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nzopinotti/Downloads/"/>
    </mc:Choice>
  </mc:AlternateContent>
  <xr:revisionPtr revIDLastSave="0" documentId="8_{FC150DE9-42A4-C845-A968-043CE9600E51}" xr6:coauthVersionLast="47" xr6:coauthVersionMax="47" xr10:uidLastSave="{00000000-0000-0000-0000-000000000000}"/>
  <bookViews>
    <workbookView xWindow="4320" yWindow="620" windowWidth="24480" windowHeight="15280" activeTab="1" xr2:uid="{00000000-000D-0000-FFFF-FFFF00000000}"/>
  </bookViews>
  <sheets>
    <sheet name="2025" sheetId="1" r:id="rId1"/>
    <sheet name="BASILE" sheetId="2" r:id="rId2"/>
    <sheet name="CALO" sheetId="3" r:id="rId3"/>
    <sheet name="RETAMAR" sheetId="4" r:id="rId4"/>
    <sheet name="LAGE" sheetId="5" r:id="rId5"/>
    <sheet name="BUELA" sheetId="6" r:id="rId6"/>
    <sheet name="VARGAS" sheetId="7" r:id="rId7"/>
    <sheet name="ARRIOLA" sheetId="8" r:id="rId8"/>
    <sheet name="MARUCA" sheetId="9" r:id="rId9"/>
    <sheet name="MONTENEGRO" sheetId="10" r:id="rId10"/>
    <sheet name="LAVENIA" sheetId="11" r:id="rId11"/>
    <sheet name="MAINAT" sheetId="12" r:id="rId12"/>
    <sheet name="LESCANO" sheetId="13" r:id="rId13"/>
    <sheet name="ROTELA" sheetId="14" r:id="rId14"/>
    <sheet name="carteras" sheetId="15" r:id="rId15"/>
    <sheet name="CLIE MAR" sheetId="16" state="hidden" r:id="rId16"/>
    <sheet name="MON2" sheetId="17" state="hidden" r:id="rId17"/>
    <sheet name="Hoja 23" sheetId="18" state="hidden" r:id="rId18"/>
    <sheet name="DESCUENTOS" sheetId="19" r:id="rId19"/>
    <sheet name="PEREZ" sheetId="20" r:id="rId20"/>
    <sheet name="oct-dic24" sheetId="21" r:id="rId21"/>
    <sheet name="pre" sheetId="22" state="hidden" r:id="rId22"/>
    <sheet name="2024" sheetId="23" r:id="rId23"/>
    <sheet name="Hoja 18" sheetId="24" state="hidden" r:id="rId24"/>
  </sheets>
  <definedNames>
    <definedName name="_xlnm._FilterDatabase" localSheetId="14" hidden="1">carteras!$AL$505:$AO$562</definedName>
    <definedName name="_xlnm._FilterDatabase" localSheetId="15" hidden="1">'CLIE MAR'!$A$1:$B$147</definedName>
    <definedName name="_xlnm._FilterDatabase" localSheetId="23" hidden="1">'Hoja 18'!$U$2:$U$85</definedName>
    <definedName name="_xlnm._FilterDatabase" localSheetId="20" hidden="1">'oct-dic24'!$A$3:$E$981</definedName>
    <definedName name="A458DC1025">DESCUENTOS!$B$220:$D$246</definedName>
    <definedName name="ARRCART4">carteras!$AQ$505:$AS$606</definedName>
    <definedName name="ARRIOALIM">ARRIOLA!$CV$312:$DK$455</definedName>
    <definedName name="ARRIOFC">ARRIOLA!$CV$165:$DK$309</definedName>
    <definedName name="ARRIOLA24">'2024'!$A$761:$N$902</definedName>
    <definedName name="ARRIOLACARTERA">carteras!$AQ$1:$AS$140</definedName>
    <definedName name="ARRIOLCART2">carteras!$AQ$172:$AS$304</definedName>
    <definedName name="ARRIOLFIN">ARRIOLA!$A$2:$M$149</definedName>
    <definedName name="BAS_UC">BASILE!$CO$154:$CP$283</definedName>
    <definedName name="BASALIM">BASILE!$CT$330:$DI$470</definedName>
    <definedName name="BASCART3">carteras!$G$338:$I$495</definedName>
    <definedName name="BASCART4">carteras!$G$505:$I$668</definedName>
    <definedName name="BASFC">BASILE!$CT$181:$DI$325</definedName>
    <definedName name="BASILECART2">carteras!$G$172:$J$324</definedName>
    <definedName name="BASILECARTERA">carteras!$G$1:$I$148</definedName>
    <definedName name="Basilee24">'2024'!$A$2:$N$133</definedName>
    <definedName name="bassfin">BASILE!$A$2:$M$165</definedName>
    <definedName name="BUEALIM">BUELA!$CV$319:$DK$462</definedName>
    <definedName name="BUECART4">carteras!$A$505:$C$641</definedName>
    <definedName name="BUEFC">BUELA!$CV$172:$DK$316</definedName>
    <definedName name="BUELA">'2024'!$A$503:$N$624</definedName>
    <definedName name="BUELACART2">carteras!$A$172:$C$314</definedName>
    <definedName name="BUELACARTERA">carteras!$A$1:$C$130</definedName>
    <definedName name="buelafin">BUELA!$A$2:$M$136</definedName>
    <definedName name="CALO24">'2024'!$A$138:$N$241</definedName>
    <definedName name="CALOALIM">CALO!$CU$303:$DJ$446</definedName>
    <definedName name="calocart2">carteras!$R$173:$U$281</definedName>
    <definedName name="CALOCART4">carteras!$R$506:$T$610</definedName>
    <definedName name="CALOCARTERA">carteras!$R$2:$T$117</definedName>
    <definedName name="CALOFC">CALO!$CU$156:$DJ$300</definedName>
    <definedName name="calofin">CALO!$A$2:$I$113</definedName>
    <definedName name="CART.ARR.3">carteras!$AQ$337:$AT$463</definedName>
    <definedName name="CART.BAS.3">carteras!$G$337:$J$503</definedName>
    <definedName name="CART.BUE.3">carteras!$A$337:$D$478</definedName>
    <definedName name="CART.CAL.3">carteras!$R$337:$U$442</definedName>
    <definedName name="CART.LAG.3">carteras!$M$338:$P$514</definedName>
    <definedName name="CART.LAV.3">carteras!$AW$337:$AY$456</definedName>
    <definedName name="CART.MAR.3">carteras!$AL$338:$AN$466</definedName>
    <definedName name="CART.MON.3">carteras!$AG$338:$AJ$471</definedName>
    <definedName name="cart.ret.3">carteras!$W$337:$Z$452</definedName>
    <definedName name="CART.VAR.3">carteras!$AB$338:$AE$453</definedName>
    <definedName name="CARTEROTEPECH">'Hoja 23'!$C$81:$D$197</definedName>
    <definedName name="CARTLES1">carteras!$BL$506:$BN$596</definedName>
    <definedName name="DES">DESCUENTOS!$B$76:$E$116</definedName>
    <definedName name="LAGALIM">LAGE!$CZ$340:$DO$483</definedName>
    <definedName name="LAGE24">'2024'!$A$355:$N$499</definedName>
    <definedName name="LAGECART2">carteras!$M$172:$P$344</definedName>
    <definedName name="LAGECART4">carteras!$M$505:$P$664</definedName>
    <definedName name="LAGECARTERA">carteras!$M$1:$O$193</definedName>
    <definedName name="LAGEFC">LAGE!$CZ$196:$DO$337</definedName>
    <definedName name="LAGEFIN">LAGE!$A$2:$M$180</definedName>
    <definedName name="lavcart4">carteras!$AW$506:$AY$633</definedName>
    <definedName name="LAVEFC">LAVENIA!$CU$187:$DJ$331</definedName>
    <definedName name="LAVENIACART2">carteras!$AW$173:$AY$297</definedName>
    <definedName name="LAVENIACARTERA">carteras!$AW$1:$AY$124</definedName>
    <definedName name="LAVENIAFIN">LAVENIA!$A$2:$M$202</definedName>
    <definedName name="MAICART1">carteras!$BG$506:$BI$606</definedName>
    <definedName name="MARCART4">carteras!$AL$506:$AO$572</definedName>
    <definedName name="MARUCA24">'2024'!$A$907:$N$1031</definedName>
    <definedName name="MARUCAALIM">MARUCA!$CV$354:$DK$496</definedName>
    <definedName name="MARUCACARTERA">carteras!$AL$2:$AN$128</definedName>
    <definedName name="MARUCAFIN">MARUCA!$A$2:$M$175</definedName>
    <definedName name="MARUCART2">carteras!$AL$172:$AO$305</definedName>
    <definedName name="MARUFC">MARUCA!$CV$205:$DK$349</definedName>
    <definedName name="MONTE24">'2024'!$A$1251:$N$1367</definedName>
    <definedName name="MONTECART4">carteras!$AG$506:$AI$635</definedName>
    <definedName name="MONTEFC" localSheetId="16">'MON2'!$CD$170:$CS$314</definedName>
    <definedName name="MONTEFC">MONTENEGRO!$CR$173:$DG$317</definedName>
    <definedName name="MONTENALIM" localSheetId="16">'MON2'!$CD$318:$CS$461</definedName>
    <definedName name="MONTENALIM">MONTENEGRO!$CR$321:$DG$464</definedName>
    <definedName name="MONTENCART2">carteras!$AG$173:$AI$307</definedName>
    <definedName name="MONTENEFIN" localSheetId="16">'MON2'!$B$2:$G$129</definedName>
    <definedName name="MONTENEFIN">MONTENEGRO!$A$2:$I$123</definedName>
    <definedName name="MONTENEGROCARTERA">carteras!$AG$1:$AI$140</definedName>
    <definedName name="PECH">'Hoja 23'!$C$1:$D$77</definedName>
    <definedName name="PECH24">'2024'!$A$1373:$N$1465</definedName>
    <definedName name="PEREFC">PEREZ!$BC$133:$BS$276</definedName>
    <definedName name="PEREZ">'2024'!$A$1035:$N$1120</definedName>
    <definedName name="PEREZALIM">PEREZ!$BD$279:$BS$422</definedName>
    <definedName name="RETAALIM">RETAMAR!$CS$277:$DH$420</definedName>
    <definedName name="RETAMAR24">'2024'!$A$248:$N$349</definedName>
    <definedName name="RETAMARCARTERA">carteras!$W$2:$Y$112</definedName>
    <definedName name="RETAMCART2">carteras!$W$172:$Y$281</definedName>
    <definedName name="RETAMFIN">RETAMAR!$A$2:$I$113</definedName>
    <definedName name="RETCAR4">carteras!$W$505:$Y$610</definedName>
    <definedName name="RETFC">RETAMAR!$CS$130:$DH$274</definedName>
    <definedName name="ROTEFC">ROTELA!$BL$150:$CA$294</definedName>
    <definedName name="ROTELA">'2024'!$A$1124:$N$1244</definedName>
    <definedName name="ROTELACARTERA">carteras!$BB$1:$BD$134</definedName>
    <definedName name="rotelafin">ROTELA!$A$2:$F$118</definedName>
    <definedName name="ROTELALIM">ROTELA!$BL$297:$CA$440</definedName>
    <definedName name="tmkpechhhh24">'2024'!$B$1470:$O$1790</definedName>
    <definedName name="trim2024">'oct-dic24'!$A$4:$E$981</definedName>
    <definedName name="VANEALIM">LAVENIA!$CU$334:$DJ$477</definedName>
    <definedName name="VARFC">VARGAS!$CW$187:$DL$331</definedName>
    <definedName name="VARGALIM">VARGAS!$CW$334:$DL$477</definedName>
    <definedName name="VARGAS24">'2024'!$A$630:$N$756</definedName>
    <definedName name="VARGASCART2">carteras!$AB$173:$AE$300</definedName>
    <definedName name="VARGASCARTERA">carteras!$AB$1:$AD$110</definedName>
    <definedName name="VARGASFIN">VARGAS!$A$1:$M$65</definedName>
    <definedName name="VARGCART4">carteras!$AB$505:$AD$569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24" l="1"/>
  <c r="D106" i="24"/>
  <c r="C106" i="24"/>
  <c r="E105" i="24"/>
  <c r="D105" i="24"/>
  <c r="C105" i="24"/>
  <c r="E104" i="24"/>
  <c r="D104" i="24"/>
  <c r="C104" i="24"/>
  <c r="E103" i="24"/>
  <c r="D103" i="24"/>
  <c r="C103" i="24"/>
  <c r="E102" i="24"/>
  <c r="D102" i="24"/>
  <c r="C102" i="24"/>
  <c r="E101" i="24"/>
  <c r="D101" i="24"/>
  <c r="C101" i="24"/>
  <c r="E100" i="24"/>
  <c r="D100" i="24"/>
  <c r="C100" i="24"/>
  <c r="E99" i="24"/>
  <c r="D99" i="24"/>
  <c r="C99" i="24"/>
  <c r="E98" i="24"/>
  <c r="D98" i="24"/>
  <c r="C98" i="24"/>
  <c r="E97" i="24"/>
  <c r="D97" i="24"/>
  <c r="C97" i="24"/>
  <c r="E96" i="24"/>
  <c r="D96" i="24"/>
  <c r="C96" i="24"/>
  <c r="E95" i="24"/>
  <c r="D95" i="24"/>
  <c r="C95" i="24"/>
  <c r="E94" i="24"/>
  <c r="D94" i="24"/>
  <c r="C94" i="24"/>
  <c r="E93" i="24"/>
  <c r="D93" i="24"/>
  <c r="C93" i="24"/>
  <c r="E92" i="24"/>
  <c r="D92" i="24"/>
  <c r="C92" i="24"/>
  <c r="E91" i="24"/>
  <c r="D91" i="24"/>
  <c r="C91" i="24"/>
  <c r="E90" i="24"/>
  <c r="D90" i="24"/>
  <c r="C90" i="24"/>
  <c r="E89" i="24"/>
  <c r="D89" i="24"/>
  <c r="C89" i="24"/>
  <c r="E88" i="24"/>
  <c r="D88" i="24"/>
  <c r="C88" i="24"/>
  <c r="E87" i="24"/>
  <c r="D87" i="24"/>
  <c r="C87" i="24"/>
  <c r="E86" i="24"/>
  <c r="D86" i="24"/>
  <c r="C86" i="24"/>
  <c r="E85" i="24"/>
  <c r="D85" i="24"/>
  <c r="C85" i="24"/>
  <c r="E84" i="24"/>
  <c r="D84" i="24"/>
  <c r="C84" i="24"/>
  <c r="E83" i="24"/>
  <c r="D83" i="24"/>
  <c r="C83" i="24"/>
  <c r="E82" i="24"/>
  <c r="D82" i="24"/>
  <c r="C82" i="24"/>
  <c r="E81" i="24"/>
  <c r="D81" i="24"/>
  <c r="C81" i="24"/>
  <c r="E80" i="24"/>
  <c r="D80" i="24"/>
  <c r="C80" i="24"/>
  <c r="E79" i="24"/>
  <c r="D79" i="24"/>
  <c r="C79" i="24"/>
  <c r="E78" i="24"/>
  <c r="D78" i="24"/>
  <c r="C78" i="24"/>
  <c r="E77" i="24"/>
  <c r="D77" i="24"/>
  <c r="C77" i="24"/>
  <c r="E76" i="24"/>
  <c r="D76" i="24"/>
  <c r="C76" i="24"/>
  <c r="E75" i="24"/>
  <c r="D75" i="24"/>
  <c r="C75" i="24"/>
  <c r="E74" i="24"/>
  <c r="D74" i="24"/>
  <c r="C74" i="24"/>
  <c r="E73" i="24"/>
  <c r="D73" i="24"/>
  <c r="C73" i="24"/>
  <c r="E72" i="24"/>
  <c r="D72" i="24"/>
  <c r="C72" i="24"/>
  <c r="E71" i="24"/>
  <c r="D71" i="24"/>
  <c r="C71" i="24"/>
  <c r="E70" i="24"/>
  <c r="D70" i="24"/>
  <c r="C70" i="24"/>
  <c r="E69" i="24"/>
  <c r="D69" i="24"/>
  <c r="C69" i="24"/>
  <c r="E68" i="24"/>
  <c r="D68" i="24"/>
  <c r="C68" i="24"/>
  <c r="E67" i="24"/>
  <c r="D67" i="24"/>
  <c r="C67" i="24"/>
  <c r="E66" i="24"/>
  <c r="D66" i="24"/>
  <c r="C66" i="24"/>
  <c r="E65" i="24"/>
  <c r="D65" i="24"/>
  <c r="C65" i="24"/>
  <c r="E64" i="24"/>
  <c r="D64" i="24"/>
  <c r="C64" i="24"/>
  <c r="E63" i="24"/>
  <c r="D63" i="24"/>
  <c r="C63" i="24"/>
  <c r="E62" i="24"/>
  <c r="D62" i="24"/>
  <c r="C62" i="24"/>
  <c r="E61" i="24"/>
  <c r="D61" i="24"/>
  <c r="C61" i="24"/>
  <c r="E60" i="24"/>
  <c r="D60" i="24"/>
  <c r="C60" i="24"/>
  <c r="E59" i="24"/>
  <c r="D59" i="24"/>
  <c r="C59" i="24"/>
  <c r="E58" i="24"/>
  <c r="D58" i="24"/>
  <c r="C58" i="24"/>
  <c r="E57" i="24"/>
  <c r="D57" i="24"/>
  <c r="C57" i="24"/>
  <c r="E56" i="24"/>
  <c r="D56" i="24"/>
  <c r="C56" i="24"/>
  <c r="E55" i="24"/>
  <c r="D55" i="24"/>
  <c r="C55" i="24"/>
  <c r="E54" i="24"/>
  <c r="D54" i="24"/>
  <c r="C54" i="24"/>
  <c r="E53" i="24"/>
  <c r="D53" i="24"/>
  <c r="C53" i="24"/>
  <c r="E52" i="24"/>
  <c r="D52" i="24"/>
  <c r="C52" i="24"/>
  <c r="E51" i="24"/>
  <c r="D51" i="24"/>
  <c r="C51" i="24"/>
  <c r="E50" i="24"/>
  <c r="D50" i="24"/>
  <c r="C50" i="24"/>
  <c r="E49" i="24"/>
  <c r="D49" i="24"/>
  <c r="C49" i="24"/>
  <c r="E48" i="24"/>
  <c r="D48" i="24"/>
  <c r="C48" i="24"/>
  <c r="E47" i="24"/>
  <c r="D47" i="24"/>
  <c r="C47" i="24"/>
  <c r="E46" i="24"/>
  <c r="D46" i="24"/>
  <c r="C46" i="24"/>
  <c r="E45" i="24"/>
  <c r="D45" i="24"/>
  <c r="C45" i="24"/>
  <c r="E44" i="24"/>
  <c r="D44" i="24"/>
  <c r="C44" i="24"/>
  <c r="E43" i="24"/>
  <c r="D43" i="24"/>
  <c r="C43" i="24"/>
  <c r="E42" i="24"/>
  <c r="D42" i="24"/>
  <c r="C42" i="24"/>
  <c r="E41" i="24"/>
  <c r="D41" i="24"/>
  <c r="C41" i="24"/>
  <c r="E40" i="24"/>
  <c r="D40" i="24"/>
  <c r="C40" i="24"/>
  <c r="E39" i="24"/>
  <c r="D39" i="24"/>
  <c r="C39" i="24"/>
  <c r="E38" i="24"/>
  <c r="D38" i="24"/>
  <c r="C38" i="24"/>
  <c r="E37" i="24"/>
  <c r="D37" i="24"/>
  <c r="C37" i="24"/>
  <c r="E36" i="24"/>
  <c r="D36" i="24"/>
  <c r="C36" i="24"/>
  <c r="E35" i="24"/>
  <c r="D35" i="24"/>
  <c r="C35" i="24"/>
  <c r="E34" i="24"/>
  <c r="D34" i="24"/>
  <c r="C34" i="24"/>
  <c r="E33" i="24"/>
  <c r="D33" i="24"/>
  <c r="C33" i="24"/>
  <c r="E32" i="24"/>
  <c r="D32" i="24"/>
  <c r="C32" i="24"/>
  <c r="E31" i="24"/>
  <c r="D31" i="24"/>
  <c r="C31" i="24"/>
  <c r="E30" i="24"/>
  <c r="D30" i="24"/>
  <c r="C30" i="24"/>
  <c r="E29" i="24"/>
  <c r="D29" i="24"/>
  <c r="C29" i="24"/>
  <c r="E28" i="24"/>
  <c r="D28" i="24"/>
  <c r="C28" i="24"/>
  <c r="E27" i="24"/>
  <c r="D27" i="24"/>
  <c r="C27" i="24"/>
  <c r="E26" i="24"/>
  <c r="D26" i="24"/>
  <c r="C26" i="24"/>
  <c r="E25" i="24"/>
  <c r="D25" i="24"/>
  <c r="C25" i="24"/>
  <c r="E24" i="24"/>
  <c r="D24" i="24"/>
  <c r="C24" i="24"/>
  <c r="E23" i="24"/>
  <c r="D23" i="24"/>
  <c r="C23" i="24"/>
  <c r="E22" i="24"/>
  <c r="D22" i="24"/>
  <c r="C22" i="24"/>
  <c r="E21" i="24"/>
  <c r="D21" i="24"/>
  <c r="C21" i="24"/>
  <c r="E20" i="24"/>
  <c r="D20" i="24"/>
  <c r="C20" i="24"/>
  <c r="E19" i="24"/>
  <c r="D19" i="24"/>
  <c r="C19" i="24"/>
  <c r="E18" i="24"/>
  <c r="D18" i="24"/>
  <c r="C18" i="24"/>
  <c r="E17" i="24"/>
  <c r="D17" i="24"/>
  <c r="C17" i="24"/>
  <c r="E16" i="24"/>
  <c r="D16" i="24"/>
  <c r="C16" i="24"/>
  <c r="E15" i="24"/>
  <c r="D15" i="24"/>
  <c r="C15" i="24"/>
  <c r="E14" i="24"/>
  <c r="D14" i="24"/>
  <c r="C14" i="24"/>
  <c r="E13" i="24"/>
  <c r="D13" i="24"/>
  <c r="C13" i="24"/>
  <c r="E12" i="24"/>
  <c r="D12" i="24"/>
  <c r="C12" i="24"/>
  <c r="E11" i="24"/>
  <c r="D11" i="24"/>
  <c r="C11" i="24"/>
  <c r="E10" i="24"/>
  <c r="D10" i="24"/>
  <c r="C10" i="24"/>
  <c r="E9" i="24"/>
  <c r="D9" i="24"/>
  <c r="C9" i="24"/>
  <c r="E8" i="24"/>
  <c r="D8" i="24"/>
  <c r="C8" i="24"/>
  <c r="E7" i="24"/>
  <c r="D7" i="24"/>
  <c r="C7" i="24"/>
  <c r="E6" i="24"/>
  <c r="D6" i="24"/>
  <c r="C6" i="24"/>
  <c r="E5" i="24"/>
  <c r="D5" i="24"/>
  <c r="C5" i="24"/>
  <c r="E4" i="24"/>
  <c r="D4" i="24"/>
  <c r="C4" i="24"/>
  <c r="E3" i="24"/>
  <c r="D3" i="24"/>
  <c r="C3" i="24"/>
  <c r="E148" i="22"/>
  <c r="D148" i="22"/>
  <c r="C148" i="22"/>
  <c r="E147" i="22"/>
  <c r="D147" i="22"/>
  <c r="C147" i="22"/>
  <c r="E146" i="22"/>
  <c r="D146" i="22"/>
  <c r="C146" i="22"/>
  <c r="E145" i="22"/>
  <c r="D145" i="22"/>
  <c r="C145" i="22"/>
  <c r="E144" i="22"/>
  <c r="D144" i="22"/>
  <c r="C144" i="22"/>
  <c r="E143" i="22"/>
  <c r="D143" i="22"/>
  <c r="C143" i="22"/>
  <c r="E142" i="22"/>
  <c r="D142" i="22"/>
  <c r="C142" i="22"/>
  <c r="E141" i="22"/>
  <c r="D141" i="22"/>
  <c r="C141" i="22"/>
  <c r="E140" i="22"/>
  <c r="D140" i="22"/>
  <c r="C140" i="22"/>
  <c r="E139" i="22"/>
  <c r="D139" i="22"/>
  <c r="C139" i="22"/>
  <c r="E138" i="22"/>
  <c r="D138" i="22"/>
  <c r="C138" i="22"/>
  <c r="E137" i="22"/>
  <c r="D137" i="22"/>
  <c r="C137" i="22"/>
  <c r="E136" i="22"/>
  <c r="D136" i="22"/>
  <c r="C136" i="22"/>
  <c r="E135" i="22"/>
  <c r="D135" i="22"/>
  <c r="C135" i="22"/>
  <c r="E134" i="22"/>
  <c r="D134" i="22"/>
  <c r="C134" i="22"/>
  <c r="E133" i="22"/>
  <c r="D133" i="22"/>
  <c r="C133" i="22"/>
  <c r="E132" i="22"/>
  <c r="D132" i="22"/>
  <c r="C132" i="22"/>
  <c r="E131" i="22"/>
  <c r="D131" i="22"/>
  <c r="C131" i="22"/>
  <c r="E130" i="22"/>
  <c r="D130" i="22"/>
  <c r="C130" i="22"/>
  <c r="E129" i="22"/>
  <c r="D129" i="22"/>
  <c r="C129" i="22"/>
  <c r="E128" i="22"/>
  <c r="D128" i="22"/>
  <c r="C128" i="22"/>
  <c r="E127" i="22"/>
  <c r="D127" i="22"/>
  <c r="C127" i="22"/>
  <c r="E126" i="22"/>
  <c r="D126" i="22"/>
  <c r="C126" i="22"/>
  <c r="E125" i="22"/>
  <c r="D125" i="22"/>
  <c r="C125" i="22"/>
  <c r="E124" i="22"/>
  <c r="D124" i="22"/>
  <c r="C124" i="22"/>
  <c r="E123" i="22"/>
  <c r="D123" i="22"/>
  <c r="C123" i="22"/>
  <c r="E122" i="22"/>
  <c r="D122" i="22"/>
  <c r="C122" i="22"/>
  <c r="E121" i="22"/>
  <c r="D121" i="22"/>
  <c r="C121" i="22"/>
  <c r="E120" i="22"/>
  <c r="D120" i="22"/>
  <c r="C120" i="22"/>
  <c r="E119" i="22"/>
  <c r="D119" i="22"/>
  <c r="C119" i="22"/>
  <c r="E118" i="22"/>
  <c r="D118" i="22"/>
  <c r="C118" i="22"/>
  <c r="E117" i="22"/>
  <c r="D117" i="22"/>
  <c r="C117" i="22"/>
  <c r="E116" i="22"/>
  <c r="D116" i="22"/>
  <c r="C116" i="22"/>
  <c r="E115" i="22"/>
  <c r="D115" i="22"/>
  <c r="C115" i="22"/>
  <c r="E114" i="22"/>
  <c r="D114" i="22"/>
  <c r="C114" i="22"/>
  <c r="E113" i="22"/>
  <c r="D113" i="22"/>
  <c r="C113" i="22"/>
  <c r="E112" i="22"/>
  <c r="D112" i="22"/>
  <c r="C112" i="22"/>
  <c r="E111" i="22"/>
  <c r="D111" i="22"/>
  <c r="C111" i="22"/>
  <c r="E110" i="22"/>
  <c r="D110" i="22"/>
  <c r="C110" i="22"/>
  <c r="E109" i="22"/>
  <c r="D109" i="22"/>
  <c r="C109" i="22"/>
  <c r="E108" i="22"/>
  <c r="D108" i="22"/>
  <c r="C108" i="22"/>
  <c r="E107" i="22"/>
  <c r="D107" i="22"/>
  <c r="C107" i="22"/>
  <c r="E106" i="22"/>
  <c r="D106" i="22"/>
  <c r="C106" i="22"/>
  <c r="E105" i="22"/>
  <c r="D105" i="22"/>
  <c r="C105" i="22"/>
  <c r="E104" i="22"/>
  <c r="D104" i="22"/>
  <c r="C104" i="22"/>
  <c r="E103" i="22"/>
  <c r="D103" i="22"/>
  <c r="C103" i="22"/>
  <c r="E102" i="22"/>
  <c r="D102" i="22"/>
  <c r="C102" i="22"/>
  <c r="E101" i="22"/>
  <c r="D101" i="22"/>
  <c r="C101" i="22"/>
  <c r="E100" i="22"/>
  <c r="D100" i="22"/>
  <c r="C100" i="22"/>
  <c r="E99" i="22"/>
  <c r="D99" i="22"/>
  <c r="C99" i="22"/>
  <c r="E98" i="22"/>
  <c r="D98" i="22"/>
  <c r="C98" i="22"/>
  <c r="E97" i="22"/>
  <c r="D97" i="22"/>
  <c r="C97" i="22"/>
  <c r="E96" i="22"/>
  <c r="D96" i="22"/>
  <c r="C96" i="22"/>
  <c r="E95" i="22"/>
  <c r="D95" i="22"/>
  <c r="C95" i="22"/>
  <c r="E94" i="22"/>
  <c r="D94" i="22"/>
  <c r="C94" i="22"/>
  <c r="E93" i="22"/>
  <c r="D93" i="22"/>
  <c r="C93" i="22"/>
  <c r="E92" i="22"/>
  <c r="D92" i="22"/>
  <c r="C92" i="22"/>
  <c r="E91" i="22"/>
  <c r="D91" i="22"/>
  <c r="C91" i="22"/>
  <c r="E90" i="22"/>
  <c r="D90" i="22"/>
  <c r="C90" i="22"/>
  <c r="E89" i="22"/>
  <c r="D89" i="22"/>
  <c r="C89" i="22"/>
  <c r="E88" i="22"/>
  <c r="D88" i="22"/>
  <c r="C88" i="22"/>
  <c r="E87" i="22"/>
  <c r="D87" i="22"/>
  <c r="C87" i="22"/>
  <c r="E86" i="22"/>
  <c r="D86" i="22"/>
  <c r="C86" i="22"/>
  <c r="E85" i="22"/>
  <c r="D85" i="22"/>
  <c r="C85" i="22"/>
  <c r="E84" i="22"/>
  <c r="D84" i="22"/>
  <c r="C84" i="22"/>
  <c r="E83" i="22"/>
  <c r="D83" i="22"/>
  <c r="C83" i="22"/>
  <c r="E82" i="22"/>
  <c r="D82" i="22"/>
  <c r="C82" i="22"/>
  <c r="E81" i="22"/>
  <c r="D81" i="22"/>
  <c r="C81" i="22"/>
  <c r="E80" i="22"/>
  <c r="D80" i="22"/>
  <c r="C80" i="22"/>
  <c r="E79" i="22"/>
  <c r="D79" i="22"/>
  <c r="C79" i="22"/>
  <c r="E78" i="22"/>
  <c r="D78" i="22"/>
  <c r="C78" i="22"/>
  <c r="E77" i="22"/>
  <c r="D77" i="22"/>
  <c r="C77" i="22"/>
  <c r="E76" i="22"/>
  <c r="D76" i="22"/>
  <c r="C76" i="22"/>
  <c r="E75" i="22"/>
  <c r="D75" i="22"/>
  <c r="C75" i="22"/>
  <c r="E74" i="22"/>
  <c r="D74" i="22"/>
  <c r="C74" i="22"/>
  <c r="E73" i="22"/>
  <c r="D73" i="22"/>
  <c r="C73" i="22"/>
  <c r="E72" i="22"/>
  <c r="D72" i="22"/>
  <c r="C72" i="22"/>
  <c r="E71" i="22"/>
  <c r="D71" i="22"/>
  <c r="C71" i="22"/>
  <c r="E70" i="22"/>
  <c r="D70" i="22"/>
  <c r="C70" i="22"/>
  <c r="E69" i="22"/>
  <c r="D69" i="22"/>
  <c r="C69" i="22"/>
  <c r="E68" i="22"/>
  <c r="D68" i="22"/>
  <c r="C68" i="22"/>
  <c r="E67" i="22"/>
  <c r="D67" i="22"/>
  <c r="C67" i="22"/>
  <c r="E66" i="22"/>
  <c r="D66" i="22"/>
  <c r="C66" i="22"/>
  <c r="E65" i="22"/>
  <c r="D65" i="22"/>
  <c r="C65" i="22"/>
  <c r="E64" i="22"/>
  <c r="D64" i="22"/>
  <c r="C64" i="22"/>
  <c r="E63" i="22"/>
  <c r="D63" i="22"/>
  <c r="C63" i="22"/>
  <c r="E62" i="22"/>
  <c r="D62" i="22"/>
  <c r="C62" i="22"/>
  <c r="E61" i="22"/>
  <c r="D61" i="22"/>
  <c r="C61" i="22"/>
  <c r="E60" i="22"/>
  <c r="D60" i="22"/>
  <c r="C60" i="22"/>
  <c r="E59" i="22"/>
  <c r="D59" i="22"/>
  <c r="C59" i="22"/>
  <c r="E58" i="22"/>
  <c r="D58" i="22"/>
  <c r="C58" i="22"/>
  <c r="E57" i="22"/>
  <c r="D57" i="22"/>
  <c r="C57" i="22"/>
  <c r="E56" i="22"/>
  <c r="D56" i="22"/>
  <c r="C56" i="22"/>
  <c r="E55" i="22"/>
  <c r="D55" i="22"/>
  <c r="C55" i="22"/>
  <c r="E54" i="22"/>
  <c r="D54" i="22"/>
  <c r="C54" i="22"/>
  <c r="E53" i="22"/>
  <c r="D53" i="22"/>
  <c r="C53" i="22"/>
  <c r="E52" i="22"/>
  <c r="D52" i="22"/>
  <c r="C52" i="22"/>
  <c r="E51" i="22"/>
  <c r="D51" i="22"/>
  <c r="C51" i="22"/>
  <c r="E50" i="22"/>
  <c r="D50" i="22"/>
  <c r="C50" i="22"/>
  <c r="E49" i="22"/>
  <c r="D49" i="22"/>
  <c r="C49" i="22"/>
  <c r="E48" i="22"/>
  <c r="D48" i="22"/>
  <c r="C48" i="22"/>
  <c r="E47" i="22"/>
  <c r="D47" i="22"/>
  <c r="C47" i="22"/>
  <c r="E46" i="22"/>
  <c r="D46" i="22"/>
  <c r="C46" i="22"/>
  <c r="E45" i="22"/>
  <c r="D45" i="22"/>
  <c r="C45" i="22"/>
  <c r="E44" i="22"/>
  <c r="D44" i="22"/>
  <c r="C44" i="22"/>
  <c r="E43" i="22"/>
  <c r="D43" i="22"/>
  <c r="C43" i="22"/>
  <c r="E42" i="22"/>
  <c r="D42" i="22"/>
  <c r="C42" i="22"/>
  <c r="E41" i="22"/>
  <c r="D41" i="22"/>
  <c r="C41" i="22"/>
  <c r="E40" i="22"/>
  <c r="D40" i="22"/>
  <c r="C40" i="22"/>
  <c r="E39" i="22"/>
  <c r="D39" i="22"/>
  <c r="C39" i="22"/>
  <c r="E38" i="22"/>
  <c r="D38" i="22"/>
  <c r="C38" i="22"/>
  <c r="E37" i="22"/>
  <c r="D37" i="22"/>
  <c r="C37" i="22"/>
  <c r="E36" i="22"/>
  <c r="D36" i="22"/>
  <c r="C36" i="22"/>
  <c r="E35" i="22"/>
  <c r="D35" i="22"/>
  <c r="C35" i="22"/>
  <c r="E34" i="22"/>
  <c r="D34" i="22"/>
  <c r="C34" i="22"/>
  <c r="E33" i="22"/>
  <c r="D33" i="22"/>
  <c r="C33" i="22"/>
  <c r="E32" i="22"/>
  <c r="D32" i="22"/>
  <c r="C32" i="22"/>
  <c r="E31" i="22"/>
  <c r="D31" i="22"/>
  <c r="C31" i="22"/>
  <c r="E30" i="22"/>
  <c r="D30" i="22"/>
  <c r="C30" i="22"/>
  <c r="E29" i="22"/>
  <c r="D29" i="22"/>
  <c r="C29" i="22"/>
  <c r="E28" i="22"/>
  <c r="D28" i="22"/>
  <c r="C28" i="22"/>
  <c r="E27" i="22"/>
  <c r="D27" i="22"/>
  <c r="C27" i="22"/>
  <c r="E26" i="22"/>
  <c r="D26" i="22"/>
  <c r="C26" i="22"/>
  <c r="E25" i="22"/>
  <c r="D25" i="22"/>
  <c r="C25" i="22"/>
  <c r="E24" i="22"/>
  <c r="D24" i="22"/>
  <c r="C24" i="22"/>
  <c r="E23" i="22"/>
  <c r="D23" i="22"/>
  <c r="C23" i="22"/>
  <c r="E22" i="22"/>
  <c r="D22" i="22"/>
  <c r="C22" i="22"/>
  <c r="E21" i="22"/>
  <c r="D21" i="22"/>
  <c r="C21" i="22"/>
  <c r="E20" i="22"/>
  <c r="D20" i="22"/>
  <c r="C20" i="22"/>
  <c r="E19" i="22"/>
  <c r="D19" i="22"/>
  <c r="C19" i="22"/>
  <c r="E18" i="22"/>
  <c r="D18" i="22"/>
  <c r="C18" i="22"/>
  <c r="E17" i="22"/>
  <c r="D17" i="22"/>
  <c r="C17" i="22"/>
  <c r="E16" i="22"/>
  <c r="D16" i="22"/>
  <c r="C16" i="22"/>
  <c r="E15" i="22"/>
  <c r="D15" i="22"/>
  <c r="C15" i="22"/>
  <c r="E14" i="22"/>
  <c r="D14" i="22"/>
  <c r="C14" i="22"/>
  <c r="E13" i="22"/>
  <c r="D13" i="22"/>
  <c r="C13" i="22"/>
  <c r="E12" i="22"/>
  <c r="D12" i="22"/>
  <c r="C12" i="22"/>
  <c r="E11" i="22"/>
  <c r="D11" i="22"/>
  <c r="C11" i="22"/>
  <c r="E10" i="22"/>
  <c r="D10" i="22"/>
  <c r="C10" i="22"/>
  <c r="E9" i="22"/>
  <c r="D9" i="22"/>
  <c r="C9" i="22"/>
  <c r="E8" i="22"/>
  <c r="D8" i="22"/>
  <c r="C8" i="22"/>
  <c r="E7" i="22"/>
  <c r="D7" i="22"/>
  <c r="C7" i="22"/>
  <c r="E6" i="22"/>
  <c r="D6" i="22"/>
  <c r="C6" i="22"/>
  <c r="E5" i="22"/>
  <c r="D5" i="22"/>
  <c r="C5" i="22"/>
  <c r="E4" i="22"/>
  <c r="D4" i="22"/>
  <c r="C4" i="22"/>
  <c r="E3" i="22"/>
  <c r="D3" i="22"/>
  <c r="C3" i="22"/>
  <c r="E2" i="22"/>
  <c r="D2" i="22"/>
  <c r="C2" i="22"/>
  <c r="K87" i="20"/>
  <c r="J87" i="20"/>
  <c r="I87" i="20"/>
  <c r="AK86" i="20"/>
  <c r="AJ86" i="20"/>
  <c r="AI86" i="20"/>
  <c r="AH86" i="20"/>
  <c r="AG86" i="20"/>
  <c r="AF86" i="20"/>
  <c r="AE86" i="20"/>
  <c r="AD86" i="20"/>
  <c r="AC86" i="20"/>
  <c r="U86" i="20"/>
  <c r="V86" i="20" s="1"/>
  <c r="N86" i="20"/>
  <c r="O86" i="20" s="1"/>
  <c r="AB86" i="20" s="1"/>
  <c r="H86" i="20"/>
  <c r="G86" i="20"/>
  <c r="E86" i="20"/>
  <c r="D86" i="20"/>
  <c r="C86" i="20"/>
  <c r="AK85" i="20"/>
  <c r="AJ85" i="20"/>
  <c r="AI85" i="20"/>
  <c r="AH85" i="20"/>
  <c r="AG85" i="20"/>
  <c r="AF85" i="20"/>
  <c r="AE85" i="20"/>
  <c r="AD85" i="20"/>
  <c r="AC85" i="20"/>
  <c r="V85" i="20"/>
  <c r="U85" i="20"/>
  <c r="N85" i="20"/>
  <c r="O85" i="20" s="1"/>
  <c r="H85" i="20"/>
  <c r="G85" i="20"/>
  <c r="E85" i="20"/>
  <c r="D85" i="20"/>
  <c r="C85" i="20"/>
  <c r="AK84" i="20"/>
  <c r="AJ84" i="20"/>
  <c r="AI84" i="20"/>
  <c r="AH84" i="20"/>
  <c r="AG84" i="20"/>
  <c r="AF84" i="20"/>
  <c r="AE84" i="20"/>
  <c r="AD84" i="20"/>
  <c r="AC84" i="20"/>
  <c r="U84" i="20"/>
  <c r="V84" i="20" s="1"/>
  <c r="N84" i="20"/>
  <c r="O84" i="20" s="1"/>
  <c r="G84" i="20"/>
  <c r="H84" i="20" s="1"/>
  <c r="E84" i="20"/>
  <c r="D84" i="20"/>
  <c r="C84" i="20"/>
  <c r="AK83" i="20"/>
  <c r="AJ83" i="20"/>
  <c r="AI83" i="20"/>
  <c r="AH83" i="20"/>
  <c r="AG83" i="20"/>
  <c r="AF83" i="20"/>
  <c r="AE83" i="20"/>
  <c r="AD83" i="20"/>
  <c r="AC83" i="20"/>
  <c r="V83" i="20"/>
  <c r="U83" i="20"/>
  <c r="N83" i="20"/>
  <c r="O83" i="20" s="1"/>
  <c r="G83" i="20"/>
  <c r="H83" i="20" s="1"/>
  <c r="E83" i="20"/>
  <c r="D83" i="20"/>
  <c r="C83" i="20"/>
  <c r="AK82" i="20"/>
  <c r="AJ82" i="20"/>
  <c r="AI82" i="20"/>
  <c r="AH82" i="20"/>
  <c r="AG82" i="20"/>
  <c r="AF82" i="20"/>
  <c r="AE82" i="20"/>
  <c r="AD82" i="20"/>
  <c r="AC82" i="20"/>
  <c r="V82" i="20"/>
  <c r="U82" i="20"/>
  <c r="N82" i="20"/>
  <c r="O82" i="20" s="1"/>
  <c r="G82" i="20"/>
  <c r="H82" i="20" s="1"/>
  <c r="E82" i="20"/>
  <c r="D82" i="20"/>
  <c r="C82" i="20"/>
  <c r="AK81" i="20"/>
  <c r="AJ81" i="20"/>
  <c r="AI81" i="20"/>
  <c r="AH81" i="20"/>
  <c r="AG81" i="20"/>
  <c r="AF81" i="20"/>
  <c r="AE81" i="20"/>
  <c r="AD81" i="20"/>
  <c r="AC81" i="20"/>
  <c r="V81" i="20"/>
  <c r="U81" i="20"/>
  <c r="O81" i="20"/>
  <c r="N81" i="20"/>
  <c r="H81" i="20"/>
  <c r="AB81" i="20" s="1"/>
  <c r="G81" i="20"/>
  <c r="E81" i="20"/>
  <c r="D81" i="20"/>
  <c r="C81" i="20"/>
  <c r="AK80" i="20"/>
  <c r="AJ80" i="20"/>
  <c r="AI80" i="20"/>
  <c r="AH80" i="20"/>
  <c r="AG80" i="20"/>
  <c r="AF80" i="20"/>
  <c r="AE80" i="20"/>
  <c r="AD80" i="20"/>
  <c r="AC80" i="20"/>
  <c r="U80" i="20"/>
  <c r="V80" i="20" s="1"/>
  <c r="O80" i="20"/>
  <c r="N80" i="20"/>
  <c r="G80" i="20"/>
  <c r="H80" i="20" s="1"/>
  <c r="E80" i="20"/>
  <c r="D80" i="20"/>
  <c r="C80" i="20"/>
  <c r="AK79" i="20"/>
  <c r="AJ79" i="20"/>
  <c r="AI79" i="20"/>
  <c r="AH79" i="20"/>
  <c r="AG79" i="20"/>
  <c r="AF79" i="20"/>
  <c r="AE79" i="20"/>
  <c r="AD79" i="20"/>
  <c r="AC79" i="20"/>
  <c r="U79" i="20"/>
  <c r="V79" i="20" s="1"/>
  <c r="O79" i="20"/>
  <c r="N79" i="20"/>
  <c r="H79" i="20"/>
  <c r="G79" i="20"/>
  <c r="E79" i="20"/>
  <c r="D79" i="20"/>
  <c r="C79" i="20"/>
  <c r="AK78" i="20"/>
  <c r="AJ78" i="20"/>
  <c r="AI78" i="20"/>
  <c r="AH78" i="20"/>
  <c r="AG78" i="20"/>
  <c r="AF78" i="20"/>
  <c r="AE78" i="20"/>
  <c r="AD78" i="20"/>
  <c r="AC78" i="20"/>
  <c r="U78" i="20"/>
  <c r="V78" i="20" s="1"/>
  <c r="N78" i="20"/>
  <c r="O78" i="20" s="1"/>
  <c r="H78" i="20"/>
  <c r="AB78" i="20" s="1"/>
  <c r="G78" i="20"/>
  <c r="E78" i="20"/>
  <c r="D78" i="20"/>
  <c r="C78" i="20"/>
  <c r="AK77" i="20"/>
  <c r="AJ77" i="20"/>
  <c r="AI77" i="20"/>
  <c r="AH77" i="20"/>
  <c r="AG77" i="20"/>
  <c r="AF77" i="20"/>
  <c r="AE77" i="20"/>
  <c r="AD77" i="20"/>
  <c r="AC77" i="20"/>
  <c r="U77" i="20"/>
  <c r="V77" i="20" s="1"/>
  <c r="N77" i="20"/>
  <c r="O77" i="20" s="1"/>
  <c r="H77" i="20"/>
  <c r="AB77" i="20" s="1"/>
  <c r="G77" i="20"/>
  <c r="E77" i="20"/>
  <c r="D77" i="20"/>
  <c r="C77" i="20"/>
  <c r="AK76" i="20"/>
  <c r="AJ76" i="20"/>
  <c r="AI76" i="20"/>
  <c r="AH76" i="20"/>
  <c r="AG76" i="20"/>
  <c r="AF76" i="20"/>
  <c r="AE76" i="20"/>
  <c r="AD76" i="20"/>
  <c r="AC76" i="20"/>
  <c r="U76" i="20"/>
  <c r="V76" i="20" s="1"/>
  <c r="N76" i="20"/>
  <c r="O76" i="20" s="1"/>
  <c r="G76" i="20"/>
  <c r="H76" i="20" s="1"/>
  <c r="AB76" i="20" s="1"/>
  <c r="E76" i="20"/>
  <c r="D76" i="20"/>
  <c r="C76" i="20"/>
  <c r="AK75" i="20"/>
  <c r="AJ75" i="20"/>
  <c r="AI75" i="20"/>
  <c r="AH75" i="20"/>
  <c r="AG75" i="20"/>
  <c r="AF75" i="20"/>
  <c r="AE75" i="20"/>
  <c r="AD75" i="20"/>
  <c r="AC75" i="20"/>
  <c r="V75" i="20"/>
  <c r="U75" i="20"/>
  <c r="N75" i="20"/>
  <c r="O75" i="20" s="1"/>
  <c r="G75" i="20"/>
  <c r="H75" i="20" s="1"/>
  <c r="AB75" i="20" s="1"/>
  <c r="E75" i="20"/>
  <c r="D75" i="20"/>
  <c r="C75" i="20"/>
  <c r="AK74" i="20"/>
  <c r="AJ74" i="20"/>
  <c r="AI74" i="20"/>
  <c r="AH74" i="20"/>
  <c r="AG74" i="20"/>
  <c r="AF74" i="20"/>
  <c r="AE74" i="20"/>
  <c r="AD74" i="20"/>
  <c r="AC74" i="20"/>
  <c r="V74" i="20"/>
  <c r="U74" i="20"/>
  <c r="N74" i="20"/>
  <c r="O74" i="20" s="1"/>
  <c r="G74" i="20"/>
  <c r="H74" i="20" s="1"/>
  <c r="AB74" i="20" s="1"/>
  <c r="E74" i="20"/>
  <c r="D74" i="20"/>
  <c r="C74" i="20"/>
  <c r="AK73" i="20"/>
  <c r="AJ73" i="20"/>
  <c r="AI73" i="20"/>
  <c r="AH73" i="20"/>
  <c r="AG73" i="20"/>
  <c r="AF73" i="20"/>
  <c r="AE73" i="20"/>
  <c r="AD73" i="20"/>
  <c r="AC73" i="20"/>
  <c r="V73" i="20"/>
  <c r="U73" i="20"/>
  <c r="O73" i="20"/>
  <c r="N73" i="20"/>
  <c r="G73" i="20"/>
  <c r="H73" i="20" s="1"/>
  <c r="AB73" i="20" s="1"/>
  <c r="E73" i="20"/>
  <c r="D73" i="20"/>
  <c r="C73" i="20"/>
  <c r="AK72" i="20"/>
  <c r="AJ72" i="20"/>
  <c r="AI72" i="20"/>
  <c r="AH72" i="20"/>
  <c r="AG72" i="20"/>
  <c r="AF72" i="20"/>
  <c r="AE72" i="20"/>
  <c r="AD72" i="20"/>
  <c r="AC72" i="20"/>
  <c r="U72" i="20"/>
  <c r="V72" i="20" s="1"/>
  <c r="O72" i="20"/>
  <c r="N72" i="20"/>
  <c r="G72" i="20"/>
  <c r="H72" i="20" s="1"/>
  <c r="AB72" i="20" s="1"/>
  <c r="E72" i="20"/>
  <c r="D72" i="20"/>
  <c r="C72" i="20"/>
  <c r="AK71" i="20"/>
  <c r="AJ71" i="20"/>
  <c r="AI71" i="20"/>
  <c r="AH71" i="20"/>
  <c r="AG71" i="20"/>
  <c r="AF71" i="20"/>
  <c r="AE71" i="20"/>
  <c r="AD71" i="20"/>
  <c r="AC71" i="20"/>
  <c r="U71" i="20"/>
  <c r="V71" i="20" s="1"/>
  <c r="AB71" i="20" s="1"/>
  <c r="O71" i="20"/>
  <c r="N71" i="20"/>
  <c r="H71" i="20"/>
  <c r="G71" i="20"/>
  <c r="E71" i="20"/>
  <c r="D71" i="20"/>
  <c r="C71" i="20"/>
  <c r="AK70" i="20"/>
  <c r="AJ70" i="20"/>
  <c r="AI70" i="20"/>
  <c r="AH70" i="20"/>
  <c r="AG70" i="20"/>
  <c r="AF70" i="20"/>
  <c r="AE70" i="20"/>
  <c r="AD70" i="20"/>
  <c r="AC70" i="20"/>
  <c r="U70" i="20"/>
  <c r="V70" i="20" s="1"/>
  <c r="N70" i="20"/>
  <c r="O70" i="20" s="1"/>
  <c r="H70" i="20"/>
  <c r="G70" i="20"/>
  <c r="E70" i="20"/>
  <c r="D70" i="20"/>
  <c r="C70" i="20"/>
  <c r="AK69" i="20"/>
  <c r="AJ69" i="20"/>
  <c r="AI69" i="20"/>
  <c r="AH69" i="20"/>
  <c r="AG69" i="20"/>
  <c r="AF69" i="20"/>
  <c r="AE69" i="20"/>
  <c r="AD69" i="20"/>
  <c r="AC69" i="20"/>
  <c r="U69" i="20"/>
  <c r="V69" i="20" s="1"/>
  <c r="N69" i="20"/>
  <c r="O69" i="20" s="1"/>
  <c r="H69" i="20"/>
  <c r="G69" i="20"/>
  <c r="E69" i="20"/>
  <c r="D69" i="20"/>
  <c r="C69" i="20"/>
  <c r="AK68" i="20"/>
  <c r="AJ68" i="20"/>
  <c r="AI68" i="20"/>
  <c r="AH68" i="20"/>
  <c r="AG68" i="20"/>
  <c r="AF68" i="20"/>
  <c r="AE68" i="20"/>
  <c r="AD68" i="20"/>
  <c r="AC68" i="20"/>
  <c r="U68" i="20"/>
  <c r="V68" i="20" s="1"/>
  <c r="N68" i="20"/>
  <c r="O68" i="20" s="1"/>
  <c r="G68" i="20"/>
  <c r="H68" i="20" s="1"/>
  <c r="E68" i="20"/>
  <c r="D68" i="20"/>
  <c r="C68" i="20"/>
  <c r="AK67" i="20"/>
  <c r="AJ67" i="20"/>
  <c r="AI67" i="20"/>
  <c r="AH67" i="20"/>
  <c r="AG67" i="20"/>
  <c r="AF67" i="20"/>
  <c r="AE67" i="20"/>
  <c r="AD67" i="20"/>
  <c r="AC67" i="20"/>
  <c r="V67" i="20"/>
  <c r="U67" i="20"/>
  <c r="N67" i="20"/>
  <c r="O67" i="20" s="1"/>
  <c r="G67" i="20"/>
  <c r="H67" i="20" s="1"/>
  <c r="E67" i="20"/>
  <c r="D67" i="20"/>
  <c r="C67" i="20"/>
  <c r="AK66" i="20"/>
  <c r="AJ66" i="20"/>
  <c r="AI66" i="20"/>
  <c r="AH66" i="20"/>
  <c r="AG66" i="20"/>
  <c r="AF66" i="20"/>
  <c r="AE66" i="20"/>
  <c r="AD66" i="20"/>
  <c r="AC66" i="20"/>
  <c r="V66" i="20"/>
  <c r="U66" i="20"/>
  <c r="N66" i="20"/>
  <c r="O66" i="20" s="1"/>
  <c r="G66" i="20"/>
  <c r="H66" i="20" s="1"/>
  <c r="E66" i="20"/>
  <c r="D66" i="20"/>
  <c r="C66" i="20"/>
  <c r="AK65" i="20"/>
  <c r="AJ65" i="20"/>
  <c r="AI65" i="20"/>
  <c r="AH65" i="20"/>
  <c r="AG65" i="20"/>
  <c r="AF65" i="20"/>
  <c r="AE65" i="20"/>
  <c r="AD65" i="20"/>
  <c r="AC65" i="20"/>
  <c r="V65" i="20"/>
  <c r="U65" i="20"/>
  <c r="O65" i="20"/>
  <c r="N65" i="20"/>
  <c r="G65" i="20"/>
  <c r="H65" i="20" s="1"/>
  <c r="AB65" i="20" s="1"/>
  <c r="E65" i="20"/>
  <c r="D65" i="20"/>
  <c r="C65" i="20"/>
  <c r="AK64" i="20"/>
  <c r="AJ64" i="20"/>
  <c r="AI64" i="20"/>
  <c r="AH64" i="20"/>
  <c r="AG64" i="20"/>
  <c r="AF64" i="20"/>
  <c r="AE64" i="20"/>
  <c r="AD64" i="20"/>
  <c r="AC64" i="20"/>
  <c r="U64" i="20"/>
  <c r="V64" i="20" s="1"/>
  <c r="O64" i="20"/>
  <c r="N64" i="20"/>
  <c r="G64" i="20"/>
  <c r="H64" i="20" s="1"/>
  <c r="AB64" i="20" s="1"/>
  <c r="E64" i="20"/>
  <c r="D64" i="20"/>
  <c r="C64" i="20"/>
  <c r="AK63" i="20"/>
  <c r="AJ63" i="20"/>
  <c r="AI63" i="20"/>
  <c r="AH63" i="20"/>
  <c r="AG63" i="20"/>
  <c r="AF63" i="20"/>
  <c r="AE63" i="20"/>
  <c r="AD63" i="20"/>
  <c r="AC63" i="20"/>
  <c r="U63" i="20"/>
  <c r="V63" i="20" s="1"/>
  <c r="AB63" i="20" s="1"/>
  <c r="O63" i="20"/>
  <c r="N63" i="20"/>
  <c r="H63" i="20"/>
  <c r="G63" i="20"/>
  <c r="E63" i="20"/>
  <c r="D63" i="20"/>
  <c r="C63" i="20"/>
  <c r="AK62" i="20"/>
  <c r="AJ62" i="20"/>
  <c r="AI62" i="20"/>
  <c r="AH62" i="20"/>
  <c r="AG62" i="20"/>
  <c r="AF62" i="20"/>
  <c r="AE62" i="20"/>
  <c r="AD62" i="20"/>
  <c r="AC62" i="20"/>
  <c r="U62" i="20"/>
  <c r="V62" i="20" s="1"/>
  <c r="N62" i="20"/>
  <c r="O62" i="20" s="1"/>
  <c r="H62" i="20"/>
  <c r="G62" i="20"/>
  <c r="E62" i="20"/>
  <c r="D62" i="20"/>
  <c r="C62" i="20"/>
  <c r="AK61" i="20"/>
  <c r="AJ61" i="20"/>
  <c r="AI61" i="20"/>
  <c r="AH61" i="20"/>
  <c r="AG61" i="20"/>
  <c r="AF61" i="20"/>
  <c r="AE61" i="20"/>
  <c r="AD61" i="20"/>
  <c r="AC61" i="20"/>
  <c r="U61" i="20"/>
  <c r="V61" i="20" s="1"/>
  <c r="N61" i="20"/>
  <c r="O61" i="20" s="1"/>
  <c r="H61" i="20"/>
  <c r="G61" i="20"/>
  <c r="E61" i="20"/>
  <c r="D61" i="20"/>
  <c r="C61" i="20"/>
  <c r="AK60" i="20"/>
  <c r="AJ60" i="20"/>
  <c r="AI60" i="20"/>
  <c r="AH60" i="20"/>
  <c r="AG60" i="20"/>
  <c r="AF60" i="20"/>
  <c r="AE60" i="20"/>
  <c r="AD60" i="20"/>
  <c r="AC60" i="20"/>
  <c r="U60" i="20"/>
  <c r="V60" i="20" s="1"/>
  <c r="N60" i="20"/>
  <c r="O60" i="20" s="1"/>
  <c r="G60" i="20"/>
  <c r="H60" i="20" s="1"/>
  <c r="E60" i="20"/>
  <c r="D60" i="20"/>
  <c r="C60" i="20"/>
  <c r="AK59" i="20"/>
  <c r="AJ59" i="20"/>
  <c r="AI59" i="20"/>
  <c r="AH59" i="20"/>
  <c r="AG59" i="20"/>
  <c r="AF59" i="20"/>
  <c r="AE59" i="20"/>
  <c r="AD59" i="20"/>
  <c r="AC59" i="20"/>
  <c r="V59" i="20"/>
  <c r="U59" i="20"/>
  <c r="N59" i="20"/>
  <c r="O59" i="20" s="1"/>
  <c r="G59" i="20"/>
  <c r="H59" i="20" s="1"/>
  <c r="E59" i="20"/>
  <c r="D59" i="20"/>
  <c r="C59" i="20"/>
  <c r="AK58" i="20"/>
  <c r="AJ58" i="20"/>
  <c r="AI58" i="20"/>
  <c r="AH58" i="20"/>
  <c r="AG58" i="20"/>
  <c r="AF58" i="20"/>
  <c r="AE58" i="20"/>
  <c r="AD58" i="20"/>
  <c r="AC58" i="20"/>
  <c r="V58" i="20"/>
  <c r="U58" i="20"/>
  <c r="N58" i="20"/>
  <c r="O58" i="20" s="1"/>
  <c r="G58" i="20"/>
  <c r="H58" i="20" s="1"/>
  <c r="E58" i="20"/>
  <c r="D58" i="20"/>
  <c r="C58" i="20"/>
  <c r="AK57" i="20"/>
  <c r="AJ57" i="20"/>
  <c r="AI57" i="20"/>
  <c r="AH57" i="20"/>
  <c r="AG57" i="20"/>
  <c r="AF57" i="20"/>
  <c r="AE57" i="20"/>
  <c r="AD57" i="20"/>
  <c r="AC57" i="20"/>
  <c r="V57" i="20"/>
  <c r="U57" i="20"/>
  <c r="O57" i="20"/>
  <c r="N57" i="20"/>
  <c r="G57" i="20"/>
  <c r="H57" i="20" s="1"/>
  <c r="AB57" i="20" s="1"/>
  <c r="E57" i="20"/>
  <c r="D57" i="20"/>
  <c r="C57" i="20"/>
  <c r="AK56" i="20"/>
  <c r="AJ56" i="20"/>
  <c r="AI56" i="20"/>
  <c r="AH56" i="20"/>
  <c r="AG56" i="20"/>
  <c r="AF56" i="20"/>
  <c r="AE56" i="20"/>
  <c r="AD56" i="20"/>
  <c r="AC56" i="20"/>
  <c r="U56" i="20"/>
  <c r="V56" i="20" s="1"/>
  <c r="O56" i="20"/>
  <c r="N56" i="20"/>
  <c r="G56" i="20"/>
  <c r="H56" i="20" s="1"/>
  <c r="E56" i="20"/>
  <c r="D56" i="20"/>
  <c r="C56" i="20"/>
  <c r="AK55" i="20"/>
  <c r="AJ55" i="20"/>
  <c r="AI55" i="20"/>
  <c r="AH55" i="20"/>
  <c r="AG55" i="20"/>
  <c r="AF55" i="20"/>
  <c r="AE55" i="20"/>
  <c r="AD55" i="20"/>
  <c r="AC55" i="20"/>
  <c r="AB55" i="20"/>
  <c r="V55" i="20"/>
  <c r="U55" i="20"/>
  <c r="O55" i="20"/>
  <c r="N55" i="20"/>
  <c r="H55" i="20"/>
  <c r="G55" i="20"/>
  <c r="E55" i="20"/>
  <c r="D55" i="20"/>
  <c r="C55" i="20"/>
  <c r="AK54" i="20"/>
  <c r="AJ54" i="20"/>
  <c r="AI54" i="20"/>
  <c r="AH54" i="20"/>
  <c r="AG54" i="20"/>
  <c r="AF54" i="20"/>
  <c r="AE54" i="20"/>
  <c r="AD54" i="20"/>
  <c r="AC54" i="20"/>
  <c r="U54" i="20"/>
  <c r="V54" i="20" s="1"/>
  <c r="N54" i="20"/>
  <c r="O54" i="20" s="1"/>
  <c r="H54" i="20"/>
  <c r="AB54" i="20" s="1"/>
  <c r="G54" i="20"/>
  <c r="E54" i="20"/>
  <c r="D54" i="20"/>
  <c r="C54" i="20"/>
  <c r="AK53" i="20"/>
  <c r="AJ53" i="20"/>
  <c r="AI53" i="20"/>
  <c r="AH53" i="20"/>
  <c r="AG53" i="20"/>
  <c r="AF53" i="20"/>
  <c r="AE53" i="20"/>
  <c r="AD53" i="20"/>
  <c r="AC53" i="20"/>
  <c r="U53" i="20"/>
  <c r="V53" i="20" s="1"/>
  <c r="O53" i="20"/>
  <c r="N53" i="20"/>
  <c r="G53" i="20"/>
  <c r="H53" i="20" s="1"/>
  <c r="E53" i="20"/>
  <c r="D53" i="20"/>
  <c r="C53" i="20"/>
  <c r="AK52" i="20"/>
  <c r="AJ52" i="20"/>
  <c r="AI52" i="20"/>
  <c r="AH52" i="20"/>
  <c r="AG52" i="20"/>
  <c r="AF52" i="20"/>
  <c r="AE52" i="20"/>
  <c r="AD52" i="20"/>
  <c r="AC52" i="20"/>
  <c r="U52" i="20"/>
  <c r="V52" i="20" s="1"/>
  <c r="N52" i="20"/>
  <c r="O52" i="20" s="1"/>
  <c r="G52" i="20"/>
  <c r="H52" i="20" s="1"/>
  <c r="AB52" i="20" s="1"/>
  <c r="E52" i="20"/>
  <c r="D52" i="20"/>
  <c r="C52" i="20"/>
  <c r="AK51" i="20"/>
  <c r="AJ51" i="20"/>
  <c r="AI51" i="20"/>
  <c r="AH51" i="20"/>
  <c r="AG51" i="20"/>
  <c r="AF51" i="20"/>
  <c r="AE51" i="20"/>
  <c r="AD51" i="20"/>
  <c r="AC51" i="20"/>
  <c r="V51" i="20"/>
  <c r="U51" i="20"/>
  <c r="N51" i="20"/>
  <c r="O51" i="20" s="1"/>
  <c r="AB51" i="20" s="1"/>
  <c r="H51" i="20"/>
  <c r="G51" i="20"/>
  <c r="E51" i="20"/>
  <c r="D51" i="20"/>
  <c r="C51" i="20"/>
  <c r="AK50" i="20"/>
  <c r="AJ50" i="20"/>
  <c r="AI50" i="20"/>
  <c r="AH50" i="20"/>
  <c r="AG50" i="20"/>
  <c r="AF50" i="20"/>
  <c r="AE50" i="20"/>
  <c r="AD50" i="20"/>
  <c r="AC50" i="20"/>
  <c r="V50" i="20"/>
  <c r="U50" i="20"/>
  <c r="N50" i="20"/>
  <c r="O50" i="20" s="1"/>
  <c r="G50" i="20"/>
  <c r="H50" i="20" s="1"/>
  <c r="E50" i="20"/>
  <c r="D50" i="20"/>
  <c r="C50" i="20"/>
  <c r="AK49" i="20"/>
  <c r="AJ49" i="20"/>
  <c r="AI49" i="20"/>
  <c r="AH49" i="20"/>
  <c r="AG49" i="20"/>
  <c r="AF49" i="20"/>
  <c r="AE49" i="20"/>
  <c r="AD49" i="20"/>
  <c r="AC49" i="20"/>
  <c r="U49" i="20"/>
  <c r="V49" i="20" s="1"/>
  <c r="O49" i="20"/>
  <c r="N49" i="20"/>
  <c r="G49" i="20"/>
  <c r="H49" i="20" s="1"/>
  <c r="E49" i="20"/>
  <c r="D49" i="20"/>
  <c r="C49" i="20"/>
  <c r="AK48" i="20"/>
  <c r="AJ48" i="20"/>
  <c r="AI48" i="20"/>
  <c r="AH48" i="20"/>
  <c r="AG48" i="20"/>
  <c r="AF48" i="20"/>
  <c r="AE48" i="20"/>
  <c r="AD48" i="20"/>
  <c r="AC48" i="20"/>
  <c r="U48" i="20"/>
  <c r="V48" i="20" s="1"/>
  <c r="O48" i="20"/>
  <c r="N48" i="20"/>
  <c r="G48" i="20"/>
  <c r="H48" i="20" s="1"/>
  <c r="E48" i="20"/>
  <c r="D48" i="20"/>
  <c r="C48" i="20"/>
  <c r="AK47" i="20"/>
  <c r="AJ47" i="20"/>
  <c r="AI47" i="20"/>
  <c r="AH47" i="20"/>
  <c r="AG47" i="20"/>
  <c r="AF47" i="20"/>
  <c r="AE47" i="20"/>
  <c r="AD47" i="20"/>
  <c r="AC47" i="20"/>
  <c r="V47" i="20"/>
  <c r="U47" i="20"/>
  <c r="N47" i="20"/>
  <c r="O47" i="20" s="1"/>
  <c r="AB47" i="20" s="1"/>
  <c r="H47" i="20"/>
  <c r="G47" i="20"/>
  <c r="E47" i="20"/>
  <c r="D47" i="20"/>
  <c r="C47" i="20"/>
  <c r="AK46" i="20"/>
  <c r="AJ46" i="20"/>
  <c r="AI46" i="20"/>
  <c r="AH46" i="20"/>
  <c r="AG46" i="20"/>
  <c r="AF46" i="20"/>
  <c r="AE46" i="20"/>
  <c r="AD46" i="20"/>
  <c r="AC46" i="20"/>
  <c r="V46" i="20"/>
  <c r="U46" i="20"/>
  <c r="N46" i="20"/>
  <c r="O46" i="20" s="1"/>
  <c r="H46" i="20"/>
  <c r="AB46" i="20" s="1"/>
  <c r="G46" i="20"/>
  <c r="E46" i="20"/>
  <c r="D46" i="20"/>
  <c r="C46" i="20"/>
  <c r="AK45" i="20"/>
  <c r="AJ45" i="20"/>
  <c r="AI45" i="20"/>
  <c r="AH45" i="20"/>
  <c r="AG45" i="20"/>
  <c r="AF45" i="20"/>
  <c r="AE45" i="20"/>
  <c r="AD45" i="20"/>
  <c r="AC45" i="20"/>
  <c r="U45" i="20"/>
  <c r="V45" i="20" s="1"/>
  <c r="O45" i="20"/>
  <c r="N45" i="20"/>
  <c r="G45" i="20"/>
  <c r="H45" i="20" s="1"/>
  <c r="AB45" i="20" s="1"/>
  <c r="E45" i="20"/>
  <c r="D45" i="20"/>
  <c r="C45" i="20"/>
  <c r="AK44" i="20"/>
  <c r="AJ44" i="20"/>
  <c r="AI44" i="20"/>
  <c r="AH44" i="20"/>
  <c r="AG44" i="20"/>
  <c r="AF44" i="20"/>
  <c r="AE44" i="20"/>
  <c r="AD44" i="20"/>
  <c r="AC44" i="20"/>
  <c r="U44" i="20"/>
  <c r="V44" i="20" s="1"/>
  <c r="O44" i="20"/>
  <c r="N44" i="20"/>
  <c r="G44" i="20"/>
  <c r="H44" i="20" s="1"/>
  <c r="AB44" i="20" s="1"/>
  <c r="E44" i="20"/>
  <c r="D44" i="20"/>
  <c r="C44" i="20"/>
  <c r="AK43" i="20"/>
  <c r="AJ43" i="20"/>
  <c r="AI43" i="20"/>
  <c r="AH43" i="20"/>
  <c r="AG43" i="20"/>
  <c r="AF43" i="20"/>
  <c r="AE43" i="20"/>
  <c r="AD43" i="20"/>
  <c r="AC43" i="20"/>
  <c r="V43" i="20"/>
  <c r="U43" i="20"/>
  <c r="N43" i="20"/>
  <c r="O43" i="20" s="1"/>
  <c r="AB43" i="20" s="1"/>
  <c r="H43" i="20"/>
  <c r="G43" i="20"/>
  <c r="E43" i="20"/>
  <c r="D43" i="20"/>
  <c r="C43" i="20"/>
  <c r="AK42" i="20"/>
  <c r="AJ42" i="20"/>
  <c r="AI42" i="20"/>
  <c r="AH42" i="20"/>
  <c r="AG42" i="20"/>
  <c r="AF42" i="20"/>
  <c r="AE42" i="20"/>
  <c r="AD42" i="20"/>
  <c r="AC42" i="20"/>
  <c r="V42" i="20"/>
  <c r="U42" i="20"/>
  <c r="N42" i="20"/>
  <c r="O42" i="20" s="1"/>
  <c r="H42" i="20"/>
  <c r="AB42" i="20" s="1"/>
  <c r="G42" i="20"/>
  <c r="E42" i="20"/>
  <c r="D42" i="20"/>
  <c r="C42" i="20"/>
  <c r="AK41" i="20"/>
  <c r="AJ41" i="20"/>
  <c r="AI41" i="20"/>
  <c r="AH41" i="20"/>
  <c r="AG41" i="20"/>
  <c r="AF41" i="20"/>
  <c r="AE41" i="20"/>
  <c r="AD41" i="20"/>
  <c r="AC41" i="20"/>
  <c r="U41" i="20"/>
  <c r="V41" i="20" s="1"/>
  <c r="O41" i="20"/>
  <c r="N41" i="20"/>
  <c r="G41" i="20"/>
  <c r="H41" i="20" s="1"/>
  <c r="AB41" i="20" s="1"/>
  <c r="E41" i="20"/>
  <c r="D41" i="20"/>
  <c r="C41" i="20"/>
  <c r="AK40" i="20"/>
  <c r="AJ40" i="20"/>
  <c r="AI40" i="20"/>
  <c r="AH40" i="20"/>
  <c r="AG40" i="20"/>
  <c r="AF40" i="20"/>
  <c r="AE40" i="20"/>
  <c r="AD40" i="20"/>
  <c r="AC40" i="20"/>
  <c r="U40" i="20"/>
  <c r="V40" i="20" s="1"/>
  <c r="O40" i="20"/>
  <c r="N40" i="20"/>
  <c r="G40" i="20"/>
  <c r="H40" i="20" s="1"/>
  <c r="AB40" i="20" s="1"/>
  <c r="E40" i="20"/>
  <c r="D40" i="20"/>
  <c r="C40" i="20"/>
  <c r="AK39" i="20"/>
  <c r="AJ39" i="20"/>
  <c r="AI39" i="20"/>
  <c r="AH39" i="20"/>
  <c r="AG39" i="20"/>
  <c r="AF39" i="20"/>
  <c r="AE39" i="20"/>
  <c r="AD39" i="20"/>
  <c r="AC39" i="20"/>
  <c r="V39" i="20"/>
  <c r="U39" i="20"/>
  <c r="N39" i="20"/>
  <c r="O39" i="20" s="1"/>
  <c r="AB39" i="20" s="1"/>
  <c r="H39" i="20"/>
  <c r="G39" i="20"/>
  <c r="E39" i="20"/>
  <c r="D39" i="20"/>
  <c r="C39" i="20"/>
  <c r="AK38" i="20"/>
  <c r="AJ38" i="20"/>
  <c r="AI38" i="20"/>
  <c r="AH38" i="20"/>
  <c r="AG38" i="20"/>
  <c r="AF38" i="20"/>
  <c r="AE38" i="20"/>
  <c r="AD38" i="20"/>
  <c r="AC38" i="20"/>
  <c r="V38" i="20"/>
  <c r="U38" i="20"/>
  <c r="N38" i="20"/>
  <c r="O38" i="20" s="1"/>
  <c r="H38" i="20"/>
  <c r="AB38" i="20" s="1"/>
  <c r="G38" i="20"/>
  <c r="E38" i="20"/>
  <c r="D38" i="20"/>
  <c r="C38" i="20"/>
  <c r="AK37" i="20"/>
  <c r="AJ37" i="20"/>
  <c r="AI37" i="20"/>
  <c r="AH37" i="20"/>
  <c r="AG37" i="20"/>
  <c r="AF37" i="20"/>
  <c r="AE37" i="20"/>
  <c r="AD37" i="20"/>
  <c r="AC37" i="20"/>
  <c r="U37" i="20"/>
  <c r="V37" i="20" s="1"/>
  <c r="O37" i="20"/>
  <c r="N37" i="20"/>
  <c r="G37" i="20"/>
  <c r="H37" i="20" s="1"/>
  <c r="E37" i="20"/>
  <c r="D37" i="20"/>
  <c r="C37" i="20"/>
  <c r="AK36" i="20"/>
  <c r="AJ36" i="20"/>
  <c r="AI36" i="20"/>
  <c r="AH36" i="20"/>
  <c r="AG36" i="20"/>
  <c r="AF36" i="20"/>
  <c r="AE36" i="20"/>
  <c r="AD36" i="20"/>
  <c r="AC36" i="20"/>
  <c r="U36" i="20"/>
  <c r="V36" i="20" s="1"/>
  <c r="O36" i="20"/>
  <c r="N36" i="20"/>
  <c r="G36" i="20"/>
  <c r="H36" i="20" s="1"/>
  <c r="E36" i="20"/>
  <c r="D36" i="20"/>
  <c r="C36" i="20"/>
  <c r="AK35" i="20"/>
  <c r="AJ35" i="20"/>
  <c r="AI35" i="20"/>
  <c r="AH35" i="20"/>
  <c r="AG35" i="20"/>
  <c r="AF35" i="20"/>
  <c r="AE35" i="20"/>
  <c r="AD35" i="20"/>
  <c r="AC35" i="20"/>
  <c r="V35" i="20"/>
  <c r="U35" i="20"/>
  <c r="N35" i="20"/>
  <c r="O35" i="20" s="1"/>
  <c r="AB35" i="20" s="1"/>
  <c r="H35" i="20"/>
  <c r="G35" i="20"/>
  <c r="E35" i="20"/>
  <c r="D35" i="20"/>
  <c r="C35" i="20"/>
  <c r="AK34" i="20"/>
  <c r="AJ34" i="20"/>
  <c r="AI34" i="20"/>
  <c r="AH34" i="20"/>
  <c r="AG34" i="20"/>
  <c r="AF34" i="20"/>
  <c r="AE34" i="20"/>
  <c r="AD34" i="20"/>
  <c r="AC34" i="20"/>
  <c r="V34" i="20"/>
  <c r="U34" i="20"/>
  <c r="N34" i="20"/>
  <c r="O34" i="20" s="1"/>
  <c r="H34" i="20"/>
  <c r="G34" i="20"/>
  <c r="E34" i="20"/>
  <c r="D34" i="20"/>
  <c r="C34" i="20"/>
  <c r="D33" i="20"/>
  <c r="C33" i="20"/>
  <c r="D32" i="20"/>
  <c r="C32" i="20"/>
  <c r="AK31" i="20"/>
  <c r="AJ31" i="20"/>
  <c r="AI31" i="20"/>
  <c r="AH31" i="20"/>
  <c r="AG31" i="20"/>
  <c r="AF31" i="20"/>
  <c r="AE31" i="20"/>
  <c r="AD31" i="20"/>
  <c r="AC31" i="20"/>
  <c r="U31" i="20"/>
  <c r="V31" i="20" s="1"/>
  <c r="O31" i="20"/>
  <c r="N31" i="20"/>
  <c r="G31" i="20"/>
  <c r="H31" i="20" s="1"/>
  <c r="E31" i="20"/>
  <c r="D31" i="20"/>
  <c r="C31" i="20"/>
  <c r="AK30" i="20"/>
  <c r="AJ30" i="20"/>
  <c r="AI30" i="20"/>
  <c r="AH30" i="20"/>
  <c r="AG30" i="20"/>
  <c r="AF30" i="20"/>
  <c r="AE30" i="20"/>
  <c r="AD30" i="20"/>
  <c r="AC30" i="20"/>
  <c r="U30" i="20"/>
  <c r="V30" i="20" s="1"/>
  <c r="O30" i="20"/>
  <c r="N30" i="20"/>
  <c r="G30" i="20"/>
  <c r="H30" i="20" s="1"/>
  <c r="E30" i="20"/>
  <c r="D30" i="20"/>
  <c r="C30" i="20"/>
  <c r="AK29" i="20"/>
  <c r="AJ29" i="20"/>
  <c r="AI29" i="20"/>
  <c r="AH29" i="20"/>
  <c r="AG29" i="20"/>
  <c r="AF29" i="20"/>
  <c r="AE29" i="20"/>
  <c r="AD29" i="20"/>
  <c r="AC29" i="20"/>
  <c r="V29" i="20"/>
  <c r="U29" i="20"/>
  <c r="N29" i="20"/>
  <c r="O29" i="20" s="1"/>
  <c r="AB29" i="20" s="1"/>
  <c r="H29" i="20"/>
  <c r="G29" i="20"/>
  <c r="E29" i="20"/>
  <c r="D29" i="20"/>
  <c r="C29" i="20"/>
  <c r="AK28" i="20"/>
  <c r="AJ28" i="20"/>
  <c r="AI28" i="20"/>
  <c r="AH28" i="20"/>
  <c r="AG28" i="20"/>
  <c r="AF28" i="20"/>
  <c r="AE28" i="20"/>
  <c r="AD28" i="20"/>
  <c r="AC28" i="20"/>
  <c r="V28" i="20"/>
  <c r="U28" i="20"/>
  <c r="N28" i="20"/>
  <c r="O28" i="20" s="1"/>
  <c r="H28" i="20"/>
  <c r="AB28" i="20" s="1"/>
  <c r="G28" i="20"/>
  <c r="E28" i="20"/>
  <c r="D28" i="20"/>
  <c r="C28" i="20"/>
  <c r="AK27" i="20"/>
  <c r="AJ27" i="20"/>
  <c r="AI27" i="20"/>
  <c r="AH27" i="20"/>
  <c r="AG27" i="20"/>
  <c r="AF27" i="20"/>
  <c r="AE27" i="20"/>
  <c r="AD27" i="20"/>
  <c r="AC27" i="20"/>
  <c r="AB27" i="20"/>
  <c r="U27" i="20"/>
  <c r="N27" i="20"/>
  <c r="G27" i="20"/>
  <c r="E27" i="20"/>
  <c r="D27" i="20"/>
  <c r="C27" i="20"/>
  <c r="AK26" i="20"/>
  <c r="AJ26" i="20"/>
  <c r="AI26" i="20"/>
  <c r="AH26" i="20"/>
  <c r="AG26" i="20"/>
  <c r="AF26" i="20"/>
  <c r="AE26" i="20"/>
  <c r="AD26" i="20"/>
  <c r="AC26" i="20"/>
  <c r="AB26" i="20"/>
  <c r="U26" i="20"/>
  <c r="N26" i="20"/>
  <c r="G26" i="20"/>
  <c r="E26" i="20"/>
  <c r="D26" i="20"/>
  <c r="C26" i="20"/>
  <c r="AK25" i="20"/>
  <c r="AJ25" i="20"/>
  <c r="AI25" i="20"/>
  <c r="AH25" i="20"/>
  <c r="AG25" i="20"/>
  <c r="AF25" i="20"/>
  <c r="AE25" i="20"/>
  <c r="AD25" i="20"/>
  <c r="AC25" i="20"/>
  <c r="U25" i="20"/>
  <c r="V25" i="20" s="1"/>
  <c r="O25" i="20"/>
  <c r="N25" i="20"/>
  <c r="G25" i="20"/>
  <c r="H25" i="20" s="1"/>
  <c r="E25" i="20"/>
  <c r="D25" i="20"/>
  <c r="C25" i="20"/>
  <c r="AK24" i="20"/>
  <c r="AJ24" i="20"/>
  <c r="AI24" i="20"/>
  <c r="AH24" i="20"/>
  <c r="AG24" i="20"/>
  <c r="AF24" i="20"/>
  <c r="AE24" i="20"/>
  <c r="AD24" i="20"/>
  <c r="AC24" i="20"/>
  <c r="U24" i="20"/>
  <c r="V24" i="20" s="1"/>
  <c r="O24" i="20"/>
  <c r="N24" i="20"/>
  <c r="G24" i="20"/>
  <c r="E24" i="20"/>
  <c r="D24" i="20"/>
  <c r="C24" i="20"/>
  <c r="AK23" i="20"/>
  <c r="AJ23" i="20"/>
  <c r="AI23" i="20"/>
  <c r="AH23" i="20"/>
  <c r="AG23" i="20"/>
  <c r="AF23" i="20"/>
  <c r="AE23" i="20"/>
  <c r="AD23" i="20"/>
  <c r="AC23" i="20"/>
  <c r="AB23" i="20"/>
  <c r="U23" i="20"/>
  <c r="N23" i="20"/>
  <c r="G23" i="20"/>
  <c r="E23" i="20"/>
  <c r="D23" i="20"/>
  <c r="C23" i="20"/>
  <c r="AK22" i="20"/>
  <c r="AJ22" i="20"/>
  <c r="AI22" i="20"/>
  <c r="AH22" i="20"/>
  <c r="AG22" i="20"/>
  <c r="AF22" i="20"/>
  <c r="AE22" i="20"/>
  <c r="AD22" i="20"/>
  <c r="AC22" i="20"/>
  <c r="V22" i="20"/>
  <c r="U22" i="20"/>
  <c r="N22" i="20"/>
  <c r="O22" i="20" s="1"/>
  <c r="H22" i="20"/>
  <c r="G22" i="20"/>
  <c r="E22" i="20"/>
  <c r="D22" i="20"/>
  <c r="C22" i="20"/>
  <c r="AK21" i="20"/>
  <c r="AJ21" i="20"/>
  <c r="AI21" i="20"/>
  <c r="AH21" i="20"/>
  <c r="AG21" i="20"/>
  <c r="AF21" i="20"/>
  <c r="AE21" i="20"/>
  <c r="AD21" i="20"/>
  <c r="AC21" i="20"/>
  <c r="U21" i="20"/>
  <c r="N21" i="20"/>
  <c r="H21" i="20"/>
  <c r="AB21" i="20" s="1"/>
  <c r="G21" i="20"/>
  <c r="E21" i="20"/>
  <c r="D21" i="20"/>
  <c r="C21" i="20"/>
  <c r="AK20" i="20"/>
  <c r="AJ20" i="20"/>
  <c r="AI20" i="20"/>
  <c r="AH20" i="20"/>
  <c r="AG20" i="20"/>
  <c r="AF20" i="20"/>
  <c r="AE20" i="20"/>
  <c r="AD20" i="20"/>
  <c r="AC20" i="20"/>
  <c r="AB20" i="20"/>
  <c r="U20" i="20"/>
  <c r="N20" i="20"/>
  <c r="G20" i="20"/>
  <c r="E20" i="20"/>
  <c r="D20" i="20"/>
  <c r="C20" i="20"/>
  <c r="AK19" i="20"/>
  <c r="AJ19" i="20"/>
  <c r="AI19" i="20"/>
  <c r="AH19" i="20"/>
  <c r="AG19" i="20"/>
  <c r="AF19" i="20"/>
  <c r="AE19" i="20"/>
  <c r="AD19" i="20"/>
  <c r="AC19" i="20"/>
  <c r="V19" i="20"/>
  <c r="U19" i="20"/>
  <c r="N19" i="20"/>
  <c r="O19" i="20" s="1"/>
  <c r="AB19" i="20" s="1"/>
  <c r="G19" i="20"/>
  <c r="E19" i="20"/>
  <c r="D19" i="20"/>
  <c r="C19" i="20"/>
  <c r="AK18" i="20"/>
  <c r="AJ18" i="20"/>
  <c r="AI18" i="20"/>
  <c r="AH18" i="20"/>
  <c r="AG18" i="20"/>
  <c r="AF18" i="20"/>
  <c r="AE18" i="20"/>
  <c r="AD18" i="20"/>
  <c r="AC18" i="20"/>
  <c r="AB18" i="20"/>
  <c r="U18" i="20"/>
  <c r="N18" i="20"/>
  <c r="G18" i="20"/>
  <c r="E18" i="20"/>
  <c r="D18" i="20"/>
  <c r="C18" i="20"/>
  <c r="AK17" i="20"/>
  <c r="AJ17" i="20"/>
  <c r="AI17" i="20"/>
  <c r="AH17" i="20"/>
  <c r="AG17" i="20"/>
  <c r="AF17" i="20"/>
  <c r="AE17" i="20"/>
  <c r="AD17" i="20"/>
  <c r="AC17" i="20"/>
  <c r="U17" i="20"/>
  <c r="N17" i="20"/>
  <c r="H17" i="20"/>
  <c r="AB17" i="20" s="1"/>
  <c r="G17" i="20"/>
  <c r="E17" i="20"/>
  <c r="D17" i="20"/>
  <c r="C17" i="20"/>
  <c r="AK16" i="20"/>
  <c r="AJ16" i="20"/>
  <c r="AI16" i="20"/>
  <c r="AH16" i="20"/>
  <c r="AG16" i="20"/>
  <c r="AF16" i="20"/>
  <c r="AE16" i="20"/>
  <c r="AD16" i="20"/>
  <c r="AC16" i="20"/>
  <c r="U16" i="20"/>
  <c r="V16" i="20" s="1"/>
  <c r="O16" i="20"/>
  <c r="N16" i="20"/>
  <c r="G16" i="20"/>
  <c r="H16" i="20" s="1"/>
  <c r="E16" i="20"/>
  <c r="D16" i="20"/>
  <c r="C16" i="20"/>
  <c r="AK15" i="20"/>
  <c r="AJ15" i="20"/>
  <c r="AI15" i="20"/>
  <c r="AH15" i="20"/>
  <c r="AG15" i="20"/>
  <c r="AF15" i="20"/>
  <c r="AE15" i="20"/>
  <c r="AD15" i="20"/>
  <c r="AC15" i="20"/>
  <c r="AB15" i="20"/>
  <c r="U15" i="20"/>
  <c r="N15" i="20"/>
  <c r="G15" i="20"/>
  <c r="E15" i="20"/>
  <c r="D15" i="20"/>
  <c r="C15" i="20"/>
  <c r="AK14" i="20"/>
  <c r="AJ14" i="20"/>
  <c r="AI14" i="20"/>
  <c r="AH14" i="20"/>
  <c r="AG14" i="20"/>
  <c r="AF14" i="20"/>
  <c r="AE14" i="20"/>
  <c r="AD14" i="20"/>
  <c r="AC14" i="20"/>
  <c r="AB14" i="20"/>
  <c r="U14" i="20"/>
  <c r="N14" i="20"/>
  <c r="G14" i="20"/>
  <c r="E14" i="20"/>
  <c r="D14" i="20"/>
  <c r="C14" i="20"/>
  <c r="AK13" i="20"/>
  <c r="AJ13" i="20"/>
  <c r="AI13" i="20"/>
  <c r="AH13" i="20"/>
  <c r="AG13" i="20"/>
  <c r="AF13" i="20"/>
  <c r="AE13" i="20"/>
  <c r="AD13" i="20"/>
  <c r="AC13" i="20"/>
  <c r="U13" i="20"/>
  <c r="N13" i="20"/>
  <c r="O13" i="20" s="1"/>
  <c r="H13" i="20"/>
  <c r="G13" i="20"/>
  <c r="E13" i="20"/>
  <c r="D13" i="20"/>
  <c r="C13" i="20"/>
  <c r="AK12" i="20"/>
  <c r="AJ12" i="20"/>
  <c r="AI12" i="20"/>
  <c r="AH12" i="20"/>
  <c r="AG12" i="20"/>
  <c r="AF12" i="20"/>
  <c r="AE12" i="20"/>
  <c r="AD12" i="20"/>
  <c r="AC12" i="20"/>
  <c r="AB12" i="20"/>
  <c r="U12" i="20"/>
  <c r="N12" i="20"/>
  <c r="G12" i="20"/>
  <c r="E12" i="20"/>
  <c r="D12" i="20"/>
  <c r="C12" i="20"/>
  <c r="AK11" i="20"/>
  <c r="AJ11" i="20"/>
  <c r="AI11" i="20"/>
  <c r="AH11" i="20"/>
  <c r="AG11" i="20"/>
  <c r="AF11" i="20"/>
  <c r="AE11" i="20"/>
  <c r="AD11" i="20"/>
  <c r="AC11" i="20"/>
  <c r="V11" i="20"/>
  <c r="U11" i="20"/>
  <c r="N11" i="20"/>
  <c r="O11" i="20" s="1"/>
  <c r="H11" i="20"/>
  <c r="G11" i="20"/>
  <c r="E11" i="20"/>
  <c r="D11" i="20"/>
  <c r="C11" i="20"/>
  <c r="AK10" i="20"/>
  <c r="AJ10" i="20"/>
  <c r="AI10" i="20"/>
  <c r="AH10" i="20"/>
  <c r="AG10" i="20"/>
  <c r="AF10" i="20"/>
  <c r="AE10" i="20"/>
  <c r="AD10" i="20"/>
  <c r="AC10" i="20"/>
  <c r="AB10" i="20"/>
  <c r="U10" i="20"/>
  <c r="N10" i="20"/>
  <c r="G10" i="20"/>
  <c r="E10" i="20"/>
  <c r="D10" i="20"/>
  <c r="C10" i="20"/>
  <c r="AK9" i="20"/>
  <c r="AJ9" i="20"/>
  <c r="AI9" i="20"/>
  <c r="AH9" i="20"/>
  <c r="AG9" i="20"/>
  <c r="AF9" i="20"/>
  <c r="AE9" i="20"/>
  <c r="AD9" i="20"/>
  <c r="AC9" i="20"/>
  <c r="AB9" i="20"/>
  <c r="U9" i="20"/>
  <c r="N9" i="20"/>
  <c r="G9" i="20"/>
  <c r="E9" i="20"/>
  <c r="D9" i="20"/>
  <c r="C9" i="20"/>
  <c r="AP8" i="20"/>
  <c r="AO8" i="20"/>
  <c r="AN8" i="20"/>
  <c r="AK8" i="20"/>
  <c r="AJ8" i="20"/>
  <c r="AI8" i="20"/>
  <c r="AH8" i="20"/>
  <c r="AG8" i="20"/>
  <c r="AF8" i="20"/>
  <c r="AE8" i="20"/>
  <c r="AD8" i="20"/>
  <c r="AC8" i="20"/>
  <c r="AB8" i="20"/>
  <c r="U8" i="20"/>
  <c r="N8" i="20"/>
  <c r="G8" i="20"/>
  <c r="E8" i="20"/>
  <c r="D8" i="20"/>
  <c r="C8" i="20"/>
  <c r="AK7" i="20"/>
  <c r="AJ7" i="20"/>
  <c r="AI7" i="20"/>
  <c r="AH7" i="20"/>
  <c r="AG7" i="20"/>
  <c r="AF7" i="20"/>
  <c r="AE7" i="20"/>
  <c r="AD7" i="20"/>
  <c r="AC7" i="20"/>
  <c r="AB7" i="20"/>
  <c r="U7" i="20"/>
  <c r="N7" i="20"/>
  <c r="G7" i="20"/>
  <c r="E7" i="20"/>
  <c r="D7" i="20"/>
  <c r="C7" i="20"/>
  <c r="AK6" i="20"/>
  <c r="AJ6" i="20"/>
  <c r="AI6" i="20"/>
  <c r="AH6" i="20"/>
  <c r="AG6" i="20"/>
  <c r="AF6" i="20"/>
  <c r="AE6" i="20"/>
  <c r="AD6" i="20"/>
  <c r="AC6" i="20"/>
  <c r="AB6" i="20"/>
  <c r="U6" i="20"/>
  <c r="N6" i="20"/>
  <c r="G6" i="20"/>
  <c r="E6" i="20"/>
  <c r="D6" i="20"/>
  <c r="C6" i="20"/>
  <c r="AK5" i="20"/>
  <c r="AJ5" i="20"/>
  <c r="AI5" i="20"/>
  <c r="AH5" i="20"/>
  <c r="AG5" i="20"/>
  <c r="AF5" i="20"/>
  <c r="AE5" i="20"/>
  <c r="AD5" i="20"/>
  <c r="AC5" i="20"/>
  <c r="U5" i="20"/>
  <c r="V5" i="20" s="1"/>
  <c r="AB5" i="20" s="1"/>
  <c r="N5" i="20"/>
  <c r="G5" i="20"/>
  <c r="E5" i="20"/>
  <c r="D5" i="20"/>
  <c r="C5" i="20"/>
  <c r="AK4" i="20"/>
  <c r="AJ4" i="20"/>
  <c r="AI4" i="20"/>
  <c r="AH4" i="20"/>
  <c r="AG4" i="20"/>
  <c r="AF4" i="20"/>
  <c r="AE4" i="20"/>
  <c r="AD4" i="20"/>
  <c r="AC4" i="20"/>
  <c r="U4" i="20"/>
  <c r="V4" i="20" s="1"/>
  <c r="O4" i="20"/>
  <c r="N4" i="20"/>
  <c r="G4" i="20"/>
  <c r="H4" i="20" s="1"/>
  <c r="E4" i="20"/>
  <c r="D4" i="20"/>
  <c r="C4" i="20"/>
  <c r="AK3" i="20"/>
  <c r="AJ3" i="20"/>
  <c r="AI3" i="20"/>
  <c r="AH3" i="20"/>
  <c r="AG3" i="20"/>
  <c r="AF3" i="20"/>
  <c r="AE3" i="20"/>
  <c r="AD3" i="20"/>
  <c r="AC3" i="20"/>
  <c r="AB3" i="20"/>
  <c r="U3" i="20"/>
  <c r="N3" i="20"/>
  <c r="G3" i="20"/>
  <c r="E3" i="20"/>
  <c r="D3" i="20"/>
  <c r="C3" i="20"/>
  <c r="AK2" i="20"/>
  <c r="AJ2" i="20"/>
  <c r="AI2" i="20"/>
  <c r="AH2" i="20"/>
  <c r="AG2" i="20"/>
  <c r="AF2" i="20"/>
  <c r="AE2" i="20"/>
  <c r="AD2" i="20"/>
  <c r="AC2" i="20"/>
  <c r="AB2" i="20"/>
  <c r="U2" i="20"/>
  <c r="N2" i="20"/>
  <c r="G2" i="20"/>
  <c r="E2" i="20"/>
  <c r="D2" i="20"/>
  <c r="C2" i="20"/>
  <c r="H221" i="19"/>
  <c r="I76" i="19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CB256" i="17"/>
  <c r="CB255" i="17"/>
  <c r="CB254" i="17"/>
  <c r="CB253" i="17"/>
  <c r="CB252" i="17"/>
  <c r="CB251" i="17"/>
  <c r="CB250" i="17"/>
  <c r="CB249" i="17"/>
  <c r="CB248" i="17"/>
  <c r="CB247" i="17"/>
  <c r="CB246" i="17"/>
  <c r="CB245" i="17"/>
  <c r="CB244" i="17"/>
  <c r="CB243" i="17"/>
  <c r="CB242" i="17"/>
  <c r="CB241" i="17"/>
  <c r="CB240" i="17"/>
  <c r="CB239" i="17"/>
  <c r="CB238" i="17"/>
  <c r="CB237" i="17"/>
  <c r="CB236" i="17"/>
  <c r="CB235" i="17"/>
  <c r="CB234" i="17"/>
  <c r="CB233" i="17"/>
  <c r="CB232" i="17"/>
  <c r="CB231" i="17"/>
  <c r="CB230" i="17"/>
  <c r="CB229" i="17"/>
  <c r="CB228" i="17"/>
  <c r="CB227" i="17"/>
  <c r="CB226" i="17"/>
  <c r="CB225" i="17"/>
  <c r="CB224" i="17"/>
  <c r="CB223" i="17"/>
  <c r="CB222" i="17"/>
  <c r="CB221" i="17"/>
  <c r="CB220" i="17"/>
  <c r="CB219" i="17"/>
  <c r="CB218" i="17"/>
  <c r="CB217" i="17"/>
  <c r="CB216" i="17"/>
  <c r="CB215" i="17"/>
  <c r="CB214" i="17"/>
  <c r="CB213" i="17"/>
  <c r="CB212" i="17"/>
  <c r="CB211" i="17"/>
  <c r="CB210" i="17"/>
  <c r="CB209" i="17"/>
  <c r="CB208" i="17"/>
  <c r="CB207" i="17"/>
  <c r="CB206" i="17"/>
  <c r="CB205" i="17"/>
  <c r="CB204" i="17"/>
  <c r="CB203" i="17"/>
  <c r="CB202" i="17"/>
  <c r="CB201" i="17"/>
  <c r="CB200" i="17"/>
  <c r="CB199" i="17"/>
  <c r="CB198" i="17"/>
  <c r="CB197" i="17"/>
  <c r="CB196" i="17"/>
  <c r="CB195" i="17"/>
  <c r="CB194" i="17"/>
  <c r="CB193" i="17"/>
  <c r="CB192" i="17"/>
  <c r="CB191" i="17"/>
  <c r="CB190" i="17"/>
  <c r="CB189" i="17"/>
  <c r="CB188" i="17"/>
  <c r="CB187" i="17"/>
  <c r="CB186" i="17"/>
  <c r="CB185" i="17"/>
  <c r="CB184" i="17"/>
  <c r="CB183" i="17"/>
  <c r="CB182" i="17"/>
  <c r="CB181" i="17"/>
  <c r="CB180" i="17"/>
  <c r="CB179" i="17"/>
  <c r="CB178" i="17"/>
  <c r="CB177" i="17"/>
  <c r="CB176" i="17"/>
  <c r="CB175" i="17"/>
  <c r="CB174" i="17"/>
  <c r="BE137" i="17"/>
  <c r="BD137" i="17"/>
  <c r="BC137" i="17" s="1"/>
  <c r="BB137" i="17"/>
  <c r="AU137" i="17"/>
  <c r="AT137" i="17"/>
  <c r="BE136" i="17"/>
  <c r="BD136" i="17"/>
  <c r="BC136" i="17"/>
  <c r="BB136" i="17"/>
  <c r="AU136" i="17"/>
  <c r="AT136" i="17"/>
  <c r="AS136" i="17"/>
  <c r="AD136" i="17"/>
  <c r="Z136" i="17"/>
  <c r="Y136" i="17"/>
  <c r="V136" i="17"/>
  <c r="W136" i="17" s="1"/>
  <c r="S136" i="17"/>
  <c r="R136" i="17"/>
  <c r="AF136" i="17" s="1"/>
  <c r="O136" i="17"/>
  <c r="P136" i="17" s="1"/>
  <c r="N136" i="17"/>
  <c r="L136" i="17"/>
  <c r="M136" i="17" s="1"/>
  <c r="K136" i="17"/>
  <c r="J136" i="17"/>
  <c r="BJ135" i="17"/>
  <c r="BI135" i="17"/>
  <c r="BH135" i="17"/>
  <c r="BG135" i="17"/>
  <c r="BF135" i="17"/>
  <c r="BE135" i="17"/>
  <c r="BD135" i="17"/>
  <c r="BC135" i="17"/>
  <c r="BB135" i="17"/>
  <c r="AU135" i="17"/>
  <c r="AT135" i="17"/>
  <c r="AS135" i="17"/>
  <c r="AQ135" i="17"/>
  <c r="AO135" i="17" s="1"/>
  <c r="AP135" i="17"/>
  <c r="AM135" i="17"/>
  <c r="AK135" i="17" s="1"/>
  <c r="AL135" i="17"/>
  <c r="AJ135" i="17"/>
  <c r="AI135" i="17"/>
  <c r="AG135" i="17"/>
  <c r="AH135" i="17" s="1"/>
  <c r="AD135" i="17"/>
  <c r="AC135" i="17"/>
  <c r="Z135" i="17"/>
  <c r="Y135" i="17"/>
  <c r="V135" i="17"/>
  <c r="U135" i="17"/>
  <c r="T135" i="17"/>
  <c r="S135" i="17"/>
  <c r="Q135" i="17" s="1"/>
  <c r="R135" i="17"/>
  <c r="O135" i="17"/>
  <c r="M135" i="17"/>
  <c r="L135" i="17"/>
  <c r="J135" i="17" s="1"/>
  <c r="K135" i="17"/>
  <c r="D135" i="17"/>
  <c r="C135" i="17"/>
  <c r="F135" i="17" s="1"/>
  <c r="B135" i="17"/>
  <c r="AB130" i="17"/>
  <c r="AA130" i="17"/>
  <c r="BJ129" i="17"/>
  <c r="BI129" i="17"/>
  <c r="BH129" i="17"/>
  <c r="BG129" i="17"/>
  <c r="BF129" i="17"/>
  <c r="BE129" i="17"/>
  <c r="BD129" i="17"/>
  <c r="BC129" i="17" s="1"/>
  <c r="BB129" i="17"/>
  <c r="AX129" i="17"/>
  <c r="AU129" i="17"/>
  <c r="AT129" i="17"/>
  <c r="AW129" i="17" s="1"/>
  <c r="AZ129" i="17" s="1"/>
  <c r="AR129" i="17"/>
  <c r="AQ129" i="17"/>
  <c r="AO129" i="17" s="1"/>
  <c r="AP129" i="17"/>
  <c r="AN129" i="17"/>
  <c r="AM129" i="17"/>
  <c r="AL129" i="17"/>
  <c r="AK129" i="17" s="1"/>
  <c r="AJ129" i="17"/>
  <c r="AF129" i="17"/>
  <c r="AD129" i="17"/>
  <c r="AC129" i="17"/>
  <c r="Z129" i="17"/>
  <c r="Y129" i="17"/>
  <c r="V129" i="17"/>
  <c r="U129" i="17"/>
  <c r="S129" i="17"/>
  <c r="T129" i="17" s="1"/>
  <c r="R129" i="17"/>
  <c r="Q129" i="17"/>
  <c r="O129" i="17"/>
  <c r="L129" i="17"/>
  <c r="K129" i="17"/>
  <c r="H129" i="17"/>
  <c r="F129" i="17"/>
  <c r="E129" i="17"/>
  <c r="D129" i="17"/>
  <c r="C129" i="17"/>
  <c r="B129" i="17"/>
  <c r="A129" i="17"/>
  <c r="BJ128" i="17"/>
  <c r="BI128" i="17"/>
  <c r="BH128" i="17"/>
  <c r="BG128" i="17"/>
  <c r="BF128" i="17"/>
  <c r="BE128" i="17"/>
  <c r="BD128" i="17"/>
  <c r="BC128" i="17" s="1"/>
  <c r="BB128" i="17"/>
  <c r="AX128" i="17"/>
  <c r="AU128" i="17"/>
  <c r="AT128" i="17"/>
  <c r="AW128" i="17" s="1"/>
  <c r="AZ128" i="17" s="1"/>
  <c r="AR128" i="17"/>
  <c r="AQ128" i="17"/>
  <c r="AO128" i="17" s="1"/>
  <c r="AP128" i="17"/>
  <c r="AN128" i="17"/>
  <c r="AM128" i="17"/>
  <c r="AL128" i="17"/>
  <c r="AK128" i="17" s="1"/>
  <c r="AJ128" i="17"/>
  <c r="AF128" i="17"/>
  <c r="AD128" i="17"/>
  <c r="AC128" i="17"/>
  <c r="Z128" i="17"/>
  <c r="Y128" i="17"/>
  <c r="V128" i="17"/>
  <c r="U128" i="17"/>
  <c r="S128" i="17"/>
  <c r="T128" i="17" s="1"/>
  <c r="R128" i="17"/>
  <c r="Q128" i="17"/>
  <c r="O128" i="17"/>
  <c r="L128" i="17"/>
  <c r="K128" i="17"/>
  <c r="H128" i="17"/>
  <c r="F128" i="17"/>
  <c r="E128" i="17"/>
  <c r="D128" i="17"/>
  <c r="C128" i="17"/>
  <c r="B128" i="17"/>
  <c r="A128" i="17"/>
  <c r="BJ127" i="17"/>
  <c r="BI127" i="17"/>
  <c r="BH127" i="17"/>
  <c r="BG127" i="17"/>
  <c r="BF127" i="17"/>
  <c r="BE127" i="17"/>
  <c r="BD127" i="17"/>
  <c r="BC127" i="17" s="1"/>
  <c r="BB127" i="17"/>
  <c r="AX127" i="17"/>
  <c r="AU127" i="17"/>
  <c r="AT127" i="17"/>
  <c r="AR127" i="17"/>
  <c r="AQ127" i="17"/>
  <c r="AO127" i="17" s="1"/>
  <c r="AP127" i="17"/>
  <c r="AN127" i="17"/>
  <c r="AM127" i="17"/>
  <c r="AL127" i="17"/>
  <c r="AK127" i="17" s="1"/>
  <c r="AJ127" i="17"/>
  <c r="AF127" i="17"/>
  <c r="AD127" i="17"/>
  <c r="AC127" i="17"/>
  <c r="Z127" i="17"/>
  <c r="Y127" i="17"/>
  <c r="V127" i="17"/>
  <c r="U127" i="17"/>
  <c r="S127" i="17"/>
  <c r="T127" i="17" s="1"/>
  <c r="R127" i="17"/>
  <c r="Q127" i="17"/>
  <c r="O127" i="17"/>
  <c r="L127" i="17"/>
  <c r="K127" i="17"/>
  <c r="J127" i="17"/>
  <c r="H127" i="17"/>
  <c r="F127" i="17"/>
  <c r="E127" i="17"/>
  <c r="D127" i="17"/>
  <c r="C127" i="17"/>
  <c r="B127" i="17"/>
  <c r="A127" i="17"/>
  <c r="BJ126" i="17"/>
  <c r="BI126" i="17"/>
  <c r="BH126" i="17"/>
  <c r="BG126" i="17"/>
  <c r="BF126" i="17"/>
  <c r="BE126" i="17"/>
  <c r="BD126" i="17"/>
  <c r="BC126" i="17" s="1"/>
  <c r="BB126" i="17"/>
  <c r="AX126" i="17"/>
  <c r="AU126" i="17"/>
  <c r="AT126" i="17"/>
  <c r="AR126" i="17"/>
  <c r="AQ126" i="17"/>
  <c r="AO126" i="17" s="1"/>
  <c r="AP126" i="17"/>
  <c r="AN126" i="17"/>
  <c r="AM126" i="17"/>
  <c r="AL126" i="17"/>
  <c r="AK126" i="17" s="1"/>
  <c r="AJ126" i="17"/>
  <c r="AF126" i="17"/>
  <c r="AD126" i="17"/>
  <c r="AC126" i="17"/>
  <c r="Z126" i="17"/>
  <c r="Y126" i="17"/>
  <c r="V126" i="17"/>
  <c r="S126" i="17"/>
  <c r="T126" i="17" s="1"/>
  <c r="R126" i="17"/>
  <c r="O126" i="17"/>
  <c r="L126" i="17"/>
  <c r="K126" i="17"/>
  <c r="J126" i="17"/>
  <c r="H126" i="17"/>
  <c r="F126" i="17"/>
  <c r="E126" i="17"/>
  <c r="D126" i="17"/>
  <c r="C126" i="17"/>
  <c r="B126" i="17"/>
  <c r="A126" i="17"/>
  <c r="BJ125" i="17"/>
  <c r="BI125" i="17"/>
  <c r="BH125" i="17"/>
  <c r="BG125" i="17"/>
  <c r="BF125" i="17"/>
  <c r="BE125" i="17"/>
  <c r="BD125" i="17"/>
  <c r="BC125" i="17" s="1"/>
  <c r="BB125" i="17"/>
  <c r="AX125" i="17"/>
  <c r="AU125" i="17"/>
  <c r="AT125" i="17"/>
  <c r="AS125" i="17" s="1"/>
  <c r="AV125" i="17" s="1"/>
  <c r="AY125" i="17" s="1"/>
  <c r="AR125" i="17"/>
  <c r="AQ125" i="17"/>
  <c r="AO125" i="17" s="1"/>
  <c r="AP125" i="17"/>
  <c r="AN125" i="17"/>
  <c r="AM125" i="17"/>
  <c r="AL125" i="17"/>
  <c r="AK125" i="17" s="1"/>
  <c r="AJ125" i="17"/>
  <c r="AD125" i="17"/>
  <c r="AC125" i="17"/>
  <c r="Z125" i="17"/>
  <c r="Y125" i="17"/>
  <c r="V125" i="17"/>
  <c r="U125" i="17"/>
  <c r="S125" i="17"/>
  <c r="T125" i="17" s="1"/>
  <c r="R125" i="17"/>
  <c r="AF125" i="17" s="1"/>
  <c r="O125" i="17"/>
  <c r="L125" i="17"/>
  <c r="J125" i="17" s="1"/>
  <c r="K125" i="17"/>
  <c r="H125" i="17"/>
  <c r="F125" i="17"/>
  <c r="E125" i="17"/>
  <c r="D125" i="17"/>
  <c r="C125" i="17"/>
  <c r="B125" i="17"/>
  <c r="A125" i="17"/>
  <c r="BJ124" i="17"/>
  <c r="BI124" i="17"/>
  <c r="BH124" i="17"/>
  <c r="BG124" i="17"/>
  <c r="BF124" i="17"/>
  <c r="BE124" i="17"/>
  <c r="BD124" i="17"/>
  <c r="BC124" i="17" s="1"/>
  <c r="BB124" i="17"/>
  <c r="AX124" i="17"/>
  <c r="AU124" i="17"/>
  <c r="AT124" i="17"/>
  <c r="AS124" i="17"/>
  <c r="AV124" i="17" s="1"/>
  <c r="AY124" i="17" s="1"/>
  <c r="AR124" i="17"/>
  <c r="AQ124" i="17"/>
  <c r="AO124" i="17" s="1"/>
  <c r="AP124" i="17"/>
  <c r="AN124" i="17"/>
  <c r="AM124" i="17"/>
  <c r="AL124" i="17"/>
  <c r="AK124" i="17" s="1"/>
  <c r="AJ124" i="17"/>
  <c r="AD124" i="17"/>
  <c r="AC124" i="17"/>
  <c r="Z124" i="17"/>
  <c r="Y124" i="17"/>
  <c r="V124" i="17"/>
  <c r="S124" i="17"/>
  <c r="T124" i="17" s="1"/>
  <c r="R124" i="17"/>
  <c r="AF124" i="17" s="1"/>
  <c r="O124" i="17"/>
  <c r="L124" i="17"/>
  <c r="K124" i="17"/>
  <c r="J124" i="17"/>
  <c r="H124" i="17"/>
  <c r="F124" i="17"/>
  <c r="E124" i="17"/>
  <c r="D124" i="17"/>
  <c r="C124" i="17"/>
  <c r="B124" i="17"/>
  <c r="A124" i="17"/>
  <c r="BJ123" i="17"/>
  <c r="BI123" i="17"/>
  <c r="BH123" i="17"/>
  <c r="BG123" i="17"/>
  <c r="BF123" i="17"/>
  <c r="BE123" i="17"/>
  <c r="BD123" i="17"/>
  <c r="BC123" i="17" s="1"/>
  <c r="BB123" i="17"/>
  <c r="AX123" i="17"/>
  <c r="AU123" i="17"/>
  <c r="AT123" i="17"/>
  <c r="AS123" i="17" s="1"/>
  <c r="AR123" i="17"/>
  <c r="AQ123" i="17"/>
  <c r="AO123" i="17" s="1"/>
  <c r="AP123" i="17"/>
  <c r="AN123" i="17"/>
  <c r="AM123" i="17"/>
  <c r="AL123" i="17"/>
  <c r="AK123" i="17" s="1"/>
  <c r="AJ123" i="17"/>
  <c r="AD123" i="17"/>
  <c r="AC123" i="17"/>
  <c r="Z123" i="17"/>
  <c r="Y123" i="17"/>
  <c r="V123" i="17"/>
  <c r="S123" i="17"/>
  <c r="T123" i="17" s="1"/>
  <c r="R123" i="17"/>
  <c r="AF123" i="17" s="1"/>
  <c r="O123" i="17"/>
  <c r="L123" i="17"/>
  <c r="K123" i="17"/>
  <c r="H123" i="17"/>
  <c r="F123" i="17"/>
  <c r="E123" i="17"/>
  <c r="D123" i="17"/>
  <c r="C123" i="17"/>
  <c r="B123" i="17"/>
  <c r="A123" i="17"/>
  <c r="BJ122" i="17"/>
  <c r="BI122" i="17"/>
  <c r="BH122" i="17"/>
  <c r="BG122" i="17"/>
  <c r="BF122" i="17"/>
  <c r="BE122" i="17"/>
  <c r="BD122" i="17"/>
  <c r="BC122" i="17" s="1"/>
  <c r="BB122" i="17"/>
  <c r="AX122" i="17"/>
  <c r="AU122" i="17"/>
  <c r="AT122" i="17"/>
  <c r="AS122" i="17"/>
  <c r="AV122" i="17" s="1"/>
  <c r="AY122" i="17" s="1"/>
  <c r="AR122" i="17"/>
  <c r="AQ122" i="17"/>
  <c r="AO122" i="17" s="1"/>
  <c r="AP122" i="17"/>
  <c r="AN122" i="17"/>
  <c r="AM122" i="17"/>
  <c r="AL122" i="17"/>
  <c r="AK122" i="17" s="1"/>
  <c r="AJ122" i="17"/>
  <c r="AF122" i="17"/>
  <c r="AD122" i="17"/>
  <c r="AC122" i="17"/>
  <c r="Z122" i="17"/>
  <c r="AG122" i="17" s="1"/>
  <c r="Y122" i="17"/>
  <c r="V122" i="17"/>
  <c r="U122" i="17"/>
  <c r="S122" i="17"/>
  <c r="T122" i="17" s="1"/>
  <c r="R122" i="17"/>
  <c r="O122" i="17"/>
  <c r="N122" i="17"/>
  <c r="L122" i="17"/>
  <c r="M122" i="17" s="1"/>
  <c r="K122" i="17"/>
  <c r="J122" i="17"/>
  <c r="H122" i="17"/>
  <c r="F122" i="17"/>
  <c r="E122" i="17"/>
  <c r="D122" i="17"/>
  <c r="C122" i="17"/>
  <c r="B122" i="17"/>
  <c r="A122" i="17"/>
  <c r="BJ121" i="17"/>
  <c r="BI121" i="17"/>
  <c r="BH121" i="17"/>
  <c r="BG121" i="17"/>
  <c r="BF121" i="17"/>
  <c r="BE121" i="17"/>
  <c r="BD121" i="17"/>
  <c r="BC121" i="17" s="1"/>
  <c r="BB121" i="17"/>
  <c r="AX121" i="17"/>
  <c r="AU121" i="17"/>
  <c r="AT121" i="17"/>
  <c r="AS121" i="17" s="1"/>
  <c r="AV121" i="17" s="1"/>
  <c r="AY121" i="17" s="1"/>
  <c r="AR121" i="17"/>
  <c r="AQ121" i="17"/>
  <c r="AO121" i="17" s="1"/>
  <c r="AP121" i="17"/>
  <c r="AN121" i="17"/>
  <c r="AM121" i="17"/>
  <c r="AL121" i="17"/>
  <c r="AK121" i="17" s="1"/>
  <c r="AJ121" i="17"/>
  <c r="AF121" i="17"/>
  <c r="AD121" i="17"/>
  <c r="AC121" i="17"/>
  <c r="Z121" i="17"/>
  <c r="Y121" i="17"/>
  <c r="X121" i="17"/>
  <c r="V121" i="17"/>
  <c r="U121" i="17"/>
  <c r="S121" i="17"/>
  <c r="T121" i="17" s="1"/>
  <c r="R121" i="17"/>
  <c r="O121" i="17"/>
  <c r="N121" i="17"/>
  <c r="L121" i="17"/>
  <c r="M121" i="17" s="1"/>
  <c r="K121" i="17"/>
  <c r="J121" i="17"/>
  <c r="H121" i="17"/>
  <c r="F121" i="17"/>
  <c r="E121" i="17"/>
  <c r="D121" i="17"/>
  <c r="C121" i="17"/>
  <c r="B121" i="17"/>
  <c r="A121" i="17"/>
  <c r="BJ120" i="17"/>
  <c r="BI120" i="17"/>
  <c r="BH120" i="17"/>
  <c r="BG120" i="17"/>
  <c r="BF120" i="17"/>
  <c r="BE120" i="17"/>
  <c r="BD120" i="17"/>
  <c r="BC120" i="17" s="1"/>
  <c r="BB120" i="17"/>
  <c r="AU120" i="17"/>
  <c r="AT120" i="17"/>
  <c r="AR120" i="17"/>
  <c r="AQ120" i="17"/>
  <c r="AO120" i="17" s="1"/>
  <c r="AP120" i="17"/>
  <c r="AN120" i="17"/>
  <c r="AM120" i="17"/>
  <c r="AL120" i="17"/>
  <c r="AK120" i="17" s="1"/>
  <c r="AJ120" i="17"/>
  <c r="AF120" i="17"/>
  <c r="AD120" i="17"/>
  <c r="AC120" i="17"/>
  <c r="Z120" i="17"/>
  <c r="Y120" i="17"/>
  <c r="V120" i="17"/>
  <c r="U120" i="17"/>
  <c r="T120" i="17"/>
  <c r="S120" i="17"/>
  <c r="R120" i="17"/>
  <c r="Q120" i="17"/>
  <c r="O120" i="17"/>
  <c r="L120" i="17"/>
  <c r="K120" i="17"/>
  <c r="H120" i="17"/>
  <c r="F120" i="17"/>
  <c r="E120" i="17"/>
  <c r="D120" i="17"/>
  <c r="C120" i="17"/>
  <c r="B120" i="17"/>
  <c r="A120" i="17"/>
  <c r="BJ119" i="17"/>
  <c r="BI119" i="17"/>
  <c r="BH119" i="17"/>
  <c r="BG119" i="17"/>
  <c r="BF119" i="17"/>
  <c r="BE119" i="17"/>
  <c r="BD119" i="17"/>
  <c r="BC119" i="17" s="1"/>
  <c r="BB119" i="17"/>
  <c r="AX119" i="17"/>
  <c r="AU119" i="17"/>
  <c r="AT119" i="17"/>
  <c r="AW119" i="17" s="1"/>
  <c r="AQ119" i="17"/>
  <c r="AO119" i="17" s="1"/>
  <c r="AP119" i="17"/>
  <c r="AM119" i="17"/>
  <c r="AL119" i="17"/>
  <c r="AK119" i="17" s="1"/>
  <c r="AD119" i="17"/>
  <c r="AC119" i="17"/>
  <c r="Z119" i="17"/>
  <c r="AG119" i="17" s="1"/>
  <c r="Y119" i="17"/>
  <c r="X119" i="17"/>
  <c r="V119" i="17"/>
  <c r="T119" i="17"/>
  <c r="S119" i="17"/>
  <c r="U119" i="17" s="1"/>
  <c r="R119" i="17"/>
  <c r="Q119" i="17"/>
  <c r="O119" i="17"/>
  <c r="N119" i="17"/>
  <c r="M119" i="17"/>
  <c r="L119" i="17"/>
  <c r="K119" i="17"/>
  <c r="J119" i="17" s="1"/>
  <c r="D119" i="17"/>
  <c r="C119" i="17"/>
  <c r="F119" i="17" s="1"/>
  <c r="B119" i="17"/>
  <c r="A119" i="17"/>
  <c r="BJ118" i="17"/>
  <c r="BI118" i="17"/>
  <c r="BH118" i="17"/>
  <c r="BG118" i="17"/>
  <c r="BF118" i="17"/>
  <c r="BE118" i="17"/>
  <c r="BC118" i="17" s="1"/>
  <c r="BD118" i="17"/>
  <c r="BB118" i="17"/>
  <c r="AU118" i="17"/>
  <c r="AT118" i="17"/>
  <c r="AS118" i="17" s="1"/>
  <c r="AR118" i="17"/>
  <c r="AQ118" i="17"/>
  <c r="AP118" i="17"/>
  <c r="AN118" i="17"/>
  <c r="AM118" i="17"/>
  <c r="AL118" i="17"/>
  <c r="AK118" i="17" s="1"/>
  <c r="AJ118" i="17"/>
  <c r="AH118" i="17"/>
  <c r="AD118" i="17"/>
  <c r="AC118" i="17"/>
  <c r="Z118" i="17"/>
  <c r="AG118" i="17" s="1"/>
  <c r="AE118" i="17" s="1"/>
  <c r="Y118" i="17"/>
  <c r="AF118" i="17" s="1"/>
  <c r="X118" i="17"/>
  <c r="V118" i="17"/>
  <c r="U118" i="17"/>
  <c r="S118" i="17"/>
  <c r="T118" i="17" s="1"/>
  <c r="R118" i="17"/>
  <c r="Q118" i="17"/>
  <c r="O118" i="17"/>
  <c r="M118" i="17"/>
  <c r="L118" i="17"/>
  <c r="K118" i="17"/>
  <c r="H118" i="17"/>
  <c r="C118" i="17"/>
  <c r="B118" i="17"/>
  <c r="A118" i="17"/>
  <c r="BJ117" i="17"/>
  <c r="BI117" i="17"/>
  <c r="BH117" i="17"/>
  <c r="BG117" i="17"/>
  <c r="BF117" i="17"/>
  <c r="BE117" i="17"/>
  <c r="BC117" i="17" s="1"/>
  <c r="BD117" i="17"/>
  <c r="BB117" i="17"/>
  <c r="AU117" i="17"/>
  <c r="AT117" i="17"/>
  <c r="AR117" i="17"/>
  <c r="AQ117" i="17"/>
  <c r="AP117" i="17"/>
  <c r="AO117" i="17" s="1"/>
  <c r="AN117" i="17"/>
  <c r="AM117" i="17"/>
  <c r="AK117" i="17" s="1"/>
  <c r="AL117" i="17"/>
  <c r="AJ117" i="17"/>
  <c r="AF117" i="17"/>
  <c r="AD117" i="17"/>
  <c r="AC117" i="17"/>
  <c r="Z117" i="17"/>
  <c r="X117" i="17" s="1"/>
  <c r="Y117" i="17"/>
  <c r="V117" i="17"/>
  <c r="S117" i="17"/>
  <c r="AG117" i="17" s="1"/>
  <c r="R117" i="17"/>
  <c r="O117" i="17"/>
  <c r="M117" i="17"/>
  <c r="L117" i="17"/>
  <c r="N117" i="17" s="1"/>
  <c r="K117" i="17"/>
  <c r="J117" i="17"/>
  <c r="H117" i="17"/>
  <c r="C117" i="17"/>
  <c r="B117" i="17"/>
  <c r="A117" i="17"/>
  <c r="BJ116" i="17"/>
  <c r="BI116" i="17"/>
  <c r="BH116" i="17"/>
  <c r="BG116" i="17"/>
  <c r="BF116" i="17"/>
  <c r="BE116" i="17"/>
  <c r="BC116" i="17" s="1"/>
  <c r="BD116" i="17"/>
  <c r="BB116" i="17"/>
  <c r="AV116" i="17"/>
  <c r="AY116" i="17" s="1"/>
  <c r="AU116" i="17"/>
  <c r="AS116" i="17" s="1"/>
  <c r="AT116" i="17"/>
  <c r="AW116" i="17" s="1"/>
  <c r="AR116" i="17"/>
  <c r="AQ116" i="17"/>
  <c r="AO116" i="17" s="1"/>
  <c r="AP116" i="17"/>
  <c r="AN116" i="17"/>
  <c r="AM116" i="17"/>
  <c r="AK116" i="17" s="1"/>
  <c r="AL116" i="17"/>
  <c r="AJ116" i="17"/>
  <c r="AD116" i="17"/>
  <c r="AC116" i="17"/>
  <c r="Z116" i="17"/>
  <c r="AG116" i="17" s="1"/>
  <c r="AI116" i="17" s="1"/>
  <c r="Y116" i="17"/>
  <c r="AF116" i="17" s="1"/>
  <c r="AZ116" i="17" s="1"/>
  <c r="V116" i="17"/>
  <c r="S116" i="17"/>
  <c r="R116" i="17"/>
  <c r="O116" i="17"/>
  <c r="N116" i="17"/>
  <c r="M116" i="17"/>
  <c r="L116" i="17"/>
  <c r="K116" i="17"/>
  <c r="J116" i="17"/>
  <c r="H116" i="17"/>
  <c r="F116" i="17"/>
  <c r="E116" i="17"/>
  <c r="D116" i="17"/>
  <c r="C116" i="17"/>
  <c r="B116" i="17"/>
  <c r="A116" i="17"/>
  <c r="BJ115" i="17"/>
  <c r="BI115" i="17"/>
  <c r="BH115" i="17"/>
  <c r="BG115" i="17"/>
  <c r="BF115" i="17"/>
  <c r="BE115" i="17"/>
  <c r="BD115" i="17"/>
  <c r="BC115" i="17"/>
  <c r="BB115" i="17"/>
  <c r="AU115" i="17"/>
  <c r="AX115" i="17" s="1"/>
  <c r="BA115" i="17" s="1"/>
  <c r="AT115" i="17"/>
  <c r="AW115" i="17" s="1"/>
  <c r="AR115" i="17"/>
  <c r="AQ115" i="17"/>
  <c r="AO115" i="17" s="1"/>
  <c r="AP115" i="17"/>
  <c r="AN115" i="17"/>
  <c r="AM115" i="17"/>
  <c r="AL115" i="17"/>
  <c r="AK115" i="17"/>
  <c r="AJ115" i="17"/>
  <c r="AD115" i="17"/>
  <c r="AC115" i="17"/>
  <c r="Z115" i="17"/>
  <c r="AG115" i="17" s="1"/>
  <c r="Y115" i="17"/>
  <c r="V115" i="17"/>
  <c r="T115" i="17"/>
  <c r="S115" i="17"/>
  <c r="U115" i="17" s="1"/>
  <c r="R115" i="17"/>
  <c r="O115" i="17"/>
  <c r="N115" i="17"/>
  <c r="M115" i="17"/>
  <c r="L115" i="17"/>
  <c r="K115" i="17"/>
  <c r="J115" i="17" s="1"/>
  <c r="H115" i="17"/>
  <c r="F115" i="17"/>
  <c r="E115" i="17"/>
  <c r="D115" i="17"/>
  <c r="C115" i="17"/>
  <c r="B115" i="17"/>
  <c r="A115" i="17"/>
  <c r="BJ114" i="17"/>
  <c r="BI114" i="17"/>
  <c r="BH114" i="17"/>
  <c r="BG114" i="17"/>
  <c r="BF114" i="17"/>
  <c r="BE114" i="17"/>
  <c r="BD114" i="17"/>
  <c r="BC114" i="17"/>
  <c r="BB114" i="17"/>
  <c r="AU114" i="17"/>
  <c r="AS114" i="17" s="1"/>
  <c r="AV114" i="17" s="1"/>
  <c r="AY114" i="17" s="1"/>
  <c r="AT114" i="17"/>
  <c r="AR114" i="17"/>
  <c r="AQ114" i="17"/>
  <c r="AO114" i="17" s="1"/>
  <c r="AP114" i="17"/>
  <c r="AN114" i="17"/>
  <c r="AM114" i="17"/>
  <c r="AK114" i="17" s="1"/>
  <c r="AL114" i="17"/>
  <c r="AJ114" i="17"/>
  <c r="AD114" i="17"/>
  <c r="AH114" i="17" s="1"/>
  <c r="AC114" i="17"/>
  <c r="Z114" i="17"/>
  <c r="AG114" i="17" s="1"/>
  <c r="AI114" i="17" s="1"/>
  <c r="Y114" i="17"/>
  <c r="V114" i="17"/>
  <c r="T114" i="17"/>
  <c r="S114" i="17"/>
  <c r="U114" i="17" s="1"/>
  <c r="R114" i="17"/>
  <c r="Q114" i="17" s="1"/>
  <c r="O114" i="17"/>
  <c r="N114" i="17"/>
  <c r="M114" i="17"/>
  <c r="L114" i="17"/>
  <c r="K114" i="17"/>
  <c r="J114" i="17" s="1"/>
  <c r="H114" i="17"/>
  <c r="F114" i="17"/>
  <c r="E114" i="17"/>
  <c r="D114" i="17"/>
  <c r="C114" i="17"/>
  <c r="B114" i="17"/>
  <c r="A114" i="17"/>
  <c r="BJ113" i="17"/>
  <c r="BI113" i="17"/>
  <c r="BH113" i="17"/>
  <c r="BG113" i="17"/>
  <c r="BF113" i="17"/>
  <c r="BE113" i="17"/>
  <c r="BD113" i="17"/>
  <c r="BC113" i="17"/>
  <c r="BB113" i="17"/>
  <c r="AU113" i="17"/>
  <c r="AT113" i="17"/>
  <c r="AS113" i="17"/>
  <c r="AR113" i="17"/>
  <c r="AQ113" i="17"/>
  <c r="AO113" i="17" s="1"/>
  <c r="AP113" i="17"/>
  <c r="AN113" i="17"/>
  <c r="AM113" i="17"/>
  <c r="AK113" i="17" s="1"/>
  <c r="AL113" i="17"/>
  <c r="AJ113" i="17"/>
  <c r="AD113" i="17"/>
  <c r="Z113" i="17"/>
  <c r="Y113" i="17"/>
  <c r="X113" i="17"/>
  <c r="V113" i="17"/>
  <c r="T113" i="17"/>
  <c r="S113" i="17"/>
  <c r="U113" i="17" s="1"/>
  <c r="R113" i="17"/>
  <c r="P113" i="17"/>
  <c r="O113" i="17"/>
  <c r="L113" i="17"/>
  <c r="K113" i="17"/>
  <c r="J113" i="17"/>
  <c r="I113" i="17"/>
  <c r="AC113" i="17" s="1"/>
  <c r="H113" i="17"/>
  <c r="F113" i="17"/>
  <c r="C113" i="17"/>
  <c r="B113" i="17"/>
  <c r="A113" i="17"/>
  <c r="BJ112" i="17"/>
  <c r="BI112" i="17"/>
  <c r="BH112" i="17"/>
  <c r="BG112" i="17"/>
  <c r="BF112" i="17"/>
  <c r="BE112" i="17"/>
  <c r="BD112" i="17"/>
  <c r="BC112" i="17"/>
  <c r="BB112" i="17"/>
  <c r="AW112" i="17"/>
  <c r="AU112" i="17"/>
  <c r="AT112" i="17"/>
  <c r="AS112" i="17"/>
  <c r="AV112" i="17" s="1"/>
  <c r="AR112" i="17"/>
  <c r="AQ112" i="17"/>
  <c r="AP112" i="17"/>
  <c r="AO112" i="17"/>
  <c r="AN112" i="17"/>
  <c r="AM112" i="17"/>
  <c r="AL112" i="17"/>
  <c r="AK112" i="17"/>
  <c r="AJ112" i="17"/>
  <c r="AG112" i="17"/>
  <c r="AE112" i="17" s="1"/>
  <c r="AF112" i="17"/>
  <c r="AZ112" i="17" s="1"/>
  <c r="AD112" i="17"/>
  <c r="Z112" i="17"/>
  <c r="X112" i="17" s="1"/>
  <c r="Y112" i="17"/>
  <c r="V112" i="17"/>
  <c r="W112" i="17" s="1"/>
  <c r="S112" i="17"/>
  <c r="Q112" i="17" s="1"/>
  <c r="R112" i="17"/>
  <c r="O112" i="17"/>
  <c r="P112" i="17" s="1"/>
  <c r="M112" i="17"/>
  <c r="L112" i="17"/>
  <c r="N112" i="17" s="1"/>
  <c r="K112" i="17"/>
  <c r="J112" i="17"/>
  <c r="I112" i="17"/>
  <c r="AC112" i="17" s="1"/>
  <c r="H112" i="17"/>
  <c r="F112" i="17"/>
  <c r="D112" i="17"/>
  <c r="C112" i="17"/>
  <c r="E112" i="17" s="1"/>
  <c r="B112" i="17"/>
  <c r="A112" i="17"/>
  <c r="BJ111" i="17"/>
  <c r="BI111" i="17"/>
  <c r="BH111" i="17"/>
  <c r="BG111" i="17"/>
  <c r="BF111" i="17"/>
  <c r="BE111" i="17"/>
  <c r="BD111" i="17"/>
  <c r="BC111" i="17"/>
  <c r="BB111" i="17"/>
  <c r="AU111" i="17"/>
  <c r="AT111" i="17"/>
  <c r="AW111" i="17" s="1"/>
  <c r="AR111" i="17"/>
  <c r="AQ111" i="17"/>
  <c r="AO111" i="17" s="1"/>
  <c r="AP111" i="17"/>
  <c r="AN111" i="17"/>
  <c r="AM111" i="17"/>
  <c r="AK111" i="17" s="1"/>
  <c r="AL111" i="17"/>
  <c r="AJ111" i="17"/>
  <c r="AD111" i="17"/>
  <c r="Z111" i="17"/>
  <c r="X111" i="17" s="1"/>
  <c r="Y111" i="17"/>
  <c r="AF111" i="17" s="1"/>
  <c r="V111" i="17"/>
  <c r="W111" i="17" s="1"/>
  <c r="T111" i="17"/>
  <c r="S111" i="17"/>
  <c r="R111" i="17"/>
  <c r="Q111" i="17"/>
  <c r="P111" i="17"/>
  <c r="U111" i="17" s="1"/>
  <c r="O111" i="17"/>
  <c r="L111" i="17"/>
  <c r="AG111" i="17" s="1"/>
  <c r="K111" i="17"/>
  <c r="I111" i="17"/>
  <c r="H111" i="17"/>
  <c r="C111" i="17"/>
  <c r="F111" i="17" s="1"/>
  <c r="B111" i="17"/>
  <c r="A111" i="17"/>
  <c r="BJ110" i="17"/>
  <c r="BI110" i="17"/>
  <c r="BH110" i="17"/>
  <c r="BG110" i="17"/>
  <c r="BF110" i="17"/>
  <c r="BE110" i="17"/>
  <c r="BC110" i="17" s="1"/>
  <c r="BD110" i="17"/>
  <c r="BB110" i="17"/>
  <c r="AW110" i="17"/>
  <c r="AU110" i="17"/>
  <c r="AX110" i="17" s="1"/>
  <c r="AT110" i="17"/>
  <c r="AS110" i="17"/>
  <c r="AR110" i="17"/>
  <c r="AQ110" i="17"/>
  <c r="AO110" i="17" s="1"/>
  <c r="AP110" i="17"/>
  <c r="AN110" i="17"/>
  <c r="AM110" i="17"/>
  <c r="AL110" i="17"/>
  <c r="AK110" i="17"/>
  <c r="AJ110" i="17"/>
  <c r="AD110" i="17"/>
  <c r="Z110" i="17"/>
  <c r="X110" i="17" s="1"/>
  <c r="Y110" i="17"/>
  <c r="W110" i="17"/>
  <c r="V110" i="17"/>
  <c r="S110" i="17"/>
  <c r="Q110" i="17" s="1"/>
  <c r="R110" i="17"/>
  <c r="O110" i="17"/>
  <c r="P110" i="17" s="1"/>
  <c r="L110" i="17"/>
  <c r="N110" i="17" s="1"/>
  <c r="K110" i="17"/>
  <c r="H110" i="17"/>
  <c r="C110" i="17"/>
  <c r="D110" i="17" s="1"/>
  <c r="B110" i="17"/>
  <c r="A110" i="17"/>
  <c r="BJ109" i="17"/>
  <c r="BI109" i="17"/>
  <c r="BH109" i="17"/>
  <c r="BG109" i="17"/>
  <c r="BF109" i="17"/>
  <c r="BE109" i="17"/>
  <c r="BD109" i="17"/>
  <c r="BC109" i="17"/>
  <c r="BB109" i="17"/>
  <c r="AU109" i="17"/>
  <c r="AT109" i="17"/>
  <c r="AW109" i="17" s="1"/>
  <c r="AR109" i="17"/>
  <c r="AQ109" i="17"/>
  <c r="AO109" i="17" s="1"/>
  <c r="AP109" i="17"/>
  <c r="AN109" i="17"/>
  <c r="AM109" i="17"/>
  <c r="AL109" i="17"/>
  <c r="AK109" i="17" s="1"/>
  <c r="AJ109" i="17"/>
  <c r="AD109" i="17"/>
  <c r="AC109" i="17"/>
  <c r="Z109" i="17"/>
  <c r="X109" i="17" s="1"/>
  <c r="Y109" i="17"/>
  <c r="AF109" i="17" s="1"/>
  <c r="V109" i="17"/>
  <c r="S109" i="17"/>
  <c r="T109" i="17" s="1"/>
  <c r="R109" i="17"/>
  <c r="Q109" i="17"/>
  <c r="O109" i="17"/>
  <c r="L109" i="17"/>
  <c r="N109" i="17" s="1"/>
  <c r="K109" i="17"/>
  <c r="H109" i="17"/>
  <c r="E109" i="17"/>
  <c r="C109" i="17"/>
  <c r="D109" i="17" s="1"/>
  <c r="B109" i="17"/>
  <c r="A109" i="17"/>
  <c r="BJ108" i="17"/>
  <c r="BI108" i="17"/>
  <c r="BH108" i="17"/>
  <c r="BG108" i="17"/>
  <c r="BF108" i="17"/>
  <c r="BE108" i="17"/>
  <c r="BD108" i="17"/>
  <c r="BC108" i="17"/>
  <c r="BB108" i="17"/>
  <c r="AU108" i="17"/>
  <c r="AS108" i="17" s="1"/>
  <c r="AV108" i="17" s="1"/>
  <c r="AT108" i="17"/>
  <c r="AW108" i="17" s="1"/>
  <c r="AZ108" i="17" s="1"/>
  <c r="AR108" i="17"/>
  <c r="AQ108" i="17"/>
  <c r="AP108" i="17"/>
  <c r="AO108" i="17"/>
  <c r="AN108" i="17"/>
  <c r="AM108" i="17"/>
  <c r="AK108" i="17" s="1"/>
  <c r="AL108" i="17"/>
  <c r="AJ108" i="17"/>
  <c r="AF108" i="17"/>
  <c r="AD108" i="17"/>
  <c r="AC108" i="17"/>
  <c r="Z108" i="17"/>
  <c r="X108" i="17" s="1"/>
  <c r="Y108" i="17"/>
  <c r="V108" i="17"/>
  <c r="T108" i="17"/>
  <c r="S108" i="17"/>
  <c r="AG108" i="17" s="1"/>
  <c r="R108" i="17"/>
  <c r="Q108" i="17"/>
  <c r="O108" i="17"/>
  <c r="L108" i="17"/>
  <c r="N108" i="17" s="1"/>
  <c r="K108" i="17"/>
  <c r="J108" i="17"/>
  <c r="H108" i="17"/>
  <c r="F108" i="17"/>
  <c r="E108" i="17"/>
  <c r="C108" i="17"/>
  <c r="D108" i="17" s="1"/>
  <c r="B108" i="17"/>
  <c r="A108" i="17"/>
  <c r="BJ107" i="17"/>
  <c r="BI107" i="17"/>
  <c r="BH107" i="17"/>
  <c r="BG107" i="17"/>
  <c r="BF107" i="17"/>
  <c r="BE107" i="17"/>
  <c r="BD107" i="17"/>
  <c r="BC107" i="17"/>
  <c r="BB107" i="17"/>
  <c r="AW107" i="17"/>
  <c r="AU107" i="17"/>
  <c r="AT107" i="17"/>
  <c r="AS107" i="17"/>
  <c r="AV107" i="17" s="1"/>
  <c r="AR107" i="17"/>
  <c r="AQ107" i="17"/>
  <c r="AP107" i="17"/>
  <c r="AO107" i="17"/>
  <c r="AN107" i="17"/>
  <c r="AM107" i="17"/>
  <c r="AL107" i="17"/>
  <c r="AK107" i="17"/>
  <c r="AJ107" i="17"/>
  <c r="AD107" i="17"/>
  <c r="AC107" i="17"/>
  <c r="Z107" i="17"/>
  <c r="AG107" i="17" s="1"/>
  <c r="Y107" i="17"/>
  <c r="AF107" i="17" s="1"/>
  <c r="V107" i="17"/>
  <c r="U107" i="17"/>
  <c r="T107" i="17"/>
  <c r="S107" i="17"/>
  <c r="R107" i="17"/>
  <c r="Q107" i="17"/>
  <c r="O107" i="17"/>
  <c r="M107" i="17"/>
  <c r="L107" i="17"/>
  <c r="N107" i="17" s="1"/>
  <c r="K107" i="17"/>
  <c r="J107" i="17"/>
  <c r="H107" i="17"/>
  <c r="C107" i="17"/>
  <c r="D107" i="17" s="1"/>
  <c r="B107" i="17"/>
  <c r="A107" i="17"/>
  <c r="BJ106" i="17"/>
  <c r="BI106" i="17"/>
  <c r="BH106" i="17"/>
  <c r="BG106" i="17"/>
  <c r="BF106" i="17"/>
  <c r="BE106" i="17"/>
  <c r="BD106" i="17"/>
  <c r="BC106" i="17" s="1"/>
  <c r="BB106" i="17"/>
  <c r="AU106" i="17"/>
  <c r="AS106" i="17" s="1"/>
  <c r="AT106" i="17"/>
  <c r="AW106" i="17" s="1"/>
  <c r="AR106" i="17"/>
  <c r="AQ106" i="17"/>
  <c r="AP106" i="17"/>
  <c r="AO106" i="17"/>
  <c r="AN106" i="17"/>
  <c r="AM106" i="17"/>
  <c r="AK106" i="17" s="1"/>
  <c r="AL106" i="17"/>
  <c r="AJ106" i="17"/>
  <c r="AD106" i="17"/>
  <c r="AC106" i="17"/>
  <c r="Z106" i="17"/>
  <c r="Y106" i="17"/>
  <c r="AF106" i="17" s="1"/>
  <c r="V106" i="17"/>
  <c r="S106" i="17"/>
  <c r="U106" i="17" s="1"/>
  <c r="R106" i="17"/>
  <c r="Q106" i="17" s="1"/>
  <c r="O106" i="17"/>
  <c r="M106" i="17"/>
  <c r="L106" i="17"/>
  <c r="N106" i="17" s="1"/>
  <c r="K106" i="17"/>
  <c r="J106" i="17"/>
  <c r="H106" i="17"/>
  <c r="F106" i="17"/>
  <c r="E106" i="17"/>
  <c r="C106" i="17"/>
  <c r="D106" i="17" s="1"/>
  <c r="B106" i="17"/>
  <c r="A106" i="17"/>
  <c r="BJ105" i="17"/>
  <c r="BI105" i="17"/>
  <c r="BH105" i="17"/>
  <c r="BG105" i="17"/>
  <c r="BF105" i="17"/>
  <c r="BE105" i="17"/>
  <c r="BD105" i="17"/>
  <c r="BC105" i="17" s="1"/>
  <c r="BB105" i="17"/>
  <c r="AU105" i="17"/>
  <c r="AT105" i="17"/>
  <c r="AR105" i="17"/>
  <c r="AQ105" i="17"/>
  <c r="AO105" i="17" s="1"/>
  <c r="AP105" i="17"/>
  <c r="AW105" i="17" s="1"/>
  <c r="AN105" i="17"/>
  <c r="AM105" i="17"/>
  <c r="AK105" i="17" s="1"/>
  <c r="AL105" i="17"/>
  <c r="AJ105" i="17"/>
  <c r="AD105" i="17"/>
  <c r="AC105" i="17"/>
  <c r="Z105" i="17"/>
  <c r="Y105" i="17"/>
  <c r="AF105" i="17" s="1"/>
  <c r="X105" i="17"/>
  <c r="V105" i="17"/>
  <c r="T105" i="17"/>
  <c r="S105" i="17"/>
  <c r="Q105" i="17" s="1"/>
  <c r="R105" i="17"/>
  <c r="O105" i="17"/>
  <c r="N105" i="17"/>
  <c r="M105" i="17"/>
  <c r="L105" i="17"/>
  <c r="K105" i="17"/>
  <c r="J105" i="17" s="1"/>
  <c r="H105" i="17"/>
  <c r="E105" i="17"/>
  <c r="D105" i="17"/>
  <c r="C105" i="17"/>
  <c r="F105" i="17" s="1"/>
  <c r="B105" i="17"/>
  <c r="A105" i="17"/>
  <c r="BJ104" i="17"/>
  <c r="BI104" i="17"/>
  <c r="BH104" i="17"/>
  <c r="BG104" i="17"/>
  <c r="BF104" i="17"/>
  <c r="BE104" i="17"/>
  <c r="BD104" i="17"/>
  <c r="BC104" i="17"/>
  <c r="BB104" i="17"/>
  <c r="AX104" i="17"/>
  <c r="AU104" i="17"/>
  <c r="AS104" i="17" s="1"/>
  <c r="AV104" i="17" s="1"/>
  <c r="AY104" i="17" s="1"/>
  <c r="AT104" i="17"/>
  <c r="AW104" i="17" s="1"/>
  <c r="AZ104" i="17" s="1"/>
  <c r="AR104" i="17"/>
  <c r="AQ104" i="17"/>
  <c r="AO104" i="17" s="1"/>
  <c r="AP104" i="17"/>
  <c r="AN104" i="17"/>
  <c r="AM104" i="17"/>
  <c r="AK104" i="17" s="1"/>
  <c r="AL104" i="17"/>
  <c r="AJ104" i="17"/>
  <c r="AD104" i="17"/>
  <c r="AC104" i="17"/>
  <c r="Z104" i="17"/>
  <c r="Y104" i="17"/>
  <c r="AF104" i="17" s="1"/>
  <c r="X104" i="17"/>
  <c r="V104" i="17"/>
  <c r="T104" i="17"/>
  <c r="S104" i="17"/>
  <c r="Q104" i="17" s="1"/>
  <c r="R104" i="17"/>
  <c r="O104" i="17"/>
  <c r="N104" i="17"/>
  <c r="M104" i="17"/>
  <c r="L104" i="17"/>
  <c r="K104" i="17"/>
  <c r="J104" i="17" s="1"/>
  <c r="H104" i="17"/>
  <c r="E104" i="17"/>
  <c r="D104" i="17"/>
  <c r="C104" i="17"/>
  <c r="F104" i="17" s="1"/>
  <c r="B104" i="17"/>
  <c r="A104" i="17"/>
  <c r="BJ103" i="17"/>
  <c r="BI103" i="17"/>
  <c r="BH103" i="17"/>
  <c r="BG103" i="17"/>
  <c r="BF103" i="17"/>
  <c r="BE103" i="17"/>
  <c r="BD103" i="17"/>
  <c r="BC103" i="17"/>
  <c r="BB103" i="17"/>
  <c r="AX103" i="17"/>
  <c r="AU103" i="17"/>
  <c r="AS103" i="17" s="1"/>
  <c r="AV103" i="17" s="1"/>
  <c r="AY103" i="17" s="1"/>
  <c r="AT103" i="17"/>
  <c r="AW103" i="17" s="1"/>
  <c r="AR103" i="17"/>
  <c r="AQ103" i="17"/>
  <c r="AO103" i="17" s="1"/>
  <c r="AP103" i="17"/>
  <c r="AN103" i="17"/>
  <c r="AM103" i="17"/>
  <c r="AK103" i="17" s="1"/>
  <c r="AL103" i="17"/>
  <c r="AJ103" i="17"/>
  <c r="AD103" i="17"/>
  <c r="AC103" i="17"/>
  <c r="Z103" i="17"/>
  <c r="Y103" i="17"/>
  <c r="AF103" i="17" s="1"/>
  <c r="X103" i="17"/>
  <c r="V103" i="17"/>
  <c r="S103" i="17"/>
  <c r="Q103" i="17" s="1"/>
  <c r="R103" i="17"/>
  <c r="O103" i="17"/>
  <c r="N103" i="17"/>
  <c r="M103" i="17"/>
  <c r="L103" i="17"/>
  <c r="K103" i="17"/>
  <c r="J103" i="17"/>
  <c r="H103" i="17"/>
  <c r="D103" i="17"/>
  <c r="C103" i="17"/>
  <c r="F103" i="17" s="1"/>
  <c r="B103" i="17"/>
  <c r="A103" i="17"/>
  <c r="BJ102" i="17"/>
  <c r="BI102" i="17"/>
  <c r="BH102" i="17"/>
  <c r="BG102" i="17"/>
  <c r="BF102" i="17"/>
  <c r="BE102" i="17"/>
  <c r="BD102" i="17"/>
  <c r="BC102" i="17"/>
  <c r="BB102" i="17"/>
  <c r="AX102" i="17"/>
  <c r="AU102" i="17"/>
  <c r="AS102" i="17" s="1"/>
  <c r="AV102" i="17" s="1"/>
  <c r="AY102" i="17" s="1"/>
  <c r="AT102" i="17"/>
  <c r="AR102" i="17"/>
  <c r="AQ102" i="17"/>
  <c r="AP102" i="17"/>
  <c r="AO102" i="17" s="1"/>
  <c r="AN102" i="17"/>
  <c r="AM102" i="17"/>
  <c r="AK102" i="17" s="1"/>
  <c r="AL102" i="17"/>
  <c r="AJ102" i="17"/>
  <c r="AD102" i="17"/>
  <c r="AC102" i="17"/>
  <c r="Z102" i="17"/>
  <c r="Y102" i="17"/>
  <c r="AF102" i="17" s="1"/>
  <c r="X102" i="17"/>
  <c r="V102" i="17"/>
  <c r="S102" i="17"/>
  <c r="R102" i="17"/>
  <c r="O102" i="17"/>
  <c r="N102" i="17"/>
  <c r="M102" i="17"/>
  <c r="L102" i="17"/>
  <c r="K102" i="17"/>
  <c r="J102" i="17"/>
  <c r="H102" i="17"/>
  <c r="D102" i="17"/>
  <c r="C102" i="17"/>
  <c r="F102" i="17" s="1"/>
  <c r="B102" i="17"/>
  <c r="A102" i="17"/>
  <c r="BJ101" i="17"/>
  <c r="BI101" i="17"/>
  <c r="BH101" i="17"/>
  <c r="BG101" i="17"/>
  <c r="BF101" i="17"/>
  <c r="BE101" i="17"/>
  <c r="BD101" i="17"/>
  <c r="BC101" i="17"/>
  <c r="BB101" i="17"/>
  <c r="AX101" i="17"/>
  <c r="AU101" i="17"/>
  <c r="AT101" i="17"/>
  <c r="AR101" i="17"/>
  <c r="AQ101" i="17"/>
  <c r="AP101" i="17"/>
  <c r="AN101" i="17"/>
  <c r="AM101" i="17"/>
  <c r="AL101" i="17"/>
  <c r="AJ101" i="17"/>
  <c r="AD101" i="17"/>
  <c r="AC101" i="17"/>
  <c r="Z101" i="17"/>
  <c r="Y101" i="17"/>
  <c r="AF101" i="17" s="1"/>
  <c r="X101" i="17"/>
  <c r="V101" i="17"/>
  <c r="S101" i="17"/>
  <c r="R101" i="17"/>
  <c r="O101" i="17"/>
  <c r="N101" i="17"/>
  <c r="M101" i="17"/>
  <c r="L101" i="17"/>
  <c r="K101" i="17"/>
  <c r="J101" i="17"/>
  <c r="H101" i="17"/>
  <c r="E101" i="17"/>
  <c r="D101" i="17"/>
  <c r="C101" i="17"/>
  <c r="F101" i="17" s="1"/>
  <c r="B101" i="17"/>
  <c r="A101" i="17"/>
  <c r="BJ100" i="17"/>
  <c r="BI100" i="17"/>
  <c r="BH100" i="17"/>
  <c r="BG100" i="17"/>
  <c r="BF100" i="17"/>
  <c r="BE100" i="17"/>
  <c r="BD100" i="17"/>
  <c r="BC100" i="17"/>
  <c r="BB100" i="17"/>
  <c r="AX100" i="17"/>
  <c r="AU100" i="17"/>
  <c r="AT100" i="17"/>
  <c r="AR100" i="17"/>
  <c r="AQ100" i="17"/>
  <c r="AP100" i="17"/>
  <c r="AN100" i="17"/>
  <c r="AM100" i="17"/>
  <c r="AL100" i="17"/>
  <c r="AJ100" i="17"/>
  <c r="AD100" i="17"/>
  <c r="AC100" i="17"/>
  <c r="Z100" i="17"/>
  <c r="Y100" i="17"/>
  <c r="AF100" i="17" s="1"/>
  <c r="X100" i="17"/>
  <c r="V100" i="17"/>
  <c r="S100" i="17"/>
  <c r="R100" i="17"/>
  <c r="O100" i="17"/>
  <c r="N100" i="17"/>
  <c r="M100" i="17"/>
  <c r="L100" i="17"/>
  <c r="K100" i="17"/>
  <c r="J100" i="17" s="1"/>
  <c r="H100" i="17"/>
  <c r="E100" i="17"/>
  <c r="D100" i="17"/>
  <c r="C100" i="17"/>
  <c r="F100" i="17" s="1"/>
  <c r="B100" i="17"/>
  <c r="A100" i="17"/>
  <c r="BJ99" i="17"/>
  <c r="BI99" i="17"/>
  <c r="BH99" i="17"/>
  <c r="BG99" i="17"/>
  <c r="BF99" i="17"/>
  <c r="BE99" i="17"/>
  <c r="BD99" i="17"/>
  <c r="BC99" i="17"/>
  <c r="BB99" i="17"/>
  <c r="AU99" i="17"/>
  <c r="AS99" i="17" s="1"/>
  <c r="AT99" i="17"/>
  <c r="AR99" i="17"/>
  <c r="AQ99" i="17"/>
  <c r="AP99" i="17"/>
  <c r="AN99" i="17"/>
  <c r="AM99" i="17"/>
  <c r="AL99" i="17"/>
  <c r="AJ99" i="17"/>
  <c r="AD99" i="17"/>
  <c r="AC99" i="17"/>
  <c r="Z99" i="17"/>
  <c r="Y99" i="17"/>
  <c r="X99" i="17"/>
  <c r="V99" i="17"/>
  <c r="T99" i="17"/>
  <c r="S99" i="17"/>
  <c r="R99" i="17"/>
  <c r="O99" i="17"/>
  <c r="N99" i="17"/>
  <c r="M99" i="17"/>
  <c r="L99" i="17"/>
  <c r="K99" i="17"/>
  <c r="J99" i="17" s="1"/>
  <c r="H99" i="17"/>
  <c r="E99" i="17"/>
  <c r="D99" i="17"/>
  <c r="C99" i="17"/>
  <c r="F99" i="17" s="1"/>
  <c r="B99" i="17"/>
  <c r="A99" i="17"/>
  <c r="BJ98" i="17"/>
  <c r="BI98" i="17"/>
  <c r="BH98" i="17"/>
  <c r="BG98" i="17"/>
  <c r="BF98" i="17"/>
  <c r="BE98" i="17"/>
  <c r="BD98" i="17"/>
  <c r="BC98" i="17"/>
  <c r="BB98" i="17"/>
  <c r="AU98" i="17"/>
  <c r="AT98" i="17"/>
  <c r="AW98" i="17" s="1"/>
  <c r="AZ98" i="17" s="1"/>
  <c r="AR98" i="17"/>
  <c r="AQ98" i="17"/>
  <c r="AO98" i="17" s="1"/>
  <c r="AP98" i="17"/>
  <c r="AN98" i="17"/>
  <c r="AM98" i="17"/>
  <c r="AK98" i="17" s="1"/>
  <c r="AL98" i="17"/>
  <c r="AJ98" i="17"/>
  <c r="AD98" i="17"/>
  <c r="AC98" i="17"/>
  <c r="Z98" i="17"/>
  <c r="Y98" i="17"/>
  <c r="AF98" i="17" s="1"/>
  <c r="X98" i="17"/>
  <c r="V98" i="17"/>
  <c r="T98" i="17"/>
  <c r="S98" i="17"/>
  <c r="R98" i="17"/>
  <c r="O98" i="17"/>
  <c r="N98" i="17"/>
  <c r="M98" i="17"/>
  <c r="L98" i="17"/>
  <c r="K98" i="17"/>
  <c r="J98" i="17"/>
  <c r="H98" i="17"/>
  <c r="E98" i="17"/>
  <c r="D98" i="17"/>
  <c r="C98" i="17"/>
  <c r="F98" i="17" s="1"/>
  <c r="B98" i="17"/>
  <c r="A98" i="17"/>
  <c r="BJ97" i="17"/>
  <c r="BI97" i="17"/>
  <c r="BH97" i="17"/>
  <c r="BG97" i="17"/>
  <c r="BF97" i="17"/>
  <c r="BE97" i="17"/>
  <c r="BD97" i="17"/>
  <c r="BC97" i="17"/>
  <c r="BB97" i="17"/>
  <c r="AX97" i="17"/>
  <c r="AU97" i="17"/>
  <c r="AT97" i="17"/>
  <c r="AR97" i="17"/>
  <c r="AQ97" i="17"/>
  <c r="AP97" i="17"/>
  <c r="AN97" i="17"/>
  <c r="AM97" i="17"/>
  <c r="AL97" i="17"/>
  <c r="AJ97" i="17"/>
  <c r="AD97" i="17"/>
  <c r="Z97" i="17"/>
  <c r="Y97" i="17"/>
  <c r="AF97" i="17" s="1"/>
  <c r="X97" i="17"/>
  <c r="W97" i="17"/>
  <c r="V97" i="17"/>
  <c r="U97" i="17"/>
  <c r="S97" i="17"/>
  <c r="R97" i="17"/>
  <c r="Q97" i="17"/>
  <c r="P97" i="17"/>
  <c r="T97" i="17" s="1"/>
  <c r="O97" i="17"/>
  <c r="L97" i="17"/>
  <c r="K97" i="17"/>
  <c r="H97" i="17"/>
  <c r="I97" i="17" s="1"/>
  <c r="AC97" i="17" s="1"/>
  <c r="D97" i="17"/>
  <c r="C97" i="17"/>
  <c r="B97" i="17"/>
  <c r="A97" i="17"/>
  <c r="BJ96" i="17"/>
  <c r="BI96" i="17"/>
  <c r="BH96" i="17"/>
  <c r="BG96" i="17"/>
  <c r="BF96" i="17"/>
  <c r="BE96" i="17"/>
  <c r="BC96" i="17" s="1"/>
  <c r="BD96" i="17"/>
  <c r="BB96" i="17"/>
  <c r="AX96" i="17"/>
  <c r="BA96" i="17" s="1"/>
  <c r="AU96" i="17"/>
  <c r="AT96" i="17"/>
  <c r="AS96" i="17"/>
  <c r="AR96" i="17"/>
  <c r="AQ96" i="17"/>
  <c r="AP96" i="17"/>
  <c r="AW96" i="17" s="1"/>
  <c r="AZ96" i="17" s="1"/>
  <c r="AO96" i="17"/>
  <c r="AN96" i="17"/>
  <c r="AM96" i="17"/>
  <c r="AL96" i="17"/>
  <c r="AK96" i="17"/>
  <c r="AJ96" i="17"/>
  <c r="AH96" i="17"/>
  <c r="AG96" i="17"/>
  <c r="AD96" i="17"/>
  <c r="AC96" i="17"/>
  <c r="Z96" i="17"/>
  <c r="Y96" i="17"/>
  <c r="AF96" i="17" s="1"/>
  <c r="X96" i="17"/>
  <c r="V96" i="17"/>
  <c r="S96" i="17"/>
  <c r="U96" i="17" s="1"/>
  <c r="R96" i="17"/>
  <c r="O96" i="17"/>
  <c r="N96" i="17"/>
  <c r="M96" i="17"/>
  <c r="L96" i="17"/>
  <c r="K96" i="17"/>
  <c r="J96" i="17"/>
  <c r="H96" i="17"/>
  <c r="C96" i="17"/>
  <c r="B96" i="17"/>
  <c r="A96" i="17"/>
  <c r="BJ95" i="17"/>
  <c r="BI95" i="17"/>
  <c r="BH95" i="17"/>
  <c r="BG95" i="17"/>
  <c r="BF95" i="17"/>
  <c r="BE95" i="17"/>
  <c r="BC95" i="17" s="1"/>
  <c r="BD95" i="17"/>
  <c r="BB95" i="17"/>
  <c r="AX95" i="17"/>
  <c r="AU95" i="17"/>
  <c r="AT95" i="17"/>
  <c r="AS95" i="17"/>
  <c r="AV95" i="17" s="1"/>
  <c r="AY95" i="17" s="1"/>
  <c r="AR95" i="17"/>
  <c r="AQ95" i="17"/>
  <c r="AP95" i="17"/>
  <c r="AO95" i="17" s="1"/>
  <c r="AN95" i="17"/>
  <c r="AM95" i="17"/>
  <c r="AL95" i="17"/>
  <c r="AK95" i="17"/>
  <c r="AJ95" i="17"/>
  <c r="AG95" i="17"/>
  <c r="AD95" i="17"/>
  <c r="AC95" i="17"/>
  <c r="Z95" i="17"/>
  <c r="Y95" i="17"/>
  <c r="X95" i="17"/>
  <c r="V95" i="17"/>
  <c r="S95" i="17"/>
  <c r="R95" i="17"/>
  <c r="O95" i="17"/>
  <c r="N95" i="17"/>
  <c r="M95" i="17"/>
  <c r="L95" i="17"/>
  <c r="K95" i="17"/>
  <c r="J95" i="17"/>
  <c r="H95" i="17"/>
  <c r="D95" i="17"/>
  <c r="C95" i="17"/>
  <c r="B95" i="17"/>
  <c r="A95" i="17"/>
  <c r="BJ94" i="17"/>
  <c r="BI94" i="17"/>
  <c r="BH94" i="17"/>
  <c r="BG94" i="17"/>
  <c r="BF94" i="17"/>
  <c r="BE94" i="17"/>
  <c r="BC94" i="17" s="1"/>
  <c r="BD94" i="17"/>
  <c r="BB94" i="17"/>
  <c r="AX94" i="17"/>
  <c r="AU94" i="17"/>
  <c r="AT94" i="17"/>
  <c r="AS94" i="17" s="1"/>
  <c r="AV94" i="17" s="1"/>
  <c r="AY94" i="17" s="1"/>
  <c r="AR94" i="17"/>
  <c r="AQ94" i="17"/>
  <c r="AP94" i="17"/>
  <c r="AO94" i="17" s="1"/>
  <c r="AN94" i="17"/>
  <c r="AM94" i="17"/>
  <c r="AL94" i="17"/>
  <c r="AK94" i="17" s="1"/>
  <c r="AJ94" i="17"/>
  <c r="AG94" i="17"/>
  <c r="AD94" i="17"/>
  <c r="Z94" i="17"/>
  <c r="Y94" i="17"/>
  <c r="AF94" i="17" s="1"/>
  <c r="X94" i="17"/>
  <c r="W94" i="17"/>
  <c r="AC94" i="17" s="1"/>
  <c r="V94" i="17"/>
  <c r="T94" i="17"/>
  <c r="S94" i="17"/>
  <c r="R94" i="17"/>
  <c r="O94" i="17"/>
  <c r="N94" i="17"/>
  <c r="L94" i="17"/>
  <c r="M94" i="17" s="1"/>
  <c r="K94" i="17"/>
  <c r="J94" i="17"/>
  <c r="H94" i="17"/>
  <c r="F94" i="17"/>
  <c r="E94" i="17"/>
  <c r="D94" i="17"/>
  <c r="C94" i="17"/>
  <c r="B94" i="17"/>
  <c r="A94" i="17"/>
  <c r="BJ93" i="17"/>
  <c r="BI93" i="17"/>
  <c r="BH93" i="17"/>
  <c r="BG93" i="17"/>
  <c r="BF93" i="17"/>
  <c r="BE93" i="17"/>
  <c r="BD93" i="17"/>
  <c r="BC93" i="17"/>
  <c r="BB93" i="17"/>
  <c r="AU93" i="17"/>
  <c r="AT93" i="17"/>
  <c r="AR93" i="17"/>
  <c r="AQ93" i="17"/>
  <c r="AO93" i="17" s="1"/>
  <c r="AP93" i="17"/>
  <c r="AN93" i="17"/>
  <c r="AM93" i="17"/>
  <c r="AK93" i="17" s="1"/>
  <c r="AL93" i="17"/>
  <c r="AJ93" i="17"/>
  <c r="AH93" i="17"/>
  <c r="AD93" i="17"/>
  <c r="AC93" i="17"/>
  <c r="Z93" i="17"/>
  <c r="AG93" i="17" s="1"/>
  <c r="AI93" i="17" s="1"/>
  <c r="Y93" i="17"/>
  <c r="AF93" i="17" s="1"/>
  <c r="V93" i="17"/>
  <c r="T93" i="17"/>
  <c r="S93" i="17"/>
  <c r="R93" i="17"/>
  <c r="O93" i="17"/>
  <c r="N93" i="17"/>
  <c r="L93" i="17"/>
  <c r="M93" i="17" s="1"/>
  <c r="K93" i="17"/>
  <c r="J93" i="17"/>
  <c r="H93" i="17"/>
  <c r="F93" i="17"/>
  <c r="E93" i="17"/>
  <c r="D93" i="17"/>
  <c r="C93" i="17"/>
  <c r="B93" i="17"/>
  <c r="A93" i="17"/>
  <c r="BJ92" i="17"/>
  <c r="BI92" i="17"/>
  <c r="BH92" i="17"/>
  <c r="BG92" i="17"/>
  <c r="BF92" i="17"/>
  <c r="BE92" i="17"/>
  <c r="BD92" i="17"/>
  <c r="BC92" i="17"/>
  <c r="BB92" i="17"/>
  <c r="AU92" i="17"/>
  <c r="AT92" i="17"/>
  <c r="AW92" i="17" s="1"/>
  <c r="AR92" i="17"/>
  <c r="AQ92" i="17"/>
  <c r="AO92" i="17" s="1"/>
  <c r="AP92" i="17"/>
  <c r="AN92" i="17"/>
  <c r="AM92" i="17"/>
  <c r="AK92" i="17" s="1"/>
  <c r="AL92" i="17"/>
  <c r="AJ92" i="17"/>
  <c r="AD92" i="17"/>
  <c r="Z92" i="17"/>
  <c r="Y92" i="17"/>
  <c r="AF92" i="17" s="1"/>
  <c r="V92" i="17"/>
  <c r="W92" i="17" s="1"/>
  <c r="S92" i="17"/>
  <c r="R92" i="17"/>
  <c r="Q92" i="17"/>
  <c r="P92" i="17"/>
  <c r="U92" i="17" s="1"/>
  <c r="O92" i="17"/>
  <c r="L92" i="17"/>
  <c r="K92" i="17"/>
  <c r="I92" i="17"/>
  <c r="H92" i="17"/>
  <c r="C92" i="17"/>
  <c r="B92" i="17"/>
  <c r="A92" i="17"/>
  <c r="BJ91" i="17"/>
  <c r="BI91" i="17"/>
  <c r="BH91" i="17"/>
  <c r="BG91" i="17"/>
  <c r="BF91" i="17"/>
  <c r="BE91" i="17"/>
  <c r="BC91" i="17" s="1"/>
  <c r="BD91" i="17"/>
  <c r="BB91" i="17"/>
  <c r="AX91" i="17"/>
  <c r="BA91" i="17" s="1"/>
  <c r="AU91" i="17"/>
  <c r="AT91" i="17"/>
  <c r="AS91" i="17" s="1"/>
  <c r="AV91" i="17" s="1"/>
  <c r="AY91" i="17" s="1"/>
  <c r="AR91" i="17"/>
  <c r="AQ91" i="17"/>
  <c r="AP91" i="17"/>
  <c r="AO91" i="17" s="1"/>
  <c r="AN91" i="17"/>
  <c r="AM91" i="17"/>
  <c r="AL91" i="17"/>
  <c r="AK91" i="17" s="1"/>
  <c r="AJ91" i="17"/>
  <c r="AG91" i="17"/>
  <c r="AD91" i="17"/>
  <c r="AC91" i="17"/>
  <c r="Z91" i="17"/>
  <c r="Y91" i="17"/>
  <c r="X91" i="17"/>
  <c r="V91" i="17"/>
  <c r="U91" i="17"/>
  <c r="S91" i="17"/>
  <c r="R91" i="17"/>
  <c r="AF91" i="17" s="1"/>
  <c r="O91" i="17"/>
  <c r="N91" i="17"/>
  <c r="M91" i="17"/>
  <c r="L91" i="17"/>
  <c r="K91" i="17"/>
  <c r="J91" i="17"/>
  <c r="H91" i="17"/>
  <c r="C91" i="17"/>
  <c r="F91" i="17" s="1"/>
  <c r="B91" i="17"/>
  <c r="A91" i="17"/>
  <c r="BJ90" i="17"/>
  <c r="BI90" i="17"/>
  <c r="BH90" i="17"/>
  <c r="BG90" i="17"/>
  <c r="BF90" i="17"/>
  <c r="BE90" i="17"/>
  <c r="BC90" i="17" s="1"/>
  <c r="BD90" i="17"/>
  <c r="BB90" i="17"/>
  <c r="AU90" i="17"/>
  <c r="AT90" i="17"/>
  <c r="AS90" i="17" s="1"/>
  <c r="AR90" i="17"/>
  <c r="AQ90" i="17"/>
  <c r="AX90" i="17" s="1"/>
  <c r="AP90" i="17"/>
  <c r="AN90" i="17"/>
  <c r="AM90" i="17"/>
  <c r="AL90" i="17"/>
  <c r="AK90" i="17" s="1"/>
  <c r="AJ90" i="17"/>
  <c r="AD90" i="17"/>
  <c r="AC90" i="17"/>
  <c r="Z90" i="17"/>
  <c r="Y90" i="17"/>
  <c r="AF90" i="17" s="1"/>
  <c r="X90" i="17"/>
  <c r="V90" i="17"/>
  <c r="U90" i="17"/>
  <c r="S90" i="17"/>
  <c r="R90" i="17"/>
  <c r="O90" i="17"/>
  <c r="L90" i="17"/>
  <c r="N90" i="17" s="1"/>
  <c r="K90" i="17"/>
  <c r="H90" i="17"/>
  <c r="E90" i="17"/>
  <c r="D90" i="17"/>
  <c r="C90" i="17"/>
  <c r="F90" i="17" s="1"/>
  <c r="B90" i="17"/>
  <c r="A90" i="17"/>
  <c r="BJ89" i="17"/>
  <c r="BI89" i="17"/>
  <c r="BH89" i="17"/>
  <c r="BG89" i="17"/>
  <c r="BF89" i="17"/>
  <c r="BE89" i="17"/>
  <c r="BD89" i="17"/>
  <c r="BB89" i="17"/>
  <c r="AW89" i="17"/>
  <c r="AZ89" i="17" s="1"/>
  <c r="AU89" i="17"/>
  <c r="AT89" i="17"/>
  <c r="AS89" i="17"/>
  <c r="AV89" i="17" s="1"/>
  <c r="AY89" i="17" s="1"/>
  <c r="AR89" i="17"/>
  <c r="AQ89" i="17"/>
  <c r="AX89" i="17" s="1"/>
  <c r="BA89" i="17" s="1"/>
  <c r="AP89" i="17"/>
  <c r="AO89" i="17"/>
  <c r="AN89" i="17"/>
  <c r="AM89" i="17"/>
  <c r="AL89" i="17"/>
  <c r="AK89" i="17"/>
  <c r="AJ89" i="17"/>
  <c r="AG89" i="17"/>
  <c r="AE89" i="17" s="1"/>
  <c r="AF89" i="17"/>
  <c r="AD89" i="17"/>
  <c r="AC89" i="17"/>
  <c r="Z89" i="17"/>
  <c r="Y89" i="17"/>
  <c r="X89" i="17"/>
  <c r="V89" i="17"/>
  <c r="U89" i="17"/>
  <c r="S89" i="17"/>
  <c r="R89" i="17"/>
  <c r="O89" i="17"/>
  <c r="N89" i="17"/>
  <c r="L89" i="17"/>
  <c r="M89" i="17" s="1"/>
  <c r="K89" i="17"/>
  <c r="J89" i="17"/>
  <c r="H89" i="17"/>
  <c r="C89" i="17"/>
  <c r="F89" i="17" s="1"/>
  <c r="B89" i="17"/>
  <c r="A89" i="17"/>
  <c r="BJ88" i="17"/>
  <c r="BI88" i="17"/>
  <c r="BH88" i="17"/>
  <c r="BG88" i="17"/>
  <c r="BF88" i="17"/>
  <c r="BE88" i="17"/>
  <c r="BC88" i="17" s="1"/>
  <c r="BD88" i="17"/>
  <c r="BB88" i="17"/>
  <c r="AU88" i="17"/>
  <c r="AT88" i="17"/>
  <c r="AS88" i="17"/>
  <c r="AR88" i="17"/>
  <c r="AQ88" i="17"/>
  <c r="AX88" i="17" s="1"/>
  <c r="AP88" i="17"/>
  <c r="AW88" i="17" s="1"/>
  <c r="AZ88" i="17" s="1"/>
  <c r="AN88" i="17"/>
  <c r="AM88" i="17"/>
  <c r="AL88" i="17"/>
  <c r="AK88" i="17"/>
  <c r="AJ88" i="17"/>
  <c r="AD88" i="17"/>
  <c r="AC88" i="17"/>
  <c r="Z88" i="17"/>
  <c r="Y88" i="17"/>
  <c r="X88" i="17"/>
  <c r="V88" i="17"/>
  <c r="S88" i="17"/>
  <c r="R88" i="17"/>
  <c r="AF88" i="17" s="1"/>
  <c r="O88" i="17"/>
  <c r="L88" i="17"/>
  <c r="M88" i="17" s="1"/>
  <c r="K88" i="17"/>
  <c r="H88" i="17"/>
  <c r="E88" i="17"/>
  <c r="C88" i="17"/>
  <c r="F88" i="17" s="1"/>
  <c r="B88" i="17"/>
  <c r="A88" i="17"/>
  <c r="BJ87" i="17"/>
  <c r="BI87" i="17"/>
  <c r="BH87" i="17"/>
  <c r="BG87" i="17"/>
  <c r="BF87" i="17"/>
  <c r="BE87" i="17"/>
  <c r="BC87" i="17" s="1"/>
  <c r="BD87" i="17"/>
  <c r="BB87" i="17"/>
  <c r="AW87" i="17"/>
  <c r="AU87" i="17"/>
  <c r="AT87" i="17"/>
  <c r="AS87" i="17"/>
  <c r="AV87" i="17" s="1"/>
  <c r="AY87" i="17" s="1"/>
  <c r="AR87" i="17"/>
  <c r="AQ87" i="17"/>
  <c r="AX87" i="17" s="1"/>
  <c r="AP87" i="17"/>
  <c r="AO87" i="17"/>
  <c r="AN87" i="17"/>
  <c r="AM87" i="17"/>
  <c r="AL87" i="17"/>
  <c r="AK87" i="17"/>
  <c r="AJ87" i="17"/>
  <c r="AD87" i="17"/>
  <c r="AC87" i="17"/>
  <c r="Z87" i="17"/>
  <c r="Y87" i="17"/>
  <c r="X87" i="17" s="1"/>
  <c r="V87" i="17"/>
  <c r="U87" i="17"/>
  <c r="S87" i="17"/>
  <c r="R87" i="17"/>
  <c r="O87" i="17"/>
  <c r="N87" i="17"/>
  <c r="M87" i="17"/>
  <c r="L87" i="17"/>
  <c r="AG87" i="17" s="1"/>
  <c r="K87" i="17"/>
  <c r="H87" i="17"/>
  <c r="C87" i="17"/>
  <c r="F87" i="17" s="1"/>
  <c r="B87" i="17"/>
  <c r="A87" i="17"/>
  <c r="BJ86" i="17"/>
  <c r="BI86" i="17"/>
  <c r="BH86" i="17"/>
  <c r="BG86" i="17"/>
  <c r="BF86" i="17"/>
  <c r="BE86" i="17"/>
  <c r="BC86" i="17" s="1"/>
  <c r="BD86" i="17"/>
  <c r="BB86" i="17"/>
  <c r="AU86" i="17"/>
  <c r="AT86" i="17"/>
  <c r="AS86" i="17" s="1"/>
  <c r="AR86" i="17"/>
  <c r="AQ86" i="17"/>
  <c r="AX86" i="17" s="1"/>
  <c r="AP86" i="17"/>
  <c r="AN86" i="17"/>
  <c r="AM86" i="17"/>
  <c r="AL86" i="17"/>
  <c r="AK86" i="17" s="1"/>
  <c r="AJ86" i="17"/>
  <c r="AD86" i="17"/>
  <c r="AC86" i="17"/>
  <c r="Z86" i="17"/>
  <c r="Y86" i="17"/>
  <c r="AF86" i="17" s="1"/>
  <c r="X86" i="17"/>
  <c r="V86" i="17"/>
  <c r="U86" i="17"/>
  <c r="S86" i="17"/>
  <c r="R86" i="17"/>
  <c r="O86" i="17"/>
  <c r="N86" i="17"/>
  <c r="L86" i="17"/>
  <c r="M86" i="17" s="1"/>
  <c r="K86" i="17"/>
  <c r="H86" i="17"/>
  <c r="E86" i="17"/>
  <c r="D86" i="17"/>
  <c r="C86" i="17"/>
  <c r="F86" i="17" s="1"/>
  <c r="B86" i="17"/>
  <c r="A86" i="17"/>
  <c r="BJ85" i="17"/>
  <c r="BI85" i="17"/>
  <c r="BH85" i="17"/>
  <c r="BG85" i="17"/>
  <c r="BF85" i="17"/>
  <c r="BE85" i="17"/>
  <c r="BC85" i="17" s="1"/>
  <c r="BD85" i="17"/>
  <c r="BB85" i="17"/>
  <c r="AW85" i="17"/>
  <c r="AZ85" i="17" s="1"/>
  <c r="AU85" i="17"/>
  <c r="AT85" i="17"/>
  <c r="AS85" i="17"/>
  <c r="AR85" i="17"/>
  <c r="AQ85" i="17"/>
  <c r="AX85" i="17" s="1"/>
  <c r="BA85" i="17" s="1"/>
  <c r="AP85" i="17"/>
  <c r="AO85" i="17"/>
  <c r="AV85" i="17" s="1"/>
  <c r="AY85" i="17" s="1"/>
  <c r="AN85" i="17"/>
  <c r="AM85" i="17"/>
  <c r="AL85" i="17"/>
  <c r="AK85" i="17"/>
  <c r="AJ85" i="17"/>
  <c r="AG85" i="17"/>
  <c r="AE85" i="17" s="1"/>
  <c r="AF85" i="17"/>
  <c r="AD85" i="17"/>
  <c r="AC85" i="17"/>
  <c r="Z85" i="17"/>
  <c r="Y85" i="17"/>
  <c r="X85" i="17"/>
  <c r="V85" i="17"/>
  <c r="U85" i="17"/>
  <c r="S85" i="17"/>
  <c r="R85" i="17"/>
  <c r="O85" i="17"/>
  <c r="L85" i="17"/>
  <c r="N85" i="17" s="1"/>
  <c r="K85" i="17"/>
  <c r="J85" i="17"/>
  <c r="H85" i="17"/>
  <c r="E85" i="17"/>
  <c r="C85" i="17"/>
  <c r="F85" i="17" s="1"/>
  <c r="B85" i="17"/>
  <c r="A85" i="17"/>
  <c r="BJ84" i="17"/>
  <c r="BI84" i="17"/>
  <c r="BH84" i="17"/>
  <c r="BG84" i="17"/>
  <c r="BF84" i="17"/>
  <c r="BE84" i="17"/>
  <c r="BC84" i="17" s="1"/>
  <c r="BD84" i="17"/>
  <c r="BB84" i="17"/>
  <c r="AU84" i="17"/>
  <c r="AT84" i="17"/>
  <c r="AS84" i="17"/>
  <c r="AR84" i="17"/>
  <c r="AQ84" i="17"/>
  <c r="AX84" i="17" s="1"/>
  <c r="AP84" i="17"/>
  <c r="AW84" i="17" s="1"/>
  <c r="AZ84" i="17" s="1"/>
  <c r="AN84" i="17"/>
  <c r="AM84" i="17"/>
  <c r="AL84" i="17"/>
  <c r="AK84" i="17"/>
  <c r="AJ84" i="17"/>
  <c r="AD84" i="17"/>
  <c r="AC84" i="17"/>
  <c r="Z84" i="17"/>
  <c r="Y84" i="17"/>
  <c r="X84" i="17"/>
  <c r="V84" i="17"/>
  <c r="U84" i="17"/>
  <c r="S84" i="17"/>
  <c r="R84" i="17"/>
  <c r="AF84" i="17" s="1"/>
  <c r="O84" i="17"/>
  <c r="L84" i="17"/>
  <c r="M84" i="17" s="1"/>
  <c r="K84" i="17"/>
  <c r="H84" i="17"/>
  <c r="C84" i="17"/>
  <c r="F84" i="17" s="1"/>
  <c r="B84" i="17"/>
  <c r="A84" i="17"/>
  <c r="BJ83" i="17"/>
  <c r="BI83" i="17"/>
  <c r="BH83" i="17"/>
  <c r="BG83" i="17"/>
  <c r="BF83" i="17"/>
  <c r="BE83" i="17"/>
  <c r="BD83" i="17"/>
  <c r="BC83" i="17"/>
  <c r="BB83" i="17"/>
  <c r="AX83" i="17"/>
  <c r="AU83" i="17"/>
  <c r="AT83" i="17"/>
  <c r="AS83" i="17" s="1"/>
  <c r="AV83" i="17" s="1"/>
  <c r="AY83" i="17" s="1"/>
  <c r="AQ83" i="17"/>
  <c r="AP83" i="17"/>
  <c r="AO83" i="17"/>
  <c r="AM83" i="17"/>
  <c r="AK83" i="17" s="1"/>
  <c r="AL83" i="17"/>
  <c r="AJ83" i="17"/>
  <c r="AD83" i="17"/>
  <c r="AC83" i="17"/>
  <c r="Z83" i="17"/>
  <c r="Y83" i="17"/>
  <c r="AF83" i="17" s="1"/>
  <c r="V83" i="17"/>
  <c r="U83" i="17"/>
  <c r="S83" i="17"/>
  <c r="T83" i="17" s="1"/>
  <c r="R83" i="17"/>
  <c r="Q83" i="17"/>
  <c r="O83" i="17"/>
  <c r="M83" i="17"/>
  <c r="L83" i="17"/>
  <c r="N83" i="17" s="1"/>
  <c r="K83" i="17"/>
  <c r="F83" i="17"/>
  <c r="E83" i="17"/>
  <c r="D83" i="17"/>
  <c r="C83" i="17"/>
  <c r="B83" i="17"/>
  <c r="A83" i="17"/>
  <c r="BJ82" i="17"/>
  <c r="BI82" i="17"/>
  <c r="BH82" i="17"/>
  <c r="BG82" i="17"/>
  <c r="BF82" i="17"/>
  <c r="BE82" i="17"/>
  <c r="BD82" i="17"/>
  <c r="BC82" i="17" s="1"/>
  <c r="BB82" i="17"/>
  <c r="AU82" i="17"/>
  <c r="AS82" i="17" s="1"/>
  <c r="AV82" i="17" s="1"/>
  <c r="AT82" i="17"/>
  <c r="AR82" i="17"/>
  <c r="AQ82" i="17"/>
  <c r="AO82" i="17" s="1"/>
  <c r="AP82" i="17"/>
  <c r="AN82" i="17"/>
  <c r="AM82" i="17"/>
  <c r="AL82" i="17"/>
  <c r="AK82" i="17" s="1"/>
  <c r="AJ82" i="17"/>
  <c r="AD82" i="17"/>
  <c r="AC82" i="17"/>
  <c r="Z82" i="17"/>
  <c r="AG82" i="17" s="1"/>
  <c r="AI82" i="17" s="1"/>
  <c r="Y82" i="17"/>
  <c r="AF82" i="17" s="1"/>
  <c r="V82" i="17"/>
  <c r="U82" i="17"/>
  <c r="T82" i="17"/>
  <c r="S82" i="17"/>
  <c r="R82" i="17"/>
  <c r="Q82" i="17" s="1"/>
  <c r="O82" i="17"/>
  <c r="L82" i="17"/>
  <c r="M82" i="17" s="1"/>
  <c r="K82" i="17"/>
  <c r="J82" i="17"/>
  <c r="H82" i="17"/>
  <c r="F82" i="17"/>
  <c r="E82" i="17"/>
  <c r="D82" i="17"/>
  <c r="C82" i="17"/>
  <c r="B82" i="17"/>
  <c r="A82" i="17"/>
  <c r="BJ81" i="17"/>
  <c r="BI81" i="17"/>
  <c r="BH81" i="17"/>
  <c r="BG81" i="17"/>
  <c r="BF81" i="17"/>
  <c r="BE81" i="17"/>
  <c r="BD81" i="17"/>
  <c r="BC81" i="17" s="1"/>
  <c r="BB81" i="17"/>
  <c r="AU81" i="17"/>
  <c r="AX81" i="17" s="1"/>
  <c r="AT81" i="17"/>
  <c r="AS81" i="17"/>
  <c r="AR81" i="17"/>
  <c r="AQ81" i="17"/>
  <c r="AO81" i="17" s="1"/>
  <c r="AP81" i="17"/>
  <c r="AN81" i="17"/>
  <c r="AM81" i="17"/>
  <c r="AL81" i="17"/>
  <c r="AK81" i="17" s="1"/>
  <c r="AJ81" i="17"/>
  <c r="AF81" i="17"/>
  <c r="AD81" i="17"/>
  <c r="Z81" i="17"/>
  <c r="Y81" i="17"/>
  <c r="V81" i="17"/>
  <c r="W81" i="17" s="1"/>
  <c r="U81" i="17"/>
  <c r="S81" i="17"/>
  <c r="R81" i="17"/>
  <c r="Q81" i="17" s="1"/>
  <c r="P81" i="17"/>
  <c r="T81" i="17" s="1"/>
  <c r="O81" i="17"/>
  <c r="L81" i="17"/>
  <c r="K81" i="17"/>
  <c r="J81" i="17"/>
  <c r="H81" i="17"/>
  <c r="I81" i="17" s="1"/>
  <c r="D81" i="17"/>
  <c r="C81" i="17"/>
  <c r="F81" i="17" s="1"/>
  <c r="B81" i="17"/>
  <c r="A81" i="17"/>
  <c r="BJ80" i="17"/>
  <c r="BI80" i="17"/>
  <c r="BH80" i="17"/>
  <c r="BG80" i="17"/>
  <c r="BF80" i="17"/>
  <c r="BE80" i="17"/>
  <c r="BC80" i="17" s="1"/>
  <c r="BD80" i="17"/>
  <c r="BB80" i="17"/>
  <c r="AW80" i="17"/>
  <c r="AU80" i="17"/>
  <c r="AX80" i="17" s="1"/>
  <c r="AT80" i="17"/>
  <c r="AR80" i="17"/>
  <c r="AQ80" i="17"/>
  <c r="AP80" i="17"/>
  <c r="AO80" i="17"/>
  <c r="AN80" i="17"/>
  <c r="AM80" i="17"/>
  <c r="AK80" i="17" s="1"/>
  <c r="AL80" i="17"/>
  <c r="AJ80" i="17"/>
  <c r="AD80" i="17"/>
  <c r="AC80" i="17"/>
  <c r="Z80" i="17"/>
  <c r="Y80" i="17"/>
  <c r="X80" i="17" s="1"/>
  <c r="V80" i="17"/>
  <c r="S80" i="17"/>
  <c r="Q80" i="17" s="1"/>
  <c r="R80" i="17"/>
  <c r="O80" i="17"/>
  <c r="L80" i="17"/>
  <c r="M80" i="17" s="1"/>
  <c r="K80" i="17"/>
  <c r="AF80" i="17" s="1"/>
  <c r="H80" i="17"/>
  <c r="C80" i="17"/>
  <c r="F80" i="17" s="1"/>
  <c r="B80" i="17"/>
  <c r="A80" i="17"/>
  <c r="BJ79" i="17"/>
  <c r="BI79" i="17"/>
  <c r="BH79" i="17"/>
  <c r="BG79" i="17"/>
  <c r="BF79" i="17"/>
  <c r="BE79" i="17"/>
  <c r="BD79" i="17"/>
  <c r="BC79" i="17"/>
  <c r="BB79" i="17"/>
  <c r="AU79" i="17"/>
  <c r="AT79" i="17"/>
  <c r="AS79" i="17" s="1"/>
  <c r="AV79" i="17" s="1"/>
  <c r="AY79" i="17" s="1"/>
  <c r="AR79" i="17"/>
  <c r="AQ79" i="17"/>
  <c r="AX79" i="17" s="1"/>
  <c r="AP79" i="17"/>
  <c r="AN79" i="17"/>
  <c r="AM79" i="17"/>
  <c r="AL79" i="17"/>
  <c r="AK79" i="17" s="1"/>
  <c r="AJ79" i="17"/>
  <c r="AD79" i="17"/>
  <c r="AC79" i="17"/>
  <c r="Z79" i="17"/>
  <c r="Y79" i="17"/>
  <c r="X79" i="17" s="1"/>
  <c r="V79" i="17"/>
  <c r="S79" i="17"/>
  <c r="Q79" i="17" s="1"/>
  <c r="R79" i="17"/>
  <c r="O79" i="17"/>
  <c r="N79" i="17"/>
  <c r="M79" i="17"/>
  <c r="L79" i="17"/>
  <c r="K79" i="17"/>
  <c r="J79" i="17" s="1"/>
  <c r="H79" i="17"/>
  <c r="C79" i="17"/>
  <c r="F79" i="17" s="1"/>
  <c r="B79" i="17"/>
  <c r="A79" i="17"/>
  <c r="BJ78" i="17"/>
  <c r="BI78" i="17"/>
  <c r="BH78" i="17"/>
  <c r="BG78" i="17"/>
  <c r="BF78" i="17"/>
  <c r="BE78" i="17"/>
  <c r="BC78" i="17" s="1"/>
  <c r="BD78" i="17"/>
  <c r="BB78" i="17"/>
  <c r="AU78" i="17"/>
  <c r="AT78" i="17"/>
  <c r="AS78" i="17"/>
  <c r="AR78" i="17"/>
  <c r="AQ78" i="17"/>
  <c r="AX78" i="17" s="1"/>
  <c r="BA78" i="17" s="1"/>
  <c r="AP78" i="17"/>
  <c r="AW78" i="17" s="1"/>
  <c r="AN78" i="17"/>
  <c r="AM78" i="17"/>
  <c r="AL78" i="17"/>
  <c r="AK78" i="17"/>
  <c r="AJ78" i="17"/>
  <c r="AD78" i="17"/>
  <c r="AC78" i="17"/>
  <c r="Z78" i="17"/>
  <c r="Y78" i="17"/>
  <c r="X78" i="17" s="1"/>
  <c r="V78" i="17"/>
  <c r="U78" i="17"/>
  <c r="T78" i="17"/>
  <c r="S78" i="17"/>
  <c r="R78" i="17"/>
  <c r="O78" i="17"/>
  <c r="N78" i="17"/>
  <c r="M78" i="17"/>
  <c r="L78" i="17"/>
  <c r="AG78" i="17" s="1"/>
  <c r="K78" i="17"/>
  <c r="J78" i="17" s="1"/>
  <c r="H78" i="17"/>
  <c r="C78" i="17"/>
  <c r="F78" i="17" s="1"/>
  <c r="B78" i="17"/>
  <c r="A78" i="17"/>
  <c r="BJ77" i="17"/>
  <c r="BI77" i="17"/>
  <c r="BH77" i="17"/>
  <c r="BG77" i="17"/>
  <c r="BF77" i="17"/>
  <c r="BE77" i="17"/>
  <c r="BC77" i="17" s="1"/>
  <c r="BD77" i="17"/>
  <c r="BB77" i="17"/>
  <c r="AX77" i="17"/>
  <c r="AU77" i="17"/>
  <c r="AT77" i="17"/>
  <c r="AW77" i="17" s="1"/>
  <c r="AZ77" i="17" s="1"/>
  <c r="AS77" i="17"/>
  <c r="AR77" i="17"/>
  <c r="AQ77" i="17"/>
  <c r="AO77" i="17" s="1"/>
  <c r="AV77" i="17" s="1"/>
  <c r="AP77" i="17"/>
  <c r="AN77" i="17"/>
  <c r="AM77" i="17"/>
  <c r="AL77" i="17"/>
  <c r="AK77" i="17"/>
  <c r="AJ77" i="17"/>
  <c r="AF77" i="17"/>
  <c r="AD77" i="17"/>
  <c r="AC77" i="17"/>
  <c r="Z77" i="17"/>
  <c r="AG77" i="17" s="1"/>
  <c r="Y77" i="17"/>
  <c r="X77" i="17"/>
  <c r="V77" i="17"/>
  <c r="U77" i="17"/>
  <c r="T77" i="17"/>
  <c r="S77" i="17"/>
  <c r="Q77" i="17" s="1"/>
  <c r="R77" i="17"/>
  <c r="O77" i="17"/>
  <c r="L77" i="17"/>
  <c r="M77" i="17" s="1"/>
  <c r="K77" i="17"/>
  <c r="H77" i="17"/>
  <c r="F77" i="17"/>
  <c r="E77" i="17"/>
  <c r="D77" i="17"/>
  <c r="C77" i="17"/>
  <c r="B77" i="17"/>
  <c r="A77" i="17"/>
  <c r="BJ76" i="17"/>
  <c r="BI76" i="17"/>
  <c r="BH76" i="17"/>
  <c r="BG76" i="17"/>
  <c r="BF76" i="17"/>
  <c r="BE76" i="17"/>
  <c r="BD76" i="17"/>
  <c r="BC76" i="17" s="1"/>
  <c r="BB76" i="17"/>
  <c r="AX76" i="17"/>
  <c r="AU76" i="17"/>
  <c r="AT76" i="17"/>
  <c r="AW76" i="17" s="1"/>
  <c r="AZ76" i="17" s="1"/>
  <c r="AS76" i="17"/>
  <c r="AR76" i="17"/>
  <c r="AQ76" i="17"/>
  <c r="AO76" i="17" s="1"/>
  <c r="AV76" i="17" s="1"/>
  <c r="AP76" i="17"/>
  <c r="AN76" i="17"/>
  <c r="AM76" i="17"/>
  <c r="AL76" i="17"/>
  <c r="AK76" i="17"/>
  <c r="AJ76" i="17"/>
  <c r="AF76" i="17"/>
  <c r="AD76" i="17"/>
  <c r="Z76" i="17"/>
  <c r="AG76" i="17" s="1"/>
  <c r="Y76" i="17"/>
  <c r="X76" i="17"/>
  <c r="V76" i="17"/>
  <c r="W76" i="17" s="1"/>
  <c r="AC76" i="17" s="1"/>
  <c r="S76" i="17"/>
  <c r="U76" i="17" s="1"/>
  <c r="R76" i="17"/>
  <c r="P76" i="17"/>
  <c r="O76" i="17"/>
  <c r="N76" i="17"/>
  <c r="M76" i="17"/>
  <c r="L76" i="17"/>
  <c r="J76" i="17" s="1"/>
  <c r="K76" i="17"/>
  <c r="H76" i="17"/>
  <c r="F76" i="17"/>
  <c r="D76" i="17"/>
  <c r="C76" i="17"/>
  <c r="E76" i="17" s="1"/>
  <c r="B76" i="17"/>
  <c r="A76" i="17"/>
  <c r="BJ75" i="17"/>
  <c r="BI75" i="17"/>
  <c r="BH75" i="17"/>
  <c r="BG75" i="17"/>
  <c r="BF75" i="17"/>
  <c r="BE75" i="17"/>
  <c r="BD75" i="17"/>
  <c r="BC75" i="17"/>
  <c r="BB75" i="17"/>
  <c r="AX75" i="17"/>
  <c r="AU75" i="17"/>
  <c r="AS75" i="17" s="1"/>
  <c r="AT75" i="17"/>
  <c r="AR75" i="17"/>
  <c r="AQ75" i="17"/>
  <c r="AP75" i="17"/>
  <c r="AW75" i="17" s="1"/>
  <c r="AZ75" i="17" s="1"/>
  <c r="AN75" i="17"/>
  <c r="AM75" i="17"/>
  <c r="AK75" i="17" s="1"/>
  <c r="AL75" i="17"/>
  <c r="AJ75" i="17"/>
  <c r="AD75" i="17"/>
  <c r="Z75" i="17"/>
  <c r="AG75" i="17" s="1"/>
  <c r="Y75" i="17"/>
  <c r="X75" i="17"/>
  <c r="W75" i="17"/>
  <c r="V75" i="17"/>
  <c r="S75" i="17"/>
  <c r="Q75" i="17" s="1"/>
  <c r="R75" i="17"/>
  <c r="AF75" i="17" s="1"/>
  <c r="P75" i="17"/>
  <c r="U75" i="17" s="1"/>
  <c r="O75" i="17"/>
  <c r="L75" i="17"/>
  <c r="N75" i="17" s="1"/>
  <c r="K75" i="17"/>
  <c r="J75" i="17"/>
  <c r="H75" i="17"/>
  <c r="I75" i="17" s="1"/>
  <c r="F75" i="17"/>
  <c r="D75" i="17"/>
  <c r="C75" i="17"/>
  <c r="E75" i="17" s="1"/>
  <c r="B75" i="17"/>
  <c r="A75" i="17"/>
  <c r="BJ74" i="17"/>
  <c r="BI74" i="17"/>
  <c r="BH74" i="17"/>
  <c r="BG74" i="17"/>
  <c r="BF74" i="17"/>
  <c r="BE74" i="17"/>
  <c r="BD74" i="17"/>
  <c r="BC74" i="17"/>
  <c r="BB74" i="17"/>
  <c r="AX74" i="17"/>
  <c r="AU74" i="17"/>
  <c r="AT74" i="17"/>
  <c r="AS74" i="17"/>
  <c r="AV74" i="17" s="1"/>
  <c r="AY74" i="17" s="1"/>
  <c r="AR74" i="17"/>
  <c r="AQ74" i="17"/>
  <c r="AP74" i="17"/>
  <c r="AW74" i="17" s="1"/>
  <c r="AZ74" i="17" s="1"/>
  <c r="AN74" i="17"/>
  <c r="AM74" i="17"/>
  <c r="AL74" i="17"/>
  <c r="AK74" i="17"/>
  <c r="AJ74" i="17"/>
  <c r="AD74" i="17"/>
  <c r="Z74" i="17"/>
  <c r="AG74" i="17" s="1"/>
  <c r="Y74" i="17"/>
  <c r="X74" i="17"/>
  <c r="V74" i="17"/>
  <c r="W74" i="17" s="1"/>
  <c r="S74" i="17"/>
  <c r="T74" i="17" s="1"/>
  <c r="R74" i="17"/>
  <c r="AF74" i="17" s="1"/>
  <c r="P74" i="17"/>
  <c r="O74" i="17"/>
  <c r="L74" i="17"/>
  <c r="K74" i="17"/>
  <c r="J74" i="17" s="1"/>
  <c r="H74" i="17"/>
  <c r="I74" i="17" s="1"/>
  <c r="F74" i="17"/>
  <c r="E74" i="17"/>
  <c r="D74" i="17"/>
  <c r="C74" i="17"/>
  <c r="B74" i="17"/>
  <c r="A74" i="17"/>
  <c r="BJ73" i="17"/>
  <c r="BI73" i="17"/>
  <c r="BH73" i="17"/>
  <c r="BG73" i="17"/>
  <c r="BF73" i="17"/>
  <c r="BE73" i="17"/>
  <c r="BD73" i="17"/>
  <c r="BC73" i="17" s="1"/>
  <c r="BB73" i="17"/>
  <c r="AX73" i="17"/>
  <c r="AV73" i="17"/>
  <c r="AY73" i="17" s="1"/>
  <c r="AU73" i="17"/>
  <c r="AT73" i="17"/>
  <c r="AW73" i="17" s="1"/>
  <c r="AZ73" i="17" s="1"/>
  <c r="AS73" i="17"/>
  <c r="AR73" i="17"/>
  <c r="AQ73" i="17"/>
  <c r="AO73" i="17" s="1"/>
  <c r="AP73" i="17"/>
  <c r="AN73" i="17"/>
  <c r="AM73" i="17"/>
  <c r="AL73" i="17"/>
  <c r="AK73" i="17"/>
  <c r="AJ73" i="17"/>
  <c r="AF73" i="17"/>
  <c r="AD73" i="17"/>
  <c r="Z73" i="17"/>
  <c r="AG73" i="17" s="1"/>
  <c r="Y73" i="17"/>
  <c r="X73" i="17"/>
  <c r="V73" i="17"/>
  <c r="W73" i="17" s="1"/>
  <c r="S73" i="17"/>
  <c r="U73" i="17" s="1"/>
  <c r="R73" i="17"/>
  <c r="P73" i="17"/>
  <c r="O73" i="17"/>
  <c r="L73" i="17"/>
  <c r="K73" i="17"/>
  <c r="J73" i="17" s="1"/>
  <c r="H73" i="17"/>
  <c r="I73" i="17" s="1"/>
  <c r="E73" i="17"/>
  <c r="D73" i="17"/>
  <c r="C73" i="17"/>
  <c r="F73" i="17" s="1"/>
  <c r="B73" i="17"/>
  <c r="A73" i="17"/>
  <c r="BJ72" i="17"/>
  <c r="BI72" i="17"/>
  <c r="BH72" i="17"/>
  <c r="BG72" i="17"/>
  <c r="BF72" i="17"/>
  <c r="BE72" i="17"/>
  <c r="BC72" i="17" s="1"/>
  <c r="BD72" i="17"/>
  <c r="BB72" i="17"/>
  <c r="AV72" i="17"/>
  <c r="AY72" i="17" s="1"/>
  <c r="AU72" i="17"/>
  <c r="AT72" i="17"/>
  <c r="AW72" i="17" s="1"/>
  <c r="AZ72" i="17" s="1"/>
  <c r="AS72" i="17"/>
  <c r="AR72" i="17"/>
  <c r="AQ72" i="17"/>
  <c r="AX72" i="17" s="1"/>
  <c r="AP72" i="17"/>
  <c r="AN72" i="17"/>
  <c r="AM72" i="17"/>
  <c r="AL72" i="17"/>
  <c r="AK72" i="17"/>
  <c r="AJ72" i="17"/>
  <c r="AF72" i="17"/>
  <c r="AD72" i="17"/>
  <c r="Z72" i="17"/>
  <c r="Y72" i="17"/>
  <c r="X72" i="17" s="1"/>
  <c r="V72" i="17"/>
  <c r="W72" i="17" s="1"/>
  <c r="S72" i="17"/>
  <c r="AG72" i="17" s="1"/>
  <c r="R72" i="17"/>
  <c r="Q72" i="17"/>
  <c r="P72" i="17"/>
  <c r="O72" i="17"/>
  <c r="N72" i="17"/>
  <c r="L72" i="17"/>
  <c r="J72" i="17" s="1"/>
  <c r="K72" i="17"/>
  <c r="I72" i="17"/>
  <c r="AC72" i="17" s="1"/>
  <c r="H72" i="17"/>
  <c r="E72" i="17"/>
  <c r="C72" i="17"/>
  <c r="F72" i="17" s="1"/>
  <c r="B72" i="17"/>
  <c r="A72" i="17"/>
  <c r="BJ71" i="17"/>
  <c r="BI71" i="17"/>
  <c r="BH71" i="17"/>
  <c r="BG71" i="17"/>
  <c r="BF71" i="17"/>
  <c r="BE71" i="17"/>
  <c r="BC71" i="17" s="1"/>
  <c r="BD71" i="17"/>
  <c r="BB71" i="17"/>
  <c r="AU71" i="17"/>
  <c r="AT71" i="17"/>
  <c r="AS71" i="17" s="1"/>
  <c r="AV71" i="17" s="1"/>
  <c r="AY71" i="17" s="1"/>
  <c r="AR71" i="17"/>
  <c r="AQ71" i="17"/>
  <c r="AP71" i="17"/>
  <c r="AN71" i="17"/>
  <c r="AM71" i="17"/>
  <c r="AL71" i="17"/>
  <c r="AK71" i="17" s="1"/>
  <c r="AJ71" i="17"/>
  <c r="AD71" i="17"/>
  <c r="Z71" i="17"/>
  <c r="Y71" i="17"/>
  <c r="AF71" i="17" s="1"/>
  <c r="V71" i="17"/>
  <c r="W71" i="17" s="1"/>
  <c r="T71" i="17"/>
  <c r="S71" i="17"/>
  <c r="U71" i="17" s="1"/>
  <c r="R71" i="17"/>
  <c r="Q71" i="17"/>
  <c r="O71" i="17"/>
  <c r="P71" i="17" s="1"/>
  <c r="L71" i="17"/>
  <c r="K71" i="17"/>
  <c r="I71" i="17"/>
  <c r="H71" i="17"/>
  <c r="E71" i="17"/>
  <c r="C71" i="17"/>
  <c r="B71" i="17"/>
  <c r="A71" i="17"/>
  <c r="BJ70" i="17"/>
  <c r="BI70" i="17"/>
  <c r="BH70" i="17"/>
  <c r="BG70" i="17"/>
  <c r="BF70" i="17"/>
  <c r="BE70" i="17"/>
  <c r="BC70" i="17" s="1"/>
  <c r="BD70" i="17"/>
  <c r="BB70" i="17"/>
  <c r="AU70" i="17"/>
  <c r="AT70" i="17"/>
  <c r="AW70" i="17" s="1"/>
  <c r="AZ70" i="17" s="1"/>
  <c r="AR70" i="17"/>
  <c r="AQ70" i="17"/>
  <c r="AO70" i="17" s="1"/>
  <c r="AP70" i="17"/>
  <c r="AN70" i="17"/>
  <c r="AM70" i="17"/>
  <c r="AK70" i="17" s="1"/>
  <c r="AL70" i="17"/>
  <c r="AJ70" i="17"/>
  <c r="AD70" i="17"/>
  <c r="Z70" i="17"/>
  <c r="Y70" i="17"/>
  <c r="AF70" i="17" s="1"/>
  <c r="W70" i="17"/>
  <c r="V70" i="17"/>
  <c r="T70" i="17"/>
  <c r="S70" i="17"/>
  <c r="R70" i="17"/>
  <c r="Q70" i="17"/>
  <c r="O70" i="17"/>
  <c r="P70" i="17" s="1"/>
  <c r="U70" i="17" s="1"/>
  <c r="L70" i="17"/>
  <c r="AG70" i="17" s="1"/>
  <c r="K70" i="17"/>
  <c r="I70" i="17"/>
  <c r="H70" i="17"/>
  <c r="F70" i="17"/>
  <c r="C70" i="17"/>
  <c r="B70" i="17"/>
  <c r="A70" i="17"/>
  <c r="BJ69" i="17"/>
  <c r="BI69" i="17"/>
  <c r="BH69" i="17"/>
  <c r="BG69" i="17"/>
  <c r="BF69" i="17"/>
  <c r="BE69" i="17"/>
  <c r="BC69" i="17" s="1"/>
  <c r="BD69" i="17"/>
  <c r="BB69" i="17"/>
  <c r="AU69" i="17"/>
  <c r="AT69" i="17"/>
  <c r="AW69" i="17" s="1"/>
  <c r="AZ69" i="17" s="1"/>
  <c r="AQ69" i="17"/>
  <c r="AO69" i="17" s="1"/>
  <c r="AP69" i="17"/>
  <c r="AM69" i="17"/>
  <c r="AK69" i="17" s="1"/>
  <c r="AL69" i="17"/>
  <c r="AJ69" i="17"/>
  <c r="AH69" i="17"/>
  <c r="AD69" i="17"/>
  <c r="AC69" i="17"/>
  <c r="Z69" i="17"/>
  <c r="AG69" i="17" s="1"/>
  <c r="AI69" i="17" s="1"/>
  <c r="Y69" i="17"/>
  <c r="V69" i="17"/>
  <c r="U69" i="17"/>
  <c r="T69" i="17"/>
  <c r="S69" i="17"/>
  <c r="R69" i="17"/>
  <c r="AF69" i="17" s="1"/>
  <c r="AE69" i="17" s="1"/>
  <c r="Q69" i="17"/>
  <c r="O69" i="17"/>
  <c r="N69" i="17"/>
  <c r="M69" i="17"/>
  <c r="L69" i="17"/>
  <c r="K69" i="17"/>
  <c r="C69" i="17"/>
  <c r="B69" i="17"/>
  <c r="A69" i="17"/>
  <c r="BJ68" i="17"/>
  <c r="BI68" i="17"/>
  <c r="BH68" i="17"/>
  <c r="BG68" i="17"/>
  <c r="BF68" i="17"/>
  <c r="BE68" i="17"/>
  <c r="BC68" i="17" s="1"/>
  <c r="BD68" i="17"/>
  <c r="BB68" i="17"/>
  <c r="AU68" i="17"/>
  <c r="AT68" i="17"/>
  <c r="AW68" i="17" s="1"/>
  <c r="AZ68" i="17" s="1"/>
  <c r="AR68" i="17"/>
  <c r="AQ68" i="17"/>
  <c r="AO68" i="17" s="1"/>
  <c r="AP68" i="17"/>
  <c r="AN68" i="17"/>
  <c r="AM68" i="17"/>
  <c r="AL68" i="17"/>
  <c r="AJ68" i="17"/>
  <c r="AG68" i="17"/>
  <c r="AD68" i="17"/>
  <c r="Z68" i="17"/>
  <c r="Y68" i="17"/>
  <c r="AF68" i="17" s="1"/>
  <c r="W68" i="17"/>
  <c r="V68" i="17"/>
  <c r="T68" i="17"/>
  <c r="S68" i="17"/>
  <c r="R68" i="17"/>
  <c r="Q68" i="17"/>
  <c r="O68" i="17"/>
  <c r="P68" i="17" s="1"/>
  <c r="U68" i="17" s="1"/>
  <c r="L68" i="17"/>
  <c r="K68" i="17"/>
  <c r="I68" i="17"/>
  <c r="AC68" i="17" s="1"/>
  <c r="H68" i="17"/>
  <c r="C68" i="17"/>
  <c r="B68" i="17"/>
  <c r="A68" i="17"/>
  <c r="BJ67" i="17"/>
  <c r="BI67" i="17"/>
  <c r="BH67" i="17"/>
  <c r="BG67" i="17"/>
  <c r="BF67" i="17"/>
  <c r="BE67" i="17"/>
  <c r="BC67" i="17" s="1"/>
  <c r="BD67" i="17"/>
  <c r="BB67" i="17"/>
  <c r="AU67" i="17"/>
  <c r="AS67" i="17" s="1"/>
  <c r="AV67" i="17" s="1"/>
  <c r="AY67" i="17" s="1"/>
  <c r="AT67" i="17"/>
  <c r="AR67" i="17"/>
  <c r="AQ67" i="17"/>
  <c r="AO67" i="17" s="1"/>
  <c r="AP67" i="17"/>
  <c r="AN67" i="17"/>
  <c r="AM67" i="17"/>
  <c r="AL67" i="17"/>
  <c r="AW67" i="17" s="1"/>
  <c r="AJ67" i="17"/>
  <c r="AG67" i="17"/>
  <c r="AD67" i="17"/>
  <c r="Z67" i="17"/>
  <c r="Y67" i="17"/>
  <c r="W67" i="17"/>
  <c r="V67" i="17"/>
  <c r="T67" i="17"/>
  <c r="S67" i="17"/>
  <c r="R67" i="17"/>
  <c r="Q67" i="17" s="1"/>
  <c r="O67" i="17"/>
  <c r="P67" i="17" s="1"/>
  <c r="U67" i="17" s="1"/>
  <c r="L67" i="17"/>
  <c r="K67" i="17"/>
  <c r="J67" i="17"/>
  <c r="I67" i="17"/>
  <c r="AC67" i="17" s="1"/>
  <c r="H67" i="17"/>
  <c r="F67" i="17"/>
  <c r="C67" i="17"/>
  <c r="B67" i="17"/>
  <c r="A67" i="17"/>
  <c r="BJ66" i="17"/>
  <c r="BI66" i="17"/>
  <c r="BH66" i="17"/>
  <c r="BG66" i="17"/>
  <c r="BF66" i="17"/>
  <c r="BE66" i="17"/>
  <c r="BC66" i="17" s="1"/>
  <c r="BD66" i="17"/>
  <c r="BB66" i="17"/>
  <c r="AU66" i="17"/>
  <c r="AT66" i="17"/>
  <c r="AW66" i="17" s="1"/>
  <c r="AR66" i="17"/>
  <c r="AQ66" i="17"/>
  <c r="AO66" i="17" s="1"/>
  <c r="AP66" i="17"/>
  <c r="AN66" i="17"/>
  <c r="AM66" i="17"/>
  <c r="AL66" i="17"/>
  <c r="AJ66" i="17"/>
  <c r="AD66" i="17"/>
  <c r="Z66" i="17"/>
  <c r="X66" i="17" s="1"/>
  <c r="Y66" i="17"/>
  <c r="W66" i="17"/>
  <c r="V66" i="17"/>
  <c r="S66" i="17"/>
  <c r="R66" i="17"/>
  <c r="Q66" i="17" s="1"/>
  <c r="O66" i="17"/>
  <c r="P66" i="17" s="1"/>
  <c r="U66" i="17" s="1"/>
  <c r="L66" i="17"/>
  <c r="N66" i="17" s="1"/>
  <c r="K66" i="17"/>
  <c r="I66" i="17"/>
  <c r="H66" i="17"/>
  <c r="C66" i="17"/>
  <c r="E66" i="17" s="1"/>
  <c r="B66" i="17"/>
  <c r="A66" i="17"/>
  <c r="BJ65" i="17"/>
  <c r="BI65" i="17"/>
  <c r="BH65" i="17"/>
  <c r="BG65" i="17"/>
  <c r="BF65" i="17"/>
  <c r="BE65" i="17"/>
  <c r="BC65" i="17" s="1"/>
  <c r="BD65" i="17"/>
  <c r="BB65" i="17"/>
  <c r="AX65" i="17"/>
  <c r="AU65" i="17"/>
  <c r="AT65" i="17"/>
  <c r="AW65" i="17" s="1"/>
  <c r="AZ65" i="17" s="1"/>
  <c r="AR65" i="17"/>
  <c r="AQ65" i="17"/>
  <c r="AP65" i="17"/>
  <c r="AO65" i="17" s="1"/>
  <c r="AN65" i="17"/>
  <c r="AM65" i="17"/>
  <c r="AK65" i="17" s="1"/>
  <c r="AL65" i="17"/>
  <c r="AJ65" i="17"/>
  <c r="AD65" i="17"/>
  <c r="Z65" i="17"/>
  <c r="AG65" i="17" s="1"/>
  <c r="Y65" i="17"/>
  <c r="W65" i="17"/>
  <c r="V65" i="17"/>
  <c r="S65" i="17"/>
  <c r="R65" i="17"/>
  <c r="AF65" i="17" s="1"/>
  <c r="O65" i="17"/>
  <c r="P65" i="17" s="1"/>
  <c r="L65" i="17"/>
  <c r="K65" i="17"/>
  <c r="J65" i="17"/>
  <c r="H65" i="17"/>
  <c r="I65" i="17" s="1"/>
  <c r="M65" i="17" s="1"/>
  <c r="F65" i="17"/>
  <c r="C65" i="17"/>
  <c r="E65" i="17" s="1"/>
  <c r="B65" i="17"/>
  <c r="A65" i="17"/>
  <c r="BJ64" i="17"/>
  <c r="BI64" i="17"/>
  <c r="BH64" i="17"/>
  <c r="BG64" i="17"/>
  <c r="BF64" i="17"/>
  <c r="BE64" i="17"/>
  <c r="BC64" i="17" s="1"/>
  <c r="BD64" i="17"/>
  <c r="BB64" i="17"/>
  <c r="AX64" i="17"/>
  <c r="AU64" i="17"/>
  <c r="AS64" i="17" s="1"/>
  <c r="AV64" i="17" s="1"/>
  <c r="AY64" i="17" s="1"/>
  <c r="AT64" i="17"/>
  <c r="AR64" i="17"/>
  <c r="AQ64" i="17"/>
  <c r="AP64" i="17"/>
  <c r="AW64" i="17" s="1"/>
  <c r="AZ64" i="17" s="1"/>
  <c r="AO64" i="17"/>
  <c r="AN64" i="17"/>
  <c r="AM64" i="17"/>
  <c r="AK64" i="17" s="1"/>
  <c r="AL64" i="17"/>
  <c r="AJ64" i="17"/>
  <c r="AF64" i="17"/>
  <c r="AD64" i="17"/>
  <c r="Z64" i="17"/>
  <c r="Y64" i="17"/>
  <c r="X64" i="17"/>
  <c r="V64" i="17"/>
  <c r="W64" i="17" s="1"/>
  <c r="S64" i="17"/>
  <c r="R64" i="17"/>
  <c r="P64" i="17"/>
  <c r="O64" i="17"/>
  <c r="N64" i="17"/>
  <c r="M64" i="17"/>
  <c r="L64" i="17"/>
  <c r="K64" i="17"/>
  <c r="J64" i="17" s="1"/>
  <c r="H64" i="17"/>
  <c r="I64" i="17" s="1"/>
  <c r="AC64" i="17" s="1"/>
  <c r="F64" i="17"/>
  <c r="E64" i="17"/>
  <c r="D64" i="17"/>
  <c r="C64" i="17"/>
  <c r="B64" i="17"/>
  <c r="A64" i="17"/>
  <c r="BJ63" i="17"/>
  <c r="BI63" i="17"/>
  <c r="BH63" i="17"/>
  <c r="BG63" i="17"/>
  <c r="BF63" i="17"/>
  <c r="BE63" i="17"/>
  <c r="BD63" i="17"/>
  <c r="BC63" i="17" s="1"/>
  <c r="BB63" i="17"/>
  <c r="AU63" i="17"/>
  <c r="AX63" i="17" s="1"/>
  <c r="BA63" i="17" s="1"/>
  <c r="AT63" i="17"/>
  <c r="AW63" i="17" s="1"/>
  <c r="AR63" i="17"/>
  <c r="AQ63" i="17"/>
  <c r="AP63" i="17"/>
  <c r="AN63" i="17"/>
  <c r="AM63" i="17"/>
  <c r="AL63" i="17"/>
  <c r="AK63" i="17"/>
  <c r="AJ63" i="17"/>
  <c r="AD63" i="17"/>
  <c r="Z63" i="17"/>
  <c r="AG63" i="17" s="1"/>
  <c r="AH63" i="17" s="1"/>
  <c r="Y63" i="17"/>
  <c r="AF63" i="17" s="1"/>
  <c r="V63" i="17"/>
  <c r="W63" i="17" s="1"/>
  <c r="S63" i="17"/>
  <c r="R63" i="17"/>
  <c r="Q63" i="17"/>
  <c r="P63" i="17"/>
  <c r="O63" i="17"/>
  <c r="L63" i="17"/>
  <c r="K63" i="17"/>
  <c r="J63" i="17" s="1"/>
  <c r="I63" i="17"/>
  <c r="M63" i="17" s="1"/>
  <c r="H63" i="17"/>
  <c r="E63" i="17"/>
  <c r="D63" i="17"/>
  <c r="C63" i="17"/>
  <c r="F63" i="17" s="1"/>
  <c r="B63" i="17"/>
  <c r="A63" i="17"/>
  <c r="BJ62" i="17"/>
  <c r="BI62" i="17"/>
  <c r="BH62" i="17"/>
  <c r="BG62" i="17"/>
  <c r="BF62" i="17"/>
  <c r="BE62" i="17"/>
  <c r="BD62" i="17"/>
  <c r="BC62" i="17"/>
  <c r="BB62" i="17"/>
  <c r="AU62" i="17"/>
  <c r="AT62" i="17"/>
  <c r="AS62" i="17"/>
  <c r="AV62" i="17" s="1"/>
  <c r="AY62" i="17" s="1"/>
  <c r="AR62" i="17"/>
  <c r="AQ62" i="17"/>
  <c r="AO62" i="17" s="1"/>
  <c r="AP62" i="17"/>
  <c r="AN62" i="17"/>
  <c r="AM62" i="17"/>
  <c r="AL62" i="17"/>
  <c r="AK62" i="17"/>
  <c r="AJ62" i="17"/>
  <c r="AH62" i="17"/>
  <c r="AD62" i="17"/>
  <c r="Z62" i="17"/>
  <c r="Y62" i="17"/>
  <c r="X62" i="17" s="1"/>
  <c r="V62" i="17"/>
  <c r="W62" i="17" s="1"/>
  <c r="S62" i="17"/>
  <c r="AG62" i="17" s="1"/>
  <c r="AI62" i="17" s="1"/>
  <c r="R62" i="17"/>
  <c r="P62" i="17"/>
  <c r="O62" i="17"/>
  <c r="L62" i="17"/>
  <c r="K62" i="17"/>
  <c r="AF62" i="17" s="1"/>
  <c r="H62" i="17"/>
  <c r="I62" i="17" s="1"/>
  <c r="C62" i="17"/>
  <c r="F62" i="17" s="1"/>
  <c r="B62" i="17"/>
  <c r="A62" i="17"/>
  <c r="BJ61" i="17"/>
  <c r="BI61" i="17"/>
  <c r="BH61" i="17"/>
  <c r="BG61" i="17"/>
  <c r="BF61" i="17"/>
  <c r="BE61" i="17"/>
  <c r="BC61" i="17" s="1"/>
  <c r="BD61" i="17"/>
  <c r="BB61" i="17"/>
  <c r="AX61" i="17"/>
  <c r="AU61" i="17"/>
  <c r="AT61" i="17"/>
  <c r="AW61" i="17" s="1"/>
  <c r="AR61" i="17"/>
  <c r="AQ61" i="17"/>
  <c r="AP61" i="17"/>
  <c r="AO61" i="17" s="1"/>
  <c r="AN61" i="17"/>
  <c r="AM61" i="17"/>
  <c r="AL61" i="17"/>
  <c r="AK61" i="17" s="1"/>
  <c r="AJ61" i="17"/>
  <c r="AD61" i="17"/>
  <c r="Z61" i="17"/>
  <c r="Y61" i="17"/>
  <c r="X61" i="17" s="1"/>
  <c r="W61" i="17"/>
  <c r="V61" i="17"/>
  <c r="S61" i="17"/>
  <c r="U61" i="17" s="1"/>
  <c r="R61" i="17"/>
  <c r="P61" i="17"/>
  <c r="O61" i="17"/>
  <c r="L61" i="17"/>
  <c r="K61" i="17"/>
  <c r="J61" i="17"/>
  <c r="I61" i="17"/>
  <c r="AC61" i="17" s="1"/>
  <c r="H61" i="17"/>
  <c r="F61" i="17"/>
  <c r="C61" i="17"/>
  <c r="D61" i="17" s="1"/>
  <c r="B61" i="17"/>
  <c r="A61" i="17"/>
  <c r="BJ60" i="17"/>
  <c r="BI60" i="17"/>
  <c r="BH60" i="17"/>
  <c r="BG60" i="17"/>
  <c r="BF60" i="17"/>
  <c r="BE60" i="17"/>
  <c r="BC60" i="17" s="1"/>
  <c r="BD60" i="17"/>
  <c r="BB60" i="17"/>
  <c r="AU60" i="17"/>
  <c r="AX60" i="17" s="1"/>
  <c r="BA60" i="17" s="1"/>
  <c r="AT60" i="17"/>
  <c r="AW60" i="17" s="1"/>
  <c r="AZ60" i="17" s="1"/>
  <c r="AR60" i="17"/>
  <c r="AQ60" i="17"/>
  <c r="AO60" i="17" s="1"/>
  <c r="AP60" i="17"/>
  <c r="AN60" i="17"/>
  <c r="AM60" i="17"/>
  <c r="AL60" i="17"/>
  <c r="AK60" i="17" s="1"/>
  <c r="AJ60" i="17"/>
  <c r="AD60" i="17"/>
  <c r="Z60" i="17"/>
  <c r="X60" i="17" s="1"/>
  <c r="Y60" i="17"/>
  <c r="AF60" i="17" s="1"/>
  <c r="W60" i="17"/>
  <c r="V60" i="17"/>
  <c r="S60" i="17"/>
  <c r="AG60" i="17" s="1"/>
  <c r="R60" i="17"/>
  <c r="O60" i="17"/>
  <c r="P60" i="17" s="1"/>
  <c r="L60" i="17"/>
  <c r="N60" i="17" s="1"/>
  <c r="K60" i="17"/>
  <c r="I60" i="17"/>
  <c r="H60" i="17"/>
  <c r="C60" i="17"/>
  <c r="F60" i="17" s="1"/>
  <c r="B60" i="17"/>
  <c r="A60" i="17"/>
  <c r="BJ59" i="17"/>
  <c r="BI59" i="17"/>
  <c r="BH59" i="17"/>
  <c r="BG59" i="17"/>
  <c r="BF59" i="17"/>
  <c r="BE59" i="17"/>
  <c r="BC59" i="17" s="1"/>
  <c r="BD59" i="17"/>
  <c r="BB59" i="17"/>
  <c r="AW59" i="17"/>
  <c r="AZ59" i="17" s="1"/>
  <c r="AU59" i="17"/>
  <c r="AS59" i="17" s="1"/>
  <c r="AV59" i="17" s="1"/>
  <c r="AY59" i="17" s="1"/>
  <c r="AT59" i="17"/>
  <c r="AR59" i="17"/>
  <c r="AQ59" i="17"/>
  <c r="AP59" i="17"/>
  <c r="AO59" i="17"/>
  <c r="AN59" i="17"/>
  <c r="AM59" i="17"/>
  <c r="AK59" i="17" s="1"/>
  <c r="AL59" i="17"/>
  <c r="AJ59" i="17"/>
  <c r="AG59" i="17"/>
  <c r="AI59" i="17" s="1"/>
  <c r="AF59" i="17"/>
  <c r="AD59" i="17"/>
  <c r="Z59" i="17"/>
  <c r="X59" i="17" s="1"/>
  <c r="Y59" i="17"/>
  <c r="W59" i="17"/>
  <c r="V59" i="17"/>
  <c r="S59" i="17"/>
  <c r="R59" i="17"/>
  <c r="Q59" i="17" s="1"/>
  <c r="O59" i="17"/>
  <c r="P59" i="17" s="1"/>
  <c r="N59" i="17"/>
  <c r="L59" i="17"/>
  <c r="J59" i="17" s="1"/>
  <c r="K59" i="17"/>
  <c r="I59" i="17"/>
  <c r="AC59" i="17" s="1"/>
  <c r="H59" i="17"/>
  <c r="F59" i="17"/>
  <c r="E59" i="17"/>
  <c r="C59" i="17"/>
  <c r="D59" i="17" s="1"/>
  <c r="B59" i="17"/>
  <c r="A59" i="17"/>
  <c r="BJ58" i="17"/>
  <c r="BI58" i="17"/>
  <c r="BH58" i="17"/>
  <c r="BG58" i="17"/>
  <c r="BF58" i="17"/>
  <c r="BE58" i="17"/>
  <c r="BD58" i="17"/>
  <c r="BC58" i="17"/>
  <c r="BB58" i="17"/>
  <c r="AW58" i="17"/>
  <c r="AU58" i="17"/>
  <c r="AS58" i="17" s="1"/>
  <c r="AV58" i="17" s="1"/>
  <c r="AY58" i="17" s="1"/>
  <c r="AT58" i="17"/>
  <c r="AR58" i="17"/>
  <c r="AQ58" i="17"/>
  <c r="AO58" i="17" s="1"/>
  <c r="AP58" i="17"/>
  <c r="AN58" i="17"/>
  <c r="AM58" i="17"/>
  <c r="AK58" i="17" s="1"/>
  <c r="AL58" i="17"/>
  <c r="AJ58" i="17"/>
  <c r="AD58" i="17"/>
  <c r="Z58" i="17"/>
  <c r="X58" i="17" s="1"/>
  <c r="Y58" i="17"/>
  <c r="AF58" i="17" s="1"/>
  <c r="AZ58" i="17" s="1"/>
  <c r="W58" i="17"/>
  <c r="V58" i="17"/>
  <c r="S58" i="17"/>
  <c r="R58" i="17"/>
  <c r="Q58" i="17" s="1"/>
  <c r="O58" i="17"/>
  <c r="P58" i="17" s="1"/>
  <c r="L58" i="17"/>
  <c r="N58" i="17" s="1"/>
  <c r="K58" i="17"/>
  <c r="J58" i="17"/>
  <c r="I58" i="17"/>
  <c r="M58" i="17" s="1"/>
  <c r="H58" i="17"/>
  <c r="F58" i="17"/>
  <c r="D58" i="17"/>
  <c r="C58" i="17"/>
  <c r="E58" i="17" s="1"/>
  <c r="B58" i="17"/>
  <c r="A58" i="17"/>
  <c r="BJ57" i="17"/>
  <c r="BI57" i="17"/>
  <c r="BH57" i="17"/>
  <c r="BG57" i="17"/>
  <c r="BF57" i="17"/>
  <c r="BE57" i="17"/>
  <c r="BD57" i="17"/>
  <c r="BC57" i="17"/>
  <c r="BB57" i="17"/>
  <c r="AU57" i="17"/>
  <c r="AX57" i="17" s="1"/>
  <c r="AT57" i="17"/>
  <c r="AW57" i="17" s="1"/>
  <c r="AZ57" i="17" s="1"/>
  <c r="AR57" i="17"/>
  <c r="AQ57" i="17"/>
  <c r="AP57" i="17"/>
  <c r="AO57" i="17" s="1"/>
  <c r="AN57" i="17"/>
  <c r="AM57" i="17"/>
  <c r="AK57" i="17" s="1"/>
  <c r="AL57" i="17"/>
  <c r="AJ57" i="17"/>
  <c r="AD57" i="17"/>
  <c r="Z57" i="17"/>
  <c r="AG57" i="17" s="1"/>
  <c r="Y57" i="17"/>
  <c r="X57" i="17"/>
  <c r="W57" i="17"/>
  <c r="V57" i="17"/>
  <c r="U57" i="17"/>
  <c r="T57" i="17"/>
  <c r="S57" i="17"/>
  <c r="Q57" i="17" s="1"/>
  <c r="R57" i="17"/>
  <c r="AF57" i="17" s="1"/>
  <c r="P57" i="17"/>
  <c r="O57" i="17"/>
  <c r="L57" i="17"/>
  <c r="K57" i="17"/>
  <c r="H57" i="17"/>
  <c r="I57" i="17" s="1"/>
  <c r="D57" i="17"/>
  <c r="C57" i="17"/>
  <c r="F57" i="17" s="1"/>
  <c r="B57" i="17"/>
  <c r="A57" i="17"/>
  <c r="BJ56" i="17"/>
  <c r="BI56" i="17"/>
  <c r="BH56" i="17"/>
  <c r="BG56" i="17"/>
  <c r="BF56" i="17"/>
  <c r="BE56" i="17"/>
  <c r="BC56" i="17" s="1"/>
  <c r="BD56" i="17"/>
  <c r="BB56" i="17"/>
  <c r="AX56" i="17"/>
  <c r="BA56" i="17" s="1"/>
  <c r="AU56" i="17"/>
  <c r="AS56" i="17" s="1"/>
  <c r="AV56" i="17" s="1"/>
  <c r="AY56" i="17" s="1"/>
  <c r="AT56" i="17"/>
  <c r="AR56" i="17"/>
  <c r="AQ56" i="17"/>
  <c r="AP56" i="17"/>
  <c r="AW56" i="17" s="1"/>
  <c r="AN56" i="17"/>
  <c r="AM56" i="17"/>
  <c r="AK56" i="17" s="1"/>
  <c r="AL56" i="17"/>
  <c r="AJ56" i="17"/>
  <c r="AH56" i="17"/>
  <c r="AG56" i="17"/>
  <c r="AI56" i="17" s="1"/>
  <c r="AD56" i="17"/>
  <c r="Z56" i="17"/>
  <c r="Y56" i="17"/>
  <c r="X56" i="17"/>
  <c r="W56" i="17"/>
  <c r="V56" i="17"/>
  <c r="S56" i="17"/>
  <c r="T56" i="17" s="1"/>
  <c r="R56" i="17"/>
  <c r="P56" i="17"/>
  <c r="U56" i="17" s="1"/>
  <c r="O56" i="17"/>
  <c r="L56" i="17"/>
  <c r="K56" i="17"/>
  <c r="J56" i="17" s="1"/>
  <c r="H56" i="17"/>
  <c r="I56" i="17" s="1"/>
  <c r="F56" i="17"/>
  <c r="E56" i="17"/>
  <c r="D56" i="17"/>
  <c r="C56" i="17"/>
  <c r="B56" i="17"/>
  <c r="A56" i="17"/>
  <c r="BJ55" i="17"/>
  <c r="BI55" i="17"/>
  <c r="BH55" i="17"/>
  <c r="BG55" i="17"/>
  <c r="BF55" i="17"/>
  <c r="BE55" i="17"/>
  <c r="BD55" i="17"/>
  <c r="BC55" i="17" s="1"/>
  <c r="BB55" i="17"/>
  <c r="AX55" i="17"/>
  <c r="AU55" i="17"/>
  <c r="AT55" i="17"/>
  <c r="AS55" i="17"/>
  <c r="AV55" i="17" s="1"/>
  <c r="AY55" i="17" s="1"/>
  <c r="AR55" i="17"/>
  <c r="AQ55" i="17"/>
  <c r="AO55" i="17" s="1"/>
  <c r="AP55" i="17"/>
  <c r="AW55" i="17" s="1"/>
  <c r="AZ55" i="17" s="1"/>
  <c r="AN55" i="17"/>
  <c r="AM55" i="17"/>
  <c r="AL55" i="17"/>
  <c r="AK55" i="17"/>
  <c r="AJ55" i="17"/>
  <c r="AD55" i="17"/>
  <c r="Z55" i="17"/>
  <c r="AG55" i="17" s="1"/>
  <c r="Y55" i="17"/>
  <c r="X55" i="17"/>
  <c r="V55" i="17"/>
  <c r="W55" i="17" s="1"/>
  <c r="S55" i="17"/>
  <c r="U55" i="17" s="1"/>
  <c r="R55" i="17"/>
  <c r="AF55" i="17" s="1"/>
  <c r="P55" i="17"/>
  <c r="O55" i="17"/>
  <c r="L55" i="17"/>
  <c r="K55" i="17"/>
  <c r="J55" i="17" s="1"/>
  <c r="H55" i="17"/>
  <c r="I55" i="17" s="1"/>
  <c r="E55" i="17"/>
  <c r="D55" i="17"/>
  <c r="C55" i="17"/>
  <c r="F55" i="17" s="1"/>
  <c r="B55" i="17"/>
  <c r="A55" i="17"/>
  <c r="BJ54" i="17"/>
  <c r="BI54" i="17"/>
  <c r="BH54" i="17"/>
  <c r="BG54" i="17"/>
  <c r="BF54" i="17"/>
  <c r="BE54" i="17"/>
  <c r="BD54" i="17"/>
  <c r="BC54" i="17" s="1"/>
  <c r="BB54" i="17"/>
  <c r="AU54" i="17"/>
  <c r="AX54" i="17" s="1"/>
  <c r="AT54" i="17"/>
  <c r="AW54" i="17" s="1"/>
  <c r="AZ54" i="17" s="1"/>
  <c r="AS54" i="17"/>
  <c r="AR54" i="17"/>
  <c r="AQ54" i="17"/>
  <c r="AO54" i="17" s="1"/>
  <c r="AV54" i="17" s="1"/>
  <c r="AP54" i="17"/>
  <c r="AN54" i="17"/>
  <c r="AM54" i="17"/>
  <c r="AL54" i="17"/>
  <c r="AK54" i="17"/>
  <c r="AJ54" i="17"/>
  <c r="AF54" i="17"/>
  <c r="AD54" i="17"/>
  <c r="Z54" i="17"/>
  <c r="Y54" i="17"/>
  <c r="X54" i="17" s="1"/>
  <c r="V54" i="17"/>
  <c r="W54" i="17" s="1"/>
  <c r="AC54" i="17" s="1"/>
  <c r="S54" i="17"/>
  <c r="Q54" i="17" s="1"/>
  <c r="R54" i="17"/>
  <c r="P54" i="17"/>
  <c r="O54" i="17"/>
  <c r="N54" i="17"/>
  <c r="M54" i="17"/>
  <c r="L54" i="17"/>
  <c r="J54" i="17" s="1"/>
  <c r="K54" i="17"/>
  <c r="I54" i="17"/>
  <c r="H54" i="17"/>
  <c r="E54" i="17"/>
  <c r="D54" i="17"/>
  <c r="C54" i="17"/>
  <c r="F54" i="17" s="1"/>
  <c r="B54" i="17"/>
  <c r="A54" i="17"/>
  <c r="BJ53" i="17"/>
  <c r="BI53" i="17"/>
  <c r="BH53" i="17"/>
  <c r="BG53" i="17"/>
  <c r="BF53" i="17"/>
  <c r="BE53" i="17"/>
  <c r="BC53" i="17" s="1"/>
  <c r="BD53" i="17"/>
  <c r="BB53" i="17"/>
  <c r="AU53" i="17"/>
  <c r="AT53" i="17"/>
  <c r="AS53" i="17" s="1"/>
  <c r="AV53" i="17" s="1"/>
  <c r="AY53" i="17" s="1"/>
  <c r="AR53" i="17"/>
  <c r="AQ53" i="17"/>
  <c r="AX53" i="17" s="1"/>
  <c r="AP53" i="17"/>
  <c r="AW53" i="17" s="1"/>
  <c r="AZ53" i="17" s="1"/>
  <c r="AN53" i="17"/>
  <c r="AM53" i="17"/>
  <c r="AL53" i="17"/>
  <c r="AK53" i="17" s="1"/>
  <c r="AJ53" i="17"/>
  <c r="AF53" i="17"/>
  <c r="AD53" i="17"/>
  <c r="Z53" i="17"/>
  <c r="Y53" i="17"/>
  <c r="X53" i="17" s="1"/>
  <c r="V53" i="17"/>
  <c r="W53" i="17" s="1"/>
  <c r="T53" i="17"/>
  <c r="S53" i="17"/>
  <c r="U53" i="17" s="1"/>
  <c r="R53" i="17"/>
  <c r="Q53" i="17"/>
  <c r="P53" i="17"/>
  <c r="O53" i="17"/>
  <c r="N53" i="17"/>
  <c r="L53" i="17"/>
  <c r="M53" i="17" s="1"/>
  <c r="K53" i="17"/>
  <c r="I53" i="17"/>
  <c r="H53" i="17"/>
  <c r="E53" i="17"/>
  <c r="C53" i="17"/>
  <c r="D53" i="17" s="1"/>
  <c r="B53" i="17"/>
  <c r="A53" i="17"/>
  <c r="BJ52" i="17"/>
  <c r="BI52" i="17"/>
  <c r="BH52" i="17"/>
  <c r="BG52" i="17"/>
  <c r="BF52" i="17"/>
  <c r="BE52" i="17"/>
  <c r="BC52" i="17" s="1"/>
  <c r="BD52" i="17"/>
  <c r="BB52" i="17"/>
  <c r="AU52" i="17"/>
  <c r="AX52" i="17" s="1"/>
  <c r="BA52" i="17" s="1"/>
  <c r="AT52" i="17"/>
  <c r="AW52" i="17" s="1"/>
  <c r="AR52" i="17"/>
  <c r="AQ52" i="17"/>
  <c r="AO52" i="17" s="1"/>
  <c r="AP52" i="17"/>
  <c r="AN52" i="17"/>
  <c r="AM52" i="17"/>
  <c r="AL52" i="17"/>
  <c r="AK52" i="17" s="1"/>
  <c r="AJ52" i="17"/>
  <c r="AD52" i="17"/>
  <c r="Z52" i="17"/>
  <c r="Y52" i="17"/>
  <c r="AF52" i="17" s="1"/>
  <c r="W52" i="17"/>
  <c r="V52" i="17"/>
  <c r="S52" i="17"/>
  <c r="U52" i="17" s="1"/>
  <c r="R52" i="17"/>
  <c r="Q52" i="17"/>
  <c r="O52" i="17"/>
  <c r="P52" i="17" s="1"/>
  <c r="T52" i="17" s="1"/>
  <c r="L52" i="17"/>
  <c r="AG52" i="17" s="1"/>
  <c r="K52" i="17"/>
  <c r="I52" i="17"/>
  <c r="AC52" i="17" s="1"/>
  <c r="H52" i="17"/>
  <c r="C52" i="17"/>
  <c r="F52" i="17" s="1"/>
  <c r="B52" i="17"/>
  <c r="A52" i="17"/>
  <c r="BJ51" i="17"/>
  <c r="BI51" i="17"/>
  <c r="BH51" i="17"/>
  <c r="BG51" i="17"/>
  <c r="BF51" i="17"/>
  <c r="BE51" i="17"/>
  <c r="BC51" i="17" s="1"/>
  <c r="BD51" i="17"/>
  <c r="BB51" i="17"/>
  <c r="AU51" i="17"/>
  <c r="AT51" i="17"/>
  <c r="AR51" i="17"/>
  <c r="AQ51" i="17"/>
  <c r="AP51" i="17"/>
  <c r="AO51" i="17"/>
  <c r="AN51" i="17"/>
  <c r="AM51" i="17"/>
  <c r="AL51" i="17"/>
  <c r="AJ51" i="17"/>
  <c r="AD51" i="17"/>
  <c r="Z51" i="17"/>
  <c r="X51" i="17" s="1"/>
  <c r="Y51" i="17"/>
  <c r="W51" i="17"/>
  <c r="V51" i="17"/>
  <c r="S51" i="17"/>
  <c r="R51" i="17"/>
  <c r="Q51" i="17" s="1"/>
  <c r="O51" i="17"/>
  <c r="P51" i="17" s="1"/>
  <c r="U51" i="17" s="1"/>
  <c r="L51" i="17"/>
  <c r="K51" i="17"/>
  <c r="I51" i="17"/>
  <c r="AC51" i="17" s="1"/>
  <c r="H51" i="17"/>
  <c r="C51" i="17"/>
  <c r="B51" i="17"/>
  <c r="A51" i="17"/>
  <c r="BJ50" i="17"/>
  <c r="BI50" i="17"/>
  <c r="BH50" i="17"/>
  <c r="BG50" i="17"/>
  <c r="BF50" i="17"/>
  <c r="BE50" i="17"/>
  <c r="BC50" i="17" s="1"/>
  <c r="BD50" i="17"/>
  <c r="BB50" i="17"/>
  <c r="AW50" i="17"/>
  <c r="AU50" i="17"/>
  <c r="AS50" i="17" s="1"/>
  <c r="AV50" i="17" s="1"/>
  <c r="AY50" i="17" s="1"/>
  <c r="AT50" i="17"/>
  <c r="AR50" i="17"/>
  <c r="AQ50" i="17"/>
  <c r="AP50" i="17"/>
  <c r="AO50" i="17"/>
  <c r="AN50" i="17"/>
  <c r="AM50" i="17"/>
  <c r="AK50" i="17" s="1"/>
  <c r="AL50" i="17"/>
  <c r="AJ50" i="17"/>
  <c r="AG50" i="17"/>
  <c r="AD50" i="17"/>
  <c r="Z50" i="17"/>
  <c r="X50" i="17" s="1"/>
  <c r="Y50" i="17"/>
  <c r="W50" i="17"/>
  <c r="V50" i="17"/>
  <c r="S50" i="17"/>
  <c r="R50" i="17"/>
  <c r="Q50" i="17" s="1"/>
  <c r="O50" i="17"/>
  <c r="P50" i="17" s="1"/>
  <c r="L50" i="17"/>
  <c r="N50" i="17" s="1"/>
  <c r="K50" i="17"/>
  <c r="J50" i="17"/>
  <c r="H50" i="17"/>
  <c r="I50" i="17" s="1"/>
  <c r="F50" i="17"/>
  <c r="C50" i="17"/>
  <c r="E50" i="17" s="1"/>
  <c r="B50" i="17"/>
  <c r="A50" i="17"/>
  <c r="BJ49" i="17"/>
  <c r="BI49" i="17"/>
  <c r="BH49" i="17"/>
  <c r="BG49" i="17"/>
  <c r="BF49" i="17"/>
  <c r="BE49" i="17"/>
  <c r="BD49" i="17"/>
  <c r="BC49" i="17"/>
  <c r="BB49" i="17"/>
  <c r="AW49" i="17"/>
  <c r="AU49" i="17"/>
  <c r="AT49" i="17"/>
  <c r="AR49" i="17"/>
  <c r="AQ49" i="17"/>
  <c r="AP49" i="17"/>
  <c r="AO49" i="17"/>
  <c r="AN49" i="17"/>
  <c r="AM49" i="17"/>
  <c r="AK49" i="17" s="1"/>
  <c r="AL49" i="17"/>
  <c r="AJ49" i="17"/>
  <c r="AG49" i="17"/>
  <c r="AE49" i="17" s="1"/>
  <c r="AD49" i="17"/>
  <c r="Z49" i="17"/>
  <c r="X49" i="17" s="1"/>
  <c r="Y49" i="17"/>
  <c r="W49" i="17"/>
  <c r="V49" i="17"/>
  <c r="S49" i="17"/>
  <c r="Q49" i="17" s="1"/>
  <c r="R49" i="17"/>
  <c r="AF49" i="17" s="1"/>
  <c r="AZ49" i="17" s="1"/>
  <c r="O49" i="17"/>
  <c r="P49" i="17" s="1"/>
  <c r="T49" i="17" s="1"/>
  <c r="M49" i="17"/>
  <c r="L49" i="17"/>
  <c r="K49" i="17"/>
  <c r="J49" i="17"/>
  <c r="H49" i="17"/>
  <c r="I49" i="17" s="1"/>
  <c r="F49" i="17"/>
  <c r="E49" i="17"/>
  <c r="D49" i="17"/>
  <c r="C49" i="17"/>
  <c r="B49" i="17"/>
  <c r="A49" i="17"/>
  <c r="BJ48" i="17"/>
  <c r="BI48" i="17"/>
  <c r="BH48" i="17"/>
  <c r="BG48" i="17"/>
  <c r="BF48" i="17"/>
  <c r="BE48" i="17"/>
  <c r="BD48" i="17"/>
  <c r="BC48" i="17"/>
  <c r="BB48" i="17"/>
  <c r="AX48" i="17"/>
  <c r="BA48" i="17" s="1"/>
  <c r="AU48" i="17"/>
  <c r="AS48" i="17" s="1"/>
  <c r="AT48" i="17"/>
  <c r="AW48" i="17" s="1"/>
  <c r="AR48" i="17"/>
  <c r="AQ48" i="17"/>
  <c r="AP48" i="17"/>
  <c r="AN48" i="17"/>
  <c r="AM48" i="17"/>
  <c r="AK48" i="17" s="1"/>
  <c r="AL48" i="17"/>
  <c r="AJ48" i="17"/>
  <c r="AH48" i="17"/>
  <c r="AD48" i="17"/>
  <c r="Z48" i="17"/>
  <c r="AG48" i="17" s="1"/>
  <c r="AI48" i="17" s="1"/>
  <c r="Y48" i="17"/>
  <c r="X48" i="17"/>
  <c r="V48" i="17"/>
  <c r="W48" i="17" s="1"/>
  <c r="U48" i="17"/>
  <c r="S48" i="17"/>
  <c r="R48" i="17"/>
  <c r="Q48" i="17" s="1"/>
  <c r="P48" i="17"/>
  <c r="T48" i="17" s="1"/>
  <c r="O48" i="17"/>
  <c r="L48" i="17"/>
  <c r="K48" i="17"/>
  <c r="J48" i="17"/>
  <c r="H48" i="17"/>
  <c r="I48" i="17" s="1"/>
  <c r="AC48" i="17" s="1"/>
  <c r="D48" i="17"/>
  <c r="C48" i="17"/>
  <c r="B48" i="17"/>
  <c r="A48" i="17"/>
  <c r="BJ47" i="17"/>
  <c r="BI47" i="17"/>
  <c r="BH47" i="17"/>
  <c r="BG47" i="17"/>
  <c r="BF47" i="17"/>
  <c r="BE47" i="17"/>
  <c r="BC47" i="17" s="1"/>
  <c r="BD47" i="17"/>
  <c r="BB47" i="17"/>
  <c r="AX47" i="17"/>
  <c r="AW47" i="17"/>
  <c r="AU47" i="17"/>
  <c r="AS47" i="17" s="1"/>
  <c r="AV47" i="17" s="1"/>
  <c r="AT47" i="17"/>
  <c r="AR47" i="17"/>
  <c r="AQ47" i="17"/>
  <c r="AP47" i="17"/>
  <c r="AO47" i="17" s="1"/>
  <c r="AN47" i="17"/>
  <c r="AM47" i="17"/>
  <c r="AK47" i="17" s="1"/>
  <c r="AL47" i="17"/>
  <c r="AJ47" i="17"/>
  <c r="AD47" i="17"/>
  <c r="Z47" i="17"/>
  <c r="Y47" i="17"/>
  <c r="X47" i="17"/>
  <c r="W47" i="17"/>
  <c r="V47" i="17"/>
  <c r="S47" i="17"/>
  <c r="Q47" i="17" s="1"/>
  <c r="R47" i="17"/>
  <c r="O47" i="17"/>
  <c r="P47" i="17" s="1"/>
  <c r="L47" i="17"/>
  <c r="K47" i="17"/>
  <c r="H47" i="17"/>
  <c r="I47" i="17" s="1"/>
  <c r="F47" i="17"/>
  <c r="C47" i="17"/>
  <c r="E47" i="17" s="1"/>
  <c r="B47" i="17"/>
  <c r="A47" i="17"/>
  <c r="BJ46" i="17"/>
  <c r="BI46" i="17"/>
  <c r="BH46" i="17"/>
  <c r="BG46" i="17"/>
  <c r="BF46" i="17"/>
  <c r="BE46" i="17"/>
  <c r="BD46" i="17"/>
  <c r="BB46" i="17"/>
  <c r="AX46" i="17"/>
  <c r="BA46" i="17" s="1"/>
  <c r="AU46" i="17"/>
  <c r="AT46" i="17"/>
  <c r="AS46" i="17"/>
  <c r="AV46" i="17" s="1"/>
  <c r="AY46" i="17" s="1"/>
  <c r="AR46" i="17"/>
  <c r="AQ46" i="17"/>
  <c r="AP46" i="17"/>
  <c r="AW46" i="17" s="1"/>
  <c r="AN46" i="17"/>
  <c r="AM46" i="17"/>
  <c r="AL46" i="17"/>
  <c r="AK46" i="17"/>
  <c r="AJ46" i="17"/>
  <c r="AG46" i="17"/>
  <c r="AD46" i="17"/>
  <c r="Z46" i="17"/>
  <c r="Y46" i="17"/>
  <c r="X46" i="17"/>
  <c r="V46" i="17"/>
  <c r="W46" i="17" s="1"/>
  <c r="S46" i="17"/>
  <c r="R46" i="17"/>
  <c r="O46" i="17"/>
  <c r="P46" i="17" s="1"/>
  <c r="L46" i="17"/>
  <c r="K46" i="17"/>
  <c r="AF46" i="17" s="1"/>
  <c r="J46" i="17"/>
  <c r="H46" i="17"/>
  <c r="I46" i="17" s="1"/>
  <c r="M46" i="17" s="1"/>
  <c r="F46" i="17"/>
  <c r="E46" i="17"/>
  <c r="D46" i="17"/>
  <c r="C46" i="17"/>
  <c r="B46" i="17"/>
  <c r="A46" i="17"/>
  <c r="BJ45" i="17"/>
  <c r="BI45" i="17"/>
  <c r="BH45" i="17"/>
  <c r="BG45" i="17"/>
  <c r="BF45" i="17"/>
  <c r="BE45" i="17"/>
  <c r="BD45" i="17"/>
  <c r="BC45" i="17" s="1"/>
  <c r="BB45" i="17"/>
  <c r="AU45" i="17"/>
  <c r="AT45" i="17"/>
  <c r="AW45" i="17" s="1"/>
  <c r="AZ45" i="17" s="1"/>
  <c r="AS45" i="17"/>
  <c r="AV45" i="17" s="1"/>
  <c r="AY45" i="17" s="1"/>
  <c r="AR45" i="17"/>
  <c r="AQ45" i="17"/>
  <c r="AO45" i="17" s="1"/>
  <c r="AP45" i="17"/>
  <c r="AN45" i="17"/>
  <c r="AM45" i="17"/>
  <c r="AL45" i="17"/>
  <c r="AK45" i="17"/>
  <c r="AJ45" i="17"/>
  <c r="AD45" i="17"/>
  <c r="Z45" i="17"/>
  <c r="Y45" i="17"/>
  <c r="AF45" i="17" s="1"/>
  <c r="V45" i="17"/>
  <c r="W45" i="17" s="1"/>
  <c r="AC45" i="17" s="1"/>
  <c r="U45" i="17"/>
  <c r="S45" i="17"/>
  <c r="T45" i="17" s="1"/>
  <c r="R45" i="17"/>
  <c r="P45" i="17"/>
  <c r="O45" i="17"/>
  <c r="N45" i="17"/>
  <c r="M45" i="17"/>
  <c r="L45" i="17"/>
  <c r="K45" i="17"/>
  <c r="J45" i="17" s="1"/>
  <c r="I45" i="17"/>
  <c r="H45" i="17"/>
  <c r="E45" i="17"/>
  <c r="D45" i="17"/>
  <c r="C45" i="17"/>
  <c r="F45" i="17" s="1"/>
  <c r="B45" i="17"/>
  <c r="A45" i="17"/>
  <c r="BJ44" i="17"/>
  <c r="BI44" i="17"/>
  <c r="BH44" i="17"/>
  <c r="BG44" i="17"/>
  <c r="BF44" i="17"/>
  <c r="BE44" i="17"/>
  <c r="BD44" i="17"/>
  <c r="BC44" i="17" s="1"/>
  <c r="BB44" i="17"/>
  <c r="AU44" i="17"/>
  <c r="AS44" i="17" s="1"/>
  <c r="AV44" i="17" s="1"/>
  <c r="AY44" i="17" s="1"/>
  <c r="AT44" i="17"/>
  <c r="AW44" i="17" s="1"/>
  <c r="AZ44" i="17" s="1"/>
  <c r="AR44" i="17"/>
  <c r="AQ44" i="17"/>
  <c r="AO44" i="17" s="1"/>
  <c r="AP44" i="17"/>
  <c r="AN44" i="17"/>
  <c r="AM44" i="17"/>
  <c r="AK44" i="17" s="1"/>
  <c r="AL44" i="17"/>
  <c r="AJ44" i="17"/>
  <c r="AF44" i="17"/>
  <c r="AD44" i="17"/>
  <c r="Z44" i="17"/>
  <c r="Y44" i="17"/>
  <c r="X44" i="17"/>
  <c r="V44" i="17"/>
  <c r="W44" i="17" s="1"/>
  <c r="U44" i="17"/>
  <c r="T44" i="17"/>
  <c r="S44" i="17"/>
  <c r="R44" i="17"/>
  <c r="Q44" i="17"/>
  <c r="P44" i="17"/>
  <c r="O44" i="17"/>
  <c r="L44" i="17"/>
  <c r="J44" i="17" s="1"/>
  <c r="K44" i="17"/>
  <c r="H44" i="17"/>
  <c r="I44" i="17" s="1"/>
  <c r="D44" i="17"/>
  <c r="C44" i="17"/>
  <c r="F44" i="17" s="1"/>
  <c r="B44" i="17"/>
  <c r="A44" i="17"/>
  <c r="BJ43" i="17"/>
  <c r="BI43" i="17"/>
  <c r="BH43" i="17"/>
  <c r="BG43" i="17"/>
  <c r="BF43" i="17"/>
  <c r="BE43" i="17"/>
  <c r="BC43" i="17" s="1"/>
  <c r="BD43" i="17"/>
  <c r="BB43" i="17"/>
  <c r="AX43" i="17"/>
  <c r="AU43" i="17"/>
  <c r="AT43" i="17"/>
  <c r="AW43" i="17" s="1"/>
  <c r="AZ43" i="17" s="1"/>
  <c r="AS43" i="17"/>
  <c r="AV43" i="17" s="1"/>
  <c r="AY43" i="17" s="1"/>
  <c r="AR43" i="17"/>
  <c r="AQ43" i="17"/>
  <c r="AP43" i="17"/>
  <c r="AO43" i="17"/>
  <c r="AN43" i="17"/>
  <c r="AM43" i="17"/>
  <c r="AL43" i="17"/>
  <c r="AK43" i="17"/>
  <c r="AJ43" i="17"/>
  <c r="AD43" i="17"/>
  <c r="Z43" i="17"/>
  <c r="Y43" i="17"/>
  <c r="AF43" i="17" s="1"/>
  <c r="W43" i="17"/>
  <c r="V43" i="17"/>
  <c r="S43" i="17"/>
  <c r="Q43" i="17" s="1"/>
  <c r="R43" i="17"/>
  <c r="P43" i="17"/>
  <c r="O43" i="17"/>
  <c r="L43" i="17"/>
  <c r="K43" i="17"/>
  <c r="H43" i="17"/>
  <c r="I43" i="17" s="1"/>
  <c r="AC43" i="17" s="1"/>
  <c r="F43" i="17"/>
  <c r="C43" i="17"/>
  <c r="B43" i="17"/>
  <c r="A43" i="17"/>
  <c r="BJ42" i="17"/>
  <c r="BI42" i="17"/>
  <c r="BH42" i="17"/>
  <c r="BG42" i="17"/>
  <c r="BF42" i="17"/>
  <c r="BE42" i="17"/>
  <c r="BD42" i="17"/>
  <c r="BB42" i="17"/>
  <c r="AU42" i="17"/>
  <c r="AX42" i="17" s="1"/>
  <c r="AT42" i="17"/>
  <c r="AW42" i="17" s="1"/>
  <c r="AZ42" i="17" s="1"/>
  <c r="AS42" i="17"/>
  <c r="AV42" i="17" s="1"/>
  <c r="AY42" i="17" s="1"/>
  <c r="AR42" i="17"/>
  <c r="AQ42" i="17"/>
  <c r="AP42" i="17"/>
  <c r="AO42" i="17"/>
  <c r="AN42" i="17"/>
  <c r="AM42" i="17"/>
  <c r="AL42" i="17"/>
  <c r="AK42" i="17"/>
  <c r="AJ42" i="17"/>
  <c r="AD42" i="17"/>
  <c r="Z42" i="17"/>
  <c r="X42" i="17" s="1"/>
  <c r="Y42" i="17"/>
  <c r="W42" i="17"/>
  <c r="V42" i="17"/>
  <c r="S42" i="17"/>
  <c r="R42" i="17"/>
  <c r="AF42" i="17" s="1"/>
  <c r="O42" i="17"/>
  <c r="P42" i="17" s="1"/>
  <c r="AC42" i="17" s="1"/>
  <c r="L42" i="17"/>
  <c r="M42" i="17" s="1"/>
  <c r="K42" i="17"/>
  <c r="I42" i="17"/>
  <c r="H42" i="17"/>
  <c r="E42" i="17"/>
  <c r="C42" i="17"/>
  <c r="D42" i="17" s="1"/>
  <c r="B42" i="17"/>
  <c r="A42" i="17"/>
  <c r="BJ41" i="17"/>
  <c r="BI41" i="17"/>
  <c r="BH41" i="17"/>
  <c r="BG41" i="17"/>
  <c r="BF41" i="17"/>
  <c r="BE41" i="17"/>
  <c r="BD41" i="17"/>
  <c r="BC41" i="17"/>
  <c r="BB41" i="17"/>
  <c r="AW41" i="17"/>
  <c r="AZ41" i="17" s="1"/>
  <c r="AU41" i="17"/>
  <c r="AS41" i="17" s="1"/>
  <c r="AV41" i="17" s="1"/>
  <c r="AT41" i="17"/>
  <c r="AR41" i="17"/>
  <c r="AQ41" i="17"/>
  <c r="AP41" i="17"/>
  <c r="AO41" i="17"/>
  <c r="AN41" i="17"/>
  <c r="AM41" i="17"/>
  <c r="AK41" i="17" s="1"/>
  <c r="AL41" i="17"/>
  <c r="AJ41" i="17"/>
  <c r="AD41" i="17"/>
  <c r="Z41" i="17"/>
  <c r="AG41" i="17" s="1"/>
  <c r="Y41" i="17"/>
  <c r="AF41" i="17" s="1"/>
  <c r="V41" i="17"/>
  <c r="W41" i="17" s="1"/>
  <c r="S41" i="17"/>
  <c r="R41" i="17"/>
  <c r="Q41" i="17"/>
  <c r="P41" i="17"/>
  <c r="T41" i="17" s="1"/>
  <c r="O41" i="17"/>
  <c r="L41" i="17"/>
  <c r="K41" i="17"/>
  <c r="J41" i="17"/>
  <c r="H41" i="17"/>
  <c r="I41" i="17" s="1"/>
  <c r="F41" i="17"/>
  <c r="E41" i="17"/>
  <c r="D41" i="17"/>
  <c r="C41" i="17"/>
  <c r="B41" i="17"/>
  <c r="A41" i="17"/>
  <c r="BJ40" i="17"/>
  <c r="BI40" i="17"/>
  <c r="BH40" i="17"/>
  <c r="BG40" i="17"/>
  <c r="BF40" i="17"/>
  <c r="BE40" i="17"/>
  <c r="BD40" i="17"/>
  <c r="BC40" i="17"/>
  <c r="BB40" i="17"/>
  <c r="AU40" i="17"/>
  <c r="AX40" i="17" s="1"/>
  <c r="BA40" i="17" s="1"/>
  <c r="AT40" i="17"/>
  <c r="AS40" i="17" s="1"/>
  <c r="AV40" i="17" s="1"/>
  <c r="AY40" i="17" s="1"/>
  <c r="AQ40" i="17"/>
  <c r="AO40" i="17" s="1"/>
  <c r="AP40" i="17"/>
  <c r="AN40" i="17"/>
  <c r="AM40" i="17"/>
  <c r="AL40" i="17"/>
  <c r="AK40" i="17"/>
  <c r="AG40" i="17"/>
  <c r="AD40" i="17"/>
  <c r="Z40" i="17"/>
  <c r="X40" i="17" s="1"/>
  <c r="Y40" i="17"/>
  <c r="AF40" i="17" s="1"/>
  <c r="S40" i="17"/>
  <c r="Q40" i="17" s="1"/>
  <c r="R40" i="17"/>
  <c r="L40" i="17"/>
  <c r="K40" i="17"/>
  <c r="J40" i="17"/>
  <c r="C40" i="17"/>
  <c r="F40" i="17" s="1"/>
  <c r="B40" i="17"/>
  <c r="A40" i="17"/>
  <c r="BJ39" i="17"/>
  <c r="BI39" i="17"/>
  <c r="BH39" i="17"/>
  <c r="BG39" i="17"/>
  <c r="BF39" i="17"/>
  <c r="BE39" i="17"/>
  <c r="BC39" i="17" s="1"/>
  <c r="BD39" i="17"/>
  <c r="BB39" i="17"/>
  <c r="AX39" i="17"/>
  <c r="BA39" i="17" s="1"/>
  <c r="AW39" i="17"/>
  <c r="AU39" i="17"/>
  <c r="AT39" i="17"/>
  <c r="AS39" i="17"/>
  <c r="AV39" i="17" s="1"/>
  <c r="AR39" i="17"/>
  <c r="AQ39" i="17"/>
  <c r="AP39" i="17"/>
  <c r="AO39" i="17"/>
  <c r="AN39" i="17"/>
  <c r="AM39" i="17"/>
  <c r="AL39" i="17"/>
  <c r="AK39" i="17"/>
  <c r="AJ39" i="17"/>
  <c r="AG39" i="17"/>
  <c r="AE39" i="17" s="1"/>
  <c r="AD39" i="17"/>
  <c r="Z39" i="17"/>
  <c r="X39" i="17" s="1"/>
  <c r="Y39" i="17"/>
  <c r="AF39" i="17" s="1"/>
  <c r="W39" i="17"/>
  <c r="V39" i="17"/>
  <c r="S39" i="17"/>
  <c r="R39" i="17"/>
  <c r="O39" i="17"/>
  <c r="P39" i="17" s="1"/>
  <c r="L39" i="17"/>
  <c r="M39" i="17" s="1"/>
  <c r="K39" i="17"/>
  <c r="J39" i="17"/>
  <c r="H39" i="17"/>
  <c r="I39" i="17" s="1"/>
  <c r="F39" i="17"/>
  <c r="E39" i="17"/>
  <c r="C39" i="17"/>
  <c r="D39" i="17" s="1"/>
  <c r="B39" i="17"/>
  <c r="A39" i="17"/>
  <c r="BJ38" i="17"/>
  <c r="BI38" i="17"/>
  <c r="BH38" i="17"/>
  <c r="BG38" i="17"/>
  <c r="BF38" i="17"/>
  <c r="BE38" i="17"/>
  <c r="BD38" i="17"/>
  <c r="BC38" i="17"/>
  <c r="BB38" i="17"/>
  <c r="AU38" i="17"/>
  <c r="AX38" i="17" s="1"/>
  <c r="AT38" i="17"/>
  <c r="AW38" i="17" s="1"/>
  <c r="AR38" i="17"/>
  <c r="AQ38" i="17"/>
  <c r="AO38" i="17" s="1"/>
  <c r="AP38" i="17"/>
  <c r="AN38" i="17"/>
  <c r="AM38" i="17"/>
  <c r="AK38" i="17" s="1"/>
  <c r="AL38" i="17"/>
  <c r="AJ38" i="17"/>
  <c r="AD38" i="17"/>
  <c r="Z38" i="17"/>
  <c r="X38" i="17" s="1"/>
  <c r="Y38" i="17"/>
  <c r="V38" i="17"/>
  <c r="W38" i="17" s="1"/>
  <c r="S38" i="17"/>
  <c r="T38" i="17" s="1"/>
  <c r="R38" i="17"/>
  <c r="AF38" i="17" s="1"/>
  <c r="O38" i="17"/>
  <c r="P38" i="17" s="1"/>
  <c r="M38" i="17"/>
  <c r="L38" i="17"/>
  <c r="N38" i="17" s="1"/>
  <c r="K38" i="17"/>
  <c r="J38" i="17"/>
  <c r="I38" i="17"/>
  <c r="H38" i="17"/>
  <c r="D38" i="17"/>
  <c r="C38" i="17"/>
  <c r="F38" i="17" s="1"/>
  <c r="B38" i="17"/>
  <c r="A38" i="17"/>
  <c r="BJ37" i="17"/>
  <c r="BI37" i="17"/>
  <c r="BH37" i="17"/>
  <c r="BG37" i="17"/>
  <c r="BF37" i="17"/>
  <c r="BE37" i="17"/>
  <c r="BD37" i="17"/>
  <c r="BC37" i="17"/>
  <c r="BB37" i="17"/>
  <c r="AU37" i="17"/>
  <c r="AS37" i="17" s="1"/>
  <c r="AT37" i="17"/>
  <c r="AR37" i="17"/>
  <c r="AQ37" i="17"/>
  <c r="AP37" i="17"/>
  <c r="AW37" i="17" s="1"/>
  <c r="AZ37" i="17" s="1"/>
  <c r="AN37" i="17"/>
  <c r="AN130" i="17" s="1"/>
  <c r="AM37" i="17"/>
  <c r="AK37" i="17" s="1"/>
  <c r="AL37" i="17"/>
  <c r="AJ37" i="17"/>
  <c r="AH37" i="17"/>
  <c r="AG37" i="17"/>
  <c r="AI37" i="17" s="1"/>
  <c r="AF37" i="17"/>
  <c r="AE37" i="17"/>
  <c r="AD37" i="17"/>
  <c r="Z37" i="17"/>
  <c r="Y37" i="17"/>
  <c r="X37" i="17"/>
  <c r="V37" i="17"/>
  <c r="W37" i="17" s="1"/>
  <c r="W130" i="17" s="1"/>
  <c r="U37" i="17"/>
  <c r="S37" i="17"/>
  <c r="R37" i="17"/>
  <c r="Q37" i="17"/>
  <c r="P37" i="17"/>
  <c r="T37" i="17" s="1"/>
  <c r="O37" i="17"/>
  <c r="L37" i="17"/>
  <c r="J37" i="17" s="1"/>
  <c r="K37" i="17"/>
  <c r="H37" i="17"/>
  <c r="F37" i="17"/>
  <c r="E37" i="17"/>
  <c r="D37" i="17"/>
  <c r="C37" i="17"/>
  <c r="B37" i="17"/>
  <c r="A37" i="17"/>
  <c r="BJ36" i="17"/>
  <c r="BI36" i="17"/>
  <c r="BH36" i="17"/>
  <c r="BG36" i="17"/>
  <c r="BF36" i="17"/>
  <c r="BE36" i="17"/>
  <c r="BC36" i="17" s="1"/>
  <c r="BD36" i="17"/>
  <c r="BB36" i="17"/>
  <c r="AX36" i="17"/>
  <c r="AU36" i="17"/>
  <c r="AT36" i="17"/>
  <c r="AW36" i="17" s="1"/>
  <c r="AZ36" i="17" s="1"/>
  <c r="AS36" i="17"/>
  <c r="AV36" i="17" s="1"/>
  <c r="AY36" i="17" s="1"/>
  <c r="AQ36" i="17"/>
  <c r="AP36" i="17"/>
  <c r="AO36" i="17"/>
  <c r="AM36" i="17"/>
  <c r="AK36" i="17" s="1"/>
  <c r="AL36" i="17"/>
  <c r="AJ36" i="17"/>
  <c r="AF36" i="17"/>
  <c r="AD36" i="17"/>
  <c r="AC36" i="17"/>
  <c r="Z36" i="17"/>
  <c r="X36" i="17" s="1"/>
  <c r="Y36" i="17"/>
  <c r="V36" i="17"/>
  <c r="U36" i="17"/>
  <c r="S36" i="17"/>
  <c r="T36" i="17" s="1"/>
  <c r="R36" i="17"/>
  <c r="Q36" i="17"/>
  <c r="O36" i="17"/>
  <c r="L36" i="17"/>
  <c r="J36" i="17" s="1"/>
  <c r="K36" i="17"/>
  <c r="E36" i="17"/>
  <c r="D36" i="17"/>
  <c r="C36" i="17"/>
  <c r="F36" i="17" s="1"/>
  <c r="B36" i="17"/>
  <c r="A36" i="17"/>
  <c r="BJ35" i="17"/>
  <c r="BI35" i="17"/>
  <c r="BH35" i="17"/>
  <c r="BG35" i="17"/>
  <c r="BF35" i="17"/>
  <c r="BE35" i="17"/>
  <c r="BD35" i="17"/>
  <c r="BC35" i="17"/>
  <c r="BB35" i="17"/>
  <c r="AU35" i="17"/>
  <c r="AS35" i="17" s="1"/>
  <c r="AV35" i="17" s="1"/>
  <c r="AY35" i="17" s="1"/>
  <c r="AT35" i="17"/>
  <c r="AQ35" i="17"/>
  <c r="AP35" i="17"/>
  <c r="AW35" i="17" s="1"/>
  <c r="AO35" i="17"/>
  <c r="AM35" i="17"/>
  <c r="AL35" i="17"/>
  <c r="AK35" i="17"/>
  <c r="AJ35" i="17"/>
  <c r="AD35" i="17"/>
  <c r="AC35" i="17"/>
  <c r="Z35" i="17"/>
  <c r="X35" i="17" s="1"/>
  <c r="Y35" i="17"/>
  <c r="V35" i="17"/>
  <c r="S35" i="17"/>
  <c r="AG35" i="17" s="1"/>
  <c r="R35" i="17"/>
  <c r="AF35" i="17" s="1"/>
  <c r="O35" i="17"/>
  <c r="L35" i="17"/>
  <c r="N35" i="17" s="1"/>
  <c r="K35" i="17"/>
  <c r="J35" i="17"/>
  <c r="F35" i="17"/>
  <c r="E35" i="17"/>
  <c r="D35" i="17"/>
  <c r="C35" i="17"/>
  <c r="B35" i="17"/>
  <c r="A35" i="17"/>
  <c r="BJ34" i="17"/>
  <c r="BI34" i="17"/>
  <c r="BH34" i="17"/>
  <c r="BG34" i="17"/>
  <c r="BF34" i="17"/>
  <c r="BE34" i="17"/>
  <c r="BD34" i="17"/>
  <c r="BC34" i="17"/>
  <c r="BB34" i="17"/>
  <c r="AU34" i="17"/>
  <c r="AX34" i="17" s="1"/>
  <c r="AT34" i="17"/>
  <c r="AW34" i="17" s="1"/>
  <c r="AZ34" i="17" s="1"/>
  <c r="AS34" i="17"/>
  <c r="AV34" i="17" s="1"/>
  <c r="AY34" i="17" s="1"/>
  <c r="AQ34" i="17"/>
  <c r="AO34" i="17" s="1"/>
  <c r="AP34" i="17"/>
  <c r="AM34" i="17"/>
  <c r="AL34" i="17"/>
  <c r="AK34" i="17"/>
  <c r="AJ34" i="17"/>
  <c r="AD34" i="17"/>
  <c r="AC34" i="17"/>
  <c r="Z34" i="17"/>
  <c r="AG34" i="17" s="1"/>
  <c r="Y34" i="17"/>
  <c r="AF34" i="17" s="1"/>
  <c r="V34" i="17"/>
  <c r="S34" i="17"/>
  <c r="U34" i="17" s="1"/>
  <c r="R34" i="17"/>
  <c r="O34" i="17"/>
  <c r="N34" i="17"/>
  <c r="L34" i="17"/>
  <c r="M34" i="17" s="1"/>
  <c r="K34" i="17"/>
  <c r="J34" i="17"/>
  <c r="D34" i="17"/>
  <c r="C34" i="17"/>
  <c r="F34" i="17" s="1"/>
  <c r="B34" i="17"/>
  <c r="A34" i="17"/>
  <c r="BJ33" i="17"/>
  <c r="BI33" i="17"/>
  <c r="BH33" i="17"/>
  <c r="BG33" i="17"/>
  <c r="BF33" i="17"/>
  <c r="BE33" i="17"/>
  <c r="BC33" i="17" s="1"/>
  <c r="BD33" i="17"/>
  <c r="BB33" i="17"/>
  <c r="AX33" i="17"/>
  <c r="AW33" i="17"/>
  <c r="AZ33" i="17" s="1"/>
  <c r="AU33" i="17"/>
  <c r="AT33" i="17"/>
  <c r="AS33" i="17"/>
  <c r="AQ33" i="17"/>
  <c r="AP33" i="17"/>
  <c r="AO33" i="17"/>
  <c r="AM33" i="17"/>
  <c r="AK33" i="17" s="1"/>
  <c r="AL33" i="17"/>
  <c r="AJ33" i="17"/>
  <c r="AF33" i="17"/>
  <c r="AD33" i="17"/>
  <c r="AC33" i="17"/>
  <c r="Z33" i="17"/>
  <c r="Y33" i="17"/>
  <c r="X33" i="17"/>
  <c r="V33" i="17"/>
  <c r="U33" i="17"/>
  <c r="T33" i="17"/>
  <c r="S33" i="17"/>
  <c r="Q33" i="17" s="1"/>
  <c r="R33" i="17"/>
  <c r="O33" i="17"/>
  <c r="L33" i="17"/>
  <c r="N33" i="17" s="1"/>
  <c r="K33" i="17"/>
  <c r="C33" i="17"/>
  <c r="F33" i="17" s="1"/>
  <c r="B33" i="17"/>
  <c r="A33" i="17"/>
  <c r="BJ32" i="17"/>
  <c r="BI32" i="17"/>
  <c r="BH32" i="17"/>
  <c r="BG32" i="17"/>
  <c r="BF32" i="17"/>
  <c r="BE32" i="17"/>
  <c r="BD32" i="17"/>
  <c r="BC32" i="17"/>
  <c r="BB32" i="17"/>
  <c r="AU32" i="17"/>
  <c r="AX32" i="17" s="1"/>
  <c r="AT32" i="17"/>
  <c r="AW32" i="17" s="1"/>
  <c r="AZ32" i="17" s="1"/>
  <c r="AQ32" i="17"/>
  <c r="AP32" i="17"/>
  <c r="AO32" i="17"/>
  <c r="AM32" i="17"/>
  <c r="AL32" i="17"/>
  <c r="AK32" i="17"/>
  <c r="AJ32" i="17"/>
  <c r="AD32" i="17"/>
  <c r="AC32" i="17"/>
  <c r="Z32" i="17"/>
  <c r="X32" i="17" s="1"/>
  <c r="Y32" i="17"/>
  <c r="V32" i="17"/>
  <c r="T32" i="17"/>
  <c r="S32" i="17"/>
  <c r="U32" i="17" s="1"/>
  <c r="R32" i="17"/>
  <c r="AF32" i="17" s="1"/>
  <c r="O32" i="17"/>
  <c r="L32" i="17"/>
  <c r="N32" i="17" s="1"/>
  <c r="K32" i="17"/>
  <c r="F32" i="17"/>
  <c r="E32" i="17"/>
  <c r="C32" i="17"/>
  <c r="D32" i="17" s="1"/>
  <c r="B32" i="17"/>
  <c r="A32" i="17"/>
  <c r="BJ31" i="17"/>
  <c r="BI31" i="17"/>
  <c r="BH31" i="17"/>
  <c r="BG31" i="17"/>
  <c r="BF31" i="17"/>
  <c r="BE31" i="17"/>
  <c r="BC31" i="17" s="1"/>
  <c r="BD31" i="17"/>
  <c r="BB31" i="17"/>
  <c r="AU31" i="17"/>
  <c r="AX31" i="17" s="1"/>
  <c r="BA31" i="17" s="1"/>
  <c r="AT31" i="17"/>
  <c r="AW31" i="17" s="1"/>
  <c r="AQ31" i="17"/>
  <c r="AO31" i="17" s="1"/>
  <c r="AP31" i="17"/>
  <c r="AM31" i="17"/>
  <c r="AK31" i="17" s="1"/>
  <c r="AL31" i="17"/>
  <c r="AJ31" i="17"/>
  <c r="AH31" i="17"/>
  <c r="AG31" i="17"/>
  <c r="AD31" i="17"/>
  <c r="AC31" i="17"/>
  <c r="Z31" i="17"/>
  <c r="Y31" i="17"/>
  <c r="AF31" i="17" s="1"/>
  <c r="X31" i="17"/>
  <c r="V31" i="17"/>
  <c r="U31" i="17"/>
  <c r="T31" i="17"/>
  <c r="S31" i="17"/>
  <c r="R31" i="17"/>
  <c r="Q31" i="17"/>
  <c r="O31" i="17"/>
  <c r="N31" i="17"/>
  <c r="M31" i="17"/>
  <c r="L31" i="17"/>
  <c r="J31" i="17" s="1"/>
  <c r="K31" i="17"/>
  <c r="C31" i="17"/>
  <c r="F31" i="17" s="1"/>
  <c r="B31" i="17"/>
  <c r="A31" i="17"/>
  <c r="BJ30" i="17"/>
  <c r="BI30" i="17"/>
  <c r="BH30" i="17"/>
  <c r="BG30" i="17"/>
  <c r="BF30" i="17"/>
  <c r="BE30" i="17"/>
  <c r="BC30" i="17" s="1"/>
  <c r="BD30" i="17"/>
  <c r="BB30" i="17"/>
  <c r="AW30" i="17"/>
  <c r="AZ30" i="17" s="1"/>
  <c r="AU30" i="17"/>
  <c r="AS30" i="17" s="1"/>
  <c r="AV30" i="17" s="1"/>
  <c r="AY30" i="17" s="1"/>
  <c r="AT30" i="17"/>
  <c r="AQ30" i="17"/>
  <c r="AP30" i="17"/>
  <c r="AO30" i="17" s="1"/>
  <c r="AM30" i="17"/>
  <c r="AX30" i="17" s="1"/>
  <c r="AL30" i="17"/>
  <c r="AJ30" i="17"/>
  <c r="AD30" i="17"/>
  <c r="AC30" i="17"/>
  <c r="Z30" i="17"/>
  <c r="X30" i="17" s="1"/>
  <c r="Y30" i="17"/>
  <c r="V30" i="17"/>
  <c r="T30" i="17"/>
  <c r="S30" i="17"/>
  <c r="Q30" i="17" s="1"/>
  <c r="R30" i="17"/>
  <c r="O30" i="17"/>
  <c r="M30" i="17"/>
  <c r="L30" i="17"/>
  <c r="N30" i="17" s="1"/>
  <c r="K30" i="17"/>
  <c r="AF30" i="17" s="1"/>
  <c r="E30" i="17"/>
  <c r="C30" i="17"/>
  <c r="D30" i="17" s="1"/>
  <c r="B30" i="17"/>
  <c r="A30" i="17"/>
  <c r="BJ29" i="17"/>
  <c r="BI29" i="17"/>
  <c r="BH29" i="17"/>
  <c r="BG29" i="17"/>
  <c r="BF29" i="17"/>
  <c r="BE29" i="17"/>
  <c r="BD29" i="17"/>
  <c r="BC29" i="17" s="1"/>
  <c r="BB29" i="17"/>
  <c r="AU29" i="17"/>
  <c r="AX29" i="17" s="1"/>
  <c r="AT29" i="17"/>
  <c r="AW29" i="17" s="1"/>
  <c r="AZ29" i="17" s="1"/>
  <c r="AQ29" i="17"/>
  <c r="AO29" i="17" s="1"/>
  <c r="AP29" i="17"/>
  <c r="AM29" i="17"/>
  <c r="AL29" i="17"/>
  <c r="AK29" i="17" s="1"/>
  <c r="AJ29" i="17"/>
  <c r="AD29" i="17"/>
  <c r="AC29" i="17"/>
  <c r="Z29" i="17"/>
  <c r="AG29" i="17" s="1"/>
  <c r="Y29" i="17"/>
  <c r="AF29" i="17" s="1"/>
  <c r="V29" i="17"/>
  <c r="S29" i="17"/>
  <c r="U29" i="17" s="1"/>
  <c r="R29" i="17"/>
  <c r="Q29" i="17"/>
  <c r="O29" i="17"/>
  <c r="N29" i="17"/>
  <c r="M29" i="17"/>
  <c r="L29" i="17"/>
  <c r="K29" i="17"/>
  <c r="J29" i="17"/>
  <c r="F29" i="17"/>
  <c r="E29" i="17"/>
  <c r="D29" i="17"/>
  <c r="C29" i="17"/>
  <c r="B29" i="17"/>
  <c r="A29" i="17"/>
  <c r="BJ28" i="17"/>
  <c r="BI28" i="17"/>
  <c r="BH28" i="17"/>
  <c r="BG28" i="17"/>
  <c r="BF28" i="17"/>
  <c r="BE28" i="17"/>
  <c r="BC28" i="17" s="1"/>
  <c r="BD28" i="17"/>
  <c r="BB28" i="17"/>
  <c r="AX28" i="17"/>
  <c r="BA28" i="17" s="1"/>
  <c r="AU28" i="17"/>
  <c r="AT28" i="17"/>
  <c r="AW28" i="17" s="1"/>
  <c r="AZ28" i="17" s="1"/>
  <c r="AS28" i="17"/>
  <c r="AV28" i="17" s="1"/>
  <c r="AY28" i="17" s="1"/>
  <c r="AQ28" i="17"/>
  <c r="AP28" i="17"/>
  <c r="AO28" i="17" s="1"/>
  <c r="AM28" i="17"/>
  <c r="AK28" i="17" s="1"/>
  <c r="AL28" i="17"/>
  <c r="AJ28" i="17"/>
  <c r="AG28" i="17"/>
  <c r="AI28" i="17" s="1"/>
  <c r="AF28" i="17"/>
  <c r="AD28" i="17"/>
  <c r="AC28" i="17"/>
  <c r="Z28" i="17"/>
  <c r="Y28" i="17"/>
  <c r="X28" i="17" s="1"/>
  <c r="V28" i="17"/>
  <c r="U28" i="17"/>
  <c r="S28" i="17"/>
  <c r="Q28" i="17" s="1"/>
  <c r="R28" i="17"/>
  <c r="O28" i="17"/>
  <c r="M28" i="17"/>
  <c r="L28" i="17"/>
  <c r="J28" i="17" s="1"/>
  <c r="K28" i="17"/>
  <c r="D28" i="17"/>
  <c r="C28" i="17"/>
  <c r="F28" i="17" s="1"/>
  <c r="B28" i="17"/>
  <c r="A28" i="17"/>
  <c r="BJ27" i="17"/>
  <c r="BI27" i="17"/>
  <c r="BH27" i="17"/>
  <c r="BG27" i="17"/>
  <c r="BF27" i="17"/>
  <c r="BE27" i="17"/>
  <c r="BD27" i="17"/>
  <c r="BC27" i="17" s="1"/>
  <c r="BB27" i="17"/>
  <c r="AU27" i="17"/>
  <c r="AS27" i="17" s="1"/>
  <c r="AV27" i="17" s="1"/>
  <c r="AY27" i="17" s="1"/>
  <c r="AT27" i="17"/>
  <c r="AQ27" i="17"/>
  <c r="AP27" i="17"/>
  <c r="AO27" i="17"/>
  <c r="AM27" i="17"/>
  <c r="AL27" i="17"/>
  <c r="AW27" i="17" s="1"/>
  <c r="AJ27" i="17"/>
  <c r="AD27" i="17"/>
  <c r="AC27" i="17"/>
  <c r="Z27" i="17"/>
  <c r="X27" i="17" s="1"/>
  <c r="Y27" i="17"/>
  <c r="V27" i="17"/>
  <c r="S27" i="17"/>
  <c r="AG27" i="17" s="1"/>
  <c r="R27" i="17"/>
  <c r="AF27" i="17" s="1"/>
  <c r="O27" i="17"/>
  <c r="L27" i="17"/>
  <c r="N27" i="17" s="1"/>
  <c r="K27" i="17"/>
  <c r="J27" i="17"/>
  <c r="F27" i="17"/>
  <c r="E27" i="17"/>
  <c r="D27" i="17"/>
  <c r="C27" i="17"/>
  <c r="B27" i="17"/>
  <c r="A27" i="17"/>
  <c r="BJ26" i="17"/>
  <c r="BI26" i="17"/>
  <c r="BH26" i="17"/>
  <c r="BG26" i="17"/>
  <c r="BF26" i="17"/>
  <c r="BE26" i="17"/>
  <c r="BD26" i="17"/>
  <c r="BC26" i="17"/>
  <c r="BB26" i="17"/>
  <c r="BA26" i="17"/>
  <c r="AU26" i="17"/>
  <c r="AX26" i="17" s="1"/>
  <c r="AT26" i="17"/>
  <c r="AW26" i="17" s="1"/>
  <c r="AS26" i="17"/>
  <c r="AV26" i="17" s="1"/>
  <c r="AY26" i="17" s="1"/>
  <c r="AQ26" i="17"/>
  <c r="AO26" i="17" s="1"/>
  <c r="AP26" i="17"/>
  <c r="AM26" i="17"/>
  <c r="AL26" i="17"/>
  <c r="AK26" i="17"/>
  <c r="AJ26" i="17"/>
  <c r="AD26" i="17"/>
  <c r="AC26" i="17"/>
  <c r="Z26" i="17"/>
  <c r="AG26" i="17" s="1"/>
  <c r="Y26" i="17"/>
  <c r="V26" i="17"/>
  <c r="U26" i="17"/>
  <c r="S26" i="17"/>
  <c r="T26" i="17" s="1"/>
  <c r="R26" i="17"/>
  <c r="Q26" i="17" s="1"/>
  <c r="O26" i="17"/>
  <c r="N26" i="17"/>
  <c r="L26" i="17"/>
  <c r="J26" i="17" s="1"/>
  <c r="K26" i="17"/>
  <c r="D26" i="17"/>
  <c r="C26" i="17"/>
  <c r="F26" i="17" s="1"/>
  <c r="B26" i="17"/>
  <c r="A26" i="17"/>
  <c r="BJ25" i="17"/>
  <c r="BI25" i="17"/>
  <c r="BH25" i="17"/>
  <c r="BG25" i="17"/>
  <c r="BF25" i="17"/>
  <c r="BE25" i="17"/>
  <c r="BC25" i="17" s="1"/>
  <c r="BD25" i="17"/>
  <c r="BB25" i="17"/>
  <c r="AX25" i="17"/>
  <c r="AW25" i="17"/>
  <c r="AU25" i="17"/>
  <c r="AS25" i="17" s="1"/>
  <c r="AV25" i="17" s="1"/>
  <c r="AY25" i="17" s="1"/>
  <c r="AT25" i="17"/>
  <c r="AQ25" i="17"/>
  <c r="AP25" i="17"/>
  <c r="AO25" i="17"/>
  <c r="AM25" i="17"/>
  <c r="AK25" i="17" s="1"/>
  <c r="AL25" i="17"/>
  <c r="AJ25" i="17"/>
  <c r="AF25" i="17"/>
  <c r="AD25" i="17"/>
  <c r="AC25" i="17"/>
  <c r="Z25" i="17"/>
  <c r="Y25" i="17"/>
  <c r="X25" i="17"/>
  <c r="V25" i="17"/>
  <c r="U25" i="17"/>
  <c r="S25" i="17"/>
  <c r="Q25" i="17" s="1"/>
  <c r="R25" i="17"/>
  <c r="O25" i="17"/>
  <c r="L25" i="17"/>
  <c r="K25" i="17"/>
  <c r="C25" i="17"/>
  <c r="F25" i="17" s="1"/>
  <c r="B25" i="17"/>
  <c r="A25" i="17"/>
  <c r="BJ24" i="17"/>
  <c r="BI24" i="17"/>
  <c r="BH24" i="17"/>
  <c r="BG24" i="17"/>
  <c r="BF24" i="17"/>
  <c r="BE24" i="17"/>
  <c r="BD24" i="17"/>
  <c r="BC24" i="17"/>
  <c r="BB24" i="17"/>
  <c r="AU24" i="17"/>
  <c r="AT24" i="17"/>
  <c r="AW24" i="17" s="1"/>
  <c r="AZ24" i="17" s="1"/>
  <c r="AQ24" i="17"/>
  <c r="AO24" i="17" s="1"/>
  <c r="AP24" i="17"/>
  <c r="AM24" i="17"/>
  <c r="AL24" i="17"/>
  <c r="AK24" i="17"/>
  <c r="AJ24" i="17"/>
  <c r="AD24" i="17"/>
  <c r="AC24" i="17"/>
  <c r="Z24" i="17"/>
  <c r="X24" i="17" s="1"/>
  <c r="Y24" i="17"/>
  <c r="AF24" i="17" s="1"/>
  <c r="V24" i="17"/>
  <c r="S24" i="17"/>
  <c r="U24" i="17" s="1"/>
  <c r="R24" i="17"/>
  <c r="Q24" i="17" s="1"/>
  <c r="O24" i="17"/>
  <c r="N24" i="17"/>
  <c r="L24" i="17"/>
  <c r="M24" i="17" s="1"/>
  <c r="K24" i="17"/>
  <c r="J24" i="17"/>
  <c r="F24" i="17"/>
  <c r="E24" i="17"/>
  <c r="D24" i="17"/>
  <c r="C24" i="17"/>
  <c r="B24" i="17"/>
  <c r="A24" i="17"/>
  <c r="BJ23" i="17"/>
  <c r="BI23" i="17"/>
  <c r="BH23" i="17"/>
  <c r="BG23" i="17"/>
  <c r="BF23" i="17"/>
  <c r="BE23" i="17"/>
  <c r="BC23" i="17" s="1"/>
  <c r="BD23" i="17"/>
  <c r="BB23" i="17"/>
  <c r="AZ23" i="17"/>
  <c r="AU23" i="17"/>
  <c r="AT23" i="17"/>
  <c r="AW23" i="17" s="1"/>
  <c r="AS23" i="17"/>
  <c r="AV23" i="17" s="1"/>
  <c r="AY23" i="17" s="1"/>
  <c r="AQ23" i="17"/>
  <c r="AP23" i="17"/>
  <c r="AM23" i="17"/>
  <c r="AL23" i="17"/>
  <c r="AK23" i="17"/>
  <c r="AJ23" i="17"/>
  <c r="AF23" i="17"/>
  <c r="AD23" i="17"/>
  <c r="AC23" i="17"/>
  <c r="Z23" i="17"/>
  <c r="AG23" i="17" s="1"/>
  <c r="Y23" i="17"/>
  <c r="X23" i="17"/>
  <c r="V23" i="17"/>
  <c r="U23" i="17"/>
  <c r="T23" i="17"/>
  <c r="S23" i="17"/>
  <c r="R23" i="17"/>
  <c r="Q23" i="17"/>
  <c r="O23" i="17"/>
  <c r="N23" i="17"/>
  <c r="L23" i="17"/>
  <c r="J23" i="17" s="1"/>
  <c r="K23" i="17"/>
  <c r="C23" i="17"/>
  <c r="B23" i="17"/>
  <c r="A23" i="17"/>
  <c r="BJ22" i="17"/>
  <c r="BI22" i="17"/>
  <c r="BH22" i="17"/>
  <c r="BG22" i="17"/>
  <c r="BF22" i="17"/>
  <c r="BE22" i="17"/>
  <c r="BC22" i="17" s="1"/>
  <c r="BD22" i="17"/>
  <c r="BB22" i="17"/>
  <c r="AW22" i="17"/>
  <c r="AZ22" i="17" s="1"/>
  <c r="AU22" i="17"/>
  <c r="AS22" i="17" s="1"/>
  <c r="AV22" i="17" s="1"/>
  <c r="AY22" i="17" s="1"/>
  <c r="AT22" i="17"/>
  <c r="AQ22" i="17"/>
  <c r="AP22" i="17"/>
  <c r="AO22" i="17" s="1"/>
  <c r="AM22" i="17"/>
  <c r="AK22" i="17" s="1"/>
  <c r="AL22" i="17"/>
  <c r="AJ22" i="17"/>
  <c r="AD22" i="17"/>
  <c r="AC22" i="17"/>
  <c r="Z22" i="17"/>
  <c r="Y22" i="17"/>
  <c r="X22" i="17"/>
  <c r="V22" i="17"/>
  <c r="T22" i="17"/>
  <c r="S22" i="17"/>
  <c r="Q22" i="17" s="1"/>
  <c r="R22" i="17"/>
  <c r="AF22" i="17" s="1"/>
  <c r="O22" i="17"/>
  <c r="M22" i="17"/>
  <c r="L22" i="17"/>
  <c r="N22" i="17" s="1"/>
  <c r="K22" i="17"/>
  <c r="J22" i="17" s="1"/>
  <c r="F22" i="17"/>
  <c r="C22" i="17"/>
  <c r="E22" i="17" s="1"/>
  <c r="B22" i="17"/>
  <c r="A22" i="17"/>
  <c r="BJ21" i="17"/>
  <c r="BI21" i="17"/>
  <c r="BH21" i="17"/>
  <c r="BG21" i="17"/>
  <c r="BF21" i="17"/>
  <c r="BE21" i="17"/>
  <c r="BD21" i="17"/>
  <c r="BC21" i="17" s="1"/>
  <c r="BB21" i="17"/>
  <c r="AU21" i="17"/>
  <c r="AX21" i="17" s="1"/>
  <c r="AT21" i="17"/>
  <c r="AW21" i="17" s="1"/>
  <c r="AZ21" i="17" s="1"/>
  <c r="AQ21" i="17"/>
  <c r="AO21" i="17" s="1"/>
  <c r="AP21" i="17"/>
  <c r="AM21" i="17"/>
  <c r="AL21" i="17"/>
  <c r="AK21" i="17"/>
  <c r="AJ21" i="17"/>
  <c r="AD21" i="17"/>
  <c r="AC21" i="17"/>
  <c r="Z21" i="17"/>
  <c r="Y21" i="17"/>
  <c r="AF21" i="17" s="1"/>
  <c r="V21" i="17"/>
  <c r="S21" i="17"/>
  <c r="U21" i="17" s="1"/>
  <c r="R21" i="17"/>
  <c r="Q21" i="17"/>
  <c r="O21" i="17"/>
  <c r="N21" i="17"/>
  <c r="M21" i="17"/>
  <c r="L21" i="17"/>
  <c r="K21" i="17"/>
  <c r="J21" i="17"/>
  <c r="E21" i="17"/>
  <c r="C21" i="17"/>
  <c r="F21" i="17" s="1"/>
  <c r="B21" i="17"/>
  <c r="A21" i="17"/>
  <c r="BJ20" i="17"/>
  <c r="BI20" i="17"/>
  <c r="BH20" i="17"/>
  <c r="BG20" i="17"/>
  <c r="BF20" i="17"/>
  <c r="BE20" i="17"/>
  <c r="BC20" i="17" s="1"/>
  <c r="BD20" i="17"/>
  <c r="BB20" i="17"/>
  <c r="AU20" i="17"/>
  <c r="AT20" i="17"/>
  <c r="AS20" i="17"/>
  <c r="AV20" i="17" s="1"/>
  <c r="AY20" i="17" s="1"/>
  <c r="AQ20" i="17"/>
  <c r="AX20" i="17" s="1"/>
  <c r="BA20" i="17" s="1"/>
  <c r="AP20" i="17"/>
  <c r="AW20" i="17" s="1"/>
  <c r="AM20" i="17"/>
  <c r="AK20" i="17" s="1"/>
  <c r="AL20" i="17"/>
  <c r="AJ20" i="17"/>
  <c r="AG20" i="17"/>
  <c r="AD20" i="17"/>
  <c r="AC20" i="17"/>
  <c r="Z20" i="17"/>
  <c r="Y20" i="17"/>
  <c r="X20" i="17" s="1"/>
  <c r="V20" i="17"/>
  <c r="U20" i="17"/>
  <c r="T20" i="17"/>
  <c r="S20" i="17"/>
  <c r="R20" i="17"/>
  <c r="Q20" i="17"/>
  <c r="O20" i="17"/>
  <c r="N20" i="17"/>
  <c r="M20" i="17"/>
  <c r="L20" i="17"/>
  <c r="J20" i="17" s="1"/>
  <c r="K20" i="17"/>
  <c r="D20" i="17"/>
  <c r="C20" i="17"/>
  <c r="F20" i="17" s="1"/>
  <c r="B20" i="17"/>
  <c r="A20" i="17"/>
  <c r="BJ19" i="17"/>
  <c r="BI19" i="17"/>
  <c r="BH19" i="17"/>
  <c r="BG19" i="17"/>
  <c r="BF19" i="17"/>
  <c r="BE19" i="17"/>
  <c r="BD19" i="17"/>
  <c r="BB19" i="17"/>
  <c r="AX19" i="17"/>
  <c r="AV19" i="17"/>
  <c r="AY19" i="17" s="1"/>
  <c r="AU19" i="17"/>
  <c r="AS19" i="17" s="1"/>
  <c r="AT19" i="17"/>
  <c r="AQ19" i="17"/>
  <c r="AP19" i="17"/>
  <c r="AO19" i="17"/>
  <c r="AM19" i="17"/>
  <c r="AL19" i="17"/>
  <c r="AJ19" i="17"/>
  <c r="AF19" i="17"/>
  <c r="AD19" i="17"/>
  <c r="AC19" i="17"/>
  <c r="Z19" i="17"/>
  <c r="X19" i="17" s="1"/>
  <c r="Y19" i="17"/>
  <c r="V19" i="17"/>
  <c r="U19" i="17"/>
  <c r="S19" i="17"/>
  <c r="R19" i="17"/>
  <c r="O19" i="17"/>
  <c r="L19" i="17"/>
  <c r="K19" i="17"/>
  <c r="J19" i="17"/>
  <c r="F19" i="17"/>
  <c r="E19" i="17"/>
  <c r="D19" i="17"/>
  <c r="C19" i="17"/>
  <c r="B19" i="17"/>
  <c r="A19" i="17"/>
  <c r="BJ18" i="17"/>
  <c r="BI18" i="17"/>
  <c r="BH18" i="17"/>
  <c r="BG18" i="17"/>
  <c r="BF18" i="17"/>
  <c r="BE18" i="17"/>
  <c r="BD18" i="17"/>
  <c r="BC18" i="17"/>
  <c r="BB18" i="17"/>
  <c r="AU18" i="17"/>
  <c r="AX18" i="17" s="1"/>
  <c r="BA18" i="17" s="1"/>
  <c r="AT18" i="17"/>
  <c r="AW18" i="17" s="1"/>
  <c r="AQ18" i="17"/>
  <c r="AP18" i="17"/>
  <c r="AM18" i="17"/>
  <c r="AL18" i="17"/>
  <c r="AK18" i="17"/>
  <c r="AJ18" i="17"/>
  <c r="AI18" i="17"/>
  <c r="AG18" i="17"/>
  <c r="AD18" i="17"/>
  <c r="AC18" i="17"/>
  <c r="Z18" i="17"/>
  <c r="Y18" i="17"/>
  <c r="V18" i="17"/>
  <c r="S18" i="17"/>
  <c r="U18" i="17" s="1"/>
  <c r="R18" i="17"/>
  <c r="Q18" i="17" s="1"/>
  <c r="O18" i="17"/>
  <c r="N18" i="17"/>
  <c r="M18" i="17"/>
  <c r="L18" i="17"/>
  <c r="K18" i="17"/>
  <c r="J18" i="17"/>
  <c r="F18" i="17"/>
  <c r="E18" i="17"/>
  <c r="D18" i="17"/>
  <c r="C18" i="17"/>
  <c r="B18" i="17"/>
  <c r="A18" i="17"/>
  <c r="BJ17" i="17"/>
  <c r="BI17" i="17"/>
  <c r="BH17" i="17"/>
  <c r="BG17" i="17"/>
  <c r="BF17" i="17"/>
  <c r="BE17" i="17"/>
  <c r="BD17" i="17"/>
  <c r="BB17" i="17"/>
  <c r="AX17" i="17"/>
  <c r="AU17" i="17"/>
  <c r="AT17" i="17"/>
  <c r="AS17" i="17"/>
  <c r="AQ17" i="17"/>
  <c r="AP17" i="17"/>
  <c r="AO17" i="17"/>
  <c r="AM17" i="17"/>
  <c r="AK17" i="17" s="1"/>
  <c r="AV17" i="17" s="1"/>
  <c r="AL17" i="17"/>
  <c r="AJ17" i="17"/>
  <c r="AD17" i="17"/>
  <c r="AC17" i="17"/>
  <c r="Z17" i="17"/>
  <c r="Y17" i="17"/>
  <c r="AF17" i="17" s="1"/>
  <c r="V17" i="17"/>
  <c r="U17" i="17"/>
  <c r="S17" i="17"/>
  <c r="R17" i="17"/>
  <c r="O17" i="17"/>
  <c r="L17" i="17"/>
  <c r="M17" i="17" s="1"/>
  <c r="K17" i="17"/>
  <c r="D17" i="17"/>
  <c r="C17" i="17"/>
  <c r="B17" i="17"/>
  <c r="A17" i="17"/>
  <c r="BJ16" i="17"/>
  <c r="BI16" i="17"/>
  <c r="BH16" i="17"/>
  <c r="BG16" i="17"/>
  <c r="BF16" i="17"/>
  <c r="BE16" i="17"/>
  <c r="BD16" i="17"/>
  <c r="BC16" i="17"/>
  <c r="BB16" i="17"/>
  <c r="AW16" i="17"/>
  <c r="AU16" i="17"/>
  <c r="AT16" i="17"/>
  <c r="AS16" i="17"/>
  <c r="AV16" i="17" s="1"/>
  <c r="AY16" i="17" s="1"/>
  <c r="AQ16" i="17"/>
  <c r="AP16" i="17"/>
  <c r="AO16" i="17"/>
  <c r="AM16" i="17"/>
  <c r="AK16" i="17" s="1"/>
  <c r="AL16" i="17"/>
  <c r="AJ16" i="17"/>
  <c r="AD16" i="17"/>
  <c r="AC16" i="17"/>
  <c r="Z16" i="17"/>
  <c r="Y16" i="17"/>
  <c r="V16" i="17"/>
  <c r="U16" i="17"/>
  <c r="T16" i="17"/>
  <c r="S16" i="17"/>
  <c r="R16" i="17"/>
  <c r="AF16" i="17" s="1"/>
  <c r="O16" i="17"/>
  <c r="L16" i="17"/>
  <c r="K16" i="17"/>
  <c r="F16" i="17"/>
  <c r="E16" i="17"/>
  <c r="D16" i="17"/>
  <c r="C16" i="17"/>
  <c r="B16" i="17"/>
  <c r="A16" i="17"/>
  <c r="BJ15" i="17"/>
  <c r="BI15" i="17"/>
  <c r="BH15" i="17"/>
  <c r="BG15" i="17"/>
  <c r="BF15" i="17"/>
  <c r="BE15" i="17"/>
  <c r="BD15" i="17"/>
  <c r="BC15" i="17"/>
  <c r="BB15" i="17"/>
  <c r="AU15" i="17"/>
  <c r="AT15" i="17"/>
  <c r="AW15" i="17" s="1"/>
  <c r="AZ15" i="17" s="1"/>
  <c r="AQ15" i="17"/>
  <c r="AO15" i="17" s="1"/>
  <c r="AP15" i="17"/>
  <c r="AM15" i="17"/>
  <c r="AL15" i="17"/>
  <c r="AK15" i="17"/>
  <c r="AJ15" i="17"/>
  <c r="AD15" i="17"/>
  <c r="AC15" i="17"/>
  <c r="Z15" i="17"/>
  <c r="Y15" i="17"/>
  <c r="X15" i="17" s="1"/>
  <c r="V15" i="17"/>
  <c r="U15" i="17"/>
  <c r="S15" i="17"/>
  <c r="T15" i="17" s="1"/>
  <c r="R15" i="17"/>
  <c r="AF15" i="17" s="1"/>
  <c r="O15" i="17"/>
  <c r="N15" i="17"/>
  <c r="L15" i="17"/>
  <c r="K15" i="17"/>
  <c r="E15" i="17"/>
  <c r="D15" i="17"/>
  <c r="C15" i="17"/>
  <c r="F15" i="17" s="1"/>
  <c r="B15" i="17"/>
  <c r="A15" i="17"/>
  <c r="BJ14" i="17"/>
  <c r="BI14" i="17"/>
  <c r="BH14" i="17"/>
  <c r="BG14" i="17"/>
  <c r="BF14" i="17"/>
  <c r="BE14" i="17"/>
  <c r="BC14" i="17" s="1"/>
  <c r="BD14" i="17"/>
  <c r="BB14" i="17"/>
  <c r="AX14" i="17"/>
  <c r="AW14" i="17"/>
  <c r="AU14" i="17"/>
  <c r="AS14" i="17" s="1"/>
  <c r="AV14" i="17" s="1"/>
  <c r="AY14" i="17" s="1"/>
  <c r="AT14" i="17"/>
  <c r="AQ14" i="17"/>
  <c r="AO14" i="17" s="1"/>
  <c r="AP14" i="17"/>
  <c r="AM14" i="17"/>
  <c r="AL14" i="17"/>
  <c r="AK14" i="17"/>
  <c r="AJ14" i="17"/>
  <c r="AD14" i="17"/>
  <c r="AC14" i="17"/>
  <c r="Z14" i="17"/>
  <c r="Y14" i="17"/>
  <c r="X14" i="17"/>
  <c r="V14" i="17"/>
  <c r="S14" i="17"/>
  <c r="R14" i="17"/>
  <c r="AF14" i="17" s="1"/>
  <c r="O14" i="17"/>
  <c r="N14" i="17"/>
  <c r="L14" i="17"/>
  <c r="M14" i="17" s="1"/>
  <c r="K14" i="17"/>
  <c r="C14" i="17"/>
  <c r="B14" i="17"/>
  <c r="A14" i="17"/>
  <c r="BJ13" i="17"/>
  <c r="BI13" i="17"/>
  <c r="BH13" i="17"/>
  <c r="BG13" i="17"/>
  <c r="BF13" i="17"/>
  <c r="BE13" i="17"/>
  <c r="BC13" i="17" s="1"/>
  <c r="BD13" i="17"/>
  <c r="BB13" i="17"/>
  <c r="AU13" i="17"/>
  <c r="AT13" i="17"/>
  <c r="AW13" i="17" s="1"/>
  <c r="AQ13" i="17"/>
  <c r="AO13" i="17" s="1"/>
  <c r="AP13" i="17"/>
  <c r="AM13" i="17"/>
  <c r="AL13" i="17"/>
  <c r="AK13" i="17"/>
  <c r="AJ13" i="17"/>
  <c r="AD13" i="17"/>
  <c r="AC13" i="17"/>
  <c r="Z13" i="17"/>
  <c r="Y13" i="17"/>
  <c r="X13" i="17"/>
  <c r="V13" i="17"/>
  <c r="T13" i="17"/>
  <c r="S13" i="17"/>
  <c r="U13" i="17" s="1"/>
  <c r="R13" i="17"/>
  <c r="O13" i="17"/>
  <c r="N13" i="17"/>
  <c r="L13" i="17"/>
  <c r="M13" i="17" s="1"/>
  <c r="K13" i="17"/>
  <c r="J13" i="17" s="1"/>
  <c r="E13" i="17"/>
  <c r="C13" i="17"/>
  <c r="F13" i="17" s="1"/>
  <c r="B13" i="17"/>
  <c r="A13" i="17"/>
  <c r="BJ12" i="17"/>
  <c r="BI12" i="17"/>
  <c r="BH12" i="17"/>
  <c r="BG12" i="17"/>
  <c r="BF12" i="17"/>
  <c r="BE12" i="17"/>
  <c r="BC12" i="17" s="1"/>
  <c r="BD12" i="17"/>
  <c r="BB12" i="17"/>
  <c r="AU12" i="17"/>
  <c r="AT12" i="17"/>
  <c r="AW12" i="17" s="1"/>
  <c r="AS12" i="17"/>
  <c r="AV12" i="17" s="1"/>
  <c r="AY12" i="17" s="1"/>
  <c r="AQ12" i="17"/>
  <c r="AP12" i="17"/>
  <c r="AM12" i="17"/>
  <c r="AK12" i="17" s="1"/>
  <c r="AL12" i="17"/>
  <c r="AJ12" i="17"/>
  <c r="AD12" i="17"/>
  <c r="AC12" i="17"/>
  <c r="Z12" i="17"/>
  <c r="AG12" i="17" s="1"/>
  <c r="Y12" i="17"/>
  <c r="AF12" i="17" s="1"/>
  <c r="V12" i="17"/>
  <c r="U12" i="17"/>
  <c r="T12" i="17"/>
  <c r="S12" i="17"/>
  <c r="R12" i="17"/>
  <c r="Q12" i="17"/>
  <c r="O12" i="17"/>
  <c r="N12" i="17"/>
  <c r="M12" i="17"/>
  <c r="L12" i="17"/>
  <c r="K12" i="17"/>
  <c r="C12" i="17"/>
  <c r="B12" i="17"/>
  <c r="A12" i="17"/>
  <c r="BJ11" i="17"/>
  <c r="BI11" i="17"/>
  <c r="BH11" i="17"/>
  <c r="BG11" i="17"/>
  <c r="BF11" i="17"/>
  <c r="BE11" i="17"/>
  <c r="BD11" i="17"/>
  <c r="BC11" i="17" s="1"/>
  <c r="BB11" i="17"/>
  <c r="AU11" i="17"/>
  <c r="AT11" i="17"/>
  <c r="AW11" i="17" s="1"/>
  <c r="AZ11" i="17" s="1"/>
  <c r="AQ11" i="17"/>
  <c r="AO11" i="17" s="1"/>
  <c r="AP11" i="17"/>
  <c r="AM11" i="17"/>
  <c r="AL11" i="17"/>
  <c r="AK11" i="17" s="1"/>
  <c r="AJ11" i="17"/>
  <c r="AD11" i="17"/>
  <c r="AC11" i="17"/>
  <c r="Z11" i="17"/>
  <c r="Y11" i="17"/>
  <c r="V11" i="17"/>
  <c r="S11" i="17"/>
  <c r="U11" i="17" s="1"/>
  <c r="R11" i="17"/>
  <c r="AF11" i="17" s="1"/>
  <c r="Q11" i="17"/>
  <c r="O11" i="17"/>
  <c r="N11" i="17"/>
  <c r="M11" i="17"/>
  <c r="L11" i="17"/>
  <c r="J11" i="17" s="1"/>
  <c r="K11" i="17"/>
  <c r="C11" i="17"/>
  <c r="D11" i="17" s="1"/>
  <c r="B11" i="17"/>
  <c r="A11" i="17"/>
  <c r="BJ10" i="17"/>
  <c r="BI10" i="17"/>
  <c r="BH10" i="17"/>
  <c r="BG10" i="17"/>
  <c r="BF10" i="17"/>
  <c r="BE10" i="17"/>
  <c r="BD10" i="17"/>
  <c r="BB10" i="17"/>
  <c r="AU10" i="17"/>
  <c r="AT10" i="17"/>
  <c r="AQ10" i="17"/>
  <c r="AP10" i="17"/>
  <c r="AM10" i="17"/>
  <c r="AL10" i="17"/>
  <c r="AW10" i="17" s="1"/>
  <c r="AZ10" i="17" s="1"/>
  <c r="AJ10" i="17"/>
  <c r="AD10" i="17"/>
  <c r="AC10" i="17"/>
  <c r="Z10" i="17"/>
  <c r="Y10" i="17"/>
  <c r="AF10" i="17" s="1"/>
  <c r="V10" i="17"/>
  <c r="S10" i="17"/>
  <c r="U10" i="17" s="1"/>
  <c r="R10" i="17"/>
  <c r="Q10" i="17" s="1"/>
  <c r="O10" i="17"/>
  <c r="N10" i="17"/>
  <c r="M10" i="17"/>
  <c r="L10" i="17"/>
  <c r="K10" i="17"/>
  <c r="J10" i="17"/>
  <c r="F10" i="17"/>
  <c r="D10" i="17"/>
  <c r="C10" i="17"/>
  <c r="E10" i="17" s="1"/>
  <c r="B10" i="17"/>
  <c r="A10" i="17"/>
  <c r="BJ9" i="17"/>
  <c r="BI9" i="17"/>
  <c r="BH9" i="17"/>
  <c r="BG9" i="17"/>
  <c r="BF9" i="17"/>
  <c r="BE9" i="17"/>
  <c r="BC9" i="17" s="1"/>
  <c r="BD9" i="17"/>
  <c r="BB9" i="17"/>
  <c r="AX9" i="17"/>
  <c r="AU9" i="17"/>
  <c r="AT9" i="17"/>
  <c r="AS9" i="17" s="1"/>
  <c r="AQ9" i="17"/>
  <c r="AP9" i="17"/>
  <c r="AW9" i="17" s="1"/>
  <c r="AM9" i="17"/>
  <c r="AK9" i="17" s="1"/>
  <c r="AL9" i="17"/>
  <c r="AJ9" i="17"/>
  <c r="AD9" i="17"/>
  <c r="AC9" i="17"/>
  <c r="Z9" i="17"/>
  <c r="X9" i="17" s="1"/>
  <c r="Y9" i="17"/>
  <c r="V9" i="17"/>
  <c r="T9" i="17"/>
  <c r="S9" i="17"/>
  <c r="Q9" i="17" s="1"/>
  <c r="R9" i="17"/>
  <c r="O9" i="17"/>
  <c r="L9" i="17"/>
  <c r="K9" i="17"/>
  <c r="AF9" i="17" s="1"/>
  <c r="E9" i="17"/>
  <c r="C9" i="17"/>
  <c r="F9" i="17" s="1"/>
  <c r="B9" i="17"/>
  <c r="A9" i="17"/>
  <c r="BT8" i="17"/>
  <c r="BS8" i="17"/>
  <c r="BR8" i="17"/>
  <c r="BQ8" i="17"/>
  <c r="BP8" i="17"/>
  <c r="BO8" i="17"/>
  <c r="BN8" i="17"/>
  <c r="BJ8" i="17"/>
  <c r="BI8" i="17"/>
  <c r="BH8" i="17"/>
  <c r="BG8" i="17"/>
  <c r="BF8" i="17"/>
  <c r="BE8" i="17"/>
  <c r="BC8" i="17" s="1"/>
  <c r="BD8" i="17"/>
  <c r="BB8" i="17"/>
  <c r="AX8" i="17"/>
  <c r="AW8" i="17"/>
  <c r="AZ8" i="17" s="1"/>
  <c r="AU8" i="17"/>
  <c r="AS8" i="17" s="1"/>
  <c r="AV8" i="17" s="1"/>
  <c r="AT8" i="17"/>
  <c r="AQ8" i="17"/>
  <c r="AP8" i="17"/>
  <c r="AO8" i="17"/>
  <c r="AM8" i="17"/>
  <c r="AK8" i="17" s="1"/>
  <c r="AL8" i="17"/>
  <c r="AJ8" i="17"/>
  <c r="AD8" i="17"/>
  <c r="AC8" i="17"/>
  <c r="Z8" i="17"/>
  <c r="X8" i="17" s="1"/>
  <c r="Y8" i="17"/>
  <c r="V8" i="17"/>
  <c r="U8" i="17"/>
  <c r="S8" i="17"/>
  <c r="Q8" i="17" s="1"/>
  <c r="R8" i="17"/>
  <c r="O8" i="17"/>
  <c r="L8" i="17"/>
  <c r="K8" i="17"/>
  <c r="AF8" i="17" s="1"/>
  <c r="F8" i="17"/>
  <c r="D8" i="17"/>
  <c r="C8" i="17"/>
  <c r="E8" i="17" s="1"/>
  <c r="B8" i="17"/>
  <c r="A8" i="17"/>
  <c r="BJ7" i="17"/>
  <c r="BI7" i="17"/>
  <c r="BH7" i="17"/>
  <c r="BG7" i="17"/>
  <c r="BF7" i="17"/>
  <c r="BE7" i="17"/>
  <c r="BD7" i="17"/>
  <c r="BC7" i="17"/>
  <c r="BB7" i="17"/>
  <c r="AU7" i="17"/>
  <c r="AT7" i="17"/>
  <c r="AS7" i="17"/>
  <c r="AV7" i="17" s="1"/>
  <c r="AY7" i="17" s="1"/>
  <c r="AQ7" i="17"/>
  <c r="AP7" i="17"/>
  <c r="AM7" i="17"/>
  <c r="AK7" i="17" s="1"/>
  <c r="AL7" i="17"/>
  <c r="AJ7" i="17"/>
  <c r="AD7" i="17"/>
  <c r="AC7" i="17"/>
  <c r="Z7" i="17"/>
  <c r="AG7" i="17" s="1"/>
  <c r="Y7" i="17"/>
  <c r="AF7" i="17" s="1"/>
  <c r="V7" i="17"/>
  <c r="T7" i="17"/>
  <c r="S7" i="17"/>
  <c r="U7" i="17" s="1"/>
  <c r="R7" i="17"/>
  <c r="Q7" i="17"/>
  <c r="O7" i="17"/>
  <c r="N7" i="17"/>
  <c r="M7" i="17"/>
  <c r="L7" i="17"/>
  <c r="K7" i="17"/>
  <c r="J7" i="17" s="1"/>
  <c r="C7" i="17"/>
  <c r="F7" i="17" s="1"/>
  <c r="B7" i="17"/>
  <c r="A7" i="17"/>
  <c r="BJ6" i="17"/>
  <c r="BI6" i="17"/>
  <c r="BH6" i="17"/>
  <c r="BG6" i="17"/>
  <c r="BF6" i="17"/>
  <c r="BE6" i="17"/>
  <c r="BD6" i="17"/>
  <c r="BB6" i="17"/>
  <c r="AY6" i="17"/>
  <c r="AX6" i="17"/>
  <c r="AU6" i="17"/>
  <c r="AT6" i="17"/>
  <c r="AS6" i="17" s="1"/>
  <c r="AV6" i="17" s="1"/>
  <c r="AQ6" i="17"/>
  <c r="AP6" i="17"/>
  <c r="AW6" i="17" s="1"/>
  <c r="AZ6" i="17" s="1"/>
  <c r="AO6" i="17"/>
  <c r="AM6" i="17"/>
  <c r="AK6" i="17" s="1"/>
  <c r="AL6" i="17"/>
  <c r="AJ6" i="17"/>
  <c r="AF6" i="17"/>
  <c r="AD6" i="17"/>
  <c r="AC6" i="17"/>
  <c r="Z6" i="17"/>
  <c r="X6" i="17" s="1"/>
  <c r="Y6" i="17"/>
  <c r="V6" i="17"/>
  <c r="S6" i="17"/>
  <c r="R6" i="17"/>
  <c r="O6" i="17"/>
  <c r="M6" i="17"/>
  <c r="L6" i="17"/>
  <c r="N6" i="17" s="1"/>
  <c r="K6" i="17"/>
  <c r="J6" i="17"/>
  <c r="E6" i="17"/>
  <c r="D6" i="17"/>
  <c r="C6" i="17"/>
  <c r="F6" i="17" s="1"/>
  <c r="B6" i="17"/>
  <c r="A6" i="17"/>
  <c r="BJ5" i="17"/>
  <c r="BI5" i="17"/>
  <c r="BH5" i="17"/>
  <c r="BG5" i="17"/>
  <c r="BF5" i="17"/>
  <c r="BE5" i="17"/>
  <c r="BD5" i="17"/>
  <c r="BC5" i="17" s="1"/>
  <c r="BB5" i="17"/>
  <c r="AU5" i="17"/>
  <c r="AX5" i="17" s="1"/>
  <c r="AT5" i="17"/>
  <c r="AW5" i="17" s="1"/>
  <c r="AS5" i="17"/>
  <c r="AV5" i="17" s="1"/>
  <c r="AQ5" i="17"/>
  <c r="AO5" i="17" s="1"/>
  <c r="AP5" i="17"/>
  <c r="AM5" i="17"/>
  <c r="AL5" i="17"/>
  <c r="AK5" i="17" s="1"/>
  <c r="AJ5" i="17"/>
  <c r="AD5" i="17"/>
  <c r="AC5" i="17"/>
  <c r="Z5" i="17"/>
  <c r="Y5" i="17"/>
  <c r="V5" i="17"/>
  <c r="S5" i="17"/>
  <c r="R5" i="17"/>
  <c r="Q5" i="17"/>
  <c r="O5" i="17"/>
  <c r="M5" i="17"/>
  <c r="L5" i="17"/>
  <c r="N5" i="17" s="1"/>
  <c r="K5" i="17"/>
  <c r="J5" i="17"/>
  <c r="F5" i="17"/>
  <c r="E5" i="17"/>
  <c r="D5" i="17"/>
  <c r="C5" i="17"/>
  <c r="B5" i="17"/>
  <c r="A5" i="17"/>
  <c r="BJ4" i="17"/>
  <c r="BI4" i="17"/>
  <c r="BH4" i="17"/>
  <c r="BG4" i="17"/>
  <c r="BF4" i="17"/>
  <c r="BE4" i="17"/>
  <c r="BC4" i="17" s="1"/>
  <c r="BD4" i="17"/>
  <c r="BB4" i="17"/>
  <c r="AU4" i="17"/>
  <c r="AT4" i="17"/>
  <c r="AW4" i="17" s="1"/>
  <c r="AS4" i="17"/>
  <c r="AV4" i="17" s="1"/>
  <c r="AY4" i="17" s="1"/>
  <c r="AQ4" i="17"/>
  <c r="AP4" i="17"/>
  <c r="AM4" i="17"/>
  <c r="AK4" i="17" s="1"/>
  <c r="AL4" i="17"/>
  <c r="AJ4" i="17"/>
  <c r="AD4" i="17"/>
  <c r="AC4" i="17"/>
  <c r="Z4" i="17"/>
  <c r="Y4" i="17"/>
  <c r="AF4" i="17" s="1"/>
  <c r="X4" i="17"/>
  <c r="V4" i="17"/>
  <c r="U4" i="17"/>
  <c r="S4" i="17"/>
  <c r="T4" i="17" s="1"/>
  <c r="R4" i="17"/>
  <c r="O4" i="17"/>
  <c r="L4" i="17"/>
  <c r="K4" i="17"/>
  <c r="D4" i="17"/>
  <c r="C4" i="17"/>
  <c r="B4" i="17"/>
  <c r="A4" i="17"/>
  <c r="BJ3" i="17"/>
  <c r="BI3" i="17"/>
  <c r="BH3" i="17"/>
  <c r="BG3" i="17"/>
  <c r="BF3" i="17"/>
  <c r="BE3" i="17"/>
  <c r="BD3" i="17"/>
  <c r="BC3" i="17" s="1"/>
  <c r="BB3" i="17"/>
  <c r="AU3" i="17"/>
  <c r="AT3" i="17"/>
  <c r="AQ3" i="17"/>
  <c r="AP3" i="17"/>
  <c r="AO3" i="17"/>
  <c r="AM3" i="17"/>
  <c r="AL3" i="17"/>
  <c r="AW3" i="17" s="1"/>
  <c r="AZ3" i="17" s="1"/>
  <c r="AK3" i="17"/>
  <c r="AJ3" i="17"/>
  <c r="AD3" i="17"/>
  <c r="AC3" i="17"/>
  <c r="Z3" i="17"/>
  <c r="X3" i="17" s="1"/>
  <c r="Y3" i="17"/>
  <c r="V3" i="17"/>
  <c r="U3" i="17"/>
  <c r="S3" i="17"/>
  <c r="R3" i="17"/>
  <c r="AF3" i="17" s="1"/>
  <c r="O3" i="17"/>
  <c r="L3" i="17"/>
  <c r="J3" i="17" s="1"/>
  <c r="K3" i="17"/>
  <c r="F3" i="17"/>
  <c r="E3" i="17"/>
  <c r="D3" i="17"/>
  <c r="C3" i="17"/>
  <c r="B3" i="17"/>
  <c r="A3" i="17"/>
  <c r="BJ2" i="17"/>
  <c r="BJ130" i="17" s="1"/>
  <c r="BI2" i="17"/>
  <c r="BH2" i="17"/>
  <c r="BH130" i="17" s="1"/>
  <c r="BG2" i="17"/>
  <c r="BF2" i="17"/>
  <c r="BE2" i="17"/>
  <c r="BD2" i="17"/>
  <c r="BC2" i="17"/>
  <c r="BC130" i="17" s="1"/>
  <c r="BB2" i="17"/>
  <c r="BB130" i="17" s="1"/>
  <c r="AU2" i="17"/>
  <c r="AT2" i="17"/>
  <c r="AS2" i="17"/>
  <c r="AQ2" i="17"/>
  <c r="AQ130" i="17" s="1"/>
  <c r="CJ169" i="17" s="1"/>
  <c r="AP2" i="17"/>
  <c r="AP130" i="17" s="1"/>
  <c r="CJ317" i="17" s="1"/>
  <c r="AM2" i="17"/>
  <c r="AL2" i="17"/>
  <c r="AK2" i="17"/>
  <c r="AK130" i="17" s="1"/>
  <c r="AJ2" i="17"/>
  <c r="AF2" i="17"/>
  <c r="AF130" i="17" s="1"/>
  <c r="AD2" i="17"/>
  <c r="AC2" i="17"/>
  <c r="Z2" i="17"/>
  <c r="Y2" i="17"/>
  <c r="V2" i="17"/>
  <c r="V130" i="17" s="1"/>
  <c r="S2" i="17"/>
  <c r="R2" i="17"/>
  <c r="O2" i="17"/>
  <c r="O130" i="17" s="1"/>
  <c r="N2" i="17"/>
  <c r="N130" i="17" s="1"/>
  <c r="M2" i="17"/>
  <c r="L2" i="17"/>
  <c r="K2" i="17"/>
  <c r="D2" i="17"/>
  <c r="C2" i="17"/>
  <c r="B2" i="17"/>
  <c r="A2" i="17"/>
  <c r="D147" i="16"/>
  <c r="D20" i="16"/>
  <c r="BJ323" i="14"/>
  <c r="BJ322" i="14"/>
  <c r="BJ321" i="14"/>
  <c r="BJ320" i="14"/>
  <c r="BJ319" i="14"/>
  <c r="BJ318" i="14"/>
  <c r="BJ317" i="14"/>
  <c r="BJ316" i="14"/>
  <c r="BJ315" i="14"/>
  <c r="BJ314" i="14"/>
  <c r="BJ313" i="14"/>
  <c r="BJ312" i="14"/>
  <c r="BJ311" i="14"/>
  <c r="BJ310" i="14"/>
  <c r="BJ309" i="14"/>
  <c r="BJ308" i="14"/>
  <c r="BJ307" i="14"/>
  <c r="BJ306" i="14"/>
  <c r="BJ305" i="14"/>
  <c r="BJ304" i="14"/>
  <c r="BJ303" i="14"/>
  <c r="BJ302" i="14"/>
  <c r="BJ301" i="14"/>
  <c r="BJ239" i="14"/>
  <c r="BJ238" i="14"/>
  <c r="BJ237" i="14"/>
  <c r="BJ236" i="14"/>
  <c r="BJ235" i="14"/>
  <c r="BJ234" i="14"/>
  <c r="BJ233" i="14"/>
  <c r="BJ232" i="14"/>
  <c r="BJ231" i="14"/>
  <c r="BJ230" i="14"/>
  <c r="BJ229" i="14"/>
  <c r="BJ228" i="14"/>
  <c r="BJ227" i="14"/>
  <c r="BJ226" i="14"/>
  <c r="BJ225" i="14"/>
  <c r="BJ224" i="14"/>
  <c r="BJ223" i="14"/>
  <c r="BJ222" i="14"/>
  <c r="BJ221" i="14"/>
  <c r="BJ220" i="14"/>
  <c r="BJ219" i="14"/>
  <c r="BJ218" i="14"/>
  <c r="BJ217" i="14"/>
  <c r="BJ216" i="14"/>
  <c r="BJ215" i="14"/>
  <c r="BJ214" i="14"/>
  <c r="BJ213" i="14"/>
  <c r="BJ212" i="14"/>
  <c r="BJ211" i="14"/>
  <c r="BJ210" i="14"/>
  <c r="BJ209" i="14"/>
  <c r="BJ208" i="14"/>
  <c r="BJ207" i="14"/>
  <c r="BJ206" i="14"/>
  <c r="BJ205" i="14"/>
  <c r="BJ204" i="14"/>
  <c r="BJ203" i="14"/>
  <c r="BJ202" i="14"/>
  <c r="BJ201" i="14"/>
  <c r="BJ200" i="14"/>
  <c r="BJ199" i="14"/>
  <c r="BJ198" i="14"/>
  <c r="BJ197" i="14"/>
  <c r="BJ196" i="14"/>
  <c r="BJ195" i="14"/>
  <c r="BJ194" i="14"/>
  <c r="BJ193" i="14"/>
  <c r="BJ192" i="14"/>
  <c r="BJ191" i="14"/>
  <c r="BJ190" i="14"/>
  <c r="BJ189" i="14"/>
  <c r="BJ188" i="14"/>
  <c r="BJ187" i="14"/>
  <c r="BJ186" i="14"/>
  <c r="BJ185" i="14"/>
  <c r="BJ184" i="14"/>
  <c r="BJ183" i="14"/>
  <c r="BJ182" i="14"/>
  <c r="BJ181" i="14"/>
  <c r="BJ180" i="14"/>
  <c r="BJ179" i="14"/>
  <c r="BJ178" i="14"/>
  <c r="BJ177" i="14"/>
  <c r="BJ176" i="14"/>
  <c r="BJ175" i="14"/>
  <c r="BJ174" i="14"/>
  <c r="BJ173" i="14"/>
  <c r="BJ172" i="14"/>
  <c r="BJ171" i="14"/>
  <c r="BJ170" i="14"/>
  <c r="BJ169" i="14"/>
  <c r="BJ168" i="14"/>
  <c r="BJ167" i="14"/>
  <c r="BJ166" i="14"/>
  <c r="BJ165" i="14"/>
  <c r="BJ164" i="14"/>
  <c r="BJ163" i="14"/>
  <c r="BJ162" i="14"/>
  <c r="BJ161" i="14"/>
  <c r="BJ160" i="14"/>
  <c r="BJ159" i="14"/>
  <c r="BJ158" i="14"/>
  <c r="BJ157" i="14"/>
  <c r="BJ156" i="14"/>
  <c r="BJ155" i="14"/>
  <c r="BJ154" i="14"/>
  <c r="AP126" i="14"/>
  <c r="AN126" i="14" s="1"/>
  <c r="AO126" i="14"/>
  <c r="AM126" i="14"/>
  <c r="AL126" i="14"/>
  <c r="AK126" i="14"/>
  <c r="AJ126" i="14" s="1"/>
  <c r="AI126" i="14"/>
  <c r="AC126" i="14"/>
  <c r="Y126" i="14"/>
  <c r="X126" i="14"/>
  <c r="AE126" i="14" s="1"/>
  <c r="U126" i="14"/>
  <c r="V126" i="14" s="1"/>
  <c r="R126" i="14"/>
  <c r="Q126" i="14"/>
  <c r="N126" i="14"/>
  <c r="O126" i="14" s="1"/>
  <c r="K126" i="14"/>
  <c r="I126" i="14" s="1"/>
  <c r="J126" i="14"/>
  <c r="H126" i="14"/>
  <c r="AB126" i="14" s="1"/>
  <c r="G126" i="14"/>
  <c r="B126" i="14"/>
  <c r="C126" i="14" s="1"/>
  <c r="A126" i="14"/>
  <c r="AP125" i="14"/>
  <c r="AO125" i="14"/>
  <c r="AN125" i="14" s="1"/>
  <c r="AM125" i="14"/>
  <c r="AL125" i="14"/>
  <c r="AJ125" i="14" s="1"/>
  <c r="AK125" i="14"/>
  <c r="AI125" i="14"/>
  <c r="AE125" i="14"/>
  <c r="AD125" i="14"/>
  <c r="AC125" i="14"/>
  <c r="Y125" i="14"/>
  <c r="X125" i="14"/>
  <c r="W125" i="14"/>
  <c r="U125" i="14"/>
  <c r="V125" i="14" s="1"/>
  <c r="R125" i="14"/>
  <c r="Q125" i="14"/>
  <c r="O125" i="14"/>
  <c r="N125" i="14"/>
  <c r="K125" i="14"/>
  <c r="J125" i="14"/>
  <c r="I125" i="14" s="1"/>
  <c r="G125" i="14"/>
  <c r="H125" i="14" s="1"/>
  <c r="AB125" i="14" s="1"/>
  <c r="E125" i="14"/>
  <c r="D125" i="14"/>
  <c r="C125" i="14"/>
  <c r="B125" i="14"/>
  <c r="A125" i="14"/>
  <c r="AP124" i="14"/>
  <c r="AO124" i="14"/>
  <c r="AN124" i="14"/>
  <c r="AM124" i="14"/>
  <c r="AL124" i="14"/>
  <c r="AK124" i="14"/>
  <c r="AI124" i="14"/>
  <c r="AC124" i="14"/>
  <c r="Y124" i="14"/>
  <c r="AF124" i="14" s="1"/>
  <c r="X124" i="14"/>
  <c r="W124" i="14"/>
  <c r="AD124" i="14" s="1"/>
  <c r="U124" i="14"/>
  <c r="V124" i="14" s="1"/>
  <c r="R124" i="14"/>
  <c r="Q124" i="14"/>
  <c r="AE124" i="14" s="1"/>
  <c r="N124" i="14"/>
  <c r="O124" i="14" s="1"/>
  <c r="K124" i="14"/>
  <c r="J124" i="14"/>
  <c r="I124" i="14"/>
  <c r="G124" i="14"/>
  <c r="H124" i="14" s="1"/>
  <c r="AB124" i="14" s="1"/>
  <c r="B124" i="14"/>
  <c r="D124" i="14" s="1"/>
  <c r="A124" i="14"/>
  <c r="AP123" i="14"/>
  <c r="AN123" i="14" s="1"/>
  <c r="AO123" i="14"/>
  <c r="AM123" i="14"/>
  <c r="AL123" i="14"/>
  <c r="AK123" i="14"/>
  <c r="AJ123" i="14"/>
  <c r="AI123" i="14"/>
  <c r="AC123" i="14"/>
  <c r="Y123" i="14"/>
  <c r="W123" i="14" s="1"/>
  <c r="AD123" i="14" s="1"/>
  <c r="X123" i="14"/>
  <c r="AE123" i="14" s="1"/>
  <c r="V123" i="14"/>
  <c r="U123" i="14"/>
  <c r="R123" i="14"/>
  <c r="Q123" i="14"/>
  <c r="N123" i="14"/>
  <c r="O123" i="14" s="1"/>
  <c r="AB123" i="14" s="1"/>
  <c r="K123" i="14"/>
  <c r="I123" i="14" s="1"/>
  <c r="J123" i="14"/>
  <c r="H123" i="14"/>
  <c r="G123" i="14"/>
  <c r="C123" i="14"/>
  <c r="B123" i="14"/>
  <c r="E123" i="14" s="1"/>
  <c r="A123" i="14"/>
  <c r="AP122" i="14"/>
  <c r="AN122" i="14" s="1"/>
  <c r="AO122" i="14"/>
  <c r="AM122" i="14"/>
  <c r="AL122" i="14"/>
  <c r="AK122" i="14"/>
  <c r="AJ122" i="14" s="1"/>
  <c r="AI122" i="14"/>
  <c r="AC122" i="14"/>
  <c r="AB122" i="14"/>
  <c r="Y122" i="14"/>
  <c r="AF122" i="14" s="1"/>
  <c r="X122" i="14"/>
  <c r="AE122" i="14" s="1"/>
  <c r="U122" i="14"/>
  <c r="R122" i="14"/>
  <c r="Q122" i="14"/>
  <c r="N122" i="14"/>
  <c r="K122" i="14"/>
  <c r="I122" i="14" s="1"/>
  <c r="J122" i="14"/>
  <c r="G122" i="14"/>
  <c r="B122" i="14"/>
  <c r="E122" i="14" s="1"/>
  <c r="A122" i="14"/>
  <c r="AA119" i="14"/>
  <c r="Z119" i="14"/>
  <c r="T119" i="14"/>
  <c r="S119" i="14"/>
  <c r="M119" i="14"/>
  <c r="L119" i="14"/>
  <c r="AQ118" i="14"/>
  <c r="AO118" i="14"/>
  <c r="AN118" i="14" s="1"/>
  <c r="AM118" i="14"/>
  <c r="AL118" i="14"/>
  <c r="AJ118" i="14" s="1"/>
  <c r="AK118" i="14"/>
  <c r="AI118" i="14"/>
  <c r="AC118" i="14"/>
  <c r="Y118" i="14"/>
  <c r="X118" i="14"/>
  <c r="W118" i="14"/>
  <c r="V118" i="14"/>
  <c r="U118" i="14"/>
  <c r="R118" i="14"/>
  <c r="P118" i="14" s="1"/>
  <c r="Q118" i="14"/>
  <c r="N118" i="14"/>
  <c r="O118" i="14" s="1"/>
  <c r="K118" i="14"/>
  <c r="AF118" i="14" s="1"/>
  <c r="J118" i="14"/>
  <c r="AE118" i="14" s="1"/>
  <c r="H118" i="14"/>
  <c r="AB118" i="14" s="1"/>
  <c r="G118" i="14"/>
  <c r="B118" i="14"/>
  <c r="E118" i="14" s="1"/>
  <c r="A118" i="14"/>
  <c r="AQ117" i="14"/>
  <c r="AO117" i="14"/>
  <c r="AN117" i="14" s="1"/>
  <c r="AM117" i="14"/>
  <c r="AL117" i="14"/>
  <c r="AK117" i="14"/>
  <c r="AJ117" i="14"/>
  <c r="AI117" i="14"/>
  <c r="AC117" i="14"/>
  <c r="Y117" i="14"/>
  <c r="W117" i="14" s="1"/>
  <c r="X117" i="14"/>
  <c r="AE117" i="14" s="1"/>
  <c r="U117" i="14"/>
  <c r="V117" i="14" s="1"/>
  <c r="R117" i="14"/>
  <c r="Q117" i="14"/>
  <c r="P117" i="14"/>
  <c r="O117" i="14"/>
  <c r="N117" i="14"/>
  <c r="K117" i="14"/>
  <c r="I117" i="14" s="1"/>
  <c r="J117" i="14"/>
  <c r="G117" i="14"/>
  <c r="H117" i="14" s="1"/>
  <c r="AB117" i="14" s="1"/>
  <c r="E117" i="14"/>
  <c r="D117" i="14"/>
  <c r="C117" i="14"/>
  <c r="B117" i="14"/>
  <c r="A117" i="14"/>
  <c r="AQ116" i="14"/>
  <c r="AO116" i="14"/>
  <c r="AN116" i="14"/>
  <c r="AM116" i="14"/>
  <c r="AL116" i="14"/>
  <c r="AJ116" i="14" s="1"/>
  <c r="AK116" i="14"/>
  <c r="AI116" i="14"/>
  <c r="AC116" i="14"/>
  <c r="Y116" i="14"/>
  <c r="X116" i="14"/>
  <c r="W116" i="14" s="1"/>
  <c r="U116" i="14"/>
  <c r="V116" i="14" s="1"/>
  <c r="R116" i="14"/>
  <c r="AF116" i="14" s="1"/>
  <c r="Q116" i="14"/>
  <c r="N116" i="14"/>
  <c r="O116" i="14" s="1"/>
  <c r="K116" i="14"/>
  <c r="J116" i="14"/>
  <c r="I116" i="14"/>
  <c r="H116" i="14"/>
  <c r="AB116" i="14" s="1"/>
  <c r="G116" i="14"/>
  <c r="E116" i="14"/>
  <c r="C116" i="14"/>
  <c r="B116" i="14"/>
  <c r="D116" i="14" s="1"/>
  <c r="A116" i="14"/>
  <c r="AQ115" i="14"/>
  <c r="AO115" i="14"/>
  <c r="AN115" i="14" s="1"/>
  <c r="AM115" i="14"/>
  <c r="AL115" i="14"/>
  <c r="AK115" i="14"/>
  <c r="AJ115" i="14" s="1"/>
  <c r="AI115" i="14"/>
  <c r="AC115" i="14"/>
  <c r="Y115" i="14"/>
  <c r="X115" i="14"/>
  <c r="AE115" i="14" s="1"/>
  <c r="W115" i="14"/>
  <c r="V115" i="14"/>
  <c r="U115" i="14"/>
  <c r="R115" i="14"/>
  <c r="Q115" i="14"/>
  <c r="P115" i="14" s="1"/>
  <c r="N115" i="14"/>
  <c r="O115" i="14" s="1"/>
  <c r="K115" i="14"/>
  <c r="AF115" i="14" s="1"/>
  <c r="J115" i="14"/>
  <c r="G115" i="14"/>
  <c r="H115" i="14" s="1"/>
  <c r="AB115" i="14" s="1"/>
  <c r="B115" i="14"/>
  <c r="E115" i="14" s="1"/>
  <c r="A115" i="14"/>
  <c r="AQ114" i="14"/>
  <c r="AO114" i="14"/>
  <c r="AN114" i="14"/>
  <c r="AM114" i="14"/>
  <c r="AL114" i="14"/>
  <c r="AK114" i="14"/>
  <c r="AJ114" i="14"/>
  <c r="AI114" i="14"/>
  <c r="AF114" i="14"/>
  <c r="AH114" i="14" s="1"/>
  <c r="AC114" i="14"/>
  <c r="Y114" i="14"/>
  <c r="W114" i="14" s="1"/>
  <c r="AD114" i="14" s="1"/>
  <c r="X114" i="14"/>
  <c r="AE114" i="14" s="1"/>
  <c r="V114" i="14"/>
  <c r="U114" i="14"/>
  <c r="R114" i="14"/>
  <c r="Q114" i="14"/>
  <c r="P114" i="14"/>
  <c r="N114" i="14"/>
  <c r="O114" i="14" s="1"/>
  <c r="K114" i="14"/>
  <c r="J114" i="14"/>
  <c r="I114" i="14" s="1"/>
  <c r="G114" i="14"/>
  <c r="H114" i="14" s="1"/>
  <c r="E114" i="14"/>
  <c r="D114" i="14"/>
  <c r="C114" i="14"/>
  <c r="B114" i="14"/>
  <c r="A114" i="14"/>
  <c r="AQ113" i="14"/>
  <c r="AO113" i="14"/>
  <c r="AN113" i="14"/>
  <c r="AM113" i="14"/>
  <c r="AL113" i="14"/>
  <c r="AJ113" i="14" s="1"/>
  <c r="AK113" i="14"/>
  <c r="AI113" i="14"/>
  <c r="AC113" i="14"/>
  <c r="Y113" i="14"/>
  <c r="W113" i="14" s="1"/>
  <c r="X113" i="14"/>
  <c r="U113" i="14"/>
  <c r="V113" i="14" s="1"/>
  <c r="R113" i="14"/>
  <c r="P113" i="14" s="1"/>
  <c r="Q113" i="14"/>
  <c r="AE113" i="14" s="1"/>
  <c r="O113" i="14"/>
  <c r="N113" i="14"/>
  <c r="K113" i="14"/>
  <c r="J113" i="14"/>
  <c r="I113" i="14"/>
  <c r="G113" i="14"/>
  <c r="H113" i="14" s="1"/>
  <c r="AB113" i="14" s="1"/>
  <c r="D113" i="14"/>
  <c r="B113" i="14"/>
  <c r="C113" i="14" s="1"/>
  <c r="A113" i="14"/>
  <c r="AQ112" i="14"/>
  <c r="AO112" i="14"/>
  <c r="AN112" i="14"/>
  <c r="AM112" i="14"/>
  <c r="AL112" i="14"/>
  <c r="AJ112" i="14" s="1"/>
  <c r="AK112" i="14"/>
  <c r="AI112" i="14"/>
  <c r="AC112" i="14"/>
  <c r="Y112" i="14"/>
  <c r="W112" i="14" s="1"/>
  <c r="X112" i="14"/>
  <c r="AE112" i="14" s="1"/>
  <c r="V112" i="14"/>
  <c r="U112" i="14"/>
  <c r="R112" i="14"/>
  <c r="P112" i="14" s="1"/>
  <c r="Q112" i="14"/>
  <c r="N112" i="14"/>
  <c r="O112" i="14" s="1"/>
  <c r="K112" i="14"/>
  <c r="I112" i="14" s="1"/>
  <c r="J112" i="14"/>
  <c r="H112" i="14"/>
  <c r="G112" i="14"/>
  <c r="D112" i="14"/>
  <c r="C112" i="14"/>
  <c r="B112" i="14"/>
  <c r="E112" i="14" s="1"/>
  <c r="A112" i="14"/>
  <c r="AQ111" i="14"/>
  <c r="AO111" i="14"/>
  <c r="AN111" i="14" s="1"/>
  <c r="AM111" i="14"/>
  <c r="AL111" i="14"/>
  <c r="AJ111" i="14" s="1"/>
  <c r="AK111" i="14"/>
  <c r="AI111" i="14"/>
  <c r="AC111" i="14"/>
  <c r="Y111" i="14"/>
  <c r="W111" i="14" s="1"/>
  <c r="AD111" i="14" s="1"/>
  <c r="X111" i="14"/>
  <c r="U111" i="14"/>
  <c r="V111" i="14" s="1"/>
  <c r="R111" i="14"/>
  <c r="P111" i="14" s="1"/>
  <c r="Q111" i="14"/>
  <c r="AE111" i="14" s="1"/>
  <c r="O111" i="14"/>
  <c r="N111" i="14"/>
  <c r="K111" i="14"/>
  <c r="I111" i="14" s="1"/>
  <c r="J111" i="14"/>
  <c r="G111" i="14"/>
  <c r="H111" i="14" s="1"/>
  <c r="B111" i="14"/>
  <c r="E111" i="14" s="1"/>
  <c r="A111" i="14"/>
  <c r="AQ110" i="14"/>
  <c r="AO110" i="14"/>
  <c r="AN110" i="14"/>
  <c r="AM110" i="14"/>
  <c r="AL110" i="14"/>
  <c r="AK110" i="14"/>
  <c r="AJ110" i="14"/>
  <c r="AI110" i="14"/>
  <c r="AC110" i="14"/>
  <c r="Y110" i="14"/>
  <c r="X110" i="14"/>
  <c r="W110" i="14"/>
  <c r="V110" i="14"/>
  <c r="U110" i="14"/>
  <c r="R110" i="14"/>
  <c r="P110" i="14" s="1"/>
  <c r="AD110" i="14" s="1"/>
  <c r="Q110" i="14"/>
  <c r="N110" i="14"/>
  <c r="O110" i="14" s="1"/>
  <c r="K110" i="14"/>
  <c r="I110" i="14" s="1"/>
  <c r="J110" i="14"/>
  <c r="AE110" i="14" s="1"/>
  <c r="H110" i="14"/>
  <c r="AB110" i="14" s="1"/>
  <c r="G110" i="14"/>
  <c r="E110" i="14"/>
  <c r="B110" i="14"/>
  <c r="D110" i="14" s="1"/>
  <c r="A110" i="14"/>
  <c r="AQ109" i="14"/>
  <c r="AO109" i="14"/>
  <c r="AN109" i="14" s="1"/>
  <c r="AM109" i="14"/>
  <c r="AL109" i="14"/>
  <c r="AK109" i="14"/>
  <c r="AJ109" i="14"/>
  <c r="AI109" i="14"/>
  <c r="AE109" i="14"/>
  <c r="AC109" i="14"/>
  <c r="Y109" i="14"/>
  <c r="AF109" i="14" s="1"/>
  <c r="X109" i="14"/>
  <c r="W109" i="14"/>
  <c r="AD109" i="14" s="1"/>
  <c r="U109" i="14"/>
  <c r="V109" i="14" s="1"/>
  <c r="R109" i="14"/>
  <c r="Q109" i="14"/>
  <c r="P109" i="14"/>
  <c r="N109" i="14"/>
  <c r="O109" i="14" s="1"/>
  <c r="K109" i="14"/>
  <c r="I109" i="14" s="1"/>
  <c r="J109" i="14"/>
  <c r="G109" i="14"/>
  <c r="H109" i="14" s="1"/>
  <c r="B109" i="14"/>
  <c r="E109" i="14" s="1"/>
  <c r="A109" i="14"/>
  <c r="AQ108" i="14"/>
  <c r="AO108" i="14"/>
  <c r="AN108" i="14"/>
  <c r="AM108" i="14"/>
  <c r="AL108" i="14"/>
  <c r="AK108" i="14"/>
  <c r="AJ108" i="14"/>
  <c r="AI108" i="14"/>
  <c r="AC108" i="14"/>
  <c r="Y108" i="14"/>
  <c r="X108" i="14"/>
  <c r="W108" i="14" s="1"/>
  <c r="AD108" i="14" s="1"/>
  <c r="U108" i="14"/>
  <c r="V108" i="14" s="1"/>
  <c r="R108" i="14"/>
  <c r="AF108" i="14" s="1"/>
  <c r="Q108" i="14"/>
  <c r="P108" i="14"/>
  <c r="N108" i="14"/>
  <c r="O108" i="14" s="1"/>
  <c r="K108" i="14"/>
  <c r="J108" i="14"/>
  <c r="I108" i="14"/>
  <c r="G108" i="14"/>
  <c r="H108" i="14" s="1"/>
  <c r="E108" i="14"/>
  <c r="C108" i="14"/>
  <c r="B108" i="14"/>
  <c r="D108" i="14" s="1"/>
  <c r="A108" i="14"/>
  <c r="AQ107" i="14"/>
  <c r="AO107" i="14"/>
  <c r="AN107" i="14"/>
  <c r="AM107" i="14"/>
  <c r="AL107" i="14"/>
  <c r="AK107" i="14"/>
  <c r="AJ107" i="14" s="1"/>
  <c r="AI107" i="14"/>
  <c r="AF107" i="14"/>
  <c r="AH107" i="14" s="1"/>
  <c r="AC107" i="14"/>
  <c r="Y107" i="14"/>
  <c r="X107" i="14"/>
  <c r="W107" i="14" s="1"/>
  <c r="U107" i="14"/>
  <c r="V107" i="14" s="1"/>
  <c r="R107" i="14"/>
  <c r="Q107" i="14"/>
  <c r="P107" i="14" s="1"/>
  <c r="N107" i="14"/>
  <c r="O107" i="14" s="1"/>
  <c r="K107" i="14"/>
  <c r="J107" i="14"/>
  <c r="I107" i="14"/>
  <c r="G107" i="14"/>
  <c r="H107" i="14" s="1"/>
  <c r="C107" i="14"/>
  <c r="B107" i="14"/>
  <c r="E107" i="14" s="1"/>
  <c r="A107" i="14"/>
  <c r="AQ106" i="14"/>
  <c r="AO106" i="14"/>
  <c r="AN106" i="14"/>
  <c r="AM106" i="14"/>
  <c r="AL106" i="14"/>
  <c r="AK106" i="14"/>
  <c r="AJ106" i="14" s="1"/>
  <c r="AI106" i="14"/>
  <c r="AF106" i="14"/>
  <c r="AH106" i="14" s="1"/>
  <c r="AC106" i="14"/>
  <c r="Y106" i="14"/>
  <c r="W106" i="14" s="1"/>
  <c r="X106" i="14"/>
  <c r="AE106" i="14" s="1"/>
  <c r="V106" i="14"/>
  <c r="U106" i="14"/>
  <c r="R106" i="14"/>
  <c r="Q106" i="14"/>
  <c r="P106" i="14" s="1"/>
  <c r="N106" i="14"/>
  <c r="O106" i="14" s="1"/>
  <c r="K106" i="14"/>
  <c r="J106" i="14"/>
  <c r="I106" i="14" s="1"/>
  <c r="G106" i="14"/>
  <c r="H106" i="14" s="1"/>
  <c r="AB106" i="14" s="1"/>
  <c r="E106" i="14"/>
  <c r="D106" i="14"/>
  <c r="C106" i="14"/>
  <c r="B106" i="14"/>
  <c r="A106" i="14"/>
  <c r="AQ105" i="14"/>
  <c r="AO105" i="14"/>
  <c r="AN105" i="14"/>
  <c r="AM105" i="14"/>
  <c r="AL105" i="14"/>
  <c r="AJ105" i="14" s="1"/>
  <c r="AK105" i="14"/>
  <c r="AI105" i="14"/>
  <c r="AC105" i="14"/>
  <c r="Y105" i="14"/>
  <c r="W105" i="14" s="1"/>
  <c r="AD105" i="14" s="1"/>
  <c r="X105" i="14"/>
  <c r="V105" i="14"/>
  <c r="U105" i="14"/>
  <c r="R105" i="14"/>
  <c r="P105" i="14" s="1"/>
  <c r="Q105" i="14"/>
  <c r="AE105" i="14" s="1"/>
  <c r="O105" i="14"/>
  <c r="AB105" i="14" s="1"/>
  <c r="N105" i="14"/>
  <c r="K105" i="14"/>
  <c r="J105" i="14"/>
  <c r="I105" i="14" s="1"/>
  <c r="B105" i="14"/>
  <c r="E105" i="14" s="1"/>
  <c r="A105" i="14"/>
  <c r="AQ104" i="14"/>
  <c r="AO104" i="14"/>
  <c r="AN104" i="14" s="1"/>
  <c r="AM104" i="14"/>
  <c r="AL104" i="14"/>
  <c r="AJ104" i="14" s="1"/>
  <c r="AK104" i="14"/>
  <c r="AI104" i="14"/>
  <c r="AE104" i="14"/>
  <c r="AC104" i="14"/>
  <c r="Y104" i="14"/>
  <c r="X104" i="14"/>
  <c r="W104" i="14" s="1"/>
  <c r="U104" i="14"/>
  <c r="V104" i="14" s="1"/>
  <c r="R104" i="14"/>
  <c r="P104" i="14" s="1"/>
  <c r="Q104" i="14"/>
  <c r="N104" i="14"/>
  <c r="O104" i="14" s="1"/>
  <c r="K104" i="14"/>
  <c r="J104" i="14"/>
  <c r="I104" i="14"/>
  <c r="H104" i="14"/>
  <c r="G104" i="14"/>
  <c r="E104" i="14"/>
  <c r="C104" i="14"/>
  <c r="B104" i="14"/>
  <c r="D104" i="14" s="1"/>
  <c r="A104" i="14"/>
  <c r="AQ103" i="14"/>
  <c r="AO103" i="14"/>
  <c r="AN103" i="14" s="1"/>
  <c r="AM103" i="14"/>
  <c r="AL103" i="14"/>
  <c r="AK103" i="14"/>
  <c r="AJ103" i="14" s="1"/>
  <c r="AI103" i="14"/>
  <c r="AE103" i="14"/>
  <c r="AC103" i="14"/>
  <c r="Y103" i="14"/>
  <c r="AF103" i="14" s="1"/>
  <c r="X103" i="14"/>
  <c r="W103" i="14"/>
  <c r="U103" i="14"/>
  <c r="V103" i="14" s="1"/>
  <c r="R103" i="14"/>
  <c r="Q103" i="14"/>
  <c r="P103" i="14" s="1"/>
  <c r="N103" i="14"/>
  <c r="O103" i="14" s="1"/>
  <c r="K103" i="14"/>
  <c r="I103" i="14" s="1"/>
  <c r="J103" i="14"/>
  <c r="G103" i="14"/>
  <c r="H103" i="14" s="1"/>
  <c r="B103" i="14"/>
  <c r="E103" i="14" s="1"/>
  <c r="A103" i="14"/>
  <c r="AQ102" i="14"/>
  <c r="AO102" i="14"/>
  <c r="AN102" i="14"/>
  <c r="AM102" i="14"/>
  <c r="AL102" i="14"/>
  <c r="AK102" i="14"/>
  <c r="AJ102" i="14"/>
  <c r="AI102" i="14"/>
  <c r="AF102" i="14"/>
  <c r="AG102" i="14" s="1"/>
  <c r="AC102" i="14"/>
  <c r="AH102" i="14" s="1"/>
  <c r="AB102" i="14"/>
  <c r="Y102" i="14"/>
  <c r="X102" i="14"/>
  <c r="W102" i="14" s="1"/>
  <c r="U102" i="14"/>
  <c r="R102" i="14"/>
  <c r="Q102" i="14"/>
  <c r="P102" i="14"/>
  <c r="N102" i="14"/>
  <c r="K102" i="14"/>
  <c r="J102" i="14"/>
  <c r="I102" i="14" s="1"/>
  <c r="H102" i="14"/>
  <c r="G102" i="14"/>
  <c r="E102" i="14"/>
  <c r="D102" i="14"/>
  <c r="C102" i="14"/>
  <c r="B102" i="14"/>
  <c r="A102" i="14"/>
  <c r="AQ101" i="14"/>
  <c r="AO101" i="14"/>
  <c r="AN101" i="14" s="1"/>
  <c r="AM101" i="14"/>
  <c r="AL101" i="14"/>
  <c r="AJ101" i="14" s="1"/>
  <c r="AK101" i="14"/>
  <c r="AI101" i="14"/>
  <c r="AC101" i="14"/>
  <c r="Y101" i="14"/>
  <c r="W101" i="14" s="1"/>
  <c r="AD101" i="14" s="1"/>
  <c r="X101" i="14"/>
  <c r="AE101" i="14" s="1"/>
  <c r="U101" i="14"/>
  <c r="R101" i="14"/>
  <c r="Q101" i="14"/>
  <c r="P101" i="14" s="1"/>
  <c r="N101" i="14"/>
  <c r="K101" i="14"/>
  <c r="I101" i="14" s="1"/>
  <c r="J101" i="14"/>
  <c r="H101" i="14"/>
  <c r="AB101" i="14" s="1"/>
  <c r="G101" i="14"/>
  <c r="E101" i="14"/>
  <c r="B101" i="14"/>
  <c r="D101" i="14" s="1"/>
  <c r="A101" i="14"/>
  <c r="AQ100" i="14"/>
  <c r="AO100" i="14"/>
  <c r="AN100" i="14" s="1"/>
  <c r="AM100" i="14"/>
  <c r="AL100" i="14"/>
  <c r="AK100" i="14"/>
  <c r="AJ100" i="14"/>
  <c r="AI100" i="14"/>
  <c r="AE100" i="14"/>
  <c r="AC100" i="14"/>
  <c r="Y100" i="14"/>
  <c r="W100" i="14" s="1"/>
  <c r="X100" i="14"/>
  <c r="U100" i="14"/>
  <c r="R100" i="14"/>
  <c r="P100" i="14" s="1"/>
  <c r="Q100" i="14"/>
  <c r="N100" i="14"/>
  <c r="K100" i="14"/>
  <c r="I100" i="14" s="1"/>
  <c r="J100" i="14"/>
  <c r="G100" i="14"/>
  <c r="H100" i="14" s="1"/>
  <c r="AB100" i="14" s="1"/>
  <c r="E100" i="14"/>
  <c r="C100" i="14"/>
  <c r="B100" i="14"/>
  <c r="D100" i="14" s="1"/>
  <c r="A100" i="14"/>
  <c r="AQ99" i="14"/>
  <c r="AO99" i="14"/>
  <c r="AN99" i="14"/>
  <c r="AM99" i="14"/>
  <c r="AL99" i="14"/>
  <c r="AK99" i="14"/>
  <c r="AJ99" i="14" s="1"/>
  <c r="AI99" i="14"/>
  <c r="AF99" i="14"/>
  <c r="AH99" i="14" s="1"/>
  <c r="AE99" i="14"/>
  <c r="AC99" i="14"/>
  <c r="Y99" i="14"/>
  <c r="W99" i="14" s="1"/>
  <c r="AD99" i="14" s="1"/>
  <c r="X99" i="14"/>
  <c r="U99" i="14"/>
  <c r="R99" i="14"/>
  <c r="Q99" i="14"/>
  <c r="P99" i="14"/>
  <c r="N99" i="14"/>
  <c r="K99" i="14"/>
  <c r="I99" i="14" s="1"/>
  <c r="J99" i="14"/>
  <c r="G99" i="14"/>
  <c r="H99" i="14" s="1"/>
  <c r="AB99" i="14" s="1"/>
  <c r="D99" i="14"/>
  <c r="B99" i="14"/>
  <c r="C99" i="14" s="1"/>
  <c r="A99" i="14"/>
  <c r="AQ98" i="14"/>
  <c r="AO98" i="14"/>
  <c r="AN98" i="14"/>
  <c r="AM98" i="14"/>
  <c r="AL98" i="14"/>
  <c r="AJ98" i="14" s="1"/>
  <c r="AK98" i="14"/>
  <c r="AI98" i="14"/>
  <c r="AF98" i="14"/>
  <c r="AH98" i="14" s="1"/>
  <c r="AC98" i="14"/>
  <c r="Y98" i="14"/>
  <c r="X98" i="14"/>
  <c r="AE98" i="14" s="1"/>
  <c r="W98" i="14"/>
  <c r="U98" i="14"/>
  <c r="R98" i="14"/>
  <c r="Q98" i="14"/>
  <c r="P98" i="14" s="1"/>
  <c r="N98" i="14"/>
  <c r="K98" i="14"/>
  <c r="J98" i="14"/>
  <c r="I98" i="14"/>
  <c r="H98" i="14"/>
  <c r="AB98" i="14" s="1"/>
  <c r="G98" i="14"/>
  <c r="E98" i="14"/>
  <c r="D98" i="14"/>
  <c r="C98" i="14"/>
  <c r="B98" i="14"/>
  <c r="A98" i="14"/>
  <c r="AQ97" i="14"/>
  <c r="AN97" i="14"/>
  <c r="AM97" i="14"/>
  <c r="AL97" i="14"/>
  <c r="AJ97" i="14" s="1"/>
  <c r="AK97" i="14"/>
  <c r="AI97" i="14"/>
  <c r="AF97" i="14"/>
  <c r="AH97" i="14" s="1"/>
  <c r="AC97" i="14"/>
  <c r="Y97" i="14"/>
  <c r="X97" i="14"/>
  <c r="AE97" i="14" s="1"/>
  <c r="W97" i="14"/>
  <c r="U97" i="14"/>
  <c r="R97" i="14"/>
  <c r="Q97" i="14"/>
  <c r="P97" i="14" s="1"/>
  <c r="N97" i="14"/>
  <c r="K97" i="14"/>
  <c r="J97" i="14"/>
  <c r="I97" i="14"/>
  <c r="H97" i="14"/>
  <c r="AB97" i="14" s="1"/>
  <c r="G97" i="14"/>
  <c r="E97" i="14"/>
  <c r="D97" i="14"/>
  <c r="C97" i="14"/>
  <c r="B97" i="14"/>
  <c r="A97" i="14"/>
  <c r="AQ96" i="14"/>
  <c r="AN96" i="14"/>
  <c r="AM96" i="14"/>
  <c r="AL96" i="14"/>
  <c r="AJ96" i="14" s="1"/>
  <c r="AK96" i="14"/>
  <c r="AI96" i="14"/>
  <c r="AF96" i="14"/>
  <c r="AH96" i="14" s="1"/>
  <c r="AC96" i="14"/>
  <c r="Y96" i="14"/>
  <c r="X96" i="14"/>
  <c r="AE96" i="14" s="1"/>
  <c r="W96" i="14"/>
  <c r="AD96" i="14" s="1"/>
  <c r="U96" i="14"/>
  <c r="R96" i="14"/>
  <c r="Q96" i="14"/>
  <c r="P96" i="14" s="1"/>
  <c r="N96" i="14"/>
  <c r="K96" i="14"/>
  <c r="J96" i="14"/>
  <c r="I96" i="14"/>
  <c r="H96" i="14"/>
  <c r="AB96" i="14" s="1"/>
  <c r="G96" i="14"/>
  <c r="E96" i="14"/>
  <c r="D96" i="14"/>
  <c r="C96" i="14"/>
  <c r="B96" i="14"/>
  <c r="A96" i="14"/>
  <c r="AQ95" i="14"/>
  <c r="AN95" i="14"/>
  <c r="AM95" i="14"/>
  <c r="AL95" i="14"/>
  <c r="AJ95" i="14" s="1"/>
  <c r="AK95" i="14"/>
  <c r="AI95" i="14"/>
  <c r="AF95" i="14"/>
  <c r="AH95" i="14" s="1"/>
  <c r="AC95" i="14"/>
  <c r="AB95" i="14"/>
  <c r="Y95" i="14"/>
  <c r="X95" i="14"/>
  <c r="AE95" i="14" s="1"/>
  <c r="W95" i="14"/>
  <c r="AD95" i="14" s="1"/>
  <c r="U95" i="14"/>
  <c r="R95" i="14"/>
  <c r="Q95" i="14"/>
  <c r="P95" i="14" s="1"/>
  <c r="N95" i="14"/>
  <c r="K95" i="14"/>
  <c r="J95" i="14"/>
  <c r="I95" i="14"/>
  <c r="G95" i="14"/>
  <c r="D95" i="14"/>
  <c r="B95" i="14"/>
  <c r="C95" i="14" s="1"/>
  <c r="A95" i="14"/>
  <c r="AQ94" i="14"/>
  <c r="AN94" i="14"/>
  <c r="AM94" i="14"/>
  <c r="AL94" i="14"/>
  <c r="AK94" i="14"/>
  <c r="AJ94" i="14" s="1"/>
  <c r="AI94" i="14"/>
  <c r="AE94" i="14"/>
  <c r="AC94" i="14"/>
  <c r="AB94" i="14"/>
  <c r="Y94" i="14"/>
  <c r="W94" i="14" s="1"/>
  <c r="X94" i="14"/>
  <c r="U94" i="14"/>
  <c r="R94" i="14"/>
  <c r="P94" i="14" s="1"/>
  <c r="Q94" i="14"/>
  <c r="N94" i="14"/>
  <c r="K94" i="14"/>
  <c r="I94" i="14" s="1"/>
  <c r="J94" i="14"/>
  <c r="G94" i="14"/>
  <c r="E94" i="14"/>
  <c r="C94" i="14"/>
  <c r="B94" i="14"/>
  <c r="D94" i="14" s="1"/>
  <c r="A94" i="14"/>
  <c r="AQ93" i="14"/>
  <c r="AN93" i="14"/>
  <c r="AM93" i="14"/>
  <c r="AL93" i="14"/>
  <c r="AJ93" i="14" s="1"/>
  <c r="AK93" i="14"/>
  <c r="AI93" i="14"/>
  <c r="AC93" i="14"/>
  <c r="AB93" i="14"/>
  <c r="Y93" i="14"/>
  <c r="W93" i="14" s="1"/>
  <c r="X93" i="14"/>
  <c r="U93" i="14"/>
  <c r="R93" i="14"/>
  <c r="P93" i="14" s="1"/>
  <c r="Q93" i="14"/>
  <c r="AE93" i="14" s="1"/>
  <c r="N93" i="14"/>
  <c r="K93" i="14"/>
  <c r="I93" i="14" s="1"/>
  <c r="J93" i="14"/>
  <c r="G93" i="14"/>
  <c r="E93" i="14"/>
  <c r="D93" i="14"/>
  <c r="B93" i="14"/>
  <c r="C93" i="14" s="1"/>
  <c r="A93" i="14"/>
  <c r="AQ92" i="14"/>
  <c r="AN92" i="14"/>
  <c r="AM92" i="14"/>
  <c r="AL92" i="14"/>
  <c r="AJ92" i="14" s="1"/>
  <c r="AK92" i="14"/>
  <c r="AI92" i="14"/>
  <c r="AC92" i="14"/>
  <c r="AB92" i="14"/>
  <c r="Y92" i="14"/>
  <c r="AF92" i="14" s="1"/>
  <c r="X92" i="14"/>
  <c r="AE92" i="14" s="1"/>
  <c r="W92" i="14"/>
  <c r="U92" i="14"/>
  <c r="R92" i="14"/>
  <c r="Q92" i="14"/>
  <c r="P92" i="14"/>
  <c r="AD92" i="14" s="1"/>
  <c r="N92" i="14"/>
  <c r="K92" i="14"/>
  <c r="J92" i="14"/>
  <c r="I92" i="14"/>
  <c r="G92" i="14"/>
  <c r="E92" i="14"/>
  <c r="D92" i="14"/>
  <c r="C92" i="14"/>
  <c r="B92" i="14"/>
  <c r="A92" i="14"/>
  <c r="AQ91" i="14"/>
  <c r="AN91" i="14"/>
  <c r="AM91" i="14"/>
  <c r="AL91" i="14"/>
  <c r="AK91" i="14"/>
  <c r="AJ91" i="14"/>
  <c r="AI91" i="14"/>
  <c r="AF91" i="14"/>
  <c r="AG91" i="14" s="1"/>
  <c r="AC91" i="14"/>
  <c r="AH91" i="14" s="1"/>
  <c r="AB91" i="14"/>
  <c r="Y91" i="14"/>
  <c r="X91" i="14"/>
  <c r="W91" i="14" s="1"/>
  <c r="U91" i="14"/>
  <c r="R91" i="14"/>
  <c r="Q91" i="14"/>
  <c r="P91" i="14"/>
  <c r="N91" i="14"/>
  <c r="K91" i="14"/>
  <c r="J91" i="14"/>
  <c r="I91" i="14" s="1"/>
  <c r="G91" i="14"/>
  <c r="B91" i="14"/>
  <c r="E91" i="14" s="1"/>
  <c r="A91" i="14"/>
  <c r="AQ90" i="14"/>
  <c r="AN90" i="14"/>
  <c r="AM90" i="14"/>
  <c r="AL90" i="14"/>
  <c r="AK90" i="14"/>
  <c r="AJ90" i="14"/>
  <c r="AI90" i="14"/>
  <c r="AE90" i="14"/>
  <c r="AC90" i="14"/>
  <c r="AB90" i="14"/>
  <c r="Y90" i="14"/>
  <c r="W90" i="14" s="1"/>
  <c r="AD90" i="14" s="1"/>
  <c r="X90" i="14"/>
  <c r="U90" i="14"/>
  <c r="R90" i="14"/>
  <c r="P90" i="14" s="1"/>
  <c r="Q90" i="14"/>
  <c r="N90" i="14"/>
  <c r="K90" i="14"/>
  <c r="I90" i="14" s="1"/>
  <c r="J90" i="14"/>
  <c r="G90" i="14"/>
  <c r="E90" i="14"/>
  <c r="B90" i="14"/>
  <c r="D90" i="14" s="1"/>
  <c r="A90" i="14"/>
  <c r="AQ89" i="14"/>
  <c r="AN89" i="14"/>
  <c r="AM89" i="14"/>
  <c r="AL89" i="14"/>
  <c r="AJ89" i="14" s="1"/>
  <c r="AK89" i="14"/>
  <c r="AI89" i="14"/>
  <c r="AC89" i="14"/>
  <c r="AB89" i="14"/>
  <c r="Y89" i="14"/>
  <c r="W89" i="14" s="1"/>
  <c r="X89" i="14"/>
  <c r="AE89" i="14" s="1"/>
  <c r="U89" i="14"/>
  <c r="R89" i="14"/>
  <c r="P89" i="14" s="1"/>
  <c r="Q89" i="14"/>
  <c r="N89" i="14"/>
  <c r="K89" i="14"/>
  <c r="AF89" i="14" s="1"/>
  <c r="J89" i="14"/>
  <c r="G89" i="14"/>
  <c r="D89" i="14"/>
  <c r="B89" i="14"/>
  <c r="E89" i="14" s="1"/>
  <c r="A89" i="14"/>
  <c r="AQ88" i="14"/>
  <c r="AN88" i="14"/>
  <c r="AM88" i="14"/>
  <c r="AL88" i="14"/>
  <c r="AJ88" i="14" s="1"/>
  <c r="AK88" i="14"/>
  <c r="AI88" i="14"/>
  <c r="AE88" i="14"/>
  <c r="AC88" i="14"/>
  <c r="AB88" i="14"/>
  <c r="Y88" i="14"/>
  <c r="AF88" i="14" s="1"/>
  <c r="X88" i="14"/>
  <c r="W88" i="14"/>
  <c r="U88" i="14"/>
  <c r="R88" i="14"/>
  <c r="Q88" i="14"/>
  <c r="P88" i="14"/>
  <c r="N88" i="14"/>
  <c r="K88" i="14"/>
  <c r="J88" i="14"/>
  <c r="I88" i="14"/>
  <c r="G88" i="14"/>
  <c r="E88" i="14"/>
  <c r="D88" i="14"/>
  <c r="C88" i="14"/>
  <c r="B88" i="14"/>
  <c r="A88" i="14"/>
  <c r="AQ87" i="14"/>
  <c r="AN87" i="14"/>
  <c r="AM87" i="14"/>
  <c r="AL87" i="14"/>
  <c r="AK87" i="14"/>
  <c r="AJ87" i="14"/>
  <c r="AI87" i="14"/>
  <c r="AF87" i="14"/>
  <c r="AH87" i="14" s="1"/>
  <c r="AC87" i="14"/>
  <c r="AB87" i="14"/>
  <c r="Y87" i="14"/>
  <c r="X87" i="14"/>
  <c r="AE87" i="14" s="1"/>
  <c r="W87" i="14"/>
  <c r="U87" i="14"/>
  <c r="R87" i="14"/>
  <c r="Q87" i="14"/>
  <c r="P87" i="14" s="1"/>
  <c r="AD87" i="14" s="1"/>
  <c r="N87" i="14"/>
  <c r="K87" i="14"/>
  <c r="J87" i="14"/>
  <c r="I87" i="14"/>
  <c r="G87" i="14"/>
  <c r="B87" i="14"/>
  <c r="A87" i="14"/>
  <c r="AQ86" i="14"/>
  <c r="AN86" i="14"/>
  <c r="AL86" i="14"/>
  <c r="AJ86" i="14" s="1"/>
  <c r="AK86" i="14"/>
  <c r="AC86" i="14"/>
  <c r="AB86" i="14"/>
  <c r="Y86" i="14"/>
  <c r="AF86" i="14" s="1"/>
  <c r="X86" i="14"/>
  <c r="W86" i="14"/>
  <c r="U86" i="14"/>
  <c r="R86" i="14"/>
  <c r="Q86" i="14"/>
  <c r="AE86" i="14" s="1"/>
  <c r="P86" i="14"/>
  <c r="N86" i="14"/>
  <c r="K86" i="14"/>
  <c r="J86" i="14"/>
  <c r="I86" i="14"/>
  <c r="B86" i="14"/>
  <c r="A86" i="14"/>
  <c r="AQ85" i="14"/>
  <c r="AN85" i="14"/>
  <c r="AM85" i="14"/>
  <c r="AL85" i="14"/>
  <c r="AK85" i="14"/>
  <c r="AJ85" i="14"/>
  <c r="AI85" i="14"/>
  <c r="AE85" i="14"/>
  <c r="AC85" i="14"/>
  <c r="AB85" i="14"/>
  <c r="Y85" i="14"/>
  <c r="X85" i="14"/>
  <c r="U85" i="14"/>
  <c r="R85" i="14"/>
  <c r="P85" i="14" s="1"/>
  <c r="Q85" i="14"/>
  <c r="N85" i="14"/>
  <c r="K85" i="14"/>
  <c r="I85" i="14" s="1"/>
  <c r="J85" i="14"/>
  <c r="G85" i="14"/>
  <c r="E85" i="14"/>
  <c r="B85" i="14"/>
  <c r="D85" i="14" s="1"/>
  <c r="A85" i="14"/>
  <c r="AQ84" i="14"/>
  <c r="AN84" i="14"/>
  <c r="AM84" i="14"/>
  <c r="AL84" i="14"/>
  <c r="AJ84" i="14" s="1"/>
  <c r="AK84" i="14"/>
  <c r="AI84" i="14"/>
  <c r="AH84" i="14"/>
  <c r="AF84" i="14"/>
  <c r="AG84" i="14" s="1"/>
  <c r="AC84" i="14"/>
  <c r="AB84" i="14"/>
  <c r="Y84" i="14"/>
  <c r="X84" i="14"/>
  <c r="AE84" i="14" s="1"/>
  <c r="U84" i="14"/>
  <c r="R84" i="14"/>
  <c r="Q84" i="14"/>
  <c r="N84" i="14"/>
  <c r="K84" i="14"/>
  <c r="J84" i="14"/>
  <c r="G84" i="14"/>
  <c r="D84" i="14"/>
  <c r="B84" i="14"/>
  <c r="E84" i="14" s="1"/>
  <c r="A84" i="14"/>
  <c r="AQ83" i="14"/>
  <c r="AN83" i="14"/>
  <c r="AM83" i="14"/>
  <c r="AL83" i="14"/>
  <c r="AK83" i="14"/>
  <c r="AI83" i="14"/>
  <c r="AE83" i="14"/>
  <c r="AC83" i="14"/>
  <c r="AB83" i="14"/>
  <c r="Y83" i="14"/>
  <c r="X83" i="14"/>
  <c r="W83" i="14"/>
  <c r="U83" i="14"/>
  <c r="R83" i="14"/>
  <c r="Q83" i="14"/>
  <c r="P83" i="14"/>
  <c r="N83" i="14"/>
  <c r="K83" i="14"/>
  <c r="J83" i="14"/>
  <c r="I83" i="14"/>
  <c r="G83" i="14"/>
  <c r="E83" i="14"/>
  <c r="D83" i="14"/>
  <c r="C83" i="14"/>
  <c r="B83" i="14"/>
  <c r="A83" i="14"/>
  <c r="AQ82" i="14"/>
  <c r="AN82" i="14"/>
  <c r="AM82" i="14"/>
  <c r="AL82" i="14"/>
  <c r="AJ82" i="14" s="1"/>
  <c r="AK82" i="14"/>
  <c r="AI82" i="14"/>
  <c r="AF82" i="14"/>
  <c r="AC82" i="14"/>
  <c r="AB82" i="14"/>
  <c r="Y82" i="14"/>
  <c r="X82" i="14"/>
  <c r="AE82" i="14" s="1"/>
  <c r="W82" i="14"/>
  <c r="U82" i="14"/>
  <c r="R82" i="14"/>
  <c r="Q82" i="14"/>
  <c r="P82" i="14" s="1"/>
  <c r="AD82" i="14" s="1"/>
  <c r="N82" i="14"/>
  <c r="K82" i="14"/>
  <c r="J82" i="14"/>
  <c r="I82" i="14"/>
  <c r="G82" i="14"/>
  <c r="D82" i="14"/>
  <c r="B82" i="14"/>
  <c r="A82" i="14"/>
  <c r="AQ81" i="14"/>
  <c r="AN81" i="14"/>
  <c r="AM81" i="14"/>
  <c r="AL81" i="14"/>
  <c r="AK81" i="14"/>
  <c r="AJ81" i="14" s="1"/>
  <c r="AI81" i="14"/>
  <c r="AE81" i="14"/>
  <c r="AC81" i="14"/>
  <c r="AB81" i="14"/>
  <c r="Y81" i="14"/>
  <c r="X81" i="14"/>
  <c r="U81" i="14"/>
  <c r="R81" i="14"/>
  <c r="P81" i="14" s="1"/>
  <c r="Q81" i="14"/>
  <c r="N81" i="14"/>
  <c r="K81" i="14"/>
  <c r="I81" i="14" s="1"/>
  <c r="J81" i="14"/>
  <c r="G81" i="14"/>
  <c r="E81" i="14"/>
  <c r="C81" i="14"/>
  <c r="B81" i="14"/>
  <c r="D81" i="14" s="1"/>
  <c r="A81" i="14"/>
  <c r="AQ80" i="14"/>
  <c r="AN80" i="14"/>
  <c r="AM80" i="14"/>
  <c r="AL80" i="14"/>
  <c r="AJ80" i="14" s="1"/>
  <c r="AK80" i="14"/>
  <c r="AI80" i="14"/>
  <c r="AC80" i="14"/>
  <c r="AB80" i="14"/>
  <c r="Y80" i="14"/>
  <c r="W80" i="14" s="1"/>
  <c r="X80" i="14"/>
  <c r="U80" i="14"/>
  <c r="R80" i="14"/>
  <c r="AF80" i="14" s="1"/>
  <c r="AG80" i="14" s="1"/>
  <c r="Q80" i="14"/>
  <c r="N80" i="14"/>
  <c r="K80" i="14"/>
  <c r="J80" i="14"/>
  <c r="G80" i="14"/>
  <c r="B80" i="14"/>
  <c r="A80" i="14"/>
  <c r="AQ79" i="14"/>
  <c r="AN79" i="14"/>
  <c r="AM79" i="14"/>
  <c r="AL79" i="14"/>
  <c r="AJ79" i="14" s="1"/>
  <c r="AK79" i="14"/>
  <c r="AI79" i="14"/>
  <c r="AC79" i="14"/>
  <c r="AB79" i="14"/>
  <c r="Y79" i="14"/>
  <c r="X79" i="14"/>
  <c r="W79" i="14"/>
  <c r="U79" i="14"/>
  <c r="R79" i="14"/>
  <c r="Q79" i="14"/>
  <c r="AE79" i="14" s="1"/>
  <c r="P79" i="14"/>
  <c r="N79" i="14"/>
  <c r="K79" i="14"/>
  <c r="J79" i="14"/>
  <c r="I79" i="14"/>
  <c r="G79" i="14"/>
  <c r="E79" i="14"/>
  <c r="D79" i="14"/>
  <c r="C79" i="14"/>
  <c r="B79" i="14"/>
  <c r="A79" i="14"/>
  <c r="AQ78" i="14"/>
  <c r="AN78" i="14"/>
  <c r="AM78" i="14"/>
  <c r="AL78" i="14"/>
  <c r="AK78" i="14"/>
  <c r="AJ78" i="14"/>
  <c r="AI78" i="14"/>
  <c r="AF78" i="14"/>
  <c r="AG78" i="14" s="1"/>
  <c r="AC78" i="14"/>
  <c r="AB78" i="14"/>
  <c r="Y78" i="14"/>
  <c r="X78" i="14"/>
  <c r="U78" i="14"/>
  <c r="R78" i="14"/>
  <c r="Q78" i="14"/>
  <c r="P78" i="14"/>
  <c r="N78" i="14"/>
  <c r="K78" i="14"/>
  <c r="J78" i="14"/>
  <c r="I78" i="14" s="1"/>
  <c r="G78" i="14"/>
  <c r="B78" i="14"/>
  <c r="A78" i="14"/>
  <c r="AQ77" i="14"/>
  <c r="AN77" i="14"/>
  <c r="AM77" i="14"/>
  <c r="AL77" i="14"/>
  <c r="AK77" i="14"/>
  <c r="AJ77" i="14"/>
  <c r="AI77" i="14"/>
  <c r="AE77" i="14"/>
  <c r="AC77" i="14"/>
  <c r="AB77" i="14"/>
  <c r="Y77" i="14"/>
  <c r="X77" i="14"/>
  <c r="W77" i="14"/>
  <c r="U77" i="14"/>
  <c r="R77" i="14"/>
  <c r="P77" i="14" s="1"/>
  <c r="Q77" i="14"/>
  <c r="N77" i="14"/>
  <c r="K77" i="14"/>
  <c r="I77" i="14" s="1"/>
  <c r="J77" i="14"/>
  <c r="G77" i="14"/>
  <c r="E77" i="14"/>
  <c r="B77" i="14"/>
  <c r="D77" i="14" s="1"/>
  <c r="A77" i="14"/>
  <c r="AQ76" i="14"/>
  <c r="AN76" i="14"/>
  <c r="AM76" i="14"/>
  <c r="AL76" i="14"/>
  <c r="AJ76" i="14" s="1"/>
  <c r="AK76" i="14"/>
  <c r="AI76" i="14"/>
  <c r="AF76" i="14"/>
  <c r="AG76" i="14" s="1"/>
  <c r="AC76" i="14"/>
  <c r="AB76" i="14"/>
  <c r="Y76" i="14"/>
  <c r="W76" i="14" s="1"/>
  <c r="X76" i="14"/>
  <c r="AE76" i="14" s="1"/>
  <c r="U76" i="14"/>
  <c r="R76" i="14"/>
  <c r="Q76" i="14"/>
  <c r="N76" i="14"/>
  <c r="K76" i="14"/>
  <c r="I76" i="14" s="1"/>
  <c r="J76" i="14"/>
  <c r="G76" i="14"/>
  <c r="D76" i="14"/>
  <c r="B76" i="14"/>
  <c r="E76" i="14" s="1"/>
  <c r="A76" i="14"/>
  <c r="AQ75" i="14"/>
  <c r="AN75" i="14"/>
  <c r="AM75" i="14"/>
  <c r="AL75" i="14"/>
  <c r="AK75" i="14"/>
  <c r="AI75" i="14"/>
  <c r="AE75" i="14"/>
  <c r="AC75" i="14"/>
  <c r="AB75" i="14"/>
  <c r="Y75" i="14"/>
  <c r="AF75" i="14" s="1"/>
  <c r="AH75" i="14" s="1"/>
  <c r="X75" i="14"/>
  <c r="W75" i="14"/>
  <c r="U75" i="14"/>
  <c r="R75" i="14"/>
  <c r="P75" i="14" s="1"/>
  <c r="Q75" i="14"/>
  <c r="N75" i="14"/>
  <c r="K75" i="14"/>
  <c r="J75" i="14"/>
  <c r="I75" i="14"/>
  <c r="G75" i="14"/>
  <c r="E75" i="14"/>
  <c r="D75" i="14"/>
  <c r="C75" i="14"/>
  <c r="B75" i="14"/>
  <c r="A75" i="14"/>
  <c r="AQ74" i="14"/>
  <c r="AN74" i="14"/>
  <c r="AM74" i="14"/>
  <c r="AL74" i="14"/>
  <c r="AJ74" i="14" s="1"/>
  <c r="AK74" i="14"/>
  <c r="AI74" i="14"/>
  <c r="AF74" i="14"/>
  <c r="AC74" i="14"/>
  <c r="AB74" i="14"/>
  <c r="Y74" i="14"/>
  <c r="X74" i="14"/>
  <c r="W74" i="14"/>
  <c r="U74" i="14"/>
  <c r="R74" i="14"/>
  <c r="Q74" i="14"/>
  <c r="P74" i="14" s="1"/>
  <c r="AD74" i="14" s="1"/>
  <c r="N74" i="14"/>
  <c r="K74" i="14"/>
  <c r="J74" i="14"/>
  <c r="I74" i="14"/>
  <c r="G74" i="14"/>
  <c r="B74" i="14"/>
  <c r="A74" i="14"/>
  <c r="AQ73" i="14"/>
  <c r="AN73" i="14"/>
  <c r="AM73" i="14"/>
  <c r="AL73" i="14"/>
  <c r="AK73" i="14"/>
  <c r="AJ73" i="14" s="1"/>
  <c r="AI73" i="14"/>
  <c r="AE73" i="14"/>
  <c r="AC73" i="14"/>
  <c r="AB73" i="14"/>
  <c r="Y73" i="14"/>
  <c r="X73" i="14"/>
  <c r="U73" i="14"/>
  <c r="R73" i="14"/>
  <c r="Q73" i="14"/>
  <c r="P73" i="14"/>
  <c r="N73" i="14"/>
  <c r="K73" i="14"/>
  <c r="I73" i="14" s="1"/>
  <c r="J73" i="14"/>
  <c r="G73" i="14"/>
  <c r="E73" i="14"/>
  <c r="C73" i="14"/>
  <c r="B73" i="14"/>
  <c r="D73" i="14" s="1"/>
  <c r="A73" i="14"/>
  <c r="AQ72" i="14"/>
  <c r="AN72" i="14"/>
  <c r="AM72" i="14"/>
  <c r="AL72" i="14"/>
  <c r="AJ72" i="14" s="1"/>
  <c r="AK72" i="14"/>
  <c r="AI72" i="14"/>
  <c r="AH72" i="14"/>
  <c r="AC72" i="14"/>
  <c r="AB72" i="14"/>
  <c r="Y72" i="14"/>
  <c r="W72" i="14" s="1"/>
  <c r="X72" i="14"/>
  <c r="U72" i="14"/>
  <c r="R72" i="14"/>
  <c r="AF72" i="14" s="1"/>
  <c r="AG72" i="14" s="1"/>
  <c r="Q72" i="14"/>
  <c r="N72" i="14"/>
  <c r="K72" i="14"/>
  <c r="I72" i="14" s="1"/>
  <c r="J72" i="14"/>
  <c r="G72" i="14"/>
  <c r="B72" i="14"/>
  <c r="A72" i="14"/>
  <c r="AQ71" i="14"/>
  <c r="AN71" i="14"/>
  <c r="AM71" i="14"/>
  <c r="AL71" i="14"/>
  <c r="AJ71" i="14" s="1"/>
  <c r="AK71" i="14"/>
  <c r="AI71" i="14"/>
  <c r="AC71" i="14"/>
  <c r="AB71" i="14"/>
  <c r="Y71" i="14"/>
  <c r="W71" i="14" s="1"/>
  <c r="AD71" i="14" s="1"/>
  <c r="X71" i="14"/>
  <c r="U71" i="14"/>
  <c r="R71" i="14"/>
  <c r="Q71" i="14"/>
  <c r="AE71" i="14" s="1"/>
  <c r="P71" i="14"/>
  <c r="N71" i="14"/>
  <c r="K71" i="14"/>
  <c r="I71" i="14" s="1"/>
  <c r="J71" i="14"/>
  <c r="G71" i="14"/>
  <c r="E71" i="14"/>
  <c r="D71" i="14"/>
  <c r="C71" i="14"/>
  <c r="B71" i="14"/>
  <c r="A71" i="14"/>
  <c r="AQ70" i="14"/>
  <c r="AN70" i="14"/>
  <c r="AM70" i="14"/>
  <c r="AL70" i="14"/>
  <c r="AK70" i="14"/>
  <c r="AJ70" i="14"/>
  <c r="AI70" i="14"/>
  <c r="AF70" i="14"/>
  <c r="AG70" i="14" s="1"/>
  <c r="AC70" i="14"/>
  <c r="AB70" i="14"/>
  <c r="Y70" i="14"/>
  <c r="X70" i="14"/>
  <c r="U70" i="14"/>
  <c r="R70" i="14"/>
  <c r="Q70" i="14"/>
  <c r="P70" i="14"/>
  <c r="N70" i="14"/>
  <c r="K70" i="14"/>
  <c r="J70" i="14"/>
  <c r="I70" i="14" s="1"/>
  <c r="G70" i="14"/>
  <c r="B70" i="14"/>
  <c r="A70" i="14"/>
  <c r="AQ69" i="14"/>
  <c r="AN69" i="14"/>
  <c r="AM69" i="14"/>
  <c r="AL69" i="14"/>
  <c r="AK69" i="14"/>
  <c r="AJ69" i="14"/>
  <c r="AI69" i="14"/>
  <c r="AE69" i="14"/>
  <c r="AC69" i="14"/>
  <c r="AB69" i="14"/>
  <c r="Y69" i="14"/>
  <c r="X69" i="14"/>
  <c r="W69" i="14"/>
  <c r="U69" i="14"/>
  <c r="R69" i="14"/>
  <c r="P69" i="14" s="1"/>
  <c r="Q69" i="14"/>
  <c r="N69" i="14"/>
  <c r="K69" i="14"/>
  <c r="I69" i="14" s="1"/>
  <c r="J69" i="14"/>
  <c r="G69" i="14"/>
  <c r="E69" i="14"/>
  <c r="B69" i="14"/>
  <c r="D69" i="14" s="1"/>
  <c r="A69" i="14"/>
  <c r="AQ68" i="14"/>
  <c r="AN68" i="14"/>
  <c r="AM68" i="14"/>
  <c r="AL68" i="14"/>
  <c r="AJ68" i="14" s="1"/>
  <c r="AK68" i="14"/>
  <c r="AI68" i="14"/>
  <c r="AC68" i="14"/>
  <c r="Y68" i="14"/>
  <c r="W68" i="14" s="1"/>
  <c r="X68" i="14"/>
  <c r="U68" i="14"/>
  <c r="R68" i="14"/>
  <c r="Q68" i="14"/>
  <c r="N68" i="14"/>
  <c r="O68" i="14" s="1"/>
  <c r="AB68" i="14" s="1"/>
  <c r="K68" i="14"/>
  <c r="I68" i="14" s="1"/>
  <c r="J68" i="14"/>
  <c r="G68" i="14"/>
  <c r="E68" i="14"/>
  <c r="B68" i="14"/>
  <c r="D68" i="14" s="1"/>
  <c r="A68" i="14"/>
  <c r="AQ67" i="14"/>
  <c r="AN67" i="14"/>
  <c r="AM67" i="14"/>
  <c r="AL67" i="14"/>
  <c r="AJ67" i="14" s="1"/>
  <c r="AK67" i="14"/>
  <c r="AI67" i="14"/>
  <c r="AF67" i="14"/>
  <c r="AG67" i="14" s="1"/>
  <c r="AC67" i="14"/>
  <c r="AB67" i="14"/>
  <c r="Y67" i="14"/>
  <c r="W67" i="14" s="1"/>
  <c r="X67" i="14"/>
  <c r="U67" i="14"/>
  <c r="R67" i="14"/>
  <c r="Q67" i="14"/>
  <c r="N67" i="14"/>
  <c r="K67" i="14"/>
  <c r="I67" i="14" s="1"/>
  <c r="J67" i="14"/>
  <c r="G67" i="14"/>
  <c r="D67" i="14"/>
  <c r="B67" i="14"/>
  <c r="E67" i="14" s="1"/>
  <c r="A67" i="14"/>
  <c r="AQ66" i="14"/>
  <c r="AN66" i="14"/>
  <c r="AM66" i="14"/>
  <c r="AL66" i="14"/>
  <c r="AK66" i="14"/>
  <c r="AI66" i="14"/>
  <c r="AE66" i="14"/>
  <c r="AC66" i="14"/>
  <c r="AB66" i="14"/>
  <c r="Y66" i="14"/>
  <c r="AF66" i="14" s="1"/>
  <c r="X66" i="14"/>
  <c r="W66" i="14"/>
  <c r="U66" i="14"/>
  <c r="R66" i="14"/>
  <c r="Q66" i="14"/>
  <c r="P66" i="14"/>
  <c r="N66" i="14"/>
  <c r="K66" i="14"/>
  <c r="J66" i="14"/>
  <c r="I66" i="14"/>
  <c r="G66" i="14"/>
  <c r="E66" i="14"/>
  <c r="D66" i="14"/>
  <c r="C66" i="14"/>
  <c r="B66" i="14"/>
  <c r="A66" i="14"/>
  <c r="AQ65" i="14"/>
  <c r="AN65" i="14"/>
  <c r="AM65" i="14"/>
  <c r="AL65" i="14"/>
  <c r="AK65" i="14"/>
  <c r="AJ65" i="14"/>
  <c r="AI65" i="14"/>
  <c r="AF65" i="14"/>
  <c r="AC65" i="14"/>
  <c r="AB65" i="14"/>
  <c r="Y65" i="14"/>
  <c r="X65" i="14"/>
  <c r="AE65" i="14" s="1"/>
  <c r="W65" i="14"/>
  <c r="U65" i="14"/>
  <c r="R65" i="14"/>
  <c r="P65" i="14" s="1"/>
  <c r="AD65" i="14" s="1"/>
  <c r="Q65" i="14"/>
  <c r="N65" i="14"/>
  <c r="K65" i="14"/>
  <c r="J65" i="14"/>
  <c r="I65" i="14"/>
  <c r="G65" i="14"/>
  <c r="B65" i="14"/>
  <c r="A65" i="14"/>
  <c r="AQ64" i="14"/>
  <c r="AN64" i="14"/>
  <c r="AM64" i="14"/>
  <c r="AL64" i="14"/>
  <c r="AK64" i="14"/>
  <c r="AI64" i="14"/>
  <c r="AE64" i="14"/>
  <c r="AC64" i="14"/>
  <c r="AB64" i="14"/>
  <c r="Y64" i="14"/>
  <c r="X64" i="14"/>
  <c r="U64" i="14"/>
  <c r="R64" i="14"/>
  <c r="P64" i="14" s="1"/>
  <c r="Q64" i="14"/>
  <c r="N64" i="14"/>
  <c r="K64" i="14"/>
  <c r="I64" i="14" s="1"/>
  <c r="J64" i="14"/>
  <c r="G64" i="14"/>
  <c r="E64" i="14"/>
  <c r="D64" i="14"/>
  <c r="C64" i="14"/>
  <c r="B64" i="14"/>
  <c r="A64" i="14"/>
  <c r="AQ63" i="14"/>
  <c r="AN63" i="14"/>
  <c r="AM63" i="14"/>
  <c r="AL63" i="14"/>
  <c r="AJ63" i="14" s="1"/>
  <c r="AK63" i="14"/>
  <c r="AI63" i="14"/>
  <c r="AC63" i="14"/>
  <c r="AB63" i="14"/>
  <c r="Y63" i="14"/>
  <c r="W63" i="14" s="1"/>
  <c r="X63" i="14"/>
  <c r="AE63" i="14" s="1"/>
  <c r="U63" i="14"/>
  <c r="R63" i="14"/>
  <c r="Q63" i="14"/>
  <c r="N63" i="14"/>
  <c r="K63" i="14"/>
  <c r="J63" i="14"/>
  <c r="G63" i="14"/>
  <c r="E63" i="14"/>
  <c r="D63" i="14"/>
  <c r="B63" i="14"/>
  <c r="C63" i="14" s="1"/>
  <c r="A63" i="14"/>
  <c r="AQ62" i="14"/>
  <c r="AN62" i="14"/>
  <c r="AM62" i="14"/>
  <c r="AL62" i="14"/>
  <c r="AJ62" i="14" s="1"/>
  <c r="AK62" i="14"/>
  <c r="AI62" i="14"/>
  <c r="AC62" i="14"/>
  <c r="AB62" i="14"/>
  <c r="Y62" i="14"/>
  <c r="W62" i="14" s="1"/>
  <c r="X62" i="14"/>
  <c r="U62" i="14"/>
  <c r="R62" i="14"/>
  <c r="Q62" i="14"/>
  <c r="AE62" i="14" s="1"/>
  <c r="N62" i="14"/>
  <c r="K62" i="14"/>
  <c r="I62" i="14" s="1"/>
  <c r="J62" i="14"/>
  <c r="G62" i="14"/>
  <c r="E62" i="14"/>
  <c r="D62" i="14"/>
  <c r="C62" i="14"/>
  <c r="B62" i="14"/>
  <c r="A62" i="14"/>
  <c r="AQ61" i="14"/>
  <c r="AN61" i="14"/>
  <c r="AM61" i="14"/>
  <c r="AL61" i="14"/>
  <c r="AK61" i="14"/>
  <c r="AJ61" i="14" s="1"/>
  <c r="AI61" i="14"/>
  <c r="AF61" i="14"/>
  <c r="AG61" i="14" s="1"/>
  <c r="AC61" i="14"/>
  <c r="AB61" i="14"/>
  <c r="Y61" i="14"/>
  <c r="W61" i="14" s="1"/>
  <c r="X61" i="14"/>
  <c r="U61" i="14"/>
  <c r="R61" i="14"/>
  <c r="Q61" i="14"/>
  <c r="P61" i="14"/>
  <c r="N61" i="14"/>
  <c r="K61" i="14"/>
  <c r="I61" i="14" s="1"/>
  <c r="J61" i="14"/>
  <c r="G61" i="14"/>
  <c r="B61" i="14"/>
  <c r="A61" i="14"/>
  <c r="AQ60" i="14"/>
  <c r="AN60" i="14"/>
  <c r="AM60" i="14"/>
  <c r="AL60" i="14"/>
  <c r="AK60" i="14"/>
  <c r="AJ60" i="14"/>
  <c r="AI60" i="14"/>
  <c r="AE60" i="14"/>
  <c r="AC60" i="14"/>
  <c r="AB60" i="14"/>
  <c r="Y60" i="14"/>
  <c r="X60" i="14"/>
  <c r="U60" i="14"/>
  <c r="R60" i="14"/>
  <c r="P60" i="14" s="1"/>
  <c r="Q60" i="14"/>
  <c r="N60" i="14"/>
  <c r="K60" i="14"/>
  <c r="I60" i="14" s="1"/>
  <c r="J60" i="14"/>
  <c r="G60" i="14"/>
  <c r="B60" i="14"/>
  <c r="A60" i="14"/>
  <c r="AQ59" i="14"/>
  <c r="AN59" i="14"/>
  <c r="AM59" i="14"/>
  <c r="AL59" i="14"/>
  <c r="AJ59" i="14" s="1"/>
  <c r="AK59" i="14"/>
  <c r="AI59" i="14"/>
  <c r="AF59" i="14"/>
  <c r="AG59" i="14" s="1"/>
  <c r="AC59" i="14"/>
  <c r="AB59" i="14"/>
  <c r="Y59" i="14"/>
  <c r="W59" i="14" s="1"/>
  <c r="X59" i="14"/>
  <c r="U59" i="14"/>
  <c r="R59" i="14"/>
  <c r="Q59" i="14"/>
  <c r="N59" i="14"/>
  <c r="K59" i="14"/>
  <c r="I59" i="14" s="1"/>
  <c r="J59" i="14"/>
  <c r="G59" i="14"/>
  <c r="D59" i="14"/>
  <c r="B59" i="14"/>
  <c r="E59" i="14" s="1"/>
  <c r="A59" i="14"/>
  <c r="AQ58" i="14"/>
  <c r="AN58" i="14"/>
  <c r="AM58" i="14"/>
  <c r="AL58" i="14"/>
  <c r="AK58" i="14"/>
  <c r="AI58" i="14"/>
  <c r="AE58" i="14"/>
  <c r="AC58" i="14"/>
  <c r="AB58" i="14"/>
  <c r="Y58" i="14"/>
  <c r="X58" i="14"/>
  <c r="U58" i="14"/>
  <c r="R58" i="14"/>
  <c r="Q58" i="14"/>
  <c r="P58" i="14"/>
  <c r="N58" i="14"/>
  <c r="K58" i="14"/>
  <c r="I58" i="14" s="1"/>
  <c r="J58" i="14"/>
  <c r="G58" i="14"/>
  <c r="E58" i="14"/>
  <c r="D58" i="14"/>
  <c r="C58" i="14"/>
  <c r="B58" i="14"/>
  <c r="A58" i="14"/>
  <c r="AQ57" i="14"/>
  <c r="AN57" i="14"/>
  <c r="AM57" i="14"/>
  <c r="AL57" i="14"/>
  <c r="AK57" i="14"/>
  <c r="AJ57" i="14"/>
  <c r="AI57" i="14"/>
  <c r="AH57" i="14"/>
  <c r="AG57" i="14"/>
  <c r="AF57" i="14"/>
  <c r="AC57" i="14"/>
  <c r="AB57" i="14"/>
  <c r="Y57" i="14"/>
  <c r="X57" i="14"/>
  <c r="AE57" i="14" s="1"/>
  <c r="U57" i="14"/>
  <c r="R57" i="14"/>
  <c r="Q57" i="14"/>
  <c r="N57" i="14"/>
  <c r="K57" i="14"/>
  <c r="J57" i="14"/>
  <c r="I57" i="14"/>
  <c r="G57" i="14"/>
  <c r="D57" i="14"/>
  <c r="B57" i="14"/>
  <c r="A57" i="14"/>
  <c r="AQ56" i="14"/>
  <c r="AN56" i="14"/>
  <c r="AM56" i="14"/>
  <c r="AL56" i="14"/>
  <c r="AJ56" i="14" s="1"/>
  <c r="AK56" i="14"/>
  <c r="AI56" i="14"/>
  <c r="AE56" i="14"/>
  <c r="AC56" i="14"/>
  <c r="AB56" i="14"/>
  <c r="Y56" i="14"/>
  <c r="W56" i="14" s="1"/>
  <c r="X56" i="14"/>
  <c r="U56" i="14"/>
  <c r="R56" i="14"/>
  <c r="Q56" i="14"/>
  <c r="P56" i="14"/>
  <c r="N56" i="14"/>
  <c r="K56" i="14"/>
  <c r="I56" i="14" s="1"/>
  <c r="J56" i="14"/>
  <c r="G56" i="14"/>
  <c r="E56" i="14"/>
  <c r="D56" i="14"/>
  <c r="C56" i="14"/>
  <c r="B56" i="14"/>
  <c r="A56" i="14"/>
  <c r="AQ55" i="14"/>
  <c r="AN55" i="14"/>
  <c r="AM55" i="14"/>
  <c r="AL55" i="14"/>
  <c r="AK55" i="14"/>
  <c r="AJ55" i="14"/>
  <c r="AI55" i="14"/>
  <c r="AC55" i="14"/>
  <c r="AB55" i="14"/>
  <c r="Y55" i="14"/>
  <c r="W55" i="14" s="1"/>
  <c r="X55" i="14"/>
  <c r="AE55" i="14" s="1"/>
  <c r="U55" i="14"/>
  <c r="R55" i="14"/>
  <c r="Q55" i="14"/>
  <c r="N55" i="14"/>
  <c r="K55" i="14"/>
  <c r="J55" i="14"/>
  <c r="G55" i="14"/>
  <c r="E55" i="14"/>
  <c r="D55" i="14"/>
  <c r="B55" i="14"/>
  <c r="C55" i="14" s="1"/>
  <c r="A55" i="14"/>
  <c r="AQ54" i="14"/>
  <c r="AN54" i="14"/>
  <c r="AM54" i="14"/>
  <c r="AL54" i="14"/>
  <c r="AJ54" i="14" s="1"/>
  <c r="AK54" i="14"/>
  <c r="AI54" i="14"/>
  <c r="AE54" i="14"/>
  <c r="AC54" i="14"/>
  <c r="AB54" i="14"/>
  <c r="Y54" i="14"/>
  <c r="X54" i="14"/>
  <c r="W54" i="14"/>
  <c r="AD54" i="14" s="1"/>
  <c r="U54" i="14"/>
  <c r="R54" i="14"/>
  <c r="Q54" i="14"/>
  <c r="P54" i="14"/>
  <c r="N54" i="14"/>
  <c r="K54" i="14"/>
  <c r="J54" i="14"/>
  <c r="I54" i="14"/>
  <c r="G54" i="14"/>
  <c r="E54" i="14"/>
  <c r="D54" i="14"/>
  <c r="C54" i="14"/>
  <c r="B54" i="14"/>
  <c r="A54" i="14"/>
  <c r="AQ53" i="14"/>
  <c r="AN53" i="14"/>
  <c r="AM53" i="14"/>
  <c r="AL53" i="14"/>
  <c r="AK53" i="14"/>
  <c r="AJ53" i="14"/>
  <c r="AI53" i="14"/>
  <c r="AH53" i="14"/>
  <c r="AF53" i="14"/>
  <c r="AG53" i="14" s="1"/>
  <c r="AC53" i="14"/>
  <c r="AB53" i="14"/>
  <c r="Y53" i="14"/>
  <c r="X53" i="14"/>
  <c r="U53" i="14"/>
  <c r="R53" i="14"/>
  <c r="Q53" i="14"/>
  <c r="P53" i="14"/>
  <c r="O53" i="14"/>
  <c r="N53" i="14"/>
  <c r="K53" i="14"/>
  <c r="J53" i="14"/>
  <c r="I53" i="14"/>
  <c r="G53" i="14"/>
  <c r="E53" i="14"/>
  <c r="D53" i="14"/>
  <c r="C53" i="14"/>
  <c r="B53" i="14"/>
  <c r="A53" i="14"/>
  <c r="AQ52" i="14"/>
  <c r="AN52" i="14"/>
  <c r="AM52" i="14"/>
  <c r="AL52" i="14"/>
  <c r="AJ52" i="14" s="1"/>
  <c r="AK52" i="14"/>
  <c r="AI52" i="14"/>
  <c r="AF52" i="14"/>
  <c r="AC52" i="14"/>
  <c r="AB52" i="14"/>
  <c r="Y52" i="14"/>
  <c r="W52" i="14" s="1"/>
  <c r="X52" i="14"/>
  <c r="U52" i="14"/>
  <c r="R52" i="14"/>
  <c r="Q52" i="14"/>
  <c r="P52" i="14"/>
  <c r="N52" i="14"/>
  <c r="K52" i="14"/>
  <c r="J52" i="14"/>
  <c r="H52" i="14"/>
  <c r="G52" i="14"/>
  <c r="E52" i="14"/>
  <c r="D52" i="14"/>
  <c r="C52" i="14"/>
  <c r="B52" i="14"/>
  <c r="A52" i="14"/>
  <c r="AQ51" i="14"/>
  <c r="AN51" i="14"/>
  <c r="AM51" i="14"/>
  <c r="AL51" i="14"/>
  <c r="AK51" i="14"/>
  <c r="AJ51" i="14"/>
  <c r="AI51" i="14"/>
  <c r="AF51" i="14"/>
  <c r="AG51" i="14" s="1"/>
  <c r="AC51" i="14"/>
  <c r="AB51" i="14"/>
  <c r="Y51" i="14"/>
  <c r="X51" i="14"/>
  <c r="U51" i="14"/>
  <c r="R51" i="14"/>
  <c r="Q51" i="14"/>
  <c r="P51" i="14" s="1"/>
  <c r="N51" i="14"/>
  <c r="K51" i="14"/>
  <c r="J51" i="14"/>
  <c r="G51" i="14"/>
  <c r="D51" i="14"/>
  <c r="B51" i="14"/>
  <c r="E51" i="14" s="1"/>
  <c r="A51" i="14"/>
  <c r="AQ50" i="14"/>
  <c r="AN50" i="14"/>
  <c r="AM50" i="14"/>
  <c r="AL50" i="14"/>
  <c r="AK50" i="14"/>
  <c r="AJ50" i="14" s="1"/>
  <c r="AI50" i="14"/>
  <c r="AC50" i="14"/>
  <c r="AB50" i="14"/>
  <c r="Y50" i="14"/>
  <c r="W50" i="14" s="1"/>
  <c r="AD50" i="14" s="1"/>
  <c r="X50" i="14"/>
  <c r="AE50" i="14" s="1"/>
  <c r="U50" i="14"/>
  <c r="V50" i="14" s="1"/>
  <c r="R50" i="14"/>
  <c r="Q50" i="14"/>
  <c r="P50" i="14"/>
  <c r="N50" i="14"/>
  <c r="K50" i="14"/>
  <c r="I50" i="14" s="1"/>
  <c r="J50" i="14"/>
  <c r="G50" i="14"/>
  <c r="D50" i="14"/>
  <c r="C50" i="14"/>
  <c r="B50" i="14"/>
  <c r="E50" i="14" s="1"/>
  <c r="A50" i="14"/>
  <c r="AQ49" i="14"/>
  <c r="AN49" i="14"/>
  <c r="AM49" i="14"/>
  <c r="AL49" i="14"/>
  <c r="AK49" i="14"/>
  <c r="AJ49" i="14"/>
  <c r="AI49" i="14"/>
  <c r="AE49" i="14"/>
  <c r="AC49" i="14"/>
  <c r="AB49" i="14"/>
  <c r="Y49" i="14"/>
  <c r="X49" i="14"/>
  <c r="U49" i="14"/>
  <c r="R49" i="14"/>
  <c r="P49" i="14" s="1"/>
  <c r="Q49" i="14"/>
  <c r="N49" i="14"/>
  <c r="K49" i="14"/>
  <c r="I49" i="14" s="1"/>
  <c r="J49" i="14"/>
  <c r="G49" i="14"/>
  <c r="E49" i="14"/>
  <c r="C49" i="14"/>
  <c r="B49" i="14"/>
  <c r="D49" i="14" s="1"/>
  <c r="A49" i="14"/>
  <c r="AQ48" i="14"/>
  <c r="AN48" i="14"/>
  <c r="AM48" i="14"/>
  <c r="AL48" i="14"/>
  <c r="AK48" i="14"/>
  <c r="AJ48" i="14"/>
  <c r="AI48" i="14"/>
  <c r="AC48" i="14"/>
  <c r="Y48" i="14"/>
  <c r="AF48" i="14" s="1"/>
  <c r="X48" i="14"/>
  <c r="W48" i="14"/>
  <c r="AD48" i="14" s="1"/>
  <c r="U48" i="14"/>
  <c r="R48" i="14"/>
  <c r="P48" i="14" s="1"/>
  <c r="Q48" i="14"/>
  <c r="N48" i="14"/>
  <c r="O48" i="14" s="1"/>
  <c r="AB48" i="14" s="1"/>
  <c r="K48" i="14"/>
  <c r="J48" i="14"/>
  <c r="I48" i="14"/>
  <c r="G48" i="14"/>
  <c r="B48" i="14"/>
  <c r="D48" i="14" s="1"/>
  <c r="A48" i="14"/>
  <c r="AQ47" i="14"/>
  <c r="AN47" i="14"/>
  <c r="AM47" i="14"/>
  <c r="AL47" i="14"/>
  <c r="AJ47" i="14" s="1"/>
  <c r="AK47" i="14"/>
  <c r="AI47" i="14"/>
  <c r="AH47" i="14"/>
  <c r="AG47" i="14"/>
  <c r="AF47" i="14"/>
  <c r="AC47" i="14"/>
  <c r="Y47" i="14"/>
  <c r="X47" i="14"/>
  <c r="W47" i="14"/>
  <c r="U47" i="14"/>
  <c r="R47" i="14"/>
  <c r="Q47" i="14"/>
  <c r="N47" i="14"/>
  <c r="K47" i="14"/>
  <c r="J47" i="14"/>
  <c r="I47" i="14"/>
  <c r="H47" i="14"/>
  <c r="AB47" i="14" s="1"/>
  <c r="G47" i="14"/>
  <c r="E47" i="14"/>
  <c r="C47" i="14"/>
  <c r="B47" i="14"/>
  <c r="D47" i="14" s="1"/>
  <c r="A47" i="14"/>
  <c r="AQ46" i="14"/>
  <c r="AN46" i="14"/>
  <c r="AM46" i="14"/>
  <c r="AL46" i="14"/>
  <c r="AJ46" i="14" s="1"/>
  <c r="AK46" i="14"/>
  <c r="AI46" i="14"/>
  <c r="AC46" i="14"/>
  <c r="AB46" i="14"/>
  <c r="Y46" i="14"/>
  <c r="W46" i="14" s="1"/>
  <c r="X46" i="14"/>
  <c r="U46" i="14"/>
  <c r="R46" i="14"/>
  <c r="Q46" i="14"/>
  <c r="N46" i="14"/>
  <c r="K46" i="14"/>
  <c r="I46" i="14" s="1"/>
  <c r="J46" i="14"/>
  <c r="G46" i="14"/>
  <c r="B46" i="14"/>
  <c r="A46" i="14"/>
  <c r="AQ45" i="14"/>
  <c r="AN45" i="14"/>
  <c r="AM45" i="14"/>
  <c r="AL45" i="14"/>
  <c r="AJ45" i="14" s="1"/>
  <c r="AK45" i="14"/>
  <c r="AI45" i="14"/>
  <c r="AF45" i="14"/>
  <c r="AH45" i="14" s="1"/>
  <c r="AE45" i="14"/>
  <c r="AC45" i="14"/>
  <c r="Y45" i="14"/>
  <c r="W45" i="14" s="1"/>
  <c r="X45" i="14"/>
  <c r="U45" i="14"/>
  <c r="R45" i="14"/>
  <c r="P45" i="14" s="1"/>
  <c r="Q45" i="14"/>
  <c r="N45" i="14"/>
  <c r="K45" i="14"/>
  <c r="I45" i="14" s="1"/>
  <c r="J45" i="14"/>
  <c r="G45" i="14"/>
  <c r="H45" i="14" s="1"/>
  <c r="AB45" i="14" s="1"/>
  <c r="D45" i="14"/>
  <c r="B45" i="14"/>
  <c r="A45" i="14"/>
  <c r="AQ44" i="14"/>
  <c r="AN44" i="14"/>
  <c r="AM44" i="14"/>
  <c r="AL44" i="14"/>
  <c r="AK44" i="14"/>
  <c r="AI44" i="14"/>
  <c r="AC44" i="14"/>
  <c r="AB44" i="14"/>
  <c r="Y44" i="14"/>
  <c r="W44" i="14" s="1"/>
  <c r="X44" i="14"/>
  <c r="AE44" i="14" s="1"/>
  <c r="U44" i="14"/>
  <c r="R44" i="14"/>
  <c r="P44" i="14" s="1"/>
  <c r="Q44" i="14"/>
  <c r="N44" i="14"/>
  <c r="K44" i="14"/>
  <c r="I44" i="14" s="1"/>
  <c r="J44" i="14"/>
  <c r="G44" i="14"/>
  <c r="E44" i="14"/>
  <c r="D44" i="14"/>
  <c r="C44" i="14"/>
  <c r="B44" i="14"/>
  <c r="A44" i="14"/>
  <c r="AQ43" i="14"/>
  <c r="AN43" i="14"/>
  <c r="AM43" i="14"/>
  <c r="AL43" i="14"/>
  <c r="AJ43" i="14" s="1"/>
  <c r="AK43" i="14"/>
  <c r="AI43" i="14"/>
  <c r="AE43" i="14"/>
  <c r="AC43" i="14"/>
  <c r="Y43" i="14"/>
  <c r="X43" i="14"/>
  <c r="W43" i="14"/>
  <c r="U43" i="14"/>
  <c r="V43" i="14" s="1"/>
  <c r="AB43" i="14" s="1"/>
  <c r="R43" i="14"/>
  <c r="P43" i="14" s="1"/>
  <c r="Q43" i="14"/>
  <c r="N43" i="14"/>
  <c r="K43" i="14"/>
  <c r="AF43" i="14" s="1"/>
  <c r="J43" i="14"/>
  <c r="G43" i="14"/>
  <c r="E43" i="14"/>
  <c r="D43" i="14"/>
  <c r="C43" i="14"/>
  <c r="B43" i="14"/>
  <c r="A43" i="14"/>
  <c r="AQ42" i="14"/>
  <c r="AN42" i="14"/>
  <c r="AM42" i="14"/>
  <c r="AL42" i="14"/>
  <c r="AJ42" i="14" s="1"/>
  <c r="AK42" i="14"/>
  <c r="AI42" i="14"/>
  <c r="AE42" i="14"/>
  <c r="AC42" i="14"/>
  <c r="AB42" i="14"/>
  <c r="Y42" i="14"/>
  <c r="X42" i="14"/>
  <c r="W42" i="14"/>
  <c r="AD42" i="14" s="1"/>
  <c r="U42" i="14"/>
  <c r="R42" i="14"/>
  <c r="P42" i="14" s="1"/>
  <c r="Q42" i="14"/>
  <c r="N42" i="14"/>
  <c r="K42" i="14"/>
  <c r="J42" i="14"/>
  <c r="I42" i="14"/>
  <c r="G42" i="14"/>
  <c r="E42" i="14"/>
  <c r="D42" i="14"/>
  <c r="B42" i="14"/>
  <c r="C42" i="14" s="1"/>
  <c r="A42" i="14"/>
  <c r="AQ41" i="14"/>
  <c r="AN41" i="14"/>
  <c r="AM41" i="14"/>
  <c r="AL41" i="14"/>
  <c r="AJ41" i="14" s="1"/>
  <c r="AK41" i="14"/>
  <c r="AI41" i="14"/>
  <c r="AC41" i="14"/>
  <c r="AB41" i="14"/>
  <c r="Y41" i="14"/>
  <c r="AF41" i="14" s="1"/>
  <c r="X41" i="14"/>
  <c r="U41" i="14"/>
  <c r="R41" i="14"/>
  <c r="Q41" i="14"/>
  <c r="AE41" i="14" s="1"/>
  <c r="P41" i="14"/>
  <c r="N41" i="14"/>
  <c r="K41" i="14"/>
  <c r="I41" i="14" s="1"/>
  <c r="J41" i="14"/>
  <c r="G41" i="14"/>
  <c r="E41" i="14"/>
  <c r="D41" i="14"/>
  <c r="C41" i="14"/>
  <c r="B41" i="14"/>
  <c r="A41" i="14"/>
  <c r="AQ40" i="14"/>
  <c r="AN40" i="14"/>
  <c r="AM40" i="14"/>
  <c r="AL40" i="14"/>
  <c r="AK40" i="14"/>
  <c r="AJ40" i="14"/>
  <c r="AI40" i="14"/>
  <c r="AC40" i="14"/>
  <c r="AB40" i="14"/>
  <c r="Y40" i="14"/>
  <c r="X40" i="14"/>
  <c r="AE40" i="14" s="1"/>
  <c r="U40" i="14"/>
  <c r="R40" i="14"/>
  <c r="P40" i="14" s="1"/>
  <c r="Q40" i="14"/>
  <c r="N40" i="14"/>
  <c r="K40" i="14"/>
  <c r="J40" i="14"/>
  <c r="G40" i="14"/>
  <c r="E40" i="14"/>
  <c r="D40" i="14"/>
  <c r="B40" i="14"/>
  <c r="C40" i="14" s="1"/>
  <c r="A40" i="14"/>
  <c r="AQ39" i="14"/>
  <c r="AN39" i="14"/>
  <c r="AM39" i="14"/>
  <c r="AL39" i="14"/>
  <c r="AJ39" i="14" s="1"/>
  <c r="AK39" i="14"/>
  <c r="AI39" i="14"/>
  <c r="AC39" i="14"/>
  <c r="AB39" i="14"/>
  <c r="Y39" i="14"/>
  <c r="X39" i="14"/>
  <c r="U39" i="14"/>
  <c r="R39" i="14"/>
  <c r="Q39" i="14"/>
  <c r="AE39" i="14" s="1"/>
  <c r="P39" i="14"/>
  <c r="N39" i="14"/>
  <c r="K39" i="14"/>
  <c r="I39" i="14" s="1"/>
  <c r="J39" i="14"/>
  <c r="G39" i="14"/>
  <c r="D39" i="14"/>
  <c r="C39" i="14"/>
  <c r="B39" i="14"/>
  <c r="E39" i="14" s="1"/>
  <c r="A39" i="14"/>
  <c r="AQ38" i="14"/>
  <c r="AN38" i="14"/>
  <c r="AM38" i="14"/>
  <c r="AL38" i="14"/>
  <c r="AK38" i="14"/>
  <c r="AJ38" i="14"/>
  <c r="AI38" i="14"/>
  <c r="AC38" i="14"/>
  <c r="AB38" i="14"/>
  <c r="Y38" i="14"/>
  <c r="AF38" i="14" s="1"/>
  <c r="X38" i="14"/>
  <c r="AE38" i="14" s="1"/>
  <c r="U38" i="14"/>
  <c r="R38" i="14"/>
  <c r="Q38" i="14"/>
  <c r="P38" i="14"/>
  <c r="N38" i="14"/>
  <c r="K38" i="14"/>
  <c r="J38" i="14"/>
  <c r="G38" i="14"/>
  <c r="D38" i="14"/>
  <c r="C38" i="14"/>
  <c r="B38" i="14"/>
  <c r="E38" i="14" s="1"/>
  <c r="A38" i="14"/>
  <c r="AQ37" i="14"/>
  <c r="AN37" i="14"/>
  <c r="AM37" i="14"/>
  <c r="AL37" i="14"/>
  <c r="AK37" i="14"/>
  <c r="AJ37" i="14"/>
  <c r="AI37" i="14"/>
  <c r="AC37" i="14"/>
  <c r="AB37" i="14"/>
  <c r="Y37" i="14"/>
  <c r="W37" i="14" s="1"/>
  <c r="AD37" i="14" s="1"/>
  <c r="X37" i="14"/>
  <c r="AE37" i="14" s="1"/>
  <c r="U37" i="14"/>
  <c r="R37" i="14"/>
  <c r="Q37" i="14"/>
  <c r="P37" i="14"/>
  <c r="N37" i="14"/>
  <c r="K37" i="14"/>
  <c r="I37" i="14" s="1"/>
  <c r="J37" i="14"/>
  <c r="G37" i="14"/>
  <c r="B37" i="14"/>
  <c r="D37" i="14" s="1"/>
  <c r="A37" i="14"/>
  <c r="AQ36" i="14"/>
  <c r="AN36" i="14"/>
  <c r="AM36" i="14"/>
  <c r="AL36" i="14"/>
  <c r="AJ36" i="14" s="1"/>
  <c r="AK36" i="14"/>
  <c r="AI36" i="14"/>
  <c r="AF36" i="14"/>
  <c r="AH36" i="14" s="1"/>
  <c r="AC36" i="14"/>
  <c r="AB36" i="14"/>
  <c r="Y36" i="14"/>
  <c r="W36" i="14" s="1"/>
  <c r="X36" i="14"/>
  <c r="AE36" i="14" s="1"/>
  <c r="U36" i="14"/>
  <c r="R36" i="14"/>
  <c r="Q36" i="14"/>
  <c r="N36" i="14"/>
  <c r="K36" i="14"/>
  <c r="J36" i="14"/>
  <c r="I36" i="14"/>
  <c r="G36" i="14"/>
  <c r="E36" i="14"/>
  <c r="B36" i="14"/>
  <c r="C36" i="14" s="1"/>
  <c r="A36" i="14"/>
  <c r="AQ35" i="14"/>
  <c r="AN35" i="14"/>
  <c r="AM35" i="14"/>
  <c r="AL35" i="14"/>
  <c r="AK35" i="14"/>
  <c r="AI35" i="14"/>
  <c r="AC35" i="14"/>
  <c r="AB35" i="14"/>
  <c r="Y35" i="14"/>
  <c r="W35" i="14" s="1"/>
  <c r="AD35" i="14" s="1"/>
  <c r="X35" i="14"/>
  <c r="U35" i="14"/>
  <c r="R35" i="14"/>
  <c r="P35" i="14" s="1"/>
  <c r="Q35" i="14"/>
  <c r="AE35" i="14" s="1"/>
  <c r="N35" i="14"/>
  <c r="K35" i="14"/>
  <c r="I35" i="14" s="1"/>
  <c r="J35" i="14"/>
  <c r="G35" i="14"/>
  <c r="E35" i="14"/>
  <c r="D35" i="14"/>
  <c r="C35" i="14"/>
  <c r="B35" i="14"/>
  <c r="A35" i="14"/>
  <c r="AQ34" i="14"/>
  <c r="AN34" i="14"/>
  <c r="AM34" i="14"/>
  <c r="AL34" i="14"/>
  <c r="AJ34" i="14" s="1"/>
  <c r="AK34" i="14"/>
  <c r="AI34" i="14"/>
  <c r="AC34" i="14"/>
  <c r="Y34" i="14"/>
  <c r="X34" i="14"/>
  <c r="AE34" i="14" s="1"/>
  <c r="W34" i="14"/>
  <c r="U34" i="14"/>
  <c r="R34" i="14"/>
  <c r="AF34" i="14" s="1"/>
  <c r="Q34" i="14"/>
  <c r="P34" i="14"/>
  <c r="AD34" i="14" s="1"/>
  <c r="O34" i="14"/>
  <c r="AB34" i="14" s="1"/>
  <c r="N34" i="14"/>
  <c r="K34" i="14"/>
  <c r="I34" i="14" s="1"/>
  <c r="J34" i="14"/>
  <c r="G34" i="14"/>
  <c r="E34" i="14"/>
  <c r="D34" i="14"/>
  <c r="C34" i="14"/>
  <c r="B34" i="14"/>
  <c r="A34" i="14"/>
  <c r="AQ33" i="14"/>
  <c r="AN33" i="14"/>
  <c r="AL33" i="14"/>
  <c r="AK33" i="14"/>
  <c r="AJ33" i="14"/>
  <c r="AH33" i="14"/>
  <c r="AE33" i="14"/>
  <c r="AC33" i="14"/>
  <c r="AG33" i="14" s="1"/>
  <c r="Y33" i="14"/>
  <c r="X33" i="14"/>
  <c r="W33" i="14"/>
  <c r="AD33" i="14" s="1"/>
  <c r="R33" i="14"/>
  <c r="Q33" i="14"/>
  <c r="P33" i="14"/>
  <c r="K33" i="14"/>
  <c r="I33" i="14" s="1"/>
  <c r="J33" i="14"/>
  <c r="E33" i="14"/>
  <c r="D33" i="14"/>
  <c r="C33" i="14"/>
  <c r="B33" i="14"/>
  <c r="A33" i="14"/>
  <c r="AQ32" i="14"/>
  <c r="AN32" i="14"/>
  <c r="AM32" i="14"/>
  <c r="AL32" i="14"/>
  <c r="AK32" i="14"/>
  <c r="AJ32" i="14"/>
  <c r="AI32" i="14"/>
  <c r="AC32" i="14"/>
  <c r="AB32" i="14"/>
  <c r="Y32" i="14"/>
  <c r="X32" i="14"/>
  <c r="AE32" i="14" s="1"/>
  <c r="V32" i="14"/>
  <c r="U32" i="14"/>
  <c r="R32" i="14"/>
  <c r="Q32" i="14"/>
  <c r="P32" i="14"/>
  <c r="N32" i="14"/>
  <c r="K32" i="14"/>
  <c r="AF32" i="14" s="1"/>
  <c r="J32" i="14"/>
  <c r="G32" i="14"/>
  <c r="E32" i="14"/>
  <c r="D32" i="14"/>
  <c r="C32" i="14"/>
  <c r="B32" i="14"/>
  <c r="A32" i="14"/>
  <c r="AQ31" i="14"/>
  <c r="AN31" i="14"/>
  <c r="AM31" i="14"/>
  <c r="AL31" i="14"/>
  <c r="AK31" i="14"/>
  <c r="AJ31" i="14"/>
  <c r="AI31" i="14"/>
  <c r="AC31" i="14"/>
  <c r="Y31" i="14"/>
  <c r="X31" i="14"/>
  <c r="AE31" i="14" s="1"/>
  <c r="U31" i="14"/>
  <c r="R31" i="14"/>
  <c r="Q31" i="14"/>
  <c r="P31" i="14"/>
  <c r="O31" i="14"/>
  <c r="AB31" i="14" s="1"/>
  <c r="N31" i="14"/>
  <c r="K31" i="14"/>
  <c r="AF31" i="14" s="1"/>
  <c r="J31" i="14"/>
  <c r="G31" i="14"/>
  <c r="E31" i="14"/>
  <c r="D31" i="14"/>
  <c r="C31" i="14"/>
  <c r="B31" i="14"/>
  <c r="A31" i="14"/>
  <c r="AQ30" i="14"/>
  <c r="AN30" i="14"/>
  <c r="AM30" i="14"/>
  <c r="AL30" i="14"/>
  <c r="AK30" i="14"/>
  <c r="AJ30" i="14"/>
  <c r="AI30" i="14"/>
  <c r="AH30" i="14"/>
  <c r="AF30" i="14"/>
  <c r="AC30" i="14"/>
  <c r="AG30" i="14" s="1"/>
  <c r="AB30" i="14"/>
  <c r="Y30" i="14"/>
  <c r="X30" i="14"/>
  <c r="AE30" i="14" s="1"/>
  <c r="U30" i="14"/>
  <c r="R30" i="14"/>
  <c r="Q30" i="14"/>
  <c r="P30" i="14"/>
  <c r="N30" i="14"/>
  <c r="K30" i="14"/>
  <c r="J30" i="14"/>
  <c r="I30" i="14" s="1"/>
  <c r="G30" i="14"/>
  <c r="B30" i="14"/>
  <c r="E30" i="14" s="1"/>
  <c r="A30" i="14"/>
  <c r="AQ29" i="14"/>
  <c r="AN29" i="14"/>
  <c r="AM29" i="14"/>
  <c r="AL29" i="14"/>
  <c r="AK29" i="14"/>
  <c r="AJ29" i="14"/>
  <c r="AI29" i="14"/>
  <c r="AF29" i="14"/>
  <c r="AH29" i="14" s="1"/>
  <c r="AC29" i="14"/>
  <c r="AB29" i="14"/>
  <c r="Y29" i="14"/>
  <c r="W29" i="14" s="1"/>
  <c r="X29" i="14"/>
  <c r="U29" i="14"/>
  <c r="R29" i="14"/>
  <c r="P29" i="14" s="1"/>
  <c r="Q29" i="14"/>
  <c r="AE29" i="14" s="1"/>
  <c r="N29" i="14"/>
  <c r="K29" i="14"/>
  <c r="I29" i="14" s="1"/>
  <c r="J29" i="14"/>
  <c r="G29" i="14"/>
  <c r="E29" i="14"/>
  <c r="D29" i="14"/>
  <c r="C29" i="14"/>
  <c r="B29" i="14"/>
  <c r="A29" i="14"/>
  <c r="AQ28" i="14"/>
  <c r="AN28" i="14"/>
  <c r="AM28" i="14"/>
  <c r="AL28" i="14"/>
  <c r="AJ28" i="14" s="1"/>
  <c r="AK28" i="14"/>
  <c r="AI28" i="14"/>
  <c r="AC28" i="14"/>
  <c r="AB28" i="14"/>
  <c r="Y28" i="14"/>
  <c r="X28" i="14"/>
  <c r="U28" i="14"/>
  <c r="R28" i="14"/>
  <c r="AF28" i="14" s="1"/>
  <c r="Q28" i="14"/>
  <c r="AE28" i="14" s="1"/>
  <c r="P28" i="14"/>
  <c r="N28" i="14"/>
  <c r="K28" i="14"/>
  <c r="I28" i="14" s="1"/>
  <c r="J28" i="14"/>
  <c r="G28" i="14"/>
  <c r="B28" i="14"/>
  <c r="E28" i="14" s="1"/>
  <c r="A28" i="14"/>
  <c r="AQ27" i="14"/>
  <c r="AN27" i="14"/>
  <c r="AM27" i="14"/>
  <c r="AL27" i="14"/>
  <c r="AJ27" i="14" s="1"/>
  <c r="AK27" i="14"/>
  <c r="AI27" i="14"/>
  <c r="AC27" i="14"/>
  <c r="AB27" i="14"/>
  <c r="Y27" i="14"/>
  <c r="W27" i="14" s="1"/>
  <c r="AD27" i="14" s="1"/>
  <c r="X27" i="14"/>
  <c r="AE27" i="14" s="1"/>
  <c r="U27" i="14"/>
  <c r="R27" i="14"/>
  <c r="Q27" i="14"/>
  <c r="P27" i="14"/>
  <c r="N27" i="14"/>
  <c r="K27" i="14"/>
  <c r="I27" i="14" s="1"/>
  <c r="J27" i="14"/>
  <c r="G27" i="14"/>
  <c r="H27" i="14" s="1"/>
  <c r="B27" i="14"/>
  <c r="E27" i="14" s="1"/>
  <c r="A27" i="14"/>
  <c r="AQ26" i="14"/>
  <c r="AN26" i="14"/>
  <c r="AM26" i="14"/>
  <c r="AL26" i="14"/>
  <c r="AK26" i="14"/>
  <c r="AJ26" i="14"/>
  <c r="AI26" i="14"/>
  <c r="AC26" i="14"/>
  <c r="Y26" i="14"/>
  <c r="W26" i="14" s="1"/>
  <c r="X26" i="14"/>
  <c r="AE26" i="14" s="1"/>
  <c r="U26" i="14"/>
  <c r="V26" i="14" s="1"/>
  <c r="AB26" i="14" s="1"/>
  <c r="R26" i="14"/>
  <c r="P26" i="14" s="1"/>
  <c r="Q26" i="14"/>
  <c r="N26" i="14"/>
  <c r="K26" i="14"/>
  <c r="J26" i="14"/>
  <c r="G26" i="14"/>
  <c r="E26" i="14"/>
  <c r="D26" i="14"/>
  <c r="C26" i="14"/>
  <c r="B26" i="14"/>
  <c r="A26" i="14"/>
  <c r="AQ25" i="14"/>
  <c r="AN25" i="14"/>
  <c r="AM25" i="14"/>
  <c r="AL25" i="14"/>
  <c r="AJ25" i="14" s="1"/>
  <c r="AK25" i="14"/>
  <c r="AI25" i="14"/>
  <c r="AE25" i="14"/>
  <c r="AC25" i="14"/>
  <c r="Y25" i="14"/>
  <c r="W25" i="14" s="1"/>
  <c r="AD25" i="14" s="1"/>
  <c r="X25" i="14"/>
  <c r="U25" i="14"/>
  <c r="V25" i="14" s="1"/>
  <c r="R25" i="14"/>
  <c r="Q25" i="14"/>
  <c r="P25" i="14"/>
  <c r="N25" i="14"/>
  <c r="O25" i="14" s="1"/>
  <c r="K25" i="14"/>
  <c r="J25" i="14"/>
  <c r="I25" i="14"/>
  <c r="H25" i="14"/>
  <c r="G25" i="14"/>
  <c r="E25" i="14"/>
  <c r="C25" i="14"/>
  <c r="B25" i="14"/>
  <c r="D25" i="14" s="1"/>
  <c r="A25" i="14"/>
  <c r="AQ24" i="14"/>
  <c r="AN24" i="14"/>
  <c r="AM24" i="14"/>
  <c r="AL24" i="14"/>
  <c r="AJ24" i="14" s="1"/>
  <c r="AK24" i="14"/>
  <c r="AI24" i="14"/>
  <c r="AE24" i="14"/>
  <c r="AC24" i="14"/>
  <c r="AB24" i="14"/>
  <c r="Y24" i="14"/>
  <c r="W24" i="14" s="1"/>
  <c r="X24" i="14"/>
  <c r="U24" i="14"/>
  <c r="R24" i="14"/>
  <c r="AF24" i="14" s="1"/>
  <c r="Q24" i="14"/>
  <c r="P24" i="14"/>
  <c r="N24" i="14"/>
  <c r="K24" i="14"/>
  <c r="I24" i="14" s="1"/>
  <c r="J24" i="14"/>
  <c r="G24" i="14"/>
  <c r="E24" i="14"/>
  <c r="D24" i="14"/>
  <c r="C24" i="14"/>
  <c r="B24" i="14"/>
  <c r="A24" i="14"/>
  <c r="AQ23" i="14"/>
  <c r="AN23" i="14"/>
  <c r="AM23" i="14"/>
  <c r="AL23" i="14"/>
  <c r="AK23" i="14"/>
  <c r="AJ23" i="14"/>
  <c r="AI23" i="14"/>
  <c r="AC23" i="14"/>
  <c r="AB23" i="14"/>
  <c r="Y23" i="14"/>
  <c r="W23" i="14" s="1"/>
  <c r="X23" i="14"/>
  <c r="AE23" i="14" s="1"/>
  <c r="U23" i="14"/>
  <c r="R23" i="14"/>
  <c r="Q23" i="14"/>
  <c r="P23" i="14"/>
  <c r="N23" i="14"/>
  <c r="K23" i="14"/>
  <c r="I23" i="14" s="1"/>
  <c r="J23" i="14"/>
  <c r="G23" i="14"/>
  <c r="B23" i="14"/>
  <c r="E23" i="14" s="1"/>
  <c r="A23" i="14"/>
  <c r="AQ22" i="14"/>
  <c r="AN22" i="14"/>
  <c r="AM22" i="14"/>
  <c r="AL22" i="14"/>
  <c r="AK22" i="14"/>
  <c r="AJ22" i="14"/>
  <c r="AI22" i="14"/>
  <c r="AC22" i="14"/>
  <c r="AB22" i="14"/>
  <c r="Y22" i="14"/>
  <c r="AF22" i="14" s="1"/>
  <c r="X22" i="14"/>
  <c r="AE22" i="14" s="1"/>
  <c r="W22" i="14"/>
  <c r="AD22" i="14" s="1"/>
  <c r="U22" i="14"/>
  <c r="R22" i="14"/>
  <c r="P22" i="14" s="1"/>
  <c r="Q22" i="14"/>
  <c r="N22" i="14"/>
  <c r="K22" i="14"/>
  <c r="J22" i="14"/>
  <c r="I22" i="14"/>
  <c r="G22" i="14"/>
  <c r="B22" i="14"/>
  <c r="E22" i="14" s="1"/>
  <c r="A22" i="14"/>
  <c r="AQ21" i="14"/>
  <c r="AN21" i="14"/>
  <c r="AM21" i="14"/>
  <c r="AL21" i="14"/>
  <c r="AJ21" i="14" s="1"/>
  <c r="AK21" i="14"/>
  <c r="AI21" i="14"/>
  <c r="AF21" i="14"/>
  <c r="AH21" i="14" s="1"/>
  <c r="AC21" i="14"/>
  <c r="AB21" i="14"/>
  <c r="Y21" i="14"/>
  <c r="W21" i="14" s="1"/>
  <c r="X21" i="14"/>
  <c r="AE21" i="14" s="1"/>
  <c r="U21" i="14"/>
  <c r="R21" i="14"/>
  <c r="P21" i="14" s="1"/>
  <c r="Q21" i="14"/>
  <c r="N21" i="14"/>
  <c r="K21" i="14"/>
  <c r="I21" i="14" s="1"/>
  <c r="J21" i="14"/>
  <c r="G21" i="14"/>
  <c r="E21" i="14"/>
  <c r="D21" i="14"/>
  <c r="C21" i="14"/>
  <c r="B21" i="14"/>
  <c r="A21" i="14"/>
  <c r="AQ20" i="14"/>
  <c r="AN20" i="14"/>
  <c r="AM20" i="14"/>
  <c r="AL20" i="14"/>
  <c r="AJ20" i="14" s="1"/>
  <c r="AK20" i="14"/>
  <c r="AI20" i="14"/>
  <c r="AE20" i="14"/>
  <c r="AC20" i="14"/>
  <c r="AB20" i="14"/>
  <c r="Y20" i="14"/>
  <c r="X20" i="14"/>
  <c r="W20" i="14"/>
  <c r="U20" i="14"/>
  <c r="R20" i="14"/>
  <c r="P20" i="14" s="1"/>
  <c r="Q20" i="14"/>
  <c r="N20" i="14"/>
  <c r="K20" i="14"/>
  <c r="J20" i="14"/>
  <c r="I20" i="14"/>
  <c r="G20" i="14"/>
  <c r="E20" i="14"/>
  <c r="D20" i="14"/>
  <c r="C20" i="14"/>
  <c r="B20" i="14"/>
  <c r="A20" i="14"/>
  <c r="AQ19" i="14"/>
  <c r="AN19" i="14"/>
  <c r="AM19" i="14"/>
  <c r="AL19" i="14"/>
  <c r="AJ19" i="14" s="1"/>
  <c r="AK19" i="14"/>
  <c r="AI19" i="14"/>
  <c r="AF19" i="14"/>
  <c r="AH19" i="14" s="1"/>
  <c r="AC19" i="14"/>
  <c r="AB19" i="14"/>
  <c r="Y19" i="14"/>
  <c r="X19" i="14"/>
  <c r="W19" i="14"/>
  <c r="U19" i="14"/>
  <c r="R19" i="14"/>
  <c r="P19" i="14" s="1"/>
  <c r="AD19" i="14" s="1"/>
  <c r="Q19" i="14"/>
  <c r="AE19" i="14" s="1"/>
  <c r="N19" i="14"/>
  <c r="K19" i="14"/>
  <c r="J19" i="14"/>
  <c r="I19" i="14"/>
  <c r="G19" i="14"/>
  <c r="E19" i="14"/>
  <c r="D19" i="14"/>
  <c r="B19" i="14"/>
  <c r="C19" i="14" s="1"/>
  <c r="A19" i="14"/>
  <c r="AQ18" i="14"/>
  <c r="AN18" i="14"/>
  <c r="AM18" i="14"/>
  <c r="AL18" i="14"/>
  <c r="AJ18" i="14" s="1"/>
  <c r="AK18" i="14"/>
  <c r="AI18" i="14"/>
  <c r="AE18" i="14"/>
  <c r="AC18" i="14"/>
  <c r="AB18" i="14"/>
  <c r="Y18" i="14"/>
  <c r="W18" i="14" s="1"/>
  <c r="AD18" i="14" s="1"/>
  <c r="X18" i="14"/>
  <c r="U18" i="14"/>
  <c r="R18" i="14"/>
  <c r="AF18" i="14" s="1"/>
  <c r="Q18" i="14"/>
  <c r="P18" i="14"/>
  <c r="N18" i="14"/>
  <c r="K18" i="14"/>
  <c r="I18" i="14" s="1"/>
  <c r="J18" i="14"/>
  <c r="G18" i="14"/>
  <c r="E18" i="14"/>
  <c r="D18" i="14"/>
  <c r="C18" i="14"/>
  <c r="B18" i="14"/>
  <c r="A18" i="14"/>
  <c r="AQ17" i="14"/>
  <c r="AN17" i="14"/>
  <c r="AM17" i="14"/>
  <c r="AL17" i="14"/>
  <c r="AK17" i="14"/>
  <c r="AJ17" i="14"/>
  <c r="AI17" i="14"/>
  <c r="AC17" i="14"/>
  <c r="AB17" i="14"/>
  <c r="Y17" i="14"/>
  <c r="W17" i="14" s="1"/>
  <c r="X17" i="14"/>
  <c r="U17" i="14"/>
  <c r="R17" i="14"/>
  <c r="P17" i="14" s="1"/>
  <c r="Q17" i="14"/>
  <c r="AE17" i="14" s="1"/>
  <c r="N17" i="14"/>
  <c r="K17" i="14"/>
  <c r="I17" i="14" s="1"/>
  <c r="J17" i="14"/>
  <c r="G17" i="14"/>
  <c r="B17" i="14"/>
  <c r="E17" i="14" s="1"/>
  <c r="A17" i="14"/>
  <c r="AQ16" i="14"/>
  <c r="AN16" i="14"/>
  <c r="AM16" i="14"/>
  <c r="AL16" i="14"/>
  <c r="AJ16" i="14" s="1"/>
  <c r="AK16" i="14"/>
  <c r="AI16" i="14"/>
  <c r="AC16" i="14"/>
  <c r="AB16" i="14"/>
  <c r="Y16" i="14"/>
  <c r="W16" i="14" s="1"/>
  <c r="X16" i="14"/>
  <c r="AE16" i="14" s="1"/>
  <c r="U16" i="14"/>
  <c r="R16" i="14"/>
  <c r="Q16" i="14"/>
  <c r="P16" i="14"/>
  <c r="N16" i="14"/>
  <c r="K16" i="14"/>
  <c r="I16" i="14" s="1"/>
  <c r="J16" i="14"/>
  <c r="G16" i="14"/>
  <c r="D16" i="14"/>
  <c r="C16" i="14"/>
  <c r="B16" i="14"/>
  <c r="E16" i="14" s="1"/>
  <c r="A16" i="14"/>
  <c r="AQ15" i="14"/>
  <c r="AN15" i="14"/>
  <c r="AM15" i="14"/>
  <c r="AL15" i="14"/>
  <c r="AK15" i="14"/>
  <c r="AJ15" i="14"/>
  <c r="AI15" i="14"/>
  <c r="AC15" i="14"/>
  <c r="Y15" i="14"/>
  <c r="AF15" i="14" s="1"/>
  <c r="X15" i="14"/>
  <c r="AE15" i="14" s="1"/>
  <c r="U15" i="14"/>
  <c r="R15" i="14"/>
  <c r="Q15" i="14"/>
  <c r="P15" i="14"/>
  <c r="O15" i="14"/>
  <c r="AB15" i="14" s="1"/>
  <c r="N15" i="14"/>
  <c r="K15" i="14"/>
  <c r="I15" i="14" s="1"/>
  <c r="J15" i="14"/>
  <c r="G15" i="14"/>
  <c r="D15" i="14"/>
  <c r="C15" i="14"/>
  <c r="B15" i="14"/>
  <c r="E15" i="14" s="1"/>
  <c r="A15" i="14"/>
  <c r="AQ14" i="14"/>
  <c r="AN14" i="14"/>
  <c r="AM14" i="14"/>
  <c r="AL14" i="14"/>
  <c r="AK14" i="14"/>
  <c r="AJ14" i="14"/>
  <c r="AI14" i="14"/>
  <c r="AC14" i="14"/>
  <c r="Y14" i="14"/>
  <c r="AF14" i="14" s="1"/>
  <c r="X14" i="14"/>
  <c r="AE14" i="14" s="1"/>
  <c r="U14" i="14"/>
  <c r="R14" i="14"/>
  <c r="Q14" i="14"/>
  <c r="P14" i="14"/>
  <c r="O14" i="14"/>
  <c r="AB14" i="14" s="1"/>
  <c r="N14" i="14"/>
  <c r="K14" i="14"/>
  <c r="I14" i="14" s="1"/>
  <c r="J14" i="14"/>
  <c r="H14" i="14"/>
  <c r="G14" i="14"/>
  <c r="B14" i="14"/>
  <c r="E14" i="14" s="1"/>
  <c r="A14" i="14"/>
  <c r="AQ13" i="14"/>
  <c r="AN13" i="14"/>
  <c r="AM13" i="14"/>
  <c r="AL13" i="14"/>
  <c r="AJ13" i="14" s="1"/>
  <c r="AK13" i="14"/>
  <c r="AI13" i="14"/>
  <c r="AC13" i="14"/>
  <c r="Y13" i="14"/>
  <c r="W13" i="14" s="1"/>
  <c r="X13" i="14"/>
  <c r="AE13" i="14" s="1"/>
  <c r="U13" i="14"/>
  <c r="R13" i="14"/>
  <c r="Q13" i="14"/>
  <c r="P13" i="14"/>
  <c r="N13" i="14"/>
  <c r="O13" i="14" s="1"/>
  <c r="AB13" i="14" s="1"/>
  <c r="K13" i="14"/>
  <c r="I13" i="14" s="1"/>
  <c r="J13" i="14"/>
  <c r="G13" i="14"/>
  <c r="B13" i="14"/>
  <c r="E13" i="14" s="1"/>
  <c r="A13" i="14"/>
  <c r="AQ12" i="14"/>
  <c r="AN12" i="14"/>
  <c r="AM12" i="14"/>
  <c r="AL12" i="14"/>
  <c r="AJ12" i="14" s="1"/>
  <c r="AK12" i="14"/>
  <c r="AI12" i="14"/>
  <c r="AC12" i="14"/>
  <c r="AB12" i="14"/>
  <c r="Y12" i="14"/>
  <c r="W12" i="14" s="1"/>
  <c r="X12" i="14"/>
  <c r="AE12" i="14" s="1"/>
  <c r="V12" i="14"/>
  <c r="U12" i="14"/>
  <c r="R12" i="14"/>
  <c r="P12" i="14" s="1"/>
  <c r="Q12" i="14"/>
  <c r="N12" i="14"/>
  <c r="K12" i="14"/>
  <c r="I12" i="14" s="1"/>
  <c r="J12" i="14"/>
  <c r="G12" i="14"/>
  <c r="B12" i="14"/>
  <c r="A12" i="14"/>
  <c r="AQ11" i="14"/>
  <c r="AN11" i="14"/>
  <c r="AM11" i="14"/>
  <c r="AL11" i="14"/>
  <c r="AJ11" i="14" s="1"/>
  <c r="AK11" i="14"/>
  <c r="AI11" i="14"/>
  <c r="AC11" i="14"/>
  <c r="AB11" i="14"/>
  <c r="Y11" i="14"/>
  <c r="X11" i="14"/>
  <c r="U11" i="14"/>
  <c r="R11" i="14"/>
  <c r="Q11" i="14"/>
  <c r="AE11" i="14" s="1"/>
  <c r="P11" i="14"/>
  <c r="N11" i="14"/>
  <c r="K11" i="14"/>
  <c r="I11" i="14" s="1"/>
  <c r="J11" i="14"/>
  <c r="G11" i="14"/>
  <c r="D11" i="14"/>
  <c r="C11" i="14"/>
  <c r="B11" i="14"/>
  <c r="E11" i="14" s="1"/>
  <c r="A11" i="14"/>
  <c r="AQ10" i="14"/>
  <c r="AN10" i="14"/>
  <c r="AM10" i="14"/>
  <c r="AL10" i="14"/>
  <c r="AK10" i="14"/>
  <c r="AJ10" i="14"/>
  <c r="AI10" i="14"/>
  <c r="AH10" i="14"/>
  <c r="AC10" i="14"/>
  <c r="AB10" i="14"/>
  <c r="Y10" i="14"/>
  <c r="AF10" i="14" s="1"/>
  <c r="AG10" i="14" s="1"/>
  <c r="X10" i="14"/>
  <c r="U10" i="14"/>
  <c r="R10" i="14"/>
  <c r="Q10" i="14"/>
  <c r="P10" i="14"/>
  <c r="N10" i="14"/>
  <c r="K10" i="14"/>
  <c r="J10" i="14"/>
  <c r="H10" i="14"/>
  <c r="G10" i="14"/>
  <c r="D10" i="14"/>
  <c r="C10" i="14"/>
  <c r="B10" i="14"/>
  <c r="E10" i="14" s="1"/>
  <c r="A10" i="14"/>
  <c r="AQ9" i="14"/>
  <c r="AN9" i="14"/>
  <c r="AM9" i="14"/>
  <c r="AL9" i="14"/>
  <c r="AK9" i="14"/>
  <c r="AJ9" i="14"/>
  <c r="AI9" i="14"/>
  <c r="AC9" i="14"/>
  <c r="AB9" i="14"/>
  <c r="Y9" i="14"/>
  <c r="X9" i="14"/>
  <c r="AE9" i="14" s="1"/>
  <c r="V9" i="14"/>
  <c r="V119" i="14" s="1"/>
  <c r="U9" i="14"/>
  <c r="R9" i="14"/>
  <c r="Q9" i="14"/>
  <c r="P9" i="14"/>
  <c r="N9" i="14"/>
  <c r="K9" i="14"/>
  <c r="I9" i="14" s="1"/>
  <c r="J9" i="14"/>
  <c r="G9" i="14"/>
  <c r="C9" i="14"/>
  <c r="B9" i="14"/>
  <c r="E9" i="14" s="1"/>
  <c r="A9" i="14"/>
  <c r="AY8" i="14"/>
  <c r="AX8" i="14"/>
  <c r="AW8" i="14"/>
  <c r="AV8" i="14"/>
  <c r="AQ8" i="14"/>
  <c r="AN8" i="14"/>
  <c r="AM8" i="14"/>
  <c r="AL8" i="14"/>
  <c r="AJ8" i="14" s="1"/>
  <c r="AK8" i="14"/>
  <c r="AI8" i="14"/>
  <c r="AF8" i="14"/>
  <c r="AH8" i="14" s="1"/>
  <c r="AC8" i="14"/>
  <c r="AB8" i="14"/>
  <c r="Y8" i="14"/>
  <c r="X8" i="14"/>
  <c r="W8" i="14"/>
  <c r="U8" i="14"/>
  <c r="R8" i="14"/>
  <c r="P8" i="14" s="1"/>
  <c r="AD8" i="14" s="1"/>
  <c r="Q8" i="14"/>
  <c r="AE8" i="14" s="1"/>
  <c r="N8" i="14"/>
  <c r="K8" i="14"/>
  <c r="J8" i="14"/>
  <c r="I8" i="14"/>
  <c r="G8" i="14"/>
  <c r="E8" i="14"/>
  <c r="D8" i="14"/>
  <c r="B8" i="14"/>
  <c r="C8" i="14" s="1"/>
  <c r="A8" i="14"/>
  <c r="AQ7" i="14"/>
  <c r="AN7" i="14"/>
  <c r="AM7" i="14"/>
  <c r="AL7" i="14"/>
  <c r="AK7" i="14"/>
  <c r="AI7" i="14"/>
  <c r="AE7" i="14"/>
  <c r="AC7" i="14"/>
  <c r="AB7" i="14"/>
  <c r="Y7" i="14"/>
  <c r="W7" i="14" s="1"/>
  <c r="AD7" i="14" s="1"/>
  <c r="X7" i="14"/>
  <c r="U7" i="14"/>
  <c r="R7" i="14"/>
  <c r="AF7" i="14" s="1"/>
  <c r="Q7" i="14"/>
  <c r="P7" i="14"/>
  <c r="N7" i="14"/>
  <c r="K7" i="14"/>
  <c r="I7" i="14" s="1"/>
  <c r="J7" i="14"/>
  <c r="G7" i="14"/>
  <c r="E7" i="14"/>
  <c r="D7" i="14"/>
  <c r="C7" i="14"/>
  <c r="B7" i="14"/>
  <c r="A7" i="14"/>
  <c r="AQ6" i="14"/>
  <c r="AN6" i="14"/>
  <c r="AM6" i="14"/>
  <c r="AL6" i="14"/>
  <c r="AK6" i="14"/>
  <c r="AJ6" i="14"/>
  <c r="AI6" i="14"/>
  <c r="AC6" i="14"/>
  <c r="AB6" i="14"/>
  <c r="Y6" i="14"/>
  <c r="AF6" i="14" s="1"/>
  <c r="X6" i="14"/>
  <c r="W6" i="14"/>
  <c r="U6" i="14"/>
  <c r="R6" i="14"/>
  <c r="P6" i="14" s="1"/>
  <c r="Q6" i="14"/>
  <c r="AE6" i="14" s="1"/>
  <c r="N6" i="14"/>
  <c r="K6" i="14"/>
  <c r="J6" i="14"/>
  <c r="I6" i="14" s="1"/>
  <c r="G6" i="14"/>
  <c r="B6" i="14"/>
  <c r="A6" i="14"/>
  <c r="AQ5" i="14"/>
  <c r="AN5" i="14"/>
  <c r="AM5" i="14"/>
  <c r="AL5" i="14"/>
  <c r="AJ5" i="14" s="1"/>
  <c r="AK5" i="14"/>
  <c r="AI5" i="14"/>
  <c r="AC5" i="14"/>
  <c r="AB5" i="14"/>
  <c r="Y5" i="14"/>
  <c r="X5" i="14"/>
  <c r="AE5" i="14" s="1"/>
  <c r="U5" i="14"/>
  <c r="R5" i="14"/>
  <c r="Q5" i="14"/>
  <c r="P5" i="14"/>
  <c r="N5" i="14"/>
  <c r="K5" i="14"/>
  <c r="I5" i="14" s="1"/>
  <c r="J5" i="14"/>
  <c r="G5" i="14"/>
  <c r="D5" i="14"/>
  <c r="C5" i="14"/>
  <c r="B5" i="14"/>
  <c r="E5" i="14" s="1"/>
  <c r="A5" i="14"/>
  <c r="AQ4" i="14"/>
  <c r="AN4" i="14"/>
  <c r="AM4" i="14"/>
  <c r="AL4" i="14"/>
  <c r="AK4" i="14"/>
  <c r="AJ4" i="14"/>
  <c r="AI4" i="14"/>
  <c r="AH4" i="14"/>
  <c r="AC4" i="14"/>
  <c r="AB4" i="14"/>
  <c r="Y4" i="14"/>
  <c r="AF4" i="14" s="1"/>
  <c r="AG4" i="14" s="1"/>
  <c r="X4" i="14"/>
  <c r="U4" i="14"/>
  <c r="R4" i="14"/>
  <c r="Q4" i="14"/>
  <c r="P4" i="14"/>
  <c r="N4" i="14"/>
  <c r="K4" i="14"/>
  <c r="I4" i="14" s="1"/>
  <c r="J4" i="14"/>
  <c r="G4" i="14"/>
  <c r="B4" i="14"/>
  <c r="E4" i="14" s="1"/>
  <c r="A4" i="14"/>
  <c r="AQ3" i="14"/>
  <c r="AO3" i="14"/>
  <c r="AN3" i="14"/>
  <c r="AM3" i="14"/>
  <c r="AL3" i="14"/>
  <c r="AK3" i="14"/>
  <c r="AJ3" i="14"/>
  <c r="AI3" i="14"/>
  <c r="AC3" i="14"/>
  <c r="Y3" i="14"/>
  <c r="X3" i="14"/>
  <c r="AE3" i="14" s="1"/>
  <c r="U3" i="14"/>
  <c r="R3" i="14"/>
  <c r="Q3" i="14"/>
  <c r="P3" i="14"/>
  <c r="O3" i="14"/>
  <c r="AB3" i="14" s="1"/>
  <c r="N3" i="14"/>
  <c r="K3" i="14"/>
  <c r="I3" i="14" s="1"/>
  <c r="J3" i="14"/>
  <c r="G3" i="14"/>
  <c r="C3" i="14"/>
  <c r="B3" i="14"/>
  <c r="E3" i="14" s="1"/>
  <c r="A3" i="14"/>
  <c r="AQ2" i="14"/>
  <c r="AP2" i="14"/>
  <c r="AP119" i="14" s="1"/>
  <c r="BR149" i="14" s="1"/>
  <c r="AO2" i="14"/>
  <c r="AO119" i="14" s="1"/>
  <c r="AM2" i="14"/>
  <c r="AL2" i="14"/>
  <c r="AK2" i="14"/>
  <c r="AJ2" i="14"/>
  <c r="AI2" i="14"/>
  <c r="AC2" i="14"/>
  <c r="Y2" i="14"/>
  <c r="X2" i="14"/>
  <c r="W2" i="14"/>
  <c r="U2" i="14"/>
  <c r="R2" i="14"/>
  <c r="Q2" i="14"/>
  <c r="P2" i="14" s="1"/>
  <c r="O2" i="14"/>
  <c r="O119" i="14" s="1"/>
  <c r="N2" i="14"/>
  <c r="K2" i="14"/>
  <c r="I2" i="14" s="1"/>
  <c r="J2" i="14"/>
  <c r="G2" i="14"/>
  <c r="G119" i="14" s="1"/>
  <c r="E2" i="14"/>
  <c r="D2" i="14"/>
  <c r="C2" i="14"/>
  <c r="B2" i="14"/>
  <c r="A2" i="14"/>
  <c r="B84" i="13"/>
  <c r="D84" i="13" s="1"/>
  <c r="A84" i="13"/>
  <c r="D83" i="13"/>
  <c r="C83" i="13"/>
  <c r="B83" i="13"/>
  <c r="A83" i="13"/>
  <c r="B82" i="13"/>
  <c r="D82" i="13" s="1"/>
  <c r="A82" i="13"/>
  <c r="D81" i="13"/>
  <c r="C81" i="13"/>
  <c r="B81" i="13"/>
  <c r="A81" i="13"/>
  <c r="B80" i="13"/>
  <c r="D80" i="13" s="1"/>
  <c r="A80" i="13"/>
  <c r="D79" i="13"/>
  <c r="C79" i="13"/>
  <c r="B79" i="13"/>
  <c r="A79" i="13"/>
  <c r="B78" i="13"/>
  <c r="D78" i="13" s="1"/>
  <c r="A78" i="13"/>
  <c r="D77" i="13"/>
  <c r="C77" i="13"/>
  <c r="B77" i="13"/>
  <c r="A77" i="13"/>
  <c r="B76" i="13"/>
  <c r="D76" i="13" s="1"/>
  <c r="A76" i="13"/>
  <c r="D75" i="13"/>
  <c r="C75" i="13"/>
  <c r="B75" i="13"/>
  <c r="A75" i="13"/>
  <c r="B74" i="13"/>
  <c r="D74" i="13" s="1"/>
  <c r="A74" i="13"/>
  <c r="D73" i="13"/>
  <c r="C73" i="13"/>
  <c r="B73" i="13"/>
  <c r="A73" i="13"/>
  <c r="B72" i="13"/>
  <c r="D72" i="13" s="1"/>
  <c r="A72" i="13"/>
  <c r="D71" i="13"/>
  <c r="C71" i="13"/>
  <c r="B71" i="13"/>
  <c r="A71" i="13"/>
  <c r="B70" i="13"/>
  <c r="D70" i="13" s="1"/>
  <c r="A70" i="13"/>
  <c r="D69" i="13"/>
  <c r="C69" i="13"/>
  <c r="B69" i="13"/>
  <c r="A69" i="13"/>
  <c r="B68" i="13"/>
  <c r="D68" i="13" s="1"/>
  <c r="A68" i="13"/>
  <c r="D67" i="13"/>
  <c r="C67" i="13"/>
  <c r="B67" i="13"/>
  <c r="A67" i="13"/>
  <c r="B66" i="13"/>
  <c r="D66" i="13" s="1"/>
  <c r="A66" i="13"/>
  <c r="D65" i="13"/>
  <c r="C65" i="13"/>
  <c r="B65" i="13"/>
  <c r="A65" i="13"/>
  <c r="B64" i="13"/>
  <c r="D64" i="13" s="1"/>
  <c r="A64" i="13"/>
  <c r="D63" i="13"/>
  <c r="C63" i="13"/>
  <c r="B63" i="13"/>
  <c r="A63" i="13"/>
  <c r="B62" i="13"/>
  <c r="D62" i="13" s="1"/>
  <c r="A62" i="13"/>
  <c r="D61" i="13"/>
  <c r="C61" i="13"/>
  <c r="B61" i="13"/>
  <c r="A61" i="13"/>
  <c r="B60" i="13"/>
  <c r="D60" i="13" s="1"/>
  <c r="A60" i="13"/>
  <c r="D59" i="13"/>
  <c r="C59" i="13"/>
  <c r="B59" i="13"/>
  <c r="A59" i="13"/>
  <c r="B58" i="13"/>
  <c r="D58" i="13" s="1"/>
  <c r="A58" i="13"/>
  <c r="D57" i="13"/>
  <c r="C57" i="13"/>
  <c r="B57" i="13"/>
  <c r="A57" i="13"/>
  <c r="B56" i="13"/>
  <c r="D56" i="13" s="1"/>
  <c r="A56" i="13"/>
  <c r="D55" i="13"/>
  <c r="C55" i="13"/>
  <c r="B55" i="13"/>
  <c r="A55" i="13"/>
  <c r="B54" i="13"/>
  <c r="D54" i="13" s="1"/>
  <c r="A54" i="13"/>
  <c r="D53" i="13"/>
  <c r="C53" i="13"/>
  <c r="B53" i="13"/>
  <c r="A53" i="13"/>
  <c r="B52" i="13"/>
  <c r="D52" i="13" s="1"/>
  <c r="A52" i="13"/>
  <c r="D51" i="13"/>
  <c r="C51" i="13"/>
  <c r="B51" i="13"/>
  <c r="A51" i="13"/>
  <c r="B50" i="13"/>
  <c r="D50" i="13" s="1"/>
  <c r="A50" i="13"/>
  <c r="D49" i="13"/>
  <c r="C49" i="13"/>
  <c r="B49" i="13"/>
  <c r="A49" i="13"/>
  <c r="B48" i="13"/>
  <c r="D48" i="13" s="1"/>
  <c r="A48" i="13"/>
  <c r="D47" i="13"/>
  <c r="C47" i="13"/>
  <c r="B47" i="13"/>
  <c r="A47" i="13"/>
  <c r="B46" i="13"/>
  <c r="D46" i="13" s="1"/>
  <c r="A46" i="13"/>
  <c r="D45" i="13"/>
  <c r="C45" i="13"/>
  <c r="B45" i="13"/>
  <c r="A45" i="13"/>
  <c r="B44" i="13"/>
  <c r="D44" i="13" s="1"/>
  <c r="A44" i="13"/>
  <c r="D43" i="13"/>
  <c r="C43" i="13"/>
  <c r="B43" i="13"/>
  <c r="A43" i="13"/>
  <c r="B42" i="13"/>
  <c r="D42" i="13" s="1"/>
  <c r="A42" i="13"/>
  <c r="D41" i="13"/>
  <c r="C41" i="13"/>
  <c r="B41" i="13"/>
  <c r="A41" i="13"/>
  <c r="B40" i="13"/>
  <c r="A40" i="13"/>
  <c r="D39" i="13"/>
  <c r="C39" i="13"/>
  <c r="B39" i="13"/>
  <c r="A39" i="13"/>
  <c r="B38" i="13"/>
  <c r="A38" i="13"/>
  <c r="D37" i="13"/>
  <c r="C37" i="13"/>
  <c r="B37" i="13"/>
  <c r="A37" i="13"/>
  <c r="B36" i="13"/>
  <c r="A36" i="13"/>
  <c r="D35" i="13"/>
  <c r="C35" i="13"/>
  <c r="B35" i="13"/>
  <c r="A35" i="13"/>
  <c r="B34" i="13"/>
  <c r="A34" i="13"/>
  <c r="D33" i="13"/>
  <c r="C33" i="13"/>
  <c r="B33" i="13"/>
  <c r="A33" i="13"/>
  <c r="B32" i="13"/>
  <c r="A32" i="13"/>
  <c r="D31" i="13"/>
  <c r="C31" i="13"/>
  <c r="B31" i="13"/>
  <c r="A31" i="13"/>
  <c r="B30" i="13"/>
  <c r="A30" i="13"/>
  <c r="D29" i="13"/>
  <c r="C29" i="13"/>
  <c r="B29" i="13"/>
  <c r="A29" i="13"/>
  <c r="B28" i="13"/>
  <c r="A28" i="13"/>
  <c r="D27" i="13"/>
  <c r="C27" i="13"/>
  <c r="B27" i="13"/>
  <c r="A27" i="13"/>
  <c r="B26" i="13"/>
  <c r="A26" i="13"/>
  <c r="D25" i="13"/>
  <c r="C25" i="13"/>
  <c r="B25" i="13"/>
  <c r="A25" i="13"/>
  <c r="B24" i="13"/>
  <c r="A24" i="13"/>
  <c r="D23" i="13"/>
  <c r="C23" i="13"/>
  <c r="B23" i="13"/>
  <c r="A23" i="13"/>
  <c r="B22" i="13"/>
  <c r="A22" i="13"/>
  <c r="D21" i="13"/>
  <c r="C21" i="13"/>
  <c r="B21" i="13"/>
  <c r="A21" i="13"/>
  <c r="B20" i="13"/>
  <c r="A20" i="13"/>
  <c r="D19" i="13"/>
  <c r="C19" i="13"/>
  <c r="B19" i="13"/>
  <c r="A19" i="13"/>
  <c r="B18" i="13"/>
  <c r="A18" i="13"/>
  <c r="D17" i="13"/>
  <c r="C17" i="13"/>
  <c r="B17" i="13"/>
  <c r="A17" i="13"/>
  <c r="B16" i="13"/>
  <c r="A16" i="13"/>
  <c r="D15" i="13"/>
  <c r="C15" i="13"/>
  <c r="B15" i="13"/>
  <c r="A15" i="13"/>
  <c r="B14" i="13"/>
  <c r="A14" i="13"/>
  <c r="D13" i="13"/>
  <c r="C13" i="13"/>
  <c r="B13" i="13"/>
  <c r="A13" i="13"/>
  <c r="B12" i="13"/>
  <c r="A12" i="13"/>
  <c r="D11" i="13"/>
  <c r="C11" i="13"/>
  <c r="B11" i="13"/>
  <c r="A11" i="13"/>
  <c r="B10" i="13"/>
  <c r="A10" i="13"/>
  <c r="D9" i="13"/>
  <c r="C9" i="13"/>
  <c r="B9" i="13"/>
  <c r="A9" i="13"/>
  <c r="B8" i="13"/>
  <c r="A8" i="13"/>
  <c r="D7" i="13"/>
  <c r="C7" i="13"/>
  <c r="B7" i="13"/>
  <c r="A7" i="13"/>
  <c r="B6" i="13"/>
  <c r="A6" i="13"/>
  <c r="D5" i="13"/>
  <c r="C5" i="13"/>
  <c r="B5" i="13"/>
  <c r="A5" i="13"/>
  <c r="B4" i="13"/>
  <c r="A4" i="13"/>
  <c r="D3" i="13"/>
  <c r="C3" i="13"/>
  <c r="B3" i="13"/>
  <c r="A3" i="13"/>
  <c r="B2" i="13"/>
  <c r="A2" i="13"/>
  <c r="D83" i="12"/>
  <c r="C83" i="12"/>
  <c r="B83" i="12"/>
  <c r="A83" i="12"/>
  <c r="B82" i="12"/>
  <c r="A82" i="12"/>
  <c r="D81" i="12"/>
  <c r="C81" i="12"/>
  <c r="B81" i="12"/>
  <c r="A81" i="12"/>
  <c r="B80" i="12"/>
  <c r="A80" i="12"/>
  <c r="D79" i="12"/>
  <c r="C79" i="12"/>
  <c r="B79" i="12"/>
  <c r="A79" i="12"/>
  <c r="B78" i="12"/>
  <c r="A78" i="12"/>
  <c r="D77" i="12"/>
  <c r="C77" i="12"/>
  <c r="B77" i="12"/>
  <c r="A77" i="12"/>
  <c r="B76" i="12"/>
  <c r="A76" i="12"/>
  <c r="D75" i="12"/>
  <c r="C75" i="12"/>
  <c r="B75" i="12"/>
  <c r="A75" i="12"/>
  <c r="B74" i="12"/>
  <c r="A74" i="12"/>
  <c r="D73" i="12"/>
  <c r="C73" i="12"/>
  <c r="B73" i="12"/>
  <c r="A73" i="12"/>
  <c r="B72" i="12"/>
  <c r="A72" i="12"/>
  <c r="D71" i="12"/>
  <c r="C71" i="12"/>
  <c r="B71" i="12"/>
  <c r="A71" i="12"/>
  <c r="B70" i="12"/>
  <c r="A70" i="12"/>
  <c r="D69" i="12"/>
  <c r="C69" i="12"/>
  <c r="B69" i="12"/>
  <c r="A69" i="12"/>
  <c r="B68" i="12"/>
  <c r="A68" i="12"/>
  <c r="D67" i="12"/>
  <c r="C67" i="12"/>
  <c r="B67" i="12"/>
  <c r="A67" i="12"/>
  <c r="B66" i="12"/>
  <c r="A66" i="12"/>
  <c r="D65" i="12"/>
  <c r="C65" i="12"/>
  <c r="B65" i="12"/>
  <c r="A65" i="12"/>
  <c r="B64" i="12"/>
  <c r="A64" i="12"/>
  <c r="D63" i="12"/>
  <c r="C63" i="12"/>
  <c r="B63" i="12"/>
  <c r="A63" i="12"/>
  <c r="B62" i="12"/>
  <c r="A62" i="12"/>
  <c r="D61" i="12"/>
  <c r="C61" i="12"/>
  <c r="B61" i="12"/>
  <c r="A61" i="12"/>
  <c r="B60" i="12"/>
  <c r="A60" i="12"/>
  <c r="D59" i="12"/>
  <c r="C59" i="12"/>
  <c r="B59" i="12"/>
  <c r="A59" i="12"/>
  <c r="B58" i="12"/>
  <c r="A58" i="12"/>
  <c r="D57" i="12"/>
  <c r="C57" i="12"/>
  <c r="B57" i="12"/>
  <c r="A57" i="12"/>
  <c r="B56" i="12"/>
  <c r="A56" i="12"/>
  <c r="D55" i="12"/>
  <c r="C55" i="12"/>
  <c r="B55" i="12"/>
  <c r="A55" i="12"/>
  <c r="B54" i="12"/>
  <c r="A54" i="12"/>
  <c r="D53" i="12"/>
  <c r="C53" i="12"/>
  <c r="B53" i="12"/>
  <c r="A53" i="12"/>
  <c r="B52" i="12"/>
  <c r="A52" i="12"/>
  <c r="D51" i="12"/>
  <c r="C51" i="12"/>
  <c r="B51" i="12"/>
  <c r="A51" i="12"/>
  <c r="B50" i="12"/>
  <c r="A50" i="12"/>
  <c r="D49" i="12"/>
  <c r="C49" i="12"/>
  <c r="B49" i="12"/>
  <c r="A49" i="12"/>
  <c r="B48" i="12"/>
  <c r="A48" i="12"/>
  <c r="D47" i="12"/>
  <c r="C47" i="12"/>
  <c r="B47" i="12"/>
  <c r="A47" i="12"/>
  <c r="B46" i="12"/>
  <c r="A46" i="12"/>
  <c r="D45" i="12"/>
  <c r="C45" i="12"/>
  <c r="B45" i="12"/>
  <c r="A45" i="12"/>
  <c r="B44" i="12"/>
  <c r="A44" i="12"/>
  <c r="D43" i="12"/>
  <c r="C43" i="12"/>
  <c r="B43" i="12"/>
  <c r="A43" i="12"/>
  <c r="B42" i="12"/>
  <c r="A42" i="12"/>
  <c r="D41" i="12"/>
  <c r="C41" i="12"/>
  <c r="B41" i="12"/>
  <c r="A41" i="12"/>
  <c r="B40" i="12"/>
  <c r="A40" i="12"/>
  <c r="D39" i="12"/>
  <c r="C39" i="12"/>
  <c r="B39" i="12"/>
  <c r="A39" i="12"/>
  <c r="B38" i="12"/>
  <c r="A38" i="12"/>
  <c r="D37" i="12"/>
  <c r="C37" i="12"/>
  <c r="B37" i="12"/>
  <c r="A37" i="12"/>
  <c r="B36" i="12"/>
  <c r="A36" i="12"/>
  <c r="D35" i="12"/>
  <c r="C35" i="12"/>
  <c r="B35" i="12"/>
  <c r="A35" i="12"/>
  <c r="B34" i="12"/>
  <c r="A34" i="12"/>
  <c r="D33" i="12"/>
  <c r="C33" i="12"/>
  <c r="B33" i="12"/>
  <c r="A33" i="12"/>
  <c r="B32" i="12"/>
  <c r="A32" i="12"/>
  <c r="D31" i="12"/>
  <c r="C31" i="12"/>
  <c r="B31" i="12"/>
  <c r="A31" i="12"/>
  <c r="B30" i="12"/>
  <c r="A30" i="12"/>
  <c r="D29" i="12"/>
  <c r="C29" i="12"/>
  <c r="B29" i="12"/>
  <c r="A29" i="12"/>
  <c r="B28" i="12"/>
  <c r="A28" i="12"/>
  <c r="D27" i="12"/>
  <c r="C27" i="12"/>
  <c r="B27" i="12"/>
  <c r="A27" i="12"/>
  <c r="B26" i="12"/>
  <c r="A26" i="12"/>
  <c r="D25" i="12"/>
  <c r="C25" i="12"/>
  <c r="B25" i="12"/>
  <c r="A25" i="12"/>
  <c r="B24" i="12"/>
  <c r="A24" i="12"/>
  <c r="D23" i="12"/>
  <c r="C23" i="12"/>
  <c r="B23" i="12"/>
  <c r="A23" i="12"/>
  <c r="B22" i="12"/>
  <c r="A22" i="12"/>
  <c r="D21" i="12"/>
  <c r="C21" i="12"/>
  <c r="B21" i="12"/>
  <c r="A21" i="12"/>
  <c r="B20" i="12"/>
  <c r="A20" i="12"/>
  <c r="D19" i="12"/>
  <c r="C19" i="12"/>
  <c r="B19" i="12"/>
  <c r="A19" i="12"/>
  <c r="B18" i="12"/>
  <c r="A18" i="12"/>
  <c r="D17" i="12"/>
  <c r="C17" i="12"/>
  <c r="B17" i="12"/>
  <c r="A17" i="12"/>
  <c r="B16" i="12"/>
  <c r="A16" i="12"/>
  <c r="D15" i="12"/>
  <c r="C15" i="12"/>
  <c r="B15" i="12"/>
  <c r="A15" i="12"/>
  <c r="B14" i="12"/>
  <c r="A14" i="12"/>
  <c r="D13" i="12"/>
  <c r="C13" i="12"/>
  <c r="B13" i="12"/>
  <c r="A13" i="12"/>
  <c r="B12" i="12"/>
  <c r="A12" i="12"/>
  <c r="D11" i="12"/>
  <c r="C11" i="12"/>
  <c r="B11" i="12"/>
  <c r="A11" i="12"/>
  <c r="B10" i="12"/>
  <c r="A10" i="12"/>
  <c r="D9" i="12"/>
  <c r="C9" i="12"/>
  <c r="B9" i="12"/>
  <c r="A9" i="12"/>
  <c r="B8" i="12"/>
  <c r="A8" i="12"/>
  <c r="D7" i="12"/>
  <c r="C7" i="12"/>
  <c r="B7" i="12"/>
  <c r="A7" i="12"/>
  <c r="B6" i="12"/>
  <c r="A6" i="12"/>
  <c r="D5" i="12"/>
  <c r="C5" i="12"/>
  <c r="B5" i="12"/>
  <c r="A5" i="12"/>
  <c r="B4" i="12"/>
  <c r="A4" i="12"/>
  <c r="D3" i="12"/>
  <c r="C3" i="12"/>
  <c r="B3" i="12"/>
  <c r="A3" i="12"/>
  <c r="B2" i="12"/>
  <c r="A2" i="12"/>
  <c r="CB150" i="11"/>
  <c r="CA150" i="11"/>
  <c r="BW150" i="11"/>
  <c r="BS150" i="11"/>
  <c r="BP150" i="11"/>
  <c r="BL150" i="11"/>
  <c r="BH150" i="11"/>
  <c r="BA150" i="11"/>
  <c r="AY150" i="11" s="1"/>
  <c r="AZ150" i="11"/>
  <c r="AX150" i="11"/>
  <c r="AW150" i="11"/>
  <c r="AU150" i="11" s="1"/>
  <c r="AV150" i="11"/>
  <c r="AT150" i="11"/>
  <c r="AS150" i="11"/>
  <c r="AQ150" i="11" s="1"/>
  <c r="AR150" i="11"/>
  <c r="AP150" i="11"/>
  <c r="AM150" i="11"/>
  <c r="AN150" i="11" s="1"/>
  <c r="AO150" i="11" s="1"/>
  <c r="AJ150" i="11"/>
  <c r="AI150" i="11"/>
  <c r="AF150" i="11"/>
  <c r="AD150" i="11" s="1"/>
  <c r="AE150" i="11"/>
  <c r="AB150" i="11"/>
  <c r="Y150" i="11"/>
  <c r="W150" i="11" s="1"/>
  <c r="X150" i="11"/>
  <c r="U150" i="11"/>
  <c r="R150" i="11"/>
  <c r="Q150" i="11"/>
  <c r="N150" i="11"/>
  <c r="E150" i="11"/>
  <c r="D150" i="11"/>
  <c r="C150" i="11"/>
  <c r="B150" i="11"/>
  <c r="A150" i="11"/>
  <c r="CB149" i="11"/>
  <c r="CA149" i="11"/>
  <c r="BW149" i="11"/>
  <c r="BS149" i="11"/>
  <c r="BP149" i="11"/>
  <c r="BL149" i="11"/>
  <c r="BH149" i="11"/>
  <c r="BA149" i="11"/>
  <c r="AY149" i="11" s="1"/>
  <c r="AZ149" i="11"/>
  <c r="AX149" i="11"/>
  <c r="AW149" i="11"/>
  <c r="AU149" i="11" s="1"/>
  <c r="AV149" i="11"/>
  <c r="AT149" i="11"/>
  <c r="AS149" i="11"/>
  <c r="AR149" i="11"/>
  <c r="AP149" i="11"/>
  <c r="AJ149" i="11"/>
  <c r="AI149" i="11"/>
  <c r="AF149" i="11"/>
  <c r="AE149" i="11"/>
  <c r="AB149" i="11"/>
  <c r="Y149" i="11"/>
  <c r="X149" i="11"/>
  <c r="W149" i="11" s="1"/>
  <c r="U149" i="11"/>
  <c r="R149" i="11"/>
  <c r="P149" i="11" s="1"/>
  <c r="Q149" i="11"/>
  <c r="N149" i="11"/>
  <c r="B149" i="11"/>
  <c r="E149" i="11" s="1"/>
  <c r="A149" i="11"/>
  <c r="CB148" i="11"/>
  <c r="CA148" i="11"/>
  <c r="BW148" i="11"/>
  <c r="BS148" i="11"/>
  <c r="BP148" i="11"/>
  <c r="BL148" i="11"/>
  <c r="BH148" i="11"/>
  <c r="BA148" i="11"/>
  <c r="AY148" i="11" s="1"/>
  <c r="AZ148" i="11"/>
  <c r="AX148" i="11"/>
  <c r="AW148" i="11"/>
  <c r="AV148" i="11"/>
  <c r="AU148" i="11"/>
  <c r="AT148" i="11"/>
  <c r="AS148" i="11"/>
  <c r="AQ148" i="11" s="1"/>
  <c r="AR148" i="11"/>
  <c r="AP148" i="11"/>
  <c r="AN148" i="11"/>
  <c r="AO148" i="11" s="1"/>
  <c r="AM148" i="11"/>
  <c r="AJ148" i="11"/>
  <c r="AI148" i="11"/>
  <c r="AF148" i="11"/>
  <c r="AE148" i="11"/>
  <c r="AD148" i="11"/>
  <c r="AB148" i="11"/>
  <c r="Y148" i="11"/>
  <c r="X148" i="11"/>
  <c r="AL148" i="11" s="1"/>
  <c r="U148" i="11"/>
  <c r="R148" i="11"/>
  <c r="Q148" i="11"/>
  <c r="P148" i="11"/>
  <c r="N148" i="11"/>
  <c r="E148" i="11"/>
  <c r="D148" i="11"/>
  <c r="C148" i="11"/>
  <c r="B148" i="11"/>
  <c r="A148" i="11"/>
  <c r="CB147" i="11"/>
  <c r="CA147" i="11"/>
  <c r="BW147" i="11"/>
  <c r="BS147" i="11"/>
  <c r="BP147" i="11"/>
  <c r="BL147" i="11"/>
  <c r="BH147" i="11"/>
  <c r="BA147" i="11"/>
  <c r="AZ147" i="11"/>
  <c r="AY147" i="11"/>
  <c r="AX147" i="11"/>
  <c r="AW147" i="11"/>
  <c r="AV147" i="11"/>
  <c r="AT147" i="11"/>
  <c r="AS147" i="11"/>
  <c r="AR147" i="11"/>
  <c r="AQ147" i="11"/>
  <c r="AP147" i="11"/>
  <c r="AJ147" i="11"/>
  <c r="AI147" i="11"/>
  <c r="AF147" i="11"/>
  <c r="AM147" i="11" s="1"/>
  <c r="AN147" i="11" s="1"/>
  <c r="AO147" i="11" s="1"/>
  <c r="AE147" i="11"/>
  <c r="AL147" i="11" s="1"/>
  <c r="AB147" i="11"/>
  <c r="Y147" i="11"/>
  <c r="W147" i="11" s="1"/>
  <c r="X147" i="11"/>
  <c r="U147" i="11"/>
  <c r="R147" i="11"/>
  <c r="Q147" i="11"/>
  <c r="P147" i="11"/>
  <c r="N147" i="11"/>
  <c r="B147" i="11"/>
  <c r="A147" i="11"/>
  <c r="CB146" i="11"/>
  <c r="CA146" i="11"/>
  <c r="BW146" i="11"/>
  <c r="BS146" i="11"/>
  <c r="BP146" i="11"/>
  <c r="BL146" i="11"/>
  <c r="BH146" i="11"/>
  <c r="BA146" i="11"/>
  <c r="AY146" i="11" s="1"/>
  <c r="AZ146" i="11"/>
  <c r="AX146" i="11"/>
  <c r="AW146" i="11"/>
  <c r="AU146" i="11" s="1"/>
  <c r="AV146" i="11"/>
  <c r="AT146" i="11"/>
  <c r="AS146" i="11"/>
  <c r="AQ146" i="11" s="1"/>
  <c r="AR146" i="11"/>
  <c r="AP146" i="11"/>
  <c r="AJ146" i="11"/>
  <c r="AI146" i="11"/>
  <c r="AF146" i="11"/>
  <c r="AD146" i="11" s="1"/>
  <c r="AK146" i="11" s="1"/>
  <c r="AE146" i="11"/>
  <c r="AB146" i="11"/>
  <c r="Y146" i="11"/>
  <c r="X146" i="11"/>
  <c r="AL146" i="11" s="1"/>
  <c r="W146" i="11"/>
  <c r="U146" i="11"/>
  <c r="R146" i="11"/>
  <c r="P146" i="11" s="1"/>
  <c r="Q146" i="11"/>
  <c r="N146" i="11"/>
  <c r="B146" i="11"/>
  <c r="E146" i="11" s="1"/>
  <c r="A146" i="11"/>
  <c r="CB145" i="11"/>
  <c r="CA145" i="11"/>
  <c r="BW145" i="11"/>
  <c r="BS145" i="11"/>
  <c r="BP145" i="11"/>
  <c r="BL145" i="11"/>
  <c r="BH145" i="11"/>
  <c r="BA145" i="11"/>
  <c r="AY145" i="11" s="1"/>
  <c r="AZ145" i="11"/>
  <c r="AX145" i="11"/>
  <c r="AW145" i="11"/>
  <c r="AU145" i="11" s="1"/>
  <c r="AV145" i="11"/>
  <c r="AT145" i="11"/>
  <c r="AS145" i="11"/>
  <c r="AQ145" i="11" s="1"/>
  <c r="AR145" i="11"/>
  <c r="AP145" i="11"/>
  <c r="AJ145" i="11"/>
  <c r="AI145" i="11"/>
  <c r="AF145" i="11"/>
  <c r="AE145" i="11"/>
  <c r="AL145" i="11" s="1"/>
  <c r="AD145" i="11"/>
  <c r="AB145" i="11"/>
  <c r="Y145" i="11"/>
  <c r="W145" i="11" s="1"/>
  <c r="X145" i="11"/>
  <c r="U145" i="11"/>
  <c r="R145" i="11"/>
  <c r="Q145" i="11"/>
  <c r="P145" i="11" s="1"/>
  <c r="N145" i="11"/>
  <c r="E145" i="11"/>
  <c r="D145" i="11"/>
  <c r="C145" i="11"/>
  <c r="B145" i="11"/>
  <c r="A145" i="11"/>
  <c r="CB144" i="11"/>
  <c r="CA144" i="11"/>
  <c r="BW144" i="11"/>
  <c r="BS144" i="11"/>
  <c r="BP144" i="11"/>
  <c r="BL144" i="11"/>
  <c r="BH144" i="11"/>
  <c r="BA144" i="11"/>
  <c r="AZ144" i="11"/>
  <c r="AY144" i="11" s="1"/>
  <c r="AX144" i="11"/>
  <c r="AW144" i="11"/>
  <c r="AU144" i="11" s="1"/>
  <c r="AV144" i="11"/>
  <c r="AT144" i="11"/>
  <c r="AS144" i="11"/>
  <c r="AR144" i="11"/>
  <c r="AQ144" i="11"/>
  <c r="AP144" i="11"/>
  <c r="AJ144" i="11"/>
  <c r="AI144" i="11"/>
  <c r="AF144" i="11"/>
  <c r="AE144" i="11"/>
  <c r="AB144" i="11"/>
  <c r="Y144" i="11"/>
  <c r="X144" i="11"/>
  <c r="W144" i="11"/>
  <c r="U144" i="11"/>
  <c r="R144" i="11"/>
  <c r="Q144" i="11"/>
  <c r="N144" i="11"/>
  <c r="B144" i="11"/>
  <c r="A144" i="11"/>
  <c r="CB143" i="11"/>
  <c r="CA143" i="11"/>
  <c r="BW143" i="11"/>
  <c r="BS143" i="11"/>
  <c r="BP143" i="11"/>
  <c r="BL143" i="11"/>
  <c r="BH143" i="11"/>
  <c r="BA143" i="11"/>
  <c r="AZ143" i="11"/>
  <c r="AX143" i="11"/>
  <c r="AW143" i="11"/>
  <c r="AV143" i="11"/>
  <c r="AU143" i="11"/>
  <c r="AT143" i="11"/>
  <c r="AS143" i="11"/>
  <c r="AQ143" i="11" s="1"/>
  <c r="AR143" i="11"/>
  <c r="AP143" i="11"/>
  <c r="AJ143" i="11"/>
  <c r="AI143" i="11"/>
  <c r="AF143" i="11"/>
  <c r="AD143" i="11" s="1"/>
  <c r="AE143" i="11"/>
  <c r="AB143" i="11"/>
  <c r="Y143" i="11"/>
  <c r="W143" i="11" s="1"/>
  <c r="X143" i="11"/>
  <c r="AL143" i="11" s="1"/>
  <c r="U143" i="11"/>
  <c r="R143" i="11"/>
  <c r="P143" i="11" s="1"/>
  <c r="Q143" i="11"/>
  <c r="N143" i="11"/>
  <c r="E143" i="11"/>
  <c r="D143" i="11"/>
  <c r="C143" i="11"/>
  <c r="B143" i="11"/>
  <c r="A143" i="11"/>
  <c r="CB142" i="11"/>
  <c r="CA142" i="11"/>
  <c r="BW142" i="11"/>
  <c r="BS142" i="11"/>
  <c r="BP142" i="11"/>
  <c r="BL142" i="11"/>
  <c r="BH142" i="11"/>
  <c r="BA142" i="11"/>
  <c r="AY142" i="11" s="1"/>
  <c r="AZ142" i="11"/>
  <c r="AX142" i="11"/>
  <c r="AW142" i="11"/>
  <c r="AU142" i="11" s="1"/>
  <c r="AV142" i="11"/>
  <c r="AT142" i="11"/>
  <c r="AS142" i="11"/>
  <c r="AQ142" i="11" s="1"/>
  <c r="AR142" i="11"/>
  <c r="AP142" i="11"/>
  <c r="AM142" i="11"/>
  <c r="AN142" i="11" s="1"/>
  <c r="AO142" i="11" s="1"/>
  <c r="AJ142" i="11"/>
  <c r="AI142" i="11"/>
  <c r="AF142" i="11"/>
  <c r="AE142" i="11"/>
  <c r="AD142" i="11"/>
  <c r="AB142" i="11"/>
  <c r="Y142" i="11"/>
  <c r="W142" i="11" s="1"/>
  <c r="X142" i="11"/>
  <c r="U142" i="11"/>
  <c r="R142" i="11"/>
  <c r="P142" i="11" s="1"/>
  <c r="Q142" i="11"/>
  <c r="N142" i="11"/>
  <c r="E142" i="11"/>
  <c r="D142" i="11"/>
  <c r="C142" i="11"/>
  <c r="B142" i="11"/>
  <c r="A142" i="11"/>
  <c r="CB141" i="11"/>
  <c r="CA141" i="11"/>
  <c r="BW141" i="11"/>
  <c r="BS141" i="11"/>
  <c r="BP141" i="11"/>
  <c r="BL141" i="11"/>
  <c r="BH141" i="11"/>
  <c r="BA141" i="11"/>
  <c r="AY141" i="11" s="1"/>
  <c r="AZ141" i="11"/>
  <c r="AX141" i="11"/>
  <c r="AW141" i="11"/>
  <c r="AU141" i="11" s="1"/>
  <c r="AV141" i="11"/>
  <c r="AT141" i="11"/>
  <c r="AS141" i="11"/>
  <c r="AQ141" i="11" s="1"/>
  <c r="AR141" i="11"/>
  <c r="AP141" i="11"/>
  <c r="AJ141" i="11"/>
  <c r="AI141" i="11"/>
  <c r="AF141" i="11"/>
  <c r="AE141" i="11"/>
  <c r="AL141" i="11" s="1"/>
  <c r="AB141" i="11"/>
  <c r="Y141" i="11"/>
  <c r="X141" i="11"/>
  <c r="W141" i="11"/>
  <c r="U141" i="11"/>
  <c r="R141" i="11"/>
  <c r="P141" i="11" s="1"/>
  <c r="Q141" i="11"/>
  <c r="N141" i="11"/>
  <c r="D141" i="11"/>
  <c r="C141" i="11"/>
  <c r="B141" i="11"/>
  <c r="E141" i="11" s="1"/>
  <c r="A141" i="11"/>
  <c r="CB140" i="11"/>
  <c r="CA140" i="11"/>
  <c r="BW140" i="11"/>
  <c r="BS140" i="11"/>
  <c r="BP140" i="11"/>
  <c r="BL140" i="11"/>
  <c r="BH140" i="11"/>
  <c r="BA140" i="11"/>
  <c r="AY140" i="11" s="1"/>
  <c r="AZ140" i="11"/>
  <c r="AX140" i="11"/>
  <c r="AW140" i="11"/>
  <c r="AV140" i="11"/>
  <c r="AU140" i="11" s="1"/>
  <c r="AT140" i="11"/>
  <c r="AS140" i="11"/>
  <c r="AQ140" i="11" s="1"/>
  <c r="AR140" i="11"/>
  <c r="AP140" i="11"/>
  <c r="AJ140" i="11"/>
  <c r="AF140" i="11"/>
  <c r="AE140" i="11"/>
  <c r="AD140" i="11"/>
  <c r="AK140" i="11" s="1"/>
  <c r="AB140" i="11"/>
  <c r="Y140" i="11"/>
  <c r="W140" i="11" s="1"/>
  <c r="X140" i="11"/>
  <c r="AL140" i="11" s="1"/>
  <c r="U140" i="11"/>
  <c r="R140" i="11"/>
  <c r="Q140" i="11"/>
  <c r="P140" i="11"/>
  <c r="O140" i="11"/>
  <c r="AI140" i="11" s="1"/>
  <c r="N140" i="11"/>
  <c r="E140" i="11"/>
  <c r="D140" i="11"/>
  <c r="C140" i="11"/>
  <c r="A140" i="11"/>
  <c r="CB139" i="11"/>
  <c r="CA139" i="11"/>
  <c r="BW139" i="11"/>
  <c r="BS139" i="11"/>
  <c r="BP139" i="11"/>
  <c r="BL139" i="11"/>
  <c r="BH139" i="11"/>
  <c r="BA139" i="11"/>
  <c r="AZ139" i="11"/>
  <c r="AY139" i="11"/>
  <c r="AX139" i="11"/>
  <c r="AW139" i="11"/>
  <c r="AV139" i="11"/>
  <c r="AT139" i="11"/>
  <c r="AS139" i="11"/>
  <c r="AR139" i="11"/>
  <c r="AQ139" i="11"/>
  <c r="AP139" i="11"/>
  <c r="AJ139" i="11"/>
  <c r="AI139" i="11"/>
  <c r="AF139" i="11"/>
  <c r="AD139" i="11" s="1"/>
  <c r="AE139" i="11"/>
  <c r="AL139" i="11" s="1"/>
  <c r="AB139" i="11"/>
  <c r="Y139" i="11"/>
  <c r="W139" i="11" s="1"/>
  <c r="X139" i="11"/>
  <c r="U139" i="11"/>
  <c r="R139" i="11"/>
  <c r="P139" i="11" s="1"/>
  <c r="Q139" i="11"/>
  <c r="O139" i="11"/>
  <c r="N139" i="11"/>
  <c r="E139" i="11"/>
  <c r="D139" i="11"/>
  <c r="C139" i="11"/>
  <c r="A139" i="11"/>
  <c r="CB138" i="11"/>
  <c r="CA138" i="11"/>
  <c r="BW138" i="11"/>
  <c r="BS138" i="11"/>
  <c r="BP138" i="11"/>
  <c r="BL138" i="11"/>
  <c r="BK138" i="11"/>
  <c r="BI138" i="11" s="1"/>
  <c r="BJ138" i="11"/>
  <c r="BH138" i="11"/>
  <c r="BA138" i="11"/>
  <c r="AZ138" i="11"/>
  <c r="BC138" i="11" s="1"/>
  <c r="BF138" i="11" s="1"/>
  <c r="AX138" i="11"/>
  <c r="AW138" i="11"/>
  <c r="AV138" i="11"/>
  <c r="AU138" i="11"/>
  <c r="AT138" i="11"/>
  <c r="AS138" i="11"/>
  <c r="AR138" i="11"/>
  <c r="AP138" i="11"/>
  <c r="AJ138" i="11"/>
  <c r="AI138" i="11"/>
  <c r="AF138" i="11"/>
  <c r="AD138" i="11" s="1"/>
  <c r="AE138" i="11"/>
  <c r="AB138" i="11"/>
  <c r="Y138" i="11"/>
  <c r="W138" i="11" s="1"/>
  <c r="X138" i="11"/>
  <c r="AL138" i="11" s="1"/>
  <c r="U138" i="11"/>
  <c r="R138" i="11"/>
  <c r="P138" i="11" s="1"/>
  <c r="Q138" i="11"/>
  <c r="E138" i="11"/>
  <c r="D138" i="11"/>
  <c r="C138" i="11"/>
  <c r="B138" i="11"/>
  <c r="A138" i="11"/>
  <c r="CB137" i="11"/>
  <c r="CA137" i="11"/>
  <c r="BW137" i="11"/>
  <c r="BS137" i="11"/>
  <c r="BP137" i="11"/>
  <c r="BL137" i="11"/>
  <c r="BK137" i="11"/>
  <c r="BI137" i="11" s="1"/>
  <c r="BJ137" i="11"/>
  <c r="BH137" i="11"/>
  <c r="BD137" i="11"/>
  <c r="BC137" i="11"/>
  <c r="BF137" i="11" s="1"/>
  <c r="BA137" i="11"/>
  <c r="AY137" i="11" s="1"/>
  <c r="BB137" i="11" s="1"/>
  <c r="BE137" i="11" s="1"/>
  <c r="AZ137" i="11"/>
  <c r="AX137" i="11"/>
  <c r="AW137" i="11"/>
  <c r="AV137" i="11"/>
  <c r="AU137" i="11"/>
  <c r="AT137" i="11"/>
  <c r="AS137" i="11"/>
  <c r="AQ137" i="11" s="1"/>
  <c r="AR137" i="11"/>
  <c r="AP137" i="11"/>
  <c r="AJ137" i="11"/>
  <c r="AI137" i="11"/>
  <c r="AF137" i="11"/>
  <c r="AM137" i="11" s="1"/>
  <c r="AN137" i="11" s="1"/>
  <c r="AO137" i="11" s="1"/>
  <c r="AE137" i="11"/>
  <c r="AL137" i="11" s="1"/>
  <c r="AB137" i="11"/>
  <c r="Y137" i="11"/>
  <c r="W137" i="11" s="1"/>
  <c r="X137" i="11"/>
  <c r="U137" i="11"/>
  <c r="R137" i="11"/>
  <c r="Q137" i="11"/>
  <c r="P137" i="11"/>
  <c r="E137" i="11"/>
  <c r="D137" i="11"/>
  <c r="C137" i="11"/>
  <c r="B137" i="11"/>
  <c r="A137" i="11"/>
  <c r="CB136" i="11"/>
  <c r="CA136" i="11"/>
  <c r="BW136" i="11"/>
  <c r="BS136" i="11"/>
  <c r="BP136" i="11"/>
  <c r="BL136" i="11"/>
  <c r="BK136" i="11"/>
  <c r="BJ136" i="11"/>
  <c r="BI136" i="11"/>
  <c r="BH136" i="11"/>
  <c r="BF136" i="11"/>
  <c r="BA136" i="11"/>
  <c r="AY136" i="11" s="1"/>
  <c r="BB136" i="11" s="1"/>
  <c r="BE136" i="11" s="1"/>
  <c r="AZ136" i="11"/>
  <c r="BC136" i="11" s="1"/>
  <c r="AX136" i="11"/>
  <c r="AW136" i="11"/>
  <c r="AU136" i="11" s="1"/>
  <c r="AV136" i="11"/>
  <c r="AT136" i="11"/>
  <c r="AS136" i="11"/>
  <c r="AQ136" i="11" s="1"/>
  <c r="AR136" i="11"/>
  <c r="AP136" i="11"/>
  <c r="AJ136" i="11"/>
  <c r="AI136" i="11"/>
  <c r="AF136" i="11"/>
  <c r="AE136" i="11"/>
  <c r="AL136" i="11" s="1"/>
  <c r="AB136" i="11"/>
  <c r="Y136" i="11"/>
  <c r="X136" i="11"/>
  <c r="W136" i="11"/>
  <c r="U136" i="11"/>
  <c r="R136" i="11"/>
  <c r="P136" i="11" s="1"/>
  <c r="Q136" i="11"/>
  <c r="C136" i="11"/>
  <c r="B136" i="11"/>
  <c r="A136" i="11"/>
  <c r="CB135" i="11"/>
  <c r="CA135" i="11"/>
  <c r="BZ135" i="11"/>
  <c r="BX135" i="11" s="1"/>
  <c r="BY135" i="11"/>
  <c r="BW135" i="11"/>
  <c r="BT135" i="11"/>
  <c r="BS135" i="11"/>
  <c r="BQ135" i="11" s="1"/>
  <c r="BR135" i="11"/>
  <c r="BP135" i="11"/>
  <c r="BO135" i="11"/>
  <c r="BV135" i="11" s="1"/>
  <c r="BN135" i="11"/>
  <c r="BU135" i="11" s="1"/>
  <c r="BL135" i="11"/>
  <c r="BK135" i="11"/>
  <c r="BI135" i="11" s="1"/>
  <c r="BJ135" i="11"/>
  <c r="BH135" i="11"/>
  <c r="BE135" i="11"/>
  <c r="BA135" i="11"/>
  <c r="AZ135" i="11"/>
  <c r="AY135" i="11"/>
  <c r="BB135" i="11" s="1"/>
  <c r="AX135" i="11"/>
  <c r="AW135" i="11"/>
  <c r="AU135" i="11" s="1"/>
  <c r="AV135" i="11"/>
  <c r="BC135" i="11" s="1"/>
  <c r="BF135" i="11" s="1"/>
  <c r="AT135" i="11"/>
  <c r="AS135" i="11"/>
  <c r="AR135" i="11"/>
  <c r="AQ135" i="11"/>
  <c r="AP135" i="11"/>
  <c r="AJ135" i="11"/>
  <c r="AI135" i="11"/>
  <c r="AF135" i="11"/>
  <c r="AE135" i="11"/>
  <c r="AB135" i="11"/>
  <c r="Y135" i="11"/>
  <c r="W135" i="11" s="1"/>
  <c r="X135" i="11"/>
  <c r="U135" i="11"/>
  <c r="R135" i="11"/>
  <c r="P135" i="11" s="1"/>
  <c r="Q135" i="11"/>
  <c r="L135" i="11"/>
  <c r="K135" i="11"/>
  <c r="J135" i="11"/>
  <c r="F135" i="11"/>
  <c r="I135" i="11" s="1"/>
  <c r="E135" i="11"/>
  <c r="D135" i="11"/>
  <c r="C135" i="11"/>
  <c r="B135" i="11"/>
  <c r="A135" i="11"/>
  <c r="CB134" i="11"/>
  <c r="CA134" i="11"/>
  <c r="BZ134" i="11"/>
  <c r="BX134" i="11" s="1"/>
  <c r="BY134" i="11"/>
  <c r="BW134" i="11"/>
  <c r="BS134" i="11"/>
  <c r="BR134" i="11"/>
  <c r="BU134" i="11" s="1"/>
  <c r="BQ134" i="11"/>
  <c r="BT134" i="11" s="1"/>
  <c r="BP134" i="11"/>
  <c r="BO134" i="11"/>
  <c r="BM134" i="11" s="1"/>
  <c r="BN134" i="11"/>
  <c r="BL134" i="11"/>
  <c r="BK134" i="11"/>
  <c r="BJ134" i="11"/>
  <c r="BI134" i="11"/>
  <c r="BH134" i="11"/>
  <c r="BD134" i="11"/>
  <c r="BC134" i="11"/>
  <c r="BF134" i="11" s="1"/>
  <c r="BB134" i="11"/>
  <c r="BE134" i="11" s="1"/>
  <c r="BA134" i="11"/>
  <c r="AY134" i="11" s="1"/>
  <c r="AZ134" i="11"/>
  <c r="AX134" i="11"/>
  <c r="AW134" i="11"/>
  <c r="AV134" i="11"/>
  <c r="AU134" i="11" s="1"/>
  <c r="AT134" i="11"/>
  <c r="AS134" i="11"/>
  <c r="AQ134" i="11" s="1"/>
  <c r="AR134" i="11"/>
  <c r="AP134" i="11"/>
  <c r="AL134" i="11"/>
  <c r="AJ134" i="11"/>
  <c r="AI134" i="11"/>
  <c r="AF134" i="11"/>
  <c r="AE134" i="11"/>
  <c r="AD134" i="11"/>
  <c r="AB134" i="11"/>
  <c r="Y134" i="11"/>
  <c r="W134" i="11" s="1"/>
  <c r="AK134" i="11" s="1"/>
  <c r="X134" i="11"/>
  <c r="U134" i="11"/>
  <c r="R134" i="11"/>
  <c r="Q134" i="11"/>
  <c r="P134" i="11"/>
  <c r="J134" i="11"/>
  <c r="L134" i="11" s="1"/>
  <c r="I134" i="11"/>
  <c r="H134" i="11"/>
  <c r="G134" i="11"/>
  <c r="F134" i="11"/>
  <c r="B134" i="11"/>
  <c r="E134" i="11" s="1"/>
  <c r="A134" i="11"/>
  <c r="CB133" i="11"/>
  <c r="CA133" i="11"/>
  <c r="BZ133" i="11"/>
  <c r="BY133" i="11"/>
  <c r="BX133" i="11" s="1"/>
  <c r="BW133" i="11"/>
  <c r="BV133" i="11"/>
  <c r="BS133" i="11"/>
  <c r="BR133" i="11"/>
  <c r="BQ133" i="11"/>
  <c r="BT133" i="11" s="1"/>
  <c r="BP133" i="11"/>
  <c r="BO133" i="11"/>
  <c r="BM133" i="11" s="1"/>
  <c r="BN133" i="11"/>
  <c r="BU133" i="11" s="1"/>
  <c r="BL133" i="11"/>
  <c r="BK133" i="11"/>
  <c r="BJ133" i="11"/>
  <c r="BI133" i="11"/>
  <c r="BH133" i="11"/>
  <c r="BA133" i="11"/>
  <c r="AZ133" i="11"/>
  <c r="BC133" i="11" s="1"/>
  <c r="BF133" i="11" s="1"/>
  <c r="AY133" i="11"/>
  <c r="BB133" i="11" s="1"/>
  <c r="BE133" i="11" s="1"/>
  <c r="AX133" i="11"/>
  <c r="AW133" i="11"/>
  <c r="AU133" i="11" s="1"/>
  <c r="AV133" i="11"/>
  <c r="AT133" i="11"/>
  <c r="AS133" i="11"/>
  <c r="AR133" i="11"/>
  <c r="AQ133" i="11"/>
  <c r="AP133" i="11"/>
  <c r="AJ133" i="11"/>
  <c r="AI133" i="11"/>
  <c r="AF133" i="11"/>
  <c r="AE133" i="11"/>
  <c r="AB133" i="11"/>
  <c r="Y133" i="11"/>
  <c r="X133" i="11"/>
  <c r="W133" i="11" s="1"/>
  <c r="U133" i="11"/>
  <c r="R133" i="11"/>
  <c r="P133" i="11" s="1"/>
  <c r="Q133" i="11"/>
  <c r="J133" i="11"/>
  <c r="I133" i="11"/>
  <c r="H133" i="11"/>
  <c r="G133" i="11"/>
  <c r="F133" i="11"/>
  <c r="B133" i="11"/>
  <c r="A133" i="11"/>
  <c r="CB132" i="11"/>
  <c r="CA132" i="11"/>
  <c r="BZ132" i="11"/>
  <c r="BX132" i="11" s="1"/>
  <c r="BY132" i="11"/>
  <c r="BW132" i="11"/>
  <c r="BV132" i="11"/>
  <c r="BU132" i="11"/>
  <c r="BT132" i="11"/>
  <c r="BS132" i="11"/>
  <c r="BQ132" i="11" s="1"/>
  <c r="BR132" i="11"/>
  <c r="BP132" i="11"/>
  <c r="BO132" i="11"/>
  <c r="BN132" i="11"/>
  <c r="BM132" i="11" s="1"/>
  <c r="BL132" i="11"/>
  <c r="BK132" i="11"/>
  <c r="BI132" i="11" s="1"/>
  <c r="BJ132" i="11"/>
  <c r="BH132" i="11"/>
  <c r="BD132" i="11"/>
  <c r="BC132" i="11"/>
  <c r="BF132" i="11" s="1"/>
  <c r="BA132" i="11"/>
  <c r="AY132" i="11" s="1"/>
  <c r="BB132" i="11" s="1"/>
  <c r="BE132" i="11" s="1"/>
  <c r="AZ132" i="11"/>
  <c r="AX132" i="11"/>
  <c r="AW132" i="11"/>
  <c r="AV132" i="11"/>
  <c r="AU132" i="11"/>
  <c r="AT132" i="11"/>
  <c r="AS132" i="11"/>
  <c r="AQ132" i="11" s="1"/>
  <c r="AR132" i="11"/>
  <c r="AP132" i="11"/>
  <c r="AJ132" i="11"/>
  <c r="AI132" i="11"/>
  <c r="AF132" i="11"/>
  <c r="AM132" i="11" s="1"/>
  <c r="AN132" i="11" s="1"/>
  <c r="AO132" i="11" s="1"/>
  <c r="AE132" i="11"/>
  <c r="AL132" i="11" s="1"/>
  <c r="AB132" i="11"/>
  <c r="Y132" i="11"/>
  <c r="W132" i="11" s="1"/>
  <c r="X132" i="11"/>
  <c r="U132" i="11"/>
  <c r="R132" i="11"/>
  <c r="Q132" i="11"/>
  <c r="P132" i="11"/>
  <c r="L132" i="11"/>
  <c r="K132" i="11"/>
  <c r="J132" i="11"/>
  <c r="F132" i="11"/>
  <c r="E132" i="11"/>
  <c r="D132" i="11"/>
  <c r="C132" i="11"/>
  <c r="B132" i="11"/>
  <c r="A132" i="11"/>
  <c r="BS131" i="11"/>
  <c r="BK131" i="11"/>
  <c r="BJ131" i="11"/>
  <c r="BI131" i="11"/>
  <c r="BA131" i="11"/>
  <c r="BD131" i="11" s="1"/>
  <c r="AZ131" i="11"/>
  <c r="AW131" i="11"/>
  <c r="AU131" i="11" s="1"/>
  <c r="AV131" i="11"/>
  <c r="AS131" i="11"/>
  <c r="AR131" i="11"/>
  <c r="AQ131" i="11"/>
  <c r="AP131" i="11"/>
  <c r="AJ131" i="11"/>
  <c r="AI131" i="11"/>
  <c r="AF131" i="11"/>
  <c r="AE131" i="11"/>
  <c r="AL131" i="11" s="1"/>
  <c r="AB131" i="11"/>
  <c r="Y131" i="11"/>
  <c r="X131" i="11"/>
  <c r="W131" i="11"/>
  <c r="U131" i="11"/>
  <c r="R131" i="11"/>
  <c r="Q131" i="11"/>
  <c r="B131" i="11"/>
  <c r="A131" i="11"/>
  <c r="CB130" i="11"/>
  <c r="CA130" i="11"/>
  <c r="BW130" i="11"/>
  <c r="BS130" i="11"/>
  <c r="BP130" i="11"/>
  <c r="BL130" i="11"/>
  <c r="BK130" i="11"/>
  <c r="BJ130" i="11"/>
  <c r="BI130" i="11"/>
  <c r="BH130" i="11"/>
  <c r="BA130" i="11"/>
  <c r="AZ130" i="11"/>
  <c r="BC130" i="11" s="1"/>
  <c r="BF130" i="11" s="1"/>
  <c r="AX130" i="11"/>
  <c r="AW130" i="11"/>
  <c r="AV130" i="11"/>
  <c r="AU130" i="11"/>
  <c r="AT130" i="11"/>
  <c r="AS130" i="11"/>
  <c r="AQ130" i="11" s="1"/>
  <c r="AR130" i="11"/>
  <c r="AP130" i="11"/>
  <c r="AJ130" i="11"/>
  <c r="AI130" i="11"/>
  <c r="AF130" i="11"/>
  <c r="AD130" i="11" s="1"/>
  <c r="AE130" i="11"/>
  <c r="AB130" i="11"/>
  <c r="Y130" i="11"/>
  <c r="AM130" i="11" s="1"/>
  <c r="AN130" i="11" s="1"/>
  <c r="AO130" i="11" s="1"/>
  <c r="X130" i="11"/>
  <c r="AL130" i="11" s="1"/>
  <c r="W130" i="11"/>
  <c r="AK130" i="11" s="1"/>
  <c r="U130" i="11"/>
  <c r="R130" i="11"/>
  <c r="P130" i="11" s="1"/>
  <c r="Q130" i="11"/>
  <c r="D130" i="11"/>
  <c r="C130" i="11"/>
  <c r="B130" i="11"/>
  <c r="E130" i="11" s="1"/>
  <c r="A130" i="11"/>
  <c r="CB129" i="11"/>
  <c r="CA129" i="11"/>
  <c r="BW129" i="11"/>
  <c r="BS129" i="11"/>
  <c r="BP129" i="11"/>
  <c r="BL129" i="11"/>
  <c r="BK129" i="11"/>
  <c r="BI129" i="11" s="1"/>
  <c r="BJ129" i="11"/>
  <c r="BH129" i="11"/>
  <c r="BC129" i="11"/>
  <c r="BF129" i="11" s="1"/>
  <c r="BA129" i="11"/>
  <c r="AY129" i="11" s="1"/>
  <c r="BB129" i="11" s="1"/>
  <c r="BE129" i="11" s="1"/>
  <c r="AZ129" i="11"/>
  <c r="AX129" i="11"/>
  <c r="AW129" i="11"/>
  <c r="AU129" i="11" s="1"/>
  <c r="AV129" i="11"/>
  <c r="AT129" i="11"/>
  <c r="AS129" i="11"/>
  <c r="AQ129" i="11" s="1"/>
  <c r="AR129" i="11"/>
  <c r="AP129" i="11"/>
  <c r="AJ129" i="11"/>
  <c r="AI129" i="11"/>
  <c r="AF129" i="11"/>
  <c r="AM129" i="11" s="1"/>
  <c r="AN129" i="11" s="1"/>
  <c r="AO129" i="11" s="1"/>
  <c r="AE129" i="11"/>
  <c r="AL129" i="11" s="1"/>
  <c r="AB129" i="11"/>
  <c r="Y129" i="11"/>
  <c r="W129" i="11" s="1"/>
  <c r="X129" i="11"/>
  <c r="U129" i="11"/>
  <c r="R129" i="11"/>
  <c r="Q129" i="11"/>
  <c r="P129" i="11"/>
  <c r="E129" i="11"/>
  <c r="D129" i="11"/>
  <c r="C129" i="11"/>
  <c r="B129" i="11"/>
  <c r="A129" i="11"/>
  <c r="CB128" i="11"/>
  <c r="CA128" i="11"/>
  <c r="BW128" i="11"/>
  <c r="BS128" i="11"/>
  <c r="BP128" i="11"/>
  <c r="BL128" i="11"/>
  <c r="BK128" i="11"/>
  <c r="BJ128" i="11"/>
  <c r="BI128" i="11"/>
  <c r="BH128" i="11"/>
  <c r="BA128" i="11"/>
  <c r="BD128" i="11" s="1"/>
  <c r="AZ128" i="11"/>
  <c r="AX128" i="11"/>
  <c r="AW128" i="11"/>
  <c r="AU128" i="11" s="1"/>
  <c r="AV128" i="11"/>
  <c r="AT128" i="11"/>
  <c r="AS128" i="11"/>
  <c r="AQ128" i="11" s="1"/>
  <c r="AR128" i="11"/>
  <c r="AP128" i="11"/>
  <c r="AJ128" i="11"/>
  <c r="AI128" i="11"/>
  <c r="AF128" i="11"/>
  <c r="AE128" i="11"/>
  <c r="AL128" i="11" s="1"/>
  <c r="AB128" i="11"/>
  <c r="Y128" i="11"/>
  <c r="X128" i="11"/>
  <c r="W128" i="11" s="1"/>
  <c r="U128" i="11"/>
  <c r="R128" i="11"/>
  <c r="P128" i="11" s="1"/>
  <c r="Q128" i="11"/>
  <c r="B128" i="11"/>
  <c r="A128" i="11"/>
  <c r="CB127" i="11"/>
  <c r="CA127" i="11"/>
  <c r="BW127" i="11"/>
  <c r="BS127" i="11"/>
  <c r="BP127" i="11"/>
  <c r="BL127" i="11"/>
  <c r="BK127" i="11"/>
  <c r="BI127" i="11" s="1"/>
  <c r="BJ127" i="11"/>
  <c r="BH127" i="11"/>
  <c r="BC127" i="11"/>
  <c r="BF127" i="11" s="1"/>
  <c r="BB127" i="11"/>
  <c r="BE127" i="11" s="1"/>
  <c r="BA127" i="11"/>
  <c r="AY127" i="11" s="1"/>
  <c r="AZ127" i="11"/>
  <c r="AX127" i="11"/>
  <c r="AW127" i="11"/>
  <c r="AV127" i="11"/>
  <c r="AU127" i="11" s="1"/>
  <c r="AT127" i="11"/>
  <c r="AS127" i="11"/>
  <c r="AQ127" i="11" s="1"/>
  <c r="AR127" i="11"/>
  <c r="AP127" i="11"/>
  <c r="AN127" i="11"/>
  <c r="AO127" i="11" s="1"/>
  <c r="AM127" i="11"/>
  <c r="AL127" i="11"/>
  <c r="AJ127" i="11"/>
  <c r="AI127" i="11"/>
  <c r="AF127" i="11"/>
  <c r="AE127" i="11"/>
  <c r="AD127" i="11"/>
  <c r="AK127" i="11" s="1"/>
  <c r="AB127" i="11"/>
  <c r="Y127" i="11"/>
  <c r="W127" i="11" s="1"/>
  <c r="X127" i="11"/>
  <c r="U127" i="11"/>
  <c r="R127" i="11"/>
  <c r="Q127" i="11"/>
  <c r="P127" i="11"/>
  <c r="E127" i="11"/>
  <c r="D127" i="11"/>
  <c r="C127" i="11"/>
  <c r="B127" i="11"/>
  <c r="A127" i="11"/>
  <c r="CB126" i="11"/>
  <c r="CA126" i="11"/>
  <c r="BW126" i="11"/>
  <c r="BS126" i="11"/>
  <c r="BP126" i="11"/>
  <c r="BL126" i="11"/>
  <c r="BK126" i="11"/>
  <c r="BI126" i="11" s="1"/>
  <c r="BJ126" i="11"/>
  <c r="BH126" i="11"/>
  <c r="BA126" i="11"/>
  <c r="AZ126" i="11"/>
  <c r="AY126" i="11"/>
  <c r="BB126" i="11" s="1"/>
  <c r="BE126" i="11" s="1"/>
  <c r="AX126" i="11"/>
  <c r="AW126" i="11"/>
  <c r="AV126" i="11"/>
  <c r="BC126" i="11" s="1"/>
  <c r="BF126" i="11" s="1"/>
  <c r="AT126" i="11"/>
  <c r="AS126" i="11"/>
  <c r="AR126" i="11"/>
  <c r="AQ126" i="11"/>
  <c r="AP126" i="11"/>
  <c r="AJ126" i="11"/>
  <c r="AI126" i="11"/>
  <c r="AF126" i="11"/>
  <c r="AD126" i="11" s="1"/>
  <c r="AK126" i="11" s="1"/>
  <c r="AE126" i="11"/>
  <c r="AB126" i="11"/>
  <c r="Y126" i="11"/>
  <c r="W126" i="11" s="1"/>
  <c r="X126" i="11"/>
  <c r="U126" i="11"/>
  <c r="R126" i="11"/>
  <c r="P126" i="11" s="1"/>
  <c r="Q126" i="11"/>
  <c r="E126" i="11"/>
  <c r="D126" i="11"/>
  <c r="C126" i="11"/>
  <c r="B126" i="11"/>
  <c r="A126" i="11"/>
  <c r="CB125" i="11"/>
  <c r="CA125" i="11"/>
  <c r="BW125" i="11"/>
  <c r="BS125" i="11"/>
  <c r="BP125" i="11"/>
  <c r="BL125" i="11"/>
  <c r="BK125" i="11"/>
  <c r="BJ125" i="11"/>
  <c r="BI125" i="11" s="1"/>
  <c r="BH125" i="11"/>
  <c r="BA125" i="11"/>
  <c r="BD125" i="11" s="1"/>
  <c r="AZ125" i="11"/>
  <c r="BC125" i="11" s="1"/>
  <c r="BF125" i="11" s="1"/>
  <c r="AX125" i="11"/>
  <c r="AW125" i="11"/>
  <c r="AU125" i="11" s="1"/>
  <c r="AV125" i="11"/>
  <c r="AT125" i="11"/>
  <c r="AS125" i="11"/>
  <c r="AR125" i="11"/>
  <c r="AQ125" i="11"/>
  <c r="AP125" i="11"/>
  <c r="AJ125" i="11"/>
  <c r="AI125" i="11"/>
  <c r="AF125" i="11"/>
  <c r="AD125" i="11" s="1"/>
  <c r="AE125" i="11"/>
  <c r="AB125" i="11"/>
  <c r="Y125" i="11"/>
  <c r="W125" i="11" s="1"/>
  <c r="AK125" i="11" s="1"/>
  <c r="X125" i="11"/>
  <c r="AL125" i="11" s="1"/>
  <c r="U125" i="11"/>
  <c r="R125" i="11"/>
  <c r="P125" i="11" s="1"/>
  <c r="Q125" i="11"/>
  <c r="D125" i="11"/>
  <c r="C125" i="11"/>
  <c r="B125" i="11"/>
  <c r="E125" i="11" s="1"/>
  <c r="A125" i="11"/>
  <c r="CB124" i="11"/>
  <c r="CA124" i="11"/>
  <c r="BW124" i="11"/>
  <c r="BS124" i="11"/>
  <c r="BP124" i="11"/>
  <c r="BL124" i="11"/>
  <c r="BH124" i="11"/>
  <c r="BA124" i="11"/>
  <c r="AY124" i="11" s="1"/>
  <c r="AZ124" i="11"/>
  <c r="AX124" i="11"/>
  <c r="AW124" i="11"/>
  <c r="AV124" i="11"/>
  <c r="AU124" i="11"/>
  <c r="AT124" i="11"/>
  <c r="AS124" i="11"/>
  <c r="AQ124" i="11" s="1"/>
  <c r="AR124" i="11"/>
  <c r="AP124" i="11"/>
  <c r="AJ124" i="11"/>
  <c r="AF124" i="11"/>
  <c r="AE124" i="11"/>
  <c r="AD124" i="11"/>
  <c r="AB124" i="11"/>
  <c r="Y124" i="11"/>
  <c r="W124" i="11" s="1"/>
  <c r="X124" i="11"/>
  <c r="AL124" i="11" s="1"/>
  <c r="U124" i="11"/>
  <c r="R124" i="11"/>
  <c r="Q124" i="11"/>
  <c r="P124" i="11"/>
  <c r="AK124" i="11" s="1"/>
  <c r="N124" i="11"/>
  <c r="O124" i="11" s="1"/>
  <c r="E124" i="11"/>
  <c r="D124" i="11"/>
  <c r="C124" i="11"/>
  <c r="A124" i="11"/>
  <c r="CB123" i="11"/>
  <c r="CA123" i="11"/>
  <c r="BW123" i="11"/>
  <c r="BS123" i="11"/>
  <c r="BP123" i="11"/>
  <c r="BL123" i="11"/>
  <c r="BH123" i="11"/>
  <c r="BS122" i="11"/>
  <c r="CB121" i="11"/>
  <c r="CA121" i="11"/>
  <c r="BW121" i="11"/>
  <c r="BS121" i="11"/>
  <c r="BP121" i="11"/>
  <c r="BL121" i="11"/>
  <c r="BH121" i="11"/>
  <c r="CB120" i="11"/>
  <c r="CA120" i="11"/>
  <c r="BW120" i="11"/>
  <c r="BS120" i="11"/>
  <c r="BP120" i="11"/>
  <c r="BL120" i="11"/>
  <c r="BH120" i="11"/>
  <c r="CB119" i="11"/>
  <c r="CA119" i="11"/>
  <c r="BW119" i="11"/>
  <c r="BS119" i="11"/>
  <c r="BP119" i="11"/>
  <c r="BL119" i="11"/>
  <c r="BH119" i="11"/>
  <c r="AH118" i="11"/>
  <c r="AG118" i="11"/>
  <c r="AC118" i="11"/>
  <c r="AA118" i="11"/>
  <c r="Z118" i="11"/>
  <c r="V118" i="11"/>
  <c r="T118" i="11"/>
  <c r="S118" i="11"/>
  <c r="L118" i="11"/>
  <c r="K118" i="11"/>
  <c r="CB117" i="11"/>
  <c r="CA117" i="11"/>
  <c r="BZ117" i="11"/>
  <c r="BX117" i="11" s="1"/>
  <c r="BY117" i="11"/>
  <c r="BW117" i="11"/>
  <c r="BS117" i="11"/>
  <c r="BR117" i="11"/>
  <c r="BU117" i="11" s="1"/>
  <c r="BP117" i="11"/>
  <c r="BO117" i="11"/>
  <c r="BN117" i="11"/>
  <c r="BM117" i="11"/>
  <c r="BL117" i="11"/>
  <c r="BK117" i="11"/>
  <c r="BI117" i="11" s="1"/>
  <c r="BJ117" i="11"/>
  <c r="BH117" i="11"/>
  <c r="BA117" i="11"/>
  <c r="AY117" i="11" s="1"/>
  <c r="BB117" i="11" s="1"/>
  <c r="BE117" i="11" s="1"/>
  <c r="AZ117" i="11"/>
  <c r="AX117" i="11"/>
  <c r="AW117" i="11"/>
  <c r="BD117" i="11" s="1"/>
  <c r="AV117" i="11"/>
  <c r="BC117" i="11" s="1"/>
  <c r="BF117" i="11" s="1"/>
  <c r="AT117" i="11"/>
  <c r="AS117" i="11"/>
  <c r="AQ117" i="11" s="1"/>
  <c r="AR117" i="11"/>
  <c r="AP117" i="11"/>
  <c r="AJ117" i="11"/>
  <c r="AI117" i="11"/>
  <c r="AF117" i="11"/>
  <c r="AE117" i="11"/>
  <c r="AL117" i="11" s="1"/>
  <c r="AB117" i="11"/>
  <c r="Y117" i="11"/>
  <c r="W117" i="11" s="1"/>
  <c r="X117" i="11"/>
  <c r="U117" i="11"/>
  <c r="R117" i="11"/>
  <c r="Q117" i="11"/>
  <c r="P117" i="11"/>
  <c r="L117" i="11"/>
  <c r="K117" i="11"/>
  <c r="J117" i="11"/>
  <c r="F117" i="11"/>
  <c r="E117" i="11"/>
  <c r="D117" i="11"/>
  <c r="C117" i="11"/>
  <c r="B117" i="11"/>
  <c r="A117" i="11"/>
  <c r="CB116" i="11"/>
  <c r="CA116" i="11"/>
  <c r="BZ116" i="11"/>
  <c r="BX116" i="11" s="1"/>
  <c r="BY116" i="11"/>
  <c r="BW116" i="11"/>
  <c r="BS116" i="11"/>
  <c r="BR116" i="11"/>
  <c r="BQ116" i="11"/>
  <c r="BT116" i="11" s="1"/>
  <c r="BP116" i="11"/>
  <c r="BO116" i="11"/>
  <c r="BN116" i="11"/>
  <c r="BL116" i="11"/>
  <c r="BK116" i="11"/>
  <c r="BJ116" i="11"/>
  <c r="BI116" i="11" s="1"/>
  <c r="BH116" i="11"/>
  <c r="BA116" i="11"/>
  <c r="AZ116" i="11"/>
  <c r="AY116" i="11"/>
  <c r="BB116" i="11" s="1"/>
  <c r="BE116" i="11" s="1"/>
  <c r="AX116" i="11"/>
  <c r="AW116" i="11"/>
  <c r="AU116" i="11" s="1"/>
  <c r="AV116" i="11"/>
  <c r="AT116" i="11"/>
  <c r="AS116" i="11"/>
  <c r="AQ116" i="11" s="1"/>
  <c r="AR116" i="11"/>
  <c r="AP116" i="11"/>
  <c r="AJ116" i="11"/>
  <c r="AI116" i="11"/>
  <c r="AF116" i="11"/>
  <c r="AD116" i="11" s="1"/>
  <c r="AE116" i="11"/>
  <c r="AB116" i="11"/>
  <c r="Y116" i="11"/>
  <c r="W116" i="11" s="1"/>
  <c r="AK116" i="11" s="1"/>
  <c r="X116" i="11"/>
  <c r="AL116" i="11" s="1"/>
  <c r="U116" i="11"/>
  <c r="R116" i="11"/>
  <c r="P116" i="11" s="1"/>
  <c r="Q116" i="11"/>
  <c r="K116" i="11"/>
  <c r="J116" i="11"/>
  <c r="L116" i="11" s="1"/>
  <c r="I116" i="11"/>
  <c r="H116" i="11"/>
  <c r="G116" i="11"/>
  <c r="F116" i="11"/>
  <c r="C116" i="11"/>
  <c r="B116" i="11"/>
  <c r="A116" i="11"/>
  <c r="CB115" i="11"/>
  <c r="CA115" i="11"/>
  <c r="BZ115" i="11"/>
  <c r="BX115" i="11" s="1"/>
  <c r="BY115" i="11"/>
  <c r="BW115" i="11"/>
  <c r="BT115" i="11"/>
  <c r="BS115" i="11"/>
  <c r="BQ115" i="11" s="1"/>
  <c r="BR115" i="11"/>
  <c r="BP115" i="11"/>
  <c r="BO115" i="11"/>
  <c r="BV115" i="11" s="1"/>
  <c r="BN115" i="11"/>
  <c r="BU115" i="11" s="1"/>
  <c r="BL115" i="11"/>
  <c r="BK115" i="11"/>
  <c r="BI115" i="11" s="1"/>
  <c r="BJ115" i="11"/>
  <c r="BH115" i="11"/>
  <c r="BE115" i="11"/>
  <c r="BA115" i="11"/>
  <c r="AZ115" i="11"/>
  <c r="AY115" i="11"/>
  <c r="BB115" i="11" s="1"/>
  <c r="AX115" i="11"/>
  <c r="AW115" i="11"/>
  <c r="AU115" i="11" s="1"/>
  <c r="AV115" i="11"/>
  <c r="BC115" i="11" s="1"/>
  <c r="BF115" i="11" s="1"/>
  <c r="AT115" i="11"/>
  <c r="AS115" i="11"/>
  <c r="AR115" i="11"/>
  <c r="AQ115" i="11"/>
  <c r="AP115" i="11"/>
  <c r="AJ115" i="11"/>
  <c r="AI115" i="11"/>
  <c r="AF115" i="11"/>
  <c r="AE115" i="11"/>
  <c r="AL115" i="11" s="1"/>
  <c r="AB115" i="11"/>
  <c r="Y115" i="11"/>
  <c r="W115" i="11" s="1"/>
  <c r="X115" i="11"/>
  <c r="U115" i="11"/>
  <c r="R115" i="11"/>
  <c r="P115" i="11" s="1"/>
  <c r="Q115" i="11"/>
  <c r="L115" i="11"/>
  <c r="K115" i="11"/>
  <c r="J115" i="11"/>
  <c r="F115" i="11"/>
  <c r="I115" i="11" s="1"/>
  <c r="E115" i="11"/>
  <c r="D115" i="11"/>
  <c r="C115" i="11"/>
  <c r="B115" i="11"/>
  <c r="A115" i="11"/>
  <c r="CB114" i="11"/>
  <c r="CA114" i="11"/>
  <c r="BZ114" i="11"/>
  <c r="BX114" i="11" s="1"/>
  <c r="BY114" i="11"/>
  <c r="BW114" i="11"/>
  <c r="BS114" i="11"/>
  <c r="BR114" i="11"/>
  <c r="BU114" i="11" s="1"/>
  <c r="BQ114" i="11"/>
  <c r="BT114" i="11" s="1"/>
  <c r="BP114" i="11"/>
  <c r="BO114" i="11"/>
  <c r="BM114" i="11" s="1"/>
  <c r="BN114" i="11"/>
  <c r="BL114" i="11"/>
  <c r="BK114" i="11"/>
  <c r="BJ114" i="11"/>
  <c r="BI114" i="11"/>
  <c r="BH114" i="11"/>
  <c r="BD114" i="11"/>
  <c r="BC114" i="11"/>
  <c r="BF114" i="11" s="1"/>
  <c r="BA114" i="11"/>
  <c r="AY114" i="11" s="1"/>
  <c r="BB114" i="11" s="1"/>
  <c r="BE114" i="11" s="1"/>
  <c r="AZ114" i="11"/>
  <c r="AX114" i="11"/>
  <c r="AW114" i="11"/>
  <c r="AV114" i="11"/>
  <c r="AU114" i="11" s="1"/>
  <c r="AT114" i="11"/>
  <c r="AS114" i="11"/>
  <c r="AQ114" i="11" s="1"/>
  <c r="AR114" i="11"/>
  <c r="AP114" i="11"/>
  <c r="AL114" i="11"/>
  <c r="AJ114" i="11"/>
  <c r="AI114" i="11"/>
  <c r="AF114" i="11"/>
  <c r="AE114" i="11"/>
  <c r="AD114" i="11"/>
  <c r="AB114" i="11"/>
  <c r="Y114" i="11"/>
  <c r="W114" i="11" s="1"/>
  <c r="AK114" i="11" s="1"/>
  <c r="X114" i="11"/>
  <c r="U114" i="11"/>
  <c r="R114" i="11"/>
  <c r="Q114" i="11"/>
  <c r="P114" i="11"/>
  <c r="J114" i="11"/>
  <c r="L114" i="11" s="1"/>
  <c r="I114" i="11"/>
  <c r="H114" i="11"/>
  <c r="G114" i="11"/>
  <c r="F114" i="11"/>
  <c r="B114" i="11"/>
  <c r="E114" i="11" s="1"/>
  <c r="A114" i="11"/>
  <c r="CB113" i="11"/>
  <c r="CA113" i="11"/>
  <c r="BZ113" i="11"/>
  <c r="BY113" i="11"/>
  <c r="BX113" i="11" s="1"/>
  <c r="BW113" i="11"/>
  <c r="BV113" i="11"/>
  <c r="BS113" i="11"/>
  <c r="BR113" i="11"/>
  <c r="BQ113" i="11"/>
  <c r="BT113" i="11" s="1"/>
  <c r="BP113" i="11"/>
  <c r="BO113" i="11"/>
  <c r="BN113" i="11"/>
  <c r="BU113" i="11" s="1"/>
  <c r="BM113" i="11"/>
  <c r="BL113" i="11"/>
  <c r="BK113" i="11"/>
  <c r="BJ113" i="11"/>
  <c r="BI113" i="11"/>
  <c r="BH113" i="11"/>
  <c r="BA113" i="11"/>
  <c r="AY113" i="11" s="1"/>
  <c r="BB113" i="11" s="1"/>
  <c r="BE113" i="11" s="1"/>
  <c r="AZ113" i="11"/>
  <c r="BC113" i="11" s="1"/>
  <c r="BF113" i="11" s="1"/>
  <c r="AX113" i="11"/>
  <c r="AW113" i="11"/>
  <c r="AU113" i="11" s="1"/>
  <c r="AV113" i="11"/>
  <c r="AT113" i="11"/>
  <c r="AS113" i="11"/>
  <c r="AR113" i="11"/>
  <c r="AQ113" i="11"/>
  <c r="AP113" i="11"/>
  <c r="AJ113" i="11"/>
  <c r="AI113" i="11"/>
  <c r="AF113" i="11"/>
  <c r="AE113" i="11"/>
  <c r="AB113" i="11"/>
  <c r="Y113" i="11"/>
  <c r="X113" i="11"/>
  <c r="W113" i="11" s="1"/>
  <c r="U113" i="11"/>
  <c r="R113" i="11"/>
  <c r="Q113" i="11"/>
  <c r="J113" i="11"/>
  <c r="I113" i="11"/>
  <c r="H113" i="11"/>
  <c r="G113" i="11"/>
  <c r="F113" i="11"/>
  <c r="B113" i="11"/>
  <c r="A113" i="11"/>
  <c r="CB112" i="11"/>
  <c r="CA112" i="11"/>
  <c r="BZ112" i="11"/>
  <c r="BX112" i="11" s="1"/>
  <c r="BY112" i="11"/>
  <c r="BW112" i="11"/>
  <c r="BS112" i="11"/>
  <c r="BQ112" i="11" s="1"/>
  <c r="BT112" i="11" s="1"/>
  <c r="BR112" i="11"/>
  <c r="BU112" i="11" s="1"/>
  <c r="BP112" i="11"/>
  <c r="BO112" i="11"/>
  <c r="BN112" i="11"/>
  <c r="BM112" i="11" s="1"/>
  <c r="BL112" i="11"/>
  <c r="BK112" i="11"/>
  <c r="BJ112" i="11"/>
  <c r="BH112" i="11"/>
  <c r="BA112" i="11"/>
  <c r="AY112" i="11" s="1"/>
  <c r="BB112" i="11" s="1"/>
  <c r="BE112" i="11" s="1"/>
  <c r="AZ112" i="11"/>
  <c r="AX112" i="11"/>
  <c r="AW112" i="11"/>
  <c r="BD112" i="11" s="1"/>
  <c r="AV112" i="11"/>
  <c r="BC112" i="11" s="1"/>
  <c r="BF112" i="11" s="1"/>
  <c r="AT112" i="11"/>
  <c r="AS112" i="11"/>
  <c r="AQ112" i="11" s="1"/>
  <c r="AR112" i="11"/>
  <c r="AP112" i="11"/>
  <c r="AJ112" i="11"/>
  <c r="AI112" i="11"/>
  <c r="AF112" i="11"/>
  <c r="AD112" i="11" s="1"/>
  <c r="AK112" i="11" s="1"/>
  <c r="AE112" i="11"/>
  <c r="AL112" i="11" s="1"/>
  <c r="AB112" i="11"/>
  <c r="Y112" i="11"/>
  <c r="W112" i="11" s="1"/>
  <c r="X112" i="11"/>
  <c r="U112" i="11"/>
  <c r="R112" i="11"/>
  <c r="Q112" i="11"/>
  <c r="P112" i="11"/>
  <c r="L112" i="11"/>
  <c r="K112" i="11"/>
  <c r="J112" i="11"/>
  <c r="G112" i="11"/>
  <c r="F112" i="11"/>
  <c r="E112" i="11"/>
  <c r="D112" i="11"/>
  <c r="C112" i="11"/>
  <c r="B112" i="11"/>
  <c r="A112" i="11"/>
  <c r="CB111" i="11"/>
  <c r="CA111" i="11"/>
  <c r="BZ111" i="11"/>
  <c r="BY111" i="11"/>
  <c r="BX111" i="11"/>
  <c r="BW111" i="11"/>
  <c r="BS111" i="11"/>
  <c r="BR111" i="11"/>
  <c r="BU111" i="11" s="1"/>
  <c r="BP111" i="11"/>
  <c r="BO111" i="11"/>
  <c r="BM111" i="11" s="1"/>
  <c r="BN111" i="11"/>
  <c r="BL111" i="11"/>
  <c r="BK111" i="11"/>
  <c r="BJ111" i="11"/>
  <c r="BI111" i="11"/>
  <c r="BH111" i="11"/>
  <c r="BA111" i="11"/>
  <c r="AY111" i="11" s="1"/>
  <c r="BB111" i="11" s="1"/>
  <c r="BE111" i="11" s="1"/>
  <c r="AZ111" i="11"/>
  <c r="BC111" i="11" s="1"/>
  <c r="BF111" i="11" s="1"/>
  <c r="AX111" i="11"/>
  <c r="AW111" i="11"/>
  <c r="AV111" i="11"/>
  <c r="AU111" i="11"/>
  <c r="AT111" i="11"/>
  <c r="AS111" i="11"/>
  <c r="AQ111" i="11" s="1"/>
  <c r="AR111" i="11"/>
  <c r="AP111" i="11"/>
  <c r="AJ111" i="11"/>
  <c r="AI111" i="11"/>
  <c r="AF111" i="11"/>
  <c r="AD111" i="11" s="1"/>
  <c r="AK111" i="11" s="1"/>
  <c r="AE111" i="11"/>
  <c r="AB111" i="11"/>
  <c r="Y111" i="11"/>
  <c r="W111" i="11" s="1"/>
  <c r="X111" i="11"/>
  <c r="AL111" i="11" s="1"/>
  <c r="U111" i="11"/>
  <c r="R111" i="11"/>
  <c r="P111" i="11" s="1"/>
  <c r="Q111" i="11"/>
  <c r="L111" i="11"/>
  <c r="K111" i="11"/>
  <c r="J111" i="11"/>
  <c r="I111" i="11"/>
  <c r="H111" i="11"/>
  <c r="G111" i="11"/>
  <c r="F111" i="11"/>
  <c r="B111" i="11"/>
  <c r="A111" i="11"/>
  <c r="CB110" i="11"/>
  <c r="CA110" i="11"/>
  <c r="BZ110" i="11"/>
  <c r="BY110" i="11"/>
  <c r="BX110" i="11"/>
  <c r="BW110" i="11"/>
  <c r="BV110" i="11"/>
  <c r="BT110" i="11"/>
  <c r="BS110" i="11"/>
  <c r="BQ110" i="11" s="1"/>
  <c r="BR110" i="11"/>
  <c r="BP110" i="11"/>
  <c r="BO110" i="11"/>
  <c r="BN110" i="11"/>
  <c r="BU110" i="11" s="1"/>
  <c r="BM110" i="11"/>
  <c r="BL110" i="11"/>
  <c r="BK110" i="11"/>
  <c r="BI110" i="11" s="1"/>
  <c r="BJ110" i="11"/>
  <c r="BH110" i="11"/>
  <c r="BD110" i="11"/>
  <c r="BA110" i="11"/>
  <c r="AZ110" i="11"/>
  <c r="AY110" i="11" s="1"/>
  <c r="BB110" i="11" s="1"/>
  <c r="BE110" i="11" s="1"/>
  <c r="AX110" i="11"/>
  <c r="AW110" i="11"/>
  <c r="AV110" i="11"/>
  <c r="AT110" i="11"/>
  <c r="AS110" i="11"/>
  <c r="AR110" i="11"/>
  <c r="AQ110" i="11"/>
  <c r="AP110" i="11"/>
  <c r="AJ110" i="11"/>
  <c r="AI110" i="11"/>
  <c r="AF110" i="11"/>
  <c r="AE110" i="11"/>
  <c r="AB110" i="11"/>
  <c r="Y110" i="11"/>
  <c r="X110" i="11"/>
  <c r="W110" i="11"/>
  <c r="U110" i="11"/>
  <c r="R110" i="11"/>
  <c r="P110" i="11" s="1"/>
  <c r="Q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CB109" i="11"/>
  <c r="CA109" i="11"/>
  <c r="BZ109" i="11"/>
  <c r="BX109" i="11" s="1"/>
  <c r="BY109" i="11"/>
  <c r="BW109" i="11"/>
  <c r="BS109" i="11"/>
  <c r="BR109" i="11"/>
  <c r="BP109" i="11"/>
  <c r="BO109" i="11"/>
  <c r="BN109" i="11"/>
  <c r="BM109" i="11"/>
  <c r="BL109" i="11"/>
  <c r="BK109" i="11"/>
  <c r="BJ109" i="11"/>
  <c r="BH109" i="11"/>
  <c r="BA109" i="11"/>
  <c r="AZ109" i="11"/>
  <c r="BC109" i="11" s="1"/>
  <c r="BF109" i="11" s="1"/>
  <c r="AX109" i="11"/>
  <c r="AW109" i="11"/>
  <c r="AU109" i="11" s="1"/>
  <c r="AV109" i="11"/>
  <c r="AT109" i="11"/>
  <c r="AS109" i="11"/>
  <c r="AQ109" i="11" s="1"/>
  <c r="AR109" i="11"/>
  <c r="AP109" i="11"/>
  <c r="AM109" i="11"/>
  <c r="AJ109" i="11"/>
  <c r="AN109" i="11" s="1"/>
  <c r="AO109" i="11" s="1"/>
  <c r="AI109" i="11"/>
  <c r="AF109" i="11"/>
  <c r="AE109" i="11"/>
  <c r="AL109" i="11" s="1"/>
  <c r="AD109" i="11"/>
  <c r="AB109" i="11"/>
  <c r="Y109" i="11"/>
  <c r="X109" i="11"/>
  <c r="W109" i="11"/>
  <c r="AK109" i="11" s="1"/>
  <c r="U109" i="11"/>
  <c r="R109" i="11"/>
  <c r="Q109" i="11"/>
  <c r="P109" i="11"/>
  <c r="J109" i="11"/>
  <c r="L109" i="11" s="1"/>
  <c r="I109" i="11"/>
  <c r="F109" i="11"/>
  <c r="E109" i="11"/>
  <c r="D109" i="11"/>
  <c r="C109" i="11"/>
  <c r="B109" i="11"/>
  <c r="A109" i="11"/>
  <c r="CB108" i="11"/>
  <c r="CA108" i="11"/>
  <c r="BZ108" i="11"/>
  <c r="BY108" i="11"/>
  <c r="BW108" i="11"/>
  <c r="BS108" i="11"/>
  <c r="BR108" i="11"/>
  <c r="BU108" i="11" s="1"/>
  <c r="BP108" i="11"/>
  <c r="BO108" i="11"/>
  <c r="BV108" i="11" s="1"/>
  <c r="BN108" i="11"/>
  <c r="BL108" i="11"/>
  <c r="BK108" i="11"/>
  <c r="BJ108" i="11"/>
  <c r="BI108" i="11" s="1"/>
  <c r="BH108" i="11"/>
  <c r="BA108" i="11"/>
  <c r="BD108" i="11" s="1"/>
  <c r="AZ108" i="11"/>
  <c r="BC108" i="11" s="1"/>
  <c r="BF108" i="11" s="1"/>
  <c r="AX108" i="11"/>
  <c r="AW108" i="11"/>
  <c r="AU108" i="11" s="1"/>
  <c r="AV108" i="11"/>
  <c r="AT108" i="11"/>
  <c r="AS108" i="11"/>
  <c r="AR108" i="11"/>
  <c r="AQ108" i="11"/>
  <c r="AP108" i="11"/>
  <c r="AJ108" i="11"/>
  <c r="AI108" i="11"/>
  <c r="AF108" i="11"/>
  <c r="AE108" i="11"/>
  <c r="AL108" i="11" s="1"/>
  <c r="AB108" i="11"/>
  <c r="Y108" i="11"/>
  <c r="W108" i="11" s="1"/>
  <c r="X108" i="11"/>
  <c r="U108" i="11"/>
  <c r="R108" i="11"/>
  <c r="Q108" i="11"/>
  <c r="K108" i="11"/>
  <c r="J108" i="11"/>
  <c r="L108" i="11" s="1"/>
  <c r="I108" i="11"/>
  <c r="H108" i="11"/>
  <c r="G108" i="11"/>
  <c r="F108" i="11"/>
  <c r="B108" i="11"/>
  <c r="A108" i="11"/>
  <c r="CB107" i="11"/>
  <c r="CA107" i="11"/>
  <c r="BZ107" i="11"/>
  <c r="BX107" i="11" s="1"/>
  <c r="BY107" i="11"/>
  <c r="BW107" i="11"/>
  <c r="BS107" i="11"/>
  <c r="BR107" i="11"/>
  <c r="BU107" i="11" s="1"/>
  <c r="BP107" i="11"/>
  <c r="BO107" i="11"/>
  <c r="BM107" i="11" s="1"/>
  <c r="BN107" i="11"/>
  <c r="BL107" i="11"/>
  <c r="BK107" i="11"/>
  <c r="BI107" i="11" s="1"/>
  <c r="BJ107" i="11"/>
  <c r="BH107" i="11"/>
  <c r="BC107" i="11"/>
  <c r="BF107" i="11" s="1"/>
  <c r="BB107" i="11"/>
  <c r="BE107" i="11" s="1"/>
  <c r="BA107" i="11"/>
  <c r="AZ107" i="11"/>
  <c r="AY107" i="11"/>
  <c r="AX107" i="11"/>
  <c r="AW107" i="11"/>
  <c r="BD107" i="11" s="1"/>
  <c r="AV107" i="11"/>
  <c r="AU107" i="11"/>
  <c r="AT107" i="11"/>
  <c r="AS107" i="11"/>
  <c r="AR107" i="11"/>
  <c r="AQ107" i="11"/>
  <c r="AP107" i="11"/>
  <c r="AL107" i="11"/>
  <c r="AJ107" i="11"/>
  <c r="AI107" i="11"/>
  <c r="AF107" i="11"/>
  <c r="AD107" i="11" s="1"/>
  <c r="AK107" i="11" s="1"/>
  <c r="AE107" i="11"/>
  <c r="AB107" i="11"/>
  <c r="Y107" i="11"/>
  <c r="W107" i="11" s="1"/>
  <c r="X107" i="11"/>
  <c r="U107" i="11"/>
  <c r="R107" i="11"/>
  <c r="P107" i="11" s="1"/>
  <c r="Q107" i="11"/>
  <c r="L107" i="11"/>
  <c r="K107" i="11"/>
  <c r="J107" i="11"/>
  <c r="F107" i="11"/>
  <c r="E107" i="11"/>
  <c r="D107" i="11"/>
  <c r="C107" i="11"/>
  <c r="B107" i="11"/>
  <c r="A107" i="11"/>
  <c r="CB106" i="11"/>
  <c r="CA106" i="11"/>
  <c r="BZ106" i="11"/>
  <c r="BX106" i="11" s="1"/>
  <c r="BY106" i="11"/>
  <c r="BW106" i="11"/>
  <c r="BS106" i="11"/>
  <c r="BV106" i="11" s="1"/>
  <c r="BR106" i="11"/>
  <c r="BU106" i="11" s="1"/>
  <c r="BP106" i="11"/>
  <c r="BO106" i="11"/>
  <c r="BM106" i="11" s="1"/>
  <c r="BN106" i="11"/>
  <c r="BL106" i="11"/>
  <c r="BK106" i="11"/>
  <c r="BJ106" i="11"/>
  <c r="BI106" i="11"/>
  <c r="BH106" i="11"/>
  <c r="BD106" i="11"/>
  <c r="BA106" i="11"/>
  <c r="AZ106" i="11"/>
  <c r="BC106" i="11" s="1"/>
  <c r="BF106" i="11" s="1"/>
  <c r="AY106" i="11"/>
  <c r="BB106" i="11" s="1"/>
  <c r="BE106" i="11" s="1"/>
  <c r="AX106" i="11"/>
  <c r="AW106" i="11"/>
  <c r="AV106" i="11"/>
  <c r="AU106" i="11"/>
  <c r="AT106" i="11"/>
  <c r="AS106" i="11"/>
  <c r="AR106" i="11"/>
  <c r="AQ106" i="11"/>
  <c r="AP106" i="11"/>
  <c r="AL106" i="11"/>
  <c r="AJ106" i="11"/>
  <c r="AI106" i="11"/>
  <c r="AF106" i="11"/>
  <c r="AE106" i="11"/>
  <c r="AD106" i="11"/>
  <c r="AB106" i="11"/>
  <c r="Y106" i="11"/>
  <c r="W106" i="11" s="1"/>
  <c r="X106" i="11"/>
  <c r="U106" i="11"/>
  <c r="R106" i="11"/>
  <c r="Q106" i="11"/>
  <c r="P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CB105" i="11"/>
  <c r="CA105" i="11"/>
  <c r="BZ105" i="11"/>
  <c r="BY105" i="11"/>
  <c r="BX105" i="11" s="1"/>
  <c r="BW105" i="11"/>
  <c r="BS105" i="11"/>
  <c r="BR105" i="11"/>
  <c r="BQ105" i="11"/>
  <c r="BT105" i="11" s="1"/>
  <c r="BP105" i="11"/>
  <c r="BO105" i="11"/>
  <c r="BV105" i="11" s="1"/>
  <c r="BN105" i="11"/>
  <c r="BU105" i="11" s="1"/>
  <c r="BL105" i="11"/>
  <c r="BK105" i="11"/>
  <c r="BJ105" i="11"/>
  <c r="BI105" i="11"/>
  <c r="BH105" i="11"/>
  <c r="BA105" i="11"/>
  <c r="BD105" i="11" s="1"/>
  <c r="AZ105" i="11"/>
  <c r="AY105" i="11"/>
  <c r="BB105" i="11" s="1"/>
  <c r="BE105" i="11" s="1"/>
  <c r="AX105" i="11"/>
  <c r="AW105" i="11"/>
  <c r="AU105" i="11" s="1"/>
  <c r="AV105" i="11"/>
  <c r="AT105" i="11"/>
  <c r="AS105" i="11"/>
  <c r="AR105" i="11"/>
  <c r="AQ105" i="11" s="1"/>
  <c r="AP105" i="11"/>
  <c r="AJ105" i="11"/>
  <c r="AI105" i="11"/>
  <c r="AF105" i="11"/>
  <c r="AE105" i="11"/>
  <c r="AD105" i="11"/>
  <c r="AB105" i="11"/>
  <c r="Y105" i="11"/>
  <c r="X105" i="11"/>
  <c r="W105" i="11" s="1"/>
  <c r="U105" i="11"/>
  <c r="R105" i="11"/>
  <c r="Q105" i="11"/>
  <c r="P105" i="11"/>
  <c r="J105" i="11"/>
  <c r="F105" i="11"/>
  <c r="I105" i="11" s="1"/>
  <c r="E105" i="11"/>
  <c r="B105" i="11"/>
  <c r="A105" i="11"/>
  <c r="CB104" i="11"/>
  <c r="CA104" i="11"/>
  <c r="BZ104" i="11"/>
  <c r="BX104" i="11" s="1"/>
  <c r="BY104" i="11"/>
  <c r="BW104" i="11"/>
  <c r="BV104" i="11"/>
  <c r="BS104" i="11"/>
  <c r="BQ104" i="11" s="1"/>
  <c r="BT104" i="11" s="1"/>
  <c r="BR104" i="11"/>
  <c r="BP104" i="11"/>
  <c r="BO104" i="11"/>
  <c r="BN104" i="11"/>
  <c r="BU104" i="11" s="1"/>
  <c r="BL104" i="11"/>
  <c r="BK104" i="11"/>
  <c r="BI104" i="11" s="1"/>
  <c r="BJ104" i="11"/>
  <c r="BH104" i="11"/>
  <c r="BC104" i="11"/>
  <c r="BF104" i="11" s="1"/>
  <c r="BA104" i="11"/>
  <c r="AY104" i="11" s="1"/>
  <c r="BB104" i="11" s="1"/>
  <c r="BE104" i="11" s="1"/>
  <c r="AZ104" i="11"/>
  <c r="AX104" i="11"/>
  <c r="AW104" i="11"/>
  <c r="BD104" i="11" s="1"/>
  <c r="BG104" i="11" s="1"/>
  <c r="AV104" i="11"/>
  <c r="AT104" i="11"/>
  <c r="AS104" i="11"/>
  <c r="AQ104" i="11" s="1"/>
  <c r="AR104" i="11"/>
  <c r="AP104" i="11"/>
  <c r="AM104" i="11"/>
  <c r="AN104" i="11" s="1"/>
  <c r="AO104" i="11" s="1"/>
  <c r="AJ104" i="11"/>
  <c r="AI104" i="11"/>
  <c r="AF104" i="11"/>
  <c r="AE104" i="11"/>
  <c r="AD104" i="11"/>
  <c r="AB104" i="11"/>
  <c r="Y104" i="11"/>
  <c r="X104" i="11"/>
  <c r="AL104" i="11" s="1"/>
  <c r="U104" i="11"/>
  <c r="R104" i="11"/>
  <c r="P104" i="11" s="1"/>
  <c r="Q104" i="11"/>
  <c r="K104" i="11"/>
  <c r="J104" i="11"/>
  <c r="L104" i="11" s="1"/>
  <c r="G104" i="11"/>
  <c r="F104" i="11"/>
  <c r="B104" i="11"/>
  <c r="E104" i="11" s="1"/>
  <c r="A104" i="11"/>
  <c r="CB103" i="11"/>
  <c r="CA103" i="11"/>
  <c r="BZ103" i="11"/>
  <c r="BX103" i="11" s="1"/>
  <c r="BY103" i="11"/>
  <c r="BW103" i="11"/>
  <c r="BS103" i="11"/>
  <c r="BV103" i="11" s="1"/>
  <c r="BR103" i="11"/>
  <c r="BQ103" i="11"/>
  <c r="BT103" i="11" s="1"/>
  <c r="BP103" i="11"/>
  <c r="BO103" i="11"/>
  <c r="BM103" i="11" s="1"/>
  <c r="BN103" i="11"/>
  <c r="BL103" i="11"/>
  <c r="BK103" i="11"/>
  <c r="BI103" i="11" s="1"/>
  <c r="BJ103" i="11"/>
  <c r="BH103" i="11"/>
  <c r="BA103" i="11"/>
  <c r="AY103" i="11" s="1"/>
  <c r="BB103" i="11" s="1"/>
  <c r="BE103" i="11" s="1"/>
  <c r="AZ103" i="11"/>
  <c r="BC103" i="11" s="1"/>
  <c r="BF103" i="11" s="1"/>
  <c r="AX103" i="11"/>
  <c r="AW103" i="11"/>
  <c r="AV103" i="11"/>
  <c r="AU103" i="11"/>
  <c r="AT103" i="11"/>
  <c r="AS103" i="11"/>
  <c r="AQ103" i="11" s="1"/>
  <c r="AR103" i="11"/>
  <c r="AP103" i="11"/>
  <c r="AJ103" i="11"/>
  <c r="AI103" i="11"/>
  <c r="AF103" i="11"/>
  <c r="AD103" i="11" s="1"/>
  <c r="AK103" i="11" s="1"/>
  <c r="AE103" i="11"/>
  <c r="AB103" i="11"/>
  <c r="Y103" i="11"/>
  <c r="W103" i="11" s="1"/>
  <c r="X103" i="11"/>
  <c r="AL103" i="11" s="1"/>
  <c r="U103" i="11"/>
  <c r="R103" i="11"/>
  <c r="P103" i="11" s="1"/>
  <c r="Q103" i="11"/>
  <c r="L103" i="11"/>
  <c r="K103" i="11"/>
  <c r="J103" i="11"/>
  <c r="I103" i="11"/>
  <c r="H103" i="11"/>
  <c r="G103" i="11"/>
  <c r="F103" i="11"/>
  <c r="B103" i="11"/>
  <c r="A103" i="11"/>
  <c r="CB102" i="11"/>
  <c r="CA102" i="11"/>
  <c r="BZ102" i="11"/>
  <c r="BY102" i="11"/>
  <c r="BX102" i="11"/>
  <c r="BW102" i="11"/>
  <c r="BV102" i="11"/>
  <c r="BT102" i="11"/>
  <c r="BS102" i="11"/>
  <c r="BQ102" i="11" s="1"/>
  <c r="BR102" i="11"/>
  <c r="BP102" i="11"/>
  <c r="BO102" i="11"/>
  <c r="BN102" i="11"/>
  <c r="BU102" i="11" s="1"/>
  <c r="BM102" i="11"/>
  <c r="BL102" i="11"/>
  <c r="BK102" i="11"/>
  <c r="BI102" i="11" s="1"/>
  <c r="BJ102" i="11"/>
  <c r="BH102" i="11"/>
  <c r="BD102" i="11"/>
  <c r="BA102" i="11"/>
  <c r="AZ102" i="11"/>
  <c r="AY102" i="11" s="1"/>
  <c r="BB102" i="11" s="1"/>
  <c r="BE102" i="11" s="1"/>
  <c r="AX102" i="11"/>
  <c r="AW102" i="11"/>
  <c r="AV102" i="11"/>
  <c r="BC102" i="11" s="1"/>
  <c r="BF102" i="11" s="1"/>
  <c r="AU102" i="11"/>
  <c r="AT102" i="11"/>
  <c r="AS102" i="11"/>
  <c r="AR102" i="11"/>
  <c r="AQ102" i="11" s="1"/>
  <c r="AP102" i="11"/>
  <c r="AM102" i="11"/>
  <c r="AN102" i="11" s="1"/>
  <c r="AO102" i="11" s="1"/>
  <c r="AJ102" i="11"/>
  <c r="AI102" i="11"/>
  <c r="AF102" i="11"/>
  <c r="AE102" i="11"/>
  <c r="AD102" i="11"/>
  <c r="AB102" i="11"/>
  <c r="Y102" i="11"/>
  <c r="X102" i="11"/>
  <c r="W102" i="11"/>
  <c r="U102" i="11"/>
  <c r="R102" i="11"/>
  <c r="Q102" i="11"/>
  <c r="P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CB101" i="11"/>
  <c r="CA101" i="11"/>
  <c r="BZ101" i="11"/>
  <c r="BY101" i="11"/>
  <c r="BX101" i="11"/>
  <c r="BW101" i="11"/>
  <c r="BU101" i="11"/>
  <c r="BS101" i="11"/>
  <c r="BQ101" i="11" s="1"/>
  <c r="BT101" i="11" s="1"/>
  <c r="BR101" i="11"/>
  <c r="BP101" i="11"/>
  <c r="BO101" i="11"/>
  <c r="BN101" i="11"/>
  <c r="BM101" i="11"/>
  <c r="BL101" i="11"/>
  <c r="BK101" i="11"/>
  <c r="BI101" i="11" s="1"/>
  <c r="BJ101" i="11"/>
  <c r="BH101" i="11"/>
  <c r="BD101" i="11"/>
  <c r="BA101" i="11"/>
  <c r="AZ101" i="11"/>
  <c r="AY101" i="11"/>
  <c r="BB101" i="11" s="1"/>
  <c r="BE101" i="11" s="1"/>
  <c r="AX101" i="11"/>
  <c r="AW101" i="11"/>
  <c r="AU101" i="11" s="1"/>
  <c r="AV101" i="11"/>
  <c r="BC101" i="11" s="1"/>
  <c r="BF101" i="11" s="1"/>
  <c r="AT101" i="11"/>
  <c r="AS101" i="11"/>
  <c r="AR101" i="11"/>
  <c r="AQ101" i="11"/>
  <c r="AP101" i="11"/>
  <c r="AJ101" i="11"/>
  <c r="AI101" i="11"/>
  <c r="AF101" i="11"/>
  <c r="AE101" i="11"/>
  <c r="AL101" i="11" s="1"/>
  <c r="AD101" i="11"/>
  <c r="AK101" i="11" s="1"/>
  <c r="AB101" i="11"/>
  <c r="Y101" i="11"/>
  <c r="W101" i="11" s="1"/>
  <c r="X101" i="11"/>
  <c r="U101" i="11"/>
  <c r="R101" i="11"/>
  <c r="Q101" i="11"/>
  <c r="P101" i="11"/>
  <c r="L101" i="11"/>
  <c r="K101" i="11"/>
  <c r="J101" i="11"/>
  <c r="F101" i="11"/>
  <c r="G101" i="11" s="1"/>
  <c r="E101" i="11"/>
  <c r="D101" i="11"/>
  <c r="B101" i="11"/>
  <c r="C101" i="11" s="1"/>
  <c r="A101" i="11"/>
  <c r="CB100" i="11"/>
  <c r="CA100" i="11"/>
  <c r="BZ100" i="11"/>
  <c r="BY100" i="11"/>
  <c r="BX100" i="11"/>
  <c r="BW100" i="11"/>
  <c r="BS100" i="11"/>
  <c r="BR100" i="11"/>
  <c r="BU100" i="11" s="1"/>
  <c r="BP100" i="11"/>
  <c r="BO100" i="11"/>
  <c r="BV100" i="11" s="1"/>
  <c r="BN100" i="11"/>
  <c r="BL100" i="11"/>
  <c r="BK100" i="11"/>
  <c r="BJ100" i="11"/>
  <c r="BI100" i="11" s="1"/>
  <c r="BH100" i="11"/>
  <c r="BA100" i="11"/>
  <c r="BD100" i="11" s="1"/>
  <c r="AZ100" i="11"/>
  <c r="AY100" i="11"/>
  <c r="BB100" i="11" s="1"/>
  <c r="BE100" i="11" s="1"/>
  <c r="AX100" i="11"/>
  <c r="AW100" i="11"/>
  <c r="AU100" i="11" s="1"/>
  <c r="AV100" i="11"/>
  <c r="AT100" i="11"/>
  <c r="AS100" i="11"/>
  <c r="AQ100" i="11" s="1"/>
  <c r="AR100" i="11"/>
  <c r="AP100" i="11"/>
  <c r="AJ100" i="11"/>
  <c r="AI100" i="11"/>
  <c r="AF100" i="11"/>
  <c r="AE100" i="11"/>
  <c r="AL100" i="11" s="1"/>
  <c r="AB100" i="11"/>
  <c r="Y100" i="11"/>
  <c r="X100" i="11"/>
  <c r="W100" i="11"/>
  <c r="U100" i="11"/>
  <c r="R100" i="11"/>
  <c r="Q100" i="11"/>
  <c r="K100" i="11"/>
  <c r="J100" i="11"/>
  <c r="L100" i="11" s="1"/>
  <c r="H100" i="11"/>
  <c r="G100" i="11"/>
  <c r="F100" i="11"/>
  <c r="I100" i="11" s="1"/>
  <c r="E100" i="11"/>
  <c r="C100" i="11"/>
  <c r="B100" i="11"/>
  <c r="D100" i="11" s="1"/>
  <c r="A100" i="11"/>
  <c r="CB99" i="11"/>
  <c r="CA99" i="11"/>
  <c r="BZ99" i="11"/>
  <c r="BX99" i="11" s="1"/>
  <c r="BY99" i="11"/>
  <c r="BW99" i="11"/>
  <c r="BS99" i="11"/>
  <c r="BR99" i="11"/>
  <c r="BU99" i="11" s="1"/>
  <c r="BQ99" i="11"/>
  <c r="BT99" i="11" s="1"/>
  <c r="BP99" i="11"/>
  <c r="BO99" i="11"/>
  <c r="BN99" i="11"/>
  <c r="BL99" i="11"/>
  <c r="BK99" i="11"/>
  <c r="BJ99" i="11"/>
  <c r="BI99" i="11"/>
  <c r="BH99" i="11"/>
  <c r="BA99" i="11"/>
  <c r="BD99" i="11" s="1"/>
  <c r="AZ99" i="11"/>
  <c r="AY99" i="11"/>
  <c r="BB99" i="11" s="1"/>
  <c r="BE99" i="11" s="1"/>
  <c r="AX99" i="11"/>
  <c r="AW99" i="11"/>
  <c r="AU99" i="11" s="1"/>
  <c r="AV99" i="11"/>
  <c r="BC99" i="11" s="1"/>
  <c r="BF99" i="11" s="1"/>
  <c r="AT99" i="11"/>
  <c r="AS99" i="11"/>
  <c r="AR99" i="11"/>
  <c r="AQ99" i="11"/>
  <c r="AP99" i="11"/>
  <c r="AJ99" i="11"/>
  <c r="AI99" i="11"/>
  <c r="AF99" i="11"/>
  <c r="AD99" i="11" s="1"/>
  <c r="AE99" i="11"/>
  <c r="AB99" i="11"/>
  <c r="Y99" i="11"/>
  <c r="X99" i="11"/>
  <c r="AL99" i="11" s="1"/>
  <c r="U99" i="11"/>
  <c r="R99" i="11"/>
  <c r="P99" i="11" s="1"/>
  <c r="Q99" i="11"/>
  <c r="J99" i="11"/>
  <c r="L99" i="11" s="1"/>
  <c r="F99" i="11"/>
  <c r="E99" i="11"/>
  <c r="D99" i="11"/>
  <c r="C99" i="11"/>
  <c r="B99" i="11"/>
  <c r="A99" i="11"/>
  <c r="BZ98" i="11"/>
  <c r="BY98" i="11"/>
  <c r="BX98" i="11"/>
  <c r="BS98" i="11"/>
  <c r="BR98" i="11"/>
  <c r="BQ98" i="11"/>
  <c r="BT98" i="11" s="1"/>
  <c r="BO98" i="11"/>
  <c r="BV98" i="11" s="1"/>
  <c r="BN98" i="11"/>
  <c r="BU98" i="11" s="1"/>
  <c r="BK98" i="11"/>
  <c r="BI98" i="11" s="1"/>
  <c r="BJ98" i="11"/>
  <c r="BE98" i="11"/>
  <c r="BB98" i="11"/>
  <c r="BA98" i="11"/>
  <c r="AY98" i="11" s="1"/>
  <c r="AZ98" i="11"/>
  <c r="AW98" i="11"/>
  <c r="AV98" i="11"/>
  <c r="AU98" i="11"/>
  <c r="AS98" i="11"/>
  <c r="BD98" i="11" s="1"/>
  <c r="AR98" i="11"/>
  <c r="BC98" i="11" s="1"/>
  <c r="BF98" i="11" s="1"/>
  <c r="AP98" i="11"/>
  <c r="AJ98" i="11"/>
  <c r="AI98" i="11"/>
  <c r="AF98" i="11"/>
  <c r="AD98" i="11" s="1"/>
  <c r="AE98" i="11"/>
  <c r="AB98" i="11"/>
  <c r="Y98" i="11"/>
  <c r="W98" i="11" s="1"/>
  <c r="X98" i="11"/>
  <c r="AL98" i="11" s="1"/>
  <c r="U98" i="11"/>
  <c r="R98" i="11"/>
  <c r="P98" i="11" s="1"/>
  <c r="Q98" i="11"/>
  <c r="J98" i="11"/>
  <c r="L98" i="11" s="1"/>
  <c r="I98" i="11"/>
  <c r="H98" i="11"/>
  <c r="G98" i="11"/>
  <c r="F98" i="11"/>
  <c r="B98" i="11"/>
  <c r="E98" i="11" s="1"/>
  <c r="A98" i="11"/>
  <c r="CB97" i="11"/>
  <c r="CA97" i="11"/>
  <c r="BZ97" i="11"/>
  <c r="BY97" i="11"/>
  <c r="BX97" i="11" s="1"/>
  <c r="BW97" i="11"/>
  <c r="BV97" i="11"/>
  <c r="BT97" i="11"/>
  <c r="BS97" i="11"/>
  <c r="BQ97" i="11" s="1"/>
  <c r="BR97" i="11"/>
  <c r="BP97" i="11"/>
  <c r="BO97" i="11"/>
  <c r="BM97" i="11" s="1"/>
  <c r="BN97" i="11"/>
  <c r="BU97" i="11" s="1"/>
  <c r="BL97" i="11"/>
  <c r="BK97" i="11"/>
  <c r="BI97" i="11" s="1"/>
  <c r="BJ97" i="11"/>
  <c r="BH97" i="11"/>
  <c r="BD97" i="11"/>
  <c r="BA97" i="11"/>
  <c r="AY97" i="11" s="1"/>
  <c r="BB97" i="11" s="1"/>
  <c r="BE97" i="11" s="1"/>
  <c r="AZ97" i="11"/>
  <c r="AX97" i="11"/>
  <c r="AW97" i="11"/>
  <c r="AV97" i="11"/>
  <c r="BC97" i="11" s="1"/>
  <c r="BF97" i="11" s="1"/>
  <c r="AU97" i="11"/>
  <c r="AT97" i="11"/>
  <c r="AS97" i="11"/>
  <c r="AQ97" i="11" s="1"/>
  <c r="AR97" i="11"/>
  <c r="AP97" i="11"/>
  <c r="AM97" i="11"/>
  <c r="AN97" i="11" s="1"/>
  <c r="AO97" i="11" s="1"/>
  <c r="AJ97" i="11"/>
  <c r="AI97" i="11"/>
  <c r="AF97" i="11"/>
  <c r="AE97" i="11"/>
  <c r="AD97" i="11"/>
  <c r="AB97" i="11"/>
  <c r="Y97" i="11"/>
  <c r="X97" i="11"/>
  <c r="W97" i="11" s="1"/>
  <c r="U97" i="11"/>
  <c r="R97" i="11"/>
  <c r="Q97" i="11"/>
  <c r="P97" i="11"/>
  <c r="J97" i="11"/>
  <c r="I97" i="11"/>
  <c r="H97" i="11"/>
  <c r="G97" i="11"/>
  <c r="F97" i="11"/>
  <c r="E97" i="11"/>
  <c r="D97" i="11"/>
  <c r="B97" i="11"/>
  <c r="C97" i="11" s="1"/>
  <c r="A97" i="11"/>
  <c r="CB96" i="11"/>
  <c r="CA96" i="11"/>
  <c r="BZ96" i="11"/>
  <c r="BY96" i="11"/>
  <c r="BX96" i="11"/>
  <c r="BW96" i="11"/>
  <c r="BV96" i="11"/>
  <c r="BU96" i="11"/>
  <c r="BS96" i="11"/>
  <c r="BQ96" i="11" s="1"/>
  <c r="BT96" i="11" s="1"/>
  <c r="BR96" i="11"/>
  <c r="BP96" i="11"/>
  <c r="BO96" i="11"/>
  <c r="BN96" i="11"/>
  <c r="BM96" i="11"/>
  <c r="BL96" i="11"/>
  <c r="BK96" i="11"/>
  <c r="BI96" i="11" s="1"/>
  <c r="BJ96" i="11"/>
  <c r="BH96" i="11"/>
  <c r="BE96" i="11"/>
  <c r="BD96" i="11"/>
  <c r="BB96" i="11"/>
  <c r="BA96" i="11"/>
  <c r="AY96" i="11" s="1"/>
  <c r="AZ96" i="11"/>
  <c r="AX96" i="11"/>
  <c r="AW96" i="11"/>
  <c r="AV96" i="11"/>
  <c r="BC96" i="11" s="1"/>
  <c r="BF96" i="11" s="1"/>
  <c r="AU96" i="11"/>
  <c r="AT96" i="11"/>
  <c r="AS96" i="11"/>
  <c r="AQ96" i="11" s="1"/>
  <c r="AR96" i="11"/>
  <c r="AP96" i="11"/>
  <c r="AL96" i="11"/>
  <c r="AJ96" i="11"/>
  <c r="AI96" i="11"/>
  <c r="AF96" i="11"/>
  <c r="AE96" i="11"/>
  <c r="AD96" i="11" s="1"/>
  <c r="AB96" i="11"/>
  <c r="Y96" i="11"/>
  <c r="X96" i="11"/>
  <c r="U96" i="11"/>
  <c r="R96" i="11"/>
  <c r="Q96" i="11"/>
  <c r="P96" i="11" s="1"/>
  <c r="L96" i="11"/>
  <c r="K96" i="11"/>
  <c r="J96" i="11"/>
  <c r="I96" i="11"/>
  <c r="G96" i="11"/>
  <c r="F96" i="11"/>
  <c r="H96" i="11" s="1"/>
  <c r="B96" i="11"/>
  <c r="A96" i="11"/>
  <c r="CB95" i="11"/>
  <c r="CA95" i="11"/>
  <c r="BZ95" i="11"/>
  <c r="BY95" i="11"/>
  <c r="BX95" i="11" s="1"/>
  <c r="BW95" i="11"/>
  <c r="BV95" i="11"/>
  <c r="BS95" i="11"/>
  <c r="BQ95" i="11" s="1"/>
  <c r="BT95" i="11" s="1"/>
  <c r="BR95" i="11"/>
  <c r="BP95" i="11"/>
  <c r="BO95" i="11"/>
  <c r="BN95" i="11"/>
  <c r="BU95" i="11" s="1"/>
  <c r="BM95" i="11"/>
  <c r="BL95" i="11"/>
  <c r="BK95" i="11"/>
  <c r="BI95" i="11" s="1"/>
  <c r="BJ95" i="11"/>
  <c r="BH95" i="11"/>
  <c r="BA95" i="11"/>
  <c r="AZ95" i="11"/>
  <c r="BC95" i="11" s="1"/>
  <c r="BF95" i="11" s="1"/>
  <c r="AX95" i="11"/>
  <c r="AW95" i="11"/>
  <c r="AV95" i="11"/>
  <c r="AT95" i="11"/>
  <c r="AS95" i="11"/>
  <c r="AR95" i="11"/>
  <c r="AQ95" i="11" s="1"/>
  <c r="AP95" i="11"/>
  <c r="AO95" i="11"/>
  <c r="AJ95" i="11"/>
  <c r="AI95" i="11"/>
  <c r="AF95" i="11"/>
  <c r="AM95" i="11" s="1"/>
  <c r="AN95" i="11" s="1"/>
  <c r="AE95" i="11"/>
  <c r="AB95" i="11"/>
  <c r="Y95" i="11"/>
  <c r="X95" i="11"/>
  <c r="W95" i="11"/>
  <c r="U95" i="11"/>
  <c r="R95" i="11"/>
  <c r="Q95" i="11"/>
  <c r="L95" i="11"/>
  <c r="K95" i="11"/>
  <c r="J95" i="11"/>
  <c r="F95" i="11"/>
  <c r="E95" i="11"/>
  <c r="D95" i="11"/>
  <c r="C95" i="11"/>
  <c r="B95" i="11"/>
  <c r="A95" i="11"/>
  <c r="CB94" i="11"/>
  <c r="CA94" i="11"/>
  <c r="BZ94" i="11"/>
  <c r="BX94" i="11" s="1"/>
  <c r="BY94" i="11"/>
  <c r="BW94" i="11"/>
  <c r="BS94" i="11"/>
  <c r="BV94" i="11" s="1"/>
  <c r="BR94" i="11"/>
  <c r="BU94" i="11" s="1"/>
  <c r="BP94" i="11"/>
  <c r="BO94" i="11"/>
  <c r="BN94" i="11"/>
  <c r="BM94" i="11"/>
  <c r="BL94" i="11"/>
  <c r="BK94" i="11"/>
  <c r="BI94" i="11" s="1"/>
  <c r="BJ94" i="11"/>
  <c r="BH94" i="11"/>
  <c r="BB94" i="11"/>
  <c r="BE94" i="11" s="1"/>
  <c r="BA94" i="11"/>
  <c r="AY94" i="11" s="1"/>
  <c r="AZ94" i="11"/>
  <c r="AX94" i="11"/>
  <c r="AW94" i="11"/>
  <c r="BD94" i="11" s="1"/>
  <c r="AV94" i="11"/>
  <c r="BC94" i="11" s="1"/>
  <c r="BF94" i="11" s="1"/>
  <c r="AT94" i="11"/>
  <c r="AS94" i="11"/>
  <c r="AQ94" i="11" s="1"/>
  <c r="AR94" i="11"/>
  <c r="AP94" i="11"/>
  <c r="AJ94" i="11"/>
  <c r="AI94" i="11"/>
  <c r="AF94" i="11"/>
  <c r="AE94" i="11"/>
  <c r="AD94" i="11" s="1"/>
  <c r="AB94" i="11"/>
  <c r="Y94" i="11"/>
  <c r="X94" i="11"/>
  <c r="U94" i="11"/>
  <c r="R94" i="11"/>
  <c r="Q94" i="11"/>
  <c r="P94" i="11" s="1"/>
  <c r="L94" i="11"/>
  <c r="K94" i="11"/>
  <c r="J94" i="11"/>
  <c r="F94" i="11"/>
  <c r="E94" i="11"/>
  <c r="D94" i="11"/>
  <c r="C94" i="11"/>
  <c r="B94" i="11"/>
  <c r="A94" i="11"/>
  <c r="CB93" i="11"/>
  <c r="CA93" i="11"/>
  <c r="BZ93" i="11"/>
  <c r="BX93" i="11" s="1"/>
  <c r="BY93" i="11"/>
  <c r="BW93" i="11"/>
  <c r="BS93" i="11"/>
  <c r="BR93" i="11"/>
  <c r="BP93" i="11"/>
  <c r="BO93" i="11"/>
  <c r="BN93" i="11"/>
  <c r="BL93" i="11"/>
  <c r="BK93" i="11"/>
  <c r="BJ93" i="11"/>
  <c r="BI93" i="11" s="1"/>
  <c r="BH93" i="11"/>
  <c r="BA93" i="11"/>
  <c r="BD93" i="11" s="1"/>
  <c r="AZ93" i="11"/>
  <c r="BC93" i="11" s="1"/>
  <c r="BF93" i="11" s="1"/>
  <c r="AY93" i="11"/>
  <c r="BB93" i="11" s="1"/>
  <c r="BE93" i="11" s="1"/>
  <c r="AX93" i="11"/>
  <c r="AW93" i="11"/>
  <c r="AU93" i="11" s="1"/>
  <c r="AV93" i="11"/>
  <c r="AT93" i="11"/>
  <c r="AS93" i="11"/>
  <c r="AR93" i="11"/>
  <c r="AQ93" i="11"/>
  <c r="AP93" i="11"/>
  <c r="AL93" i="11"/>
  <c r="AJ93" i="11"/>
  <c r="AI93" i="11"/>
  <c r="AF93" i="11"/>
  <c r="AD93" i="11" s="1"/>
  <c r="AK93" i="11" s="1"/>
  <c r="AE93" i="11"/>
  <c r="AB93" i="11"/>
  <c r="Y93" i="11"/>
  <c r="W93" i="11" s="1"/>
  <c r="X93" i="11"/>
  <c r="U93" i="11"/>
  <c r="R93" i="11"/>
  <c r="P93" i="11" s="1"/>
  <c r="Q93" i="11"/>
  <c r="K93" i="11"/>
  <c r="J93" i="11"/>
  <c r="L93" i="11" s="1"/>
  <c r="I93" i="11"/>
  <c r="H93" i="11"/>
  <c r="G93" i="11"/>
  <c r="F93" i="11"/>
  <c r="C93" i="11"/>
  <c r="B93" i="11"/>
  <c r="E93" i="11" s="1"/>
  <c r="A93" i="11"/>
  <c r="CB92" i="11"/>
  <c r="CA92" i="11"/>
  <c r="BZ92" i="11"/>
  <c r="BX92" i="11" s="1"/>
  <c r="BY92" i="11"/>
  <c r="BW92" i="11"/>
  <c r="BU92" i="11"/>
  <c r="BS92" i="11"/>
  <c r="BQ92" i="11" s="1"/>
  <c r="BT92" i="11" s="1"/>
  <c r="BR92" i="11"/>
  <c r="BP92" i="11"/>
  <c r="BO92" i="11"/>
  <c r="BN92" i="11"/>
  <c r="BL92" i="11"/>
  <c r="BK92" i="11"/>
  <c r="BI92" i="11" s="1"/>
  <c r="BJ92" i="11"/>
  <c r="BH92" i="11"/>
  <c r="BD92" i="11"/>
  <c r="BG92" i="11" s="1"/>
  <c r="BA92" i="11"/>
  <c r="AZ92" i="11"/>
  <c r="AY92" i="11"/>
  <c r="BB92" i="11" s="1"/>
  <c r="BE92" i="11" s="1"/>
  <c r="AX92" i="11"/>
  <c r="AW92" i="11"/>
  <c r="AV92" i="11"/>
  <c r="BC92" i="11" s="1"/>
  <c r="BF92" i="11" s="1"/>
  <c r="AT92" i="11"/>
  <c r="AS92" i="11"/>
  <c r="AR92" i="11"/>
  <c r="AQ92" i="11"/>
  <c r="AP92" i="11"/>
  <c r="AO92" i="11"/>
  <c r="AN92" i="11"/>
  <c r="AJ92" i="11"/>
  <c r="AI92" i="11"/>
  <c r="AF92" i="11"/>
  <c r="AM92" i="11" s="1"/>
  <c r="AE92" i="11"/>
  <c r="AB92" i="11"/>
  <c r="Y92" i="11"/>
  <c r="W92" i="11" s="1"/>
  <c r="X92" i="11"/>
  <c r="U92" i="11"/>
  <c r="R92" i="11"/>
  <c r="Q92" i="11"/>
  <c r="P92" i="11" s="1"/>
  <c r="L92" i="11"/>
  <c r="K92" i="11"/>
  <c r="J92" i="11"/>
  <c r="H92" i="11"/>
  <c r="G92" i="11"/>
  <c r="F92" i="11"/>
  <c r="I92" i="11" s="1"/>
  <c r="E92" i="11"/>
  <c r="D92" i="11"/>
  <c r="C92" i="11"/>
  <c r="B92" i="11"/>
  <c r="A92" i="11"/>
  <c r="CB91" i="11"/>
  <c r="CA91" i="11"/>
  <c r="BZ91" i="11"/>
  <c r="BY91" i="11"/>
  <c r="BW91" i="11"/>
  <c r="BS91" i="11"/>
  <c r="BV91" i="11" s="1"/>
  <c r="BR91" i="11"/>
  <c r="BP91" i="11"/>
  <c r="BO91" i="11"/>
  <c r="BM91" i="11" s="1"/>
  <c r="BN91" i="11"/>
  <c r="BL91" i="11"/>
  <c r="BK91" i="11"/>
  <c r="BJ91" i="11"/>
  <c r="BI91" i="11" s="1"/>
  <c r="BH91" i="11"/>
  <c r="BD91" i="11"/>
  <c r="BG91" i="11" s="1"/>
  <c r="BB91" i="11"/>
  <c r="BE91" i="11" s="1"/>
  <c r="BA91" i="11"/>
  <c r="AY91" i="11" s="1"/>
  <c r="AZ91" i="11"/>
  <c r="AX91" i="11"/>
  <c r="AW91" i="11"/>
  <c r="AV91" i="11"/>
  <c r="BC91" i="11" s="1"/>
  <c r="BF91" i="11" s="1"/>
  <c r="AU91" i="11"/>
  <c r="AT91" i="11"/>
  <c r="AS91" i="11"/>
  <c r="AQ91" i="11" s="1"/>
  <c r="AR91" i="11"/>
  <c r="AP91" i="11"/>
  <c r="AN91" i="11"/>
  <c r="AO91" i="11" s="1"/>
  <c r="AM91" i="11"/>
  <c r="AJ91" i="11"/>
  <c r="AI91" i="11"/>
  <c r="AF91" i="11"/>
  <c r="AE91" i="11"/>
  <c r="AD91" i="11"/>
  <c r="AB91" i="11"/>
  <c r="Y91" i="11"/>
  <c r="X91" i="11"/>
  <c r="AL91" i="11" s="1"/>
  <c r="U91" i="11"/>
  <c r="R91" i="11"/>
  <c r="Q91" i="11"/>
  <c r="P91" i="11"/>
  <c r="L91" i="11"/>
  <c r="K91" i="11"/>
  <c r="J91" i="11"/>
  <c r="I91" i="11"/>
  <c r="H91" i="11"/>
  <c r="G91" i="11"/>
  <c r="F91" i="11"/>
  <c r="D91" i="11"/>
  <c r="C91" i="11"/>
  <c r="B91" i="11"/>
  <c r="E91" i="11" s="1"/>
  <c r="A91" i="11"/>
  <c r="CB90" i="11"/>
  <c r="CA90" i="11"/>
  <c r="BZ90" i="11"/>
  <c r="BY90" i="11"/>
  <c r="BX90" i="11"/>
  <c r="BW90" i="11"/>
  <c r="BV90" i="11"/>
  <c r="BS90" i="11"/>
  <c r="BR90" i="11"/>
  <c r="BQ90" i="11"/>
  <c r="BT90" i="11" s="1"/>
  <c r="BP90" i="11"/>
  <c r="BO90" i="11"/>
  <c r="BN90" i="11"/>
  <c r="BU90" i="11" s="1"/>
  <c r="BL90" i="11"/>
  <c r="BK90" i="11"/>
  <c r="BJ90" i="11"/>
  <c r="BI90" i="11"/>
  <c r="BH90" i="11"/>
  <c r="BA90" i="11"/>
  <c r="BD90" i="11" s="1"/>
  <c r="AZ90" i="11"/>
  <c r="BC90" i="11" s="1"/>
  <c r="BF90" i="11" s="1"/>
  <c r="AX90" i="11"/>
  <c r="AW90" i="11"/>
  <c r="AU90" i="11" s="1"/>
  <c r="AV90" i="11"/>
  <c r="AT90" i="11"/>
  <c r="AS90" i="11"/>
  <c r="AR90" i="11"/>
  <c r="AQ90" i="11"/>
  <c r="AP90" i="11"/>
  <c r="AJ90" i="11"/>
  <c r="AI90" i="11"/>
  <c r="AF90" i="11"/>
  <c r="AE90" i="11"/>
  <c r="AB90" i="11"/>
  <c r="Y90" i="11"/>
  <c r="X90" i="11"/>
  <c r="W90" i="11"/>
  <c r="U90" i="11"/>
  <c r="R90" i="11"/>
  <c r="P90" i="11" s="1"/>
  <c r="Q90" i="11"/>
  <c r="J90" i="11"/>
  <c r="I90" i="11"/>
  <c r="H90" i="11"/>
  <c r="G90" i="11"/>
  <c r="F90" i="11"/>
  <c r="B90" i="11"/>
  <c r="A90" i="11"/>
  <c r="CB89" i="11"/>
  <c r="CA89" i="11"/>
  <c r="BZ89" i="11"/>
  <c r="BX89" i="11" s="1"/>
  <c r="BY89" i="11"/>
  <c r="BW89" i="11"/>
  <c r="BV89" i="11"/>
  <c r="BT89" i="11"/>
  <c r="BS89" i="11"/>
  <c r="BQ89" i="11" s="1"/>
  <c r="BR89" i="11"/>
  <c r="BP89" i="11"/>
  <c r="BO89" i="11"/>
  <c r="BN89" i="11"/>
  <c r="BU89" i="11" s="1"/>
  <c r="BM89" i="11"/>
  <c r="BL89" i="11"/>
  <c r="BK89" i="11"/>
  <c r="BI89" i="11" s="1"/>
  <c r="BJ89" i="11"/>
  <c r="BH89" i="11"/>
  <c r="BE89" i="11"/>
  <c r="BD89" i="11"/>
  <c r="BC89" i="11"/>
  <c r="BF89" i="11" s="1"/>
  <c r="BA89" i="11"/>
  <c r="AY89" i="11" s="1"/>
  <c r="BB89" i="11" s="1"/>
  <c r="AZ89" i="11"/>
  <c r="AX89" i="11"/>
  <c r="AW89" i="11"/>
  <c r="AV89" i="11"/>
  <c r="AU89" i="11"/>
  <c r="AT89" i="11"/>
  <c r="AS89" i="11"/>
  <c r="AQ89" i="11" s="1"/>
  <c r="AR89" i="11"/>
  <c r="AP89" i="11"/>
  <c r="AJ89" i="11"/>
  <c r="AI89" i="11"/>
  <c r="AF89" i="11"/>
  <c r="AD89" i="11" s="1"/>
  <c r="AK89" i="11" s="1"/>
  <c r="AE89" i="11"/>
  <c r="AB89" i="11"/>
  <c r="Y89" i="11"/>
  <c r="W89" i="11" s="1"/>
  <c r="X89" i="11"/>
  <c r="U89" i="11"/>
  <c r="R89" i="11"/>
  <c r="P89" i="11" s="1"/>
  <c r="Q89" i="11"/>
  <c r="L89" i="11"/>
  <c r="K89" i="11"/>
  <c r="J89" i="11"/>
  <c r="F89" i="11"/>
  <c r="E89" i="11"/>
  <c r="D89" i="11"/>
  <c r="C89" i="11"/>
  <c r="B89" i="11"/>
  <c r="A89" i="11"/>
  <c r="CB88" i="11"/>
  <c r="CA88" i="11"/>
  <c r="BZ88" i="11"/>
  <c r="BY88" i="11"/>
  <c r="BX88" i="11"/>
  <c r="BW88" i="11"/>
  <c r="BS88" i="11"/>
  <c r="BV88" i="11" s="1"/>
  <c r="BR88" i="11"/>
  <c r="BP88" i="11"/>
  <c r="BO88" i="11"/>
  <c r="BM88" i="11" s="1"/>
  <c r="BN88" i="11"/>
  <c r="BL88" i="11"/>
  <c r="BK88" i="11"/>
  <c r="BJ88" i="11"/>
  <c r="BI88" i="11" s="1"/>
  <c r="BH88" i="11"/>
  <c r="BA88" i="11"/>
  <c r="AZ88" i="11"/>
  <c r="BC88" i="11" s="1"/>
  <c r="BF88" i="11" s="1"/>
  <c r="AX88" i="11"/>
  <c r="AW88" i="11"/>
  <c r="AV88" i="11"/>
  <c r="AU88" i="11"/>
  <c r="AT88" i="11"/>
  <c r="AS88" i="11"/>
  <c r="AQ88" i="11" s="1"/>
  <c r="AR88" i="11"/>
  <c r="AP88" i="11"/>
  <c r="AJ88" i="11"/>
  <c r="AI88" i="11"/>
  <c r="AF88" i="11"/>
  <c r="AD88" i="11" s="1"/>
  <c r="AE88" i="11"/>
  <c r="AB88" i="11"/>
  <c r="Y88" i="11"/>
  <c r="AM88" i="11" s="1"/>
  <c r="AN88" i="11" s="1"/>
  <c r="AO88" i="11" s="1"/>
  <c r="X88" i="11"/>
  <c r="AL88" i="11" s="1"/>
  <c r="U88" i="11"/>
  <c r="R88" i="11"/>
  <c r="P88" i="11" s="1"/>
  <c r="Q88" i="11"/>
  <c r="L88" i="11"/>
  <c r="K88" i="11"/>
  <c r="J88" i="11"/>
  <c r="I88" i="11"/>
  <c r="H88" i="11"/>
  <c r="G88" i="11"/>
  <c r="F88" i="11"/>
  <c r="B88" i="11"/>
  <c r="E88" i="11" s="1"/>
  <c r="A88" i="11"/>
  <c r="CB87" i="11"/>
  <c r="CA87" i="11"/>
  <c r="BZ87" i="11"/>
  <c r="BY87" i="11"/>
  <c r="BX87" i="11"/>
  <c r="BW87" i="11"/>
  <c r="BV87" i="11"/>
  <c r="BS87" i="11"/>
  <c r="BQ87" i="11" s="1"/>
  <c r="BT87" i="11" s="1"/>
  <c r="BR87" i="11"/>
  <c r="BP87" i="11"/>
  <c r="BO87" i="11"/>
  <c r="BM87" i="11" s="1"/>
  <c r="BN87" i="11"/>
  <c r="BU87" i="11" s="1"/>
  <c r="BL87" i="11"/>
  <c r="BK87" i="11"/>
  <c r="BI87" i="11" s="1"/>
  <c r="BJ87" i="11"/>
  <c r="BH87" i="11"/>
  <c r="BA87" i="11"/>
  <c r="AZ87" i="11"/>
  <c r="BC87" i="11" s="1"/>
  <c r="BF87" i="11" s="1"/>
  <c r="AX87" i="11"/>
  <c r="AW87" i="11"/>
  <c r="AV87" i="11"/>
  <c r="AT87" i="11"/>
  <c r="AS87" i="11"/>
  <c r="AR87" i="11"/>
  <c r="AQ87" i="11"/>
  <c r="AP87" i="11"/>
  <c r="AJ87" i="11"/>
  <c r="AI87" i="11"/>
  <c r="AF87" i="11"/>
  <c r="AE87" i="11"/>
  <c r="AB87" i="11"/>
  <c r="Y87" i="11"/>
  <c r="X87" i="11"/>
  <c r="W87" i="11"/>
  <c r="U87" i="11"/>
  <c r="R87" i="11"/>
  <c r="Q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CB86" i="11"/>
  <c r="CA86" i="11"/>
  <c r="BZ86" i="11"/>
  <c r="BX86" i="11" s="1"/>
  <c r="BY86" i="11"/>
  <c r="BW86" i="11"/>
  <c r="BU86" i="11"/>
  <c r="BS86" i="11"/>
  <c r="BR86" i="11"/>
  <c r="BP86" i="11"/>
  <c r="BO86" i="11"/>
  <c r="BN86" i="11"/>
  <c r="BM86" i="11"/>
  <c r="BL86" i="11"/>
  <c r="BK86" i="11"/>
  <c r="BI86" i="11" s="1"/>
  <c r="BJ86" i="11"/>
  <c r="BH86" i="11"/>
  <c r="BC86" i="11"/>
  <c r="BF86" i="11" s="1"/>
  <c r="BB86" i="11"/>
  <c r="BE86" i="11" s="1"/>
  <c r="BA86" i="11"/>
  <c r="AY86" i="11" s="1"/>
  <c r="AZ86" i="11"/>
  <c r="AX86" i="11"/>
  <c r="AW86" i="11"/>
  <c r="BD86" i="11" s="1"/>
  <c r="AV86" i="11"/>
  <c r="AT86" i="11"/>
  <c r="AS86" i="11"/>
  <c r="AQ86" i="11" s="1"/>
  <c r="AR86" i="11"/>
  <c r="AP86" i="11"/>
  <c r="AJ86" i="11"/>
  <c r="AI86" i="11"/>
  <c r="AF86" i="11"/>
  <c r="AE86" i="11"/>
  <c r="AD86" i="11" s="1"/>
  <c r="AK86" i="11" s="1"/>
  <c r="AB86" i="11"/>
  <c r="Y86" i="11"/>
  <c r="W86" i="11" s="1"/>
  <c r="X86" i="11"/>
  <c r="U86" i="11"/>
  <c r="R86" i="11"/>
  <c r="Q86" i="11"/>
  <c r="P86" i="11"/>
  <c r="L86" i="11"/>
  <c r="K86" i="11"/>
  <c r="J86" i="11"/>
  <c r="F86" i="11"/>
  <c r="E86" i="11"/>
  <c r="D86" i="11"/>
  <c r="C86" i="11"/>
  <c r="B86" i="11"/>
  <c r="A86" i="11"/>
  <c r="CB85" i="11"/>
  <c r="CA85" i="11"/>
  <c r="BZ85" i="11"/>
  <c r="BY85" i="11"/>
  <c r="BX85" i="11" s="1"/>
  <c r="BW85" i="11"/>
  <c r="BS85" i="11"/>
  <c r="BR85" i="11"/>
  <c r="BQ85" i="11"/>
  <c r="BT85" i="11" s="1"/>
  <c r="BP85" i="11"/>
  <c r="BO85" i="11"/>
  <c r="BN85" i="11"/>
  <c r="BL85" i="11"/>
  <c r="BK85" i="11"/>
  <c r="BJ85" i="11"/>
  <c r="BI85" i="11" s="1"/>
  <c r="BH85" i="11"/>
  <c r="BA85" i="11"/>
  <c r="BD85" i="11" s="1"/>
  <c r="AZ85" i="11"/>
  <c r="AX85" i="11"/>
  <c r="AW85" i="11"/>
  <c r="AU85" i="11" s="1"/>
  <c r="AV85" i="11"/>
  <c r="AT85" i="11"/>
  <c r="AS85" i="11"/>
  <c r="AR85" i="11"/>
  <c r="AQ85" i="11" s="1"/>
  <c r="AP85" i="11"/>
  <c r="AJ85" i="11"/>
  <c r="AI85" i="11"/>
  <c r="AF85" i="11"/>
  <c r="AD85" i="11" s="1"/>
  <c r="AK85" i="11" s="1"/>
  <c r="AE85" i="11"/>
  <c r="AB85" i="11"/>
  <c r="Y85" i="11"/>
  <c r="W85" i="11" s="1"/>
  <c r="X85" i="11"/>
  <c r="AL85" i="11" s="1"/>
  <c r="U85" i="11"/>
  <c r="R85" i="11"/>
  <c r="P85" i="11" s="1"/>
  <c r="Q85" i="11"/>
  <c r="K85" i="11"/>
  <c r="J85" i="11"/>
  <c r="L85" i="11" s="1"/>
  <c r="I85" i="11"/>
  <c r="H85" i="11"/>
  <c r="G85" i="11"/>
  <c r="F85" i="11"/>
  <c r="C85" i="11"/>
  <c r="B85" i="11"/>
  <c r="A85" i="11"/>
  <c r="CB84" i="11"/>
  <c r="CA84" i="11"/>
  <c r="BZ84" i="11"/>
  <c r="BX84" i="11" s="1"/>
  <c r="BY84" i="11"/>
  <c r="BW84" i="11"/>
  <c r="BV84" i="11"/>
  <c r="BT84" i="11"/>
  <c r="BS84" i="11"/>
  <c r="BQ84" i="11" s="1"/>
  <c r="BR84" i="11"/>
  <c r="BP84" i="11"/>
  <c r="BO84" i="11"/>
  <c r="BN84" i="11"/>
  <c r="BM84" i="11" s="1"/>
  <c r="BL84" i="11"/>
  <c r="BK84" i="11"/>
  <c r="BI84" i="11" s="1"/>
  <c r="BJ84" i="11"/>
  <c r="BH84" i="11"/>
  <c r="BA84" i="11"/>
  <c r="AZ84" i="11"/>
  <c r="AY84" i="11"/>
  <c r="BB84" i="11" s="1"/>
  <c r="BE84" i="11" s="1"/>
  <c r="AX84" i="11"/>
  <c r="AW84" i="11"/>
  <c r="AU84" i="11" s="1"/>
  <c r="AV84" i="11"/>
  <c r="BC84" i="11" s="1"/>
  <c r="BF84" i="11" s="1"/>
  <c r="AT84" i="11"/>
  <c r="AS84" i="11"/>
  <c r="AR84" i="11"/>
  <c r="AQ84" i="11"/>
  <c r="AP84" i="11"/>
  <c r="AJ84" i="11"/>
  <c r="AI84" i="11"/>
  <c r="AF84" i="11"/>
  <c r="AE84" i="11"/>
  <c r="AL84" i="11" s="1"/>
  <c r="AD84" i="11"/>
  <c r="AB84" i="11"/>
  <c r="Y84" i="11"/>
  <c r="W84" i="11" s="1"/>
  <c r="X84" i="11"/>
  <c r="U84" i="11"/>
  <c r="R84" i="11"/>
  <c r="P84" i="11" s="1"/>
  <c r="Q84" i="11"/>
  <c r="L84" i="11"/>
  <c r="K84" i="11"/>
  <c r="J84" i="11"/>
  <c r="H84" i="11"/>
  <c r="F84" i="11"/>
  <c r="I84" i="11" s="1"/>
  <c r="E84" i="11"/>
  <c r="D84" i="11"/>
  <c r="C84" i="11"/>
  <c r="B84" i="11"/>
  <c r="A84" i="11"/>
  <c r="CB83" i="11"/>
  <c r="CA83" i="11"/>
  <c r="BZ83" i="11"/>
  <c r="BX83" i="11" s="1"/>
  <c r="BY83" i="11"/>
  <c r="BW83" i="11"/>
  <c r="BS83" i="11"/>
  <c r="BR83" i="11"/>
  <c r="BQ83" i="11"/>
  <c r="BT83" i="11" s="1"/>
  <c r="BP83" i="11"/>
  <c r="BO83" i="11"/>
  <c r="BM83" i="11" s="1"/>
  <c r="BN83" i="11"/>
  <c r="BL83" i="11"/>
  <c r="BK83" i="11"/>
  <c r="BI83" i="11" s="1"/>
  <c r="BJ83" i="11"/>
  <c r="BH83" i="11"/>
  <c r="BA83" i="11"/>
  <c r="AY83" i="11" s="1"/>
  <c r="BB83" i="11" s="1"/>
  <c r="BE83" i="11" s="1"/>
  <c r="AZ83" i="11"/>
  <c r="AX83" i="11"/>
  <c r="AW83" i="11"/>
  <c r="AV83" i="11"/>
  <c r="AU83" i="11" s="1"/>
  <c r="AT83" i="11"/>
  <c r="AS83" i="11"/>
  <c r="AQ83" i="11" s="1"/>
  <c r="AR83" i="11"/>
  <c r="AP83" i="11"/>
  <c r="AL83" i="11"/>
  <c r="AJ83" i="11"/>
  <c r="AI83" i="11"/>
  <c r="AF83" i="11"/>
  <c r="AE83" i="11"/>
  <c r="AD83" i="11"/>
  <c r="AK83" i="11" s="1"/>
  <c r="AB83" i="11"/>
  <c r="Y83" i="11"/>
  <c r="W83" i="11" s="1"/>
  <c r="X83" i="11"/>
  <c r="U83" i="11"/>
  <c r="R83" i="11"/>
  <c r="Q83" i="11"/>
  <c r="P83" i="11"/>
  <c r="J83" i="11"/>
  <c r="L83" i="11" s="1"/>
  <c r="I83" i="11"/>
  <c r="H83" i="11"/>
  <c r="G83" i="11"/>
  <c r="F83" i="11"/>
  <c r="B83" i="11"/>
  <c r="E83" i="11" s="1"/>
  <c r="A83" i="11"/>
  <c r="CB82" i="11"/>
  <c r="CA82" i="11"/>
  <c r="BZ82" i="11"/>
  <c r="BY82" i="11"/>
  <c r="BX82" i="11" s="1"/>
  <c r="BW82" i="11"/>
  <c r="BV82" i="11"/>
  <c r="BS82" i="11"/>
  <c r="BR82" i="11"/>
  <c r="BQ82" i="11"/>
  <c r="BT82" i="11" s="1"/>
  <c r="BP82" i="11"/>
  <c r="BO82" i="11"/>
  <c r="BM82" i="11" s="1"/>
  <c r="BN82" i="11"/>
  <c r="BU82" i="11" s="1"/>
  <c r="BL82" i="11"/>
  <c r="BK82" i="11"/>
  <c r="BJ82" i="11"/>
  <c r="BI82" i="11"/>
  <c r="BH82" i="11"/>
  <c r="BA82" i="11"/>
  <c r="AZ82" i="11"/>
  <c r="AY82" i="11"/>
  <c r="BB82" i="11" s="1"/>
  <c r="BE82" i="11" s="1"/>
  <c r="AX82" i="11"/>
  <c r="AW82" i="11"/>
  <c r="AU82" i="11" s="1"/>
  <c r="AV82" i="11"/>
  <c r="AT82" i="11"/>
  <c r="AS82" i="11"/>
  <c r="AQ82" i="11" s="1"/>
  <c r="AR82" i="11"/>
  <c r="AP82" i="11"/>
  <c r="AJ82" i="11"/>
  <c r="AI82" i="11"/>
  <c r="AF82" i="11"/>
  <c r="AE82" i="11"/>
  <c r="AB82" i="11"/>
  <c r="Y82" i="11"/>
  <c r="X82" i="11"/>
  <c r="W82" i="11" s="1"/>
  <c r="U82" i="11"/>
  <c r="R82" i="11"/>
  <c r="P82" i="11" s="1"/>
  <c r="Q82" i="11"/>
  <c r="J82" i="11"/>
  <c r="I82" i="11"/>
  <c r="H82" i="11"/>
  <c r="G82" i="11"/>
  <c r="F82" i="11"/>
  <c r="B82" i="11"/>
  <c r="A82" i="11"/>
  <c r="CB81" i="11"/>
  <c r="CA81" i="11"/>
  <c r="BZ81" i="11"/>
  <c r="BX81" i="11" s="1"/>
  <c r="BY81" i="11"/>
  <c r="BW81" i="11"/>
  <c r="BS81" i="11"/>
  <c r="BQ81" i="11" s="1"/>
  <c r="BT81" i="11" s="1"/>
  <c r="BR81" i="11"/>
  <c r="BP81" i="11"/>
  <c r="BO81" i="11"/>
  <c r="BN81" i="11"/>
  <c r="BM81" i="11" s="1"/>
  <c r="BL81" i="11"/>
  <c r="BK81" i="11"/>
  <c r="BI81" i="11" s="1"/>
  <c r="BJ81" i="11"/>
  <c r="BH81" i="11"/>
  <c r="BE81" i="11"/>
  <c r="BD81" i="11"/>
  <c r="BA81" i="11"/>
  <c r="AY81" i="11" s="1"/>
  <c r="BB81" i="11" s="1"/>
  <c r="AZ81" i="11"/>
  <c r="AX81" i="11"/>
  <c r="AW81" i="11"/>
  <c r="AU81" i="11" s="1"/>
  <c r="AV81" i="11"/>
  <c r="BC81" i="11" s="1"/>
  <c r="BF81" i="11" s="1"/>
  <c r="AT81" i="11"/>
  <c r="AS81" i="11"/>
  <c r="AQ81" i="11" s="1"/>
  <c r="AR81" i="11"/>
  <c r="AP81" i="11"/>
  <c r="AJ81" i="11"/>
  <c r="AI81" i="11"/>
  <c r="AF81" i="11"/>
  <c r="AE81" i="11"/>
  <c r="AL81" i="11" s="1"/>
  <c r="AB81" i="11"/>
  <c r="Y81" i="11"/>
  <c r="W81" i="11" s="1"/>
  <c r="X81" i="11"/>
  <c r="U81" i="11"/>
  <c r="R81" i="11"/>
  <c r="P81" i="11" s="1"/>
  <c r="Q81" i="11"/>
  <c r="L81" i="11"/>
  <c r="K81" i="11"/>
  <c r="J81" i="11"/>
  <c r="G81" i="11"/>
  <c r="F81" i="11"/>
  <c r="E81" i="11"/>
  <c r="D81" i="11"/>
  <c r="C81" i="11"/>
  <c r="B81" i="11"/>
  <c r="A81" i="11"/>
  <c r="BZ80" i="11"/>
  <c r="BY80" i="11"/>
  <c r="BX80" i="11" s="1"/>
  <c r="BV80" i="11"/>
  <c r="BS80" i="11"/>
  <c r="BQ80" i="11" s="1"/>
  <c r="BT80" i="11" s="1"/>
  <c r="BR80" i="11"/>
  <c r="BO80" i="11"/>
  <c r="BN80" i="11"/>
  <c r="BU80" i="11" s="1"/>
  <c r="BK80" i="11"/>
  <c r="BI80" i="11" s="1"/>
  <c r="BJ80" i="11"/>
  <c r="BA80" i="11"/>
  <c r="AY80" i="11" s="1"/>
  <c r="BB80" i="11" s="1"/>
  <c r="BE80" i="11" s="1"/>
  <c r="AZ80" i="11"/>
  <c r="AW80" i="11"/>
  <c r="AV80" i="11"/>
  <c r="AU80" i="11" s="1"/>
  <c r="AS80" i="11"/>
  <c r="AQ80" i="11" s="1"/>
  <c r="AR80" i="11"/>
  <c r="AP80" i="11"/>
  <c r="AJ80" i="11"/>
  <c r="AI80" i="11"/>
  <c r="AF80" i="11"/>
  <c r="AD80" i="11" s="1"/>
  <c r="AE80" i="11"/>
  <c r="AB80" i="11"/>
  <c r="Y80" i="11"/>
  <c r="AM80" i="11" s="1"/>
  <c r="AN80" i="11" s="1"/>
  <c r="AO80" i="11" s="1"/>
  <c r="X80" i="11"/>
  <c r="AL80" i="11" s="1"/>
  <c r="U80" i="11"/>
  <c r="R80" i="11"/>
  <c r="P80" i="11" s="1"/>
  <c r="Q80" i="11"/>
  <c r="J80" i="11"/>
  <c r="L80" i="11" s="1"/>
  <c r="I80" i="11"/>
  <c r="H80" i="11"/>
  <c r="G80" i="11"/>
  <c r="F80" i="11"/>
  <c r="B80" i="11"/>
  <c r="E80" i="11" s="1"/>
  <c r="A80" i="11"/>
  <c r="CB79" i="11"/>
  <c r="CA79" i="11"/>
  <c r="BZ79" i="11"/>
  <c r="BY79" i="11"/>
  <c r="BX79" i="11"/>
  <c r="BW79" i="11"/>
  <c r="BV79" i="11"/>
  <c r="BU79" i="11"/>
  <c r="BS79" i="11"/>
  <c r="BQ79" i="11" s="1"/>
  <c r="BT79" i="11" s="1"/>
  <c r="BR79" i="11"/>
  <c r="BP79" i="11"/>
  <c r="BO79" i="11"/>
  <c r="BN79" i="11"/>
  <c r="BM79" i="11"/>
  <c r="BL79" i="11"/>
  <c r="BK79" i="11"/>
  <c r="BI79" i="11" s="1"/>
  <c r="BJ79" i="11"/>
  <c r="BH79" i="11"/>
  <c r="BA79" i="11"/>
  <c r="AZ79" i="11"/>
  <c r="BC79" i="11" s="1"/>
  <c r="BF79" i="11" s="1"/>
  <c r="AY79" i="11"/>
  <c r="BB79" i="11" s="1"/>
  <c r="BE79" i="11" s="1"/>
  <c r="AX79" i="11"/>
  <c r="AW79" i="11"/>
  <c r="AV79" i="11"/>
  <c r="AT79" i="11"/>
  <c r="AS79" i="11"/>
  <c r="AR79" i="11"/>
  <c r="AQ79" i="11"/>
  <c r="AP79" i="11"/>
  <c r="AJ79" i="11"/>
  <c r="AI79" i="11"/>
  <c r="AF79" i="11"/>
  <c r="AE79" i="11"/>
  <c r="AL79" i="11" s="1"/>
  <c r="AB79" i="11"/>
  <c r="Y79" i="11"/>
  <c r="X79" i="11"/>
  <c r="W79" i="11"/>
  <c r="U79" i="11"/>
  <c r="R79" i="11"/>
  <c r="P79" i="11" s="1"/>
  <c r="Q79" i="11"/>
  <c r="L79" i="11"/>
  <c r="K79" i="11"/>
  <c r="J79" i="11"/>
  <c r="F79" i="11"/>
  <c r="I79" i="11" s="1"/>
  <c r="E79" i="11"/>
  <c r="D79" i="11"/>
  <c r="C79" i="11"/>
  <c r="B79" i="11"/>
  <c r="A79" i="11"/>
  <c r="BZ78" i="11"/>
  <c r="BY78" i="11"/>
  <c r="BX78" i="11"/>
  <c r="BS78" i="11"/>
  <c r="BR78" i="11"/>
  <c r="BQ78" i="11" s="1"/>
  <c r="BT78" i="11" s="1"/>
  <c r="BO78" i="11"/>
  <c r="BN78" i="11"/>
  <c r="BK78" i="11"/>
  <c r="BI78" i="11" s="1"/>
  <c r="BJ78" i="11"/>
  <c r="BA78" i="11"/>
  <c r="AZ78" i="11"/>
  <c r="AY78" i="11"/>
  <c r="BB78" i="11" s="1"/>
  <c r="BE78" i="11" s="1"/>
  <c r="AW78" i="11"/>
  <c r="AU78" i="11" s="1"/>
  <c r="AV78" i="11"/>
  <c r="BC78" i="11" s="1"/>
  <c r="BF78" i="11" s="1"/>
  <c r="AS78" i="11"/>
  <c r="AQ78" i="11" s="1"/>
  <c r="AR78" i="11"/>
  <c r="AP78" i="11"/>
  <c r="AL78" i="11"/>
  <c r="AJ78" i="11"/>
  <c r="AI78" i="11"/>
  <c r="AF78" i="11"/>
  <c r="AE78" i="11"/>
  <c r="AD78" i="11"/>
  <c r="AK78" i="11" s="1"/>
  <c r="AB78" i="11"/>
  <c r="Y78" i="11"/>
  <c r="W78" i="11" s="1"/>
  <c r="X78" i="11"/>
  <c r="U78" i="11"/>
  <c r="R78" i="11"/>
  <c r="Q78" i="11"/>
  <c r="P78" i="11"/>
  <c r="L78" i="11"/>
  <c r="K78" i="11"/>
  <c r="J78" i="11"/>
  <c r="F78" i="11"/>
  <c r="E78" i="11"/>
  <c r="D78" i="11"/>
  <c r="C78" i="11"/>
  <c r="B78" i="11"/>
  <c r="A78" i="11"/>
  <c r="CB77" i="11"/>
  <c r="CA77" i="11"/>
  <c r="BZ77" i="11"/>
  <c r="BX77" i="11" s="1"/>
  <c r="BY77" i="11"/>
  <c r="BW77" i="11"/>
  <c r="BS77" i="11"/>
  <c r="BR77" i="11"/>
  <c r="BU77" i="11" s="1"/>
  <c r="BP77" i="11"/>
  <c r="BO77" i="11"/>
  <c r="BN77" i="11"/>
  <c r="BL77" i="11"/>
  <c r="BK77" i="11"/>
  <c r="BJ77" i="11"/>
  <c r="BI77" i="11"/>
  <c r="BH77" i="11"/>
  <c r="BB77" i="11"/>
  <c r="BE77" i="11" s="1"/>
  <c r="BA77" i="11"/>
  <c r="AZ77" i="11"/>
  <c r="BC77" i="11" s="1"/>
  <c r="BF77" i="11" s="1"/>
  <c r="AY77" i="11"/>
  <c r="AX77" i="11"/>
  <c r="AW77" i="11"/>
  <c r="AU77" i="11" s="1"/>
  <c r="AV77" i="11"/>
  <c r="AT77" i="11"/>
  <c r="AS77" i="11"/>
  <c r="AQ77" i="11" s="1"/>
  <c r="AR77" i="11"/>
  <c r="AP77" i="11"/>
  <c r="AJ77" i="11"/>
  <c r="AI77" i="11"/>
  <c r="AF77" i="11"/>
  <c r="AD77" i="11" s="1"/>
  <c r="AK77" i="11" s="1"/>
  <c r="AE77" i="11"/>
  <c r="AB77" i="11"/>
  <c r="Y77" i="11"/>
  <c r="X77" i="11"/>
  <c r="AL77" i="11" s="1"/>
  <c r="W77" i="11"/>
  <c r="U77" i="11"/>
  <c r="R77" i="11"/>
  <c r="P77" i="11" s="1"/>
  <c r="Q77" i="11"/>
  <c r="J77" i="11"/>
  <c r="L77" i="11" s="1"/>
  <c r="I77" i="11"/>
  <c r="H77" i="11"/>
  <c r="G77" i="11"/>
  <c r="F77" i="11"/>
  <c r="B77" i="11"/>
  <c r="A77" i="11"/>
  <c r="CB76" i="11"/>
  <c r="CA76" i="11"/>
  <c r="BZ76" i="11"/>
  <c r="BX76" i="11" s="1"/>
  <c r="BY76" i="11"/>
  <c r="BW76" i="11"/>
  <c r="BV76" i="11"/>
  <c r="BU76" i="11"/>
  <c r="BS76" i="11"/>
  <c r="BQ76" i="11" s="1"/>
  <c r="BT76" i="11" s="1"/>
  <c r="BR76" i="11"/>
  <c r="BP76" i="11"/>
  <c r="BO76" i="11"/>
  <c r="BN76" i="11"/>
  <c r="BM76" i="11" s="1"/>
  <c r="BL76" i="11"/>
  <c r="BK76" i="11"/>
  <c r="BI76" i="11" s="1"/>
  <c r="BJ76" i="11"/>
  <c r="BH76" i="11"/>
  <c r="BE76" i="11"/>
  <c r="BD76" i="11"/>
  <c r="BA76" i="11"/>
  <c r="AZ76" i="11"/>
  <c r="AY76" i="11"/>
  <c r="BB76" i="11" s="1"/>
  <c r="AX76" i="11"/>
  <c r="AW76" i="11"/>
  <c r="AV76" i="11"/>
  <c r="BC76" i="11" s="1"/>
  <c r="BF76" i="11" s="1"/>
  <c r="AT76" i="11"/>
  <c r="AS76" i="11"/>
  <c r="AR76" i="11"/>
  <c r="AQ76" i="11"/>
  <c r="AP76" i="11"/>
  <c r="AJ76" i="11"/>
  <c r="AI76" i="11"/>
  <c r="AF76" i="11"/>
  <c r="AE76" i="11"/>
  <c r="AL76" i="11" s="1"/>
  <c r="AB76" i="11"/>
  <c r="Y76" i="11"/>
  <c r="W76" i="11" s="1"/>
  <c r="X76" i="11"/>
  <c r="U76" i="11"/>
  <c r="R76" i="11"/>
  <c r="Q76" i="11"/>
  <c r="P76" i="11"/>
  <c r="L76" i="11"/>
  <c r="K76" i="11"/>
  <c r="J76" i="11"/>
  <c r="F76" i="11"/>
  <c r="I76" i="11" s="1"/>
  <c r="E76" i="11"/>
  <c r="D76" i="11"/>
  <c r="C76" i="11"/>
  <c r="B76" i="11"/>
  <c r="A76" i="11"/>
  <c r="BZ75" i="11"/>
  <c r="BY75" i="11"/>
  <c r="BX75" i="11"/>
  <c r="BV75" i="11"/>
  <c r="BS75" i="11"/>
  <c r="BR75" i="11"/>
  <c r="BQ75" i="11"/>
  <c r="BT75" i="11" s="1"/>
  <c r="BO75" i="11"/>
  <c r="BN75" i="11"/>
  <c r="BU75" i="11" s="1"/>
  <c r="BM75" i="11"/>
  <c r="BK75" i="11"/>
  <c r="BI75" i="11" s="1"/>
  <c r="BJ75" i="11"/>
  <c r="BA75" i="11"/>
  <c r="AY75" i="11" s="1"/>
  <c r="BB75" i="11" s="1"/>
  <c r="BE75" i="11" s="1"/>
  <c r="AZ75" i="11"/>
  <c r="AW75" i="11"/>
  <c r="BD75" i="11" s="1"/>
  <c r="AV75" i="11"/>
  <c r="BC75" i="11" s="1"/>
  <c r="BF75" i="11" s="1"/>
  <c r="AU75" i="11"/>
  <c r="AS75" i="11"/>
  <c r="AQ75" i="11" s="1"/>
  <c r="AR75" i="11"/>
  <c r="AP75" i="11"/>
  <c r="AL75" i="11"/>
  <c r="AJ75" i="11"/>
  <c r="AI75" i="11"/>
  <c r="AF75" i="11"/>
  <c r="AE75" i="11"/>
  <c r="AD75" i="11"/>
  <c r="AB75" i="11"/>
  <c r="Y75" i="11"/>
  <c r="W75" i="11" s="1"/>
  <c r="AK75" i="11" s="1"/>
  <c r="X75" i="11"/>
  <c r="U75" i="11"/>
  <c r="R75" i="11"/>
  <c r="Q75" i="11"/>
  <c r="P75" i="11"/>
  <c r="J75" i="11"/>
  <c r="L75" i="11" s="1"/>
  <c r="I75" i="11"/>
  <c r="H75" i="11"/>
  <c r="G75" i="11"/>
  <c r="F75" i="11"/>
  <c r="B75" i="11"/>
  <c r="E75" i="11" s="1"/>
  <c r="A75" i="11"/>
  <c r="CB74" i="11"/>
  <c r="CA74" i="11"/>
  <c r="BZ74" i="11"/>
  <c r="BY74" i="11"/>
  <c r="BX74" i="11" s="1"/>
  <c r="BW74" i="11"/>
  <c r="BV74" i="11"/>
  <c r="BS74" i="11"/>
  <c r="BR74" i="11"/>
  <c r="BQ74" i="11"/>
  <c r="BT74" i="11" s="1"/>
  <c r="BP74" i="11"/>
  <c r="BO74" i="11"/>
  <c r="BM74" i="11" s="1"/>
  <c r="BN74" i="11"/>
  <c r="BU74" i="11" s="1"/>
  <c r="BL74" i="11"/>
  <c r="BK74" i="11"/>
  <c r="BJ74" i="11"/>
  <c r="BI74" i="11"/>
  <c r="BH74" i="11"/>
  <c r="BA74" i="11"/>
  <c r="AZ74" i="11"/>
  <c r="BC74" i="11" s="1"/>
  <c r="BF74" i="11" s="1"/>
  <c r="AY74" i="11"/>
  <c r="BB74" i="11" s="1"/>
  <c r="BE74" i="11" s="1"/>
  <c r="AX74" i="11"/>
  <c r="AW74" i="11"/>
  <c r="AU74" i="11" s="1"/>
  <c r="AV74" i="11"/>
  <c r="AT74" i="11"/>
  <c r="AS74" i="11"/>
  <c r="AR74" i="11"/>
  <c r="AQ74" i="11"/>
  <c r="AP74" i="11"/>
  <c r="AJ74" i="11"/>
  <c r="AI74" i="11"/>
  <c r="AF74" i="11"/>
  <c r="AE74" i="11"/>
  <c r="AB74" i="11"/>
  <c r="Y74" i="11"/>
  <c r="X74" i="11"/>
  <c r="W74" i="11" s="1"/>
  <c r="U74" i="11"/>
  <c r="R74" i="11"/>
  <c r="P74" i="11" s="1"/>
  <c r="Q74" i="11"/>
  <c r="J74" i="11"/>
  <c r="I74" i="11"/>
  <c r="H74" i="11"/>
  <c r="G74" i="11"/>
  <c r="F74" i="11"/>
  <c r="B74" i="11"/>
  <c r="A74" i="11"/>
  <c r="CB73" i="11"/>
  <c r="CA73" i="11"/>
  <c r="BZ73" i="11"/>
  <c r="BX73" i="11" s="1"/>
  <c r="BY73" i="11"/>
  <c r="BW73" i="11"/>
  <c r="BV73" i="11"/>
  <c r="BS73" i="11"/>
  <c r="BQ73" i="11" s="1"/>
  <c r="BT73" i="11" s="1"/>
  <c r="BR73" i="11"/>
  <c r="BP73" i="11"/>
  <c r="BO73" i="11"/>
  <c r="BN73" i="11"/>
  <c r="BM73" i="11" s="1"/>
  <c r="BL73" i="11"/>
  <c r="BK73" i="11"/>
  <c r="BI73" i="11" s="1"/>
  <c r="BJ73" i="11"/>
  <c r="BH73" i="11"/>
  <c r="BD73" i="11"/>
  <c r="BC73" i="11"/>
  <c r="BF73" i="11" s="1"/>
  <c r="BA73" i="11"/>
  <c r="AY73" i="11" s="1"/>
  <c r="BB73" i="11" s="1"/>
  <c r="BE73" i="11" s="1"/>
  <c r="AZ73" i="11"/>
  <c r="AX73" i="11"/>
  <c r="AW73" i="11"/>
  <c r="AV73" i="11"/>
  <c r="AU73" i="11"/>
  <c r="AT73" i="11"/>
  <c r="AS73" i="11"/>
  <c r="AQ73" i="11" s="1"/>
  <c r="AR73" i="11"/>
  <c r="AP73" i="11"/>
  <c r="AJ73" i="11"/>
  <c r="AI73" i="11"/>
  <c r="AF73" i="11"/>
  <c r="AD73" i="11" s="1"/>
  <c r="AK73" i="11" s="1"/>
  <c r="AE73" i="11"/>
  <c r="AL73" i="11" s="1"/>
  <c r="AB73" i="11"/>
  <c r="Y73" i="11"/>
  <c r="W73" i="11" s="1"/>
  <c r="X73" i="11"/>
  <c r="U73" i="11"/>
  <c r="R73" i="11"/>
  <c r="Q73" i="11"/>
  <c r="P73" i="11"/>
  <c r="L73" i="11"/>
  <c r="K73" i="11"/>
  <c r="J73" i="11"/>
  <c r="F73" i="11"/>
  <c r="E73" i="11"/>
  <c r="D73" i="11"/>
  <c r="C73" i="11"/>
  <c r="B73" i="11"/>
  <c r="A73" i="11"/>
  <c r="CB72" i="11"/>
  <c r="CA72" i="11"/>
  <c r="BZ72" i="11"/>
  <c r="BY72" i="11"/>
  <c r="BX72" i="11" s="1"/>
  <c r="BW72" i="11"/>
  <c r="BS72" i="11"/>
  <c r="BR72" i="11"/>
  <c r="BU72" i="11" s="1"/>
  <c r="BP72" i="11"/>
  <c r="BO72" i="11"/>
  <c r="BM72" i="11" s="1"/>
  <c r="BN72" i="11"/>
  <c r="BL72" i="11"/>
  <c r="BK72" i="11"/>
  <c r="BI72" i="11" s="1"/>
  <c r="BJ72" i="11"/>
  <c r="BH72" i="11"/>
  <c r="BA72" i="11"/>
  <c r="AZ72" i="11"/>
  <c r="BC72" i="11" s="1"/>
  <c r="BF72" i="11" s="1"/>
  <c r="AX72" i="11"/>
  <c r="AW72" i="11"/>
  <c r="AV72" i="11"/>
  <c r="AU72" i="11"/>
  <c r="AT72" i="11"/>
  <c r="AS72" i="11"/>
  <c r="AR72" i="11"/>
  <c r="AP72" i="11"/>
  <c r="AJ72" i="11"/>
  <c r="AI72" i="11"/>
  <c r="AF72" i="11"/>
  <c r="AD72" i="11" s="1"/>
  <c r="AE72" i="11"/>
  <c r="AB72" i="11"/>
  <c r="Y72" i="11"/>
  <c r="W72" i="11" s="1"/>
  <c r="X72" i="11"/>
  <c r="AL72" i="11" s="1"/>
  <c r="U72" i="11"/>
  <c r="R72" i="11"/>
  <c r="P72" i="11" s="1"/>
  <c r="Q72" i="11"/>
  <c r="J72" i="11"/>
  <c r="L72" i="11" s="1"/>
  <c r="I72" i="11"/>
  <c r="H72" i="11"/>
  <c r="G72" i="11"/>
  <c r="F72" i="11"/>
  <c r="C72" i="11"/>
  <c r="B72" i="11"/>
  <c r="E72" i="11" s="1"/>
  <c r="A72" i="11"/>
  <c r="CB71" i="11"/>
  <c r="CA71" i="11"/>
  <c r="BZ71" i="11"/>
  <c r="BY71" i="11"/>
  <c r="BX71" i="11"/>
  <c r="BW71" i="11"/>
  <c r="BV71" i="11"/>
  <c r="BU71" i="11"/>
  <c r="BS71" i="11"/>
  <c r="BQ71" i="11" s="1"/>
  <c r="BT71" i="11" s="1"/>
  <c r="BR71" i="11"/>
  <c r="BP71" i="11"/>
  <c r="BO71" i="11"/>
  <c r="BN71" i="11"/>
  <c r="BM71" i="11"/>
  <c r="BL71" i="11"/>
  <c r="BK71" i="11"/>
  <c r="BI71" i="11" s="1"/>
  <c r="BJ71" i="11"/>
  <c r="BH71" i="11"/>
  <c r="BA71" i="11"/>
  <c r="AZ71" i="11"/>
  <c r="AY71" i="11"/>
  <c r="BB71" i="11" s="1"/>
  <c r="BE71" i="11" s="1"/>
  <c r="AX71" i="11"/>
  <c r="AW71" i="11"/>
  <c r="AV71" i="11"/>
  <c r="AT71" i="11"/>
  <c r="AS71" i="11"/>
  <c r="AR71" i="11"/>
  <c r="AQ71" i="11" s="1"/>
  <c r="AP71" i="11"/>
  <c r="AJ71" i="11"/>
  <c r="AI71" i="11"/>
  <c r="AF71" i="11"/>
  <c r="AE71" i="11"/>
  <c r="AL71" i="11" s="1"/>
  <c r="AB71" i="11"/>
  <c r="Y71" i="11"/>
  <c r="X71" i="11"/>
  <c r="W71" i="11"/>
  <c r="U71" i="11"/>
  <c r="R71" i="11"/>
  <c r="P71" i="11" s="1"/>
  <c r="Q71" i="11"/>
  <c r="L71" i="11"/>
  <c r="K71" i="11"/>
  <c r="J71" i="11"/>
  <c r="I71" i="11"/>
  <c r="G71" i="11"/>
  <c r="F71" i="11"/>
  <c r="H71" i="11" s="1"/>
  <c r="E71" i="11"/>
  <c r="D71" i="11"/>
  <c r="C71" i="11"/>
  <c r="B71" i="11"/>
  <c r="A71" i="11"/>
  <c r="CB70" i="11"/>
  <c r="CA70" i="11"/>
  <c r="BZ70" i="11"/>
  <c r="BX70" i="11" s="1"/>
  <c r="BY70" i="11"/>
  <c r="BW70" i="11"/>
  <c r="BS70" i="11"/>
  <c r="BR70" i="11"/>
  <c r="BP70" i="11"/>
  <c r="BO70" i="11"/>
  <c r="BN70" i="11"/>
  <c r="BM70" i="11"/>
  <c r="BL70" i="11"/>
  <c r="BK70" i="11"/>
  <c r="BJ70" i="11"/>
  <c r="BU70" i="11" s="1"/>
  <c r="BH70" i="11"/>
  <c r="BD70" i="11"/>
  <c r="BA70" i="11"/>
  <c r="AY70" i="11" s="1"/>
  <c r="AZ70" i="11"/>
  <c r="AX70" i="11"/>
  <c r="AW70" i="11"/>
  <c r="AV70" i="11"/>
  <c r="AU70" i="11" s="1"/>
  <c r="AT70" i="11"/>
  <c r="AS70" i="11"/>
  <c r="AQ70" i="11" s="1"/>
  <c r="AR70" i="11"/>
  <c r="AP70" i="11"/>
  <c r="AJ70" i="11"/>
  <c r="AI70" i="11"/>
  <c r="AF70" i="11"/>
  <c r="AE70" i="11"/>
  <c r="AL70" i="11" s="1"/>
  <c r="AD70" i="11"/>
  <c r="AB70" i="11"/>
  <c r="Y70" i="11"/>
  <c r="W70" i="11" s="1"/>
  <c r="X70" i="11"/>
  <c r="U70" i="11"/>
  <c r="R70" i="11"/>
  <c r="Q70" i="11"/>
  <c r="P70" i="11" s="1"/>
  <c r="L70" i="11"/>
  <c r="K70" i="11"/>
  <c r="J70" i="11"/>
  <c r="F70" i="11"/>
  <c r="E70" i="11"/>
  <c r="D70" i="11"/>
  <c r="C70" i="11"/>
  <c r="B70" i="11"/>
  <c r="A70" i="11"/>
  <c r="CB69" i="11"/>
  <c r="CA69" i="11"/>
  <c r="BZ69" i="11"/>
  <c r="BY69" i="11"/>
  <c r="BX69" i="11"/>
  <c r="BW69" i="11"/>
  <c r="BS69" i="11"/>
  <c r="BR69" i="11"/>
  <c r="BU69" i="11" s="1"/>
  <c r="BP69" i="11"/>
  <c r="BO69" i="11"/>
  <c r="BN69" i="11"/>
  <c r="BL69" i="11"/>
  <c r="BK69" i="11"/>
  <c r="BJ69" i="11"/>
  <c r="BI69" i="11"/>
  <c r="BH69" i="11"/>
  <c r="BA69" i="11"/>
  <c r="AZ69" i="11"/>
  <c r="BC69" i="11" s="1"/>
  <c r="BF69" i="11" s="1"/>
  <c r="AY69" i="11"/>
  <c r="BB69" i="11" s="1"/>
  <c r="BE69" i="11" s="1"/>
  <c r="AX69" i="11"/>
  <c r="AW69" i="11"/>
  <c r="AU69" i="11" s="1"/>
  <c r="AV69" i="11"/>
  <c r="AT69" i="11"/>
  <c r="AS69" i="11"/>
  <c r="AR69" i="11"/>
  <c r="AQ69" i="11"/>
  <c r="AP69" i="11"/>
  <c r="AJ69" i="11"/>
  <c r="AI69" i="11"/>
  <c r="AF69" i="11"/>
  <c r="AD69" i="11" s="1"/>
  <c r="AE69" i="11"/>
  <c r="AB69" i="11"/>
  <c r="Y69" i="11"/>
  <c r="X69" i="11"/>
  <c r="AL69" i="11" s="1"/>
  <c r="W69" i="11"/>
  <c r="AK69" i="11" s="1"/>
  <c r="U69" i="11"/>
  <c r="R69" i="11"/>
  <c r="P69" i="11" s="1"/>
  <c r="Q69" i="11"/>
  <c r="J69" i="11"/>
  <c r="L69" i="11" s="1"/>
  <c r="I69" i="11"/>
  <c r="H69" i="11"/>
  <c r="G69" i="11"/>
  <c r="F69" i="11"/>
  <c r="C69" i="11"/>
  <c r="B69" i="11"/>
  <c r="A69" i="11"/>
  <c r="CB68" i="11"/>
  <c r="CA68" i="11"/>
  <c r="BZ68" i="11"/>
  <c r="BX68" i="11" s="1"/>
  <c r="BY68" i="11"/>
  <c r="BW68" i="11"/>
  <c r="BS68" i="11"/>
  <c r="BQ68" i="11" s="1"/>
  <c r="BT68" i="11" s="1"/>
  <c r="BR68" i="11"/>
  <c r="BP68" i="11"/>
  <c r="BO68" i="11"/>
  <c r="BV68" i="11" s="1"/>
  <c r="BN68" i="11"/>
  <c r="BU68" i="11" s="1"/>
  <c r="BL68" i="11"/>
  <c r="BK68" i="11"/>
  <c r="BI68" i="11" s="1"/>
  <c r="BJ68" i="11"/>
  <c r="BH68" i="11"/>
  <c r="BA68" i="11"/>
  <c r="AZ68" i="11"/>
  <c r="AY68" i="11"/>
  <c r="BB68" i="11" s="1"/>
  <c r="BE68" i="11" s="1"/>
  <c r="AX68" i="11"/>
  <c r="AW68" i="11"/>
  <c r="AV68" i="11"/>
  <c r="BC68" i="11" s="1"/>
  <c r="BF68" i="11" s="1"/>
  <c r="AT68" i="11"/>
  <c r="AS68" i="11"/>
  <c r="AR68" i="11"/>
  <c r="AQ68" i="11"/>
  <c r="AP68" i="11"/>
  <c r="AO68" i="11"/>
  <c r="AN68" i="11"/>
  <c r="AJ68" i="11"/>
  <c r="AI68" i="11"/>
  <c r="AF68" i="11"/>
  <c r="AM68" i="11" s="1"/>
  <c r="AE68" i="11"/>
  <c r="AB68" i="11"/>
  <c r="Y68" i="11"/>
  <c r="W68" i="11" s="1"/>
  <c r="X68" i="11"/>
  <c r="U68" i="11"/>
  <c r="R68" i="11"/>
  <c r="Q68" i="11"/>
  <c r="P68" i="11" s="1"/>
  <c r="L68" i="11"/>
  <c r="K68" i="11"/>
  <c r="J68" i="11"/>
  <c r="H68" i="11"/>
  <c r="G68" i="11"/>
  <c r="F68" i="11"/>
  <c r="I68" i="11" s="1"/>
  <c r="E68" i="11"/>
  <c r="D68" i="11"/>
  <c r="C68" i="11"/>
  <c r="B68" i="11"/>
  <c r="A68" i="11"/>
  <c r="CB67" i="11"/>
  <c r="CA67" i="11"/>
  <c r="BZ67" i="11"/>
  <c r="BY67" i="11"/>
  <c r="BW67" i="11"/>
  <c r="BS67" i="11"/>
  <c r="BV67" i="11" s="1"/>
  <c r="BR67" i="11"/>
  <c r="BU67" i="11" s="1"/>
  <c r="BP67" i="11"/>
  <c r="BO67" i="11"/>
  <c r="BM67" i="11" s="1"/>
  <c r="BN67" i="11"/>
  <c r="BL67" i="11"/>
  <c r="BK67" i="11"/>
  <c r="BJ67" i="11"/>
  <c r="BI67" i="11"/>
  <c r="BH67" i="11"/>
  <c r="BD67" i="11"/>
  <c r="BG67" i="11" s="1"/>
  <c r="BB67" i="11"/>
  <c r="BE67" i="11" s="1"/>
  <c r="BA67" i="11"/>
  <c r="AY67" i="11" s="1"/>
  <c r="AZ67" i="11"/>
  <c r="AX67" i="11"/>
  <c r="AW67" i="11"/>
  <c r="AV67" i="11"/>
  <c r="BC67" i="11" s="1"/>
  <c r="BF67" i="11" s="1"/>
  <c r="AU67" i="11"/>
  <c r="AT67" i="11"/>
  <c r="AS67" i="11"/>
  <c r="AQ67" i="11" s="1"/>
  <c r="AR67" i="11"/>
  <c r="AP67" i="11"/>
  <c r="AM67" i="11"/>
  <c r="AN67" i="11" s="1"/>
  <c r="AO67" i="11" s="1"/>
  <c r="AJ67" i="11"/>
  <c r="AI67" i="11"/>
  <c r="AF67" i="11"/>
  <c r="AE67" i="11"/>
  <c r="AD67" i="11"/>
  <c r="AB67" i="11"/>
  <c r="Y67" i="11"/>
  <c r="X67" i="11"/>
  <c r="AL67" i="11" s="1"/>
  <c r="U67" i="11"/>
  <c r="R67" i="11"/>
  <c r="Q67" i="11"/>
  <c r="P67" i="11"/>
  <c r="K67" i="11"/>
  <c r="J67" i="11"/>
  <c r="L67" i="11" s="1"/>
  <c r="I67" i="11"/>
  <c r="H67" i="11"/>
  <c r="G67" i="11"/>
  <c r="F67" i="11"/>
  <c r="C67" i="11"/>
  <c r="B67" i="11"/>
  <c r="E67" i="11" s="1"/>
  <c r="A67" i="11"/>
  <c r="CB66" i="11"/>
  <c r="CA66" i="11"/>
  <c r="BZ66" i="11"/>
  <c r="BY66" i="11"/>
  <c r="BX66" i="11"/>
  <c r="BW66" i="11"/>
  <c r="BV66" i="11"/>
  <c r="BS66" i="11"/>
  <c r="BR66" i="11"/>
  <c r="BQ66" i="11"/>
  <c r="BT66" i="11" s="1"/>
  <c r="BP66" i="11"/>
  <c r="BO66" i="11"/>
  <c r="BN66" i="11"/>
  <c r="BU66" i="11" s="1"/>
  <c r="BL66" i="11"/>
  <c r="BK66" i="11"/>
  <c r="BJ66" i="11"/>
  <c r="BI66" i="11"/>
  <c r="BH66" i="11"/>
  <c r="BA66" i="11"/>
  <c r="BD66" i="11" s="1"/>
  <c r="AZ66" i="11"/>
  <c r="BC66" i="11" s="1"/>
  <c r="BF66" i="11" s="1"/>
  <c r="AX66" i="11"/>
  <c r="AW66" i="11"/>
  <c r="AU66" i="11" s="1"/>
  <c r="AV66" i="11"/>
  <c r="AT66" i="11"/>
  <c r="AS66" i="11"/>
  <c r="AR66" i="11"/>
  <c r="AQ66" i="11"/>
  <c r="AP66" i="11"/>
  <c r="AJ66" i="11"/>
  <c r="AI66" i="11"/>
  <c r="AF66" i="11"/>
  <c r="AE66" i="11"/>
  <c r="AB66" i="11"/>
  <c r="Y66" i="11"/>
  <c r="X66" i="11"/>
  <c r="W66" i="11"/>
  <c r="U66" i="11"/>
  <c r="R66" i="11"/>
  <c r="P66" i="11" s="1"/>
  <c r="Q66" i="11"/>
  <c r="J66" i="11"/>
  <c r="I66" i="11"/>
  <c r="H66" i="11"/>
  <c r="G66" i="11"/>
  <c r="F66" i="11"/>
  <c r="B66" i="11"/>
  <c r="A66" i="11"/>
  <c r="CB65" i="11"/>
  <c r="CA65" i="11"/>
  <c r="BZ65" i="11"/>
  <c r="BX65" i="11" s="1"/>
  <c r="BY65" i="11"/>
  <c r="BW65" i="11"/>
  <c r="BV65" i="11"/>
  <c r="BT65" i="11"/>
  <c r="BS65" i="11"/>
  <c r="BQ65" i="11" s="1"/>
  <c r="BR65" i="11"/>
  <c r="BP65" i="11"/>
  <c r="BO65" i="11"/>
  <c r="BN65" i="11"/>
  <c r="BU65" i="11" s="1"/>
  <c r="BM65" i="11"/>
  <c r="BL65" i="11"/>
  <c r="BK65" i="11"/>
  <c r="BI65" i="11" s="1"/>
  <c r="BJ65" i="11"/>
  <c r="BH65" i="11"/>
  <c r="BE65" i="11"/>
  <c r="BD65" i="11"/>
  <c r="BC65" i="11"/>
  <c r="BF65" i="11" s="1"/>
  <c r="BA65" i="11"/>
  <c r="AY65" i="11" s="1"/>
  <c r="BB65" i="11" s="1"/>
  <c r="AZ65" i="11"/>
  <c r="AX65" i="11"/>
  <c r="AW65" i="11"/>
  <c r="AV65" i="11"/>
  <c r="AU65" i="11"/>
  <c r="AT65" i="11"/>
  <c r="AS65" i="11"/>
  <c r="AQ65" i="11" s="1"/>
  <c r="AR65" i="11"/>
  <c r="AP65" i="11"/>
  <c r="AJ65" i="11"/>
  <c r="AI65" i="11"/>
  <c r="AF65" i="11"/>
  <c r="AD65" i="11" s="1"/>
  <c r="AK65" i="11" s="1"/>
  <c r="AE65" i="11"/>
  <c r="AB65" i="11"/>
  <c r="Y65" i="11"/>
  <c r="W65" i="11" s="1"/>
  <c r="X65" i="11"/>
  <c r="U65" i="11"/>
  <c r="R65" i="11"/>
  <c r="P65" i="11" s="1"/>
  <c r="Q65" i="11"/>
  <c r="L65" i="11"/>
  <c r="K65" i="11"/>
  <c r="J65" i="11"/>
  <c r="F65" i="11"/>
  <c r="E65" i="11"/>
  <c r="D65" i="11"/>
  <c r="C65" i="11"/>
  <c r="B65" i="11"/>
  <c r="A65" i="11"/>
  <c r="CB64" i="11"/>
  <c r="CA64" i="11"/>
  <c r="BZ64" i="11"/>
  <c r="BY64" i="11"/>
  <c r="BX64" i="11"/>
  <c r="BW64" i="11"/>
  <c r="BS64" i="11"/>
  <c r="BV64" i="11" s="1"/>
  <c r="BR64" i="11"/>
  <c r="BP64" i="11"/>
  <c r="BO64" i="11"/>
  <c r="BM64" i="11" s="1"/>
  <c r="BN64" i="11"/>
  <c r="BL64" i="11"/>
  <c r="BK64" i="11"/>
  <c r="BJ64" i="11"/>
  <c r="BI64" i="11" s="1"/>
  <c r="BH64" i="11"/>
  <c r="BA64" i="11"/>
  <c r="AZ64" i="11"/>
  <c r="BC64" i="11" s="1"/>
  <c r="BF64" i="11" s="1"/>
  <c r="AX64" i="11"/>
  <c r="AW64" i="11"/>
  <c r="AV64" i="11"/>
  <c r="AU64" i="11"/>
  <c r="AT64" i="11"/>
  <c r="AS64" i="11"/>
  <c r="AQ64" i="11" s="1"/>
  <c r="AR64" i="11"/>
  <c r="AP64" i="11"/>
  <c r="AJ64" i="11"/>
  <c r="AI64" i="11"/>
  <c r="AF64" i="11"/>
  <c r="AD64" i="11" s="1"/>
  <c r="AE64" i="11"/>
  <c r="AB64" i="11"/>
  <c r="Y64" i="11"/>
  <c r="AM64" i="11" s="1"/>
  <c r="AN64" i="11" s="1"/>
  <c r="AO64" i="11" s="1"/>
  <c r="X64" i="11"/>
  <c r="AL64" i="11" s="1"/>
  <c r="U64" i="11"/>
  <c r="R64" i="11"/>
  <c r="P64" i="11" s="1"/>
  <c r="Q64" i="11"/>
  <c r="L64" i="11"/>
  <c r="K64" i="11"/>
  <c r="J64" i="11"/>
  <c r="I64" i="11"/>
  <c r="H64" i="11"/>
  <c r="G64" i="11"/>
  <c r="F64" i="11"/>
  <c r="B64" i="11"/>
  <c r="E64" i="11" s="1"/>
  <c r="A64" i="11"/>
  <c r="CB63" i="11"/>
  <c r="CA63" i="11"/>
  <c r="BZ63" i="11"/>
  <c r="BY63" i="11"/>
  <c r="BX63" i="11"/>
  <c r="BW63" i="11"/>
  <c r="BV63" i="11"/>
  <c r="BS63" i="11"/>
  <c r="BQ63" i="11" s="1"/>
  <c r="BR63" i="11"/>
  <c r="BP63" i="11"/>
  <c r="BO63" i="11"/>
  <c r="BM63" i="11" s="1"/>
  <c r="BN63" i="11"/>
  <c r="BU63" i="11" s="1"/>
  <c r="BL63" i="11"/>
  <c r="BK63" i="11"/>
  <c r="BI63" i="11" s="1"/>
  <c r="BJ63" i="11"/>
  <c r="BH63" i="11"/>
  <c r="BA63" i="11"/>
  <c r="AZ63" i="11"/>
  <c r="BC63" i="11" s="1"/>
  <c r="BF63" i="11" s="1"/>
  <c r="AX63" i="11"/>
  <c r="AW63" i="11"/>
  <c r="AV63" i="11"/>
  <c r="AT63" i="11"/>
  <c r="AS63" i="11"/>
  <c r="AR63" i="11"/>
  <c r="AQ63" i="11"/>
  <c r="AP63" i="11"/>
  <c r="AJ63" i="11"/>
  <c r="AI63" i="11"/>
  <c r="AF63" i="11"/>
  <c r="AE63" i="11"/>
  <c r="AL63" i="11" s="1"/>
  <c r="AB63" i="11"/>
  <c r="Y63" i="11"/>
  <c r="X63" i="11"/>
  <c r="W63" i="11"/>
  <c r="U63" i="11"/>
  <c r="R63" i="11"/>
  <c r="Q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CB62" i="11"/>
  <c r="CA62" i="11"/>
  <c r="BZ62" i="11"/>
  <c r="BX62" i="11" s="1"/>
  <c r="BY62" i="11"/>
  <c r="BW62" i="11"/>
  <c r="BU62" i="11"/>
  <c r="BS62" i="11"/>
  <c r="BR62" i="11"/>
  <c r="BP62" i="11"/>
  <c r="BO62" i="11"/>
  <c r="BN62" i="11"/>
  <c r="BM62" i="11"/>
  <c r="BL62" i="11"/>
  <c r="BK62" i="11"/>
  <c r="BI62" i="11" s="1"/>
  <c r="BJ62" i="11"/>
  <c r="BH62" i="11"/>
  <c r="BC62" i="11"/>
  <c r="BF62" i="11" s="1"/>
  <c r="BA62" i="11"/>
  <c r="AY62" i="11" s="1"/>
  <c r="AZ62" i="11"/>
  <c r="AX62" i="11"/>
  <c r="AW62" i="11"/>
  <c r="BD62" i="11" s="1"/>
  <c r="AV62" i="11"/>
  <c r="AT62" i="11"/>
  <c r="AS62" i="11"/>
  <c r="AQ62" i="11" s="1"/>
  <c r="AR62" i="11"/>
  <c r="AP62" i="11"/>
  <c r="AJ62" i="11"/>
  <c r="AI62" i="11"/>
  <c r="AF62" i="11"/>
  <c r="AE62" i="11"/>
  <c r="AD62" i="11" s="1"/>
  <c r="AK62" i="11" s="1"/>
  <c r="AB62" i="11"/>
  <c r="Y62" i="11"/>
  <c r="W62" i="11" s="1"/>
  <c r="X62" i="11"/>
  <c r="U62" i="11"/>
  <c r="R62" i="11"/>
  <c r="Q62" i="11"/>
  <c r="P62" i="11"/>
  <c r="L62" i="11"/>
  <c r="K62" i="11"/>
  <c r="J62" i="11"/>
  <c r="F62" i="11"/>
  <c r="E62" i="11"/>
  <c r="D62" i="11"/>
  <c r="C62" i="11"/>
  <c r="B62" i="11"/>
  <c r="A62" i="11"/>
  <c r="CB61" i="11"/>
  <c r="CA61" i="11"/>
  <c r="BZ61" i="11"/>
  <c r="BY61" i="11"/>
  <c r="BX61" i="11"/>
  <c r="BW61" i="11"/>
  <c r="BS61" i="11"/>
  <c r="BR61" i="11"/>
  <c r="BQ61" i="11"/>
  <c r="BT61" i="11" s="1"/>
  <c r="BP61" i="11"/>
  <c r="BO61" i="11"/>
  <c r="BN61" i="11"/>
  <c r="BL61" i="11"/>
  <c r="BK61" i="11"/>
  <c r="BJ61" i="11"/>
  <c r="BI61" i="11" s="1"/>
  <c r="BH61" i="11"/>
  <c r="BA61" i="11"/>
  <c r="BD61" i="11" s="1"/>
  <c r="AZ61" i="11"/>
  <c r="BC61" i="11" s="1"/>
  <c r="BF61" i="11" s="1"/>
  <c r="AX61" i="11"/>
  <c r="AW61" i="11"/>
  <c r="AU61" i="11" s="1"/>
  <c r="AV61" i="11"/>
  <c r="AT61" i="11"/>
  <c r="AS61" i="11"/>
  <c r="AR61" i="11"/>
  <c r="AQ61" i="11"/>
  <c r="AP61" i="11"/>
  <c r="AJ61" i="11"/>
  <c r="AI61" i="11"/>
  <c r="AF61" i="11"/>
  <c r="AD61" i="11" s="1"/>
  <c r="AE61" i="11"/>
  <c r="AB61" i="11"/>
  <c r="Y61" i="11"/>
  <c r="W61" i="11" s="1"/>
  <c r="AK61" i="11" s="1"/>
  <c r="X61" i="11"/>
  <c r="AL61" i="11" s="1"/>
  <c r="U61" i="11"/>
  <c r="R61" i="11"/>
  <c r="P61" i="11" s="1"/>
  <c r="Q61" i="11"/>
  <c r="J61" i="11"/>
  <c r="L61" i="11" s="1"/>
  <c r="I61" i="11"/>
  <c r="H61" i="11"/>
  <c r="G61" i="11"/>
  <c r="F61" i="11"/>
  <c r="C61" i="11"/>
  <c r="B61" i="11"/>
  <c r="A61" i="11"/>
  <c r="CB60" i="11"/>
  <c r="CA60" i="11"/>
  <c r="BZ60" i="11"/>
  <c r="BX60" i="11" s="1"/>
  <c r="BY60" i="11"/>
  <c r="BW60" i="11"/>
  <c r="BV60" i="11"/>
  <c r="BS60" i="11"/>
  <c r="BQ60" i="11" s="1"/>
  <c r="BT60" i="11" s="1"/>
  <c r="BR60" i="11"/>
  <c r="BP60" i="11"/>
  <c r="BO60" i="11"/>
  <c r="BN60" i="11"/>
  <c r="BM60" i="11" s="1"/>
  <c r="BL60" i="11"/>
  <c r="BK60" i="11"/>
  <c r="BI60" i="11" s="1"/>
  <c r="BJ60" i="11"/>
  <c r="BH60" i="11"/>
  <c r="BA60" i="11"/>
  <c r="AZ60" i="11"/>
  <c r="AY60" i="11"/>
  <c r="BB60" i="11" s="1"/>
  <c r="BE60" i="11" s="1"/>
  <c r="AX60" i="11"/>
  <c r="AW60" i="11"/>
  <c r="AU60" i="11" s="1"/>
  <c r="AV60" i="11"/>
  <c r="BC60" i="11" s="1"/>
  <c r="BF60" i="11" s="1"/>
  <c r="AT60" i="11"/>
  <c r="AS60" i="11"/>
  <c r="AR60" i="11"/>
  <c r="AQ60" i="11"/>
  <c r="AP60" i="11"/>
  <c r="AJ60" i="11"/>
  <c r="AI60" i="11"/>
  <c r="AF60" i="11"/>
  <c r="AE60" i="11"/>
  <c r="AD60" i="11"/>
  <c r="AB60" i="11"/>
  <c r="Y60" i="11"/>
  <c r="W60" i="11" s="1"/>
  <c r="X60" i="11"/>
  <c r="U60" i="11"/>
  <c r="R60" i="11"/>
  <c r="P60" i="11" s="1"/>
  <c r="Q60" i="11"/>
  <c r="L60" i="11"/>
  <c r="K60" i="11"/>
  <c r="J60" i="11"/>
  <c r="H60" i="11"/>
  <c r="F60" i="11"/>
  <c r="I60" i="11" s="1"/>
  <c r="E60" i="11"/>
  <c r="D60" i="11"/>
  <c r="C60" i="11"/>
  <c r="B60" i="11"/>
  <c r="A60" i="11"/>
  <c r="CB59" i="11"/>
  <c r="CA59" i="11"/>
  <c r="BZ59" i="11"/>
  <c r="BX59" i="11" s="1"/>
  <c r="BY59" i="11"/>
  <c r="BW59" i="11"/>
  <c r="BS59" i="11"/>
  <c r="BV59" i="11" s="1"/>
  <c r="BR59" i="11"/>
  <c r="BQ59" i="11"/>
  <c r="BT59" i="11" s="1"/>
  <c r="BP59" i="11"/>
  <c r="BO59" i="11"/>
  <c r="BM59" i="11" s="1"/>
  <c r="BN59" i="11"/>
  <c r="BL59" i="11"/>
  <c r="BK59" i="11"/>
  <c r="BJ59" i="11"/>
  <c r="BI59" i="11" s="1"/>
  <c r="BH59" i="11"/>
  <c r="BB59" i="11"/>
  <c r="BE59" i="11" s="1"/>
  <c r="BA59" i="11"/>
  <c r="AY59" i="11" s="1"/>
  <c r="AZ59" i="11"/>
  <c r="AX59" i="11"/>
  <c r="AW59" i="11"/>
  <c r="AV59" i="11"/>
  <c r="AU59" i="11" s="1"/>
  <c r="AT59" i="11"/>
  <c r="AS59" i="11"/>
  <c r="AQ59" i="11" s="1"/>
  <c r="AR59" i="11"/>
  <c r="AP59" i="11"/>
  <c r="AL59" i="11"/>
  <c r="AJ59" i="11"/>
  <c r="AI59" i="11"/>
  <c r="AF59" i="11"/>
  <c r="AE59" i="11"/>
  <c r="AD59" i="11"/>
  <c r="AK59" i="11" s="1"/>
  <c r="AB59" i="11"/>
  <c r="Y59" i="11"/>
  <c r="W59" i="11" s="1"/>
  <c r="X59" i="11"/>
  <c r="U59" i="11"/>
  <c r="R59" i="11"/>
  <c r="Q59" i="11"/>
  <c r="P59" i="11"/>
  <c r="J59" i="11"/>
  <c r="L59" i="11" s="1"/>
  <c r="I59" i="11"/>
  <c r="H59" i="11"/>
  <c r="G59" i="11"/>
  <c r="F59" i="11"/>
  <c r="B59" i="11"/>
  <c r="E59" i="11" s="1"/>
  <c r="A59" i="11"/>
  <c r="CB58" i="11"/>
  <c r="CA58" i="11"/>
  <c r="BZ58" i="11"/>
  <c r="BY58" i="11"/>
  <c r="BX58" i="11"/>
  <c r="BW58" i="11"/>
  <c r="BV58" i="11"/>
  <c r="BS58" i="11"/>
  <c r="BR58" i="11"/>
  <c r="BQ58" i="11"/>
  <c r="BT58" i="11" s="1"/>
  <c r="BP58" i="11"/>
  <c r="BO58" i="11"/>
  <c r="BN58" i="11"/>
  <c r="BU58" i="11" s="1"/>
  <c r="BL58" i="11"/>
  <c r="BK58" i="11"/>
  <c r="BJ58" i="11"/>
  <c r="BI58" i="11"/>
  <c r="BH58" i="11"/>
  <c r="BA58" i="11"/>
  <c r="BD58" i="11" s="1"/>
  <c r="AZ58" i="11"/>
  <c r="AY58" i="11"/>
  <c r="BB58" i="11" s="1"/>
  <c r="BE58" i="11" s="1"/>
  <c r="AX58" i="11"/>
  <c r="AW58" i="11"/>
  <c r="AU58" i="11" s="1"/>
  <c r="AV58" i="11"/>
  <c r="AT58" i="11"/>
  <c r="AS58" i="11"/>
  <c r="AR58" i="11"/>
  <c r="AQ58" i="11" s="1"/>
  <c r="AP58" i="11"/>
  <c r="AJ58" i="11"/>
  <c r="AI58" i="11"/>
  <c r="AF58" i="11"/>
  <c r="AE58" i="11"/>
  <c r="AB58" i="11"/>
  <c r="Y58" i="11"/>
  <c r="X58" i="11"/>
  <c r="W58" i="11" s="1"/>
  <c r="U58" i="11"/>
  <c r="R58" i="11"/>
  <c r="P58" i="11" s="1"/>
  <c r="Q58" i="11"/>
  <c r="J58" i="11"/>
  <c r="I58" i="11"/>
  <c r="H58" i="11"/>
  <c r="G58" i="11"/>
  <c r="F58" i="11"/>
  <c r="B58" i="11"/>
  <c r="A58" i="11"/>
  <c r="CB57" i="11"/>
  <c r="CA57" i="11"/>
  <c r="BZ57" i="11"/>
  <c r="BX57" i="11" s="1"/>
  <c r="BY57" i="11"/>
  <c r="BW57" i="11"/>
  <c r="BT57" i="11"/>
  <c r="BS57" i="11"/>
  <c r="BQ57" i="11" s="1"/>
  <c r="BR57" i="11"/>
  <c r="BP57" i="11"/>
  <c r="BO57" i="11"/>
  <c r="BN57" i="11"/>
  <c r="BM57" i="11" s="1"/>
  <c r="BL57" i="11"/>
  <c r="BK57" i="11"/>
  <c r="BI57" i="11" s="1"/>
  <c r="BJ57" i="11"/>
  <c r="BH57" i="11"/>
  <c r="BE57" i="11"/>
  <c r="BD57" i="11"/>
  <c r="BA57" i="11"/>
  <c r="AY57" i="11" s="1"/>
  <c r="BB57" i="11" s="1"/>
  <c r="AZ57" i="11"/>
  <c r="AX57" i="11"/>
  <c r="AW57" i="11"/>
  <c r="AV57" i="11"/>
  <c r="BC57" i="11" s="1"/>
  <c r="BF57" i="11" s="1"/>
  <c r="AT57" i="11"/>
  <c r="AS57" i="11"/>
  <c r="AQ57" i="11" s="1"/>
  <c r="AR57" i="11"/>
  <c r="AP57" i="11"/>
  <c r="AJ57" i="11"/>
  <c r="AI57" i="11"/>
  <c r="AF57" i="11"/>
  <c r="AE57" i="11"/>
  <c r="AL57" i="11" s="1"/>
  <c r="AB57" i="11"/>
  <c r="Y57" i="11"/>
  <c r="W57" i="11" s="1"/>
  <c r="X57" i="11"/>
  <c r="U57" i="11"/>
  <c r="R57" i="11"/>
  <c r="P57" i="11" s="1"/>
  <c r="Q57" i="11"/>
  <c r="L57" i="11"/>
  <c r="K57" i="11"/>
  <c r="J57" i="11"/>
  <c r="G57" i="11"/>
  <c r="F57" i="11"/>
  <c r="E57" i="11"/>
  <c r="D57" i="11"/>
  <c r="C57" i="11"/>
  <c r="B57" i="11"/>
  <c r="A57" i="11"/>
  <c r="CB56" i="11"/>
  <c r="CA56" i="11"/>
  <c r="BZ56" i="11"/>
  <c r="BX56" i="11" s="1"/>
  <c r="BY56" i="11"/>
  <c r="BW56" i="11"/>
  <c r="BS56" i="11"/>
  <c r="BR56" i="11"/>
  <c r="BQ56" i="11"/>
  <c r="BT56" i="11" s="1"/>
  <c r="BP56" i="11"/>
  <c r="BO56" i="11"/>
  <c r="BM56" i="11" s="1"/>
  <c r="BN56" i="11"/>
  <c r="BL56" i="11"/>
  <c r="BK56" i="11"/>
  <c r="BI56" i="11" s="1"/>
  <c r="BJ56" i="11"/>
  <c r="BH56" i="11"/>
  <c r="BA56" i="11"/>
  <c r="AZ56" i="11"/>
  <c r="AX56" i="11"/>
  <c r="AW56" i="11"/>
  <c r="AV56" i="11"/>
  <c r="AU56" i="11"/>
  <c r="AT56" i="11"/>
  <c r="AS56" i="11"/>
  <c r="AR56" i="11"/>
  <c r="BC56" i="11" s="1"/>
  <c r="BF56" i="11" s="1"/>
  <c r="AP56" i="11"/>
  <c r="AJ56" i="11"/>
  <c r="AI56" i="11"/>
  <c r="AF56" i="11"/>
  <c r="AD56" i="11" s="1"/>
  <c r="AE56" i="11"/>
  <c r="AB56" i="11"/>
  <c r="Y56" i="11"/>
  <c r="AM56" i="11" s="1"/>
  <c r="AN56" i="11" s="1"/>
  <c r="AO56" i="11" s="1"/>
  <c r="X56" i="11"/>
  <c r="AL56" i="11" s="1"/>
  <c r="U56" i="11"/>
  <c r="R56" i="11"/>
  <c r="P56" i="11" s="1"/>
  <c r="Q56" i="11"/>
  <c r="L56" i="11"/>
  <c r="J56" i="11"/>
  <c r="K56" i="11" s="1"/>
  <c r="I56" i="11"/>
  <c r="H56" i="11"/>
  <c r="G56" i="11"/>
  <c r="F56" i="11"/>
  <c r="D56" i="11"/>
  <c r="C56" i="11"/>
  <c r="B56" i="11"/>
  <c r="E56" i="11" s="1"/>
  <c r="A56" i="11"/>
  <c r="CB55" i="11"/>
  <c r="CA55" i="11"/>
  <c r="BZ55" i="11"/>
  <c r="BY55" i="11"/>
  <c r="BX55" i="11"/>
  <c r="BW55" i="11"/>
  <c r="BS55" i="11"/>
  <c r="BQ55" i="11" s="1"/>
  <c r="BT55" i="11" s="1"/>
  <c r="BR55" i="11"/>
  <c r="BP55" i="11"/>
  <c r="BO55" i="11"/>
  <c r="BV55" i="11" s="1"/>
  <c r="BN55" i="11"/>
  <c r="BU55" i="11" s="1"/>
  <c r="BM55" i="11"/>
  <c r="BL55" i="11"/>
  <c r="BK55" i="11"/>
  <c r="BI55" i="11" s="1"/>
  <c r="BJ55" i="11"/>
  <c r="BH55" i="11"/>
  <c r="BE55" i="11"/>
  <c r="BA55" i="11"/>
  <c r="AZ55" i="11"/>
  <c r="AY55" i="11"/>
  <c r="BB55" i="11" s="1"/>
  <c r="AX55" i="11"/>
  <c r="AW55" i="11"/>
  <c r="AV55" i="11"/>
  <c r="AT55" i="11"/>
  <c r="AS55" i="11"/>
  <c r="AR55" i="11"/>
  <c r="AQ55" i="11" s="1"/>
  <c r="AP55" i="11"/>
  <c r="AJ55" i="11"/>
  <c r="AI55" i="11"/>
  <c r="AF55" i="11"/>
  <c r="AE55" i="11"/>
  <c r="AB55" i="11"/>
  <c r="Y55" i="11"/>
  <c r="X55" i="11"/>
  <c r="W55" i="11"/>
  <c r="U55" i="11"/>
  <c r="R55" i="11"/>
  <c r="Q55" i="11"/>
  <c r="L55" i="11"/>
  <c r="K55" i="11"/>
  <c r="J55" i="11"/>
  <c r="F55" i="11"/>
  <c r="I55" i="11" s="1"/>
  <c r="E55" i="11"/>
  <c r="D55" i="11"/>
  <c r="C55" i="11"/>
  <c r="B55" i="11"/>
  <c r="A55" i="11"/>
  <c r="CB54" i="11"/>
  <c r="CA54" i="11"/>
  <c r="BZ54" i="11"/>
  <c r="BX54" i="11" s="1"/>
  <c r="BY54" i="11"/>
  <c r="BW54" i="11"/>
  <c r="BU54" i="11"/>
  <c r="BS54" i="11"/>
  <c r="BR54" i="11"/>
  <c r="BP54" i="11"/>
  <c r="BO54" i="11"/>
  <c r="BN54" i="11"/>
  <c r="BM54" i="11"/>
  <c r="BL54" i="11"/>
  <c r="BK54" i="11"/>
  <c r="BJ54" i="11"/>
  <c r="BH54" i="11"/>
  <c r="BD54" i="11"/>
  <c r="BC54" i="11"/>
  <c r="BF54" i="11" s="1"/>
  <c r="BA54" i="11"/>
  <c r="AY54" i="11" s="1"/>
  <c r="BB54" i="11" s="1"/>
  <c r="BE54" i="11" s="1"/>
  <c r="AZ54" i="11"/>
  <c r="AX54" i="11"/>
  <c r="AW54" i="11"/>
  <c r="AV54" i="11"/>
  <c r="AU54" i="11"/>
  <c r="AT54" i="11"/>
  <c r="AS54" i="11"/>
  <c r="AQ54" i="11" s="1"/>
  <c r="AR54" i="11"/>
  <c r="AP54" i="11"/>
  <c r="AJ54" i="11"/>
  <c r="AI54" i="11"/>
  <c r="AF54" i="11"/>
  <c r="AE54" i="11"/>
  <c r="AD54" i="11"/>
  <c r="AB54" i="11"/>
  <c r="Y54" i="11"/>
  <c r="W54" i="11" s="1"/>
  <c r="X54" i="11"/>
  <c r="U54" i="11"/>
  <c r="R54" i="11"/>
  <c r="Q54" i="11"/>
  <c r="P54" i="11" s="1"/>
  <c r="L54" i="11"/>
  <c r="K54" i="11"/>
  <c r="J54" i="11"/>
  <c r="F54" i="11"/>
  <c r="E54" i="11"/>
  <c r="D54" i="11"/>
  <c r="C54" i="11"/>
  <c r="B54" i="11"/>
  <c r="A54" i="11"/>
  <c r="CB53" i="11"/>
  <c r="CA53" i="11"/>
  <c r="BZ53" i="11"/>
  <c r="BX53" i="11" s="1"/>
  <c r="BY53" i="11"/>
  <c r="BW53" i="11"/>
  <c r="BS53" i="11"/>
  <c r="BR53" i="11"/>
  <c r="BU53" i="11" s="1"/>
  <c r="BP53" i="11"/>
  <c r="BO53" i="11"/>
  <c r="BN53" i="11"/>
  <c r="BL53" i="11"/>
  <c r="BK53" i="11"/>
  <c r="BJ53" i="11"/>
  <c r="BI53" i="11"/>
  <c r="BH53" i="11"/>
  <c r="BA53" i="11"/>
  <c r="BD53" i="11" s="1"/>
  <c r="AZ53" i="11"/>
  <c r="AY53" i="11"/>
  <c r="BB53" i="11" s="1"/>
  <c r="BE53" i="11" s="1"/>
  <c r="AX53" i="11"/>
  <c r="AW53" i="11"/>
  <c r="AU53" i="11" s="1"/>
  <c r="AV53" i="11"/>
  <c r="AT53" i="11"/>
  <c r="AS53" i="11"/>
  <c r="AQ53" i="11" s="1"/>
  <c r="AR53" i="11"/>
  <c r="AP53" i="11"/>
  <c r="AJ53" i="11"/>
  <c r="AI53" i="11"/>
  <c r="AF53" i="11"/>
  <c r="AD53" i="11" s="1"/>
  <c r="AE53" i="11"/>
  <c r="AB53" i="11"/>
  <c r="Y53" i="11"/>
  <c r="W53" i="11" s="1"/>
  <c r="X53" i="11"/>
  <c r="AL53" i="11" s="1"/>
  <c r="U53" i="11"/>
  <c r="R53" i="11"/>
  <c r="P53" i="11" s="1"/>
  <c r="Q53" i="11"/>
  <c r="K53" i="11"/>
  <c r="J53" i="11"/>
  <c r="L53" i="11" s="1"/>
  <c r="I53" i="11"/>
  <c r="H53" i="11"/>
  <c r="G53" i="11"/>
  <c r="F53" i="11"/>
  <c r="B53" i="11"/>
  <c r="A53" i="11"/>
  <c r="CB52" i="11"/>
  <c r="CA52" i="11"/>
  <c r="BZ52" i="11"/>
  <c r="BX52" i="11" s="1"/>
  <c r="BY52" i="11"/>
  <c r="BW52" i="11"/>
  <c r="BU52" i="11"/>
  <c r="BT52" i="11"/>
  <c r="BS52" i="11"/>
  <c r="BQ52" i="11" s="1"/>
  <c r="BR52" i="11"/>
  <c r="BP52" i="11"/>
  <c r="BO52" i="11"/>
  <c r="BV52" i="11" s="1"/>
  <c r="BN52" i="11"/>
  <c r="BL52" i="11"/>
  <c r="BK52" i="11"/>
  <c r="BI52" i="11" s="1"/>
  <c r="BJ52" i="11"/>
  <c r="BH52" i="11"/>
  <c r="BD52" i="11"/>
  <c r="BA52" i="11"/>
  <c r="AZ52" i="11"/>
  <c r="AY52" i="11"/>
  <c r="BB52" i="11" s="1"/>
  <c r="BE52" i="11" s="1"/>
  <c r="AX52" i="11"/>
  <c r="AW52" i="11"/>
  <c r="AV52" i="11"/>
  <c r="BC52" i="11" s="1"/>
  <c r="BF52" i="11" s="1"/>
  <c r="AT52" i="11"/>
  <c r="AS52" i="11"/>
  <c r="AR52" i="11"/>
  <c r="AQ52" i="11"/>
  <c r="AP52" i="11"/>
  <c r="AJ52" i="11"/>
  <c r="AI52" i="11"/>
  <c r="AF52" i="11"/>
  <c r="AE52" i="11"/>
  <c r="AL52" i="11" s="1"/>
  <c r="AD52" i="11"/>
  <c r="AB52" i="11"/>
  <c r="Y52" i="11"/>
  <c r="W52" i="11" s="1"/>
  <c r="X52" i="11"/>
  <c r="U52" i="11"/>
  <c r="R52" i="11"/>
  <c r="Q52" i="11"/>
  <c r="P52" i="11"/>
  <c r="L52" i="11"/>
  <c r="K52" i="11"/>
  <c r="J52" i="11"/>
  <c r="G52" i="11"/>
  <c r="F52" i="11"/>
  <c r="I52" i="11" s="1"/>
  <c r="E52" i="11"/>
  <c r="D52" i="11"/>
  <c r="C52" i="11"/>
  <c r="B52" i="11"/>
  <c r="A52" i="11"/>
  <c r="CB51" i="11"/>
  <c r="CA51" i="11"/>
  <c r="BZ51" i="11"/>
  <c r="BX51" i="11" s="1"/>
  <c r="BY51" i="11"/>
  <c r="BW51" i="11"/>
  <c r="BS51" i="11"/>
  <c r="BR51" i="11"/>
  <c r="BU51" i="11" s="1"/>
  <c r="BP51" i="11"/>
  <c r="BO51" i="11"/>
  <c r="BM51" i="11" s="1"/>
  <c r="BN51" i="11"/>
  <c r="BL51" i="11"/>
  <c r="BK51" i="11"/>
  <c r="BJ51" i="11"/>
  <c r="BI51" i="11"/>
  <c r="BH51" i="11"/>
  <c r="BC51" i="11"/>
  <c r="BF51" i="11" s="1"/>
  <c r="BA51" i="11"/>
  <c r="AY51" i="11" s="1"/>
  <c r="BB51" i="11" s="1"/>
  <c r="BE51" i="11" s="1"/>
  <c r="AZ51" i="11"/>
  <c r="AX51" i="11"/>
  <c r="AW51" i="11"/>
  <c r="AV51" i="11"/>
  <c r="AU51" i="11"/>
  <c r="AT51" i="11"/>
  <c r="AS51" i="11"/>
  <c r="AQ51" i="11" s="1"/>
  <c r="AR51" i="11"/>
  <c r="AP51" i="11"/>
  <c r="AM51" i="11"/>
  <c r="AN51" i="11" s="1"/>
  <c r="AO51" i="11" s="1"/>
  <c r="AJ51" i="11"/>
  <c r="AI51" i="11"/>
  <c r="AF51" i="11"/>
  <c r="AE51" i="11"/>
  <c r="AD51" i="11"/>
  <c r="AB51" i="11"/>
  <c r="Y51" i="11"/>
  <c r="X51" i="11"/>
  <c r="AL51" i="11" s="1"/>
  <c r="U51" i="11"/>
  <c r="R51" i="11"/>
  <c r="Q51" i="11"/>
  <c r="P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CB50" i="11"/>
  <c r="CA50" i="11"/>
  <c r="BZ50" i="11"/>
  <c r="BY50" i="11"/>
  <c r="BX50" i="11" s="1"/>
  <c r="BW50" i="11"/>
  <c r="BS50" i="11"/>
  <c r="BR50" i="11"/>
  <c r="BQ50" i="11"/>
  <c r="BT50" i="11" s="1"/>
  <c r="BP50" i="11"/>
  <c r="BO50" i="11"/>
  <c r="BM50" i="11" s="1"/>
  <c r="BN50" i="11"/>
  <c r="BU50" i="11" s="1"/>
  <c r="BL50" i="11"/>
  <c r="BK50" i="11"/>
  <c r="BJ50" i="11"/>
  <c r="BI50" i="11"/>
  <c r="BH50" i="11"/>
  <c r="BA50" i="11"/>
  <c r="AZ50" i="11"/>
  <c r="BC50" i="11" s="1"/>
  <c r="BF50" i="11" s="1"/>
  <c r="AX50" i="11"/>
  <c r="AW50" i="11"/>
  <c r="AU50" i="11" s="1"/>
  <c r="AV50" i="11"/>
  <c r="AT50" i="11"/>
  <c r="AS50" i="11"/>
  <c r="AR50" i="11"/>
  <c r="AQ50" i="11"/>
  <c r="AP50" i="11"/>
  <c r="AJ50" i="11"/>
  <c r="AI50" i="11"/>
  <c r="AF50" i="11"/>
  <c r="AE50" i="11"/>
  <c r="AL50" i="11" s="1"/>
  <c r="AB50" i="11"/>
  <c r="Y50" i="11"/>
  <c r="X50" i="11"/>
  <c r="W50" i="11"/>
  <c r="U50" i="11"/>
  <c r="R50" i="11"/>
  <c r="P50" i="11" s="1"/>
  <c r="Q50" i="11"/>
  <c r="J50" i="11"/>
  <c r="I50" i="11"/>
  <c r="H50" i="11"/>
  <c r="G50" i="11"/>
  <c r="F50" i="11"/>
  <c r="B50" i="11"/>
  <c r="A50" i="11"/>
  <c r="CB49" i="11"/>
  <c r="CA49" i="11"/>
  <c r="BZ49" i="11"/>
  <c r="BX49" i="11" s="1"/>
  <c r="BY49" i="11"/>
  <c r="BW49" i="11"/>
  <c r="BU49" i="11"/>
  <c r="BS49" i="11"/>
  <c r="BQ49" i="11" s="1"/>
  <c r="BT49" i="11" s="1"/>
  <c r="BR49" i="11"/>
  <c r="BP49" i="11"/>
  <c r="BO49" i="11"/>
  <c r="BN49" i="11"/>
  <c r="BM49" i="11"/>
  <c r="BL49" i="11"/>
  <c r="BK49" i="11"/>
  <c r="BI49" i="11" s="1"/>
  <c r="BJ49" i="11"/>
  <c r="BH49" i="11"/>
  <c r="BE49" i="11"/>
  <c r="BA49" i="11"/>
  <c r="AY49" i="11" s="1"/>
  <c r="BB49" i="11" s="1"/>
  <c r="AZ49" i="11"/>
  <c r="AX49" i="11"/>
  <c r="AW49" i="11"/>
  <c r="BD49" i="11" s="1"/>
  <c r="BG49" i="11" s="1"/>
  <c r="AV49" i="11"/>
  <c r="BC49" i="11" s="1"/>
  <c r="BF49" i="11" s="1"/>
  <c r="AU49" i="11"/>
  <c r="AT49" i="11"/>
  <c r="AS49" i="11"/>
  <c r="AQ49" i="11" s="1"/>
  <c r="AR49" i="11"/>
  <c r="AP49" i="11"/>
  <c r="AN49" i="11"/>
  <c r="AO49" i="11" s="1"/>
  <c r="AM49" i="11"/>
  <c r="AJ49" i="11"/>
  <c r="AI49" i="11"/>
  <c r="AF49" i="11"/>
  <c r="AD49" i="11" s="1"/>
  <c r="AK49" i="11" s="1"/>
  <c r="AE49" i="11"/>
  <c r="AB49" i="11"/>
  <c r="Y49" i="11"/>
  <c r="W49" i="11" s="1"/>
  <c r="X49" i="11"/>
  <c r="U49" i="11"/>
  <c r="R49" i="11"/>
  <c r="Q49" i="11"/>
  <c r="P49" i="11" s="1"/>
  <c r="L49" i="11"/>
  <c r="K49" i="11"/>
  <c r="J49" i="11"/>
  <c r="F49" i="11"/>
  <c r="E49" i="11"/>
  <c r="D49" i="11"/>
  <c r="C49" i="11"/>
  <c r="B49" i="11"/>
  <c r="A49" i="11"/>
  <c r="CB48" i="11"/>
  <c r="CA48" i="11"/>
  <c r="BZ48" i="11"/>
  <c r="BX48" i="11" s="1"/>
  <c r="BY48" i="11"/>
  <c r="BW48" i="11"/>
  <c r="BS48" i="11"/>
  <c r="BR48" i="11"/>
  <c r="BU48" i="11" s="1"/>
  <c r="BQ48" i="11"/>
  <c r="BT48" i="11" s="1"/>
  <c r="BP48" i="11"/>
  <c r="BO48" i="11"/>
  <c r="BM48" i="11" s="1"/>
  <c r="BN48" i="11"/>
  <c r="BL48" i="11"/>
  <c r="BK48" i="11"/>
  <c r="BJ48" i="11"/>
  <c r="BI48" i="11"/>
  <c r="BH48" i="11"/>
  <c r="BC48" i="11"/>
  <c r="BF48" i="11" s="1"/>
  <c r="BA48" i="11"/>
  <c r="AZ48" i="11"/>
  <c r="AX48" i="11"/>
  <c r="AW48" i="11"/>
  <c r="AV48" i="11"/>
  <c r="AU48" i="11"/>
  <c r="AT48" i="11"/>
  <c r="AS48" i="11"/>
  <c r="AQ48" i="11" s="1"/>
  <c r="AR48" i="11"/>
  <c r="AP48" i="11"/>
  <c r="AJ48" i="11"/>
  <c r="AI48" i="11"/>
  <c r="AF48" i="11"/>
  <c r="AD48" i="11" s="1"/>
  <c r="AK48" i="11" s="1"/>
  <c r="AE48" i="11"/>
  <c r="AB48" i="11"/>
  <c r="Y48" i="11"/>
  <c r="AM48" i="11" s="1"/>
  <c r="AN48" i="11" s="1"/>
  <c r="AO48" i="11" s="1"/>
  <c r="X48" i="11"/>
  <c r="AL48" i="11" s="1"/>
  <c r="W48" i="11"/>
  <c r="U48" i="11"/>
  <c r="R48" i="11"/>
  <c r="P48" i="11" s="1"/>
  <c r="Q48" i="11"/>
  <c r="K48" i="11"/>
  <c r="J48" i="11"/>
  <c r="L48" i="11" s="1"/>
  <c r="I48" i="11"/>
  <c r="H48" i="11"/>
  <c r="G48" i="11"/>
  <c r="F48" i="11"/>
  <c r="D48" i="11"/>
  <c r="B48" i="11"/>
  <c r="E48" i="11" s="1"/>
  <c r="A48" i="11"/>
  <c r="CB47" i="11"/>
  <c r="CA47" i="11"/>
  <c r="BZ47" i="11"/>
  <c r="BY47" i="11"/>
  <c r="BX47" i="11"/>
  <c r="BW47" i="11"/>
  <c r="BS47" i="11"/>
  <c r="BQ47" i="11" s="1"/>
  <c r="BR47" i="11"/>
  <c r="BP47" i="11"/>
  <c r="BO47" i="11"/>
  <c r="BN47" i="11"/>
  <c r="BU47" i="11" s="1"/>
  <c r="BL47" i="11"/>
  <c r="BK47" i="11"/>
  <c r="BI47" i="11" s="1"/>
  <c r="BJ47" i="11"/>
  <c r="BH47" i="11"/>
  <c r="BF47" i="11"/>
  <c r="BA47" i="11"/>
  <c r="AZ47" i="11"/>
  <c r="BC47" i="11" s="1"/>
  <c r="AX47" i="11"/>
  <c r="AW47" i="11"/>
  <c r="AV47" i="11"/>
  <c r="AT47" i="11"/>
  <c r="AS47" i="11"/>
  <c r="AR47" i="11"/>
  <c r="AQ47" i="11"/>
  <c r="AP47" i="11"/>
  <c r="AJ47" i="11"/>
  <c r="AI47" i="11"/>
  <c r="AF47" i="11"/>
  <c r="AE47" i="11"/>
  <c r="AL47" i="11" s="1"/>
  <c r="AB47" i="11"/>
  <c r="Y47" i="11"/>
  <c r="X47" i="11"/>
  <c r="W47" i="11"/>
  <c r="U47" i="11"/>
  <c r="R47" i="11"/>
  <c r="P47" i="11" s="1"/>
  <c r="Q47" i="11"/>
  <c r="L47" i="11"/>
  <c r="K47" i="11"/>
  <c r="J47" i="11"/>
  <c r="F47" i="11"/>
  <c r="I47" i="11" s="1"/>
  <c r="E47" i="11"/>
  <c r="D47" i="11"/>
  <c r="C47" i="11"/>
  <c r="B47" i="11"/>
  <c r="A47" i="11"/>
  <c r="CB46" i="11"/>
  <c r="CA46" i="11"/>
  <c r="BZ46" i="11"/>
  <c r="BX46" i="11" s="1"/>
  <c r="BY46" i="11"/>
  <c r="BW46" i="11"/>
  <c r="BS46" i="11"/>
  <c r="BR46" i="11"/>
  <c r="BU46" i="11" s="1"/>
  <c r="BP46" i="11"/>
  <c r="BO46" i="11"/>
  <c r="BN46" i="11"/>
  <c r="BM46" i="11"/>
  <c r="BL46" i="11"/>
  <c r="BK46" i="11"/>
  <c r="BI46" i="11" s="1"/>
  <c r="BJ46" i="11"/>
  <c r="BH46" i="11"/>
  <c r="BD46" i="11"/>
  <c r="BB46" i="11"/>
  <c r="BE46" i="11" s="1"/>
  <c r="BA46" i="11"/>
  <c r="AY46" i="11" s="1"/>
  <c r="AZ46" i="11"/>
  <c r="AX46" i="11"/>
  <c r="AW46" i="11"/>
  <c r="AV46" i="11"/>
  <c r="BC46" i="11" s="1"/>
  <c r="BF46" i="11" s="1"/>
  <c r="AU46" i="11"/>
  <c r="AT46" i="11"/>
  <c r="AS46" i="11"/>
  <c r="AQ46" i="11" s="1"/>
  <c r="AR46" i="11"/>
  <c r="AP46" i="11"/>
  <c r="AL46" i="11"/>
  <c r="AJ46" i="11"/>
  <c r="AI46" i="11"/>
  <c r="AF46" i="11"/>
  <c r="AE46" i="11"/>
  <c r="AD46" i="11" s="1"/>
  <c r="AK46" i="11" s="1"/>
  <c r="AB46" i="11"/>
  <c r="Y46" i="11"/>
  <c r="W46" i="11" s="1"/>
  <c r="X46" i="11"/>
  <c r="U46" i="11"/>
  <c r="R46" i="11"/>
  <c r="Q46" i="11"/>
  <c r="P46" i="11"/>
  <c r="L46" i="11"/>
  <c r="K46" i="11"/>
  <c r="J46" i="11"/>
  <c r="F46" i="11"/>
  <c r="E46" i="11"/>
  <c r="D46" i="11"/>
  <c r="C46" i="11"/>
  <c r="B46" i="11"/>
  <c r="A46" i="11"/>
  <c r="CB45" i="11"/>
  <c r="CA45" i="11"/>
  <c r="BZ45" i="11"/>
  <c r="BX45" i="11" s="1"/>
  <c r="BY45" i="11"/>
  <c r="BW45" i="11"/>
  <c r="BS45" i="11"/>
  <c r="BR45" i="11"/>
  <c r="BQ45" i="11" s="1"/>
  <c r="BT45" i="11" s="1"/>
  <c r="BP45" i="11"/>
  <c r="BO45" i="11"/>
  <c r="BN45" i="11"/>
  <c r="BL45" i="11"/>
  <c r="BK45" i="11"/>
  <c r="BJ45" i="11"/>
  <c r="BI45" i="11" s="1"/>
  <c r="BH45" i="11"/>
  <c r="BA45" i="11"/>
  <c r="AZ45" i="11"/>
  <c r="BC45" i="11" s="1"/>
  <c r="BF45" i="11" s="1"/>
  <c r="AX45" i="11"/>
  <c r="AW45" i="11"/>
  <c r="AU45" i="11" s="1"/>
  <c r="AV45" i="11"/>
  <c r="AT45" i="11"/>
  <c r="AS45" i="11"/>
  <c r="AQ45" i="11" s="1"/>
  <c r="AR45" i="11"/>
  <c r="AP45" i="11"/>
  <c r="AJ45" i="11"/>
  <c r="AI45" i="11"/>
  <c r="AF45" i="11"/>
  <c r="AD45" i="11" s="1"/>
  <c r="AE45" i="11"/>
  <c r="AB45" i="11"/>
  <c r="Y45" i="11"/>
  <c r="X45" i="11"/>
  <c r="AL45" i="11" s="1"/>
  <c r="U45" i="11"/>
  <c r="R45" i="11"/>
  <c r="P45" i="11" s="1"/>
  <c r="Q45" i="11"/>
  <c r="J45" i="11"/>
  <c r="I45" i="11"/>
  <c r="H45" i="11"/>
  <c r="G45" i="11"/>
  <c r="F45" i="11"/>
  <c r="B45" i="11"/>
  <c r="A45" i="11"/>
  <c r="CB44" i="11"/>
  <c r="CA44" i="11"/>
  <c r="BZ44" i="11"/>
  <c r="BX44" i="11" s="1"/>
  <c r="BY44" i="11"/>
  <c r="BW44" i="11"/>
  <c r="BV44" i="11"/>
  <c r="BU44" i="11"/>
  <c r="BS44" i="11"/>
  <c r="BQ44" i="11" s="1"/>
  <c r="BT44" i="11" s="1"/>
  <c r="BR44" i="11"/>
  <c r="BP44" i="11"/>
  <c r="BO44" i="11"/>
  <c r="BN44" i="11"/>
  <c r="BM44" i="11"/>
  <c r="BL44" i="11"/>
  <c r="BK44" i="11"/>
  <c r="BI44" i="11" s="1"/>
  <c r="BJ44" i="11"/>
  <c r="BH44" i="11"/>
  <c r="BD44" i="11"/>
  <c r="BA44" i="11"/>
  <c r="AZ44" i="11"/>
  <c r="AY44" i="11"/>
  <c r="BB44" i="11" s="1"/>
  <c r="BE44" i="11" s="1"/>
  <c r="AX44" i="11"/>
  <c r="AW44" i="11"/>
  <c r="AU44" i="11" s="1"/>
  <c r="AV44" i="11"/>
  <c r="BC44" i="11" s="1"/>
  <c r="BF44" i="11" s="1"/>
  <c r="AT44" i="11"/>
  <c r="AS44" i="11"/>
  <c r="AR44" i="11"/>
  <c r="AQ44" i="11"/>
  <c r="AP44" i="11"/>
  <c r="AJ44" i="11"/>
  <c r="AI44" i="11"/>
  <c r="AF44" i="11"/>
  <c r="AE44" i="11"/>
  <c r="AB44" i="11"/>
  <c r="Y44" i="11"/>
  <c r="W44" i="11" s="1"/>
  <c r="X44" i="11"/>
  <c r="U44" i="11"/>
  <c r="R44" i="11"/>
  <c r="Q44" i="11"/>
  <c r="P44" i="11" s="1"/>
  <c r="L44" i="11"/>
  <c r="K44" i="11"/>
  <c r="J44" i="11"/>
  <c r="H44" i="11"/>
  <c r="G44" i="11"/>
  <c r="F44" i="11"/>
  <c r="I44" i="11" s="1"/>
  <c r="E44" i="11"/>
  <c r="D44" i="11"/>
  <c r="C44" i="11"/>
  <c r="B44" i="11"/>
  <c r="A44" i="11"/>
  <c r="CB43" i="11"/>
  <c r="CA43" i="11"/>
  <c r="BZ43" i="11"/>
  <c r="BY43" i="11"/>
  <c r="BW43" i="11"/>
  <c r="BS43" i="11"/>
  <c r="BR43" i="11"/>
  <c r="BP43" i="11"/>
  <c r="BO43" i="11"/>
  <c r="BM43" i="11" s="1"/>
  <c r="BN43" i="11"/>
  <c r="BL43" i="11"/>
  <c r="BK43" i="11"/>
  <c r="BI43" i="11" s="1"/>
  <c r="BJ43" i="11"/>
  <c r="BH43" i="11"/>
  <c r="BA43" i="11"/>
  <c r="AZ43" i="11"/>
  <c r="AX43" i="11"/>
  <c r="AW43" i="11"/>
  <c r="AV43" i="11"/>
  <c r="AU43" i="11" s="1"/>
  <c r="AT43" i="11"/>
  <c r="AS43" i="11"/>
  <c r="AQ43" i="11" s="1"/>
  <c r="AR43" i="11"/>
  <c r="AP43" i="11"/>
  <c r="AL43" i="11"/>
  <c r="AJ43" i="11"/>
  <c r="AI43" i="11"/>
  <c r="AF43" i="11"/>
  <c r="AE43" i="11"/>
  <c r="AD43" i="11"/>
  <c r="AK43" i="11" s="1"/>
  <c r="AB43" i="11"/>
  <c r="Y43" i="11"/>
  <c r="W43" i="11" s="1"/>
  <c r="X43" i="11"/>
  <c r="U43" i="11"/>
  <c r="R43" i="11"/>
  <c r="Q43" i="11"/>
  <c r="P43" i="11"/>
  <c r="L43" i="11"/>
  <c r="J43" i="11"/>
  <c r="K43" i="11" s="1"/>
  <c r="I43" i="11"/>
  <c r="H43" i="11"/>
  <c r="G43" i="11"/>
  <c r="F43" i="11"/>
  <c r="E43" i="11"/>
  <c r="D43" i="11"/>
  <c r="B43" i="11"/>
  <c r="C43" i="11" s="1"/>
  <c r="A43" i="11"/>
  <c r="CB42" i="11"/>
  <c r="CA42" i="11"/>
  <c r="BZ42" i="11"/>
  <c r="BY42" i="11"/>
  <c r="BX42" i="11"/>
  <c r="BW42" i="11"/>
  <c r="BS42" i="11"/>
  <c r="BR42" i="11"/>
  <c r="BQ42" i="11"/>
  <c r="BT42" i="11" s="1"/>
  <c r="BP42" i="11"/>
  <c r="BO42" i="11"/>
  <c r="BN42" i="11"/>
  <c r="BU42" i="11" s="1"/>
  <c r="BL42" i="11"/>
  <c r="BK42" i="11"/>
  <c r="BJ42" i="11"/>
  <c r="BI42" i="11"/>
  <c r="BH42" i="11"/>
  <c r="BA42" i="11"/>
  <c r="AZ42" i="11"/>
  <c r="AX42" i="11"/>
  <c r="AW42" i="11"/>
  <c r="AU42" i="11" s="1"/>
  <c r="AV42" i="11"/>
  <c r="AT42" i="11"/>
  <c r="AS42" i="11"/>
  <c r="AR42" i="11"/>
  <c r="AP42" i="11"/>
  <c r="AJ42" i="11"/>
  <c r="AI42" i="11"/>
  <c r="AF42" i="11"/>
  <c r="AE42" i="11"/>
  <c r="AL42" i="11" s="1"/>
  <c r="AB42" i="11"/>
  <c r="Y42" i="11"/>
  <c r="X42" i="11"/>
  <c r="W42" i="11" s="1"/>
  <c r="U42" i="11"/>
  <c r="R42" i="11"/>
  <c r="P42" i="11" s="1"/>
  <c r="Q42" i="11"/>
  <c r="J42" i="11"/>
  <c r="I42" i="11"/>
  <c r="H42" i="11"/>
  <c r="G42" i="11"/>
  <c r="F42" i="11"/>
  <c r="B42" i="11"/>
  <c r="A42" i="11"/>
  <c r="CB41" i="11"/>
  <c r="CA41" i="11"/>
  <c r="BZ41" i="11"/>
  <c r="BX41" i="11" s="1"/>
  <c r="BY41" i="11"/>
  <c r="BW41" i="11"/>
  <c r="BS41" i="11"/>
  <c r="BR41" i="11"/>
  <c r="BP41" i="11"/>
  <c r="BO41" i="11"/>
  <c r="BN41" i="11"/>
  <c r="BM41" i="11" s="1"/>
  <c r="BL41" i="11"/>
  <c r="BK41" i="11"/>
  <c r="BI41" i="11" s="1"/>
  <c r="BJ41" i="11"/>
  <c r="BH41" i="11"/>
  <c r="BF41" i="11"/>
  <c r="BA41" i="11"/>
  <c r="AY41" i="11" s="1"/>
  <c r="BB41" i="11" s="1"/>
  <c r="BE41" i="11" s="1"/>
  <c r="AZ41" i="11"/>
  <c r="AX41" i="11"/>
  <c r="AW41" i="11"/>
  <c r="AU41" i="11" s="1"/>
  <c r="AV41" i="11"/>
  <c r="BC41" i="11" s="1"/>
  <c r="AT41" i="11"/>
  <c r="AS41" i="11"/>
  <c r="AQ41" i="11" s="1"/>
  <c r="AR41" i="11"/>
  <c r="AP41" i="11"/>
  <c r="AO41" i="11"/>
  <c r="AM41" i="11"/>
  <c r="AN41" i="11" s="1"/>
  <c r="AJ41" i="11"/>
  <c r="AI41" i="11"/>
  <c r="AF41" i="11"/>
  <c r="AE41" i="11"/>
  <c r="AD41" i="11"/>
  <c r="AK41" i="11" s="1"/>
  <c r="AB41" i="11"/>
  <c r="Y41" i="11"/>
  <c r="W41" i="11" s="1"/>
  <c r="X41" i="11"/>
  <c r="U41" i="11"/>
  <c r="R41" i="11"/>
  <c r="P41" i="11" s="1"/>
  <c r="Q41" i="11"/>
  <c r="L41" i="11"/>
  <c r="K41" i="11"/>
  <c r="J41" i="11"/>
  <c r="G41" i="11"/>
  <c r="F41" i="11"/>
  <c r="E41" i="11"/>
  <c r="D41" i="11"/>
  <c r="C41" i="11"/>
  <c r="B41" i="11"/>
  <c r="A41" i="11"/>
  <c r="CB40" i="11"/>
  <c r="CA40" i="11"/>
  <c r="BZ40" i="11"/>
  <c r="BY40" i="11"/>
  <c r="BX40" i="11" s="1"/>
  <c r="BW40" i="11"/>
  <c r="BS40" i="11"/>
  <c r="BR40" i="11"/>
  <c r="BU40" i="11" s="1"/>
  <c r="BP40" i="11"/>
  <c r="BO40" i="11"/>
  <c r="BM40" i="11" s="1"/>
  <c r="BN40" i="11"/>
  <c r="BL40" i="11"/>
  <c r="BK40" i="11"/>
  <c r="BJ40" i="11"/>
  <c r="BI40" i="11"/>
  <c r="BH40" i="11"/>
  <c r="BC40" i="11"/>
  <c r="BF40" i="11" s="1"/>
  <c r="BA40" i="11"/>
  <c r="AZ40" i="11"/>
  <c r="AX40" i="11"/>
  <c r="AW40" i="11"/>
  <c r="AV40" i="11"/>
  <c r="AU40" i="11"/>
  <c r="AT40" i="11"/>
  <c r="AS40" i="11"/>
  <c r="AR40" i="11"/>
  <c r="AP40" i="11"/>
  <c r="AJ40" i="11"/>
  <c r="AI40" i="11"/>
  <c r="AF40" i="11"/>
  <c r="AD40" i="11" s="1"/>
  <c r="AE40" i="11"/>
  <c r="AB40" i="11"/>
  <c r="Y40" i="11"/>
  <c r="AM40" i="11" s="1"/>
  <c r="AN40" i="11" s="1"/>
  <c r="AO40" i="11" s="1"/>
  <c r="X40" i="11"/>
  <c r="AL40" i="11" s="1"/>
  <c r="U40" i="11"/>
  <c r="R40" i="11"/>
  <c r="P40" i="11" s="1"/>
  <c r="Q40" i="11"/>
  <c r="L40" i="11"/>
  <c r="K40" i="11"/>
  <c r="J40" i="11"/>
  <c r="I40" i="11"/>
  <c r="H40" i="11"/>
  <c r="G40" i="11"/>
  <c r="F40" i="11"/>
  <c r="C40" i="11"/>
  <c r="B40" i="11"/>
  <c r="E40" i="11" s="1"/>
  <c r="A40" i="11"/>
  <c r="CB39" i="11"/>
  <c r="CA39" i="11"/>
  <c r="BZ39" i="11"/>
  <c r="BY39" i="11"/>
  <c r="BX39" i="11"/>
  <c r="BW39" i="11"/>
  <c r="BV39" i="11"/>
  <c r="BT39" i="11"/>
  <c r="BS39" i="11"/>
  <c r="BQ39" i="11" s="1"/>
  <c r="BR39" i="11"/>
  <c r="BP39" i="11"/>
  <c r="BO39" i="11"/>
  <c r="BN39" i="11"/>
  <c r="BM39" i="11" s="1"/>
  <c r="BL39" i="11"/>
  <c r="BK39" i="11"/>
  <c r="BI39" i="11" s="1"/>
  <c r="BJ39" i="11"/>
  <c r="BH39" i="11"/>
  <c r="BA39" i="11"/>
  <c r="AZ39" i="11"/>
  <c r="BC39" i="11" s="1"/>
  <c r="BF39" i="11" s="1"/>
  <c r="AY39" i="11"/>
  <c r="BB39" i="11" s="1"/>
  <c r="BE39" i="11" s="1"/>
  <c r="AX39" i="11"/>
  <c r="AW39" i="11"/>
  <c r="AV39" i="11"/>
  <c r="AT39" i="11"/>
  <c r="AS39" i="11"/>
  <c r="AR39" i="11"/>
  <c r="AQ39" i="11"/>
  <c r="AP39" i="11"/>
  <c r="AJ39" i="11"/>
  <c r="AI39" i="11"/>
  <c r="AF39" i="11"/>
  <c r="AE39" i="11"/>
  <c r="AD39" i="11"/>
  <c r="AB39" i="11"/>
  <c r="Y39" i="11"/>
  <c r="X39" i="11"/>
  <c r="W39" i="11"/>
  <c r="U39" i="11"/>
  <c r="R39" i="11"/>
  <c r="Q39" i="11"/>
  <c r="P39" i="11"/>
  <c r="L39" i="11"/>
  <c r="K39" i="11"/>
  <c r="J39" i="11"/>
  <c r="H39" i="11"/>
  <c r="G39" i="11"/>
  <c r="F39" i="11"/>
  <c r="I39" i="11" s="1"/>
  <c r="E39" i="11"/>
  <c r="D39" i="11"/>
  <c r="C39" i="11"/>
  <c r="B39" i="11"/>
  <c r="A39" i="11"/>
  <c r="CB38" i="11"/>
  <c r="CA38" i="11"/>
  <c r="BZ38" i="11"/>
  <c r="BY38" i="11"/>
  <c r="BW38" i="11"/>
  <c r="BU38" i="11"/>
  <c r="BS38" i="11"/>
  <c r="BR38" i="11"/>
  <c r="BQ38" i="11" s="1"/>
  <c r="BT38" i="11" s="1"/>
  <c r="BP38" i="11"/>
  <c r="BO38" i="11"/>
  <c r="BN38" i="11"/>
  <c r="BM38" i="11"/>
  <c r="BL38" i="11"/>
  <c r="BK38" i="11"/>
  <c r="BJ38" i="11"/>
  <c r="BI38" i="11" s="1"/>
  <c r="BH38" i="11"/>
  <c r="BE38" i="11"/>
  <c r="BB38" i="11"/>
  <c r="BA38" i="11"/>
  <c r="AY38" i="11" s="1"/>
  <c r="AZ38" i="11"/>
  <c r="AX38" i="11"/>
  <c r="AW38" i="11"/>
  <c r="AV38" i="11"/>
  <c r="BC38" i="11" s="1"/>
  <c r="BF38" i="11" s="1"/>
  <c r="AU38" i="11"/>
  <c r="AT38" i="11"/>
  <c r="AS38" i="11"/>
  <c r="AQ38" i="11" s="1"/>
  <c r="AR38" i="11"/>
  <c r="AP38" i="11"/>
  <c r="AM38" i="11"/>
  <c r="AN38" i="11" s="1"/>
  <c r="AO38" i="11" s="1"/>
  <c r="AL38" i="11"/>
  <c r="AJ38" i="11"/>
  <c r="AI38" i="11"/>
  <c r="AF38" i="11"/>
  <c r="AE38" i="11"/>
  <c r="AD38" i="11" s="1"/>
  <c r="AB38" i="11"/>
  <c r="Y38" i="11"/>
  <c r="W38" i="11" s="1"/>
  <c r="X38" i="11"/>
  <c r="U38" i="11"/>
  <c r="R38" i="11"/>
  <c r="Q38" i="11"/>
  <c r="P38" i="11" s="1"/>
  <c r="J38" i="11"/>
  <c r="L38" i="11" s="1"/>
  <c r="F38" i="11"/>
  <c r="E38" i="11"/>
  <c r="C38" i="11"/>
  <c r="B38" i="11"/>
  <c r="D38" i="11" s="1"/>
  <c r="A38" i="11"/>
  <c r="CB37" i="11"/>
  <c r="CA37" i="11"/>
  <c r="BZ37" i="11"/>
  <c r="BX37" i="11" s="1"/>
  <c r="BY37" i="11"/>
  <c r="BW37" i="11"/>
  <c r="BS37" i="11"/>
  <c r="BR37" i="11"/>
  <c r="BU37" i="11" s="1"/>
  <c r="BQ37" i="11"/>
  <c r="BT37" i="11" s="1"/>
  <c r="BP37" i="11"/>
  <c r="BO37" i="11"/>
  <c r="BN37" i="11"/>
  <c r="BL37" i="11"/>
  <c r="BK37" i="11"/>
  <c r="BJ37" i="11"/>
  <c r="BI37" i="11"/>
  <c r="BH37" i="11"/>
  <c r="BA37" i="11"/>
  <c r="BD37" i="11" s="1"/>
  <c r="AZ37" i="11"/>
  <c r="AX37" i="11"/>
  <c r="AW37" i="11"/>
  <c r="AU37" i="11" s="1"/>
  <c r="AV37" i="11"/>
  <c r="AT37" i="11"/>
  <c r="AS37" i="11"/>
  <c r="AR37" i="11"/>
  <c r="AQ37" i="11" s="1"/>
  <c r="AP37" i="11"/>
  <c r="AJ37" i="11"/>
  <c r="AI37" i="11"/>
  <c r="AF37" i="11"/>
  <c r="AE37" i="11"/>
  <c r="AB37" i="11"/>
  <c r="Y37" i="11"/>
  <c r="X37" i="11"/>
  <c r="AL37" i="11" s="1"/>
  <c r="U37" i="11"/>
  <c r="R37" i="11"/>
  <c r="P37" i="11" s="1"/>
  <c r="Q37" i="11"/>
  <c r="K37" i="11"/>
  <c r="J37" i="11"/>
  <c r="L37" i="11" s="1"/>
  <c r="I37" i="11"/>
  <c r="H37" i="11"/>
  <c r="G37" i="11"/>
  <c r="F37" i="11"/>
  <c r="C37" i="11"/>
  <c r="B37" i="11"/>
  <c r="A37" i="11"/>
  <c r="CB36" i="11"/>
  <c r="CA36" i="11"/>
  <c r="BZ36" i="11"/>
  <c r="BX36" i="11" s="1"/>
  <c r="BY36" i="11"/>
  <c r="BW36" i="11"/>
  <c r="BT36" i="11"/>
  <c r="BS36" i="11"/>
  <c r="BQ36" i="11" s="1"/>
  <c r="BR36" i="11"/>
  <c r="BP36" i="11"/>
  <c r="BO36" i="11"/>
  <c r="BM36" i="11" s="1"/>
  <c r="BN36" i="11"/>
  <c r="BU36" i="11" s="1"/>
  <c r="BL36" i="11"/>
  <c r="BK36" i="11"/>
  <c r="BI36" i="11" s="1"/>
  <c r="BJ36" i="11"/>
  <c r="BH36" i="11"/>
  <c r="BE36" i="11"/>
  <c r="BA36" i="11"/>
  <c r="AZ36" i="11"/>
  <c r="AY36" i="11"/>
  <c r="BB36" i="11" s="1"/>
  <c r="AX36" i="11"/>
  <c r="AW36" i="11"/>
  <c r="BD36" i="11" s="1"/>
  <c r="BG36" i="11" s="1"/>
  <c r="AV36" i="11"/>
  <c r="BC36" i="11" s="1"/>
  <c r="BF36" i="11" s="1"/>
  <c r="AT36" i="11"/>
  <c r="AS36" i="11"/>
  <c r="AR36" i="11"/>
  <c r="AQ36" i="11"/>
  <c r="AP36" i="11"/>
  <c r="AN36" i="11"/>
  <c r="AO36" i="11" s="1"/>
  <c r="AM36" i="11"/>
  <c r="AJ36" i="11"/>
  <c r="AI36" i="11"/>
  <c r="AF36" i="11"/>
  <c r="AE36" i="11"/>
  <c r="AD36" i="11"/>
  <c r="AK36" i="11" s="1"/>
  <c r="AB36" i="11"/>
  <c r="Y36" i="11"/>
  <c r="W36" i="11" s="1"/>
  <c r="X36" i="11"/>
  <c r="U36" i="11"/>
  <c r="R36" i="11"/>
  <c r="P36" i="11" s="1"/>
  <c r="Q36" i="11"/>
  <c r="L36" i="11"/>
  <c r="K36" i="11"/>
  <c r="J36" i="11"/>
  <c r="H36" i="11"/>
  <c r="F36" i="11"/>
  <c r="I36" i="11" s="1"/>
  <c r="E36" i="11"/>
  <c r="D36" i="11"/>
  <c r="C36" i="11"/>
  <c r="B36" i="11"/>
  <c r="A36" i="11"/>
  <c r="CB35" i="11"/>
  <c r="CA35" i="11"/>
  <c r="BZ35" i="11"/>
  <c r="BX35" i="11" s="1"/>
  <c r="BY35" i="11"/>
  <c r="BW35" i="11"/>
  <c r="BS35" i="11"/>
  <c r="BR35" i="11"/>
  <c r="BU35" i="11" s="1"/>
  <c r="BP35" i="11"/>
  <c r="BO35" i="11"/>
  <c r="BM35" i="11" s="1"/>
  <c r="BN35" i="11"/>
  <c r="BL35" i="11"/>
  <c r="BK35" i="11"/>
  <c r="BJ35" i="11"/>
  <c r="BI35" i="11"/>
  <c r="BH35" i="11"/>
  <c r="BA35" i="11"/>
  <c r="AZ35" i="11"/>
  <c r="AX35" i="11"/>
  <c r="AW35" i="11"/>
  <c r="AV35" i="11"/>
  <c r="AU35" i="11"/>
  <c r="AT35" i="11"/>
  <c r="AS35" i="11"/>
  <c r="AR35" i="11"/>
  <c r="AP35" i="11"/>
  <c r="AN35" i="11"/>
  <c r="AO35" i="11" s="1"/>
  <c r="AM35" i="11"/>
  <c r="AJ35" i="11"/>
  <c r="AI35" i="11"/>
  <c r="AF35" i="11"/>
  <c r="AE35" i="11"/>
  <c r="AD35" i="11"/>
  <c r="AB35" i="11"/>
  <c r="Y35" i="11"/>
  <c r="X35" i="11"/>
  <c r="AL35" i="11" s="1"/>
  <c r="U35" i="11"/>
  <c r="R35" i="11"/>
  <c r="Q35" i="11"/>
  <c r="P35" i="11"/>
  <c r="L35" i="11"/>
  <c r="J35" i="11"/>
  <c r="K35" i="11" s="1"/>
  <c r="I35" i="11"/>
  <c r="H35" i="11"/>
  <c r="G35" i="11"/>
  <c r="F35" i="11"/>
  <c r="E35" i="11"/>
  <c r="D35" i="11"/>
  <c r="B35" i="11"/>
  <c r="C35" i="11" s="1"/>
  <c r="A35" i="11"/>
  <c r="CB34" i="11"/>
  <c r="CA34" i="11"/>
  <c r="BZ34" i="11"/>
  <c r="BY34" i="11"/>
  <c r="BX34" i="11"/>
  <c r="BW34" i="11"/>
  <c r="BU34" i="11"/>
  <c r="BS34" i="11"/>
  <c r="BR34" i="11"/>
  <c r="BQ34" i="11"/>
  <c r="BT34" i="11" s="1"/>
  <c r="BP34" i="11"/>
  <c r="BO34" i="11"/>
  <c r="BN34" i="11"/>
  <c r="BL34" i="11"/>
  <c r="BK34" i="11"/>
  <c r="BJ34" i="11"/>
  <c r="BI34" i="11"/>
  <c r="BH34" i="11"/>
  <c r="BA34" i="11"/>
  <c r="AZ34" i="11"/>
  <c r="AY34" i="11"/>
  <c r="BB34" i="11" s="1"/>
  <c r="BE34" i="11" s="1"/>
  <c r="AX34" i="11"/>
  <c r="AW34" i="11"/>
  <c r="AU34" i="11" s="1"/>
  <c r="AV34" i="11"/>
  <c r="AT34" i="11"/>
  <c r="AS34" i="11"/>
  <c r="AQ34" i="11" s="1"/>
  <c r="AR34" i="11"/>
  <c r="AP34" i="11"/>
  <c r="AJ34" i="11"/>
  <c r="AI34" i="11"/>
  <c r="AF34" i="11"/>
  <c r="AE34" i="11"/>
  <c r="AB34" i="11"/>
  <c r="Y34" i="11"/>
  <c r="X34" i="11"/>
  <c r="W34" i="11" s="1"/>
  <c r="U34" i="11"/>
  <c r="R34" i="11"/>
  <c r="Q34" i="11"/>
  <c r="J34" i="11"/>
  <c r="F34" i="11"/>
  <c r="I34" i="11" s="1"/>
  <c r="B34" i="11"/>
  <c r="A34" i="11"/>
  <c r="BZ33" i="11"/>
  <c r="BX33" i="11" s="1"/>
  <c r="BY33" i="11"/>
  <c r="BS33" i="11"/>
  <c r="BR33" i="11"/>
  <c r="BU33" i="11" s="1"/>
  <c r="BQ33" i="11"/>
  <c r="BO33" i="11"/>
  <c r="BM33" i="11" s="1"/>
  <c r="BN33" i="11"/>
  <c r="BK33" i="11"/>
  <c r="BJ33" i="11"/>
  <c r="BI33" i="11"/>
  <c r="BD33" i="11"/>
  <c r="BA33" i="11"/>
  <c r="AZ33" i="11"/>
  <c r="AY33" i="11" s="1"/>
  <c r="BB33" i="11" s="1"/>
  <c r="AW33" i="11"/>
  <c r="AV33" i="11"/>
  <c r="AU33" i="11"/>
  <c r="AS33" i="11"/>
  <c r="AQ33" i="11" s="1"/>
  <c r="AR33" i="11"/>
  <c r="AP33" i="11"/>
  <c r="AL33" i="11"/>
  <c r="AJ33" i="11"/>
  <c r="AI33" i="11"/>
  <c r="AF33" i="11"/>
  <c r="AE33" i="11"/>
  <c r="AB33" i="11"/>
  <c r="Y33" i="11"/>
  <c r="W33" i="11" s="1"/>
  <c r="X33" i="11"/>
  <c r="U33" i="11"/>
  <c r="R33" i="11"/>
  <c r="P33" i="11" s="1"/>
  <c r="Q33" i="11"/>
  <c r="L33" i="11"/>
  <c r="K33" i="11"/>
  <c r="J33" i="11"/>
  <c r="F33" i="11"/>
  <c r="E33" i="11"/>
  <c r="D33" i="11"/>
  <c r="C33" i="11"/>
  <c r="B33" i="11"/>
  <c r="A33" i="11"/>
  <c r="CB32" i="11"/>
  <c r="CA32" i="11"/>
  <c r="BZ32" i="11"/>
  <c r="BX32" i="11" s="1"/>
  <c r="BY32" i="11"/>
  <c r="BW32" i="11"/>
  <c r="BS32" i="11"/>
  <c r="BQ32" i="11" s="1"/>
  <c r="BT32" i="11" s="1"/>
  <c r="BR32" i="11"/>
  <c r="BP32" i="11"/>
  <c r="BO32" i="11"/>
  <c r="BM32" i="11" s="1"/>
  <c r="BN32" i="11"/>
  <c r="BL32" i="11"/>
  <c r="BK32" i="11"/>
  <c r="BJ32" i="11"/>
  <c r="BI32" i="11" s="1"/>
  <c r="BH32" i="11"/>
  <c r="BC32" i="11"/>
  <c r="BF32" i="11" s="1"/>
  <c r="BA32" i="11"/>
  <c r="AZ32" i="11"/>
  <c r="AX32" i="11"/>
  <c r="AW32" i="11"/>
  <c r="AV32" i="11"/>
  <c r="AU32" i="11"/>
  <c r="AT32" i="11"/>
  <c r="AS32" i="11"/>
  <c r="AQ32" i="11" s="1"/>
  <c r="AR32" i="11"/>
  <c r="AP32" i="11"/>
  <c r="AJ32" i="11"/>
  <c r="AI32" i="11"/>
  <c r="AF32" i="11"/>
  <c r="AD32" i="11" s="1"/>
  <c r="AE32" i="11"/>
  <c r="AB32" i="11"/>
  <c r="Y32" i="11"/>
  <c r="AM32" i="11" s="1"/>
  <c r="AN32" i="11" s="1"/>
  <c r="AO32" i="11" s="1"/>
  <c r="X32" i="11"/>
  <c r="AL32" i="11" s="1"/>
  <c r="U32" i="11"/>
  <c r="R32" i="11"/>
  <c r="P32" i="11" s="1"/>
  <c r="Q32" i="11"/>
  <c r="L32" i="11"/>
  <c r="K32" i="11"/>
  <c r="J32" i="11"/>
  <c r="I32" i="11"/>
  <c r="H32" i="11"/>
  <c r="G32" i="11"/>
  <c r="F32" i="11"/>
  <c r="C32" i="11"/>
  <c r="B32" i="11"/>
  <c r="E32" i="11" s="1"/>
  <c r="A32" i="11"/>
  <c r="CB31" i="11"/>
  <c r="CA31" i="11"/>
  <c r="BZ31" i="11"/>
  <c r="BY31" i="11"/>
  <c r="BX31" i="11"/>
  <c r="BW31" i="11"/>
  <c r="BS31" i="11"/>
  <c r="BR31" i="11"/>
  <c r="BP31" i="11"/>
  <c r="BO31" i="11"/>
  <c r="BN31" i="11"/>
  <c r="BM31" i="11" s="1"/>
  <c r="BL31" i="11"/>
  <c r="BK31" i="11"/>
  <c r="BI31" i="11" s="1"/>
  <c r="BJ31" i="11"/>
  <c r="BH31" i="11"/>
  <c r="BD31" i="11"/>
  <c r="BA31" i="11"/>
  <c r="AZ31" i="11"/>
  <c r="AY31" i="11" s="1"/>
  <c r="BB31" i="11" s="1"/>
  <c r="BE31" i="11" s="1"/>
  <c r="AX31" i="11"/>
  <c r="AW31" i="11"/>
  <c r="AV31" i="11"/>
  <c r="AU31" i="11" s="1"/>
  <c r="AT31" i="11"/>
  <c r="AS31" i="11"/>
  <c r="AR31" i="11"/>
  <c r="AQ31" i="11" s="1"/>
  <c r="AP31" i="11"/>
  <c r="AJ31" i="11"/>
  <c r="AI31" i="11"/>
  <c r="AF31" i="11"/>
  <c r="AD31" i="11" s="1"/>
  <c r="AK31" i="11" s="1"/>
  <c r="AE31" i="11"/>
  <c r="AB31" i="11"/>
  <c r="Y31" i="11"/>
  <c r="X31" i="11"/>
  <c r="W31" i="11"/>
  <c r="U31" i="11"/>
  <c r="R31" i="11"/>
  <c r="P31" i="11" s="1"/>
  <c r="Q31" i="11"/>
  <c r="L31" i="11"/>
  <c r="K31" i="11"/>
  <c r="J31" i="11"/>
  <c r="F31" i="11"/>
  <c r="I31" i="11" s="1"/>
  <c r="E31" i="11"/>
  <c r="D31" i="11"/>
  <c r="C31" i="11"/>
  <c r="B31" i="11"/>
  <c r="A31" i="11"/>
  <c r="CB30" i="11"/>
  <c r="CA30" i="11"/>
  <c r="BZ30" i="11"/>
  <c r="BX30" i="11" s="1"/>
  <c r="BY30" i="11"/>
  <c r="BW30" i="11"/>
  <c r="BS30" i="11"/>
  <c r="BR30" i="11"/>
  <c r="BQ30" i="11"/>
  <c r="BT30" i="11" s="1"/>
  <c r="BP30" i="11"/>
  <c r="BO30" i="11"/>
  <c r="BN30" i="11"/>
  <c r="BM30" i="11"/>
  <c r="BL30" i="11"/>
  <c r="BK30" i="11"/>
  <c r="BJ30" i="11"/>
  <c r="BI30" i="11"/>
  <c r="BH30" i="11"/>
  <c r="BA30" i="11"/>
  <c r="AZ30" i="11"/>
  <c r="BC30" i="11" s="1"/>
  <c r="BF30" i="11" s="1"/>
  <c r="AX30" i="11"/>
  <c r="AW30" i="11"/>
  <c r="AU30" i="11" s="1"/>
  <c r="AV30" i="11"/>
  <c r="AT30" i="11"/>
  <c r="AS30" i="11"/>
  <c r="AR30" i="11"/>
  <c r="AP30" i="11"/>
  <c r="AJ30" i="11"/>
  <c r="AI30" i="11"/>
  <c r="AF30" i="11"/>
  <c r="AE30" i="11"/>
  <c r="AL30" i="11" s="1"/>
  <c r="AD30" i="11"/>
  <c r="AB30" i="11"/>
  <c r="Y30" i="11"/>
  <c r="AM30" i="11" s="1"/>
  <c r="AN30" i="11" s="1"/>
  <c r="AO30" i="11" s="1"/>
  <c r="X30" i="11"/>
  <c r="U30" i="11"/>
  <c r="R30" i="11"/>
  <c r="Q30" i="11"/>
  <c r="P30" i="11"/>
  <c r="K30" i="11"/>
  <c r="J30" i="11"/>
  <c r="L30" i="11" s="1"/>
  <c r="F30" i="11"/>
  <c r="E30" i="11"/>
  <c r="D30" i="11"/>
  <c r="C30" i="11"/>
  <c r="B30" i="11"/>
  <c r="A30" i="11"/>
  <c r="CB29" i="11"/>
  <c r="CA29" i="11"/>
  <c r="BZ29" i="11"/>
  <c r="BX29" i="11" s="1"/>
  <c r="BY29" i="11"/>
  <c r="BW29" i="11"/>
  <c r="BS29" i="11"/>
  <c r="BR29" i="11"/>
  <c r="BQ29" i="11"/>
  <c r="BT29" i="11" s="1"/>
  <c r="BP29" i="11"/>
  <c r="BO29" i="11"/>
  <c r="BN29" i="11"/>
  <c r="BU29" i="11" s="1"/>
  <c r="BL29" i="11"/>
  <c r="BK29" i="11"/>
  <c r="BJ29" i="11"/>
  <c r="BI29" i="11"/>
  <c r="BH29" i="11"/>
  <c r="BA29" i="11"/>
  <c r="AZ29" i="11"/>
  <c r="AY29" i="11"/>
  <c r="BB29" i="11" s="1"/>
  <c r="BE29" i="11" s="1"/>
  <c r="AX29" i="11"/>
  <c r="AW29" i="11"/>
  <c r="AU29" i="11" s="1"/>
  <c r="AV29" i="11"/>
  <c r="AT29" i="11"/>
  <c r="AS29" i="11"/>
  <c r="AQ29" i="11" s="1"/>
  <c r="AR29" i="11"/>
  <c r="AP29" i="11"/>
  <c r="AJ29" i="11"/>
  <c r="AI29" i="11"/>
  <c r="AF29" i="11"/>
  <c r="AE29" i="11"/>
  <c r="AB29" i="11"/>
  <c r="Y29" i="11"/>
  <c r="W29" i="11" s="1"/>
  <c r="X29" i="11"/>
  <c r="AL29" i="11" s="1"/>
  <c r="U29" i="11"/>
  <c r="R29" i="11"/>
  <c r="P29" i="11" s="1"/>
  <c r="Q29" i="11"/>
  <c r="J29" i="11"/>
  <c r="I29" i="11"/>
  <c r="H29" i="11"/>
  <c r="G29" i="11"/>
  <c r="F29" i="11"/>
  <c r="C29" i="11"/>
  <c r="B29" i="11"/>
  <c r="A29" i="11"/>
  <c r="CB28" i="11"/>
  <c r="CA28" i="11"/>
  <c r="BZ28" i="11"/>
  <c r="BX28" i="11" s="1"/>
  <c r="BY28" i="11"/>
  <c r="BW28" i="11"/>
  <c r="BS28" i="11"/>
  <c r="BR28" i="11"/>
  <c r="BU28" i="11" s="1"/>
  <c r="BP28" i="11"/>
  <c r="BO28" i="11"/>
  <c r="BM28" i="11" s="1"/>
  <c r="BN28" i="11"/>
  <c r="BL28" i="11"/>
  <c r="BK28" i="11"/>
  <c r="BJ28" i="11"/>
  <c r="BH28" i="11"/>
  <c r="BF28" i="11"/>
  <c r="BA28" i="11"/>
  <c r="BD28" i="11" s="1"/>
  <c r="AZ28" i="11"/>
  <c r="AX28" i="11"/>
  <c r="AW28" i="11"/>
  <c r="AV28" i="11"/>
  <c r="BC28" i="11" s="1"/>
  <c r="AT28" i="11"/>
  <c r="AS28" i="11"/>
  <c r="AR28" i="11"/>
  <c r="AQ28" i="11"/>
  <c r="AP28" i="11"/>
  <c r="AJ28" i="11"/>
  <c r="AI28" i="11"/>
  <c r="AF28" i="11"/>
  <c r="AE28" i="11"/>
  <c r="AB28" i="11"/>
  <c r="Y28" i="11"/>
  <c r="X28" i="11"/>
  <c r="U28" i="11"/>
  <c r="R28" i="11"/>
  <c r="Q28" i="11"/>
  <c r="L28" i="11"/>
  <c r="K28" i="11"/>
  <c r="J28" i="11"/>
  <c r="H28" i="11"/>
  <c r="G28" i="11"/>
  <c r="F28" i="11"/>
  <c r="I28" i="11" s="1"/>
  <c r="E28" i="11"/>
  <c r="C28" i="11"/>
  <c r="B28" i="11"/>
  <c r="D28" i="11" s="1"/>
  <c r="A28" i="11"/>
  <c r="CB27" i="11"/>
  <c r="CA27" i="11"/>
  <c r="BZ27" i="11"/>
  <c r="BX27" i="11" s="1"/>
  <c r="BY27" i="11"/>
  <c r="BW27" i="11"/>
  <c r="BS27" i="11"/>
  <c r="BV27" i="11" s="1"/>
  <c r="BR27" i="11"/>
  <c r="BU27" i="11" s="1"/>
  <c r="BP27" i="11"/>
  <c r="BO27" i="11"/>
  <c r="BN27" i="11"/>
  <c r="BL27" i="11"/>
  <c r="BK27" i="11"/>
  <c r="BJ27" i="11"/>
  <c r="BI27" i="11"/>
  <c r="BH27" i="11"/>
  <c r="BA27" i="11"/>
  <c r="BD27" i="11" s="1"/>
  <c r="AZ27" i="11"/>
  <c r="AX27" i="11"/>
  <c r="AW27" i="11"/>
  <c r="AV27" i="11"/>
  <c r="AU27" i="11" s="1"/>
  <c r="AT27" i="11"/>
  <c r="AS27" i="11"/>
  <c r="AQ27" i="11" s="1"/>
  <c r="AR27" i="11"/>
  <c r="AP27" i="11"/>
  <c r="AL27" i="11"/>
  <c r="AJ27" i="11"/>
  <c r="AI27" i="11"/>
  <c r="AF27" i="11"/>
  <c r="AE27" i="11"/>
  <c r="AB27" i="11"/>
  <c r="Y27" i="11"/>
  <c r="X27" i="11"/>
  <c r="W27" i="11"/>
  <c r="U27" i="11"/>
  <c r="R27" i="11"/>
  <c r="P27" i="11" s="1"/>
  <c r="Q27" i="11"/>
  <c r="L27" i="11"/>
  <c r="K27" i="11"/>
  <c r="J27" i="11"/>
  <c r="I27" i="11"/>
  <c r="H27" i="11"/>
  <c r="G27" i="11"/>
  <c r="F27" i="11"/>
  <c r="D27" i="11"/>
  <c r="C27" i="11"/>
  <c r="B27" i="11"/>
  <c r="E27" i="11" s="1"/>
  <c r="A27" i="11"/>
  <c r="CB26" i="11"/>
  <c r="CA26" i="11"/>
  <c r="BZ26" i="11"/>
  <c r="BY26" i="11"/>
  <c r="BX26" i="11"/>
  <c r="BW26" i="11"/>
  <c r="BU26" i="11"/>
  <c r="BS26" i="11"/>
  <c r="BR26" i="11"/>
  <c r="BP26" i="11"/>
  <c r="BO26" i="11"/>
  <c r="BN26" i="11"/>
  <c r="BM26" i="11"/>
  <c r="BL26" i="11"/>
  <c r="BK26" i="11"/>
  <c r="BI26" i="11" s="1"/>
  <c r="BJ26" i="11"/>
  <c r="BH26" i="11"/>
  <c r="BC26" i="11"/>
  <c r="BF26" i="11" s="1"/>
  <c r="BA26" i="11"/>
  <c r="AY26" i="11" s="1"/>
  <c r="BB26" i="11" s="1"/>
  <c r="BE26" i="11" s="1"/>
  <c r="AZ26" i="11"/>
  <c r="AX26" i="11"/>
  <c r="AW26" i="11"/>
  <c r="AV26" i="11"/>
  <c r="AU26" i="11"/>
  <c r="AT26" i="11"/>
  <c r="AS26" i="11"/>
  <c r="AQ26" i="11" s="1"/>
  <c r="AR26" i="11"/>
  <c r="AP26" i="11"/>
  <c r="AM26" i="11"/>
  <c r="AN26" i="11" s="1"/>
  <c r="AO26" i="11" s="1"/>
  <c r="AJ26" i="11"/>
  <c r="AI26" i="11"/>
  <c r="AF26" i="11"/>
  <c r="AD26" i="11" s="1"/>
  <c r="AE26" i="11"/>
  <c r="AB26" i="11"/>
  <c r="Y26" i="11"/>
  <c r="X26" i="11"/>
  <c r="W26" i="11" s="1"/>
  <c r="U26" i="11"/>
  <c r="R26" i="11"/>
  <c r="P26" i="11" s="1"/>
  <c r="Q26" i="11"/>
  <c r="J26" i="11"/>
  <c r="K26" i="11" s="1"/>
  <c r="I26" i="11"/>
  <c r="H26" i="11"/>
  <c r="F26" i="11"/>
  <c r="G26" i="11" s="1"/>
  <c r="B26" i="11"/>
  <c r="A26" i="11"/>
  <c r="CB25" i="11"/>
  <c r="CA25" i="11"/>
  <c r="BZ25" i="11"/>
  <c r="BY25" i="11"/>
  <c r="BX25" i="11" s="1"/>
  <c r="BW25" i="11"/>
  <c r="BU25" i="11"/>
  <c r="BS25" i="11"/>
  <c r="BQ25" i="11" s="1"/>
  <c r="BT25" i="11" s="1"/>
  <c r="BR25" i="11"/>
  <c r="BP25" i="11"/>
  <c r="BO25" i="11"/>
  <c r="BN25" i="11"/>
  <c r="BM25" i="11" s="1"/>
  <c r="BL25" i="11"/>
  <c r="BK25" i="11"/>
  <c r="BI25" i="11" s="1"/>
  <c r="BJ25" i="11"/>
  <c r="BH25" i="11"/>
  <c r="BD25" i="11"/>
  <c r="BA25" i="11"/>
  <c r="AZ25" i="11"/>
  <c r="AX25" i="11"/>
  <c r="AW25" i="11"/>
  <c r="AV25" i="11"/>
  <c r="BC25" i="11" s="1"/>
  <c r="BF25" i="11" s="1"/>
  <c r="AT25" i="11"/>
  <c r="AS25" i="11"/>
  <c r="AQ25" i="11" s="1"/>
  <c r="AR25" i="11"/>
  <c r="AP25" i="11"/>
  <c r="AJ25" i="11"/>
  <c r="AI25" i="11"/>
  <c r="AF25" i="11"/>
  <c r="AD25" i="11" s="1"/>
  <c r="AE25" i="11"/>
  <c r="AB25" i="11"/>
  <c r="Y25" i="11"/>
  <c r="AM25" i="11" s="1"/>
  <c r="AN25" i="11" s="1"/>
  <c r="AO25" i="11" s="1"/>
  <c r="X25" i="11"/>
  <c r="AL25" i="11" s="1"/>
  <c r="W25" i="11"/>
  <c r="AK25" i="11" s="1"/>
  <c r="U25" i="11"/>
  <c r="R25" i="11"/>
  <c r="P25" i="11" s="1"/>
  <c r="Q25" i="11"/>
  <c r="J25" i="11"/>
  <c r="L25" i="11" s="1"/>
  <c r="I25" i="11"/>
  <c r="F25" i="11"/>
  <c r="H25" i="11" s="1"/>
  <c r="D25" i="11"/>
  <c r="C25" i="11"/>
  <c r="B25" i="11"/>
  <c r="E25" i="11" s="1"/>
  <c r="A25" i="11"/>
  <c r="CB24" i="11"/>
  <c r="CA24" i="11"/>
  <c r="BZ24" i="11"/>
  <c r="BY24" i="11"/>
  <c r="BX24" i="11"/>
  <c r="BW24" i="11"/>
  <c r="BU24" i="11"/>
  <c r="BS24" i="11"/>
  <c r="BQ24" i="11" s="1"/>
  <c r="BT24" i="11" s="1"/>
  <c r="BR24" i="11"/>
  <c r="BP24" i="11"/>
  <c r="BO24" i="11"/>
  <c r="BM24" i="11" s="1"/>
  <c r="BN24" i="11"/>
  <c r="BL24" i="11"/>
  <c r="BK24" i="11"/>
  <c r="BI24" i="11" s="1"/>
  <c r="BJ24" i="11"/>
  <c r="BH24" i="11"/>
  <c r="BA24" i="11"/>
  <c r="AZ24" i="11"/>
  <c r="AY24" i="11"/>
  <c r="BB24" i="11" s="1"/>
  <c r="BE24" i="11" s="1"/>
  <c r="AX24" i="11"/>
  <c r="AW24" i="11"/>
  <c r="AU24" i="11" s="1"/>
  <c r="AV24" i="11"/>
  <c r="AT24" i="11"/>
  <c r="AS24" i="11"/>
  <c r="AR24" i="11"/>
  <c r="AQ24" i="11" s="1"/>
  <c r="AP24" i="11"/>
  <c r="AJ24" i="11"/>
  <c r="AI24" i="11"/>
  <c r="AF24" i="11"/>
  <c r="AE24" i="11"/>
  <c r="AB24" i="11"/>
  <c r="Y24" i="11"/>
  <c r="X24" i="11"/>
  <c r="W24" i="11"/>
  <c r="U24" i="11"/>
  <c r="R24" i="11"/>
  <c r="Q24" i="11"/>
  <c r="L24" i="11"/>
  <c r="K24" i="11"/>
  <c r="J24" i="11"/>
  <c r="G24" i="11"/>
  <c r="F24" i="11"/>
  <c r="I24" i="11" s="1"/>
  <c r="D24" i="11"/>
  <c r="C24" i="11"/>
  <c r="B24" i="11"/>
  <c r="E24" i="11" s="1"/>
  <c r="A24" i="11"/>
  <c r="CB23" i="11"/>
  <c r="CA23" i="11"/>
  <c r="BZ23" i="11"/>
  <c r="BX23" i="11" s="1"/>
  <c r="BY23" i="11"/>
  <c r="BW23" i="11"/>
  <c r="BS23" i="11"/>
  <c r="BR23" i="11"/>
  <c r="BU23" i="11" s="1"/>
  <c r="BP23" i="11"/>
  <c r="BO23" i="11"/>
  <c r="BN23" i="11"/>
  <c r="BM23" i="11"/>
  <c r="BL23" i="11"/>
  <c r="BK23" i="11"/>
  <c r="BI23" i="11" s="1"/>
  <c r="BJ23" i="11"/>
  <c r="BH23" i="11"/>
  <c r="BD23" i="11"/>
  <c r="BA23" i="11"/>
  <c r="AZ23" i="11"/>
  <c r="AY23" i="11"/>
  <c r="AX23" i="11"/>
  <c r="AW23" i="11"/>
  <c r="AU23" i="11" s="1"/>
  <c r="BB23" i="11" s="1"/>
  <c r="BE23" i="11" s="1"/>
  <c r="AV23" i="11"/>
  <c r="BC23" i="11" s="1"/>
  <c r="BF23" i="11" s="1"/>
  <c r="AT23" i="11"/>
  <c r="AS23" i="11"/>
  <c r="AR23" i="11"/>
  <c r="AQ23" i="11"/>
  <c r="AP23" i="11"/>
  <c r="AL23" i="11"/>
  <c r="AJ23" i="11"/>
  <c r="AI23" i="11"/>
  <c r="AF23" i="11"/>
  <c r="AE23" i="11"/>
  <c r="AD23" i="11"/>
  <c r="AK23" i="11" s="1"/>
  <c r="AB23" i="11"/>
  <c r="Y23" i="11"/>
  <c r="W23" i="11" s="1"/>
  <c r="X23" i="11"/>
  <c r="U23" i="11"/>
  <c r="R23" i="11"/>
  <c r="Q23" i="11"/>
  <c r="P23" i="11"/>
  <c r="L23" i="11"/>
  <c r="K23" i="11"/>
  <c r="J23" i="11"/>
  <c r="F23" i="11"/>
  <c r="E23" i="11"/>
  <c r="D23" i="11"/>
  <c r="C23" i="11"/>
  <c r="B23" i="11"/>
  <c r="A23" i="11"/>
  <c r="CB22" i="11"/>
  <c r="CA22" i="11"/>
  <c r="BZ22" i="11"/>
  <c r="BX22" i="11" s="1"/>
  <c r="BY22" i="11"/>
  <c r="BW22" i="11"/>
  <c r="BS22" i="11"/>
  <c r="BR22" i="11"/>
  <c r="BU22" i="11" s="1"/>
  <c r="BQ22" i="11"/>
  <c r="BT22" i="11" s="1"/>
  <c r="BP22" i="11"/>
  <c r="BO22" i="11"/>
  <c r="BM22" i="11" s="1"/>
  <c r="BN22" i="11"/>
  <c r="BL22" i="11"/>
  <c r="BK22" i="11"/>
  <c r="BJ22" i="11"/>
  <c r="BI22" i="11"/>
  <c r="BH22" i="11"/>
  <c r="BA22" i="11"/>
  <c r="AZ22" i="11"/>
  <c r="BC22" i="11" s="1"/>
  <c r="BF22" i="11" s="1"/>
  <c r="AX22" i="11"/>
  <c r="AW22" i="11"/>
  <c r="AU22" i="11" s="1"/>
  <c r="AV22" i="11"/>
  <c r="AT22" i="11"/>
  <c r="AS22" i="11"/>
  <c r="AQ22" i="11" s="1"/>
  <c r="AR22" i="11"/>
  <c r="AP22" i="11"/>
  <c r="AJ22" i="11"/>
  <c r="AI22" i="11"/>
  <c r="AF22" i="11"/>
  <c r="AE22" i="11"/>
  <c r="AD22" i="11"/>
  <c r="AB22" i="11"/>
  <c r="Y22" i="11"/>
  <c r="AM22" i="11" s="1"/>
  <c r="X22" i="11"/>
  <c r="AL22" i="11" s="1"/>
  <c r="W22" i="11"/>
  <c r="AK22" i="11" s="1"/>
  <c r="U22" i="11"/>
  <c r="R22" i="11"/>
  <c r="Q22" i="11"/>
  <c r="P22" i="11"/>
  <c r="J22" i="11"/>
  <c r="L22" i="11" s="1"/>
  <c r="I22" i="11"/>
  <c r="H22" i="11"/>
  <c r="F22" i="11"/>
  <c r="G22" i="11" s="1"/>
  <c r="C22" i="11"/>
  <c r="B22" i="11"/>
  <c r="A22" i="11"/>
  <c r="CB21" i="11"/>
  <c r="CA21" i="11"/>
  <c r="BZ21" i="11"/>
  <c r="BX21" i="11" s="1"/>
  <c r="BY21" i="11"/>
  <c r="BW21" i="11"/>
  <c r="BS21" i="11"/>
  <c r="BR21" i="11"/>
  <c r="BQ21" i="11"/>
  <c r="BP21" i="11"/>
  <c r="BO21" i="11"/>
  <c r="BV21" i="11" s="1"/>
  <c r="BN21" i="11"/>
  <c r="BU21" i="11" s="1"/>
  <c r="BL21" i="11"/>
  <c r="BK21" i="11"/>
  <c r="BJ21" i="11"/>
  <c r="BI21" i="11"/>
  <c r="BH21" i="11"/>
  <c r="BA21" i="11"/>
  <c r="AZ21" i="11"/>
  <c r="AY21" i="11"/>
  <c r="AX21" i="11"/>
  <c r="AW21" i="11"/>
  <c r="AU21" i="11" s="1"/>
  <c r="AV21" i="11"/>
  <c r="AT21" i="11"/>
  <c r="AS21" i="11"/>
  <c r="AR21" i="11"/>
  <c r="AQ21" i="11"/>
  <c r="AP21" i="11"/>
  <c r="AO21" i="11"/>
  <c r="AN21" i="11"/>
  <c r="AJ21" i="11"/>
  <c r="AI21" i="11"/>
  <c r="AF21" i="11"/>
  <c r="AM21" i="11" s="1"/>
  <c r="AE21" i="11"/>
  <c r="AD21" i="11"/>
  <c r="AB21" i="11"/>
  <c r="Y21" i="11"/>
  <c r="W21" i="11" s="1"/>
  <c r="X21" i="11"/>
  <c r="U21" i="11"/>
  <c r="R21" i="11"/>
  <c r="Q21" i="11"/>
  <c r="P21" i="11" s="1"/>
  <c r="J21" i="11"/>
  <c r="L21" i="11" s="1"/>
  <c r="G21" i="11"/>
  <c r="F21" i="11"/>
  <c r="I21" i="11" s="1"/>
  <c r="E21" i="11"/>
  <c r="B21" i="11"/>
  <c r="D21" i="11" s="1"/>
  <c r="A21" i="11"/>
  <c r="CB20" i="11"/>
  <c r="CA20" i="11"/>
  <c r="BZ20" i="11"/>
  <c r="BY20" i="11"/>
  <c r="BW20" i="11"/>
  <c r="BS20" i="11"/>
  <c r="BR20" i="11"/>
  <c r="BU20" i="11" s="1"/>
  <c r="BP20" i="11"/>
  <c r="BO20" i="11"/>
  <c r="BM20" i="11" s="1"/>
  <c r="BN20" i="11"/>
  <c r="BL20" i="11"/>
  <c r="BK20" i="11"/>
  <c r="BI20" i="11" s="1"/>
  <c r="BJ20" i="11"/>
  <c r="BH20" i="11"/>
  <c r="BC20" i="11"/>
  <c r="BF20" i="11" s="1"/>
  <c r="BA20" i="11"/>
  <c r="AY20" i="11" s="1"/>
  <c r="BB20" i="11" s="1"/>
  <c r="BE20" i="11" s="1"/>
  <c r="AZ20" i="11"/>
  <c r="AX20" i="11"/>
  <c r="AW20" i="11"/>
  <c r="AV20" i="11"/>
  <c r="AU20" i="11"/>
  <c r="AT20" i="11"/>
  <c r="AS20" i="11"/>
  <c r="AQ20" i="11" s="1"/>
  <c r="AR20" i="11"/>
  <c r="AP20" i="11"/>
  <c r="AM20" i="11"/>
  <c r="AN20" i="11" s="1"/>
  <c r="AO20" i="11" s="1"/>
  <c r="AJ20" i="11"/>
  <c r="AI20" i="11"/>
  <c r="AF20" i="11"/>
  <c r="AE20" i="11"/>
  <c r="AD20" i="11"/>
  <c r="AB20" i="11"/>
  <c r="Y20" i="11"/>
  <c r="X20" i="11"/>
  <c r="AL20" i="11" s="1"/>
  <c r="U20" i="11"/>
  <c r="R20" i="11"/>
  <c r="Q20" i="11"/>
  <c r="P20" i="11"/>
  <c r="K20" i="11"/>
  <c r="J20" i="11"/>
  <c r="L20" i="11" s="1"/>
  <c r="H20" i="11"/>
  <c r="G20" i="11"/>
  <c r="F20" i="11"/>
  <c r="I20" i="11" s="1"/>
  <c r="E20" i="11"/>
  <c r="D20" i="11"/>
  <c r="B20" i="11"/>
  <c r="C20" i="11" s="1"/>
  <c r="A20" i="11"/>
  <c r="CB19" i="11"/>
  <c r="CA19" i="11"/>
  <c r="BZ19" i="11"/>
  <c r="BY19" i="11"/>
  <c r="BX19" i="11" s="1"/>
  <c r="BW19" i="11"/>
  <c r="BS19" i="11"/>
  <c r="BR19" i="11"/>
  <c r="BQ19" i="11"/>
  <c r="BP19" i="11"/>
  <c r="BO19" i="11"/>
  <c r="BM19" i="11" s="1"/>
  <c r="BN19" i="11"/>
  <c r="BL19" i="11"/>
  <c r="BK19" i="11"/>
  <c r="BJ19" i="11"/>
  <c r="BI19" i="11"/>
  <c r="BH19" i="11"/>
  <c r="BA19" i="11"/>
  <c r="AZ19" i="11"/>
  <c r="AX19" i="11"/>
  <c r="AW19" i="11"/>
  <c r="AV19" i="11"/>
  <c r="AU19" i="11"/>
  <c r="AT19" i="11"/>
  <c r="AS19" i="11"/>
  <c r="AQ19" i="11" s="1"/>
  <c r="AR19" i="11"/>
  <c r="AP19" i="11"/>
  <c r="AJ19" i="11"/>
  <c r="AI19" i="11"/>
  <c r="AF19" i="11"/>
  <c r="AE19" i="11"/>
  <c r="AB19" i="11"/>
  <c r="Y19" i="11"/>
  <c r="X19" i="11"/>
  <c r="AL19" i="11" s="1"/>
  <c r="W19" i="11"/>
  <c r="U19" i="11"/>
  <c r="R19" i="11"/>
  <c r="P19" i="11" s="1"/>
  <c r="Q19" i="11"/>
  <c r="J19" i="11"/>
  <c r="I19" i="11"/>
  <c r="H19" i="11"/>
  <c r="G19" i="11"/>
  <c r="F19" i="11"/>
  <c r="B19" i="11"/>
  <c r="A19" i="11"/>
  <c r="CB18" i="11"/>
  <c r="CA18" i="11"/>
  <c r="BZ18" i="11"/>
  <c r="BY18" i="11"/>
  <c r="BX18" i="11"/>
  <c r="BW18" i="11"/>
  <c r="BU18" i="11"/>
  <c r="BS18" i="11"/>
  <c r="BQ18" i="11" s="1"/>
  <c r="BR18" i="11"/>
  <c r="BP18" i="11"/>
  <c r="BO18" i="11"/>
  <c r="BN18" i="11"/>
  <c r="BM18" i="11"/>
  <c r="BL18" i="11"/>
  <c r="BK18" i="11"/>
  <c r="BI18" i="11" s="1"/>
  <c r="BT18" i="11" s="1"/>
  <c r="BJ18" i="11"/>
  <c r="BH18" i="11"/>
  <c r="BD18" i="11"/>
  <c r="BC18" i="11"/>
  <c r="BF18" i="11" s="1"/>
  <c r="BA18" i="11"/>
  <c r="AY18" i="11" s="1"/>
  <c r="AZ18" i="11"/>
  <c r="AX18" i="11"/>
  <c r="AW18" i="11"/>
  <c r="AV18" i="11"/>
  <c r="AU18" i="11" s="1"/>
  <c r="AT18" i="11"/>
  <c r="AS18" i="11"/>
  <c r="AQ18" i="11" s="1"/>
  <c r="AR18" i="11"/>
  <c r="AP18" i="11"/>
  <c r="AJ18" i="11"/>
  <c r="AI18" i="11"/>
  <c r="AF18" i="11"/>
  <c r="AM18" i="11" s="1"/>
  <c r="AN18" i="11" s="1"/>
  <c r="AO18" i="11" s="1"/>
  <c r="AE18" i="11"/>
  <c r="AD18" i="11"/>
  <c r="AB18" i="11"/>
  <c r="Y18" i="11"/>
  <c r="X18" i="11"/>
  <c r="W18" i="11"/>
  <c r="U18" i="11"/>
  <c r="R18" i="11"/>
  <c r="Q18" i="11"/>
  <c r="P18" i="11"/>
  <c r="L18" i="11"/>
  <c r="J18" i="11"/>
  <c r="K18" i="11" s="1"/>
  <c r="F18" i="11"/>
  <c r="E18" i="11"/>
  <c r="D18" i="11"/>
  <c r="B18" i="11"/>
  <c r="C18" i="11" s="1"/>
  <c r="A18" i="11"/>
  <c r="CB17" i="11"/>
  <c r="CA17" i="11"/>
  <c r="BZ17" i="11"/>
  <c r="BY17" i="11"/>
  <c r="BX17" i="11"/>
  <c r="BW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A17" i="11"/>
  <c r="AZ17" i="11"/>
  <c r="BC17" i="11" s="1"/>
  <c r="BF17" i="11" s="1"/>
  <c r="AX17" i="11"/>
  <c r="AW17" i="11"/>
  <c r="AV17" i="11"/>
  <c r="AU17" i="11"/>
  <c r="AT17" i="11"/>
  <c r="AS17" i="11"/>
  <c r="AR17" i="11"/>
  <c r="AP17" i="11"/>
  <c r="AJ17" i="11"/>
  <c r="AI17" i="11"/>
  <c r="AF17" i="11"/>
  <c r="AD17" i="11" s="1"/>
  <c r="AE17" i="11"/>
  <c r="AB17" i="11"/>
  <c r="Y17" i="11"/>
  <c r="AM17" i="11" s="1"/>
  <c r="AN17" i="11" s="1"/>
  <c r="AO17" i="11" s="1"/>
  <c r="X17" i="11"/>
  <c r="AL17" i="11" s="1"/>
  <c r="W17" i="11"/>
  <c r="AK17" i="11" s="1"/>
  <c r="U17" i="11"/>
  <c r="R17" i="11"/>
  <c r="P17" i="11" s="1"/>
  <c r="Q17" i="11"/>
  <c r="J17" i="11"/>
  <c r="L17" i="11" s="1"/>
  <c r="I17" i="11"/>
  <c r="F17" i="11"/>
  <c r="H17" i="11" s="1"/>
  <c r="C17" i="11"/>
  <c r="B17" i="11"/>
  <c r="E17" i="11" s="1"/>
  <c r="A17" i="11"/>
  <c r="CB16" i="11"/>
  <c r="CA16" i="11"/>
  <c r="BZ16" i="11"/>
  <c r="BY16" i="11"/>
  <c r="BX16" i="11"/>
  <c r="BW16" i="11"/>
  <c r="BU16" i="11"/>
  <c r="BS16" i="11"/>
  <c r="BQ16" i="11" s="1"/>
  <c r="BT16" i="11" s="1"/>
  <c r="BR16" i="11"/>
  <c r="BP16" i="11"/>
  <c r="BO16" i="11"/>
  <c r="BM16" i="11" s="1"/>
  <c r="BN16" i="11"/>
  <c r="BL16" i="11"/>
  <c r="BK16" i="11"/>
  <c r="BI16" i="11" s="1"/>
  <c r="BJ16" i="11"/>
  <c r="BH16" i="11"/>
  <c r="BA16" i="11"/>
  <c r="AZ16" i="11"/>
  <c r="AY16" i="11"/>
  <c r="BB16" i="11" s="1"/>
  <c r="BE16" i="11" s="1"/>
  <c r="AX16" i="11"/>
  <c r="AW16" i="11"/>
  <c r="AU16" i="11" s="1"/>
  <c r="AV16" i="11"/>
  <c r="AT16" i="11"/>
  <c r="AS16" i="11"/>
  <c r="AR16" i="11"/>
  <c r="AQ16" i="11" s="1"/>
  <c r="AP16" i="11"/>
  <c r="AJ16" i="11"/>
  <c r="AI16" i="11"/>
  <c r="AF16" i="11"/>
  <c r="AE16" i="11"/>
  <c r="AB16" i="11"/>
  <c r="Y16" i="11"/>
  <c r="X16" i="11"/>
  <c r="W16" i="11"/>
  <c r="U16" i="11"/>
  <c r="R16" i="11"/>
  <c r="Q16" i="11"/>
  <c r="L16" i="11"/>
  <c r="K16" i="11"/>
  <c r="J16" i="11"/>
  <c r="G16" i="11"/>
  <c r="F16" i="11"/>
  <c r="I16" i="11" s="1"/>
  <c r="D16" i="11"/>
  <c r="C16" i="11"/>
  <c r="B16" i="11"/>
  <c r="E16" i="11" s="1"/>
  <c r="A16" i="11"/>
  <c r="CB15" i="11"/>
  <c r="CA15" i="11"/>
  <c r="BZ15" i="11"/>
  <c r="BX15" i="11" s="1"/>
  <c r="BY15" i="11"/>
  <c r="BW15" i="11"/>
  <c r="BS15" i="11"/>
  <c r="BR15" i="11"/>
  <c r="BU15" i="11" s="1"/>
  <c r="BP15" i="11"/>
  <c r="BO15" i="11"/>
  <c r="BN15" i="11"/>
  <c r="BM15" i="11"/>
  <c r="BL15" i="11"/>
  <c r="BK15" i="11"/>
  <c r="BI15" i="11" s="1"/>
  <c r="BJ15" i="11"/>
  <c r="BH15" i="11"/>
  <c r="BD15" i="11"/>
  <c r="BA15" i="11"/>
  <c r="AZ15" i="11"/>
  <c r="AY15" i="11"/>
  <c r="AX15" i="11"/>
  <c r="AW15" i="11"/>
  <c r="AV15" i="11"/>
  <c r="BC15" i="11" s="1"/>
  <c r="BF15" i="11" s="1"/>
  <c r="AT15" i="11"/>
  <c r="AS15" i="11"/>
  <c r="AR15" i="11"/>
  <c r="AQ15" i="11"/>
  <c r="AP15" i="11"/>
  <c r="AL15" i="11"/>
  <c r="AJ15" i="11"/>
  <c r="AI15" i="11"/>
  <c r="AF15" i="11"/>
  <c r="AE15" i="11"/>
  <c r="AD15" i="11"/>
  <c r="AB15" i="11"/>
  <c r="Y15" i="11"/>
  <c r="W15" i="11" s="1"/>
  <c r="X15" i="11"/>
  <c r="U15" i="11"/>
  <c r="R15" i="11"/>
  <c r="Q15" i="11"/>
  <c r="P15" i="11"/>
  <c r="L15" i="11"/>
  <c r="K15" i="11"/>
  <c r="J15" i="11"/>
  <c r="F15" i="11"/>
  <c r="E15" i="11"/>
  <c r="D15" i="11"/>
  <c r="C15" i="11"/>
  <c r="B15" i="11"/>
  <c r="A15" i="11"/>
  <c r="CB14" i="11"/>
  <c r="CA14" i="11"/>
  <c r="BZ14" i="11"/>
  <c r="BX14" i="11" s="1"/>
  <c r="BY14" i="11"/>
  <c r="BW14" i="11"/>
  <c r="BS14" i="11"/>
  <c r="BR14" i="11"/>
  <c r="BU14" i="11" s="1"/>
  <c r="BQ14" i="11"/>
  <c r="BP14" i="11"/>
  <c r="BO14" i="11"/>
  <c r="BM14" i="11" s="1"/>
  <c r="BN14" i="11"/>
  <c r="BL14" i="11"/>
  <c r="BK14" i="11"/>
  <c r="BJ14" i="11"/>
  <c r="BI14" i="11"/>
  <c r="BH14" i="11"/>
  <c r="BA14" i="11"/>
  <c r="AZ14" i="11"/>
  <c r="BC14" i="11" s="1"/>
  <c r="BF14" i="11" s="1"/>
  <c r="AY14" i="11"/>
  <c r="AX14" i="11"/>
  <c r="AW14" i="11"/>
  <c r="AU14" i="11" s="1"/>
  <c r="AV14" i="11"/>
  <c r="AT14" i="11"/>
  <c r="AS14" i="11"/>
  <c r="AQ14" i="11" s="1"/>
  <c r="BB14" i="11" s="1"/>
  <c r="AR14" i="11"/>
  <c r="AP14" i="11"/>
  <c r="AJ14" i="11"/>
  <c r="AI14" i="11"/>
  <c r="AF14" i="11"/>
  <c r="AE14" i="11"/>
  <c r="AD14" i="11"/>
  <c r="AB14" i="11"/>
  <c r="Y14" i="11"/>
  <c r="AM14" i="11" s="1"/>
  <c r="X14" i="11"/>
  <c r="AL14" i="11" s="1"/>
  <c r="W14" i="11"/>
  <c r="AK14" i="11" s="1"/>
  <c r="U14" i="11"/>
  <c r="R14" i="11"/>
  <c r="Q14" i="11"/>
  <c r="P14" i="11"/>
  <c r="J14" i="11"/>
  <c r="L14" i="11" s="1"/>
  <c r="I14" i="11"/>
  <c r="H14" i="11"/>
  <c r="F14" i="11"/>
  <c r="G14" i="11" s="1"/>
  <c r="C14" i="11"/>
  <c r="B14" i="11"/>
  <c r="A14" i="11"/>
  <c r="CB13" i="11"/>
  <c r="CA13" i="11"/>
  <c r="BZ13" i="11"/>
  <c r="BX13" i="11" s="1"/>
  <c r="BY13" i="11"/>
  <c r="BW13" i="11"/>
  <c r="BS13" i="11"/>
  <c r="BR13" i="11"/>
  <c r="BQ13" i="11"/>
  <c r="BP13" i="11"/>
  <c r="BO13" i="11"/>
  <c r="BV13" i="11" s="1"/>
  <c r="BN13" i="11"/>
  <c r="BU13" i="11" s="1"/>
  <c r="BL13" i="11"/>
  <c r="BK13" i="11"/>
  <c r="BJ13" i="11"/>
  <c r="BI13" i="11"/>
  <c r="BH13" i="11"/>
  <c r="BA13" i="11"/>
  <c r="AZ13" i="11"/>
  <c r="AY13" i="11"/>
  <c r="AX13" i="11"/>
  <c r="AW13" i="11"/>
  <c r="AU13" i="11" s="1"/>
  <c r="AV13" i="11"/>
  <c r="AT13" i="11"/>
  <c r="AS13" i="11"/>
  <c r="AR13" i="11"/>
  <c r="AQ13" i="11"/>
  <c r="AP13" i="11"/>
  <c r="AN13" i="11"/>
  <c r="AO13" i="11" s="1"/>
  <c r="AJ13" i="11"/>
  <c r="AI13" i="11"/>
  <c r="AF13" i="11"/>
  <c r="AM13" i="11" s="1"/>
  <c r="AE13" i="11"/>
  <c r="AL13" i="11" s="1"/>
  <c r="AD13" i="11"/>
  <c r="AB13" i="11"/>
  <c r="Y13" i="11"/>
  <c r="X13" i="11"/>
  <c r="W13" i="11" s="1"/>
  <c r="U13" i="11"/>
  <c r="R13" i="11"/>
  <c r="Q13" i="11"/>
  <c r="P13" i="11"/>
  <c r="J13" i="11"/>
  <c r="L13" i="11" s="1"/>
  <c r="F13" i="11"/>
  <c r="I13" i="11" s="1"/>
  <c r="E13" i="11"/>
  <c r="B13" i="11"/>
  <c r="D13" i="11" s="1"/>
  <c r="A13" i="11"/>
  <c r="CB12" i="11"/>
  <c r="CA12" i="11"/>
  <c r="BZ12" i="11"/>
  <c r="BY12" i="11"/>
  <c r="BW12" i="11"/>
  <c r="BS12" i="11"/>
  <c r="BR12" i="11"/>
  <c r="BU12" i="11" s="1"/>
  <c r="BQ12" i="11"/>
  <c r="BP12" i="11"/>
  <c r="BO12" i="11"/>
  <c r="BN12" i="11"/>
  <c r="BM12" i="11" s="1"/>
  <c r="BT12" i="11" s="1"/>
  <c r="BL12" i="11"/>
  <c r="BK12" i="11"/>
  <c r="BI12" i="11" s="1"/>
  <c r="BJ12" i="11"/>
  <c r="BH12" i="11"/>
  <c r="BC12" i="11"/>
  <c r="BF12" i="11" s="1"/>
  <c r="BA12" i="11"/>
  <c r="AY12" i="11" s="1"/>
  <c r="BB12" i="11" s="1"/>
  <c r="AZ12" i="11"/>
  <c r="AX12" i="11"/>
  <c r="AW12" i="11"/>
  <c r="AV12" i="11"/>
  <c r="AU12" i="11"/>
  <c r="AT12" i="11"/>
  <c r="AS12" i="11"/>
  <c r="AQ12" i="11" s="1"/>
  <c r="AR12" i="11"/>
  <c r="AP12" i="11"/>
  <c r="AJ12" i="11"/>
  <c r="AI12" i="11"/>
  <c r="AF12" i="11"/>
  <c r="AE12" i="11"/>
  <c r="AD12" i="11"/>
  <c r="AB12" i="11"/>
  <c r="Y12" i="11"/>
  <c r="X12" i="11"/>
  <c r="AL12" i="11" s="1"/>
  <c r="U12" i="11"/>
  <c r="R12" i="11"/>
  <c r="Q12" i="11"/>
  <c r="P12" i="11"/>
  <c r="J12" i="11"/>
  <c r="K12" i="11" s="1"/>
  <c r="H12" i="11"/>
  <c r="G12" i="11"/>
  <c r="F12" i="11"/>
  <c r="I12" i="11" s="1"/>
  <c r="E12" i="11"/>
  <c r="D12" i="11"/>
  <c r="B12" i="11"/>
  <c r="C12" i="11" s="1"/>
  <c r="A12" i="11"/>
  <c r="CB11" i="11"/>
  <c r="CA11" i="11"/>
  <c r="BZ11" i="11"/>
  <c r="BY11" i="11"/>
  <c r="BX11" i="11" s="1"/>
  <c r="BW11" i="11"/>
  <c r="BS11" i="11"/>
  <c r="BR11" i="11"/>
  <c r="BQ11" i="11"/>
  <c r="BP11" i="11"/>
  <c r="BO11" i="11"/>
  <c r="BM11" i="11" s="1"/>
  <c r="BN11" i="11"/>
  <c r="BL11" i="11"/>
  <c r="BK11" i="11"/>
  <c r="BJ11" i="11"/>
  <c r="BI11" i="11"/>
  <c r="BH11" i="11"/>
  <c r="BA11" i="11"/>
  <c r="AZ11" i="11"/>
  <c r="AX11" i="11"/>
  <c r="AW11" i="11"/>
  <c r="AV11" i="11"/>
  <c r="AU11" i="11"/>
  <c r="AT11" i="11"/>
  <c r="AS11" i="11"/>
  <c r="AQ11" i="11" s="1"/>
  <c r="AR11" i="11"/>
  <c r="AP11" i="11"/>
  <c r="AJ11" i="11"/>
  <c r="AI11" i="11"/>
  <c r="AF11" i="11"/>
  <c r="AE11" i="11"/>
  <c r="AB11" i="11"/>
  <c r="Y11" i="11"/>
  <c r="X11" i="11"/>
  <c r="AL11" i="11" s="1"/>
  <c r="U11" i="11"/>
  <c r="R11" i="11"/>
  <c r="P11" i="11" s="1"/>
  <c r="Q11" i="11"/>
  <c r="J11" i="11"/>
  <c r="I11" i="11"/>
  <c r="H11" i="11"/>
  <c r="G11" i="11"/>
  <c r="F11" i="11"/>
  <c r="B11" i="11"/>
  <c r="A11" i="11"/>
  <c r="CB10" i="11"/>
  <c r="CA10" i="11"/>
  <c r="BZ10" i="11"/>
  <c r="BY10" i="11"/>
  <c r="BX10" i="11"/>
  <c r="BW10" i="11"/>
  <c r="BU10" i="11"/>
  <c r="BT10" i="11"/>
  <c r="BS10" i="11"/>
  <c r="BQ10" i="11" s="1"/>
  <c r="BR10" i="11"/>
  <c r="BP10" i="11"/>
  <c r="BO10" i="11"/>
  <c r="BN10" i="11"/>
  <c r="BM10" i="11"/>
  <c r="BL10" i="11"/>
  <c r="BK10" i="11"/>
  <c r="BI10" i="11" s="1"/>
  <c r="BJ10" i="11"/>
  <c r="BH10" i="11"/>
  <c r="BD10" i="11"/>
  <c r="BC10" i="11"/>
  <c r="BF10" i="11" s="1"/>
  <c r="BA10" i="11"/>
  <c r="AY10" i="11" s="1"/>
  <c r="BB10" i="11" s="1"/>
  <c r="BE10" i="11" s="1"/>
  <c r="AZ10" i="11"/>
  <c r="AX10" i="11"/>
  <c r="AW10" i="11"/>
  <c r="AV10" i="11"/>
  <c r="AU10" i="11"/>
  <c r="AT10" i="11"/>
  <c r="AS10" i="11"/>
  <c r="AQ10" i="11" s="1"/>
  <c r="AR10" i="11"/>
  <c r="AP10" i="11"/>
  <c r="AJ10" i="11"/>
  <c r="AI10" i="11"/>
  <c r="AF10" i="11"/>
  <c r="AM10" i="11" s="1"/>
  <c r="AN10" i="11" s="1"/>
  <c r="AO10" i="11" s="1"/>
  <c r="AE10" i="11"/>
  <c r="AD10" i="11"/>
  <c r="AB10" i="11"/>
  <c r="Y10" i="11"/>
  <c r="X10" i="11"/>
  <c r="W10" i="11"/>
  <c r="U10" i="11"/>
  <c r="R10" i="11"/>
  <c r="Q10" i="11"/>
  <c r="P10" i="11"/>
  <c r="L10" i="11"/>
  <c r="J10" i="11"/>
  <c r="K10" i="11" s="1"/>
  <c r="F10" i="11"/>
  <c r="E10" i="11"/>
  <c r="D10" i="11"/>
  <c r="B10" i="11"/>
  <c r="C10" i="11" s="1"/>
  <c r="A10" i="11"/>
  <c r="CB9" i="11"/>
  <c r="CA9" i="11"/>
  <c r="BZ9" i="11"/>
  <c r="BY9" i="11"/>
  <c r="BX9" i="11" s="1"/>
  <c r="BW9" i="11"/>
  <c r="BS9" i="11"/>
  <c r="BR9" i="11"/>
  <c r="BQ9" i="11" s="1"/>
  <c r="BT9" i="11" s="1"/>
  <c r="BP9" i="11"/>
  <c r="BO9" i="11"/>
  <c r="BN9" i="11"/>
  <c r="BM9" i="11"/>
  <c r="BL9" i="11"/>
  <c r="BK9" i="11"/>
  <c r="BJ9" i="11"/>
  <c r="BI9" i="11" s="1"/>
  <c r="BH9" i="11"/>
  <c r="BA9" i="11"/>
  <c r="AZ9" i="11"/>
  <c r="BC9" i="11" s="1"/>
  <c r="BF9" i="11" s="1"/>
  <c r="AX9" i="11"/>
  <c r="AW9" i="11"/>
  <c r="AV9" i="11"/>
  <c r="AU9" i="11"/>
  <c r="AT9" i="11"/>
  <c r="AS9" i="11"/>
  <c r="AQ9" i="11" s="1"/>
  <c r="AR9" i="11"/>
  <c r="AP9" i="11"/>
  <c r="AJ9" i="11"/>
  <c r="AI9" i="11"/>
  <c r="AF9" i="11"/>
  <c r="AD9" i="11" s="1"/>
  <c r="AE9" i="11"/>
  <c r="AB9" i="11"/>
  <c r="Y9" i="11"/>
  <c r="AM9" i="11" s="1"/>
  <c r="AN9" i="11" s="1"/>
  <c r="AO9" i="11" s="1"/>
  <c r="X9" i="11"/>
  <c r="AL9" i="11" s="1"/>
  <c r="U9" i="11"/>
  <c r="R9" i="11"/>
  <c r="P9" i="11" s="1"/>
  <c r="Q9" i="11"/>
  <c r="J9" i="11"/>
  <c r="L9" i="11" s="1"/>
  <c r="I9" i="11"/>
  <c r="F9" i="11"/>
  <c r="H9" i="11" s="1"/>
  <c r="B9" i="11"/>
  <c r="E9" i="11" s="1"/>
  <c r="A9" i="11"/>
  <c r="CN8" i="11"/>
  <c r="CM8" i="11"/>
  <c r="CL8" i="11"/>
  <c r="CK8" i="11"/>
  <c r="CJ8" i="11"/>
  <c r="CI8" i="11"/>
  <c r="CH8" i="11"/>
  <c r="CG8" i="11"/>
  <c r="CF8" i="11"/>
  <c r="CB8" i="11"/>
  <c r="CA8" i="11"/>
  <c r="BZ8" i="11"/>
  <c r="BY8" i="11"/>
  <c r="BX8" i="11"/>
  <c r="BW8" i="11"/>
  <c r="BV8" i="11"/>
  <c r="BS8" i="11"/>
  <c r="BR8" i="11"/>
  <c r="BU8" i="11" s="1"/>
  <c r="BQ8" i="11"/>
  <c r="BT8" i="11" s="1"/>
  <c r="BP8" i="11"/>
  <c r="BO8" i="11"/>
  <c r="BN8" i="11"/>
  <c r="BL8" i="11"/>
  <c r="BK8" i="11"/>
  <c r="BJ8" i="11"/>
  <c r="BI8" i="11"/>
  <c r="BH8" i="11"/>
  <c r="BA8" i="11"/>
  <c r="AZ8" i="11"/>
  <c r="AY8" i="11" s="1"/>
  <c r="BB8" i="11" s="1"/>
  <c r="BE8" i="11" s="1"/>
  <c r="AX8" i="11"/>
  <c r="AW8" i="11"/>
  <c r="AV8" i="11"/>
  <c r="AU8" i="11"/>
  <c r="AT8" i="11"/>
  <c r="AS8" i="11"/>
  <c r="AR8" i="11"/>
  <c r="AQ8" i="11" s="1"/>
  <c r="AP8" i="11"/>
  <c r="AJ8" i="11"/>
  <c r="AI8" i="11"/>
  <c r="AF8" i="11"/>
  <c r="AE8" i="11"/>
  <c r="AB8" i="11"/>
  <c r="Y8" i="11"/>
  <c r="X8" i="11"/>
  <c r="AL8" i="11" s="1"/>
  <c r="W8" i="11"/>
  <c r="U8" i="11"/>
  <c r="R8" i="11"/>
  <c r="P8" i="11" s="1"/>
  <c r="Q8" i="11"/>
  <c r="J8" i="11"/>
  <c r="I8" i="11"/>
  <c r="H8" i="11"/>
  <c r="G8" i="11"/>
  <c r="F8" i="11"/>
  <c r="B8" i="11"/>
  <c r="A8" i="11"/>
  <c r="CB7" i="11"/>
  <c r="CA7" i="11"/>
  <c r="BZ7" i="11"/>
  <c r="BY7" i="11"/>
  <c r="BX7" i="11"/>
  <c r="BW7" i="11"/>
  <c r="BV7" i="11"/>
  <c r="BU7" i="11"/>
  <c r="BS7" i="11"/>
  <c r="BQ7" i="11" s="1"/>
  <c r="BT7" i="11" s="1"/>
  <c r="BR7" i="11"/>
  <c r="BP7" i="11"/>
  <c r="BO7" i="11"/>
  <c r="BN7" i="11"/>
  <c r="BM7" i="11"/>
  <c r="BL7" i="11"/>
  <c r="BK7" i="11"/>
  <c r="BI7" i="11" s="1"/>
  <c r="BJ7" i="11"/>
  <c r="BH7" i="11"/>
  <c r="BD7" i="11"/>
  <c r="BC7" i="11"/>
  <c r="BF7" i="11" s="1"/>
  <c r="BA7" i="11"/>
  <c r="AY7" i="11" s="1"/>
  <c r="BB7" i="11" s="1"/>
  <c r="BE7" i="11" s="1"/>
  <c r="AZ7" i="11"/>
  <c r="AX7" i="11"/>
  <c r="AW7" i="11"/>
  <c r="AV7" i="11"/>
  <c r="AU7" i="11"/>
  <c r="AT7" i="11"/>
  <c r="AS7" i="11"/>
  <c r="AQ7" i="11" s="1"/>
  <c r="AR7" i="11"/>
  <c r="AP7" i="11"/>
  <c r="AJ7" i="11"/>
  <c r="AI7" i="11"/>
  <c r="AF7" i="11"/>
  <c r="AM7" i="11" s="1"/>
  <c r="AN7" i="11" s="1"/>
  <c r="AO7" i="11" s="1"/>
  <c r="AE7" i="11"/>
  <c r="AB7" i="11"/>
  <c r="Y7" i="11"/>
  <c r="X7" i="11"/>
  <c r="W7" i="11"/>
  <c r="U7" i="11"/>
  <c r="R7" i="11"/>
  <c r="P7" i="11" s="1"/>
  <c r="Q7" i="11"/>
  <c r="L7" i="11"/>
  <c r="J7" i="11"/>
  <c r="K7" i="11" s="1"/>
  <c r="F7" i="11"/>
  <c r="E7" i="11"/>
  <c r="D7" i="11"/>
  <c r="B7" i="11"/>
  <c r="C7" i="11" s="1"/>
  <c r="A7" i="11"/>
  <c r="CB6" i="11"/>
  <c r="CA6" i="11"/>
  <c r="BZ6" i="11"/>
  <c r="BY6" i="11"/>
  <c r="BX6" i="11"/>
  <c r="BW6" i="11"/>
  <c r="BS6" i="11"/>
  <c r="BR6" i="11"/>
  <c r="BP6" i="11"/>
  <c r="BO6" i="11"/>
  <c r="BN6" i="11"/>
  <c r="BM6" i="11"/>
  <c r="BL6" i="11"/>
  <c r="BK6" i="11"/>
  <c r="BI6" i="11" s="1"/>
  <c r="BJ6" i="11"/>
  <c r="BH6" i="11"/>
  <c r="BA6" i="11"/>
  <c r="AZ6" i="11"/>
  <c r="BC6" i="11" s="1"/>
  <c r="BF6" i="11" s="1"/>
  <c r="AX6" i="11"/>
  <c r="AW6" i="11"/>
  <c r="AV6" i="11"/>
  <c r="AU6" i="11"/>
  <c r="AT6" i="11"/>
  <c r="AS6" i="11"/>
  <c r="AR6" i="11"/>
  <c r="AP6" i="11"/>
  <c r="AJ6" i="11"/>
  <c r="AI6" i="11"/>
  <c r="AF6" i="11"/>
  <c r="AD6" i="11" s="1"/>
  <c r="AE6" i="11"/>
  <c r="AB6" i="11"/>
  <c r="Y6" i="11"/>
  <c r="W6" i="11" s="1"/>
  <c r="X6" i="11"/>
  <c r="AL6" i="11" s="1"/>
  <c r="U6" i="11"/>
  <c r="R6" i="11"/>
  <c r="P6" i="11" s="1"/>
  <c r="Q6" i="11"/>
  <c r="K6" i="11"/>
  <c r="J6" i="11"/>
  <c r="L6" i="11" s="1"/>
  <c r="I6" i="11"/>
  <c r="F6" i="11"/>
  <c r="H6" i="11" s="1"/>
  <c r="B6" i="11"/>
  <c r="E6" i="11" s="1"/>
  <c r="A6" i="11"/>
  <c r="CB5" i="11"/>
  <c r="CA5" i="11"/>
  <c r="BZ5" i="11"/>
  <c r="BY5" i="11"/>
  <c r="BX5" i="11"/>
  <c r="BW5" i="11"/>
  <c r="BV5" i="11"/>
  <c r="BU5" i="11"/>
  <c r="BS5" i="11"/>
  <c r="BQ5" i="11" s="1"/>
  <c r="BT5" i="11" s="1"/>
  <c r="BR5" i="11"/>
  <c r="BP5" i="11"/>
  <c r="BO5" i="11"/>
  <c r="BN5" i="11"/>
  <c r="BM5" i="11" s="1"/>
  <c r="BL5" i="11"/>
  <c r="BK5" i="11"/>
  <c r="BI5" i="11" s="1"/>
  <c r="BJ5" i="11"/>
  <c r="BH5" i="11"/>
  <c r="BA5" i="11"/>
  <c r="AZ5" i="11"/>
  <c r="BC5" i="11" s="1"/>
  <c r="BF5" i="11" s="1"/>
  <c r="AY5" i="11"/>
  <c r="BB5" i="11" s="1"/>
  <c r="BE5" i="11" s="1"/>
  <c r="AX5" i="11"/>
  <c r="AW5" i="11"/>
  <c r="AU5" i="11" s="1"/>
  <c r="AV5" i="11"/>
  <c r="AT5" i="11"/>
  <c r="AS5" i="11"/>
  <c r="AR5" i="11"/>
  <c r="AQ5" i="11"/>
  <c r="AP5" i="11"/>
  <c r="AJ5" i="11"/>
  <c r="AI5" i="11"/>
  <c r="AF5" i="11"/>
  <c r="AE5" i="11"/>
  <c r="AL5" i="11" s="1"/>
  <c r="AB5" i="11"/>
  <c r="Y5" i="11"/>
  <c r="X5" i="11"/>
  <c r="W5" i="11"/>
  <c r="U5" i="11"/>
  <c r="R5" i="11"/>
  <c r="Q5" i="11"/>
  <c r="L5" i="11"/>
  <c r="K5" i="11"/>
  <c r="J5" i="11"/>
  <c r="I5" i="11"/>
  <c r="H5" i="11"/>
  <c r="G5" i="11"/>
  <c r="F5" i="11"/>
  <c r="D5" i="11"/>
  <c r="C5" i="11"/>
  <c r="B5" i="11"/>
  <c r="E5" i="11" s="1"/>
  <c r="A5" i="11"/>
  <c r="CB4" i="11"/>
  <c r="CA4" i="11"/>
  <c r="BZ4" i="11"/>
  <c r="BX4" i="11" s="1"/>
  <c r="BY4" i="11"/>
  <c r="BW4" i="11"/>
  <c r="BS4" i="11"/>
  <c r="BR4" i="11"/>
  <c r="BU4" i="11" s="1"/>
  <c r="BP4" i="11"/>
  <c r="BO4" i="11"/>
  <c r="BN4" i="11"/>
  <c r="BM4" i="11"/>
  <c r="BL4" i="11"/>
  <c r="BK4" i="11"/>
  <c r="BJ4" i="11"/>
  <c r="BH4" i="11"/>
  <c r="BE4" i="11"/>
  <c r="BB4" i="11"/>
  <c r="BA4" i="11"/>
  <c r="AZ4" i="11"/>
  <c r="AY4" i="11"/>
  <c r="AX4" i="11"/>
  <c r="AW4" i="11"/>
  <c r="BD4" i="11" s="1"/>
  <c r="AV4" i="11"/>
  <c r="BC4" i="11" s="1"/>
  <c r="BF4" i="11" s="1"/>
  <c r="AT4" i="11"/>
  <c r="AS4" i="11"/>
  <c r="AR4" i="11"/>
  <c r="AQ4" i="11"/>
  <c r="AP4" i="11"/>
  <c r="AJ4" i="11"/>
  <c r="AI4" i="11"/>
  <c r="AF4" i="11"/>
  <c r="AE4" i="11"/>
  <c r="AL4" i="11" s="1"/>
  <c r="AD4" i="11"/>
  <c r="AK4" i="11" s="1"/>
  <c r="AB4" i="11"/>
  <c r="Y4" i="11"/>
  <c r="W4" i="11" s="1"/>
  <c r="X4" i="11"/>
  <c r="U4" i="11"/>
  <c r="R4" i="11"/>
  <c r="Q4" i="11"/>
  <c r="P4" i="11"/>
  <c r="L4" i="11"/>
  <c r="K4" i="11"/>
  <c r="J4" i="11"/>
  <c r="F4" i="11"/>
  <c r="E4" i="11"/>
  <c r="D4" i="11"/>
  <c r="C4" i="11"/>
  <c r="B4" i="11"/>
  <c r="A4" i="11"/>
  <c r="CB3" i="11"/>
  <c r="CA3" i="11"/>
  <c r="BZ3" i="11"/>
  <c r="BY3" i="11"/>
  <c r="BX3" i="11" s="1"/>
  <c r="BW3" i="11"/>
  <c r="BS3" i="11"/>
  <c r="BV3" i="11" s="1"/>
  <c r="BR3" i="11"/>
  <c r="BU3" i="11" s="1"/>
  <c r="BP3" i="11"/>
  <c r="BO3" i="11"/>
  <c r="BM3" i="11" s="1"/>
  <c r="BN3" i="11"/>
  <c r="BL3" i="11"/>
  <c r="BK3" i="11"/>
  <c r="BJ3" i="11"/>
  <c r="BI3" i="11"/>
  <c r="BH3" i="11"/>
  <c r="BA3" i="11"/>
  <c r="BD3" i="11" s="1"/>
  <c r="BG3" i="11" s="1"/>
  <c r="AZ3" i="11"/>
  <c r="AY3" i="11"/>
  <c r="BB3" i="11" s="1"/>
  <c r="BE3" i="11" s="1"/>
  <c r="AX3" i="11"/>
  <c r="AW3" i="11"/>
  <c r="AU3" i="11" s="1"/>
  <c r="AV3" i="11"/>
  <c r="AT3" i="11"/>
  <c r="AS3" i="11"/>
  <c r="AR3" i="11"/>
  <c r="AQ3" i="11" s="1"/>
  <c r="AP3" i="11"/>
  <c r="AJ3" i="11"/>
  <c r="AI3" i="11"/>
  <c r="AF3" i="11"/>
  <c r="AE3" i="11"/>
  <c r="AD3" i="11"/>
  <c r="AB3" i="11"/>
  <c r="Y3" i="11"/>
  <c r="AM3" i="11" s="1"/>
  <c r="X3" i="11"/>
  <c r="AL3" i="11" s="1"/>
  <c r="W3" i="11"/>
  <c r="AK3" i="11" s="1"/>
  <c r="U3" i="11"/>
  <c r="R3" i="11"/>
  <c r="Q3" i="11"/>
  <c r="P3" i="11"/>
  <c r="J3" i="11"/>
  <c r="L3" i="11" s="1"/>
  <c r="I3" i="11"/>
  <c r="H3" i="11"/>
  <c r="F3" i="11"/>
  <c r="G3" i="11" s="1"/>
  <c r="B3" i="11"/>
  <c r="A3" i="11"/>
  <c r="CB2" i="11"/>
  <c r="CA2" i="11"/>
  <c r="BZ2" i="11"/>
  <c r="BY2" i="11"/>
  <c r="BX2" i="11" s="1"/>
  <c r="BX118" i="11" s="1"/>
  <c r="BW2" i="11"/>
  <c r="BU2" i="11"/>
  <c r="BT2" i="11"/>
  <c r="BT118" i="11" s="1"/>
  <c r="BS2" i="11"/>
  <c r="BR2" i="11"/>
  <c r="BQ2" i="11"/>
  <c r="BQ118" i="11" s="1"/>
  <c r="BP2" i="11"/>
  <c r="BO2" i="11"/>
  <c r="BN2" i="11"/>
  <c r="BM2" i="11"/>
  <c r="BM118" i="11" s="1"/>
  <c r="BL2" i="11"/>
  <c r="BK2" i="11"/>
  <c r="BJ2" i="11"/>
  <c r="BI2" i="11"/>
  <c r="BI118" i="11" s="1"/>
  <c r="BH2" i="11"/>
  <c r="BA2" i="11"/>
  <c r="AZ2" i="11"/>
  <c r="AY2" i="11"/>
  <c r="AX2" i="11"/>
  <c r="AX118" i="11" s="1"/>
  <c r="AW2" i="11"/>
  <c r="AV2" i="11"/>
  <c r="AT2" i="11"/>
  <c r="AS2" i="11"/>
  <c r="AR2" i="11"/>
  <c r="AQ2" i="11"/>
  <c r="AQ118" i="11" s="1"/>
  <c r="AP2" i="11"/>
  <c r="AP118" i="11" s="1"/>
  <c r="AJ2" i="11"/>
  <c r="AI2" i="11"/>
  <c r="AF2" i="11"/>
  <c r="AE2" i="11"/>
  <c r="AD2" i="11"/>
  <c r="AB2" i="11"/>
  <c r="Y2" i="11"/>
  <c r="X2" i="11"/>
  <c r="W2" i="11" s="1"/>
  <c r="W118" i="11" s="1"/>
  <c r="U2" i="11"/>
  <c r="R2" i="11"/>
  <c r="Q2" i="11"/>
  <c r="P2" i="11"/>
  <c r="P118" i="11" s="1"/>
  <c r="N2" i="11"/>
  <c r="N118" i="11" s="1"/>
  <c r="K2" i="11"/>
  <c r="J2" i="11"/>
  <c r="L2" i="11" s="1"/>
  <c r="I2" i="11"/>
  <c r="G2" i="11"/>
  <c r="F2" i="11"/>
  <c r="H2" i="11" s="1"/>
  <c r="C2" i="11"/>
  <c r="B2" i="11"/>
  <c r="E2" i="11" s="1"/>
  <c r="A2" i="11"/>
  <c r="CP259" i="10"/>
  <c r="CP258" i="10"/>
  <c r="CP257" i="10"/>
  <c r="CP256" i="10"/>
  <c r="CP255" i="10"/>
  <c r="CP254" i="10"/>
  <c r="CP253" i="10"/>
  <c r="CP252" i="10"/>
  <c r="CP251" i="10"/>
  <c r="CP250" i="10"/>
  <c r="CP249" i="10"/>
  <c r="CP248" i="10"/>
  <c r="CP247" i="10"/>
  <c r="CP246" i="10"/>
  <c r="CP245" i="10"/>
  <c r="CP244" i="10"/>
  <c r="CP243" i="10"/>
  <c r="CP242" i="10"/>
  <c r="CP241" i="10"/>
  <c r="CP240" i="10"/>
  <c r="CP239" i="10"/>
  <c r="CP238" i="10"/>
  <c r="CP237" i="10"/>
  <c r="CP236" i="10"/>
  <c r="CP235" i="10"/>
  <c r="CP234" i="10"/>
  <c r="CP233" i="10"/>
  <c r="CP232" i="10"/>
  <c r="CP231" i="10"/>
  <c r="CP230" i="10"/>
  <c r="CP229" i="10"/>
  <c r="CP228" i="10"/>
  <c r="CP227" i="10"/>
  <c r="CP226" i="10"/>
  <c r="CP225" i="10"/>
  <c r="CP224" i="10"/>
  <c r="CP223" i="10"/>
  <c r="CP222" i="10"/>
  <c r="CP221" i="10"/>
  <c r="CP220" i="10"/>
  <c r="CP219" i="10"/>
  <c r="CP218" i="10"/>
  <c r="CP217" i="10"/>
  <c r="CP216" i="10"/>
  <c r="CP215" i="10"/>
  <c r="CP214" i="10"/>
  <c r="CP213" i="10"/>
  <c r="CP212" i="10"/>
  <c r="CP211" i="10"/>
  <c r="CP210" i="10"/>
  <c r="CP209" i="10"/>
  <c r="CP208" i="10"/>
  <c r="CP207" i="10"/>
  <c r="CP206" i="10"/>
  <c r="CP205" i="10"/>
  <c r="CP204" i="10"/>
  <c r="CP203" i="10"/>
  <c r="CP202" i="10"/>
  <c r="CP201" i="10"/>
  <c r="CP200" i="10"/>
  <c r="CP199" i="10"/>
  <c r="CP198" i="10"/>
  <c r="CP197" i="10"/>
  <c r="CP196" i="10"/>
  <c r="CP195" i="10"/>
  <c r="CP194" i="10"/>
  <c r="CP193" i="10"/>
  <c r="CP192" i="10"/>
  <c r="CP191" i="10"/>
  <c r="CP190" i="10"/>
  <c r="CP189" i="10"/>
  <c r="CP188" i="10"/>
  <c r="CP187" i="10"/>
  <c r="CP186" i="10"/>
  <c r="CP185" i="10"/>
  <c r="CP184" i="10"/>
  <c r="CP183" i="10"/>
  <c r="CP182" i="10"/>
  <c r="CP181" i="10"/>
  <c r="CP180" i="10"/>
  <c r="CP179" i="10"/>
  <c r="CP178" i="10"/>
  <c r="CP177" i="10"/>
  <c r="BD140" i="10"/>
  <c r="AW140" i="10"/>
  <c r="AV140" i="10"/>
  <c r="AU140" i="10"/>
  <c r="BX139" i="10"/>
  <c r="BW139" i="10"/>
  <c r="BS139" i="10"/>
  <c r="BL139" i="10"/>
  <c r="BK139" i="10"/>
  <c r="BJ139" i="10"/>
  <c r="BI139" i="10" s="1"/>
  <c r="BH139" i="10"/>
  <c r="BG139" i="10"/>
  <c r="BE139" i="10" s="1"/>
  <c r="BF139" i="10"/>
  <c r="BD139" i="10"/>
  <c r="AZ139" i="10"/>
  <c r="AY139" i="10"/>
  <c r="BB139" i="10" s="1"/>
  <c r="AW139" i="10"/>
  <c r="AV139" i="10"/>
  <c r="AU139" i="10" s="1"/>
  <c r="AX139" i="10" s="1"/>
  <c r="BA139" i="10" s="1"/>
  <c r="AT139" i="10"/>
  <c r="AS139" i="10"/>
  <c r="AR139" i="10"/>
  <c r="AQ139" i="10" s="1"/>
  <c r="AP139" i="10"/>
  <c r="AO139" i="10"/>
  <c r="AN139" i="10"/>
  <c r="AM139" i="10" s="1"/>
  <c r="AL139" i="10"/>
  <c r="AF139" i="10"/>
  <c r="AE139" i="10"/>
  <c r="AB139" i="10"/>
  <c r="AI139" i="10" s="1"/>
  <c r="AA139" i="10"/>
  <c r="AH139" i="10" s="1"/>
  <c r="Z139" i="10"/>
  <c r="X139" i="10"/>
  <c r="U139" i="10"/>
  <c r="W139" i="10" s="1"/>
  <c r="T139" i="10"/>
  <c r="S139" i="10"/>
  <c r="Q139" i="10"/>
  <c r="P139" i="10"/>
  <c r="O139" i="10"/>
  <c r="N139" i="10"/>
  <c r="M139" i="10"/>
  <c r="L139" i="10"/>
  <c r="J139" i="10"/>
  <c r="B139" i="10"/>
  <c r="A139" i="10"/>
  <c r="BX138" i="10"/>
  <c r="BW138" i="10"/>
  <c r="BS138" i="10"/>
  <c r="BL138" i="10"/>
  <c r="BK138" i="10"/>
  <c r="BJ138" i="10"/>
  <c r="BI138" i="10"/>
  <c r="BH138" i="10"/>
  <c r="BG138" i="10"/>
  <c r="BF138" i="10"/>
  <c r="BE138" i="10" s="1"/>
  <c r="BD138" i="10"/>
  <c r="AW138" i="10"/>
  <c r="AZ138" i="10" s="1"/>
  <c r="AV138" i="10"/>
  <c r="AT138" i="10"/>
  <c r="AS138" i="10"/>
  <c r="AQ138" i="10" s="1"/>
  <c r="AR138" i="10"/>
  <c r="AP138" i="10"/>
  <c r="AO138" i="10"/>
  <c r="AN138" i="10"/>
  <c r="AM138" i="10"/>
  <c r="AL138" i="10"/>
  <c r="AF138" i="10"/>
  <c r="AE138" i="10"/>
  <c r="AB138" i="10"/>
  <c r="AA138" i="10"/>
  <c r="AH138" i="10" s="1"/>
  <c r="X138" i="10"/>
  <c r="U138" i="10"/>
  <c r="T138" i="10"/>
  <c r="Q138" i="10"/>
  <c r="N138" i="10"/>
  <c r="P138" i="10" s="1"/>
  <c r="M138" i="10"/>
  <c r="L138" i="10"/>
  <c r="J138" i="10"/>
  <c r="E138" i="10"/>
  <c r="D138" i="10"/>
  <c r="B138" i="10"/>
  <c r="C138" i="10" s="1"/>
  <c r="A138" i="10"/>
  <c r="BX137" i="10"/>
  <c r="BW137" i="10"/>
  <c r="BV137" i="10"/>
  <c r="BU137" i="10"/>
  <c r="BT137" i="10" s="1"/>
  <c r="BS137" i="10"/>
  <c r="BO137" i="10"/>
  <c r="BN137" i="10"/>
  <c r="BM137" i="10" s="1"/>
  <c r="BL137" i="10"/>
  <c r="BK137" i="10"/>
  <c r="BJ137" i="10"/>
  <c r="BI137" i="10"/>
  <c r="BH137" i="10"/>
  <c r="BG137" i="10"/>
  <c r="BF137" i="10"/>
  <c r="BE137" i="10" s="1"/>
  <c r="BD137" i="10"/>
  <c r="AW137" i="10"/>
  <c r="AV137" i="10"/>
  <c r="AT137" i="10"/>
  <c r="AS137" i="10"/>
  <c r="AR137" i="10"/>
  <c r="AQ137" i="10"/>
  <c r="AP137" i="10"/>
  <c r="AO137" i="10"/>
  <c r="AM137" i="10" s="1"/>
  <c r="AN137" i="10"/>
  <c r="AY137" i="10" s="1"/>
  <c r="BB137" i="10" s="1"/>
  <c r="AL137" i="10"/>
  <c r="AH137" i="10"/>
  <c r="AF137" i="10"/>
  <c r="AB137" i="10"/>
  <c r="AA137" i="10"/>
  <c r="Z137" i="10" s="1"/>
  <c r="Y137" i="10"/>
  <c r="X137" i="10"/>
  <c r="U137" i="10"/>
  <c r="T137" i="10"/>
  <c r="S137" i="10"/>
  <c r="Q137" i="10"/>
  <c r="R137" i="10" s="1"/>
  <c r="P137" i="10"/>
  <c r="O137" i="10"/>
  <c r="N137" i="10"/>
  <c r="L137" i="10" s="1"/>
  <c r="M137" i="10"/>
  <c r="K137" i="10"/>
  <c r="J137" i="10"/>
  <c r="F137" i="10"/>
  <c r="H137" i="10" s="1"/>
  <c r="E137" i="10"/>
  <c r="B137" i="10"/>
  <c r="D137" i="10" s="1"/>
  <c r="A137" i="10"/>
  <c r="BX136" i="10"/>
  <c r="BW136" i="10"/>
  <c r="BV136" i="10"/>
  <c r="BU136" i="10"/>
  <c r="BS136" i="10"/>
  <c r="BO136" i="10"/>
  <c r="BN136" i="10"/>
  <c r="BQ136" i="10" s="1"/>
  <c r="BL136" i="10"/>
  <c r="BK136" i="10"/>
  <c r="BJ136" i="10"/>
  <c r="BI136" i="10" s="1"/>
  <c r="BH136" i="10"/>
  <c r="BG136" i="10"/>
  <c r="BF136" i="10"/>
  <c r="BE136" i="10"/>
  <c r="BD136" i="10"/>
  <c r="AY136" i="10"/>
  <c r="BB136" i="10" s="1"/>
  <c r="AW136" i="10"/>
  <c r="AV136" i="10"/>
  <c r="AT136" i="10"/>
  <c r="AS136" i="10"/>
  <c r="AR136" i="10"/>
  <c r="AQ136" i="10"/>
  <c r="AP136" i="10"/>
  <c r="AO136" i="10"/>
  <c r="AM136" i="10" s="1"/>
  <c r="AN136" i="10"/>
  <c r="AL136" i="10"/>
  <c r="AI136" i="10"/>
  <c r="AK136" i="10" s="1"/>
  <c r="AH136" i="10"/>
  <c r="AG136" i="10"/>
  <c r="AF136" i="10"/>
  <c r="AB136" i="10"/>
  <c r="AA136" i="10"/>
  <c r="Z136" i="10"/>
  <c r="X136" i="10"/>
  <c r="Y136" i="10" s="1"/>
  <c r="U136" i="10"/>
  <c r="T136" i="10"/>
  <c r="S136" i="10" s="1"/>
  <c r="Q136" i="10"/>
  <c r="R136" i="10" s="1"/>
  <c r="W136" i="10" s="1"/>
  <c r="N136" i="10"/>
  <c r="M136" i="10"/>
  <c r="L136" i="10"/>
  <c r="J136" i="10"/>
  <c r="K136" i="10" s="1"/>
  <c r="P136" i="10" s="1"/>
  <c r="H136" i="10"/>
  <c r="G136" i="10"/>
  <c r="F136" i="10"/>
  <c r="C136" i="10"/>
  <c r="B136" i="10"/>
  <c r="E136" i="10" s="1"/>
  <c r="A136" i="10"/>
  <c r="BX135" i="10"/>
  <c r="BW135" i="10"/>
  <c r="BV135" i="10"/>
  <c r="BT135" i="10" s="1"/>
  <c r="BU135" i="10"/>
  <c r="BS135" i="10"/>
  <c r="BO135" i="10"/>
  <c r="BN135" i="10"/>
  <c r="BQ135" i="10" s="1"/>
  <c r="BL135" i="10"/>
  <c r="BK135" i="10"/>
  <c r="BJ135" i="10"/>
  <c r="BI135" i="10"/>
  <c r="BH135" i="10"/>
  <c r="BG135" i="10"/>
  <c r="BE135" i="10" s="1"/>
  <c r="BF135" i="10"/>
  <c r="BD135" i="10"/>
  <c r="AZ135" i="10"/>
  <c r="BC135" i="10" s="1"/>
  <c r="AW135" i="10"/>
  <c r="AV135" i="10"/>
  <c r="AU135" i="10"/>
  <c r="AT135" i="10"/>
  <c r="AS135" i="10"/>
  <c r="AR135" i="10"/>
  <c r="AY135" i="10" s="1"/>
  <c r="BB135" i="10" s="1"/>
  <c r="AQ135" i="10"/>
  <c r="AX135" i="10" s="1"/>
  <c r="AP135" i="10"/>
  <c r="AO135" i="10"/>
  <c r="AN135" i="10"/>
  <c r="AM135" i="10"/>
  <c r="AL135" i="10"/>
  <c r="AJ135" i="10"/>
  <c r="AI135" i="10"/>
  <c r="AF135" i="10"/>
  <c r="AB135" i="10"/>
  <c r="AA135" i="10"/>
  <c r="AH135" i="10" s="1"/>
  <c r="Z135" i="10"/>
  <c r="X135" i="10"/>
  <c r="Y135" i="10" s="1"/>
  <c r="U135" i="10"/>
  <c r="W135" i="10" s="1"/>
  <c r="T135" i="10"/>
  <c r="S135" i="10"/>
  <c r="R135" i="10"/>
  <c r="Q135" i="10"/>
  <c r="N135" i="10"/>
  <c r="M135" i="10"/>
  <c r="L135" i="10" s="1"/>
  <c r="K135" i="10"/>
  <c r="J135" i="10"/>
  <c r="H135" i="10"/>
  <c r="G135" i="10"/>
  <c r="F135" i="10"/>
  <c r="B135" i="10"/>
  <c r="A135" i="10"/>
  <c r="BX134" i="10"/>
  <c r="BW134" i="10"/>
  <c r="BV134" i="10"/>
  <c r="BU134" i="10"/>
  <c r="BT134" i="10"/>
  <c r="BS134" i="10"/>
  <c r="BQ134" i="10"/>
  <c r="BO134" i="10"/>
  <c r="BN134" i="10"/>
  <c r="BL134" i="10"/>
  <c r="BK134" i="10"/>
  <c r="BJ134" i="10"/>
  <c r="BI134" i="10"/>
  <c r="BH134" i="10"/>
  <c r="BG134" i="10"/>
  <c r="BE134" i="10" s="1"/>
  <c r="BF134" i="10"/>
  <c r="BD134" i="10"/>
  <c r="AZ134" i="10"/>
  <c r="AY134" i="10"/>
  <c r="BB134" i="10" s="1"/>
  <c r="AW134" i="10"/>
  <c r="AV134" i="10"/>
  <c r="AU134" i="10" s="1"/>
  <c r="AX134" i="10" s="1"/>
  <c r="BA134" i="10" s="1"/>
  <c r="AT134" i="10"/>
  <c r="AS134" i="10"/>
  <c r="AR134" i="10"/>
  <c r="AQ134" i="10"/>
  <c r="AP134" i="10"/>
  <c r="AO134" i="10"/>
  <c r="AN134" i="10"/>
  <c r="AM134" i="10" s="1"/>
  <c r="AL134" i="10"/>
  <c r="AK134" i="10"/>
  <c r="AF134" i="10"/>
  <c r="AE134" i="10"/>
  <c r="AB134" i="10"/>
  <c r="AI134" i="10" s="1"/>
  <c r="AA134" i="10"/>
  <c r="AH134" i="10" s="1"/>
  <c r="Z134" i="10"/>
  <c r="X134" i="10"/>
  <c r="U134" i="10"/>
  <c r="W134" i="10" s="1"/>
  <c r="T134" i="10"/>
  <c r="S134" i="10"/>
  <c r="Q134" i="10"/>
  <c r="P134" i="10"/>
  <c r="O134" i="10"/>
  <c r="N134" i="10"/>
  <c r="M134" i="10"/>
  <c r="L134" i="10"/>
  <c r="J134" i="10"/>
  <c r="F134" i="10"/>
  <c r="H134" i="10" s="1"/>
  <c r="E134" i="10"/>
  <c r="B134" i="10"/>
  <c r="D134" i="10" s="1"/>
  <c r="A134" i="10"/>
  <c r="BX133" i="10"/>
  <c r="BW133" i="10"/>
  <c r="BV133" i="10"/>
  <c r="BT133" i="10" s="1"/>
  <c r="BU133" i="10"/>
  <c r="BS133" i="10"/>
  <c r="BO133" i="10"/>
  <c r="BN133" i="10"/>
  <c r="BQ133" i="10" s="1"/>
  <c r="BL133" i="10"/>
  <c r="BK133" i="10"/>
  <c r="BI133" i="10" s="1"/>
  <c r="BJ133" i="10"/>
  <c r="BH133" i="10"/>
  <c r="BG133" i="10"/>
  <c r="BF133" i="10"/>
  <c r="BE133" i="10"/>
  <c r="BD133" i="10"/>
  <c r="AY133" i="10"/>
  <c r="BB133" i="10" s="1"/>
  <c r="AW133" i="10"/>
  <c r="AV133" i="10"/>
  <c r="AT133" i="10"/>
  <c r="AS133" i="10"/>
  <c r="AR133" i="10"/>
  <c r="AQ133" i="10" s="1"/>
  <c r="AP133" i="10"/>
  <c r="AO133" i="10"/>
  <c r="AM133" i="10" s="1"/>
  <c r="AN133" i="10"/>
  <c r="AL133" i="10"/>
  <c r="AJ133" i="10"/>
  <c r="AI133" i="10"/>
  <c r="AH133" i="10"/>
  <c r="AF133" i="10"/>
  <c r="AB133" i="10"/>
  <c r="AA133" i="10"/>
  <c r="Z133" i="10"/>
  <c r="X133" i="10"/>
  <c r="Y133" i="10" s="1"/>
  <c r="U133" i="10"/>
  <c r="T133" i="10"/>
  <c r="S133" i="10" s="1"/>
  <c r="Q133" i="10"/>
  <c r="R133" i="10" s="1"/>
  <c r="W133" i="10" s="1"/>
  <c r="P133" i="10"/>
  <c r="O133" i="10"/>
  <c r="N133" i="10"/>
  <c r="M133" i="10"/>
  <c r="L133" i="10"/>
  <c r="J133" i="10"/>
  <c r="K133" i="10" s="1"/>
  <c r="F133" i="10"/>
  <c r="H133" i="10" s="1"/>
  <c r="C133" i="10"/>
  <c r="B133" i="10"/>
  <c r="E133" i="10" s="1"/>
  <c r="A133" i="10"/>
  <c r="BX132" i="10"/>
  <c r="BW132" i="10"/>
  <c r="BV132" i="10"/>
  <c r="BT132" i="10" s="1"/>
  <c r="BU132" i="10"/>
  <c r="BS132" i="10"/>
  <c r="BQ132" i="10"/>
  <c r="BO132" i="10"/>
  <c r="BN132" i="10"/>
  <c r="BL132" i="10"/>
  <c r="BK132" i="10"/>
  <c r="BJ132" i="10"/>
  <c r="BI132" i="10"/>
  <c r="BH132" i="10"/>
  <c r="BG132" i="10"/>
  <c r="BE132" i="10" s="1"/>
  <c r="BF132" i="10"/>
  <c r="BD132" i="10"/>
  <c r="AY132" i="10"/>
  <c r="BB132" i="10" s="1"/>
  <c r="AX132" i="10"/>
  <c r="BA132" i="10" s="1"/>
  <c r="AW132" i="10"/>
  <c r="AV132" i="10"/>
  <c r="AU132" i="10"/>
  <c r="AT132" i="10"/>
  <c r="AS132" i="10"/>
  <c r="AZ132" i="10" s="1"/>
  <c r="AR132" i="10"/>
  <c r="AQ132" i="10"/>
  <c r="AP132" i="10"/>
  <c r="AO132" i="10"/>
  <c r="AN132" i="10"/>
  <c r="AM132" i="10"/>
  <c r="AL132" i="10"/>
  <c r="AI132" i="10"/>
  <c r="AH132" i="10"/>
  <c r="AF132" i="10"/>
  <c r="AB132" i="10"/>
  <c r="AA132" i="10"/>
  <c r="Z132" i="10" s="1"/>
  <c r="Y132" i="10"/>
  <c r="X132" i="10"/>
  <c r="U132" i="10"/>
  <c r="T132" i="10"/>
  <c r="S132" i="10"/>
  <c r="R132" i="10"/>
  <c r="Q132" i="10"/>
  <c r="N132" i="10"/>
  <c r="M132" i="10"/>
  <c r="L132" i="10" s="1"/>
  <c r="J132" i="10"/>
  <c r="K132" i="10" s="1"/>
  <c r="H132" i="10"/>
  <c r="E132" i="10"/>
  <c r="B132" i="10"/>
  <c r="D132" i="10" s="1"/>
  <c r="A132" i="10"/>
  <c r="BX131" i="10"/>
  <c r="BW131" i="10"/>
  <c r="BS131" i="10"/>
  <c r="BL131" i="10"/>
  <c r="BK131" i="10"/>
  <c r="BJ131" i="10"/>
  <c r="BI131" i="10"/>
  <c r="BH131" i="10"/>
  <c r="BG131" i="10"/>
  <c r="BF131" i="10"/>
  <c r="BE131" i="10"/>
  <c r="BD131" i="10"/>
  <c r="AY131" i="10"/>
  <c r="BB131" i="10" s="1"/>
  <c r="AW131" i="10"/>
  <c r="AV131" i="10"/>
  <c r="AT131" i="10"/>
  <c r="AS131" i="10"/>
  <c r="AR131" i="10"/>
  <c r="AQ131" i="10"/>
  <c r="AP131" i="10"/>
  <c r="AO131" i="10"/>
  <c r="AM131" i="10" s="1"/>
  <c r="AN131" i="10"/>
  <c r="AL131" i="10"/>
  <c r="AH131" i="10"/>
  <c r="AF131" i="10"/>
  <c r="AB131" i="10"/>
  <c r="AA131" i="10"/>
  <c r="Z131" i="10" s="1"/>
  <c r="Y131" i="10"/>
  <c r="X131" i="10"/>
  <c r="U131" i="10"/>
  <c r="T131" i="10"/>
  <c r="S131" i="10"/>
  <c r="Q131" i="10"/>
  <c r="R131" i="10" s="1"/>
  <c r="N131" i="10"/>
  <c r="L131" i="10" s="1"/>
  <c r="M131" i="10"/>
  <c r="K131" i="10"/>
  <c r="AE131" i="10" s="1"/>
  <c r="J131" i="10"/>
  <c r="E131" i="10"/>
  <c r="D131" i="10"/>
  <c r="C131" i="10"/>
  <c r="B131" i="10"/>
  <c r="A131" i="10"/>
  <c r="BG130" i="10"/>
  <c r="BE130" i="10" s="1"/>
  <c r="BF130" i="10"/>
  <c r="BD130" i="10"/>
  <c r="AW130" i="10"/>
  <c r="AU130" i="10" s="1"/>
  <c r="AV130" i="10"/>
  <c r="AF130" i="10"/>
  <c r="AB130" i="10"/>
  <c r="AA130" i="10"/>
  <c r="Y130" i="10"/>
  <c r="X130" i="10"/>
  <c r="U130" i="10"/>
  <c r="S130" i="10" s="1"/>
  <c r="T130" i="10"/>
  <c r="Q130" i="10"/>
  <c r="R130" i="10" s="1"/>
  <c r="AE130" i="10" s="1"/>
  <c r="N130" i="10"/>
  <c r="M130" i="10"/>
  <c r="BX129" i="10"/>
  <c r="BW129" i="10"/>
  <c r="BS129" i="10"/>
  <c r="BL129" i="10"/>
  <c r="BH129" i="10"/>
  <c r="BG129" i="10"/>
  <c r="BF129" i="10"/>
  <c r="BD129" i="10"/>
  <c r="AW129" i="10"/>
  <c r="AU129" i="10" s="1"/>
  <c r="AV129" i="10"/>
  <c r="AS129" i="10"/>
  <c r="AQ129" i="10" s="1"/>
  <c r="AR129" i="10"/>
  <c r="AO129" i="10"/>
  <c r="AM129" i="10" s="1"/>
  <c r="AN129" i="10"/>
  <c r="AL129" i="10"/>
  <c r="AF129" i="10"/>
  <c r="AE129" i="10"/>
  <c r="AB129" i="10"/>
  <c r="AA129" i="10"/>
  <c r="Z129" i="10"/>
  <c r="X129" i="10"/>
  <c r="W129" i="10"/>
  <c r="V129" i="10"/>
  <c r="U129" i="10"/>
  <c r="T129" i="10"/>
  <c r="S129" i="10"/>
  <c r="Q129" i="10"/>
  <c r="N129" i="10"/>
  <c r="M129" i="10"/>
  <c r="AH129" i="10" s="1"/>
  <c r="B129" i="10"/>
  <c r="A129" i="10"/>
  <c r="AD124" i="10"/>
  <c r="AC124" i="10"/>
  <c r="BX123" i="10"/>
  <c r="BW123" i="10"/>
  <c r="BV123" i="10"/>
  <c r="BU123" i="10"/>
  <c r="BT123" i="10"/>
  <c r="BS123" i="10"/>
  <c r="BO123" i="10"/>
  <c r="BN123" i="10"/>
  <c r="BM123" i="10"/>
  <c r="BL123" i="10"/>
  <c r="BK123" i="10"/>
  <c r="BJ123" i="10"/>
  <c r="BH123" i="10"/>
  <c r="BG123" i="10"/>
  <c r="BF123" i="10"/>
  <c r="BE123" i="10"/>
  <c r="BD123" i="10"/>
  <c r="AW123" i="10"/>
  <c r="AV123" i="10"/>
  <c r="AY123" i="10" s="1"/>
  <c r="BB123" i="10" s="1"/>
  <c r="AT123" i="10"/>
  <c r="AS123" i="10"/>
  <c r="AR123" i="10"/>
  <c r="AQ123" i="10"/>
  <c r="AP123" i="10"/>
  <c r="AO123" i="10"/>
  <c r="AN123" i="10"/>
  <c r="AL123" i="10"/>
  <c r="AF123" i="10"/>
  <c r="AB123" i="10"/>
  <c r="AA123" i="10"/>
  <c r="Y123" i="10"/>
  <c r="X123" i="10"/>
  <c r="U123" i="10"/>
  <c r="T123" i="10"/>
  <c r="AH123" i="10" s="1"/>
  <c r="Q123" i="10"/>
  <c r="R123" i="10" s="1"/>
  <c r="V123" i="10" s="1"/>
  <c r="N123" i="10"/>
  <c r="M123" i="10"/>
  <c r="J123" i="10"/>
  <c r="K123" i="10" s="1"/>
  <c r="F123" i="10"/>
  <c r="E123" i="10"/>
  <c r="D123" i="10"/>
  <c r="C123" i="10"/>
  <c r="B123" i="10"/>
  <c r="A123" i="10"/>
  <c r="BX122" i="10"/>
  <c r="BW122" i="10"/>
  <c r="BV122" i="10"/>
  <c r="BU122" i="10"/>
  <c r="BT122" i="10"/>
  <c r="BS122" i="10"/>
  <c r="BO122" i="10"/>
  <c r="BR122" i="10" s="1"/>
  <c r="BN122" i="10"/>
  <c r="BL122" i="10"/>
  <c r="BK122" i="10"/>
  <c r="BI122" i="10" s="1"/>
  <c r="BJ122" i="10"/>
  <c r="BH122" i="10"/>
  <c r="BG122" i="10"/>
  <c r="BF122" i="10"/>
  <c r="BE122" i="10" s="1"/>
  <c r="BD122" i="10"/>
  <c r="AW122" i="10"/>
  <c r="AZ122" i="10" s="1"/>
  <c r="AV122" i="10"/>
  <c r="AY122" i="10" s="1"/>
  <c r="BB122" i="10" s="1"/>
  <c r="AT122" i="10"/>
  <c r="AS122" i="10"/>
  <c r="AR122" i="10"/>
  <c r="AQ122" i="10" s="1"/>
  <c r="AP122" i="10"/>
  <c r="AO122" i="10"/>
  <c r="AN122" i="10"/>
  <c r="AM122" i="10"/>
  <c r="AL122" i="10"/>
  <c r="AH122" i="10"/>
  <c r="AF122" i="10"/>
  <c r="AB122" i="10"/>
  <c r="AA122" i="10"/>
  <c r="Z122" i="10"/>
  <c r="X122" i="10"/>
  <c r="Y122" i="10" s="1"/>
  <c r="AE122" i="10" s="1"/>
  <c r="W122" i="10"/>
  <c r="V122" i="10"/>
  <c r="U122" i="10"/>
  <c r="T122" i="10"/>
  <c r="R122" i="10"/>
  <c r="Q122" i="10"/>
  <c r="N122" i="10"/>
  <c r="L122" i="10" s="1"/>
  <c r="M122" i="10"/>
  <c r="J122" i="10"/>
  <c r="K122" i="10" s="1"/>
  <c r="G122" i="10"/>
  <c r="F122" i="10"/>
  <c r="H122" i="10" s="1"/>
  <c r="E122" i="10"/>
  <c r="D122" i="10"/>
  <c r="B122" i="10"/>
  <c r="C122" i="10" s="1"/>
  <c r="A122" i="10"/>
  <c r="BX121" i="10"/>
  <c r="BW121" i="10"/>
  <c r="BV121" i="10"/>
  <c r="BU121" i="10"/>
  <c r="BT121" i="10"/>
  <c r="BS121" i="10"/>
  <c r="BO121" i="10"/>
  <c r="BN121" i="10"/>
  <c r="BQ121" i="10" s="1"/>
  <c r="BL121" i="10"/>
  <c r="BK121" i="10"/>
  <c r="BJ121" i="10"/>
  <c r="BI121" i="10"/>
  <c r="BH121" i="10"/>
  <c r="BG121" i="10"/>
  <c r="BF121" i="10"/>
  <c r="BD121" i="10"/>
  <c r="AW121" i="10"/>
  <c r="AV121" i="10"/>
  <c r="AT121" i="10"/>
  <c r="AS121" i="10"/>
  <c r="AR121" i="10"/>
  <c r="AQ121" i="10"/>
  <c r="AP121" i="10"/>
  <c r="AO121" i="10"/>
  <c r="AN121" i="10"/>
  <c r="AL121" i="10"/>
  <c r="AI121" i="10"/>
  <c r="AH121" i="10"/>
  <c r="AF121" i="10"/>
  <c r="AB121" i="10"/>
  <c r="Z121" i="10" s="1"/>
  <c r="AA121" i="10"/>
  <c r="Y121" i="10"/>
  <c r="X121" i="10"/>
  <c r="W121" i="10"/>
  <c r="V121" i="10"/>
  <c r="U121" i="10"/>
  <c r="T121" i="10"/>
  <c r="S121" i="10"/>
  <c r="Q121" i="10"/>
  <c r="R121" i="10" s="1"/>
  <c r="P121" i="10"/>
  <c r="O121" i="10"/>
  <c r="N121" i="10"/>
  <c r="L121" i="10" s="1"/>
  <c r="M121" i="10"/>
  <c r="K121" i="10"/>
  <c r="J121" i="10"/>
  <c r="F121" i="10"/>
  <c r="E121" i="10"/>
  <c r="B121" i="10"/>
  <c r="D121" i="10" s="1"/>
  <c r="A121" i="10"/>
  <c r="BX120" i="10"/>
  <c r="BW120" i="10"/>
  <c r="BV120" i="10"/>
  <c r="BT120" i="10" s="1"/>
  <c r="BU120" i="10"/>
  <c r="BS120" i="10"/>
  <c r="BO120" i="10"/>
  <c r="BN120" i="10"/>
  <c r="BL120" i="10"/>
  <c r="BK120" i="10"/>
  <c r="BI120" i="10" s="1"/>
  <c r="BJ120" i="10"/>
  <c r="BH120" i="10"/>
  <c r="BG120" i="10"/>
  <c r="BF120" i="10"/>
  <c r="BE120" i="10"/>
  <c r="BD120" i="10"/>
  <c r="AY120" i="10"/>
  <c r="AW120" i="10"/>
  <c r="AV120" i="10"/>
  <c r="AT120" i="10"/>
  <c r="AS120" i="10"/>
  <c r="AR120" i="10"/>
  <c r="AQ120" i="10" s="1"/>
  <c r="AP120" i="10"/>
  <c r="AO120" i="10"/>
  <c r="AM120" i="10" s="1"/>
  <c r="AN120" i="10"/>
  <c r="AL120" i="10"/>
  <c r="AI120" i="10"/>
  <c r="AF120" i="10"/>
  <c r="AB120" i="10"/>
  <c r="AA120" i="10"/>
  <c r="Z120" i="10"/>
  <c r="X120" i="10"/>
  <c r="Y120" i="10" s="1"/>
  <c r="U120" i="10"/>
  <c r="T120" i="10"/>
  <c r="AH120" i="10" s="1"/>
  <c r="Q120" i="10"/>
  <c r="R120" i="10" s="1"/>
  <c r="W120" i="10" s="1"/>
  <c r="P120" i="10"/>
  <c r="O120" i="10"/>
  <c r="N120" i="10"/>
  <c r="M120" i="10"/>
  <c r="L120" i="10"/>
  <c r="J120" i="10"/>
  <c r="K120" i="10" s="1"/>
  <c r="F120" i="10"/>
  <c r="H120" i="10" s="1"/>
  <c r="D120" i="10"/>
  <c r="C120" i="10"/>
  <c r="B120" i="10"/>
  <c r="E120" i="10" s="1"/>
  <c r="A120" i="10"/>
  <c r="BX119" i="10"/>
  <c r="BW119" i="10"/>
  <c r="BV119" i="10"/>
  <c r="BT119" i="10" s="1"/>
  <c r="BU119" i="10"/>
  <c r="BS119" i="10"/>
  <c r="BQ119" i="10"/>
  <c r="BO119" i="10"/>
  <c r="BN119" i="10"/>
  <c r="BL119" i="10"/>
  <c r="BK119" i="10"/>
  <c r="BJ119" i="10"/>
  <c r="BI119" i="10"/>
  <c r="BH119" i="10"/>
  <c r="BG119" i="10"/>
  <c r="BE119" i="10" s="1"/>
  <c r="BF119" i="10"/>
  <c r="BD119" i="10"/>
  <c r="AX119" i="10"/>
  <c r="BA119" i="10" s="1"/>
  <c r="AW119" i="10"/>
  <c r="AV119" i="10"/>
  <c r="AU119" i="10"/>
  <c r="AS119" i="10"/>
  <c r="AR119" i="10"/>
  <c r="AQ119" i="10" s="1"/>
  <c r="AO119" i="10"/>
  <c r="AN119" i="10"/>
  <c r="AY119" i="10" s="1"/>
  <c r="BB119" i="10" s="1"/>
  <c r="AL119" i="10"/>
  <c r="AH119" i="10"/>
  <c r="AF119" i="10"/>
  <c r="AE119" i="10"/>
  <c r="AB119" i="10"/>
  <c r="Z119" i="10" s="1"/>
  <c r="AA119" i="10"/>
  <c r="X119" i="10"/>
  <c r="U119" i="10"/>
  <c r="T119" i="10"/>
  <c r="Q119" i="10"/>
  <c r="O119" i="10"/>
  <c r="N119" i="10"/>
  <c r="P119" i="10" s="1"/>
  <c r="M119" i="10"/>
  <c r="L119" i="10"/>
  <c r="F119" i="10"/>
  <c r="D119" i="10"/>
  <c r="C119" i="10"/>
  <c r="B119" i="10"/>
  <c r="E119" i="10" s="1"/>
  <c r="A119" i="10"/>
  <c r="BX118" i="10"/>
  <c r="BW118" i="10"/>
  <c r="BV118" i="10"/>
  <c r="BU118" i="10"/>
  <c r="BT118" i="10"/>
  <c r="BS118" i="10"/>
  <c r="BR118" i="10"/>
  <c r="BO118" i="10"/>
  <c r="BM118" i="10" s="1"/>
  <c r="BN118" i="10"/>
  <c r="BL118" i="10"/>
  <c r="BK118" i="10"/>
  <c r="BJ118" i="10"/>
  <c r="BQ118" i="10" s="1"/>
  <c r="BI118" i="10"/>
  <c r="BH118" i="10"/>
  <c r="BG118" i="10"/>
  <c r="BE118" i="10" s="1"/>
  <c r="BF118" i="10"/>
  <c r="BD118" i="10"/>
  <c r="AW118" i="10"/>
  <c r="AZ118" i="10" s="1"/>
  <c r="AV118" i="10"/>
  <c r="AS118" i="10"/>
  <c r="AR118" i="10"/>
  <c r="AO118" i="10"/>
  <c r="AN118" i="10"/>
  <c r="AL118" i="10"/>
  <c r="AF118" i="10"/>
  <c r="AE118" i="10"/>
  <c r="AB118" i="10"/>
  <c r="AA118" i="10"/>
  <c r="AH118" i="10" s="1"/>
  <c r="X118" i="10"/>
  <c r="U118" i="10"/>
  <c r="T118" i="10"/>
  <c r="Q118" i="10"/>
  <c r="P118" i="10"/>
  <c r="O118" i="10"/>
  <c r="N118" i="10"/>
  <c r="M118" i="10"/>
  <c r="L118" i="10"/>
  <c r="G118" i="10"/>
  <c r="F118" i="10"/>
  <c r="H118" i="10" s="1"/>
  <c r="E118" i="10"/>
  <c r="D118" i="10"/>
  <c r="B118" i="10"/>
  <c r="C118" i="10" s="1"/>
  <c r="A118" i="10"/>
  <c r="BX117" i="10"/>
  <c r="BW117" i="10"/>
  <c r="BV117" i="10"/>
  <c r="BU117" i="10"/>
  <c r="BT117" i="10"/>
  <c r="BS117" i="10"/>
  <c r="BO117" i="10"/>
  <c r="BN117" i="10"/>
  <c r="BQ117" i="10" s="1"/>
  <c r="BM117" i="10"/>
  <c r="BL117" i="10"/>
  <c r="BK117" i="10"/>
  <c r="BJ117" i="10"/>
  <c r="BI117" i="10"/>
  <c r="BH117" i="10"/>
  <c r="BG117" i="10"/>
  <c r="BF117" i="10"/>
  <c r="BE117" i="10"/>
  <c r="BD117" i="10"/>
  <c r="AW117" i="10"/>
  <c r="AV117" i="10"/>
  <c r="AY117" i="10" s="1"/>
  <c r="BB117" i="10" s="1"/>
  <c r="AS117" i="10"/>
  <c r="AQ117" i="10" s="1"/>
  <c r="AR117" i="10"/>
  <c r="AO117" i="10"/>
  <c r="AN117" i="10"/>
  <c r="AM117" i="10"/>
  <c r="AL117" i="10"/>
  <c r="AI117" i="10"/>
  <c r="AG117" i="10"/>
  <c r="AF117" i="10"/>
  <c r="AE117" i="10"/>
  <c r="AB117" i="10"/>
  <c r="Z117" i="10" s="1"/>
  <c r="AA117" i="10"/>
  <c r="X117" i="10"/>
  <c r="U117" i="10"/>
  <c r="T117" i="10"/>
  <c r="AH117" i="10" s="1"/>
  <c r="S117" i="10"/>
  <c r="Q117" i="10"/>
  <c r="P117" i="10"/>
  <c r="O117" i="10"/>
  <c r="N117" i="10"/>
  <c r="M117" i="10"/>
  <c r="L117" i="10"/>
  <c r="H117" i="10"/>
  <c r="G117" i="10"/>
  <c r="F117" i="10"/>
  <c r="D117" i="10"/>
  <c r="B117" i="10"/>
  <c r="A117" i="10"/>
  <c r="BX116" i="10"/>
  <c r="BW116" i="10"/>
  <c r="BV116" i="10"/>
  <c r="BU116" i="10"/>
  <c r="BT116" i="10"/>
  <c r="BS116" i="10"/>
  <c r="BQ116" i="10"/>
  <c r="BO116" i="10"/>
  <c r="BN116" i="10"/>
  <c r="BL116" i="10"/>
  <c r="BK116" i="10"/>
  <c r="BJ116" i="10"/>
  <c r="BI116" i="10" s="1"/>
  <c r="BH116" i="10"/>
  <c r="BG116" i="10"/>
  <c r="BE116" i="10" s="1"/>
  <c r="BF116" i="10"/>
  <c r="BD116" i="10"/>
  <c r="BA116" i="10"/>
  <c r="AW116" i="10"/>
  <c r="AU116" i="10" s="1"/>
  <c r="AX116" i="10" s="1"/>
  <c r="AV116" i="10"/>
  <c r="AY116" i="10" s="1"/>
  <c r="BB116" i="10" s="1"/>
  <c r="AT116" i="10"/>
  <c r="AS116" i="10"/>
  <c r="AZ116" i="10" s="1"/>
  <c r="AR116" i="10"/>
  <c r="AQ116" i="10" s="1"/>
  <c r="AP116" i="10"/>
  <c r="AO116" i="10"/>
  <c r="AN116" i="10"/>
  <c r="AL116" i="10"/>
  <c r="AI116" i="10"/>
  <c r="AJ116" i="10" s="1"/>
  <c r="AF116" i="10"/>
  <c r="AB116" i="10"/>
  <c r="AA116" i="10"/>
  <c r="AH116" i="10" s="1"/>
  <c r="Y116" i="10"/>
  <c r="X116" i="10"/>
  <c r="U116" i="10"/>
  <c r="T116" i="10"/>
  <c r="S116" i="10"/>
  <c r="Q116" i="10"/>
  <c r="R116" i="10" s="1"/>
  <c r="W116" i="10" s="1"/>
  <c r="P116" i="10"/>
  <c r="O116" i="10"/>
  <c r="N116" i="10"/>
  <c r="L116" i="10" s="1"/>
  <c r="M116" i="10"/>
  <c r="K116" i="10"/>
  <c r="J116" i="10"/>
  <c r="F116" i="10"/>
  <c r="H116" i="10" s="1"/>
  <c r="E116" i="10"/>
  <c r="B116" i="10"/>
  <c r="C116" i="10" s="1"/>
  <c r="A116" i="10"/>
  <c r="BX115" i="10"/>
  <c r="BW115" i="10"/>
  <c r="BV115" i="10"/>
  <c r="BT115" i="10" s="1"/>
  <c r="BU115" i="10"/>
  <c r="BS115" i="10"/>
  <c r="BO115" i="10"/>
  <c r="BN115" i="10"/>
  <c r="BQ115" i="10" s="1"/>
  <c r="BL115" i="10"/>
  <c r="BK115" i="10"/>
  <c r="BJ115" i="10"/>
  <c r="BI115" i="10" s="1"/>
  <c r="BH115" i="10"/>
  <c r="BG115" i="10"/>
  <c r="BF115" i="10"/>
  <c r="BE115" i="10"/>
  <c r="BD115" i="10"/>
  <c r="AY115" i="10"/>
  <c r="BB115" i="10" s="1"/>
  <c r="AW115" i="10"/>
  <c r="AU115" i="10" s="1"/>
  <c r="AX115" i="10" s="1"/>
  <c r="BA115" i="10" s="1"/>
  <c r="AV115" i="10"/>
  <c r="AT115" i="10"/>
  <c r="AS115" i="10"/>
  <c r="AR115" i="10"/>
  <c r="AQ115" i="10"/>
  <c r="AP115" i="10"/>
  <c r="AO115" i="10"/>
  <c r="AM115" i="10" s="1"/>
  <c r="AN115" i="10"/>
  <c r="AL115" i="10"/>
  <c r="AI115" i="10"/>
  <c r="AK115" i="10" s="1"/>
  <c r="AH115" i="10"/>
  <c r="AG115" i="10"/>
  <c r="AF115" i="10"/>
  <c r="AB115" i="10"/>
  <c r="AA115" i="10"/>
  <c r="Z115" i="10"/>
  <c r="X115" i="10"/>
  <c r="Y115" i="10" s="1"/>
  <c r="U115" i="10"/>
  <c r="T115" i="10"/>
  <c r="S115" i="10" s="1"/>
  <c r="Q115" i="10"/>
  <c r="R115" i="10" s="1"/>
  <c r="N115" i="10"/>
  <c r="M115" i="10"/>
  <c r="L115" i="10"/>
  <c r="J115" i="10"/>
  <c r="K115" i="10" s="1"/>
  <c r="P115" i="10" s="1"/>
  <c r="H115" i="10"/>
  <c r="G115" i="10"/>
  <c r="F115" i="10"/>
  <c r="C115" i="10"/>
  <c r="B115" i="10"/>
  <c r="D115" i="10" s="1"/>
  <c r="A115" i="10"/>
  <c r="BX114" i="10"/>
  <c r="BW114" i="10"/>
  <c r="BV114" i="10"/>
  <c r="BT114" i="10" s="1"/>
  <c r="BU114" i="10"/>
  <c r="BS114" i="10"/>
  <c r="BO114" i="10"/>
  <c r="BN114" i="10"/>
  <c r="BQ114" i="10" s="1"/>
  <c r="BL114" i="10"/>
  <c r="BK114" i="10"/>
  <c r="BJ114" i="10"/>
  <c r="BI114" i="10"/>
  <c r="BH114" i="10"/>
  <c r="BG114" i="10"/>
  <c r="BF114" i="10"/>
  <c r="BD114" i="10"/>
  <c r="BA114" i="10"/>
  <c r="AY114" i="10"/>
  <c r="AX114" i="10"/>
  <c r="AW114" i="10"/>
  <c r="AV114" i="10"/>
  <c r="AU114" i="10"/>
  <c r="AT114" i="10"/>
  <c r="AS114" i="10"/>
  <c r="AZ114" i="10" s="1"/>
  <c r="BC114" i="10" s="1"/>
  <c r="AR114" i="10"/>
  <c r="AQ114" i="10"/>
  <c r="AP114" i="10"/>
  <c r="AO114" i="10"/>
  <c r="AN114" i="10"/>
  <c r="AM114" i="10"/>
  <c r="AL114" i="10"/>
  <c r="AI114" i="10"/>
  <c r="AF114" i="10"/>
  <c r="AB114" i="10"/>
  <c r="AA114" i="10"/>
  <c r="AH114" i="10" s="1"/>
  <c r="Z114" i="10"/>
  <c r="Y114" i="10"/>
  <c r="X114" i="10"/>
  <c r="U114" i="10"/>
  <c r="T114" i="10"/>
  <c r="S114" i="10"/>
  <c r="Q114" i="10"/>
  <c r="R114" i="10" s="1"/>
  <c r="N114" i="10"/>
  <c r="M114" i="10"/>
  <c r="L114" i="10" s="1"/>
  <c r="K114" i="10"/>
  <c r="J114" i="10"/>
  <c r="H114" i="10"/>
  <c r="G114" i="10"/>
  <c r="F114" i="10"/>
  <c r="B114" i="10"/>
  <c r="A114" i="10"/>
  <c r="BX113" i="10"/>
  <c r="BW113" i="10"/>
  <c r="BV113" i="10"/>
  <c r="BU113" i="10"/>
  <c r="BT113" i="10"/>
  <c r="BS113" i="10"/>
  <c r="BQ113" i="10"/>
  <c r="BO113" i="10"/>
  <c r="BM113" i="10" s="1"/>
  <c r="BN113" i="10"/>
  <c r="BL113" i="10"/>
  <c r="BK113" i="10"/>
  <c r="BJ113" i="10"/>
  <c r="BI113" i="10"/>
  <c r="BH113" i="10"/>
  <c r="BG113" i="10"/>
  <c r="BE113" i="10" s="1"/>
  <c r="BF113" i="10"/>
  <c r="BD113" i="10"/>
  <c r="AZ113" i="10"/>
  <c r="AY113" i="10"/>
  <c r="BB113" i="10" s="1"/>
  <c r="AW113" i="10"/>
  <c r="AV113" i="10"/>
  <c r="AU113" i="10" s="1"/>
  <c r="AX113" i="10" s="1"/>
  <c r="BA113" i="10" s="1"/>
  <c r="AT113" i="10"/>
  <c r="AS113" i="10"/>
  <c r="AQ113" i="10" s="1"/>
  <c r="AR113" i="10"/>
  <c r="AP113" i="10"/>
  <c r="AO113" i="10"/>
  <c r="AN113" i="10"/>
  <c r="AM113" i="10" s="1"/>
  <c r="AL113" i="10"/>
  <c r="AF113" i="10"/>
  <c r="AB113" i="10"/>
  <c r="AI113" i="10" s="1"/>
  <c r="AA113" i="10"/>
  <c r="AH113" i="10" s="1"/>
  <c r="Z113" i="10"/>
  <c r="Y113" i="10"/>
  <c r="X113" i="10"/>
  <c r="U113" i="10"/>
  <c r="T113" i="10"/>
  <c r="S113" i="10"/>
  <c r="Q113" i="10"/>
  <c r="R113" i="10" s="1"/>
  <c r="V113" i="10" s="1"/>
  <c r="N113" i="10"/>
  <c r="O113" i="10" s="1"/>
  <c r="M113" i="10"/>
  <c r="L113" i="10"/>
  <c r="K113" i="10"/>
  <c r="J113" i="10"/>
  <c r="H113" i="10"/>
  <c r="G113" i="10"/>
  <c r="F113" i="10"/>
  <c r="C113" i="10"/>
  <c r="B113" i="10"/>
  <c r="A113" i="10"/>
  <c r="BX112" i="10"/>
  <c r="BW112" i="10"/>
  <c r="BV112" i="10"/>
  <c r="BU112" i="10"/>
  <c r="BT112" i="10" s="1"/>
  <c r="BS112" i="10"/>
  <c r="BR112" i="10"/>
  <c r="BO112" i="10"/>
  <c r="BN112" i="10"/>
  <c r="BM112" i="10"/>
  <c r="BL112" i="10"/>
  <c r="BK112" i="10"/>
  <c r="BJ112" i="10"/>
  <c r="BQ112" i="10" s="1"/>
  <c r="BP112" i="10" s="1"/>
  <c r="BH112" i="10"/>
  <c r="BG112" i="10"/>
  <c r="BF112" i="10"/>
  <c r="BE112" i="10"/>
  <c r="BD112" i="10"/>
  <c r="BA112" i="10"/>
  <c r="AZ112" i="10"/>
  <c r="BC112" i="10" s="1"/>
  <c r="AW112" i="10"/>
  <c r="AV112" i="10"/>
  <c r="AU112" i="10"/>
  <c r="AX112" i="10" s="1"/>
  <c r="AT112" i="10"/>
  <c r="AS112" i="10"/>
  <c r="AR112" i="10"/>
  <c r="AP112" i="10"/>
  <c r="AO112" i="10"/>
  <c r="AN112" i="10"/>
  <c r="AM112" i="10"/>
  <c r="AL112" i="10"/>
  <c r="AF112" i="10"/>
  <c r="AB112" i="10"/>
  <c r="AI112" i="10" s="1"/>
  <c r="AA112" i="10"/>
  <c r="Y112" i="10"/>
  <c r="X112" i="10"/>
  <c r="U112" i="10"/>
  <c r="T112" i="10"/>
  <c r="S112" i="10" s="1"/>
  <c r="R112" i="10"/>
  <c r="Q112" i="10"/>
  <c r="N112" i="10"/>
  <c r="M112" i="10"/>
  <c r="L112" i="10"/>
  <c r="J112" i="10"/>
  <c r="K112" i="10" s="1"/>
  <c r="F112" i="10"/>
  <c r="G112" i="10" s="1"/>
  <c r="D112" i="10"/>
  <c r="C112" i="10"/>
  <c r="B112" i="10"/>
  <c r="E112" i="10" s="1"/>
  <c r="A112" i="10"/>
  <c r="BX111" i="10"/>
  <c r="BW111" i="10"/>
  <c r="BV111" i="10"/>
  <c r="BU111" i="10"/>
  <c r="BT111" i="10"/>
  <c r="BS111" i="10"/>
  <c r="BO111" i="10"/>
  <c r="BN111" i="10"/>
  <c r="BM111" i="10" s="1"/>
  <c r="BL111" i="10"/>
  <c r="BK111" i="10"/>
  <c r="BR111" i="10" s="1"/>
  <c r="BJ111" i="10"/>
  <c r="BQ111" i="10" s="1"/>
  <c r="BH111" i="10"/>
  <c r="BG111" i="10"/>
  <c r="BF111" i="10"/>
  <c r="BE111" i="10" s="1"/>
  <c r="BD111" i="10"/>
  <c r="BA111" i="10"/>
  <c r="AW111" i="10"/>
  <c r="AV111" i="10"/>
  <c r="AU111" i="10"/>
  <c r="AX111" i="10" s="1"/>
  <c r="AT111" i="10"/>
  <c r="AS111" i="10"/>
  <c r="AQ111" i="10" s="1"/>
  <c r="AR111" i="10"/>
  <c r="AP111" i="10"/>
  <c r="AO111" i="10"/>
  <c r="AN111" i="10"/>
  <c r="AM111" i="10" s="1"/>
  <c r="AL111" i="10"/>
  <c r="AF111" i="10"/>
  <c r="AE111" i="10"/>
  <c r="AB111" i="10"/>
  <c r="AA111" i="10"/>
  <c r="AH111" i="10" s="1"/>
  <c r="X111" i="10"/>
  <c r="Y111" i="10" s="1"/>
  <c r="U111" i="10"/>
  <c r="W111" i="10" s="1"/>
  <c r="T111" i="10"/>
  <c r="S111" i="10"/>
  <c r="R111" i="10"/>
  <c r="Q111" i="10"/>
  <c r="N111" i="10"/>
  <c r="M111" i="10"/>
  <c r="K111" i="10"/>
  <c r="J111" i="10"/>
  <c r="G111" i="10"/>
  <c r="F111" i="10"/>
  <c r="H111" i="10" s="1"/>
  <c r="E111" i="10"/>
  <c r="D111" i="10"/>
  <c r="C111" i="10"/>
  <c r="B111" i="10"/>
  <c r="A111" i="10"/>
  <c r="BX110" i="10"/>
  <c r="BW110" i="10"/>
  <c r="BV110" i="10"/>
  <c r="BU110" i="10"/>
  <c r="BT110" i="10"/>
  <c r="BS110" i="10"/>
  <c r="BO110" i="10"/>
  <c r="BN110" i="10"/>
  <c r="BM110" i="10"/>
  <c r="BL110" i="10"/>
  <c r="BK110" i="10"/>
  <c r="BJ110" i="10"/>
  <c r="BH110" i="10"/>
  <c r="BG110" i="10"/>
  <c r="BF110" i="10"/>
  <c r="BE110" i="10"/>
  <c r="BD110" i="10"/>
  <c r="AW110" i="10"/>
  <c r="AV110" i="10"/>
  <c r="AT110" i="10"/>
  <c r="AS110" i="10"/>
  <c r="AR110" i="10"/>
  <c r="AQ110" i="10"/>
  <c r="AP110" i="10"/>
  <c r="AO110" i="10"/>
  <c r="AM110" i="10" s="1"/>
  <c r="AN110" i="10"/>
  <c r="AL110" i="10"/>
  <c r="AF110" i="10"/>
  <c r="AE110" i="10"/>
  <c r="AB110" i="10"/>
  <c r="AA110" i="10"/>
  <c r="Y110" i="10"/>
  <c r="X110" i="10"/>
  <c r="U110" i="10"/>
  <c r="T110" i="10"/>
  <c r="AH110" i="10" s="1"/>
  <c r="Q110" i="10"/>
  <c r="R110" i="10" s="1"/>
  <c r="O110" i="10"/>
  <c r="N110" i="10"/>
  <c r="P110" i="10" s="1"/>
  <c r="M110" i="10"/>
  <c r="K110" i="10"/>
  <c r="J110" i="10"/>
  <c r="F110" i="10"/>
  <c r="E110" i="10"/>
  <c r="D110" i="10"/>
  <c r="C110" i="10"/>
  <c r="B110" i="10"/>
  <c r="A110" i="10"/>
  <c r="BX109" i="10"/>
  <c r="BW109" i="10"/>
  <c r="BV109" i="10"/>
  <c r="BU109" i="10"/>
  <c r="BT109" i="10"/>
  <c r="BS109" i="10"/>
  <c r="BO109" i="10"/>
  <c r="BN109" i="10"/>
  <c r="BQ109" i="10" s="1"/>
  <c r="BM109" i="10"/>
  <c r="BL109" i="10"/>
  <c r="BK109" i="10"/>
  <c r="BI109" i="10" s="1"/>
  <c r="BJ109" i="10"/>
  <c r="BH109" i="10"/>
  <c r="BG109" i="10"/>
  <c r="BF109" i="10"/>
  <c r="BE109" i="10"/>
  <c r="BD109" i="10"/>
  <c r="AW109" i="10"/>
  <c r="AU109" i="10" s="1"/>
  <c r="AX109" i="10" s="1"/>
  <c r="BA109" i="10" s="1"/>
  <c r="AV109" i="10"/>
  <c r="AY109" i="10" s="1"/>
  <c r="AT109" i="10"/>
  <c r="AS109" i="10"/>
  <c r="AR109" i="10"/>
  <c r="AQ109" i="10" s="1"/>
  <c r="AP109" i="10"/>
  <c r="AO109" i="10"/>
  <c r="AN109" i="10"/>
  <c r="AM109" i="10"/>
  <c r="AL109" i="10"/>
  <c r="AF109" i="10"/>
  <c r="AE109" i="10"/>
  <c r="AB109" i="10"/>
  <c r="AA109" i="10"/>
  <c r="Z109" i="10"/>
  <c r="X109" i="10"/>
  <c r="Y109" i="10" s="1"/>
  <c r="U109" i="10"/>
  <c r="T109" i="10"/>
  <c r="R109" i="10"/>
  <c r="Q109" i="10"/>
  <c r="P109" i="10"/>
  <c r="N109" i="10"/>
  <c r="M109" i="10"/>
  <c r="AH109" i="10" s="1"/>
  <c r="J109" i="10"/>
  <c r="K109" i="10" s="1"/>
  <c r="O109" i="10" s="1"/>
  <c r="F109" i="10"/>
  <c r="H109" i="10" s="1"/>
  <c r="E109" i="10"/>
  <c r="D109" i="10"/>
  <c r="C109" i="10"/>
  <c r="B109" i="10"/>
  <c r="A109" i="10"/>
  <c r="BX108" i="10"/>
  <c r="BW108" i="10"/>
  <c r="BV108" i="10"/>
  <c r="BU108" i="10"/>
  <c r="BT108" i="10"/>
  <c r="BS108" i="10"/>
  <c r="BO108" i="10"/>
  <c r="BN108" i="10"/>
  <c r="BM108" i="10"/>
  <c r="BL108" i="10"/>
  <c r="BK108" i="10"/>
  <c r="BJ108" i="10"/>
  <c r="BI108" i="10"/>
  <c r="BH108" i="10"/>
  <c r="BG108" i="10"/>
  <c r="BF108" i="10"/>
  <c r="BE108" i="10"/>
  <c r="BD108" i="10"/>
  <c r="AW108" i="10"/>
  <c r="AV108" i="10"/>
  <c r="AT108" i="10"/>
  <c r="AS108" i="10"/>
  <c r="AR108" i="10"/>
  <c r="AQ108" i="10"/>
  <c r="AP108" i="10"/>
  <c r="AO108" i="10"/>
  <c r="AN108" i="10"/>
  <c r="AY108" i="10" s="1"/>
  <c r="BB108" i="10" s="1"/>
  <c r="AL108" i="10"/>
  <c r="AH108" i="10"/>
  <c r="AF108" i="10"/>
  <c r="AB108" i="10"/>
  <c r="AA108" i="10"/>
  <c r="Z108" i="10" s="1"/>
  <c r="Y108" i="10"/>
  <c r="X108" i="10"/>
  <c r="U108" i="10"/>
  <c r="T108" i="10"/>
  <c r="S108" i="10"/>
  <c r="Q108" i="10"/>
  <c r="R108" i="10" s="1"/>
  <c r="W108" i="10" s="1"/>
  <c r="P108" i="10"/>
  <c r="O108" i="10"/>
  <c r="N108" i="10"/>
  <c r="L108" i="10" s="1"/>
  <c r="M108" i="10"/>
  <c r="K108" i="10"/>
  <c r="J108" i="10"/>
  <c r="F108" i="10"/>
  <c r="H108" i="10" s="1"/>
  <c r="E108" i="10"/>
  <c r="B108" i="10"/>
  <c r="C108" i="10" s="1"/>
  <c r="A108" i="10"/>
  <c r="BX107" i="10"/>
  <c r="BW107" i="10"/>
  <c r="BV107" i="10"/>
  <c r="BT107" i="10" s="1"/>
  <c r="BU107" i="10"/>
  <c r="BS107" i="10"/>
  <c r="BO107" i="10"/>
  <c r="BN107" i="10"/>
  <c r="BQ107" i="10" s="1"/>
  <c r="BM107" i="10"/>
  <c r="BL107" i="10"/>
  <c r="BK107" i="10"/>
  <c r="BJ107" i="10"/>
  <c r="BI107" i="10" s="1"/>
  <c r="BH107" i="10"/>
  <c r="BG107" i="10"/>
  <c r="BE107" i="10" s="1"/>
  <c r="BF107" i="10"/>
  <c r="BD107" i="10"/>
  <c r="AY107" i="10"/>
  <c r="BB107" i="10" s="1"/>
  <c r="AW107" i="10"/>
  <c r="AU107" i="10" s="1"/>
  <c r="AX107" i="10" s="1"/>
  <c r="BA107" i="10" s="1"/>
  <c r="AV107" i="10"/>
  <c r="AT107" i="10"/>
  <c r="AS107" i="10"/>
  <c r="AR107" i="10"/>
  <c r="AQ107" i="10"/>
  <c r="AP107" i="10"/>
  <c r="AO107" i="10"/>
  <c r="AM107" i="10" s="1"/>
  <c r="AN107" i="10"/>
  <c r="AL107" i="10"/>
  <c r="AI107" i="10"/>
  <c r="AK107" i="10" s="1"/>
  <c r="AH107" i="10"/>
  <c r="AG107" i="10"/>
  <c r="AF107" i="10"/>
  <c r="AB107" i="10"/>
  <c r="AA107" i="10"/>
  <c r="Z107" i="10"/>
  <c r="X107" i="10"/>
  <c r="Y107" i="10" s="1"/>
  <c r="U107" i="10"/>
  <c r="T107" i="10"/>
  <c r="S107" i="10" s="1"/>
  <c r="Q107" i="10"/>
  <c r="R107" i="10" s="1"/>
  <c r="N107" i="10"/>
  <c r="M107" i="10"/>
  <c r="L107" i="10"/>
  <c r="J107" i="10"/>
  <c r="K107" i="10" s="1"/>
  <c r="P107" i="10" s="1"/>
  <c r="H107" i="10"/>
  <c r="G107" i="10"/>
  <c r="F107" i="10"/>
  <c r="C107" i="10"/>
  <c r="B107" i="10"/>
  <c r="D107" i="10" s="1"/>
  <c r="A107" i="10"/>
  <c r="BX106" i="10"/>
  <c r="BW106" i="10"/>
  <c r="BV106" i="10"/>
  <c r="BT106" i="10" s="1"/>
  <c r="BU106" i="10"/>
  <c r="BS106" i="10"/>
  <c r="BO106" i="10"/>
  <c r="BN106" i="10"/>
  <c r="BQ106" i="10" s="1"/>
  <c r="BL106" i="10"/>
  <c r="BK106" i="10"/>
  <c r="BJ106" i="10"/>
  <c r="BI106" i="10"/>
  <c r="BH106" i="10"/>
  <c r="BG106" i="10"/>
  <c r="BF106" i="10"/>
  <c r="BD106" i="10"/>
  <c r="AY106" i="10"/>
  <c r="AW106" i="10"/>
  <c r="AV106" i="10"/>
  <c r="AU106" i="10"/>
  <c r="AT106" i="10"/>
  <c r="AS106" i="10"/>
  <c r="AZ106" i="10" s="1"/>
  <c r="BC106" i="10" s="1"/>
  <c r="AR106" i="10"/>
  <c r="AQ106" i="10"/>
  <c r="AX106" i="10" s="1"/>
  <c r="AP106" i="10"/>
  <c r="AO106" i="10"/>
  <c r="AN106" i="10"/>
  <c r="AM106" i="10"/>
  <c r="AL106" i="10"/>
  <c r="AI106" i="10"/>
  <c r="AF106" i="10"/>
  <c r="AB106" i="10"/>
  <c r="AA106" i="10"/>
  <c r="AH106" i="10" s="1"/>
  <c r="Z106" i="10"/>
  <c r="Y106" i="10"/>
  <c r="X106" i="10"/>
  <c r="U106" i="10"/>
  <c r="T106" i="10"/>
  <c r="S106" i="10"/>
  <c r="Q106" i="10"/>
  <c r="R106" i="10" s="1"/>
  <c r="N106" i="10"/>
  <c r="M106" i="10"/>
  <c r="L106" i="10" s="1"/>
  <c r="K106" i="10"/>
  <c r="J106" i="10"/>
  <c r="H106" i="10"/>
  <c r="G106" i="10"/>
  <c r="F106" i="10"/>
  <c r="B106" i="10"/>
  <c r="A106" i="10"/>
  <c r="BX105" i="10"/>
  <c r="BW105" i="10"/>
  <c r="BV105" i="10"/>
  <c r="BU105" i="10"/>
  <c r="BT105" i="10"/>
  <c r="BS105" i="10"/>
  <c r="BQ105" i="10"/>
  <c r="BO105" i="10"/>
  <c r="BM105" i="10" s="1"/>
  <c r="BN105" i="10"/>
  <c r="BL105" i="10"/>
  <c r="BK105" i="10"/>
  <c r="BJ105" i="10"/>
  <c r="BI105" i="10"/>
  <c r="BH105" i="10"/>
  <c r="BG105" i="10"/>
  <c r="BE105" i="10" s="1"/>
  <c r="BF105" i="10"/>
  <c r="BD105" i="10"/>
  <c r="AZ105" i="10"/>
  <c r="AY105" i="10"/>
  <c r="BB105" i="10" s="1"/>
  <c r="AW105" i="10"/>
  <c r="AV105" i="10"/>
  <c r="AU105" i="10" s="1"/>
  <c r="AX105" i="10" s="1"/>
  <c r="BA105" i="10" s="1"/>
  <c r="AT105" i="10"/>
  <c r="AS105" i="10"/>
  <c r="AQ105" i="10" s="1"/>
  <c r="AR105" i="10"/>
  <c r="AP105" i="10"/>
  <c r="AO105" i="10"/>
  <c r="AN105" i="10"/>
  <c r="AM105" i="10" s="1"/>
  <c r="AL105" i="10"/>
  <c r="AF105" i="10"/>
  <c r="AB105" i="10"/>
  <c r="AI105" i="10" s="1"/>
  <c r="AA105" i="10"/>
  <c r="AH105" i="10" s="1"/>
  <c r="Z105" i="10"/>
  <c r="Y105" i="10"/>
  <c r="X105" i="10"/>
  <c r="U105" i="10"/>
  <c r="T105" i="10"/>
  <c r="S105" i="10"/>
  <c r="Q105" i="10"/>
  <c r="R105" i="10" s="1"/>
  <c r="V105" i="10" s="1"/>
  <c r="N105" i="10"/>
  <c r="O105" i="10" s="1"/>
  <c r="M105" i="10"/>
  <c r="L105" i="10"/>
  <c r="K105" i="10"/>
  <c r="J105" i="10"/>
  <c r="H105" i="10"/>
  <c r="G105" i="10"/>
  <c r="F105" i="10"/>
  <c r="C105" i="10"/>
  <c r="B105" i="10"/>
  <c r="A105" i="10"/>
  <c r="BX104" i="10"/>
  <c r="BW104" i="10"/>
  <c r="BV104" i="10"/>
  <c r="BU104" i="10"/>
  <c r="BT104" i="10" s="1"/>
  <c r="BS104" i="10"/>
  <c r="BR104" i="10"/>
  <c r="BO104" i="10"/>
  <c r="BN104" i="10"/>
  <c r="BM104" i="10"/>
  <c r="BL104" i="10"/>
  <c r="BK104" i="10"/>
  <c r="BJ104" i="10"/>
  <c r="BQ104" i="10" s="1"/>
  <c r="BP104" i="10" s="1"/>
  <c r="BH104" i="10"/>
  <c r="BG104" i="10"/>
  <c r="BF104" i="10"/>
  <c r="BE104" i="10"/>
  <c r="BD104" i="10"/>
  <c r="BA104" i="10"/>
  <c r="AZ104" i="10"/>
  <c r="BC104" i="10" s="1"/>
  <c r="AW104" i="10"/>
  <c r="AV104" i="10"/>
  <c r="AU104" i="10"/>
  <c r="AX104" i="10" s="1"/>
  <c r="AT104" i="10"/>
  <c r="AS104" i="10"/>
  <c r="AR104" i="10"/>
  <c r="AP104" i="10"/>
  <c r="AO104" i="10"/>
  <c r="AN104" i="10"/>
  <c r="AM104" i="10"/>
  <c r="AL104" i="10"/>
  <c r="AF104" i="10"/>
  <c r="AB104" i="10"/>
  <c r="AI104" i="10" s="1"/>
  <c r="AA104" i="10"/>
  <c r="Y104" i="10"/>
  <c r="X104" i="10"/>
  <c r="U104" i="10"/>
  <c r="T104" i="10"/>
  <c r="S104" i="10" s="1"/>
  <c r="R104" i="10"/>
  <c r="Q104" i="10"/>
  <c r="N104" i="10"/>
  <c r="M104" i="10"/>
  <c r="L104" i="10"/>
  <c r="J104" i="10"/>
  <c r="K104" i="10" s="1"/>
  <c r="F104" i="10"/>
  <c r="G104" i="10" s="1"/>
  <c r="D104" i="10"/>
  <c r="C104" i="10"/>
  <c r="B104" i="10"/>
  <c r="E104" i="10" s="1"/>
  <c r="A104" i="10"/>
  <c r="BX103" i="10"/>
  <c r="BW103" i="10"/>
  <c r="BV103" i="10"/>
  <c r="BU103" i="10"/>
  <c r="BT103" i="10"/>
  <c r="BS103" i="10"/>
  <c r="BO103" i="10"/>
  <c r="BN103" i="10"/>
  <c r="BM103" i="10" s="1"/>
  <c r="BL103" i="10"/>
  <c r="BK103" i="10"/>
  <c r="BR103" i="10" s="1"/>
  <c r="BJ103" i="10"/>
  <c r="BQ103" i="10" s="1"/>
  <c r="BH103" i="10"/>
  <c r="BG103" i="10"/>
  <c r="BF103" i="10"/>
  <c r="BE103" i="10" s="1"/>
  <c r="BD103" i="10"/>
  <c r="AW103" i="10"/>
  <c r="AV103" i="10"/>
  <c r="AU103" i="10"/>
  <c r="AT103" i="10"/>
  <c r="AS103" i="10"/>
  <c r="AQ103" i="10" s="1"/>
  <c r="AR103" i="10"/>
  <c r="AP103" i="10"/>
  <c r="AO103" i="10"/>
  <c r="AN103" i="10"/>
  <c r="AM103" i="10" s="1"/>
  <c r="AL103" i="10"/>
  <c r="AF103" i="10"/>
  <c r="AE103" i="10"/>
  <c r="AB103" i="10"/>
  <c r="AA103" i="10"/>
  <c r="AH103" i="10" s="1"/>
  <c r="X103" i="10"/>
  <c r="Y103" i="10" s="1"/>
  <c r="U103" i="10"/>
  <c r="W103" i="10" s="1"/>
  <c r="T103" i="10"/>
  <c r="S103" i="10"/>
  <c r="R103" i="10"/>
  <c r="Q103" i="10"/>
  <c r="N103" i="10"/>
  <c r="M103" i="10"/>
  <c r="K103" i="10"/>
  <c r="J103" i="10"/>
  <c r="G103" i="10"/>
  <c r="F103" i="10"/>
  <c r="H103" i="10" s="1"/>
  <c r="E103" i="10"/>
  <c r="D103" i="10"/>
  <c r="C103" i="10"/>
  <c r="B103" i="10"/>
  <c r="A103" i="10"/>
  <c r="BX102" i="10"/>
  <c r="BW102" i="10"/>
  <c r="BV102" i="10"/>
  <c r="BU102" i="10"/>
  <c r="BT102" i="10"/>
  <c r="BS102" i="10"/>
  <c r="BO102" i="10"/>
  <c r="BN102" i="10"/>
  <c r="BM102" i="10"/>
  <c r="BL102" i="10"/>
  <c r="BK102" i="10"/>
  <c r="BJ102" i="10"/>
  <c r="BH102" i="10"/>
  <c r="BG102" i="10"/>
  <c r="BF102" i="10"/>
  <c r="BE102" i="10"/>
  <c r="BD102" i="10"/>
  <c r="AW102" i="10"/>
  <c r="AV102" i="10"/>
  <c r="AT102" i="10"/>
  <c r="AS102" i="10"/>
  <c r="AR102" i="10"/>
  <c r="AQ102" i="10"/>
  <c r="AP102" i="10"/>
  <c r="AO102" i="10"/>
  <c r="AM102" i="10" s="1"/>
  <c r="AN102" i="10"/>
  <c r="AL102" i="10"/>
  <c r="AF102" i="10"/>
  <c r="AE102" i="10"/>
  <c r="AB102" i="10"/>
  <c r="AA102" i="10"/>
  <c r="Y102" i="10"/>
  <c r="X102" i="10"/>
  <c r="U102" i="10"/>
  <c r="T102" i="10"/>
  <c r="AH102" i="10" s="1"/>
  <c r="Q102" i="10"/>
  <c r="R102" i="10" s="1"/>
  <c r="O102" i="10"/>
  <c r="N102" i="10"/>
  <c r="P102" i="10" s="1"/>
  <c r="M102" i="10"/>
  <c r="K102" i="10"/>
  <c r="J102" i="10"/>
  <c r="F102" i="10"/>
  <c r="E102" i="10"/>
  <c r="D102" i="10"/>
  <c r="C102" i="10"/>
  <c r="B102" i="10"/>
  <c r="A102" i="10"/>
  <c r="BX101" i="10"/>
  <c r="BW101" i="10"/>
  <c r="BV101" i="10"/>
  <c r="BU101" i="10"/>
  <c r="BT101" i="10"/>
  <c r="BS101" i="10"/>
  <c r="BO101" i="10"/>
  <c r="BN101" i="10"/>
  <c r="BQ101" i="10" s="1"/>
  <c r="BM101" i="10"/>
  <c r="BL101" i="10"/>
  <c r="BK101" i="10"/>
  <c r="BI101" i="10" s="1"/>
  <c r="BJ101" i="10"/>
  <c r="BH101" i="10"/>
  <c r="BG101" i="10"/>
  <c r="BF101" i="10"/>
  <c r="BE101" i="10"/>
  <c r="BD101" i="10"/>
  <c r="AW101" i="10"/>
  <c r="AU101" i="10" s="1"/>
  <c r="AX101" i="10" s="1"/>
  <c r="BA101" i="10" s="1"/>
  <c r="AV101" i="10"/>
  <c r="AY101" i="10" s="1"/>
  <c r="AT101" i="10"/>
  <c r="AS101" i="10"/>
  <c r="AR101" i="10"/>
  <c r="AQ101" i="10" s="1"/>
  <c r="AP101" i="10"/>
  <c r="AO101" i="10"/>
  <c r="AN101" i="10"/>
  <c r="AM101" i="10"/>
  <c r="AL101" i="10"/>
  <c r="AF101" i="10"/>
  <c r="AE101" i="10"/>
  <c r="AB101" i="10"/>
  <c r="AA101" i="10"/>
  <c r="Z101" i="10"/>
  <c r="X101" i="10"/>
  <c r="Y101" i="10" s="1"/>
  <c r="U101" i="10"/>
  <c r="T101" i="10"/>
  <c r="R101" i="10"/>
  <c r="Q101" i="10"/>
  <c r="P101" i="10"/>
  <c r="O101" i="10"/>
  <c r="N101" i="10"/>
  <c r="M101" i="10"/>
  <c r="AH101" i="10" s="1"/>
  <c r="J101" i="10"/>
  <c r="K101" i="10" s="1"/>
  <c r="F101" i="10"/>
  <c r="H101" i="10" s="1"/>
  <c r="E101" i="10"/>
  <c r="D101" i="10"/>
  <c r="C101" i="10"/>
  <c r="B101" i="10"/>
  <c r="A101" i="10"/>
  <c r="BX100" i="10"/>
  <c r="BW100" i="10"/>
  <c r="BV100" i="10"/>
  <c r="BU100" i="10"/>
  <c r="BT100" i="10"/>
  <c r="BS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AW100" i="10"/>
  <c r="AV100" i="10"/>
  <c r="AT100" i="10"/>
  <c r="AS100" i="10"/>
  <c r="AR100" i="10"/>
  <c r="AQ100" i="10"/>
  <c r="AP100" i="10"/>
  <c r="AO100" i="10"/>
  <c r="AN100" i="10"/>
  <c r="AY100" i="10" s="1"/>
  <c r="BB100" i="10" s="1"/>
  <c r="AL100" i="10"/>
  <c r="AH100" i="10"/>
  <c r="AF100" i="10"/>
  <c r="AB100" i="10"/>
  <c r="AA100" i="10"/>
  <c r="Z100" i="10" s="1"/>
  <c r="Y100" i="10"/>
  <c r="X100" i="10"/>
  <c r="U100" i="10"/>
  <c r="T100" i="10"/>
  <c r="S100" i="10"/>
  <c r="Q100" i="10"/>
  <c r="R100" i="10" s="1"/>
  <c r="W100" i="10" s="1"/>
  <c r="P100" i="10"/>
  <c r="O100" i="10"/>
  <c r="N100" i="10"/>
  <c r="L100" i="10" s="1"/>
  <c r="M100" i="10"/>
  <c r="K100" i="10"/>
  <c r="J100" i="10"/>
  <c r="F100" i="10"/>
  <c r="H100" i="10" s="1"/>
  <c r="E100" i="10"/>
  <c r="B100" i="10"/>
  <c r="C100" i="10" s="1"/>
  <c r="A100" i="10"/>
  <c r="BX99" i="10"/>
  <c r="BW99" i="10"/>
  <c r="BV99" i="10"/>
  <c r="BT99" i="10" s="1"/>
  <c r="BU99" i="10"/>
  <c r="BS99" i="10"/>
  <c r="BO99" i="10"/>
  <c r="BN99" i="10"/>
  <c r="BQ99" i="10" s="1"/>
  <c r="BM99" i="10"/>
  <c r="BL99" i="10"/>
  <c r="BK99" i="10"/>
  <c r="BJ99" i="10"/>
  <c r="BI99" i="10" s="1"/>
  <c r="BH99" i="10"/>
  <c r="BG99" i="10"/>
  <c r="BE99" i="10" s="1"/>
  <c r="BF99" i="10"/>
  <c r="BD99" i="10"/>
  <c r="AY99" i="10"/>
  <c r="BB99" i="10" s="1"/>
  <c r="AW99" i="10"/>
  <c r="AU99" i="10" s="1"/>
  <c r="AX99" i="10" s="1"/>
  <c r="BA99" i="10" s="1"/>
  <c r="AV99" i="10"/>
  <c r="AT99" i="10"/>
  <c r="AS99" i="10"/>
  <c r="AR99" i="10"/>
  <c r="AQ99" i="10"/>
  <c r="AP99" i="10"/>
  <c r="AO99" i="10"/>
  <c r="AM99" i="10" s="1"/>
  <c r="AN99" i="10"/>
  <c r="AL99" i="10"/>
  <c r="AI99" i="10"/>
  <c r="AK99" i="10" s="1"/>
  <c r="AH99" i="10"/>
  <c r="AG99" i="10"/>
  <c r="AF99" i="10"/>
  <c r="AB99" i="10"/>
  <c r="AA99" i="10"/>
  <c r="Z99" i="10"/>
  <c r="X99" i="10"/>
  <c r="Y99" i="10" s="1"/>
  <c r="U99" i="10"/>
  <c r="T99" i="10"/>
  <c r="S99" i="10" s="1"/>
  <c r="Q99" i="10"/>
  <c r="R99" i="10" s="1"/>
  <c r="N99" i="10"/>
  <c r="M99" i="10"/>
  <c r="L99" i="10"/>
  <c r="J99" i="10"/>
  <c r="K99" i="10" s="1"/>
  <c r="P99" i="10" s="1"/>
  <c r="H99" i="10"/>
  <c r="G99" i="10"/>
  <c r="F99" i="10"/>
  <c r="C99" i="10"/>
  <c r="B99" i="10"/>
  <c r="D99" i="10" s="1"/>
  <c r="A99" i="10"/>
  <c r="BX98" i="10"/>
  <c r="BW98" i="10"/>
  <c r="BV98" i="10"/>
  <c r="BT98" i="10" s="1"/>
  <c r="BU98" i="10"/>
  <c r="BS98" i="10"/>
  <c r="BO98" i="10"/>
  <c r="BN98" i="10"/>
  <c r="BQ98" i="10" s="1"/>
  <c r="BL98" i="10"/>
  <c r="BK98" i="10"/>
  <c r="BJ98" i="10"/>
  <c r="BI98" i="10"/>
  <c r="BH98" i="10"/>
  <c r="BG98" i="10"/>
  <c r="BF98" i="10"/>
  <c r="BD98" i="10"/>
  <c r="BA98" i="10"/>
  <c r="AY98" i="10"/>
  <c r="AX98" i="10"/>
  <c r="AW98" i="10"/>
  <c r="AV98" i="10"/>
  <c r="AU98" i="10"/>
  <c r="AT98" i="10"/>
  <c r="AS98" i="10"/>
  <c r="AZ98" i="10" s="1"/>
  <c r="BC98" i="10" s="1"/>
  <c r="AR98" i="10"/>
  <c r="AQ98" i="10"/>
  <c r="AP98" i="10"/>
  <c r="AO98" i="10"/>
  <c r="AN98" i="10"/>
  <c r="AM98" i="10"/>
  <c r="AL98" i="10"/>
  <c r="AI98" i="10"/>
  <c r="AF98" i="10"/>
  <c r="AB98" i="10"/>
  <c r="AA98" i="10"/>
  <c r="AH98" i="10" s="1"/>
  <c r="Z98" i="10"/>
  <c r="Y98" i="10"/>
  <c r="X98" i="10"/>
  <c r="U98" i="10"/>
  <c r="T98" i="10"/>
  <c r="S98" i="10"/>
  <c r="Q98" i="10"/>
  <c r="R98" i="10" s="1"/>
  <c r="N98" i="10"/>
  <c r="M98" i="10"/>
  <c r="L98" i="10" s="1"/>
  <c r="K98" i="10"/>
  <c r="J98" i="10"/>
  <c r="H98" i="10"/>
  <c r="G98" i="10"/>
  <c r="F98" i="10"/>
  <c r="B98" i="10"/>
  <c r="A98" i="10"/>
  <c r="BX97" i="10"/>
  <c r="BW97" i="10"/>
  <c r="BV97" i="10"/>
  <c r="BU97" i="10"/>
  <c r="BT97" i="10"/>
  <c r="BS97" i="10"/>
  <c r="BQ97" i="10"/>
  <c r="BO97" i="10"/>
  <c r="BM97" i="10" s="1"/>
  <c r="BN97" i="10"/>
  <c r="BL97" i="10"/>
  <c r="BK97" i="10"/>
  <c r="BJ97" i="10"/>
  <c r="BI97" i="10"/>
  <c r="BH97" i="10"/>
  <c r="BG97" i="10"/>
  <c r="BE97" i="10" s="1"/>
  <c r="BF97" i="10"/>
  <c r="BD97" i="10"/>
  <c r="AZ97" i="10"/>
  <c r="AY97" i="10"/>
  <c r="BB97" i="10" s="1"/>
  <c r="AW97" i="10"/>
  <c r="AV97" i="10"/>
  <c r="AU97" i="10" s="1"/>
  <c r="AX97" i="10" s="1"/>
  <c r="BA97" i="10" s="1"/>
  <c r="AT97" i="10"/>
  <c r="AS97" i="10"/>
  <c r="AQ97" i="10" s="1"/>
  <c r="AR97" i="10"/>
  <c r="AP97" i="10"/>
  <c r="AO97" i="10"/>
  <c r="AN97" i="10"/>
  <c r="AM97" i="10" s="1"/>
  <c r="AL97" i="10"/>
  <c r="AF97" i="10"/>
  <c r="AB97" i="10"/>
  <c r="AI97" i="10" s="1"/>
  <c r="AA97" i="10"/>
  <c r="AH97" i="10" s="1"/>
  <c r="Z97" i="10"/>
  <c r="Y97" i="10"/>
  <c r="X97" i="10"/>
  <c r="U97" i="10"/>
  <c r="T97" i="10"/>
  <c r="S97" i="10"/>
  <c r="Q97" i="10"/>
  <c r="R97" i="10" s="1"/>
  <c r="V97" i="10" s="1"/>
  <c r="N97" i="10"/>
  <c r="O97" i="10" s="1"/>
  <c r="M97" i="10"/>
  <c r="L97" i="10"/>
  <c r="K97" i="10"/>
  <c r="J97" i="10"/>
  <c r="H97" i="10"/>
  <c r="G97" i="10"/>
  <c r="F97" i="10"/>
  <c r="C97" i="10"/>
  <c r="B97" i="10"/>
  <c r="A97" i="10"/>
  <c r="BX96" i="10"/>
  <c r="BW96" i="10"/>
  <c r="BV96" i="10"/>
  <c r="BU96" i="10"/>
  <c r="BT96" i="10" s="1"/>
  <c r="BS96" i="10"/>
  <c r="BR96" i="10"/>
  <c r="BO96" i="10"/>
  <c r="BN96" i="10"/>
  <c r="BM96" i="10"/>
  <c r="BL96" i="10"/>
  <c r="BK96" i="10"/>
  <c r="BJ96" i="10"/>
  <c r="BQ96" i="10" s="1"/>
  <c r="BP96" i="10" s="1"/>
  <c r="BH96" i="10"/>
  <c r="BG96" i="10"/>
  <c r="BF96" i="10"/>
  <c r="BE96" i="10"/>
  <c r="BD96" i="10"/>
  <c r="BA96" i="10"/>
  <c r="AZ96" i="10"/>
  <c r="BC96" i="10" s="1"/>
  <c r="AW96" i="10"/>
  <c r="AV96" i="10"/>
  <c r="AU96" i="10"/>
  <c r="AX96" i="10" s="1"/>
  <c r="AT96" i="10"/>
  <c r="AS96" i="10"/>
  <c r="AR96" i="10"/>
  <c r="AP96" i="10"/>
  <c r="AO96" i="10"/>
  <c r="AN96" i="10"/>
  <c r="AM96" i="10"/>
  <c r="AL96" i="10"/>
  <c r="AF96" i="10"/>
  <c r="AB96" i="10"/>
  <c r="AI96" i="10" s="1"/>
  <c r="AA96" i="10"/>
  <c r="Y96" i="10"/>
  <c r="X96" i="10"/>
  <c r="U96" i="10"/>
  <c r="T96" i="10"/>
  <c r="S96" i="10" s="1"/>
  <c r="R96" i="10"/>
  <c r="Q96" i="10"/>
  <c r="N96" i="10"/>
  <c r="M96" i="10"/>
  <c r="L96" i="10"/>
  <c r="J96" i="10"/>
  <c r="K96" i="10" s="1"/>
  <c r="F96" i="10"/>
  <c r="G96" i="10" s="1"/>
  <c r="D96" i="10"/>
  <c r="C96" i="10"/>
  <c r="B96" i="10"/>
  <c r="E96" i="10" s="1"/>
  <c r="A96" i="10"/>
  <c r="BX95" i="10"/>
  <c r="BW95" i="10"/>
  <c r="BV95" i="10"/>
  <c r="BU95" i="10"/>
  <c r="BT95" i="10"/>
  <c r="BS95" i="10"/>
  <c r="BO95" i="10"/>
  <c r="BN95" i="10"/>
  <c r="BM95" i="10" s="1"/>
  <c r="BL95" i="10"/>
  <c r="BK95" i="10"/>
  <c r="BR95" i="10" s="1"/>
  <c r="BJ95" i="10"/>
  <c r="BQ95" i="10" s="1"/>
  <c r="BH95" i="10"/>
  <c r="BG95" i="10"/>
  <c r="BF95" i="10"/>
  <c r="BE95" i="10" s="1"/>
  <c r="BD95" i="10"/>
  <c r="BA95" i="10"/>
  <c r="AW95" i="10"/>
  <c r="AV95" i="10"/>
  <c r="AU95" i="10"/>
  <c r="AX95" i="10" s="1"/>
  <c r="AT95" i="10"/>
  <c r="AS95" i="10"/>
  <c r="AQ95" i="10" s="1"/>
  <c r="AR95" i="10"/>
  <c r="AP95" i="10"/>
  <c r="AO95" i="10"/>
  <c r="AN95" i="10"/>
  <c r="AM95" i="10" s="1"/>
  <c r="AL95" i="10"/>
  <c r="AF95" i="10"/>
  <c r="AE95" i="10"/>
  <c r="AB95" i="10"/>
  <c r="AA95" i="10"/>
  <c r="AH95" i="10" s="1"/>
  <c r="X95" i="10"/>
  <c r="Y95" i="10" s="1"/>
  <c r="U95" i="10"/>
  <c r="W95" i="10" s="1"/>
  <c r="T95" i="10"/>
  <c r="S95" i="10"/>
  <c r="R95" i="10"/>
  <c r="Q95" i="10"/>
  <c r="N95" i="10"/>
  <c r="M95" i="10"/>
  <c r="K95" i="10"/>
  <c r="J95" i="10"/>
  <c r="G95" i="10"/>
  <c r="F95" i="10"/>
  <c r="H95" i="10" s="1"/>
  <c r="E95" i="10"/>
  <c r="D95" i="10"/>
  <c r="C95" i="10"/>
  <c r="B95" i="10"/>
  <c r="A95" i="10"/>
  <c r="BX94" i="10"/>
  <c r="BW94" i="10"/>
  <c r="BV94" i="10"/>
  <c r="BU94" i="10"/>
  <c r="BT94" i="10"/>
  <c r="BS94" i="10"/>
  <c r="BO94" i="10"/>
  <c r="BN94" i="10"/>
  <c r="BM94" i="10"/>
  <c r="BL94" i="10"/>
  <c r="BK94" i="10"/>
  <c r="BJ94" i="10"/>
  <c r="BH94" i="10"/>
  <c r="BG94" i="10"/>
  <c r="BF94" i="10"/>
  <c r="BE94" i="10"/>
  <c r="BD94" i="10"/>
  <c r="AW94" i="10"/>
  <c r="AV94" i="10"/>
  <c r="AT94" i="10"/>
  <c r="AS94" i="10"/>
  <c r="AR94" i="10"/>
  <c r="AQ94" i="10"/>
  <c r="AP94" i="10"/>
  <c r="AO94" i="10"/>
  <c r="AM94" i="10" s="1"/>
  <c r="AN94" i="10"/>
  <c r="AL94" i="10"/>
  <c r="AF94" i="10"/>
  <c r="AE94" i="10"/>
  <c r="AB94" i="10"/>
  <c r="AA94" i="10"/>
  <c r="Y94" i="10"/>
  <c r="X94" i="10"/>
  <c r="U94" i="10"/>
  <c r="T94" i="10"/>
  <c r="AH94" i="10" s="1"/>
  <c r="Q94" i="10"/>
  <c r="R94" i="10" s="1"/>
  <c r="O94" i="10"/>
  <c r="N94" i="10"/>
  <c r="P94" i="10" s="1"/>
  <c r="M94" i="10"/>
  <c r="K94" i="10"/>
  <c r="J94" i="10"/>
  <c r="F94" i="10"/>
  <c r="E94" i="10"/>
  <c r="D94" i="10"/>
  <c r="C94" i="10"/>
  <c r="B94" i="10"/>
  <c r="A94" i="10"/>
  <c r="BX93" i="10"/>
  <c r="BW93" i="10"/>
  <c r="BV93" i="10"/>
  <c r="BU93" i="10"/>
  <c r="BT93" i="10"/>
  <c r="BS93" i="10"/>
  <c r="BO93" i="10"/>
  <c r="BN93" i="10"/>
  <c r="BQ93" i="10" s="1"/>
  <c r="BM93" i="10"/>
  <c r="BL93" i="10"/>
  <c r="BK93" i="10"/>
  <c r="BI93" i="10" s="1"/>
  <c r="BJ93" i="10"/>
  <c r="BH93" i="10"/>
  <c r="BG93" i="10"/>
  <c r="BF93" i="10"/>
  <c r="BE93" i="10"/>
  <c r="BD93" i="10"/>
  <c r="AW93" i="10"/>
  <c r="AU93" i="10" s="1"/>
  <c r="AX93" i="10" s="1"/>
  <c r="AV93" i="10"/>
  <c r="AY93" i="10" s="1"/>
  <c r="AT93" i="10"/>
  <c r="AS93" i="10"/>
  <c r="AR93" i="10"/>
  <c r="AQ93" i="10" s="1"/>
  <c r="AP93" i="10"/>
  <c r="AO93" i="10"/>
  <c r="AN93" i="10"/>
  <c r="AM93" i="10"/>
  <c r="AL93" i="10"/>
  <c r="AF93" i="10"/>
  <c r="AE93" i="10"/>
  <c r="AB93" i="10"/>
  <c r="AA93" i="10"/>
  <c r="Z93" i="10"/>
  <c r="X93" i="10"/>
  <c r="Y93" i="10" s="1"/>
  <c r="U93" i="10"/>
  <c r="T93" i="10"/>
  <c r="R93" i="10"/>
  <c r="Q93" i="10"/>
  <c r="P93" i="10"/>
  <c r="O93" i="10"/>
  <c r="N93" i="10"/>
  <c r="M93" i="10"/>
  <c r="AH93" i="10" s="1"/>
  <c r="J93" i="10"/>
  <c r="K93" i="10" s="1"/>
  <c r="F93" i="10"/>
  <c r="H93" i="10" s="1"/>
  <c r="E93" i="10"/>
  <c r="D93" i="10"/>
  <c r="C93" i="10"/>
  <c r="B93" i="10"/>
  <c r="A93" i="10"/>
  <c r="BX92" i="10"/>
  <c r="BW92" i="10"/>
  <c r="BV92" i="10"/>
  <c r="BU92" i="10"/>
  <c r="BT92" i="10"/>
  <c r="BS92" i="10"/>
  <c r="BO92" i="10"/>
  <c r="BN92" i="10"/>
  <c r="BM92" i="10"/>
  <c r="BL92" i="10"/>
  <c r="BK92" i="10"/>
  <c r="BJ92" i="10"/>
  <c r="BI92" i="10"/>
  <c r="BH92" i="10"/>
  <c r="BG92" i="10"/>
  <c r="BF92" i="10"/>
  <c r="BE92" i="10"/>
  <c r="BD92" i="10"/>
  <c r="AW92" i="10"/>
  <c r="AV92" i="10"/>
  <c r="AS92" i="10"/>
  <c r="AR92" i="10"/>
  <c r="AQ92" i="10" s="1"/>
  <c r="AP92" i="10"/>
  <c r="AO92" i="10"/>
  <c r="AM92" i="10" s="1"/>
  <c r="AN92" i="10"/>
  <c r="AY92" i="10" s="1"/>
  <c r="AF92" i="10"/>
  <c r="AB92" i="10"/>
  <c r="AA92" i="10"/>
  <c r="U92" i="10"/>
  <c r="T92" i="10"/>
  <c r="S92" i="10" s="1"/>
  <c r="N92" i="10"/>
  <c r="M92" i="10"/>
  <c r="L92" i="10"/>
  <c r="H92" i="10"/>
  <c r="G92" i="10"/>
  <c r="F92" i="10"/>
  <c r="B92" i="10"/>
  <c r="A92" i="10"/>
  <c r="BX91" i="10"/>
  <c r="BW91" i="10"/>
  <c r="BV91" i="10"/>
  <c r="BU91" i="10"/>
  <c r="BT91" i="10" s="1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BF91" i="10"/>
  <c r="BE91" i="10"/>
  <c r="BD91" i="10"/>
  <c r="BA91" i="10"/>
  <c r="AZ91" i="10"/>
  <c r="BC91" i="10" s="1"/>
  <c r="AW91" i="10"/>
  <c r="AV91" i="10"/>
  <c r="AY91" i="10" s="1"/>
  <c r="BB91" i="10" s="1"/>
  <c r="AU91" i="10"/>
  <c r="AX91" i="10" s="1"/>
  <c r="AT91" i="10"/>
  <c r="AS91" i="10"/>
  <c r="AR91" i="10"/>
  <c r="AP91" i="10"/>
  <c r="AO91" i="10"/>
  <c r="AN91" i="10"/>
  <c r="AM91" i="10"/>
  <c r="AL91" i="10"/>
  <c r="AF91" i="10"/>
  <c r="AE91" i="10"/>
  <c r="AB91" i="10"/>
  <c r="AI91" i="10" s="1"/>
  <c r="AG91" i="10" s="1"/>
  <c r="AA91" i="10"/>
  <c r="AH91" i="10" s="1"/>
  <c r="Z91" i="10"/>
  <c r="X91" i="10"/>
  <c r="V91" i="10"/>
  <c r="U91" i="10"/>
  <c r="W91" i="10" s="1"/>
  <c r="T91" i="10"/>
  <c r="S91" i="10"/>
  <c r="Q91" i="10"/>
  <c r="P91" i="10"/>
  <c r="O91" i="10"/>
  <c r="N91" i="10"/>
  <c r="M91" i="10"/>
  <c r="L91" i="10" s="1"/>
  <c r="J91" i="10"/>
  <c r="F91" i="10"/>
  <c r="H91" i="10" s="1"/>
  <c r="C91" i="10"/>
  <c r="B91" i="10"/>
  <c r="D91" i="10" s="1"/>
  <c r="A91" i="10"/>
  <c r="BX90" i="10"/>
  <c r="BW90" i="10"/>
  <c r="BV90" i="10"/>
  <c r="BT90" i="10" s="1"/>
  <c r="BU90" i="10"/>
  <c r="BS90" i="10"/>
  <c r="BQ90" i="10"/>
  <c r="BO90" i="10"/>
  <c r="BN90" i="10"/>
  <c r="BL90" i="10"/>
  <c r="BK90" i="10"/>
  <c r="BJ90" i="10"/>
  <c r="BI90" i="10"/>
  <c r="BH90" i="10"/>
  <c r="BG90" i="10"/>
  <c r="BE90" i="10" s="1"/>
  <c r="BF90" i="10"/>
  <c r="BD90" i="10"/>
  <c r="AZ90" i="10"/>
  <c r="AY90" i="10"/>
  <c r="AX90" i="10"/>
  <c r="BA90" i="10" s="1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I90" i="10"/>
  <c r="AH90" i="10"/>
  <c r="AF90" i="10"/>
  <c r="AE90" i="10"/>
  <c r="AB90" i="10"/>
  <c r="AA90" i="10"/>
  <c r="Z90" i="10"/>
  <c r="X90" i="10"/>
  <c r="W90" i="10"/>
  <c r="V90" i="10"/>
  <c r="U90" i="10"/>
  <c r="T90" i="10"/>
  <c r="S90" i="10" s="1"/>
  <c r="Q90" i="10"/>
  <c r="N90" i="10"/>
  <c r="L90" i="10" s="1"/>
  <c r="M90" i="10"/>
  <c r="J90" i="10"/>
  <c r="F90" i="10"/>
  <c r="H90" i="10" s="1"/>
  <c r="E90" i="10"/>
  <c r="D90" i="10"/>
  <c r="C90" i="10"/>
  <c r="B90" i="10"/>
  <c r="A90" i="10"/>
  <c r="BX89" i="10"/>
  <c r="BW89" i="10"/>
  <c r="BV89" i="10"/>
  <c r="BT89" i="10" s="1"/>
  <c r="BU89" i="10"/>
  <c r="BS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AY89" i="10"/>
  <c r="BB89" i="10" s="1"/>
  <c r="AW89" i="10"/>
  <c r="AV89" i="10"/>
  <c r="AT89" i="10"/>
  <c r="AS89" i="10"/>
  <c r="AR89" i="10"/>
  <c r="AQ89" i="10"/>
  <c r="AP89" i="10"/>
  <c r="AO89" i="10"/>
  <c r="AM89" i="10" s="1"/>
  <c r="AN89" i="10"/>
  <c r="AL89" i="10"/>
  <c r="AH89" i="10"/>
  <c r="AF89" i="10"/>
  <c r="AE89" i="10"/>
  <c r="AB89" i="10"/>
  <c r="AA89" i="10"/>
  <c r="Z89" i="10" s="1"/>
  <c r="X89" i="10"/>
  <c r="U89" i="10"/>
  <c r="S89" i="10" s="1"/>
  <c r="T89" i="10"/>
  <c r="Q89" i="10"/>
  <c r="O89" i="10"/>
  <c r="N89" i="10"/>
  <c r="P89" i="10" s="1"/>
  <c r="M89" i="10"/>
  <c r="L89" i="10"/>
  <c r="J89" i="10"/>
  <c r="G89" i="10"/>
  <c r="F89" i="10"/>
  <c r="H89" i="10" s="1"/>
  <c r="E89" i="10"/>
  <c r="D89" i="10"/>
  <c r="B89" i="10"/>
  <c r="C89" i="10" s="1"/>
  <c r="A89" i="10"/>
  <c r="BX88" i="10"/>
  <c r="BW88" i="10"/>
  <c r="BV88" i="10"/>
  <c r="BU88" i="10"/>
  <c r="BT88" i="10" s="1"/>
  <c r="BS88" i="10"/>
  <c r="BO88" i="10"/>
  <c r="BN88" i="10"/>
  <c r="BQ88" i="10" s="1"/>
  <c r="BM88" i="10"/>
  <c r="BL88" i="10"/>
  <c r="BK88" i="10"/>
  <c r="BI88" i="10" s="1"/>
  <c r="BJ88" i="10"/>
  <c r="BH88" i="10"/>
  <c r="BG88" i="10"/>
  <c r="BF88" i="10"/>
  <c r="BE88" i="10"/>
  <c r="BD88" i="10"/>
  <c r="AW88" i="10"/>
  <c r="AV88" i="10"/>
  <c r="AT88" i="10"/>
  <c r="AS88" i="10"/>
  <c r="AR88" i="10"/>
  <c r="AQ88" i="10"/>
  <c r="AP88" i="10"/>
  <c r="AO88" i="10"/>
  <c r="AM88" i="10" s="1"/>
  <c r="AN88" i="10"/>
  <c r="AL88" i="10"/>
  <c r="AF88" i="10"/>
  <c r="AE88" i="10"/>
  <c r="AB88" i="10"/>
  <c r="AA88" i="10"/>
  <c r="X88" i="10"/>
  <c r="U88" i="10"/>
  <c r="W88" i="10" s="1"/>
  <c r="T88" i="10"/>
  <c r="AH88" i="10" s="1"/>
  <c r="S88" i="10"/>
  <c r="Q88" i="10"/>
  <c r="O88" i="10"/>
  <c r="N88" i="10"/>
  <c r="P88" i="10" s="1"/>
  <c r="M88" i="10"/>
  <c r="L88" i="10"/>
  <c r="J88" i="10"/>
  <c r="H88" i="10"/>
  <c r="G88" i="10"/>
  <c r="F88" i="10"/>
  <c r="C88" i="10"/>
  <c r="B88" i="10"/>
  <c r="A88" i="10"/>
  <c r="BX87" i="10"/>
  <c r="BW87" i="10"/>
  <c r="BV87" i="10"/>
  <c r="BU87" i="10"/>
  <c r="BT87" i="10" s="1"/>
  <c r="BS87" i="10"/>
  <c r="BR87" i="10"/>
  <c r="BO87" i="10"/>
  <c r="BN87" i="10"/>
  <c r="BM87" i="10"/>
  <c r="BL87" i="10"/>
  <c r="BK87" i="10"/>
  <c r="BI87" i="10" s="1"/>
  <c r="BJ87" i="10"/>
  <c r="BQ87" i="10" s="1"/>
  <c r="BH87" i="10"/>
  <c r="BG87" i="10"/>
  <c r="BF87" i="10"/>
  <c r="BE87" i="10"/>
  <c r="BD87" i="10"/>
  <c r="AW87" i="10"/>
  <c r="AV87" i="10"/>
  <c r="AU87" i="10"/>
  <c r="AX87" i="10" s="1"/>
  <c r="BA87" i="10" s="1"/>
  <c r="AT87" i="10"/>
  <c r="AS87" i="10"/>
  <c r="AR87" i="10"/>
  <c r="AP87" i="10"/>
  <c r="AO87" i="10"/>
  <c r="AN87" i="10"/>
  <c r="AM87" i="10"/>
  <c r="AL87" i="10"/>
  <c r="AK87" i="10"/>
  <c r="AJ87" i="10"/>
  <c r="AF87" i="10"/>
  <c r="AE87" i="10"/>
  <c r="AB87" i="10"/>
  <c r="AI87" i="10" s="1"/>
  <c r="AA87" i="10"/>
  <c r="Z87" i="10"/>
  <c r="X87" i="10"/>
  <c r="V87" i="10"/>
  <c r="U87" i="10"/>
  <c r="W87" i="10" s="1"/>
  <c r="T87" i="10"/>
  <c r="S87" i="10" s="1"/>
  <c r="Q87" i="10"/>
  <c r="P87" i="10"/>
  <c r="O87" i="10"/>
  <c r="N87" i="10"/>
  <c r="M87" i="10"/>
  <c r="L87" i="10" s="1"/>
  <c r="J87" i="10"/>
  <c r="H87" i="10"/>
  <c r="G87" i="10"/>
  <c r="F87" i="10"/>
  <c r="C87" i="10"/>
  <c r="B87" i="10"/>
  <c r="D87" i="10" s="1"/>
  <c r="A87" i="10"/>
  <c r="BX86" i="10"/>
  <c r="BW86" i="10"/>
  <c r="BV86" i="10"/>
  <c r="BT86" i="10" s="1"/>
  <c r="BU86" i="10"/>
  <c r="BS86" i="10"/>
  <c r="BO86" i="10"/>
  <c r="BN86" i="10"/>
  <c r="BQ86" i="10" s="1"/>
  <c r="BL86" i="10"/>
  <c r="BK86" i="10"/>
  <c r="BJ86" i="10"/>
  <c r="BI86" i="10"/>
  <c r="BH86" i="10"/>
  <c r="BG86" i="10"/>
  <c r="BF86" i="10"/>
  <c r="BD86" i="10"/>
  <c r="BA86" i="10"/>
  <c r="AZ86" i="10"/>
  <c r="AX86" i="10"/>
  <c r="AW86" i="10"/>
  <c r="AV86" i="10"/>
  <c r="AU86" i="10"/>
  <c r="AT86" i="10"/>
  <c r="AS86" i="10"/>
  <c r="AQ86" i="10" s="1"/>
  <c r="AR86" i="10"/>
  <c r="AY86" i="10" s="1"/>
  <c r="BB86" i="10" s="1"/>
  <c r="AP86" i="10"/>
  <c r="AO86" i="10"/>
  <c r="AN86" i="10"/>
  <c r="AM86" i="10"/>
  <c r="AL86" i="10"/>
  <c r="AF86" i="10"/>
  <c r="AE86" i="10"/>
  <c r="AB86" i="10"/>
  <c r="AA86" i="10"/>
  <c r="AH86" i="10" s="1"/>
  <c r="X86" i="10"/>
  <c r="W86" i="10"/>
  <c r="V86" i="10"/>
  <c r="U86" i="10"/>
  <c r="T86" i="10"/>
  <c r="S86" i="10" s="1"/>
  <c r="Q86" i="10"/>
  <c r="N86" i="10"/>
  <c r="L86" i="10" s="1"/>
  <c r="M86" i="10"/>
  <c r="J86" i="10"/>
  <c r="F86" i="10"/>
  <c r="H86" i="10" s="1"/>
  <c r="E86" i="10"/>
  <c r="D86" i="10"/>
  <c r="C86" i="10"/>
  <c r="B86" i="10"/>
  <c r="A86" i="10"/>
  <c r="BX85" i="10"/>
  <c r="BW85" i="10"/>
  <c r="BV85" i="10"/>
  <c r="BU85" i="10"/>
  <c r="BT85" i="10"/>
  <c r="BS85" i="10"/>
  <c r="BO85" i="10"/>
  <c r="BN85" i="10"/>
  <c r="BL85" i="10"/>
  <c r="BK85" i="10"/>
  <c r="BJ85" i="10"/>
  <c r="BI85" i="10"/>
  <c r="BH85" i="10"/>
  <c r="BG85" i="10"/>
  <c r="BE85" i="10" s="1"/>
  <c r="BF85" i="10"/>
  <c r="BD85" i="10"/>
  <c r="AW85" i="10"/>
  <c r="AV85" i="10"/>
  <c r="AY85" i="10" s="1"/>
  <c r="AT85" i="10"/>
  <c r="AS85" i="10"/>
  <c r="AR85" i="10"/>
  <c r="AQ85" i="10"/>
  <c r="AP85" i="10"/>
  <c r="AO85" i="10"/>
  <c r="AN85" i="10"/>
  <c r="AL85" i="10"/>
  <c r="AI85" i="10"/>
  <c r="AF85" i="10"/>
  <c r="AE85" i="10"/>
  <c r="AB85" i="10"/>
  <c r="AA85" i="10"/>
  <c r="Z85" i="10" s="1"/>
  <c r="X85" i="10"/>
  <c r="W85" i="10"/>
  <c r="V85" i="10"/>
  <c r="U85" i="10"/>
  <c r="S85" i="10" s="1"/>
  <c r="T85" i="10"/>
  <c r="Q85" i="10"/>
  <c r="N85" i="10"/>
  <c r="P85" i="10" s="1"/>
  <c r="M85" i="10"/>
  <c r="AH85" i="10" s="1"/>
  <c r="L85" i="10"/>
  <c r="J85" i="10"/>
  <c r="G85" i="10"/>
  <c r="F85" i="10"/>
  <c r="H85" i="10" s="1"/>
  <c r="D85" i="10"/>
  <c r="C85" i="10"/>
  <c r="B85" i="10"/>
  <c r="E85" i="10" s="1"/>
  <c r="A85" i="10"/>
  <c r="BX84" i="10"/>
  <c r="BW84" i="10"/>
  <c r="BV84" i="10"/>
  <c r="BU84" i="10"/>
  <c r="BT84" i="10"/>
  <c r="BS84" i="10"/>
  <c r="BR84" i="10"/>
  <c r="BO84" i="10"/>
  <c r="BN84" i="10"/>
  <c r="BM84" i="10"/>
  <c r="BL84" i="10"/>
  <c r="BK84" i="10"/>
  <c r="BJ84" i="10"/>
  <c r="BH84" i="10"/>
  <c r="BG84" i="10"/>
  <c r="BF84" i="10"/>
  <c r="BE84" i="10"/>
  <c r="BD84" i="10"/>
  <c r="AW84" i="10"/>
  <c r="AU84" i="10" s="1"/>
  <c r="AX84" i="10" s="1"/>
  <c r="BA84" i="10" s="1"/>
  <c r="AV84" i="10"/>
  <c r="AY84" i="10" s="1"/>
  <c r="AS84" i="10"/>
  <c r="AQ84" i="10" s="1"/>
  <c r="AR84" i="10"/>
  <c r="AO84" i="10"/>
  <c r="AN84" i="10"/>
  <c r="AM84" i="10"/>
  <c r="AL84" i="10"/>
  <c r="AK84" i="10"/>
  <c r="AJ84" i="10"/>
  <c r="AF84" i="10"/>
  <c r="AE84" i="10"/>
  <c r="AB84" i="10"/>
  <c r="AI84" i="10" s="1"/>
  <c r="AA84" i="10"/>
  <c r="Z84" i="10"/>
  <c r="X84" i="10"/>
  <c r="V84" i="10"/>
  <c r="U84" i="10"/>
  <c r="W84" i="10" s="1"/>
  <c r="T84" i="10"/>
  <c r="S84" i="10" s="1"/>
  <c r="Q84" i="10"/>
  <c r="P84" i="10"/>
  <c r="O84" i="10"/>
  <c r="N84" i="10"/>
  <c r="M84" i="10"/>
  <c r="L84" i="10" s="1"/>
  <c r="H84" i="10"/>
  <c r="G84" i="10"/>
  <c r="F84" i="10"/>
  <c r="E84" i="10"/>
  <c r="B84" i="10"/>
  <c r="C84" i="10" s="1"/>
  <c r="A84" i="10"/>
  <c r="BX83" i="10"/>
  <c r="BW83" i="10"/>
  <c r="BV83" i="10"/>
  <c r="BU83" i="10"/>
  <c r="BS83" i="10"/>
  <c r="BO83" i="10"/>
  <c r="BR83" i="10" s="1"/>
  <c r="BP83" i="10" s="1"/>
  <c r="BN83" i="10"/>
  <c r="BQ83" i="10" s="1"/>
  <c r="BM83" i="10"/>
  <c r="BL83" i="10"/>
  <c r="BK83" i="10"/>
  <c r="BJ83" i="10"/>
  <c r="BI83" i="10" s="1"/>
  <c r="BH83" i="10"/>
  <c r="BG83" i="10"/>
  <c r="BF83" i="10"/>
  <c r="BE83" i="10"/>
  <c r="BD83" i="10"/>
  <c r="AX83" i="10"/>
  <c r="BA83" i="10" s="1"/>
  <c r="AW83" i="10"/>
  <c r="AU83" i="10" s="1"/>
  <c r="AV83" i="10"/>
  <c r="AT83" i="10"/>
  <c r="AS83" i="10"/>
  <c r="AR83" i="10"/>
  <c r="AY83" i="10" s="1"/>
  <c r="AQ83" i="10"/>
  <c r="AP83" i="10"/>
  <c r="AO83" i="10"/>
  <c r="AM83" i="10" s="1"/>
  <c r="AN83" i="10"/>
  <c r="AL83" i="10"/>
  <c r="AF83" i="10"/>
  <c r="AE83" i="10"/>
  <c r="AB83" i="10"/>
  <c r="AA83" i="10"/>
  <c r="Z83" i="10"/>
  <c r="X83" i="10"/>
  <c r="W83" i="10"/>
  <c r="V83" i="10"/>
  <c r="U83" i="10"/>
  <c r="T83" i="10"/>
  <c r="S83" i="10"/>
  <c r="Q83" i="10"/>
  <c r="N83" i="10"/>
  <c r="M83" i="10"/>
  <c r="AH83" i="10" s="1"/>
  <c r="J83" i="10"/>
  <c r="F83" i="10"/>
  <c r="E83" i="10"/>
  <c r="D83" i="10"/>
  <c r="C83" i="10"/>
  <c r="B83" i="10"/>
  <c r="A83" i="10"/>
  <c r="BX82" i="10"/>
  <c r="BW82" i="10"/>
  <c r="BV82" i="10"/>
  <c r="BT82" i="10" s="1"/>
  <c r="BU82" i="10"/>
  <c r="BS82" i="10"/>
  <c r="BO82" i="10"/>
  <c r="BN82" i="10"/>
  <c r="BQ82" i="10" s="1"/>
  <c r="BM82" i="10"/>
  <c r="BL82" i="10"/>
  <c r="BK82" i="10"/>
  <c r="BI82" i="10" s="1"/>
  <c r="BJ82" i="10"/>
  <c r="BH82" i="10"/>
  <c r="BG82" i="10"/>
  <c r="BF82" i="10"/>
  <c r="BE82" i="10"/>
  <c r="BD82" i="10"/>
  <c r="AW82" i="10"/>
  <c r="AV82" i="10"/>
  <c r="AT82" i="10"/>
  <c r="AS82" i="10"/>
  <c r="AR82" i="10"/>
  <c r="AQ82" i="10" s="1"/>
  <c r="AP82" i="10"/>
  <c r="AO82" i="10"/>
  <c r="AM82" i="10" s="1"/>
  <c r="AN82" i="10"/>
  <c r="AL82" i="10"/>
  <c r="AF82" i="10"/>
  <c r="AE82" i="10"/>
  <c r="AB82" i="10"/>
  <c r="AA82" i="10"/>
  <c r="Z82" i="10"/>
  <c r="X82" i="10"/>
  <c r="U82" i="10"/>
  <c r="T82" i="10"/>
  <c r="AH82" i="10" s="1"/>
  <c r="Q82" i="10"/>
  <c r="N82" i="10"/>
  <c r="M82" i="10"/>
  <c r="J82" i="10"/>
  <c r="F82" i="10"/>
  <c r="G82" i="10" s="1"/>
  <c r="B82" i="10"/>
  <c r="E82" i="10" s="1"/>
  <c r="A82" i="10"/>
  <c r="BX81" i="10"/>
  <c r="BW81" i="10"/>
  <c r="BV81" i="10"/>
  <c r="BU81" i="10"/>
  <c r="BT81" i="10"/>
  <c r="BS81" i="10"/>
  <c r="BR81" i="10"/>
  <c r="BO81" i="10"/>
  <c r="BN81" i="10"/>
  <c r="BM81" i="10" s="1"/>
  <c r="BL81" i="10"/>
  <c r="BK81" i="10"/>
  <c r="BI81" i="10" s="1"/>
  <c r="BJ81" i="10"/>
  <c r="BQ81" i="10" s="1"/>
  <c r="BH81" i="10"/>
  <c r="BG81" i="10"/>
  <c r="BF81" i="10"/>
  <c r="BE81" i="10" s="1"/>
  <c r="BD81" i="10"/>
  <c r="AW81" i="10"/>
  <c r="AZ81" i="10" s="1"/>
  <c r="AV81" i="10"/>
  <c r="AY81" i="10" s="1"/>
  <c r="BB81" i="10" s="1"/>
  <c r="AT81" i="10"/>
  <c r="AS81" i="10"/>
  <c r="AQ81" i="10" s="1"/>
  <c r="AR81" i="10"/>
  <c r="AP81" i="10"/>
  <c r="AO81" i="10"/>
  <c r="AN81" i="10"/>
  <c r="AM81" i="10"/>
  <c r="AL81" i="10"/>
  <c r="AF81" i="10"/>
  <c r="AE81" i="10"/>
  <c r="AB81" i="10"/>
  <c r="AA81" i="10"/>
  <c r="AH81" i="10" s="1"/>
  <c r="X81" i="10"/>
  <c r="U81" i="10"/>
  <c r="T81" i="10"/>
  <c r="Q81" i="10"/>
  <c r="N81" i="10"/>
  <c r="O81" i="10" s="1"/>
  <c r="M81" i="10"/>
  <c r="L81" i="10"/>
  <c r="J81" i="10"/>
  <c r="H81" i="10"/>
  <c r="G81" i="10"/>
  <c r="F81" i="10"/>
  <c r="B81" i="10"/>
  <c r="A81" i="10"/>
  <c r="BX80" i="10"/>
  <c r="BW80" i="10"/>
  <c r="BV80" i="10"/>
  <c r="BU80" i="10"/>
  <c r="BT80" i="10"/>
  <c r="BS80" i="10"/>
  <c r="BQ80" i="10"/>
  <c r="BO80" i="10"/>
  <c r="BM80" i="10" s="1"/>
  <c r="BN80" i="10"/>
  <c r="BL80" i="10"/>
  <c r="BK80" i="10"/>
  <c r="BJ80" i="10"/>
  <c r="BI80" i="10"/>
  <c r="BH80" i="10"/>
  <c r="BG80" i="10"/>
  <c r="BE80" i="10" s="1"/>
  <c r="BF80" i="10"/>
  <c r="BD80" i="10"/>
  <c r="AW80" i="10"/>
  <c r="AV80" i="10"/>
  <c r="AU80" i="10" s="1"/>
  <c r="AX80" i="10" s="1"/>
  <c r="BA80" i="10" s="1"/>
  <c r="AS80" i="10"/>
  <c r="AZ80" i="10" s="1"/>
  <c r="AR80" i="10"/>
  <c r="AY80" i="10" s="1"/>
  <c r="BB80" i="10" s="1"/>
  <c r="AQ80" i="10"/>
  <c r="AO80" i="10"/>
  <c r="AM80" i="10" s="1"/>
  <c r="AN80" i="10"/>
  <c r="AL80" i="10"/>
  <c r="AH80" i="10"/>
  <c r="AF80" i="10"/>
  <c r="AE80" i="10"/>
  <c r="AB80" i="10"/>
  <c r="AA80" i="10"/>
  <c r="Z80" i="10"/>
  <c r="X80" i="10"/>
  <c r="W80" i="10"/>
  <c r="V80" i="10"/>
  <c r="U80" i="10"/>
  <c r="T80" i="10"/>
  <c r="S80" i="10"/>
  <c r="Q80" i="10"/>
  <c r="N80" i="10"/>
  <c r="L80" i="10" s="1"/>
  <c r="M80" i="10"/>
  <c r="G80" i="10"/>
  <c r="F80" i="10"/>
  <c r="H80" i="10" s="1"/>
  <c r="B80" i="10"/>
  <c r="E80" i="10" s="1"/>
  <c r="A80" i="10"/>
  <c r="BX79" i="10"/>
  <c r="BW79" i="10"/>
  <c r="BV79" i="10"/>
  <c r="BU79" i="10"/>
  <c r="BT79" i="10"/>
  <c r="BS79" i="10"/>
  <c r="BR79" i="10"/>
  <c r="BP79" i="10" s="1"/>
  <c r="BO79" i="10"/>
  <c r="BN79" i="10"/>
  <c r="BQ79" i="10" s="1"/>
  <c r="BM79" i="10"/>
  <c r="BL79" i="10"/>
  <c r="BK79" i="10"/>
  <c r="BJ79" i="10"/>
  <c r="BH79" i="10"/>
  <c r="BG79" i="10"/>
  <c r="BF79" i="10"/>
  <c r="BE79" i="10"/>
  <c r="BD79" i="10"/>
  <c r="AW79" i="10"/>
  <c r="AV79" i="10"/>
  <c r="AY79" i="10" s="1"/>
  <c r="AU79" i="10"/>
  <c r="AX79" i="10" s="1"/>
  <c r="BA79" i="10" s="1"/>
  <c r="AS79" i="10"/>
  <c r="AQ79" i="10" s="1"/>
  <c r="AR79" i="10"/>
  <c r="AO79" i="10"/>
  <c r="AN79" i="10"/>
  <c r="AM79" i="10"/>
  <c r="AL79" i="10"/>
  <c r="AF79" i="10"/>
  <c r="AE79" i="10"/>
  <c r="AB79" i="10"/>
  <c r="AI79" i="10" s="1"/>
  <c r="AA79" i="10"/>
  <c r="X79" i="10"/>
  <c r="V79" i="10"/>
  <c r="U79" i="10"/>
  <c r="W79" i="10" s="1"/>
  <c r="T79" i="10"/>
  <c r="S79" i="10" s="1"/>
  <c r="Q79" i="10"/>
  <c r="P79" i="10"/>
  <c r="O79" i="10"/>
  <c r="N79" i="10"/>
  <c r="M79" i="10"/>
  <c r="L79" i="10" s="1"/>
  <c r="H79" i="10"/>
  <c r="G79" i="10"/>
  <c r="F79" i="10"/>
  <c r="E79" i="10"/>
  <c r="B79" i="10"/>
  <c r="C79" i="10" s="1"/>
  <c r="A79" i="10"/>
  <c r="BX78" i="10"/>
  <c r="BW78" i="10"/>
  <c r="BV78" i="10"/>
  <c r="BU78" i="10"/>
  <c r="BS78" i="10"/>
  <c r="BO78" i="10"/>
  <c r="BN78" i="10"/>
  <c r="BL78" i="10"/>
  <c r="BK78" i="10"/>
  <c r="BJ78" i="10"/>
  <c r="BI78" i="10" s="1"/>
  <c r="BH78" i="10"/>
  <c r="BG78" i="10"/>
  <c r="BE78" i="10" s="1"/>
  <c r="BF78" i="10"/>
  <c r="BD78" i="10"/>
  <c r="AW78" i="10"/>
  <c r="AU78" i="10" s="1"/>
  <c r="AV78" i="10"/>
  <c r="AS78" i="10"/>
  <c r="AR78" i="10"/>
  <c r="AQ78" i="10"/>
  <c r="AO78" i="10"/>
  <c r="AN78" i="10"/>
  <c r="AY78" i="10" s="1"/>
  <c r="BB78" i="10" s="1"/>
  <c r="AM78" i="10"/>
  <c r="AX78" i="10" s="1"/>
  <c r="AL78" i="10"/>
  <c r="AH78" i="10"/>
  <c r="AF78" i="10"/>
  <c r="AE78" i="10"/>
  <c r="AB78" i="10"/>
  <c r="AA78" i="10"/>
  <c r="Z78" i="10"/>
  <c r="X78" i="10"/>
  <c r="W78" i="10"/>
  <c r="V78" i="10"/>
  <c r="U78" i="10"/>
  <c r="T78" i="10"/>
  <c r="Q78" i="10"/>
  <c r="N78" i="10"/>
  <c r="L78" i="10" s="1"/>
  <c r="M78" i="10"/>
  <c r="H78" i="10"/>
  <c r="G78" i="10"/>
  <c r="F78" i="10"/>
  <c r="B78" i="10"/>
  <c r="A78" i="10"/>
  <c r="BX77" i="10"/>
  <c r="BW77" i="10"/>
  <c r="BV77" i="10"/>
  <c r="BU77" i="10"/>
  <c r="BT77" i="10" s="1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BE77" i="10"/>
  <c r="BD77" i="10"/>
  <c r="AZ77" i="10"/>
  <c r="AW77" i="10"/>
  <c r="AV77" i="10"/>
  <c r="AY77" i="10" s="1"/>
  <c r="AU77" i="10"/>
  <c r="AX77" i="10" s="1"/>
  <c r="BA77" i="10" s="1"/>
  <c r="AS77" i="10"/>
  <c r="AQ77" i="10" s="1"/>
  <c r="AR77" i="10"/>
  <c r="AO77" i="10"/>
  <c r="AN77" i="10"/>
  <c r="AM77" i="10"/>
  <c r="AL77" i="10"/>
  <c r="AF77" i="10"/>
  <c r="AE77" i="10"/>
  <c r="AB77" i="10"/>
  <c r="AA77" i="10"/>
  <c r="AH77" i="10" s="1"/>
  <c r="Z77" i="10"/>
  <c r="X77" i="10"/>
  <c r="W77" i="10"/>
  <c r="V77" i="10"/>
  <c r="U77" i="10"/>
  <c r="T77" i="10"/>
  <c r="S77" i="10" s="1"/>
  <c r="Q77" i="10"/>
  <c r="P77" i="10"/>
  <c r="O77" i="10"/>
  <c r="N77" i="10"/>
  <c r="L77" i="10" s="1"/>
  <c r="M77" i="10"/>
  <c r="F77" i="10"/>
  <c r="E77" i="10"/>
  <c r="D77" i="10"/>
  <c r="C77" i="10"/>
  <c r="B77" i="10"/>
  <c r="A77" i="10"/>
  <c r="BX76" i="10"/>
  <c r="BW76" i="10"/>
  <c r="BV76" i="10"/>
  <c r="BU76" i="10"/>
  <c r="BT76" i="10"/>
  <c r="BS76" i="10"/>
  <c r="BO76" i="10"/>
  <c r="BR76" i="10" s="1"/>
  <c r="BN76" i="10"/>
  <c r="BQ76" i="10" s="1"/>
  <c r="BL76" i="10"/>
  <c r="BK76" i="10"/>
  <c r="BI76" i="10" s="1"/>
  <c r="BJ76" i="10"/>
  <c r="BH76" i="10"/>
  <c r="BG76" i="10"/>
  <c r="BF76" i="10"/>
  <c r="BE76" i="10"/>
  <c r="BD76" i="10"/>
  <c r="AW76" i="10"/>
  <c r="AZ76" i="10" s="1"/>
  <c r="AV76" i="10"/>
  <c r="AY76" i="10" s="1"/>
  <c r="AU76" i="10"/>
  <c r="AX76" i="10" s="1"/>
  <c r="AT76" i="10"/>
  <c r="AS76" i="10"/>
  <c r="AR76" i="10"/>
  <c r="AQ76" i="10" s="1"/>
  <c r="AP76" i="10"/>
  <c r="AO76" i="10"/>
  <c r="AN76" i="10"/>
  <c r="AM76" i="10"/>
  <c r="AL76" i="10"/>
  <c r="AF76" i="10"/>
  <c r="AE76" i="10"/>
  <c r="AB76" i="10"/>
  <c r="AA76" i="10"/>
  <c r="Z76" i="10"/>
  <c r="X76" i="10"/>
  <c r="W76" i="10"/>
  <c r="V76" i="10"/>
  <c r="U76" i="10"/>
  <c r="T76" i="10"/>
  <c r="Q76" i="10"/>
  <c r="N76" i="10"/>
  <c r="M76" i="10"/>
  <c r="AH76" i="10" s="1"/>
  <c r="L76" i="10"/>
  <c r="J76" i="10"/>
  <c r="F76" i="10"/>
  <c r="G76" i="10" s="1"/>
  <c r="D76" i="10"/>
  <c r="B76" i="10"/>
  <c r="E76" i="10" s="1"/>
  <c r="A76" i="10"/>
  <c r="BX75" i="10"/>
  <c r="BW75" i="10"/>
  <c r="BV75" i="10"/>
  <c r="BU75" i="10"/>
  <c r="BT75" i="10"/>
  <c r="BS75" i="10"/>
  <c r="BO75" i="10"/>
  <c r="BN75" i="10"/>
  <c r="BM75" i="10" s="1"/>
  <c r="BL75" i="10"/>
  <c r="BK75" i="10"/>
  <c r="BI75" i="10" s="1"/>
  <c r="BJ75" i="10"/>
  <c r="BQ75" i="10" s="1"/>
  <c r="BH75" i="10"/>
  <c r="BG75" i="10"/>
  <c r="BF75" i="10"/>
  <c r="BE75" i="10" s="1"/>
  <c r="BD75" i="10"/>
  <c r="AW75" i="10"/>
  <c r="AV75" i="10"/>
  <c r="AY75" i="10" s="1"/>
  <c r="AU75" i="10"/>
  <c r="AT75" i="10"/>
  <c r="AS75" i="10"/>
  <c r="AQ75" i="10" s="1"/>
  <c r="AR75" i="10"/>
  <c r="AP75" i="10"/>
  <c r="AO75" i="10"/>
  <c r="AN75" i="10"/>
  <c r="AM75" i="10"/>
  <c r="AL75" i="10"/>
  <c r="AF75" i="10"/>
  <c r="AE75" i="10"/>
  <c r="AB75" i="10"/>
  <c r="AA75" i="10"/>
  <c r="X75" i="10"/>
  <c r="Y75" i="10" s="1"/>
  <c r="U75" i="10"/>
  <c r="W75" i="10" s="1"/>
  <c r="T75" i="10"/>
  <c r="S75" i="10"/>
  <c r="R75" i="10"/>
  <c r="Q75" i="10"/>
  <c r="N75" i="10"/>
  <c r="M75" i="10"/>
  <c r="K75" i="10"/>
  <c r="J75" i="10"/>
  <c r="G75" i="10"/>
  <c r="F75" i="10"/>
  <c r="H75" i="10" s="1"/>
  <c r="E75" i="10"/>
  <c r="D75" i="10"/>
  <c r="B75" i="10"/>
  <c r="C75" i="10" s="1"/>
  <c r="A75" i="10"/>
  <c r="BX74" i="10"/>
  <c r="BW74" i="10"/>
  <c r="BV74" i="10"/>
  <c r="BU74" i="10"/>
  <c r="BT74" i="10" s="1"/>
  <c r="BS74" i="10"/>
  <c r="BO74" i="10"/>
  <c r="BN74" i="10"/>
  <c r="BQ74" i="10" s="1"/>
  <c r="BM74" i="10"/>
  <c r="BL74" i="10"/>
  <c r="BK74" i="10"/>
  <c r="BI74" i="10" s="1"/>
  <c r="BJ74" i="10"/>
  <c r="BH74" i="10"/>
  <c r="BG74" i="10"/>
  <c r="BF74" i="10"/>
  <c r="BE74" i="10"/>
  <c r="BD74" i="10"/>
  <c r="AW74" i="10"/>
  <c r="AV74" i="10"/>
  <c r="AT74" i="10"/>
  <c r="AS74" i="10"/>
  <c r="AR74" i="10"/>
  <c r="AQ74" i="10"/>
  <c r="AP74" i="10"/>
  <c r="AO74" i="10"/>
  <c r="AM74" i="10" s="1"/>
  <c r="AN74" i="10"/>
  <c r="AL74" i="10"/>
  <c r="AF74" i="10"/>
  <c r="AB74" i="10"/>
  <c r="AA74" i="10"/>
  <c r="Y74" i="10"/>
  <c r="X74" i="10"/>
  <c r="U74" i="10"/>
  <c r="S74" i="10" s="1"/>
  <c r="T74" i="10"/>
  <c r="AH74" i="10" s="1"/>
  <c r="Q74" i="10"/>
  <c r="R74" i="10" s="1"/>
  <c r="AE74" i="10" s="1"/>
  <c r="O74" i="10"/>
  <c r="N74" i="10"/>
  <c r="P74" i="10" s="1"/>
  <c r="M74" i="10"/>
  <c r="L74" i="10"/>
  <c r="K74" i="10"/>
  <c r="J74" i="10"/>
  <c r="F74" i="10"/>
  <c r="E74" i="10"/>
  <c r="D74" i="10"/>
  <c r="C74" i="10"/>
  <c r="B74" i="10"/>
  <c r="A74" i="10"/>
  <c r="BX73" i="10"/>
  <c r="BW73" i="10"/>
  <c r="BV73" i="10"/>
  <c r="BT73" i="10" s="1"/>
  <c r="BU73" i="10"/>
  <c r="BS73" i="10"/>
  <c r="BO73" i="10"/>
  <c r="BN73" i="10"/>
  <c r="BQ73" i="10" s="1"/>
  <c r="BM73" i="10"/>
  <c r="BL73" i="10"/>
  <c r="BK73" i="10"/>
  <c r="BI73" i="10" s="1"/>
  <c r="BJ73" i="10"/>
  <c r="BH73" i="10"/>
  <c r="BG73" i="10"/>
  <c r="BF73" i="10"/>
  <c r="BE73" i="10"/>
  <c r="BD73" i="10"/>
  <c r="AW73" i="10"/>
  <c r="AZ73" i="10" s="1"/>
  <c r="AV73" i="10"/>
  <c r="AT73" i="10"/>
  <c r="AS73" i="10"/>
  <c r="AR73" i="10"/>
  <c r="AQ73" i="10" s="1"/>
  <c r="AP73" i="10"/>
  <c r="AO73" i="10"/>
  <c r="AM73" i="10" s="1"/>
  <c r="AN73" i="10"/>
  <c r="AL73" i="10"/>
  <c r="AF73" i="10"/>
  <c r="AE73" i="10"/>
  <c r="AB73" i="10"/>
  <c r="AA73" i="10"/>
  <c r="Z73" i="10"/>
  <c r="X73" i="10"/>
  <c r="Y73" i="10" s="1"/>
  <c r="U73" i="10"/>
  <c r="T73" i="10"/>
  <c r="R73" i="10"/>
  <c r="Q73" i="10"/>
  <c r="N73" i="10"/>
  <c r="M73" i="10"/>
  <c r="AH73" i="10" s="1"/>
  <c r="J73" i="10"/>
  <c r="K73" i="10" s="1"/>
  <c r="P73" i="10" s="1"/>
  <c r="G73" i="10"/>
  <c r="F73" i="10"/>
  <c r="H73" i="10" s="1"/>
  <c r="E73" i="10"/>
  <c r="D73" i="10"/>
  <c r="C73" i="10"/>
  <c r="B73" i="10"/>
  <c r="A73" i="10"/>
  <c r="BX72" i="10"/>
  <c r="BW72" i="10"/>
  <c r="BV72" i="10"/>
  <c r="BT72" i="10" s="1"/>
  <c r="BU72" i="10"/>
  <c r="BS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AW72" i="10"/>
  <c r="AV72" i="10"/>
  <c r="AS72" i="10"/>
  <c r="AR72" i="10"/>
  <c r="AQ72" i="10" s="1"/>
  <c r="AO72" i="10"/>
  <c r="AM72" i="10" s="1"/>
  <c r="AN72" i="10"/>
  <c r="AY72" i="10" s="1"/>
  <c r="AL72" i="10"/>
  <c r="AF72" i="10"/>
  <c r="AE72" i="10"/>
  <c r="AB72" i="10"/>
  <c r="AA72" i="10"/>
  <c r="X72" i="10"/>
  <c r="U72" i="10"/>
  <c r="T72" i="10"/>
  <c r="Q72" i="10"/>
  <c r="O72" i="10"/>
  <c r="N72" i="10"/>
  <c r="P72" i="10" s="1"/>
  <c r="M72" i="10"/>
  <c r="L72" i="10" s="1"/>
  <c r="H72" i="10"/>
  <c r="G72" i="10"/>
  <c r="F72" i="10"/>
  <c r="B72" i="10"/>
  <c r="A72" i="10"/>
  <c r="BX71" i="10"/>
  <c r="BW71" i="10"/>
  <c r="BV71" i="10"/>
  <c r="BU71" i="10"/>
  <c r="BT71" i="10"/>
  <c r="BS71" i="10"/>
  <c r="BQ71" i="10"/>
  <c r="BO71" i="10"/>
  <c r="BM71" i="10" s="1"/>
  <c r="BN71" i="10"/>
  <c r="BL71" i="10"/>
  <c r="BK71" i="10"/>
  <c r="BJ71" i="10"/>
  <c r="BI71" i="10"/>
  <c r="BH71" i="10"/>
  <c r="BG71" i="10"/>
  <c r="BE71" i="10" s="1"/>
  <c r="BF71" i="10"/>
  <c r="BD71" i="10"/>
  <c r="AW71" i="10"/>
  <c r="AV71" i="10"/>
  <c r="AU71" i="10" s="1"/>
  <c r="AT71" i="10"/>
  <c r="AS71" i="10"/>
  <c r="AZ71" i="10" s="1"/>
  <c r="BC71" i="10" s="1"/>
  <c r="AR71" i="10"/>
  <c r="AY71" i="10" s="1"/>
  <c r="BB71" i="10" s="1"/>
  <c r="AP71" i="10"/>
  <c r="AO71" i="10"/>
  <c r="AN71" i="10"/>
  <c r="AM71" i="10" s="1"/>
  <c r="AL71" i="10"/>
  <c r="AI71" i="10"/>
  <c r="AF71" i="10"/>
  <c r="AE71" i="10"/>
  <c r="AB71" i="10"/>
  <c r="AA71" i="10"/>
  <c r="AH71" i="10" s="1"/>
  <c r="Z71" i="10"/>
  <c r="X71" i="10"/>
  <c r="U71" i="10"/>
  <c r="V71" i="10" s="1"/>
  <c r="T71" i="10"/>
  <c r="S71" i="10"/>
  <c r="Q71" i="10"/>
  <c r="P71" i="10"/>
  <c r="O71" i="10"/>
  <c r="N71" i="10"/>
  <c r="M71" i="10"/>
  <c r="L71" i="10"/>
  <c r="J71" i="10"/>
  <c r="H71" i="10"/>
  <c r="F71" i="10"/>
  <c r="G71" i="10" s="1"/>
  <c r="E71" i="10"/>
  <c r="B71" i="10"/>
  <c r="C71" i="10" s="1"/>
  <c r="A71" i="10"/>
  <c r="BX70" i="10"/>
  <c r="BW70" i="10"/>
  <c r="BV70" i="10"/>
  <c r="BT70" i="10" s="1"/>
  <c r="BU70" i="10"/>
  <c r="BS70" i="10"/>
  <c r="BO70" i="10"/>
  <c r="BR70" i="10" s="1"/>
  <c r="BP70" i="10" s="1"/>
  <c r="BN70" i="10"/>
  <c r="BQ70" i="10" s="1"/>
  <c r="BL70" i="10"/>
  <c r="BK70" i="10"/>
  <c r="BJ70" i="10"/>
  <c r="BI70" i="10" s="1"/>
  <c r="BH70" i="10"/>
  <c r="BG70" i="10"/>
  <c r="BF70" i="10"/>
  <c r="BE70" i="10"/>
  <c r="BD70" i="10"/>
  <c r="AW70" i="10"/>
  <c r="AU70" i="10" s="1"/>
  <c r="AV70" i="10"/>
  <c r="AS70" i="10"/>
  <c r="AR70" i="10"/>
  <c r="AQ70" i="10"/>
  <c r="AO70" i="10"/>
  <c r="AM70" i="10" s="1"/>
  <c r="AN70" i="10"/>
  <c r="AY70" i="10" s="1"/>
  <c r="BB70" i="10" s="1"/>
  <c r="AL70" i="10"/>
  <c r="AF70" i="10"/>
  <c r="AE70" i="10"/>
  <c r="AB70" i="10"/>
  <c r="AA70" i="10"/>
  <c r="Z70" i="10"/>
  <c r="X70" i="10"/>
  <c r="U70" i="10"/>
  <c r="T70" i="10"/>
  <c r="AH70" i="10" s="1"/>
  <c r="Q70" i="10"/>
  <c r="N70" i="10"/>
  <c r="M70" i="10"/>
  <c r="H70" i="10"/>
  <c r="G70" i="10"/>
  <c r="F70" i="10"/>
  <c r="B70" i="10"/>
  <c r="A70" i="10"/>
  <c r="BX69" i="10"/>
  <c r="BW69" i="10"/>
  <c r="BV69" i="10"/>
  <c r="BU69" i="10"/>
  <c r="BT69" i="10" s="1"/>
  <c r="BS69" i="10"/>
  <c r="BQ69" i="10"/>
  <c r="BO69" i="10"/>
  <c r="BN69" i="10"/>
  <c r="BM69" i="10"/>
  <c r="BL69" i="10"/>
  <c r="BK69" i="10"/>
  <c r="BR69" i="10" s="1"/>
  <c r="BJ69" i="10"/>
  <c r="BI69" i="10"/>
  <c r="BH69" i="10"/>
  <c r="BG69" i="10"/>
  <c r="BF69" i="10"/>
  <c r="BE69" i="10"/>
  <c r="BD69" i="10"/>
  <c r="AW69" i="10"/>
  <c r="AV69" i="10"/>
  <c r="AU69" i="10"/>
  <c r="AT69" i="10"/>
  <c r="AS69" i="10"/>
  <c r="AQ69" i="10" s="1"/>
  <c r="AR69" i="10"/>
  <c r="AP69" i="10"/>
  <c r="AO69" i="10"/>
  <c r="AN69" i="10"/>
  <c r="AM69" i="10"/>
  <c r="AL69" i="10"/>
  <c r="AF69" i="10"/>
  <c r="AE69" i="10"/>
  <c r="AB69" i="10"/>
  <c r="AA69" i="10"/>
  <c r="Y69" i="10"/>
  <c r="X69" i="10"/>
  <c r="U69" i="10"/>
  <c r="T69" i="10"/>
  <c r="S69" i="10"/>
  <c r="R69" i="10"/>
  <c r="Q69" i="10"/>
  <c r="O69" i="10"/>
  <c r="N69" i="10"/>
  <c r="P69" i="10" s="1"/>
  <c r="M69" i="10"/>
  <c r="L69" i="10"/>
  <c r="J69" i="10"/>
  <c r="H69" i="10"/>
  <c r="G69" i="10"/>
  <c r="F69" i="10"/>
  <c r="B69" i="10"/>
  <c r="A69" i="10"/>
  <c r="BX68" i="10"/>
  <c r="BW68" i="10"/>
  <c r="BV68" i="10"/>
  <c r="BU68" i="10"/>
  <c r="BT68" i="10" s="1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D68" i="10"/>
  <c r="AZ68" i="10"/>
  <c r="BC68" i="10" s="1"/>
  <c r="AW68" i="10"/>
  <c r="AV68" i="10"/>
  <c r="AY68" i="10" s="1"/>
  <c r="BB68" i="10" s="1"/>
  <c r="AU68" i="10"/>
  <c r="AX68" i="10" s="1"/>
  <c r="BA68" i="10" s="1"/>
  <c r="AT68" i="10"/>
  <c r="AS68" i="10"/>
  <c r="AR68" i="10"/>
  <c r="AP68" i="10"/>
  <c r="AO68" i="10"/>
  <c r="AN68" i="10"/>
  <c r="AM68" i="10"/>
  <c r="AL68" i="10"/>
  <c r="AF68" i="10"/>
  <c r="AE68" i="10"/>
  <c r="AB68" i="10"/>
  <c r="AI68" i="10" s="1"/>
  <c r="AK68" i="10" s="1"/>
  <c r="AA68" i="10"/>
  <c r="AH68" i="10" s="1"/>
  <c r="X68" i="10"/>
  <c r="V68" i="10"/>
  <c r="U68" i="10"/>
  <c r="W68" i="10" s="1"/>
  <c r="T68" i="10"/>
  <c r="S68" i="10"/>
  <c r="Q68" i="10"/>
  <c r="P68" i="10"/>
  <c r="O68" i="10"/>
  <c r="N68" i="10"/>
  <c r="M68" i="10"/>
  <c r="L68" i="10" s="1"/>
  <c r="J68" i="10"/>
  <c r="F68" i="10"/>
  <c r="H68" i="10" s="1"/>
  <c r="C68" i="10"/>
  <c r="B68" i="10"/>
  <c r="D68" i="10" s="1"/>
  <c r="A68" i="10"/>
  <c r="BX67" i="10"/>
  <c r="BW67" i="10"/>
  <c r="BV67" i="10"/>
  <c r="BT67" i="10" s="1"/>
  <c r="BU67" i="10"/>
  <c r="BS67" i="10"/>
  <c r="BO67" i="10"/>
  <c r="BN67" i="10"/>
  <c r="BL67" i="10"/>
  <c r="BK67" i="10"/>
  <c r="BJ67" i="10"/>
  <c r="BI67" i="10"/>
  <c r="BH67" i="10"/>
  <c r="BG67" i="10"/>
  <c r="BF67" i="10"/>
  <c r="BQ67" i="10" s="1"/>
  <c r="BD67" i="10"/>
  <c r="AZ67" i="10"/>
  <c r="AY67" i="10"/>
  <c r="AX67" i="10"/>
  <c r="BA67" i="10" s="1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I67" i="10"/>
  <c r="AH67" i="10"/>
  <c r="AF67" i="10"/>
  <c r="AE67" i="10"/>
  <c r="AB67" i="10"/>
  <c r="AA67" i="10"/>
  <c r="Z67" i="10" s="1"/>
  <c r="X67" i="10"/>
  <c r="W67" i="10"/>
  <c r="V67" i="10"/>
  <c r="U67" i="10"/>
  <c r="T67" i="10"/>
  <c r="S67" i="10" s="1"/>
  <c r="Q67" i="10"/>
  <c r="P67" i="10"/>
  <c r="N67" i="10"/>
  <c r="L67" i="10" s="1"/>
  <c r="M67" i="10"/>
  <c r="J67" i="10"/>
  <c r="G67" i="10"/>
  <c r="F67" i="10"/>
  <c r="H67" i="10" s="1"/>
  <c r="E67" i="10"/>
  <c r="D67" i="10"/>
  <c r="C67" i="10"/>
  <c r="B67" i="10"/>
  <c r="A67" i="10"/>
  <c r="BX66" i="10"/>
  <c r="BW66" i="10"/>
  <c r="BV66" i="10"/>
  <c r="BT66" i="10" s="1"/>
  <c r="BU66" i="10"/>
  <c r="BS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AW66" i="10"/>
  <c r="AV66" i="10"/>
  <c r="AS66" i="10"/>
  <c r="AR66" i="10"/>
  <c r="AQ66" i="10" s="1"/>
  <c r="AO66" i="10"/>
  <c r="AM66" i="10" s="1"/>
  <c r="AN66" i="10"/>
  <c r="AY66" i="10" s="1"/>
  <c r="AF66" i="10"/>
  <c r="AE66" i="10"/>
  <c r="AB66" i="10"/>
  <c r="AA66" i="10"/>
  <c r="X66" i="10"/>
  <c r="U66" i="10"/>
  <c r="T66" i="10"/>
  <c r="S66" i="10"/>
  <c r="Q66" i="10"/>
  <c r="N66" i="10"/>
  <c r="O66" i="10" s="1"/>
  <c r="M66" i="10"/>
  <c r="L66" i="10"/>
  <c r="H66" i="10"/>
  <c r="G66" i="10"/>
  <c r="F66" i="10"/>
  <c r="C66" i="10"/>
  <c r="B66" i="10"/>
  <c r="D66" i="10" s="1"/>
  <c r="A66" i="10"/>
  <c r="BX65" i="10"/>
  <c r="BW65" i="10"/>
  <c r="BV65" i="10"/>
  <c r="BT65" i="10" s="1"/>
  <c r="BU65" i="10"/>
  <c r="BS65" i="10"/>
  <c r="BQ65" i="10"/>
  <c r="BO65" i="10"/>
  <c r="BN65" i="10"/>
  <c r="BL65" i="10"/>
  <c r="BK65" i="10"/>
  <c r="BJ65" i="10"/>
  <c r="BI65" i="10"/>
  <c r="BH65" i="10"/>
  <c r="BG65" i="10"/>
  <c r="BE65" i="10" s="1"/>
  <c r="BF65" i="10"/>
  <c r="BD65" i="10"/>
  <c r="AZ65" i="10"/>
  <c r="AY65" i="10"/>
  <c r="BB65" i="10" s="1"/>
  <c r="AW65" i="10"/>
  <c r="AV65" i="10"/>
  <c r="AU65" i="10"/>
  <c r="AT65" i="10"/>
  <c r="AS65" i="10"/>
  <c r="AR65" i="10"/>
  <c r="AQ65" i="10"/>
  <c r="AX65" i="10" s="1"/>
  <c r="BA65" i="10" s="1"/>
  <c r="AP65" i="10"/>
  <c r="AO65" i="10"/>
  <c r="AN65" i="10"/>
  <c r="AM65" i="10"/>
  <c r="AL65" i="10"/>
  <c r="AI65" i="10"/>
  <c r="AG65" i="10" s="1"/>
  <c r="AH65" i="10"/>
  <c r="AF65" i="10"/>
  <c r="AE65" i="10"/>
  <c r="AB65" i="10"/>
  <c r="AA65" i="10"/>
  <c r="Z65" i="10"/>
  <c r="X65" i="10"/>
  <c r="W65" i="10"/>
  <c r="V65" i="10"/>
  <c r="U65" i="10"/>
  <c r="T65" i="10"/>
  <c r="S65" i="10" s="1"/>
  <c r="Q65" i="10"/>
  <c r="N65" i="10"/>
  <c r="L65" i="10" s="1"/>
  <c r="M65" i="10"/>
  <c r="J65" i="10"/>
  <c r="G65" i="10"/>
  <c r="F65" i="10"/>
  <c r="H65" i="10" s="1"/>
  <c r="E65" i="10"/>
  <c r="D65" i="10"/>
  <c r="C65" i="10"/>
  <c r="B65" i="10"/>
  <c r="A65" i="10"/>
  <c r="BX64" i="10"/>
  <c r="BW64" i="10"/>
  <c r="BV64" i="10"/>
  <c r="BT64" i="10" s="1"/>
  <c r="BU64" i="10"/>
  <c r="BS64" i="10"/>
  <c r="BO64" i="10"/>
  <c r="BM64" i="10" s="1"/>
  <c r="BN64" i="10"/>
  <c r="BL64" i="10"/>
  <c r="BK64" i="10"/>
  <c r="BJ64" i="10"/>
  <c r="BI64" i="10"/>
  <c r="BH64" i="10"/>
  <c r="BG64" i="10"/>
  <c r="BE64" i="10" s="1"/>
  <c r="BF64" i="10"/>
  <c r="BD64" i="10"/>
  <c r="AW64" i="10"/>
  <c r="AV64" i="10"/>
  <c r="AS64" i="10"/>
  <c r="AR64" i="10"/>
  <c r="AQ64" i="10" s="1"/>
  <c r="AO64" i="10"/>
  <c r="AM64" i="10" s="1"/>
  <c r="AN64" i="10"/>
  <c r="AY64" i="10" s="1"/>
  <c r="AL64" i="10"/>
  <c r="AF64" i="10"/>
  <c r="AE64" i="10"/>
  <c r="AB64" i="10"/>
  <c r="AA64" i="10"/>
  <c r="X64" i="10"/>
  <c r="V64" i="10"/>
  <c r="U64" i="10"/>
  <c r="W64" i="10" s="1"/>
  <c r="T64" i="10"/>
  <c r="S64" i="10"/>
  <c r="Q64" i="10"/>
  <c r="O64" i="10"/>
  <c r="N64" i="10"/>
  <c r="P64" i="10" s="1"/>
  <c r="M64" i="10"/>
  <c r="L64" i="10" s="1"/>
  <c r="H64" i="10"/>
  <c r="G64" i="10"/>
  <c r="F64" i="10"/>
  <c r="B64" i="10"/>
  <c r="A64" i="10"/>
  <c r="BX63" i="10"/>
  <c r="BW63" i="10"/>
  <c r="BV63" i="10"/>
  <c r="BU63" i="10"/>
  <c r="BT63" i="10"/>
  <c r="BS63" i="10"/>
  <c r="BQ63" i="10"/>
  <c r="BO63" i="10"/>
  <c r="BN63" i="10"/>
  <c r="BL63" i="10"/>
  <c r="BK63" i="10"/>
  <c r="BJ63" i="10"/>
  <c r="BI63" i="10"/>
  <c r="BH63" i="10"/>
  <c r="BG63" i="10"/>
  <c r="BE63" i="10" s="1"/>
  <c r="BF63" i="10"/>
  <c r="BD63" i="10"/>
  <c r="AY63" i="10"/>
  <c r="AW63" i="10"/>
  <c r="AV63" i="10"/>
  <c r="AU63" i="10" s="1"/>
  <c r="AX63" i="10" s="1"/>
  <c r="BA63" i="10" s="1"/>
  <c r="AS63" i="10"/>
  <c r="AR63" i="10"/>
  <c r="AO63" i="10"/>
  <c r="AM63" i="10" s="1"/>
  <c r="AN63" i="10"/>
  <c r="AL63" i="10"/>
  <c r="AH63" i="10"/>
  <c r="AF63" i="10"/>
  <c r="AE63" i="10"/>
  <c r="AB63" i="10"/>
  <c r="AA63" i="10"/>
  <c r="Z63" i="10"/>
  <c r="X63" i="10"/>
  <c r="W63" i="10"/>
  <c r="V63" i="10"/>
  <c r="U63" i="10"/>
  <c r="T63" i="10"/>
  <c r="S63" i="10"/>
  <c r="Q63" i="10"/>
  <c r="N63" i="10"/>
  <c r="M63" i="10"/>
  <c r="G63" i="10"/>
  <c r="F63" i="10"/>
  <c r="H63" i="10" s="1"/>
  <c r="D63" i="10"/>
  <c r="C63" i="10"/>
  <c r="B63" i="10"/>
  <c r="E63" i="10" s="1"/>
  <c r="A63" i="10"/>
  <c r="BX62" i="10"/>
  <c r="BW62" i="10"/>
  <c r="BV62" i="10"/>
  <c r="BU62" i="10"/>
  <c r="BT62" i="10"/>
  <c r="BS62" i="10"/>
  <c r="BR62" i="10"/>
  <c r="BO62" i="10"/>
  <c r="BN62" i="10"/>
  <c r="BM62" i="10"/>
  <c r="BL62" i="10"/>
  <c r="BK62" i="10"/>
  <c r="BJ62" i="10"/>
  <c r="BH62" i="10"/>
  <c r="BG62" i="10"/>
  <c r="BF62" i="10"/>
  <c r="BE62" i="10"/>
  <c r="BD62" i="10"/>
  <c r="AW62" i="10"/>
  <c r="AU62" i="10" s="1"/>
  <c r="AX62" i="10" s="1"/>
  <c r="BA62" i="10" s="1"/>
  <c r="AV62" i="10"/>
  <c r="AY62" i="10" s="1"/>
  <c r="AS62" i="10"/>
  <c r="AQ62" i="10" s="1"/>
  <c r="AR62" i="10"/>
  <c r="AO62" i="10"/>
  <c r="AN62" i="10"/>
  <c r="AM62" i="10"/>
  <c r="AL62" i="10"/>
  <c r="AK62" i="10"/>
  <c r="AJ62" i="10"/>
  <c r="AF62" i="10"/>
  <c r="AE62" i="10"/>
  <c r="AB62" i="10"/>
  <c r="AI62" i="10" s="1"/>
  <c r="AA62" i="10"/>
  <c r="Z62" i="10"/>
  <c r="X62" i="10"/>
  <c r="V62" i="10"/>
  <c r="U62" i="10"/>
  <c r="W62" i="10" s="1"/>
  <c r="T62" i="10"/>
  <c r="S62" i="10" s="1"/>
  <c r="Q62" i="10"/>
  <c r="P62" i="10"/>
  <c r="O62" i="10"/>
  <c r="N62" i="10"/>
  <c r="M62" i="10"/>
  <c r="L62" i="10" s="1"/>
  <c r="H62" i="10"/>
  <c r="G62" i="10"/>
  <c r="F62" i="10"/>
  <c r="E62" i="10"/>
  <c r="B62" i="10"/>
  <c r="C62" i="10" s="1"/>
  <c r="A62" i="10"/>
  <c r="BX61" i="10"/>
  <c r="BW61" i="10"/>
  <c r="BV61" i="10"/>
  <c r="BU61" i="10"/>
  <c r="BS61" i="10"/>
  <c r="BO61" i="10"/>
  <c r="BR61" i="10" s="1"/>
  <c r="BP61" i="10" s="1"/>
  <c r="BN61" i="10"/>
  <c r="BQ61" i="10" s="1"/>
  <c r="BM61" i="10"/>
  <c r="BL61" i="10"/>
  <c r="BK61" i="10"/>
  <c r="BJ61" i="10"/>
  <c r="BI61" i="10" s="1"/>
  <c r="BH61" i="10"/>
  <c r="BG61" i="10"/>
  <c r="BF61" i="10"/>
  <c r="BE61" i="10"/>
  <c r="BD61" i="10"/>
  <c r="AX61" i="10"/>
  <c r="BA61" i="10" s="1"/>
  <c r="AW61" i="10"/>
  <c r="AU61" i="10" s="1"/>
  <c r="AV61" i="10"/>
  <c r="AS61" i="10"/>
  <c r="AR61" i="10"/>
  <c r="AQ61" i="10"/>
  <c r="AO61" i="10"/>
  <c r="AZ61" i="10" s="1"/>
  <c r="AN61" i="10"/>
  <c r="AY61" i="10" s="1"/>
  <c r="AM61" i="10"/>
  <c r="AL61" i="10"/>
  <c r="AF61" i="10"/>
  <c r="AE61" i="10"/>
  <c r="AB61" i="10"/>
  <c r="AA61" i="10"/>
  <c r="Z61" i="10"/>
  <c r="X61" i="10"/>
  <c r="U61" i="10"/>
  <c r="T61" i="10"/>
  <c r="Q61" i="10"/>
  <c r="N61" i="10"/>
  <c r="M61" i="10"/>
  <c r="H61" i="10"/>
  <c r="G61" i="10"/>
  <c r="F61" i="10"/>
  <c r="B61" i="10"/>
  <c r="A61" i="10"/>
  <c r="BX60" i="10"/>
  <c r="BW60" i="10"/>
  <c r="BV60" i="10"/>
  <c r="BU60" i="10"/>
  <c r="BT60" i="10" s="1"/>
  <c r="BS60" i="10"/>
  <c r="BR60" i="10"/>
  <c r="BP60" i="10" s="1"/>
  <c r="BQ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AZ60" i="10"/>
  <c r="AW60" i="10"/>
  <c r="AV60" i="10"/>
  <c r="AY60" i="10" s="1"/>
  <c r="AU60" i="10"/>
  <c r="AS60" i="10"/>
  <c r="AR60" i="10"/>
  <c r="AQ60" i="10"/>
  <c r="AO60" i="10"/>
  <c r="AN60" i="10"/>
  <c r="AM60" i="10"/>
  <c r="AL60" i="10"/>
  <c r="AH60" i="10"/>
  <c r="BB60" i="10" s="1"/>
  <c r="AF60" i="10"/>
  <c r="AE60" i="10"/>
  <c r="AB60" i="10"/>
  <c r="AA60" i="10"/>
  <c r="Z60" i="10" s="1"/>
  <c r="X60" i="10"/>
  <c r="W60" i="10"/>
  <c r="V60" i="10"/>
  <c r="U60" i="10"/>
  <c r="T60" i="10"/>
  <c r="S60" i="10"/>
  <c r="Q60" i="10"/>
  <c r="N60" i="10"/>
  <c r="L60" i="10" s="1"/>
  <c r="M60" i="10"/>
  <c r="F60" i="10"/>
  <c r="E60" i="10"/>
  <c r="D60" i="10"/>
  <c r="C60" i="10"/>
  <c r="B60" i="10"/>
  <c r="A60" i="10"/>
  <c r="BX59" i="10"/>
  <c r="BW59" i="10"/>
  <c r="BV59" i="10"/>
  <c r="BU59" i="10"/>
  <c r="BT59" i="10"/>
  <c r="BS59" i="10"/>
  <c r="BO59" i="10"/>
  <c r="BN59" i="10"/>
  <c r="BQ59" i="10" s="1"/>
  <c r="BM59" i="10"/>
  <c r="BL59" i="10"/>
  <c r="BK59" i="10"/>
  <c r="BI59" i="10" s="1"/>
  <c r="BJ59" i="10"/>
  <c r="BH59" i="10"/>
  <c r="BG59" i="10"/>
  <c r="BF59" i="10"/>
  <c r="BE59" i="10"/>
  <c r="BD59" i="10"/>
  <c r="AW59" i="10"/>
  <c r="AZ59" i="10" s="1"/>
  <c r="AV59" i="10"/>
  <c r="AY59" i="10" s="1"/>
  <c r="AS59" i="10"/>
  <c r="AR59" i="10"/>
  <c r="AQ59" i="10"/>
  <c r="AO59" i="10"/>
  <c r="AN59" i="10"/>
  <c r="AM59" i="10" s="1"/>
  <c r="AL59" i="10"/>
  <c r="AF59" i="10"/>
  <c r="AE59" i="10"/>
  <c r="AB59" i="10"/>
  <c r="AA59" i="10"/>
  <c r="X59" i="10"/>
  <c r="U59" i="10"/>
  <c r="T59" i="10"/>
  <c r="Q59" i="10"/>
  <c r="N59" i="10"/>
  <c r="O59" i="10" s="1"/>
  <c r="M59" i="10"/>
  <c r="L59" i="10"/>
  <c r="F59" i="10"/>
  <c r="B59" i="10"/>
  <c r="D59" i="10" s="1"/>
  <c r="A59" i="10"/>
  <c r="BX58" i="10"/>
  <c r="BW58" i="10"/>
  <c r="BV58" i="10"/>
  <c r="BT58" i="10" s="1"/>
  <c r="BU58" i="10"/>
  <c r="BS58" i="10"/>
  <c r="BQ58" i="10"/>
  <c r="BO58" i="10"/>
  <c r="BN58" i="10"/>
  <c r="BL58" i="10"/>
  <c r="BK58" i="10"/>
  <c r="BJ58" i="10"/>
  <c r="BI58" i="10"/>
  <c r="BH58" i="10"/>
  <c r="BG58" i="10"/>
  <c r="BE58" i="10" s="1"/>
  <c r="BF58" i="10"/>
  <c r="BD58" i="10"/>
  <c r="AY58" i="10"/>
  <c r="AX58" i="10"/>
  <c r="BA58" i="10" s="1"/>
  <c r="AW58" i="10"/>
  <c r="AV58" i="10"/>
  <c r="AU58" i="10"/>
  <c r="AS58" i="10"/>
  <c r="AR58" i="10"/>
  <c r="AQ58" i="10"/>
  <c r="AO58" i="10"/>
  <c r="AM58" i="10" s="1"/>
  <c r="AN58" i="10"/>
  <c r="AL58" i="10"/>
  <c r="AF58" i="10"/>
  <c r="AE58" i="10"/>
  <c r="AB58" i="10"/>
  <c r="AA58" i="10"/>
  <c r="Z58" i="10"/>
  <c r="X58" i="10"/>
  <c r="U58" i="10"/>
  <c r="S58" i="10" s="1"/>
  <c r="T58" i="10"/>
  <c r="Q58" i="10"/>
  <c r="N58" i="10"/>
  <c r="M58" i="10"/>
  <c r="AH58" i="10" s="1"/>
  <c r="F58" i="10"/>
  <c r="G58" i="10" s="1"/>
  <c r="B58" i="10"/>
  <c r="E58" i="10" s="1"/>
  <c r="A58" i="10"/>
  <c r="BX57" i="10"/>
  <c r="BW57" i="10"/>
  <c r="BV57" i="10"/>
  <c r="BU57" i="10"/>
  <c r="BT57" i="10"/>
  <c r="BS57" i="10"/>
  <c r="BR57" i="10"/>
  <c r="BO57" i="10"/>
  <c r="BN57" i="10"/>
  <c r="BM57" i="10"/>
  <c r="BL57" i="10"/>
  <c r="BK57" i="10"/>
  <c r="BJ57" i="10"/>
  <c r="BQ57" i="10" s="1"/>
  <c r="BI57" i="10"/>
  <c r="BH57" i="10"/>
  <c r="BG57" i="10"/>
  <c r="BF57" i="10"/>
  <c r="BE57" i="10"/>
  <c r="BD57" i="10"/>
  <c r="AW57" i="10"/>
  <c r="AZ57" i="10" s="1"/>
  <c r="AV57" i="10"/>
  <c r="AS57" i="10"/>
  <c r="AR57" i="10"/>
  <c r="AO57" i="10"/>
  <c r="AN57" i="10"/>
  <c r="AM57" i="10"/>
  <c r="AL57" i="10"/>
  <c r="AF57" i="10"/>
  <c r="AE57" i="10"/>
  <c r="AB57" i="10"/>
  <c r="AI57" i="10" s="1"/>
  <c r="AA57" i="10"/>
  <c r="AH57" i="10" s="1"/>
  <c r="X57" i="10"/>
  <c r="U57" i="10"/>
  <c r="V57" i="10" s="1"/>
  <c r="T57" i="10"/>
  <c r="S57" i="10"/>
  <c r="Q57" i="10"/>
  <c r="P57" i="10"/>
  <c r="O57" i="10"/>
  <c r="N57" i="10"/>
  <c r="M57" i="10"/>
  <c r="L57" i="10"/>
  <c r="F57" i="10"/>
  <c r="H57" i="10" s="1"/>
  <c r="E57" i="10"/>
  <c r="D57" i="10"/>
  <c r="C57" i="10"/>
  <c r="B57" i="10"/>
  <c r="A57" i="10"/>
  <c r="BX56" i="10"/>
  <c r="BW56" i="10"/>
  <c r="BV56" i="10"/>
  <c r="BU56" i="10"/>
  <c r="BT56" i="10"/>
  <c r="BS56" i="10"/>
  <c r="BO56" i="10"/>
  <c r="BN56" i="10"/>
  <c r="BQ56" i="10" s="1"/>
  <c r="BL56" i="10"/>
  <c r="BK56" i="10"/>
  <c r="BJ56" i="10"/>
  <c r="BI56" i="10"/>
  <c r="BH56" i="10"/>
  <c r="BG56" i="10"/>
  <c r="BE56" i="10" s="1"/>
  <c r="BF56" i="10"/>
  <c r="BD56" i="10"/>
  <c r="AW56" i="10"/>
  <c r="AV56" i="10"/>
  <c r="AY56" i="10" s="1"/>
  <c r="BB56" i="10" s="1"/>
  <c r="AS56" i="10"/>
  <c r="AR56" i="10"/>
  <c r="AQ56" i="10"/>
  <c r="AO56" i="10"/>
  <c r="AN56" i="10"/>
  <c r="AM56" i="10"/>
  <c r="AL56" i="10"/>
  <c r="AF56" i="10"/>
  <c r="AE56" i="10"/>
  <c r="AB56" i="10"/>
  <c r="AA56" i="10"/>
  <c r="X56" i="10"/>
  <c r="U56" i="10"/>
  <c r="W56" i="10" s="1"/>
  <c r="T56" i="10"/>
  <c r="AH56" i="10" s="1"/>
  <c r="Q56" i="10"/>
  <c r="N56" i="10"/>
  <c r="P56" i="10" s="1"/>
  <c r="M56" i="10"/>
  <c r="L56" i="10"/>
  <c r="H56" i="10"/>
  <c r="G56" i="10"/>
  <c r="F56" i="10"/>
  <c r="B56" i="10"/>
  <c r="A56" i="10"/>
  <c r="BX55" i="10"/>
  <c r="BW55" i="10"/>
  <c r="BV55" i="10"/>
  <c r="BU55" i="10"/>
  <c r="BT55" i="10"/>
  <c r="BS55" i="10"/>
  <c r="BR55" i="10"/>
  <c r="BQ55" i="10"/>
  <c r="BO55" i="10"/>
  <c r="BM55" i="10" s="1"/>
  <c r="BN55" i="10"/>
  <c r="BL55" i="10"/>
  <c r="BK55" i="10"/>
  <c r="BJ55" i="10"/>
  <c r="BI55" i="10" s="1"/>
  <c r="BH55" i="10"/>
  <c r="BG55" i="10"/>
  <c r="BE55" i="10" s="1"/>
  <c r="BF55" i="10"/>
  <c r="BD55" i="10"/>
  <c r="BA55" i="10"/>
  <c r="AY55" i="10"/>
  <c r="BB55" i="10" s="1"/>
  <c r="AW55" i="10"/>
  <c r="AV55" i="10"/>
  <c r="AU55" i="10"/>
  <c r="AX55" i="10" s="1"/>
  <c r="AS55" i="10"/>
  <c r="AR55" i="10"/>
  <c r="AQ55" i="10"/>
  <c r="AO55" i="10"/>
  <c r="AM55" i="10" s="1"/>
  <c r="AN55" i="10"/>
  <c r="AL55" i="10"/>
  <c r="AF55" i="10"/>
  <c r="AE55" i="10"/>
  <c r="AB55" i="10"/>
  <c r="AA55" i="10"/>
  <c r="Z55" i="10"/>
  <c r="X55" i="10"/>
  <c r="W55" i="10"/>
  <c r="V55" i="10"/>
  <c r="U55" i="10"/>
  <c r="T55" i="10"/>
  <c r="S55" i="10"/>
  <c r="Q55" i="10"/>
  <c r="N55" i="10"/>
  <c r="P55" i="10" s="1"/>
  <c r="M55" i="10"/>
  <c r="AH55" i="10" s="1"/>
  <c r="F55" i="10"/>
  <c r="H55" i="10" s="1"/>
  <c r="E55" i="10"/>
  <c r="D55" i="10"/>
  <c r="C55" i="10"/>
  <c r="B55" i="10"/>
  <c r="A55" i="10"/>
  <c r="BX54" i="10"/>
  <c r="BW54" i="10"/>
  <c r="BV54" i="10"/>
  <c r="BT54" i="10" s="1"/>
  <c r="BU54" i="10"/>
  <c r="BS54" i="10"/>
  <c r="BO54" i="10"/>
  <c r="BN54" i="10"/>
  <c r="BM54" i="10" s="1"/>
  <c r="BL54" i="10"/>
  <c r="BK54" i="10"/>
  <c r="BI54" i="10" s="1"/>
  <c r="BJ54" i="10"/>
  <c r="BH54" i="10"/>
  <c r="BG54" i="10"/>
  <c r="BE54" i="10" s="1"/>
  <c r="BF54" i="10"/>
  <c r="BD54" i="10"/>
  <c r="AW54" i="10"/>
  <c r="AV54" i="10"/>
  <c r="AS54" i="10"/>
  <c r="AQ54" i="10" s="1"/>
  <c r="AR54" i="10"/>
  <c r="AO54" i="10"/>
  <c r="AN54" i="10"/>
  <c r="AY54" i="10" s="1"/>
  <c r="BB54" i="10" s="1"/>
  <c r="AM54" i="10"/>
  <c r="AL54" i="10"/>
  <c r="AF54" i="10"/>
  <c r="AE54" i="10"/>
  <c r="AB54" i="10"/>
  <c r="AI54" i="10" s="1"/>
  <c r="AK54" i="10" s="1"/>
  <c r="AA54" i="10"/>
  <c r="AH54" i="10" s="1"/>
  <c r="X54" i="10"/>
  <c r="U54" i="10"/>
  <c r="W54" i="10" s="1"/>
  <c r="T54" i="10"/>
  <c r="S54" i="10"/>
  <c r="Q54" i="10"/>
  <c r="P54" i="10"/>
  <c r="O54" i="10"/>
  <c r="N54" i="10"/>
  <c r="M54" i="10"/>
  <c r="L54" i="10"/>
  <c r="H54" i="10"/>
  <c r="G54" i="10"/>
  <c r="F54" i="10"/>
  <c r="E54" i="10"/>
  <c r="B54" i="10"/>
  <c r="A54" i="10"/>
  <c r="BX53" i="10"/>
  <c r="BW53" i="10"/>
  <c r="BV53" i="10"/>
  <c r="BU53" i="10"/>
  <c r="BS53" i="10"/>
  <c r="BR53" i="10"/>
  <c r="BO53" i="10"/>
  <c r="BN53" i="10"/>
  <c r="BM53" i="10"/>
  <c r="BL53" i="10"/>
  <c r="BK53" i="10"/>
  <c r="BJ53" i="10"/>
  <c r="BI53" i="10" s="1"/>
  <c r="BH53" i="10"/>
  <c r="BG53" i="10"/>
  <c r="BF53" i="10"/>
  <c r="BE53" i="10"/>
  <c r="BD53" i="10"/>
  <c r="BA53" i="10"/>
  <c r="AW53" i="10"/>
  <c r="AU53" i="10" s="1"/>
  <c r="AX53" i="10" s="1"/>
  <c r="AV53" i="10"/>
  <c r="AS53" i="10"/>
  <c r="AR53" i="10"/>
  <c r="AY53" i="10" s="1"/>
  <c r="BB53" i="10" s="1"/>
  <c r="AQ53" i="10"/>
  <c r="AO53" i="10"/>
  <c r="AM53" i="10" s="1"/>
  <c r="AN53" i="10"/>
  <c r="AL53" i="10"/>
  <c r="AF53" i="10"/>
  <c r="AE53" i="10"/>
  <c r="AB53" i="10"/>
  <c r="AA53" i="10"/>
  <c r="Z53" i="10"/>
  <c r="X53" i="10"/>
  <c r="W53" i="10"/>
  <c r="V53" i="10"/>
  <c r="U53" i="10"/>
  <c r="S53" i="10" s="1"/>
  <c r="T53" i="10"/>
  <c r="Q53" i="10"/>
  <c r="N53" i="10"/>
  <c r="P53" i="10" s="1"/>
  <c r="M53" i="10"/>
  <c r="AH53" i="10" s="1"/>
  <c r="L53" i="10"/>
  <c r="H53" i="10"/>
  <c r="G53" i="10"/>
  <c r="F53" i="10"/>
  <c r="D53" i="10"/>
  <c r="C53" i="10"/>
  <c r="B53" i="10"/>
  <c r="E53" i="10" s="1"/>
  <c r="A53" i="10"/>
  <c r="BX52" i="10"/>
  <c r="BW52" i="10"/>
  <c r="BV52" i="10"/>
  <c r="BU52" i="10"/>
  <c r="BT52" i="10"/>
  <c r="BS52" i="10"/>
  <c r="BQ52" i="10"/>
  <c r="BO52" i="10"/>
  <c r="BN52" i="10"/>
  <c r="BM52" i="10"/>
  <c r="BL52" i="10"/>
  <c r="BK52" i="10"/>
  <c r="BR52" i="10" s="1"/>
  <c r="BP52" i="10" s="1"/>
  <c r="BJ52" i="10"/>
  <c r="BI52" i="10"/>
  <c r="BH52" i="10"/>
  <c r="BG52" i="10"/>
  <c r="BF52" i="10"/>
  <c r="BE52" i="10"/>
  <c r="BD52" i="10"/>
  <c r="BA52" i="10"/>
  <c r="AW52" i="10"/>
  <c r="AV52" i="10"/>
  <c r="AU52" i="10"/>
  <c r="AX52" i="10" s="1"/>
  <c r="AS52" i="10"/>
  <c r="AQ52" i="10" s="1"/>
  <c r="AR52" i="10"/>
  <c r="AO52" i="10"/>
  <c r="AM52" i="10" s="1"/>
  <c r="AN52" i="10"/>
  <c r="AL52" i="10"/>
  <c r="AI52" i="10"/>
  <c r="AK52" i="10" s="1"/>
  <c r="AF52" i="10"/>
  <c r="AE52" i="10"/>
  <c r="AB52" i="10"/>
  <c r="AA52" i="10"/>
  <c r="Z52" i="10"/>
  <c r="X52" i="10"/>
  <c r="W52" i="10"/>
  <c r="V52" i="10"/>
  <c r="U52" i="10"/>
  <c r="T52" i="10"/>
  <c r="S52" i="10"/>
  <c r="Q52" i="10"/>
  <c r="P52" i="10"/>
  <c r="O52" i="10"/>
  <c r="N52" i="10"/>
  <c r="M52" i="10"/>
  <c r="AH52" i="10" s="1"/>
  <c r="AG52" i="10" s="1"/>
  <c r="H52" i="10"/>
  <c r="F52" i="10"/>
  <c r="G52" i="10" s="1"/>
  <c r="D52" i="10"/>
  <c r="C52" i="10"/>
  <c r="B52" i="10"/>
  <c r="E52" i="10" s="1"/>
  <c r="A52" i="10"/>
  <c r="BX51" i="10"/>
  <c r="BW51" i="10"/>
  <c r="BV51" i="10"/>
  <c r="BU51" i="10"/>
  <c r="BT51" i="10"/>
  <c r="BS51" i="10"/>
  <c r="BO51" i="10"/>
  <c r="BM51" i="10" s="1"/>
  <c r="BN51" i="10"/>
  <c r="BL51" i="10"/>
  <c r="BK51" i="10"/>
  <c r="BJ51" i="10"/>
  <c r="BH51" i="10"/>
  <c r="BG51" i="10"/>
  <c r="BE51" i="10" s="1"/>
  <c r="BF51" i="10"/>
  <c r="BD51" i="10"/>
  <c r="AZ51" i="10"/>
  <c r="AX51" i="10"/>
  <c r="BA51" i="10" s="1"/>
  <c r="AW51" i="10"/>
  <c r="AU51" i="10" s="1"/>
  <c r="AV51" i="10"/>
  <c r="AS51" i="10"/>
  <c r="AR51" i="10"/>
  <c r="AQ51" i="10"/>
  <c r="AO51" i="10"/>
  <c r="AN51" i="10"/>
  <c r="AY51" i="10" s="1"/>
  <c r="BB51" i="10" s="1"/>
  <c r="AL51" i="10"/>
  <c r="AF51" i="10"/>
  <c r="AE51" i="10"/>
  <c r="AB51" i="10"/>
  <c r="AA51" i="10"/>
  <c r="X51" i="10"/>
  <c r="W51" i="10"/>
  <c r="V51" i="10"/>
  <c r="U51" i="10"/>
  <c r="S51" i="10" s="1"/>
  <c r="T51" i="10"/>
  <c r="AH51" i="10" s="1"/>
  <c r="Q51" i="10"/>
  <c r="N51" i="10"/>
  <c r="O51" i="10" s="1"/>
  <c r="M51" i="10"/>
  <c r="L51" i="10"/>
  <c r="H51" i="10"/>
  <c r="G51" i="10"/>
  <c r="F51" i="10"/>
  <c r="B51" i="10"/>
  <c r="D51" i="10" s="1"/>
  <c r="A51" i="10"/>
  <c r="BX50" i="10"/>
  <c r="BW50" i="10"/>
  <c r="BV50" i="10"/>
  <c r="BT50" i="10" s="1"/>
  <c r="BU50" i="10"/>
  <c r="BS50" i="10"/>
  <c r="BO50" i="10"/>
  <c r="BR50" i="10" s="1"/>
  <c r="BP50" i="10" s="1"/>
  <c r="BN50" i="10"/>
  <c r="BQ50" i="10" s="1"/>
  <c r="BM50" i="10"/>
  <c r="BL50" i="10"/>
  <c r="BK50" i="10"/>
  <c r="BJ50" i="10"/>
  <c r="BI50" i="10"/>
  <c r="BH50" i="10"/>
  <c r="BG50" i="10"/>
  <c r="BF50" i="10"/>
  <c r="BE50" i="10"/>
  <c r="BD50" i="10"/>
  <c r="AY50" i="10"/>
  <c r="AW50" i="10"/>
  <c r="AV50" i="10"/>
  <c r="AS50" i="10"/>
  <c r="AR50" i="10"/>
  <c r="AQ50" i="10"/>
  <c r="AO50" i="10"/>
  <c r="AN50" i="10"/>
  <c r="AM50" i="10"/>
  <c r="AL50" i="10"/>
  <c r="AF50" i="10"/>
  <c r="AE50" i="10"/>
  <c r="AB50" i="10"/>
  <c r="AA50" i="10"/>
  <c r="Z50" i="10"/>
  <c r="X50" i="10"/>
  <c r="W50" i="10"/>
  <c r="V50" i="10"/>
  <c r="U50" i="10"/>
  <c r="T50" i="10"/>
  <c r="AH50" i="10" s="1"/>
  <c r="Q50" i="10"/>
  <c r="N50" i="10"/>
  <c r="P50" i="10" s="1"/>
  <c r="M50" i="10"/>
  <c r="L50" i="10"/>
  <c r="F50" i="10"/>
  <c r="B50" i="10"/>
  <c r="D50" i="10" s="1"/>
  <c r="A50" i="10"/>
  <c r="BX49" i="10"/>
  <c r="BW49" i="10"/>
  <c r="BV49" i="10"/>
  <c r="BT49" i="10" s="1"/>
  <c r="BU49" i="10"/>
  <c r="BS49" i="10"/>
  <c r="BR49" i="10"/>
  <c r="BO49" i="10"/>
  <c r="BN49" i="10"/>
  <c r="BL49" i="10"/>
  <c r="BK49" i="10"/>
  <c r="BJ49" i="10"/>
  <c r="BI49" i="10"/>
  <c r="BH49" i="10"/>
  <c r="BG49" i="10"/>
  <c r="BF49" i="10"/>
  <c r="BE49" i="10" s="1"/>
  <c r="BD49" i="10"/>
  <c r="AW49" i="10"/>
  <c r="AV49" i="10"/>
  <c r="AS49" i="10"/>
  <c r="AR49" i="10"/>
  <c r="AQ49" i="10"/>
  <c r="AO49" i="10"/>
  <c r="AN49" i="10"/>
  <c r="AM49" i="10"/>
  <c r="AL49" i="10"/>
  <c r="AF49" i="10"/>
  <c r="AE49" i="10"/>
  <c r="AB49" i="10"/>
  <c r="AA49" i="10"/>
  <c r="X49" i="10"/>
  <c r="U49" i="10"/>
  <c r="V49" i="10" s="1"/>
  <c r="T49" i="10"/>
  <c r="AH49" i="10" s="1"/>
  <c r="Q49" i="10"/>
  <c r="N49" i="10"/>
  <c r="O49" i="10" s="1"/>
  <c r="M49" i="10"/>
  <c r="L49" i="10"/>
  <c r="F49" i="10"/>
  <c r="E49" i="10"/>
  <c r="D49" i="10"/>
  <c r="C49" i="10"/>
  <c r="B49" i="10"/>
  <c r="A49" i="10"/>
  <c r="BX48" i="10"/>
  <c r="BW48" i="10"/>
  <c r="BV48" i="10"/>
  <c r="BT48" i="10" s="1"/>
  <c r="BU48" i="10"/>
  <c r="BS48" i="10"/>
  <c r="BO48" i="10"/>
  <c r="BN48" i="10"/>
  <c r="BQ48" i="10" s="1"/>
  <c r="BM48" i="10"/>
  <c r="BL48" i="10"/>
  <c r="BK48" i="10"/>
  <c r="BJ48" i="10"/>
  <c r="BI48" i="10"/>
  <c r="BH48" i="10"/>
  <c r="BG48" i="10"/>
  <c r="BF48" i="10"/>
  <c r="BE48" i="10"/>
  <c r="BD48" i="10"/>
  <c r="AW48" i="10"/>
  <c r="AZ48" i="10" s="1"/>
  <c r="AV48" i="10"/>
  <c r="AY48" i="10" s="1"/>
  <c r="AS48" i="10"/>
  <c r="AR48" i="10"/>
  <c r="AQ48" i="10" s="1"/>
  <c r="AO48" i="10"/>
  <c r="AM48" i="10" s="1"/>
  <c r="AN48" i="10"/>
  <c r="AL48" i="10"/>
  <c r="AF48" i="10"/>
  <c r="AE48" i="10"/>
  <c r="AB48" i="10"/>
  <c r="AA48" i="10"/>
  <c r="AH48" i="10" s="1"/>
  <c r="X48" i="10"/>
  <c r="V48" i="10"/>
  <c r="U48" i="10"/>
  <c r="W48" i="10" s="1"/>
  <c r="T48" i="10"/>
  <c r="S48" i="10"/>
  <c r="Q48" i="10"/>
  <c r="O48" i="10"/>
  <c r="N48" i="10"/>
  <c r="P48" i="10" s="1"/>
  <c r="M48" i="10"/>
  <c r="F48" i="10"/>
  <c r="H48" i="10" s="1"/>
  <c r="D48" i="10"/>
  <c r="C48" i="10"/>
  <c r="B48" i="10"/>
  <c r="E48" i="10" s="1"/>
  <c r="A48" i="10"/>
  <c r="BX47" i="10"/>
  <c r="BW47" i="10"/>
  <c r="BV47" i="10"/>
  <c r="BT47" i="10" s="1"/>
  <c r="BU47" i="10"/>
  <c r="BS47" i="10"/>
  <c r="BO47" i="10"/>
  <c r="BN47" i="10"/>
  <c r="BL47" i="10"/>
  <c r="BK47" i="10"/>
  <c r="BR47" i="10" s="1"/>
  <c r="BJ47" i="10"/>
  <c r="BH47" i="10"/>
  <c r="BG47" i="10"/>
  <c r="BE47" i="10" s="1"/>
  <c r="BF47" i="10"/>
  <c r="BD47" i="10"/>
  <c r="AW47" i="10"/>
  <c r="AV47" i="10"/>
  <c r="AY47" i="10" s="1"/>
  <c r="BB47" i="10" s="1"/>
  <c r="AU47" i="10"/>
  <c r="AX47" i="10" s="1"/>
  <c r="BA47" i="10" s="1"/>
  <c r="AT47" i="10"/>
  <c r="AS47" i="10"/>
  <c r="AR47" i="10"/>
  <c r="AP47" i="10"/>
  <c r="AO47" i="10"/>
  <c r="AN47" i="10"/>
  <c r="AM47" i="10"/>
  <c r="AL47" i="10"/>
  <c r="AK47" i="10"/>
  <c r="AF47" i="10"/>
  <c r="AE47" i="10"/>
  <c r="AB47" i="10"/>
  <c r="AI47" i="10" s="1"/>
  <c r="AA47" i="10"/>
  <c r="AH47" i="10" s="1"/>
  <c r="Z47" i="10"/>
  <c r="X47" i="10"/>
  <c r="U47" i="10"/>
  <c r="V47" i="10" s="1"/>
  <c r="T47" i="10"/>
  <c r="S47" i="10"/>
  <c r="Q47" i="10"/>
  <c r="P47" i="10"/>
  <c r="O47" i="10"/>
  <c r="N47" i="10"/>
  <c r="L47" i="10" s="1"/>
  <c r="M47" i="10"/>
  <c r="J47" i="10"/>
  <c r="H47" i="10"/>
  <c r="G47" i="10"/>
  <c r="F47" i="10"/>
  <c r="E47" i="10"/>
  <c r="D47" i="10"/>
  <c r="B47" i="10"/>
  <c r="C47" i="10" s="1"/>
  <c r="A47" i="10"/>
  <c r="BX46" i="10"/>
  <c r="BW46" i="10"/>
  <c r="BV46" i="10"/>
  <c r="BU46" i="10"/>
  <c r="BT46" i="10"/>
  <c r="BS46" i="10"/>
  <c r="BO46" i="10"/>
  <c r="BR46" i="10" s="1"/>
  <c r="BN46" i="10"/>
  <c r="BQ46" i="10" s="1"/>
  <c r="BL46" i="10"/>
  <c r="BK46" i="10"/>
  <c r="BJ46" i="10"/>
  <c r="BI46" i="10"/>
  <c r="BH46" i="10"/>
  <c r="BG46" i="10"/>
  <c r="BE46" i="10" s="1"/>
  <c r="BF46" i="10"/>
  <c r="BD46" i="10"/>
  <c r="AW46" i="10"/>
  <c r="AU46" i="10" s="1"/>
  <c r="AX46" i="10" s="1"/>
  <c r="BA46" i="10" s="1"/>
  <c r="AV46" i="10"/>
  <c r="AY46" i="10" s="1"/>
  <c r="BB46" i="10" s="1"/>
  <c r="AT46" i="10"/>
  <c r="AS46" i="10"/>
  <c r="AQ46" i="10" s="1"/>
  <c r="AR46" i="10"/>
  <c r="AP46" i="10"/>
  <c r="AO46" i="10"/>
  <c r="AN46" i="10"/>
  <c r="AL46" i="10"/>
  <c r="AK46" i="10"/>
  <c r="AF46" i="10"/>
  <c r="AE46" i="10"/>
  <c r="AB46" i="10"/>
  <c r="AI46" i="10" s="1"/>
  <c r="AA46" i="10"/>
  <c r="AH46" i="10" s="1"/>
  <c r="X46" i="10"/>
  <c r="U46" i="10"/>
  <c r="W46" i="10" s="1"/>
  <c r="T46" i="10"/>
  <c r="Q46" i="10"/>
  <c r="P46" i="10"/>
  <c r="N46" i="10"/>
  <c r="O46" i="10" s="1"/>
  <c r="M46" i="10"/>
  <c r="L46" i="10"/>
  <c r="J46" i="10"/>
  <c r="H46" i="10"/>
  <c r="G46" i="10"/>
  <c r="F46" i="10"/>
  <c r="B46" i="10"/>
  <c r="E46" i="10" s="1"/>
  <c r="A46" i="10"/>
  <c r="BX45" i="10"/>
  <c r="BW45" i="10"/>
  <c r="BV45" i="10"/>
  <c r="BT45" i="10" s="1"/>
  <c r="BU45" i="10"/>
  <c r="BS45" i="10"/>
  <c r="BO45" i="10"/>
  <c r="BN45" i="10"/>
  <c r="BQ45" i="10" s="1"/>
  <c r="BL45" i="10"/>
  <c r="BK45" i="10"/>
  <c r="BI45" i="10" s="1"/>
  <c r="BJ45" i="10"/>
  <c r="BH45" i="10"/>
  <c r="BG45" i="10"/>
  <c r="BR45" i="10" s="1"/>
  <c r="BF45" i="10"/>
  <c r="BE45" i="10"/>
  <c r="BD45" i="10"/>
  <c r="AW45" i="10"/>
  <c r="AZ45" i="10" s="1"/>
  <c r="AV45" i="10"/>
  <c r="AT45" i="10"/>
  <c r="AS45" i="10"/>
  <c r="AR45" i="10"/>
  <c r="AQ45" i="10"/>
  <c r="AP45" i="10"/>
  <c r="AO45" i="10"/>
  <c r="AN45" i="10"/>
  <c r="AL45" i="10"/>
  <c r="AH45" i="10"/>
  <c r="AF45" i="10"/>
  <c r="AE45" i="10"/>
  <c r="AB45" i="10"/>
  <c r="AA45" i="10"/>
  <c r="Z45" i="10" s="1"/>
  <c r="X45" i="10"/>
  <c r="U45" i="10"/>
  <c r="T45" i="10"/>
  <c r="Q45" i="10"/>
  <c r="N45" i="10"/>
  <c r="P45" i="10" s="1"/>
  <c r="M45" i="10"/>
  <c r="L45" i="10"/>
  <c r="J45" i="10"/>
  <c r="G45" i="10"/>
  <c r="F45" i="10"/>
  <c r="H45" i="10" s="1"/>
  <c r="B45" i="10"/>
  <c r="A45" i="10"/>
  <c r="BX44" i="10"/>
  <c r="BW44" i="10"/>
  <c r="BV44" i="10"/>
  <c r="BU44" i="10"/>
  <c r="BT44" i="10"/>
  <c r="BS44" i="10"/>
  <c r="BR44" i="10"/>
  <c r="BO44" i="10"/>
  <c r="BN44" i="10"/>
  <c r="BM44" i="10"/>
  <c r="BL44" i="10"/>
  <c r="BK44" i="10"/>
  <c r="BJ44" i="10"/>
  <c r="BQ44" i="10" s="1"/>
  <c r="BH44" i="10"/>
  <c r="BG44" i="10"/>
  <c r="BF44" i="10"/>
  <c r="BE44" i="10"/>
  <c r="BD44" i="10"/>
  <c r="AW44" i="10"/>
  <c r="AZ44" i="10" s="1"/>
  <c r="AV44" i="10"/>
  <c r="AY44" i="10" s="1"/>
  <c r="AT44" i="10"/>
  <c r="AS44" i="10"/>
  <c r="AQ44" i="10" s="1"/>
  <c r="AR44" i="10"/>
  <c r="AP44" i="10"/>
  <c r="AO44" i="10"/>
  <c r="AM44" i="10" s="1"/>
  <c r="AN44" i="10"/>
  <c r="AL44" i="10"/>
  <c r="AF44" i="10"/>
  <c r="AB44" i="10"/>
  <c r="AA44" i="10"/>
  <c r="X44" i="10"/>
  <c r="U44" i="10"/>
  <c r="T44" i="10"/>
  <c r="S44" i="10"/>
  <c r="R44" i="10"/>
  <c r="Q44" i="10"/>
  <c r="N44" i="10"/>
  <c r="P44" i="10" s="1"/>
  <c r="M44" i="10"/>
  <c r="K44" i="10"/>
  <c r="AE44" i="10" s="1"/>
  <c r="J44" i="10"/>
  <c r="F44" i="10"/>
  <c r="H44" i="10" s="1"/>
  <c r="D44" i="10"/>
  <c r="B44" i="10"/>
  <c r="A44" i="10"/>
  <c r="BX43" i="10"/>
  <c r="BW43" i="10"/>
  <c r="BV43" i="10"/>
  <c r="BU43" i="10"/>
  <c r="BT43" i="10"/>
  <c r="BS43" i="10"/>
  <c r="BR43" i="10"/>
  <c r="BP43" i="10" s="1"/>
  <c r="BO43" i="10"/>
  <c r="BN43" i="10"/>
  <c r="BM43" i="10"/>
  <c r="BL43" i="10"/>
  <c r="BK43" i="10"/>
  <c r="BJ43" i="10"/>
  <c r="BQ43" i="10" s="1"/>
  <c r="BH43" i="10"/>
  <c r="BG43" i="10"/>
  <c r="BF43" i="10"/>
  <c r="BE43" i="10"/>
  <c r="BD43" i="10"/>
  <c r="AW43" i="10"/>
  <c r="AZ43" i="10" s="1"/>
  <c r="AV43" i="10"/>
  <c r="AY43" i="10" s="1"/>
  <c r="BB43" i="10" s="1"/>
  <c r="AT43" i="10"/>
  <c r="AS43" i="10"/>
  <c r="AQ43" i="10" s="1"/>
  <c r="AR43" i="10"/>
  <c r="AP43" i="10"/>
  <c r="AO43" i="10"/>
  <c r="AM43" i="10" s="1"/>
  <c r="AN43" i="10"/>
  <c r="AL43" i="10"/>
  <c r="AF43" i="10"/>
  <c r="AB43" i="10"/>
  <c r="AA43" i="10"/>
  <c r="AH43" i="10" s="1"/>
  <c r="X43" i="10"/>
  <c r="Y43" i="10" s="1"/>
  <c r="V43" i="10"/>
  <c r="U43" i="10"/>
  <c r="S43" i="10" s="1"/>
  <c r="T43" i="10"/>
  <c r="Q43" i="10"/>
  <c r="R43" i="10" s="1"/>
  <c r="N43" i="10"/>
  <c r="M43" i="10"/>
  <c r="L43" i="10"/>
  <c r="K43" i="10"/>
  <c r="J43" i="10"/>
  <c r="F43" i="10"/>
  <c r="H43" i="10" s="1"/>
  <c r="E43" i="10"/>
  <c r="D43" i="10"/>
  <c r="C43" i="10"/>
  <c r="B43" i="10"/>
  <c r="A43" i="10"/>
  <c r="BX42" i="10"/>
  <c r="BW42" i="10"/>
  <c r="BV42" i="10"/>
  <c r="BT42" i="10" s="1"/>
  <c r="BU42" i="10"/>
  <c r="BS42" i="10"/>
  <c r="BO42" i="10"/>
  <c r="BN42" i="10"/>
  <c r="BQ42" i="10" s="1"/>
  <c r="BM42" i="10"/>
  <c r="BL42" i="10"/>
  <c r="BK42" i="10"/>
  <c r="BJ42" i="10"/>
  <c r="BH42" i="10"/>
  <c r="BG42" i="10"/>
  <c r="BF42" i="10"/>
  <c r="BE42" i="10"/>
  <c r="BD42" i="10"/>
  <c r="AW42" i="10"/>
  <c r="AV42" i="10"/>
  <c r="AY42" i="10" s="1"/>
  <c r="AT42" i="10"/>
  <c r="AS42" i="10"/>
  <c r="AR42" i="10"/>
  <c r="AQ42" i="10"/>
  <c r="AP42" i="10"/>
  <c r="AO42" i="10"/>
  <c r="AM42" i="10" s="1"/>
  <c r="AN42" i="10"/>
  <c r="AL42" i="10"/>
  <c r="AF42" i="10"/>
  <c r="AE42" i="10"/>
  <c r="AB42" i="10"/>
  <c r="Z42" i="10" s="1"/>
  <c r="AA42" i="10"/>
  <c r="X42" i="10"/>
  <c r="W42" i="10"/>
  <c r="V42" i="10"/>
  <c r="U42" i="10"/>
  <c r="T42" i="10"/>
  <c r="Q42" i="10"/>
  <c r="N42" i="10"/>
  <c r="P42" i="10" s="1"/>
  <c r="M42" i="10"/>
  <c r="J42" i="10"/>
  <c r="H42" i="10"/>
  <c r="F42" i="10"/>
  <c r="G42" i="10" s="1"/>
  <c r="D42" i="10"/>
  <c r="C42" i="10"/>
  <c r="B42" i="10"/>
  <c r="E42" i="10" s="1"/>
  <c r="A42" i="10"/>
  <c r="BX41" i="10"/>
  <c r="BW41" i="10"/>
  <c r="BV41" i="10"/>
  <c r="BU41" i="10"/>
  <c r="BT41" i="10"/>
  <c r="BS41" i="10"/>
  <c r="BQ41" i="10"/>
  <c r="BO41" i="10"/>
  <c r="BN41" i="10"/>
  <c r="BM41" i="10"/>
  <c r="BL41" i="10"/>
  <c r="BK41" i="10"/>
  <c r="BR41" i="10" s="1"/>
  <c r="BJ41" i="10"/>
  <c r="BI41" i="10"/>
  <c r="BH41" i="10"/>
  <c r="BG41" i="10"/>
  <c r="BF41" i="10"/>
  <c r="BE41" i="10"/>
  <c r="BD41" i="10"/>
  <c r="AW41" i="10"/>
  <c r="AV41" i="10"/>
  <c r="AY41" i="10" s="1"/>
  <c r="AU41" i="10"/>
  <c r="AT41" i="10"/>
  <c r="AS41" i="10"/>
  <c r="AR41" i="10"/>
  <c r="AP41" i="10"/>
  <c r="AO41" i="10"/>
  <c r="AN41" i="10"/>
  <c r="AM41" i="10"/>
  <c r="AL41" i="10"/>
  <c r="AK41" i="10"/>
  <c r="AF41" i="10"/>
  <c r="AE41" i="10"/>
  <c r="AB41" i="10"/>
  <c r="AI41" i="10" s="1"/>
  <c r="AA41" i="10"/>
  <c r="X41" i="10"/>
  <c r="U41" i="10"/>
  <c r="W41" i="10" s="1"/>
  <c r="T41" i="10"/>
  <c r="Q41" i="10"/>
  <c r="P41" i="10"/>
  <c r="N41" i="10"/>
  <c r="O41" i="10" s="1"/>
  <c r="M41" i="10"/>
  <c r="L41" i="10"/>
  <c r="J41" i="10"/>
  <c r="H41" i="10"/>
  <c r="G41" i="10"/>
  <c r="F41" i="10"/>
  <c r="B41" i="10"/>
  <c r="E41" i="10" s="1"/>
  <c r="A41" i="10"/>
  <c r="BX40" i="10"/>
  <c r="BW40" i="10"/>
  <c r="BV40" i="10"/>
  <c r="BT40" i="10" s="1"/>
  <c r="BU40" i="10"/>
  <c r="BS40" i="10"/>
  <c r="BQ40" i="10"/>
  <c r="BO40" i="10"/>
  <c r="BN40" i="10"/>
  <c r="BL40" i="10"/>
  <c r="BK40" i="10"/>
  <c r="BJ40" i="10"/>
  <c r="BI40" i="10"/>
  <c r="BH40" i="10"/>
  <c r="BG40" i="10"/>
  <c r="BE40" i="10" s="1"/>
  <c r="BF40" i="10"/>
  <c r="BD40" i="10"/>
  <c r="BA40" i="10"/>
  <c r="AY40" i="10"/>
  <c r="AX40" i="10"/>
  <c r="AW40" i="10"/>
  <c r="AV40" i="10"/>
  <c r="AU40" i="10"/>
  <c r="AT40" i="10"/>
  <c r="AS40" i="10"/>
  <c r="AZ40" i="10" s="1"/>
  <c r="AR40" i="10"/>
  <c r="AQ40" i="10"/>
  <c r="AP40" i="10"/>
  <c r="AO40" i="10"/>
  <c r="AN40" i="10"/>
  <c r="AM40" i="10" s="1"/>
  <c r="AL40" i="10"/>
  <c r="AK40" i="10"/>
  <c r="AI40" i="10"/>
  <c r="AF40" i="10"/>
  <c r="AE40" i="10"/>
  <c r="AB40" i="10"/>
  <c r="Z40" i="10" s="1"/>
  <c r="AA40" i="10"/>
  <c r="AH40" i="10" s="1"/>
  <c r="X40" i="10"/>
  <c r="W40" i="10"/>
  <c r="U40" i="10"/>
  <c r="V40" i="10" s="1"/>
  <c r="T40" i="10"/>
  <c r="S40" i="10"/>
  <c r="Q40" i="10"/>
  <c r="P40" i="10"/>
  <c r="O40" i="10"/>
  <c r="N40" i="10"/>
  <c r="L40" i="10" s="1"/>
  <c r="M40" i="10"/>
  <c r="J40" i="10"/>
  <c r="H40" i="10"/>
  <c r="G40" i="10"/>
  <c r="F40" i="10"/>
  <c r="E40" i="10"/>
  <c r="D40" i="10"/>
  <c r="B40" i="10"/>
  <c r="C40" i="10" s="1"/>
  <c r="A40" i="10"/>
  <c r="BX39" i="10"/>
  <c r="BW39" i="10"/>
  <c r="BV39" i="10"/>
  <c r="BU39" i="10"/>
  <c r="BS39" i="10"/>
  <c r="BO39" i="10"/>
  <c r="BN39" i="10"/>
  <c r="BQ39" i="10" s="1"/>
  <c r="BM39" i="10"/>
  <c r="BL39" i="10"/>
  <c r="BK39" i="10"/>
  <c r="BJ39" i="10"/>
  <c r="BI39" i="10" s="1"/>
  <c r="BH39" i="10"/>
  <c r="BG39" i="10"/>
  <c r="BE39" i="10" s="1"/>
  <c r="BF39" i="10"/>
  <c r="BD39" i="10"/>
  <c r="AY39" i="10"/>
  <c r="AW39" i="10"/>
  <c r="AV39" i="10"/>
  <c r="AT39" i="10"/>
  <c r="AS39" i="10"/>
  <c r="AR39" i="10"/>
  <c r="AQ39" i="10"/>
  <c r="AP39" i="10"/>
  <c r="AO39" i="10"/>
  <c r="AM39" i="10" s="1"/>
  <c r="AN39" i="10"/>
  <c r="AL39" i="10"/>
  <c r="AI39" i="10"/>
  <c r="AG39" i="10"/>
  <c r="AF39" i="10"/>
  <c r="AE39" i="10"/>
  <c r="AB39" i="10"/>
  <c r="AA39" i="10"/>
  <c r="Z39" i="10"/>
  <c r="X39" i="10"/>
  <c r="W39" i="10"/>
  <c r="V39" i="10"/>
  <c r="U39" i="10"/>
  <c r="S39" i="10" s="1"/>
  <c r="T39" i="10"/>
  <c r="Q39" i="10"/>
  <c r="P39" i="10"/>
  <c r="O39" i="10"/>
  <c r="N39" i="10"/>
  <c r="M39" i="10"/>
  <c r="AH39" i="10" s="1"/>
  <c r="J39" i="10"/>
  <c r="F39" i="10"/>
  <c r="H39" i="10" s="1"/>
  <c r="E39" i="10"/>
  <c r="D39" i="10"/>
  <c r="C39" i="10"/>
  <c r="B39" i="10"/>
  <c r="A39" i="10"/>
  <c r="BX38" i="10"/>
  <c r="BW38" i="10"/>
  <c r="BV38" i="10"/>
  <c r="BU38" i="10"/>
  <c r="BS38" i="10"/>
  <c r="BO38" i="10"/>
  <c r="BN38" i="10"/>
  <c r="BQ38" i="10" s="1"/>
  <c r="BM38" i="10"/>
  <c r="BL38" i="10"/>
  <c r="BK38" i="10"/>
  <c r="BJ38" i="10"/>
  <c r="BH38" i="10"/>
  <c r="BG38" i="10"/>
  <c r="BF38" i="10"/>
  <c r="BE38" i="10"/>
  <c r="BD38" i="10"/>
  <c r="AW38" i="10"/>
  <c r="AU38" i="10" s="1"/>
  <c r="AX38" i="10" s="1"/>
  <c r="BA38" i="10" s="1"/>
  <c r="AV38" i="10"/>
  <c r="AY38" i="10" s="1"/>
  <c r="AT38" i="10"/>
  <c r="AS38" i="10"/>
  <c r="AR38" i="10"/>
  <c r="AQ38" i="10"/>
  <c r="AP38" i="10"/>
  <c r="AO38" i="10"/>
  <c r="AM38" i="10" s="1"/>
  <c r="AN38" i="10"/>
  <c r="AL38" i="10"/>
  <c r="AF38" i="10"/>
  <c r="AE38" i="10"/>
  <c r="AB38" i="10"/>
  <c r="Z38" i="10" s="1"/>
  <c r="AA38" i="10"/>
  <c r="X38" i="10"/>
  <c r="W38" i="10"/>
  <c r="V38" i="10"/>
  <c r="U38" i="10"/>
  <c r="S38" i="10" s="1"/>
  <c r="T38" i="10"/>
  <c r="Q38" i="10"/>
  <c r="N38" i="10"/>
  <c r="P38" i="10" s="1"/>
  <c r="M38" i="10"/>
  <c r="J38" i="10"/>
  <c r="H38" i="10"/>
  <c r="F38" i="10"/>
  <c r="G38" i="10" s="1"/>
  <c r="D38" i="10"/>
  <c r="C38" i="10"/>
  <c r="B38" i="10"/>
  <c r="E38" i="10" s="1"/>
  <c r="A38" i="10"/>
  <c r="BX37" i="10"/>
  <c r="BW37" i="10"/>
  <c r="BV37" i="10"/>
  <c r="BU37" i="10"/>
  <c r="BT37" i="10"/>
  <c r="BS37" i="10"/>
  <c r="BQ37" i="10"/>
  <c r="BO37" i="10"/>
  <c r="BN37" i="10"/>
  <c r="BM37" i="10" s="1"/>
  <c r="BL37" i="10"/>
  <c r="BK37" i="10"/>
  <c r="BR37" i="10" s="1"/>
  <c r="BP37" i="10" s="1"/>
  <c r="BJ37" i="10"/>
  <c r="BH37" i="10"/>
  <c r="BG37" i="10"/>
  <c r="BF37" i="10"/>
  <c r="BE37" i="10" s="1"/>
  <c r="BD37" i="10"/>
  <c r="BA37" i="10"/>
  <c r="AW37" i="10"/>
  <c r="AV37" i="10"/>
  <c r="AY37" i="10" s="1"/>
  <c r="AU37" i="10"/>
  <c r="AX37" i="10" s="1"/>
  <c r="AT37" i="10"/>
  <c r="AS37" i="10"/>
  <c r="AR37" i="10"/>
  <c r="AP37" i="10"/>
  <c r="AO37" i="10"/>
  <c r="AN37" i="10"/>
  <c r="AM37" i="10"/>
  <c r="AL37" i="10"/>
  <c r="AF37" i="10"/>
  <c r="AE37" i="10"/>
  <c r="AB37" i="10"/>
  <c r="AI37" i="10" s="1"/>
  <c r="AA37" i="10"/>
  <c r="AH37" i="10" s="1"/>
  <c r="X37" i="10"/>
  <c r="U37" i="10"/>
  <c r="W37" i="10" s="1"/>
  <c r="T37" i="10"/>
  <c r="Q37" i="10"/>
  <c r="P37" i="10"/>
  <c r="N37" i="10"/>
  <c r="O37" i="10" s="1"/>
  <c r="M37" i="10"/>
  <c r="L37" i="10"/>
  <c r="J37" i="10"/>
  <c r="H37" i="10"/>
  <c r="G37" i="10"/>
  <c r="F37" i="10"/>
  <c r="B37" i="10"/>
  <c r="E37" i="10" s="1"/>
  <c r="A37" i="10"/>
  <c r="BX36" i="10"/>
  <c r="BW36" i="10"/>
  <c r="BV36" i="10"/>
  <c r="BT36" i="10" s="1"/>
  <c r="BU36" i="10"/>
  <c r="BS36" i="10"/>
  <c r="BQ36" i="10"/>
  <c r="BO36" i="10"/>
  <c r="BM36" i="10" s="1"/>
  <c r="BN36" i="10"/>
  <c r="BL36" i="10"/>
  <c r="BK36" i="10"/>
  <c r="BJ36" i="10"/>
  <c r="BI36" i="10" s="1"/>
  <c r="BH36" i="10"/>
  <c r="BG36" i="10"/>
  <c r="BE36" i="10" s="1"/>
  <c r="BF36" i="10"/>
  <c r="BD36" i="10"/>
  <c r="BB36" i="10"/>
  <c r="AY36" i="10"/>
  <c r="AW36" i="10"/>
  <c r="AV36" i="10"/>
  <c r="AU36" i="10" s="1"/>
  <c r="AT36" i="10"/>
  <c r="AS36" i="10"/>
  <c r="AZ36" i="10" s="1"/>
  <c r="AR36" i="10"/>
  <c r="AP36" i="10"/>
  <c r="AO36" i="10"/>
  <c r="AN36" i="10"/>
  <c r="AM36" i="10" s="1"/>
  <c r="AL36" i="10"/>
  <c r="AF36" i="10"/>
  <c r="AE36" i="10"/>
  <c r="AB36" i="10"/>
  <c r="Z36" i="10" s="1"/>
  <c r="AA36" i="10"/>
  <c r="AH36" i="10" s="1"/>
  <c r="X36" i="10"/>
  <c r="W36" i="10"/>
  <c r="U36" i="10"/>
  <c r="V36" i="10" s="1"/>
  <c r="T36" i="10"/>
  <c r="S36" i="10"/>
  <c r="Q36" i="10"/>
  <c r="P36" i="10"/>
  <c r="O36" i="10"/>
  <c r="N36" i="10"/>
  <c r="L36" i="10" s="1"/>
  <c r="M36" i="10"/>
  <c r="J36" i="10"/>
  <c r="H36" i="10"/>
  <c r="G36" i="10"/>
  <c r="F36" i="10"/>
  <c r="E36" i="10"/>
  <c r="D36" i="10"/>
  <c r="B36" i="10"/>
  <c r="C36" i="10" s="1"/>
  <c r="A36" i="10"/>
  <c r="BX35" i="10"/>
  <c r="BW35" i="10"/>
  <c r="BV35" i="10"/>
  <c r="BU35" i="10"/>
  <c r="BS35" i="10"/>
  <c r="BO35" i="10"/>
  <c r="BN35" i="10"/>
  <c r="BM35" i="10"/>
  <c r="BL35" i="10"/>
  <c r="BK35" i="10"/>
  <c r="BJ35" i="10"/>
  <c r="BI35" i="10" s="1"/>
  <c r="BH35" i="10"/>
  <c r="BG35" i="10"/>
  <c r="BE35" i="10" s="1"/>
  <c r="BF35" i="10"/>
  <c r="BD35" i="10"/>
  <c r="AY35" i="10"/>
  <c r="AW35" i="10"/>
  <c r="AU35" i="10" s="1"/>
  <c r="AX35" i="10" s="1"/>
  <c r="BA35" i="10" s="1"/>
  <c r="AV35" i="10"/>
  <c r="AT35" i="10"/>
  <c r="AS35" i="10"/>
  <c r="AR35" i="10"/>
  <c r="AQ35" i="10"/>
  <c r="AP35" i="10"/>
  <c r="AO35" i="10"/>
  <c r="AM35" i="10" s="1"/>
  <c r="AN35" i="10"/>
  <c r="AL35" i="10"/>
  <c r="AF35" i="10"/>
  <c r="AE35" i="10"/>
  <c r="AB35" i="10"/>
  <c r="AA35" i="10"/>
  <c r="Z35" i="10"/>
  <c r="X35" i="10"/>
  <c r="W35" i="10"/>
  <c r="V35" i="10"/>
  <c r="U35" i="10"/>
  <c r="S35" i="10" s="1"/>
  <c r="T35" i="10"/>
  <c r="Q35" i="10"/>
  <c r="P35" i="10"/>
  <c r="O35" i="10"/>
  <c r="N35" i="10"/>
  <c r="M35" i="10"/>
  <c r="AH35" i="10" s="1"/>
  <c r="J35" i="10"/>
  <c r="F35" i="10"/>
  <c r="E35" i="10"/>
  <c r="D35" i="10"/>
  <c r="C35" i="10"/>
  <c r="B35" i="10"/>
  <c r="A35" i="10"/>
  <c r="BX34" i="10"/>
  <c r="BW34" i="10"/>
  <c r="BV34" i="10"/>
  <c r="BU34" i="10"/>
  <c r="BT34" i="10"/>
  <c r="BS34" i="10"/>
  <c r="BO34" i="10"/>
  <c r="BN34" i="10"/>
  <c r="BM34" i="10"/>
  <c r="BL34" i="10"/>
  <c r="BK34" i="10"/>
  <c r="BJ34" i="10"/>
  <c r="BH34" i="10"/>
  <c r="BG34" i="10"/>
  <c r="BF34" i="10"/>
  <c r="BE34" i="10" s="1"/>
  <c r="BD34" i="10"/>
  <c r="AW34" i="10"/>
  <c r="AZ34" i="10" s="1"/>
  <c r="AV34" i="10"/>
  <c r="AY34" i="10" s="1"/>
  <c r="AT34" i="10"/>
  <c r="AS34" i="10"/>
  <c r="AR34" i="10"/>
  <c r="AQ34" i="10" s="1"/>
  <c r="AP34" i="10"/>
  <c r="AO34" i="10"/>
  <c r="AN34" i="10"/>
  <c r="AM34" i="10"/>
  <c r="AL34" i="10"/>
  <c r="AF34" i="10"/>
  <c r="AB34" i="10"/>
  <c r="Z34" i="10" s="1"/>
  <c r="AA34" i="10"/>
  <c r="X34" i="10"/>
  <c r="Y34" i="10" s="1"/>
  <c r="AE34" i="10" s="1"/>
  <c r="W34" i="10"/>
  <c r="V34" i="10"/>
  <c r="U34" i="10"/>
  <c r="S34" i="10" s="1"/>
  <c r="T34" i="10"/>
  <c r="R34" i="10"/>
  <c r="Q34" i="10"/>
  <c r="P34" i="10"/>
  <c r="O34" i="10"/>
  <c r="N34" i="10"/>
  <c r="L34" i="10" s="1"/>
  <c r="M34" i="10"/>
  <c r="AH34" i="10" s="1"/>
  <c r="J34" i="10"/>
  <c r="K34" i="10" s="1"/>
  <c r="F34" i="10"/>
  <c r="H34" i="10" s="1"/>
  <c r="E34" i="10"/>
  <c r="D34" i="10"/>
  <c r="C34" i="10"/>
  <c r="B34" i="10"/>
  <c r="A34" i="10"/>
  <c r="BX33" i="10"/>
  <c r="BW33" i="10"/>
  <c r="BV33" i="10"/>
  <c r="BT33" i="10" s="1"/>
  <c r="BU33" i="10"/>
  <c r="BS33" i="10"/>
  <c r="BO33" i="10"/>
  <c r="BN33" i="10"/>
  <c r="BL33" i="10"/>
  <c r="BK33" i="10"/>
  <c r="BI33" i="10" s="1"/>
  <c r="BJ33" i="10"/>
  <c r="BH33" i="10"/>
  <c r="BG33" i="10"/>
  <c r="BE33" i="10" s="1"/>
  <c r="BF33" i="10"/>
  <c r="BD33" i="10"/>
  <c r="AW33" i="10"/>
  <c r="AV33" i="10"/>
  <c r="AY33" i="10" s="1"/>
  <c r="AT33" i="10"/>
  <c r="AS33" i="10"/>
  <c r="AR33" i="10"/>
  <c r="AQ33" i="10"/>
  <c r="AP33" i="10"/>
  <c r="AO33" i="10"/>
  <c r="AM33" i="10" s="1"/>
  <c r="AN33" i="10"/>
  <c r="AL33" i="10"/>
  <c r="AI33" i="10"/>
  <c r="AF33" i="10"/>
  <c r="AE33" i="10"/>
  <c r="AB33" i="10"/>
  <c r="AA33" i="10"/>
  <c r="Z33" i="10" s="1"/>
  <c r="X33" i="10"/>
  <c r="W33" i="10"/>
  <c r="V33" i="10"/>
  <c r="U33" i="10"/>
  <c r="S33" i="10" s="1"/>
  <c r="T33" i="10"/>
  <c r="Q33" i="10"/>
  <c r="O33" i="10"/>
  <c r="N33" i="10"/>
  <c r="P33" i="10" s="1"/>
  <c r="M33" i="10"/>
  <c r="AH33" i="10" s="1"/>
  <c r="L33" i="10"/>
  <c r="J33" i="10"/>
  <c r="G33" i="10"/>
  <c r="F33" i="10"/>
  <c r="H33" i="10" s="1"/>
  <c r="B33" i="10"/>
  <c r="E33" i="10" s="1"/>
  <c r="A33" i="10"/>
  <c r="BX32" i="10"/>
  <c r="BW32" i="10"/>
  <c r="BV32" i="10"/>
  <c r="BU32" i="10"/>
  <c r="BT32" i="10"/>
  <c r="BS32" i="10"/>
  <c r="BR32" i="10"/>
  <c r="BP32" i="10" s="1"/>
  <c r="BO32" i="10"/>
  <c r="BN32" i="10"/>
  <c r="BM32" i="10"/>
  <c r="BL32" i="10"/>
  <c r="BK32" i="10"/>
  <c r="BJ32" i="10"/>
  <c r="BQ32" i="10" s="1"/>
  <c r="BH32" i="10"/>
  <c r="BG32" i="10"/>
  <c r="BF32" i="10"/>
  <c r="BE32" i="10"/>
  <c r="BD32" i="10"/>
  <c r="AW32" i="10"/>
  <c r="AZ32" i="10" s="1"/>
  <c r="AV32" i="10"/>
  <c r="AU32" i="10"/>
  <c r="AX32" i="10" s="1"/>
  <c r="BA32" i="10" s="1"/>
  <c r="AT32" i="10"/>
  <c r="AS32" i="10"/>
  <c r="AQ32" i="10" s="1"/>
  <c r="AR32" i="10"/>
  <c r="AP32" i="10"/>
  <c r="AO32" i="10"/>
  <c r="AN32" i="10"/>
  <c r="AM32" i="10" s="1"/>
  <c r="AL32" i="10"/>
  <c r="AF32" i="10"/>
  <c r="AE32" i="10"/>
  <c r="AB32" i="10"/>
  <c r="AA32" i="10"/>
  <c r="Y32" i="10"/>
  <c r="X32" i="10"/>
  <c r="W32" i="10"/>
  <c r="V32" i="10"/>
  <c r="U32" i="10"/>
  <c r="S32" i="10" s="1"/>
  <c r="T32" i="10"/>
  <c r="Q32" i="10"/>
  <c r="N32" i="10"/>
  <c r="M32" i="10"/>
  <c r="L32" i="10" s="1"/>
  <c r="J32" i="10"/>
  <c r="H32" i="10"/>
  <c r="F32" i="10"/>
  <c r="G32" i="10" s="1"/>
  <c r="B32" i="10"/>
  <c r="E32" i="10" s="1"/>
  <c r="A32" i="10"/>
  <c r="BX31" i="10"/>
  <c r="BW31" i="10"/>
  <c r="BV31" i="10"/>
  <c r="BU31" i="10"/>
  <c r="BT31" i="10"/>
  <c r="BS31" i="10"/>
  <c r="BR31" i="10"/>
  <c r="BQ31" i="10"/>
  <c r="BO31" i="10"/>
  <c r="BN31" i="10"/>
  <c r="BM31" i="10" s="1"/>
  <c r="BL31" i="10"/>
  <c r="BK31" i="10"/>
  <c r="BI31" i="10" s="1"/>
  <c r="BJ31" i="10"/>
  <c r="BH31" i="10"/>
  <c r="BG31" i="10"/>
  <c r="BF31" i="10"/>
  <c r="BE31" i="10" s="1"/>
  <c r="BD31" i="10"/>
  <c r="AW31" i="10"/>
  <c r="AV31" i="10"/>
  <c r="AY31" i="10" s="1"/>
  <c r="AU31" i="10"/>
  <c r="AX31" i="10" s="1"/>
  <c r="BA31" i="10" s="1"/>
  <c r="AT31" i="10"/>
  <c r="AS31" i="10"/>
  <c r="AR31" i="10"/>
  <c r="AP31" i="10"/>
  <c r="AO31" i="10"/>
  <c r="AN31" i="10"/>
  <c r="AM31" i="10"/>
  <c r="AL31" i="10"/>
  <c r="AF31" i="10"/>
  <c r="AE31" i="10"/>
  <c r="AB31" i="10"/>
  <c r="AA31" i="10"/>
  <c r="X31" i="10"/>
  <c r="U31" i="10"/>
  <c r="T31" i="10"/>
  <c r="S31" i="10" s="1"/>
  <c r="Q31" i="10"/>
  <c r="P31" i="10"/>
  <c r="N31" i="10"/>
  <c r="O31" i="10" s="1"/>
  <c r="M31" i="10"/>
  <c r="L31" i="10"/>
  <c r="J31" i="10"/>
  <c r="H31" i="10"/>
  <c r="G31" i="10"/>
  <c r="F31" i="10"/>
  <c r="B31" i="10"/>
  <c r="A31" i="10"/>
  <c r="BX30" i="10"/>
  <c r="BW30" i="10"/>
  <c r="BV30" i="10"/>
  <c r="BT30" i="10" s="1"/>
  <c r="BU30" i="10"/>
  <c r="BS30" i="10"/>
  <c r="BR30" i="10"/>
  <c r="BP30" i="10" s="1"/>
  <c r="BQ30" i="10"/>
  <c r="BO30" i="10"/>
  <c r="BM30" i="10" s="1"/>
  <c r="BN30" i="10"/>
  <c r="BL30" i="10"/>
  <c r="BK30" i="10"/>
  <c r="BJ30" i="10"/>
  <c r="BI30" i="10"/>
  <c r="BH30" i="10"/>
  <c r="BG30" i="10"/>
  <c r="BE30" i="10" s="1"/>
  <c r="BF30" i="10"/>
  <c r="BD30" i="10"/>
  <c r="AZ30" i="10"/>
  <c r="AY30" i="10"/>
  <c r="BB30" i="10" s="1"/>
  <c r="AW30" i="10"/>
  <c r="AV30" i="10"/>
  <c r="AU30" i="10" s="1"/>
  <c r="AT30" i="10"/>
  <c r="AS30" i="10"/>
  <c r="AR30" i="10"/>
  <c r="AQ30" i="10"/>
  <c r="AP30" i="10"/>
  <c r="AO30" i="10"/>
  <c r="AN30" i="10"/>
  <c r="AM30" i="10" s="1"/>
  <c r="AL30" i="10"/>
  <c r="AF30" i="10"/>
  <c r="AB30" i="10"/>
  <c r="AI30" i="10" s="1"/>
  <c r="AA30" i="10"/>
  <c r="AH30" i="10" s="1"/>
  <c r="Z30" i="10"/>
  <c r="Y30" i="10"/>
  <c r="X30" i="10"/>
  <c r="U30" i="10"/>
  <c r="T30" i="10"/>
  <c r="S30" i="10"/>
  <c r="Q30" i="10"/>
  <c r="R30" i="10" s="1"/>
  <c r="V30" i="10" s="1"/>
  <c r="N30" i="10"/>
  <c r="M30" i="10"/>
  <c r="L30" i="10"/>
  <c r="J30" i="10"/>
  <c r="K30" i="10" s="1"/>
  <c r="H30" i="10"/>
  <c r="G30" i="10"/>
  <c r="F30" i="10"/>
  <c r="C30" i="10"/>
  <c r="B30" i="10"/>
  <c r="A30" i="10"/>
  <c r="BX29" i="10"/>
  <c r="BW29" i="10"/>
  <c r="BV29" i="10"/>
  <c r="BU29" i="10"/>
  <c r="BT29" i="10" s="1"/>
  <c r="BS29" i="10"/>
  <c r="BR29" i="10"/>
  <c r="BP29" i="10" s="1"/>
  <c r="BO29" i="10"/>
  <c r="BM29" i="10" s="1"/>
  <c r="BN29" i="10"/>
  <c r="BL29" i="10"/>
  <c r="BK29" i="10"/>
  <c r="BJ29" i="10"/>
  <c r="BQ29" i="10" s="1"/>
  <c r="BI29" i="10"/>
  <c r="BH29" i="10"/>
  <c r="BG29" i="10"/>
  <c r="BE29" i="10" s="1"/>
  <c r="BF29" i="10"/>
  <c r="BD29" i="10"/>
  <c r="BA29" i="10"/>
  <c r="AZ29" i="10"/>
  <c r="BC29" i="10" s="1"/>
  <c r="AW29" i="10"/>
  <c r="AV29" i="10"/>
  <c r="AU29" i="10"/>
  <c r="AX29" i="10" s="1"/>
  <c r="AT29" i="10"/>
  <c r="AS29" i="10"/>
  <c r="AQ29" i="10" s="1"/>
  <c r="AR29" i="10"/>
  <c r="AY29" i="10" s="1"/>
  <c r="AP29" i="10"/>
  <c r="AO29" i="10"/>
  <c r="AN29" i="10"/>
  <c r="AM29" i="10"/>
  <c r="AL29" i="10"/>
  <c r="AF29" i="10"/>
  <c r="AE29" i="10"/>
  <c r="AB29" i="10"/>
  <c r="AI29" i="10" s="1"/>
  <c r="AA29" i="10"/>
  <c r="X29" i="10"/>
  <c r="V29" i="10"/>
  <c r="U29" i="10"/>
  <c r="W29" i="10" s="1"/>
  <c r="T29" i="10"/>
  <c r="S29" i="10"/>
  <c r="Q29" i="10"/>
  <c r="P29" i="10"/>
  <c r="O29" i="10"/>
  <c r="N29" i="10"/>
  <c r="M29" i="10"/>
  <c r="L29" i="10" s="1"/>
  <c r="J29" i="10"/>
  <c r="F29" i="10"/>
  <c r="H29" i="10" s="1"/>
  <c r="E29" i="10"/>
  <c r="C29" i="10"/>
  <c r="B29" i="10"/>
  <c r="D29" i="10" s="1"/>
  <c r="A29" i="10"/>
  <c r="BX28" i="10"/>
  <c r="BW28" i="10"/>
  <c r="BV28" i="10"/>
  <c r="BT28" i="10" s="1"/>
  <c r="BU28" i="10"/>
  <c r="BS28" i="10"/>
  <c r="BO28" i="10"/>
  <c r="BN28" i="10"/>
  <c r="BQ28" i="10" s="1"/>
  <c r="BL28" i="10"/>
  <c r="BK28" i="10"/>
  <c r="BJ28" i="10"/>
  <c r="BI28" i="10"/>
  <c r="BH28" i="10"/>
  <c r="BG28" i="10"/>
  <c r="BF28" i="10"/>
  <c r="BD28" i="10"/>
  <c r="AY28" i="10"/>
  <c r="BB28" i="10" s="1"/>
  <c r="AW28" i="10"/>
  <c r="AU28" i="10" s="1"/>
  <c r="AV28" i="10"/>
  <c r="AT28" i="10"/>
  <c r="AS28" i="10"/>
  <c r="AZ28" i="10" s="1"/>
  <c r="AR28" i="10"/>
  <c r="AP28" i="10"/>
  <c r="AO28" i="10"/>
  <c r="AM28" i="10" s="1"/>
  <c r="AN28" i="10"/>
  <c r="AL28" i="10"/>
  <c r="AH28" i="10"/>
  <c r="AF28" i="10"/>
  <c r="AE28" i="10"/>
  <c r="AB28" i="10"/>
  <c r="AA28" i="10"/>
  <c r="Z28" i="10"/>
  <c r="X28" i="10"/>
  <c r="W28" i="10"/>
  <c r="V28" i="10"/>
  <c r="U28" i="10"/>
  <c r="T28" i="10"/>
  <c r="S28" i="10" s="1"/>
  <c r="Q28" i="10"/>
  <c r="N28" i="10"/>
  <c r="L28" i="10" s="1"/>
  <c r="M28" i="10"/>
  <c r="J28" i="10"/>
  <c r="G28" i="10"/>
  <c r="F28" i="10"/>
  <c r="H28" i="10" s="1"/>
  <c r="E28" i="10"/>
  <c r="D28" i="10"/>
  <c r="C28" i="10"/>
  <c r="B28" i="10"/>
  <c r="A28" i="10"/>
  <c r="BX27" i="10"/>
  <c r="BW27" i="10"/>
  <c r="BV27" i="10"/>
  <c r="BT27" i="10" s="1"/>
  <c r="BU27" i="10"/>
  <c r="BS27" i="10"/>
  <c r="BO27" i="10"/>
  <c r="BR27" i="10" s="1"/>
  <c r="BN27" i="10"/>
  <c r="BL27" i="10"/>
  <c r="BK27" i="10"/>
  <c r="BI27" i="10" s="1"/>
  <c r="BJ27" i="10"/>
  <c r="BH27" i="10"/>
  <c r="BG27" i="10"/>
  <c r="BF27" i="10"/>
  <c r="BE27" i="10" s="1"/>
  <c r="BD27" i="10"/>
  <c r="AY27" i="10"/>
  <c r="BB27" i="10" s="1"/>
  <c r="AW27" i="10"/>
  <c r="AV27" i="10"/>
  <c r="AT27" i="10"/>
  <c r="AS27" i="10"/>
  <c r="AR27" i="10"/>
  <c r="AQ27" i="10"/>
  <c r="AP27" i="10"/>
  <c r="AO27" i="10"/>
  <c r="AM27" i="10" s="1"/>
  <c r="AN27" i="10"/>
  <c r="AL27" i="10"/>
  <c r="AH27" i="10"/>
  <c r="AF27" i="10"/>
  <c r="AE27" i="10"/>
  <c r="AB27" i="10"/>
  <c r="AA27" i="10"/>
  <c r="Z27" i="10" s="1"/>
  <c r="X27" i="10"/>
  <c r="V27" i="10"/>
  <c r="U27" i="10"/>
  <c r="S27" i="10" s="1"/>
  <c r="T27" i="10"/>
  <c r="Q27" i="10"/>
  <c r="O27" i="10"/>
  <c r="N27" i="10"/>
  <c r="P27" i="10" s="1"/>
  <c r="M27" i="10"/>
  <c r="L27" i="10"/>
  <c r="J27" i="10"/>
  <c r="G27" i="10"/>
  <c r="F27" i="10"/>
  <c r="H27" i="10" s="1"/>
  <c r="E27" i="10"/>
  <c r="D27" i="10"/>
  <c r="C27" i="10"/>
  <c r="B27" i="10"/>
  <c r="A27" i="10"/>
  <c r="BX26" i="10"/>
  <c r="BW26" i="10"/>
  <c r="BV26" i="10"/>
  <c r="BU26" i="10"/>
  <c r="BT26" i="10" s="1"/>
  <c r="BS26" i="10"/>
  <c r="BO26" i="10"/>
  <c r="BN26" i="10"/>
  <c r="BM26" i="10"/>
  <c r="BL26" i="10"/>
  <c r="BK26" i="10"/>
  <c r="BI26" i="10" s="1"/>
  <c r="BJ26" i="10"/>
  <c r="BQ26" i="10" s="1"/>
  <c r="BH26" i="10"/>
  <c r="BG26" i="10"/>
  <c r="BF26" i="10"/>
  <c r="BE26" i="10"/>
  <c r="BD26" i="10"/>
  <c r="BB26" i="10"/>
  <c r="AW26" i="10"/>
  <c r="AV26" i="10"/>
  <c r="AY26" i="10" s="1"/>
  <c r="AS26" i="10"/>
  <c r="AQ26" i="10" s="1"/>
  <c r="AR26" i="10"/>
  <c r="AO26" i="10"/>
  <c r="AN26" i="10"/>
  <c r="AM26" i="10"/>
  <c r="AL26" i="10"/>
  <c r="AF26" i="10"/>
  <c r="AE26" i="10"/>
  <c r="AB26" i="10"/>
  <c r="AI26" i="10" s="1"/>
  <c r="AA26" i="10"/>
  <c r="AH26" i="10" s="1"/>
  <c r="Z26" i="10"/>
  <c r="X26" i="10"/>
  <c r="V26" i="10"/>
  <c r="U26" i="10"/>
  <c r="W26" i="10" s="1"/>
  <c r="T26" i="10"/>
  <c r="S26" i="10"/>
  <c r="Q26" i="10"/>
  <c r="P26" i="10"/>
  <c r="O26" i="10"/>
  <c r="N26" i="10"/>
  <c r="M26" i="10"/>
  <c r="L26" i="10" s="1"/>
  <c r="F26" i="10"/>
  <c r="H26" i="10" s="1"/>
  <c r="E26" i="10"/>
  <c r="D26" i="10"/>
  <c r="B26" i="10"/>
  <c r="C26" i="10" s="1"/>
  <c r="A26" i="10"/>
  <c r="BX25" i="10"/>
  <c r="BW25" i="10"/>
  <c r="BV25" i="10"/>
  <c r="BU25" i="10"/>
  <c r="BS25" i="10"/>
  <c r="BO25" i="10"/>
  <c r="BR25" i="10" s="1"/>
  <c r="BN25" i="10"/>
  <c r="BL25" i="10"/>
  <c r="BK25" i="10"/>
  <c r="BJ25" i="10"/>
  <c r="BI25" i="10" s="1"/>
  <c r="BH25" i="10"/>
  <c r="BG25" i="10"/>
  <c r="BE25" i="10" s="1"/>
  <c r="BF25" i="10"/>
  <c r="BD25" i="10"/>
  <c r="AY25" i="10"/>
  <c r="AW25" i="10"/>
  <c r="AU25" i="10" s="1"/>
  <c r="AV25" i="10"/>
  <c r="AT25" i="10"/>
  <c r="AS25" i="10"/>
  <c r="AR25" i="10"/>
  <c r="AQ25" i="10" s="1"/>
  <c r="AX25" i="10" s="1"/>
  <c r="AP25" i="10"/>
  <c r="AO25" i="10"/>
  <c r="AM25" i="10" s="1"/>
  <c r="AN25" i="10"/>
  <c r="AL25" i="10"/>
  <c r="AF25" i="10"/>
  <c r="AE25" i="10"/>
  <c r="AB25" i="10"/>
  <c r="AA25" i="10"/>
  <c r="Z25" i="10"/>
  <c r="X25" i="10"/>
  <c r="W25" i="10"/>
  <c r="V25" i="10"/>
  <c r="U25" i="10"/>
  <c r="S25" i="10" s="1"/>
  <c r="T25" i="10"/>
  <c r="Q25" i="10"/>
  <c r="P25" i="10"/>
  <c r="O25" i="10"/>
  <c r="N25" i="10"/>
  <c r="L25" i="10" s="1"/>
  <c r="M25" i="10"/>
  <c r="AH25" i="10" s="1"/>
  <c r="J25" i="10"/>
  <c r="F25" i="10"/>
  <c r="E25" i="10"/>
  <c r="D25" i="10"/>
  <c r="C25" i="10"/>
  <c r="B25" i="10"/>
  <c r="A25" i="10"/>
  <c r="BX24" i="10"/>
  <c r="BW24" i="10"/>
  <c r="BV24" i="10"/>
  <c r="BU24" i="10"/>
  <c r="BT24" i="10" s="1"/>
  <c r="BS24" i="10"/>
  <c r="BO24" i="10"/>
  <c r="BN24" i="10"/>
  <c r="BL24" i="10"/>
  <c r="BK24" i="10"/>
  <c r="BJ24" i="10"/>
  <c r="BH24" i="10"/>
  <c r="BG24" i="10"/>
  <c r="BF24" i="10"/>
  <c r="BE24" i="10" s="1"/>
  <c r="BD24" i="10"/>
  <c r="AW24" i="10"/>
  <c r="AZ24" i="10" s="1"/>
  <c r="AV24" i="10"/>
  <c r="AT24" i="10"/>
  <c r="AS24" i="10"/>
  <c r="AR24" i="10"/>
  <c r="AQ24" i="10" s="1"/>
  <c r="AP24" i="10"/>
  <c r="AO24" i="10"/>
  <c r="AN24" i="10"/>
  <c r="AM24" i="10" s="1"/>
  <c r="AL24" i="10"/>
  <c r="AH24" i="10"/>
  <c r="AF24" i="10"/>
  <c r="AE24" i="10"/>
  <c r="AB24" i="10"/>
  <c r="Z24" i="10" s="1"/>
  <c r="AA24" i="10"/>
  <c r="X24" i="10"/>
  <c r="W24" i="10"/>
  <c r="V24" i="10"/>
  <c r="U24" i="10"/>
  <c r="S24" i="10" s="1"/>
  <c r="T24" i="10"/>
  <c r="Q24" i="10"/>
  <c r="N24" i="10"/>
  <c r="M24" i="10"/>
  <c r="L24" i="10" s="1"/>
  <c r="J24" i="10"/>
  <c r="H24" i="10"/>
  <c r="F24" i="10"/>
  <c r="G24" i="10" s="1"/>
  <c r="B24" i="10"/>
  <c r="E24" i="10" s="1"/>
  <c r="A24" i="10"/>
  <c r="BX23" i="10"/>
  <c r="BW23" i="10"/>
  <c r="BV23" i="10"/>
  <c r="BU23" i="10"/>
  <c r="BT23" i="10"/>
  <c r="BS23" i="10"/>
  <c r="BR23" i="10"/>
  <c r="BQ23" i="10"/>
  <c r="BO23" i="10"/>
  <c r="BN23" i="10"/>
  <c r="BM23" i="10" s="1"/>
  <c r="BL23" i="10"/>
  <c r="BK23" i="10"/>
  <c r="BI23" i="10" s="1"/>
  <c r="BJ23" i="10"/>
  <c r="BH23" i="10"/>
  <c r="BG23" i="10"/>
  <c r="BF23" i="10"/>
  <c r="BE23" i="10" s="1"/>
  <c r="BD23" i="10"/>
  <c r="AW23" i="10"/>
  <c r="AV23" i="10"/>
  <c r="AU23" i="10"/>
  <c r="AS23" i="10"/>
  <c r="AR23" i="10"/>
  <c r="AO23" i="10"/>
  <c r="AN23" i="10"/>
  <c r="AM23" i="10" s="1"/>
  <c r="AL23" i="10"/>
  <c r="AF23" i="10"/>
  <c r="AE23" i="10"/>
  <c r="AB23" i="10"/>
  <c r="Z23" i="10" s="1"/>
  <c r="AA23" i="10"/>
  <c r="AH23" i="10" s="1"/>
  <c r="X23" i="10"/>
  <c r="W23" i="10"/>
  <c r="U23" i="10"/>
  <c r="V23" i="10" s="1"/>
  <c r="T23" i="10"/>
  <c r="S23" i="10"/>
  <c r="Q23" i="10"/>
  <c r="P23" i="10"/>
  <c r="O23" i="10"/>
  <c r="N23" i="10"/>
  <c r="L23" i="10" s="1"/>
  <c r="M23" i="10"/>
  <c r="G23" i="10"/>
  <c r="F23" i="10"/>
  <c r="H23" i="10" s="1"/>
  <c r="E23" i="10"/>
  <c r="D23" i="10"/>
  <c r="C23" i="10"/>
  <c r="B23" i="10"/>
  <c r="A23" i="10"/>
  <c r="BX22" i="10"/>
  <c r="BW22" i="10"/>
  <c r="BV22" i="10"/>
  <c r="BU22" i="10"/>
  <c r="BT22" i="10"/>
  <c r="BS22" i="10"/>
  <c r="BO22" i="10"/>
  <c r="BN22" i="10"/>
  <c r="BM22" i="10"/>
  <c r="BL22" i="10"/>
  <c r="BK22" i="10"/>
  <c r="BI22" i="10" s="1"/>
  <c r="BJ22" i="10"/>
  <c r="BH22" i="10"/>
  <c r="BG22" i="10"/>
  <c r="BE22" i="10" s="1"/>
  <c r="BF22" i="10"/>
  <c r="BD22" i="10"/>
  <c r="AW22" i="10"/>
  <c r="AV22" i="10"/>
  <c r="AY22" i="10" s="1"/>
  <c r="AS22" i="10"/>
  <c r="AR22" i="10"/>
  <c r="AQ22" i="10" s="1"/>
  <c r="AO22" i="10"/>
  <c r="AN22" i="10"/>
  <c r="AM22" i="10"/>
  <c r="AL22" i="10"/>
  <c r="AF22" i="10"/>
  <c r="AE22" i="10"/>
  <c r="AB22" i="10"/>
  <c r="AA22" i="10"/>
  <c r="X22" i="10"/>
  <c r="V22" i="10"/>
  <c r="U22" i="10"/>
  <c r="W22" i="10" s="1"/>
  <c r="T22" i="10"/>
  <c r="S22" i="10"/>
  <c r="Q22" i="10"/>
  <c r="O22" i="10"/>
  <c r="N22" i="10"/>
  <c r="P22" i="10" s="1"/>
  <c r="M22" i="10"/>
  <c r="L22" i="10"/>
  <c r="H22" i="10"/>
  <c r="G22" i="10"/>
  <c r="F22" i="10"/>
  <c r="B22" i="10"/>
  <c r="A22" i="10"/>
  <c r="BX21" i="10"/>
  <c r="BW21" i="10"/>
  <c r="BV21" i="10"/>
  <c r="BT21" i="10" s="1"/>
  <c r="BU21" i="10"/>
  <c r="BS21" i="10"/>
  <c r="BR21" i="10"/>
  <c r="BO21" i="10"/>
  <c r="BM21" i="10" s="1"/>
  <c r="BN21" i="10"/>
  <c r="BL21" i="10"/>
  <c r="BK21" i="10"/>
  <c r="BJ21" i="10"/>
  <c r="BQ21" i="10" s="1"/>
  <c r="BI21" i="10"/>
  <c r="BH21" i="10"/>
  <c r="BG21" i="10"/>
  <c r="BE21" i="10" s="1"/>
  <c r="BF21" i="10"/>
  <c r="BD21" i="10"/>
  <c r="AZ21" i="10"/>
  <c r="AY21" i="10"/>
  <c r="BB21" i="10" s="1"/>
  <c r="AW21" i="10"/>
  <c r="AV21" i="10"/>
  <c r="AU21" i="10" s="1"/>
  <c r="AT21" i="10"/>
  <c r="AS21" i="10"/>
  <c r="AR21" i="10"/>
  <c r="AQ21" i="10" s="1"/>
  <c r="AP21" i="10"/>
  <c r="AO21" i="10"/>
  <c r="AN21" i="10"/>
  <c r="AM21" i="10" s="1"/>
  <c r="AL21" i="10"/>
  <c r="AI21" i="10"/>
  <c r="AF21" i="10"/>
  <c r="AB21" i="10"/>
  <c r="Z21" i="10" s="1"/>
  <c r="AA21" i="10"/>
  <c r="AH21" i="10" s="1"/>
  <c r="Y21" i="10"/>
  <c r="X21" i="10"/>
  <c r="U21" i="10"/>
  <c r="T21" i="10"/>
  <c r="S21" i="10" s="1"/>
  <c r="Q21" i="10"/>
  <c r="R21" i="10" s="1"/>
  <c r="V21" i="10" s="1"/>
  <c r="N21" i="10"/>
  <c r="M21" i="10"/>
  <c r="L21" i="10"/>
  <c r="J21" i="10"/>
  <c r="K21" i="10" s="1"/>
  <c r="H21" i="10"/>
  <c r="G21" i="10"/>
  <c r="F21" i="10"/>
  <c r="B21" i="10"/>
  <c r="C21" i="10" s="1"/>
  <c r="A21" i="10"/>
  <c r="BX20" i="10"/>
  <c r="BW20" i="10"/>
  <c r="BV20" i="10"/>
  <c r="BU20" i="10"/>
  <c r="BT20" i="10" s="1"/>
  <c r="BS20" i="10"/>
  <c r="BO20" i="10"/>
  <c r="BM20" i="10" s="1"/>
  <c r="BN20" i="10"/>
  <c r="BL20" i="10"/>
  <c r="BK20" i="10"/>
  <c r="BR20" i="10" s="1"/>
  <c r="BP20" i="10" s="1"/>
  <c r="BJ20" i="10"/>
  <c r="BQ20" i="10" s="1"/>
  <c r="BH20" i="10"/>
  <c r="BG20" i="10"/>
  <c r="BE20" i="10" s="1"/>
  <c r="BF20" i="10"/>
  <c r="BD20" i="10"/>
  <c r="AW20" i="10"/>
  <c r="AV20" i="10"/>
  <c r="AU20" i="10"/>
  <c r="AT20" i="10"/>
  <c r="AS20" i="10"/>
  <c r="AZ20" i="10" s="1"/>
  <c r="AR20" i="10"/>
  <c r="AY20" i="10" s="1"/>
  <c r="AP20" i="10"/>
  <c r="AO20" i="10"/>
  <c r="AN20" i="10"/>
  <c r="AM20" i="10"/>
  <c r="AL20" i="10"/>
  <c r="AF20" i="10"/>
  <c r="AE20" i="10"/>
  <c r="AB20" i="10"/>
  <c r="AA20" i="10"/>
  <c r="Y20" i="10"/>
  <c r="X20" i="10"/>
  <c r="U20" i="10"/>
  <c r="T20" i="10"/>
  <c r="S20" i="10"/>
  <c r="R20" i="10"/>
  <c r="Q20" i="10"/>
  <c r="O20" i="10"/>
  <c r="N20" i="10"/>
  <c r="P20" i="10" s="1"/>
  <c r="M20" i="10"/>
  <c r="L20" i="10" s="1"/>
  <c r="J20" i="10"/>
  <c r="H20" i="10"/>
  <c r="G20" i="10"/>
  <c r="F20" i="10"/>
  <c r="B20" i="10"/>
  <c r="A20" i="10"/>
  <c r="BX19" i="10"/>
  <c r="BW19" i="10"/>
  <c r="BV19" i="10"/>
  <c r="BU19" i="10"/>
  <c r="BT19" i="10" s="1"/>
  <c r="BS19" i="10"/>
  <c r="BQ19" i="10"/>
  <c r="BO19" i="10"/>
  <c r="BM19" i="10" s="1"/>
  <c r="BN19" i="10"/>
  <c r="BL19" i="10"/>
  <c r="BK19" i="10"/>
  <c r="BR19" i="10" s="1"/>
  <c r="BP19" i="10" s="1"/>
  <c r="BJ19" i="10"/>
  <c r="BH19" i="10"/>
  <c r="BG19" i="10"/>
  <c r="BE19" i="10" s="1"/>
  <c r="BF19" i="10"/>
  <c r="BD19" i="10"/>
  <c r="AW19" i="10"/>
  <c r="AV19" i="10"/>
  <c r="AU19" i="10"/>
  <c r="AT19" i="10"/>
  <c r="AS19" i="10"/>
  <c r="AQ19" i="10" s="1"/>
  <c r="AR19" i="10"/>
  <c r="AY19" i="10" s="1"/>
  <c r="AP19" i="10"/>
  <c r="AO19" i="10"/>
  <c r="AN19" i="10"/>
  <c r="AM19" i="10"/>
  <c r="AL19" i="10"/>
  <c r="AK19" i="10"/>
  <c r="AJ19" i="10"/>
  <c r="AF19" i="10"/>
  <c r="AE19" i="10"/>
  <c r="AB19" i="10"/>
  <c r="AI19" i="10" s="1"/>
  <c r="AA19" i="10"/>
  <c r="Z19" i="10"/>
  <c r="X19" i="10"/>
  <c r="U19" i="10"/>
  <c r="W19" i="10" s="1"/>
  <c r="T19" i="10"/>
  <c r="S19" i="10" s="1"/>
  <c r="Q19" i="10"/>
  <c r="P19" i="10"/>
  <c r="O19" i="10"/>
  <c r="N19" i="10"/>
  <c r="M19" i="10"/>
  <c r="L19" i="10"/>
  <c r="J19" i="10"/>
  <c r="H19" i="10"/>
  <c r="G19" i="10"/>
  <c r="F19" i="10"/>
  <c r="E19" i="10"/>
  <c r="B19" i="10"/>
  <c r="D19" i="10" s="1"/>
  <c r="A19" i="10"/>
  <c r="BX18" i="10"/>
  <c r="BW18" i="10"/>
  <c r="BV18" i="10"/>
  <c r="BT18" i="10" s="1"/>
  <c r="BU18" i="10"/>
  <c r="BS18" i="10"/>
  <c r="BO18" i="10"/>
  <c r="BN18" i="10"/>
  <c r="BQ18" i="10" s="1"/>
  <c r="BL18" i="10"/>
  <c r="BK18" i="10"/>
  <c r="BJ18" i="10"/>
  <c r="BI18" i="10"/>
  <c r="BH18" i="10"/>
  <c r="BG18" i="10"/>
  <c r="BE18" i="10" s="1"/>
  <c r="BF18" i="10"/>
  <c r="BD18" i="10"/>
  <c r="AW18" i="10"/>
  <c r="AU18" i="10" s="1"/>
  <c r="AV18" i="10"/>
  <c r="AT18" i="10"/>
  <c r="AS18" i="10"/>
  <c r="AZ18" i="10" s="1"/>
  <c r="AR18" i="10"/>
  <c r="AY18" i="10" s="1"/>
  <c r="AP18" i="10"/>
  <c r="AO18" i="10"/>
  <c r="AM18" i="10" s="1"/>
  <c r="AN18" i="10"/>
  <c r="AL18" i="10"/>
  <c r="AF18" i="10"/>
  <c r="AE18" i="10"/>
  <c r="AB18" i="10"/>
  <c r="AA18" i="10"/>
  <c r="Z18" i="10" s="1"/>
  <c r="X18" i="10"/>
  <c r="W18" i="10"/>
  <c r="V18" i="10"/>
  <c r="U18" i="10"/>
  <c r="T18" i="10"/>
  <c r="S18" i="10"/>
  <c r="Q18" i="10"/>
  <c r="N18" i="10"/>
  <c r="L18" i="10" s="1"/>
  <c r="M18" i="10"/>
  <c r="J18" i="10"/>
  <c r="F18" i="10"/>
  <c r="H18" i="10" s="1"/>
  <c r="E18" i="10"/>
  <c r="D18" i="10"/>
  <c r="C18" i="10"/>
  <c r="B18" i="10"/>
  <c r="A18" i="10"/>
  <c r="BX17" i="10"/>
  <c r="BW17" i="10"/>
  <c r="BV17" i="10"/>
  <c r="BU17" i="10"/>
  <c r="BT17" i="10" s="1"/>
  <c r="BS17" i="10"/>
  <c r="BO17" i="10"/>
  <c r="BR17" i="10" s="1"/>
  <c r="BN17" i="10"/>
  <c r="BL17" i="10"/>
  <c r="BK17" i="10"/>
  <c r="BI17" i="10" s="1"/>
  <c r="BJ17" i="10"/>
  <c r="BH17" i="10"/>
  <c r="BG17" i="10"/>
  <c r="BE17" i="10" s="1"/>
  <c r="BF17" i="10"/>
  <c r="BD17" i="10"/>
  <c r="AW17" i="10"/>
  <c r="AV17" i="10"/>
  <c r="AY17" i="10" s="1"/>
  <c r="BB17" i="10" s="1"/>
  <c r="AT17" i="10"/>
  <c r="AS17" i="10"/>
  <c r="AR17" i="10"/>
  <c r="AQ17" i="10"/>
  <c r="AP17" i="10"/>
  <c r="AO17" i="10"/>
  <c r="AN17" i="10"/>
  <c r="AL17" i="10"/>
  <c r="AI17" i="10"/>
  <c r="AG17" i="10" s="1"/>
  <c r="AH17" i="10"/>
  <c r="AF17" i="10"/>
  <c r="AE17" i="10"/>
  <c r="AB17" i="10"/>
  <c r="AA17" i="10"/>
  <c r="Z17" i="10"/>
  <c r="X17" i="10"/>
  <c r="W17" i="10"/>
  <c r="U17" i="10"/>
  <c r="S17" i="10" s="1"/>
  <c r="T17" i="10"/>
  <c r="Q17" i="10"/>
  <c r="O17" i="10"/>
  <c r="N17" i="10"/>
  <c r="P17" i="10" s="1"/>
  <c r="M17" i="10"/>
  <c r="L17" i="10"/>
  <c r="J17" i="10"/>
  <c r="F17" i="10"/>
  <c r="H17" i="10" s="1"/>
  <c r="C17" i="10"/>
  <c r="B17" i="10"/>
  <c r="E17" i="10" s="1"/>
  <c r="A17" i="10"/>
  <c r="BX16" i="10"/>
  <c r="BW16" i="10"/>
  <c r="BV16" i="10"/>
  <c r="BU16" i="10"/>
  <c r="BT16" i="10"/>
  <c r="BS16" i="10"/>
  <c r="BR16" i="10"/>
  <c r="BP16" i="10" s="1"/>
  <c r="BO16" i="10"/>
  <c r="BN16" i="10"/>
  <c r="BM16" i="10"/>
  <c r="BL16" i="10"/>
  <c r="BK16" i="10"/>
  <c r="BJ16" i="10"/>
  <c r="BQ16" i="10" s="1"/>
  <c r="BH16" i="10"/>
  <c r="BG16" i="10"/>
  <c r="BF16" i="10"/>
  <c r="BE16" i="10"/>
  <c r="BD16" i="10"/>
  <c r="AW16" i="10"/>
  <c r="AZ16" i="10" s="1"/>
  <c r="AV16" i="10"/>
  <c r="AY16" i="10" s="1"/>
  <c r="AT16" i="10"/>
  <c r="AS16" i="10"/>
  <c r="AQ16" i="10" s="1"/>
  <c r="AR16" i="10"/>
  <c r="AP16" i="10"/>
  <c r="AO16" i="10"/>
  <c r="AN16" i="10"/>
  <c r="AM16" i="10"/>
  <c r="AL16" i="10"/>
  <c r="AF16" i="10"/>
  <c r="AE16" i="10"/>
  <c r="AB16" i="10"/>
  <c r="AA16" i="10"/>
  <c r="X16" i="10"/>
  <c r="V16" i="10"/>
  <c r="U16" i="10"/>
  <c r="W16" i="10" s="1"/>
  <c r="T16" i="10"/>
  <c r="S16" i="10"/>
  <c r="Q16" i="10"/>
  <c r="N16" i="10"/>
  <c r="P16" i="10" s="1"/>
  <c r="M16" i="10"/>
  <c r="L16" i="10"/>
  <c r="J16" i="10"/>
  <c r="H16" i="10"/>
  <c r="G16" i="10"/>
  <c r="F16" i="10"/>
  <c r="B16" i="10"/>
  <c r="C16" i="10" s="1"/>
  <c r="A16" i="10"/>
  <c r="BX15" i="10"/>
  <c r="BW15" i="10"/>
  <c r="BV15" i="10"/>
  <c r="BU15" i="10"/>
  <c r="BT15" i="10"/>
  <c r="BS15" i="10"/>
  <c r="BO15" i="10"/>
  <c r="BM15" i="10" s="1"/>
  <c r="BN15" i="10"/>
  <c r="BL15" i="10"/>
  <c r="BK15" i="10"/>
  <c r="BR15" i="10" s="1"/>
  <c r="BJ15" i="10"/>
  <c r="BQ15" i="10" s="1"/>
  <c r="BH15" i="10"/>
  <c r="BG15" i="10"/>
  <c r="BE15" i="10" s="1"/>
  <c r="BF15" i="10"/>
  <c r="BD15" i="10"/>
  <c r="BB15" i="10"/>
  <c r="AW15" i="10"/>
  <c r="AV15" i="10"/>
  <c r="AU15" i="10"/>
  <c r="AX15" i="10" s="1"/>
  <c r="BA15" i="10" s="1"/>
  <c r="AS15" i="10"/>
  <c r="AZ15" i="10" s="1"/>
  <c r="AR15" i="10"/>
  <c r="AY15" i="10" s="1"/>
  <c r="AQ15" i="10"/>
  <c r="AO15" i="10"/>
  <c r="AM15" i="10" s="1"/>
  <c r="AN15" i="10"/>
  <c r="AL15" i="10"/>
  <c r="AH15" i="10"/>
  <c r="AF15" i="10"/>
  <c r="AE15" i="10"/>
  <c r="AB15" i="10"/>
  <c r="AA15" i="10"/>
  <c r="Z15" i="10"/>
  <c r="X15" i="10"/>
  <c r="W15" i="10"/>
  <c r="V15" i="10"/>
  <c r="U15" i="10"/>
  <c r="T15" i="10"/>
  <c r="S15" i="10"/>
  <c r="Q15" i="10"/>
  <c r="O15" i="10"/>
  <c r="N15" i="10"/>
  <c r="L15" i="10" s="1"/>
  <c r="M15" i="10"/>
  <c r="F15" i="10"/>
  <c r="E15" i="10"/>
  <c r="D15" i="10"/>
  <c r="C15" i="10"/>
  <c r="B15" i="10"/>
  <c r="A15" i="10"/>
  <c r="BX14" i="10"/>
  <c r="BW14" i="10"/>
  <c r="BV14" i="10"/>
  <c r="BT14" i="10" s="1"/>
  <c r="BU14" i="10"/>
  <c r="BS14" i="10"/>
  <c r="BO14" i="10"/>
  <c r="BN14" i="10"/>
  <c r="BQ14" i="10" s="1"/>
  <c r="BL14" i="10"/>
  <c r="BK14" i="10"/>
  <c r="BJ14" i="10"/>
  <c r="BH14" i="10"/>
  <c r="BG14" i="10"/>
  <c r="BF14" i="10"/>
  <c r="BE14" i="10"/>
  <c r="BD14" i="10"/>
  <c r="AW14" i="10"/>
  <c r="AZ14" i="10" s="1"/>
  <c r="AV14" i="10"/>
  <c r="AS14" i="10"/>
  <c r="AQ14" i="10" s="1"/>
  <c r="AR14" i="10"/>
  <c r="AO14" i="10"/>
  <c r="AN14" i="10"/>
  <c r="AM14" i="10"/>
  <c r="AL14" i="10"/>
  <c r="AF14" i="10"/>
  <c r="AE14" i="10"/>
  <c r="AB14" i="10"/>
  <c r="AA14" i="10"/>
  <c r="AH14" i="10" s="1"/>
  <c r="X14" i="10"/>
  <c r="U14" i="10"/>
  <c r="T14" i="10"/>
  <c r="Q14" i="10"/>
  <c r="P14" i="10"/>
  <c r="N14" i="10"/>
  <c r="O14" i="10" s="1"/>
  <c r="M14" i="10"/>
  <c r="L14" i="10"/>
  <c r="H14" i="10"/>
  <c r="F14" i="10"/>
  <c r="G14" i="10" s="1"/>
  <c r="E14" i="10"/>
  <c r="B14" i="10"/>
  <c r="D14" i="10" s="1"/>
  <c r="A14" i="10"/>
  <c r="BX13" i="10"/>
  <c r="BW13" i="10"/>
  <c r="BV13" i="10"/>
  <c r="BT13" i="10" s="1"/>
  <c r="BU13" i="10"/>
  <c r="BS13" i="10"/>
  <c r="BO13" i="10"/>
  <c r="BN13" i="10"/>
  <c r="BQ13" i="10" s="1"/>
  <c r="BL13" i="10"/>
  <c r="BK13" i="10"/>
  <c r="BJ13" i="10"/>
  <c r="BI13" i="10"/>
  <c r="BH13" i="10"/>
  <c r="BG13" i="10"/>
  <c r="BF13" i="10"/>
  <c r="BD13" i="10"/>
  <c r="AZ13" i="10"/>
  <c r="AW13" i="10"/>
  <c r="AU13" i="10" s="1"/>
  <c r="AV13" i="10"/>
  <c r="AT13" i="10"/>
  <c r="AS13" i="10"/>
  <c r="AR13" i="10"/>
  <c r="AY13" i="10" s="1"/>
  <c r="BB13" i="10" s="1"/>
  <c r="AQ13" i="10"/>
  <c r="AX13" i="10" s="1"/>
  <c r="AP13" i="10"/>
  <c r="AO13" i="10"/>
  <c r="AM13" i="10" s="1"/>
  <c r="AN13" i="10"/>
  <c r="AL13" i="10"/>
  <c r="AH13" i="10"/>
  <c r="AF13" i="10"/>
  <c r="AE13" i="10"/>
  <c r="AB13" i="10"/>
  <c r="AA13" i="10"/>
  <c r="Z13" i="10"/>
  <c r="X13" i="10"/>
  <c r="W13" i="10"/>
  <c r="V13" i="10"/>
  <c r="U13" i="10"/>
  <c r="T13" i="10"/>
  <c r="S13" i="10"/>
  <c r="Q13" i="10"/>
  <c r="P13" i="10"/>
  <c r="N13" i="10"/>
  <c r="L13" i="10" s="1"/>
  <c r="M13" i="10"/>
  <c r="J13" i="10"/>
  <c r="G13" i="10"/>
  <c r="F13" i="10"/>
  <c r="H13" i="10" s="1"/>
  <c r="E13" i="10"/>
  <c r="D13" i="10"/>
  <c r="C13" i="10"/>
  <c r="B13" i="10"/>
  <c r="A13" i="10"/>
  <c r="BX12" i="10"/>
  <c r="BW12" i="10"/>
  <c r="BV12" i="10"/>
  <c r="BU12" i="10"/>
  <c r="BT12" i="10"/>
  <c r="BS12" i="10"/>
  <c r="BO12" i="10"/>
  <c r="BR12" i="10" s="1"/>
  <c r="BN12" i="10"/>
  <c r="BQ12" i="10" s="1"/>
  <c r="BL12" i="10"/>
  <c r="BK12" i="10"/>
  <c r="BI12" i="10" s="1"/>
  <c r="BJ12" i="10"/>
  <c r="BH12" i="10"/>
  <c r="BG12" i="10"/>
  <c r="BF12" i="10"/>
  <c r="BE12" i="10"/>
  <c r="BD12" i="10"/>
  <c r="AW12" i="10"/>
  <c r="AV12" i="10"/>
  <c r="AY12" i="10" s="1"/>
  <c r="BB12" i="10" s="1"/>
  <c r="AT12" i="10"/>
  <c r="AS12" i="10"/>
  <c r="AR12" i="10"/>
  <c r="AQ12" i="10"/>
  <c r="AP12" i="10"/>
  <c r="AO12" i="10"/>
  <c r="AN12" i="10"/>
  <c r="AL12" i="10"/>
  <c r="AH12" i="10"/>
  <c r="AF12" i="10"/>
  <c r="AE12" i="10"/>
  <c r="AB12" i="10"/>
  <c r="AA12" i="10"/>
  <c r="Z12" i="10"/>
  <c r="X12" i="10"/>
  <c r="W12" i="10"/>
  <c r="V12" i="10"/>
  <c r="U12" i="10"/>
  <c r="S12" i="10" s="1"/>
  <c r="T12" i="10"/>
  <c r="Q12" i="10"/>
  <c r="N12" i="10"/>
  <c r="P12" i="10" s="1"/>
  <c r="M12" i="10"/>
  <c r="J12" i="10"/>
  <c r="F12" i="10"/>
  <c r="H12" i="10" s="1"/>
  <c r="B12" i="10"/>
  <c r="E12" i="10" s="1"/>
  <c r="A12" i="10"/>
  <c r="BX11" i="10"/>
  <c r="BW11" i="10"/>
  <c r="BV11" i="10"/>
  <c r="BU11" i="10"/>
  <c r="BT11" i="10" s="1"/>
  <c r="BS11" i="10"/>
  <c r="BR11" i="10"/>
  <c r="BP11" i="10" s="1"/>
  <c r="BO11" i="10"/>
  <c r="BN11" i="10"/>
  <c r="BM11" i="10"/>
  <c r="BL11" i="10"/>
  <c r="BK11" i="10"/>
  <c r="BI11" i="10" s="1"/>
  <c r="BJ11" i="10"/>
  <c r="BQ11" i="10" s="1"/>
  <c r="BH11" i="10"/>
  <c r="BG11" i="10"/>
  <c r="BF11" i="10"/>
  <c r="BE11" i="10"/>
  <c r="BD11" i="10"/>
  <c r="AW11" i="10"/>
  <c r="AV11" i="10"/>
  <c r="AY11" i="10" s="1"/>
  <c r="AU11" i="10"/>
  <c r="AX11" i="10" s="1"/>
  <c r="BA11" i="10" s="1"/>
  <c r="AS11" i="10"/>
  <c r="AQ11" i="10" s="1"/>
  <c r="AR11" i="10"/>
  <c r="AO11" i="10"/>
  <c r="AN11" i="10"/>
  <c r="AM11" i="10"/>
  <c r="AL11" i="10"/>
  <c r="AF11" i="10"/>
  <c r="AE11" i="10"/>
  <c r="AB11" i="10"/>
  <c r="AI11" i="10" s="1"/>
  <c r="AA11" i="10"/>
  <c r="X11" i="10"/>
  <c r="U11" i="10"/>
  <c r="W11" i="10" s="1"/>
  <c r="T11" i="10"/>
  <c r="S11" i="10" s="1"/>
  <c r="Q11" i="10"/>
  <c r="P11" i="10"/>
  <c r="O11" i="10"/>
  <c r="N11" i="10"/>
  <c r="M11" i="10"/>
  <c r="L11" i="10"/>
  <c r="H11" i="10"/>
  <c r="F11" i="10"/>
  <c r="G11" i="10" s="1"/>
  <c r="E11" i="10"/>
  <c r="D11" i="10"/>
  <c r="B11" i="10"/>
  <c r="C11" i="10" s="1"/>
  <c r="A11" i="10"/>
  <c r="BX10" i="10"/>
  <c r="BW10" i="10"/>
  <c r="BV10" i="10"/>
  <c r="BU10" i="10"/>
  <c r="BS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AW10" i="10"/>
  <c r="AU10" i="10" s="1"/>
  <c r="AV10" i="10"/>
  <c r="AS10" i="10"/>
  <c r="AR10" i="10"/>
  <c r="AQ10" i="10"/>
  <c r="AO10" i="10"/>
  <c r="AZ10" i="10" s="1"/>
  <c r="AN10" i="10"/>
  <c r="AY10" i="10" s="1"/>
  <c r="AM10" i="10"/>
  <c r="AX10" i="10" s="1"/>
  <c r="AL10" i="10"/>
  <c r="AF10" i="10"/>
  <c r="AE10" i="10"/>
  <c r="AB10" i="10"/>
  <c r="Z10" i="10" s="1"/>
  <c r="AA10" i="10"/>
  <c r="X10" i="10"/>
  <c r="W10" i="10"/>
  <c r="U10" i="10"/>
  <c r="T10" i="10"/>
  <c r="AH10" i="10" s="1"/>
  <c r="Q10" i="10"/>
  <c r="N10" i="10"/>
  <c r="M10" i="10"/>
  <c r="L10" i="10"/>
  <c r="H10" i="10"/>
  <c r="G10" i="10"/>
  <c r="F10" i="10"/>
  <c r="B10" i="10"/>
  <c r="A10" i="10"/>
  <c r="BX9" i="10"/>
  <c r="BW9" i="10"/>
  <c r="BV9" i="10"/>
  <c r="BU9" i="10"/>
  <c r="BT9" i="10"/>
  <c r="BS9" i="10"/>
  <c r="BR9" i="10"/>
  <c r="BP9" i="10" s="1"/>
  <c r="BQ9" i="10"/>
  <c r="BO9" i="10"/>
  <c r="BM9" i="10" s="1"/>
  <c r="BN9" i="10"/>
  <c r="BL9" i="10"/>
  <c r="BK9" i="10"/>
  <c r="BJ9" i="10"/>
  <c r="BI9" i="10"/>
  <c r="BH9" i="10"/>
  <c r="BG9" i="10"/>
  <c r="BE9" i="10" s="1"/>
  <c r="BF9" i="10"/>
  <c r="BD9" i="10"/>
  <c r="AZ9" i="10"/>
  <c r="AW9" i="10"/>
  <c r="AV9" i="10"/>
  <c r="AU9" i="10"/>
  <c r="AX9" i="10" s="1"/>
  <c r="BA9" i="10" s="1"/>
  <c r="AS9" i="10"/>
  <c r="AQ9" i="10" s="1"/>
  <c r="AR9" i="10"/>
  <c r="AY9" i="10" s="1"/>
  <c r="AO9" i="10"/>
  <c r="AM9" i="10" s="1"/>
  <c r="AN9" i="10"/>
  <c r="AL9" i="10"/>
  <c r="AF9" i="10"/>
  <c r="AE9" i="10"/>
  <c r="AB9" i="10"/>
  <c r="AA9" i="10"/>
  <c r="AH9" i="10" s="1"/>
  <c r="BB9" i="10" s="1"/>
  <c r="Z9" i="10"/>
  <c r="X9" i="10"/>
  <c r="W9" i="10"/>
  <c r="V9" i="10"/>
  <c r="U9" i="10"/>
  <c r="T9" i="10"/>
  <c r="S9" i="10"/>
  <c r="Q9" i="10"/>
  <c r="P9" i="10"/>
  <c r="O9" i="10"/>
  <c r="N9" i="10"/>
  <c r="L9" i="10" s="1"/>
  <c r="M9" i="10"/>
  <c r="F9" i="10"/>
  <c r="E9" i="10"/>
  <c r="D9" i="10"/>
  <c r="C9" i="10"/>
  <c r="B9" i="10"/>
  <c r="A9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BX8" i="10"/>
  <c r="BW8" i="10"/>
  <c r="BV8" i="10"/>
  <c r="BT8" i="10" s="1"/>
  <c r="BU8" i="10"/>
  <c r="BS8" i="10"/>
  <c r="BO8" i="10"/>
  <c r="BM8" i="10" s="1"/>
  <c r="BN8" i="10"/>
  <c r="BL8" i="10"/>
  <c r="BK8" i="10"/>
  <c r="BJ8" i="10"/>
  <c r="BI8" i="10" s="1"/>
  <c r="BH8" i="10"/>
  <c r="BG8" i="10"/>
  <c r="BE8" i="10" s="1"/>
  <c r="BF8" i="10"/>
  <c r="BD8" i="10"/>
  <c r="BA8" i="10"/>
  <c r="AX8" i="10"/>
  <c r="AW8" i="10"/>
  <c r="AV8" i="10"/>
  <c r="AU8" i="10"/>
  <c r="AS8" i="10"/>
  <c r="AZ8" i="10" s="1"/>
  <c r="AR8" i="10"/>
  <c r="AY8" i="10" s="1"/>
  <c r="AO8" i="10"/>
  <c r="AM8" i="10" s="1"/>
  <c r="AN8" i="10"/>
  <c r="AL8" i="10"/>
  <c r="AF8" i="10"/>
  <c r="AE8" i="10"/>
  <c r="AB8" i="10"/>
  <c r="AA8" i="10"/>
  <c r="Z8" i="10"/>
  <c r="X8" i="10"/>
  <c r="W8" i="10"/>
  <c r="V8" i="10"/>
  <c r="U8" i="10"/>
  <c r="S8" i="10" s="1"/>
  <c r="T8" i="10"/>
  <c r="Q8" i="10"/>
  <c r="O8" i="10"/>
  <c r="N8" i="10"/>
  <c r="L8" i="10" s="1"/>
  <c r="M8" i="10"/>
  <c r="AH8" i="10" s="1"/>
  <c r="F8" i="10"/>
  <c r="H8" i="10" s="1"/>
  <c r="B8" i="10"/>
  <c r="D8" i="10" s="1"/>
  <c r="A8" i="10"/>
  <c r="BX7" i="10"/>
  <c r="BW7" i="10"/>
  <c r="BV7" i="10"/>
  <c r="BU7" i="10"/>
  <c r="BT7" i="10" s="1"/>
  <c r="BS7" i="10"/>
  <c r="BR7" i="10"/>
  <c r="BP7" i="10" s="1"/>
  <c r="BO7" i="10"/>
  <c r="BN7" i="10"/>
  <c r="BM7" i="10"/>
  <c r="BL7" i="10"/>
  <c r="BK7" i="10"/>
  <c r="BI7" i="10" s="1"/>
  <c r="BJ7" i="10"/>
  <c r="BQ7" i="10" s="1"/>
  <c r="BH7" i="10"/>
  <c r="BG7" i="10"/>
  <c r="BF7" i="10"/>
  <c r="BE7" i="10"/>
  <c r="BD7" i="10"/>
  <c r="AW7" i="10"/>
  <c r="AV7" i="10"/>
  <c r="AY7" i="10" s="1"/>
  <c r="AU7" i="10"/>
  <c r="AX7" i="10" s="1"/>
  <c r="BA7" i="10" s="1"/>
  <c r="AS7" i="10"/>
  <c r="AQ7" i="10" s="1"/>
  <c r="AR7" i="10"/>
  <c r="AO7" i="10"/>
  <c r="AN7" i="10"/>
  <c r="AM7" i="10"/>
  <c r="AL7" i="10"/>
  <c r="AF7" i="10"/>
  <c r="AE7" i="10"/>
  <c r="AB7" i="10"/>
  <c r="AI7" i="10" s="1"/>
  <c r="AA7" i="10"/>
  <c r="AH7" i="10" s="1"/>
  <c r="BB7" i="10" s="1"/>
  <c r="X7" i="10"/>
  <c r="U7" i="10"/>
  <c r="W7" i="10" s="1"/>
  <c r="T7" i="10"/>
  <c r="S7" i="10"/>
  <c r="Q7" i="10"/>
  <c r="P7" i="10"/>
  <c r="O7" i="10"/>
  <c r="N7" i="10"/>
  <c r="M7" i="10"/>
  <c r="L7" i="10"/>
  <c r="G7" i="10"/>
  <c r="F7" i="10"/>
  <c r="H7" i="10" s="1"/>
  <c r="E7" i="10"/>
  <c r="D7" i="10"/>
  <c r="C7" i="10"/>
  <c r="B7" i="10"/>
  <c r="A7" i="10"/>
  <c r="BX6" i="10"/>
  <c r="BW6" i="10"/>
  <c r="BV6" i="10"/>
  <c r="BT6" i="10" s="1"/>
  <c r="BU6" i="10"/>
  <c r="BS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AW6" i="10"/>
  <c r="AU6" i="10" s="1"/>
  <c r="AV6" i="10"/>
  <c r="AT6" i="10"/>
  <c r="AS6" i="10"/>
  <c r="AR6" i="10"/>
  <c r="AQ6" i="10" s="1"/>
  <c r="AX6" i="10" s="1"/>
  <c r="AP6" i="10"/>
  <c r="AO6" i="10"/>
  <c r="AM6" i="10" s="1"/>
  <c r="AN6" i="10"/>
  <c r="AL6" i="10"/>
  <c r="AF6" i="10"/>
  <c r="AE6" i="10"/>
  <c r="AB6" i="10"/>
  <c r="AA6" i="10"/>
  <c r="Z6" i="10"/>
  <c r="X6" i="10"/>
  <c r="W6" i="10"/>
  <c r="V6" i="10"/>
  <c r="U6" i="10"/>
  <c r="S6" i="10" s="1"/>
  <c r="T6" i="10"/>
  <c r="Q6" i="10"/>
  <c r="N6" i="10"/>
  <c r="M6" i="10"/>
  <c r="AH6" i="10" s="1"/>
  <c r="J6" i="10"/>
  <c r="F6" i="10"/>
  <c r="E6" i="10"/>
  <c r="D6" i="10"/>
  <c r="C6" i="10"/>
  <c r="B6" i="10"/>
  <c r="A6" i="10"/>
  <c r="BX5" i="10"/>
  <c r="BW5" i="10"/>
  <c r="BV5" i="10"/>
  <c r="BT5" i="10" s="1"/>
  <c r="BU5" i="10"/>
  <c r="BS5" i="10"/>
  <c r="BO5" i="10"/>
  <c r="BN5" i="10"/>
  <c r="BQ5" i="10" s="1"/>
  <c r="BM5" i="10"/>
  <c r="BL5" i="10"/>
  <c r="BK5" i="10"/>
  <c r="BJ5" i="10"/>
  <c r="BH5" i="10"/>
  <c r="BG5" i="10"/>
  <c r="BF5" i="10"/>
  <c r="BE5" i="10"/>
  <c r="BD5" i="10"/>
  <c r="AW5" i="10"/>
  <c r="AZ5" i="10" s="1"/>
  <c r="AV5" i="10"/>
  <c r="AS5" i="10"/>
  <c r="AQ5" i="10" s="1"/>
  <c r="AR5" i="10"/>
  <c r="AO5" i="10"/>
  <c r="AN5" i="10"/>
  <c r="AM5" i="10"/>
  <c r="AL5" i="10"/>
  <c r="AF5" i="10"/>
  <c r="AE5" i="10"/>
  <c r="AB5" i="10"/>
  <c r="AA5" i="10"/>
  <c r="X5" i="10"/>
  <c r="U5" i="10"/>
  <c r="S5" i="10" s="1"/>
  <c r="T5" i="10"/>
  <c r="Q5" i="10"/>
  <c r="P5" i="10"/>
  <c r="O5" i="10"/>
  <c r="N5" i="10"/>
  <c r="M5" i="10"/>
  <c r="L5" i="10"/>
  <c r="H5" i="10"/>
  <c r="G5" i="10"/>
  <c r="F5" i="10"/>
  <c r="E5" i="10"/>
  <c r="B5" i="10"/>
  <c r="D5" i="10" s="1"/>
  <c r="A5" i="10"/>
  <c r="BX4" i="10"/>
  <c r="BW4" i="10"/>
  <c r="BV4" i="10"/>
  <c r="BT4" i="10" s="1"/>
  <c r="BU4" i="10"/>
  <c r="BS4" i="10"/>
  <c r="BO4" i="10"/>
  <c r="BN4" i="10"/>
  <c r="BQ4" i="10" s="1"/>
  <c r="BL4" i="10"/>
  <c r="BK4" i="10"/>
  <c r="BJ4" i="10"/>
  <c r="BI4" i="10"/>
  <c r="BH4" i="10"/>
  <c r="BG4" i="10"/>
  <c r="BF4" i="10"/>
  <c r="BD4" i="10"/>
  <c r="AZ4" i="10"/>
  <c r="BC4" i="10" s="1"/>
  <c r="AW4" i="10"/>
  <c r="AU4" i="10" s="1"/>
  <c r="AV4" i="10"/>
  <c r="AT4" i="10"/>
  <c r="AS4" i="10"/>
  <c r="AR4" i="10"/>
  <c r="AY4" i="10" s="1"/>
  <c r="BB4" i="10" s="1"/>
  <c r="AQ4" i="10"/>
  <c r="AX4" i="10" s="1"/>
  <c r="AP4" i="10"/>
  <c r="AO4" i="10"/>
  <c r="AM4" i="10" s="1"/>
  <c r="AN4" i="10"/>
  <c r="AL4" i="10"/>
  <c r="AK4" i="10"/>
  <c r="AI4" i="10"/>
  <c r="AH4" i="10"/>
  <c r="AF4" i="10"/>
  <c r="AB4" i="10"/>
  <c r="AA4" i="10"/>
  <c r="Z4" i="10"/>
  <c r="Y4" i="10"/>
  <c r="X4" i="10"/>
  <c r="U4" i="10"/>
  <c r="T4" i="10"/>
  <c r="S4" i="10"/>
  <c r="R4" i="10"/>
  <c r="Q4" i="10"/>
  <c r="N4" i="10"/>
  <c r="M4" i="10"/>
  <c r="L4" i="10"/>
  <c r="K4" i="10"/>
  <c r="J4" i="10"/>
  <c r="H4" i="10"/>
  <c r="G4" i="10"/>
  <c r="F4" i="10"/>
  <c r="B4" i="10"/>
  <c r="A4" i="10"/>
  <c r="BX3" i="10"/>
  <c r="BW3" i="10"/>
  <c r="BV3" i="10"/>
  <c r="BT3" i="10" s="1"/>
  <c r="BU3" i="10"/>
  <c r="BS3" i="10"/>
  <c r="BQ3" i="10"/>
  <c r="BO3" i="10"/>
  <c r="BM3" i="10" s="1"/>
  <c r="BN3" i="10"/>
  <c r="BL3" i="10"/>
  <c r="BK3" i="10"/>
  <c r="BJ3" i="10"/>
  <c r="BI3" i="10"/>
  <c r="BH3" i="10"/>
  <c r="BG3" i="10"/>
  <c r="BE3" i="10" s="1"/>
  <c r="BF3" i="10"/>
  <c r="BD3" i="10"/>
  <c r="AY3" i="10"/>
  <c r="BB3" i="10" s="1"/>
  <c r="AW3" i="10"/>
  <c r="AV3" i="10"/>
  <c r="AU3" i="10"/>
  <c r="AT3" i="10"/>
  <c r="AS3" i="10"/>
  <c r="AZ3" i="10" s="1"/>
  <c r="AR3" i="10"/>
  <c r="AP3" i="10"/>
  <c r="AO3" i="10"/>
  <c r="AN3" i="10"/>
  <c r="AM3" i="10"/>
  <c r="AL3" i="10"/>
  <c r="AF3" i="10"/>
  <c r="AE3" i="10"/>
  <c r="AB3" i="10"/>
  <c r="AI3" i="10" s="1"/>
  <c r="AA3" i="10"/>
  <c r="AH3" i="10" s="1"/>
  <c r="Z3" i="10"/>
  <c r="X3" i="10"/>
  <c r="W3" i="10"/>
  <c r="U3" i="10"/>
  <c r="V3" i="10" s="1"/>
  <c r="T3" i="10"/>
  <c r="S3" i="10"/>
  <c r="Q3" i="10"/>
  <c r="P3" i="10"/>
  <c r="O3" i="10"/>
  <c r="N3" i="10"/>
  <c r="L3" i="10" s="1"/>
  <c r="M3" i="10"/>
  <c r="J3" i="10"/>
  <c r="G3" i="10"/>
  <c r="F3" i="10"/>
  <c r="H3" i="10" s="1"/>
  <c r="E3" i="10"/>
  <c r="D3" i="10"/>
  <c r="B3" i="10"/>
  <c r="C3" i="10" s="1"/>
  <c r="A3" i="10"/>
  <c r="BX2" i="10"/>
  <c r="BW2" i="10"/>
  <c r="BV2" i="10"/>
  <c r="BU2" i="10"/>
  <c r="BS2" i="10"/>
  <c r="BO2" i="10"/>
  <c r="BN2" i="10"/>
  <c r="BL2" i="10"/>
  <c r="BK2" i="10"/>
  <c r="BJ2" i="10"/>
  <c r="BJ124" i="10" s="1"/>
  <c r="DA320" i="10" s="1"/>
  <c r="BI2" i="10"/>
  <c r="BH2" i="10"/>
  <c r="BH124" i="10" s="1"/>
  <c r="BG2" i="10"/>
  <c r="BF2" i="10"/>
  <c r="BD2" i="10"/>
  <c r="AY2" i="10"/>
  <c r="AW2" i="10"/>
  <c r="AV2" i="10"/>
  <c r="AT2" i="10"/>
  <c r="AS2" i="10"/>
  <c r="AR2" i="10"/>
  <c r="AQ2" i="10"/>
  <c r="AP2" i="10"/>
  <c r="AP124" i="10" s="1"/>
  <c r="AO2" i="10"/>
  <c r="AN2" i="10"/>
  <c r="AL2" i="10"/>
  <c r="AJ2" i="10"/>
  <c r="AI2" i="10"/>
  <c r="AH2" i="10"/>
  <c r="AG2" i="10"/>
  <c r="AF2" i="10"/>
  <c r="AB2" i="10"/>
  <c r="AA2" i="10"/>
  <c r="Z2" i="10"/>
  <c r="Y2" i="10"/>
  <c r="X2" i="10"/>
  <c r="U2" i="10"/>
  <c r="T2" i="10"/>
  <c r="S2" i="10"/>
  <c r="R2" i="10"/>
  <c r="Q2" i="10"/>
  <c r="N2" i="10"/>
  <c r="L2" i="10" s="1"/>
  <c r="M2" i="10"/>
  <c r="M124" i="10" s="1"/>
  <c r="J2" i="10"/>
  <c r="H2" i="10"/>
  <c r="G2" i="10"/>
  <c r="F2" i="10"/>
  <c r="E2" i="10"/>
  <c r="B2" i="10"/>
  <c r="D2" i="10" s="1"/>
  <c r="A2" i="10"/>
  <c r="CB168" i="9"/>
  <c r="CA168" i="9"/>
  <c r="BW168" i="9"/>
  <c r="BU168" i="9"/>
  <c r="BS168" i="9"/>
  <c r="BQ168" i="9" s="1"/>
  <c r="BT168" i="9" s="1"/>
  <c r="BR168" i="9"/>
  <c r="BP168" i="9"/>
  <c r="BL168" i="9"/>
  <c r="BH168" i="9"/>
  <c r="AX168" i="9"/>
  <c r="AT168" i="9"/>
  <c r="AP168" i="9"/>
  <c r="AJ168" i="9"/>
  <c r="AI168" i="9"/>
  <c r="AF168" i="9"/>
  <c r="AE168" i="9"/>
  <c r="AB168" i="9"/>
  <c r="Y168" i="9"/>
  <c r="X168" i="9"/>
  <c r="W168" i="9" s="1"/>
  <c r="U168" i="9"/>
  <c r="R168" i="9"/>
  <c r="P168" i="9" s="1"/>
  <c r="Q168" i="9"/>
  <c r="N168" i="9"/>
  <c r="B168" i="9"/>
  <c r="E168" i="9" s="1"/>
  <c r="A168" i="9"/>
  <c r="CB167" i="9"/>
  <c r="CA167" i="9"/>
  <c r="BW167" i="9"/>
  <c r="BS167" i="9"/>
  <c r="BR167" i="9"/>
  <c r="BU167" i="9" s="1"/>
  <c r="BP167" i="9"/>
  <c r="BL167" i="9"/>
  <c r="BH167" i="9"/>
  <c r="AX167" i="9"/>
  <c r="AT167" i="9"/>
  <c r="AP167" i="9"/>
  <c r="AJ167" i="9"/>
  <c r="AF167" i="9"/>
  <c r="AE167" i="9"/>
  <c r="AL167" i="9" s="1"/>
  <c r="AB167" i="9"/>
  <c r="AC167" i="9" s="1"/>
  <c r="Y167" i="9"/>
  <c r="X167" i="9"/>
  <c r="W167" i="9"/>
  <c r="V167" i="9"/>
  <c r="AI167" i="9" s="1"/>
  <c r="U167" i="9"/>
  <c r="R167" i="9"/>
  <c r="P167" i="9" s="1"/>
  <c r="Q167" i="9"/>
  <c r="N167" i="9"/>
  <c r="O167" i="9" s="1"/>
  <c r="E167" i="9"/>
  <c r="D167" i="9"/>
  <c r="C167" i="9"/>
  <c r="B167" i="9"/>
  <c r="A167" i="9"/>
  <c r="CB166" i="9"/>
  <c r="CA166" i="9"/>
  <c r="BW166" i="9"/>
  <c r="BS166" i="9"/>
  <c r="BQ166" i="9" s="1"/>
  <c r="BR166" i="9"/>
  <c r="BP166" i="9"/>
  <c r="BO166" i="9"/>
  <c r="BV166" i="9" s="1"/>
  <c r="BN166" i="9"/>
  <c r="BU166" i="9" s="1"/>
  <c r="BL166" i="9"/>
  <c r="BK166" i="9"/>
  <c r="BI166" i="9" s="1"/>
  <c r="BJ166" i="9"/>
  <c r="BH166" i="9"/>
  <c r="BA166" i="9"/>
  <c r="AZ166" i="9"/>
  <c r="AY166" i="9"/>
  <c r="AX166" i="9"/>
  <c r="AW166" i="9"/>
  <c r="AV166" i="9"/>
  <c r="BC166" i="9" s="1"/>
  <c r="BF166" i="9" s="1"/>
  <c r="AT166" i="9"/>
  <c r="AS166" i="9"/>
  <c r="AR166" i="9"/>
  <c r="AQ166" i="9"/>
  <c r="AP166" i="9"/>
  <c r="AJ166" i="9"/>
  <c r="AF166" i="9"/>
  <c r="AE166" i="9"/>
  <c r="AL166" i="9" s="1"/>
  <c r="AD166" i="9"/>
  <c r="AC166" i="9"/>
  <c r="AB166" i="9"/>
  <c r="Y166" i="9"/>
  <c r="X166" i="9"/>
  <c r="W166" i="9"/>
  <c r="U166" i="9"/>
  <c r="V166" i="9" s="1"/>
  <c r="R166" i="9"/>
  <c r="P166" i="9" s="1"/>
  <c r="Q166" i="9"/>
  <c r="N166" i="9"/>
  <c r="O166" i="9" s="1"/>
  <c r="I166" i="9"/>
  <c r="H166" i="9"/>
  <c r="G166" i="9"/>
  <c r="F166" i="9"/>
  <c r="E166" i="9"/>
  <c r="B166" i="9"/>
  <c r="D166" i="9" s="1"/>
  <c r="A166" i="9"/>
  <c r="CB165" i="9"/>
  <c r="CA165" i="9"/>
  <c r="BW165" i="9"/>
  <c r="BV165" i="9"/>
  <c r="BS165" i="9"/>
  <c r="BR165" i="9"/>
  <c r="BU165" i="9" s="1"/>
  <c r="BQ165" i="9"/>
  <c r="BT165" i="9" s="1"/>
  <c r="BP165" i="9"/>
  <c r="BL165" i="9"/>
  <c r="BH165" i="9"/>
  <c r="AX165" i="9"/>
  <c r="AT165" i="9"/>
  <c r="AP165" i="9"/>
  <c r="AL165" i="9"/>
  <c r="AJ165" i="9"/>
  <c r="AI165" i="9"/>
  <c r="AF165" i="9"/>
  <c r="AE165" i="9"/>
  <c r="AD165" i="9" s="1"/>
  <c r="AB165" i="9"/>
  <c r="Y165" i="9"/>
  <c r="W165" i="9" s="1"/>
  <c r="X165" i="9"/>
  <c r="U165" i="9"/>
  <c r="R165" i="9"/>
  <c r="Q165" i="9"/>
  <c r="P165" i="9" s="1"/>
  <c r="N165" i="9"/>
  <c r="E165" i="9"/>
  <c r="D165" i="9"/>
  <c r="B165" i="9"/>
  <c r="C165" i="9" s="1"/>
  <c r="A165" i="9"/>
  <c r="CB164" i="9"/>
  <c r="CA164" i="9"/>
  <c r="BW164" i="9"/>
  <c r="BV164" i="9"/>
  <c r="BS164" i="9"/>
  <c r="BR164" i="9"/>
  <c r="BU164" i="9" s="1"/>
  <c r="BQ164" i="9"/>
  <c r="BT164" i="9" s="1"/>
  <c r="BP164" i="9"/>
  <c r="BL164" i="9"/>
  <c r="BH164" i="9"/>
  <c r="AX164" i="9"/>
  <c r="AT164" i="9"/>
  <c r="AP164" i="9"/>
  <c r="AC164" i="9"/>
  <c r="AB164" i="9"/>
  <c r="U164" i="9"/>
  <c r="V164" i="9" s="1"/>
  <c r="AI164" i="9" s="1"/>
  <c r="O164" i="9"/>
  <c r="N164" i="9"/>
  <c r="E164" i="9"/>
  <c r="D164" i="9"/>
  <c r="C164" i="9"/>
  <c r="A164" i="9"/>
  <c r="BW163" i="9"/>
  <c r="BV163" i="9"/>
  <c r="BS163" i="9"/>
  <c r="BR163" i="9"/>
  <c r="BU163" i="9" s="1"/>
  <c r="BQ163" i="9"/>
  <c r="BT163" i="9" s="1"/>
  <c r="CB160" i="9"/>
  <c r="CA160" i="9"/>
  <c r="BZ160" i="9"/>
  <c r="BX160" i="9" s="1"/>
  <c r="BY160" i="9"/>
  <c r="BW160" i="9"/>
  <c r="BS160" i="9"/>
  <c r="BR160" i="9"/>
  <c r="BU160" i="9" s="1"/>
  <c r="BP160" i="9"/>
  <c r="BO160" i="9"/>
  <c r="BN160" i="9"/>
  <c r="BM160" i="9"/>
  <c r="BL160" i="9"/>
  <c r="BK160" i="9"/>
  <c r="BI160" i="9" s="1"/>
  <c r="BJ160" i="9"/>
  <c r="BH160" i="9"/>
  <c r="BD160" i="9"/>
  <c r="BA160" i="9"/>
  <c r="AY160" i="9" s="1"/>
  <c r="AZ160" i="9"/>
  <c r="AX160" i="9"/>
  <c r="AW160" i="9"/>
  <c r="AV160" i="9"/>
  <c r="AU160" i="9" s="1"/>
  <c r="AT160" i="9"/>
  <c r="AS160" i="9"/>
  <c r="AQ160" i="9" s="1"/>
  <c r="AR160" i="9"/>
  <c r="AP160" i="9"/>
  <c r="AL160" i="9"/>
  <c r="AJ160" i="9"/>
  <c r="AF160" i="9"/>
  <c r="AE160" i="9"/>
  <c r="AD160" i="9" s="1"/>
  <c r="AK160" i="9" s="1"/>
  <c r="AB160" i="9"/>
  <c r="AC160" i="9" s="1"/>
  <c r="Y160" i="9"/>
  <c r="W160" i="9" s="1"/>
  <c r="X160" i="9"/>
  <c r="U160" i="9"/>
  <c r="V160" i="9" s="1"/>
  <c r="R160" i="9"/>
  <c r="P160" i="9" s="1"/>
  <c r="Q160" i="9"/>
  <c r="O160" i="9"/>
  <c r="N160" i="9"/>
  <c r="J160" i="9"/>
  <c r="I160" i="9"/>
  <c r="H160" i="9"/>
  <c r="G160" i="9"/>
  <c r="F160" i="9"/>
  <c r="B160" i="9"/>
  <c r="A160" i="9"/>
  <c r="CB159" i="9"/>
  <c r="CA159" i="9"/>
  <c r="BZ159" i="9"/>
  <c r="BX159" i="9" s="1"/>
  <c r="BY159" i="9"/>
  <c r="BW159" i="9"/>
  <c r="BS159" i="9"/>
  <c r="BQ159" i="9" s="1"/>
  <c r="BR159" i="9"/>
  <c r="BP159" i="9"/>
  <c r="BO159" i="9"/>
  <c r="BN159" i="9"/>
  <c r="BU159" i="9" s="1"/>
  <c r="BL159" i="9"/>
  <c r="BK159" i="9"/>
  <c r="BI159" i="9" s="1"/>
  <c r="BJ159" i="9"/>
  <c r="BH159" i="9"/>
  <c r="BD159" i="9"/>
  <c r="BA159" i="9"/>
  <c r="AZ159" i="9"/>
  <c r="AY159" i="9"/>
  <c r="AX159" i="9"/>
  <c r="AW159" i="9"/>
  <c r="AV159" i="9"/>
  <c r="BC159" i="9" s="1"/>
  <c r="AU159" i="9"/>
  <c r="BB159" i="9" s="1"/>
  <c r="AT159" i="9"/>
  <c r="AS159" i="9"/>
  <c r="AR159" i="9"/>
  <c r="AQ159" i="9"/>
  <c r="AP159" i="9"/>
  <c r="AM159" i="9"/>
  <c r="AO159" i="9" s="1"/>
  <c r="AJ159" i="9"/>
  <c r="AF159" i="9"/>
  <c r="AE159" i="9"/>
  <c r="AD159" i="9"/>
  <c r="AC159" i="9"/>
  <c r="AB159" i="9"/>
  <c r="Y159" i="9"/>
  <c r="X159" i="9"/>
  <c r="W159" i="9"/>
  <c r="V159" i="9"/>
  <c r="U159" i="9"/>
  <c r="R159" i="9"/>
  <c r="Q159" i="9"/>
  <c r="N159" i="9"/>
  <c r="O159" i="9" s="1"/>
  <c r="J159" i="9"/>
  <c r="L159" i="9" s="1"/>
  <c r="I159" i="9"/>
  <c r="H159" i="9"/>
  <c r="G159" i="9"/>
  <c r="F159" i="9"/>
  <c r="C159" i="9"/>
  <c r="B159" i="9"/>
  <c r="A159" i="9"/>
  <c r="CB158" i="9"/>
  <c r="CA158" i="9"/>
  <c r="BZ158" i="9"/>
  <c r="BY158" i="9"/>
  <c r="BX158" i="9"/>
  <c r="BW158" i="9"/>
  <c r="BV158" i="9"/>
  <c r="BS158" i="9"/>
  <c r="BQ158" i="9" s="1"/>
  <c r="BR158" i="9"/>
  <c r="BP158" i="9"/>
  <c r="BO158" i="9"/>
  <c r="BN158" i="9"/>
  <c r="BM158" i="9" s="1"/>
  <c r="BT158" i="9" s="1"/>
  <c r="BL158" i="9"/>
  <c r="BK158" i="9"/>
  <c r="BI158" i="9" s="1"/>
  <c r="BJ158" i="9"/>
  <c r="BH158" i="9"/>
  <c r="BD158" i="9"/>
  <c r="BA158" i="9"/>
  <c r="AZ158" i="9"/>
  <c r="AY158" i="9"/>
  <c r="AX158" i="9"/>
  <c r="AW158" i="9"/>
  <c r="AV158" i="9"/>
  <c r="BC158" i="9" s="1"/>
  <c r="BF158" i="9" s="1"/>
  <c r="AT158" i="9"/>
  <c r="AS158" i="9"/>
  <c r="AR158" i="9"/>
  <c r="AQ158" i="9"/>
  <c r="AP158" i="9"/>
  <c r="AJ158" i="9"/>
  <c r="AI158" i="9"/>
  <c r="AF158" i="9"/>
  <c r="AE158" i="9"/>
  <c r="AL158" i="9" s="1"/>
  <c r="AD158" i="9"/>
  <c r="AC158" i="9"/>
  <c r="AB158" i="9"/>
  <c r="Y158" i="9"/>
  <c r="X158" i="9"/>
  <c r="W158" i="9"/>
  <c r="V158" i="9"/>
  <c r="U158" i="9"/>
  <c r="R158" i="9"/>
  <c r="P158" i="9" s="1"/>
  <c r="Q158" i="9"/>
  <c r="N158" i="9"/>
  <c r="O158" i="9" s="1"/>
  <c r="J158" i="9"/>
  <c r="L158" i="9" s="1"/>
  <c r="I158" i="9"/>
  <c r="H158" i="9"/>
  <c r="F158" i="9"/>
  <c r="G158" i="9" s="1"/>
  <c r="D158" i="9"/>
  <c r="C158" i="9"/>
  <c r="B158" i="9"/>
  <c r="E158" i="9" s="1"/>
  <c r="A158" i="9"/>
  <c r="CB157" i="9"/>
  <c r="CA157" i="9"/>
  <c r="BZ157" i="9"/>
  <c r="BY157" i="9"/>
  <c r="BX157" i="9"/>
  <c r="BW157" i="9"/>
  <c r="BU157" i="9"/>
  <c r="BS157" i="9"/>
  <c r="BR157" i="9"/>
  <c r="BQ157" i="9"/>
  <c r="BP157" i="9"/>
  <c r="BO157" i="9"/>
  <c r="BV157" i="9" s="1"/>
  <c r="BN157" i="9"/>
  <c r="BL157" i="9"/>
  <c r="BK157" i="9"/>
  <c r="BJ157" i="9"/>
  <c r="BI157" i="9"/>
  <c r="BH157" i="9"/>
  <c r="BA157" i="9"/>
  <c r="AZ157" i="9"/>
  <c r="AY157" i="9" s="1"/>
  <c r="AX157" i="9"/>
  <c r="AW157" i="9"/>
  <c r="AV157" i="9"/>
  <c r="AT157" i="9"/>
  <c r="AS157" i="9"/>
  <c r="AR157" i="9"/>
  <c r="AQ157" i="9"/>
  <c r="AP157" i="9"/>
  <c r="AJ157" i="9"/>
  <c r="AF157" i="9"/>
  <c r="AE157" i="9"/>
  <c r="AB157" i="9"/>
  <c r="AC157" i="9" s="1"/>
  <c r="Y157" i="9"/>
  <c r="X157" i="9"/>
  <c r="W157" i="9" s="1"/>
  <c r="V157" i="9"/>
  <c r="U157" i="9"/>
  <c r="R157" i="9"/>
  <c r="P157" i="9" s="1"/>
  <c r="Q157" i="9"/>
  <c r="N157" i="9"/>
  <c r="O157" i="9" s="1"/>
  <c r="AI157" i="9" s="1"/>
  <c r="L157" i="9"/>
  <c r="K157" i="9"/>
  <c r="J157" i="9"/>
  <c r="I157" i="9"/>
  <c r="F157" i="9"/>
  <c r="H157" i="9" s="1"/>
  <c r="B157" i="9"/>
  <c r="E157" i="9" s="1"/>
  <c r="A157" i="9"/>
  <c r="CB156" i="9"/>
  <c r="CA156" i="9"/>
  <c r="BZ156" i="9"/>
  <c r="BY156" i="9"/>
  <c r="BX156" i="9" s="1"/>
  <c r="BW156" i="9"/>
  <c r="BV156" i="9"/>
  <c r="BS156" i="9"/>
  <c r="BR156" i="9"/>
  <c r="BQ156" i="9"/>
  <c r="BT156" i="9" s="1"/>
  <c r="BP156" i="9"/>
  <c r="BO156" i="9"/>
  <c r="BM156" i="9" s="1"/>
  <c r="BN156" i="9"/>
  <c r="BU156" i="9" s="1"/>
  <c r="BL156" i="9"/>
  <c r="BK156" i="9"/>
  <c r="BJ156" i="9"/>
  <c r="BI156" i="9"/>
  <c r="BH156" i="9"/>
  <c r="BA156" i="9"/>
  <c r="AZ156" i="9"/>
  <c r="AY156" i="9"/>
  <c r="AX156" i="9"/>
  <c r="AW156" i="9"/>
  <c r="AU156" i="9" s="1"/>
  <c r="AV156" i="9"/>
  <c r="AT156" i="9"/>
  <c r="AS156" i="9"/>
  <c r="BD156" i="9" s="1"/>
  <c r="AR156" i="9"/>
  <c r="AQ156" i="9"/>
  <c r="AP156" i="9"/>
  <c r="AJ156" i="9"/>
  <c r="AF156" i="9"/>
  <c r="AE156" i="9"/>
  <c r="AB156" i="9"/>
  <c r="AC156" i="9" s="1"/>
  <c r="Y156" i="9"/>
  <c r="X156" i="9"/>
  <c r="W156" i="9" s="1"/>
  <c r="V156" i="9"/>
  <c r="U156" i="9"/>
  <c r="R156" i="9"/>
  <c r="Q156" i="9"/>
  <c r="P156" i="9"/>
  <c r="N156" i="9"/>
  <c r="O156" i="9" s="1"/>
  <c r="AI156" i="9" s="1"/>
  <c r="L156" i="9"/>
  <c r="K156" i="9"/>
  <c r="J156" i="9"/>
  <c r="F156" i="9"/>
  <c r="E156" i="9"/>
  <c r="D156" i="9"/>
  <c r="C156" i="9"/>
  <c r="B156" i="9"/>
  <c r="A156" i="9"/>
  <c r="CB155" i="9"/>
  <c r="CA155" i="9"/>
  <c r="BZ155" i="9"/>
  <c r="BX155" i="9" s="1"/>
  <c r="BY155" i="9"/>
  <c r="BW155" i="9"/>
  <c r="BS155" i="9"/>
  <c r="BR155" i="9"/>
  <c r="BQ155" i="9" s="1"/>
  <c r="BP155" i="9"/>
  <c r="BO155" i="9"/>
  <c r="BN155" i="9"/>
  <c r="BL155" i="9"/>
  <c r="BK155" i="9"/>
  <c r="BJ155" i="9"/>
  <c r="BI155" i="9" s="1"/>
  <c r="BH155" i="9"/>
  <c r="BA155" i="9"/>
  <c r="AZ155" i="9"/>
  <c r="AY155" i="9"/>
  <c r="AX155" i="9"/>
  <c r="AW155" i="9"/>
  <c r="AV155" i="9"/>
  <c r="AU155" i="9"/>
  <c r="AT155" i="9"/>
  <c r="AS155" i="9"/>
  <c r="BD155" i="9" s="1"/>
  <c r="AR155" i="9"/>
  <c r="BC155" i="9" s="1"/>
  <c r="AQ155" i="9"/>
  <c r="BB155" i="9" s="1"/>
  <c r="AP155" i="9"/>
  <c r="AJ155" i="9"/>
  <c r="AI155" i="9"/>
  <c r="AF155" i="9"/>
  <c r="AD155" i="9" s="1"/>
  <c r="AE155" i="9"/>
  <c r="AB155" i="9"/>
  <c r="Y155" i="9"/>
  <c r="W155" i="9" s="1"/>
  <c r="AK155" i="9" s="1"/>
  <c r="X155" i="9"/>
  <c r="AL155" i="9" s="1"/>
  <c r="U155" i="9"/>
  <c r="R155" i="9"/>
  <c r="P155" i="9" s="1"/>
  <c r="Q155" i="9"/>
  <c r="N155" i="9"/>
  <c r="K155" i="9"/>
  <c r="J155" i="9"/>
  <c r="L155" i="9" s="1"/>
  <c r="I155" i="9"/>
  <c r="H155" i="9"/>
  <c r="F155" i="9"/>
  <c r="G155" i="9" s="1"/>
  <c r="B155" i="9"/>
  <c r="E155" i="9" s="1"/>
  <c r="A155" i="9"/>
  <c r="BZ154" i="9"/>
  <c r="BX154" i="9" s="1"/>
  <c r="BY154" i="9"/>
  <c r="BS154" i="9"/>
  <c r="BR154" i="9"/>
  <c r="BO154" i="9"/>
  <c r="BN154" i="9"/>
  <c r="BM154" i="9"/>
  <c r="BK154" i="9"/>
  <c r="BI154" i="9" s="1"/>
  <c r="BJ154" i="9"/>
  <c r="BU154" i="9" s="1"/>
  <c r="BA154" i="9"/>
  <c r="AZ154" i="9"/>
  <c r="AY154" i="9" s="1"/>
  <c r="AW154" i="9"/>
  <c r="AU154" i="9" s="1"/>
  <c r="AV154" i="9"/>
  <c r="AS154" i="9"/>
  <c r="AR154" i="9"/>
  <c r="AQ154" i="9" s="1"/>
  <c r="BB154" i="9" s="1"/>
  <c r="BE154" i="9" s="1"/>
  <c r="AP154" i="9"/>
  <c r="AJ154" i="9"/>
  <c r="AF154" i="9"/>
  <c r="AE154" i="9"/>
  <c r="AB154" i="9"/>
  <c r="AC154" i="9" s="1"/>
  <c r="Y154" i="9"/>
  <c r="X154" i="9"/>
  <c r="W154" i="9"/>
  <c r="U154" i="9"/>
  <c r="V154" i="9" s="1"/>
  <c r="AI154" i="9" s="1"/>
  <c r="R154" i="9"/>
  <c r="P154" i="9" s="1"/>
  <c r="Q154" i="9"/>
  <c r="K154" i="9"/>
  <c r="J154" i="9"/>
  <c r="L154" i="9" s="1"/>
  <c r="I154" i="9"/>
  <c r="H154" i="9"/>
  <c r="G154" i="9"/>
  <c r="F154" i="9"/>
  <c r="C154" i="9"/>
  <c r="B154" i="9"/>
  <c r="A154" i="9"/>
  <c r="BZ153" i="9"/>
  <c r="BX153" i="9" s="1"/>
  <c r="BY153" i="9"/>
  <c r="BS153" i="9"/>
  <c r="BV153" i="9" s="1"/>
  <c r="BR153" i="9"/>
  <c r="BU153" i="9" s="1"/>
  <c r="BQ153" i="9"/>
  <c r="BT153" i="9" s="1"/>
  <c r="BO153" i="9"/>
  <c r="BM153" i="9" s="1"/>
  <c r="BN153" i="9"/>
  <c r="BK153" i="9"/>
  <c r="BJ153" i="9"/>
  <c r="BI153" i="9"/>
  <c r="BA153" i="9"/>
  <c r="AY153" i="9" s="1"/>
  <c r="AZ153" i="9"/>
  <c r="AW153" i="9"/>
  <c r="AU153" i="9" s="1"/>
  <c r="AV153" i="9"/>
  <c r="AS153" i="9"/>
  <c r="AR153" i="9"/>
  <c r="BC153" i="9" s="1"/>
  <c r="BF153" i="9" s="1"/>
  <c r="AQ153" i="9"/>
  <c r="BB153" i="9" s="1"/>
  <c r="BE153" i="9" s="1"/>
  <c r="AP153" i="9"/>
  <c r="AJ153" i="9"/>
  <c r="AF153" i="9"/>
  <c r="AM153" i="9" s="1"/>
  <c r="AN153" i="9" s="1"/>
  <c r="AE153" i="9"/>
  <c r="AL153" i="9" s="1"/>
  <c r="AC153" i="9"/>
  <c r="AB153" i="9"/>
  <c r="Y153" i="9"/>
  <c r="X153" i="9"/>
  <c r="W153" i="9"/>
  <c r="V153" i="9"/>
  <c r="AI153" i="9" s="1"/>
  <c r="U153" i="9"/>
  <c r="R153" i="9"/>
  <c r="P153" i="9" s="1"/>
  <c r="Q153" i="9"/>
  <c r="J153" i="9"/>
  <c r="I153" i="9"/>
  <c r="H153" i="9"/>
  <c r="G153" i="9"/>
  <c r="F153" i="9"/>
  <c r="B153" i="9"/>
  <c r="A153" i="9"/>
  <c r="CB152" i="9"/>
  <c r="CA152" i="9"/>
  <c r="BZ152" i="9"/>
  <c r="BX152" i="9" s="1"/>
  <c r="BY152" i="9"/>
  <c r="BW152" i="9"/>
  <c r="BU152" i="9"/>
  <c r="BS152" i="9"/>
  <c r="BQ152" i="9" s="1"/>
  <c r="BT152" i="9" s="1"/>
  <c r="BR152" i="9"/>
  <c r="BP152" i="9"/>
  <c r="BO152" i="9"/>
  <c r="BN152" i="9"/>
  <c r="BM152" i="9"/>
  <c r="BL152" i="9"/>
  <c r="BK152" i="9"/>
  <c r="BI152" i="9" s="1"/>
  <c r="BJ152" i="9"/>
  <c r="BH152" i="9"/>
  <c r="BE152" i="9"/>
  <c r="BD152" i="9"/>
  <c r="BC152" i="9"/>
  <c r="BB152" i="9"/>
  <c r="BA152" i="9"/>
  <c r="AZ152" i="9"/>
  <c r="AY152" i="9"/>
  <c r="AX152" i="9"/>
  <c r="AW152" i="9"/>
  <c r="AV152" i="9"/>
  <c r="AU152" i="9"/>
  <c r="AT152" i="9"/>
  <c r="AS152" i="9"/>
  <c r="AR152" i="9"/>
  <c r="AQ152" i="9"/>
  <c r="AP152" i="9"/>
  <c r="AJ152" i="9"/>
  <c r="AI152" i="9"/>
  <c r="AF152" i="9"/>
  <c r="AD152" i="9" s="1"/>
  <c r="AK152" i="9" s="1"/>
  <c r="AE152" i="9"/>
  <c r="AB152" i="9"/>
  <c r="Y152" i="9"/>
  <c r="W152" i="9" s="1"/>
  <c r="X152" i="9"/>
  <c r="U152" i="9"/>
  <c r="R152" i="9"/>
  <c r="P152" i="9" s="1"/>
  <c r="Q152" i="9"/>
  <c r="N152" i="9"/>
  <c r="L152" i="9"/>
  <c r="J152" i="9"/>
  <c r="K152" i="9" s="1"/>
  <c r="H152" i="9"/>
  <c r="F152" i="9"/>
  <c r="I152" i="9" s="1"/>
  <c r="E152" i="9"/>
  <c r="D152" i="9"/>
  <c r="B152" i="9"/>
  <c r="C152" i="9" s="1"/>
  <c r="A152" i="9"/>
  <c r="CB151" i="9"/>
  <c r="CA151" i="9"/>
  <c r="BZ151" i="9"/>
  <c r="BY151" i="9"/>
  <c r="BW151" i="9"/>
  <c r="BS151" i="9"/>
  <c r="BR151" i="9"/>
  <c r="BQ151" i="9"/>
  <c r="BT151" i="9" s="1"/>
  <c r="BP151" i="9"/>
  <c r="BO151" i="9"/>
  <c r="BN151" i="9"/>
  <c r="BM151" i="9"/>
  <c r="BL151" i="9"/>
  <c r="BK151" i="9"/>
  <c r="BJ151" i="9"/>
  <c r="BI151" i="9"/>
  <c r="BH151" i="9"/>
  <c r="BA151" i="9"/>
  <c r="AY151" i="9" s="1"/>
  <c r="AZ151" i="9"/>
  <c r="AX151" i="9"/>
  <c r="AW151" i="9"/>
  <c r="AV151" i="9"/>
  <c r="AU151" i="9" s="1"/>
  <c r="AT151" i="9"/>
  <c r="AS151" i="9"/>
  <c r="AQ151" i="9" s="1"/>
  <c r="BB151" i="9" s="1"/>
  <c r="AR151" i="9"/>
  <c r="AP151" i="9"/>
  <c r="AJ151" i="9"/>
  <c r="AF151" i="9"/>
  <c r="AE151" i="9"/>
  <c r="AD151" i="9"/>
  <c r="AB151" i="9"/>
  <c r="Y151" i="9"/>
  <c r="X151" i="9"/>
  <c r="AL151" i="9" s="1"/>
  <c r="U151" i="9"/>
  <c r="V151" i="9" s="1"/>
  <c r="AI151" i="9" s="1"/>
  <c r="R151" i="9"/>
  <c r="Q151" i="9"/>
  <c r="P151" i="9" s="1"/>
  <c r="N151" i="9"/>
  <c r="L151" i="9"/>
  <c r="K151" i="9"/>
  <c r="J151" i="9"/>
  <c r="F151" i="9"/>
  <c r="E151" i="9"/>
  <c r="D151" i="9"/>
  <c r="C151" i="9"/>
  <c r="B151" i="9"/>
  <c r="A151" i="9"/>
  <c r="CB150" i="9"/>
  <c r="CA150" i="9"/>
  <c r="BZ150" i="9"/>
  <c r="BX150" i="9" s="1"/>
  <c r="BY150" i="9"/>
  <c r="BW150" i="9"/>
  <c r="BS150" i="9"/>
  <c r="BR150" i="9"/>
  <c r="BU150" i="9" s="1"/>
  <c r="BQ150" i="9"/>
  <c r="BT150" i="9" s="1"/>
  <c r="BP150" i="9"/>
  <c r="BO150" i="9"/>
  <c r="BM150" i="9" s="1"/>
  <c r="BN150" i="9"/>
  <c r="BL150" i="9"/>
  <c r="BK150" i="9"/>
  <c r="BJ150" i="9"/>
  <c r="BI150" i="9"/>
  <c r="BH150" i="9"/>
  <c r="BA150" i="9"/>
  <c r="AY150" i="9" s="1"/>
  <c r="AZ150" i="9"/>
  <c r="AX150" i="9"/>
  <c r="AW150" i="9"/>
  <c r="AV150" i="9"/>
  <c r="AU150" i="9"/>
  <c r="AT150" i="9"/>
  <c r="AS150" i="9"/>
  <c r="AR150" i="9"/>
  <c r="BC150" i="9" s="1"/>
  <c r="AP150" i="9"/>
  <c r="AJ150" i="9"/>
  <c r="AI150" i="9"/>
  <c r="AF150" i="9"/>
  <c r="AE150" i="9"/>
  <c r="AD150" i="9"/>
  <c r="AB150" i="9"/>
  <c r="Y150" i="9"/>
  <c r="AM150" i="9" s="1"/>
  <c r="X150" i="9"/>
  <c r="AL150" i="9" s="1"/>
  <c r="W150" i="9"/>
  <c r="AK150" i="9" s="1"/>
  <c r="U150" i="9"/>
  <c r="R150" i="9"/>
  <c r="Q150" i="9"/>
  <c r="P150" i="9"/>
  <c r="N150" i="9"/>
  <c r="J150" i="9"/>
  <c r="L150" i="9" s="1"/>
  <c r="I150" i="9"/>
  <c r="F150" i="9"/>
  <c r="H150" i="9" s="1"/>
  <c r="E150" i="9"/>
  <c r="D150" i="9"/>
  <c r="C150" i="9"/>
  <c r="B150" i="9"/>
  <c r="A150" i="9"/>
  <c r="CB149" i="9"/>
  <c r="CA149" i="9"/>
  <c r="BZ149" i="9"/>
  <c r="BY149" i="9"/>
  <c r="BX149" i="9" s="1"/>
  <c r="BW149" i="9"/>
  <c r="BS149" i="9"/>
  <c r="BR149" i="9"/>
  <c r="BQ149" i="9"/>
  <c r="BP149" i="9"/>
  <c r="BO149" i="9"/>
  <c r="BM149" i="9" s="1"/>
  <c r="BN149" i="9"/>
  <c r="BU149" i="9" s="1"/>
  <c r="BL149" i="9"/>
  <c r="BK149" i="9"/>
  <c r="BJ149" i="9"/>
  <c r="BI149" i="9"/>
  <c r="BH149" i="9"/>
  <c r="BA149" i="9"/>
  <c r="AY149" i="9" s="1"/>
  <c r="AZ149" i="9"/>
  <c r="AX149" i="9"/>
  <c r="AW149" i="9"/>
  <c r="AU149" i="9" s="1"/>
  <c r="AV149" i="9"/>
  <c r="AT149" i="9"/>
  <c r="AS149" i="9"/>
  <c r="BD149" i="9" s="1"/>
  <c r="AR149" i="9"/>
  <c r="BC149" i="9" s="1"/>
  <c r="AP149" i="9"/>
  <c r="AJ149" i="9"/>
  <c r="AF149" i="9"/>
  <c r="AE149" i="9"/>
  <c r="AL149" i="9" s="1"/>
  <c r="BF149" i="9" s="1"/>
  <c r="AB149" i="9"/>
  <c r="AC149" i="9" s="1"/>
  <c r="Y149" i="9"/>
  <c r="X149" i="9"/>
  <c r="W149" i="9"/>
  <c r="V149" i="9"/>
  <c r="AI149" i="9" s="1"/>
  <c r="U149" i="9"/>
  <c r="R149" i="9"/>
  <c r="Q149" i="9"/>
  <c r="P149" i="9"/>
  <c r="O149" i="9"/>
  <c r="N149" i="9"/>
  <c r="L149" i="9"/>
  <c r="K149" i="9"/>
  <c r="J149" i="9"/>
  <c r="F149" i="9"/>
  <c r="E149" i="9"/>
  <c r="D149" i="9"/>
  <c r="C149" i="9"/>
  <c r="B149" i="9"/>
  <c r="A149" i="9"/>
  <c r="CB148" i="9"/>
  <c r="CA148" i="9"/>
  <c r="BZ148" i="9"/>
  <c r="BX148" i="9" s="1"/>
  <c r="BY148" i="9"/>
  <c r="BW148" i="9"/>
  <c r="BS148" i="9"/>
  <c r="BR148" i="9"/>
  <c r="BU148" i="9" s="1"/>
  <c r="BQ148" i="9"/>
  <c r="BP148" i="9"/>
  <c r="BO148" i="9"/>
  <c r="BN148" i="9"/>
  <c r="BL148" i="9"/>
  <c r="BK148" i="9"/>
  <c r="BJ148" i="9"/>
  <c r="BI148" i="9"/>
  <c r="BH148" i="9"/>
  <c r="BA148" i="9"/>
  <c r="AY148" i="9" s="1"/>
  <c r="AZ148" i="9"/>
  <c r="AX148" i="9"/>
  <c r="AW148" i="9"/>
  <c r="AV148" i="9"/>
  <c r="AU148" i="9"/>
  <c r="AT148" i="9"/>
  <c r="AS148" i="9"/>
  <c r="BD148" i="9" s="1"/>
  <c r="AR148" i="9"/>
  <c r="BC148" i="9" s="1"/>
  <c r="AP148" i="9"/>
  <c r="AJ148" i="9"/>
  <c r="AF148" i="9"/>
  <c r="AD148" i="9" s="1"/>
  <c r="AK148" i="9" s="1"/>
  <c r="AE148" i="9"/>
  <c r="AB148" i="9"/>
  <c r="AC148" i="9" s="1"/>
  <c r="Y148" i="9"/>
  <c r="X148" i="9"/>
  <c r="AL148" i="9" s="1"/>
  <c r="W148" i="9"/>
  <c r="V148" i="9"/>
  <c r="U148" i="9"/>
  <c r="R148" i="9"/>
  <c r="Q148" i="9"/>
  <c r="P148" i="9"/>
  <c r="N148" i="9"/>
  <c r="O148" i="9" s="1"/>
  <c r="AI148" i="9" s="1"/>
  <c r="L148" i="9"/>
  <c r="K148" i="9"/>
  <c r="J148" i="9"/>
  <c r="G148" i="9"/>
  <c r="F148" i="9"/>
  <c r="E148" i="9"/>
  <c r="D148" i="9"/>
  <c r="C148" i="9"/>
  <c r="B148" i="9"/>
  <c r="A148" i="9"/>
  <c r="CB147" i="9"/>
  <c r="CA147" i="9"/>
  <c r="BZ147" i="9"/>
  <c r="BX147" i="9" s="1"/>
  <c r="BY147" i="9"/>
  <c r="BW147" i="9"/>
  <c r="BS147" i="9"/>
  <c r="BV147" i="9" s="1"/>
  <c r="BR147" i="9"/>
  <c r="BP147" i="9"/>
  <c r="BO147" i="9"/>
  <c r="BM147" i="9" s="1"/>
  <c r="BN147" i="9"/>
  <c r="BL147" i="9"/>
  <c r="BK147" i="9"/>
  <c r="BJ147" i="9"/>
  <c r="BI147" i="9" s="1"/>
  <c r="BH147" i="9"/>
  <c r="BC147" i="9"/>
  <c r="BF147" i="9" s="1"/>
  <c r="BA147" i="9"/>
  <c r="AY147" i="9" s="1"/>
  <c r="AZ147" i="9"/>
  <c r="AX147" i="9"/>
  <c r="AW147" i="9"/>
  <c r="AV147" i="9"/>
  <c r="AU147" i="9"/>
  <c r="AT147" i="9"/>
  <c r="AS147" i="9"/>
  <c r="AR147" i="9"/>
  <c r="AP147" i="9"/>
  <c r="AL147" i="9"/>
  <c r="AJ147" i="9"/>
  <c r="AF147" i="9"/>
  <c r="AE147" i="9"/>
  <c r="AD147" i="9"/>
  <c r="AB147" i="9"/>
  <c r="AC147" i="9" s="1"/>
  <c r="Y147" i="9"/>
  <c r="W147" i="9" s="1"/>
  <c r="AK147" i="9" s="1"/>
  <c r="X147" i="9"/>
  <c r="U147" i="9"/>
  <c r="V147" i="9" s="1"/>
  <c r="R147" i="9"/>
  <c r="Q147" i="9"/>
  <c r="P147" i="9" s="1"/>
  <c r="N147" i="9"/>
  <c r="O147" i="9" s="1"/>
  <c r="L147" i="9"/>
  <c r="J147" i="9"/>
  <c r="K147" i="9" s="1"/>
  <c r="H147" i="9"/>
  <c r="G147" i="9"/>
  <c r="F147" i="9"/>
  <c r="I147" i="9" s="1"/>
  <c r="E147" i="9"/>
  <c r="D147" i="9"/>
  <c r="B147" i="9"/>
  <c r="C147" i="9" s="1"/>
  <c r="A147" i="9"/>
  <c r="CB146" i="9"/>
  <c r="CA146" i="9"/>
  <c r="BZ146" i="9"/>
  <c r="BX146" i="9" s="1"/>
  <c r="BY146" i="9"/>
  <c r="BW146" i="9"/>
  <c r="BS146" i="9"/>
  <c r="BR146" i="9"/>
  <c r="BQ146" i="9" s="1"/>
  <c r="BT146" i="9" s="1"/>
  <c r="BP146" i="9"/>
  <c r="BO146" i="9"/>
  <c r="BN146" i="9"/>
  <c r="BM146" i="9"/>
  <c r="BL146" i="9"/>
  <c r="BK146" i="9"/>
  <c r="BJ146" i="9"/>
  <c r="BI146" i="9" s="1"/>
  <c r="BH146" i="9"/>
  <c r="BD146" i="9"/>
  <c r="BA146" i="9"/>
  <c r="AY146" i="9" s="1"/>
  <c r="AZ146" i="9"/>
  <c r="AX146" i="9"/>
  <c r="AW146" i="9"/>
  <c r="AV146" i="9"/>
  <c r="BC146" i="9" s="1"/>
  <c r="AU146" i="9"/>
  <c r="AT146" i="9"/>
  <c r="AS146" i="9"/>
  <c r="AQ146" i="9" s="1"/>
  <c r="BB146" i="9" s="1"/>
  <c r="BE146" i="9" s="1"/>
  <c r="AR146" i="9"/>
  <c r="AP146" i="9"/>
  <c r="AJ146" i="9"/>
  <c r="AI146" i="9"/>
  <c r="AF146" i="9"/>
  <c r="AE146" i="9"/>
  <c r="AD146" i="9"/>
  <c r="AB146" i="9"/>
  <c r="Y146" i="9"/>
  <c r="X146" i="9"/>
  <c r="AL146" i="9" s="1"/>
  <c r="U146" i="9"/>
  <c r="R146" i="9"/>
  <c r="Q146" i="9"/>
  <c r="P146" i="9"/>
  <c r="N146" i="9"/>
  <c r="L146" i="9"/>
  <c r="K146" i="9"/>
  <c r="J146" i="9"/>
  <c r="F146" i="9"/>
  <c r="E146" i="9"/>
  <c r="D146" i="9"/>
  <c r="C146" i="9"/>
  <c r="B146" i="9"/>
  <c r="A146" i="9"/>
  <c r="CB145" i="9"/>
  <c r="CA145" i="9"/>
  <c r="BZ145" i="9"/>
  <c r="BX145" i="9" s="1"/>
  <c r="BY145" i="9"/>
  <c r="BW145" i="9"/>
  <c r="BS145" i="9"/>
  <c r="BR145" i="9"/>
  <c r="BQ145" i="9"/>
  <c r="BP145" i="9"/>
  <c r="BO145" i="9"/>
  <c r="BN145" i="9"/>
  <c r="BL145" i="9"/>
  <c r="BK145" i="9"/>
  <c r="BJ145" i="9"/>
  <c r="BI145" i="9" s="1"/>
  <c r="BH145" i="9"/>
  <c r="BA145" i="9"/>
  <c r="AZ145" i="9"/>
  <c r="AY145" i="9"/>
  <c r="AX145" i="9"/>
  <c r="AW145" i="9"/>
  <c r="AV145" i="9"/>
  <c r="AU145" i="9"/>
  <c r="AT145" i="9"/>
  <c r="AS145" i="9"/>
  <c r="BD145" i="9" s="1"/>
  <c r="AR145" i="9"/>
  <c r="BC145" i="9" s="1"/>
  <c r="AQ145" i="9"/>
  <c r="BB145" i="9" s="1"/>
  <c r="AP145" i="9"/>
  <c r="AJ145" i="9"/>
  <c r="AI145" i="9"/>
  <c r="AF145" i="9"/>
  <c r="AD145" i="9" s="1"/>
  <c r="AE145" i="9"/>
  <c r="AB145" i="9"/>
  <c r="Y145" i="9"/>
  <c r="W145" i="9" s="1"/>
  <c r="AK145" i="9" s="1"/>
  <c r="X145" i="9"/>
  <c r="AL145" i="9" s="1"/>
  <c r="U145" i="9"/>
  <c r="R145" i="9"/>
  <c r="P145" i="9" s="1"/>
  <c r="Q145" i="9"/>
  <c r="J145" i="9"/>
  <c r="L145" i="9" s="1"/>
  <c r="I145" i="9"/>
  <c r="H145" i="9"/>
  <c r="G145" i="9"/>
  <c r="F145" i="9"/>
  <c r="C145" i="9"/>
  <c r="B145" i="9"/>
  <c r="A145" i="9"/>
  <c r="CB144" i="9"/>
  <c r="CA144" i="9"/>
  <c r="BZ144" i="9"/>
  <c r="BY144" i="9"/>
  <c r="BX144" i="9"/>
  <c r="BW144" i="9"/>
  <c r="BS144" i="9"/>
  <c r="BQ144" i="9" s="1"/>
  <c r="BT144" i="9" s="1"/>
  <c r="BR144" i="9"/>
  <c r="BP144" i="9"/>
  <c r="BO144" i="9"/>
  <c r="BV144" i="9" s="1"/>
  <c r="BN144" i="9"/>
  <c r="BU144" i="9" s="1"/>
  <c r="BL144" i="9"/>
  <c r="BK144" i="9"/>
  <c r="BI144" i="9" s="1"/>
  <c r="BJ144" i="9"/>
  <c r="BH144" i="9"/>
  <c r="BA144" i="9"/>
  <c r="AZ144" i="9"/>
  <c r="AY144" i="9"/>
  <c r="AX144" i="9"/>
  <c r="AW144" i="9"/>
  <c r="AV144" i="9"/>
  <c r="BC144" i="9" s="1"/>
  <c r="AT144" i="9"/>
  <c r="AS144" i="9"/>
  <c r="AR144" i="9"/>
  <c r="AQ144" i="9"/>
  <c r="BB144" i="9" s="1"/>
  <c r="BE144" i="9" s="1"/>
  <c r="AP144" i="9"/>
  <c r="AJ144" i="9"/>
  <c r="AI144" i="9"/>
  <c r="AF144" i="9"/>
  <c r="AE144" i="9"/>
  <c r="AD144" i="9"/>
  <c r="AB144" i="9"/>
  <c r="Y144" i="9"/>
  <c r="X144" i="9"/>
  <c r="W144" i="9"/>
  <c r="U144" i="9"/>
  <c r="R144" i="9"/>
  <c r="Q144" i="9"/>
  <c r="P144" i="9"/>
  <c r="N144" i="9"/>
  <c r="J144" i="9"/>
  <c r="L144" i="9" s="1"/>
  <c r="I144" i="9"/>
  <c r="H144" i="9"/>
  <c r="G144" i="9"/>
  <c r="F144" i="9"/>
  <c r="E144" i="9"/>
  <c r="B144" i="9"/>
  <c r="D144" i="9" s="1"/>
  <c r="A144" i="9"/>
  <c r="CB143" i="9"/>
  <c r="CA143" i="9"/>
  <c r="BZ143" i="9"/>
  <c r="BX143" i="9" s="1"/>
  <c r="BY143" i="9"/>
  <c r="BW143" i="9"/>
  <c r="BS143" i="9"/>
  <c r="BR143" i="9"/>
  <c r="BU143" i="9" s="1"/>
  <c r="BP143" i="9"/>
  <c r="BO143" i="9"/>
  <c r="BN143" i="9"/>
  <c r="BM143" i="9"/>
  <c r="BL143" i="9"/>
  <c r="BK143" i="9"/>
  <c r="BJ143" i="9"/>
  <c r="BH143" i="9"/>
  <c r="BD143" i="9"/>
  <c r="BA143" i="9"/>
  <c r="AY143" i="9" s="1"/>
  <c r="AZ143" i="9"/>
  <c r="AX143" i="9"/>
  <c r="AW143" i="9"/>
  <c r="AV143" i="9"/>
  <c r="BC143" i="9" s="1"/>
  <c r="BF143" i="9" s="1"/>
  <c r="AU143" i="9"/>
  <c r="AT143" i="9"/>
  <c r="AS143" i="9"/>
  <c r="AQ143" i="9" s="1"/>
  <c r="BB143" i="9" s="1"/>
  <c r="BE143" i="9" s="1"/>
  <c r="AR143" i="9"/>
  <c r="AP143" i="9"/>
  <c r="AL143" i="9"/>
  <c r="AJ143" i="9"/>
  <c r="AI143" i="9"/>
  <c r="AF143" i="9"/>
  <c r="AE143" i="9"/>
  <c r="AD143" i="9"/>
  <c r="AK143" i="9" s="1"/>
  <c r="AB143" i="9"/>
  <c r="Y143" i="9"/>
  <c r="W143" i="9" s="1"/>
  <c r="X143" i="9"/>
  <c r="U143" i="9"/>
  <c r="R143" i="9"/>
  <c r="Q143" i="9"/>
  <c r="P143" i="9"/>
  <c r="N143" i="9"/>
  <c r="L143" i="9"/>
  <c r="K143" i="9"/>
  <c r="J143" i="9"/>
  <c r="G143" i="9"/>
  <c r="F143" i="9"/>
  <c r="E143" i="9"/>
  <c r="D143" i="9"/>
  <c r="C143" i="9"/>
  <c r="B143" i="9"/>
  <c r="A143" i="9"/>
  <c r="CB142" i="9"/>
  <c r="CA142" i="9"/>
  <c r="BZ142" i="9"/>
  <c r="BY142" i="9"/>
  <c r="BX142" i="9"/>
  <c r="BW142" i="9"/>
  <c r="BS142" i="9"/>
  <c r="BR142" i="9"/>
  <c r="BU142" i="9" s="1"/>
  <c r="BQ142" i="9"/>
  <c r="BT142" i="9" s="1"/>
  <c r="BP142" i="9"/>
  <c r="BO142" i="9"/>
  <c r="BM142" i="9" s="1"/>
  <c r="BN142" i="9"/>
  <c r="BL142" i="9"/>
  <c r="BK142" i="9"/>
  <c r="BI142" i="9" s="1"/>
  <c r="BJ142" i="9"/>
  <c r="BH142" i="9"/>
  <c r="BA142" i="9"/>
  <c r="AZ142" i="9"/>
  <c r="BC142" i="9" s="1"/>
  <c r="AX142" i="9"/>
  <c r="AW142" i="9"/>
  <c r="AV142" i="9"/>
  <c r="AU142" i="9"/>
  <c r="AT142" i="9"/>
  <c r="AS142" i="9"/>
  <c r="AR142" i="9"/>
  <c r="AP142" i="9"/>
  <c r="AM142" i="9"/>
  <c r="AJ142" i="9"/>
  <c r="AI142" i="9"/>
  <c r="AF142" i="9"/>
  <c r="AE142" i="9"/>
  <c r="AD142" i="9"/>
  <c r="AB142" i="9"/>
  <c r="Y142" i="9"/>
  <c r="X142" i="9"/>
  <c r="AL142" i="9" s="1"/>
  <c r="W142" i="9"/>
  <c r="AK142" i="9" s="1"/>
  <c r="U142" i="9"/>
  <c r="R142" i="9"/>
  <c r="Q142" i="9"/>
  <c r="P142" i="9"/>
  <c r="N142" i="9"/>
  <c r="J142" i="9"/>
  <c r="L142" i="9" s="1"/>
  <c r="I142" i="9"/>
  <c r="F142" i="9"/>
  <c r="H142" i="9" s="1"/>
  <c r="C142" i="9"/>
  <c r="B142" i="9"/>
  <c r="E142" i="9" s="1"/>
  <c r="A142" i="9"/>
  <c r="CB141" i="9"/>
  <c r="CA141" i="9"/>
  <c r="BZ141" i="9"/>
  <c r="BY141" i="9"/>
  <c r="BX141" i="9"/>
  <c r="BW141" i="9"/>
  <c r="BV141" i="9"/>
  <c r="BS141" i="9"/>
  <c r="BR141" i="9"/>
  <c r="BQ141" i="9"/>
  <c r="BP141" i="9"/>
  <c r="BO141" i="9"/>
  <c r="BN141" i="9"/>
  <c r="BU141" i="9" s="1"/>
  <c r="BL141" i="9"/>
  <c r="BK141" i="9"/>
  <c r="BJ141" i="9"/>
  <c r="BI141" i="9"/>
  <c r="BH141" i="9"/>
  <c r="BA141" i="9"/>
  <c r="AZ141" i="9"/>
  <c r="AY141" i="9" s="1"/>
  <c r="AX141" i="9"/>
  <c r="AW141" i="9"/>
  <c r="AU141" i="9" s="1"/>
  <c r="AV141" i="9"/>
  <c r="AT141" i="9"/>
  <c r="AS141" i="9"/>
  <c r="AR141" i="9"/>
  <c r="AQ141" i="9"/>
  <c r="AP141" i="9"/>
  <c r="AJ141" i="9"/>
  <c r="AI141" i="9"/>
  <c r="AF141" i="9"/>
  <c r="AE141" i="9"/>
  <c r="AB141" i="9"/>
  <c r="Y141" i="9"/>
  <c r="X141" i="9"/>
  <c r="W141" i="9" s="1"/>
  <c r="U141" i="9"/>
  <c r="R141" i="9"/>
  <c r="P141" i="9" s="1"/>
  <c r="Q141" i="9"/>
  <c r="N141" i="9"/>
  <c r="J141" i="9"/>
  <c r="L141" i="9" s="1"/>
  <c r="I141" i="9"/>
  <c r="H141" i="9"/>
  <c r="G141" i="9"/>
  <c r="F141" i="9"/>
  <c r="B141" i="9"/>
  <c r="A141" i="9"/>
  <c r="CB140" i="9"/>
  <c r="CA140" i="9"/>
  <c r="BZ140" i="9"/>
  <c r="BY140" i="9"/>
  <c r="BX140" i="9"/>
  <c r="BW140" i="9"/>
  <c r="BU140" i="9"/>
  <c r="BS140" i="9"/>
  <c r="BQ140" i="9" s="1"/>
  <c r="BR140" i="9"/>
  <c r="BP140" i="9"/>
  <c r="BO140" i="9"/>
  <c r="BV140" i="9" s="1"/>
  <c r="BN140" i="9"/>
  <c r="BL140" i="9"/>
  <c r="BK140" i="9"/>
  <c r="BI140" i="9" s="1"/>
  <c r="BJ140" i="9"/>
  <c r="BH140" i="9"/>
  <c r="BA140" i="9"/>
  <c r="AZ140" i="9"/>
  <c r="AY140" i="9"/>
  <c r="AX140" i="9"/>
  <c r="AW140" i="9"/>
  <c r="AU140" i="9" s="1"/>
  <c r="AV140" i="9"/>
  <c r="BC140" i="9" s="1"/>
  <c r="AT140" i="9"/>
  <c r="AS140" i="9"/>
  <c r="AR140" i="9"/>
  <c r="AQ140" i="9"/>
  <c r="AP140" i="9"/>
  <c r="AJ140" i="9"/>
  <c r="AI140" i="9"/>
  <c r="AF140" i="9"/>
  <c r="AE140" i="9"/>
  <c r="AD140" i="9"/>
  <c r="AB140" i="9"/>
  <c r="Y140" i="9"/>
  <c r="X140" i="9"/>
  <c r="W140" i="9"/>
  <c r="U140" i="9"/>
  <c r="R140" i="9"/>
  <c r="Q140" i="9"/>
  <c r="P140" i="9"/>
  <c r="N140" i="9"/>
  <c r="J140" i="9"/>
  <c r="L140" i="9" s="1"/>
  <c r="I140" i="9"/>
  <c r="H140" i="9"/>
  <c r="F140" i="9"/>
  <c r="G140" i="9" s="1"/>
  <c r="E140" i="9"/>
  <c r="B140" i="9"/>
  <c r="D140" i="9" s="1"/>
  <c r="A140" i="9"/>
  <c r="CB139" i="9"/>
  <c r="CA139" i="9"/>
  <c r="BZ139" i="9"/>
  <c r="BX139" i="9" s="1"/>
  <c r="BY139" i="9"/>
  <c r="BW139" i="9"/>
  <c r="BS139" i="9"/>
  <c r="BR139" i="9"/>
  <c r="BU139" i="9" s="1"/>
  <c r="BP139" i="9"/>
  <c r="BO139" i="9"/>
  <c r="BN139" i="9"/>
  <c r="BM139" i="9"/>
  <c r="BL139" i="9"/>
  <c r="BK139" i="9"/>
  <c r="BI139" i="9" s="1"/>
  <c r="BJ139" i="9"/>
  <c r="BH139" i="9"/>
  <c r="BA139" i="9"/>
  <c r="AY139" i="9" s="1"/>
  <c r="AZ139" i="9"/>
  <c r="AX139" i="9"/>
  <c r="AW139" i="9"/>
  <c r="BD139" i="9" s="1"/>
  <c r="AV139" i="9"/>
  <c r="BC139" i="9" s="1"/>
  <c r="AT139" i="9"/>
  <c r="AS139" i="9"/>
  <c r="AQ139" i="9" s="1"/>
  <c r="BB139" i="9" s="1"/>
  <c r="BE139" i="9" s="1"/>
  <c r="AR139" i="9"/>
  <c r="AP139" i="9"/>
  <c r="AJ139" i="9"/>
  <c r="AI139" i="9"/>
  <c r="AF139" i="9"/>
  <c r="AE139" i="9"/>
  <c r="AD139" i="9" s="1"/>
  <c r="AK139" i="9" s="1"/>
  <c r="AB139" i="9"/>
  <c r="Y139" i="9"/>
  <c r="W139" i="9" s="1"/>
  <c r="X139" i="9"/>
  <c r="U139" i="9"/>
  <c r="R139" i="9"/>
  <c r="Q139" i="9"/>
  <c r="P139" i="9"/>
  <c r="N139" i="9"/>
  <c r="L139" i="9"/>
  <c r="K139" i="9"/>
  <c r="J139" i="9"/>
  <c r="F139" i="9"/>
  <c r="E139" i="9"/>
  <c r="D139" i="9"/>
  <c r="C139" i="9"/>
  <c r="B139" i="9"/>
  <c r="A139" i="9"/>
  <c r="CB138" i="9"/>
  <c r="CA138" i="9"/>
  <c r="BZ138" i="9"/>
  <c r="BY138" i="9"/>
  <c r="BX138" i="9"/>
  <c r="BW138" i="9"/>
  <c r="BS138" i="9"/>
  <c r="BQ138" i="9" s="1"/>
  <c r="BT138" i="9" s="1"/>
  <c r="BR138" i="9"/>
  <c r="BU138" i="9" s="1"/>
  <c r="BP138" i="9"/>
  <c r="BO138" i="9"/>
  <c r="BM138" i="9" s="1"/>
  <c r="BN138" i="9"/>
  <c r="BL138" i="9"/>
  <c r="BK138" i="9"/>
  <c r="BJ138" i="9"/>
  <c r="BI138" i="9"/>
  <c r="BH138" i="9"/>
  <c r="BA138" i="9"/>
  <c r="AZ138" i="9"/>
  <c r="AX138" i="9"/>
  <c r="AW138" i="9"/>
  <c r="AV138" i="9"/>
  <c r="AU138" i="9"/>
  <c r="AT138" i="9"/>
  <c r="AS138" i="9"/>
  <c r="AR138" i="9"/>
  <c r="BC138" i="9" s="1"/>
  <c r="BF138" i="9" s="1"/>
  <c r="AP138" i="9"/>
  <c r="AJ138" i="9"/>
  <c r="AI138" i="9"/>
  <c r="AF138" i="9"/>
  <c r="AE138" i="9"/>
  <c r="AD138" i="9"/>
  <c r="AB138" i="9"/>
  <c r="Y138" i="9"/>
  <c r="AM138" i="9" s="1"/>
  <c r="X138" i="9"/>
  <c r="AL138" i="9" s="1"/>
  <c r="U138" i="9"/>
  <c r="R138" i="9"/>
  <c r="Q138" i="9"/>
  <c r="P138" i="9"/>
  <c r="N138" i="9"/>
  <c r="L138" i="9"/>
  <c r="K138" i="9"/>
  <c r="J138" i="9"/>
  <c r="I138" i="9"/>
  <c r="F138" i="9"/>
  <c r="H138" i="9" s="1"/>
  <c r="D138" i="9"/>
  <c r="B138" i="9"/>
  <c r="E138" i="9" s="1"/>
  <c r="A138" i="9"/>
  <c r="CB137" i="9"/>
  <c r="CA137" i="9"/>
  <c r="BZ137" i="9"/>
  <c r="BY137" i="9"/>
  <c r="BX137" i="9"/>
  <c r="BW137" i="9"/>
  <c r="BV137" i="9"/>
  <c r="BS137" i="9"/>
  <c r="BR137" i="9"/>
  <c r="BQ137" i="9"/>
  <c r="BT137" i="9" s="1"/>
  <c r="BP137" i="9"/>
  <c r="BO137" i="9"/>
  <c r="BN137" i="9"/>
  <c r="BU137" i="9" s="1"/>
  <c r="BL137" i="9"/>
  <c r="BK137" i="9"/>
  <c r="BJ137" i="9"/>
  <c r="BI137" i="9"/>
  <c r="BH137" i="9"/>
  <c r="BA137" i="9"/>
  <c r="AY137" i="9" s="1"/>
  <c r="AZ137" i="9"/>
  <c r="AX137" i="9"/>
  <c r="AW137" i="9"/>
  <c r="AU137" i="9" s="1"/>
  <c r="AV137" i="9"/>
  <c r="AT137" i="9"/>
  <c r="AS137" i="9"/>
  <c r="AR137" i="9"/>
  <c r="BC137" i="9" s="1"/>
  <c r="AP137" i="9"/>
  <c r="AJ137" i="9"/>
  <c r="AI137" i="9"/>
  <c r="AF137" i="9"/>
  <c r="AE137" i="9"/>
  <c r="AB137" i="9"/>
  <c r="Y137" i="9"/>
  <c r="X137" i="9"/>
  <c r="W137" i="9"/>
  <c r="U137" i="9"/>
  <c r="R137" i="9"/>
  <c r="P137" i="9" s="1"/>
  <c r="Q137" i="9"/>
  <c r="N137" i="9"/>
  <c r="K137" i="9"/>
  <c r="J137" i="9"/>
  <c r="L137" i="9" s="1"/>
  <c r="I137" i="9"/>
  <c r="H137" i="9"/>
  <c r="G137" i="9"/>
  <c r="F137" i="9"/>
  <c r="B137" i="9"/>
  <c r="A137" i="9"/>
  <c r="CB136" i="9"/>
  <c r="CA136" i="9"/>
  <c r="BZ136" i="9"/>
  <c r="BY136" i="9"/>
  <c r="BX136" i="9"/>
  <c r="BW136" i="9"/>
  <c r="BV136" i="9"/>
  <c r="BU136" i="9"/>
  <c r="BS136" i="9"/>
  <c r="BQ136" i="9" s="1"/>
  <c r="BT136" i="9" s="1"/>
  <c r="BR136" i="9"/>
  <c r="BP136" i="9"/>
  <c r="BO136" i="9"/>
  <c r="BN136" i="9"/>
  <c r="BM136" i="9"/>
  <c r="BL136" i="9"/>
  <c r="BK136" i="9"/>
  <c r="BI136" i="9" s="1"/>
  <c r="BJ136" i="9"/>
  <c r="BH136" i="9"/>
  <c r="BD136" i="9"/>
  <c r="BA136" i="9"/>
  <c r="AZ136" i="9"/>
  <c r="AY136" i="9"/>
  <c r="AX136" i="9"/>
  <c r="AW136" i="9"/>
  <c r="AU136" i="9" s="1"/>
  <c r="AV136" i="9"/>
  <c r="BC136" i="9" s="1"/>
  <c r="AT136" i="9"/>
  <c r="AS136" i="9"/>
  <c r="AR136" i="9"/>
  <c r="AQ136" i="9"/>
  <c r="AP136" i="9"/>
  <c r="AJ136" i="9"/>
  <c r="AI136" i="9"/>
  <c r="AF136" i="9"/>
  <c r="AE136" i="9"/>
  <c r="AD136" i="9" s="1"/>
  <c r="AK136" i="9" s="1"/>
  <c r="AB136" i="9"/>
  <c r="Y136" i="9"/>
  <c r="X136" i="9"/>
  <c r="W136" i="9"/>
  <c r="U136" i="9"/>
  <c r="R136" i="9"/>
  <c r="Q136" i="9"/>
  <c r="P136" i="9" s="1"/>
  <c r="N136" i="9"/>
  <c r="J136" i="9"/>
  <c r="L136" i="9" s="1"/>
  <c r="F136" i="9"/>
  <c r="H136" i="9" s="1"/>
  <c r="E136" i="9"/>
  <c r="B136" i="9"/>
  <c r="D136" i="9" s="1"/>
  <c r="A136" i="9"/>
  <c r="CB135" i="9"/>
  <c r="CA135" i="9"/>
  <c r="BZ135" i="9"/>
  <c r="BX135" i="9" s="1"/>
  <c r="BY135" i="9"/>
  <c r="BW135" i="9"/>
  <c r="BS135" i="9"/>
  <c r="BR135" i="9"/>
  <c r="BU135" i="9" s="1"/>
  <c r="BP135" i="9"/>
  <c r="BO135" i="9"/>
  <c r="BN135" i="9"/>
  <c r="BM135" i="9"/>
  <c r="BL135" i="9"/>
  <c r="BK135" i="9"/>
  <c r="BJ135" i="9"/>
  <c r="BH135" i="9"/>
  <c r="BA135" i="9"/>
  <c r="AY135" i="9" s="1"/>
  <c r="AZ135" i="9"/>
  <c r="AX135" i="9"/>
  <c r="AW135" i="9"/>
  <c r="BD135" i="9" s="1"/>
  <c r="AV135" i="9"/>
  <c r="BC135" i="9" s="1"/>
  <c r="AT135" i="9"/>
  <c r="AS135" i="9"/>
  <c r="AQ135" i="9" s="1"/>
  <c r="BB135" i="9" s="1"/>
  <c r="BE135" i="9" s="1"/>
  <c r="AR135" i="9"/>
  <c r="AP135" i="9"/>
  <c r="AJ135" i="9"/>
  <c r="AI135" i="9"/>
  <c r="AF135" i="9"/>
  <c r="AE135" i="9"/>
  <c r="AL135" i="9" s="1"/>
  <c r="AD135" i="9"/>
  <c r="AB135" i="9"/>
  <c r="Y135" i="9"/>
  <c r="W135" i="9" s="1"/>
  <c r="X135" i="9"/>
  <c r="U135" i="9"/>
  <c r="R135" i="9"/>
  <c r="Q135" i="9"/>
  <c r="P135" i="9" s="1"/>
  <c r="N135" i="9"/>
  <c r="L135" i="9"/>
  <c r="K135" i="9"/>
  <c r="J135" i="9"/>
  <c r="F135" i="9"/>
  <c r="E135" i="9"/>
  <c r="D135" i="9"/>
  <c r="C135" i="9"/>
  <c r="B135" i="9"/>
  <c r="A135" i="9"/>
  <c r="BZ134" i="9"/>
  <c r="BY134" i="9"/>
  <c r="BX134" i="9"/>
  <c r="BU134" i="9"/>
  <c r="BS134" i="9"/>
  <c r="BR134" i="9"/>
  <c r="BQ134" i="9"/>
  <c r="BO134" i="9"/>
  <c r="BN134" i="9"/>
  <c r="BM134" i="9"/>
  <c r="BK134" i="9"/>
  <c r="BI134" i="9" s="1"/>
  <c r="BJ134" i="9"/>
  <c r="BA134" i="9"/>
  <c r="AY134" i="9" s="1"/>
  <c r="AZ134" i="9"/>
  <c r="AW134" i="9"/>
  <c r="AV134" i="9"/>
  <c r="AU134" i="9"/>
  <c r="AS134" i="9"/>
  <c r="AQ134" i="9" s="1"/>
  <c r="BB134" i="9" s="1"/>
  <c r="AR134" i="9"/>
  <c r="BC134" i="9" s="1"/>
  <c r="AJ134" i="9"/>
  <c r="AF134" i="9"/>
  <c r="AE134" i="9"/>
  <c r="Y134" i="9"/>
  <c r="X134" i="9"/>
  <c r="W134" i="9"/>
  <c r="R134" i="9"/>
  <c r="Q134" i="9"/>
  <c r="AL134" i="9" s="1"/>
  <c r="P134" i="9"/>
  <c r="L134" i="9"/>
  <c r="K134" i="9"/>
  <c r="J134" i="9"/>
  <c r="H134" i="9"/>
  <c r="G134" i="9"/>
  <c r="F134" i="9"/>
  <c r="I134" i="9" s="1"/>
  <c r="E134" i="9"/>
  <c r="D134" i="9"/>
  <c r="C134" i="9"/>
  <c r="B134" i="9"/>
  <c r="A134" i="9"/>
  <c r="CB133" i="9"/>
  <c r="CA133" i="9"/>
  <c r="BZ133" i="9"/>
  <c r="BY133" i="9"/>
  <c r="BW133" i="9"/>
  <c r="BS133" i="9"/>
  <c r="BR133" i="9"/>
  <c r="BQ133" i="9"/>
  <c r="BT133" i="9" s="1"/>
  <c r="BP133" i="9"/>
  <c r="BO133" i="9"/>
  <c r="BN133" i="9"/>
  <c r="BM133" i="9"/>
  <c r="BL133" i="9"/>
  <c r="BK133" i="9"/>
  <c r="BJ133" i="9"/>
  <c r="BI133" i="9"/>
  <c r="BH133" i="9"/>
  <c r="BA133" i="9"/>
  <c r="AY133" i="9" s="1"/>
  <c r="AZ133" i="9"/>
  <c r="AX133" i="9"/>
  <c r="AW133" i="9"/>
  <c r="AV133" i="9"/>
  <c r="AU133" i="9" s="1"/>
  <c r="AT133" i="9"/>
  <c r="AS133" i="9"/>
  <c r="AQ133" i="9" s="1"/>
  <c r="BB133" i="9" s="1"/>
  <c r="BE133" i="9" s="1"/>
  <c r="AR133" i="9"/>
  <c r="AP133" i="9"/>
  <c r="AM133" i="9"/>
  <c r="AO133" i="9" s="1"/>
  <c r="AL133" i="9"/>
  <c r="AJ133" i="9"/>
  <c r="AI133" i="9"/>
  <c r="AF133" i="9"/>
  <c r="AE133" i="9"/>
  <c r="AD133" i="9"/>
  <c r="AK133" i="9" s="1"/>
  <c r="AB133" i="9"/>
  <c r="Y133" i="9"/>
  <c r="W133" i="9" s="1"/>
  <c r="X133" i="9"/>
  <c r="U133" i="9"/>
  <c r="R133" i="9"/>
  <c r="Q133" i="9"/>
  <c r="P133" i="9"/>
  <c r="N133" i="9"/>
  <c r="L133" i="9"/>
  <c r="K133" i="9"/>
  <c r="J133" i="9"/>
  <c r="F133" i="9"/>
  <c r="E133" i="9"/>
  <c r="D133" i="9"/>
  <c r="C133" i="9"/>
  <c r="B133" i="9"/>
  <c r="A133" i="9"/>
  <c r="CB132" i="9"/>
  <c r="CA132" i="9"/>
  <c r="BZ132" i="9"/>
  <c r="BY132" i="9"/>
  <c r="BX132" i="9"/>
  <c r="BW132" i="9"/>
  <c r="BS132" i="9"/>
  <c r="BR132" i="9"/>
  <c r="BU132" i="9" s="1"/>
  <c r="BP132" i="9"/>
  <c r="BO132" i="9"/>
  <c r="BN132" i="9"/>
  <c r="BL132" i="9"/>
  <c r="BK132" i="9"/>
  <c r="BJ132" i="9"/>
  <c r="BI132" i="9"/>
  <c r="BH132" i="9"/>
  <c r="BA132" i="9"/>
  <c r="AZ132" i="9"/>
  <c r="AY132" i="9" s="1"/>
  <c r="AX132" i="9"/>
  <c r="AW132" i="9"/>
  <c r="AV132" i="9"/>
  <c r="AU132" i="9"/>
  <c r="AT132" i="9"/>
  <c r="AS132" i="9"/>
  <c r="BD132" i="9" s="1"/>
  <c r="AR132" i="9"/>
  <c r="BC132" i="9" s="1"/>
  <c r="AP132" i="9"/>
  <c r="AJ132" i="9"/>
  <c r="AI132" i="9"/>
  <c r="AF132" i="9"/>
  <c r="AD132" i="9" s="1"/>
  <c r="AK132" i="9" s="1"/>
  <c r="AE132" i="9"/>
  <c r="AB132" i="9"/>
  <c r="Y132" i="9"/>
  <c r="W132" i="9" s="1"/>
  <c r="X132" i="9"/>
  <c r="AL132" i="9" s="1"/>
  <c r="U132" i="9"/>
  <c r="R132" i="9"/>
  <c r="P132" i="9" s="1"/>
  <c r="Q132" i="9"/>
  <c r="N132" i="9"/>
  <c r="J132" i="9"/>
  <c r="L132" i="9" s="1"/>
  <c r="I132" i="9"/>
  <c r="H132" i="9"/>
  <c r="F132" i="9"/>
  <c r="G132" i="9" s="1"/>
  <c r="C132" i="9"/>
  <c r="B132" i="9"/>
  <c r="E132" i="9" s="1"/>
  <c r="A132" i="9"/>
  <c r="CB131" i="9"/>
  <c r="CA131" i="9"/>
  <c r="BZ131" i="9"/>
  <c r="BY131" i="9"/>
  <c r="BX131" i="9"/>
  <c r="BW131" i="9"/>
  <c r="BV131" i="9"/>
  <c r="BS131" i="9"/>
  <c r="BR131" i="9"/>
  <c r="BQ131" i="9"/>
  <c r="BP131" i="9"/>
  <c r="BO131" i="9"/>
  <c r="BN131" i="9"/>
  <c r="BM131" i="9" s="1"/>
  <c r="BT131" i="9" s="1"/>
  <c r="BL131" i="9"/>
  <c r="BK131" i="9"/>
  <c r="BJ131" i="9"/>
  <c r="BI131" i="9"/>
  <c r="BH131" i="9"/>
  <c r="BA131" i="9"/>
  <c r="AZ131" i="9"/>
  <c r="AY131" i="9" s="1"/>
  <c r="AX131" i="9"/>
  <c r="AW131" i="9"/>
  <c r="AV131" i="9"/>
  <c r="AT131" i="9"/>
  <c r="AS131" i="9"/>
  <c r="AR131" i="9"/>
  <c r="AQ131" i="9"/>
  <c r="AP131" i="9"/>
  <c r="AJ131" i="9"/>
  <c r="AI131" i="9"/>
  <c r="AF131" i="9"/>
  <c r="AE131" i="9"/>
  <c r="AB131" i="9"/>
  <c r="Y131" i="9"/>
  <c r="X131" i="9"/>
  <c r="W131" i="9"/>
  <c r="U131" i="9"/>
  <c r="R131" i="9"/>
  <c r="Q131" i="9"/>
  <c r="N131" i="9"/>
  <c r="J131" i="9"/>
  <c r="I131" i="9"/>
  <c r="H131" i="9"/>
  <c r="G131" i="9"/>
  <c r="F131" i="9"/>
  <c r="B131" i="9"/>
  <c r="A131" i="9"/>
  <c r="CB130" i="9"/>
  <c r="CA130" i="9"/>
  <c r="BZ130" i="9"/>
  <c r="BX130" i="9" s="1"/>
  <c r="BY130" i="9"/>
  <c r="BW130" i="9"/>
  <c r="BU130" i="9"/>
  <c r="BS130" i="9"/>
  <c r="BQ130" i="9" s="1"/>
  <c r="BR130" i="9"/>
  <c r="BP130" i="9"/>
  <c r="BO130" i="9"/>
  <c r="BN130" i="9"/>
  <c r="BM130" i="9"/>
  <c r="BL130" i="9"/>
  <c r="BK130" i="9"/>
  <c r="BI130" i="9" s="1"/>
  <c r="BT130" i="9" s="1"/>
  <c r="BJ130" i="9"/>
  <c r="BH130" i="9"/>
  <c r="BA130" i="9"/>
  <c r="AZ130" i="9"/>
  <c r="AY130" i="9"/>
  <c r="AX130" i="9"/>
  <c r="AW130" i="9"/>
  <c r="AV130" i="9"/>
  <c r="BC130" i="9" s="1"/>
  <c r="AT130" i="9"/>
  <c r="AS130" i="9"/>
  <c r="AR130" i="9"/>
  <c r="AQ130" i="9"/>
  <c r="AP130" i="9"/>
  <c r="AJ130" i="9"/>
  <c r="AI130" i="9"/>
  <c r="AF130" i="9"/>
  <c r="AM130" i="9" s="1"/>
  <c r="AN130" i="9" s="1"/>
  <c r="AE130" i="9"/>
  <c r="AB130" i="9"/>
  <c r="Y130" i="9"/>
  <c r="W130" i="9" s="1"/>
  <c r="X130" i="9"/>
  <c r="U130" i="9"/>
  <c r="R130" i="9"/>
  <c r="Q130" i="9"/>
  <c r="P130" i="9" s="1"/>
  <c r="N130" i="9"/>
  <c r="L130" i="9"/>
  <c r="J130" i="9"/>
  <c r="K130" i="9" s="1"/>
  <c r="F130" i="9"/>
  <c r="I130" i="9" s="1"/>
  <c r="E130" i="9"/>
  <c r="D130" i="9"/>
  <c r="B130" i="9"/>
  <c r="C130" i="9" s="1"/>
  <c r="A130" i="9"/>
  <c r="CB129" i="9"/>
  <c r="CA129" i="9"/>
  <c r="BZ129" i="9"/>
  <c r="BY129" i="9"/>
  <c r="BW129" i="9"/>
  <c r="BS129" i="9"/>
  <c r="BQ129" i="9" s="1"/>
  <c r="BR129" i="9"/>
  <c r="BP129" i="9"/>
  <c r="BO129" i="9"/>
  <c r="BN129" i="9"/>
  <c r="BM129" i="9"/>
  <c r="BL129" i="9"/>
  <c r="BK129" i="9"/>
  <c r="BI129" i="9" s="1"/>
  <c r="BJ129" i="9"/>
  <c r="BH129" i="9"/>
  <c r="BC129" i="9"/>
  <c r="BA129" i="9"/>
  <c r="AY129" i="9" s="1"/>
  <c r="AZ129" i="9"/>
  <c r="AX129" i="9"/>
  <c r="AW129" i="9"/>
  <c r="AV129" i="9"/>
  <c r="AU129" i="9"/>
  <c r="AT129" i="9"/>
  <c r="AS129" i="9"/>
  <c r="AQ129" i="9" s="1"/>
  <c r="BB129" i="9" s="1"/>
  <c r="AR129" i="9"/>
  <c r="AP129" i="9"/>
  <c r="AN129" i="9"/>
  <c r="AM129" i="9"/>
  <c r="AO129" i="9" s="1"/>
  <c r="AJ129" i="9"/>
  <c r="AI129" i="9"/>
  <c r="AF129" i="9"/>
  <c r="AE129" i="9"/>
  <c r="AD129" i="9"/>
  <c r="AB129" i="9"/>
  <c r="Y129" i="9"/>
  <c r="X129" i="9"/>
  <c r="AL129" i="9" s="1"/>
  <c r="U129" i="9"/>
  <c r="R129" i="9"/>
  <c r="Q129" i="9"/>
  <c r="P129" i="9"/>
  <c r="N129" i="9"/>
  <c r="L129" i="9"/>
  <c r="K129" i="9"/>
  <c r="J129" i="9"/>
  <c r="F129" i="9"/>
  <c r="E129" i="9"/>
  <c r="D129" i="9"/>
  <c r="C129" i="9"/>
  <c r="B129" i="9"/>
  <c r="A129" i="9"/>
  <c r="CB128" i="9"/>
  <c r="CA128" i="9"/>
  <c r="BZ128" i="9"/>
  <c r="BY128" i="9"/>
  <c r="BX128" i="9" s="1"/>
  <c r="BW128" i="9"/>
  <c r="BS128" i="9"/>
  <c r="BR128" i="9"/>
  <c r="BP128" i="9"/>
  <c r="BO128" i="9"/>
  <c r="BN128" i="9"/>
  <c r="BL128" i="9"/>
  <c r="BK128" i="9"/>
  <c r="BJ128" i="9"/>
  <c r="BI128" i="9" s="1"/>
  <c r="BH128" i="9"/>
  <c r="BA128" i="9"/>
  <c r="AY128" i="9" s="1"/>
  <c r="AZ128" i="9"/>
  <c r="AX128" i="9"/>
  <c r="AW128" i="9"/>
  <c r="AV128" i="9"/>
  <c r="AU128" i="9"/>
  <c r="AT128" i="9"/>
  <c r="AS128" i="9"/>
  <c r="BD128" i="9" s="1"/>
  <c r="AR128" i="9"/>
  <c r="BC128" i="9" s="1"/>
  <c r="AP128" i="9"/>
  <c r="AJ128" i="9"/>
  <c r="AI128" i="9"/>
  <c r="AF128" i="9"/>
  <c r="AD128" i="9" s="1"/>
  <c r="AK128" i="9" s="1"/>
  <c r="AE128" i="9"/>
  <c r="AB128" i="9"/>
  <c r="Y128" i="9"/>
  <c r="W128" i="9" s="1"/>
  <c r="X128" i="9"/>
  <c r="AL128" i="9" s="1"/>
  <c r="U128" i="9"/>
  <c r="R128" i="9"/>
  <c r="P128" i="9" s="1"/>
  <c r="Q128" i="9"/>
  <c r="N128" i="9"/>
  <c r="L128" i="9"/>
  <c r="K128" i="9"/>
  <c r="J128" i="9"/>
  <c r="I128" i="9"/>
  <c r="H128" i="9"/>
  <c r="F128" i="9"/>
  <c r="G128" i="9" s="1"/>
  <c r="D128" i="9"/>
  <c r="B128" i="9"/>
  <c r="E128" i="9" s="1"/>
  <c r="A128" i="9"/>
  <c r="CB127" i="9"/>
  <c r="CA127" i="9"/>
  <c r="BZ127" i="9"/>
  <c r="BY127" i="9"/>
  <c r="BX127" i="9"/>
  <c r="BW127" i="9"/>
  <c r="BU127" i="9"/>
  <c r="BS127" i="9"/>
  <c r="BR127" i="9"/>
  <c r="BQ127" i="9"/>
  <c r="BP127" i="9"/>
  <c r="BO127" i="9"/>
  <c r="BV127" i="9" s="1"/>
  <c r="BN127" i="9"/>
  <c r="BL127" i="9"/>
  <c r="BK127" i="9"/>
  <c r="BJ127" i="9"/>
  <c r="BI127" i="9"/>
  <c r="BH127" i="9"/>
  <c r="BA127" i="9"/>
  <c r="AZ127" i="9"/>
  <c r="AY127" i="9" s="1"/>
  <c r="AX127" i="9"/>
  <c r="AW127" i="9"/>
  <c r="AV127" i="9"/>
  <c r="AT127" i="9"/>
  <c r="AS127" i="9"/>
  <c r="AR127" i="9"/>
  <c r="AP127" i="9"/>
  <c r="AJ127" i="9"/>
  <c r="AI127" i="9"/>
  <c r="AF127" i="9"/>
  <c r="AE127" i="9"/>
  <c r="AL127" i="9" s="1"/>
  <c r="AB127" i="9"/>
  <c r="Y127" i="9"/>
  <c r="X127" i="9"/>
  <c r="W127" i="9"/>
  <c r="U127" i="9"/>
  <c r="R127" i="9"/>
  <c r="P127" i="9" s="1"/>
  <c r="Q127" i="9"/>
  <c r="N127" i="9"/>
  <c r="J127" i="9"/>
  <c r="I127" i="9"/>
  <c r="H127" i="9"/>
  <c r="G127" i="9"/>
  <c r="F127" i="9"/>
  <c r="B127" i="9"/>
  <c r="A127" i="9"/>
  <c r="CB126" i="9"/>
  <c r="CA126" i="9"/>
  <c r="BZ126" i="9"/>
  <c r="BX126" i="9" s="1"/>
  <c r="BY126" i="9"/>
  <c r="BW126" i="9"/>
  <c r="BU126" i="9"/>
  <c r="BS126" i="9"/>
  <c r="BQ126" i="9" s="1"/>
  <c r="BT126" i="9" s="1"/>
  <c r="BR126" i="9"/>
  <c r="BP126" i="9"/>
  <c r="BO126" i="9"/>
  <c r="BN126" i="9"/>
  <c r="BM126" i="9"/>
  <c r="BL126" i="9"/>
  <c r="BK126" i="9"/>
  <c r="BI126" i="9" s="1"/>
  <c r="BJ126" i="9"/>
  <c r="BH126" i="9"/>
  <c r="BC126" i="9"/>
  <c r="BF126" i="9" s="1"/>
  <c r="BA126" i="9"/>
  <c r="AZ126" i="9"/>
  <c r="AY126" i="9"/>
  <c r="AX126" i="9"/>
  <c r="AW126" i="9"/>
  <c r="BD126" i="9" s="1"/>
  <c r="AV126" i="9"/>
  <c r="AT126" i="9"/>
  <c r="AS126" i="9"/>
  <c r="AR126" i="9"/>
  <c r="AQ126" i="9"/>
  <c r="AP126" i="9"/>
  <c r="AJ126" i="9"/>
  <c r="AI126" i="9"/>
  <c r="AF126" i="9"/>
  <c r="AM126" i="9" s="1"/>
  <c r="AE126" i="9"/>
  <c r="AL126" i="9" s="1"/>
  <c r="AD126" i="9"/>
  <c r="AK126" i="9" s="1"/>
  <c r="AB126" i="9"/>
  <c r="Y126" i="9"/>
  <c r="W126" i="9" s="1"/>
  <c r="X126" i="9"/>
  <c r="U126" i="9"/>
  <c r="R126" i="9"/>
  <c r="P126" i="9" s="1"/>
  <c r="Q126" i="9"/>
  <c r="N126" i="9"/>
  <c r="L126" i="9"/>
  <c r="J126" i="9"/>
  <c r="K126" i="9" s="1"/>
  <c r="F126" i="9"/>
  <c r="I126" i="9" s="1"/>
  <c r="E126" i="9"/>
  <c r="D126" i="9"/>
  <c r="B126" i="9"/>
  <c r="C126" i="9" s="1"/>
  <c r="A126" i="9"/>
  <c r="CB125" i="9"/>
  <c r="CA125" i="9"/>
  <c r="BZ125" i="9"/>
  <c r="BY125" i="9"/>
  <c r="BW125" i="9"/>
  <c r="BS125" i="9"/>
  <c r="BR125" i="9"/>
  <c r="BP125" i="9"/>
  <c r="BO125" i="9"/>
  <c r="BN125" i="9"/>
  <c r="BM125" i="9"/>
  <c r="BL125" i="9"/>
  <c r="BK125" i="9"/>
  <c r="BI125" i="9" s="1"/>
  <c r="BJ125" i="9"/>
  <c r="BH125" i="9"/>
  <c r="BC125" i="9"/>
  <c r="BA125" i="9"/>
  <c r="AY125" i="9" s="1"/>
  <c r="AZ125" i="9"/>
  <c r="AX125" i="9"/>
  <c r="AW125" i="9"/>
  <c r="AV125" i="9"/>
  <c r="AU125" i="9"/>
  <c r="AT125" i="9"/>
  <c r="AS125" i="9"/>
  <c r="AQ125" i="9" s="1"/>
  <c r="BB125" i="9" s="1"/>
  <c r="AR125" i="9"/>
  <c r="AP125" i="9"/>
  <c r="AJ125" i="9"/>
  <c r="AI125" i="9"/>
  <c r="AF125" i="9"/>
  <c r="AE125" i="9"/>
  <c r="AD125" i="9"/>
  <c r="AB125" i="9"/>
  <c r="Y125" i="9"/>
  <c r="X125" i="9"/>
  <c r="AL125" i="9" s="1"/>
  <c r="U125" i="9"/>
  <c r="R125" i="9"/>
  <c r="Q125" i="9"/>
  <c r="P125" i="9"/>
  <c r="N125" i="9"/>
  <c r="L125" i="9"/>
  <c r="K125" i="9"/>
  <c r="J125" i="9"/>
  <c r="F125" i="9"/>
  <c r="E125" i="9"/>
  <c r="D125" i="9"/>
  <c r="C125" i="9"/>
  <c r="B125" i="9"/>
  <c r="A125" i="9"/>
  <c r="CB124" i="9"/>
  <c r="CA124" i="9"/>
  <c r="BZ124" i="9"/>
  <c r="BX124" i="9" s="1"/>
  <c r="BY124" i="9"/>
  <c r="BW124" i="9"/>
  <c r="BS124" i="9"/>
  <c r="BR124" i="9"/>
  <c r="BQ124" i="9"/>
  <c r="BT124" i="9" s="1"/>
  <c r="BP124" i="9"/>
  <c r="BO124" i="9"/>
  <c r="BN124" i="9"/>
  <c r="BL124" i="9"/>
  <c r="BK124" i="9"/>
  <c r="BJ124" i="9"/>
  <c r="BI124" i="9" s="1"/>
  <c r="BH124" i="9"/>
  <c r="BA124" i="9"/>
  <c r="AZ124" i="9"/>
  <c r="AY124" i="9"/>
  <c r="AX124" i="9"/>
  <c r="AW124" i="9"/>
  <c r="AV124" i="9"/>
  <c r="AU124" i="9"/>
  <c r="AT124" i="9"/>
  <c r="AS124" i="9"/>
  <c r="BD124" i="9" s="1"/>
  <c r="AR124" i="9"/>
  <c r="BC124" i="9" s="1"/>
  <c r="AQ124" i="9"/>
  <c r="BB124" i="9" s="1"/>
  <c r="BE124" i="9" s="1"/>
  <c r="AP124" i="9"/>
  <c r="AJ124" i="9"/>
  <c r="AI124" i="9"/>
  <c r="AF124" i="9"/>
  <c r="AD124" i="9" s="1"/>
  <c r="AE124" i="9"/>
  <c r="AB124" i="9"/>
  <c r="Y124" i="9"/>
  <c r="W124" i="9" s="1"/>
  <c r="X124" i="9"/>
  <c r="AL124" i="9" s="1"/>
  <c r="U124" i="9"/>
  <c r="R124" i="9"/>
  <c r="P124" i="9" s="1"/>
  <c r="Q124" i="9"/>
  <c r="N124" i="9"/>
  <c r="L124" i="9"/>
  <c r="K124" i="9"/>
  <c r="J124" i="9"/>
  <c r="I124" i="9"/>
  <c r="H124" i="9"/>
  <c r="F124" i="9"/>
  <c r="G124" i="9" s="1"/>
  <c r="B124" i="9"/>
  <c r="A124" i="9"/>
  <c r="CB123" i="9"/>
  <c r="CA123" i="9"/>
  <c r="BZ123" i="9"/>
  <c r="BY123" i="9"/>
  <c r="BX123" i="9"/>
  <c r="BW123" i="9"/>
  <c r="BV123" i="9"/>
  <c r="BS123" i="9"/>
  <c r="BR123" i="9"/>
  <c r="BQ123" i="9"/>
  <c r="BP123" i="9"/>
  <c r="BO123" i="9"/>
  <c r="BN123" i="9"/>
  <c r="BU123" i="9" s="1"/>
  <c r="BM123" i="9"/>
  <c r="BT123" i="9" s="1"/>
  <c r="BL123" i="9"/>
  <c r="BK123" i="9"/>
  <c r="BJ123" i="9"/>
  <c r="BI123" i="9"/>
  <c r="BH123" i="9"/>
  <c r="BA123" i="9"/>
  <c r="AZ123" i="9"/>
  <c r="AY123" i="9"/>
  <c r="AX123" i="9"/>
  <c r="AW123" i="9"/>
  <c r="AV123" i="9"/>
  <c r="AT123" i="9"/>
  <c r="AS123" i="9"/>
  <c r="AR123" i="9"/>
  <c r="BC123" i="9" s="1"/>
  <c r="AP123" i="9"/>
  <c r="AJ123" i="9"/>
  <c r="AI123" i="9"/>
  <c r="AF123" i="9"/>
  <c r="AE123" i="9"/>
  <c r="AL123" i="9" s="1"/>
  <c r="BF123" i="9" s="1"/>
  <c r="AB123" i="9"/>
  <c r="Y123" i="9"/>
  <c r="X123" i="9"/>
  <c r="W123" i="9"/>
  <c r="U123" i="9"/>
  <c r="R123" i="9"/>
  <c r="Q123" i="9"/>
  <c r="N123" i="9"/>
  <c r="J123" i="9"/>
  <c r="I123" i="9"/>
  <c r="H123" i="9"/>
  <c r="G123" i="9"/>
  <c r="F123" i="9"/>
  <c r="B123" i="9"/>
  <c r="A123" i="9"/>
  <c r="CB122" i="9"/>
  <c r="CA122" i="9"/>
  <c r="BZ122" i="9"/>
  <c r="BX122" i="9" s="1"/>
  <c r="BY122" i="9"/>
  <c r="BW122" i="9"/>
  <c r="BU122" i="9"/>
  <c r="BS122" i="9"/>
  <c r="BR122" i="9"/>
  <c r="BP122" i="9"/>
  <c r="BO122" i="9"/>
  <c r="BN122" i="9"/>
  <c r="BM122" i="9"/>
  <c r="BL122" i="9"/>
  <c r="BK122" i="9"/>
  <c r="BI122" i="9" s="1"/>
  <c r="BJ122" i="9"/>
  <c r="BH122" i="9"/>
  <c r="BD122" i="9"/>
  <c r="BC122" i="9"/>
  <c r="BA122" i="9"/>
  <c r="AZ122" i="9"/>
  <c r="AY122" i="9"/>
  <c r="AX122" i="9"/>
  <c r="AW122" i="9"/>
  <c r="AV122" i="9"/>
  <c r="AU122" i="9"/>
  <c r="BB122" i="9" s="1"/>
  <c r="AT122" i="9"/>
  <c r="AS122" i="9"/>
  <c r="AR122" i="9"/>
  <c r="AQ122" i="9"/>
  <c r="AP122" i="9"/>
  <c r="AJ122" i="9"/>
  <c r="AI122" i="9"/>
  <c r="AF122" i="9"/>
  <c r="AM122" i="9" s="1"/>
  <c r="AE122" i="9"/>
  <c r="AL122" i="9" s="1"/>
  <c r="AB122" i="9"/>
  <c r="Y122" i="9"/>
  <c r="W122" i="9" s="1"/>
  <c r="X122" i="9"/>
  <c r="U122" i="9"/>
  <c r="R122" i="9"/>
  <c r="Q122" i="9"/>
  <c r="P122" i="9"/>
  <c r="N122" i="9"/>
  <c r="L122" i="9"/>
  <c r="J122" i="9"/>
  <c r="K122" i="9" s="1"/>
  <c r="G122" i="9"/>
  <c r="F122" i="9"/>
  <c r="I122" i="9" s="1"/>
  <c r="E122" i="9"/>
  <c r="D122" i="9"/>
  <c r="B122" i="9"/>
  <c r="C122" i="9" s="1"/>
  <c r="A122" i="9"/>
  <c r="CB121" i="9"/>
  <c r="CA121" i="9"/>
  <c r="BZ121" i="9"/>
  <c r="BX121" i="9" s="1"/>
  <c r="BY121" i="9"/>
  <c r="BW121" i="9"/>
  <c r="BS121" i="9"/>
  <c r="BR121" i="9"/>
  <c r="BP121" i="9"/>
  <c r="BO121" i="9"/>
  <c r="BN121" i="9"/>
  <c r="BM121" i="9"/>
  <c r="BL121" i="9"/>
  <c r="BK121" i="9"/>
  <c r="BI121" i="9" s="1"/>
  <c r="BJ121" i="9"/>
  <c r="BH121" i="9"/>
  <c r="BC121" i="9"/>
  <c r="BA121" i="9"/>
  <c r="AZ121" i="9"/>
  <c r="AX121" i="9"/>
  <c r="AW121" i="9"/>
  <c r="AV121" i="9"/>
  <c r="AU121" i="9"/>
  <c r="AT121" i="9"/>
  <c r="AS121" i="9"/>
  <c r="AQ121" i="9" s="1"/>
  <c r="BB121" i="9" s="1"/>
  <c r="BE121" i="9" s="1"/>
  <c r="AR121" i="9"/>
  <c r="AP121" i="9"/>
  <c r="AJ121" i="9"/>
  <c r="AI121" i="9"/>
  <c r="AF121" i="9"/>
  <c r="AE121" i="9"/>
  <c r="AD121" i="9"/>
  <c r="AB121" i="9"/>
  <c r="Y121" i="9"/>
  <c r="X121" i="9"/>
  <c r="AL121" i="9" s="1"/>
  <c r="U121" i="9"/>
  <c r="R121" i="9"/>
  <c r="Q121" i="9"/>
  <c r="P121" i="9"/>
  <c r="N121" i="9"/>
  <c r="L121" i="9"/>
  <c r="K121" i="9"/>
  <c r="J121" i="9"/>
  <c r="F121" i="9"/>
  <c r="E121" i="9"/>
  <c r="D121" i="9"/>
  <c r="C121" i="9"/>
  <c r="B121" i="9"/>
  <c r="A121" i="9"/>
  <c r="CB120" i="9"/>
  <c r="CA120" i="9"/>
  <c r="BZ120" i="9"/>
  <c r="BY120" i="9"/>
  <c r="BX120" i="9"/>
  <c r="BW120" i="9"/>
  <c r="BS120" i="9"/>
  <c r="BR120" i="9"/>
  <c r="BU120" i="9" s="1"/>
  <c r="BQ120" i="9"/>
  <c r="BT120" i="9" s="1"/>
  <c r="BP120" i="9"/>
  <c r="BO120" i="9"/>
  <c r="BN120" i="9"/>
  <c r="BL120" i="9"/>
  <c r="BK120" i="9"/>
  <c r="BJ120" i="9"/>
  <c r="BI120" i="9"/>
  <c r="BH120" i="9"/>
  <c r="BA120" i="9"/>
  <c r="AZ120" i="9"/>
  <c r="AX120" i="9"/>
  <c r="AW120" i="9"/>
  <c r="AV120" i="9"/>
  <c r="AU120" i="9"/>
  <c r="AT120" i="9"/>
  <c r="AS120" i="9"/>
  <c r="BD120" i="9" s="1"/>
  <c r="AR120" i="9"/>
  <c r="AP120" i="9"/>
  <c r="AJ120" i="9"/>
  <c r="AI120" i="9"/>
  <c r="AF120" i="9"/>
  <c r="AD120" i="9" s="1"/>
  <c r="AK120" i="9" s="1"/>
  <c r="AE120" i="9"/>
  <c r="AB120" i="9"/>
  <c r="Y120" i="9"/>
  <c r="X120" i="9"/>
  <c r="AL120" i="9" s="1"/>
  <c r="W120" i="9"/>
  <c r="U120" i="9"/>
  <c r="R120" i="9"/>
  <c r="P120" i="9" s="1"/>
  <c r="Q120" i="9"/>
  <c r="N120" i="9"/>
  <c r="L120" i="9"/>
  <c r="J120" i="9"/>
  <c r="K120" i="9" s="1"/>
  <c r="I120" i="9"/>
  <c r="H120" i="9"/>
  <c r="F120" i="9"/>
  <c r="G120" i="9" s="1"/>
  <c r="D120" i="9"/>
  <c r="C120" i="9"/>
  <c r="B120" i="9"/>
  <c r="E120" i="9" s="1"/>
  <c r="A120" i="9"/>
  <c r="CB119" i="9"/>
  <c r="CA119" i="9"/>
  <c r="BZ119" i="9"/>
  <c r="BY119" i="9"/>
  <c r="BX119" i="9"/>
  <c r="BW119" i="9"/>
  <c r="BS119" i="9"/>
  <c r="BR119" i="9"/>
  <c r="BQ119" i="9"/>
  <c r="BP119" i="9"/>
  <c r="BO119" i="9"/>
  <c r="BV119" i="9" s="1"/>
  <c r="BN119" i="9"/>
  <c r="BU119" i="9" s="1"/>
  <c r="BL119" i="9"/>
  <c r="BK119" i="9"/>
  <c r="BJ119" i="9"/>
  <c r="BI119" i="9"/>
  <c r="BH119" i="9"/>
  <c r="BA119" i="9"/>
  <c r="AZ119" i="9"/>
  <c r="AY119" i="9"/>
  <c r="AX119" i="9"/>
  <c r="AW119" i="9"/>
  <c r="AV119" i="9"/>
  <c r="AT119" i="9"/>
  <c r="AS119" i="9"/>
  <c r="AR119" i="9"/>
  <c r="AQ119" i="9"/>
  <c r="AP119" i="9"/>
  <c r="AJ119" i="9"/>
  <c r="AI119" i="9"/>
  <c r="AF119" i="9"/>
  <c r="AE119" i="9"/>
  <c r="AB119" i="9"/>
  <c r="Y119" i="9"/>
  <c r="X119" i="9"/>
  <c r="W119" i="9"/>
  <c r="U119" i="9"/>
  <c r="R119" i="9"/>
  <c r="Q119" i="9"/>
  <c r="N119" i="9"/>
  <c r="J119" i="9"/>
  <c r="I119" i="9"/>
  <c r="H119" i="9"/>
  <c r="G119" i="9"/>
  <c r="F119" i="9"/>
  <c r="B119" i="9"/>
  <c r="A119" i="9"/>
  <c r="CB118" i="9"/>
  <c r="CA118" i="9"/>
  <c r="BZ118" i="9"/>
  <c r="BX118" i="9" s="1"/>
  <c r="BY118" i="9"/>
  <c r="BW118" i="9"/>
  <c r="BU118" i="9"/>
  <c r="BS118" i="9"/>
  <c r="BQ118" i="9" s="1"/>
  <c r="BR118" i="9"/>
  <c r="BP118" i="9"/>
  <c r="BO118" i="9"/>
  <c r="BN118" i="9"/>
  <c r="BM118" i="9" s="1"/>
  <c r="BL118" i="9"/>
  <c r="BK118" i="9"/>
  <c r="BJ118" i="9"/>
  <c r="BH118" i="9"/>
  <c r="BD118" i="9"/>
  <c r="BC118" i="9"/>
  <c r="BA118" i="9"/>
  <c r="AZ118" i="9"/>
  <c r="AY118" i="9"/>
  <c r="AX118" i="9"/>
  <c r="AW118" i="9"/>
  <c r="AV118" i="9"/>
  <c r="AU118" i="9"/>
  <c r="BB118" i="9" s="1"/>
  <c r="AT118" i="9"/>
  <c r="AS118" i="9"/>
  <c r="AR118" i="9"/>
  <c r="AQ118" i="9"/>
  <c r="AP118" i="9"/>
  <c r="AJ118" i="9"/>
  <c r="AI118" i="9"/>
  <c r="AF118" i="9"/>
  <c r="AE118" i="9"/>
  <c r="AB118" i="9"/>
  <c r="Y118" i="9"/>
  <c r="W118" i="9" s="1"/>
  <c r="X118" i="9"/>
  <c r="U118" i="9"/>
  <c r="R118" i="9"/>
  <c r="Q118" i="9"/>
  <c r="N118" i="9"/>
  <c r="L118" i="9"/>
  <c r="J118" i="9"/>
  <c r="K118" i="9" s="1"/>
  <c r="F118" i="9"/>
  <c r="I118" i="9" s="1"/>
  <c r="E118" i="9"/>
  <c r="D118" i="9"/>
  <c r="B118" i="9"/>
  <c r="C118" i="9" s="1"/>
  <c r="A118" i="9"/>
  <c r="CB117" i="9"/>
  <c r="CA117" i="9"/>
  <c r="BZ117" i="9"/>
  <c r="BY117" i="9"/>
  <c r="BW117" i="9"/>
  <c r="BT117" i="9"/>
  <c r="BS117" i="9"/>
  <c r="BR117" i="9"/>
  <c r="BQ117" i="9"/>
  <c r="BP117" i="9"/>
  <c r="BO117" i="9"/>
  <c r="BN117" i="9"/>
  <c r="BM117" i="9"/>
  <c r="BL117" i="9"/>
  <c r="BK117" i="9"/>
  <c r="BJ117" i="9"/>
  <c r="BI117" i="9"/>
  <c r="BH117" i="9"/>
  <c r="BC117" i="9"/>
  <c r="BF117" i="9" s="1"/>
  <c r="BA117" i="9"/>
  <c r="AY117" i="9" s="1"/>
  <c r="AZ117" i="9"/>
  <c r="AX117" i="9"/>
  <c r="AW117" i="9"/>
  <c r="AV117" i="9"/>
  <c r="AU117" i="9" s="1"/>
  <c r="AT117" i="9"/>
  <c r="AS117" i="9"/>
  <c r="AR117" i="9"/>
  <c r="AP117" i="9"/>
  <c r="AL117" i="9"/>
  <c r="AJ117" i="9"/>
  <c r="AF117" i="9"/>
  <c r="AE117" i="9"/>
  <c r="AD117" i="9"/>
  <c r="AB117" i="9"/>
  <c r="AC117" i="9" s="1"/>
  <c r="Y117" i="9"/>
  <c r="W117" i="9" s="1"/>
  <c r="X117" i="9"/>
  <c r="U117" i="9"/>
  <c r="V117" i="9" s="1"/>
  <c r="R117" i="9"/>
  <c r="P117" i="9" s="1"/>
  <c r="Q117" i="9"/>
  <c r="O117" i="9"/>
  <c r="N117" i="9"/>
  <c r="J117" i="9"/>
  <c r="L117" i="9" s="1"/>
  <c r="I117" i="9"/>
  <c r="H117" i="9"/>
  <c r="G117" i="9"/>
  <c r="F117" i="9"/>
  <c r="E117" i="9"/>
  <c r="B117" i="9"/>
  <c r="D117" i="9" s="1"/>
  <c r="A117" i="9"/>
  <c r="CB116" i="9"/>
  <c r="CA116" i="9"/>
  <c r="BZ116" i="9"/>
  <c r="BX116" i="9" s="1"/>
  <c r="BY116" i="9"/>
  <c r="BW116" i="9"/>
  <c r="BS116" i="9"/>
  <c r="BR116" i="9"/>
  <c r="BU116" i="9" s="1"/>
  <c r="BP116" i="9"/>
  <c r="BO116" i="9"/>
  <c r="BN116" i="9"/>
  <c r="BM116" i="9"/>
  <c r="BL116" i="9"/>
  <c r="BK116" i="9"/>
  <c r="BJ116" i="9"/>
  <c r="BH116" i="9"/>
  <c r="BD116" i="9"/>
  <c r="BG116" i="9" s="1"/>
  <c r="BC116" i="9"/>
  <c r="BA116" i="9"/>
  <c r="AY116" i="9" s="1"/>
  <c r="AZ116" i="9"/>
  <c r="AX116" i="9"/>
  <c r="AW116" i="9"/>
  <c r="AV116" i="9"/>
  <c r="AU116" i="9"/>
  <c r="AT116" i="9"/>
  <c r="AS116" i="9"/>
  <c r="AQ116" i="9" s="1"/>
  <c r="AR116" i="9"/>
  <c r="AP116" i="9"/>
  <c r="AN116" i="9"/>
  <c r="AM116" i="9"/>
  <c r="AO116" i="9" s="1"/>
  <c r="AL116" i="9"/>
  <c r="AJ116" i="9"/>
  <c r="AF116" i="9"/>
  <c r="AE116" i="9"/>
  <c r="AD116" i="9"/>
  <c r="AB116" i="9"/>
  <c r="AC116" i="9" s="1"/>
  <c r="Y116" i="9"/>
  <c r="W116" i="9" s="1"/>
  <c r="X116" i="9"/>
  <c r="U116" i="9"/>
  <c r="V116" i="9" s="1"/>
  <c r="R116" i="9"/>
  <c r="P116" i="9" s="1"/>
  <c r="Q116" i="9"/>
  <c r="O116" i="9"/>
  <c r="N116" i="9"/>
  <c r="J116" i="9"/>
  <c r="I116" i="9"/>
  <c r="H116" i="9"/>
  <c r="G116" i="9"/>
  <c r="F116" i="9"/>
  <c r="B116" i="9"/>
  <c r="A116" i="9"/>
  <c r="CB115" i="9"/>
  <c r="CA115" i="9"/>
  <c r="BZ115" i="9"/>
  <c r="BX115" i="9" s="1"/>
  <c r="BY115" i="9"/>
  <c r="BW115" i="9"/>
  <c r="BS115" i="9"/>
  <c r="BR115" i="9"/>
  <c r="BP115" i="9"/>
  <c r="BO115" i="9"/>
  <c r="BN115" i="9"/>
  <c r="BM115" i="9" s="1"/>
  <c r="BL115" i="9"/>
  <c r="BK115" i="9"/>
  <c r="BI115" i="9" s="1"/>
  <c r="BJ115" i="9"/>
  <c r="BH115" i="9"/>
  <c r="BA115" i="9"/>
  <c r="AZ115" i="9"/>
  <c r="AY115" i="9"/>
  <c r="AX115" i="9"/>
  <c r="AW115" i="9"/>
  <c r="AV115" i="9"/>
  <c r="BC115" i="9" s="1"/>
  <c r="AT115" i="9"/>
  <c r="AS115" i="9"/>
  <c r="AR115" i="9"/>
  <c r="AQ115" i="9"/>
  <c r="AP115" i="9"/>
  <c r="AJ115" i="9"/>
  <c r="AF115" i="9"/>
  <c r="AE115" i="9"/>
  <c r="AD115" i="9"/>
  <c r="AC115" i="9"/>
  <c r="AB115" i="9"/>
  <c r="Y115" i="9"/>
  <c r="X115" i="9"/>
  <c r="W115" i="9"/>
  <c r="U115" i="9"/>
  <c r="V115" i="9" s="1"/>
  <c r="R115" i="9"/>
  <c r="Q115" i="9"/>
  <c r="N115" i="9"/>
  <c r="O115" i="9" s="1"/>
  <c r="AI115" i="9" s="1"/>
  <c r="K115" i="9"/>
  <c r="J115" i="9"/>
  <c r="L115" i="9" s="1"/>
  <c r="I115" i="9"/>
  <c r="H115" i="9"/>
  <c r="G115" i="9"/>
  <c r="F115" i="9"/>
  <c r="B115" i="9"/>
  <c r="A115" i="9"/>
  <c r="CB114" i="9"/>
  <c r="CA114" i="9"/>
  <c r="BZ114" i="9"/>
  <c r="BY114" i="9"/>
  <c r="BX114" i="9"/>
  <c r="BW114" i="9"/>
  <c r="BU114" i="9"/>
  <c r="BS114" i="9"/>
  <c r="BQ114" i="9" s="1"/>
  <c r="BR114" i="9"/>
  <c r="BP114" i="9"/>
  <c r="BO114" i="9"/>
  <c r="BM114" i="9" s="1"/>
  <c r="BT114" i="9" s="1"/>
  <c r="BN114" i="9"/>
  <c r="BL114" i="9"/>
  <c r="BK114" i="9"/>
  <c r="BI114" i="9" s="1"/>
  <c r="BJ114" i="9"/>
  <c r="BH114" i="9"/>
  <c r="BF114" i="9"/>
  <c r="BD114" i="9"/>
  <c r="BA114" i="9"/>
  <c r="AZ114" i="9"/>
  <c r="AY114" i="9"/>
  <c r="AX114" i="9"/>
  <c r="AW114" i="9"/>
  <c r="AV114" i="9"/>
  <c r="BC114" i="9" s="1"/>
  <c r="AT114" i="9"/>
  <c r="AS114" i="9"/>
  <c r="AR114" i="9"/>
  <c r="AQ114" i="9"/>
  <c r="AP114" i="9"/>
  <c r="AJ114" i="9"/>
  <c r="AF114" i="9"/>
  <c r="AE114" i="9"/>
  <c r="AL114" i="9" s="1"/>
  <c r="AC114" i="9"/>
  <c r="AB114" i="9"/>
  <c r="Y114" i="9"/>
  <c r="X114" i="9"/>
  <c r="W114" i="9"/>
  <c r="U114" i="9"/>
  <c r="V114" i="9" s="1"/>
  <c r="AI114" i="9" s="1"/>
  <c r="R114" i="9"/>
  <c r="P114" i="9" s="1"/>
  <c r="Q114" i="9"/>
  <c r="N114" i="9"/>
  <c r="O114" i="9" s="1"/>
  <c r="K114" i="9"/>
  <c r="J114" i="9"/>
  <c r="L114" i="9" s="1"/>
  <c r="I114" i="9"/>
  <c r="H114" i="9"/>
  <c r="F114" i="9"/>
  <c r="G114" i="9" s="1"/>
  <c r="B114" i="9"/>
  <c r="E114" i="9" s="1"/>
  <c r="A114" i="9"/>
  <c r="CB113" i="9"/>
  <c r="CA113" i="9"/>
  <c r="BZ113" i="9"/>
  <c r="BY113" i="9"/>
  <c r="BX113" i="9"/>
  <c r="BW113" i="9"/>
  <c r="BV113" i="9"/>
  <c r="BU113" i="9"/>
  <c r="BS113" i="9"/>
  <c r="BR113" i="9"/>
  <c r="BQ113" i="9"/>
  <c r="BP113" i="9"/>
  <c r="BO113" i="9"/>
  <c r="BN113" i="9"/>
  <c r="BM113" i="9"/>
  <c r="BT113" i="9" s="1"/>
  <c r="BL113" i="9"/>
  <c r="BK113" i="9"/>
  <c r="BJ113" i="9"/>
  <c r="BI113" i="9"/>
  <c r="BH113" i="9"/>
  <c r="BA113" i="9"/>
  <c r="AZ113" i="9"/>
  <c r="AY113" i="9"/>
  <c r="AX113" i="9"/>
  <c r="AW113" i="9"/>
  <c r="AV113" i="9"/>
  <c r="AT113" i="9"/>
  <c r="AS113" i="9"/>
  <c r="AR113" i="9"/>
  <c r="AP113" i="9"/>
  <c r="AJ113" i="9"/>
  <c r="AF113" i="9"/>
  <c r="AE113" i="9"/>
  <c r="AB113" i="9"/>
  <c r="AC113" i="9" s="1"/>
  <c r="Y113" i="9"/>
  <c r="X113" i="9"/>
  <c r="W113" i="9"/>
  <c r="V113" i="9"/>
  <c r="U113" i="9"/>
  <c r="R113" i="9"/>
  <c r="P113" i="9" s="1"/>
  <c r="Q113" i="9"/>
  <c r="N113" i="9"/>
  <c r="O113" i="9" s="1"/>
  <c r="AI113" i="9" s="1"/>
  <c r="J113" i="9"/>
  <c r="L113" i="9" s="1"/>
  <c r="I113" i="9"/>
  <c r="F113" i="9"/>
  <c r="H113" i="9" s="1"/>
  <c r="C113" i="9"/>
  <c r="B113" i="9"/>
  <c r="A113" i="9"/>
  <c r="CB112" i="9"/>
  <c r="CA112" i="9"/>
  <c r="BZ112" i="9"/>
  <c r="BY112" i="9"/>
  <c r="BX112" i="9"/>
  <c r="BW112" i="9"/>
  <c r="BV112" i="9"/>
  <c r="BS112" i="9"/>
  <c r="BR112" i="9"/>
  <c r="BQ112" i="9"/>
  <c r="BP112" i="9"/>
  <c r="BO112" i="9"/>
  <c r="BN112" i="9"/>
  <c r="BU112" i="9" s="1"/>
  <c r="BL112" i="9"/>
  <c r="BK112" i="9"/>
  <c r="BJ112" i="9"/>
  <c r="BI112" i="9"/>
  <c r="BH112" i="9"/>
  <c r="BA112" i="9"/>
  <c r="AZ112" i="9"/>
  <c r="AY112" i="9" s="1"/>
  <c r="AX112" i="9"/>
  <c r="AW112" i="9"/>
  <c r="AU112" i="9" s="1"/>
  <c r="AV112" i="9"/>
  <c r="AT112" i="9"/>
  <c r="AS112" i="9"/>
  <c r="AR112" i="9"/>
  <c r="AQ112" i="9"/>
  <c r="AP112" i="9"/>
  <c r="AJ112" i="9"/>
  <c r="AF112" i="9"/>
  <c r="AE112" i="9"/>
  <c r="AB112" i="9"/>
  <c r="AC112" i="9" s="1"/>
  <c r="Y112" i="9"/>
  <c r="W112" i="9" s="1"/>
  <c r="X112" i="9"/>
  <c r="V112" i="9"/>
  <c r="U112" i="9"/>
  <c r="R112" i="9"/>
  <c r="Q112" i="9"/>
  <c r="P112" i="9"/>
  <c r="N112" i="9"/>
  <c r="O112" i="9" s="1"/>
  <c r="AI112" i="9" s="1"/>
  <c r="L112" i="9"/>
  <c r="K112" i="9"/>
  <c r="J112" i="9"/>
  <c r="F112" i="9"/>
  <c r="E112" i="9"/>
  <c r="D112" i="9"/>
  <c r="C112" i="9"/>
  <c r="B112" i="9"/>
  <c r="A112" i="9"/>
  <c r="CB111" i="9"/>
  <c r="CA111" i="9"/>
  <c r="BZ111" i="9"/>
  <c r="BY111" i="9"/>
  <c r="BX111" i="9"/>
  <c r="BW111" i="9"/>
  <c r="BS111" i="9"/>
  <c r="BR111" i="9"/>
  <c r="BQ111" i="9"/>
  <c r="BT111" i="9" s="1"/>
  <c r="BP111" i="9"/>
  <c r="BO111" i="9"/>
  <c r="BN111" i="9"/>
  <c r="BL111" i="9"/>
  <c r="BK111" i="9"/>
  <c r="BJ111" i="9"/>
  <c r="BI111" i="9" s="1"/>
  <c r="BH111" i="9"/>
  <c r="BA111" i="9"/>
  <c r="AZ111" i="9"/>
  <c r="AY111" i="9"/>
  <c r="AX111" i="9"/>
  <c r="AW111" i="9"/>
  <c r="AV111" i="9"/>
  <c r="AU111" i="9"/>
  <c r="AT111" i="9"/>
  <c r="AS111" i="9"/>
  <c r="BD111" i="9" s="1"/>
  <c r="AR111" i="9"/>
  <c r="BC111" i="9" s="1"/>
  <c r="AQ111" i="9"/>
  <c r="BB111" i="9" s="1"/>
  <c r="BE111" i="9" s="1"/>
  <c r="AP111" i="9"/>
  <c r="AL111" i="9"/>
  <c r="AK111" i="9"/>
  <c r="AJ111" i="9"/>
  <c r="AF111" i="9"/>
  <c r="AD111" i="9" s="1"/>
  <c r="AE111" i="9"/>
  <c r="AB111" i="9"/>
  <c r="AC111" i="9" s="1"/>
  <c r="Y111" i="9"/>
  <c r="X111" i="9"/>
  <c r="W111" i="9"/>
  <c r="V111" i="9"/>
  <c r="U111" i="9"/>
  <c r="R111" i="9"/>
  <c r="Q111" i="9"/>
  <c r="P111" i="9"/>
  <c r="O111" i="9"/>
  <c r="AI111" i="9" s="1"/>
  <c r="N111" i="9"/>
  <c r="L111" i="9"/>
  <c r="K111" i="9"/>
  <c r="J111" i="9"/>
  <c r="F111" i="9"/>
  <c r="E111" i="9"/>
  <c r="D111" i="9"/>
  <c r="C111" i="9"/>
  <c r="B111" i="9"/>
  <c r="A111" i="9"/>
  <c r="CB110" i="9"/>
  <c r="CA110" i="9"/>
  <c r="BZ110" i="9"/>
  <c r="BY110" i="9"/>
  <c r="BX110" i="9" s="1"/>
  <c r="BW110" i="9"/>
  <c r="BS110" i="9"/>
  <c r="BR110" i="9"/>
  <c r="BP110" i="9"/>
  <c r="BO110" i="9"/>
  <c r="BM110" i="9" s="1"/>
  <c r="BN110" i="9"/>
  <c r="BL110" i="9"/>
  <c r="BK110" i="9"/>
  <c r="BJ110" i="9"/>
  <c r="BH110" i="9"/>
  <c r="BA110" i="9"/>
  <c r="AZ110" i="9"/>
  <c r="AX110" i="9"/>
  <c r="AW110" i="9"/>
  <c r="AV110" i="9"/>
  <c r="AU110" i="9"/>
  <c r="AT110" i="9"/>
  <c r="AS110" i="9"/>
  <c r="AR110" i="9"/>
  <c r="AP110" i="9"/>
  <c r="AL110" i="9"/>
  <c r="AJ110" i="9"/>
  <c r="AF110" i="9"/>
  <c r="AE110" i="9"/>
  <c r="AD110" i="9"/>
  <c r="AB110" i="9"/>
  <c r="AC110" i="9" s="1"/>
  <c r="Y110" i="9"/>
  <c r="W110" i="9" s="1"/>
  <c r="AK110" i="9" s="1"/>
  <c r="X110" i="9"/>
  <c r="U110" i="9"/>
  <c r="V110" i="9" s="1"/>
  <c r="R110" i="9"/>
  <c r="Q110" i="9"/>
  <c r="P110" i="9"/>
  <c r="N110" i="9"/>
  <c r="O110" i="9" s="1"/>
  <c r="AI110" i="9" s="1"/>
  <c r="L110" i="9"/>
  <c r="J110" i="9"/>
  <c r="K110" i="9" s="1"/>
  <c r="F110" i="9"/>
  <c r="I110" i="9" s="1"/>
  <c r="E110" i="9"/>
  <c r="D110" i="9"/>
  <c r="B110" i="9"/>
  <c r="C110" i="9" s="1"/>
  <c r="A110" i="9"/>
  <c r="BZ109" i="9"/>
  <c r="BX109" i="9" s="1"/>
  <c r="BY109" i="9"/>
  <c r="BS109" i="9"/>
  <c r="BR109" i="9"/>
  <c r="BQ109" i="9"/>
  <c r="BO109" i="9"/>
  <c r="BN109" i="9"/>
  <c r="BU109" i="9" s="1"/>
  <c r="BK109" i="9"/>
  <c r="BI109" i="9" s="1"/>
  <c r="BJ109" i="9"/>
  <c r="BA109" i="9"/>
  <c r="AZ109" i="9"/>
  <c r="AY109" i="9"/>
  <c r="AW109" i="9"/>
  <c r="AV109" i="9"/>
  <c r="BC109" i="9" s="1"/>
  <c r="AU109" i="9"/>
  <c r="AS109" i="9"/>
  <c r="AQ109" i="9" s="1"/>
  <c r="AR109" i="9"/>
  <c r="AM109" i="9"/>
  <c r="AJ109" i="9"/>
  <c r="AF109" i="9"/>
  <c r="AE109" i="9"/>
  <c r="AD109" i="9"/>
  <c r="AC109" i="9"/>
  <c r="AB109" i="9"/>
  <c r="Y109" i="9"/>
  <c r="X109" i="9"/>
  <c r="U109" i="9"/>
  <c r="V109" i="9" s="1"/>
  <c r="AI109" i="9" s="1"/>
  <c r="R109" i="9"/>
  <c r="Q109" i="9"/>
  <c r="P109" i="9" s="1"/>
  <c r="L109" i="9"/>
  <c r="K109" i="9"/>
  <c r="J109" i="9"/>
  <c r="F109" i="9"/>
  <c r="E109" i="9"/>
  <c r="D109" i="9"/>
  <c r="C109" i="9"/>
  <c r="B109" i="9"/>
  <c r="A109" i="9"/>
  <c r="CB108" i="9"/>
  <c r="CA108" i="9"/>
  <c r="BZ108" i="9"/>
  <c r="BY108" i="9"/>
  <c r="BX108" i="9"/>
  <c r="BW108" i="9"/>
  <c r="BS108" i="9"/>
  <c r="BR108" i="9"/>
  <c r="BP108" i="9"/>
  <c r="BO108" i="9"/>
  <c r="BN108" i="9"/>
  <c r="BL108" i="9"/>
  <c r="BK108" i="9"/>
  <c r="BJ108" i="9"/>
  <c r="BI108" i="9" s="1"/>
  <c r="BH108" i="9"/>
  <c r="BA108" i="9"/>
  <c r="AZ108" i="9"/>
  <c r="AY108" i="9"/>
  <c r="AX108" i="9"/>
  <c r="AW108" i="9"/>
  <c r="AV108" i="9"/>
  <c r="AU108" i="9"/>
  <c r="AT108" i="9"/>
  <c r="AS108" i="9"/>
  <c r="BD108" i="9" s="1"/>
  <c r="AR108" i="9"/>
  <c r="BC108" i="9" s="1"/>
  <c r="AQ108" i="9"/>
  <c r="BB108" i="9" s="1"/>
  <c r="AP108" i="9"/>
  <c r="AL108" i="9"/>
  <c r="AJ108" i="9"/>
  <c r="AF108" i="9"/>
  <c r="AD108" i="9" s="1"/>
  <c r="AE108" i="9"/>
  <c r="AB108" i="9"/>
  <c r="AC108" i="9" s="1"/>
  <c r="Y108" i="9"/>
  <c r="X108" i="9"/>
  <c r="V108" i="9"/>
  <c r="U108" i="9"/>
  <c r="R108" i="9"/>
  <c r="Q108" i="9"/>
  <c r="P108" i="9"/>
  <c r="O108" i="9"/>
  <c r="AI108" i="9" s="1"/>
  <c r="N108" i="9"/>
  <c r="L108" i="9"/>
  <c r="K108" i="9"/>
  <c r="J108" i="9"/>
  <c r="F108" i="9"/>
  <c r="E108" i="9"/>
  <c r="D108" i="9"/>
  <c r="C108" i="9"/>
  <c r="B108" i="9"/>
  <c r="A108" i="9"/>
  <c r="CB107" i="9"/>
  <c r="CA107" i="9"/>
  <c r="BZ107" i="9"/>
  <c r="BY107" i="9"/>
  <c r="BX107" i="9"/>
  <c r="BW107" i="9"/>
  <c r="BS107" i="9"/>
  <c r="BR107" i="9"/>
  <c r="BP107" i="9"/>
  <c r="BO107" i="9"/>
  <c r="BM107" i="9" s="1"/>
  <c r="BN107" i="9"/>
  <c r="BL107" i="9"/>
  <c r="BK107" i="9"/>
  <c r="BI107" i="9" s="1"/>
  <c r="BJ107" i="9"/>
  <c r="BH107" i="9"/>
  <c r="BA107" i="9"/>
  <c r="AZ107" i="9"/>
  <c r="AX107" i="9"/>
  <c r="AW107" i="9"/>
  <c r="AV107" i="9"/>
  <c r="AU107" i="9"/>
  <c r="AT107" i="9"/>
  <c r="AS107" i="9"/>
  <c r="AR107" i="9"/>
  <c r="AP107" i="9"/>
  <c r="AM107" i="9"/>
  <c r="AL107" i="9"/>
  <c r="AJ107" i="9"/>
  <c r="AI107" i="9"/>
  <c r="AF107" i="9"/>
  <c r="AE107" i="9"/>
  <c r="AD107" i="9"/>
  <c r="AB107" i="9"/>
  <c r="Y107" i="9"/>
  <c r="W107" i="9" s="1"/>
  <c r="AK107" i="9" s="1"/>
  <c r="X107" i="9"/>
  <c r="U107" i="9"/>
  <c r="R107" i="9"/>
  <c r="Q107" i="9"/>
  <c r="P107" i="9"/>
  <c r="N107" i="9"/>
  <c r="L107" i="9"/>
  <c r="J107" i="9"/>
  <c r="K107" i="9" s="1"/>
  <c r="I107" i="9"/>
  <c r="F107" i="9"/>
  <c r="H107" i="9" s="1"/>
  <c r="E107" i="9"/>
  <c r="D107" i="9"/>
  <c r="C107" i="9"/>
  <c r="B107" i="9"/>
  <c r="A107" i="9"/>
  <c r="CB106" i="9"/>
  <c r="CA106" i="9"/>
  <c r="BZ106" i="9"/>
  <c r="BY106" i="9"/>
  <c r="BX106" i="9" s="1"/>
  <c r="BW106" i="9"/>
  <c r="BS106" i="9"/>
  <c r="BR106" i="9"/>
  <c r="BQ106" i="9"/>
  <c r="BP106" i="9"/>
  <c r="BO106" i="9"/>
  <c r="BN106" i="9"/>
  <c r="BU106" i="9" s="1"/>
  <c r="BL106" i="9"/>
  <c r="BK106" i="9"/>
  <c r="BJ106" i="9"/>
  <c r="BI106" i="9"/>
  <c r="BH106" i="9"/>
  <c r="BA106" i="9"/>
  <c r="AY106" i="9" s="1"/>
  <c r="AZ106" i="9"/>
  <c r="AX106" i="9"/>
  <c r="AW106" i="9"/>
  <c r="AU106" i="9" s="1"/>
  <c r="AV106" i="9"/>
  <c r="AT106" i="9"/>
  <c r="AS106" i="9"/>
  <c r="BD106" i="9" s="1"/>
  <c r="AR106" i="9"/>
  <c r="BC106" i="9" s="1"/>
  <c r="BF106" i="9" s="1"/>
  <c r="AP106" i="9"/>
  <c r="AJ106" i="9"/>
  <c r="AF106" i="9"/>
  <c r="AE106" i="9"/>
  <c r="AL106" i="9" s="1"/>
  <c r="AB106" i="9"/>
  <c r="AC106" i="9" s="1"/>
  <c r="Y106" i="9"/>
  <c r="W106" i="9" s="1"/>
  <c r="X106" i="9"/>
  <c r="V106" i="9"/>
  <c r="U106" i="9"/>
  <c r="R106" i="9"/>
  <c r="Q106" i="9"/>
  <c r="P106" i="9"/>
  <c r="O106" i="9"/>
  <c r="AI106" i="9" s="1"/>
  <c r="N106" i="9"/>
  <c r="L106" i="9"/>
  <c r="K106" i="9"/>
  <c r="J106" i="9"/>
  <c r="F106" i="9"/>
  <c r="E106" i="9"/>
  <c r="D106" i="9"/>
  <c r="C106" i="9"/>
  <c r="B106" i="9"/>
  <c r="A106" i="9"/>
  <c r="CB105" i="9"/>
  <c r="CA105" i="9"/>
  <c r="BZ105" i="9"/>
  <c r="BY105" i="9"/>
  <c r="BX105" i="9"/>
  <c r="BW105" i="9"/>
  <c r="BS105" i="9"/>
  <c r="BR105" i="9"/>
  <c r="BQ105" i="9"/>
  <c r="BT105" i="9" s="1"/>
  <c r="BP105" i="9"/>
  <c r="BO105" i="9"/>
  <c r="BN105" i="9"/>
  <c r="BL105" i="9"/>
  <c r="BK105" i="9"/>
  <c r="BJ105" i="9"/>
  <c r="BI105" i="9" s="1"/>
  <c r="BH105" i="9"/>
  <c r="BA105" i="9"/>
  <c r="AZ105" i="9"/>
  <c r="AY105" i="9" s="1"/>
  <c r="AX105" i="9"/>
  <c r="AW105" i="9"/>
  <c r="AV105" i="9"/>
  <c r="AU105" i="9"/>
  <c r="AT105" i="9"/>
  <c r="AS105" i="9"/>
  <c r="BD105" i="9" s="1"/>
  <c r="AR105" i="9"/>
  <c r="BC105" i="9" s="1"/>
  <c r="BF105" i="9" s="1"/>
  <c r="AP105" i="9"/>
  <c r="AJ105" i="9"/>
  <c r="AI105" i="9"/>
  <c r="AF105" i="9"/>
  <c r="AD105" i="9" s="1"/>
  <c r="AK105" i="9" s="1"/>
  <c r="AE105" i="9"/>
  <c r="AB105" i="9"/>
  <c r="AC105" i="9" s="1"/>
  <c r="Y105" i="9"/>
  <c r="W105" i="9" s="1"/>
  <c r="X105" i="9"/>
  <c r="AL105" i="9" s="1"/>
  <c r="V105" i="9"/>
  <c r="U105" i="9"/>
  <c r="R105" i="9"/>
  <c r="Q105" i="9"/>
  <c r="P105" i="9"/>
  <c r="O105" i="9"/>
  <c r="N105" i="9"/>
  <c r="L105" i="9"/>
  <c r="K105" i="9"/>
  <c r="J105" i="9"/>
  <c r="F105" i="9"/>
  <c r="E105" i="9"/>
  <c r="D105" i="9"/>
  <c r="C105" i="9"/>
  <c r="B105" i="9"/>
  <c r="A105" i="9"/>
  <c r="BZ104" i="9"/>
  <c r="BY104" i="9"/>
  <c r="BX104" i="9"/>
  <c r="BT104" i="9"/>
  <c r="BS104" i="9"/>
  <c r="BR104" i="9"/>
  <c r="BQ104" i="9"/>
  <c r="BO104" i="9"/>
  <c r="BV104" i="9" s="1"/>
  <c r="BN104" i="9"/>
  <c r="BU104" i="9" s="1"/>
  <c r="BM104" i="9"/>
  <c r="BK104" i="9"/>
  <c r="BI104" i="9" s="1"/>
  <c r="BJ104" i="9"/>
  <c r="BA104" i="9"/>
  <c r="AY104" i="9" s="1"/>
  <c r="AZ104" i="9"/>
  <c r="AW104" i="9"/>
  <c r="AV104" i="9"/>
  <c r="AU104" i="9"/>
  <c r="AS104" i="9"/>
  <c r="AR104" i="9"/>
  <c r="BC104" i="9" s="1"/>
  <c r="BF104" i="9" s="1"/>
  <c r="AP104" i="9"/>
  <c r="AL104" i="9"/>
  <c r="AJ104" i="9"/>
  <c r="AF104" i="9"/>
  <c r="AE104" i="9"/>
  <c r="AD104" i="9"/>
  <c r="AC104" i="9"/>
  <c r="AB104" i="9"/>
  <c r="Y104" i="9"/>
  <c r="W104" i="9" s="1"/>
  <c r="AK104" i="9" s="1"/>
  <c r="X104" i="9"/>
  <c r="U104" i="9"/>
  <c r="V104" i="9" s="1"/>
  <c r="AI104" i="9" s="1"/>
  <c r="R104" i="9"/>
  <c r="Q104" i="9"/>
  <c r="P104" i="9"/>
  <c r="L104" i="9"/>
  <c r="K104" i="9"/>
  <c r="J104" i="9"/>
  <c r="F104" i="9"/>
  <c r="E104" i="9"/>
  <c r="D104" i="9"/>
  <c r="C104" i="9"/>
  <c r="B104" i="9"/>
  <c r="A104" i="9"/>
  <c r="BZ103" i="9"/>
  <c r="BY103" i="9"/>
  <c r="BX103" i="9"/>
  <c r="BS103" i="9"/>
  <c r="BQ103" i="9" s="1"/>
  <c r="BR103" i="9"/>
  <c r="BO103" i="9"/>
  <c r="BN103" i="9"/>
  <c r="BK103" i="9"/>
  <c r="BV103" i="9" s="1"/>
  <c r="BJ103" i="9"/>
  <c r="BI103" i="9"/>
  <c r="BA103" i="9"/>
  <c r="AY103" i="9" s="1"/>
  <c r="AZ103" i="9"/>
  <c r="AW103" i="9"/>
  <c r="AV103" i="9"/>
  <c r="AU103" i="9"/>
  <c r="AS103" i="9"/>
  <c r="BD103" i="9" s="1"/>
  <c r="AR103" i="9"/>
  <c r="BC103" i="9" s="1"/>
  <c r="BF103" i="9" s="1"/>
  <c r="AQ103" i="9"/>
  <c r="BB103" i="9" s="1"/>
  <c r="AP103" i="9"/>
  <c r="AJ103" i="9"/>
  <c r="AI103" i="9"/>
  <c r="AF103" i="9"/>
  <c r="AE103" i="9"/>
  <c r="AB103" i="9"/>
  <c r="AC103" i="9" s="1"/>
  <c r="Y103" i="9"/>
  <c r="W103" i="9" s="1"/>
  <c r="X103" i="9"/>
  <c r="AL103" i="9" s="1"/>
  <c r="V103" i="9"/>
  <c r="U103" i="9"/>
  <c r="R103" i="9"/>
  <c r="Q103" i="9"/>
  <c r="P103" i="9"/>
  <c r="L103" i="9"/>
  <c r="K103" i="9"/>
  <c r="J103" i="9"/>
  <c r="I103" i="9"/>
  <c r="F103" i="9"/>
  <c r="H103" i="9" s="1"/>
  <c r="B103" i="9"/>
  <c r="E103" i="9" s="1"/>
  <c r="A103" i="9"/>
  <c r="BZ102" i="9"/>
  <c r="BY102" i="9"/>
  <c r="BX102" i="9"/>
  <c r="BS102" i="9"/>
  <c r="BQ102" i="9" s="1"/>
  <c r="BT102" i="9" s="1"/>
  <c r="BR102" i="9"/>
  <c r="BO102" i="9"/>
  <c r="BN102" i="9"/>
  <c r="BM102" i="9"/>
  <c r="BK102" i="9"/>
  <c r="BJ102" i="9"/>
  <c r="BU102" i="9" s="1"/>
  <c r="BI102" i="9"/>
  <c r="BC102" i="9"/>
  <c r="BA102" i="9"/>
  <c r="AZ102" i="9"/>
  <c r="AY102" i="9"/>
  <c r="AW102" i="9"/>
  <c r="AV102" i="9"/>
  <c r="AU102" i="9"/>
  <c r="AS102" i="9"/>
  <c r="BD102" i="9" s="1"/>
  <c r="AR102" i="9"/>
  <c r="AP102" i="9"/>
  <c r="AJ102" i="9"/>
  <c r="AF102" i="9"/>
  <c r="AE102" i="9"/>
  <c r="AB102" i="9"/>
  <c r="AC102" i="9" s="1"/>
  <c r="Y102" i="9"/>
  <c r="X102" i="9"/>
  <c r="W102" i="9" s="1"/>
  <c r="V102" i="9"/>
  <c r="AI102" i="9" s="1"/>
  <c r="U102" i="9"/>
  <c r="R102" i="9"/>
  <c r="Q102" i="9"/>
  <c r="P102" i="9"/>
  <c r="K102" i="9"/>
  <c r="J102" i="9"/>
  <c r="L102" i="9" s="1"/>
  <c r="I102" i="9"/>
  <c r="H102" i="9"/>
  <c r="F102" i="9"/>
  <c r="G102" i="9" s="1"/>
  <c r="B102" i="9"/>
  <c r="E102" i="9" s="1"/>
  <c r="A102" i="9"/>
  <c r="CB101" i="9"/>
  <c r="CA101" i="9"/>
  <c r="BZ101" i="9"/>
  <c r="BY101" i="9"/>
  <c r="BX101" i="9"/>
  <c r="BW101" i="9"/>
  <c r="BV101" i="9"/>
  <c r="BU101" i="9"/>
  <c r="BT101" i="9"/>
  <c r="BS101" i="9"/>
  <c r="BR101" i="9"/>
  <c r="BQ101" i="9"/>
  <c r="BP101" i="9"/>
  <c r="BO101" i="9"/>
  <c r="BN101" i="9"/>
  <c r="BM101" i="9"/>
  <c r="BL101" i="9"/>
  <c r="BK101" i="9"/>
  <c r="BJ101" i="9"/>
  <c r="BI101" i="9"/>
  <c r="BH101" i="9"/>
  <c r="BD101" i="9"/>
  <c r="BA101" i="9"/>
  <c r="AZ101" i="9"/>
  <c r="AY101" i="9" s="1"/>
  <c r="AX101" i="9"/>
  <c r="AW101" i="9"/>
  <c r="AV101" i="9"/>
  <c r="AT101" i="9"/>
  <c r="AS101" i="9"/>
  <c r="AR101" i="9"/>
  <c r="AQ101" i="9"/>
  <c r="BB101" i="9" s="1"/>
  <c r="BE101" i="9" s="1"/>
  <c r="AP101" i="9"/>
  <c r="AJ101" i="9"/>
  <c r="AF101" i="9"/>
  <c r="AE101" i="9"/>
  <c r="AL101" i="9" s="1"/>
  <c r="AB101" i="9"/>
  <c r="AC101" i="9" s="1"/>
  <c r="Y101" i="9"/>
  <c r="X101" i="9"/>
  <c r="W101" i="9"/>
  <c r="V101" i="9"/>
  <c r="AI101" i="9" s="1"/>
  <c r="U101" i="9"/>
  <c r="R101" i="9"/>
  <c r="P101" i="9" s="1"/>
  <c r="Q101" i="9"/>
  <c r="N101" i="9"/>
  <c r="O101" i="9" s="1"/>
  <c r="J101" i="9"/>
  <c r="L101" i="9" s="1"/>
  <c r="I101" i="9"/>
  <c r="F101" i="9"/>
  <c r="H101" i="9" s="1"/>
  <c r="E101" i="9"/>
  <c r="D101" i="9"/>
  <c r="C101" i="9"/>
  <c r="B101" i="9"/>
  <c r="A101" i="9"/>
  <c r="CB100" i="9"/>
  <c r="CA100" i="9"/>
  <c r="BZ100" i="9"/>
  <c r="BY100" i="9"/>
  <c r="BX100" i="9" s="1"/>
  <c r="BW100" i="9"/>
  <c r="BS100" i="9"/>
  <c r="BR100" i="9"/>
  <c r="BQ100" i="9"/>
  <c r="BT100" i="9" s="1"/>
  <c r="BP100" i="9"/>
  <c r="BO100" i="9"/>
  <c r="BN100" i="9"/>
  <c r="BU100" i="9" s="1"/>
  <c r="BL100" i="9"/>
  <c r="BK100" i="9"/>
  <c r="BJ100" i="9"/>
  <c r="BI100" i="9"/>
  <c r="BH100" i="9"/>
  <c r="BA100" i="9"/>
  <c r="AZ100" i="9"/>
  <c r="AY100" i="9"/>
  <c r="AX100" i="9"/>
  <c r="AW100" i="9"/>
  <c r="AU100" i="9" s="1"/>
  <c r="AV100" i="9"/>
  <c r="AT100" i="9"/>
  <c r="AS100" i="9"/>
  <c r="AR100" i="9"/>
  <c r="AQ100" i="9"/>
  <c r="BB100" i="9" s="1"/>
  <c r="BE100" i="9" s="1"/>
  <c r="AP100" i="9"/>
  <c r="AJ100" i="9"/>
  <c r="AF100" i="9"/>
  <c r="AE100" i="9"/>
  <c r="AB100" i="9"/>
  <c r="AC100" i="9" s="1"/>
  <c r="Y100" i="9"/>
  <c r="X100" i="9"/>
  <c r="W100" i="9"/>
  <c r="V100" i="9"/>
  <c r="AI100" i="9" s="1"/>
  <c r="U100" i="9"/>
  <c r="R100" i="9"/>
  <c r="Q100" i="9"/>
  <c r="P100" i="9"/>
  <c r="J100" i="9"/>
  <c r="K100" i="9" s="1"/>
  <c r="I100" i="9"/>
  <c r="H100" i="9"/>
  <c r="F100" i="9"/>
  <c r="G100" i="9" s="1"/>
  <c r="B100" i="9"/>
  <c r="A100" i="9"/>
  <c r="CB99" i="9"/>
  <c r="CA99" i="9"/>
  <c r="BZ99" i="9"/>
  <c r="BY99" i="9"/>
  <c r="BX99" i="9"/>
  <c r="BW99" i="9"/>
  <c r="BV99" i="9"/>
  <c r="BU99" i="9"/>
  <c r="BT99" i="9"/>
  <c r="BS99" i="9"/>
  <c r="BR99" i="9"/>
  <c r="BQ99" i="9"/>
  <c r="BP99" i="9"/>
  <c r="BO99" i="9"/>
  <c r="BN99" i="9"/>
  <c r="BM99" i="9"/>
  <c r="BL99" i="9"/>
  <c r="BK99" i="9"/>
  <c r="BJ99" i="9"/>
  <c r="BI99" i="9"/>
  <c r="BH99" i="9"/>
  <c r="BD99" i="9"/>
  <c r="BA99" i="9"/>
  <c r="AZ99" i="9"/>
  <c r="AY99" i="9" s="1"/>
  <c r="AX99" i="9"/>
  <c r="AW99" i="9"/>
  <c r="AV99" i="9"/>
  <c r="AT99" i="9"/>
  <c r="AS99" i="9"/>
  <c r="AR99" i="9"/>
  <c r="AP99" i="9"/>
  <c r="AJ99" i="9"/>
  <c r="AF99" i="9"/>
  <c r="AE99" i="9"/>
  <c r="AL99" i="9" s="1"/>
  <c r="AB99" i="9"/>
  <c r="AC99" i="9" s="1"/>
  <c r="Y99" i="9"/>
  <c r="X99" i="9"/>
  <c r="W99" i="9"/>
  <c r="U99" i="9"/>
  <c r="V99" i="9" s="1"/>
  <c r="AI99" i="9" s="1"/>
  <c r="R99" i="9"/>
  <c r="P99" i="9" s="1"/>
  <c r="Q99" i="9"/>
  <c r="J99" i="9"/>
  <c r="L99" i="9" s="1"/>
  <c r="I99" i="9"/>
  <c r="H99" i="9"/>
  <c r="G99" i="9"/>
  <c r="F99" i="9"/>
  <c r="C99" i="9"/>
  <c r="B99" i="9"/>
  <c r="A99" i="9"/>
  <c r="CB98" i="9"/>
  <c r="CA98" i="9"/>
  <c r="BZ98" i="9"/>
  <c r="BY98" i="9"/>
  <c r="BX98" i="9"/>
  <c r="BW98" i="9"/>
  <c r="BS98" i="9"/>
  <c r="BQ98" i="9" s="1"/>
  <c r="BT98" i="9" s="1"/>
  <c r="BR98" i="9"/>
  <c r="BP98" i="9"/>
  <c r="BO98" i="9"/>
  <c r="BN98" i="9"/>
  <c r="BU98" i="9" s="1"/>
  <c r="BL98" i="9"/>
  <c r="BK98" i="9"/>
  <c r="BI98" i="9" s="1"/>
  <c r="BJ98" i="9"/>
  <c r="BH98" i="9"/>
  <c r="BE98" i="9"/>
  <c r="BA98" i="9"/>
  <c r="AZ98" i="9"/>
  <c r="AY98" i="9"/>
  <c r="AX98" i="9"/>
  <c r="AW98" i="9"/>
  <c r="AV98" i="9"/>
  <c r="BC98" i="9" s="1"/>
  <c r="AT98" i="9"/>
  <c r="AS98" i="9"/>
  <c r="AR98" i="9"/>
  <c r="AQ98" i="9"/>
  <c r="BB98" i="9" s="1"/>
  <c r="AP98" i="9"/>
  <c r="AJ98" i="9"/>
  <c r="AF98" i="9"/>
  <c r="AE98" i="9"/>
  <c r="AD98" i="9"/>
  <c r="AC98" i="9"/>
  <c r="AB98" i="9"/>
  <c r="Y98" i="9"/>
  <c r="X98" i="9"/>
  <c r="W98" i="9"/>
  <c r="U98" i="9"/>
  <c r="V98" i="9" s="1"/>
  <c r="AI98" i="9" s="1"/>
  <c r="R98" i="9"/>
  <c r="Q98" i="9"/>
  <c r="K98" i="9"/>
  <c r="J98" i="9"/>
  <c r="L98" i="9" s="1"/>
  <c r="F98" i="9"/>
  <c r="B98" i="9"/>
  <c r="A98" i="9"/>
  <c r="CB97" i="9"/>
  <c r="CA97" i="9"/>
  <c r="BZ97" i="9"/>
  <c r="BX97" i="9" s="1"/>
  <c r="BY97" i="9"/>
  <c r="BW97" i="9"/>
  <c r="BU97" i="9"/>
  <c r="BS97" i="9"/>
  <c r="BQ97" i="9" s="1"/>
  <c r="BR97" i="9"/>
  <c r="BP97" i="9"/>
  <c r="BO97" i="9"/>
  <c r="BN97" i="9"/>
  <c r="BM97" i="9" s="1"/>
  <c r="BT97" i="9" s="1"/>
  <c r="BL97" i="9"/>
  <c r="BK97" i="9"/>
  <c r="BI97" i="9" s="1"/>
  <c r="BJ97" i="9"/>
  <c r="BH97" i="9"/>
  <c r="BC97" i="9"/>
  <c r="BA97" i="9"/>
  <c r="AZ97" i="9"/>
  <c r="AY97" i="9"/>
  <c r="AX97" i="9"/>
  <c r="AW97" i="9"/>
  <c r="BD97" i="9" s="1"/>
  <c r="BG97" i="9" s="1"/>
  <c r="AV97" i="9"/>
  <c r="AU97" i="9"/>
  <c r="BB97" i="9" s="1"/>
  <c r="AT97" i="9"/>
  <c r="AS97" i="9"/>
  <c r="AR97" i="9"/>
  <c r="AQ97" i="9"/>
  <c r="AP97" i="9"/>
  <c r="AJ97" i="9"/>
  <c r="AF97" i="9"/>
  <c r="AE97" i="9"/>
  <c r="AD97" i="9"/>
  <c r="AC97" i="9"/>
  <c r="AB97" i="9"/>
  <c r="Y97" i="9"/>
  <c r="X97" i="9"/>
  <c r="W97" i="9"/>
  <c r="U97" i="9"/>
  <c r="V97" i="9" s="1"/>
  <c r="R97" i="9"/>
  <c r="AM97" i="9" s="1"/>
  <c r="Q97" i="9"/>
  <c r="AL97" i="9" s="1"/>
  <c r="N97" i="9"/>
  <c r="O97" i="9" s="1"/>
  <c r="L97" i="9"/>
  <c r="J97" i="9"/>
  <c r="K97" i="9" s="1"/>
  <c r="I97" i="9"/>
  <c r="H97" i="9"/>
  <c r="G97" i="9"/>
  <c r="F97" i="9"/>
  <c r="D97" i="9"/>
  <c r="C97" i="9"/>
  <c r="B97" i="9"/>
  <c r="E97" i="9" s="1"/>
  <c r="A97" i="9"/>
  <c r="CB96" i="9"/>
  <c r="CA96" i="9"/>
  <c r="BZ96" i="9"/>
  <c r="BY96" i="9"/>
  <c r="BX96" i="9"/>
  <c r="BW96" i="9"/>
  <c r="BS96" i="9"/>
  <c r="BR96" i="9"/>
  <c r="BP96" i="9"/>
  <c r="BO96" i="9"/>
  <c r="BM96" i="9" s="1"/>
  <c r="BN96" i="9"/>
  <c r="BU96" i="9" s="1"/>
  <c r="BL96" i="9"/>
  <c r="BK96" i="9"/>
  <c r="BI96" i="9" s="1"/>
  <c r="BJ96" i="9"/>
  <c r="BH96" i="9"/>
  <c r="BA96" i="9"/>
  <c r="AZ96" i="9"/>
  <c r="AY96" i="9"/>
  <c r="AX96" i="9"/>
  <c r="AW96" i="9"/>
  <c r="AV96" i="9"/>
  <c r="AT96" i="9"/>
  <c r="AS96" i="9"/>
  <c r="AR96" i="9"/>
  <c r="AQ96" i="9"/>
  <c r="AP96" i="9"/>
  <c r="AJ96" i="9"/>
  <c r="AI96" i="9"/>
  <c r="AF96" i="9"/>
  <c r="AE96" i="9"/>
  <c r="AD96" i="9"/>
  <c r="AC96" i="9"/>
  <c r="AB96" i="9"/>
  <c r="Y96" i="9"/>
  <c r="X96" i="9"/>
  <c r="W96" i="9"/>
  <c r="U96" i="9"/>
  <c r="V96" i="9" s="1"/>
  <c r="R96" i="9"/>
  <c r="Q96" i="9"/>
  <c r="N96" i="9"/>
  <c r="O96" i="9" s="1"/>
  <c r="J96" i="9"/>
  <c r="L96" i="9" s="1"/>
  <c r="I96" i="9"/>
  <c r="H96" i="9"/>
  <c r="F96" i="9"/>
  <c r="G96" i="9" s="1"/>
  <c r="E96" i="9"/>
  <c r="D96" i="9"/>
  <c r="B96" i="9"/>
  <c r="C96" i="9" s="1"/>
  <c r="A96" i="9"/>
  <c r="CB95" i="9"/>
  <c r="CA95" i="9"/>
  <c r="BZ95" i="9"/>
  <c r="BY95" i="9"/>
  <c r="BX95" i="9" s="1"/>
  <c r="BW95" i="9"/>
  <c r="BV95" i="9"/>
  <c r="BU95" i="9"/>
  <c r="BT95" i="9"/>
  <c r="BS95" i="9"/>
  <c r="BR95" i="9"/>
  <c r="BQ95" i="9"/>
  <c r="BP95" i="9"/>
  <c r="BO95" i="9"/>
  <c r="BN95" i="9"/>
  <c r="BM95" i="9"/>
  <c r="BL95" i="9"/>
  <c r="BK95" i="9"/>
  <c r="BJ95" i="9"/>
  <c r="BI95" i="9"/>
  <c r="BH95" i="9"/>
  <c r="BA95" i="9"/>
  <c r="AZ95" i="9"/>
  <c r="AY95" i="9"/>
  <c r="AX95" i="9"/>
  <c r="AW95" i="9"/>
  <c r="AV95" i="9"/>
  <c r="AT95" i="9"/>
  <c r="AS95" i="9"/>
  <c r="BD95" i="9" s="1"/>
  <c r="BG95" i="9" s="1"/>
  <c r="AR95" i="9"/>
  <c r="AQ95" i="9"/>
  <c r="AP95" i="9"/>
  <c r="AJ95" i="9"/>
  <c r="AF95" i="9"/>
  <c r="AM95" i="9" s="1"/>
  <c r="AE95" i="9"/>
  <c r="AL95" i="9" s="1"/>
  <c r="AD95" i="9"/>
  <c r="AK95" i="9" s="1"/>
  <c r="AB95" i="9"/>
  <c r="AC95" i="9" s="1"/>
  <c r="Y95" i="9"/>
  <c r="X95" i="9"/>
  <c r="W95" i="9"/>
  <c r="U95" i="9"/>
  <c r="V95" i="9" s="1"/>
  <c r="AI95" i="9" s="1"/>
  <c r="R95" i="9"/>
  <c r="P95" i="9" s="1"/>
  <c r="Q95" i="9"/>
  <c r="O95" i="9"/>
  <c r="N95" i="9"/>
  <c r="J95" i="9"/>
  <c r="I95" i="9"/>
  <c r="F95" i="9"/>
  <c r="E95" i="9"/>
  <c r="D95" i="9"/>
  <c r="B95" i="9"/>
  <c r="C95" i="9" s="1"/>
  <c r="A95" i="9"/>
  <c r="CB94" i="9"/>
  <c r="CA94" i="9"/>
  <c r="BW94" i="9"/>
  <c r="BS94" i="9"/>
  <c r="BR94" i="9"/>
  <c r="BP94" i="9"/>
  <c r="BO94" i="9"/>
  <c r="BV94" i="9" s="1"/>
  <c r="BN94" i="9"/>
  <c r="BM94" i="9"/>
  <c r="BL94" i="9"/>
  <c r="BK94" i="9"/>
  <c r="BJ94" i="9"/>
  <c r="BH94" i="9"/>
  <c r="BD94" i="9"/>
  <c r="BG94" i="9" s="1"/>
  <c r="BA94" i="9"/>
  <c r="AZ94" i="9"/>
  <c r="AY94" i="9"/>
  <c r="AX94" i="9"/>
  <c r="AW94" i="9"/>
  <c r="AV94" i="9"/>
  <c r="AT94" i="9"/>
  <c r="AS94" i="9"/>
  <c r="AR94" i="9"/>
  <c r="AQ94" i="9"/>
  <c r="AP94" i="9"/>
  <c r="AJ94" i="9"/>
  <c r="AF94" i="9"/>
  <c r="AM94" i="9" s="1"/>
  <c r="AO94" i="9" s="1"/>
  <c r="AE94" i="9"/>
  <c r="AL94" i="9" s="1"/>
  <c r="AC94" i="9"/>
  <c r="AB94" i="9"/>
  <c r="Y94" i="9"/>
  <c r="X94" i="9"/>
  <c r="W94" i="9"/>
  <c r="U94" i="9"/>
  <c r="V94" i="9" s="1"/>
  <c r="AI94" i="9" s="1"/>
  <c r="R94" i="9"/>
  <c r="P94" i="9" s="1"/>
  <c r="Q94" i="9"/>
  <c r="N94" i="9"/>
  <c r="O94" i="9" s="1"/>
  <c r="F94" i="9"/>
  <c r="E94" i="9"/>
  <c r="D94" i="9"/>
  <c r="B94" i="9"/>
  <c r="C94" i="9" s="1"/>
  <c r="A94" i="9"/>
  <c r="CB93" i="9"/>
  <c r="CA93" i="9"/>
  <c r="BZ93" i="9"/>
  <c r="BY93" i="9"/>
  <c r="BX93" i="9"/>
  <c r="BW93" i="9"/>
  <c r="BS93" i="9"/>
  <c r="BV93" i="9" s="1"/>
  <c r="BR93" i="9"/>
  <c r="BP93" i="9"/>
  <c r="BO93" i="9"/>
  <c r="BN93" i="9"/>
  <c r="BM93" i="9" s="1"/>
  <c r="BL93" i="9"/>
  <c r="BK93" i="9"/>
  <c r="BJ93" i="9"/>
  <c r="BI93" i="9" s="1"/>
  <c r="BH93" i="9"/>
  <c r="BA93" i="9"/>
  <c r="AZ93" i="9"/>
  <c r="AX93" i="9"/>
  <c r="AW93" i="9"/>
  <c r="AU93" i="9" s="1"/>
  <c r="AV93" i="9"/>
  <c r="AT93" i="9"/>
  <c r="AS93" i="9"/>
  <c r="AR93" i="9"/>
  <c r="AP93" i="9"/>
  <c r="AJ93" i="9"/>
  <c r="AI93" i="9"/>
  <c r="AF93" i="9"/>
  <c r="AE93" i="9"/>
  <c r="AL93" i="9" s="1"/>
  <c r="AD93" i="9"/>
  <c r="AC93" i="9"/>
  <c r="AB93" i="9"/>
  <c r="Y93" i="9"/>
  <c r="X93" i="9"/>
  <c r="W93" i="9"/>
  <c r="V93" i="9"/>
  <c r="U93" i="9"/>
  <c r="R93" i="9"/>
  <c r="P93" i="9" s="1"/>
  <c r="Q93" i="9"/>
  <c r="N93" i="9"/>
  <c r="O93" i="9" s="1"/>
  <c r="J93" i="9"/>
  <c r="L93" i="9" s="1"/>
  <c r="I93" i="9"/>
  <c r="H93" i="9"/>
  <c r="F93" i="9"/>
  <c r="G93" i="9" s="1"/>
  <c r="B93" i="9"/>
  <c r="E93" i="9" s="1"/>
  <c r="A93" i="9"/>
  <c r="CB92" i="9"/>
  <c r="CA92" i="9"/>
  <c r="BW92" i="9"/>
  <c r="BP92" i="9"/>
  <c r="BL92" i="9"/>
  <c r="BH92" i="9"/>
  <c r="AX92" i="9"/>
  <c r="AT92" i="9"/>
  <c r="AP92" i="9"/>
  <c r="AB92" i="9"/>
  <c r="AC92" i="9" s="1"/>
  <c r="U92" i="9"/>
  <c r="V92" i="9" s="1"/>
  <c r="R92" i="9"/>
  <c r="Q92" i="9"/>
  <c r="O92" i="9"/>
  <c r="N92" i="9"/>
  <c r="E92" i="9"/>
  <c r="D92" i="9"/>
  <c r="C92" i="9"/>
  <c r="A92" i="9"/>
  <c r="CB91" i="9"/>
  <c r="CA91" i="9"/>
  <c r="BZ91" i="9"/>
  <c r="BX91" i="9" s="1"/>
  <c r="BY91" i="9"/>
  <c r="BW91" i="9"/>
  <c r="BT91" i="9"/>
  <c r="BS91" i="9"/>
  <c r="BQ91" i="9" s="1"/>
  <c r="BR91" i="9"/>
  <c r="BP91" i="9"/>
  <c r="BO91" i="9"/>
  <c r="BN91" i="9"/>
  <c r="BU91" i="9" s="1"/>
  <c r="BL91" i="9"/>
  <c r="BK91" i="9"/>
  <c r="BI91" i="9" s="1"/>
  <c r="BJ91" i="9"/>
  <c r="BH91" i="9"/>
  <c r="BE91" i="9"/>
  <c r="BD91" i="9"/>
  <c r="BG91" i="9" s="1"/>
  <c r="BA91" i="9"/>
  <c r="AZ91" i="9"/>
  <c r="AY91" i="9"/>
  <c r="AX91" i="9"/>
  <c r="AW91" i="9"/>
  <c r="AV91" i="9"/>
  <c r="BC91" i="9" s="1"/>
  <c r="BF91" i="9" s="1"/>
  <c r="AU91" i="9"/>
  <c r="AT91" i="9"/>
  <c r="AS91" i="9"/>
  <c r="AR91" i="9"/>
  <c r="AQ91" i="9"/>
  <c r="BB91" i="9" s="1"/>
  <c r="AP91" i="9"/>
  <c r="AB91" i="9"/>
  <c r="AC91" i="9" s="1"/>
  <c r="AI91" i="9" s="1"/>
  <c r="V91" i="9"/>
  <c r="U91" i="9"/>
  <c r="N91" i="9"/>
  <c r="O91" i="9" s="1"/>
  <c r="J91" i="9"/>
  <c r="L91" i="9" s="1"/>
  <c r="I91" i="9"/>
  <c r="H91" i="9"/>
  <c r="F91" i="9"/>
  <c r="G91" i="9" s="1"/>
  <c r="E91" i="9"/>
  <c r="D91" i="9"/>
  <c r="C91" i="9"/>
  <c r="A91" i="9"/>
  <c r="CB90" i="9"/>
  <c r="CA90" i="9"/>
  <c r="BZ90" i="9"/>
  <c r="BY90" i="9"/>
  <c r="BX90" i="9"/>
  <c r="BW90" i="9"/>
  <c r="BV90" i="9"/>
  <c r="BU90" i="9"/>
  <c r="BS90" i="9"/>
  <c r="BQ90" i="9" s="1"/>
  <c r="BR90" i="9"/>
  <c r="BP90" i="9"/>
  <c r="BO90" i="9"/>
  <c r="BN90" i="9"/>
  <c r="BM90" i="9" s="1"/>
  <c r="BT90" i="9" s="1"/>
  <c r="BL90" i="9"/>
  <c r="BK90" i="9"/>
  <c r="BI90" i="9" s="1"/>
  <c r="BJ90" i="9"/>
  <c r="BH90" i="9"/>
  <c r="BD90" i="9"/>
  <c r="BA90" i="9"/>
  <c r="AZ90" i="9"/>
  <c r="AY90" i="9"/>
  <c r="AX90" i="9"/>
  <c r="AW90" i="9"/>
  <c r="AU90" i="9" s="1"/>
  <c r="AV90" i="9"/>
  <c r="AT90" i="9"/>
  <c r="AS90" i="9"/>
  <c r="AR90" i="9"/>
  <c r="BC90" i="9" s="1"/>
  <c r="BF90" i="9" s="1"/>
  <c r="AQ90" i="9"/>
  <c r="BB90" i="9" s="1"/>
  <c r="AP90" i="9"/>
  <c r="AJ90" i="9"/>
  <c r="AF90" i="9"/>
  <c r="AE90" i="9"/>
  <c r="AL90" i="9" s="1"/>
  <c r="AD90" i="9"/>
  <c r="AC90" i="9"/>
  <c r="AB90" i="9"/>
  <c r="Y90" i="9"/>
  <c r="X90" i="9"/>
  <c r="W90" i="9"/>
  <c r="U90" i="9"/>
  <c r="V90" i="9" s="1"/>
  <c r="R90" i="9"/>
  <c r="P90" i="9" s="1"/>
  <c r="Q90" i="9"/>
  <c r="N90" i="9"/>
  <c r="O90" i="9" s="1"/>
  <c r="AI90" i="9" s="1"/>
  <c r="J90" i="9"/>
  <c r="K90" i="9" s="1"/>
  <c r="I90" i="9"/>
  <c r="H90" i="9"/>
  <c r="F90" i="9"/>
  <c r="G90" i="9" s="1"/>
  <c r="D90" i="9"/>
  <c r="C90" i="9"/>
  <c r="B90" i="9"/>
  <c r="E90" i="9" s="1"/>
  <c r="A90" i="9"/>
  <c r="CB89" i="9"/>
  <c r="CA89" i="9"/>
  <c r="BZ89" i="9"/>
  <c r="BY89" i="9"/>
  <c r="BX89" i="9"/>
  <c r="BW89" i="9"/>
  <c r="BS89" i="9"/>
  <c r="BR89" i="9"/>
  <c r="BQ89" i="9"/>
  <c r="BP89" i="9"/>
  <c r="BO89" i="9"/>
  <c r="BV89" i="9" s="1"/>
  <c r="BN89" i="9"/>
  <c r="BU89" i="9" s="1"/>
  <c r="BL89" i="9"/>
  <c r="BK89" i="9"/>
  <c r="BJ89" i="9"/>
  <c r="BI89" i="9"/>
  <c r="BH89" i="9"/>
  <c r="BA89" i="9"/>
  <c r="AZ89" i="9"/>
  <c r="AY89" i="9" s="1"/>
  <c r="AX89" i="9"/>
  <c r="AW89" i="9"/>
  <c r="AU89" i="9" s="1"/>
  <c r="AV89" i="9"/>
  <c r="AT89" i="9"/>
  <c r="AS89" i="9"/>
  <c r="AR89" i="9"/>
  <c r="AQ89" i="9"/>
  <c r="AP89" i="9"/>
  <c r="AJ89" i="9"/>
  <c r="AF89" i="9"/>
  <c r="AE89" i="9"/>
  <c r="AB89" i="9"/>
  <c r="AC89" i="9" s="1"/>
  <c r="Y89" i="9"/>
  <c r="X89" i="9"/>
  <c r="W89" i="9"/>
  <c r="V89" i="9"/>
  <c r="AI89" i="9" s="1"/>
  <c r="U89" i="9"/>
  <c r="R89" i="9"/>
  <c r="P89" i="9" s="1"/>
  <c r="Q89" i="9"/>
  <c r="N89" i="9"/>
  <c r="O89" i="9" s="1"/>
  <c r="J89" i="9"/>
  <c r="L89" i="9" s="1"/>
  <c r="F89" i="9"/>
  <c r="H89" i="9" s="1"/>
  <c r="E89" i="9"/>
  <c r="D89" i="9"/>
  <c r="C89" i="9"/>
  <c r="B89" i="9"/>
  <c r="A89" i="9"/>
  <c r="CB88" i="9"/>
  <c r="CA88" i="9"/>
  <c r="BZ88" i="9"/>
  <c r="BY88" i="9"/>
  <c r="BX88" i="9"/>
  <c r="BW88" i="9"/>
  <c r="BS88" i="9"/>
  <c r="BR88" i="9"/>
  <c r="BQ88" i="9"/>
  <c r="BP88" i="9"/>
  <c r="BO88" i="9"/>
  <c r="BN88" i="9"/>
  <c r="BL88" i="9"/>
  <c r="BK88" i="9"/>
  <c r="BJ88" i="9"/>
  <c r="BI88" i="9"/>
  <c r="BH88" i="9"/>
  <c r="BA88" i="9"/>
  <c r="AY88" i="9" s="1"/>
  <c r="AZ88" i="9"/>
  <c r="AX88" i="9"/>
  <c r="AW88" i="9"/>
  <c r="AU88" i="9" s="1"/>
  <c r="AV88" i="9"/>
  <c r="AT88" i="9"/>
  <c r="AS88" i="9"/>
  <c r="AQ88" i="9" s="1"/>
  <c r="AR88" i="9"/>
  <c r="BC88" i="9" s="1"/>
  <c r="BF88" i="9" s="1"/>
  <c r="AP88" i="9"/>
  <c r="AJ88" i="9"/>
  <c r="AF88" i="9"/>
  <c r="AE88" i="9"/>
  <c r="AB88" i="9"/>
  <c r="AC88" i="9" s="1"/>
  <c r="AI88" i="9" s="1"/>
  <c r="Y88" i="9"/>
  <c r="X88" i="9"/>
  <c r="AL88" i="9" s="1"/>
  <c r="W88" i="9"/>
  <c r="V88" i="9"/>
  <c r="U88" i="9"/>
  <c r="R88" i="9"/>
  <c r="Q88" i="9"/>
  <c r="P88" i="9"/>
  <c r="O88" i="9"/>
  <c r="N88" i="9"/>
  <c r="L88" i="9"/>
  <c r="K88" i="9"/>
  <c r="J88" i="9"/>
  <c r="F88" i="9"/>
  <c r="E88" i="9"/>
  <c r="D88" i="9"/>
  <c r="C88" i="9"/>
  <c r="B88" i="9"/>
  <c r="A88" i="9"/>
  <c r="CB87" i="9"/>
  <c r="CA87" i="9"/>
  <c r="BZ87" i="9"/>
  <c r="BY87" i="9"/>
  <c r="BX87" i="9"/>
  <c r="BW87" i="9"/>
  <c r="BS87" i="9"/>
  <c r="BR87" i="9"/>
  <c r="BU87" i="9" s="1"/>
  <c r="BP87" i="9"/>
  <c r="BO87" i="9"/>
  <c r="BM87" i="9" s="1"/>
  <c r="BN87" i="9"/>
  <c r="BL87" i="9"/>
  <c r="BK87" i="9"/>
  <c r="BJ87" i="9"/>
  <c r="BI87" i="9"/>
  <c r="BH87" i="9"/>
  <c r="BA87" i="9"/>
  <c r="AY87" i="9" s="1"/>
  <c r="AZ87" i="9"/>
  <c r="AX87" i="9"/>
  <c r="AW87" i="9"/>
  <c r="AV87" i="9"/>
  <c r="AU87" i="9"/>
  <c r="AT87" i="9"/>
  <c r="AS87" i="9"/>
  <c r="BD87" i="9" s="1"/>
  <c r="BG87" i="9" s="1"/>
  <c r="AR87" i="9"/>
  <c r="BC87" i="9" s="1"/>
  <c r="AP87" i="9"/>
  <c r="AJ87" i="9"/>
  <c r="AF87" i="9"/>
  <c r="AD87" i="9" s="1"/>
  <c r="AE87" i="9"/>
  <c r="AB87" i="9"/>
  <c r="AC87" i="9" s="1"/>
  <c r="Y87" i="9"/>
  <c r="AM87" i="9" s="1"/>
  <c r="X87" i="9"/>
  <c r="AL87" i="9" s="1"/>
  <c r="V87" i="9"/>
  <c r="U87" i="9"/>
  <c r="R87" i="9"/>
  <c r="Q87" i="9"/>
  <c r="P87" i="9"/>
  <c r="N87" i="9"/>
  <c r="O87" i="9" s="1"/>
  <c r="AI87" i="9" s="1"/>
  <c r="L87" i="9"/>
  <c r="K87" i="9"/>
  <c r="J87" i="9"/>
  <c r="F87" i="9"/>
  <c r="E87" i="9"/>
  <c r="D87" i="9"/>
  <c r="C87" i="9"/>
  <c r="B87" i="9"/>
  <c r="A87" i="9"/>
  <c r="CB86" i="9"/>
  <c r="CA86" i="9"/>
  <c r="BZ86" i="9"/>
  <c r="BX86" i="9" s="1"/>
  <c r="BY86" i="9"/>
  <c r="BW86" i="9"/>
  <c r="BS86" i="9"/>
  <c r="BR86" i="9"/>
  <c r="BU86" i="9" s="1"/>
  <c r="BQ86" i="9"/>
  <c r="BT86" i="9" s="1"/>
  <c r="BP86" i="9"/>
  <c r="BO86" i="9"/>
  <c r="BM86" i="9" s="1"/>
  <c r="BN86" i="9"/>
  <c r="BL86" i="9"/>
  <c r="BK86" i="9"/>
  <c r="BJ86" i="9"/>
  <c r="BI86" i="9"/>
  <c r="BH86" i="9"/>
  <c r="BC86" i="9"/>
  <c r="BA86" i="9"/>
  <c r="AY86" i="9" s="1"/>
  <c r="AZ86" i="9"/>
  <c r="AX86" i="9"/>
  <c r="AW86" i="9"/>
  <c r="AV86" i="9"/>
  <c r="AU86" i="9"/>
  <c r="AT86" i="9"/>
  <c r="AS86" i="9"/>
  <c r="AR86" i="9"/>
  <c r="AP86" i="9"/>
  <c r="AM86" i="9"/>
  <c r="AJ86" i="9"/>
  <c r="AF86" i="9"/>
  <c r="AE86" i="9"/>
  <c r="AD86" i="9"/>
  <c r="AB86" i="9"/>
  <c r="AC86" i="9" s="1"/>
  <c r="Y86" i="9"/>
  <c r="X86" i="9"/>
  <c r="AL86" i="9" s="1"/>
  <c r="U86" i="9"/>
  <c r="V86" i="9" s="1"/>
  <c r="R86" i="9"/>
  <c r="Q86" i="9"/>
  <c r="P86" i="9" s="1"/>
  <c r="N86" i="9"/>
  <c r="O86" i="9" s="1"/>
  <c r="L86" i="9"/>
  <c r="J86" i="9"/>
  <c r="K86" i="9" s="1"/>
  <c r="F86" i="9"/>
  <c r="I86" i="9" s="1"/>
  <c r="E86" i="9"/>
  <c r="D86" i="9"/>
  <c r="B86" i="9"/>
  <c r="C86" i="9" s="1"/>
  <c r="A86" i="9"/>
  <c r="CB85" i="9"/>
  <c r="CA85" i="9"/>
  <c r="BZ85" i="9"/>
  <c r="BY85" i="9"/>
  <c r="BW85" i="9"/>
  <c r="BS85" i="9"/>
  <c r="BR85" i="9"/>
  <c r="BQ85" i="9"/>
  <c r="BT85" i="9" s="1"/>
  <c r="BP85" i="9"/>
  <c r="BO85" i="9"/>
  <c r="BN85" i="9"/>
  <c r="BM85" i="9"/>
  <c r="BL85" i="9"/>
  <c r="BK85" i="9"/>
  <c r="BJ85" i="9"/>
  <c r="BI85" i="9"/>
  <c r="BH85" i="9"/>
  <c r="BD85" i="9"/>
  <c r="BC85" i="9"/>
  <c r="BF85" i="9" s="1"/>
  <c r="BA85" i="9"/>
  <c r="AY85" i="9" s="1"/>
  <c r="AZ85" i="9"/>
  <c r="AX85" i="9"/>
  <c r="AW85" i="9"/>
  <c r="AV85" i="9"/>
  <c r="AU85" i="9" s="1"/>
  <c r="AT85" i="9"/>
  <c r="AS85" i="9"/>
  <c r="AQ85" i="9" s="1"/>
  <c r="BB85" i="9" s="1"/>
  <c r="BE85" i="9" s="1"/>
  <c r="AR85" i="9"/>
  <c r="AP85" i="9"/>
  <c r="AL85" i="9"/>
  <c r="AJ85" i="9"/>
  <c r="AF85" i="9"/>
  <c r="AE85" i="9"/>
  <c r="AD85" i="9"/>
  <c r="AB85" i="9"/>
  <c r="AC85" i="9" s="1"/>
  <c r="Y85" i="9"/>
  <c r="W85" i="9" s="1"/>
  <c r="AK85" i="9" s="1"/>
  <c r="X85" i="9"/>
  <c r="U85" i="9"/>
  <c r="V85" i="9" s="1"/>
  <c r="R85" i="9"/>
  <c r="Q85" i="9"/>
  <c r="P85" i="9"/>
  <c r="O85" i="9"/>
  <c r="N85" i="9"/>
  <c r="J85" i="9"/>
  <c r="L85" i="9" s="1"/>
  <c r="I85" i="9"/>
  <c r="H85" i="9"/>
  <c r="G85" i="9"/>
  <c r="F85" i="9"/>
  <c r="B85" i="9"/>
  <c r="D85" i="9" s="1"/>
  <c r="A85" i="9"/>
  <c r="CB84" i="9"/>
  <c r="CA84" i="9"/>
  <c r="BZ84" i="9"/>
  <c r="BX84" i="9" s="1"/>
  <c r="BY84" i="9"/>
  <c r="BW84" i="9"/>
  <c r="BS84" i="9"/>
  <c r="BR84" i="9"/>
  <c r="BU84" i="9" s="1"/>
  <c r="BP84" i="9"/>
  <c r="BO84" i="9"/>
  <c r="BN84" i="9"/>
  <c r="BM84" i="9"/>
  <c r="BL84" i="9"/>
  <c r="BK84" i="9"/>
  <c r="BI84" i="9" s="1"/>
  <c r="BJ84" i="9"/>
  <c r="BH84" i="9"/>
  <c r="BC84" i="9"/>
  <c r="BF84" i="9" s="1"/>
  <c r="BA84" i="9"/>
  <c r="AY84" i="9" s="1"/>
  <c r="AZ84" i="9"/>
  <c r="AX84" i="9"/>
  <c r="AW84" i="9"/>
  <c r="BD84" i="9" s="1"/>
  <c r="BG84" i="9" s="1"/>
  <c r="AV84" i="9"/>
  <c r="AT84" i="9"/>
  <c r="AS84" i="9"/>
  <c r="AQ84" i="9" s="1"/>
  <c r="AR84" i="9"/>
  <c r="AP84" i="9"/>
  <c r="AM84" i="9"/>
  <c r="AO84" i="9" s="1"/>
  <c r="AL84" i="9"/>
  <c r="AJ84" i="9"/>
  <c r="AF84" i="9"/>
  <c r="AE84" i="9"/>
  <c r="AD84" i="9"/>
  <c r="AB84" i="9"/>
  <c r="AC84" i="9" s="1"/>
  <c r="Y84" i="9"/>
  <c r="W84" i="9" s="1"/>
  <c r="X84" i="9"/>
  <c r="U84" i="9"/>
  <c r="V84" i="9" s="1"/>
  <c r="R84" i="9"/>
  <c r="Q84" i="9"/>
  <c r="P84" i="9"/>
  <c r="O84" i="9"/>
  <c r="N84" i="9"/>
  <c r="J84" i="9"/>
  <c r="I84" i="9"/>
  <c r="H84" i="9"/>
  <c r="G84" i="9"/>
  <c r="F84" i="9"/>
  <c r="B84" i="9"/>
  <c r="A84" i="9"/>
  <c r="CB83" i="9"/>
  <c r="CA83" i="9"/>
  <c r="BZ83" i="9"/>
  <c r="BX83" i="9" s="1"/>
  <c r="BY83" i="9"/>
  <c r="BW83" i="9"/>
  <c r="BU83" i="9"/>
  <c r="BS83" i="9"/>
  <c r="BQ83" i="9" s="1"/>
  <c r="BT83" i="9" s="1"/>
  <c r="BR83" i="9"/>
  <c r="BP83" i="9"/>
  <c r="BO83" i="9"/>
  <c r="BN83" i="9"/>
  <c r="BM83" i="9" s="1"/>
  <c r="BL83" i="9"/>
  <c r="BK83" i="9"/>
  <c r="BI83" i="9" s="1"/>
  <c r="BJ83" i="9"/>
  <c r="BH83" i="9"/>
  <c r="BE83" i="9"/>
  <c r="BA83" i="9"/>
  <c r="AZ83" i="9"/>
  <c r="AY83" i="9"/>
  <c r="AX83" i="9"/>
  <c r="AW83" i="9"/>
  <c r="BD83" i="9" s="1"/>
  <c r="AV83" i="9"/>
  <c r="BC83" i="9" s="1"/>
  <c r="AT83" i="9"/>
  <c r="AS83" i="9"/>
  <c r="AR83" i="9"/>
  <c r="AQ83" i="9"/>
  <c r="BB83" i="9" s="1"/>
  <c r="AP83" i="9"/>
  <c r="AJ83" i="9"/>
  <c r="AF83" i="9"/>
  <c r="AM83" i="9" s="1"/>
  <c r="AE83" i="9"/>
  <c r="AD83" i="9"/>
  <c r="AC83" i="9"/>
  <c r="AB83" i="9"/>
  <c r="Y83" i="9"/>
  <c r="X83" i="9"/>
  <c r="W83" i="9"/>
  <c r="V83" i="9"/>
  <c r="U83" i="9"/>
  <c r="R83" i="9"/>
  <c r="Q83" i="9"/>
  <c r="N83" i="9"/>
  <c r="O83" i="9" s="1"/>
  <c r="K83" i="9"/>
  <c r="J83" i="9"/>
  <c r="L83" i="9" s="1"/>
  <c r="I83" i="9"/>
  <c r="H83" i="9"/>
  <c r="G83" i="9"/>
  <c r="F83" i="9"/>
  <c r="C83" i="9"/>
  <c r="B83" i="9"/>
  <c r="A83" i="9"/>
  <c r="CB82" i="9"/>
  <c r="CA82" i="9"/>
  <c r="BZ82" i="9"/>
  <c r="BY82" i="9"/>
  <c r="BX82" i="9"/>
  <c r="BW82" i="9"/>
  <c r="BU82" i="9"/>
  <c r="BT82" i="9"/>
  <c r="BS82" i="9"/>
  <c r="BQ82" i="9" s="1"/>
  <c r="BR82" i="9"/>
  <c r="BP82" i="9"/>
  <c r="BO82" i="9"/>
  <c r="BV82" i="9" s="1"/>
  <c r="BN82" i="9"/>
  <c r="BL82" i="9"/>
  <c r="BK82" i="9"/>
  <c r="BI82" i="9" s="1"/>
  <c r="BJ82" i="9"/>
  <c r="BH82" i="9"/>
  <c r="BE82" i="9"/>
  <c r="BD82" i="9"/>
  <c r="BG82" i="9" s="1"/>
  <c r="BA82" i="9"/>
  <c r="AZ82" i="9"/>
  <c r="AY82" i="9"/>
  <c r="AX82" i="9"/>
  <c r="AW82" i="9"/>
  <c r="AV82" i="9"/>
  <c r="AT82" i="9"/>
  <c r="AS82" i="9"/>
  <c r="AR82" i="9"/>
  <c r="BC82" i="9" s="1"/>
  <c r="BF82" i="9" s="1"/>
  <c r="AQ82" i="9"/>
  <c r="BB82" i="9" s="1"/>
  <c r="AP82" i="9"/>
  <c r="AJ82" i="9"/>
  <c r="AF82" i="9"/>
  <c r="AM82" i="9" s="1"/>
  <c r="AO82" i="9" s="1"/>
  <c r="AE82" i="9"/>
  <c r="AL82" i="9" s="1"/>
  <c r="AC82" i="9"/>
  <c r="AB82" i="9"/>
  <c r="Y82" i="9"/>
  <c r="X82" i="9"/>
  <c r="W82" i="9"/>
  <c r="U82" i="9"/>
  <c r="V82" i="9" s="1"/>
  <c r="AI82" i="9" s="1"/>
  <c r="R82" i="9"/>
  <c r="P82" i="9" s="1"/>
  <c r="Q82" i="9"/>
  <c r="N82" i="9"/>
  <c r="O82" i="9" s="1"/>
  <c r="J82" i="9"/>
  <c r="L82" i="9" s="1"/>
  <c r="I82" i="9"/>
  <c r="H82" i="9"/>
  <c r="F82" i="9"/>
  <c r="G82" i="9" s="1"/>
  <c r="C82" i="9"/>
  <c r="B82" i="9"/>
  <c r="E82" i="9" s="1"/>
  <c r="A82" i="9"/>
  <c r="CB81" i="9"/>
  <c r="CA81" i="9"/>
  <c r="BZ81" i="9"/>
  <c r="BY81" i="9"/>
  <c r="BX81" i="9"/>
  <c r="BW81" i="9"/>
  <c r="BV81" i="9"/>
  <c r="BU81" i="9"/>
  <c r="BS81" i="9"/>
  <c r="BR81" i="9"/>
  <c r="BQ81" i="9"/>
  <c r="BT81" i="9" s="1"/>
  <c r="BP81" i="9"/>
  <c r="BO81" i="9"/>
  <c r="BN81" i="9"/>
  <c r="BM81" i="9" s="1"/>
  <c r="BL81" i="9"/>
  <c r="BK81" i="9"/>
  <c r="BJ81" i="9"/>
  <c r="BI81" i="9"/>
  <c r="BH81" i="9"/>
  <c r="BA81" i="9"/>
  <c r="AZ81" i="9"/>
  <c r="AY81" i="9" s="1"/>
  <c r="AX81" i="9"/>
  <c r="AW81" i="9"/>
  <c r="AU81" i="9" s="1"/>
  <c r="AV81" i="9"/>
  <c r="AT81" i="9"/>
  <c r="AS81" i="9"/>
  <c r="BD81" i="9" s="1"/>
  <c r="BG81" i="9" s="1"/>
  <c r="AR81" i="9"/>
  <c r="AQ81" i="9"/>
  <c r="BB81" i="9" s="1"/>
  <c r="BE81" i="9" s="1"/>
  <c r="AP81" i="9"/>
  <c r="AC81" i="9"/>
  <c r="AB81" i="9"/>
  <c r="U81" i="9"/>
  <c r="V81" i="9" s="1"/>
  <c r="N81" i="9"/>
  <c r="O81" i="9" s="1"/>
  <c r="AI81" i="9" s="1"/>
  <c r="L81" i="9"/>
  <c r="K81" i="9"/>
  <c r="J81" i="9"/>
  <c r="F81" i="9"/>
  <c r="E81" i="9"/>
  <c r="D81" i="9"/>
  <c r="C81" i="9"/>
  <c r="A81" i="9"/>
  <c r="CB80" i="9"/>
  <c r="CA80" i="9"/>
  <c r="BZ80" i="9"/>
  <c r="BY80" i="9"/>
  <c r="BX80" i="9" s="1"/>
  <c r="BW80" i="9"/>
  <c r="BS80" i="9"/>
  <c r="BR80" i="9"/>
  <c r="BU80" i="9" s="1"/>
  <c r="BQ80" i="9"/>
  <c r="BP80" i="9"/>
  <c r="BO80" i="9"/>
  <c r="BM80" i="9" s="1"/>
  <c r="BN80" i="9"/>
  <c r="BL80" i="9"/>
  <c r="BK80" i="9"/>
  <c r="BJ80" i="9"/>
  <c r="BI80" i="9"/>
  <c r="BH80" i="9"/>
  <c r="BA80" i="9"/>
  <c r="AZ80" i="9"/>
  <c r="AY80" i="9" s="1"/>
  <c r="AX80" i="9"/>
  <c r="AW80" i="9"/>
  <c r="AU80" i="9" s="1"/>
  <c r="AV80" i="9"/>
  <c r="AT80" i="9"/>
  <c r="AS80" i="9"/>
  <c r="BD80" i="9" s="1"/>
  <c r="AR80" i="9"/>
  <c r="AQ80" i="9"/>
  <c r="AP80" i="9"/>
  <c r="AJ80" i="9"/>
  <c r="AF80" i="9"/>
  <c r="AE80" i="9"/>
  <c r="AB80" i="9"/>
  <c r="AC80" i="9" s="1"/>
  <c r="Y80" i="9"/>
  <c r="X80" i="9"/>
  <c r="AL80" i="9" s="1"/>
  <c r="W80" i="9"/>
  <c r="V80" i="9"/>
  <c r="AI80" i="9" s="1"/>
  <c r="U80" i="9"/>
  <c r="R80" i="9"/>
  <c r="Q80" i="9"/>
  <c r="P80" i="9"/>
  <c r="O80" i="9"/>
  <c r="N80" i="9"/>
  <c r="L80" i="9"/>
  <c r="K80" i="9"/>
  <c r="J80" i="9"/>
  <c r="F80" i="9"/>
  <c r="E80" i="9"/>
  <c r="D80" i="9"/>
  <c r="C80" i="9"/>
  <c r="B80" i="9"/>
  <c r="A80" i="9"/>
  <c r="CB79" i="9"/>
  <c r="CA79" i="9"/>
  <c r="BZ79" i="9"/>
  <c r="BX79" i="9" s="1"/>
  <c r="BY79" i="9"/>
  <c r="BW79" i="9"/>
  <c r="BS79" i="9"/>
  <c r="BR79" i="9"/>
  <c r="BU79" i="9" s="1"/>
  <c r="BQ79" i="9"/>
  <c r="BP79" i="9"/>
  <c r="BO79" i="9"/>
  <c r="BM79" i="9" s="1"/>
  <c r="BN79" i="9"/>
  <c r="BL79" i="9"/>
  <c r="BK79" i="9"/>
  <c r="BJ79" i="9"/>
  <c r="BI79" i="9"/>
  <c r="BH79" i="9"/>
  <c r="BG79" i="9"/>
  <c r="BB79" i="9"/>
  <c r="BA79" i="9"/>
  <c r="AZ79" i="9"/>
  <c r="AY79" i="9"/>
  <c r="AX79" i="9"/>
  <c r="AW79" i="9"/>
  <c r="AV79" i="9"/>
  <c r="AU79" i="9"/>
  <c r="AT79" i="9"/>
  <c r="AS79" i="9"/>
  <c r="BD79" i="9" s="1"/>
  <c r="AR79" i="9"/>
  <c r="BC79" i="9" s="1"/>
  <c r="AQ79" i="9"/>
  <c r="AP79" i="9"/>
  <c r="AJ79" i="9"/>
  <c r="AF79" i="9"/>
  <c r="AD79" i="9" s="1"/>
  <c r="AE79" i="9"/>
  <c r="AB79" i="9"/>
  <c r="AC79" i="9" s="1"/>
  <c r="Y79" i="9"/>
  <c r="AM79" i="9" s="1"/>
  <c r="X79" i="9"/>
  <c r="AL79" i="9" s="1"/>
  <c r="W79" i="9"/>
  <c r="AK79" i="9" s="1"/>
  <c r="V79" i="9"/>
  <c r="U79" i="9"/>
  <c r="R79" i="9"/>
  <c r="Q79" i="9"/>
  <c r="P79" i="9"/>
  <c r="N79" i="9"/>
  <c r="O79" i="9" s="1"/>
  <c r="AI79" i="9" s="1"/>
  <c r="L79" i="9"/>
  <c r="K79" i="9"/>
  <c r="J79" i="9"/>
  <c r="G79" i="9"/>
  <c r="F79" i="9"/>
  <c r="E79" i="9"/>
  <c r="D79" i="9"/>
  <c r="C79" i="9"/>
  <c r="B79" i="9"/>
  <c r="A79" i="9"/>
  <c r="CB78" i="9"/>
  <c r="CA78" i="9"/>
  <c r="BZ78" i="9"/>
  <c r="BY78" i="9"/>
  <c r="BX78" i="9" s="1"/>
  <c r="BW78" i="9"/>
  <c r="BS78" i="9"/>
  <c r="BV78" i="9" s="1"/>
  <c r="BR78" i="9"/>
  <c r="BQ78" i="9"/>
  <c r="BP78" i="9"/>
  <c r="BO78" i="9"/>
  <c r="BM78" i="9" s="1"/>
  <c r="BN78" i="9"/>
  <c r="BL78" i="9"/>
  <c r="BK78" i="9"/>
  <c r="BI78" i="9" s="1"/>
  <c r="BJ78" i="9"/>
  <c r="BH78" i="9"/>
  <c r="BA78" i="9"/>
  <c r="AY78" i="9" s="1"/>
  <c r="AZ78" i="9"/>
  <c r="AX78" i="9"/>
  <c r="AW78" i="9"/>
  <c r="AV78" i="9"/>
  <c r="AU78" i="9"/>
  <c r="AT78" i="9"/>
  <c r="AS78" i="9"/>
  <c r="AR78" i="9"/>
  <c r="BC78" i="9" s="1"/>
  <c r="BF78" i="9" s="1"/>
  <c r="AP78" i="9"/>
  <c r="AL78" i="9"/>
  <c r="AJ78" i="9"/>
  <c r="AF78" i="9"/>
  <c r="AE78" i="9"/>
  <c r="AD78" i="9"/>
  <c r="AB78" i="9"/>
  <c r="AC78" i="9" s="1"/>
  <c r="Y78" i="9"/>
  <c r="W78" i="9" s="1"/>
  <c r="AK78" i="9" s="1"/>
  <c r="X78" i="9"/>
  <c r="U78" i="9"/>
  <c r="V78" i="9" s="1"/>
  <c r="R78" i="9"/>
  <c r="Q78" i="9"/>
  <c r="P78" i="9"/>
  <c r="N78" i="9"/>
  <c r="O78" i="9" s="1"/>
  <c r="AI78" i="9" s="1"/>
  <c r="L78" i="9"/>
  <c r="J78" i="9"/>
  <c r="K78" i="9" s="1"/>
  <c r="H78" i="9"/>
  <c r="G78" i="9"/>
  <c r="F78" i="9"/>
  <c r="I78" i="9" s="1"/>
  <c r="E78" i="9"/>
  <c r="D78" i="9"/>
  <c r="B78" i="9"/>
  <c r="C78" i="9" s="1"/>
  <c r="A78" i="9"/>
  <c r="CB77" i="9"/>
  <c r="CA77" i="9"/>
  <c r="BZ77" i="9"/>
  <c r="BX77" i="9" s="1"/>
  <c r="BY77" i="9"/>
  <c r="BW77" i="9"/>
  <c r="BS77" i="9"/>
  <c r="BQ77" i="9" s="1"/>
  <c r="BT77" i="9" s="1"/>
  <c r="BR77" i="9"/>
  <c r="BP77" i="9"/>
  <c r="BO77" i="9"/>
  <c r="BN77" i="9"/>
  <c r="BM77" i="9"/>
  <c r="BL77" i="9"/>
  <c r="BK77" i="9"/>
  <c r="BI77" i="9" s="1"/>
  <c r="BJ77" i="9"/>
  <c r="BH77" i="9"/>
  <c r="BA77" i="9"/>
  <c r="AY77" i="9" s="1"/>
  <c r="AZ77" i="9"/>
  <c r="AX77" i="9"/>
  <c r="AW77" i="9"/>
  <c r="AV77" i="9"/>
  <c r="BC77" i="9" s="1"/>
  <c r="BF77" i="9" s="1"/>
  <c r="AT77" i="9"/>
  <c r="AS77" i="9"/>
  <c r="AQ77" i="9" s="1"/>
  <c r="AR77" i="9"/>
  <c r="AP77" i="9"/>
  <c r="AL77" i="9"/>
  <c r="AJ77" i="9"/>
  <c r="AF77" i="9"/>
  <c r="AE77" i="9"/>
  <c r="AD77" i="9"/>
  <c r="AK77" i="9" s="1"/>
  <c r="AC77" i="9"/>
  <c r="AB77" i="9"/>
  <c r="Y77" i="9"/>
  <c r="W77" i="9" s="1"/>
  <c r="X77" i="9"/>
  <c r="U77" i="9"/>
  <c r="V77" i="9" s="1"/>
  <c r="R77" i="9"/>
  <c r="Q77" i="9"/>
  <c r="P77" i="9"/>
  <c r="O77" i="9"/>
  <c r="AI77" i="9" s="1"/>
  <c r="N77" i="9"/>
  <c r="J77" i="9"/>
  <c r="L77" i="9" s="1"/>
  <c r="I77" i="9"/>
  <c r="G77" i="9"/>
  <c r="F77" i="9"/>
  <c r="H77" i="9" s="1"/>
  <c r="B77" i="9"/>
  <c r="D77" i="9" s="1"/>
  <c r="A77" i="9"/>
  <c r="CB76" i="9"/>
  <c r="CA76" i="9"/>
  <c r="BZ76" i="9"/>
  <c r="BX76" i="9" s="1"/>
  <c r="BY76" i="9"/>
  <c r="BW76" i="9"/>
  <c r="BS76" i="9"/>
  <c r="BR76" i="9"/>
  <c r="BU76" i="9" s="1"/>
  <c r="BP76" i="9"/>
  <c r="BO76" i="9"/>
  <c r="BN76" i="9"/>
  <c r="BM76" i="9"/>
  <c r="BL76" i="9"/>
  <c r="BK76" i="9"/>
  <c r="BJ76" i="9"/>
  <c r="BH76" i="9"/>
  <c r="BA76" i="9"/>
  <c r="AY76" i="9" s="1"/>
  <c r="AZ76" i="9"/>
  <c r="AX76" i="9"/>
  <c r="AW76" i="9"/>
  <c r="BD76" i="9" s="1"/>
  <c r="BG76" i="9" s="1"/>
  <c r="AV76" i="9"/>
  <c r="BC76" i="9" s="1"/>
  <c r="BF76" i="9" s="1"/>
  <c r="AT76" i="9"/>
  <c r="AS76" i="9"/>
  <c r="AQ76" i="9" s="1"/>
  <c r="BB76" i="9" s="1"/>
  <c r="BE76" i="9" s="1"/>
  <c r="AR76" i="9"/>
  <c r="AP76" i="9"/>
  <c r="AM76" i="9"/>
  <c r="AO76" i="9" s="1"/>
  <c r="AL76" i="9"/>
  <c r="AJ76" i="9"/>
  <c r="AF76" i="9"/>
  <c r="AE76" i="9"/>
  <c r="AD76" i="9"/>
  <c r="AC76" i="9"/>
  <c r="AB76" i="9"/>
  <c r="Y76" i="9"/>
  <c r="W76" i="9" s="1"/>
  <c r="X76" i="9"/>
  <c r="U76" i="9"/>
  <c r="V76" i="9" s="1"/>
  <c r="R76" i="9"/>
  <c r="Q76" i="9"/>
  <c r="P76" i="9"/>
  <c r="O76" i="9"/>
  <c r="AI76" i="9" s="1"/>
  <c r="N76" i="9"/>
  <c r="J76" i="9"/>
  <c r="I76" i="9"/>
  <c r="H76" i="9"/>
  <c r="G76" i="9"/>
  <c r="F76" i="9"/>
  <c r="B76" i="9"/>
  <c r="A76" i="9"/>
  <c r="BZ75" i="9"/>
  <c r="BY75" i="9"/>
  <c r="BS75" i="9"/>
  <c r="BV75" i="9" s="1"/>
  <c r="BR75" i="9"/>
  <c r="BU75" i="9" s="1"/>
  <c r="BQ75" i="9"/>
  <c r="BT75" i="9" s="1"/>
  <c r="BO75" i="9"/>
  <c r="BM75" i="9" s="1"/>
  <c r="BN75" i="9"/>
  <c r="BK75" i="9"/>
  <c r="BJ75" i="9"/>
  <c r="BI75" i="9"/>
  <c r="BA75" i="9"/>
  <c r="AZ75" i="9"/>
  <c r="AY75" i="9"/>
  <c r="AW75" i="9"/>
  <c r="AV75" i="9"/>
  <c r="AS75" i="9"/>
  <c r="AR75" i="9"/>
  <c r="AQ75" i="9"/>
  <c r="BB75" i="9" s="1"/>
  <c r="BE75" i="9" s="1"/>
  <c r="AM75" i="9"/>
  <c r="AO75" i="9" s="1"/>
  <c r="AJ75" i="9"/>
  <c r="AF75" i="9"/>
  <c r="AE75" i="9"/>
  <c r="AD75" i="9"/>
  <c r="Y75" i="9"/>
  <c r="X75" i="9"/>
  <c r="AL75" i="9" s="1"/>
  <c r="W75" i="9"/>
  <c r="R75" i="9"/>
  <c r="P75" i="9" s="1"/>
  <c r="Q75" i="9"/>
  <c r="K75" i="9"/>
  <c r="J75" i="9"/>
  <c r="L75" i="9" s="1"/>
  <c r="I75" i="9"/>
  <c r="H75" i="9"/>
  <c r="G75" i="9"/>
  <c r="F75" i="9"/>
  <c r="B75" i="9"/>
  <c r="A75" i="9"/>
  <c r="BZ74" i="9"/>
  <c r="BX74" i="9" s="1"/>
  <c r="BY74" i="9"/>
  <c r="BS74" i="9"/>
  <c r="BV74" i="9" s="1"/>
  <c r="BR74" i="9"/>
  <c r="BU74" i="9" s="1"/>
  <c r="BO74" i="9"/>
  <c r="BM74" i="9" s="1"/>
  <c r="BN74" i="9"/>
  <c r="BK74" i="9"/>
  <c r="BJ74" i="9"/>
  <c r="BI74" i="9" s="1"/>
  <c r="BA74" i="9"/>
  <c r="AY74" i="9" s="1"/>
  <c r="AZ74" i="9"/>
  <c r="AW74" i="9"/>
  <c r="AU74" i="9" s="1"/>
  <c r="AV74" i="9"/>
  <c r="AS74" i="9"/>
  <c r="AR74" i="9"/>
  <c r="AQ74" i="9"/>
  <c r="AJ74" i="9"/>
  <c r="AF74" i="9"/>
  <c r="AE74" i="9"/>
  <c r="AD74" i="9"/>
  <c r="Y74" i="9"/>
  <c r="W74" i="9" s="1"/>
  <c r="X74" i="9"/>
  <c r="R74" i="9"/>
  <c r="Q74" i="9"/>
  <c r="P74" i="9"/>
  <c r="J74" i="9"/>
  <c r="L74" i="9" s="1"/>
  <c r="I74" i="9"/>
  <c r="H74" i="9"/>
  <c r="F74" i="9"/>
  <c r="G74" i="9" s="1"/>
  <c r="B74" i="9"/>
  <c r="E74" i="9" s="1"/>
  <c r="A74" i="9"/>
  <c r="BZ73" i="9"/>
  <c r="BX73" i="9" s="1"/>
  <c r="BY73" i="9"/>
  <c r="BS73" i="9"/>
  <c r="BR73" i="9"/>
  <c r="BO73" i="9"/>
  <c r="BN73" i="9"/>
  <c r="BM73" i="9"/>
  <c r="BK73" i="9"/>
  <c r="BJ73" i="9"/>
  <c r="BU73" i="9" s="1"/>
  <c r="BI73" i="9"/>
  <c r="BA73" i="9"/>
  <c r="AZ73" i="9"/>
  <c r="AY73" i="9"/>
  <c r="AW73" i="9"/>
  <c r="AU73" i="9" s="1"/>
  <c r="AV73" i="9"/>
  <c r="AS73" i="9"/>
  <c r="BD73" i="9" s="1"/>
  <c r="AR73" i="9"/>
  <c r="BC73" i="9" s="1"/>
  <c r="AJ73" i="9"/>
  <c r="AF73" i="9"/>
  <c r="AE73" i="9"/>
  <c r="AL73" i="9" s="1"/>
  <c r="AD73" i="9"/>
  <c r="AC73" i="9"/>
  <c r="AB73" i="9"/>
  <c r="Y73" i="9"/>
  <c r="X73" i="9"/>
  <c r="W73" i="9"/>
  <c r="V73" i="9"/>
  <c r="U73" i="9"/>
  <c r="R73" i="9"/>
  <c r="P73" i="9" s="1"/>
  <c r="Q73" i="9"/>
  <c r="J73" i="9"/>
  <c r="L73" i="9" s="1"/>
  <c r="F73" i="9"/>
  <c r="I73" i="9" s="1"/>
  <c r="B73" i="9"/>
  <c r="D73" i="9" s="1"/>
  <c r="A73" i="9"/>
  <c r="CB72" i="9"/>
  <c r="CA72" i="9"/>
  <c r="BZ72" i="9"/>
  <c r="BX72" i="9" s="1"/>
  <c r="BY72" i="9"/>
  <c r="BW72" i="9"/>
  <c r="BS72" i="9"/>
  <c r="BR72" i="9"/>
  <c r="BP72" i="9"/>
  <c r="BO72" i="9"/>
  <c r="BN72" i="9"/>
  <c r="BM72" i="9"/>
  <c r="BL72" i="9"/>
  <c r="BK72" i="9"/>
  <c r="BJ72" i="9"/>
  <c r="BU72" i="9" s="1"/>
  <c r="BH72" i="9"/>
  <c r="BD72" i="9"/>
  <c r="BC72" i="9"/>
  <c r="BA72" i="9"/>
  <c r="AY72" i="9" s="1"/>
  <c r="AZ72" i="9"/>
  <c r="AX72" i="9"/>
  <c r="AW72" i="9"/>
  <c r="AV72" i="9"/>
  <c r="AU72" i="9"/>
  <c r="AT72" i="9"/>
  <c r="AS72" i="9"/>
  <c r="AQ72" i="9" s="1"/>
  <c r="BB72" i="9" s="1"/>
  <c r="AR72" i="9"/>
  <c r="AP72" i="9"/>
  <c r="AJ72" i="9"/>
  <c r="AF72" i="9"/>
  <c r="AE72" i="9"/>
  <c r="AL72" i="9" s="1"/>
  <c r="AC72" i="9"/>
  <c r="AB72" i="9"/>
  <c r="Y72" i="9"/>
  <c r="W72" i="9" s="1"/>
  <c r="X72" i="9"/>
  <c r="U72" i="9"/>
  <c r="V72" i="9" s="1"/>
  <c r="R72" i="9"/>
  <c r="AM72" i="9" s="1"/>
  <c r="Q72" i="9"/>
  <c r="O72" i="9"/>
  <c r="AI72" i="9" s="1"/>
  <c r="N72" i="9"/>
  <c r="J72" i="9"/>
  <c r="I72" i="9"/>
  <c r="H72" i="9"/>
  <c r="G72" i="9"/>
  <c r="F72" i="9"/>
  <c r="B72" i="9"/>
  <c r="A72" i="9"/>
  <c r="CB71" i="9"/>
  <c r="CA71" i="9"/>
  <c r="BZ71" i="9"/>
  <c r="BX71" i="9" s="1"/>
  <c r="BY71" i="9"/>
  <c r="BW71" i="9"/>
  <c r="BS71" i="9"/>
  <c r="BQ71" i="9" s="1"/>
  <c r="BR71" i="9"/>
  <c r="BP71" i="9"/>
  <c r="BO71" i="9"/>
  <c r="BN71" i="9"/>
  <c r="BU71" i="9" s="1"/>
  <c r="BM71" i="9"/>
  <c r="BL71" i="9"/>
  <c r="BK71" i="9"/>
  <c r="BI71" i="9" s="1"/>
  <c r="BT71" i="9" s="1"/>
  <c r="BJ71" i="9"/>
  <c r="BH71" i="9"/>
  <c r="BD71" i="9"/>
  <c r="BC71" i="9"/>
  <c r="BF71" i="9" s="1"/>
  <c r="BA71" i="9"/>
  <c r="AZ71" i="9"/>
  <c r="AY71" i="9"/>
  <c r="AX71" i="9"/>
  <c r="AW71" i="9"/>
  <c r="AV71" i="9"/>
  <c r="AU71" i="9"/>
  <c r="AT71" i="9"/>
  <c r="AS71" i="9"/>
  <c r="AR71" i="9"/>
  <c r="AQ71" i="9"/>
  <c r="AP71" i="9"/>
  <c r="AM71" i="9"/>
  <c r="AO71" i="9" s="1"/>
  <c r="AJ71" i="9"/>
  <c r="AF71" i="9"/>
  <c r="AD71" i="9" s="1"/>
  <c r="AK71" i="9" s="1"/>
  <c r="AE71" i="9"/>
  <c r="AL71" i="9" s="1"/>
  <c r="AC71" i="9"/>
  <c r="AB71" i="9"/>
  <c r="Y71" i="9"/>
  <c r="X71" i="9"/>
  <c r="W71" i="9"/>
  <c r="U71" i="9"/>
  <c r="V71" i="9" s="1"/>
  <c r="R71" i="9"/>
  <c r="P71" i="9" s="1"/>
  <c r="Q71" i="9"/>
  <c r="N71" i="9"/>
  <c r="O71" i="9" s="1"/>
  <c r="J71" i="9"/>
  <c r="L71" i="9" s="1"/>
  <c r="I71" i="9"/>
  <c r="H71" i="9"/>
  <c r="G71" i="9"/>
  <c r="F71" i="9"/>
  <c r="B71" i="9"/>
  <c r="A71" i="9"/>
  <c r="CB70" i="9"/>
  <c r="CA70" i="9"/>
  <c r="BZ70" i="9"/>
  <c r="BY70" i="9"/>
  <c r="BX70" i="9"/>
  <c r="BW70" i="9"/>
  <c r="BU70" i="9"/>
  <c r="BS70" i="9"/>
  <c r="BQ70" i="9" s="1"/>
  <c r="BT70" i="9" s="1"/>
  <c r="BR70" i="9"/>
  <c r="BP70" i="9"/>
  <c r="BO70" i="9"/>
  <c r="BV70" i="9" s="1"/>
  <c r="BN70" i="9"/>
  <c r="BL70" i="9"/>
  <c r="BK70" i="9"/>
  <c r="BI70" i="9" s="1"/>
  <c r="BJ70" i="9"/>
  <c r="BH70" i="9"/>
  <c r="BA70" i="9"/>
  <c r="AZ70" i="9"/>
  <c r="AY70" i="9"/>
  <c r="AX70" i="9"/>
  <c r="AW70" i="9"/>
  <c r="AU70" i="9" s="1"/>
  <c r="AV70" i="9"/>
  <c r="AT70" i="9"/>
  <c r="AS70" i="9"/>
  <c r="AR70" i="9"/>
  <c r="AQ70" i="9"/>
  <c r="BB70" i="9" s="1"/>
  <c r="BE70" i="9" s="1"/>
  <c r="AP70" i="9"/>
  <c r="AJ70" i="9"/>
  <c r="AF70" i="9"/>
  <c r="AE70" i="9"/>
  <c r="AL70" i="9" s="1"/>
  <c r="AD70" i="9"/>
  <c r="AC70" i="9"/>
  <c r="AB70" i="9"/>
  <c r="Y70" i="9"/>
  <c r="X70" i="9"/>
  <c r="W70" i="9"/>
  <c r="V70" i="9"/>
  <c r="U70" i="9"/>
  <c r="R70" i="9"/>
  <c r="P70" i="9" s="1"/>
  <c r="Q70" i="9"/>
  <c r="N70" i="9"/>
  <c r="O70" i="9" s="1"/>
  <c r="AI70" i="9" s="1"/>
  <c r="L70" i="9"/>
  <c r="K70" i="9"/>
  <c r="J70" i="9"/>
  <c r="I70" i="9"/>
  <c r="H70" i="9"/>
  <c r="F70" i="9"/>
  <c r="G70" i="9" s="1"/>
  <c r="B70" i="9"/>
  <c r="E70" i="9" s="1"/>
  <c r="A70" i="9"/>
  <c r="CB69" i="9"/>
  <c r="CA69" i="9"/>
  <c r="BZ69" i="9"/>
  <c r="BY69" i="9"/>
  <c r="BX69" i="9"/>
  <c r="BW69" i="9"/>
  <c r="BV69" i="9"/>
  <c r="BS69" i="9"/>
  <c r="BR69" i="9"/>
  <c r="BQ69" i="9"/>
  <c r="BP69" i="9"/>
  <c r="BO69" i="9"/>
  <c r="BN69" i="9"/>
  <c r="BU69" i="9" s="1"/>
  <c r="BM69" i="9"/>
  <c r="BL69" i="9"/>
  <c r="BK69" i="9"/>
  <c r="BJ69" i="9"/>
  <c r="BI69" i="9"/>
  <c r="BH69" i="9"/>
  <c r="BA69" i="9"/>
  <c r="AZ69" i="9"/>
  <c r="AY69" i="9"/>
  <c r="AX69" i="9"/>
  <c r="AW69" i="9"/>
  <c r="AU69" i="9" s="1"/>
  <c r="AV69" i="9"/>
  <c r="AT69" i="9"/>
  <c r="AS69" i="9"/>
  <c r="BD69" i="9" s="1"/>
  <c r="AR69" i="9"/>
  <c r="BC69" i="9" s="1"/>
  <c r="AP69" i="9"/>
  <c r="AJ69" i="9"/>
  <c r="AI69" i="9"/>
  <c r="AF69" i="9"/>
  <c r="AE69" i="9"/>
  <c r="AL69" i="9" s="1"/>
  <c r="BF69" i="9" s="1"/>
  <c r="AB69" i="9"/>
  <c r="AC69" i="9" s="1"/>
  <c r="Y69" i="9"/>
  <c r="X69" i="9"/>
  <c r="W69" i="9" s="1"/>
  <c r="U69" i="9"/>
  <c r="V69" i="9" s="1"/>
  <c r="R69" i="9"/>
  <c r="P69" i="9" s="1"/>
  <c r="Q69" i="9"/>
  <c r="N69" i="9"/>
  <c r="O69" i="9" s="1"/>
  <c r="K69" i="9"/>
  <c r="J69" i="9"/>
  <c r="L69" i="9" s="1"/>
  <c r="F69" i="9"/>
  <c r="H69" i="9" s="1"/>
  <c r="E69" i="9"/>
  <c r="D69" i="9"/>
  <c r="C69" i="9"/>
  <c r="B69" i="9"/>
  <c r="A69" i="9"/>
  <c r="CB68" i="9"/>
  <c r="CA68" i="9"/>
  <c r="BZ68" i="9"/>
  <c r="BY68" i="9"/>
  <c r="BX68" i="9" s="1"/>
  <c r="BW68" i="9"/>
  <c r="BS68" i="9"/>
  <c r="BR68" i="9"/>
  <c r="BQ68" i="9"/>
  <c r="BP68" i="9"/>
  <c r="BO68" i="9"/>
  <c r="BM68" i="9" s="1"/>
  <c r="BN68" i="9"/>
  <c r="BL68" i="9"/>
  <c r="BK68" i="9"/>
  <c r="BJ68" i="9"/>
  <c r="BI68" i="9"/>
  <c r="BH68" i="9"/>
  <c r="BA68" i="9"/>
  <c r="AY68" i="9" s="1"/>
  <c r="AZ68" i="9"/>
  <c r="AX68" i="9"/>
  <c r="AW68" i="9"/>
  <c r="AU68" i="9" s="1"/>
  <c r="AV68" i="9"/>
  <c r="AT68" i="9"/>
  <c r="AS68" i="9"/>
  <c r="BD68" i="9" s="1"/>
  <c r="AR68" i="9"/>
  <c r="AQ68" i="9"/>
  <c r="AP68" i="9"/>
  <c r="AJ68" i="9"/>
  <c r="AF68" i="9"/>
  <c r="AE68" i="9"/>
  <c r="AB68" i="9"/>
  <c r="AC68" i="9" s="1"/>
  <c r="Y68" i="9"/>
  <c r="W68" i="9" s="1"/>
  <c r="X68" i="9"/>
  <c r="AL68" i="9" s="1"/>
  <c r="V68" i="9"/>
  <c r="U68" i="9"/>
  <c r="R68" i="9"/>
  <c r="Q68" i="9"/>
  <c r="P68" i="9"/>
  <c r="O68" i="9"/>
  <c r="AI68" i="9" s="1"/>
  <c r="N68" i="9"/>
  <c r="L68" i="9"/>
  <c r="K68" i="9"/>
  <c r="J68" i="9"/>
  <c r="F68" i="9"/>
  <c r="E68" i="9"/>
  <c r="D68" i="9"/>
  <c r="C68" i="9"/>
  <c r="B68" i="9"/>
  <c r="A68" i="9"/>
  <c r="CB67" i="9"/>
  <c r="CA67" i="9"/>
  <c r="BZ67" i="9"/>
  <c r="BX67" i="9" s="1"/>
  <c r="BY67" i="9"/>
  <c r="BW67" i="9"/>
  <c r="BS67" i="9"/>
  <c r="BR67" i="9"/>
  <c r="BQ67" i="9"/>
  <c r="BP67" i="9"/>
  <c r="BO67" i="9"/>
  <c r="BM67" i="9" s="1"/>
  <c r="BN67" i="9"/>
  <c r="BL67" i="9"/>
  <c r="BK67" i="9"/>
  <c r="BJ67" i="9"/>
  <c r="BI67" i="9" s="1"/>
  <c r="BH67" i="9"/>
  <c r="BA67" i="9"/>
  <c r="AZ67" i="9"/>
  <c r="AY67" i="9"/>
  <c r="AX67" i="9"/>
  <c r="AW67" i="9"/>
  <c r="AV67" i="9"/>
  <c r="AU67" i="9"/>
  <c r="AT67" i="9"/>
  <c r="AS67" i="9"/>
  <c r="BD67" i="9" s="1"/>
  <c r="BG67" i="9" s="1"/>
  <c r="AR67" i="9"/>
  <c r="BC67" i="9" s="1"/>
  <c r="AQ67" i="9"/>
  <c r="BB67" i="9" s="1"/>
  <c r="AP67" i="9"/>
  <c r="AJ67" i="9"/>
  <c r="AI67" i="9"/>
  <c r="AF67" i="9"/>
  <c r="AD67" i="9" s="1"/>
  <c r="AE67" i="9"/>
  <c r="AB67" i="9"/>
  <c r="AC67" i="9" s="1"/>
  <c r="Y67" i="9"/>
  <c r="AM67" i="9" s="1"/>
  <c r="X67" i="9"/>
  <c r="AL67" i="9" s="1"/>
  <c r="V67" i="9"/>
  <c r="U67" i="9"/>
  <c r="R67" i="9"/>
  <c r="Q67" i="9"/>
  <c r="P67" i="9"/>
  <c r="O67" i="9"/>
  <c r="N67" i="9"/>
  <c r="L67" i="9"/>
  <c r="K67" i="9"/>
  <c r="J67" i="9"/>
  <c r="G67" i="9"/>
  <c r="F67" i="9"/>
  <c r="E67" i="9"/>
  <c r="D67" i="9"/>
  <c r="C67" i="9"/>
  <c r="B67" i="9"/>
  <c r="A67" i="9"/>
  <c r="CB66" i="9"/>
  <c r="CA66" i="9"/>
  <c r="BZ66" i="9"/>
  <c r="BX66" i="9" s="1"/>
  <c r="BY66" i="9"/>
  <c r="BW66" i="9"/>
  <c r="BS66" i="9"/>
  <c r="BV66" i="9" s="1"/>
  <c r="BR66" i="9"/>
  <c r="BQ66" i="9"/>
  <c r="BP66" i="9"/>
  <c r="BO66" i="9"/>
  <c r="BM66" i="9" s="1"/>
  <c r="BN66" i="9"/>
  <c r="BL66" i="9"/>
  <c r="BK66" i="9"/>
  <c r="BJ66" i="9"/>
  <c r="BI66" i="9" s="1"/>
  <c r="BH66" i="9"/>
  <c r="BA66" i="9"/>
  <c r="AY66" i="9" s="1"/>
  <c r="AZ66" i="9"/>
  <c r="AX66" i="9"/>
  <c r="AW66" i="9"/>
  <c r="AV66" i="9"/>
  <c r="AU66" i="9"/>
  <c r="AT66" i="9"/>
  <c r="AS66" i="9"/>
  <c r="AR66" i="9"/>
  <c r="BC66" i="9" s="1"/>
  <c r="BF66" i="9" s="1"/>
  <c r="AP66" i="9"/>
  <c r="AJ66" i="9"/>
  <c r="AF66" i="9"/>
  <c r="AE66" i="9"/>
  <c r="AD66" i="9"/>
  <c r="AC66" i="9"/>
  <c r="AB66" i="9"/>
  <c r="Y66" i="9"/>
  <c r="W66" i="9" s="1"/>
  <c r="AK66" i="9" s="1"/>
  <c r="X66" i="9"/>
  <c r="U66" i="9"/>
  <c r="V66" i="9" s="1"/>
  <c r="R66" i="9"/>
  <c r="Q66" i="9"/>
  <c r="AL66" i="9" s="1"/>
  <c r="P66" i="9"/>
  <c r="O66" i="9"/>
  <c r="N66" i="9"/>
  <c r="L66" i="9"/>
  <c r="J66" i="9"/>
  <c r="K66" i="9" s="1"/>
  <c r="H66" i="9"/>
  <c r="G66" i="9"/>
  <c r="F66" i="9"/>
  <c r="I66" i="9" s="1"/>
  <c r="E66" i="9"/>
  <c r="D66" i="9"/>
  <c r="B66" i="9"/>
  <c r="C66" i="9" s="1"/>
  <c r="A66" i="9"/>
  <c r="CB65" i="9"/>
  <c r="CA65" i="9"/>
  <c r="BZ65" i="9"/>
  <c r="BX65" i="9" s="1"/>
  <c r="BY65" i="9"/>
  <c r="BW65" i="9"/>
  <c r="BS65" i="9"/>
  <c r="BR65" i="9"/>
  <c r="BQ65" i="9" s="1"/>
  <c r="BT65" i="9" s="1"/>
  <c r="BP65" i="9"/>
  <c r="BO65" i="9"/>
  <c r="BN65" i="9"/>
  <c r="BM65" i="9"/>
  <c r="BL65" i="9"/>
  <c r="BK65" i="9"/>
  <c r="BJ65" i="9"/>
  <c r="BI65" i="9" s="1"/>
  <c r="BH65" i="9"/>
  <c r="BA65" i="9"/>
  <c r="AY65" i="9" s="1"/>
  <c r="AZ65" i="9"/>
  <c r="AX65" i="9"/>
  <c r="AW65" i="9"/>
  <c r="AV65" i="9"/>
  <c r="BC65" i="9" s="1"/>
  <c r="BF65" i="9" s="1"/>
  <c r="AU65" i="9"/>
  <c r="AT65" i="9"/>
  <c r="AS65" i="9"/>
  <c r="AQ65" i="9" s="1"/>
  <c r="BB65" i="9" s="1"/>
  <c r="BE65" i="9" s="1"/>
  <c r="AR65" i="9"/>
  <c r="AP65" i="9"/>
  <c r="AL65" i="9"/>
  <c r="AJ65" i="9"/>
  <c r="AF65" i="9"/>
  <c r="AE65" i="9"/>
  <c r="AD65" i="9"/>
  <c r="AC65" i="9"/>
  <c r="AB65" i="9"/>
  <c r="Y65" i="9"/>
  <c r="W65" i="9" s="1"/>
  <c r="X65" i="9"/>
  <c r="U65" i="9"/>
  <c r="V65" i="9" s="1"/>
  <c r="R65" i="9"/>
  <c r="P65" i="9" s="1"/>
  <c r="AK65" i="9" s="1"/>
  <c r="Q65" i="9"/>
  <c r="O65" i="9"/>
  <c r="N65" i="9"/>
  <c r="J65" i="9"/>
  <c r="L65" i="9" s="1"/>
  <c r="I65" i="9"/>
  <c r="H65" i="9"/>
  <c r="G65" i="9"/>
  <c r="F65" i="9"/>
  <c r="B65" i="9"/>
  <c r="D65" i="9" s="1"/>
  <c r="A65" i="9"/>
  <c r="CB64" i="9"/>
  <c r="CA64" i="9"/>
  <c r="BW64" i="9"/>
  <c r="BP64" i="9"/>
  <c r="BL64" i="9"/>
  <c r="BH64" i="9"/>
  <c r="AX64" i="9"/>
  <c r="AT64" i="9"/>
  <c r="AP64" i="9"/>
  <c r="AI64" i="9"/>
  <c r="AB64" i="9"/>
  <c r="U64" i="9"/>
  <c r="R64" i="9"/>
  <c r="Q64" i="9"/>
  <c r="N64" i="9"/>
  <c r="E64" i="9"/>
  <c r="D64" i="9"/>
  <c r="C64" i="9"/>
  <c r="A64" i="9"/>
  <c r="AH59" i="9"/>
  <c r="AG59" i="9"/>
  <c r="AA59" i="9"/>
  <c r="Z59" i="9"/>
  <c r="T59" i="9"/>
  <c r="S59" i="9"/>
  <c r="CB58" i="9"/>
  <c r="CA58" i="9"/>
  <c r="BZ58" i="9"/>
  <c r="BX58" i="9" s="1"/>
  <c r="BY58" i="9"/>
  <c r="BW58" i="9"/>
  <c r="BS58" i="9"/>
  <c r="BV58" i="9" s="1"/>
  <c r="BR58" i="9"/>
  <c r="BU58" i="9" s="1"/>
  <c r="BP58" i="9"/>
  <c r="BO58" i="9"/>
  <c r="BM58" i="9" s="1"/>
  <c r="BN58" i="9"/>
  <c r="BL58" i="9"/>
  <c r="BK58" i="9"/>
  <c r="BJ58" i="9"/>
  <c r="BI58" i="9"/>
  <c r="BH58" i="9"/>
  <c r="BG58" i="9"/>
  <c r="BA58" i="9"/>
  <c r="AZ58" i="9"/>
  <c r="AY58" i="9" s="1"/>
  <c r="AX58" i="9"/>
  <c r="AW58" i="9"/>
  <c r="AV58" i="9"/>
  <c r="AU58" i="9"/>
  <c r="AT58" i="9"/>
  <c r="AS58" i="9"/>
  <c r="BD58" i="9" s="1"/>
  <c r="AR58" i="9"/>
  <c r="BC58" i="9" s="1"/>
  <c r="AP58" i="9"/>
  <c r="AJ58" i="9"/>
  <c r="AF58" i="9"/>
  <c r="AD58" i="9" s="1"/>
  <c r="AE58" i="9"/>
  <c r="AB58" i="9"/>
  <c r="AC58" i="9" s="1"/>
  <c r="Y58" i="9"/>
  <c r="AM58" i="9" s="1"/>
  <c r="X58" i="9"/>
  <c r="AL58" i="9" s="1"/>
  <c r="V58" i="9"/>
  <c r="U58" i="9"/>
  <c r="R58" i="9"/>
  <c r="Q58" i="9"/>
  <c r="P58" i="9"/>
  <c r="N58" i="9"/>
  <c r="O58" i="9" s="1"/>
  <c r="AI58" i="9" s="1"/>
  <c r="L58" i="9"/>
  <c r="K58" i="9"/>
  <c r="J58" i="9"/>
  <c r="F58" i="9"/>
  <c r="E58" i="9"/>
  <c r="D58" i="9"/>
  <c r="C58" i="9"/>
  <c r="B58" i="9"/>
  <c r="A58" i="9"/>
  <c r="CB57" i="9"/>
  <c r="CA57" i="9"/>
  <c r="BZ57" i="9"/>
  <c r="BY57" i="9"/>
  <c r="BX57" i="9"/>
  <c r="BW57" i="9"/>
  <c r="BS57" i="9"/>
  <c r="BQ57" i="9" s="1"/>
  <c r="BT57" i="9" s="1"/>
  <c r="BR57" i="9"/>
  <c r="BU57" i="9" s="1"/>
  <c r="BP57" i="9"/>
  <c r="BO57" i="9"/>
  <c r="BM57" i="9" s="1"/>
  <c r="BN57" i="9"/>
  <c r="BL57" i="9"/>
  <c r="BK57" i="9"/>
  <c r="BJ57" i="9"/>
  <c r="BI57" i="9"/>
  <c r="BH57" i="9"/>
  <c r="BA57" i="9"/>
  <c r="AZ57" i="9"/>
  <c r="AX57" i="9"/>
  <c r="AW57" i="9"/>
  <c r="AV57" i="9"/>
  <c r="AU57" i="9"/>
  <c r="AT57" i="9"/>
  <c r="AS57" i="9"/>
  <c r="AR57" i="9"/>
  <c r="BC57" i="9" s="1"/>
  <c r="AP57" i="9"/>
  <c r="AM57" i="9"/>
  <c r="AJ57" i="9"/>
  <c r="AF57" i="9"/>
  <c r="AE57" i="9"/>
  <c r="AD57" i="9"/>
  <c r="AB57" i="9"/>
  <c r="AC57" i="9" s="1"/>
  <c r="Y57" i="9"/>
  <c r="X57" i="9"/>
  <c r="AL57" i="9" s="1"/>
  <c r="U57" i="9"/>
  <c r="V57" i="9" s="1"/>
  <c r="R57" i="9"/>
  <c r="Q57" i="9"/>
  <c r="P57" i="9" s="1"/>
  <c r="N57" i="9"/>
  <c r="O57" i="9" s="1"/>
  <c r="AI57" i="9" s="1"/>
  <c r="L57" i="9"/>
  <c r="J57" i="9"/>
  <c r="K57" i="9" s="1"/>
  <c r="H57" i="9"/>
  <c r="F57" i="9"/>
  <c r="I57" i="9" s="1"/>
  <c r="E57" i="9"/>
  <c r="D57" i="9"/>
  <c r="B57" i="9"/>
  <c r="C57" i="9" s="1"/>
  <c r="A57" i="9"/>
  <c r="CB56" i="9"/>
  <c r="CA56" i="9"/>
  <c r="BZ56" i="9"/>
  <c r="BY56" i="9"/>
  <c r="BW56" i="9"/>
  <c r="BS56" i="9"/>
  <c r="BR56" i="9"/>
  <c r="BQ56" i="9"/>
  <c r="BT56" i="9" s="1"/>
  <c r="BP56" i="9"/>
  <c r="BO56" i="9"/>
  <c r="BN56" i="9"/>
  <c r="BM56" i="9"/>
  <c r="BL56" i="9"/>
  <c r="BK56" i="9"/>
  <c r="BJ56" i="9"/>
  <c r="BI56" i="9"/>
  <c r="BH56" i="9"/>
  <c r="BA56" i="9"/>
  <c r="AY56" i="9" s="1"/>
  <c r="AZ56" i="9"/>
  <c r="AX56" i="9"/>
  <c r="AW56" i="9"/>
  <c r="AV56" i="9"/>
  <c r="AU56" i="9" s="1"/>
  <c r="AT56" i="9"/>
  <c r="AS56" i="9"/>
  <c r="AQ56" i="9" s="1"/>
  <c r="AR56" i="9"/>
  <c r="AP56" i="9"/>
  <c r="AM56" i="9"/>
  <c r="AO56" i="9" s="1"/>
  <c r="AJ56" i="9"/>
  <c r="AF56" i="9"/>
  <c r="AE56" i="9"/>
  <c r="AD56" i="9"/>
  <c r="AK56" i="9" s="1"/>
  <c r="AB56" i="9"/>
  <c r="AC56" i="9" s="1"/>
  <c r="Y56" i="9"/>
  <c r="W56" i="9" s="1"/>
  <c r="X56" i="9"/>
  <c r="U56" i="9"/>
  <c r="V56" i="9" s="1"/>
  <c r="R56" i="9"/>
  <c r="Q56" i="9"/>
  <c r="AL56" i="9" s="1"/>
  <c r="P56" i="9"/>
  <c r="O56" i="9"/>
  <c r="AI56" i="9" s="1"/>
  <c r="N56" i="9"/>
  <c r="J56" i="9"/>
  <c r="L56" i="9" s="1"/>
  <c r="F56" i="9"/>
  <c r="I56" i="9" s="1"/>
  <c r="B56" i="9"/>
  <c r="D56" i="9" s="1"/>
  <c r="A56" i="9"/>
  <c r="CB55" i="9"/>
  <c r="CA55" i="9"/>
  <c r="BZ55" i="9"/>
  <c r="BX55" i="9" s="1"/>
  <c r="BY55" i="9"/>
  <c r="BW55" i="9"/>
  <c r="BS55" i="9"/>
  <c r="BR55" i="9"/>
  <c r="BU55" i="9" s="1"/>
  <c r="BP55" i="9"/>
  <c r="BO55" i="9"/>
  <c r="BN55" i="9"/>
  <c r="BM55" i="9"/>
  <c r="BL55" i="9"/>
  <c r="BK55" i="9"/>
  <c r="BI55" i="9" s="1"/>
  <c r="BJ55" i="9"/>
  <c r="BH55" i="9"/>
  <c r="BA55" i="9"/>
  <c r="AY55" i="9" s="1"/>
  <c r="AZ55" i="9"/>
  <c r="AX55" i="9"/>
  <c r="AW55" i="9"/>
  <c r="BD55" i="9" s="1"/>
  <c r="BG55" i="9" s="1"/>
  <c r="AV55" i="9"/>
  <c r="BC55" i="9" s="1"/>
  <c r="BF55" i="9" s="1"/>
  <c r="AT55" i="9"/>
  <c r="AS55" i="9"/>
  <c r="AQ55" i="9" s="1"/>
  <c r="AR55" i="9"/>
  <c r="AP55" i="9"/>
  <c r="AO55" i="9"/>
  <c r="AN55" i="9"/>
  <c r="AM55" i="9"/>
  <c r="AJ55" i="9"/>
  <c r="AF55" i="9"/>
  <c r="AE55" i="9"/>
  <c r="AL55" i="9" s="1"/>
  <c r="AD55" i="9"/>
  <c r="AB55" i="9"/>
  <c r="AC55" i="9" s="1"/>
  <c r="Y55" i="9"/>
  <c r="W55" i="9" s="1"/>
  <c r="X55" i="9"/>
  <c r="U55" i="9"/>
  <c r="V55" i="9" s="1"/>
  <c r="R55" i="9"/>
  <c r="Q55" i="9"/>
  <c r="P55" i="9"/>
  <c r="O55" i="9"/>
  <c r="N55" i="9"/>
  <c r="J55" i="9"/>
  <c r="I55" i="9"/>
  <c r="H55" i="9"/>
  <c r="G55" i="9"/>
  <c r="F55" i="9"/>
  <c r="B55" i="9"/>
  <c r="A55" i="9"/>
  <c r="CB54" i="9"/>
  <c r="CA54" i="9"/>
  <c r="BZ54" i="9"/>
  <c r="BX54" i="9" s="1"/>
  <c r="BY54" i="9"/>
  <c r="BW54" i="9"/>
  <c r="BU54" i="9"/>
  <c r="BS54" i="9"/>
  <c r="BQ54" i="9" s="1"/>
  <c r="BT54" i="9" s="1"/>
  <c r="BR54" i="9"/>
  <c r="BP54" i="9"/>
  <c r="BO54" i="9"/>
  <c r="BN54" i="9"/>
  <c r="BM54" i="9"/>
  <c r="BL54" i="9"/>
  <c r="BK54" i="9"/>
  <c r="BI54" i="9" s="1"/>
  <c r="BJ54" i="9"/>
  <c r="BH54" i="9"/>
  <c r="BD54" i="9"/>
  <c r="BC54" i="9"/>
  <c r="BF54" i="9" s="1"/>
  <c r="BA54" i="9"/>
  <c r="AZ54" i="9"/>
  <c r="AY54" i="9"/>
  <c r="AX54" i="9"/>
  <c r="AW54" i="9"/>
  <c r="AV54" i="9"/>
  <c r="AU54" i="9" s="1"/>
  <c r="AT54" i="9"/>
  <c r="AS54" i="9"/>
  <c r="AR54" i="9"/>
  <c r="AQ54" i="9"/>
  <c r="AP54" i="9"/>
  <c r="AJ54" i="9"/>
  <c r="AF54" i="9"/>
  <c r="AM54" i="9" s="1"/>
  <c r="AE54" i="9"/>
  <c r="AL54" i="9" s="1"/>
  <c r="AD54" i="9"/>
  <c r="AC54" i="9"/>
  <c r="AB54" i="9"/>
  <c r="Y54" i="9"/>
  <c r="X54" i="9"/>
  <c r="W54" i="9"/>
  <c r="V54" i="9"/>
  <c r="U54" i="9"/>
  <c r="R54" i="9"/>
  <c r="P54" i="9" s="1"/>
  <c r="Q54" i="9"/>
  <c r="N54" i="9"/>
  <c r="O54" i="9" s="1"/>
  <c r="K54" i="9"/>
  <c r="J54" i="9"/>
  <c r="L54" i="9" s="1"/>
  <c r="I54" i="9"/>
  <c r="H54" i="9"/>
  <c r="G54" i="9"/>
  <c r="F54" i="9"/>
  <c r="C54" i="9"/>
  <c r="B54" i="9"/>
  <c r="A54" i="9"/>
  <c r="CB53" i="9"/>
  <c r="CA53" i="9"/>
  <c r="BZ53" i="9"/>
  <c r="BY53" i="9"/>
  <c r="BX53" i="9"/>
  <c r="BW53" i="9"/>
  <c r="BS53" i="9"/>
  <c r="BQ53" i="9" s="1"/>
  <c r="BT53" i="9" s="1"/>
  <c r="BR53" i="9"/>
  <c r="BP53" i="9"/>
  <c r="BO53" i="9"/>
  <c r="BV53" i="9" s="1"/>
  <c r="BN53" i="9"/>
  <c r="BU53" i="9" s="1"/>
  <c r="BL53" i="9"/>
  <c r="BK53" i="9"/>
  <c r="BI53" i="9" s="1"/>
  <c r="BJ53" i="9"/>
  <c r="BH53" i="9"/>
  <c r="BE53" i="9"/>
  <c r="BA53" i="9"/>
  <c r="AZ53" i="9"/>
  <c r="AY53" i="9"/>
  <c r="AX53" i="9"/>
  <c r="AW53" i="9"/>
  <c r="AV53" i="9"/>
  <c r="AT53" i="9"/>
  <c r="AS53" i="9"/>
  <c r="AR53" i="9"/>
  <c r="AQ53" i="9"/>
  <c r="BB53" i="9" s="1"/>
  <c r="AP53" i="9"/>
  <c r="AJ53" i="9"/>
  <c r="AF53" i="9"/>
  <c r="AE53" i="9"/>
  <c r="AL53" i="9" s="1"/>
  <c r="AC53" i="9"/>
  <c r="AB53" i="9"/>
  <c r="Y53" i="9"/>
  <c r="X53" i="9"/>
  <c r="W53" i="9"/>
  <c r="U53" i="9"/>
  <c r="V53" i="9" s="1"/>
  <c r="R53" i="9"/>
  <c r="P53" i="9" s="1"/>
  <c r="Q53" i="9"/>
  <c r="N53" i="9"/>
  <c r="O53" i="9" s="1"/>
  <c r="AI53" i="9" s="1"/>
  <c r="L53" i="9"/>
  <c r="K53" i="9"/>
  <c r="J53" i="9"/>
  <c r="I53" i="9"/>
  <c r="H53" i="9"/>
  <c r="F53" i="9"/>
  <c r="G53" i="9" s="1"/>
  <c r="D53" i="9"/>
  <c r="C53" i="9"/>
  <c r="B53" i="9"/>
  <c r="E53" i="9" s="1"/>
  <c r="A53" i="9"/>
  <c r="CB52" i="9"/>
  <c r="CA52" i="9"/>
  <c r="BZ52" i="9"/>
  <c r="BY52" i="9"/>
  <c r="BX52" i="9"/>
  <c r="BW52" i="9"/>
  <c r="BU52" i="9"/>
  <c r="BS52" i="9"/>
  <c r="BR52" i="9"/>
  <c r="BQ52" i="9"/>
  <c r="BP52" i="9"/>
  <c r="BO52" i="9"/>
  <c r="BV52" i="9" s="1"/>
  <c r="BN52" i="9"/>
  <c r="BL52" i="9"/>
  <c r="BK52" i="9"/>
  <c r="BJ52" i="9"/>
  <c r="BI52" i="9"/>
  <c r="BH52" i="9"/>
  <c r="BA52" i="9"/>
  <c r="AZ52" i="9"/>
  <c r="AY52" i="9" s="1"/>
  <c r="AX52" i="9"/>
  <c r="AW52" i="9"/>
  <c r="AU52" i="9" s="1"/>
  <c r="AV52" i="9"/>
  <c r="AT52" i="9"/>
  <c r="AS52" i="9"/>
  <c r="BD52" i="9" s="1"/>
  <c r="AR52" i="9"/>
  <c r="BC52" i="9" s="1"/>
  <c r="BF52" i="9" s="1"/>
  <c r="AP52" i="9"/>
  <c r="AJ52" i="9"/>
  <c r="AF52" i="9"/>
  <c r="AE52" i="9"/>
  <c r="AL52" i="9" s="1"/>
  <c r="AB52" i="9"/>
  <c r="AC52" i="9" s="1"/>
  <c r="Y52" i="9"/>
  <c r="X52" i="9"/>
  <c r="W52" i="9"/>
  <c r="U52" i="9"/>
  <c r="V52" i="9" s="1"/>
  <c r="R52" i="9"/>
  <c r="P52" i="9" s="1"/>
  <c r="Q52" i="9"/>
  <c r="N52" i="9"/>
  <c r="O52" i="9" s="1"/>
  <c r="AI52" i="9" s="1"/>
  <c r="L52" i="9"/>
  <c r="J52" i="9"/>
  <c r="K52" i="9" s="1"/>
  <c r="F52" i="9"/>
  <c r="H52" i="9" s="1"/>
  <c r="B52" i="9"/>
  <c r="E52" i="9" s="1"/>
  <c r="A52" i="9"/>
  <c r="CB51" i="9"/>
  <c r="CA51" i="9"/>
  <c r="BZ51" i="9"/>
  <c r="BY51" i="9"/>
  <c r="BX51" i="9"/>
  <c r="BW51" i="9"/>
  <c r="BV51" i="9"/>
  <c r="BS51" i="9"/>
  <c r="BR51" i="9"/>
  <c r="BQ51" i="9"/>
  <c r="BP51" i="9"/>
  <c r="BO51" i="9"/>
  <c r="BN51" i="9"/>
  <c r="BL51" i="9"/>
  <c r="BK51" i="9"/>
  <c r="BJ51" i="9"/>
  <c r="BI51" i="9"/>
  <c r="BH51" i="9"/>
  <c r="BA51" i="9"/>
  <c r="AZ51" i="9"/>
  <c r="AY51" i="9"/>
  <c r="AX51" i="9"/>
  <c r="AW51" i="9"/>
  <c r="AU51" i="9" s="1"/>
  <c r="AV51" i="9"/>
  <c r="AT51" i="9"/>
  <c r="AS51" i="9"/>
  <c r="AQ51" i="9" s="1"/>
  <c r="BB51" i="9" s="1"/>
  <c r="AR51" i="9"/>
  <c r="BC51" i="9" s="1"/>
  <c r="BF51" i="9" s="1"/>
  <c r="AP51" i="9"/>
  <c r="AJ51" i="9"/>
  <c r="AF51" i="9"/>
  <c r="AE51" i="9"/>
  <c r="AB51" i="9"/>
  <c r="AC51" i="9" s="1"/>
  <c r="Y51" i="9"/>
  <c r="W51" i="9" s="1"/>
  <c r="X51" i="9"/>
  <c r="AL51" i="9" s="1"/>
  <c r="V51" i="9"/>
  <c r="U51" i="9"/>
  <c r="R51" i="9"/>
  <c r="Q51" i="9"/>
  <c r="P51" i="9"/>
  <c r="N51" i="9"/>
  <c r="O51" i="9" s="1"/>
  <c r="AI51" i="9" s="1"/>
  <c r="L51" i="9"/>
  <c r="K51" i="9"/>
  <c r="J51" i="9"/>
  <c r="F51" i="9"/>
  <c r="E51" i="9"/>
  <c r="D51" i="9"/>
  <c r="C51" i="9"/>
  <c r="B51" i="9"/>
  <c r="A51" i="9"/>
  <c r="CB50" i="9"/>
  <c r="CA50" i="9"/>
  <c r="BZ50" i="9"/>
  <c r="BY50" i="9"/>
  <c r="BX50" i="9"/>
  <c r="BW50" i="9"/>
  <c r="BS50" i="9"/>
  <c r="BV50" i="9" s="1"/>
  <c r="BR50" i="9"/>
  <c r="BP50" i="9"/>
  <c r="BO50" i="9"/>
  <c r="BM50" i="9" s="1"/>
  <c r="BN50" i="9"/>
  <c r="BL50" i="9"/>
  <c r="BK50" i="9"/>
  <c r="BJ50" i="9"/>
  <c r="BI50" i="9" s="1"/>
  <c r="BH50" i="9"/>
  <c r="BA50" i="9"/>
  <c r="AY50" i="9" s="1"/>
  <c r="AZ50" i="9"/>
  <c r="AX50" i="9"/>
  <c r="AW50" i="9"/>
  <c r="AV50" i="9"/>
  <c r="AU50" i="9"/>
  <c r="AT50" i="9"/>
  <c r="AS50" i="9"/>
  <c r="BD50" i="9" s="1"/>
  <c r="AR50" i="9"/>
  <c r="BC50" i="9" s="1"/>
  <c r="AP50" i="9"/>
  <c r="AJ50" i="9"/>
  <c r="AF50" i="9"/>
  <c r="AD50" i="9" s="1"/>
  <c r="AK50" i="9" s="1"/>
  <c r="AE50" i="9"/>
  <c r="AB50" i="9"/>
  <c r="AC50" i="9" s="1"/>
  <c r="Y50" i="9"/>
  <c r="W50" i="9" s="1"/>
  <c r="X50" i="9"/>
  <c r="AL50" i="9" s="1"/>
  <c r="V50" i="9"/>
  <c r="U50" i="9"/>
  <c r="R50" i="9"/>
  <c r="Q50" i="9"/>
  <c r="P50" i="9"/>
  <c r="O50" i="9"/>
  <c r="AI50" i="9" s="1"/>
  <c r="N50" i="9"/>
  <c r="L50" i="9"/>
  <c r="K50" i="9"/>
  <c r="J50" i="9"/>
  <c r="F50" i="9"/>
  <c r="E50" i="9"/>
  <c r="D50" i="9"/>
  <c r="C50" i="9"/>
  <c r="B50" i="9"/>
  <c r="A50" i="9"/>
  <c r="CB49" i="9"/>
  <c r="CA49" i="9"/>
  <c r="BZ49" i="9"/>
  <c r="BY49" i="9"/>
  <c r="BX49" i="9"/>
  <c r="BW49" i="9"/>
  <c r="BS49" i="9"/>
  <c r="BR49" i="9"/>
  <c r="BU49" i="9" s="1"/>
  <c r="BP49" i="9"/>
  <c r="BO49" i="9"/>
  <c r="BM49" i="9" s="1"/>
  <c r="BN49" i="9"/>
  <c r="BL49" i="9"/>
  <c r="BK49" i="9"/>
  <c r="BI49" i="9" s="1"/>
  <c r="BJ49" i="9"/>
  <c r="BH49" i="9"/>
  <c r="BA49" i="9"/>
  <c r="AZ49" i="9"/>
  <c r="BC49" i="9" s="1"/>
  <c r="BF49" i="9" s="1"/>
  <c r="AX49" i="9"/>
  <c r="AW49" i="9"/>
  <c r="AV49" i="9"/>
  <c r="AU49" i="9"/>
  <c r="AT49" i="9"/>
  <c r="AS49" i="9"/>
  <c r="AR49" i="9"/>
  <c r="AP49" i="9"/>
  <c r="AM49" i="9"/>
  <c r="AJ49" i="9"/>
  <c r="AF49" i="9"/>
  <c r="AE49" i="9"/>
  <c r="AD49" i="9"/>
  <c r="AC49" i="9"/>
  <c r="AB49" i="9"/>
  <c r="Y49" i="9"/>
  <c r="X49" i="9"/>
  <c r="AL49" i="9" s="1"/>
  <c r="U49" i="9"/>
  <c r="V49" i="9" s="1"/>
  <c r="R49" i="9"/>
  <c r="Q49" i="9"/>
  <c r="P49" i="9" s="1"/>
  <c r="O49" i="9"/>
  <c r="AI49" i="9" s="1"/>
  <c r="N49" i="9"/>
  <c r="L49" i="9"/>
  <c r="J49" i="9"/>
  <c r="K49" i="9" s="1"/>
  <c r="F49" i="9"/>
  <c r="I49" i="9" s="1"/>
  <c r="E49" i="9"/>
  <c r="D49" i="9"/>
  <c r="B49" i="9"/>
  <c r="C49" i="9" s="1"/>
  <c r="A49" i="9"/>
  <c r="CB48" i="9"/>
  <c r="CA48" i="9"/>
  <c r="BZ48" i="9"/>
  <c r="BY48" i="9"/>
  <c r="BW48" i="9"/>
  <c r="BS48" i="9"/>
  <c r="BR48" i="9"/>
  <c r="BP48" i="9"/>
  <c r="BO48" i="9"/>
  <c r="BN48" i="9"/>
  <c r="BM48" i="9"/>
  <c r="BL48" i="9"/>
  <c r="BK48" i="9"/>
  <c r="BI48" i="9" s="1"/>
  <c r="BJ48" i="9"/>
  <c r="BH48" i="9"/>
  <c r="BC48" i="9"/>
  <c r="BA48" i="9"/>
  <c r="AY48" i="9" s="1"/>
  <c r="AZ48" i="9"/>
  <c r="AX48" i="9"/>
  <c r="AW48" i="9"/>
  <c r="AV48" i="9"/>
  <c r="AU48" i="9"/>
  <c r="AT48" i="9"/>
  <c r="AS48" i="9"/>
  <c r="AQ48" i="9" s="1"/>
  <c r="BB48" i="9" s="1"/>
  <c r="AR48" i="9"/>
  <c r="AP48" i="9"/>
  <c r="AJ48" i="9"/>
  <c r="AF48" i="9"/>
  <c r="AE48" i="9"/>
  <c r="AD48" i="9"/>
  <c r="AB48" i="9"/>
  <c r="AC48" i="9" s="1"/>
  <c r="Y48" i="9"/>
  <c r="W48" i="9" s="1"/>
  <c r="X48" i="9"/>
  <c r="U48" i="9"/>
  <c r="V48" i="9" s="1"/>
  <c r="R48" i="9"/>
  <c r="P48" i="9" s="1"/>
  <c r="AK48" i="9" s="1"/>
  <c r="Q48" i="9"/>
  <c r="AL48" i="9" s="1"/>
  <c r="O48" i="9"/>
  <c r="N48" i="9"/>
  <c r="J48" i="9"/>
  <c r="L48" i="9" s="1"/>
  <c r="F48" i="9"/>
  <c r="I48" i="9" s="1"/>
  <c r="E48" i="9"/>
  <c r="B48" i="9"/>
  <c r="D48" i="9" s="1"/>
  <c r="A48" i="9"/>
  <c r="CB47" i="9"/>
  <c r="CA47" i="9"/>
  <c r="BZ47" i="9"/>
  <c r="BX47" i="9" s="1"/>
  <c r="BY47" i="9"/>
  <c r="BW47" i="9"/>
  <c r="BU47" i="9"/>
  <c r="BS47" i="9"/>
  <c r="BR47" i="9"/>
  <c r="BP47" i="9"/>
  <c r="BO47" i="9"/>
  <c r="BN47" i="9"/>
  <c r="BM47" i="9"/>
  <c r="BL47" i="9"/>
  <c r="BK47" i="9"/>
  <c r="BJ47" i="9"/>
  <c r="BH47" i="9"/>
  <c r="BD47" i="9"/>
  <c r="BA47" i="9"/>
  <c r="AY47" i="9" s="1"/>
  <c r="AZ47" i="9"/>
  <c r="AX47" i="9"/>
  <c r="AW47" i="9"/>
  <c r="AV47" i="9"/>
  <c r="BC47" i="9" s="1"/>
  <c r="BF47" i="9" s="1"/>
  <c r="AU47" i="9"/>
  <c r="AT47" i="9"/>
  <c r="AS47" i="9"/>
  <c r="AQ47" i="9" s="1"/>
  <c r="BB47" i="9" s="1"/>
  <c r="BE47" i="9" s="1"/>
  <c r="AR47" i="9"/>
  <c r="AP47" i="9"/>
  <c r="AL47" i="9"/>
  <c r="AJ47" i="9"/>
  <c r="AF47" i="9"/>
  <c r="AE47" i="9"/>
  <c r="AD47" i="9" s="1"/>
  <c r="AK47" i="9" s="1"/>
  <c r="AB47" i="9"/>
  <c r="AC47" i="9" s="1"/>
  <c r="Y47" i="9"/>
  <c r="W47" i="9" s="1"/>
  <c r="X47" i="9"/>
  <c r="U47" i="9"/>
  <c r="V47" i="9" s="1"/>
  <c r="R47" i="9"/>
  <c r="P47" i="9" s="1"/>
  <c r="Q47" i="9"/>
  <c r="O47" i="9"/>
  <c r="N47" i="9"/>
  <c r="J47" i="9"/>
  <c r="I47" i="9"/>
  <c r="H47" i="9"/>
  <c r="G47" i="9"/>
  <c r="F47" i="9"/>
  <c r="B47" i="9"/>
  <c r="A47" i="9"/>
  <c r="CB46" i="9"/>
  <c r="CA46" i="9"/>
  <c r="BZ46" i="9"/>
  <c r="BX46" i="9" s="1"/>
  <c r="BY46" i="9"/>
  <c r="BW46" i="9"/>
  <c r="BV46" i="9"/>
  <c r="BS46" i="9"/>
  <c r="BQ46" i="9" s="1"/>
  <c r="BT46" i="9" s="1"/>
  <c r="BR46" i="9"/>
  <c r="BP46" i="9"/>
  <c r="BO46" i="9"/>
  <c r="BN46" i="9"/>
  <c r="BU46" i="9" s="1"/>
  <c r="BL46" i="9"/>
  <c r="BK46" i="9"/>
  <c r="BI46" i="9" s="1"/>
  <c r="BJ46" i="9"/>
  <c r="BH46" i="9"/>
  <c r="BE46" i="9"/>
  <c r="BD46" i="9"/>
  <c r="BB46" i="9"/>
  <c r="BA46" i="9"/>
  <c r="AZ46" i="9"/>
  <c r="AY46" i="9"/>
  <c r="AX46" i="9"/>
  <c r="AW46" i="9"/>
  <c r="AU46" i="9" s="1"/>
  <c r="AV46" i="9"/>
  <c r="BC46" i="9" s="1"/>
  <c r="AT46" i="9"/>
  <c r="AS46" i="9"/>
  <c r="AR46" i="9"/>
  <c r="AQ46" i="9"/>
  <c r="AP46" i="9"/>
  <c r="AJ46" i="9"/>
  <c r="AF46" i="9"/>
  <c r="AE46" i="9"/>
  <c r="AD46" i="9"/>
  <c r="AC46" i="9"/>
  <c r="AB46" i="9"/>
  <c r="Y46" i="9"/>
  <c r="X46" i="9"/>
  <c r="W46" i="9"/>
  <c r="U46" i="9"/>
  <c r="V46" i="9" s="1"/>
  <c r="R46" i="9"/>
  <c r="AM46" i="9" s="1"/>
  <c r="Q46" i="9"/>
  <c r="N46" i="9"/>
  <c r="O46" i="9" s="1"/>
  <c r="AI46" i="9" s="1"/>
  <c r="K46" i="9"/>
  <c r="J46" i="9"/>
  <c r="L46" i="9" s="1"/>
  <c r="I46" i="9"/>
  <c r="H46" i="9"/>
  <c r="G46" i="9"/>
  <c r="F46" i="9"/>
  <c r="C46" i="9"/>
  <c r="B46" i="9"/>
  <c r="A46" i="9"/>
  <c r="CB45" i="9"/>
  <c r="CA45" i="9"/>
  <c r="BZ45" i="9"/>
  <c r="BY45" i="9"/>
  <c r="BX45" i="9"/>
  <c r="BW45" i="9"/>
  <c r="BU45" i="9"/>
  <c r="BS45" i="9"/>
  <c r="BQ45" i="9" s="1"/>
  <c r="BR45" i="9"/>
  <c r="BP45" i="9"/>
  <c r="BO45" i="9"/>
  <c r="BV45" i="9" s="1"/>
  <c r="BN45" i="9"/>
  <c r="BL45" i="9"/>
  <c r="BK45" i="9"/>
  <c r="BI45" i="9" s="1"/>
  <c r="BJ45" i="9"/>
  <c r="BH45" i="9"/>
  <c r="BD45" i="9"/>
  <c r="BG45" i="9" s="1"/>
  <c r="BA45" i="9"/>
  <c r="AZ45" i="9"/>
  <c r="AY45" i="9"/>
  <c r="AX45" i="9"/>
  <c r="AW45" i="9"/>
  <c r="AV45" i="9"/>
  <c r="BC45" i="9" s="1"/>
  <c r="BF45" i="9" s="1"/>
  <c r="AT45" i="9"/>
  <c r="AS45" i="9"/>
  <c r="AR45" i="9"/>
  <c r="AQ45" i="9"/>
  <c r="AP45" i="9"/>
  <c r="AJ45" i="9"/>
  <c r="AF45" i="9"/>
  <c r="AM45" i="9" s="1"/>
  <c r="AO45" i="9" s="1"/>
  <c r="AE45" i="9"/>
  <c r="AL45" i="9" s="1"/>
  <c r="AC45" i="9"/>
  <c r="AB45" i="9"/>
  <c r="Y45" i="9"/>
  <c r="X45" i="9"/>
  <c r="W45" i="9"/>
  <c r="U45" i="9"/>
  <c r="V45" i="9" s="1"/>
  <c r="AI45" i="9" s="1"/>
  <c r="R45" i="9"/>
  <c r="P45" i="9" s="1"/>
  <c r="Q45" i="9"/>
  <c r="N45" i="9"/>
  <c r="O45" i="9" s="1"/>
  <c r="J45" i="9"/>
  <c r="L45" i="9" s="1"/>
  <c r="I45" i="9"/>
  <c r="H45" i="9"/>
  <c r="F45" i="9"/>
  <c r="G45" i="9" s="1"/>
  <c r="B45" i="9"/>
  <c r="E45" i="9" s="1"/>
  <c r="A45" i="9"/>
  <c r="CB44" i="9"/>
  <c r="CA44" i="9"/>
  <c r="BZ44" i="9"/>
  <c r="BY44" i="9"/>
  <c r="BX44" i="9"/>
  <c r="BW44" i="9"/>
  <c r="BV44" i="9"/>
  <c r="BU44" i="9"/>
  <c r="BS44" i="9"/>
  <c r="BR44" i="9"/>
  <c r="BQ44" i="9"/>
  <c r="BP44" i="9"/>
  <c r="BO44" i="9"/>
  <c r="BN44" i="9"/>
  <c r="BM44" i="9"/>
  <c r="BT44" i="9" s="1"/>
  <c r="BL44" i="9"/>
  <c r="BK44" i="9"/>
  <c r="BJ44" i="9"/>
  <c r="BI44" i="9"/>
  <c r="BH44" i="9"/>
  <c r="BA44" i="9"/>
  <c r="AZ44" i="9"/>
  <c r="AY44" i="9" s="1"/>
  <c r="AX44" i="9"/>
  <c r="AW44" i="9"/>
  <c r="AV44" i="9"/>
  <c r="AT44" i="9"/>
  <c r="AS44" i="9"/>
  <c r="AR44" i="9"/>
  <c r="AQ44" i="9"/>
  <c r="AP44" i="9"/>
  <c r="AJ44" i="9"/>
  <c r="AI44" i="9"/>
  <c r="AF44" i="9"/>
  <c r="AE44" i="9"/>
  <c r="AL44" i="9" s="1"/>
  <c r="AB44" i="9"/>
  <c r="Y44" i="9"/>
  <c r="X44" i="9"/>
  <c r="W44" i="9"/>
  <c r="U44" i="9"/>
  <c r="R44" i="9"/>
  <c r="Q44" i="9"/>
  <c r="N44" i="9"/>
  <c r="J44" i="9"/>
  <c r="I44" i="9"/>
  <c r="H44" i="9"/>
  <c r="G44" i="9"/>
  <c r="F44" i="9"/>
  <c r="B44" i="9"/>
  <c r="A44" i="9"/>
  <c r="CB43" i="9"/>
  <c r="CA43" i="9"/>
  <c r="BZ43" i="9"/>
  <c r="BX43" i="9" s="1"/>
  <c r="BY43" i="9"/>
  <c r="BW43" i="9"/>
  <c r="BV43" i="9"/>
  <c r="BS43" i="9"/>
  <c r="BQ43" i="9" s="1"/>
  <c r="BT43" i="9" s="1"/>
  <c r="BR43" i="9"/>
  <c r="BP43" i="9"/>
  <c r="BO43" i="9"/>
  <c r="BN43" i="9"/>
  <c r="BU43" i="9" s="1"/>
  <c r="BL43" i="9"/>
  <c r="BK43" i="9"/>
  <c r="BI43" i="9" s="1"/>
  <c r="BJ43" i="9"/>
  <c r="BH43" i="9"/>
  <c r="BE43" i="9"/>
  <c r="BD43" i="9"/>
  <c r="BB43" i="9"/>
  <c r="BA43" i="9"/>
  <c r="AZ43" i="9"/>
  <c r="AY43" i="9"/>
  <c r="AX43" i="9"/>
  <c r="AW43" i="9"/>
  <c r="AU43" i="9" s="1"/>
  <c r="AV43" i="9"/>
  <c r="BC43" i="9" s="1"/>
  <c r="AT43" i="9"/>
  <c r="AS43" i="9"/>
  <c r="AR43" i="9"/>
  <c r="AQ43" i="9"/>
  <c r="AP43" i="9"/>
  <c r="AJ43" i="9"/>
  <c r="AF43" i="9"/>
  <c r="AE43" i="9"/>
  <c r="AD43" i="9"/>
  <c r="AC43" i="9"/>
  <c r="AB43" i="9"/>
  <c r="Y43" i="9"/>
  <c r="X43" i="9"/>
  <c r="W43" i="9"/>
  <c r="U43" i="9"/>
  <c r="V43" i="9" s="1"/>
  <c r="R43" i="9"/>
  <c r="AM43" i="9" s="1"/>
  <c r="Q43" i="9"/>
  <c r="N43" i="9"/>
  <c r="O43" i="9" s="1"/>
  <c r="AI43" i="9" s="1"/>
  <c r="K43" i="9"/>
  <c r="J43" i="9"/>
  <c r="L43" i="9" s="1"/>
  <c r="I43" i="9"/>
  <c r="H43" i="9"/>
  <c r="G43" i="9"/>
  <c r="F43" i="9"/>
  <c r="C43" i="9"/>
  <c r="B43" i="9"/>
  <c r="A43" i="9"/>
  <c r="CB42" i="9"/>
  <c r="CA42" i="9"/>
  <c r="BZ42" i="9"/>
  <c r="BY42" i="9"/>
  <c r="BX42" i="9"/>
  <c r="BW42" i="9"/>
  <c r="BU42" i="9"/>
  <c r="BT42" i="9"/>
  <c r="BS42" i="9"/>
  <c r="BQ42" i="9" s="1"/>
  <c r="BR42" i="9"/>
  <c r="BP42" i="9"/>
  <c r="BO42" i="9"/>
  <c r="BV42" i="9" s="1"/>
  <c r="BN42" i="9"/>
  <c r="BL42" i="9"/>
  <c r="BK42" i="9"/>
  <c r="BI42" i="9" s="1"/>
  <c r="BJ42" i="9"/>
  <c r="BH42" i="9"/>
  <c r="BE42" i="9"/>
  <c r="BD42" i="9"/>
  <c r="BG42" i="9" s="1"/>
  <c r="BA42" i="9"/>
  <c r="AZ42" i="9"/>
  <c r="AY42" i="9"/>
  <c r="AX42" i="9"/>
  <c r="AW42" i="9"/>
  <c r="AV42" i="9"/>
  <c r="BC42" i="9" s="1"/>
  <c r="BF42" i="9" s="1"/>
  <c r="AT42" i="9"/>
  <c r="AS42" i="9"/>
  <c r="AR42" i="9"/>
  <c r="AQ42" i="9"/>
  <c r="BB42" i="9" s="1"/>
  <c r="AP42" i="9"/>
  <c r="AJ42" i="9"/>
  <c r="AI42" i="9"/>
  <c r="AF42" i="9"/>
  <c r="AM42" i="9" s="1"/>
  <c r="AO42" i="9" s="1"/>
  <c r="AE42" i="9"/>
  <c r="AL42" i="9" s="1"/>
  <c r="AC42" i="9"/>
  <c r="AB42" i="9"/>
  <c r="Y42" i="9"/>
  <c r="X42" i="9"/>
  <c r="W42" i="9"/>
  <c r="U42" i="9"/>
  <c r="V42" i="9" s="1"/>
  <c r="R42" i="9"/>
  <c r="P42" i="9" s="1"/>
  <c r="Q42" i="9"/>
  <c r="N42" i="9"/>
  <c r="O42" i="9" s="1"/>
  <c r="J42" i="9"/>
  <c r="L42" i="9" s="1"/>
  <c r="I42" i="9"/>
  <c r="H42" i="9"/>
  <c r="F42" i="9"/>
  <c r="G42" i="9" s="1"/>
  <c r="B42" i="9"/>
  <c r="E42" i="9" s="1"/>
  <c r="A42" i="9"/>
  <c r="CB41" i="9"/>
  <c r="CA41" i="9"/>
  <c r="BZ41" i="9"/>
  <c r="BY41" i="9"/>
  <c r="BX41" i="9"/>
  <c r="BW41" i="9"/>
  <c r="BV41" i="9"/>
  <c r="BU41" i="9"/>
  <c r="BT41" i="9"/>
  <c r="BS41" i="9"/>
  <c r="BR41" i="9"/>
  <c r="BQ41" i="9"/>
  <c r="BP41" i="9"/>
  <c r="BO41" i="9"/>
  <c r="BN41" i="9"/>
  <c r="BM41" i="9"/>
  <c r="BL41" i="9"/>
  <c r="BK41" i="9"/>
  <c r="BJ41" i="9"/>
  <c r="BI41" i="9"/>
  <c r="BH41" i="9"/>
  <c r="BA41" i="9"/>
  <c r="AZ41" i="9"/>
  <c r="AY41" i="9"/>
  <c r="AX41" i="9"/>
  <c r="AW41" i="9"/>
  <c r="AV41" i="9"/>
  <c r="AT41" i="9"/>
  <c r="AS41" i="9"/>
  <c r="AR41" i="9"/>
  <c r="BC41" i="9" s="1"/>
  <c r="AP41" i="9"/>
  <c r="AJ41" i="9"/>
  <c r="AF41" i="9"/>
  <c r="AE41" i="9"/>
  <c r="AB41" i="9"/>
  <c r="AC41" i="9" s="1"/>
  <c r="Y41" i="9"/>
  <c r="X41" i="9"/>
  <c r="W41" i="9" s="1"/>
  <c r="U41" i="9"/>
  <c r="V41" i="9" s="1"/>
  <c r="R41" i="9"/>
  <c r="P41" i="9" s="1"/>
  <c r="Q41" i="9"/>
  <c r="N41" i="9"/>
  <c r="O41" i="9" s="1"/>
  <c r="AI41" i="9" s="1"/>
  <c r="L41" i="9"/>
  <c r="K41" i="9"/>
  <c r="J41" i="9"/>
  <c r="I41" i="9"/>
  <c r="F41" i="9"/>
  <c r="H41" i="9" s="1"/>
  <c r="D41" i="9"/>
  <c r="C41" i="9"/>
  <c r="B41" i="9"/>
  <c r="E41" i="9" s="1"/>
  <c r="A41" i="9"/>
  <c r="CB40" i="9"/>
  <c r="CA40" i="9"/>
  <c r="BZ40" i="9"/>
  <c r="BY40" i="9"/>
  <c r="BX40" i="9"/>
  <c r="BW40" i="9"/>
  <c r="BV40" i="9"/>
  <c r="BS40" i="9"/>
  <c r="BR40" i="9"/>
  <c r="BQ40" i="9"/>
  <c r="BT40" i="9" s="1"/>
  <c r="BP40" i="9"/>
  <c r="BO40" i="9"/>
  <c r="BN40" i="9"/>
  <c r="BU40" i="9" s="1"/>
  <c r="BL40" i="9"/>
  <c r="BK40" i="9"/>
  <c r="BJ40" i="9"/>
  <c r="BI40" i="9"/>
  <c r="BH40" i="9"/>
  <c r="BA40" i="9"/>
  <c r="AY40" i="9" s="1"/>
  <c r="AZ40" i="9"/>
  <c r="AX40" i="9"/>
  <c r="AW40" i="9"/>
  <c r="AU40" i="9" s="1"/>
  <c r="AV40" i="9"/>
  <c r="AT40" i="9"/>
  <c r="AS40" i="9"/>
  <c r="AR40" i="9"/>
  <c r="AQ40" i="9"/>
  <c r="BB40" i="9" s="1"/>
  <c r="BE40" i="9" s="1"/>
  <c r="AP40" i="9"/>
  <c r="AJ40" i="9"/>
  <c r="AF40" i="9"/>
  <c r="AE40" i="9"/>
  <c r="AB40" i="9"/>
  <c r="AC40" i="9" s="1"/>
  <c r="Y40" i="9"/>
  <c r="X40" i="9"/>
  <c r="W40" i="9"/>
  <c r="V40" i="9"/>
  <c r="U40" i="9"/>
  <c r="R40" i="9"/>
  <c r="Q40" i="9"/>
  <c r="P40" i="9"/>
  <c r="O40" i="9"/>
  <c r="AI40" i="9" s="1"/>
  <c r="N40" i="9"/>
  <c r="L40" i="9"/>
  <c r="K40" i="9"/>
  <c r="J40" i="9"/>
  <c r="F40" i="9"/>
  <c r="E40" i="9"/>
  <c r="D40" i="9"/>
  <c r="C40" i="9"/>
  <c r="B40" i="9"/>
  <c r="A40" i="9"/>
  <c r="CB39" i="9"/>
  <c r="CA39" i="9"/>
  <c r="BZ39" i="9"/>
  <c r="BY39" i="9"/>
  <c r="BX39" i="9"/>
  <c r="BW39" i="9"/>
  <c r="BS39" i="9"/>
  <c r="BR39" i="9"/>
  <c r="BU39" i="9" s="1"/>
  <c r="BP39" i="9"/>
  <c r="BO39" i="9"/>
  <c r="BN39" i="9"/>
  <c r="BL39" i="9"/>
  <c r="BK39" i="9"/>
  <c r="BJ39" i="9"/>
  <c r="BI39" i="9"/>
  <c r="BH39" i="9"/>
  <c r="BA39" i="9"/>
  <c r="AZ39" i="9"/>
  <c r="AY39" i="9"/>
  <c r="AX39" i="9"/>
  <c r="AW39" i="9"/>
  <c r="AV39" i="9"/>
  <c r="AU39" i="9"/>
  <c r="AT39" i="9"/>
  <c r="AS39" i="9"/>
  <c r="BD39" i="9" s="1"/>
  <c r="AR39" i="9"/>
  <c r="BC39" i="9" s="1"/>
  <c r="AQ39" i="9"/>
  <c r="BB39" i="9" s="1"/>
  <c r="BE39" i="9" s="1"/>
  <c r="AP39" i="9"/>
  <c r="AJ39" i="9"/>
  <c r="AF39" i="9"/>
  <c r="AD39" i="9" s="1"/>
  <c r="AE39" i="9"/>
  <c r="AB39" i="9"/>
  <c r="AC39" i="9" s="1"/>
  <c r="Y39" i="9"/>
  <c r="W39" i="9" s="1"/>
  <c r="X39" i="9"/>
  <c r="AL39" i="9" s="1"/>
  <c r="V39" i="9"/>
  <c r="U39" i="9"/>
  <c r="R39" i="9"/>
  <c r="Q39" i="9"/>
  <c r="P39" i="9"/>
  <c r="N39" i="9"/>
  <c r="O39" i="9" s="1"/>
  <c r="AI39" i="9" s="1"/>
  <c r="L39" i="9"/>
  <c r="K39" i="9"/>
  <c r="J39" i="9"/>
  <c r="F39" i="9"/>
  <c r="E39" i="9"/>
  <c r="D39" i="9"/>
  <c r="C39" i="9"/>
  <c r="B39" i="9"/>
  <c r="A39" i="9"/>
  <c r="CB38" i="9"/>
  <c r="CA38" i="9"/>
  <c r="BZ38" i="9"/>
  <c r="BX38" i="9" s="1"/>
  <c r="BY38" i="9"/>
  <c r="BW38" i="9"/>
  <c r="BS38" i="9"/>
  <c r="BR38" i="9"/>
  <c r="BP38" i="9"/>
  <c r="BO38" i="9"/>
  <c r="BM38" i="9" s="1"/>
  <c r="BN38" i="9"/>
  <c r="BL38" i="9"/>
  <c r="BK38" i="9"/>
  <c r="BI38" i="9" s="1"/>
  <c r="BJ38" i="9"/>
  <c r="BH38" i="9"/>
  <c r="BA38" i="9"/>
  <c r="AY38" i="9" s="1"/>
  <c r="AZ38" i="9"/>
  <c r="AX38" i="9"/>
  <c r="AW38" i="9"/>
  <c r="AV38" i="9"/>
  <c r="AU38" i="9"/>
  <c r="AT38" i="9"/>
  <c r="AS38" i="9"/>
  <c r="AR38" i="9"/>
  <c r="BC38" i="9" s="1"/>
  <c r="BF38" i="9" s="1"/>
  <c r="AP38" i="9"/>
  <c r="AM38" i="9"/>
  <c r="AL38" i="9"/>
  <c r="AJ38" i="9"/>
  <c r="AI38" i="9"/>
  <c r="AF38" i="9"/>
  <c r="AE38" i="9"/>
  <c r="AD38" i="9"/>
  <c r="AB38" i="9"/>
  <c r="Y38" i="9"/>
  <c r="W38" i="9" s="1"/>
  <c r="AK38" i="9" s="1"/>
  <c r="X38" i="9"/>
  <c r="U38" i="9"/>
  <c r="R38" i="9"/>
  <c r="Q38" i="9"/>
  <c r="P38" i="9"/>
  <c r="N38" i="9"/>
  <c r="L38" i="9"/>
  <c r="J38" i="9"/>
  <c r="K38" i="9" s="1"/>
  <c r="I38" i="9"/>
  <c r="F38" i="9"/>
  <c r="H38" i="9" s="1"/>
  <c r="E38" i="9"/>
  <c r="D38" i="9"/>
  <c r="C38" i="9"/>
  <c r="B38" i="9"/>
  <c r="A38" i="9"/>
  <c r="BZ37" i="9"/>
  <c r="BY37" i="9"/>
  <c r="BX37" i="9"/>
  <c r="BT37" i="9"/>
  <c r="BS37" i="9"/>
  <c r="BQ37" i="9" s="1"/>
  <c r="BR37" i="9"/>
  <c r="BO37" i="9"/>
  <c r="BN37" i="9"/>
  <c r="BM37" i="9"/>
  <c r="BK37" i="9"/>
  <c r="BV37" i="9" s="1"/>
  <c r="BJ37" i="9"/>
  <c r="BU37" i="9" s="1"/>
  <c r="BI37" i="9"/>
  <c r="BA37" i="9"/>
  <c r="AZ37" i="9"/>
  <c r="AW37" i="9"/>
  <c r="AV37" i="9"/>
  <c r="AU37" i="9"/>
  <c r="AS37" i="9"/>
  <c r="BD37" i="9" s="1"/>
  <c r="AR37" i="9"/>
  <c r="BC37" i="9" s="1"/>
  <c r="BF37" i="9" s="1"/>
  <c r="AP37" i="9"/>
  <c r="AJ37" i="9"/>
  <c r="AI37" i="9"/>
  <c r="AF37" i="9"/>
  <c r="AE37" i="9"/>
  <c r="AL37" i="9" s="1"/>
  <c r="AB37" i="9"/>
  <c r="AC37" i="9" s="1"/>
  <c r="Y37" i="9"/>
  <c r="X37" i="9"/>
  <c r="W37" i="9"/>
  <c r="V37" i="9"/>
  <c r="U37" i="9"/>
  <c r="R37" i="9"/>
  <c r="Q37" i="9"/>
  <c r="P37" i="9"/>
  <c r="J37" i="9"/>
  <c r="L37" i="9" s="1"/>
  <c r="I37" i="9"/>
  <c r="H37" i="9"/>
  <c r="F37" i="9"/>
  <c r="G37" i="9" s="1"/>
  <c r="D37" i="9"/>
  <c r="C37" i="9"/>
  <c r="B37" i="9"/>
  <c r="E37" i="9" s="1"/>
  <c r="A37" i="9"/>
  <c r="BZ36" i="9"/>
  <c r="BX36" i="9" s="1"/>
  <c r="BY36" i="9"/>
  <c r="BS36" i="9"/>
  <c r="BR36" i="9"/>
  <c r="BO36" i="9"/>
  <c r="BN36" i="9"/>
  <c r="BM36" i="9"/>
  <c r="BK36" i="9"/>
  <c r="BI36" i="9" s="1"/>
  <c r="BJ36" i="9"/>
  <c r="BU36" i="9" s="1"/>
  <c r="BA36" i="9"/>
  <c r="AZ36" i="9"/>
  <c r="AY36" i="9"/>
  <c r="AW36" i="9"/>
  <c r="AU36" i="9" s="1"/>
  <c r="AV36" i="9"/>
  <c r="AS36" i="9"/>
  <c r="BD36" i="9" s="1"/>
  <c r="AR36" i="9"/>
  <c r="BC36" i="9" s="1"/>
  <c r="BF36" i="9" s="1"/>
  <c r="AP36" i="9"/>
  <c r="AJ36" i="9"/>
  <c r="AF36" i="9"/>
  <c r="AE36" i="9"/>
  <c r="AL36" i="9" s="1"/>
  <c r="AB36" i="9"/>
  <c r="AC36" i="9" s="1"/>
  <c r="Y36" i="9"/>
  <c r="X36" i="9"/>
  <c r="W36" i="9"/>
  <c r="U36" i="9"/>
  <c r="V36" i="9" s="1"/>
  <c r="AI36" i="9" s="1"/>
  <c r="R36" i="9"/>
  <c r="P36" i="9" s="1"/>
  <c r="Q36" i="9"/>
  <c r="K36" i="9"/>
  <c r="J36" i="9"/>
  <c r="L36" i="9" s="1"/>
  <c r="I36" i="9"/>
  <c r="H36" i="9"/>
  <c r="G36" i="9"/>
  <c r="F36" i="9"/>
  <c r="C36" i="9"/>
  <c r="B36" i="9"/>
  <c r="A36" i="9"/>
  <c r="CB35" i="9"/>
  <c r="CA35" i="9"/>
  <c r="BZ35" i="9"/>
  <c r="BY35" i="9"/>
  <c r="BX35" i="9"/>
  <c r="BW35" i="9"/>
  <c r="BU35" i="9"/>
  <c r="BT35" i="9"/>
  <c r="BS35" i="9"/>
  <c r="BQ35" i="9" s="1"/>
  <c r="BR35" i="9"/>
  <c r="BP35" i="9"/>
  <c r="BO35" i="9"/>
  <c r="BV35" i="9" s="1"/>
  <c r="BN35" i="9"/>
  <c r="BL35" i="9"/>
  <c r="BK35" i="9"/>
  <c r="BI35" i="9" s="1"/>
  <c r="BJ35" i="9"/>
  <c r="BH35" i="9"/>
  <c r="BE35" i="9"/>
  <c r="BD35" i="9"/>
  <c r="BA35" i="9"/>
  <c r="AZ35" i="9"/>
  <c r="AY35" i="9"/>
  <c r="AX35" i="9"/>
  <c r="AW35" i="9"/>
  <c r="AV35" i="9"/>
  <c r="BC35" i="9" s="1"/>
  <c r="AT35" i="9"/>
  <c r="AS35" i="9"/>
  <c r="AR35" i="9"/>
  <c r="AQ35" i="9"/>
  <c r="BB35" i="9" s="1"/>
  <c r="AP35" i="9"/>
  <c r="AJ35" i="9"/>
  <c r="AI35" i="9"/>
  <c r="AF35" i="9"/>
  <c r="AD35" i="9" s="1"/>
  <c r="AK35" i="9" s="1"/>
  <c r="AE35" i="9"/>
  <c r="AB35" i="9"/>
  <c r="Y35" i="9"/>
  <c r="X35" i="9"/>
  <c r="W35" i="9"/>
  <c r="U35" i="9"/>
  <c r="R35" i="9"/>
  <c r="P35" i="9" s="1"/>
  <c r="Q35" i="9"/>
  <c r="N35" i="9"/>
  <c r="J35" i="9"/>
  <c r="L35" i="9" s="1"/>
  <c r="H35" i="9"/>
  <c r="G35" i="9"/>
  <c r="F35" i="9"/>
  <c r="I35" i="9" s="1"/>
  <c r="E35" i="9"/>
  <c r="B35" i="9"/>
  <c r="D35" i="9" s="1"/>
  <c r="A35" i="9"/>
  <c r="CB34" i="9"/>
  <c r="CA34" i="9"/>
  <c r="BZ34" i="9"/>
  <c r="BX34" i="9" s="1"/>
  <c r="BY34" i="9"/>
  <c r="BW34" i="9"/>
  <c r="BU34" i="9"/>
  <c r="BS34" i="9"/>
  <c r="BR34" i="9"/>
  <c r="BP34" i="9"/>
  <c r="BO34" i="9"/>
  <c r="BN34" i="9"/>
  <c r="BM34" i="9"/>
  <c r="BL34" i="9"/>
  <c r="BK34" i="9"/>
  <c r="BI34" i="9" s="1"/>
  <c r="BJ34" i="9"/>
  <c r="BH34" i="9"/>
  <c r="BD34" i="9"/>
  <c r="BC34" i="9"/>
  <c r="BA34" i="9"/>
  <c r="AY34" i="9" s="1"/>
  <c r="AZ34" i="9"/>
  <c r="AX34" i="9"/>
  <c r="AW34" i="9"/>
  <c r="AV34" i="9"/>
  <c r="AU34" i="9"/>
  <c r="AT34" i="9"/>
  <c r="AS34" i="9"/>
  <c r="AQ34" i="9" s="1"/>
  <c r="BB34" i="9" s="1"/>
  <c r="BE34" i="9" s="1"/>
  <c r="AR34" i="9"/>
  <c r="AP34" i="9"/>
  <c r="AJ34" i="9"/>
  <c r="AF34" i="9"/>
  <c r="AE34" i="9"/>
  <c r="AL34" i="9" s="1"/>
  <c r="AB34" i="9"/>
  <c r="Y34" i="9"/>
  <c r="W34" i="9" s="1"/>
  <c r="X34" i="9"/>
  <c r="U34" i="9"/>
  <c r="V34" i="9" s="1"/>
  <c r="AI34" i="9" s="1"/>
  <c r="R34" i="9"/>
  <c r="AM34" i="9" s="1"/>
  <c r="Q34" i="9"/>
  <c r="P34" i="9"/>
  <c r="N34" i="9"/>
  <c r="L34" i="9"/>
  <c r="J34" i="9"/>
  <c r="K34" i="9" s="1"/>
  <c r="F34" i="9"/>
  <c r="I34" i="9" s="1"/>
  <c r="E34" i="9"/>
  <c r="D34" i="9"/>
  <c r="B34" i="9"/>
  <c r="C34" i="9" s="1"/>
  <c r="A34" i="9"/>
  <c r="CB33" i="9"/>
  <c r="CA33" i="9"/>
  <c r="BZ33" i="9"/>
  <c r="BY33" i="9"/>
  <c r="BW33" i="9"/>
  <c r="BT33" i="9"/>
  <c r="BS33" i="9"/>
  <c r="BR33" i="9"/>
  <c r="BQ33" i="9"/>
  <c r="BP33" i="9"/>
  <c r="BO33" i="9"/>
  <c r="BN33" i="9"/>
  <c r="BM33" i="9"/>
  <c r="BL33" i="9"/>
  <c r="BK33" i="9"/>
  <c r="BI33" i="9" s="1"/>
  <c r="BJ33" i="9"/>
  <c r="BH33" i="9"/>
  <c r="BC33" i="9"/>
  <c r="BA33" i="9"/>
  <c r="AY33" i="9" s="1"/>
  <c r="AZ33" i="9"/>
  <c r="AX33" i="9"/>
  <c r="AW33" i="9"/>
  <c r="AV33" i="9"/>
  <c r="AU33" i="9"/>
  <c r="AT33" i="9"/>
  <c r="AS33" i="9"/>
  <c r="AQ33" i="9" s="1"/>
  <c r="BB33" i="9" s="1"/>
  <c r="BE33" i="9" s="1"/>
  <c r="AR33" i="9"/>
  <c r="AP33" i="9"/>
  <c r="AJ33" i="9"/>
  <c r="AF33" i="9"/>
  <c r="AE33" i="9"/>
  <c r="AD33" i="9"/>
  <c r="AB33" i="9"/>
  <c r="AC33" i="9" s="1"/>
  <c r="Y33" i="9"/>
  <c r="W33" i="9" s="1"/>
  <c r="X33" i="9"/>
  <c r="U33" i="9"/>
  <c r="V33" i="9" s="1"/>
  <c r="R33" i="9"/>
  <c r="P33" i="9" s="1"/>
  <c r="AK33" i="9" s="1"/>
  <c r="Q33" i="9"/>
  <c r="AL33" i="9" s="1"/>
  <c r="O33" i="9"/>
  <c r="AI33" i="9" s="1"/>
  <c r="N33" i="9"/>
  <c r="J33" i="9"/>
  <c r="L33" i="9" s="1"/>
  <c r="F33" i="9"/>
  <c r="I33" i="9" s="1"/>
  <c r="E33" i="9"/>
  <c r="B33" i="9"/>
  <c r="D33" i="9" s="1"/>
  <c r="A33" i="9"/>
  <c r="CB32" i="9"/>
  <c r="CA32" i="9"/>
  <c r="BZ32" i="9"/>
  <c r="BX32" i="9" s="1"/>
  <c r="BY32" i="9"/>
  <c r="BW32" i="9"/>
  <c r="BS32" i="9"/>
  <c r="BR32" i="9"/>
  <c r="BU32" i="9" s="1"/>
  <c r="BQ32" i="9"/>
  <c r="BT32" i="9" s="1"/>
  <c r="BP32" i="9"/>
  <c r="BO32" i="9"/>
  <c r="BN32" i="9"/>
  <c r="BM32" i="9"/>
  <c r="BL32" i="9"/>
  <c r="BK32" i="9"/>
  <c r="BJ32" i="9"/>
  <c r="BI32" i="9"/>
  <c r="BH32" i="9"/>
  <c r="BD32" i="9"/>
  <c r="BA32" i="9"/>
  <c r="AY32" i="9" s="1"/>
  <c r="AZ32" i="9"/>
  <c r="AX32" i="9"/>
  <c r="AW32" i="9"/>
  <c r="AV32" i="9"/>
  <c r="BC32" i="9" s="1"/>
  <c r="BF32" i="9" s="1"/>
  <c r="AU32" i="9"/>
  <c r="AT32" i="9"/>
  <c r="AS32" i="9"/>
  <c r="AQ32" i="9" s="1"/>
  <c r="BB32" i="9" s="1"/>
  <c r="BE32" i="9" s="1"/>
  <c r="AR32" i="9"/>
  <c r="AP32" i="9"/>
  <c r="AL32" i="9"/>
  <c r="AJ32" i="9"/>
  <c r="AF32" i="9"/>
  <c r="AE32" i="9"/>
  <c r="AD32" i="9"/>
  <c r="AK32" i="9" s="1"/>
  <c r="AC32" i="9"/>
  <c r="AB32" i="9"/>
  <c r="Y32" i="9"/>
  <c r="W32" i="9" s="1"/>
  <c r="X32" i="9"/>
  <c r="U32" i="9"/>
  <c r="V32" i="9" s="1"/>
  <c r="R32" i="9"/>
  <c r="Q32" i="9"/>
  <c r="P32" i="9"/>
  <c r="O32" i="9"/>
  <c r="AI32" i="9" s="1"/>
  <c r="N32" i="9"/>
  <c r="J32" i="9"/>
  <c r="F32" i="9"/>
  <c r="H32" i="9" s="1"/>
  <c r="B32" i="9"/>
  <c r="A32" i="9"/>
  <c r="CB31" i="9"/>
  <c r="CA31" i="9"/>
  <c r="BZ31" i="9"/>
  <c r="BX31" i="9" s="1"/>
  <c r="BY31" i="9"/>
  <c r="BW31" i="9"/>
  <c r="BS31" i="9"/>
  <c r="BR31" i="9"/>
  <c r="BU31" i="9" s="1"/>
  <c r="BP31" i="9"/>
  <c r="BO31" i="9"/>
  <c r="BN31" i="9"/>
  <c r="BM31" i="9"/>
  <c r="BL31" i="9"/>
  <c r="BK31" i="9"/>
  <c r="BI31" i="9" s="1"/>
  <c r="BJ31" i="9"/>
  <c r="BH31" i="9"/>
  <c r="BD31" i="9"/>
  <c r="BC31" i="9"/>
  <c r="BF31" i="9" s="1"/>
  <c r="BB31" i="9"/>
  <c r="BE31" i="9" s="1"/>
  <c r="BA31" i="9"/>
  <c r="AZ31" i="9"/>
  <c r="AY31" i="9"/>
  <c r="AX31" i="9"/>
  <c r="AW31" i="9"/>
  <c r="AV31" i="9"/>
  <c r="AU31" i="9"/>
  <c r="AT31" i="9"/>
  <c r="AS31" i="9"/>
  <c r="AR31" i="9"/>
  <c r="AQ31" i="9"/>
  <c r="AP31" i="9"/>
  <c r="AL31" i="9"/>
  <c r="AJ31" i="9"/>
  <c r="AI31" i="9"/>
  <c r="AF31" i="9"/>
  <c r="AE31" i="9"/>
  <c r="AD31" i="9"/>
  <c r="AB31" i="9"/>
  <c r="Y31" i="9"/>
  <c r="W31" i="9" s="1"/>
  <c r="X31" i="9"/>
  <c r="U31" i="9"/>
  <c r="R31" i="9"/>
  <c r="P31" i="9" s="1"/>
  <c r="Q31" i="9"/>
  <c r="N31" i="9"/>
  <c r="L31" i="9"/>
  <c r="J31" i="9"/>
  <c r="K31" i="9" s="1"/>
  <c r="I31" i="9"/>
  <c r="H31" i="9"/>
  <c r="G31" i="9"/>
  <c r="F31" i="9"/>
  <c r="E31" i="9"/>
  <c r="D31" i="9"/>
  <c r="B31" i="9"/>
  <c r="C31" i="9" s="1"/>
  <c r="A31" i="9"/>
  <c r="CB30" i="9"/>
  <c r="CA30" i="9"/>
  <c r="BZ30" i="9"/>
  <c r="BX30" i="9" s="1"/>
  <c r="BY30" i="9"/>
  <c r="BW30" i="9"/>
  <c r="BS30" i="9"/>
  <c r="BR30" i="9"/>
  <c r="BU30" i="9" s="1"/>
  <c r="BQ30" i="9"/>
  <c r="BT30" i="9" s="1"/>
  <c r="BP30" i="9"/>
  <c r="BO30" i="9"/>
  <c r="BN30" i="9"/>
  <c r="BM30" i="9"/>
  <c r="BL30" i="9"/>
  <c r="BK30" i="9"/>
  <c r="BJ30" i="9"/>
  <c r="BI30" i="9"/>
  <c r="BH30" i="9"/>
  <c r="BA30" i="9"/>
  <c r="AY30" i="9" s="1"/>
  <c r="AZ30" i="9"/>
  <c r="AX30" i="9"/>
  <c r="AW30" i="9"/>
  <c r="AU30" i="9" s="1"/>
  <c r="AV30" i="9"/>
  <c r="AT30" i="9"/>
  <c r="AS30" i="9"/>
  <c r="AR30" i="9"/>
  <c r="BC30" i="9" s="1"/>
  <c r="BF30" i="9" s="1"/>
  <c r="AP30" i="9"/>
  <c r="AJ30" i="9"/>
  <c r="AI30" i="9"/>
  <c r="AF30" i="9"/>
  <c r="AE30" i="9"/>
  <c r="AL30" i="9" s="1"/>
  <c r="AB30" i="9"/>
  <c r="Y30" i="9"/>
  <c r="AM30" i="9" s="1"/>
  <c r="X30" i="9"/>
  <c r="W30" i="9"/>
  <c r="U30" i="9"/>
  <c r="R30" i="9"/>
  <c r="Q30" i="9"/>
  <c r="P30" i="9" s="1"/>
  <c r="J30" i="9"/>
  <c r="L30" i="9" s="1"/>
  <c r="F30" i="9"/>
  <c r="E30" i="9"/>
  <c r="D30" i="9"/>
  <c r="C30" i="9"/>
  <c r="B30" i="9"/>
  <c r="A30" i="9"/>
  <c r="CB29" i="9"/>
  <c r="CA29" i="9"/>
  <c r="BZ29" i="9"/>
  <c r="BY29" i="9"/>
  <c r="BX29" i="9"/>
  <c r="BW29" i="9"/>
  <c r="BS29" i="9"/>
  <c r="BR29" i="9"/>
  <c r="BU29" i="9" s="1"/>
  <c r="BQ29" i="9"/>
  <c r="BP29" i="9"/>
  <c r="BO29" i="9"/>
  <c r="BV29" i="9" s="1"/>
  <c r="BN29" i="9"/>
  <c r="BL29" i="9"/>
  <c r="BK29" i="9"/>
  <c r="BJ29" i="9"/>
  <c r="BI29" i="9"/>
  <c r="BH29" i="9"/>
  <c r="BA29" i="9"/>
  <c r="AZ29" i="9"/>
  <c r="AY29" i="9"/>
  <c r="AX29" i="9"/>
  <c r="AW29" i="9"/>
  <c r="AU29" i="9" s="1"/>
  <c r="AV29" i="9"/>
  <c r="AT29" i="9"/>
  <c r="AS29" i="9"/>
  <c r="AR29" i="9"/>
  <c r="AQ29" i="9"/>
  <c r="BB29" i="9" s="1"/>
  <c r="AP29" i="9"/>
  <c r="AJ29" i="9"/>
  <c r="AI29" i="9"/>
  <c r="AF29" i="9"/>
  <c r="AE29" i="9"/>
  <c r="AB29" i="9"/>
  <c r="Y29" i="9"/>
  <c r="W29" i="9" s="1"/>
  <c r="X29" i="9"/>
  <c r="AL29" i="9" s="1"/>
  <c r="U29" i="9"/>
  <c r="R29" i="9"/>
  <c r="Q29" i="9"/>
  <c r="N29" i="9"/>
  <c r="J29" i="9"/>
  <c r="L29" i="9" s="1"/>
  <c r="I29" i="9"/>
  <c r="H29" i="9"/>
  <c r="G29" i="9"/>
  <c r="F29" i="9"/>
  <c r="D29" i="9"/>
  <c r="C29" i="9"/>
  <c r="B29" i="9"/>
  <c r="E29" i="9" s="1"/>
  <c r="A29" i="9"/>
  <c r="CB28" i="9"/>
  <c r="CA28" i="9"/>
  <c r="BZ28" i="9"/>
  <c r="BY28" i="9"/>
  <c r="BX28" i="9"/>
  <c r="BW28" i="9"/>
  <c r="BU28" i="9"/>
  <c r="BT28" i="9"/>
  <c r="BS28" i="9"/>
  <c r="BQ28" i="9" s="1"/>
  <c r="BR28" i="9"/>
  <c r="BP28" i="9"/>
  <c r="BO28" i="9"/>
  <c r="BV28" i="9" s="1"/>
  <c r="BN28" i="9"/>
  <c r="BL28" i="9"/>
  <c r="BK28" i="9"/>
  <c r="BI28" i="9" s="1"/>
  <c r="BJ28" i="9"/>
  <c r="BH28" i="9"/>
  <c r="BC28" i="9"/>
  <c r="BA28" i="9"/>
  <c r="AZ28" i="9"/>
  <c r="AY28" i="9"/>
  <c r="AX28" i="9"/>
  <c r="AW28" i="9"/>
  <c r="BD28" i="9" s="1"/>
  <c r="BG28" i="9" s="1"/>
  <c r="AV28" i="9"/>
  <c r="AT28" i="9"/>
  <c r="AS28" i="9"/>
  <c r="AQ28" i="9" s="1"/>
  <c r="BB28" i="9" s="1"/>
  <c r="BE28" i="9" s="1"/>
  <c r="AR28" i="9"/>
  <c r="AP28" i="9"/>
  <c r="AO28" i="9"/>
  <c r="AN28" i="9"/>
  <c r="AM28" i="9"/>
  <c r="AJ28" i="9"/>
  <c r="AI28" i="9"/>
  <c r="AF28" i="9"/>
  <c r="AE28" i="9"/>
  <c r="AD28" i="9"/>
  <c r="AB28" i="9"/>
  <c r="Y28" i="9"/>
  <c r="X28" i="9"/>
  <c r="W28" i="9" s="1"/>
  <c r="AK28" i="9" s="1"/>
  <c r="U28" i="9"/>
  <c r="R28" i="9"/>
  <c r="Q28" i="9"/>
  <c r="P28" i="9"/>
  <c r="N28" i="9"/>
  <c r="J28" i="9"/>
  <c r="L28" i="9" s="1"/>
  <c r="F28" i="9"/>
  <c r="H28" i="9" s="1"/>
  <c r="E28" i="9"/>
  <c r="C28" i="9"/>
  <c r="B28" i="9"/>
  <c r="D28" i="9" s="1"/>
  <c r="A28" i="9"/>
  <c r="CB27" i="9"/>
  <c r="CA27" i="9"/>
  <c r="BZ27" i="9"/>
  <c r="BY27" i="9"/>
  <c r="BW27" i="9"/>
  <c r="BV27" i="9"/>
  <c r="BS27" i="9"/>
  <c r="BQ27" i="9" s="1"/>
  <c r="BR27" i="9"/>
  <c r="BP27" i="9"/>
  <c r="BO27" i="9"/>
  <c r="BM27" i="9" s="1"/>
  <c r="BN27" i="9"/>
  <c r="BU27" i="9" s="1"/>
  <c r="BL27" i="9"/>
  <c r="BK27" i="9"/>
  <c r="BI27" i="9" s="1"/>
  <c r="BJ27" i="9"/>
  <c r="BH27" i="9"/>
  <c r="BD27" i="9"/>
  <c r="BA27" i="9"/>
  <c r="AZ27" i="9"/>
  <c r="AY27" i="9"/>
  <c r="AX27" i="9"/>
  <c r="AW27" i="9"/>
  <c r="AU27" i="9" s="1"/>
  <c r="AV27" i="9"/>
  <c r="BC27" i="9" s="1"/>
  <c r="AT27" i="9"/>
  <c r="AS27" i="9"/>
  <c r="AR27" i="9"/>
  <c r="AQ27" i="9"/>
  <c r="AP27" i="9"/>
  <c r="AJ27" i="9"/>
  <c r="AF27" i="9"/>
  <c r="AM27" i="9" s="1"/>
  <c r="AE27" i="9"/>
  <c r="AL27" i="9" s="1"/>
  <c r="AD27" i="9"/>
  <c r="AC27" i="9"/>
  <c r="AB27" i="9"/>
  <c r="Y27" i="9"/>
  <c r="X27" i="9"/>
  <c r="W27" i="9"/>
  <c r="V27" i="9"/>
  <c r="AI27" i="9" s="1"/>
  <c r="U27" i="9"/>
  <c r="R27" i="9"/>
  <c r="P27" i="9" s="1"/>
  <c r="Q27" i="9"/>
  <c r="O27" i="9"/>
  <c r="N27" i="9"/>
  <c r="L27" i="9"/>
  <c r="K27" i="9"/>
  <c r="J27" i="9"/>
  <c r="I27" i="9"/>
  <c r="H27" i="9"/>
  <c r="F27" i="9"/>
  <c r="G27" i="9" s="1"/>
  <c r="B27" i="9"/>
  <c r="E27" i="9" s="1"/>
  <c r="A27" i="9"/>
  <c r="CB26" i="9"/>
  <c r="CA26" i="9"/>
  <c r="BZ26" i="9"/>
  <c r="BY26" i="9"/>
  <c r="BX26" i="9"/>
  <c r="BW26" i="9"/>
  <c r="BS26" i="9"/>
  <c r="BQ26" i="9" s="1"/>
  <c r="BR26" i="9"/>
  <c r="BP26" i="9"/>
  <c r="BO26" i="9"/>
  <c r="BN26" i="9"/>
  <c r="BU26" i="9" s="1"/>
  <c r="BM26" i="9"/>
  <c r="BL26" i="9"/>
  <c r="BK26" i="9"/>
  <c r="BI26" i="9" s="1"/>
  <c r="BT26" i="9" s="1"/>
  <c r="BJ26" i="9"/>
  <c r="BH26" i="9"/>
  <c r="BD26" i="9"/>
  <c r="BA26" i="9"/>
  <c r="AZ26" i="9"/>
  <c r="AY26" i="9"/>
  <c r="AX26" i="9"/>
  <c r="AW26" i="9"/>
  <c r="AU26" i="9" s="1"/>
  <c r="BB26" i="9" s="1"/>
  <c r="AV26" i="9"/>
  <c r="BC26" i="9" s="1"/>
  <c r="BF26" i="9" s="1"/>
  <c r="AT26" i="9"/>
  <c r="AS26" i="9"/>
  <c r="AR26" i="9"/>
  <c r="AQ26" i="9"/>
  <c r="AP26" i="9"/>
  <c r="AL26" i="9"/>
  <c r="AJ26" i="9"/>
  <c r="AI26" i="9"/>
  <c r="AF26" i="9"/>
  <c r="AE26" i="9"/>
  <c r="AD26" i="9"/>
  <c r="AB26" i="9"/>
  <c r="Y26" i="9"/>
  <c r="AM26" i="9" s="1"/>
  <c r="X26" i="9"/>
  <c r="U26" i="9"/>
  <c r="R26" i="9"/>
  <c r="Q26" i="9"/>
  <c r="P26" i="9"/>
  <c r="N26" i="9"/>
  <c r="J26" i="9"/>
  <c r="K26" i="9" s="1"/>
  <c r="F26" i="9"/>
  <c r="H26" i="9" s="1"/>
  <c r="E26" i="9"/>
  <c r="D26" i="9"/>
  <c r="B26" i="9"/>
  <c r="C26" i="9" s="1"/>
  <c r="A26" i="9"/>
  <c r="CB25" i="9"/>
  <c r="CA25" i="9"/>
  <c r="BZ25" i="9"/>
  <c r="BY25" i="9"/>
  <c r="BX25" i="9"/>
  <c r="BW25" i="9"/>
  <c r="BV25" i="9"/>
  <c r="BU25" i="9"/>
  <c r="BS25" i="9"/>
  <c r="BR25" i="9"/>
  <c r="BQ25" i="9"/>
  <c r="BT25" i="9" s="1"/>
  <c r="BP25" i="9"/>
  <c r="BO25" i="9"/>
  <c r="BN25" i="9"/>
  <c r="BM25" i="9"/>
  <c r="BL25" i="9"/>
  <c r="BK25" i="9"/>
  <c r="BJ25" i="9"/>
  <c r="BI25" i="9"/>
  <c r="BH25" i="9"/>
  <c r="BD25" i="9"/>
  <c r="BA25" i="9"/>
  <c r="AZ25" i="9"/>
  <c r="AX25" i="9"/>
  <c r="AW25" i="9"/>
  <c r="AV25" i="9"/>
  <c r="BC25" i="9" s="1"/>
  <c r="BF25" i="9" s="1"/>
  <c r="AU25" i="9"/>
  <c r="AT25" i="9"/>
  <c r="AS25" i="9"/>
  <c r="AR25" i="9"/>
  <c r="AP25" i="9"/>
  <c r="AL25" i="9"/>
  <c r="AJ25" i="9"/>
  <c r="AI25" i="9"/>
  <c r="AF25" i="9"/>
  <c r="AE25" i="9"/>
  <c r="AD25" i="9"/>
  <c r="AK25" i="9" s="1"/>
  <c r="AB25" i="9"/>
  <c r="Y25" i="9"/>
  <c r="W25" i="9" s="1"/>
  <c r="X25" i="9"/>
  <c r="U25" i="9"/>
  <c r="R25" i="9"/>
  <c r="Q25" i="9"/>
  <c r="P25" i="9"/>
  <c r="N25" i="9"/>
  <c r="L25" i="9"/>
  <c r="K25" i="9"/>
  <c r="J25" i="9"/>
  <c r="F25" i="9"/>
  <c r="I25" i="9" s="1"/>
  <c r="E25" i="9"/>
  <c r="D25" i="9"/>
  <c r="C25" i="9"/>
  <c r="B25" i="9"/>
  <c r="A25" i="9"/>
  <c r="CB24" i="9"/>
  <c r="CA24" i="9"/>
  <c r="BZ24" i="9"/>
  <c r="BX24" i="9" s="1"/>
  <c r="BY24" i="9"/>
  <c r="BW24" i="9"/>
  <c r="BS24" i="9"/>
  <c r="BR24" i="9"/>
  <c r="BQ24" i="9"/>
  <c r="BT24" i="9" s="1"/>
  <c r="BP24" i="9"/>
  <c r="BO24" i="9"/>
  <c r="BV24" i="9" s="1"/>
  <c r="BN24" i="9"/>
  <c r="BL24" i="9"/>
  <c r="BK24" i="9"/>
  <c r="BJ24" i="9"/>
  <c r="BI24" i="9"/>
  <c r="BH24" i="9"/>
  <c r="BD24" i="9"/>
  <c r="BG24" i="9" s="1"/>
  <c r="BA24" i="9"/>
  <c r="AZ24" i="9"/>
  <c r="AY24" i="9"/>
  <c r="AX24" i="9"/>
  <c r="AW24" i="9"/>
  <c r="AV24" i="9"/>
  <c r="AU24" i="9" s="1"/>
  <c r="AT24" i="9"/>
  <c r="AS24" i="9"/>
  <c r="AR24" i="9"/>
  <c r="BC24" i="9" s="1"/>
  <c r="BF24" i="9" s="1"/>
  <c r="AQ24" i="9"/>
  <c r="BB24" i="9" s="1"/>
  <c r="BE24" i="9" s="1"/>
  <c r="AP24" i="9"/>
  <c r="AM24" i="9"/>
  <c r="AO24" i="9" s="1"/>
  <c r="AJ24" i="9"/>
  <c r="AI24" i="9"/>
  <c r="AF24" i="9"/>
  <c r="AD24" i="9" s="1"/>
  <c r="AE24" i="9"/>
  <c r="AB24" i="9"/>
  <c r="Y24" i="9"/>
  <c r="W24" i="9" s="1"/>
  <c r="X24" i="9"/>
  <c r="U24" i="9"/>
  <c r="R24" i="9"/>
  <c r="P24" i="9" s="1"/>
  <c r="Q24" i="9"/>
  <c r="AL24" i="9" s="1"/>
  <c r="N24" i="9"/>
  <c r="L24" i="9"/>
  <c r="J24" i="9"/>
  <c r="K24" i="9" s="1"/>
  <c r="H24" i="9"/>
  <c r="G24" i="9"/>
  <c r="F24" i="9"/>
  <c r="I24" i="9" s="1"/>
  <c r="E24" i="9"/>
  <c r="D24" i="9"/>
  <c r="B24" i="9"/>
  <c r="C24" i="9" s="1"/>
  <c r="A24" i="9"/>
  <c r="CB23" i="9"/>
  <c r="CA23" i="9"/>
  <c r="BZ23" i="9"/>
  <c r="BX23" i="9" s="1"/>
  <c r="BY23" i="9"/>
  <c r="BW23" i="9"/>
  <c r="BS23" i="9"/>
  <c r="BV23" i="9" s="1"/>
  <c r="BR23" i="9"/>
  <c r="BU23" i="9" s="1"/>
  <c r="BQ23" i="9"/>
  <c r="BT23" i="9" s="1"/>
  <c r="BP23" i="9"/>
  <c r="BO23" i="9"/>
  <c r="BN23" i="9"/>
  <c r="BM23" i="9"/>
  <c r="BL23" i="9"/>
  <c r="BK23" i="9"/>
  <c r="BJ23" i="9"/>
  <c r="BI23" i="9"/>
  <c r="BH23" i="9"/>
  <c r="BC23" i="9"/>
  <c r="BF23" i="9" s="1"/>
  <c r="BA23" i="9"/>
  <c r="AY23" i="9" s="1"/>
  <c r="AZ23" i="9"/>
  <c r="AX23" i="9"/>
  <c r="AW23" i="9"/>
  <c r="AV23" i="9"/>
  <c r="AU23" i="9"/>
  <c r="AT23" i="9"/>
  <c r="AS23" i="9"/>
  <c r="AQ23" i="9" s="1"/>
  <c r="BB23" i="9" s="1"/>
  <c r="BE23" i="9" s="1"/>
  <c r="AR23" i="9"/>
  <c r="AP23" i="9"/>
  <c r="AM23" i="9"/>
  <c r="AO23" i="9" s="1"/>
  <c r="AJ23" i="9"/>
  <c r="AI23" i="9"/>
  <c r="AF23" i="9"/>
  <c r="AE23" i="9"/>
  <c r="AD23" i="9"/>
  <c r="AB23" i="9"/>
  <c r="Y23" i="9"/>
  <c r="W23" i="9" s="1"/>
  <c r="AK23" i="9" s="1"/>
  <c r="X23" i="9"/>
  <c r="AL23" i="9" s="1"/>
  <c r="U23" i="9"/>
  <c r="R23" i="9"/>
  <c r="Q23" i="9"/>
  <c r="P23" i="9"/>
  <c r="N23" i="9"/>
  <c r="L23" i="9"/>
  <c r="K23" i="9"/>
  <c r="J23" i="9"/>
  <c r="F23" i="9"/>
  <c r="I23" i="9" s="1"/>
  <c r="E23" i="9"/>
  <c r="D23" i="9"/>
  <c r="C23" i="9"/>
  <c r="B23" i="9"/>
  <c r="A23" i="9"/>
  <c r="CB22" i="9"/>
  <c r="CA22" i="9"/>
  <c r="BZ22" i="9"/>
  <c r="BX22" i="9" s="1"/>
  <c r="BY22" i="9"/>
  <c r="BW22" i="9"/>
  <c r="BS22" i="9"/>
  <c r="BV22" i="9" s="1"/>
  <c r="BR22" i="9"/>
  <c r="BU22" i="9" s="1"/>
  <c r="BQ22" i="9"/>
  <c r="BT22" i="9" s="1"/>
  <c r="BP22" i="9"/>
  <c r="BO22" i="9"/>
  <c r="BM22" i="9" s="1"/>
  <c r="BN22" i="9"/>
  <c r="BL22" i="9"/>
  <c r="BK22" i="9"/>
  <c r="BJ22" i="9"/>
  <c r="BI22" i="9"/>
  <c r="BH22" i="9"/>
  <c r="BA22" i="9"/>
  <c r="AZ22" i="9"/>
  <c r="AY22" i="9"/>
  <c r="AX22" i="9"/>
  <c r="AW22" i="9"/>
  <c r="AV22" i="9"/>
  <c r="AU22" i="9"/>
  <c r="AT22" i="9"/>
  <c r="AS22" i="9"/>
  <c r="BD22" i="9" s="1"/>
  <c r="AR22" i="9"/>
  <c r="BC22" i="9" s="1"/>
  <c r="BF22" i="9" s="1"/>
  <c r="AQ22" i="9"/>
  <c r="BB22" i="9" s="1"/>
  <c r="BE22" i="9" s="1"/>
  <c r="AP22" i="9"/>
  <c r="AJ22" i="9"/>
  <c r="AI22" i="9"/>
  <c r="AF22" i="9"/>
  <c r="AD22" i="9" s="1"/>
  <c r="AE22" i="9"/>
  <c r="AB22" i="9"/>
  <c r="Y22" i="9"/>
  <c r="AM22" i="9" s="1"/>
  <c r="X22" i="9"/>
  <c r="AL22" i="9" s="1"/>
  <c r="U22" i="9"/>
  <c r="R22" i="9"/>
  <c r="P22" i="9" s="1"/>
  <c r="Q22" i="9"/>
  <c r="N22" i="9"/>
  <c r="L22" i="9"/>
  <c r="K22" i="9"/>
  <c r="J22" i="9"/>
  <c r="I22" i="9"/>
  <c r="H22" i="9"/>
  <c r="F22" i="9"/>
  <c r="G22" i="9" s="1"/>
  <c r="D22" i="9"/>
  <c r="C22" i="9"/>
  <c r="B22" i="9"/>
  <c r="E22" i="9" s="1"/>
  <c r="A22" i="9"/>
  <c r="CB21" i="9"/>
  <c r="CA21" i="9"/>
  <c r="BZ21" i="9"/>
  <c r="BY21" i="9"/>
  <c r="BX21" i="9"/>
  <c r="BW21" i="9"/>
  <c r="BU21" i="9"/>
  <c r="BS21" i="9"/>
  <c r="BR21" i="9"/>
  <c r="BQ21" i="9"/>
  <c r="BT21" i="9" s="1"/>
  <c r="BP21" i="9"/>
  <c r="BO21" i="9"/>
  <c r="BV21" i="9" s="1"/>
  <c r="BN21" i="9"/>
  <c r="BM21" i="9"/>
  <c r="BL21" i="9"/>
  <c r="BK21" i="9"/>
  <c r="BJ21" i="9"/>
  <c r="BI21" i="9"/>
  <c r="BH21" i="9"/>
  <c r="BA21" i="9"/>
  <c r="AZ21" i="9"/>
  <c r="AY21" i="9"/>
  <c r="AX21" i="9"/>
  <c r="AW21" i="9"/>
  <c r="AU21" i="9" s="1"/>
  <c r="AV21" i="9"/>
  <c r="AT21" i="9"/>
  <c r="AS21" i="9"/>
  <c r="BD21" i="9" s="1"/>
  <c r="AR21" i="9"/>
  <c r="BC21" i="9" s="1"/>
  <c r="AQ21" i="9"/>
  <c r="BB21" i="9" s="1"/>
  <c r="BE21" i="9" s="1"/>
  <c r="AP21" i="9"/>
  <c r="AJ21" i="9"/>
  <c r="AI21" i="9"/>
  <c r="AF21" i="9"/>
  <c r="AM21" i="9" s="1"/>
  <c r="AE21" i="9"/>
  <c r="AL21" i="9" s="1"/>
  <c r="AB21" i="9"/>
  <c r="Y21" i="9"/>
  <c r="X21" i="9"/>
  <c r="W21" i="9"/>
  <c r="U21" i="9"/>
  <c r="R21" i="9"/>
  <c r="P21" i="9" s="1"/>
  <c r="Q21" i="9"/>
  <c r="N21" i="9"/>
  <c r="J21" i="9"/>
  <c r="L21" i="9" s="1"/>
  <c r="I21" i="9"/>
  <c r="H21" i="9"/>
  <c r="G21" i="9"/>
  <c r="F21" i="9"/>
  <c r="B21" i="9"/>
  <c r="E21" i="9" s="1"/>
  <c r="A21" i="9"/>
  <c r="CB20" i="9"/>
  <c r="CA20" i="9"/>
  <c r="BZ20" i="9"/>
  <c r="BX20" i="9" s="1"/>
  <c r="BY20" i="9"/>
  <c r="BW20" i="9"/>
  <c r="BU20" i="9"/>
  <c r="BS20" i="9"/>
  <c r="BQ20" i="9" s="1"/>
  <c r="BT20" i="9" s="1"/>
  <c r="BR20" i="9"/>
  <c r="BP20" i="9"/>
  <c r="BO20" i="9"/>
  <c r="BN20" i="9"/>
  <c r="BM20" i="9"/>
  <c r="BL20" i="9"/>
  <c r="BK20" i="9"/>
  <c r="BI20" i="9" s="1"/>
  <c r="BJ20" i="9"/>
  <c r="BH20" i="9"/>
  <c r="BC20" i="9"/>
  <c r="BF20" i="9" s="1"/>
  <c r="BA20" i="9"/>
  <c r="AZ20" i="9"/>
  <c r="AY20" i="9"/>
  <c r="AX20" i="9"/>
  <c r="AW20" i="9"/>
  <c r="BD20" i="9" s="1"/>
  <c r="BG20" i="9" s="1"/>
  <c r="AV20" i="9"/>
  <c r="AU20" i="9"/>
  <c r="AT20" i="9"/>
  <c r="AS20" i="9"/>
  <c r="AR20" i="9"/>
  <c r="AQ20" i="9"/>
  <c r="BB20" i="9" s="1"/>
  <c r="BE20" i="9" s="1"/>
  <c r="AP20" i="9"/>
  <c r="AM20" i="9"/>
  <c r="AO20" i="9" s="1"/>
  <c r="AJ20" i="9"/>
  <c r="AI20" i="9"/>
  <c r="AF20" i="9"/>
  <c r="AD20" i="9" s="1"/>
  <c r="AE20" i="9"/>
  <c r="AL20" i="9" s="1"/>
  <c r="AB20" i="9"/>
  <c r="Y20" i="9"/>
  <c r="W20" i="9" s="1"/>
  <c r="X20" i="9"/>
  <c r="U20" i="9"/>
  <c r="R20" i="9"/>
  <c r="P20" i="9" s="1"/>
  <c r="Q20" i="9"/>
  <c r="N20" i="9"/>
  <c r="L20" i="9"/>
  <c r="J20" i="9"/>
  <c r="K20" i="9" s="1"/>
  <c r="H20" i="9"/>
  <c r="G20" i="9"/>
  <c r="F20" i="9"/>
  <c r="I20" i="9" s="1"/>
  <c r="E20" i="9"/>
  <c r="D20" i="9"/>
  <c r="B20" i="9"/>
  <c r="C20" i="9" s="1"/>
  <c r="A20" i="9"/>
  <c r="CB19" i="9"/>
  <c r="CA19" i="9"/>
  <c r="BZ19" i="9"/>
  <c r="BX19" i="9" s="1"/>
  <c r="BY19" i="9"/>
  <c r="BW19" i="9"/>
  <c r="BS19" i="9"/>
  <c r="BV19" i="9" s="1"/>
  <c r="BR19" i="9"/>
  <c r="BU19" i="9" s="1"/>
  <c r="BQ19" i="9"/>
  <c r="BT19" i="9" s="1"/>
  <c r="BP19" i="9"/>
  <c r="BO19" i="9"/>
  <c r="BN19" i="9"/>
  <c r="BM19" i="9"/>
  <c r="BL19" i="9"/>
  <c r="BK19" i="9"/>
  <c r="BJ19" i="9"/>
  <c r="BI19" i="9"/>
  <c r="BH19" i="9"/>
  <c r="BC19" i="9"/>
  <c r="BA19" i="9"/>
  <c r="AY19" i="9" s="1"/>
  <c r="AZ19" i="9"/>
  <c r="AX19" i="9"/>
  <c r="AW19" i="9"/>
  <c r="AV19" i="9"/>
  <c r="AU19" i="9"/>
  <c r="AT19" i="9"/>
  <c r="AS19" i="9"/>
  <c r="AR19" i="9"/>
  <c r="AP19" i="9"/>
  <c r="AM19" i="9"/>
  <c r="AO19" i="9" s="1"/>
  <c r="AJ19" i="9"/>
  <c r="AI19" i="9"/>
  <c r="AF19" i="9"/>
  <c r="AE19" i="9"/>
  <c r="AD19" i="9"/>
  <c r="AB19" i="9"/>
  <c r="Y19" i="9"/>
  <c r="X19" i="9"/>
  <c r="AL19" i="9" s="1"/>
  <c r="U19" i="9"/>
  <c r="R19" i="9"/>
  <c r="Q19" i="9"/>
  <c r="P19" i="9"/>
  <c r="N19" i="9"/>
  <c r="L19" i="9"/>
  <c r="K19" i="9"/>
  <c r="J19" i="9"/>
  <c r="F19" i="9"/>
  <c r="I19" i="9" s="1"/>
  <c r="E19" i="9"/>
  <c r="D19" i="9"/>
  <c r="C19" i="9"/>
  <c r="B19" i="9"/>
  <c r="A19" i="9"/>
  <c r="BZ18" i="9"/>
  <c r="BY18" i="9"/>
  <c r="BX18" i="9"/>
  <c r="BV18" i="9"/>
  <c r="BS18" i="9"/>
  <c r="BQ18" i="9" s="1"/>
  <c r="BT18" i="9" s="1"/>
  <c r="BR18" i="9"/>
  <c r="BO18" i="9"/>
  <c r="BN18" i="9"/>
  <c r="BU18" i="9" s="1"/>
  <c r="BM18" i="9"/>
  <c r="BK18" i="9"/>
  <c r="BI18" i="9" s="1"/>
  <c r="BJ18" i="9"/>
  <c r="BC18" i="9"/>
  <c r="BA18" i="9"/>
  <c r="AY18" i="9" s="1"/>
  <c r="AZ18" i="9"/>
  <c r="AW18" i="9"/>
  <c r="AV18" i="9"/>
  <c r="AU18" i="9"/>
  <c r="AS18" i="9"/>
  <c r="AR18" i="9"/>
  <c r="AQ18" i="9"/>
  <c r="BB18" i="9" s="1"/>
  <c r="BE18" i="9" s="1"/>
  <c r="AJ18" i="9"/>
  <c r="AF18" i="9"/>
  <c r="AM18" i="9" s="1"/>
  <c r="AE18" i="9"/>
  <c r="AL18" i="9" s="1"/>
  <c r="Y18" i="9"/>
  <c r="X18" i="9"/>
  <c r="W18" i="9"/>
  <c r="R18" i="9"/>
  <c r="P18" i="9" s="1"/>
  <c r="Q18" i="9"/>
  <c r="L18" i="9"/>
  <c r="K18" i="9"/>
  <c r="J18" i="9"/>
  <c r="F18" i="9"/>
  <c r="I18" i="9" s="1"/>
  <c r="E18" i="9"/>
  <c r="D18" i="9"/>
  <c r="C18" i="9"/>
  <c r="B18" i="9"/>
  <c r="A18" i="9"/>
  <c r="CB17" i="9"/>
  <c r="CA17" i="9"/>
  <c r="BZ17" i="9"/>
  <c r="BY17" i="9"/>
  <c r="BX17" i="9"/>
  <c r="BW17" i="9"/>
  <c r="BS17" i="9"/>
  <c r="BV17" i="9" s="1"/>
  <c r="BR17" i="9"/>
  <c r="BU17" i="9" s="1"/>
  <c r="BP17" i="9"/>
  <c r="BO17" i="9"/>
  <c r="BM17" i="9" s="1"/>
  <c r="BN17" i="9"/>
  <c r="BL17" i="9"/>
  <c r="BK17" i="9"/>
  <c r="BI17" i="9" s="1"/>
  <c r="BJ17" i="9"/>
  <c r="BH17" i="9"/>
  <c r="BA17" i="9"/>
  <c r="AZ17" i="9"/>
  <c r="AX17" i="9"/>
  <c r="AW17" i="9"/>
  <c r="AV17" i="9"/>
  <c r="AU17" i="9"/>
  <c r="AT17" i="9"/>
  <c r="AS17" i="9"/>
  <c r="BD17" i="9" s="1"/>
  <c r="AR17" i="9"/>
  <c r="AP17" i="9"/>
  <c r="AL17" i="9"/>
  <c r="AJ17" i="9"/>
  <c r="AI17" i="9"/>
  <c r="AF17" i="9"/>
  <c r="AE17" i="9"/>
  <c r="AD17" i="9"/>
  <c r="AB17" i="9"/>
  <c r="Y17" i="9"/>
  <c r="AM17" i="9" s="1"/>
  <c r="X17" i="9"/>
  <c r="W17" i="9"/>
  <c r="AK17" i="9" s="1"/>
  <c r="U17" i="9"/>
  <c r="R17" i="9"/>
  <c r="Q17" i="9"/>
  <c r="P17" i="9"/>
  <c r="N17" i="9"/>
  <c r="J17" i="9"/>
  <c r="F17" i="9"/>
  <c r="H17" i="9" s="1"/>
  <c r="B17" i="9"/>
  <c r="A17" i="9"/>
  <c r="CB16" i="9"/>
  <c r="CA16" i="9"/>
  <c r="BZ16" i="9"/>
  <c r="BY16" i="9"/>
  <c r="BX16" i="9"/>
  <c r="BW16" i="9"/>
  <c r="BV16" i="9"/>
  <c r="BS16" i="9"/>
  <c r="BR16" i="9"/>
  <c r="BQ16" i="9"/>
  <c r="BT16" i="9" s="1"/>
  <c r="BP16" i="9"/>
  <c r="BO16" i="9"/>
  <c r="BN16" i="9"/>
  <c r="BL16" i="9"/>
  <c r="BK16" i="9"/>
  <c r="BJ16" i="9"/>
  <c r="BI16" i="9"/>
  <c r="BH16" i="9"/>
  <c r="BA16" i="9"/>
  <c r="AY16" i="9" s="1"/>
  <c r="AZ16" i="9"/>
  <c r="AX16" i="9"/>
  <c r="AW16" i="9"/>
  <c r="AV16" i="9"/>
  <c r="AU16" i="9"/>
  <c r="AT16" i="9"/>
  <c r="AS16" i="9"/>
  <c r="BD16" i="9" s="1"/>
  <c r="AR16" i="9"/>
  <c r="BC16" i="9" s="1"/>
  <c r="BF16" i="9" s="1"/>
  <c r="AP16" i="9"/>
  <c r="AJ16" i="9"/>
  <c r="AI16" i="9"/>
  <c r="AF16" i="9"/>
  <c r="AE16" i="9"/>
  <c r="AB16" i="9"/>
  <c r="Y16" i="9"/>
  <c r="X16" i="9"/>
  <c r="AL16" i="9" s="1"/>
  <c r="W16" i="9"/>
  <c r="U16" i="9"/>
  <c r="R16" i="9"/>
  <c r="P16" i="9" s="1"/>
  <c r="Q16" i="9"/>
  <c r="N16" i="9"/>
  <c r="J16" i="9"/>
  <c r="L16" i="9" s="1"/>
  <c r="I16" i="9"/>
  <c r="H16" i="9"/>
  <c r="G16" i="9"/>
  <c r="F16" i="9"/>
  <c r="B16" i="9"/>
  <c r="E16" i="9" s="1"/>
  <c r="A16" i="9"/>
  <c r="CB15" i="9"/>
  <c r="CA15" i="9"/>
  <c r="BZ15" i="9"/>
  <c r="BY15" i="9"/>
  <c r="BX15" i="9"/>
  <c r="BW15" i="9"/>
  <c r="BV15" i="9"/>
  <c r="BT15" i="9"/>
  <c r="BS15" i="9"/>
  <c r="BR15" i="9"/>
  <c r="BQ15" i="9"/>
  <c r="BP15" i="9"/>
  <c r="BO15" i="9"/>
  <c r="BM15" i="9" s="1"/>
  <c r="BN15" i="9"/>
  <c r="BU15" i="9" s="1"/>
  <c r="BL15" i="9"/>
  <c r="BK15" i="9"/>
  <c r="BI15" i="9" s="1"/>
  <c r="BJ15" i="9"/>
  <c r="BH15" i="9"/>
  <c r="BD15" i="9"/>
  <c r="BG15" i="9" s="1"/>
  <c r="BA15" i="9"/>
  <c r="AZ15" i="9"/>
  <c r="AY15" i="9"/>
  <c r="AX15" i="9"/>
  <c r="AW15" i="9"/>
  <c r="AU15" i="9" s="1"/>
  <c r="AV15" i="9"/>
  <c r="AT15" i="9"/>
  <c r="AS15" i="9"/>
  <c r="AR15" i="9"/>
  <c r="BC15" i="9" s="1"/>
  <c r="BF15" i="9" s="1"/>
  <c r="AQ15" i="9"/>
  <c r="BB15" i="9" s="1"/>
  <c r="BE15" i="9" s="1"/>
  <c r="AP15" i="9"/>
  <c r="AN15" i="9"/>
  <c r="AJ15" i="9"/>
  <c r="AI15" i="9"/>
  <c r="AF15" i="9"/>
  <c r="AM15" i="9" s="1"/>
  <c r="AO15" i="9" s="1"/>
  <c r="AE15" i="9"/>
  <c r="AL15" i="9" s="1"/>
  <c r="AD15" i="9"/>
  <c r="AB15" i="9"/>
  <c r="Y15" i="9"/>
  <c r="X15" i="9"/>
  <c r="W15" i="9"/>
  <c r="U15" i="9"/>
  <c r="R15" i="9"/>
  <c r="Q15" i="9"/>
  <c r="P15" i="9"/>
  <c r="N15" i="9"/>
  <c r="J15" i="9"/>
  <c r="L15" i="9" s="1"/>
  <c r="F15" i="9"/>
  <c r="B15" i="9"/>
  <c r="D15" i="9" s="1"/>
  <c r="A15" i="9"/>
  <c r="CB14" i="9"/>
  <c r="CA14" i="9"/>
  <c r="BZ14" i="9"/>
  <c r="BX14" i="9" s="1"/>
  <c r="BY14" i="9"/>
  <c r="BW14" i="9"/>
  <c r="BS14" i="9"/>
  <c r="BV14" i="9" s="1"/>
  <c r="BR14" i="9"/>
  <c r="BP14" i="9"/>
  <c r="BO14" i="9"/>
  <c r="BN14" i="9"/>
  <c r="BM14" i="9"/>
  <c r="BL14" i="9"/>
  <c r="BK14" i="9"/>
  <c r="BJ14" i="9"/>
  <c r="BH14" i="9"/>
  <c r="BD14" i="9"/>
  <c r="BA14" i="9"/>
  <c r="AZ14" i="9"/>
  <c r="AY14" i="9"/>
  <c r="AX14" i="9"/>
  <c r="AW14" i="9"/>
  <c r="AU14" i="9" s="1"/>
  <c r="AV14" i="9"/>
  <c r="BC14" i="9" s="1"/>
  <c r="BF14" i="9" s="1"/>
  <c r="AT14" i="9"/>
  <c r="AS14" i="9"/>
  <c r="AQ14" i="9" s="1"/>
  <c r="BB14" i="9" s="1"/>
  <c r="BE14" i="9" s="1"/>
  <c r="AR14" i="9"/>
  <c r="AP14" i="9"/>
  <c r="AL14" i="9"/>
  <c r="AJ14" i="9"/>
  <c r="AI14" i="9"/>
  <c r="AF14" i="9"/>
  <c r="AE14" i="9"/>
  <c r="AD14" i="9"/>
  <c r="AB14" i="9"/>
  <c r="Y14" i="9"/>
  <c r="X14" i="9"/>
  <c r="U14" i="9"/>
  <c r="R14" i="9"/>
  <c r="Q14" i="9"/>
  <c r="P14" i="9"/>
  <c r="N14" i="9"/>
  <c r="L14" i="9"/>
  <c r="K14" i="9"/>
  <c r="J14" i="9"/>
  <c r="F14" i="9"/>
  <c r="E14" i="9"/>
  <c r="D14" i="9"/>
  <c r="C14" i="9"/>
  <c r="B14" i="9"/>
  <c r="A14" i="9"/>
  <c r="CB13" i="9"/>
  <c r="CA13" i="9"/>
  <c r="BZ13" i="9"/>
  <c r="BX13" i="9" s="1"/>
  <c r="BY13" i="9"/>
  <c r="BW13" i="9"/>
  <c r="BS13" i="9"/>
  <c r="BV13" i="9" s="1"/>
  <c r="BR13" i="9"/>
  <c r="BU13" i="9" s="1"/>
  <c r="BP13" i="9"/>
  <c r="BO13" i="9"/>
  <c r="BM13" i="9" s="1"/>
  <c r="BN13" i="9"/>
  <c r="BL13" i="9"/>
  <c r="BK13" i="9"/>
  <c r="BI13" i="9" s="1"/>
  <c r="BJ13" i="9"/>
  <c r="BH13" i="9"/>
  <c r="BA13" i="9"/>
  <c r="AY13" i="9" s="1"/>
  <c r="AZ13" i="9"/>
  <c r="AX13" i="9"/>
  <c r="AW13" i="9"/>
  <c r="AV13" i="9"/>
  <c r="AU13" i="9"/>
  <c r="AT13" i="9"/>
  <c r="AS13" i="9"/>
  <c r="BD13" i="9" s="1"/>
  <c r="AR13" i="9"/>
  <c r="BC13" i="9" s="1"/>
  <c r="BF13" i="9" s="1"/>
  <c r="AP13" i="9"/>
  <c r="AL13" i="9"/>
  <c r="AJ13" i="9"/>
  <c r="AI13" i="9"/>
  <c r="AF13" i="9"/>
  <c r="AE13" i="9"/>
  <c r="AD13" i="9"/>
  <c r="AB13" i="9"/>
  <c r="Y13" i="9"/>
  <c r="AM13" i="9" s="1"/>
  <c r="X13" i="9"/>
  <c r="W13" i="9"/>
  <c r="AK13" i="9" s="1"/>
  <c r="U13" i="9"/>
  <c r="R13" i="9"/>
  <c r="Q13" i="9"/>
  <c r="P13" i="9"/>
  <c r="N13" i="9"/>
  <c r="J13" i="9"/>
  <c r="K13" i="9" s="1"/>
  <c r="F13" i="9"/>
  <c r="H13" i="9" s="1"/>
  <c r="D13" i="9"/>
  <c r="B13" i="9"/>
  <c r="A13" i="9"/>
  <c r="CB12" i="9"/>
  <c r="CA12" i="9"/>
  <c r="BZ12" i="9"/>
  <c r="BY12" i="9"/>
  <c r="BX12" i="9"/>
  <c r="BW12" i="9"/>
  <c r="BV12" i="9"/>
  <c r="BS12" i="9"/>
  <c r="BR12" i="9"/>
  <c r="BQ12" i="9"/>
  <c r="BT12" i="9" s="1"/>
  <c r="BP12" i="9"/>
  <c r="BO12" i="9"/>
  <c r="BM12" i="9" s="1"/>
  <c r="BN12" i="9"/>
  <c r="BL12" i="9"/>
  <c r="BK12" i="9"/>
  <c r="BJ12" i="9"/>
  <c r="BI12" i="9"/>
  <c r="BH12" i="9"/>
  <c r="BA12" i="9"/>
  <c r="AY12" i="9" s="1"/>
  <c r="AZ12" i="9"/>
  <c r="AX12" i="9"/>
  <c r="AW12" i="9"/>
  <c r="AU12" i="9" s="1"/>
  <c r="AV12" i="9"/>
  <c r="AT12" i="9"/>
  <c r="AS12" i="9"/>
  <c r="BD12" i="9" s="1"/>
  <c r="AR12" i="9"/>
  <c r="AP12" i="9"/>
  <c r="AJ12" i="9"/>
  <c r="AI12" i="9"/>
  <c r="AF12" i="9"/>
  <c r="AE12" i="9"/>
  <c r="AB12" i="9"/>
  <c r="Y12" i="9"/>
  <c r="X12" i="9"/>
  <c r="AL12" i="9" s="1"/>
  <c r="W12" i="9"/>
  <c r="U12" i="9"/>
  <c r="R12" i="9"/>
  <c r="P12" i="9" s="1"/>
  <c r="Q12" i="9"/>
  <c r="N12" i="9"/>
  <c r="J12" i="9"/>
  <c r="I12" i="9"/>
  <c r="H12" i="9"/>
  <c r="G12" i="9"/>
  <c r="F12" i="9"/>
  <c r="B12" i="9"/>
  <c r="A12" i="9"/>
  <c r="CB11" i="9"/>
  <c r="CA11" i="9"/>
  <c r="BZ11" i="9"/>
  <c r="BY11" i="9"/>
  <c r="BX11" i="9"/>
  <c r="BW11" i="9"/>
  <c r="BV11" i="9"/>
  <c r="BT11" i="9"/>
  <c r="BS11" i="9"/>
  <c r="BR11" i="9"/>
  <c r="BQ11" i="9"/>
  <c r="BP11" i="9"/>
  <c r="BO11" i="9"/>
  <c r="BM11" i="9" s="1"/>
  <c r="BN11" i="9"/>
  <c r="BU11" i="9" s="1"/>
  <c r="BL11" i="9"/>
  <c r="BK11" i="9"/>
  <c r="BI11" i="9" s="1"/>
  <c r="BJ11" i="9"/>
  <c r="BH11" i="9"/>
  <c r="BF11" i="9"/>
  <c r="BD11" i="9"/>
  <c r="BA11" i="9"/>
  <c r="AZ11" i="9"/>
  <c r="AY11" i="9"/>
  <c r="AX11" i="9"/>
  <c r="AW11" i="9"/>
  <c r="AV11" i="9"/>
  <c r="AT11" i="9"/>
  <c r="AS11" i="9"/>
  <c r="AR11" i="9"/>
  <c r="BC11" i="9" s="1"/>
  <c r="AQ11" i="9"/>
  <c r="BB11" i="9" s="1"/>
  <c r="BE11" i="9" s="1"/>
  <c r="AP11" i="9"/>
  <c r="AJ11" i="9"/>
  <c r="AI11" i="9"/>
  <c r="AF11" i="9"/>
  <c r="AD11" i="9" s="1"/>
  <c r="AE11" i="9"/>
  <c r="AL11" i="9" s="1"/>
  <c r="AB11" i="9"/>
  <c r="Y11" i="9"/>
  <c r="X11" i="9"/>
  <c r="W11" i="9"/>
  <c r="U11" i="9"/>
  <c r="R11" i="9"/>
  <c r="P11" i="9" s="1"/>
  <c r="Q11" i="9"/>
  <c r="N11" i="9"/>
  <c r="J11" i="9"/>
  <c r="L11" i="9" s="1"/>
  <c r="F11" i="9"/>
  <c r="B11" i="9"/>
  <c r="D11" i="9" s="1"/>
  <c r="A11" i="9"/>
  <c r="CB10" i="9"/>
  <c r="CA10" i="9"/>
  <c r="BZ10" i="9"/>
  <c r="BX10" i="9" s="1"/>
  <c r="BY10" i="9"/>
  <c r="BW10" i="9"/>
  <c r="BS10" i="9"/>
  <c r="BV10" i="9" s="1"/>
  <c r="BR10" i="9"/>
  <c r="BU10" i="9" s="1"/>
  <c r="BP10" i="9"/>
  <c r="BO10" i="9"/>
  <c r="BN10" i="9"/>
  <c r="BM10" i="9"/>
  <c r="BL10" i="9"/>
  <c r="BK10" i="9"/>
  <c r="BJ10" i="9"/>
  <c r="BH10" i="9"/>
  <c r="BD10" i="9"/>
  <c r="BA10" i="9"/>
  <c r="AY10" i="9" s="1"/>
  <c r="AZ10" i="9"/>
  <c r="AX10" i="9"/>
  <c r="AW10" i="9"/>
  <c r="AV10" i="9"/>
  <c r="BC10" i="9" s="1"/>
  <c r="BF10" i="9" s="1"/>
  <c r="AT10" i="9"/>
  <c r="AS10" i="9"/>
  <c r="AQ10" i="9" s="1"/>
  <c r="AR10" i="9"/>
  <c r="AP10" i="9"/>
  <c r="AL10" i="9"/>
  <c r="AJ10" i="9"/>
  <c r="AI10" i="9"/>
  <c r="AF10" i="9"/>
  <c r="AE10" i="9"/>
  <c r="AD10" i="9"/>
  <c r="AB10" i="9"/>
  <c r="Y10" i="9"/>
  <c r="X10" i="9"/>
  <c r="U10" i="9"/>
  <c r="R10" i="9"/>
  <c r="Q10" i="9"/>
  <c r="P10" i="9"/>
  <c r="N10" i="9"/>
  <c r="L10" i="9"/>
  <c r="K10" i="9"/>
  <c r="J10" i="9"/>
  <c r="F10" i="9"/>
  <c r="E10" i="9"/>
  <c r="D10" i="9"/>
  <c r="C10" i="9"/>
  <c r="B10" i="9"/>
  <c r="A10" i="9"/>
  <c r="CB9" i="9"/>
  <c r="CA9" i="9"/>
  <c r="BZ9" i="9"/>
  <c r="BY9" i="9"/>
  <c r="BX9" i="9"/>
  <c r="BW9" i="9"/>
  <c r="BS9" i="9"/>
  <c r="BV9" i="9" s="1"/>
  <c r="BR9" i="9"/>
  <c r="BU9" i="9" s="1"/>
  <c r="BP9" i="9"/>
  <c r="BO9" i="9"/>
  <c r="BM9" i="9" s="1"/>
  <c r="BN9" i="9"/>
  <c r="BL9" i="9"/>
  <c r="BK9" i="9"/>
  <c r="BI9" i="9" s="1"/>
  <c r="BJ9" i="9"/>
  <c r="BH9" i="9"/>
  <c r="BA9" i="9"/>
  <c r="AY9" i="9" s="1"/>
  <c r="AZ9" i="9"/>
  <c r="AX9" i="9"/>
  <c r="AW9" i="9"/>
  <c r="AV9" i="9"/>
  <c r="AU9" i="9"/>
  <c r="AT9" i="9"/>
  <c r="AS9" i="9"/>
  <c r="BD9" i="9" s="1"/>
  <c r="BG9" i="9" s="1"/>
  <c r="AR9" i="9"/>
  <c r="BC9" i="9" s="1"/>
  <c r="AP9" i="9"/>
  <c r="AM9" i="9"/>
  <c r="AL9" i="9"/>
  <c r="AJ9" i="9"/>
  <c r="AF9" i="9"/>
  <c r="AE9" i="9"/>
  <c r="AD9" i="9"/>
  <c r="AB9" i="9"/>
  <c r="AC9" i="9" s="1"/>
  <c r="Y9" i="9"/>
  <c r="X9" i="9"/>
  <c r="U9" i="9"/>
  <c r="V9" i="9" s="1"/>
  <c r="R9" i="9"/>
  <c r="Q9" i="9"/>
  <c r="P9" i="9"/>
  <c r="N9" i="9"/>
  <c r="O9" i="9" s="1"/>
  <c r="AI9" i="9" s="1"/>
  <c r="L9" i="9"/>
  <c r="J9" i="9"/>
  <c r="K9" i="9" s="1"/>
  <c r="H9" i="9"/>
  <c r="G9" i="9"/>
  <c r="F9" i="9"/>
  <c r="I9" i="9" s="1"/>
  <c r="E9" i="9"/>
  <c r="B9" i="9"/>
  <c r="C9" i="9" s="1"/>
  <c r="A9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B8" i="9"/>
  <c r="CA8" i="9"/>
  <c r="BZ8" i="9"/>
  <c r="BY8" i="9"/>
  <c r="BX8" i="9"/>
  <c r="BW8" i="9"/>
  <c r="BV8" i="9"/>
  <c r="BS8" i="9"/>
  <c r="BR8" i="9"/>
  <c r="BU8" i="9" s="1"/>
  <c r="BQ8" i="9"/>
  <c r="BT8" i="9" s="1"/>
  <c r="BP8" i="9"/>
  <c r="BO8" i="9"/>
  <c r="BM8" i="9" s="1"/>
  <c r="BN8" i="9"/>
  <c r="BL8" i="9"/>
  <c r="BK8" i="9"/>
  <c r="BJ8" i="9"/>
  <c r="BI8" i="9"/>
  <c r="BH8" i="9"/>
  <c r="BF8" i="9"/>
  <c r="BA8" i="9"/>
  <c r="AY8" i="9" s="1"/>
  <c r="AZ8" i="9"/>
  <c r="AX8" i="9"/>
  <c r="AW8" i="9"/>
  <c r="AV8" i="9"/>
  <c r="AU8" i="9"/>
  <c r="AT8" i="9"/>
  <c r="AS8" i="9"/>
  <c r="BD8" i="9" s="1"/>
  <c r="AR8" i="9"/>
  <c r="BC8" i="9" s="1"/>
  <c r="AP8" i="9"/>
  <c r="AJ8" i="9"/>
  <c r="AI8" i="9"/>
  <c r="AF8" i="9"/>
  <c r="AE8" i="9"/>
  <c r="AB8" i="9"/>
  <c r="Y8" i="9"/>
  <c r="X8" i="9"/>
  <c r="AL8" i="9" s="1"/>
  <c r="W8" i="9"/>
  <c r="U8" i="9"/>
  <c r="R8" i="9"/>
  <c r="P8" i="9" s="1"/>
  <c r="Q8" i="9"/>
  <c r="N8" i="9"/>
  <c r="J8" i="9"/>
  <c r="I8" i="9"/>
  <c r="H8" i="9"/>
  <c r="G8" i="9"/>
  <c r="F8" i="9"/>
  <c r="B8" i="9"/>
  <c r="A8" i="9"/>
  <c r="CB7" i="9"/>
  <c r="CA7" i="9"/>
  <c r="BZ7" i="9"/>
  <c r="BY7" i="9"/>
  <c r="BX7" i="9"/>
  <c r="BW7" i="9"/>
  <c r="BV7" i="9"/>
  <c r="BS7" i="9"/>
  <c r="BR7" i="9"/>
  <c r="BQ7" i="9"/>
  <c r="BP7" i="9"/>
  <c r="BO7" i="9"/>
  <c r="BN7" i="9"/>
  <c r="BU7" i="9" s="1"/>
  <c r="BL7" i="9"/>
  <c r="BK7" i="9"/>
  <c r="BJ7" i="9"/>
  <c r="BI7" i="9"/>
  <c r="BH7" i="9"/>
  <c r="BD7" i="9"/>
  <c r="BA7" i="9"/>
  <c r="AZ7" i="9"/>
  <c r="AY7" i="9"/>
  <c r="AX7" i="9"/>
  <c r="AW7" i="9"/>
  <c r="AU7" i="9" s="1"/>
  <c r="AV7" i="9"/>
  <c r="AT7" i="9"/>
  <c r="AS7" i="9"/>
  <c r="AR7" i="9"/>
  <c r="AQ7" i="9"/>
  <c r="AP7" i="9"/>
  <c r="AJ7" i="9"/>
  <c r="AF7" i="9"/>
  <c r="AM7" i="9" s="1"/>
  <c r="AO7" i="9" s="1"/>
  <c r="AE7" i="9"/>
  <c r="AL7" i="9" s="1"/>
  <c r="AC7" i="9"/>
  <c r="AB7" i="9"/>
  <c r="Y7" i="9"/>
  <c r="X7" i="9"/>
  <c r="W7" i="9"/>
  <c r="V7" i="9"/>
  <c r="U7" i="9"/>
  <c r="R7" i="9"/>
  <c r="P7" i="9" s="1"/>
  <c r="Q7" i="9"/>
  <c r="N7" i="9"/>
  <c r="O7" i="9" s="1"/>
  <c r="L7" i="9"/>
  <c r="K7" i="9"/>
  <c r="J7" i="9"/>
  <c r="I7" i="9"/>
  <c r="F7" i="9"/>
  <c r="G7" i="9" s="1"/>
  <c r="D7" i="9"/>
  <c r="C7" i="9"/>
  <c r="B7" i="9"/>
  <c r="E7" i="9" s="1"/>
  <c r="A7" i="9"/>
  <c r="CB6" i="9"/>
  <c r="CA6" i="9"/>
  <c r="BZ6" i="9"/>
  <c r="BY6" i="9"/>
  <c r="BX6" i="9"/>
  <c r="BW6" i="9"/>
  <c r="BU6" i="9"/>
  <c r="BS6" i="9"/>
  <c r="BR6" i="9"/>
  <c r="BQ6" i="9"/>
  <c r="BT6" i="9" s="1"/>
  <c r="BP6" i="9"/>
  <c r="BO6" i="9"/>
  <c r="BV6" i="9" s="1"/>
  <c r="BN6" i="9"/>
  <c r="BL6" i="9"/>
  <c r="BK6" i="9"/>
  <c r="BJ6" i="9"/>
  <c r="BI6" i="9"/>
  <c r="BH6" i="9"/>
  <c r="BA6" i="9"/>
  <c r="AZ6" i="9"/>
  <c r="AY6" i="9"/>
  <c r="AX6" i="9"/>
  <c r="AW6" i="9"/>
  <c r="AU6" i="9" s="1"/>
  <c r="AV6" i="9"/>
  <c r="AT6" i="9"/>
  <c r="AS6" i="9"/>
  <c r="AR6" i="9"/>
  <c r="BC6" i="9" s="1"/>
  <c r="AQ6" i="9"/>
  <c r="BB6" i="9" s="1"/>
  <c r="BE6" i="9" s="1"/>
  <c r="AP6" i="9"/>
  <c r="AO6" i="9"/>
  <c r="AJ6" i="9"/>
  <c r="AI6" i="9"/>
  <c r="AF6" i="9"/>
  <c r="AM6" i="9" s="1"/>
  <c r="AN6" i="9" s="1"/>
  <c r="AE6" i="9"/>
  <c r="AB6" i="9"/>
  <c r="Y6" i="9"/>
  <c r="X6" i="9"/>
  <c r="W6" i="9"/>
  <c r="U6" i="9"/>
  <c r="R6" i="9"/>
  <c r="P6" i="9" s="1"/>
  <c r="Q6" i="9"/>
  <c r="N6" i="9"/>
  <c r="J6" i="9"/>
  <c r="L6" i="9" s="1"/>
  <c r="I6" i="9"/>
  <c r="H6" i="9"/>
  <c r="G6" i="9"/>
  <c r="F6" i="9"/>
  <c r="B6" i="9"/>
  <c r="E6" i="9" s="1"/>
  <c r="A6" i="9"/>
  <c r="CB5" i="9"/>
  <c r="CA5" i="9"/>
  <c r="BZ5" i="9"/>
  <c r="BX5" i="9" s="1"/>
  <c r="BY5" i="9"/>
  <c r="BW5" i="9"/>
  <c r="BU5" i="9"/>
  <c r="BS5" i="9"/>
  <c r="BR5" i="9"/>
  <c r="BP5" i="9"/>
  <c r="BO5" i="9"/>
  <c r="BN5" i="9"/>
  <c r="BM5" i="9"/>
  <c r="BL5" i="9"/>
  <c r="BK5" i="9"/>
  <c r="BI5" i="9" s="1"/>
  <c r="BJ5" i="9"/>
  <c r="BH5" i="9"/>
  <c r="BC5" i="9"/>
  <c r="BA5" i="9"/>
  <c r="AZ5" i="9"/>
  <c r="AY5" i="9"/>
  <c r="AX5" i="9"/>
  <c r="AW5" i="9"/>
  <c r="AV5" i="9"/>
  <c r="AT5" i="9"/>
  <c r="AS5" i="9"/>
  <c r="AR5" i="9"/>
  <c r="AQ5" i="9"/>
  <c r="BB5" i="9" s="1"/>
  <c r="BE5" i="9" s="1"/>
  <c r="AP5" i="9"/>
  <c r="AJ5" i="9"/>
  <c r="AI5" i="9"/>
  <c r="AF5" i="9"/>
  <c r="AM5" i="9" s="1"/>
  <c r="AE5" i="9"/>
  <c r="AL5" i="9" s="1"/>
  <c r="AB5" i="9"/>
  <c r="Y5" i="9"/>
  <c r="W5" i="9" s="1"/>
  <c r="X5" i="9"/>
  <c r="U5" i="9"/>
  <c r="R5" i="9"/>
  <c r="Q5" i="9"/>
  <c r="N5" i="9"/>
  <c r="L5" i="9"/>
  <c r="J5" i="9"/>
  <c r="K5" i="9" s="1"/>
  <c r="H5" i="9"/>
  <c r="G5" i="9"/>
  <c r="F5" i="9"/>
  <c r="I5" i="9" s="1"/>
  <c r="E5" i="9"/>
  <c r="B5" i="9"/>
  <c r="C5" i="9" s="1"/>
  <c r="A5" i="9"/>
  <c r="CB4" i="9"/>
  <c r="CA4" i="9"/>
  <c r="BZ4" i="9"/>
  <c r="BY4" i="9"/>
  <c r="BW4" i="9"/>
  <c r="BS4" i="9"/>
  <c r="BR4" i="9"/>
  <c r="BQ4" i="9"/>
  <c r="BT4" i="9" s="1"/>
  <c r="BP4" i="9"/>
  <c r="BO4" i="9"/>
  <c r="BN4" i="9"/>
  <c r="BM4" i="9"/>
  <c r="BL4" i="9"/>
  <c r="BK4" i="9"/>
  <c r="BJ4" i="9"/>
  <c r="BI4" i="9"/>
  <c r="BH4" i="9"/>
  <c r="BD4" i="9"/>
  <c r="BC4" i="9"/>
  <c r="BA4" i="9"/>
  <c r="AY4" i="9" s="1"/>
  <c r="AZ4" i="9"/>
  <c r="AX4" i="9"/>
  <c r="AW4" i="9"/>
  <c r="AV4" i="9"/>
  <c r="AU4" i="9"/>
  <c r="AT4" i="9"/>
  <c r="AS4" i="9"/>
  <c r="AQ4" i="9" s="1"/>
  <c r="BB4" i="9" s="1"/>
  <c r="BE4" i="9" s="1"/>
  <c r="AR4" i="9"/>
  <c r="AP4" i="9"/>
  <c r="AM4" i="9"/>
  <c r="AO4" i="9" s="1"/>
  <c r="AJ4" i="9"/>
  <c r="AI4" i="9"/>
  <c r="AF4" i="9"/>
  <c r="AE4" i="9"/>
  <c r="AD4" i="9"/>
  <c r="AB4" i="9"/>
  <c r="Y4" i="9"/>
  <c r="X4" i="9"/>
  <c r="AL4" i="9" s="1"/>
  <c r="U4" i="9"/>
  <c r="R4" i="9"/>
  <c r="Q4" i="9"/>
  <c r="P4" i="9"/>
  <c r="N4" i="9"/>
  <c r="L4" i="9"/>
  <c r="K4" i="9"/>
  <c r="J4" i="9"/>
  <c r="F4" i="9"/>
  <c r="E4" i="9"/>
  <c r="D4" i="9"/>
  <c r="C4" i="9"/>
  <c r="B4" i="9"/>
  <c r="A4" i="9"/>
  <c r="CB3" i="9"/>
  <c r="CA3" i="9"/>
  <c r="BZ3" i="9"/>
  <c r="BX3" i="9" s="1"/>
  <c r="BY3" i="9"/>
  <c r="BW3" i="9"/>
  <c r="BS3" i="9"/>
  <c r="BR3" i="9"/>
  <c r="BU3" i="9" s="1"/>
  <c r="BP3" i="9"/>
  <c r="BO3" i="9"/>
  <c r="BM3" i="9" s="1"/>
  <c r="BN3" i="9"/>
  <c r="BL3" i="9"/>
  <c r="BK3" i="9"/>
  <c r="BJ3" i="9"/>
  <c r="BI3" i="9"/>
  <c r="BH3" i="9"/>
  <c r="BG3" i="9"/>
  <c r="BA3" i="9"/>
  <c r="AY3" i="9" s="1"/>
  <c r="AZ3" i="9"/>
  <c r="AX3" i="9"/>
  <c r="AW3" i="9"/>
  <c r="AV3" i="9"/>
  <c r="AU3" i="9"/>
  <c r="AT3" i="9"/>
  <c r="AS3" i="9"/>
  <c r="BD3" i="9" s="1"/>
  <c r="AR3" i="9"/>
  <c r="BC3" i="9" s="1"/>
  <c r="AP3" i="9"/>
  <c r="AJ3" i="9"/>
  <c r="AI3" i="9"/>
  <c r="AF3" i="9"/>
  <c r="AD3" i="9" s="1"/>
  <c r="AE3" i="9"/>
  <c r="AB3" i="9"/>
  <c r="Y3" i="9"/>
  <c r="AM3" i="9" s="1"/>
  <c r="X3" i="9"/>
  <c r="AL3" i="9" s="1"/>
  <c r="U3" i="9"/>
  <c r="R3" i="9"/>
  <c r="P3" i="9" s="1"/>
  <c r="Q3" i="9"/>
  <c r="N3" i="9"/>
  <c r="O3" i="9" s="1"/>
  <c r="J3" i="9"/>
  <c r="L3" i="9" s="1"/>
  <c r="F3" i="9"/>
  <c r="H3" i="9" s="1"/>
  <c r="E3" i="9"/>
  <c r="D3" i="9"/>
  <c r="C3" i="9"/>
  <c r="B3" i="9"/>
  <c r="A3" i="9"/>
  <c r="CB2" i="9"/>
  <c r="CA2" i="9"/>
  <c r="BZ2" i="9"/>
  <c r="BY2" i="9"/>
  <c r="BX2" i="9"/>
  <c r="BX59" i="9" s="1"/>
  <c r="BW2" i="9"/>
  <c r="BW59" i="9" s="1"/>
  <c r="BS2" i="9"/>
  <c r="BR2" i="9"/>
  <c r="BQ2" i="9"/>
  <c r="BP2" i="9"/>
  <c r="BO2" i="9"/>
  <c r="BN2" i="9"/>
  <c r="BN59" i="9" s="1"/>
  <c r="DE352" i="9" s="1"/>
  <c r="BL2" i="9"/>
  <c r="BK2" i="9"/>
  <c r="BJ2" i="9"/>
  <c r="BI2" i="9"/>
  <c r="BI59" i="9" s="1"/>
  <c r="BH2" i="9"/>
  <c r="BH59" i="9" s="1"/>
  <c r="BA2" i="9"/>
  <c r="BA59" i="9" s="1"/>
  <c r="DC204" i="9" s="1"/>
  <c r="AZ2" i="9"/>
  <c r="AX2" i="9"/>
  <c r="AW2" i="9"/>
  <c r="AV2" i="9"/>
  <c r="AU2" i="9"/>
  <c r="AU59" i="9" s="1"/>
  <c r="AT2" i="9"/>
  <c r="AS2" i="9"/>
  <c r="AR2" i="9"/>
  <c r="AP2" i="9"/>
  <c r="AJ2" i="9"/>
  <c r="AJ59" i="9" s="1"/>
  <c r="AF2" i="9"/>
  <c r="AE2" i="9"/>
  <c r="AB2" i="9"/>
  <c r="AC2" i="9" s="1"/>
  <c r="AC59" i="9" s="1"/>
  <c r="Y2" i="9"/>
  <c r="X2" i="9"/>
  <c r="W2" i="9"/>
  <c r="W59" i="9" s="1"/>
  <c r="V2" i="9"/>
  <c r="V59" i="9" s="1"/>
  <c r="U2" i="9"/>
  <c r="R2" i="9"/>
  <c r="Q2" i="9"/>
  <c r="P2" i="9"/>
  <c r="P59" i="9" s="1"/>
  <c r="N2" i="9"/>
  <c r="O2" i="9" s="1"/>
  <c r="L2" i="9"/>
  <c r="K2" i="9"/>
  <c r="J2" i="9"/>
  <c r="F2" i="9"/>
  <c r="E2" i="9"/>
  <c r="D2" i="9"/>
  <c r="C2" i="9"/>
  <c r="B2" i="9"/>
  <c r="A2" i="9"/>
  <c r="CT300" i="8"/>
  <c r="CT299" i="8"/>
  <c r="CT298" i="8"/>
  <c r="CT297" i="8"/>
  <c r="CT296" i="8"/>
  <c r="CT295" i="8"/>
  <c r="CT294" i="8"/>
  <c r="CT293" i="8"/>
  <c r="CT292" i="8"/>
  <c r="CT291" i="8"/>
  <c r="CT290" i="8"/>
  <c r="CT289" i="8"/>
  <c r="CT288" i="8"/>
  <c r="CT287" i="8"/>
  <c r="CT286" i="8"/>
  <c r="CT285" i="8"/>
  <c r="CT284" i="8"/>
  <c r="CT283" i="8"/>
  <c r="CT282" i="8"/>
  <c r="CT281" i="8"/>
  <c r="CT280" i="8"/>
  <c r="CT279" i="8"/>
  <c r="CT278" i="8"/>
  <c r="CT277" i="8"/>
  <c r="CT276" i="8"/>
  <c r="CT275" i="8"/>
  <c r="CT274" i="8"/>
  <c r="CT273" i="8"/>
  <c r="CT272" i="8"/>
  <c r="CT271" i="8"/>
  <c r="CT270" i="8"/>
  <c r="CT269" i="8"/>
  <c r="CT268" i="8"/>
  <c r="CT267" i="8"/>
  <c r="CT266" i="8"/>
  <c r="CT265" i="8"/>
  <c r="CT264" i="8"/>
  <c r="CT263" i="8"/>
  <c r="CT262" i="8"/>
  <c r="CT261" i="8"/>
  <c r="CT260" i="8"/>
  <c r="CT259" i="8"/>
  <c r="CT258" i="8"/>
  <c r="CT257" i="8"/>
  <c r="CT256" i="8"/>
  <c r="CT255" i="8"/>
  <c r="CT254" i="8"/>
  <c r="CT253" i="8"/>
  <c r="CT252" i="8"/>
  <c r="CT251" i="8"/>
  <c r="CT250" i="8"/>
  <c r="CT249" i="8"/>
  <c r="CT248" i="8"/>
  <c r="CT247" i="8"/>
  <c r="CT246" i="8"/>
  <c r="CT245" i="8"/>
  <c r="CT244" i="8"/>
  <c r="CT243" i="8"/>
  <c r="CT242" i="8"/>
  <c r="CT241" i="8"/>
  <c r="CT240" i="8"/>
  <c r="CT239" i="8"/>
  <c r="CT238" i="8"/>
  <c r="CT237" i="8"/>
  <c r="CT236" i="8"/>
  <c r="CT235" i="8"/>
  <c r="CT234" i="8"/>
  <c r="CT233" i="8"/>
  <c r="CT232" i="8"/>
  <c r="CT231" i="8"/>
  <c r="CT230" i="8"/>
  <c r="CT229" i="8"/>
  <c r="CT228" i="8"/>
  <c r="CT227" i="8"/>
  <c r="CT226" i="8"/>
  <c r="CT225" i="8"/>
  <c r="CT224" i="8"/>
  <c r="CT223" i="8"/>
  <c r="CT222" i="8"/>
  <c r="CT221" i="8"/>
  <c r="CT220" i="8"/>
  <c r="CT219" i="8"/>
  <c r="CT218" i="8"/>
  <c r="CT217" i="8"/>
  <c r="CT216" i="8"/>
  <c r="CT215" i="8"/>
  <c r="CT214" i="8"/>
  <c r="CT213" i="8"/>
  <c r="CT212" i="8"/>
  <c r="CT211" i="8"/>
  <c r="CT210" i="8"/>
  <c r="CT209" i="8"/>
  <c r="CT208" i="8"/>
  <c r="CT207" i="8"/>
  <c r="CT206" i="8"/>
  <c r="CT205" i="8"/>
  <c r="CT204" i="8"/>
  <c r="CT203" i="8"/>
  <c r="CT202" i="8"/>
  <c r="CT201" i="8"/>
  <c r="CT200" i="8"/>
  <c r="CT199" i="8"/>
  <c r="CT198" i="8"/>
  <c r="CT197" i="8"/>
  <c r="CT196" i="8"/>
  <c r="CT195" i="8"/>
  <c r="CT194" i="8"/>
  <c r="CT193" i="8"/>
  <c r="CT192" i="8"/>
  <c r="CT191" i="8"/>
  <c r="CT190" i="8"/>
  <c r="CT189" i="8"/>
  <c r="CT188" i="8"/>
  <c r="CT187" i="8"/>
  <c r="CT186" i="8"/>
  <c r="CT185" i="8"/>
  <c r="CT184" i="8"/>
  <c r="CT183" i="8"/>
  <c r="CT182" i="8"/>
  <c r="CT181" i="8"/>
  <c r="CT180" i="8"/>
  <c r="CT179" i="8"/>
  <c r="CT178" i="8"/>
  <c r="CT177" i="8"/>
  <c r="CT176" i="8"/>
  <c r="CT175" i="8"/>
  <c r="CT174" i="8"/>
  <c r="CT173" i="8"/>
  <c r="CT172" i="8"/>
  <c r="CT171" i="8"/>
  <c r="CT170" i="8"/>
  <c r="CT169" i="8"/>
  <c r="CB146" i="8"/>
  <c r="CA146" i="8"/>
  <c r="BW146" i="8"/>
  <c r="BP146" i="8"/>
  <c r="BL146" i="8"/>
  <c r="BH146" i="8"/>
  <c r="AX146" i="8"/>
  <c r="AW146" i="8"/>
  <c r="AV146" i="8"/>
  <c r="AU146" i="8"/>
  <c r="AT146" i="8"/>
  <c r="AS146" i="8"/>
  <c r="AR146" i="8"/>
  <c r="AQ146" i="8" s="1"/>
  <c r="AL146" i="8"/>
  <c r="AJ146" i="8"/>
  <c r="AF146" i="8"/>
  <c r="AE146" i="8"/>
  <c r="AD146" i="8"/>
  <c r="AB146" i="8"/>
  <c r="AC146" i="8" s="1"/>
  <c r="Y146" i="8"/>
  <c r="X146" i="8"/>
  <c r="W146" i="8"/>
  <c r="U146" i="8"/>
  <c r="V146" i="8" s="1"/>
  <c r="T146" i="8"/>
  <c r="S146" i="8"/>
  <c r="R146" i="8"/>
  <c r="Q146" i="8"/>
  <c r="B146" i="8"/>
  <c r="CB145" i="8"/>
  <c r="CA145" i="8"/>
  <c r="BW145" i="8"/>
  <c r="BP145" i="8"/>
  <c r="BL145" i="8"/>
  <c r="BH145" i="8"/>
  <c r="AX145" i="8"/>
  <c r="AW145" i="8"/>
  <c r="AV145" i="8"/>
  <c r="AU145" i="8" s="1"/>
  <c r="AT145" i="8"/>
  <c r="AS145" i="8"/>
  <c r="AR145" i="8"/>
  <c r="AQ145" i="8"/>
  <c r="AM145" i="8"/>
  <c r="AJ145" i="8"/>
  <c r="AG145" i="8"/>
  <c r="AF145" i="8"/>
  <c r="AH145" i="8" s="1"/>
  <c r="AE145" i="8"/>
  <c r="AC145" i="8"/>
  <c r="AB145" i="8"/>
  <c r="Y145" i="8"/>
  <c r="X145" i="8"/>
  <c r="AL145" i="8" s="1"/>
  <c r="W145" i="8"/>
  <c r="V145" i="8"/>
  <c r="U145" i="8"/>
  <c r="R145" i="8"/>
  <c r="Q145" i="8"/>
  <c r="P145" i="8"/>
  <c r="N145" i="8"/>
  <c r="O145" i="8" s="1"/>
  <c r="AI145" i="8" s="1"/>
  <c r="B145" i="8"/>
  <c r="D145" i="8" s="1"/>
  <c r="A145" i="8"/>
  <c r="AW144" i="8"/>
  <c r="AV144" i="8"/>
  <c r="AU144" i="8"/>
  <c r="AT144" i="8"/>
  <c r="AS144" i="8"/>
  <c r="AR144" i="8"/>
  <c r="AQ144" i="8"/>
  <c r="AJ144" i="8"/>
  <c r="AF144" i="8"/>
  <c r="AH144" i="8" s="1"/>
  <c r="AE144" i="8"/>
  <c r="AC144" i="8"/>
  <c r="AB144" i="8"/>
  <c r="Y144" i="8"/>
  <c r="X144" i="8"/>
  <c r="AL144" i="8" s="1"/>
  <c r="V144" i="8"/>
  <c r="AI144" i="8" s="1"/>
  <c r="U144" i="8"/>
  <c r="R144" i="8"/>
  <c r="T144" i="8" s="1"/>
  <c r="Q144" i="8"/>
  <c r="P144" i="8"/>
  <c r="CB143" i="8"/>
  <c r="CA143" i="8"/>
  <c r="BW143" i="8"/>
  <c r="BP143" i="8"/>
  <c r="BL143" i="8"/>
  <c r="BH143" i="8"/>
  <c r="AX143" i="8"/>
  <c r="AW143" i="8"/>
  <c r="AV143" i="8"/>
  <c r="AU143" i="8"/>
  <c r="AT143" i="8"/>
  <c r="AS143" i="8"/>
  <c r="AR143" i="8"/>
  <c r="AJ143" i="8"/>
  <c r="AF143" i="8"/>
  <c r="AE143" i="8"/>
  <c r="AD143" i="8"/>
  <c r="AC143" i="8"/>
  <c r="AB143" i="8"/>
  <c r="Y143" i="8"/>
  <c r="X143" i="8"/>
  <c r="AL143" i="8" s="1"/>
  <c r="W143" i="8"/>
  <c r="AK143" i="8" s="1"/>
  <c r="U143" i="8"/>
  <c r="V143" i="8" s="1"/>
  <c r="AI143" i="8" s="1"/>
  <c r="T143" i="8"/>
  <c r="R143" i="8"/>
  <c r="S143" i="8" s="1"/>
  <c r="Q143" i="8"/>
  <c r="P143" i="8"/>
  <c r="CB142" i="8"/>
  <c r="CA142" i="8"/>
  <c r="BW142" i="8"/>
  <c r="BP142" i="8"/>
  <c r="BL142" i="8"/>
  <c r="BH142" i="8"/>
  <c r="AX142" i="8"/>
  <c r="AW142" i="8"/>
  <c r="AV142" i="8"/>
  <c r="AU142" i="8"/>
  <c r="AT142" i="8"/>
  <c r="AS142" i="8"/>
  <c r="AQ142" i="8" s="1"/>
  <c r="AR142" i="8"/>
  <c r="AJ142" i="8"/>
  <c r="AF142" i="8"/>
  <c r="AE142" i="8"/>
  <c r="AD142" i="8"/>
  <c r="AC142" i="8"/>
  <c r="AB142" i="8"/>
  <c r="Y142" i="8"/>
  <c r="X142" i="8"/>
  <c r="AL142" i="8" s="1"/>
  <c r="W142" i="8"/>
  <c r="AK142" i="8" s="1"/>
  <c r="U142" i="8"/>
  <c r="V142" i="8" s="1"/>
  <c r="AI142" i="8" s="1"/>
  <c r="T142" i="8"/>
  <c r="R142" i="8"/>
  <c r="S142" i="8" s="1"/>
  <c r="Q142" i="8"/>
  <c r="P142" i="8"/>
  <c r="AW141" i="8"/>
  <c r="AV141" i="8"/>
  <c r="AU141" i="8" s="1"/>
  <c r="AT141" i="8"/>
  <c r="AS141" i="8"/>
  <c r="AR141" i="8"/>
  <c r="AQ141" i="8"/>
  <c r="AM141" i="8"/>
  <c r="AO141" i="8" s="1"/>
  <c r="AJ141" i="8"/>
  <c r="AG141" i="8"/>
  <c r="AF141" i="8"/>
  <c r="AH141" i="8" s="1"/>
  <c r="AE141" i="8"/>
  <c r="AC141" i="8"/>
  <c r="AB141" i="8"/>
  <c r="Y141" i="8"/>
  <c r="X141" i="8"/>
  <c r="AL141" i="8" s="1"/>
  <c r="W141" i="8"/>
  <c r="V141" i="8"/>
  <c r="AI141" i="8" s="1"/>
  <c r="U141" i="8"/>
  <c r="R141" i="8"/>
  <c r="T141" i="8" s="1"/>
  <c r="Q141" i="8"/>
  <c r="P141" i="8"/>
  <c r="AW140" i="8"/>
  <c r="AV140" i="8"/>
  <c r="AT140" i="8"/>
  <c r="AS140" i="8"/>
  <c r="AR140" i="8"/>
  <c r="AQ140" i="8"/>
  <c r="AJ140" i="8"/>
  <c r="AH140" i="8"/>
  <c r="AF140" i="8"/>
  <c r="AE140" i="8"/>
  <c r="AB140" i="8"/>
  <c r="AC140" i="8" s="1"/>
  <c r="AG140" i="8" s="1"/>
  <c r="Z140" i="8"/>
  <c r="Y140" i="8"/>
  <c r="AA140" i="8" s="1"/>
  <c r="X140" i="8"/>
  <c r="W140" i="8" s="1"/>
  <c r="V140" i="8"/>
  <c r="U140" i="8"/>
  <c r="R140" i="8"/>
  <c r="Q140" i="8"/>
  <c r="P140" i="8"/>
  <c r="CB139" i="8"/>
  <c r="CA139" i="8"/>
  <c r="BW139" i="8"/>
  <c r="BP139" i="8"/>
  <c r="BL139" i="8"/>
  <c r="BH139" i="8"/>
  <c r="AX139" i="8"/>
  <c r="AW139" i="8"/>
  <c r="AU139" i="8" s="1"/>
  <c r="AV139" i="8"/>
  <c r="AT139" i="8"/>
  <c r="AS139" i="8"/>
  <c r="AR139" i="8"/>
  <c r="AQ139" i="8"/>
  <c r="AJ139" i="8"/>
  <c r="AH139" i="8"/>
  <c r="AG139" i="8"/>
  <c r="AF139" i="8"/>
  <c r="AD139" i="8" s="1"/>
  <c r="AE139" i="8"/>
  <c r="AB139" i="8"/>
  <c r="AC139" i="8" s="1"/>
  <c r="Y139" i="8"/>
  <c r="AA139" i="8" s="1"/>
  <c r="X139" i="8"/>
  <c r="V139" i="8"/>
  <c r="U139" i="8"/>
  <c r="R139" i="8"/>
  <c r="Q139" i="8"/>
  <c r="P139" i="8"/>
  <c r="O139" i="8"/>
  <c r="AI139" i="8" s="1"/>
  <c r="N139" i="8"/>
  <c r="B139" i="8"/>
  <c r="A139" i="8"/>
  <c r="CB138" i="8"/>
  <c r="CA138" i="8"/>
  <c r="BW138" i="8"/>
  <c r="BP138" i="8"/>
  <c r="BL138" i="8"/>
  <c r="BH138" i="8"/>
  <c r="AX138" i="8"/>
  <c r="AW138" i="8"/>
  <c r="AU138" i="8" s="1"/>
  <c r="AV138" i="8"/>
  <c r="AT138" i="8"/>
  <c r="AS138" i="8"/>
  <c r="AR138" i="8"/>
  <c r="AQ138" i="8"/>
  <c r="AJ138" i="8"/>
  <c r="AF138" i="8"/>
  <c r="AH138" i="8" s="1"/>
  <c r="AE138" i="8"/>
  <c r="AC138" i="8"/>
  <c r="AB138" i="8"/>
  <c r="Y138" i="8"/>
  <c r="X138" i="8"/>
  <c r="W138" i="8"/>
  <c r="V138" i="8"/>
  <c r="AI138" i="8" s="1"/>
  <c r="U138" i="8"/>
  <c r="R138" i="8"/>
  <c r="T138" i="8" s="1"/>
  <c r="Q138" i="8"/>
  <c r="AL138" i="8" s="1"/>
  <c r="CB137" i="8"/>
  <c r="CA137" i="8"/>
  <c r="BW137" i="8"/>
  <c r="BP137" i="8"/>
  <c r="BL137" i="8"/>
  <c r="BH137" i="8"/>
  <c r="AX137" i="8"/>
  <c r="AW137" i="8"/>
  <c r="AV137" i="8"/>
  <c r="AU137" i="8"/>
  <c r="AT137" i="8"/>
  <c r="AS137" i="8"/>
  <c r="AR137" i="8"/>
  <c r="AQ137" i="8"/>
  <c r="AJ137" i="8"/>
  <c r="AG137" i="8"/>
  <c r="AF137" i="8"/>
  <c r="AH137" i="8" s="1"/>
  <c r="AE137" i="8"/>
  <c r="AD137" i="8"/>
  <c r="AC137" i="8"/>
  <c r="AB137" i="8"/>
  <c r="Y137" i="8"/>
  <c r="X137" i="8"/>
  <c r="AL137" i="8" s="1"/>
  <c r="W137" i="8"/>
  <c r="V137" i="8"/>
  <c r="U137" i="8"/>
  <c r="R137" i="8"/>
  <c r="Q137" i="8"/>
  <c r="P137" i="8" s="1"/>
  <c r="AK137" i="8" s="1"/>
  <c r="N137" i="8"/>
  <c r="O137" i="8" s="1"/>
  <c r="AI137" i="8" s="1"/>
  <c r="E137" i="8"/>
  <c r="B137" i="8"/>
  <c r="D137" i="8" s="1"/>
  <c r="A137" i="8"/>
  <c r="CB136" i="8"/>
  <c r="CA136" i="8"/>
  <c r="BW136" i="8"/>
  <c r="BP136" i="8"/>
  <c r="BL136" i="8"/>
  <c r="BK136" i="8"/>
  <c r="BJ136" i="8"/>
  <c r="BI136" i="8"/>
  <c r="BH136" i="8"/>
  <c r="BA136" i="8"/>
  <c r="BD136" i="8" s="1"/>
  <c r="AZ136" i="8"/>
  <c r="BC136" i="8" s="1"/>
  <c r="BF136" i="8" s="1"/>
  <c r="AY136" i="8"/>
  <c r="BB136" i="8" s="1"/>
  <c r="AX136" i="8"/>
  <c r="AW136" i="8"/>
  <c r="AU136" i="8" s="1"/>
  <c r="AV136" i="8"/>
  <c r="AT136" i="8"/>
  <c r="AS136" i="8"/>
  <c r="AR136" i="8"/>
  <c r="AQ136" i="8"/>
  <c r="AP136" i="8"/>
  <c r="AJ136" i="8"/>
  <c r="AF136" i="8"/>
  <c r="AE136" i="8"/>
  <c r="AD136" i="8"/>
  <c r="AC136" i="8"/>
  <c r="AG136" i="8" s="1"/>
  <c r="AB136" i="8"/>
  <c r="AA136" i="8"/>
  <c r="Z136" i="8"/>
  <c r="Y136" i="8"/>
  <c r="W136" i="8" s="1"/>
  <c r="X136" i="8"/>
  <c r="U136" i="8"/>
  <c r="V136" i="8" s="1"/>
  <c r="S136" i="8"/>
  <c r="R136" i="8"/>
  <c r="Q136" i="8"/>
  <c r="AL136" i="8" s="1"/>
  <c r="N136" i="8"/>
  <c r="O136" i="8" s="1"/>
  <c r="AI136" i="8" s="1"/>
  <c r="B136" i="8"/>
  <c r="D136" i="8" s="1"/>
  <c r="A136" i="8"/>
  <c r="CB135" i="8"/>
  <c r="CA135" i="8"/>
  <c r="BW135" i="8"/>
  <c r="BP135" i="8"/>
  <c r="BL135" i="8"/>
  <c r="BH135" i="8"/>
  <c r="AX135" i="8"/>
  <c r="AW135" i="8"/>
  <c r="AU135" i="8" s="1"/>
  <c r="AV135" i="8"/>
  <c r="AT135" i="8"/>
  <c r="AS135" i="8"/>
  <c r="AQ135" i="8" s="1"/>
  <c r="AR135" i="8"/>
  <c r="AJ135" i="8"/>
  <c r="AI135" i="8"/>
  <c r="AH135" i="8"/>
  <c r="AG135" i="8"/>
  <c r="AF135" i="8"/>
  <c r="AD135" i="8" s="1"/>
  <c r="AE135" i="8"/>
  <c r="AB135" i="8"/>
  <c r="AC135" i="8" s="1"/>
  <c r="Y135" i="8"/>
  <c r="W135" i="8" s="1"/>
  <c r="X135" i="8"/>
  <c r="U135" i="8"/>
  <c r="V135" i="8" s="1"/>
  <c r="T135" i="8"/>
  <c r="S135" i="8"/>
  <c r="R135" i="8"/>
  <c r="Q135" i="8"/>
  <c r="AL135" i="8" s="1"/>
  <c r="CB134" i="8"/>
  <c r="CA134" i="8"/>
  <c r="BZ134" i="8"/>
  <c r="BY134" i="8"/>
  <c r="BX134" i="8"/>
  <c r="BW134" i="8"/>
  <c r="BS134" i="8"/>
  <c r="BR134" i="8"/>
  <c r="BQ134" i="8"/>
  <c r="BP134" i="8"/>
  <c r="BO134" i="8"/>
  <c r="BN134" i="8"/>
  <c r="BU134" i="8" s="1"/>
  <c r="BL134" i="8"/>
  <c r="BK134" i="8"/>
  <c r="BJ134" i="8"/>
  <c r="BI134" i="8"/>
  <c r="BH134" i="8"/>
  <c r="BA134" i="8"/>
  <c r="BD134" i="8" s="1"/>
  <c r="AZ134" i="8"/>
  <c r="AX134" i="8"/>
  <c r="AW134" i="8"/>
  <c r="AU134" i="8" s="1"/>
  <c r="AV134" i="8"/>
  <c r="AT134" i="8"/>
  <c r="AS134" i="8"/>
  <c r="AQ134" i="8" s="1"/>
  <c r="AR134" i="8"/>
  <c r="AP134" i="8"/>
  <c r="AJ134" i="8"/>
  <c r="AF134" i="8"/>
  <c r="AE134" i="8"/>
  <c r="AD134" i="8"/>
  <c r="AB134" i="8"/>
  <c r="AC134" i="8" s="1"/>
  <c r="Z134" i="8"/>
  <c r="Y134" i="8"/>
  <c r="W134" i="8" s="1"/>
  <c r="X134" i="8"/>
  <c r="U134" i="8"/>
  <c r="V134" i="8" s="1"/>
  <c r="AA134" i="8" s="1"/>
  <c r="R134" i="8"/>
  <c r="T134" i="8" s="1"/>
  <c r="Q134" i="8"/>
  <c r="AL134" i="8" s="1"/>
  <c r="N134" i="8"/>
  <c r="O134" i="8" s="1"/>
  <c r="J134" i="8"/>
  <c r="L134" i="8" s="1"/>
  <c r="I134" i="8"/>
  <c r="H134" i="8"/>
  <c r="F134" i="8"/>
  <c r="G134" i="8" s="1"/>
  <c r="C134" i="8"/>
  <c r="B134" i="8"/>
  <c r="E134" i="8" s="1"/>
  <c r="A134" i="8"/>
  <c r="CB133" i="8"/>
  <c r="CA133" i="8"/>
  <c r="BZ133" i="8"/>
  <c r="BY133" i="8"/>
  <c r="BX133" i="8"/>
  <c r="BW133" i="8"/>
  <c r="BV133" i="8"/>
  <c r="BS133" i="8"/>
  <c r="BR133" i="8"/>
  <c r="BQ133" i="8"/>
  <c r="BP133" i="8"/>
  <c r="BO133" i="8"/>
  <c r="BN133" i="8"/>
  <c r="BM133" i="8" s="1"/>
  <c r="BT133" i="8" s="1"/>
  <c r="BL133" i="8"/>
  <c r="BK133" i="8"/>
  <c r="BJ133" i="8"/>
  <c r="BI133" i="8"/>
  <c r="BH133" i="8"/>
  <c r="BA133" i="8"/>
  <c r="AZ133" i="8"/>
  <c r="BC133" i="8" s="1"/>
  <c r="AX133" i="8"/>
  <c r="AW133" i="8"/>
  <c r="AV133" i="8"/>
  <c r="AT133" i="8"/>
  <c r="AS133" i="8"/>
  <c r="AR133" i="8"/>
  <c r="AQ133" i="8"/>
  <c r="AP133" i="8"/>
  <c r="AJ133" i="8"/>
  <c r="AI133" i="8"/>
  <c r="AH133" i="8"/>
  <c r="AG133" i="8"/>
  <c r="AF133" i="8"/>
  <c r="AD133" i="8" s="1"/>
  <c r="AE133" i="8"/>
  <c r="AB133" i="8"/>
  <c r="Y133" i="8"/>
  <c r="X133" i="8"/>
  <c r="U133" i="8"/>
  <c r="R133" i="8"/>
  <c r="P133" i="8" s="1"/>
  <c r="Q133" i="8"/>
  <c r="O133" i="8"/>
  <c r="N133" i="8"/>
  <c r="J133" i="8"/>
  <c r="L133" i="8" s="1"/>
  <c r="F133" i="8"/>
  <c r="I133" i="8" s="1"/>
  <c r="E133" i="8"/>
  <c r="B133" i="8"/>
  <c r="D133" i="8" s="1"/>
  <c r="A133" i="8"/>
  <c r="CB132" i="8"/>
  <c r="CA132" i="8"/>
  <c r="BZ132" i="8"/>
  <c r="BX132" i="8" s="1"/>
  <c r="BY132" i="8"/>
  <c r="BW132" i="8"/>
  <c r="BS132" i="8"/>
  <c r="BR132" i="8"/>
  <c r="BU132" i="8" s="1"/>
  <c r="BP132" i="8"/>
  <c r="BO132" i="8"/>
  <c r="BN132" i="8"/>
  <c r="BM132" i="8"/>
  <c r="BL132" i="8"/>
  <c r="BK132" i="8"/>
  <c r="BJ132" i="8"/>
  <c r="BH132" i="8"/>
  <c r="BE132" i="8"/>
  <c r="BD132" i="8"/>
  <c r="BA132" i="8"/>
  <c r="AY132" i="8" s="1"/>
  <c r="AZ132" i="8"/>
  <c r="AX132" i="8"/>
  <c r="AW132" i="8"/>
  <c r="AV132" i="8"/>
  <c r="AU132" i="8" s="1"/>
  <c r="BB132" i="8" s="1"/>
  <c r="AT132" i="8"/>
  <c r="AS132" i="8"/>
  <c r="AQ132" i="8" s="1"/>
  <c r="AR132" i="8"/>
  <c r="AP132" i="8"/>
  <c r="AM132" i="8"/>
  <c r="AO132" i="8" s="1"/>
  <c r="AJ132" i="8"/>
  <c r="AI132" i="8"/>
  <c r="AG132" i="8"/>
  <c r="AF132" i="8"/>
  <c r="AH132" i="8" s="1"/>
  <c r="AE132" i="8"/>
  <c r="AD132" i="8"/>
  <c r="AB132" i="8"/>
  <c r="Y132" i="8"/>
  <c r="AA132" i="8" s="1"/>
  <c r="X132" i="8"/>
  <c r="AL132" i="8" s="1"/>
  <c r="W132" i="8"/>
  <c r="AK132" i="8" s="1"/>
  <c r="U132" i="8"/>
  <c r="T132" i="8"/>
  <c r="S132" i="8"/>
  <c r="R132" i="8"/>
  <c r="Q132" i="8"/>
  <c r="P132" i="8"/>
  <c r="N132" i="8"/>
  <c r="L132" i="8"/>
  <c r="K132" i="8"/>
  <c r="J132" i="8"/>
  <c r="I132" i="8"/>
  <c r="F132" i="8"/>
  <c r="H132" i="8" s="1"/>
  <c r="E132" i="8"/>
  <c r="B132" i="8"/>
  <c r="D132" i="8" s="1"/>
  <c r="A132" i="8"/>
  <c r="CB131" i="8"/>
  <c r="CA131" i="8"/>
  <c r="BZ131" i="8"/>
  <c r="BY131" i="8"/>
  <c r="BX131" i="8" s="1"/>
  <c r="BW131" i="8"/>
  <c r="BS131" i="8"/>
  <c r="BR131" i="8"/>
  <c r="BQ131" i="8"/>
  <c r="BP131" i="8"/>
  <c r="BO131" i="8"/>
  <c r="BM131" i="8" s="1"/>
  <c r="BN131" i="8"/>
  <c r="BU131" i="8" s="1"/>
  <c r="BL131" i="8"/>
  <c r="BK131" i="8"/>
  <c r="BJ131" i="8"/>
  <c r="BI131" i="8"/>
  <c r="BH131" i="8"/>
  <c r="BF131" i="8"/>
  <c r="BA131" i="8"/>
  <c r="AZ131" i="8"/>
  <c r="BC131" i="8" s="1"/>
  <c r="AY131" i="8"/>
  <c r="AX131" i="8"/>
  <c r="AW131" i="8"/>
  <c r="AU131" i="8" s="1"/>
  <c r="AV131" i="8"/>
  <c r="AT131" i="8"/>
  <c r="AS131" i="8"/>
  <c r="AQ131" i="8" s="1"/>
  <c r="AR131" i="8"/>
  <c r="AP131" i="8"/>
  <c r="AJ131" i="8"/>
  <c r="AI131" i="8"/>
  <c r="AH131" i="8"/>
  <c r="AG131" i="8"/>
  <c r="AF131" i="8"/>
  <c r="AE131" i="8"/>
  <c r="AD131" i="8"/>
  <c r="AB131" i="8"/>
  <c r="Y131" i="8"/>
  <c r="W131" i="8" s="1"/>
  <c r="X131" i="8"/>
  <c r="U131" i="8"/>
  <c r="R131" i="8"/>
  <c r="Q131" i="8"/>
  <c r="AL131" i="8" s="1"/>
  <c r="N131" i="8"/>
  <c r="J131" i="8"/>
  <c r="L131" i="8" s="1"/>
  <c r="I131" i="8"/>
  <c r="F131" i="8"/>
  <c r="H131" i="8" s="1"/>
  <c r="E131" i="8"/>
  <c r="B131" i="8"/>
  <c r="D131" i="8" s="1"/>
  <c r="A131" i="8"/>
  <c r="CB130" i="8"/>
  <c r="CA130" i="8"/>
  <c r="BZ130" i="8"/>
  <c r="BX130" i="8" s="1"/>
  <c r="BY130" i="8"/>
  <c r="BW130" i="8"/>
  <c r="BS130" i="8"/>
  <c r="BR130" i="8"/>
  <c r="BU130" i="8" s="1"/>
  <c r="BP130" i="8"/>
  <c r="BO130" i="8"/>
  <c r="BN130" i="8"/>
  <c r="BM130" i="8"/>
  <c r="BL130" i="8"/>
  <c r="BK130" i="8"/>
  <c r="BJ130" i="8"/>
  <c r="BH130" i="8"/>
  <c r="BE130" i="8"/>
  <c r="BD130" i="8"/>
  <c r="BA130" i="8"/>
  <c r="AY130" i="8" s="1"/>
  <c r="AZ130" i="8"/>
  <c r="AX130" i="8"/>
  <c r="AW130" i="8"/>
  <c r="AV130" i="8"/>
  <c r="AU130" i="8" s="1"/>
  <c r="BB130" i="8" s="1"/>
  <c r="AT130" i="8"/>
  <c r="AS130" i="8"/>
  <c r="AQ130" i="8" s="1"/>
  <c r="AR130" i="8"/>
  <c r="AP130" i="8"/>
  <c r="AM130" i="8"/>
  <c r="AO130" i="8" s="1"/>
  <c r="AJ130" i="8"/>
  <c r="AI130" i="8"/>
  <c r="AG130" i="8"/>
  <c r="AF130" i="8"/>
  <c r="AH130" i="8" s="1"/>
  <c r="AE130" i="8"/>
  <c r="AD130" i="8"/>
  <c r="AB130" i="8"/>
  <c r="Y130" i="8"/>
  <c r="AA130" i="8" s="1"/>
  <c r="X130" i="8"/>
  <c r="AL130" i="8" s="1"/>
  <c r="W130" i="8"/>
  <c r="AK130" i="8" s="1"/>
  <c r="U130" i="8"/>
  <c r="T130" i="8"/>
  <c r="S130" i="8"/>
  <c r="R130" i="8"/>
  <c r="Q130" i="8"/>
  <c r="P130" i="8"/>
  <c r="N130" i="8"/>
  <c r="L130" i="8"/>
  <c r="K130" i="8"/>
  <c r="J130" i="8"/>
  <c r="I130" i="8"/>
  <c r="F130" i="8"/>
  <c r="H130" i="8" s="1"/>
  <c r="E130" i="8"/>
  <c r="B130" i="8"/>
  <c r="D130" i="8" s="1"/>
  <c r="A130" i="8"/>
  <c r="CB129" i="8"/>
  <c r="CA129" i="8"/>
  <c r="BZ129" i="8"/>
  <c r="BY129" i="8"/>
  <c r="BX129" i="8" s="1"/>
  <c r="BW129" i="8"/>
  <c r="BS129" i="8"/>
  <c r="BR129" i="8"/>
  <c r="BQ129" i="8"/>
  <c r="BP129" i="8"/>
  <c r="BO129" i="8"/>
  <c r="BM129" i="8" s="1"/>
  <c r="BN129" i="8"/>
  <c r="BL129" i="8"/>
  <c r="BK129" i="8"/>
  <c r="BJ129" i="8"/>
  <c r="BI129" i="8"/>
  <c r="BH129" i="8"/>
  <c r="BF129" i="8"/>
  <c r="BA129" i="8"/>
  <c r="AZ129" i="8"/>
  <c r="BC129" i="8" s="1"/>
  <c r="AY129" i="8"/>
  <c r="AX129" i="8"/>
  <c r="AW129" i="8"/>
  <c r="AU129" i="8" s="1"/>
  <c r="AV129" i="8"/>
  <c r="AT129" i="8"/>
  <c r="AS129" i="8"/>
  <c r="AQ129" i="8" s="1"/>
  <c r="AR129" i="8"/>
  <c r="AP129" i="8"/>
  <c r="AJ129" i="8"/>
  <c r="AI129" i="8"/>
  <c r="AH129" i="8"/>
  <c r="AG129" i="8"/>
  <c r="AF129" i="8"/>
  <c r="AE129" i="8"/>
  <c r="AD129" i="8"/>
  <c r="AB129" i="8"/>
  <c r="Y129" i="8"/>
  <c r="W129" i="8" s="1"/>
  <c r="X129" i="8"/>
  <c r="U129" i="8"/>
  <c r="R129" i="8"/>
  <c r="Q129" i="8"/>
  <c r="AL129" i="8" s="1"/>
  <c r="N129" i="8"/>
  <c r="J129" i="8"/>
  <c r="L129" i="8" s="1"/>
  <c r="F129" i="8"/>
  <c r="I129" i="8" s="1"/>
  <c r="B129" i="8"/>
  <c r="D129" i="8" s="1"/>
  <c r="A129" i="8"/>
  <c r="CB128" i="8"/>
  <c r="CA128" i="8"/>
  <c r="BZ128" i="8"/>
  <c r="BX128" i="8" s="1"/>
  <c r="BY128" i="8"/>
  <c r="BW128" i="8"/>
  <c r="BU128" i="8"/>
  <c r="BS128" i="8"/>
  <c r="BR128" i="8"/>
  <c r="BP128" i="8"/>
  <c r="BO128" i="8"/>
  <c r="BN128" i="8"/>
  <c r="BM128" i="8"/>
  <c r="BL128" i="8"/>
  <c r="BK128" i="8"/>
  <c r="BI128" i="8" s="1"/>
  <c r="BJ128" i="8"/>
  <c r="BH128" i="8"/>
  <c r="BD128" i="8"/>
  <c r="BC128" i="8"/>
  <c r="BA128" i="8"/>
  <c r="AY128" i="8" s="1"/>
  <c r="BB128" i="8" s="1"/>
  <c r="AZ128" i="8"/>
  <c r="AX128" i="8"/>
  <c r="AW128" i="8"/>
  <c r="AV128" i="8"/>
  <c r="AU128" i="8"/>
  <c r="AT128" i="8"/>
  <c r="AS128" i="8"/>
  <c r="AQ128" i="8" s="1"/>
  <c r="AR128" i="8"/>
  <c r="AP128" i="8"/>
  <c r="AL128" i="8"/>
  <c r="AJ128" i="8"/>
  <c r="AF128" i="8"/>
  <c r="AH128" i="8" s="1"/>
  <c r="AE128" i="8"/>
  <c r="AC128" i="8"/>
  <c r="AB128" i="8"/>
  <c r="Y128" i="8"/>
  <c r="W128" i="8" s="1"/>
  <c r="X128" i="8"/>
  <c r="V128" i="8"/>
  <c r="AI128" i="8" s="1"/>
  <c r="U128" i="8"/>
  <c r="R128" i="8"/>
  <c r="T128" i="8" s="1"/>
  <c r="Q128" i="8"/>
  <c r="P128" i="8"/>
  <c r="N128" i="8"/>
  <c r="L128" i="8"/>
  <c r="K128" i="8"/>
  <c r="J128" i="8"/>
  <c r="G128" i="8"/>
  <c r="F128" i="8"/>
  <c r="E128" i="8"/>
  <c r="D128" i="8"/>
  <c r="C128" i="8"/>
  <c r="B128" i="8"/>
  <c r="A128" i="8"/>
  <c r="CB127" i="8"/>
  <c r="CA127" i="8"/>
  <c r="BZ127" i="8"/>
  <c r="BY127" i="8"/>
  <c r="BX127" i="8"/>
  <c r="BW127" i="8"/>
  <c r="BS127" i="8"/>
  <c r="BR127" i="8"/>
  <c r="BU127" i="8" s="1"/>
  <c r="BQ127" i="8"/>
  <c r="BP127" i="8"/>
  <c r="BO127" i="8"/>
  <c r="BM127" i="8" s="1"/>
  <c r="BN127" i="8"/>
  <c r="BL127" i="8"/>
  <c r="BK127" i="8"/>
  <c r="BI127" i="8" s="1"/>
  <c r="BJ127" i="8"/>
  <c r="BH127" i="8"/>
  <c r="BA127" i="8"/>
  <c r="AZ127" i="8"/>
  <c r="BC127" i="8" s="1"/>
  <c r="BF127" i="8" s="1"/>
  <c r="AX127" i="8"/>
  <c r="AW127" i="8"/>
  <c r="AV127" i="8"/>
  <c r="AU127" i="8"/>
  <c r="AT127" i="8"/>
  <c r="AS127" i="8"/>
  <c r="AR127" i="8"/>
  <c r="AP127" i="8"/>
  <c r="AM127" i="8"/>
  <c r="AL127" i="8"/>
  <c r="AK127" i="8"/>
  <c r="AJ127" i="8"/>
  <c r="AI127" i="8"/>
  <c r="AF127" i="8"/>
  <c r="AH127" i="8" s="1"/>
  <c r="AE127" i="8"/>
  <c r="AD127" i="8"/>
  <c r="AB127" i="8"/>
  <c r="AA127" i="8"/>
  <c r="Z127" i="8"/>
  <c r="Y127" i="8"/>
  <c r="X127" i="8"/>
  <c r="W127" i="8"/>
  <c r="U127" i="8"/>
  <c r="S127" i="8"/>
  <c r="R127" i="8"/>
  <c r="P127" i="8" s="1"/>
  <c r="Q127" i="8"/>
  <c r="N127" i="8"/>
  <c r="K127" i="8"/>
  <c r="J127" i="8"/>
  <c r="L127" i="8" s="1"/>
  <c r="I127" i="8"/>
  <c r="H127" i="8"/>
  <c r="G127" i="8"/>
  <c r="F127" i="8"/>
  <c r="B127" i="8"/>
  <c r="A127" i="8"/>
  <c r="CB126" i="8"/>
  <c r="CA126" i="8"/>
  <c r="BZ126" i="8"/>
  <c r="BY126" i="8"/>
  <c r="BX126" i="8"/>
  <c r="BW126" i="8"/>
  <c r="BV126" i="8"/>
  <c r="BS126" i="8"/>
  <c r="BQ126" i="8" s="1"/>
  <c r="BT126" i="8" s="1"/>
  <c r="BR126" i="8"/>
  <c r="BP126" i="8"/>
  <c r="BO126" i="8"/>
  <c r="BN126" i="8"/>
  <c r="BU126" i="8" s="1"/>
  <c r="BM126" i="8"/>
  <c r="BL126" i="8"/>
  <c r="BK126" i="8"/>
  <c r="BI126" i="8" s="1"/>
  <c r="BJ126" i="8"/>
  <c r="BH126" i="8"/>
  <c r="BD126" i="8"/>
  <c r="BA126" i="8"/>
  <c r="AZ126" i="8"/>
  <c r="AY126" i="8"/>
  <c r="AX126" i="8"/>
  <c r="AW126" i="8"/>
  <c r="AU126" i="8" s="1"/>
  <c r="AV126" i="8"/>
  <c r="AT126" i="8"/>
  <c r="AS126" i="8"/>
  <c r="AR126" i="8"/>
  <c r="AQ126" i="8"/>
  <c r="AP126" i="8"/>
  <c r="AJ126" i="8"/>
  <c r="AI126" i="8"/>
  <c r="AH126" i="8"/>
  <c r="AG126" i="8"/>
  <c r="AF126" i="8"/>
  <c r="AD126" i="8" s="1"/>
  <c r="AE126" i="8"/>
  <c r="AB126" i="8"/>
  <c r="Z126" i="8"/>
  <c r="Y126" i="8"/>
  <c r="AA126" i="8" s="1"/>
  <c r="X126" i="8"/>
  <c r="W126" i="8"/>
  <c r="U126" i="8"/>
  <c r="R126" i="8"/>
  <c r="T126" i="8" s="1"/>
  <c r="Q126" i="8"/>
  <c r="P126" i="8"/>
  <c r="N126" i="8"/>
  <c r="L126" i="8"/>
  <c r="K126" i="8"/>
  <c r="J126" i="8"/>
  <c r="G126" i="8"/>
  <c r="F126" i="8"/>
  <c r="E126" i="8"/>
  <c r="D126" i="8"/>
  <c r="C126" i="8"/>
  <c r="B126" i="8"/>
  <c r="A126" i="8"/>
  <c r="CB125" i="8"/>
  <c r="CA125" i="8"/>
  <c r="BZ125" i="8"/>
  <c r="BY125" i="8"/>
  <c r="BX125" i="8"/>
  <c r="BW125" i="8"/>
  <c r="BS125" i="8"/>
  <c r="BR125" i="8"/>
  <c r="BU125" i="8" s="1"/>
  <c r="BQ125" i="8"/>
  <c r="BP125" i="8"/>
  <c r="BO125" i="8"/>
  <c r="BM125" i="8" s="1"/>
  <c r="BN125" i="8"/>
  <c r="BL125" i="8"/>
  <c r="BK125" i="8"/>
  <c r="BI125" i="8" s="1"/>
  <c r="BJ125" i="8"/>
  <c r="BH125" i="8"/>
  <c r="BA125" i="8"/>
  <c r="AZ125" i="8"/>
  <c r="BC125" i="8" s="1"/>
  <c r="BF125" i="8" s="1"/>
  <c r="AX125" i="8"/>
  <c r="AW125" i="8"/>
  <c r="AV125" i="8"/>
  <c r="AU125" i="8"/>
  <c r="AT125" i="8"/>
  <c r="AS125" i="8"/>
  <c r="AR125" i="8"/>
  <c r="AP125" i="8"/>
  <c r="AM125" i="8"/>
  <c r="AL125" i="8"/>
  <c r="AK125" i="8"/>
  <c r="AJ125" i="8"/>
  <c r="AI125" i="8"/>
  <c r="AF125" i="8"/>
  <c r="AH125" i="8" s="1"/>
  <c r="AE125" i="8"/>
  <c r="AD125" i="8"/>
  <c r="AB125" i="8"/>
  <c r="AA125" i="8"/>
  <c r="Z125" i="8"/>
  <c r="Y125" i="8"/>
  <c r="X125" i="8"/>
  <c r="W125" i="8"/>
  <c r="U125" i="8"/>
  <c r="S125" i="8"/>
  <c r="R125" i="8"/>
  <c r="P125" i="8" s="1"/>
  <c r="Q125" i="8"/>
  <c r="N125" i="8"/>
  <c r="K125" i="8"/>
  <c r="J125" i="8"/>
  <c r="L125" i="8" s="1"/>
  <c r="I125" i="8"/>
  <c r="H125" i="8"/>
  <c r="G125" i="8"/>
  <c r="F125" i="8"/>
  <c r="B125" i="8"/>
  <c r="A125" i="8"/>
  <c r="CB124" i="8"/>
  <c r="CA124" i="8"/>
  <c r="BZ124" i="8"/>
  <c r="BY124" i="8"/>
  <c r="BX124" i="8"/>
  <c r="BW124" i="8"/>
  <c r="BV124" i="8"/>
  <c r="BS124" i="8"/>
  <c r="BQ124" i="8" s="1"/>
  <c r="BT124" i="8" s="1"/>
  <c r="BR124" i="8"/>
  <c r="BP124" i="8"/>
  <c r="BO124" i="8"/>
  <c r="BN124" i="8"/>
  <c r="BU124" i="8" s="1"/>
  <c r="BM124" i="8"/>
  <c r="BL124" i="8"/>
  <c r="BK124" i="8"/>
  <c r="BI124" i="8" s="1"/>
  <c r="BJ124" i="8"/>
  <c r="BH124" i="8"/>
  <c r="BD124" i="8"/>
  <c r="BA124" i="8"/>
  <c r="AZ124" i="8"/>
  <c r="AY124" i="8"/>
  <c r="AX124" i="8"/>
  <c r="AW124" i="8"/>
  <c r="AU124" i="8" s="1"/>
  <c r="AV124" i="8"/>
  <c r="AT124" i="8"/>
  <c r="AS124" i="8"/>
  <c r="AR124" i="8"/>
  <c r="AQ124" i="8"/>
  <c r="AP124" i="8"/>
  <c r="AJ124" i="8"/>
  <c r="AH124" i="8"/>
  <c r="AF124" i="8"/>
  <c r="AD124" i="8" s="1"/>
  <c r="AE124" i="8"/>
  <c r="AB124" i="8"/>
  <c r="AC124" i="8" s="1"/>
  <c r="AG124" i="8" s="1"/>
  <c r="AA124" i="8"/>
  <c r="Y124" i="8"/>
  <c r="X124" i="8"/>
  <c r="U124" i="8"/>
  <c r="R124" i="8"/>
  <c r="Q124" i="8"/>
  <c r="P124" i="8" s="1"/>
  <c r="O124" i="8"/>
  <c r="AI124" i="8" s="1"/>
  <c r="N124" i="8"/>
  <c r="J124" i="8"/>
  <c r="L124" i="8" s="1"/>
  <c r="I124" i="8"/>
  <c r="F124" i="8"/>
  <c r="G124" i="8" s="1"/>
  <c r="B124" i="8"/>
  <c r="D124" i="8" s="1"/>
  <c r="A124" i="8"/>
  <c r="CB123" i="8"/>
  <c r="CA123" i="8"/>
  <c r="BZ123" i="8"/>
  <c r="BX123" i="8" s="1"/>
  <c r="BY123" i="8"/>
  <c r="BW123" i="8"/>
  <c r="BS123" i="8"/>
  <c r="BR123" i="8"/>
  <c r="BU123" i="8" s="1"/>
  <c r="BP123" i="8"/>
  <c r="BO123" i="8"/>
  <c r="BN123" i="8"/>
  <c r="BM123" i="8"/>
  <c r="BL123" i="8"/>
  <c r="BK123" i="8"/>
  <c r="BJ123" i="8"/>
  <c r="BH123" i="8"/>
  <c r="BD123" i="8"/>
  <c r="BA123" i="8"/>
  <c r="AY123" i="8" s="1"/>
  <c r="BB123" i="8" s="1"/>
  <c r="AZ123" i="8"/>
  <c r="AX123" i="8"/>
  <c r="AW123" i="8"/>
  <c r="AV123" i="8"/>
  <c r="BC123" i="8" s="1"/>
  <c r="BF123" i="8" s="1"/>
  <c r="AU123" i="8"/>
  <c r="AT123" i="8"/>
  <c r="AS123" i="8"/>
  <c r="AQ123" i="8" s="1"/>
  <c r="AR123" i="8"/>
  <c r="AP123" i="8"/>
  <c r="AL123" i="8"/>
  <c r="AJ123" i="8"/>
  <c r="AF123" i="8"/>
  <c r="AH123" i="8" s="1"/>
  <c r="AE123" i="8"/>
  <c r="AD123" i="8"/>
  <c r="AC123" i="8"/>
  <c r="AB123" i="8"/>
  <c r="Y123" i="8"/>
  <c r="X123" i="8"/>
  <c r="V123" i="8"/>
  <c r="U123" i="8"/>
  <c r="R123" i="8"/>
  <c r="Q123" i="8"/>
  <c r="P123" i="8"/>
  <c r="O123" i="8"/>
  <c r="AI123" i="8" s="1"/>
  <c r="N123" i="8"/>
  <c r="L123" i="8"/>
  <c r="K123" i="8"/>
  <c r="J123" i="8"/>
  <c r="H123" i="8"/>
  <c r="F123" i="8"/>
  <c r="I123" i="8" s="1"/>
  <c r="E123" i="8"/>
  <c r="D123" i="8"/>
  <c r="C123" i="8"/>
  <c r="B123" i="8"/>
  <c r="A123" i="8"/>
  <c r="CB122" i="8"/>
  <c r="CA122" i="8"/>
  <c r="BZ122" i="8"/>
  <c r="BY122" i="8"/>
  <c r="BW122" i="8"/>
  <c r="BS122" i="8"/>
  <c r="BR122" i="8"/>
  <c r="BQ122" i="8"/>
  <c r="BT122" i="8" s="1"/>
  <c r="BP122" i="8"/>
  <c r="BO122" i="8"/>
  <c r="BN122" i="8"/>
  <c r="BM122" i="8"/>
  <c r="BL122" i="8"/>
  <c r="BK122" i="8"/>
  <c r="BJ122" i="8"/>
  <c r="BI122" i="8"/>
  <c r="BH122" i="8"/>
  <c r="BD122" i="8"/>
  <c r="BC122" i="8"/>
  <c r="BA122" i="8"/>
  <c r="AY122" i="8" s="1"/>
  <c r="AZ122" i="8"/>
  <c r="AX122" i="8"/>
  <c r="AW122" i="8"/>
  <c r="AV122" i="8"/>
  <c r="AU122" i="8"/>
  <c r="BB122" i="8" s="1"/>
  <c r="AT122" i="8"/>
  <c r="AS122" i="8"/>
  <c r="AQ122" i="8" s="1"/>
  <c r="AR122" i="8"/>
  <c r="AP122" i="8"/>
  <c r="AM122" i="8"/>
  <c r="AJ122" i="8"/>
  <c r="AF122" i="8"/>
  <c r="AE122" i="8"/>
  <c r="AD122" i="8"/>
  <c r="AC122" i="8"/>
  <c r="AB122" i="8"/>
  <c r="Y122" i="8"/>
  <c r="AA122" i="8" s="1"/>
  <c r="X122" i="8"/>
  <c r="AL122" i="8" s="1"/>
  <c r="W122" i="8"/>
  <c r="V122" i="8"/>
  <c r="U122" i="8"/>
  <c r="R122" i="8"/>
  <c r="Q122" i="8"/>
  <c r="P122" i="8"/>
  <c r="AK122" i="8" s="1"/>
  <c r="N122" i="8"/>
  <c r="O122" i="8" s="1"/>
  <c r="L122" i="8"/>
  <c r="K122" i="8"/>
  <c r="J122" i="8"/>
  <c r="G122" i="8"/>
  <c r="F122" i="8"/>
  <c r="E122" i="8"/>
  <c r="D122" i="8"/>
  <c r="C122" i="8"/>
  <c r="B122" i="8"/>
  <c r="A122" i="8"/>
  <c r="CB121" i="8"/>
  <c r="CA121" i="8"/>
  <c r="BZ121" i="8"/>
  <c r="BY121" i="8"/>
  <c r="BX121" i="8" s="1"/>
  <c r="BW121" i="8"/>
  <c r="BS121" i="8"/>
  <c r="BV121" i="8" s="1"/>
  <c r="BR121" i="8"/>
  <c r="BP121" i="8"/>
  <c r="BO121" i="8"/>
  <c r="BM121" i="8" s="1"/>
  <c r="BN121" i="8"/>
  <c r="BL121" i="8"/>
  <c r="BK121" i="8"/>
  <c r="BI121" i="8" s="1"/>
  <c r="BJ121" i="8"/>
  <c r="BH121" i="8"/>
  <c r="BA121" i="8"/>
  <c r="AZ121" i="8"/>
  <c r="BC121" i="8" s="1"/>
  <c r="BF121" i="8" s="1"/>
  <c r="AX121" i="8"/>
  <c r="AW121" i="8"/>
  <c r="AV121" i="8"/>
  <c r="AU121" i="8"/>
  <c r="AT121" i="8"/>
  <c r="AS121" i="8"/>
  <c r="AR121" i="8"/>
  <c r="AP121" i="8"/>
  <c r="AL121" i="8"/>
  <c r="AJ121" i="8"/>
  <c r="AI121" i="8"/>
  <c r="AF121" i="8"/>
  <c r="AH121" i="8" s="1"/>
  <c r="AE121" i="8"/>
  <c r="AD121" i="8" s="1"/>
  <c r="AB121" i="8"/>
  <c r="AA121" i="8"/>
  <c r="Z121" i="8"/>
  <c r="Y121" i="8"/>
  <c r="X121" i="8"/>
  <c r="W121" i="8"/>
  <c r="U121" i="8"/>
  <c r="R121" i="8"/>
  <c r="P121" i="8" s="1"/>
  <c r="AK121" i="8" s="1"/>
  <c r="Q121" i="8"/>
  <c r="N121" i="8"/>
  <c r="K121" i="8"/>
  <c r="J121" i="8"/>
  <c r="L121" i="8" s="1"/>
  <c r="I121" i="8"/>
  <c r="H121" i="8"/>
  <c r="G121" i="8"/>
  <c r="F121" i="8"/>
  <c r="C121" i="8"/>
  <c r="B121" i="8"/>
  <c r="A121" i="8"/>
  <c r="CB120" i="8"/>
  <c r="CA120" i="8"/>
  <c r="BZ120" i="8"/>
  <c r="BY120" i="8"/>
  <c r="BX120" i="8"/>
  <c r="BW120" i="8"/>
  <c r="BU120" i="8"/>
  <c r="BS120" i="8"/>
  <c r="BQ120" i="8" s="1"/>
  <c r="BR120" i="8"/>
  <c r="BP120" i="8"/>
  <c r="BO120" i="8"/>
  <c r="BV120" i="8" s="1"/>
  <c r="BN120" i="8"/>
  <c r="BL120" i="8"/>
  <c r="BK120" i="8"/>
  <c r="BI120" i="8" s="1"/>
  <c r="BJ120" i="8"/>
  <c r="BH120" i="8"/>
  <c r="BA120" i="8"/>
  <c r="AZ120" i="8"/>
  <c r="AY120" i="8"/>
  <c r="AX120" i="8"/>
  <c r="AW120" i="8"/>
  <c r="AV120" i="8"/>
  <c r="AT120" i="8"/>
  <c r="AS120" i="8"/>
  <c r="AR120" i="8"/>
  <c r="AQ120" i="8"/>
  <c r="AP120" i="8"/>
  <c r="AJ120" i="8"/>
  <c r="AF120" i="8"/>
  <c r="AD120" i="8" s="1"/>
  <c r="AE120" i="8"/>
  <c r="AB120" i="8"/>
  <c r="AC120" i="8" s="1"/>
  <c r="AG120" i="8" s="1"/>
  <c r="AA120" i="8"/>
  <c r="Z120" i="8"/>
  <c r="Y120" i="8"/>
  <c r="W120" i="8" s="1"/>
  <c r="X120" i="8"/>
  <c r="V120" i="8"/>
  <c r="U120" i="8"/>
  <c r="S120" i="8"/>
  <c r="R120" i="8"/>
  <c r="Q120" i="8"/>
  <c r="AL120" i="8" s="1"/>
  <c r="P120" i="8"/>
  <c r="AK120" i="8" s="1"/>
  <c r="O120" i="8"/>
  <c r="N120" i="8"/>
  <c r="J120" i="8"/>
  <c r="I120" i="8"/>
  <c r="H120" i="8"/>
  <c r="G120" i="8"/>
  <c r="F120" i="8"/>
  <c r="B120" i="8"/>
  <c r="A120" i="8"/>
  <c r="CB119" i="8"/>
  <c r="CA119" i="8"/>
  <c r="BZ119" i="8"/>
  <c r="BX119" i="8" s="1"/>
  <c r="BY119" i="8"/>
  <c r="BW119" i="8"/>
  <c r="BV119" i="8"/>
  <c r="BU119" i="8"/>
  <c r="BS119" i="8"/>
  <c r="BQ119" i="8" s="1"/>
  <c r="BR119" i="8"/>
  <c r="BP119" i="8"/>
  <c r="BO119" i="8"/>
  <c r="BN119" i="8"/>
  <c r="BM119" i="8"/>
  <c r="BT119" i="8" s="1"/>
  <c r="BL119" i="8"/>
  <c r="BK119" i="8"/>
  <c r="BI119" i="8" s="1"/>
  <c r="BJ119" i="8"/>
  <c r="BH119" i="8"/>
  <c r="BD119" i="8"/>
  <c r="BA119" i="8"/>
  <c r="AZ119" i="8"/>
  <c r="AY119" i="8"/>
  <c r="AX119" i="8"/>
  <c r="AW119" i="8"/>
  <c r="AV119" i="8"/>
  <c r="AU119" i="8" s="1"/>
  <c r="AT119" i="8"/>
  <c r="AS119" i="8"/>
  <c r="AR119" i="8"/>
  <c r="AQ119" i="8"/>
  <c r="AP119" i="8"/>
  <c r="AJ119" i="8"/>
  <c r="AI119" i="8"/>
  <c r="AF119" i="8"/>
  <c r="AD119" i="8" s="1"/>
  <c r="AE119" i="8"/>
  <c r="AC119" i="8"/>
  <c r="AB119" i="8"/>
  <c r="Y119" i="8"/>
  <c r="AA119" i="8" s="1"/>
  <c r="X119" i="8"/>
  <c r="V119" i="8"/>
  <c r="U119" i="8"/>
  <c r="R119" i="8"/>
  <c r="AM119" i="8" s="1"/>
  <c r="Q119" i="8"/>
  <c r="AL119" i="8" s="1"/>
  <c r="N119" i="8"/>
  <c r="L119" i="8"/>
  <c r="K119" i="8"/>
  <c r="J119" i="8"/>
  <c r="G119" i="8"/>
  <c r="F119" i="8"/>
  <c r="I119" i="8" s="1"/>
  <c r="E119" i="8"/>
  <c r="D119" i="8"/>
  <c r="C119" i="8"/>
  <c r="B119" i="8"/>
  <c r="A119" i="8"/>
  <c r="CB118" i="8"/>
  <c r="CA118" i="8"/>
  <c r="BZ118" i="8"/>
  <c r="BY118" i="8"/>
  <c r="BW118" i="8"/>
  <c r="BS118" i="8"/>
  <c r="BR118" i="8"/>
  <c r="BQ118" i="8" s="1"/>
  <c r="BT118" i="8" s="1"/>
  <c r="BP118" i="8"/>
  <c r="BO118" i="8"/>
  <c r="BN118" i="8"/>
  <c r="BM118" i="8"/>
  <c r="BL118" i="8"/>
  <c r="BK118" i="8"/>
  <c r="BJ118" i="8"/>
  <c r="BI118" i="8" s="1"/>
  <c r="BH118" i="8"/>
  <c r="BA118" i="8"/>
  <c r="AY118" i="8" s="1"/>
  <c r="AZ118" i="8"/>
  <c r="AX118" i="8"/>
  <c r="AW118" i="8"/>
  <c r="AV118" i="8"/>
  <c r="AU118" i="8" s="1"/>
  <c r="BB118" i="8" s="1"/>
  <c r="AT118" i="8"/>
  <c r="AS118" i="8"/>
  <c r="AQ118" i="8" s="1"/>
  <c r="AR118" i="8"/>
  <c r="AP118" i="8"/>
  <c r="AL118" i="8"/>
  <c r="AJ118" i="8"/>
  <c r="AF118" i="8"/>
  <c r="AE118" i="8"/>
  <c r="AC118" i="8"/>
  <c r="AB118" i="8"/>
  <c r="Y118" i="8"/>
  <c r="X118" i="8"/>
  <c r="W118" i="8"/>
  <c r="V118" i="8"/>
  <c r="AI118" i="8" s="1"/>
  <c r="U118" i="8"/>
  <c r="T118" i="8"/>
  <c r="S118" i="8"/>
  <c r="R118" i="8"/>
  <c r="Q118" i="8"/>
  <c r="P118" i="8"/>
  <c r="N118" i="8"/>
  <c r="L118" i="8"/>
  <c r="K118" i="8"/>
  <c r="J118" i="8"/>
  <c r="F118" i="8"/>
  <c r="E118" i="8"/>
  <c r="D118" i="8"/>
  <c r="C118" i="8"/>
  <c r="B118" i="8"/>
  <c r="A118" i="8"/>
  <c r="CB117" i="8"/>
  <c r="CA117" i="8"/>
  <c r="BZ117" i="8"/>
  <c r="BY117" i="8"/>
  <c r="BX117" i="8"/>
  <c r="BW117" i="8"/>
  <c r="BS117" i="8"/>
  <c r="BR117" i="8"/>
  <c r="BU117" i="8" s="1"/>
  <c r="BP117" i="8"/>
  <c r="BO117" i="8"/>
  <c r="BN117" i="8"/>
  <c r="BL117" i="8"/>
  <c r="BK117" i="8"/>
  <c r="BJ117" i="8"/>
  <c r="BI117" i="8"/>
  <c r="BH117" i="8"/>
  <c r="BA117" i="8"/>
  <c r="AZ117" i="8"/>
  <c r="AY117" i="8" s="1"/>
  <c r="AX117" i="8"/>
  <c r="AW117" i="8"/>
  <c r="AV117" i="8"/>
  <c r="AU117" i="8"/>
  <c r="AT117" i="8"/>
  <c r="AS117" i="8"/>
  <c r="AR117" i="8"/>
  <c r="AQ117" i="8" s="1"/>
  <c r="AP117" i="8"/>
  <c r="AL117" i="8"/>
  <c r="AJ117" i="8"/>
  <c r="AF117" i="8"/>
  <c r="AE117" i="8"/>
  <c r="AD117" i="8"/>
  <c r="AB117" i="8"/>
  <c r="AC117" i="8" s="1"/>
  <c r="Y117" i="8"/>
  <c r="X117" i="8"/>
  <c r="W117" i="8"/>
  <c r="V117" i="8"/>
  <c r="Z117" i="8" s="1"/>
  <c r="U117" i="8"/>
  <c r="T117" i="8"/>
  <c r="S117" i="8"/>
  <c r="R117" i="8"/>
  <c r="P117" i="8" s="1"/>
  <c r="AK117" i="8" s="1"/>
  <c r="Q117" i="8"/>
  <c r="N117" i="8"/>
  <c r="K117" i="8"/>
  <c r="J117" i="8"/>
  <c r="L117" i="8" s="1"/>
  <c r="I117" i="8"/>
  <c r="H117" i="8"/>
  <c r="G117" i="8"/>
  <c r="F117" i="8"/>
  <c r="B117" i="8"/>
  <c r="E117" i="8" s="1"/>
  <c r="A117" i="8"/>
  <c r="CB116" i="8"/>
  <c r="CA116" i="8"/>
  <c r="BZ116" i="8"/>
  <c r="BY116" i="8"/>
  <c r="BX116" i="8"/>
  <c r="BW116" i="8"/>
  <c r="BV116" i="8"/>
  <c r="BU116" i="8"/>
  <c r="BS116" i="8"/>
  <c r="BR116" i="8"/>
  <c r="BQ116" i="8"/>
  <c r="BP116" i="8"/>
  <c r="BO116" i="8"/>
  <c r="BN116" i="8"/>
  <c r="BM116" i="8"/>
  <c r="BT116" i="8" s="1"/>
  <c r="BL116" i="8"/>
  <c r="BK116" i="8"/>
  <c r="BJ116" i="8"/>
  <c r="BI116" i="8"/>
  <c r="BH116" i="8"/>
  <c r="BA116" i="8"/>
  <c r="AZ116" i="8"/>
  <c r="BC116" i="8" s="1"/>
  <c r="AY116" i="8"/>
  <c r="AX116" i="8"/>
  <c r="AW116" i="8"/>
  <c r="AV116" i="8"/>
  <c r="AT116" i="8"/>
  <c r="AS116" i="8"/>
  <c r="AR116" i="8"/>
  <c r="AQ116" i="8"/>
  <c r="AP116" i="8"/>
  <c r="AJ116" i="8"/>
  <c r="AI116" i="8"/>
  <c r="AH116" i="8"/>
  <c r="AG116" i="8"/>
  <c r="AF116" i="8"/>
  <c r="AD116" i="8" s="1"/>
  <c r="AE116" i="8"/>
  <c r="AB116" i="8"/>
  <c r="Y116" i="8"/>
  <c r="W116" i="8" s="1"/>
  <c r="X116" i="8"/>
  <c r="V116" i="8"/>
  <c r="U116" i="8"/>
  <c r="R116" i="8"/>
  <c r="Q116" i="8"/>
  <c r="O116" i="8"/>
  <c r="N116" i="8"/>
  <c r="J116" i="8"/>
  <c r="I116" i="8"/>
  <c r="H116" i="8"/>
  <c r="G116" i="8"/>
  <c r="F116" i="8"/>
  <c r="B116" i="8"/>
  <c r="A116" i="8"/>
  <c r="CB115" i="8"/>
  <c r="CA115" i="8"/>
  <c r="BZ115" i="8"/>
  <c r="BX115" i="8" s="1"/>
  <c r="BY115" i="8"/>
  <c r="BW115" i="8"/>
  <c r="BS115" i="8"/>
  <c r="BQ115" i="8" s="1"/>
  <c r="BR115" i="8"/>
  <c r="BO115" i="8"/>
  <c r="BN115" i="8"/>
  <c r="BM115" i="8"/>
  <c r="BT115" i="8" s="1"/>
  <c r="BK115" i="8"/>
  <c r="BJ115" i="8"/>
  <c r="BU115" i="8" s="1"/>
  <c r="BI115" i="8"/>
  <c r="BA115" i="8"/>
  <c r="AZ115" i="8"/>
  <c r="BC115" i="8" s="1"/>
  <c r="BF115" i="8" s="1"/>
  <c r="AW115" i="8"/>
  <c r="AV115" i="8"/>
  <c r="AU115" i="8"/>
  <c r="AT115" i="8"/>
  <c r="AS115" i="8"/>
  <c r="AR115" i="8"/>
  <c r="AQ115" i="8" s="1"/>
  <c r="AJ115" i="8"/>
  <c r="AI115" i="8"/>
  <c r="AH115" i="8"/>
  <c r="AG115" i="8"/>
  <c r="AF115" i="8"/>
  <c r="AE115" i="8"/>
  <c r="AD115" i="8"/>
  <c r="AB115" i="8"/>
  <c r="AA115" i="8"/>
  <c r="Y115" i="8"/>
  <c r="W115" i="8" s="1"/>
  <c r="X115" i="8"/>
  <c r="U115" i="8"/>
  <c r="R115" i="8"/>
  <c r="Q115" i="8"/>
  <c r="AL115" i="8" s="1"/>
  <c r="L115" i="8"/>
  <c r="K115" i="8"/>
  <c r="J115" i="8"/>
  <c r="F115" i="8"/>
  <c r="E115" i="8"/>
  <c r="D115" i="8"/>
  <c r="C115" i="8"/>
  <c r="B115" i="8"/>
  <c r="A115" i="8"/>
  <c r="CB114" i="8"/>
  <c r="CA114" i="8"/>
  <c r="BZ114" i="8"/>
  <c r="BY114" i="8"/>
  <c r="BX114" i="8"/>
  <c r="BW114" i="8"/>
  <c r="BS114" i="8"/>
  <c r="BV114" i="8" s="1"/>
  <c r="BR114" i="8"/>
  <c r="BU114" i="8" s="1"/>
  <c r="BP114" i="8"/>
  <c r="BO114" i="8"/>
  <c r="BM114" i="8" s="1"/>
  <c r="BN114" i="8"/>
  <c r="BL114" i="8"/>
  <c r="BK114" i="8"/>
  <c r="BJ114" i="8"/>
  <c r="BI114" i="8"/>
  <c r="BH114" i="8"/>
  <c r="BA114" i="8"/>
  <c r="AZ114" i="8"/>
  <c r="BC114" i="8" s="1"/>
  <c r="BF114" i="8" s="1"/>
  <c r="AX114" i="8"/>
  <c r="AW114" i="8"/>
  <c r="AV114" i="8"/>
  <c r="AU114" i="8"/>
  <c r="AT114" i="8"/>
  <c r="AS114" i="8"/>
  <c r="AQ114" i="8" s="1"/>
  <c r="AR114" i="8"/>
  <c r="AP114" i="8"/>
  <c r="AL114" i="8"/>
  <c r="AK114" i="8"/>
  <c r="AJ114" i="8"/>
  <c r="AI114" i="8"/>
  <c r="AF114" i="8"/>
  <c r="AH114" i="8" s="1"/>
  <c r="AE114" i="8"/>
  <c r="AD114" i="8"/>
  <c r="AB114" i="8"/>
  <c r="AA114" i="8"/>
  <c r="Z114" i="8"/>
  <c r="Y114" i="8"/>
  <c r="X114" i="8"/>
  <c r="W114" i="8"/>
  <c r="U114" i="8"/>
  <c r="T114" i="8"/>
  <c r="R114" i="8"/>
  <c r="P114" i="8" s="1"/>
  <c r="Q114" i="8"/>
  <c r="N114" i="8"/>
  <c r="J114" i="8"/>
  <c r="L114" i="8" s="1"/>
  <c r="I114" i="8"/>
  <c r="H114" i="8"/>
  <c r="G114" i="8"/>
  <c r="F114" i="8"/>
  <c r="C114" i="8"/>
  <c r="B114" i="8"/>
  <c r="A114" i="8"/>
  <c r="CB113" i="8"/>
  <c r="CA113" i="8"/>
  <c r="BZ113" i="8"/>
  <c r="BY113" i="8"/>
  <c r="BX113" i="8"/>
  <c r="BW113" i="8"/>
  <c r="BS113" i="8"/>
  <c r="BQ113" i="8" s="1"/>
  <c r="BR113" i="8"/>
  <c r="BO113" i="8"/>
  <c r="BN113" i="8"/>
  <c r="BU113" i="8" s="1"/>
  <c r="BM113" i="8"/>
  <c r="BT113" i="8" s="1"/>
  <c r="BK113" i="8"/>
  <c r="BI113" i="8" s="1"/>
  <c r="BJ113" i="8"/>
  <c r="BA113" i="8"/>
  <c r="AY113" i="8" s="1"/>
  <c r="AZ113" i="8"/>
  <c r="AW113" i="8"/>
  <c r="AV113" i="8"/>
  <c r="AU113" i="8"/>
  <c r="AT113" i="8"/>
  <c r="AS113" i="8"/>
  <c r="AR113" i="8"/>
  <c r="BC113" i="8" s="1"/>
  <c r="AJ113" i="8"/>
  <c r="AI113" i="8"/>
  <c r="AH113" i="8"/>
  <c r="AG113" i="8"/>
  <c r="AF113" i="8"/>
  <c r="AE113" i="8"/>
  <c r="AD113" i="8"/>
  <c r="AB113" i="8"/>
  <c r="AA113" i="8"/>
  <c r="Z113" i="8"/>
  <c r="Y113" i="8"/>
  <c r="W113" i="8" s="1"/>
  <c r="X113" i="8"/>
  <c r="U113" i="8"/>
  <c r="T113" i="8"/>
  <c r="R113" i="8"/>
  <c r="Q113" i="8"/>
  <c r="AL113" i="8" s="1"/>
  <c r="J113" i="8"/>
  <c r="L113" i="8" s="1"/>
  <c r="F113" i="8"/>
  <c r="I113" i="8" s="1"/>
  <c r="E113" i="8"/>
  <c r="B113" i="8"/>
  <c r="D113" i="8" s="1"/>
  <c r="A113" i="8"/>
  <c r="CB112" i="8"/>
  <c r="CA112" i="8"/>
  <c r="BZ112" i="8"/>
  <c r="BX112" i="8" s="1"/>
  <c r="BY112" i="8"/>
  <c r="BW112" i="8"/>
  <c r="BS112" i="8"/>
  <c r="BR112" i="8"/>
  <c r="BP112" i="8"/>
  <c r="BO112" i="8"/>
  <c r="BN112" i="8"/>
  <c r="BM112" i="8"/>
  <c r="BL112" i="8"/>
  <c r="BK112" i="8"/>
  <c r="BJ112" i="8"/>
  <c r="BU112" i="8" s="1"/>
  <c r="BH112" i="8"/>
  <c r="BD112" i="8"/>
  <c r="BC112" i="8"/>
  <c r="BA112" i="8"/>
  <c r="AY112" i="8" s="1"/>
  <c r="AZ112" i="8"/>
  <c r="AX112" i="8"/>
  <c r="AW112" i="8"/>
  <c r="AV112" i="8"/>
  <c r="AU112" i="8"/>
  <c r="AT112" i="8"/>
  <c r="AS112" i="8"/>
  <c r="AQ112" i="8" s="1"/>
  <c r="BB112" i="8" s="1"/>
  <c r="AR112" i="8"/>
  <c r="AP112" i="8"/>
  <c r="AJ112" i="8"/>
  <c r="AG112" i="8"/>
  <c r="AF112" i="8"/>
  <c r="AH112" i="8" s="1"/>
  <c r="AE112" i="8"/>
  <c r="AL112" i="8" s="1"/>
  <c r="AD112" i="8"/>
  <c r="AC112" i="8"/>
  <c r="AB112" i="8"/>
  <c r="Y112" i="8"/>
  <c r="X112" i="8"/>
  <c r="W112" i="8"/>
  <c r="V112" i="8"/>
  <c r="U112" i="8"/>
  <c r="R112" i="8"/>
  <c r="T112" i="8" s="1"/>
  <c r="Q112" i="8"/>
  <c r="P112" i="8" s="1"/>
  <c r="AK112" i="8" s="1"/>
  <c r="O112" i="8"/>
  <c r="N112" i="8"/>
  <c r="L112" i="8"/>
  <c r="K112" i="8"/>
  <c r="J112" i="8"/>
  <c r="H112" i="8"/>
  <c r="G112" i="8"/>
  <c r="F112" i="8"/>
  <c r="I112" i="8" s="1"/>
  <c r="E112" i="8"/>
  <c r="D112" i="8"/>
  <c r="C112" i="8"/>
  <c r="B112" i="8"/>
  <c r="A112" i="8"/>
  <c r="CB111" i="8"/>
  <c r="CA111" i="8"/>
  <c r="BZ111" i="8"/>
  <c r="BY111" i="8"/>
  <c r="BW111" i="8"/>
  <c r="BS111" i="8"/>
  <c r="BR111" i="8"/>
  <c r="BQ111" i="8"/>
  <c r="BT111" i="8" s="1"/>
  <c r="BP111" i="8"/>
  <c r="BO111" i="8"/>
  <c r="BN111" i="8"/>
  <c r="BM111" i="8"/>
  <c r="BL111" i="8"/>
  <c r="BK111" i="8"/>
  <c r="BJ111" i="8"/>
  <c r="BI111" i="8"/>
  <c r="BH111" i="8"/>
  <c r="BC111" i="8"/>
  <c r="BA111" i="8"/>
  <c r="AY111" i="8" s="1"/>
  <c r="BB111" i="8" s="1"/>
  <c r="AZ111" i="8"/>
  <c r="AX111" i="8"/>
  <c r="AW111" i="8"/>
  <c r="AV111" i="8"/>
  <c r="AU111" i="8" s="1"/>
  <c r="AT111" i="8"/>
  <c r="AS111" i="8"/>
  <c r="AQ111" i="8" s="1"/>
  <c r="AR111" i="8"/>
  <c r="AP111" i="8"/>
  <c r="AM111" i="8"/>
  <c r="AJ111" i="8"/>
  <c r="AF111" i="8"/>
  <c r="AE111" i="8"/>
  <c r="AD111" i="8" s="1"/>
  <c r="AC111" i="8"/>
  <c r="AB111" i="8"/>
  <c r="Y111" i="8"/>
  <c r="X111" i="8"/>
  <c r="W111" i="8"/>
  <c r="U111" i="8"/>
  <c r="V111" i="8" s="1"/>
  <c r="R111" i="8"/>
  <c r="Q111" i="8"/>
  <c r="P111" i="8"/>
  <c r="AK111" i="8" s="1"/>
  <c r="O111" i="8"/>
  <c r="N111" i="8"/>
  <c r="L111" i="8"/>
  <c r="K111" i="8"/>
  <c r="J111" i="8"/>
  <c r="F111" i="8"/>
  <c r="E111" i="8"/>
  <c r="D111" i="8"/>
  <c r="C111" i="8"/>
  <c r="B111" i="8"/>
  <c r="A111" i="8"/>
  <c r="CB110" i="8"/>
  <c r="CA110" i="8"/>
  <c r="BZ110" i="8"/>
  <c r="BX110" i="8" s="1"/>
  <c r="BY110" i="8"/>
  <c r="BW110" i="8"/>
  <c r="BS110" i="8"/>
  <c r="BV110" i="8" s="1"/>
  <c r="BR110" i="8"/>
  <c r="BQ110" i="8"/>
  <c r="BP110" i="8"/>
  <c r="BO110" i="8"/>
  <c r="BM110" i="8" s="1"/>
  <c r="BN110" i="8"/>
  <c r="BL110" i="8"/>
  <c r="BK110" i="8"/>
  <c r="BJ110" i="8"/>
  <c r="BI110" i="8" s="1"/>
  <c r="BH110" i="8"/>
  <c r="BA110" i="8"/>
  <c r="AZ110" i="8"/>
  <c r="AX110" i="8"/>
  <c r="AW110" i="8"/>
  <c r="AV110" i="8"/>
  <c r="AU110" i="8"/>
  <c r="AT110" i="8"/>
  <c r="AS110" i="8"/>
  <c r="AR110" i="8"/>
  <c r="BC110" i="8" s="1"/>
  <c r="AP110" i="8"/>
  <c r="AM110" i="8"/>
  <c r="AJ110" i="8"/>
  <c r="AF110" i="8"/>
  <c r="AH110" i="8" s="1"/>
  <c r="AE110" i="8"/>
  <c r="AL110" i="8" s="1"/>
  <c r="AD110" i="8"/>
  <c r="AC110" i="8"/>
  <c r="AB110" i="8"/>
  <c r="Y110" i="8"/>
  <c r="X110" i="8"/>
  <c r="W110" i="8"/>
  <c r="AK110" i="8" s="1"/>
  <c r="U110" i="8"/>
  <c r="V110" i="8" s="1"/>
  <c r="R110" i="8"/>
  <c r="Q110" i="8"/>
  <c r="P110" i="8"/>
  <c r="N110" i="8"/>
  <c r="O110" i="8" s="1"/>
  <c r="L110" i="8"/>
  <c r="K110" i="8"/>
  <c r="J110" i="8"/>
  <c r="F110" i="8"/>
  <c r="E110" i="8"/>
  <c r="D110" i="8"/>
  <c r="C110" i="8"/>
  <c r="B110" i="8"/>
  <c r="A110" i="8"/>
  <c r="CB109" i="8"/>
  <c r="CA109" i="8"/>
  <c r="BZ109" i="8"/>
  <c r="BY109" i="8"/>
  <c r="BX109" i="8"/>
  <c r="BW109" i="8"/>
  <c r="BS109" i="8"/>
  <c r="BR109" i="8"/>
  <c r="BQ109" i="8"/>
  <c r="BP109" i="8"/>
  <c r="BO109" i="8"/>
  <c r="BN109" i="8"/>
  <c r="BL109" i="8"/>
  <c r="BK109" i="8"/>
  <c r="BJ109" i="8"/>
  <c r="BI109" i="8" s="1"/>
  <c r="BH109" i="8"/>
  <c r="BA109" i="8"/>
  <c r="AZ109" i="8"/>
  <c r="AY109" i="8" s="1"/>
  <c r="BB109" i="8" s="1"/>
  <c r="AX109" i="8"/>
  <c r="AW109" i="8"/>
  <c r="AV109" i="8"/>
  <c r="AU109" i="8"/>
  <c r="AT109" i="8"/>
  <c r="AS109" i="8"/>
  <c r="AR109" i="8"/>
  <c r="AQ109" i="8" s="1"/>
  <c r="AP109" i="8"/>
  <c r="AL109" i="8"/>
  <c r="AJ109" i="8"/>
  <c r="AF109" i="8"/>
  <c r="AE109" i="8"/>
  <c r="AD109" i="8"/>
  <c r="AC109" i="8"/>
  <c r="AB109" i="8"/>
  <c r="AA109" i="8"/>
  <c r="Y109" i="8"/>
  <c r="X109" i="8"/>
  <c r="W109" i="8"/>
  <c r="V109" i="8"/>
  <c r="Z109" i="8" s="1"/>
  <c r="U109" i="8"/>
  <c r="T109" i="8"/>
  <c r="S109" i="8"/>
  <c r="R109" i="8"/>
  <c r="P109" i="8" s="1"/>
  <c r="AK109" i="8" s="1"/>
  <c r="Q109" i="8"/>
  <c r="N109" i="8"/>
  <c r="K109" i="8"/>
  <c r="J109" i="8"/>
  <c r="L109" i="8" s="1"/>
  <c r="I109" i="8"/>
  <c r="H109" i="8"/>
  <c r="G109" i="8"/>
  <c r="F109" i="8"/>
  <c r="B109" i="8"/>
  <c r="E109" i="8" s="1"/>
  <c r="A109" i="8"/>
  <c r="CB108" i="8"/>
  <c r="CA108" i="8"/>
  <c r="BZ108" i="8"/>
  <c r="BY108" i="8"/>
  <c r="BX108" i="8"/>
  <c r="BW108" i="8"/>
  <c r="BV108" i="8"/>
  <c r="BU108" i="8"/>
  <c r="BS108" i="8"/>
  <c r="BR108" i="8"/>
  <c r="BQ108" i="8"/>
  <c r="BP108" i="8"/>
  <c r="BO108" i="8"/>
  <c r="BN108" i="8"/>
  <c r="BM108" i="8"/>
  <c r="BT108" i="8" s="1"/>
  <c r="BL108" i="8"/>
  <c r="BK108" i="8"/>
  <c r="BJ108" i="8"/>
  <c r="BI108" i="8"/>
  <c r="BH108" i="8"/>
  <c r="BA108" i="8"/>
  <c r="AZ108" i="8"/>
  <c r="BC108" i="8" s="1"/>
  <c r="BF108" i="8" s="1"/>
  <c r="AX108" i="8"/>
  <c r="AW108" i="8"/>
  <c r="AV108" i="8"/>
  <c r="AT108" i="8"/>
  <c r="AS108" i="8"/>
  <c r="AR108" i="8"/>
  <c r="AQ108" i="8"/>
  <c r="AP108" i="8"/>
  <c r="AJ108" i="8"/>
  <c r="AI108" i="8"/>
  <c r="AH108" i="8"/>
  <c r="AG108" i="8"/>
  <c r="AF108" i="8"/>
  <c r="AD108" i="8" s="1"/>
  <c r="AE108" i="8"/>
  <c r="AB108" i="8"/>
  <c r="AA108" i="8"/>
  <c r="Z108" i="8"/>
  <c r="Y108" i="8"/>
  <c r="W108" i="8" s="1"/>
  <c r="X108" i="8"/>
  <c r="U108" i="8"/>
  <c r="R108" i="8"/>
  <c r="Q108" i="8"/>
  <c r="AL108" i="8" s="1"/>
  <c r="N108" i="8"/>
  <c r="L108" i="8"/>
  <c r="K108" i="8"/>
  <c r="J108" i="8"/>
  <c r="F108" i="8"/>
  <c r="I108" i="8" s="1"/>
  <c r="E108" i="8"/>
  <c r="D108" i="8"/>
  <c r="C108" i="8"/>
  <c r="B108" i="8"/>
  <c r="A108" i="8"/>
  <c r="CB107" i="8"/>
  <c r="CA107" i="8"/>
  <c r="BZ107" i="8"/>
  <c r="BX107" i="8" s="1"/>
  <c r="BY107" i="8"/>
  <c r="BW107" i="8"/>
  <c r="BT107" i="8"/>
  <c r="BS107" i="8"/>
  <c r="BR107" i="8"/>
  <c r="BQ107" i="8"/>
  <c r="BP107" i="8"/>
  <c r="BO107" i="8"/>
  <c r="BN107" i="8"/>
  <c r="BM107" i="8"/>
  <c r="BL107" i="8"/>
  <c r="BK107" i="8"/>
  <c r="BJ107" i="8"/>
  <c r="BI107" i="8"/>
  <c r="BH107" i="8"/>
  <c r="BC107" i="8"/>
  <c r="BF107" i="8" s="1"/>
  <c r="BA107" i="8"/>
  <c r="AY107" i="8" s="1"/>
  <c r="BB107" i="8" s="1"/>
  <c r="AZ107" i="8"/>
  <c r="AX107" i="8"/>
  <c r="AW107" i="8"/>
  <c r="AV107" i="8"/>
  <c r="AU107" i="8"/>
  <c r="AT107" i="8"/>
  <c r="AS107" i="8"/>
  <c r="AQ107" i="8" s="1"/>
  <c r="AR107" i="8"/>
  <c r="AP107" i="8"/>
  <c r="AL107" i="8"/>
  <c r="AJ107" i="8"/>
  <c r="AI107" i="8"/>
  <c r="AF107" i="8"/>
  <c r="AE107" i="8"/>
  <c r="AB107" i="8"/>
  <c r="AA107" i="8"/>
  <c r="Z107" i="8"/>
  <c r="Y107" i="8"/>
  <c r="X107" i="8"/>
  <c r="W107" i="8"/>
  <c r="U107" i="8"/>
  <c r="T107" i="8"/>
  <c r="S107" i="8"/>
  <c r="R107" i="8"/>
  <c r="P107" i="8" s="1"/>
  <c r="Q107" i="8"/>
  <c r="N107" i="8"/>
  <c r="L107" i="8"/>
  <c r="K107" i="8"/>
  <c r="J107" i="8"/>
  <c r="I107" i="8"/>
  <c r="H107" i="8"/>
  <c r="G107" i="8"/>
  <c r="F107" i="8"/>
  <c r="B107" i="8"/>
  <c r="E107" i="8" s="1"/>
  <c r="A107" i="8"/>
  <c r="CB106" i="8"/>
  <c r="CA106" i="8"/>
  <c r="BZ106" i="8"/>
  <c r="BY106" i="8"/>
  <c r="BX106" i="8"/>
  <c r="BW106" i="8"/>
  <c r="BV106" i="8"/>
  <c r="BS106" i="8"/>
  <c r="BR106" i="8"/>
  <c r="BQ106" i="8"/>
  <c r="BP106" i="8"/>
  <c r="BO106" i="8"/>
  <c r="BN106" i="8"/>
  <c r="BU106" i="8" s="1"/>
  <c r="BM106" i="8"/>
  <c r="BT106" i="8" s="1"/>
  <c r="BL106" i="8"/>
  <c r="BK106" i="8"/>
  <c r="BJ106" i="8"/>
  <c r="BI106" i="8"/>
  <c r="BH106" i="8"/>
  <c r="BA106" i="8"/>
  <c r="AZ106" i="8"/>
  <c r="AY106" i="8"/>
  <c r="AX106" i="8"/>
  <c r="AW106" i="8"/>
  <c r="AV106" i="8"/>
  <c r="AT106" i="8"/>
  <c r="AS106" i="8"/>
  <c r="AR106" i="8"/>
  <c r="AQ106" i="8" s="1"/>
  <c r="AP106" i="8"/>
  <c r="AJ106" i="8"/>
  <c r="AI106" i="8"/>
  <c r="AH106" i="8"/>
  <c r="AG106" i="8"/>
  <c r="AF106" i="8"/>
  <c r="AD106" i="8" s="1"/>
  <c r="AE106" i="8"/>
  <c r="AB106" i="8"/>
  <c r="Z106" i="8"/>
  <c r="Y106" i="8"/>
  <c r="X106" i="8"/>
  <c r="U106" i="8"/>
  <c r="R106" i="8"/>
  <c r="Q106" i="8"/>
  <c r="P106" i="8"/>
  <c r="N106" i="8"/>
  <c r="L106" i="8"/>
  <c r="K106" i="8"/>
  <c r="J106" i="8"/>
  <c r="H106" i="8"/>
  <c r="G106" i="8"/>
  <c r="F106" i="8"/>
  <c r="I106" i="8" s="1"/>
  <c r="E106" i="8"/>
  <c r="D106" i="8"/>
  <c r="B106" i="8"/>
  <c r="C106" i="8" s="1"/>
  <c r="A106" i="8"/>
  <c r="CB105" i="8"/>
  <c r="CA105" i="8"/>
  <c r="BZ105" i="8"/>
  <c r="BX105" i="8" s="1"/>
  <c r="BY105" i="8"/>
  <c r="BW105" i="8"/>
  <c r="BS105" i="8"/>
  <c r="BQ105" i="8" s="1"/>
  <c r="BT105" i="8" s="1"/>
  <c r="BR105" i="8"/>
  <c r="BP105" i="8"/>
  <c r="BO105" i="8"/>
  <c r="BN105" i="8"/>
  <c r="BM105" i="8"/>
  <c r="BL105" i="8"/>
  <c r="BK105" i="8"/>
  <c r="BI105" i="8" s="1"/>
  <c r="BJ105" i="8"/>
  <c r="BH105" i="8"/>
  <c r="BA105" i="8"/>
  <c r="AY105" i="8" s="1"/>
  <c r="AZ105" i="8"/>
  <c r="AX105" i="8"/>
  <c r="AW105" i="8"/>
  <c r="AV105" i="8"/>
  <c r="BC105" i="8" s="1"/>
  <c r="BF105" i="8" s="1"/>
  <c r="AT105" i="8"/>
  <c r="AS105" i="8"/>
  <c r="AQ105" i="8" s="1"/>
  <c r="AR105" i="8"/>
  <c r="AP105" i="8"/>
  <c r="AM105" i="8"/>
  <c r="AO105" i="8" s="1"/>
  <c r="AL105" i="8"/>
  <c r="AJ105" i="8"/>
  <c r="AI105" i="8"/>
  <c r="AF105" i="8"/>
  <c r="AE105" i="8"/>
  <c r="AD105" i="8" s="1"/>
  <c r="AB105" i="8"/>
  <c r="AA105" i="8"/>
  <c r="Y105" i="8"/>
  <c r="Z105" i="8" s="1"/>
  <c r="X105" i="8"/>
  <c r="W105" i="8"/>
  <c r="U105" i="8"/>
  <c r="T105" i="8"/>
  <c r="S105" i="8"/>
  <c r="R105" i="8"/>
  <c r="P105" i="8" s="1"/>
  <c r="Q105" i="8"/>
  <c r="N105" i="8"/>
  <c r="J105" i="8"/>
  <c r="L105" i="8" s="1"/>
  <c r="I105" i="8"/>
  <c r="H105" i="8"/>
  <c r="F105" i="8"/>
  <c r="G105" i="8" s="1"/>
  <c r="D105" i="8"/>
  <c r="C105" i="8"/>
  <c r="B105" i="8"/>
  <c r="E105" i="8" s="1"/>
  <c r="A105" i="8"/>
  <c r="CB104" i="8"/>
  <c r="CA104" i="8"/>
  <c r="BZ104" i="8"/>
  <c r="BY104" i="8"/>
  <c r="BX104" i="8"/>
  <c r="BW104" i="8"/>
  <c r="BU104" i="8"/>
  <c r="BS104" i="8"/>
  <c r="BR104" i="8"/>
  <c r="BQ104" i="8"/>
  <c r="BP104" i="8"/>
  <c r="BO104" i="8"/>
  <c r="BV104" i="8" s="1"/>
  <c r="BN104" i="8"/>
  <c r="BL104" i="8"/>
  <c r="BK104" i="8"/>
  <c r="BJ104" i="8"/>
  <c r="BI104" i="8"/>
  <c r="BH104" i="8"/>
  <c r="BA104" i="8"/>
  <c r="AZ104" i="8"/>
  <c r="BC104" i="8" s="1"/>
  <c r="BF104" i="8" s="1"/>
  <c r="AY104" i="8"/>
  <c r="AX104" i="8"/>
  <c r="AW104" i="8"/>
  <c r="AV104" i="8"/>
  <c r="AT104" i="8"/>
  <c r="AS104" i="8"/>
  <c r="AR104" i="8"/>
  <c r="AQ104" i="8"/>
  <c r="AP104" i="8"/>
  <c r="AJ104" i="8"/>
  <c r="AI104" i="8"/>
  <c r="AF104" i="8"/>
  <c r="AD104" i="8" s="1"/>
  <c r="AE104" i="8"/>
  <c r="AB104" i="8"/>
  <c r="AC104" i="8" s="1"/>
  <c r="AG104" i="8" s="1"/>
  <c r="Y104" i="8"/>
  <c r="W104" i="8" s="1"/>
  <c r="X104" i="8"/>
  <c r="U104" i="8"/>
  <c r="V104" i="8" s="1"/>
  <c r="R104" i="8"/>
  <c r="Q104" i="8"/>
  <c r="AL104" i="8" s="1"/>
  <c r="N104" i="8"/>
  <c r="O104" i="8" s="1"/>
  <c r="K104" i="8"/>
  <c r="J104" i="8"/>
  <c r="L104" i="8" s="1"/>
  <c r="I104" i="8"/>
  <c r="H104" i="8"/>
  <c r="G104" i="8"/>
  <c r="F104" i="8"/>
  <c r="B104" i="8"/>
  <c r="A104" i="8"/>
  <c r="CB103" i="8"/>
  <c r="CA103" i="8"/>
  <c r="BW103" i="8"/>
  <c r="BP103" i="8"/>
  <c r="BL103" i="8"/>
  <c r="BH103" i="8"/>
  <c r="AX103" i="8"/>
  <c r="AW103" i="8"/>
  <c r="AU103" i="8" s="1"/>
  <c r="AV103" i="8"/>
  <c r="AT103" i="8"/>
  <c r="AS103" i="8"/>
  <c r="AR103" i="8"/>
  <c r="AQ103" i="8"/>
  <c r="AJ103" i="8"/>
  <c r="AF103" i="8"/>
  <c r="AE103" i="8"/>
  <c r="AB103" i="8"/>
  <c r="AC103" i="8" s="1"/>
  <c r="Y103" i="8"/>
  <c r="AA103" i="8" s="1"/>
  <c r="X103" i="8"/>
  <c r="V103" i="8"/>
  <c r="U103" i="8"/>
  <c r="R103" i="8"/>
  <c r="P103" i="8" s="1"/>
  <c r="Q103" i="8"/>
  <c r="E103" i="8"/>
  <c r="D103" i="8"/>
  <c r="B103" i="8"/>
  <c r="C103" i="8" s="1"/>
  <c r="CB97" i="8"/>
  <c r="CA97" i="8"/>
  <c r="BZ97" i="8"/>
  <c r="BX97" i="8" s="1"/>
  <c r="BY97" i="8"/>
  <c r="BW97" i="8"/>
  <c r="BS97" i="8"/>
  <c r="BQ97" i="8" s="1"/>
  <c r="BT97" i="8" s="1"/>
  <c r="BR97" i="8"/>
  <c r="BP97" i="8"/>
  <c r="BO97" i="8"/>
  <c r="BN97" i="8"/>
  <c r="BM97" i="8" s="1"/>
  <c r="BL97" i="8"/>
  <c r="BK97" i="8"/>
  <c r="BI97" i="8" s="1"/>
  <c r="BJ97" i="8"/>
  <c r="BH97" i="8"/>
  <c r="BA97" i="8"/>
  <c r="AZ97" i="8"/>
  <c r="AY97" i="8"/>
  <c r="AX97" i="8"/>
  <c r="AW97" i="8"/>
  <c r="BD97" i="8" s="1"/>
  <c r="AV97" i="8"/>
  <c r="BC97" i="8" s="1"/>
  <c r="BF97" i="8" s="1"/>
  <c r="AT97" i="8"/>
  <c r="AS97" i="8"/>
  <c r="AR97" i="8"/>
  <c r="AQ97" i="8"/>
  <c r="AP97" i="8"/>
  <c r="AJ97" i="8"/>
  <c r="AF97" i="8"/>
  <c r="AD97" i="8" s="1"/>
  <c r="AE97" i="8"/>
  <c r="AB97" i="8"/>
  <c r="AC97" i="8" s="1"/>
  <c r="Z97" i="8"/>
  <c r="Y97" i="8"/>
  <c r="AA97" i="8" s="1"/>
  <c r="X97" i="8"/>
  <c r="V97" i="8"/>
  <c r="U97" i="8"/>
  <c r="R97" i="8"/>
  <c r="AM97" i="8" s="1"/>
  <c r="Q97" i="8"/>
  <c r="AL97" i="8" s="1"/>
  <c r="P97" i="8"/>
  <c r="O97" i="8"/>
  <c r="N97" i="8"/>
  <c r="J97" i="8"/>
  <c r="L97" i="8" s="1"/>
  <c r="H97" i="8"/>
  <c r="F97" i="8"/>
  <c r="I97" i="8" s="1"/>
  <c r="E97" i="8"/>
  <c r="B97" i="8"/>
  <c r="D97" i="8" s="1"/>
  <c r="A97" i="8"/>
  <c r="CB96" i="8"/>
  <c r="CA96" i="8"/>
  <c r="BZ96" i="8"/>
  <c r="BX96" i="8" s="1"/>
  <c r="BY96" i="8"/>
  <c r="BW96" i="8"/>
  <c r="BU96" i="8"/>
  <c r="BS96" i="8"/>
  <c r="BR96" i="8"/>
  <c r="BP96" i="8"/>
  <c r="BO96" i="8"/>
  <c r="BN96" i="8"/>
  <c r="BM96" i="8"/>
  <c r="BL96" i="8"/>
  <c r="BK96" i="8"/>
  <c r="BI96" i="8" s="1"/>
  <c r="BJ96" i="8"/>
  <c r="BH96" i="8"/>
  <c r="BD96" i="8"/>
  <c r="BC96" i="8"/>
  <c r="BA96" i="8"/>
  <c r="AY96" i="8" s="1"/>
  <c r="BB96" i="8" s="1"/>
  <c r="AZ96" i="8"/>
  <c r="AX96" i="8"/>
  <c r="AW96" i="8"/>
  <c r="AV96" i="8"/>
  <c r="AU96" i="8"/>
  <c r="AT96" i="8"/>
  <c r="AS96" i="8"/>
  <c r="AQ96" i="8" s="1"/>
  <c r="AR96" i="8"/>
  <c r="AP96" i="8"/>
  <c r="AL96" i="8"/>
  <c r="AJ96" i="8"/>
  <c r="AF96" i="8"/>
  <c r="AH96" i="8" s="1"/>
  <c r="AE96" i="8"/>
  <c r="AC96" i="8"/>
  <c r="AB96" i="8"/>
  <c r="Y96" i="8"/>
  <c r="W96" i="8" s="1"/>
  <c r="X96" i="8"/>
  <c r="V96" i="8"/>
  <c r="U96" i="8"/>
  <c r="R96" i="8"/>
  <c r="Q96" i="8"/>
  <c r="P96" i="8"/>
  <c r="O96" i="8"/>
  <c r="N96" i="8"/>
  <c r="L96" i="8"/>
  <c r="J96" i="8"/>
  <c r="K96" i="8" s="1"/>
  <c r="F96" i="8"/>
  <c r="I96" i="8" s="1"/>
  <c r="E96" i="8"/>
  <c r="D96" i="8"/>
  <c r="B96" i="8"/>
  <c r="C96" i="8" s="1"/>
  <c r="A96" i="8"/>
  <c r="CB95" i="8"/>
  <c r="CA95" i="8"/>
  <c r="BZ95" i="8"/>
  <c r="BY95" i="8"/>
  <c r="BW95" i="8"/>
  <c r="BS95" i="8"/>
  <c r="BR95" i="8"/>
  <c r="BQ95" i="8"/>
  <c r="BT95" i="8" s="1"/>
  <c r="BP95" i="8"/>
  <c r="BO95" i="8"/>
  <c r="BN95" i="8"/>
  <c r="BM95" i="8"/>
  <c r="BL95" i="8"/>
  <c r="BK95" i="8"/>
  <c r="BJ95" i="8"/>
  <c r="BI95" i="8"/>
  <c r="BH95" i="8"/>
  <c r="BA95" i="8"/>
  <c r="AY95" i="8" s="1"/>
  <c r="AZ95" i="8"/>
  <c r="AX95" i="8"/>
  <c r="AW95" i="8"/>
  <c r="AV95" i="8"/>
  <c r="AU95" i="8" s="1"/>
  <c r="AT95" i="8"/>
  <c r="AS95" i="8"/>
  <c r="AQ95" i="8" s="1"/>
  <c r="AR95" i="8"/>
  <c r="AP95" i="8"/>
  <c r="AM95" i="8"/>
  <c r="AJ95" i="8"/>
  <c r="AF95" i="8"/>
  <c r="AE95" i="8"/>
  <c r="AD95" i="8" s="1"/>
  <c r="AC95" i="8"/>
  <c r="AB95" i="8"/>
  <c r="Y95" i="8"/>
  <c r="X95" i="8"/>
  <c r="W95" i="8"/>
  <c r="U95" i="8"/>
  <c r="V95" i="8" s="1"/>
  <c r="R95" i="8"/>
  <c r="S95" i="8" s="1"/>
  <c r="Q95" i="8"/>
  <c r="P95" i="8"/>
  <c r="AK95" i="8" s="1"/>
  <c r="O95" i="8"/>
  <c r="N95" i="8"/>
  <c r="L95" i="8"/>
  <c r="K95" i="8"/>
  <c r="J95" i="8"/>
  <c r="F95" i="8"/>
  <c r="E95" i="8"/>
  <c r="D95" i="8"/>
  <c r="C95" i="8"/>
  <c r="B95" i="8"/>
  <c r="A95" i="8"/>
  <c r="CB94" i="8"/>
  <c r="CA94" i="8"/>
  <c r="BZ94" i="8"/>
  <c r="BX94" i="8" s="1"/>
  <c r="BY94" i="8"/>
  <c r="BW94" i="8"/>
  <c r="BS94" i="8"/>
  <c r="BV94" i="8" s="1"/>
  <c r="BR94" i="8"/>
  <c r="BU94" i="8" s="1"/>
  <c r="BQ94" i="8"/>
  <c r="BT94" i="8" s="1"/>
  <c r="BP94" i="8"/>
  <c r="BO94" i="8"/>
  <c r="BM94" i="8" s="1"/>
  <c r="BN94" i="8"/>
  <c r="BL94" i="8"/>
  <c r="BK94" i="8"/>
  <c r="BJ94" i="8"/>
  <c r="BI94" i="8"/>
  <c r="BH94" i="8"/>
  <c r="BA94" i="8"/>
  <c r="AZ94" i="8"/>
  <c r="AX94" i="8"/>
  <c r="AW94" i="8"/>
  <c r="AV94" i="8"/>
  <c r="AU94" i="8"/>
  <c r="AT94" i="8"/>
  <c r="AS94" i="8"/>
  <c r="AR94" i="8"/>
  <c r="BC94" i="8" s="1"/>
  <c r="BF94" i="8" s="1"/>
  <c r="AP94" i="8"/>
  <c r="AM94" i="8"/>
  <c r="AJ94" i="8"/>
  <c r="AF94" i="8"/>
  <c r="AH94" i="8" s="1"/>
  <c r="AE94" i="8"/>
  <c r="AL94" i="8" s="1"/>
  <c r="AD94" i="8"/>
  <c r="AC94" i="8"/>
  <c r="AB94" i="8"/>
  <c r="Y94" i="8"/>
  <c r="X94" i="8"/>
  <c r="W94" i="8"/>
  <c r="AK94" i="8" s="1"/>
  <c r="U94" i="8"/>
  <c r="V94" i="8" s="1"/>
  <c r="AA94" i="8" s="1"/>
  <c r="R94" i="8"/>
  <c r="Q94" i="8"/>
  <c r="P94" i="8"/>
  <c r="N94" i="8"/>
  <c r="O94" i="8" s="1"/>
  <c r="L94" i="8"/>
  <c r="K94" i="8"/>
  <c r="J94" i="8"/>
  <c r="F94" i="8"/>
  <c r="E94" i="8"/>
  <c r="D94" i="8"/>
  <c r="C94" i="8"/>
  <c r="B94" i="8"/>
  <c r="A94" i="8"/>
  <c r="CB93" i="8"/>
  <c r="CA93" i="8"/>
  <c r="BZ93" i="8"/>
  <c r="BX93" i="8" s="1"/>
  <c r="BY93" i="8"/>
  <c r="BW93" i="8"/>
  <c r="BS93" i="8"/>
  <c r="BR93" i="8"/>
  <c r="BQ93" i="8"/>
  <c r="BP93" i="8"/>
  <c r="BO93" i="8"/>
  <c r="BN93" i="8"/>
  <c r="BL93" i="8"/>
  <c r="BK93" i="8"/>
  <c r="BJ93" i="8"/>
  <c r="BI93" i="8" s="1"/>
  <c r="BH93" i="8"/>
  <c r="BB93" i="8"/>
  <c r="BA93" i="8"/>
  <c r="AZ93" i="8"/>
  <c r="AY93" i="8"/>
  <c r="AX93" i="8"/>
  <c r="AW93" i="8"/>
  <c r="AV93" i="8"/>
  <c r="AU93" i="8"/>
  <c r="AT93" i="8"/>
  <c r="AS93" i="8"/>
  <c r="AR93" i="8"/>
  <c r="AQ93" i="8"/>
  <c r="AP93" i="8"/>
  <c r="AL93" i="8"/>
  <c r="AJ93" i="8"/>
  <c r="AF93" i="8"/>
  <c r="AE93" i="8"/>
  <c r="AD93" i="8"/>
  <c r="AC93" i="8"/>
  <c r="AH93" i="8" s="1"/>
  <c r="AB93" i="8"/>
  <c r="Y93" i="8"/>
  <c r="X93" i="8"/>
  <c r="W93" i="8"/>
  <c r="U93" i="8"/>
  <c r="V93" i="8" s="1"/>
  <c r="T93" i="8"/>
  <c r="S93" i="8"/>
  <c r="R93" i="8"/>
  <c r="P93" i="8" s="1"/>
  <c r="AK93" i="8" s="1"/>
  <c r="Q93" i="8"/>
  <c r="N93" i="8"/>
  <c r="O93" i="8" s="1"/>
  <c r="J93" i="8"/>
  <c r="L93" i="8" s="1"/>
  <c r="I93" i="8"/>
  <c r="F93" i="8"/>
  <c r="H93" i="8" s="1"/>
  <c r="E93" i="8"/>
  <c r="D93" i="8"/>
  <c r="C93" i="8"/>
  <c r="B93" i="8"/>
  <c r="A93" i="8"/>
  <c r="CB92" i="8"/>
  <c r="CA92" i="8"/>
  <c r="BZ92" i="8"/>
  <c r="BY92" i="8"/>
  <c r="BX92" i="8"/>
  <c r="BW92" i="8"/>
  <c r="BS92" i="8"/>
  <c r="BR92" i="8"/>
  <c r="BQ92" i="8"/>
  <c r="BP92" i="8"/>
  <c r="BO92" i="8"/>
  <c r="BN92" i="8"/>
  <c r="BU92" i="8" s="1"/>
  <c r="BL92" i="8"/>
  <c r="BK92" i="8"/>
  <c r="BJ92" i="8"/>
  <c r="BI92" i="8"/>
  <c r="BH92" i="8"/>
  <c r="BA92" i="8"/>
  <c r="BD92" i="8" s="1"/>
  <c r="AZ92" i="8"/>
  <c r="AX92" i="8"/>
  <c r="AW92" i="8"/>
  <c r="AU92" i="8" s="1"/>
  <c r="AV92" i="8"/>
  <c r="AT92" i="8"/>
  <c r="AS92" i="8"/>
  <c r="AQ92" i="8" s="1"/>
  <c r="AR92" i="8"/>
  <c r="AP92" i="8"/>
  <c r="AJ92" i="8"/>
  <c r="AF92" i="8"/>
  <c r="AE92" i="8"/>
  <c r="AD92" i="8"/>
  <c r="AB92" i="8"/>
  <c r="AC92" i="8" s="1"/>
  <c r="Y92" i="8"/>
  <c r="W92" i="8" s="1"/>
  <c r="X92" i="8"/>
  <c r="U92" i="8"/>
  <c r="V92" i="8" s="1"/>
  <c r="AA92" i="8" s="1"/>
  <c r="R92" i="8"/>
  <c r="Q92" i="8"/>
  <c r="AL92" i="8" s="1"/>
  <c r="N92" i="8"/>
  <c r="O92" i="8" s="1"/>
  <c r="J92" i="8"/>
  <c r="L92" i="8" s="1"/>
  <c r="I92" i="8"/>
  <c r="H92" i="8"/>
  <c r="F92" i="8"/>
  <c r="G92" i="8" s="1"/>
  <c r="C92" i="8"/>
  <c r="B92" i="8"/>
  <c r="E92" i="8" s="1"/>
  <c r="A92" i="8"/>
  <c r="CB91" i="8"/>
  <c r="CA91" i="8"/>
  <c r="BZ91" i="8"/>
  <c r="BY91" i="8"/>
  <c r="BX91" i="8"/>
  <c r="BW91" i="8"/>
  <c r="BV91" i="8"/>
  <c r="BS91" i="8"/>
  <c r="BR91" i="8"/>
  <c r="BQ91" i="8"/>
  <c r="BP91" i="8"/>
  <c r="BO91" i="8"/>
  <c r="BN91" i="8"/>
  <c r="BM91" i="8" s="1"/>
  <c r="BT91" i="8" s="1"/>
  <c r="BL91" i="8"/>
  <c r="BK91" i="8"/>
  <c r="BJ91" i="8"/>
  <c r="BI91" i="8"/>
  <c r="BH91" i="8"/>
  <c r="BA91" i="8"/>
  <c r="AZ91" i="8"/>
  <c r="BC91" i="8" s="1"/>
  <c r="BF91" i="8" s="1"/>
  <c r="AX91" i="8"/>
  <c r="AW91" i="8"/>
  <c r="AV91" i="8"/>
  <c r="AT91" i="8"/>
  <c r="AS91" i="8"/>
  <c r="AR91" i="8"/>
  <c r="AQ91" i="8"/>
  <c r="AP91" i="8"/>
  <c r="AJ91" i="8"/>
  <c r="AH91" i="8"/>
  <c r="AG91" i="8"/>
  <c r="AF91" i="8"/>
  <c r="AD91" i="8" s="1"/>
  <c r="AE91" i="8"/>
  <c r="AB91" i="8"/>
  <c r="AC91" i="8" s="1"/>
  <c r="Y91" i="8"/>
  <c r="W91" i="8" s="1"/>
  <c r="X91" i="8"/>
  <c r="U91" i="8"/>
  <c r="V91" i="8" s="1"/>
  <c r="Z91" i="8" s="1"/>
  <c r="T91" i="8"/>
  <c r="S91" i="8"/>
  <c r="R91" i="8"/>
  <c r="Q91" i="8"/>
  <c r="AL91" i="8" s="1"/>
  <c r="N91" i="8"/>
  <c r="O91" i="8" s="1"/>
  <c r="AI91" i="8" s="1"/>
  <c r="J91" i="8"/>
  <c r="L91" i="8" s="1"/>
  <c r="I91" i="8"/>
  <c r="H91" i="8"/>
  <c r="G91" i="8"/>
  <c r="F91" i="8"/>
  <c r="B91" i="8"/>
  <c r="A91" i="8"/>
  <c r="CB90" i="8"/>
  <c r="CA90" i="8"/>
  <c r="BZ90" i="8"/>
  <c r="BY90" i="8"/>
  <c r="BX90" i="8"/>
  <c r="BW90" i="8"/>
  <c r="BU90" i="8"/>
  <c r="BT90" i="8"/>
  <c r="BS90" i="8"/>
  <c r="BQ90" i="8" s="1"/>
  <c r="BR90" i="8"/>
  <c r="BP90" i="8"/>
  <c r="BO90" i="8"/>
  <c r="BV90" i="8" s="1"/>
  <c r="BN90" i="8"/>
  <c r="BL90" i="8"/>
  <c r="BK90" i="8"/>
  <c r="BI90" i="8" s="1"/>
  <c r="BJ90" i="8"/>
  <c r="BH90" i="8"/>
  <c r="BA90" i="8"/>
  <c r="AZ90" i="8"/>
  <c r="AY90" i="8"/>
  <c r="BB90" i="8" s="1"/>
  <c r="AX90" i="8"/>
  <c r="AW90" i="8"/>
  <c r="AU90" i="8" s="1"/>
  <c r="AV90" i="8"/>
  <c r="BC90" i="8" s="1"/>
  <c r="BF90" i="8" s="1"/>
  <c r="AT90" i="8"/>
  <c r="AS90" i="8"/>
  <c r="AR90" i="8"/>
  <c r="AQ90" i="8"/>
  <c r="AP90" i="8"/>
  <c r="AJ90" i="8"/>
  <c r="AF90" i="8"/>
  <c r="AD90" i="8" s="1"/>
  <c r="AE90" i="8"/>
  <c r="AB90" i="8"/>
  <c r="AC90" i="8" s="1"/>
  <c r="AA90" i="8"/>
  <c r="Z90" i="8"/>
  <c r="Y90" i="8"/>
  <c r="X90" i="8"/>
  <c r="U90" i="8"/>
  <c r="V90" i="8" s="1"/>
  <c r="AI90" i="8" s="1"/>
  <c r="S90" i="8"/>
  <c r="R90" i="8"/>
  <c r="Q90" i="8"/>
  <c r="AL90" i="8" s="1"/>
  <c r="P90" i="8"/>
  <c r="AK90" i="8" s="1"/>
  <c r="O90" i="8"/>
  <c r="N90" i="8"/>
  <c r="J90" i="8"/>
  <c r="I90" i="8"/>
  <c r="H90" i="8"/>
  <c r="G90" i="8"/>
  <c r="F90" i="8"/>
  <c r="B90" i="8"/>
  <c r="A90" i="8"/>
  <c r="CB89" i="8"/>
  <c r="CA89" i="8"/>
  <c r="BZ89" i="8"/>
  <c r="BX89" i="8" s="1"/>
  <c r="BY89" i="8"/>
  <c r="BW89" i="8"/>
  <c r="BV89" i="8"/>
  <c r="BU89" i="8"/>
  <c r="BS89" i="8"/>
  <c r="BQ89" i="8" s="1"/>
  <c r="BR89" i="8"/>
  <c r="BP89" i="8"/>
  <c r="BO89" i="8"/>
  <c r="BN89" i="8"/>
  <c r="BM89" i="8"/>
  <c r="BT89" i="8" s="1"/>
  <c r="BL89" i="8"/>
  <c r="BK89" i="8"/>
  <c r="BI89" i="8" s="1"/>
  <c r="BJ89" i="8"/>
  <c r="BH89" i="8"/>
  <c r="BD89" i="8"/>
  <c r="BA89" i="8"/>
  <c r="AZ89" i="8"/>
  <c r="AY89" i="8"/>
  <c r="AX89" i="8"/>
  <c r="AW89" i="8"/>
  <c r="AV89" i="8"/>
  <c r="AU89" i="8" s="1"/>
  <c r="BB89" i="8" s="1"/>
  <c r="AT89" i="8"/>
  <c r="AS89" i="8"/>
  <c r="AR89" i="8"/>
  <c r="AQ89" i="8"/>
  <c r="AP89" i="8"/>
  <c r="AJ89" i="8"/>
  <c r="AH89" i="8"/>
  <c r="AG89" i="8"/>
  <c r="AF89" i="8"/>
  <c r="AE89" i="8"/>
  <c r="AB89" i="8"/>
  <c r="AC89" i="8" s="1"/>
  <c r="Z89" i="8"/>
  <c r="Y89" i="8"/>
  <c r="AA89" i="8" s="1"/>
  <c r="X89" i="8"/>
  <c r="W89" i="8"/>
  <c r="V89" i="8"/>
  <c r="U89" i="8"/>
  <c r="R89" i="8"/>
  <c r="Q89" i="8"/>
  <c r="P89" i="8"/>
  <c r="O89" i="8"/>
  <c r="AI89" i="8" s="1"/>
  <c r="N89" i="8"/>
  <c r="J89" i="8"/>
  <c r="L89" i="8" s="1"/>
  <c r="I89" i="8"/>
  <c r="G89" i="8"/>
  <c r="F89" i="8"/>
  <c r="H89" i="8" s="1"/>
  <c r="E89" i="8"/>
  <c r="B89" i="8"/>
  <c r="D89" i="8" s="1"/>
  <c r="A89" i="8"/>
  <c r="CB88" i="8"/>
  <c r="CA88" i="8"/>
  <c r="BZ88" i="8"/>
  <c r="BX88" i="8" s="1"/>
  <c r="BY88" i="8"/>
  <c r="BW88" i="8"/>
  <c r="BS88" i="8"/>
  <c r="BR88" i="8"/>
  <c r="BU88" i="8" s="1"/>
  <c r="BP88" i="8"/>
  <c r="BO88" i="8"/>
  <c r="BN88" i="8"/>
  <c r="BM88" i="8"/>
  <c r="BL88" i="8"/>
  <c r="BK88" i="8"/>
  <c r="BJ88" i="8"/>
  <c r="BH88" i="8"/>
  <c r="BA88" i="8"/>
  <c r="AY88" i="8" s="1"/>
  <c r="AZ88" i="8"/>
  <c r="AX88" i="8"/>
  <c r="AW88" i="8"/>
  <c r="BD88" i="8" s="1"/>
  <c r="AV88" i="8"/>
  <c r="BC88" i="8" s="1"/>
  <c r="AT88" i="8"/>
  <c r="AS88" i="8"/>
  <c r="AQ88" i="8" s="1"/>
  <c r="AR88" i="8"/>
  <c r="AP88" i="8"/>
  <c r="AJ88" i="8"/>
  <c r="AF88" i="8"/>
  <c r="AH88" i="8" s="1"/>
  <c r="AE88" i="8"/>
  <c r="AC88" i="8"/>
  <c r="AB88" i="8"/>
  <c r="Y88" i="8"/>
  <c r="X88" i="8"/>
  <c r="W88" i="8" s="1"/>
  <c r="V88" i="8"/>
  <c r="U88" i="8"/>
  <c r="R88" i="8"/>
  <c r="Q88" i="8"/>
  <c r="AL88" i="8" s="1"/>
  <c r="N88" i="8"/>
  <c r="O88" i="8" s="1"/>
  <c r="AI88" i="8" s="1"/>
  <c r="L88" i="8"/>
  <c r="J88" i="8"/>
  <c r="K88" i="8" s="1"/>
  <c r="F88" i="8"/>
  <c r="I88" i="8" s="1"/>
  <c r="E88" i="8"/>
  <c r="D88" i="8"/>
  <c r="B88" i="8"/>
  <c r="C88" i="8" s="1"/>
  <c r="A88" i="8"/>
  <c r="CB87" i="8"/>
  <c r="CA87" i="8"/>
  <c r="BZ87" i="8"/>
  <c r="BY87" i="8"/>
  <c r="BW87" i="8"/>
  <c r="BS87" i="8"/>
  <c r="BR87" i="8"/>
  <c r="BQ87" i="8"/>
  <c r="BT87" i="8" s="1"/>
  <c r="BP87" i="8"/>
  <c r="BO87" i="8"/>
  <c r="BN87" i="8"/>
  <c r="BM87" i="8"/>
  <c r="BL87" i="8"/>
  <c r="BK87" i="8"/>
  <c r="BJ87" i="8"/>
  <c r="BI87" i="8"/>
  <c r="BH87" i="8"/>
  <c r="BD87" i="8"/>
  <c r="BC87" i="8"/>
  <c r="BA87" i="8"/>
  <c r="AY87" i="8" s="1"/>
  <c r="AZ87" i="8"/>
  <c r="AX87" i="8"/>
  <c r="AW87" i="8"/>
  <c r="AV87" i="8"/>
  <c r="AU87" i="8"/>
  <c r="BB87" i="8" s="1"/>
  <c r="AT87" i="8"/>
  <c r="AS87" i="8"/>
  <c r="AQ87" i="8" s="1"/>
  <c r="AR87" i="8"/>
  <c r="AP87" i="8"/>
  <c r="AM87" i="8"/>
  <c r="AJ87" i="8"/>
  <c r="AF87" i="8"/>
  <c r="AE87" i="8"/>
  <c r="AC87" i="8"/>
  <c r="AB87" i="8"/>
  <c r="Y87" i="8"/>
  <c r="AA87" i="8" s="1"/>
  <c r="X87" i="8"/>
  <c r="AL87" i="8" s="1"/>
  <c r="W87" i="8"/>
  <c r="V87" i="8"/>
  <c r="U87" i="8"/>
  <c r="R87" i="8"/>
  <c r="Q87" i="8"/>
  <c r="P87" i="8"/>
  <c r="N87" i="8"/>
  <c r="O87" i="8" s="1"/>
  <c r="L87" i="8"/>
  <c r="K87" i="8"/>
  <c r="J87" i="8"/>
  <c r="G87" i="8"/>
  <c r="F87" i="8"/>
  <c r="E87" i="8"/>
  <c r="D87" i="8"/>
  <c r="C87" i="8"/>
  <c r="B87" i="8"/>
  <c r="A87" i="8"/>
  <c r="CB86" i="8"/>
  <c r="CA86" i="8"/>
  <c r="BZ86" i="8"/>
  <c r="BY86" i="8"/>
  <c r="BX86" i="8" s="1"/>
  <c r="BW86" i="8"/>
  <c r="BS86" i="8"/>
  <c r="BV86" i="8" s="1"/>
  <c r="BR86" i="8"/>
  <c r="BP86" i="8"/>
  <c r="BO86" i="8"/>
  <c r="BM86" i="8" s="1"/>
  <c r="BN86" i="8"/>
  <c r="BL86" i="8"/>
  <c r="BK86" i="8"/>
  <c r="BI86" i="8" s="1"/>
  <c r="BJ86" i="8"/>
  <c r="BH86" i="8"/>
  <c r="BA86" i="8"/>
  <c r="AZ86" i="8"/>
  <c r="BC86" i="8" s="1"/>
  <c r="BF86" i="8" s="1"/>
  <c r="AX86" i="8"/>
  <c r="AW86" i="8"/>
  <c r="AV86" i="8"/>
  <c r="AU86" i="8"/>
  <c r="AT86" i="8"/>
  <c r="AS86" i="8"/>
  <c r="AR86" i="8"/>
  <c r="AP86" i="8"/>
  <c r="AM86" i="8"/>
  <c r="AL86" i="8"/>
  <c r="AJ86" i="8"/>
  <c r="AF86" i="8"/>
  <c r="AE86" i="8"/>
  <c r="AD86" i="8"/>
  <c r="AK86" i="8" s="1"/>
  <c r="AB86" i="8"/>
  <c r="AC86" i="8" s="1"/>
  <c r="Y86" i="8"/>
  <c r="Z86" i="8" s="1"/>
  <c r="X86" i="8"/>
  <c r="W86" i="8"/>
  <c r="V86" i="8"/>
  <c r="AA86" i="8" s="1"/>
  <c r="U86" i="8"/>
  <c r="T86" i="8"/>
  <c r="R86" i="8"/>
  <c r="Q86" i="8"/>
  <c r="P86" i="8"/>
  <c r="O86" i="8"/>
  <c r="N86" i="8"/>
  <c r="L86" i="8"/>
  <c r="K86" i="8"/>
  <c r="J86" i="8"/>
  <c r="F86" i="8"/>
  <c r="E86" i="8"/>
  <c r="D86" i="8"/>
  <c r="C86" i="8"/>
  <c r="B86" i="8"/>
  <c r="A86" i="8"/>
  <c r="CB85" i="8"/>
  <c r="CA85" i="8"/>
  <c r="BZ85" i="8"/>
  <c r="BY85" i="8"/>
  <c r="BX85" i="8"/>
  <c r="BW85" i="8"/>
  <c r="BS85" i="8"/>
  <c r="BR85" i="8"/>
  <c r="BU85" i="8" s="1"/>
  <c r="BP85" i="8"/>
  <c r="BO85" i="8"/>
  <c r="BN85" i="8"/>
  <c r="BL85" i="8"/>
  <c r="BK85" i="8"/>
  <c r="BJ85" i="8"/>
  <c r="BI85" i="8"/>
  <c r="BH85" i="8"/>
  <c r="BA85" i="8"/>
  <c r="AY85" i="8" s="1"/>
  <c r="BB85" i="8" s="1"/>
  <c r="AZ85" i="8"/>
  <c r="AX85" i="8"/>
  <c r="AW85" i="8"/>
  <c r="AV85" i="8"/>
  <c r="AU85" i="8"/>
  <c r="AT85" i="8"/>
  <c r="AS85" i="8"/>
  <c r="AQ85" i="8" s="1"/>
  <c r="AR85" i="8"/>
  <c r="AP85" i="8"/>
  <c r="AL85" i="8"/>
  <c r="AJ85" i="8"/>
  <c r="AF85" i="8"/>
  <c r="AE85" i="8"/>
  <c r="AD85" i="8"/>
  <c r="AB85" i="8"/>
  <c r="AC85" i="8" s="1"/>
  <c r="AH85" i="8" s="1"/>
  <c r="Y85" i="8"/>
  <c r="X85" i="8"/>
  <c r="W85" i="8"/>
  <c r="V85" i="8"/>
  <c r="Z85" i="8" s="1"/>
  <c r="U85" i="8"/>
  <c r="R85" i="8"/>
  <c r="P85" i="8" s="1"/>
  <c r="AK85" i="8" s="1"/>
  <c r="Q85" i="8"/>
  <c r="N85" i="8"/>
  <c r="O85" i="8" s="1"/>
  <c r="T85" i="8" s="1"/>
  <c r="L85" i="8"/>
  <c r="K85" i="8"/>
  <c r="J85" i="8"/>
  <c r="I85" i="8"/>
  <c r="F85" i="8"/>
  <c r="H85" i="8" s="1"/>
  <c r="D85" i="8"/>
  <c r="B85" i="8"/>
  <c r="E85" i="8" s="1"/>
  <c r="A85" i="8"/>
  <c r="CB84" i="8"/>
  <c r="CA84" i="8"/>
  <c r="BZ84" i="8"/>
  <c r="BY84" i="8"/>
  <c r="BX84" i="8"/>
  <c r="BW84" i="8"/>
  <c r="BV84" i="8"/>
  <c r="BS84" i="8"/>
  <c r="BR84" i="8"/>
  <c r="BQ84" i="8"/>
  <c r="BP84" i="8"/>
  <c r="BO84" i="8"/>
  <c r="BN84" i="8"/>
  <c r="BU84" i="8" s="1"/>
  <c r="BL84" i="8"/>
  <c r="BK84" i="8"/>
  <c r="BJ84" i="8"/>
  <c r="BI84" i="8"/>
  <c r="BH84" i="8"/>
  <c r="BA84" i="8"/>
  <c r="BD84" i="8" s="1"/>
  <c r="AZ84" i="8"/>
  <c r="AX84" i="8"/>
  <c r="AW84" i="8"/>
  <c r="AU84" i="8" s="1"/>
  <c r="AV84" i="8"/>
  <c r="AT84" i="8"/>
  <c r="AS84" i="8"/>
  <c r="AR84" i="8"/>
  <c r="AQ84" i="8" s="1"/>
  <c r="AP84" i="8"/>
  <c r="AJ84" i="8"/>
  <c r="AF84" i="8"/>
  <c r="AE84" i="8"/>
  <c r="AD84" i="8"/>
  <c r="AB84" i="8"/>
  <c r="AC84" i="8" s="1"/>
  <c r="Y84" i="8"/>
  <c r="W84" i="8" s="1"/>
  <c r="X84" i="8"/>
  <c r="U84" i="8"/>
  <c r="V84" i="8" s="1"/>
  <c r="Z84" i="8" s="1"/>
  <c r="R84" i="8"/>
  <c r="Q84" i="8"/>
  <c r="AL84" i="8" s="1"/>
  <c r="N84" i="8"/>
  <c r="O84" i="8" s="1"/>
  <c r="AI84" i="8" s="1"/>
  <c r="J84" i="8"/>
  <c r="L84" i="8" s="1"/>
  <c r="I84" i="8"/>
  <c r="H84" i="8"/>
  <c r="F84" i="8"/>
  <c r="G84" i="8" s="1"/>
  <c r="B84" i="8"/>
  <c r="E84" i="8" s="1"/>
  <c r="A84" i="8"/>
  <c r="CB83" i="8"/>
  <c r="CA83" i="8"/>
  <c r="BZ83" i="8"/>
  <c r="BY83" i="8"/>
  <c r="BX83" i="8"/>
  <c r="BW83" i="8"/>
  <c r="BV83" i="8"/>
  <c r="BU83" i="8"/>
  <c r="BS83" i="8"/>
  <c r="BR83" i="8"/>
  <c r="BQ83" i="8"/>
  <c r="BP83" i="8"/>
  <c r="BO83" i="8"/>
  <c r="BN83" i="8"/>
  <c r="BM83" i="8"/>
  <c r="BT83" i="8" s="1"/>
  <c r="BL83" i="8"/>
  <c r="BK83" i="8"/>
  <c r="BJ83" i="8"/>
  <c r="BI83" i="8"/>
  <c r="BH83" i="8"/>
  <c r="BA83" i="8"/>
  <c r="AZ83" i="8"/>
  <c r="BC83" i="8" s="1"/>
  <c r="BF83" i="8" s="1"/>
  <c r="AX83" i="8"/>
  <c r="AW83" i="8"/>
  <c r="AV83" i="8"/>
  <c r="AT83" i="8"/>
  <c r="AS83" i="8"/>
  <c r="AR83" i="8"/>
  <c r="AQ83" i="8"/>
  <c r="AP83" i="8"/>
  <c r="AJ83" i="8"/>
  <c r="AF83" i="8"/>
  <c r="AD83" i="8" s="1"/>
  <c r="AE83" i="8"/>
  <c r="AB83" i="8"/>
  <c r="AC83" i="8" s="1"/>
  <c r="AH83" i="8" s="1"/>
  <c r="AA83" i="8"/>
  <c r="Z83" i="8"/>
  <c r="Y83" i="8"/>
  <c r="W83" i="8" s="1"/>
  <c r="X83" i="8"/>
  <c r="U83" i="8"/>
  <c r="V83" i="8" s="1"/>
  <c r="R83" i="8"/>
  <c r="Q83" i="8"/>
  <c r="AL83" i="8" s="1"/>
  <c r="N83" i="8"/>
  <c r="O83" i="8" s="1"/>
  <c r="S83" i="8" s="1"/>
  <c r="K83" i="8"/>
  <c r="J83" i="8"/>
  <c r="L83" i="8" s="1"/>
  <c r="I83" i="8"/>
  <c r="H83" i="8"/>
  <c r="G83" i="8"/>
  <c r="F83" i="8"/>
  <c r="B83" i="8"/>
  <c r="A83" i="8"/>
  <c r="CB82" i="8"/>
  <c r="CA82" i="8"/>
  <c r="BZ82" i="8"/>
  <c r="BY82" i="8"/>
  <c r="BX82" i="8"/>
  <c r="BW82" i="8"/>
  <c r="BV82" i="8"/>
  <c r="BS82" i="8"/>
  <c r="BQ82" i="8" s="1"/>
  <c r="BT82" i="8" s="1"/>
  <c r="BR82" i="8"/>
  <c r="BP82" i="8"/>
  <c r="BO82" i="8"/>
  <c r="BN82" i="8"/>
  <c r="BU82" i="8" s="1"/>
  <c r="BM82" i="8"/>
  <c r="BL82" i="8"/>
  <c r="BK82" i="8"/>
  <c r="BI82" i="8" s="1"/>
  <c r="BJ82" i="8"/>
  <c r="BH82" i="8"/>
  <c r="BD82" i="8"/>
  <c r="BA82" i="8"/>
  <c r="AZ82" i="8"/>
  <c r="AY82" i="8"/>
  <c r="AX82" i="8"/>
  <c r="AW82" i="8"/>
  <c r="AU82" i="8" s="1"/>
  <c r="AV82" i="8"/>
  <c r="BC82" i="8" s="1"/>
  <c r="AT82" i="8"/>
  <c r="AS82" i="8"/>
  <c r="AR82" i="8"/>
  <c r="AQ82" i="8"/>
  <c r="AP82" i="8"/>
  <c r="AJ82" i="8"/>
  <c r="AI82" i="8"/>
  <c r="AH82" i="8"/>
  <c r="AG82" i="8"/>
  <c r="AF82" i="8"/>
  <c r="AD82" i="8" s="1"/>
  <c r="AE82" i="8"/>
  <c r="AB82" i="8"/>
  <c r="AC82" i="8" s="1"/>
  <c r="AA82" i="8"/>
  <c r="Y82" i="8"/>
  <c r="X82" i="8"/>
  <c r="U82" i="8"/>
  <c r="V82" i="8" s="1"/>
  <c r="R82" i="8"/>
  <c r="Q82" i="8"/>
  <c r="P82" i="8"/>
  <c r="O82" i="8"/>
  <c r="N82" i="8"/>
  <c r="J82" i="8"/>
  <c r="I82" i="8"/>
  <c r="H82" i="8"/>
  <c r="G82" i="8"/>
  <c r="F82" i="8"/>
  <c r="B82" i="8"/>
  <c r="A82" i="8"/>
  <c r="CB81" i="8"/>
  <c r="CA81" i="8"/>
  <c r="BZ81" i="8"/>
  <c r="BX81" i="8" s="1"/>
  <c r="BY81" i="8"/>
  <c r="BW81" i="8"/>
  <c r="BU81" i="8"/>
  <c r="BS81" i="8"/>
  <c r="BQ81" i="8" s="1"/>
  <c r="BR81" i="8"/>
  <c r="BP81" i="8"/>
  <c r="BO81" i="8"/>
  <c r="BN81" i="8"/>
  <c r="BM81" i="8" s="1"/>
  <c r="BL81" i="8"/>
  <c r="BK81" i="8"/>
  <c r="BI81" i="8" s="1"/>
  <c r="BJ81" i="8"/>
  <c r="BH81" i="8"/>
  <c r="BC81" i="8"/>
  <c r="BA81" i="8"/>
  <c r="AZ81" i="8"/>
  <c r="AY81" i="8"/>
  <c r="AX81" i="8"/>
  <c r="AW81" i="8"/>
  <c r="BD81" i="8" s="1"/>
  <c r="AV81" i="8"/>
  <c r="AT81" i="8"/>
  <c r="AS81" i="8"/>
  <c r="AR81" i="8"/>
  <c r="AQ81" i="8"/>
  <c r="AP81" i="8"/>
  <c r="AJ81" i="8"/>
  <c r="AH81" i="8"/>
  <c r="AF81" i="8"/>
  <c r="AE81" i="8"/>
  <c r="AB81" i="8"/>
  <c r="AC81" i="8" s="1"/>
  <c r="Y81" i="8"/>
  <c r="AA81" i="8" s="1"/>
  <c r="X81" i="8"/>
  <c r="W81" i="8"/>
  <c r="V81" i="8"/>
  <c r="U81" i="8"/>
  <c r="R81" i="8"/>
  <c r="Q81" i="8"/>
  <c r="O81" i="8"/>
  <c r="AI81" i="8" s="1"/>
  <c r="N81" i="8"/>
  <c r="J81" i="8"/>
  <c r="L81" i="8" s="1"/>
  <c r="I81" i="8"/>
  <c r="H81" i="8"/>
  <c r="G81" i="8"/>
  <c r="F81" i="8"/>
  <c r="E81" i="8"/>
  <c r="B81" i="8"/>
  <c r="D81" i="8" s="1"/>
  <c r="A81" i="8"/>
  <c r="CB80" i="8"/>
  <c r="CA80" i="8"/>
  <c r="BZ80" i="8"/>
  <c r="BX80" i="8" s="1"/>
  <c r="BY80" i="8"/>
  <c r="BW80" i="8"/>
  <c r="BS80" i="8"/>
  <c r="BR80" i="8"/>
  <c r="BU80" i="8" s="1"/>
  <c r="BP80" i="8"/>
  <c r="BO80" i="8"/>
  <c r="BN80" i="8"/>
  <c r="BM80" i="8"/>
  <c r="BL80" i="8"/>
  <c r="BK80" i="8"/>
  <c r="BI80" i="8" s="1"/>
  <c r="BJ80" i="8"/>
  <c r="BH80" i="8"/>
  <c r="BC80" i="8"/>
  <c r="BB80" i="8"/>
  <c r="BA80" i="8"/>
  <c r="AY80" i="8" s="1"/>
  <c r="AZ80" i="8"/>
  <c r="AX80" i="8"/>
  <c r="AW80" i="8"/>
  <c r="BD80" i="8" s="1"/>
  <c r="AV80" i="8"/>
  <c r="AT80" i="8"/>
  <c r="AS80" i="8"/>
  <c r="AQ80" i="8" s="1"/>
  <c r="AR80" i="8"/>
  <c r="AP80" i="8"/>
  <c r="AJ80" i="8"/>
  <c r="AG80" i="8"/>
  <c r="AF80" i="8"/>
  <c r="AH80" i="8" s="1"/>
  <c r="AE80" i="8"/>
  <c r="AD80" i="8" s="1"/>
  <c r="AC80" i="8"/>
  <c r="AB80" i="8"/>
  <c r="Y80" i="8"/>
  <c r="W80" i="8" s="1"/>
  <c r="X80" i="8"/>
  <c r="V80" i="8"/>
  <c r="U80" i="8"/>
  <c r="R80" i="8"/>
  <c r="Q80" i="8"/>
  <c r="P80" i="8" s="1"/>
  <c r="AK80" i="8" s="1"/>
  <c r="N80" i="8"/>
  <c r="O80" i="8" s="1"/>
  <c r="AI80" i="8" s="1"/>
  <c r="L80" i="8"/>
  <c r="J80" i="8"/>
  <c r="K80" i="8" s="1"/>
  <c r="F80" i="8"/>
  <c r="I80" i="8" s="1"/>
  <c r="E80" i="8"/>
  <c r="D80" i="8"/>
  <c r="B80" i="8"/>
  <c r="C80" i="8" s="1"/>
  <c r="A80" i="8"/>
  <c r="CB79" i="8"/>
  <c r="CA79" i="8"/>
  <c r="BZ79" i="8"/>
  <c r="BY79" i="8"/>
  <c r="BW79" i="8"/>
  <c r="BS79" i="8"/>
  <c r="BR79" i="8"/>
  <c r="BP79" i="8"/>
  <c r="BO79" i="8"/>
  <c r="BN79" i="8"/>
  <c r="BM79" i="8"/>
  <c r="BL79" i="8"/>
  <c r="BK79" i="8"/>
  <c r="BI79" i="8" s="1"/>
  <c r="BJ79" i="8"/>
  <c r="BH79" i="8"/>
  <c r="BC79" i="8"/>
  <c r="BA79" i="8"/>
  <c r="AY79" i="8" s="1"/>
  <c r="AZ79" i="8"/>
  <c r="AX79" i="8"/>
  <c r="AW79" i="8"/>
  <c r="AV79" i="8"/>
  <c r="AU79" i="8" s="1"/>
  <c r="AT79" i="8"/>
  <c r="AS79" i="8"/>
  <c r="AQ79" i="8" s="1"/>
  <c r="AR79" i="8"/>
  <c r="AP79" i="8"/>
  <c r="AJ79" i="8"/>
  <c r="AF79" i="8"/>
  <c r="AE79" i="8"/>
  <c r="AL79" i="8" s="1"/>
  <c r="AD79" i="8"/>
  <c r="AC79" i="8"/>
  <c r="AB79" i="8"/>
  <c r="Y79" i="8"/>
  <c r="X79" i="8"/>
  <c r="W79" i="8"/>
  <c r="AK79" i="8" s="1"/>
  <c r="U79" i="8"/>
  <c r="V79" i="8" s="1"/>
  <c r="R79" i="8"/>
  <c r="S79" i="8" s="1"/>
  <c r="Q79" i="8"/>
  <c r="P79" i="8"/>
  <c r="O79" i="8"/>
  <c r="N79" i="8"/>
  <c r="L79" i="8"/>
  <c r="K79" i="8"/>
  <c r="J79" i="8"/>
  <c r="G79" i="8"/>
  <c r="F79" i="8"/>
  <c r="E79" i="8"/>
  <c r="D79" i="8"/>
  <c r="C79" i="8"/>
  <c r="B79" i="8"/>
  <c r="A79" i="8"/>
  <c r="CB78" i="8"/>
  <c r="CA78" i="8"/>
  <c r="BZ78" i="8"/>
  <c r="BX78" i="8" s="1"/>
  <c r="BY78" i="8"/>
  <c r="BW78" i="8"/>
  <c r="BS78" i="8"/>
  <c r="BV78" i="8" s="1"/>
  <c r="BR78" i="8"/>
  <c r="BP78" i="8"/>
  <c r="BO78" i="8"/>
  <c r="BM78" i="8" s="1"/>
  <c r="BN78" i="8"/>
  <c r="BL78" i="8"/>
  <c r="BK78" i="8"/>
  <c r="BJ78" i="8"/>
  <c r="BI78" i="8" s="1"/>
  <c r="BH78" i="8"/>
  <c r="BC78" i="8"/>
  <c r="BF78" i="8" s="1"/>
  <c r="BA78" i="8"/>
  <c r="AZ78" i="8"/>
  <c r="AX78" i="8"/>
  <c r="AW78" i="8"/>
  <c r="AV78" i="8"/>
  <c r="AU78" i="8"/>
  <c r="AT78" i="8"/>
  <c r="AS78" i="8"/>
  <c r="AQ78" i="8" s="1"/>
  <c r="AR78" i="8"/>
  <c r="AP78" i="8"/>
  <c r="AM78" i="8"/>
  <c r="AL78" i="8"/>
  <c r="AJ78" i="8"/>
  <c r="AF78" i="8"/>
  <c r="AH78" i="8" s="1"/>
  <c r="AE78" i="8"/>
  <c r="AD78" i="8" s="1"/>
  <c r="AB78" i="8"/>
  <c r="AC78" i="8" s="1"/>
  <c r="Y78" i="8"/>
  <c r="X78" i="8"/>
  <c r="W78" i="8"/>
  <c r="AK78" i="8" s="1"/>
  <c r="V78" i="8"/>
  <c r="AA78" i="8" s="1"/>
  <c r="U78" i="8"/>
  <c r="R78" i="8"/>
  <c r="Q78" i="8"/>
  <c r="P78" i="8"/>
  <c r="N78" i="8"/>
  <c r="O78" i="8" s="1"/>
  <c r="L78" i="8"/>
  <c r="K78" i="8"/>
  <c r="J78" i="8"/>
  <c r="F78" i="8"/>
  <c r="E78" i="8"/>
  <c r="D78" i="8"/>
  <c r="C78" i="8"/>
  <c r="B78" i="8"/>
  <c r="A78" i="8"/>
  <c r="CB77" i="8"/>
  <c r="CA77" i="8"/>
  <c r="BZ77" i="8"/>
  <c r="BY77" i="8"/>
  <c r="BX77" i="8"/>
  <c r="BW77" i="8"/>
  <c r="BS77" i="8"/>
  <c r="BR77" i="8"/>
  <c r="BP77" i="8"/>
  <c r="BO77" i="8"/>
  <c r="BN77" i="8"/>
  <c r="BL77" i="8"/>
  <c r="BK77" i="8"/>
  <c r="BJ77" i="8"/>
  <c r="BI77" i="8"/>
  <c r="BH77" i="8"/>
  <c r="BA77" i="8"/>
  <c r="AZ77" i="8"/>
  <c r="AY77" i="8" s="1"/>
  <c r="BB77" i="8" s="1"/>
  <c r="AX77" i="8"/>
  <c r="AW77" i="8"/>
  <c r="AV77" i="8"/>
  <c r="AU77" i="8"/>
  <c r="AT77" i="8"/>
  <c r="AS77" i="8"/>
  <c r="AR77" i="8"/>
  <c r="AQ77" i="8" s="1"/>
  <c r="AP77" i="8"/>
  <c r="AL77" i="8"/>
  <c r="AJ77" i="8"/>
  <c r="AF77" i="8"/>
  <c r="AE77" i="8"/>
  <c r="AD77" i="8"/>
  <c r="AB77" i="8"/>
  <c r="AC77" i="8" s="1"/>
  <c r="AH77" i="8" s="1"/>
  <c r="Y77" i="8"/>
  <c r="X77" i="8"/>
  <c r="W77" i="8"/>
  <c r="V77" i="8"/>
  <c r="Z77" i="8" s="1"/>
  <c r="U77" i="8"/>
  <c r="T77" i="8"/>
  <c r="S77" i="8"/>
  <c r="R77" i="8"/>
  <c r="P77" i="8" s="1"/>
  <c r="AK77" i="8" s="1"/>
  <c r="Q77" i="8"/>
  <c r="N77" i="8"/>
  <c r="O77" i="8" s="1"/>
  <c r="AI77" i="8" s="1"/>
  <c r="K77" i="8"/>
  <c r="J77" i="8"/>
  <c r="L77" i="8" s="1"/>
  <c r="I77" i="8"/>
  <c r="F77" i="8"/>
  <c r="H77" i="8" s="1"/>
  <c r="E77" i="8"/>
  <c r="C77" i="8"/>
  <c r="B77" i="8"/>
  <c r="D77" i="8" s="1"/>
  <c r="A77" i="8"/>
  <c r="CB76" i="8"/>
  <c r="CA76" i="8"/>
  <c r="BZ76" i="8"/>
  <c r="BY76" i="8"/>
  <c r="BX76" i="8" s="1"/>
  <c r="BW76" i="8"/>
  <c r="BS76" i="8"/>
  <c r="BR76" i="8"/>
  <c r="BQ76" i="8"/>
  <c r="BT76" i="8" s="1"/>
  <c r="BP76" i="8"/>
  <c r="BO76" i="8"/>
  <c r="BM76" i="8" s="1"/>
  <c r="BN76" i="8"/>
  <c r="BU76" i="8" s="1"/>
  <c r="BL76" i="8"/>
  <c r="BK76" i="8"/>
  <c r="BJ76" i="8"/>
  <c r="BI76" i="8"/>
  <c r="BH76" i="8"/>
  <c r="BA76" i="8"/>
  <c r="AZ76" i="8"/>
  <c r="BC76" i="8" s="1"/>
  <c r="AX76" i="8"/>
  <c r="AW76" i="8"/>
  <c r="AU76" i="8" s="1"/>
  <c r="AV76" i="8"/>
  <c r="AT76" i="8"/>
  <c r="AS76" i="8"/>
  <c r="AQ76" i="8" s="1"/>
  <c r="AR76" i="8"/>
  <c r="AP76" i="8"/>
  <c r="AJ76" i="8"/>
  <c r="AF76" i="8"/>
  <c r="AE76" i="8"/>
  <c r="AD76" i="8"/>
  <c r="AB76" i="8"/>
  <c r="AC76" i="8" s="1"/>
  <c r="AG76" i="8" s="1"/>
  <c r="AA76" i="8"/>
  <c r="Z76" i="8"/>
  <c r="Y76" i="8"/>
  <c r="W76" i="8" s="1"/>
  <c r="X76" i="8"/>
  <c r="U76" i="8"/>
  <c r="V76" i="8" s="1"/>
  <c r="R76" i="8"/>
  <c r="Q76" i="8"/>
  <c r="AL76" i="8" s="1"/>
  <c r="BF76" i="8" s="1"/>
  <c r="N76" i="8"/>
  <c r="O76" i="8" s="1"/>
  <c r="AI76" i="8" s="1"/>
  <c r="L76" i="8"/>
  <c r="K76" i="8"/>
  <c r="J76" i="8"/>
  <c r="I76" i="8"/>
  <c r="H76" i="8"/>
  <c r="F76" i="8"/>
  <c r="G76" i="8" s="1"/>
  <c r="B76" i="8"/>
  <c r="A76" i="8"/>
  <c r="CB75" i="8"/>
  <c r="CA75" i="8"/>
  <c r="BZ75" i="8"/>
  <c r="BY75" i="8"/>
  <c r="BX75" i="8"/>
  <c r="BW75" i="8"/>
  <c r="BV75" i="8"/>
  <c r="BS75" i="8"/>
  <c r="BR75" i="8"/>
  <c r="BQ75" i="8"/>
  <c r="BP75" i="8"/>
  <c r="BO75" i="8"/>
  <c r="BN75" i="8"/>
  <c r="BU75" i="8" s="1"/>
  <c r="BM75" i="8"/>
  <c r="BT75" i="8" s="1"/>
  <c r="BL75" i="8"/>
  <c r="BK75" i="8"/>
  <c r="BJ75" i="8"/>
  <c r="BI75" i="8"/>
  <c r="BH75" i="8"/>
  <c r="BA75" i="8"/>
  <c r="AZ75" i="8"/>
  <c r="AY75" i="8"/>
  <c r="AX75" i="8"/>
  <c r="AW75" i="8"/>
  <c r="AV75" i="8"/>
  <c r="AT75" i="8"/>
  <c r="AS75" i="8"/>
  <c r="AR75" i="8"/>
  <c r="AQ75" i="8" s="1"/>
  <c r="AP75" i="8"/>
  <c r="AJ75" i="8"/>
  <c r="AH75" i="8"/>
  <c r="AG75" i="8"/>
  <c r="AF75" i="8"/>
  <c r="AD75" i="8" s="1"/>
  <c r="AE75" i="8"/>
  <c r="AB75" i="8"/>
  <c r="AC75" i="8" s="1"/>
  <c r="Y75" i="8"/>
  <c r="W75" i="8" s="1"/>
  <c r="X75" i="8"/>
  <c r="U75" i="8"/>
  <c r="V75" i="8" s="1"/>
  <c r="Z75" i="8" s="1"/>
  <c r="R75" i="8"/>
  <c r="Q75" i="8"/>
  <c r="AL75" i="8" s="1"/>
  <c r="N75" i="8"/>
  <c r="O75" i="8" s="1"/>
  <c r="J75" i="8"/>
  <c r="L75" i="8" s="1"/>
  <c r="I75" i="8"/>
  <c r="H75" i="8"/>
  <c r="G75" i="8"/>
  <c r="F75" i="8"/>
  <c r="B75" i="8"/>
  <c r="A75" i="8"/>
  <c r="CB74" i="8"/>
  <c r="CA74" i="8"/>
  <c r="BZ74" i="8"/>
  <c r="BY74" i="8"/>
  <c r="BX74" i="8"/>
  <c r="BW74" i="8"/>
  <c r="BV74" i="8"/>
  <c r="BU74" i="8"/>
  <c r="BS74" i="8"/>
  <c r="BQ74" i="8" s="1"/>
  <c r="BT74" i="8" s="1"/>
  <c r="BR74" i="8"/>
  <c r="BP74" i="8"/>
  <c r="BO74" i="8"/>
  <c r="BN74" i="8"/>
  <c r="BM74" i="8"/>
  <c r="BL74" i="8"/>
  <c r="BK74" i="8"/>
  <c r="BI74" i="8" s="1"/>
  <c r="BJ74" i="8"/>
  <c r="BH74" i="8"/>
  <c r="BD74" i="8"/>
  <c r="BA74" i="8"/>
  <c r="AZ74" i="8"/>
  <c r="AY74" i="8"/>
  <c r="AX74" i="8"/>
  <c r="AW74" i="8"/>
  <c r="AV74" i="8"/>
  <c r="BC74" i="8" s="1"/>
  <c r="AT74" i="8"/>
  <c r="AS74" i="8"/>
  <c r="AR74" i="8"/>
  <c r="AQ74" i="8"/>
  <c r="AP74" i="8"/>
  <c r="AJ74" i="8"/>
  <c r="AH74" i="8"/>
  <c r="AF74" i="8"/>
  <c r="AD74" i="8" s="1"/>
  <c r="AE74" i="8"/>
  <c r="AB74" i="8"/>
  <c r="AC74" i="8" s="1"/>
  <c r="Y74" i="8"/>
  <c r="X74" i="8"/>
  <c r="U74" i="8"/>
  <c r="V74" i="8" s="1"/>
  <c r="Z74" i="8" s="1"/>
  <c r="R74" i="8"/>
  <c r="Q74" i="8"/>
  <c r="N74" i="8"/>
  <c r="J74" i="8"/>
  <c r="L74" i="8" s="1"/>
  <c r="F74" i="8"/>
  <c r="E74" i="8"/>
  <c r="B74" i="8"/>
  <c r="D74" i="8" s="1"/>
  <c r="A74" i="8"/>
  <c r="CB73" i="8"/>
  <c r="CA73" i="8"/>
  <c r="BZ73" i="8"/>
  <c r="BX73" i="8" s="1"/>
  <c r="BY73" i="8"/>
  <c r="BW73" i="8"/>
  <c r="BS73" i="8"/>
  <c r="BR73" i="8"/>
  <c r="BP73" i="8"/>
  <c r="BO73" i="8"/>
  <c r="BN73" i="8"/>
  <c r="BM73" i="8"/>
  <c r="BL73" i="8"/>
  <c r="BK73" i="8"/>
  <c r="BJ73" i="8"/>
  <c r="BU73" i="8" s="1"/>
  <c r="BH73" i="8"/>
  <c r="BD73" i="8"/>
  <c r="BB73" i="8"/>
  <c r="BA73" i="8"/>
  <c r="AY73" i="8" s="1"/>
  <c r="AZ73" i="8"/>
  <c r="AX73" i="8"/>
  <c r="AW73" i="8"/>
  <c r="AV73" i="8"/>
  <c r="AU73" i="8" s="1"/>
  <c r="AT73" i="8"/>
  <c r="AS73" i="8"/>
  <c r="AQ73" i="8" s="1"/>
  <c r="AR73" i="8"/>
  <c r="AP73" i="8"/>
  <c r="AM73" i="8"/>
  <c r="AO73" i="8" s="1"/>
  <c r="AJ73" i="8"/>
  <c r="AG73" i="8"/>
  <c r="AF73" i="8"/>
  <c r="AH73" i="8" s="1"/>
  <c r="AE73" i="8"/>
  <c r="AC73" i="8"/>
  <c r="AB73" i="8"/>
  <c r="Y73" i="8"/>
  <c r="X73" i="8"/>
  <c r="AL73" i="8" s="1"/>
  <c r="W73" i="8"/>
  <c r="V73" i="8"/>
  <c r="AI73" i="8" s="1"/>
  <c r="U73" i="8"/>
  <c r="R73" i="8"/>
  <c r="T73" i="8" s="1"/>
  <c r="Q73" i="8"/>
  <c r="P73" i="8"/>
  <c r="AK73" i="8" s="1"/>
  <c r="BE73" i="8" s="1"/>
  <c r="N73" i="8"/>
  <c r="L73" i="8"/>
  <c r="K73" i="8"/>
  <c r="J73" i="8"/>
  <c r="F73" i="8"/>
  <c r="E73" i="8"/>
  <c r="D73" i="8"/>
  <c r="C73" i="8"/>
  <c r="B73" i="8"/>
  <c r="A73" i="8"/>
  <c r="CB72" i="8"/>
  <c r="CA72" i="8"/>
  <c r="BZ72" i="8"/>
  <c r="BY72" i="8"/>
  <c r="BX72" i="8"/>
  <c r="BW72" i="8"/>
  <c r="BS72" i="8"/>
  <c r="BV72" i="8" s="1"/>
  <c r="BR72" i="8"/>
  <c r="BU72" i="8" s="1"/>
  <c r="BP72" i="8"/>
  <c r="BO72" i="8"/>
  <c r="BM72" i="8" s="1"/>
  <c r="BN72" i="8"/>
  <c r="BL72" i="8"/>
  <c r="BK72" i="8"/>
  <c r="BJ72" i="8"/>
  <c r="BI72" i="8"/>
  <c r="BH72" i="8"/>
  <c r="BA72" i="8"/>
  <c r="AZ72" i="8"/>
  <c r="BC72" i="8" s="1"/>
  <c r="BF72" i="8" s="1"/>
  <c r="AX72" i="8"/>
  <c r="AW72" i="8"/>
  <c r="AV72" i="8"/>
  <c r="AU72" i="8"/>
  <c r="AT72" i="8"/>
  <c r="AS72" i="8"/>
  <c r="AQ72" i="8" s="1"/>
  <c r="AR72" i="8"/>
  <c r="AP72" i="8"/>
  <c r="AM72" i="8"/>
  <c r="AL72" i="8"/>
  <c r="AK72" i="8"/>
  <c r="AJ72" i="8"/>
  <c r="AF72" i="8"/>
  <c r="AE72" i="8"/>
  <c r="AD72" i="8" s="1"/>
  <c r="AC72" i="8"/>
  <c r="AB72" i="8"/>
  <c r="Y72" i="8"/>
  <c r="X72" i="8"/>
  <c r="W72" i="8"/>
  <c r="U72" i="8"/>
  <c r="V72" i="8" s="1"/>
  <c r="T72" i="8"/>
  <c r="S72" i="8"/>
  <c r="R72" i="8"/>
  <c r="Q72" i="8"/>
  <c r="P72" i="8"/>
  <c r="N72" i="8"/>
  <c r="K72" i="8"/>
  <c r="J72" i="8"/>
  <c r="L72" i="8" s="1"/>
  <c r="I72" i="8"/>
  <c r="F72" i="8"/>
  <c r="H72" i="8" s="1"/>
  <c r="E72" i="8"/>
  <c r="D72" i="8"/>
  <c r="C72" i="8"/>
  <c r="B72" i="8"/>
  <c r="A72" i="8"/>
  <c r="CB71" i="8"/>
  <c r="CA71" i="8"/>
  <c r="BZ71" i="8"/>
  <c r="BY71" i="8"/>
  <c r="BX71" i="8"/>
  <c r="BW71" i="8"/>
  <c r="BS71" i="8"/>
  <c r="BR71" i="8"/>
  <c r="BQ71" i="8"/>
  <c r="BP71" i="8"/>
  <c r="BO71" i="8"/>
  <c r="BN71" i="8"/>
  <c r="BU71" i="8" s="1"/>
  <c r="BL71" i="8"/>
  <c r="BK71" i="8"/>
  <c r="BJ71" i="8"/>
  <c r="BI71" i="8"/>
  <c r="BH71" i="8"/>
  <c r="BA71" i="8"/>
  <c r="AZ71" i="8"/>
  <c r="AX71" i="8"/>
  <c r="AW71" i="8"/>
  <c r="AU71" i="8" s="1"/>
  <c r="AV71" i="8"/>
  <c r="AT71" i="8"/>
  <c r="AS71" i="8"/>
  <c r="AQ71" i="8" s="1"/>
  <c r="AR71" i="8"/>
  <c r="AP71" i="8"/>
  <c r="AJ71" i="8"/>
  <c r="AF71" i="8"/>
  <c r="AE71" i="8"/>
  <c r="AD71" i="8"/>
  <c r="AB71" i="8"/>
  <c r="AC71" i="8" s="1"/>
  <c r="Y71" i="8"/>
  <c r="W71" i="8" s="1"/>
  <c r="X71" i="8"/>
  <c r="U71" i="8"/>
  <c r="V71" i="8" s="1"/>
  <c r="R71" i="8"/>
  <c r="T71" i="8" s="1"/>
  <c r="Q71" i="8"/>
  <c r="AL71" i="8" s="1"/>
  <c r="N71" i="8"/>
  <c r="O71" i="8" s="1"/>
  <c r="AI71" i="8" s="1"/>
  <c r="J71" i="8"/>
  <c r="I71" i="8"/>
  <c r="H71" i="8"/>
  <c r="G71" i="8"/>
  <c r="F71" i="8"/>
  <c r="D71" i="8"/>
  <c r="B71" i="8"/>
  <c r="E71" i="8" s="1"/>
  <c r="A71" i="8"/>
  <c r="CB70" i="8"/>
  <c r="CA70" i="8"/>
  <c r="BZ70" i="8"/>
  <c r="BY70" i="8"/>
  <c r="BX70" i="8"/>
  <c r="BW70" i="8"/>
  <c r="BU70" i="8"/>
  <c r="BS70" i="8"/>
  <c r="BR70" i="8"/>
  <c r="BQ70" i="8"/>
  <c r="BO70" i="8"/>
  <c r="BN70" i="8"/>
  <c r="BM70" i="8" s="1"/>
  <c r="BT70" i="8" s="1"/>
  <c r="BK70" i="8"/>
  <c r="BI70" i="8" s="1"/>
  <c r="BJ70" i="8"/>
  <c r="BA70" i="8"/>
  <c r="AY70" i="8" s="1"/>
  <c r="AZ70" i="8"/>
  <c r="AW70" i="8"/>
  <c r="AV70" i="8"/>
  <c r="AT70" i="8"/>
  <c r="AS70" i="8"/>
  <c r="AQ70" i="8" s="1"/>
  <c r="AR70" i="8"/>
  <c r="AP70" i="8"/>
  <c r="AM70" i="8"/>
  <c r="AO70" i="8" s="1"/>
  <c r="AL70" i="8"/>
  <c r="AJ70" i="8"/>
  <c r="AF70" i="8"/>
  <c r="AE70" i="8"/>
  <c r="AD70" i="8"/>
  <c r="AC70" i="8"/>
  <c r="AB70" i="8"/>
  <c r="Y70" i="8"/>
  <c r="AA70" i="8" s="1"/>
  <c r="X70" i="8"/>
  <c r="W70" i="8" s="1"/>
  <c r="V70" i="8"/>
  <c r="AI70" i="8" s="1"/>
  <c r="U70" i="8"/>
  <c r="T70" i="8"/>
  <c r="R70" i="8"/>
  <c r="S70" i="8" s="1"/>
  <c r="Q70" i="8"/>
  <c r="P70" i="8"/>
  <c r="AK70" i="8" s="1"/>
  <c r="J70" i="8"/>
  <c r="K70" i="8" s="1"/>
  <c r="I70" i="8"/>
  <c r="F70" i="8"/>
  <c r="H70" i="8" s="1"/>
  <c r="E70" i="8"/>
  <c r="D70" i="8"/>
  <c r="C70" i="8"/>
  <c r="B70" i="8"/>
  <c r="A70" i="8"/>
  <c r="CB69" i="8"/>
  <c r="CA69" i="8"/>
  <c r="BZ69" i="8"/>
  <c r="BY69" i="8"/>
  <c r="BX69" i="8"/>
  <c r="BW69" i="8"/>
  <c r="BS69" i="8"/>
  <c r="BR69" i="8"/>
  <c r="BQ69" i="8"/>
  <c r="BT69" i="8" s="1"/>
  <c r="BP69" i="8"/>
  <c r="BO69" i="8"/>
  <c r="BV69" i="8" s="1"/>
  <c r="BN69" i="8"/>
  <c r="BU69" i="8" s="1"/>
  <c r="BL69" i="8"/>
  <c r="BK69" i="8"/>
  <c r="BJ69" i="8"/>
  <c r="BI69" i="8"/>
  <c r="BH69" i="8"/>
  <c r="BA69" i="8"/>
  <c r="BD69" i="8" s="1"/>
  <c r="AZ69" i="8"/>
  <c r="BC69" i="8" s="1"/>
  <c r="BF69" i="8" s="1"/>
  <c r="AX69" i="8"/>
  <c r="AW69" i="8"/>
  <c r="AU69" i="8" s="1"/>
  <c r="AV69" i="8"/>
  <c r="AT69" i="8"/>
  <c r="AS69" i="8"/>
  <c r="AR69" i="8"/>
  <c r="AQ69" i="8"/>
  <c r="AP69" i="8"/>
  <c r="AJ69" i="8"/>
  <c r="AH69" i="8"/>
  <c r="AF69" i="8"/>
  <c r="AE69" i="8"/>
  <c r="AD69" i="8"/>
  <c r="AC69" i="8"/>
  <c r="AG69" i="8" s="1"/>
  <c r="AB69" i="8"/>
  <c r="Y69" i="8"/>
  <c r="W69" i="8" s="1"/>
  <c r="X69" i="8"/>
  <c r="U69" i="8"/>
  <c r="V69" i="8" s="1"/>
  <c r="AA69" i="8" s="1"/>
  <c r="T69" i="8"/>
  <c r="S69" i="8"/>
  <c r="R69" i="8"/>
  <c r="Q69" i="8"/>
  <c r="AL69" i="8" s="1"/>
  <c r="N69" i="8"/>
  <c r="O69" i="8" s="1"/>
  <c r="AI69" i="8" s="1"/>
  <c r="L69" i="8"/>
  <c r="J69" i="8"/>
  <c r="K69" i="8" s="1"/>
  <c r="I69" i="8"/>
  <c r="H69" i="8"/>
  <c r="F69" i="8"/>
  <c r="G69" i="8" s="1"/>
  <c r="B69" i="8"/>
  <c r="E69" i="8" s="1"/>
  <c r="A69" i="8"/>
  <c r="CB68" i="8"/>
  <c r="CA68" i="8"/>
  <c r="BZ68" i="8"/>
  <c r="BY68" i="8"/>
  <c r="BX68" i="8"/>
  <c r="BW68" i="8"/>
  <c r="BV68" i="8"/>
  <c r="BU68" i="8"/>
  <c r="BS68" i="8"/>
  <c r="BR68" i="8"/>
  <c r="BQ68" i="8"/>
  <c r="BP68" i="8"/>
  <c r="BO68" i="8"/>
  <c r="BN68" i="8"/>
  <c r="BM68" i="8"/>
  <c r="BT68" i="8" s="1"/>
  <c r="BL68" i="8"/>
  <c r="BK68" i="8"/>
  <c r="BJ68" i="8"/>
  <c r="BI68" i="8"/>
  <c r="BH68" i="8"/>
  <c r="BA68" i="8"/>
  <c r="AZ68" i="8"/>
  <c r="BC68" i="8" s="1"/>
  <c r="BF68" i="8" s="1"/>
  <c r="AY68" i="8"/>
  <c r="AX68" i="8"/>
  <c r="AW68" i="8"/>
  <c r="AV68" i="8"/>
  <c r="AT68" i="8"/>
  <c r="AS68" i="8"/>
  <c r="AR68" i="8"/>
  <c r="AQ68" i="8"/>
  <c r="AP68" i="8"/>
  <c r="AJ68" i="8"/>
  <c r="AF68" i="8"/>
  <c r="AD68" i="8" s="1"/>
  <c r="AE68" i="8"/>
  <c r="AB68" i="8"/>
  <c r="AC68" i="8" s="1"/>
  <c r="Y68" i="8"/>
  <c r="W68" i="8" s="1"/>
  <c r="X68" i="8"/>
  <c r="U68" i="8"/>
  <c r="V68" i="8" s="1"/>
  <c r="R68" i="8"/>
  <c r="Q68" i="8"/>
  <c r="AL68" i="8" s="1"/>
  <c r="N68" i="8"/>
  <c r="J68" i="8"/>
  <c r="I68" i="8"/>
  <c r="H68" i="8"/>
  <c r="G68" i="8"/>
  <c r="F68" i="8"/>
  <c r="B68" i="8"/>
  <c r="A68" i="8"/>
  <c r="CB67" i="8"/>
  <c r="CA67" i="8"/>
  <c r="BZ67" i="8"/>
  <c r="BX67" i="8" s="1"/>
  <c r="BY67" i="8"/>
  <c r="BW67" i="8"/>
  <c r="BT67" i="8"/>
  <c r="BS67" i="8"/>
  <c r="BQ67" i="8" s="1"/>
  <c r="BR67" i="8"/>
  <c r="BO67" i="8"/>
  <c r="BN67" i="8"/>
  <c r="BM67" i="8"/>
  <c r="BK67" i="8"/>
  <c r="BV67" i="8" s="1"/>
  <c r="BJ67" i="8"/>
  <c r="BU67" i="8" s="1"/>
  <c r="BA67" i="8"/>
  <c r="AZ67" i="8"/>
  <c r="BC67" i="8" s="1"/>
  <c r="BF67" i="8" s="1"/>
  <c r="AW67" i="8"/>
  <c r="AV67" i="8"/>
  <c r="AU67" i="8"/>
  <c r="AT67" i="8"/>
  <c r="AS67" i="8"/>
  <c r="AR67" i="8"/>
  <c r="AQ67" i="8" s="1"/>
  <c r="AP67" i="8"/>
  <c r="AL67" i="8"/>
  <c r="AJ67" i="8"/>
  <c r="AF67" i="8"/>
  <c r="AE67" i="8"/>
  <c r="AD67" i="8"/>
  <c r="AC67" i="8"/>
  <c r="AH67" i="8" s="1"/>
  <c r="AB67" i="8"/>
  <c r="AA67" i="8"/>
  <c r="Y67" i="8"/>
  <c r="X67" i="8"/>
  <c r="W67" i="8"/>
  <c r="V67" i="8"/>
  <c r="Z67" i="8" s="1"/>
  <c r="U67" i="8"/>
  <c r="T67" i="8"/>
  <c r="S67" i="8"/>
  <c r="R67" i="8"/>
  <c r="P67" i="8" s="1"/>
  <c r="AK67" i="8" s="1"/>
  <c r="Q67" i="8"/>
  <c r="K67" i="8"/>
  <c r="J67" i="8"/>
  <c r="L67" i="8" s="1"/>
  <c r="I67" i="8"/>
  <c r="H67" i="8"/>
  <c r="G67" i="8"/>
  <c r="F67" i="8"/>
  <c r="B67" i="8"/>
  <c r="A67" i="8"/>
  <c r="CB66" i="8"/>
  <c r="CA66" i="8"/>
  <c r="BZ66" i="8"/>
  <c r="BY66" i="8"/>
  <c r="BX66" i="8"/>
  <c r="BW66" i="8"/>
  <c r="BV66" i="8"/>
  <c r="BS66" i="8"/>
  <c r="BQ66" i="8" s="1"/>
  <c r="BT66" i="8" s="1"/>
  <c r="BR66" i="8"/>
  <c r="BO66" i="8"/>
  <c r="BN66" i="8"/>
  <c r="BU66" i="8" s="1"/>
  <c r="BM66" i="8"/>
  <c r="BK66" i="8"/>
  <c r="BI66" i="8" s="1"/>
  <c r="BJ66" i="8"/>
  <c r="BC66" i="8"/>
  <c r="BA66" i="8"/>
  <c r="AY66" i="8" s="1"/>
  <c r="BB66" i="8" s="1"/>
  <c r="AZ66" i="8"/>
  <c r="AW66" i="8"/>
  <c r="AV66" i="8"/>
  <c r="AU66" i="8"/>
  <c r="AT66" i="8"/>
  <c r="AS66" i="8"/>
  <c r="AQ66" i="8" s="1"/>
  <c r="AR66" i="8"/>
  <c r="AP66" i="8"/>
  <c r="AM66" i="8"/>
  <c r="AL66" i="8"/>
  <c r="AK66" i="8"/>
  <c r="AJ66" i="8"/>
  <c r="AF66" i="8"/>
  <c r="AE66" i="8"/>
  <c r="AD66" i="8" s="1"/>
  <c r="AC66" i="8"/>
  <c r="AB66" i="8"/>
  <c r="Y66" i="8"/>
  <c r="X66" i="8"/>
  <c r="W66" i="8"/>
  <c r="U66" i="8"/>
  <c r="V66" i="8" s="1"/>
  <c r="T66" i="8"/>
  <c r="S66" i="8"/>
  <c r="R66" i="8"/>
  <c r="Q66" i="8"/>
  <c r="P66" i="8"/>
  <c r="J66" i="8"/>
  <c r="K66" i="8" s="1"/>
  <c r="I66" i="8"/>
  <c r="H66" i="8"/>
  <c r="G66" i="8"/>
  <c r="F66" i="8"/>
  <c r="D66" i="8"/>
  <c r="C66" i="8"/>
  <c r="B66" i="8"/>
  <c r="E66" i="8" s="1"/>
  <c r="A66" i="8"/>
  <c r="CB65" i="8"/>
  <c r="CA65" i="8"/>
  <c r="BZ65" i="8"/>
  <c r="BY65" i="8"/>
  <c r="BX65" i="8"/>
  <c r="BW65" i="8"/>
  <c r="BU65" i="8"/>
  <c r="BT65" i="8"/>
  <c r="BS65" i="8"/>
  <c r="BR65" i="8"/>
  <c r="BQ65" i="8"/>
  <c r="BO65" i="8"/>
  <c r="BN65" i="8"/>
  <c r="BK65" i="8"/>
  <c r="BI65" i="8" s="1"/>
  <c r="BJ65" i="8"/>
  <c r="BC65" i="8"/>
  <c r="BB65" i="8"/>
  <c r="BA65" i="8"/>
  <c r="AY65" i="8" s="1"/>
  <c r="AZ65" i="8"/>
  <c r="AW65" i="8"/>
  <c r="AV65" i="8"/>
  <c r="AU65" i="8"/>
  <c r="AT65" i="8"/>
  <c r="AS65" i="8"/>
  <c r="AQ65" i="8" s="1"/>
  <c r="AR65" i="8"/>
  <c r="AP65" i="8"/>
  <c r="AK65" i="8"/>
  <c r="AJ65" i="8"/>
  <c r="AF65" i="8"/>
  <c r="AD65" i="8" s="1"/>
  <c r="AE65" i="8"/>
  <c r="AC65" i="8"/>
  <c r="AB65" i="8"/>
  <c r="Y65" i="8"/>
  <c r="X65" i="8"/>
  <c r="AL65" i="8" s="1"/>
  <c r="U65" i="8"/>
  <c r="V65" i="8" s="1"/>
  <c r="AI65" i="8" s="1"/>
  <c r="T65" i="8"/>
  <c r="R65" i="8"/>
  <c r="S65" i="8" s="1"/>
  <c r="Q65" i="8"/>
  <c r="P65" i="8"/>
  <c r="J65" i="8"/>
  <c r="L65" i="8" s="1"/>
  <c r="I65" i="8"/>
  <c r="F65" i="8"/>
  <c r="H65" i="8" s="1"/>
  <c r="B65" i="8"/>
  <c r="E65" i="8" s="1"/>
  <c r="A65" i="8"/>
  <c r="CB64" i="8"/>
  <c r="CA64" i="8"/>
  <c r="BZ64" i="8"/>
  <c r="BY64" i="8"/>
  <c r="BX64" i="8"/>
  <c r="BW64" i="8"/>
  <c r="BV64" i="8"/>
  <c r="BS64" i="8"/>
  <c r="BR64" i="8"/>
  <c r="BQ64" i="8"/>
  <c r="BP64" i="8"/>
  <c r="BO64" i="8"/>
  <c r="BN64" i="8"/>
  <c r="BU64" i="8" s="1"/>
  <c r="BL64" i="8"/>
  <c r="BK64" i="8"/>
  <c r="BJ64" i="8"/>
  <c r="BI64" i="8"/>
  <c r="BH64" i="8"/>
  <c r="BA64" i="8"/>
  <c r="BD64" i="8" s="1"/>
  <c r="AZ64" i="8"/>
  <c r="AY64" i="8"/>
  <c r="AX64" i="8"/>
  <c r="AW64" i="8"/>
  <c r="AU64" i="8" s="1"/>
  <c r="AV64" i="8"/>
  <c r="AT64" i="8"/>
  <c r="AS64" i="8"/>
  <c r="AR64" i="8"/>
  <c r="AQ64" i="8" s="1"/>
  <c r="AP64" i="8"/>
  <c r="AJ64" i="8"/>
  <c r="AI64" i="8"/>
  <c r="AF64" i="8"/>
  <c r="AE64" i="8"/>
  <c r="AD64" i="8"/>
  <c r="AC64" i="8"/>
  <c r="AG64" i="8" s="1"/>
  <c r="AB64" i="8"/>
  <c r="AA64" i="8"/>
  <c r="Z64" i="8"/>
  <c r="Y64" i="8"/>
  <c r="W64" i="8" s="1"/>
  <c r="X64" i="8"/>
  <c r="U64" i="8"/>
  <c r="V64" i="8" s="1"/>
  <c r="R64" i="8"/>
  <c r="Q64" i="8"/>
  <c r="AL64" i="8" s="1"/>
  <c r="N64" i="8"/>
  <c r="O64" i="8" s="1"/>
  <c r="S64" i="8" s="1"/>
  <c r="J64" i="8"/>
  <c r="K64" i="8" s="1"/>
  <c r="I64" i="8"/>
  <c r="H64" i="8"/>
  <c r="F64" i="8"/>
  <c r="G64" i="8" s="1"/>
  <c r="D64" i="8"/>
  <c r="C64" i="8"/>
  <c r="B64" i="8"/>
  <c r="E64" i="8" s="1"/>
  <c r="A64" i="8"/>
  <c r="CB63" i="8"/>
  <c r="CA63" i="8"/>
  <c r="BZ63" i="8"/>
  <c r="BY63" i="8"/>
  <c r="BX63" i="8"/>
  <c r="BW63" i="8"/>
  <c r="BS63" i="8"/>
  <c r="BR63" i="8"/>
  <c r="BQ63" i="8"/>
  <c r="BP63" i="8"/>
  <c r="BO63" i="8"/>
  <c r="BV63" i="8" s="1"/>
  <c r="BN63" i="8"/>
  <c r="BU63" i="8" s="1"/>
  <c r="BL63" i="8"/>
  <c r="BK63" i="8"/>
  <c r="BJ63" i="8"/>
  <c r="BI63" i="8"/>
  <c r="BH63" i="8"/>
  <c r="BF63" i="8"/>
  <c r="BA63" i="8"/>
  <c r="AZ63" i="8"/>
  <c r="BC63" i="8" s="1"/>
  <c r="AX63" i="8"/>
  <c r="AW63" i="8"/>
  <c r="AV63" i="8"/>
  <c r="AT63" i="8"/>
  <c r="AS63" i="8"/>
  <c r="AR63" i="8"/>
  <c r="AQ63" i="8"/>
  <c r="AP63" i="8"/>
  <c r="AJ63" i="8"/>
  <c r="AI63" i="8"/>
  <c r="AH63" i="8"/>
  <c r="AG63" i="8"/>
  <c r="AF63" i="8"/>
  <c r="AD63" i="8" s="1"/>
  <c r="AE63" i="8"/>
  <c r="AB63" i="8"/>
  <c r="AC63" i="8" s="1"/>
  <c r="Y63" i="8"/>
  <c r="W63" i="8" s="1"/>
  <c r="X63" i="8"/>
  <c r="U63" i="8"/>
  <c r="V63" i="8" s="1"/>
  <c r="R63" i="8"/>
  <c r="Q63" i="8"/>
  <c r="AL63" i="8" s="1"/>
  <c r="N63" i="8"/>
  <c r="O63" i="8" s="1"/>
  <c r="S63" i="8" s="1"/>
  <c r="J63" i="8"/>
  <c r="I63" i="8"/>
  <c r="H63" i="8"/>
  <c r="G63" i="8"/>
  <c r="F63" i="8"/>
  <c r="C63" i="8"/>
  <c r="B63" i="8"/>
  <c r="A63" i="8"/>
  <c r="CB62" i="8"/>
  <c r="CA62" i="8"/>
  <c r="BZ62" i="8"/>
  <c r="BY62" i="8"/>
  <c r="BX62" i="8"/>
  <c r="BW62" i="8"/>
  <c r="BT62" i="8"/>
  <c r="BS62" i="8"/>
  <c r="BQ62" i="8" s="1"/>
  <c r="BR62" i="8"/>
  <c r="BO62" i="8"/>
  <c r="BN62" i="8"/>
  <c r="BM62" i="8"/>
  <c r="BK62" i="8"/>
  <c r="BJ62" i="8"/>
  <c r="BU62" i="8" s="1"/>
  <c r="BD62" i="8"/>
  <c r="BC62" i="8"/>
  <c r="BA62" i="8"/>
  <c r="AY62" i="8" s="1"/>
  <c r="BB62" i="8" s="1"/>
  <c r="AZ62" i="8"/>
  <c r="AW62" i="8"/>
  <c r="AV62" i="8"/>
  <c r="AU62" i="8"/>
  <c r="AT62" i="8"/>
  <c r="AS62" i="8"/>
  <c r="AQ62" i="8" s="1"/>
  <c r="AR62" i="8"/>
  <c r="AL62" i="8"/>
  <c r="AJ62" i="8"/>
  <c r="AI62" i="8"/>
  <c r="AH62" i="8"/>
  <c r="AF62" i="8"/>
  <c r="AG62" i="8" s="1"/>
  <c r="AE62" i="8"/>
  <c r="AD62" i="8"/>
  <c r="AB62" i="8"/>
  <c r="Y62" i="8"/>
  <c r="W62" i="8" s="1"/>
  <c r="X62" i="8"/>
  <c r="U62" i="8"/>
  <c r="S62" i="8"/>
  <c r="R62" i="8"/>
  <c r="Q62" i="8"/>
  <c r="P62" i="8"/>
  <c r="AK62" i="8" s="1"/>
  <c r="L62" i="8"/>
  <c r="J62" i="8"/>
  <c r="K62" i="8" s="1"/>
  <c r="F62" i="8"/>
  <c r="E62" i="8"/>
  <c r="D62" i="8"/>
  <c r="B62" i="8"/>
  <c r="C62" i="8" s="1"/>
  <c r="A62" i="8"/>
  <c r="CB61" i="8"/>
  <c r="CA61" i="8"/>
  <c r="BZ61" i="8"/>
  <c r="BY61" i="8"/>
  <c r="BW61" i="8"/>
  <c r="BS61" i="8"/>
  <c r="BR61" i="8"/>
  <c r="BQ61" i="8"/>
  <c r="BT61" i="8" s="1"/>
  <c r="BP61" i="8"/>
  <c r="BO61" i="8"/>
  <c r="BN61" i="8"/>
  <c r="BM61" i="8"/>
  <c r="BL61" i="8"/>
  <c r="BK61" i="8"/>
  <c r="BJ61" i="8"/>
  <c r="BI61" i="8"/>
  <c r="BH61" i="8"/>
  <c r="BD61" i="8"/>
  <c r="BC61" i="8"/>
  <c r="BF61" i="8" s="1"/>
  <c r="BB61" i="8"/>
  <c r="BA61" i="8"/>
  <c r="AY61" i="8" s="1"/>
  <c r="AZ61" i="8"/>
  <c r="AX61" i="8"/>
  <c r="AW61" i="8"/>
  <c r="AV61" i="8"/>
  <c r="AU61" i="8"/>
  <c r="AT61" i="8"/>
  <c r="AS61" i="8"/>
  <c r="AQ61" i="8" s="1"/>
  <c r="AR61" i="8"/>
  <c r="AP61" i="8"/>
  <c r="AM61" i="8"/>
  <c r="AO61" i="8" s="1"/>
  <c r="AL61" i="8"/>
  <c r="AJ61" i="8"/>
  <c r="AI61" i="8"/>
  <c r="AF61" i="8"/>
  <c r="AE61" i="8"/>
  <c r="AD61" i="8" s="1"/>
  <c r="AB61" i="8"/>
  <c r="AA61" i="8"/>
  <c r="Y61" i="8"/>
  <c r="Z61" i="8" s="1"/>
  <c r="X61" i="8"/>
  <c r="W61" i="8"/>
  <c r="U61" i="8"/>
  <c r="T61" i="8"/>
  <c r="S61" i="8"/>
  <c r="R61" i="8"/>
  <c r="P61" i="8" s="1"/>
  <c r="AK61" i="8" s="1"/>
  <c r="Q61" i="8"/>
  <c r="N61" i="8"/>
  <c r="L61" i="8"/>
  <c r="K61" i="8"/>
  <c r="J61" i="8"/>
  <c r="I61" i="8"/>
  <c r="H61" i="8"/>
  <c r="F61" i="8"/>
  <c r="G61" i="8" s="1"/>
  <c r="B61" i="8"/>
  <c r="A61" i="8"/>
  <c r="CB60" i="8"/>
  <c r="CA60" i="8"/>
  <c r="BZ60" i="8"/>
  <c r="BY60" i="8"/>
  <c r="BX60" i="8"/>
  <c r="BW60" i="8"/>
  <c r="BV60" i="8"/>
  <c r="BT60" i="8"/>
  <c r="BS60" i="8"/>
  <c r="BR60" i="8"/>
  <c r="BQ60" i="8"/>
  <c r="BP60" i="8"/>
  <c r="BO60" i="8"/>
  <c r="BM60" i="8" s="1"/>
  <c r="BN60" i="8"/>
  <c r="BU60" i="8" s="1"/>
  <c r="BL60" i="8"/>
  <c r="BK60" i="8"/>
  <c r="BJ60" i="8"/>
  <c r="BI60" i="8"/>
  <c r="BH60" i="8"/>
  <c r="BF60" i="8"/>
  <c r="BA60" i="8"/>
  <c r="AZ60" i="8"/>
  <c r="BC60" i="8" s="1"/>
  <c r="AX60" i="8"/>
  <c r="AW60" i="8"/>
  <c r="AV60" i="8"/>
  <c r="AT60" i="8"/>
  <c r="AS60" i="8"/>
  <c r="AR60" i="8"/>
  <c r="AQ60" i="8"/>
  <c r="AP60" i="8"/>
  <c r="AJ60" i="8"/>
  <c r="AI60" i="8"/>
  <c r="AH60" i="8"/>
  <c r="AG60" i="8"/>
  <c r="AF60" i="8"/>
  <c r="AD60" i="8" s="1"/>
  <c r="AE60" i="8"/>
  <c r="AB60" i="8"/>
  <c r="AC60" i="8" s="1"/>
  <c r="AA60" i="8"/>
  <c r="Y60" i="8"/>
  <c r="W60" i="8" s="1"/>
  <c r="X60" i="8"/>
  <c r="U60" i="8"/>
  <c r="V60" i="8" s="1"/>
  <c r="R60" i="8"/>
  <c r="Q60" i="8"/>
  <c r="AL60" i="8" s="1"/>
  <c r="N60" i="8"/>
  <c r="O60" i="8" s="1"/>
  <c r="S60" i="8" s="1"/>
  <c r="J60" i="8"/>
  <c r="I60" i="8"/>
  <c r="H60" i="8"/>
  <c r="G60" i="8"/>
  <c r="F60" i="8"/>
  <c r="C60" i="8"/>
  <c r="B60" i="8"/>
  <c r="A60" i="8"/>
  <c r="CB59" i="8"/>
  <c r="CA59" i="8"/>
  <c r="BZ59" i="8"/>
  <c r="BY59" i="8"/>
  <c r="BX59" i="8"/>
  <c r="BW59" i="8"/>
  <c r="BV59" i="8"/>
  <c r="BT59" i="8"/>
  <c r="BS59" i="8"/>
  <c r="BQ59" i="8" s="1"/>
  <c r="BR59" i="8"/>
  <c r="BP59" i="8"/>
  <c r="BO59" i="8"/>
  <c r="BN59" i="8"/>
  <c r="BM59" i="8" s="1"/>
  <c r="BL59" i="8"/>
  <c r="BK59" i="8"/>
  <c r="BI59" i="8" s="1"/>
  <c r="BJ59" i="8"/>
  <c r="BH59" i="8"/>
  <c r="BD59" i="8"/>
  <c r="BA59" i="8"/>
  <c r="AZ59" i="8"/>
  <c r="AY59" i="8"/>
  <c r="AX59" i="8"/>
  <c r="AW59" i="8"/>
  <c r="AU59" i="8" s="1"/>
  <c r="AV59" i="8"/>
  <c r="BC59" i="8" s="1"/>
  <c r="AT59" i="8"/>
  <c r="AS59" i="8"/>
  <c r="AR59" i="8"/>
  <c r="AQ59" i="8"/>
  <c r="AP59" i="8"/>
  <c r="AJ59" i="8"/>
  <c r="AI59" i="8"/>
  <c r="AF59" i="8"/>
  <c r="AE59" i="8"/>
  <c r="AB59" i="8"/>
  <c r="Z59" i="8"/>
  <c r="Y59" i="8"/>
  <c r="X59" i="8"/>
  <c r="W59" i="8" s="1"/>
  <c r="U59" i="8"/>
  <c r="R59" i="8"/>
  <c r="T59" i="8" s="1"/>
  <c r="Q59" i="8"/>
  <c r="N59" i="8"/>
  <c r="L59" i="8"/>
  <c r="K59" i="8"/>
  <c r="J59" i="8"/>
  <c r="F59" i="8"/>
  <c r="E59" i="8"/>
  <c r="D59" i="8"/>
  <c r="C59" i="8"/>
  <c r="B59" i="8"/>
  <c r="A59" i="8"/>
  <c r="CB58" i="8"/>
  <c r="CA58" i="8"/>
  <c r="BZ58" i="8"/>
  <c r="BX58" i="8" s="1"/>
  <c r="BY58" i="8"/>
  <c r="BW58" i="8"/>
  <c r="BS58" i="8"/>
  <c r="BR58" i="8"/>
  <c r="BP58" i="8"/>
  <c r="BO58" i="8"/>
  <c r="BM58" i="8" s="1"/>
  <c r="BN58" i="8"/>
  <c r="BL58" i="8"/>
  <c r="BK58" i="8"/>
  <c r="BJ58" i="8"/>
  <c r="BI58" i="8"/>
  <c r="BH58" i="8"/>
  <c r="BC58" i="8"/>
  <c r="BA58" i="8"/>
  <c r="AZ58" i="8"/>
  <c r="AX58" i="8"/>
  <c r="AW58" i="8"/>
  <c r="AV58" i="8"/>
  <c r="AU58" i="8"/>
  <c r="AT58" i="8"/>
  <c r="AS58" i="8"/>
  <c r="AQ58" i="8" s="1"/>
  <c r="AR58" i="8"/>
  <c r="AP58" i="8"/>
  <c r="AM58" i="8"/>
  <c r="AJ58" i="8"/>
  <c r="AF58" i="8"/>
  <c r="AH58" i="8" s="1"/>
  <c r="AE58" i="8"/>
  <c r="AB58" i="8"/>
  <c r="Y58" i="8"/>
  <c r="X58" i="8"/>
  <c r="W58" i="8"/>
  <c r="U58" i="8"/>
  <c r="V58" i="8" s="1"/>
  <c r="T58" i="8"/>
  <c r="S58" i="8"/>
  <c r="R58" i="8"/>
  <c r="P58" i="8" s="1"/>
  <c r="Q58" i="8"/>
  <c r="N58" i="8"/>
  <c r="J58" i="8"/>
  <c r="I58" i="8"/>
  <c r="H58" i="8"/>
  <c r="F58" i="8"/>
  <c r="G58" i="8" s="1"/>
  <c r="C58" i="8"/>
  <c r="B58" i="8"/>
  <c r="E58" i="8" s="1"/>
  <c r="A58" i="8"/>
  <c r="CB57" i="8"/>
  <c r="CA57" i="8"/>
  <c r="BZ57" i="8"/>
  <c r="BY57" i="8"/>
  <c r="BX57" i="8"/>
  <c r="BW57" i="8"/>
  <c r="BV57" i="8"/>
  <c r="BS57" i="8"/>
  <c r="BR57" i="8"/>
  <c r="BQ57" i="8"/>
  <c r="BP57" i="8"/>
  <c r="BO57" i="8"/>
  <c r="BN57" i="8"/>
  <c r="BL57" i="8"/>
  <c r="BK57" i="8"/>
  <c r="BJ57" i="8"/>
  <c r="BI57" i="8"/>
  <c r="BH57" i="8"/>
  <c r="BA57" i="8"/>
  <c r="AZ57" i="8"/>
  <c r="AX57" i="8"/>
  <c r="AW57" i="8"/>
  <c r="AV57" i="8"/>
  <c r="AT57" i="8"/>
  <c r="AS57" i="8"/>
  <c r="AR57" i="8"/>
  <c r="AQ57" i="8"/>
  <c r="AP57" i="8"/>
  <c r="AJ57" i="8"/>
  <c r="AI57" i="8"/>
  <c r="AH57" i="8"/>
  <c r="AG57" i="8"/>
  <c r="AF57" i="8"/>
  <c r="AD57" i="8" s="1"/>
  <c r="AE57" i="8"/>
  <c r="AB57" i="8"/>
  <c r="Z57" i="8"/>
  <c r="Y57" i="8"/>
  <c r="AA57" i="8" s="1"/>
  <c r="X57" i="8"/>
  <c r="W57" i="8" s="1"/>
  <c r="U57" i="8"/>
  <c r="R57" i="8"/>
  <c r="Q57" i="8"/>
  <c r="N57" i="8"/>
  <c r="L57" i="8"/>
  <c r="J57" i="8"/>
  <c r="K57" i="8" s="1"/>
  <c r="F57" i="8"/>
  <c r="E57" i="8"/>
  <c r="D57" i="8"/>
  <c r="B57" i="8"/>
  <c r="C57" i="8" s="1"/>
  <c r="A57" i="8"/>
  <c r="CB56" i="8"/>
  <c r="CA56" i="8"/>
  <c r="BZ56" i="8"/>
  <c r="BY56" i="8"/>
  <c r="BW56" i="8"/>
  <c r="BS56" i="8"/>
  <c r="BR56" i="8"/>
  <c r="BP56" i="8"/>
  <c r="BO56" i="8"/>
  <c r="BN56" i="8"/>
  <c r="BM56" i="8"/>
  <c r="BL56" i="8"/>
  <c r="BK56" i="8"/>
  <c r="BJ56" i="8"/>
  <c r="BI56" i="8" s="1"/>
  <c r="BH56" i="8"/>
  <c r="BD56" i="8"/>
  <c r="BA56" i="8"/>
  <c r="AY56" i="8" s="1"/>
  <c r="AZ56" i="8"/>
  <c r="AX56" i="8"/>
  <c r="AW56" i="8"/>
  <c r="AV56" i="8"/>
  <c r="BC56" i="8" s="1"/>
  <c r="AU56" i="8"/>
  <c r="AT56" i="8"/>
  <c r="AS56" i="8"/>
  <c r="AR56" i="8"/>
  <c r="AP56" i="8"/>
  <c r="AL56" i="8"/>
  <c r="AJ56" i="8"/>
  <c r="AI56" i="8"/>
  <c r="AF56" i="8"/>
  <c r="AE56" i="8"/>
  <c r="AD56" i="8"/>
  <c r="AK56" i="8" s="1"/>
  <c r="AB56" i="8"/>
  <c r="AA56" i="8"/>
  <c r="Y56" i="8"/>
  <c r="Z56" i="8" s="1"/>
  <c r="X56" i="8"/>
  <c r="W56" i="8"/>
  <c r="U56" i="8"/>
  <c r="S56" i="8"/>
  <c r="R56" i="8"/>
  <c r="P56" i="8" s="1"/>
  <c r="Q56" i="8"/>
  <c r="N56" i="8"/>
  <c r="J56" i="8"/>
  <c r="K56" i="8" s="1"/>
  <c r="I56" i="8"/>
  <c r="H56" i="8"/>
  <c r="F56" i="8"/>
  <c r="G56" i="8" s="1"/>
  <c r="D56" i="8"/>
  <c r="C56" i="8"/>
  <c r="B56" i="8"/>
  <c r="E56" i="8" s="1"/>
  <c r="A56" i="8"/>
  <c r="CB55" i="8"/>
  <c r="CA55" i="8"/>
  <c r="BZ55" i="8"/>
  <c r="BY55" i="8"/>
  <c r="BX55" i="8"/>
  <c r="BW55" i="8"/>
  <c r="BS55" i="8"/>
  <c r="BR55" i="8"/>
  <c r="BQ55" i="8"/>
  <c r="BP55" i="8"/>
  <c r="BO55" i="8"/>
  <c r="BN55" i="8"/>
  <c r="BU55" i="8" s="1"/>
  <c r="BL55" i="8"/>
  <c r="BK55" i="8"/>
  <c r="BJ55" i="8"/>
  <c r="BI55" i="8"/>
  <c r="BH55" i="8"/>
  <c r="BA55" i="8"/>
  <c r="AZ55" i="8"/>
  <c r="AX55" i="8"/>
  <c r="AW55" i="8"/>
  <c r="AV55" i="8"/>
  <c r="AT55" i="8"/>
  <c r="AS55" i="8"/>
  <c r="AR55" i="8"/>
  <c r="AQ55" i="8"/>
  <c r="AP55" i="8"/>
  <c r="AJ55" i="8"/>
  <c r="AI55" i="8"/>
  <c r="AF55" i="8"/>
  <c r="AE55" i="8"/>
  <c r="AB55" i="8"/>
  <c r="AA55" i="8"/>
  <c r="Z55" i="8"/>
  <c r="Y55" i="8"/>
  <c r="X55" i="8"/>
  <c r="W55" i="8" s="1"/>
  <c r="U55" i="8"/>
  <c r="R55" i="8"/>
  <c r="Q55" i="8"/>
  <c r="AL55" i="8" s="1"/>
  <c r="N55" i="8"/>
  <c r="L55" i="8"/>
  <c r="J55" i="8"/>
  <c r="K55" i="8" s="1"/>
  <c r="G55" i="8"/>
  <c r="F55" i="8"/>
  <c r="I55" i="8" s="1"/>
  <c r="E55" i="8"/>
  <c r="D55" i="8"/>
  <c r="B55" i="8"/>
  <c r="C55" i="8" s="1"/>
  <c r="A55" i="8"/>
  <c r="CB54" i="8"/>
  <c r="CA54" i="8"/>
  <c r="BZ54" i="8"/>
  <c r="BX54" i="8" s="1"/>
  <c r="BY54" i="8"/>
  <c r="BW54" i="8"/>
  <c r="BS54" i="8"/>
  <c r="BR54" i="8"/>
  <c r="BQ54" i="8" s="1"/>
  <c r="BT54" i="8" s="1"/>
  <c r="BP54" i="8"/>
  <c r="BO54" i="8"/>
  <c r="BN54" i="8"/>
  <c r="BM54" i="8"/>
  <c r="BL54" i="8"/>
  <c r="BK54" i="8"/>
  <c r="BJ54" i="8"/>
  <c r="BI54" i="8" s="1"/>
  <c r="BH54" i="8"/>
  <c r="BC54" i="8"/>
  <c r="BA54" i="8"/>
  <c r="AY54" i="8" s="1"/>
  <c r="AZ54" i="8"/>
  <c r="AX54" i="8"/>
  <c r="AW54" i="8"/>
  <c r="AV54" i="8"/>
  <c r="AU54" i="8" s="1"/>
  <c r="AT54" i="8"/>
  <c r="AS54" i="8"/>
  <c r="AR54" i="8"/>
  <c r="AP54" i="8"/>
  <c r="AL54" i="8"/>
  <c r="AJ54" i="8"/>
  <c r="AI54" i="8"/>
  <c r="AF54" i="8"/>
  <c r="AE54" i="8"/>
  <c r="AD54" i="8"/>
  <c r="AB54" i="8"/>
  <c r="AA54" i="8"/>
  <c r="Y54" i="8"/>
  <c r="Z54" i="8" s="1"/>
  <c r="X54" i="8"/>
  <c r="W54" i="8"/>
  <c r="AK54" i="8" s="1"/>
  <c r="U54" i="8"/>
  <c r="S54" i="8"/>
  <c r="R54" i="8"/>
  <c r="P54" i="8" s="1"/>
  <c r="Q54" i="8"/>
  <c r="N54" i="8"/>
  <c r="L54" i="8"/>
  <c r="K54" i="8"/>
  <c r="J54" i="8"/>
  <c r="I54" i="8"/>
  <c r="H54" i="8"/>
  <c r="F54" i="8"/>
  <c r="G54" i="8" s="1"/>
  <c r="D54" i="8"/>
  <c r="B54" i="8"/>
  <c r="A54" i="8"/>
  <c r="CB53" i="8"/>
  <c r="CA53" i="8"/>
  <c r="BZ53" i="8"/>
  <c r="BY53" i="8"/>
  <c r="BX53" i="8"/>
  <c r="BW53" i="8"/>
  <c r="BV53" i="8"/>
  <c r="BU53" i="8"/>
  <c r="BS53" i="8"/>
  <c r="BR53" i="8"/>
  <c r="BQ53" i="8"/>
  <c r="BP53" i="8"/>
  <c r="BO53" i="8"/>
  <c r="BN53" i="8"/>
  <c r="BM53" i="8" s="1"/>
  <c r="BT53" i="8" s="1"/>
  <c r="BL53" i="8"/>
  <c r="BK53" i="8"/>
  <c r="BJ53" i="8"/>
  <c r="BI53" i="8"/>
  <c r="BH53" i="8"/>
  <c r="BA53" i="8"/>
  <c r="AZ53" i="8"/>
  <c r="AY53" i="8" s="1"/>
  <c r="AX53" i="8"/>
  <c r="AW53" i="8"/>
  <c r="BD53" i="8" s="1"/>
  <c r="AV53" i="8"/>
  <c r="AT53" i="8"/>
  <c r="AS53" i="8"/>
  <c r="AR53" i="8"/>
  <c r="AQ53" i="8"/>
  <c r="AP53" i="8"/>
  <c r="AJ53" i="8"/>
  <c r="AI53" i="8"/>
  <c r="AF53" i="8"/>
  <c r="AD53" i="8" s="1"/>
  <c r="AE53" i="8"/>
  <c r="AB53" i="8"/>
  <c r="Y53" i="8"/>
  <c r="X53" i="8"/>
  <c r="U53" i="8"/>
  <c r="R53" i="8"/>
  <c r="Q53" i="8"/>
  <c r="N53" i="8"/>
  <c r="L53" i="8"/>
  <c r="J53" i="8"/>
  <c r="K53" i="8" s="1"/>
  <c r="G53" i="8"/>
  <c r="F53" i="8"/>
  <c r="I53" i="8" s="1"/>
  <c r="E53" i="8"/>
  <c r="D53" i="8"/>
  <c r="B53" i="8"/>
  <c r="C53" i="8" s="1"/>
  <c r="A53" i="8"/>
  <c r="CB52" i="8"/>
  <c r="CA52" i="8"/>
  <c r="BZ52" i="8"/>
  <c r="BY52" i="8"/>
  <c r="BX52" i="8"/>
  <c r="BW52" i="8"/>
  <c r="BS52" i="8"/>
  <c r="BR52" i="8"/>
  <c r="BP52" i="8"/>
  <c r="BO52" i="8"/>
  <c r="BN52" i="8"/>
  <c r="BM52" i="8" s="1"/>
  <c r="BL52" i="8"/>
  <c r="BK52" i="8"/>
  <c r="BJ52" i="8"/>
  <c r="BH52" i="8"/>
  <c r="BA52" i="8"/>
  <c r="AZ52" i="8"/>
  <c r="BC52" i="8" s="1"/>
  <c r="BF52" i="8" s="1"/>
  <c r="AX52" i="8"/>
  <c r="AW52" i="8"/>
  <c r="AV52" i="8"/>
  <c r="AU52" i="8"/>
  <c r="AT52" i="8"/>
  <c r="AS52" i="8"/>
  <c r="AQ52" i="8" s="1"/>
  <c r="AR52" i="8"/>
  <c r="AP52" i="8"/>
  <c r="AJ52" i="8"/>
  <c r="AI52" i="8"/>
  <c r="AF52" i="8"/>
  <c r="AD52" i="8" s="1"/>
  <c r="AE52" i="8"/>
  <c r="AL52" i="8" s="1"/>
  <c r="AB52" i="8"/>
  <c r="AA52" i="8"/>
  <c r="Y52" i="8"/>
  <c r="Z52" i="8" s="1"/>
  <c r="X52" i="8"/>
  <c r="W52" i="8"/>
  <c r="U52" i="8"/>
  <c r="T52" i="8"/>
  <c r="S52" i="8"/>
  <c r="R52" i="8"/>
  <c r="P52" i="8" s="1"/>
  <c r="Q52" i="8"/>
  <c r="N52" i="8"/>
  <c r="K52" i="8"/>
  <c r="J52" i="8"/>
  <c r="L52" i="8" s="1"/>
  <c r="I52" i="8"/>
  <c r="H52" i="8"/>
  <c r="F52" i="8"/>
  <c r="G52" i="8" s="1"/>
  <c r="C52" i="8"/>
  <c r="B52" i="8"/>
  <c r="E52" i="8" s="1"/>
  <c r="A52" i="8"/>
  <c r="CB51" i="8"/>
  <c r="CA51" i="8"/>
  <c r="BZ51" i="8"/>
  <c r="BY51" i="8"/>
  <c r="BX51" i="8"/>
  <c r="BW51" i="8"/>
  <c r="BV51" i="8"/>
  <c r="BU51" i="8"/>
  <c r="BS51" i="8"/>
  <c r="BR51" i="8"/>
  <c r="BQ51" i="8" s="1"/>
  <c r="BT51" i="8" s="1"/>
  <c r="BP51" i="8"/>
  <c r="BO51" i="8"/>
  <c r="BN51" i="8"/>
  <c r="BM51" i="8" s="1"/>
  <c r="BL51" i="8"/>
  <c r="BK51" i="8"/>
  <c r="BJ51" i="8"/>
  <c r="BI51" i="8" s="1"/>
  <c r="BH51" i="8"/>
  <c r="BA51" i="8"/>
  <c r="AZ51" i="8"/>
  <c r="AY51" i="8" s="1"/>
  <c r="AX51" i="8"/>
  <c r="AW51" i="8"/>
  <c r="AU51" i="8" s="1"/>
  <c r="AV51" i="8"/>
  <c r="AT51" i="8"/>
  <c r="AS51" i="8"/>
  <c r="AR51" i="8"/>
  <c r="AQ51" i="8" s="1"/>
  <c r="AP51" i="8"/>
  <c r="AJ51" i="8"/>
  <c r="AF51" i="8"/>
  <c r="AE51" i="8"/>
  <c r="AB51" i="8"/>
  <c r="AC51" i="8" s="1"/>
  <c r="AI51" i="8" s="1"/>
  <c r="Y51" i="8"/>
  <c r="W51" i="8" s="1"/>
  <c r="X51" i="8"/>
  <c r="V51" i="8"/>
  <c r="U51" i="8"/>
  <c r="T51" i="8"/>
  <c r="S51" i="8"/>
  <c r="R51" i="8"/>
  <c r="Q51" i="8"/>
  <c r="P51" i="8"/>
  <c r="N51" i="8"/>
  <c r="O51" i="8" s="1"/>
  <c r="J51" i="8"/>
  <c r="L51" i="8" s="1"/>
  <c r="I51" i="8"/>
  <c r="H51" i="8"/>
  <c r="G51" i="8"/>
  <c r="F51" i="8"/>
  <c r="C51" i="8"/>
  <c r="B51" i="8"/>
  <c r="A51" i="8"/>
  <c r="CB50" i="8"/>
  <c r="CA50" i="8"/>
  <c r="BZ50" i="8"/>
  <c r="BY50" i="8"/>
  <c r="BX50" i="8" s="1"/>
  <c r="BW50" i="8"/>
  <c r="BU50" i="8"/>
  <c r="BS50" i="8"/>
  <c r="BR50" i="8"/>
  <c r="BP50" i="8"/>
  <c r="BO50" i="8"/>
  <c r="BN50" i="8"/>
  <c r="BM50" i="8"/>
  <c r="BL50" i="8"/>
  <c r="BK50" i="8"/>
  <c r="BI50" i="8" s="1"/>
  <c r="BJ50" i="8"/>
  <c r="BH50" i="8"/>
  <c r="BD50" i="8"/>
  <c r="BC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J50" i="8"/>
  <c r="AF50" i="8"/>
  <c r="AD50" i="8" s="1"/>
  <c r="AE50" i="8"/>
  <c r="AB50" i="8"/>
  <c r="AC50" i="8" s="1"/>
  <c r="Y50" i="8"/>
  <c r="X50" i="8"/>
  <c r="U50" i="8"/>
  <c r="V50" i="8" s="1"/>
  <c r="R50" i="8"/>
  <c r="Q50" i="8"/>
  <c r="P50" i="8" s="1"/>
  <c r="O50" i="8"/>
  <c r="S50" i="8" s="1"/>
  <c r="N50" i="8"/>
  <c r="J50" i="8"/>
  <c r="I50" i="8"/>
  <c r="F50" i="8"/>
  <c r="G50" i="8" s="1"/>
  <c r="B50" i="8"/>
  <c r="A50" i="8"/>
  <c r="CB49" i="8"/>
  <c r="CA49" i="8"/>
  <c r="BZ49" i="8"/>
  <c r="BX49" i="8" s="1"/>
  <c r="BY49" i="8"/>
  <c r="BW49" i="8"/>
  <c r="BS49" i="8"/>
  <c r="BR49" i="8"/>
  <c r="BP49" i="8"/>
  <c r="BO49" i="8"/>
  <c r="BN49" i="8"/>
  <c r="BM49" i="8"/>
  <c r="BL49" i="8"/>
  <c r="BK49" i="8"/>
  <c r="BJ49" i="8"/>
  <c r="BH49" i="8"/>
  <c r="BF49" i="8"/>
  <c r="BC49" i="8"/>
  <c r="BA49" i="8"/>
  <c r="AZ49" i="8"/>
  <c r="AX49" i="8"/>
  <c r="AW49" i="8"/>
  <c r="AU49" i="8" s="1"/>
  <c r="AV49" i="8"/>
  <c r="AT49" i="8"/>
  <c r="AS49" i="8"/>
  <c r="AQ49" i="8" s="1"/>
  <c r="AR49" i="8"/>
  <c r="AP49" i="8"/>
  <c r="AJ49" i="8"/>
  <c r="AF49" i="8"/>
  <c r="AD49" i="8" s="1"/>
  <c r="AE49" i="8"/>
  <c r="AC49" i="8"/>
  <c r="AB49" i="8"/>
  <c r="Y49" i="8"/>
  <c r="X49" i="8"/>
  <c r="V49" i="8"/>
  <c r="U49" i="8"/>
  <c r="R49" i="8"/>
  <c r="Q49" i="8"/>
  <c r="AL49" i="8" s="1"/>
  <c r="N49" i="8"/>
  <c r="O49" i="8" s="1"/>
  <c r="AI49" i="8" s="1"/>
  <c r="L49" i="8"/>
  <c r="K49" i="8"/>
  <c r="J49" i="8"/>
  <c r="F49" i="8"/>
  <c r="E49" i="8"/>
  <c r="D49" i="8"/>
  <c r="B49" i="8"/>
  <c r="C49" i="8" s="1"/>
  <c r="A49" i="8"/>
  <c r="CB48" i="8"/>
  <c r="CA48" i="8"/>
  <c r="BZ48" i="8"/>
  <c r="BY48" i="8"/>
  <c r="BX48" i="8" s="1"/>
  <c r="BW48" i="8"/>
  <c r="BU48" i="8"/>
  <c r="BS48" i="8"/>
  <c r="BR48" i="8"/>
  <c r="BQ48" i="8" s="1"/>
  <c r="BP48" i="8"/>
  <c r="BO48" i="8"/>
  <c r="BN48" i="8"/>
  <c r="BM48" i="8"/>
  <c r="BL48" i="8"/>
  <c r="BK48" i="8"/>
  <c r="BJ48" i="8"/>
  <c r="BI48" i="8" s="1"/>
  <c r="BH48" i="8"/>
  <c r="BC48" i="8"/>
  <c r="BA48" i="8"/>
  <c r="AZ48" i="8"/>
  <c r="AY48" i="8" s="1"/>
  <c r="AX48" i="8"/>
  <c r="AW48" i="8"/>
  <c r="AU48" i="8" s="1"/>
  <c r="AV48" i="8"/>
  <c r="AT48" i="8"/>
  <c r="AS48" i="8"/>
  <c r="AR48" i="8"/>
  <c r="AQ48" i="8" s="1"/>
  <c r="AP48" i="8"/>
  <c r="AJ48" i="8"/>
  <c r="AG48" i="8"/>
  <c r="AF48" i="8"/>
  <c r="AE48" i="8"/>
  <c r="AB48" i="8"/>
  <c r="Y48" i="8"/>
  <c r="X48" i="8"/>
  <c r="V48" i="8"/>
  <c r="AI48" i="8" s="1"/>
  <c r="U48" i="8"/>
  <c r="S48" i="8"/>
  <c r="R48" i="8"/>
  <c r="T48" i="8" s="1"/>
  <c r="Q48" i="8"/>
  <c r="P48" i="8"/>
  <c r="N48" i="8"/>
  <c r="L48" i="8"/>
  <c r="K48" i="8"/>
  <c r="J48" i="8"/>
  <c r="F48" i="8"/>
  <c r="E48" i="8"/>
  <c r="D48" i="8"/>
  <c r="C48" i="8"/>
  <c r="B48" i="8"/>
  <c r="A48" i="8"/>
  <c r="CB47" i="8"/>
  <c r="CA47" i="8"/>
  <c r="BZ47" i="8"/>
  <c r="BY47" i="8"/>
  <c r="BX47" i="8"/>
  <c r="BW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A47" i="8"/>
  <c r="AZ47" i="8"/>
  <c r="AX47" i="8"/>
  <c r="AW47" i="8"/>
  <c r="AV47" i="8"/>
  <c r="AU47" i="8"/>
  <c r="AT47" i="8"/>
  <c r="AS47" i="8"/>
  <c r="AR47" i="8"/>
  <c r="BC47" i="8" s="1"/>
  <c r="BF47" i="8" s="1"/>
  <c r="AP47" i="8"/>
  <c r="AM47" i="8"/>
  <c r="AJ47" i="8"/>
  <c r="AF47" i="8"/>
  <c r="AH47" i="8" s="1"/>
  <c r="AE47" i="8"/>
  <c r="AL47" i="8" s="1"/>
  <c r="AD47" i="8"/>
  <c r="AC47" i="8"/>
  <c r="AG47" i="8" s="1"/>
  <c r="AB47" i="8"/>
  <c r="Y47" i="8"/>
  <c r="X47" i="8"/>
  <c r="W47" i="8"/>
  <c r="AK47" i="8" s="1"/>
  <c r="V47" i="8"/>
  <c r="U47" i="8"/>
  <c r="R47" i="8"/>
  <c r="Q47" i="8"/>
  <c r="P47" i="8" s="1"/>
  <c r="N47" i="8"/>
  <c r="O47" i="8" s="1"/>
  <c r="L47" i="8"/>
  <c r="K47" i="8"/>
  <c r="J47" i="8"/>
  <c r="F47" i="8"/>
  <c r="E47" i="8"/>
  <c r="D47" i="8"/>
  <c r="C47" i="8"/>
  <c r="B47" i="8"/>
  <c r="A47" i="8"/>
  <c r="CB46" i="8"/>
  <c r="CA46" i="8"/>
  <c r="BZ46" i="8"/>
  <c r="BX46" i="8" s="1"/>
  <c r="BY46" i="8"/>
  <c r="BW46" i="8"/>
  <c r="BS46" i="8"/>
  <c r="BR46" i="8"/>
  <c r="BQ46" i="8" s="1"/>
  <c r="BP46" i="8"/>
  <c r="BO46" i="8"/>
  <c r="BN46" i="8"/>
  <c r="BL46" i="8"/>
  <c r="BK46" i="8"/>
  <c r="BJ46" i="8"/>
  <c r="BI46" i="8" s="1"/>
  <c r="BH46" i="8"/>
  <c r="BA46" i="8"/>
  <c r="AY46" i="8" s="1"/>
  <c r="BB46" i="8" s="1"/>
  <c r="AZ46" i="8"/>
  <c r="AX46" i="8"/>
  <c r="AW46" i="8"/>
  <c r="AV46" i="8"/>
  <c r="AU46" i="8" s="1"/>
  <c r="AT46" i="8"/>
  <c r="AS46" i="8"/>
  <c r="AQ46" i="8" s="1"/>
  <c r="AR46" i="8"/>
  <c r="AP46" i="8"/>
  <c r="AL46" i="8"/>
  <c r="AK46" i="8"/>
  <c r="AJ46" i="8"/>
  <c r="AF46" i="8"/>
  <c r="AE46" i="8"/>
  <c r="AD46" i="8"/>
  <c r="AB46" i="8"/>
  <c r="AC46" i="8" s="1"/>
  <c r="Y46" i="8"/>
  <c r="X46" i="8"/>
  <c r="W46" i="8" s="1"/>
  <c r="V46" i="8"/>
  <c r="Z46" i="8" s="1"/>
  <c r="U46" i="8"/>
  <c r="R46" i="8"/>
  <c r="AM46" i="8" s="1"/>
  <c r="Q46" i="8"/>
  <c r="P46" i="8"/>
  <c r="N46" i="8"/>
  <c r="O46" i="8" s="1"/>
  <c r="T46" i="8" s="1"/>
  <c r="L46" i="8"/>
  <c r="K46" i="8"/>
  <c r="J46" i="8"/>
  <c r="I46" i="8"/>
  <c r="G46" i="8"/>
  <c r="F46" i="8"/>
  <c r="H46" i="8" s="1"/>
  <c r="E46" i="8"/>
  <c r="D46" i="8"/>
  <c r="C46" i="8"/>
  <c r="B46" i="8"/>
  <c r="A46" i="8"/>
  <c r="CB45" i="8"/>
  <c r="CA45" i="8"/>
  <c r="BZ45" i="8"/>
  <c r="BY45" i="8"/>
  <c r="BX45" i="8" s="1"/>
  <c r="BW45" i="8"/>
  <c r="BS45" i="8"/>
  <c r="BR45" i="8"/>
  <c r="BQ45" i="8"/>
  <c r="BP45" i="8"/>
  <c r="BO45" i="8"/>
  <c r="BM45" i="8" s="1"/>
  <c r="BN45" i="8"/>
  <c r="BU45" i="8" s="1"/>
  <c r="BL45" i="8"/>
  <c r="BK45" i="8"/>
  <c r="BJ45" i="8"/>
  <c r="BI45" i="8"/>
  <c r="BH45" i="8"/>
  <c r="BA45" i="8"/>
  <c r="AZ45" i="8"/>
  <c r="AX45" i="8"/>
  <c r="AW45" i="8"/>
  <c r="AV45" i="8"/>
  <c r="AU45" i="8"/>
  <c r="AT45" i="8"/>
  <c r="AS45" i="8"/>
  <c r="AQ45" i="8" s="1"/>
  <c r="AR45" i="8"/>
  <c r="AP45" i="8"/>
  <c r="AJ45" i="8"/>
  <c r="AH45" i="8"/>
  <c r="AF45" i="8"/>
  <c r="AE45" i="8"/>
  <c r="AD45" i="8" s="1"/>
  <c r="AC45" i="8"/>
  <c r="AG45" i="8" s="1"/>
  <c r="AB45" i="8"/>
  <c r="Y45" i="8"/>
  <c r="X45" i="8"/>
  <c r="W45" i="8"/>
  <c r="U45" i="8"/>
  <c r="V45" i="8" s="1"/>
  <c r="AA45" i="8" s="1"/>
  <c r="T45" i="8"/>
  <c r="S45" i="8"/>
  <c r="R45" i="8"/>
  <c r="Q45" i="8"/>
  <c r="AL45" i="8" s="1"/>
  <c r="O45" i="8"/>
  <c r="N45" i="8"/>
  <c r="L45" i="8"/>
  <c r="K45" i="8"/>
  <c r="J45" i="8"/>
  <c r="I45" i="8"/>
  <c r="F45" i="8"/>
  <c r="G45" i="8" s="1"/>
  <c r="B45" i="8"/>
  <c r="E45" i="8" s="1"/>
  <c r="A45" i="8"/>
  <c r="CB44" i="8"/>
  <c r="CA44" i="8"/>
  <c r="BZ44" i="8"/>
  <c r="BY44" i="8"/>
  <c r="BX44" i="8"/>
  <c r="BW44" i="8"/>
  <c r="BV44" i="8"/>
  <c r="BS44" i="8"/>
  <c r="BR44" i="8"/>
  <c r="BQ44" i="8" s="1"/>
  <c r="BP44" i="8"/>
  <c r="BO44" i="8"/>
  <c r="BN44" i="8"/>
  <c r="BM44" i="8" s="1"/>
  <c r="BL44" i="8"/>
  <c r="BK44" i="8"/>
  <c r="BJ44" i="8"/>
  <c r="BI44" i="8" s="1"/>
  <c r="BH44" i="8"/>
  <c r="BA44" i="8"/>
  <c r="AZ44" i="8"/>
  <c r="BC44" i="8" s="1"/>
  <c r="BF44" i="8" s="1"/>
  <c r="AX44" i="8"/>
  <c r="AW44" i="8"/>
  <c r="AV44" i="8"/>
  <c r="AT44" i="8"/>
  <c r="AS44" i="8"/>
  <c r="AR44" i="8"/>
  <c r="AQ44" i="8"/>
  <c r="AP44" i="8"/>
  <c r="AJ44" i="8"/>
  <c r="AF44" i="8"/>
  <c r="AE44" i="8"/>
  <c r="AD44" i="8"/>
  <c r="AB44" i="8"/>
  <c r="AC44" i="8" s="1"/>
  <c r="AI44" i="8" s="1"/>
  <c r="AA44" i="8"/>
  <c r="Z44" i="8"/>
  <c r="Y44" i="8"/>
  <c r="W44" i="8" s="1"/>
  <c r="X44" i="8"/>
  <c r="V44" i="8"/>
  <c r="U44" i="8"/>
  <c r="T44" i="8"/>
  <c r="S44" i="8"/>
  <c r="R44" i="8"/>
  <c r="Q44" i="8"/>
  <c r="AL44" i="8" s="1"/>
  <c r="N44" i="8"/>
  <c r="O44" i="8" s="1"/>
  <c r="K44" i="8"/>
  <c r="J44" i="8"/>
  <c r="L44" i="8" s="1"/>
  <c r="I44" i="8"/>
  <c r="H44" i="8"/>
  <c r="G44" i="8"/>
  <c r="F44" i="8"/>
  <c r="C44" i="8"/>
  <c r="B44" i="8"/>
  <c r="A44" i="8"/>
  <c r="CB43" i="8"/>
  <c r="CA43" i="8"/>
  <c r="BZ43" i="8"/>
  <c r="BY43" i="8"/>
  <c r="BX43" i="8" s="1"/>
  <c r="BW43" i="8"/>
  <c r="BS43" i="8"/>
  <c r="BR43" i="8"/>
  <c r="BQ43" i="8"/>
  <c r="BP43" i="8"/>
  <c r="BO43" i="8"/>
  <c r="BV43" i="8" s="1"/>
  <c r="BN43" i="8"/>
  <c r="BU43" i="8" s="1"/>
  <c r="BL43" i="8"/>
  <c r="BK43" i="8"/>
  <c r="BJ43" i="8"/>
  <c r="BI43" i="8"/>
  <c r="BH43" i="8"/>
  <c r="BD43" i="8"/>
  <c r="BA43" i="8"/>
  <c r="AZ43" i="8"/>
  <c r="AY43" i="8"/>
  <c r="AX43" i="8"/>
  <c r="AW43" i="8"/>
  <c r="AU43" i="8" s="1"/>
  <c r="AV43" i="8"/>
  <c r="BC43" i="8" s="1"/>
  <c r="BF43" i="8" s="1"/>
  <c r="AT43" i="8"/>
  <c r="AS43" i="8"/>
  <c r="AR43" i="8"/>
  <c r="AQ43" i="8"/>
  <c r="AP43" i="8"/>
  <c r="AJ43" i="8"/>
  <c r="AI43" i="8"/>
  <c r="AF43" i="8"/>
  <c r="AD43" i="8" s="1"/>
  <c r="AE43" i="8"/>
  <c r="AB43" i="8"/>
  <c r="Z43" i="8"/>
  <c r="Y43" i="8"/>
  <c r="X43" i="8"/>
  <c r="W43" i="8"/>
  <c r="U43" i="8"/>
  <c r="S43" i="8"/>
  <c r="R43" i="8"/>
  <c r="T43" i="8" s="1"/>
  <c r="Q43" i="8"/>
  <c r="AL43" i="8" s="1"/>
  <c r="N43" i="8"/>
  <c r="L43" i="8"/>
  <c r="K43" i="8"/>
  <c r="J43" i="8"/>
  <c r="G43" i="8"/>
  <c r="F43" i="8"/>
  <c r="E43" i="8"/>
  <c r="D43" i="8"/>
  <c r="C43" i="8"/>
  <c r="B43" i="8"/>
  <c r="A43" i="8"/>
  <c r="CB42" i="8"/>
  <c r="CA42" i="8"/>
  <c r="BZ42" i="8"/>
  <c r="BX42" i="8" s="1"/>
  <c r="BY42" i="8"/>
  <c r="BW42" i="8"/>
  <c r="BS42" i="8"/>
  <c r="BV42" i="8" s="1"/>
  <c r="BR42" i="8"/>
  <c r="BU42" i="8" s="1"/>
  <c r="L42" i="8"/>
  <c r="K42" i="8"/>
  <c r="J42" i="8"/>
  <c r="F42" i="8"/>
  <c r="B42" i="8"/>
  <c r="A42" i="8"/>
  <c r="CB41" i="8"/>
  <c r="CA41" i="8"/>
  <c r="BZ41" i="8"/>
  <c r="BX41" i="8" s="1"/>
  <c r="BY41" i="8"/>
  <c r="BW41" i="8"/>
  <c r="BS41" i="8"/>
  <c r="BR41" i="8"/>
  <c r="BU41" i="8" s="1"/>
  <c r="BP41" i="8"/>
  <c r="BO41" i="8"/>
  <c r="BN41" i="8"/>
  <c r="BM41" i="8"/>
  <c r="BL41" i="8"/>
  <c r="BK41" i="8"/>
  <c r="BI41" i="8" s="1"/>
  <c r="BJ41" i="8"/>
  <c r="BH41" i="8"/>
  <c r="BD41" i="8"/>
  <c r="BA41" i="8"/>
  <c r="AZ41" i="8"/>
  <c r="AY41" i="8"/>
  <c r="AX41" i="8"/>
  <c r="AW41" i="8"/>
  <c r="AU41" i="8" s="1"/>
  <c r="BB41" i="8" s="1"/>
  <c r="AV41" i="8"/>
  <c r="BC41" i="8" s="1"/>
  <c r="BF41" i="8" s="1"/>
  <c r="AT41" i="8"/>
  <c r="AS41" i="8"/>
  <c r="AR41" i="8"/>
  <c r="AQ41" i="8"/>
  <c r="AP41" i="8"/>
  <c r="AL41" i="8"/>
  <c r="AJ41" i="8"/>
  <c r="AG41" i="8"/>
  <c r="AF41" i="8"/>
  <c r="AH41" i="8" s="1"/>
  <c r="AE41" i="8"/>
  <c r="AD41" i="8" s="1"/>
  <c r="AC41" i="8"/>
  <c r="AB41" i="8"/>
  <c r="Y41" i="8"/>
  <c r="X41" i="8"/>
  <c r="V41" i="8"/>
  <c r="U41" i="8"/>
  <c r="R41" i="8"/>
  <c r="Q41" i="8"/>
  <c r="P41" i="8" s="1"/>
  <c r="O41" i="8"/>
  <c r="N41" i="8"/>
  <c r="J41" i="8"/>
  <c r="K41" i="8" s="1"/>
  <c r="G41" i="8"/>
  <c r="F41" i="8"/>
  <c r="I41" i="8" s="1"/>
  <c r="E41" i="8"/>
  <c r="B41" i="8"/>
  <c r="C41" i="8" s="1"/>
  <c r="A41" i="8"/>
  <c r="CB40" i="8"/>
  <c r="CA40" i="8"/>
  <c r="BZ40" i="8"/>
  <c r="BY40" i="8"/>
  <c r="BW40" i="8"/>
  <c r="BS40" i="8"/>
  <c r="BR40" i="8"/>
  <c r="BU40" i="8" s="1"/>
  <c r="BP40" i="8"/>
  <c r="BO40" i="8"/>
  <c r="BN40" i="8"/>
  <c r="BM40" i="8" s="1"/>
  <c r="BL40" i="8"/>
  <c r="BK40" i="8"/>
  <c r="BJ40" i="8"/>
  <c r="BI40" i="8"/>
  <c r="BH40" i="8"/>
  <c r="BA40" i="8"/>
  <c r="AY40" i="8" s="1"/>
  <c r="AZ40" i="8"/>
  <c r="AX40" i="8"/>
  <c r="AW40" i="8"/>
  <c r="AV40" i="8"/>
  <c r="AU40" i="8" s="1"/>
  <c r="BB40" i="8" s="1"/>
  <c r="AT40" i="8"/>
  <c r="AS40" i="8"/>
  <c r="AQ40" i="8" s="1"/>
  <c r="AR40" i="8"/>
  <c r="AP40" i="8"/>
  <c r="AM40" i="8"/>
  <c r="AO40" i="8" s="1"/>
  <c r="AJ40" i="8"/>
  <c r="AI40" i="8"/>
  <c r="AF40" i="8"/>
  <c r="AD40" i="8" s="1"/>
  <c r="AE40" i="8"/>
  <c r="AL40" i="8" s="1"/>
  <c r="AB40" i="8"/>
  <c r="Y40" i="8"/>
  <c r="Z40" i="8" s="1"/>
  <c r="X40" i="8"/>
  <c r="W40" i="8"/>
  <c r="AK40" i="8" s="1"/>
  <c r="U40" i="8"/>
  <c r="T40" i="8"/>
  <c r="S40" i="8"/>
  <c r="R40" i="8"/>
  <c r="Q40" i="8"/>
  <c r="P40" i="8"/>
  <c r="N40" i="8"/>
  <c r="K40" i="8"/>
  <c r="J40" i="8"/>
  <c r="L40" i="8" s="1"/>
  <c r="I40" i="8"/>
  <c r="F40" i="8"/>
  <c r="G40" i="8" s="1"/>
  <c r="D40" i="8"/>
  <c r="C40" i="8"/>
  <c r="B40" i="8"/>
  <c r="E40" i="8" s="1"/>
  <c r="A40" i="8"/>
  <c r="CB39" i="8"/>
  <c r="CA39" i="8"/>
  <c r="BZ39" i="8"/>
  <c r="BY39" i="8"/>
  <c r="BX39" i="8"/>
  <c r="BW39" i="8"/>
  <c r="BS39" i="8"/>
  <c r="BR39" i="8"/>
  <c r="BQ39" i="8" s="1"/>
  <c r="BP39" i="8"/>
  <c r="BO39" i="8"/>
  <c r="BM39" i="8" s="1"/>
  <c r="BN39" i="8"/>
  <c r="BU39" i="8" s="1"/>
  <c r="BL39" i="8"/>
  <c r="BK39" i="8"/>
  <c r="BJ39" i="8"/>
  <c r="BI39" i="8" s="1"/>
  <c r="BH39" i="8"/>
  <c r="BA39" i="8"/>
  <c r="AZ39" i="8"/>
  <c r="AY39" i="8" s="1"/>
  <c r="AX39" i="8"/>
  <c r="AW39" i="8"/>
  <c r="AV39" i="8"/>
  <c r="AT39" i="8"/>
  <c r="AS39" i="8"/>
  <c r="AR39" i="8"/>
  <c r="AQ39" i="8" s="1"/>
  <c r="AP39" i="8"/>
  <c r="AJ39" i="8"/>
  <c r="AI39" i="8"/>
  <c r="AG39" i="8"/>
  <c r="AF39" i="8"/>
  <c r="AE39" i="8"/>
  <c r="AD39" i="8"/>
  <c r="AB39" i="8"/>
  <c r="AC39" i="8" s="1"/>
  <c r="AH39" i="8" s="1"/>
  <c r="AA39" i="8"/>
  <c r="Z39" i="8"/>
  <c r="Y39" i="8"/>
  <c r="W39" i="8" s="1"/>
  <c r="X39" i="8"/>
  <c r="U39" i="8"/>
  <c r="S39" i="8"/>
  <c r="R39" i="8"/>
  <c r="Q39" i="8"/>
  <c r="AL39" i="8" s="1"/>
  <c r="O39" i="8"/>
  <c r="N39" i="8"/>
  <c r="J39" i="8"/>
  <c r="I39" i="8"/>
  <c r="H39" i="8"/>
  <c r="G39" i="8"/>
  <c r="F39" i="8"/>
  <c r="B39" i="8"/>
  <c r="A39" i="8"/>
  <c r="CB38" i="8"/>
  <c r="CA38" i="8"/>
  <c r="BZ38" i="8"/>
  <c r="BX38" i="8" s="1"/>
  <c r="BY38" i="8"/>
  <c r="BW38" i="8"/>
  <c r="BU38" i="8"/>
  <c r="BS38" i="8"/>
  <c r="BQ38" i="8" s="1"/>
  <c r="BR38" i="8"/>
  <c r="BP38" i="8"/>
  <c r="BO38" i="8"/>
  <c r="BN38" i="8"/>
  <c r="BM38" i="8"/>
  <c r="BL38" i="8"/>
  <c r="BK38" i="8"/>
  <c r="BI38" i="8" s="1"/>
  <c r="BT38" i="8" s="1"/>
  <c r="BJ38" i="8"/>
  <c r="BH38" i="8"/>
  <c r="BC38" i="8"/>
  <c r="BA38" i="8"/>
  <c r="AZ38" i="8"/>
  <c r="AY38" i="8" s="1"/>
  <c r="AX38" i="8"/>
  <c r="AW38" i="8"/>
  <c r="AU38" i="8" s="1"/>
  <c r="AV38" i="8"/>
  <c r="AT38" i="8"/>
  <c r="AS38" i="8"/>
  <c r="AR38" i="8"/>
  <c r="AQ38" i="8" s="1"/>
  <c r="AP38" i="8"/>
  <c r="AJ38" i="8"/>
  <c r="AG38" i="8"/>
  <c r="AF38" i="8"/>
  <c r="AE38" i="8"/>
  <c r="AB38" i="8"/>
  <c r="AC38" i="8" s="1"/>
  <c r="Z38" i="8"/>
  <c r="Y38" i="8"/>
  <c r="AA38" i="8" s="1"/>
  <c r="X38" i="8"/>
  <c r="V38" i="8"/>
  <c r="U38" i="8"/>
  <c r="R38" i="8"/>
  <c r="Q38" i="8"/>
  <c r="P38" i="8"/>
  <c r="O38" i="8"/>
  <c r="AI38" i="8" s="1"/>
  <c r="N38" i="8"/>
  <c r="K38" i="8"/>
  <c r="J38" i="8"/>
  <c r="L38" i="8" s="1"/>
  <c r="F38" i="8"/>
  <c r="I38" i="8" s="1"/>
  <c r="E38" i="8"/>
  <c r="C38" i="8"/>
  <c r="B38" i="8"/>
  <c r="D38" i="8" s="1"/>
  <c r="A38" i="8"/>
  <c r="CB37" i="8"/>
  <c r="CA37" i="8"/>
  <c r="BZ37" i="8"/>
  <c r="BX37" i="8" s="1"/>
  <c r="BY37" i="8"/>
  <c r="BW37" i="8"/>
  <c r="BS37" i="8"/>
  <c r="BR37" i="8"/>
  <c r="BU37" i="8" s="1"/>
  <c r="BP37" i="8"/>
  <c r="BO37" i="8"/>
  <c r="BN37" i="8"/>
  <c r="BM37" i="8"/>
  <c r="BL37" i="8"/>
  <c r="BK37" i="8"/>
  <c r="BJ37" i="8"/>
  <c r="BH37" i="8"/>
  <c r="BC37" i="8"/>
  <c r="BB37" i="8"/>
  <c r="BA37" i="8"/>
  <c r="AZ37" i="8"/>
  <c r="AY37" i="8"/>
  <c r="AX37" i="8"/>
  <c r="AW37" i="8"/>
  <c r="BD37" i="8" s="1"/>
  <c r="AV37" i="8"/>
  <c r="AU37" i="8"/>
  <c r="AT37" i="8"/>
  <c r="AS37" i="8"/>
  <c r="AQ37" i="8" s="1"/>
  <c r="AR37" i="8"/>
  <c r="AP37" i="8"/>
  <c r="AL37" i="8"/>
  <c r="AJ37" i="8"/>
  <c r="AF37" i="8"/>
  <c r="AH37" i="8" s="1"/>
  <c r="AE37" i="8"/>
  <c r="AD37" i="8" s="1"/>
  <c r="AC37" i="8"/>
  <c r="AB37" i="8"/>
  <c r="Y37" i="8"/>
  <c r="X37" i="8"/>
  <c r="V37" i="8"/>
  <c r="U37" i="8"/>
  <c r="R37" i="8"/>
  <c r="Q37" i="8"/>
  <c r="P37" i="8" s="1"/>
  <c r="AK37" i="8" s="1"/>
  <c r="O37" i="8"/>
  <c r="N37" i="8"/>
  <c r="L37" i="8"/>
  <c r="J37" i="8"/>
  <c r="K37" i="8" s="1"/>
  <c r="F37" i="8"/>
  <c r="I37" i="8" s="1"/>
  <c r="E37" i="8"/>
  <c r="D37" i="8"/>
  <c r="B37" i="8"/>
  <c r="C37" i="8" s="1"/>
  <c r="A37" i="8"/>
  <c r="CB36" i="8"/>
  <c r="CA36" i="8"/>
  <c r="BZ36" i="8"/>
  <c r="BY36" i="8"/>
  <c r="BW36" i="8"/>
  <c r="BS36" i="8"/>
  <c r="BQ36" i="8" s="1"/>
  <c r="BT36" i="8" s="1"/>
  <c r="BR36" i="8"/>
  <c r="BP36" i="8"/>
  <c r="BO36" i="8"/>
  <c r="BN36" i="8"/>
  <c r="BM36" i="8" s="1"/>
  <c r="BL36" i="8"/>
  <c r="BK36" i="8"/>
  <c r="BI36" i="8" s="1"/>
  <c r="BJ36" i="8"/>
  <c r="BH36" i="8"/>
  <c r="BC36" i="8"/>
  <c r="BA36" i="8"/>
  <c r="AY36" i="8" s="1"/>
  <c r="AZ36" i="8"/>
  <c r="AX36" i="8"/>
  <c r="AW36" i="8"/>
  <c r="AV36" i="8"/>
  <c r="AU36" i="8"/>
  <c r="AT36" i="8"/>
  <c r="AS36" i="8"/>
  <c r="AQ36" i="8" s="1"/>
  <c r="BB36" i="8" s="1"/>
  <c r="AR36" i="8"/>
  <c r="AP36" i="8"/>
  <c r="AJ36" i="8"/>
  <c r="AF36" i="8"/>
  <c r="AE36" i="8"/>
  <c r="AD36" i="8"/>
  <c r="AC36" i="8"/>
  <c r="AB36" i="8"/>
  <c r="Y36" i="8"/>
  <c r="X36" i="8"/>
  <c r="AL36" i="8" s="1"/>
  <c r="V36" i="8"/>
  <c r="Z36" i="8" s="1"/>
  <c r="U36" i="8"/>
  <c r="R36" i="8"/>
  <c r="Q36" i="8"/>
  <c r="P36" i="8"/>
  <c r="N36" i="8"/>
  <c r="O36" i="8" s="1"/>
  <c r="L36" i="8"/>
  <c r="K36" i="8"/>
  <c r="J36" i="8"/>
  <c r="G36" i="8"/>
  <c r="F36" i="8"/>
  <c r="E36" i="8"/>
  <c r="D36" i="8"/>
  <c r="C36" i="8"/>
  <c r="B36" i="8"/>
  <c r="A36" i="8"/>
  <c r="CB35" i="8"/>
  <c r="CA35" i="8"/>
  <c r="BZ35" i="8"/>
  <c r="BX35" i="8" s="1"/>
  <c r="BY35" i="8"/>
  <c r="BW35" i="8"/>
  <c r="BS35" i="8"/>
  <c r="BQ35" i="8" s="1"/>
  <c r="BT35" i="8" s="1"/>
  <c r="BR35" i="8"/>
  <c r="BU35" i="8" s="1"/>
  <c r="BO35" i="8"/>
  <c r="BM35" i="8" s="1"/>
  <c r="BN35" i="8"/>
  <c r="BK35" i="8"/>
  <c r="BJ35" i="8"/>
  <c r="BI35" i="8"/>
  <c r="BA35" i="8"/>
  <c r="AZ35" i="8"/>
  <c r="AY35" i="8" s="1"/>
  <c r="AW35" i="8"/>
  <c r="AV35" i="8"/>
  <c r="AT35" i="8"/>
  <c r="AS35" i="8"/>
  <c r="AR35" i="8"/>
  <c r="AQ35" i="8"/>
  <c r="AP35" i="8"/>
  <c r="AJ35" i="8"/>
  <c r="AF35" i="8"/>
  <c r="AD35" i="8" s="1"/>
  <c r="AE35" i="8"/>
  <c r="AC35" i="8"/>
  <c r="AB35" i="8"/>
  <c r="Y35" i="8"/>
  <c r="W35" i="8" s="1"/>
  <c r="X35" i="8"/>
  <c r="U35" i="8"/>
  <c r="V35" i="8" s="1"/>
  <c r="AI35" i="8" s="1"/>
  <c r="S35" i="8"/>
  <c r="R35" i="8"/>
  <c r="Q35" i="8"/>
  <c r="P35" i="8"/>
  <c r="L35" i="8"/>
  <c r="J35" i="8"/>
  <c r="K35" i="8" s="1"/>
  <c r="H35" i="8"/>
  <c r="G35" i="8"/>
  <c r="F35" i="8"/>
  <c r="I35" i="8" s="1"/>
  <c r="E35" i="8"/>
  <c r="D35" i="8"/>
  <c r="B35" i="8"/>
  <c r="C35" i="8" s="1"/>
  <c r="A35" i="8"/>
  <c r="CB34" i="8"/>
  <c r="CA34" i="8"/>
  <c r="BZ34" i="8"/>
  <c r="BX34" i="8" s="1"/>
  <c r="BY34" i="8"/>
  <c r="BW34" i="8"/>
  <c r="BS34" i="8"/>
  <c r="BV34" i="8" s="1"/>
  <c r="BR34" i="8"/>
  <c r="BU34" i="8" s="1"/>
  <c r="BQ34" i="8"/>
  <c r="BT34" i="8" s="1"/>
  <c r="BO34" i="8"/>
  <c r="BM34" i="8" s="1"/>
  <c r="BN34" i="8"/>
  <c r="BK34" i="8"/>
  <c r="BJ34" i="8"/>
  <c r="BI34" i="8"/>
  <c r="BA34" i="8"/>
  <c r="BD34" i="8" s="1"/>
  <c r="AZ34" i="8"/>
  <c r="AY34" i="8"/>
  <c r="BB34" i="8" s="1"/>
  <c r="AW34" i="8"/>
  <c r="AU34" i="8" s="1"/>
  <c r="AV34" i="8"/>
  <c r="AT34" i="8"/>
  <c r="AS34" i="8"/>
  <c r="AR34" i="8"/>
  <c r="AQ34" i="8"/>
  <c r="AP34" i="8"/>
  <c r="AJ34" i="8"/>
  <c r="AI34" i="8"/>
  <c r="AG34" i="8"/>
  <c r="AF34" i="8"/>
  <c r="AD34" i="8" s="1"/>
  <c r="AE34" i="8"/>
  <c r="AB34" i="8"/>
  <c r="AC34" i="8" s="1"/>
  <c r="AH34" i="8" s="1"/>
  <c r="AA34" i="8"/>
  <c r="Z34" i="8"/>
  <c r="Y34" i="8"/>
  <c r="W34" i="8" s="1"/>
  <c r="X34" i="8"/>
  <c r="V34" i="8"/>
  <c r="U34" i="8"/>
  <c r="R34" i="8"/>
  <c r="Q34" i="8"/>
  <c r="AL34" i="8" s="1"/>
  <c r="K34" i="8"/>
  <c r="J34" i="8"/>
  <c r="L34" i="8" s="1"/>
  <c r="I34" i="8"/>
  <c r="H34" i="8"/>
  <c r="G34" i="8"/>
  <c r="F34" i="8"/>
  <c r="E34" i="8"/>
  <c r="C34" i="8"/>
  <c r="B34" i="8"/>
  <c r="D34" i="8" s="1"/>
  <c r="A34" i="8"/>
  <c r="CB33" i="8"/>
  <c r="CA33" i="8"/>
  <c r="BZ33" i="8"/>
  <c r="BX33" i="8" s="1"/>
  <c r="BY33" i="8"/>
  <c r="BW33" i="8"/>
  <c r="BS33" i="8"/>
  <c r="BR33" i="8"/>
  <c r="BU33" i="8" s="1"/>
  <c r="BO33" i="8"/>
  <c r="BN33" i="8"/>
  <c r="BM33" i="8" s="1"/>
  <c r="BK33" i="8"/>
  <c r="BI33" i="8" s="1"/>
  <c r="BJ33" i="8"/>
  <c r="BA33" i="8"/>
  <c r="BD33" i="8" s="1"/>
  <c r="AZ33" i="8"/>
  <c r="BC33" i="8" s="1"/>
  <c r="AY33" i="8"/>
  <c r="BB33" i="8" s="1"/>
  <c r="AW33" i="8"/>
  <c r="AU33" i="8" s="1"/>
  <c r="AV33" i="8"/>
  <c r="AT33" i="8"/>
  <c r="AS33" i="8"/>
  <c r="AR33" i="8"/>
  <c r="AQ33" i="8"/>
  <c r="AP33" i="8"/>
  <c r="AJ33" i="8"/>
  <c r="AI33" i="8"/>
  <c r="AF33" i="8"/>
  <c r="AE33" i="8"/>
  <c r="AD33" i="8" s="1"/>
  <c r="AC33" i="8"/>
  <c r="AG33" i="8" s="1"/>
  <c r="AB33" i="8"/>
  <c r="AA33" i="8"/>
  <c r="Z33" i="8"/>
  <c r="Y33" i="8"/>
  <c r="W33" i="8" s="1"/>
  <c r="X33" i="8"/>
  <c r="U33" i="8"/>
  <c r="V33" i="8" s="1"/>
  <c r="R33" i="8"/>
  <c r="Q33" i="8"/>
  <c r="AL33" i="8" s="1"/>
  <c r="J33" i="8"/>
  <c r="I33" i="8"/>
  <c r="H33" i="8"/>
  <c r="G33" i="8"/>
  <c r="F33" i="8"/>
  <c r="B33" i="8"/>
  <c r="A33" i="8"/>
  <c r="CB32" i="8"/>
  <c r="CA32" i="8"/>
  <c r="BZ32" i="8"/>
  <c r="BX32" i="8" s="1"/>
  <c r="BY32" i="8"/>
  <c r="BW32" i="8"/>
  <c r="BS32" i="8"/>
  <c r="BQ32" i="8" s="1"/>
  <c r="BR32" i="8"/>
  <c r="BO32" i="8"/>
  <c r="BN32" i="8"/>
  <c r="BM32" i="8"/>
  <c r="BK32" i="8"/>
  <c r="BJ32" i="8"/>
  <c r="BU32" i="8" s="1"/>
  <c r="BA32" i="8"/>
  <c r="AZ32" i="8"/>
  <c r="AW32" i="8"/>
  <c r="AV32" i="8"/>
  <c r="AU32" i="8" s="1"/>
  <c r="AT32" i="8"/>
  <c r="AS32" i="8"/>
  <c r="AQ32" i="8" s="1"/>
  <c r="AR32" i="8"/>
  <c r="BC32" i="8" s="1"/>
  <c r="BF32" i="8" s="1"/>
  <c r="AP32" i="8"/>
  <c r="AL32" i="8"/>
  <c r="AJ32" i="8"/>
  <c r="AF32" i="8"/>
  <c r="AE32" i="8"/>
  <c r="AD32" i="8"/>
  <c r="AC32" i="8"/>
  <c r="AH32" i="8" s="1"/>
  <c r="AB32" i="8"/>
  <c r="Y32" i="8"/>
  <c r="X32" i="8"/>
  <c r="W32" i="8" s="1"/>
  <c r="U32" i="8"/>
  <c r="V32" i="8" s="1"/>
  <c r="T32" i="8"/>
  <c r="S32" i="8"/>
  <c r="R32" i="8"/>
  <c r="P32" i="8" s="1"/>
  <c r="AK32" i="8" s="1"/>
  <c r="Q32" i="8"/>
  <c r="J32" i="8"/>
  <c r="L32" i="8" s="1"/>
  <c r="I32" i="8"/>
  <c r="H32" i="8"/>
  <c r="G32" i="8"/>
  <c r="F32" i="8"/>
  <c r="C32" i="8"/>
  <c r="B32" i="8"/>
  <c r="A32" i="8"/>
  <c r="CB31" i="8"/>
  <c r="CA31" i="8"/>
  <c r="BZ31" i="8"/>
  <c r="BY31" i="8"/>
  <c r="BX31" i="8" s="1"/>
  <c r="BW31" i="8"/>
  <c r="BS31" i="8"/>
  <c r="BQ31" i="8" s="1"/>
  <c r="BT31" i="8" s="1"/>
  <c r="BR31" i="8"/>
  <c r="BO31" i="8"/>
  <c r="BN31" i="8"/>
  <c r="BU31" i="8" s="1"/>
  <c r="BM31" i="8"/>
  <c r="BK31" i="8"/>
  <c r="BI31" i="8" s="1"/>
  <c r="BJ31" i="8"/>
  <c r="BC31" i="8"/>
  <c r="BA31" i="8"/>
  <c r="AY31" i="8" s="1"/>
  <c r="BB31" i="8" s="1"/>
  <c r="AZ31" i="8"/>
  <c r="AW31" i="8"/>
  <c r="AV31" i="8"/>
  <c r="AU31" i="8"/>
  <c r="AT31" i="8"/>
  <c r="AS31" i="8"/>
  <c r="AQ31" i="8" s="1"/>
  <c r="AR31" i="8"/>
  <c r="AP31" i="8"/>
  <c r="AM31" i="8"/>
  <c r="AL31" i="8"/>
  <c r="AJ31" i="8"/>
  <c r="AF31" i="8"/>
  <c r="AE31" i="8"/>
  <c r="AD31" i="8" s="1"/>
  <c r="AC31" i="8"/>
  <c r="AG31" i="8" s="1"/>
  <c r="AB31" i="8"/>
  <c r="Y31" i="8"/>
  <c r="X31" i="8"/>
  <c r="W31" i="8"/>
  <c r="U31" i="8"/>
  <c r="V31" i="8" s="1"/>
  <c r="T31" i="8"/>
  <c r="S31" i="8"/>
  <c r="R31" i="8"/>
  <c r="Q31" i="8"/>
  <c r="P31" i="8" s="1"/>
  <c r="L31" i="8"/>
  <c r="J31" i="8"/>
  <c r="K31" i="8" s="1"/>
  <c r="I31" i="8"/>
  <c r="H31" i="8"/>
  <c r="F31" i="8"/>
  <c r="G31" i="8" s="1"/>
  <c r="D31" i="8"/>
  <c r="C31" i="8"/>
  <c r="B31" i="8"/>
  <c r="E31" i="8" s="1"/>
  <c r="A31" i="8"/>
  <c r="CB30" i="8"/>
  <c r="CA30" i="8"/>
  <c r="BZ30" i="8"/>
  <c r="BY30" i="8"/>
  <c r="BX30" i="8"/>
  <c r="BW30" i="8"/>
  <c r="BS30" i="8"/>
  <c r="BR30" i="8"/>
  <c r="BQ30" i="8" s="1"/>
  <c r="BP30" i="8"/>
  <c r="BO30" i="8"/>
  <c r="BV30" i="8" s="1"/>
  <c r="BN30" i="8"/>
  <c r="BU30" i="8" s="1"/>
  <c r="BM30" i="8"/>
  <c r="BL30" i="8"/>
  <c r="BK30" i="8"/>
  <c r="BJ30" i="8"/>
  <c r="BI30" i="8" s="1"/>
  <c r="BH30" i="8"/>
  <c r="BA30" i="8"/>
  <c r="AZ30" i="8"/>
  <c r="AY30" i="8" s="1"/>
  <c r="AX30" i="8"/>
  <c r="AW30" i="8"/>
  <c r="AV30" i="8"/>
  <c r="AT30" i="8"/>
  <c r="AS30" i="8"/>
  <c r="AR30" i="8"/>
  <c r="AQ30" i="8" s="1"/>
  <c r="AP30" i="8"/>
  <c r="AJ30" i="8"/>
  <c r="AH30" i="8"/>
  <c r="AG30" i="8"/>
  <c r="AF30" i="8"/>
  <c r="AD30" i="8" s="1"/>
  <c r="AE30" i="8"/>
  <c r="AB30" i="8"/>
  <c r="AC30" i="8" s="1"/>
  <c r="Z30" i="8"/>
  <c r="Y30" i="8"/>
  <c r="W30" i="8" s="1"/>
  <c r="X30" i="8"/>
  <c r="V30" i="8"/>
  <c r="U30" i="8"/>
  <c r="R30" i="8"/>
  <c r="Q30" i="8"/>
  <c r="AL30" i="8" s="1"/>
  <c r="N30" i="8"/>
  <c r="O30" i="8" s="1"/>
  <c r="T30" i="8" s="1"/>
  <c r="K30" i="8"/>
  <c r="J30" i="8"/>
  <c r="L30" i="8" s="1"/>
  <c r="I30" i="8"/>
  <c r="H30" i="8"/>
  <c r="G30" i="8"/>
  <c r="F30" i="8"/>
  <c r="C30" i="8"/>
  <c r="B30" i="8"/>
  <c r="A30" i="8"/>
  <c r="CB29" i="8"/>
  <c r="CA29" i="8"/>
  <c r="BZ29" i="8"/>
  <c r="BY29" i="8"/>
  <c r="BX29" i="8" s="1"/>
  <c r="BW29" i="8"/>
  <c r="BV29" i="8"/>
  <c r="BU29" i="8"/>
  <c r="BS29" i="8"/>
  <c r="BQ29" i="8" s="1"/>
  <c r="BR29" i="8"/>
  <c r="BP29" i="8"/>
  <c r="BO29" i="8"/>
  <c r="BN29" i="8"/>
  <c r="BM29" i="8"/>
  <c r="BT29" i="8" s="1"/>
  <c r="BL29" i="8"/>
  <c r="BK29" i="8"/>
  <c r="BI29" i="8" s="1"/>
  <c r="BJ29" i="8"/>
  <c r="BH29" i="8"/>
  <c r="BD29" i="8"/>
  <c r="BA29" i="8"/>
  <c r="AZ29" i="8"/>
  <c r="AY29" i="8"/>
  <c r="AX29" i="8"/>
  <c r="AW29" i="8"/>
  <c r="AU29" i="8" s="1"/>
  <c r="AV29" i="8"/>
  <c r="BC29" i="8" s="1"/>
  <c r="AT29" i="8"/>
  <c r="AS29" i="8"/>
  <c r="AR29" i="8"/>
  <c r="AQ29" i="8"/>
  <c r="AP29" i="8"/>
  <c r="AJ29" i="8"/>
  <c r="AI29" i="8"/>
  <c r="AH29" i="8"/>
  <c r="AF29" i="8"/>
  <c r="AD29" i="8" s="1"/>
  <c r="AE29" i="8"/>
  <c r="AC29" i="8"/>
  <c r="AB29" i="8"/>
  <c r="Y29" i="8"/>
  <c r="W29" i="8" s="1"/>
  <c r="X29" i="8"/>
  <c r="U29" i="8"/>
  <c r="V29" i="8" s="1"/>
  <c r="R29" i="8"/>
  <c r="Q29" i="8"/>
  <c r="O29" i="8"/>
  <c r="N29" i="8"/>
  <c r="J29" i="8"/>
  <c r="I29" i="8"/>
  <c r="H29" i="8"/>
  <c r="G29" i="8"/>
  <c r="F29" i="8"/>
  <c r="B29" i="8"/>
  <c r="A29" i="8"/>
  <c r="CB28" i="8"/>
  <c r="CA28" i="8"/>
  <c r="BZ28" i="8"/>
  <c r="BX28" i="8" s="1"/>
  <c r="BY28" i="8"/>
  <c r="BW28" i="8"/>
  <c r="BS28" i="8"/>
  <c r="BQ28" i="8" s="1"/>
  <c r="BR28" i="8"/>
  <c r="BP28" i="8"/>
  <c r="BO28" i="8"/>
  <c r="BN28" i="8"/>
  <c r="BM28" i="8" s="1"/>
  <c r="BL28" i="8"/>
  <c r="BK28" i="8"/>
  <c r="BI28" i="8" s="1"/>
  <c r="BJ28" i="8"/>
  <c r="BH28" i="8"/>
  <c r="BD28" i="8"/>
  <c r="BA28" i="8"/>
  <c r="AZ28" i="8"/>
  <c r="AY28" i="8" s="1"/>
  <c r="AX28" i="8"/>
  <c r="AW28" i="8"/>
  <c r="AU28" i="8" s="1"/>
  <c r="AV28" i="8"/>
  <c r="BC28" i="8" s="1"/>
  <c r="BF28" i="8" s="1"/>
  <c r="AT28" i="8"/>
  <c r="AS28" i="8"/>
  <c r="AR28" i="8"/>
  <c r="AQ28" i="8" s="1"/>
  <c r="AP28" i="8"/>
  <c r="AJ28" i="8"/>
  <c r="AH28" i="8"/>
  <c r="AF28" i="8"/>
  <c r="AE28" i="8"/>
  <c r="AB28" i="8"/>
  <c r="AC28" i="8" s="1"/>
  <c r="AG28" i="8" s="1"/>
  <c r="Y28" i="8"/>
  <c r="AA28" i="8" s="1"/>
  <c r="X28" i="8"/>
  <c r="W28" i="8"/>
  <c r="V28" i="8"/>
  <c r="U28" i="8"/>
  <c r="R28" i="8"/>
  <c r="Q28" i="8"/>
  <c r="AL28" i="8" s="1"/>
  <c r="O28" i="8"/>
  <c r="AI28" i="8" s="1"/>
  <c r="N28" i="8"/>
  <c r="K28" i="8"/>
  <c r="J28" i="8"/>
  <c r="L28" i="8" s="1"/>
  <c r="G28" i="8"/>
  <c r="F28" i="8"/>
  <c r="I28" i="8" s="1"/>
  <c r="E28" i="8"/>
  <c r="C28" i="8"/>
  <c r="B28" i="8"/>
  <c r="D28" i="8" s="1"/>
  <c r="A28" i="8"/>
  <c r="CB27" i="8"/>
  <c r="CA27" i="8"/>
  <c r="BZ27" i="8"/>
  <c r="BX27" i="8" s="1"/>
  <c r="BY27" i="8"/>
  <c r="BW27" i="8"/>
  <c r="BU27" i="8"/>
  <c r="BS27" i="8"/>
  <c r="BR27" i="8"/>
  <c r="BP27" i="8"/>
  <c r="BO27" i="8"/>
  <c r="BN27" i="8"/>
  <c r="BM27" i="8"/>
  <c r="BL27" i="8"/>
  <c r="BK27" i="8"/>
  <c r="BI27" i="8" s="1"/>
  <c r="BJ27" i="8"/>
  <c r="BH27" i="8"/>
  <c r="BD27" i="8"/>
  <c r="BC27" i="8"/>
  <c r="BA27" i="8"/>
  <c r="AY27" i="8" s="1"/>
  <c r="AZ27" i="8"/>
  <c r="AX27" i="8"/>
  <c r="AW27" i="8"/>
  <c r="AV27" i="8"/>
  <c r="AU27" i="8"/>
  <c r="BB27" i="8" s="1"/>
  <c r="AT27" i="8"/>
  <c r="AS27" i="8"/>
  <c r="AQ27" i="8" s="1"/>
  <c r="AR27" i="8"/>
  <c r="AP27" i="8"/>
  <c r="AJ27" i="8"/>
  <c r="AG27" i="8"/>
  <c r="AF27" i="8"/>
  <c r="AH27" i="8" s="1"/>
  <c r="AE27" i="8"/>
  <c r="AB27" i="8"/>
  <c r="Y27" i="8"/>
  <c r="X27" i="8"/>
  <c r="AL27" i="8" s="1"/>
  <c r="V27" i="8"/>
  <c r="Z27" i="8" s="1"/>
  <c r="U27" i="8"/>
  <c r="R27" i="8"/>
  <c r="Q27" i="8"/>
  <c r="P27" i="8"/>
  <c r="N27" i="8"/>
  <c r="O27" i="8" s="1"/>
  <c r="L27" i="8"/>
  <c r="K27" i="8"/>
  <c r="J27" i="8"/>
  <c r="G27" i="8"/>
  <c r="F27" i="8"/>
  <c r="E27" i="8"/>
  <c r="D27" i="8"/>
  <c r="C27" i="8"/>
  <c r="B27" i="8"/>
  <c r="A27" i="8"/>
  <c r="CB26" i="8"/>
  <c r="CA26" i="8"/>
  <c r="BZ26" i="8"/>
  <c r="BX26" i="8" s="1"/>
  <c r="BY26" i="8"/>
  <c r="BW26" i="8"/>
  <c r="BS26" i="8"/>
  <c r="BQ26" i="8" s="1"/>
  <c r="BT26" i="8" s="1"/>
  <c r="BR26" i="8"/>
  <c r="BU26" i="8" s="1"/>
  <c r="BP26" i="8"/>
  <c r="BO26" i="8"/>
  <c r="BM26" i="8" s="1"/>
  <c r="BN26" i="8"/>
  <c r="BL26" i="8"/>
  <c r="BK26" i="8"/>
  <c r="BI26" i="8" s="1"/>
  <c r="BJ26" i="8"/>
  <c r="BH26" i="8"/>
  <c r="BC26" i="8"/>
  <c r="BF26" i="8" s="1"/>
  <c r="BA26" i="8"/>
  <c r="AZ26" i="8"/>
  <c r="AX26" i="8"/>
  <c r="AW26" i="8"/>
  <c r="AV26" i="8"/>
  <c r="AU26" i="8"/>
  <c r="AT26" i="8"/>
  <c r="AS26" i="8"/>
  <c r="AQ26" i="8" s="1"/>
  <c r="AR26" i="8"/>
  <c r="AP26" i="8"/>
  <c r="AM26" i="8"/>
  <c r="AL26" i="8"/>
  <c r="AJ26" i="8"/>
  <c r="AI26" i="8"/>
  <c r="AG26" i="8"/>
  <c r="AF26" i="8"/>
  <c r="AH26" i="8" s="1"/>
  <c r="AE26" i="8"/>
  <c r="AD26" i="8"/>
  <c r="AK26" i="8" s="1"/>
  <c r="AB26" i="8"/>
  <c r="AA26" i="8"/>
  <c r="Z26" i="8"/>
  <c r="Y26" i="8"/>
  <c r="X26" i="8"/>
  <c r="W26" i="8" s="1"/>
  <c r="U26" i="8"/>
  <c r="S26" i="8"/>
  <c r="R26" i="8"/>
  <c r="P26" i="8" s="1"/>
  <c r="Q26" i="8"/>
  <c r="N26" i="8"/>
  <c r="K26" i="8"/>
  <c r="J26" i="8"/>
  <c r="L26" i="8" s="1"/>
  <c r="I26" i="8"/>
  <c r="H26" i="8"/>
  <c r="G26" i="8"/>
  <c r="F26" i="8"/>
  <c r="C26" i="8"/>
  <c r="B26" i="8"/>
  <c r="A26" i="8"/>
  <c r="CB25" i="8"/>
  <c r="CA25" i="8"/>
  <c r="BZ25" i="8"/>
  <c r="BY25" i="8"/>
  <c r="BX25" i="8" s="1"/>
  <c r="BW25" i="8"/>
  <c r="BS25" i="8"/>
  <c r="BQ25" i="8" s="1"/>
  <c r="BR25" i="8"/>
  <c r="BP25" i="8"/>
  <c r="BO25" i="8"/>
  <c r="BV25" i="8" s="1"/>
  <c r="BN25" i="8"/>
  <c r="BU25" i="8" s="1"/>
  <c r="BL25" i="8"/>
  <c r="BK25" i="8"/>
  <c r="BI25" i="8" s="1"/>
  <c r="BJ25" i="8"/>
  <c r="BH25" i="8"/>
  <c r="BD25" i="8"/>
  <c r="BA25" i="8"/>
  <c r="AZ25" i="8"/>
  <c r="AY25" i="8"/>
  <c r="AX25" i="8"/>
  <c r="AW25" i="8"/>
  <c r="AV25" i="8"/>
  <c r="BC25" i="8" s="1"/>
  <c r="AT25" i="8"/>
  <c r="AS25" i="8"/>
  <c r="AR25" i="8"/>
  <c r="AQ25" i="8"/>
  <c r="AP25" i="8"/>
  <c r="AJ25" i="8"/>
  <c r="AI25" i="8"/>
  <c r="AF25" i="8"/>
  <c r="AD25" i="8" s="1"/>
  <c r="AE25" i="8"/>
  <c r="AB25" i="8"/>
  <c r="Y25" i="8"/>
  <c r="W25" i="8" s="1"/>
  <c r="X25" i="8"/>
  <c r="U25" i="8"/>
  <c r="S25" i="8"/>
  <c r="R25" i="8"/>
  <c r="T25" i="8" s="1"/>
  <c r="Q25" i="8"/>
  <c r="P25" i="8"/>
  <c r="N25" i="8"/>
  <c r="L25" i="8"/>
  <c r="K25" i="8"/>
  <c r="J25" i="8"/>
  <c r="G25" i="8"/>
  <c r="F25" i="8"/>
  <c r="E25" i="8"/>
  <c r="D25" i="8"/>
  <c r="C25" i="8"/>
  <c r="B25" i="8"/>
  <c r="A25" i="8"/>
  <c r="CB24" i="8"/>
  <c r="CA24" i="8"/>
  <c r="BZ24" i="8"/>
  <c r="BX24" i="8" s="1"/>
  <c r="BY24" i="8"/>
  <c r="BW24" i="8"/>
  <c r="BS24" i="8"/>
  <c r="BQ24" i="8" s="1"/>
  <c r="BR24" i="8"/>
  <c r="BU24" i="8" s="1"/>
  <c r="BP24" i="8"/>
  <c r="BO24" i="8"/>
  <c r="BM24" i="8" s="1"/>
  <c r="BN24" i="8"/>
  <c r="BL24" i="8"/>
  <c r="BK24" i="8"/>
  <c r="BI24" i="8" s="1"/>
  <c r="BJ24" i="8"/>
  <c r="BH24" i="8"/>
  <c r="BC24" i="8"/>
  <c r="BF24" i="8" s="1"/>
  <c r="BA24" i="8"/>
  <c r="AZ24" i="8"/>
  <c r="AX24" i="8"/>
  <c r="AW24" i="8"/>
  <c r="AV24" i="8"/>
  <c r="AU24" i="8"/>
  <c r="AT24" i="8"/>
  <c r="AS24" i="8"/>
  <c r="AQ24" i="8" s="1"/>
  <c r="AR24" i="8"/>
  <c r="AP24" i="8"/>
  <c r="AM24" i="8"/>
  <c r="AL24" i="8"/>
  <c r="AJ24" i="8"/>
  <c r="AG24" i="8"/>
  <c r="AF24" i="8"/>
  <c r="AH24" i="8" s="1"/>
  <c r="AE24" i="8"/>
  <c r="AD24" i="8" s="1"/>
  <c r="AB24" i="8"/>
  <c r="Y24" i="8"/>
  <c r="X24" i="8"/>
  <c r="W24" i="8" s="1"/>
  <c r="V24" i="8"/>
  <c r="Z24" i="8" s="1"/>
  <c r="U24" i="8"/>
  <c r="R24" i="8"/>
  <c r="P24" i="8" s="1"/>
  <c r="AK24" i="8" s="1"/>
  <c r="Q24" i="8"/>
  <c r="N24" i="8"/>
  <c r="O24" i="8" s="1"/>
  <c r="L24" i="8"/>
  <c r="K24" i="8"/>
  <c r="J24" i="8"/>
  <c r="I24" i="8"/>
  <c r="G24" i="8"/>
  <c r="F24" i="8"/>
  <c r="H24" i="8" s="1"/>
  <c r="B24" i="8"/>
  <c r="E24" i="8" s="1"/>
  <c r="A24" i="8"/>
  <c r="CB23" i="8"/>
  <c r="CA23" i="8"/>
  <c r="BZ23" i="8"/>
  <c r="BY23" i="8"/>
  <c r="BX23" i="8"/>
  <c r="BW23" i="8"/>
  <c r="BV23" i="8"/>
  <c r="BS23" i="8"/>
  <c r="BR23" i="8"/>
  <c r="BQ23" i="8"/>
  <c r="BP23" i="8"/>
  <c r="BO23" i="8"/>
  <c r="BN23" i="8"/>
  <c r="BU23" i="8" s="1"/>
  <c r="BL23" i="8"/>
  <c r="BK23" i="8"/>
  <c r="BJ23" i="8"/>
  <c r="BI23" i="8"/>
  <c r="BH23" i="8"/>
  <c r="BA23" i="8"/>
  <c r="BD23" i="8" s="1"/>
  <c r="AZ23" i="8"/>
  <c r="AY23" i="8"/>
  <c r="AX23" i="8"/>
  <c r="AW23" i="8"/>
  <c r="AU23" i="8" s="1"/>
  <c r="AV23" i="8"/>
  <c r="AT23" i="8"/>
  <c r="AS23" i="8"/>
  <c r="AQ23" i="8" s="1"/>
  <c r="AR23" i="8"/>
  <c r="AP23" i="8"/>
  <c r="AJ23" i="8"/>
  <c r="AI23" i="8"/>
  <c r="AH23" i="8"/>
  <c r="AG23" i="8"/>
  <c r="AF23" i="8"/>
  <c r="AE23" i="8"/>
  <c r="AD23" i="8" s="1"/>
  <c r="AB23" i="8"/>
  <c r="AA23" i="8"/>
  <c r="Y23" i="8"/>
  <c r="W23" i="8" s="1"/>
  <c r="X23" i="8"/>
  <c r="U23" i="8"/>
  <c r="S23" i="8"/>
  <c r="R23" i="8"/>
  <c r="Q23" i="8"/>
  <c r="AL23" i="8" s="1"/>
  <c r="N23" i="8"/>
  <c r="K23" i="8"/>
  <c r="J23" i="8"/>
  <c r="L23" i="8" s="1"/>
  <c r="F23" i="8"/>
  <c r="E23" i="8"/>
  <c r="C23" i="8"/>
  <c r="B23" i="8"/>
  <c r="D23" i="8" s="1"/>
  <c r="A23" i="8"/>
  <c r="CB22" i="8"/>
  <c r="CA22" i="8"/>
  <c r="BZ22" i="8"/>
  <c r="BX22" i="8" s="1"/>
  <c r="BY22" i="8"/>
  <c r="BW22" i="8"/>
  <c r="BS22" i="8"/>
  <c r="BR22" i="8"/>
  <c r="BU22" i="8" s="1"/>
  <c r="BP22" i="8"/>
  <c r="BO22" i="8"/>
  <c r="BN22" i="8"/>
  <c r="BM22" i="8"/>
  <c r="BL22" i="8"/>
  <c r="BK22" i="8"/>
  <c r="BJ22" i="8"/>
  <c r="BH22" i="8"/>
  <c r="BC22" i="8"/>
  <c r="BA22" i="8"/>
  <c r="AY22" i="8" s="1"/>
  <c r="AZ22" i="8"/>
  <c r="AX22" i="8"/>
  <c r="AW22" i="8"/>
  <c r="BD22" i="8" s="1"/>
  <c r="AV22" i="8"/>
  <c r="AT22" i="8"/>
  <c r="AS22" i="8"/>
  <c r="AQ22" i="8" s="1"/>
  <c r="AR22" i="8"/>
  <c r="AP22" i="8"/>
  <c r="AM22" i="8"/>
  <c r="AJ22" i="8"/>
  <c r="AG22" i="8"/>
  <c r="AF22" i="8"/>
  <c r="AH22" i="8" s="1"/>
  <c r="AE22" i="8"/>
  <c r="AD22" i="8"/>
  <c r="AC22" i="8"/>
  <c r="AB22" i="8"/>
  <c r="Y22" i="8"/>
  <c r="X22" i="8"/>
  <c r="V22" i="8"/>
  <c r="U22" i="8"/>
  <c r="R22" i="8"/>
  <c r="Q22" i="8"/>
  <c r="P22" i="8"/>
  <c r="N22" i="8"/>
  <c r="O22" i="8" s="1"/>
  <c r="L22" i="8"/>
  <c r="J22" i="8"/>
  <c r="K22" i="8" s="1"/>
  <c r="G22" i="8"/>
  <c r="F22" i="8"/>
  <c r="I22" i="8" s="1"/>
  <c r="E22" i="8"/>
  <c r="D22" i="8"/>
  <c r="B22" i="8"/>
  <c r="C22" i="8" s="1"/>
  <c r="A22" i="8"/>
  <c r="CB21" i="8"/>
  <c r="CA21" i="8"/>
  <c r="BZ21" i="8"/>
  <c r="BX21" i="8" s="1"/>
  <c r="BY21" i="8"/>
  <c r="BW21" i="8"/>
  <c r="BS21" i="8"/>
  <c r="BR21" i="8"/>
  <c r="BP21" i="8"/>
  <c r="BO21" i="8"/>
  <c r="BN21" i="8"/>
  <c r="BM21" i="8" s="1"/>
  <c r="BL21" i="8"/>
  <c r="BK21" i="8"/>
  <c r="BI21" i="8" s="1"/>
  <c r="BJ21" i="8"/>
  <c r="BH21" i="8"/>
  <c r="BC21" i="8"/>
  <c r="BA21" i="8"/>
  <c r="AY21" i="8" s="1"/>
  <c r="BB21" i="8" s="1"/>
  <c r="AZ21" i="8"/>
  <c r="AX21" i="8"/>
  <c r="AW21" i="8"/>
  <c r="AV21" i="8"/>
  <c r="AU21" i="8"/>
  <c r="AT21" i="8"/>
  <c r="AS21" i="8"/>
  <c r="AQ21" i="8" s="1"/>
  <c r="AR21" i="8"/>
  <c r="AP21" i="8"/>
  <c r="AJ21" i="8"/>
  <c r="AI21" i="8"/>
  <c r="AF21" i="8"/>
  <c r="AE21" i="8"/>
  <c r="AL21" i="8" s="1"/>
  <c r="AD21" i="8"/>
  <c r="AB21" i="8"/>
  <c r="AA21" i="8"/>
  <c r="Y21" i="8"/>
  <c r="Z21" i="8" s="1"/>
  <c r="X21" i="8"/>
  <c r="W21" i="8"/>
  <c r="U21" i="8"/>
  <c r="T21" i="8"/>
  <c r="S21" i="8"/>
  <c r="R21" i="8"/>
  <c r="P21" i="8" s="1"/>
  <c r="AK21" i="8" s="1"/>
  <c r="Q21" i="8"/>
  <c r="N21" i="8"/>
  <c r="L21" i="8"/>
  <c r="J21" i="8"/>
  <c r="K21" i="8" s="1"/>
  <c r="I21" i="8"/>
  <c r="H21" i="8"/>
  <c r="F21" i="8"/>
  <c r="G21" i="8" s="1"/>
  <c r="B21" i="8"/>
  <c r="E21" i="8" s="1"/>
  <c r="A21" i="8"/>
  <c r="CB20" i="8"/>
  <c r="CA20" i="8"/>
  <c r="BZ20" i="8"/>
  <c r="BY20" i="8"/>
  <c r="BX20" i="8"/>
  <c r="BW20" i="8"/>
  <c r="BV20" i="8"/>
  <c r="BU20" i="8"/>
  <c r="BS20" i="8"/>
  <c r="BR20" i="8"/>
  <c r="BQ20" i="8" s="1"/>
  <c r="BP20" i="8"/>
  <c r="BO20" i="8"/>
  <c r="BM20" i="8" s="1"/>
  <c r="BN20" i="8"/>
  <c r="BL20" i="8"/>
  <c r="BK20" i="8"/>
  <c r="BJ20" i="8"/>
  <c r="BI20" i="8" s="1"/>
  <c r="BH20" i="8"/>
  <c r="BA20" i="8"/>
  <c r="AZ20" i="8"/>
  <c r="BC20" i="8" s="1"/>
  <c r="BF20" i="8" s="1"/>
  <c r="AX20" i="8"/>
  <c r="AW20" i="8"/>
  <c r="AV20" i="8"/>
  <c r="AT20" i="8"/>
  <c r="AS20" i="8"/>
  <c r="AR20" i="8"/>
  <c r="AQ20" i="8"/>
  <c r="AP20" i="8"/>
  <c r="AJ20" i="8"/>
  <c r="AI20" i="8"/>
  <c r="AH20" i="8"/>
  <c r="AG20" i="8"/>
  <c r="AF20" i="8"/>
  <c r="AD20" i="8" s="1"/>
  <c r="AE20" i="8"/>
  <c r="AB20" i="8"/>
  <c r="Y20" i="8"/>
  <c r="X20" i="8"/>
  <c r="U20" i="8"/>
  <c r="R20" i="8"/>
  <c r="Q20" i="8"/>
  <c r="AL20" i="8" s="1"/>
  <c r="N20" i="8"/>
  <c r="L20" i="8"/>
  <c r="J20" i="8"/>
  <c r="K20" i="8" s="1"/>
  <c r="H20" i="8"/>
  <c r="F20" i="8"/>
  <c r="I20" i="8" s="1"/>
  <c r="E20" i="8"/>
  <c r="D20" i="8"/>
  <c r="B20" i="8"/>
  <c r="C20" i="8" s="1"/>
  <c r="A20" i="8"/>
  <c r="CB19" i="8"/>
  <c r="CA19" i="8"/>
  <c r="BZ19" i="8"/>
  <c r="BY19" i="8"/>
  <c r="BW19" i="8"/>
  <c r="BS19" i="8"/>
  <c r="BV19" i="8" s="1"/>
  <c r="BR19" i="8"/>
  <c r="BQ19" i="8"/>
  <c r="BT19" i="8" s="1"/>
  <c r="BP19" i="8"/>
  <c r="BO19" i="8"/>
  <c r="BN19" i="8"/>
  <c r="BM19" i="8" s="1"/>
  <c r="BL19" i="8"/>
  <c r="BK19" i="8"/>
  <c r="BI19" i="8" s="1"/>
  <c r="BJ19" i="8"/>
  <c r="BH19" i="8"/>
  <c r="BA19" i="8"/>
  <c r="AY19" i="8" s="1"/>
  <c r="AZ19" i="8"/>
  <c r="AX19" i="8"/>
  <c r="AW19" i="8"/>
  <c r="AV19" i="8"/>
  <c r="AT19" i="8"/>
  <c r="AS19" i="8"/>
  <c r="AQ19" i="8" s="1"/>
  <c r="AR19" i="8"/>
  <c r="AP19" i="8"/>
  <c r="AM19" i="8"/>
  <c r="AL19" i="8"/>
  <c r="AJ19" i="8"/>
  <c r="AF19" i="8"/>
  <c r="AE19" i="8"/>
  <c r="AD19" i="8" s="1"/>
  <c r="AC19" i="8"/>
  <c r="AB19" i="8"/>
  <c r="Z19" i="8"/>
  <c r="Y19" i="8"/>
  <c r="AA19" i="8" s="1"/>
  <c r="X19" i="8"/>
  <c r="W19" i="8"/>
  <c r="U19" i="8"/>
  <c r="R19" i="8"/>
  <c r="Q19" i="8"/>
  <c r="P19" i="8" s="1"/>
  <c r="AK19" i="8" s="1"/>
  <c r="O19" i="8"/>
  <c r="N19" i="8"/>
  <c r="L19" i="8"/>
  <c r="K19" i="8"/>
  <c r="J19" i="8"/>
  <c r="F19" i="8"/>
  <c r="E19" i="8"/>
  <c r="D19" i="8"/>
  <c r="C19" i="8"/>
  <c r="B19" i="8"/>
  <c r="A19" i="8"/>
  <c r="CB18" i="8"/>
  <c r="CA18" i="8"/>
  <c r="BZ18" i="8"/>
  <c r="BX18" i="8" s="1"/>
  <c r="BY18" i="8"/>
  <c r="BW18" i="8"/>
  <c r="BS18" i="8"/>
  <c r="BR18" i="8"/>
  <c r="BQ18" i="8"/>
  <c r="BP18" i="8"/>
  <c r="BO18" i="8"/>
  <c r="BN18" i="8"/>
  <c r="BL18" i="8"/>
  <c r="BK18" i="8"/>
  <c r="BJ18" i="8"/>
  <c r="BI18" i="8" s="1"/>
  <c r="BH18" i="8"/>
  <c r="BA18" i="8"/>
  <c r="BD18" i="8" s="1"/>
  <c r="AZ18" i="8"/>
  <c r="AY18" i="8"/>
  <c r="AX18" i="8"/>
  <c r="AW18" i="8"/>
  <c r="AV18" i="8"/>
  <c r="AU18" i="8" s="1"/>
  <c r="AT18" i="8"/>
  <c r="AS18" i="8"/>
  <c r="AQ18" i="8" s="1"/>
  <c r="AR18" i="8"/>
  <c r="AP18" i="8"/>
  <c r="AL18" i="8"/>
  <c r="AJ18" i="8"/>
  <c r="AI18" i="8"/>
  <c r="AH18" i="8"/>
  <c r="AF18" i="8"/>
  <c r="AG18" i="8" s="1"/>
  <c r="AE18" i="8"/>
  <c r="AD18" i="8"/>
  <c r="AB18" i="8"/>
  <c r="AA18" i="8"/>
  <c r="Z18" i="8"/>
  <c r="Y18" i="8"/>
  <c r="W18" i="8" s="1"/>
  <c r="X18" i="8"/>
  <c r="U18" i="8"/>
  <c r="T18" i="8"/>
  <c r="S18" i="8"/>
  <c r="R18" i="8"/>
  <c r="Q18" i="8"/>
  <c r="N18" i="8"/>
  <c r="O18" i="8" s="1"/>
  <c r="K18" i="8"/>
  <c r="J18" i="8"/>
  <c r="L18" i="8" s="1"/>
  <c r="I18" i="8"/>
  <c r="H18" i="8"/>
  <c r="G18" i="8"/>
  <c r="F18" i="8"/>
  <c r="B18" i="8"/>
  <c r="A18" i="8"/>
  <c r="CB17" i="8"/>
  <c r="CA17" i="8"/>
  <c r="BZ17" i="8"/>
  <c r="BY17" i="8"/>
  <c r="BX17" i="8" s="1"/>
  <c r="BW17" i="8"/>
  <c r="BS17" i="8"/>
  <c r="BQ17" i="8" s="1"/>
  <c r="BR17" i="8"/>
  <c r="BP17" i="8"/>
  <c r="BO17" i="8"/>
  <c r="BN17" i="8"/>
  <c r="BU17" i="8" s="1"/>
  <c r="BL17" i="8"/>
  <c r="BK17" i="8"/>
  <c r="BI17" i="8" s="1"/>
  <c r="BJ17" i="8"/>
  <c r="BH17" i="8"/>
  <c r="BA17" i="8"/>
  <c r="AZ17" i="8"/>
  <c r="AY17" i="8"/>
  <c r="AX17" i="8"/>
  <c r="AW17" i="8"/>
  <c r="AV17" i="8"/>
  <c r="BC17" i="8" s="1"/>
  <c r="BF17" i="8" s="1"/>
  <c r="AT17" i="8"/>
  <c r="AS17" i="8"/>
  <c r="AR17" i="8"/>
  <c r="AQ17" i="8"/>
  <c r="AP17" i="8"/>
  <c r="AJ17" i="8"/>
  <c r="AF17" i="8"/>
  <c r="AD17" i="8" s="1"/>
  <c r="AE17" i="8"/>
  <c r="AB17" i="8"/>
  <c r="Y17" i="8"/>
  <c r="X17" i="8"/>
  <c r="V17" i="8"/>
  <c r="U17" i="8"/>
  <c r="R17" i="8"/>
  <c r="P17" i="8" s="1"/>
  <c r="Q17" i="8"/>
  <c r="AL17" i="8" s="1"/>
  <c r="O17" i="8"/>
  <c r="AI17" i="8" s="1"/>
  <c r="N17" i="8"/>
  <c r="K17" i="8"/>
  <c r="J17" i="8"/>
  <c r="L17" i="8" s="1"/>
  <c r="I17" i="8"/>
  <c r="H17" i="8"/>
  <c r="G17" i="8"/>
  <c r="F17" i="8"/>
  <c r="E17" i="8"/>
  <c r="C17" i="8"/>
  <c r="B17" i="8"/>
  <c r="D17" i="8" s="1"/>
  <c r="A17" i="8"/>
  <c r="CB16" i="8"/>
  <c r="CA16" i="8"/>
  <c r="BZ16" i="8"/>
  <c r="BX16" i="8" s="1"/>
  <c r="BY16" i="8"/>
  <c r="BW16" i="8"/>
  <c r="BS16" i="8"/>
  <c r="BR16" i="8"/>
  <c r="BU16" i="8" s="1"/>
  <c r="BP16" i="8"/>
  <c r="BO16" i="8"/>
  <c r="BN16" i="8"/>
  <c r="BM16" i="8"/>
  <c r="BL16" i="8"/>
  <c r="BK16" i="8"/>
  <c r="BJ16" i="8"/>
  <c r="BH16" i="8"/>
  <c r="BA16" i="8"/>
  <c r="AY16" i="8" s="1"/>
  <c r="AZ16" i="8"/>
  <c r="AX16" i="8"/>
  <c r="AW16" i="8"/>
  <c r="BD16" i="8" s="1"/>
  <c r="AV16" i="8"/>
  <c r="BC16" i="8" s="1"/>
  <c r="AT16" i="8"/>
  <c r="AS16" i="8"/>
  <c r="AQ16" i="8" s="1"/>
  <c r="AR16" i="8"/>
  <c r="AP16" i="8"/>
  <c r="AN16" i="8"/>
  <c r="AM16" i="8"/>
  <c r="AO16" i="8" s="1"/>
  <c r="AJ16" i="8"/>
  <c r="AI16" i="8"/>
  <c r="AG16" i="8"/>
  <c r="AF16" i="8"/>
  <c r="AH16" i="8" s="1"/>
  <c r="AE16" i="8"/>
  <c r="AD16" i="8"/>
  <c r="AB16" i="8"/>
  <c r="Z16" i="8"/>
  <c r="Y16" i="8"/>
  <c r="AA16" i="8" s="1"/>
  <c r="X16" i="8"/>
  <c r="U16" i="8"/>
  <c r="T16" i="8"/>
  <c r="S16" i="8"/>
  <c r="R16" i="8"/>
  <c r="Q16" i="8"/>
  <c r="P16" i="8" s="1"/>
  <c r="N16" i="8"/>
  <c r="L16" i="8"/>
  <c r="K16" i="8"/>
  <c r="J16" i="8"/>
  <c r="I16" i="8"/>
  <c r="G16" i="8"/>
  <c r="F16" i="8"/>
  <c r="H16" i="8" s="1"/>
  <c r="E16" i="8"/>
  <c r="D16" i="8"/>
  <c r="C16" i="8"/>
  <c r="B16" i="8"/>
  <c r="A16" i="8"/>
  <c r="CB15" i="8"/>
  <c r="CA15" i="8"/>
  <c r="BZ15" i="8"/>
  <c r="BY15" i="8"/>
  <c r="BX15" i="8" s="1"/>
  <c r="BW15" i="8"/>
  <c r="BS15" i="8"/>
  <c r="BR15" i="8"/>
  <c r="BQ15" i="8"/>
  <c r="BT15" i="8" s="1"/>
  <c r="BP15" i="8"/>
  <c r="BO15" i="8"/>
  <c r="BM15" i="8" s="1"/>
  <c r="BN15" i="8"/>
  <c r="BU15" i="8" s="1"/>
  <c r="BL15" i="8"/>
  <c r="BK15" i="8"/>
  <c r="BJ15" i="8"/>
  <c r="BI15" i="8"/>
  <c r="BH15" i="8"/>
  <c r="BA15" i="8"/>
  <c r="AZ15" i="8"/>
  <c r="BC15" i="8" s="1"/>
  <c r="BF15" i="8" s="1"/>
  <c r="AX15" i="8"/>
  <c r="AW15" i="8"/>
  <c r="AU15" i="8" s="1"/>
  <c r="AV15" i="8"/>
  <c r="AT15" i="8"/>
  <c r="AS15" i="8"/>
  <c r="AR15" i="8"/>
  <c r="AQ15" i="8"/>
  <c r="AP15" i="8"/>
  <c r="AJ15" i="8"/>
  <c r="AI15" i="8"/>
  <c r="AH15" i="8"/>
  <c r="AG15" i="8"/>
  <c r="AF15" i="8"/>
  <c r="AE15" i="8"/>
  <c r="AD15" i="8" s="1"/>
  <c r="AB15" i="8"/>
  <c r="Y15" i="8"/>
  <c r="W15" i="8" s="1"/>
  <c r="X15" i="8"/>
  <c r="U15" i="8"/>
  <c r="R15" i="8"/>
  <c r="Q15" i="8"/>
  <c r="AL15" i="8" s="1"/>
  <c r="N15" i="8"/>
  <c r="K15" i="8"/>
  <c r="J15" i="8"/>
  <c r="L15" i="8" s="1"/>
  <c r="I15" i="8"/>
  <c r="H15" i="8"/>
  <c r="G15" i="8"/>
  <c r="F15" i="8"/>
  <c r="E15" i="8"/>
  <c r="C15" i="8"/>
  <c r="B15" i="8"/>
  <c r="D15" i="8" s="1"/>
  <c r="A15" i="8"/>
  <c r="CB14" i="8"/>
  <c r="CA14" i="8"/>
  <c r="BZ14" i="8"/>
  <c r="BX14" i="8" s="1"/>
  <c r="BY14" i="8"/>
  <c r="BW14" i="8"/>
  <c r="BS14" i="8"/>
  <c r="BR14" i="8"/>
  <c r="BU14" i="8" s="1"/>
  <c r="BP14" i="8"/>
  <c r="BO14" i="8"/>
  <c r="BN14" i="8"/>
  <c r="BM14" i="8"/>
  <c r="BL14" i="8"/>
  <c r="BK14" i="8"/>
  <c r="BI14" i="8" s="1"/>
  <c r="BJ14" i="8"/>
  <c r="BH14" i="8"/>
  <c r="BD14" i="8"/>
  <c r="BA14" i="8"/>
  <c r="AY14" i="8" s="1"/>
  <c r="AZ14" i="8"/>
  <c r="AX14" i="8"/>
  <c r="AW14" i="8"/>
  <c r="AV14" i="8"/>
  <c r="BC14" i="8" s="1"/>
  <c r="BF14" i="8" s="1"/>
  <c r="AU14" i="8"/>
  <c r="AT14" i="8"/>
  <c r="AS14" i="8"/>
  <c r="AQ14" i="8" s="1"/>
  <c r="AR14" i="8"/>
  <c r="AP14" i="8"/>
  <c r="AL14" i="8"/>
  <c r="AJ14" i="8"/>
  <c r="AF14" i="8"/>
  <c r="AH14" i="8" s="1"/>
  <c r="AE14" i="8"/>
  <c r="AD14" i="8" s="1"/>
  <c r="AC14" i="8"/>
  <c r="AB14" i="8"/>
  <c r="Y14" i="8"/>
  <c r="X14" i="8"/>
  <c r="V14" i="8"/>
  <c r="U14" i="8"/>
  <c r="R14" i="8"/>
  <c r="Q14" i="8"/>
  <c r="P14" i="8" s="1"/>
  <c r="O14" i="8"/>
  <c r="N14" i="8"/>
  <c r="L14" i="8"/>
  <c r="J14" i="8"/>
  <c r="K14" i="8" s="1"/>
  <c r="H14" i="8"/>
  <c r="F14" i="8"/>
  <c r="I14" i="8" s="1"/>
  <c r="E14" i="8"/>
  <c r="D14" i="8"/>
  <c r="B14" i="8"/>
  <c r="C14" i="8" s="1"/>
  <c r="A14" i="8"/>
  <c r="CB13" i="8"/>
  <c r="CA13" i="8"/>
  <c r="BZ13" i="8"/>
  <c r="BY13" i="8"/>
  <c r="BW13" i="8"/>
  <c r="BT13" i="8"/>
  <c r="BS13" i="8"/>
  <c r="BQ13" i="8" s="1"/>
  <c r="BR13" i="8"/>
  <c r="BP13" i="8"/>
  <c r="BO13" i="8"/>
  <c r="BN13" i="8"/>
  <c r="BM13" i="8" s="1"/>
  <c r="BL13" i="8"/>
  <c r="BK13" i="8"/>
  <c r="BI13" i="8" s="1"/>
  <c r="BJ13" i="8"/>
  <c r="BH13" i="8"/>
  <c r="BD13" i="8"/>
  <c r="BC13" i="8"/>
  <c r="BA13" i="8"/>
  <c r="AY13" i="8" s="1"/>
  <c r="AZ13" i="8"/>
  <c r="AX13" i="8"/>
  <c r="AW13" i="8"/>
  <c r="AV13" i="8"/>
  <c r="AU13" i="8"/>
  <c r="BB13" i="8" s="1"/>
  <c r="AT13" i="8"/>
  <c r="AS13" i="8"/>
  <c r="AQ13" i="8" s="1"/>
  <c r="AR13" i="8"/>
  <c r="AP13" i="8"/>
  <c r="AJ13" i="8"/>
  <c r="AI13" i="8"/>
  <c r="AF13" i="8"/>
  <c r="AE13" i="8"/>
  <c r="AL13" i="8" s="1"/>
  <c r="AB13" i="8"/>
  <c r="AA13" i="8"/>
  <c r="Y13" i="8"/>
  <c r="Z13" i="8" s="1"/>
  <c r="X13" i="8"/>
  <c r="W13" i="8"/>
  <c r="U13" i="8"/>
  <c r="T13" i="8"/>
  <c r="S13" i="8"/>
  <c r="R13" i="8"/>
  <c r="P13" i="8" s="1"/>
  <c r="Q13" i="8"/>
  <c r="N13" i="8"/>
  <c r="L13" i="8"/>
  <c r="K13" i="8"/>
  <c r="J13" i="8"/>
  <c r="I13" i="8"/>
  <c r="H13" i="8"/>
  <c r="F13" i="8"/>
  <c r="G13" i="8" s="1"/>
  <c r="C13" i="8"/>
  <c r="B13" i="8"/>
  <c r="E13" i="8" s="1"/>
  <c r="A13" i="8"/>
  <c r="CB12" i="8"/>
  <c r="CA12" i="8"/>
  <c r="BZ12" i="8"/>
  <c r="BY12" i="8"/>
  <c r="BX12" i="8"/>
  <c r="BW12" i="8"/>
  <c r="BV12" i="8"/>
  <c r="BU12" i="8"/>
  <c r="BS12" i="8"/>
  <c r="BR12" i="8"/>
  <c r="BQ12" i="8" s="1"/>
  <c r="BT12" i="8" s="1"/>
  <c r="BP12" i="8"/>
  <c r="BO12" i="8"/>
  <c r="BN12" i="8"/>
  <c r="BM12" i="8"/>
  <c r="BL12" i="8"/>
  <c r="BK12" i="8"/>
  <c r="BJ12" i="8"/>
  <c r="BI12" i="8" s="1"/>
  <c r="BH12" i="8"/>
  <c r="BA12" i="8"/>
  <c r="AZ12" i="8"/>
  <c r="AY12" i="8"/>
  <c r="AX12" i="8"/>
  <c r="AW12" i="8"/>
  <c r="AV12" i="8"/>
  <c r="AT12" i="8"/>
  <c r="AS12" i="8"/>
  <c r="AR12" i="8"/>
  <c r="AQ12" i="8" s="1"/>
  <c r="AP12" i="8"/>
  <c r="AJ12" i="8"/>
  <c r="AI12" i="8"/>
  <c r="AH12" i="8"/>
  <c r="AG12" i="8"/>
  <c r="AF12" i="8"/>
  <c r="AD12" i="8" s="1"/>
  <c r="AE12" i="8"/>
  <c r="AB12" i="8"/>
  <c r="AA12" i="8"/>
  <c r="Z12" i="8"/>
  <c r="Y12" i="8"/>
  <c r="W12" i="8" s="1"/>
  <c r="X12" i="8"/>
  <c r="U12" i="8"/>
  <c r="R12" i="8"/>
  <c r="P12" i="8" s="1"/>
  <c r="AK12" i="8" s="1"/>
  <c r="Q12" i="8"/>
  <c r="AL12" i="8" s="1"/>
  <c r="N12" i="8"/>
  <c r="L12" i="8"/>
  <c r="J12" i="8"/>
  <c r="K12" i="8" s="1"/>
  <c r="F12" i="8"/>
  <c r="I12" i="8" s="1"/>
  <c r="E12" i="8"/>
  <c r="D12" i="8"/>
  <c r="B12" i="8"/>
  <c r="C12" i="8" s="1"/>
  <c r="A12" i="8"/>
  <c r="CB11" i="8"/>
  <c r="CA11" i="8"/>
  <c r="BZ11" i="8"/>
  <c r="BY11" i="8"/>
  <c r="BW11" i="8"/>
  <c r="BS11" i="8"/>
  <c r="BR11" i="8"/>
  <c r="BU11" i="8" s="1"/>
  <c r="BP11" i="8"/>
  <c r="BO11" i="8"/>
  <c r="BN11" i="8"/>
  <c r="BM11" i="8" s="1"/>
  <c r="BL11" i="8"/>
  <c r="BK11" i="8"/>
  <c r="BJ11" i="8"/>
  <c r="BI11" i="8"/>
  <c r="BH11" i="8"/>
  <c r="BA11" i="8"/>
  <c r="AY11" i="8" s="1"/>
  <c r="AZ11" i="8"/>
  <c r="AX11" i="8"/>
  <c r="AW11" i="8"/>
  <c r="AV11" i="8"/>
  <c r="AU11" i="8" s="1"/>
  <c r="AT11" i="8"/>
  <c r="AS11" i="8"/>
  <c r="AQ11" i="8" s="1"/>
  <c r="AR11" i="8"/>
  <c r="AP11" i="8"/>
  <c r="AM11" i="8"/>
  <c r="AJ11" i="8"/>
  <c r="AI11" i="8"/>
  <c r="AF11" i="8"/>
  <c r="AD11" i="8" s="1"/>
  <c r="AE11" i="8"/>
  <c r="AL11" i="8" s="1"/>
  <c r="AB11" i="8"/>
  <c r="AA11" i="8"/>
  <c r="Y11" i="8"/>
  <c r="Z11" i="8" s="1"/>
  <c r="X11" i="8"/>
  <c r="W11" i="8"/>
  <c r="U11" i="8"/>
  <c r="T11" i="8"/>
  <c r="S11" i="8"/>
  <c r="R11" i="8"/>
  <c r="P11" i="8" s="1"/>
  <c r="AK11" i="8" s="1"/>
  <c r="Q11" i="8"/>
  <c r="N11" i="8"/>
  <c r="K11" i="8"/>
  <c r="J11" i="8"/>
  <c r="L11" i="8" s="1"/>
  <c r="I11" i="8"/>
  <c r="H11" i="8"/>
  <c r="F11" i="8"/>
  <c r="G11" i="8" s="1"/>
  <c r="D11" i="8"/>
  <c r="B11" i="8"/>
  <c r="E11" i="8" s="1"/>
  <c r="A11" i="8"/>
  <c r="CB10" i="8"/>
  <c r="CA10" i="8"/>
  <c r="BZ10" i="8"/>
  <c r="BY10" i="8"/>
  <c r="BX10" i="8"/>
  <c r="BW10" i="8"/>
  <c r="BU10" i="8"/>
  <c r="BS10" i="8"/>
  <c r="BR10" i="8"/>
  <c r="BQ10" i="8" s="1"/>
  <c r="BP10" i="8"/>
  <c r="BO10" i="8"/>
  <c r="BN10" i="8"/>
  <c r="BL10" i="8"/>
  <c r="BK10" i="8"/>
  <c r="BJ10" i="8"/>
  <c r="BI10" i="8" s="1"/>
  <c r="BH10" i="8"/>
  <c r="BA10" i="8"/>
  <c r="AZ10" i="8"/>
  <c r="BC10" i="8" s="1"/>
  <c r="AY10" i="8"/>
  <c r="AX10" i="8"/>
  <c r="AW10" i="8"/>
  <c r="AV10" i="8"/>
  <c r="AT10" i="8"/>
  <c r="AS10" i="8"/>
  <c r="AR10" i="8"/>
  <c r="AQ10" i="8"/>
  <c r="AP10" i="8"/>
  <c r="AJ10" i="8"/>
  <c r="AI10" i="8"/>
  <c r="AH10" i="8"/>
  <c r="AG10" i="8"/>
  <c r="AF10" i="8"/>
  <c r="AD10" i="8" s="1"/>
  <c r="AE10" i="8"/>
  <c r="AB10" i="8"/>
  <c r="AA10" i="8"/>
  <c r="Z10" i="8"/>
  <c r="Y10" i="8"/>
  <c r="X10" i="8"/>
  <c r="U10" i="8"/>
  <c r="R10" i="8"/>
  <c r="Q10" i="8"/>
  <c r="P10" i="8"/>
  <c r="N10" i="8"/>
  <c r="L10" i="8"/>
  <c r="J10" i="8"/>
  <c r="K10" i="8" s="1"/>
  <c r="H10" i="8"/>
  <c r="G10" i="8"/>
  <c r="F10" i="8"/>
  <c r="I10" i="8" s="1"/>
  <c r="E10" i="8"/>
  <c r="D10" i="8"/>
  <c r="B10" i="8"/>
  <c r="C10" i="8" s="1"/>
  <c r="A10" i="8"/>
  <c r="CB9" i="8"/>
  <c r="CA9" i="8"/>
  <c r="BZ9" i="8"/>
  <c r="BX9" i="8" s="1"/>
  <c r="BY9" i="8"/>
  <c r="BW9" i="8"/>
  <c r="BS9" i="8"/>
  <c r="BV9" i="8" s="1"/>
  <c r="BR9" i="8"/>
  <c r="BU9" i="8" s="1"/>
  <c r="BO9" i="8"/>
  <c r="BM9" i="8" s="1"/>
  <c r="BN9" i="8"/>
  <c r="BK9" i="8"/>
  <c r="BJ9" i="8"/>
  <c r="BI9" i="8"/>
  <c r="BH9" i="8"/>
  <c r="BA9" i="8"/>
  <c r="AZ9" i="8"/>
  <c r="AX9" i="8"/>
  <c r="AW9" i="8"/>
  <c r="AV9" i="8"/>
  <c r="AU9" i="8" s="1"/>
  <c r="AT9" i="8"/>
  <c r="AS9" i="8"/>
  <c r="AQ9" i="8" s="1"/>
  <c r="AR9" i="8"/>
  <c r="AJ9" i="8"/>
  <c r="AI9" i="8"/>
  <c r="AH9" i="8"/>
  <c r="AG9" i="8"/>
  <c r="AF9" i="8"/>
  <c r="AE9" i="8"/>
  <c r="AD9" i="8" s="1"/>
  <c r="AB9" i="8"/>
  <c r="Y9" i="8"/>
  <c r="X9" i="8"/>
  <c r="U9" i="8"/>
  <c r="R9" i="8"/>
  <c r="Q9" i="8"/>
  <c r="AL9" i="8" s="1"/>
  <c r="L9" i="8"/>
  <c r="J9" i="8"/>
  <c r="K9" i="8" s="1"/>
  <c r="H9" i="8"/>
  <c r="G9" i="8"/>
  <c r="F9" i="8"/>
  <c r="I9" i="8" s="1"/>
  <c r="E9" i="8"/>
  <c r="D9" i="8"/>
  <c r="B9" i="8"/>
  <c r="C9" i="8" s="1"/>
  <c r="A9" i="8"/>
  <c r="CP8" i="8"/>
  <c r="CO8" i="8"/>
  <c r="CN8" i="8"/>
  <c r="CM8" i="8"/>
  <c r="CL8" i="8"/>
  <c r="CK8" i="8"/>
  <c r="CJ8" i="8"/>
  <c r="CI8" i="8"/>
  <c r="CH8" i="8"/>
  <c r="CG8" i="8"/>
  <c r="CF8" i="8"/>
  <c r="CB8" i="8"/>
  <c r="CA8" i="8"/>
  <c r="BZ8" i="8"/>
  <c r="BY8" i="8"/>
  <c r="BX8" i="8" s="1"/>
  <c r="BW8" i="8"/>
  <c r="BV8" i="8"/>
  <c r="BU8" i="8"/>
  <c r="BS8" i="8"/>
  <c r="BQ8" i="8" s="1"/>
  <c r="BR8" i="8"/>
  <c r="BP8" i="8"/>
  <c r="BO8" i="8"/>
  <c r="BN8" i="8"/>
  <c r="BM8" i="8"/>
  <c r="BT8" i="8" s="1"/>
  <c r="BL8" i="8"/>
  <c r="BK8" i="8"/>
  <c r="BI8" i="8" s="1"/>
  <c r="BJ8" i="8"/>
  <c r="BH8" i="8"/>
  <c r="BD8" i="8"/>
  <c r="BA8" i="8"/>
  <c r="AZ8" i="8"/>
  <c r="AY8" i="8"/>
  <c r="AX8" i="8"/>
  <c r="AW8" i="8"/>
  <c r="AU8" i="8" s="1"/>
  <c r="AV8" i="8"/>
  <c r="BC8" i="8" s="1"/>
  <c r="AT8" i="8"/>
  <c r="AS8" i="8"/>
  <c r="AR8" i="8"/>
  <c r="AQ8" i="8"/>
  <c r="AP8" i="8"/>
  <c r="AJ8" i="8"/>
  <c r="AI8" i="8"/>
  <c r="AF8" i="8"/>
  <c r="AE8" i="8"/>
  <c r="AB8" i="8"/>
  <c r="Z8" i="8"/>
  <c r="Y8" i="8"/>
  <c r="X8" i="8"/>
  <c r="W8" i="8"/>
  <c r="U8" i="8"/>
  <c r="S8" i="8"/>
  <c r="R8" i="8"/>
  <c r="T8" i="8" s="1"/>
  <c r="Q8" i="8"/>
  <c r="N8" i="8"/>
  <c r="L8" i="8"/>
  <c r="K8" i="8"/>
  <c r="J8" i="8"/>
  <c r="G8" i="8"/>
  <c r="F8" i="8"/>
  <c r="E8" i="8"/>
  <c r="D8" i="8"/>
  <c r="C8" i="8"/>
  <c r="B8" i="8"/>
  <c r="A8" i="8"/>
  <c r="CB7" i="8"/>
  <c r="CA7" i="8"/>
  <c r="BZ7" i="8"/>
  <c r="BY7" i="8"/>
  <c r="BW7" i="8"/>
  <c r="BS7" i="8"/>
  <c r="BV7" i="8" s="1"/>
  <c r="BR7" i="8"/>
  <c r="BP7" i="8"/>
  <c r="BO7" i="8"/>
  <c r="BM7" i="8" s="1"/>
  <c r="BN7" i="8"/>
  <c r="BL7" i="8"/>
  <c r="BK7" i="8"/>
  <c r="BJ7" i="8"/>
  <c r="BI7" i="8"/>
  <c r="BH7" i="8"/>
  <c r="BC7" i="8"/>
  <c r="BA7" i="8"/>
  <c r="AZ7" i="8"/>
  <c r="AX7" i="8"/>
  <c r="AW7" i="8"/>
  <c r="AV7" i="8"/>
  <c r="AU7" i="8"/>
  <c r="AT7" i="8"/>
  <c r="AS7" i="8"/>
  <c r="AR7" i="8"/>
  <c r="AP7" i="8"/>
  <c r="AK7" i="8"/>
  <c r="AJ7" i="8"/>
  <c r="AI7" i="8"/>
  <c r="AG7" i="8"/>
  <c r="AF7" i="8"/>
  <c r="AH7" i="8" s="1"/>
  <c r="AE7" i="8"/>
  <c r="AD7" i="8" s="1"/>
  <c r="AB7" i="8"/>
  <c r="AA7" i="8"/>
  <c r="Z7" i="8"/>
  <c r="Y7" i="8"/>
  <c r="X7" i="8"/>
  <c r="W7" i="8" s="1"/>
  <c r="U7" i="8"/>
  <c r="T7" i="8"/>
  <c r="R7" i="8"/>
  <c r="P7" i="8" s="1"/>
  <c r="Q7" i="8"/>
  <c r="N7" i="8"/>
  <c r="K7" i="8"/>
  <c r="J7" i="8"/>
  <c r="L7" i="8" s="1"/>
  <c r="I7" i="8"/>
  <c r="H7" i="8"/>
  <c r="G7" i="8"/>
  <c r="F7" i="8"/>
  <c r="C7" i="8"/>
  <c r="B7" i="8"/>
  <c r="A7" i="8"/>
  <c r="CB6" i="8"/>
  <c r="CA6" i="8"/>
  <c r="BZ6" i="8"/>
  <c r="BY6" i="8"/>
  <c r="BX6" i="8" s="1"/>
  <c r="BW6" i="8"/>
  <c r="BS6" i="8"/>
  <c r="BQ6" i="8" s="1"/>
  <c r="BR6" i="8"/>
  <c r="BO6" i="8"/>
  <c r="BN6" i="8"/>
  <c r="BM6" i="8"/>
  <c r="BK6" i="8"/>
  <c r="BI6" i="8" s="1"/>
  <c r="BT6" i="8" s="1"/>
  <c r="BJ6" i="8"/>
  <c r="BU6" i="8" s="1"/>
  <c r="BH6" i="8"/>
  <c r="BD6" i="8"/>
  <c r="BA6" i="8"/>
  <c r="AY6" i="8" s="1"/>
  <c r="AZ6" i="8"/>
  <c r="AX6" i="8"/>
  <c r="AW6" i="8"/>
  <c r="AU6" i="8" s="1"/>
  <c r="AV6" i="8"/>
  <c r="BC6" i="8" s="1"/>
  <c r="BF6" i="8" s="1"/>
  <c r="AT6" i="8"/>
  <c r="AS6" i="8"/>
  <c r="AQ6" i="8" s="1"/>
  <c r="AR6" i="8"/>
  <c r="AL6" i="8"/>
  <c r="AJ6" i="8"/>
  <c r="AF6" i="8"/>
  <c r="AE6" i="8"/>
  <c r="AD6" i="8" s="1"/>
  <c r="AB6" i="8"/>
  <c r="Y6" i="8"/>
  <c r="W6" i="8" s="1"/>
  <c r="X6" i="8"/>
  <c r="U6" i="8"/>
  <c r="S6" i="8"/>
  <c r="R6" i="8"/>
  <c r="T6" i="8" s="1"/>
  <c r="Q6" i="8"/>
  <c r="P6" i="8"/>
  <c r="L6" i="8"/>
  <c r="J6" i="8"/>
  <c r="K6" i="8" s="1"/>
  <c r="H6" i="8"/>
  <c r="G6" i="8"/>
  <c r="F6" i="8"/>
  <c r="I6" i="8" s="1"/>
  <c r="E6" i="8"/>
  <c r="D6" i="8"/>
  <c r="B6" i="8"/>
  <c r="C6" i="8" s="1"/>
  <c r="A6" i="8"/>
  <c r="CB5" i="8"/>
  <c r="CA5" i="8"/>
  <c r="BZ5" i="8"/>
  <c r="BX5" i="8" s="1"/>
  <c r="BY5" i="8"/>
  <c r="BW5" i="8"/>
  <c r="BS5" i="8"/>
  <c r="BV5" i="8" s="1"/>
  <c r="BR5" i="8"/>
  <c r="BU5" i="8" s="1"/>
  <c r="BP5" i="8"/>
  <c r="BO5" i="8"/>
  <c r="BN5" i="8"/>
  <c r="BM5" i="8" s="1"/>
  <c r="BL5" i="8"/>
  <c r="BK5" i="8"/>
  <c r="BJ5" i="8"/>
  <c r="BI5" i="8"/>
  <c r="BH5" i="8"/>
  <c r="BD5" i="8"/>
  <c r="BA5" i="8"/>
  <c r="AY5" i="8" s="1"/>
  <c r="AZ5" i="8"/>
  <c r="AX5" i="8"/>
  <c r="AW5" i="8"/>
  <c r="AV5" i="8"/>
  <c r="AU5" i="8" s="1"/>
  <c r="BB5" i="8" s="1"/>
  <c r="AT5" i="8"/>
  <c r="AS5" i="8"/>
  <c r="AQ5" i="8" s="1"/>
  <c r="AR5" i="8"/>
  <c r="AP5" i="8"/>
  <c r="AM5" i="8"/>
  <c r="AL5" i="8"/>
  <c r="AJ5" i="8"/>
  <c r="AF5" i="8"/>
  <c r="AD5" i="8" s="1"/>
  <c r="AE5" i="8"/>
  <c r="AB5" i="8"/>
  <c r="Y5" i="8"/>
  <c r="X5" i="8"/>
  <c r="W5" i="8"/>
  <c r="V5" i="8"/>
  <c r="U5" i="8"/>
  <c r="T5" i="8"/>
  <c r="S5" i="8"/>
  <c r="R5" i="8"/>
  <c r="Q5" i="8"/>
  <c r="P5" i="8" s="1"/>
  <c r="N5" i="8"/>
  <c r="L5" i="8"/>
  <c r="K5" i="8"/>
  <c r="J5" i="8"/>
  <c r="I5" i="8"/>
  <c r="G5" i="8"/>
  <c r="F5" i="8"/>
  <c r="H5" i="8" s="1"/>
  <c r="E5" i="8"/>
  <c r="D5" i="8"/>
  <c r="B5" i="8"/>
  <c r="C5" i="8" s="1"/>
  <c r="A5" i="8"/>
  <c r="CB4" i="8"/>
  <c r="CA4" i="8"/>
  <c r="BZ4" i="8"/>
  <c r="BY4" i="8"/>
  <c r="BX4" i="8"/>
  <c r="BW4" i="8"/>
  <c r="BS4" i="8"/>
  <c r="BR4" i="8"/>
  <c r="BQ4" i="8"/>
  <c r="BP4" i="8"/>
  <c r="BO4" i="8"/>
  <c r="BN4" i="8"/>
  <c r="BU4" i="8" s="1"/>
  <c r="BL4" i="8"/>
  <c r="BK4" i="8"/>
  <c r="BJ4" i="8"/>
  <c r="BI4" i="8"/>
  <c r="BH4" i="8"/>
  <c r="BA4" i="8"/>
  <c r="BD4" i="8" s="1"/>
  <c r="AZ4" i="8"/>
  <c r="AX4" i="8"/>
  <c r="AW4" i="8"/>
  <c r="AU4" i="8" s="1"/>
  <c r="AV4" i="8"/>
  <c r="AT4" i="8"/>
  <c r="AS4" i="8"/>
  <c r="AR4" i="8"/>
  <c r="AP4" i="8"/>
  <c r="AJ4" i="8"/>
  <c r="AI4" i="8"/>
  <c r="AH4" i="8"/>
  <c r="AG4" i="8"/>
  <c r="AF4" i="8"/>
  <c r="AE4" i="8"/>
  <c r="AD4" i="8" s="1"/>
  <c r="AB4" i="8"/>
  <c r="AA4" i="8"/>
  <c r="Y4" i="8"/>
  <c r="W4" i="8" s="1"/>
  <c r="X4" i="8"/>
  <c r="U4" i="8"/>
  <c r="S4" i="8"/>
  <c r="R4" i="8"/>
  <c r="Q4" i="8"/>
  <c r="AL4" i="8" s="1"/>
  <c r="N4" i="8"/>
  <c r="K4" i="8"/>
  <c r="J4" i="8"/>
  <c r="L4" i="8" s="1"/>
  <c r="I4" i="8"/>
  <c r="H4" i="8"/>
  <c r="F4" i="8"/>
  <c r="G4" i="8" s="1"/>
  <c r="E4" i="8"/>
  <c r="C4" i="8"/>
  <c r="B4" i="8"/>
  <c r="D4" i="8" s="1"/>
  <c r="A4" i="8"/>
  <c r="CB3" i="8"/>
  <c r="CA3" i="8"/>
  <c r="BZ3" i="8"/>
  <c r="BX3" i="8" s="1"/>
  <c r="BY3" i="8"/>
  <c r="BW3" i="8"/>
  <c r="BS3" i="8"/>
  <c r="BR3" i="8"/>
  <c r="BU3" i="8" s="1"/>
  <c r="BP3" i="8"/>
  <c r="BO3" i="8"/>
  <c r="BN3" i="8"/>
  <c r="BM3" i="8"/>
  <c r="BL3" i="8"/>
  <c r="BK3" i="8"/>
  <c r="BJ3" i="8"/>
  <c r="BH3" i="8"/>
  <c r="BA3" i="8"/>
  <c r="AY3" i="8" s="1"/>
  <c r="AZ3" i="8"/>
  <c r="AX3" i="8"/>
  <c r="AW3" i="8"/>
  <c r="AV3" i="8"/>
  <c r="BC3" i="8" s="1"/>
  <c r="BF3" i="8" s="1"/>
  <c r="AT3" i="8"/>
  <c r="AS3" i="8"/>
  <c r="AQ3" i="8" s="1"/>
  <c r="AR3" i="8"/>
  <c r="AP3" i="8"/>
  <c r="AM3" i="8"/>
  <c r="AJ3" i="8"/>
  <c r="AG3" i="8"/>
  <c r="AF3" i="8"/>
  <c r="AH3" i="8" s="1"/>
  <c r="AE3" i="8"/>
  <c r="AD3" i="8"/>
  <c r="AC3" i="8"/>
  <c r="AB3" i="8"/>
  <c r="Y3" i="8"/>
  <c r="X3" i="8"/>
  <c r="V3" i="8"/>
  <c r="U3" i="8"/>
  <c r="R3" i="8"/>
  <c r="Q3" i="8"/>
  <c r="AL3" i="8" s="1"/>
  <c r="N3" i="8"/>
  <c r="O3" i="8" s="1"/>
  <c r="L3" i="8"/>
  <c r="J3" i="8"/>
  <c r="K3" i="8" s="1"/>
  <c r="G3" i="8"/>
  <c r="F3" i="8"/>
  <c r="E3" i="8"/>
  <c r="D3" i="8"/>
  <c r="B3" i="8"/>
  <c r="C3" i="8" s="1"/>
  <c r="A3" i="8"/>
  <c r="CB2" i="8"/>
  <c r="CA2" i="8"/>
  <c r="BZ2" i="8"/>
  <c r="BY2" i="8"/>
  <c r="BW2" i="8"/>
  <c r="BS2" i="8"/>
  <c r="BR2" i="8"/>
  <c r="BP2" i="8"/>
  <c r="BO2" i="8"/>
  <c r="BM2" i="8" s="1"/>
  <c r="BM98" i="8" s="1"/>
  <c r="BN2" i="8"/>
  <c r="BL2" i="8"/>
  <c r="BL98" i="8" s="1"/>
  <c r="BK2" i="8"/>
  <c r="BJ2" i="8"/>
  <c r="BH2" i="8"/>
  <c r="BC2" i="8"/>
  <c r="BA2" i="8"/>
  <c r="AZ2" i="8"/>
  <c r="AX2" i="8"/>
  <c r="AW2" i="8"/>
  <c r="AV2" i="8"/>
  <c r="AU2" i="8"/>
  <c r="AU98" i="8" s="1"/>
  <c r="AT2" i="8"/>
  <c r="AT98" i="8" s="1"/>
  <c r="AS2" i="8"/>
  <c r="AR2" i="8"/>
  <c r="AR98" i="8" s="1"/>
  <c r="DA311" i="8" s="1"/>
  <c r="AP2" i="8"/>
  <c r="AJ2" i="8"/>
  <c r="AJ98" i="8" s="1"/>
  <c r="AF2" i="8"/>
  <c r="AE2" i="8"/>
  <c r="AE98" i="8" s="1"/>
  <c r="CZ311" i="8" s="1"/>
  <c r="AC2" i="8"/>
  <c r="AC98" i="8" s="1"/>
  <c r="AB2" i="8"/>
  <c r="Y2" i="8"/>
  <c r="X2" i="8"/>
  <c r="W2" i="8"/>
  <c r="W98" i="8" s="1"/>
  <c r="U2" i="8"/>
  <c r="R2" i="8"/>
  <c r="Q2" i="8"/>
  <c r="P2" i="8"/>
  <c r="P98" i="8" s="1"/>
  <c r="N2" i="8"/>
  <c r="L2" i="8"/>
  <c r="K2" i="8"/>
  <c r="J2" i="8"/>
  <c r="F2" i="8"/>
  <c r="E2" i="8"/>
  <c r="D2" i="8"/>
  <c r="C2" i="8"/>
  <c r="B2" i="8"/>
  <c r="A2" i="8"/>
  <c r="CB163" i="7"/>
  <c r="CA163" i="7"/>
  <c r="BZ163" i="7"/>
  <c r="BX163" i="7" s="1"/>
  <c r="BY163" i="7"/>
  <c r="BW163" i="7"/>
  <c r="BS163" i="7"/>
  <c r="BR163" i="7"/>
  <c r="BP163" i="7"/>
  <c r="BO163" i="7"/>
  <c r="BN163" i="7"/>
  <c r="BM163" i="7"/>
  <c r="BL163" i="7"/>
  <c r="BK163" i="7"/>
  <c r="BI163" i="7" s="1"/>
  <c r="BJ163" i="7"/>
  <c r="BU163" i="7" s="1"/>
  <c r="BH163" i="7"/>
  <c r="BA163" i="7"/>
  <c r="AY163" i="7" s="1"/>
  <c r="AZ163" i="7"/>
  <c r="AX163" i="7"/>
  <c r="AW163" i="7"/>
  <c r="BD163" i="7" s="1"/>
  <c r="AV163" i="7"/>
  <c r="BC163" i="7" s="1"/>
  <c r="BF163" i="7" s="1"/>
  <c r="AT163" i="7"/>
  <c r="AS163" i="7"/>
  <c r="AQ163" i="7" s="1"/>
  <c r="AR163" i="7"/>
  <c r="AP163" i="7"/>
  <c r="AJ163" i="7"/>
  <c r="AF163" i="7"/>
  <c r="AD163" i="7" s="1"/>
  <c r="AK163" i="7" s="1"/>
  <c r="AE163" i="7"/>
  <c r="AL163" i="7" s="1"/>
  <c r="AC163" i="7"/>
  <c r="AB163" i="7"/>
  <c r="Y163" i="7"/>
  <c r="W163" i="7" s="1"/>
  <c r="X163" i="7"/>
  <c r="V163" i="7"/>
  <c r="U163" i="7"/>
  <c r="R163" i="7"/>
  <c r="T163" i="7" s="1"/>
  <c r="Q163" i="7"/>
  <c r="P163" i="7"/>
  <c r="O163" i="7"/>
  <c r="N163" i="7"/>
  <c r="L163" i="7"/>
  <c r="J163" i="7"/>
  <c r="K163" i="7" s="1"/>
  <c r="H163" i="7"/>
  <c r="G163" i="7"/>
  <c r="F163" i="7"/>
  <c r="E163" i="7"/>
  <c r="D163" i="7"/>
  <c r="B163" i="7"/>
  <c r="C163" i="7" s="1"/>
  <c r="A163" i="7"/>
  <c r="CB162" i="7"/>
  <c r="CA162" i="7"/>
  <c r="BZ162" i="7"/>
  <c r="BX162" i="7" s="1"/>
  <c r="BY162" i="7"/>
  <c r="BW162" i="7"/>
  <c r="BS162" i="7"/>
  <c r="BR162" i="7"/>
  <c r="BU162" i="7" s="1"/>
  <c r="BQ162" i="7"/>
  <c r="BP162" i="7"/>
  <c r="BO162" i="7"/>
  <c r="BN162" i="7"/>
  <c r="BM162" i="7" s="1"/>
  <c r="BL162" i="7"/>
  <c r="BK162" i="7"/>
  <c r="BI162" i="7" s="1"/>
  <c r="BJ162" i="7"/>
  <c r="BH162" i="7"/>
  <c r="BC162" i="7"/>
  <c r="BA162" i="7"/>
  <c r="AY162" i="7" s="1"/>
  <c r="BB162" i="7" s="1"/>
  <c r="AZ162" i="7"/>
  <c r="AX162" i="7"/>
  <c r="AW162" i="7"/>
  <c r="AV162" i="7"/>
  <c r="AU162" i="7"/>
  <c r="AT162" i="7"/>
  <c r="AS162" i="7"/>
  <c r="AQ162" i="7" s="1"/>
  <c r="AR162" i="7"/>
  <c r="AP162" i="7"/>
  <c r="AJ162" i="7"/>
  <c r="AF162" i="7"/>
  <c r="AE162" i="7"/>
  <c r="AC162" i="7"/>
  <c r="AB162" i="7"/>
  <c r="Y162" i="7"/>
  <c r="AA162" i="7" s="1"/>
  <c r="X162" i="7"/>
  <c r="AL162" i="7" s="1"/>
  <c r="W162" i="7"/>
  <c r="U162" i="7"/>
  <c r="V162" i="7" s="1"/>
  <c r="Z162" i="7" s="1"/>
  <c r="R162" i="7"/>
  <c r="Q162" i="7"/>
  <c r="P162" i="7"/>
  <c r="O162" i="7"/>
  <c r="N162" i="7"/>
  <c r="L162" i="7"/>
  <c r="K162" i="7"/>
  <c r="J162" i="7"/>
  <c r="I162" i="7"/>
  <c r="H162" i="7"/>
  <c r="F162" i="7"/>
  <c r="G162" i="7" s="1"/>
  <c r="E162" i="7"/>
  <c r="D162" i="7"/>
  <c r="C162" i="7"/>
  <c r="B162" i="7"/>
  <c r="A162" i="7"/>
  <c r="CB161" i="7"/>
  <c r="CA161" i="7"/>
  <c r="BZ161" i="7"/>
  <c r="BY161" i="7"/>
  <c r="BX161" i="7" s="1"/>
  <c r="BW161" i="7"/>
  <c r="BS161" i="7"/>
  <c r="BR161" i="7"/>
  <c r="BP161" i="7"/>
  <c r="BO161" i="7"/>
  <c r="BM161" i="7" s="1"/>
  <c r="BN161" i="7"/>
  <c r="BL161" i="7"/>
  <c r="BK161" i="7"/>
  <c r="BI161" i="7" s="1"/>
  <c r="BJ161" i="7"/>
  <c r="BH161" i="7"/>
  <c r="BA161" i="7"/>
  <c r="AZ161" i="7"/>
  <c r="AX161" i="7"/>
  <c r="AW161" i="7"/>
  <c r="AV161" i="7"/>
  <c r="AU161" i="7"/>
  <c r="AT161" i="7"/>
  <c r="AS161" i="7"/>
  <c r="AR161" i="7"/>
  <c r="BC161" i="7" s="1"/>
  <c r="BF161" i="7" s="1"/>
  <c r="AP161" i="7"/>
  <c r="AM161" i="7"/>
  <c r="AJ161" i="7"/>
  <c r="AF161" i="7"/>
  <c r="AE161" i="7"/>
  <c r="AL161" i="7" s="1"/>
  <c r="AC161" i="7"/>
  <c r="AG161" i="7" s="1"/>
  <c r="AB161" i="7"/>
  <c r="Y161" i="7"/>
  <c r="X161" i="7"/>
  <c r="W161" i="7"/>
  <c r="U161" i="7"/>
  <c r="V161" i="7" s="1"/>
  <c r="T161" i="7"/>
  <c r="S161" i="7"/>
  <c r="R161" i="7"/>
  <c r="Q161" i="7"/>
  <c r="P161" i="7" s="1"/>
  <c r="L161" i="7"/>
  <c r="J161" i="7"/>
  <c r="K161" i="7" s="1"/>
  <c r="I161" i="7"/>
  <c r="F161" i="7"/>
  <c r="G161" i="7" s="1"/>
  <c r="D161" i="7"/>
  <c r="B161" i="7"/>
  <c r="A161" i="7"/>
  <c r="CB160" i="7"/>
  <c r="CA160" i="7"/>
  <c r="BZ160" i="7"/>
  <c r="BY160" i="7"/>
  <c r="BX160" i="7"/>
  <c r="BW160" i="7"/>
  <c r="BS160" i="7"/>
  <c r="BQ160" i="7" s="1"/>
  <c r="BT160" i="7" s="1"/>
  <c r="BR160" i="7"/>
  <c r="BP160" i="7"/>
  <c r="BO160" i="7"/>
  <c r="BM160" i="7" s="1"/>
  <c r="BN160" i="7"/>
  <c r="BU160" i="7" s="1"/>
  <c r="BL160" i="7"/>
  <c r="BK160" i="7"/>
  <c r="BI160" i="7" s="1"/>
  <c r="BJ160" i="7"/>
  <c r="BH160" i="7"/>
  <c r="BA160" i="7"/>
  <c r="AZ160" i="7"/>
  <c r="AY160" i="7" s="1"/>
  <c r="AX160" i="7"/>
  <c r="AW160" i="7"/>
  <c r="AV160" i="7"/>
  <c r="AT160" i="7"/>
  <c r="AS160" i="7"/>
  <c r="AR160" i="7"/>
  <c r="AQ160" i="7"/>
  <c r="AP160" i="7"/>
  <c r="AJ160" i="7"/>
  <c r="AI160" i="7"/>
  <c r="AH160" i="7"/>
  <c r="AG160" i="7"/>
  <c r="AF160" i="7"/>
  <c r="AE160" i="7"/>
  <c r="AB160" i="7"/>
  <c r="AC160" i="7" s="1"/>
  <c r="Y160" i="7"/>
  <c r="X160" i="7"/>
  <c r="AL160" i="7" s="1"/>
  <c r="V160" i="7"/>
  <c r="U160" i="7"/>
  <c r="T160" i="7"/>
  <c r="S160" i="7"/>
  <c r="R160" i="7"/>
  <c r="Q160" i="7"/>
  <c r="K160" i="7"/>
  <c r="J160" i="7"/>
  <c r="L160" i="7" s="1"/>
  <c r="I160" i="7"/>
  <c r="H160" i="7"/>
  <c r="G160" i="7"/>
  <c r="F160" i="7"/>
  <c r="E160" i="7"/>
  <c r="C160" i="7"/>
  <c r="B160" i="7"/>
  <c r="D160" i="7" s="1"/>
  <c r="A160" i="7"/>
  <c r="CB159" i="7"/>
  <c r="CA159" i="7"/>
  <c r="BZ159" i="7"/>
  <c r="BX159" i="7" s="1"/>
  <c r="BY159" i="7"/>
  <c r="BW159" i="7"/>
  <c r="BS159" i="7"/>
  <c r="BR159" i="7"/>
  <c r="BU159" i="7" s="1"/>
  <c r="BP159" i="7"/>
  <c r="BO159" i="7"/>
  <c r="BN159" i="7"/>
  <c r="BM159" i="7"/>
  <c r="BL159" i="7"/>
  <c r="BK159" i="7"/>
  <c r="BJ159" i="7"/>
  <c r="BH159" i="7"/>
  <c r="BA159" i="7"/>
  <c r="AY159" i="7" s="1"/>
  <c r="AZ159" i="7"/>
  <c r="AX159" i="7"/>
  <c r="AW159" i="7"/>
  <c r="AU159" i="7" s="1"/>
  <c r="AV159" i="7"/>
  <c r="BC159" i="7" s="1"/>
  <c r="BF159" i="7" s="1"/>
  <c r="AT159" i="7"/>
  <c r="AS159" i="7"/>
  <c r="AQ159" i="7" s="1"/>
  <c r="AR159" i="7"/>
  <c r="AP159" i="7"/>
  <c r="AL159" i="7"/>
  <c r="AJ159" i="7"/>
  <c r="AF159" i="7"/>
  <c r="AH159" i="7" s="1"/>
  <c r="AE159" i="7"/>
  <c r="AD159" i="7"/>
  <c r="AK159" i="7" s="1"/>
  <c r="AC159" i="7"/>
  <c r="AB159" i="7"/>
  <c r="Y159" i="7"/>
  <c r="X159" i="7"/>
  <c r="V159" i="7"/>
  <c r="AI159" i="7" s="1"/>
  <c r="U159" i="7"/>
  <c r="S159" i="7"/>
  <c r="R159" i="7"/>
  <c r="T159" i="7" s="1"/>
  <c r="Q159" i="7"/>
  <c r="P159" i="7"/>
  <c r="L159" i="7"/>
  <c r="K159" i="7"/>
  <c r="J159" i="7"/>
  <c r="F159" i="7"/>
  <c r="G159" i="7" s="1"/>
  <c r="E159" i="7"/>
  <c r="D159" i="7"/>
  <c r="C159" i="7"/>
  <c r="B159" i="7"/>
  <c r="I159" i="7" s="1"/>
  <c r="A159" i="7"/>
  <c r="CB158" i="7"/>
  <c r="CA158" i="7"/>
  <c r="BZ158" i="7"/>
  <c r="BX158" i="7" s="1"/>
  <c r="BY158" i="7"/>
  <c r="BW158" i="7"/>
  <c r="BS158" i="7"/>
  <c r="BR158" i="7"/>
  <c r="BQ158" i="7" s="1"/>
  <c r="BP158" i="7"/>
  <c r="BO158" i="7"/>
  <c r="BN158" i="7"/>
  <c r="BL158" i="7"/>
  <c r="BK158" i="7"/>
  <c r="BJ158" i="7"/>
  <c r="BI158" i="7" s="1"/>
  <c r="BH158" i="7"/>
  <c r="BA158" i="7"/>
  <c r="AZ158" i="7"/>
  <c r="AX158" i="7"/>
  <c r="AW158" i="7"/>
  <c r="AV158" i="7"/>
  <c r="AU158" i="7" s="1"/>
  <c r="AT158" i="7"/>
  <c r="AS158" i="7"/>
  <c r="AR158" i="7"/>
  <c r="BC158" i="7" s="1"/>
  <c r="AP158" i="7"/>
  <c r="AL158" i="7"/>
  <c r="AJ158" i="7"/>
  <c r="AI158" i="7"/>
  <c r="AF158" i="7"/>
  <c r="AE158" i="7"/>
  <c r="AD158" i="7"/>
  <c r="AB158" i="7"/>
  <c r="AC158" i="7" s="1"/>
  <c r="AH158" i="7" s="1"/>
  <c r="Y158" i="7"/>
  <c r="X158" i="7"/>
  <c r="W158" i="7" s="1"/>
  <c r="U158" i="7"/>
  <c r="V158" i="7" s="1"/>
  <c r="T158" i="7"/>
  <c r="S158" i="7"/>
  <c r="R158" i="7"/>
  <c r="P158" i="7" s="1"/>
  <c r="Q158" i="7"/>
  <c r="N158" i="7"/>
  <c r="O158" i="7" s="1"/>
  <c r="K158" i="7"/>
  <c r="J158" i="7"/>
  <c r="L158" i="7" s="1"/>
  <c r="G158" i="7"/>
  <c r="F158" i="7"/>
  <c r="E158" i="7"/>
  <c r="D158" i="7"/>
  <c r="B158" i="7"/>
  <c r="A158" i="7"/>
  <c r="CB157" i="7"/>
  <c r="CA157" i="7"/>
  <c r="BZ157" i="7"/>
  <c r="BY157" i="7"/>
  <c r="BX157" i="7" s="1"/>
  <c r="BW157" i="7"/>
  <c r="BS157" i="7"/>
  <c r="BR157" i="7"/>
  <c r="BQ157" i="7"/>
  <c r="BT157" i="7" s="1"/>
  <c r="BP157" i="7"/>
  <c r="BO157" i="7"/>
  <c r="BN157" i="7"/>
  <c r="BU157" i="7" s="1"/>
  <c r="BL157" i="7"/>
  <c r="BK157" i="7"/>
  <c r="BJ157" i="7"/>
  <c r="BI157" i="7"/>
  <c r="BH157" i="7"/>
  <c r="BF157" i="7"/>
  <c r="BA157" i="7"/>
  <c r="AY157" i="7" s="1"/>
  <c r="AZ157" i="7"/>
  <c r="AX157" i="7"/>
  <c r="AW157" i="7"/>
  <c r="AU157" i="7" s="1"/>
  <c r="AV157" i="7"/>
  <c r="AT157" i="7"/>
  <c r="AS157" i="7"/>
  <c r="AQ157" i="7" s="1"/>
  <c r="AR157" i="7"/>
  <c r="BC157" i="7" s="1"/>
  <c r="AP157" i="7"/>
  <c r="AJ157" i="7"/>
  <c r="AF157" i="7"/>
  <c r="AE157" i="7"/>
  <c r="AL157" i="7" s="1"/>
  <c r="AB157" i="7"/>
  <c r="AC157" i="7" s="1"/>
  <c r="AA157" i="7"/>
  <c r="Y157" i="7"/>
  <c r="AM157" i="7" s="1"/>
  <c r="X157" i="7"/>
  <c r="U157" i="7"/>
  <c r="V157" i="7" s="1"/>
  <c r="AI157" i="7" s="1"/>
  <c r="T157" i="7"/>
  <c r="R157" i="7"/>
  <c r="P157" i="7" s="1"/>
  <c r="Q157" i="7"/>
  <c r="J157" i="7"/>
  <c r="I157" i="7"/>
  <c r="H157" i="7"/>
  <c r="G157" i="7"/>
  <c r="F157" i="7"/>
  <c r="B157" i="7"/>
  <c r="A157" i="7"/>
  <c r="CB156" i="7"/>
  <c r="CA156" i="7"/>
  <c r="BZ156" i="7"/>
  <c r="BX156" i="7" s="1"/>
  <c r="BY156" i="7"/>
  <c r="BW156" i="7"/>
  <c r="BS156" i="7"/>
  <c r="BR156" i="7"/>
  <c r="BP156" i="7"/>
  <c r="BO156" i="7"/>
  <c r="BN156" i="7"/>
  <c r="BL156" i="7"/>
  <c r="BK156" i="7"/>
  <c r="BI156" i="7" s="1"/>
  <c r="BJ156" i="7"/>
  <c r="BH156" i="7"/>
  <c r="BF156" i="7"/>
  <c r="BD156" i="7"/>
  <c r="BG156" i="7" s="1"/>
  <c r="BA156" i="7"/>
  <c r="AZ156" i="7"/>
  <c r="AY156" i="7" s="1"/>
  <c r="AX156" i="7"/>
  <c r="AW156" i="7"/>
  <c r="AU156" i="7" s="1"/>
  <c r="AV156" i="7"/>
  <c r="BC156" i="7" s="1"/>
  <c r="AT156" i="7"/>
  <c r="AS156" i="7"/>
  <c r="AQ156" i="7" s="1"/>
  <c r="AR156" i="7"/>
  <c r="AP156" i="7"/>
  <c r="AJ156" i="7"/>
  <c r="AF156" i="7"/>
  <c r="AE156" i="7"/>
  <c r="AB156" i="7"/>
  <c r="AC156" i="7" s="1"/>
  <c r="AG156" i="7" s="1"/>
  <c r="Z156" i="7"/>
  <c r="Y156" i="7"/>
  <c r="AA156" i="7" s="1"/>
  <c r="X156" i="7"/>
  <c r="V156" i="7"/>
  <c r="AI156" i="7" s="1"/>
  <c r="U156" i="7"/>
  <c r="R156" i="7"/>
  <c r="Q156" i="7"/>
  <c r="P156" i="7"/>
  <c r="L156" i="7"/>
  <c r="K156" i="7"/>
  <c r="J156" i="7"/>
  <c r="I156" i="7"/>
  <c r="F156" i="7"/>
  <c r="G156" i="7" s="1"/>
  <c r="E156" i="7"/>
  <c r="D156" i="7"/>
  <c r="C156" i="7"/>
  <c r="B156" i="7"/>
  <c r="H156" i="7" s="1"/>
  <c r="A156" i="7"/>
  <c r="CB155" i="7"/>
  <c r="CA155" i="7"/>
  <c r="BZ155" i="7"/>
  <c r="BY155" i="7"/>
  <c r="BX155" i="7"/>
  <c r="BW155" i="7"/>
  <c r="BS155" i="7"/>
  <c r="BR155" i="7"/>
  <c r="BU155" i="7" s="1"/>
  <c r="BP155" i="7"/>
  <c r="BO155" i="7"/>
  <c r="BM155" i="7" s="1"/>
  <c r="BN155" i="7"/>
  <c r="BL155" i="7"/>
  <c r="BK155" i="7"/>
  <c r="BI155" i="7" s="1"/>
  <c r="BJ155" i="7"/>
  <c r="BH155" i="7"/>
  <c r="BA155" i="7"/>
  <c r="AZ155" i="7"/>
  <c r="AX155" i="7"/>
  <c r="AW155" i="7"/>
  <c r="AV155" i="7"/>
  <c r="AU155" i="7"/>
  <c r="AT155" i="7"/>
  <c r="AS155" i="7"/>
  <c r="AR155" i="7"/>
  <c r="AP155" i="7"/>
  <c r="AM155" i="7"/>
  <c r="AL155" i="7"/>
  <c r="AK155" i="7"/>
  <c r="AJ155" i="7"/>
  <c r="AF155" i="7"/>
  <c r="AE155" i="7"/>
  <c r="AD155" i="7"/>
  <c r="AB155" i="7"/>
  <c r="AC155" i="7" s="1"/>
  <c r="Y155" i="7"/>
  <c r="X155" i="7"/>
  <c r="W155" i="7"/>
  <c r="U155" i="7"/>
  <c r="V155" i="7" s="1"/>
  <c r="T155" i="7"/>
  <c r="S155" i="7"/>
  <c r="R155" i="7"/>
  <c r="P155" i="7" s="1"/>
  <c r="Q155" i="7"/>
  <c r="L155" i="7"/>
  <c r="K155" i="7"/>
  <c r="J155" i="7"/>
  <c r="F155" i="7"/>
  <c r="G155" i="7" s="1"/>
  <c r="D155" i="7"/>
  <c r="C155" i="7"/>
  <c r="B155" i="7"/>
  <c r="A155" i="7"/>
  <c r="CB154" i="7"/>
  <c r="CA154" i="7"/>
  <c r="BZ154" i="7"/>
  <c r="BY154" i="7"/>
  <c r="BX154" i="7"/>
  <c r="BW154" i="7"/>
  <c r="BS154" i="7"/>
  <c r="BQ154" i="7" s="1"/>
  <c r="BT154" i="7" s="1"/>
  <c r="BR154" i="7"/>
  <c r="BP154" i="7"/>
  <c r="BO154" i="7"/>
  <c r="BV154" i="7" s="1"/>
  <c r="BN154" i="7"/>
  <c r="BU154" i="7" s="1"/>
  <c r="BL154" i="7"/>
  <c r="BK154" i="7"/>
  <c r="BI154" i="7" s="1"/>
  <c r="BJ154" i="7"/>
  <c r="BH154" i="7"/>
  <c r="BA154" i="7"/>
  <c r="AZ154" i="7"/>
  <c r="AY154" i="7"/>
  <c r="AX154" i="7"/>
  <c r="AW154" i="7"/>
  <c r="AV154" i="7"/>
  <c r="AT154" i="7"/>
  <c r="AS154" i="7"/>
  <c r="AR154" i="7"/>
  <c r="AP154" i="7"/>
  <c r="AJ154" i="7"/>
  <c r="AI154" i="7"/>
  <c r="AH154" i="7"/>
  <c r="AG154" i="7"/>
  <c r="AF154" i="7"/>
  <c r="AM154" i="7" s="1"/>
  <c r="AE154" i="7"/>
  <c r="AB154" i="7"/>
  <c r="AC154" i="7" s="1"/>
  <c r="Y154" i="7"/>
  <c r="W154" i="7" s="1"/>
  <c r="X154" i="7"/>
  <c r="AL154" i="7" s="1"/>
  <c r="V154" i="7"/>
  <c r="U154" i="7"/>
  <c r="T154" i="7"/>
  <c r="S154" i="7"/>
  <c r="R154" i="7"/>
  <c r="P154" i="7" s="1"/>
  <c r="Q154" i="7"/>
  <c r="L154" i="7"/>
  <c r="K154" i="7"/>
  <c r="J154" i="7"/>
  <c r="I154" i="7"/>
  <c r="H154" i="7"/>
  <c r="G154" i="7"/>
  <c r="F154" i="7"/>
  <c r="E154" i="7"/>
  <c r="D154" i="7"/>
  <c r="C154" i="7"/>
  <c r="B154" i="7"/>
  <c r="A154" i="7"/>
  <c r="BZ153" i="7"/>
  <c r="BY153" i="7"/>
  <c r="BS153" i="7"/>
  <c r="BR153" i="7"/>
  <c r="BQ153" i="7"/>
  <c r="BT153" i="7" s="1"/>
  <c r="BO153" i="7"/>
  <c r="BN153" i="7"/>
  <c r="BK153" i="7"/>
  <c r="BI153" i="7" s="1"/>
  <c r="BJ153" i="7"/>
  <c r="BD153" i="7"/>
  <c r="BA153" i="7"/>
  <c r="AZ153" i="7"/>
  <c r="AY153" i="7"/>
  <c r="AW153" i="7"/>
  <c r="AU153" i="7" s="1"/>
  <c r="AV153" i="7"/>
  <c r="BC153" i="7" s="1"/>
  <c r="BF153" i="7" s="1"/>
  <c r="AT153" i="7"/>
  <c r="AS153" i="7"/>
  <c r="AQ153" i="7" s="1"/>
  <c r="AR153" i="7"/>
  <c r="AP153" i="7"/>
  <c r="AJ153" i="7"/>
  <c r="AG153" i="7"/>
  <c r="AF153" i="7"/>
  <c r="AE153" i="7"/>
  <c r="AL153" i="7" s="1"/>
  <c r="AB153" i="7"/>
  <c r="AC153" i="7" s="1"/>
  <c r="Z153" i="7"/>
  <c r="Y153" i="7"/>
  <c r="AA153" i="7" s="1"/>
  <c r="X153" i="7"/>
  <c r="W153" i="7"/>
  <c r="V153" i="7"/>
  <c r="AI153" i="7" s="1"/>
  <c r="U153" i="7"/>
  <c r="R153" i="7"/>
  <c r="P153" i="7" s="1"/>
  <c r="Q153" i="7"/>
  <c r="L153" i="7"/>
  <c r="K153" i="7"/>
  <c r="J153" i="7"/>
  <c r="I153" i="7"/>
  <c r="F153" i="7"/>
  <c r="G153" i="7" s="1"/>
  <c r="E153" i="7"/>
  <c r="D153" i="7"/>
  <c r="C153" i="7"/>
  <c r="B153" i="7"/>
  <c r="H153" i="7" s="1"/>
  <c r="A153" i="7"/>
  <c r="CB152" i="7"/>
  <c r="CA152" i="7"/>
  <c r="BZ152" i="7"/>
  <c r="BX152" i="7" s="1"/>
  <c r="BY152" i="7"/>
  <c r="BW152" i="7"/>
  <c r="BS152" i="7"/>
  <c r="BR152" i="7"/>
  <c r="BU152" i="7" s="1"/>
  <c r="BQ152" i="7"/>
  <c r="BT152" i="7" s="1"/>
  <c r="BP152" i="7"/>
  <c r="BO152" i="7"/>
  <c r="BM152" i="7" s="1"/>
  <c r="BN152" i="7"/>
  <c r="BL152" i="7"/>
  <c r="BK152" i="7"/>
  <c r="BJ152" i="7"/>
  <c r="BI152" i="7"/>
  <c r="BH152" i="7"/>
  <c r="BA152" i="7"/>
  <c r="AZ152" i="7"/>
  <c r="BC152" i="7" s="1"/>
  <c r="BF152" i="7" s="1"/>
  <c r="AX152" i="7"/>
  <c r="AW152" i="7"/>
  <c r="AV152" i="7"/>
  <c r="AU152" i="7"/>
  <c r="AT152" i="7"/>
  <c r="AS152" i="7"/>
  <c r="AQ152" i="7" s="1"/>
  <c r="AR152" i="7"/>
  <c r="AP152" i="7"/>
  <c r="AM152" i="7"/>
  <c r="AJ152" i="7"/>
  <c r="AF152" i="7"/>
  <c r="AE152" i="7"/>
  <c r="AC152" i="7"/>
  <c r="AB152" i="7"/>
  <c r="Y152" i="7"/>
  <c r="X152" i="7"/>
  <c r="W152" i="7"/>
  <c r="V152" i="7"/>
  <c r="AA152" i="7" s="1"/>
  <c r="U152" i="7"/>
  <c r="R152" i="7"/>
  <c r="P152" i="7" s="1"/>
  <c r="Q152" i="7"/>
  <c r="N152" i="7"/>
  <c r="O152" i="7" s="1"/>
  <c r="L152" i="7"/>
  <c r="K152" i="7"/>
  <c r="J152" i="7"/>
  <c r="F152" i="7"/>
  <c r="G152" i="7" s="1"/>
  <c r="E152" i="7"/>
  <c r="D152" i="7"/>
  <c r="C152" i="7"/>
  <c r="B152" i="7"/>
  <c r="I152" i="7" s="1"/>
  <c r="A152" i="7"/>
  <c r="CB151" i="7"/>
  <c r="CA151" i="7"/>
  <c r="BZ151" i="7"/>
  <c r="BX151" i="7" s="1"/>
  <c r="BY151" i="7"/>
  <c r="BW151" i="7"/>
  <c r="BS151" i="7"/>
  <c r="BR151" i="7"/>
  <c r="BU151" i="7" s="1"/>
  <c r="BP151" i="7"/>
  <c r="BO151" i="7"/>
  <c r="BN151" i="7"/>
  <c r="BL151" i="7"/>
  <c r="BK151" i="7"/>
  <c r="BJ151" i="7"/>
  <c r="BI151" i="7"/>
  <c r="BH151" i="7"/>
  <c r="BA151" i="7"/>
  <c r="AZ151" i="7"/>
  <c r="AX151" i="7"/>
  <c r="AW151" i="7"/>
  <c r="AU151" i="7" s="1"/>
  <c r="AV151" i="7"/>
  <c r="AT151" i="7"/>
  <c r="AS151" i="7"/>
  <c r="AR151" i="7"/>
  <c r="BC151" i="7" s="1"/>
  <c r="BF151" i="7" s="1"/>
  <c r="AP151" i="7"/>
  <c r="AL151" i="7"/>
  <c r="AK151" i="7"/>
  <c r="AJ151" i="7"/>
  <c r="AF151" i="7"/>
  <c r="AE151" i="7"/>
  <c r="AD151" i="7"/>
  <c r="AB151" i="7"/>
  <c r="AC151" i="7" s="1"/>
  <c r="AH151" i="7" s="1"/>
  <c r="Y151" i="7"/>
  <c r="W151" i="7" s="1"/>
  <c r="X151" i="7"/>
  <c r="U151" i="7"/>
  <c r="V151" i="7" s="1"/>
  <c r="Z151" i="7" s="1"/>
  <c r="R151" i="7"/>
  <c r="P151" i="7" s="1"/>
  <c r="Q151" i="7"/>
  <c r="N151" i="7"/>
  <c r="O151" i="7" s="1"/>
  <c r="L151" i="7"/>
  <c r="J151" i="7"/>
  <c r="K151" i="7" s="1"/>
  <c r="G151" i="7"/>
  <c r="F151" i="7"/>
  <c r="C151" i="7"/>
  <c r="B151" i="7"/>
  <c r="A151" i="7"/>
  <c r="CB150" i="7"/>
  <c r="CA150" i="7"/>
  <c r="BZ150" i="7"/>
  <c r="BY150" i="7"/>
  <c r="BX150" i="7"/>
  <c r="BW150" i="7"/>
  <c r="BV150" i="7"/>
  <c r="BS150" i="7"/>
  <c r="BR150" i="7"/>
  <c r="BQ150" i="7"/>
  <c r="BT150" i="7" s="1"/>
  <c r="BP150" i="7"/>
  <c r="BO150" i="7"/>
  <c r="BN150" i="7"/>
  <c r="BU150" i="7" s="1"/>
  <c r="BL150" i="7"/>
  <c r="BK150" i="7"/>
  <c r="BJ150" i="7"/>
  <c r="BI150" i="7"/>
  <c r="BH150" i="7"/>
  <c r="BA150" i="7"/>
  <c r="BD150" i="7" s="1"/>
  <c r="AZ150" i="7"/>
  <c r="AY150" i="7"/>
  <c r="AX150" i="7"/>
  <c r="AW150" i="7"/>
  <c r="AU150" i="7" s="1"/>
  <c r="AV150" i="7"/>
  <c r="AT150" i="7"/>
  <c r="AS150" i="7"/>
  <c r="AR150" i="7"/>
  <c r="AQ150" i="7"/>
  <c r="AP150" i="7"/>
  <c r="AK150" i="7"/>
  <c r="AJ150" i="7"/>
  <c r="AF150" i="7"/>
  <c r="AD150" i="7" s="1"/>
  <c r="AE150" i="7"/>
  <c r="AL150" i="7" s="1"/>
  <c r="AC150" i="7"/>
  <c r="AB150" i="7"/>
  <c r="AA150" i="7"/>
  <c r="Z150" i="7"/>
  <c r="Y150" i="7"/>
  <c r="X150" i="7"/>
  <c r="U150" i="7"/>
  <c r="V150" i="7" s="1"/>
  <c r="AI150" i="7" s="1"/>
  <c r="T150" i="7"/>
  <c r="S150" i="7"/>
  <c r="R150" i="7"/>
  <c r="P150" i="7" s="1"/>
  <c r="Q150" i="7"/>
  <c r="O150" i="7"/>
  <c r="N150" i="7"/>
  <c r="J150" i="7"/>
  <c r="I150" i="7"/>
  <c r="F150" i="7"/>
  <c r="G150" i="7" s="1"/>
  <c r="D150" i="7"/>
  <c r="C150" i="7"/>
  <c r="B150" i="7"/>
  <c r="A150" i="7"/>
  <c r="CB149" i="7"/>
  <c r="CA149" i="7"/>
  <c r="BZ149" i="7"/>
  <c r="BY149" i="7"/>
  <c r="BX149" i="7"/>
  <c r="BW149" i="7"/>
  <c r="BS149" i="7"/>
  <c r="BQ149" i="7" s="1"/>
  <c r="BT149" i="7" s="1"/>
  <c r="BR149" i="7"/>
  <c r="BP149" i="7"/>
  <c r="BO149" i="7"/>
  <c r="BV149" i="7" s="1"/>
  <c r="BN149" i="7"/>
  <c r="BU149" i="7" s="1"/>
  <c r="BM149" i="7"/>
  <c r="BL149" i="7"/>
  <c r="BK149" i="7"/>
  <c r="BI149" i="7" s="1"/>
  <c r="BJ149" i="7"/>
  <c r="BH149" i="7"/>
  <c r="BA149" i="7"/>
  <c r="AZ149" i="7"/>
  <c r="AY149" i="7" s="1"/>
  <c r="AX149" i="7"/>
  <c r="AW149" i="7"/>
  <c r="AV149" i="7"/>
  <c r="AT149" i="7"/>
  <c r="AS149" i="7"/>
  <c r="AR149" i="7"/>
  <c r="AP149" i="7"/>
  <c r="AJ149" i="7"/>
  <c r="AH149" i="7"/>
  <c r="AG149" i="7"/>
  <c r="AF149" i="7"/>
  <c r="AE149" i="7"/>
  <c r="AB149" i="7"/>
  <c r="AC149" i="7" s="1"/>
  <c r="Y149" i="7"/>
  <c r="X149" i="7"/>
  <c r="V149" i="7"/>
  <c r="U149" i="7"/>
  <c r="R149" i="7"/>
  <c r="Q149" i="7"/>
  <c r="N149" i="7"/>
  <c r="O149" i="7" s="1"/>
  <c r="AI149" i="7" s="1"/>
  <c r="K149" i="7"/>
  <c r="J149" i="7"/>
  <c r="L149" i="7" s="1"/>
  <c r="G149" i="7"/>
  <c r="F149" i="7"/>
  <c r="B149" i="7"/>
  <c r="I149" i="7" s="1"/>
  <c r="A149" i="7"/>
  <c r="CB148" i="7"/>
  <c r="CA148" i="7"/>
  <c r="BZ148" i="7"/>
  <c r="BX148" i="7" s="1"/>
  <c r="BY148" i="7"/>
  <c r="BW148" i="7"/>
  <c r="BV148" i="7"/>
  <c r="BU148" i="7"/>
  <c r="BS148" i="7"/>
  <c r="BQ148" i="7" s="1"/>
  <c r="BR148" i="7"/>
  <c r="BP148" i="7"/>
  <c r="BO148" i="7"/>
  <c r="BN148" i="7"/>
  <c r="BM148" i="7"/>
  <c r="BL148" i="7"/>
  <c r="BK148" i="7"/>
  <c r="BI148" i="7" s="1"/>
  <c r="BT148" i="7" s="1"/>
  <c r="BJ148" i="7"/>
  <c r="BH148" i="7"/>
  <c r="BD148" i="7"/>
  <c r="BA148" i="7"/>
  <c r="AZ148" i="7"/>
  <c r="AY148" i="7"/>
  <c r="AX148" i="7"/>
  <c r="AW148" i="7"/>
  <c r="AU148" i="7" s="1"/>
  <c r="AV148" i="7"/>
  <c r="BC148" i="7" s="1"/>
  <c r="AT148" i="7"/>
  <c r="AS148" i="7"/>
  <c r="AR148" i="7"/>
  <c r="AQ148" i="7"/>
  <c r="AP148" i="7"/>
  <c r="AJ148" i="7"/>
  <c r="AH148" i="7"/>
  <c r="AG148" i="7"/>
  <c r="AF148" i="7"/>
  <c r="AE148" i="7"/>
  <c r="AC148" i="7"/>
  <c r="AB148" i="7"/>
  <c r="Y148" i="7"/>
  <c r="X148" i="7"/>
  <c r="U148" i="7"/>
  <c r="V148" i="7" s="1"/>
  <c r="AI148" i="7" s="1"/>
  <c r="R148" i="7"/>
  <c r="Q148" i="7"/>
  <c r="O148" i="7"/>
  <c r="N148" i="7"/>
  <c r="J148" i="7"/>
  <c r="I148" i="7"/>
  <c r="H148" i="7"/>
  <c r="G148" i="7"/>
  <c r="F148" i="7"/>
  <c r="B148" i="7"/>
  <c r="A148" i="7"/>
  <c r="CB147" i="7"/>
  <c r="CA147" i="7"/>
  <c r="BZ147" i="7"/>
  <c r="BX147" i="7" s="1"/>
  <c r="BY147" i="7"/>
  <c r="BW147" i="7"/>
  <c r="BS147" i="7"/>
  <c r="BR147" i="7"/>
  <c r="BP147" i="7"/>
  <c r="BO147" i="7"/>
  <c r="BN147" i="7"/>
  <c r="BL147" i="7"/>
  <c r="BK147" i="7"/>
  <c r="BI147" i="7" s="1"/>
  <c r="BJ147" i="7"/>
  <c r="BH147" i="7"/>
  <c r="BA147" i="7"/>
  <c r="AY147" i="7" s="1"/>
  <c r="AZ147" i="7"/>
  <c r="AX147" i="7"/>
  <c r="AW147" i="7"/>
  <c r="AV147" i="7"/>
  <c r="BC147" i="7" s="1"/>
  <c r="BF147" i="7" s="1"/>
  <c r="AT147" i="7"/>
  <c r="AS147" i="7"/>
  <c r="AQ147" i="7" s="1"/>
  <c r="AR147" i="7"/>
  <c r="AP147" i="7"/>
  <c r="AN147" i="7"/>
  <c r="AM147" i="7"/>
  <c r="AO147" i="7" s="1"/>
  <c r="AJ147" i="7"/>
  <c r="AI147" i="7"/>
  <c r="AF147" i="7"/>
  <c r="AE147" i="7"/>
  <c r="AL147" i="7" s="1"/>
  <c r="AB147" i="7"/>
  <c r="Y147" i="7"/>
  <c r="X147" i="7"/>
  <c r="W147" i="7"/>
  <c r="U147" i="7"/>
  <c r="T147" i="7"/>
  <c r="R147" i="7"/>
  <c r="S147" i="7" s="1"/>
  <c r="Q147" i="7"/>
  <c r="P147" i="7"/>
  <c r="N147" i="7"/>
  <c r="L147" i="7"/>
  <c r="K147" i="7"/>
  <c r="J147" i="7"/>
  <c r="F147" i="7"/>
  <c r="G147" i="7" s="1"/>
  <c r="E147" i="7"/>
  <c r="D147" i="7"/>
  <c r="C147" i="7"/>
  <c r="B147" i="7"/>
  <c r="I147" i="7" s="1"/>
  <c r="A147" i="7"/>
  <c r="CB146" i="7"/>
  <c r="CA146" i="7"/>
  <c r="BZ146" i="7"/>
  <c r="BY146" i="7"/>
  <c r="BX146" i="7"/>
  <c r="BW146" i="7"/>
  <c r="BS146" i="7"/>
  <c r="BR146" i="7"/>
  <c r="BQ146" i="7"/>
  <c r="BT146" i="7" s="1"/>
  <c r="BP146" i="7"/>
  <c r="BO146" i="7"/>
  <c r="BN146" i="7"/>
  <c r="BL146" i="7"/>
  <c r="BK146" i="7"/>
  <c r="BJ146" i="7"/>
  <c r="BI146" i="7" s="1"/>
  <c r="BH146" i="7"/>
  <c r="BA146" i="7"/>
  <c r="BD146" i="7" s="1"/>
  <c r="AZ146" i="7"/>
  <c r="AY146" i="7"/>
  <c r="BB146" i="7" s="1"/>
  <c r="BE146" i="7" s="1"/>
  <c r="AX146" i="7"/>
  <c r="AW146" i="7"/>
  <c r="AU146" i="7" s="1"/>
  <c r="AV146" i="7"/>
  <c r="AT146" i="7"/>
  <c r="AS146" i="7"/>
  <c r="AR146" i="7"/>
  <c r="AQ146" i="7"/>
  <c r="AP146" i="7"/>
  <c r="AL146" i="7"/>
  <c r="AJ146" i="7"/>
  <c r="AI146" i="7"/>
  <c r="AH146" i="7"/>
  <c r="AF146" i="7"/>
  <c r="AG146" i="7" s="1"/>
  <c r="AE146" i="7"/>
  <c r="AD146" i="7"/>
  <c r="AK146" i="7" s="1"/>
  <c r="AB146" i="7"/>
  <c r="AA146" i="7"/>
  <c r="Z146" i="7"/>
  <c r="Y146" i="7"/>
  <c r="W146" i="7" s="1"/>
  <c r="X146" i="7"/>
  <c r="U146" i="7"/>
  <c r="R146" i="7"/>
  <c r="P146" i="7" s="1"/>
  <c r="Q146" i="7"/>
  <c r="N146" i="7"/>
  <c r="J146" i="7"/>
  <c r="G146" i="7"/>
  <c r="F146" i="7"/>
  <c r="B146" i="7"/>
  <c r="A146" i="7"/>
  <c r="CB145" i="7"/>
  <c r="CA145" i="7"/>
  <c r="BZ145" i="7"/>
  <c r="BX145" i="7" s="1"/>
  <c r="BY145" i="7"/>
  <c r="BW145" i="7"/>
  <c r="BV145" i="7"/>
  <c r="BU145" i="7"/>
  <c r="BS145" i="7"/>
  <c r="BQ145" i="7" s="1"/>
  <c r="BT145" i="7" s="1"/>
  <c r="BR145" i="7"/>
  <c r="BP145" i="7"/>
  <c r="BO145" i="7"/>
  <c r="BN145" i="7"/>
  <c r="BM145" i="7"/>
  <c r="BL145" i="7"/>
  <c r="BK145" i="7"/>
  <c r="BI145" i="7" s="1"/>
  <c r="BJ145" i="7"/>
  <c r="BH145" i="7"/>
  <c r="BD145" i="7"/>
  <c r="BC145" i="7"/>
  <c r="BF145" i="7" s="1"/>
  <c r="BA145" i="7"/>
  <c r="AY145" i="7" s="1"/>
  <c r="BB145" i="7" s="1"/>
  <c r="AZ145" i="7"/>
  <c r="AX145" i="7"/>
  <c r="AW145" i="7"/>
  <c r="AV145" i="7"/>
  <c r="AU145" i="7"/>
  <c r="AT145" i="7"/>
  <c r="AS145" i="7"/>
  <c r="AQ145" i="7" s="1"/>
  <c r="AR145" i="7"/>
  <c r="AP145" i="7"/>
  <c r="AJ145" i="7"/>
  <c r="AI145" i="7"/>
  <c r="AH145" i="7"/>
  <c r="AG145" i="7"/>
  <c r="AF145" i="7"/>
  <c r="AE145" i="7"/>
  <c r="AL145" i="7" s="1"/>
  <c r="AB145" i="7"/>
  <c r="Y145" i="7"/>
  <c r="X145" i="7"/>
  <c r="W145" i="7"/>
  <c r="U145" i="7"/>
  <c r="T145" i="7"/>
  <c r="R145" i="7"/>
  <c r="S145" i="7" s="1"/>
  <c r="Q145" i="7"/>
  <c r="P145" i="7"/>
  <c r="N145" i="7"/>
  <c r="L145" i="7"/>
  <c r="K145" i="7"/>
  <c r="J145" i="7"/>
  <c r="F145" i="7"/>
  <c r="G145" i="7" s="1"/>
  <c r="E145" i="7"/>
  <c r="D145" i="7"/>
  <c r="C145" i="7"/>
  <c r="B145" i="7"/>
  <c r="I145" i="7" s="1"/>
  <c r="A145" i="7"/>
  <c r="CB144" i="7"/>
  <c r="CA144" i="7"/>
  <c r="BZ144" i="7"/>
  <c r="BY144" i="7"/>
  <c r="BX144" i="7"/>
  <c r="BW144" i="7"/>
  <c r="BS144" i="7"/>
  <c r="BR144" i="7"/>
  <c r="BU144" i="7" s="1"/>
  <c r="BQ144" i="7"/>
  <c r="BT144" i="7" s="1"/>
  <c r="BP144" i="7"/>
  <c r="BO144" i="7"/>
  <c r="BN144" i="7"/>
  <c r="BL144" i="7"/>
  <c r="BK144" i="7"/>
  <c r="BJ144" i="7"/>
  <c r="BI144" i="7"/>
  <c r="BH144" i="7"/>
  <c r="BA144" i="7"/>
  <c r="AZ144" i="7"/>
  <c r="AX144" i="7"/>
  <c r="AW144" i="7"/>
  <c r="AU144" i="7" s="1"/>
  <c r="AV144" i="7"/>
  <c r="AT144" i="7"/>
  <c r="AS144" i="7"/>
  <c r="AQ144" i="7" s="1"/>
  <c r="AR144" i="7"/>
  <c r="AP144" i="7"/>
  <c r="AL144" i="7"/>
  <c r="AJ144" i="7"/>
  <c r="AI144" i="7"/>
  <c r="AF144" i="7"/>
  <c r="AG144" i="7" s="1"/>
  <c r="AE144" i="7"/>
  <c r="AD144" i="7"/>
  <c r="AK144" i="7" s="1"/>
  <c r="AC144" i="7"/>
  <c r="AH144" i="7" s="1"/>
  <c r="AB144" i="7"/>
  <c r="Y144" i="7"/>
  <c r="W144" i="7" s="1"/>
  <c r="X144" i="7"/>
  <c r="V144" i="7"/>
  <c r="U144" i="7"/>
  <c r="T144" i="7"/>
  <c r="R144" i="7"/>
  <c r="P144" i="7" s="1"/>
  <c r="Q144" i="7"/>
  <c r="N144" i="7"/>
  <c r="O144" i="7" s="1"/>
  <c r="S144" i="7" s="1"/>
  <c r="L144" i="7"/>
  <c r="K144" i="7"/>
  <c r="J144" i="7"/>
  <c r="G144" i="7"/>
  <c r="F144" i="7"/>
  <c r="C144" i="7"/>
  <c r="B144" i="7"/>
  <c r="A144" i="7"/>
  <c r="CB143" i="7"/>
  <c r="CA143" i="7"/>
  <c r="BZ143" i="7"/>
  <c r="BY143" i="7"/>
  <c r="BX143" i="7"/>
  <c r="BW143" i="7"/>
  <c r="BV143" i="7"/>
  <c r="BS143" i="7"/>
  <c r="BR143" i="7"/>
  <c r="BQ143" i="7"/>
  <c r="BP143" i="7"/>
  <c r="BO143" i="7"/>
  <c r="BN143" i="7"/>
  <c r="BU143" i="7" s="1"/>
  <c r="BL143" i="7"/>
  <c r="BK143" i="7"/>
  <c r="BJ143" i="7"/>
  <c r="BI143" i="7"/>
  <c r="BH143" i="7"/>
  <c r="BA143" i="7"/>
  <c r="BD143" i="7" s="1"/>
  <c r="AZ143" i="7"/>
  <c r="AY143" i="7"/>
  <c r="BB143" i="7" s="1"/>
  <c r="AX143" i="7"/>
  <c r="AW143" i="7"/>
  <c r="AU143" i="7" s="1"/>
  <c r="AV143" i="7"/>
  <c r="AT143" i="7"/>
  <c r="AS143" i="7"/>
  <c r="AR143" i="7"/>
  <c r="AQ143" i="7"/>
  <c r="AP143" i="7"/>
  <c r="AJ143" i="7"/>
  <c r="AF143" i="7"/>
  <c r="AD143" i="7" s="1"/>
  <c r="AE143" i="7"/>
  <c r="AL143" i="7" s="1"/>
  <c r="AB143" i="7"/>
  <c r="AC143" i="7" s="1"/>
  <c r="AA143" i="7"/>
  <c r="Z143" i="7"/>
  <c r="Y143" i="7"/>
  <c r="X143" i="7"/>
  <c r="U143" i="7"/>
  <c r="V143" i="7" s="1"/>
  <c r="S143" i="7"/>
  <c r="R143" i="7"/>
  <c r="Q143" i="7"/>
  <c r="O143" i="7"/>
  <c r="N143" i="7"/>
  <c r="J143" i="7"/>
  <c r="L143" i="7" s="1"/>
  <c r="F143" i="7"/>
  <c r="G143" i="7" s="1"/>
  <c r="D143" i="7"/>
  <c r="B143" i="7"/>
  <c r="A143" i="7"/>
  <c r="CB142" i="7"/>
  <c r="CA142" i="7"/>
  <c r="BZ142" i="7"/>
  <c r="BY142" i="7"/>
  <c r="BX142" i="7"/>
  <c r="BW142" i="7"/>
  <c r="BV142" i="7"/>
  <c r="BS142" i="7"/>
  <c r="BQ142" i="7" s="1"/>
  <c r="BT142" i="7" s="1"/>
  <c r="BR142" i="7"/>
  <c r="BP142" i="7"/>
  <c r="BO142" i="7"/>
  <c r="BN142" i="7"/>
  <c r="BU142" i="7" s="1"/>
  <c r="BL142" i="7"/>
  <c r="BK142" i="7"/>
  <c r="BI142" i="7" s="1"/>
  <c r="BJ142" i="7"/>
  <c r="BH142" i="7"/>
  <c r="BA142" i="7"/>
  <c r="AZ142" i="7"/>
  <c r="AY142" i="7" s="1"/>
  <c r="AX142" i="7"/>
  <c r="AW142" i="7"/>
  <c r="AV142" i="7"/>
  <c r="AT142" i="7"/>
  <c r="AS142" i="7"/>
  <c r="AR142" i="7"/>
  <c r="AQ142" i="7"/>
  <c r="AP142" i="7"/>
  <c r="AJ142" i="7"/>
  <c r="AI142" i="7"/>
  <c r="AH142" i="7"/>
  <c r="AG142" i="7"/>
  <c r="AF142" i="7"/>
  <c r="AE142" i="7"/>
  <c r="AB142" i="7"/>
  <c r="Y142" i="7"/>
  <c r="X142" i="7"/>
  <c r="U142" i="7"/>
  <c r="R142" i="7"/>
  <c r="Q142" i="7"/>
  <c r="N142" i="7"/>
  <c r="L142" i="7"/>
  <c r="J142" i="7"/>
  <c r="K142" i="7" s="1"/>
  <c r="H142" i="7"/>
  <c r="G142" i="7"/>
  <c r="F142" i="7"/>
  <c r="E142" i="7"/>
  <c r="D142" i="7"/>
  <c r="B142" i="7"/>
  <c r="C142" i="7" s="1"/>
  <c r="A142" i="7"/>
  <c r="CB141" i="7"/>
  <c r="CA141" i="7"/>
  <c r="BZ141" i="7"/>
  <c r="BX141" i="7" s="1"/>
  <c r="BY141" i="7"/>
  <c r="BW141" i="7"/>
  <c r="BS141" i="7"/>
  <c r="BR141" i="7"/>
  <c r="BU141" i="7" s="1"/>
  <c r="BQ141" i="7"/>
  <c r="BT141" i="7" s="1"/>
  <c r="BP141" i="7"/>
  <c r="BO141" i="7"/>
  <c r="BM141" i="7" s="1"/>
  <c r="BN141" i="7"/>
  <c r="BL141" i="7"/>
  <c r="BK141" i="7"/>
  <c r="BJ141" i="7"/>
  <c r="BI141" i="7"/>
  <c r="BH141" i="7"/>
  <c r="BC141" i="7"/>
  <c r="BF141" i="7" s="1"/>
  <c r="BA141" i="7"/>
  <c r="AY141" i="7" s="1"/>
  <c r="AZ141" i="7"/>
  <c r="AX141" i="7"/>
  <c r="AW141" i="7"/>
  <c r="AV141" i="7"/>
  <c r="AU141" i="7" s="1"/>
  <c r="AT141" i="7"/>
  <c r="AS141" i="7"/>
  <c r="AQ141" i="7" s="1"/>
  <c r="AR141" i="7"/>
  <c r="AP141" i="7"/>
  <c r="AJ141" i="7"/>
  <c r="AF141" i="7"/>
  <c r="AE141" i="7"/>
  <c r="AC141" i="7"/>
  <c r="AB141" i="7"/>
  <c r="Y141" i="7"/>
  <c r="X141" i="7"/>
  <c r="AL141" i="7" s="1"/>
  <c r="W141" i="7"/>
  <c r="U141" i="7"/>
  <c r="V141" i="7" s="1"/>
  <c r="R141" i="7"/>
  <c r="Q141" i="7"/>
  <c r="P141" i="7"/>
  <c r="O141" i="7"/>
  <c r="N141" i="7"/>
  <c r="L141" i="7"/>
  <c r="K141" i="7"/>
  <c r="J141" i="7"/>
  <c r="I141" i="7"/>
  <c r="F141" i="7"/>
  <c r="G141" i="7" s="1"/>
  <c r="E141" i="7"/>
  <c r="D141" i="7"/>
  <c r="C141" i="7"/>
  <c r="B141" i="7"/>
  <c r="H141" i="7" s="1"/>
  <c r="A141" i="7"/>
  <c r="CB140" i="7"/>
  <c r="CA140" i="7"/>
  <c r="BZ140" i="7"/>
  <c r="BY140" i="7"/>
  <c r="BX140" i="7"/>
  <c r="BW140" i="7"/>
  <c r="BS140" i="7"/>
  <c r="BR140" i="7"/>
  <c r="BU140" i="7" s="1"/>
  <c r="BP140" i="7"/>
  <c r="BO140" i="7"/>
  <c r="BM140" i="7" s="1"/>
  <c r="BN140" i="7"/>
  <c r="BL140" i="7"/>
  <c r="BK140" i="7"/>
  <c r="BI140" i="7" s="1"/>
  <c r="BJ140" i="7"/>
  <c r="BH140" i="7"/>
  <c r="BA140" i="7"/>
  <c r="AZ140" i="7"/>
  <c r="AX140" i="7"/>
  <c r="AW140" i="7"/>
  <c r="AV140" i="7"/>
  <c r="AU140" i="7"/>
  <c r="AT140" i="7"/>
  <c r="AS140" i="7"/>
  <c r="AR140" i="7"/>
  <c r="BC140" i="7" s="1"/>
  <c r="BF140" i="7" s="1"/>
  <c r="AP140" i="7"/>
  <c r="AM140" i="7"/>
  <c r="AL140" i="7"/>
  <c r="AK140" i="7"/>
  <c r="AJ140" i="7"/>
  <c r="AF140" i="7"/>
  <c r="AE140" i="7"/>
  <c r="AD140" i="7"/>
  <c r="AB140" i="7"/>
  <c r="AC140" i="7" s="1"/>
  <c r="Y140" i="7"/>
  <c r="X140" i="7"/>
  <c r="W140" i="7"/>
  <c r="U140" i="7"/>
  <c r="V140" i="7" s="1"/>
  <c r="T140" i="7"/>
  <c r="S140" i="7"/>
  <c r="R140" i="7"/>
  <c r="P140" i="7" s="1"/>
  <c r="Q140" i="7"/>
  <c r="L140" i="7"/>
  <c r="K140" i="7"/>
  <c r="J140" i="7"/>
  <c r="F140" i="7"/>
  <c r="G140" i="7" s="1"/>
  <c r="D140" i="7"/>
  <c r="C140" i="7"/>
  <c r="B140" i="7"/>
  <c r="A140" i="7"/>
  <c r="CB139" i="7"/>
  <c r="CA139" i="7"/>
  <c r="BZ139" i="7"/>
  <c r="BY139" i="7"/>
  <c r="BX139" i="7"/>
  <c r="BW139" i="7"/>
  <c r="BS139" i="7"/>
  <c r="BQ139" i="7" s="1"/>
  <c r="BR139" i="7"/>
  <c r="BP139" i="7"/>
  <c r="BO139" i="7"/>
  <c r="BV139" i="7" s="1"/>
  <c r="BN139" i="7"/>
  <c r="BU139" i="7" s="1"/>
  <c r="BM139" i="7"/>
  <c r="BL139" i="7"/>
  <c r="BK139" i="7"/>
  <c r="BI139" i="7" s="1"/>
  <c r="BJ139" i="7"/>
  <c r="BH139" i="7"/>
  <c r="BA139" i="7"/>
  <c r="AZ139" i="7"/>
  <c r="AY139" i="7"/>
  <c r="AX139" i="7"/>
  <c r="AW139" i="7"/>
  <c r="AV139" i="7"/>
  <c r="AT139" i="7"/>
  <c r="AS139" i="7"/>
  <c r="AR139" i="7"/>
  <c r="AP139" i="7"/>
  <c r="AJ139" i="7"/>
  <c r="AF139" i="7"/>
  <c r="AM139" i="7" s="1"/>
  <c r="AE139" i="7"/>
  <c r="AB139" i="7"/>
  <c r="AC139" i="7" s="1"/>
  <c r="AH139" i="7" s="1"/>
  <c r="Y139" i="7"/>
  <c r="W139" i="7" s="1"/>
  <c r="X139" i="7"/>
  <c r="AL139" i="7" s="1"/>
  <c r="V139" i="7"/>
  <c r="U139" i="7"/>
  <c r="T139" i="7"/>
  <c r="S139" i="7"/>
  <c r="R139" i="7"/>
  <c r="Q139" i="7"/>
  <c r="N139" i="7"/>
  <c r="O139" i="7" s="1"/>
  <c r="AI139" i="7" s="1"/>
  <c r="K139" i="7"/>
  <c r="J139" i="7"/>
  <c r="L139" i="7" s="1"/>
  <c r="I139" i="7"/>
  <c r="H139" i="7"/>
  <c r="G139" i="7"/>
  <c r="F139" i="7"/>
  <c r="B139" i="7"/>
  <c r="A139" i="7"/>
  <c r="CB138" i="7"/>
  <c r="CA138" i="7"/>
  <c r="BZ138" i="7"/>
  <c r="BX138" i="7" s="1"/>
  <c r="BY138" i="7"/>
  <c r="BW138" i="7"/>
  <c r="BU138" i="7"/>
  <c r="BS138" i="7"/>
  <c r="BQ138" i="7" s="1"/>
  <c r="BR138" i="7"/>
  <c r="BP138" i="7"/>
  <c r="BO138" i="7"/>
  <c r="BN138" i="7"/>
  <c r="BL138" i="7"/>
  <c r="BK138" i="7"/>
  <c r="BI138" i="7" s="1"/>
  <c r="BJ138" i="7"/>
  <c r="BH138" i="7"/>
  <c r="BF138" i="7"/>
  <c r="BA138" i="7"/>
  <c r="AZ138" i="7"/>
  <c r="AY138" i="7"/>
  <c r="AX138" i="7"/>
  <c r="AW138" i="7"/>
  <c r="AV138" i="7"/>
  <c r="BC138" i="7" s="1"/>
  <c r="AT138" i="7"/>
  <c r="AS138" i="7"/>
  <c r="AR138" i="7"/>
  <c r="AQ138" i="7"/>
  <c r="AP138" i="7"/>
  <c r="AJ138" i="7"/>
  <c r="AF138" i="7"/>
  <c r="AE138" i="7"/>
  <c r="AL138" i="7" s="1"/>
  <c r="AC138" i="7"/>
  <c r="AB138" i="7"/>
  <c r="Y138" i="7"/>
  <c r="X138" i="7"/>
  <c r="U138" i="7"/>
  <c r="V138" i="7" s="1"/>
  <c r="R138" i="7"/>
  <c r="T138" i="7" s="1"/>
  <c r="Q138" i="7"/>
  <c r="O138" i="7"/>
  <c r="N138" i="7"/>
  <c r="J138" i="7"/>
  <c r="I138" i="7"/>
  <c r="H138" i="7"/>
  <c r="G138" i="7"/>
  <c r="F138" i="7"/>
  <c r="B138" i="7"/>
  <c r="A138" i="7"/>
  <c r="CB137" i="7"/>
  <c r="CA137" i="7"/>
  <c r="BZ137" i="7"/>
  <c r="BX137" i="7" s="1"/>
  <c r="BY137" i="7"/>
  <c r="BW137" i="7"/>
  <c r="BV137" i="7"/>
  <c r="BS137" i="7"/>
  <c r="BQ137" i="7" s="1"/>
  <c r="BR137" i="7"/>
  <c r="BP137" i="7"/>
  <c r="BO137" i="7"/>
  <c r="BN137" i="7"/>
  <c r="BM137" i="7" s="1"/>
  <c r="BL137" i="7"/>
  <c r="BK137" i="7"/>
  <c r="BI137" i="7" s="1"/>
  <c r="BJ137" i="7"/>
  <c r="BH137" i="7"/>
  <c r="BD137" i="7"/>
  <c r="BA137" i="7"/>
  <c r="AY137" i="7" s="1"/>
  <c r="BB137" i="7" s="1"/>
  <c r="AZ137" i="7"/>
  <c r="AX137" i="7"/>
  <c r="AW137" i="7"/>
  <c r="AV137" i="7"/>
  <c r="BC137" i="7" s="1"/>
  <c r="AU137" i="7"/>
  <c r="AT137" i="7"/>
  <c r="AS137" i="7"/>
  <c r="AQ137" i="7" s="1"/>
  <c r="AR137" i="7"/>
  <c r="AP137" i="7"/>
  <c r="AM137" i="7"/>
  <c r="AJ137" i="7"/>
  <c r="AF137" i="7"/>
  <c r="AE137" i="7"/>
  <c r="AB137" i="7"/>
  <c r="AC137" i="7" s="1"/>
  <c r="Y137" i="7"/>
  <c r="X137" i="7"/>
  <c r="W137" i="7"/>
  <c r="V137" i="7"/>
  <c r="U137" i="7"/>
  <c r="R137" i="7"/>
  <c r="Q137" i="7"/>
  <c r="P137" i="7"/>
  <c r="O137" i="7"/>
  <c r="AI137" i="7" s="1"/>
  <c r="N137" i="7"/>
  <c r="L137" i="7"/>
  <c r="K137" i="7"/>
  <c r="J137" i="7"/>
  <c r="I137" i="7"/>
  <c r="H137" i="7"/>
  <c r="F137" i="7"/>
  <c r="G137" i="7" s="1"/>
  <c r="E137" i="7"/>
  <c r="D137" i="7"/>
  <c r="C137" i="7"/>
  <c r="B137" i="7"/>
  <c r="A137" i="7"/>
  <c r="CB136" i="7"/>
  <c r="CA136" i="7"/>
  <c r="BZ136" i="7"/>
  <c r="BX136" i="7" s="1"/>
  <c r="BY136" i="7"/>
  <c r="BW136" i="7"/>
  <c r="BU136" i="7"/>
  <c r="BS136" i="7"/>
  <c r="BR136" i="7"/>
  <c r="BP136" i="7"/>
  <c r="BO136" i="7"/>
  <c r="BN136" i="7"/>
  <c r="BM136" i="7"/>
  <c r="BL136" i="7"/>
  <c r="BK136" i="7"/>
  <c r="BI136" i="7" s="1"/>
  <c r="BJ136" i="7"/>
  <c r="BH136" i="7"/>
  <c r="BD136" i="7"/>
  <c r="BC136" i="7"/>
  <c r="BA136" i="7"/>
  <c r="AY136" i="7" s="1"/>
  <c r="AZ136" i="7"/>
  <c r="AX136" i="7"/>
  <c r="AW136" i="7"/>
  <c r="AV136" i="7"/>
  <c r="AU136" i="7"/>
  <c r="AT136" i="7"/>
  <c r="AS136" i="7"/>
  <c r="AQ136" i="7" s="1"/>
  <c r="BB136" i="7" s="1"/>
  <c r="AR136" i="7"/>
  <c r="AP136" i="7"/>
  <c r="AJ136" i="7"/>
  <c r="AG136" i="7"/>
  <c r="AF136" i="7"/>
  <c r="AH136" i="7" s="1"/>
  <c r="AE136" i="7"/>
  <c r="AL136" i="7" s="1"/>
  <c r="AC136" i="7"/>
  <c r="AB136" i="7"/>
  <c r="Y136" i="7"/>
  <c r="X136" i="7"/>
  <c r="V136" i="7"/>
  <c r="U136" i="7"/>
  <c r="R136" i="7"/>
  <c r="Q136" i="7"/>
  <c r="P136" i="7"/>
  <c r="O136" i="7"/>
  <c r="N136" i="7"/>
  <c r="L136" i="7"/>
  <c r="J136" i="7"/>
  <c r="K136" i="7" s="1"/>
  <c r="H136" i="7"/>
  <c r="G136" i="7"/>
  <c r="F136" i="7"/>
  <c r="E136" i="7"/>
  <c r="D136" i="7"/>
  <c r="B136" i="7"/>
  <c r="C136" i="7" s="1"/>
  <c r="A136" i="7"/>
  <c r="CB135" i="7"/>
  <c r="CA135" i="7"/>
  <c r="BZ135" i="7"/>
  <c r="BX135" i="7" s="1"/>
  <c r="BY135" i="7"/>
  <c r="BW135" i="7"/>
  <c r="BS135" i="7"/>
  <c r="BR135" i="7"/>
  <c r="BP135" i="7"/>
  <c r="BO135" i="7"/>
  <c r="BM135" i="7" s="1"/>
  <c r="BN135" i="7"/>
  <c r="BL135" i="7"/>
  <c r="BK135" i="7"/>
  <c r="BI135" i="7" s="1"/>
  <c r="BJ135" i="7"/>
  <c r="BH135" i="7"/>
  <c r="BD135" i="7"/>
  <c r="BA135" i="7"/>
  <c r="AY135" i="7" s="1"/>
  <c r="BB135" i="7" s="1"/>
  <c r="AZ135" i="7"/>
  <c r="AX135" i="7"/>
  <c r="AW135" i="7"/>
  <c r="AV135" i="7"/>
  <c r="BC135" i="7" s="1"/>
  <c r="AU135" i="7"/>
  <c r="AT135" i="7"/>
  <c r="AS135" i="7"/>
  <c r="AQ135" i="7" s="1"/>
  <c r="AR135" i="7"/>
  <c r="AP135" i="7"/>
  <c r="AM135" i="7"/>
  <c r="AO135" i="7" s="1"/>
  <c r="AJ135" i="7"/>
  <c r="AF135" i="7"/>
  <c r="AE135" i="7"/>
  <c r="AD135" i="7"/>
  <c r="AC135" i="7"/>
  <c r="AB135" i="7"/>
  <c r="Y135" i="7"/>
  <c r="X135" i="7"/>
  <c r="U135" i="7"/>
  <c r="V135" i="7" s="1"/>
  <c r="R135" i="7"/>
  <c r="Q135" i="7"/>
  <c r="P135" i="7"/>
  <c r="N135" i="7"/>
  <c r="O135" i="7" s="1"/>
  <c r="L135" i="7"/>
  <c r="K135" i="7"/>
  <c r="J135" i="7"/>
  <c r="I135" i="7"/>
  <c r="F135" i="7"/>
  <c r="G135" i="7" s="1"/>
  <c r="E135" i="7"/>
  <c r="D135" i="7"/>
  <c r="C135" i="7"/>
  <c r="B135" i="7"/>
  <c r="H135" i="7" s="1"/>
  <c r="A135" i="7"/>
  <c r="CB134" i="7"/>
  <c r="CA134" i="7"/>
  <c r="BZ134" i="7"/>
  <c r="BY134" i="7"/>
  <c r="BX134" i="7"/>
  <c r="BW134" i="7"/>
  <c r="BS134" i="7"/>
  <c r="BR134" i="7"/>
  <c r="BU134" i="7" s="1"/>
  <c r="BQ134" i="7"/>
  <c r="BT134" i="7" s="1"/>
  <c r="BP134" i="7"/>
  <c r="BO134" i="7"/>
  <c r="BM134" i="7" s="1"/>
  <c r="BN134" i="7"/>
  <c r="BL134" i="7"/>
  <c r="BK134" i="7"/>
  <c r="BJ134" i="7"/>
  <c r="BI134" i="7"/>
  <c r="BH134" i="7"/>
  <c r="BA134" i="7"/>
  <c r="AZ134" i="7"/>
  <c r="BC134" i="7" s="1"/>
  <c r="BF134" i="7" s="1"/>
  <c r="AX134" i="7"/>
  <c r="AW134" i="7"/>
  <c r="AV134" i="7"/>
  <c r="AU134" i="7"/>
  <c r="AT134" i="7"/>
  <c r="AS134" i="7"/>
  <c r="AQ134" i="7" s="1"/>
  <c r="AR134" i="7"/>
  <c r="AP134" i="7"/>
  <c r="AJ134" i="7"/>
  <c r="AI134" i="7"/>
  <c r="AH134" i="7"/>
  <c r="AG134" i="7"/>
  <c r="AF134" i="7"/>
  <c r="AE134" i="7"/>
  <c r="AL134" i="7" s="1"/>
  <c r="AB134" i="7"/>
  <c r="AA134" i="7"/>
  <c r="Z134" i="7"/>
  <c r="Y134" i="7"/>
  <c r="W134" i="7" s="1"/>
  <c r="X134" i="7"/>
  <c r="U134" i="7"/>
  <c r="R134" i="7"/>
  <c r="P134" i="7" s="1"/>
  <c r="Q134" i="7"/>
  <c r="J134" i="7"/>
  <c r="I134" i="7"/>
  <c r="H134" i="7"/>
  <c r="G134" i="7"/>
  <c r="F134" i="7"/>
  <c r="B134" i="7"/>
  <c r="A134" i="7"/>
  <c r="CB133" i="7"/>
  <c r="CA133" i="7"/>
  <c r="BZ133" i="7"/>
  <c r="BX133" i="7" s="1"/>
  <c r="BY133" i="7"/>
  <c r="BW133" i="7"/>
  <c r="BS133" i="7"/>
  <c r="BR133" i="7"/>
  <c r="BP133" i="7"/>
  <c r="BO133" i="7"/>
  <c r="BN133" i="7"/>
  <c r="BL133" i="7"/>
  <c r="BK133" i="7"/>
  <c r="BI133" i="7" s="1"/>
  <c r="BJ133" i="7"/>
  <c r="BH133" i="7"/>
  <c r="BA133" i="7"/>
  <c r="AY133" i="7" s="1"/>
  <c r="AZ133" i="7"/>
  <c r="AX133" i="7"/>
  <c r="AW133" i="7"/>
  <c r="AV133" i="7"/>
  <c r="BC133" i="7" s="1"/>
  <c r="BF133" i="7" s="1"/>
  <c r="AT133" i="7"/>
  <c r="AS133" i="7"/>
  <c r="AQ133" i="7" s="1"/>
  <c r="AR133" i="7"/>
  <c r="AP133" i="7"/>
  <c r="AN133" i="7"/>
  <c r="AM133" i="7"/>
  <c r="AO133" i="7" s="1"/>
  <c r="AJ133" i="7"/>
  <c r="AI133" i="7"/>
  <c r="AF133" i="7"/>
  <c r="AE133" i="7"/>
  <c r="AL133" i="7" s="1"/>
  <c r="AB133" i="7"/>
  <c r="Y133" i="7"/>
  <c r="X133" i="7"/>
  <c r="W133" i="7"/>
  <c r="U133" i="7"/>
  <c r="T133" i="7"/>
  <c r="R133" i="7"/>
  <c r="S133" i="7" s="1"/>
  <c r="Q133" i="7"/>
  <c r="P133" i="7"/>
  <c r="N133" i="7"/>
  <c r="L133" i="7"/>
  <c r="K133" i="7"/>
  <c r="J133" i="7"/>
  <c r="F133" i="7"/>
  <c r="G133" i="7" s="1"/>
  <c r="E133" i="7"/>
  <c r="D133" i="7"/>
  <c r="C133" i="7"/>
  <c r="B133" i="7"/>
  <c r="I133" i="7" s="1"/>
  <c r="A133" i="7"/>
  <c r="CB132" i="7"/>
  <c r="CA132" i="7"/>
  <c r="BZ132" i="7"/>
  <c r="BY132" i="7"/>
  <c r="BX132" i="7"/>
  <c r="BW132" i="7"/>
  <c r="BS132" i="7"/>
  <c r="BR132" i="7"/>
  <c r="BQ132" i="7"/>
  <c r="BP132" i="7"/>
  <c r="BO132" i="7"/>
  <c r="BN132" i="7"/>
  <c r="BL132" i="7"/>
  <c r="BK132" i="7"/>
  <c r="BJ132" i="7"/>
  <c r="BI132" i="7" s="1"/>
  <c r="BH132" i="7"/>
  <c r="BA132" i="7"/>
  <c r="BD132" i="7" s="1"/>
  <c r="AZ132" i="7"/>
  <c r="AY132" i="7"/>
  <c r="BB132" i="7" s="1"/>
  <c r="AX132" i="7"/>
  <c r="AW132" i="7"/>
  <c r="AU132" i="7" s="1"/>
  <c r="AV132" i="7"/>
  <c r="AT132" i="7"/>
  <c r="AS132" i="7"/>
  <c r="AR132" i="7"/>
  <c r="AQ132" i="7"/>
  <c r="AP132" i="7"/>
  <c r="AL132" i="7"/>
  <c r="AJ132" i="7"/>
  <c r="AH132" i="7"/>
  <c r="AF132" i="7"/>
  <c r="AG132" i="7" s="1"/>
  <c r="AE132" i="7"/>
  <c r="AD132" i="7"/>
  <c r="AB132" i="7"/>
  <c r="AA132" i="7"/>
  <c r="Z132" i="7"/>
  <c r="Y132" i="7"/>
  <c r="W132" i="7" s="1"/>
  <c r="X132" i="7"/>
  <c r="U132" i="7"/>
  <c r="V132" i="7" s="1"/>
  <c r="AI132" i="7" s="1"/>
  <c r="T132" i="7"/>
  <c r="R132" i="7"/>
  <c r="P132" i="7" s="1"/>
  <c r="Q132" i="7"/>
  <c r="O132" i="7"/>
  <c r="N132" i="7"/>
  <c r="J132" i="7"/>
  <c r="I132" i="7"/>
  <c r="F132" i="7"/>
  <c r="G132" i="7" s="1"/>
  <c r="D132" i="7"/>
  <c r="C132" i="7"/>
  <c r="B132" i="7"/>
  <c r="A132" i="7"/>
  <c r="CB131" i="7"/>
  <c r="CA131" i="7"/>
  <c r="BZ131" i="7"/>
  <c r="BY131" i="7"/>
  <c r="BX131" i="7"/>
  <c r="BW131" i="7"/>
  <c r="BS131" i="7"/>
  <c r="BQ131" i="7" s="1"/>
  <c r="BR131" i="7"/>
  <c r="BP131" i="7"/>
  <c r="BO131" i="7"/>
  <c r="BV131" i="7" s="1"/>
  <c r="BN131" i="7"/>
  <c r="BU131" i="7" s="1"/>
  <c r="BM131" i="7"/>
  <c r="BL131" i="7"/>
  <c r="BK131" i="7"/>
  <c r="BI131" i="7" s="1"/>
  <c r="BJ131" i="7"/>
  <c r="BH131" i="7"/>
  <c r="BA131" i="7"/>
  <c r="AZ131" i="7"/>
  <c r="AY131" i="7"/>
  <c r="AX131" i="7"/>
  <c r="AW131" i="7"/>
  <c r="AV131" i="7"/>
  <c r="AT131" i="7"/>
  <c r="AS131" i="7"/>
  <c r="AR131" i="7"/>
  <c r="AP131" i="7"/>
  <c r="AF131" i="7"/>
  <c r="AE131" i="7"/>
  <c r="AL131" i="7" s="1"/>
  <c r="AC131" i="7"/>
  <c r="AB131" i="7"/>
  <c r="Y131" i="7"/>
  <c r="X131" i="7"/>
  <c r="W131" i="7"/>
  <c r="V131" i="7"/>
  <c r="U131" i="7"/>
  <c r="R131" i="7"/>
  <c r="Q131" i="7"/>
  <c r="P131" i="7" s="1"/>
  <c r="N131" i="7"/>
  <c r="O131" i="7" s="1"/>
  <c r="L131" i="7"/>
  <c r="J131" i="7"/>
  <c r="K131" i="7" s="1"/>
  <c r="H131" i="7"/>
  <c r="F131" i="7"/>
  <c r="G131" i="7" s="1"/>
  <c r="E131" i="7"/>
  <c r="D131" i="7"/>
  <c r="B131" i="7"/>
  <c r="C131" i="7" s="1"/>
  <c r="A131" i="7"/>
  <c r="CB130" i="7"/>
  <c r="CA130" i="7"/>
  <c r="BZ130" i="7"/>
  <c r="BX130" i="7" s="1"/>
  <c r="BY130" i="7"/>
  <c r="BW130" i="7"/>
  <c r="BS130" i="7"/>
  <c r="BV130" i="7" s="1"/>
  <c r="BR130" i="7"/>
  <c r="BP130" i="7"/>
  <c r="BO130" i="7"/>
  <c r="BM130" i="7" s="1"/>
  <c r="BN130" i="7"/>
  <c r="BL130" i="7"/>
  <c r="BK130" i="7"/>
  <c r="BJ130" i="7"/>
  <c r="BI130" i="7" s="1"/>
  <c r="BH130" i="7"/>
  <c r="BD130" i="7"/>
  <c r="BA130" i="7"/>
  <c r="AZ130" i="7"/>
  <c r="AX130" i="7"/>
  <c r="AW130" i="7"/>
  <c r="AV130" i="7"/>
  <c r="AU130" i="7" s="1"/>
  <c r="AT130" i="7"/>
  <c r="AS130" i="7"/>
  <c r="AR130" i="7"/>
  <c r="AP130" i="7"/>
  <c r="AM130" i="7"/>
  <c r="AO130" i="7" s="1"/>
  <c r="AL130" i="7"/>
  <c r="AK130" i="7"/>
  <c r="AJ130" i="7"/>
  <c r="AF130" i="7"/>
  <c r="AE130" i="7"/>
  <c r="AD130" i="7"/>
  <c r="AB130" i="7"/>
  <c r="AA130" i="7"/>
  <c r="Y130" i="7"/>
  <c r="Z130" i="7" s="1"/>
  <c r="X130" i="7"/>
  <c r="W130" i="7"/>
  <c r="U130" i="7"/>
  <c r="V130" i="7" s="1"/>
  <c r="R130" i="7"/>
  <c r="P130" i="7" s="1"/>
  <c r="Q130" i="7"/>
  <c r="N130" i="7"/>
  <c r="O130" i="7" s="1"/>
  <c r="J130" i="7"/>
  <c r="L130" i="7" s="1"/>
  <c r="F130" i="7"/>
  <c r="G130" i="7" s="1"/>
  <c r="B130" i="7"/>
  <c r="A130" i="7"/>
  <c r="CB129" i="7"/>
  <c r="CA129" i="7"/>
  <c r="BZ129" i="7"/>
  <c r="BX129" i="7" s="1"/>
  <c r="BY129" i="7"/>
  <c r="BW129" i="7"/>
  <c r="BS129" i="7"/>
  <c r="BR129" i="7"/>
  <c r="BQ129" i="7"/>
  <c r="BP129" i="7"/>
  <c r="BO129" i="7"/>
  <c r="BM129" i="7" s="1"/>
  <c r="BN129" i="7"/>
  <c r="BL129" i="7"/>
  <c r="BK129" i="7"/>
  <c r="BJ129" i="7"/>
  <c r="BI129" i="7"/>
  <c r="BH129" i="7"/>
  <c r="BA129" i="7"/>
  <c r="AZ129" i="7"/>
  <c r="AX129" i="7"/>
  <c r="AW129" i="7"/>
  <c r="AU129" i="7" s="1"/>
  <c r="AV129" i="7"/>
  <c r="AT129" i="7"/>
  <c r="AS129" i="7"/>
  <c r="AQ129" i="7" s="1"/>
  <c r="AR129" i="7"/>
  <c r="AP129" i="7"/>
  <c r="AJ129" i="7"/>
  <c r="AI129" i="7"/>
  <c r="AH129" i="7"/>
  <c r="AF129" i="7"/>
  <c r="AG129" i="7" s="1"/>
  <c r="AE129" i="7"/>
  <c r="AD129" i="7"/>
  <c r="AB129" i="7"/>
  <c r="Y129" i="7"/>
  <c r="X129" i="7"/>
  <c r="U129" i="7"/>
  <c r="V129" i="7" s="1"/>
  <c r="T129" i="7"/>
  <c r="R129" i="7"/>
  <c r="Q129" i="7"/>
  <c r="AL129" i="7" s="1"/>
  <c r="O129" i="7"/>
  <c r="N129" i="7"/>
  <c r="L129" i="7"/>
  <c r="J129" i="7"/>
  <c r="K129" i="7" s="1"/>
  <c r="F129" i="7"/>
  <c r="G129" i="7" s="1"/>
  <c r="D129" i="7"/>
  <c r="C129" i="7"/>
  <c r="B129" i="7"/>
  <c r="A129" i="7"/>
  <c r="CB128" i="7"/>
  <c r="CA128" i="7"/>
  <c r="BZ128" i="7"/>
  <c r="BY128" i="7"/>
  <c r="BX128" i="7"/>
  <c r="BW128" i="7"/>
  <c r="BT128" i="7"/>
  <c r="BS128" i="7"/>
  <c r="BQ128" i="7" s="1"/>
  <c r="BR128" i="7"/>
  <c r="BP128" i="7"/>
  <c r="BO128" i="7"/>
  <c r="BV128" i="7" s="1"/>
  <c r="BN128" i="7"/>
  <c r="BU128" i="7" s="1"/>
  <c r="BL128" i="7"/>
  <c r="BK128" i="7"/>
  <c r="BI128" i="7" s="1"/>
  <c r="BJ128" i="7"/>
  <c r="BH128" i="7"/>
  <c r="BD128" i="7"/>
  <c r="BG128" i="7" s="1"/>
  <c r="BA128" i="7"/>
  <c r="AZ128" i="7"/>
  <c r="AY128" i="7" s="1"/>
  <c r="AX128" i="7"/>
  <c r="AW128" i="7"/>
  <c r="AV128" i="7"/>
  <c r="AT128" i="7"/>
  <c r="AS128" i="7"/>
  <c r="AR128" i="7"/>
  <c r="AQ128" i="7"/>
  <c r="AP128" i="7"/>
  <c r="AJ128" i="7"/>
  <c r="AI128" i="7"/>
  <c r="AH128" i="7"/>
  <c r="AF128" i="7"/>
  <c r="AE128" i="7"/>
  <c r="AB128" i="7"/>
  <c r="Z128" i="7"/>
  <c r="Y128" i="7"/>
  <c r="X128" i="7"/>
  <c r="AL128" i="7" s="1"/>
  <c r="U128" i="7"/>
  <c r="R128" i="7"/>
  <c r="Q128" i="7"/>
  <c r="P128" i="7"/>
  <c r="N128" i="7"/>
  <c r="L128" i="7"/>
  <c r="J128" i="7"/>
  <c r="K128" i="7" s="1"/>
  <c r="G128" i="7"/>
  <c r="F128" i="7"/>
  <c r="B128" i="7"/>
  <c r="A128" i="7"/>
  <c r="CB127" i="7"/>
  <c r="CA127" i="7"/>
  <c r="BZ127" i="7"/>
  <c r="BX127" i="7" s="1"/>
  <c r="BY127" i="7"/>
  <c r="BW127" i="7"/>
  <c r="BS127" i="7"/>
  <c r="BV127" i="7" s="1"/>
  <c r="BR127" i="7"/>
  <c r="BQ127" i="7"/>
  <c r="BT127" i="7" s="1"/>
  <c r="BP127" i="7"/>
  <c r="BO127" i="7"/>
  <c r="BN127" i="7"/>
  <c r="BL127" i="7"/>
  <c r="BK127" i="7"/>
  <c r="BI127" i="7" s="1"/>
  <c r="BJ127" i="7"/>
  <c r="BH127" i="7"/>
  <c r="BA127" i="7"/>
  <c r="AZ127" i="7"/>
  <c r="AX127" i="7"/>
  <c r="AW127" i="7"/>
  <c r="AV127" i="7"/>
  <c r="AU127" i="7"/>
  <c r="AT127" i="7"/>
  <c r="AS127" i="7"/>
  <c r="AQ127" i="7" s="1"/>
  <c r="AR127" i="7"/>
  <c r="BC127" i="7" s="1"/>
  <c r="BF127" i="7" s="1"/>
  <c r="AP127" i="7"/>
  <c r="AJ127" i="7"/>
  <c r="AI127" i="7"/>
  <c r="AF127" i="7"/>
  <c r="AG127" i="7" s="1"/>
  <c r="AE127" i="7"/>
  <c r="AL127" i="7" s="1"/>
  <c r="AB127" i="7"/>
  <c r="Y127" i="7"/>
  <c r="Z127" i="7" s="1"/>
  <c r="X127" i="7"/>
  <c r="W127" i="7"/>
  <c r="U127" i="7"/>
  <c r="T127" i="7"/>
  <c r="S127" i="7"/>
  <c r="R127" i="7"/>
  <c r="Q127" i="7"/>
  <c r="P127" i="7"/>
  <c r="N127" i="7"/>
  <c r="L127" i="7"/>
  <c r="K127" i="7"/>
  <c r="J127" i="7"/>
  <c r="I127" i="7"/>
  <c r="F127" i="7"/>
  <c r="G127" i="7" s="1"/>
  <c r="B127" i="7"/>
  <c r="A127" i="7"/>
  <c r="CB126" i="7"/>
  <c r="CA126" i="7"/>
  <c r="BZ126" i="7"/>
  <c r="BY126" i="7"/>
  <c r="BX126" i="7"/>
  <c r="BW126" i="7"/>
  <c r="BV126" i="7"/>
  <c r="BS126" i="7"/>
  <c r="BQ126" i="7" s="1"/>
  <c r="BR126" i="7"/>
  <c r="BP126" i="7"/>
  <c r="BO126" i="7"/>
  <c r="BN126" i="7"/>
  <c r="BM126" i="7" s="1"/>
  <c r="BL126" i="7"/>
  <c r="BK126" i="7"/>
  <c r="BJ126" i="7"/>
  <c r="BH126" i="7"/>
  <c r="BD126" i="7"/>
  <c r="BA126" i="7"/>
  <c r="AZ126" i="7"/>
  <c r="AY126" i="7" s="1"/>
  <c r="AX126" i="7"/>
  <c r="AW126" i="7"/>
  <c r="AV126" i="7"/>
  <c r="AT126" i="7"/>
  <c r="AS126" i="7"/>
  <c r="AR126" i="7"/>
  <c r="AQ126" i="7"/>
  <c r="AP126" i="7"/>
  <c r="AJ126" i="7"/>
  <c r="AI126" i="7"/>
  <c r="AH126" i="7"/>
  <c r="AG126" i="7"/>
  <c r="AF126" i="7"/>
  <c r="AE126" i="7"/>
  <c r="AD126" i="7"/>
  <c r="AB126" i="7"/>
  <c r="AA126" i="7"/>
  <c r="Z126" i="7"/>
  <c r="Y126" i="7"/>
  <c r="X126" i="7"/>
  <c r="AL126" i="7" s="1"/>
  <c r="U126" i="7"/>
  <c r="R126" i="7"/>
  <c r="Q126" i="7"/>
  <c r="P126" i="7"/>
  <c r="N126" i="7"/>
  <c r="L126" i="7"/>
  <c r="J126" i="7"/>
  <c r="K126" i="7" s="1"/>
  <c r="F126" i="7"/>
  <c r="G126" i="7" s="1"/>
  <c r="E126" i="7"/>
  <c r="D126" i="7"/>
  <c r="B126" i="7"/>
  <c r="A126" i="7"/>
  <c r="CB125" i="7"/>
  <c r="CA125" i="7"/>
  <c r="BZ125" i="7"/>
  <c r="BY125" i="7"/>
  <c r="BX125" i="7" s="1"/>
  <c r="BW125" i="7"/>
  <c r="BS125" i="7"/>
  <c r="BR125" i="7"/>
  <c r="BQ125" i="7"/>
  <c r="BP125" i="7"/>
  <c r="BO125" i="7"/>
  <c r="BM125" i="7" s="1"/>
  <c r="BN125" i="7"/>
  <c r="BL125" i="7"/>
  <c r="BK125" i="7"/>
  <c r="BJ125" i="7"/>
  <c r="BH125" i="7"/>
  <c r="BD125" i="7"/>
  <c r="BC125" i="7"/>
  <c r="BF125" i="7" s="1"/>
  <c r="BA125" i="7"/>
  <c r="AY125" i="7" s="1"/>
  <c r="AZ125" i="7"/>
  <c r="AX125" i="7"/>
  <c r="AW125" i="7"/>
  <c r="AV125" i="7"/>
  <c r="AU125" i="7" s="1"/>
  <c r="AT125" i="7"/>
  <c r="AS125" i="7"/>
  <c r="AR125" i="7"/>
  <c r="AP125" i="7"/>
  <c r="AL125" i="7"/>
  <c r="AJ125" i="7"/>
  <c r="AI125" i="7"/>
  <c r="AH125" i="7"/>
  <c r="AF125" i="7"/>
  <c r="AG125" i="7" s="1"/>
  <c r="AE125" i="7"/>
  <c r="AD125" i="7"/>
  <c r="AB125" i="7"/>
  <c r="Y125" i="7"/>
  <c r="W125" i="7" s="1"/>
  <c r="X125" i="7"/>
  <c r="U125" i="7"/>
  <c r="R125" i="7"/>
  <c r="Q125" i="7"/>
  <c r="N125" i="7"/>
  <c r="L125" i="7"/>
  <c r="K125" i="7"/>
  <c r="J125" i="7"/>
  <c r="H125" i="7"/>
  <c r="F125" i="7"/>
  <c r="G125" i="7" s="1"/>
  <c r="B125" i="7"/>
  <c r="A125" i="7"/>
  <c r="CB124" i="7"/>
  <c r="CA124" i="7"/>
  <c r="BZ124" i="7"/>
  <c r="BX124" i="7" s="1"/>
  <c r="BY124" i="7"/>
  <c r="BW124" i="7"/>
  <c r="BS124" i="7"/>
  <c r="BR124" i="7"/>
  <c r="BU124" i="7" s="1"/>
  <c r="BP124" i="7"/>
  <c r="BO124" i="7"/>
  <c r="BV124" i="7" s="1"/>
  <c r="BN124" i="7"/>
  <c r="BL124" i="7"/>
  <c r="BK124" i="7"/>
  <c r="BJ124" i="7"/>
  <c r="BH124" i="7"/>
  <c r="BD124" i="7"/>
  <c r="BA124" i="7"/>
  <c r="AZ124" i="7"/>
  <c r="AY124" i="7"/>
  <c r="AX124" i="7"/>
  <c r="AW124" i="7"/>
  <c r="AU124" i="7" s="1"/>
  <c r="AV124" i="7"/>
  <c r="AT124" i="7"/>
  <c r="AS124" i="7"/>
  <c r="AR124" i="7"/>
  <c r="AQ124" i="7"/>
  <c r="AP124" i="7"/>
  <c r="AJ124" i="7"/>
  <c r="AF124" i="7"/>
  <c r="AD124" i="7" s="1"/>
  <c r="AE124" i="7"/>
  <c r="AB124" i="7"/>
  <c r="AC124" i="7" s="1"/>
  <c r="AI124" i="7" s="1"/>
  <c r="AA124" i="7"/>
  <c r="Z124" i="7"/>
  <c r="Y124" i="7"/>
  <c r="X124" i="7"/>
  <c r="U124" i="7"/>
  <c r="S124" i="7"/>
  <c r="R124" i="7"/>
  <c r="T124" i="7" s="1"/>
  <c r="Q124" i="7"/>
  <c r="AL124" i="7" s="1"/>
  <c r="N124" i="7"/>
  <c r="L124" i="7"/>
  <c r="K124" i="7"/>
  <c r="J124" i="7"/>
  <c r="I124" i="7"/>
  <c r="H124" i="7"/>
  <c r="F124" i="7"/>
  <c r="G124" i="7" s="1"/>
  <c r="E124" i="7"/>
  <c r="D124" i="7"/>
  <c r="C124" i="7"/>
  <c r="B124" i="7"/>
  <c r="A124" i="7"/>
  <c r="CB123" i="7"/>
  <c r="CA123" i="7"/>
  <c r="BZ123" i="7"/>
  <c r="BX123" i="7" s="1"/>
  <c r="BY123" i="7"/>
  <c r="BW123" i="7"/>
  <c r="BS123" i="7"/>
  <c r="BR123" i="7"/>
  <c r="BU123" i="7" s="1"/>
  <c r="BP123" i="7"/>
  <c r="BO123" i="7"/>
  <c r="BN123" i="7"/>
  <c r="BM123" i="7"/>
  <c r="BL123" i="7"/>
  <c r="BK123" i="7"/>
  <c r="BI123" i="7" s="1"/>
  <c r="BJ123" i="7"/>
  <c r="BH123" i="7"/>
  <c r="BC123" i="7"/>
  <c r="BF123" i="7" s="1"/>
  <c r="BA123" i="7"/>
  <c r="AZ123" i="7"/>
  <c r="AY123" i="7"/>
  <c r="AX123" i="7"/>
  <c r="AW123" i="7"/>
  <c r="AV123" i="7"/>
  <c r="AU123" i="7"/>
  <c r="BB123" i="7" s="1"/>
  <c r="BE123" i="7" s="1"/>
  <c r="AT123" i="7"/>
  <c r="AS123" i="7"/>
  <c r="AR123" i="7"/>
  <c r="AQ123" i="7"/>
  <c r="AP123" i="7"/>
  <c r="AL123" i="7"/>
  <c r="AK123" i="7"/>
  <c r="AJ123" i="7"/>
  <c r="AF123" i="7"/>
  <c r="AE123" i="7"/>
  <c r="AD123" i="7"/>
  <c r="AC123" i="7"/>
  <c r="AG123" i="7" s="1"/>
  <c r="AB123" i="7"/>
  <c r="Y123" i="7"/>
  <c r="X123" i="7"/>
  <c r="U123" i="7"/>
  <c r="V123" i="7" s="1"/>
  <c r="AI123" i="7" s="1"/>
  <c r="T123" i="7"/>
  <c r="S123" i="7"/>
  <c r="R123" i="7"/>
  <c r="Q123" i="7"/>
  <c r="P123" i="7" s="1"/>
  <c r="J123" i="7"/>
  <c r="H123" i="7"/>
  <c r="F123" i="7"/>
  <c r="G123" i="7" s="1"/>
  <c r="E123" i="7"/>
  <c r="D123" i="7"/>
  <c r="C123" i="7"/>
  <c r="B123" i="7"/>
  <c r="I123" i="7" s="1"/>
  <c r="A123" i="7"/>
  <c r="CB122" i="7"/>
  <c r="CA122" i="7"/>
  <c r="BZ122" i="7"/>
  <c r="BX122" i="7" s="1"/>
  <c r="BY122" i="7"/>
  <c r="BW122" i="7"/>
  <c r="BS122" i="7"/>
  <c r="BR122" i="7"/>
  <c r="BQ122" i="7"/>
  <c r="BP122" i="7"/>
  <c r="BO122" i="7"/>
  <c r="BN122" i="7"/>
  <c r="BL122" i="7"/>
  <c r="BK122" i="7"/>
  <c r="BJ122" i="7"/>
  <c r="BI122" i="7" s="1"/>
  <c r="BH122" i="7"/>
  <c r="BA122" i="7"/>
  <c r="BD122" i="7" s="1"/>
  <c r="AZ122" i="7"/>
  <c r="AY122" i="7" s="1"/>
  <c r="AX122" i="7"/>
  <c r="AW122" i="7"/>
  <c r="AV122" i="7"/>
  <c r="AT122" i="7"/>
  <c r="AS122" i="7"/>
  <c r="AR122" i="7"/>
  <c r="AQ122" i="7"/>
  <c r="AP122" i="7"/>
  <c r="AJ122" i="7"/>
  <c r="AF122" i="7"/>
  <c r="AD122" i="7" s="1"/>
  <c r="AE122" i="7"/>
  <c r="AB122" i="7"/>
  <c r="AC122" i="7" s="1"/>
  <c r="Y122" i="7"/>
  <c r="X122" i="7"/>
  <c r="AL122" i="7" s="1"/>
  <c r="V122" i="7"/>
  <c r="U122" i="7"/>
  <c r="S122" i="7"/>
  <c r="R122" i="7"/>
  <c r="Q122" i="7"/>
  <c r="P122" i="7"/>
  <c r="N122" i="7"/>
  <c r="O122" i="7" s="1"/>
  <c r="L122" i="7"/>
  <c r="K122" i="7"/>
  <c r="J122" i="7"/>
  <c r="I122" i="7"/>
  <c r="G122" i="7"/>
  <c r="F122" i="7"/>
  <c r="E122" i="7"/>
  <c r="D122" i="7"/>
  <c r="C122" i="7"/>
  <c r="B122" i="7"/>
  <c r="H122" i="7" s="1"/>
  <c r="A122" i="7"/>
  <c r="CB121" i="7"/>
  <c r="CA121" i="7"/>
  <c r="BZ121" i="7"/>
  <c r="BY121" i="7"/>
  <c r="BX121" i="7"/>
  <c r="BW121" i="7"/>
  <c r="BU121" i="7"/>
  <c r="BS121" i="7"/>
  <c r="BR121" i="7"/>
  <c r="BQ121" i="7"/>
  <c r="BP121" i="7"/>
  <c r="BO121" i="7"/>
  <c r="BV121" i="7" s="1"/>
  <c r="BN121" i="7"/>
  <c r="BL121" i="7"/>
  <c r="BK121" i="7"/>
  <c r="BJ121" i="7"/>
  <c r="BI121" i="7"/>
  <c r="BH121" i="7"/>
  <c r="BA121" i="7"/>
  <c r="BD121" i="7" s="1"/>
  <c r="AZ121" i="7"/>
  <c r="AY121" i="7" s="1"/>
  <c r="BB121" i="7" s="1"/>
  <c r="AX121" i="7"/>
  <c r="AW121" i="7"/>
  <c r="AU121" i="7" s="1"/>
  <c r="AV121" i="7"/>
  <c r="AT121" i="7"/>
  <c r="AS121" i="7"/>
  <c r="AR121" i="7"/>
  <c r="AQ121" i="7"/>
  <c r="AP121" i="7"/>
  <c r="AJ121" i="7"/>
  <c r="AI121" i="7"/>
  <c r="AH121" i="7"/>
  <c r="AG121" i="7"/>
  <c r="AF121" i="7"/>
  <c r="AE121" i="7"/>
  <c r="AL121" i="7" s="1"/>
  <c r="AC121" i="7"/>
  <c r="AB121" i="7"/>
  <c r="Z121" i="7"/>
  <c r="Y121" i="7"/>
  <c r="X121" i="7"/>
  <c r="V121" i="7"/>
  <c r="U121" i="7"/>
  <c r="R121" i="7"/>
  <c r="Q121" i="7"/>
  <c r="P121" i="7"/>
  <c r="L121" i="7"/>
  <c r="K121" i="7"/>
  <c r="J121" i="7"/>
  <c r="H121" i="7"/>
  <c r="F121" i="7"/>
  <c r="G121" i="7" s="1"/>
  <c r="E121" i="7"/>
  <c r="D121" i="7"/>
  <c r="C121" i="7"/>
  <c r="B121" i="7"/>
  <c r="I121" i="7" s="1"/>
  <c r="A121" i="7"/>
  <c r="CB120" i="7"/>
  <c r="CA120" i="7"/>
  <c r="BZ120" i="7"/>
  <c r="BX120" i="7" s="1"/>
  <c r="BY120" i="7"/>
  <c r="BW120" i="7"/>
  <c r="BS120" i="7"/>
  <c r="BV120" i="7" s="1"/>
  <c r="BR120" i="7"/>
  <c r="BP120" i="7"/>
  <c r="BO120" i="7"/>
  <c r="BM120" i="7" s="1"/>
  <c r="BN120" i="7"/>
  <c r="BL120" i="7"/>
  <c r="BK120" i="7"/>
  <c r="BI120" i="7" s="1"/>
  <c r="BJ120" i="7"/>
  <c r="BH120" i="7"/>
  <c r="BC120" i="7"/>
  <c r="BA120" i="7"/>
  <c r="AZ120" i="7"/>
  <c r="AY120" i="7"/>
  <c r="BB120" i="7" s="1"/>
  <c r="AX120" i="7"/>
  <c r="AW120" i="7"/>
  <c r="AV120" i="7"/>
  <c r="AU120" i="7"/>
  <c r="AT120" i="7"/>
  <c r="AS120" i="7"/>
  <c r="AR120" i="7"/>
  <c r="AQ120" i="7"/>
  <c r="AP120" i="7"/>
  <c r="AM120" i="7"/>
  <c r="AJ120" i="7"/>
  <c r="AF120" i="7"/>
  <c r="AH120" i="7" s="1"/>
  <c r="AE120" i="7"/>
  <c r="AL120" i="7" s="1"/>
  <c r="AC120" i="7"/>
  <c r="AB120" i="7"/>
  <c r="Y120" i="7"/>
  <c r="X120" i="7"/>
  <c r="W120" i="7"/>
  <c r="V120" i="7"/>
  <c r="Z120" i="7" s="1"/>
  <c r="U120" i="7"/>
  <c r="T120" i="7"/>
  <c r="S120" i="7"/>
  <c r="R120" i="7"/>
  <c r="Q120" i="7"/>
  <c r="P120" i="7"/>
  <c r="L120" i="7"/>
  <c r="K120" i="7"/>
  <c r="J120" i="7"/>
  <c r="G120" i="7"/>
  <c r="F120" i="7"/>
  <c r="B120" i="7"/>
  <c r="A120" i="7"/>
  <c r="BZ119" i="7"/>
  <c r="BX119" i="7" s="1"/>
  <c r="BY119" i="7"/>
  <c r="BS119" i="7"/>
  <c r="BV119" i="7" s="1"/>
  <c r="BR119" i="7"/>
  <c r="BQ119" i="7"/>
  <c r="BT119" i="7" s="1"/>
  <c r="BO119" i="7"/>
  <c r="BN119" i="7"/>
  <c r="BM119" i="7"/>
  <c r="BK119" i="7"/>
  <c r="BJ119" i="7"/>
  <c r="BU119" i="7" s="1"/>
  <c r="BI119" i="7"/>
  <c r="BA119" i="7"/>
  <c r="AZ119" i="7"/>
  <c r="AW119" i="7"/>
  <c r="AU119" i="7" s="1"/>
  <c r="AV119" i="7"/>
  <c r="AS119" i="7"/>
  <c r="AR119" i="7"/>
  <c r="BC119" i="7" s="1"/>
  <c r="BF119" i="7" s="1"/>
  <c r="AM119" i="7"/>
  <c r="AN119" i="7" s="1"/>
  <c r="AJ119" i="7"/>
  <c r="AI119" i="7"/>
  <c r="AH119" i="7"/>
  <c r="AG119" i="7"/>
  <c r="AF119" i="7"/>
  <c r="AD119" i="7" s="1"/>
  <c r="AK119" i="7" s="1"/>
  <c r="AE119" i="7"/>
  <c r="AL119" i="7" s="1"/>
  <c r="AC119" i="7"/>
  <c r="K119" i="7"/>
  <c r="J119" i="7"/>
  <c r="L119" i="7" s="1"/>
  <c r="G119" i="7"/>
  <c r="F119" i="7"/>
  <c r="C119" i="7"/>
  <c r="B119" i="7"/>
  <c r="A119" i="7"/>
  <c r="CB118" i="7"/>
  <c r="CA118" i="7"/>
  <c r="BZ118" i="7"/>
  <c r="BY118" i="7"/>
  <c r="BX118" i="7"/>
  <c r="BW118" i="7"/>
  <c r="BU118" i="7"/>
  <c r="BS118" i="7"/>
  <c r="BQ118" i="7" s="1"/>
  <c r="BT118" i="7" s="1"/>
  <c r="BR118" i="7"/>
  <c r="BP118" i="7"/>
  <c r="BO118" i="7"/>
  <c r="BN118" i="7"/>
  <c r="BM118" i="7"/>
  <c r="BL118" i="7"/>
  <c r="BK118" i="7"/>
  <c r="BI118" i="7" s="1"/>
  <c r="BJ118" i="7"/>
  <c r="BH118" i="7"/>
  <c r="BC118" i="7"/>
  <c r="BA118" i="7"/>
  <c r="AZ118" i="7"/>
  <c r="AY118" i="7"/>
  <c r="AX118" i="7"/>
  <c r="AW118" i="7"/>
  <c r="BD118" i="7" s="1"/>
  <c r="AV118" i="7"/>
  <c r="AU118" i="7"/>
  <c r="AT118" i="7"/>
  <c r="AS118" i="7"/>
  <c r="AR118" i="7"/>
  <c r="AQ118" i="7"/>
  <c r="AP118" i="7"/>
  <c r="AJ118" i="7"/>
  <c r="AI118" i="7"/>
  <c r="AH118" i="7"/>
  <c r="AG118" i="7"/>
  <c r="AF118" i="7"/>
  <c r="AD118" i="7" s="1"/>
  <c r="AE118" i="7"/>
  <c r="AB118" i="7"/>
  <c r="Y118" i="7"/>
  <c r="X118" i="7"/>
  <c r="U118" i="7"/>
  <c r="R118" i="7"/>
  <c r="T118" i="7" s="1"/>
  <c r="Q118" i="7"/>
  <c r="P118" i="7" s="1"/>
  <c r="N118" i="7"/>
  <c r="L118" i="7"/>
  <c r="K118" i="7"/>
  <c r="J118" i="7"/>
  <c r="H118" i="7"/>
  <c r="F118" i="7"/>
  <c r="G118" i="7" s="1"/>
  <c r="E118" i="7"/>
  <c r="D118" i="7"/>
  <c r="C118" i="7"/>
  <c r="B118" i="7"/>
  <c r="I118" i="7" s="1"/>
  <c r="A118" i="7"/>
  <c r="CB117" i="7"/>
  <c r="CA117" i="7"/>
  <c r="BZ117" i="7"/>
  <c r="BX117" i="7" s="1"/>
  <c r="BY117" i="7"/>
  <c r="BW117" i="7"/>
  <c r="BS117" i="7"/>
  <c r="BR117" i="7"/>
  <c r="BU117" i="7" s="1"/>
  <c r="BQ117" i="7"/>
  <c r="BT117" i="7" s="1"/>
  <c r="BP117" i="7"/>
  <c r="BO117" i="7"/>
  <c r="BM117" i="7" s="1"/>
  <c r="BN117" i="7"/>
  <c r="BL117" i="7"/>
  <c r="BK117" i="7"/>
  <c r="BI117" i="7" s="1"/>
  <c r="BJ117" i="7"/>
  <c r="BH117" i="7"/>
  <c r="BC117" i="7"/>
  <c r="BF117" i="7" s="1"/>
  <c r="BA117" i="7"/>
  <c r="AZ117" i="7"/>
  <c r="AX117" i="7"/>
  <c r="AW117" i="7"/>
  <c r="AV117" i="7"/>
  <c r="AU117" i="7"/>
  <c r="AT117" i="7"/>
  <c r="AS117" i="7"/>
  <c r="AQ117" i="7" s="1"/>
  <c r="AR117" i="7"/>
  <c r="AP117" i="7"/>
  <c r="AM117" i="7"/>
  <c r="AJ117" i="7"/>
  <c r="AI117" i="7"/>
  <c r="AF117" i="7"/>
  <c r="AH117" i="7" s="1"/>
  <c r="AE117" i="7"/>
  <c r="AD117" i="7" s="1"/>
  <c r="AK117" i="7" s="1"/>
  <c r="AB117" i="7"/>
  <c r="AA117" i="7"/>
  <c r="Z117" i="7"/>
  <c r="Y117" i="7"/>
  <c r="X117" i="7"/>
  <c r="W117" i="7"/>
  <c r="U117" i="7"/>
  <c r="T117" i="7"/>
  <c r="S117" i="7"/>
  <c r="R117" i="7"/>
  <c r="Q117" i="7"/>
  <c r="AL117" i="7" s="1"/>
  <c r="N117" i="7"/>
  <c r="K117" i="7"/>
  <c r="J117" i="7"/>
  <c r="L117" i="7" s="1"/>
  <c r="G117" i="7"/>
  <c r="F117" i="7"/>
  <c r="B117" i="7"/>
  <c r="A117" i="7"/>
  <c r="CB116" i="7"/>
  <c r="CA116" i="7"/>
  <c r="BZ116" i="7"/>
  <c r="BY116" i="7"/>
  <c r="BX116" i="7"/>
  <c r="BW116" i="7"/>
  <c r="BU116" i="7"/>
  <c r="BS116" i="7"/>
  <c r="BQ116" i="7" s="1"/>
  <c r="BT116" i="7" s="1"/>
  <c r="BR116" i="7"/>
  <c r="BP116" i="7"/>
  <c r="BO116" i="7"/>
  <c r="BN116" i="7"/>
  <c r="BM116" i="7" s="1"/>
  <c r="BL116" i="7"/>
  <c r="BK116" i="7"/>
  <c r="BI116" i="7" s="1"/>
  <c r="BJ116" i="7"/>
  <c r="BH116" i="7"/>
  <c r="BC116" i="7"/>
  <c r="BF116" i="7" s="1"/>
  <c r="BA116" i="7"/>
  <c r="AZ116" i="7"/>
  <c r="AY116" i="7"/>
  <c r="AX116" i="7"/>
  <c r="AW116" i="7"/>
  <c r="BD116" i="7" s="1"/>
  <c r="AV116" i="7"/>
  <c r="AU116" i="7"/>
  <c r="AT116" i="7"/>
  <c r="AS116" i="7"/>
  <c r="AR116" i="7"/>
  <c r="AQ116" i="7"/>
  <c r="AP116" i="7"/>
  <c r="AJ116" i="7"/>
  <c r="AI116" i="7"/>
  <c r="AH116" i="7"/>
  <c r="AG116" i="7"/>
  <c r="AF116" i="7"/>
  <c r="AD116" i="7" s="1"/>
  <c r="AK116" i="7" s="1"/>
  <c r="AE116" i="7"/>
  <c r="AB116" i="7"/>
  <c r="Y116" i="7"/>
  <c r="X116" i="7"/>
  <c r="U116" i="7"/>
  <c r="R116" i="7"/>
  <c r="T116" i="7" s="1"/>
  <c r="Q116" i="7"/>
  <c r="P116" i="7" s="1"/>
  <c r="N116" i="7"/>
  <c r="L116" i="7"/>
  <c r="K116" i="7"/>
  <c r="J116" i="7"/>
  <c r="H116" i="7"/>
  <c r="G116" i="7"/>
  <c r="F116" i="7"/>
  <c r="E116" i="7"/>
  <c r="D116" i="7"/>
  <c r="C116" i="7"/>
  <c r="B116" i="7"/>
  <c r="I116" i="7" s="1"/>
  <c r="A116" i="7"/>
  <c r="CB115" i="7"/>
  <c r="CA115" i="7"/>
  <c r="BZ115" i="7"/>
  <c r="BX115" i="7" s="1"/>
  <c r="BY115" i="7"/>
  <c r="BW115" i="7"/>
  <c r="BS115" i="7"/>
  <c r="BR115" i="7"/>
  <c r="BU115" i="7" s="1"/>
  <c r="BP115" i="7"/>
  <c r="BO115" i="7"/>
  <c r="BM115" i="7" s="1"/>
  <c r="BN115" i="7"/>
  <c r="BL115" i="7"/>
  <c r="BK115" i="7"/>
  <c r="BJ115" i="7"/>
  <c r="BI115" i="7"/>
  <c r="BH115" i="7"/>
  <c r="BC115" i="7"/>
  <c r="BA115" i="7"/>
  <c r="AY115" i="7" s="1"/>
  <c r="AZ115" i="7"/>
  <c r="AX115" i="7"/>
  <c r="AW115" i="7"/>
  <c r="AV115" i="7"/>
  <c r="AU115" i="7"/>
  <c r="AT115" i="7"/>
  <c r="AS115" i="7"/>
  <c r="AQ115" i="7" s="1"/>
  <c r="AR115" i="7"/>
  <c r="AP115" i="7"/>
  <c r="AM115" i="7"/>
  <c r="AJ115" i="7"/>
  <c r="AI115" i="7"/>
  <c r="AF115" i="7"/>
  <c r="AH115" i="7" s="1"/>
  <c r="AE115" i="7"/>
  <c r="AD115" i="7"/>
  <c r="AB115" i="7"/>
  <c r="AA115" i="7"/>
  <c r="Z115" i="7"/>
  <c r="Y115" i="7"/>
  <c r="X115" i="7"/>
  <c r="W115" i="7"/>
  <c r="U115" i="7"/>
  <c r="T115" i="7"/>
  <c r="S115" i="7"/>
  <c r="R115" i="7"/>
  <c r="Q115" i="7"/>
  <c r="AL115" i="7" s="1"/>
  <c r="N115" i="7"/>
  <c r="K115" i="7"/>
  <c r="J115" i="7"/>
  <c r="L115" i="7" s="1"/>
  <c r="G115" i="7"/>
  <c r="F115" i="7"/>
  <c r="B115" i="7"/>
  <c r="A115" i="7"/>
  <c r="CB114" i="7"/>
  <c r="CA114" i="7"/>
  <c r="BZ114" i="7"/>
  <c r="BY114" i="7"/>
  <c r="BX114" i="7"/>
  <c r="BW114" i="7"/>
  <c r="BV114" i="7"/>
  <c r="BS114" i="7"/>
  <c r="BQ114" i="7" s="1"/>
  <c r="BT114" i="7" s="1"/>
  <c r="BR114" i="7"/>
  <c r="BP114" i="7"/>
  <c r="BO114" i="7"/>
  <c r="BN114" i="7"/>
  <c r="BU114" i="7" s="1"/>
  <c r="BM114" i="7"/>
  <c r="BL114" i="7"/>
  <c r="BK114" i="7"/>
  <c r="BI114" i="7" s="1"/>
  <c r="BJ114" i="7"/>
  <c r="BH114" i="7"/>
  <c r="BC114" i="7"/>
  <c r="BF114" i="7" s="1"/>
  <c r="BA114" i="7"/>
  <c r="AZ114" i="7"/>
  <c r="AY114" i="7"/>
  <c r="AX114" i="7"/>
  <c r="AW114" i="7"/>
  <c r="BD114" i="7" s="1"/>
  <c r="BG114" i="7" s="1"/>
  <c r="AV114" i="7"/>
  <c r="AU114" i="7"/>
  <c r="AT114" i="7"/>
  <c r="AS114" i="7"/>
  <c r="AR114" i="7"/>
  <c r="AQ114" i="7"/>
  <c r="AP114" i="7"/>
  <c r="AM114" i="7"/>
  <c r="AN114" i="7" s="1"/>
  <c r="AJ114" i="7"/>
  <c r="AI114" i="7"/>
  <c r="AH114" i="7"/>
  <c r="AG114" i="7"/>
  <c r="AF114" i="7"/>
  <c r="AE114" i="7"/>
  <c r="AB114" i="7"/>
  <c r="Z114" i="7"/>
  <c r="Y114" i="7"/>
  <c r="X114" i="7"/>
  <c r="U114" i="7"/>
  <c r="R114" i="7"/>
  <c r="T114" i="7" s="1"/>
  <c r="Q114" i="7"/>
  <c r="P114" i="7"/>
  <c r="J114" i="7"/>
  <c r="K114" i="7" s="1"/>
  <c r="F114" i="7"/>
  <c r="G114" i="7" s="1"/>
  <c r="E114" i="7"/>
  <c r="D114" i="7"/>
  <c r="B114" i="7"/>
  <c r="A114" i="7"/>
  <c r="CB110" i="7"/>
  <c r="CA110" i="7"/>
  <c r="BZ110" i="7"/>
  <c r="BY110" i="7"/>
  <c r="BX110" i="7"/>
  <c r="BW110" i="7"/>
  <c r="BV110" i="7"/>
  <c r="BS110" i="7"/>
  <c r="BR110" i="7"/>
  <c r="BQ110" i="7" s="1"/>
  <c r="BP110" i="7"/>
  <c r="BO110" i="7"/>
  <c r="BN110" i="7"/>
  <c r="BL110" i="7"/>
  <c r="BK110" i="7"/>
  <c r="BJ110" i="7"/>
  <c r="BI110" i="7"/>
  <c r="BH110" i="7"/>
  <c r="BA110" i="7"/>
  <c r="AZ110" i="7"/>
  <c r="AX110" i="7"/>
  <c r="AW110" i="7"/>
  <c r="AV110" i="7"/>
  <c r="AU110" i="7"/>
  <c r="AT110" i="7"/>
  <c r="AS110" i="7"/>
  <c r="AR110" i="7"/>
  <c r="AP110" i="7"/>
  <c r="AL110" i="7"/>
  <c r="AJ110" i="7"/>
  <c r="AI110" i="7"/>
  <c r="AH110" i="7"/>
  <c r="AG110" i="7"/>
  <c r="AF110" i="7"/>
  <c r="AE110" i="7"/>
  <c r="AD110" i="7"/>
  <c r="AB110" i="7"/>
  <c r="AA110" i="7"/>
  <c r="Y110" i="7"/>
  <c r="X110" i="7"/>
  <c r="U110" i="7"/>
  <c r="T110" i="7"/>
  <c r="S110" i="7"/>
  <c r="R110" i="7"/>
  <c r="P110" i="7" s="1"/>
  <c r="Q110" i="7"/>
  <c r="N110" i="7"/>
  <c r="J110" i="7"/>
  <c r="I110" i="7"/>
  <c r="H110" i="7"/>
  <c r="F110" i="7"/>
  <c r="G110" i="7" s="1"/>
  <c r="B110" i="7"/>
  <c r="A110" i="7"/>
  <c r="CB109" i="7"/>
  <c r="CA109" i="7"/>
  <c r="BZ109" i="7"/>
  <c r="BX109" i="7" s="1"/>
  <c r="BY109" i="7"/>
  <c r="BW109" i="7"/>
  <c r="BV109" i="7"/>
  <c r="BS109" i="7"/>
  <c r="BQ109" i="7" s="1"/>
  <c r="BT109" i="7" s="1"/>
  <c r="BR109" i="7"/>
  <c r="BP109" i="7"/>
  <c r="BO109" i="7"/>
  <c r="BN109" i="7"/>
  <c r="BU109" i="7" s="1"/>
  <c r="BM109" i="7"/>
  <c r="BL109" i="7"/>
  <c r="BK109" i="7"/>
  <c r="BJ109" i="7"/>
  <c r="BH109" i="7"/>
  <c r="BF109" i="7"/>
  <c r="BD109" i="7"/>
  <c r="BG109" i="7" s="1"/>
  <c r="BB109" i="7"/>
  <c r="BE109" i="7" s="1"/>
  <c r="BA109" i="7"/>
  <c r="AZ109" i="7"/>
  <c r="AY109" i="7"/>
  <c r="AX109" i="7"/>
  <c r="AW109" i="7"/>
  <c r="AU109" i="7" s="1"/>
  <c r="AV109" i="7"/>
  <c r="BC109" i="7" s="1"/>
  <c r="AT109" i="7"/>
  <c r="AS109" i="7"/>
  <c r="AR109" i="7"/>
  <c r="AQ109" i="7"/>
  <c r="AP109" i="7"/>
  <c r="AJ109" i="7"/>
  <c r="AI109" i="7"/>
  <c r="AH109" i="7"/>
  <c r="AF109" i="7"/>
  <c r="AE109" i="7"/>
  <c r="AD109" i="7"/>
  <c r="AK109" i="7" s="1"/>
  <c r="AB109" i="7"/>
  <c r="Y109" i="7"/>
  <c r="W109" i="7" s="1"/>
  <c r="X109" i="7"/>
  <c r="AL109" i="7" s="1"/>
  <c r="U109" i="7"/>
  <c r="T109" i="7"/>
  <c r="S109" i="7"/>
  <c r="R109" i="7"/>
  <c r="Q109" i="7"/>
  <c r="P109" i="7"/>
  <c r="N109" i="7"/>
  <c r="L109" i="7"/>
  <c r="J109" i="7"/>
  <c r="K109" i="7" s="1"/>
  <c r="F109" i="7"/>
  <c r="G109" i="7" s="1"/>
  <c r="D109" i="7"/>
  <c r="B109" i="7"/>
  <c r="A109" i="7"/>
  <c r="CB108" i="7"/>
  <c r="CA108" i="7"/>
  <c r="BZ108" i="7"/>
  <c r="BX108" i="7" s="1"/>
  <c r="BY108" i="7"/>
  <c r="BW108" i="7"/>
  <c r="BV108" i="7"/>
  <c r="BS108" i="7"/>
  <c r="BR108" i="7"/>
  <c r="BU108" i="7" s="1"/>
  <c r="BP108" i="7"/>
  <c r="BO108" i="7"/>
  <c r="BM108" i="7" s="1"/>
  <c r="BN108" i="7"/>
  <c r="BL108" i="7"/>
  <c r="BK108" i="7"/>
  <c r="BJ108" i="7"/>
  <c r="BI108" i="7"/>
  <c r="BH108" i="7"/>
  <c r="BA108" i="7"/>
  <c r="AZ108" i="7"/>
  <c r="AX108" i="7"/>
  <c r="AW108" i="7"/>
  <c r="AV108" i="7"/>
  <c r="AU108" i="7"/>
  <c r="AT108" i="7"/>
  <c r="AS108" i="7"/>
  <c r="AQ108" i="7" s="1"/>
  <c r="AR108" i="7"/>
  <c r="AP108" i="7"/>
  <c r="AL108" i="7"/>
  <c r="AK108" i="7"/>
  <c r="AJ108" i="7"/>
  <c r="AI108" i="7"/>
  <c r="AH108" i="7"/>
  <c r="AG108" i="7"/>
  <c r="AF108" i="7"/>
  <c r="AE108" i="7"/>
  <c r="AD108" i="7"/>
  <c r="AB108" i="7"/>
  <c r="AA108" i="7"/>
  <c r="Y108" i="7"/>
  <c r="X108" i="7"/>
  <c r="U108" i="7"/>
  <c r="S108" i="7"/>
  <c r="R108" i="7"/>
  <c r="T108" i="7" s="1"/>
  <c r="Q108" i="7"/>
  <c r="P108" i="7"/>
  <c r="N108" i="7"/>
  <c r="J108" i="7"/>
  <c r="F108" i="7"/>
  <c r="G108" i="7" s="1"/>
  <c r="B108" i="7"/>
  <c r="A108" i="7"/>
  <c r="CB107" i="7"/>
  <c r="CA107" i="7"/>
  <c r="BZ107" i="7"/>
  <c r="BX107" i="7" s="1"/>
  <c r="BY107" i="7"/>
  <c r="BW107" i="7"/>
  <c r="BV107" i="7"/>
  <c r="BS107" i="7"/>
  <c r="BQ107" i="7" s="1"/>
  <c r="BT107" i="7" s="1"/>
  <c r="BR107" i="7"/>
  <c r="BP107" i="7"/>
  <c r="BO107" i="7"/>
  <c r="BN107" i="7"/>
  <c r="BM107" i="7"/>
  <c r="BL107" i="7"/>
  <c r="BK107" i="7"/>
  <c r="BJ107" i="7"/>
  <c r="BU107" i="7" s="1"/>
  <c r="BH107" i="7"/>
  <c r="BA107" i="7"/>
  <c r="AZ107" i="7"/>
  <c r="AY107" i="7"/>
  <c r="AX107" i="7"/>
  <c r="AW107" i="7"/>
  <c r="BD107" i="7" s="1"/>
  <c r="BG107" i="7" s="1"/>
  <c r="AV107" i="7"/>
  <c r="BC107" i="7" s="1"/>
  <c r="BF107" i="7" s="1"/>
  <c r="AT107" i="7"/>
  <c r="AS107" i="7"/>
  <c r="AR107" i="7"/>
  <c r="AQ107" i="7"/>
  <c r="AP107" i="7"/>
  <c r="AJ107" i="7"/>
  <c r="AI107" i="7"/>
  <c r="AF107" i="7"/>
  <c r="AM107" i="7" s="1"/>
  <c r="AN107" i="7" s="1"/>
  <c r="AE107" i="7"/>
  <c r="AB107" i="7"/>
  <c r="Y107" i="7"/>
  <c r="X107" i="7"/>
  <c r="AL107" i="7" s="1"/>
  <c r="U107" i="7"/>
  <c r="T107" i="7"/>
  <c r="S107" i="7"/>
  <c r="R107" i="7"/>
  <c r="Q107" i="7"/>
  <c r="P107" i="7"/>
  <c r="N107" i="7"/>
  <c r="J107" i="7"/>
  <c r="K107" i="7" s="1"/>
  <c r="F107" i="7"/>
  <c r="G107" i="7" s="1"/>
  <c r="E107" i="7"/>
  <c r="B107" i="7"/>
  <c r="A107" i="7"/>
  <c r="CB106" i="7"/>
  <c r="CA106" i="7"/>
  <c r="BZ106" i="7"/>
  <c r="BX106" i="7" s="1"/>
  <c r="BY106" i="7"/>
  <c r="BW106" i="7"/>
  <c r="BV106" i="7"/>
  <c r="BS106" i="7"/>
  <c r="BR106" i="7"/>
  <c r="BU106" i="7" s="1"/>
  <c r="BP106" i="7"/>
  <c r="BO106" i="7"/>
  <c r="BM106" i="7" s="1"/>
  <c r="BN106" i="7"/>
  <c r="BL106" i="7"/>
  <c r="BK106" i="7"/>
  <c r="BJ106" i="7"/>
  <c r="BI106" i="7"/>
  <c r="BH106" i="7"/>
  <c r="BF106" i="7"/>
  <c r="BA106" i="7"/>
  <c r="AZ106" i="7"/>
  <c r="AX106" i="7"/>
  <c r="AW106" i="7"/>
  <c r="AV106" i="7"/>
  <c r="AU106" i="7"/>
  <c r="AT106" i="7"/>
  <c r="AS106" i="7"/>
  <c r="AQ106" i="7" s="1"/>
  <c r="AR106" i="7"/>
  <c r="BC106" i="7" s="1"/>
  <c r="AP106" i="7"/>
  <c r="AL106" i="7"/>
  <c r="AJ106" i="7"/>
  <c r="AI106" i="7"/>
  <c r="AH106" i="7"/>
  <c r="AG106" i="7"/>
  <c r="AF106" i="7"/>
  <c r="AE106" i="7"/>
  <c r="AD106" i="7"/>
  <c r="AK106" i="7" s="1"/>
  <c r="AB106" i="7"/>
  <c r="AA106" i="7"/>
  <c r="Y106" i="7"/>
  <c r="X106" i="7"/>
  <c r="U106" i="7"/>
  <c r="T106" i="7"/>
  <c r="R106" i="7"/>
  <c r="S106" i="7" s="1"/>
  <c r="Q106" i="7"/>
  <c r="P106" i="7"/>
  <c r="N106" i="7"/>
  <c r="J106" i="7"/>
  <c r="I106" i="7"/>
  <c r="H106" i="7"/>
  <c r="F106" i="7"/>
  <c r="G106" i="7" s="1"/>
  <c r="B106" i="7"/>
  <c r="A106" i="7"/>
  <c r="CB105" i="7"/>
  <c r="CA105" i="7"/>
  <c r="BZ105" i="7"/>
  <c r="BX105" i="7" s="1"/>
  <c r="BY105" i="7"/>
  <c r="BW105" i="7"/>
  <c r="BV105" i="7"/>
  <c r="BS105" i="7"/>
  <c r="BQ105" i="7" s="1"/>
  <c r="BT105" i="7" s="1"/>
  <c r="BR105" i="7"/>
  <c r="BU105" i="7" s="1"/>
  <c r="BP105" i="7"/>
  <c r="BO105" i="7"/>
  <c r="BN105" i="7"/>
  <c r="BM105" i="7" s="1"/>
  <c r="BL105" i="7"/>
  <c r="BK105" i="7"/>
  <c r="BJ105" i="7"/>
  <c r="BH105" i="7"/>
  <c r="BA105" i="7"/>
  <c r="AZ105" i="7"/>
  <c r="AY105" i="7"/>
  <c r="AX105" i="7"/>
  <c r="AW105" i="7"/>
  <c r="BD105" i="7" s="1"/>
  <c r="AV105" i="7"/>
  <c r="BC105" i="7" s="1"/>
  <c r="BF105" i="7" s="1"/>
  <c r="AT105" i="7"/>
  <c r="AS105" i="7"/>
  <c r="AR105" i="7"/>
  <c r="AQ105" i="7"/>
  <c r="AP105" i="7"/>
  <c r="AL105" i="7"/>
  <c r="AJ105" i="7"/>
  <c r="AH105" i="7"/>
  <c r="AG105" i="7"/>
  <c r="AF105" i="7"/>
  <c r="AE105" i="7"/>
  <c r="AD105" i="7"/>
  <c r="AK105" i="7" s="1"/>
  <c r="AC105" i="7"/>
  <c r="AB105" i="7"/>
  <c r="Z105" i="7"/>
  <c r="Y105" i="7"/>
  <c r="X105" i="7"/>
  <c r="V105" i="7"/>
  <c r="U105" i="7"/>
  <c r="R105" i="7"/>
  <c r="Q105" i="7"/>
  <c r="P105" i="7"/>
  <c r="N105" i="7"/>
  <c r="O105" i="7" s="1"/>
  <c r="AI105" i="7" s="1"/>
  <c r="J105" i="7"/>
  <c r="L105" i="7" s="1"/>
  <c r="I105" i="7"/>
  <c r="H105" i="7"/>
  <c r="G105" i="7"/>
  <c r="F105" i="7"/>
  <c r="E105" i="7"/>
  <c r="B105" i="7"/>
  <c r="D105" i="7" s="1"/>
  <c r="A105" i="7"/>
  <c r="CB104" i="7"/>
  <c r="CA104" i="7"/>
  <c r="BZ104" i="7"/>
  <c r="BY104" i="7"/>
  <c r="BW104" i="7"/>
  <c r="BU104" i="7"/>
  <c r="BS104" i="7"/>
  <c r="BR104" i="7"/>
  <c r="BP104" i="7"/>
  <c r="BO104" i="7"/>
  <c r="BN104" i="7"/>
  <c r="BM104" i="7"/>
  <c r="BL104" i="7"/>
  <c r="BK104" i="7"/>
  <c r="BI104" i="7" s="1"/>
  <c r="BJ104" i="7"/>
  <c r="BH104" i="7"/>
  <c r="BC104" i="7"/>
  <c r="BF104" i="7" s="1"/>
  <c r="BA104" i="7"/>
  <c r="AY104" i="7" s="1"/>
  <c r="BB104" i="7" s="1"/>
  <c r="AZ104" i="7"/>
  <c r="AX104" i="7"/>
  <c r="AW104" i="7"/>
  <c r="AV104" i="7"/>
  <c r="AU104" i="7"/>
  <c r="AT104" i="7"/>
  <c r="AS104" i="7"/>
  <c r="AQ104" i="7" s="1"/>
  <c r="AR104" i="7"/>
  <c r="AP104" i="7"/>
  <c r="AJ104" i="7"/>
  <c r="AF104" i="7"/>
  <c r="AE104" i="7"/>
  <c r="AC104" i="7"/>
  <c r="AB104" i="7"/>
  <c r="Y104" i="7"/>
  <c r="X104" i="7"/>
  <c r="W104" i="7" s="1"/>
  <c r="U104" i="7"/>
  <c r="V104" i="7" s="1"/>
  <c r="AI104" i="7" s="1"/>
  <c r="R104" i="7"/>
  <c r="T104" i="7" s="1"/>
  <c r="Q104" i="7"/>
  <c r="P104" i="7" s="1"/>
  <c r="L104" i="7"/>
  <c r="J104" i="7"/>
  <c r="K104" i="7" s="1"/>
  <c r="F104" i="7"/>
  <c r="G104" i="7" s="1"/>
  <c r="B104" i="7"/>
  <c r="A104" i="7"/>
  <c r="CB103" i="7"/>
  <c r="CA103" i="7"/>
  <c r="BZ103" i="7"/>
  <c r="BY103" i="7"/>
  <c r="BX103" i="7" s="1"/>
  <c r="BW103" i="7"/>
  <c r="BV103" i="7"/>
  <c r="BS103" i="7"/>
  <c r="BR103" i="7"/>
  <c r="BQ103" i="7"/>
  <c r="BP103" i="7"/>
  <c r="BO103" i="7"/>
  <c r="BM103" i="7" s="1"/>
  <c r="BN103" i="7"/>
  <c r="BL103" i="7"/>
  <c r="BK103" i="7"/>
  <c r="BJ103" i="7"/>
  <c r="BI103" i="7" s="1"/>
  <c r="BH103" i="7"/>
  <c r="BA103" i="7"/>
  <c r="AZ103" i="7"/>
  <c r="AX103" i="7"/>
  <c r="AW103" i="7"/>
  <c r="AV103" i="7"/>
  <c r="AU103" i="7"/>
  <c r="AT103" i="7"/>
  <c r="AS103" i="7"/>
  <c r="AQ103" i="7" s="1"/>
  <c r="AR103" i="7"/>
  <c r="AP103" i="7"/>
  <c r="AL103" i="7"/>
  <c r="AJ103" i="7"/>
  <c r="AF103" i="7"/>
  <c r="AE103" i="7"/>
  <c r="AD103" i="7"/>
  <c r="AB103" i="7"/>
  <c r="AC103" i="7" s="1"/>
  <c r="Y103" i="7"/>
  <c r="X103" i="7"/>
  <c r="W103" i="7"/>
  <c r="V103" i="7"/>
  <c r="AA103" i="7" s="1"/>
  <c r="U103" i="7"/>
  <c r="R103" i="7"/>
  <c r="Q103" i="7"/>
  <c r="N103" i="7"/>
  <c r="O103" i="7" s="1"/>
  <c r="AI103" i="7" s="1"/>
  <c r="L103" i="7"/>
  <c r="K103" i="7"/>
  <c r="J103" i="7"/>
  <c r="I103" i="7"/>
  <c r="F103" i="7"/>
  <c r="G103" i="7" s="1"/>
  <c r="E103" i="7"/>
  <c r="D103" i="7"/>
  <c r="C103" i="7"/>
  <c r="B103" i="7"/>
  <c r="H103" i="7" s="1"/>
  <c r="A103" i="7"/>
  <c r="CB102" i="7"/>
  <c r="CA102" i="7"/>
  <c r="BZ102" i="7"/>
  <c r="BY102" i="7"/>
  <c r="BX102" i="7" s="1"/>
  <c r="BW102" i="7"/>
  <c r="BU102" i="7"/>
  <c r="BS102" i="7"/>
  <c r="BR102" i="7"/>
  <c r="BQ102" i="7"/>
  <c r="BP102" i="7"/>
  <c r="BO102" i="7"/>
  <c r="BV102" i="7" s="1"/>
  <c r="BN102" i="7"/>
  <c r="BL102" i="7"/>
  <c r="BK102" i="7"/>
  <c r="BJ102" i="7"/>
  <c r="BI102" i="7"/>
  <c r="BH102" i="7"/>
  <c r="BA102" i="7"/>
  <c r="AY102" i="7" s="1"/>
  <c r="AZ102" i="7"/>
  <c r="AX102" i="7"/>
  <c r="AW102" i="7"/>
  <c r="AU102" i="7" s="1"/>
  <c r="AV102" i="7"/>
  <c r="AT102" i="7"/>
  <c r="AS102" i="7"/>
  <c r="AQ102" i="7" s="1"/>
  <c r="AR102" i="7"/>
  <c r="AP102" i="7"/>
  <c r="AJ102" i="7"/>
  <c r="AI102" i="7"/>
  <c r="AH102" i="7"/>
  <c r="AG102" i="7"/>
  <c r="AF102" i="7"/>
  <c r="AE102" i="7"/>
  <c r="AD102" i="7"/>
  <c r="AB102" i="7"/>
  <c r="AA102" i="7"/>
  <c r="Z102" i="7"/>
  <c r="Y102" i="7"/>
  <c r="W102" i="7" s="1"/>
  <c r="X102" i="7"/>
  <c r="U102" i="7"/>
  <c r="R102" i="7"/>
  <c r="Q102" i="7"/>
  <c r="N102" i="7"/>
  <c r="J102" i="7"/>
  <c r="L102" i="7" s="1"/>
  <c r="I102" i="7"/>
  <c r="H102" i="7"/>
  <c r="G102" i="7"/>
  <c r="F102" i="7"/>
  <c r="E102" i="7"/>
  <c r="B102" i="7"/>
  <c r="D102" i="7" s="1"/>
  <c r="A102" i="7"/>
  <c r="CB101" i="7"/>
  <c r="CA101" i="7"/>
  <c r="BZ101" i="7"/>
  <c r="BY101" i="7"/>
  <c r="BW101" i="7"/>
  <c r="BU101" i="7"/>
  <c r="BS101" i="7"/>
  <c r="BQ101" i="7" s="1"/>
  <c r="BT101" i="7" s="1"/>
  <c r="BR101" i="7"/>
  <c r="BP101" i="7"/>
  <c r="BO101" i="7"/>
  <c r="BN101" i="7"/>
  <c r="BM101" i="7"/>
  <c r="BL101" i="7"/>
  <c r="BK101" i="7"/>
  <c r="BI101" i="7" s="1"/>
  <c r="BJ101" i="7"/>
  <c r="BH101" i="7"/>
  <c r="BC101" i="7"/>
  <c r="BA101" i="7"/>
  <c r="AY101" i="7" s="1"/>
  <c r="AZ101" i="7"/>
  <c r="AX101" i="7"/>
  <c r="AW101" i="7"/>
  <c r="AU101" i="7" s="1"/>
  <c r="AV101" i="7"/>
  <c r="AT101" i="7"/>
  <c r="AS101" i="7"/>
  <c r="AQ101" i="7" s="1"/>
  <c r="AR101" i="7"/>
  <c r="AP101" i="7"/>
  <c r="AJ101" i="7"/>
  <c r="AI101" i="7"/>
  <c r="AF101" i="7"/>
  <c r="AE101" i="7"/>
  <c r="AL101" i="7" s="1"/>
  <c r="AB101" i="7"/>
  <c r="Y101" i="7"/>
  <c r="AA101" i="7" s="1"/>
  <c r="X101" i="7"/>
  <c r="W101" i="7" s="1"/>
  <c r="U101" i="7"/>
  <c r="T101" i="7"/>
  <c r="S101" i="7"/>
  <c r="R101" i="7"/>
  <c r="Q101" i="7"/>
  <c r="P101" i="7"/>
  <c r="N101" i="7"/>
  <c r="L101" i="7"/>
  <c r="K101" i="7"/>
  <c r="J101" i="7"/>
  <c r="I101" i="7"/>
  <c r="F101" i="7"/>
  <c r="G101" i="7" s="1"/>
  <c r="E101" i="7"/>
  <c r="D101" i="7"/>
  <c r="C101" i="7"/>
  <c r="B101" i="7"/>
  <c r="H101" i="7" s="1"/>
  <c r="A101" i="7"/>
  <c r="CB100" i="7"/>
  <c r="CA100" i="7"/>
  <c r="BZ100" i="7"/>
  <c r="BY100" i="7"/>
  <c r="BX100" i="7" s="1"/>
  <c r="BW100" i="7"/>
  <c r="BU100" i="7"/>
  <c r="BS100" i="7"/>
  <c r="BR100" i="7"/>
  <c r="BQ100" i="7"/>
  <c r="BP100" i="7"/>
  <c r="BO100" i="7"/>
  <c r="BV100" i="7" s="1"/>
  <c r="BN100" i="7"/>
  <c r="BL100" i="7"/>
  <c r="BK100" i="7"/>
  <c r="BJ100" i="7"/>
  <c r="BI100" i="7"/>
  <c r="BH100" i="7"/>
  <c r="BA100" i="7"/>
  <c r="AZ100" i="7"/>
  <c r="AY100" i="7"/>
  <c r="AX100" i="7"/>
  <c r="AW100" i="7"/>
  <c r="AU100" i="7" s="1"/>
  <c r="AV100" i="7"/>
  <c r="AT100" i="7"/>
  <c r="AS100" i="7"/>
  <c r="AQ100" i="7" s="1"/>
  <c r="AR100" i="7"/>
  <c r="BC100" i="7" s="1"/>
  <c r="AP100" i="7"/>
  <c r="AJ100" i="7"/>
  <c r="AH100" i="7"/>
  <c r="AG100" i="7"/>
  <c r="AF100" i="7"/>
  <c r="AE100" i="7"/>
  <c r="AD100" i="7"/>
  <c r="AB100" i="7"/>
  <c r="AA100" i="7"/>
  <c r="Z100" i="7"/>
  <c r="Y100" i="7"/>
  <c r="X100" i="7"/>
  <c r="U100" i="7"/>
  <c r="R100" i="7"/>
  <c r="Q100" i="7"/>
  <c r="O100" i="7"/>
  <c r="S100" i="7" s="1"/>
  <c r="N100" i="7"/>
  <c r="J100" i="7"/>
  <c r="F100" i="7"/>
  <c r="G100" i="7" s="1"/>
  <c r="B100" i="7"/>
  <c r="A100" i="7"/>
  <c r="CB99" i="7"/>
  <c r="CA99" i="7"/>
  <c r="BZ99" i="7"/>
  <c r="BX99" i="7" s="1"/>
  <c r="BY99" i="7"/>
  <c r="BW99" i="7"/>
  <c r="BV99" i="7"/>
  <c r="BS99" i="7"/>
  <c r="BQ99" i="7" s="1"/>
  <c r="BR99" i="7"/>
  <c r="BP99" i="7"/>
  <c r="BO99" i="7"/>
  <c r="BN99" i="7"/>
  <c r="BM99" i="7"/>
  <c r="BL99" i="7"/>
  <c r="BK99" i="7"/>
  <c r="BJ99" i="7"/>
  <c r="BU99" i="7" s="1"/>
  <c r="BH99" i="7"/>
  <c r="BA99" i="7"/>
  <c r="AZ99" i="7"/>
  <c r="AY99" i="7"/>
  <c r="AX99" i="7"/>
  <c r="AW99" i="7"/>
  <c r="BD99" i="7" s="1"/>
  <c r="BG99" i="7" s="1"/>
  <c r="AV99" i="7"/>
  <c r="BC99" i="7" s="1"/>
  <c r="BF99" i="7" s="1"/>
  <c r="AT99" i="7"/>
  <c r="AS99" i="7"/>
  <c r="AR99" i="7"/>
  <c r="AQ99" i="7"/>
  <c r="AP99" i="7"/>
  <c r="AJ99" i="7"/>
  <c r="AI99" i="7"/>
  <c r="AF99" i="7"/>
  <c r="AM99" i="7" s="1"/>
  <c r="AN99" i="7" s="1"/>
  <c r="AE99" i="7"/>
  <c r="AB99" i="7"/>
  <c r="Y99" i="7"/>
  <c r="X99" i="7"/>
  <c r="AL99" i="7" s="1"/>
  <c r="U99" i="7"/>
  <c r="T99" i="7"/>
  <c r="S99" i="7"/>
  <c r="R99" i="7"/>
  <c r="Q99" i="7"/>
  <c r="P99" i="7"/>
  <c r="N99" i="7"/>
  <c r="J99" i="7"/>
  <c r="K99" i="7" s="1"/>
  <c r="F99" i="7"/>
  <c r="G99" i="7" s="1"/>
  <c r="E99" i="7"/>
  <c r="B99" i="7"/>
  <c r="CB98" i="7"/>
  <c r="CA98" i="7"/>
  <c r="BW98" i="7"/>
  <c r="BU98" i="7"/>
  <c r="BS98" i="7"/>
  <c r="BQ98" i="7" s="1"/>
  <c r="BT98" i="7" s="1"/>
  <c r="BR98" i="7"/>
  <c r="BP98" i="7"/>
  <c r="BO98" i="7"/>
  <c r="BN98" i="7"/>
  <c r="BM98" i="7"/>
  <c r="BL98" i="7"/>
  <c r="A98" i="7"/>
  <c r="CB97" i="7"/>
  <c r="CA97" i="7"/>
  <c r="BW97" i="7"/>
  <c r="BS97" i="7"/>
  <c r="BR97" i="7"/>
  <c r="BU97" i="7" s="1"/>
  <c r="BQ97" i="7"/>
  <c r="BT97" i="7" s="1"/>
  <c r="BP97" i="7"/>
  <c r="BO97" i="7"/>
  <c r="BM97" i="7" s="1"/>
  <c r="BN97" i="7"/>
  <c r="BL97" i="7"/>
  <c r="A97" i="7"/>
  <c r="CB96" i="7"/>
  <c r="CA96" i="7"/>
  <c r="BW96" i="7"/>
  <c r="BU96" i="7"/>
  <c r="BS96" i="7"/>
  <c r="BR96" i="7"/>
  <c r="BQ96" i="7"/>
  <c r="BP96" i="7"/>
  <c r="BO96" i="7"/>
  <c r="BN96" i="7"/>
  <c r="BM96" i="7"/>
  <c r="BL96" i="7"/>
  <c r="AP96" i="7"/>
  <c r="AJ96" i="7"/>
  <c r="AF96" i="7"/>
  <c r="AE96" i="7"/>
  <c r="AL96" i="7" s="1"/>
  <c r="AD96" i="7"/>
  <c r="AB96" i="7"/>
  <c r="AC96" i="7" s="1"/>
  <c r="Y96" i="7"/>
  <c r="X96" i="7"/>
  <c r="W96" i="7" s="1"/>
  <c r="V96" i="7"/>
  <c r="U96" i="7"/>
  <c r="T96" i="7"/>
  <c r="R96" i="7"/>
  <c r="Q96" i="7"/>
  <c r="P96" i="7"/>
  <c r="O96" i="7"/>
  <c r="N96" i="7"/>
  <c r="E96" i="7"/>
  <c r="D96" i="7"/>
  <c r="C96" i="7"/>
  <c r="B96" i="7"/>
  <c r="A96" i="7"/>
  <c r="CB95" i="7"/>
  <c r="CA95" i="7"/>
  <c r="BW95" i="7"/>
  <c r="BT95" i="7"/>
  <c r="BS95" i="7"/>
  <c r="BR95" i="7"/>
  <c r="BQ95" i="7"/>
  <c r="BP95" i="7"/>
  <c r="BO95" i="7"/>
  <c r="BN95" i="7"/>
  <c r="BU95" i="7" s="1"/>
  <c r="BL95" i="7"/>
  <c r="AP95" i="7"/>
  <c r="AM95" i="7"/>
  <c r="AL95" i="7"/>
  <c r="AK95" i="7"/>
  <c r="AJ95" i="7"/>
  <c r="AF95" i="7"/>
  <c r="AE95" i="7"/>
  <c r="AD95" i="7"/>
  <c r="AC95" i="7"/>
  <c r="AB95" i="7"/>
  <c r="Y95" i="7"/>
  <c r="X95" i="7"/>
  <c r="W95" i="7"/>
  <c r="U95" i="7"/>
  <c r="V95" i="7" s="1"/>
  <c r="R95" i="7"/>
  <c r="Q95" i="7"/>
  <c r="P95" i="7"/>
  <c r="N95" i="7"/>
  <c r="O95" i="7" s="1"/>
  <c r="E95" i="7"/>
  <c r="D95" i="7"/>
  <c r="C95" i="7"/>
  <c r="B95" i="7"/>
  <c r="A95" i="7"/>
  <c r="CB94" i="7"/>
  <c r="CA94" i="7"/>
  <c r="BW94" i="7"/>
  <c r="BS94" i="7"/>
  <c r="BQ94" i="7" s="1"/>
  <c r="BT94" i="7" s="1"/>
  <c r="BR94" i="7"/>
  <c r="BP94" i="7"/>
  <c r="BO94" i="7"/>
  <c r="BM94" i="7" s="1"/>
  <c r="BN94" i="7"/>
  <c r="BU94" i="7" s="1"/>
  <c r="BL94" i="7"/>
  <c r="AP94" i="7"/>
  <c r="AL94" i="7"/>
  <c r="AJ94" i="7"/>
  <c r="AI94" i="7"/>
  <c r="AH94" i="7"/>
  <c r="AG94" i="7"/>
  <c r="AF94" i="7"/>
  <c r="AE94" i="7"/>
  <c r="AD94" i="7"/>
  <c r="AK94" i="7" s="1"/>
  <c r="AB94" i="7"/>
  <c r="Y94" i="7"/>
  <c r="X94" i="7"/>
  <c r="U94" i="7"/>
  <c r="R94" i="7"/>
  <c r="T94" i="7" s="1"/>
  <c r="Q94" i="7"/>
  <c r="P94" i="7"/>
  <c r="N94" i="7"/>
  <c r="C94" i="7"/>
  <c r="B94" i="7"/>
  <c r="A94" i="7"/>
  <c r="CB93" i="7"/>
  <c r="CA93" i="7"/>
  <c r="BW93" i="7"/>
  <c r="BS93" i="7"/>
  <c r="BQ93" i="7" s="1"/>
  <c r="BT93" i="7" s="1"/>
  <c r="BR93" i="7"/>
  <c r="BU93" i="7" s="1"/>
  <c r="BP93" i="7"/>
  <c r="BO93" i="7"/>
  <c r="BM93" i="7" s="1"/>
  <c r="BN93" i="7"/>
  <c r="BL93" i="7"/>
  <c r="AP93" i="7"/>
  <c r="AJ93" i="7"/>
  <c r="AF93" i="7"/>
  <c r="AD93" i="7" s="1"/>
  <c r="AK93" i="7" s="1"/>
  <c r="AE93" i="7"/>
  <c r="AC93" i="7"/>
  <c r="AB93" i="7"/>
  <c r="Y93" i="7"/>
  <c r="X93" i="7"/>
  <c r="V93" i="7"/>
  <c r="U93" i="7"/>
  <c r="R93" i="7"/>
  <c r="P93" i="7" s="1"/>
  <c r="Q93" i="7"/>
  <c r="AL93" i="7" s="1"/>
  <c r="N93" i="7"/>
  <c r="O93" i="7" s="1"/>
  <c r="B93" i="7"/>
  <c r="A93" i="7"/>
  <c r="CB92" i="7"/>
  <c r="CA92" i="7"/>
  <c r="BW92" i="7"/>
  <c r="BS92" i="7"/>
  <c r="BR92" i="7"/>
  <c r="BP92" i="7"/>
  <c r="BO92" i="7"/>
  <c r="BN92" i="7"/>
  <c r="BL92" i="7"/>
  <c r="BK92" i="7"/>
  <c r="BJ92" i="7"/>
  <c r="BI92" i="7" s="1"/>
  <c r="BH92" i="7"/>
  <c r="BA92" i="7"/>
  <c r="AZ92" i="7"/>
  <c r="AX92" i="7"/>
  <c r="AW92" i="7"/>
  <c r="AV92" i="7"/>
  <c r="AU92" i="7"/>
  <c r="AT92" i="7"/>
  <c r="AS92" i="7"/>
  <c r="AR92" i="7"/>
  <c r="BC92" i="7" s="1"/>
  <c r="BF92" i="7" s="1"/>
  <c r="AP92" i="7"/>
  <c r="AL92" i="7"/>
  <c r="AJ92" i="7"/>
  <c r="AF92" i="7"/>
  <c r="AE92" i="7"/>
  <c r="AD92" i="7"/>
  <c r="AB92" i="7"/>
  <c r="AC92" i="7" s="1"/>
  <c r="Y92" i="7"/>
  <c r="X92" i="7"/>
  <c r="W92" i="7"/>
  <c r="U92" i="7"/>
  <c r="V92" i="7" s="1"/>
  <c r="R92" i="7"/>
  <c r="Q92" i="7"/>
  <c r="N92" i="7"/>
  <c r="O92" i="7" s="1"/>
  <c r="E92" i="7"/>
  <c r="D92" i="7"/>
  <c r="B92" i="7"/>
  <c r="C92" i="7" s="1"/>
  <c r="A92" i="7"/>
  <c r="CB91" i="7"/>
  <c r="CA91" i="7"/>
  <c r="BW91" i="7"/>
  <c r="BS91" i="7"/>
  <c r="BQ91" i="7" s="1"/>
  <c r="BT91" i="7" s="1"/>
  <c r="BR91" i="7"/>
  <c r="BP91" i="7"/>
  <c r="BO91" i="7"/>
  <c r="BN91" i="7"/>
  <c r="BU91" i="7" s="1"/>
  <c r="BM91" i="7"/>
  <c r="BL91" i="7"/>
  <c r="AP91" i="7"/>
  <c r="AK91" i="7"/>
  <c r="AJ91" i="7"/>
  <c r="AG91" i="7"/>
  <c r="AF91" i="7"/>
  <c r="AM91" i="7" s="1"/>
  <c r="AN91" i="7" s="1"/>
  <c r="AE91" i="7"/>
  <c r="AD91" i="7"/>
  <c r="AC91" i="7"/>
  <c r="AH91" i="7" s="1"/>
  <c r="AB91" i="7"/>
  <c r="Y91" i="7"/>
  <c r="X91" i="7"/>
  <c r="U91" i="7"/>
  <c r="V91" i="7" s="1"/>
  <c r="AA91" i="7" s="1"/>
  <c r="R91" i="7"/>
  <c r="P91" i="7" s="1"/>
  <c r="Q91" i="7"/>
  <c r="AL91" i="7" s="1"/>
  <c r="N91" i="7"/>
  <c r="O91" i="7" s="1"/>
  <c r="S91" i="7" s="1"/>
  <c r="E91" i="7"/>
  <c r="D91" i="7"/>
  <c r="C91" i="7"/>
  <c r="B91" i="7"/>
  <c r="A91" i="7"/>
  <c r="CB90" i="7"/>
  <c r="CA90" i="7"/>
  <c r="BW90" i="7"/>
  <c r="BU90" i="7"/>
  <c r="BS90" i="7"/>
  <c r="BQ90" i="7" s="1"/>
  <c r="BT90" i="7" s="1"/>
  <c r="BR90" i="7"/>
  <c r="BP90" i="7"/>
  <c r="BO90" i="7"/>
  <c r="BN90" i="7"/>
  <c r="BM90" i="7"/>
  <c r="BL90" i="7"/>
  <c r="AP90" i="7"/>
  <c r="AJ90" i="7"/>
  <c r="AF90" i="7"/>
  <c r="AE90" i="7"/>
  <c r="AL90" i="7" s="1"/>
  <c r="AB90" i="7"/>
  <c r="AC90" i="7" s="1"/>
  <c r="AI90" i="7" s="1"/>
  <c r="AA90" i="7"/>
  <c r="Z90" i="7"/>
  <c r="Y90" i="7"/>
  <c r="X90" i="7"/>
  <c r="U90" i="7"/>
  <c r="V90" i="7" s="1"/>
  <c r="R90" i="7"/>
  <c r="T90" i="7" s="1"/>
  <c r="Q90" i="7"/>
  <c r="O90" i="7"/>
  <c r="N90" i="7"/>
  <c r="C90" i="7"/>
  <c r="B90" i="7"/>
  <c r="E90" i="7" s="1"/>
  <c r="A90" i="7"/>
  <c r="CB89" i="7"/>
  <c r="CA89" i="7"/>
  <c r="BW89" i="7"/>
  <c r="BS89" i="7"/>
  <c r="BR89" i="7"/>
  <c r="BU89" i="7" s="1"/>
  <c r="BP89" i="7"/>
  <c r="BO89" i="7"/>
  <c r="BN89" i="7"/>
  <c r="BM89" i="7"/>
  <c r="BL89" i="7"/>
  <c r="AP89" i="7"/>
  <c r="AJ89" i="7"/>
  <c r="AH89" i="7"/>
  <c r="AG89" i="7"/>
  <c r="AF89" i="7"/>
  <c r="AE89" i="7"/>
  <c r="AB89" i="7"/>
  <c r="AC89" i="7" s="1"/>
  <c r="Y89" i="7"/>
  <c r="AM89" i="7" s="1"/>
  <c r="X89" i="7"/>
  <c r="V89" i="7"/>
  <c r="U89" i="7"/>
  <c r="R89" i="7"/>
  <c r="Q89" i="7"/>
  <c r="O89" i="7"/>
  <c r="AI89" i="7" s="1"/>
  <c r="N89" i="7"/>
  <c r="C89" i="7"/>
  <c r="B89" i="7"/>
  <c r="A89" i="7"/>
  <c r="CB88" i="7"/>
  <c r="CA88" i="7"/>
  <c r="BW88" i="7"/>
  <c r="BS88" i="7"/>
  <c r="BQ88" i="7" s="1"/>
  <c r="BT88" i="7" s="1"/>
  <c r="BR88" i="7"/>
  <c r="BU88" i="7" s="1"/>
  <c r="BP88" i="7"/>
  <c r="BO88" i="7"/>
  <c r="BM88" i="7" s="1"/>
  <c r="BN88" i="7"/>
  <c r="BL88" i="7"/>
  <c r="AP88" i="7"/>
  <c r="AJ88" i="7"/>
  <c r="AF88" i="7"/>
  <c r="AE88" i="7"/>
  <c r="AD88" i="7"/>
  <c r="AK88" i="7" s="1"/>
  <c r="AC88" i="7"/>
  <c r="AB88" i="7"/>
  <c r="Y88" i="7"/>
  <c r="X88" i="7"/>
  <c r="V88" i="7"/>
  <c r="U88" i="7"/>
  <c r="R88" i="7"/>
  <c r="P88" i="7" s="1"/>
  <c r="Q88" i="7"/>
  <c r="AL88" i="7" s="1"/>
  <c r="N88" i="7"/>
  <c r="O88" i="7" s="1"/>
  <c r="AI88" i="7" s="1"/>
  <c r="B88" i="7"/>
  <c r="A88" i="7"/>
  <c r="CB87" i="7"/>
  <c r="CA87" i="7"/>
  <c r="BW87" i="7"/>
  <c r="BS87" i="7"/>
  <c r="BR87" i="7"/>
  <c r="BP87" i="7"/>
  <c r="BO87" i="7"/>
  <c r="BN87" i="7"/>
  <c r="BL87" i="7"/>
  <c r="AP87" i="7"/>
  <c r="AJ87" i="7"/>
  <c r="AG87" i="7"/>
  <c r="AF87" i="7"/>
  <c r="AH87" i="7" s="1"/>
  <c r="AE87" i="7"/>
  <c r="AL87" i="7" s="1"/>
  <c r="AD87" i="7"/>
  <c r="AK87" i="7" s="1"/>
  <c r="AC87" i="7"/>
  <c r="AB87" i="7"/>
  <c r="Y87" i="7"/>
  <c r="X87" i="7"/>
  <c r="W87" i="7"/>
  <c r="U87" i="7"/>
  <c r="V87" i="7" s="1"/>
  <c r="R87" i="7"/>
  <c r="T87" i="7" s="1"/>
  <c r="Q87" i="7"/>
  <c r="P87" i="7" s="1"/>
  <c r="O87" i="7"/>
  <c r="N87" i="7"/>
  <c r="E87" i="7"/>
  <c r="B87" i="7"/>
  <c r="D87" i="7" s="1"/>
  <c r="A87" i="7"/>
  <c r="CB86" i="7"/>
  <c r="CA86" i="7"/>
  <c r="BW86" i="7"/>
  <c r="BS86" i="7"/>
  <c r="BR86" i="7"/>
  <c r="BQ86" i="7"/>
  <c r="BT86" i="7" s="1"/>
  <c r="BP86" i="7"/>
  <c r="BO86" i="7"/>
  <c r="BM86" i="7" s="1"/>
  <c r="BN86" i="7"/>
  <c r="BU86" i="7" s="1"/>
  <c r="BL86" i="7"/>
  <c r="AP86" i="7"/>
  <c r="AK86" i="7"/>
  <c r="AH86" i="7"/>
  <c r="AF86" i="7"/>
  <c r="AE86" i="7"/>
  <c r="AD86" i="7"/>
  <c r="AC86" i="7"/>
  <c r="AG86" i="7" s="1"/>
  <c r="AB86" i="7"/>
  <c r="AA86" i="7"/>
  <c r="Z86" i="7"/>
  <c r="Y86" i="7"/>
  <c r="X86" i="7"/>
  <c r="U86" i="7"/>
  <c r="V86" i="7" s="1"/>
  <c r="R86" i="7"/>
  <c r="Q86" i="7"/>
  <c r="AL86" i="7" s="1"/>
  <c r="N86" i="7"/>
  <c r="O86" i="7" s="1"/>
  <c r="S86" i="7" s="1"/>
  <c r="E86" i="7"/>
  <c r="D86" i="7"/>
  <c r="C86" i="7"/>
  <c r="A86" i="7"/>
  <c r="CB85" i="7"/>
  <c r="CA85" i="7"/>
  <c r="BW85" i="7"/>
  <c r="BS85" i="7"/>
  <c r="BQ85" i="7" s="1"/>
  <c r="BR85" i="7"/>
  <c r="BP85" i="7"/>
  <c r="BO85" i="7"/>
  <c r="BN85" i="7"/>
  <c r="BM85" i="7"/>
  <c r="BL85" i="7"/>
  <c r="BK85" i="7"/>
  <c r="BI85" i="7" s="1"/>
  <c r="BJ85" i="7"/>
  <c r="BH85" i="7"/>
  <c r="BA85" i="7"/>
  <c r="AY85" i="7" s="1"/>
  <c r="AZ85" i="7"/>
  <c r="AX85" i="7"/>
  <c r="AW85" i="7"/>
  <c r="AV85" i="7"/>
  <c r="AU85" i="7"/>
  <c r="AT85" i="7"/>
  <c r="AS85" i="7"/>
  <c r="AR85" i="7"/>
  <c r="BC85" i="7" s="1"/>
  <c r="AP85" i="7"/>
  <c r="AJ85" i="7"/>
  <c r="AF85" i="7"/>
  <c r="AD85" i="7" s="1"/>
  <c r="AK85" i="7" s="1"/>
  <c r="AE85" i="7"/>
  <c r="AL85" i="7" s="1"/>
  <c r="AB85" i="7"/>
  <c r="AC85" i="7" s="1"/>
  <c r="Y85" i="7"/>
  <c r="X85" i="7"/>
  <c r="W85" i="7" s="1"/>
  <c r="U85" i="7"/>
  <c r="V85" i="7" s="1"/>
  <c r="R85" i="7"/>
  <c r="Q85" i="7"/>
  <c r="P85" i="7"/>
  <c r="O85" i="7"/>
  <c r="T85" i="7" s="1"/>
  <c r="N85" i="7"/>
  <c r="E85" i="7"/>
  <c r="D85" i="7"/>
  <c r="C85" i="7"/>
  <c r="B85" i="7"/>
  <c r="A85" i="7"/>
  <c r="CB84" i="7"/>
  <c r="CA84" i="7"/>
  <c r="BW84" i="7"/>
  <c r="BU84" i="7"/>
  <c r="BT84" i="7"/>
  <c r="BS84" i="7"/>
  <c r="BR84" i="7"/>
  <c r="BQ84" i="7"/>
  <c r="BP84" i="7"/>
  <c r="BO84" i="7"/>
  <c r="BN84" i="7"/>
  <c r="BM84" i="7"/>
  <c r="BL84" i="7"/>
  <c r="AP84" i="7"/>
  <c r="AF84" i="7"/>
  <c r="AE84" i="7"/>
  <c r="AB84" i="7"/>
  <c r="AC84" i="7" s="1"/>
  <c r="AG84" i="7" s="1"/>
  <c r="Y84" i="7"/>
  <c r="W84" i="7" s="1"/>
  <c r="X84" i="7"/>
  <c r="U84" i="7"/>
  <c r="V84" i="7" s="1"/>
  <c r="AI84" i="7" s="1"/>
  <c r="R84" i="7"/>
  <c r="P84" i="7" s="1"/>
  <c r="Q84" i="7"/>
  <c r="N84" i="7"/>
  <c r="B84" i="7"/>
  <c r="A84" i="7"/>
  <c r="CB83" i="7"/>
  <c r="CA83" i="7"/>
  <c r="BW83" i="7"/>
  <c r="BS83" i="7"/>
  <c r="BR83" i="7"/>
  <c r="BU83" i="7" s="1"/>
  <c r="BP83" i="7"/>
  <c r="BO83" i="7"/>
  <c r="BM83" i="7" s="1"/>
  <c r="BN83" i="7"/>
  <c r="BL83" i="7"/>
  <c r="BK83" i="7"/>
  <c r="BI83" i="7" s="1"/>
  <c r="BJ83" i="7"/>
  <c r="BH83" i="7"/>
  <c r="BC83" i="7"/>
  <c r="BF83" i="7" s="1"/>
  <c r="BA83" i="7"/>
  <c r="AZ83" i="7"/>
  <c r="AX83" i="7"/>
  <c r="AW83" i="7"/>
  <c r="AV83" i="7"/>
  <c r="AU83" i="7"/>
  <c r="AT83" i="7"/>
  <c r="AS83" i="7"/>
  <c r="AQ83" i="7" s="1"/>
  <c r="AR83" i="7"/>
  <c r="AP83" i="7"/>
  <c r="AM83" i="7"/>
  <c r="AL83" i="7"/>
  <c r="AK83" i="7"/>
  <c r="AJ83" i="7"/>
  <c r="AF83" i="7"/>
  <c r="AE83" i="7"/>
  <c r="AD83" i="7"/>
  <c r="AB83" i="7"/>
  <c r="AC83" i="7" s="1"/>
  <c r="Y83" i="7"/>
  <c r="X83" i="7"/>
  <c r="W83" i="7"/>
  <c r="U83" i="7"/>
  <c r="V83" i="7" s="1"/>
  <c r="S83" i="7"/>
  <c r="R83" i="7"/>
  <c r="Q83" i="7"/>
  <c r="P83" i="7"/>
  <c r="O83" i="7"/>
  <c r="T83" i="7" s="1"/>
  <c r="N83" i="7"/>
  <c r="E83" i="7"/>
  <c r="D83" i="7"/>
  <c r="C83" i="7"/>
  <c r="B83" i="7"/>
  <c r="A83" i="7"/>
  <c r="CB82" i="7"/>
  <c r="CA82" i="7"/>
  <c r="BW82" i="7"/>
  <c r="BS82" i="7"/>
  <c r="BQ82" i="7" s="1"/>
  <c r="BT82" i="7" s="1"/>
  <c r="BR82" i="7"/>
  <c r="BP82" i="7"/>
  <c r="BO82" i="7"/>
  <c r="BM82" i="7" s="1"/>
  <c r="BN82" i="7"/>
  <c r="BU82" i="7" s="1"/>
  <c r="BL82" i="7"/>
  <c r="AP82" i="7"/>
  <c r="AI82" i="7"/>
  <c r="AF82" i="7"/>
  <c r="AE82" i="7"/>
  <c r="AB82" i="7"/>
  <c r="AC82" i="7" s="1"/>
  <c r="Y82" i="7"/>
  <c r="AA82" i="7" s="1"/>
  <c r="X82" i="7"/>
  <c r="W82" i="7"/>
  <c r="V82" i="7"/>
  <c r="U82" i="7"/>
  <c r="R82" i="7"/>
  <c r="T82" i="7" s="1"/>
  <c r="Q82" i="7"/>
  <c r="P82" i="7"/>
  <c r="N82" i="7"/>
  <c r="E82" i="7"/>
  <c r="D82" i="7"/>
  <c r="C82" i="7"/>
  <c r="A82" i="7"/>
  <c r="CB81" i="7"/>
  <c r="CA81" i="7"/>
  <c r="BW81" i="7"/>
  <c r="BU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A81" i="7"/>
  <c r="AZ81" i="7"/>
  <c r="AY81" i="7"/>
  <c r="BB81" i="7" s="1"/>
  <c r="AX81" i="7"/>
  <c r="AW81" i="7"/>
  <c r="AU81" i="7" s="1"/>
  <c r="AV81" i="7"/>
  <c r="AT81" i="7"/>
  <c r="AS81" i="7"/>
  <c r="AR81" i="7"/>
  <c r="AQ81" i="7"/>
  <c r="AP81" i="7"/>
  <c r="AJ81" i="7"/>
  <c r="AI81" i="7"/>
  <c r="AH81" i="7"/>
  <c r="AG81" i="7"/>
  <c r="AF81" i="7"/>
  <c r="AM81" i="7" s="1"/>
  <c r="AN81" i="7" s="1"/>
  <c r="AE81" i="7"/>
  <c r="AD81" i="7"/>
  <c r="AB81" i="7"/>
  <c r="Y81" i="7"/>
  <c r="W81" i="7" s="1"/>
  <c r="X81" i="7"/>
  <c r="AL81" i="7" s="1"/>
  <c r="U81" i="7"/>
  <c r="S81" i="7"/>
  <c r="R81" i="7"/>
  <c r="T81" i="7" s="1"/>
  <c r="Q81" i="7"/>
  <c r="N81" i="7"/>
  <c r="B81" i="7"/>
  <c r="A81" i="7"/>
  <c r="CB80" i="7"/>
  <c r="CA80" i="7"/>
  <c r="BW80" i="7"/>
  <c r="BS80" i="7"/>
  <c r="BR80" i="7"/>
  <c r="BQ80" i="7" s="1"/>
  <c r="BT80" i="7" s="1"/>
  <c r="BP80" i="7"/>
  <c r="BO80" i="7"/>
  <c r="BN80" i="7"/>
  <c r="BL80" i="7"/>
  <c r="AP80" i="7"/>
  <c r="AL80" i="7"/>
  <c r="AF80" i="7"/>
  <c r="AE80" i="7"/>
  <c r="AD80" i="7"/>
  <c r="AK80" i="7" s="1"/>
  <c r="AB80" i="7"/>
  <c r="AC80" i="7" s="1"/>
  <c r="Z80" i="7"/>
  <c r="Y80" i="7"/>
  <c r="X80" i="7"/>
  <c r="W80" i="7"/>
  <c r="V80" i="7"/>
  <c r="AA80" i="7" s="1"/>
  <c r="U80" i="7"/>
  <c r="R80" i="7"/>
  <c r="P80" i="7" s="1"/>
  <c r="Q80" i="7"/>
  <c r="N80" i="7"/>
  <c r="O80" i="7" s="1"/>
  <c r="AI80" i="7" s="1"/>
  <c r="E80" i="7"/>
  <c r="D80" i="7"/>
  <c r="C80" i="7"/>
  <c r="A80" i="7"/>
  <c r="CB79" i="7"/>
  <c r="CA79" i="7"/>
  <c r="BW79" i="7"/>
  <c r="BU79" i="7"/>
  <c r="BS79" i="7"/>
  <c r="BQ79" i="7" s="1"/>
  <c r="BT79" i="7" s="1"/>
  <c r="BR79" i="7"/>
  <c r="BP79" i="7"/>
  <c r="BO79" i="7"/>
  <c r="BN79" i="7"/>
  <c r="BM79" i="7"/>
  <c r="BL79" i="7"/>
  <c r="BK79" i="7"/>
  <c r="BI79" i="7" s="1"/>
  <c r="BJ79" i="7"/>
  <c r="BH79" i="7"/>
  <c r="BC79" i="7"/>
  <c r="BF79" i="7" s="1"/>
  <c r="BA79" i="7"/>
  <c r="AY79" i="7" s="1"/>
  <c r="AZ79" i="7"/>
  <c r="AX79" i="7"/>
  <c r="AW79" i="7"/>
  <c r="AV79" i="7"/>
  <c r="AU79" i="7" s="1"/>
  <c r="BB79" i="7" s="1"/>
  <c r="AT79" i="7"/>
  <c r="AS79" i="7"/>
  <c r="AQ79" i="7" s="1"/>
  <c r="AR79" i="7"/>
  <c r="AP79" i="7"/>
  <c r="AJ79" i="7"/>
  <c r="AI79" i="7"/>
  <c r="AH79" i="7"/>
  <c r="AG79" i="7"/>
  <c r="AF79" i="7"/>
  <c r="AE79" i="7"/>
  <c r="AL79" i="7" s="1"/>
  <c r="AB79" i="7"/>
  <c r="Y79" i="7"/>
  <c r="X79" i="7"/>
  <c r="U79" i="7"/>
  <c r="T79" i="7"/>
  <c r="S79" i="7"/>
  <c r="R79" i="7"/>
  <c r="Q79" i="7"/>
  <c r="P79" i="7"/>
  <c r="N79" i="7"/>
  <c r="B79" i="7"/>
  <c r="E79" i="7" s="1"/>
  <c r="A79" i="7"/>
  <c r="CB78" i="7"/>
  <c r="CA78" i="7"/>
  <c r="BW78" i="7"/>
  <c r="BS78" i="7"/>
  <c r="BR78" i="7"/>
  <c r="BU78" i="7" s="1"/>
  <c r="BP78" i="7"/>
  <c r="BO78" i="7"/>
  <c r="BM78" i="7" s="1"/>
  <c r="BN78" i="7"/>
  <c r="BL78" i="7"/>
  <c r="AP78" i="7"/>
  <c r="AI78" i="7"/>
  <c r="AF78" i="7"/>
  <c r="AD78" i="7" s="1"/>
  <c r="AK78" i="7" s="1"/>
  <c r="AE78" i="7"/>
  <c r="AC78" i="7"/>
  <c r="AB78" i="7"/>
  <c r="Y78" i="7"/>
  <c r="AA78" i="7" s="1"/>
  <c r="X78" i="7"/>
  <c r="V78" i="7"/>
  <c r="U78" i="7"/>
  <c r="R78" i="7"/>
  <c r="T78" i="7" s="1"/>
  <c r="Q78" i="7"/>
  <c r="P78" i="7"/>
  <c r="N78" i="7"/>
  <c r="E78" i="7"/>
  <c r="D78" i="7"/>
  <c r="C78" i="7"/>
  <c r="A78" i="7"/>
  <c r="CB77" i="7"/>
  <c r="CA77" i="7"/>
  <c r="BW77" i="7"/>
  <c r="BU77" i="7"/>
  <c r="BS77" i="7"/>
  <c r="BR77" i="7"/>
  <c r="BQ77" i="7"/>
  <c r="BP77" i="7"/>
  <c r="BO77" i="7"/>
  <c r="BN77" i="7"/>
  <c r="BM77" i="7"/>
  <c r="BT77" i="7" s="1"/>
  <c r="BL77" i="7"/>
  <c r="BK77" i="7"/>
  <c r="BJ77" i="7"/>
  <c r="BI77" i="7"/>
  <c r="BH77" i="7"/>
  <c r="BA77" i="7"/>
  <c r="AY77" i="7" s="1"/>
  <c r="AZ77" i="7"/>
  <c r="AX77" i="7"/>
  <c r="AW77" i="7"/>
  <c r="BD77" i="7" s="1"/>
  <c r="AV77" i="7"/>
  <c r="AT77" i="7"/>
  <c r="AS77" i="7"/>
  <c r="AQ77" i="7" s="1"/>
  <c r="AR77" i="7"/>
  <c r="AP77" i="7"/>
  <c r="AJ77" i="7"/>
  <c r="AF77" i="7"/>
  <c r="AE77" i="7"/>
  <c r="AB77" i="7"/>
  <c r="AC77" i="7" s="1"/>
  <c r="AA77" i="7"/>
  <c r="Z77" i="7"/>
  <c r="Y77" i="7"/>
  <c r="X77" i="7"/>
  <c r="U77" i="7"/>
  <c r="V77" i="7" s="1"/>
  <c r="R77" i="7"/>
  <c r="T77" i="7" s="1"/>
  <c r="Q77" i="7"/>
  <c r="O77" i="7"/>
  <c r="N77" i="7"/>
  <c r="B77" i="7"/>
  <c r="E77" i="7" s="1"/>
  <c r="A77" i="7"/>
  <c r="CB76" i="7"/>
  <c r="CA76" i="7"/>
  <c r="BW76" i="7"/>
  <c r="BS76" i="7"/>
  <c r="BR76" i="7"/>
  <c r="BU76" i="7" s="1"/>
  <c r="BQ76" i="7"/>
  <c r="BT76" i="7" s="1"/>
  <c r="BP76" i="7"/>
  <c r="BO76" i="7"/>
  <c r="BN76" i="7"/>
  <c r="BM76" i="7"/>
  <c r="BL76" i="7"/>
  <c r="AP76" i="7"/>
  <c r="AM76" i="7"/>
  <c r="AL76" i="7"/>
  <c r="AF76" i="7"/>
  <c r="AE76" i="7"/>
  <c r="AD76" i="7" s="1"/>
  <c r="AK76" i="7" s="1"/>
  <c r="AB76" i="7"/>
  <c r="AC76" i="7" s="1"/>
  <c r="AG76" i="7" s="1"/>
  <c r="Y76" i="7"/>
  <c r="W76" i="7" s="1"/>
  <c r="X76" i="7"/>
  <c r="V76" i="7"/>
  <c r="U76" i="7"/>
  <c r="T76" i="7"/>
  <c r="S76" i="7"/>
  <c r="R76" i="7"/>
  <c r="Q76" i="7"/>
  <c r="P76" i="7"/>
  <c r="N76" i="7"/>
  <c r="B76" i="7"/>
  <c r="E76" i="7" s="1"/>
  <c r="A76" i="7"/>
  <c r="CB75" i="7"/>
  <c r="CA75" i="7"/>
  <c r="BW75" i="7"/>
  <c r="BS75" i="7"/>
  <c r="BR75" i="7"/>
  <c r="BU75" i="7" s="1"/>
  <c r="BP75" i="7"/>
  <c r="BO75" i="7"/>
  <c r="BM75" i="7" s="1"/>
  <c r="BN75" i="7"/>
  <c r="BL75" i="7"/>
  <c r="AI75" i="7"/>
  <c r="AH75" i="7"/>
  <c r="AF75" i="7"/>
  <c r="AG75" i="7" s="1"/>
  <c r="AE75" i="7"/>
  <c r="AD75" i="7"/>
  <c r="AK75" i="7" s="1"/>
  <c r="AB75" i="7"/>
  <c r="Y75" i="7"/>
  <c r="AA75" i="7" s="1"/>
  <c r="X75" i="7"/>
  <c r="V75" i="7"/>
  <c r="U75" i="7"/>
  <c r="T75" i="7"/>
  <c r="R75" i="7"/>
  <c r="S75" i="7" s="1"/>
  <c r="Q75" i="7"/>
  <c r="AL75" i="7" s="1"/>
  <c r="P75" i="7"/>
  <c r="O75" i="7"/>
  <c r="E75" i="7"/>
  <c r="D75" i="7"/>
  <c r="C75" i="7"/>
  <c r="B75" i="7"/>
  <c r="A75" i="7"/>
  <c r="CB74" i="7"/>
  <c r="CA74" i="7"/>
  <c r="BW74" i="7"/>
  <c r="BS74" i="7"/>
  <c r="BR74" i="7"/>
  <c r="BQ74" i="7"/>
  <c r="BP74" i="7"/>
  <c r="BO74" i="7"/>
  <c r="BM74" i="7" s="1"/>
  <c r="BN74" i="7"/>
  <c r="BU74" i="7" s="1"/>
  <c r="BL74" i="7"/>
  <c r="AP74" i="7"/>
  <c r="AI74" i="7"/>
  <c r="AH74" i="7"/>
  <c r="AG74" i="7"/>
  <c r="AF74" i="7"/>
  <c r="AE74" i="7"/>
  <c r="AB74" i="7"/>
  <c r="Y74" i="7"/>
  <c r="AA74" i="7" s="1"/>
  <c r="X74" i="7"/>
  <c r="AL74" i="7" s="1"/>
  <c r="V74" i="7"/>
  <c r="U74" i="7"/>
  <c r="S74" i="7"/>
  <c r="R74" i="7"/>
  <c r="T74" i="7" s="1"/>
  <c r="Q74" i="7"/>
  <c r="P74" i="7"/>
  <c r="O74" i="7"/>
  <c r="N74" i="7"/>
  <c r="B74" i="7"/>
  <c r="E74" i="7" s="1"/>
  <c r="A74" i="7"/>
  <c r="CB73" i="7"/>
  <c r="CA73" i="7"/>
  <c r="BW73" i="7"/>
  <c r="BS73" i="7"/>
  <c r="BR73" i="7"/>
  <c r="BQ73" i="7"/>
  <c r="BP73" i="7"/>
  <c r="BO73" i="7"/>
  <c r="BN73" i="7"/>
  <c r="BL73" i="7"/>
  <c r="AP73" i="7"/>
  <c r="AF73" i="7"/>
  <c r="AG73" i="7" s="1"/>
  <c r="AE73" i="7"/>
  <c r="AL73" i="7" s="1"/>
  <c r="AC73" i="7"/>
  <c r="AB73" i="7"/>
  <c r="Y73" i="7"/>
  <c r="X73" i="7"/>
  <c r="W73" i="7" s="1"/>
  <c r="U73" i="7"/>
  <c r="V73" i="7" s="1"/>
  <c r="S73" i="7"/>
  <c r="R73" i="7"/>
  <c r="T73" i="7" s="1"/>
  <c r="Q73" i="7"/>
  <c r="P73" i="7"/>
  <c r="O73" i="7"/>
  <c r="N73" i="7"/>
  <c r="C73" i="7"/>
  <c r="B73" i="7"/>
  <c r="E73" i="7" s="1"/>
  <c r="A73" i="7"/>
  <c r="CB72" i="7"/>
  <c r="CA72" i="7"/>
  <c r="BW72" i="7"/>
  <c r="BS72" i="7"/>
  <c r="BQ72" i="7" s="1"/>
  <c r="BT72" i="7" s="1"/>
  <c r="BR72" i="7"/>
  <c r="BU72" i="7" s="1"/>
  <c r="BP72" i="7"/>
  <c r="BO72" i="7"/>
  <c r="BM72" i="7" s="1"/>
  <c r="BN72" i="7"/>
  <c r="BL72" i="7"/>
  <c r="AF72" i="7"/>
  <c r="AM72" i="7" s="1"/>
  <c r="AE72" i="7"/>
  <c r="AL72" i="7" s="1"/>
  <c r="AD72" i="7"/>
  <c r="AK72" i="7" s="1"/>
  <c r="AC72" i="7"/>
  <c r="AB72" i="7"/>
  <c r="Y72" i="7"/>
  <c r="X72" i="7"/>
  <c r="W72" i="7"/>
  <c r="V72" i="7"/>
  <c r="AA72" i="7" s="1"/>
  <c r="U72" i="7"/>
  <c r="T72" i="7"/>
  <c r="S72" i="7"/>
  <c r="R72" i="7"/>
  <c r="Q72" i="7"/>
  <c r="P72" i="7"/>
  <c r="E72" i="7"/>
  <c r="D72" i="7"/>
  <c r="C72" i="7"/>
  <c r="B72" i="7"/>
  <c r="A72" i="7"/>
  <c r="CB71" i="7"/>
  <c r="CA71" i="7"/>
  <c r="BW71" i="7"/>
  <c r="CB69" i="7"/>
  <c r="CA69" i="7"/>
  <c r="BW69" i="7"/>
  <c r="CB68" i="7"/>
  <c r="CA68" i="7"/>
  <c r="BW68" i="7"/>
  <c r="V66" i="7"/>
  <c r="CB65" i="7"/>
  <c r="CA65" i="7"/>
  <c r="BZ65" i="7"/>
  <c r="BX65" i="7" s="1"/>
  <c r="BY65" i="7"/>
  <c r="BW65" i="7"/>
  <c r="BS65" i="7"/>
  <c r="BQ65" i="7" s="1"/>
  <c r="BR65" i="7"/>
  <c r="BP65" i="7"/>
  <c r="BO65" i="7"/>
  <c r="BN65" i="7"/>
  <c r="BU65" i="7" s="1"/>
  <c r="BL65" i="7"/>
  <c r="BK65" i="7"/>
  <c r="BI65" i="7" s="1"/>
  <c r="BJ65" i="7"/>
  <c r="BH65" i="7"/>
  <c r="BC65" i="7"/>
  <c r="BA65" i="7"/>
  <c r="AY65" i="7" s="1"/>
  <c r="AZ65" i="7"/>
  <c r="AX65" i="7"/>
  <c r="AW65" i="7"/>
  <c r="AV65" i="7"/>
  <c r="AU65" i="7" s="1"/>
  <c r="BB65" i="7" s="1"/>
  <c r="AT65" i="7"/>
  <c r="AS65" i="7"/>
  <c r="AQ65" i="7" s="1"/>
  <c r="AR65" i="7"/>
  <c r="AP65" i="7"/>
  <c r="AJ65" i="7"/>
  <c r="AF65" i="7"/>
  <c r="AG65" i="7" s="1"/>
  <c r="AE65" i="7"/>
  <c r="AD65" i="7"/>
  <c r="AB65" i="7"/>
  <c r="AC65" i="7" s="1"/>
  <c r="AH65" i="7" s="1"/>
  <c r="Y65" i="7"/>
  <c r="X65" i="7"/>
  <c r="U65" i="7"/>
  <c r="V65" i="7" s="1"/>
  <c r="Z65" i="7" s="1"/>
  <c r="R65" i="7"/>
  <c r="P65" i="7" s="1"/>
  <c r="Q65" i="7"/>
  <c r="AL65" i="7" s="1"/>
  <c r="N65" i="7"/>
  <c r="O65" i="7" s="1"/>
  <c r="L65" i="7"/>
  <c r="K65" i="7"/>
  <c r="J65" i="7"/>
  <c r="I65" i="7"/>
  <c r="H65" i="7"/>
  <c r="G65" i="7"/>
  <c r="F65" i="7"/>
  <c r="E65" i="7"/>
  <c r="D65" i="7"/>
  <c r="C65" i="7"/>
  <c r="B65" i="7"/>
  <c r="A65" i="7"/>
  <c r="CB64" i="7"/>
  <c r="CA64" i="7"/>
  <c r="BZ64" i="7"/>
  <c r="BX64" i="7" s="1"/>
  <c r="BY64" i="7"/>
  <c r="BW64" i="7"/>
  <c r="BU64" i="7"/>
  <c r="BS64" i="7"/>
  <c r="BR64" i="7"/>
  <c r="BP64" i="7"/>
  <c r="BO64" i="7"/>
  <c r="BN64" i="7"/>
  <c r="BM64" i="7"/>
  <c r="BL64" i="7"/>
  <c r="BK64" i="7"/>
  <c r="BI64" i="7" s="1"/>
  <c r="BJ64" i="7"/>
  <c r="BH64" i="7"/>
  <c r="BC64" i="7"/>
  <c r="BF64" i="7" s="1"/>
  <c r="BA64" i="7"/>
  <c r="AY64" i="7" s="1"/>
  <c r="BB64" i="7" s="1"/>
  <c r="BE64" i="7" s="1"/>
  <c r="AZ64" i="7"/>
  <c r="AX64" i="7"/>
  <c r="AW64" i="7"/>
  <c r="BD64" i="7" s="1"/>
  <c r="BG64" i="7" s="1"/>
  <c r="AV64" i="7"/>
  <c r="AU64" i="7"/>
  <c r="AT64" i="7"/>
  <c r="AS64" i="7"/>
  <c r="AQ64" i="7" s="1"/>
  <c r="AR64" i="7"/>
  <c r="AP64" i="7"/>
  <c r="AM64" i="7"/>
  <c r="AO64" i="7" s="1"/>
  <c r="AL64" i="7"/>
  <c r="AJ64" i="7"/>
  <c r="AF64" i="7"/>
  <c r="AE64" i="7"/>
  <c r="AD64" i="7"/>
  <c r="AK64" i="7" s="1"/>
  <c r="AC64" i="7"/>
  <c r="AB64" i="7"/>
  <c r="Y64" i="7"/>
  <c r="X64" i="7"/>
  <c r="W64" i="7"/>
  <c r="U64" i="7"/>
  <c r="V64" i="7" s="1"/>
  <c r="T64" i="7"/>
  <c r="R64" i="7"/>
  <c r="Q64" i="7"/>
  <c r="P64" i="7" s="1"/>
  <c r="O64" i="7"/>
  <c r="AI64" i="7" s="1"/>
  <c r="N64" i="7"/>
  <c r="L64" i="7"/>
  <c r="K64" i="7"/>
  <c r="J64" i="7"/>
  <c r="F64" i="7"/>
  <c r="G64" i="7" s="1"/>
  <c r="E64" i="7"/>
  <c r="D64" i="7"/>
  <c r="C64" i="7"/>
  <c r="B64" i="7"/>
  <c r="I64" i="7" s="1"/>
  <c r="A64" i="7"/>
  <c r="CB63" i="7"/>
  <c r="CA63" i="7"/>
  <c r="BZ63" i="7"/>
  <c r="BY63" i="7"/>
  <c r="BX63" i="7"/>
  <c r="BW63" i="7"/>
  <c r="BS63" i="7"/>
  <c r="BR63" i="7"/>
  <c r="BU63" i="7" s="1"/>
  <c r="BP63" i="7"/>
  <c r="BO63" i="7"/>
  <c r="BM63" i="7" s="1"/>
  <c r="BN63" i="7"/>
  <c r="BL63" i="7"/>
  <c r="BK63" i="7"/>
  <c r="BJ63" i="7"/>
  <c r="BI63" i="7" s="1"/>
  <c r="BH63" i="7"/>
  <c r="BA63" i="7"/>
  <c r="BD63" i="7" s="1"/>
  <c r="AZ63" i="7"/>
  <c r="AY63" i="7"/>
  <c r="AX63" i="7"/>
  <c r="AW63" i="7"/>
  <c r="AU63" i="7" s="1"/>
  <c r="AV63" i="7"/>
  <c r="AT63" i="7"/>
  <c r="AS63" i="7"/>
  <c r="AR63" i="7"/>
  <c r="BC63" i="7" s="1"/>
  <c r="BF63" i="7" s="1"/>
  <c r="AQ63" i="7"/>
  <c r="AP63" i="7"/>
  <c r="AL63" i="7"/>
  <c r="AJ63" i="7"/>
  <c r="AF63" i="7"/>
  <c r="AG63" i="7" s="1"/>
  <c r="AE63" i="7"/>
  <c r="AD63" i="7"/>
  <c r="AB63" i="7"/>
  <c r="AC63" i="7" s="1"/>
  <c r="AH63" i="7" s="1"/>
  <c r="AA63" i="7"/>
  <c r="Y63" i="7"/>
  <c r="W63" i="7" s="1"/>
  <c r="X63" i="7"/>
  <c r="V63" i="7"/>
  <c r="Z63" i="7" s="1"/>
  <c r="U63" i="7"/>
  <c r="R63" i="7"/>
  <c r="P63" i="7" s="1"/>
  <c r="Q63" i="7"/>
  <c r="N63" i="7"/>
  <c r="O63" i="7" s="1"/>
  <c r="J63" i="7"/>
  <c r="L63" i="7" s="1"/>
  <c r="G63" i="7"/>
  <c r="F63" i="7"/>
  <c r="B63" i="7"/>
  <c r="H63" i="7" s="1"/>
  <c r="A63" i="7"/>
  <c r="CB62" i="7"/>
  <c r="CA62" i="7"/>
  <c r="BZ62" i="7"/>
  <c r="BY62" i="7"/>
  <c r="BX62" i="7" s="1"/>
  <c r="BW62" i="7"/>
  <c r="BV62" i="7"/>
  <c r="BS62" i="7"/>
  <c r="BR62" i="7"/>
  <c r="BQ62" i="7"/>
  <c r="BT62" i="7" s="1"/>
  <c r="BP62" i="7"/>
  <c r="BO62" i="7"/>
  <c r="BM62" i="7" s="1"/>
  <c r="BN62" i="7"/>
  <c r="BU62" i="7" s="1"/>
  <c r="BL62" i="7"/>
  <c r="BK62" i="7"/>
  <c r="BJ62" i="7"/>
  <c r="BI62" i="7"/>
  <c r="BH62" i="7"/>
  <c r="BA62" i="7"/>
  <c r="BD62" i="7" s="1"/>
  <c r="BG62" i="7" s="1"/>
  <c r="AZ62" i="7"/>
  <c r="AY62" i="7"/>
  <c r="AX62" i="7"/>
  <c r="AW62" i="7"/>
  <c r="AU62" i="7" s="1"/>
  <c r="AV62" i="7"/>
  <c r="AT62" i="7"/>
  <c r="AS62" i="7"/>
  <c r="AR62" i="7"/>
  <c r="BC62" i="7" s="1"/>
  <c r="BF62" i="7" s="1"/>
  <c r="AQ62" i="7"/>
  <c r="AP62" i="7"/>
  <c r="AJ62" i="7"/>
  <c r="AH62" i="7"/>
  <c r="AF62" i="7"/>
  <c r="AD62" i="7" s="1"/>
  <c r="AK62" i="7" s="1"/>
  <c r="AE62" i="7"/>
  <c r="AL62" i="7" s="1"/>
  <c r="AC62" i="7"/>
  <c r="AG62" i="7" s="1"/>
  <c r="AB62" i="7"/>
  <c r="Y62" i="7"/>
  <c r="AM62" i="7" s="1"/>
  <c r="X62" i="7"/>
  <c r="U62" i="7"/>
  <c r="V62" i="7" s="1"/>
  <c r="R62" i="7"/>
  <c r="P62" i="7" s="1"/>
  <c r="Q62" i="7"/>
  <c r="O62" i="7"/>
  <c r="N62" i="7"/>
  <c r="J62" i="7"/>
  <c r="L62" i="7" s="1"/>
  <c r="I62" i="7"/>
  <c r="F62" i="7"/>
  <c r="G62" i="7" s="1"/>
  <c r="B62" i="7"/>
  <c r="E62" i="7" s="1"/>
  <c r="A62" i="7"/>
  <c r="CB61" i="7"/>
  <c r="CA61" i="7"/>
  <c r="BZ61" i="7"/>
  <c r="BY61" i="7"/>
  <c r="BX61" i="7"/>
  <c r="BW61" i="7"/>
  <c r="BV61" i="7"/>
  <c r="BU61" i="7"/>
  <c r="BS61" i="7"/>
  <c r="BQ61" i="7" s="1"/>
  <c r="BT61" i="7" s="1"/>
  <c r="BR61" i="7"/>
  <c r="BP61" i="7"/>
  <c r="BO61" i="7"/>
  <c r="BN61" i="7"/>
  <c r="BM61" i="7"/>
  <c r="BL61" i="7"/>
  <c r="BK61" i="7"/>
  <c r="BI61" i="7" s="1"/>
  <c r="BJ61" i="7"/>
  <c r="BH61" i="7"/>
  <c r="BA61" i="7"/>
  <c r="AZ61" i="7"/>
  <c r="AY61" i="7" s="1"/>
  <c r="AX61" i="7"/>
  <c r="AW61" i="7"/>
  <c r="AU61" i="7" s="1"/>
  <c r="AV61" i="7"/>
  <c r="AT61" i="7"/>
  <c r="AS61" i="7"/>
  <c r="AR61" i="7"/>
  <c r="BC61" i="7" s="1"/>
  <c r="AP61" i="7"/>
  <c r="AJ61" i="7"/>
  <c r="AF61" i="7"/>
  <c r="AM61" i="7" s="1"/>
  <c r="AE61" i="7"/>
  <c r="AB61" i="7"/>
  <c r="AC61" i="7" s="1"/>
  <c r="Y61" i="7"/>
  <c r="W61" i="7" s="1"/>
  <c r="X61" i="7"/>
  <c r="AL61" i="7" s="1"/>
  <c r="V61" i="7"/>
  <c r="U61" i="7"/>
  <c r="R61" i="7"/>
  <c r="T61" i="7" s="1"/>
  <c r="Q61" i="7"/>
  <c r="N61" i="7"/>
  <c r="O61" i="7" s="1"/>
  <c r="K61" i="7"/>
  <c r="J61" i="7"/>
  <c r="L61" i="7" s="1"/>
  <c r="I61" i="7"/>
  <c r="H61" i="7"/>
  <c r="G61" i="7"/>
  <c r="F61" i="7"/>
  <c r="C61" i="7"/>
  <c r="B61" i="7"/>
  <c r="E61" i="7" s="1"/>
  <c r="A61" i="7"/>
  <c r="CB60" i="7"/>
  <c r="CA60" i="7"/>
  <c r="BZ60" i="7"/>
  <c r="BX60" i="7" s="1"/>
  <c r="BY60" i="7"/>
  <c r="BW60" i="7"/>
  <c r="BU60" i="7"/>
  <c r="BS60" i="7"/>
  <c r="BQ60" i="7" s="1"/>
  <c r="BT60" i="7" s="1"/>
  <c r="BR60" i="7"/>
  <c r="BP60" i="7"/>
  <c r="BO60" i="7"/>
  <c r="BV60" i="7" s="1"/>
  <c r="BN60" i="7"/>
  <c r="BM60" i="7"/>
  <c r="BL60" i="7"/>
  <c r="BK60" i="7"/>
  <c r="BI60" i="7" s="1"/>
  <c r="BJ60" i="7"/>
  <c r="BH60" i="7"/>
  <c r="BD60" i="7"/>
  <c r="BA60" i="7"/>
  <c r="AZ60" i="7"/>
  <c r="AY60" i="7"/>
  <c r="BB60" i="7" s="1"/>
  <c r="AX60" i="7"/>
  <c r="AW60" i="7"/>
  <c r="AU60" i="7" s="1"/>
  <c r="AV60" i="7"/>
  <c r="BC60" i="7" s="1"/>
  <c r="AT60" i="7"/>
  <c r="AS60" i="7"/>
  <c r="AR60" i="7"/>
  <c r="AQ60" i="7"/>
  <c r="AP60" i="7"/>
  <c r="AJ60" i="7"/>
  <c r="AF60" i="7"/>
  <c r="AD60" i="7" s="1"/>
  <c r="AE60" i="7"/>
  <c r="AL60" i="7" s="1"/>
  <c r="AC60" i="7"/>
  <c r="AB60" i="7"/>
  <c r="Y60" i="7"/>
  <c r="X60" i="7"/>
  <c r="U60" i="7"/>
  <c r="V60" i="7" s="1"/>
  <c r="AI60" i="7" s="1"/>
  <c r="S60" i="7"/>
  <c r="R60" i="7"/>
  <c r="T60" i="7" s="1"/>
  <c r="Q60" i="7"/>
  <c r="P60" i="7"/>
  <c r="O60" i="7"/>
  <c r="N60" i="7"/>
  <c r="J60" i="7"/>
  <c r="L60" i="7" s="1"/>
  <c r="H60" i="7"/>
  <c r="G60" i="7"/>
  <c r="F60" i="7"/>
  <c r="B60" i="7"/>
  <c r="E60" i="7" s="1"/>
  <c r="A60" i="7"/>
  <c r="CB59" i="7"/>
  <c r="CA59" i="7"/>
  <c r="BZ59" i="7"/>
  <c r="BX59" i="7" s="1"/>
  <c r="BY59" i="7"/>
  <c r="BW59" i="7"/>
  <c r="BS59" i="7"/>
  <c r="BQ59" i="7" s="1"/>
  <c r="BR59" i="7"/>
  <c r="BP59" i="7"/>
  <c r="BO59" i="7"/>
  <c r="BN59" i="7"/>
  <c r="BU59" i="7" s="1"/>
  <c r="BL59" i="7"/>
  <c r="BK59" i="7"/>
  <c r="BI59" i="7" s="1"/>
  <c r="BJ59" i="7"/>
  <c r="BH59" i="7"/>
  <c r="BD59" i="7"/>
  <c r="BG59" i="7" s="1"/>
  <c r="BC59" i="7"/>
  <c r="BF59" i="7" s="1"/>
  <c r="BA59" i="7"/>
  <c r="AY59" i="7" s="1"/>
  <c r="BB59" i="7" s="1"/>
  <c r="AZ59" i="7"/>
  <c r="AX59" i="7"/>
  <c r="AW59" i="7"/>
  <c r="AV59" i="7"/>
  <c r="AU59" i="7"/>
  <c r="AT59" i="7"/>
  <c r="AS59" i="7"/>
  <c r="AQ59" i="7" s="1"/>
  <c r="AR59" i="7"/>
  <c r="AP59" i="7"/>
  <c r="AM59" i="7"/>
  <c r="AO59" i="7" s="1"/>
  <c r="AJ59" i="7"/>
  <c r="AF59" i="7"/>
  <c r="AH59" i="7" s="1"/>
  <c r="AE59" i="7"/>
  <c r="AL59" i="7" s="1"/>
  <c r="AB59" i="7"/>
  <c r="AC59" i="7" s="1"/>
  <c r="Z59" i="7"/>
  <c r="Y59" i="7"/>
  <c r="AA59" i="7" s="1"/>
  <c r="X59" i="7"/>
  <c r="W59" i="7"/>
  <c r="V59" i="7"/>
  <c r="U59" i="7"/>
  <c r="R59" i="7"/>
  <c r="T59" i="7" s="1"/>
  <c r="Q59" i="7"/>
  <c r="P59" i="7"/>
  <c r="O59" i="7"/>
  <c r="AI59" i="7" s="1"/>
  <c r="N59" i="7"/>
  <c r="L59" i="7"/>
  <c r="K59" i="7"/>
  <c r="J59" i="7"/>
  <c r="I59" i="7"/>
  <c r="H59" i="7"/>
  <c r="F59" i="7"/>
  <c r="G59" i="7" s="1"/>
  <c r="E59" i="7"/>
  <c r="D59" i="7"/>
  <c r="C59" i="7"/>
  <c r="B59" i="7"/>
  <c r="A59" i="7"/>
  <c r="CB58" i="7"/>
  <c r="CA58" i="7"/>
  <c r="BZ58" i="7"/>
  <c r="BX58" i="7" s="1"/>
  <c r="BY58" i="7"/>
  <c r="BW58" i="7"/>
  <c r="BS58" i="7"/>
  <c r="BV58" i="7" s="1"/>
  <c r="BR58" i="7"/>
  <c r="BU58" i="7" s="1"/>
  <c r="BP58" i="7"/>
  <c r="BO58" i="7"/>
  <c r="BN58" i="7"/>
  <c r="BM58" i="7"/>
  <c r="BL58" i="7"/>
  <c r="BK58" i="7"/>
  <c r="BI58" i="7" s="1"/>
  <c r="BJ58" i="7"/>
  <c r="BH58" i="7"/>
  <c r="BC58" i="7"/>
  <c r="BF58" i="7" s="1"/>
  <c r="BA58" i="7"/>
  <c r="AY58" i="7" s="1"/>
  <c r="AZ58" i="7"/>
  <c r="AX58" i="7"/>
  <c r="AW58" i="7"/>
  <c r="BD58" i="7" s="1"/>
  <c r="BG58" i="7" s="1"/>
  <c r="AV58" i="7"/>
  <c r="AU58" i="7"/>
  <c r="AT58" i="7"/>
  <c r="AS58" i="7"/>
  <c r="AQ58" i="7" s="1"/>
  <c r="AR58" i="7"/>
  <c r="AP58" i="7"/>
  <c r="AM58" i="7"/>
  <c r="AO58" i="7" s="1"/>
  <c r="AL58" i="7"/>
  <c r="AJ58" i="7"/>
  <c r="AG58" i="7"/>
  <c r="AF58" i="7"/>
  <c r="AH58" i="7" s="1"/>
  <c r="AE58" i="7"/>
  <c r="AD58" i="7"/>
  <c r="AC58" i="7"/>
  <c r="AB58" i="7"/>
  <c r="Y58" i="7"/>
  <c r="AA58" i="7" s="1"/>
  <c r="X58" i="7"/>
  <c r="W58" i="7"/>
  <c r="V58" i="7"/>
  <c r="U58" i="7"/>
  <c r="R58" i="7"/>
  <c r="Q58" i="7"/>
  <c r="P58" i="7" s="1"/>
  <c r="N58" i="7"/>
  <c r="O58" i="7" s="1"/>
  <c r="L58" i="7"/>
  <c r="J58" i="7"/>
  <c r="K58" i="7" s="1"/>
  <c r="H58" i="7"/>
  <c r="F58" i="7"/>
  <c r="G58" i="7" s="1"/>
  <c r="E58" i="7"/>
  <c r="D58" i="7"/>
  <c r="B58" i="7"/>
  <c r="C58" i="7" s="1"/>
  <c r="A58" i="7"/>
  <c r="CB57" i="7"/>
  <c r="CA57" i="7"/>
  <c r="BZ57" i="7"/>
  <c r="BX57" i="7" s="1"/>
  <c r="BY57" i="7"/>
  <c r="BW57" i="7"/>
  <c r="BS57" i="7"/>
  <c r="BV57" i="7" s="1"/>
  <c r="BR57" i="7"/>
  <c r="BU57" i="7" s="1"/>
  <c r="BQ57" i="7"/>
  <c r="BP57" i="7"/>
  <c r="BO57" i="7"/>
  <c r="BM57" i="7" s="1"/>
  <c r="BN57" i="7"/>
  <c r="BL57" i="7"/>
  <c r="BK57" i="7"/>
  <c r="BJ57" i="7"/>
  <c r="BI57" i="7"/>
  <c r="BH57" i="7"/>
  <c r="BA57" i="7"/>
  <c r="AY57" i="7" s="1"/>
  <c r="AZ57" i="7"/>
  <c r="AX57" i="7"/>
  <c r="AW57" i="7"/>
  <c r="AV57" i="7"/>
  <c r="BC57" i="7" s="1"/>
  <c r="BF57" i="7" s="1"/>
  <c r="AT57" i="7"/>
  <c r="AS57" i="7"/>
  <c r="AQ57" i="7" s="1"/>
  <c r="AR57" i="7"/>
  <c r="AP57" i="7"/>
  <c r="AL57" i="7"/>
  <c r="AJ57" i="7"/>
  <c r="AF57" i="7"/>
  <c r="AH57" i="7" s="1"/>
  <c r="AE57" i="7"/>
  <c r="AD57" i="7"/>
  <c r="AC57" i="7"/>
  <c r="AB57" i="7"/>
  <c r="Y57" i="7"/>
  <c r="X57" i="7"/>
  <c r="W57" i="7" s="1"/>
  <c r="AK57" i="7" s="1"/>
  <c r="U57" i="7"/>
  <c r="V57" i="7" s="1"/>
  <c r="R57" i="7"/>
  <c r="S57" i="7" s="1"/>
  <c r="Q57" i="7"/>
  <c r="P57" i="7"/>
  <c r="N57" i="7"/>
  <c r="O57" i="7" s="1"/>
  <c r="L57" i="7"/>
  <c r="K57" i="7"/>
  <c r="J57" i="7"/>
  <c r="I57" i="7"/>
  <c r="G57" i="7"/>
  <c r="F57" i="7"/>
  <c r="E57" i="7"/>
  <c r="D57" i="7"/>
  <c r="C57" i="7"/>
  <c r="B57" i="7"/>
  <c r="H57" i="7" s="1"/>
  <c r="A57" i="7"/>
  <c r="CB56" i="7"/>
  <c r="CA56" i="7"/>
  <c r="BZ56" i="7"/>
  <c r="BY56" i="7"/>
  <c r="BX56" i="7"/>
  <c r="BW56" i="7"/>
  <c r="BS56" i="7"/>
  <c r="BV56" i="7" s="1"/>
  <c r="BR56" i="7"/>
  <c r="BU56" i="7" s="1"/>
  <c r="BQ56" i="7"/>
  <c r="BT56" i="7" s="1"/>
  <c r="BP56" i="7"/>
  <c r="BO56" i="7"/>
  <c r="BM56" i="7" s="1"/>
  <c r="BN56" i="7"/>
  <c r="BL56" i="7"/>
  <c r="BK56" i="7"/>
  <c r="BJ56" i="7"/>
  <c r="BI56" i="7"/>
  <c r="BH56" i="7"/>
  <c r="BA56" i="7"/>
  <c r="BD56" i="7" s="1"/>
  <c r="BG56" i="7" s="1"/>
  <c r="AZ56" i="7"/>
  <c r="AX56" i="7"/>
  <c r="AW56" i="7"/>
  <c r="AV56" i="7"/>
  <c r="AU56" i="7"/>
  <c r="AT56" i="7"/>
  <c r="AS56" i="7"/>
  <c r="AQ56" i="7" s="1"/>
  <c r="AR56" i="7"/>
  <c r="BC56" i="7" s="1"/>
  <c r="BF56" i="7" s="1"/>
  <c r="AP56" i="7"/>
  <c r="AM56" i="7"/>
  <c r="AO56" i="7" s="1"/>
  <c r="AJ56" i="7"/>
  <c r="AF56" i="7"/>
  <c r="AE56" i="7"/>
  <c r="AL56" i="7" s="1"/>
  <c r="AB56" i="7"/>
  <c r="AC56" i="7" s="1"/>
  <c r="Y56" i="7"/>
  <c r="Z56" i="7" s="1"/>
  <c r="X56" i="7"/>
  <c r="W56" i="7"/>
  <c r="U56" i="7"/>
  <c r="V56" i="7" s="1"/>
  <c r="AA56" i="7" s="1"/>
  <c r="T56" i="7"/>
  <c r="R56" i="7"/>
  <c r="P56" i="7" s="1"/>
  <c r="Q56" i="7"/>
  <c r="O56" i="7"/>
  <c r="AI56" i="7" s="1"/>
  <c r="N56" i="7"/>
  <c r="L56" i="7"/>
  <c r="K56" i="7"/>
  <c r="J56" i="7"/>
  <c r="F56" i="7"/>
  <c r="G56" i="7" s="1"/>
  <c r="E56" i="7"/>
  <c r="D56" i="7"/>
  <c r="C56" i="7"/>
  <c r="B56" i="7"/>
  <c r="I56" i="7" s="1"/>
  <c r="A56" i="7"/>
  <c r="CB55" i="7"/>
  <c r="CA55" i="7"/>
  <c r="BZ55" i="7"/>
  <c r="BY55" i="7"/>
  <c r="BX55" i="7"/>
  <c r="BW55" i="7"/>
  <c r="BS55" i="7"/>
  <c r="BR55" i="7"/>
  <c r="BU55" i="7" s="1"/>
  <c r="BP55" i="7"/>
  <c r="BO55" i="7"/>
  <c r="BM55" i="7" s="1"/>
  <c r="BN55" i="7"/>
  <c r="BL55" i="7"/>
  <c r="BK55" i="7"/>
  <c r="BJ55" i="7"/>
  <c r="BI55" i="7" s="1"/>
  <c r="BH55" i="7"/>
  <c r="BA55" i="7"/>
  <c r="BD55" i="7" s="1"/>
  <c r="BG55" i="7" s="1"/>
  <c r="AZ55" i="7"/>
  <c r="AY55" i="7"/>
  <c r="AX55" i="7"/>
  <c r="AW55" i="7"/>
  <c r="AU55" i="7" s="1"/>
  <c r="AV55" i="7"/>
  <c r="AT55" i="7"/>
  <c r="AS55" i="7"/>
  <c r="AR55" i="7"/>
  <c r="BC55" i="7" s="1"/>
  <c r="BF55" i="7" s="1"/>
  <c r="AQ55" i="7"/>
  <c r="AP55" i="7"/>
  <c r="AL55" i="7"/>
  <c r="AJ55" i="7"/>
  <c r="AF55" i="7"/>
  <c r="AE55" i="7"/>
  <c r="AD55" i="7"/>
  <c r="AK55" i="7" s="1"/>
  <c r="AB55" i="7"/>
  <c r="AC55" i="7" s="1"/>
  <c r="AH55" i="7" s="1"/>
  <c r="AA55" i="7"/>
  <c r="Y55" i="7"/>
  <c r="W55" i="7" s="1"/>
  <c r="X55" i="7"/>
  <c r="V55" i="7"/>
  <c r="Z55" i="7" s="1"/>
  <c r="U55" i="7"/>
  <c r="R55" i="7"/>
  <c r="P55" i="7" s="1"/>
  <c r="Q55" i="7"/>
  <c r="N55" i="7"/>
  <c r="O55" i="7" s="1"/>
  <c r="J55" i="7"/>
  <c r="L55" i="7" s="1"/>
  <c r="G55" i="7"/>
  <c r="F55" i="7"/>
  <c r="B55" i="7"/>
  <c r="H55" i="7" s="1"/>
  <c r="A55" i="7"/>
  <c r="CB54" i="7"/>
  <c r="CA54" i="7"/>
  <c r="BZ54" i="7"/>
  <c r="BY54" i="7"/>
  <c r="BX54" i="7" s="1"/>
  <c r="BW54" i="7"/>
  <c r="BV54" i="7"/>
  <c r="BS54" i="7"/>
  <c r="BR54" i="7"/>
  <c r="BQ54" i="7"/>
  <c r="BT54" i="7" s="1"/>
  <c r="BP54" i="7"/>
  <c r="BO54" i="7"/>
  <c r="BM54" i="7" s="1"/>
  <c r="BN54" i="7"/>
  <c r="BU54" i="7" s="1"/>
  <c r="BL54" i="7"/>
  <c r="BK54" i="7"/>
  <c r="BJ54" i="7"/>
  <c r="BI54" i="7"/>
  <c r="BH54" i="7"/>
  <c r="BA54" i="7"/>
  <c r="BD54" i="7" s="1"/>
  <c r="BG54" i="7" s="1"/>
  <c r="AZ54" i="7"/>
  <c r="AY54" i="7"/>
  <c r="BB54" i="7" s="1"/>
  <c r="AX54" i="7"/>
  <c r="AW54" i="7"/>
  <c r="AU54" i="7" s="1"/>
  <c r="AV54" i="7"/>
  <c r="AT54" i="7"/>
  <c r="AS54" i="7"/>
  <c r="AR54" i="7"/>
  <c r="BC54" i="7" s="1"/>
  <c r="BF54" i="7" s="1"/>
  <c r="AQ54" i="7"/>
  <c r="AP54" i="7"/>
  <c r="AJ54" i="7"/>
  <c r="AI54" i="7"/>
  <c r="AH54" i="7"/>
  <c r="AF54" i="7"/>
  <c r="AD54" i="7" s="1"/>
  <c r="AK54" i="7" s="1"/>
  <c r="AE54" i="7"/>
  <c r="AL54" i="7" s="1"/>
  <c r="AC54" i="7"/>
  <c r="AG54" i="7" s="1"/>
  <c r="AB54" i="7"/>
  <c r="Y54" i="7"/>
  <c r="AM54" i="7" s="1"/>
  <c r="X54" i="7"/>
  <c r="U54" i="7"/>
  <c r="V54" i="7" s="1"/>
  <c r="R54" i="7"/>
  <c r="P54" i="7" s="1"/>
  <c r="Q54" i="7"/>
  <c r="O54" i="7"/>
  <c r="N54" i="7"/>
  <c r="J54" i="7"/>
  <c r="L54" i="7" s="1"/>
  <c r="I54" i="7"/>
  <c r="F54" i="7"/>
  <c r="G54" i="7" s="1"/>
  <c r="B54" i="7"/>
  <c r="E54" i="7" s="1"/>
  <c r="A54" i="7"/>
  <c r="CB53" i="7"/>
  <c r="CA53" i="7"/>
  <c r="BZ53" i="7"/>
  <c r="BY53" i="7"/>
  <c r="BX53" i="7"/>
  <c r="BW53" i="7"/>
  <c r="BV53" i="7"/>
  <c r="BU53" i="7"/>
  <c r="BS53" i="7"/>
  <c r="BQ53" i="7" s="1"/>
  <c r="BT53" i="7" s="1"/>
  <c r="BR53" i="7"/>
  <c r="BP53" i="7"/>
  <c r="BO53" i="7"/>
  <c r="BN53" i="7"/>
  <c r="BM53" i="7"/>
  <c r="BL53" i="7"/>
  <c r="BK53" i="7"/>
  <c r="BI53" i="7" s="1"/>
  <c r="BJ53" i="7"/>
  <c r="BH53" i="7"/>
  <c r="BA53" i="7"/>
  <c r="AZ53" i="7"/>
  <c r="AY53" i="7" s="1"/>
  <c r="AX53" i="7"/>
  <c r="AW53" i="7"/>
  <c r="AU53" i="7" s="1"/>
  <c r="AV53" i="7"/>
  <c r="AT53" i="7"/>
  <c r="AS53" i="7"/>
  <c r="AR53" i="7"/>
  <c r="BC53" i="7" s="1"/>
  <c r="BF53" i="7" s="1"/>
  <c r="AP53" i="7"/>
  <c r="AJ53" i="7"/>
  <c r="AF53" i="7"/>
  <c r="AM53" i="7" s="1"/>
  <c r="AE53" i="7"/>
  <c r="AB53" i="7"/>
  <c r="AC53" i="7" s="1"/>
  <c r="Y53" i="7"/>
  <c r="W53" i="7" s="1"/>
  <c r="X53" i="7"/>
  <c r="AL53" i="7" s="1"/>
  <c r="V53" i="7"/>
  <c r="U53" i="7"/>
  <c r="R53" i="7"/>
  <c r="T53" i="7" s="1"/>
  <c r="Q53" i="7"/>
  <c r="N53" i="7"/>
  <c r="O53" i="7" s="1"/>
  <c r="AI53" i="7" s="1"/>
  <c r="K53" i="7"/>
  <c r="J53" i="7"/>
  <c r="L53" i="7" s="1"/>
  <c r="I53" i="7"/>
  <c r="H53" i="7"/>
  <c r="G53" i="7"/>
  <c r="F53" i="7"/>
  <c r="C53" i="7"/>
  <c r="B53" i="7"/>
  <c r="E53" i="7" s="1"/>
  <c r="A53" i="7"/>
  <c r="CB52" i="7"/>
  <c r="CA52" i="7"/>
  <c r="BZ52" i="7"/>
  <c r="BX52" i="7" s="1"/>
  <c r="BY52" i="7"/>
  <c r="BW52" i="7"/>
  <c r="BU52" i="7"/>
  <c r="BS52" i="7"/>
  <c r="BQ52" i="7" s="1"/>
  <c r="BT52" i="7" s="1"/>
  <c r="BR52" i="7"/>
  <c r="BP52" i="7"/>
  <c r="BO52" i="7"/>
  <c r="BV52" i="7" s="1"/>
  <c r="BN52" i="7"/>
  <c r="BM52" i="7"/>
  <c r="BL52" i="7"/>
  <c r="BK52" i="7"/>
  <c r="BI52" i="7" s="1"/>
  <c r="BJ52" i="7"/>
  <c r="BH52" i="7"/>
  <c r="BD52" i="7"/>
  <c r="BA52" i="7"/>
  <c r="AZ52" i="7"/>
  <c r="AY52" i="7"/>
  <c r="BB52" i="7" s="1"/>
  <c r="BE52" i="7" s="1"/>
  <c r="AX52" i="7"/>
  <c r="AW52" i="7"/>
  <c r="AU52" i="7" s="1"/>
  <c r="AV52" i="7"/>
  <c r="BC52" i="7" s="1"/>
  <c r="BF52" i="7" s="1"/>
  <c r="AT52" i="7"/>
  <c r="AS52" i="7"/>
  <c r="AR52" i="7"/>
  <c r="AQ52" i="7"/>
  <c r="AP52" i="7"/>
  <c r="AJ52" i="7"/>
  <c r="AF52" i="7"/>
  <c r="AD52" i="7" s="1"/>
  <c r="AK52" i="7" s="1"/>
  <c r="AE52" i="7"/>
  <c r="AL52" i="7" s="1"/>
  <c r="AC52" i="7"/>
  <c r="AB52" i="7"/>
  <c r="Y52" i="7"/>
  <c r="X52" i="7"/>
  <c r="U52" i="7"/>
  <c r="V52" i="7" s="1"/>
  <c r="AI52" i="7" s="1"/>
  <c r="S52" i="7"/>
  <c r="R52" i="7"/>
  <c r="T52" i="7" s="1"/>
  <c r="Q52" i="7"/>
  <c r="P52" i="7"/>
  <c r="O52" i="7"/>
  <c r="N52" i="7"/>
  <c r="J52" i="7"/>
  <c r="L52" i="7" s="1"/>
  <c r="H52" i="7"/>
  <c r="G52" i="7"/>
  <c r="F52" i="7"/>
  <c r="B52" i="7"/>
  <c r="E52" i="7" s="1"/>
  <c r="A52" i="7"/>
  <c r="CB51" i="7"/>
  <c r="CA51" i="7"/>
  <c r="BZ51" i="7"/>
  <c r="BX51" i="7" s="1"/>
  <c r="BY51" i="7"/>
  <c r="BW51" i="7"/>
  <c r="BS51" i="7"/>
  <c r="BQ51" i="7" s="1"/>
  <c r="BT51" i="7" s="1"/>
  <c r="BR51" i="7"/>
  <c r="BP51" i="7"/>
  <c r="BO51" i="7"/>
  <c r="BN51" i="7"/>
  <c r="BU51" i="7" s="1"/>
  <c r="BL51" i="7"/>
  <c r="BK51" i="7"/>
  <c r="BI51" i="7" s="1"/>
  <c r="BJ51" i="7"/>
  <c r="BH51" i="7"/>
  <c r="BD51" i="7"/>
  <c r="BG51" i="7" s="1"/>
  <c r="BC51" i="7"/>
  <c r="BF51" i="7" s="1"/>
  <c r="BA51" i="7"/>
  <c r="AY51" i="7" s="1"/>
  <c r="BB51" i="7" s="1"/>
  <c r="AZ51" i="7"/>
  <c r="AX51" i="7"/>
  <c r="AW51" i="7"/>
  <c r="AV51" i="7"/>
  <c r="AU51" i="7"/>
  <c r="AT51" i="7"/>
  <c r="AS51" i="7"/>
  <c r="AQ51" i="7" s="1"/>
  <c r="AR51" i="7"/>
  <c r="AP51" i="7"/>
  <c r="AM51" i="7"/>
  <c r="AO51" i="7" s="1"/>
  <c r="AJ51" i="7"/>
  <c r="AF51" i="7"/>
  <c r="AH51" i="7" s="1"/>
  <c r="AE51" i="7"/>
  <c r="AL51" i="7" s="1"/>
  <c r="AB51" i="7"/>
  <c r="AC51" i="7" s="1"/>
  <c r="Z51" i="7"/>
  <c r="Y51" i="7"/>
  <c r="AA51" i="7" s="1"/>
  <c r="X51" i="7"/>
  <c r="W51" i="7"/>
  <c r="V51" i="7"/>
  <c r="U51" i="7"/>
  <c r="R51" i="7"/>
  <c r="T51" i="7" s="1"/>
  <c r="Q51" i="7"/>
  <c r="P51" i="7"/>
  <c r="O51" i="7"/>
  <c r="AI51" i="7" s="1"/>
  <c r="N51" i="7"/>
  <c r="L51" i="7"/>
  <c r="K51" i="7"/>
  <c r="J51" i="7"/>
  <c r="I51" i="7"/>
  <c r="H51" i="7"/>
  <c r="F51" i="7"/>
  <c r="G51" i="7" s="1"/>
  <c r="E51" i="7"/>
  <c r="D51" i="7"/>
  <c r="C51" i="7"/>
  <c r="B51" i="7"/>
  <c r="A51" i="7"/>
  <c r="CB50" i="7"/>
  <c r="CA50" i="7"/>
  <c r="BZ50" i="7"/>
  <c r="BX50" i="7" s="1"/>
  <c r="BY50" i="7"/>
  <c r="BW50" i="7"/>
  <c r="BS50" i="7"/>
  <c r="BV50" i="7" s="1"/>
  <c r="BR50" i="7"/>
  <c r="BU50" i="7" s="1"/>
  <c r="BP50" i="7"/>
  <c r="BO50" i="7"/>
  <c r="BN50" i="7"/>
  <c r="BM50" i="7"/>
  <c r="BL50" i="7"/>
  <c r="BK50" i="7"/>
  <c r="BI50" i="7" s="1"/>
  <c r="BJ50" i="7"/>
  <c r="BH50" i="7"/>
  <c r="BC50" i="7"/>
  <c r="BF50" i="7" s="1"/>
  <c r="BA50" i="7"/>
  <c r="AY50" i="7" s="1"/>
  <c r="AZ50" i="7"/>
  <c r="AX50" i="7"/>
  <c r="AW50" i="7"/>
  <c r="BD50" i="7" s="1"/>
  <c r="BG50" i="7" s="1"/>
  <c r="AV50" i="7"/>
  <c r="AU50" i="7"/>
  <c r="AT50" i="7"/>
  <c r="AS50" i="7"/>
  <c r="AQ50" i="7" s="1"/>
  <c r="AR50" i="7"/>
  <c r="AP50" i="7"/>
  <c r="AM50" i="7"/>
  <c r="AO50" i="7" s="1"/>
  <c r="AL50" i="7"/>
  <c r="AJ50" i="7"/>
  <c r="AG50" i="7"/>
  <c r="AF50" i="7"/>
  <c r="AH50" i="7" s="1"/>
  <c r="AE50" i="7"/>
  <c r="AD50" i="7"/>
  <c r="AK50" i="7" s="1"/>
  <c r="AC50" i="7"/>
  <c r="AB50" i="7"/>
  <c r="Y50" i="7"/>
  <c r="AA50" i="7" s="1"/>
  <c r="X50" i="7"/>
  <c r="W50" i="7"/>
  <c r="V50" i="7"/>
  <c r="U50" i="7"/>
  <c r="R50" i="7"/>
  <c r="Q50" i="7"/>
  <c r="P50" i="7" s="1"/>
  <c r="N50" i="7"/>
  <c r="O50" i="7" s="1"/>
  <c r="L50" i="7"/>
  <c r="J50" i="7"/>
  <c r="K50" i="7" s="1"/>
  <c r="H50" i="7"/>
  <c r="F50" i="7"/>
  <c r="G50" i="7" s="1"/>
  <c r="E50" i="7"/>
  <c r="D50" i="7"/>
  <c r="B50" i="7"/>
  <c r="C50" i="7" s="1"/>
  <c r="A50" i="7"/>
  <c r="CB49" i="7"/>
  <c r="CA49" i="7"/>
  <c r="BZ49" i="7"/>
  <c r="BX49" i="7" s="1"/>
  <c r="BY49" i="7"/>
  <c r="BW49" i="7"/>
  <c r="BS49" i="7"/>
  <c r="BV49" i="7" s="1"/>
  <c r="BR49" i="7"/>
  <c r="BU49" i="7" s="1"/>
  <c r="BQ49" i="7"/>
  <c r="BP49" i="7"/>
  <c r="BO49" i="7"/>
  <c r="BM49" i="7" s="1"/>
  <c r="BN49" i="7"/>
  <c r="BL49" i="7"/>
  <c r="BK49" i="7"/>
  <c r="BJ49" i="7"/>
  <c r="BI49" i="7"/>
  <c r="BH49" i="7"/>
  <c r="BA49" i="7"/>
  <c r="AY49" i="7" s="1"/>
  <c r="AZ49" i="7"/>
  <c r="AX49" i="7"/>
  <c r="AW49" i="7"/>
  <c r="AV49" i="7"/>
  <c r="BC49" i="7" s="1"/>
  <c r="BF49" i="7" s="1"/>
  <c r="AT49" i="7"/>
  <c r="AS49" i="7"/>
  <c r="AQ49" i="7" s="1"/>
  <c r="AR49" i="7"/>
  <c r="AP49" i="7"/>
  <c r="AL49" i="7"/>
  <c r="AJ49" i="7"/>
  <c r="AF49" i="7"/>
  <c r="AH49" i="7" s="1"/>
  <c r="AE49" i="7"/>
  <c r="AD49" i="7"/>
  <c r="AC49" i="7"/>
  <c r="AB49" i="7"/>
  <c r="Y49" i="7"/>
  <c r="X49" i="7"/>
  <c r="W49" i="7" s="1"/>
  <c r="AK49" i="7" s="1"/>
  <c r="U49" i="7"/>
  <c r="V49" i="7" s="1"/>
  <c r="R49" i="7"/>
  <c r="S49" i="7" s="1"/>
  <c r="Q49" i="7"/>
  <c r="P49" i="7"/>
  <c r="N49" i="7"/>
  <c r="O49" i="7" s="1"/>
  <c r="L49" i="7"/>
  <c r="K49" i="7"/>
  <c r="J49" i="7"/>
  <c r="I49" i="7"/>
  <c r="G49" i="7"/>
  <c r="F49" i="7"/>
  <c r="E49" i="7"/>
  <c r="D49" i="7"/>
  <c r="C49" i="7"/>
  <c r="B49" i="7"/>
  <c r="H49" i="7" s="1"/>
  <c r="A49" i="7"/>
  <c r="CB48" i="7"/>
  <c r="CA48" i="7"/>
  <c r="BZ48" i="7"/>
  <c r="BY48" i="7"/>
  <c r="BX48" i="7"/>
  <c r="BW48" i="7"/>
  <c r="BS48" i="7"/>
  <c r="BV48" i="7" s="1"/>
  <c r="BR48" i="7"/>
  <c r="BU48" i="7" s="1"/>
  <c r="BQ48" i="7"/>
  <c r="BT48" i="7" s="1"/>
  <c r="BP48" i="7"/>
  <c r="BO48" i="7"/>
  <c r="BM48" i="7" s="1"/>
  <c r="BN48" i="7"/>
  <c r="BL48" i="7"/>
  <c r="BK48" i="7"/>
  <c r="BJ48" i="7"/>
  <c r="BI48" i="7"/>
  <c r="BH48" i="7"/>
  <c r="BA48" i="7"/>
  <c r="BD48" i="7" s="1"/>
  <c r="BG48" i="7" s="1"/>
  <c r="AZ48" i="7"/>
  <c r="AX48" i="7"/>
  <c r="AW48" i="7"/>
  <c r="AV48" i="7"/>
  <c r="AU48" i="7"/>
  <c r="AT48" i="7"/>
  <c r="AS48" i="7"/>
  <c r="AQ48" i="7" s="1"/>
  <c r="AR48" i="7"/>
  <c r="BC48" i="7" s="1"/>
  <c r="BF48" i="7" s="1"/>
  <c r="AP48" i="7"/>
  <c r="AM48" i="7"/>
  <c r="AO48" i="7" s="1"/>
  <c r="AJ48" i="7"/>
  <c r="AF48" i="7"/>
  <c r="AE48" i="7"/>
  <c r="AL48" i="7" s="1"/>
  <c r="AB48" i="7"/>
  <c r="AC48" i="7" s="1"/>
  <c r="Y48" i="7"/>
  <c r="Z48" i="7" s="1"/>
  <c r="X48" i="7"/>
  <c r="W48" i="7"/>
  <c r="U48" i="7"/>
  <c r="V48" i="7" s="1"/>
  <c r="AA48" i="7" s="1"/>
  <c r="T48" i="7"/>
  <c r="R48" i="7"/>
  <c r="P48" i="7" s="1"/>
  <c r="Q48" i="7"/>
  <c r="O48" i="7"/>
  <c r="AI48" i="7" s="1"/>
  <c r="N48" i="7"/>
  <c r="L48" i="7"/>
  <c r="K48" i="7"/>
  <c r="J48" i="7"/>
  <c r="F48" i="7"/>
  <c r="G48" i="7" s="1"/>
  <c r="E48" i="7"/>
  <c r="D48" i="7"/>
  <c r="C48" i="7"/>
  <c r="B48" i="7"/>
  <c r="I48" i="7" s="1"/>
  <c r="A48" i="7"/>
  <c r="CB47" i="7"/>
  <c r="CA47" i="7"/>
  <c r="BZ47" i="7"/>
  <c r="BY47" i="7"/>
  <c r="BX47" i="7"/>
  <c r="BW47" i="7"/>
  <c r="BS47" i="7"/>
  <c r="BR47" i="7"/>
  <c r="BU47" i="7" s="1"/>
  <c r="BP47" i="7"/>
  <c r="BO47" i="7"/>
  <c r="BN47" i="7"/>
  <c r="BL47" i="7"/>
  <c r="BK47" i="7"/>
  <c r="BJ47" i="7"/>
  <c r="BI47" i="7" s="1"/>
  <c r="BH47" i="7"/>
  <c r="BA47" i="7"/>
  <c r="BD47" i="7" s="1"/>
  <c r="BG47" i="7" s="1"/>
  <c r="AZ47" i="7"/>
  <c r="AY47" i="7"/>
  <c r="AX47" i="7"/>
  <c r="AW47" i="7"/>
  <c r="AU47" i="7" s="1"/>
  <c r="AV47" i="7"/>
  <c r="AT47" i="7"/>
  <c r="AS47" i="7"/>
  <c r="AR47" i="7"/>
  <c r="BC47" i="7" s="1"/>
  <c r="BF47" i="7" s="1"/>
  <c r="AQ47" i="7"/>
  <c r="AP47" i="7"/>
  <c r="AL47" i="7"/>
  <c r="AJ47" i="7"/>
  <c r="AI47" i="7"/>
  <c r="AF47" i="7"/>
  <c r="AG47" i="7" s="1"/>
  <c r="AE47" i="7"/>
  <c r="AD47" i="7"/>
  <c r="AK47" i="7" s="1"/>
  <c r="AB47" i="7"/>
  <c r="AC47" i="7" s="1"/>
  <c r="AH47" i="7" s="1"/>
  <c r="AA47" i="7"/>
  <c r="Y47" i="7"/>
  <c r="W47" i="7" s="1"/>
  <c r="X47" i="7"/>
  <c r="V47" i="7"/>
  <c r="Z47" i="7" s="1"/>
  <c r="U47" i="7"/>
  <c r="S47" i="7"/>
  <c r="R47" i="7"/>
  <c r="P47" i="7" s="1"/>
  <c r="Q47" i="7"/>
  <c r="N47" i="7"/>
  <c r="O47" i="7" s="1"/>
  <c r="T47" i="7" s="1"/>
  <c r="J47" i="7"/>
  <c r="G47" i="7"/>
  <c r="F47" i="7"/>
  <c r="B47" i="7"/>
  <c r="A47" i="7"/>
  <c r="CB46" i="7"/>
  <c r="CA46" i="7"/>
  <c r="BZ46" i="7"/>
  <c r="BY46" i="7"/>
  <c r="BX46" i="7" s="1"/>
  <c r="BW46" i="7"/>
  <c r="BV46" i="7"/>
  <c r="BS46" i="7"/>
  <c r="BR46" i="7"/>
  <c r="BQ46" i="7"/>
  <c r="BP46" i="7"/>
  <c r="BO46" i="7"/>
  <c r="BN46" i="7"/>
  <c r="BU46" i="7" s="1"/>
  <c r="BL46" i="7"/>
  <c r="BK46" i="7"/>
  <c r="BJ46" i="7"/>
  <c r="BI46" i="7"/>
  <c r="BH46" i="7"/>
  <c r="BA46" i="7"/>
  <c r="BD46" i="7" s="1"/>
  <c r="AZ46" i="7"/>
  <c r="AY46" i="7"/>
  <c r="AX46" i="7"/>
  <c r="AW46" i="7"/>
  <c r="AU46" i="7" s="1"/>
  <c r="AV46" i="7"/>
  <c r="AT46" i="7"/>
  <c r="AS46" i="7"/>
  <c r="AR46" i="7"/>
  <c r="BC46" i="7" s="1"/>
  <c r="AQ46" i="7"/>
  <c r="AP46" i="7"/>
  <c r="AJ46" i="7"/>
  <c r="AI46" i="7"/>
  <c r="AH46" i="7"/>
  <c r="AF46" i="7"/>
  <c r="AD46" i="7" s="1"/>
  <c r="AE46" i="7"/>
  <c r="AL46" i="7" s="1"/>
  <c r="BF46" i="7" s="1"/>
  <c r="AC46" i="7"/>
  <c r="AG46" i="7" s="1"/>
  <c r="AB46" i="7"/>
  <c r="Y46" i="7"/>
  <c r="X46" i="7"/>
  <c r="U46" i="7"/>
  <c r="V46" i="7" s="1"/>
  <c r="AA46" i="7" s="1"/>
  <c r="R46" i="7"/>
  <c r="Q46" i="7"/>
  <c r="O46" i="7"/>
  <c r="N46" i="7"/>
  <c r="J46" i="7"/>
  <c r="L46" i="7" s="1"/>
  <c r="I46" i="7"/>
  <c r="F46" i="7"/>
  <c r="G46" i="7" s="1"/>
  <c r="B46" i="7"/>
  <c r="E46" i="7" s="1"/>
  <c r="A46" i="7"/>
  <c r="CB45" i="7"/>
  <c r="CA45" i="7"/>
  <c r="BZ45" i="7"/>
  <c r="BY45" i="7"/>
  <c r="BX45" i="7"/>
  <c r="BW45" i="7"/>
  <c r="BV45" i="7"/>
  <c r="BU45" i="7"/>
  <c r="BS45" i="7"/>
  <c r="BQ45" i="7" s="1"/>
  <c r="BT45" i="7" s="1"/>
  <c r="BR45" i="7"/>
  <c r="BP45" i="7"/>
  <c r="BO45" i="7"/>
  <c r="BN45" i="7"/>
  <c r="BM45" i="7"/>
  <c r="BL45" i="7"/>
  <c r="BK45" i="7"/>
  <c r="BI45" i="7" s="1"/>
  <c r="BJ45" i="7"/>
  <c r="BH45" i="7"/>
  <c r="BA45" i="7"/>
  <c r="AZ45" i="7"/>
  <c r="AY45" i="7" s="1"/>
  <c r="AX45" i="7"/>
  <c r="AW45" i="7"/>
  <c r="AV45" i="7"/>
  <c r="AT45" i="7"/>
  <c r="AS45" i="7"/>
  <c r="AR45" i="7"/>
  <c r="BC45" i="7" s="1"/>
  <c r="BF45" i="7" s="1"/>
  <c r="AP45" i="7"/>
  <c r="AJ45" i="7"/>
  <c r="AG45" i="7"/>
  <c r="AF45" i="7"/>
  <c r="AM45" i="7" s="1"/>
  <c r="AN45" i="7" s="1"/>
  <c r="AE45" i="7"/>
  <c r="AB45" i="7"/>
  <c r="AC45" i="7" s="1"/>
  <c r="AH45" i="7" s="1"/>
  <c r="Y45" i="7"/>
  <c r="X45" i="7"/>
  <c r="V45" i="7"/>
  <c r="U45" i="7"/>
  <c r="R45" i="7"/>
  <c r="T45" i="7" s="1"/>
  <c r="Q45" i="7"/>
  <c r="N45" i="7"/>
  <c r="O45" i="7" s="1"/>
  <c r="AI45" i="7" s="1"/>
  <c r="K45" i="7"/>
  <c r="J45" i="7"/>
  <c r="L45" i="7" s="1"/>
  <c r="I45" i="7"/>
  <c r="H45" i="7"/>
  <c r="G45" i="7"/>
  <c r="F45" i="7"/>
  <c r="C45" i="7"/>
  <c r="B45" i="7"/>
  <c r="E45" i="7" s="1"/>
  <c r="A45" i="7"/>
  <c r="CB44" i="7"/>
  <c r="CA44" i="7"/>
  <c r="BZ44" i="7"/>
  <c r="BX44" i="7" s="1"/>
  <c r="BY44" i="7"/>
  <c r="BW44" i="7"/>
  <c r="BU44" i="7"/>
  <c r="BS44" i="7"/>
  <c r="BQ44" i="7" s="1"/>
  <c r="BR44" i="7"/>
  <c r="BP44" i="7"/>
  <c r="BO44" i="7"/>
  <c r="BV44" i="7" s="1"/>
  <c r="BN44" i="7"/>
  <c r="BM44" i="7"/>
  <c r="BL44" i="7"/>
  <c r="BK44" i="7"/>
  <c r="BI44" i="7" s="1"/>
  <c r="BT44" i="7" s="1"/>
  <c r="BJ44" i="7"/>
  <c r="BH44" i="7"/>
  <c r="BD44" i="7"/>
  <c r="BA44" i="7"/>
  <c r="AZ44" i="7"/>
  <c r="AY44" i="7"/>
  <c r="BB44" i="7" s="1"/>
  <c r="AX44" i="7"/>
  <c r="AW44" i="7"/>
  <c r="AU44" i="7" s="1"/>
  <c r="AV44" i="7"/>
  <c r="BC44" i="7" s="1"/>
  <c r="AT44" i="7"/>
  <c r="AS44" i="7"/>
  <c r="AR44" i="7"/>
  <c r="AQ44" i="7"/>
  <c r="AP44" i="7"/>
  <c r="AJ44" i="7"/>
  <c r="AF44" i="7"/>
  <c r="AE44" i="7"/>
  <c r="AC44" i="7"/>
  <c r="AB44" i="7"/>
  <c r="Y44" i="7"/>
  <c r="X44" i="7"/>
  <c r="U44" i="7"/>
  <c r="V44" i="7" s="1"/>
  <c r="AI44" i="7" s="1"/>
  <c r="S44" i="7"/>
  <c r="R44" i="7"/>
  <c r="T44" i="7" s="1"/>
  <c r="Q44" i="7"/>
  <c r="P44" i="7"/>
  <c r="O44" i="7"/>
  <c r="N44" i="7"/>
  <c r="J44" i="7"/>
  <c r="L44" i="7" s="1"/>
  <c r="H44" i="7"/>
  <c r="G44" i="7"/>
  <c r="F44" i="7"/>
  <c r="B44" i="7"/>
  <c r="E44" i="7" s="1"/>
  <c r="A44" i="7"/>
  <c r="CB43" i="7"/>
  <c r="CA43" i="7"/>
  <c r="BZ43" i="7"/>
  <c r="BX43" i="7" s="1"/>
  <c r="BY43" i="7"/>
  <c r="BW43" i="7"/>
  <c r="BS43" i="7"/>
  <c r="BR43" i="7"/>
  <c r="BP43" i="7"/>
  <c r="BO43" i="7"/>
  <c r="BN43" i="7"/>
  <c r="BU43" i="7" s="1"/>
  <c r="BL43" i="7"/>
  <c r="BK43" i="7"/>
  <c r="BI43" i="7" s="1"/>
  <c r="BJ43" i="7"/>
  <c r="BH43" i="7"/>
  <c r="BD43" i="7"/>
  <c r="BC43" i="7"/>
  <c r="BF43" i="7" s="1"/>
  <c r="BA43" i="7"/>
  <c r="AY43" i="7" s="1"/>
  <c r="BB43" i="7" s="1"/>
  <c r="AZ43" i="7"/>
  <c r="AX43" i="7"/>
  <c r="AW43" i="7"/>
  <c r="AV43" i="7"/>
  <c r="AU43" i="7"/>
  <c r="AT43" i="7"/>
  <c r="AS43" i="7"/>
  <c r="AQ43" i="7" s="1"/>
  <c r="AR43" i="7"/>
  <c r="AP43" i="7"/>
  <c r="AM43" i="7"/>
  <c r="AJ43" i="7"/>
  <c r="AF43" i="7"/>
  <c r="AE43" i="7"/>
  <c r="AL43" i="7" s="1"/>
  <c r="AB43" i="7"/>
  <c r="AC43" i="7" s="1"/>
  <c r="Z43" i="7"/>
  <c r="Y43" i="7"/>
  <c r="AA43" i="7" s="1"/>
  <c r="X43" i="7"/>
  <c r="W43" i="7"/>
  <c r="V43" i="7"/>
  <c r="U43" i="7"/>
  <c r="R43" i="7"/>
  <c r="Q43" i="7"/>
  <c r="P43" i="7"/>
  <c r="O43" i="7"/>
  <c r="AI43" i="7" s="1"/>
  <c r="N43" i="7"/>
  <c r="L43" i="7"/>
  <c r="K43" i="7"/>
  <c r="J43" i="7"/>
  <c r="I43" i="7"/>
  <c r="H43" i="7"/>
  <c r="F43" i="7"/>
  <c r="G43" i="7" s="1"/>
  <c r="E43" i="7"/>
  <c r="D43" i="7"/>
  <c r="C43" i="7"/>
  <c r="B43" i="7"/>
  <c r="A43" i="7"/>
  <c r="CB42" i="7"/>
  <c r="CA42" i="7"/>
  <c r="BZ42" i="7"/>
  <c r="BX42" i="7" s="1"/>
  <c r="BY42" i="7"/>
  <c r="BW42" i="7"/>
  <c r="BS42" i="7"/>
  <c r="BV42" i="7" s="1"/>
  <c r="BR42" i="7"/>
  <c r="BU42" i="7" s="1"/>
  <c r="BP42" i="7"/>
  <c r="BO42" i="7"/>
  <c r="BN42" i="7"/>
  <c r="BM42" i="7"/>
  <c r="BL42" i="7"/>
  <c r="BK42" i="7"/>
  <c r="BJ42" i="7"/>
  <c r="BH42" i="7"/>
  <c r="BC42" i="7"/>
  <c r="BF42" i="7" s="1"/>
  <c r="BA42" i="7"/>
  <c r="AY42" i="7" s="1"/>
  <c r="AZ42" i="7"/>
  <c r="AX42" i="7"/>
  <c r="AW42" i="7"/>
  <c r="BD42" i="7" s="1"/>
  <c r="BG42" i="7" s="1"/>
  <c r="AV42" i="7"/>
  <c r="AT42" i="7"/>
  <c r="AS42" i="7"/>
  <c r="AQ42" i="7" s="1"/>
  <c r="AR42" i="7"/>
  <c r="AP42" i="7"/>
  <c r="AL42" i="7"/>
  <c r="AJ42" i="7"/>
  <c r="AG42" i="7"/>
  <c r="AF42" i="7"/>
  <c r="AH42" i="7" s="1"/>
  <c r="AE42" i="7"/>
  <c r="AD42" i="7"/>
  <c r="AK42" i="7" s="1"/>
  <c r="AC42" i="7"/>
  <c r="AB42" i="7"/>
  <c r="Y42" i="7"/>
  <c r="X42" i="7"/>
  <c r="V42" i="7"/>
  <c r="U42" i="7"/>
  <c r="R42" i="7"/>
  <c r="Q42" i="7"/>
  <c r="P42" i="7" s="1"/>
  <c r="N42" i="7"/>
  <c r="O42" i="7" s="1"/>
  <c r="L42" i="7"/>
  <c r="J42" i="7"/>
  <c r="K42" i="7" s="1"/>
  <c r="H42" i="7"/>
  <c r="F42" i="7"/>
  <c r="G42" i="7" s="1"/>
  <c r="E42" i="7"/>
  <c r="D42" i="7"/>
  <c r="B42" i="7"/>
  <c r="C42" i="7" s="1"/>
  <c r="A42" i="7"/>
  <c r="CB41" i="7"/>
  <c r="CA41" i="7"/>
  <c r="BZ41" i="7"/>
  <c r="BX41" i="7" s="1"/>
  <c r="BY41" i="7"/>
  <c r="BW41" i="7"/>
  <c r="BS41" i="7"/>
  <c r="BV41" i="7" s="1"/>
  <c r="BR41" i="7"/>
  <c r="BU41" i="7" s="1"/>
  <c r="BQ41" i="7"/>
  <c r="BT41" i="7" s="1"/>
  <c r="BP41" i="7"/>
  <c r="BO41" i="7"/>
  <c r="BM41" i="7" s="1"/>
  <c r="BN41" i="7"/>
  <c r="BL41" i="7"/>
  <c r="BK41" i="7"/>
  <c r="BJ41" i="7"/>
  <c r="BI41" i="7"/>
  <c r="BH41" i="7"/>
  <c r="BA41" i="7"/>
  <c r="AZ41" i="7"/>
  <c r="AX41" i="7"/>
  <c r="AW41" i="7"/>
  <c r="AV41" i="7"/>
  <c r="BC41" i="7" s="1"/>
  <c r="BF41" i="7" s="1"/>
  <c r="AT41" i="7"/>
  <c r="AS41" i="7"/>
  <c r="AQ41" i="7" s="1"/>
  <c r="AR41" i="7"/>
  <c r="AP41" i="7"/>
  <c r="AJ41" i="7"/>
  <c r="AF41" i="7"/>
  <c r="AE41" i="7"/>
  <c r="AC41" i="7"/>
  <c r="AB41" i="7"/>
  <c r="Y41" i="7"/>
  <c r="X41" i="7"/>
  <c r="W41" i="7" s="1"/>
  <c r="U41" i="7"/>
  <c r="V41" i="7" s="1"/>
  <c r="R41" i="7"/>
  <c r="Q41" i="7"/>
  <c r="P41" i="7"/>
  <c r="N41" i="7"/>
  <c r="O41" i="7" s="1"/>
  <c r="L41" i="7"/>
  <c r="K41" i="7"/>
  <c r="J41" i="7"/>
  <c r="I41" i="7"/>
  <c r="G41" i="7"/>
  <c r="F41" i="7"/>
  <c r="E41" i="7"/>
  <c r="D41" i="7"/>
  <c r="C41" i="7"/>
  <c r="B41" i="7"/>
  <c r="H41" i="7" s="1"/>
  <c r="A41" i="7"/>
  <c r="CB40" i="7"/>
  <c r="CA40" i="7"/>
  <c r="BZ40" i="7"/>
  <c r="BY40" i="7"/>
  <c r="BX40" i="7"/>
  <c r="BW40" i="7"/>
  <c r="BS40" i="7"/>
  <c r="BV40" i="7" s="1"/>
  <c r="BR40" i="7"/>
  <c r="BU40" i="7" s="1"/>
  <c r="BP40" i="7"/>
  <c r="BO40" i="7"/>
  <c r="BM40" i="7" s="1"/>
  <c r="BN40" i="7"/>
  <c r="BL40" i="7"/>
  <c r="BK40" i="7"/>
  <c r="BI40" i="7" s="1"/>
  <c r="BJ40" i="7"/>
  <c r="BH40" i="7"/>
  <c r="BA40" i="7"/>
  <c r="BD40" i="7" s="1"/>
  <c r="BG40" i="7" s="1"/>
  <c r="AZ40" i="7"/>
  <c r="AX40" i="7"/>
  <c r="AW40" i="7"/>
  <c r="AV40" i="7"/>
  <c r="AU40" i="7"/>
  <c r="AT40" i="7"/>
  <c r="AS40" i="7"/>
  <c r="AQ40" i="7" s="1"/>
  <c r="AR40" i="7"/>
  <c r="AP40" i="7"/>
  <c r="AM40" i="7"/>
  <c r="AJ40" i="7"/>
  <c r="AF40" i="7"/>
  <c r="AE40" i="7"/>
  <c r="AL40" i="7" s="1"/>
  <c r="AB40" i="7"/>
  <c r="AC40" i="7" s="1"/>
  <c r="Y40" i="7"/>
  <c r="X40" i="7"/>
  <c r="W40" i="7"/>
  <c r="U40" i="7"/>
  <c r="V40" i="7" s="1"/>
  <c r="AA40" i="7" s="1"/>
  <c r="T40" i="7"/>
  <c r="R40" i="7"/>
  <c r="P40" i="7" s="1"/>
  <c r="Q40" i="7"/>
  <c r="O40" i="7"/>
  <c r="N40" i="7"/>
  <c r="L40" i="7"/>
  <c r="K40" i="7"/>
  <c r="J40" i="7"/>
  <c r="F40" i="7"/>
  <c r="G40" i="7" s="1"/>
  <c r="E40" i="7"/>
  <c r="D40" i="7"/>
  <c r="C40" i="7"/>
  <c r="B40" i="7"/>
  <c r="I40" i="7" s="1"/>
  <c r="A40" i="7"/>
  <c r="CB39" i="7"/>
  <c r="CA39" i="7"/>
  <c r="BZ39" i="7"/>
  <c r="BX39" i="7" s="1"/>
  <c r="BY39" i="7"/>
  <c r="BW39" i="7"/>
  <c r="BS39" i="7"/>
  <c r="BR39" i="7"/>
  <c r="BU39" i="7" s="1"/>
  <c r="BP39" i="7"/>
  <c r="BO39" i="7"/>
  <c r="BN39" i="7"/>
  <c r="BL39" i="7"/>
  <c r="BK39" i="7"/>
  <c r="BJ39" i="7"/>
  <c r="BI39" i="7" s="1"/>
  <c r="BH39" i="7"/>
  <c r="BG39" i="7"/>
  <c r="BA39" i="7"/>
  <c r="BD39" i="7" s="1"/>
  <c r="AZ39" i="7"/>
  <c r="AY39" i="7"/>
  <c r="AX39" i="7"/>
  <c r="AW39" i="7"/>
  <c r="AU39" i="7" s="1"/>
  <c r="AV39" i="7"/>
  <c r="AT39" i="7"/>
  <c r="AS39" i="7"/>
  <c r="AR39" i="7"/>
  <c r="BC39" i="7" s="1"/>
  <c r="BF39" i="7" s="1"/>
  <c r="AQ39" i="7"/>
  <c r="AP39" i="7"/>
  <c r="AL39" i="7"/>
  <c r="AJ39" i="7"/>
  <c r="AI39" i="7"/>
  <c r="AF39" i="7"/>
  <c r="AE39" i="7"/>
  <c r="AD39" i="7"/>
  <c r="AK39" i="7" s="1"/>
  <c r="AB39" i="7"/>
  <c r="AC39" i="7" s="1"/>
  <c r="AH39" i="7" s="1"/>
  <c r="AA39" i="7"/>
  <c r="Y39" i="7"/>
  <c r="W39" i="7" s="1"/>
  <c r="X39" i="7"/>
  <c r="V39" i="7"/>
  <c r="Z39" i="7" s="1"/>
  <c r="U39" i="7"/>
  <c r="R39" i="7"/>
  <c r="P39" i="7" s="1"/>
  <c r="Q39" i="7"/>
  <c r="N39" i="7"/>
  <c r="O39" i="7" s="1"/>
  <c r="T39" i="7" s="1"/>
  <c r="J39" i="7"/>
  <c r="G39" i="7"/>
  <c r="F39" i="7"/>
  <c r="B39" i="7"/>
  <c r="A39" i="7"/>
  <c r="CB38" i="7"/>
  <c r="CA38" i="7"/>
  <c r="BZ38" i="7"/>
  <c r="BY38" i="7"/>
  <c r="BX38" i="7" s="1"/>
  <c r="BW38" i="7"/>
  <c r="BV38" i="7"/>
  <c r="BS38" i="7"/>
  <c r="BR38" i="7"/>
  <c r="BQ38" i="7"/>
  <c r="BT38" i="7" s="1"/>
  <c r="BP38" i="7"/>
  <c r="BO38" i="7"/>
  <c r="BN38" i="7"/>
  <c r="BU38" i="7" s="1"/>
  <c r="BL38" i="7"/>
  <c r="BK38" i="7"/>
  <c r="BJ38" i="7"/>
  <c r="BI38" i="7"/>
  <c r="BH38" i="7"/>
  <c r="BA38" i="7"/>
  <c r="BD38" i="7" s="1"/>
  <c r="BG38" i="7" s="1"/>
  <c r="AZ38" i="7"/>
  <c r="AX38" i="7"/>
  <c r="AW38" i="7"/>
  <c r="AU38" i="7" s="1"/>
  <c r="AV38" i="7"/>
  <c r="AT38" i="7"/>
  <c r="AS38" i="7"/>
  <c r="AQ38" i="7" s="1"/>
  <c r="AR38" i="7"/>
  <c r="BC38" i="7" s="1"/>
  <c r="BF38" i="7" s="1"/>
  <c r="AP38" i="7"/>
  <c r="AJ38" i="7"/>
  <c r="AI38" i="7"/>
  <c r="AH38" i="7"/>
  <c r="AF38" i="7"/>
  <c r="AD38" i="7" s="1"/>
  <c r="AK38" i="7" s="1"/>
  <c r="AE38" i="7"/>
  <c r="AL38" i="7" s="1"/>
  <c r="AC38" i="7"/>
  <c r="AG38" i="7" s="1"/>
  <c r="AB38" i="7"/>
  <c r="Y38" i="7"/>
  <c r="AM38" i="7" s="1"/>
  <c r="X38" i="7"/>
  <c r="U38" i="7"/>
  <c r="V38" i="7" s="1"/>
  <c r="AA38" i="7" s="1"/>
  <c r="R38" i="7"/>
  <c r="Q38" i="7"/>
  <c r="O38" i="7"/>
  <c r="N38" i="7"/>
  <c r="L38" i="7"/>
  <c r="J38" i="7"/>
  <c r="K38" i="7" s="1"/>
  <c r="I38" i="7"/>
  <c r="F38" i="7"/>
  <c r="G38" i="7" s="1"/>
  <c r="D38" i="7"/>
  <c r="B38" i="7"/>
  <c r="E38" i="7" s="1"/>
  <c r="A38" i="7"/>
  <c r="CB37" i="7"/>
  <c r="CA37" i="7"/>
  <c r="BZ37" i="7"/>
  <c r="BY37" i="7"/>
  <c r="BX37" i="7"/>
  <c r="BW37" i="7"/>
  <c r="BV37" i="7"/>
  <c r="BU37" i="7"/>
  <c r="BS37" i="7"/>
  <c r="BQ37" i="7" s="1"/>
  <c r="BT37" i="7" s="1"/>
  <c r="BR37" i="7"/>
  <c r="BP37" i="7"/>
  <c r="BO37" i="7"/>
  <c r="BN37" i="7"/>
  <c r="BM37" i="7"/>
  <c r="BL37" i="7"/>
  <c r="BK37" i="7"/>
  <c r="BI37" i="7" s="1"/>
  <c r="BJ37" i="7"/>
  <c r="BH37" i="7"/>
  <c r="BA37" i="7"/>
  <c r="AZ37" i="7"/>
  <c r="AY37" i="7" s="1"/>
  <c r="AX37" i="7"/>
  <c r="AW37" i="7"/>
  <c r="AV37" i="7"/>
  <c r="AT37" i="7"/>
  <c r="AS37" i="7"/>
  <c r="AR37" i="7"/>
  <c r="AP37" i="7"/>
  <c r="AJ37" i="7"/>
  <c r="AF37" i="7"/>
  <c r="AE37" i="7"/>
  <c r="AB37" i="7"/>
  <c r="AC37" i="7" s="1"/>
  <c r="AH37" i="7" s="1"/>
  <c r="Y37" i="7"/>
  <c r="X37" i="7"/>
  <c r="V37" i="7"/>
  <c r="U37" i="7"/>
  <c r="R37" i="7"/>
  <c r="Q37" i="7"/>
  <c r="N37" i="7"/>
  <c r="O37" i="7" s="1"/>
  <c r="AI37" i="7" s="1"/>
  <c r="K37" i="7"/>
  <c r="J37" i="7"/>
  <c r="L37" i="7" s="1"/>
  <c r="I37" i="7"/>
  <c r="H37" i="7"/>
  <c r="G37" i="7"/>
  <c r="F37" i="7"/>
  <c r="C37" i="7"/>
  <c r="B37" i="7"/>
  <c r="E37" i="7" s="1"/>
  <c r="A37" i="7"/>
  <c r="CB36" i="7"/>
  <c r="CA36" i="7"/>
  <c r="BZ36" i="7"/>
  <c r="BX36" i="7" s="1"/>
  <c r="BY36" i="7"/>
  <c r="BW36" i="7"/>
  <c r="BU36" i="7"/>
  <c r="BS36" i="7"/>
  <c r="BQ36" i="7" s="1"/>
  <c r="BT36" i="7" s="1"/>
  <c r="BR36" i="7"/>
  <c r="BP36" i="7"/>
  <c r="BO36" i="7"/>
  <c r="BV36" i="7" s="1"/>
  <c r="BN36" i="7"/>
  <c r="BM36" i="7"/>
  <c r="BL36" i="7"/>
  <c r="BK36" i="7"/>
  <c r="BI36" i="7" s="1"/>
  <c r="BJ36" i="7"/>
  <c r="BH36" i="7"/>
  <c r="BA36" i="7"/>
  <c r="AZ36" i="7"/>
  <c r="AY36" i="7"/>
  <c r="AX36" i="7"/>
  <c r="AW36" i="7"/>
  <c r="AU36" i="7" s="1"/>
  <c r="AV36" i="7"/>
  <c r="BC36" i="7" s="1"/>
  <c r="BF36" i="7" s="1"/>
  <c r="AT36" i="7"/>
  <c r="AS36" i="7"/>
  <c r="AR36" i="7"/>
  <c r="AQ36" i="7"/>
  <c r="AP36" i="7"/>
  <c r="AJ36" i="7"/>
  <c r="AI36" i="7"/>
  <c r="AF36" i="7"/>
  <c r="AE36" i="7"/>
  <c r="AL36" i="7" s="1"/>
  <c r="AC36" i="7"/>
  <c r="AB36" i="7"/>
  <c r="AA36" i="7"/>
  <c r="Y36" i="7"/>
  <c r="X36" i="7"/>
  <c r="U36" i="7"/>
  <c r="V36" i="7" s="1"/>
  <c r="S36" i="7"/>
  <c r="R36" i="7"/>
  <c r="T36" i="7" s="1"/>
  <c r="Q36" i="7"/>
  <c r="P36" i="7"/>
  <c r="O36" i="7"/>
  <c r="N36" i="7"/>
  <c r="J36" i="7"/>
  <c r="G36" i="7"/>
  <c r="F36" i="7"/>
  <c r="B36" i="7"/>
  <c r="A36" i="7"/>
  <c r="CB35" i="7"/>
  <c r="CA35" i="7"/>
  <c r="BZ35" i="7"/>
  <c r="BX35" i="7" s="1"/>
  <c r="BY35" i="7"/>
  <c r="BW35" i="7"/>
  <c r="BS35" i="7"/>
  <c r="BQ35" i="7" s="1"/>
  <c r="BT35" i="7" s="1"/>
  <c r="BR35" i="7"/>
  <c r="BP35" i="7"/>
  <c r="BO35" i="7"/>
  <c r="BN35" i="7"/>
  <c r="BL35" i="7"/>
  <c r="BK35" i="7"/>
  <c r="BI35" i="7" s="1"/>
  <c r="BJ35" i="7"/>
  <c r="BH35" i="7"/>
  <c r="BD35" i="7"/>
  <c r="BG35" i="7" s="1"/>
  <c r="BA35" i="7"/>
  <c r="AY35" i="7" s="1"/>
  <c r="AZ35" i="7"/>
  <c r="AX35" i="7"/>
  <c r="AW35" i="7"/>
  <c r="AV35" i="7"/>
  <c r="BC35" i="7" s="1"/>
  <c r="BF35" i="7" s="1"/>
  <c r="AT35" i="7"/>
  <c r="AS35" i="7"/>
  <c r="AQ35" i="7" s="1"/>
  <c r="AR35" i="7"/>
  <c r="AP35" i="7"/>
  <c r="AN35" i="7"/>
  <c r="AM35" i="7"/>
  <c r="AO35" i="7" s="1"/>
  <c r="AJ35" i="7"/>
  <c r="AF35" i="7"/>
  <c r="AH35" i="7" s="1"/>
  <c r="AE35" i="7"/>
  <c r="AB35" i="7"/>
  <c r="AC35" i="7" s="1"/>
  <c r="Z35" i="7"/>
  <c r="Y35" i="7"/>
  <c r="AA35" i="7" s="1"/>
  <c r="X35" i="7"/>
  <c r="W35" i="7"/>
  <c r="V35" i="7"/>
  <c r="U35" i="7"/>
  <c r="R35" i="7"/>
  <c r="Q35" i="7"/>
  <c r="P35" i="7"/>
  <c r="O35" i="7"/>
  <c r="AI35" i="7" s="1"/>
  <c r="N35" i="7"/>
  <c r="L35" i="7"/>
  <c r="K35" i="7"/>
  <c r="J35" i="7"/>
  <c r="I35" i="7"/>
  <c r="H35" i="7"/>
  <c r="F35" i="7"/>
  <c r="G35" i="7" s="1"/>
  <c r="E35" i="7"/>
  <c r="D35" i="7"/>
  <c r="C35" i="7"/>
  <c r="B35" i="7"/>
  <c r="A35" i="7"/>
  <c r="CB34" i="7"/>
  <c r="CA34" i="7"/>
  <c r="BZ34" i="7"/>
  <c r="BX34" i="7" s="1"/>
  <c r="BY34" i="7"/>
  <c r="BW34" i="7"/>
  <c r="BS34" i="7"/>
  <c r="BR34" i="7"/>
  <c r="BU34" i="7" s="1"/>
  <c r="BP34" i="7"/>
  <c r="BO34" i="7"/>
  <c r="BN34" i="7"/>
  <c r="BM34" i="7"/>
  <c r="BL34" i="7"/>
  <c r="BK34" i="7"/>
  <c r="BJ34" i="7"/>
  <c r="BH34" i="7"/>
  <c r="BC34" i="7"/>
  <c r="BF34" i="7" s="1"/>
  <c r="BA34" i="7"/>
  <c r="AY34" i="7" s="1"/>
  <c r="AZ34" i="7"/>
  <c r="AX34" i="7"/>
  <c r="AW34" i="7"/>
  <c r="BD34" i="7" s="1"/>
  <c r="BG34" i="7" s="1"/>
  <c r="AV34" i="7"/>
  <c r="AT34" i="7"/>
  <c r="AS34" i="7"/>
  <c r="AQ34" i="7" s="1"/>
  <c r="AR34" i="7"/>
  <c r="AP34" i="7"/>
  <c r="AM34" i="7"/>
  <c r="AN34" i="7" s="1"/>
  <c r="AJ34" i="7"/>
  <c r="AG34" i="7"/>
  <c r="AF34" i="7"/>
  <c r="AH34" i="7" s="1"/>
  <c r="AE34" i="7"/>
  <c r="AL34" i="7" s="1"/>
  <c r="AD34" i="7"/>
  <c r="AK34" i="7" s="1"/>
  <c r="AC34" i="7"/>
  <c r="AB34" i="7"/>
  <c r="Y34" i="7"/>
  <c r="X34" i="7"/>
  <c r="W34" i="7"/>
  <c r="V34" i="7"/>
  <c r="U34" i="7"/>
  <c r="R34" i="7"/>
  <c r="Q34" i="7"/>
  <c r="P34" i="7" s="1"/>
  <c r="O34" i="7"/>
  <c r="N34" i="7"/>
  <c r="L34" i="7"/>
  <c r="J34" i="7"/>
  <c r="K34" i="7" s="1"/>
  <c r="H34" i="7"/>
  <c r="F34" i="7"/>
  <c r="G34" i="7" s="1"/>
  <c r="E34" i="7"/>
  <c r="D34" i="7"/>
  <c r="B34" i="7"/>
  <c r="C34" i="7" s="1"/>
  <c r="A34" i="7"/>
  <c r="CB33" i="7"/>
  <c r="CA33" i="7"/>
  <c r="BZ33" i="7"/>
  <c r="BX33" i="7" s="1"/>
  <c r="BY33" i="7"/>
  <c r="BW33" i="7"/>
  <c r="BS33" i="7"/>
  <c r="BV33" i="7" s="1"/>
  <c r="BR33" i="7"/>
  <c r="BQ33" i="7" s="1"/>
  <c r="BT33" i="7" s="1"/>
  <c r="BP33" i="7"/>
  <c r="BO33" i="7"/>
  <c r="BM33" i="7" s="1"/>
  <c r="BN33" i="7"/>
  <c r="BL33" i="7"/>
  <c r="BK33" i="7"/>
  <c r="BJ33" i="7"/>
  <c r="BI33" i="7" s="1"/>
  <c r="BH33" i="7"/>
  <c r="BA33" i="7"/>
  <c r="AY33" i="7" s="1"/>
  <c r="AZ33" i="7"/>
  <c r="AX33" i="7"/>
  <c r="AW33" i="7"/>
  <c r="AV33" i="7"/>
  <c r="AT33" i="7"/>
  <c r="AS33" i="7"/>
  <c r="AQ33" i="7" s="1"/>
  <c r="AR33" i="7"/>
  <c r="AP33" i="7"/>
  <c r="AJ33" i="7"/>
  <c r="AF33" i="7"/>
  <c r="AE33" i="7"/>
  <c r="AD33" i="7"/>
  <c r="AK33" i="7" s="1"/>
  <c r="AC33" i="7"/>
  <c r="AB33" i="7"/>
  <c r="Y33" i="7"/>
  <c r="X33" i="7"/>
  <c r="W33" i="7" s="1"/>
  <c r="V33" i="7"/>
  <c r="U33" i="7"/>
  <c r="R33" i="7"/>
  <c r="Q33" i="7"/>
  <c r="P33" i="7"/>
  <c r="N33" i="7"/>
  <c r="O33" i="7" s="1"/>
  <c r="L33" i="7"/>
  <c r="K33" i="7"/>
  <c r="J33" i="7"/>
  <c r="I33" i="7"/>
  <c r="G33" i="7"/>
  <c r="F33" i="7"/>
  <c r="E33" i="7"/>
  <c r="D33" i="7"/>
  <c r="C33" i="7"/>
  <c r="B33" i="7"/>
  <c r="H33" i="7" s="1"/>
  <c r="A33" i="7"/>
  <c r="CB32" i="7"/>
  <c r="CA32" i="7"/>
  <c r="BZ32" i="7"/>
  <c r="BY32" i="7"/>
  <c r="BX32" i="7"/>
  <c r="BW32" i="7"/>
  <c r="BS32" i="7"/>
  <c r="BV32" i="7" s="1"/>
  <c r="BR32" i="7"/>
  <c r="BU32" i="7" s="1"/>
  <c r="BP32" i="7"/>
  <c r="BO32" i="7"/>
  <c r="BM32" i="7" s="1"/>
  <c r="BN32" i="7"/>
  <c r="BL32" i="7"/>
  <c r="BK32" i="7"/>
  <c r="BJ32" i="7"/>
  <c r="BI32" i="7"/>
  <c r="BH32" i="7"/>
  <c r="BC32" i="7"/>
  <c r="BF32" i="7" s="1"/>
  <c r="BA32" i="7"/>
  <c r="AZ32" i="7"/>
  <c r="AX32" i="7"/>
  <c r="AW32" i="7"/>
  <c r="AV32" i="7"/>
  <c r="AU32" i="7"/>
  <c r="AT32" i="7"/>
  <c r="AS32" i="7"/>
  <c r="AQ32" i="7" s="1"/>
  <c r="AR32" i="7"/>
  <c r="AP32" i="7"/>
  <c r="AM32" i="7"/>
  <c r="AJ32" i="7"/>
  <c r="AF32" i="7"/>
  <c r="AE32" i="7"/>
  <c r="AC32" i="7"/>
  <c r="AB32" i="7"/>
  <c r="Y32" i="7"/>
  <c r="Z32" i="7" s="1"/>
  <c r="X32" i="7"/>
  <c r="W32" i="7"/>
  <c r="U32" i="7"/>
  <c r="V32" i="7" s="1"/>
  <c r="AA32" i="7" s="1"/>
  <c r="R32" i="7"/>
  <c r="P32" i="7" s="1"/>
  <c r="Q32" i="7"/>
  <c r="O32" i="7"/>
  <c r="N32" i="7"/>
  <c r="L32" i="7"/>
  <c r="K32" i="7"/>
  <c r="J32" i="7"/>
  <c r="F32" i="7"/>
  <c r="G32" i="7" s="1"/>
  <c r="E32" i="7"/>
  <c r="D32" i="7"/>
  <c r="C32" i="7"/>
  <c r="B32" i="7"/>
  <c r="I32" i="7" s="1"/>
  <c r="A32" i="7"/>
  <c r="CB31" i="7"/>
  <c r="CA31" i="7"/>
  <c r="BZ31" i="7"/>
  <c r="BY31" i="7"/>
  <c r="BX31" i="7"/>
  <c r="BW31" i="7"/>
  <c r="BS31" i="7"/>
  <c r="BR31" i="7"/>
  <c r="BP31" i="7"/>
  <c r="BO31" i="7"/>
  <c r="BN31" i="7"/>
  <c r="BL31" i="7"/>
  <c r="BK31" i="7"/>
  <c r="BJ31" i="7"/>
  <c r="BI31" i="7" s="1"/>
  <c r="BH31" i="7"/>
  <c r="BG31" i="7"/>
  <c r="BA31" i="7"/>
  <c r="BD31" i="7" s="1"/>
  <c r="AZ31" i="7"/>
  <c r="AY31" i="7" s="1"/>
  <c r="AX31" i="7"/>
  <c r="AW31" i="7"/>
  <c r="AU31" i="7" s="1"/>
  <c r="AV31" i="7"/>
  <c r="AT31" i="7"/>
  <c r="AS31" i="7"/>
  <c r="AR31" i="7"/>
  <c r="BC31" i="7" s="1"/>
  <c r="BF31" i="7" s="1"/>
  <c r="AP31" i="7"/>
  <c r="AL31" i="7"/>
  <c r="AJ31" i="7"/>
  <c r="AF31" i="7"/>
  <c r="AG31" i="7" s="1"/>
  <c r="AE31" i="7"/>
  <c r="AD31" i="7"/>
  <c r="AK31" i="7" s="1"/>
  <c r="AB31" i="7"/>
  <c r="AC31" i="7" s="1"/>
  <c r="AH31" i="7" s="1"/>
  <c r="Y31" i="7"/>
  <c r="W31" i="7" s="1"/>
  <c r="X31" i="7"/>
  <c r="V31" i="7"/>
  <c r="Z31" i="7" s="1"/>
  <c r="U31" i="7"/>
  <c r="R31" i="7"/>
  <c r="P31" i="7" s="1"/>
  <c r="Q31" i="7"/>
  <c r="N31" i="7"/>
  <c r="O31" i="7" s="1"/>
  <c r="S31" i="7" s="1"/>
  <c r="K31" i="7"/>
  <c r="J31" i="7"/>
  <c r="L31" i="7" s="1"/>
  <c r="G31" i="7"/>
  <c r="F31" i="7"/>
  <c r="E31" i="7"/>
  <c r="C31" i="7"/>
  <c r="B31" i="7"/>
  <c r="A31" i="7"/>
  <c r="CB30" i="7"/>
  <c r="CA30" i="7"/>
  <c r="BZ30" i="7"/>
  <c r="BY30" i="7"/>
  <c r="BX30" i="7" s="1"/>
  <c r="BW30" i="7"/>
  <c r="BS30" i="7"/>
  <c r="BR30" i="7"/>
  <c r="BQ30" i="7"/>
  <c r="BT30" i="7" s="1"/>
  <c r="BP30" i="7"/>
  <c r="BO30" i="7"/>
  <c r="BM30" i="7" s="1"/>
  <c r="BN30" i="7"/>
  <c r="BU30" i="7" s="1"/>
  <c r="BL30" i="7"/>
  <c r="BK30" i="7"/>
  <c r="BJ30" i="7"/>
  <c r="BI30" i="7"/>
  <c r="BH30" i="7"/>
  <c r="BF30" i="7"/>
  <c r="BA30" i="7"/>
  <c r="AZ30" i="7"/>
  <c r="AY30" i="7"/>
  <c r="AX30" i="7"/>
  <c r="AW30" i="7"/>
  <c r="AU30" i="7" s="1"/>
  <c r="AV30" i="7"/>
  <c r="AT30" i="7"/>
  <c r="AS30" i="7"/>
  <c r="AQ30" i="7" s="1"/>
  <c r="AR30" i="7"/>
  <c r="BC30" i="7" s="1"/>
  <c r="AP30" i="7"/>
  <c r="AJ30" i="7"/>
  <c r="AI30" i="7"/>
  <c r="AH30" i="7"/>
  <c r="AF30" i="7"/>
  <c r="AD30" i="7" s="1"/>
  <c r="AK30" i="7" s="1"/>
  <c r="AE30" i="7"/>
  <c r="AL30" i="7" s="1"/>
  <c r="AC30" i="7"/>
  <c r="AG30" i="7" s="1"/>
  <c r="AB30" i="7"/>
  <c r="Y30" i="7"/>
  <c r="AM30" i="7" s="1"/>
  <c r="X30" i="7"/>
  <c r="U30" i="7"/>
  <c r="V30" i="7" s="1"/>
  <c r="AA30" i="7" s="1"/>
  <c r="R30" i="7"/>
  <c r="S30" i="7" s="1"/>
  <c r="Q30" i="7"/>
  <c r="O30" i="7"/>
  <c r="N30" i="7"/>
  <c r="L30" i="7"/>
  <c r="J30" i="7"/>
  <c r="K30" i="7" s="1"/>
  <c r="I30" i="7"/>
  <c r="F30" i="7"/>
  <c r="G30" i="7" s="1"/>
  <c r="D30" i="7"/>
  <c r="B30" i="7"/>
  <c r="A30" i="7"/>
  <c r="CB29" i="7"/>
  <c r="CA29" i="7"/>
  <c r="BZ29" i="7"/>
  <c r="BY29" i="7"/>
  <c r="BX29" i="7"/>
  <c r="BW29" i="7"/>
  <c r="BV29" i="7"/>
  <c r="BS29" i="7"/>
  <c r="BQ29" i="7" s="1"/>
  <c r="BT29" i="7" s="1"/>
  <c r="BR29" i="7"/>
  <c r="BP29" i="7"/>
  <c r="BO29" i="7"/>
  <c r="BN29" i="7"/>
  <c r="BU29" i="7" s="1"/>
  <c r="BM29" i="7"/>
  <c r="BL29" i="7"/>
  <c r="BK29" i="7"/>
  <c r="BI29" i="7" s="1"/>
  <c r="BJ29" i="7"/>
  <c r="BH29" i="7"/>
  <c r="BA29" i="7"/>
  <c r="AZ29" i="7"/>
  <c r="AY29" i="7" s="1"/>
  <c r="AX29" i="7"/>
  <c r="AW29" i="7"/>
  <c r="AV29" i="7"/>
  <c r="AT29" i="7"/>
  <c r="AS29" i="7"/>
  <c r="AR29" i="7"/>
  <c r="AP29" i="7"/>
  <c r="AJ29" i="7"/>
  <c r="AF29" i="7"/>
  <c r="AM29" i="7" s="1"/>
  <c r="AN29" i="7" s="1"/>
  <c r="AE29" i="7"/>
  <c r="AB29" i="7"/>
  <c r="AC29" i="7" s="1"/>
  <c r="AH29" i="7" s="1"/>
  <c r="Y29" i="7"/>
  <c r="Z29" i="7" s="1"/>
  <c r="X29" i="7"/>
  <c r="V29" i="7"/>
  <c r="U29" i="7"/>
  <c r="T29" i="7"/>
  <c r="R29" i="7"/>
  <c r="Q29" i="7"/>
  <c r="N29" i="7"/>
  <c r="O29" i="7" s="1"/>
  <c r="AI29" i="7" s="1"/>
  <c r="K29" i="7"/>
  <c r="J29" i="7"/>
  <c r="L29" i="7" s="1"/>
  <c r="I29" i="7"/>
  <c r="H29" i="7"/>
  <c r="G29" i="7"/>
  <c r="F29" i="7"/>
  <c r="C29" i="7"/>
  <c r="B29" i="7"/>
  <c r="E29" i="7" s="1"/>
  <c r="A29" i="7"/>
  <c r="CB28" i="7"/>
  <c r="CA28" i="7"/>
  <c r="BZ28" i="7"/>
  <c r="BX28" i="7" s="1"/>
  <c r="BY28" i="7"/>
  <c r="BW28" i="7"/>
  <c r="BU28" i="7"/>
  <c r="BS28" i="7"/>
  <c r="BQ28" i="7" s="1"/>
  <c r="BR28" i="7"/>
  <c r="BP28" i="7"/>
  <c r="BO28" i="7"/>
  <c r="BV28" i="7" s="1"/>
  <c r="BN28" i="7"/>
  <c r="BL28" i="7"/>
  <c r="BK28" i="7"/>
  <c r="BI28" i="7" s="1"/>
  <c r="BJ28" i="7"/>
  <c r="BH28" i="7"/>
  <c r="BD28" i="7"/>
  <c r="BA28" i="7"/>
  <c r="AZ28" i="7"/>
  <c r="AY28" i="7"/>
  <c r="AX28" i="7"/>
  <c r="AW28" i="7"/>
  <c r="AU28" i="7" s="1"/>
  <c r="AV28" i="7"/>
  <c r="BC28" i="7" s="1"/>
  <c r="AT28" i="7"/>
  <c r="AS28" i="7"/>
  <c r="AR28" i="7"/>
  <c r="AQ28" i="7"/>
  <c r="AP28" i="7"/>
  <c r="AJ28" i="7"/>
  <c r="AG28" i="7"/>
  <c r="AF28" i="7"/>
  <c r="AE28" i="7"/>
  <c r="AL28" i="7" s="1"/>
  <c r="AC28" i="7"/>
  <c r="AB28" i="7"/>
  <c r="Y28" i="7"/>
  <c r="X28" i="7"/>
  <c r="U28" i="7"/>
  <c r="V28" i="7" s="1"/>
  <c r="AA28" i="7" s="1"/>
  <c r="S28" i="7"/>
  <c r="R28" i="7"/>
  <c r="T28" i="7" s="1"/>
  <c r="Q28" i="7"/>
  <c r="P28" i="7"/>
  <c r="O28" i="7"/>
  <c r="N28" i="7"/>
  <c r="J28" i="7"/>
  <c r="H28" i="7"/>
  <c r="G28" i="7"/>
  <c r="F28" i="7"/>
  <c r="B28" i="7"/>
  <c r="A28" i="7"/>
  <c r="CB27" i="7"/>
  <c r="CA27" i="7"/>
  <c r="BZ27" i="7"/>
  <c r="BX27" i="7" s="1"/>
  <c r="BY27" i="7"/>
  <c r="BW27" i="7"/>
  <c r="BS27" i="7"/>
  <c r="BQ27" i="7" s="1"/>
  <c r="BR27" i="7"/>
  <c r="BP27" i="7"/>
  <c r="BO27" i="7"/>
  <c r="BN27" i="7"/>
  <c r="BL27" i="7"/>
  <c r="BK27" i="7"/>
  <c r="BI27" i="7" s="1"/>
  <c r="BJ27" i="7"/>
  <c r="BH27" i="7"/>
  <c r="BD27" i="7"/>
  <c r="BC27" i="7"/>
  <c r="BF27" i="7" s="1"/>
  <c r="BA27" i="7"/>
  <c r="AY27" i="7" s="1"/>
  <c r="AZ27" i="7"/>
  <c r="AX27" i="7"/>
  <c r="AW27" i="7"/>
  <c r="AV27" i="7"/>
  <c r="AU27" i="7" s="1"/>
  <c r="AT27" i="7"/>
  <c r="AS27" i="7"/>
  <c r="AQ27" i="7" s="1"/>
  <c r="AR27" i="7"/>
  <c r="AP27" i="7"/>
  <c r="AJ27" i="7"/>
  <c r="AF27" i="7"/>
  <c r="AE27" i="7"/>
  <c r="AL27" i="7" s="1"/>
  <c r="AB27" i="7"/>
  <c r="AC27" i="7" s="1"/>
  <c r="AH27" i="7" s="1"/>
  <c r="Z27" i="7"/>
  <c r="Y27" i="7"/>
  <c r="AA27" i="7" s="1"/>
  <c r="X27" i="7"/>
  <c r="W27" i="7"/>
  <c r="V27" i="7"/>
  <c r="U27" i="7"/>
  <c r="R27" i="7"/>
  <c r="P27" i="7" s="1"/>
  <c r="Q27" i="7"/>
  <c r="O27" i="7"/>
  <c r="AI27" i="7" s="1"/>
  <c r="N27" i="7"/>
  <c r="L27" i="7"/>
  <c r="K27" i="7"/>
  <c r="J27" i="7"/>
  <c r="I27" i="7"/>
  <c r="H27" i="7"/>
  <c r="F27" i="7"/>
  <c r="G27" i="7" s="1"/>
  <c r="E27" i="7"/>
  <c r="D27" i="7"/>
  <c r="C27" i="7"/>
  <c r="B27" i="7"/>
  <c r="A27" i="7"/>
  <c r="CB26" i="7"/>
  <c r="CA26" i="7"/>
  <c r="BZ26" i="7"/>
  <c r="BX26" i="7" s="1"/>
  <c r="BY26" i="7"/>
  <c r="BW26" i="7"/>
  <c r="BS26" i="7"/>
  <c r="BR26" i="7"/>
  <c r="BU26" i="7" s="1"/>
  <c r="BP26" i="7"/>
  <c r="BO26" i="7"/>
  <c r="BN26" i="7"/>
  <c r="BM26" i="7"/>
  <c r="BL26" i="7"/>
  <c r="BK26" i="7"/>
  <c r="BI26" i="7" s="1"/>
  <c r="BJ26" i="7"/>
  <c r="BH26" i="7"/>
  <c r="BC26" i="7"/>
  <c r="BF26" i="7" s="1"/>
  <c r="BA26" i="7"/>
  <c r="AY26" i="7" s="1"/>
  <c r="AZ26" i="7"/>
  <c r="AX26" i="7"/>
  <c r="AW26" i="7"/>
  <c r="BD26" i="7" s="1"/>
  <c r="AV26" i="7"/>
  <c r="AU26" i="7"/>
  <c r="AT26" i="7"/>
  <c r="AS26" i="7"/>
  <c r="AQ26" i="7" s="1"/>
  <c r="BB26" i="7" s="1"/>
  <c r="BE26" i="7" s="1"/>
  <c r="AR26" i="7"/>
  <c r="AP26" i="7"/>
  <c r="AL26" i="7"/>
  <c r="AJ26" i="7"/>
  <c r="AG26" i="7"/>
  <c r="AF26" i="7"/>
  <c r="AH26" i="7" s="1"/>
  <c r="AE26" i="7"/>
  <c r="AD26" i="7"/>
  <c r="AK26" i="7" s="1"/>
  <c r="AC26" i="7"/>
  <c r="AB26" i="7"/>
  <c r="Y26" i="7"/>
  <c r="W26" i="7" s="1"/>
  <c r="X26" i="7"/>
  <c r="V26" i="7"/>
  <c r="U26" i="7"/>
  <c r="R26" i="7"/>
  <c r="Q26" i="7"/>
  <c r="P26" i="7" s="1"/>
  <c r="N26" i="7"/>
  <c r="O26" i="7" s="1"/>
  <c r="L26" i="7"/>
  <c r="J26" i="7"/>
  <c r="K26" i="7" s="1"/>
  <c r="H26" i="7"/>
  <c r="F26" i="7"/>
  <c r="G26" i="7" s="1"/>
  <c r="E26" i="7"/>
  <c r="D26" i="7"/>
  <c r="B26" i="7"/>
  <c r="C26" i="7" s="1"/>
  <c r="A26" i="7"/>
  <c r="CB25" i="7"/>
  <c r="CA25" i="7"/>
  <c r="BZ25" i="7"/>
  <c r="BX25" i="7" s="1"/>
  <c r="BY25" i="7"/>
  <c r="BW25" i="7"/>
  <c r="BS25" i="7"/>
  <c r="BR25" i="7"/>
  <c r="BU25" i="7" s="1"/>
  <c r="BP25" i="7"/>
  <c r="BO25" i="7"/>
  <c r="BM25" i="7" s="1"/>
  <c r="BN25" i="7"/>
  <c r="BL25" i="7"/>
  <c r="BK25" i="7"/>
  <c r="BJ25" i="7"/>
  <c r="BI25" i="7"/>
  <c r="BH25" i="7"/>
  <c r="BD25" i="7"/>
  <c r="BG25" i="7" s="1"/>
  <c r="BC25" i="7"/>
  <c r="BF25" i="7" s="1"/>
  <c r="BA25" i="7"/>
  <c r="AY25" i="7" s="1"/>
  <c r="BB25" i="7" s="1"/>
  <c r="AZ25" i="7"/>
  <c r="AX25" i="7"/>
  <c r="AW25" i="7"/>
  <c r="AV25" i="7"/>
  <c r="AU25" i="7" s="1"/>
  <c r="AT25" i="7"/>
  <c r="AS25" i="7"/>
  <c r="AQ25" i="7" s="1"/>
  <c r="AR25" i="7"/>
  <c r="AP25" i="7"/>
  <c r="AM25" i="7"/>
  <c r="AO25" i="7" s="1"/>
  <c r="AL25" i="7"/>
  <c r="AJ25" i="7"/>
  <c r="AF25" i="7"/>
  <c r="AE25" i="7"/>
  <c r="AC25" i="7"/>
  <c r="AB25" i="7"/>
  <c r="Y25" i="7"/>
  <c r="X25" i="7"/>
  <c r="W25" i="7"/>
  <c r="U25" i="7"/>
  <c r="V25" i="7" s="1"/>
  <c r="R25" i="7"/>
  <c r="Q25" i="7"/>
  <c r="P25" i="7"/>
  <c r="O25" i="7"/>
  <c r="N25" i="7"/>
  <c r="L25" i="7"/>
  <c r="K25" i="7"/>
  <c r="J25" i="7"/>
  <c r="I25" i="7"/>
  <c r="F25" i="7"/>
  <c r="G25" i="7" s="1"/>
  <c r="E25" i="7"/>
  <c r="D25" i="7"/>
  <c r="C25" i="7"/>
  <c r="B25" i="7"/>
  <c r="H25" i="7" s="1"/>
  <c r="A25" i="7"/>
  <c r="CB24" i="7"/>
  <c r="CA24" i="7"/>
  <c r="BZ24" i="7"/>
  <c r="BX24" i="7" s="1"/>
  <c r="BY24" i="7"/>
  <c r="BW24" i="7"/>
  <c r="BS24" i="7"/>
  <c r="BR24" i="7"/>
  <c r="BU24" i="7" s="1"/>
  <c r="BP24" i="7"/>
  <c r="BO24" i="7"/>
  <c r="BM24" i="7" s="1"/>
  <c r="BN24" i="7"/>
  <c r="BL24" i="7"/>
  <c r="BK24" i="7"/>
  <c r="BI24" i="7" s="1"/>
  <c r="BJ24" i="7"/>
  <c r="BH24" i="7"/>
  <c r="BA24" i="7"/>
  <c r="AZ24" i="7"/>
  <c r="AX24" i="7"/>
  <c r="AW24" i="7"/>
  <c r="AV24" i="7"/>
  <c r="AU24" i="7"/>
  <c r="AT24" i="7"/>
  <c r="AS24" i="7"/>
  <c r="AQ24" i="7" s="1"/>
  <c r="AR24" i="7"/>
  <c r="BC24" i="7" s="1"/>
  <c r="BF24" i="7" s="1"/>
  <c r="AP24" i="7"/>
  <c r="AM24" i="7"/>
  <c r="AJ24" i="7"/>
  <c r="AF24" i="7"/>
  <c r="AE24" i="7"/>
  <c r="AD24" i="7" s="1"/>
  <c r="AK24" i="7" s="1"/>
  <c r="AB24" i="7"/>
  <c r="AC24" i="7" s="1"/>
  <c r="Y24" i="7"/>
  <c r="X24" i="7"/>
  <c r="W24" i="7"/>
  <c r="U24" i="7"/>
  <c r="V24" i="7" s="1"/>
  <c r="AA24" i="7" s="1"/>
  <c r="R24" i="7"/>
  <c r="P24" i="7" s="1"/>
  <c r="Q24" i="7"/>
  <c r="N24" i="7"/>
  <c r="O24" i="7" s="1"/>
  <c r="L24" i="7"/>
  <c r="K24" i="7"/>
  <c r="J24" i="7"/>
  <c r="F24" i="7"/>
  <c r="G24" i="7" s="1"/>
  <c r="E24" i="7"/>
  <c r="D24" i="7"/>
  <c r="C24" i="7"/>
  <c r="B24" i="7"/>
  <c r="I24" i="7" s="1"/>
  <c r="A24" i="7"/>
  <c r="CB23" i="7"/>
  <c r="CA23" i="7"/>
  <c r="BZ23" i="7"/>
  <c r="BY23" i="7"/>
  <c r="BX23" i="7"/>
  <c r="BW23" i="7"/>
  <c r="BS23" i="7"/>
  <c r="BR23" i="7"/>
  <c r="BQ23" i="7" s="1"/>
  <c r="BP23" i="7"/>
  <c r="BO23" i="7"/>
  <c r="BN23" i="7"/>
  <c r="BL23" i="7"/>
  <c r="BK23" i="7"/>
  <c r="BJ23" i="7"/>
  <c r="BI23" i="7" s="1"/>
  <c r="BH23" i="7"/>
  <c r="BA23" i="7"/>
  <c r="AY23" i="7" s="1"/>
  <c r="BB23" i="7" s="1"/>
  <c r="AZ23" i="7"/>
  <c r="AX23" i="7"/>
  <c r="AW23" i="7"/>
  <c r="AU23" i="7" s="1"/>
  <c r="AV23" i="7"/>
  <c r="AT23" i="7"/>
  <c r="AS23" i="7"/>
  <c r="AR23" i="7"/>
  <c r="AQ23" i="7"/>
  <c r="AP23" i="7"/>
  <c r="AL23" i="7"/>
  <c r="AJ23" i="7"/>
  <c r="AF23" i="7"/>
  <c r="AE23" i="7"/>
  <c r="AD23" i="7"/>
  <c r="AK23" i="7" s="1"/>
  <c r="AB23" i="7"/>
  <c r="AC23" i="7" s="1"/>
  <c r="Y23" i="7"/>
  <c r="W23" i="7" s="1"/>
  <c r="X23" i="7"/>
  <c r="V23" i="7"/>
  <c r="Z23" i="7" s="1"/>
  <c r="U23" i="7"/>
  <c r="T23" i="7"/>
  <c r="S23" i="7"/>
  <c r="R23" i="7"/>
  <c r="P23" i="7" s="1"/>
  <c r="Q23" i="7"/>
  <c r="N23" i="7"/>
  <c r="O23" i="7" s="1"/>
  <c r="L23" i="7"/>
  <c r="K23" i="7"/>
  <c r="J23" i="7"/>
  <c r="G23" i="7"/>
  <c r="F23" i="7"/>
  <c r="B23" i="7"/>
  <c r="A23" i="7"/>
  <c r="CB22" i="7"/>
  <c r="CA22" i="7"/>
  <c r="BZ22" i="7"/>
  <c r="BY22" i="7"/>
  <c r="BX22" i="7" s="1"/>
  <c r="BW22" i="7"/>
  <c r="BV22" i="7"/>
  <c r="BS22" i="7"/>
  <c r="BR22" i="7"/>
  <c r="BQ22" i="7"/>
  <c r="BT22" i="7" s="1"/>
  <c r="BP22" i="7"/>
  <c r="BO22" i="7"/>
  <c r="BM22" i="7" s="1"/>
  <c r="BN22" i="7"/>
  <c r="BU22" i="7" s="1"/>
  <c r="BL22" i="7"/>
  <c r="BK22" i="7"/>
  <c r="BJ22" i="7"/>
  <c r="BI22" i="7"/>
  <c r="BH22" i="7"/>
  <c r="BF22" i="7"/>
  <c r="BA22" i="7"/>
  <c r="AZ22" i="7"/>
  <c r="AY22" i="7"/>
  <c r="AX22" i="7"/>
  <c r="AW22" i="7"/>
  <c r="AU22" i="7" s="1"/>
  <c r="AV22" i="7"/>
  <c r="AT22" i="7"/>
  <c r="AS22" i="7"/>
  <c r="AQ22" i="7" s="1"/>
  <c r="AR22" i="7"/>
  <c r="BC22" i="7" s="1"/>
  <c r="AP22" i="7"/>
  <c r="AJ22" i="7"/>
  <c r="AF22" i="7"/>
  <c r="AE22" i="7"/>
  <c r="AL22" i="7" s="1"/>
  <c r="AB22" i="7"/>
  <c r="AC22" i="7" s="1"/>
  <c r="AA22" i="7"/>
  <c r="Z22" i="7"/>
  <c r="Y22" i="7"/>
  <c r="AM22" i="7" s="1"/>
  <c r="X22" i="7"/>
  <c r="U22" i="7"/>
  <c r="V22" i="7" s="1"/>
  <c r="R22" i="7"/>
  <c r="P22" i="7" s="1"/>
  <c r="Q22" i="7"/>
  <c r="O22" i="7"/>
  <c r="N22" i="7"/>
  <c r="K22" i="7"/>
  <c r="J22" i="7"/>
  <c r="L22" i="7" s="1"/>
  <c r="F22" i="7"/>
  <c r="G22" i="7" s="1"/>
  <c r="B22" i="7"/>
  <c r="A22" i="7"/>
  <c r="CB21" i="7"/>
  <c r="CA21" i="7"/>
  <c r="BZ21" i="7"/>
  <c r="BY21" i="7"/>
  <c r="BX21" i="7"/>
  <c r="BW21" i="7"/>
  <c r="BV21" i="7"/>
  <c r="BS21" i="7"/>
  <c r="BQ21" i="7" s="1"/>
  <c r="BR21" i="7"/>
  <c r="BP21" i="7"/>
  <c r="BO21" i="7"/>
  <c r="BM21" i="7" s="1"/>
  <c r="BN21" i="7"/>
  <c r="BU21" i="7" s="1"/>
  <c r="BL21" i="7"/>
  <c r="BK21" i="7"/>
  <c r="BI21" i="7" s="1"/>
  <c r="BJ21" i="7"/>
  <c r="BH21" i="7"/>
  <c r="BA21" i="7"/>
  <c r="AZ21" i="7"/>
  <c r="AY21" i="7" s="1"/>
  <c r="AX21" i="7"/>
  <c r="AW21" i="7"/>
  <c r="AV21" i="7"/>
  <c r="AT21" i="7"/>
  <c r="AS21" i="7"/>
  <c r="AR21" i="7"/>
  <c r="AQ21" i="7"/>
  <c r="AP21" i="7"/>
  <c r="AJ21" i="7"/>
  <c r="AH21" i="7"/>
  <c r="AG21" i="7"/>
  <c r="AF21" i="7"/>
  <c r="AM21" i="7" s="1"/>
  <c r="AN21" i="7" s="1"/>
  <c r="AE21" i="7"/>
  <c r="AB21" i="7"/>
  <c r="AC21" i="7" s="1"/>
  <c r="AA21" i="7"/>
  <c r="Z21" i="7"/>
  <c r="Y21" i="7"/>
  <c r="W21" i="7" s="1"/>
  <c r="X21" i="7"/>
  <c r="AL21" i="7" s="1"/>
  <c r="V21" i="7"/>
  <c r="U21" i="7"/>
  <c r="T21" i="7"/>
  <c r="R21" i="7"/>
  <c r="P21" i="7" s="1"/>
  <c r="Q21" i="7"/>
  <c r="N21" i="7"/>
  <c r="O21" i="7" s="1"/>
  <c r="AI21" i="7" s="1"/>
  <c r="K21" i="7"/>
  <c r="J21" i="7"/>
  <c r="L21" i="7" s="1"/>
  <c r="I21" i="7"/>
  <c r="H21" i="7"/>
  <c r="G21" i="7"/>
  <c r="F21" i="7"/>
  <c r="C21" i="7"/>
  <c r="B21" i="7"/>
  <c r="A21" i="7"/>
  <c r="CB20" i="7"/>
  <c r="CA20" i="7"/>
  <c r="BZ20" i="7"/>
  <c r="BX20" i="7" s="1"/>
  <c r="BY20" i="7"/>
  <c r="BW20" i="7"/>
  <c r="BV20" i="7"/>
  <c r="BS20" i="7"/>
  <c r="BQ20" i="7" s="1"/>
  <c r="BR20" i="7"/>
  <c r="BP20" i="7"/>
  <c r="BO20" i="7"/>
  <c r="BN20" i="7"/>
  <c r="BM20" i="7" s="1"/>
  <c r="BT20" i="7" s="1"/>
  <c r="BL20" i="7"/>
  <c r="BK20" i="7"/>
  <c r="BI20" i="7" s="1"/>
  <c r="BJ20" i="7"/>
  <c r="BH20" i="7"/>
  <c r="BA20" i="7"/>
  <c r="AZ20" i="7"/>
  <c r="AY20" i="7"/>
  <c r="AX20" i="7"/>
  <c r="AW20" i="7"/>
  <c r="AU20" i="7" s="1"/>
  <c r="AV20" i="7"/>
  <c r="BC20" i="7" s="1"/>
  <c r="AT20" i="7"/>
  <c r="AS20" i="7"/>
  <c r="AR20" i="7"/>
  <c r="AQ20" i="7"/>
  <c r="AP20" i="7"/>
  <c r="AJ20" i="7"/>
  <c r="AF20" i="7"/>
  <c r="AE20" i="7"/>
  <c r="AC20" i="7"/>
  <c r="AB20" i="7"/>
  <c r="Y20" i="7"/>
  <c r="W20" i="7" s="1"/>
  <c r="X20" i="7"/>
  <c r="U20" i="7"/>
  <c r="V20" i="7" s="1"/>
  <c r="AI20" i="7" s="1"/>
  <c r="S20" i="7"/>
  <c r="R20" i="7"/>
  <c r="T20" i="7" s="1"/>
  <c r="Q20" i="7"/>
  <c r="O20" i="7"/>
  <c r="N20" i="7"/>
  <c r="J20" i="7"/>
  <c r="I20" i="7"/>
  <c r="H20" i="7"/>
  <c r="G20" i="7"/>
  <c r="F20" i="7"/>
  <c r="B20" i="7"/>
  <c r="A20" i="7"/>
  <c r="CB19" i="7"/>
  <c r="CA19" i="7"/>
  <c r="BZ19" i="7"/>
  <c r="BX19" i="7" s="1"/>
  <c r="BY19" i="7"/>
  <c r="BW19" i="7"/>
  <c r="BV19" i="7"/>
  <c r="BT19" i="7"/>
  <c r="BS19" i="7"/>
  <c r="BQ19" i="7" s="1"/>
  <c r="BR19" i="7"/>
  <c r="BP19" i="7"/>
  <c r="BO19" i="7"/>
  <c r="BN19" i="7"/>
  <c r="BU19" i="7" s="1"/>
  <c r="BM19" i="7"/>
  <c r="BL19" i="7"/>
  <c r="BK19" i="7"/>
  <c r="BI19" i="7" s="1"/>
  <c r="BJ19" i="7"/>
  <c r="BH19" i="7"/>
  <c r="BD19" i="7"/>
  <c r="BG19" i="7" s="1"/>
  <c r="BC19" i="7"/>
  <c r="BF19" i="7" s="1"/>
  <c r="BA19" i="7"/>
  <c r="AY19" i="7" s="1"/>
  <c r="AZ19" i="7"/>
  <c r="AX19" i="7"/>
  <c r="AW19" i="7"/>
  <c r="AV19" i="7"/>
  <c r="AU19" i="7" s="1"/>
  <c r="AT19" i="7"/>
  <c r="AS19" i="7"/>
  <c r="AQ19" i="7" s="1"/>
  <c r="AR19" i="7"/>
  <c r="AP19" i="7"/>
  <c r="AJ19" i="7"/>
  <c r="AH19" i="7"/>
  <c r="AG19" i="7"/>
  <c r="AF19" i="7"/>
  <c r="AE19" i="7"/>
  <c r="AB19" i="7"/>
  <c r="AC19" i="7" s="1"/>
  <c r="Y19" i="7"/>
  <c r="AA19" i="7" s="1"/>
  <c r="X19" i="7"/>
  <c r="V19" i="7"/>
  <c r="U19" i="7"/>
  <c r="R19" i="7"/>
  <c r="P19" i="7" s="1"/>
  <c r="Q19" i="7"/>
  <c r="O19" i="7"/>
  <c r="AI19" i="7" s="1"/>
  <c r="N19" i="7"/>
  <c r="L19" i="7"/>
  <c r="K19" i="7"/>
  <c r="J19" i="7"/>
  <c r="I19" i="7"/>
  <c r="H19" i="7"/>
  <c r="F19" i="7"/>
  <c r="G19" i="7" s="1"/>
  <c r="E19" i="7"/>
  <c r="D19" i="7"/>
  <c r="C19" i="7"/>
  <c r="B19" i="7"/>
  <c r="A19" i="7"/>
  <c r="CB18" i="7"/>
  <c r="CA18" i="7"/>
  <c r="BZ18" i="7"/>
  <c r="BX18" i="7" s="1"/>
  <c r="BY18" i="7"/>
  <c r="BW18" i="7"/>
  <c r="BU18" i="7"/>
  <c r="BS18" i="7"/>
  <c r="BR18" i="7"/>
  <c r="BP18" i="7"/>
  <c r="BO18" i="7"/>
  <c r="BN18" i="7"/>
  <c r="BM18" i="7"/>
  <c r="BL18" i="7"/>
  <c r="BK18" i="7"/>
  <c r="BJ18" i="7"/>
  <c r="BH18" i="7"/>
  <c r="BD18" i="7"/>
  <c r="BC18" i="7"/>
  <c r="BA18" i="7"/>
  <c r="AY18" i="7" s="1"/>
  <c r="BB18" i="7" s="1"/>
  <c r="AZ18" i="7"/>
  <c r="AX18" i="7"/>
  <c r="AW18" i="7"/>
  <c r="AV18" i="7"/>
  <c r="AU18" i="7"/>
  <c r="AT18" i="7"/>
  <c r="AS18" i="7"/>
  <c r="AQ18" i="7" s="1"/>
  <c r="AR18" i="7"/>
  <c r="AP18" i="7"/>
  <c r="AL18" i="7"/>
  <c r="AJ18" i="7"/>
  <c r="AF18" i="7"/>
  <c r="AH18" i="7" s="1"/>
  <c r="AE18" i="7"/>
  <c r="AC18" i="7"/>
  <c r="AB18" i="7"/>
  <c r="Y18" i="7"/>
  <c r="W18" i="7" s="1"/>
  <c r="X18" i="7"/>
  <c r="V18" i="7"/>
  <c r="U18" i="7"/>
  <c r="R18" i="7"/>
  <c r="Q18" i="7"/>
  <c r="P18" i="7" s="1"/>
  <c r="O18" i="7"/>
  <c r="N18" i="7"/>
  <c r="L18" i="7"/>
  <c r="J18" i="7"/>
  <c r="K18" i="7" s="1"/>
  <c r="H18" i="7"/>
  <c r="G18" i="7"/>
  <c r="F18" i="7"/>
  <c r="E18" i="7"/>
  <c r="D18" i="7"/>
  <c r="B18" i="7"/>
  <c r="C18" i="7" s="1"/>
  <c r="A18" i="7"/>
  <c r="CB17" i="7"/>
  <c r="CA17" i="7"/>
  <c r="BZ17" i="7"/>
  <c r="BX17" i="7" s="1"/>
  <c r="BY17" i="7"/>
  <c r="BW17" i="7"/>
  <c r="BS17" i="7"/>
  <c r="BR17" i="7"/>
  <c r="BQ17" i="7"/>
  <c r="BT17" i="7" s="1"/>
  <c r="BP17" i="7"/>
  <c r="BO17" i="7"/>
  <c r="BM17" i="7" s="1"/>
  <c r="BN17" i="7"/>
  <c r="BL17" i="7"/>
  <c r="BK17" i="7"/>
  <c r="BI17" i="7" s="1"/>
  <c r="BJ17" i="7"/>
  <c r="BH17" i="7"/>
  <c r="BA17" i="7"/>
  <c r="AY17" i="7" s="1"/>
  <c r="AZ17" i="7"/>
  <c r="AX17" i="7"/>
  <c r="AW17" i="7"/>
  <c r="AV17" i="7"/>
  <c r="BC17" i="7" s="1"/>
  <c r="BF17" i="7" s="1"/>
  <c r="AT17" i="7"/>
  <c r="AS17" i="7"/>
  <c r="AQ17" i="7" s="1"/>
  <c r="AR17" i="7"/>
  <c r="AP17" i="7"/>
  <c r="AN17" i="7"/>
  <c r="AM17" i="7"/>
  <c r="AO17" i="7" s="1"/>
  <c r="AL17" i="7"/>
  <c r="AJ17" i="7"/>
  <c r="AF17" i="7"/>
  <c r="AE17" i="7"/>
  <c r="AD17" i="7"/>
  <c r="AK17" i="7" s="1"/>
  <c r="AC17" i="7"/>
  <c r="AB17" i="7"/>
  <c r="Y17" i="7"/>
  <c r="X17" i="7"/>
  <c r="W17" i="7"/>
  <c r="V17" i="7"/>
  <c r="U17" i="7"/>
  <c r="R17" i="7"/>
  <c r="Q17" i="7"/>
  <c r="P17" i="7"/>
  <c r="O17" i="7"/>
  <c r="N17" i="7"/>
  <c r="L17" i="7"/>
  <c r="K17" i="7"/>
  <c r="J17" i="7"/>
  <c r="I17" i="7"/>
  <c r="G17" i="7"/>
  <c r="F17" i="7"/>
  <c r="E17" i="7"/>
  <c r="D17" i="7"/>
  <c r="C17" i="7"/>
  <c r="B17" i="7"/>
  <c r="H17" i="7" s="1"/>
  <c r="A17" i="7"/>
  <c r="CB16" i="7"/>
  <c r="CA16" i="7"/>
  <c r="BZ16" i="7"/>
  <c r="BX16" i="7" s="1"/>
  <c r="BY16" i="7"/>
  <c r="BW16" i="7"/>
  <c r="BS16" i="7"/>
  <c r="BR16" i="7"/>
  <c r="BQ16" i="7"/>
  <c r="BP16" i="7"/>
  <c r="BO16" i="7"/>
  <c r="BM16" i="7" s="1"/>
  <c r="BN16" i="7"/>
  <c r="BL16" i="7"/>
  <c r="BK16" i="7"/>
  <c r="BI16" i="7" s="1"/>
  <c r="BJ16" i="7"/>
  <c r="BH16" i="7"/>
  <c r="BA16" i="7"/>
  <c r="AZ16" i="7"/>
  <c r="AX16" i="7"/>
  <c r="AW16" i="7"/>
  <c r="AV16" i="7"/>
  <c r="AU16" i="7"/>
  <c r="AT16" i="7"/>
  <c r="AS16" i="7"/>
  <c r="AR16" i="7"/>
  <c r="BC16" i="7" s="1"/>
  <c r="AP16" i="7"/>
  <c r="AM16" i="7"/>
  <c r="AJ16" i="7"/>
  <c r="AF16" i="7"/>
  <c r="AE16" i="7"/>
  <c r="AL16" i="7" s="1"/>
  <c r="AD16" i="7"/>
  <c r="AK16" i="7" s="1"/>
  <c r="AB16" i="7"/>
  <c r="AC16" i="7" s="1"/>
  <c r="Y16" i="7"/>
  <c r="X16" i="7"/>
  <c r="W16" i="7"/>
  <c r="V16" i="7"/>
  <c r="AA16" i="7" s="1"/>
  <c r="U16" i="7"/>
  <c r="T16" i="7"/>
  <c r="R16" i="7"/>
  <c r="P16" i="7" s="1"/>
  <c r="Q16" i="7"/>
  <c r="O16" i="7"/>
  <c r="N16" i="7"/>
  <c r="L16" i="7"/>
  <c r="K16" i="7"/>
  <c r="J16" i="7"/>
  <c r="F16" i="7"/>
  <c r="G16" i="7" s="1"/>
  <c r="E16" i="7"/>
  <c r="D16" i="7"/>
  <c r="C16" i="7"/>
  <c r="B16" i="7"/>
  <c r="I16" i="7" s="1"/>
  <c r="A16" i="7"/>
  <c r="CB15" i="7"/>
  <c r="CA15" i="7"/>
  <c r="BZ15" i="7"/>
  <c r="BX15" i="7" s="1"/>
  <c r="BY15" i="7"/>
  <c r="BW15" i="7"/>
  <c r="BS15" i="7"/>
  <c r="BR15" i="7"/>
  <c r="BU15" i="7" s="1"/>
  <c r="BP15" i="7"/>
  <c r="BO15" i="7"/>
  <c r="BN15" i="7"/>
  <c r="BL15" i="7"/>
  <c r="BK15" i="7"/>
  <c r="BJ15" i="7"/>
  <c r="BI15" i="7"/>
  <c r="BH15" i="7"/>
  <c r="BA15" i="7"/>
  <c r="AZ15" i="7"/>
  <c r="AY15" i="7" s="1"/>
  <c r="BB15" i="7" s="1"/>
  <c r="BE15" i="7" s="1"/>
  <c r="AX15" i="7"/>
  <c r="AW15" i="7"/>
  <c r="AU15" i="7" s="1"/>
  <c r="AV15" i="7"/>
  <c r="AT15" i="7"/>
  <c r="AS15" i="7"/>
  <c r="AQ15" i="7" s="1"/>
  <c r="AR15" i="7"/>
  <c r="AP15" i="7"/>
  <c r="AL15" i="7"/>
  <c r="AK15" i="7"/>
  <c r="AJ15" i="7"/>
  <c r="AF15" i="7"/>
  <c r="AG15" i="7" s="1"/>
  <c r="AE15" i="7"/>
  <c r="AD15" i="7"/>
  <c r="AC15" i="7"/>
  <c r="AH15" i="7" s="1"/>
  <c r="AB15" i="7"/>
  <c r="Y15" i="7"/>
  <c r="W15" i="7" s="1"/>
  <c r="X15" i="7"/>
  <c r="V15" i="7"/>
  <c r="Z15" i="7" s="1"/>
  <c r="U15" i="7"/>
  <c r="R15" i="7"/>
  <c r="P15" i="7" s="1"/>
  <c r="Q15" i="7"/>
  <c r="N15" i="7"/>
  <c r="O15" i="7" s="1"/>
  <c r="T15" i="7" s="1"/>
  <c r="L15" i="7"/>
  <c r="K15" i="7"/>
  <c r="J15" i="7"/>
  <c r="G15" i="7"/>
  <c r="F15" i="7"/>
  <c r="D15" i="7"/>
  <c r="C15" i="7"/>
  <c r="B15" i="7"/>
  <c r="A15" i="7"/>
  <c r="CB14" i="7"/>
  <c r="CA14" i="7"/>
  <c r="BZ14" i="7"/>
  <c r="BY14" i="7"/>
  <c r="BX14" i="7"/>
  <c r="BW14" i="7"/>
  <c r="BV14" i="7"/>
  <c r="BS14" i="7"/>
  <c r="BR14" i="7"/>
  <c r="BQ14" i="7"/>
  <c r="BP14" i="7"/>
  <c r="BO14" i="7"/>
  <c r="BN14" i="7"/>
  <c r="BU14" i="7" s="1"/>
  <c r="BL14" i="7"/>
  <c r="BK14" i="7"/>
  <c r="BJ14" i="7"/>
  <c r="BI14" i="7"/>
  <c r="BH14" i="7"/>
  <c r="BA14" i="7"/>
  <c r="BD14" i="7" s="1"/>
  <c r="AZ14" i="7"/>
  <c r="AX14" i="7"/>
  <c r="AW14" i="7"/>
  <c r="AU14" i="7" s="1"/>
  <c r="AV14" i="7"/>
  <c r="AT14" i="7"/>
  <c r="AS14" i="7"/>
  <c r="AR14" i="7"/>
  <c r="BC14" i="7" s="1"/>
  <c r="BF14" i="7" s="1"/>
  <c r="AP14" i="7"/>
  <c r="AJ14" i="7"/>
  <c r="AF14" i="7"/>
  <c r="AD14" i="7" s="1"/>
  <c r="AE14" i="7"/>
  <c r="AL14" i="7" s="1"/>
  <c r="AC14" i="7"/>
  <c r="AG14" i="7" s="1"/>
  <c r="AB14" i="7"/>
  <c r="AA14" i="7"/>
  <c r="Z14" i="7"/>
  <c r="Y14" i="7"/>
  <c r="X14" i="7"/>
  <c r="U14" i="7"/>
  <c r="V14" i="7" s="1"/>
  <c r="T14" i="7"/>
  <c r="S14" i="7"/>
  <c r="R14" i="7"/>
  <c r="P14" i="7" s="1"/>
  <c r="Q14" i="7"/>
  <c r="O14" i="7"/>
  <c r="N14" i="7"/>
  <c r="J14" i="7"/>
  <c r="L14" i="7" s="1"/>
  <c r="I14" i="7"/>
  <c r="F14" i="7"/>
  <c r="G14" i="7" s="1"/>
  <c r="D14" i="7"/>
  <c r="B14" i="7"/>
  <c r="C14" i="7" s="1"/>
  <c r="A14" i="7"/>
  <c r="CB13" i="7"/>
  <c r="CA13" i="7"/>
  <c r="BZ13" i="7"/>
  <c r="BY13" i="7"/>
  <c r="BX13" i="7"/>
  <c r="BW13" i="7"/>
  <c r="BS13" i="7"/>
  <c r="BQ13" i="7" s="1"/>
  <c r="BR13" i="7"/>
  <c r="BP13" i="7"/>
  <c r="BO13" i="7"/>
  <c r="BV13" i="7" s="1"/>
  <c r="BN13" i="7"/>
  <c r="BU13" i="7" s="1"/>
  <c r="BL13" i="7"/>
  <c r="BK13" i="7"/>
  <c r="BI13" i="7" s="1"/>
  <c r="BJ13" i="7"/>
  <c r="BH13" i="7"/>
  <c r="BA13" i="7"/>
  <c r="AZ13" i="7"/>
  <c r="AY13" i="7" s="1"/>
  <c r="AX13" i="7"/>
  <c r="AW13" i="7"/>
  <c r="AV13" i="7"/>
  <c r="AT13" i="7"/>
  <c r="AS13" i="7"/>
  <c r="AR13" i="7"/>
  <c r="AQ13" i="7"/>
  <c r="AP13" i="7"/>
  <c r="AJ13" i="7"/>
  <c r="AH13" i="7"/>
  <c r="AG13" i="7"/>
  <c r="AF13" i="7"/>
  <c r="AE13" i="7"/>
  <c r="AB13" i="7"/>
  <c r="AC13" i="7" s="1"/>
  <c r="Z13" i="7"/>
  <c r="Y13" i="7"/>
  <c r="W13" i="7" s="1"/>
  <c r="X13" i="7"/>
  <c r="V13" i="7"/>
  <c r="U13" i="7"/>
  <c r="R13" i="7"/>
  <c r="Q13" i="7"/>
  <c r="N13" i="7"/>
  <c r="O13" i="7" s="1"/>
  <c r="T13" i="7" s="1"/>
  <c r="J13" i="7"/>
  <c r="L13" i="7" s="1"/>
  <c r="G13" i="7"/>
  <c r="F13" i="7"/>
  <c r="C13" i="7"/>
  <c r="B13" i="7"/>
  <c r="I13" i="7" s="1"/>
  <c r="A13" i="7"/>
  <c r="CB12" i="7"/>
  <c r="CA12" i="7"/>
  <c r="BZ12" i="7"/>
  <c r="BX12" i="7" s="1"/>
  <c r="BY12" i="7"/>
  <c r="BW12" i="7"/>
  <c r="BV12" i="7"/>
  <c r="BU12" i="7"/>
  <c r="BS12" i="7"/>
  <c r="BQ12" i="7" s="1"/>
  <c r="BT12" i="7" s="1"/>
  <c r="BR12" i="7"/>
  <c r="BP12" i="7"/>
  <c r="BO12" i="7"/>
  <c r="BN12" i="7"/>
  <c r="BM12" i="7"/>
  <c r="BL12" i="7"/>
  <c r="BK12" i="7"/>
  <c r="BI12" i="7" s="1"/>
  <c r="BJ12" i="7"/>
  <c r="BH12" i="7"/>
  <c r="BD12" i="7"/>
  <c r="BA12" i="7"/>
  <c r="AZ12" i="7"/>
  <c r="AY12" i="7"/>
  <c r="BB12" i="7" s="1"/>
  <c r="AX12" i="7"/>
  <c r="AW12" i="7"/>
  <c r="AU12" i="7" s="1"/>
  <c r="AV12" i="7"/>
  <c r="BC12" i="7" s="1"/>
  <c r="BF12" i="7" s="1"/>
  <c r="AT12" i="7"/>
  <c r="AS12" i="7"/>
  <c r="AR12" i="7"/>
  <c r="AQ12" i="7"/>
  <c r="AP12" i="7"/>
  <c r="AJ12" i="7"/>
  <c r="AH12" i="7"/>
  <c r="AG12" i="7"/>
  <c r="AF12" i="7"/>
  <c r="AE12" i="7"/>
  <c r="AL12" i="7" s="1"/>
  <c r="AC12" i="7"/>
  <c r="AB12" i="7"/>
  <c r="Y12" i="7"/>
  <c r="W12" i="7" s="1"/>
  <c r="X12" i="7"/>
  <c r="U12" i="7"/>
  <c r="V12" i="7" s="1"/>
  <c r="AI12" i="7" s="1"/>
  <c r="S12" i="7"/>
  <c r="R12" i="7"/>
  <c r="T12" i="7" s="1"/>
  <c r="Q12" i="7"/>
  <c r="P12" i="7" s="1"/>
  <c r="O12" i="7"/>
  <c r="N12" i="7"/>
  <c r="J12" i="7"/>
  <c r="I12" i="7"/>
  <c r="H12" i="7"/>
  <c r="G12" i="7"/>
  <c r="F12" i="7"/>
  <c r="B12" i="7"/>
  <c r="A12" i="7"/>
  <c r="CB11" i="7"/>
  <c r="CA11" i="7"/>
  <c r="BZ11" i="7"/>
  <c r="BX11" i="7" s="1"/>
  <c r="BY11" i="7"/>
  <c r="BW11" i="7"/>
  <c r="BU11" i="7"/>
  <c r="BS11" i="7"/>
  <c r="BQ11" i="7" s="1"/>
  <c r="BT11" i="7" s="1"/>
  <c r="BR11" i="7"/>
  <c r="BP11" i="7"/>
  <c r="BO11" i="7"/>
  <c r="BN11" i="7"/>
  <c r="BM11" i="7"/>
  <c r="BL11" i="7"/>
  <c r="BK11" i="7"/>
  <c r="BI11" i="7" s="1"/>
  <c r="BJ11" i="7"/>
  <c r="BH11" i="7"/>
  <c r="BA11" i="7"/>
  <c r="AY11" i="7" s="1"/>
  <c r="AZ11" i="7"/>
  <c r="AX11" i="7"/>
  <c r="AW11" i="7"/>
  <c r="BD11" i="7" s="1"/>
  <c r="AV11" i="7"/>
  <c r="BC11" i="7" s="1"/>
  <c r="BF11" i="7" s="1"/>
  <c r="AU11" i="7"/>
  <c r="AT11" i="7"/>
  <c r="AS11" i="7"/>
  <c r="AQ11" i="7" s="1"/>
  <c r="AR11" i="7"/>
  <c r="AP11" i="7"/>
  <c r="AJ11" i="7"/>
  <c r="AF11" i="7"/>
  <c r="AD11" i="7" s="1"/>
  <c r="AK11" i="7" s="1"/>
  <c r="AE11" i="7"/>
  <c r="AB11" i="7"/>
  <c r="AC11" i="7" s="1"/>
  <c r="Z11" i="7"/>
  <c r="Y11" i="7"/>
  <c r="AA11" i="7" s="1"/>
  <c r="X11" i="7"/>
  <c r="V11" i="7"/>
  <c r="U11" i="7"/>
  <c r="R11" i="7"/>
  <c r="Q11" i="7"/>
  <c r="P11" i="7" s="1"/>
  <c r="O11" i="7"/>
  <c r="N11" i="7"/>
  <c r="L11" i="7"/>
  <c r="K11" i="7"/>
  <c r="J11" i="7"/>
  <c r="I11" i="7"/>
  <c r="H11" i="7"/>
  <c r="G11" i="7"/>
  <c r="F11" i="7"/>
  <c r="E11" i="7"/>
  <c r="D11" i="7"/>
  <c r="C11" i="7"/>
  <c r="B11" i="7"/>
  <c r="A11" i="7"/>
  <c r="CB10" i="7"/>
  <c r="CA10" i="7"/>
  <c r="BZ10" i="7"/>
  <c r="BX10" i="7" s="1"/>
  <c r="BY10" i="7"/>
  <c r="BW10" i="7"/>
  <c r="BS10" i="7"/>
  <c r="BR10" i="7"/>
  <c r="BU10" i="7" s="1"/>
  <c r="BP10" i="7"/>
  <c r="BO10" i="7"/>
  <c r="BN10" i="7"/>
  <c r="BM10" i="7"/>
  <c r="BL10" i="7"/>
  <c r="BK10" i="7"/>
  <c r="BI10" i="7" s="1"/>
  <c r="BJ10" i="7"/>
  <c r="BH10" i="7"/>
  <c r="BC10" i="7"/>
  <c r="BA10" i="7"/>
  <c r="AY10" i="7" s="1"/>
  <c r="AZ10" i="7"/>
  <c r="AX10" i="7"/>
  <c r="AW10" i="7"/>
  <c r="BD10" i="7" s="1"/>
  <c r="BG10" i="7" s="1"/>
  <c r="AV10" i="7"/>
  <c r="AT10" i="7"/>
  <c r="AS10" i="7"/>
  <c r="AQ10" i="7" s="1"/>
  <c r="AR10" i="7"/>
  <c r="AP10" i="7"/>
  <c r="AN10" i="7"/>
  <c r="AM10" i="7"/>
  <c r="AO10" i="7" s="1"/>
  <c r="AJ10" i="7"/>
  <c r="AF10" i="7"/>
  <c r="AH10" i="7" s="1"/>
  <c r="AE10" i="7"/>
  <c r="AC10" i="7"/>
  <c r="AB10" i="7"/>
  <c r="Y10" i="7"/>
  <c r="W10" i="7" s="1"/>
  <c r="X10" i="7"/>
  <c r="AL10" i="7" s="1"/>
  <c r="V10" i="7"/>
  <c r="U10" i="7"/>
  <c r="R10" i="7"/>
  <c r="Q10" i="7"/>
  <c r="P10" i="7" s="1"/>
  <c r="N10" i="7"/>
  <c r="O10" i="7" s="1"/>
  <c r="L10" i="7"/>
  <c r="J10" i="7"/>
  <c r="K10" i="7" s="1"/>
  <c r="H10" i="7"/>
  <c r="F10" i="7"/>
  <c r="G10" i="7" s="1"/>
  <c r="E10" i="7"/>
  <c r="D10" i="7"/>
  <c r="B10" i="7"/>
  <c r="C10" i="7" s="1"/>
  <c r="A10" i="7"/>
  <c r="CB9" i="7"/>
  <c r="CA9" i="7"/>
  <c r="BZ9" i="7"/>
  <c r="BY9" i="7"/>
  <c r="BW9" i="7"/>
  <c r="BS9" i="7"/>
  <c r="BV9" i="7" s="1"/>
  <c r="BR9" i="7"/>
  <c r="BP9" i="7"/>
  <c r="BO9" i="7"/>
  <c r="BM9" i="7" s="1"/>
  <c r="BN9" i="7"/>
  <c r="BL9" i="7"/>
  <c r="BK9" i="7"/>
  <c r="BI9" i="7" s="1"/>
  <c r="BJ9" i="7"/>
  <c r="BH9" i="7"/>
  <c r="BA9" i="7"/>
  <c r="AY9" i="7" s="1"/>
  <c r="AZ9" i="7"/>
  <c r="AX9" i="7"/>
  <c r="AW9" i="7"/>
  <c r="AV9" i="7"/>
  <c r="AU9" i="7" s="1"/>
  <c r="BB9" i="7" s="1"/>
  <c r="AT9" i="7"/>
  <c r="AS9" i="7"/>
  <c r="AQ9" i="7" s="1"/>
  <c r="AR9" i="7"/>
  <c r="AP9" i="7"/>
  <c r="AJ9" i="7"/>
  <c r="AF9" i="7"/>
  <c r="AD9" i="7" s="1"/>
  <c r="AE9" i="7"/>
  <c r="AL9" i="7" s="1"/>
  <c r="AC9" i="7"/>
  <c r="AB9" i="7"/>
  <c r="Y9" i="7"/>
  <c r="X9" i="7"/>
  <c r="W9" i="7" s="1"/>
  <c r="V9" i="7"/>
  <c r="U9" i="7"/>
  <c r="R9" i="7"/>
  <c r="Q9" i="7"/>
  <c r="P9" i="7"/>
  <c r="N9" i="7"/>
  <c r="O9" i="7" s="1"/>
  <c r="L9" i="7"/>
  <c r="K9" i="7"/>
  <c r="J9" i="7"/>
  <c r="I9" i="7"/>
  <c r="G9" i="7"/>
  <c r="F9" i="7"/>
  <c r="E9" i="7"/>
  <c r="D9" i="7"/>
  <c r="C9" i="7"/>
  <c r="B9" i="7"/>
  <c r="H9" i="7" s="1"/>
  <c r="A9" i="7"/>
  <c r="CQ8" i="7"/>
  <c r="CP8" i="7"/>
  <c r="CO8" i="7"/>
  <c r="CN8" i="7"/>
  <c r="CM8" i="7"/>
  <c r="CL8" i="7"/>
  <c r="CK8" i="7"/>
  <c r="CJ8" i="7"/>
  <c r="CI8" i="7"/>
  <c r="CH8" i="7"/>
  <c r="CG8" i="7"/>
  <c r="CB8" i="7"/>
  <c r="CA8" i="7"/>
  <c r="BZ8" i="7"/>
  <c r="BX8" i="7" s="1"/>
  <c r="BY8" i="7"/>
  <c r="BW8" i="7"/>
  <c r="BV8" i="7"/>
  <c r="BU8" i="7"/>
  <c r="BS8" i="7"/>
  <c r="BQ8" i="7" s="1"/>
  <c r="BT8" i="7" s="1"/>
  <c r="BR8" i="7"/>
  <c r="BP8" i="7"/>
  <c r="BO8" i="7"/>
  <c r="BN8" i="7"/>
  <c r="BM8" i="7" s="1"/>
  <c r="BL8" i="7"/>
  <c r="BK8" i="7"/>
  <c r="BI8" i="7" s="1"/>
  <c r="BJ8" i="7"/>
  <c r="BH8" i="7"/>
  <c r="BD8" i="7"/>
  <c r="BG8" i="7" s="1"/>
  <c r="BC8" i="7"/>
  <c r="BF8" i="7" s="1"/>
  <c r="BA8" i="7"/>
  <c r="AY8" i="7" s="1"/>
  <c r="BB8" i="7" s="1"/>
  <c r="BE8" i="7" s="1"/>
  <c r="AZ8" i="7"/>
  <c r="AX8" i="7"/>
  <c r="AW8" i="7"/>
  <c r="AV8" i="7"/>
  <c r="AU8" i="7"/>
  <c r="AT8" i="7"/>
  <c r="AS8" i="7"/>
  <c r="AQ8" i="7" s="1"/>
  <c r="AR8" i="7"/>
  <c r="AP8" i="7"/>
  <c r="AJ8" i="7"/>
  <c r="AF8" i="7"/>
  <c r="AD8" i="7" s="1"/>
  <c r="AK8" i="7" s="1"/>
  <c r="AE8" i="7"/>
  <c r="AB8" i="7"/>
  <c r="AC8" i="7" s="1"/>
  <c r="Z8" i="7"/>
  <c r="Y8" i="7"/>
  <c r="AA8" i="7" s="1"/>
  <c r="X8" i="7"/>
  <c r="W8" i="7" s="1"/>
  <c r="V8" i="7"/>
  <c r="U8" i="7"/>
  <c r="R8" i="7"/>
  <c r="Q8" i="7"/>
  <c r="O8" i="7"/>
  <c r="AI8" i="7" s="1"/>
  <c r="N8" i="7"/>
  <c r="L8" i="7"/>
  <c r="K8" i="7"/>
  <c r="J8" i="7"/>
  <c r="I8" i="7"/>
  <c r="H8" i="7"/>
  <c r="G8" i="7"/>
  <c r="F8" i="7"/>
  <c r="E8" i="7"/>
  <c r="D8" i="7"/>
  <c r="C8" i="7"/>
  <c r="B8" i="7"/>
  <c r="A8" i="7"/>
  <c r="CB7" i="7"/>
  <c r="CA7" i="7"/>
  <c r="BZ7" i="7"/>
  <c r="BX7" i="7" s="1"/>
  <c r="BY7" i="7"/>
  <c r="BW7" i="7"/>
  <c r="BU7" i="7"/>
  <c r="BS7" i="7"/>
  <c r="BR7" i="7"/>
  <c r="BP7" i="7"/>
  <c r="BO7" i="7"/>
  <c r="BN7" i="7"/>
  <c r="BM7" i="7"/>
  <c r="BL7" i="7"/>
  <c r="BK7" i="7"/>
  <c r="BI7" i="7" s="1"/>
  <c r="BJ7" i="7"/>
  <c r="BH7" i="7"/>
  <c r="BC7" i="7"/>
  <c r="BF7" i="7" s="1"/>
  <c r="BA7" i="7"/>
  <c r="AY7" i="7" s="1"/>
  <c r="AZ7" i="7"/>
  <c r="AX7" i="7"/>
  <c r="AW7" i="7"/>
  <c r="BD7" i="7" s="1"/>
  <c r="BG7" i="7" s="1"/>
  <c r="AV7" i="7"/>
  <c r="AT7" i="7"/>
  <c r="AS7" i="7"/>
  <c r="AQ7" i="7" s="1"/>
  <c r="AR7" i="7"/>
  <c r="AP7" i="7"/>
  <c r="AJ7" i="7"/>
  <c r="AG7" i="7"/>
  <c r="AF7" i="7"/>
  <c r="AH7" i="7" s="1"/>
  <c r="AE7" i="7"/>
  <c r="AL7" i="7" s="1"/>
  <c r="AC7" i="7"/>
  <c r="AB7" i="7"/>
  <c r="Y7" i="7"/>
  <c r="X7" i="7"/>
  <c r="W7" i="7" s="1"/>
  <c r="V7" i="7"/>
  <c r="U7" i="7"/>
  <c r="R7" i="7"/>
  <c r="Q7" i="7"/>
  <c r="P7" i="7" s="1"/>
  <c r="N7" i="7"/>
  <c r="O7" i="7" s="1"/>
  <c r="L7" i="7"/>
  <c r="J7" i="7"/>
  <c r="K7" i="7" s="1"/>
  <c r="H7" i="7"/>
  <c r="F7" i="7"/>
  <c r="G7" i="7" s="1"/>
  <c r="E7" i="7"/>
  <c r="D7" i="7"/>
  <c r="B7" i="7"/>
  <c r="C7" i="7" s="1"/>
  <c r="A7" i="7"/>
  <c r="CB6" i="7"/>
  <c r="CA6" i="7"/>
  <c r="BZ6" i="7"/>
  <c r="BY6" i="7"/>
  <c r="BW6" i="7"/>
  <c r="BS6" i="7"/>
  <c r="BV6" i="7" s="1"/>
  <c r="BR6" i="7"/>
  <c r="BP6" i="7"/>
  <c r="BO6" i="7"/>
  <c r="BM6" i="7" s="1"/>
  <c r="BN6" i="7"/>
  <c r="BL6" i="7"/>
  <c r="BK6" i="7"/>
  <c r="BJ6" i="7"/>
  <c r="BI6" i="7" s="1"/>
  <c r="BH6" i="7"/>
  <c r="BD6" i="7"/>
  <c r="BG6" i="7" s="1"/>
  <c r="BA6" i="7"/>
  <c r="AY6" i="7" s="1"/>
  <c r="AZ6" i="7"/>
  <c r="AX6" i="7"/>
  <c r="AW6" i="7"/>
  <c r="AV6" i="7"/>
  <c r="BC6" i="7" s="1"/>
  <c r="BF6" i="7" s="1"/>
  <c r="AU6" i="7"/>
  <c r="BB6" i="7" s="1"/>
  <c r="AT6" i="7"/>
  <c r="AS6" i="7"/>
  <c r="AQ6" i="7" s="1"/>
  <c r="AR6" i="7"/>
  <c r="AP6" i="7"/>
  <c r="AN6" i="7"/>
  <c r="AM6" i="7"/>
  <c r="AO6" i="7" s="1"/>
  <c r="AJ6" i="7"/>
  <c r="AF6" i="7"/>
  <c r="AD6" i="7" s="1"/>
  <c r="AK6" i="7" s="1"/>
  <c r="AE6" i="7"/>
  <c r="AC6" i="7"/>
  <c r="AB6" i="7"/>
  <c r="Y6" i="7"/>
  <c r="X6" i="7"/>
  <c r="AL6" i="7" s="1"/>
  <c r="V6" i="7"/>
  <c r="U6" i="7"/>
  <c r="R6" i="7"/>
  <c r="Q6" i="7"/>
  <c r="P6" i="7"/>
  <c r="N6" i="7"/>
  <c r="O6" i="7" s="1"/>
  <c r="L6" i="7"/>
  <c r="K6" i="7"/>
  <c r="J6" i="7"/>
  <c r="I6" i="7"/>
  <c r="G6" i="7"/>
  <c r="F6" i="7"/>
  <c r="E6" i="7"/>
  <c r="D6" i="7"/>
  <c r="C6" i="7"/>
  <c r="B6" i="7"/>
  <c r="H6" i="7" s="1"/>
  <c r="A6" i="7"/>
  <c r="CB5" i="7"/>
  <c r="CA5" i="7"/>
  <c r="BZ5" i="7"/>
  <c r="BY5" i="7"/>
  <c r="BX5" i="7"/>
  <c r="BW5" i="7"/>
  <c r="BS5" i="7"/>
  <c r="BV5" i="7" s="1"/>
  <c r="BR5" i="7"/>
  <c r="BP5" i="7"/>
  <c r="BO5" i="7"/>
  <c r="BM5" i="7" s="1"/>
  <c r="BN5" i="7"/>
  <c r="BL5" i="7"/>
  <c r="BK5" i="7"/>
  <c r="BI5" i="7" s="1"/>
  <c r="BJ5" i="7"/>
  <c r="BH5" i="7"/>
  <c r="BA5" i="7"/>
  <c r="AZ5" i="7"/>
  <c r="BC5" i="7" s="1"/>
  <c r="AX5" i="7"/>
  <c r="AW5" i="7"/>
  <c r="AV5" i="7"/>
  <c r="AU5" i="7"/>
  <c r="AT5" i="7"/>
  <c r="AS5" i="7"/>
  <c r="AQ5" i="7" s="1"/>
  <c r="AR5" i="7"/>
  <c r="AP5" i="7"/>
  <c r="AM5" i="7"/>
  <c r="AJ5" i="7"/>
  <c r="AF5" i="7"/>
  <c r="AE5" i="7"/>
  <c r="AD5" i="7" s="1"/>
  <c r="AK5" i="7" s="1"/>
  <c r="AC5" i="7"/>
  <c r="AB5" i="7"/>
  <c r="Y5" i="7"/>
  <c r="X5" i="7"/>
  <c r="W5" i="7"/>
  <c r="V5" i="7"/>
  <c r="AA5" i="7" s="1"/>
  <c r="U5" i="7"/>
  <c r="T5" i="7"/>
  <c r="R5" i="7"/>
  <c r="P5" i="7" s="1"/>
  <c r="Q5" i="7"/>
  <c r="O5" i="7"/>
  <c r="N5" i="7"/>
  <c r="L5" i="7"/>
  <c r="K5" i="7"/>
  <c r="J5" i="7"/>
  <c r="F5" i="7"/>
  <c r="G5" i="7" s="1"/>
  <c r="E5" i="7"/>
  <c r="D5" i="7"/>
  <c r="C5" i="7"/>
  <c r="B5" i="7"/>
  <c r="I5" i="7" s="1"/>
  <c r="A5" i="7"/>
  <c r="CB4" i="7"/>
  <c r="CA4" i="7"/>
  <c r="BZ4" i="7"/>
  <c r="BX4" i="7" s="1"/>
  <c r="BY4" i="7"/>
  <c r="BW4" i="7"/>
  <c r="BS4" i="7"/>
  <c r="BR4" i="7"/>
  <c r="BQ4" i="7"/>
  <c r="BP4" i="7"/>
  <c r="BO4" i="7"/>
  <c r="BN4" i="7"/>
  <c r="BL4" i="7"/>
  <c r="BK4" i="7"/>
  <c r="BJ4" i="7"/>
  <c r="BI4" i="7" s="1"/>
  <c r="BH4" i="7"/>
  <c r="BA4" i="7"/>
  <c r="BD4" i="7" s="1"/>
  <c r="AZ4" i="7"/>
  <c r="AX4" i="7"/>
  <c r="AW4" i="7"/>
  <c r="AU4" i="7" s="1"/>
  <c r="AV4" i="7"/>
  <c r="AT4" i="7"/>
  <c r="AS4" i="7"/>
  <c r="AQ4" i="7" s="1"/>
  <c r="AR4" i="7"/>
  <c r="BC4" i="7" s="1"/>
  <c r="BF4" i="7" s="1"/>
  <c r="AP4" i="7"/>
  <c r="AL4" i="7"/>
  <c r="AJ4" i="7"/>
  <c r="AF4" i="7"/>
  <c r="AG4" i="7" s="1"/>
  <c r="AE4" i="7"/>
  <c r="AD4" i="7"/>
  <c r="AK4" i="7" s="1"/>
  <c r="AC4" i="7"/>
  <c r="AH4" i="7" s="1"/>
  <c r="AB4" i="7"/>
  <c r="Y4" i="7"/>
  <c r="W4" i="7" s="1"/>
  <c r="X4" i="7"/>
  <c r="U4" i="7"/>
  <c r="V4" i="7" s="1"/>
  <c r="R4" i="7"/>
  <c r="P4" i="7" s="1"/>
  <c r="Q4" i="7"/>
  <c r="N4" i="7"/>
  <c r="O4" i="7" s="1"/>
  <c r="S4" i="7" s="1"/>
  <c r="J4" i="7"/>
  <c r="L4" i="7" s="1"/>
  <c r="G4" i="7"/>
  <c r="F4" i="7"/>
  <c r="C4" i="7"/>
  <c r="B4" i="7"/>
  <c r="A4" i="7"/>
  <c r="CB3" i="7"/>
  <c r="CA3" i="7"/>
  <c r="BZ3" i="7"/>
  <c r="BY3" i="7"/>
  <c r="BX3" i="7" s="1"/>
  <c r="BW3" i="7"/>
  <c r="BV3" i="7"/>
  <c r="BS3" i="7"/>
  <c r="BR3" i="7"/>
  <c r="BQ3" i="7"/>
  <c r="BP3" i="7"/>
  <c r="BO3" i="7"/>
  <c r="BM3" i="7" s="1"/>
  <c r="BN3" i="7"/>
  <c r="BU3" i="7" s="1"/>
  <c r="BL3" i="7"/>
  <c r="BK3" i="7"/>
  <c r="BJ3" i="7"/>
  <c r="BI3" i="7"/>
  <c r="BH3" i="7"/>
  <c r="BA3" i="7"/>
  <c r="AZ3" i="7"/>
  <c r="AY3" i="7" s="1"/>
  <c r="BB3" i="7" s="1"/>
  <c r="AX3" i="7"/>
  <c r="AW3" i="7"/>
  <c r="AU3" i="7" s="1"/>
  <c r="AV3" i="7"/>
  <c r="AT3" i="7"/>
  <c r="AS3" i="7"/>
  <c r="AR3" i="7"/>
  <c r="AQ3" i="7"/>
  <c r="AP3" i="7"/>
  <c r="AJ3" i="7"/>
  <c r="AF3" i="7"/>
  <c r="AD3" i="7" s="1"/>
  <c r="AE3" i="7"/>
  <c r="AL3" i="7" s="1"/>
  <c r="AC3" i="7"/>
  <c r="AG3" i="7" s="1"/>
  <c r="AB3" i="7"/>
  <c r="Y3" i="7"/>
  <c r="X3" i="7"/>
  <c r="U3" i="7"/>
  <c r="S3" i="7"/>
  <c r="R3" i="7"/>
  <c r="P3" i="7" s="1"/>
  <c r="Q3" i="7"/>
  <c r="O3" i="7"/>
  <c r="N3" i="7"/>
  <c r="L3" i="7"/>
  <c r="K3" i="7"/>
  <c r="J3" i="7"/>
  <c r="I3" i="7"/>
  <c r="F3" i="7"/>
  <c r="G3" i="7" s="1"/>
  <c r="D3" i="7"/>
  <c r="C3" i="7"/>
  <c r="B3" i="7"/>
  <c r="A3" i="7"/>
  <c r="CB2" i="7"/>
  <c r="CA2" i="7"/>
  <c r="BZ2" i="7"/>
  <c r="BY2" i="7"/>
  <c r="BX2" i="7"/>
  <c r="BX66" i="7" s="1"/>
  <c r="BW2" i="7"/>
  <c r="BW66" i="7" s="1"/>
  <c r="BS2" i="7"/>
  <c r="BR2" i="7"/>
  <c r="BP2" i="7"/>
  <c r="BP66" i="7" s="1"/>
  <c r="BO2" i="7"/>
  <c r="BO66" i="7" s="1"/>
  <c r="DF186" i="7" s="1"/>
  <c r="BN2" i="7"/>
  <c r="BM2" i="7"/>
  <c r="BM66" i="7" s="1"/>
  <c r="BL2" i="7"/>
  <c r="BK2" i="7"/>
  <c r="BJ2" i="7"/>
  <c r="BH2" i="7"/>
  <c r="BA2" i="7"/>
  <c r="BA66" i="7" s="1"/>
  <c r="AZ2" i="7"/>
  <c r="AY2" i="7"/>
  <c r="AX2" i="7"/>
  <c r="AW2" i="7"/>
  <c r="AV2" i="7"/>
  <c r="AT2" i="7"/>
  <c r="AS2" i="7"/>
  <c r="AR2" i="7"/>
  <c r="AQ2" i="7" s="1"/>
  <c r="AQ66" i="7" s="1"/>
  <c r="AP2" i="7"/>
  <c r="AJ2" i="7"/>
  <c r="AF2" i="7"/>
  <c r="AE2" i="7"/>
  <c r="AB2" i="7"/>
  <c r="Y2" i="7"/>
  <c r="X2" i="7"/>
  <c r="V2" i="7"/>
  <c r="U2" i="7"/>
  <c r="R2" i="7"/>
  <c r="Q2" i="7"/>
  <c r="N2" i="7"/>
  <c r="O2" i="7" s="1"/>
  <c r="O66" i="7" s="1"/>
  <c r="K2" i="7"/>
  <c r="J2" i="7"/>
  <c r="L2" i="7" s="1"/>
  <c r="I2" i="7"/>
  <c r="G2" i="7"/>
  <c r="F2" i="7"/>
  <c r="B2" i="7"/>
  <c r="H2" i="7" s="1"/>
  <c r="A2" i="7"/>
  <c r="CT284" i="6"/>
  <c r="CT283" i="6"/>
  <c r="CT282" i="6"/>
  <c r="CT281" i="6"/>
  <c r="CT280" i="6"/>
  <c r="CT279" i="6"/>
  <c r="CT278" i="6"/>
  <c r="CT277" i="6"/>
  <c r="CT276" i="6"/>
  <c r="CT275" i="6"/>
  <c r="CT274" i="6"/>
  <c r="CT273" i="6"/>
  <c r="CT272" i="6"/>
  <c r="CT271" i="6"/>
  <c r="CT270" i="6"/>
  <c r="CT269" i="6"/>
  <c r="CT268" i="6"/>
  <c r="CT267" i="6"/>
  <c r="CT266" i="6"/>
  <c r="CT265" i="6"/>
  <c r="CT264" i="6"/>
  <c r="CT263" i="6"/>
  <c r="CT262" i="6"/>
  <c r="CT261" i="6"/>
  <c r="CT260" i="6"/>
  <c r="CT259" i="6"/>
  <c r="CT258" i="6"/>
  <c r="CT257" i="6"/>
  <c r="CT256" i="6"/>
  <c r="CT255" i="6"/>
  <c r="CT254" i="6"/>
  <c r="CT253" i="6"/>
  <c r="CT252" i="6"/>
  <c r="CT251" i="6"/>
  <c r="CT250" i="6"/>
  <c r="CT249" i="6"/>
  <c r="CT248" i="6"/>
  <c r="CT247" i="6"/>
  <c r="CT246" i="6"/>
  <c r="CT245" i="6"/>
  <c r="CT244" i="6"/>
  <c r="CT243" i="6"/>
  <c r="CT242" i="6"/>
  <c r="CT241" i="6"/>
  <c r="CT240" i="6"/>
  <c r="CT239" i="6"/>
  <c r="CT238" i="6"/>
  <c r="CT237" i="6"/>
  <c r="CT236" i="6"/>
  <c r="CT235" i="6"/>
  <c r="CT234" i="6"/>
  <c r="CT233" i="6"/>
  <c r="CT232" i="6"/>
  <c r="CT231" i="6"/>
  <c r="CT230" i="6"/>
  <c r="CT229" i="6"/>
  <c r="CT228" i="6"/>
  <c r="CT227" i="6"/>
  <c r="CT226" i="6"/>
  <c r="CT225" i="6"/>
  <c r="CT224" i="6"/>
  <c r="CT223" i="6"/>
  <c r="CT222" i="6"/>
  <c r="CT221" i="6"/>
  <c r="CT220" i="6"/>
  <c r="CT219" i="6"/>
  <c r="CT218" i="6"/>
  <c r="CT217" i="6"/>
  <c r="CT216" i="6"/>
  <c r="CT215" i="6"/>
  <c r="CT214" i="6"/>
  <c r="CT213" i="6"/>
  <c r="CT212" i="6"/>
  <c r="CT211" i="6"/>
  <c r="CT210" i="6"/>
  <c r="CT209" i="6"/>
  <c r="CT208" i="6"/>
  <c r="CT207" i="6"/>
  <c r="CT206" i="6"/>
  <c r="CT205" i="6"/>
  <c r="CT204" i="6"/>
  <c r="CT203" i="6"/>
  <c r="CT202" i="6"/>
  <c r="CT201" i="6"/>
  <c r="CT200" i="6"/>
  <c r="CT199" i="6"/>
  <c r="CT198" i="6"/>
  <c r="CT197" i="6"/>
  <c r="CT196" i="6"/>
  <c r="CT195" i="6"/>
  <c r="CT194" i="6"/>
  <c r="CT193" i="6"/>
  <c r="CT192" i="6"/>
  <c r="CT191" i="6"/>
  <c r="CT190" i="6"/>
  <c r="CT189" i="6"/>
  <c r="CT188" i="6"/>
  <c r="CT187" i="6"/>
  <c r="CT186" i="6"/>
  <c r="CT185" i="6"/>
  <c r="CT184" i="6"/>
  <c r="CT183" i="6"/>
  <c r="CT182" i="6"/>
  <c r="CT181" i="6"/>
  <c r="CT180" i="6"/>
  <c r="CT179" i="6"/>
  <c r="CT178" i="6"/>
  <c r="CT177" i="6"/>
  <c r="CT176" i="6"/>
  <c r="AS150" i="6"/>
  <c r="AR150" i="6"/>
  <c r="CB149" i="6"/>
  <c r="CA149" i="6"/>
  <c r="BW149" i="6"/>
  <c r="BP149" i="6"/>
  <c r="BL149" i="6"/>
  <c r="BK149" i="6"/>
  <c r="BJ149" i="6"/>
  <c r="BH149" i="6"/>
  <c r="BA149" i="6"/>
  <c r="AY149" i="6" s="1"/>
  <c r="AZ149" i="6"/>
  <c r="AX149" i="6"/>
  <c r="AW149" i="6"/>
  <c r="AV149" i="6"/>
  <c r="AU149" i="6" s="1"/>
  <c r="AT149" i="6"/>
  <c r="AS149" i="6"/>
  <c r="AR149" i="6"/>
  <c r="AP149" i="6"/>
  <c r="AL149" i="6"/>
  <c r="AF149" i="6"/>
  <c r="AE149" i="6"/>
  <c r="AD149" i="6"/>
  <c r="AK149" i="6" s="1"/>
  <c r="AB149" i="6"/>
  <c r="AC149" i="6" s="1"/>
  <c r="AA149" i="6"/>
  <c r="Z149" i="6"/>
  <c r="Y149" i="6"/>
  <c r="W149" i="6" s="1"/>
  <c r="X149" i="6"/>
  <c r="U149" i="6"/>
  <c r="R149" i="6"/>
  <c r="P149" i="6" s="1"/>
  <c r="Q149" i="6"/>
  <c r="O149" i="6"/>
  <c r="N149" i="6"/>
  <c r="D149" i="6"/>
  <c r="C149" i="6"/>
  <c r="B149" i="6"/>
  <c r="E149" i="6" s="1"/>
  <c r="A149" i="6"/>
  <c r="CB148" i="6"/>
  <c r="CA148" i="6"/>
  <c r="BW148" i="6"/>
  <c r="BP148" i="6"/>
  <c r="BL148" i="6"/>
  <c r="BK148" i="6"/>
  <c r="BJ148" i="6"/>
  <c r="BH148" i="6"/>
  <c r="BA148" i="6"/>
  <c r="AY148" i="6" s="1"/>
  <c r="AZ148" i="6"/>
  <c r="AX148" i="6"/>
  <c r="AW148" i="6"/>
  <c r="AV148" i="6"/>
  <c r="AU148" i="6" s="1"/>
  <c r="AT148" i="6"/>
  <c r="AS148" i="6"/>
  <c r="AR148" i="6"/>
  <c r="AP148" i="6"/>
  <c r="AM148" i="6"/>
  <c r="AF148" i="6"/>
  <c r="AD148" i="6" s="1"/>
  <c r="AK148" i="6" s="1"/>
  <c r="AE148" i="6"/>
  <c r="AL148" i="6" s="1"/>
  <c r="AC148" i="6"/>
  <c r="AB148" i="6"/>
  <c r="AA148" i="6"/>
  <c r="Z148" i="6"/>
  <c r="Y148" i="6"/>
  <c r="X148" i="6"/>
  <c r="W148" i="6"/>
  <c r="U148" i="6"/>
  <c r="R148" i="6"/>
  <c r="P148" i="6" s="1"/>
  <c r="Q148" i="6"/>
  <c r="O148" i="6"/>
  <c r="N148" i="6"/>
  <c r="E148" i="6"/>
  <c r="D148" i="6"/>
  <c r="C148" i="6"/>
  <c r="B148" i="6"/>
  <c r="A148" i="6"/>
  <c r="CB147" i="6"/>
  <c r="CA147" i="6"/>
  <c r="BW147" i="6"/>
  <c r="BP147" i="6"/>
  <c r="BL147" i="6"/>
  <c r="BK147" i="6"/>
  <c r="BJ147" i="6"/>
  <c r="BH147" i="6"/>
  <c r="BA147" i="6"/>
  <c r="AZ147" i="6"/>
  <c r="AY147" i="6" s="1"/>
  <c r="AX147" i="6"/>
  <c r="AW147" i="6"/>
  <c r="AU147" i="6" s="1"/>
  <c r="AV147" i="6"/>
  <c r="AT147" i="6"/>
  <c r="AS147" i="6"/>
  <c r="AR147" i="6"/>
  <c r="AP147" i="6"/>
  <c r="AH147" i="6"/>
  <c r="AF147" i="6"/>
  <c r="AG147" i="6" s="1"/>
  <c r="AE147" i="6"/>
  <c r="AB147" i="6"/>
  <c r="AC147" i="6" s="1"/>
  <c r="Z147" i="6"/>
  <c r="Y147" i="6"/>
  <c r="AA147" i="6" s="1"/>
  <c r="X147" i="6"/>
  <c r="W147" i="6"/>
  <c r="U147" i="6"/>
  <c r="R147" i="6"/>
  <c r="Q147" i="6"/>
  <c r="P147" i="6" s="1"/>
  <c r="O147" i="6"/>
  <c r="N147" i="6"/>
  <c r="E147" i="6"/>
  <c r="C147" i="6"/>
  <c r="B147" i="6"/>
  <c r="D147" i="6" s="1"/>
  <c r="A147" i="6"/>
  <c r="CB146" i="6"/>
  <c r="CA146" i="6"/>
  <c r="BW146" i="6"/>
  <c r="BP146" i="6"/>
  <c r="BL146" i="6"/>
  <c r="BK146" i="6"/>
  <c r="BJ146" i="6"/>
  <c r="BH146" i="6"/>
  <c r="BA146" i="6"/>
  <c r="AZ146" i="6"/>
  <c r="AY146" i="6"/>
  <c r="AX146" i="6"/>
  <c r="AW146" i="6"/>
  <c r="AV146" i="6"/>
  <c r="AU146" i="6" s="1"/>
  <c r="AT146" i="6"/>
  <c r="AS146" i="6"/>
  <c r="AR146" i="6"/>
  <c r="AP146" i="6"/>
  <c r="AI146" i="6"/>
  <c r="AH146" i="6"/>
  <c r="AG146" i="6"/>
  <c r="AF146" i="6"/>
  <c r="AE146" i="6"/>
  <c r="AB146" i="6"/>
  <c r="AC146" i="6" s="1"/>
  <c r="Z146" i="6"/>
  <c r="Y146" i="6"/>
  <c r="W146" i="6" s="1"/>
  <c r="X146" i="6"/>
  <c r="AL146" i="6" s="1"/>
  <c r="U146" i="6"/>
  <c r="R146" i="6"/>
  <c r="T146" i="6" s="1"/>
  <c r="Q146" i="6"/>
  <c r="O146" i="6"/>
  <c r="N146" i="6"/>
  <c r="B146" i="6"/>
  <c r="A146" i="6"/>
  <c r="CB145" i="6"/>
  <c r="CA145" i="6"/>
  <c r="BW145" i="6"/>
  <c r="BP145" i="6"/>
  <c r="BL145" i="6"/>
  <c r="BK145" i="6"/>
  <c r="BJ145" i="6"/>
  <c r="BH145" i="6"/>
  <c r="BA145" i="6"/>
  <c r="AY145" i="6" s="1"/>
  <c r="AZ145" i="6"/>
  <c r="AX145" i="6"/>
  <c r="AW145" i="6"/>
  <c r="AV145" i="6"/>
  <c r="AU145" i="6" s="1"/>
  <c r="AT145" i="6"/>
  <c r="AS145" i="6"/>
  <c r="AR145" i="6"/>
  <c r="AP145" i="6"/>
  <c r="AL145" i="6"/>
  <c r="AK145" i="6"/>
  <c r="AI145" i="6"/>
  <c r="AF145" i="6"/>
  <c r="AG145" i="6" s="1"/>
  <c r="AE145" i="6"/>
  <c r="AD145" i="6"/>
  <c r="AC145" i="6"/>
  <c r="AH145" i="6" s="1"/>
  <c r="AB145" i="6"/>
  <c r="AA145" i="6"/>
  <c r="Z145" i="6"/>
  <c r="Y145" i="6"/>
  <c r="W145" i="6" s="1"/>
  <c r="X145" i="6"/>
  <c r="U145" i="6"/>
  <c r="T145" i="6"/>
  <c r="S145" i="6"/>
  <c r="R145" i="6"/>
  <c r="P145" i="6" s="1"/>
  <c r="Q145" i="6"/>
  <c r="O145" i="6"/>
  <c r="N145" i="6"/>
  <c r="E145" i="6"/>
  <c r="C145" i="6"/>
  <c r="B145" i="6"/>
  <c r="D145" i="6" s="1"/>
  <c r="A145" i="6"/>
  <c r="CB144" i="6"/>
  <c r="CA144" i="6"/>
  <c r="BW144" i="6"/>
  <c r="BP144" i="6"/>
  <c r="BL144" i="6"/>
  <c r="BK144" i="6"/>
  <c r="BJ144" i="6"/>
  <c r="BH144" i="6"/>
  <c r="BA144" i="6"/>
  <c r="AY144" i="6" s="1"/>
  <c r="AZ144" i="6"/>
  <c r="AX144" i="6"/>
  <c r="AW144" i="6"/>
  <c r="AU144" i="6" s="1"/>
  <c r="AV144" i="6"/>
  <c r="AT144" i="6"/>
  <c r="AS144" i="6"/>
  <c r="AR144" i="6"/>
  <c r="AP144" i="6"/>
  <c r="AF144" i="6"/>
  <c r="AM144" i="6" s="1"/>
  <c r="AE144" i="6"/>
  <c r="AD144" i="6"/>
  <c r="AK144" i="6" s="1"/>
  <c r="AC144" i="6"/>
  <c r="AB144" i="6"/>
  <c r="Z144" i="6"/>
  <c r="Y144" i="6"/>
  <c r="AA144" i="6" s="1"/>
  <c r="X144" i="6"/>
  <c r="AL144" i="6" s="1"/>
  <c r="U144" i="6"/>
  <c r="R144" i="6"/>
  <c r="P144" i="6" s="1"/>
  <c r="Q144" i="6"/>
  <c r="O144" i="6"/>
  <c r="N144" i="6"/>
  <c r="E144" i="6"/>
  <c r="D144" i="6"/>
  <c r="C144" i="6"/>
  <c r="B144" i="6"/>
  <c r="A144" i="6"/>
  <c r="CB143" i="6"/>
  <c r="CA143" i="6"/>
  <c r="BW143" i="6"/>
  <c r="BP143" i="6"/>
  <c r="BL143" i="6"/>
  <c r="BK143" i="6"/>
  <c r="BJ143" i="6"/>
  <c r="BH143" i="6"/>
  <c r="BA143" i="6"/>
  <c r="AZ143" i="6"/>
  <c r="AY143" i="6" s="1"/>
  <c r="AX143" i="6"/>
  <c r="AW143" i="6"/>
  <c r="AU143" i="6" s="1"/>
  <c r="AV143" i="6"/>
  <c r="AT143" i="6"/>
  <c r="AS143" i="6"/>
  <c r="AR143" i="6"/>
  <c r="AP143" i="6"/>
  <c r="AF143" i="6"/>
  <c r="AE143" i="6"/>
  <c r="AB143" i="6"/>
  <c r="AC143" i="6" s="1"/>
  <c r="Z143" i="6"/>
  <c r="Y143" i="6"/>
  <c r="AA143" i="6" s="1"/>
  <c r="X143" i="6"/>
  <c r="W143" i="6" s="1"/>
  <c r="U143" i="6"/>
  <c r="R143" i="6"/>
  <c r="Q143" i="6"/>
  <c r="P143" i="6" s="1"/>
  <c r="O143" i="6"/>
  <c r="N143" i="6"/>
  <c r="E143" i="6"/>
  <c r="C143" i="6"/>
  <c r="B143" i="6"/>
  <c r="D143" i="6" s="1"/>
  <c r="A143" i="6"/>
  <c r="CB142" i="6"/>
  <c r="CA142" i="6"/>
  <c r="BW142" i="6"/>
  <c r="BP142" i="6"/>
  <c r="BL142" i="6"/>
  <c r="BK142" i="6"/>
  <c r="BJ142" i="6"/>
  <c r="BH142" i="6"/>
  <c r="BA142" i="6"/>
  <c r="AZ142" i="6"/>
  <c r="AY142" i="6"/>
  <c r="AX142" i="6"/>
  <c r="AW142" i="6"/>
  <c r="AV142" i="6"/>
  <c r="AU142" i="6" s="1"/>
  <c r="AT142" i="6"/>
  <c r="AS142" i="6"/>
  <c r="AR142" i="6"/>
  <c r="AP142" i="6"/>
  <c r="AF142" i="6"/>
  <c r="AE142" i="6"/>
  <c r="AB142" i="6"/>
  <c r="AC142" i="6" s="1"/>
  <c r="AH142" i="6" s="1"/>
  <c r="AA142" i="6"/>
  <c r="Z142" i="6"/>
  <c r="Y142" i="6"/>
  <c r="W142" i="6" s="1"/>
  <c r="X142" i="6"/>
  <c r="U142" i="6"/>
  <c r="R142" i="6"/>
  <c r="T142" i="6" s="1"/>
  <c r="Q142" i="6"/>
  <c r="O142" i="6"/>
  <c r="N142" i="6"/>
  <c r="C142" i="6"/>
  <c r="B142" i="6"/>
  <c r="A142" i="6"/>
  <c r="CB141" i="6"/>
  <c r="CA141" i="6"/>
  <c r="BW141" i="6"/>
  <c r="BP141" i="6"/>
  <c r="BL141" i="6"/>
  <c r="BK141" i="6"/>
  <c r="BJ141" i="6"/>
  <c r="BH141" i="6"/>
  <c r="BA141" i="6"/>
  <c r="AY141" i="6" s="1"/>
  <c r="AZ141" i="6"/>
  <c r="AX141" i="6"/>
  <c r="AW141" i="6"/>
  <c r="AV141" i="6"/>
  <c r="AU141" i="6"/>
  <c r="AT141" i="6"/>
  <c r="AS141" i="6"/>
  <c r="AR141" i="6"/>
  <c r="AP141" i="6"/>
  <c r="AL141" i="6"/>
  <c r="AI141" i="6"/>
  <c r="AF141" i="6"/>
  <c r="AE141" i="6"/>
  <c r="AD141" i="6"/>
  <c r="AK141" i="6" s="1"/>
  <c r="AC141" i="6"/>
  <c r="AH141" i="6" s="1"/>
  <c r="AB141" i="6"/>
  <c r="AA141" i="6"/>
  <c r="Z141" i="6"/>
  <c r="Y141" i="6"/>
  <c r="X141" i="6"/>
  <c r="W141" i="6" s="1"/>
  <c r="U141" i="6"/>
  <c r="T141" i="6"/>
  <c r="S141" i="6"/>
  <c r="R141" i="6"/>
  <c r="P141" i="6" s="1"/>
  <c r="Q141" i="6"/>
  <c r="O141" i="6"/>
  <c r="N141" i="6"/>
  <c r="C141" i="6"/>
  <c r="B141" i="6"/>
  <c r="E141" i="6" s="1"/>
  <c r="A141" i="6"/>
  <c r="BK140" i="6"/>
  <c r="BJ140" i="6"/>
  <c r="BA140" i="6"/>
  <c r="AZ140" i="6"/>
  <c r="AY140" i="6" s="1"/>
  <c r="AX140" i="6"/>
  <c r="AW140" i="6"/>
  <c r="AU140" i="6" s="1"/>
  <c r="AV140" i="6"/>
  <c r="AS140" i="6"/>
  <c r="AR140" i="6"/>
  <c r="AP140" i="6"/>
  <c r="AM140" i="6"/>
  <c r="AO140" i="6" s="1"/>
  <c r="AG140" i="6"/>
  <c r="AF140" i="6"/>
  <c r="AH140" i="6" s="1"/>
  <c r="AE140" i="6"/>
  <c r="AL140" i="6" s="1"/>
  <c r="AC140" i="6"/>
  <c r="AI140" i="6" s="1"/>
  <c r="AB140" i="6"/>
  <c r="Y140" i="6"/>
  <c r="X140" i="6"/>
  <c r="W140" i="6" s="1"/>
  <c r="U140" i="6"/>
  <c r="T140" i="6"/>
  <c r="R140" i="6"/>
  <c r="S140" i="6" s="1"/>
  <c r="Q140" i="6"/>
  <c r="P140" i="6"/>
  <c r="CB139" i="6"/>
  <c r="CA139" i="6"/>
  <c r="BZ139" i="6"/>
  <c r="BX139" i="6" s="1"/>
  <c r="BY139" i="6"/>
  <c r="BW139" i="6"/>
  <c r="BS139" i="6"/>
  <c r="BR139" i="6"/>
  <c r="BP139" i="6"/>
  <c r="BO139" i="6"/>
  <c r="BN139" i="6"/>
  <c r="BM139" i="6"/>
  <c r="BK139" i="6"/>
  <c r="BJ139" i="6"/>
  <c r="BI139" i="6" s="1"/>
  <c r="BH139" i="6"/>
  <c r="BC139" i="6"/>
  <c r="BA139" i="6"/>
  <c r="AY139" i="6" s="1"/>
  <c r="BB139" i="6" s="1"/>
  <c r="BE139" i="6" s="1"/>
  <c r="AZ139" i="6"/>
  <c r="AX139" i="6"/>
  <c r="AW139" i="6"/>
  <c r="AV139" i="6"/>
  <c r="AU139" i="6"/>
  <c r="AT139" i="6"/>
  <c r="AS139" i="6"/>
  <c r="AQ139" i="6" s="1"/>
  <c r="AR139" i="6"/>
  <c r="AP139" i="6"/>
  <c r="AJ139" i="6"/>
  <c r="AF139" i="6"/>
  <c r="AD139" i="6" s="1"/>
  <c r="AK139" i="6" s="1"/>
  <c r="AE139" i="6"/>
  <c r="AL139" i="6" s="1"/>
  <c r="AC139" i="6"/>
  <c r="AB139" i="6"/>
  <c r="Y139" i="6"/>
  <c r="X139" i="6"/>
  <c r="W139" i="6" s="1"/>
  <c r="U139" i="6"/>
  <c r="V139" i="6" s="1"/>
  <c r="Z139" i="6" s="1"/>
  <c r="R139" i="6"/>
  <c r="Q139" i="6"/>
  <c r="P139" i="6"/>
  <c r="N139" i="6"/>
  <c r="O139" i="6" s="1"/>
  <c r="L139" i="6"/>
  <c r="K139" i="6"/>
  <c r="J139" i="6"/>
  <c r="F139" i="6"/>
  <c r="G139" i="6" s="1"/>
  <c r="E139" i="6"/>
  <c r="D139" i="6"/>
  <c r="C139" i="6"/>
  <c r="B139" i="6"/>
  <c r="CB138" i="6"/>
  <c r="CA138" i="6"/>
  <c r="BW138" i="6"/>
  <c r="BP138" i="6"/>
  <c r="BL138" i="6"/>
  <c r="BK138" i="6"/>
  <c r="BJ138" i="6"/>
  <c r="BH138" i="6"/>
  <c r="BA138" i="6"/>
  <c r="AZ138" i="6"/>
  <c r="AY138" i="6"/>
  <c r="AX138" i="6"/>
  <c r="AW138" i="6"/>
  <c r="AU138" i="6" s="1"/>
  <c r="AV138" i="6"/>
  <c r="AT138" i="6"/>
  <c r="AS138" i="6"/>
  <c r="AR138" i="6"/>
  <c r="AP138" i="6"/>
  <c r="AF138" i="6"/>
  <c r="AH138" i="6" s="1"/>
  <c r="AE138" i="6"/>
  <c r="AL138" i="6" s="1"/>
  <c r="AC138" i="6"/>
  <c r="AB138" i="6"/>
  <c r="Y138" i="6"/>
  <c r="W138" i="6" s="1"/>
  <c r="X138" i="6"/>
  <c r="U138" i="6"/>
  <c r="R138" i="6"/>
  <c r="S138" i="6" s="1"/>
  <c r="Q138" i="6"/>
  <c r="P138" i="6"/>
  <c r="O138" i="6"/>
  <c r="E138" i="6"/>
  <c r="D138" i="6"/>
  <c r="C138" i="6"/>
  <c r="A138" i="6"/>
  <c r="BZ130" i="6"/>
  <c r="BY130" i="6"/>
  <c r="BX130" i="6"/>
  <c r="BS130" i="6"/>
  <c r="BR130" i="6"/>
  <c r="BQ130" i="6"/>
  <c r="BT130" i="6" s="1"/>
  <c r="BO130" i="6"/>
  <c r="BM130" i="6" s="1"/>
  <c r="BN130" i="6"/>
  <c r="BU130" i="6" s="1"/>
  <c r="BK130" i="6"/>
  <c r="BI130" i="6" s="1"/>
  <c r="BJ130" i="6"/>
  <c r="BC130" i="6"/>
  <c r="BF130" i="6" s="1"/>
  <c r="BA130" i="6"/>
  <c r="AY130" i="6" s="1"/>
  <c r="BB130" i="6" s="1"/>
  <c r="BE130" i="6" s="1"/>
  <c r="AZ130" i="6"/>
  <c r="AW130" i="6"/>
  <c r="AU130" i="6" s="1"/>
  <c r="AV130" i="6"/>
  <c r="AS130" i="6"/>
  <c r="AQ130" i="6" s="1"/>
  <c r="AR130" i="6"/>
  <c r="AM130" i="6"/>
  <c r="AL130" i="6"/>
  <c r="AJ130" i="6"/>
  <c r="AF130" i="6"/>
  <c r="AE130" i="6"/>
  <c r="AD130" i="6" s="1"/>
  <c r="AK130" i="6" s="1"/>
  <c r="AB130" i="6"/>
  <c r="AC130" i="6" s="1"/>
  <c r="AA130" i="6"/>
  <c r="Y130" i="6"/>
  <c r="Z130" i="6" s="1"/>
  <c r="X130" i="6"/>
  <c r="W130" i="6"/>
  <c r="U130" i="6"/>
  <c r="T130" i="6"/>
  <c r="S130" i="6"/>
  <c r="R130" i="6"/>
  <c r="P130" i="6" s="1"/>
  <c r="Q130" i="6"/>
  <c r="O130" i="6"/>
  <c r="L130" i="6"/>
  <c r="J130" i="6"/>
  <c r="K130" i="6" s="1"/>
  <c r="I130" i="6"/>
  <c r="H130" i="6"/>
  <c r="F130" i="6"/>
  <c r="G130" i="6" s="1"/>
  <c r="B130" i="6"/>
  <c r="E130" i="6" s="1"/>
  <c r="A130" i="6"/>
  <c r="BZ129" i="6"/>
  <c r="BX129" i="6" s="1"/>
  <c r="BY129" i="6"/>
  <c r="BS129" i="6"/>
  <c r="BR129" i="6"/>
  <c r="BU129" i="6" s="1"/>
  <c r="BO129" i="6"/>
  <c r="BM129" i="6" s="1"/>
  <c r="BN129" i="6"/>
  <c r="BK129" i="6"/>
  <c r="BI129" i="6" s="1"/>
  <c r="BJ129" i="6"/>
  <c r="BA129" i="6"/>
  <c r="BD129" i="6" s="1"/>
  <c r="AZ129" i="6"/>
  <c r="BC129" i="6" s="1"/>
  <c r="AW129" i="6"/>
  <c r="AU129" i="6" s="1"/>
  <c r="AV129" i="6"/>
  <c r="AS129" i="6"/>
  <c r="AR129" i="6"/>
  <c r="AQ129" i="6" s="1"/>
  <c r="AJ129" i="6"/>
  <c r="AF129" i="6"/>
  <c r="AE129" i="6"/>
  <c r="AC129" i="6"/>
  <c r="AB129" i="6"/>
  <c r="Y129" i="6"/>
  <c r="W129" i="6" s="1"/>
  <c r="X129" i="6"/>
  <c r="U129" i="6"/>
  <c r="V129" i="6" s="1"/>
  <c r="AI129" i="6" s="1"/>
  <c r="S129" i="6"/>
  <c r="R129" i="6"/>
  <c r="T129" i="6" s="1"/>
  <c r="Q129" i="6"/>
  <c r="O129" i="6"/>
  <c r="N129" i="6"/>
  <c r="J129" i="6"/>
  <c r="I129" i="6"/>
  <c r="H129" i="6"/>
  <c r="G129" i="6"/>
  <c r="F129" i="6"/>
  <c r="B129" i="6"/>
  <c r="A129" i="6"/>
  <c r="BZ128" i="6"/>
  <c r="BX128" i="6" s="1"/>
  <c r="BY128" i="6"/>
  <c r="BS128" i="6"/>
  <c r="BQ128" i="6" s="1"/>
  <c r="BT128" i="6" s="1"/>
  <c r="BR128" i="6"/>
  <c r="BU128" i="6" s="1"/>
  <c r="BO128" i="6"/>
  <c r="BM128" i="6" s="1"/>
  <c r="BN128" i="6"/>
  <c r="BK128" i="6"/>
  <c r="BJ128" i="6"/>
  <c r="BI128" i="6"/>
  <c r="BE128" i="6"/>
  <c r="BA128" i="6"/>
  <c r="AZ128" i="6"/>
  <c r="BC128" i="6" s="1"/>
  <c r="AY128" i="6"/>
  <c r="BB128" i="6" s="1"/>
  <c r="AW128" i="6"/>
  <c r="AV128" i="6"/>
  <c r="AS128" i="6"/>
  <c r="AR128" i="6"/>
  <c r="AQ128" i="6" s="1"/>
  <c r="AJ128" i="6"/>
  <c r="AF128" i="6"/>
  <c r="AH128" i="6" s="1"/>
  <c r="AE128" i="6"/>
  <c r="AL128" i="6" s="1"/>
  <c r="BF128" i="6" s="1"/>
  <c r="AC128" i="6"/>
  <c r="AB128" i="6"/>
  <c r="Y128" i="6"/>
  <c r="W128" i="6" s="1"/>
  <c r="X128" i="6"/>
  <c r="U128" i="6"/>
  <c r="R128" i="6"/>
  <c r="S128" i="6" s="1"/>
  <c r="Q128" i="6"/>
  <c r="P128" i="6"/>
  <c r="O128" i="6"/>
  <c r="L128" i="6"/>
  <c r="K128" i="6"/>
  <c r="J128" i="6"/>
  <c r="F128" i="6"/>
  <c r="E128" i="6"/>
  <c r="D128" i="6"/>
  <c r="C128" i="6"/>
  <c r="B128" i="6"/>
  <c r="A128" i="6"/>
  <c r="BZ127" i="6"/>
  <c r="BY127" i="6"/>
  <c r="BX127" i="6"/>
  <c r="BT127" i="6"/>
  <c r="BS127" i="6"/>
  <c r="BQ127" i="6" s="1"/>
  <c r="BR127" i="6"/>
  <c r="BO127" i="6"/>
  <c r="BN127" i="6"/>
  <c r="BM127" i="6"/>
  <c r="BK127" i="6"/>
  <c r="BI127" i="6" s="1"/>
  <c r="BJ127" i="6"/>
  <c r="BU127" i="6" s="1"/>
  <c r="BB127" i="6"/>
  <c r="BE127" i="6" s="1"/>
  <c r="BA127" i="6"/>
  <c r="AY127" i="6" s="1"/>
  <c r="AZ127" i="6"/>
  <c r="AW127" i="6"/>
  <c r="AV127" i="6"/>
  <c r="AU127" i="6"/>
  <c r="AS127" i="6"/>
  <c r="AQ127" i="6" s="1"/>
  <c r="AR127" i="6"/>
  <c r="BC127" i="6" s="1"/>
  <c r="BF127" i="6" s="1"/>
  <c r="AJ127" i="6"/>
  <c r="AF127" i="6"/>
  <c r="AD127" i="6" s="1"/>
  <c r="AK127" i="6" s="1"/>
  <c r="AE127" i="6"/>
  <c r="AL127" i="6" s="1"/>
  <c r="AB127" i="6"/>
  <c r="AC127" i="6" s="1"/>
  <c r="Y127" i="6"/>
  <c r="AM127" i="6" s="1"/>
  <c r="X127" i="6"/>
  <c r="U127" i="6"/>
  <c r="V127" i="6" s="1"/>
  <c r="AA127" i="6" s="1"/>
  <c r="T127" i="6"/>
  <c r="R127" i="6"/>
  <c r="P127" i="6" s="1"/>
  <c r="Q127" i="6"/>
  <c r="O127" i="6"/>
  <c r="N127" i="6"/>
  <c r="J127" i="6"/>
  <c r="L127" i="6" s="1"/>
  <c r="I127" i="6"/>
  <c r="H127" i="6"/>
  <c r="F127" i="6"/>
  <c r="G127" i="6" s="1"/>
  <c r="C127" i="6"/>
  <c r="B127" i="6"/>
  <c r="E127" i="6" s="1"/>
  <c r="A127" i="6"/>
  <c r="BZ126" i="6"/>
  <c r="BX126" i="6" s="1"/>
  <c r="BY126" i="6"/>
  <c r="BS126" i="6"/>
  <c r="BR126" i="6"/>
  <c r="BU126" i="6" s="1"/>
  <c r="BO126" i="6"/>
  <c r="BM126" i="6" s="1"/>
  <c r="BN126" i="6"/>
  <c r="BK126" i="6"/>
  <c r="BI126" i="6" s="1"/>
  <c r="BJ126" i="6"/>
  <c r="BA126" i="6"/>
  <c r="BD126" i="6" s="1"/>
  <c r="AZ126" i="6"/>
  <c r="BC126" i="6" s="1"/>
  <c r="AW126" i="6"/>
  <c r="AU126" i="6" s="1"/>
  <c r="AV126" i="6"/>
  <c r="AS126" i="6"/>
  <c r="AR126" i="6"/>
  <c r="AQ126" i="6" s="1"/>
  <c r="AJ126" i="6"/>
  <c r="AI126" i="6"/>
  <c r="AG126" i="6"/>
  <c r="AF126" i="6"/>
  <c r="AH126" i="6" s="1"/>
  <c r="AE126" i="6"/>
  <c r="AC126" i="6"/>
  <c r="AB126" i="6"/>
  <c r="AA126" i="6"/>
  <c r="Z126" i="6"/>
  <c r="Y126" i="6"/>
  <c r="X126" i="6"/>
  <c r="U126" i="6"/>
  <c r="V126" i="6" s="1"/>
  <c r="R126" i="6"/>
  <c r="T126" i="6" s="1"/>
  <c r="Q126" i="6"/>
  <c r="O126" i="6"/>
  <c r="N126" i="6"/>
  <c r="J126" i="6"/>
  <c r="I126" i="6"/>
  <c r="H126" i="6"/>
  <c r="G126" i="6"/>
  <c r="F126" i="6"/>
  <c r="B126" i="6"/>
  <c r="A126" i="6"/>
  <c r="CB125" i="6"/>
  <c r="CA125" i="6"/>
  <c r="BZ125" i="6"/>
  <c r="BX125" i="6" s="1"/>
  <c r="BY125" i="6"/>
  <c r="BW125" i="6"/>
  <c r="BT125" i="6"/>
  <c r="BS125" i="6"/>
  <c r="BQ125" i="6" s="1"/>
  <c r="BR125" i="6"/>
  <c r="BP125" i="6"/>
  <c r="BO125" i="6"/>
  <c r="BN125" i="6"/>
  <c r="BM125" i="6" s="1"/>
  <c r="BL125" i="6"/>
  <c r="BK125" i="6"/>
  <c r="BI125" i="6" s="1"/>
  <c r="BJ125" i="6"/>
  <c r="BH125" i="6"/>
  <c r="BD125" i="6"/>
  <c r="BC125" i="6"/>
  <c r="BA125" i="6"/>
  <c r="AY125" i="6" s="1"/>
  <c r="BB125" i="6" s="1"/>
  <c r="BE125" i="6" s="1"/>
  <c r="AZ125" i="6"/>
  <c r="AX125" i="6"/>
  <c r="AW125" i="6"/>
  <c r="AU125" i="6" s="1"/>
  <c r="AV125" i="6"/>
  <c r="AT125" i="6"/>
  <c r="AS125" i="6"/>
  <c r="AQ125" i="6" s="1"/>
  <c r="AR125" i="6"/>
  <c r="AP125" i="6"/>
  <c r="AJ125" i="6"/>
  <c r="AH125" i="6"/>
  <c r="AG125" i="6"/>
  <c r="AF125" i="6"/>
  <c r="AE125" i="6"/>
  <c r="AB125" i="6"/>
  <c r="AC125" i="6" s="1"/>
  <c r="Z125" i="6"/>
  <c r="Y125" i="6"/>
  <c r="AA125" i="6" s="1"/>
  <c r="X125" i="6"/>
  <c r="W125" i="6"/>
  <c r="U125" i="6"/>
  <c r="R125" i="6"/>
  <c r="Q125" i="6"/>
  <c r="P125" i="6" s="1"/>
  <c r="O125" i="6"/>
  <c r="L125" i="6"/>
  <c r="K125" i="6"/>
  <c r="J125" i="6"/>
  <c r="G125" i="6"/>
  <c r="F125" i="6"/>
  <c r="E125" i="6"/>
  <c r="D125" i="6"/>
  <c r="C125" i="6"/>
  <c r="B125" i="6"/>
  <c r="A125" i="6"/>
  <c r="CB124" i="6"/>
  <c r="CA124" i="6"/>
  <c r="BZ124" i="6"/>
  <c r="BX124" i="6" s="1"/>
  <c r="BY124" i="6"/>
  <c r="BW124" i="6"/>
  <c r="BS124" i="6"/>
  <c r="BR124" i="6"/>
  <c r="BQ124" i="6"/>
  <c r="BT124" i="6" s="1"/>
  <c r="BP124" i="6"/>
  <c r="BO124" i="6"/>
  <c r="BM124" i="6" s="1"/>
  <c r="BN124" i="6"/>
  <c r="BL124" i="6"/>
  <c r="BK124" i="6"/>
  <c r="BI124" i="6" s="1"/>
  <c r="BJ124" i="6"/>
  <c r="BH124" i="6"/>
  <c r="BA124" i="6"/>
  <c r="AZ124" i="6"/>
  <c r="AX124" i="6"/>
  <c r="AW124" i="6"/>
  <c r="AV124" i="6"/>
  <c r="AU124" i="6"/>
  <c r="AT124" i="6"/>
  <c r="AS124" i="6"/>
  <c r="AR124" i="6"/>
  <c r="BC124" i="6" s="1"/>
  <c r="AP124" i="6"/>
  <c r="AM124" i="6"/>
  <c r="AJ124" i="6"/>
  <c r="AF124" i="6"/>
  <c r="AE124" i="6"/>
  <c r="AL124" i="6" s="1"/>
  <c r="AD124" i="6"/>
  <c r="AK124" i="6" s="1"/>
  <c r="AB124" i="6"/>
  <c r="AC124" i="6" s="1"/>
  <c r="AA124" i="6"/>
  <c r="Y124" i="6"/>
  <c r="Z124" i="6" s="1"/>
  <c r="X124" i="6"/>
  <c r="W124" i="6"/>
  <c r="U124" i="6"/>
  <c r="T124" i="6"/>
  <c r="S124" i="6"/>
  <c r="R124" i="6"/>
  <c r="P124" i="6" s="1"/>
  <c r="Q124" i="6"/>
  <c r="O124" i="6"/>
  <c r="L124" i="6"/>
  <c r="K124" i="6"/>
  <c r="J124" i="6"/>
  <c r="I124" i="6"/>
  <c r="H124" i="6"/>
  <c r="F124" i="6"/>
  <c r="G124" i="6" s="1"/>
  <c r="B124" i="6"/>
  <c r="E124" i="6" s="1"/>
  <c r="A124" i="6"/>
  <c r="CB123" i="6"/>
  <c r="CA123" i="6"/>
  <c r="BZ123" i="6"/>
  <c r="BY123" i="6"/>
  <c r="BX123" i="6"/>
  <c r="BW123" i="6"/>
  <c r="BV123" i="6"/>
  <c r="BU123" i="6"/>
  <c r="BS123" i="6"/>
  <c r="BQ123" i="6" s="1"/>
  <c r="BT123" i="6" s="1"/>
  <c r="BR123" i="6"/>
  <c r="BP123" i="6"/>
  <c r="BO123" i="6"/>
  <c r="BM123" i="6" s="1"/>
  <c r="BN123" i="6"/>
  <c r="BL123" i="6"/>
  <c r="BK123" i="6"/>
  <c r="BI123" i="6" s="1"/>
  <c r="BJ123" i="6"/>
  <c r="BH123" i="6"/>
  <c r="BA123" i="6"/>
  <c r="AZ123" i="6"/>
  <c r="BC123" i="6" s="1"/>
  <c r="AX123" i="6"/>
  <c r="AW123" i="6"/>
  <c r="AV123" i="6"/>
  <c r="AT123" i="6"/>
  <c r="AS123" i="6"/>
  <c r="AR123" i="6"/>
  <c r="AQ123" i="6"/>
  <c r="AP123" i="6"/>
  <c r="AJ123" i="6"/>
  <c r="AF123" i="6"/>
  <c r="AE123" i="6"/>
  <c r="AB123" i="6"/>
  <c r="AC123" i="6" s="1"/>
  <c r="AH123" i="6" s="1"/>
  <c r="AA123" i="6"/>
  <c r="Z123" i="6"/>
  <c r="Y123" i="6"/>
  <c r="W123" i="6" s="1"/>
  <c r="X123" i="6"/>
  <c r="V123" i="6"/>
  <c r="U123" i="6"/>
  <c r="T123" i="6"/>
  <c r="S123" i="6"/>
  <c r="R123" i="6"/>
  <c r="Q123" i="6"/>
  <c r="N123" i="6"/>
  <c r="O123" i="6" s="1"/>
  <c r="AI123" i="6" s="1"/>
  <c r="K123" i="6"/>
  <c r="J123" i="6"/>
  <c r="L123" i="6" s="1"/>
  <c r="I123" i="6"/>
  <c r="H123" i="6"/>
  <c r="G123" i="6"/>
  <c r="F123" i="6"/>
  <c r="C123" i="6"/>
  <c r="B123" i="6"/>
  <c r="A123" i="6"/>
  <c r="CB122" i="6"/>
  <c r="CA122" i="6"/>
  <c r="BZ122" i="6"/>
  <c r="BX122" i="6" s="1"/>
  <c r="BY122" i="6"/>
  <c r="BW122" i="6"/>
  <c r="BV122" i="6"/>
  <c r="BS122" i="6"/>
  <c r="BQ122" i="6" s="1"/>
  <c r="BR122" i="6"/>
  <c r="BP122" i="6"/>
  <c r="BO122" i="6"/>
  <c r="BN122" i="6"/>
  <c r="BU122" i="6" s="1"/>
  <c r="BM122" i="6"/>
  <c r="BT122" i="6" s="1"/>
  <c r="BL122" i="6"/>
  <c r="BK122" i="6"/>
  <c r="BI122" i="6" s="1"/>
  <c r="BJ122" i="6"/>
  <c r="BH122" i="6"/>
  <c r="BD122" i="6"/>
  <c r="BA122" i="6"/>
  <c r="AZ122" i="6"/>
  <c r="AY122" i="6"/>
  <c r="AX122" i="6"/>
  <c r="AW122" i="6"/>
  <c r="AU122" i="6" s="1"/>
  <c r="AV122" i="6"/>
  <c r="BC122" i="6" s="1"/>
  <c r="AT122" i="6"/>
  <c r="AS122" i="6"/>
  <c r="AR122" i="6"/>
  <c r="AQ122" i="6"/>
  <c r="AP122" i="6"/>
  <c r="AJ122" i="6"/>
  <c r="AI122" i="6"/>
  <c r="AH122" i="6"/>
  <c r="AF122" i="6"/>
  <c r="AG122" i="6" s="1"/>
  <c r="AE122" i="6"/>
  <c r="AC122" i="6"/>
  <c r="AB122" i="6"/>
  <c r="Y122" i="6"/>
  <c r="W122" i="6" s="1"/>
  <c r="X122" i="6"/>
  <c r="U122" i="6"/>
  <c r="V122" i="6" s="1"/>
  <c r="S122" i="6"/>
  <c r="R122" i="6"/>
  <c r="T122" i="6" s="1"/>
  <c r="Q122" i="6"/>
  <c r="P122" i="6" s="1"/>
  <c r="O122" i="6"/>
  <c r="N122" i="6"/>
  <c r="J122" i="6"/>
  <c r="I122" i="6"/>
  <c r="H122" i="6"/>
  <c r="G122" i="6"/>
  <c r="F122" i="6"/>
  <c r="B122" i="6"/>
  <c r="A122" i="6"/>
  <c r="CB121" i="6"/>
  <c r="CA121" i="6"/>
  <c r="BZ121" i="6"/>
  <c r="BX121" i="6" s="1"/>
  <c r="BY121" i="6"/>
  <c r="BW121" i="6"/>
  <c r="BU121" i="6"/>
  <c r="BS121" i="6"/>
  <c r="BQ121" i="6" s="1"/>
  <c r="BT121" i="6" s="1"/>
  <c r="BR121" i="6"/>
  <c r="BP121" i="6"/>
  <c r="BO121" i="6"/>
  <c r="BN121" i="6"/>
  <c r="BM121" i="6"/>
  <c r="BL121" i="6"/>
  <c r="BK121" i="6"/>
  <c r="BI121" i="6" s="1"/>
  <c r="BJ121" i="6"/>
  <c r="BH121" i="6"/>
  <c r="BC121" i="6"/>
  <c r="BA121" i="6"/>
  <c r="AY121" i="6" s="1"/>
  <c r="BB121" i="6" s="1"/>
  <c r="BE121" i="6" s="1"/>
  <c r="AZ121" i="6"/>
  <c r="AX121" i="6"/>
  <c r="AW121" i="6"/>
  <c r="BD121" i="6" s="1"/>
  <c r="AV121" i="6"/>
  <c r="AU121" i="6" s="1"/>
  <c r="AT121" i="6"/>
  <c r="AS121" i="6"/>
  <c r="AQ121" i="6" s="1"/>
  <c r="AR121" i="6"/>
  <c r="AP121" i="6"/>
  <c r="AJ121" i="6"/>
  <c r="AF121" i="6"/>
  <c r="AD121" i="6" s="1"/>
  <c r="AK121" i="6" s="1"/>
  <c r="AE121" i="6"/>
  <c r="AB121" i="6"/>
  <c r="AC121" i="6" s="1"/>
  <c r="AG121" i="6" s="1"/>
  <c r="Y121" i="6"/>
  <c r="AA121" i="6" s="1"/>
  <c r="X121" i="6"/>
  <c r="V121" i="6"/>
  <c r="U121" i="6"/>
  <c r="R121" i="6"/>
  <c r="P121" i="6" s="1"/>
  <c r="Q121" i="6"/>
  <c r="O121" i="6"/>
  <c r="AI121" i="6" s="1"/>
  <c r="N121" i="6"/>
  <c r="L121" i="6"/>
  <c r="K121" i="6"/>
  <c r="J121" i="6"/>
  <c r="I121" i="6"/>
  <c r="H121" i="6"/>
  <c r="F121" i="6"/>
  <c r="G121" i="6" s="1"/>
  <c r="E121" i="6"/>
  <c r="D121" i="6"/>
  <c r="C121" i="6"/>
  <c r="B121" i="6"/>
  <c r="A121" i="6"/>
  <c r="CB120" i="6"/>
  <c r="CA120" i="6"/>
  <c r="BZ120" i="6"/>
  <c r="BX120" i="6" s="1"/>
  <c r="BY120" i="6"/>
  <c r="BW120" i="6"/>
  <c r="BS120" i="6"/>
  <c r="BR120" i="6"/>
  <c r="BU120" i="6" s="1"/>
  <c r="BP120" i="6"/>
  <c r="BO120" i="6"/>
  <c r="BN120" i="6"/>
  <c r="BM120" i="6"/>
  <c r="BL120" i="6"/>
  <c r="BK120" i="6"/>
  <c r="BJ120" i="6"/>
  <c r="BH120" i="6"/>
  <c r="BC120" i="6"/>
  <c r="BA120" i="6"/>
  <c r="AY120" i="6" s="1"/>
  <c r="BB120" i="6" s="1"/>
  <c r="BE120" i="6" s="1"/>
  <c r="AZ120" i="6"/>
  <c r="AX120" i="6"/>
  <c r="AW120" i="6"/>
  <c r="BD120" i="6" s="1"/>
  <c r="AV120" i="6"/>
  <c r="AT120" i="6"/>
  <c r="AS120" i="6"/>
  <c r="AQ120" i="6" s="1"/>
  <c r="AR120" i="6"/>
  <c r="AP120" i="6"/>
  <c r="AJ120" i="6"/>
  <c r="AF120" i="6"/>
  <c r="AH120" i="6" s="1"/>
  <c r="AE120" i="6"/>
  <c r="AL120" i="6" s="1"/>
  <c r="AC120" i="6"/>
  <c r="AB120" i="6"/>
  <c r="Y120" i="6"/>
  <c r="W120" i="6" s="1"/>
  <c r="X120" i="6"/>
  <c r="V120" i="6"/>
  <c r="U120" i="6"/>
  <c r="R120" i="6"/>
  <c r="Q120" i="6"/>
  <c r="P120" i="6" s="1"/>
  <c r="O120" i="6"/>
  <c r="N120" i="6"/>
  <c r="L120" i="6"/>
  <c r="J120" i="6"/>
  <c r="K120" i="6" s="1"/>
  <c r="F120" i="6"/>
  <c r="I120" i="6" s="1"/>
  <c r="E120" i="6"/>
  <c r="D120" i="6"/>
  <c r="B120" i="6"/>
  <c r="C120" i="6" s="1"/>
  <c r="A120" i="6"/>
  <c r="CB119" i="6"/>
  <c r="CA119" i="6"/>
  <c r="BZ119" i="6"/>
  <c r="BY119" i="6"/>
  <c r="BW119" i="6"/>
  <c r="BS119" i="6"/>
  <c r="BR119" i="6"/>
  <c r="BQ119" i="6"/>
  <c r="BT119" i="6" s="1"/>
  <c r="BP119" i="6"/>
  <c r="BO119" i="6"/>
  <c r="BM119" i="6" s="1"/>
  <c r="BN119" i="6"/>
  <c r="BL119" i="6"/>
  <c r="BK119" i="6"/>
  <c r="BI119" i="6" s="1"/>
  <c r="BJ119" i="6"/>
  <c r="BH119" i="6"/>
  <c r="BB119" i="6"/>
  <c r="BE119" i="6" s="1"/>
  <c r="BA119" i="6"/>
  <c r="AY119" i="6" s="1"/>
  <c r="AZ119" i="6"/>
  <c r="AX119" i="6"/>
  <c r="AW119" i="6"/>
  <c r="AV119" i="6"/>
  <c r="AU119" i="6" s="1"/>
  <c r="AT119" i="6"/>
  <c r="AS119" i="6"/>
  <c r="AQ119" i="6" s="1"/>
  <c r="AR119" i="6"/>
  <c r="AP119" i="6"/>
  <c r="AL119" i="6"/>
  <c r="AJ119" i="6"/>
  <c r="AF119" i="6"/>
  <c r="AE119" i="6"/>
  <c r="AC119" i="6"/>
  <c r="AB119" i="6"/>
  <c r="Y119" i="6"/>
  <c r="X119" i="6"/>
  <c r="W119" i="6"/>
  <c r="V119" i="6"/>
  <c r="U119" i="6"/>
  <c r="R119" i="6"/>
  <c r="Q119" i="6"/>
  <c r="P119" i="6"/>
  <c r="O119" i="6"/>
  <c r="N119" i="6"/>
  <c r="L119" i="6"/>
  <c r="K119" i="6"/>
  <c r="J119" i="6"/>
  <c r="G119" i="6"/>
  <c r="F119" i="6"/>
  <c r="E119" i="6"/>
  <c r="D119" i="6"/>
  <c r="C119" i="6"/>
  <c r="B119" i="6"/>
  <c r="A119" i="6"/>
  <c r="CB118" i="6"/>
  <c r="CA118" i="6"/>
  <c r="BZ118" i="6"/>
  <c r="BY118" i="6"/>
  <c r="BX118" i="6"/>
  <c r="BW118" i="6"/>
  <c r="BS118" i="6"/>
  <c r="BV118" i="6" s="1"/>
  <c r="BR118" i="6"/>
  <c r="BU118" i="6" s="1"/>
  <c r="BP118" i="6"/>
  <c r="BO118" i="6"/>
  <c r="BM118" i="6" s="1"/>
  <c r="BN118" i="6"/>
  <c r="BL118" i="6"/>
  <c r="BK118" i="6"/>
  <c r="BJ118" i="6"/>
  <c r="BI118" i="6"/>
  <c r="BH118" i="6"/>
  <c r="BA118" i="6"/>
  <c r="AZ118" i="6"/>
  <c r="BC118" i="6" s="1"/>
  <c r="BF118" i="6" s="1"/>
  <c r="AX118" i="6"/>
  <c r="AW118" i="6"/>
  <c r="AV118" i="6"/>
  <c r="AU118" i="6"/>
  <c r="AT118" i="6"/>
  <c r="AS118" i="6"/>
  <c r="AQ118" i="6" s="1"/>
  <c r="AR118" i="6"/>
  <c r="AP118" i="6"/>
  <c r="AM118" i="6"/>
  <c r="AL118" i="6"/>
  <c r="AJ118" i="6"/>
  <c r="AF118" i="6"/>
  <c r="AE118" i="6"/>
  <c r="AD118" i="6" s="1"/>
  <c r="AK118" i="6" s="1"/>
  <c r="AC118" i="6"/>
  <c r="AB118" i="6"/>
  <c r="Y118" i="6"/>
  <c r="Z118" i="6" s="1"/>
  <c r="X118" i="6"/>
  <c r="W118" i="6"/>
  <c r="V118" i="6"/>
  <c r="AA118" i="6" s="1"/>
  <c r="U118" i="6"/>
  <c r="R118" i="6"/>
  <c r="P118" i="6" s="1"/>
  <c r="Q118" i="6"/>
  <c r="N118" i="6"/>
  <c r="O118" i="6" s="1"/>
  <c r="L118" i="6"/>
  <c r="K118" i="6"/>
  <c r="J118" i="6"/>
  <c r="F118" i="6"/>
  <c r="E118" i="6"/>
  <c r="D118" i="6"/>
  <c r="C118" i="6"/>
  <c r="B118" i="6"/>
  <c r="A118" i="6"/>
  <c r="BZ117" i="6"/>
  <c r="BY117" i="6"/>
  <c r="BX117" i="6"/>
  <c r="BS117" i="6"/>
  <c r="BQ117" i="6" s="1"/>
  <c r="BT117" i="6" s="1"/>
  <c r="BR117" i="6"/>
  <c r="BO117" i="6"/>
  <c r="BN117" i="6"/>
  <c r="BM117" i="6" s="1"/>
  <c r="BK117" i="6"/>
  <c r="BI117" i="6" s="1"/>
  <c r="BJ117" i="6"/>
  <c r="BU117" i="6" s="1"/>
  <c r="BA117" i="6"/>
  <c r="AY117" i="6" s="1"/>
  <c r="BB117" i="6" s="1"/>
  <c r="BE117" i="6" s="1"/>
  <c r="AZ117" i="6"/>
  <c r="AW117" i="6"/>
  <c r="AV117" i="6"/>
  <c r="AU117" i="6"/>
  <c r="AS117" i="6"/>
  <c r="BD117" i="6" s="1"/>
  <c r="AR117" i="6"/>
  <c r="BC117" i="6" s="1"/>
  <c r="BF117" i="6" s="1"/>
  <c r="AJ117" i="6"/>
  <c r="AF117" i="6"/>
  <c r="AD117" i="6" s="1"/>
  <c r="AK117" i="6" s="1"/>
  <c r="AE117" i="6"/>
  <c r="AL117" i="6" s="1"/>
  <c r="AC117" i="6"/>
  <c r="AG117" i="6" s="1"/>
  <c r="AB117" i="6"/>
  <c r="Y117" i="6"/>
  <c r="X117" i="6"/>
  <c r="U117" i="6"/>
  <c r="V117" i="6" s="1"/>
  <c r="AA117" i="6" s="1"/>
  <c r="T117" i="6"/>
  <c r="S117" i="6"/>
  <c r="R117" i="6"/>
  <c r="P117" i="6" s="1"/>
  <c r="Q117" i="6"/>
  <c r="O117" i="6"/>
  <c r="J117" i="6"/>
  <c r="L117" i="6" s="1"/>
  <c r="I117" i="6"/>
  <c r="H117" i="6"/>
  <c r="G117" i="6"/>
  <c r="F117" i="6"/>
  <c r="C117" i="6"/>
  <c r="B117" i="6"/>
  <c r="A117" i="6"/>
  <c r="CB116" i="6"/>
  <c r="CA116" i="6"/>
  <c r="BZ116" i="6"/>
  <c r="BX116" i="6" s="1"/>
  <c r="BY116" i="6"/>
  <c r="BW116" i="6"/>
  <c r="BU116" i="6"/>
  <c r="BS116" i="6"/>
  <c r="BQ116" i="6" s="1"/>
  <c r="BT116" i="6" s="1"/>
  <c r="BR116" i="6"/>
  <c r="BP116" i="6"/>
  <c r="BO116" i="6"/>
  <c r="BV116" i="6" s="1"/>
  <c r="BN116" i="6"/>
  <c r="BL116" i="6"/>
  <c r="BK116" i="6"/>
  <c r="BI116" i="6" s="1"/>
  <c r="BJ116" i="6"/>
  <c r="BH116" i="6"/>
  <c r="BA116" i="6"/>
  <c r="AZ116" i="6"/>
  <c r="AY116" i="6"/>
  <c r="BB116" i="6" s="1"/>
  <c r="BE116" i="6" s="1"/>
  <c r="AX116" i="6"/>
  <c r="AW116" i="6"/>
  <c r="AV116" i="6"/>
  <c r="BC116" i="6" s="1"/>
  <c r="BF116" i="6" s="1"/>
  <c r="AT116" i="6"/>
  <c r="AS116" i="6"/>
  <c r="AR116" i="6"/>
  <c r="AQ116" i="6"/>
  <c r="AP116" i="6"/>
  <c r="AJ116" i="6"/>
  <c r="AI116" i="6"/>
  <c r="AH116" i="6"/>
  <c r="AG116" i="6"/>
  <c r="AF116" i="6"/>
  <c r="AE116" i="6"/>
  <c r="AL116" i="6" s="1"/>
  <c r="AC116" i="6"/>
  <c r="AB116" i="6"/>
  <c r="AA116" i="6"/>
  <c r="Y116" i="6"/>
  <c r="W116" i="6" s="1"/>
  <c r="X116" i="6"/>
  <c r="U116" i="6"/>
  <c r="V116" i="6" s="1"/>
  <c r="S116" i="6"/>
  <c r="R116" i="6"/>
  <c r="T116" i="6" s="1"/>
  <c r="Q116" i="6"/>
  <c r="P116" i="6"/>
  <c r="O116" i="6"/>
  <c r="N116" i="6"/>
  <c r="J116" i="6"/>
  <c r="I116" i="6"/>
  <c r="H116" i="6"/>
  <c r="G116" i="6"/>
  <c r="F116" i="6"/>
  <c r="B116" i="6"/>
  <c r="A116" i="6"/>
  <c r="CB115" i="6"/>
  <c r="CA115" i="6"/>
  <c r="BZ115" i="6"/>
  <c r="BX115" i="6" s="1"/>
  <c r="BY115" i="6"/>
  <c r="BW115" i="6"/>
  <c r="BV115" i="6"/>
  <c r="BU115" i="6"/>
  <c r="BS115" i="6"/>
  <c r="BQ115" i="6" s="1"/>
  <c r="BT115" i="6" s="1"/>
  <c r="BR115" i="6"/>
  <c r="BP115" i="6"/>
  <c r="BO115" i="6"/>
  <c r="BN115" i="6"/>
  <c r="BM115" i="6" s="1"/>
  <c r="BL115" i="6"/>
  <c r="BK115" i="6"/>
  <c r="BI115" i="6" s="1"/>
  <c r="BJ115" i="6"/>
  <c r="BH115" i="6"/>
  <c r="BD115" i="6"/>
  <c r="BC115" i="6"/>
  <c r="BA115" i="6"/>
  <c r="AY115" i="6" s="1"/>
  <c r="BB115" i="6" s="1"/>
  <c r="BE115" i="6" s="1"/>
  <c r="AZ115" i="6"/>
  <c r="AX115" i="6"/>
  <c r="AW115" i="6"/>
  <c r="AV115" i="6"/>
  <c r="AU115" i="6"/>
  <c r="AT115" i="6"/>
  <c r="AS115" i="6"/>
  <c r="AQ115" i="6" s="1"/>
  <c r="AR115" i="6"/>
  <c r="AP115" i="6"/>
  <c r="AJ115" i="6"/>
  <c r="AF115" i="6"/>
  <c r="AD115" i="6" s="1"/>
  <c r="AK115" i="6" s="1"/>
  <c r="AE115" i="6"/>
  <c r="AB115" i="6"/>
  <c r="AC115" i="6" s="1"/>
  <c r="Z115" i="6"/>
  <c r="Y115" i="6"/>
  <c r="AA115" i="6" s="1"/>
  <c r="X115" i="6"/>
  <c r="W115" i="6" s="1"/>
  <c r="U115" i="6"/>
  <c r="R115" i="6"/>
  <c r="Q115" i="6"/>
  <c r="P115" i="6"/>
  <c r="O115" i="6"/>
  <c r="L115" i="6"/>
  <c r="K115" i="6"/>
  <c r="J115" i="6"/>
  <c r="F115" i="6"/>
  <c r="E115" i="6"/>
  <c r="D115" i="6"/>
  <c r="C115" i="6"/>
  <c r="B115" i="6"/>
  <c r="A115" i="6"/>
  <c r="CB114" i="6"/>
  <c r="CA114" i="6"/>
  <c r="BZ114" i="6"/>
  <c r="BX114" i="6" s="1"/>
  <c r="BY114" i="6"/>
  <c r="BW114" i="6"/>
  <c r="BS114" i="6"/>
  <c r="BR114" i="6"/>
  <c r="BU114" i="6" s="1"/>
  <c r="BP114" i="6"/>
  <c r="BO114" i="6"/>
  <c r="BM114" i="6" s="1"/>
  <c r="BN114" i="6"/>
  <c r="BL114" i="6"/>
  <c r="BK114" i="6"/>
  <c r="BJ114" i="6"/>
  <c r="BI114" i="6"/>
  <c r="BH114" i="6"/>
  <c r="BC114" i="6"/>
  <c r="BA114" i="6"/>
  <c r="AZ114" i="6"/>
  <c r="AX114" i="6"/>
  <c r="AW114" i="6"/>
  <c r="AV114" i="6"/>
  <c r="AU114" i="6"/>
  <c r="AT114" i="6"/>
  <c r="AS114" i="6"/>
  <c r="AQ114" i="6" s="1"/>
  <c r="AR114" i="6"/>
  <c r="AP114" i="6"/>
  <c r="AM114" i="6"/>
  <c r="AJ114" i="6"/>
  <c r="AF114" i="6"/>
  <c r="AE114" i="6"/>
  <c r="AL114" i="6" s="1"/>
  <c r="AC114" i="6"/>
  <c r="AB114" i="6"/>
  <c r="Y114" i="6"/>
  <c r="X114" i="6"/>
  <c r="W114" i="6"/>
  <c r="U114" i="6"/>
  <c r="V114" i="6" s="1"/>
  <c r="AA114" i="6" s="1"/>
  <c r="R114" i="6"/>
  <c r="P114" i="6" s="1"/>
  <c r="Q114" i="6"/>
  <c r="N114" i="6"/>
  <c r="O114" i="6" s="1"/>
  <c r="L114" i="6"/>
  <c r="K114" i="6"/>
  <c r="J114" i="6"/>
  <c r="F114" i="6"/>
  <c r="E114" i="6"/>
  <c r="D114" i="6"/>
  <c r="C114" i="6"/>
  <c r="B114" i="6"/>
  <c r="A114" i="6"/>
  <c r="CB113" i="6"/>
  <c r="CA113" i="6"/>
  <c r="BZ113" i="6"/>
  <c r="BX113" i="6" s="1"/>
  <c r="BY113" i="6"/>
  <c r="BW113" i="6"/>
  <c r="BS113" i="6"/>
  <c r="BR113" i="6"/>
  <c r="BQ113" i="6" s="1"/>
  <c r="BT113" i="6" s="1"/>
  <c r="BP113" i="6"/>
  <c r="BO113" i="6"/>
  <c r="BN113" i="6"/>
  <c r="BL113" i="6"/>
  <c r="BK113" i="6"/>
  <c r="BJ113" i="6"/>
  <c r="BI113" i="6" s="1"/>
  <c r="BH113" i="6"/>
  <c r="BA113" i="6"/>
  <c r="BD113" i="6" s="1"/>
  <c r="AZ113" i="6"/>
  <c r="AX113" i="6"/>
  <c r="AW113" i="6"/>
  <c r="AU113" i="6" s="1"/>
  <c r="AV113" i="6"/>
  <c r="AT113" i="6"/>
  <c r="AS113" i="6"/>
  <c r="AQ113" i="6" s="1"/>
  <c r="AR113" i="6"/>
  <c r="AP113" i="6"/>
  <c r="AL113" i="6"/>
  <c r="AK113" i="6"/>
  <c r="AJ113" i="6"/>
  <c r="AF113" i="6"/>
  <c r="AE113" i="6"/>
  <c r="AD113" i="6"/>
  <c r="AB113" i="6"/>
  <c r="AC113" i="6" s="1"/>
  <c r="AH113" i="6" s="1"/>
  <c r="Y113" i="6"/>
  <c r="W113" i="6" s="1"/>
  <c r="X113" i="6"/>
  <c r="U113" i="6"/>
  <c r="V113" i="6" s="1"/>
  <c r="R113" i="6"/>
  <c r="P113" i="6" s="1"/>
  <c r="Q113" i="6"/>
  <c r="N113" i="6"/>
  <c r="O113" i="6" s="1"/>
  <c r="T113" i="6" s="1"/>
  <c r="L113" i="6"/>
  <c r="J113" i="6"/>
  <c r="K113" i="6" s="1"/>
  <c r="I113" i="6"/>
  <c r="H113" i="6"/>
  <c r="G113" i="6"/>
  <c r="F113" i="6"/>
  <c r="E113" i="6"/>
  <c r="D113" i="6"/>
  <c r="B113" i="6"/>
  <c r="C113" i="6" s="1"/>
  <c r="A113" i="6"/>
  <c r="CB112" i="6"/>
  <c r="CA112" i="6"/>
  <c r="BZ112" i="6"/>
  <c r="BY112" i="6"/>
  <c r="BX112" i="6"/>
  <c r="BW112" i="6"/>
  <c r="BS112" i="6"/>
  <c r="BR112" i="6"/>
  <c r="BQ112" i="6"/>
  <c r="BT112" i="6" s="1"/>
  <c r="BP112" i="6"/>
  <c r="BO112" i="6"/>
  <c r="BN112" i="6"/>
  <c r="BU112" i="6" s="1"/>
  <c r="BL112" i="6"/>
  <c r="BK112" i="6"/>
  <c r="BJ112" i="6"/>
  <c r="BI112" i="6"/>
  <c r="BH112" i="6"/>
  <c r="BA112" i="6"/>
  <c r="BD112" i="6" s="1"/>
  <c r="BG112" i="6" s="1"/>
  <c r="AZ112" i="6"/>
  <c r="AX112" i="6"/>
  <c r="AW112" i="6"/>
  <c r="AU112" i="6" s="1"/>
  <c r="AV112" i="6"/>
  <c r="AT112" i="6"/>
  <c r="AS112" i="6"/>
  <c r="AQ112" i="6" s="1"/>
  <c r="AR112" i="6"/>
  <c r="AP112" i="6"/>
  <c r="AJ112" i="6"/>
  <c r="AF112" i="6"/>
  <c r="AD112" i="6" s="1"/>
  <c r="AK112" i="6" s="1"/>
  <c r="AE112" i="6"/>
  <c r="AL112" i="6" s="1"/>
  <c r="AB112" i="6"/>
  <c r="AC112" i="6" s="1"/>
  <c r="AA112" i="6"/>
  <c r="Z112" i="6"/>
  <c r="Y112" i="6"/>
  <c r="AM112" i="6" s="1"/>
  <c r="X112" i="6"/>
  <c r="U112" i="6"/>
  <c r="T112" i="6"/>
  <c r="R112" i="6"/>
  <c r="P112" i="6" s="1"/>
  <c r="Q112" i="6"/>
  <c r="O112" i="6"/>
  <c r="J112" i="6"/>
  <c r="I112" i="6"/>
  <c r="H112" i="6"/>
  <c r="G112" i="6"/>
  <c r="F112" i="6"/>
  <c r="B112" i="6"/>
  <c r="A112" i="6"/>
  <c r="CB111" i="6"/>
  <c r="CA111" i="6"/>
  <c r="BZ111" i="6"/>
  <c r="BX111" i="6" s="1"/>
  <c r="BY111" i="6"/>
  <c r="BW111" i="6"/>
  <c r="BT111" i="6"/>
  <c r="BS111" i="6"/>
  <c r="BQ111" i="6" s="1"/>
  <c r="BR111" i="6"/>
  <c r="BP111" i="6"/>
  <c r="BO111" i="6"/>
  <c r="BN111" i="6"/>
  <c r="BU111" i="6" s="1"/>
  <c r="BL111" i="6"/>
  <c r="BK111" i="6"/>
  <c r="BI111" i="6" s="1"/>
  <c r="BJ111" i="6"/>
  <c r="BH111" i="6"/>
  <c r="BE111" i="6"/>
  <c r="BD111" i="6"/>
  <c r="BA111" i="6"/>
  <c r="AY111" i="6" s="1"/>
  <c r="BB111" i="6" s="1"/>
  <c r="AZ111" i="6"/>
  <c r="AX111" i="6"/>
  <c r="AW111" i="6"/>
  <c r="AU111" i="6" s="1"/>
  <c r="AV111" i="6"/>
  <c r="BC111" i="6" s="1"/>
  <c r="AT111" i="6"/>
  <c r="AS111" i="6"/>
  <c r="AQ111" i="6" s="1"/>
  <c r="AR111" i="6"/>
  <c r="AP111" i="6"/>
  <c r="AJ111" i="6"/>
  <c r="AH111" i="6"/>
  <c r="AF111" i="6"/>
  <c r="AD111" i="6" s="1"/>
  <c r="AK111" i="6" s="1"/>
  <c r="AE111" i="6"/>
  <c r="AB111" i="6"/>
  <c r="AC111" i="6" s="1"/>
  <c r="Z111" i="6"/>
  <c r="Y111" i="6"/>
  <c r="AA111" i="6" s="1"/>
  <c r="X111" i="6"/>
  <c r="W111" i="6"/>
  <c r="U111" i="6"/>
  <c r="R111" i="6"/>
  <c r="Q111" i="6"/>
  <c r="P111" i="6" s="1"/>
  <c r="O111" i="6"/>
  <c r="L111" i="6"/>
  <c r="K111" i="6"/>
  <c r="J111" i="6"/>
  <c r="F111" i="6"/>
  <c r="G111" i="6" s="1"/>
  <c r="E111" i="6"/>
  <c r="D111" i="6"/>
  <c r="C111" i="6"/>
  <c r="B111" i="6"/>
  <c r="A111" i="6"/>
  <c r="CB110" i="6"/>
  <c r="CA110" i="6"/>
  <c r="BZ110" i="6"/>
  <c r="BX110" i="6" s="1"/>
  <c r="BY110" i="6"/>
  <c r="BW110" i="6"/>
  <c r="BS110" i="6"/>
  <c r="BR110" i="6"/>
  <c r="BQ110" i="6"/>
  <c r="BT110" i="6" s="1"/>
  <c r="BP110" i="6"/>
  <c r="BO110" i="6"/>
  <c r="BM110" i="6" s="1"/>
  <c r="BN110" i="6"/>
  <c r="BL110" i="6"/>
  <c r="BK110" i="6"/>
  <c r="BI110" i="6" s="1"/>
  <c r="BJ110" i="6"/>
  <c r="BH110" i="6"/>
  <c r="BA110" i="6"/>
  <c r="AZ110" i="6"/>
  <c r="AX110" i="6"/>
  <c r="AW110" i="6"/>
  <c r="AV110" i="6"/>
  <c r="AU110" i="6"/>
  <c r="AT110" i="6"/>
  <c r="AS110" i="6"/>
  <c r="AQ110" i="6" s="1"/>
  <c r="AR110" i="6"/>
  <c r="BC110" i="6" s="1"/>
  <c r="BF110" i="6" s="1"/>
  <c r="AP110" i="6"/>
  <c r="AM110" i="6"/>
  <c r="AL110" i="6"/>
  <c r="AJ110" i="6"/>
  <c r="AF110" i="6"/>
  <c r="AE110" i="6"/>
  <c r="AD110" i="6" s="1"/>
  <c r="AK110" i="6" s="1"/>
  <c r="AB110" i="6"/>
  <c r="AC110" i="6" s="1"/>
  <c r="AA110" i="6"/>
  <c r="Y110" i="6"/>
  <c r="Z110" i="6" s="1"/>
  <c r="X110" i="6"/>
  <c r="W110" i="6"/>
  <c r="U110" i="6"/>
  <c r="T110" i="6"/>
  <c r="S110" i="6"/>
  <c r="R110" i="6"/>
  <c r="P110" i="6" s="1"/>
  <c r="Q110" i="6"/>
  <c r="O110" i="6"/>
  <c r="L110" i="6"/>
  <c r="J110" i="6"/>
  <c r="K110" i="6" s="1"/>
  <c r="I110" i="6"/>
  <c r="H110" i="6"/>
  <c r="F110" i="6"/>
  <c r="G110" i="6" s="1"/>
  <c r="B110" i="6"/>
  <c r="E110" i="6" s="1"/>
  <c r="A110" i="6"/>
  <c r="CB109" i="6"/>
  <c r="CA109" i="6"/>
  <c r="BZ109" i="6"/>
  <c r="BY109" i="6"/>
  <c r="BX109" i="6"/>
  <c r="BW109" i="6"/>
  <c r="BV109" i="6"/>
  <c r="BS109" i="6"/>
  <c r="BQ109" i="6" s="1"/>
  <c r="BT109" i="6" s="1"/>
  <c r="BR109" i="6"/>
  <c r="BP109" i="6"/>
  <c r="BO109" i="6"/>
  <c r="BM109" i="6" s="1"/>
  <c r="BN109" i="6"/>
  <c r="BU109" i="6" s="1"/>
  <c r="BL109" i="6"/>
  <c r="BK109" i="6"/>
  <c r="BI109" i="6" s="1"/>
  <c r="BJ109" i="6"/>
  <c r="BH109" i="6"/>
  <c r="BA109" i="6"/>
  <c r="AZ109" i="6"/>
  <c r="BC109" i="6" s="1"/>
  <c r="BF109" i="6" s="1"/>
  <c r="AX109" i="6"/>
  <c r="AW109" i="6"/>
  <c r="AV109" i="6"/>
  <c r="AT109" i="6"/>
  <c r="AS109" i="6"/>
  <c r="AR109" i="6"/>
  <c r="AQ109" i="6"/>
  <c r="AP109" i="6"/>
  <c r="AJ109" i="6"/>
  <c r="AH109" i="6"/>
  <c r="AG109" i="6"/>
  <c r="AF109" i="6"/>
  <c r="AM109" i="6" s="1"/>
  <c r="AN109" i="6" s="1"/>
  <c r="AE109" i="6"/>
  <c r="AB109" i="6"/>
  <c r="AC109" i="6" s="1"/>
  <c r="AA109" i="6"/>
  <c r="Z109" i="6"/>
  <c r="Y109" i="6"/>
  <c r="W109" i="6" s="1"/>
  <c r="X109" i="6"/>
  <c r="AL109" i="6" s="1"/>
  <c r="V109" i="6"/>
  <c r="U109" i="6"/>
  <c r="T109" i="6"/>
  <c r="R109" i="6"/>
  <c r="P109" i="6" s="1"/>
  <c r="Q109" i="6"/>
  <c r="N109" i="6"/>
  <c r="O109" i="6" s="1"/>
  <c r="AI109" i="6" s="1"/>
  <c r="K109" i="6"/>
  <c r="J109" i="6"/>
  <c r="L109" i="6" s="1"/>
  <c r="I109" i="6"/>
  <c r="H109" i="6"/>
  <c r="G109" i="6"/>
  <c r="F109" i="6"/>
  <c r="C109" i="6"/>
  <c r="B109" i="6"/>
  <c r="A109" i="6"/>
  <c r="CB108" i="6"/>
  <c r="CA108" i="6"/>
  <c r="BZ108" i="6"/>
  <c r="BX108" i="6" s="1"/>
  <c r="BY108" i="6"/>
  <c r="BW108" i="6"/>
  <c r="BT108" i="6"/>
  <c r="BS108" i="6"/>
  <c r="BQ108" i="6" s="1"/>
  <c r="BR108" i="6"/>
  <c r="BP108" i="6"/>
  <c r="BO108" i="6"/>
  <c r="BV108" i="6" s="1"/>
  <c r="BN108" i="6"/>
  <c r="BU108" i="6" s="1"/>
  <c r="BL108" i="6"/>
  <c r="BK108" i="6"/>
  <c r="BI108" i="6" s="1"/>
  <c r="BJ108" i="6"/>
  <c r="BH108" i="6"/>
  <c r="BA108" i="6"/>
  <c r="AZ108" i="6"/>
  <c r="AY108" i="6"/>
  <c r="BB108" i="6" s="1"/>
  <c r="BE108" i="6" s="1"/>
  <c r="AX108" i="6"/>
  <c r="AW108" i="6"/>
  <c r="AU108" i="6" s="1"/>
  <c r="AV108" i="6"/>
  <c r="BC108" i="6" s="1"/>
  <c r="BF108" i="6" s="1"/>
  <c r="AT108" i="6"/>
  <c r="AS108" i="6"/>
  <c r="AR108" i="6"/>
  <c r="AQ108" i="6"/>
  <c r="AP108" i="6"/>
  <c r="AJ108" i="6"/>
  <c r="AI108" i="6"/>
  <c r="AF108" i="6"/>
  <c r="AE108" i="6"/>
  <c r="AL108" i="6" s="1"/>
  <c r="AC108" i="6"/>
  <c r="AB108" i="6"/>
  <c r="Z108" i="6"/>
  <c r="Y108" i="6"/>
  <c r="W108" i="6" s="1"/>
  <c r="X108" i="6"/>
  <c r="U108" i="6"/>
  <c r="R108" i="6"/>
  <c r="Q108" i="6"/>
  <c r="P108" i="6"/>
  <c r="O108" i="6"/>
  <c r="L108" i="6"/>
  <c r="J108" i="6"/>
  <c r="K108" i="6" s="1"/>
  <c r="G108" i="6"/>
  <c r="F108" i="6"/>
  <c r="I108" i="6" s="1"/>
  <c r="E108" i="6"/>
  <c r="D108" i="6"/>
  <c r="B108" i="6"/>
  <c r="C108" i="6" s="1"/>
  <c r="A108" i="6"/>
  <c r="CB107" i="6"/>
  <c r="CA107" i="6"/>
  <c r="BZ107" i="6"/>
  <c r="BX107" i="6" s="1"/>
  <c r="BY107" i="6"/>
  <c r="BW107" i="6"/>
  <c r="BS107" i="6"/>
  <c r="BR107" i="6"/>
  <c r="BU107" i="6" s="1"/>
  <c r="BP107" i="6"/>
  <c r="BO107" i="6"/>
  <c r="BM107" i="6" s="1"/>
  <c r="BN107" i="6"/>
  <c r="BL107" i="6"/>
  <c r="BK107" i="6"/>
  <c r="BI107" i="6" s="1"/>
  <c r="BJ107" i="6"/>
  <c r="BH107" i="6"/>
  <c r="BC107" i="6"/>
  <c r="BB107" i="6"/>
  <c r="BE107" i="6" s="1"/>
  <c r="BA107" i="6"/>
  <c r="AY107" i="6" s="1"/>
  <c r="AZ107" i="6"/>
  <c r="AX107" i="6"/>
  <c r="AW107" i="6"/>
  <c r="AV107" i="6"/>
  <c r="AU107" i="6" s="1"/>
  <c r="AT107" i="6"/>
  <c r="AS107" i="6"/>
  <c r="AQ107" i="6" s="1"/>
  <c r="AR107" i="6"/>
  <c r="AP107" i="6"/>
  <c r="AJ107" i="6"/>
  <c r="AF107" i="6"/>
  <c r="AE107" i="6"/>
  <c r="AL107" i="6" s="1"/>
  <c r="AD107" i="6"/>
  <c r="AK107" i="6" s="1"/>
  <c r="AC107" i="6"/>
  <c r="AB107" i="6"/>
  <c r="Y107" i="6"/>
  <c r="X107" i="6"/>
  <c r="W107" i="6"/>
  <c r="V107" i="6"/>
  <c r="U107" i="6"/>
  <c r="R107" i="6"/>
  <c r="S107" i="6" s="1"/>
  <c r="Q107" i="6"/>
  <c r="P107" i="6"/>
  <c r="O107" i="6"/>
  <c r="N107" i="6"/>
  <c r="L107" i="6"/>
  <c r="K107" i="6"/>
  <c r="J107" i="6"/>
  <c r="G107" i="6"/>
  <c r="F107" i="6"/>
  <c r="E107" i="6"/>
  <c r="D107" i="6"/>
  <c r="C107" i="6"/>
  <c r="B107" i="6"/>
  <c r="A107" i="6"/>
  <c r="CB106" i="6"/>
  <c r="CA106" i="6"/>
  <c r="BZ106" i="6"/>
  <c r="BX106" i="6" s="1"/>
  <c r="BY106" i="6"/>
  <c r="BW106" i="6"/>
  <c r="BS106" i="6"/>
  <c r="BV106" i="6" s="1"/>
  <c r="BR106" i="6"/>
  <c r="BP106" i="6"/>
  <c r="BO106" i="6"/>
  <c r="BM106" i="6" s="1"/>
  <c r="BN106" i="6"/>
  <c r="BL106" i="6"/>
  <c r="BK106" i="6"/>
  <c r="BJ106" i="6"/>
  <c r="BI106" i="6" s="1"/>
  <c r="BH106" i="6"/>
  <c r="BC106" i="6"/>
  <c r="BF106" i="6" s="1"/>
  <c r="BA106" i="6"/>
  <c r="AZ106" i="6"/>
  <c r="AX106" i="6"/>
  <c r="AW106" i="6"/>
  <c r="AV106" i="6"/>
  <c r="AU106" i="6"/>
  <c r="AT106" i="6"/>
  <c r="AS106" i="6"/>
  <c r="AR106" i="6"/>
  <c r="AP106" i="6"/>
  <c r="AM106" i="6"/>
  <c r="AL106" i="6"/>
  <c r="AJ106" i="6"/>
  <c r="AF106" i="6"/>
  <c r="AE106" i="6"/>
  <c r="AD106" i="6"/>
  <c r="AC106" i="6"/>
  <c r="AB106" i="6"/>
  <c r="AA106" i="6"/>
  <c r="Y106" i="6"/>
  <c r="Z106" i="6" s="1"/>
  <c r="X106" i="6"/>
  <c r="W106" i="6"/>
  <c r="AK106" i="6" s="1"/>
  <c r="U106" i="6"/>
  <c r="T106" i="6"/>
  <c r="S106" i="6"/>
  <c r="R106" i="6"/>
  <c r="P106" i="6" s="1"/>
  <c r="Q106" i="6"/>
  <c r="O106" i="6"/>
  <c r="L106" i="6"/>
  <c r="K106" i="6"/>
  <c r="J106" i="6"/>
  <c r="I106" i="6"/>
  <c r="H106" i="6"/>
  <c r="F106" i="6"/>
  <c r="G106" i="6" s="1"/>
  <c r="D106" i="6"/>
  <c r="C106" i="6"/>
  <c r="B106" i="6"/>
  <c r="E106" i="6" s="1"/>
  <c r="A106" i="6"/>
  <c r="CB105" i="6"/>
  <c r="CA105" i="6"/>
  <c r="BZ105" i="6"/>
  <c r="BY105" i="6"/>
  <c r="BX105" i="6"/>
  <c r="BW105" i="6"/>
  <c r="BV105" i="6"/>
  <c r="BU105" i="6"/>
  <c r="BS105" i="6"/>
  <c r="BQ105" i="6" s="1"/>
  <c r="BT105" i="6" s="1"/>
  <c r="BR105" i="6"/>
  <c r="BP105" i="6"/>
  <c r="BO105" i="6"/>
  <c r="BN105" i="6"/>
  <c r="BM105" i="6" s="1"/>
  <c r="BL105" i="6"/>
  <c r="BK105" i="6"/>
  <c r="BI105" i="6" s="1"/>
  <c r="BJ105" i="6"/>
  <c r="BH105" i="6"/>
  <c r="BA105" i="6"/>
  <c r="AZ105" i="6"/>
  <c r="AY105" i="6"/>
  <c r="BB105" i="6" s="1"/>
  <c r="BE105" i="6" s="1"/>
  <c r="AX105" i="6"/>
  <c r="AW105" i="6"/>
  <c r="AV105" i="6"/>
  <c r="AT105" i="6"/>
  <c r="AS105" i="6"/>
  <c r="AR105" i="6"/>
  <c r="AQ105" i="6" s="1"/>
  <c r="AP105" i="6"/>
  <c r="AJ105" i="6"/>
  <c r="AF105" i="6"/>
  <c r="AM105" i="6" s="1"/>
  <c r="AN105" i="6" s="1"/>
  <c r="AE105" i="6"/>
  <c r="AB105" i="6"/>
  <c r="AC105" i="6" s="1"/>
  <c r="AH105" i="6" s="1"/>
  <c r="AA105" i="6"/>
  <c r="Z105" i="6"/>
  <c r="Y105" i="6"/>
  <c r="W105" i="6" s="1"/>
  <c r="X105" i="6"/>
  <c r="V105" i="6"/>
  <c r="U105" i="6"/>
  <c r="T105" i="6"/>
  <c r="S105" i="6"/>
  <c r="R105" i="6"/>
  <c r="Q105" i="6"/>
  <c r="N105" i="6"/>
  <c r="O105" i="6" s="1"/>
  <c r="AI105" i="6" s="1"/>
  <c r="J105" i="6"/>
  <c r="L105" i="6" s="1"/>
  <c r="I105" i="6"/>
  <c r="H105" i="6"/>
  <c r="G105" i="6"/>
  <c r="F105" i="6"/>
  <c r="C105" i="6"/>
  <c r="B105" i="6"/>
  <c r="A105" i="6"/>
  <c r="CB104" i="6"/>
  <c r="CA104" i="6"/>
  <c r="BZ104" i="6"/>
  <c r="BX104" i="6" s="1"/>
  <c r="BY104" i="6"/>
  <c r="BW104" i="6"/>
  <c r="BS104" i="6"/>
  <c r="BQ104" i="6" s="1"/>
  <c r="BT104" i="6" s="1"/>
  <c r="BR104" i="6"/>
  <c r="BP104" i="6"/>
  <c r="BO104" i="6"/>
  <c r="BV104" i="6" s="1"/>
  <c r="BN104" i="6"/>
  <c r="BU104" i="6" s="1"/>
  <c r="BL104" i="6"/>
  <c r="BK104" i="6"/>
  <c r="BI104" i="6" s="1"/>
  <c r="BJ104" i="6"/>
  <c r="BH104" i="6"/>
  <c r="BA104" i="6"/>
  <c r="AZ104" i="6"/>
  <c r="AY104" i="6"/>
  <c r="BB104" i="6" s="1"/>
  <c r="BE104" i="6" s="1"/>
  <c r="AX104" i="6"/>
  <c r="AW104" i="6"/>
  <c r="AV104" i="6"/>
  <c r="BC104" i="6" s="1"/>
  <c r="BF104" i="6" s="1"/>
  <c r="AT104" i="6"/>
  <c r="AS104" i="6"/>
  <c r="AR104" i="6"/>
  <c r="AQ104" i="6"/>
  <c r="AP104" i="6"/>
  <c r="AJ104" i="6"/>
  <c r="AI104" i="6"/>
  <c r="AH104" i="6"/>
  <c r="AG104" i="6"/>
  <c r="AF104" i="6"/>
  <c r="AE104" i="6"/>
  <c r="AL104" i="6" s="1"/>
  <c r="AC104" i="6"/>
  <c r="AB104" i="6"/>
  <c r="AA104" i="6"/>
  <c r="Y104" i="6"/>
  <c r="W104" i="6" s="1"/>
  <c r="X104" i="6"/>
  <c r="U104" i="6"/>
  <c r="V104" i="6" s="1"/>
  <c r="S104" i="6"/>
  <c r="R104" i="6"/>
  <c r="T104" i="6" s="1"/>
  <c r="Q104" i="6"/>
  <c r="P104" i="6"/>
  <c r="O104" i="6"/>
  <c r="N104" i="6"/>
  <c r="J104" i="6"/>
  <c r="I104" i="6"/>
  <c r="H104" i="6"/>
  <c r="G104" i="6"/>
  <c r="F104" i="6"/>
  <c r="B104" i="6"/>
  <c r="A104" i="6"/>
  <c r="CB103" i="6"/>
  <c r="CA103" i="6"/>
  <c r="BZ103" i="6"/>
  <c r="BX103" i="6" s="1"/>
  <c r="BY103" i="6"/>
  <c r="BW103" i="6"/>
  <c r="BV103" i="6"/>
  <c r="BU103" i="6"/>
  <c r="BS103" i="6"/>
  <c r="BQ103" i="6" s="1"/>
  <c r="BT103" i="6" s="1"/>
  <c r="BR103" i="6"/>
  <c r="BP103" i="6"/>
  <c r="BO103" i="6"/>
  <c r="BN103" i="6"/>
  <c r="BM103" i="6" s="1"/>
  <c r="BL103" i="6"/>
  <c r="BK103" i="6"/>
  <c r="BI103" i="6" s="1"/>
  <c r="BJ103" i="6"/>
  <c r="BH103" i="6"/>
  <c r="BD103" i="6"/>
  <c r="BC103" i="6"/>
  <c r="BA103" i="6"/>
  <c r="AY103" i="6" s="1"/>
  <c r="BB103" i="6" s="1"/>
  <c r="BE103" i="6" s="1"/>
  <c r="AZ103" i="6"/>
  <c r="AX103" i="6"/>
  <c r="AW103" i="6"/>
  <c r="AV103" i="6"/>
  <c r="AU103" i="6"/>
  <c r="AT103" i="6"/>
  <c r="AS103" i="6"/>
  <c r="AQ103" i="6" s="1"/>
  <c r="AR103" i="6"/>
  <c r="AP103" i="6"/>
  <c r="AJ103" i="6"/>
  <c r="AF103" i="6"/>
  <c r="AD103" i="6" s="1"/>
  <c r="AK103" i="6" s="1"/>
  <c r="AE103" i="6"/>
  <c r="AB103" i="6"/>
  <c r="AC103" i="6" s="1"/>
  <c r="Z103" i="6"/>
  <c r="Y103" i="6"/>
  <c r="AA103" i="6" s="1"/>
  <c r="X103" i="6"/>
  <c r="W103" i="6" s="1"/>
  <c r="V103" i="6"/>
  <c r="U103" i="6"/>
  <c r="R103" i="6"/>
  <c r="Q103" i="6"/>
  <c r="O103" i="6"/>
  <c r="N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CB102" i="6"/>
  <c r="CA102" i="6"/>
  <c r="BZ102" i="6"/>
  <c r="BX102" i="6" s="1"/>
  <c r="BY102" i="6"/>
  <c r="BW102" i="6"/>
  <c r="BU102" i="6"/>
  <c r="BS102" i="6"/>
  <c r="BR102" i="6"/>
  <c r="BP102" i="6"/>
  <c r="BO102" i="6"/>
  <c r="BN102" i="6"/>
  <c r="BM102" i="6"/>
  <c r="BL102" i="6"/>
  <c r="BK102" i="6"/>
  <c r="BI102" i="6" s="1"/>
  <c r="BJ102" i="6"/>
  <c r="BH102" i="6"/>
  <c r="BC102" i="6"/>
  <c r="BB102" i="6"/>
  <c r="BE102" i="6" s="1"/>
  <c r="BA102" i="6"/>
  <c r="AY102" i="6" s="1"/>
  <c r="AZ102" i="6"/>
  <c r="AX102" i="6"/>
  <c r="AW102" i="6"/>
  <c r="BD102" i="6" s="1"/>
  <c r="AV102" i="6"/>
  <c r="AT102" i="6"/>
  <c r="AS102" i="6"/>
  <c r="AQ102" i="6" s="1"/>
  <c r="AR102" i="6"/>
  <c r="AP102" i="6"/>
  <c r="AJ102" i="6"/>
  <c r="AG102" i="6"/>
  <c r="AF102" i="6"/>
  <c r="AH102" i="6" s="1"/>
  <c r="AE102" i="6"/>
  <c r="AL102" i="6" s="1"/>
  <c r="AC102" i="6"/>
  <c r="AB102" i="6"/>
  <c r="Y102" i="6"/>
  <c r="X102" i="6"/>
  <c r="W102" i="6" s="1"/>
  <c r="U102" i="6"/>
  <c r="R102" i="6"/>
  <c r="S102" i="6" s="1"/>
  <c r="Q102" i="6"/>
  <c r="P102" i="6"/>
  <c r="O102" i="6"/>
  <c r="L102" i="6"/>
  <c r="K102" i="6"/>
  <c r="J102" i="6"/>
  <c r="F102" i="6"/>
  <c r="E102" i="6"/>
  <c r="D102" i="6"/>
  <c r="C102" i="6"/>
  <c r="B102" i="6"/>
  <c r="A102" i="6"/>
  <c r="CB101" i="6"/>
  <c r="CA101" i="6"/>
  <c r="BZ101" i="6"/>
  <c r="BX101" i="6" s="1"/>
  <c r="BY101" i="6"/>
  <c r="BW101" i="6"/>
  <c r="BS101" i="6"/>
  <c r="BR101" i="6"/>
  <c r="BU101" i="6" s="1"/>
  <c r="BQ101" i="6"/>
  <c r="BP101" i="6"/>
  <c r="BO101" i="6"/>
  <c r="BN101" i="6"/>
  <c r="BK101" i="6"/>
  <c r="BJ101" i="6"/>
  <c r="BI101" i="6"/>
  <c r="BH101" i="6"/>
  <c r="BA101" i="6"/>
  <c r="AY101" i="6" s="1"/>
  <c r="BB101" i="6" s="1"/>
  <c r="AZ101" i="6"/>
  <c r="BC101" i="6" s="1"/>
  <c r="BF101" i="6" s="1"/>
  <c r="AX101" i="6"/>
  <c r="AW101" i="6"/>
  <c r="AU101" i="6" s="1"/>
  <c r="AV101" i="6"/>
  <c r="AT101" i="6"/>
  <c r="AS101" i="6"/>
  <c r="AR101" i="6"/>
  <c r="AQ101" i="6"/>
  <c r="AP101" i="6"/>
  <c r="AJ101" i="6"/>
  <c r="AF101" i="6"/>
  <c r="AD101" i="6" s="1"/>
  <c r="AE101" i="6"/>
  <c r="AL101" i="6" s="1"/>
  <c r="AC101" i="6"/>
  <c r="AG101" i="6" s="1"/>
  <c r="AB101" i="6"/>
  <c r="Y101" i="6"/>
  <c r="X101" i="6"/>
  <c r="U101" i="6"/>
  <c r="V101" i="6" s="1"/>
  <c r="AA101" i="6" s="1"/>
  <c r="T101" i="6"/>
  <c r="S101" i="6"/>
  <c r="R101" i="6"/>
  <c r="P101" i="6" s="1"/>
  <c r="Q101" i="6"/>
  <c r="O101" i="6"/>
  <c r="N101" i="6"/>
  <c r="L101" i="6"/>
  <c r="K101" i="6"/>
  <c r="J101" i="6"/>
  <c r="I101" i="6"/>
  <c r="H101" i="6"/>
  <c r="F101" i="6"/>
  <c r="G101" i="6" s="1"/>
  <c r="B101" i="6"/>
  <c r="E101" i="6" s="1"/>
  <c r="A101" i="6"/>
  <c r="CB100" i="6"/>
  <c r="CA100" i="6"/>
  <c r="BZ100" i="6"/>
  <c r="BY100" i="6"/>
  <c r="BX100" i="6"/>
  <c r="BW100" i="6"/>
  <c r="BV100" i="6"/>
  <c r="BU100" i="6"/>
  <c r="BS100" i="6"/>
  <c r="BQ100" i="6" s="1"/>
  <c r="BR100" i="6"/>
  <c r="BP100" i="6"/>
  <c r="BO100" i="6"/>
  <c r="BM100" i="6" s="1"/>
  <c r="BN100" i="6"/>
  <c r="BL100" i="6"/>
  <c r="BK100" i="6"/>
  <c r="BI100" i="6" s="1"/>
  <c r="BJ100" i="6"/>
  <c r="BH100" i="6"/>
  <c r="BA100" i="6"/>
  <c r="AZ100" i="6"/>
  <c r="BC100" i="6" s="1"/>
  <c r="AX100" i="6"/>
  <c r="AW100" i="6"/>
  <c r="AV100" i="6"/>
  <c r="AT100" i="6"/>
  <c r="AS100" i="6"/>
  <c r="AR100" i="6"/>
  <c r="AQ100" i="6"/>
  <c r="AP100" i="6"/>
  <c r="AJ100" i="6"/>
  <c r="AF100" i="6"/>
  <c r="AE100" i="6"/>
  <c r="AB100" i="6"/>
  <c r="AC100" i="6" s="1"/>
  <c r="AH100" i="6" s="1"/>
  <c r="AA100" i="6"/>
  <c r="Z100" i="6"/>
  <c r="Y100" i="6"/>
  <c r="W100" i="6" s="1"/>
  <c r="X100" i="6"/>
  <c r="V100" i="6"/>
  <c r="U100" i="6"/>
  <c r="T100" i="6"/>
  <c r="S100" i="6"/>
  <c r="R100" i="6"/>
  <c r="Q100" i="6"/>
  <c r="N100" i="6"/>
  <c r="O100" i="6" s="1"/>
  <c r="AI100" i="6" s="1"/>
  <c r="K100" i="6"/>
  <c r="J100" i="6"/>
  <c r="L100" i="6" s="1"/>
  <c r="I100" i="6"/>
  <c r="H100" i="6"/>
  <c r="G100" i="6"/>
  <c r="F100" i="6"/>
  <c r="C100" i="6"/>
  <c r="B100" i="6"/>
  <c r="A100" i="6"/>
  <c r="BZ99" i="6"/>
  <c r="BX99" i="6" s="1"/>
  <c r="BY99" i="6"/>
  <c r="BS99" i="6"/>
  <c r="BV99" i="6" s="1"/>
  <c r="BR99" i="6"/>
  <c r="BU99" i="6" s="1"/>
  <c r="BQ99" i="6"/>
  <c r="BT99" i="6" s="1"/>
  <c r="BO99" i="6"/>
  <c r="BM99" i="6" s="1"/>
  <c r="BN99" i="6"/>
  <c r="BK99" i="6"/>
  <c r="BJ99" i="6"/>
  <c r="BI99" i="6"/>
  <c r="BA99" i="6"/>
  <c r="BD99" i="6" s="1"/>
  <c r="AZ99" i="6"/>
  <c r="BC99" i="6" s="1"/>
  <c r="AW99" i="6"/>
  <c r="AU99" i="6" s="1"/>
  <c r="AV99" i="6"/>
  <c r="AS99" i="6"/>
  <c r="AR99" i="6"/>
  <c r="AQ99" i="6"/>
  <c r="AJ99" i="6"/>
  <c r="AF99" i="6"/>
  <c r="AD99" i="6" s="1"/>
  <c r="AE99" i="6"/>
  <c r="AB99" i="6"/>
  <c r="AC99" i="6" s="1"/>
  <c r="AG99" i="6" s="1"/>
  <c r="Y99" i="6"/>
  <c r="AA99" i="6" s="1"/>
  <c r="X99" i="6"/>
  <c r="U99" i="6"/>
  <c r="R99" i="6"/>
  <c r="Q99" i="6"/>
  <c r="P99" i="6"/>
  <c r="O99" i="6"/>
  <c r="L99" i="6"/>
  <c r="K99" i="6"/>
  <c r="J99" i="6"/>
  <c r="G99" i="6"/>
  <c r="F99" i="6"/>
  <c r="E99" i="6"/>
  <c r="D99" i="6"/>
  <c r="C99" i="6"/>
  <c r="B99" i="6"/>
  <c r="A99" i="6"/>
  <c r="CB98" i="6"/>
  <c r="CA98" i="6"/>
  <c r="BZ98" i="6"/>
  <c r="BY98" i="6"/>
  <c r="BX98" i="6"/>
  <c r="BW98" i="6"/>
  <c r="BS98" i="6"/>
  <c r="BV98" i="6" s="1"/>
  <c r="BR98" i="6"/>
  <c r="BP98" i="6"/>
  <c r="BO98" i="6"/>
  <c r="BM98" i="6" s="1"/>
  <c r="BN98" i="6"/>
  <c r="BL98" i="6"/>
  <c r="BK98" i="6"/>
  <c r="BI98" i="6" s="1"/>
  <c r="BJ98" i="6"/>
  <c r="BH98" i="6"/>
  <c r="BA98" i="6"/>
  <c r="AZ98" i="6"/>
  <c r="BC98" i="6" s="1"/>
  <c r="BF98" i="6" s="1"/>
  <c r="AX98" i="6"/>
  <c r="AW98" i="6"/>
  <c r="AV98" i="6"/>
  <c r="AU98" i="6"/>
  <c r="AT98" i="6"/>
  <c r="AS98" i="6"/>
  <c r="AQ98" i="6" s="1"/>
  <c r="AR98" i="6"/>
  <c r="AP98" i="6"/>
  <c r="AM98" i="6"/>
  <c r="AJ98" i="6"/>
  <c r="AF98" i="6"/>
  <c r="AE98" i="6"/>
  <c r="AL98" i="6" s="1"/>
  <c r="AC98" i="6"/>
  <c r="AB98" i="6"/>
  <c r="Y98" i="6"/>
  <c r="X98" i="6"/>
  <c r="W98" i="6"/>
  <c r="U98" i="6"/>
  <c r="V98" i="6" s="1"/>
  <c r="AA98" i="6" s="1"/>
  <c r="T98" i="6"/>
  <c r="R98" i="6"/>
  <c r="P98" i="6" s="1"/>
  <c r="Q98" i="6"/>
  <c r="O98" i="6"/>
  <c r="N98" i="6"/>
  <c r="L98" i="6"/>
  <c r="K98" i="6"/>
  <c r="J98" i="6"/>
  <c r="F98" i="6"/>
  <c r="E98" i="6"/>
  <c r="D98" i="6"/>
  <c r="C98" i="6"/>
  <c r="B98" i="6"/>
  <c r="A98" i="6"/>
  <c r="CB97" i="6"/>
  <c r="CA97" i="6"/>
  <c r="BZ97" i="6"/>
  <c r="BX97" i="6" s="1"/>
  <c r="BY97" i="6"/>
  <c r="BW97" i="6"/>
  <c r="BS97" i="6"/>
  <c r="BR97" i="6"/>
  <c r="BU97" i="6" s="1"/>
  <c r="BQ97" i="6"/>
  <c r="BT97" i="6" s="1"/>
  <c r="BP97" i="6"/>
  <c r="BO97" i="6"/>
  <c r="BN97" i="6"/>
  <c r="BK97" i="6"/>
  <c r="BJ97" i="6"/>
  <c r="BI97" i="6"/>
  <c r="BH97" i="6"/>
  <c r="BA97" i="6"/>
  <c r="AY97" i="6" s="1"/>
  <c r="BB97" i="6" s="1"/>
  <c r="BE97" i="6" s="1"/>
  <c r="AZ97" i="6"/>
  <c r="BC97" i="6" s="1"/>
  <c r="BF97" i="6" s="1"/>
  <c r="AX97" i="6"/>
  <c r="AW97" i="6"/>
  <c r="AU97" i="6" s="1"/>
  <c r="AV97" i="6"/>
  <c r="AT97" i="6"/>
  <c r="AS97" i="6"/>
  <c r="AR97" i="6"/>
  <c r="AQ97" i="6"/>
  <c r="AP97" i="6"/>
  <c r="AJ97" i="6"/>
  <c r="AF97" i="6"/>
  <c r="AD97" i="6" s="1"/>
  <c r="AK97" i="6" s="1"/>
  <c r="AE97" i="6"/>
  <c r="AL97" i="6" s="1"/>
  <c r="AC97" i="6"/>
  <c r="AG97" i="6" s="1"/>
  <c r="AB97" i="6"/>
  <c r="AA97" i="6"/>
  <c r="Z97" i="6"/>
  <c r="Y97" i="6"/>
  <c r="X97" i="6"/>
  <c r="U97" i="6"/>
  <c r="T97" i="6"/>
  <c r="S97" i="6"/>
  <c r="R97" i="6"/>
  <c r="Q97" i="6"/>
  <c r="O97" i="6"/>
  <c r="J97" i="6"/>
  <c r="I97" i="6"/>
  <c r="H97" i="6"/>
  <c r="G97" i="6"/>
  <c r="F97" i="6"/>
  <c r="B97" i="6"/>
  <c r="A97" i="6"/>
  <c r="CB96" i="6"/>
  <c r="CA96" i="6"/>
  <c r="BZ96" i="6"/>
  <c r="BX96" i="6" s="1"/>
  <c r="BY96" i="6"/>
  <c r="BW96" i="6"/>
  <c r="BV96" i="6"/>
  <c r="BT96" i="6"/>
  <c r="BS96" i="6"/>
  <c r="BQ96" i="6" s="1"/>
  <c r="BR96" i="6"/>
  <c r="BP96" i="6"/>
  <c r="BO96" i="6"/>
  <c r="BN96" i="6"/>
  <c r="BU96" i="6" s="1"/>
  <c r="BM96" i="6"/>
  <c r="BK96" i="6"/>
  <c r="BJ96" i="6"/>
  <c r="BH96" i="6"/>
  <c r="BD96" i="6"/>
  <c r="BC96" i="6"/>
  <c r="BA96" i="6"/>
  <c r="AY96" i="6" s="1"/>
  <c r="BB96" i="6" s="1"/>
  <c r="BE96" i="6" s="1"/>
  <c r="AZ96" i="6"/>
  <c r="AX96" i="6"/>
  <c r="AW96" i="6"/>
  <c r="AV96" i="6"/>
  <c r="AU96" i="6"/>
  <c r="AT96" i="6"/>
  <c r="AS96" i="6"/>
  <c r="AQ96" i="6" s="1"/>
  <c r="AR96" i="6"/>
  <c r="AP96" i="6"/>
  <c r="AJ96" i="6"/>
  <c r="AF96" i="6"/>
  <c r="AH96" i="6" s="1"/>
  <c r="AE96" i="6"/>
  <c r="AC96" i="6"/>
  <c r="AB96" i="6"/>
  <c r="Y96" i="6"/>
  <c r="X96" i="6"/>
  <c r="AL96" i="6" s="1"/>
  <c r="W96" i="6"/>
  <c r="U96" i="6"/>
  <c r="R96" i="6"/>
  <c r="S96" i="6" s="1"/>
  <c r="Q96" i="6"/>
  <c r="P96" i="6"/>
  <c r="O96" i="6"/>
  <c r="L96" i="6"/>
  <c r="K96" i="6"/>
  <c r="J96" i="6"/>
  <c r="F96" i="6"/>
  <c r="E96" i="6"/>
  <c r="D96" i="6"/>
  <c r="C96" i="6"/>
  <c r="B96" i="6"/>
  <c r="A96" i="6"/>
  <c r="CB95" i="6"/>
  <c r="CA95" i="6"/>
  <c r="BZ95" i="6"/>
  <c r="BX95" i="6" s="1"/>
  <c r="BY95" i="6"/>
  <c r="BW95" i="6"/>
  <c r="BS95" i="6"/>
  <c r="BR95" i="6"/>
  <c r="BU95" i="6" s="1"/>
  <c r="BQ95" i="6"/>
  <c r="BT95" i="6" s="1"/>
  <c r="BP95" i="6"/>
  <c r="BO95" i="6"/>
  <c r="BN95" i="6"/>
  <c r="BL95" i="6"/>
  <c r="BK95" i="6"/>
  <c r="BJ95" i="6"/>
  <c r="BI95" i="6"/>
  <c r="BH95" i="6"/>
  <c r="BA95" i="6"/>
  <c r="AZ95" i="6"/>
  <c r="BC95" i="6" s="1"/>
  <c r="BF95" i="6" s="1"/>
  <c r="AX95" i="6"/>
  <c r="AW95" i="6"/>
  <c r="AU95" i="6" s="1"/>
  <c r="AV95" i="6"/>
  <c r="AT95" i="6"/>
  <c r="AS95" i="6"/>
  <c r="AQ95" i="6" s="1"/>
  <c r="AR95" i="6"/>
  <c r="AP95" i="6"/>
  <c r="AL95" i="6"/>
  <c r="AK95" i="6"/>
  <c r="AJ95" i="6"/>
  <c r="AF95" i="6"/>
  <c r="AG95" i="6" s="1"/>
  <c r="AE95" i="6"/>
  <c r="AD95" i="6"/>
  <c r="AC95" i="6"/>
  <c r="AH95" i="6" s="1"/>
  <c r="AB95" i="6"/>
  <c r="Y95" i="6"/>
  <c r="W95" i="6" s="1"/>
  <c r="X95" i="6"/>
  <c r="V95" i="6"/>
  <c r="Z95" i="6" s="1"/>
  <c r="U95" i="6"/>
  <c r="R95" i="6"/>
  <c r="P95" i="6" s="1"/>
  <c r="Q95" i="6"/>
  <c r="N95" i="6"/>
  <c r="O95" i="6" s="1"/>
  <c r="T95" i="6" s="1"/>
  <c r="L95" i="6"/>
  <c r="K95" i="6"/>
  <c r="J95" i="6"/>
  <c r="I95" i="6"/>
  <c r="H95" i="6"/>
  <c r="G95" i="6"/>
  <c r="F95" i="6"/>
  <c r="E95" i="6"/>
  <c r="D95" i="6"/>
  <c r="C95" i="6"/>
  <c r="B95" i="6"/>
  <c r="A95" i="6"/>
  <c r="CB94" i="6"/>
  <c r="CA94" i="6"/>
  <c r="BZ94" i="6"/>
  <c r="BY94" i="6"/>
  <c r="BX94" i="6"/>
  <c r="BW94" i="6"/>
  <c r="BS94" i="6"/>
  <c r="BR94" i="6"/>
  <c r="BQ94" i="6"/>
  <c r="BT94" i="6" s="1"/>
  <c r="BP94" i="6"/>
  <c r="BO94" i="6"/>
  <c r="BV94" i="6" s="1"/>
  <c r="BN94" i="6"/>
  <c r="BU94" i="6" s="1"/>
  <c r="BK94" i="6"/>
  <c r="BI94" i="6" s="1"/>
  <c r="BJ94" i="6"/>
  <c r="BH94" i="6"/>
  <c r="BA94" i="6"/>
  <c r="AZ94" i="6"/>
  <c r="BC94" i="6" s="1"/>
  <c r="AY94" i="6"/>
  <c r="BB94" i="6" s="1"/>
  <c r="BE94" i="6" s="1"/>
  <c r="AX94" i="6"/>
  <c r="AW94" i="6"/>
  <c r="AV94" i="6"/>
  <c r="AT94" i="6"/>
  <c r="AS94" i="6"/>
  <c r="AR94" i="6"/>
  <c r="AQ94" i="6"/>
  <c r="AP94" i="6"/>
  <c r="AJ94" i="6"/>
  <c r="AF94" i="6"/>
  <c r="AM94" i="6" s="1"/>
  <c r="AN94" i="6" s="1"/>
  <c r="AE94" i="6"/>
  <c r="AB94" i="6"/>
  <c r="AC94" i="6" s="1"/>
  <c r="AH94" i="6" s="1"/>
  <c r="AA94" i="6"/>
  <c r="Z94" i="6"/>
  <c r="Y94" i="6"/>
  <c r="W94" i="6" s="1"/>
  <c r="X94" i="6"/>
  <c r="V94" i="6"/>
  <c r="U94" i="6"/>
  <c r="T94" i="6"/>
  <c r="S94" i="6"/>
  <c r="R94" i="6"/>
  <c r="Q94" i="6"/>
  <c r="N94" i="6"/>
  <c r="O94" i="6" s="1"/>
  <c r="AI94" i="6" s="1"/>
  <c r="J94" i="6"/>
  <c r="L94" i="6" s="1"/>
  <c r="I94" i="6"/>
  <c r="H94" i="6"/>
  <c r="G94" i="6"/>
  <c r="F94" i="6"/>
  <c r="C94" i="6"/>
  <c r="B94" i="6"/>
  <c r="A94" i="6"/>
  <c r="CB93" i="6"/>
  <c r="CA93" i="6"/>
  <c r="BZ93" i="6"/>
  <c r="BX93" i="6" s="1"/>
  <c r="BY93" i="6"/>
  <c r="BW93" i="6"/>
  <c r="BS93" i="6"/>
  <c r="BQ93" i="6" s="1"/>
  <c r="BT93" i="6" s="1"/>
  <c r="BR93" i="6"/>
  <c r="BP93" i="6"/>
  <c r="BO93" i="6"/>
  <c r="BV93" i="6" s="1"/>
  <c r="BN93" i="6"/>
  <c r="BU93" i="6" s="1"/>
  <c r="BL93" i="6"/>
  <c r="BK93" i="6"/>
  <c r="BI93" i="6" s="1"/>
  <c r="BJ93" i="6"/>
  <c r="BH93" i="6"/>
  <c r="BA93" i="6"/>
  <c r="AZ93" i="6"/>
  <c r="AY93" i="6"/>
  <c r="BB93" i="6" s="1"/>
  <c r="BE93" i="6" s="1"/>
  <c r="AX93" i="6"/>
  <c r="AW93" i="6"/>
  <c r="AV93" i="6"/>
  <c r="BC93" i="6" s="1"/>
  <c r="AT93" i="6"/>
  <c r="AS93" i="6"/>
  <c r="AR93" i="6"/>
  <c r="AQ93" i="6"/>
  <c r="AP93" i="6"/>
  <c r="AJ93" i="6"/>
  <c r="AI93" i="6"/>
  <c r="AH93" i="6"/>
  <c r="AG93" i="6"/>
  <c r="AF93" i="6"/>
  <c r="AE93" i="6"/>
  <c r="AC93" i="6"/>
  <c r="AB93" i="6"/>
  <c r="AA93" i="6"/>
  <c r="Y93" i="6"/>
  <c r="W93" i="6" s="1"/>
  <c r="X93" i="6"/>
  <c r="U93" i="6"/>
  <c r="V93" i="6" s="1"/>
  <c r="R93" i="6"/>
  <c r="T93" i="6" s="1"/>
  <c r="Q93" i="6"/>
  <c r="P93" i="6"/>
  <c r="O93" i="6"/>
  <c r="N93" i="6"/>
  <c r="J93" i="6"/>
  <c r="I93" i="6"/>
  <c r="H93" i="6"/>
  <c r="G93" i="6"/>
  <c r="F93" i="6"/>
  <c r="B93" i="6"/>
  <c r="A93" i="6"/>
  <c r="CB92" i="6"/>
  <c r="CA92" i="6"/>
  <c r="BZ92" i="6"/>
  <c r="BX92" i="6" s="1"/>
  <c r="BY92" i="6"/>
  <c r="BW92" i="6"/>
  <c r="BV92" i="6"/>
  <c r="BU92" i="6"/>
  <c r="BS92" i="6"/>
  <c r="BQ92" i="6" s="1"/>
  <c r="BT92" i="6" s="1"/>
  <c r="BR92" i="6"/>
  <c r="BP92" i="6"/>
  <c r="BO92" i="6"/>
  <c r="BN92" i="6"/>
  <c r="BM92" i="6"/>
  <c r="BL92" i="6"/>
  <c r="BK92" i="6"/>
  <c r="BI92" i="6" s="1"/>
  <c r="BJ92" i="6"/>
  <c r="BH92" i="6"/>
  <c r="BD92" i="6"/>
  <c r="BC92" i="6"/>
  <c r="BA92" i="6"/>
  <c r="AY92" i="6" s="1"/>
  <c r="BB92" i="6" s="1"/>
  <c r="BE92" i="6" s="1"/>
  <c r="AZ92" i="6"/>
  <c r="AX92" i="6"/>
  <c r="AW92" i="6"/>
  <c r="AV92" i="6"/>
  <c r="AU92" i="6"/>
  <c r="AT92" i="6"/>
  <c r="AS92" i="6"/>
  <c r="AQ92" i="6" s="1"/>
  <c r="AR92" i="6"/>
  <c r="AP92" i="6"/>
  <c r="AJ92" i="6"/>
  <c r="AF92" i="6"/>
  <c r="AD92" i="6" s="1"/>
  <c r="AK92" i="6" s="1"/>
  <c r="AE92" i="6"/>
  <c r="AB92" i="6"/>
  <c r="AC92" i="6" s="1"/>
  <c r="Z92" i="6"/>
  <c r="Y92" i="6"/>
  <c r="AA92" i="6" s="1"/>
  <c r="X92" i="6"/>
  <c r="W92" i="6"/>
  <c r="V92" i="6"/>
  <c r="U92" i="6"/>
  <c r="R92" i="6"/>
  <c r="Q92" i="6"/>
  <c r="O92" i="6"/>
  <c r="N92" i="6"/>
  <c r="L92" i="6"/>
  <c r="K92" i="6"/>
  <c r="J92" i="6"/>
  <c r="I92" i="6"/>
  <c r="H92" i="6"/>
  <c r="G92" i="6"/>
  <c r="F92" i="6"/>
  <c r="E92" i="6"/>
  <c r="D92" i="6"/>
  <c r="C92" i="6"/>
  <c r="B92" i="6"/>
  <c r="A92" i="6"/>
  <c r="CB91" i="6"/>
  <c r="CA91" i="6"/>
  <c r="BZ91" i="6"/>
  <c r="BX91" i="6" s="1"/>
  <c r="BY91" i="6"/>
  <c r="BW91" i="6"/>
  <c r="BS91" i="6"/>
  <c r="BR91" i="6"/>
  <c r="BP91" i="6"/>
  <c r="BO91" i="6"/>
  <c r="BN91" i="6"/>
  <c r="BM91" i="6"/>
  <c r="BK91" i="6"/>
  <c r="BI91" i="6" s="1"/>
  <c r="BJ91" i="6"/>
  <c r="BU91" i="6" s="1"/>
  <c r="BH91" i="6"/>
  <c r="BA91" i="6"/>
  <c r="AY91" i="6" s="1"/>
  <c r="AZ91" i="6"/>
  <c r="AX91" i="6"/>
  <c r="AW91" i="6"/>
  <c r="AV91" i="6"/>
  <c r="AU91" i="6" s="1"/>
  <c r="AT91" i="6"/>
  <c r="AS91" i="6"/>
  <c r="AQ91" i="6" s="1"/>
  <c r="AR91" i="6"/>
  <c r="AP91" i="6"/>
  <c r="AJ91" i="6"/>
  <c r="AF91" i="6"/>
  <c r="AM91" i="6" s="1"/>
  <c r="AE91" i="6"/>
  <c r="AL91" i="6" s="1"/>
  <c r="AD91" i="6"/>
  <c r="AK91" i="6" s="1"/>
  <c r="AC91" i="6"/>
  <c r="AB91" i="6"/>
  <c r="AA91" i="6"/>
  <c r="Z91" i="6"/>
  <c r="Y91" i="6"/>
  <c r="X91" i="6"/>
  <c r="W91" i="6"/>
  <c r="U91" i="6"/>
  <c r="T91" i="6"/>
  <c r="R91" i="6"/>
  <c r="P91" i="6" s="1"/>
  <c r="Q91" i="6"/>
  <c r="O91" i="6"/>
  <c r="J91" i="6"/>
  <c r="L91" i="6" s="1"/>
  <c r="I91" i="6"/>
  <c r="H91" i="6"/>
  <c r="G91" i="6"/>
  <c r="F91" i="6"/>
  <c r="B91" i="6"/>
  <c r="E91" i="6" s="1"/>
  <c r="A91" i="6"/>
  <c r="CB90" i="6"/>
  <c r="CA90" i="6"/>
  <c r="BZ90" i="6"/>
  <c r="BY90" i="6"/>
  <c r="BX90" i="6" s="1"/>
  <c r="BW90" i="6"/>
  <c r="BV90" i="6"/>
  <c r="BS90" i="6"/>
  <c r="BR90" i="6"/>
  <c r="BQ90" i="6"/>
  <c r="BT90" i="6" s="1"/>
  <c r="BP90" i="6"/>
  <c r="BO90" i="6"/>
  <c r="BM90" i="6" s="1"/>
  <c r="BN90" i="6"/>
  <c r="BU90" i="6" s="1"/>
  <c r="BL90" i="6"/>
  <c r="BK90" i="6"/>
  <c r="BJ90" i="6"/>
  <c r="BI90" i="6"/>
  <c r="BH90" i="6"/>
  <c r="BA90" i="6"/>
  <c r="AZ90" i="6"/>
  <c r="BC90" i="6" s="1"/>
  <c r="BF90" i="6" s="1"/>
  <c r="AY90" i="6"/>
  <c r="BB90" i="6" s="1"/>
  <c r="BE90" i="6" s="1"/>
  <c r="AX90" i="6"/>
  <c r="AW90" i="6"/>
  <c r="AU90" i="6" s="1"/>
  <c r="AV90" i="6"/>
  <c r="AT90" i="6"/>
  <c r="AS90" i="6"/>
  <c r="AR90" i="6"/>
  <c r="AQ90" i="6"/>
  <c r="AP90" i="6"/>
  <c r="AK90" i="6"/>
  <c r="AJ90" i="6"/>
  <c r="AF90" i="6"/>
  <c r="AD90" i="6" s="1"/>
  <c r="AE90" i="6"/>
  <c r="AL90" i="6" s="1"/>
  <c r="AB90" i="6"/>
  <c r="AC90" i="6" s="1"/>
  <c r="AA90" i="6"/>
  <c r="Z90" i="6"/>
  <c r="Y90" i="6"/>
  <c r="X90" i="6"/>
  <c r="U90" i="6"/>
  <c r="V90" i="6" s="1"/>
  <c r="R90" i="6"/>
  <c r="P90" i="6" s="1"/>
  <c r="Q90" i="6"/>
  <c r="O90" i="6"/>
  <c r="N90" i="6"/>
  <c r="L90" i="6"/>
  <c r="K90" i="6"/>
  <c r="J90" i="6"/>
  <c r="I90" i="6"/>
  <c r="H90" i="6"/>
  <c r="F90" i="6"/>
  <c r="G90" i="6" s="1"/>
  <c r="D90" i="6"/>
  <c r="C90" i="6"/>
  <c r="B90" i="6"/>
  <c r="E90" i="6" s="1"/>
  <c r="A90" i="6"/>
  <c r="CB89" i="6"/>
  <c r="CA89" i="6"/>
  <c r="BZ89" i="6"/>
  <c r="BY89" i="6"/>
  <c r="BX89" i="6"/>
  <c r="BW89" i="6"/>
  <c r="BS89" i="6"/>
  <c r="BQ89" i="6" s="1"/>
  <c r="BT89" i="6" s="1"/>
  <c r="BR89" i="6"/>
  <c r="BP89" i="6"/>
  <c r="BO89" i="6"/>
  <c r="BV89" i="6" s="1"/>
  <c r="BN89" i="6"/>
  <c r="BU89" i="6" s="1"/>
  <c r="BK89" i="6"/>
  <c r="BI89" i="6" s="1"/>
  <c r="BJ89" i="6"/>
  <c r="BH89" i="6"/>
  <c r="BE89" i="6"/>
  <c r="BD89" i="6"/>
  <c r="BA89" i="6"/>
  <c r="AZ89" i="6"/>
  <c r="AY89" i="6"/>
  <c r="BB89" i="6" s="1"/>
  <c r="AX89" i="6"/>
  <c r="AW89" i="6"/>
  <c r="AV89" i="6"/>
  <c r="BC89" i="6" s="1"/>
  <c r="AT89" i="6"/>
  <c r="AS89" i="6"/>
  <c r="AR89" i="6"/>
  <c r="AQ89" i="6"/>
  <c r="AP89" i="6"/>
  <c r="AJ89" i="6"/>
  <c r="AI89" i="6"/>
  <c r="AH89" i="6"/>
  <c r="AF89" i="6"/>
  <c r="AG89" i="6" s="1"/>
  <c r="AE89" i="6"/>
  <c r="AC89" i="6"/>
  <c r="AB89" i="6"/>
  <c r="Y89" i="6"/>
  <c r="W89" i="6" s="1"/>
  <c r="X89" i="6"/>
  <c r="U89" i="6"/>
  <c r="V89" i="6" s="1"/>
  <c r="S89" i="6"/>
  <c r="R89" i="6"/>
  <c r="T89" i="6" s="1"/>
  <c r="Q89" i="6"/>
  <c r="P89" i="6"/>
  <c r="O89" i="6"/>
  <c r="N89" i="6"/>
  <c r="J89" i="6"/>
  <c r="I89" i="6"/>
  <c r="H89" i="6"/>
  <c r="G89" i="6"/>
  <c r="F89" i="6"/>
  <c r="B89" i="6"/>
  <c r="A89" i="6"/>
  <c r="CB88" i="6"/>
  <c r="CA88" i="6"/>
  <c r="BZ88" i="6"/>
  <c r="BX88" i="6" s="1"/>
  <c r="BY88" i="6"/>
  <c r="BW88" i="6"/>
  <c r="BS88" i="6"/>
  <c r="BQ88" i="6" s="1"/>
  <c r="BR88" i="6"/>
  <c r="BP88" i="6"/>
  <c r="BO88" i="6"/>
  <c r="BN88" i="6"/>
  <c r="BM88" i="6"/>
  <c r="BK88" i="6"/>
  <c r="BJ88" i="6"/>
  <c r="BU88" i="6" s="1"/>
  <c r="BH88" i="6"/>
  <c r="BA88" i="6"/>
  <c r="AY88" i="6" s="1"/>
  <c r="AZ88" i="6"/>
  <c r="AX88" i="6"/>
  <c r="AW88" i="6"/>
  <c r="BD88" i="6" s="1"/>
  <c r="AV88" i="6"/>
  <c r="BC88" i="6" s="1"/>
  <c r="BF88" i="6" s="1"/>
  <c r="AT88" i="6"/>
  <c r="AS88" i="6"/>
  <c r="AQ88" i="6" s="1"/>
  <c r="AR88" i="6"/>
  <c r="AP88" i="6"/>
  <c r="AJ88" i="6"/>
  <c r="AF88" i="6"/>
  <c r="AH88" i="6" s="1"/>
  <c r="AE88" i="6"/>
  <c r="AL88" i="6" s="1"/>
  <c r="AC88" i="6"/>
  <c r="AB88" i="6"/>
  <c r="Y88" i="6"/>
  <c r="W88" i="6" s="1"/>
  <c r="X88" i="6"/>
  <c r="U88" i="6"/>
  <c r="R88" i="6"/>
  <c r="S88" i="6" s="1"/>
  <c r="Q88" i="6"/>
  <c r="P88" i="6"/>
  <c r="O88" i="6"/>
  <c r="L88" i="6"/>
  <c r="K88" i="6"/>
  <c r="J88" i="6"/>
  <c r="F88" i="6"/>
  <c r="E88" i="6"/>
  <c r="D88" i="6"/>
  <c r="C88" i="6"/>
  <c r="B88" i="6"/>
  <c r="A88" i="6"/>
  <c r="CB87" i="6"/>
  <c r="CA87" i="6"/>
  <c r="BZ87" i="6"/>
  <c r="BY87" i="6"/>
  <c r="BX87" i="6" s="1"/>
  <c r="BW87" i="6"/>
  <c r="BS87" i="6"/>
  <c r="BR87" i="6"/>
  <c r="BQ87" i="6" s="1"/>
  <c r="BT87" i="6" s="1"/>
  <c r="BP87" i="6"/>
  <c r="BO87" i="6"/>
  <c r="BN87" i="6"/>
  <c r="BL87" i="6"/>
  <c r="BK87" i="6"/>
  <c r="BJ87" i="6"/>
  <c r="BI87" i="6" s="1"/>
  <c r="BH87" i="6"/>
  <c r="BA87" i="6"/>
  <c r="BD87" i="6" s="1"/>
  <c r="AZ87" i="6"/>
  <c r="AY87" i="6"/>
  <c r="BB87" i="6" s="1"/>
  <c r="BE87" i="6" s="1"/>
  <c r="AX87" i="6"/>
  <c r="AW87" i="6"/>
  <c r="AV87" i="6"/>
  <c r="AU87" i="6" s="1"/>
  <c r="AT87" i="6"/>
  <c r="AS87" i="6"/>
  <c r="AR87" i="6"/>
  <c r="AQ87" i="6" s="1"/>
  <c r="AP87" i="6"/>
  <c r="AL87" i="6"/>
  <c r="AJ87" i="6"/>
  <c r="AF87" i="6"/>
  <c r="AE87" i="6"/>
  <c r="AD87" i="6"/>
  <c r="AK87" i="6" s="1"/>
  <c r="AC87" i="6"/>
  <c r="AH87" i="6" s="1"/>
  <c r="AB87" i="6"/>
  <c r="AA87" i="6"/>
  <c r="Z87" i="6"/>
  <c r="Y87" i="6"/>
  <c r="X87" i="6"/>
  <c r="W87" i="6" s="1"/>
  <c r="U87" i="6"/>
  <c r="T87" i="6"/>
  <c r="S87" i="6"/>
  <c r="R87" i="6"/>
  <c r="P87" i="6" s="1"/>
  <c r="Q87" i="6"/>
  <c r="O87" i="6"/>
  <c r="J87" i="6"/>
  <c r="L87" i="6" s="1"/>
  <c r="I87" i="6"/>
  <c r="H87" i="6"/>
  <c r="G87" i="6"/>
  <c r="F87" i="6"/>
  <c r="C87" i="6"/>
  <c r="B87" i="6"/>
  <c r="A87" i="6"/>
  <c r="CB86" i="6"/>
  <c r="CA86" i="6"/>
  <c r="BZ86" i="6"/>
  <c r="BX86" i="6" s="1"/>
  <c r="BY86" i="6"/>
  <c r="BW86" i="6"/>
  <c r="BS86" i="6"/>
  <c r="BQ86" i="6" s="1"/>
  <c r="BT86" i="6" s="1"/>
  <c r="BR86" i="6"/>
  <c r="BP86" i="6"/>
  <c r="BO86" i="6"/>
  <c r="BV86" i="6" s="1"/>
  <c r="BN86" i="6"/>
  <c r="BU86" i="6" s="1"/>
  <c r="BK86" i="6"/>
  <c r="BI86" i="6" s="1"/>
  <c r="BJ86" i="6"/>
  <c r="BH86" i="6"/>
  <c r="BE86" i="6"/>
  <c r="BD86" i="6"/>
  <c r="BA86" i="6"/>
  <c r="AY86" i="6" s="1"/>
  <c r="BB86" i="6" s="1"/>
  <c r="AZ86" i="6"/>
  <c r="AX86" i="6"/>
  <c r="AW86" i="6"/>
  <c r="AU86" i="6" s="1"/>
  <c r="AV86" i="6"/>
  <c r="BC86" i="6" s="1"/>
  <c r="AT86" i="6"/>
  <c r="AS86" i="6"/>
  <c r="AQ86" i="6" s="1"/>
  <c r="AR86" i="6"/>
  <c r="AP86" i="6"/>
  <c r="AJ86" i="6"/>
  <c r="AH86" i="6"/>
  <c r="AG86" i="6"/>
  <c r="AF86" i="6"/>
  <c r="AD86" i="6" s="1"/>
  <c r="AK86" i="6" s="1"/>
  <c r="AE86" i="6"/>
  <c r="AB86" i="6"/>
  <c r="AC86" i="6" s="1"/>
  <c r="Y86" i="6"/>
  <c r="AA86" i="6" s="1"/>
  <c r="X86" i="6"/>
  <c r="W86" i="6"/>
  <c r="U86" i="6"/>
  <c r="R86" i="6"/>
  <c r="Q86" i="6"/>
  <c r="P86" i="6" s="1"/>
  <c r="O86" i="6"/>
  <c r="L86" i="6"/>
  <c r="K86" i="6"/>
  <c r="J86" i="6"/>
  <c r="G86" i="6"/>
  <c r="F86" i="6"/>
  <c r="E86" i="6"/>
  <c r="D86" i="6"/>
  <c r="C86" i="6"/>
  <c r="B86" i="6"/>
  <c r="A86" i="6"/>
  <c r="CB85" i="6"/>
  <c r="CA85" i="6"/>
  <c r="BZ85" i="6"/>
  <c r="BX85" i="6" s="1"/>
  <c r="BY85" i="6"/>
  <c r="BW85" i="6"/>
  <c r="BS85" i="6"/>
  <c r="BV85" i="6" s="1"/>
  <c r="BR85" i="6"/>
  <c r="BQ85" i="6"/>
  <c r="BT85" i="6" s="1"/>
  <c r="BP85" i="6"/>
  <c r="BO85" i="6"/>
  <c r="BM85" i="6" s="1"/>
  <c r="BN85" i="6"/>
  <c r="BL85" i="6"/>
  <c r="BK85" i="6"/>
  <c r="BI85" i="6" s="1"/>
  <c r="BJ85" i="6"/>
  <c r="BH85" i="6"/>
  <c r="BC85" i="6"/>
  <c r="BA85" i="6"/>
  <c r="AZ85" i="6"/>
  <c r="AX85" i="6"/>
  <c r="AW85" i="6"/>
  <c r="AV85" i="6"/>
  <c r="AU85" i="6"/>
  <c r="AT85" i="6"/>
  <c r="AS85" i="6"/>
  <c r="AQ85" i="6" s="1"/>
  <c r="AR85" i="6"/>
  <c r="AP85" i="6"/>
  <c r="AM85" i="6"/>
  <c r="AL85" i="6"/>
  <c r="AJ85" i="6"/>
  <c r="AF85" i="6"/>
  <c r="AE85" i="6"/>
  <c r="AD85" i="6" s="1"/>
  <c r="AK85" i="6" s="1"/>
  <c r="AB85" i="6"/>
  <c r="AC85" i="6" s="1"/>
  <c r="AA85" i="6"/>
  <c r="Y85" i="6"/>
  <c r="Z85" i="6" s="1"/>
  <c r="X85" i="6"/>
  <c r="W85" i="6"/>
  <c r="U85" i="6"/>
  <c r="T85" i="6"/>
  <c r="S85" i="6"/>
  <c r="R85" i="6"/>
  <c r="P85" i="6" s="1"/>
  <c r="Q85" i="6"/>
  <c r="O85" i="6"/>
  <c r="L85" i="6"/>
  <c r="K85" i="6"/>
  <c r="J85" i="6"/>
  <c r="I85" i="6"/>
  <c r="H85" i="6"/>
  <c r="F85" i="6"/>
  <c r="G85" i="6" s="1"/>
  <c r="B85" i="6"/>
  <c r="E85" i="6" s="1"/>
  <c r="A85" i="6"/>
  <c r="CB84" i="6"/>
  <c r="CA84" i="6"/>
  <c r="BZ84" i="6"/>
  <c r="BY84" i="6"/>
  <c r="BX84" i="6"/>
  <c r="BW84" i="6"/>
  <c r="BV84" i="6"/>
  <c r="BS84" i="6"/>
  <c r="BQ84" i="6" s="1"/>
  <c r="BT84" i="6" s="1"/>
  <c r="BR84" i="6"/>
  <c r="BP84" i="6"/>
  <c r="BO84" i="6"/>
  <c r="BM84" i="6" s="1"/>
  <c r="BN84" i="6"/>
  <c r="BU84" i="6" s="1"/>
  <c r="BK84" i="6"/>
  <c r="BI84" i="6" s="1"/>
  <c r="BJ84" i="6"/>
  <c r="BH84" i="6"/>
  <c r="BE84" i="6"/>
  <c r="BD84" i="6"/>
  <c r="BA84" i="6"/>
  <c r="AZ84" i="6"/>
  <c r="AY84" i="6"/>
  <c r="BB84" i="6" s="1"/>
  <c r="AX84" i="6"/>
  <c r="AW84" i="6"/>
  <c r="AU84" i="6" s="1"/>
  <c r="AV84" i="6"/>
  <c r="BC84" i="6" s="1"/>
  <c r="AT84" i="6"/>
  <c r="AS84" i="6"/>
  <c r="AR84" i="6"/>
  <c r="AQ84" i="6"/>
  <c r="AP84" i="6"/>
  <c r="AJ84" i="6"/>
  <c r="AI84" i="6"/>
  <c r="AF84" i="6"/>
  <c r="AE84" i="6"/>
  <c r="AC84" i="6"/>
  <c r="AB84" i="6"/>
  <c r="Y84" i="6"/>
  <c r="W84" i="6" s="1"/>
  <c r="X84" i="6"/>
  <c r="U84" i="6"/>
  <c r="R84" i="6"/>
  <c r="Q84" i="6"/>
  <c r="O84" i="6"/>
  <c r="L84" i="6"/>
  <c r="J84" i="6"/>
  <c r="K84" i="6" s="1"/>
  <c r="H84" i="6"/>
  <c r="G84" i="6"/>
  <c r="F84" i="6"/>
  <c r="I84" i="6" s="1"/>
  <c r="E84" i="6"/>
  <c r="D84" i="6"/>
  <c r="B84" i="6"/>
  <c r="C84" i="6" s="1"/>
  <c r="A84" i="6"/>
  <c r="CB83" i="6"/>
  <c r="CA83" i="6"/>
  <c r="BZ83" i="6"/>
  <c r="BX83" i="6" s="1"/>
  <c r="BY83" i="6"/>
  <c r="BW83" i="6"/>
  <c r="BS83" i="6"/>
  <c r="BR83" i="6"/>
  <c r="BU83" i="6" s="1"/>
  <c r="BQ83" i="6"/>
  <c r="BT83" i="6" s="1"/>
  <c r="BP83" i="6"/>
  <c r="BO83" i="6"/>
  <c r="BM83" i="6" s="1"/>
  <c r="BN83" i="6"/>
  <c r="BK83" i="6"/>
  <c r="BI83" i="6" s="1"/>
  <c r="BJ83" i="6"/>
  <c r="BH83" i="6"/>
  <c r="BA83" i="6"/>
  <c r="AZ83" i="6"/>
  <c r="AX83" i="6"/>
  <c r="AW83" i="6"/>
  <c r="AV83" i="6"/>
  <c r="AU83" i="6"/>
  <c r="AT83" i="6"/>
  <c r="AS83" i="6"/>
  <c r="AR83" i="6"/>
  <c r="BC83" i="6" s="1"/>
  <c r="BF83" i="6" s="1"/>
  <c r="AP83" i="6"/>
  <c r="AM83" i="6"/>
  <c r="AJ83" i="6"/>
  <c r="AF83" i="6"/>
  <c r="AE83" i="6"/>
  <c r="AL83" i="6" s="1"/>
  <c r="AD83" i="6"/>
  <c r="AK83" i="6" s="1"/>
  <c r="AC83" i="6"/>
  <c r="AB83" i="6"/>
  <c r="AA83" i="6"/>
  <c r="Z83" i="6"/>
  <c r="Y83" i="6"/>
  <c r="X83" i="6"/>
  <c r="W83" i="6"/>
  <c r="U83" i="6"/>
  <c r="T83" i="6"/>
  <c r="S83" i="6"/>
  <c r="R83" i="6"/>
  <c r="P83" i="6" s="1"/>
  <c r="Q83" i="6"/>
  <c r="O83" i="6"/>
  <c r="J83" i="6"/>
  <c r="L83" i="6" s="1"/>
  <c r="I83" i="6"/>
  <c r="H83" i="6"/>
  <c r="G83" i="6"/>
  <c r="F83" i="6"/>
  <c r="C83" i="6"/>
  <c r="B83" i="6"/>
  <c r="E83" i="6" s="1"/>
  <c r="A83" i="6"/>
  <c r="BZ82" i="6"/>
  <c r="BX82" i="6" s="1"/>
  <c r="BY82" i="6"/>
  <c r="BS82" i="6"/>
  <c r="BR82" i="6"/>
  <c r="BU82" i="6" s="1"/>
  <c r="BO82" i="6"/>
  <c r="BM82" i="6" s="1"/>
  <c r="BN82" i="6"/>
  <c r="BL82" i="6"/>
  <c r="BK82" i="6"/>
  <c r="BI82" i="6" s="1"/>
  <c r="BJ82" i="6"/>
  <c r="BA82" i="6"/>
  <c r="AZ82" i="6"/>
  <c r="BC82" i="6" s="1"/>
  <c r="AW82" i="6"/>
  <c r="AU82" i="6" s="1"/>
  <c r="AV82" i="6"/>
  <c r="AS82" i="6"/>
  <c r="AR82" i="6"/>
  <c r="AQ82" i="6"/>
  <c r="AJ82" i="6"/>
  <c r="AI82" i="6"/>
  <c r="AF82" i="6"/>
  <c r="AE82" i="6"/>
  <c r="AB82" i="6"/>
  <c r="AC82" i="6" s="1"/>
  <c r="AG82" i="6" s="1"/>
  <c r="Y82" i="6"/>
  <c r="W82" i="6" s="1"/>
  <c r="X82" i="6"/>
  <c r="V82" i="6"/>
  <c r="U82" i="6"/>
  <c r="R82" i="6"/>
  <c r="P82" i="6" s="1"/>
  <c r="Q82" i="6"/>
  <c r="O82" i="6"/>
  <c r="N82" i="6"/>
  <c r="K82" i="6"/>
  <c r="J82" i="6"/>
  <c r="L82" i="6" s="1"/>
  <c r="I82" i="6"/>
  <c r="H82" i="6"/>
  <c r="G82" i="6"/>
  <c r="F82" i="6"/>
  <c r="C82" i="6"/>
  <c r="B82" i="6"/>
  <c r="A82" i="6"/>
  <c r="BZ81" i="6"/>
  <c r="BX81" i="6" s="1"/>
  <c r="BY81" i="6"/>
  <c r="BS81" i="6"/>
  <c r="BV81" i="6" s="1"/>
  <c r="BR81" i="6"/>
  <c r="BU81" i="6" s="1"/>
  <c r="BQ81" i="6"/>
  <c r="BT81" i="6" s="1"/>
  <c r="BO81" i="6"/>
  <c r="BM81" i="6" s="1"/>
  <c r="BN81" i="6"/>
  <c r="BK81" i="6"/>
  <c r="BJ81" i="6"/>
  <c r="BI81" i="6"/>
  <c r="BA81" i="6"/>
  <c r="BD81" i="6" s="1"/>
  <c r="AZ81" i="6"/>
  <c r="BC81" i="6" s="1"/>
  <c r="AW81" i="6"/>
  <c r="AU81" i="6" s="1"/>
  <c r="AV81" i="6"/>
  <c r="AS81" i="6"/>
  <c r="AR81" i="6"/>
  <c r="AQ81" i="6"/>
  <c r="AJ81" i="6"/>
  <c r="AF81" i="6"/>
  <c r="AD81" i="6" s="1"/>
  <c r="AE81" i="6"/>
  <c r="AL81" i="6" s="1"/>
  <c r="BF81" i="6" s="1"/>
  <c r="AC81" i="6"/>
  <c r="AB81" i="6"/>
  <c r="Z81" i="6"/>
  <c r="Y81" i="6"/>
  <c r="AA81" i="6" s="1"/>
  <c r="X81" i="6"/>
  <c r="W81" i="6"/>
  <c r="V81" i="6"/>
  <c r="U81" i="6"/>
  <c r="R81" i="6"/>
  <c r="Q81" i="6"/>
  <c r="O81" i="6"/>
  <c r="AI81" i="6" s="1"/>
  <c r="N81" i="6"/>
  <c r="L81" i="6"/>
  <c r="K81" i="6"/>
  <c r="J81" i="6"/>
  <c r="I81" i="6"/>
  <c r="H81" i="6"/>
  <c r="G81" i="6"/>
  <c r="F81" i="6"/>
  <c r="E81" i="6"/>
  <c r="D81" i="6"/>
  <c r="C81" i="6"/>
  <c r="B81" i="6"/>
  <c r="A81" i="6"/>
  <c r="BZ80" i="6"/>
  <c r="BX80" i="6" s="1"/>
  <c r="BY80" i="6"/>
  <c r="BS80" i="6"/>
  <c r="BR80" i="6"/>
  <c r="BQ80" i="6"/>
  <c r="BO80" i="6"/>
  <c r="BN80" i="6"/>
  <c r="BL80" i="6"/>
  <c r="BK80" i="6"/>
  <c r="BJ80" i="6"/>
  <c r="BI80" i="6"/>
  <c r="BA80" i="6"/>
  <c r="AZ80" i="6"/>
  <c r="BC80" i="6" s="1"/>
  <c r="AW80" i="6"/>
  <c r="AV80" i="6"/>
  <c r="AS80" i="6"/>
  <c r="AQ80" i="6" s="1"/>
  <c r="AR80" i="6"/>
  <c r="AJ80" i="6"/>
  <c r="AF80" i="6"/>
  <c r="AH80" i="6" s="1"/>
  <c r="AE80" i="6"/>
  <c r="AL80" i="6" s="1"/>
  <c r="BF80" i="6" s="1"/>
  <c r="AC80" i="6"/>
  <c r="AB80" i="6"/>
  <c r="Y80" i="6"/>
  <c r="W80" i="6" s="1"/>
  <c r="X80" i="6"/>
  <c r="V80" i="6"/>
  <c r="U80" i="6"/>
  <c r="R80" i="6"/>
  <c r="Q80" i="6"/>
  <c r="P80" i="6" s="1"/>
  <c r="O80" i="6"/>
  <c r="N80" i="6"/>
  <c r="L80" i="6"/>
  <c r="K80" i="6"/>
  <c r="J80" i="6"/>
  <c r="H80" i="6"/>
  <c r="G80" i="6"/>
  <c r="F80" i="6"/>
  <c r="I80" i="6" s="1"/>
  <c r="E80" i="6"/>
  <c r="D80" i="6"/>
  <c r="C80" i="6"/>
  <c r="B80" i="6"/>
  <c r="A80" i="6"/>
  <c r="BZ79" i="6"/>
  <c r="BX79" i="6" s="1"/>
  <c r="BY79" i="6"/>
  <c r="BS79" i="6"/>
  <c r="BR79" i="6"/>
  <c r="BQ79" i="6"/>
  <c r="BO79" i="6"/>
  <c r="BV79" i="6" s="1"/>
  <c r="BN79" i="6"/>
  <c r="BU79" i="6" s="1"/>
  <c r="BM79" i="6"/>
  <c r="BL79" i="6"/>
  <c r="BK79" i="6"/>
  <c r="BI79" i="6" s="1"/>
  <c r="BJ79" i="6"/>
  <c r="BD79" i="6"/>
  <c r="BG79" i="6" s="1"/>
  <c r="BA79" i="6"/>
  <c r="AZ79" i="6"/>
  <c r="AY79" i="6"/>
  <c r="AW79" i="6"/>
  <c r="AV79" i="6"/>
  <c r="BC79" i="6" s="1"/>
  <c r="AU79" i="6"/>
  <c r="AS79" i="6"/>
  <c r="AQ79" i="6" s="1"/>
  <c r="AR79" i="6"/>
  <c r="AJ79" i="6"/>
  <c r="AF79" i="6"/>
  <c r="AM79" i="6" s="1"/>
  <c r="AE79" i="6"/>
  <c r="AL79" i="6" s="1"/>
  <c r="BF79" i="6" s="1"/>
  <c r="AC79" i="6"/>
  <c r="AB79" i="6"/>
  <c r="Y79" i="6"/>
  <c r="X79" i="6"/>
  <c r="W79" i="6" s="1"/>
  <c r="U79" i="6"/>
  <c r="V79" i="6" s="1"/>
  <c r="R79" i="6"/>
  <c r="Q79" i="6"/>
  <c r="P79" i="6"/>
  <c r="O79" i="6"/>
  <c r="N79" i="6"/>
  <c r="L79" i="6"/>
  <c r="K79" i="6"/>
  <c r="J79" i="6"/>
  <c r="F79" i="6"/>
  <c r="E79" i="6"/>
  <c r="D79" i="6"/>
  <c r="C79" i="6"/>
  <c r="B79" i="6"/>
  <c r="A79" i="6"/>
  <c r="BZ78" i="6"/>
  <c r="BY78" i="6"/>
  <c r="BX78" i="6"/>
  <c r="BS78" i="6"/>
  <c r="BQ78" i="6" s="1"/>
  <c r="BR78" i="6"/>
  <c r="BO78" i="6"/>
  <c r="BV78" i="6" s="1"/>
  <c r="BN78" i="6"/>
  <c r="BU78" i="6" s="1"/>
  <c r="BK78" i="6"/>
  <c r="BI78" i="6" s="1"/>
  <c r="BJ78" i="6"/>
  <c r="BA78" i="6"/>
  <c r="AY78" i="6" s="1"/>
  <c r="BB78" i="6" s="1"/>
  <c r="BE78" i="6" s="1"/>
  <c r="AZ78" i="6"/>
  <c r="AW78" i="6"/>
  <c r="AV78" i="6"/>
  <c r="AU78" i="6" s="1"/>
  <c r="AS78" i="6"/>
  <c r="AQ78" i="6" s="1"/>
  <c r="AR78" i="6"/>
  <c r="AL78" i="6"/>
  <c r="AK78" i="6"/>
  <c r="AJ78" i="6"/>
  <c r="AF78" i="6"/>
  <c r="AM78" i="6" s="1"/>
  <c r="AE78" i="6"/>
  <c r="AD78" i="6"/>
  <c r="AB78" i="6"/>
  <c r="AC78" i="6" s="1"/>
  <c r="AA78" i="6"/>
  <c r="Y78" i="6"/>
  <c r="W78" i="6" s="1"/>
  <c r="X78" i="6"/>
  <c r="V78" i="6"/>
  <c r="Z78" i="6" s="1"/>
  <c r="U78" i="6"/>
  <c r="R78" i="6"/>
  <c r="P78" i="6" s="1"/>
  <c r="Q78" i="6"/>
  <c r="N78" i="6"/>
  <c r="O78" i="6" s="1"/>
  <c r="T78" i="6" s="1"/>
  <c r="L78" i="6"/>
  <c r="K78" i="6"/>
  <c r="J78" i="6"/>
  <c r="I78" i="6"/>
  <c r="H78" i="6"/>
  <c r="G78" i="6"/>
  <c r="F78" i="6"/>
  <c r="E78" i="6"/>
  <c r="D78" i="6"/>
  <c r="C78" i="6"/>
  <c r="B78" i="6"/>
  <c r="A78" i="6"/>
  <c r="BZ77" i="6"/>
  <c r="BX77" i="6" s="1"/>
  <c r="BY77" i="6"/>
  <c r="BV77" i="6"/>
  <c r="BS77" i="6"/>
  <c r="BQ77" i="6" s="1"/>
  <c r="BR77" i="6"/>
  <c r="BO77" i="6"/>
  <c r="BN77" i="6"/>
  <c r="BM77" i="6"/>
  <c r="BL77" i="6"/>
  <c r="BK77" i="6"/>
  <c r="BJ77" i="6"/>
  <c r="BU77" i="6" s="1"/>
  <c r="BA77" i="6"/>
  <c r="AY77" i="6" s="1"/>
  <c r="AZ77" i="6"/>
  <c r="AW77" i="6"/>
  <c r="AV77" i="6"/>
  <c r="AU77" i="6"/>
  <c r="BB77" i="6" s="1"/>
  <c r="AS77" i="6"/>
  <c r="AQ77" i="6" s="1"/>
  <c r="AR77" i="6"/>
  <c r="BC77" i="6" s="1"/>
  <c r="BF77" i="6" s="1"/>
  <c r="AJ77" i="6"/>
  <c r="AH77" i="6"/>
  <c r="AF77" i="6"/>
  <c r="AM77" i="6" s="1"/>
  <c r="AE77" i="6"/>
  <c r="AL77" i="6" s="1"/>
  <c r="AC77" i="6"/>
  <c r="AG77" i="6" s="1"/>
  <c r="AB77" i="6"/>
  <c r="Y77" i="6"/>
  <c r="W77" i="6" s="1"/>
  <c r="X77" i="6"/>
  <c r="U77" i="6"/>
  <c r="V77" i="6" s="1"/>
  <c r="AA77" i="6" s="1"/>
  <c r="T77" i="6"/>
  <c r="S77" i="6"/>
  <c r="R77" i="6"/>
  <c r="P77" i="6" s="1"/>
  <c r="Q77" i="6"/>
  <c r="O77" i="6"/>
  <c r="N77" i="6"/>
  <c r="L77" i="6"/>
  <c r="K77" i="6"/>
  <c r="J77" i="6"/>
  <c r="I77" i="6"/>
  <c r="H77" i="6"/>
  <c r="G77" i="6"/>
  <c r="F77" i="6"/>
  <c r="B77" i="6"/>
  <c r="E77" i="6" s="1"/>
  <c r="A77" i="6"/>
  <c r="BZ76" i="6"/>
  <c r="BX76" i="6" s="1"/>
  <c r="BY76" i="6"/>
  <c r="BS76" i="6"/>
  <c r="BR76" i="6"/>
  <c r="BU76" i="6" s="1"/>
  <c r="BO76" i="6"/>
  <c r="BM76" i="6" s="1"/>
  <c r="BN76" i="6"/>
  <c r="BK76" i="6"/>
  <c r="BI76" i="6" s="1"/>
  <c r="BJ76" i="6"/>
  <c r="BA76" i="6"/>
  <c r="BD76" i="6" s="1"/>
  <c r="AZ76" i="6"/>
  <c r="BC76" i="6" s="1"/>
  <c r="BF76" i="6" s="1"/>
  <c r="AW76" i="6"/>
  <c r="AU76" i="6" s="1"/>
  <c r="AV76" i="6"/>
  <c r="AS76" i="6"/>
  <c r="AR76" i="6"/>
  <c r="AQ76" i="6"/>
  <c r="AJ76" i="6"/>
  <c r="AI76" i="6"/>
  <c r="AF76" i="6"/>
  <c r="AE76" i="6"/>
  <c r="AL76" i="6" s="1"/>
  <c r="AC76" i="6"/>
  <c r="AB76" i="6"/>
  <c r="AA76" i="6"/>
  <c r="Z76" i="6"/>
  <c r="Y76" i="6"/>
  <c r="W76" i="6" s="1"/>
  <c r="X76" i="6"/>
  <c r="V76" i="6"/>
  <c r="U76" i="6"/>
  <c r="R76" i="6"/>
  <c r="T76" i="6" s="1"/>
  <c r="Q76" i="6"/>
  <c r="O76" i="6"/>
  <c r="N76" i="6"/>
  <c r="J76" i="6"/>
  <c r="I76" i="6"/>
  <c r="H76" i="6"/>
  <c r="G76" i="6"/>
  <c r="F76" i="6"/>
  <c r="B76" i="6"/>
  <c r="A76" i="6"/>
  <c r="BZ75" i="6"/>
  <c r="BY75" i="6"/>
  <c r="BS75" i="6"/>
  <c r="BV75" i="6" s="1"/>
  <c r="BR75" i="6"/>
  <c r="BU75" i="6" s="1"/>
  <c r="BQ75" i="6"/>
  <c r="BT75" i="6" s="1"/>
  <c r="BO75" i="6"/>
  <c r="BM75" i="6" s="1"/>
  <c r="BN75" i="6"/>
  <c r="BK75" i="6"/>
  <c r="BJ75" i="6"/>
  <c r="BI75" i="6"/>
  <c r="BA75" i="6"/>
  <c r="AZ75" i="6"/>
  <c r="AY75" i="6" s="1"/>
  <c r="AW75" i="6"/>
  <c r="AV75" i="6"/>
  <c r="AS75" i="6"/>
  <c r="AQ75" i="6" s="1"/>
  <c r="AR75" i="6"/>
  <c r="AJ75" i="6"/>
  <c r="AF75" i="6"/>
  <c r="AH75" i="6" s="1"/>
  <c r="AE75" i="6"/>
  <c r="AL75" i="6" s="1"/>
  <c r="AD75" i="6"/>
  <c r="AC75" i="6"/>
  <c r="AB75" i="6"/>
  <c r="Y75" i="6"/>
  <c r="X75" i="6"/>
  <c r="W75" i="6"/>
  <c r="V75" i="6"/>
  <c r="U75" i="6"/>
  <c r="R75" i="6"/>
  <c r="Q75" i="6"/>
  <c r="P75" i="6" s="1"/>
  <c r="O75" i="6"/>
  <c r="N75" i="6"/>
  <c r="L75" i="6"/>
  <c r="K75" i="6"/>
  <c r="J75" i="6"/>
  <c r="H75" i="6"/>
  <c r="G75" i="6"/>
  <c r="F75" i="6"/>
  <c r="I75" i="6" s="1"/>
  <c r="E75" i="6"/>
  <c r="D75" i="6"/>
  <c r="C75" i="6"/>
  <c r="B75" i="6"/>
  <c r="A75" i="6"/>
  <c r="BZ74" i="6"/>
  <c r="BX74" i="6" s="1"/>
  <c r="BY74" i="6"/>
  <c r="BS74" i="6"/>
  <c r="BR74" i="6"/>
  <c r="BQ74" i="6"/>
  <c r="BO74" i="6"/>
  <c r="BV74" i="6" s="1"/>
  <c r="BN74" i="6"/>
  <c r="BU74" i="6" s="1"/>
  <c r="BL74" i="6"/>
  <c r="BK74" i="6"/>
  <c r="BI74" i="6" s="1"/>
  <c r="BJ74" i="6"/>
  <c r="BD74" i="6"/>
  <c r="BA74" i="6"/>
  <c r="AZ74" i="6"/>
  <c r="AY74" i="6"/>
  <c r="AW74" i="6"/>
  <c r="AV74" i="6"/>
  <c r="BC74" i="6" s="1"/>
  <c r="AU74" i="6"/>
  <c r="AS74" i="6"/>
  <c r="AQ74" i="6" s="1"/>
  <c r="AR74" i="6"/>
  <c r="AJ74" i="6"/>
  <c r="AF74" i="6"/>
  <c r="AE74" i="6"/>
  <c r="AL74" i="6" s="1"/>
  <c r="BF74" i="6" s="1"/>
  <c r="AD74" i="6"/>
  <c r="AK74" i="6" s="1"/>
  <c r="AC74" i="6"/>
  <c r="AB74" i="6"/>
  <c r="Y74" i="6"/>
  <c r="X74" i="6"/>
  <c r="W74" i="6"/>
  <c r="V74" i="6"/>
  <c r="U74" i="6"/>
  <c r="R74" i="6"/>
  <c r="Q74" i="6"/>
  <c r="P74" i="6"/>
  <c r="O74" i="6"/>
  <c r="N74" i="6"/>
  <c r="L74" i="6"/>
  <c r="K74" i="6"/>
  <c r="J74" i="6"/>
  <c r="G74" i="6"/>
  <c r="F74" i="6"/>
  <c r="E74" i="6"/>
  <c r="D74" i="6"/>
  <c r="C74" i="6"/>
  <c r="B74" i="6"/>
  <c r="A74" i="6"/>
  <c r="BZ73" i="6"/>
  <c r="BY73" i="6"/>
  <c r="BX73" i="6" s="1"/>
  <c r="BS73" i="6"/>
  <c r="BQ73" i="6" s="1"/>
  <c r="BR73" i="6"/>
  <c r="BO73" i="6"/>
  <c r="BV73" i="6" s="1"/>
  <c r="BN73" i="6"/>
  <c r="BU73" i="6" s="1"/>
  <c r="BM73" i="6"/>
  <c r="BK73" i="6"/>
  <c r="BI73" i="6" s="1"/>
  <c r="BJ73" i="6"/>
  <c r="BA73" i="6"/>
  <c r="AY73" i="6" s="1"/>
  <c r="AZ73" i="6"/>
  <c r="AW73" i="6"/>
  <c r="AV73" i="6"/>
  <c r="AU73" i="6" s="1"/>
  <c r="AS73" i="6"/>
  <c r="AR73" i="6"/>
  <c r="BC73" i="6" s="1"/>
  <c r="BF73" i="6" s="1"/>
  <c r="AL73" i="6"/>
  <c r="AJ73" i="6"/>
  <c r="AF73" i="6"/>
  <c r="AM73" i="6" s="1"/>
  <c r="AE73" i="6"/>
  <c r="AD73" i="6"/>
  <c r="AB73" i="6"/>
  <c r="AC73" i="6" s="1"/>
  <c r="AA73" i="6"/>
  <c r="Y73" i="6"/>
  <c r="W73" i="6" s="1"/>
  <c r="AK73" i="6" s="1"/>
  <c r="X73" i="6"/>
  <c r="V73" i="6"/>
  <c r="Z73" i="6" s="1"/>
  <c r="U73" i="6"/>
  <c r="R73" i="6"/>
  <c r="P73" i="6" s="1"/>
  <c r="Q73" i="6"/>
  <c r="N73" i="6"/>
  <c r="O73" i="6" s="1"/>
  <c r="T73" i="6" s="1"/>
  <c r="L73" i="6"/>
  <c r="K73" i="6"/>
  <c r="J73" i="6"/>
  <c r="I73" i="6"/>
  <c r="H73" i="6"/>
  <c r="G73" i="6"/>
  <c r="F73" i="6"/>
  <c r="E73" i="6"/>
  <c r="D73" i="6"/>
  <c r="C73" i="6"/>
  <c r="B73" i="6"/>
  <c r="A73" i="6"/>
  <c r="BZ72" i="6"/>
  <c r="BX72" i="6" s="1"/>
  <c r="BY72" i="6"/>
  <c r="BU72" i="6"/>
  <c r="BT72" i="6"/>
  <c r="BS72" i="6"/>
  <c r="BQ72" i="6" s="1"/>
  <c r="BR72" i="6"/>
  <c r="BO72" i="6"/>
  <c r="BN72" i="6"/>
  <c r="BM72" i="6"/>
  <c r="BL72" i="6"/>
  <c r="BK72" i="6"/>
  <c r="BI72" i="6" s="1"/>
  <c r="BJ72" i="6"/>
  <c r="BA72" i="6"/>
  <c r="AY72" i="6" s="1"/>
  <c r="BB72" i="6" s="1"/>
  <c r="BE72" i="6" s="1"/>
  <c r="AZ72" i="6"/>
  <c r="AW72" i="6"/>
  <c r="AV72" i="6"/>
  <c r="AU72" i="6"/>
  <c r="AS72" i="6"/>
  <c r="AQ72" i="6" s="1"/>
  <c r="AR72" i="6"/>
  <c r="BC72" i="6" s="1"/>
  <c r="BF72" i="6" s="1"/>
  <c r="AJ72" i="6"/>
  <c r="AI72" i="6"/>
  <c r="AH72" i="6"/>
  <c r="AF72" i="6"/>
  <c r="AM72" i="6" s="1"/>
  <c r="AE72" i="6"/>
  <c r="AL72" i="6" s="1"/>
  <c r="AC72" i="6"/>
  <c r="AG72" i="6" s="1"/>
  <c r="AB72" i="6"/>
  <c r="AA72" i="6"/>
  <c r="Z72" i="6"/>
  <c r="Y72" i="6"/>
  <c r="W72" i="6" s="1"/>
  <c r="X72" i="6"/>
  <c r="U72" i="6"/>
  <c r="V72" i="6" s="1"/>
  <c r="T72" i="6"/>
  <c r="S72" i="6"/>
  <c r="R72" i="6"/>
  <c r="P72" i="6" s="1"/>
  <c r="Q72" i="6"/>
  <c r="O72" i="6"/>
  <c r="N72" i="6"/>
  <c r="L72" i="6"/>
  <c r="K72" i="6"/>
  <c r="J72" i="6"/>
  <c r="I72" i="6"/>
  <c r="H72" i="6"/>
  <c r="G72" i="6"/>
  <c r="F72" i="6"/>
  <c r="D72" i="6"/>
  <c r="C72" i="6"/>
  <c r="B72" i="6"/>
  <c r="E72" i="6" s="1"/>
  <c r="A72" i="6"/>
  <c r="BZ71" i="6"/>
  <c r="BX71" i="6" s="1"/>
  <c r="BY71" i="6"/>
  <c r="BS71" i="6"/>
  <c r="BR71" i="6"/>
  <c r="BU71" i="6" s="1"/>
  <c r="BO71" i="6"/>
  <c r="BM71" i="6" s="1"/>
  <c r="BN71" i="6"/>
  <c r="BL71" i="6"/>
  <c r="BK71" i="6"/>
  <c r="BJ71" i="6"/>
  <c r="BI71" i="6"/>
  <c r="BA71" i="6"/>
  <c r="AZ71" i="6"/>
  <c r="AW71" i="6"/>
  <c r="AU71" i="6" s="1"/>
  <c r="AV71" i="6"/>
  <c r="AS71" i="6"/>
  <c r="AR71" i="6"/>
  <c r="BC71" i="6" s="1"/>
  <c r="BF71" i="6" s="1"/>
  <c r="AJ71" i="6"/>
  <c r="AF71" i="6"/>
  <c r="AE71" i="6"/>
  <c r="AL71" i="6" s="1"/>
  <c r="AB71" i="6"/>
  <c r="AC71" i="6" s="1"/>
  <c r="AI71" i="6" s="1"/>
  <c r="AA71" i="6"/>
  <c r="Z71" i="6"/>
  <c r="Y71" i="6"/>
  <c r="W71" i="6" s="1"/>
  <c r="X71" i="6"/>
  <c r="V71" i="6"/>
  <c r="U71" i="6"/>
  <c r="R71" i="6"/>
  <c r="Q71" i="6"/>
  <c r="O71" i="6"/>
  <c r="N71" i="6"/>
  <c r="J71" i="6"/>
  <c r="L71" i="6" s="1"/>
  <c r="I71" i="6"/>
  <c r="H71" i="6"/>
  <c r="G71" i="6"/>
  <c r="F71" i="6"/>
  <c r="C71" i="6"/>
  <c r="B71" i="6"/>
  <c r="A71" i="6"/>
  <c r="BZ70" i="6"/>
  <c r="BX70" i="6" s="1"/>
  <c r="BY70" i="6"/>
  <c r="BS70" i="6"/>
  <c r="BR70" i="6"/>
  <c r="BO70" i="6"/>
  <c r="BM70" i="6" s="1"/>
  <c r="BN70" i="6"/>
  <c r="BK70" i="6"/>
  <c r="BJ70" i="6"/>
  <c r="BI70" i="6" s="1"/>
  <c r="BA70" i="6"/>
  <c r="AY70" i="6" s="1"/>
  <c r="BB70" i="6" s="1"/>
  <c r="AZ70" i="6"/>
  <c r="BC70" i="6" s="1"/>
  <c r="AW70" i="6"/>
  <c r="AU70" i="6" s="1"/>
  <c r="AV70" i="6"/>
  <c r="AS70" i="6"/>
  <c r="AR70" i="6"/>
  <c r="AQ70" i="6"/>
  <c r="AJ70" i="6"/>
  <c r="AF70" i="6"/>
  <c r="AE70" i="6"/>
  <c r="AC70" i="6"/>
  <c r="AB70" i="6"/>
  <c r="Y70" i="6"/>
  <c r="AA70" i="6" s="1"/>
  <c r="X70" i="6"/>
  <c r="W70" i="6" s="1"/>
  <c r="V70" i="6"/>
  <c r="U70" i="6"/>
  <c r="R70" i="6"/>
  <c r="P70" i="6" s="1"/>
  <c r="Q70" i="6"/>
  <c r="O70" i="6"/>
  <c r="AI70" i="6" s="1"/>
  <c r="L70" i="6"/>
  <c r="K70" i="6"/>
  <c r="J70" i="6"/>
  <c r="H70" i="6"/>
  <c r="G70" i="6"/>
  <c r="F70" i="6"/>
  <c r="I70" i="6" s="1"/>
  <c r="E70" i="6"/>
  <c r="D70" i="6"/>
  <c r="B70" i="6"/>
  <c r="C70" i="6" s="1"/>
  <c r="A70" i="6"/>
  <c r="BZ69" i="6"/>
  <c r="BX69" i="6" s="1"/>
  <c r="BY69" i="6"/>
  <c r="BS69" i="6"/>
  <c r="BR69" i="6"/>
  <c r="BQ69" i="6"/>
  <c r="BT69" i="6" s="1"/>
  <c r="BO69" i="6"/>
  <c r="BV69" i="6" s="1"/>
  <c r="BN69" i="6"/>
  <c r="BU69" i="6" s="1"/>
  <c r="BK69" i="6"/>
  <c r="BI69" i="6" s="1"/>
  <c r="BJ69" i="6"/>
  <c r="BD69" i="6"/>
  <c r="BG69" i="6" s="1"/>
  <c r="BC69" i="6"/>
  <c r="BA69" i="6"/>
  <c r="AY69" i="6" s="1"/>
  <c r="BB69" i="6" s="1"/>
  <c r="BE69" i="6" s="1"/>
  <c r="AZ69" i="6"/>
  <c r="AW69" i="6"/>
  <c r="AU69" i="6" s="1"/>
  <c r="AV69" i="6"/>
  <c r="AS69" i="6"/>
  <c r="AQ69" i="6" s="1"/>
  <c r="AR69" i="6"/>
  <c r="AM69" i="6"/>
  <c r="AL69" i="6"/>
  <c r="AJ69" i="6"/>
  <c r="AF69" i="6"/>
  <c r="AE69" i="6"/>
  <c r="AD69" i="6"/>
  <c r="AK69" i="6" s="1"/>
  <c r="AC69" i="6"/>
  <c r="AB69" i="6"/>
  <c r="Y69" i="6"/>
  <c r="Z69" i="6" s="1"/>
  <c r="X69" i="6"/>
  <c r="W69" i="6"/>
  <c r="V69" i="6"/>
  <c r="AA69" i="6" s="1"/>
  <c r="U69" i="6"/>
  <c r="R69" i="6"/>
  <c r="P69" i="6" s="1"/>
  <c r="Q69" i="6"/>
  <c r="O69" i="6"/>
  <c r="L69" i="6"/>
  <c r="K69" i="6"/>
  <c r="J69" i="6"/>
  <c r="I69" i="6"/>
  <c r="H69" i="6"/>
  <c r="G69" i="6"/>
  <c r="F69" i="6"/>
  <c r="E69" i="6"/>
  <c r="D69" i="6"/>
  <c r="C69" i="6"/>
  <c r="B69" i="6"/>
  <c r="A69" i="6"/>
  <c r="BZ68" i="6"/>
  <c r="BX68" i="6" s="1"/>
  <c r="BY68" i="6"/>
  <c r="BU68" i="6"/>
  <c r="BS68" i="6"/>
  <c r="BQ68" i="6" s="1"/>
  <c r="BR68" i="6"/>
  <c r="BO68" i="6"/>
  <c r="BN68" i="6"/>
  <c r="BM68" i="6"/>
  <c r="BL68" i="6"/>
  <c r="BK68" i="6"/>
  <c r="BJ68" i="6"/>
  <c r="BA68" i="6"/>
  <c r="AY68" i="6" s="1"/>
  <c r="BB68" i="6" s="1"/>
  <c r="AZ68" i="6"/>
  <c r="AW68" i="6"/>
  <c r="AV68" i="6"/>
  <c r="AU68" i="6"/>
  <c r="AS68" i="6"/>
  <c r="AQ68" i="6" s="1"/>
  <c r="AR68" i="6"/>
  <c r="BC68" i="6" s="1"/>
  <c r="BF68" i="6" s="1"/>
  <c r="AJ68" i="6"/>
  <c r="AI68" i="6"/>
  <c r="AH68" i="6"/>
  <c r="AF68" i="6"/>
  <c r="AD68" i="6" s="1"/>
  <c r="AE68" i="6"/>
  <c r="AL68" i="6" s="1"/>
  <c r="AC68" i="6"/>
  <c r="AG68" i="6" s="1"/>
  <c r="AB68" i="6"/>
  <c r="AA68" i="6"/>
  <c r="Z68" i="6"/>
  <c r="Y68" i="6"/>
  <c r="AM68" i="6" s="1"/>
  <c r="X68" i="6"/>
  <c r="U68" i="6"/>
  <c r="V68" i="6" s="1"/>
  <c r="T68" i="6"/>
  <c r="S68" i="6"/>
  <c r="R68" i="6"/>
  <c r="P68" i="6" s="1"/>
  <c r="Q68" i="6"/>
  <c r="O68" i="6"/>
  <c r="J68" i="6"/>
  <c r="I68" i="6"/>
  <c r="H68" i="6"/>
  <c r="G68" i="6"/>
  <c r="F68" i="6"/>
  <c r="B68" i="6"/>
  <c r="A68" i="6"/>
  <c r="BZ67" i="6"/>
  <c r="BX67" i="6" s="1"/>
  <c r="BY67" i="6"/>
  <c r="BS67" i="6"/>
  <c r="BV67" i="6" s="1"/>
  <c r="BR67" i="6"/>
  <c r="BQ67" i="6"/>
  <c r="BO67" i="6"/>
  <c r="BM67" i="6" s="1"/>
  <c r="BN67" i="6"/>
  <c r="BK67" i="6"/>
  <c r="BJ67" i="6"/>
  <c r="BI67" i="6" s="1"/>
  <c r="BA67" i="6"/>
  <c r="AZ67" i="6"/>
  <c r="BC67" i="6" s="1"/>
  <c r="AW67" i="6"/>
  <c r="AU67" i="6" s="1"/>
  <c r="AV67" i="6"/>
  <c r="AS67" i="6"/>
  <c r="AR67" i="6"/>
  <c r="AQ67" i="6"/>
  <c r="AJ67" i="6"/>
  <c r="AF67" i="6"/>
  <c r="AD67" i="6" s="1"/>
  <c r="AE67" i="6"/>
  <c r="AB67" i="6"/>
  <c r="AC67" i="6" s="1"/>
  <c r="AG67" i="6" s="1"/>
  <c r="Z67" i="6"/>
  <c r="Y67" i="6"/>
  <c r="AA67" i="6" s="1"/>
  <c r="X67" i="6"/>
  <c r="U67" i="6"/>
  <c r="R67" i="6"/>
  <c r="Q67" i="6"/>
  <c r="P67" i="6"/>
  <c r="O67" i="6"/>
  <c r="N67" i="6"/>
  <c r="L67" i="6"/>
  <c r="J67" i="6"/>
  <c r="K67" i="6" s="1"/>
  <c r="H67" i="6"/>
  <c r="G67" i="6"/>
  <c r="F67" i="6"/>
  <c r="I67" i="6" s="1"/>
  <c r="E67" i="6"/>
  <c r="D67" i="6"/>
  <c r="B67" i="6"/>
  <c r="C67" i="6" s="1"/>
  <c r="A67" i="6"/>
  <c r="BZ66" i="6"/>
  <c r="BX66" i="6" s="1"/>
  <c r="BY66" i="6"/>
  <c r="BS66" i="6"/>
  <c r="BR66" i="6"/>
  <c r="BQ66" i="6"/>
  <c r="BO66" i="6"/>
  <c r="BN66" i="6"/>
  <c r="BU66" i="6" s="1"/>
  <c r="BL66" i="6"/>
  <c r="BK66" i="6"/>
  <c r="BI66" i="6" s="1"/>
  <c r="BJ66" i="6"/>
  <c r="BA66" i="6"/>
  <c r="AZ66" i="6"/>
  <c r="AY66" i="6"/>
  <c r="AW66" i="6"/>
  <c r="BD66" i="6" s="1"/>
  <c r="AV66" i="6"/>
  <c r="BC66" i="6" s="1"/>
  <c r="BF66" i="6" s="1"/>
  <c r="AS66" i="6"/>
  <c r="AQ66" i="6" s="1"/>
  <c r="AR66" i="6"/>
  <c r="AJ66" i="6"/>
  <c r="AF66" i="6"/>
  <c r="AD66" i="6" s="1"/>
  <c r="AK66" i="6" s="1"/>
  <c r="AE66" i="6"/>
  <c r="AL66" i="6" s="1"/>
  <c r="AC66" i="6"/>
  <c r="AB66" i="6"/>
  <c r="Y66" i="6"/>
  <c r="X66" i="6"/>
  <c r="W66" i="6"/>
  <c r="U66" i="6"/>
  <c r="V66" i="6" s="1"/>
  <c r="R66" i="6"/>
  <c r="Q66" i="6"/>
  <c r="P66" i="6"/>
  <c r="N66" i="6"/>
  <c r="O66" i="6" s="1"/>
  <c r="L66" i="6"/>
  <c r="K66" i="6"/>
  <c r="J66" i="6"/>
  <c r="G66" i="6"/>
  <c r="F66" i="6"/>
  <c r="E66" i="6"/>
  <c r="D66" i="6"/>
  <c r="C66" i="6"/>
  <c r="B66" i="6"/>
  <c r="A66" i="6"/>
  <c r="BZ65" i="6"/>
  <c r="BY65" i="6"/>
  <c r="BX65" i="6" s="1"/>
  <c r="BS65" i="6"/>
  <c r="BQ65" i="6" s="1"/>
  <c r="BR65" i="6"/>
  <c r="BO65" i="6"/>
  <c r="BV65" i="6" s="1"/>
  <c r="BN65" i="6"/>
  <c r="BU65" i="6" s="1"/>
  <c r="BK65" i="6"/>
  <c r="BI65" i="6" s="1"/>
  <c r="BJ65" i="6"/>
  <c r="BA65" i="6"/>
  <c r="AY65" i="6" s="1"/>
  <c r="AZ65" i="6"/>
  <c r="AW65" i="6"/>
  <c r="AV65" i="6"/>
  <c r="AU65" i="6" s="1"/>
  <c r="AS65" i="6"/>
  <c r="AR65" i="6"/>
  <c r="BC65" i="6" s="1"/>
  <c r="BF65" i="6" s="1"/>
  <c r="AL65" i="6"/>
  <c r="AK65" i="6"/>
  <c r="AJ65" i="6"/>
  <c r="AF65" i="6"/>
  <c r="AE65" i="6"/>
  <c r="AD65" i="6"/>
  <c r="AC65" i="6"/>
  <c r="AH65" i="6" s="1"/>
  <c r="AB65" i="6"/>
  <c r="AA65" i="6"/>
  <c r="Y65" i="6"/>
  <c r="W65" i="6" s="1"/>
  <c r="X65" i="6"/>
  <c r="V65" i="6"/>
  <c r="Z65" i="6" s="1"/>
  <c r="U65" i="6"/>
  <c r="T65" i="6"/>
  <c r="S65" i="6"/>
  <c r="R65" i="6"/>
  <c r="P65" i="6" s="1"/>
  <c r="Q65" i="6"/>
  <c r="N65" i="6"/>
  <c r="O65" i="6" s="1"/>
  <c r="AI65" i="6" s="1"/>
  <c r="L65" i="6"/>
  <c r="K65" i="6"/>
  <c r="J65" i="6"/>
  <c r="I65" i="6"/>
  <c r="H65" i="6"/>
  <c r="G65" i="6"/>
  <c r="F65" i="6"/>
  <c r="E65" i="6"/>
  <c r="D65" i="6"/>
  <c r="C65" i="6"/>
  <c r="B65" i="6"/>
  <c r="A65" i="6"/>
  <c r="BZ64" i="6"/>
  <c r="BX64" i="6" s="1"/>
  <c r="BY64" i="6"/>
  <c r="BV64" i="6"/>
  <c r="BS64" i="6"/>
  <c r="BQ64" i="6" s="1"/>
  <c r="BR64" i="6"/>
  <c r="BO64" i="6"/>
  <c r="BN64" i="6"/>
  <c r="BM64" i="6"/>
  <c r="BT64" i="6" s="1"/>
  <c r="BK64" i="6"/>
  <c r="BI64" i="6" s="1"/>
  <c r="BJ64" i="6"/>
  <c r="BU64" i="6" s="1"/>
  <c r="BA64" i="6"/>
  <c r="AZ64" i="6"/>
  <c r="BC64" i="6" s="1"/>
  <c r="BF64" i="6" s="1"/>
  <c r="AW64" i="6"/>
  <c r="AU64" i="6" s="1"/>
  <c r="AV64" i="6"/>
  <c r="AS64" i="6"/>
  <c r="AQ64" i="6" s="1"/>
  <c r="AR64" i="6"/>
  <c r="AJ64" i="6"/>
  <c r="AH64" i="6"/>
  <c r="AG64" i="6"/>
  <c r="AF64" i="6"/>
  <c r="AE64" i="6"/>
  <c r="AB64" i="6"/>
  <c r="AC64" i="6" s="1"/>
  <c r="Y64" i="6"/>
  <c r="W64" i="6" s="1"/>
  <c r="X64" i="6"/>
  <c r="AL64" i="6" s="1"/>
  <c r="V64" i="6"/>
  <c r="U64" i="6"/>
  <c r="R64" i="6"/>
  <c r="Q64" i="6"/>
  <c r="N64" i="6"/>
  <c r="O64" i="6" s="1"/>
  <c r="T64" i="6" s="1"/>
  <c r="J64" i="6"/>
  <c r="I64" i="6"/>
  <c r="H64" i="6"/>
  <c r="G64" i="6"/>
  <c r="F64" i="6"/>
  <c r="B64" i="6"/>
  <c r="A64" i="6"/>
  <c r="BZ63" i="6"/>
  <c r="BX63" i="6" s="1"/>
  <c r="BY63" i="6"/>
  <c r="BS63" i="6"/>
  <c r="BR63" i="6"/>
  <c r="BQ63" i="6"/>
  <c r="BO63" i="6"/>
  <c r="BM63" i="6" s="1"/>
  <c r="BN63" i="6"/>
  <c r="BL63" i="6"/>
  <c r="BK63" i="6"/>
  <c r="BI63" i="6" s="1"/>
  <c r="BJ63" i="6"/>
  <c r="BA63" i="6"/>
  <c r="BD63" i="6" s="1"/>
  <c r="AZ63" i="6"/>
  <c r="BC63" i="6" s="1"/>
  <c r="AY63" i="6"/>
  <c r="BB63" i="6" s="1"/>
  <c r="AW63" i="6"/>
  <c r="AU63" i="6" s="1"/>
  <c r="AV63" i="6"/>
  <c r="AS63" i="6"/>
  <c r="AR63" i="6"/>
  <c r="AQ63" i="6"/>
  <c r="AJ63" i="6"/>
  <c r="AI63" i="6"/>
  <c r="AH63" i="6"/>
  <c r="AG63" i="6"/>
  <c r="AF63" i="6"/>
  <c r="AE63" i="6"/>
  <c r="AC63" i="6"/>
  <c r="AB63" i="6"/>
  <c r="AA63" i="6"/>
  <c r="Z63" i="6"/>
  <c r="Y63" i="6"/>
  <c r="W63" i="6" s="1"/>
  <c r="X63" i="6"/>
  <c r="U63" i="6"/>
  <c r="V63" i="6" s="1"/>
  <c r="R63" i="6"/>
  <c r="T63" i="6" s="1"/>
  <c r="Q63" i="6"/>
  <c r="P63" i="6"/>
  <c r="O63" i="6"/>
  <c r="N63" i="6"/>
  <c r="J63" i="6"/>
  <c r="I63" i="6"/>
  <c r="H63" i="6"/>
  <c r="G63" i="6"/>
  <c r="F63" i="6"/>
  <c r="B63" i="6"/>
  <c r="A63" i="6"/>
  <c r="CB62" i="6"/>
  <c r="CA62" i="6"/>
  <c r="BZ62" i="6"/>
  <c r="BX62" i="6" s="1"/>
  <c r="BY62" i="6"/>
  <c r="BW62" i="6"/>
  <c r="BU62" i="6"/>
  <c r="BS62" i="6"/>
  <c r="BQ62" i="6" s="1"/>
  <c r="BR62" i="6"/>
  <c r="BP62" i="6"/>
  <c r="BO62" i="6"/>
  <c r="BN62" i="6"/>
  <c r="BM62" i="6" s="1"/>
  <c r="BK62" i="6"/>
  <c r="BJ62" i="6"/>
  <c r="BH62" i="6"/>
  <c r="BC62" i="6"/>
  <c r="BA62" i="6"/>
  <c r="AY62" i="6" s="1"/>
  <c r="AZ62" i="6"/>
  <c r="AX62" i="6"/>
  <c r="AW62" i="6"/>
  <c r="AU62" i="6" s="1"/>
  <c r="BB62" i="6" s="1"/>
  <c r="AV62" i="6"/>
  <c r="AT62" i="6"/>
  <c r="AS62" i="6"/>
  <c r="AQ62" i="6" s="1"/>
  <c r="AR62" i="6"/>
  <c r="AP62" i="6"/>
  <c r="AJ62" i="6"/>
  <c r="AF62" i="6"/>
  <c r="AE62" i="6"/>
  <c r="AL62" i="6" s="1"/>
  <c r="AC62" i="6"/>
  <c r="AB62" i="6"/>
  <c r="Y62" i="6"/>
  <c r="X62" i="6"/>
  <c r="W62" i="6" s="1"/>
  <c r="V62" i="6"/>
  <c r="U62" i="6"/>
  <c r="R62" i="6"/>
  <c r="Q62" i="6"/>
  <c r="P62" i="6" s="1"/>
  <c r="N62" i="6"/>
  <c r="O62" i="6" s="1"/>
  <c r="L62" i="6"/>
  <c r="J62" i="6"/>
  <c r="K62" i="6" s="1"/>
  <c r="H62" i="6"/>
  <c r="G62" i="6"/>
  <c r="F62" i="6"/>
  <c r="I62" i="6" s="1"/>
  <c r="E62" i="6"/>
  <c r="D62" i="6"/>
  <c r="B62" i="6"/>
  <c r="C62" i="6" s="1"/>
  <c r="A62" i="6"/>
  <c r="BZ61" i="6"/>
  <c r="BX61" i="6" s="1"/>
  <c r="BY61" i="6"/>
  <c r="BS61" i="6"/>
  <c r="BR61" i="6"/>
  <c r="BQ61" i="6"/>
  <c r="BO61" i="6"/>
  <c r="BN61" i="6"/>
  <c r="BU61" i="6" s="1"/>
  <c r="BL61" i="6"/>
  <c r="BK61" i="6"/>
  <c r="BI61" i="6" s="1"/>
  <c r="BJ61" i="6"/>
  <c r="BA61" i="6"/>
  <c r="AZ61" i="6"/>
  <c r="AY61" i="6"/>
  <c r="AW61" i="6"/>
  <c r="BD61" i="6" s="1"/>
  <c r="AV61" i="6"/>
  <c r="BC61" i="6" s="1"/>
  <c r="AU61" i="6"/>
  <c r="AS61" i="6"/>
  <c r="AQ61" i="6" s="1"/>
  <c r="AR61" i="6"/>
  <c r="AJ61" i="6"/>
  <c r="AF61" i="6"/>
  <c r="AE61" i="6"/>
  <c r="AC61" i="6"/>
  <c r="AB61" i="6"/>
  <c r="Y61" i="6"/>
  <c r="X61" i="6"/>
  <c r="AL61" i="6" s="1"/>
  <c r="V61" i="6"/>
  <c r="U61" i="6"/>
  <c r="R61" i="6"/>
  <c r="Q61" i="6"/>
  <c r="P61" i="6"/>
  <c r="O61" i="6"/>
  <c r="N61" i="6"/>
  <c r="L61" i="6"/>
  <c r="K61" i="6"/>
  <c r="J61" i="6"/>
  <c r="G61" i="6"/>
  <c r="F61" i="6"/>
  <c r="E61" i="6"/>
  <c r="D61" i="6"/>
  <c r="C61" i="6"/>
  <c r="B61" i="6"/>
  <c r="A61" i="6"/>
  <c r="BZ60" i="6"/>
  <c r="BY60" i="6"/>
  <c r="BX60" i="6" s="1"/>
  <c r="BS60" i="6"/>
  <c r="BQ60" i="6" s="1"/>
  <c r="BT60" i="6" s="1"/>
  <c r="BR60" i="6"/>
  <c r="BO60" i="6"/>
  <c r="BM60" i="6" s="1"/>
  <c r="BN60" i="6"/>
  <c r="BK60" i="6"/>
  <c r="BJ60" i="6"/>
  <c r="BU60" i="6" s="1"/>
  <c r="BE60" i="6"/>
  <c r="BB60" i="6"/>
  <c r="BA60" i="6"/>
  <c r="AY60" i="6" s="1"/>
  <c r="AZ60" i="6"/>
  <c r="AW60" i="6"/>
  <c r="AV60" i="6"/>
  <c r="AU60" i="6" s="1"/>
  <c r="AS60" i="6"/>
  <c r="AQ60" i="6" s="1"/>
  <c r="AR60" i="6"/>
  <c r="AJ60" i="6"/>
  <c r="AI60" i="6"/>
  <c r="AH60" i="6"/>
  <c r="AF60" i="6"/>
  <c r="AG60" i="6" s="1"/>
  <c r="AE60" i="6"/>
  <c r="AD60" i="6"/>
  <c r="AK60" i="6" s="1"/>
  <c r="AC60" i="6"/>
  <c r="AB60" i="6"/>
  <c r="AA60" i="6"/>
  <c r="Z60" i="6"/>
  <c r="Y60" i="6"/>
  <c r="W60" i="6" s="1"/>
  <c r="X60" i="6"/>
  <c r="U60" i="6"/>
  <c r="T60" i="6"/>
  <c r="S60" i="6"/>
  <c r="R60" i="6"/>
  <c r="Q60" i="6"/>
  <c r="AL60" i="6" s="1"/>
  <c r="O60" i="6"/>
  <c r="J60" i="6"/>
  <c r="I60" i="6"/>
  <c r="H60" i="6"/>
  <c r="G60" i="6"/>
  <c r="F60" i="6"/>
  <c r="B60" i="6"/>
  <c r="A60" i="6"/>
  <c r="CB59" i="6"/>
  <c r="CA59" i="6"/>
  <c r="BZ59" i="6"/>
  <c r="BX59" i="6" s="1"/>
  <c r="BY59" i="6"/>
  <c r="BW59" i="6"/>
  <c r="BU59" i="6"/>
  <c r="BS59" i="6"/>
  <c r="BR59" i="6"/>
  <c r="BP59" i="6"/>
  <c r="BO59" i="6"/>
  <c r="BN59" i="6"/>
  <c r="BM59" i="6"/>
  <c r="BL59" i="6"/>
  <c r="BK59" i="6"/>
  <c r="BI59" i="6" s="1"/>
  <c r="BJ59" i="6"/>
  <c r="BH59" i="6"/>
  <c r="BD59" i="6"/>
  <c r="BC59" i="6"/>
  <c r="BA59" i="6"/>
  <c r="AZ59" i="6"/>
  <c r="AY59" i="6"/>
  <c r="BB59" i="6" s="1"/>
  <c r="BE59" i="6" s="1"/>
  <c r="AX59" i="6"/>
  <c r="AW59" i="6"/>
  <c r="AV59" i="6"/>
  <c r="AU59" i="6"/>
  <c r="AT59" i="6"/>
  <c r="AS59" i="6"/>
  <c r="AR59" i="6"/>
  <c r="AQ59" i="6"/>
  <c r="AP59" i="6"/>
  <c r="AJ59" i="6"/>
  <c r="AI59" i="6"/>
  <c r="AH59" i="6"/>
  <c r="AG59" i="6"/>
  <c r="AF59" i="6"/>
  <c r="AD59" i="6" s="1"/>
  <c r="AK59" i="6" s="1"/>
  <c r="AE59" i="6"/>
  <c r="AC59" i="6"/>
  <c r="AB59" i="6"/>
  <c r="Y59" i="6"/>
  <c r="X59" i="6"/>
  <c r="V59" i="6"/>
  <c r="U59" i="6"/>
  <c r="R59" i="6"/>
  <c r="T59" i="6" s="1"/>
  <c r="Q59" i="6"/>
  <c r="P59" i="6"/>
  <c r="O59" i="6"/>
  <c r="N59" i="6"/>
  <c r="J59" i="6"/>
  <c r="G59" i="6"/>
  <c r="F59" i="6"/>
  <c r="I59" i="6" s="1"/>
  <c r="B59" i="6"/>
  <c r="A59" i="6"/>
  <c r="BZ58" i="6"/>
  <c r="BX58" i="6" s="1"/>
  <c r="BY58" i="6"/>
  <c r="BS58" i="6"/>
  <c r="BR58" i="6"/>
  <c r="BU58" i="6" s="1"/>
  <c r="BO58" i="6"/>
  <c r="BM58" i="6" s="1"/>
  <c r="BN58" i="6"/>
  <c r="BK58" i="6"/>
  <c r="BJ58" i="6"/>
  <c r="BI58" i="6"/>
  <c r="BD58" i="6"/>
  <c r="BA58" i="6"/>
  <c r="AZ58" i="6"/>
  <c r="AY58" i="6" s="1"/>
  <c r="BB58" i="6" s="1"/>
  <c r="BE58" i="6" s="1"/>
  <c r="AW58" i="6"/>
  <c r="AV58" i="6"/>
  <c r="AU58" i="6"/>
  <c r="AS58" i="6"/>
  <c r="AQ58" i="6" s="1"/>
  <c r="AR58" i="6"/>
  <c r="AP58" i="6"/>
  <c r="AJ58" i="6"/>
  <c r="AH58" i="6"/>
  <c r="AG58" i="6"/>
  <c r="AF58" i="6"/>
  <c r="AD58" i="6" s="1"/>
  <c r="AK58" i="6" s="1"/>
  <c r="AE58" i="6"/>
  <c r="AB58" i="6"/>
  <c r="Y58" i="6"/>
  <c r="W58" i="6" s="1"/>
  <c r="X58" i="6"/>
  <c r="AL58" i="6" s="1"/>
  <c r="V58" i="6"/>
  <c r="AI58" i="6" s="1"/>
  <c r="U58" i="6"/>
  <c r="T58" i="6"/>
  <c r="S58" i="6"/>
  <c r="R58" i="6"/>
  <c r="Q58" i="6"/>
  <c r="P58" i="6"/>
  <c r="L58" i="6"/>
  <c r="K58" i="6"/>
  <c r="J58" i="6"/>
  <c r="F58" i="6"/>
  <c r="B58" i="6"/>
  <c r="E58" i="6" s="1"/>
  <c r="A58" i="6"/>
  <c r="CB57" i="6"/>
  <c r="CA57" i="6"/>
  <c r="BZ57" i="6"/>
  <c r="BX57" i="6" s="1"/>
  <c r="BY57" i="6"/>
  <c r="BW57" i="6"/>
  <c r="BV57" i="6"/>
  <c r="BS57" i="6"/>
  <c r="BR57" i="6"/>
  <c r="BP57" i="6"/>
  <c r="BO57" i="6"/>
  <c r="BM57" i="6" s="1"/>
  <c r="BN57" i="6"/>
  <c r="BL57" i="6"/>
  <c r="BK57" i="6"/>
  <c r="BJ57" i="6"/>
  <c r="BI57" i="6"/>
  <c r="BH57" i="6"/>
  <c r="BA57" i="6"/>
  <c r="AY57" i="6" s="1"/>
  <c r="BB57" i="6" s="1"/>
  <c r="BE57" i="6" s="1"/>
  <c r="AZ57" i="6"/>
  <c r="BC57" i="6" s="1"/>
  <c r="AW57" i="6"/>
  <c r="AU57" i="6" s="1"/>
  <c r="AV57" i="6"/>
  <c r="AS57" i="6"/>
  <c r="AR57" i="6"/>
  <c r="AQ57" i="6" s="1"/>
  <c r="AJ57" i="6"/>
  <c r="AI57" i="6"/>
  <c r="AH57" i="6"/>
  <c r="AG57" i="6"/>
  <c r="AF57" i="6"/>
  <c r="AE57" i="6"/>
  <c r="AB57" i="6"/>
  <c r="Y57" i="6"/>
  <c r="X57" i="6"/>
  <c r="V57" i="6"/>
  <c r="U57" i="6"/>
  <c r="R57" i="6"/>
  <c r="P57" i="6" s="1"/>
  <c r="Q57" i="6"/>
  <c r="L57" i="6"/>
  <c r="K57" i="6"/>
  <c r="J57" i="6"/>
  <c r="G57" i="6"/>
  <c r="F57" i="6"/>
  <c r="E57" i="6"/>
  <c r="D57" i="6"/>
  <c r="C57" i="6"/>
  <c r="B57" i="6"/>
  <c r="A57" i="6"/>
  <c r="BZ56" i="6"/>
  <c r="BY56" i="6"/>
  <c r="BX56" i="6" s="1"/>
  <c r="BS56" i="6"/>
  <c r="BQ56" i="6" s="1"/>
  <c r="BT56" i="6" s="1"/>
  <c r="BR56" i="6"/>
  <c r="BO56" i="6"/>
  <c r="BM56" i="6" s="1"/>
  <c r="BN56" i="6"/>
  <c r="BK56" i="6"/>
  <c r="BJ56" i="6"/>
  <c r="BU56" i="6" s="1"/>
  <c r="BE56" i="6"/>
  <c r="BD56" i="6"/>
  <c r="BB56" i="6"/>
  <c r="BA56" i="6"/>
  <c r="AY56" i="6" s="1"/>
  <c r="AZ56" i="6"/>
  <c r="AX56" i="6"/>
  <c r="AW56" i="6"/>
  <c r="AV56" i="6"/>
  <c r="BC56" i="6" s="1"/>
  <c r="AU56" i="6"/>
  <c r="AS56" i="6"/>
  <c r="AQ56" i="6" s="1"/>
  <c r="AR56" i="6"/>
  <c r="AJ56" i="6"/>
  <c r="AI56" i="6"/>
  <c r="AH56" i="6"/>
  <c r="AG56" i="6"/>
  <c r="AF56" i="6"/>
  <c r="AE56" i="6"/>
  <c r="AL56" i="6" s="1"/>
  <c r="AB56" i="6"/>
  <c r="AA56" i="6"/>
  <c r="Z56" i="6"/>
  <c r="Y56" i="6"/>
  <c r="W56" i="6" s="1"/>
  <c r="X56" i="6"/>
  <c r="V56" i="6"/>
  <c r="U56" i="6"/>
  <c r="R56" i="6"/>
  <c r="P56" i="6" s="1"/>
  <c r="Q56" i="6"/>
  <c r="K56" i="6"/>
  <c r="J56" i="6"/>
  <c r="L56" i="6" s="1"/>
  <c r="I56" i="6"/>
  <c r="H56" i="6"/>
  <c r="G56" i="6"/>
  <c r="F56" i="6"/>
  <c r="C56" i="6"/>
  <c r="B56" i="6"/>
  <c r="A56" i="6"/>
  <c r="CB55" i="6"/>
  <c r="CA55" i="6"/>
  <c r="BZ55" i="6"/>
  <c r="BX55" i="6" s="1"/>
  <c r="BY55" i="6"/>
  <c r="BW55" i="6"/>
  <c r="BT55" i="6"/>
  <c r="BS55" i="6"/>
  <c r="BQ55" i="6" s="1"/>
  <c r="BR55" i="6"/>
  <c r="BP55" i="6"/>
  <c r="BO55" i="6"/>
  <c r="BN55" i="6"/>
  <c r="BU55" i="6" s="1"/>
  <c r="BM55" i="6"/>
  <c r="BL55" i="6"/>
  <c r="BK55" i="6"/>
  <c r="BJ55" i="6"/>
  <c r="BH55" i="6"/>
  <c r="BE55" i="6"/>
  <c r="BD55" i="6"/>
  <c r="BG55" i="6" s="1"/>
  <c r="BA55" i="6"/>
  <c r="AZ55" i="6"/>
  <c r="AY55" i="6"/>
  <c r="BB55" i="6" s="1"/>
  <c r="AX55" i="6"/>
  <c r="AW55" i="6"/>
  <c r="AV55" i="6"/>
  <c r="AU55" i="6" s="1"/>
  <c r="AT55" i="6"/>
  <c r="AS55" i="6"/>
  <c r="AR55" i="6"/>
  <c r="AQ55" i="6"/>
  <c r="AP55" i="6"/>
  <c r="AN55" i="6"/>
  <c r="AM55" i="6"/>
  <c r="AO55" i="6" s="1"/>
  <c r="AJ55" i="6"/>
  <c r="AI55" i="6"/>
  <c r="AH55" i="6"/>
  <c r="AG55" i="6"/>
  <c r="AF55" i="6"/>
  <c r="AD55" i="6" s="1"/>
  <c r="AK55" i="6" s="1"/>
  <c r="AE55" i="6"/>
  <c r="AB55" i="6"/>
  <c r="Z55" i="6"/>
  <c r="Y55" i="6"/>
  <c r="AA55" i="6" s="1"/>
  <c r="X55" i="6"/>
  <c r="U55" i="6"/>
  <c r="T55" i="6"/>
  <c r="S55" i="6"/>
  <c r="R55" i="6"/>
  <c r="Q55" i="6"/>
  <c r="P55" i="6" s="1"/>
  <c r="N55" i="6"/>
  <c r="L55" i="6"/>
  <c r="K55" i="6"/>
  <c r="J55" i="6"/>
  <c r="F55" i="6"/>
  <c r="E55" i="6"/>
  <c r="D55" i="6"/>
  <c r="C55" i="6"/>
  <c r="B55" i="6"/>
  <c r="A55" i="6"/>
  <c r="BZ54" i="6"/>
  <c r="BY54" i="6"/>
  <c r="BX54" i="6"/>
  <c r="BT54" i="6"/>
  <c r="BS54" i="6"/>
  <c r="BQ54" i="6" s="1"/>
  <c r="BR54" i="6"/>
  <c r="BO54" i="6"/>
  <c r="BN54" i="6"/>
  <c r="BM54" i="6"/>
  <c r="BK54" i="6"/>
  <c r="BI54" i="6" s="1"/>
  <c r="BJ54" i="6"/>
  <c r="BU54" i="6" s="1"/>
  <c r="BE54" i="6"/>
  <c r="BB54" i="6"/>
  <c r="BA54" i="6"/>
  <c r="AY54" i="6" s="1"/>
  <c r="AZ54" i="6"/>
  <c r="AW54" i="6"/>
  <c r="AV54" i="6"/>
  <c r="BC54" i="6" s="1"/>
  <c r="BF54" i="6" s="1"/>
  <c r="AU54" i="6"/>
  <c r="AS54" i="6"/>
  <c r="AQ54" i="6" s="1"/>
  <c r="AR54" i="6"/>
  <c r="AK54" i="6"/>
  <c r="AJ54" i="6"/>
  <c r="AF54" i="6"/>
  <c r="AE54" i="6"/>
  <c r="AD54" i="6"/>
  <c r="AB54" i="6"/>
  <c r="AC54" i="6" s="1"/>
  <c r="AA54" i="6"/>
  <c r="Z54" i="6"/>
  <c r="Y54" i="6"/>
  <c r="W54" i="6" s="1"/>
  <c r="X54" i="6"/>
  <c r="U54" i="6"/>
  <c r="R54" i="6"/>
  <c r="P54" i="6" s="1"/>
  <c r="Q54" i="6"/>
  <c r="AL54" i="6" s="1"/>
  <c r="J54" i="6"/>
  <c r="I54" i="6"/>
  <c r="H54" i="6"/>
  <c r="G54" i="6"/>
  <c r="F54" i="6"/>
  <c r="B54" i="6"/>
  <c r="A54" i="6"/>
  <c r="BZ53" i="6"/>
  <c r="BY53" i="6"/>
  <c r="BX53" i="6"/>
  <c r="BS53" i="6"/>
  <c r="BV53" i="6" s="1"/>
  <c r="BR53" i="6"/>
  <c r="BO53" i="6"/>
  <c r="BN53" i="6"/>
  <c r="BK53" i="6"/>
  <c r="BJ53" i="6"/>
  <c r="BI53" i="6"/>
  <c r="BA53" i="6"/>
  <c r="AZ53" i="6"/>
  <c r="BC53" i="6" s="1"/>
  <c r="AW53" i="6"/>
  <c r="AV53" i="6"/>
  <c r="AS53" i="6"/>
  <c r="AQ53" i="6" s="1"/>
  <c r="AR53" i="6"/>
  <c r="AO53" i="6"/>
  <c r="AN53" i="6"/>
  <c r="AM53" i="6"/>
  <c r="AL53" i="6"/>
  <c r="AJ53" i="6"/>
  <c r="AF53" i="6"/>
  <c r="AE53" i="6"/>
  <c r="AD53" i="6" s="1"/>
  <c r="AC53" i="6"/>
  <c r="AI53" i="6" s="1"/>
  <c r="AB53" i="6"/>
  <c r="Y53" i="6"/>
  <c r="X53" i="6"/>
  <c r="U53" i="6"/>
  <c r="T53" i="6"/>
  <c r="S53" i="6"/>
  <c r="R53" i="6"/>
  <c r="Q53" i="6"/>
  <c r="P53" i="6"/>
  <c r="L53" i="6"/>
  <c r="K53" i="6"/>
  <c r="J53" i="6"/>
  <c r="I53" i="6"/>
  <c r="H53" i="6"/>
  <c r="G53" i="6"/>
  <c r="F53" i="6"/>
  <c r="E53" i="6"/>
  <c r="D53" i="6"/>
  <c r="C53" i="6"/>
  <c r="B53" i="6"/>
  <c r="A53" i="6"/>
  <c r="CB52" i="6"/>
  <c r="CA52" i="6"/>
  <c r="BZ52" i="6"/>
  <c r="BY52" i="6"/>
  <c r="BX52" i="6" s="1"/>
  <c r="BW52" i="6"/>
  <c r="BU52" i="6"/>
  <c r="BS52" i="6"/>
  <c r="BR52" i="6"/>
  <c r="BQ52" i="6"/>
  <c r="BP52" i="6"/>
  <c r="BO52" i="6"/>
  <c r="BV52" i="6" s="1"/>
  <c r="BN52" i="6"/>
  <c r="BL52" i="6"/>
  <c r="BK52" i="6"/>
  <c r="BJ52" i="6"/>
  <c r="BI52" i="6"/>
  <c r="BH52" i="6"/>
  <c r="BA52" i="6"/>
  <c r="BD52" i="6" s="1"/>
  <c r="BG52" i="6" s="1"/>
  <c r="AZ52" i="6"/>
  <c r="AX52" i="6"/>
  <c r="AW52" i="6"/>
  <c r="AU52" i="6" s="1"/>
  <c r="AV52" i="6"/>
  <c r="AT52" i="6"/>
  <c r="AS52" i="6"/>
  <c r="AR52" i="6"/>
  <c r="AQ52" i="6" s="1"/>
  <c r="AP52" i="6"/>
  <c r="AO52" i="6"/>
  <c r="AJ52" i="6"/>
  <c r="AH52" i="6"/>
  <c r="AG52" i="6"/>
  <c r="AF52" i="6"/>
  <c r="AM52" i="6" s="1"/>
  <c r="AN52" i="6" s="1"/>
  <c r="AE52" i="6"/>
  <c r="AB52" i="6"/>
  <c r="AA52" i="6"/>
  <c r="Z52" i="6"/>
  <c r="Y52" i="6"/>
  <c r="W52" i="6" s="1"/>
  <c r="X52" i="6"/>
  <c r="U52" i="6"/>
  <c r="S52" i="6"/>
  <c r="R52" i="6"/>
  <c r="T52" i="6" s="1"/>
  <c r="Q52" i="6"/>
  <c r="O52" i="6"/>
  <c r="AI52" i="6" s="1"/>
  <c r="N52" i="6"/>
  <c r="J52" i="6"/>
  <c r="F52" i="6"/>
  <c r="B52" i="6"/>
  <c r="A52" i="6"/>
  <c r="BZ51" i="6"/>
  <c r="BY51" i="6"/>
  <c r="BX51" i="6"/>
  <c r="BS51" i="6"/>
  <c r="BV51" i="6" s="1"/>
  <c r="BR51" i="6"/>
  <c r="BU51" i="6" s="1"/>
  <c r="BQ51" i="6"/>
  <c r="BT51" i="6" s="1"/>
  <c r="BO51" i="6"/>
  <c r="BM51" i="6" s="1"/>
  <c r="BN51" i="6"/>
  <c r="BK51" i="6"/>
  <c r="BJ51" i="6"/>
  <c r="BI51" i="6"/>
  <c r="BA51" i="6"/>
  <c r="AZ51" i="6"/>
  <c r="AY51" i="6" s="1"/>
  <c r="BB51" i="6" s="1"/>
  <c r="BE51" i="6" s="1"/>
  <c r="AW51" i="6"/>
  <c r="AU51" i="6" s="1"/>
  <c r="AV51" i="6"/>
  <c r="AS51" i="6"/>
  <c r="AQ51" i="6" s="1"/>
  <c r="AR51" i="6"/>
  <c r="AL51" i="6"/>
  <c r="AJ51" i="6"/>
  <c r="AG51" i="6"/>
  <c r="AF51" i="6"/>
  <c r="AH51" i="6" s="1"/>
  <c r="AE51" i="6"/>
  <c r="AC51" i="6"/>
  <c r="AI51" i="6" s="1"/>
  <c r="AB51" i="6"/>
  <c r="Y51" i="6"/>
  <c r="X51" i="6"/>
  <c r="W51" i="6"/>
  <c r="U51" i="6"/>
  <c r="T51" i="6"/>
  <c r="S51" i="6"/>
  <c r="R51" i="6"/>
  <c r="Q51" i="6"/>
  <c r="P51" i="6"/>
  <c r="L51" i="6"/>
  <c r="K51" i="6"/>
  <c r="J51" i="6"/>
  <c r="I51" i="6"/>
  <c r="H51" i="6"/>
  <c r="G51" i="6"/>
  <c r="F51" i="6"/>
  <c r="E51" i="6"/>
  <c r="D51" i="6"/>
  <c r="C51" i="6"/>
  <c r="B51" i="6"/>
  <c r="A51" i="6"/>
  <c r="CB50" i="6"/>
  <c r="CA50" i="6"/>
  <c r="BZ50" i="6"/>
  <c r="BY50" i="6"/>
  <c r="BX50" i="6" s="1"/>
  <c r="BW50" i="6"/>
  <c r="BS50" i="6"/>
  <c r="BR50" i="6"/>
  <c r="BQ50" i="6"/>
  <c r="BP50" i="6"/>
  <c r="BO50" i="6"/>
  <c r="BV50" i="6" s="1"/>
  <c r="BN50" i="6"/>
  <c r="BU50" i="6" s="1"/>
  <c r="BL50" i="6"/>
  <c r="BK50" i="6"/>
  <c r="BJ50" i="6"/>
  <c r="BI50" i="6"/>
  <c r="BH50" i="6"/>
  <c r="BA50" i="6"/>
  <c r="AZ50" i="6"/>
  <c r="AY50" i="6"/>
  <c r="AX50" i="6"/>
  <c r="AW50" i="6"/>
  <c r="AV50" i="6"/>
  <c r="AT50" i="6"/>
  <c r="AS50" i="6"/>
  <c r="AQ50" i="6" s="1"/>
  <c r="AR50" i="6"/>
  <c r="AP50" i="6"/>
  <c r="AJ50" i="6"/>
  <c r="AF50" i="6"/>
  <c r="AE50" i="6"/>
  <c r="AL50" i="6" s="1"/>
  <c r="AB50" i="6"/>
  <c r="AC50" i="6" s="1"/>
  <c r="Y50" i="6"/>
  <c r="W50" i="6" s="1"/>
  <c r="X50" i="6"/>
  <c r="U50" i="6"/>
  <c r="V50" i="6" s="1"/>
  <c r="R50" i="6"/>
  <c r="Q50" i="6"/>
  <c r="O50" i="6"/>
  <c r="N50" i="6"/>
  <c r="L50" i="6"/>
  <c r="K50" i="6"/>
  <c r="J50" i="6"/>
  <c r="I50" i="6"/>
  <c r="H50" i="6"/>
  <c r="G50" i="6"/>
  <c r="F50" i="6"/>
  <c r="C50" i="6"/>
  <c r="B50" i="6"/>
  <c r="E50" i="6" s="1"/>
  <c r="A50" i="6"/>
  <c r="CB49" i="6"/>
  <c r="CA49" i="6"/>
  <c r="BZ49" i="6"/>
  <c r="BY49" i="6"/>
  <c r="BX49" i="6"/>
  <c r="BW49" i="6"/>
  <c r="BS49" i="6"/>
  <c r="BQ49" i="6" s="1"/>
  <c r="BR49" i="6"/>
  <c r="BP49" i="6"/>
  <c r="BO49" i="6"/>
  <c r="BN49" i="6"/>
  <c r="BM49" i="6" s="1"/>
  <c r="BL49" i="6"/>
  <c r="BK49" i="6"/>
  <c r="BJ49" i="6"/>
  <c r="BH49" i="6"/>
  <c r="BD49" i="6"/>
  <c r="BA49" i="6"/>
  <c r="AZ49" i="6"/>
  <c r="AY49" i="6" s="1"/>
  <c r="AX49" i="6"/>
  <c r="AW49" i="6"/>
  <c r="AV49" i="6"/>
  <c r="AU49" i="6" s="1"/>
  <c r="AT49" i="6"/>
  <c r="AS49" i="6"/>
  <c r="AR49" i="6"/>
  <c r="AQ49" i="6" s="1"/>
  <c r="AP49" i="6"/>
  <c r="AJ49" i="6"/>
  <c r="AI49" i="6"/>
  <c r="AF49" i="6"/>
  <c r="AD49" i="6" s="1"/>
  <c r="AE49" i="6"/>
  <c r="AB49" i="6"/>
  <c r="AC49" i="6" s="1"/>
  <c r="AG49" i="6" s="1"/>
  <c r="Y49" i="6"/>
  <c r="X49" i="6"/>
  <c r="V49" i="6"/>
  <c r="U49" i="6"/>
  <c r="T49" i="6"/>
  <c r="S49" i="6"/>
  <c r="R49" i="6"/>
  <c r="Q49" i="6"/>
  <c r="O49" i="6"/>
  <c r="N49" i="6"/>
  <c r="J49" i="6"/>
  <c r="L49" i="6" s="1"/>
  <c r="I49" i="6"/>
  <c r="H49" i="6"/>
  <c r="G49" i="6"/>
  <c r="F49" i="6"/>
  <c r="C49" i="6"/>
  <c r="B49" i="6"/>
  <c r="A49" i="6"/>
  <c r="CB48" i="6"/>
  <c r="CA48" i="6"/>
  <c r="BZ48" i="6"/>
  <c r="BX48" i="6" s="1"/>
  <c r="BY48" i="6"/>
  <c r="BW48" i="6"/>
  <c r="BS48" i="6"/>
  <c r="BQ48" i="6" s="1"/>
  <c r="BR48" i="6"/>
  <c r="BU48" i="6" s="1"/>
  <c r="BP48" i="6"/>
  <c r="BO48" i="6"/>
  <c r="BM48" i="6" s="1"/>
  <c r="BN48" i="6"/>
  <c r="BL48" i="6"/>
  <c r="BK48" i="6"/>
  <c r="BJ48" i="6"/>
  <c r="BH48" i="6"/>
  <c r="BA48" i="6"/>
  <c r="AZ48" i="6"/>
  <c r="AY48" i="6"/>
  <c r="AX48" i="6"/>
  <c r="AW48" i="6"/>
  <c r="BD48" i="6" s="1"/>
  <c r="AV48" i="6"/>
  <c r="BC48" i="6" s="1"/>
  <c r="AT48" i="6"/>
  <c r="AS48" i="6"/>
  <c r="AQ48" i="6" s="1"/>
  <c r="AR48" i="6"/>
  <c r="AP48" i="6"/>
  <c r="AJ48" i="6"/>
  <c r="AI48" i="6"/>
  <c r="AH48" i="6"/>
  <c r="AG48" i="6"/>
  <c r="AF48" i="6"/>
  <c r="AM48" i="6" s="1"/>
  <c r="AE48" i="6"/>
  <c r="AB48" i="6"/>
  <c r="Z48" i="6"/>
  <c r="Y48" i="6"/>
  <c r="AA48" i="6" s="1"/>
  <c r="X48" i="6"/>
  <c r="U48" i="6"/>
  <c r="T48" i="6"/>
  <c r="S48" i="6"/>
  <c r="R48" i="6"/>
  <c r="Q48" i="6"/>
  <c r="P48" i="6" s="1"/>
  <c r="N48" i="6"/>
  <c r="L48" i="6"/>
  <c r="K48" i="6"/>
  <c r="J48" i="6"/>
  <c r="G48" i="6"/>
  <c r="F48" i="6"/>
  <c r="H48" i="6" s="1"/>
  <c r="E48" i="6"/>
  <c r="D48" i="6"/>
  <c r="C48" i="6"/>
  <c r="B48" i="6"/>
  <c r="A48" i="6"/>
  <c r="CB47" i="6"/>
  <c r="CA47" i="6"/>
  <c r="BZ47" i="6"/>
  <c r="BY47" i="6"/>
  <c r="BX47" i="6"/>
  <c r="BW47" i="6"/>
  <c r="BS47" i="6"/>
  <c r="BR47" i="6"/>
  <c r="BU47" i="6" s="1"/>
  <c r="BP47" i="6"/>
  <c r="BO47" i="6"/>
  <c r="BN47" i="6"/>
  <c r="BL47" i="6"/>
  <c r="BK47" i="6"/>
  <c r="BJ47" i="6"/>
  <c r="BI47" i="6" s="1"/>
  <c r="BH47" i="6"/>
  <c r="BA47" i="6"/>
  <c r="BD47" i="6" s="1"/>
  <c r="AZ47" i="6"/>
  <c r="BC47" i="6" s="1"/>
  <c r="BF47" i="6" s="1"/>
  <c r="AY47" i="6"/>
  <c r="BB47" i="6" s="1"/>
  <c r="AX47" i="6"/>
  <c r="AW47" i="6"/>
  <c r="AU47" i="6" s="1"/>
  <c r="AV47" i="6"/>
  <c r="AT47" i="6"/>
  <c r="AS47" i="6"/>
  <c r="AR47" i="6"/>
  <c r="AQ47" i="6"/>
  <c r="AP47" i="6"/>
  <c r="AJ47" i="6"/>
  <c r="AI47" i="6"/>
  <c r="AH47" i="6"/>
  <c r="AG47" i="6"/>
  <c r="AF47" i="6"/>
  <c r="AM47" i="6" s="1"/>
  <c r="AE47" i="6"/>
  <c r="AD47" i="6"/>
  <c r="AB47" i="6"/>
  <c r="AA47" i="6"/>
  <c r="Z47" i="6"/>
  <c r="Y47" i="6"/>
  <c r="W47" i="6" s="1"/>
  <c r="X47" i="6"/>
  <c r="U47" i="6"/>
  <c r="T47" i="6"/>
  <c r="S47" i="6"/>
  <c r="R47" i="6"/>
  <c r="P47" i="6" s="1"/>
  <c r="Q47" i="6"/>
  <c r="AL47" i="6" s="1"/>
  <c r="N47" i="6"/>
  <c r="J47" i="6"/>
  <c r="L47" i="6" s="1"/>
  <c r="I47" i="6"/>
  <c r="H47" i="6"/>
  <c r="G47" i="6"/>
  <c r="F47" i="6"/>
  <c r="B47" i="6"/>
  <c r="E47" i="6" s="1"/>
  <c r="A47" i="6"/>
  <c r="CB46" i="6"/>
  <c r="CA46" i="6"/>
  <c r="BZ46" i="6"/>
  <c r="BX46" i="6" s="1"/>
  <c r="BY46" i="6"/>
  <c r="BW46" i="6"/>
  <c r="BS46" i="6"/>
  <c r="BR46" i="6"/>
  <c r="BP46" i="6"/>
  <c r="BO46" i="6"/>
  <c r="BN46" i="6"/>
  <c r="BU46" i="6" s="1"/>
  <c r="BL46" i="6"/>
  <c r="BK46" i="6"/>
  <c r="BI46" i="6" s="1"/>
  <c r="BJ46" i="6"/>
  <c r="BH46" i="6"/>
  <c r="BC46" i="6"/>
  <c r="BF46" i="6" s="1"/>
  <c r="BA46" i="6"/>
  <c r="AY46" i="6" s="1"/>
  <c r="AZ46" i="6"/>
  <c r="AX46" i="6"/>
  <c r="AW46" i="6"/>
  <c r="BD46" i="6" s="1"/>
  <c r="AV46" i="6"/>
  <c r="AU46" i="6"/>
  <c r="AT46" i="6"/>
  <c r="AS46" i="6"/>
  <c r="AQ46" i="6" s="1"/>
  <c r="AR46" i="6"/>
  <c r="AP46" i="6"/>
  <c r="AM46" i="6"/>
  <c r="AJ46" i="6"/>
  <c r="AI46" i="6"/>
  <c r="AH46" i="6"/>
  <c r="AG46" i="6"/>
  <c r="AF46" i="6"/>
  <c r="AD46" i="6" s="1"/>
  <c r="AE46" i="6"/>
  <c r="AL46" i="6" s="1"/>
  <c r="AB46" i="6"/>
  <c r="Y46" i="6"/>
  <c r="AA46" i="6" s="1"/>
  <c r="X46" i="6"/>
  <c r="U46" i="6"/>
  <c r="T46" i="6"/>
  <c r="S46" i="6"/>
  <c r="R46" i="6"/>
  <c r="Q46" i="6"/>
  <c r="P46" i="6"/>
  <c r="N46" i="6"/>
  <c r="L46" i="6"/>
  <c r="K46" i="6"/>
  <c r="J46" i="6"/>
  <c r="F46" i="6"/>
  <c r="I46" i="6" s="1"/>
  <c r="E46" i="6"/>
  <c r="D46" i="6"/>
  <c r="C46" i="6"/>
  <c r="B46" i="6"/>
  <c r="A46" i="6"/>
  <c r="CB45" i="6"/>
  <c r="CA45" i="6"/>
  <c r="BZ45" i="6"/>
  <c r="BX45" i="6" s="1"/>
  <c r="BY45" i="6"/>
  <c r="BW45" i="6"/>
  <c r="BS45" i="6"/>
  <c r="BR45" i="6"/>
  <c r="BU45" i="6" s="1"/>
  <c r="BP45" i="6"/>
  <c r="BO45" i="6"/>
  <c r="BN45" i="6"/>
  <c r="BL45" i="6"/>
  <c r="BK45" i="6"/>
  <c r="BJ45" i="6"/>
  <c r="BI45" i="6" s="1"/>
  <c r="BH45" i="6"/>
  <c r="BA45" i="6"/>
  <c r="BD45" i="6" s="1"/>
  <c r="AZ45" i="6"/>
  <c r="BC45" i="6" s="1"/>
  <c r="BF45" i="6" s="1"/>
  <c r="AY45" i="6"/>
  <c r="AX45" i="6"/>
  <c r="AW45" i="6"/>
  <c r="AU45" i="6" s="1"/>
  <c r="AV45" i="6"/>
  <c r="AT45" i="6"/>
  <c r="AS45" i="6"/>
  <c r="AR45" i="6"/>
  <c r="AQ45" i="6"/>
  <c r="AP45" i="6"/>
  <c r="AJ45" i="6"/>
  <c r="AI45" i="6"/>
  <c r="AH45" i="6"/>
  <c r="AG45" i="6"/>
  <c r="AF45" i="6"/>
  <c r="AM45" i="6" s="1"/>
  <c r="AE45" i="6"/>
  <c r="AD45" i="6"/>
  <c r="AB45" i="6"/>
  <c r="AA45" i="6"/>
  <c r="Z45" i="6"/>
  <c r="Y45" i="6"/>
  <c r="W45" i="6" s="1"/>
  <c r="X45" i="6"/>
  <c r="U45" i="6"/>
  <c r="T45" i="6"/>
  <c r="S45" i="6"/>
  <c r="R45" i="6"/>
  <c r="Q45" i="6"/>
  <c r="AL45" i="6" s="1"/>
  <c r="N45" i="6"/>
  <c r="J45" i="6"/>
  <c r="L45" i="6" s="1"/>
  <c r="I45" i="6"/>
  <c r="H45" i="6"/>
  <c r="G45" i="6"/>
  <c r="F45" i="6"/>
  <c r="B45" i="6"/>
  <c r="E45" i="6" s="1"/>
  <c r="A45" i="6"/>
  <c r="CB44" i="6"/>
  <c r="CA44" i="6"/>
  <c r="BZ44" i="6"/>
  <c r="BX44" i="6" s="1"/>
  <c r="BY44" i="6"/>
  <c r="BW44" i="6"/>
  <c r="BS44" i="6"/>
  <c r="BR44" i="6"/>
  <c r="BP44" i="6"/>
  <c r="BO44" i="6"/>
  <c r="BN44" i="6"/>
  <c r="BU44" i="6" s="1"/>
  <c r="BL44" i="6"/>
  <c r="BK44" i="6"/>
  <c r="BI44" i="6" s="1"/>
  <c r="BJ44" i="6"/>
  <c r="BH44" i="6"/>
  <c r="BC44" i="6"/>
  <c r="BA44" i="6"/>
  <c r="AY44" i="6" s="1"/>
  <c r="BB44" i="6" s="1"/>
  <c r="AZ44" i="6"/>
  <c r="AX44" i="6"/>
  <c r="AW44" i="6"/>
  <c r="BD44" i="6" s="1"/>
  <c r="AV44" i="6"/>
  <c r="AU44" i="6"/>
  <c r="AT44" i="6"/>
  <c r="AS44" i="6"/>
  <c r="AQ44" i="6" s="1"/>
  <c r="AR44" i="6"/>
  <c r="AP44" i="6"/>
  <c r="AM44" i="6"/>
  <c r="AJ44" i="6"/>
  <c r="AH44" i="6"/>
  <c r="AG44" i="6"/>
  <c r="AF44" i="6"/>
  <c r="AD44" i="6" s="1"/>
  <c r="AE44" i="6"/>
  <c r="AL44" i="6" s="1"/>
  <c r="AB44" i="6"/>
  <c r="Y44" i="6"/>
  <c r="AA44" i="6" s="1"/>
  <c r="X44" i="6"/>
  <c r="V44" i="6"/>
  <c r="AI44" i="6" s="1"/>
  <c r="U44" i="6"/>
  <c r="T44" i="6"/>
  <c r="S44" i="6"/>
  <c r="R44" i="6"/>
  <c r="Q44" i="6"/>
  <c r="P44" i="6" s="1"/>
  <c r="N44" i="6"/>
  <c r="L44" i="6"/>
  <c r="K44" i="6"/>
  <c r="J44" i="6"/>
  <c r="G44" i="6"/>
  <c r="F44" i="6"/>
  <c r="I44" i="6" s="1"/>
  <c r="E44" i="6"/>
  <c r="D44" i="6"/>
  <c r="C44" i="6"/>
  <c r="B44" i="6"/>
  <c r="A44" i="6"/>
  <c r="CB43" i="6"/>
  <c r="CA43" i="6"/>
  <c r="BZ43" i="6"/>
  <c r="BY43" i="6"/>
  <c r="BX43" i="6"/>
  <c r="BW43" i="6"/>
  <c r="BS43" i="6"/>
  <c r="BV43" i="6" s="1"/>
  <c r="BR43" i="6"/>
  <c r="BU43" i="6" s="1"/>
  <c r="BP43" i="6"/>
  <c r="BO43" i="6"/>
  <c r="BM43" i="6" s="1"/>
  <c r="BN43" i="6"/>
  <c r="BL43" i="6"/>
  <c r="BK43" i="6"/>
  <c r="BI43" i="6" s="1"/>
  <c r="BJ43" i="6"/>
  <c r="BH43" i="6"/>
  <c r="BA43" i="6"/>
  <c r="BD43" i="6" s="1"/>
  <c r="AZ43" i="6"/>
  <c r="BC43" i="6" s="1"/>
  <c r="BF43" i="6" s="1"/>
  <c r="AX43" i="6"/>
  <c r="AW43" i="6"/>
  <c r="AV43" i="6"/>
  <c r="AU43" i="6"/>
  <c r="AT43" i="6"/>
  <c r="AS43" i="6"/>
  <c r="AQ43" i="6" s="1"/>
  <c r="AR43" i="6"/>
  <c r="AP43" i="6"/>
  <c r="AJ43" i="6"/>
  <c r="AI43" i="6"/>
  <c r="AH43" i="6"/>
  <c r="AG43" i="6"/>
  <c r="AF43" i="6"/>
  <c r="AE43" i="6"/>
  <c r="AL43" i="6" s="1"/>
  <c r="AB43" i="6"/>
  <c r="AA43" i="6"/>
  <c r="Z43" i="6"/>
  <c r="Y43" i="6"/>
  <c r="W43" i="6" s="1"/>
  <c r="X43" i="6"/>
  <c r="U43" i="6"/>
  <c r="R43" i="6"/>
  <c r="Q43" i="6"/>
  <c r="N43" i="6"/>
  <c r="K43" i="6"/>
  <c r="J43" i="6"/>
  <c r="L43" i="6" s="1"/>
  <c r="I43" i="6"/>
  <c r="H43" i="6"/>
  <c r="G43" i="6"/>
  <c r="F43" i="6"/>
  <c r="C43" i="6"/>
  <c r="B43" i="6"/>
  <c r="E43" i="6" s="1"/>
  <c r="A43" i="6"/>
  <c r="CB42" i="6"/>
  <c r="CA42" i="6"/>
  <c r="BZ42" i="6"/>
  <c r="BX42" i="6" s="1"/>
  <c r="BY42" i="6"/>
  <c r="BW42" i="6"/>
  <c r="BS42" i="6"/>
  <c r="BQ42" i="6" s="1"/>
  <c r="BR42" i="6"/>
  <c r="BP42" i="6"/>
  <c r="BO42" i="6"/>
  <c r="BV42" i="6" s="1"/>
  <c r="BN42" i="6"/>
  <c r="BU42" i="6" s="1"/>
  <c r="BL42" i="6"/>
  <c r="BK42" i="6"/>
  <c r="BI42" i="6" s="1"/>
  <c r="BJ42" i="6"/>
  <c r="BH42" i="6"/>
  <c r="BD42" i="6"/>
  <c r="BA42" i="6"/>
  <c r="AZ42" i="6"/>
  <c r="AY42" i="6"/>
  <c r="AX42" i="6"/>
  <c r="AW42" i="6"/>
  <c r="AU42" i="6" s="1"/>
  <c r="AV42" i="6"/>
  <c r="BC42" i="6" s="1"/>
  <c r="AT42" i="6"/>
  <c r="AS42" i="6"/>
  <c r="AR42" i="6"/>
  <c r="AQ42" i="6"/>
  <c r="AP42" i="6"/>
  <c r="AJ42" i="6"/>
  <c r="AI42" i="6"/>
  <c r="AF42" i="6"/>
  <c r="AE42" i="6"/>
  <c r="AL42" i="6" s="1"/>
  <c r="AB42" i="6"/>
  <c r="Z42" i="6"/>
  <c r="Y42" i="6"/>
  <c r="AA42" i="6" s="1"/>
  <c r="X42" i="6"/>
  <c r="W42" i="6"/>
  <c r="V42" i="6"/>
  <c r="U42" i="6"/>
  <c r="R42" i="6"/>
  <c r="T42" i="6" s="1"/>
  <c r="Q42" i="6"/>
  <c r="N42" i="6"/>
  <c r="L42" i="6"/>
  <c r="K42" i="6"/>
  <c r="J42" i="6"/>
  <c r="H42" i="6"/>
  <c r="G42" i="6"/>
  <c r="F42" i="6"/>
  <c r="I42" i="6" s="1"/>
  <c r="E42" i="6"/>
  <c r="D42" i="6"/>
  <c r="C42" i="6"/>
  <c r="B42" i="6"/>
  <c r="A42" i="6"/>
  <c r="CB41" i="6"/>
  <c r="CA41" i="6"/>
  <c r="BZ41" i="6"/>
  <c r="BX41" i="6" s="1"/>
  <c r="BY41" i="6"/>
  <c r="BW41" i="6"/>
  <c r="BS41" i="6"/>
  <c r="BV41" i="6" s="1"/>
  <c r="BR41" i="6"/>
  <c r="BU41" i="6" s="1"/>
  <c r="BQ41" i="6"/>
  <c r="BT41" i="6" s="1"/>
  <c r="BP41" i="6"/>
  <c r="BO41" i="6"/>
  <c r="BM41" i="6" s="1"/>
  <c r="BN41" i="6"/>
  <c r="BL41" i="6"/>
  <c r="BK41" i="6"/>
  <c r="BJ41" i="6"/>
  <c r="BI41" i="6"/>
  <c r="BH41" i="6"/>
  <c r="BA41" i="6"/>
  <c r="AZ41" i="6"/>
  <c r="AX41" i="6"/>
  <c r="AW41" i="6"/>
  <c r="AV41" i="6"/>
  <c r="BC41" i="6" s="1"/>
  <c r="AT41" i="6"/>
  <c r="AS41" i="6"/>
  <c r="AQ41" i="6" s="1"/>
  <c r="AR41" i="6"/>
  <c r="AP41" i="6"/>
  <c r="AJ41" i="6"/>
  <c r="AF41" i="6"/>
  <c r="AE41" i="6"/>
  <c r="AL41" i="6" s="1"/>
  <c r="AC41" i="6"/>
  <c r="AI41" i="6" s="1"/>
  <c r="AB41" i="6"/>
  <c r="AA41" i="6"/>
  <c r="Z41" i="6"/>
  <c r="Y41" i="6"/>
  <c r="X41" i="6"/>
  <c r="W41" i="6" s="1"/>
  <c r="U41" i="6"/>
  <c r="T41" i="6"/>
  <c r="S41" i="6"/>
  <c r="R41" i="6"/>
  <c r="P41" i="6" s="1"/>
  <c r="Q41" i="6"/>
  <c r="N41" i="6"/>
  <c r="J41" i="6"/>
  <c r="I41" i="6"/>
  <c r="H41" i="6"/>
  <c r="G41" i="6"/>
  <c r="F41" i="6"/>
  <c r="B41" i="6"/>
  <c r="A41" i="6"/>
  <c r="CB40" i="6"/>
  <c r="CA40" i="6"/>
  <c r="BZ40" i="6"/>
  <c r="BY40" i="6"/>
  <c r="BX40" i="6" s="1"/>
  <c r="BW40" i="6"/>
  <c r="BV40" i="6"/>
  <c r="BS40" i="6"/>
  <c r="BR40" i="6"/>
  <c r="BQ40" i="6"/>
  <c r="BP40" i="6"/>
  <c r="BO40" i="6"/>
  <c r="BM40" i="6" s="1"/>
  <c r="BN40" i="6"/>
  <c r="BU40" i="6" s="1"/>
  <c r="BL40" i="6"/>
  <c r="BK40" i="6"/>
  <c r="BJ40" i="6"/>
  <c r="BI40" i="6"/>
  <c r="BH40" i="6"/>
  <c r="BA40" i="6"/>
  <c r="BD40" i="6" s="1"/>
  <c r="AZ40" i="6"/>
  <c r="BC40" i="6" s="1"/>
  <c r="BF40" i="6" s="1"/>
  <c r="AX40" i="6"/>
  <c r="AW40" i="6"/>
  <c r="AU40" i="6" s="1"/>
  <c r="AV40" i="6"/>
  <c r="AT40" i="6"/>
  <c r="AS40" i="6"/>
  <c r="AQ40" i="6" s="1"/>
  <c r="AR40" i="6"/>
  <c r="AP40" i="6"/>
  <c r="AJ40" i="6"/>
  <c r="AI40" i="6"/>
  <c r="AH40" i="6"/>
  <c r="AG40" i="6"/>
  <c r="AF40" i="6"/>
  <c r="AM40" i="6" s="1"/>
  <c r="AE40" i="6"/>
  <c r="AL40" i="6" s="1"/>
  <c r="AB40" i="6"/>
  <c r="Y40" i="6"/>
  <c r="X40" i="6"/>
  <c r="U40" i="6"/>
  <c r="S40" i="6"/>
  <c r="R40" i="6"/>
  <c r="T40" i="6" s="1"/>
  <c r="Q40" i="6"/>
  <c r="P40" i="6"/>
  <c r="N40" i="6"/>
  <c r="L40" i="6"/>
  <c r="K40" i="6"/>
  <c r="J40" i="6"/>
  <c r="F40" i="6"/>
  <c r="E40" i="6"/>
  <c r="D40" i="6"/>
  <c r="C40" i="6"/>
  <c r="B40" i="6"/>
  <c r="A40" i="6"/>
  <c r="CB39" i="6"/>
  <c r="CA39" i="6"/>
  <c r="BZ39" i="6"/>
  <c r="BX39" i="6" s="1"/>
  <c r="BY39" i="6"/>
  <c r="BW39" i="6"/>
  <c r="BS39" i="6"/>
  <c r="BV39" i="6" s="1"/>
  <c r="BR39" i="6"/>
  <c r="BP39" i="6"/>
  <c r="BO39" i="6"/>
  <c r="BN39" i="6"/>
  <c r="BM39" i="6"/>
  <c r="BL39" i="6"/>
  <c r="BK39" i="6"/>
  <c r="BI39" i="6" s="1"/>
  <c r="BJ39" i="6"/>
  <c r="BH39" i="6"/>
  <c r="BA39" i="6"/>
  <c r="AY39" i="6" s="1"/>
  <c r="AZ39" i="6"/>
  <c r="AX39" i="6"/>
  <c r="AW39" i="6"/>
  <c r="BD39" i="6" s="1"/>
  <c r="AV39" i="6"/>
  <c r="BC39" i="6" s="1"/>
  <c r="BF39" i="6" s="1"/>
  <c r="AT39" i="6"/>
  <c r="AS39" i="6"/>
  <c r="AQ39" i="6" s="1"/>
  <c r="AR39" i="6"/>
  <c r="AP39" i="6"/>
  <c r="AL39" i="6"/>
  <c r="AJ39" i="6"/>
  <c r="AG39" i="6"/>
  <c r="AF39" i="6"/>
  <c r="AH39" i="6" s="1"/>
  <c r="AE39" i="6"/>
  <c r="AD39" i="6"/>
  <c r="AC39" i="6"/>
  <c r="AI39" i="6" s="1"/>
  <c r="AB39" i="6"/>
  <c r="Y39" i="6"/>
  <c r="AA39" i="6" s="1"/>
  <c r="X39" i="6"/>
  <c r="U39" i="6"/>
  <c r="T39" i="6"/>
  <c r="S39" i="6"/>
  <c r="R39" i="6"/>
  <c r="Q39" i="6"/>
  <c r="P39" i="6"/>
  <c r="N39" i="6"/>
  <c r="L39" i="6"/>
  <c r="K39" i="6"/>
  <c r="J39" i="6"/>
  <c r="F39" i="6"/>
  <c r="I39" i="6" s="1"/>
  <c r="E39" i="6"/>
  <c r="D39" i="6"/>
  <c r="C39" i="6"/>
  <c r="B39" i="6"/>
  <c r="A39" i="6"/>
  <c r="CB38" i="6"/>
  <c r="CA38" i="6"/>
  <c r="BZ38" i="6"/>
  <c r="BX38" i="6" s="1"/>
  <c r="BY38" i="6"/>
  <c r="BW38" i="6"/>
  <c r="BS38" i="6"/>
  <c r="BR38" i="6"/>
  <c r="BU38" i="6" s="1"/>
  <c r="BP38" i="6"/>
  <c r="BO38" i="6"/>
  <c r="BN38" i="6"/>
  <c r="BL38" i="6"/>
  <c r="BK38" i="6"/>
  <c r="BJ38" i="6"/>
  <c r="BI38" i="6" s="1"/>
  <c r="BH38" i="6"/>
  <c r="BA38" i="6"/>
  <c r="BD38" i="6" s="1"/>
  <c r="AZ38" i="6"/>
  <c r="BC38" i="6" s="1"/>
  <c r="BF38" i="6" s="1"/>
  <c r="AY38" i="6"/>
  <c r="BB38" i="6" s="1"/>
  <c r="AX38" i="6"/>
  <c r="AW38" i="6"/>
  <c r="AU38" i="6" s="1"/>
  <c r="AV38" i="6"/>
  <c r="AT38" i="6"/>
  <c r="AS38" i="6"/>
  <c r="AR38" i="6"/>
  <c r="AQ38" i="6"/>
  <c r="AP38" i="6"/>
  <c r="AJ38" i="6"/>
  <c r="AI38" i="6"/>
  <c r="AH38" i="6"/>
  <c r="AG38" i="6"/>
  <c r="AF38" i="6"/>
  <c r="AM38" i="6" s="1"/>
  <c r="AE38" i="6"/>
  <c r="AD38" i="6"/>
  <c r="AB38" i="6"/>
  <c r="AA38" i="6"/>
  <c r="Z38" i="6"/>
  <c r="Y38" i="6"/>
  <c r="W38" i="6" s="1"/>
  <c r="X38" i="6"/>
  <c r="U38" i="6"/>
  <c r="T38" i="6"/>
  <c r="S38" i="6"/>
  <c r="R38" i="6"/>
  <c r="P38" i="6" s="1"/>
  <c r="Q38" i="6"/>
  <c r="AL38" i="6" s="1"/>
  <c r="N38" i="6"/>
  <c r="J38" i="6"/>
  <c r="L38" i="6" s="1"/>
  <c r="I38" i="6"/>
  <c r="H38" i="6"/>
  <c r="G38" i="6"/>
  <c r="F38" i="6"/>
  <c r="B38" i="6"/>
  <c r="E38" i="6" s="1"/>
  <c r="A38" i="6"/>
  <c r="CB37" i="6"/>
  <c r="CA37" i="6"/>
  <c r="BZ37" i="6"/>
  <c r="BX37" i="6" s="1"/>
  <c r="BY37" i="6"/>
  <c r="BW37" i="6"/>
  <c r="BS37" i="6"/>
  <c r="BR37" i="6"/>
  <c r="BP37" i="6"/>
  <c r="BO37" i="6"/>
  <c r="BN37" i="6"/>
  <c r="BU37" i="6" s="1"/>
  <c r="BL37" i="6"/>
  <c r="BK37" i="6"/>
  <c r="BI37" i="6" s="1"/>
  <c r="BJ37" i="6"/>
  <c r="BH37" i="6"/>
  <c r="BC37" i="6"/>
  <c r="BA37" i="6"/>
  <c r="AY37" i="6" s="1"/>
  <c r="AZ37" i="6"/>
  <c r="AX37" i="6"/>
  <c r="AW37" i="6"/>
  <c r="BD37" i="6" s="1"/>
  <c r="AV37" i="6"/>
  <c r="AU37" i="6"/>
  <c r="AT37" i="6"/>
  <c r="AS37" i="6"/>
  <c r="AQ37" i="6" s="1"/>
  <c r="AR37" i="6"/>
  <c r="AP37" i="6"/>
  <c r="AM37" i="6"/>
  <c r="AJ37" i="6"/>
  <c r="AH37" i="6"/>
  <c r="AG37" i="6"/>
  <c r="AF37" i="6"/>
  <c r="AE37" i="6"/>
  <c r="AL37" i="6" s="1"/>
  <c r="AC37" i="6"/>
  <c r="AB37" i="6"/>
  <c r="Z37" i="6"/>
  <c r="Y37" i="6"/>
  <c r="AA37" i="6" s="1"/>
  <c r="X37" i="6"/>
  <c r="W37" i="6"/>
  <c r="V37" i="6"/>
  <c r="U37" i="6"/>
  <c r="R37" i="6"/>
  <c r="Q37" i="6"/>
  <c r="O37" i="6"/>
  <c r="AI37" i="6" s="1"/>
  <c r="N37" i="6"/>
  <c r="L37" i="6"/>
  <c r="K37" i="6"/>
  <c r="J37" i="6"/>
  <c r="F37" i="6"/>
  <c r="E37" i="6"/>
  <c r="D37" i="6"/>
  <c r="C37" i="6"/>
  <c r="B37" i="6"/>
  <c r="A37" i="6"/>
  <c r="CB36" i="6"/>
  <c r="CA36" i="6"/>
  <c r="BZ36" i="6"/>
  <c r="BX36" i="6" s="1"/>
  <c r="BY36" i="6"/>
  <c r="BW36" i="6"/>
  <c r="BS36" i="6"/>
  <c r="BV36" i="6" s="1"/>
  <c r="BR36" i="6"/>
  <c r="BP36" i="6"/>
  <c r="BO36" i="6"/>
  <c r="BN36" i="6"/>
  <c r="BM36" i="6"/>
  <c r="BL36" i="6"/>
  <c r="BK36" i="6"/>
  <c r="BJ36" i="6"/>
  <c r="BH36" i="6"/>
  <c r="BA36" i="6"/>
  <c r="AY36" i="6" s="1"/>
  <c r="AZ36" i="6"/>
  <c r="AX36" i="6"/>
  <c r="AW36" i="6"/>
  <c r="BD36" i="6" s="1"/>
  <c r="AV36" i="6"/>
  <c r="BC36" i="6" s="1"/>
  <c r="AT36" i="6"/>
  <c r="AS36" i="6"/>
  <c r="AQ36" i="6" s="1"/>
  <c r="AR36" i="6"/>
  <c r="AP36" i="6"/>
  <c r="AL36" i="6"/>
  <c r="AJ36" i="6"/>
  <c r="AI36" i="6"/>
  <c r="AG36" i="6"/>
  <c r="AF36" i="6"/>
  <c r="AH36" i="6" s="1"/>
  <c r="AE36" i="6"/>
  <c r="AD36" i="6"/>
  <c r="AK36" i="6" s="1"/>
  <c r="AB36" i="6"/>
  <c r="AA36" i="6"/>
  <c r="Z36" i="6"/>
  <c r="Y36" i="6"/>
  <c r="X36" i="6"/>
  <c r="W36" i="6" s="1"/>
  <c r="U36" i="6"/>
  <c r="T36" i="6"/>
  <c r="S36" i="6"/>
  <c r="R36" i="6"/>
  <c r="P36" i="6" s="1"/>
  <c r="Q36" i="6"/>
  <c r="N36" i="6"/>
  <c r="J36" i="6"/>
  <c r="I36" i="6"/>
  <c r="H36" i="6"/>
  <c r="G36" i="6"/>
  <c r="F36" i="6"/>
  <c r="B36" i="6"/>
  <c r="A36" i="6"/>
  <c r="CB35" i="6"/>
  <c r="CA35" i="6"/>
  <c r="BZ35" i="6"/>
  <c r="BY35" i="6"/>
  <c r="BX35" i="6" s="1"/>
  <c r="BW35" i="6"/>
  <c r="BV35" i="6"/>
  <c r="BS35" i="6"/>
  <c r="BR35" i="6"/>
  <c r="BQ35" i="6"/>
  <c r="BP35" i="6"/>
  <c r="BO35" i="6"/>
  <c r="BN35" i="6"/>
  <c r="BU35" i="6" s="1"/>
  <c r="BL35" i="6"/>
  <c r="BK35" i="6"/>
  <c r="BJ35" i="6"/>
  <c r="BI35" i="6"/>
  <c r="BH35" i="6"/>
  <c r="BA35" i="6"/>
  <c r="BD35" i="6" s="1"/>
  <c r="AZ35" i="6"/>
  <c r="BC35" i="6" s="1"/>
  <c r="BF35" i="6" s="1"/>
  <c r="AX35" i="6"/>
  <c r="AW35" i="6"/>
  <c r="AU35" i="6" s="1"/>
  <c r="AV35" i="6"/>
  <c r="AT35" i="6"/>
  <c r="AS35" i="6"/>
  <c r="AQ35" i="6" s="1"/>
  <c r="AR35" i="6"/>
  <c r="AP35" i="6"/>
  <c r="AJ35" i="6"/>
  <c r="AH35" i="6"/>
  <c r="AF35" i="6"/>
  <c r="AE35" i="6"/>
  <c r="AL35" i="6" s="1"/>
  <c r="AC35" i="6"/>
  <c r="AG35" i="6" s="1"/>
  <c r="AB35" i="6"/>
  <c r="Y35" i="6"/>
  <c r="W35" i="6" s="1"/>
  <c r="X35" i="6"/>
  <c r="U35" i="6"/>
  <c r="V35" i="6" s="1"/>
  <c r="Z35" i="6" s="1"/>
  <c r="R35" i="6"/>
  <c r="Q35" i="6"/>
  <c r="O35" i="6"/>
  <c r="N35" i="6"/>
  <c r="L35" i="6"/>
  <c r="K35" i="6"/>
  <c r="J35" i="6"/>
  <c r="I35" i="6"/>
  <c r="H35" i="6"/>
  <c r="G35" i="6"/>
  <c r="F35" i="6"/>
  <c r="D35" i="6"/>
  <c r="C35" i="6"/>
  <c r="B35" i="6"/>
  <c r="E35" i="6" s="1"/>
  <c r="A35" i="6"/>
  <c r="CB34" i="6"/>
  <c r="CA34" i="6"/>
  <c r="BZ34" i="6"/>
  <c r="BY34" i="6"/>
  <c r="BX34" i="6"/>
  <c r="BW34" i="6"/>
  <c r="BU34" i="6"/>
  <c r="BS34" i="6"/>
  <c r="BQ34" i="6" s="1"/>
  <c r="BR34" i="6"/>
  <c r="BP34" i="6"/>
  <c r="BO34" i="6"/>
  <c r="BV34" i="6" s="1"/>
  <c r="BN34" i="6"/>
  <c r="BM34" i="6"/>
  <c r="BL34" i="6"/>
  <c r="BK34" i="6"/>
  <c r="BI34" i="6" s="1"/>
  <c r="BJ34" i="6"/>
  <c r="BH34" i="6"/>
  <c r="BA34" i="6"/>
  <c r="AZ34" i="6"/>
  <c r="BC34" i="6" s="1"/>
  <c r="BF34" i="6" s="1"/>
  <c r="AX34" i="6"/>
  <c r="AW34" i="6"/>
  <c r="AV34" i="6"/>
  <c r="AT34" i="6"/>
  <c r="AS34" i="6"/>
  <c r="AR34" i="6"/>
  <c r="AQ34" i="6" s="1"/>
  <c r="AP34" i="6"/>
  <c r="AO34" i="6"/>
  <c r="AJ34" i="6"/>
  <c r="AI34" i="6"/>
  <c r="AH34" i="6"/>
  <c r="AG34" i="6"/>
  <c r="AF34" i="6"/>
  <c r="AM34" i="6" s="1"/>
  <c r="AN34" i="6" s="1"/>
  <c r="AE34" i="6"/>
  <c r="AL34" i="6" s="1"/>
  <c r="AB34" i="6"/>
  <c r="AA34" i="6"/>
  <c r="Z34" i="6"/>
  <c r="Y34" i="6"/>
  <c r="W34" i="6" s="1"/>
  <c r="X34" i="6"/>
  <c r="U34" i="6"/>
  <c r="R34" i="6"/>
  <c r="T34" i="6" s="1"/>
  <c r="Q34" i="6"/>
  <c r="N34" i="6"/>
  <c r="L34" i="6"/>
  <c r="K34" i="6"/>
  <c r="J34" i="6"/>
  <c r="H34" i="6"/>
  <c r="G34" i="6"/>
  <c r="F34" i="6"/>
  <c r="I34" i="6" s="1"/>
  <c r="E34" i="6"/>
  <c r="D34" i="6"/>
  <c r="C34" i="6"/>
  <c r="B34" i="6"/>
  <c r="A34" i="6"/>
  <c r="BZ33" i="6"/>
  <c r="BX33" i="6" s="1"/>
  <c r="BY33" i="6"/>
  <c r="BV33" i="6"/>
  <c r="BS33" i="6"/>
  <c r="BR33" i="6"/>
  <c r="BQ33" i="6"/>
  <c r="BT33" i="6" s="1"/>
  <c r="BO33" i="6"/>
  <c r="BN33" i="6"/>
  <c r="BU33" i="6" s="1"/>
  <c r="BM33" i="6"/>
  <c r="BK33" i="6"/>
  <c r="BI33" i="6" s="1"/>
  <c r="BJ33" i="6"/>
  <c r="BC33" i="6"/>
  <c r="BA33" i="6"/>
  <c r="AY33" i="6" s="1"/>
  <c r="AZ33" i="6"/>
  <c r="AW33" i="6"/>
  <c r="BD33" i="6" s="1"/>
  <c r="BG33" i="6" s="1"/>
  <c r="AV33" i="6"/>
  <c r="AS33" i="6"/>
  <c r="AQ33" i="6" s="1"/>
  <c r="AR33" i="6"/>
  <c r="AM33" i="6"/>
  <c r="AJ33" i="6"/>
  <c r="AF33" i="6"/>
  <c r="AE33" i="6"/>
  <c r="AL33" i="6" s="1"/>
  <c r="AB33" i="6"/>
  <c r="AC33" i="6" s="1"/>
  <c r="AA33" i="6"/>
  <c r="Z33" i="6"/>
  <c r="Y33" i="6"/>
  <c r="X33" i="6"/>
  <c r="W33" i="6"/>
  <c r="U33" i="6"/>
  <c r="T33" i="6"/>
  <c r="S33" i="6"/>
  <c r="R33" i="6"/>
  <c r="P33" i="6" s="1"/>
  <c r="Q33" i="6"/>
  <c r="O33" i="6"/>
  <c r="L33" i="6"/>
  <c r="K33" i="6"/>
  <c r="J33" i="6"/>
  <c r="I33" i="6"/>
  <c r="H33" i="6"/>
  <c r="G33" i="6"/>
  <c r="F33" i="6"/>
  <c r="D33" i="6"/>
  <c r="C33" i="6"/>
  <c r="B33" i="6"/>
  <c r="E33" i="6" s="1"/>
  <c r="A33" i="6"/>
  <c r="BZ32" i="6"/>
  <c r="BX32" i="6" s="1"/>
  <c r="BY32" i="6"/>
  <c r="BS32" i="6"/>
  <c r="BR32" i="6"/>
  <c r="BU32" i="6" s="1"/>
  <c r="BO32" i="6"/>
  <c r="BM32" i="6" s="1"/>
  <c r="BN32" i="6"/>
  <c r="BK32" i="6"/>
  <c r="BI32" i="6" s="1"/>
  <c r="BJ32" i="6"/>
  <c r="BG32" i="6"/>
  <c r="BA32" i="6"/>
  <c r="BD32" i="6" s="1"/>
  <c r="AZ32" i="6"/>
  <c r="AY32" i="6"/>
  <c r="BB32" i="6" s="1"/>
  <c r="BE32" i="6" s="1"/>
  <c r="AW32" i="6"/>
  <c r="AU32" i="6" s="1"/>
  <c r="AV32" i="6"/>
  <c r="AS32" i="6"/>
  <c r="AR32" i="6"/>
  <c r="AQ32" i="6" s="1"/>
  <c r="AO32" i="6"/>
  <c r="AN32" i="6"/>
  <c r="AJ32" i="6"/>
  <c r="AF32" i="6"/>
  <c r="AD32" i="6" s="1"/>
  <c r="AE32" i="6"/>
  <c r="Y32" i="6"/>
  <c r="W32" i="6" s="1"/>
  <c r="X32" i="6"/>
  <c r="R32" i="6"/>
  <c r="Q32" i="6"/>
  <c r="L32" i="6"/>
  <c r="K32" i="6"/>
  <c r="J32" i="6"/>
  <c r="I32" i="6"/>
  <c r="F32" i="6"/>
  <c r="A32" i="6"/>
  <c r="BZ31" i="6"/>
  <c r="BX31" i="6" s="1"/>
  <c r="BY31" i="6"/>
  <c r="BU31" i="6"/>
  <c r="BS31" i="6"/>
  <c r="BQ31" i="6" s="1"/>
  <c r="BT31" i="6" s="1"/>
  <c r="BR31" i="6"/>
  <c r="BO31" i="6"/>
  <c r="BN31" i="6"/>
  <c r="BM31" i="6"/>
  <c r="BK31" i="6"/>
  <c r="BJ31" i="6"/>
  <c r="BI31" i="6"/>
  <c r="BA31" i="6"/>
  <c r="BD31" i="6" s="1"/>
  <c r="AZ31" i="6"/>
  <c r="BC31" i="6" s="1"/>
  <c r="AW31" i="6"/>
  <c r="AU31" i="6" s="1"/>
  <c r="AV31" i="6"/>
  <c r="AS31" i="6"/>
  <c r="AQ31" i="6" s="1"/>
  <c r="AR31" i="6"/>
  <c r="AJ31" i="6"/>
  <c r="AI31" i="6"/>
  <c r="AH31" i="6"/>
  <c r="AG31" i="6"/>
  <c r="AF31" i="6"/>
  <c r="AM31" i="6" s="1"/>
  <c r="AN31" i="6" s="1"/>
  <c r="AE31" i="6"/>
  <c r="AB31" i="6"/>
  <c r="AA31" i="6"/>
  <c r="Z31" i="6"/>
  <c r="Y31" i="6"/>
  <c r="X31" i="6"/>
  <c r="V31" i="6"/>
  <c r="U31" i="6"/>
  <c r="S31" i="6"/>
  <c r="R31" i="6"/>
  <c r="T31" i="6" s="1"/>
  <c r="Q31" i="6"/>
  <c r="P31" i="6"/>
  <c r="L31" i="6"/>
  <c r="K31" i="6"/>
  <c r="J31" i="6"/>
  <c r="H31" i="6"/>
  <c r="G31" i="6"/>
  <c r="F31" i="6"/>
  <c r="I31" i="6" s="1"/>
  <c r="E31" i="6"/>
  <c r="D31" i="6"/>
  <c r="C31" i="6"/>
  <c r="B31" i="6"/>
  <c r="A31" i="6"/>
  <c r="CB30" i="6"/>
  <c r="CA30" i="6"/>
  <c r="BZ30" i="6"/>
  <c r="BY30" i="6"/>
  <c r="BW30" i="6"/>
  <c r="BS30" i="6"/>
  <c r="BV30" i="6" s="1"/>
  <c r="BR30" i="6"/>
  <c r="BU30" i="6" s="1"/>
  <c r="BQ30" i="6"/>
  <c r="BT30" i="6" s="1"/>
  <c r="BP30" i="6"/>
  <c r="BO30" i="6"/>
  <c r="BM30" i="6" s="1"/>
  <c r="BN30" i="6"/>
  <c r="BL30" i="6"/>
  <c r="BK30" i="6"/>
  <c r="BJ30" i="6"/>
  <c r="BI30" i="6"/>
  <c r="BH30" i="6"/>
  <c r="BD30" i="6"/>
  <c r="BA30" i="6"/>
  <c r="AY30" i="6" s="1"/>
  <c r="BB30" i="6" s="1"/>
  <c r="BE30" i="6" s="1"/>
  <c r="AZ30" i="6"/>
  <c r="AX30" i="6"/>
  <c r="AW30" i="6"/>
  <c r="AV30" i="6"/>
  <c r="AS30" i="6"/>
  <c r="AR30" i="6"/>
  <c r="AL30" i="6"/>
  <c r="AJ30" i="6"/>
  <c r="AH30" i="6"/>
  <c r="AG30" i="6"/>
  <c r="AF30" i="6"/>
  <c r="AE30" i="6"/>
  <c r="AD30" i="6"/>
  <c r="AK30" i="6" s="1"/>
  <c r="AB30" i="6"/>
  <c r="Y30" i="6"/>
  <c r="W30" i="6" s="1"/>
  <c r="X30" i="6"/>
  <c r="U30" i="6"/>
  <c r="V30" i="6" s="1"/>
  <c r="AA30" i="6" s="1"/>
  <c r="R30" i="6"/>
  <c r="Q30" i="6"/>
  <c r="N30" i="6"/>
  <c r="J30" i="6"/>
  <c r="L30" i="6" s="1"/>
  <c r="I30" i="6"/>
  <c r="H30" i="6"/>
  <c r="G30" i="6"/>
  <c r="F30" i="6"/>
  <c r="C30" i="6"/>
  <c r="B30" i="6"/>
  <c r="A30" i="6"/>
  <c r="BZ29" i="6"/>
  <c r="BX29" i="6" s="1"/>
  <c r="BY29" i="6"/>
  <c r="BS29" i="6"/>
  <c r="BV29" i="6" s="1"/>
  <c r="BR29" i="6"/>
  <c r="BU29" i="6" s="1"/>
  <c r="BQ29" i="6"/>
  <c r="BT29" i="6" s="1"/>
  <c r="BO29" i="6"/>
  <c r="BM29" i="6" s="1"/>
  <c r="BN29" i="6"/>
  <c r="BK29" i="6"/>
  <c r="BJ29" i="6"/>
  <c r="BI29" i="6"/>
  <c r="BA29" i="6"/>
  <c r="AZ29" i="6"/>
  <c r="BC29" i="6" s="1"/>
  <c r="AW29" i="6"/>
  <c r="AU29" i="6" s="1"/>
  <c r="AV29" i="6"/>
  <c r="AS29" i="6"/>
  <c r="AR29" i="6"/>
  <c r="AQ29" i="6"/>
  <c r="AJ29" i="6"/>
  <c r="AH29" i="6"/>
  <c r="AG29" i="6"/>
  <c r="AF29" i="6"/>
  <c r="AD29" i="6" s="1"/>
  <c r="AE29" i="6"/>
  <c r="AC29" i="6"/>
  <c r="AI29" i="6" s="1"/>
  <c r="AB29" i="6"/>
  <c r="Y29" i="6"/>
  <c r="AA29" i="6" s="1"/>
  <c r="X29" i="6"/>
  <c r="U29" i="6"/>
  <c r="T29" i="6"/>
  <c r="S29" i="6"/>
  <c r="R29" i="6"/>
  <c r="Q29" i="6"/>
  <c r="P29" i="6"/>
  <c r="L29" i="6"/>
  <c r="K29" i="6"/>
  <c r="J29" i="6"/>
  <c r="F29" i="6"/>
  <c r="E29" i="6"/>
  <c r="D29" i="6"/>
  <c r="C29" i="6"/>
  <c r="B29" i="6"/>
  <c r="A29" i="6"/>
  <c r="CB28" i="6"/>
  <c r="CA28" i="6"/>
  <c r="BZ28" i="6"/>
  <c r="BY28" i="6"/>
  <c r="BW28" i="6"/>
  <c r="BS28" i="6"/>
  <c r="BR28" i="6"/>
  <c r="BU28" i="6" s="1"/>
  <c r="BP28" i="6"/>
  <c r="BO28" i="6"/>
  <c r="BN28" i="6"/>
  <c r="BL28" i="6"/>
  <c r="BK28" i="6"/>
  <c r="BJ28" i="6"/>
  <c r="BI28" i="6"/>
  <c r="BH28" i="6"/>
  <c r="BA28" i="6"/>
  <c r="AZ28" i="6"/>
  <c r="BC28" i="6" s="1"/>
  <c r="AY28" i="6"/>
  <c r="BB28" i="6" s="1"/>
  <c r="AX28" i="6"/>
  <c r="AW28" i="6"/>
  <c r="AU28" i="6" s="1"/>
  <c r="AV28" i="6"/>
  <c r="AT28" i="6"/>
  <c r="AS28" i="6"/>
  <c r="AR28" i="6"/>
  <c r="AQ28" i="6"/>
  <c r="AP28" i="6"/>
  <c r="AL28" i="6"/>
  <c r="AJ28" i="6"/>
  <c r="AF28" i="6"/>
  <c r="AE28" i="6"/>
  <c r="AD28" i="6"/>
  <c r="AC28" i="6"/>
  <c r="AB28" i="6"/>
  <c r="AA28" i="6"/>
  <c r="Z28" i="6"/>
  <c r="Y28" i="6"/>
  <c r="W28" i="6" s="1"/>
  <c r="X28" i="6"/>
  <c r="U28" i="6"/>
  <c r="R28" i="6"/>
  <c r="Q28" i="6"/>
  <c r="N28" i="6"/>
  <c r="K28" i="6"/>
  <c r="J28" i="6"/>
  <c r="L28" i="6" s="1"/>
  <c r="I28" i="6"/>
  <c r="H28" i="6"/>
  <c r="G28" i="6"/>
  <c r="F28" i="6"/>
  <c r="B28" i="6"/>
  <c r="A28" i="6"/>
  <c r="CB27" i="6"/>
  <c r="CA27" i="6"/>
  <c r="BZ27" i="6"/>
  <c r="BX27" i="6" s="1"/>
  <c r="BY27" i="6"/>
  <c r="BW27" i="6"/>
  <c r="BV27" i="6"/>
  <c r="BT27" i="6"/>
  <c r="BS27" i="6"/>
  <c r="BQ27" i="6" s="1"/>
  <c r="BR27" i="6"/>
  <c r="BP27" i="6"/>
  <c r="BO27" i="6"/>
  <c r="BN27" i="6"/>
  <c r="BU27" i="6" s="1"/>
  <c r="BL27" i="6"/>
  <c r="BK27" i="6"/>
  <c r="BI27" i="6" s="1"/>
  <c r="BJ27" i="6"/>
  <c r="BH27" i="6"/>
  <c r="BD27" i="6"/>
  <c r="BA27" i="6"/>
  <c r="AZ27" i="6"/>
  <c r="AY27" i="6"/>
  <c r="BB27" i="6" s="1"/>
  <c r="BE27" i="6" s="1"/>
  <c r="AX27" i="6"/>
  <c r="AW27" i="6"/>
  <c r="AU27" i="6" s="1"/>
  <c r="AV27" i="6"/>
  <c r="BC27" i="6" s="1"/>
  <c r="AT27" i="6"/>
  <c r="AS27" i="6"/>
  <c r="AR27" i="6"/>
  <c r="AQ27" i="6"/>
  <c r="AP27" i="6"/>
  <c r="AJ27" i="6"/>
  <c r="AI27" i="6"/>
  <c r="AH27" i="6"/>
  <c r="AF27" i="6"/>
  <c r="AE27" i="6"/>
  <c r="AB27" i="6"/>
  <c r="Y27" i="6"/>
  <c r="AA27" i="6" s="1"/>
  <c r="X27" i="6"/>
  <c r="U27" i="6"/>
  <c r="T27" i="6"/>
  <c r="S27" i="6"/>
  <c r="R27" i="6"/>
  <c r="Q27" i="6"/>
  <c r="P27" i="6"/>
  <c r="N27" i="6"/>
  <c r="L27" i="6"/>
  <c r="K27" i="6"/>
  <c r="J27" i="6"/>
  <c r="F27" i="6"/>
  <c r="E27" i="6"/>
  <c r="D27" i="6"/>
  <c r="C27" i="6"/>
  <c r="B27" i="6"/>
  <c r="A27" i="6"/>
  <c r="CB26" i="6"/>
  <c r="CA26" i="6"/>
  <c r="BZ26" i="6"/>
  <c r="BY26" i="6"/>
  <c r="BX26" i="6"/>
  <c r="BW26" i="6"/>
  <c r="BS26" i="6"/>
  <c r="BR26" i="6"/>
  <c r="BU26" i="6" s="1"/>
  <c r="BP26" i="6"/>
  <c r="BO26" i="6"/>
  <c r="BM26" i="6" s="1"/>
  <c r="BN26" i="6"/>
  <c r="BL26" i="6"/>
  <c r="BK26" i="6"/>
  <c r="BI26" i="6" s="1"/>
  <c r="BJ26" i="6"/>
  <c r="BH26" i="6"/>
  <c r="BA26" i="6"/>
  <c r="AZ26" i="6"/>
  <c r="BC26" i="6" s="1"/>
  <c r="BF26" i="6" s="1"/>
  <c r="AX26" i="6"/>
  <c r="AW26" i="6"/>
  <c r="AV26" i="6"/>
  <c r="AU26" i="6"/>
  <c r="AT26" i="6"/>
  <c r="AS26" i="6"/>
  <c r="AR26" i="6"/>
  <c r="AP26" i="6"/>
  <c r="AM26" i="6"/>
  <c r="AL26" i="6"/>
  <c r="AJ26" i="6"/>
  <c r="AF26" i="6"/>
  <c r="AE26" i="6"/>
  <c r="AD26" i="6"/>
  <c r="AK26" i="6" s="1"/>
  <c r="AB26" i="6"/>
  <c r="AC26" i="6" s="1"/>
  <c r="AA26" i="6"/>
  <c r="Z26" i="6"/>
  <c r="Y26" i="6"/>
  <c r="X26" i="6"/>
  <c r="W26" i="6"/>
  <c r="U26" i="6"/>
  <c r="T26" i="6"/>
  <c r="S26" i="6"/>
  <c r="R26" i="6"/>
  <c r="P26" i="6" s="1"/>
  <c r="Q26" i="6"/>
  <c r="N26" i="6"/>
  <c r="J26" i="6"/>
  <c r="L26" i="6" s="1"/>
  <c r="I26" i="6"/>
  <c r="H26" i="6"/>
  <c r="G26" i="6"/>
  <c r="F26" i="6"/>
  <c r="C26" i="6"/>
  <c r="B26" i="6"/>
  <c r="E26" i="6" s="1"/>
  <c r="A26" i="6"/>
  <c r="CB25" i="6"/>
  <c r="CA25" i="6"/>
  <c r="BZ25" i="6"/>
  <c r="BY25" i="6"/>
  <c r="BX25" i="6"/>
  <c r="BW25" i="6"/>
  <c r="BV25" i="6"/>
  <c r="BU25" i="6"/>
  <c r="BS25" i="6"/>
  <c r="BQ25" i="6" s="1"/>
  <c r="BT25" i="6" s="1"/>
  <c r="BR25" i="6"/>
  <c r="BP25" i="6"/>
  <c r="BO25" i="6"/>
  <c r="BN25" i="6"/>
  <c r="BM25" i="6"/>
  <c r="BL25" i="6"/>
  <c r="BK25" i="6"/>
  <c r="BI25" i="6" s="1"/>
  <c r="BJ25" i="6"/>
  <c r="BH25" i="6"/>
  <c r="BA25" i="6"/>
  <c r="AZ25" i="6"/>
  <c r="AY25" i="6"/>
  <c r="BB25" i="6" s="1"/>
  <c r="BE25" i="6" s="1"/>
  <c r="AX25" i="6"/>
  <c r="AW25" i="6"/>
  <c r="AV25" i="6"/>
  <c r="AT25" i="6"/>
  <c r="AS25" i="6"/>
  <c r="AR25" i="6"/>
  <c r="AQ25" i="6" s="1"/>
  <c r="AP25" i="6"/>
  <c r="AJ25" i="6"/>
  <c r="AI25" i="6"/>
  <c r="AH25" i="6"/>
  <c r="AG25" i="6"/>
  <c r="AF25" i="6"/>
  <c r="AE25" i="6"/>
  <c r="AB25" i="6"/>
  <c r="Y25" i="6"/>
  <c r="W25" i="6" s="1"/>
  <c r="X25" i="6"/>
  <c r="U25" i="6"/>
  <c r="R25" i="6"/>
  <c r="Q25" i="6"/>
  <c r="P25" i="6"/>
  <c r="O25" i="6"/>
  <c r="N25" i="6"/>
  <c r="L25" i="6"/>
  <c r="K25" i="6"/>
  <c r="J25" i="6"/>
  <c r="F25" i="6"/>
  <c r="I25" i="6" s="1"/>
  <c r="E25" i="6"/>
  <c r="D25" i="6"/>
  <c r="C25" i="6"/>
  <c r="B25" i="6"/>
  <c r="A25" i="6"/>
  <c r="CB24" i="6"/>
  <c r="CA24" i="6"/>
  <c r="BZ24" i="6"/>
  <c r="BX24" i="6" s="1"/>
  <c r="BY24" i="6"/>
  <c r="BW24" i="6"/>
  <c r="BS24" i="6"/>
  <c r="BR24" i="6"/>
  <c r="BU24" i="6" s="1"/>
  <c r="BP24" i="6"/>
  <c r="BO24" i="6"/>
  <c r="BN24" i="6"/>
  <c r="BM24" i="6"/>
  <c r="BL24" i="6"/>
  <c r="BK24" i="6"/>
  <c r="BJ24" i="6"/>
  <c r="BH24" i="6"/>
  <c r="BD24" i="6"/>
  <c r="BG24" i="6" s="1"/>
  <c r="BA24" i="6"/>
  <c r="AY24" i="6" s="1"/>
  <c r="AZ24" i="6"/>
  <c r="AX24" i="6"/>
  <c r="AW24" i="6"/>
  <c r="AV24" i="6"/>
  <c r="BC24" i="6" s="1"/>
  <c r="AU24" i="6"/>
  <c r="AT24" i="6"/>
  <c r="AS24" i="6"/>
  <c r="AQ24" i="6" s="1"/>
  <c r="BB24" i="6" s="1"/>
  <c r="AR24" i="6"/>
  <c r="AP24" i="6"/>
  <c r="AM24" i="6"/>
  <c r="AO24" i="6" s="1"/>
  <c r="AJ24" i="6"/>
  <c r="AG24" i="6"/>
  <c r="AF24" i="6"/>
  <c r="AH24" i="6" s="1"/>
  <c r="AE24" i="6"/>
  <c r="AD24" i="6"/>
  <c r="AB24" i="6"/>
  <c r="AA24" i="6"/>
  <c r="Z24" i="6"/>
  <c r="Y24" i="6"/>
  <c r="X24" i="6"/>
  <c r="AL24" i="6" s="1"/>
  <c r="U24" i="6"/>
  <c r="R24" i="6"/>
  <c r="P24" i="6" s="1"/>
  <c r="Q24" i="6"/>
  <c r="N24" i="6"/>
  <c r="O24" i="6" s="1"/>
  <c r="L24" i="6"/>
  <c r="K24" i="6"/>
  <c r="J24" i="6"/>
  <c r="F24" i="6"/>
  <c r="E24" i="6"/>
  <c r="D24" i="6"/>
  <c r="C24" i="6"/>
  <c r="B24" i="6"/>
  <c r="A24" i="6"/>
  <c r="BZ23" i="6"/>
  <c r="BY23" i="6"/>
  <c r="BX23" i="6"/>
  <c r="BS23" i="6"/>
  <c r="BQ23" i="6" s="1"/>
  <c r="BR23" i="6"/>
  <c r="BO23" i="6"/>
  <c r="BN23" i="6"/>
  <c r="BM23" i="6"/>
  <c r="BK23" i="6"/>
  <c r="BJ23" i="6"/>
  <c r="BU23" i="6" s="1"/>
  <c r="BA23" i="6"/>
  <c r="AY23" i="6" s="1"/>
  <c r="AZ23" i="6"/>
  <c r="AW23" i="6"/>
  <c r="AV23" i="6"/>
  <c r="AU23" i="6"/>
  <c r="AS23" i="6"/>
  <c r="BD23" i="6" s="1"/>
  <c r="AR23" i="6"/>
  <c r="BC23" i="6" s="1"/>
  <c r="BF23" i="6" s="1"/>
  <c r="AQ23" i="6"/>
  <c r="BB23" i="6" s="1"/>
  <c r="AJ23" i="6"/>
  <c r="AF23" i="6"/>
  <c r="AE23" i="6"/>
  <c r="AL23" i="6" s="1"/>
  <c r="AB23" i="6"/>
  <c r="AC23" i="6" s="1"/>
  <c r="AA23" i="6"/>
  <c r="Z23" i="6"/>
  <c r="Y23" i="6"/>
  <c r="W23" i="6" s="1"/>
  <c r="X23" i="6"/>
  <c r="U23" i="6"/>
  <c r="R23" i="6"/>
  <c r="P23" i="6" s="1"/>
  <c r="Q23" i="6"/>
  <c r="L23" i="6"/>
  <c r="K23" i="6"/>
  <c r="J23" i="6"/>
  <c r="F23" i="6"/>
  <c r="I23" i="6" s="1"/>
  <c r="E23" i="6"/>
  <c r="D23" i="6"/>
  <c r="C23" i="6"/>
  <c r="B23" i="6"/>
  <c r="A23" i="6"/>
  <c r="CB22" i="6"/>
  <c r="CA22" i="6"/>
  <c r="BZ22" i="6"/>
  <c r="BX22" i="6" s="1"/>
  <c r="BY22" i="6"/>
  <c r="BW22" i="6"/>
  <c r="BS22" i="6"/>
  <c r="BR22" i="6"/>
  <c r="BU22" i="6" s="1"/>
  <c r="BP22" i="6"/>
  <c r="BO22" i="6"/>
  <c r="BN22" i="6"/>
  <c r="BM22" i="6"/>
  <c r="BL22" i="6"/>
  <c r="BK22" i="6"/>
  <c r="BJ22" i="6"/>
  <c r="BH22" i="6"/>
  <c r="BD22" i="6"/>
  <c r="BG22" i="6" s="1"/>
  <c r="BA22" i="6"/>
  <c r="AY22" i="6" s="1"/>
  <c r="BB22" i="6" s="1"/>
  <c r="AZ22" i="6"/>
  <c r="AX22" i="6"/>
  <c r="AW22" i="6"/>
  <c r="AV22" i="6"/>
  <c r="BC22" i="6" s="1"/>
  <c r="BF22" i="6" s="1"/>
  <c r="AU22" i="6"/>
  <c r="AT22" i="6"/>
  <c r="AS22" i="6"/>
  <c r="AQ22" i="6" s="1"/>
  <c r="AR22" i="6"/>
  <c r="AP22" i="6"/>
  <c r="AM22" i="6"/>
  <c r="AO22" i="6" s="1"/>
  <c r="AL22" i="6"/>
  <c r="AJ22" i="6"/>
  <c r="AI22" i="6"/>
  <c r="AG22" i="6"/>
  <c r="AF22" i="6"/>
  <c r="AH22" i="6" s="1"/>
  <c r="AE22" i="6"/>
  <c r="AD22" i="6" s="1"/>
  <c r="AK22" i="6" s="1"/>
  <c r="AB22" i="6"/>
  <c r="AA22" i="6"/>
  <c r="Z22" i="6"/>
  <c r="Y22" i="6"/>
  <c r="X22" i="6"/>
  <c r="W22" i="6" s="1"/>
  <c r="U22" i="6"/>
  <c r="T22" i="6"/>
  <c r="S22" i="6"/>
  <c r="R22" i="6"/>
  <c r="P22" i="6" s="1"/>
  <c r="Q22" i="6"/>
  <c r="N22" i="6"/>
  <c r="J22" i="6"/>
  <c r="L22" i="6" s="1"/>
  <c r="I22" i="6"/>
  <c r="H22" i="6"/>
  <c r="G22" i="6"/>
  <c r="F22" i="6"/>
  <c r="B22" i="6"/>
  <c r="E22" i="6" s="1"/>
  <c r="A22" i="6"/>
  <c r="BZ21" i="6"/>
  <c r="BX21" i="6" s="1"/>
  <c r="BY21" i="6"/>
  <c r="BS21" i="6"/>
  <c r="BQ21" i="6" s="1"/>
  <c r="BR21" i="6"/>
  <c r="BO21" i="6"/>
  <c r="BN21" i="6"/>
  <c r="BM21" i="6"/>
  <c r="BT21" i="6" s="1"/>
  <c r="BK21" i="6"/>
  <c r="BJ21" i="6"/>
  <c r="BU21" i="6" s="1"/>
  <c r="BI21" i="6"/>
  <c r="BA21" i="6"/>
  <c r="AZ21" i="6"/>
  <c r="BC21" i="6" s="1"/>
  <c r="BF21" i="6" s="1"/>
  <c r="AW21" i="6"/>
  <c r="AU21" i="6" s="1"/>
  <c r="AV21" i="6"/>
  <c r="AS21" i="6"/>
  <c r="AR21" i="6"/>
  <c r="AQ21" i="6" s="1"/>
  <c r="AJ21" i="6"/>
  <c r="AI21" i="6"/>
  <c r="AH21" i="6"/>
  <c r="AF21" i="6"/>
  <c r="AE21" i="6"/>
  <c r="AL21" i="6" s="1"/>
  <c r="AB21" i="6"/>
  <c r="AC21" i="6" s="1"/>
  <c r="AG21" i="6" s="1"/>
  <c r="Y21" i="6"/>
  <c r="W21" i="6" s="1"/>
  <c r="X21" i="6"/>
  <c r="U21" i="6"/>
  <c r="R21" i="6"/>
  <c r="T21" i="6" s="1"/>
  <c r="Q21" i="6"/>
  <c r="P21" i="6"/>
  <c r="L21" i="6"/>
  <c r="K21" i="6"/>
  <c r="J21" i="6"/>
  <c r="F21" i="6"/>
  <c r="I21" i="6" s="1"/>
  <c r="E21" i="6"/>
  <c r="D21" i="6"/>
  <c r="C21" i="6"/>
  <c r="B21" i="6"/>
  <c r="A21" i="6"/>
  <c r="BZ20" i="6"/>
  <c r="BY20" i="6"/>
  <c r="BX20" i="6"/>
  <c r="BS20" i="6"/>
  <c r="BR20" i="6"/>
  <c r="BQ20" i="6"/>
  <c r="BO20" i="6"/>
  <c r="BM20" i="6" s="1"/>
  <c r="BN20" i="6"/>
  <c r="BU20" i="6" s="1"/>
  <c r="BK20" i="6"/>
  <c r="BI20" i="6" s="1"/>
  <c r="BJ20" i="6"/>
  <c r="BD20" i="6"/>
  <c r="BC20" i="6"/>
  <c r="BA20" i="6"/>
  <c r="AY20" i="6" s="1"/>
  <c r="AZ20" i="6"/>
  <c r="AW20" i="6"/>
  <c r="AV20" i="6"/>
  <c r="AU20" i="6"/>
  <c r="AS20" i="6"/>
  <c r="AQ20" i="6" s="1"/>
  <c r="AR20" i="6"/>
  <c r="AM20" i="6"/>
  <c r="AJ20" i="6"/>
  <c r="AF20" i="6"/>
  <c r="AE20" i="6"/>
  <c r="AD20" i="6" s="1"/>
  <c r="AK20" i="6" s="1"/>
  <c r="AB20" i="6"/>
  <c r="AC20" i="6" s="1"/>
  <c r="AA20" i="6"/>
  <c r="Z20" i="6"/>
  <c r="Y20" i="6"/>
  <c r="X20" i="6"/>
  <c r="W20" i="6"/>
  <c r="U20" i="6"/>
  <c r="T20" i="6"/>
  <c r="S20" i="6"/>
  <c r="R20" i="6"/>
  <c r="P20" i="6" s="1"/>
  <c r="Q20" i="6"/>
  <c r="K20" i="6"/>
  <c r="J20" i="6"/>
  <c r="L20" i="6" s="1"/>
  <c r="I20" i="6"/>
  <c r="H20" i="6"/>
  <c r="G20" i="6"/>
  <c r="F20" i="6"/>
  <c r="C20" i="6"/>
  <c r="B20" i="6"/>
  <c r="A20" i="6"/>
  <c r="CB19" i="6"/>
  <c r="CA19" i="6"/>
  <c r="BZ19" i="6"/>
  <c r="BX19" i="6" s="1"/>
  <c r="BY19" i="6"/>
  <c r="BW19" i="6"/>
  <c r="BT19" i="6"/>
  <c r="BS19" i="6"/>
  <c r="BQ19" i="6" s="1"/>
  <c r="BR19" i="6"/>
  <c r="BP19" i="6"/>
  <c r="BO19" i="6"/>
  <c r="BV19" i="6" s="1"/>
  <c r="BN19" i="6"/>
  <c r="BU19" i="6" s="1"/>
  <c r="BL19" i="6"/>
  <c r="BK19" i="6"/>
  <c r="BI19" i="6" s="1"/>
  <c r="BJ19" i="6"/>
  <c r="BH19" i="6"/>
  <c r="BE19" i="6"/>
  <c r="BA19" i="6"/>
  <c r="AZ19" i="6"/>
  <c r="AY19" i="6"/>
  <c r="BB19" i="6" s="1"/>
  <c r="AX19" i="6"/>
  <c r="AW19" i="6"/>
  <c r="BD19" i="6" s="1"/>
  <c r="AV19" i="6"/>
  <c r="BC19" i="6" s="1"/>
  <c r="AT19" i="6"/>
  <c r="AS19" i="6"/>
  <c r="AR19" i="6"/>
  <c r="AQ19" i="6"/>
  <c r="AP19" i="6"/>
  <c r="AJ19" i="6"/>
  <c r="AI19" i="6"/>
  <c r="AF19" i="6"/>
  <c r="AH19" i="6" s="1"/>
  <c r="AE19" i="6"/>
  <c r="AC19" i="6"/>
  <c r="AB19" i="6"/>
  <c r="AA19" i="6"/>
  <c r="Z19" i="6"/>
  <c r="Y19" i="6"/>
  <c r="W19" i="6" s="1"/>
  <c r="X19" i="6"/>
  <c r="U19" i="6"/>
  <c r="R19" i="6"/>
  <c r="Q19" i="6"/>
  <c r="P19" i="6" s="1"/>
  <c r="N19" i="6"/>
  <c r="L19" i="6"/>
  <c r="K19" i="6"/>
  <c r="J19" i="6"/>
  <c r="F19" i="6"/>
  <c r="I19" i="6" s="1"/>
  <c r="E19" i="6"/>
  <c r="D19" i="6"/>
  <c r="C19" i="6"/>
  <c r="B19" i="6"/>
  <c r="A19" i="6"/>
  <c r="CB18" i="6"/>
  <c r="CA18" i="6"/>
  <c r="BZ18" i="6"/>
  <c r="BX18" i="6" s="1"/>
  <c r="BY18" i="6"/>
  <c r="BW18" i="6"/>
  <c r="BS18" i="6"/>
  <c r="BR18" i="6"/>
  <c r="BQ18" i="6"/>
  <c r="BP18" i="6"/>
  <c r="BO18" i="6"/>
  <c r="BM18" i="6" s="1"/>
  <c r="BN18" i="6"/>
  <c r="BL18" i="6"/>
  <c r="BK18" i="6"/>
  <c r="BI18" i="6" s="1"/>
  <c r="BT18" i="6" s="1"/>
  <c r="BJ18" i="6"/>
  <c r="BH18" i="6"/>
  <c r="BC18" i="6"/>
  <c r="BA18" i="6"/>
  <c r="AY18" i="6" s="1"/>
  <c r="BB18" i="6" s="1"/>
  <c r="AZ18" i="6"/>
  <c r="AX18" i="6"/>
  <c r="AW18" i="6"/>
  <c r="AV18" i="6"/>
  <c r="AU18" i="6"/>
  <c r="AT18" i="6"/>
  <c r="AS18" i="6"/>
  <c r="AQ18" i="6" s="1"/>
  <c r="AR18" i="6"/>
  <c r="AP18" i="6"/>
  <c r="AJ18" i="6"/>
  <c r="AF18" i="6"/>
  <c r="AE18" i="6"/>
  <c r="AL18" i="6" s="1"/>
  <c r="AD18" i="6"/>
  <c r="AK18" i="6" s="1"/>
  <c r="AC18" i="6"/>
  <c r="AI18" i="6" s="1"/>
  <c r="AB18" i="6"/>
  <c r="AA18" i="6"/>
  <c r="Z18" i="6"/>
  <c r="Y18" i="6"/>
  <c r="X18" i="6"/>
  <c r="W18" i="6"/>
  <c r="U18" i="6"/>
  <c r="T18" i="6"/>
  <c r="S18" i="6"/>
  <c r="R18" i="6"/>
  <c r="P18" i="6" s="1"/>
  <c r="Q18" i="6"/>
  <c r="N18" i="6"/>
  <c r="J18" i="6"/>
  <c r="L18" i="6" s="1"/>
  <c r="I18" i="6"/>
  <c r="H18" i="6"/>
  <c r="G18" i="6"/>
  <c r="F18" i="6"/>
  <c r="B18" i="6"/>
  <c r="E18" i="6" s="1"/>
  <c r="A18" i="6"/>
  <c r="CB17" i="6"/>
  <c r="CA17" i="6"/>
  <c r="BZ17" i="6"/>
  <c r="BY17" i="6"/>
  <c r="BX17" i="6" s="1"/>
  <c r="BW17" i="6"/>
  <c r="BV17" i="6"/>
  <c r="BS17" i="6"/>
  <c r="BR17" i="6"/>
  <c r="BQ17" i="6"/>
  <c r="BP17" i="6"/>
  <c r="BO17" i="6"/>
  <c r="BM17" i="6" s="1"/>
  <c r="BN17" i="6"/>
  <c r="BU17" i="6" s="1"/>
  <c r="BL17" i="6"/>
  <c r="BK17" i="6"/>
  <c r="BJ17" i="6"/>
  <c r="BI17" i="6"/>
  <c r="BH17" i="6"/>
  <c r="BA17" i="6"/>
  <c r="AZ17" i="6"/>
  <c r="BC17" i="6" s="1"/>
  <c r="AY17" i="6"/>
  <c r="BB17" i="6" s="1"/>
  <c r="AX17" i="6"/>
  <c r="AW17" i="6"/>
  <c r="AU17" i="6" s="1"/>
  <c r="AV17" i="6"/>
  <c r="AT17" i="6"/>
  <c r="AS17" i="6"/>
  <c r="AR17" i="6"/>
  <c r="AQ17" i="6"/>
  <c r="AP17" i="6"/>
  <c r="AJ17" i="6"/>
  <c r="AI17" i="6"/>
  <c r="AH17" i="6"/>
  <c r="AG17" i="6"/>
  <c r="AF17" i="6"/>
  <c r="AE17" i="6"/>
  <c r="AB17" i="6"/>
  <c r="Y17" i="6"/>
  <c r="W17" i="6" s="1"/>
  <c r="X17" i="6"/>
  <c r="U17" i="6"/>
  <c r="R17" i="6"/>
  <c r="T17" i="6" s="1"/>
  <c r="Q17" i="6"/>
  <c r="N17" i="6"/>
  <c r="L17" i="6"/>
  <c r="K17" i="6"/>
  <c r="J17" i="6"/>
  <c r="I17" i="6"/>
  <c r="H17" i="6"/>
  <c r="G17" i="6"/>
  <c r="F17" i="6"/>
  <c r="E17" i="6"/>
  <c r="D17" i="6"/>
  <c r="C17" i="6"/>
  <c r="B17" i="6"/>
  <c r="A17" i="6"/>
  <c r="CB16" i="6"/>
  <c r="CA16" i="6"/>
  <c r="BZ16" i="6"/>
  <c r="BX16" i="6" s="1"/>
  <c r="BY16" i="6"/>
  <c r="BW16" i="6"/>
  <c r="BS16" i="6"/>
  <c r="BR16" i="6"/>
  <c r="BU16" i="6" s="1"/>
  <c r="BP16" i="6"/>
  <c r="BO16" i="6"/>
  <c r="BN16" i="6"/>
  <c r="BM16" i="6"/>
  <c r="BL16" i="6"/>
  <c r="BK16" i="6"/>
  <c r="BI16" i="6" s="1"/>
  <c r="BJ16" i="6"/>
  <c r="BH16" i="6"/>
  <c r="BA16" i="6"/>
  <c r="AY16" i="6" s="1"/>
  <c r="BB16" i="6" s="1"/>
  <c r="BE16" i="6" s="1"/>
  <c r="AZ16" i="6"/>
  <c r="AX16" i="6"/>
  <c r="AW16" i="6"/>
  <c r="BD16" i="6" s="1"/>
  <c r="BG16" i="6" s="1"/>
  <c r="AV16" i="6"/>
  <c r="BC16" i="6" s="1"/>
  <c r="AT16" i="6"/>
  <c r="AS16" i="6"/>
  <c r="AQ16" i="6" s="1"/>
  <c r="AR16" i="6"/>
  <c r="AP16" i="6"/>
  <c r="AM16" i="6"/>
  <c r="AO16" i="6" s="1"/>
  <c r="AJ16" i="6"/>
  <c r="AI16" i="6"/>
  <c r="AF16" i="6"/>
  <c r="AH16" i="6" s="1"/>
  <c r="AE16" i="6"/>
  <c r="AL16" i="6" s="1"/>
  <c r="AD16" i="6"/>
  <c r="AK16" i="6" s="1"/>
  <c r="AB16" i="6"/>
  <c r="AA16" i="6"/>
  <c r="Z16" i="6"/>
  <c r="Y16" i="6"/>
  <c r="X16" i="6"/>
  <c r="W16" i="6"/>
  <c r="U16" i="6"/>
  <c r="T16" i="6"/>
  <c r="S16" i="6"/>
  <c r="R16" i="6"/>
  <c r="P16" i="6" s="1"/>
  <c r="Q16" i="6"/>
  <c r="N16" i="6"/>
  <c r="K16" i="6"/>
  <c r="J16" i="6"/>
  <c r="L16" i="6" s="1"/>
  <c r="I16" i="6"/>
  <c r="H16" i="6"/>
  <c r="G16" i="6"/>
  <c r="F16" i="6"/>
  <c r="C16" i="6"/>
  <c r="B16" i="6"/>
  <c r="E16" i="6" s="1"/>
  <c r="A16" i="6"/>
  <c r="CB15" i="6"/>
  <c r="CA15" i="6"/>
  <c r="BZ15" i="6"/>
  <c r="BY15" i="6"/>
  <c r="BX15" i="6"/>
  <c r="BW15" i="6"/>
  <c r="BV15" i="6"/>
  <c r="BS15" i="6"/>
  <c r="BR15" i="6"/>
  <c r="BQ15" i="6"/>
  <c r="BP15" i="6"/>
  <c r="BO15" i="6"/>
  <c r="BN15" i="6"/>
  <c r="BU15" i="6" s="1"/>
  <c r="BL15" i="6"/>
  <c r="BK15" i="6"/>
  <c r="BJ15" i="6"/>
  <c r="BI15" i="6"/>
  <c r="BH15" i="6"/>
  <c r="BA15" i="6"/>
  <c r="BD15" i="6" s="1"/>
  <c r="AZ15" i="6"/>
  <c r="BC15" i="6" s="1"/>
  <c r="BF15" i="6" s="1"/>
  <c r="AX15" i="6"/>
  <c r="AW15" i="6"/>
  <c r="AU15" i="6" s="1"/>
  <c r="AV15" i="6"/>
  <c r="AT15" i="6"/>
  <c r="AS15" i="6"/>
  <c r="AR15" i="6"/>
  <c r="AQ15" i="6"/>
  <c r="AP15" i="6"/>
  <c r="AJ15" i="6"/>
  <c r="AI15" i="6"/>
  <c r="AH15" i="6"/>
  <c r="AG15" i="6"/>
  <c r="AF15" i="6"/>
  <c r="AE15" i="6"/>
  <c r="AL15" i="6" s="1"/>
  <c r="AB15" i="6"/>
  <c r="AA15" i="6"/>
  <c r="Z15" i="6"/>
  <c r="Y15" i="6"/>
  <c r="W15" i="6" s="1"/>
  <c r="X15" i="6"/>
  <c r="U15" i="6"/>
  <c r="R15" i="6"/>
  <c r="T15" i="6" s="1"/>
  <c r="Q15" i="6"/>
  <c r="P15" i="6"/>
  <c r="O15" i="6"/>
  <c r="N15" i="6"/>
  <c r="J15" i="6"/>
  <c r="I15" i="6"/>
  <c r="H15" i="6"/>
  <c r="G15" i="6"/>
  <c r="F15" i="6"/>
  <c r="B15" i="6"/>
  <c r="A15" i="6"/>
  <c r="CB14" i="6"/>
  <c r="CA14" i="6"/>
  <c r="BZ14" i="6"/>
  <c r="BX14" i="6" s="1"/>
  <c r="BY14" i="6"/>
  <c r="BW14" i="6"/>
  <c r="BU14" i="6"/>
  <c r="BT14" i="6"/>
  <c r="BS14" i="6"/>
  <c r="BQ14" i="6" s="1"/>
  <c r="BR14" i="6"/>
  <c r="BP14" i="6"/>
  <c r="BO14" i="6"/>
  <c r="BN14" i="6"/>
  <c r="BM14" i="6" s="1"/>
  <c r="BL14" i="6"/>
  <c r="BK14" i="6"/>
  <c r="BI14" i="6" s="1"/>
  <c r="BJ14" i="6"/>
  <c r="BH14" i="6"/>
  <c r="BD14" i="6"/>
  <c r="BC14" i="6"/>
  <c r="BA14" i="6"/>
  <c r="AY14" i="6" s="1"/>
  <c r="BB14" i="6" s="1"/>
  <c r="BE14" i="6" s="1"/>
  <c r="AZ14" i="6"/>
  <c r="AX14" i="6"/>
  <c r="AW14" i="6"/>
  <c r="AV14" i="6"/>
  <c r="AU14" i="6"/>
  <c r="AT14" i="6"/>
  <c r="AS14" i="6"/>
  <c r="AQ14" i="6" s="1"/>
  <c r="AR14" i="6"/>
  <c r="AP14" i="6"/>
  <c r="AJ14" i="6"/>
  <c r="AI14" i="6"/>
  <c r="AF14" i="6"/>
  <c r="AD14" i="6" s="1"/>
  <c r="AK14" i="6" s="1"/>
  <c r="AE14" i="6"/>
  <c r="AB14" i="6"/>
  <c r="Y14" i="6"/>
  <c r="X14" i="6"/>
  <c r="W14" i="6"/>
  <c r="U14" i="6"/>
  <c r="T14" i="6"/>
  <c r="S14" i="6"/>
  <c r="R14" i="6"/>
  <c r="Q14" i="6"/>
  <c r="P14" i="6"/>
  <c r="N14" i="6"/>
  <c r="L14" i="6"/>
  <c r="K14" i="6"/>
  <c r="J14" i="6"/>
  <c r="F14" i="6"/>
  <c r="E14" i="6"/>
  <c r="D14" i="6"/>
  <c r="C14" i="6"/>
  <c r="B14" i="6"/>
  <c r="A14" i="6"/>
  <c r="CB13" i="6"/>
  <c r="CA13" i="6"/>
  <c r="BZ13" i="6"/>
  <c r="BX13" i="6" s="1"/>
  <c r="BY13" i="6"/>
  <c r="BW13" i="6"/>
  <c r="BS13" i="6"/>
  <c r="BR13" i="6"/>
  <c r="BU13" i="6" s="1"/>
  <c r="BP13" i="6"/>
  <c r="BO13" i="6"/>
  <c r="BN13" i="6"/>
  <c r="BL13" i="6"/>
  <c r="BK13" i="6"/>
  <c r="BJ13" i="6"/>
  <c r="BI13" i="6"/>
  <c r="BH13" i="6"/>
  <c r="BA13" i="6"/>
  <c r="AZ13" i="6"/>
  <c r="AY13" i="6"/>
  <c r="AX13" i="6"/>
  <c r="AW13" i="6"/>
  <c r="AU13" i="6" s="1"/>
  <c r="AV13" i="6"/>
  <c r="AT13" i="6"/>
  <c r="AS13" i="6"/>
  <c r="AQ13" i="6" s="1"/>
  <c r="BB13" i="6" s="1"/>
  <c r="BE13" i="6" s="1"/>
  <c r="AR13" i="6"/>
  <c r="AP13" i="6"/>
  <c r="AL13" i="6"/>
  <c r="AK13" i="6"/>
  <c r="AJ13" i="6"/>
  <c r="AF13" i="6"/>
  <c r="AM13" i="6" s="1"/>
  <c r="AE13" i="6"/>
  <c r="AD13" i="6"/>
  <c r="AB13" i="6"/>
  <c r="AC13" i="6" s="1"/>
  <c r="Y13" i="6"/>
  <c r="W13" i="6" s="1"/>
  <c r="X13" i="6"/>
  <c r="V13" i="6"/>
  <c r="Z13" i="6" s="1"/>
  <c r="U13" i="6"/>
  <c r="R13" i="6"/>
  <c r="P13" i="6" s="1"/>
  <c r="Q13" i="6"/>
  <c r="N13" i="6"/>
  <c r="O13" i="6" s="1"/>
  <c r="T13" i="6" s="1"/>
  <c r="L13" i="6"/>
  <c r="K13" i="6"/>
  <c r="J13" i="6"/>
  <c r="I13" i="6"/>
  <c r="H13" i="6"/>
  <c r="G13" i="6"/>
  <c r="F13" i="6"/>
  <c r="E13" i="6"/>
  <c r="D13" i="6"/>
  <c r="C13" i="6"/>
  <c r="B13" i="6"/>
  <c r="A13" i="6"/>
  <c r="BZ12" i="6"/>
  <c r="BX12" i="6" s="1"/>
  <c r="BY12" i="6"/>
  <c r="BS12" i="6"/>
  <c r="BQ12" i="6" s="1"/>
  <c r="BT12" i="6" s="1"/>
  <c r="BR12" i="6"/>
  <c r="BO12" i="6"/>
  <c r="BN12" i="6"/>
  <c r="BM12" i="6"/>
  <c r="BK12" i="6"/>
  <c r="BJ12" i="6"/>
  <c r="BU12" i="6" s="1"/>
  <c r="BI12" i="6"/>
  <c r="BC12" i="6"/>
  <c r="BA12" i="6"/>
  <c r="AZ12" i="6"/>
  <c r="AW12" i="6"/>
  <c r="AU12" i="6" s="1"/>
  <c r="AV12" i="6"/>
  <c r="AS12" i="6"/>
  <c r="AR12" i="6"/>
  <c r="AQ12" i="6"/>
  <c r="AJ12" i="6"/>
  <c r="AF12" i="6"/>
  <c r="AE12" i="6"/>
  <c r="AB12" i="6"/>
  <c r="AC12" i="6" s="1"/>
  <c r="AI12" i="6" s="1"/>
  <c r="Y12" i="6"/>
  <c r="W12" i="6" s="1"/>
  <c r="X12" i="6"/>
  <c r="U12" i="6"/>
  <c r="R12" i="6"/>
  <c r="T12" i="6" s="1"/>
  <c r="Q12" i="6"/>
  <c r="L12" i="6"/>
  <c r="K12" i="6"/>
  <c r="J12" i="6"/>
  <c r="F12" i="6"/>
  <c r="I12" i="6" s="1"/>
  <c r="E12" i="6"/>
  <c r="D12" i="6"/>
  <c r="C12" i="6"/>
  <c r="B12" i="6"/>
  <c r="A12" i="6"/>
  <c r="CB11" i="6"/>
  <c r="CA11" i="6"/>
  <c r="BZ11" i="6"/>
  <c r="BY11" i="6"/>
  <c r="BW11" i="6"/>
  <c r="BS11" i="6"/>
  <c r="BV11" i="6" s="1"/>
  <c r="BR11" i="6"/>
  <c r="BQ11" i="6"/>
  <c r="BP11" i="6"/>
  <c r="BO11" i="6"/>
  <c r="BM11" i="6" s="1"/>
  <c r="BN11" i="6"/>
  <c r="BL11" i="6"/>
  <c r="BK11" i="6"/>
  <c r="BJ11" i="6"/>
  <c r="BI11" i="6" s="1"/>
  <c r="BH11" i="6"/>
  <c r="BC11" i="6"/>
  <c r="BA11" i="6"/>
  <c r="AY11" i="6" s="1"/>
  <c r="AZ11" i="6"/>
  <c r="AX11" i="6"/>
  <c r="AW11" i="6"/>
  <c r="AV11" i="6"/>
  <c r="AU11" i="6" s="1"/>
  <c r="BB11" i="6" s="1"/>
  <c r="AT11" i="6"/>
  <c r="AS11" i="6"/>
  <c r="AQ11" i="6" s="1"/>
  <c r="AR11" i="6"/>
  <c r="AP11" i="6"/>
  <c r="AJ11" i="6"/>
  <c r="AF11" i="6"/>
  <c r="AE11" i="6"/>
  <c r="AC11" i="6"/>
  <c r="AB11" i="6"/>
  <c r="AA11" i="6"/>
  <c r="Z11" i="6"/>
  <c r="Y11" i="6"/>
  <c r="X11" i="6"/>
  <c r="AL11" i="6" s="1"/>
  <c r="U11" i="6"/>
  <c r="R11" i="6"/>
  <c r="P11" i="6" s="1"/>
  <c r="Q11" i="6"/>
  <c r="N11" i="6"/>
  <c r="O11" i="6" s="1"/>
  <c r="L11" i="6"/>
  <c r="K11" i="6"/>
  <c r="J11" i="6"/>
  <c r="F11" i="6"/>
  <c r="E11" i="6"/>
  <c r="D11" i="6"/>
  <c r="C11" i="6"/>
  <c r="B11" i="6"/>
  <c r="A11" i="6"/>
  <c r="BZ10" i="6"/>
  <c r="BY10" i="6"/>
  <c r="BX10" i="6"/>
  <c r="BS10" i="6"/>
  <c r="BQ10" i="6" s="1"/>
  <c r="BT10" i="6" s="1"/>
  <c r="BR10" i="6"/>
  <c r="BO10" i="6"/>
  <c r="BN10" i="6"/>
  <c r="BM10" i="6"/>
  <c r="BK10" i="6"/>
  <c r="BJ10" i="6"/>
  <c r="BU10" i="6" s="1"/>
  <c r="BB10" i="6"/>
  <c r="BE10" i="6" s="1"/>
  <c r="BA10" i="6"/>
  <c r="AY10" i="6" s="1"/>
  <c r="AZ10" i="6"/>
  <c r="AW10" i="6"/>
  <c r="AV10" i="6"/>
  <c r="AU10" i="6"/>
  <c r="AS10" i="6"/>
  <c r="BD10" i="6" s="1"/>
  <c r="AR10" i="6"/>
  <c r="BC10" i="6" s="1"/>
  <c r="BF10" i="6" s="1"/>
  <c r="AQ10" i="6"/>
  <c r="AJ10" i="6"/>
  <c r="AF10" i="6"/>
  <c r="AE10" i="6"/>
  <c r="AL10" i="6" s="1"/>
  <c r="AB10" i="6"/>
  <c r="AC10" i="6" s="1"/>
  <c r="AA10" i="6"/>
  <c r="Z10" i="6"/>
  <c r="Y10" i="6"/>
  <c r="W10" i="6" s="1"/>
  <c r="X10" i="6"/>
  <c r="U10" i="6"/>
  <c r="R10" i="6"/>
  <c r="P10" i="6" s="1"/>
  <c r="Q10" i="6"/>
  <c r="L10" i="6"/>
  <c r="K10" i="6"/>
  <c r="J10" i="6"/>
  <c r="F10" i="6"/>
  <c r="I10" i="6" s="1"/>
  <c r="E10" i="6"/>
  <c r="D10" i="6"/>
  <c r="C10" i="6"/>
  <c r="B10" i="6"/>
  <c r="A10" i="6"/>
  <c r="CB9" i="6"/>
  <c r="CA9" i="6"/>
  <c r="BZ9" i="6"/>
  <c r="BX9" i="6" s="1"/>
  <c r="BY9" i="6"/>
  <c r="BW9" i="6"/>
  <c r="BS9" i="6"/>
  <c r="BR9" i="6"/>
  <c r="BU9" i="6" s="1"/>
  <c r="BP9" i="6"/>
  <c r="BO9" i="6"/>
  <c r="BN9" i="6"/>
  <c r="BM9" i="6"/>
  <c r="BL9" i="6"/>
  <c r="BK9" i="6"/>
  <c r="BJ9" i="6"/>
  <c r="BH9" i="6"/>
  <c r="BD9" i="6"/>
  <c r="BG9" i="6" s="1"/>
  <c r="BA9" i="6"/>
  <c r="AY9" i="6" s="1"/>
  <c r="BB9" i="6" s="1"/>
  <c r="AZ9" i="6"/>
  <c r="AX9" i="6"/>
  <c r="AW9" i="6"/>
  <c r="AV9" i="6"/>
  <c r="BC9" i="6" s="1"/>
  <c r="BF9" i="6" s="1"/>
  <c r="AU9" i="6"/>
  <c r="AT9" i="6"/>
  <c r="AS9" i="6"/>
  <c r="AQ9" i="6" s="1"/>
  <c r="AR9" i="6"/>
  <c r="AP9" i="6"/>
  <c r="AM9" i="6"/>
  <c r="AO9" i="6" s="1"/>
  <c r="AL9" i="6"/>
  <c r="AJ9" i="6"/>
  <c r="AI9" i="6"/>
  <c r="AF9" i="6"/>
  <c r="AH9" i="6" s="1"/>
  <c r="AE9" i="6"/>
  <c r="AD9" i="6" s="1"/>
  <c r="AK9" i="6" s="1"/>
  <c r="AB9" i="6"/>
  <c r="AA9" i="6"/>
  <c r="Z9" i="6"/>
  <c r="Y9" i="6"/>
  <c r="X9" i="6"/>
  <c r="W9" i="6"/>
  <c r="U9" i="6"/>
  <c r="T9" i="6"/>
  <c r="S9" i="6"/>
  <c r="R9" i="6"/>
  <c r="P9" i="6" s="1"/>
  <c r="Q9" i="6"/>
  <c r="N9" i="6"/>
  <c r="J9" i="6"/>
  <c r="L9" i="6" s="1"/>
  <c r="I9" i="6"/>
  <c r="H9" i="6"/>
  <c r="G9" i="6"/>
  <c r="F9" i="6"/>
  <c r="B9" i="6"/>
  <c r="E9" i="6" s="1"/>
  <c r="A9" i="6"/>
  <c r="CP8" i="6"/>
  <c r="CO8" i="6"/>
  <c r="CN8" i="6"/>
  <c r="CM8" i="6"/>
  <c r="CL8" i="6"/>
  <c r="CK8" i="6"/>
  <c r="CJ8" i="6"/>
  <c r="CI8" i="6"/>
  <c r="CH8" i="6"/>
  <c r="CG8" i="6"/>
  <c r="CF8" i="6"/>
  <c r="BZ8" i="6"/>
  <c r="BY8" i="6"/>
  <c r="BX8" i="6" s="1"/>
  <c r="BV8" i="6"/>
  <c r="BS8" i="6"/>
  <c r="BR8" i="6"/>
  <c r="BQ8" i="6"/>
  <c r="BT8" i="6" s="1"/>
  <c r="BO8" i="6"/>
  <c r="BN8" i="6"/>
  <c r="BU8" i="6" s="1"/>
  <c r="BM8" i="6"/>
  <c r="BK8" i="6"/>
  <c r="BI8" i="6" s="1"/>
  <c r="BJ8" i="6"/>
  <c r="BD8" i="6"/>
  <c r="BA8" i="6"/>
  <c r="AY8" i="6" s="1"/>
  <c r="AZ8" i="6"/>
  <c r="AW8" i="6"/>
  <c r="AV8" i="6"/>
  <c r="AU8" i="6" s="1"/>
  <c r="AS8" i="6"/>
  <c r="AQ8" i="6" s="1"/>
  <c r="AR8" i="6"/>
  <c r="AP8" i="6"/>
  <c r="AJ8" i="6"/>
  <c r="AF8" i="6"/>
  <c r="AD8" i="6" s="1"/>
  <c r="AK8" i="6" s="1"/>
  <c r="AE8" i="6"/>
  <c r="AL8" i="6" s="1"/>
  <c r="AB8" i="6"/>
  <c r="Y8" i="6"/>
  <c r="X8" i="6"/>
  <c r="W8" i="6"/>
  <c r="U8" i="6"/>
  <c r="V8" i="6" s="1"/>
  <c r="T8" i="6"/>
  <c r="S8" i="6"/>
  <c r="R8" i="6"/>
  <c r="P8" i="6" s="1"/>
  <c r="Q8" i="6"/>
  <c r="K8" i="6"/>
  <c r="J8" i="6"/>
  <c r="L8" i="6" s="1"/>
  <c r="I8" i="6"/>
  <c r="H8" i="6"/>
  <c r="G8" i="6"/>
  <c r="F8" i="6"/>
  <c r="B8" i="6"/>
  <c r="E8" i="6" s="1"/>
  <c r="A8" i="6"/>
  <c r="BZ7" i="6"/>
  <c r="BX7" i="6" s="1"/>
  <c r="BY7" i="6"/>
  <c r="BS7" i="6"/>
  <c r="BR7" i="6"/>
  <c r="BU7" i="6" s="1"/>
  <c r="BO7" i="6"/>
  <c r="BM7" i="6" s="1"/>
  <c r="BN7" i="6"/>
  <c r="BK7" i="6"/>
  <c r="BI7" i="6" s="1"/>
  <c r="BJ7" i="6"/>
  <c r="BA7" i="6"/>
  <c r="BD7" i="6" s="1"/>
  <c r="AZ7" i="6"/>
  <c r="BC7" i="6" s="1"/>
  <c r="AW7" i="6"/>
  <c r="AU7" i="6" s="1"/>
  <c r="AV7" i="6"/>
  <c r="AS7" i="6"/>
  <c r="AR7" i="6"/>
  <c r="AQ7" i="6"/>
  <c r="AP7" i="6"/>
  <c r="AJ7" i="6"/>
  <c r="AI7" i="6"/>
  <c r="AH7" i="6"/>
  <c r="AG7" i="6"/>
  <c r="AF7" i="6"/>
  <c r="AE7" i="6"/>
  <c r="AB7" i="6"/>
  <c r="Y7" i="6"/>
  <c r="X7" i="6"/>
  <c r="V7" i="6"/>
  <c r="U7" i="6"/>
  <c r="R7" i="6"/>
  <c r="T7" i="6" s="1"/>
  <c r="Q7" i="6"/>
  <c r="P7" i="6" s="1"/>
  <c r="L7" i="6"/>
  <c r="K7" i="6"/>
  <c r="J7" i="6"/>
  <c r="F7" i="6"/>
  <c r="I7" i="6" s="1"/>
  <c r="E7" i="6"/>
  <c r="D7" i="6"/>
  <c r="C7" i="6"/>
  <c r="B7" i="6"/>
  <c r="A7" i="6"/>
  <c r="CB6" i="6"/>
  <c r="CA6" i="6"/>
  <c r="BZ6" i="6"/>
  <c r="BY6" i="6"/>
  <c r="BW6" i="6"/>
  <c r="BS6" i="6"/>
  <c r="BV6" i="6" s="1"/>
  <c r="BR6" i="6"/>
  <c r="BP6" i="6"/>
  <c r="BO6" i="6"/>
  <c r="BM6" i="6" s="1"/>
  <c r="BN6" i="6"/>
  <c r="BL6" i="6"/>
  <c r="BK6" i="6"/>
  <c r="BI6" i="6" s="1"/>
  <c r="BJ6" i="6"/>
  <c r="BH6" i="6"/>
  <c r="BC6" i="6"/>
  <c r="BB6" i="6"/>
  <c r="BE6" i="6" s="1"/>
  <c r="BA6" i="6"/>
  <c r="AY6" i="6" s="1"/>
  <c r="AZ6" i="6"/>
  <c r="AX6" i="6"/>
  <c r="AW6" i="6"/>
  <c r="AV6" i="6"/>
  <c r="AU6" i="6"/>
  <c r="AT6" i="6"/>
  <c r="AS6" i="6"/>
  <c r="AQ6" i="6" s="1"/>
  <c r="AR6" i="6"/>
  <c r="AP6" i="6"/>
  <c r="AJ6" i="6"/>
  <c r="AF6" i="6"/>
  <c r="AM6" i="6" s="1"/>
  <c r="AE6" i="6"/>
  <c r="AL6" i="6" s="1"/>
  <c r="AD6" i="6"/>
  <c r="AK6" i="6" s="1"/>
  <c r="AB6" i="6"/>
  <c r="Y6" i="6"/>
  <c r="X6" i="6"/>
  <c r="W6" i="6"/>
  <c r="U6" i="6"/>
  <c r="V6" i="6" s="1"/>
  <c r="R6" i="6"/>
  <c r="P6" i="6" s="1"/>
  <c r="Q6" i="6"/>
  <c r="N6" i="6"/>
  <c r="O6" i="6" s="1"/>
  <c r="L6" i="6"/>
  <c r="K6" i="6"/>
  <c r="J6" i="6"/>
  <c r="F6" i="6"/>
  <c r="E6" i="6"/>
  <c r="D6" i="6"/>
  <c r="C6" i="6"/>
  <c r="B6" i="6"/>
  <c r="A6" i="6"/>
  <c r="CB5" i="6"/>
  <c r="CA5" i="6"/>
  <c r="BZ5" i="6"/>
  <c r="BY5" i="6"/>
  <c r="BX5" i="6"/>
  <c r="BW5" i="6"/>
  <c r="BS5" i="6"/>
  <c r="BR5" i="6"/>
  <c r="BU5" i="6" s="1"/>
  <c r="BQ5" i="6"/>
  <c r="BP5" i="6"/>
  <c r="BO5" i="6"/>
  <c r="BN5" i="6"/>
  <c r="BL5" i="6"/>
  <c r="BK5" i="6"/>
  <c r="BJ5" i="6"/>
  <c r="BI5" i="6"/>
  <c r="BH5" i="6"/>
  <c r="BA5" i="6"/>
  <c r="BD5" i="6" s="1"/>
  <c r="AZ5" i="6"/>
  <c r="BC5" i="6" s="1"/>
  <c r="AX5" i="6"/>
  <c r="AW5" i="6"/>
  <c r="AU5" i="6" s="1"/>
  <c r="AV5" i="6"/>
  <c r="AT5" i="6"/>
  <c r="AS5" i="6"/>
  <c r="AR5" i="6"/>
  <c r="AQ5" i="6"/>
  <c r="AP5" i="6"/>
  <c r="AJ5" i="6"/>
  <c r="AI5" i="6"/>
  <c r="AH5" i="6"/>
  <c r="AF5" i="6"/>
  <c r="AG5" i="6" s="1"/>
  <c r="AE5" i="6"/>
  <c r="AD5" i="6"/>
  <c r="AB5" i="6"/>
  <c r="AA5" i="6"/>
  <c r="Z5" i="6"/>
  <c r="Y5" i="6"/>
  <c r="W5" i="6" s="1"/>
  <c r="X5" i="6"/>
  <c r="U5" i="6"/>
  <c r="T5" i="6"/>
  <c r="R5" i="6"/>
  <c r="S5" i="6" s="1"/>
  <c r="Q5" i="6"/>
  <c r="AL5" i="6" s="1"/>
  <c r="N5" i="6"/>
  <c r="J5" i="6"/>
  <c r="I5" i="6"/>
  <c r="H5" i="6"/>
  <c r="G5" i="6"/>
  <c r="F5" i="6"/>
  <c r="B5" i="6"/>
  <c r="A5" i="6"/>
  <c r="CB4" i="6"/>
  <c r="CA4" i="6"/>
  <c r="BZ4" i="6"/>
  <c r="BX4" i="6" s="1"/>
  <c r="BY4" i="6"/>
  <c r="BW4" i="6"/>
  <c r="BS4" i="6"/>
  <c r="BQ4" i="6" s="1"/>
  <c r="BR4" i="6"/>
  <c r="BP4" i="6"/>
  <c r="BO4" i="6"/>
  <c r="BN4" i="6"/>
  <c r="BU4" i="6" s="1"/>
  <c r="BL4" i="6"/>
  <c r="BK4" i="6"/>
  <c r="BI4" i="6" s="1"/>
  <c r="BJ4" i="6"/>
  <c r="BH4" i="6"/>
  <c r="BD4" i="6"/>
  <c r="BA4" i="6"/>
  <c r="AY4" i="6" s="1"/>
  <c r="AZ4" i="6"/>
  <c r="AX4" i="6"/>
  <c r="AW4" i="6"/>
  <c r="AU4" i="6" s="1"/>
  <c r="AV4" i="6"/>
  <c r="BC4" i="6" s="1"/>
  <c r="AT4" i="6"/>
  <c r="AS4" i="6"/>
  <c r="AQ4" i="6" s="1"/>
  <c r="AR4" i="6"/>
  <c r="AP4" i="6"/>
  <c r="AJ4" i="6"/>
  <c r="AH4" i="6"/>
  <c r="AF4" i="6"/>
  <c r="AG4" i="6" s="1"/>
  <c r="AE4" i="6"/>
  <c r="AC4" i="6"/>
  <c r="AB4" i="6"/>
  <c r="Y4" i="6"/>
  <c r="AA4" i="6" s="1"/>
  <c r="X4" i="6"/>
  <c r="V4" i="6"/>
  <c r="U4" i="6"/>
  <c r="R4" i="6"/>
  <c r="Q4" i="6"/>
  <c r="P4" i="6" s="1"/>
  <c r="O4" i="6"/>
  <c r="AI4" i="6" s="1"/>
  <c r="N4" i="6"/>
  <c r="L4" i="6"/>
  <c r="K4" i="6"/>
  <c r="J4" i="6"/>
  <c r="H4" i="6"/>
  <c r="F4" i="6"/>
  <c r="I4" i="6" s="1"/>
  <c r="E4" i="6"/>
  <c r="D4" i="6"/>
  <c r="C4" i="6"/>
  <c r="B4" i="6"/>
  <c r="A4" i="6"/>
  <c r="CB3" i="6"/>
  <c r="CA3" i="6"/>
  <c r="BZ3" i="6"/>
  <c r="BX3" i="6" s="1"/>
  <c r="BY3" i="6"/>
  <c r="BW3" i="6"/>
  <c r="BS3" i="6"/>
  <c r="BR3" i="6"/>
  <c r="BU3" i="6" s="1"/>
  <c r="BP3" i="6"/>
  <c r="BO3" i="6"/>
  <c r="BN3" i="6"/>
  <c r="BM3" i="6"/>
  <c r="BL3" i="6"/>
  <c r="BK3" i="6"/>
  <c r="BJ3" i="6"/>
  <c r="BH3" i="6"/>
  <c r="BC3" i="6"/>
  <c r="BA3" i="6"/>
  <c r="AY3" i="6" s="1"/>
  <c r="AZ3" i="6"/>
  <c r="AX3" i="6"/>
  <c r="AW3" i="6"/>
  <c r="BD3" i="6" s="1"/>
  <c r="AV3" i="6"/>
  <c r="AT3" i="6"/>
  <c r="AS3" i="6"/>
  <c r="AQ3" i="6" s="1"/>
  <c r="AR3" i="6"/>
  <c r="AP3" i="6"/>
  <c r="AJ3" i="6"/>
  <c r="AF3" i="6"/>
  <c r="AH3" i="6" s="1"/>
  <c r="AE3" i="6"/>
  <c r="AD3" i="6"/>
  <c r="AC3" i="6"/>
  <c r="AB3" i="6"/>
  <c r="Y3" i="6"/>
  <c r="W3" i="6" s="1"/>
  <c r="X3" i="6"/>
  <c r="AL3" i="6" s="1"/>
  <c r="V3" i="6"/>
  <c r="U3" i="6"/>
  <c r="R3" i="6"/>
  <c r="Q3" i="6"/>
  <c r="P3" i="6" s="1"/>
  <c r="N3" i="6"/>
  <c r="O3" i="6" s="1"/>
  <c r="L3" i="6"/>
  <c r="K3" i="6"/>
  <c r="J3" i="6"/>
  <c r="G3" i="6"/>
  <c r="F3" i="6"/>
  <c r="I3" i="6" s="1"/>
  <c r="E3" i="6"/>
  <c r="D3" i="6"/>
  <c r="C3" i="6"/>
  <c r="B3" i="6"/>
  <c r="A3" i="6"/>
  <c r="CB2" i="6"/>
  <c r="CA2" i="6"/>
  <c r="CA131" i="6" s="1"/>
  <c r="BZ2" i="6"/>
  <c r="BY2" i="6"/>
  <c r="BW2" i="6"/>
  <c r="BW131" i="6" s="1"/>
  <c r="BS2" i="6"/>
  <c r="BR2" i="6"/>
  <c r="BQ2" i="6"/>
  <c r="BT2" i="6" s="1"/>
  <c r="BP2" i="6"/>
  <c r="BP131" i="6" s="1"/>
  <c r="BO2" i="6"/>
  <c r="BM2" i="6" s="1"/>
  <c r="BN2" i="6"/>
  <c r="BL2" i="6"/>
  <c r="BL131" i="6" s="1"/>
  <c r="BK2" i="6"/>
  <c r="BJ2" i="6"/>
  <c r="BI2" i="6"/>
  <c r="BH2" i="6"/>
  <c r="BC2" i="6"/>
  <c r="BA2" i="6"/>
  <c r="AZ2" i="6"/>
  <c r="AX2" i="6"/>
  <c r="AW2" i="6"/>
  <c r="AV2" i="6"/>
  <c r="AU2" i="6"/>
  <c r="AT2" i="6"/>
  <c r="AS2" i="6"/>
  <c r="AR2" i="6"/>
  <c r="AR131" i="6" s="1"/>
  <c r="AP2" i="6"/>
  <c r="AJ2" i="6"/>
  <c r="AF2" i="6"/>
  <c r="AD2" i="6" s="1"/>
  <c r="AE2" i="6"/>
  <c r="AE131" i="6" s="1"/>
  <c r="AC2" i="6"/>
  <c r="AB2" i="6"/>
  <c r="Y2" i="6"/>
  <c r="X2" i="6"/>
  <c r="W2" i="6" s="1"/>
  <c r="U2" i="6"/>
  <c r="U131" i="6" s="1"/>
  <c r="T2" i="6"/>
  <c r="R2" i="6"/>
  <c r="Q2" i="6"/>
  <c r="P2" i="6"/>
  <c r="L2" i="6"/>
  <c r="J2" i="6"/>
  <c r="K2" i="6" s="1"/>
  <c r="I2" i="6"/>
  <c r="H2" i="6"/>
  <c r="G2" i="6"/>
  <c r="F2" i="6"/>
  <c r="D2" i="6"/>
  <c r="B2" i="6"/>
  <c r="E2" i="6" s="1"/>
  <c r="A2" i="6"/>
  <c r="CX429" i="5"/>
  <c r="CX428" i="5"/>
  <c r="CX427" i="5"/>
  <c r="CX426" i="5"/>
  <c r="CX425" i="5"/>
  <c r="CX424" i="5"/>
  <c r="CX423" i="5"/>
  <c r="CX422" i="5"/>
  <c r="CX421" i="5"/>
  <c r="CX420" i="5"/>
  <c r="CX419" i="5"/>
  <c r="CX418" i="5"/>
  <c r="CX417" i="5"/>
  <c r="CX416" i="5"/>
  <c r="CX415" i="5"/>
  <c r="CX414" i="5"/>
  <c r="CX413" i="5"/>
  <c r="CX412" i="5"/>
  <c r="CX411" i="5"/>
  <c r="CX410" i="5"/>
  <c r="CX409" i="5"/>
  <c r="CX408" i="5"/>
  <c r="CX407" i="5"/>
  <c r="CX406" i="5"/>
  <c r="CX405" i="5"/>
  <c r="CX404" i="5"/>
  <c r="CX403" i="5"/>
  <c r="CX402" i="5"/>
  <c r="CX401" i="5"/>
  <c r="CX400" i="5"/>
  <c r="CX399" i="5"/>
  <c r="CX398" i="5"/>
  <c r="CX397" i="5"/>
  <c r="CX396" i="5"/>
  <c r="CX395" i="5"/>
  <c r="CX394" i="5"/>
  <c r="CX393" i="5"/>
  <c r="CX392" i="5"/>
  <c r="CX391" i="5"/>
  <c r="CX390" i="5"/>
  <c r="CX389" i="5"/>
  <c r="CX388" i="5"/>
  <c r="CX387" i="5"/>
  <c r="CX386" i="5"/>
  <c r="CX385" i="5"/>
  <c r="CX384" i="5"/>
  <c r="CX383" i="5"/>
  <c r="CX382" i="5"/>
  <c r="CX381" i="5"/>
  <c r="CX380" i="5"/>
  <c r="CX379" i="5"/>
  <c r="CX378" i="5"/>
  <c r="CX377" i="5"/>
  <c r="CX376" i="5"/>
  <c r="CX375" i="5"/>
  <c r="CX374" i="5"/>
  <c r="CX373" i="5"/>
  <c r="CX372" i="5"/>
  <c r="CX371" i="5"/>
  <c r="CX370" i="5"/>
  <c r="CX369" i="5"/>
  <c r="CX368" i="5"/>
  <c r="CX367" i="5"/>
  <c r="CX366" i="5"/>
  <c r="CX365" i="5"/>
  <c r="CX364" i="5"/>
  <c r="CX363" i="5"/>
  <c r="CX362" i="5"/>
  <c r="CX361" i="5"/>
  <c r="CX360" i="5"/>
  <c r="CX359" i="5"/>
  <c r="CX358" i="5"/>
  <c r="CX357" i="5"/>
  <c r="CX356" i="5"/>
  <c r="CX355" i="5"/>
  <c r="CX354" i="5"/>
  <c r="CX353" i="5"/>
  <c r="CX352" i="5"/>
  <c r="CX351" i="5"/>
  <c r="CX350" i="5"/>
  <c r="CX349" i="5"/>
  <c r="CX348" i="5"/>
  <c r="CX347" i="5"/>
  <c r="CX346" i="5"/>
  <c r="CX345" i="5"/>
  <c r="CX344" i="5"/>
  <c r="CX316" i="5"/>
  <c r="CX315" i="5"/>
  <c r="CX314" i="5"/>
  <c r="CX313" i="5"/>
  <c r="CX312" i="5"/>
  <c r="CX311" i="5"/>
  <c r="CX310" i="5"/>
  <c r="CX309" i="5"/>
  <c r="CX308" i="5"/>
  <c r="CX307" i="5"/>
  <c r="CX306" i="5"/>
  <c r="CX305" i="5"/>
  <c r="CX304" i="5"/>
  <c r="CX303" i="5"/>
  <c r="CX302" i="5"/>
  <c r="CX301" i="5"/>
  <c r="CX300" i="5"/>
  <c r="CX299" i="5"/>
  <c r="CX298" i="5"/>
  <c r="CX297" i="5"/>
  <c r="CX296" i="5"/>
  <c r="CX295" i="5"/>
  <c r="CX294" i="5"/>
  <c r="CX293" i="5"/>
  <c r="CX292" i="5"/>
  <c r="CX291" i="5"/>
  <c r="CX290" i="5"/>
  <c r="CX289" i="5"/>
  <c r="CX288" i="5"/>
  <c r="CX287" i="5"/>
  <c r="CX286" i="5"/>
  <c r="CX285" i="5"/>
  <c r="CX284" i="5"/>
  <c r="CX283" i="5"/>
  <c r="CX282" i="5"/>
  <c r="CX281" i="5"/>
  <c r="CX280" i="5"/>
  <c r="CX279" i="5"/>
  <c r="CX278" i="5"/>
  <c r="CX277" i="5"/>
  <c r="CX276" i="5"/>
  <c r="CX275" i="5"/>
  <c r="CX274" i="5"/>
  <c r="CX273" i="5"/>
  <c r="CX272" i="5"/>
  <c r="CX271" i="5"/>
  <c r="CX270" i="5"/>
  <c r="CX269" i="5"/>
  <c r="CX268" i="5"/>
  <c r="CX267" i="5"/>
  <c r="CX266" i="5"/>
  <c r="CX265" i="5"/>
  <c r="CX264" i="5"/>
  <c r="CX263" i="5"/>
  <c r="CX262" i="5"/>
  <c r="CX261" i="5"/>
  <c r="CX260" i="5"/>
  <c r="CX259" i="5"/>
  <c r="CX258" i="5"/>
  <c r="CX257" i="5"/>
  <c r="CX256" i="5"/>
  <c r="CX255" i="5"/>
  <c r="CX254" i="5"/>
  <c r="CX253" i="5"/>
  <c r="CX252" i="5"/>
  <c r="CX251" i="5"/>
  <c r="CX250" i="5"/>
  <c r="CX249" i="5"/>
  <c r="CX248" i="5"/>
  <c r="CX247" i="5"/>
  <c r="CX246" i="5"/>
  <c r="CX245" i="5"/>
  <c r="CX244" i="5"/>
  <c r="CX243" i="5"/>
  <c r="CX242" i="5"/>
  <c r="CX241" i="5"/>
  <c r="CX240" i="5"/>
  <c r="CX239" i="5"/>
  <c r="CX238" i="5"/>
  <c r="CX237" i="5"/>
  <c r="CX236" i="5"/>
  <c r="CX235" i="5"/>
  <c r="CX234" i="5"/>
  <c r="CX233" i="5"/>
  <c r="CX232" i="5"/>
  <c r="CX231" i="5"/>
  <c r="CX230" i="5"/>
  <c r="CX229" i="5"/>
  <c r="CX228" i="5"/>
  <c r="CX227" i="5"/>
  <c r="CX226" i="5"/>
  <c r="CX225" i="5"/>
  <c r="CX224" i="5"/>
  <c r="CX223" i="5"/>
  <c r="CX222" i="5"/>
  <c r="CX221" i="5"/>
  <c r="CX220" i="5"/>
  <c r="CX219" i="5"/>
  <c r="CX218" i="5"/>
  <c r="CX217" i="5"/>
  <c r="CX216" i="5"/>
  <c r="CX215" i="5"/>
  <c r="CX214" i="5"/>
  <c r="CX213" i="5"/>
  <c r="CX212" i="5"/>
  <c r="CX211" i="5"/>
  <c r="CX210" i="5"/>
  <c r="CX209" i="5"/>
  <c r="CX208" i="5"/>
  <c r="CX207" i="5"/>
  <c r="CX206" i="5"/>
  <c r="CX205" i="5"/>
  <c r="CX204" i="5"/>
  <c r="CX203" i="5"/>
  <c r="CX202" i="5"/>
  <c r="CX201" i="5"/>
  <c r="CX200" i="5"/>
  <c r="CX199" i="5"/>
  <c r="CX198" i="5"/>
  <c r="CX197" i="5"/>
  <c r="BH176" i="5"/>
  <c r="CB175" i="5"/>
  <c r="CA175" i="5"/>
  <c r="BZ175" i="5"/>
  <c r="BY175" i="5"/>
  <c r="BX175" i="5"/>
  <c r="BW175" i="5"/>
  <c r="BP175" i="5"/>
  <c r="BL175" i="5"/>
  <c r="BH175" i="5"/>
  <c r="AX175" i="5"/>
  <c r="AW175" i="5"/>
  <c r="AV175" i="5"/>
  <c r="AU175" i="5"/>
  <c r="AT175" i="5"/>
  <c r="AS175" i="5"/>
  <c r="AQ175" i="5" s="1"/>
  <c r="AR175" i="5"/>
  <c r="AP175" i="5"/>
  <c r="AL175" i="5"/>
  <c r="AJ175" i="5"/>
  <c r="AF175" i="5"/>
  <c r="AH175" i="5" s="1"/>
  <c r="AE175" i="5"/>
  <c r="AC175" i="5"/>
  <c r="AB175" i="5"/>
  <c r="Y175" i="5"/>
  <c r="X175" i="5"/>
  <c r="W175" i="5"/>
  <c r="V175" i="5"/>
  <c r="U175" i="5"/>
  <c r="R175" i="5"/>
  <c r="Q175" i="5"/>
  <c r="P175" i="5"/>
  <c r="O175" i="5"/>
  <c r="N175" i="5"/>
  <c r="E175" i="5"/>
  <c r="D175" i="5"/>
  <c r="C175" i="5"/>
  <c r="B175" i="5"/>
  <c r="A175" i="5"/>
  <c r="CB174" i="5"/>
  <c r="CA174" i="5"/>
  <c r="BZ174" i="5"/>
  <c r="BX174" i="5" s="1"/>
  <c r="BY174" i="5"/>
  <c r="BW174" i="5"/>
  <c r="BS174" i="5"/>
  <c r="BR174" i="5"/>
  <c r="BU174" i="5" s="1"/>
  <c r="BP174" i="5"/>
  <c r="BO174" i="5"/>
  <c r="BN174" i="5"/>
  <c r="BM174" i="5"/>
  <c r="BL174" i="5"/>
  <c r="BK174" i="5"/>
  <c r="BJ174" i="5"/>
  <c r="BH174" i="5"/>
  <c r="BD174" i="5"/>
  <c r="BA174" i="5"/>
  <c r="AY174" i="5" s="1"/>
  <c r="AZ174" i="5"/>
  <c r="AX174" i="5"/>
  <c r="AW174" i="5"/>
  <c r="AV174" i="5"/>
  <c r="AU174" i="5" s="1"/>
  <c r="BB174" i="5" s="1"/>
  <c r="AT174" i="5"/>
  <c r="AS174" i="5"/>
  <c r="AQ174" i="5" s="1"/>
  <c r="AR174" i="5"/>
  <c r="AP174" i="5"/>
  <c r="AM174" i="5"/>
  <c r="AL174" i="5"/>
  <c r="AJ174" i="5"/>
  <c r="AI174" i="5"/>
  <c r="AG174" i="5"/>
  <c r="AF174" i="5"/>
  <c r="AH174" i="5" s="1"/>
  <c r="AE174" i="5"/>
  <c r="AD174" i="5"/>
  <c r="AB174" i="5"/>
  <c r="AA174" i="5"/>
  <c r="Z174" i="5"/>
  <c r="Y174" i="5"/>
  <c r="X174" i="5"/>
  <c r="W174" i="5" s="1"/>
  <c r="U174" i="5"/>
  <c r="T174" i="5"/>
  <c r="S174" i="5"/>
  <c r="R174" i="5"/>
  <c r="P174" i="5" s="1"/>
  <c r="Q174" i="5"/>
  <c r="N174" i="5"/>
  <c r="J174" i="5"/>
  <c r="K174" i="5" s="1"/>
  <c r="I174" i="5"/>
  <c r="H174" i="5"/>
  <c r="G174" i="5"/>
  <c r="F174" i="5"/>
  <c r="E174" i="5"/>
  <c r="B174" i="5"/>
  <c r="C174" i="5" s="1"/>
  <c r="CB173" i="5"/>
  <c r="CA173" i="5"/>
  <c r="BZ173" i="5"/>
  <c r="BY173" i="5"/>
  <c r="BX173" i="5"/>
  <c r="BW173" i="5"/>
  <c r="BP173" i="5"/>
  <c r="BL173" i="5"/>
  <c r="BH173" i="5"/>
  <c r="BA173" i="5"/>
  <c r="AY173" i="5" s="1"/>
  <c r="AZ173" i="5"/>
  <c r="AX173" i="5"/>
  <c r="AW173" i="5"/>
  <c r="AU173" i="5" s="1"/>
  <c r="AV173" i="5"/>
  <c r="AT173" i="5"/>
  <c r="AS173" i="5"/>
  <c r="AQ173" i="5" s="1"/>
  <c r="AR173" i="5"/>
  <c r="AP173" i="5"/>
  <c r="AJ173" i="5"/>
  <c r="AI173" i="5"/>
  <c r="AG173" i="5"/>
  <c r="AF173" i="5"/>
  <c r="AM173" i="5" s="1"/>
  <c r="AE173" i="5"/>
  <c r="AL173" i="5" s="1"/>
  <c r="AA173" i="5"/>
  <c r="Z173" i="5"/>
  <c r="Y173" i="5"/>
  <c r="X173" i="5"/>
  <c r="W173" i="5" s="1"/>
  <c r="U173" i="5"/>
  <c r="T173" i="5"/>
  <c r="S173" i="5"/>
  <c r="R173" i="5"/>
  <c r="P173" i="5" s="1"/>
  <c r="Q173" i="5"/>
  <c r="N173" i="5"/>
  <c r="E173" i="5"/>
  <c r="D173" i="5"/>
  <c r="C173" i="5"/>
  <c r="B173" i="5"/>
  <c r="A173" i="5"/>
  <c r="CB172" i="5"/>
  <c r="CA172" i="5"/>
  <c r="BZ172" i="5"/>
  <c r="BY172" i="5"/>
  <c r="BX172" i="5" s="1"/>
  <c r="BW172" i="5"/>
  <c r="BP172" i="5"/>
  <c r="BL172" i="5"/>
  <c r="BH172" i="5"/>
  <c r="BA172" i="5"/>
  <c r="AZ172" i="5"/>
  <c r="AY172" i="5"/>
  <c r="AX172" i="5"/>
  <c r="AW172" i="5"/>
  <c r="AU172" i="5" s="1"/>
  <c r="AV172" i="5"/>
  <c r="AT172" i="5"/>
  <c r="AS172" i="5"/>
  <c r="AR172" i="5"/>
  <c r="AQ172" i="5" s="1"/>
  <c r="AP172" i="5"/>
  <c r="AJ172" i="5"/>
  <c r="AI172" i="5"/>
  <c r="AH172" i="5"/>
  <c r="AG172" i="5"/>
  <c r="AF172" i="5"/>
  <c r="AE172" i="5"/>
  <c r="AB172" i="5"/>
  <c r="AC172" i="5" s="1"/>
  <c r="Z172" i="5"/>
  <c r="Y172" i="5"/>
  <c r="W172" i="5" s="1"/>
  <c r="X172" i="5"/>
  <c r="V172" i="5"/>
  <c r="U172" i="5"/>
  <c r="S172" i="5"/>
  <c r="R172" i="5"/>
  <c r="Q172" i="5"/>
  <c r="O172" i="5"/>
  <c r="N172" i="5"/>
  <c r="D172" i="5"/>
  <c r="C172" i="5"/>
  <c r="B172" i="5"/>
  <c r="E172" i="5" s="1"/>
  <c r="A172" i="5"/>
  <c r="CB171" i="5"/>
  <c r="CA171" i="5"/>
  <c r="BZ171" i="5"/>
  <c r="BY171" i="5"/>
  <c r="BX171" i="5"/>
  <c r="BW171" i="5"/>
  <c r="BP171" i="5"/>
  <c r="BL171" i="5"/>
  <c r="BH171" i="5"/>
  <c r="BA171" i="5"/>
  <c r="BD171" i="5" s="1"/>
  <c r="AZ171" i="5"/>
  <c r="AX171" i="5"/>
  <c r="AW171" i="5"/>
  <c r="AU171" i="5" s="1"/>
  <c r="AV171" i="5"/>
  <c r="AT171" i="5"/>
  <c r="AS171" i="5"/>
  <c r="AR171" i="5"/>
  <c r="AQ171" i="5" s="1"/>
  <c r="AP171" i="5"/>
  <c r="AJ171" i="5"/>
  <c r="AF171" i="5"/>
  <c r="AE171" i="5"/>
  <c r="AL171" i="5" s="1"/>
  <c r="AB171" i="5"/>
  <c r="AC171" i="5" s="1"/>
  <c r="AA171" i="5"/>
  <c r="Y171" i="5"/>
  <c r="W171" i="5" s="1"/>
  <c r="X171" i="5"/>
  <c r="U171" i="5"/>
  <c r="V171" i="5" s="1"/>
  <c r="T171" i="5"/>
  <c r="R171" i="5"/>
  <c r="P171" i="5" s="1"/>
  <c r="Q171" i="5"/>
  <c r="O171" i="5"/>
  <c r="N171" i="5"/>
  <c r="C171" i="5"/>
  <c r="B171" i="5"/>
  <c r="E171" i="5" s="1"/>
  <c r="A171" i="5"/>
  <c r="CB170" i="5"/>
  <c r="CA170" i="5"/>
  <c r="BZ170" i="5"/>
  <c r="BY170" i="5"/>
  <c r="BX170" i="5" s="1"/>
  <c r="BW170" i="5"/>
  <c r="BP170" i="5"/>
  <c r="BL170" i="5"/>
  <c r="BH170" i="5"/>
  <c r="BA170" i="5"/>
  <c r="AZ170" i="5"/>
  <c r="BC170" i="5" s="1"/>
  <c r="AX170" i="5"/>
  <c r="AW170" i="5"/>
  <c r="AU170" i="5" s="1"/>
  <c r="AV170" i="5"/>
  <c r="AT170" i="5"/>
  <c r="AS170" i="5"/>
  <c r="AR170" i="5"/>
  <c r="AQ170" i="5"/>
  <c r="AP170" i="5"/>
  <c r="AL170" i="5"/>
  <c r="AK170" i="5" s="1"/>
  <c r="AJ170" i="5"/>
  <c r="AI170" i="5"/>
  <c r="AF170" i="5"/>
  <c r="AM170" i="5" s="1"/>
  <c r="AE170" i="5"/>
  <c r="AD170" i="5"/>
  <c r="AB170" i="5"/>
  <c r="AC170" i="5" s="1"/>
  <c r="AA170" i="5"/>
  <c r="Y170" i="5"/>
  <c r="W170" i="5" s="1"/>
  <c r="X170" i="5"/>
  <c r="V170" i="5"/>
  <c r="Z170" i="5" s="1"/>
  <c r="U170" i="5"/>
  <c r="R170" i="5"/>
  <c r="P170" i="5" s="1"/>
  <c r="Q170" i="5"/>
  <c r="N170" i="5"/>
  <c r="O170" i="5" s="1"/>
  <c r="T170" i="5" s="1"/>
  <c r="E170" i="5"/>
  <c r="D170" i="5"/>
  <c r="C170" i="5"/>
  <c r="B170" i="5"/>
  <c r="A170" i="5"/>
  <c r="CB169" i="5"/>
  <c r="CA169" i="5"/>
  <c r="BZ169" i="5"/>
  <c r="BX169" i="5" s="1"/>
  <c r="BY169" i="5"/>
  <c r="BW169" i="5"/>
  <c r="BP169" i="5"/>
  <c r="BL169" i="5"/>
  <c r="BH169" i="5"/>
  <c r="BA169" i="5"/>
  <c r="AZ169" i="5"/>
  <c r="AX169" i="5"/>
  <c r="AW169" i="5"/>
  <c r="AV169" i="5"/>
  <c r="AU169" i="5"/>
  <c r="AT169" i="5"/>
  <c r="AS169" i="5"/>
  <c r="AR169" i="5"/>
  <c r="BC169" i="5" s="1"/>
  <c r="AP169" i="5"/>
  <c r="AL169" i="5"/>
  <c r="AJ169" i="5"/>
  <c r="AI169" i="5"/>
  <c r="AH169" i="5"/>
  <c r="AG169" i="5"/>
  <c r="AF169" i="5"/>
  <c r="AE169" i="5"/>
  <c r="AD169" i="5"/>
  <c r="AB169" i="5"/>
  <c r="AA169" i="5"/>
  <c r="Z169" i="5"/>
  <c r="Y169" i="5"/>
  <c r="W169" i="5" s="1"/>
  <c r="X169" i="5"/>
  <c r="U169" i="5"/>
  <c r="S169" i="5"/>
  <c r="R169" i="5"/>
  <c r="P169" i="5" s="1"/>
  <c r="Q169" i="5"/>
  <c r="N169" i="5"/>
  <c r="D169" i="5"/>
  <c r="C169" i="5"/>
  <c r="B169" i="5"/>
  <c r="E169" i="5" s="1"/>
  <c r="A169" i="5"/>
  <c r="CB168" i="5"/>
  <c r="CA168" i="5"/>
  <c r="BZ168" i="5"/>
  <c r="BY168" i="5"/>
  <c r="BX168" i="5"/>
  <c r="BW168" i="5"/>
  <c r="BP168" i="5"/>
  <c r="BL168" i="5"/>
  <c r="BH168" i="5"/>
  <c r="BA168" i="5"/>
  <c r="AZ168" i="5"/>
  <c r="BC168" i="5" s="1"/>
  <c r="AX168" i="5"/>
  <c r="AW168" i="5"/>
  <c r="AU168" i="5" s="1"/>
  <c r="AV168" i="5"/>
  <c r="AT168" i="5"/>
  <c r="AS168" i="5"/>
  <c r="AR168" i="5"/>
  <c r="AQ168" i="5"/>
  <c r="AP168" i="5"/>
  <c r="AJ168" i="5"/>
  <c r="AF168" i="5"/>
  <c r="AE168" i="5"/>
  <c r="AL168" i="5" s="1"/>
  <c r="AC168" i="5"/>
  <c r="AG168" i="5" s="1"/>
  <c r="AB168" i="5"/>
  <c r="AA168" i="5"/>
  <c r="Z168" i="5"/>
  <c r="Y168" i="5"/>
  <c r="W168" i="5" s="1"/>
  <c r="X168" i="5"/>
  <c r="U168" i="5"/>
  <c r="V168" i="5" s="1"/>
  <c r="AI168" i="5" s="1"/>
  <c r="S168" i="5"/>
  <c r="R168" i="5"/>
  <c r="P168" i="5" s="1"/>
  <c r="Q168" i="5"/>
  <c r="O168" i="5"/>
  <c r="N168" i="5"/>
  <c r="B168" i="5"/>
  <c r="E168" i="5" s="1"/>
  <c r="A168" i="5"/>
  <c r="CB167" i="5"/>
  <c r="CA167" i="5"/>
  <c r="BZ167" i="5"/>
  <c r="BY167" i="5"/>
  <c r="BX167" i="5"/>
  <c r="BW167" i="5"/>
  <c r="BH167" i="5"/>
  <c r="BA167" i="5"/>
  <c r="AZ167" i="5"/>
  <c r="BC167" i="5" s="1"/>
  <c r="AY167" i="5"/>
  <c r="AW167" i="5"/>
  <c r="AV167" i="5"/>
  <c r="AS167" i="5"/>
  <c r="AQ167" i="5" s="1"/>
  <c r="AR167" i="5"/>
  <c r="AO167" i="5"/>
  <c r="AM167" i="5"/>
  <c r="AL167" i="5"/>
  <c r="AJ167" i="5"/>
  <c r="AF167" i="5"/>
  <c r="AH167" i="5" s="1"/>
  <c r="AE167" i="5"/>
  <c r="AD167" i="5"/>
  <c r="AC167" i="5"/>
  <c r="AI167" i="5" s="1"/>
  <c r="Y167" i="5"/>
  <c r="W167" i="5" s="1"/>
  <c r="X167" i="5"/>
  <c r="R167" i="5"/>
  <c r="Q167" i="5"/>
  <c r="P167" i="5"/>
  <c r="E167" i="5"/>
  <c r="D167" i="5"/>
  <c r="C167" i="5"/>
  <c r="B167" i="5"/>
  <c r="A167" i="5"/>
  <c r="CB166" i="5"/>
  <c r="CA166" i="5"/>
  <c r="BZ166" i="5"/>
  <c r="BX166" i="5" s="1"/>
  <c r="BY166" i="5"/>
  <c r="BW166" i="5"/>
  <c r="BH166" i="5"/>
  <c r="BA166" i="5"/>
  <c r="AY166" i="5" s="1"/>
  <c r="AZ166" i="5"/>
  <c r="AW166" i="5"/>
  <c r="AV166" i="5"/>
  <c r="AU166" i="5" s="1"/>
  <c r="AS166" i="5"/>
  <c r="AR166" i="5"/>
  <c r="BC166" i="5" s="1"/>
  <c r="AJ166" i="5"/>
  <c r="AI166" i="5"/>
  <c r="AH166" i="5"/>
  <c r="AG166" i="5"/>
  <c r="AF166" i="5"/>
  <c r="AM166" i="5" s="1"/>
  <c r="AE166" i="5"/>
  <c r="AD166" i="5"/>
  <c r="Y166" i="5"/>
  <c r="X166" i="5"/>
  <c r="W166" i="5" s="1"/>
  <c r="R166" i="5"/>
  <c r="P166" i="5" s="1"/>
  <c r="Q166" i="5"/>
  <c r="D166" i="5"/>
  <c r="C166" i="5"/>
  <c r="B166" i="5"/>
  <c r="E166" i="5" s="1"/>
  <c r="A166" i="5"/>
  <c r="CB165" i="5"/>
  <c r="CA165" i="5"/>
  <c r="BZ165" i="5"/>
  <c r="BY165" i="5"/>
  <c r="BX165" i="5"/>
  <c r="BW165" i="5"/>
  <c r="BH165" i="5"/>
  <c r="BA165" i="5"/>
  <c r="AZ165" i="5"/>
  <c r="BC165" i="5" s="1"/>
  <c r="AX165" i="5"/>
  <c r="AW165" i="5"/>
  <c r="AU165" i="5" s="1"/>
  <c r="AV165" i="5"/>
  <c r="AT165" i="5"/>
  <c r="AS165" i="5"/>
  <c r="AR165" i="5"/>
  <c r="AQ165" i="5"/>
  <c r="AP165" i="5"/>
  <c r="AJ165" i="5"/>
  <c r="AI165" i="5"/>
  <c r="AH165" i="5"/>
  <c r="AG165" i="5"/>
  <c r="AF165" i="5"/>
  <c r="AE165" i="5"/>
  <c r="AL165" i="5" s="1"/>
  <c r="AB165" i="5"/>
  <c r="AA165" i="5"/>
  <c r="Z165" i="5"/>
  <c r="Y165" i="5"/>
  <c r="W165" i="5" s="1"/>
  <c r="X165" i="5"/>
  <c r="U165" i="5"/>
  <c r="R165" i="5"/>
  <c r="T165" i="5" s="1"/>
  <c r="Q165" i="5"/>
  <c r="N165" i="5"/>
  <c r="B165" i="5"/>
  <c r="A165" i="5"/>
  <c r="CB164" i="5"/>
  <c r="CA164" i="5"/>
  <c r="BZ164" i="5"/>
  <c r="BX164" i="5" s="1"/>
  <c r="BY164" i="5"/>
  <c r="BW164" i="5"/>
  <c r="BH164" i="5"/>
  <c r="BD164" i="5"/>
  <c r="BC164" i="5"/>
  <c r="AW164" i="5"/>
  <c r="AV164" i="5"/>
  <c r="AU164" i="5"/>
  <c r="BB164" i="5" s="1"/>
  <c r="AJ164" i="5"/>
  <c r="AG164" i="5"/>
  <c r="AF164" i="5"/>
  <c r="AE164" i="5"/>
  <c r="AC164" i="5"/>
  <c r="AI164" i="5" s="1"/>
  <c r="Y164" i="5"/>
  <c r="X164" i="5"/>
  <c r="W164" i="5"/>
  <c r="R164" i="5"/>
  <c r="Q164" i="5"/>
  <c r="P164" i="5" s="1"/>
  <c r="E164" i="5"/>
  <c r="D164" i="5"/>
  <c r="C164" i="5"/>
  <c r="B164" i="5"/>
  <c r="A164" i="5"/>
  <c r="BH163" i="5"/>
  <c r="AW163" i="5"/>
  <c r="AU163" i="5" s="1"/>
  <c r="AV163" i="5"/>
  <c r="BH162" i="5"/>
  <c r="BH161" i="5"/>
  <c r="CB160" i="5"/>
  <c r="CA160" i="5"/>
  <c r="BZ160" i="5"/>
  <c r="BY160" i="5"/>
  <c r="BW160" i="5"/>
  <c r="BS160" i="5"/>
  <c r="BR160" i="5"/>
  <c r="BQ160" i="5"/>
  <c r="BP160" i="5"/>
  <c r="BO160" i="5"/>
  <c r="BM160" i="5" s="1"/>
  <c r="BN160" i="5"/>
  <c r="BL160" i="5"/>
  <c r="BK160" i="5"/>
  <c r="BI160" i="5" s="1"/>
  <c r="BJ160" i="5"/>
  <c r="BH160" i="5"/>
  <c r="BA160" i="5"/>
  <c r="AY160" i="5" s="1"/>
  <c r="AZ160" i="5"/>
  <c r="AW160" i="5"/>
  <c r="AV160" i="5"/>
  <c r="AU160" i="5"/>
  <c r="BB160" i="5" s="1"/>
  <c r="AS160" i="5"/>
  <c r="AR160" i="5"/>
  <c r="BC160" i="5" s="1"/>
  <c r="AQ160" i="5"/>
  <c r="AJ160" i="5"/>
  <c r="AI160" i="5"/>
  <c r="AH160" i="5"/>
  <c r="AF160" i="5"/>
  <c r="AM160" i="5" s="1"/>
  <c r="AE160" i="5"/>
  <c r="AC160" i="5"/>
  <c r="AG160" i="5" s="1"/>
  <c r="Y160" i="5"/>
  <c r="X160" i="5"/>
  <c r="W160" i="5"/>
  <c r="R160" i="5"/>
  <c r="P160" i="5" s="1"/>
  <c r="Q160" i="5"/>
  <c r="K160" i="5"/>
  <c r="J160" i="5"/>
  <c r="L160" i="5" s="1"/>
  <c r="I160" i="5"/>
  <c r="H160" i="5"/>
  <c r="G160" i="5"/>
  <c r="F160" i="5"/>
  <c r="C160" i="5"/>
  <c r="B160" i="5"/>
  <c r="A160" i="5"/>
  <c r="CB159" i="5"/>
  <c r="CA159" i="5"/>
  <c r="BZ159" i="5"/>
  <c r="BX159" i="5" s="1"/>
  <c r="BY159" i="5"/>
  <c r="BW159" i="5"/>
  <c r="BV159" i="5"/>
  <c r="BT159" i="5"/>
  <c r="BS159" i="5"/>
  <c r="BQ159" i="5" s="1"/>
  <c r="BR159" i="5"/>
  <c r="BP159" i="5"/>
  <c r="BO159" i="5"/>
  <c r="BN159" i="5"/>
  <c r="BM159" i="5" s="1"/>
  <c r="BL159" i="5"/>
  <c r="BK159" i="5"/>
  <c r="BI159" i="5" s="1"/>
  <c r="BJ159" i="5"/>
  <c r="BH159" i="5"/>
  <c r="BD159" i="5"/>
  <c r="BA159" i="5"/>
  <c r="AZ159" i="5"/>
  <c r="AY159" i="5"/>
  <c r="AW159" i="5"/>
  <c r="AV159" i="5"/>
  <c r="BC159" i="5" s="1"/>
  <c r="AS159" i="5"/>
  <c r="AQ159" i="5" s="1"/>
  <c r="AR159" i="5"/>
  <c r="AM159" i="5"/>
  <c r="AO159" i="5" s="1"/>
  <c r="AJ159" i="5"/>
  <c r="AF159" i="5"/>
  <c r="AE159" i="5"/>
  <c r="AD159" i="5" s="1"/>
  <c r="AC159" i="5"/>
  <c r="AI159" i="5" s="1"/>
  <c r="Y159" i="5"/>
  <c r="W159" i="5" s="1"/>
  <c r="X159" i="5"/>
  <c r="R159" i="5"/>
  <c r="Q159" i="5"/>
  <c r="P159" i="5" s="1"/>
  <c r="L159" i="5"/>
  <c r="K159" i="5"/>
  <c r="J159" i="5"/>
  <c r="F159" i="5"/>
  <c r="E159" i="5"/>
  <c r="D159" i="5"/>
  <c r="C159" i="5"/>
  <c r="B159" i="5"/>
  <c r="A159" i="5"/>
  <c r="CB158" i="5"/>
  <c r="CA158" i="5"/>
  <c r="BZ158" i="5"/>
  <c r="BX158" i="5" s="1"/>
  <c r="BY158" i="5"/>
  <c r="BW158" i="5"/>
  <c r="BS158" i="5"/>
  <c r="BR158" i="5"/>
  <c r="BU158" i="5" s="1"/>
  <c r="BP158" i="5"/>
  <c r="BO158" i="5"/>
  <c r="BN158" i="5"/>
  <c r="BL158" i="5"/>
  <c r="BK158" i="5"/>
  <c r="BJ158" i="5"/>
  <c r="BI158" i="5"/>
  <c r="BH158" i="5"/>
  <c r="BA158" i="5"/>
  <c r="BD158" i="5" s="1"/>
  <c r="AZ158" i="5"/>
  <c r="AY158" i="5"/>
  <c r="AW158" i="5"/>
  <c r="AU158" i="5" s="1"/>
  <c r="AV158" i="5"/>
  <c r="AS158" i="5"/>
  <c r="AR158" i="5"/>
  <c r="AQ158" i="5"/>
  <c r="BB158" i="5" s="1"/>
  <c r="AJ158" i="5"/>
  <c r="AI158" i="5"/>
  <c r="AH158" i="5"/>
  <c r="AF158" i="5"/>
  <c r="AE158" i="5"/>
  <c r="AL158" i="5" s="1"/>
  <c r="AC158" i="5"/>
  <c r="Y158" i="5"/>
  <c r="X158" i="5"/>
  <c r="W158" i="5" s="1"/>
  <c r="R158" i="5"/>
  <c r="P158" i="5" s="1"/>
  <c r="Q158" i="5"/>
  <c r="O158" i="5"/>
  <c r="N158" i="5"/>
  <c r="K158" i="5"/>
  <c r="J158" i="5"/>
  <c r="L158" i="5" s="1"/>
  <c r="I158" i="5"/>
  <c r="H158" i="5"/>
  <c r="G158" i="5"/>
  <c r="F158" i="5"/>
  <c r="B158" i="5"/>
  <c r="A158" i="5"/>
  <c r="CB157" i="5"/>
  <c r="CA157" i="5"/>
  <c r="BZ157" i="5"/>
  <c r="BX157" i="5" s="1"/>
  <c r="BY157" i="5"/>
  <c r="BW157" i="5"/>
  <c r="BU157" i="5"/>
  <c r="BT157" i="5"/>
  <c r="BS157" i="5"/>
  <c r="BQ157" i="5" s="1"/>
  <c r="BR157" i="5"/>
  <c r="BP157" i="5"/>
  <c r="BO157" i="5"/>
  <c r="BV157" i="5" s="1"/>
  <c r="BN157" i="5"/>
  <c r="BL157" i="5"/>
  <c r="BK157" i="5"/>
  <c r="BI157" i="5" s="1"/>
  <c r="BJ157" i="5"/>
  <c r="BH157" i="5"/>
  <c r="BD157" i="5"/>
  <c r="BA157" i="5"/>
  <c r="AZ157" i="5"/>
  <c r="AY157" i="5"/>
  <c r="AW157" i="5"/>
  <c r="AV157" i="5"/>
  <c r="BC157" i="5" s="1"/>
  <c r="AU157" i="5"/>
  <c r="AS157" i="5"/>
  <c r="AQ157" i="5" s="1"/>
  <c r="AR157" i="5"/>
  <c r="AJ157" i="5"/>
  <c r="AF157" i="5"/>
  <c r="AD157" i="5" s="1"/>
  <c r="AE157" i="5"/>
  <c r="AL157" i="5" s="1"/>
  <c r="BF157" i="5" s="1"/>
  <c r="AC157" i="5"/>
  <c r="Y157" i="5"/>
  <c r="W157" i="5" s="1"/>
  <c r="X157" i="5"/>
  <c r="R157" i="5"/>
  <c r="Q157" i="5"/>
  <c r="P157" i="5"/>
  <c r="O157" i="5"/>
  <c r="AI157" i="5" s="1"/>
  <c r="N157" i="5"/>
  <c r="L157" i="5"/>
  <c r="K157" i="5"/>
  <c r="J157" i="5"/>
  <c r="F157" i="5"/>
  <c r="I157" i="5" s="1"/>
  <c r="E157" i="5"/>
  <c r="D157" i="5"/>
  <c r="C157" i="5"/>
  <c r="B157" i="5"/>
  <c r="A157" i="5"/>
  <c r="CB156" i="5"/>
  <c r="CA156" i="5"/>
  <c r="BZ156" i="5"/>
  <c r="BX156" i="5" s="1"/>
  <c r="BY156" i="5"/>
  <c r="BW156" i="5"/>
  <c r="BT156" i="5"/>
  <c r="BS156" i="5"/>
  <c r="BR156" i="5"/>
  <c r="BQ156" i="5"/>
  <c r="BP156" i="5"/>
  <c r="BO156" i="5"/>
  <c r="BM156" i="5" s="1"/>
  <c r="BN156" i="5"/>
  <c r="BL156" i="5"/>
  <c r="BK156" i="5"/>
  <c r="BI156" i="5" s="1"/>
  <c r="BJ156" i="5"/>
  <c r="BH156" i="5"/>
  <c r="BA156" i="5"/>
  <c r="AY156" i="5" s="1"/>
  <c r="AZ156" i="5"/>
  <c r="AW156" i="5"/>
  <c r="AV156" i="5"/>
  <c r="AU156" i="5"/>
  <c r="AS156" i="5"/>
  <c r="AR156" i="5"/>
  <c r="BC156" i="5" s="1"/>
  <c r="AJ156" i="5"/>
  <c r="AF156" i="5"/>
  <c r="AE156" i="5"/>
  <c r="AC156" i="5"/>
  <c r="AG156" i="5" s="1"/>
  <c r="Y156" i="5"/>
  <c r="X156" i="5"/>
  <c r="W156" i="5"/>
  <c r="R156" i="5"/>
  <c r="P156" i="5" s="1"/>
  <c r="Q156" i="5"/>
  <c r="K156" i="5"/>
  <c r="J156" i="5"/>
  <c r="L156" i="5" s="1"/>
  <c r="I156" i="5"/>
  <c r="H156" i="5"/>
  <c r="G156" i="5"/>
  <c r="F156" i="5"/>
  <c r="C156" i="5"/>
  <c r="B156" i="5"/>
  <c r="A156" i="5"/>
  <c r="CB155" i="5"/>
  <c r="CA155" i="5"/>
  <c r="BZ155" i="5"/>
  <c r="BX155" i="5" s="1"/>
  <c r="BY155" i="5"/>
  <c r="BW155" i="5"/>
  <c r="BT155" i="5"/>
  <c r="BS155" i="5"/>
  <c r="BQ155" i="5" s="1"/>
  <c r="BR155" i="5"/>
  <c r="BP155" i="5"/>
  <c r="BO155" i="5"/>
  <c r="BV155" i="5" s="1"/>
  <c r="BN155" i="5"/>
  <c r="BU155" i="5" s="1"/>
  <c r="BL155" i="5"/>
  <c r="BK155" i="5"/>
  <c r="BI155" i="5" s="1"/>
  <c r="BJ155" i="5"/>
  <c r="BH155" i="5"/>
  <c r="BA155" i="5"/>
  <c r="AZ155" i="5"/>
  <c r="AY155" i="5"/>
  <c r="AW155" i="5"/>
  <c r="AU155" i="5" s="1"/>
  <c r="AV155" i="5"/>
  <c r="BC155" i="5" s="1"/>
  <c r="AS155" i="5"/>
  <c r="AQ155" i="5" s="1"/>
  <c r="AR155" i="5"/>
  <c r="AJ155" i="5"/>
  <c r="AF155" i="5"/>
  <c r="AD155" i="5" s="1"/>
  <c r="AE155" i="5"/>
  <c r="AL155" i="5" s="1"/>
  <c r="BF155" i="5" s="1"/>
  <c r="AC155" i="5"/>
  <c r="AI155" i="5" s="1"/>
  <c r="Y155" i="5"/>
  <c r="W155" i="5" s="1"/>
  <c r="X155" i="5"/>
  <c r="R155" i="5"/>
  <c r="Q155" i="5"/>
  <c r="P155" i="5"/>
  <c r="L155" i="5"/>
  <c r="K155" i="5"/>
  <c r="J155" i="5"/>
  <c r="F155" i="5"/>
  <c r="E155" i="5"/>
  <c r="D155" i="5"/>
  <c r="C155" i="5"/>
  <c r="B155" i="5"/>
  <c r="A155" i="5"/>
  <c r="CB154" i="5"/>
  <c r="CA154" i="5"/>
  <c r="BZ154" i="5"/>
  <c r="BY154" i="5"/>
  <c r="BX154" i="5"/>
  <c r="BW154" i="5"/>
  <c r="BS154" i="5"/>
  <c r="BR154" i="5"/>
  <c r="BU154" i="5" s="1"/>
  <c r="BP154" i="5"/>
  <c r="BO154" i="5"/>
  <c r="BN154" i="5"/>
  <c r="BL154" i="5"/>
  <c r="BK154" i="5"/>
  <c r="BJ154" i="5"/>
  <c r="BI154" i="5"/>
  <c r="BH154" i="5"/>
  <c r="BA154" i="5"/>
  <c r="BD154" i="5" s="1"/>
  <c r="BG154" i="5" s="1"/>
  <c r="AZ154" i="5"/>
  <c r="BC154" i="5" s="1"/>
  <c r="BF154" i="5" s="1"/>
  <c r="AW154" i="5"/>
  <c r="AU154" i="5" s="1"/>
  <c r="AV154" i="5"/>
  <c r="AS154" i="5"/>
  <c r="AR154" i="5"/>
  <c r="AQ154" i="5"/>
  <c r="L154" i="5"/>
  <c r="K154" i="5"/>
  <c r="J154" i="5"/>
  <c r="F154" i="5"/>
  <c r="E154" i="5"/>
  <c r="D154" i="5"/>
  <c r="C154" i="5"/>
  <c r="B154" i="5"/>
  <c r="A154" i="5"/>
  <c r="CB153" i="5"/>
  <c r="CA153" i="5"/>
  <c r="BZ153" i="5"/>
  <c r="BX153" i="5" s="1"/>
  <c r="BY153" i="5"/>
  <c r="BW153" i="5"/>
  <c r="BS153" i="5"/>
  <c r="BR153" i="5"/>
  <c r="BQ153" i="5"/>
  <c r="BP153" i="5"/>
  <c r="BO153" i="5"/>
  <c r="BN153" i="5"/>
  <c r="BL153" i="5"/>
  <c r="BK153" i="5"/>
  <c r="BJ153" i="5"/>
  <c r="BI153" i="5" s="1"/>
  <c r="BH153" i="5"/>
  <c r="BA153" i="5"/>
  <c r="BD153" i="5" s="1"/>
  <c r="AZ153" i="5"/>
  <c r="AW153" i="5"/>
  <c r="AU153" i="5" s="1"/>
  <c r="AV153" i="5"/>
  <c r="AS153" i="5"/>
  <c r="AR153" i="5"/>
  <c r="AQ153" i="5"/>
  <c r="AJ153" i="5"/>
  <c r="AI153" i="5"/>
  <c r="AG153" i="5"/>
  <c r="AF153" i="5"/>
  <c r="AE153" i="5"/>
  <c r="AC153" i="5"/>
  <c r="Y153" i="5"/>
  <c r="X153" i="5"/>
  <c r="W153" i="5"/>
  <c r="R153" i="5"/>
  <c r="Q153" i="5"/>
  <c r="O153" i="5"/>
  <c r="J153" i="5"/>
  <c r="I153" i="5"/>
  <c r="H153" i="5"/>
  <c r="G153" i="5"/>
  <c r="F153" i="5"/>
  <c r="B153" i="5"/>
  <c r="A153" i="5"/>
  <c r="CB152" i="5"/>
  <c r="CA152" i="5"/>
  <c r="BZ152" i="5"/>
  <c r="BX152" i="5" s="1"/>
  <c r="BY152" i="5"/>
  <c r="BW152" i="5"/>
  <c r="BU152" i="5"/>
  <c r="BT152" i="5"/>
  <c r="BS152" i="5"/>
  <c r="BQ152" i="5" s="1"/>
  <c r="BR152" i="5"/>
  <c r="BP152" i="5"/>
  <c r="BO152" i="5"/>
  <c r="BN152" i="5"/>
  <c r="BM152" i="5"/>
  <c r="BL152" i="5"/>
  <c r="BK152" i="5"/>
  <c r="BI152" i="5" s="1"/>
  <c r="BJ152" i="5"/>
  <c r="BH152" i="5"/>
  <c r="BA152" i="5"/>
  <c r="AY152" i="5" s="1"/>
  <c r="AZ152" i="5"/>
  <c r="AW152" i="5"/>
  <c r="BD152" i="5" s="1"/>
  <c r="AV152" i="5"/>
  <c r="BC152" i="5" s="1"/>
  <c r="AU152" i="5"/>
  <c r="AS152" i="5"/>
  <c r="AQ152" i="5" s="1"/>
  <c r="AR152" i="5"/>
  <c r="AJ152" i="5"/>
  <c r="AF152" i="5"/>
  <c r="AE152" i="5"/>
  <c r="AL152" i="5" s="1"/>
  <c r="AC152" i="5"/>
  <c r="Y152" i="5"/>
  <c r="W152" i="5" s="1"/>
  <c r="X152" i="5"/>
  <c r="R152" i="5"/>
  <c r="Q152" i="5"/>
  <c r="P152" i="5"/>
  <c r="L152" i="5"/>
  <c r="J152" i="5"/>
  <c r="K152" i="5" s="1"/>
  <c r="I152" i="5"/>
  <c r="H152" i="5"/>
  <c r="G152" i="5"/>
  <c r="F152" i="5"/>
  <c r="E152" i="5"/>
  <c r="D152" i="5"/>
  <c r="B152" i="5"/>
  <c r="C152" i="5" s="1"/>
  <c r="A152" i="5"/>
  <c r="CB151" i="5"/>
  <c r="CA151" i="5"/>
  <c r="BZ151" i="5"/>
  <c r="BY151" i="5"/>
  <c r="BX151" i="5"/>
  <c r="BW151" i="5"/>
  <c r="BS151" i="5"/>
  <c r="BR151" i="5"/>
  <c r="BQ151" i="5"/>
  <c r="BP151" i="5"/>
  <c r="BO151" i="5"/>
  <c r="BN151" i="5"/>
  <c r="BU151" i="5" s="1"/>
  <c r="BL151" i="5"/>
  <c r="BK151" i="5"/>
  <c r="BJ151" i="5"/>
  <c r="BI151" i="5"/>
  <c r="BH151" i="5"/>
  <c r="BA151" i="5"/>
  <c r="BD151" i="5" s="1"/>
  <c r="AZ151" i="5"/>
  <c r="BC151" i="5" s="1"/>
  <c r="AW151" i="5"/>
  <c r="AU151" i="5" s="1"/>
  <c r="AV151" i="5"/>
  <c r="AS151" i="5"/>
  <c r="AR151" i="5"/>
  <c r="AQ151" i="5"/>
  <c r="AJ151" i="5"/>
  <c r="AG151" i="5"/>
  <c r="AF151" i="5"/>
  <c r="AE151" i="5"/>
  <c r="AC151" i="5"/>
  <c r="AI151" i="5" s="1"/>
  <c r="Y151" i="5"/>
  <c r="X151" i="5"/>
  <c r="W151" i="5"/>
  <c r="R151" i="5"/>
  <c r="Q151" i="5"/>
  <c r="P151" i="5" s="1"/>
  <c r="L151" i="5"/>
  <c r="K151" i="5"/>
  <c r="J151" i="5"/>
  <c r="F151" i="5"/>
  <c r="I151" i="5" s="1"/>
  <c r="E151" i="5"/>
  <c r="D151" i="5"/>
  <c r="C151" i="5"/>
  <c r="B151" i="5"/>
  <c r="A151" i="5"/>
  <c r="CB150" i="5"/>
  <c r="CA150" i="5"/>
  <c r="BZ150" i="5"/>
  <c r="BY150" i="5"/>
  <c r="BW150" i="5"/>
  <c r="BS150" i="5"/>
  <c r="BV150" i="5" s="1"/>
  <c r="BR150" i="5"/>
  <c r="BP150" i="5"/>
  <c r="BO150" i="5"/>
  <c r="BM150" i="5" s="1"/>
  <c r="BN150" i="5"/>
  <c r="BL150" i="5"/>
  <c r="BK150" i="5"/>
  <c r="BI150" i="5" s="1"/>
  <c r="BJ150" i="5"/>
  <c r="BH150" i="5"/>
  <c r="BA150" i="5"/>
  <c r="AY150" i="5" s="1"/>
  <c r="AZ150" i="5"/>
  <c r="AW150" i="5"/>
  <c r="AV150" i="5"/>
  <c r="AU150" i="5"/>
  <c r="AS150" i="5"/>
  <c r="AR150" i="5"/>
  <c r="BC150" i="5" s="1"/>
  <c r="AQ150" i="5"/>
  <c r="BB150" i="5" s="1"/>
  <c r="AJ150" i="5"/>
  <c r="AI150" i="5"/>
  <c r="AF150" i="5"/>
  <c r="AE150" i="5"/>
  <c r="AC150" i="5"/>
  <c r="AG150" i="5" s="1"/>
  <c r="Y150" i="5"/>
  <c r="W150" i="5" s="1"/>
  <c r="X150" i="5"/>
  <c r="R150" i="5"/>
  <c r="P150" i="5" s="1"/>
  <c r="Q150" i="5"/>
  <c r="J150" i="5"/>
  <c r="L150" i="5" s="1"/>
  <c r="I150" i="5"/>
  <c r="H150" i="5"/>
  <c r="G150" i="5"/>
  <c r="F150" i="5"/>
  <c r="C150" i="5"/>
  <c r="B150" i="5"/>
  <c r="A150" i="5"/>
  <c r="CB149" i="5"/>
  <c r="CA149" i="5"/>
  <c r="BZ149" i="5"/>
  <c r="BX149" i="5" s="1"/>
  <c r="BY149" i="5"/>
  <c r="BW149" i="5"/>
  <c r="BV149" i="5"/>
  <c r="BS149" i="5"/>
  <c r="BQ149" i="5" s="1"/>
  <c r="BT149" i="5" s="1"/>
  <c r="BR149" i="5"/>
  <c r="BP149" i="5"/>
  <c r="BO149" i="5"/>
  <c r="BN149" i="5"/>
  <c r="BU149" i="5" s="1"/>
  <c r="BM149" i="5"/>
  <c r="BL149" i="5"/>
  <c r="BK149" i="5"/>
  <c r="BI149" i="5" s="1"/>
  <c r="BJ149" i="5"/>
  <c r="BH149" i="5"/>
  <c r="BD149" i="5"/>
  <c r="BA149" i="5"/>
  <c r="AZ149" i="5"/>
  <c r="AY149" i="5"/>
  <c r="AW149" i="5"/>
  <c r="AV149" i="5"/>
  <c r="BC149" i="5" s="1"/>
  <c r="AS149" i="5"/>
  <c r="AQ149" i="5" s="1"/>
  <c r="AR149" i="5"/>
  <c r="AJ149" i="5"/>
  <c r="AF149" i="5"/>
  <c r="AE149" i="5"/>
  <c r="AL149" i="5" s="1"/>
  <c r="BF149" i="5" s="1"/>
  <c r="AD149" i="5"/>
  <c r="AC149" i="5"/>
  <c r="AI149" i="5" s="1"/>
  <c r="Y149" i="5"/>
  <c r="W149" i="5" s="1"/>
  <c r="X149" i="5"/>
  <c r="R149" i="5"/>
  <c r="Q149" i="5"/>
  <c r="P149" i="5" s="1"/>
  <c r="L149" i="5"/>
  <c r="K149" i="5"/>
  <c r="J149" i="5"/>
  <c r="F149" i="5"/>
  <c r="E149" i="5"/>
  <c r="D149" i="5"/>
  <c r="C149" i="5"/>
  <c r="B149" i="5"/>
  <c r="A149" i="5"/>
  <c r="CB148" i="5"/>
  <c r="CA148" i="5"/>
  <c r="BZ148" i="5"/>
  <c r="BY148" i="5"/>
  <c r="BX148" i="5" s="1"/>
  <c r="BW148" i="5"/>
  <c r="BS148" i="5"/>
  <c r="BR148" i="5"/>
  <c r="BQ148" i="5"/>
  <c r="BT148" i="5" s="1"/>
  <c r="BP148" i="5"/>
  <c r="BO148" i="5"/>
  <c r="BN148" i="5"/>
  <c r="BL148" i="5"/>
  <c r="BK148" i="5"/>
  <c r="BJ148" i="5"/>
  <c r="BI148" i="5" s="1"/>
  <c r="BH148" i="5"/>
  <c r="BA148" i="5"/>
  <c r="BD148" i="5" s="1"/>
  <c r="AZ148" i="5"/>
  <c r="BC148" i="5" s="1"/>
  <c r="AY148" i="5"/>
  <c r="AW148" i="5"/>
  <c r="AU148" i="5" s="1"/>
  <c r="AV148" i="5"/>
  <c r="AS148" i="5"/>
  <c r="AR148" i="5"/>
  <c r="AQ148" i="5" s="1"/>
  <c r="AJ148" i="5"/>
  <c r="AI148" i="5"/>
  <c r="AH148" i="5"/>
  <c r="AG148" i="5"/>
  <c r="AF148" i="5"/>
  <c r="AE148" i="5"/>
  <c r="AC148" i="5"/>
  <c r="Y148" i="5"/>
  <c r="X148" i="5"/>
  <c r="W148" i="5" s="1"/>
  <c r="R148" i="5"/>
  <c r="Q148" i="5"/>
  <c r="L148" i="5"/>
  <c r="K148" i="5"/>
  <c r="J148" i="5"/>
  <c r="H148" i="5"/>
  <c r="F148" i="5"/>
  <c r="I148" i="5" s="1"/>
  <c r="E148" i="5"/>
  <c r="D148" i="5"/>
  <c r="C148" i="5"/>
  <c r="B148" i="5"/>
  <c r="A148" i="5"/>
  <c r="CB147" i="5"/>
  <c r="CA147" i="5"/>
  <c r="BZ147" i="5"/>
  <c r="BX147" i="5" s="1"/>
  <c r="BY147" i="5"/>
  <c r="BW147" i="5"/>
  <c r="BS147" i="5"/>
  <c r="BR147" i="5"/>
  <c r="BU147" i="5" s="1"/>
  <c r="BP147" i="5"/>
  <c r="BO147" i="5"/>
  <c r="BN147" i="5"/>
  <c r="BM147" i="5"/>
  <c r="BL147" i="5"/>
  <c r="BK147" i="5"/>
  <c r="BI147" i="5" s="1"/>
  <c r="BJ147" i="5"/>
  <c r="BH147" i="5"/>
  <c r="BA147" i="5"/>
  <c r="AY147" i="5" s="1"/>
  <c r="AZ147" i="5"/>
  <c r="AW147" i="5"/>
  <c r="AV147" i="5"/>
  <c r="AU147" i="5" s="1"/>
  <c r="AS147" i="5"/>
  <c r="AR147" i="5"/>
  <c r="BC147" i="5" s="1"/>
  <c r="AL147" i="5"/>
  <c r="AJ147" i="5"/>
  <c r="AF147" i="5"/>
  <c r="AM147" i="5" s="1"/>
  <c r="AE147" i="5"/>
  <c r="AD147" i="5"/>
  <c r="AC147" i="5"/>
  <c r="Y147" i="5"/>
  <c r="W147" i="5" s="1"/>
  <c r="X147" i="5"/>
  <c r="R147" i="5"/>
  <c r="P147" i="5" s="1"/>
  <c r="Q147" i="5"/>
  <c r="L147" i="5"/>
  <c r="J147" i="5"/>
  <c r="K147" i="5" s="1"/>
  <c r="I147" i="5"/>
  <c r="H147" i="5"/>
  <c r="G147" i="5"/>
  <c r="F147" i="5"/>
  <c r="C147" i="5"/>
  <c r="B147" i="5"/>
  <c r="E147" i="5" s="1"/>
  <c r="A147" i="5"/>
  <c r="CB146" i="5"/>
  <c r="CA146" i="5"/>
  <c r="BZ146" i="5"/>
  <c r="BY146" i="5"/>
  <c r="BX146" i="5"/>
  <c r="BW146" i="5"/>
  <c r="BV146" i="5"/>
  <c r="BU146" i="5"/>
  <c r="BS146" i="5"/>
  <c r="BQ146" i="5" s="1"/>
  <c r="BT146" i="5" s="1"/>
  <c r="BR146" i="5"/>
  <c r="BP146" i="5"/>
  <c r="BO146" i="5"/>
  <c r="BN146" i="5"/>
  <c r="BM146" i="5"/>
  <c r="BL146" i="5"/>
  <c r="BK146" i="5"/>
  <c r="BI146" i="5" s="1"/>
  <c r="BJ146" i="5"/>
  <c r="BH146" i="5"/>
  <c r="BA146" i="5"/>
  <c r="AZ146" i="5"/>
  <c r="BC146" i="5" s="1"/>
  <c r="AY146" i="5"/>
  <c r="AW146" i="5"/>
  <c r="AV146" i="5"/>
  <c r="AS146" i="5"/>
  <c r="AQ146" i="5" s="1"/>
  <c r="AR146" i="5"/>
  <c r="AL146" i="5"/>
  <c r="BF146" i="5" s="1"/>
  <c r="AJ146" i="5"/>
  <c r="AG146" i="5"/>
  <c r="AF146" i="5"/>
  <c r="AH146" i="5" s="1"/>
  <c r="AE146" i="5"/>
  <c r="AD146" i="5" s="1"/>
  <c r="AC146" i="5"/>
  <c r="AI146" i="5" s="1"/>
  <c r="Y146" i="5"/>
  <c r="W146" i="5" s="1"/>
  <c r="X146" i="5"/>
  <c r="R146" i="5"/>
  <c r="P146" i="5" s="1"/>
  <c r="Q146" i="5"/>
  <c r="L146" i="5"/>
  <c r="K146" i="5"/>
  <c r="J146" i="5"/>
  <c r="F146" i="5"/>
  <c r="E146" i="5"/>
  <c r="D146" i="5"/>
  <c r="C146" i="5"/>
  <c r="B146" i="5"/>
  <c r="A146" i="5"/>
  <c r="CB145" i="5"/>
  <c r="CA145" i="5"/>
  <c r="BZ145" i="5"/>
  <c r="BX145" i="5" s="1"/>
  <c r="BY145" i="5"/>
  <c r="BW145" i="5"/>
  <c r="BS145" i="5"/>
  <c r="BV145" i="5" s="1"/>
  <c r="BR145" i="5"/>
  <c r="BQ145" i="5"/>
  <c r="BT145" i="5" s="1"/>
  <c r="BP145" i="5"/>
  <c r="BO145" i="5"/>
  <c r="BM145" i="5" s="1"/>
  <c r="BN145" i="5"/>
  <c r="BL145" i="5"/>
  <c r="BK145" i="5"/>
  <c r="BJ145" i="5"/>
  <c r="BI145" i="5" s="1"/>
  <c r="BH145" i="5"/>
  <c r="BA145" i="5"/>
  <c r="AZ145" i="5"/>
  <c r="AW145" i="5"/>
  <c r="AU145" i="5" s="1"/>
  <c r="AV145" i="5"/>
  <c r="AS145" i="5"/>
  <c r="AR145" i="5"/>
  <c r="BC145" i="5" s="1"/>
  <c r="AP145" i="5"/>
  <c r="AJ145" i="5"/>
  <c r="AI145" i="5"/>
  <c r="AF145" i="5"/>
  <c r="AE145" i="5"/>
  <c r="AL145" i="5" s="1"/>
  <c r="AB145" i="5"/>
  <c r="AC145" i="5" s="1"/>
  <c r="AA145" i="5"/>
  <c r="Y145" i="5"/>
  <c r="W145" i="5" s="1"/>
  <c r="X145" i="5"/>
  <c r="U145" i="5"/>
  <c r="V145" i="5" s="1"/>
  <c r="Z145" i="5" s="1"/>
  <c r="R145" i="5"/>
  <c r="P145" i="5" s="1"/>
  <c r="Q145" i="5"/>
  <c r="O145" i="5"/>
  <c r="N145" i="5"/>
  <c r="J145" i="5"/>
  <c r="L145" i="5" s="1"/>
  <c r="I145" i="5"/>
  <c r="H145" i="5"/>
  <c r="G145" i="5"/>
  <c r="F145" i="5"/>
  <c r="C145" i="5"/>
  <c r="B145" i="5"/>
  <c r="E145" i="5" s="1"/>
  <c r="A145" i="5"/>
  <c r="CB144" i="5"/>
  <c r="CA144" i="5"/>
  <c r="BZ144" i="5"/>
  <c r="BY144" i="5"/>
  <c r="BX144" i="5"/>
  <c r="BW144" i="5"/>
  <c r="BV144" i="5"/>
  <c r="BU144" i="5"/>
  <c r="BS144" i="5"/>
  <c r="BQ144" i="5" s="1"/>
  <c r="BT144" i="5" s="1"/>
  <c r="BR144" i="5"/>
  <c r="BP144" i="5"/>
  <c r="BO144" i="5"/>
  <c r="BN144" i="5"/>
  <c r="BM144" i="5"/>
  <c r="BL144" i="5"/>
  <c r="BK144" i="5"/>
  <c r="BI144" i="5" s="1"/>
  <c r="BJ144" i="5"/>
  <c r="BH144" i="5"/>
  <c r="BA144" i="5"/>
  <c r="AZ144" i="5"/>
  <c r="AY144" i="5"/>
  <c r="AW144" i="5"/>
  <c r="AV144" i="5"/>
  <c r="AS144" i="5"/>
  <c r="AQ144" i="5" s="1"/>
  <c r="AR144" i="5"/>
  <c r="AP144" i="5"/>
  <c r="AM144" i="5"/>
  <c r="AJ144" i="5"/>
  <c r="AH144" i="5"/>
  <c r="AG144" i="5"/>
  <c r="AF144" i="5"/>
  <c r="AD144" i="5" s="1"/>
  <c r="AE144" i="5"/>
  <c r="AC144" i="5"/>
  <c r="AB144" i="5"/>
  <c r="Z144" i="5"/>
  <c r="Y144" i="5"/>
  <c r="AA144" i="5" s="1"/>
  <c r="X144" i="5"/>
  <c r="W144" i="5"/>
  <c r="V144" i="5"/>
  <c r="U144" i="5"/>
  <c r="R144" i="5"/>
  <c r="Q144" i="5"/>
  <c r="P144" i="5"/>
  <c r="O144" i="5"/>
  <c r="AI144" i="5" s="1"/>
  <c r="N144" i="5"/>
  <c r="L144" i="5"/>
  <c r="K144" i="5"/>
  <c r="J144" i="5"/>
  <c r="G144" i="5"/>
  <c r="F144" i="5"/>
  <c r="I144" i="5" s="1"/>
  <c r="E144" i="5"/>
  <c r="D144" i="5"/>
  <c r="C144" i="5"/>
  <c r="B144" i="5"/>
  <c r="A144" i="5"/>
  <c r="CB143" i="5"/>
  <c r="CA143" i="5"/>
  <c r="BZ143" i="5"/>
  <c r="BX143" i="5" s="1"/>
  <c r="BY143" i="5"/>
  <c r="BW143" i="5"/>
  <c r="BS143" i="5"/>
  <c r="BR143" i="5"/>
  <c r="BU143" i="5" s="1"/>
  <c r="BP143" i="5"/>
  <c r="BO143" i="5"/>
  <c r="BN143" i="5"/>
  <c r="BM143" i="5"/>
  <c r="BL143" i="5"/>
  <c r="BK143" i="5"/>
  <c r="BJ143" i="5"/>
  <c r="BH143" i="5"/>
  <c r="BA143" i="5"/>
  <c r="AY143" i="5" s="1"/>
  <c r="AZ143" i="5"/>
  <c r="AW143" i="5"/>
  <c r="AV143" i="5"/>
  <c r="AU143" i="5"/>
  <c r="AS143" i="5"/>
  <c r="AR143" i="5"/>
  <c r="BC143" i="5" s="1"/>
  <c r="AP143" i="5"/>
  <c r="AM143" i="5"/>
  <c r="AJ143" i="5"/>
  <c r="AF143" i="5"/>
  <c r="AE143" i="5"/>
  <c r="AL143" i="5" s="1"/>
  <c r="AD143" i="5"/>
  <c r="AC143" i="5"/>
  <c r="AB143" i="5"/>
  <c r="Y143" i="5"/>
  <c r="X143" i="5"/>
  <c r="W143" i="5"/>
  <c r="U143" i="5"/>
  <c r="V143" i="5" s="1"/>
  <c r="R143" i="5"/>
  <c r="P143" i="5" s="1"/>
  <c r="Q143" i="5"/>
  <c r="N143" i="5"/>
  <c r="O143" i="5" s="1"/>
  <c r="L143" i="5"/>
  <c r="K143" i="5"/>
  <c r="J143" i="5"/>
  <c r="F143" i="5"/>
  <c r="E143" i="5"/>
  <c r="D143" i="5"/>
  <c r="C143" i="5"/>
  <c r="B143" i="5"/>
  <c r="A143" i="5"/>
  <c r="CB142" i="5"/>
  <c r="CA142" i="5"/>
  <c r="BZ142" i="5"/>
  <c r="BX142" i="5" s="1"/>
  <c r="BY142" i="5"/>
  <c r="BW142" i="5"/>
  <c r="BS142" i="5"/>
  <c r="BR142" i="5"/>
  <c r="BQ142" i="5"/>
  <c r="BT142" i="5" s="1"/>
  <c r="BP142" i="5"/>
  <c r="BO142" i="5"/>
  <c r="BN142" i="5"/>
  <c r="BL142" i="5"/>
  <c r="BK142" i="5"/>
  <c r="BJ142" i="5"/>
  <c r="BI142" i="5" s="1"/>
  <c r="BH142" i="5"/>
  <c r="BA142" i="5"/>
  <c r="BD142" i="5" s="1"/>
  <c r="AZ142" i="5"/>
  <c r="AW142" i="5"/>
  <c r="AU142" i="5" s="1"/>
  <c r="AV142" i="5"/>
  <c r="AS142" i="5"/>
  <c r="AR142" i="5"/>
  <c r="AQ142" i="5"/>
  <c r="AP142" i="5"/>
  <c r="AJ142" i="5"/>
  <c r="AF142" i="5"/>
  <c r="AM142" i="5" s="1"/>
  <c r="AO142" i="5" s="1"/>
  <c r="AE142" i="5"/>
  <c r="AL142" i="5" s="1"/>
  <c r="AB142" i="5"/>
  <c r="AC142" i="5" s="1"/>
  <c r="AI142" i="5" s="1"/>
  <c r="Y142" i="5"/>
  <c r="W142" i="5" s="1"/>
  <c r="X142" i="5"/>
  <c r="V142" i="5"/>
  <c r="U142" i="5"/>
  <c r="T142" i="5"/>
  <c r="S142" i="5"/>
  <c r="R142" i="5"/>
  <c r="P142" i="5" s="1"/>
  <c r="Q142" i="5"/>
  <c r="O142" i="5"/>
  <c r="N142" i="5"/>
  <c r="J142" i="5"/>
  <c r="L142" i="5" s="1"/>
  <c r="I142" i="5"/>
  <c r="H142" i="5"/>
  <c r="G142" i="5"/>
  <c r="F142" i="5"/>
  <c r="C142" i="5"/>
  <c r="B142" i="5"/>
  <c r="A142" i="5"/>
  <c r="CB141" i="5"/>
  <c r="CA141" i="5"/>
  <c r="BZ141" i="5"/>
  <c r="BX141" i="5" s="1"/>
  <c r="BY141" i="5"/>
  <c r="BW141" i="5"/>
  <c r="BV141" i="5"/>
  <c r="BU141" i="5"/>
  <c r="BS141" i="5"/>
  <c r="BQ141" i="5" s="1"/>
  <c r="BT141" i="5" s="1"/>
  <c r="BR141" i="5"/>
  <c r="BP141" i="5"/>
  <c r="BO141" i="5"/>
  <c r="BN141" i="5"/>
  <c r="BM141" i="5"/>
  <c r="BL141" i="5"/>
  <c r="BK141" i="5"/>
  <c r="BI141" i="5" s="1"/>
  <c r="BJ141" i="5"/>
  <c r="BH141" i="5"/>
  <c r="BA141" i="5"/>
  <c r="AZ141" i="5"/>
  <c r="AY141" i="5"/>
  <c r="AW141" i="5"/>
  <c r="BD141" i="5" s="1"/>
  <c r="AV141" i="5"/>
  <c r="BC141" i="5" s="1"/>
  <c r="AS141" i="5"/>
  <c r="AQ141" i="5" s="1"/>
  <c r="AR141" i="5"/>
  <c r="AP141" i="5"/>
  <c r="AL141" i="5"/>
  <c r="BF141" i="5" s="1"/>
  <c r="AJ141" i="5"/>
  <c r="AF141" i="5"/>
  <c r="AH141" i="5" s="1"/>
  <c r="AE141" i="5"/>
  <c r="AD141" i="5"/>
  <c r="AC141" i="5"/>
  <c r="AB141" i="5"/>
  <c r="Y141" i="5"/>
  <c r="X141" i="5"/>
  <c r="V141" i="5"/>
  <c r="U141" i="5"/>
  <c r="R141" i="5"/>
  <c r="Q141" i="5"/>
  <c r="P141" i="5"/>
  <c r="O141" i="5"/>
  <c r="N141" i="5"/>
  <c r="L141" i="5"/>
  <c r="K141" i="5"/>
  <c r="J141" i="5"/>
  <c r="F141" i="5"/>
  <c r="I141" i="5" s="1"/>
  <c r="E141" i="5"/>
  <c r="D141" i="5"/>
  <c r="C141" i="5"/>
  <c r="B141" i="5"/>
  <c r="A141" i="5"/>
  <c r="CB140" i="5"/>
  <c r="CA140" i="5"/>
  <c r="BZ140" i="5"/>
  <c r="BY140" i="5"/>
  <c r="BW140" i="5"/>
  <c r="BS140" i="5"/>
  <c r="BV140" i="5" s="1"/>
  <c r="BR140" i="5"/>
  <c r="BQ140" i="5"/>
  <c r="BT140" i="5" s="1"/>
  <c r="BP140" i="5"/>
  <c r="BO140" i="5"/>
  <c r="BM140" i="5" s="1"/>
  <c r="BN140" i="5"/>
  <c r="BL140" i="5"/>
  <c r="BK140" i="5"/>
  <c r="BJ140" i="5"/>
  <c r="BI140" i="5" s="1"/>
  <c r="BH140" i="5"/>
  <c r="BA140" i="5"/>
  <c r="AY140" i="5" s="1"/>
  <c r="AZ140" i="5"/>
  <c r="AW140" i="5"/>
  <c r="AV140" i="5"/>
  <c r="AU140" i="5"/>
  <c r="AS140" i="5"/>
  <c r="BD140" i="5" s="1"/>
  <c r="AR140" i="5"/>
  <c r="BC140" i="5" s="1"/>
  <c r="AQ140" i="5"/>
  <c r="BB140" i="5" s="1"/>
  <c r="AP140" i="5"/>
  <c r="AL140" i="5"/>
  <c r="AJ140" i="5"/>
  <c r="AF140" i="5"/>
  <c r="AM140" i="5" s="1"/>
  <c r="AE140" i="5"/>
  <c r="AD140" i="5"/>
  <c r="AC140" i="5"/>
  <c r="AB140" i="5"/>
  <c r="Y140" i="5"/>
  <c r="W140" i="5" s="1"/>
  <c r="X140" i="5"/>
  <c r="U140" i="5"/>
  <c r="V140" i="5" s="1"/>
  <c r="T140" i="5"/>
  <c r="R140" i="5"/>
  <c r="P140" i="5" s="1"/>
  <c r="Q140" i="5"/>
  <c r="N140" i="5"/>
  <c r="O140" i="5" s="1"/>
  <c r="S140" i="5" s="1"/>
  <c r="J140" i="5"/>
  <c r="L140" i="5" s="1"/>
  <c r="I140" i="5"/>
  <c r="H140" i="5"/>
  <c r="G140" i="5"/>
  <c r="F140" i="5"/>
  <c r="B140" i="5"/>
  <c r="E140" i="5" s="1"/>
  <c r="A140" i="5"/>
  <c r="CB139" i="5"/>
  <c r="CA139" i="5"/>
  <c r="BZ139" i="5"/>
  <c r="BY139" i="5"/>
  <c r="BX139" i="5"/>
  <c r="BW139" i="5"/>
  <c r="BV139" i="5"/>
  <c r="BS139" i="5"/>
  <c r="BR139" i="5"/>
  <c r="BQ139" i="5"/>
  <c r="BP139" i="5"/>
  <c r="BO139" i="5"/>
  <c r="BN139" i="5"/>
  <c r="BU139" i="5" s="1"/>
  <c r="BL139" i="5"/>
  <c r="BK139" i="5"/>
  <c r="BJ139" i="5"/>
  <c r="BI139" i="5"/>
  <c r="BH139" i="5"/>
  <c r="BA139" i="5"/>
  <c r="AZ139" i="5"/>
  <c r="BC139" i="5" s="1"/>
  <c r="AY139" i="5"/>
  <c r="AW139" i="5"/>
  <c r="AU139" i="5" s="1"/>
  <c r="AV139" i="5"/>
  <c r="AS139" i="5"/>
  <c r="AR139" i="5"/>
  <c r="AQ139" i="5"/>
  <c r="AM139" i="5"/>
  <c r="AK139" i="5" s="1"/>
  <c r="AJ139" i="5"/>
  <c r="AF139" i="5"/>
  <c r="AD139" i="5" s="1"/>
  <c r="AE139" i="5"/>
  <c r="AL139" i="5" s="1"/>
  <c r="BF139" i="5" s="1"/>
  <c r="AC139" i="5"/>
  <c r="AI139" i="5" s="1"/>
  <c r="Y139" i="5"/>
  <c r="X139" i="5"/>
  <c r="W139" i="5"/>
  <c r="R139" i="5"/>
  <c r="Q139" i="5"/>
  <c r="P139" i="5"/>
  <c r="L139" i="5"/>
  <c r="K139" i="5"/>
  <c r="J139" i="5"/>
  <c r="H139" i="5"/>
  <c r="G139" i="5"/>
  <c r="F139" i="5"/>
  <c r="I139" i="5" s="1"/>
  <c r="E139" i="5"/>
  <c r="D139" i="5"/>
  <c r="C139" i="5"/>
  <c r="B139" i="5"/>
  <c r="A139" i="5"/>
  <c r="CB138" i="5"/>
  <c r="CA138" i="5"/>
  <c r="BZ138" i="5"/>
  <c r="BX138" i="5" s="1"/>
  <c r="BY138" i="5"/>
  <c r="BW138" i="5"/>
  <c r="BS138" i="5"/>
  <c r="BV138" i="5" s="1"/>
  <c r="BR138" i="5"/>
  <c r="BU138" i="5" s="1"/>
  <c r="BQ138" i="5"/>
  <c r="BT138" i="5" s="1"/>
  <c r="BP138" i="5"/>
  <c r="BO138" i="5"/>
  <c r="BM138" i="5" s="1"/>
  <c r="BN138" i="5"/>
  <c r="BL138" i="5"/>
  <c r="BK138" i="5"/>
  <c r="BJ138" i="5"/>
  <c r="BI138" i="5"/>
  <c r="BH138" i="5"/>
  <c r="BA138" i="5"/>
  <c r="AY138" i="5" s="1"/>
  <c r="BB138" i="5" s="1"/>
  <c r="AZ138" i="5"/>
  <c r="AW138" i="5"/>
  <c r="AV138" i="5"/>
  <c r="AU138" i="5"/>
  <c r="AS138" i="5"/>
  <c r="AQ138" i="5" s="1"/>
  <c r="AR138" i="5"/>
  <c r="BC138" i="5" s="1"/>
  <c r="AJ138" i="5"/>
  <c r="AI138" i="5"/>
  <c r="AH138" i="5"/>
  <c r="AF138" i="5"/>
  <c r="AM138" i="5" s="1"/>
  <c r="AE138" i="5"/>
  <c r="AL138" i="5" s="1"/>
  <c r="AC138" i="5"/>
  <c r="AG138" i="5" s="1"/>
  <c r="Y138" i="5"/>
  <c r="X138" i="5"/>
  <c r="W138" i="5" s="1"/>
  <c r="R138" i="5"/>
  <c r="P138" i="5" s="1"/>
  <c r="Q138" i="5"/>
  <c r="J138" i="5"/>
  <c r="L138" i="5" s="1"/>
  <c r="I138" i="5"/>
  <c r="H138" i="5"/>
  <c r="G138" i="5"/>
  <c r="F138" i="5"/>
  <c r="B138" i="5"/>
  <c r="A138" i="5"/>
  <c r="CB137" i="5"/>
  <c r="CA137" i="5"/>
  <c r="BZ137" i="5"/>
  <c r="BX137" i="5" s="1"/>
  <c r="BY137" i="5"/>
  <c r="BW137" i="5"/>
  <c r="BV137" i="5"/>
  <c r="BU137" i="5"/>
  <c r="BS137" i="5"/>
  <c r="BQ137" i="5" s="1"/>
  <c r="BT137" i="5" s="1"/>
  <c r="BR137" i="5"/>
  <c r="BP137" i="5"/>
  <c r="BO137" i="5"/>
  <c r="BN137" i="5"/>
  <c r="BM137" i="5"/>
  <c r="BL137" i="5"/>
  <c r="BK137" i="5"/>
  <c r="BI137" i="5" s="1"/>
  <c r="BJ137" i="5"/>
  <c r="BH137" i="5"/>
  <c r="BD137" i="5"/>
  <c r="BA137" i="5"/>
  <c r="AZ137" i="5"/>
  <c r="AY137" i="5"/>
  <c r="BB137" i="5" s="1"/>
  <c r="AW137" i="5"/>
  <c r="AV137" i="5"/>
  <c r="BC137" i="5" s="1"/>
  <c r="AU137" i="5"/>
  <c r="AS137" i="5"/>
  <c r="AQ137" i="5" s="1"/>
  <c r="AR137" i="5"/>
  <c r="AM137" i="5"/>
  <c r="AO137" i="5" s="1"/>
  <c r="AL137" i="5"/>
  <c r="BF137" i="5" s="1"/>
  <c r="AJ137" i="5"/>
  <c r="AF137" i="5"/>
  <c r="AE137" i="5"/>
  <c r="AD137" i="5"/>
  <c r="AC137" i="5"/>
  <c r="AI137" i="5" s="1"/>
  <c r="Y137" i="5"/>
  <c r="W137" i="5" s="1"/>
  <c r="X137" i="5"/>
  <c r="R137" i="5"/>
  <c r="Q137" i="5"/>
  <c r="P137" i="5"/>
  <c r="L137" i="5"/>
  <c r="K137" i="5"/>
  <c r="J137" i="5"/>
  <c r="F137" i="5"/>
  <c r="E137" i="5"/>
  <c r="D137" i="5"/>
  <c r="C137" i="5"/>
  <c r="B137" i="5"/>
  <c r="A137" i="5"/>
  <c r="CB136" i="5"/>
  <c r="CA136" i="5"/>
  <c r="BZ136" i="5"/>
  <c r="BX136" i="5" s="1"/>
  <c r="BY136" i="5"/>
  <c r="BW136" i="5"/>
  <c r="BS136" i="5"/>
  <c r="BR136" i="5"/>
  <c r="BQ136" i="5"/>
  <c r="BT136" i="5" s="1"/>
  <c r="BP136" i="5"/>
  <c r="BO136" i="5"/>
  <c r="BN136" i="5"/>
  <c r="BL136" i="5"/>
  <c r="BK136" i="5"/>
  <c r="BJ136" i="5"/>
  <c r="BI136" i="5" s="1"/>
  <c r="BH136" i="5"/>
  <c r="BA136" i="5"/>
  <c r="BD136" i="5" s="1"/>
  <c r="AZ136" i="5"/>
  <c r="AW136" i="5"/>
  <c r="AU136" i="5" s="1"/>
  <c r="AV136" i="5"/>
  <c r="AS136" i="5"/>
  <c r="AR136" i="5"/>
  <c r="AQ136" i="5"/>
  <c r="AJ136" i="5"/>
  <c r="AI136" i="5"/>
  <c r="AF136" i="5"/>
  <c r="AE136" i="5"/>
  <c r="AL136" i="5" s="1"/>
  <c r="AC136" i="5"/>
  <c r="Y136" i="5"/>
  <c r="X136" i="5"/>
  <c r="W136" i="5"/>
  <c r="R136" i="5"/>
  <c r="Q136" i="5"/>
  <c r="L136" i="5"/>
  <c r="K136" i="5"/>
  <c r="J136" i="5"/>
  <c r="F136" i="5"/>
  <c r="H136" i="5" s="1"/>
  <c r="E136" i="5"/>
  <c r="D136" i="5"/>
  <c r="C136" i="5"/>
  <c r="B136" i="5"/>
  <c r="A136" i="5"/>
  <c r="CB135" i="5"/>
  <c r="CA135" i="5"/>
  <c r="BZ135" i="5"/>
  <c r="BX135" i="5" s="1"/>
  <c r="BY135" i="5"/>
  <c r="BW135" i="5"/>
  <c r="BU135" i="5"/>
  <c r="BS135" i="5"/>
  <c r="BR135" i="5"/>
  <c r="BP135" i="5"/>
  <c r="BO135" i="5"/>
  <c r="BN135" i="5"/>
  <c r="BM135" i="5"/>
  <c r="BL135" i="5"/>
  <c r="BK135" i="5"/>
  <c r="BI135" i="5" s="1"/>
  <c r="BJ135" i="5"/>
  <c r="BH135" i="5"/>
  <c r="BA135" i="5"/>
  <c r="AY135" i="5" s="1"/>
  <c r="AZ135" i="5"/>
  <c r="AW135" i="5"/>
  <c r="AV135" i="5"/>
  <c r="AU135" i="5"/>
  <c r="AS135" i="5"/>
  <c r="AR135" i="5"/>
  <c r="BC135" i="5" s="1"/>
  <c r="AJ135" i="5"/>
  <c r="AF135" i="5"/>
  <c r="AE135" i="5"/>
  <c r="AD135" i="5"/>
  <c r="AC135" i="5"/>
  <c r="AI135" i="5" s="1"/>
  <c r="Y135" i="5"/>
  <c r="X135" i="5"/>
  <c r="AL135" i="5" s="1"/>
  <c r="BF135" i="5" s="1"/>
  <c r="R135" i="5"/>
  <c r="P135" i="5" s="1"/>
  <c r="Q135" i="5"/>
  <c r="J135" i="5"/>
  <c r="L135" i="5" s="1"/>
  <c r="I135" i="5"/>
  <c r="H135" i="5"/>
  <c r="G135" i="5"/>
  <c r="F135" i="5"/>
  <c r="B135" i="5"/>
  <c r="E135" i="5" s="1"/>
  <c r="A135" i="5"/>
  <c r="CB134" i="5"/>
  <c r="CA134" i="5"/>
  <c r="BZ134" i="5"/>
  <c r="BY134" i="5"/>
  <c r="BX134" i="5"/>
  <c r="BW134" i="5"/>
  <c r="BU134" i="5"/>
  <c r="BS134" i="5"/>
  <c r="BQ134" i="5" s="1"/>
  <c r="BT134" i="5" s="1"/>
  <c r="BR134" i="5"/>
  <c r="BP134" i="5"/>
  <c r="BO134" i="5"/>
  <c r="BM134" i="5" s="1"/>
  <c r="BN134" i="5"/>
  <c r="BL134" i="5"/>
  <c r="BK134" i="5"/>
  <c r="BI134" i="5" s="1"/>
  <c r="BJ134" i="5"/>
  <c r="BH134" i="5"/>
  <c r="BA134" i="5"/>
  <c r="AZ134" i="5"/>
  <c r="AY134" i="5"/>
  <c r="AW134" i="5"/>
  <c r="AV134" i="5"/>
  <c r="AT134" i="5"/>
  <c r="AS134" i="5"/>
  <c r="AR134" i="5"/>
  <c r="AQ134" i="5"/>
  <c r="AP134" i="5"/>
  <c r="AJ134" i="5"/>
  <c r="AI134" i="5"/>
  <c r="AH134" i="5"/>
  <c r="AG134" i="5"/>
  <c r="AF134" i="5"/>
  <c r="AE134" i="5"/>
  <c r="AC134" i="5"/>
  <c r="AB134" i="5"/>
  <c r="Y134" i="5"/>
  <c r="W134" i="5" s="1"/>
  <c r="X134" i="5"/>
  <c r="V134" i="5"/>
  <c r="U134" i="5"/>
  <c r="R134" i="5"/>
  <c r="T134" i="5" s="1"/>
  <c r="Q134" i="5"/>
  <c r="P134" i="5" s="1"/>
  <c r="O134" i="5"/>
  <c r="N134" i="5"/>
  <c r="J134" i="5"/>
  <c r="I134" i="5"/>
  <c r="H134" i="5"/>
  <c r="G134" i="5"/>
  <c r="F134" i="5"/>
  <c r="B134" i="5"/>
  <c r="A134" i="5"/>
  <c r="CB133" i="5"/>
  <c r="CA133" i="5"/>
  <c r="BZ133" i="5"/>
  <c r="BX133" i="5" s="1"/>
  <c r="BY133" i="5"/>
  <c r="BW133" i="5"/>
  <c r="BU133" i="5"/>
  <c r="BS133" i="5"/>
  <c r="BQ133" i="5" s="1"/>
  <c r="BR133" i="5"/>
  <c r="BP133" i="5"/>
  <c r="BO133" i="5"/>
  <c r="BN133" i="5"/>
  <c r="BM133" i="5"/>
  <c r="BL133" i="5"/>
  <c r="BK133" i="5"/>
  <c r="BI133" i="5" s="1"/>
  <c r="BT133" i="5" s="1"/>
  <c r="BJ133" i="5"/>
  <c r="BH133" i="5"/>
  <c r="BD133" i="5"/>
  <c r="BC133" i="5"/>
  <c r="BA133" i="5"/>
  <c r="AY133" i="5" s="1"/>
  <c r="BB133" i="5" s="1"/>
  <c r="AZ133" i="5"/>
  <c r="AW133" i="5"/>
  <c r="AV133" i="5"/>
  <c r="AU133" i="5"/>
  <c r="AT133" i="5"/>
  <c r="AS133" i="5"/>
  <c r="AQ133" i="5" s="1"/>
  <c r="AR133" i="5"/>
  <c r="AP133" i="5"/>
  <c r="AJ133" i="5"/>
  <c r="AF133" i="5"/>
  <c r="AH133" i="5" s="1"/>
  <c r="AE133" i="5"/>
  <c r="AL133" i="5" s="1"/>
  <c r="BF133" i="5" s="1"/>
  <c r="AD133" i="5"/>
  <c r="AC133" i="5"/>
  <c r="AB133" i="5"/>
  <c r="Y133" i="5"/>
  <c r="X133" i="5"/>
  <c r="W133" i="5"/>
  <c r="V133" i="5"/>
  <c r="U133" i="5"/>
  <c r="R133" i="5"/>
  <c r="Q133" i="5"/>
  <c r="P133" i="5" s="1"/>
  <c r="N133" i="5"/>
  <c r="O133" i="5" s="1"/>
  <c r="L133" i="5"/>
  <c r="K133" i="5"/>
  <c r="J133" i="5"/>
  <c r="H133" i="5"/>
  <c r="G133" i="5"/>
  <c r="F133" i="5"/>
  <c r="I133" i="5" s="1"/>
  <c r="E133" i="5"/>
  <c r="D133" i="5"/>
  <c r="C133" i="5"/>
  <c r="B133" i="5"/>
  <c r="A133" i="5"/>
  <c r="CB132" i="5"/>
  <c r="CA132" i="5"/>
  <c r="BZ132" i="5"/>
  <c r="BY132" i="5"/>
  <c r="BW132" i="5"/>
  <c r="BS132" i="5"/>
  <c r="BV132" i="5" s="1"/>
  <c r="BR132" i="5"/>
  <c r="BQ132" i="5"/>
  <c r="BP132" i="5"/>
  <c r="BO132" i="5"/>
  <c r="BM132" i="5" s="1"/>
  <c r="BN132" i="5"/>
  <c r="BL132" i="5"/>
  <c r="BK132" i="5"/>
  <c r="BJ132" i="5"/>
  <c r="BI132" i="5" s="1"/>
  <c r="BH132" i="5"/>
  <c r="BA132" i="5"/>
  <c r="AY132" i="5" s="1"/>
  <c r="AZ132" i="5"/>
  <c r="AW132" i="5"/>
  <c r="AV132" i="5"/>
  <c r="AU132" i="5"/>
  <c r="AT132" i="5"/>
  <c r="AS132" i="5"/>
  <c r="AR132" i="5"/>
  <c r="BC132" i="5" s="1"/>
  <c r="AP132" i="5"/>
  <c r="AM132" i="5"/>
  <c r="AL132" i="5"/>
  <c r="AK132" i="5" s="1"/>
  <c r="AJ132" i="5"/>
  <c r="AF132" i="5"/>
  <c r="AE132" i="5"/>
  <c r="AD132" i="5"/>
  <c r="AB132" i="5"/>
  <c r="AC132" i="5" s="1"/>
  <c r="Y132" i="5"/>
  <c r="X132" i="5"/>
  <c r="W132" i="5"/>
  <c r="U132" i="5"/>
  <c r="V132" i="5" s="1"/>
  <c r="R132" i="5"/>
  <c r="P132" i="5" s="1"/>
  <c r="Q132" i="5"/>
  <c r="N132" i="5"/>
  <c r="O132" i="5" s="1"/>
  <c r="L132" i="5"/>
  <c r="K132" i="5"/>
  <c r="J132" i="5"/>
  <c r="F132" i="5"/>
  <c r="E132" i="5"/>
  <c r="D132" i="5"/>
  <c r="C132" i="5"/>
  <c r="B132" i="5"/>
  <c r="A132" i="5"/>
  <c r="CB131" i="5"/>
  <c r="CA131" i="5"/>
  <c r="BZ131" i="5"/>
  <c r="BY131" i="5"/>
  <c r="BX131" i="5"/>
  <c r="BW131" i="5"/>
  <c r="BS131" i="5"/>
  <c r="BR131" i="5"/>
  <c r="BU131" i="5" s="1"/>
  <c r="BP131" i="5"/>
  <c r="BO131" i="5"/>
  <c r="BN131" i="5"/>
  <c r="BL131" i="5"/>
  <c r="BK131" i="5"/>
  <c r="BJ131" i="5"/>
  <c r="BI131" i="5"/>
  <c r="BH131" i="5"/>
  <c r="BA131" i="5"/>
  <c r="BD131" i="5" s="1"/>
  <c r="AZ131" i="5"/>
  <c r="BC131" i="5" s="1"/>
  <c r="AY131" i="5"/>
  <c r="AW131" i="5"/>
  <c r="AU131" i="5" s="1"/>
  <c r="AV131" i="5"/>
  <c r="AT131" i="5"/>
  <c r="AS131" i="5"/>
  <c r="AR131" i="5"/>
  <c r="AQ131" i="5" s="1"/>
  <c r="AP131" i="5"/>
  <c r="AJ131" i="5"/>
  <c r="AF131" i="5"/>
  <c r="AE131" i="5"/>
  <c r="AL131" i="5" s="1"/>
  <c r="AB131" i="5"/>
  <c r="AC131" i="5" s="1"/>
  <c r="AA131" i="5"/>
  <c r="Z131" i="5"/>
  <c r="Y131" i="5"/>
  <c r="W131" i="5" s="1"/>
  <c r="X131" i="5"/>
  <c r="U131" i="5"/>
  <c r="V131" i="5" s="1"/>
  <c r="R131" i="5"/>
  <c r="P131" i="5" s="1"/>
  <c r="Q131" i="5"/>
  <c r="O131" i="5"/>
  <c r="N131" i="5"/>
  <c r="J131" i="5"/>
  <c r="K131" i="5" s="1"/>
  <c r="I131" i="5"/>
  <c r="H131" i="5"/>
  <c r="G131" i="5"/>
  <c r="F131" i="5"/>
  <c r="D131" i="5"/>
  <c r="B131" i="5"/>
  <c r="E131" i="5" s="1"/>
  <c r="A131" i="5"/>
  <c r="CB130" i="5"/>
  <c r="CA130" i="5"/>
  <c r="BZ130" i="5"/>
  <c r="BY130" i="5"/>
  <c r="BX130" i="5"/>
  <c r="BW130" i="5"/>
  <c r="BS130" i="5"/>
  <c r="BQ130" i="5" s="1"/>
  <c r="BR130" i="5"/>
  <c r="BP130" i="5"/>
  <c r="BO130" i="5"/>
  <c r="BV130" i="5" s="1"/>
  <c r="BN130" i="5"/>
  <c r="BU130" i="5" s="1"/>
  <c r="BL130" i="5"/>
  <c r="BK130" i="5"/>
  <c r="BI130" i="5" s="1"/>
  <c r="BJ130" i="5"/>
  <c r="BH130" i="5"/>
  <c r="BA130" i="5"/>
  <c r="AZ130" i="5"/>
  <c r="AY130" i="5"/>
  <c r="AW130" i="5"/>
  <c r="AV130" i="5"/>
  <c r="AT130" i="5"/>
  <c r="AS130" i="5"/>
  <c r="AR130" i="5"/>
  <c r="AQ130" i="5"/>
  <c r="AP130" i="5"/>
  <c r="AJ130" i="5"/>
  <c r="AI130" i="5"/>
  <c r="AH130" i="5"/>
  <c r="AG130" i="5"/>
  <c r="AF130" i="5"/>
  <c r="AE130" i="5"/>
  <c r="AC130" i="5"/>
  <c r="AB130" i="5"/>
  <c r="Y130" i="5"/>
  <c r="X130" i="5"/>
  <c r="V130" i="5"/>
  <c r="U130" i="5"/>
  <c r="R130" i="5"/>
  <c r="T130" i="5" s="1"/>
  <c r="Q130" i="5"/>
  <c r="P130" i="5"/>
  <c r="O130" i="5"/>
  <c r="N130" i="5"/>
  <c r="J130" i="5"/>
  <c r="I130" i="5"/>
  <c r="H130" i="5"/>
  <c r="G130" i="5"/>
  <c r="F130" i="5"/>
  <c r="B130" i="5"/>
  <c r="A130" i="5"/>
  <c r="CB129" i="5"/>
  <c r="CA129" i="5"/>
  <c r="BZ129" i="5"/>
  <c r="BX129" i="5" s="1"/>
  <c r="BY129" i="5"/>
  <c r="BW129" i="5"/>
  <c r="BU129" i="5"/>
  <c r="BS129" i="5"/>
  <c r="BQ129" i="5" s="1"/>
  <c r="BT129" i="5" s="1"/>
  <c r="BR129" i="5"/>
  <c r="BP129" i="5"/>
  <c r="BO129" i="5"/>
  <c r="BN129" i="5"/>
  <c r="BM129" i="5"/>
  <c r="BL129" i="5"/>
  <c r="BK129" i="5"/>
  <c r="BI129" i="5" s="1"/>
  <c r="BJ129" i="5"/>
  <c r="BH129" i="5"/>
  <c r="BC129" i="5"/>
  <c r="BA129" i="5"/>
  <c r="AY129" i="5" s="1"/>
  <c r="AZ129" i="5"/>
  <c r="AW129" i="5"/>
  <c r="AU129" i="5" s="1"/>
  <c r="AV129" i="5"/>
  <c r="AT129" i="5"/>
  <c r="AS129" i="5"/>
  <c r="AQ129" i="5" s="1"/>
  <c r="AR129" i="5"/>
  <c r="AP129" i="5"/>
  <c r="AJ129" i="5"/>
  <c r="AF129" i="5"/>
  <c r="AH129" i="5" s="1"/>
  <c r="AE129" i="5"/>
  <c r="AL129" i="5" s="1"/>
  <c r="BF129" i="5" s="1"/>
  <c r="AD129" i="5"/>
  <c r="AC129" i="5"/>
  <c r="AB129" i="5"/>
  <c r="Y129" i="5"/>
  <c r="X129" i="5"/>
  <c r="W129" i="5"/>
  <c r="V129" i="5"/>
  <c r="U129" i="5"/>
  <c r="R129" i="5"/>
  <c r="Q129" i="5"/>
  <c r="P129" i="5" s="1"/>
  <c r="N129" i="5"/>
  <c r="O129" i="5" s="1"/>
  <c r="L129" i="5"/>
  <c r="K129" i="5"/>
  <c r="J129" i="5"/>
  <c r="H129" i="5"/>
  <c r="G129" i="5"/>
  <c r="F129" i="5"/>
  <c r="I129" i="5" s="1"/>
  <c r="E129" i="5"/>
  <c r="D129" i="5"/>
  <c r="C129" i="5"/>
  <c r="B129" i="5"/>
  <c r="A129" i="5"/>
  <c r="CB128" i="5"/>
  <c r="CA128" i="5"/>
  <c r="BZ128" i="5"/>
  <c r="BY128" i="5"/>
  <c r="BW128" i="5"/>
  <c r="BS128" i="5"/>
  <c r="BV128" i="5" s="1"/>
  <c r="BR128" i="5"/>
  <c r="BU128" i="5" s="1"/>
  <c r="BQ128" i="5"/>
  <c r="BT128" i="5" s="1"/>
  <c r="BP128" i="5"/>
  <c r="BO128" i="5"/>
  <c r="BM128" i="5" s="1"/>
  <c r="BN128" i="5"/>
  <c r="BL128" i="5"/>
  <c r="BK128" i="5"/>
  <c r="BJ128" i="5"/>
  <c r="BI128" i="5"/>
  <c r="BH128" i="5"/>
  <c r="BD128" i="5"/>
  <c r="BA128" i="5"/>
  <c r="AY128" i="5" s="1"/>
  <c r="AZ128" i="5"/>
  <c r="AW128" i="5"/>
  <c r="AV128" i="5"/>
  <c r="AU128" i="5"/>
  <c r="AT128" i="5"/>
  <c r="AS128" i="5"/>
  <c r="AR128" i="5"/>
  <c r="BC128" i="5" s="1"/>
  <c r="AP128" i="5"/>
  <c r="AM128" i="5"/>
  <c r="AL128" i="5"/>
  <c r="AK128" i="5"/>
  <c r="AJ128" i="5"/>
  <c r="AF128" i="5"/>
  <c r="AE128" i="5"/>
  <c r="AD128" i="5"/>
  <c r="AC128" i="5"/>
  <c r="AB128" i="5"/>
  <c r="Y128" i="5"/>
  <c r="X128" i="5"/>
  <c r="W128" i="5"/>
  <c r="V128" i="5"/>
  <c r="U128" i="5"/>
  <c r="R128" i="5"/>
  <c r="P128" i="5" s="1"/>
  <c r="Q128" i="5"/>
  <c r="N128" i="5"/>
  <c r="O128" i="5" s="1"/>
  <c r="L128" i="5"/>
  <c r="K128" i="5"/>
  <c r="J128" i="5"/>
  <c r="F128" i="5"/>
  <c r="E128" i="5"/>
  <c r="D128" i="5"/>
  <c r="C128" i="5"/>
  <c r="B128" i="5"/>
  <c r="A128" i="5"/>
  <c r="CB127" i="5"/>
  <c r="CA127" i="5"/>
  <c r="BZ127" i="5"/>
  <c r="BY127" i="5"/>
  <c r="BX127" i="5" s="1"/>
  <c r="BW127" i="5"/>
  <c r="BS127" i="5"/>
  <c r="BR127" i="5"/>
  <c r="BU127" i="5" s="1"/>
  <c r="BQ127" i="5"/>
  <c r="BP127" i="5"/>
  <c r="BO127" i="5"/>
  <c r="BN127" i="5"/>
  <c r="BL127" i="5"/>
  <c r="BK127" i="5"/>
  <c r="BJ127" i="5"/>
  <c r="BI127" i="5"/>
  <c r="BH127" i="5"/>
  <c r="BA127" i="5"/>
  <c r="BD127" i="5" s="1"/>
  <c r="AZ127" i="5"/>
  <c r="BC127" i="5" s="1"/>
  <c r="AY127" i="5"/>
  <c r="BB127" i="5" s="1"/>
  <c r="AW127" i="5"/>
  <c r="AU127" i="5" s="1"/>
  <c r="AV127" i="5"/>
  <c r="AT127" i="5"/>
  <c r="AS127" i="5"/>
  <c r="AR127" i="5"/>
  <c r="AQ127" i="5"/>
  <c r="AP127" i="5"/>
  <c r="AJ127" i="5"/>
  <c r="AF127" i="5"/>
  <c r="AE127" i="5"/>
  <c r="AL127" i="5" s="1"/>
  <c r="AB127" i="5"/>
  <c r="AC127" i="5" s="1"/>
  <c r="AA127" i="5"/>
  <c r="Z127" i="5"/>
  <c r="Y127" i="5"/>
  <c r="W127" i="5" s="1"/>
  <c r="X127" i="5"/>
  <c r="U127" i="5"/>
  <c r="V127" i="5" s="1"/>
  <c r="R127" i="5"/>
  <c r="P127" i="5" s="1"/>
  <c r="Q127" i="5"/>
  <c r="O127" i="5"/>
  <c r="N127" i="5"/>
  <c r="L127" i="5"/>
  <c r="J127" i="5"/>
  <c r="K127" i="5" s="1"/>
  <c r="I127" i="5"/>
  <c r="H127" i="5"/>
  <c r="G127" i="5"/>
  <c r="F127" i="5"/>
  <c r="D127" i="5"/>
  <c r="C127" i="5"/>
  <c r="B127" i="5"/>
  <c r="E127" i="5" s="1"/>
  <c r="A127" i="5"/>
  <c r="CB126" i="5"/>
  <c r="CA126" i="5"/>
  <c r="BZ126" i="5"/>
  <c r="BY126" i="5"/>
  <c r="BX126" i="5"/>
  <c r="BW126" i="5"/>
  <c r="BS126" i="5"/>
  <c r="BQ126" i="5" s="1"/>
  <c r="BR126" i="5"/>
  <c r="BP126" i="5"/>
  <c r="BO126" i="5"/>
  <c r="BV126" i="5" s="1"/>
  <c r="BN126" i="5"/>
  <c r="BU126" i="5" s="1"/>
  <c r="BM126" i="5"/>
  <c r="BL126" i="5"/>
  <c r="BK126" i="5"/>
  <c r="BI126" i="5" s="1"/>
  <c r="BJ126" i="5"/>
  <c r="BH126" i="5"/>
  <c r="BA126" i="5"/>
  <c r="AZ126" i="5"/>
  <c r="AY126" i="5"/>
  <c r="AW126" i="5"/>
  <c r="AV126" i="5"/>
  <c r="AT126" i="5"/>
  <c r="AS126" i="5"/>
  <c r="AR126" i="5"/>
  <c r="AQ126" i="5"/>
  <c r="AP126" i="5"/>
  <c r="AJ126" i="5"/>
  <c r="AI126" i="5"/>
  <c r="AF126" i="5"/>
  <c r="AE126" i="5"/>
  <c r="AC126" i="5"/>
  <c r="AB126" i="5"/>
  <c r="Y126" i="5"/>
  <c r="X126" i="5"/>
  <c r="V126" i="5"/>
  <c r="U126" i="5"/>
  <c r="R126" i="5"/>
  <c r="T126" i="5" s="1"/>
  <c r="Q126" i="5"/>
  <c r="P126" i="5"/>
  <c r="O126" i="5"/>
  <c r="N126" i="5"/>
  <c r="J126" i="5"/>
  <c r="I126" i="5"/>
  <c r="H126" i="5"/>
  <c r="G126" i="5"/>
  <c r="F126" i="5"/>
  <c r="B126" i="5"/>
  <c r="A126" i="5"/>
  <c r="CB125" i="5"/>
  <c r="CA125" i="5"/>
  <c r="BZ125" i="5"/>
  <c r="BX125" i="5" s="1"/>
  <c r="BY125" i="5"/>
  <c r="BW125" i="5"/>
  <c r="BU125" i="5"/>
  <c r="BS125" i="5"/>
  <c r="BQ125" i="5" s="1"/>
  <c r="BT125" i="5" s="1"/>
  <c r="BR125" i="5"/>
  <c r="BP125" i="5"/>
  <c r="BO125" i="5"/>
  <c r="BN125" i="5"/>
  <c r="BM125" i="5"/>
  <c r="BL125" i="5"/>
  <c r="BK125" i="5"/>
  <c r="BI125" i="5" s="1"/>
  <c r="BJ125" i="5"/>
  <c r="BH125" i="5"/>
  <c r="BA125" i="5"/>
  <c r="AY125" i="5" s="1"/>
  <c r="AZ125" i="5"/>
  <c r="AW125" i="5"/>
  <c r="BD125" i="5" s="1"/>
  <c r="AV125" i="5"/>
  <c r="BC125" i="5" s="1"/>
  <c r="AT125" i="5"/>
  <c r="AS125" i="5"/>
  <c r="AQ125" i="5" s="1"/>
  <c r="AR125" i="5"/>
  <c r="AP125" i="5"/>
  <c r="AM125" i="5"/>
  <c r="AJ125" i="5"/>
  <c r="AF125" i="5"/>
  <c r="AH125" i="5" s="1"/>
  <c r="AE125" i="5"/>
  <c r="AL125" i="5" s="1"/>
  <c r="BF125" i="5" s="1"/>
  <c r="AD125" i="5"/>
  <c r="AC125" i="5"/>
  <c r="AB125" i="5"/>
  <c r="Y125" i="5"/>
  <c r="X125" i="5"/>
  <c r="W125" i="5"/>
  <c r="V125" i="5"/>
  <c r="U125" i="5"/>
  <c r="R125" i="5"/>
  <c r="Q125" i="5"/>
  <c r="P125" i="5"/>
  <c r="N125" i="5"/>
  <c r="O125" i="5" s="1"/>
  <c r="L125" i="5"/>
  <c r="K125" i="5"/>
  <c r="J125" i="5"/>
  <c r="F125" i="5"/>
  <c r="I125" i="5" s="1"/>
  <c r="E125" i="5"/>
  <c r="D125" i="5"/>
  <c r="C125" i="5"/>
  <c r="B125" i="5"/>
  <c r="A125" i="5"/>
  <c r="CB124" i="5"/>
  <c r="CA124" i="5"/>
  <c r="BZ124" i="5"/>
  <c r="BX124" i="5" s="1"/>
  <c r="BY124" i="5"/>
  <c r="BW124" i="5"/>
  <c r="BS124" i="5"/>
  <c r="BV124" i="5" s="1"/>
  <c r="BR124" i="5"/>
  <c r="BU124" i="5" s="1"/>
  <c r="BQ124" i="5"/>
  <c r="BT124" i="5" s="1"/>
  <c r="BP124" i="5"/>
  <c r="BO124" i="5"/>
  <c r="BM124" i="5" s="1"/>
  <c r="BN124" i="5"/>
  <c r="BL124" i="5"/>
  <c r="BK124" i="5"/>
  <c r="BJ124" i="5"/>
  <c r="BI124" i="5"/>
  <c r="BH124" i="5"/>
  <c r="BC124" i="5"/>
  <c r="BA124" i="5"/>
  <c r="AY124" i="5" s="1"/>
  <c r="BB124" i="5" s="1"/>
  <c r="AZ124" i="5"/>
  <c r="AW124" i="5"/>
  <c r="AV124" i="5"/>
  <c r="AU124" i="5"/>
  <c r="AT124" i="5"/>
  <c r="AS124" i="5"/>
  <c r="AQ124" i="5" s="1"/>
  <c r="AR124" i="5"/>
  <c r="AP124" i="5"/>
  <c r="AM124" i="5"/>
  <c r="AJ124" i="5"/>
  <c r="AF124" i="5"/>
  <c r="AE124" i="5"/>
  <c r="AL124" i="5" s="1"/>
  <c r="AB124" i="5"/>
  <c r="AC124" i="5" s="1"/>
  <c r="Y124" i="5"/>
  <c r="X124" i="5"/>
  <c r="W124" i="5"/>
  <c r="U124" i="5"/>
  <c r="V124" i="5" s="1"/>
  <c r="R124" i="5"/>
  <c r="P124" i="5" s="1"/>
  <c r="Q124" i="5"/>
  <c r="N124" i="5"/>
  <c r="O124" i="5" s="1"/>
  <c r="L124" i="5"/>
  <c r="K124" i="5"/>
  <c r="J124" i="5"/>
  <c r="F124" i="5"/>
  <c r="E124" i="5"/>
  <c r="D124" i="5"/>
  <c r="C124" i="5"/>
  <c r="B124" i="5"/>
  <c r="A124" i="5"/>
  <c r="CB123" i="5"/>
  <c r="CA123" i="5"/>
  <c r="BZ123" i="5"/>
  <c r="BY123" i="5"/>
  <c r="BX123" i="5"/>
  <c r="BW123" i="5"/>
  <c r="BS123" i="5"/>
  <c r="BR123" i="5"/>
  <c r="BU123" i="5" s="1"/>
  <c r="BQ123" i="5"/>
  <c r="BP123" i="5"/>
  <c r="BO123" i="5"/>
  <c r="BN123" i="5"/>
  <c r="BL123" i="5"/>
  <c r="BK123" i="5"/>
  <c r="BJ123" i="5"/>
  <c r="BI123" i="5"/>
  <c r="BH123" i="5"/>
  <c r="BA123" i="5"/>
  <c r="AZ123" i="5"/>
  <c r="BC123" i="5" s="1"/>
  <c r="AY123" i="5"/>
  <c r="BB123" i="5" s="1"/>
  <c r="AW123" i="5"/>
  <c r="AU123" i="5" s="1"/>
  <c r="AV123" i="5"/>
  <c r="AT123" i="5"/>
  <c r="AS123" i="5"/>
  <c r="AQ123" i="5" s="1"/>
  <c r="AR123" i="5"/>
  <c r="AP123" i="5"/>
  <c r="AJ123" i="5"/>
  <c r="AF123" i="5"/>
  <c r="AM123" i="5" s="1"/>
  <c r="AE123" i="5"/>
  <c r="AL123" i="5" s="1"/>
  <c r="AB123" i="5"/>
  <c r="AC123" i="5" s="1"/>
  <c r="Y123" i="5"/>
  <c r="W123" i="5" s="1"/>
  <c r="X123" i="5"/>
  <c r="U123" i="5"/>
  <c r="V123" i="5" s="1"/>
  <c r="AA123" i="5" s="1"/>
  <c r="R123" i="5"/>
  <c r="P123" i="5" s="1"/>
  <c r="Q123" i="5"/>
  <c r="O123" i="5"/>
  <c r="N123" i="5"/>
  <c r="L123" i="5"/>
  <c r="K123" i="5"/>
  <c r="J123" i="5"/>
  <c r="I123" i="5"/>
  <c r="H123" i="5"/>
  <c r="G123" i="5"/>
  <c r="F123" i="5"/>
  <c r="B123" i="5"/>
  <c r="E123" i="5" s="1"/>
  <c r="A123" i="5"/>
  <c r="CB122" i="5"/>
  <c r="CA122" i="5"/>
  <c r="BZ122" i="5"/>
  <c r="BY122" i="5"/>
  <c r="BX122" i="5"/>
  <c r="BW122" i="5"/>
  <c r="BV122" i="5"/>
  <c r="BS122" i="5"/>
  <c r="BQ122" i="5" s="1"/>
  <c r="BT122" i="5" s="1"/>
  <c r="BR122" i="5"/>
  <c r="BP122" i="5"/>
  <c r="BO122" i="5"/>
  <c r="BN122" i="5"/>
  <c r="BU122" i="5" s="1"/>
  <c r="BM122" i="5"/>
  <c r="BL122" i="5"/>
  <c r="BK122" i="5"/>
  <c r="BI122" i="5" s="1"/>
  <c r="BJ122" i="5"/>
  <c r="BH122" i="5"/>
  <c r="BA122" i="5"/>
  <c r="AZ122" i="5"/>
  <c r="BC122" i="5" s="1"/>
  <c r="AW122" i="5"/>
  <c r="AV122" i="5"/>
  <c r="AT122" i="5"/>
  <c r="AS122" i="5"/>
  <c r="AR122" i="5"/>
  <c r="AQ122" i="5"/>
  <c r="AP122" i="5"/>
  <c r="AJ122" i="5"/>
  <c r="AI122" i="5"/>
  <c r="AF122" i="5"/>
  <c r="AE122" i="5"/>
  <c r="AL122" i="5" s="1"/>
  <c r="BF122" i="5" s="1"/>
  <c r="AC122" i="5"/>
  <c r="AB122" i="5"/>
  <c r="Y122" i="5"/>
  <c r="X122" i="5"/>
  <c r="V122" i="5"/>
  <c r="U122" i="5"/>
  <c r="S122" i="5"/>
  <c r="R122" i="5"/>
  <c r="T122" i="5" s="1"/>
  <c r="Q122" i="5"/>
  <c r="P122" i="5" s="1"/>
  <c r="L122" i="5"/>
  <c r="K122" i="5"/>
  <c r="J122" i="5"/>
  <c r="H122" i="5"/>
  <c r="F122" i="5"/>
  <c r="I122" i="5" s="1"/>
  <c r="E122" i="5"/>
  <c r="D122" i="5"/>
  <c r="C122" i="5"/>
  <c r="B122" i="5"/>
  <c r="A122" i="5"/>
  <c r="CB121" i="5"/>
  <c r="CA121" i="5"/>
  <c r="BZ121" i="5"/>
  <c r="BY121" i="5"/>
  <c r="BW121" i="5"/>
  <c r="BS121" i="5"/>
  <c r="BV121" i="5" s="1"/>
  <c r="BR121" i="5"/>
  <c r="BU121" i="5" s="1"/>
  <c r="BQ121" i="5"/>
  <c r="BT121" i="5" s="1"/>
  <c r="BP121" i="5"/>
  <c r="BO121" i="5"/>
  <c r="BM121" i="5" s="1"/>
  <c r="BN121" i="5"/>
  <c r="BL121" i="5"/>
  <c r="BK121" i="5"/>
  <c r="BJ121" i="5"/>
  <c r="BI121" i="5"/>
  <c r="BH121" i="5"/>
  <c r="BA121" i="5"/>
  <c r="AY121" i="5" s="1"/>
  <c r="AZ121" i="5"/>
  <c r="AW121" i="5"/>
  <c r="AV121" i="5"/>
  <c r="AU121" i="5"/>
  <c r="AT121" i="5"/>
  <c r="AS121" i="5"/>
  <c r="AR121" i="5"/>
  <c r="BC121" i="5" s="1"/>
  <c r="AP121" i="5"/>
  <c r="AM121" i="5"/>
  <c r="AL121" i="5"/>
  <c r="AK121" i="5"/>
  <c r="AJ121" i="5"/>
  <c r="AF121" i="5"/>
  <c r="AE121" i="5"/>
  <c r="AD121" i="5"/>
  <c r="AB121" i="5"/>
  <c r="AC121" i="5" s="1"/>
  <c r="Y121" i="5"/>
  <c r="X121" i="5"/>
  <c r="W121" i="5"/>
  <c r="U121" i="5"/>
  <c r="V121" i="5" s="1"/>
  <c r="R121" i="5"/>
  <c r="P121" i="5" s="1"/>
  <c r="Q121" i="5"/>
  <c r="N121" i="5"/>
  <c r="O121" i="5" s="1"/>
  <c r="L121" i="5"/>
  <c r="K121" i="5"/>
  <c r="J121" i="5"/>
  <c r="F121" i="5"/>
  <c r="E121" i="5"/>
  <c r="D121" i="5"/>
  <c r="C121" i="5"/>
  <c r="B121" i="5"/>
  <c r="A121" i="5"/>
  <c r="CB120" i="5"/>
  <c r="CA120" i="5"/>
  <c r="BZ120" i="5"/>
  <c r="BY120" i="5"/>
  <c r="BX120" i="5"/>
  <c r="BW120" i="5"/>
  <c r="BS120" i="5"/>
  <c r="BR120" i="5"/>
  <c r="BU120" i="5" s="1"/>
  <c r="BP120" i="5"/>
  <c r="BO120" i="5"/>
  <c r="BN120" i="5"/>
  <c r="BL120" i="5"/>
  <c r="BK120" i="5"/>
  <c r="BJ120" i="5"/>
  <c r="BI120" i="5"/>
  <c r="BH120" i="5"/>
  <c r="BA120" i="5"/>
  <c r="BD120" i="5" s="1"/>
  <c r="AZ120" i="5"/>
  <c r="BC120" i="5" s="1"/>
  <c r="AY120" i="5"/>
  <c r="BB120" i="5" s="1"/>
  <c r="AW120" i="5"/>
  <c r="AU120" i="5" s="1"/>
  <c r="AV120" i="5"/>
  <c r="AT120" i="5"/>
  <c r="AS120" i="5"/>
  <c r="AR120" i="5"/>
  <c r="AQ120" i="5" s="1"/>
  <c r="AP120" i="5"/>
  <c r="AJ120" i="5"/>
  <c r="AF120" i="5"/>
  <c r="AE120" i="5"/>
  <c r="AL120" i="5" s="1"/>
  <c r="AB120" i="5"/>
  <c r="AC120" i="5" s="1"/>
  <c r="AA120" i="5"/>
  <c r="Z120" i="5"/>
  <c r="Y120" i="5"/>
  <c r="W120" i="5" s="1"/>
  <c r="X120" i="5"/>
  <c r="U120" i="5"/>
  <c r="V120" i="5" s="1"/>
  <c r="R120" i="5"/>
  <c r="P120" i="5" s="1"/>
  <c r="Q120" i="5"/>
  <c r="O120" i="5"/>
  <c r="N120" i="5"/>
  <c r="J120" i="5"/>
  <c r="K120" i="5" s="1"/>
  <c r="I120" i="5"/>
  <c r="H120" i="5"/>
  <c r="G120" i="5"/>
  <c r="F120" i="5"/>
  <c r="D120" i="5"/>
  <c r="B120" i="5"/>
  <c r="E120" i="5" s="1"/>
  <c r="A120" i="5"/>
  <c r="CB119" i="5"/>
  <c r="CA119" i="5"/>
  <c r="BZ119" i="5"/>
  <c r="BY119" i="5"/>
  <c r="BX119" i="5"/>
  <c r="BW119" i="5"/>
  <c r="BS119" i="5"/>
  <c r="BQ119" i="5" s="1"/>
  <c r="BT119" i="5" s="1"/>
  <c r="BR119" i="5"/>
  <c r="BP119" i="5"/>
  <c r="BO119" i="5"/>
  <c r="BV119" i="5" s="1"/>
  <c r="BN119" i="5"/>
  <c r="BU119" i="5" s="1"/>
  <c r="BL119" i="5"/>
  <c r="BK119" i="5"/>
  <c r="BI119" i="5" s="1"/>
  <c r="BJ119" i="5"/>
  <c r="BH119" i="5"/>
  <c r="BA119" i="5"/>
  <c r="AZ119" i="5"/>
  <c r="AY119" i="5"/>
  <c r="AW119" i="5"/>
  <c r="AV119" i="5"/>
  <c r="AT119" i="5"/>
  <c r="AS119" i="5"/>
  <c r="AR119" i="5"/>
  <c r="AQ119" i="5"/>
  <c r="AP119" i="5"/>
  <c r="AJ119" i="5"/>
  <c r="AI119" i="5"/>
  <c r="AH119" i="5"/>
  <c r="AG119" i="5"/>
  <c r="AF119" i="5"/>
  <c r="AE119" i="5"/>
  <c r="AC119" i="5"/>
  <c r="AB119" i="5"/>
  <c r="Y119" i="5"/>
  <c r="X119" i="5"/>
  <c r="U119" i="5"/>
  <c r="R119" i="5"/>
  <c r="Q119" i="5"/>
  <c r="P119" i="5" s="1"/>
  <c r="N119" i="5"/>
  <c r="L119" i="5"/>
  <c r="K119" i="5"/>
  <c r="J119" i="5"/>
  <c r="F119" i="5"/>
  <c r="I119" i="5" s="1"/>
  <c r="E119" i="5"/>
  <c r="D119" i="5"/>
  <c r="C119" i="5"/>
  <c r="B119" i="5"/>
  <c r="A119" i="5"/>
  <c r="CB118" i="5"/>
  <c r="CA118" i="5"/>
  <c r="BZ118" i="5"/>
  <c r="BX118" i="5" s="1"/>
  <c r="BY118" i="5"/>
  <c r="BW118" i="5"/>
  <c r="BS118" i="5"/>
  <c r="BV118" i="5" s="1"/>
  <c r="BR118" i="5"/>
  <c r="BU118" i="5" s="1"/>
  <c r="BP118" i="5"/>
  <c r="BO118" i="5"/>
  <c r="BM118" i="5" s="1"/>
  <c r="BN118" i="5"/>
  <c r="BL118" i="5"/>
  <c r="BK118" i="5"/>
  <c r="BJ118" i="5"/>
  <c r="BI118" i="5"/>
  <c r="BH118" i="5"/>
  <c r="BC118" i="5"/>
  <c r="BA118" i="5"/>
  <c r="AY118" i="5" s="1"/>
  <c r="BB118" i="5" s="1"/>
  <c r="BE118" i="5" s="1"/>
  <c r="AZ118" i="5"/>
  <c r="AW118" i="5"/>
  <c r="AV118" i="5"/>
  <c r="AU118" i="5"/>
  <c r="AT118" i="5"/>
  <c r="AS118" i="5"/>
  <c r="AQ118" i="5" s="1"/>
  <c r="AR118" i="5"/>
  <c r="AP118" i="5"/>
  <c r="AM118" i="5"/>
  <c r="AL118" i="5"/>
  <c r="BF118" i="5" s="1"/>
  <c r="AK118" i="5"/>
  <c r="AJ118" i="5"/>
  <c r="AF118" i="5"/>
  <c r="AE118" i="5"/>
  <c r="AD118" i="5" s="1"/>
  <c r="AC118" i="5"/>
  <c r="AB118" i="5"/>
  <c r="Y118" i="5"/>
  <c r="X118" i="5"/>
  <c r="W118" i="5"/>
  <c r="U118" i="5"/>
  <c r="V118" i="5" s="1"/>
  <c r="R118" i="5"/>
  <c r="P118" i="5" s="1"/>
  <c r="Q118" i="5"/>
  <c r="N118" i="5"/>
  <c r="O118" i="5" s="1"/>
  <c r="L118" i="5"/>
  <c r="K118" i="5"/>
  <c r="J118" i="5"/>
  <c r="F118" i="5"/>
  <c r="E118" i="5"/>
  <c r="D118" i="5"/>
  <c r="C118" i="5"/>
  <c r="B118" i="5"/>
  <c r="A118" i="5"/>
  <c r="CB117" i="5"/>
  <c r="CA117" i="5"/>
  <c r="BZ117" i="5"/>
  <c r="BY117" i="5"/>
  <c r="BX117" i="5" s="1"/>
  <c r="BW117" i="5"/>
  <c r="BS117" i="5"/>
  <c r="BR117" i="5"/>
  <c r="BQ117" i="5"/>
  <c r="BT117" i="5" s="1"/>
  <c r="BP117" i="5"/>
  <c r="BO117" i="5"/>
  <c r="BN117" i="5"/>
  <c r="BL117" i="5"/>
  <c r="BK117" i="5"/>
  <c r="BJ117" i="5"/>
  <c r="BI117" i="5" s="1"/>
  <c r="BH117" i="5"/>
  <c r="BA117" i="5"/>
  <c r="BD117" i="5" s="1"/>
  <c r="AZ117" i="5"/>
  <c r="BC117" i="5" s="1"/>
  <c r="AY117" i="5"/>
  <c r="BB117" i="5" s="1"/>
  <c r="AW117" i="5"/>
  <c r="AU117" i="5" s="1"/>
  <c r="AV117" i="5"/>
  <c r="AS117" i="5"/>
  <c r="AR117" i="5"/>
  <c r="AQ117" i="5" s="1"/>
  <c r="AJ117" i="5"/>
  <c r="AI117" i="5"/>
  <c r="AF117" i="5"/>
  <c r="AH117" i="5" s="1"/>
  <c r="AE117" i="5"/>
  <c r="AL117" i="5" s="1"/>
  <c r="Y117" i="5"/>
  <c r="X117" i="5"/>
  <c r="W117" i="5"/>
  <c r="R117" i="5"/>
  <c r="P117" i="5" s="1"/>
  <c r="Q117" i="5"/>
  <c r="L117" i="5"/>
  <c r="K117" i="5"/>
  <c r="J117" i="5"/>
  <c r="F117" i="5"/>
  <c r="I117" i="5" s="1"/>
  <c r="E117" i="5"/>
  <c r="D117" i="5"/>
  <c r="C117" i="5"/>
  <c r="B117" i="5"/>
  <c r="A117" i="5"/>
  <c r="CB116" i="5"/>
  <c r="CA116" i="5"/>
  <c r="BZ116" i="5"/>
  <c r="BX116" i="5" s="1"/>
  <c r="BY116" i="5"/>
  <c r="BW116" i="5"/>
  <c r="BS116" i="5"/>
  <c r="BR116" i="5"/>
  <c r="BU116" i="5" s="1"/>
  <c r="BP116" i="5"/>
  <c r="BO116" i="5"/>
  <c r="BM116" i="5" s="1"/>
  <c r="BN116" i="5"/>
  <c r="BL116" i="5"/>
  <c r="BK116" i="5"/>
  <c r="BJ116" i="5"/>
  <c r="BI116" i="5"/>
  <c r="BH116" i="5"/>
  <c r="BC116" i="5"/>
  <c r="BA116" i="5"/>
  <c r="AY116" i="5" s="1"/>
  <c r="BB116" i="5" s="1"/>
  <c r="AZ116" i="5"/>
  <c r="AW116" i="5"/>
  <c r="AV116" i="5"/>
  <c r="AU116" i="5"/>
  <c r="AT116" i="5"/>
  <c r="AS116" i="5"/>
  <c r="AQ116" i="5" s="1"/>
  <c r="AR116" i="5"/>
  <c r="AP116" i="5"/>
  <c r="AJ116" i="5"/>
  <c r="AI116" i="5"/>
  <c r="AH116" i="5"/>
  <c r="AG116" i="5"/>
  <c r="AF116" i="5"/>
  <c r="AE116" i="5"/>
  <c r="AL116" i="5" s="1"/>
  <c r="BF116" i="5" s="1"/>
  <c r="AB116" i="5"/>
  <c r="AA116" i="5"/>
  <c r="Z116" i="5"/>
  <c r="Y116" i="5"/>
  <c r="W116" i="5" s="1"/>
  <c r="X116" i="5"/>
  <c r="U116" i="5"/>
  <c r="R116" i="5"/>
  <c r="P116" i="5" s="1"/>
  <c r="Q116" i="5"/>
  <c r="N116" i="5"/>
  <c r="K116" i="5"/>
  <c r="J116" i="5"/>
  <c r="L116" i="5" s="1"/>
  <c r="I116" i="5"/>
  <c r="H116" i="5"/>
  <c r="G116" i="5"/>
  <c r="F116" i="5"/>
  <c r="B116" i="5"/>
  <c r="A116" i="5"/>
  <c r="CB115" i="5"/>
  <c r="CA115" i="5"/>
  <c r="BZ115" i="5"/>
  <c r="BX115" i="5" s="1"/>
  <c r="BY115" i="5"/>
  <c r="BW115" i="5"/>
  <c r="BV115" i="5"/>
  <c r="BT115" i="5"/>
  <c r="BS115" i="5"/>
  <c r="BQ115" i="5" s="1"/>
  <c r="BR115" i="5"/>
  <c r="BP115" i="5"/>
  <c r="BO115" i="5"/>
  <c r="BN115" i="5"/>
  <c r="BM115" i="5" s="1"/>
  <c r="BL115" i="5"/>
  <c r="BK115" i="5"/>
  <c r="BI115" i="5" s="1"/>
  <c r="BJ115" i="5"/>
  <c r="BH115" i="5"/>
  <c r="BD115" i="5"/>
  <c r="BA115" i="5"/>
  <c r="AZ115" i="5"/>
  <c r="AY115" i="5"/>
  <c r="AW115" i="5"/>
  <c r="AV115" i="5"/>
  <c r="BC115" i="5" s="1"/>
  <c r="AS115" i="5"/>
  <c r="AQ115" i="5" s="1"/>
  <c r="AR115" i="5"/>
  <c r="AM115" i="5"/>
  <c r="AO115" i="5" s="1"/>
  <c r="AJ115" i="5"/>
  <c r="AF115" i="5"/>
  <c r="AE115" i="5"/>
  <c r="AD115" i="5" s="1"/>
  <c r="AC115" i="5"/>
  <c r="AI115" i="5" s="1"/>
  <c r="Y115" i="5"/>
  <c r="W115" i="5" s="1"/>
  <c r="X115" i="5"/>
  <c r="R115" i="5"/>
  <c r="Q115" i="5"/>
  <c r="P115" i="5" s="1"/>
  <c r="L115" i="5"/>
  <c r="K115" i="5"/>
  <c r="J115" i="5"/>
  <c r="F115" i="5"/>
  <c r="E115" i="5"/>
  <c r="D115" i="5"/>
  <c r="C115" i="5"/>
  <c r="B115" i="5"/>
  <c r="A115" i="5"/>
  <c r="CB114" i="5"/>
  <c r="CA114" i="5"/>
  <c r="BZ114" i="5"/>
  <c r="BX114" i="5" s="1"/>
  <c r="BY114" i="5"/>
  <c r="BW114" i="5"/>
  <c r="BS114" i="5"/>
  <c r="BR114" i="5"/>
  <c r="BU114" i="5" s="1"/>
  <c r="BP114" i="5"/>
  <c r="BO114" i="5"/>
  <c r="BN114" i="5"/>
  <c r="BL114" i="5"/>
  <c r="BK114" i="5"/>
  <c r="BJ114" i="5"/>
  <c r="BI114" i="5"/>
  <c r="BH114" i="5"/>
  <c r="BA114" i="5"/>
  <c r="AZ114" i="5"/>
  <c r="BC114" i="5" s="1"/>
  <c r="AY114" i="5"/>
  <c r="AX114" i="5"/>
  <c r="AW114" i="5"/>
  <c r="AU114" i="5" s="1"/>
  <c r="AV114" i="5"/>
  <c r="AT114" i="5"/>
  <c r="AS114" i="5"/>
  <c r="AQ114" i="5" s="1"/>
  <c r="BB114" i="5" s="1"/>
  <c r="AR114" i="5"/>
  <c r="AP114" i="5"/>
  <c r="AJ114" i="5"/>
  <c r="AI114" i="5"/>
  <c r="AH114" i="5"/>
  <c r="AG114" i="5"/>
  <c r="AF114" i="5"/>
  <c r="AE114" i="5"/>
  <c r="AD114" i="5"/>
  <c r="AB114" i="5"/>
  <c r="AA114" i="5"/>
  <c r="Z114" i="5"/>
  <c r="Y114" i="5"/>
  <c r="W114" i="5" s="1"/>
  <c r="X114" i="5"/>
  <c r="U114" i="5"/>
  <c r="R114" i="5"/>
  <c r="P114" i="5" s="1"/>
  <c r="Q114" i="5"/>
  <c r="AL114" i="5" s="1"/>
  <c r="BF114" i="5" s="1"/>
  <c r="N114" i="5"/>
  <c r="J114" i="5"/>
  <c r="I114" i="5"/>
  <c r="H114" i="5"/>
  <c r="G114" i="5"/>
  <c r="F114" i="5"/>
  <c r="B114" i="5"/>
  <c r="A114" i="5"/>
  <c r="CB113" i="5"/>
  <c r="CA113" i="5"/>
  <c r="BZ113" i="5"/>
  <c r="BX113" i="5" s="1"/>
  <c r="BY113" i="5"/>
  <c r="BW113" i="5"/>
  <c r="BU113" i="5"/>
  <c r="BS113" i="5"/>
  <c r="BQ113" i="5" s="1"/>
  <c r="BT113" i="5" s="1"/>
  <c r="BR113" i="5"/>
  <c r="BP113" i="5"/>
  <c r="BO113" i="5"/>
  <c r="BN113" i="5"/>
  <c r="BM113" i="5" s="1"/>
  <c r="BL113" i="5"/>
  <c r="BK113" i="5"/>
  <c r="BI113" i="5" s="1"/>
  <c r="BJ113" i="5"/>
  <c r="BH113" i="5"/>
  <c r="BC113" i="5"/>
  <c r="BA113" i="5"/>
  <c r="AY113" i="5" s="1"/>
  <c r="AZ113" i="5"/>
  <c r="AX113" i="5"/>
  <c r="AW113" i="5"/>
  <c r="AU113" i="5" s="1"/>
  <c r="AV113" i="5"/>
  <c r="AT113" i="5"/>
  <c r="AS113" i="5"/>
  <c r="AQ113" i="5" s="1"/>
  <c r="AR113" i="5"/>
  <c r="AP113" i="5"/>
  <c r="AJ113" i="5"/>
  <c r="AI113" i="5"/>
  <c r="AG113" i="5"/>
  <c r="AF113" i="5"/>
  <c r="AM113" i="5" s="1"/>
  <c r="AE113" i="5"/>
  <c r="AL113" i="5" s="1"/>
  <c r="BF113" i="5" s="1"/>
  <c r="AB113" i="5"/>
  <c r="Y113" i="5"/>
  <c r="X113" i="5"/>
  <c r="W113" i="5"/>
  <c r="U113" i="5"/>
  <c r="T113" i="5"/>
  <c r="S113" i="5"/>
  <c r="R113" i="5"/>
  <c r="Q113" i="5"/>
  <c r="P113" i="5"/>
  <c r="N113" i="5"/>
  <c r="L113" i="5"/>
  <c r="K113" i="5"/>
  <c r="J113" i="5"/>
  <c r="F113" i="5"/>
  <c r="E113" i="5"/>
  <c r="D113" i="5"/>
  <c r="C113" i="5"/>
  <c r="B113" i="5"/>
  <c r="A113" i="5"/>
  <c r="CB112" i="5"/>
  <c r="CA112" i="5"/>
  <c r="BZ112" i="5"/>
  <c r="BY112" i="5"/>
  <c r="BX112" i="5"/>
  <c r="BW112" i="5"/>
  <c r="BS112" i="5"/>
  <c r="BR112" i="5"/>
  <c r="BU112" i="5" s="1"/>
  <c r="BP112" i="5"/>
  <c r="BO112" i="5"/>
  <c r="BN112" i="5"/>
  <c r="BL112" i="5"/>
  <c r="BK112" i="5"/>
  <c r="BJ112" i="5"/>
  <c r="BI112" i="5"/>
  <c r="BH112" i="5"/>
  <c r="BA112" i="5"/>
  <c r="BD112" i="5" s="1"/>
  <c r="AZ112" i="5"/>
  <c r="BC112" i="5" s="1"/>
  <c r="AX112" i="5"/>
  <c r="AW112" i="5"/>
  <c r="AU112" i="5" s="1"/>
  <c r="AV112" i="5"/>
  <c r="AT112" i="5"/>
  <c r="AS112" i="5"/>
  <c r="AR112" i="5"/>
  <c r="AQ112" i="5"/>
  <c r="AP112" i="5"/>
  <c r="AJ112" i="5"/>
  <c r="AI112" i="5"/>
  <c r="AH112" i="5"/>
  <c r="AG112" i="5"/>
  <c r="AF112" i="5"/>
  <c r="AM112" i="5" s="1"/>
  <c r="AE112" i="5"/>
  <c r="AD112" i="5"/>
  <c r="AB112" i="5"/>
  <c r="AA112" i="5"/>
  <c r="Z112" i="5"/>
  <c r="Y112" i="5"/>
  <c r="W112" i="5" s="1"/>
  <c r="X112" i="5"/>
  <c r="U112" i="5"/>
  <c r="R112" i="5"/>
  <c r="P112" i="5" s="1"/>
  <c r="Q112" i="5"/>
  <c r="AL112" i="5" s="1"/>
  <c r="BF112" i="5" s="1"/>
  <c r="N112" i="5"/>
  <c r="J112" i="5"/>
  <c r="I112" i="5"/>
  <c r="H112" i="5"/>
  <c r="G112" i="5"/>
  <c r="F112" i="5"/>
  <c r="B112" i="5"/>
  <c r="A112" i="5"/>
  <c r="CB111" i="5"/>
  <c r="CA111" i="5"/>
  <c r="BZ111" i="5"/>
  <c r="BX111" i="5" s="1"/>
  <c r="BY111" i="5"/>
  <c r="BW111" i="5"/>
  <c r="BU111" i="5"/>
  <c r="BS111" i="5"/>
  <c r="BQ111" i="5" s="1"/>
  <c r="BT111" i="5" s="1"/>
  <c r="BR111" i="5"/>
  <c r="BP111" i="5"/>
  <c r="BO111" i="5"/>
  <c r="BN111" i="5"/>
  <c r="BM111" i="5"/>
  <c r="BL111" i="5"/>
  <c r="BK111" i="5"/>
  <c r="BI111" i="5" s="1"/>
  <c r="BJ111" i="5"/>
  <c r="BH111" i="5"/>
  <c r="BA111" i="5"/>
  <c r="AY111" i="5" s="1"/>
  <c r="AZ111" i="5"/>
  <c r="AX111" i="5"/>
  <c r="AW111" i="5"/>
  <c r="BD111" i="5" s="1"/>
  <c r="AV111" i="5"/>
  <c r="BC111" i="5" s="1"/>
  <c r="AU111" i="5"/>
  <c r="AT111" i="5"/>
  <c r="AS111" i="5"/>
  <c r="AQ111" i="5" s="1"/>
  <c r="AR111" i="5"/>
  <c r="AP111" i="5"/>
  <c r="AJ111" i="5"/>
  <c r="AI111" i="5"/>
  <c r="AG111" i="5"/>
  <c r="AF111" i="5"/>
  <c r="AE111" i="5"/>
  <c r="AB111" i="5"/>
  <c r="Y111" i="5"/>
  <c r="W111" i="5" s="1"/>
  <c r="X111" i="5"/>
  <c r="U111" i="5"/>
  <c r="T111" i="5"/>
  <c r="S111" i="5"/>
  <c r="R111" i="5"/>
  <c r="Q111" i="5"/>
  <c r="P111" i="5"/>
  <c r="N111" i="5"/>
  <c r="L111" i="5"/>
  <c r="K111" i="5"/>
  <c r="J111" i="5"/>
  <c r="F111" i="5"/>
  <c r="E111" i="5"/>
  <c r="D111" i="5"/>
  <c r="C111" i="5"/>
  <c r="B111" i="5"/>
  <c r="A111" i="5"/>
  <c r="CB110" i="5"/>
  <c r="CA110" i="5"/>
  <c r="BZ110" i="5"/>
  <c r="BY110" i="5"/>
  <c r="BX110" i="5" s="1"/>
  <c r="BW110" i="5"/>
  <c r="BS110" i="5"/>
  <c r="BR110" i="5"/>
  <c r="BQ110" i="5"/>
  <c r="BT110" i="5" s="1"/>
  <c r="BP110" i="5"/>
  <c r="BO110" i="5"/>
  <c r="BN110" i="5"/>
  <c r="BL110" i="5"/>
  <c r="BK110" i="5"/>
  <c r="BJ110" i="5"/>
  <c r="BI110" i="5" s="1"/>
  <c r="BH110" i="5"/>
  <c r="BA110" i="5"/>
  <c r="BD110" i="5" s="1"/>
  <c r="AZ110" i="5"/>
  <c r="AX110" i="5"/>
  <c r="AW110" i="5"/>
  <c r="AU110" i="5" s="1"/>
  <c r="AV110" i="5"/>
  <c r="AT110" i="5"/>
  <c r="AS110" i="5"/>
  <c r="AR110" i="5"/>
  <c r="AQ110" i="5" s="1"/>
  <c r="AP110" i="5"/>
  <c r="AL110" i="5"/>
  <c r="AJ110" i="5"/>
  <c r="AI110" i="5"/>
  <c r="AH110" i="5"/>
  <c r="AG110" i="5"/>
  <c r="AF110" i="5"/>
  <c r="AM110" i="5" s="1"/>
  <c r="AK110" i="5" s="1"/>
  <c r="AE110" i="5"/>
  <c r="AD110" i="5"/>
  <c r="AB110" i="5"/>
  <c r="AA110" i="5"/>
  <c r="Z110" i="5"/>
  <c r="Y110" i="5"/>
  <c r="W110" i="5" s="1"/>
  <c r="X110" i="5"/>
  <c r="U110" i="5"/>
  <c r="T110" i="5"/>
  <c r="S110" i="5"/>
  <c r="R110" i="5"/>
  <c r="Q110" i="5"/>
  <c r="N110" i="5"/>
  <c r="J110" i="5"/>
  <c r="I110" i="5"/>
  <c r="H110" i="5"/>
  <c r="G110" i="5"/>
  <c r="F110" i="5"/>
  <c r="B110" i="5"/>
  <c r="A110" i="5"/>
  <c r="CB109" i="5"/>
  <c r="CA109" i="5"/>
  <c r="BZ109" i="5"/>
  <c r="BX109" i="5" s="1"/>
  <c r="BY109" i="5"/>
  <c r="BW109" i="5"/>
  <c r="BV109" i="5"/>
  <c r="BS109" i="5"/>
  <c r="BQ109" i="5" s="1"/>
  <c r="BT109" i="5" s="1"/>
  <c r="BR109" i="5"/>
  <c r="BP109" i="5"/>
  <c r="BO109" i="5"/>
  <c r="BN109" i="5"/>
  <c r="BU109" i="5" s="1"/>
  <c r="BM109" i="5"/>
  <c r="BL109" i="5"/>
  <c r="BK109" i="5"/>
  <c r="BI109" i="5" s="1"/>
  <c r="BJ109" i="5"/>
  <c r="BH109" i="5"/>
  <c r="BD109" i="5"/>
  <c r="BC109" i="5"/>
  <c r="BA109" i="5"/>
  <c r="AY109" i="5" s="1"/>
  <c r="AZ109" i="5"/>
  <c r="AX109" i="5"/>
  <c r="AW109" i="5"/>
  <c r="AV109" i="5"/>
  <c r="AU109" i="5" s="1"/>
  <c r="AT109" i="5"/>
  <c r="AS109" i="5"/>
  <c r="AQ109" i="5" s="1"/>
  <c r="AR109" i="5"/>
  <c r="AP109" i="5"/>
  <c r="AJ109" i="5"/>
  <c r="AI109" i="5"/>
  <c r="AH109" i="5"/>
  <c r="AF109" i="5"/>
  <c r="AG109" i="5" s="1"/>
  <c r="AE109" i="5"/>
  <c r="AB109" i="5"/>
  <c r="Y109" i="5"/>
  <c r="W109" i="5" s="1"/>
  <c r="X109" i="5"/>
  <c r="U109" i="5"/>
  <c r="T109" i="5"/>
  <c r="S109" i="5"/>
  <c r="R109" i="5"/>
  <c r="Q109" i="5"/>
  <c r="P109" i="5"/>
  <c r="N109" i="5"/>
  <c r="L109" i="5"/>
  <c r="K109" i="5"/>
  <c r="J109" i="5"/>
  <c r="F109" i="5"/>
  <c r="E109" i="5"/>
  <c r="D109" i="5"/>
  <c r="C109" i="5"/>
  <c r="B109" i="5"/>
  <c r="A109" i="5"/>
  <c r="CB108" i="5"/>
  <c r="CA108" i="5"/>
  <c r="BZ108" i="5"/>
  <c r="BY108" i="5"/>
  <c r="BX108" i="5" s="1"/>
  <c r="BW108" i="5"/>
  <c r="BS108" i="5"/>
  <c r="BR108" i="5"/>
  <c r="BU108" i="5" s="1"/>
  <c r="BQ108" i="5"/>
  <c r="BT108" i="5" s="1"/>
  <c r="BP108" i="5"/>
  <c r="BO108" i="5"/>
  <c r="BN108" i="5"/>
  <c r="BL108" i="5"/>
  <c r="BK108" i="5"/>
  <c r="BJ108" i="5"/>
  <c r="BI108" i="5"/>
  <c r="BH108" i="5"/>
  <c r="BA108" i="5"/>
  <c r="BD108" i="5" s="1"/>
  <c r="AZ108" i="5"/>
  <c r="AY108" i="5"/>
  <c r="AX108" i="5"/>
  <c r="AW108" i="5"/>
  <c r="AU108" i="5" s="1"/>
  <c r="AV108" i="5"/>
  <c r="AT108" i="5"/>
  <c r="AS108" i="5"/>
  <c r="AR108" i="5"/>
  <c r="AQ108" i="5" s="1"/>
  <c r="AP108" i="5"/>
  <c r="AJ108" i="5"/>
  <c r="AI108" i="5"/>
  <c r="AH108" i="5"/>
  <c r="AG108" i="5"/>
  <c r="AF108" i="5"/>
  <c r="AE108" i="5"/>
  <c r="AD108" i="5"/>
  <c r="AB108" i="5"/>
  <c r="AA108" i="5"/>
  <c r="Z108" i="5"/>
  <c r="Y108" i="5"/>
  <c r="W108" i="5" s="1"/>
  <c r="X108" i="5"/>
  <c r="U108" i="5"/>
  <c r="T108" i="5"/>
  <c r="R108" i="5"/>
  <c r="Q108" i="5"/>
  <c r="AL108" i="5" s="1"/>
  <c r="N108" i="5"/>
  <c r="J108" i="5"/>
  <c r="I108" i="5"/>
  <c r="H108" i="5"/>
  <c r="G108" i="5"/>
  <c r="F108" i="5"/>
  <c r="B108" i="5"/>
  <c r="A108" i="5"/>
  <c r="CB107" i="5"/>
  <c r="CA107" i="5"/>
  <c r="BZ107" i="5"/>
  <c r="BX107" i="5" s="1"/>
  <c r="BY107" i="5"/>
  <c r="BW107" i="5"/>
  <c r="BT107" i="5"/>
  <c r="BS107" i="5"/>
  <c r="BQ107" i="5" s="1"/>
  <c r="BR107" i="5"/>
  <c r="BP107" i="5"/>
  <c r="BO107" i="5"/>
  <c r="BN107" i="5"/>
  <c r="BM107" i="5" s="1"/>
  <c r="BL107" i="5"/>
  <c r="BK107" i="5"/>
  <c r="BI107" i="5" s="1"/>
  <c r="BJ107" i="5"/>
  <c r="BH107" i="5"/>
  <c r="BD107" i="5"/>
  <c r="BC107" i="5"/>
  <c r="BA107" i="5"/>
  <c r="AY107" i="5" s="1"/>
  <c r="AZ107" i="5"/>
  <c r="AX107" i="5"/>
  <c r="AW107" i="5"/>
  <c r="AV107" i="5"/>
  <c r="AU107" i="5" s="1"/>
  <c r="AT107" i="5"/>
  <c r="AS107" i="5"/>
  <c r="AQ107" i="5" s="1"/>
  <c r="AR107" i="5"/>
  <c r="AP107" i="5"/>
  <c r="AJ107" i="5"/>
  <c r="AI107" i="5"/>
  <c r="AF107" i="5"/>
  <c r="AD107" i="5" s="1"/>
  <c r="AE107" i="5"/>
  <c r="AB107" i="5"/>
  <c r="Y107" i="5"/>
  <c r="X107" i="5"/>
  <c r="W107" i="5"/>
  <c r="U107" i="5"/>
  <c r="T107" i="5"/>
  <c r="S107" i="5"/>
  <c r="R107" i="5"/>
  <c r="Q107" i="5"/>
  <c r="P107" i="5"/>
  <c r="N107" i="5"/>
  <c r="L107" i="5"/>
  <c r="K107" i="5"/>
  <c r="J107" i="5"/>
  <c r="F107" i="5"/>
  <c r="E107" i="5"/>
  <c r="D107" i="5"/>
  <c r="C107" i="5"/>
  <c r="B107" i="5"/>
  <c r="A107" i="5"/>
  <c r="CB106" i="5"/>
  <c r="CA106" i="5"/>
  <c r="BZ106" i="5"/>
  <c r="BX106" i="5" s="1"/>
  <c r="BY106" i="5"/>
  <c r="BW106" i="5"/>
  <c r="BS106" i="5"/>
  <c r="BR106" i="5"/>
  <c r="BU106" i="5" s="1"/>
  <c r="BP106" i="5"/>
  <c r="BO106" i="5"/>
  <c r="BN106" i="5"/>
  <c r="BL106" i="5"/>
  <c r="BK106" i="5"/>
  <c r="BJ106" i="5"/>
  <c r="BI106" i="5"/>
  <c r="BH106" i="5"/>
  <c r="BA106" i="5"/>
  <c r="AZ106" i="5"/>
  <c r="BC106" i="5" s="1"/>
  <c r="AY106" i="5"/>
  <c r="AX106" i="5"/>
  <c r="AW106" i="5"/>
  <c r="AU106" i="5" s="1"/>
  <c r="AV106" i="5"/>
  <c r="AT106" i="5"/>
  <c r="AS106" i="5"/>
  <c r="AQ106" i="5" s="1"/>
  <c r="BB106" i="5" s="1"/>
  <c r="AR106" i="5"/>
  <c r="AP106" i="5"/>
  <c r="AJ106" i="5"/>
  <c r="AI106" i="5"/>
  <c r="AH106" i="5"/>
  <c r="AG106" i="5"/>
  <c r="AF106" i="5"/>
  <c r="AE106" i="5"/>
  <c r="AD106" i="5"/>
  <c r="AB106" i="5"/>
  <c r="AA106" i="5"/>
  <c r="Z106" i="5"/>
  <c r="Y106" i="5"/>
  <c r="W106" i="5" s="1"/>
  <c r="X106" i="5"/>
  <c r="U106" i="5"/>
  <c r="R106" i="5"/>
  <c r="T106" i="5" s="1"/>
  <c r="Q106" i="5"/>
  <c r="AL106" i="5" s="1"/>
  <c r="BF106" i="5" s="1"/>
  <c r="N106" i="5"/>
  <c r="J106" i="5"/>
  <c r="F106" i="5"/>
  <c r="I106" i="5" s="1"/>
  <c r="B106" i="5"/>
  <c r="A106" i="5"/>
  <c r="CB105" i="5"/>
  <c r="CA105" i="5"/>
  <c r="BZ105" i="5"/>
  <c r="BX105" i="5" s="1"/>
  <c r="BY105" i="5"/>
  <c r="BW105" i="5"/>
  <c r="BS105" i="5"/>
  <c r="BQ105" i="5" s="1"/>
  <c r="BT105" i="5" s="1"/>
  <c r="BR105" i="5"/>
  <c r="BP105" i="5"/>
  <c r="BO105" i="5"/>
  <c r="BN105" i="5"/>
  <c r="BM105" i="5"/>
  <c r="BL105" i="5"/>
  <c r="BK105" i="5"/>
  <c r="BJ105" i="5"/>
  <c r="BU105" i="5" s="1"/>
  <c r="BH105" i="5"/>
  <c r="BD105" i="5"/>
  <c r="BC105" i="5"/>
  <c r="BA105" i="5"/>
  <c r="AY105" i="5" s="1"/>
  <c r="AZ105" i="5"/>
  <c r="AX105" i="5"/>
  <c r="AW105" i="5"/>
  <c r="AV105" i="5"/>
  <c r="AU105" i="5" s="1"/>
  <c r="AT105" i="5"/>
  <c r="AS105" i="5"/>
  <c r="AQ105" i="5" s="1"/>
  <c r="AR105" i="5"/>
  <c r="AP105" i="5"/>
  <c r="AJ105" i="5"/>
  <c r="AI105" i="5"/>
  <c r="AH105" i="5"/>
  <c r="AG105" i="5"/>
  <c r="AF105" i="5"/>
  <c r="AE105" i="5"/>
  <c r="AD105" i="5"/>
  <c r="AB105" i="5"/>
  <c r="Y105" i="5"/>
  <c r="W105" i="5" s="1"/>
  <c r="X105" i="5"/>
  <c r="AL105" i="5" s="1"/>
  <c r="BF105" i="5" s="1"/>
  <c r="U105" i="5"/>
  <c r="T105" i="5"/>
  <c r="S105" i="5"/>
  <c r="R105" i="5"/>
  <c r="Q105" i="5"/>
  <c r="P105" i="5"/>
  <c r="N105" i="5"/>
  <c r="L105" i="5"/>
  <c r="K105" i="5"/>
  <c r="J105" i="5"/>
  <c r="F105" i="5"/>
  <c r="C105" i="5"/>
  <c r="B105" i="5"/>
  <c r="E105" i="5" s="1"/>
  <c r="A105" i="5"/>
  <c r="CB104" i="5"/>
  <c r="CA104" i="5"/>
  <c r="BZ104" i="5"/>
  <c r="BX104" i="5" s="1"/>
  <c r="BY104" i="5"/>
  <c r="BW104" i="5"/>
  <c r="BV104" i="5"/>
  <c r="BS104" i="5"/>
  <c r="BR104" i="5"/>
  <c r="BU104" i="5" s="1"/>
  <c r="BP104" i="5"/>
  <c r="BO104" i="5"/>
  <c r="BM104" i="5" s="1"/>
  <c r="BN104" i="5"/>
  <c r="BL104" i="5"/>
  <c r="BK104" i="5"/>
  <c r="BJ104" i="5"/>
  <c r="BI104" i="5"/>
  <c r="BH104" i="5"/>
  <c r="BA104" i="5"/>
  <c r="BD104" i="5" s="1"/>
  <c r="AZ104" i="5"/>
  <c r="AX104" i="5"/>
  <c r="AW104" i="5"/>
  <c r="AU104" i="5" s="1"/>
  <c r="AV104" i="5"/>
  <c r="AT104" i="5"/>
  <c r="AS104" i="5"/>
  <c r="AR104" i="5"/>
  <c r="AQ104" i="5" s="1"/>
  <c r="AP104" i="5"/>
  <c r="AL104" i="5"/>
  <c r="AJ104" i="5"/>
  <c r="AI104" i="5"/>
  <c r="AH104" i="5"/>
  <c r="AG104" i="5"/>
  <c r="AF104" i="5"/>
  <c r="AM104" i="5" s="1"/>
  <c r="AK104" i="5" s="1"/>
  <c r="AE104" i="5"/>
  <c r="AD104" i="5"/>
  <c r="AB104" i="5"/>
  <c r="Z104" i="5"/>
  <c r="Y104" i="5"/>
  <c r="W104" i="5" s="1"/>
  <c r="X104" i="5"/>
  <c r="U104" i="5"/>
  <c r="T104" i="5"/>
  <c r="S104" i="5"/>
  <c r="R104" i="5"/>
  <c r="Q104" i="5"/>
  <c r="P104" i="5"/>
  <c r="N104" i="5"/>
  <c r="J104" i="5"/>
  <c r="I104" i="5"/>
  <c r="H104" i="5"/>
  <c r="G104" i="5"/>
  <c r="F104" i="5"/>
  <c r="B104" i="5"/>
  <c r="A104" i="5"/>
  <c r="CB103" i="5"/>
  <c r="CA103" i="5"/>
  <c r="BZ103" i="5"/>
  <c r="BX103" i="5" s="1"/>
  <c r="BY103" i="5"/>
  <c r="BW103" i="5"/>
  <c r="BS103" i="5"/>
  <c r="BV103" i="5" s="1"/>
  <c r="BR103" i="5"/>
  <c r="BU103" i="5" s="1"/>
  <c r="BP103" i="5"/>
  <c r="BO103" i="5"/>
  <c r="BN103" i="5"/>
  <c r="BM103" i="5" s="1"/>
  <c r="BL103" i="5"/>
  <c r="BK103" i="5"/>
  <c r="BI103" i="5" s="1"/>
  <c r="BJ103" i="5"/>
  <c r="BH103" i="5"/>
  <c r="BD103" i="5"/>
  <c r="BA103" i="5"/>
  <c r="AY103" i="5" s="1"/>
  <c r="BB103" i="5" s="1"/>
  <c r="AZ103" i="5"/>
  <c r="AX103" i="5"/>
  <c r="AW103" i="5"/>
  <c r="AV103" i="5"/>
  <c r="BC103" i="5" s="1"/>
  <c r="AU103" i="5"/>
  <c r="AT103" i="5"/>
  <c r="AS103" i="5"/>
  <c r="AQ103" i="5" s="1"/>
  <c r="AR103" i="5"/>
  <c r="AP103" i="5"/>
  <c r="AL103" i="5"/>
  <c r="BF103" i="5" s="1"/>
  <c r="AJ103" i="5"/>
  <c r="AI103" i="5"/>
  <c r="AF103" i="5"/>
  <c r="AH103" i="5" s="1"/>
  <c r="AE103" i="5"/>
  <c r="AB103" i="5"/>
  <c r="Y103" i="5"/>
  <c r="X103" i="5"/>
  <c r="W103" i="5"/>
  <c r="U103" i="5"/>
  <c r="T103" i="5"/>
  <c r="S103" i="5"/>
  <c r="R103" i="5"/>
  <c r="Q103" i="5"/>
  <c r="P103" i="5"/>
  <c r="N103" i="5"/>
  <c r="J103" i="5"/>
  <c r="L103" i="5" s="1"/>
  <c r="F103" i="5"/>
  <c r="E103" i="5"/>
  <c r="D103" i="5"/>
  <c r="B103" i="5"/>
  <c r="C103" i="5" s="1"/>
  <c r="A103" i="5"/>
  <c r="CB102" i="5"/>
  <c r="CA102" i="5"/>
  <c r="BZ102" i="5"/>
  <c r="BY102" i="5"/>
  <c r="BX102" i="5"/>
  <c r="BW102" i="5"/>
  <c r="BS102" i="5"/>
  <c r="BR102" i="5"/>
  <c r="BQ102" i="5"/>
  <c r="BT102" i="5" s="1"/>
  <c r="BP102" i="5"/>
  <c r="BO102" i="5"/>
  <c r="BN102" i="5"/>
  <c r="BL102" i="5"/>
  <c r="BK102" i="5"/>
  <c r="BJ102" i="5"/>
  <c r="BI102" i="5"/>
  <c r="BH102" i="5"/>
  <c r="BA102" i="5"/>
  <c r="AZ102" i="5"/>
  <c r="BC102" i="5" s="1"/>
  <c r="AY102" i="5"/>
  <c r="AX102" i="5"/>
  <c r="AW102" i="5"/>
  <c r="AU102" i="5" s="1"/>
  <c r="AV102" i="5"/>
  <c r="AT102" i="5"/>
  <c r="AS102" i="5"/>
  <c r="AQ102" i="5" s="1"/>
  <c r="BB102" i="5" s="1"/>
  <c r="AR102" i="5"/>
  <c r="AP102" i="5"/>
  <c r="AJ102" i="5"/>
  <c r="AI102" i="5"/>
  <c r="AH102" i="5"/>
  <c r="AG102" i="5"/>
  <c r="AF102" i="5"/>
  <c r="AE102" i="5"/>
  <c r="AD102" i="5"/>
  <c r="AB102" i="5"/>
  <c r="Y102" i="5"/>
  <c r="W102" i="5" s="1"/>
  <c r="X102" i="5"/>
  <c r="U102" i="5"/>
  <c r="R102" i="5"/>
  <c r="T102" i="5" s="1"/>
  <c r="Q102" i="5"/>
  <c r="AL102" i="5" s="1"/>
  <c r="BF102" i="5" s="1"/>
  <c r="N102" i="5"/>
  <c r="J102" i="5"/>
  <c r="F102" i="5"/>
  <c r="I102" i="5" s="1"/>
  <c r="B102" i="5"/>
  <c r="A102" i="5"/>
  <c r="CB101" i="5"/>
  <c r="CA101" i="5"/>
  <c r="BZ101" i="5"/>
  <c r="BX101" i="5" s="1"/>
  <c r="BY101" i="5"/>
  <c r="BW101" i="5"/>
  <c r="BS101" i="5"/>
  <c r="BQ101" i="5" s="1"/>
  <c r="BT101" i="5" s="1"/>
  <c r="BR101" i="5"/>
  <c r="BP101" i="5"/>
  <c r="BO101" i="5"/>
  <c r="BN101" i="5"/>
  <c r="BM101" i="5"/>
  <c r="BL101" i="5"/>
  <c r="BK101" i="5"/>
  <c r="BJ101" i="5"/>
  <c r="BU101" i="5" s="1"/>
  <c r="BH101" i="5"/>
  <c r="BD101" i="5"/>
  <c r="BC101" i="5"/>
  <c r="BA101" i="5"/>
  <c r="AY101" i="5" s="1"/>
  <c r="AZ101" i="5"/>
  <c r="AX101" i="5"/>
  <c r="AW101" i="5"/>
  <c r="AV101" i="5"/>
  <c r="AU101" i="5"/>
  <c r="AT101" i="5"/>
  <c r="AS101" i="5"/>
  <c r="AQ101" i="5" s="1"/>
  <c r="BB101" i="5" s="1"/>
  <c r="AR101" i="5"/>
  <c r="AP101" i="5"/>
  <c r="AJ101" i="5"/>
  <c r="AI101" i="5"/>
  <c r="AH101" i="5"/>
  <c r="AG101" i="5"/>
  <c r="AF101" i="5"/>
  <c r="AM101" i="5" s="1"/>
  <c r="AE101" i="5"/>
  <c r="AL101" i="5" s="1"/>
  <c r="BF101" i="5" s="1"/>
  <c r="AB101" i="5"/>
  <c r="Y101" i="5"/>
  <c r="W101" i="5" s="1"/>
  <c r="X101" i="5"/>
  <c r="U101" i="5"/>
  <c r="T101" i="5"/>
  <c r="S101" i="5"/>
  <c r="R101" i="5"/>
  <c r="Q101" i="5"/>
  <c r="P101" i="5"/>
  <c r="N101" i="5"/>
  <c r="L101" i="5"/>
  <c r="K101" i="5"/>
  <c r="J101" i="5"/>
  <c r="F101" i="5"/>
  <c r="C101" i="5"/>
  <c r="B101" i="5"/>
  <c r="E101" i="5" s="1"/>
  <c r="A101" i="5"/>
  <c r="CB100" i="5"/>
  <c r="CA100" i="5"/>
  <c r="BZ100" i="5"/>
  <c r="BX100" i="5" s="1"/>
  <c r="BY100" i="5"/>
  <c r="BW100" i="5"/>
  <c r="BV100" i="5"/>
  <c r="BS100" i="5"/>
  <c r="BR100" i="5"/>
  <c r="BU100" i="5" s="1"/>
  <c r="BP100" i="5"/>
  <c r="BO100" i="5"/>
  <c r="BN100" i="5"/>
  <c r="BL100" i="5"/>
  <c r="BK100" i="5"/>
  <c r="BJ100" i="5"/>
  <c r="BI100" i="5"/>
  <c r="BH100" i="5"/>
  <c r="BA100" i="5"/>
  <c r="BD100" i="5" s="1"/>
  <c r="AZ100" i="5"/>
  <c r="AX100" i="5"/>
  <c r="AW100" i="5"/>
  <c r="AU100" i="5" s="1"/>
  <c r="AV100" i="5"/>
  <c r="AT100" i="5"/>
  <c r="AS100" i="5"/>
  <c r="AR100" i="5"/>
  <c r="AQ100" i="5" s="1"/>
  <c r="AP100" i="5"/>
  <c r="AL100" i="5"/>
  <c r="AJ100" i="5"/>
  <c r="AI100" i="5"/>
  <c r="AH100" i="5"/>
  <c r="AG100" i="5"/>
  <c r="AF100" i="5"/>
  <c r="AM100" i="5" s="1"/>
  <c r="AK100" i="5" s="1"/>
  <c r="AE100" i="5"/>
  <c r="AD100" i="5"/>
  <c r="AB100" i="5"/>
  <c r="AA100" i="5"/>
  <c r="Y100" i="5"/>
  <c r="W100" i="5" s="1"/>
  <c r="X100" i="5"/>
  <c r="U100" i="5"/>
  <c r="T100" i="5"/>
  <c r="S100" i="5"/>
  <c r="R100" i="5"/>
  <c r="P100" i="5" s="1"/>
  <c r="Q100" i="5"/>
  <c r="N100" i="5"/>
  <c r="J100" i="5"/>
  <c r="I100" i="5"/>
  <c r="H100" i="5"/>
  <c r="G100" i="5"/>
  <c r="F100" i="5"/>
  <c r="B100" i="5"/>
  <c r="A100" i="5"/>
  <c r="CB99" i="5"/>
  <c r="CA99" i="5"/>
  <c r="BZ99" i="5"/>
  <c r="BX99" i="5" s="1"/>
  <c r="BY99" i="5"/>
  <c r="BW99" i="5"/>
  <c r="BV99" i="5"/>
  <c r="BS99" i="5"/>
  <c r="BR99" i="5"/>
  <c r="BU99" i="5" s="1"/>
  <c r="BP99" i="5"/>
  <c r="BO99" i="5"/>
  <c r="BN99" i="5"/>
  <c r="BM99" i="5" s="1"/>
  <c r="BL99" i="5"/>
  <c r="BK99" i="5"/>
  <c r="BJ99" i="5"/>
  <c r="BH99" i="5"/>
  <c r="BA99" i="5"/>
  <c r="AY99" i="5" s="1"/>
  <c r="AZ99" i="5"/>
  <c r="AW99" i="5"/>
  <c r="AU99" i="5" s="1"/>
  <c r="BB99" i="5" s="1"/>
  <c r="AV99" i="5"/>
  <c r="BC99" i="5" s="1"/>
  <c r="AS99" i="5"/>
  <c r="AQ99" i="5" s="1"/>
  <c r="AR99" i="5"/>
  <c r="AM99" i="5"/>
  <c r="AJ99" i="5"/>
  <c r="AI99" i="5"/>
  <c r="AH99" i="5"/>
  <c r="AG99" i="5"/>
  <c r="AF99" i="5"/>
  <c r="AE99" i="5"/>
  <c r="AL99" i="5" s="1"/>
  <c r="Y99" i="5"/>
  <c r="X99" i="5"/>
  <c r="W99" i="5" s="1"/>
  <c r="R99" i="5"/>
  <c r="P99" i="5" s="1"/>
  <c r="Q99" i="5"/>
  <c r="L99" i="5"/>
  <c r="K99" i="5"/>
  <c r="J99" i="5"/>
  <c r="I99" i="5"/>
  <c r="H99" i="5"/>
  <c r="G99" i="5"/>
  <c r="F99" i="5"/>
  <c r="D99" i="5"/>
  <c r="B99" i="5"/>
  <c r="E99" i="5" s="1"/>
  <c r="A99" i="5"/>
  <c r="CB98" i="5"/>
  <c r="CA98" i="5"/>
  <c r="BZ98" i="5"/>
  <c r="BY98" i="5"/>
  <c r="BX98" i="5"/>
  <c r="BW98" i="5"/>
  <c r="BS98" i="5"/>
  <c r="BQ98" i="5" s="1"/>
  <c r="BT98" i="5" s="1"/>
  <c r="BR98" i="5"/>
  <c r="BP98" i="5"/>
  <c r="BO98" i="5"/>
  <c r="BV98" i="5" s="1"/>
  <c r="BN98" i="5"/>
  <c r="BU98" i="5" s="1"/>
  <c r="BL98" i="5"/>
  <c r="BK98" i="5"/>
  <c r="BI98" i="5" s="1"/>
  <c r="BJ98" i="5"/>
  <c r="BH98" i="5"/>
  <c r="BA98" i="5"/>
  <c r="AZ98" i="5"/>
  <c r="AY98" i="5"/>
  <c r="AX98" i="5"/>
  <c r="AW98" i="5"/>
  <c r="AV98" i="5"/>
  <c r="AT98" i="5"/>
  <c r="AS98" i="5"/>
  <c r="AR98" i="5"/>
  <c r="AQ98" i="5" s="1"/>
  <c r="AP98" i="5"/>
  <c r="AJ98" i="5"/>
  <c r="AI98" i="5"/>
  <c r="AH98" i="5"/>
  <c r="AG98" i="5"/>
  <c r="AF98" i="5"/>
  <c r="AE98" i="5"/>
  <c r="AL98" i="5" s="1"/>
  <c r="AB98" i="5"/>
  <c r="AA98" i="5"/>
  <c r="Z98" i="5"/>
  <c r="Y98" i="5"/>
  <c r="X98" i="5"/>
  <c r="W98" i="5" s="1"/>
  <c r="U98" i="5"/>
  <c r="R98" i="5"/>
  <c r="P98" i="5" s="1"/>
  <c r="Q98" i="5"/>
  <c r="N98" i="5"/>
  <c r="L98" i="5"/>
  <c r="K98" i="5"/>
  <c r="J98" i="5"/>
  <c r="G98" i="5"/>
  <c r="F98" i="5"/>
  <c r="I98" i="5" s="1"/>
  <c r="E98" i="5"/>
  <c r="D98" i="5"/>
  <c r="C98" i="5"/>
  <c r="B98" i="5"/>
  <c r="A98" i="5"/>
  <c r="CB97" i="5"/>
  <c r="CA97" i="5"/>
  <c r="BZ97" i="5"/>
  <c r="BY97" i="5"/>
  <c r="BX97" i="5"/>
  <c r="BW97" i="5"/>
  <c r="BS97" i="5"/>
  <c r="BR97" i="5"/>
  <c r="BQ97" i="5"/>
  <c r="BP97" i="5"/>
  <c r="BO97" i="5"/>
  <c r="BM97" i="5" s="1"/>
  <c r="BN97" i="5"/>
  <c r="BL97" i="5"/>
  <c r="BK97" i="5"/>
  <c r="BI97" i="5" s="1"/>
  <c r="BJ97" i="5"/>
  <c r="BH97" i="5"/>
  <c r="BA97" i="5"/>
  <c r="AZ97" i="5"/>
  <c r="AX97" i="5"/>
  <c r="AW97" i="5"/>
  <c r="AV97" i="5"/>
  <c r="AU97" i="5" s="1"/>
  <c r="AT97" i="5"/>
  <c r="AS97" i="5"/>
  <c r="AQ97" i="5" s="1"/>
  <c r="AR97" i="5"/>
  <c r="AP97" i="5"/>
  <c r="AL97" i="5"/>
  <c r="AJ97" i="5"/>
  <c r="AI97" i="5"/>
  <c r="AF97" i="5"/>
  <c r="AE97" i="5"/>
  <c r="AB97" i="5"/>
  <c r="AA97" i="5"/>
  <c r="Z97" i="5"/>
  <c r="Y97" i="5"/>
  <c r="X97" i="5"/>
  <c r="W97" i="5"/>
  <c r="U97" i="5"/>
  <c r="R97" i="5"/>
  <c r="P97" i="5" s="1"/>
  <c r="Q97" i="5"/>
  <c r="N97" i="5"/>
  <c r="L97" i="5"/>
  <c r="J97" i="5"/>
  <c r="K97" i="5" s="1"/>
  <c r="I97" i="5"/>
  <c r="H97" i="5"/>
  <c r="G97" i="5"/>
  <c r="F97" i="5"/>
  <c r="D97" i="5"/>
  <c r="C97" i="5"/>
  <c r="B97" i="5"/>
  <c r="E97" i="5" s="1"/>
  <c r="A97" i="5"/>
  <c r="CB96" i="5"/>
  <c r="CA96" i="5"/>
  <c r="BZ96" i="5"/>
  <c r="BY96" i="5"/>
  <c r="BX96" i="5"/>
  <c r="BW96" i="5"/>
  <c r="BS96" i="5"/>
  <c r="BQ96" i="5" s="1"/>
  <c r="BR96" i="5"/>
  <c r="BP96" i="5"/>
  <c r="BO96" i="5"/>
  <c r="BV96" i="5" s="1"/>
  <c r="BN96" i="5"/>
  <c r="BU96" i="5" s="1"/>
  <c r="BL96" i="5"/>
  <c r="BK96" i="5"/>
  <c r="BI96" i="5" s="1"/>
  <c r="BJ96" i="5"/>
  <c r="BH96" i="5"/>
  <c r="BA96" i="5"/>
  <c r="AZ96" i="5"/>
  <c r="AY96" i="5" s="1"/>
  <c r="AX96" i="5"/>
  <c r="AW96" i="5"/>
  <c r="BD96" i="5" s="1"/>
  <c r="AV96" i="5"/>
  <c r="AT96" i="5"/>
  <c r="AS96" i="5"/>
  <c r="AR96" i="5"/>
  <c r="AQ96" i="5" s="1"/>
  <c r="AP96" i="5"/>
  <c r="AJ96" i="5"/>
  <c r="AI96" i="5"/>
  <c r="AH96" i="5"/>
  <c r="AG96" i="5"/>
  <c r="AF96" i="5"/>
  <c r="AE96" i="5"/>
  <c r="AB96" i="5"/>
  <c r="Y96" i="5"/>
  <c r="W96" i="5" s="1"/>
  <c r="X96" i="5"/>
  <c r="U96" i="5"/>
  <c r="R96" i="5"/>
  <c r="Q96" i="5"/>
  <c r="P96" i="5" s="1"/>
  <c r="N96" i="5"/>
  <c r="L96" i="5"/>
  <c r="K96" i="5"/>
  <c r="J96" i="5"/>
  <c r="F96" i="5"/>
  <c r="I96" i="5" s="1"/>
  <c r="E96" i="5"/>
  <c r="D96" i="5"/>
  <c r="B96" i="5"/>
  <c r="C96" i="5" s="1"/>
  <c r="A96" i="5"/>
  <c r="CB95" i="5"/>
  <c r="CA95" i="5"/>
  <c r="BZ95" i="5"/>
  <c r="BY95" i="5"/>
  <c r="BX95" i="5" s="1"/>
  <c r="BW95" i="5"/>
  <c r="BS95" i="5"/>
  <c r="BR95" i="5"/>
  <c r="BU95" i="5" s="1"/>
  <c r="BP95" i="5"/>
  <c r="BO95" i="5"/>
  <c r="BM95" i="5" s="1"/>
  <c r="BN95" i="5"/>
  <c r="BL95" i="5"/>
  <c r="BK95" i="5"/>
  <c r="BI95" i="5" s="1"/>
  <c r="BJ95" i="5"/>
  <c r="BH95" i="5"/>
  <c r="BC95" i="5"/>
  <c r="BA95" i="5"/>
  <c r="AZ95" i="5"/>
  <c r="AX95" i="5"/>
  <c r="AW95" i="5"/>
  <c r="AV95" i="5"/>
  <c r="AU95" i="5" s="1"/>
  <c r="AT95" i="5"/>
  <c r="AS95" i="5"/>
  <c r="AR95" i="5"/>
  <c r="AP95" i="5"/>
  <c r="AJ95" i="5"/>
  <c r="AI95" i="5"/>
  <c r="AF95" i="5"/>
  <c r="AD95" i="5" s="1"/>
  <c r="AE95" i="5"/>
  <c r="AL95" i="5" s="1"/>
  <c r="BF95" i="5" s="1"/>
  <c r="AB95" i="5"/>
  <c r="AA95" i="5"/>
  <c r="Y95" i="5"/>
  <c r="Z95" i="5" s="1"/>
  <c r="X95" i="5"/>
  <c r="W95" i="5"/>
  <c r="U95" i="5"/>
  <c r="T95" i="5"/>
  <c r="R95" i="5"/>
  <c r="P95" i="5" s="1"/>
  <c r="Q95" i="5"/>
  <c r="N95" i="5"/>
  <c r="L95" i="5"/>
  <c r="J95" i="5"/>
  <c r="K95" i="5" s="1"/>
  <c r="I95" i="5"/>
  <c r="H95" i="5"/>
  <c r="F95" i="5"/>
  <c r="G95" i="5" s="1"/>
  <c r="B95" i="5"/>
  <c r="E95" i="5" s="1"/>
  <c r="A95" i="5"/>
  <c r="CB94" i="5"/>
  <c r="CA94" i="5"/>
  <c r="BZ94" i="5"/>
  <c r="BY94" i="5"/>
  <c r="BX94" i="5"/>
  <c r="BW94" i="5"/>
  <c r="BV94" i="5"/>
  <c r="BU94" i="5"/>
  <c r="BS94" i="5"/>
  <c r="BQ94" i="5" s="1"/>
  <c r="BT94" i="5" s="1"/>
  <c r="BR94" i="5"/>
  <c r="BP94" i="5"/>
  <c r="BO94" i="5"/>
  <c r="BN94" i="5"/>
  <c r="BM94" i="5"/>
  <c r="BL94" i="5"/>
  <c r="BK94" i="5"/>
  <c r="BI94" i="5" s="1"/>
  <c r="BJ94" i="5"/>
  <c r="BH94" i="5"/>
  <c r="BD94" i="5"/>
  <c r="BA94" i="5"/>
  <c r="AZ94" i="5"/>
  <c r="BC94" i="5" s="1"/>
  <c r="AY94" i="5"/>
  <c r="BB94" i="5" s="1"/>
  <c r="AX94" i="5"/>
  <c r="AW94" i="5"/>
  <c r="AU94" i="5" s="1"/>
  <c r="AV94" i="5"/>
  <c r="AT94" i="5"/>
  <c r="AS94" i="5"/>
  <c r="AR94" i="5"/>
  <c r="AQ94" i="5"/>
  <c r="AP94" i="5"/>
  <c r="AJ94" i="5"/>
  <c r="AI94" i="5"/>
  <c r="AH94" i="5"/>
  <c r="AF94" i="5"/>
  <c r="AE94" i="5"/>
  <c r="AB94" i="5"/>
  <c r="AA94" i="5"/>
  <c r="Z94" i="5"/>
  <c r="Y94" i="5"/>
  <c r="X94" i="5"/>
  <c r="AL94" i="5" s="1"/>
  <c r="BF94" i="5" s="1"/>
  <c r="U94" i="5"/>
  <c r="R94" i="5"/>
  <c r="Q94" i="5"/>
  <c r="N94" i="5"/>
  <c r="L94" i="5"/>
  <c r="J94" i="5"/>
  <c r="K94" i="5" s="1"/>
  <c r="F94" i="5"/>
  <c r="I94" i="5" s="1"/>
  <c r="E94" i="5"/>
  <c r="D94" i="5"/>
  <c r="B94" i="5"/>
  <c r="C94" i="5" s="1"/>
  <c r="A94" i="5"/>
  <c r="CB93" i="5"/>
  <c r="CA93" i="5"/>
  <c r="BZ93" i="5"/>
  <c r="BX93" i="5" s="1"/>
  <c r="BY93" i="5"/>
  <c r="BW93" i="5"/>
  <c r="BS93" i="5"/>
  <c r="BR93" i="5"/>
  <c r="BU93" i="5" s="1"/>
  <c r="BP93" i="5"/>
  <c r="BO93" i="5"/>
  <c r="BM93" i="5" s="1"/>
  <c r="BN93" i="5"/>
  <c r="BL93" i="5"/>
  <c r="BK93" i="5"/>
  <c r="BJ93" i="5"/>
  <c r="BI93" i="5"/>
  <c r="BH93" i="5"/>
  <c r="BD93" i="5"/>
  <c r="BC93" i="5"/>
  <c r="BA93" i="5"/>
  <c r="AY93" i="5" s="1"/>
  <c r="AZ93" i="5"/>
  <c r="AX93" i="5"/>
  <c r="AW93" i="5"/>
  <c r="AV93" i="5"/>
  <c r="AU93" i="5"/>
  <c r="AT93" i="5"/>
  <c r="AS93" i="5"/>
  <c r="AR93" i="5"/>
  <c r="AP93" i="5"/>
  <c r="AL93" i="5"/>
  <c r="AJ93" i="5"/>
  <c r="AI93" i="5"/>
  <c r="AF93" i="5"/>
  <c r="AD93" i="5" s="1"/>
  <c r="AE93" i="5"/>
  <c r="AB93" i="5"/>
  <c r="AA93" i="5"/>
  <c r="Y93" i="5"/>
  <c r="Z93" i="5" s="1"/>
  <c r="X93" i="5"/>
  <c r="W93" i="5"/>
  <c r="U93" i="5"/>
  <c r="R93" i="5"/>
  <c r="P93" i="5" s="1"/>
  <c r="Q93" i="5"/>
  <c r="N93" i="5"/>
  <c r="L93" i="5"/>
  <c r="J93" i="5"/>
  <c r="K93" i="5" s="1"/>
  <c r="I93" i="5"/>
  <c r="H93" i="5"/>
  <c r="F93" i="5"/>
  <c r="G93" i="5" s="1"/>
  <c r="B93" i="5"/>
  <c r="E93" i="5" s="1"/>
  <c r="A93" i="5"/>
  <c r="CB92" i="5"/>
  <c r="CA92" i="5"/>
  <c r="BZ92" i="5"/>
  <c r="BY92" i="5"/>
  <c r="BX92" i="5"/>
  <c r="BW92" i="5"/>
  <c r="BV92" i="5"/>
  <c r="BT92" i="5"/>
  <c r="BS92" i="5"/>
  <c r="BQ92" i="5" s="1"/>
  <c r="BR92" i="5"/>
  <c r="BP92" i="5"/>
  <c r="BO92" i="5"/>
  <c r="BN92" i="5"/>
  <c r="BU92" i="5" s="1"/>
  <c r="BM92" i="5"/>
  <c r="BL92" i="5"/>
  <c r="BK92" i="5"/>
  <c r="BI92" i="5" s="1"/>
  <c r="BJ92" i="5"/>
  <c r="BH92" i="5"/>
  <c r="BA92" i="5"/>
  <c r="AZ92" i="5"/>
  <c r="AY92" i="5" s="1"/>
  <c r="BB92" i="5" s="1"/>
  <c r="AX92" i="5"/>
  <c r="AW92" i="5"/>
  <c r="AU92" i="5" s="1"/>
  <c r="AV92" i="5"/>
  <c r="AT92" i="5"/>
  <c r="AS92" i="5"/>
  <c r="AR92" i="5"/>
  <c r="AQ92" i="5"/>
  <c r="AP92" i="5"/>
  <c r="AJ92" i="5"/>
  <c r="AI92" i="5"/>
  <c r="AH92" i="5"/>
  <c r="AF92" i="5"/>
  <c r="AG92" i="5" s="1"/>
  <c r="AE92" i="5"/>
  <c r="AB92" i="5"/>
  <c r="AA92" i="5"/>
  <c r="Y92" i="5"/>
  <c r="Z92" i="5" s="1"/>
  <c r="X92" i="5"/>
  <c r="AL92" i="5" s="1"/>
  <c r="U92" i="5"/>
  <c r="R92" i="5"/>
  <c r="Q92" i="5"/>
  <c r="P92" i="5"/>
  <c r="N92" i="5"/>
  <c r="L92" i="5"/>
  <c r="J92" i="5"/>
  <c r="K92" i="5" s="1"/>
  <c r="H92" i="5"/>
  <c r="G92" i="5"/>
  <c r="F92" i="5"/>
  <c r="I92" i="5" s="1"/>
  <c r="E92" i="5"/>
  <c r="D92" i="5"/>
  <c r="B92" i="5"/>
  <c r="C92" i="5" s="1"/>
  <c r="A92" i="5"/>
  <c r="CB91" i="5"/>
  <c r="CA91" i="5"/>
  <c r="BZ91" i="5"/>
  <c r="BX91" i="5" s="1"/>
  <c r="BY91" i="5"/>
  <c r="BW91" i="5"/>
  <c r="BS91" i="5"/>
  <c r="BV91" i="5" s="1"/>
  <c r="BR91" i="5"/>
  <c r="BU91" i="5" s="1"/>
  <c r="BP91" i="5"/>
  <c r="BO91" i="5"/>
  <c r="BM91" i="5" s="1"/>
  <c r="BN91" i="5"/>
  <c r="BL91" i="5"/>
  <c r="BK91" i="5"/>
  <c r="BJ91" i="5"/>
  <c r="BI91" i="5"/>
  <c r="BH91" i="5"/>
  <c r="BA91" i="5"/>
  <c r="AY91" i="5" s="1"/>
  <c r="AZ91" i="5"/>
  <c r="BC91" i="5" s="1"/>
  <c r="AX91" i="5"/>
  <c r="AW91" i="5"/>
  <c r="AV91" i="5"/>
  <c r="AU91" i="5"/>
  <c r="AT91" i="5"/>
  <c r="AS91" i="5"/>
  <c r="AR91" i="5"/>
  <c r="AP91" i="5"/>
  <c r="AJ91" i="5"/>
  <c r="AI91" i="5"/>
  <c r="AF91" i="5"/>
  <c r="AD91" i="5" s="1"/>
  <c r="AE91" i="5"/>
  <c r="AL91" i="5" s="1"/>
  <c r="BF91" i="5" s="1"/>
  <c r="AB91" i="5"/>
  <c r="AA91" i="5"/>
  <c r="Y91" i="5"/>
  <c r="Z91" i="5" s="1"/>
  <c r="X91" i="5"/>
  <c r="W91" i="5"/>
  <c r="U91" i="5"/>
  <c r="R91" i="5"/>
  <c r="P91" i="5" s="1"/>
  <c r="Q91" i="5"/>
  <c r="N91" i="5"/>
  <c r="J91" i="5"/>
  <c r="L91" i="5" s="1"/>
  <c r="I91" i="5"/>
  <c r="H91" i="5"/>
  <c r="F91" i="5"/>
  <c r="G91" i="5" s="1"/>
  <c r="D91" i="5"/>
  <c r="C91" i="5"/>
  <c r="B91" i="5"/>
  <c r="E91" i="5" s="1"/>
  <c r="A91" i="5"/>
  <c r="CB90" i="5"/>
  <c r="CA90" i="5"/>
  <c r="BZ90" i="5"/>
  <c r="BY90" i="5"/>
  <c r="BX90" i="5"/>
  <c r="BW90" i="5"/>
  <c r="BS90" i="5"/>
  <c r="BQ90" i="5" s="1"/>
  <c r="BR90" i="5"/>
  <c r="BP90" i="5"/>
  <c r="BO90" i="5"/>
  <c r="BV90" i="5" s="1"/>
  <c r="BN90" i="5"/>
  <c r="BU90" i="5" s="1"/>
  <c r="BL90" i="5"/>
  <c r="BK90" i="5"/>
  <c r="BI90" i="5" s="1"/>
  <c r="BJ90" i="5"/>
  <c r="BH90" i="5"/>
  <c r="BA90" i="5"/>
  <c r="AZ90" i="5"/>
  <c r="BC90" i="5" s="1"/>
  <c r="AX90" i="5"/>
  <c r="AW90" i="5"/>
  <c r="AU90" i="5" s="1"/>
  <c r="AV90" i="5"/>
  <c r="AT90" i="5"/>
  <c r="AS90" i="5"/>
  <c r="AR90" i="5"/>
  <c r="AQ90" i="5"/>
  <c r="AP90" i="5"/>
  <c r="AJ90" i="5"/>
  <c r="AI90" i="5"/>
  <c r="AF90" i="5"/>
  <c r="AE90" i="5"/>
  <c r="AB90" i="5"/>
  <c r="AA90" i="5"/>
  <c r="Y90" i="5"/>
  <c r="W90" i="5" s="1"/>
  <c r="X90" i="5"/>
  <c r="U90" i="5"/>
  <c r="R90" i="5"/>
  <c r="Q90" i="5"/>
  <c r="P90" i="5"/>
  <c r="N90" i="5"/>
  <c r="L90" i="5"/>
  <c r="J90" i="5"/>
  <c r="K90" i="5" s="1"/>
  <c r="G90" i="5"/>
  <c r="F90" i="5"/>
  <c r="I90" i="5" s="1"/>
  <c r="E90" i="5"/>
  <c r="D90" i="5"/>
  <c r="B90" i="5"/>
  <c r="C90" i="5" s="1"/>
  <c r="A90" i="5"/>
  <c r="CB89" i="5"/>
  <c r="CA89" i="5"/>
  <c r="BZ89" i="5"/>
  <c r="BX89" i="5" s="1"/>
  <c r="BY89" i="5"/>
  <c r="BW89" i="5"/>
  <c r="BS89" i="5"/>
  <c r="BV89" i="5" s="1"/>
  <c r="BR89" i="5"/>
  <c r="BP89" i="5"/>
  <c r="BO89" i="5"/>
  <c r="BM89" i="5" s="1"/>
  <c r="BN89" i="5"/>
  <c r="BL89" i="5"/>
  <c r="BK89" i="5"/>
  <c r="BI89" i="5" s="1"/>
  <c r="BJ89" i="5"/>
  <c r="BH89" i="5"/>
  <c r="BA89" i="5"/>
  <c r="AY89" i="5" s="1"/>
  <c r="AZ89" i="5"/>
  <c r="AW89" i="5"/>
  <c r="AV89" i="5"/>
  <c r="AU89" i="5"/>
  <c r="AS89" i="5"/>
  <c r="BD89" i="5" s="1"/>
  <c r="AR89" i="5"/>
  <c r="BC89" i="5" s="1"/>
  <c r="AP89" i="5"/>
  <c r="AJ89" i="5"/>
  <c r="AF89" i="5"/>
  <c r="AE89" i="5"/>
  <c r="AL89" i="5" s="1"/>
  <c r="BF89" i="5" s="1"/>
  <c r="Y89" i="5"/>
  <c r="X89" i="5"/>
  <c r="W89" i="5"/>
  <c r="R89" i="5"/>
  <c r="P89" i="5" s="1"/>
  <c r="Q89" i="5"/>
  <c r="L89" i="5"/>
  <c r="J89" i="5"/>
  <c r="K89" i="5" s="1"/>
  <c r="F89" i="5"/>
  <c r="I89" i="5" s="1"/>
  <c r="E89" i="5"/>
  <c r="D89" i="5"/>
  <c r="B89" i="5"/>
  <c r="C89" i="5" s="1"/>
  <c r="A89" i="5"/>
  <c r="CB88" i="5"/>
  <c r="CA88" i="5"/>
  <c r="BZ88" i="5"/>
  <c r="BX88" i="5" s="1"/>
  <c r="BY88" i="5"/>
  <c r="BW88" i="5"/>
  <c r="BS88" i="5"/>
  <c r="BR88" i="5"/>
  <c r="BU88" i="5" s="1"/>
  <c r="BP88" i="5"/>
  <c r="BO88" i="5"/>
  <c r="BM88" i="5" s="1"/>
  <c r="BN88" i="5"/>
  <c r="BL88" i="5"/>
  <c r="BK88" i="5"/>
  <c r="BJ88" i="5"/>
  <c r="BI88" i="5"/>
  <c r="BH88" i="5"/>
  <c r="BD88" i="5"/>
  <c r="BA88" i="5"/>
  <c r="AY88" i="5" s="1"/>
  <c r="AZ88" i="5"/>
  <c r="AX88" i="5"/>
  <c r="AW88" i="5"/>
  <c r="AV88" i="5"/>
  <c r="BC88" i="5" s="1"/>
  <c r="AU88" i="5"/>
  <c r="BB88" i="5" s="1"/>
  <c r="AT88" i="5"/>
  <c r="AS88" i="5"/>
  <c r="AQ88" i="5" s="1"/>
  <c r="AR88" i="5"/>
  <c r="AP88" i="5"/>
  <c r="AJ88" i="5"/>
  <c r="AI88" i="5"/>
  <c r="AH88" i="5"/>
  <c r="AF88" i="5"/>
  <c r="AG88" i="5" s="1"/>
  <c r="AE88" i="5"/>
  <c r="AD88" i="5" s="1"/>
  <c r="AB88" i="5"/>
  <c r="AA88" i="5"/>
  <c r="Y88" i="5"/>
  <c r="Z88" i="5" s="1"/>
  <c r="X88" i="5"/>
  <c r="U88" i="5"/>
  <c r="T88" i="5"/>
  <c r="R88" i="5"/>
  <c r="AM88" i="5" s="1"/>
  <c r="Q88" i="5"/>
  <c r="N88" i="5"/>
  <c r="J88" i="5"/>
  <c r="L88" i="5" s="1"/>
  <c r="F88" i="5"/>
  <c r="G88" i="5" s="1"/>
  <c r="D88" i="5"/>
  <c r="C88" i="5"/>
  <c r="B88" i="5"/>
  <c r="E88" i="5" s="1"/>
  <c r="A88" i="5"/>
  <c r="CB87" i="5"/>
  <c r="CA87" i="5"/>
  <c r="BZ87" i="5"/>
  <c r="BX87" i="5" s="1"/>
  <c r="BY87" i="5"/>
  <c r="BW87" i="5"/>
  <c r="BS87" i="5"/>
  <c r="BR87" i="5"/>
  <c r="BU87" i="5" s="1"/>
  <c r="BP87" i="5"/>
  <c r="BO87" i="5"/>
  <c r="BV87" i="5" s="1"/>
  <c r="BN87" i="5"/>
  <c r="BL87" i="5"/>
  <c r="BK87" i="5"/>
  <c r="BI87" i="5" s="1"/>
  <c r="BJ87" i="5"/>
  <c r="BH87" i="5"/>
  <c r="BA87" i="5"/>
  <c r="AZ87" i="5"/>
  <c r="BC87" i="5" s="1"/>
  <c r="AY87" i="5"/>
  <c r="AW87" i="5"/>
  <c r="AU87" i="5" s="1"/>
  <c r="AV87" i="5"/>
  <c r="AS87" i="5"/>
  <c r="AR87" i="5"/>
  <c r="AP87" i="5"/>
  <c r="AM87" i="5"/>
  <c r="AK87" i="5" s="1"/>
  <c r="AL87" i="5"/>
  <c r="BF87" i="5" s="1"/>
  <c r="AJ87" i="5"/>
  <c r="J87" i="5"/>
  <c r="L87" i="5" s="1"/>
  <c r="I87" i="5"/>
  <c r="H87" i="5"/>
  <c r="G87" i="5"/>
  <c r="F87" i="5"/>
  <c r="E87" i="5"/>
  <c r="C87" i="5"/>
  <c r="B87" i="5"/>
  <c r="D87" i="5" s="1"/>
  <c r="A87" i="5"/>
  <c r="CB86" i="5"/>
  <c r="CA86" i="5"/>
  <c r="BZ86" i="5"/>
  <c r="BY86" i="5"/>
  <c r="BW86" i="5"/>
  <c r="BS86" i="5"/>
  <c r="BV86" i="5" s="1"/>
  <c r="BR86" i="5"/>
  <c r="BU86" i="5" s="1"/>
  <c r="BP86" i="5"/>
  <c r="BO86" i="5"/>
  <c r="BM86" i="5" s="1"/>
  <c r="BN86" i="5"/>
  <c r="BL86" i="5"/>
  <c r="BK86" i="5"/>
  <c r="BI86" i="5" s="1"/>
  <c r="BJ86" i="5"/>
  <c r="BH86" i="5"/>
  <c r="BC86" i="5"/>
  <c r="BA86" i="5"/>
  <c r="BD86" i="5" s="1"/>
  <c r="AZ86" i="5"/>
  <c r="AX86" i="5"/>
  <c r="AW86" i="5"/>
  <c r="AV86" i="5"/>
  <c r="AU86" i="5"/>
  <c r="AT86" i="5"/>
  <c r="AS86" i="5"/>
  <c r="AQ86" i="5" s="1"/>
  <c r="AR86" i="5"/>
  <c r="AP86" i="5"/>
  <c r="AM86" i="5"/>
  <c r="AO86" i="5" s="1"/>
  <c r="AJ86" i="5"/>
  <c r="AI86" i="5"/>
  <c r="AH86" i="5"/>
  <c r="AF86" i="5"/>
  <c r="AG86" i="5" s="1"/>
  <c r="AE86" i="5"/>
  <c r="AL86" i="5" s="1"/>
  <c r="BF86" i="5" s="1"/>
  <c r="AB86" i="5"/>
  <c r="Z86" i="5"/>
  <c r="Y86" i="5"/>
  <c r="AA86" i="5" s="1"/>
  <c r="X86" i="5"/>
  <c r="U86" i="5"/>
  <c r="T86" i="5"/>
  <c r="S86" i="5"/>
  <c r="R86" i="5"/>
  <c r="Q86" i="5"/>
  <c r="P86" i="5" s="1"/>
  <c r="N86" i="5"/>
  <c r="J86" i="5"/>
  <c r="L86" i="5" s="1"/>
  <c r="F86" i="5"/>
  <c r="H86" i="5" s="1"/>
  <c r="D86" i="5"/>
  <c r="B86" i="5"/>
  <c r="C86" i="5" s="1"/>
  <c r="A86" i="5"/>
  <c r="CB85" i="5"/>
  <c r="CA85" i="5"/>
  <c r="BZ85" i="5"/>
  <c r="BX85" i="5" s="1"/>
  <c r="BY85" i="5"/>
  <c r="BW85" i="5"/>
  <c r="BU85" i="5"/>
  <c r="BS85" i="5"/>
  <c r="BV85" i="5" s="1"/>
  <c r="BR85" i="5"/>
  <c r="BQ85" i="5"/>
  <c r="BT85" i="5" s="1"/>
  <c r="BP85" i="5"/>
  <c r="BO85" i="5"/>
  <c r="BM85" i="5" s="1"/>
  <c r="BN85" i="5"/>
  <c r="BL85" i="5"/>
  <c r="BK85" i="5"/>
  <c r="BJ85" i="5"/>
  <c r="BI85" i="5"/>
  <c r="BH85" i="5"/>
  <c r="BA85" i="5"/>
  <c r="BD85" i="5" s="1"/>
  <c r="AZ85" i="5"/>
  <c r="AW85" i="5"/>
  <c r="AU85" i="5" s="1"/>
  <c r="AV85" i="5"/>
  <c r="AS85" i="5"/>
  <c r="AR85" i="5"/>
  <c r="BC85" i="5" s="1"/>
  <c r="AP85" i="5"/>
  <c r="AJ85" i="5"/>
  <c r="AF85" i="5"/>
  <c r="AM85" i="5" s="1"/>
  <c r="AE85" i="5"/>
  <c r="AL85" i="5" s="1"/>
  <c r="BF85" i="5" s="1"/>
  <c r="Y85" i="5"/>
  <c r="W85" i="5" s="1"/>
  <c r="X85" i="5"/>
  <c r="R85" i="5"/>
  <c r="P85" i="5" s="1"/>
  <c r="Q85" i="5"/>
  <c r="L85" i="5"/>
  <c r="J85" i="5"/>
  <c r="K85" i="5" s="1"/>
  <c r="I85" i="5"/>
  <c r="F85" i="5"/>
  <c r="H85" i="5" s="1"/>
  <c r="C85" i="5"/>
  <c r="B85" i="5"/>
  <c r="E85" i="5" s="1"/>
  <c r="A85" i="5"/>
  <c r="CB84" i="5"/>
  <c r="CA84" i="5"/>
  <c r="BZ84" i="5"/>
  <c r="BX84" i="5" s="1"/>
  <c r="BY84" i="5"/>
  <c r="BW84" i="5"/>
  <c r="BS84" i="5"/>
  <c r="BQ84" i="5" s="1"/>
  <c r="BT84" i="5" s="1"/>
  <c r="BR84" i="5"/>
  <c r="BP84" i="5"/>
  <c r="BO84" i="5"/>
  <c r="BN84" i="5"/>
  <c r="BM84" i="5" s="1"/>
  <c r="BL84" i="5"/>
  <c r="BK84" i="5"/>
  <c r="BI84" i="5" s="1"/>
  <c r="BJ84" i="5"/>
  <c r="BH84" i="5"/>
  <c r="BF84" i="5"/>
  <c r="BC84" i="5"/>
  <c r="BA84" i="5"/>
  <c r="AZ84" i="5"/>
  <c r="AX84" i="5"/>
  <c r="AW84" i="5"/>
  <c r="AU84" i="5" s="1"/>
  <c r="AV84" i="5"/>
  <c r="AT84" i="5"/>
  <c r="AS84" i="5"/>
  <c r="AQ84" i="5" s="1"/>
  <c r="AR84" i="5"/>
  <c r="AP84" i="5"/>
  <c r="AL84" i="5"/>
  <c r="AJ84" i="5"/>
  <c r="AI84" i="5"/>
  <c r="AH84" i="5"/>
  <c r="AG84" i="5"/>
  <c r="AF84" i="5"/>
  <c r="AE84" i="5"/>
  <c r="AD84" i="5"/>
  <c r="AB84" i="5"/>
  <c r="AA84" i="5"/>
  <c r="Z84" i="5"/>
  <c r="Y84" i="5"/>
  <c r="X84" i="5"/>
  <c r="U84" i="5"/>
  <c r="R84" i="5"/>
  <c r="P84" i="5" s="1"/>
  <c r="Q84" i="5"/>
  <c r="N84" i="5"/>
  <c r="J84" i="5"/>
  <c r="L84" i="5" s="1"/>
  <c r="I84" i="5"/>
  <c r="H84" i="5"/>
  <c r="G84" i="5"/>
  <c r="F84" i="5"/>
  <c r="E84" i="5"/>
  <c r="B84" i="5"/>
  <c r="D84" i="5" s="1"/>
  <c r="A84" i="5"/>
  <c r="CB83" i="5"/>
  <c r="CA83" i="5"/>
  <c r="BZ83" i="5"/>
  <c r="BX83" i="5" s="1"/>
  <c r="BY83" i="5"/>
  <c r="BW83" i="5"/>
  <c r="BS83" i="5"/>
  <c r="BV83" i="5" s="1"/>
  <c r="BR83" i="5"/>
  <c r="BU83" i="5" s="1"/>
  <c r="BQ83" i="5"/>
  <c r="BP83" i="5"/>
  <c r="BO83" i="5"/>
  <c r="BM83" i="5" s="1"/>
  <c r="BT83" i="5" s="1"/>
  <c r="BN83" i="5"/>
  <c r="BL83" i="5"/>
  <c r="BK83" i="5"/>
  <c r="BJ83" i="5"/>
  <c r="BI83" i="5"/>
  <c r="BH83" i="5"/>
  <c r="BD83" i="5"/>
  <c r="BA83" i="5"/>
  <c r="AY83" i="5" s="1"/>
  <c r="AZ83" i="5"/>
  <c r="AX83" i="5"/>
  <c r="AW83" i="5"/>
  <c r="AV83" i="5"/>
  <c r="BC83" i="5" s="1"/>
  <c r="AT83" i="5"/>
  <c r="AS83" i="5"/>
  <c r="AQ83" i="5" s="1"/>
  <c r="AR83" i="5"/>
  <c r="AP83" i="5"/>
  <c r="AL83" i="5"/>
  <c r="BF83" i="5" s="1"/>
  <c r="AJ83" i="5"/>
  <c r="AI83" i="5"/>
  <c r="AF83" i="5"/>
  <c r="AH83" i="5" s="1"/>
  <c r="AE83" i="5"/>
  <c r="AB83" i="5"/>
  <c r="Y83" i="5"/>
  <c r="AA83" i="5" s="1"/>
  <c r="X83" i="5"/>
  <c r="U83" i="5"/>
  <c r="T83" i="5"/>
  <c r="S83" i="5"/>
  <c r="R83" i="5"/>
  <c r="Q83" i="5"/>
  <c r="P83" i="5"/>
  <c r="N83" i="5"/>
  <c r="K83" i="5"/>
  <c r="J83" i="5"/>
  <c r="L83" i="5" s="1"/>
  <c r="I83" i="5"/>
  <c r="G83" i="5"/>
  <c r="F83" i="5"/>
  <c r="H83" i="5" s="1"/>
  <c r="B83" i="5"/>
  <c r="E83" i="5" s="1"/>
  <c r="A83" i="5"/>
  <c r="CB82" i="5"/>
  <c r="CA82" i="5"/>
  <c r="BZ82" i="5"/>
  <c r="BX82" i="5" s="1"/>
  <c r="BY82" i="5"/>
  <c r="BW82" i="5"/>
  <c r="BV82" i="5"/>
  <c r="BS82" i="5"/>
  <c r="BQ82" i="5" s="1"/>
  <c r="BT82" i="5" s="1"/>
  <c r="BR82" i="5"/>
  <c r="BU82" i="5" s="1"/>
  <c r="BP82" i="5"/>
  <c r="BO82" i="5"/>
  <c r="BN82" i="5"/>
  <c r="BM82" i="5"/>
  <c r="BL82" i="5"/>
  <c r="BK82" i="5"/>
  <c r="BI82" i="5" s="1"/>
  <c r="BJ82" i="5"/>
  <c r="BH82" i="5"/>
  <c r="BC82" i="5"/>
  <c r="BA82" i="5"/>
  <c r="AZ82" i="5"/>
  <c r="AX82" i="5"/>
  <c r="AW82" i="5"/>
  <c r="AV82" i="5"/>
  <c r="AU82" i="5"/>
  <c r="AT82" i="5"/>
  <c r="AS82" i="5"/>
  <c r="AQ82" i="5" s="1"/>
  <c r="AR82" i="5"/>
  <c r="AP82" i="5"/>
  <c r="AM82" i="5"/>
  <c r="AN82" i="5" s="1"/>
  <c r="AJ82" i="5"/>
  <c r="AI82" i="5"/>
  <c r="AH82" i="5"/>
  <c r="AG82" i="5"/>
  <c r="AF82" i="5"/>
  <c r="AE82" i="5"/>
  <c r="AL82" i="5" s="1"/>
  <c r="BF82" i="5" s="1"/>
  <c r="AB82" i="5"/>
  <c r="AA82" i="5"/>
  <c r="Y82" i="5"/>
  <c r="W82" i="5" s="1"/>
  <c r="X82" i="5"/>
  <c r="U82" i="5"/>
  <c r="T82" i="5"/>
  <c r="R82" i="5"/>
  <c r="S82" i="5" s="1"/>
  <c r="Q82" i="5"/>
  <c r="L82" i="5"/>
  <c r="J82" i="5"/>
  <c r="K82" i="5" s="1"/>
  <c r="H82" i="5"/>
  <c r="F82" i="5"/>
  <c r="I82" i="5" s="1"/>
  <c r="E82" i="5"/>
  <c r="B82" i="5"/>
  <c r="C82" i="5" s="1"/>
  <c r="A82" i="5"/>
  <c r="CB81" i="5"/>
  <c r="CA81" i="5"/>
  <c r="BZ81" i="5"/>
  <c r="BY81" i="5"/>
  <c r="BX81" i="5"/>
  <c r="BW81" i="5"/>
  <c r="BS81" i="5"/>
  <c r="BV81" i="5" s="1"/>
  <c r="BR81" i="5"/>
  <c r="BU81" i="5" s="1"/>
  <c r="BP81" i="5"/>
  <c r="BO81" i="5"/>
  <c r="BN81" i="5"/>
  <c r="BM81" i="5" s="1"/>
  <c r="BL81" i="5"/>
  <c r="BK81" i="5"/>
  <c r="BI81" i="5" s="1"/>
  <c r="BJ81" i="5"/>
  <c r="BH81" i="5"/>
  <c r="BA81" i="5"/>
  <c r="AZ81" i="5"/>
  <c r="BC81" i="5" s="1"/>
  <c r="AX81" i="5"/>
  <c r="AW81" i="5"/>
  <c r="AU81" i="5" s="1"/>
  <c r="AV81" i="5"/>
  <c r="AT81" i="5"/>
  <c r="AS81" i="5"/>
  <c r="AQ81" i="5" s="1"/>
  <c r="AR81" i="5"/>
  <c r="AP81" i="5"/>
  <c r="AJ81" i="5"/>
  <c r="AI81" i="5"/>
  <c r="AH81" i="5"/>
  <c r="AG81" i="5"/>
  <c r="AF81" i="5"/>
  <c r="AD81" i="5" s="1"/>
  <c r="AE81" i="5"/>
  <c r="AL81" i="5" s="1"/>
  <c r="AB81" i="5"/>
  <c r="AA81" i="5"/>
  <c r="Y81" i="5"/>
  <c r="Z81" i="5" s="1"/>
  <c r="X81" i="5"/>
  <c r="W81" i="5"/>
  <c r="U81" i="5"/>
  <c r="T81" i="5"/>
  <c r="R81" i="5"/>
  <c r="S81" i="5" s="1"/>
  <c r="Q81" i="5"/>
  <c r="P81" i="5"/>
  <c r="N81" i="5"/>
  <c r="L81" i="5"/>
  <c r="J81" i="5"/>
  <c r="K81" i="5" s="1"/>
  <c r="F81" i="5"/>
  <c r="G81" i="5" s="1"/>
  <c r="E81" i="5"/>
  <c r="D81" i="5"/>
  <c r="C81" i="5"/>
  <c r="B81" i="5"/>
  <c r="A81" i="5"/>
  <c r="CB80" i="5"/>
  <c r="CA80" i="5"/>
  <c r="BZ80" i="5"/>
  <c r="BX80" i="5" s="1"/>
  <c r="BY80" i="5"/>
  <c r="BW80" i="5"/>
  <c r="BS80" i="5"/>
  <c r="BR80" i="5"/>
  <c r="BU80" i="5" s="1"/>
  <c r="BP80" i="5"/>
  <c r="BO80" i="5"/>
  <c r="BM80" i="5" s="1"/>
  <c r="BN80" i="5"/>
  <c r="BL80" i="5"/>
  <c r="BK80" i="5"/>
  <c r="BJ80" i="5"/>
  <c r="BI80" i="5" s="1"/>
  <c r="BH80" i="5"/>
  <c r="BA80" i="5"/>
  <c r="BD80" i="5" s="1"/>
  <c r="AZ80" i="5"/>
  <c r="AX80" i="5"/>
  <c r="AW80" i="5"/>
  <c r="AV80" i="5"/>
  <c r="AT80" i="5"/>
  <c r="AS80" i="5"/>
  <c r="AR80" i="5"/>
  <c r="AQ80" i="5" s="1"/>
  <c r="AP80" i="5"/>
  <c r="AJ80" i="5"/>
  <c r="AI80" i="5"/>
  <c r="AG80" i="5"/>
  <c r="AF80" i="5"/>
  <c r="AM80" i="5" s="1"/>
  <c r="AK80" i="5" s="1"/>
  <c r="AE80" i="5"/>
  <c r="AB80" i="5"/>
  <c r="Z80" i="5"/>
  <c r="Y80" i="5"/>
  <c r="AA80" i="5" s="1"/>
  <c r="X80" i="5"/>
  <c r="AL80" i="5" s="1"/>
  <c r="U80" i="5"/>
  <c r="T80" i="5"/>
  <c r="R80" i="5"/>
  <c r="S80" i="5" s="1"/>
  <c r="Q80" i="5"/>
  <c r="P80" i="5" s="1"/>
  <c r="N80" i="5"/>
  <c r="L80" i="5"/>
  <c r="J80" i="5"/>
  <c r="K80" i="5" s="1"/>
  <c r="F80" i="5"/>
  <c r="I80" i="5" s="1"/>
  <c r="D80" i="5"/>
  <c r="B80" i="5"/>
  <c r="C80" i="5" s="1"/>
  <c r="A80" i="5"/>
  <c r="CB79" i="5"/>
  <c r="CA79" i="5"/>
  <c r="BZ79" i="5"/>
  <c r="BY79" i="5"/>
  <c r="BX79" i="5" s="1"/>
  <c r="BW79" i="5"/>
  <c r="BV79" i="5"/>
  <c r="BS79" i="5"/>
  <c r="BR79" i="5"/>
  <c r="BU79" i="5" s="1"/>
  <c r="BQ79" i="5"/>
  <c r="BT79" i="5" s="1"/>
  <c r="BP79" i="5"/>
  <c r="BO79" i="5"/>
  <c r="BN79" i="5"/>
  <c r="BM79" i="5" s="1"/>
  <c r="BL79" i="5"/>
  <c r="BK79" i="5"/>
  <c r="BJ79" i="5"/>
  <c r="BI79" i="5"/>
  <c r="BH79" i="5"/>
  <c r="BA79" i="5"/>
  <c r="BD79" i="5" s="1"/>
  <c r="AZ79" i="5"/>
  <c r="BC79" i="5" s="1"/>
  <c r="AX79" i="5"/>
  <c r="AW79" i="5"/>
  <c r="AU79" i="5" s="1"/>
  <c r="AV79" i="5"/>
  <c r="AT79" i="5"/>
  <c r="AS79" i="5"/>
  <c r="AR79" i="5"/>
  <c r="AP79" i="5"/>
  <c r="AJ79" i="5"/>
  <c r="AI79" i="5"/>
  <c r="AF79" i="5"/>
  <c r="AH79" i="5" s="1"/>
  <c r="AE79" i="5"/>
  <c r="AL79" i="5" s="1"/>
  <c r="BF79" i="5" s="1"/>
  <c r="AB79" i="5"/>
  <c r="Y79" i="5"/>
  <c r="Z79" i="5" s="1"/>
  <c r="X79" i="5"/>
  <c r="W79" i="5" s="1"/>
  <c r="U79" i="5"/>
  <c r="T79" i="5"/>
  <c r="R79" i="5"/>
  <c r="P79" i="5" s="1"/>
  <c r="Q79" i="5"/>
  <c r="N79" i="5"/>
  <c r="K79" i="5"/>
  <c r="J79" i="5"/>
  <c r="L79" i="5" s="1"/>
  <c r="H79" i="5"/>
  <c r="F79" i="5"/>
  <c r="G79" i="5" s="1"/>
  <c r="B79" i="5"/>
  <c r="E79" i="5" s="1"/>
  <c r="A79" i="5"/>
  <c r="CB78" i="5"/>
  <c r="CA78" i="5"/>
  <c r="BZ78" i="5"/>
  <c r="BY78" i="5"/>
  <c r="BX78" i="5"/>
  <c r="BW78" i="5"/>
  <c r="BV78" i="5"/>
  <c r="BS78" i="5"/>
  <c r="BR78" i="5"/>
  <c r="BQ78" i="5"/>
  <c r="BP78" i="5"/>
  <c r="BO78" i="5"/>
  <c r="BN78" i="5"/>
  <c r="BU78" i="5" s="1"/>
  <c r="BL78" i="5"/>
  <c r="BK78" i="5"/>
  <c r="BJ78" i="5"/>
  <c r="BI78" i="5"/>
  <c r="BH78" i="5"/>
  <c r="BA78" i="5"/>
  <c r="BD78" i="5" s="1"/>
  <c r="AZ78" i="5"/>
  <c r="AY78" i="5"/>
  <c r="AX78" i="5"/>
  <c r="AW78" i="5"/>
  <c r="AU78" i="5" s="1"/>
  <c r="AV78" i="5"/>
  <c r="AT78" i="5"/>
  <c r="AS78" i="5"/>
  <c r="AQ78" i="5" s="1"/>
  <c r="AR78" i="5"/>
  <c r="AP78" i="5"/>
  <c r="AN78" i="5"/>
  <c r="AJ78" i="5"/>
  <c r="AI78" i="5"/>
  <c r="AG78" i="5"/>
  <c r="AF78" i="5"/>
  <c r="AM78" i="5" s="1"/>
  <c r="AE78" i="5"/>
  <c r="AD78" i="5"/>
  <c r="AB78" i="5"/>
  <c r="AA78" i="5"/>
  <c r="Y78" i="5"/>
  <c r="Z78" i="5" s="1"/>
  <c r="X78" i="5"/>
  <c r="W78" i="5" s="1"/>
  <c r="U78" i="5"/>
  <c r="T78" i="5"/>
  <c r="R78" i="5"/>
  <c r="P78" i="5" s="1"/>
  <c r="Q78" i="5"/>
  <c r="N78" i="5"/>
  <c r="J78" i="5"/>
  <c r="K78" i="5" s="1"/>
  <c r="I78" i="5"/>
  <c r="G78" i="5"/>
  <c r="F78" i="5"/>
  <c r="H78" i="5" s="1"/>
  <c r="D78" i="5"/>
  <c r="B78" i="5"/>
  <c r="C78" i="5" s="1"/>
  <c r="A78" i="5"/>
  <c r="CB77" i="5"/>
  <c r="CA77" i="5"/>
  <c r="BZ77" i="5"/>
  <c r="BX77" i="5" s="1"/>
  <c r="BY77" i="5"/>
  <c r="BW77" i="5"/>
  <c r="BV77" i="5"/>
  <c r="BU77" i="5"/>
  <c r="BS77" i="5"/>
  <c r="BR77" i="5"/>
  <c r="BQ77" i="5" s="1"/>
  <c r="BP77" i="5"/>
  <c r="BO77" i="5"/>
  <c r="BN77" i="5"/>
  <c r="BM77" i="5"/>
  <c r="BL77" i="5"/>
  <c r="BK77" i="5"/>
  <c r="BJ77" i="5"/>
  <c r="BI77" i="5" s="1"/>
  <c r="BH77" i="5"/>
  <c r="BD77" i="5"/>
  <c r="BC77" i="5"/>
  <c r="BA77" i="5"/>
  <c r="AY77" i="5" s="1"/>
  <c r="AZ77" i="5"/>
  <c r="AX77" i="5"/>
  <c r="AW77" i="5"/>
  <c r="AV77" i="5"/>
  <c r="AU77" i="5"/>
  <c r="AT77" i="5"/>
  <c r="AS77" i="5"/>
  <c r="AR77" i="5"/>
  <c r="AP77" i="5"/>
  <c r="AL77" i="5"/>
  <c r="BF77" i="5" s="1"/>
  <c r="AJ77" i="5"/>
  <c r="AI77" i="5"/>
  <c r="AF77" i="5"/>
  <c r="AH77" i="5" s="1"/>
  <c r="AE77" i="5"/>
  <c r="AD77" i="5"/>
  <c r="AB77" i="5"/>
  <c r="Y77" i="5"/>
  <c r="Z77" i="5" s="1"/>
  <c r="X77" i="5"/>
  <c r="U77" i="5"/>
  <c r="S77" i="5"/>
  <c r="R77" i="5"/>
  <c r="P77" i="5" s="1"/>
  <c r="Q77" i="5"/>
  <c r="N77" i="5"/>
  <c r="K77" i="5"/>
  <c r="J77" i="5"/>
  <c r="L77" i="5" s="1"/>
  <c r="I77" i="5"/>
  <c r="H77" i="5"/>
  <c r="F77" i="5"/>
  <c r="G77" i="5" s="1"/>
  <c r="B77" i="5"/>
  <c r="E77" i="5" s="1"/>
  <c r="A77" i="5"/>
  <c r="CB76" i="5"/>
  <c r="CA76" i="5"/>
  <c r="BZ76" i="5"/>
  <c r="BY76" i="5"/>
  <c r="BX76" i="5" s="1"/>
  <c r="BW76" i="5"/>
  <c r="BV76" i="5"/>
  <c r="BS76" i="5"/>
  <c r="BR76" i="5"/>
  <c r="BQ76" i="5"/>
  <c r="BP76" i="5"/>
  <c r="BO76" i="5"/>
  <c r="BN76" i="5"/>
  <c r="BU76" i="5" s="1"/>
  <c r="BL76" i="5"/>
  <c r="BK76" i="5"/>
  <c r="BJ76" i="5"/>
  <c r="BI76" i="5"/>
  <c r="BH76" i="5"/>
  <c r="BD76" i="5"/>
  <c r="BA76" i="5"/>
  <c r="AZ76" i="5"/>
  <c r="AY76" i="5" s="1"/>
  <c r="BB76" i="5" s="1"/>
  <c r="AX76" i="5"/>
  <c r="AW76" i="5"/>
  <c r="AU76" i="5" s="1"/>
  <c r="AV76" i="5"/>
  <c r="AT76" i="5"/>
  <c r="AS76" i="5"/>
  <c r="AQ76" i="5" s="1"/>
  <c r="AR76" i="5"/>
  <c r="AP76" i="5"/>
  <c r="AL76" i="5"/>
  <c r="AJ76" i="5"/>
  <c r="AI76" i="5"/>
  <c r="AH76" i="5"/>
  <c r="AG76" i="5"/>
  <c r="AF76" i="5"/>
  <c r="AE76" i="5"/>
  <c r="AD76" i="5"/>
  <c r="AB76" i="5"/>
  <c r="AA76" i="5"/>
  <c r="Y76" i="5"/>
  <c r="W76" i="5" s="1"/>
  <c r="X76" i="5"/>
  <c r="U76" i="5"/>
  <c r="S76" i="5"/>
  <c r="R76" i="5"/>
  <c r="P76" i="5" s="1"/>
  <c r="Q76" i="5"/>
  <c r="N76" i="5"/>
  <c r="J76" i="5"/>
  <c r="K76" i="5" s="1"/>
  <c r="I76" i="5"/>
  <c r="H76" i="5"/>
  <c r="G76" i="5"/>
  <c r="F76" i="5"/>
  <c r="E76" i="5"/>
  <c r="D76" i="5"/>
  <c r="B76" i="5"/>
  <c r="C76" i="5" s="1"/>
  <c r="A76" i="5"/>
  <c r="CB75" i="5"/>
  <c r="CA75" i="5"/>
  <c r="BZ75" i="5"/>
  <c r="BX75" i="5" s="1"/>
  <c r="BY75" i="5"/>
  <c r="BW75" i="5"/>
  <c r="BU75" i="5"/>
  <c r="BS75" i="5"/>
  <c r="BV75" i="5" s="1"/>
  <c r="BR75" i="5"/>
  <c r="BP75" i="5"/>
  <c r="BO75" i="5"/>
  <c r="BN75" i="5"/>
  <c r="BM75" i="5"/>
  <c r="BL75" i="5"/>
  <c r="BK75" i="5"/>
  <c r="BI75" i="5" s="1"/>
  <c r="BJ75" i="5"/>
  <c r="BH75" i="5"/>
  <c r="BC75" i="5"/>
  <c r="BA75" i="5"/>
  <c r="AY75" i="5" s="1"/>
  <c r="AZ75" i="5"/>
  <c r="AW75" i="5"/>
  <c r="AV75" i="5"/>
  <c r="AU75" i="5"/>
  <c r="AS75" i="5"/>
  <c r="AQ75" i="5" s="1"/>
  <c r="BB75" i="5" s="1"/>
  <c r="AR75" i="5"/>
  <c r="AJ75" i="5"/>
  <c r="AF75" i="5"/>
  <c r="AM75" i="5" s="1"/>
  <c r="AE75" i="5"/>
  <c r="Y75" i="5"/>
  <c r="W75" i="5" s="1"/>
  <c r="AT75" i="5" s="1"/>
  <c r="X75" i="5"/>
  <c r="AL75" i="5" s="1"/>
  <c r="BF75" i="5" s="1"/>
  <c r="R75" i="5"/>
  <c r="Q75" i="5"/>
  <c r="P75" i="5"/>
  <c r="K75" i="5"/>
  <c r="J75" i="5"/>
  <c r="L75" i="5" s="1"/>
  <c r="F75" i="5"/>
  <c r="I75" i="5" s="1"/>
  <c r="E75" i="5"/>
  <c r="C75" i="5"/>
  <c r="B75" i="5"/>
  <c r="D75" i="5" s="1"/>
  <c r="A75" i="5"/>
  <c r="CB74" i="5"/>
  <c r="CA74" i="5"/>
  <c r="BZ74" i="5"/>
  <c r="BY74" i="5"/>
  <c r="BW74" i="5"/>
  <c r="BV74" i="5"/>
  <c r="BS74" i="5"/>
  <c r="BQ74" i="5" s="1"/>
  <c r="BR74" i="5"/>
  <c r="BP74" i="5"/>
  <c r="BO74" i="5"/>
  <c r="BM74" i="5" s="1"/>
  <c r="BN74" i="5"/>
  <c r="BU74" i="5" s="1"/>
  <c r="BL74" i="5"/>
  <c r="BK74" i="5"/>
  <c r="BI74" i="5" s="1"/>
  <c r="BJ74" i="5"/>
  <c r="BH74" i="5"/>
  <c r="BC74" i="5"/>
  <c r="BA74" i="5"/>
  <c r="BD74" i="5" s="1"/>
  <c r="AZ74" i="5"/>
  <c r="AY74" i="5"/>
  <c r="BB74" i="5" s="1"/>
  <c r="AX74" i="5"/>
  <c r="AW74" i="5"/>
  <c r="AU74" i="5" s="1"/>
  <c r="AV74" i="5"/>
  <c r="AS74" i="5"/>
  <c r="AR74" i="5"/>
  <c r="AQ74" i="5"/>
  <c r="AJ74" i="5"/>
  <c r="AG74" i="5"/>
  <c r="AF74" i="5"/>
  <c r="AH74" i="5" s="1"/>
  <c r="AE74" i="5"/>
  <c r="AL74" i="5" s="1"/>
  <c r="BF74" i="5" s="1"/>
  <c r="Z74" i="5"/>
  <c r="Y74" i="5"/>
  <c r="AA74" i="5" s="1"/>
  <c r="X74" i="5"/>
  <c r="W74" i="5"/>
  <c r="AT74" i="5" s="1"/>
  <c r="T74" i="5"/>
  <c r="S74" i="5"/>
  <c r="R74" i="5"/>
  <c r="P74" i="5" s="1"/>
  <c r="Q74" i="5"/>
  <c r="L74" i="5"/>
  <c r="J74" i="5"/>
  <c r="K74" i="5" s="1"/>
  <c r="I74" i="5"/>
  <c r="H74" i="5"/>
  <c r="G74" i="5"/>
  <c r="F74" i="5"/>
  <c r="D74" i="5"/>
  <c r="B74" i="5"/>
  <c r="C74" i="5" s="1"/>
  <c r="A74" i="5"/>
  <c r="CB73" i="5"/>
  <c r="CA73" i="5"/>
  <c r="BZ73" i="5"/>
  <c r="BX73" i="5" s="1"/>
  <c r="BY73" i="5"/>
  <c r="BW73" i="5"/>
  <c r="BS73" i="5"/>
  <c r="BV73" i="5" s="1"/>
  <c r="BR73" i="5"/>
  <c r="BU73" i="5" s="1"/>
  <c r="BP73" i="5"/>
  <c r="BO73" i="5"/>
  <c r="BN73" i="5"/>
  <c r="BM73" i="5" s="1"/>
  <c r="BL73" i="5"/>
  <c r="BK73" i="5"/>
  <c r="BI73" i="5" s="1"/>
  <c r="BJ73" i="5"/>
  <c r="BH73" i="5"/>
  <c r="BA73" i="5"/>
  <c r="AY73" i="5" s="1"/>
  <c r="AZ73" i="5"/>
  <c r="AX73" i="5"/>
  <c r="AW73" i="5"/>
  <c r="AU73" i="5" s="1"/>
  <c r="AV73" i="5"/>
  <c r="AT73" i="5"/>
  <c r="AS73" i="5"/>
  <c r="AR73" i="5"/>
  <c r="BC73" i="5" s="1"/>
  <c r="AP73" i="5"/>
  <c r="AJ73" i="5"/>
  <c r="AI73" i="5"/>
  <c r="AH73" i="5"/>
  <c r="AF73" i="5"/>
  <c r="AM73" i="5" s="1"/>
  <c r="AE73" i="5"/>
  <c r="AL73" i="5" s="1"/>
  <c r="AA73" i="5"/>
  <c r="Z73" i="5"/>
  <c r="Y73" i="5"/>
  <c r="X73" i="5"/>
  <c r="W73" i="5" s="1"/>
  <c r="U73" i="5"/>
  <c r="R73" i="5"/>
  <c r="Q73" i="5"/>
  <c r="N73" i="5"/>
  <c r="L73" i="5"/>
  <c r="J73" i="5"/>
  <c r="K73" i="5" s="1"/>
  <c r="I73" i="5"/>
  <c r="H73" i="5"/>
  <c r="G73" i="5"/>
  <c r="F73" i="5"/>
  <c r="E73" i="5"/>
  <c r="D73" i="5"/>
  <c r="B73" i="5"/>
  <c r="C73" i="5" s="1"/>
  <c r="A73" i="5"/>
  <c r="CB72" i="5"/>
  <c r="CA72" i="5"/>
  <c r="BZ72" i="5"/>
  <c r="BX72" i="5" s="1"/>
  <c r="BY72" i="5"/>
  <c r="BW72" i="5"/>
  <c r="BS72" i="5"/>
  <c r="BV72" i="5" s="1"/>
  <c r="BR72" i="5"/>
  <c r="BU72" i="5" s="1"/>
  <c r="BQ72" i="5"/>
  <c r="BT72" i="5" s="1"/>
  <c r="BP72" i="5"/>
  <c r="BO72" i="5"/>
  <c r="BN72" i="5"/>
  <c r="BM72" i="5" s="1"/>
  <c r="BL72" i="5"/>
  <c r="BK72" i="5"/>
  <c r="BJ72" i="5"/>
  <c r="BI72" i="5"/>
  <c r="BH72" i="5"/>
  <c r="BC72" i="5"/>
  <c r="BA72" i="5"/>
  <c r="BD72" i="5" s="1"/>
  <c r="AZ72" i="5"/>
  <c r="AX72" i="5"/>
  <c r="AW72" i="5"/>
  <c r="AV72" i="5"/>
  <c r="AU72" i="5"/>
  <c r="AT72" i="5"/>
  <c r="AS72" i="5"/>
  <c r="AQ72" i="5" s="1"/>
  <c r="AR72" i="5"/>
  <c r="AP72" i="5"/>
  <c r="AL72" i="5"/>
  <c r="BF72" i="5" s="1"/>
  <c r="AJ72" i="5"/>
  <c r="AI72" i="5"/>
  <c r="AH72" i="5"/>
  <c r="AF72" i="5"/>
  <c r="AG72" i="5" s="1"/>
  <c r="AE72" i="5"/>
  <c r="AD72" i="5"/>
  <c r="AA72" i="5"/>
  <c r="Z72" i="5"/>
  <c r="Y72" i="5"/>
  <c r="X72" i="5"/>
  <c r="W72" i="5" s="1"/>
  <c r="U72" i="5"/>
  <c r="R72" i="5"/>
  <c r="AM72" i="5" s="1"/>
  <c r="Q72" i="5"/>
  <c r="N72" i="5"/>
  <c r="J72" i="5"/>
  <c r="L72" i="5" s="1"/>
  <c r="I72" i="5"/>
  <c r="H72" i="5"/>
  <c r="G72" i="5"/>
  <c r="F72" i="5"/>
  <c r="B72" i="5"/>
  <c r="E72" i="5" s="1"/>
  <c r="A72" i="5"/>
  <c r="CB71" i="5"/>
  <c r="CA71" i="5"/>
  <c r="BZ71" i="5"/>
  <c r="BX71" i="5" s="1"/>
  <c r="BY71" i="5"/>
  <c r="BW71" i="5"/>
  <c r="BV71" i="5"/>
  <c r="BU71" i="5"/>
  <c r="BS71" i="5"/>
  <c r="BQ71" i="5" s="1"/>
  <c r="BT71" i="5" s="1"/>
  <c r="BR71" i="5"/>
  <c r="BP71" i="5"/>
  <c r="BO71" i="5"/>
  <c r="BN71" i="5"/>
  <c r="BM71" i="5"/>
  <c r="BL71" i="5"/>
  <c r="BK71" i="5"/>
  <c r="BI71" i="5" s="1"/>
  <c r="BJ71" i="5"/>
  <c r="BH71" i="5"/>
  <c r="BD71" i="5"/>
  <c r="BA71" i="5"/>
  <c r="AY71" i="5" s="1"/>
  <c r="AZ71" i="5"/>
  <c r="AX71" i="5"/>
  <c r="AW71" i="5"/>
  <c r="AU71" i="5" s="1"/>
  <c r="AV71" i="5"/>
  <c r="BC71" i="5" s="1"/>
  <c r="AT71" i="5"/>
  <c r="AS71" i="5"/>
  <c r="AQ71" i="5" s="1"/>
  <c r="AR71" i="5"/>
  <c r="AP71" i="5"/>
  <c r="AJ71" i="5"/>
  <c r="AI71" i="5"/>
  <c r="AF71" i="5"/>
  <c r="AH71" i="5" s="1"/>
  <c r="AE71" i="5"/>
  <c r="AL71" i="5" s="1"/>
  <c r="BF71" i="5" s="1"/>
  <c r="AA71" i="5"/>
  <c r="Y71" i="5"/>
  <c r="Z71" i="5" s="1"/>
  <c r="X71" i="5"/>
  <c r="W71" i="5"/>
  <c r="U71" i="5"/>
  <c r="T71" i="5"/>
  <c r="R71" i="5"/>
  <c r="P71" i="5" s="1"/>
  <c r="Q71" i="5"/>
  <c r="N71" i="5"/>
  <c r="L71" i="5"/>
  <c r="K71" i="5"/>
  <c r="J71" i="5"/>
  <c r="H71" i="5"/>
  <c r="F71" i="5"/>
  <c r="G71" i="5" s="1"/>
  <c r="E71" i="5"/>
  <c r="D71" i="5"/>
  <c r="C71" i="5"/>
  <c r="B71" i="5"/>
  <c r="A71" i="5"/>
  <c r="CB70" i="5"/>
  <c r="CA70" i="5"/>
  <c r="BZ70" i="5"/>
  <c r="BY70" i="5"/>
  <c r="BX70" i="5"/>
  <c r="BW70" i="5"/>
  <c r="BS70" i="5"/>
  <c r="BR70" i="5"/>
  <c r="BU70" i="5" s="1"/>
  <c r="BQ70" i="5"/>
  <c r="BT70" i="5" s="1"/>
  <c r="BP70" i="5"/>
  <c r="BO70" i="5"/>
  <c r="BV70" i="5" s="1"/>
  <c r="BN70" i="5"/>
  <c r="BL70" i="5"/>
  <c r="BK70" i="5"/>
  <c r="BJ70" i="5"/>
  <c r="BI70" i="5"/>
  <c r="BH70" i="5"/>
  <c r="BA70" i="5"/>
  <c r="BD70" i="5" s="1"/>
  <c r="AZ70" i="5"/>
  <c r="BC70" i="5" s="1"/>
  <c r="AY70" i="5"/>
  <c r="BB70" i="5" s="1"/>
  <c r="AX70" i="5"/>
  <c r="AW70" i="5"/>
  <c r="AV70" i="5"/>
  <c r="AU70" i="5" s="1"/>
  <c r="AT70" i="5"/>
  <c r="AS70" i="5"/>
  <c r="AR70" i="5"/>
  <c r="AQ70" i="5"/>
  <c r="AP70" i="5"/>
  <c r="AJ70" i="5"/>
  <c r="AI70" i="5"/>
  <c r="AH70" i="5"/>
  <c r="AF70" i="5"/>
  <c r="AM70" i="5" s="1"/>
  <c r="AE70" i="5"/>
  <c r="Y70" i="5"/>
  <c r="AA70" i="5" s="1"/>
  <c r="X70" i="5"/>
  <c r="AL70" i="5" s="1"/>
  <c r="BF70" i="5" s="1"/>
  <c r="U70" i="5"/>
  <c r="R70" i="5"/>
  <c r="T70" i="5" s="1"/>
  <c r="Q70" i="5"/>
  <c r="P70" i="5"/>
  <c r="L70" i="5"/>
  <c r="J70" i="5"/>
  <c r="K70" i="5" s="1"/>
  <c r="F70" i="5"/>
  <c r="I70" i="5" s="1"/>
  <c r="E70" i="5"/>
  <c r="D70" i="5"/>
  <c r="B70" i="5"/>
  <c r="C70" i="5" s="1"/>
  <c r="A70" i="5"/>
  <c r="CB69" i="5"/>
  <c r="CA69" i="5"/>
  <c r="BZ69" i="5"/>
  <c r="BX69" i="5" s="1"/>
  <c r="BY69" i="5"/>
  <c r="BW69" i="5"/>
  <c r="BS69" i="5"/>
  <c r="BV69" i="5" s="1"/>
  <c r="BR69" i="5"/>
  <c r="BU69" i="5" s="1"/>
  <c r="BQ69" i="5"/>
  <c r="BT69" i="5" s="1"/>
  <c r="BP69" i="5"/>
  <c r="BO69" i="5"/>
  <c r="BM69" i="5" s="1"/>
  <c r="BN69" i="5"/>
  <c r="BL69" i="5"/>
  <c r="BK69" i="5"/>
  <c r="BJ69" i="5"/>
  <c r="BI69" i="5"/>
  <c r="BH69" i="5"/>
  <c r="BC69" i="5"/>
  <c r="BA69" i="5"/>
  <c r="BD69" i="5" s="1"/>
  <c r="AZ69" i="5"/>
  <c r="AX69" i="5"/>
  <c r="AW69" i="5"/>
  <c r="AV69" i="5"/>
  <c r="AU69" i="5"/>
  <c r="AT69" i="5"/>
  <c r="AS69" i="5"/>
  <c r="AQ69" i="5" s="1"/>
  <c r="AR69" i="5"/>
  <c r="AP69" i="5"/>
  <c r="AL69" i="5"/>
  <c r="BF69" i="5" s="1"/>
  <c r="AJ69" i="5"/>
  <c r="AI69" i="5"/>
  <c r="AH69" i="5"/>
  <c r="AF69" i="5"/>
  <c r="AG69" i="5" s="1"/>
  <c r="AE69" i="5"/>
  <c r="AD69" i="5"/>
  <c r="AA69" i="5"/>
  <c r="Z69" i="5"/>
  <c r="Y69" i="5"/>
  <c r="W69" i="5" s="1"/>
  <c r="X69" i="5"/>
  <c r="U69" i="5"/>
  <c r="R69" i="5"/>
  <c r="AM69" i="5" s="1"/>
  <c r="Q69" i="5"/>
  <c r="N69" i="5"/>
  <c r="J69" i="5"/>
  <c r="L69" i="5" s="1"/>
  <c r="I69" i="5"/>
  <c r="H69" i="5"/>
  <c r="G69" i="5"/>
  <c r="F69" i="5"/>
  <c r="B69" i="5"/>
  <c r="E69" i="5" s="1"/>
  <c r="A69" i="5"/>
  <c r="CB68" i="5"/>
  <c r="CA68" i="5"/>
  <c r="BZ68" i="5"/>
  <c r="BX68" i="5" s="1"/>
  <c r="BY68" i="5"/>
  <c r="BW68" i="5"/>
  <c r="BV68" i="5"/>
  <c r="BU68" i="5"/>
  <c r="BS68" i="5"/>
  <c r="BQ68" i="5" s="1"/>
  <c r="BT68" i="5" s="1"/>
  <c r="BR68" i="5"/>
  <c r="BP68" i="5"/>
  <c r="BO68" i="5"/>
  <c r="BN68" i="5"/>
  <c r="BM68" i="5"/>
  <c r="BL68" i="5"/>
  <c r="BK68" i="5"/>
  <c r="BI68" i="5" s="1"/>
  <c r="BJ68" i="5"/>
  <c r="BH68" i="5"/>
  <c r="BD68" i="5"/>
  <c r="BA68" i="5"/>
  <c r="AY68" i="5" s="1"/>
  <c r="BB68" i="5" s="1"/>
  <c r="AZ68" i="5"/>
  <c r="AX68" i="5"/>
  <c r="AW68" i="5"/>
  <c r="AU68" i="5" s="1"/>
  <c r="AV68" i="5"/>
  <c r="BC68" i="5" s="1"/>
  <c r="AT68" i="5"/>
  <c r="AS68" i="5"/>
  <c r="AQ68" i="5" s="1"/>
  <c r="AR68" i="5"/>
  <c r="AP68" i="5"/>
  <c r="AJ68" i="5"/>
  <c r="AI68" i="5"/>
  <c r="AF68" i="5"/>
  <c r="AH68" i="5" s="1"/>
  <c r="AE68" i="5"/>
  <c r="AL68" i="5" s="1"/>
  <c r="BF68" i="5" s="1"/>
  <c r="AA68" i="5"/>
  <c r="Y68" i="5"/>
  <c r="Z68" i="5" s="1"/>
  <c r="X68" i="5"/>
  <c r="W68" i="5"/>
  <c r="U68" i="5"/>
  <c r="T68" i="5"/>
  <c r="R68" i="5"/>
  <c r="P68" i="5" s="1"/>
  <c r="Q68" i="5"/>
  <c r="N68" i="5"/>
  <c r="L68" i="5"/>
  <c r="K68" i="5"/>
  <c r="J68" i="5"/>
  <c r="H68" i="5"/>
  <c r="F68" i="5"/>
  <c r="G68" i="5" s="1"/>
  <c r="E68" i="5"/>
  <c r="D68" i="5"/>
  <c r="C68" i="5"/>
  <c r="B68" i="5"/>
  <c r="A68" i="5"/>
  <c r="CB67" i="5"/>
  <c r="CA67" i="5"/>
  <c r="BZ67" i="5"/>
  <c r="BY67" i="5"/>
  <c r="BX67" i="5"/>
  <c r="BW67" i="5"/>
  <c r="BS67" i="5"/>
  <c r="BR67" i="5"/>
  <c r="BU67" i="5" s="1"/>
  <c r="BQ67" i="5"/>
  <c r="BP67" i="5"/>
  <c r="BO67" i="5"/>
  <c r="BV67" i="5" s="1"/>
  <c r="BN67" i="5"/>
  <c r="BL67" i="5"/>
  <c r="BK67" i="5"/>
  <c r="BJ67" i="5"/>
  <c r="BI67" i="5"/>
  <c r="BH67" i="5"/>
  <c r="BA67" i="5"/>
  <c r="BD67" i="5" s="1"/>
  <c r="AZ67" i="5"/>
  <c r="BC67" i="5" s="1"/>
  <c r="AY67" i="5"/>
  <c r="BB67" i="5" s="1"/>
  <c r="AX67" i="5"/>
  <c r="AW67" i="5"/>
  <c r="AV67" i="5"/>
  <c r="AU67" i="5" s="1"/>
  <c r="AT67" i="5"/>
  <c r="AS67" i="5"/>
  <c r="AR67" i="5"/>
  <c r="AQ67" i="5"/>
  <c r="AP67" i="5"/>
  <c r="AJ67" i="5"/>
  <c r="AI67" i="5"/>
  <c r="AH67" i="5"/>
  <c r="AF67" i="5"/>
  <c r="AM67" i="5" s="1"/>
  <c r="AE67" i="5"/>
  <c r="Y67" i="5"/>
  <c r="AA67" i="5" s="1"/>
  <c r="X67" i="5"/>
  <c r="AL67" i="5" s="1"/>
  <c r="BF67" i="5" s="1"/>
  <c r="U67" i="5"/>
  <c r="R67" i="5"/>
  <c r="T67" i="5" s="1"/>
  <c r="Q67" i="5"/>
  <c r="P67" i="5"/>
  <c r="N67" i="5"/>
  <c r="K67" i="5"/>
  <c r="J67" i="5"/>
  <c r="L67" i="5" s="1"/>
  <c r="F67" i="5"/>
  <c r="I67" i="5" s="1"/>
  <c r="E67" i="5"/>
  <c r="C67" i="5"/>
  <c r="B67" i="5"/>
  <c r="D67" i="5" s="1"/>
  <c r="A67" i="5"/>
  <c r="CB66" i="5"/>
  <c r="CA66" i="5"/>
  <c r="BZ66" i="5"/>
  <c r="BX66" i="5" s="1"/>
  <c r="BY66" i="5"/>
  <c r="BW66" i="5"/>
  <c r="BS66" i="5"/>
  <c r="BV66" i="5" s="1"/>
  <c r="BR66" i="5"/>
  <c r="BU66" i="5" s="1"/>
  <c r="BP66" i="5"/>
  <c r="BO66" i="5"/>
  <c r="BM66" i="5" s="1"/>
  <c r="BN66" i="5"/>
  <c r="BL66" i="5"/>
  <c r="BK66" i="5"/>
  <c r="BI66" i="5" s="1"/>
  <c r="BJ66" i="5"/>
  <c r="BH66" i="5"/>
  <c r="BD66" i="5"/>
  <c r="BC66" i="5"/>
  <c r="BA66" i="5"/>
  <c r="AY66" i="5" s="1"/>
  <c r="BB66" i="5" s="1"/>
  <c r="AZ66" i="5"/>
  <c r="AX66" i="5"/>
  <c r="AW66" i="5"/>
  <c r="AV66" i="5"/>
  <c r="AU66" i="5"/>
  <c r="AT66" i="5"/>
  <c r="AS66" i="5"/>
  <c r="AQ66" i="5" s="1"/>
  <c r="AR66" i="5"/>
  <c r="AP66" i="5"/>
  <c r="AM66" i="5"/>
  <c r="BG66" i="5" s="1"/>
  <c r="AL66" i="5"/>
  <c r="BF66" i="5" s="1"/>
  <c r="AJ66" i="5"/>
  <c r="AI66" i="5"/>
  <c r="AF66" i="5"/>
  <c r="AH66" i="5" s="1"/>
  <c r="AE66" i="5"/>
  <c r="AD66" i="5"/>
  <c r="AA66" i="5"/>
  <c r="Y66" i="5"/>
  <c r="W66" i="5" s="1"/>
  <c r="X66" i="5"/>
  <c r="U66" i="5"/>
  <c r="T66" i="5"/>
  <c r="S66" i="5"/>
  <c r="R66" i="5"/>
  <c r="P66" i="5" s="1"/>
  <c r="Q66" i="5"/>
  <c r="N66" i="5"/>
  <c r="J66" i="5"/>
  <c r="L66" i="5" s="1"/>
  <c r="I66" i="5"/>
  <c r="H66" i="5"/>
  <c r="F66" i="5"/>
  <c r="G66" i="5" s="1"/>
  <c r="B66" i="5"/>
  <c r="E66" i="5" s="1"/>
  <c r="A66" i="5"/>
  <c r="CB65" i="5"/>
  <c r="CA65" i="5"/>
  <c r="BZ65" i="5"/>
  <c r="BX65" i="5" s="1"/>
  <c r="BY65" i="5"/>
  <c r="BW65" i="5"/>
  <c r="BV65" i="5"/>
  <c r="BU65" i="5"/>
  <c r="BS65" i="5"/>
  <c r="BR65" i="5"/>
  <c r="BQ65" i="5" s="1"/>
  <c r="BT65" i="5" s="1"/>
  <c r="BP65" i="5"/>
  <c r="BO65" i="5"/>
  <c r="BN65" i="5"/>
  <c r="BM65" i="5"/>
  <c r="BL65" i="5"/>
  <c r="BK65" i="5"/>
  <c r="BJ65" i="5"/>
  <c r="BI65" i="5" s="1"/>
  <c r="BH65" i="5"/>
  <c r="BA65" i="5"/>
  <c r="AZ65" i="5"/>
  <c r="BC65" i="5" s="1"/>
  <c r="AY65" i="5"/>
  <c r="AX65" i="5"/>
  <c r="AW65" i="5"/>
  <c r="BD65" i="5" s="1"/>
  <c r="AV65" i="5"/>
  <c r="AT65" i="5"/>
  <c r="AS65" i="5"/>
  <c r="AR65" i="5"/>
  <c r="AQ65" i="5"/>
  <c r="AP65" i="5"/>
  <c r="AJ65" i="5"/>
  <c r="AI65" i="5"/>
  <c r="AH65" i="5"/>
  <c r="AG65" i="5"/>
  <c r="AF65" i="5"/>
  <c r="AD65" i="5" s="1"/>
  <c r="AE65" i="5"/>
  <c r="Y65" i="5"/>
  <c r="AA65" i="5" s="1"/>
  <c r="X65" i="5"/>
  <c r="AL65" i="5" s="1"/>
  <c r="BF65" i="5" s="1"/>
  <c r="W65" i="5"/>
  <c r="U65" i="5"/>
  <c r="S65" i="5"/>
  <c r="R65" i="5"/>
  <c r="T65" i="5" s="1"/>
  <c r="Q65" i="5"/>
  <c r="P65" i="5"/>
  <c r="N65" i="5"/>
  <c r="L65" i="5"/>
  <c r="K65" i="5"/>
  <c r="J65" i="5"/>
  <c r="F65" i="5"/>
  <c r="I65" i="5" s="1"/>
  <c r="E65" i="5"/>
  <c r="D65" i="5"/>
  <c r="C65" i="5"/>
  <c r="B65" i="5"/>
  <c r="A65" i="5"/>
  <c r="CB64" i="5"/>
  <c r="CA64" i="5"/>
  <c r="BZ64" i="5"/>
  <c r="BY64" i="5"/>
  <c r="BX64" i="5"/>
  <c r="BW64" i="5"/>
  <c r="BS64" i="5"/>
  <c r="BV64" i="5" s="1"/>
  <c r="BR64" i="5"/>
  <c r="BU64" i="5" s="1"/>
  <c r="BQ64" i="5"/>
  <c r="BT64" i="5" s="1"/>
  <c r="BP64" i="5"/>
  <c r="BO64" i="5"/>
  <c r="BM64" i="5" s="1"/>
  <c r="BN64" i="5"/>
  <c r="BL64" i="5"/>
  <c r="BK64" i="5"/>
  <c r="BJ64" i="5"/>
  <c r="BI64" i="5"/>
  <c r="BH64" i="5"/>
  <c r="BA64" i="5"/>
  <c r="BD64" i="5" s="1"/>
  <c r="AZ64" i="5"/>
  <c r="BC64" i="5" s="1"/>
  <c r="AX64" i="5"/>
  <c r="AW64" i="5"/>
  <c r="AU64" i="5" s="1"/>
  <c r="AV64" i="5"/>
  <c r="AT64" i="5"/>
  <c r="AS64" i="5"/>
  <c r="AQ64" i="5" s="1"/>
  <c r="AR64" i="5"/>
  <c r="AP64" i="5"/>
  <c r="AL64" i="5"/>
  <c r="BF64" i="5" s="1"/>
  <c r="AJ64" i="5"/>
  <c r="AI64" i="5"/>
  <c r="AG64" i="5"/>
  <c r="AF64" i="5"/>
  <c r="AH64" i="5" s="1"/>
  <c r="AE64" i="5"/>
  <c r="AD64" i="5"/>
  <c r="AB64" i="5"/>
  <c r="AA64" i="5"/>
  <c r="Z64" i="5"/>
  <c r="Y64" i="5"/>
  <c r="X64" i="5"/>
  <c r="W64" i="5" s="1"/>
  <c r="U64" i="5"/>
  <c r="R64" i="5"/>
  <c r="AM64" i="5" s="1"/>
  <c r="Q64" i="5"/>
  <c r="N64" i="5"/>
  <c r="J64" i="5"/>
  <c r="L64" i="5" s="1"/>
  <c r="I64" i="5"/>
  <c r="H64" i="5"/>
  <c r="G64" i="5"/>
  <c r="F64" i="5"/>
  <c r="B64" i="5"/>
  <c r="E64" i="5" s="1"/>
  <c r="A64" i="5"/>
  <c r="CB63" i="5"/>
  <c r="CA63" i="5"/>
  <c r="BZ63" i="5"/>
  <c r="BX63" i="5" s="1"/>
  <c r="BY63" i="5"/>
  <c r="BW63" i="5"/>
  <c r="BV63" i="5"/>
  <c r="BU63" i="5"/>
  <c r="BS63" i="5"/>
  <c r="BQ63" i="5" s="1"/>
  <c r="BT63" i="5" s="1"/>
  <c r="BR63" i="5"/>
  <c r="BP63" i="5"/>
  <c r="BO63" i="5"/>
  <c r="BN63" i="5"/>
  <c r="BM63" i="5"/>
  <c r="BL63" i="5"/>
  <c r="BK63" i="5"/>
  <c r="BI63" i="5" s="1"/>
  <c r="BJ63" i="5"/>
  <c r="BH63" i="5"/>
  <c r="BD63" i="5"/>
  <c r="BA63" i="5"/>
  <c r="AY63" i="5" s="1"/>
  <c r="AZ63" i="5"/>
  <c r="AX63" i="5"/>
  <c r="AW63" i="5"/>
  <c r="AU63" i="5" s="1"/>
  <c r="AV63" i="5"/>
  <c r="BC63" i="5" s="1"/>
  <c r="AT63" i="5"/>
  <c r="AS63" i="5"/>
  <c r="AQ63" i="5" s="1"/>
  <c r="AR63" i="5"/>
  <c r="AP63" i="5"/>
  <c r="AJ63" i="5"/>
  <c r="AI63" i="5"/>
  <c r="AF63" i="5"/>
  <c r="AH63" i="5" s="1"/>
  <c r="AE63" i="5"/>
  <c r="AL63" i="5" s="1"/>
  <c r="BF63" i="5" s="1"/>
  <c r="AB63" i="5"/>
  <c r="Y63" i="5"/>
  <c r="AA63" i="5" s="1"/>
  <c r="X63" i="5"/>
  <c r="W63" i="5"/>
  <c r="U63" i="5"/>
  <c r="T63" i="5"/>
  <c r="S63" i="5"/>
  <c r="R63" i="5"/>
  <c r="Q63" i="5"/>
  <c r="P63" i="5"/>
  <c r="N63" i="5"/>
  <c r="L63" i="5"/>
  <c r="K63" i="5"/>
  <c r="J63" i="5"/>
  <c r="F63" i="5"/>
  <c r="I63" i="5" s="1"/>
  <c r="E63" i="5"/>
  <c r="D63" i="5"/>
  <c r="C63" i="5"/>
  <c r="B63" i="5"/>
  <c r="A63" i="5"/>
  <c r="CB62" i="5"/>
  <c r="CA62" i="5"/>
  <c r="BZ62" i="5"/>
  <c r="BY62" i="5"/>
  <c r="BX62" i="5"/>
  <c r="BW62" i="5"/>
  <c r="BS62" i="5"/>
  <c r="BV62" i="5" s="1"/>
  <c r="BR62" i="5"/>
  <c r="BU62" i="5" s="1"/>
  <c r="BQ62" i="5"/>
  <c r="BP62" i="5"/>
  <c r="BO62" i="5"/>
  <c r="BM62" i="5" s="1"/>
  <c r="BN62" i="5"/>
  <c r="BL62" i="5"/>
  <c r="BK62" i="5"/>
  <c r="BJ62" i="5"/>
  <c r="BI62" i="5"/>
  <c r="BH62" i="5"/>
  <c r="BA62" i="5"/>
  <c r="BD62" i="5" s="1"/>
  <c r="AZ62" i="5"/>
  <c r="BC62" i="5" s="1"/>
  <c r="AX62" i="5"/>
  <c r="AW62" i="5"/>
  <c r="AU62" i="5" s="1"/>
  <c r="AV62" i="5"/>
  <c r="AT62" i="5"/>
  <c r="AS62" i="5"/>
  <c r="AR62" i="5"/>
  <c r="AP62" i="5"/>
  <c r="AL62" i="5"/>
  <c r="BF62" i="5" s="1"/>
  <c r="AJ62" i="5"/>
  <c r="AI62" i="5"/>
  <c r="AH62" i="5"/>
  <c r="AG62" i="5"/>
  <c r="AF62" i="5"/>
  <c r="AE62" i="5"/>
  <c r="AD62" i="5"/>
  <c r="AB62" i="5"/>
  <c r="AA62" i="5"/>
  <c r="Z62" i="5"/>
  <c r="Y62" i="5"/>
  <c r="W62" i="5" s="1"/>
  <c r="X62" i="5"/>
  <c r="U62" i="5"/>
  <c r="R62" i="5"/>
  <c r="Q62" i="5"/>
  <c r="N62" i="5"/>
  <c r="J62" i="5"/>
  <c r="L62" i="5" s="1"/>
  <c r="I62" i="5"/>
  <c r="H62" i="5"/>
  <c r="G62" i="5"/>
  <c r="F62" i="5"/>
  <c r="B62" i="5"/>
  <c r="E62" i="5" s="1"/>
  <c r="A62" i="5"/>
  <c r="CB61" i="5"/>
  <c r="CA61" i="5"/>
  <c r="BZ61" i="5"/>
  <c r="BX61" i="5" s="1"/>
  <c r="BY61" i="5"/>
  <c r="BW61" i="5"/>
  <c r="BV61" i="5"/>
  <c r="BU61" i="5"/>
  <c r="BS61" i="5"/>
  <c r="BQ61" i="5" s="1"/>
  <c r="BR61" i="5"/>
  <c r="BP61" i="5"/>
  <c r="BO61" i="5"/>
  <c r="BN61" i="5"/>
  <c r="BM61" i="5"/>
  <c r="BL61" i="5"/>
  <c r="BK61" i="5"/>
  <c r="BI61" i="5" s="1"/>
  <c r="BT61" i="5" s="1"/>
  <c r="BJ61" i="5"/>
  <c r="BH61" i="5"/>
  <c r="BD61" i="5"/>
  <c r="BA61" i="5"/>
  <c r="AY61" i="5" s="1"/>
  <c r="AZ61" i="5"/>
  <c r="AX61" i="5"/>
  <c r="AW61" i="5"/>
  <c r="AV61" i="5"/>
  <c r="BC61" i="5" s="1"/>
  <c r="AT61" i="5"/>
  <c r="AS61" i="5"/>
  <c r="AQ61" i="5" s="1"/>
  <c r="AR61" i="5"/>
  <c r="AP61" i="5"/>
  <c r="AJ61" i="5"/>
  <c r="AI61" i="5"/>
  <c r="AF61" i="5"/>
  <c r="AE61" i="5"/>
  <c r="AL61" i="5" s="1"/>
  <c r="AB61" i="5"/>
  <c r="Y61" i="5"/>
  <c r="AA61" i="5" s="1"/>
  <c r="X61" i="5"/>
  <c r="W61" i="5"/>
  <c r="U61" i="5"/>
  <c r="T61" i="5"/>
  <c r="S61" i="5"/>
  <c r="R61" i="5"/>
  <c r="Q61" i="5"/>
  <c r="P61" i="5"/>
  <c r="N61" i="5"/>
  <c r="L61" i="5"/>
  <c r="K61" i="5"/>
  <c r="J61" i="5"/>
  <c r="F61" i="5"/>
  <c r="I61" i="5" s="1"/>
  <c r="E61" i="5"/>
  <c r="D61" i="5"/>
  <c r="C61" i="5"/>
  <c r="B61" i="5"/>
  <c r="A61" i="5"/>
  <c r="CB60" i="5"/>
  <c r="CA60" i="5"/>
  <c r="BZ60" i="5"/>
  <c r="BY60" i="5"/>
  <c r="BX60" i="5"/>
  <c r="BW60" i="5"/>
  <c r="BS60" i="5"/>
  <c r="BR60" i="5"/>
  <c r="BU60" i="5" s="1"/>
  <c r="BQ60" i="5"/>
  <c r="BP60" i="5"/>
  <c r="BO60" i="5"/>
  <c r="BM60" i="5" s="1"/>
  <c r="BN60" i="5"/>
  <c r="BL60" i="5"/>
  <c r="BK60" i="5"/>
  <c r="BJ60" i="5"/>
  <c r="BI60" i="5"/>
  <c r="BH60" i="5"/>
  <c r="BA60" i="5"/>
  <c r="BD60" i="5" s="1"/>
  <c r="AZ60" i="5"/>
  <c r="BC60" i="5" s="1"/>
  <c r="AX60" i="5"/>
  <c r="AW60" i="5"/>
  <c r="AU60" i="5" s="1"/>
  <c r="AV60" i="5"/>
  <c r="AT60" i="5"/>
  <c r="AS60" i="5"/>
  <c r="AR60" i="5"/>
  <c r="AP60" i="5"/>
  <c r="AL60" i="5"/>
  <c r="BF60" i="5" s="1"/>
  <c r="AJ60" i="5"/>
  <c r="AI60" i="5"/>
  <c r="AH60" i="5"/>
  <c r="AG60" i="5"/>
  <c r="AF60" i="5"/>
  <c r="AE60" i="5"/>
  <c r="AD60" i="5"/>
  <c r="AB60" i="5"/>
  <c r="AA60" i="5"/>
  <c r="Z60" i="5"/>
  <c r="Y60" i="5"/>
  <c r="W60" i="5" s="1"/>
  <c r="X60" i="5"/>
  <c r="U60" i="5"/>
  <c r="R60" i="5"/>
  <c r="Q60" i="5"/>
  <c r="N60" i="5"/>
  <c r="J60" i="5"/>
  <c r="L60" i="5" s="1"/>
  <c r="I60" i="5"/>
  <c r="H60" i="5"/>
  <c r="G60" i="5"/>
  <c r="F60" i="5"/>
  <c r="B60" i="5"/>
  <c r="E60" i="5" s="1"/>
  <c r="A60" i="5"/>
  <c r="CB59" i="5"/>
  <c r="CA59" i="5"/>
  <c r="BZ59" i="5"/>
  <c r="BX59" i="5" s="1"/>
  <c r="BY59" i="5"/>
  <c r="BW59" i="5"/>
  <c r="BV59" i="5"/>
  <c r="BU59" i="5"/>
  <c r="BS59" i="5"/>
  <c r="BQ59" i="5" s="1"/>
  <c r="BT59" i="5" s="1"/>
  <c r="BR59" i="5"/>
  <c r="BP59" i="5"/>
  <c r="BO59" i="5"/>
  <c r="BN59" i="5"/>
  <c r="BM59" i="5"/>
  <c r="BL59" i="5"/>
  <c r="BK59" i="5"/>
  <c r="BI59" i="5" s="1"/>
  <c r="BJ59" i="5"/>
  <c r="BH59" i="5"/>
  <c r="BD59" i="5"/>
  <c r="BA59" i="5"/>
  <c r="AY59" i="5" s="1"/>
  <c r="AZ59" i="5"/>
  <c r="AX59" i="5"/>
  <c r="AW59" i="5"/>
  <c r="AV59" i="5"/>
  <c r="BC59" i="5" s="1"/>
  <c r="AT59" i="5"/>
  <c r="AS59" i="5"/>
  <c r="AQ59" i="5" s="1"/>
  <c r="AR59" i="5"/>
  <c r="AP59" i="5"/>
  <c r="AJ59" i="5"/>
  <c r="AI59" i="5"/>
  <c r="AF59" i="5"/>
  <c r="AE59" i="5"/>
  <c r="AL59" i="5" s="1"/>
  <c r="BF59" i="5" s="1"/>
  <c r="AB59" i="5"/>
  <c r="Y59" i="5"/>
  <c r="AA59" i="5" s="1"/>
  <c r="X59" i="5"/>
  <c r="W59" i="5"/>
  <c r="U59" i="5"/>
  <c r="T59" i="5"/>
  <c r="S59" i="5"/>
  <c r="R59" i="5"/>
  <c r="Q59" i="5"/>
  <c r="P59" i="5"/>
  <c r="N59" i="5"/>
  <c r="L59" i="5"/>
  <c r="K59" i="5"/>
  <c r="J59" i="5"/>
  <c r="F59" i="5"/>
  <c r="I59" i="5" s="1"/>
  <c r="E59" i="5"/>
  <c r="D59" i="5"/>
  <c r="C59" i="5"/>
  <c r="B59" i="5"/>
  <c r="A59" i="5"/>
  <c r="CB58" i="5"/>
  <c r="CA58" i="5"/>
  <c r="BZ58" i="5"/>
  <c r="BY58" i="5"/>
  <c r="BX58" i="5"/>
  <c r="BW58" i="5"/>
  <c r="BS58" i="5"/>
  <c r="BR58" i="5"/>
  <c r="BU58" i="5" s="1"/>
  <c r="BQ58" i="5"/>
  <c r="BP58" i="5"/>
  <c r="BO58" i="5"/>
  <c r="BM58" i="5" s="1"/>
  <c r="BN58" i="5"/>
  <c r="BL58" i="5"/>
  <c r="BK58" i="5"/>
  <c r="BJ58" i="5"/>
  <c r="BI58" i="5"/>
  <c r="BH58" i="5"/>
  <c r="BA58" i="5"/>
  <c r="BD58" i="5" s="1"/>
  <c r="AZ58" i="5"/>
  <c r="BC58" i="5" s="1"/>
  <c r="AX58" i="5"/>
  <c r="AW58" i="5"/>
  <c r="AU58" i="5" s="1"/>
  <c r="AV58" i="5"/>
  <c r="AT58" i="5"/>
  <c r="AS58" i="5"/>
  <c r="AQ58" i="5" s="1"/>
  <c r="AR58" i="5"/>
  <c r="AP58" i="5"/>
  <c r="AL58" i="5"/>
  <c r="BF58" i="5" s="1"/>
  <c r="AJ58" i="5"/>
  <c r="AI58" i="5"/>
  <c r="AH58" i="5"/>
  <c r="AG58" i="5"/>
  <c r="AF58" i="5"/>
  <c r="AE58" i="5"/>
  <c r="AD58" i="5"/>
  <c r="AB58" i="5"/>
  <c r="AA58" i="5"/>
  <c r="Z58" i="5"/>
  <c r="Y58" i="5"/>
  <c r="W58" i="5" s="1"/>
  <c r="X58" i="5"/>
  <c r="U58" i="5"/>
  <c r="R58" i="5"/>
  <c r="Q58" i="5"/>
  <c r="N58" i="5"/>
  <c r="J58" i="5"/>
  <c r="L58" i="5" s="1"/>
  <c r="I58" i="5"/>
  <c r="H58" i="5"/>
  <c r="G58" i="5"/>
  <c r="F58" i="5"/>
  <c r="B58" i="5"/>
  <c r="E58" i="5" s="1"/>
  <c r="A58" i="5"/>
  <c r="CB57" i="5"/>
  <c r="CA57" i="5"/>
  <c r="BZ57" i="5"/>
  <c r="BX57" i="5" s="1"/>
  <c r="BY57" i="5"/>
  <c r="BW57" i="5"/>
  <c r="BV57" i="5"/>
  <c r="BU57" i="5"/>
  <c r="BS57" i="5"/>
  <c r="BQ57" i="5" s="1"/>
  <c r="BT57" i="5" s="1"/>
  <c r="BR57" i="5"/>
  <c r="BP57" i="5"/>
  <c r="BO57" i="5"/>
  <c r="BN57" i="5"/>
  <c r="BM57" i="5"/>
  <c r="BL57" i="5"/>
  <c r="BK57" i="5"/>
  <c r="BI57" i="5" s="1"/>
  <c r="BJ57" i="5"/>
  <c r="BH57" i="5"/>
  <c r="BD57" i="5"/>
  <c r="BA57" i="5"/>
  <c r="AY57" i="5" s="1"/>
  <c r="AZ57" i="5"/>
  <c r="AX57" i="5"/>
  <c r="AW57" i="5"/>
  <c r="AV57" i="5"/>
  <c r="BC57" i="5" s="1"/>
  <c r="AT57" i="5"/>
  <c r="AS57" i="5"/>
  <c r="AQ57" i="5" s="1"/>
  <c r="AR57" i="5"/>
  <c r="AP57" i="5"/>
  <c r="AJ57" i="5"/>
  <c r="AI57" i="5"/>
  <c r="AG57" i="5"/>
  <c r="AF57" i="5"/>
  <c r="AE57" i="5"/>
  <c r="AL57" i="5" s="1"/>
  <c r="AB57" i="5"/>
  <c r="Y57" i="5"/>
  <c r="AA57" i="5" s="1"/>
  <c r="X57" i="5"/>
  <c r="W57" i="5"/>
  <c r="U57" i="5"/>
  <c r="T57" i="5"/>
  <c r="S57" i="5"/>
  <c r="R57" i="5"/>
  <c r="Q57" i="5"/>
  <c r="P57" i="5"/>
  <c r="N57" i="5"/>
  <c r="L57" i="5"/>
  <c r="K57" i="5"/>
  <c r="J57" i="5"/>
  <c r="F57" i="5"/>
  <c r="I57" i="5" s="1"/>
  <c r="E57" i="5"/>
  <c r="D57" i="5"/>
  <c r="C57" i="5"/>
  <c r="B57" i="5"/>
  <c r="A57" i="5"/>
  <c r="CB56" i="5"/>
  <c r="CA56" i="5"/>
  <c r="BZ56" i="5"/>
  <c r="BY56" i="5"/>
  <c r="BX56" i="5" s="1"/>
  <c r="BW56" i="5"/>
  <c r="BS56" i="5"/>
  <c r="BR56" i="5"/>
  <c r="BU56" i="5" s="1"/>
  <c r="BQ56" i="5"/>
  <c r="BT56" i="5" s="1"/>
  <c r="BP56" i="5"/>
  <c r="BO56" i="5"/>
  <c r="BM56" i="5" s="1"/>
  <c r="BN56" i="5"/>
  <c r="BL56" i="5"/>
  <c r="BK56" i="5"/>
  <c r="BJ56" i="5"/>
  <c r="BI56" i="5"/>
  <c r="BH56" i="5"/>
  <c r="BA56" i="5"/>
  <c r="AZ56" i="5"/>
  <c r="AX56" i="5"/>
  <c r="AW56" i="5"/>
  <c r="AU56" i="5" s="1"/>
  <c r="AV56" i="5"/>
  <c r="AT56" i="5"/>
  <c r="AS56" i="5"/>
  <c r="AR56" i="5"/>
  <c r="AP56" i="5"/>
  <c r="AL56" i="5"/>
  <c r="AJ56" i="5"/>
  <c r="AI56" i="5"/>
  <c r="AH56" i="5"/>
  <c r="AG56" i="5"/>
  <c r="AF56" i="5"/>
  <c r="AM56" i="5" s="1"/>
  <c r="AK56" i="5" s="1"/>
  <c r="AE56" i="5"/>
  <c r="AD56" i="5"/>
  <c r="AB56" i="5"/>
  <c r="AA56" i="5"/>
  <c r="Z56" i="5"/>
  <c r="Y56" i="5"/>
  <c r="W56" i="5" s="1"/>
  <c r="X56" i="5"/>
  <c r="U56" i="5"/>
  <c r="S56" i="5"/>
  <c r="R56" i="5"/>
  <c r="Q56" i="5"/>
  <c r="N56" i="5"/>
  <c r="J56" i="5"/>
  <c r="L56" i="5" s="1"/>
  <c r="I56" i="5"/>
  <c r="H56" i="5"/>
  <c r="G56" i="5"/>
  <c r="F56" i="5"/>
  <c r="B56" i="5"/>
  <c r="E56" i="5" s="1"/>
  <c r="A56" i="5"/>
  <c r="CB55" i="5"/>
  <c r="CA55" i="5"/>
  <c r="BZ55" i="5"/>
  <c r="BX55" i="5" s="1"/>
  <c r="BY55" i="5"/>
  <c r="BW55" i="5"/>
  <c r="BV55" i="5"/>
  <c r="BU55" i="5"/>
  <c r="BT55" i="5"/>
  <c r="BS55" i="5"/>
  <c r="BQ55" i="5" s="1"/>
  <c r="BR55" i="5"/>
  <c r="BP55" i="5"/>
  <c r="BO55" i="5"/>
  <c r="BN55" i="5"/>
  <c r="BM55" i="5"/>
  <c r="BL55" i="5"/>
  <c r="BK55" i="5"/>
  <c r="BI55" i="5" s="1"/>
  <c r="BJ55" i="5"/>
  <c r="BH55" i="5"/>
  <c r="BA55" i="5"/>
  <c r="AY55" i="5" s="1"/>
  <c r="AZ55" i="5"/>
  <c r="AX55" i="5"/>
  <c r="AW55" i="5"/>
  <c r="AU55" i="5" s="1"/>
  <c r="AV55" i="5"/>
  <c r="BC55" i="5" s="1"/>
  <c r="AT55" i="5"/>
  <c r="AS55" i="5"/>
  <c r="AQ55" i="5" s="1"/>
  <c r="AR55" i="5"/>
  <c r="AP55" i="5"/>
  <c r="AJ55" i="5"/>
  <c r="AI55" i="5"/>
  <c r="AF55" i="5"/>
  <c r="AE55" i="5"/>
  <c r="AB55" i="5"/>
  <c r="Y55" i="5"/>
  <c r="AA55" i="5" s="1"/>
  <c r="X55" i="5"/>
  <c r="W55" i="5"/>
  <c r="U55" i="5"/>
  <c r="T55" i="5"/>
  <c r="S55" i="5"/>
  <c r="R55" i="5"/>
  <c r="Q55" i="5"/>
  <c r="P55" i="5"/>
  <c r="N55" i="5"/>
  <c r="L55" i="5"/>
  <c r="K55" i="5"/>
  <c r="J55" i="5"/>
  <c r="F55" i="5"/>
  <c r="I55" i="5" s="1"/>
  <c r="E55" i="5"/>
  <c r="D55" i="5"/>
  <c r="C55" i="5"/>
  <c r="B55" i="5"/>
  <c r="A55" i="5"/>
  <c r="CB54" i="5"/>
  <c r="CA54" i="5"/>
  <c r="BZ54" i="5"/>
  <c r="BY54" i="5"/>
  <c r="BX54" i="5"/>
  <c r="BW54" i="5"/>
  <c r="BS54" i="5"/>
  <c r="BR54" i="5"/>
  <c r="BU54" i="5" s="1"/>
  <c r="BQ54" i="5"/>
  <c r="BP54" i="5"/>
  <c r="BO54" i="5"/>
  <c r="BM54" i="5" s="1"/>
  <c r="BN54" i="5"/>
  <c r="BL54" i="5"/>
  <c r="BK54" i="5"/>
  <c r="BJ54" i="5"/>
  <c r="BI54" i="5"/>
  <c r="BH54" i="5"/>
  <c r="BA54" i="5"/>
  <c r="AZ54" i="5"/>
  <c r="BC54" i="5" s="1"/>
  <c r="AX54" i="5"/>
  <c r="AW54" i="5"/>
  <c r="AU54" i="5" s="1"/>
  <c r="AV54" i="5"/>
  <c r="AT54" i="5"/>
  <c r="AS54" i="5"/>
  <c r="AQ54" i="5" s="1"/>
  <c r="AR54" i="5"/>
  <c r="AP54" i="5"/>
  <c r="AJ54" i="5"/>
  <c r="AI54" i="5"/>
  <c r="AH54" i="5"/>
  <c r="AG54" i="5"/>
  <c r="AF54" i="5"/>
  <c r="AE54" i="5"/>
  <c r="AD54" i="5"/>
  <c r="AA54" i="5"/>
  <c r="Z54" i="5"/>
  <c r="Y54" i="5"/>
  <c r="W54" i="5" s="1"/>
  <c r="X54" i="5"/>
  <c r="U54" i="5"/>
  <c r="R54" i="5"/>
  <c r="Q54" i="5"/>
  <c r="AL54" i="5" s="1"/>
  <c r="N54" i="5"/>
  <c r="L54" i="5"/>
  <c r="K54" i="5"/>
  <c r="J54" i="5"/>
  <c r="I54" i="5"/>
  <c r="H54" i="5"/>
  <c r="G54" i="5"/>
  <c r="F54" i="5"/>
  <c r="E54" i="5"/>
  <c r="D54" i="5"/>
  <c r="C54" i="5"/>
  <c r="B54" i="5"/>
  <c r="A54" i="5"/>
  <c r="CB53" i="5"/>
  <c r="CA53" i="5"/>
  <c r="BZ53" i="5"/>
  <c r="BX53" i="5" s="1"/>
  <c r="BY53" i="5"/>
  <c r="BW53" i="5"/>
  <c r="BU53" i="5"/>
  <c r="BS53" i="5"/>
  <c r="BR53" i="5"/>
  <c r="BP53" i="5"/>
  <c r="BO53" i="5"/>
  <c r="BN53" i="5"/>
  <c r="BM53" i="5"/>
  <c r="BL53" i="5"/>
  <c r="BK53" i="5"/>
  <c r="BI53" i="5" s="1"/>
  <c r="BJ53" i="5"/>
  <c r="BH53" i="5"/>
  <c r="BD53" i="5"/>
  <c r="BA53" i="5"/>
  <c r="AY53" i="5" s="1"/>
  <c r="AZ53" i="5"/>
  <c r="AX53" i="5"/>
  <c r="AW53" i="5"/>
  <c r="AV53" i="5"/>
  <c r="BC53" i="5" s="1"/>
  <c r="AU53" i="5"/>
  <c r="AT53" i="5"/>
  <c r="AS53" i="5"/>
  <c r="AQ53" i="5" s="1"/>
  <c r="AR53" i="5"/>
  <c r="AP53" i="5"/>
  <c r="AJ53" i="5"/>
  <c r="AI53" i="5"/>
  <c r="AF53" i="5"/>
  <c r="AE53" i="5"/>
  <c r="AL53" i="5" s="1"/>
  <c r="AA53" i="5"/>
  <c r="Z53" i="5"/>
  <c r="Y53" i="5"/>
  <c r="X53" i="5"/>
  <c r="W53" i="5"/>
  <c r="U53" i="5"/>
  <c r="T53" i="5"/>
  <c r="S53" i="5"/>
  <c r="R53" i="5"/>
  <c r="P53" i="5" s="1"/>
  <c r="Q53" i="5"/>
  <c r="N53" i="5"/>
  <c r="K53" i="5"/>
  <c r="J53" i="5"/>
  <c r="L53" i="5" s="1"/>
  <c r="I53" i="5"/>
  <c r="H53" i="5"/>
  <c r="G53" i="5"/>
  <c r="F53" i="5"/>
  <c r="B53" i="5"/>
  <c r="A53" i="5"/>
  <c r="CB52" i="5"/>
  <c r="CA52" i="5"/>
  <c r="BZ52" i="5"/>
  <c r="BY52" i="5"/>
  <c r="BX52" i="5"/>
  <c r="BW52" i="5"/>
  <c r="BS52" i="5"/>
  <c r="BQ52" i="5" s="1"/>
  <c r="BR52" i="5"/>
  <c r="BP52" i="5"/>
  <c r="BO52" i="5"/>
  <c r="BM52" i="5" s="1"/>
  <c r="BN52" i="5"/>
  <c r="BU52" i="5" s="1"/>
  <c r="BL52" i="5"/>
  <c r="BK52" i="5"/>
  <c r="BI52" i="5" s="1"/>
  <c r="BJ52" i="5"/>
  <c r="BH52" i="5"/>
  <c r="BA52" i="5"/>
  <c r="AZ52" i="5"/>
  <c r="BC52" i="5" s="1"/>
  <c r="AY52" i="5"/>
  <c r="AX52" i="5"/>
  <c r="AW52" i="5"/>
  <c r="AU52" i="5" s="1"/>
  <c r="AV52" i="5"/>
  <c r="AT52" i="5"/>
  <c r="AS52" i="5"/>
  <c r="AR52" i="5"/>
  <c r="AQ52" i="5"/>
  <c r="AP52" i="5"/>
  <c r="AJ52" i="5"/>
  <c r="AI52" i="5"/>
  <c r="AH52" i="5"/>
  <c r="AG52" i="5"/>
  <c r="AF52" i="5"/>
  <c r="AM52" i="5" s="1"/>
  <c r="AE52" i="5"/>
  <c r="AL52" i="5" s="1"/>
  <c r="BF52" i="5" s="1"/>
  <c r="Y52" i="5"/>
  <c r="X52" i="5"/>
  <c r="U52" i="5"/>
  <c r="T52" i="5"/>
  <c r="S52" i="5"/>
  <c r="R52" i="5"/>
  <c r="Q52" i="5"/>
  <c r="P52" i="5"/>
  <c r="N52" i="5"/>
  <c r="L52" i="5"/>
  <c r="K52" i="5"/>
  <c r="J52" i="5"/>
  <c r="F52" i="5"/>
  <c r="E52" i="5"/>
  <c r="D52" i="5"/>
  <c r="C52" i="5"/>
  <c r="B52" i="5"/>
  <c r="A52" i="5"/>
  <c r="CB51" i="5"/>
  <c r="CA51" i="5"/>
  <c r="BZ51" i="5"/>
  <c r="BX51" i="5" s="1"/>
  <c r="BY51" i="5"/>
  <c r="BW51" i="5"/>
  <c r="BS51" i="5"/>
  <c r="BV51" i="5" s="1"/>
  <c r="BR51" i="5"/>
  <c r="BP51" i="5"/>
  <c r="BO51" i="5"/>
  <c r="BM51" i="5" s="1"/>
  <c r="BN51" i="5"/>
  <c r="BL51" i="5"/>
  <c r="BK51" i="5"/>
  <c r="BJ51" i="5"/>
  <c r="BI51" i="5" s="1"/>
  <c r="BH51" i="5"/>
  <c r="BC51" i="5"/>
  <c r="BA51" i="5"/>
  <c r="AZ51" i="5"/>
  <c r="AX51" i="5"/>
  <c r="AW51" i="5"/>
  <c r="AV51" i="5"/>
  <c r="AU51" i="5"/>
  <c r="AT51" i="5"/>
  <c r="AS51" i="5"/>
  <c r="AQ51" i="5" s="1"/>
  <c r="AR51" i="5"/>
  <c r="AP51" i="5"/>
  <c r="AM51" i="5"/>
  <c r="AO51" i="5" s="1"/>
  <c r="AL51" i="5"/>
  <c r="BF51" i="5" s="1"/>
  <c r="AJ51" i="5"/>
  <c r="AF51" i="5"/>
  <c r="AE51" i="5"/>
  <c r="AD51" i="5"/>
  <c r="AC51" i="5"/>
  <c r="AB51" i="5"/>
  <c r="Y51" i="5"/>
  <c r="X51" i="5"/>
  <c r="W51" i="5"/>
  <c r="U51" i="5"/>
  <c r="V51" i="5" s="1"/>
  <c r="T51" i="5"/>
  <c r="S51" i="5"/>
  <c r="R51" i="5"/>
  <c r="P51" i="5" s="1"/>
  <c r="Q51" i="5"/>
  <c r="N51" i="5"/>
  <c r="L51" i="5"/>
  <c r="K51" i="5"/>
  <c r="J51" i="5"/>
  <c r="I51" i="5"/>
  <c r="H51" i="5"/>
  <c r="G51" i="5"/>
  <c r="F51" i="5"/>
  <c r="E51" i="5"/>
  <c r="D51" i="5"/>
  <c r="C51" i="5"/>
  <c r="B51" i="5"/>
  <c r="A51" i="5"/>
  <c r="CB50" i="5"/>
  <c r="CA50" i="5"/>
  <c r="BZ50" i="5"/>
  <c r="BY50" i="5"/>
  <c r="BX50" i="5"/>
  <c r="BW50" i="5"/>
  <c r="BS50" i="5"/>
  <c r="BR50" i="5"/>
  <c r="BQ50" i="5"/>
  <c r="BP50" i="5"/>
  <c r="BO50" i="5"/>
  <c r="BN50" i="5"/>
  <c r="BU50" i="5" s="1"/>
  <c r="BL50" i="5"/>
  <c r="BK50" i="5"/>
  <c r="BJ50" i="5"/>
  <c r="BI50" i="5"/>
  <c r="BH50" i="5"/>
  <c r="BA50" i="5"/>
  <c r="BD50" i="5" s="1"/>
  <c r="BG50" i="5" s="1"/>
  <c r="AZ50" i="5"/>
  <c r="AX50" i="5"/>
  <c r="AW50" i="5"/>
  <c r="AU50" i="5" s="1"/>
  <c r="AV50" i="5"/>
  <c r="AT50" i="5"/>
  <c r="AS50" i="5"/>
  <c r="AR50" i="5"/>
  <c r="AQ50" i="5" s="1"/>
  <c r="AP50" i="5"/>
  <c r="AJ50" i="5"/>
  <c r="AF50" i="5"/>
  <c r="AM50" i="5" s="1"/>
  <c r="AE50" i="5"/>
  <c r="AL50" i="5" s="1"/>
  <c r="AB50" i="5"/>
  <c r="AC50" i="5" s="1"/>
  <c r="AA50" i="5"/>
  <c r="Y50" i="5"/>
  <c r="W50" i="5" s="1"/>
  <c r="X50" i="5"/>
  <c r="U50" i="5"/>
  <c r="V50" i="5" s="1"/>
  <c r="Z50" i="5" s="1"/>
  <c r="T50" i="5"/>
  <c r="S50" i="5"/>
  <c r="R50" i="5"/>
  <c r="P50" i="5" s="1"/>
  <c r="Q50" i="5"/>
  <c r="N50" i="5"/>
  <c r="J50" i="5"/>
  <c r="I50" i="5"/>
  <c r="H50" i="5"/>
  <c r="G50" i="5"/>
  <c r="F50" i="5"/>
  <c r="B50" i="5"/>
  <c r="A50" i="5"/>
  <c r="CB49" i="5"/>
  <c r="CA49" i="5"/>
  <c r="BZ49" i="5"/>
  <c r="BX49" i="5" s="1"/>
  <c r="BY49" i="5"/>
  <c r="BW49" i="5"/>
  <c r="BV49" i="5"/>
  <c r="BU49" i="5"/>
  <c r="BS49" i="5"/>
  <c r="BQ49" i="5" s="1"/>
  <c r="BT49" i="5" s="1"/>
  <c r="BR49" i="5"/>
  <c r="BP49" i="5"/>
  <c r="BO49" i="5"/>
  <c r="BN49" i="5"/>
  <c r="BM49" i="5"/>
  <c r="BL49" i="5"/>
  <c r="BK49" i="5"/>
  <c r="BI49" i="5" s="1"/>
  <c r="BJ49" i="5"/>
  <c r="BH49" i="5"/>
  <c r="BA49" i="5"/>
  <c r="AZ49" i="5"/>
  <c r="AY49" i="5"/>
  <c r="AX49" i="5"/>
  <c r="AW49" i="5"/>
  <c r="AV49" i="5"/>
  <c r="BC49" i="5" s="1"/>
  <c r="AT49" i="5"/>
  <c r="AS49" i="5"/>
  <c r="AR49" i="5"/>
  <c r="AQ49" i="5"/>
  <c r="AP49" i="5"/>
  <c r="AJ49" i="5"/>
  <c r="AI49" i="5"/>
  <c r="AH49" i="5"/>
  <c r="AG49" i="5"/>
  <c r="AF49" i="5"/>
  <c r="AD49" i="5" s="1"/>
  <c r="AE49" i="5"/>
  <c r="AB49" i="5"/>
  <c r="Y49" i="5"/>
  <c r="X49" i="5"/>
  <c r="U49" i="5"/>
  <c r="T49" i="5"/>
  <c r="S49" i="5"/>
  <c r="R49" i="5"/>
  <c r="Q49" i="5"/>
  <c r="P49" i="5"/>
  <c r="N49" i="5"/>
  <c r="L49" i="5"/>
  <c r="K49" i="5"/>
  <c r="J49" i="5"/>
  <c r="F49" i="5"/>
  <c r="E49" i="5"/>
  <c r="D49" i="5"/>
  <c r="B49" i="5"/>
  <c r="C49" i="5" s="1"/>
  <c r="A49" i="5"/>
  <c r="CB48" i="5"/>
  <c r="CA48" i="5"/>
  <c r="BZ48" i="5"/>
  <c r="BX48" i="5" s="1"/>
  <c r="BY48" i="5"/>
  <c r="BW48" i="5"/>
  <c r="BS48" i="5"/>
  <c r="BV48" i="5" s="1"/>
  <c r="BR48" i="5"/>
  <c r="BU48" i="5" s="1"/>
  <c r="BP48" i="5"/>
  <c r="BO48" i="5"/>
  <c r="BM48" i="5" s="1"/>
  <c r="BN48" i="5"/>
  <c r="BL48" i="5"/>
  <c r="BK48" i="5"/>
  <c r="BJ48" i="5"/>
  <c r="BI48" i="5"/>
  <c r="BH48" i="5"/>
  <c r="BC48" i="5"/>
  <c r="BA48" i="5"/>
  <c r="AZ48" i="5"/>
  <c r="AX48" i="5"/>
  <c r="AW48" i="5"/>
  <c r="AV48" i="5"/>
  <c r="AU48" i="5"/>
  <c r="AT48" i="5"/>
  <c r="AS48" i="5"/>
  <c r="AQ48" i="5" s="1"/>
  <c r="AR48" i="5"/>
  <c r="AP48" i="5"/>
  <c r="AM48" i="5"/>
  <c r="AO48" i="5" s="1"/>
  <c r="AL48" i="5"/>
  <c r="BF48" i="5" s="1"/>
  <c r="AK48" i="5"/>
  <c r="AJ48" i="5"/>
  <c r="AI48" i="5"/>
  <c r="AH48" i="5"/>
  <c r="AG48" i="5"/>
  <c r="AF48" i="5"/>
  <c r="AE48" i="5"/>
  <c r="AD48" i="5"/>
  <c r="AB48" i="5"/>
  <c r="AA48" i="5"/>
  <c r="Y48" i="5"/>
  <c r="W48" i="5" s="1"/>
  <c r="X48" i="5"/>
  <c r="U48" i="5"/>
  <c r="T48" i="5"/>
  <c r="S48" i="5"/>
  <c r="R48" i="5"/>
  <c r="P48" i="5" s="1"/>
  <c r="Q48" i="5"/>
  <c r="N48" i="5"/>
  <c r="J48" i="5"/>
  <c r="I48" i="5"/>
  <c r="H48" i="5"/>
  <c r="F48" i="5"/>
  <c r="G48" i="5" s="1"/>
  <c r="B48" i="5"/>
  <c r="A48" i="5"/>
  <c r="CB47" i="5"/>
  <c r="CA47" i="5"/>
  <c r="BZ47" i="5"/>
  <c r="BX47" i="5" s="1"/>
  <c r="BY47" i="5"/>
  <c r="BW47" i="5"/>
  <c r="BV47" i="5"/>
  <c r="BS47" i="5"/>
  <c r="BQ47" i="5" s="1"/>
  <c r="BR47" i="5"/>
  <c r="BP47" i="5"/>
  <c r="BO47" i="5"/>
  <c r="BN47" i="5"/>
  <c r="BU47" i="5" s="1"/>
  <c r="BL47" i="5"/>
  <c r="BK47" i="5"/>
  <c r="BI47" i="5" s="1"/>
  <c r="BJ47" i="5"/>
  <c r="BH47" i="5"/>
  <c r="BA47" i="5"/>
  <c r="AZ47" i="5"/>
  <c r="AY47" i="5"/>
  <c r="AX47" i="5"/>
  <c r="AW47" i="5"/>
  <c r="AV47" i="5"/>
  <c r="BC47" i="5" s="1"/>
  <c r="BF47" i="5" s="1"/>
  <c r="AT47" i="5"/>
  <c r="AS47" i="5"/>
  <c r="AR47" i="5"/>
  <c r="AQ47" i="5"/>
  <c r="AP47" i="5"/>
  <c r="AJ47" i="5"/>
  <c r="AI47" i="5"/>
  <c r="AH47" i="5"/>
  <c r="AG47" i="5"/>
  <c r="AF47" i="5"/>
  <c r="AD47" i="5" s="1"/>
  <c r="AE47" i="5"/>
  <c r="AB47" i="5"/>
  <c r="Y47" i="5"/>
  <c r="X47" i="5"/>
  <c r="AL47" i="5" s="1"/>
  <c r="U47" i="5"/>
  <c r="T47" i="5"/>
  <c r="S47" i="5"/>
  <c r="R47" i="5"/>
  <c r="Q47" i="5"/>
  <c r="P47" i="5"/>
  <c r="N47" i="5"/>
  <c r="L47" i="5"/>
  <c r="J47" i="5"/>
  <c r="K47" i="5" s="1"/>
  <c r="F47" i="5"/>
  <c r="E47" i="5"/>
  <c r="D47" i="5"/>
  <c r="B47" i="5"/>
  <c r="C47" i="5" s="1"/>
  <c r="A47" i="5"/>
  <c r="CB46" i="5"/>
  <c r="CA46" i="5"/>
  <c r="BZ46" i="5"/>
  <c r="BX46" i="5" s="1"/>
  <c r="BY46" i="5"/>
  <c r="BW46" i="5"/>
  <c r="BS46" i="5"/>
  <c r="BV46" i="5" s="1"/>
  <c r="BR46" i="5"/>
  <c r="BP46" i="5"/>
  <c r="BO46" i="5"/>
  <c r="BM46" i="5" s="1"/>
  <c r="BN46" i="5"/>
  <c r="BL46" i="5"/>
  <c r="BK46" i="5"/>
  <c r="BJ46" i="5"/>
  <c r="BI46" i="5" s="1"/>
  <c r="BH46" i="5"/>
  <c r="BC46" i="5"/>
  <c r="BA46" i="5"/>
  <c r="AZ46" i="5"/>
  <c r="AX46" i="5"/>
  <c r="AW46" i="5"/>
  <c r="AV46" i="5"/>
  <c r="AU46" i="5"/>
  <c r="AT46" i="5"/>
  <c r="AS46" i="5"/>
  <c r="AQ46" i="5" s="1"/>
  <c r="AR46" i="5"/>
  <c r="AP46" i="5"/>
  <c r="AM46" i="5"/>
  <c r="AO46" i="5" s="1"/>
  <c r="AL46" i="5"/>
  <c r="BF46" i="5" s="1"/>
  <c r="AJ46" i="5"/>
  <c r="AH46" i="5"/>
  <c r="AF46" i="5"/>
  <c r="AG46" i="5" s="1"/>
  <c r="AE46" i="5"/>
  <c r="AD46" i="5"/>
  <c r="AB46" i="5"/>
  <c r="Y46" i="5"/>
  <c r="W46" i="5" s="1"/>
  <c r="X46" i="5"/>
  <c r="U46" i="5"/>
  <c r="V46" i="5" s="1"/>
  <c r="T46" i="5"/>
  <c r="S46" i="5"/>
  <c r="R46" i="5"/>
  <c r="P46" i="5" s="1"/>
  <c r="Q46" i="5"/>
  <c r="N46" i="5"/>
  <c r="K46" i="5"/>
  <c r="J46" i="5"/>
  <c r="L46" i="5" s="1"/>
  <c r="I46" i="5"/>
  <c r="H46" i="5"/>
  <c r="G46" i="5"/>
  <c r="F46" i="5"/>
  <c r="B46" i="5"/>
  <c r="A46" i="5"/>
  <c r="CB45" i="5"/>
  <c r="CA45" i="5"/>
  <c r="BZ45" i="5"/>
  <c r="BY45" i="5"/>
  <c r="BX45" i="5"/>
  <c r="BW45" i="5"/>
  <c r="BV45" i="5"/>
  <c r="BS45" i="5"/>
  <c r="BQ45" i="5" s="1"/>
  <c r="BT45" i="5" s="1"/>
  <c r="BR45" i="5"/>
  <c r="BP45" i="5"/>
  <c r="BO45" i="5"/>
  <c r="BN45" i="5"/>
  <c r="BU45" i="5" s="1"/>
  <c r="BL45" i="5"/>
  <c r="BK45" i="5"/>
  <c r="BI45" i="5" s="1"/>
  <c r="BJ45" i="5"/>
  <c r="BH45" i="5"/>
  <c r="BA45" i="5"/>
  <c r="AZ45" i="5"/>
  <c r="BC45" i="5" s="1"/>
  <c r="AY45" i="5"/>
  <c r="AX45" i="5"/>
  <c r="AW45" i="5"/>
  <c r="AU45" i="5" s="1"/>
  <c r="AV45" i="5"/>
  <c r="AT45" i="5"/>
  <c r="AS45" i="5"/>
  <c r="AR45" i="5"/>
  <c r="AQ45" i="5"/>
  <c r="AP45" i="5"/>
  <c r="AJ45" i="5"/>
  <c r="AI45" i="5"/>
  <c r="AH45" i="5"/>
  <c r="AG45" i="5"/>
  <c r="AF45" i="5"/>
  <c r="AD45" i="5" s="1"/>
  <c r="AE45" i="5"/>
  <c r="AB45" i="5"/>
  <c r="Z45" i="5"/>
  <c r="Y45" i="5"/>
  <c r="X45" i="5"/>
  <c r="V45" i="5"/>
  <c r="U45" i="5"/>
  <c r="R45" i="5"/>
  <c r="Q45" i="5"/>
  <c r="N45" i="5"/>
  <c r="L45" i="5"/>
  <c r="K45" i="5"/>
  <c r="J45" i="5"/>
  <c r="I45" i="5"/>
  <c r="H45" i="5"/>
  <c r="G45" i="5"/>
  <c r="F45" i="5"/>
  <c r="E45" i="5"/>
  <c r="D45" i="5"/>
  <c r="C45" i="5"/>
  <c r="B45" i="5"/>
  <c r="A45" i="5"/>
  <c r="CB44" i="5"/>
  <c r="CA44" i="5"/>
  <c r="BZ44" i="5"/>
  <c r="BX44" i="5" s="1"/>
  <c r="BY44" i="5"/>
  <c r="BW44" i="5"/>
  <c r="BU44" i="5"/>
  <c r="BS44" i="5"/>
  <c r="BR44" i="5"/>
  <c r="BP44" i="5"/>
  <c r="BO44" i="5"/>
  <c r="BN44" i="5"/>
  <c r="BM44" i="5"/>
  <c r="BL44" i="5"/>
  <c r="BK44" i="5"/>
  <c r="BI44" i="5" s="1"/>
  <c r="BJ44" i="5"/>
  <c r="BH44" i="5"/>
  <c r="BC44" i="5"/>
  <c r="BA44" i="5"/>
  <c r="AY44" i="5" s="1"/>
  <c r="AZ44" i="5"/>
  <c r="AW44" i="5"/>
  <c r="AV44" i="5"/>
  <c r="AU44" i="5"/>
  <c r="AS44" i="5"/>
  <c r="AQ44" i="5" s="1"/>
  <c r="AR44" i="5"/>
  <c r="AJ44" i="5"/>
  <c r="AI44" i="5"/>
  <c r="AH44" i="5"/>
  <c r="AG44" i="5"/>
  <c r="AF44" i="5"/>
  <c r="AM44" i="5" s="1"/>
  <c r="AE44" i="5"/>
  <c r="AD44" i="5"/>
  <c r="Y44" i="5"/>
  <c r="X44" i="5"/>
  <c r="AL44" i="5" s="1"/>
  <c r="BF44" i="5" s="1"/>
  <c r="R44" i="5"/>
  <c r="P44" i="5" s="1"/>
  <c r="Q44" i="5"/>
  <c r="J44" i="5"/>
  <c r="I44" i="5"/>
  <c r="H44" i="5"/>
  <c r="F44" i="5"/>
  <c r="G44" i="5" s="1"/>
  <c r="B44" i="5"/>
  <c r="A44" i="5"/>
  <c r="CB43" i="5"/>
  <c r="CA43" i="5"/>
  <c r="BZ43" i="5"/>
  <c r="BX43" i="5" s="1"/>
  <c r="BY43" i="5"/>
  <c r="BW43" i="5"/>
  <c r="BV43" i="5"/>
  <c r="BS43" i="5"/>
  <c r="BQ43" i="5" s="1"/>
  <c r="BT43" i="5" s="1"/>
  <c r="BR43" i="5"/>
  <c r="BP43" i="5"/>
  <c r="BO43" i="5"/>
  <c r="BN43" i="5"/>
  <c r="BU43" i="5" s="1"/>
  <c r="BL43" i="5"/>
  <c r="BK43" i="5"/>
  <c r="BI43" i="5" s="1"/>
  <c r="BJ43" i="5"/>
  <c r="BH43" i="5"/>
  <c r="BA43" i="5"/>
  <c r="AZ43" i="5"/>
  <c r="AY43" i="5"/>
  <c r="AW43" i="5"/>
  <c r="AV43" i="5"/>
  <c r="BC43" i="5" s="1"/>
  <c r="AT43" i="5"/>
  <c r="AS43" i="5"/>
  <c r="AQ43" i="5" s="1"/>
  <c r="AR43" i="5"/>
  <c r="AP43" i="5"/>
  <c r="AJ43" i="5"/>
  <c r="AI43" i="5"/>
  <c r="AF43" i="5"/>
  <c r="AE43" i="5"/>
  <c r="AL43" i="5" s="1"/>
  <c r="BF43" i="5" s="1"/>
  <c r="AB43" i="5"/>
  <c r="Y43" i="5"/>
  <c r="AA43" i="5" s="1"/>
  <c r="X43" i="5"/>
  <c r="W43" i="5"/>
  <c r="U43" i="5"/>
  <c r="T43" i="5"/>
  <c r="S43" i="5"/>
  <c r="R43" i="5"/>
  <c r="Q43" i="5"/>
  <c r="P43" i="5"/>
  <c r="N43" i="5"/>
  <c r="L43" i="5"/>
  <c r="K43" i="5"/>
  <c r="J43" i="5"/>
  <c r="F43" i="5"/>
  <c r="I43" i="5" s="1"/>
  <c r="E43" i="5"/>
  <c r="D43" i="5"/>
  <c r="C43" i="5"/>
  <c r="B43" i="5"/>
  <c r="A43" i="5"/>
  <c r="CB42" i="5"/>
  <c r="CA42" i="5"/>
  <c r="BZ42" i="5"/>
  <c r="BY42" i="5"/>
  <c r="BX42" i="5"/>
  <c r="BW42" i="5"/>
  <c r="BS42" i="5"/>
  <c r="BR42" i="5"/>
  <c r="BU42" i="5" s="1"/>
  <c r="BQ42" i="5"/>
  <c r="BT42" i="5" s="1"/>
  <c r="BP42" i="5"/>
  <c r="BO42" i="5"/>
  <c r="BM42" i="5" s="1"/>
  <c r="BN42" i="5"/>
  <c r="BL42" i="5"/>
  <c r="BK42" i="5"/>
  <c r="BJ42" i="5"/>
  <c r="BI42" i="5"/>
  <c r="BH42" i="5"/>
  <c r="BA42" i="5"/>
  <c r="AZ42" i="5"/>
  <c r="BC42" i="5" s="1"/>
  <c r="AW42" i="5"/>
  <c r="AU42" i="5" s="1"/>
  <c r="AV42" i="5"/>
  <c r="AS42" i="5"/>
  <c r="AR42" i="5"/>
  <c r="AQ42" i="5"/>
  <c r="AP42" i="5"/>
  <c r="AJ42" i="5"/>
  <c r="AI42" i="5"/>
  <c r="AH42" i="5"/>
  <c r="AF42" i="5"/>
  <c r="AD42" i="5" s="1"/>
  <c r="AE42" i="5"/>
  <c r="AL42" i="5" s="1"/>
  <c r="AB42" i="5"/>
  <c r="AC42" i="5" s="1"/>
  <c r="AG42" i="5" s="1"/>
  <c r="AA42" i="5"/>
  <c r="Z42" i="5"/>
  <c r="Y42" i="5"/>
  <c r="AM42" i="5" s="1"/>
  <c r="X42" i="5"/>
  <c r="V42" i="5"/>
  <c r="U42" i="5"/>
  <c r="S42" i="5"/>
  <c r="R42" i="5"/>
  <c r="Q42" i="5"/>
  <c r="O42" i="5"/>
  <c r="N42" i="5"/>
  <c r="J42" i="5"/>
  <c r="I42" i="5"/>
  <c r="H42" i="5"/>
  <c r="F42" i="5"/>
  <c r="G42" i="5" s="1"/>
  <c r="B42" i="5"/>
  <c r="A42" i="5"/>
  <c r="CB41" i="5"/>
  <c r="CA41" i="5"/>
  <c r="BZ41" i="5"/>
  <c r="BX41" i="5" s="1"/>
  <c r="BY41" i="5"/>
  <c r="BW41" i="5"/>
  <c r="BV41" i="5"/>
  <c r="BS41" i="5"/>
  <c r="BQ41" i="5" s="1"/>
  <c r="BR41" i="5"/>
  <c r="BP41" i="5"/>
  <c r="BO41" i="5"/>
  <c r="BN41" i="5"/>
  <c r="BU41" i="5" s="1"/>
  <c r="BM41" i="5"/>
  <c r="BL41" i="5"/>
  <c r="BK41" i="5"/>
  <c r="BI41" i="5" s="1"/>
  <c r="BJ41" i="5"/>
  <c r="BH41" i="5"/>
  <c r="BA41" i="5"/>
  <c r="AZ41" i="5"/>
  <c r="AY41" i="5"/>
  <c r="AW41" i="5"/>
  <c r="AV41" i="5"/>
  <c r="BC41" i="5" s="1"/>
  <c r="AS41" i="5"/>
  <c r="AQ41" i="5" s="1"/>
  <c r="AR41" i="5"/>
  <c r="AM41" i="5"/>
  <c r="AL41" i="5"/>
  <c r="BF41" i="5" s="1"/>
  <c r="AJ41" i="5"/>
  <c r="AI41" i="5"/>
  <c r="AF41" i="5"/>
  <c r="AH41" i="5" s="1"/>
  <c r="AE41" i="5"/>
  <c r="AD41" i="5"/>
  <c r="Y41" i="5"/>
  <c r="W41" i="5" s="1"/>
  <c r="X41" i="5"/>
  <c r="R41" i="5"/>
  <c r="Q41" i="5"/>
  <c r="P41" i="5"/>
  <c r="L41" i="5"/>
  <c r="K41" i="5"/>
  <c r="J41" i="5"/>
  <c r="I41" i="5"/>
  <c r="H41" i="5"/>
  <c r="F41" i="5"/>
  <c r="G41" i="5" s="1"/>
  <c r="E41" i="5"/>
  <c r="D41" i="5"/>
  <c r="C41" i="5"/>
  <c r="B41" i="5"/>
  <c r="A41" i="5"/>
  <c r="CB40" i="5"/>
  <c r="CA40" i="5"/>
  <c r="BZ40" i="5"/>
  <c r="BY40" i="5"/>
  <c r="BX40" i="5"/>
  <c r="BW40" i="5"/>
  <c r="BS40" i="5"/>
  <c r="BR40" i="5"/>
  <c r="BQ40" i="5"/>
  <c r="BP40" i="5"/>
  <c r="BO40" i="5"/>
  <c r="BN40" i="5"/>
  <c r="BU40" i="5" s="1"/>
  <c r="BL40" i="5"/>
  <c r="BK40" i="5"/>
  <c r="BJ40" i="5"/>
  <c r="BI40" i="5"/>
  <c r="BH40" i="5"/>
  <c r="BA40" i="5"/>
  <c r="BD40" i="5" s="1"/>
  <c r="AZ40" i="5"/>
  <c r="BC40" i="5" s="1"/>
  <c r="AW40" i="5"/>
  <c r="AU40" i="5" s="1"/>
  <c r="AV40" i="5"/>
  <c r="AS40" i="5"/>
  <c r="AR40" i="5"/>
  <c r="AQ40" i="5"/>
  <c r="AJ40" i="5"/>
  <c r="AF40" i="5"/>
  <c r="AE40" i="5"/>
  <c r="AL40" i="5" s="1"/>
  <c r="AC40" i="5"/>
  <c r="AI40" i="5" s="1"/>
  <c r="Y40" i="5"/>
  <c r="X40" i="5"/>
  <c r="W40" i="5"/>
  <c r="R40" i="5"/>
  <c r="P40" i="5" s="1"/>
  <c r="Q40" i="5"/>
  <c r="L40" i="5"/>
  <c r="K40" i="5"/>
  <c r="J40" i="5"/>
  <c r="F40" i="5"/>
  <c r="E40" i="5"/>
  <c r="D40" i="5"/>
  <c r="C40" i="5"/>
  <c r="B40" i="5"/>
  <c r="A40" i="5"/>
  <c r="CB39" i="5"/>
  <c r="CA39" i="5"/>
  <c r="BZ39" i="5"/>
  <c r="BX39" i="5" s="1"/>
  <c r="BY39" i="5"/>
  <c r="BW39" i="5"/>
  <c r="BS39" i="5"/>
  <c r="BR39" i="5"/>
  <c r="BU39" i="5" s="1"/>
  <c r="BP39" i="5"/>
  <c r="BO39" i="5"/>
  <c r="BM39" i="5" s="1"/>
  <c r="BN39" i="5"/>
  <c r="BL39" i="5"/>
  <c r="BK39" i="5"/>
  <c r="BI39" i="5" s="1"/>
  <c r="BJ39" i="5"/>
  <c r="BH39" i="5"/>
  <c r="BD39" i="5"/>
  <c r="BC39" i="5"/>
  <c r="BA39" i="5"/>
  <c r="AY39" i="5" s="1"/>
  <c r="BB39" i="5" s="1"/>
  <c r="AZ39" i="5"/>
  <c r="AX39" i="5"/>
  <c r="AW39" i="5"/>
  <c r="AV39" i="5"/>
  <c r="AU39" i="5"/>
  <c r="AT39" i="5"/>
  <c r="AS39" i="5"/>
  <c r="AQ39" i="5" s="1"/>
  <c r="AR39" i="5"/>
  <c r="AP39" i="5"/>
  <c r="AM39" i="5"/>
  <c r="AJ39" i="5"/>
  <c r="AI39" i="5"/>
  <c r="AF39" i="5"/>
  <c r="AH39" i="5" s="1"/>
  <c r="AE39" i="5"/>
  <c r="AL39" i="5" s="1"/>
  <c r="BF39" i="5" s="1"/>
  <c r="AD39" i="5"/>
  <c r="AB39" i="5"/>
  <c r="AA39" i="5"/>
  <c r="Z39" i="5"/>
  <c r="Y39" i="5"/>
  <c r="X39" i="5"/>
  <c r="W39" i="5"/>
  <c r="U39" i="5"/>
  <c r="T39" i="5"/>
  <c r="S39" i="5"/>
  <c r="R39" i="5"/>
  <c r="P39" i="5" s="1"/>
  <c r="Q39" i="5"/>
  <c r="N39" i="5"/>
  <c r="J39" i="5"/>
  <c r="L39" i="5" s="1"/>
  <c r="I39" i="5"/>
  <c r="H39" i="5"/>
  <c r="G39" i="5"/>
  <c r="F39" i="5"/>
  <c r="C39" i="5"/>
  <c r="B39" i="5"/>
  <c r="A39" i="5"/>
  <c r="CB38" i="5"/>
  <c r="CA38" i="5"/>
  <c r="BZ38" i="5"/>
  <c r="BY38" i="5"/>
  <c r="BX38" i="5"/>
  <c r="BW38" i="5"/>
  <c r="BS38" i="5"/>
  <c r="BQ38" i="5" s="1"/>
  <c r="BT38" i="5" s="1"/>
  <c r="BR38" i="5"/>
  <c r="BP38" i="5"/>
  <c r="BO38" i="5"/>
  <c r="BN38" i="5"/>
  <c r="BU38" i="5" s="1"/>
  <c r="BL38" i="5"/>
  <c r="BK38" i="5"/>
  <c r="BI38" i="5" s="1"/>
  <c r="BJ38" i="5"/>
  <c r="BH38" i="5"/>
  <c r="BA38" i="5"/>
  <c r="AZ38" i="5"/>
  <c r="BC38" i="5" s="1"/>
  <c r="BF38" i="5" s="1"/>
  <c r="AY38" i="5"/>
  <c r="AW38" i="5"/>
  <c r="AV38" i="5"/>
  <c r="AS38" i="5"/>
  <c r="AQ38" i="5" s="1"/>
  <c r="AR38" i="5"/>
  <c r="AM38" i="5"/>
  <c r="AJ38" i="5"/>
  <c r="AI38" i="5"/>
  <c r="AF38" i="5"/>
  <c r="AE38" i="5"/>
  <c r="AL38" i="5" s="1"/>
  <c r="Y38" i="5"/>
  <c r="W38" i="5" s="1"/>
  <c r="X38" i="5"/>
  <c r="R38" i="5"/>
  <c r="Q38" i="5"/>
  <c r="P38" i="5"/>
  <c r="L38" i="5"/>
  <c r="K38" i="5"/>
  <c r="J38" i="5"/>
  <c r="F38" i="5"/>
  <c r="I38" i="5" s="1"/>
  <c r="E38" i="5"/>
  <c r="D38" i="5"/>
  <c r="C38" i="5"/>
  <c r="B38" i="5"/>
  <c r="A38" i="5"/>
  <c r="CB37" i="5"/>
  <c r="CA37" i="5"/>
  <c r="BZ37" i="5"/>
  <c r="BY37" i="5"/>
  <c r="BX37" i="5"/>
  <c r="BW37" i="5"/>
  <c r="BS37" i="5"/>
  <c r="BR37" i="5"/>
  <c r="BU37" i="5" s="1"/>
  <c r="BQ37" i="5"/>
  <c r="BT37" i="5" s="1"/>
  <c r="BP37" i="5"/>
  <c r="BO37" i="5"/>
  <c r="BM37" i="5" s="1"/>
  <c r="BN37" i="5"/>
  <c r="BL37" i="5"/>
  <c r="BK37" i="5"/>
  <c r="BJ37" i="5"/>
  <c r="BI37" i="5"/>
  <c r="BH37" i="5"/>
  <c r="BA37" i="5"/>
  <c r="AZ37" i="5"/>
  <c r="BC37" i="5" s="1"/>
  <c r="AX37" i="5"/>
  <c r="AW37" i="5"/>
  <c r="AU37" i="5" s="1"/>
  <c r="AV37" i="5"/>
  <c r="AT37" i="5"/>
  <c r="AS37" i="5"/>
  <c r="AQ37" i="5" s="1"/>
  <c r="AR37" i="5"/>
  <c r="AP37" i="5"/>
  <c r="AL37" i="5"/>
  <c r="BF37" i="5" s="1"/>
  <c r="AJ37" i="5"/>
  <c r="AF37" i="5"/>
  <c r="AM37" i="5" s="1"/>
  <c r="AE37" i="5"/>
  <c r="AD37" i="5"/>
  <c r="AC37" i="5"/>
  <c r="AB37" i="5"/>
  <c r="AA37" i="5"/>
  <c r="Y37" i="5"/>
  <c r="W37" i="5" s="1"/>
  <c r="X37" i="5"/>
  <c r="U37" i="5"/>
  <c r="T37" i="5"/>
  <c r="S37" i="5"/>
  <c r="R37" i="5"/>
  <c r="P37" i="5" s="1"/>
  <c r="Q37" i="5"/>
  <c r="N37" i="5"/>
  <c r="J37" i="5"/>
  <c r="I37" i="5"/>
  <c r="H37" i="5"/>
  <c r="F37" i="5"/>
  <c r="G37" i="5" s="1"/>
  <c r="B37" i="5"/>
  <c r="A37" i="5"/>
  <c r="CB36" i="5"/>
  <c r="CA36" i="5"/>
  <c r="BZ36" i="5"/>
  <c r="BX36" i="5" s="1"/>
  <c r="BY36" i="5"/>
  <c r="BW36" i="5"/>
  <c r="BV36" i="5"/>
  <c r="BU36" i="5"/>
  <c r="BS36" i="5"/>
  <c r="BQ36" i="5" s="1"/>
  <c r="BR36" i="5"/>
  <c r="BP36" i="5"/>
  <c r="BO36" i="5"/>
  <c r="BN36" i="5"/>
  <c r="BM36" i="5" s="1"/>
  <c r="BL36" i="5"/>
  <c r="BK36" i="5"/>
  <c r="BI36" i="5" s="1"/>
  <c r="BJ36" i="5"/>
  <c r="BH36" i="5"/>
  <c r="BA36" i="5"/>
  <c r="AZ36" i="5"/>
  <c r="AY36" i="5"/>
  <c r="AW36" i="5"/>
  <c r="AV36" i="5"/>
  <c r="BC36" i="5" s="1"/>
  <c r="AS36" i="5"/>
  <c r="AQ36" i="5" s="1"/>
  <c r="AR36" i="5"/>
  <c r="AN36" i="5"/>
  <c r="AM36" i="5"/>
  <c r="AL36" i="5"/>
  <c r="BF36" i="5" s="1"/>
  <c r="AJ36" i="5"/>
  <c r="AI36" i="5"/>
  <c r="AF36" i="5"/>
  <c r="AE36" i="5"/>
  <c r="AD36" i="5"/>
  <c r="Y36" i="5"/>
  <c r="W36" i="5" s="1"/>
  <c r="X36" i="5"/>
  <c r="R36" i="5"/>
  <c r="Q36" i="5"/>
  <c r="P36" i="5"/>
  <c r="L36" i="5"/>
  <c r="K36" i="5"/>
  <c r="J36" i="5"/>
  <c r="I36" i="5"/>
  <c r="H36" i="5"/>
  <c r="G36" i="5"/>
  <c r="F36" i="5"/>
  <c r="E36" i="5"/>
  <c r="D36" i="5"/>
  <c r="C36" i="5"/>
  <c r="B36" i="5"/>
  <c r="A36" i="5"/>
  <c r="CB35" i="5"/>
  <c r="CA35" i="5"/>
  <c r="BZ35" i="5"/>
  <c r="BY35" i="5"/>
  <c r="BX35" i="5" s="1"/>
  <c r="BW35" i="5"/>
  <c r="BS35" i="5"/>
  <c r="BR35" i="5"/>
  <c r="BQ35" i="5"/>
  <c r="BP35" i="5"/>
  <c r="BO35" i="5"/>
  <c r="BN35" i="5"/>
  <c r="BU35" i="5" s="1"/>
  <c r="BL35" i="5"/>
  <c r="BK35" i="5"/>
  <c r="BJ35" i="5"/>
  <c r="BI35" i="5"/>
  <c r="BH35" i="5"/>
  <c r="BA35" i="5"/>
  <c r="BD35" i="5" s="1"/>
  <c r="AZ35" i="5"/>
  <c r="BC35" i="5" s="1"/>
  <c r="AW35" i="5"/>
  <c r="AU35" i="5" s="1"/>
  <c r="AV35" i="5"/>
  <c r="AS35" i="5"/>
  <c r="AR35" i="5"/>
  <c r="AQ35" i="5"/>
  <c r="AJ35" i="5"/>
  <c r="AI35" i="5"/>
  <c r="AF35" i="5"/>
  <c r="AE35" i="5"/>
  <c r="AL35" i="5" s="1"/>
  <c r="BF35" i="5" s="1"/>
  <c r="Y35" i="5"/>
  <c r="W35" i="5" s="1"/>
  <c r="X35" i="5"/>
  <c r="R35" i="5"/>
  <c r="Q35" i="5"/>
  <c r="P35" i="5"/>
  <c r="L35" i="5"/>
  <c r="K35" i="5"/>
  <c r="J35" i="5"/>
  <c r="G35" i="5"/>
  <c r="F35" i="5"/>
  <c r="E35" i="5"/>
  <c r="D35" i="5"/>
  <c r="C35" i="5"/>
  <c r="B35" i="5"/>
  <c r="A35" i="5"/>
  <c r="CB34" i="5"/>
  <c r="CA34" i="5"/>
  <c r="BZ34" i="5"/>
  <c r="BX34" i="5" s="1"/>
  <c r="BY34" i="5"/>
  <c r="BW34" i="5"/>
  <c r="BS34" i="5"/>
  <c r="BV34" i="5" s="1"/>
  <c r="BR34" i="5"/>
  <c r="BU34" i="5" s="1"/>
  <c r="BP34" i="5"/>
  <c r="BO34" i="5"/>
  <c r="BM34" i="5" s="1"/>
  <c r="BN34" i="5"/>
  <c r="BL34" i="5"/>
  <c r="BK34" i="5"/>
  <c r="BJ34" i="5"/>
  <c r="BI34" i="5"/>
  <c r="BH34" i="5"/>
  <c r="BC34" i="5"/>
  <c r="BA34" i="5"/>
  <c r="AZ34" i="5"/>
  <c r="AX34" i="5"/>
  <c r="AW34" i="5"/>
  <c r="AV34" i="5"/>
  <c r="AU34" i="5"/>
  <c r="AT34" i="5"/>
  <c r="AS34" i="5"/>
  <c r="AQ34" i="5" s="1"/>
  <c r="AR34" i="5"/>
  <c r="AP34" i="5"/>
  <c r="AM34" i="5"/>
  <c r="AL34" i="5"/>
  <c r="AK34" i="5"/>
  <c r="AJ34" i="5"/>
  <c r="AI34" i="5"/>
  <c r="AH34" i="5"/>
  <c r="AG34" i="5"/>
  <c r="AF34" i="5"/>
  <c r="AE34" i="5"/>
  <c r="AD34" i="5"/>
  <c r="AB34" i="5"/>
  <c r="AA34" i="5"/>
  <c r="Y34" i="5"/>
  <c r="W34" i="5" s="1"/>
  <c r="X34" i="5"/>
  <c r="U34" i="5"/>
  <c r="T34" i="5"/>
  <c r="S34" i="5"/>
  <c r="R34" i="5"/>
  <c r="P34" i="5" s="1"/>
  <c r="Q34" i="5"/>
  <c r="N34" i="5"/>
  <c r="J34" i="5"/>
  <c r="L34" i="5" s="1"/>
  <c r="I34" i="5"/>
  <c r="H34" i="5"/>
  <c r="F34" i="5"/>
  <c r="G34" i="5" s="1"/>
  <c r="B34" i="5"/>
  <c r="A34" i="5"/>
  <c r="CB33" i="5"/>
  <c r="CA33" i="5"/>
  <c r="BZ33" i="5"/>
  <c r="BX33" i="5" s="1"/>
  <c r="BY33" i="5"/>
  <c r="BW33" i="5"/>
  <c r="BU33" i="5"/>
  <c r="BS33" i="5"/>
  <c r="BQ33" i="5" s="1"/>
  <c r="BR33" i="5"/>
  <c r="BP33" i="5"/>
  <c r="BO33" i="5"/>
  <c r="BM33" i="5" s="1"/>
  <c r="BN33" i="5"/>
  <c r="BL33" i="5"/>
  <c r="BK33" i="5"/>
  <c r="BI33" i="5" s="1"/>
  <c r="BJ33" i="5"/>
  <c r="BH33" i="5"/>
  <c r="BA33" i="5"/>
  <c r="AZ33" i="5"/>
  <c r="AY33" i="5"/>
  <c r="AX33" i="5"/>
  <c r="AW33" i="5"/>
  <c r="AV33" i="5"/>
  <c r="BC33" i="5" s="1"/>
  <c r="AT33" i="5"/>
  <c r="AS33" i="5"/>
  <c r="AR33" i="5"/>
  <c r="AQ33" i="5"/>
  <c r="AP33" i="5"/>
  <c r="AJ33" i="5"/>
  <c r="AI33" i="5"/>
  <c r="AH33" i="5"/>
  <c r="AG33" i="5"/>
  <c r="AF33" i="5"/>
  <c r="AD33" i="5" s="1"/>
  <c r="AE33" i="5"/>
  <c r="AB33" i="5"/>
  <c r="Y33" i="5"/>
  <c r="X33" i="5"/>
  <c r="AL33" i="5" s="1"/>
  <c r="BF33" i="5" s="1"/>
  <c r="U33" i="5"/>
  <c r="T33" i="5"/>
  <c r="S33" i="5"/>
  <c r="R33" i="5"/>
  <c r="Q33" i="5"/>
  <c r="P33" i="5" s="1"/>
  <c r="N33" i="5"/>
  <c r="L33" i="5"/>
  <c r="J33" i="5"/>
  <c r="K33" i="5" s="1"/>
  <c r="F33" i="5"/>
  <c r="E33" i="5"/>
  <c r="D33" i="5"/>
  <c r="B33" i="5"/>
  <c r="C33" i="5" s="1"/>
  <c r="A33" i="5"/>
  <c r="CB32" i="5"/>
  <c r="CA32" i="5"/>
  <c r="BZ32" i="5"/>
  <c r="BY32" i="5"/>
  <c r="BW32" i="5"/>
  <c r="BS32" i="5"/>
  <c r="BV32" i="5" s="1"/>
  <c r="BR32" i="5"/>
  <c r="BQ32" i="5"/>
  <c r="BP32" i="5"/>
  <c r="BO32" i="5"/>
  <c r="BM32" i="5" s="1"/>
  <c r="BN32" i="5"/>
  <c r="BL32" i="5"/>
  <c r="BK32" i="5"/>
  <c r="BJ32" i="5"/>
  <c r="BI32" i="5" s="1"/>
  <c r="BH32" i="5"/>
  <c r="BC32" i="5"/>
  <c r="BA32" i="5"/>
  <c r="AZ32" i="5"/>
  <c r="AX32" i="5"/>
  <c r="AW32" i="5"/>
  <c r="AV32" i="5"/>
  <c r="AU32" i="5"/>
  <c r="AT32" i="5"/>
  <c r="AS32" i="5"/>
  <c r="AQ32" i="5" s="1"/>
  <c r="AR32" i="5"/>
  <c r="AP32" i="5"/>
  <c r="AM32" i="5"/>
  <c r="AL32" i="5"/>
  <c r="AK32" i="5" s="1"/>
  <c r="AJ32" i="5"/>
  <c r="AI32" i="5"/>
  <c r="AH32" i="5"/>
  <c r="AG32" i="5"/>
  <c r="AF32" i="5"/>
  <c r="AE32" i="5"/>
  <c r="AD32" i="5"/>
  <c r="AB32" i="5"/>
  <c r="AA32" i="5"/>
  <c r="Y32" i="5"/>
  <c r="W32" i="5" s="1"/>
  <c r="X32" i="5"/>
  <c r="U32" i="5"/>
  <c r="T32" i="5"/>
  <c r="S32" i="5"/>
  <c r="R32" i="5"/>
  <c r="P32" i="5" s="1"/>
  <c r="Q32" i="5"/>
  <c r="O32" i="5"/>
  <c r="N32" i="5"/>
  <c r="J32" i="5"/>
  <c r="K32" i="5" s="1"/>
  <c r="I32" i="5"/>
  <c r="H32" i="5"/>
  <c r="G32" i="5"/>
  <c r="F32" i="5"/>
  <c r="D32" i="5"/>
  <c r="C32" i="5"/>
  <c r="B32" i="5"/>
  <c r="E32" i="5" s="1"/>
  <c r="A32" i="5"/>
  <c r="CB31" i="5"/>
  <c r="CA31" i="5"/>
  <c r="BZ31" i="5"/>
  <c r="BY31" i="5"/>
  <c r="BX31" i="5"/>
  <c r="BW31" i="5"/>
  <c r="BS31" i="5"/>
  <c r="BQ31" i="5" s="1"/>
  <c r="BR31" i="5"/>
  <c r="BP31" i="5"/>
  <c r="BO31" i="5"/>
  <c r="BN31" i="5"/>
  <c r="BU31" i="5" s="1"/>
  <c r="BL31" i="5"/>
  <c r="BK31" i="5"/>
  <c r="BI31" i="5" s="1"/>
  <c r="BJ31" i="5"/>
  <c r="BH31" i="5"/>
  <c r="BA31" i="5"/>
  <c r="AZ31" i="5"/>
  <c r="BC31" i="5" s="1"/>
  <c r="AY31" i="5"/>
  <c r="BB31" i="5" s="1"/>
  <c r="AX31" i="5"/>
  <c r="AW31" i="5"/>
  <c r="AU31" i="5" s="1"/>
  <c r="AV31" i="5"/>
  <c r="AT31" i="5"/>
  <c r="AS31" i="5"/>
  <c r="AR31" i="5"/>
  <c r="AQ31" i="5"/>
  <c r="AP31" i="5"/>
  <c r="AJ31" i="5"/>
  <c r="AF31" i="5"/>
  <c r="AD31" i="5" s="1"/>
  <c r="AE31" i="5"/>
  <c r="AL31" i="5" s="1"/>
  <c r="BF31" i="5" s="1"/>
  <c r="AB31" i="5"/>
  <c r="AC31" i="5" s="1"/>
  <c r="AG31" i="5" s="1"/>
  <c r="AA31" i="5"/>
  <c r="Z31" i="5"/>
  <c r="Y31" i="5"/>
  <c r="X31" i="5"/>
  <c r="V31" i="5"/>
  <c r="U31" i="5"/>
  <c r="R31" i="5"/>
  <c r="P31" i="5" s="1"/>
  <c r="Q31" i="5"/>
  <c r="O31" i="5"/>
  <c r="N31" i="5"/>
  <c r="K31" i="5"/>
  <c r="J31" i="5"/>
  <c r="L31" i="5" s="1"/>
  <c r="I31" i="5"/>
  <c r="H31" i="5"/>
  <c r="F31" i="5"/>
  <c r="G31" i="5" s="1"/>
  <c r="C31" i="5"/>
  <c r="B31" i="5"/>
  <c r="A31" i="5"/>
  <c r="CB30" i="5"/>
  <c r="CA30" i="5"/>
  <c r="BZ30" i="5"/>
  <c r="BX30" i="5" s="1"/>
  <c r="BY30" i="5"/>
  <c r="BW30" i="5"/>
  <c r="BV30" i="5"/>
  <c r="BS30" i="5"/>
  <c r="BQ30" i="5" s="1"/>
  <c r="BR30" i="5"/>
  <c r="BP30" i="5"/>
  <c r="BO30" i="5"/>
  <c r="BN30" i="5"/>
  <c r="BU30" i="5" s="1"/>
  <c r="BM30" i="5"/>
  <c r="BL30" i="5"/>
  <c r="BK30" i="5"/>
  <c r="BI30" i="5" s="1"/>
  <c r="BJ30" i="5"/>
  <c r="BH30" i="5"/>
  <c r="BA30" i="5"/>
  <c r="AZ30" i="5"/>
  <c r="AY30" i="5"/>
  <c r="AX30" i="5"/>
  <c r="AW30" i="5"/>
  <c r="AV30" i="5"/>
  <c r="BC30" i="5" s="1"/>
  <c r="AT30" i="5"/>
  <c r="AS30" i="5"/>
  <c r="AR30" i="5"/>
  <c r="AQ30" i="5"/>
  <c r="AP30" i="5"/>
  <c r="AJ30" i="5"/>
  <c r="AI30" i="5"/>
  <c r="AH30" i="5"/>
  <c r="AG30" i="5"/>
  <c r="AF30" i="5"/>
  <c r="AD30" i="5" s="1"/>
  <c r="AE30" i="5"/>
  <c r="AB30" i="5"/>
  <c r="Y30" i="5"/>
  <c r="X30" i="5"/>
  <c r="U30" i="5"/>
  <c r="T30" i="5"/>
  <c r="S30" i="5"/>
  <c r="R30" i="5"/>
  <c r="Q30" i="5"/>
  <c r="P30" i="5" s="1"/>
  <c r="N30" i="5"/>
  <c r="L30" i="5"/>
  <c r="J30" i="5"/>
  <c r="K30" i="5" s="1"/>
  <c r="F30" i="5"/>
  <c r="E30" i="5"/>
  <c r="D30" i="5"/>
  <c r="B30" i="5"/>
  <c r="C30" i="5" s="1"/>
  <c r="A30" i="5"/>
  <c r="CB29" i="5"/>
  <c r="CA29" i="5"/>
  <c r="BZ29" i="5"/>
  <c r="BY29" i="5"/>
  <c r="BW29" i="5"/>
  <c r="BS29" i="5"/>
  <c r="BR29" i="5"/>
  <c r="BQ29" i="5"/>
  <c r="BP29" i="5"/>
  <c r="BO29" i="5"/>
  <c r="BM29" i="5" s="1"/>
  <c r="BN29" i="5"/>
  <c r="BL29" i="5"/>
  <c r="BK29" i="5"/>
  <c r="BI29" i="5" s="1"/>
  <c r="BJ29" i="5"/>
  <c r="BH29" i="5"/>
  <c r="BC29" i="5"/>
  <c r="BA29" i="5"/>
  <c r="AZ29" i="5"/>
  <c r="AX29" i="5"/>
  <c r="AW29" i="5"/>
  <c r="AV29" i="5"/>
  <c r="AU29" i="5"/>
  <c r="AT29" i="5"/>
  <c r="AS29" i="5"/>
  <c r="AQ29" i="5" s="1"/>
  <c r="AR29" i="5"/>
  <c r="AP29" i="5"/>
  <c r="AM29" i="5"/>
  <c r="AJ29" i="5"/>
  <c r="AI29" i="5"/>
  <c r="AH29" i="5"/>
  <c r="AG29" i="5"/>
  <c r="AF29" i="5"/>
  <c r="AE29" i="5"/>
  <c r="AL29" i="5" s="1"/>
  <c r="BF29" i="5" s="1"/>
  <c r="AB29" i="5"/>
  <c r="AA29" i="5"/>
  <c r="Y29" i="5"/>
  <c r="W29" i="5" s="1"/>
  <c r="X29" i="5"/>
  <c r="U29" i="5"/>
  <c r="T29" i="5"/>
  <c r="S29" i="5"/>
  <c r="R29" i="5"/>
  <c r="P29" i="5" s="1"/>
  <c r="Q29" i="5"/>
  <c r="N29" i="5"/>
  <c r="J29" i="5"/>
  <c r="L29" i="5" s="1"/>
  <c r="I29" i="5"/>
  <c r="H29" i="5"/>
  <c r="F29" i="5"/>
  <c r="G29" i="5" s="1"/>
  <c r="C29" i="5"/>
  <c r="B29" i="5"/>
  <c r="A29" i="5"/>
  <c r="CB28" i="5"/>
  <c r="CA28" i="5"/>
  <c r="BZ28" i="5"/>
  <c r="BX28" i="5" s="1"/>
  <c r="BY28" i="5"/>
  <c r="BW28" i="5"/>
  <c r="BS28" i="5"/>
  <c r="BQ28" i="5" s="1"/>
  <c r="BR28" i="5"/>
  <c r="BP28" i="5"/>
  <c r="BO28" i="5"/>
  <c r="BV28" i="5" s="1"/>
  <c r="BN28" i="5"/>
  <c r="BU28" i="5" s="1"/>
  <c r="BM28" i="5"/>
  <c r="BL28" i="5"/>
  <c r="BK28" i="5"/>
  <c r="BI28" i="5" s="1"/>
  <c r="BJ28" i="5"/>
  <c r="BH28" i="5"/>
  <c r="BA28" i="5"/>
  <c r="AZ28" i="5"/>
  <c r="AY28" i="5"/>
  <c r="AX28" i="5"/>
  <c r="AW28" i="5"/>
  <c r="AV28" i="5"/>
  <c r="BC28" i="5" s="1"/>
  <c r="AT28" i="5"/>
  <c r="AS28" i="5"/>
  <c r="AR28" i="5"/>
  <c r="AQ28" i="5"/>
  <c r="AP28" i="5"/>
  <c r="AJ28" i="5"/>
  <c r="AI28" i="5"/>
  <c r="AH28" i="5"/>
  <c r="AG28" i="5"/>
  <c r="AF28" i="5"/>
  <c r="AD28" i="5" s="1"/>
  <c r="AE28" i="5"/>
  <c r="AB28" i="5"/>
  <c r="Z28" i="5"/>
  <c r="Y28" i="5"/>
  <c r="X28" i="5"/>
  <c r="AL28" i="5" s="1"/>
  <c r="BF28" i="5" s="1"/>
  <c r="U28" i="5"/>
  <c r="T28" i="5"/>
  <c r="S28" i="5"/>
  <c r="R28" i="5"/>
  <c r="Q28" i="5"/>
  <c r="P28" i="5"/>
  <c r="N28" i="5"/>
  <c r="L28" i="5"/>
  <c r="J28" i="5"/>
  <c r="K28" i="5" s="1"/>
  <c r="F28" i="5"/>
  <c r="E28" i="5"/>
  <c r="D28" i="5"/>
  <c r="B28" i="5"/>
  <c r="C28" i="5" s="1"/>
  <c r="A28" i="5"/>
  <c r="CB27" i="5"/>
  <c r="CA27" i="5"/>
  <c r="BZ27" i="5"/>
  <c r="BY27" i="5"/>
  <c r="BW27" i="5"/>
  <c r="BS27" i="5"/>
  <c r="BR27" i="5"/>
  <c r="BU27" i="5" s="1"/>
  <c r="BP27" i="5"/>
  <c r="BO27" i="5"/>
  <c r="BM27" i="5" s="1"/>
  <c r="BN27" i="5"/>
  <c r="BL27" i="5"/>
  <c r="BK27" i="5"/>
  <c r="BJ27" i="5"/>
  <c r="BI27" i="5"/>
  <c r="BH27" i="5"/>
  <c r="BA27" i="5"/>
  <c r="AZ27" i="5"/>
  <c r="BC27" i="5" s="1"/>
  <c r="AX27" i="5"/>
  <c r="AW27" i="5"/>
  <c r="AV27" i="5"/>
  <c r="AU27" i="5"/>
  <c r="AT27" i="5"/>
  <c r="AS27" i="5"/>
  <c r="AR27" i="5"/>
  <c r="AP27" i="5"/>
  <c r="AJ27" i="5"/>
  <c r="AI27" i="5"/>
  <c r="AH27" i="5"/>
  <c r="AF27" i="5"/>
  <c r="AG27" i="5" s="1"/>
  <c r="AE27" i="5"/>
  <c r="AL27" i="5" s="1"/>
  <c r="AB27" i="5"/>
  <c r="AA27" i="5"/>
  <c r="Y27" i="5"/>
  <c r="W27" i="5" s="1"/>
  <c r="X27" i="5"/>
  <c r="U27" i="5"/>
  <c r="T27" i="5"/>
  <c r="S27" i="5"/>
  <c r="R27" i="5"/>
  <c r="P27" i="5" s="1"/>
  <c r="Q27" i="5"/>
  <c r="N27" i="5"/>
  <c r="J27" i="5"/>
  <c r="L27" i="5" s="1"/>
  <c r="I27" i="5"/>
  <c r="H27" i="5"/>
  <c r="F27" i="5"/>
  <c r="G27" i="5" s="1"/>
  <c r="C27" i="5"/>
  <c r="B27" i="5"/>
  <c r="A27" i="5"/>
  <c r="CB26" i="5"/>
  <c r="CA26" i="5"/>
  <c r="BZ26" i="5"/>
  <c r="BX26" i="5" s="1"/>
  <c r="BY26" i="5"/>
  <c r="BW26" i="5"/>
  <c r="BS26" i="5"/>
  <c r="BQ26" i="5" s="1"/>
  <c r="BR26" i="5"/>
  <c r="BP26" i="5"/>
  <c r="BO26" i="5"/>
  <c r="BV26" i="5" s="1"/>
  <c r="BN26" i="5"/>
  <c r="BU26" i="5" s="1"/>
  <c r="BL26" i="5"/>
  <c r="BK26" i="5"/>
  <c r="BI26" i="5" s="1"/>
  <c r="BJ26" i="5"/>
  <c r="BH26" i="5"/>
  <c r="BA26" i="5"/>
  <c r="AZ26" i="5"/>
  <c r="AY26" i="5"/>
  <c r="AX26" i="5"/>
  <c r="AW26" i="5"/>
  <c r="BD26" i="5" s="1"/>
  <c r="AV26" i="5"/>
  <c r="BC26" i="5" s="1"/>
  <c r="AT26" i="5"/>
  <c r="AS26" i="5"/>
  <c r="AR26" i="5"/>
  <c r="AQ26" i="5"/>
  <c r="AP26" i="5"/>
  <c r="AJ26" i="5"/>
  <c r="AI26" i="5"/>
  <c r="AF26" i="5"/>
  <c r="AH26" i="5" s="1"/>
  <c r="AE26" i="5"/>
  <c r="AC26" i="5"/>
  <c r="AB26" i="5"/>
  <c r="AA26" i="5"/>
  <c r="Z26" i="5"/>
  <c r="Y26" i="5"/>
  <c r="W26" i="5" s="1"/>
  <c r="X26" i="5"/>
  <c r="U26" i="5"/>
  <c r="R26" i="5"/>
  <c r="Q26" i="5"/>
  <c r="P26" i="5" s="1"/>
  <c r="N26" i="5"/>
  <c r="L26" i="5"/>
  <c r="K26" i="5"/>
  <c r="J26" i="5"/>
  <c r="F26" i="5"/>
  <c r="I26" i="5" s="1"/>
  <c r="E26" i="5"/>
  <c r="D26" i="5"/>
  <c r="C26" i="5"/>
  <c r="B26" i="5"/>
  <c r="A26" i="5"/>
  <c r="CB25" i="5"/>
  <c r="CA25" i="5"/>
  <c r="BZ25" i="5"/>
  <c r="BX25" i="5" s="1"/>
  <c r="BY25" i="5"/>
  <c r="BW25" i="5"/>
  <c r="BT25" i="5"/>
  <c r="BS25" i="5"/>
  <c r="BR25" i="5"/>
  <c r="BQ25" i="5"/>
  <c r="BP25" i="5"/>
  <c r="BO25" i="5"/>
  <c r="BM25" i="5" s="1"/>
  <c r="BN25" i="5"/>
  <c r="BL25" i="5"/>
  <c r="BK25" i="5"/>
  <c r="BI25" i="5" s="1"/>
  <c r="BJ25" i="5"/>
  <c r="BH25" i="5"/>
  <c r="BC25" i="5"/>
  <c r="BA25" i="5"/>
  <c r="AY25" i="5" s="1"/>
  <c r="BB25" i="5" s="1"/>
  <c r="AZ25" i="5"/>
  <c r="AX25" i="5"/>
  <c r="AW25" i="5"/>
  <c r="AV25" i="5"/>
  <c r="AU25" i="5" s="1"/>
  <c r="AT25" i="5"/>
  <c r="AS25" i="5"/>
  <c r="AQ25" i="5" s="1"/>
  <c r="AR25" i="5"/>
  <c r="AP25" i="5"/>
  <c r="AJ25" i="5"/>
  <c r="AF25" i="5"/>
  <c r="AE25" i="5"/>
  <c r="AL25" i="5" s="1"/>
  <c r="BF25" i="5" s="1"/>
  <c r="AD25" i="5"/>
  <c r="AC25" i="5"/>
  <c r="AI25" i="5" s="1"/>
  <c r="AB25" i="5"/>
  <c r="AA25" i="5"/>
  <c r="Z25" i="5"/>
  <c r="Y25" i="5"/>
  <c r="X25" i="5"/>
  <c r="W25" i="5"/>
  <c r="U25" i="5"/>
  <c r="T25" i="5"/>
  <c r="R25" i="5"/>
  <c r="P25" i="5" s="1"/>
  <c r="Q25" i="5"/>
  <c r="N25" i="5"/>
  <c r="J25" i="5"/>
  <c r="L25" i="5" s="1"/>
  <c r="I25" i="5"/>
  <c r="H25" i="5"/>
  <c r="G25" i="5"/>
  <c r="F25" i="5"/>
  <c r="B25" i="5"/>
  <c r="E25" i="5" s="1"/>
  <c r="A25" i="5"/>
  <c r="CB24" i="5"/>
  <c r="CA24" i="5"/>
  <c r="BZ24" i="5"/>
  <c r="BY24" i="5"/>
  <c r="BX24" i="5"/>
  <c r="BW24" i="5"/>
  <c r="BV24" i="5"/>
  <c r="BS24" i="5"/>
  <c r="BR24" i="5"/>
  <c r="BQ24" i="5"/>
  <c r="BP24" i="5"/>
  <c r="BO24" i="5"/>
  <c r="BN24" i="5"/>
  <c r="BU24" i="5" s="1"/>
  <c r="BL24" i="5"/>
  <c r="BK24" i="5"/>
  <c r="BJ24" i="5"/>
  <c r="BI24" i="5"/>
  <c r="BH24" i="5"/>
  <c r="BA24" i="5"/>
  <c r="BD24" i="5" s="1"/>
  <c r="AZ24" i="5"/>
  <c r="AY24" i="5"/>
  <c r="AX24" i="5"/>
  <c r="AW24" i="5"/>
  <c r="AU24" i="5" s="1"/>
  <c r="AV24" i="5"/>
  <c r="AT24" i="5"/>
  <c r="AS24" i="5"/>
  <c r="AR24" i="5"/>
  <c r="AQ24" i="5" s="1"/>
  <c r="AP24" i="5"/>
  <c r="AJ24" i="5"/>
  <c r="AI24" i="5"/>
  <c r="AH24" i="5"/>
  <c r="AF24" i="5"/>
  <c r="AE24" i="5"/>
  <c r="AL24" i="5" s="1"/>
  <c r="AB24" i="5"/>
  <c r="AA24" i="5"/>
  <c r="Z24" i="5"/>
  <c r="Y24" i="5"/>
  <c r="W24" i="5" s="1"/>
  <c r="X24" i="5"/>
  <c r="U24" i="5"/>
  <c r="R24" i="5"/>
  <c r="T24" i="5" s="1"/>
  <c r="Q24" i="5"/>
  <c r="P24" i="5"/>
  <c r="N24" i="5"/>
  <c r="L24" i="5"/>
  <c r="K24" i="5"/>
  <c r="J24" i="5"/>
  <c r="F24" i="5"/>
  <c r="I24" i="5" s="1"/>
  <c r="E24" i="5"/>
  <c r="D24" i="5"/>
  <c r="C24" i="5"/>
  <c r="B24" i="5"/>
  <c r="A24" i="5"/>
  <c r="CB23" i="5"/>
  <c r="CA23" i="5"/>
  <c r="BZ23" i="5"/>
  <c r="BX23" i="5" s="1"/>
  <c r="BY23" i="5"/>
  <c r="BW23" i="5"/>
  <c r="BS23" i="5"/>
  <c r="BR23" i="5"/>
  <c r="BU23" i="5" s="1"/>
  <c r="BP23" i="5"/>
  <c r="BO23" i="5"/>
  <c r="BN23" i="5"/>
  <c r="BM23" i="5"/>
  <c r="BL23" i="5"/>
  <c r="BK23" i="5"/>
  <c r="BI23" i="5" s="1"/>
  <c r="BJ23" i="5"/>
  <c r="BH23" i="5"/>
  <c r="BD23" i="5"/>
  <c r="BC23" i="5"/>
  <c r="BA23" i="5"/>
  <c r="AY23" i="5" s="1"/>
  <c r="AZ23" i="5"/>
  <c r="AX23" i="5"/>
  <c r="AW23" i="5"/>
  <c r="AV23" i="5"/>
  <c r="AU23" i="5"/>
  <c r="BB23" i="5" s="1"/>
  <c r="AT23" i="5"/>
  <c r="AS23" i="5"/>
  <c r="AQ23" i="5" s="1"/>
  <c r="AR23" i="5"/>
  <c r="AP23" i="5"/>
  <c r="AN23" i="5"/>
  <c r="AM23" i="5"/>
  <c r="AL23" i="5"/>
  <c r="AJ23" i="5"/>
  <c r="AI23" i="5"/>
  <c r="AF23" i="5"/>
  <c r="AH23" i="5" s="1"/>
  <c r="AE23" i="5"/>
  <c r="AD23" i="5"/>
  <c r="AB23" i="5"/>
  <c r="AA23" i="5"/>
  <c r="Y23" i="5"/>
  <c r="Z23" i="5" s="1"/>
  <c r="X23" i="5"/>
  <c r="W23" i="5" s="1"/>
  <c r="U23" i="5"/>
  <c r="T23" i="5"/>
  <c r="R23" i="5"/>
  <c r="P23" i="5" s="1"/>
  <c r="Q23" i="5"/>
  <c r="N23" i="5"/>
  <c r="L23" i="5"/>
  <c r="K23" i="5"/>
  <c r="J23" i="5"/>
  <c r="I23" i="5"/>
  <c r="H23" i="5"/>
  <c r="F23" i="5"/>
  <c r="G23" i="5" s="1"/>
  <c r="E23" i="5"/>
  <c r="D23" i="5"/>
  <c r="C23" i="5"/>
  <c r="B23" i="5"/>
  <c r="A23" i="5"/>
  <c r="CB22" i="5"/>
  <c r="CA22" i="5"/>
  <c r="BZ22" i="5"/>
  <c r="BY22" i="5"/>
  <c r="BX22" i="5"/>
  <c r="BW22" i="5"/>
  <c r="BS22" i="5"/>
  <c r="BR22" i="5"/>
  <c r="BQ22" i="5"/>
  <c r="BP22" i="5"/>
  <c r="BO22" i="5"/>
  <c r="BV22" i="5" s="1"/>
  <c r="BN22" i="5"/>
  <c r="BU22" i="5" s="1"/>
  <c r="BL22" i="5"/>
  <c r="BK22" i="5"/>
  <c r="BJ22" i="5"/>
  <c r="BI22" i="5"/>
  <c r="BH22" i="5"/>
  <c r="BA22" i="5"/>
  <c r="BD22" i="5" s="1"/>
  <c r="BG22" i="5" s="1"/>
  <c r="AZ22" i="5"/>
  <c r="BC22" i="5" s="1"/>
  <c r="AX22" i="5"/>
  <c r="AW22" i="5"/>
  <c r="AU22" i="5" s="1"/>
  <c r="AV22" i="5"/>
  <c r="AT22" i="5"/>
  <c r="AS22" i="5"/>
  <c r="AR22" i="5"/>
  <c r="AQ22" i="5"/>
  <c r="AP22" i="5"/>
  <c r="AJ22" i="5"/>
  <c r="AF22" i="5"/>
  <c r="AM22" i="5" s="1"/>
  <c r="AE22" i="5"/>
  <c r="AC22" i="5"/>
  <c r="AI22" i="5" s="1"/>
  <c r="AB22" i="5"/>
  <c r="AA22" i="5"/>
  <c r="Z22" i="5"/>
  <c r="Y22" i="5"/>
  <c r="W22" i="5" s="1"/>
  <c r="X22" i="5"/>
  <c r="AL22" i="5" s="1"/>
  <c r="BF22" i="5" s="1"/>
  <c r="U22" i="5"/>
  <c r="T22" i="5"/>
  <c r="S22" i="5"/>
  <c r="R22" i="5"/>
  <c r="P22" i="5" s="1"/>
  <c r="Q22" i="5"/>
  <c r="N22" i="5"/>
  <c r="J22" i="5"/>
  <c r="I22" i="5"/>
  <c r="H22" i="5"/>
  <c r="G22" i="5"/>
  <c r="F22" i="5"/>
  <c r="B22" i="5"/>
  <c r="A22" i="5"/>
  <c r="CB21" i="5"/>
  <c r="CA21" i="5"/>
  <c r="BZ21" i="5"/>
  <c r="BX21" i="5" s="1"/>
  <c r="BY21" i="5"/>
  <c r="BW21" i="5"/>
  <c r="BV21" i="5"/>
  <c r="BS21" i="5"/>
  <c r="BQ21" i="5" s="1"/>
  <c r="BT21" i="5" s="1"/>
  <c r="BR21" i="5"/>
  <c r="BP21" i="5"/>
  <c r="BO21" i="5"/>
  <c r="BN21" i="5"/>
  <c r="BU21" i="5" s="1"/>
  <c r="BM21" i="5"/>
  <c r="BL21" i="5"/>
  <c r="BK21" i="5"/>
  <c r="BI21" i="5" s="1"/>
  <c r="BJ21" i="5"/>
  <c r="BH21" i="5"/>
  <c r="BD21" i="5"/>
  <c r="BC21" i="5"/>
  <c r="BA21" i="5"/>
  <c r="AY21" i="5" s="1"/>
  <c r="AZ21" i="5"/>
  <c r="AW21" i="5"/>
  <c r="AV21" i="5"/>
  <c r="AU21" i="5"/>
  <c r="AS21" i="5"/>
  <c r="AQ21" i="5" s="1"/>
  <c r="AR21" i="5"/>
  <c r="AP21" i="5"/>
  <c r="AJ21" i="5"/>
  <c r="AI21" i="5"/>
  <c r="AF21" i="5"/>
  <c r="AD21" i="5" s="1"/>
  <c r="AE21" i="5"/>
  <c r="AL21" i="5" s="1"/>
  <c r="BF21" i="5" s="1"/>
  <c r="AA21" i="5"/>
  <c r="Y21" i="5"/>
  <c r="W21" i="5" s="1"/>
  <c r="X21" i="5"/>
  <c r="U21" i="5"/>
  <c r="R21" i="5"/>
  <c r="P21" i="5" s="1"/>
  <c r="Q21" i="5"/>
  <c r="J21" i="5"/>
  <c r="I21" i="5"/>
  <c r="H21" i="5"/>
  <c r="G21" i="5"/>
  <c r="F21" i="5"/>
  <c r="B21" i="5"/>
  <c r="A21" i="5"/>
  <c r="CB20" i="5"/>
  <c r="CA20" i="5"/>
  <c r="BZ20" i="5"/>
  <c r="BX20" i="5" s="1"/>
  <c r="BY20" i="5"/>
  <c r="BW20" i="5"/>
  <c r="BU20" i="5"/>
  <c r="BS20" i="5"/>
  <c r="BQ20" i="5" s="1"/>
  <c r="BR20" i="5"/>
  <c r="BP20" i="5"/>
  <c r="BO20" i="5"/>
  <c r="BN20" i="5"/>
  <c r="BM20" i="5" s="1"/>
  <c r="BT20" i="5" s="1"/>
  <c r="BL20" i="5"/>
  <c r="BK20" i="5"/>
  <c r="BI20" i="5" s="1"/>
  <c r="BJ20" i="5"/>
  <c r="BH20" i="5"/>
  <c r="BD20" i="5"/>
  <c r="BC20" i="5"/>
  <c r="BA20" i="5"/>
  <c r="AY20" i="5" s="1"/>
  <c r="AZ20" i="5"/>
  <c r="AX20" i="5"/>
  <c r="AW20" i="5"/>
  <c r="AV20" i="5"/>
  <c r="AU20" i="5" s="1"/>
  <c r="AT20" i="5"/>
  <c r="AS20" i="5"/>
  <c r="AQ20" i="5" s="1"/>
  <c r="AR20" i="5"/>
  <c r="AP20" i="5"/>
  <c r="AJ20" i="5"/>
  <c r="AI20" i="5"/>
  <c r="AF20" i="5"/>
  <c r="AD20" i="5" s="1"/>
  <c r="AE20" i="5"/>
  <c r="AA20" i="5"/>
  <c r="Z20" i="5"/>
  <c r="Y20" i="5"/>
  <c r="X20" i="5"/>
  <c r="W20" i="5" s="1"/>
  <c r="U20" i="5"/>
  <c r="T20" i="5"/>
  <c r="R20" i="5"/>
  <c r="P20" i="5" s="1"/>
  <c r="Q20" i="5"/>
  <c r="N20" i="5"/>
  <c r="K20" i="5"/>
  <c r="J20" i="5"/>
  <c r="L20" i="5" s="1"/>
  <c r="I20" i="5"/>
  <c r="H20" i="5"/>
  <c r="G20" i="5"/>
  <c r="F20" i="5"/>
  <c r="C20" i="5"/>
  <c r="B20" i="5"/>
  <c r="E20" i="5" s="1"/>
  <c r="A20" i="5"/>
  <c r="CB19" i="5"/>
  <c r="CA19" i="5"/>
  <c r="BZ19" i="5"/>
  <c r="BY19" i="5"/>
  <c r="BX19" i="5" s="1"/>
  <c r="BW19" i="5"/>
  <c r="BV19" i="5"/>
  <c r="BS19" i="5"/>
  <c r="BR19" i="5"/>
  <c r="BQ19" i="5"/>
  <c r="BP19" i="5"/>
  <c r="BO19" i="5"/>
  <c r="BM19" i="5" s="1"/>
  <c r="BN19" i="5"/>
  <c r="BU19" i="5" s="1"/>
  <c r="BL19" i="5"/>
  <c r="BK19" i="5"/>
  <c r="BJ19" i="5"/>
  <c r="BI19" i="5"/>
  <c r="BH19" i="5"/>
  <c r="BA19" i="5"/>
  <c r="AZ19" i="5"/>
  <c r="BC19" i="5" s="1"/>
  <c r="BF19" i="5" s="1"/>
  <c r="AX19" i="5"/>
  <c r="AW19" i="5"/>
  <c r="AU19" i="5" s="1"/>
  <c r="AV19" i="5"/>
  <c r="AT19" i="5"/>
  <c r="AS19" i="5"/>
  <c r="AR19" i="5"/>
  <c r="AQ19" i="5"/>
  <c r="AP19" i="5"/>
  <c r="AJ19" i="5"/>
  <c r="AF19" i="5"/>
  <c r="AE19" i="5"/>
  <c r="AL19" i="5" s="1"/>
  <c r="AC19" i="5"/>
  <c r="AH19" i="5" s="1"/>
  <c r="AB19" i="5"/>
  <c r="AA19" i="5"/>
  <c r="Z19" i="5"/>
  <c r="Y19" i="5"/>
  <c r="W19" i="5" s="1"/>
  <c r="X19" i="5"/>
  <c r="U19" i="5"/>
  <c r="V19" i="5" s="1"/>
  <c r="AI19" i="5" s="1"/>
  <c r="S19" i="5"/>
  <c r="R19" i="5"/>
  <c r="P19" i="5" s="1"/>
  <c r="Q19" i="5"/>
  <c r="N19" i="5"/>
  <c r="K19" i="5"/>
  <c r="J19" i="5"/>
  <c r="L19" i="5" s="1"/>
  <c r="I19" i="5"/>
  <c r="H19" i="5"/>
  <c r="F19" i="5"/>
  <c r="G19" i="5" s="1"/>
  <c r="B19" i="5"/>
  <c r="A19" i="5"/>
  <c r="CB18" i="5"/>
  <c r="CA18" i="5"/>
  <c r="BZ18" i="5"/>
  <c r="BX18" i="5" s="1"/>
  <c r="BY18" i="5"/>
  <c r="BW18" i="5"/>
  <c r="BV18" i="5"/>
  <c r="BU18" i="5"/>
  <c r="BS18" i="5"/>
  <c r="BQ18" i="5" s="1"/>
  <c r="BR18" i="5"/>
  <c r="BP18" i="5"/>
  <c r="BO18" i="5"/>
  <c r="BN18" i="5"/>
  <c r="BM18" i="5" s="1"/>
  <c r="BT18" i="5" s="1"/>
  <c r="BL18" i="5"/>
  <c r="BK18" i="5"/>
  <c r="BI18" i="5" s="1"/>
  <c r="BJ18" i="5"/>
  <c r="BH18" i="5"/>
  <c r="BD18" i="5"/>
  <c r="BA18" i="5"/>
  <c r="AZ18" i="5"/>
  <c r="AY18" i="5"/>
  <c r="AX18" i="5"/>
  <c r="AW18" i="5"/>
  <c r="AU18" i="5" s="1"/>
  <c r="AV18" i="5"/>
  <c r="BC18" i="5" s="1"/>
  <c r="AT18" i="5"/>
  <c r="AS18" i="5"/>
  <c r="AR18" i="5"/>
  <c r="AQ18" i="5"/>
  <c r="AP18" i="5"/>
  <c r="AJ18" i="5"/>
  <c r="AI18" i="5"/>
  <c r="AF18" i="5"/>
  <c r="AE18" i="5"/>
  <c r="AB18" i="5"/>
  <c r="Z18" i="5"/>
  <c r="Y18" i="5"/>
  <c r="AA18" i="5" s="1"/>
  <c r="X18" i="5"/>
  <c r="AL18" i="5" s="1"/>
  <c r="BF18" i="5" s="1"/>
  <c r="U18" i="5"/>
  <c r="T18" i="5"/>
  <c r="S18" i="5"/>
  <c r="R18" i="5"/>
  <c r="Q18" i="5"/>
  <c r="P18" i="5" s="1"/>
  <c r="N18" i="5"/>
  <c r="L18" i="5"/>
  <c r="J18" i="5"/>
  <c r="K18" i="5" s="1"/>
  <c r="G18" i="5"/>
  <c r="F18" i="5"/>
  <c r="E18" i="5"/>
  <c r="D18" i="5"/>
  <c r="B18" i="5"/>
  <c r="C18" i="5" s="1"/>
  <c r="A18" i="5"/>
  <c r="CB17" i="5"/>
  <c r="CA17" i="5"/>
  <c r="BZ17" i="5"/>
  <c r="BX17" i="5" s="1"/>
  <c r="BY17" i="5"/>
  <c r="BW17" i="5"/>
  <c r="BS17" i="5"/>
  <c r="BR17" i="5"/>
  <c r="BU17" i="5" s="1"/>
  <c r="BP17" i="5"/>
  <c r="BO17" i="5"/>
  <c r="BM17" i="5" s="1"/>
  <c r="BN17" i="5"/>
  <c r="BL17" i="5"/>
  <c r="BK17" i="5"/>
  <c r="BJ17" i="5"/>
  <c r="BI17" i="5"/>
  <c r="BH17" i="5"/>
  <c r="BC17" i="5"/>
  <c r="BA17" i="5"/>
  <c r="AZ17" i="5"/>
  <c r="AX17" i="5"/>
  <c r="AW17" i="5"/>
  <c r="AV17" i="5"/>
  <c r="AU17" i="5"/>
  <c r="AT17" i="5"/>
  <c r="AS17" i="5"/>
  <c r="AQ17" i="5" s="1"/>
  <c r="AR17" i="5"/>
  <c r="AP17" i="5"/>
  <c r="AM17" i="5"/>
  <c r="AL17" i="5"/>
  <c r="AK17" i="5"/>
  <c r="AJ17" i="5"/>
  <c r="AH17" i="5"/>
  <c r="AG17" i="5"/>
  <c r="AF17" i="5"/>
  <c r="AE17" i="5"/>
  <c r="AD17" i="5"/>
  <c r="AB17" i="5"/>
  <c r="Y17" i="5"/>
  <c r="W17" i="5" s="1"/>
  <c r="X17" i="5"/>
  <c r="V17" i="5"/>
  <c r="AI17" i="5" s="1"/>
  <c r="U17" i="5"/>
  <c r="T17" i="5"/>
  <c r="S17" i="5"/>
  <c r="R17" i="5"/>
  <c r="P17" i="5" s="1"/>
  <c r="Q17" i="5"/>
  <c r="N17" i="5"/>
  <c r="L17" i="5"/>
  <c r="K17" i="5"/>
  <c r="J17" i="5"/>
  <c r="I17" i="5"/>
  <c r="H17" i="5"/>
  <c r="G17" i="5"/>
  <c r="F17" i="5"/>
  <c r="B17" i="5"/>
  <c r="E17" i="5" s="1"/>
  <c r="A17" i="5"/>
  <c r="CB16" i="5"/>
  <c r="CA16" i="5"/>
  <c r="BZ16" i="5"/>
  <c r="BY16" i="5"/>
  <c r="BX16" i="5"/>
  <c r="BW16" i="5"/>
  <c r="BV16" i="5"/>
  <c r="BS16" i="5"/>
  <c r="BQ16" i="5" s="1"/>
  <c r="BR16" i="5"/>
  <c r="BP16" i="5"/>
  <c r="BO16" i="5"/>
  <c r="BN16" i="5"/>
  <c r="BU16" i="5" s="1"/>
  <c r="BM16" i="5"/>
  <c r="BL16" i="5"/>
  <c r="BK16" i="5"/>
  <c r="BI16" i="5" s="1"/>
  <c r="BJ16" i="5"/>
  <c r="BH16" i="5"/>
  <c r="BA16" i="5"/>
  <c r="AZ16" i="5"/>
  <c r="BC16" i="5" s="1"/>
  <c r="AX16" i="5"/>
  <c r="AW16" i="5"/>
  <c r="AV16" i="5"/>
  <c r="AT16" i="5"/>
  <c r="AS16" i="5"/>
  <c r="AR16" i="5"/>
  <c r="AQ16" i="5"/>
  <c r="AP16" i="5"/>
  <c r="AJ16" i="5"/>
  <c r="AI16" i="5"/>
  <c r="AH16" i="5"/>
  <c r="AG16" i="5"/>
  <c r="AF16" i="5"/>
  <c r="AD16" i="5" s="1"/>
  <c r="AE16" i="5"/>
  <c r="AL16" i="5" s="1"/>
  <c r="BF16" i="5" s="1"/>
  <c r="AB16" i="5"/>
  <c r="Z16" i="5"/>
  <c r="Y16" i="5"/>
  <c r="X16" i="5"/>
  <c r="V16" i="5"/>
  <c r="U16" i="5"/>
  <c r="S16" i="5"/>
  <c r="R16" i="5"/>
  <c r="T16" i="5" s="1"/>
  <c r="Q16" i="5"/>
  <c r="P16" i="5"/>
  <c r="N16" i="5"/>
  <c r="L16" i="5"/>
  <c r="K16" i="5"/>
  <c r="J16" i="5"/>
  <c r="I16" i="5"/>
  <c r="F16" i="5"/>
  <c r="G16" i="5" s="1"/>
  <c r="E16" i="5"/>
  <c r="D16" i="5"/>
  <c r="C16" i="5"/>
  <c r="B16" i="5"/>
  <c r="A16" i="5"/>
  <c r="CB15" i="5"/>
  <c r="CA15" i="5"/>
  <c r="BZ15" i="5"/>
  <c r="BX15" i="5" s="1"/>
  <c r="BY15" i="5"/>
  <c r="BW15" i="5"/>
  <c r="BS15" i="5"/>
  <c r="BR15" i="5"/>
  <c r="BP15" i="5"/>
  <c r="BO15" i="5"/>
  <c r="BN15" i="5"/>
  <c r="BM15" i="5"/>
  <c r="BL15" i="5"/>
  <c r="BK15" i="5"/>
  <c r="BJ15" i="5"/>
  <c r="BU15" i="5" s="1"/>
  <c r="BH15" i="5"/>
  <c r="BD15" i="5"/>
  <c r="BC15" i="5"/>
  <c r="BA15" i="5"/>
  <c r="AY15" i="5" s="1"/>
  <c r="AZ15" i="5"/>
  <c r="AX15" i="5"/>
  <c r="AW15" i="5"/>
  <c r="AV15" i="5"/>
  <c r="AU15" i="5"/>
  <c r="AT15" i="5"/>
  <c r="AS15" i="5"/>
  <c r="AQ15" i="5" s="1"/>
  <c r="BB15" i="5" s="1"/>
  <c r="AR15" i="5"/>
  <c r="AP15" i="5"/>
  <c r="AJ15" i="5"/>
  <c r="AG15" i="5"/>
  <c r="AF15" i="5"/>
  <c r="AH15" i="5" s="1"/>
  <c r="AE15" i="5"/>
  <c r="AL15" i="5" s="1"/>
  <c r="BF15" i="5" s="1"/>
  <c r="AD15" i="5"/>
  <c r="AB15" i="5"/>
  <c r="AC15" i="5" s="1"/>
  <c r="AI15" i="5" s="1"/>
  <c r="Y15" i="5"/>
  <c r="X15" i="5"/>
  <c r="W15" i="5" s="1"/>
  <c r="U15" i="5"/>
  <c r="T15" i="5"/>
  <c r="S15" i="5"/>
  <c r="R15" i="5"/>
  <c r="Q15" i="5"/>
  <c r="P15" i="5"/>
  <c r="N15" i="5"/>
  <c r="L15" i="5"/>
  <c r="K15" i="5"/>
  <c r="J15" i="5"/>
  <c r="F15" i="5"/>
  <c r="E15" i="5"/>
  <c r="D15" i="5"/>
  <c r="C15" i="5"/>
  <c r="B15" i="5"/>
  <c r="A15" i="5"/>
  <c r="CB14" i="5"/>
  <c r="CA14" i="5"/>
  <c r="BZ14" i="5"/>
  <c r="BX14" i="5" s="1"/>
  <c r="BY14" i="5"/>
  <c r="BW14" i="5"/>
  <c r="BS14" i="5"/>
  <c r="BR14" i="5"/>
  <c r="BQ14" i="5"/>
  <c r="BP14" i="5"/>
  <c r="BO14" i="5"/>
  <c r="BN14" i="5"/>
  <c r="BL14" i="5"/>
  <c r="BK14" i="5"/>
  <c r="BJ14" i="5"/>
  <c r="BI14" i="5" s="1"/>
  <c r="BH14" i="5"/>
  <c r="BA14" i="5"/>
  <c r="BD14" i="5" s="1"/>
  <c r="BG14" i="5" s="1"/>
  <c r="AZ14" i="5"/>
  <c r="AX14" i="5"/>
  <c r="AW14" i="5"/>
  <c r="AU14" i="5" s="1"/>
  <c r="AV14" i="5"/>
  <c r="AT14" i="5"/>
  <c r="AS14" i="5"/>
  <c r="AQ14" i="5" s="1"/>
  <c r="AR14" i="5"/>
  <c r="AP14" i="5"/>
  <c r="AJ14" i="5"/>
  <c r="AI14" i="5"/>
  <c r="AH14" i="5"/>
  <c r="AG14" i="5"/>
  <c r="AF14" i="5"/>
  <c r="AM14" i="5" s="1"/>
  <c r="AE14" i="5"/>
  <c r="AD14" i="5"/>
  <c r="AB14" i="5"/>
  <c r="AA14" i="5"/>
  <c r="Z14" i="5"/>
  <c r="Y14" i="5"/>
  <c r="W14" i="5" s="1"/>
  <c r="X14" i="5"/>
  <c r="U14" i="5"/>
  <c r="S14" i="5"/>
  <c r="R14" i="5"/>
  <c r="Q14" i="5"/>
  <c r="AL14" i="5" s="1"/>
  <c r="N14" i="5"/>
  <c r="J14" i="5"/>
  <c r="I14" i="5"/>
  <c r="H14" i="5"/>
  <c r="G14" i="5"/>
  <c r="F14" i="5"/>
  <c r="B14" i="5"/>
  <c r="A14" i="5"/>
  <c r="CB13" i="5"/>
  <c r="CA13" i="5"/>
  <c r="BZ13" i="5"/>
  <c r="BX13" i="5" s="1"/>
  <c r="BY13" i="5"/>
  <c r="BW13" i="5"/>
  <c r="BU13" i="5"/>
  <c r="BS13" i="5"/>
  <c r="BQ13" i="5" s="1"/>
  <c r="BR13" i="5"/>
  <c r="BP13" i="5"/>
  <c r="BO13" i="5"/>
  <c r="BN13" i="5"/>
  <c r="BM13" i="5"/>
  <c r="BL13" i="5"/>
  <c r="BK13" i="5"/>
  <c r="BI13" i="5" s="1"/>
  <c r="BT13" i="5" s="1"/>
  <c r="BJ13" i="5"/>
  <c r="BH13" i="5"/>
  <c r="BA13" i="5"/>
  <c r="AY13" i="5" s="1"/>
  <c r="AZ13" i="5"/>
  <c r="AX13" i="5"/>
  <c r="AW13" i="5"/>
  <c r="BD13" i="5" s="1"/>
  <c r="AV13" i="5"/>
  <c r="BC13" i="5" s="1"/>
  <c r="BF13" i="5" s="1"/>
  <c r="AT13" i="5"/>
  <c r="AS13" i="5"/>
  <c r="AQ13" i="5" s="1"/>
  <c r="AR13" i="5"/>
  <c r="AP13" i="5"/>
  <c r="AM13" i="5"/>
  <c r="AJ13" i="5"/>
  <c r="AG13" i="5"/>
  <c r="AF13" i="5"/>
  <c r="AE13" i="5"/>
  <c r="AL13" i="5" s="1"/>
  <c r="AC13" i="5"/>
  <c r="AB13" i="5"/>
  <c r="Z13" i="5"/>
  <c r="Y13" i="5"/>
  <c r="AA13" i="5" s="1"/>
  <c r="X13" i="5"/>
  <c r="W13" i="5"/>
  <c r="U13" i="5"/>
  <c r="V13" i="5" s="1"/>
  <c r="R13" i="5"/>
  <c r="Q13" i="5"/>
  <c r="P13" i="5"/>
  <c r="O13" i="5"/>
  <c r="AI13" i="5" s="1"/>
  <c r="N13" i="5"/>
  <c r="L13" i="5"/>
  <c r="K13" i="5"/>
  <c r="J13" i="5"/>
  <c r="F13" i="5"/>
  <c r="I13" i="5" s="1"/>
  <c r="E13" i="5"/>
  <c r="D13" i="5"/>
  <c r="C13" i="5"/>
  <c r="B13" i="5"/>
  <c r="A13" i="5"/>
  <c r="CB12" i="5"/>
  <c r="CA12" i="5"/>
  <c r="BZ12" i="5"/>
  <c r="BX12" i="5" s="1"/>
  <c r="BY12" i="5"/>
  <c r="BW12" i="5"/>
  <c r="BS12" i="5"/>
  <c r="BR12" i="5"/>
  <c r="BU12" i="5" s="1"/>
  <c r="BP12" i="5"/>
  <c r="BO12" i="5"/>
  <c r="BN12" i="5"/>
  <c r="BM12" i="5"/>
  <c r="BL12" i="5"/>
  <c r="BK12" i="5"/>
  <c r="BJ12" i="5"/>
  <c r="BH12" i="5"/>
  <c r="BD12" i="5"/>
  <c r="BA12" i="5"/>
  <c r="AY12" i="5" s="1"/>
  <c r="BB12" i="5" s="1"/>
  <c r="AZ12" i="5"/>
  <c r="AX12" i="5"/>
  <c r="AW12" i="5"/>
  <c r="AV12" i="5"/>
  <c r="BC12" i="5" s="1"/>
  <c r="AU12" i="5"/>
  <c r="AT12" i="5"/>
  <c r="AS12" i="5"/>
  <c r="AQ12" i="5" s="1"/>
  <c r="AR12" i="5"/>
  <c r="AP12" i="5"/>
  <c r="AM12" i="5"/>
  <c r="AJ12" i="5"/>
  <c r="AF12" i="5"/>
  <c r="AH12" i="5" s="1"/>
  <c r="AE12" i="5"/>
  <c r="AD12" i="5"/>
  <c r="AB12" i="5"/>
  <c r="Y12" i="5"/>
  <c r="X12" i="5"/>
  <c r="AL12" i="5" s="1"/>
  <c r="U12" i="5"/>
  <c r="V12" i="5" s="1"/>
  <c r="R12" i="5"/>
  <c r="Q12" i="5"/>
  <c r="P12" i="5"/>
  <c r="N12" i="5"/>
  <c r="O12" i="5" s="1"/>
  <c r="L12" i="5"/>
  <c r="J12" i="5"/>
  <c r="K12" i="5" s="1"/>
  <c r="G12" i="5"/>
  <c r="F12" i="5"/>
  <c r="E12" i="5"/>
  <c r="D12" i="5"/>
  <c r="B12" i="5"/>
  <c r="C12" i="5" s="1"/>
  <c r="A12" i="5"/>
  <c r="CB11" i="5"/>
  <c r="CA11" i="5"/>
  <c r="BZ11" i="5"/>
  <c r="BY11" i="5"/>
  <c r="BX11" i="5"/>
  <c r="BW11" i="5"/>
  <c r="BS11" i="5"/>
  <c r="BV11" i="5" s="1"/>
  <c r="BR11" i="5"/>
  <c r="BU11" i="5" s="1"/>
  <c r="BP11" i="5"/>
  <c r="BO11" i="5"/>
  <c r="BM11" i="5" s="1"/>
  <c r="BN11" i="5"/>
  <c r="BL11" i="5"/>
  <c r="BK11" i="5"/>
  <c r="BJ11" i="5"/>
  <c r="BI11" i="5"/>
  <c r="BH11" i="5"/>
  <c r="BA11" i="5"/>
  <c r="AZ11" i="5"/>
  <c r="BC11" i="5" s="1"/>
  <c r="AX11" i="5"/>
  <c r="AW11" i="5"/>
  <c r="AV11" i="5"/>
  <c r="AU11" i="5"/>
  <c r="AT11" i="5"/>
  <c r="AS11" i="5"/>
  <c r="AQ11" i="5" s="1"/>
  <c r="AR11" i="5"/>
  <c r="AP11" i="5"/>
  <c r="AL11" i="5"/>
  <c r="AJ11" i="5"/>
  <c r="AI11" i="5"/>
  <c r="AH11" i="5"/>
  <c r="AF11" i="5"/>
  <c r="AG11" i="5" s="1"/>
  <c r="AE11" i="5"/>
  <c r="AD11" i="5" s="1"/>
  <c r="AB11" i="5"/>
  <c r="AA11" i="5"/>
  <c r="Y11" i="5"/>
  <c r="W11" i="5" s="1"/>
  <c r="X11" i="5"/>
  <c r="U11" i="5"/>
  <c r="S11" i="5"/>
  <c r="R11" i="5"/>
  <c r="P11" i="5" s="1"/>
  <c r="Q11" i="5"/>
  <c r="N11" i="5"/>
  <c r="K11" i="5"/>
  <c r="J11" i="5"/>
  <c r="L11" i="5" s="1"/>
  <c r="I11" i="5"/>
  <c r="H11" i="5"/>
  <c r="F11" i="5"/>
  <c r="G11" i="5" s="1"/>
  <c r="B11" i="5"/>
  <c r="A11" i="5"/>
  <c r="CB10" i="5"/>
  <c r="CA10" i="5"/>
  <c r="BZ10" i="5"/>
  <c r="BX10" i="5" s="1"/>
  <c r="BY10" i="5"/>
  <c r="BW10" i="5"/>
  <c r="BV10" i="5"/>
  <c r="BU10" i="5"/>
  <c r="BS10" i="5"/>
  <c r="BQ10" i="5" s="1"/>
  <c r="BR10" i="5"/>
  <c r="BP10" i="5"/>
  <c r="BO10" i="5"/>
  <c r="BN10" i="5"/>
  <c r="BM10" i="5" s="1"/>
  <c r="BT10" i="5" s="1"/>
  <c r="BL10" i="5"/>
  <c r="BK10" i="5"/>
  <c r="BI10" i="5" s="1"/>
  <c r="BJ10" i="5"/>
  <c r="BH10" i="5"/>
  <c r="BD10" i="5"/>
  <c r="BA10" i="5"/>
  <c r="AZ10" i="5"/>
  <c r="AY10" i="5"/>
  <c r="AX10" i="5"/>
  <c r="AW10" i="5"/>
  <c r="AU10" i="5" s="1"/>
  <c r="AV10" i="5"/>
  <c r="BC10" i="5" s="1"/>
  <c r="AT10" i="5"/>
  <c r="AS10" i="5"/>
  <c r="AR10" i="5"/>
  <c r="AQ10" i="5"/>
  <c r="AP10" i="5"/>
  <c r="AJ10" i="5"/>
  <c r="AF10" i="5"/>
  <c r="AE10" i="5"/>
  <c r="AB10" i="5"/>
  <c r="Y10" i="5"/>
  <c r="X10" i="5"/>
  <c r="AL10" i="5" s="1"/>
  <c r="BF10" i="5" s="1"/>
  <c r="U10" i="5"/>
  <c r="V10" i="5" s="1"/>
  <c r="Z10" i="5" s="1"/>
  <c r="R10" i="5"/>
  <c r="Q10" i="5"/>
  <c r="O10" i="5"/>
  <c r="N10" i="5"/>
  <c r="L10" i="5"/>
  <c r="J10" i="5"/>
  <c r="K10" i="5" s="1"/>
  <c r="I10" i="5"/>
  <c r="H10" i="5"/>
  <c r="G10" i="5"/>
  <c r="F10" i="5"/>
  <c r="E10" i="5"/>
  <c r="D10" i="5"/>
  <c r="B10" i="5"/>
  <c r="C10" i="5" s="1"/>
  <c r="A10" i="5"/>
  <c r="CB9" i="5"/>
  <c r="CA9" i="5"/>
  <c r="BZ9" i="5"/>
  <c r="BX9" i="5" s="1"/>
  <c r="BY9" i="5"/>
  <c r="BW9" i="5"/>
  <c r="BS9" i="5"/>
  <c r="BR9" i="5"/>
  <c r="BU9" i="5" s="1"/>
  <c r="BP9" i="5"/>
  <c r="BO9" i="5"/>
  <c r="BN9" i="5"/>
  <c r="BM9" i="5"/>
  <c r="BL9" i="5"/>
  <c r="BK9" i="5"/>
  <c r="BI9" i="5" s="1"/>
  <c r="BJ9" i="5"/>
  <c r="BH9" i="5"/>
  <c r="BA9" i="5"/>
  <c r="AY9" i="5" s="1"/>
  <c r="AZ9" i="5"/>
  <c r="AX9" i="5"/>
  <c r="AW9" i="5"/>
  <c r="BD9" i="5" s="1"/>
  <c r="AV9" i="5"/>
  <c r="BC9" i="5" s="1"/>
  <c r="AT9" i="5"/>
  <c r="AS9" i="5"/>
  <c r="AQ9" i="5" s="1"/>
  <c r="AR9" i="5"/>
  <c r="AP9" i="5"/>
  <c r="AJ9" i="5"/>
  <c r="AF9" i="5"/>
  <c r="AE9" i="5"/>
  <c r="AD9" i="5" s="1"/>
  <c r="AB9" i="5"/>
  <c r="AC9" i="5" s="1"/>
  <c r="AG9" i="5" s="1"/>
  <c r="Y9" i="5"/>
  <c r="X9" i="5"/>
  <c r="V9" i="5"/>
  <c r="U9" i="5"/>
  <c r="R9" i="5"/>
  <c r="Q9" i="5"/>
  <c r="P9" i="5"/>
  <c r="O9" i="5"/>
  <c r="N9" i="5"/>
  <c r="L9" i="5"/>
  <c r="K9" i="5"/>
  <c r="J9" i="5"/>
  <c r="F9" i="5"/>
  <c r="I9" i="5" s="1"/>
  <c r="E9" i="5"/>
  <c r="D9" i="5"/>
  <c r="C9" i="5"/>
  <c r="B9" i="5"/>
  <c r="A9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B8" i="5"/>
  <c r="CA8" i="5"/>
  <c r="BZ8" i="5"/>
  <c r="BY8" i="5"/>
  <c r="BX8" i="5"/>
  <c r="BW8" i="5"/>
  <c r="BS8" i="5"/>
  <c r="BR8" i="5"/>
  <c r="BQ8" i="5"/>
  <c r="BT8" i="5" s="1"/>
  <c r="BP8" i="5"/>
  <c r="BO8" i="5"/>
  <c r="BN8" i="5"/>
  <c r="BL8" i="5"/>
  <c r="BK8" i="5"/>
  <c r="BJ8" i="5"/>
  <c r="BI8" i="5" s="1"/>
  <c r="BH8" i="5"/>
  <c r="BA8" i="5"/>
  <c r="AZ8" i="5"/>
  <c r="BC8" i="5" s="1"/>
  <c r="AY8" i="5"/>
  <c r="BB8" i="5" s="1"/>
  <c r="AX8" i="5"/>
  <c r="AW8" i="5"/>
  <c r="AU8" i="5" s="1"/>
  <c r="AV8" i="5"/>
  <c r="AT8" i="5"/>
  <c r="AS8" i="5"/>
  <c r="AR8" i="5"/>
  <c r="AQ8" i="5"/>
  <c r="AP8" i="5"/>
  <c r="AL8" i="5"/>
  <c r="AJ8" i="5"/>
  <c r="AF8" i="5"/>
  <c r="AE8" i="5"/>
  <c r="AD8" i="5"/>
  <c r="AC8" i="5"/>
  <c r="AB8" i="5"/>
  <c r="Y8" i="5"/>
  <c r="AM8" i="5" s="1"/>
  <c r="X8" i="5"/>
  <c r="V8" i="5"/>
  <c r="AA8" i="5" s="1"/>
  <c r="U8" i="5"/>
  <c r="T8" i="5"/>
  <c r="S8" i="5"/>
  <c r="R8" i="5"/>
  <c r="P8" i="5" s="1"/>
  <c r="Q8" i="5"/>
  <c r="N8" i="5"/>
  <c r="O8" i="5" s="1"/>
  <c r="AI8" i="5" s="1"/>
  <c r="K8" i="5"/>
  <c r="J8" i="5"/>
  <c r="L8" i="5" s="1"/>
  <c r="I8" i="5"/>
  <c r="H8" i="5"/>
  <c r="F8" i="5"/>
  <c r="G8" i="5" s="1"/>
  <c r="B8" i="5"/>
  <c r="E8" i="5" s="1"/>
  <c r="A8" i="5"/>
  <c r="CB7" i="5"/>
  <c r="CA7" i="5"/>
  <c r="BZ7" i="5"/>
  <c r="BY7" i="5"/>
  <c r="BX7" i="5"/>
  <c r="BW7" i="5"/>
  <c r="BV7" i="5"/>
  <c r="BS7" i="5"/>
  <c r="BR7" i="5"/>
  <c r="BQ7" i="5"/>
  <c r="BP7" i="5"/>
  <c r="BO7" i="5"/>
  <c r="BN7" i="5"/>
  <c r="BU7" i="5" s="1"/>
  <c r="BL7" i="5"/>
  <c r="BK7" i="5"/>
  <c r="BJ7" i="5"/>
  <c r="BI7" i="5"/>
  <c r="BH7" i="5"/>
  <c r="BA7" i="5"/>
  <c r="BD7" i="5" s="1"/>
  <c r="AZ7" i="5"/>
  <c r="AY7" i="5"/>
  <c r="AX7" i="5"/>
  <c r="AW7" i="5"/>
  <c r="AU7" i="5" s="1"/>
  <c r="AV7" i="5"/>
  <c r="AT7" i="5"/>
  <c r="AS7" i="5"/>
  <c r="AR7" i="5"/>
  <c r="AQ7" i="5" s="1"/>
  <c r="AP7" i="5"/>
  <c r="AJ7" i="5"/>
  <c r="AI7" i="5"/>
  <c r="AH7" i="5"/>
  <c r="AF7" i="5"/>
  <c r="AE7" i="5"/>
  <c r="AB7" i="5"/>
  <c r="Y7" i="5"/>
  <c r="W7" i="5" s="1"/>
  <c r="X7" i="5"/>
  <c r="AL7" i="5" s="1"/>
  <c r="U7" i="5"/>
  <c r="R7" i="5"/>
  <c r="T7" i="5" s="1"/>
  <c r="Q7" i="5"/>
  <c r="P7" i="5"/>
  <c r="N7" i="5"/>
  <c r="L7" i="5"/>
  <c r="J7" i="5"/>
  <c r="K7" i="5" s="1"/>
  <c r="I7" i="5"/>
  <c r="G7" i="5"/>
  <c r="F7" i="5"/>
  <c r="H7" i="5" s="1"/>
  <c r="E7" i="5"/>
  <c r="D7" i="5"/>
  <c r="B7" i="5"/>
  <c r="C7" i="5" s="1"/>
  <c r="A7" i="5"/>
  <c r="CB6" i="5"/>
  <c r="CA6" i="5"/>
  <c r="BZ6" i="5"/>
  <c r="BX6" i="5" s="1"/>
  <c r="BY6" i="5"/>
  <c r="BW6" i="5"/>
  <c r="BS6" i="5"/>
  <c r="BR6" i="5"/>
  <c r="BP6" i="5"/>
  <c r="BO6" i="5"/>
  <c r="BN6" i="5"/>
  <c r="BM6" i="5"/>
  <c r="BL6" i="5"/>
  <c r="BK6" i="5"/>
  <c r="BJ6" i="5"/>
  <c r="BU6" i="5" s="1"/>
  <c r="BH6" i="5"/>
  <c r="BD6" i="5"/>
  <c r="BC6" i="5"/>
  <c r="BA6" i="5"/>
  <c r="AY6" i="5" s="1"/>
  <c r="AZ6" i="5"/>
  <c r="AX6" i="5"/>
  <c r="AW6" i="5"/>
  <c r="AV6" i="5"/>
  <c r="AU6" i="5"/>
  <c r="AT6" i="5"/>
  <c r="AS6" i="5"/>
  <c r="AQ6" i="5" s="1"/>
  <c r="BB6" i="5" s="1"/>
  <c r="AR6" i="5"/>
  <c r="AP6" i="5"/>
  <c r="AJ6" i="5"/>
  <c r="AI6" i="5"/>
  <c r="AF6" i="5"/>
  <c r="AH6" i="5" s="1"/>
  <c r="AE6" i="5"/>
  <c r="AL6" i="5" s="1"/>
  <c r="BF6" i="5" s="1"/>
  <c r="AB6" i="5"/>
  <c r="AA6" i="5"/>
  <c r="Y6" i="5"/>
  <c r="Z6" i="5" s="1"/>
  <c r="X6" i="5"/>
  <c r="W6" i="5" s="1"/>
  <c r="U6" i="5"/>
  <c r="T6" i="5"/>
  <c r="R6" i="5"/>
  <c r="P6" i="5" s="1"/>
  <c r="Q6" i="5"/>
  <c r="N6" i="5"/>
  <c r="K6" i="5"/>
  <c r="J6" i="5"/>
  <c r="L6" i="5" s="1"/>
  <c r="I6" i="5"/>
  <c r="H6" i="5"/>
  <c r="F6" i="5"/>
  <c r="G6" i="5" s="1"/>
  <c r="B6" i="5"/>
  <c r="E6" i="5" s="1"/>
  <c r="A6" i="5"/>
  <c r="CB5" i="5"/>
  <c r="CA5" i="5"/>
  <c r="BZ5" i="5"/>
  <c r="BY5" i="5"/>
  <c r="BX5" i="5"/>
  <c r="BW5" i="5"/>
  <c r="BV5" i="5"/>
  <c r="BS5" i="5"/>
  <c r="BR5" i="5"/>
  <c r="BQ5" i="5"/>
  <c r="BP5" i="5"/>
  <c r="BO5" i="5"/>
  <c r="BN5" i="5"/>
  <c r="BU5" i="5" s="1"/>
  <c r="BL5" i="5"/>
  <c r="BK5" i="5"/>
  <c r="BJ5" i="5"/>
  <c r="BI5" i="5"/>
  <c r="BH5" i="5"/>
  <c r="BA5" i="5"/>
  <c r="BD5" i="5" s="1"/>
  <c r="AZ5" i="5"/>
  <c r="AY5" i="5"/>
  <c r="AX5" i="5"/>
  <c r="AW5" i="5"/>
  <c r="AU5" i="5" s="1"/>
  <c r="AV5" i="5"/>
  <c r="AT5" i="5"/>
  <c r="AS5" i="5"/>
  <c r="AR5" i="5"/>
  <c r="AQ5" i="5" s="1"/>
  <c r="AP5" i="5"/>
  <c r="AJ5" i="5"/>
  <c r="AI5" i="5"/>
  <c r="AH5" i="5"/>
  <c r="AF5" i="5"/>
  <c r="AE5" i="5"/>
  <c r="AB5" i="5"/>
  <c r="Y5" i="5"/>
  <c r="W5" i="5" s="1"/>
  <c r="X5" i="5"/>
  <c r="AL5" i="5" s="1"/>
  <c r="U5" i="5"/>
  <c r="V5" i="5" s="1"/>
  <c r="V161" i="5" s="1"/>
  <c r="S5" i="5"/>
  <c r="R5" i="5"/>
  <c r="Q5" i="5"/>
  <c r="O5" i="5"/>
  <c r="O161" i="5" s="1"/>
  <c r="N5" i="5"/>
  <c r="K5" i="5"/>
  <c r="J5" i="5"/>
  <c r="L5" i="5" s="1"/>
  <c r="I5" i="5"/>
  <c r="H5" i="5"/>
  <c r="F5" i="5"/>
  <c r="G5" i="5" s="1"/>
  <c r="C5" i="5"/>
  <c r="B5" i="5"/>
  <c r="A5" i="5"/>
  <c r="CB4" i="5"/>
  <c r="CA4" i="5"/>
  <c r="BZ4" i="5"/>
  <c r="BX4" i="5" s="1"/>
  <c r="BY4" i="5"/>
  <c r="BW4" i="5"/>
  <c r="BV4" i="5"/>
  <c r="BU4" i="5"/>
  <c r="BS4" i="5"/>
  <c r="BQ4" i="5" s="1"/>
  <c r="BT4" i="5" s="1"/>
  <c r="BR4" i="5"/>
  <c r="BP4" i="5"/>
  <c r="BO4" i="5"/>
  <c r="BN4" i="5"/>
  <c r="BM4" i="5"/>
  <c r="BL4" i="5"/>
  <c r="BK4" i="5"/>
  <c r="BI4" i="5" s="1"/>
  <c r="BJ4" i="5"/>
  <c r="BH4" i="5"/>
  <c r="BD4" i="5"/>
  <c r="BA4" i="5"/>
  <c r="AZ4" i="5"/>
  <c r="AY4" i="5"/>
  <c r="AX4" i="5"/>
  <c r="AW4" i="5"/>
  <c r="AV4" i="5"/>
  <c r="BC4" i="5" s="1"/>
  <c r="AT4" i="5"/>
  <c r="AS4" i="5"/>
  <c r="AR4" i="5"/>
  <c r="AQ4" i="5"/>
  <c r="AP4" i="5"/>
  <c r="AJ4" i="5"/>
  <c r="AI4" i="5"/>
  <c r="AF4" i="5"/>
  <c r="AE4" i="5"/>
  <c r="AB4" i="5"/>
  <c r="Y4" i="5"/>
  <c r="AA4" i="5" s="1"/>
  <c r="X4" i="5"/>
  <c r="W4" i="5"/>
  <c r="U4" i="5"/>
  <c r="T4" i="5"/>
  <c r="R4" i="5"/>
  <c r="S4" i="5" s="1"/>
  <c r="Q4" i="5"/>
  <c r="P4" i="5" s="1"/>
  <c r="N4" i="5"/>
  <c r="L4" i="5"/>
  <c r="J4" i="5"/>
  <c r="K4" i="5" s="1"/>
  <c r="F4" i="5"/>
  <c r="E4" i="5"/>
  <c r="D4" i="5"/>
  <c r="B4" i="5"/>
  <c r="C4" i="5" s="1"/>
  <c r="A4" i="5"/>
  <c r="CB3" i="5"/>
  <c r="CA3" i="5"/>
  <c r="BZ3" i="5"/>
  <c r="BY3" i="5"/>
  <c r="BX3" i="5"/>
  <c r="BW3" i="5"/>
  <c r="BS3" i="5"/>
  <c r="BR3" i="5"/>
  <c r="BU3" i="5" s="1"/>
  <c r="BP3" i="5"/>
  <c r="BO3" i="5"/>
  <c r="BM3" i="5" s="1"/>
  <c r="BN3" i="5"/>
  <c r="BL3" i="5"/>
  <c r="BK3" i="5"/>
  <c r="BI3" i="5" s="1"/>
  <c r="BJ3" i="5"/>
  <c r="BH3" i="5"/>
  <c r="BA3" i="5"/>
  <c r="AZ3" i="5"/>
  <c r="BC3" i="5" s="1"/>
  <c r="AX3" i="5"/>
  <c r="AW3" i="5"/>
  <c r="AV3" i="5"/>
  <c r="AU3" i="5"/>
  <c r="AT3" i="5"/>
  <c r="AS3" i="5"/>
  <c r="AR3" i="5"/>
  <c r="AP3" i="5"/>
  <c r="AJ3" i="5"/>
  <c r="AI3" i="5"/>
  <c r="AH3" i="5"/>
  <c r="AF3" i="5"/>
  <c r="AG3" i="5" s="1"/>
  <c r="AE3" i="5"/>
  <c r="AL3" i="5" s="1"/>
  <c r="BF3" i="5" s="1"/>
  <c r="AB3" i="5"/>
  <c r="AA3" i="5"/>
  <c r="Y3" i="5"/>
  <c r="W3" i="5" s="1"/>
  <c r="X3" i="5"/>
  <c r="U3" i="5"/>
  <c r="T3" i="5"/>
  <c r="S3" i="5"/>
  <c r="R3" i="5"/>
  <c r="P3" i="5" s="1"/>
  <c r="Q3" i="5"/>
  <c r="N3" i="5"/>
  <c r="J3" i="5"/>
  <c r="L3" i="5" s="1"/>
  <c r="I3" i="5"/>
  <c r="H3" i="5"/>
  <c r="F3" i="5"/>
  <c r="G3" i="5" s="1"/>
  <c r="C3" i="5"/>
  <c r="B3" i="5"/>
  <c r="A3" i="5"/>
  <c r="CB2" i="5"/>
  <c r="CA2" i="5"/>
  <c r="BZ2" i="5"/>
  <c r="BX2" i="5" s="1"/>
  <c r="BY2" i="5"/>
  <c r="BW2" i="5"/>
  <c r="BW161" i="5" s="1"/>
  <c r="BS2" i="5"/>
  <c r="BR2" i="5"/>
  <c r="BP2" i="5"/>
  <c r="BO2" i="5"/>
  <c r="BO161" i="5" s="1"/>
  <c r="DI192" i="5" s="1"/>
  <c r="BN2" i="5"/>
  <c r="BN161" i="5" s="1"/>
  <c r="DI339" i="5" s="1"/>
  <c r="BL2" i="5"/>
  <c r="BK2" i="5"/>
  <c r="BJ2" i="5"/>
  <c r="BH2" i="5"/>
  <c r="BA2" i="5"/>
  <c r="AZ2" i="5"/>
  <c r="AY2" i="5"/>
  <c r="AX2" i="5"/>
  <c r="AW2" i="5"/>
  <c r="BD2" i="5" s="1"/>
  <c r="AV2" i="5"/>
  <c r="AT2" i="5"/>
  <c r="AT161" i="5" s="1"/>
  <c r="AS2" i="5"/>
  <c r="AR2" i="5"/>
  <c r="AQ2" i="5"/>
  <c r="AP2" i="5"/>
  <c r="AJ2" i="5"/>
  <c r="AJ161" i="5" s="1"/>
  <c r="AI2" i="5"/>
  <c r="AI161" i="5" s="1"/>
  <c r="AH2" i="5"/>
  <c r="AF2" i="5"/>
  <c r="AE2" i="5"/>
  <c r="AB2" i="5"/>
  <c r="AB161" i="5" s="1"/>
  <c r="Y2" i="5"/>
  <c r="W2" i="5" s="1"/>
  <c r="X2" i="5"/>
  <c r="U2" i="5"/>
  <c r="T2" i="5"/>
  <c r="R2" i="5"/>
  <c r="Q2" i="5"/>
  <c r="Q161" i="5" s="1"/>
  <c r="DB339" i="5" s="1"/>
  <c r="N2" i="5"/>
  <c r="L2" i="5"/>
  <c r="J2" i="5"/>
  <c r="K2" i="5" s="1"/>
  <c r="F2" i="5"/>
  <c r="E2" i="5"/>
  <c r="D2" i="5"/>
  <c r="B2" i="5"/>
  <c r="C2" i="5" s="1"/>
  <c r="A2" i="5"/>
  <c r="BX111" i="4"/>
  <c r="BW111" i="4"/>
  <c r="BV111" i="4"/>
  <c r="BT111" i="4" s="1"/>
  <c r="BU111" i="4"/>
  <c r="BS111" i="4"/>
  <c r="BO111" i="4"/>
  <c r="BN111" i="4"/>
  <c r="BL111" i="4"/>
  <c r="BK111" i="4"/>
  <c r="BJ111" i="4"/>
  <c r="BI111" i="4"/>
  <c r="BH111" i="4"/>
  <c r="BG111" i="4"/>
  <c r="BF111" i="4"/>
  <c r="BQ111" i="4" s="1"/>
  <c r="BD111" i="4"/>
  <c r="AY111" i="4"/>
  <c r="AW111" i="4"/>
  <c r="AU111" i="4" s="1"/>
  <c r="AV111" i="4"/>
  <c r="AT111" i="4"/>
  <c r="AS111" i="4"/>
  <c r="AZ111" i="4" s="1"/>
  <c r="AR111" i="4"/>
  <c r="AP111" i="4"/>
  <c r="AO111" i="4"/>
  <c r="AM111" i="4" s="1"/>
  <c r="AN111" i="4"/>
  <c r="AL111" i="4"/>
  <c r="AF111" i="4"/>
  <c r="AC111" i="4"/>
  <c r="AB111" i="4"/>
  <c r="AD111" i="4" s="1"/>
  <c r="AA111" i="4"/>
  <c r="AH111" i="4" s="1"/>
  <c r="Z111" i="4"/>
  <c r="X111" i="4"/>
  <c r="W111" i="4"/>
  <c r="U111" i="4"/>
  <c r="V111" i="4" s="1"/>
  <c r="T111" i="4"/>
  <c r="S111" i="4"/>
  <c r="Q111" i="4"/>
  <c r="N111" i="4"/>
  <c r="L111" i="4" s="1"/>
  <c r="M111" i="4"/>
  <c r="J111" i="4"/>
  <c r="K111" i="4" s="1"/>
  <c r="H111" i="4"/>
  <c r="G111" i="4"/>
  <c r="F111" i="4"/>
  <c r="B111" i="4"/>
  <c r="BX110" i="4"/>
  <c r="BW110" i="4"/>
  <c r="BV110" i="4"/>
  <c r="BT110" i="4" s="1"/>
  <c r="BU110" i="4"/>
  <c r="BS110" i="4"/>
  <c r="BO110" i="4"/>
  <c r="BN110" i="4"/>
  <c r="BQ110" i="4" s="1"/>
  <c r="BL110" i="4"/>
  <c r="BK110" i="4"/>
  <c r="BJ110" i="4"/>
  <c r="BI110" i="4"/>
  <c r="BH110" i="4"/>
  <c r="BG110" i="4"/>
  <c r="BF110" i="4"/>
  <c r="BD110" i="4"/>
  <c r="AW110" i="4"/>
  <c r="AU110" i="4" s="1"/>
  <c r="AV110" i="4"/>
  <c r="AT110" i="4"/>
  <c r="AS110" i="4"/>
  <c r="AZ110" i="4" s="1"/>
  <c r="AR110" i="4"/>
  <c r="AY110" i="4" s="1"/>
  <c r="BB110" i="4" s="1"/>
  <c r="AP110" i="4"/>
  <c r="AO110" i="4"/>
  <c r="AM110" i="4" s="1"/>
  <c r="AN110" i="4"/>
  <c r="AL110" i="4"/>
  <c r="AF110" i="4"/>
  <c r="AB110" i="4"/>
  <c r="AD110" i="4" s="1"/>
  <c r="AA110" i="4"/>
  <c r="AH110" i="4" s="1"/>
  <c r="Z110" i="4"/>
  <c r="X110" i="4"/>
  <c r="U110" i="4"/>
  <c r="T110" i="4"/>
  <c r="S110" i="4"/>
  <c r="Q110" i="4"/>
  <c r="R110" i="4" s="1"/>
  <c r="W110" i="4" s="1"/>
  <c r="N110" i="4"/>
  <c r="M110" i="4"/>
  <c r="L110" i="4"/>
  <c r="K110" i="4"/>
  <c r="J110" i="4"/>
  <c r="H110" i="4"/>
  <c r="F110" i="4"/>
  <c r="G110" i="4" s="1"/>
  <c r="C110" i="4"/>
  <c r="B110" i="4"/>
  <c r="BX109" i="4"/>
  <c r="BW109" i="4"/>
  <c r="BV109" i="4"/>
  <c r="BT109" i="4" s="1"/>
  <c r="BU109" i="4"/>
  <c r="BS109" i="4"/>
  <c r="BQ109" i="4"/>
  <c r="BO109" i="4"/>
  <c r="BM109" i="4" s="1"/>
  <c r="BN109" i="4"/>
  <c r="BL109" i="4"/>
  <c r="BK109" i="4"/>
  <c r="BJ109" i="4"/>
  <c r="BI109" i="4" s="1"/>
  <c r="BH109" i="4"/>
  <c r="BG109" i="4"/>
  <c r="BE109" i="4" s="1"/>
  <c r="BF109" i="4"/>
  <c r="BD109" i="4"/>
  <c r="AW109" i="4"/>
  <c r="AU109" i="4" s="1"/>
  <c r="AV109" i="4"/>
  <c r="AT109" i="4"/>
  <c r="AS109" i="4"/>
  <c r="AQ109" i="4" s="1"/>
  <c r="AR109" i="4"/>
  <c r="AY109" i="4" s="1"/>
  <c r="AP109" i="4"/>
  <c r="AO109" i="4"/>
  <c r="AM109" i="4" s="1"/>
  <c r="AN109" i="4"/>
  <c r="AL109" i="4"/>
  <c r="AF109" i="4"/>
  <c r="AB109" i="4"/>
  <c r="Z109" i="4" s="1"/>
  <c r="AA109" i="4"/>
  <c r="X109" i="4"/>
  <c r="U109" i="4"/>
  <c r="T109" i="4"/>
  <c r="R109" i="4"/>
  <c r="AE109" i="4" s="1"/>
  <c r="Q109" i="4"/>
  <c r="P109" i="4"/>
  <c r="N109" i="4"/>
  <c r="O109" i="4" s="1"/>
  <c r="M109" i="4"/>
  <c r="L109" i="4"/>
  <c r="J109" i="4"/>
  <c r="H109" i="4"/>
  <c r="F109" i="4"/>
  <c r="G109" i="4" s="1"/>
  <c r="B109" i="4"/>
  <c r="BX108" i="4"/>
  <c r="BW108" i="4"/>
  <c r="BV108" i="4"/>
  <c r="BT108" i="4" s="1"/>
  <c r="BU108" i="4"/>
  <c r="BS108" i="4"/>
  <c r="BQ108" i="4"/>
  <c r="BO108" i="4"/>
  <c r="BM108" i="4" s="1"/>
  <c r="BN108" i="4"/>
  <c r="BL108" i="4"/>
  <c r="BK108" i="4"/>
  <c r="BJ108" i="4"/>
  <c r="BI108" i="4"/>
  <c r="BH108" i="4"/>
  <c r="BG108" i="4"/>
  <c r="BE108" i="4" s="1"/>
  <c r="BP108" i="4" s="1"/>
  <c r="BF108" i="4"/>
  <c r="BD108" i="4"/>
  <c r="AW108" i="4"/>
  <c r="AU108" i="4" s="1"/>
  <c r="AV108" i="4"/>
  <c r="AT108" i="4"/>
  <c r="AS108" i="4"/>
  <c r="AZ108" i="4" s="1"/>
  <c r="BC108" i="4" s="1"/>
  <c r="AR108" i="4"/>
  <c r="AY108" i="4" s="1"/>
  <c r="BB108" i="4" s="1"/>
  <c r="AP108" i="4"/>
  <c r="AO108" i="4"/>
  <c r="AM108" i="4" s="1"/>
  <c r="AN108" i="4"/>
  <c r="AL108" i="4"/>
  <c r="AI108" i="4"/>
  <c r="AK108" i="4" s="1"/>
  <c r="AF108" i="4"/>
  <c r="AC108" i="4"/>
  <c r="AB108" i="4"/>
  <c r="AA108" i="4"/>
  <c r="AH108" i="4" s="1"/>
  <c r="Y108" i="4"/>
  <c r="X108" i="4"/>
  <c r="V108" i="4"/>
  <c r="U108" i="4"/>
  <c r="W108" i="4" s="1"/>
  <c r="T108" i="4"/>
  <c r="Q108" i="4"/>
  <c r="R108" i="4" s="1"/>
  <c r="N108" i="4"/>
  <c r="M108" i="4"/>
  <c r="L108" i="4"/>
  <c r="K108" i="4"/>
  <c r="AE108" i="4" s="1"/>
  <c r="J108" i="4"/>
  <c r="H108" i="4"/>
  <c r="F108" i="4"/>
  <c r="G108" i="4" s="1"/>
  <c r="B108" i="4"/>
  <c r="E108" i="4" s="1"/>
  <c r="BX107" i="4"/>
  <c r="BW107" i="4"/>
  <c r="BV107" i="4"/>
  <c r="BU107" i="4"/>
  <c r="BT107" i="4"/>
  <c r="BS107" i="4"/>
  <c r="BR107" i="4"/>
  <c r="BQ107" i="4"/>
  <c r="BO107" i="4"/>
  <c r="BM107" i="4" s="1"/>
  <c r="BP107" i="4" s="1"/>
  <c r="BN107" i="4"/>
  <c r="BL107" i="4"/>
  <c r="BK107" i="4"/>
  <c r="BJ107" i="4"/>
  <c r="BI107" i="4"/>
  <c r="BH107" i="4"/>
  <c r="BG107" i="4"/>
  <c r="BE107" i="4" s="1"/>
  <c r="BF107" i="4"/>
  <c r="BD107" i="4"/>
  <c r="AW107" i="4"/>
  <c r="AV107" i="4"/>
  <c r="AU107" i="4"/>
  <c r="AT107" i="4"/>
  <c r="AS107" i="4"/>
  <c r="AR107" i="4"/>
  <c r="AP107" i="4"/>
  <c r="AO107" i="4"/>
  <c r="AN107" i="4"/>
  <c r="AM107" i="4" s="1"/>
  <c r="AL107" i="4"/>
  <c r="AF107" i="4"/>
  <c r="AB107" i="4"/>
  <c r="Z107" i="4" s="1"/>
  <c r="AA107" i="4"/>
  <c r="X107" i="4"/>
  <c r="Y107" i="4" s="1"/>
  <c r="AD107" i="4" s="1"/>
  <c r="W107" i="4"/>
  <c r="V107" i="4"/>
  <c r="U107" i="4"/>
  <c r="T107" i="4"/>
  <c r="Q107" i="4"/>
  <c r="R107" i="4" s="1"/>
  <c r="AE107" i="4" s="1"/>
  <c r="N107" i="4"/>
  <c r="M107" i="4"/>
  <c r="K107" i="4"/>
  <c r="J107" i="4"/>
  <c r="G107" i="4"/>
  <c r="F107" i="4"/>
  <c r="H107" i="4" s="1"/>
  <c r="E107" i="4"/>
  <c r="D107" i="4"/>
  <c r="B107" i="4"/>
  <c r="C107" i="4" s="1"/>
  <c r="BX106" i="4"/>
  <c r="BW106" i="4"/>
  <c r="BV106" i="4"/>
  <c r="BU106" i="4"/>
  <c r="BT106" i="4" s="1"/>
  <c r="BS106" i="4"/>
  <c r="BO106" i="4"/>
  <c r="BN106" i="4"/>
  <c r="BQ106" i="4" s="1"/>
  <c r="BM106" i="4"/>
  <c r="BL106" i="4"/>
  <c r="BK106" i="4"/>
  <c r="BJ106" i="4"/>
  <c r="BH106" i="4"/>
  <c r="BG106" i="4"/>
  <c r="BF106" i="4"/>
  <c r="BE106" i="4"/>
  <c r="BD106" i="4"/>
  <c r="AW106" i="4"/>
  <c r="AZ106" i="4" s="1"/>
  <c r="AV106" i="4"/>
  <c r="AU106" i="4"/>
  <c r="AT106" i="4"/>
  <c r="AS106" i="4"/>
  <c r="AQ106" i="4" s="1"/>
  <c r="AR106" i="4"/>
  <c r="AP106" i="4"/>
  <c r="AO106" i="4"/>
  <c r="AN106" i="4"/>
  <c r="AM106" i="4" s="1"/>
  <c r="AL106" i="4"/>
  <c r="AF106" i="4"/>
  <c r="AE106" i="4"/>
  <c r="AD106" i="4"/>
  <c r="AC106" i="4"/>
  <c r="AB106" i="4"/>
  <c r="AA106" i="4"/>
  <c r="Z106" i="4"/>
  <c r="X106" i="4"/>
  <c r="W106" i="4"/>
  <c r="V106" i="4"/>
  <c r="U106" i="4"/>
  <c r="S106" i="4" s="1"/>
  <c r="T106" i="4"/>
  <c r="Q106" i="4"/>
  <c r="N106" i="4"/>
  <c r="M106" i="4"/>
  <c r="AH106" i="4" s="1"/>
  <c r="K106" i="4"/>
  <c r="J106" i="4"/>
  <c r="G106" i="4"/>
  <c r="F106" i="4"/>
  <c r="H106" i="4" s="1"/>
  <c r="E106" i="4"/>
  <c r="D106" i="4"/>
  <c r="B106" i="4"/>
  <c r="C106" i="4" s="1"/>
  <c r="BX105" i="4"/>
  <c r="BW105" i="4"/>
  <c r="BV105" i="4"/>
  <c r="BU105" i="4"/>
  <c r="BT105" i="4" s="1"/>
  <c r="BS105" i="4"/>
  <c r="BO105" i="4"/>
  <c r="BN105" i="4"/>
  <c r="BQ105" i="4" s="1"/>
  <c r="BM105" i="4"/>
  <c r="BP105" i="4" s="1"/>
  <c r="BL105" i="4"/>
  <c r="BK105" i="4"/>
  <c r="BJ105" i="4"/>
  <c r="BH105" i="4"/>
  <c r="BG105" i="4"/>
  <c r="BF105" i="4"/>
  <c r="BE105" i="4"/>
  <c r="BD105" i="4"/>
  <c r="AW105" i="4"/>
  <c r="AZ105" i="4" s="1"/>
  <c r="AV105" i="4"/>
  <c r="AU105" i="4"/>
  <c r="AT105" i="4"/>
  <c r="AS105" i="4"/>
  <c r="AQ105" i="4" s="1"/>
  <c r="AR105" i="4"/>
  <c r="AP105" i="4"/>
  <c r="AO105" i="4"/>
  <c r="AN105" i="4"/>
  <c r="AM105" i="4" s="1"/>
  <c r="AL105" i="4"/>
  <c r="AH105" i="4"/>
  <c r="AG105" i="4"/>
  <c r="AF105" i="4"/>
  <c r="AB105" i="4"/>
  <c r="AA105" i="4"/>
  <c r="Z105" i="4"/>
  <c r="Y105" i="4"/>
  <c r="X105" i="4"/>
  <c r="U105" i="4"/>
  <c r="AI105" i="4" s="1"/>
  <c r="BC105" i="4" s="1"/>
  <c r="T105" i="4"/>
  <c r="Q105" i="4"/>
  <c r="R105" i="4" s="1"/>
  <c r="W105" i="4" s="1"/>
  <c r="N105" i="4"/>
  <c r="L105" i="4" s="1"/>
  <c r="M105" i="4"/>
  <c r="J105" i="4"/>
  <c r="K105" i="4" s="1"/>
  <c r="P105" i="4" s="1"/>
  <c r="H105" i="4"/>
  <c r="F105" i="4"/>
  <c r="G105" i="4" s="1"/>
  <c r="E105" i="4"/>
  <c r="D105" i="4"/>
  <c r="B105" i="4"/>
  <c r="C105" i="4" s="1"/>
  <c r="BX104" i="4"/>
  <c r="BW104" i="4"/>
  <c r="BS104" i="4"/>
  <c r="BO104" i="4"/>
  <c r="BN104" i="4"/>
  <c r="BM104" i="4"/>
  <c r="BL104" i="4"/>
  <c r="BK104" i="4"/>
  <c r="BJ104" i="4"/>
  <c r="BQ104" i="4" s="1"/>
  <c r="BH104" i="4"/>
  <c r="BG104" i="4"/>
  <c r="BF104" i="4"/>
  <c r="BE104" i="4"/>
  <c r="BD104" i="4"/>
  <c r="AW104" i="4"/>
  <c r="AZ104" i="4" s="1"/>
  <c r="BC104" i="4" s="1"/>
  <c r="AV104" i="4"/>
  <c r="AT104" i="4"/>
  <c r="AS104" i="4"/>
  <c r="AQ104" i="4" s="1"/>
  <c r="AR104" i="4"/>
  <c r="AP104" i="4"/>
  <c r="AO104" i="4"/>
  <c r="AM104" i="4" s="1"/>
  <c r="AN104" i="4"/>
  <c r="AL104" i="4"/>
  <c r="AF104" i="4"/>
  <c r="AD104" i="4"/>
  <c r="AB104" i="4"/>
  <c r="AI104" i="4" s="1"/>
  <c r="AA104" i="4"/>
  <c r="Y104" i="4"/>
  <c r="X104" i="4"/>
  <c r="U104" i="4"/>
  <c r="S104" i="4" s="1"/>
  <c r="T104" i="4"/>
  <c r="AH104" i="4" s="1"/>
  <c r="Q104" i="4"/>
  <c r="R104" i="4" s="1"/>
  <c r="W104" i="4" s="1"/>
  <c r="P104" i="4"/>
  <c r="O104" i="4"/>
  <c r="N104" i="4"/>
  <c r="L104" i="4" s="1"/>
  <c r="M104" i="4"/>
  <c r="J104" i="4"/>
  <c r="K104" i="4" s="1"/>
  <c r="F104" i="4"/>
  <c r="E104" i="4"/>
  <c r="D104" i="4"/>
  <c r="C104" i="4"/>
  <c r="B104" i="4"/>
  <c r="H97" i="4"/>
  <c r="G97" i="4"/>
  <c r="BX96" i="4"/>
  <c r="BW96" i="4"/>
  <c r="BV96" i="4"/>
  <c r="BT96" i="4" s="1"/>
  <c r="BU96" i="4"/>
  <c r="BS96" i="4"/>
  <c r="BR96" i="4"/>
  <c r="BO96" i="4"/>
  <c r="BM96" i="4" s="1"/>
  <c r="BP96" i="4" s="1"/>
  <c r="BN96" i="4"/>
  <c r="BL96" i="4"/>
  <c r="BK96" i="4"/>
  <c r="BJ96" i="4"/>
  <c r="BQ96" i="4" s="1"/>
  <c r="BH96" i="4"/>
  <c r="BG96" i="4"/>
  <c r="BE96" i="4" s="1"/>
  <c r="BF96" i="4"/>
  <c r="BD96" i="4"/>
  <c r="AZ96" i="4"/>
  <c r="AW96" i="4"/>
  <c r="AU96" i="4" s="1"/>
  <c r="AV96" i="4"/>
  <c r="AT96" i="4"/>
  <c r="AS96" i="4"/>
  <c r="AR96" i="4"/>
  <c r="AY96" i="4" s="1"/>
  <c r="AQ96" i="4"/>
  <c r="AP96" i="4"/>
  <c r="AO96" i="4"/>
  <c r="AM96" i="4" s="1"/>
  <c r="AN96" i="4"/>
  <c r="AL96" i="4"/>
  <c r="AF96" i="4"/>
  <c r="AD96" i="4"/>
  <c r="AC96" i="4"/>
  <c r="AB96" i="4"/>
  <c r="AA96" i="4"/>
  <c r="Y96" i="4"/>
  <c r="X96" i="4"/>
  <c r="U96" i="4"/>
  <c r="W96" i="4" s="1"/>
  <c r="T96" i="4"/>
  <c r="Q96" i="4"/>
  <c r="R96" i="4" s="1"/>
  <c r="N96" i="4"/>
  <c r="M96" i="4"/>
  <c r="L96" i="4"/>
  <c r="K96" i="4"/>
  <c r="AE96" i="4" s="1"/>
  <c r="J96" i="4"/>
  <c r="H96" i="4"/>
  <c r="F96" i="4"/>
  <c r="G96" i="4" s="1"/>
  <c r="B96" i="4"/>
  <c r="E96" i="4" s="1"/>
  <c r="A96" i="4"/>
  <c r="BX95" i="4"/>
  <c r="BW95" i="4"/>
  <c r="BV95" i="4"/>
  <c r="BU95" i="4"/>
  <c r="BT95" i="4"/>
  <c r="BS95" i="4"/>
  <c r="BR95" i="4"/>
  <c r="BO95" i="4"/>
  <c r="BN95" i="4"/>
  <c r="BM95" i="4"/>
  <c r="BP95" i="4" s="1"/>
  <c r="BL95" i="4"/>
  <c r="BK95" i="4"/>
  <c r="BJ95" i="4"/>
  <c r="BQ95" i="4" s="1"/>
  <c r="BH95" i="4"/>
  <c r="BG95" i="4"/>
  <c r="BF95" i="4"/>
  <c r="BE95" i="4"/>
  <c r="BD95" i="4"/>
  <c r="AW95" i="4"/>
  <c r="AZ95" i="4" s="1"/>
  <c r="AV95" i="4"/>
  <c r="AU95" i="4"/>
  <c r="AT95" i="4"/>
  <c r="AS95" i="4"/>
  <c r="AQ95" i="4" s="1"/>
  <c r="AR95" i="4"/>
  <c r="AP95" i="4"/>
  <c r="AO95" i="4"/>
  <c r="AN95" i="4"/>
  <c r="AM95" i="4" s="1"/>
  <c r="AL95" i="4"/>
  <c r="AF95" i="4"/>
  <c r="AE95" i="4"/>
  <c r="AB95" i="4"/>
  <c r="AA95" i="4"/>
  <c r="X95" i="4"/>
  <c r="Y95" i="4" s="1"/>
  <c r="AD95" i="4" s="1"/>
  <c r="W95" i="4"/>
  <c r="V95" i="4"/>
  <c r="U95" i="4"/>
  <c r="S95" i="4" s="1"/>
  <c r="T95" i="4"/>
  <c r="AH95" i="4" s="1"/>
  <c r="Q95" i="4"/>
  <c r="R95" i="4" s="1"/>
  <c r="N95" i="4"/>
  <c r="L95" i="4" s="1"/>
  <c r="M95" i="4"/>
  <c r="J95" i="4"/>
  <c r="K95" i="4" s="1"/>
  <c r="H95" i="4"/>
  <c r="G95" i="4"/>
  <c r="F95" i="4"/>
  <c r="E95" i="4"/>
  <c r="D95" i="4"/>
  <c r="C95" i="4"/>
  <c r="B95" i="4"/>
  <c r="A95" i="4"/>
  <c r="BX94" i="4"/>
  <c r="BW94" i="4"/>
  <c r="BV94" i="4"/>
  <c r="BU94" i="4"/>
  <c r="BS94" i="4"/>
  <c r="BO94" i="4"/>
  <c r="BN94" i="4"/>
  <c r="BQ94" i="4" s="1"/>
  <c r="BM94" i="4"/>
  <c r="BP94" i="4" s="1"/>
  <c r="BL94" i="4"/>
  <c r="BK94" i="4"/>
  <c r="BI94" i="4" s="1"/>
  <c r="BJ94" i="4"/>
  <c r="BH94" i="4"/>
  <c r="BG94" i="4"/>
  <c r="BF94" i="4"/>
  <c r="BE94" i="4"/>
  <c r="AY94" i="4"/>
  <c r="BB94" i="4" s="1"/>
  <c r="AW94" i="4"/>
  <c r="AV94" i="4"/>
  <c r="AS94" i="4"/>
  <c r="AQ94" i="4" s="1"/>
  <c r="AR94" i="4"/>
  <c r="AO94" i="4"/>
  <c r="AN94" i="4"/>
  <c r="AM94" i="4"/>
  <c r="AK94" i="4"/>
  <c r="AJ94" i="4"/>
  <c r="AF94" i="4"/>
  <c r="N94" i="4"/>
  <c r="M94" i="4"/>
  <c r="L94" i="4"/>
  <c r="H94" i="4"/>
  <c r="G94" i="4"/>
  <c r="F94" i="4"/>
  <c r="E94" i="4"/>
  <c r="D94" i="4"/>
  <c r="B94" i="4"/>
  <c r="C94" i="4" s="1"/>
  <c r="A94" i="4"/>
  <c r="BX93" i="4"/>
  <c r="BW93" i="4"/>
  <c r="BV93" i="4"/>
  <c r="BT93" i="4" s="1"/>
  <c r="BU93" i="4"/>
  <c r="BS93" i="4"/>
  <c r="BO93" i="4"/>
  <c r="BN93" i="4"/>
  <c r="BQ93" i="4" s="1"/>
  <c r="BL93" i="4"/>
  <c r="BK93" i="4"/>
  <c r="BJ93" i="4"/>
  <c r="BI93" i="4"/>
  <c r="BH93" i="4"/>
  <c r="BG93" i="4"/>
  <c r="BF93" i="4"/>
  <c r="BD93" i="4"/>
  <c r="AZ93" i="4"/>
  <c r="AW93" i="4"/>
  <c r="AU93" i="4" s="1"/>
  <c r="AX93" i="4" s="1"/>
  <c r="BA93" i="4" s="1"/>
  <c r="AV93" i="4"/>
  <c r="AT93" i="4"/>
  <c r="AS93" i="4"/>
  <c r="AR93" i="4"/>
  <c r="AY93" i="4" s="1"/>
  <c r="BB93" i="4" s="1"/>
  <c r="AQ93" i="4"/>
  <c r="AP93" i="4"/>
  <c r="AO93" i="4"/>
  <c r="AM93" i="4" s="1"/>
  <c r="AN93" i="4"/>
  <c r="AL93" i="4"/>
  <c r="AH93" i="4"/>
  <c r="AF93" i="4"/>
  <c r="AB93" i="4"/>
  <c r="AD93" i="4" s="1"/>
  <c r="AA93" i="4"/>
  <c r="Z93" i="4"/>
  <c r="AG93" i="4" s="1"/>
  <c r="Y93" i="4"/>
  <c r="X93" i="4"/>
  <c r="U93" i="4"/>
  <c r="T93" i="4"/>
  <c r="R93" i="4"/>
  <c r="Q93" i="4"/>
  <c r="N93" i="4"/>
  <c r="M93" i="4"/>
  <c r="L93" i="4"/>
  <c r="K93" i="4"/>
  <c r="J93" i="4"/>
  <c r="H93" i="4"/>
  <c r="G93" i="4"/>
  <c r="F93" i="4"/>
  <c r="B93" i="4"/>
  <c r="E93" i="4" s="1"/>
  <c r="A93" i="4"/>
  <c r="BX92" i="4"/>
  <c r="BW92" i="4"/>
  <c r="BV92" i="4"/>
  <c r="BU92" i="4"/>
  <c r="BT92" i="4"/>
  <c r="BS92" i="4"/>
  <c r="BR92" i="4"/>
  <c r="BQ92" i="4"/>
  <c r="BO92" i="4"/>
  <c r="BM92" i="4" s="1"/>
  <c r="BP92" i="4" s="1"/>
  <c r="BN92" i="4"/>
  <c r="BL92" i="4"/>
  <c r="BK92" i="4"/>
  <c r="BJ92" i="4"/>
  <c r="BI92" i="4" s="1"/>
  <c r="BH92" i="4"/>
  <c r="BG92" i="4"/>
  <c r="BE92" i="4" s="1"/>
  <c r="BF92" i="4"/>
  <c r="BD92" i="4"/>
  <c r="AW92" i="4"/>
  <c r="AV92" i="4"/>
  <c r="AY92" i="4" s="1"/>
  <c r="BB92" i="4" s="1"/>
  <c r="AU92" i="4"/>
  <c r="AT92" i="4"/>
  <c r="AS92" i="4"/>
  <c r="AR92" i="4"/>
  <c r="AP92" i="4"/>
  <c r="AO92" i="4"/>
  <c r="AN92" i="4"/>
  <c r="AM92" i="4"/>
  <c r="AL92" i="4"/>
  <c r="AF92" i="4"/>
  <c r="AB92" i="4"/>
  <c r="AA92" i="4"/>
  <c r="AH92" i="4" s="1"/>
  <c r="X92" i="4"/>
  <c r="Y92" i="4" s="1"/>
  <c r="AD92" i="4" s="1"/>
  <c r="U92" i="4"/>
  <c r="S92" i="4" s="1"/>
  <c r="T92" i="4"/>
  <c r="Q92" i="4"/>
  <c r="R92" i="4" s="1"/>
  <c r="AE92" i="4" s="1"/>
  <c r="N92" i="4"/>
  <c r="L92" i="4" s="1"/>
  <c r="M92" i="4"/>
  <c r="K92" i="4"/>
  <c r="J92" i="4"/>
  <c r="F92" i="4"/>
  <c r="H92" i="4" s="1"/>
  <c r="E92" i="4"/>
  <c r="D92" i="4"/>
  <c r="C92" i="4"/>
  <c r="B92" i="4"/>
  <c r="A92" i="4"/>
  <c r="BX91" i="4"/>
  <c r="BW91" i="4"/>
  <c r="BV91" i="4"/>
  <c r="BU91" i="4"/>
  <c r="BT91" i="4"/>
  <c r="BS91" i="4"/>
  <c r="BO91" i="4"/>
  <c r="BN91" i="4"/>
  <c r="BM91" i="4"/>
  <c r="BP91" i="4" s="1"/>
  <c r="BL91" i="4"/>
  <c r="BK91" i="4"/>
  <c r="BI91" i="4" s="1"/>
  <c r="BJ91" i="4"/>
  <c r="BH91" i="4"/>
  <c r="BG91" i="4"/>
  <c r="BE91" i="4" s="1"/>
  <c r="BF91" i="4"/>
  <c r="BD91" i="4"/>
  <c r="AW91" i="4"/>
  <c r="AV91" i="4"/>
  <c r="AY91" i="4" s="1"/>
  <c r="AT91" i="4"/>
  <c r="AS91" i="4"/>
  <c r="AR91" i="4"/>
  <c r="AQ91" i="4"/>
  <c r="AP91" i="4"/>
  <c r="AO91" i="4"/>
  <c r="AM91" i="4" s="1"/>
  <c r="AN91" i="4"/>
  <c r="AL91" i="4"/>
  <c r="AI91" i="4"/>
  <c r="AF91" i="4"/>
  <c r="AB91" i="4"/>
  <c r="AA91" i="4"/>
  <c r="Z91" i="4" s="1"/>
  <c r="AG91" i="4" s="1"/>
  <c r="X91" i="4"/>
  <c r="Y91" i="4" s="1"/>
  <c r="AD91" i="4" s="1"/>
  <c r="U91" i="4"/>
  <c r="T91" i="4"/>
  <c r="S91" i="4"/>
  <c r="Q91" i="4"/>
  <c r="R91" i="4" s="1"/>
  <c r="P91" i="4"/>
  <c r="N91" i="4"/>
  <c r="L91" i="4" s="1"/>
  <c r="M91" i="4"/>
  <c r="K91" i="4"/>
  <c r="J91" i="4"/>
  <c r="H91" i="4"/>
  <c r="G91" i="4"/>
  <c r="F91" i="4"/>
  <c r="B91" i="4"/>
  <c r="A91" i="4"/>
  <c r="BX90" i="4"/>
  <c r="BW90" i="4"/>
  <c r="BV90" i="4"/>
  <c r="BT90" i="4" s="1"/>
  <c r="BU90" i="4"/>
  <c r="BS90" i="4"/>
  <c r="BQ90" i="4"/>
  <c r="BO90" i="4"/>
  <c r="BM90" i="4" s="1"/>
  <c r="BP90" i="4" s="1"/>
  <c r="BN90" i="4"/>
  <c r="BL90" i="4"/>
  <c r="BK90" i="4"/>
  <c r="BJ90" i="4"/>
  <c r="BI90" i="4"/>
  <c r="BH90" i="4"/>
  <c r="BG90" i="4"/>
  <c r="BE90" i="4" s="1"/>
  <c r="BF90" i="4"/>
  <c r="BD90" i="4"/>
  <c r="AY90" i="4"/>
  <c r="BB90" i="4" s="1"/>
  <c r="AW90" i="4"/>
  <c r="AU90" i="4" s="1"/>
  <c r="AV90" i="4"/>
  <c r="AT90" i="4"/>
  <c r="AS90" i="4"/>
  <c r="AZ90" i="4" s="1"/>
  <c r="AR90" i="4"/>
  <c r="AQ90" i="4"/>
  <c r="AP90" i="4"/>
  <c r="AO90" i="4"/>
  <c r="AM90" i="4" s="1"/>
  <c r="AN90" i="4"/>
  <c r="AL90" i="4"/>
  <c r="AF90" i="4"/>
  <c r="AC90" i="4"/>
  <c r="AB90" i="4"/>
  <c r="AA90" i="4"/>
  <c r="AH90" i="4" s="1"/>
  <c r="Y90" i="4"/>
  <c r="X90" i="4"/>
  <c r="U90" i="4"/>
  <c r="W90" i="4" s="1"/>
  <c r="T90" i="4"/>
  <c r="S90" i="4"/>
  <c r="R90" i="4"/>
  <c r="Q90" i="4"/>
  <c r="N90" i="4"/>
  <c r="M90" i="4"/>
  <c r="K90" i="4"/>
  <c r="AE90" i="4" s="1"/>
  <c r="J90" i="4"/>
  <c r="H90" i="4"/>
  <c r="F90" i="4"/>
  <c r="G90" i="4" s="1"/>
  <c r="E90" i="4"/>
  <c r="D90" i="4"/>
  <c r="C90" i="4"/>
  <c r="B90" i="4"/>
  <c r="A90" i="4"/>
  <c r="BX89" i="4"/>
  <c r="BW89" i="4"/>
  <c r="BV89" i="4"/>
  <c r="BU89" i="4"/>
  <c r="BT89" i="4"/>
  <c r="BS89" i="4"/>
  <c r="BO89" i="4"/>
  <c r="BN89" i="4"/>
  <c r="BM89" i="4"/>
  <c r="BP89" i="4" s="1"/>
  <c r="BL89" i="4"/>
  <c r="BK89" i="4"/>
  <c r="BJ89" i="4"/>
  <c r="BQ89" i="4" s="1"/>
  <c r="BH89" i="4"/>
  <c r="BG89" i="4"/>
  <c r="BF89" i="4"/>
  <c r="BE89" i="4"/>
  <c r="BD89" i="4"/>
  <c r="AW89" i="4"/>
  <c r="AZ89" i="4" s="1"/>
  <c r="BC89" i="4" s="1"/>
  <c r="AV89" i="4"/>
  <c r="AT89" i="4"/>
  <c r="AS89" i="4"/>
  <c r="AQ89" i="4" s="1"/>
  <c r="AR89" i="4"/>
  <c r="AP89" i="4"/>
  <c r="AO89" i="4"/>
  <c r="AM89" i="4" s="1"/>
  <c r="AN89" i="4"/>
  <c r="AL89" i="4"/>
  <c r="AF89" i="4"/>
  <c r="AD89" i="4"/>
  <c r="AB89" i="4"/>
  <c r="AI89" i="4" s="1"/>
  <c r="AA89" i="4"/>
  <c r="Y89" i="4"/>
  <c r="AC89" i="4" s="1"/>
  <c r="X89" i="4"/>
  <c r="U89" i="4"/>
  <c r="S89" i="4" s="1"/>
  <c r="T89" i="4"/>
  <c r="AH89" i="4" s="1"/>
  <c r="Q89" i="4"/>
  <c r="R89" i="4" s="1"/>
  <c r="W89" i="4" s="1"/>
  <c r="P89" i="4"/>
  <c r="O89" i="4"/>
  <c r="N89" i="4"/>
  <c r="L89" i="4" s="1"/>
  <c r="M89" i="4"/>
  <c r="J89" i="4"/>
  <c r="K89" i="4" s="1"/>
  <c r="F89" i="4"/>
  <c r="H89" i="4" s="1"/>
  <c r="E89" i="4"/>
  <c r="D89" i="4"/>
  <c r="C89" i="4"/>
  <c r="B89" i="4"/>
  <c r="A89" i="4"/>
  <c r="BX88" i="4"/>
  <c r="BW88" i="4"/>
  <c r="BV88" i="4"/>
  <c r="BU88" i="4"/>
  <c r="BS88" i="4"/>
  <c r="BO88" i="4"/>
  <c r="BR88" i="4" s="1"/>
  <c r="BN88" i="4"/>
  <c r="BM88" i="4"/>
  <c r="BP88" i="4" s="1"/>
  <c r="BL88" i="4"/>
  <c r="BK88" i="4"/>
  <c r="BI88" i="4" s="1"/>
  <c r="BJ88" i="4"/>
  <c r="BH88" i="4"/>
  <c r="BG88" i="4"/>
  <c r="BF88" i="4"/>
  <c r="BE88" i="4" s="1"/>
  <c r="AW88" i="4"/>
  <c r="AV88" i="4"/>
  <c r="AY88" i="4" s="1"/>
  <c r="AS88" i="4"/>
  <c r="AQ88" i="4" s="1"/>
  <c r="AR88" i="4"/>
  <c r="AO88" i="4"/>
  <c r="AN88" i="4"/>
  <c r="AM88" i="4"/>
  <c r="AF88" i="4"/>
  <c r="AB88" i="4"/>
  <c r="AI88" i="4" s="1"/>
  <c r="AJ88" i="4" s="1"/>
  <c r="AA88" i="4"/>
  <c r="U88" i="4"/>
  <c r="S88" i="4" s="1"/>
  <c r="T88" i="4"/>
  <c r="N88" i="4"/>
  <c r="M88" i="4"/>
  <c r="L88" i="4"/>
  <c r="H88" i="4"/>
  <c r="G88" i="4"/>
  <c r="F88" i="4"/>
  <c r="B88" i="4"/>
  <c r="A88" i="4"/>
  <c r="BX87" i="4"/>
  <c r="BW87" i="4"/>
  <c r="BV87" i="4"/>
  <c r="BT87" i="4" s="1"/>
  <c r="BU87" i="4"/>
  <c r="BS87" i="4"/>
  <c r="BQ87" i="4"/>
  <c r="BO87" i="4"/>
  <c r="BM87" i="4" s="1"/>
  <c r="BP87" i="4" s="1"/>
  <c r="BN87" i="4"/>
  <c r="BL87" i="4"/>
  <c r="BK87" i="4"/>
  <c r="BJ87" i="4"/>
  <c r="BI87" i="4" s="1"/>
  <c r="BH87" i="4"/>
  <c r="BG87" i="4"/>
  <c r="BE87" i="4" s="1"/>
  <c r="BF87" i="4"/>
  <c r="BD87" i="4"/>
  <c r="AW87" i="4"/>
  <c r="AU87" i="4" s="1"/>
  <c r="AV87" i="4"/>
  <c r="AT87" i="4"/>
  <c r="AS87" i="4"/>
  <c r="AZ87" i="4" s="1"/>
  <c r="AR87" i="4"/>
  <c r="AY87" i="4" s="1"/>
  <c r="AQ87" i="4"/>
  <c r="AP87" i="4"/>
  <c r="AO87" i="4"/>
  <c r="AM87" i="4" s="1"/>
  <c r="AN87" i="4"/>
  <c r="AL87" i="4"/>
  <c r="AF87" i="4"/>
  <c r="AB87" i="4"/>
  <c r="Z87" i="4" s="1"/>
  <c r="AG87" i="4" s="1"/>
  <c r="AA87" i="4"/>
  <c r="Y87" i="4"/>
  <c r="X87" i="4"/>
  <c r="U87" i="4"/>
  <c r="W87" i="4" s="1"/>
  <c r="T87" i="4"/>
  <c r="R87" i="4"/>
  <c r="Q87" i="4"/>
  <c r="N87" i="4"/>
  <c r="M87" i="4"/>
  <c r="L87" i="4"/>
  <c r="K87" i="4"/>
  <c r="AE87" i="4" s="1"/>
  <c r="J87" i="4"/>
  <c r="H87" i="4"/>
  <c r="F87" i="4"/>
  <c r="G87" i="4" s="1"/>
  <c r="B87" i="4"/>
  <c r="E87" i="4" s="1"/>
  <c r="A87" i="4"/>
  <c r="BX86" i="4"/>
  <c r="BW86" i="4"/>
  <c r="BV86" i="4"/>
  <c r="BU86" i="4"/>
  <c r="BT86" i="4"/>
  <c r="BS86" i="4"/>
  <c r="BR86" i="4"/>
  <c r="BO86" i="4"/>
  <c r="BN86" i="4"/>
  <c r="BM86" i="4"/>
  <c r="BP86" i="4" s="1"/>
  <c r="BL86" i="4"/>
  <c r="BK86" i="4"/>
  <c r="BJ86" i="4"/>
  <c r="BQ86" i="4" s="1"/>
  <c r="BH86" i="4"/>
  <c r="BG86" i="4"/>
  <c r="BF86" i="4"/>
  <c r="BE86" i="4"/>
  <c r="BD86" i="4"/>
  <c r="AW86" i="4"/>
  <c r="AZ86" i="4" s="1"/>
  <c r="AV86" i="4"/>
  <c r="AU86" i="4"/>
  <c r="AT86" i="4"/>
  <c r="AS86" i="4"/>
  <c r="AQ86" i="4" s="1"/>
  <c r="AR86" i="4"/>
  <c r="AP86" i="4"/>
  <c r="AO86" i="4"/>
  <c r="AN86" i="4"/>
  <c r="AM86" i="4" s="1"/>
  <c r="AL86" i="4"/>
  <c r="AF86" i="4"/>
  <c r="AB86" i="4"/>
  <c r="AA86" i="4"/>
  <c r="X86" i="4"/>
  <c r="Y86" i="4" s="1"/>
  <c r="W86" i="4"/>
  <c r="U86" i="4"/>
  <c r="S86" i="4" s="1"/>
  <c r="T86" i="4"/>
  <c r="AH86" i="4" s="1"/>
  <c r="Q86" i="4"/>
  <c r="R86" i="4" s="1"/>
  <c r="V86" i="4" s="1"/>
  <c r="N86" i="4"/>
  <c r="L86" i="4" s="1"/>
  <c r="M86" i="4"/>
  <c r="J86" i="4"/>
  <c r="K86" i="4" s="1"/>
  <c r="G86" i="4"/>
  <c r="F86" i="4"/>
  <c r="H86" i="4" s="1"/>
  <c r="E86" i="4"/>
  <c r="D86" i="4"/>
  <c r="C86" i="4"/>
  <c r="B86" i="4"/>
  <c r="A86" i="4"/>
  <c r="BX85" i="4"/>
  <c r="BW85" i="4"/>
  <c r="BV85" i="4"/>
  <c r="BU85" i="4"/>
  <c r="BS85" i="4"/>
  <c r="BO85" i="4"/>
  <c r="BR85" i="4" s="1"/>
  <c r="BN85" i="4"/>
  <c r="BL85" i="4"/>
  <c r="BK85" i="4"/>
  <c r="BI85" i="4" s="1"/>
  <c r="BJ85" i="4"/>
  <c r="BH85" i="4"/>
  <c r="BG85" i="4"/>
  <c r="BE85" i="4" s="1"/>
  <c r="BF85" i="4"/>
  <c r="BD85" i="4"/>
  <c r="AY85" i="4"/>
  <c r="AW85" i="4"/>
  <c r="AU85" i="4" s="1"/>
  <c r="AV85" i="4"/>
  <c r="AT85" i="4"/>
  <c r="AS85" i="4"/>
  <c r="AR85" i="4"/>
  <c r="AQ85" i="4"/>
  <c r="AP85" i="4"/>
  <c r="AO85" i="4"/>
  <c r="AM85" i="4" s="1"/>
  <c r="AX85" i="4" s="1"/>
  <c r="AN85" i="4"/>
  <c r="AL85" i="4"/>
  <c r="AF85" i="4"/>
  <c r="AB85" i="4"/>
  <c r="AI85" i="4" s="1"/>
  <c r="AA85" i="4"/>
  <c r="AH85" i="4" s="1"/>
  <c r="Z85" i="4"/>
  <c r="AG85" i="4" s="1"/>
  <c r="Y85" i="4"/>
  <c r="X85" i="4"/>
  <c r="U85" i="4"/>
  <c r="T85" i="4"/>
  <c r="S85" i="4" s="1"/>
  <c r="R85" i="4"/>
  <c r="W85" i="4" s="1"/>
  <c r="Q85" i="4"/>
  <c r="N85" i="4"/>
  <c r="M85" i="4"/>
  <c r="L85" i="4"/>
  <c r="J85" i="4"/>
  <c r="K85" i="4" s="1"/>
  <c r="H85" i="4"/>
  <c r="G85" i="4"/>
  <c r="F85" i="4"/>
  <c r="B85" i="4"/>
  <c r="A85" i="4"/>
  <c r="BX84" i="4"/>
  <c r="BW84" i="4"/>
  <c r="BV84" i="4"/>
  <c r="BT84" i="4" s="1"/>
  <c r="BU84" i="4"/>
  <c r="BS84" i="4"/>
  <c r="BR84" i="4"/>
  <c r="BQ84" i="4"/>
  <c r="BO84" i="4"/>
  <c r="BM84" i="4" s="1"/>
  <c r="BN84" i="4"/>
  <c r="BL84" i="4"/>
  <c r="BK84" i="4"/>
  <c r="BJ84" i="4"/>
  <c r="BI84" i="4"/>
  <c r="BP84" i="4" s="1"/>
  <c r="BH84" i="4"/>
  <c r="BG84" i="4"/>
  <c r="BE84" i="4" s="1"/>
  <c r="BF84" i="4"/>
  <c r="BD84" i="4"/>
  <c r="AZ84" i="4"/>
  <c r="AW84" i="4"/>
  <c r="AV84" i="4"/>
  <c r="AU84" i="4"/>
  <c r="AT84" i="4"/>
  <c r="AS84" i="4"/>
  <c r="AR84" i="4"/>
  <c r="AY84" i="4" s="1"/>
  <c r="AP84" i="4"/>
  <c r="AO84" i="4"/>
  <c r="AN84" i="4"/>
  <c r="AM84" i="4"/>
  <c r="AL84" i="4"/>
  <c r="AF84" i="4"/>
  <c r="AE84" i="4"/>
  <c r="AD84" i="4"/>
  <c r="AC84" i="4"/>
  <c r="AB84" i="4"/>
  <c r="AA84" i="4"/>
  <c r="X84" i="4"/>
  <c r="Y84" i="4" s="1"/>
  <c r="V84" i="4"/>
  <c r="U84" i="4"/>
  <c r="T84" i="4"/>
  <c r="R84" i="4"/>
  <c r="Q84" i="4"/>
  <c r="N84" i="4"/>
  <c r="P84" i="4" s="1"/>
  <c r="M84" i="4"/>
  <c r="L84" i="4"/>
  <c r="K84" i="4"/>
  <c r="J84" i="4"/>
  <c r="F84" i="4"/>
  <c r="E84" i="4"/>
  <c r="D84" i="4"/>
  <c r="C84" i="4"/>
  <c r="B84" i="4"/>
  <c r="A84" i="4"/>
  <c r="BX83" i="4"/>
  <c r="BW83" i="4"/>
  <c r="BV83" i="4"/>
  <c r="BT83" i="4" s="1"/>
  <c r="BU83" i="4"/>
  <c r="BS83" i="4"/>
  <c r="BO83" i="4"/>
  <c r="BN83" i="4"/>
  <c r="BQ83" i="4" s="1"/>
  <c r="BL83" i="4"/>
  <c r="BK83" i="4"/>
  <c r="BJ83" i="4"/>
  <c r="BH83" i="4"/>
  <c r="BG83" i="4"/>
  <c r="BF83" i="4"/>
  <c r="BE83" i="4"/>
  <c r="BD83" i="4"/>
  <c r="AW83" i="4"/>
  <c r="AV83" i="4"/>
  <c r="AU83" i="4"/>
  <c r="AT83" i="4"/>
  <c r="AS83" i="4"/>
  <c r="AQ83" i="4" s="1"/>
  <c r="AR83" i="4"/>
  <c r="AP83" i="4"/>
  <c r="AO83" i="4"/>
  <c r="AM83" i="4" s="1"/>
  <c r="AX83" i="4" s="1"/>
  <c r="AN83" i="4"/>
  <c r="AL83" i="4"/>
  <c r="AH83" i="4"/>
  <c r="AF83" i="4"/>
  <c r="AB83" i="4"/>
  <c r="AA83" i="4"/>
  <c r="Z83" i="4"/>
  <c r="Y83" i="4"/>
  <c r="X83" i="4"/>
  <c r="U83" i="4"/>
  <c r="AI83" i="4" s="1"/>
  <c r="T83" i="4"/>
  <c r="R83" i="4"/>
  <c r="V83" i="4" s="1"/>
  <c r="Q83" i="4"/>
  <c r="N83" i="4"/>
  <c r="L83" i="4" s="1"/>
  <c r="M83" i="4"/>
  <c r="J83" i="4"/>
  <c r="K83" i="4" s="1"/>
  <c r="P83" i="4" s="1"/>
  <c r="H83" i="4"/>
  <c r="G83" i="4"/>
  <c r="F83" i="4"/>
  <c r="E83" i="4"/>
  <c r="D83" i="4"/>
  <c r="B83" i="4"/>
  <c r="C83" i="4" s="1"/>
  <c r="A83" i="4"/>
  <c r="BX82" i="4"/>
  <c r="BW82" i="4"/>
  <c r="BV82" i="4"/>
  <c r="BT82" i="4" s="1"/>
  <c r="BU82" i="4"/>
  <c r="BS82" i="4"/>
  <c r="BO82" i="4"/>
  <c r="BN82" i="4"/>
  <c r="BQ82" i="4" s="1"/>
  <c r="BL82" i="4"/>
  <c r="BK82" i="4"/>
  <c r="BJ82" i="4"/>
  <c r="BI82" i="4"/>
  <c r="BH82" i="4"/>
  <c r="BG82" i="4"/>
  <c r="BF82" i="4"/>
  <c r="BD82" i="4"/>
  <c r="AZ82" i="4"/>
  <c r="AW82" i="4"/>
  <c r="AU82" i="4" s="1"/>
  <c r="AX82" i="4" s="1"/>
  <c r="BA82" i="4" s="1"/>
  <c r="AV82" i="4"/>
  <c r="AT82" i="4"/>
  <c r="AS82" i="4"/>
  <c r="AR82" i="4"/>
  <c r="AY82" i="4" s="1"/>
  <c r="BB82" i="4" s="1"/>
  <c r="AQ82" i="4"/>
  <c r="AP82" i="4"/>
  <c r="AO82" i="4"/>
  <c r="AM82" i="4" s="1"/>
  <c r="AN82" i="4"/>
  <c r="AL82" i="4"/>
  <c r="AH82" i="4"/>
  <c r="AF82" i="4"/>
  <c r="AB82" i="4"/>
  <c r="AD82" i="4" s="1"/>
  <c r="AA82" i="4"/>
  <c r="Z82" i="4"/>
  <c r="AG82" i="4" s="1"/>
  <c r="Y82" i="4"/>
  <c r="X82" i="4"/>
  <c r="U82" i="4"/>
  <c r="T82" i="4"/>
  <c r="R82" i="4"/>
  <c r="Q82" i="4"/>
  <c r="N82" i="4"/>
  <c r="M82" i="4"/>
  <c r="L82" i="4"/>
  <c r="K82" i="4"/>
  <c r="J82" i="4"/>
  <c r="H82" i="4"/>
  <c r="G82" i="4"/>
  <c r="F82" i="4"/>
  <c r="B82" i="4"/>
  <c r="E82" i="4" s="1"/>
  <c r="A82" i="4"/>
  <c r="BX81" i="4"/>
  <c r="BW81" i="4"/>
  <c r="BV81" i="4"/>
  <c r="BU81" i="4"/>
  <c r="BT81" i="4"/>
  <c r="BS81" i="4"/>
  <c r="BR81" i="4"/>
  <c r="BQ81" i="4"/>
  <c r="BO81" i="4"/>
  <c r="BM81" i="4" s="1"/>
  <c r="BP81" i="4" s="1"/>
  <c r="BN81" i="4"/>
  <c r="BL81" i="4"/>
  <c r="BK81" i="4"/>
  <c r="BJ81" i="4"/>
  <c r="BI81" i="4" s="1"/>
  <c r="BH81" i="4"/>
  <c r="BG81" i="4"/>
  <c r="BE81" i="4" s="1"/>
  <c r="BF81" i="4"/>
  <c r="BD81" i="4"/>
  <c r="AW81" i="4"/>
  <c r="AV81" i="4"/>
  <c r="AY81" i="4" s="1"/>
  <c r="BB81" i="4" s="1"/>
  <c r="AU81" i="4"/>
  <c r="AT81" i="4"/>
  <c r="AS81" i="4"/>
  <c r="AR81" i="4"/>
  <c r="AP81" i="4"/>
  <c r="AO81" i="4"/>
  <c r="AN81" i="4"/>
  <c r="AM81" i="4"/>
  <c r="AL81" i="4"/>
  <c r="AF81" i="4"/>
  <c r="AB81" i="4"/>
  <c r="AA81" i="4"/>
  <c r="AH81" i="4" s="1"/>
  <c r="X81" i="4"/>
  <c r="Y81" i="4" s="1"/>
  <c r="AD81" i="4" s="1"/>
  <c r="U81" i="4"/>
  <c r="S81" i="4" s="1"/>
  <c r="T81" i="4"/>
  <c r="Q81" i="4"/>
  <c r="R81" i="4" s="1"/>
  <c r="AE81" i="4" s="1"/>
  <c r="N81" i="4"/>
  <c r="L81" i="4" s="1"/>
  <c r="M81" i="4"/>
  <c r="K81" i="4"/>
  <c r="J81" i="4"/>
  <c r="F81" i="4"/>
  <c r="H81" i="4" s="1"/>
  <c r="E81" i="4"/>
  <c r="D81" i="4"/>
  <c r="C81" i="4"/>
  <c r="B81" i="4"/>
  <c r="A81" i="4"/>
  <c r="BX80" i="4"/>
  <c r="BW80" i="4"/>
  <c r="BV80" i="4"/>
  <c r="BU80" i="4"/>
  <c r="BT80" i="4"/>
  <c r="BS80" i="4"/>
  <c r="BO80" i="4"/>
  <c r="BN80" i="4"/>
  <c r="BM80" i="4"/>
  <c r="BL80" i="4"/>
  <c r="BK80" i="4"/>
  <c r="BI80" i="4" s="1"/>
  <c r="BJ80" i="4"/>
  <c r="BH80" i="4"/>
  <c r="BG80" i="4"/>
  <c r="BE80" i="4" s="1"/>
  <c r="BF80" i="4"/>
  <c r="BD80" i="4"/>
  <c r="AW80" i="4"/>
  <c r="AV80" i="4"/>
  <c r="AY80" i="4" s="1"/>
  <c r="AT80" i="4"/>
  <c r="AS80" i="4"/>
  <c r="AR80" i="4"/>
  <c r="AQ80" i="4"/>
  <c r="AP80" i="4"/>
  <c r="AO80" i="4"/>
  <c r="AM80" i="4" s="1"/>
  <c r="AN80" i="4"/>
  <c r="AL80" i="4"/>
  <c r="AI80" i="4"/>
  <c r="AF80" i="4"/>
  <c r="AB80" i="4"/>
  <c r="AA80" i="4"/>
  <c r="Z80" i="4" s="1"/>
  <c r="AG80" i="4" s="1"/>
  <c r="X80" i="4"/>
  <c r="Y80" i="4" s="1"/>
  <c r="AD80" i="4" s="1"/>
  <c r="U80" i="4"/>
  <c r="T80" i="4"/>
  <c r="S80" i="4"/>
  <c r="Q80" i="4"/>
  <c r="R80" i="4" s="1"/>
  <c r="P80" i="4"/>
  <c r="N80" i="4"/>
  <c r="L80" i="4" s="1"/>
  <c r="M80" i="4"/>
  <c r="K80" i="4"/>
  <c r="J80" i="4"/>
  <c r="H80" i="4"/>
  <c r="G80" i="4"/>
  <c r="F80" i="4"/>
  <c r="B80" i="4"/>
  <c r="A80" i="4"/>
  <c r="BX79" i="4"/>
  <c r="BW79" i="4"/>
  <c r="BV79" i="4"/>
  <c r="BT79" i="4" s="1"/>
  <c r="BU79" i="4"/>
  <c r="BS79" i="4"/>
  <c r="BQ79" i="4"/>
  <c r="BO79" i="4"/>
  <c r="BM79" i="4" s="1"/>
  <c r="BP79" i="4" s="1"/>
  <c r="BN79" i="4"/>
  <c r="BL79" i="4"/>
  <c r="BK79" i="4"/>
  <c r="BJ79" i="4"/>
  <c r="BI79" i="4"/>
  <c r="BH79" i="4"/>
  <c r="BG79" i="4"/>
  <c r="BE79" i="4" s="1"/>
  <c r="BF79" i="4"/>
  <c r="BD79" i="4"/>
  <c r="AZ79" i="4"/>
  <c r="AY79" i="4"/>
  <c r="BB79" i="4" s="1"/>
  <c r="AW79" i="4"/>
  <c r="AU79" i="4" s="1"/>
  <c r="AV79" i="4"/>
  <c r="AT79" i="4"/>
  <c r="AS79" i="4"/>
  <c r="AR79" i="4"/>
  <c r="AQ79" i="4"/>
  <c r="AP79" i="4"/>
  <c r="AO79" i="4"/>
  <c r="AM79" i="4" s="1"/>
  <c r="AN79" i="4"/>
  <c r="AL79" i="4"/>
  <c r="AF79" i="4"/>
  <c r="AC79" i="4"/>
  <c r="AB79" i="4"/>
  <c r="AA79" i="4"/>
  <c r="AH79" i="4" s="1"/>
  <c r="Y79" i="4"/>
  <c r="X79" i="4"/>
  <c r="U79" i="4"/>
  <c r="W79" i="4" s="1"/>
  <c r="T79" i="4"/>
  <c r="S79" i="4"/>
  <c r="R79" i="4"/>
  <c r="Q79" i="4"/>
  <c r="N79" i="4"/>
  <c r="M79" i="4"/>
  <c r="K79" i="4"/>
  <c r="AE79" i="4" s="1"/>
  <c r="J79" i="4"/>
  <c r="H79" i="4"/>
  <c r="F79" i="4"/>
  <c r="G79" i="4" s="1"/>
  <c r="E79" i="4"/>
  <c r="D79" i="4"/>
  <c r="C79" i="4"/>
  <c r="B79" i="4"/>
  <c r="A79" i="4"/>
  <c r="BX78" i="4"/>
  <c r="BW78" i="4"/>
  <c r="BV78" i="4"/>
  <c r="BU78" i="4"/>
  <c r="BT78" i="4"/>
  <c r="BS78" i="4"/>
  <c r="BO78" i="4"/>
  <c r="BN78" i="4"/>
  <c r="BM78" i="4"/>
  <c r="BL78" i="4"/>
  <c r="BK78" i="4"/>
  <c r="BJ78" i="4"/>
  <c r="BQ78" i="4" s="1"/>
  <c r="BH78" i="4"/>
  <c r="BG78" i="4"/>
  <c r="BF78" i="4"/>
  <c r="BE78" i="4"/>
  <c r="BD78" i="4"/>
  <c r="AW78" i="4"/>
  <c r="AZ78" i="4" s="1"/>
  <c r="BC78" i="4" s="1"/>
  <c r="AV78" i="4"/>
  <c r="AT78" i="4"/>
  <c r="AS78" i="4"/>
  <c r="AQ78" i="4" s="1"/>
  <c r="AR78" i="4"/>
  <c r="AP78" i="4"/>
  <c r="AO78" i="4"/>
  <c r="AM78" i="4" s="1"/>
  <c r="AN78" i="4"/>
  <c r="AL78" i="4"/>
  <c r="AF78" i="4"/>
  <c r="AD78" i="4"/>
  <c r="AB78" i="4"/>
  <c r="AI78" i="4" s="1"/>
  <c r="AA78" i="4"/>
  <c r="Y78" i="4"/>
  <c r="AC78" i="4" s="1"/>
  <c r="X78" i="4"/>
  <c r="U78" i="4"/>
  <c r="S78" i="4" s="1"/>
  <c r="T78" i="4"/>
  <c r="AH78" i="4" s="1"/>
  <c r="Q78" i="4"/>
  <c r="R78" i="4" s="1"/>
  <c r="W78" i="4" s="1"/>
  <c r="P78" i="4"/>
  <c r="N78" i="4"/>
  <c r="L78" i="4" s="1"/>
  <c r="M78" i="4"/>
  <c r="J78" i="4"/>
  <c r="K78" i="4" s="1"/>
  <c r="O78" i="4" s="1"/>
  <c r="F78" i="4"/>
  <c r="H78" i="4" s="1"/>
  <c r="E78" i="4"/>
  <c r="D78" i="4"/>
  <c r="C78" i="4"/>
  <c r="B78" i="4"/>
  <c r="A78" i="4"/>
  <c r="BX77" i="4"/>
  <c r="BW77" i="4"/>
  <c r="BV77" i="4"/>
  <c r="BU77" i="4"/>
  <c r="BS77" i="4"/>
  <c r="BO77" i="4"/>
  <c r="BR77" i="4" s="1"/>
  <c r="BN77" i="4"/>
  <c r="BM77" i="4"/>
  <c r="BP77" i="4" s="1"/>
  <c r="BL77" i="4"/>
  <c r="BK77" i="4"/>
  <c r="BI77" i="4" s="1"/>
  <c r="BJ77" i="4"/>
  <c r="BH77" i="4"/>
  <c r="BG77" i="4"/>
  <c r="BF77" i="4"/>
  <c r="BE77" i="4" s="1"/>
  <c r="BD77" i="4"/>
  <c r="AY77" i="4"/>
  <c r="BB77" i="4" s="1"/>
  <c r="AW77" i="4"/>
  <c r="AU77" i="4" s="1"/>
  <c r="AV77" i="4"/>
  <c r="AT77" i="4"/>
  <c r="AS77" i="4"/>
  <c r="AR77" i="4"/>
  <c r="AQ77" i="4" s="1"/>
  <c r="AX77" i="4" s="1"/>
  <c r="AP77" i="4"/>
  <c r="AO77" i="4"/>
  <c r="AM77" i="4" s="1"/>
  <c r="AN77" i="4"/>
  <c r="AL77" i="4"/>
  <c r="AH77" i="4"/>
  <c r="AF77" i="4"/>
  <c r="AB77" i="4"/>
  <c r="AA77" i="4"/>
  <c r="Y77" i="4"/>
  <c r="X77" i="4"/>
  <c r="U77" i="4"/>
  <c r="T77" i="4"/>
  <c r="S77" i="4"/>
  <c r="R77" i="4"/>
  <c r="W77" i="4" s="1"/>
  <c r="Q77" i="4"/>
  <c r="N77" i="4"/>
  <c r="M77" i="4"/>
  <c r="L77" i="4"/>
  <c r="K77" i="4"/>
  <c r="J77" i="4"/>
  <c r="H77" i="4"/>
  <c r="G77" i="4"/>
  <c r="F77" i="4"/>
  <c r="B77" i="4"/>
  <c r="A77" i="4"/>
  <c r="BX76" i="4"/>
  <c r="BW76" i="4"/>
  <c r="BV76" i="4"/>
  <c r="BT76" i="4" s="1"/>
  <c r="BU76" i="4"/>
  <c r="BS76" i="4"/>
  <c r="BQ76" i="4"/>
  <c r="BO76" i="4"/>
  <c r="BM76" i="4" s="1"/>
  <c r="BP76" i="4" s="1"/>
  <c r="BN76" i="4"/>
  <c r="BL76" i="4"/>
  <c r="BK76" i="4"/>
  <c r="BR76" i="4" s="1"/>
  <c r="BJ76" i="4"/>
  <c r="BH76" i="4"/>
  <c r="BG76" i="4"/>
  <c r="BE76" i="4" s="1"/>
  <c r="BF76" i="4"/>
  <c r="BD76" i="4"/>
  <c r="AW76" i="4"/>
  <c r="AV76" i="4"/>
  <c r="AU76" i="4"/>
  <c r="AT76" i="4"/>
  <c r="AS76" i="4"/>
  <c r="AR76" i="4"/>
  <c r="AY76" i="4" s="1"/>
  <c r="AP76" i="4"/>
  <c r="AO76" i="4"/>
  <c r="AN76" i="4"/>
  <c r="AM76" i="4"/>
  <c r="AL76" i="4"/>
  <c r="AF76" i="4"/>
  <c r="AB76" i="4"/>
  <c r="AA76" i="4"/>
  <c r="X76" i="4"/>
  <c r="Y76" i="4" s="1"/>
  <c r="AC76" i="4" s="1"/>
  <c r="W76" i="4"/>
  <c r="V76" i="4"/>
  <c r="U76" i="4"/>
  <c r="S76" i="4" s="1"/>
  <c r="T76" i="4"/>
  <c r="R76" i="4"/>
  <c r="Q76" i="4"/>
  <c r="O76" i="4"/>
  <c r="N76" i="4"/>
  <c r="P76" i="4" s="1"/>
  <c r="M76" i="4"/>
  <c r="L76" i="4"/>
  <c r="K76" i="4"/>
  <c r="J76" i="4"/>
  <c r="F76" i="4"/>
  <c r="E76" i="4"/>
  <c r="D76" i="4"/>
  <c r="C76" i="4"/>
  <c r="B76" i="4"/>
  <c r="A76" i="4"/>
  <c r="BX75" i="4"/>
  <c r="BW75" i="4"/>
  <c r="BV75" i="4"/>
  <c r="BU75" i="4"/>
  <c r="BT75" i="4"/>
  <c r="BS75" i="4"/>
  <c r="BO75" i="4"/>
  <c r="BN75" i="4"/>
  <c r="BQ75" i="4" s="1"/>
  <c r="BL75" i="4"/>
  <c r="BK75" i="4"/>
  <c r="BJ75" i="4"/>
  <c r="BH75" i="4"/>
  <c r="BG75" i="4"/>
  <c r="BF75" i="4"/>
  <c r="BE75" i="4"/>
  <c r="BD75" i="4"/>
  <c r="AW75" i="4"/>
  <c r="AV75" i="4"/>
  <c r="AY75" i="4" s="1"/>
  <c r="AT75" i="4"/>
  <c r="AS75" i="4"/>
  <c r="AQ75" i="4" s="1"/>
  <c r="AR75" i="4"/>
  <c r="AP75" i="4"/>
  <c r="AO75" i="4"/>
  <c r="AN75" i="4"/>
  <c r="AM75" i="4"/>
  <c r="AL75" i="4"/>
  <c r="AH75" i="4"/>
  <c r="AG75" i="4"/>
  <c r="AF75" i="4"/>
  <c r="AB75" i="4"/>
  <c r="AA75" i="4"/>
  <c r="Z75" i="4"/>
  <c r="X75" i="4"/>
  <c r="Y75" i="4" s="1"/>
  <c r="W75" i="4"/>
  <c r="U75" i="4"/>
  <c r="AI75" i="4" s="1"/>
  <c r="T75" i="4"/>
  <c r="R75" i="4"/>
  <c r="V75" i="4" s="1"/>
  <c r="Q75" i="4"/>
  <c r="P75" i="4"/>
  <c r="O75" i="4"/>
  <c r="N75" i="4"/>
  <c r="L75" i="4" s="1"/>
  <c r="M75" i="4"/>
  <c r="J75" i="4"/>
  <c r="K75" i="4" s="1"/>
  <c r="G75" i="4"/>
  <c r="F75" i="4"/>
  <c r="H75" i="4" s="1"/>
  <c r="E75" i="4"/>
  <c r="D75" i="4"/>
  <c r="B75" i="4"/>
  <c r="C75" i="4" s="1"/>
  <c r="A75" i="4"/>
  <c r="BX74" i="4"/>
  <c r="BW74" i="4"/>
  <c r="BV74" i="4"/>
  <c r="BT74" i="4" s="1"/>
  <c r="BU74" i="4"/>
  <c r="BS74" i="4"/>
  <c r="BO74" i="4"/>
  <c r="BN74" i="4"/>
  <c r="BL74" i="4"/>
  <c r="BK74" i="4"/>
  <c r="BJ74" i="4"/>
  <c r="BI74" i="4"/>
  <c r="BH74" i="4"/>
  <c r="BG74" i="4"/>
  <c r="BF74" i="4"/>
  <c r="BQ74" i="4" s="1"/>
  <c r="BD74" i="4"/>
  <c r="AZ74" i="4"/>
  <c r="AY74" i="4"/>
  <c r="AW74" i="4"/>
  <c r="AU74" i="4" s="1"/>
  <c r="AV74" i="4"/>
  <c r="AT74" i="4"/>
  <c r="AS74" i="4"/>
  <c r="AR74" i="4"/>
  <c r="AQ74" i="4"/>
  <c r="AP74" i="4"/>
  <c r="AO74" i="4"/>
  <c r="AM74" i="4" s="1"/>
  <c r="AX74" i="4" s="1"/>
  <c r="BA74" i="4" s="1"/>
  <c r="AN74" i="4"/>
  <c r="AL74" i="4"/>
  <c r="AF74" i="4"/>
  <c r="AB74" i="4"/>
  <c r="AD74" i="4" s="1"/>
  <c r="AA74" i="4"/>
  <c r="AH74" i="4" s="1"/>
  <c r="Z74" i="4"/>
  <c r="AG74" i="4" s="1"/>
  <c r="X74" i="4"/>
  <c r="Y74" i="4" s="1"/>
  <c r="U74" i="4"/>
  <c r="T74" i="4"/>
  <c r="S74" i="4" s="1"/>
  <c r="R74" i="4"/>
  <c r="Q74" i="4"/>
  <c r="N74" i="4"/>
  <c r="M74" i="4"/>
  <c r="L74" i="4" s="1"/>
  <c r="J74" i="4"/>
  <c r="K74" i="4" s="1"/>
  <c r="H74" i="4"/>
  <c r="G74" i="4"/>
  <c r="F74" i="4"/>
  <c r="D74" i="4"/>
  <c r="C74" i="4"/>
  <c r="B74" i="4"/>
  <c r="E74" i="4" s="1"/>
  <c r="A74" i="4"/>
  <c r="BX73" i="4"/>
  <c r="BW73" i="4"/>
  <c r="BV73" i="4"/>
  <c r="BU73" i="4"/>
  <c r="BT73" i="4"/>
  <c r="BS73" i="4"/>
  <c r="BO73" i="4"/>
  <c r="BM73" i="4" s="1"/>
  <c r="BP73" i="4" s="1"/>
  <c r="BN73" i="4"/>
  <c r="BL73" i="4"/>
  <c r="BK73" i="4"/>
  <c r="BR73" i="4" s="1"/>
  <c r="BJ73" i="4"/>
  <c r="BQ73" i="4" s="1"/>
  <c r="BI73" i="4"/>
  <c r="BH73" i="4"/>
  <c r="BG73" i="4"/>
  <c r="BE73" i="4" s="1"/>
  <c r="BF73" i="4"/>
  <c r="BD73" i="4"/>
  <c r="AW73" i="4"/>
  <c r="AV73" i="4"/>
  <c r="AT73" i="4"/>
  <c r="AS73" i="4"/>
  <c r="AR73" i="4"/>
  <c r="AP73" i="4"/>
  <c r="AO73" i="4"/>
  <c r="AN73" i="4"/>
  <c r="AM73" i="4" s="1"/>
  <c r="AL73" i="4"/>
  <c r="AF73" i="4"/>
  <c r="AD73" i="4"/>
  <c r="AC73" i="4"/>
  <c r="AB73" i="4"/>
  <c r="Z73" i="4" s="1"/>
  <c r="AG73" i="4" s="1"/>
  <c r="AA73" i="4"/>
  <c r="X73" i="4"/>
  <c r="Y73" i="4" s="1"/>
  <c r="U73" i="4"/>
  <c r="T73" i="4"/>
  <c r="Q73" i="4"/>
  <c r="R73" i="4" s="1"/>
  <c r="AE73" i="4" s="1"/>
  <c r="P73" i="4"/>
  <c r="O73" i="4"/>
  <c r="N73" i="4"/>
  <c r="M73" i="4"/>
  <c r="K73" i="4"/>
  <c r="J73" i="4"/>
  <c r="F73" i="4"/>
  <c r="H73" i="4" s="1"/>
  <c r="E73" i="4"/>
  <c r="D73" i="4"/>
  <c r="B73" i="4"/>
  <c r="C73" i="4" s="1"/>
  <c r="A73" i="4"/>
  <c r="BX72" i="4"/>
  <c r="BW72" i="4"/>
  <c r="BV72" i="4"/>
  <c r="BU72" i="4"/>
  <c r="BT72" i="4"/>
  <c r="BS72" i="4"/>
  <c r="BO72" i="4"/>
  <c r="BN72" i="4"/>
  <c r="BQ72" i="4" s="1"/>
  <c r="BL72" i="4"/>
  <c r="BK72" i="4"/>
  <c r="BI72" i="4" s="1"/>
  <c r="BJ72" i="4"/>
  <c r="BH72" i="4"/>
  <c r="BG72" i="4"/>
  <c r="BF72" i="4"/>
  <c r="BE72" i="4"/>
  <c r="BD72" i="4"/>
  <c r="AW72" i="4"/>
  <c r="AV72" i="4"/>
  <c r="AY72" i="4" s="1"/>
  <c r="AT72" i="4"/>
  <c r="AS72" i="4"/>
  <c r="AR72" i="4"/>
  <c r="AQ72" i="4"/>
  <c r="AP72" i="4"/>
  <c r="AO72" i="4"/>
  <c r="AN72" i="4"/>
  <c r="AL72" i="4"/>
  <c r="AI72" i="4"/>
  <c r="AF72" i="4"/>
  <c r="AB72" i="4"/>
  <c r="AA72" i="4"/>
  <c r="AH72" i="4" s="1"/>
  <c r="Z72" i="4"/>
  <c r="AG72" i="4" s="1"/>
  <c r="Y72" i="4"/>
  <c r="AD72" i="4" s="1"/>
  <c r="X72" i="4"/>
  <c r="U72" i="4"/>
  <c r="T72" i="4"/>
  <c r="S72" i="4"/>
  <c r="Q72" i="4"/>
  <c r="R72" i="4" s="1"/>
  <c r="N72" i="4"/>
  <c r="L72" i="4" s="1"/>
  <c r="M72" i="4"/>
  <c r="J72" i="4"/>
  <c r="K72" i="4" s="1"/>
  <c r="H72" i="4"/>
  <c r="G72" i="4"/>
  <c r="F72" i="4"/>
  <c r="B72" i="4"/>
  <c r="A72" i="4"/>
  <c r="BX71" i="4"/>
  <c r="BW71" i="4"/>
  <c r="BV71" i="4"/>
  <c r="BT71" i="4" s="1"/>
  <c r="BU71" i="4"/>
  <c r="BS71" i="4"/>
  <c r="BQ71" i="4"/>
  <c r="BO71" i="4"/>
  <c r="BM71" i="4" s="1"/>
  <c r="BN71" i="4"/>
  <c r="BL71" i="4"/>
  <c r="BK71" i="4"/>
  <c r="BJ71" i="4"/>
  <c r="BI71" i="4" s="1"/>
  <c r="BP71" i="4" s="1"/>
  <c r="BH71" i="4"/>
  <c r="BG71" i="4"/>
  <c r="BE71" i="4" s="1"/>
  <c r="BF71" i="4"/>
  <c r="BD71" i="4"/>
  <c r="AZ71" i="4"/>
  <c r="AY71" i="4"/>
  <c r="BB71" i="4" s="1"/>
  <c r="AW71" i="4"/>
  <c r="AU71" i="4" s="1"/>
  <c r="AV71" i="4"/>
  <c r="AT71" i="4"/>
  <c r="AS71" i="4"/>
  <c r="AR71" i="4"/>
  <c r="AQ71" i="4" s="1"/>
  <c r="AP71" i="4"/>
  <c r="AO71" i="4"/>
  <c r="AM71" i="4" s="1"/>
  <c r="AN71" i="4"/>
  <c r="AL71" i="4"/>
  <c r="AF71" i="4"/>
  <c r="AB71" i="4"/>
  <c r="AA71" i="4"/>
  <c r="AH71" i="4" s="1"/>
  <c r="Y71" i="4"/>
  <c r="X71" i="4"/>
  <c r="U71" i="4"/>
  <c r="T71" i="4"/>
  <c r="S71" i="4" s="1"/>
  <c r="Q71" i="4"/>
  <c r="R71" i="4" s="1"/>
  <c r="V71" i="4" s="1"/>
  <c r="N71" i="4"/>
  <c r="M71" i="4"/>
  <c r="K71" i="4"/>
  <c r="J71" i="4"/>
  <c r="H71" i="4"/>
  <c r="G71" i="4"/>
  <c r="F71" i="4"/>
  <c r="E71" i="4"/>
  <c r="B71" i="4"/>
  <c r="C71" i="4" s="1"/>
  <c r="A71" i="4"/>
  <c r="BX70" i="4"/>
  <c r="BW70" i="4"/>
  <c r="BV70" i="4"/>
  <c r="BU70" i="4"/>
  <c r="BT70" i="4" s="1"/>
  <c r="BS70" i="4"/>
  <c r="BO70" i="4"/>
  <c r="BN70" i="4"/>
  <c r="BM70" i="4"/>
  <c r="BL70" i="4"/>
  <c r="BK70" i="4"/>
  <c r="BI70" i="4" s="1"/>
  <c r="BJ70" i="4"/>
  <c r="BQ70" i="4" s="1"/>
  <c r="BH70" i="4"/>
  <c r="BG70" i="4"/>
  <c r="BF70" i="4"/>
  <c r="BE70" i="4"/>
  <c r="BD70" i="4"/>
  <c r="AW70" i="4"/>
  <c r="AV70" i="4"/>
  <c r="AT70" i="4"/>
  <c r="AS70" i="4"/>
  <c r="AQ70" i="4" s="1"/>
  <c r="AR70" i="4"/>
  <c r="AP70" i="4"/>
  <c r="AO70" i="4"/>
  <c r="AM70" i="4" s="1"/>
  <c r="AN70" i="4"/>
  <c r="AL70" i="4"/>
  <c r="AF70" i="4"/>
  <c r="AB70" i="4"/>
  <c r="AI70" i="4" s="1"/>
  <c r="AA70" i="4"/>
  <c r="AH70" i="4" s="1"/>
  <c r="X70" i="4"/>
  <c r="Y70" i="4" s="1"/>
  <c r="AD70" i="4" s="1"/>
  <c r="U70" i="4"/>
  <c r="S70" i="4" s="1"/>
  <c r="T70" i="4"/>
  <c r="Q70" i="4"/>
  <c r="R70" i="4" s="1"/>
  <c r="W70" i="4" s="1"/>
  <c r="N70" i="4"/>
  <c r="L70" i="4" s="1"/>
  <c r="M70" i="4"/>
  <c r="K70" i="4"/>
  <c r="J70" i="4"/>
  <c r="H70" i="4"/>
  <c r="G70" i="4"/>
  <c r="F70" i="4"/>
  <c r="E70" i="4"/>
  <c r="D70" i="4"/>
  <c r="C70" i="4"/>
  <c r="B70" i="4"/>
  <c r="A70" i="4"/>
  <c r="BX69" i="4"/>
  <c r="BW69" i="4"/>
  <c r="BV69" i="4"/>
  <c r="BT69" i="4" s="1"/>
  <c r="BU69" i="4"/>
  <c r="BS69" i="4"/>
  <c r="BO69" i="4"/>
  <c r="BR69" i="4" s="1"/>
  <c r="BN69" i="4"/>
  <c r="BM69" i="4"/>
  <c r="BL69" i="4"/>
  <c r="BK69" i="4"/>
  <c r="BI69" i="4" s="1"/>
  <c r="BJ69" i="4"/>
  <c r="BH69" i="4"/>
  <c r="BG69" i="4"/>
  <c r="BF69" i="4"/>
  <c r="BE69" i="4" s="1"/>
  <c r="BD69" i="4"/>
  <c r="AZ69" i="4"/>
  <c r="BC69" i="4" s="1"/>
  <c r="AW69" i="4"/>
  <c r="AU69" i="4" s="1"/>
  <c r="AX69" i="4" s="1"/>
  <c r="AV69" i="4"/>
  <c r="AT69" i="4"/>
  <c r="AS69" i="4"/>
  <c r="AR69" i="4"/>
  <c r="AY69" i="4" s="1"/>
  <c r="BB69" i="4" s="1"/>
  <c r="AQ69" i="4"/>
  <c r="AP69" i="4"/>
  <c r="AO69" i="4"/>
  <c r="AM69" i="4" s="1"/>
  <c r="AN69" i="4"/>
  <c r="AL69" i="4"/>
  <c r="AJ69" i="4"/>
  <c r="AI69" i="4"/>
  <c r="AK69" i="4" s="1"/>
  <c r="AF69" i="4"/>
  <c r="AB69" i="4"/>
  <c r="AA69" i="4"/>
  <c r="Z69" i="4" s="1"/>
  <c r="Y69" i="4"/>
  <c r="X69" i="4"/>
  <c r="U69" i="4"/>
  <c r="T69" i="4"/>
  <c r="AH69" i="4" s="1"/>
  <c r="Q69" i="4"/>
  <c r="R69" i="4" s="1"/>
  <c r="N69" i="4"/>
  <c r="M69" i="4"/>
  <c r="L69" i="4"/>
  <c r="J69" i="4"/>
  <c r="K69" i="4" s="1"/>
  <c r="H69" i="4"/>
  <c r="F69" i="4"/>
  <c r="G69" i="4" s="1"/>
  <c r="C69" i="4"/>
  <c r="B69" i="4"/>
  <c r="A69" i="4"/>
  <c r="BX68" i="4"/>
  <c r="BW68" i="4"/>
  <c r="BV68" i="4"/>
  <c r="BT68" i="4" s="1"/>
  <c r="BU68" i="4"/>
  <c r="BS68" i="4"/>
  <c r="BR68" i="4"/>
  <c r="BQ68" i="4"/>
  <c r="BP68" i="4"/>
  <c r="BO68" i="4"/>
  <c r="BM68" i="4" s="1"/>
  <c r="BN68" i="4"/>
  <c r="BL68" i="4"/>
  <c r="BK68" i="4"/>
  <c r="BJ68" i="4"/>
  <c r="BI68" i="4"/>
  <c r="BH68" i="4"/>
  <c r="BG68" i="4"/>
  <c r="BE68" i="4" s="1"/>
  <c r="BF68" i="4"/>
  <c r="BD68" i="4"/>
  <c r="AW68" i="4"/>
  <c r="AV68" i="4"/>
  <c r="AU68" i="4"/>
  <c r="AT68" i="4"/>
  <c r="AS68" i="4"/>
  <c r="AQ68" i="4" s="1"/>
  <c r="AR68" i="4"/>
  <c r="AY68" i="4" s="1"/>
  <c r="AP68" i="4"/>
  <c r="AO68" i="4"/>
  <c r="AN68" i="4"/>
  <c r="AM68" i="4"/>
  <c r="AL68" i="4"/>
  <c r="AF68" i="4"/>
  <c r="AB68" i="4"/>
  <c r="AA68" i="4"/>
  <c r="Y68" i="4"/>
  <c r="X68" i="4"/>
  <c r="U68" i="4"/>
  <c r="S68" i="4" s="1"/>
  <c r="T68" i="4"/>
  <c r="R68" i="4"/>
  <c r="Q68" i="4"/>
  <c r="N68" i="4"/>
  <c r="P68" i="4" s="1"/>
  <c r="M68" i="4"/>
  <c r="J68" i="4"/>
  <c r="K68" i="4" s="1"/>
  <c r="AE68" i="4" s="1"/>
  <c r="F68" i="4"/>
  <c r="E68" i="4"/>
  <c r="D68" i="4"/>
  <c r="C68" i="4"/>
  <c r="B68" i="4"/>
  <c r="A68" i="4"/>
  <c r="BX67" i="4"/>
  <c r="BW67" i="4"/>
  <c r="BV67" i="4"/>
  <c r="BU67" i="4"/>
  <c r="BT67" i="4" s="1"/>
  <c r="BS67" i="4"/>
  <c r="BO67" i="4"/>
  <c r="BN67" i="4"/>
  <c r="BL67" i="4"/>
  <c r="BK67" i="4"/>
  <c r="BJ67" i="4"/>
  <c r="BH67" i="4"/>
  <c r="BG67" i="4"/>
  <c r="BF67" i="4"/>
  <c r="BE67" i="4" s="1"/>
  <c r="BD67" i="4"/>
  <c r="AW67" i="4"/>
  <c r="AZ67" i="4" s="1"/>
  <c r="BC67" i="4" s="1"/>
  <c r="AV67" i="4"/>
  <c r="AU67" i="4"/>
  <c r="AX67" i="4" s="1"/>
  <c r="BA67" i="4" s="1"/>
  <c r="AT67" i="4"/>
  <c r="AS67" i="4"/>
  <c r="AQ67" i="4" s="1"/>
  <c r="AR67" i="4"/>
  <c r="AP67" i="4"/>
  <c r="AO67" i="4"/>
  <c r="AN67" i="4"/>
  <c r="AM67" i="4" s="1"/>
  <c r="AL67" i="4"/>
  <c r="AH67" i="4"/>
  <c r="AF67" i="4"/>
  <c r="AE67" i="4"/>
  <c r="AB67" i="4"/>
  <c r="AI67" i="4" s="1"/>
  <c r="AA67" i="4"/>
  <c r="Z67" i="4"/>
  <c r="AG67" i="4" s="1"/>
  <c r="X67" i="4"/>
  <c r="Y67" i="4" s="1"/>
  <c r="U67" i="4"/>
  <c r="S67" i="4" s="1"/>
  <c r="T67" i="4"/>
  <c r="Q67" i="4"/>
  <c r="R67" i="4" s="1"/>
  <c r="W67" i="4" s="1"/>
  <c r="P67" i="4"/>
  <c r="O67" i="4"/>
  <c r="N67" i="4"/>
  <c r="L67" i="4" s="1"/>
  <c r="M67" i="4"/>
  <c r="J67" i="4"/>
  <c r="K67" i="4" s="1"/>
  <c r="F67" i="4"/>
  <c r="H67" i="4" s="1"/>
  <c r="E67" i="4"/>
  <c r="D67" i="4"/>
  <c r="C67" i="4"/>
  <c r="B67" i="4"/>
  <c r="A67" i="4"/>
  <c r="BX66" i="4"/>
  <c r="BW66" i="4"/>
  <c r="BV66" i="4"/>
  <c r="BT66" i="4" s="1"/>
  <c r="BU66" i="4"/>
  <c r="BS66" i="4"/>
  <c r="BQ66" i="4"/>
  <c r="BO66" i="4"/>
  <c r="BN66" i="4"/>
  <c r="BL66" i="4"/>
  <c r="BK66" i="4"/>
  <c r="BJ66" i="4"/>
  <c r="BI66" i="4"/>
  <c r="BH66" i="4"/>
  <c r="BG66" i="4"/>
  <c r="BE66" i="4" s="1"/>
  <c r="BF66" i="4"/>
  <c r="BD66" i="4"/>
  <c r="AZ66" i="4"/>
  <c r="AY66" i="4"/>
  <c r="AW66" i="4"/>
  <c r="AU66" i="4" s="1"/>
  <c r="AX66" i="4" s="1"/>
  <c r="AV66" i="4"/>
  <c r="AT66" i="4"/>
  <c r="AS66" i="4"/>
  <c r="AR66" i="4"/>
  <c r="AQ66" i="4"/>
  <c r="AP66" i="4"/>
  <c r="AO66" i="4"/>
  <c r="AM66" i="4" s="1"/>
  <c r="AN66" i="4"/>
  <c r="AL66" i="4"/>
  <c r="AF66" i="4"/>
  <c r="AB66" i="4"/>
  <c r="AD66" i="4" s="1"/>
  <c r="AA66" i="4"/>
  <c r="X66" i="4"/>
  <c r="Y66" i="4" s="1"/>
  <c r="U66" i="4"/>
  <c r="T66" i="4"/>
  <c r="AH66" i="4" s="1"/>
  <c r="R66" i="4"/>
  <c r="Q66" i="4"/>
  <c r="N66" i="4"/>
  <c r="M66" i="4"/>
  <c r="L66" i="4"/>
  <c r="J66" i="4"/>
  <c r="K66" i="4" s="1"/>
  <c r="H66" i="4"/>
  <c r="G66" i="4"/>
  <c r="F66" i="4"/>
  <c r="B66" i="4"/>
  <c r="E66" i="4" s="1"/>
  <c r="A66" i="4"/>
  <c r="BX65" i="4"/>
  <c r="BW65" i="4"/>
  <c r="BV65" i="4"/>
  <c r="BU65" i="4"/>
  <c r="BT65" i="4"/>
  <c r="BS65" i="4"/>
  <c r="BO65" i="4"/>
  <c r="BM65" i="4" s="1"/>
  <c r="BP65" i="4" s="1"/>
  <c r="BN65" i="4"/>
  <c r="BL65" i="4"/>
  <c r="BK65" i="4"/>
  <c r="BI65" i="4" s="1"/>
  <c r="BJ65" i="4"/>
  <c r="BQ65" i="4" s="1"/>
  <c r="BH65" i="4"/>
  <c r="BG65" i="4"/>
  <c r="BE65" i="4" s="1"/>
  <c r="BF65" i="4"/>
  <c r="BD65" i="4"/>
  <c r="AW65" i="4"/>
  <c r="AV65" i="4"/>
  <c r="AY65" i="4" s="1"/>
  <c r="AT65" i="4"/>
  <c r="AS65" i="4"/>
  <c r="AR65" i="4"/>
  <c r="AP65" i="4"/>
  <c r="AO65" i="4"/>
  <c r="AN65" i="4"/>
  <c r="AM65" i="4"/>
  <c r="AL65" i="4"/>
  <c r="AF65" i="4"/>
  <c r="AE65" i="4"/>
  <c r="AD65" i="4"/>
  <c r="AC65" i="4"/>
  <c r="AB65" i="4"/>
  <c r="Z65" i="4" s="1"/>
  <c r="AG65" i="4" s="1"/>
  <c r="AA65" i="4"/>
  <c r="X65" i="4"/>
  <c r="Y65" i="4" s="1"/>
  <c r="U65" i="4"/>
  <c r="T65" i="4"/>
  <c r="R65" i="4"/>
  <c r="Q65" i="4"/>
  <c r="N65" i="4"/>
  <c r="L65" i="4" s="1"/>
  <c r="M65" i="4"/>
  <c r="K65" i="4"/>
  <c r="J65" i="4"/>
  <c r="G65" i="4"/>
  <c r="F65" i="4"/>
  <c r="H65" i="4" s="1"/>
  <c r="E65" i="4"/>
  <c r="D65" i="4"/>
  <c r="B65" i="4"/>
  <c r="C65" i="4" s="1"/>
  <c r="A65" i="4"/>
  <c r="BX64" i="4"/>
  <c r="BW64" i="4"/>
  <c r="BV64" i="4"/>
  <c r="BU64" i="4"/>
  <c r="BT64" i="4"/>
  <c r="BS64" i="4"/>
  <c r="BO64" i="4"/>
  <c r="BR64" i="4" s="1"/>
  <c r="BN64" i="4"/>
  <c r="BM64" i="4"/>
  <c r="BL64" i="4"/>
  <c r="BK64" i="4"/>
  <c r="BI64" i="4" s="1"/>
  <c r="BJ64" i="4"/>
  <c r="BH64" i="4"/>
  <c r="BG64" i="4"/>
  <c r="BF64" i="4"/>
  <c r="BE64" i="4" s="1"/>
  <c r="BD64" i="4"/>
  <c r="AY64" i="4"/>
  <c r="BB64" i="4" s="1"/>
  <c r="AW64" i="4"/>
  <c r="AV64" i="4"/>
  <c r="AT64" i="4"/>
  <c r="AS64" i="4"/>
  <c r="AR64" i="4"/>
  <c r="AQ64" i="4"/>
  <c r="AP64" i="4"/>
  <c r="AO64" i="4"/>
  <c r="AM64" i="4" s="1"/>
  <c r="AN64" i="4"/>
  <c r="AL64" i="4"/>
  <c r="AI64" i="4"/>
  <c r="AH64" i="4"/>
  <c r="AF64" i="4"/>
  <c r="AB64" i="4"/>
  <c r="AA64" i="4"/>
  <c r="Z64" i="4" s="1"/>
  <c r="AG64" i="4" s="1"/>
  <c r="Y64" i="4"/>
  <c r="X64" i="4"/>
  <c r="U64" i="4"/>
  <c r="T64" i="4"/>
  <c r="S64" i="4"/>
  <c r="R64" i="4"/>
  <c r="Q64" i="4"/>
  <c r="N64" i="4"/>
  <c r="L64" i="4" s="1"/>
  <c r="M64" i="4"/>
  <c r="K64" i="4"/>
  <c r="J64" i="4"/>
  <c r="H64" i="4"/>
  <c r="G64" i="4"/>
  <c r="F64" i="4"/>
  <c r="B64" i="4"/>
  <c r="A64" i="4"/>
  <c r="BX63" i="4"/>
  <c r="BW63" i="4"/>
  <c r="BV63" i="4"/>
  <c r="BT63" i="4" s="1"/>
  <c r="BU63" i="4"/>
  <c r="BS63" i="4"/>
  <c r="BP63" i="4"/>
  <c r="BO63" i="4"/>
  <c r="BM63" i="4" s="1"/>
  <c r="BN63" i="4"/>
  <c r="BL63" i="4"/>
  <c r="BK63" i="4"/>
  <c r="BJ63" i="4"/>
  <c r="BQ63" i="4" s="1"/>
  <c r="BH63" i="4"/>
  <c r="BG63" i="4"/>
  <c r="BE63" i="4" s="1"/>
  <c r="BF63" i="4"/>
  <c r="BD63" i="4"/>
  <c r="AZ63" i="4"/>
  <c r="AW63" i="4"/>
  <c r="AU63" i="4" s="1"/>
  <c r="AV63" i="4"/>
  <c r="AT63" i="4"/>
  <c r="AS63" i="4"/>
  <c r="AR63" i="4"/>
  <c r="AY63" i="4" s="1"/>
  <c r="AQ63" i="4"/>
  <c r="AP63" i="4"/>
  <c r="AO63" i="4"/>
  <c r="AM63" i="4" s="1"/>
  <c r="AN63" i="4"/>
  <c r="AL63" i="4"/>
  <c r="AF63" i="4"/>
  <c r="AD63" i="4"/>
  <c r="AC63" i="4"/>
  <c r="AB63" i="4"/>
  <c r="AA63" i="4"/>
  <c r="Y63" i="4"/>
  <c r="AE63" i="4" s="1"/>
  <c r="X63" i="4"/>
  <c r="U63" i="4"/>
  <c r="W63" i="4" s="1"/>
  <c r="T63" i="4"/>
  <c r="Q63" i="4"/>
  <c r="P63" i="4"/>
  <c r="O63" i="4"/>
  <c r="N63" i="4"/>
  <c r="M63" i="4"/>
  <c r="L63" i="4"/>
  <c r="J63" i="4"/>
  <c r="H63" i="4"/>
  <c r="F63" i="4"/>
  <c r="G63" i="4" s="1"/>
  <c r="C63" i="4"/>
  <c r="B63" i="4"/>
  <c r="A63" i="4"/>
  <c r="BX62" i="4"/>
  <c r="BW62" i="4"/>
  <c r="BV62" i="4"/>
  <c r="BT62" i="4" s="1"/>
  <c r="BU62" i="4"/>
  <c r="BS62" i="4"/>
  <c r="BR62" i="4"/>
  <c r="BQ62" i="4"/>
  <c r="BO62" i="4"/>
  <c r="BN62" i="4"/>
  <c r="BM62" i="4" s="1"/>
  <c r="BP62" i="4" s="1"/>
  <c r="BL62" i="4"/>
  <c r="BK62" i="4"/>
  <c r="BJ62" i="4"/>
  <c r="BI62" i="4"/>
  <c r="BH62" i="4"/>
  <c r="BG62" i="4"/>
  <c r="BF62" i="4"/>
  <c r="BE62" i="4" s="1"/>
  <c r="AW62" i="4"/>
  <c r="AU62" i="4" s="1"/>
  <c r="AV62" i="4"/>
  <c r="AS62" i="4"/>
  <c r="AZ62" i="4" s="1"/>
  <c r="BC62" i="4" s="1"/>
  <c r="AR62" i="4"/>
  <c r="AY62" i="4" s="1"/>
  <c r="BB62" i="4" s="1"/>
  <c r="AQ62" i="4"/>
  <c r="AO62" i="4"/>
  <c r="AM62" i="4" s="1"/>
  <c r="AN62" i="4"/>
  <c r="AF62" i="4"/>
  <c r="AB62" i="4"/>
  <c r="Z62" i="4" s="1"/>
  <c r="AA62" i="4"/>
  <c r="U62" i="4"/>
  <c r="T62" i="4"/>
  <c r="S62" i="4"/>
  <c r="N62" i="4"/>
  <c r="M62" i="4"/>
  <c r="L62" i="4" s="1"/>
  <c r="G62" i="4"/>
  <c r="F62" i="4"/>
  <c r="H62" i="4" s="1"/>
  <c r="D62" i="4"/>
  <c r="C62" i="4"/>
  <c r="B62" i="4"/>
  <c r="E62" i="4" s="1"/>
  <c r="A62" i="4"/>
  <c r="BX61" i="4"/>
  <c r="BW61" i="4"/>
  <c r="BV61" i="4"/>
  <c r="BU61" i="4"/>
  <c r="BT61" i="4"/>
  <c r="BS61" i="4"/>
  <c r="BO61" i="4"/>
  <c r="BM61" i="4" s="1"/>
  <c r="BN61" i="4"/>
  <c r="BL61" i="4"/>
  <c r="BK61" i="4"/>
  <c r="BR61" i="4" s="1"/>
  <c r="BJ61" i="4"/>
  <c r="BQ61" i="4" s="1"/>
  <c r="BI61" i="4"/>
  <c r="BH61" i="4"/>
  <c r="BG61" i="4"/>
  <c r="BE61" i="4" s="1"/>
  <c r="BF61" i="4"/>
  <c r="BB61" i="4"/>
  <c r="AZ61" i="4"/>
  <c r="BC61" i="4" s="1"/>
  <c r="AW61" i="4"/>
  <c r="AV61" i="4"/>
  <c r="AU61" i="4"/>
  <c r="AS61" i="4"/>
  <c r="AR61" i="4"/>
  <c r="AY61" i="4" s="1"/>
  <c r="AQ61" i="4"/>
  <c r="AO61" i="4"/>
  <c r="AN61" i="4"/>
  <c r="AM61" i="4" s="1"/>
  <c r="AJ61" i="4"/>
  <c r="AF61" i="4"/>
  <c r="AK61" i="4" s="1"/>
  <c r="AB61" i="4"/>
  <c r="AA61" i="4"/>
  <c r="U61" i="4"/>
  <c r="S61" i="4" s="1"/>
  <c r="T61" i="4"/>
  <c r="N61" i="4"/>
  <c r="M61" i="4"/>
  <c r="L61" i="4"/>
  <c r="H61" i="4"/>
  <c r="F61" i="4"/>
  <c r="G61" i="4" s="1"/>
  <c r="C61" i="4"/>
  <c r="B61" i="4"/>
  <c r="A61" i="4"/>
  <c r="BX60" i="4"/>
  <c r="BW60" i="4"/>
  <c r="BV60" i="4"/>
  <c r="BT60" i="4" s="1"/>
  <c r="BU60" i="4"/>
  <c r="BS60" i="4"/>
  <c r="BR60" i="4"/>
  <c r="BQ60" i="4"/>
  <c r="BO60" i="4"/>
  <c r="BN60" i="4"/>
  <c r="BM60" i="4" s="1"/>
  <c r="BP60" i="4" s="1"/>
  <c r="BL60" i="4"/>
  <c r="BK60" i="4"/>
  <c r="BJ60" i="4"/>
  <c r="BI60" i="4"/>
  <c r="BH60" i="4"/>
  <c r="BG60" i="4"/>
  <c r="BF60" i="4"/>
  <c r="BE60" i="4" s="1"/>
  <c r="BD60" i="4"/>
  <c r="AW60" i="4"/>
  <c r="AV60" i="4"/>
  <c r="AU60" i="4"/>
  <c r="AT60" i="4"/>
  <c r="AS60" i="4"/>
  <c r="AQ60" i="4" s="1"/>
  <c r="AR60" i="4"/>
  <c r="AY60" i="4" s="1"/>
  <c r="AP60" i="4"/>
  <c r="AO60" i="4"/>
  <c r="AN60" i="4"/>
  <c r="AM60" i="4"/>
  <c r="AL60" i="4"/>
  <c r="AF60" i="4"/>
  <c r="AE60" i="4"/>
  <c r="AB60" i="4"/>
  <c r="AA60" i="4"/>
  <c r="X60" i="4"/>
  <c r="V60" i="4"/>
  <c r="U60" i="4"/>
  <c r="W60" i="4" s="1"/>
  <c r="T60" i="4"/>
  <c r="S60" i="4"/>
  <c r="Q60" i="4"/>
  <c r="P60" i="4"/>
  <c r="O60" i="4"/>
  <c r="N60" i="4"/>
  <c r="M60" i="4"/>
  <c r="L60" i="4" s="1"/>
  <c r="J60" i="4"/>
  <c r="H60" i="4"/>
  <c r="F60" i="4"/>
  <c r="G60" i="4" s="1"/>
  <c r="C60" i="4"/>
  <c r="B60" i="4"/>
  <c r="A60" i="4"/>
  <c r="BX59" i="4"/>
  <c r="BW59" i="4"/>
  <c r="BV59" i="4"/>
  <c r="BT59" i="4" s="1"/>
  <c r="BU59" i="4"/>
  <c r="BS59" i="4"/>
  <c r="BR59" i="4"/>
  <c r="BQ59" i="4"/>
  <c r="BP59" i="4"/>
  <c r="BO59" i="4"/>
  <c r="BN59" i="4"/>
  <c r="BM59" i="4" s="1"/>
  <c r="BL59" i="4"/>
  <c r="BK59" i="4"/>
  <c r="BJ59" i="4"/>
  <c r="BI59" i="4"/>
  <c r="BH59" i="4"/>
  <c r="BG59" i="4"/>
  <c r="BF59" i="4"/>
  <c r="BE59" i="4" s="1"/>
  <c r="BD59" i="4"/>
  <c r="AZ59" i="4"/>
  <c r="AW59" i="4"/>
  <c r="AV59" i="4"/>
  <c r="AU59" i="4"/>
  <c r="AT59" i="4"/>
  <c r="AS59" i="4"/>
  <c r="AR59" i="4"/>
  <c r="AY59" i="4" s="1"/>
  <c r="BB59" i="4" s="1"/>
  <c r="AP59" i="4"/>
  <c r="AO59" i="4"/>
  <c r="AN59" i="4"/>
  <c r="AM59" i="4"/>
  <c r="AL59" i="4"/>
  <c r="AF59" i="4"/>
  <c r="AE59" i="4"/>
  <c r="AB59" i="4"/>
  <c r="AA59" i="4"/>
  <c r="X59" i="4"/>
  <c r="U59" i="4"/>
  <c r="W59" i="4" s="1"/>
  <c r="T59" i="4"/>
  <c r="AH59" i="4" s="1"/>
  <c r="S59" i="4"/>
  <c r="Q59" i="4"/>
  <c r="P59" i="4"/>
  <c r="O59" i="4"/>
  <c r="N59" i="4"/>
  <c r="M59" i="4"/>
  <c r="L59" i="4"/>
  <c r="J59" i="4"/>
  <c r="H59" i="4"/>
  <c r="F59" i="4"/>
  <c r="G59" i="4" s="1"/>
  <c r="B59" i="4"/>
  <c r="A59" i="4"/>
  <c r="BX58" i="4"/>
  <c r="BW58" i="4"/>
  <c r="BV58" i="4"/>
  <c r="BT58" i="4" s="1"/>
  <c r="BU58" i="4"/>
  <c r="BS58" i="4"/>
  <c r="BR58" i="4"/>
  <c r="BQ58" i="4"/>
  <c r="BO58" i="4"/>
  <c r="BN58" i="4"/>
  <c r="BM58" i="4" s="1"/>
  <c r="BP58" i="4" s="1"/>
  <c r="BL58" i="4"/>
  <c r="BK58" i="4"/>
  <c r="BJ58" i="4"/>
  <c r="BI58" i="4"/>
  <c r="BH58" i="4"/>
  <c r="BG58" i="4"/>
  <c r="BF58" i="4"/>
  <c r="BE58" i="4" s="1"/>
  <c r="BD58" i="4"/>
  <c r="AZ58" i="4"/>
  <c r="AW58" i="4"/>
  <c r="AV58" i="4"/>
  <c r="AU58" i="4"/>
  <c r="AT58" i="4"/>
  <c r="AS58" i="4"/>
  <c r="AR58" i="4"/>
  <c r="AY58" i="4" s="1"/>
  <c r="BB58" i="4" s="1"/>
  <c r="AP58" i="4"/>
  <c r="AO58" i="4"/>
  <c r="AN58" i="4"/>
  <c r="AM58" i="4"/>
  <c r="AL58" i="4"/>
  <c r="AF58" i="4"/>
  <c r="AE58" i="4"/>
  <c r="AD58" i="4"/>
  <c r="AC58" i="4"/>
  <c r="AB58" i="4"/>
  <c r="AA58" i="4"/>
  <c r="X58" i="4"/>
  <c r="U58" i="4"/>
  <c r="W58" i="4" s="1"/>
  <c r="T58" i="4"/>
  <c r="AH58" i="4" s="1"/>
  <c r="S58" i="4"/>
  <c r="Q58" i="4"/>
  <c r="P58" i="4"/>
  <c r="O58" i="4"/>
  <c r="N58" i="4"/>
  <c r="M58" i="4"/>
  <c r="L58" i="4"/>
  <c r="J58" i="4"/>
  <c r="H58" i="4"/>
  <c r="F58" i="4"/>
  <c r="G58" i="4" s="1"/>
  <c r="C58" i="4"/>
  <c r="B58" i="4"/>
  <c r="A58" i="4"/>
  <c r="BX57" i="4"/>
  <c r="BW57" i="4"/>
  <c r="BV57" i="4"/>
  <c r="BT57" i="4" s="1"/>
  <c r="BU57" i="4"/>
  <c r="BS57" i="4"/>
  <c r="BO57" i="4"/>
  <c r="BN57" i="4"/>
  <c r="BM57" i="4" s="1"/>
  <c r="BL57" i="4"/>
  <c r="BK57" i="4"/>
  <c r="BR57" i="4" s="1"/>
  <c r="BJ57" i="4"/>
  <c r="BQ57" i="4" s="1"/>
  <c r="BH57" i="4"/>
  <c r="BG57" i="4"/>
  <c r="BF57" i="4"/>
  <c r="BE57" i="4" s="1"/>
  <c r="BD57" i="4"/>
  <c r="AW57" i="4"/>
  <c r="AV57" i="4"/>
  <c r="AU57" i="4"/>
  <c r="AT57" i="4"/>
  <c r="AS57" i="4"/>
  <c r="AZ57" i="4" s="1"/>
  <c r="AR57" i="4"/>
  <c r="AY57" i="4" s="1"/>
  <c r="AP57" i="4"/>
  <c r="AO57" i="4"/>
  <c r="AN57" i="4"/>
  <c r="AM57" i="4"/>
  <c r="AL57" i="4"/>
  <c r="AF57" i="4"/>
  <c r="AE57" i="4"/>
  <c r="AB57" i="4"/>
  <c r="AD57" i="4" s="1"/>
  <c r="AA57" i="4"/>
  <c r="Y57" i="4"/>
  <c r="X57" i="4"/>
  <c r="W57" i="4"/>
  <c r="V57" i="4"/>
  <c r="U57" i="4"/>
  <c r="S57" i="4" s="1"/>
  <c r="T57" i="4"/>
  <c r="R57" i="4"/>
  <c r="Q57" i="4"/>
  <c r="O57" i="4"/>
  <c r="N57" i="4"/>
  <c r="P57" i="4" s="1"/>
  <c r="M57" i="4"/>
  <c r="L57" i="4"/>
  <c r="J57" i="4"/>
  <c r="K57" i="4" s="1"/>
  <c r="F57" i="4"/>
  <c r="E57" i="4"/>
  <c r="D57" i="4"/>
  <c r="C57" i="4"/>
  <c r="B57" i="4"/>
  <c r="A57" i="4"/>
  <c r="BX56" i="4"/>
  <c r="BW56" i="4"/>
  <c r="BV56" i="4"/>
  <c r="BU56" i="4"/>
  <c r="BT56" i="4" s="1"/>
  <c r="BS56" i="4"/>
  <c r="BO56" i="4"/>
  <c r="BN56" i="4"/>
  <c r="BQ56" i="4" s="1"/>
  <c r="BM56" i="4"/>
  <c r="BL56" i="4"/>
  <c r="BK56" i="4"/>
  <c r="BJ56" i="4"/>
  <c r="BH56" i="4"/>
  <c r="BG56" i="4"/>
  <c r="BF56" i="4"/>
  <c r="BE56" i="4"/>
  <c r="BD56" i="4"/>
  <c r="AW56" i="4"/>
  <c r="AZ56" i="4" s="1"/>
  <c r="BC56" i="4" s="1"/>
  <c r="AV56" i="4"/>
  <c r="AU56" i="4"/>
  <c r="AX56" i="4" s="1"/>
  <c r="BA56" i="4" s="1"/>
  <c r="AT56" i="4"/>
  <c r="AS56" i="4"/>
  <c r="AQ56" i="4" s="1"/>
  <c r="AR56" i="4"/>
  <c r="AP56" i="4"/>
  <c r="AO56" i="4"/>
  <c r="AN56" i="4"/>
  <c r="AM56" i="4" s="1"/>
  <c r="AL56" i="4"/>
  <c r="AH56" i="4"/>
  <c r="AF56" i="4"/>
  <c r="AB56" i="4"/>
  <c r="AI56" i="4" s="1"/>
  <c r="AA56" i="4"/>
  <c r="Z56" i="4"/>
  <c r="Y56" i="4"/>
  <c r="AC56" i="4" s="1"/>
  <c r="X56" i="4"/>
  <c r="U56" i="4"/>
  <c r="S56" i="4" s="1"/>
  <c r="AG56" i="4" s="1"/>
  <c r="T56" i="4"/>
  <c r="Q56" i="4"/>
  <c r="R56" i="4" s="1"/>
  <c r="W56" i="4" s="1"/>
  <c r="N56" i="4"/>
  <c r="M56" i="4"/>
  <c r="L56" i="4" s="1"/>
  <c r="J56" i="4"/>
  <c r="K56" i="4" s="1"/>
  <c r="P56" i="4" s="1"/>
  <c r="F56" i="4"/>
  <c r="G56" i="4" s="1"/>
  <c r="E56" i="4"/>
  <c r="D56" i="4"/>
  <c r="C56" i="4"/>
  <c r="B56" i="4"/>
  <c r="A56" i="4"/>
  <c r="BX55" i="4"/>
  <c r="BW55" i="4"/>
  <c r="BV55" i="4"/>
  <c r="BT55" i="4" s="1"/>
  <c r="BU55" i="4"/>
  <c r="BS55" i="4"/>
  <c r="BO55" i="4"/>
  <c r="BN55" i="4"/>
  <c r="BL55" i="4"/>
  <c r="BK55" i="4"/>
  <c r="BJ55" i="4"/>
  <c r="BI55" i="4"/>
  <c r="BH55" i="4"/>
  <c r="BG55" i="4"/>
  <c r="BF55" i="4"/>
  <c r="BQ55" i="4" s="1"/>
  <c r="BD55" i="4"/>
  <c r="AZ55" i="4"/>
  <c r="BC55" i="4" s="1"/>
  <c r="AY55" i="4"/>
  <c r="BB55" i="4" s="1"/>
  <c r="AW55" i="4"/>
  <c r="AV55" i="4"/>
  <c r="AU55" i="4" s="1"/>
  <c r="AX55" i="4" s="1"/>
  <c r="BA55" i="4" s="1"/>
  <c r="AT55" i="4"/>
  <c r="AS55" i="4"/>
  <c r="AR55" i="4"/>
  <c r="AQ55" i="4"/>
  <c r="H55" i="4"/>
  <c r="F55" i="4"/>
  <c r="G55" i="4" s="1"/>
  <c r="B55" i="4"/>
  <c r="A55" i="4"/>
  <c r="BX54" i="4"/>
  <c r="BW54" i="4"/>
  <c r="BV54" i="4"/>
  <c r="BT54" i="4" s="1"/>
  <c r="BU54" i="4"/>
  <c r="BS54" i="4"/>
  <c r="BR54" i="4"/>
  <c r="BQ54" i="4"/>
  <c r="BP54" i="4"/>
  <c r="BO54" i="4"/>
  <c r="BN54" i="4"/>
  <c r="BM54" i="4" s="1"/>
  <c r="BL54" i="4"/>
  <c r="BK54" i="4"/>
  <c r="BJ54" i="4"/>
  <c r="BI54" i="4" s="1"/>
  <c r="BH54" i="4"/>
  <c r="BG54" i="4"/>
  <c r="BF54" i="4"/>
  <c r="BE54" i="4" s="1"/>
  <c r="BD54" i="4"/>
  <c r="BB54" i="4"/>
  <c r="BA54" i="4"/>
  <c r="AZ54" i="4"/>
  <c r="BC54" i="4" s="1"/>
  <c r="AY54" i="4"/>
  <c r="AW54" i="4"/>
  <c r="AV54" i="4"/>
  <c r="AU54" i="4"/>
  <c r="AX54" i="4" s="1"/>
  <c r="F54" i="4"/>
  <c r="H54" i="4" s="1"/>
  <c r="E54" i="4"/>
  <c r="D54" i="4"/>
  <c r="C54" i="4"/>
  <c r="B54" i="4"/>
  <c r="A54" i="4"/>
  <c r="BX53" i="4"/>
  <c r="BW53" i="4"/>
  <c r="BV53" i="4"/>
  <c r="BT53" i="4" s="1"/>
  <c r="BU53" i="4"/>
  <c r="BS53" i="4"/>
  <c r="BQ53" i="4"/>
  <c r="BO53" i="4"/>
  <c r="BN53" i="4"/>
  <c r="BL53" i="4"/>
  <c r="BK53" i="4"/>
  <c r="BJ53" i="4"/>
  <c r="BI53" i="4"/>
  <c r="BH53" i="4"/>
  <c r="BG53" i="4"/>
  <c r="BE53" i="4" s="1"/>
  <c r="BF53" i="4"/>
  <c r="BD53" i="4"/>
  <c r="AZ53" i="4"/>
  <c r="AY53" i="4"/>
  <c r="AW53" i="4"/>
  <c r="AV53" i="4"/>
  <c r="AU53" i="4" s="1"/>
  <c r="AT53" i="4"/>
  <c r="AS53" i="4"/>
  <c r="AR53" i="4"/>
  <c r="AQ53" i="4"/>
  <c r="AP53" i="4"/>
  <c r="AO53" i="4"/>
  <c r="AN53" i="4"/>
  <c r="AM53" i="4" s="1"/>
  <c r="AX53" i="4" s="1"/>
  <c r="AL53" i="4"/>
  <c r="AF53" i="4"/>
  <c r="AB53" i="4"/>
  <c r="AD53" i="4" s="1"/>
  <c r="AA53" i="4"/>
  <c r="X53" i="4"/>
  <c r="Y53" i="4" s="1"/>
  <c r="U53" i="4"/>
  <c r="T53" i="4"/>
  <c r="AH53" i="4" s="1"/>
  <c r="R53" i="4"/>
  <c r="Q53" i="4"/>
  <c r="N53" i="4"/>
  <c r="M53" i="4"/>
  <c r="L53" i="4"/>
  <c r="J53" i="4"/>
  <c r="K53" i="4" s="1"/>
  <c r="G53" i="4"/>
  <c r="F53" i="4"/>
  <c r="H53" i="4" s="1"/>
  <c r="D53" i="4"/>
  <c r="C53" i="4"/>
  <c r="B53" i="4"/>
  <c r="E53" i="4" s="1"/>
  <c r="A53" i="4"/>
  <c r="BX52" i="4"/>
  <c r="BW52" i="4"/>
  <c r="BV52" i="4"/>
  <c r="BU52" i="4"/>
  <c r="BT52" i="4"/>
  <c r="BS52" i="4"/>
  <c r="BO52" i="4"/>
  <c r="BM52" i="4" s="1"/>
  <c r="BN52" i="4"/>
  <c r="BL52" i="4"/>
  <c r="BK52" i="4"/>
  <c r="BR52" i="4" s="1"/>
  <c r="BJ52" i="4"/>
  <c r="BQ52" i="4" s="1"/>
  <c r="BH52" i="4"/>
  <c r="BG52" i="4"/>
  <c r="BE52" i="4" s="1"/>
  <c r="BF52" i="4"/>
  <c r="BD52" i="4"/>
  <c r="AW52" i="4"/>
  <c r="AV52" i="4"/>
  <c r="AU52" i="4"/>
  <c r="AT52" i="4"/>
  <c r="AS52" i="4"/>
  <c r="AR52" i="4"/>
  <c r="AP52" i="4"/>
  <c r="AO52" i="4"/>
  <c r="AN52" i="4"/>
  <c r="AM52" i="4" s="1"/>
  <c r="AL52" i="4"/>
  <c r="AF52" i="4"/>
  <c r="AE52" i="4"/>
  <c r="AD52" i="4"/>
  <c r="AC52" i="4"/>
  <c r="AB52" i="4"/>
  <c r="AA52" i="4"/>
  <c r="X52" i="4"/>
  <c r="V52" i="4"/>
  <c r="U52" i="4"/>
  <c r="T52" i="4"/>
  <c r="Q52" i="4"/>
  <c r="N52" i="4"/>
  <c r="M52" i="4"/>
  <c r="L52" i="4"/>
  <c r="J52" i="4"/>
  <c r="G52" i="4"/>
  <c r="F52" i="4"/>
  <c r="H52" i="4" s="1"/>
  <c r="D52" i="4"/>
  <c r="C52" i="4"/>
  <c r="B52" i="4"/>
  <c r="E52" i="4" s="1"/>
  <c r="A52" i="4"/>
  <c r="BX51" i="4"/>
  <c r="BW51" i="4"/>
  <c r="BV51" i="4"/>
  <c r="BU51" i="4"/>
  <c r="BT51" i="4"/>
  <c r="BS51" i="4"/>
  <c r="BO51" i="4"/>
  <c r="BM51" i="4" s="1"/>
  <c r="BN51" i="4"/>
  <c r="BL51" i="4"/>
  <c r="BK51" i="4"/>
  <c r="BR51" i="4" s="1"/>
  <c r="BJ51" i="4"/>
  <c r="BQ51" i="4" s="1"/>
  <c r="BI51" i="4"/>
  <c r="BH51" i="4"/>
  <c r="BG51" i="4"/>
  <c r="BE51" i="4" s="1"/>
  <c r="BF51" i="4"/>
  <c r="BD51" i="4"/>
  <c r="AW51" i="4"/>
  <c r="AV51" i="4"/>
  <c r="AT51" i="4"/>
  <c r="AS51" i="4"/>
  <c r="AR51" i="4"/>
  <c r="AP51" i="4"/>
  <c r="AO51" i="4"/>
  <c r="AN51" i="4"/>
  <c r="AM51" i="4" s="1"/>
  <c r="AL51" i="4"/>
  <c r="AF51" i="4"/>
  <c r="AE51" i="4"/>
  <c r="AD51" i="4"/>
  <c r="AC51" i="4"/>
  <c r="AB51" i="4"/>
  <c r="AA51" i="4"/>
  <c r="X51" i="4"/>
  <c r="U51" i="4"/>
  <c r="T51" i="4"/>
  <c r="Q51" i="4"/>
  <c r="N51" i="4"/>
  <c r="M51" i="4"/>
  <c r="J51" i="4"/>
  <c r="G51" i="4"/>
  <c r="F51" i="4"/>
  <c r="H51" i="4" s="1"/>
  <c r="B51" i="4"/>
  <c r="E51" i="4" s="1"/>
  <c r="A51" i="4"/>
  <c r="BX50" i="4"/>
  <c r="BW50" i="4"/>
  <c r="BV50" i="4"/>
  <c r="BU50" i="4"/>
  <c r="BT50" i="4"/>
  <c r="BS50" i="4"/>
  <c r="BR50" i="4"/>
  <c r="BO50" i="4"/>
  <c r="BM50" i="4" s="1"/>
  <c r="BN50" i="4"/>
  <c r="BL50" i="4"/>
  <c r="BK50" i="4"/>
  <c r="BJ50" i="4"/>
  <c r="BQ50" i="4" s="1"/>
  <c r="BI50" i="4"/>
  <c r="BH50" i="4"/>
  <c r="BG50" i="4"/>
  <c r="BE50" i="4" s="1"/>
  <c r="BF50" i="4"/>
  <c r="BD50" i="4"/>
  <c r="AW50" i="4"/>
  <c r="AV50" i="4"/>
  <c r="AY50" i="4" s="1"/>
  <c r="AT50" i="4"/>
  <c r="AS50" i="4"/>
  <c r="AR50" i="4"/>
  <c r="AP50" i="4"/>
  <c r="AO50" i="4"/>
  <c r="AN50" i="4"/>
  <c r="AM50" i="4"/>
  <c r="AL50" i="4"/>
  <c r="AF50" i="4"/>
  <c r="AE50" i="4"/>
  <c r="AD50" i="4"/>
  <c r="AC50" i="4"/>
  <c r="AB50" i="4"/>
  <c r="AA50" i="4"/>
  <c r="X50" i="4"/>
  <c r="V50" i="4"/>
  <c r="U50" i="4"/>
  <c r="T50" i="4"/>
  <c r="Q50" i="4"/>
  <c r="N50" i="4"/>
  <c r="L50" i="4" s="1"/>
  <c r="M50" i="4"/>
  <c r="J50" i="4"/>
  <c r="G50" i="4"/>
  <c r="F50" i="4"/>
  <c r="H50" i="4" s="1"/>
  <c r="B50" i="4"/>
  <c r="E50" i="4" s="1"/>
  <c r="A50" i="4"/>
  <c r="BX49" i="4"/>
  <c r="BW49" i="4"/>
  <c r="BV49" i="4"/>
  <c r="BU49" i="4"/>
  <c r="BT49" i="4"/>
  <c r="BS49" i="4"/>
  <c r="BQ49" i="4"/>
  <c r="BO49" i="4"/>
  <c r="BM49" i="4" s="1"/>
  <c r="BP49" i="4" s="1"/>
  <c r="BN49" i="4"/>
  <c r="BL49" i="4"/>
  <c r="BK49" i="4"/>
  <c r="BJ49" i="4"/>
  <c r="BI49" i="4" s="1"/>
  <c r="BH49" i="4"/>
  <c r="BG49" i="4"/>
  <c r="BE49" i="4" s="1"/>
  <c r="BF49" i="4"/>
  <c r="BD49" i="4"/>
  <c r="AW49" i="4"/>
  <c r="AV49" i="4"/>
  <c r="AY49" i="4" s="1"/>
  <c r="AT49" i="4"/>
  <c r="AS49" i="4"/>
  <c r="AZ49" i="4" s="1"/>
  <c r="AR49" i="4"/>
  <c r="AQ49" i="4"/>
  <c r="AP49" i="4"/>
  <c r="AO49" i="4"/>
  <c r="AN49" i="4"/>
  <c r="AM49" i="4" s="1"/>
  <c r="AL49" i="4"/>
  <c r="AF49" i="4"/>
  <c r="AE49" i="4"/>
  <c r="AD49" i="4"/>
  <c r="AC49" i="4"/>
  <c r="AB49" i="4"/>
  <c r="AA49" i="4"/>
  <c r="X49" i="4"/>
  <c r="V49" i="4"/>
  <c r="U49" i="4"/>
  <c r="T49" i="4"/>
  <c r="Q49" i="4"/>
  <c r="N49" i="4"/>
  <c r="M49" i="4"/>
  <c r="L49" i="4"/>
  <c r="J49" i="4"/>
  <c r="G49" i="4"/>
  <c r="F49" i="4"/>
  <c r="H49" i="4" s="1"/>
  <c r="D49" i="4"/>
  <c r="C49" i="4"/>
  <c r="B49" i="4"/>
  <c r="E49" i="4" s="1"/>
  <c r="A49" i="4"/>
  <c r="BX48" i="4"/>
  <c r="BW48" i="4"/>
  <c r="BV48" i="4"/>
  <c r="BU48" i="4"/>
  <c r="BT48" i="4"/>
  <c r="BS48" i="4"/>
  <c r="BO48" i="4"/>
  <c r="BM48" i="4" s="1"/>
  <c r="BP48" i="4" s="1"/>
  <c r="BN48" i="4"/>
  <c r="BL48" i="4"/>
  <c r="BK48" i="4"/>
  <c r="BR48" i="4" s="1"/>
  <c r="BJ48" i="4"/>
  <c r="BQ48" i="4" s="1"/>
  <c r="BI48" i="4"/>
  <c r="BH48" i="4"/>
  <c r="BG48" i="4"/>
  <c r="BE48" i="4" s="1"/>
  <c r="BF48" i="4"/>
  <c r="BD48" i="4"/>
  <c r="AY48" i="4"/>
  <c r="AW48" i="4"/>
  <c r="AV48" i="4"/>
  <c r="AU48" i="4"/>
  <c r="AT48" i="4"/>
  <c r="AS48" i="4"/>
  <c r="AZ48" i="4" s="1"/>
  <c r="AR48" i="4"/>
  <c r="AQ48" i="4"/>
  <c r="AP48" i="4"/>
  <c r="AO48" i="4"/>
  <c r="AN48" i="4"/>
  <c r="AM48" i="4"/>
  <c r="AL48" i="4"/>
  <c r="AF48" i="4"/>
  <c r="AE48" i="4"/>
  <c r="AD48" i="4"/>
  <c r="AC48" i="4"/>
  <c r="AB48" i="4"/>
  <c r="AA48" i="4"/>
  <c r="X48" i="4"/>
  <c r="U48" i="4"/>
  <c r="S48" i="4" s="1"/>
  <c r="T48" i="4"/>
  <c r="Q48" i="4"/>
  <c r="N48" i="4"/>
  <c r="M48" i="4"/>
  <c r="L48" i="4"/>
  <c r="J48" i="4"/>
  <c r="G48" i="4"/>
  <c r="F48" i="4"/>
  <c r="H48" i="4" s="1"/>
  <c r="B48" i="4"/>
  <c r="E48" i="4" s="1"/>
  <c r="A48" i="4"/>
  <c r="BX47" i="4"/>
  <c r="BW47" i="4"/>
  <c r="BV47" i="4"/>
  <c r="BU47" i="4"/>
  <c r="BT47" i="4"/>
  <c r="BS47" i="4"/>
  <c r="BO47" i="4"/>
  <c r="BM47" i="4" s="1"/>
  <c r="BN47" i="4"/>
  <c r="BL47" i="4"/>
  <c r="BK47" i="4"/>
  <c r="BI47" i="4" s="1"/>
  <c r="BJ47" i="4"/>
  <c r="BQ47" i="4" s="1"/>
  <c r="BH47" i="4"/>
  <c r="BG47" i="4"/>
  <c r="BE47" i="4" s="1"/>
  <c r="BF47" i="4"/>
  <c r="BD47" i="4"/>
  <c r="AW47" i="4"/>
  <c r="AV47" i="4"/>
  <c r="AY47" i="4" s="1"/>
  <c r="AU47" i="4"/>
  <c r="AT47" i="4"/>
  <c r="AS47" i="4"/>
  <c r="AZ47" i="4" s="1"/>
  <c r="BC47" i="4" s="1"/>
  <c r="AR47" i="4"/>
  <c r="AP47" i="4"/>
  <c r="AO47" i="4"/>
  <c r="AN47" i="4"/>
  <c r="AM47" i="4"/>
  <c r="AL47" i="4"/>
  <c r="AI47" i="4"/>
  <c r="AJ47" i="4" s="1"/>
  <c r="AF47" i="4"/>
  <c r="AD47" i="4"/>
  <c r="AC47" i="4"/>
  <c r="AB47" i="4"/>
  <c r="AA47" i="4"/>
  <c r="X47" i="4"/>
  <c r="W47" i="4"/>
  <c r="V47" i="4"/>
  <c r="U47" i="4"/>
  <c r="T47" i="4"/>
  <c r="Q47" i="4"/>
  <c r="N47" i="4"/>
  <c r="M47" i="4"/>
  <c r="L47" i="4"/>
  <c r="K47" i="4"/>
  <c r="AE47" i="4" s="1"/>
  <c r="J47" i="4"/>
  <c r="H47" i="4"/>
  <c r="G47" i="4"/>
  <c r="F47" i="4"/>
  <c r="B47" i="4"/>
  <c r="E47" i="4" s="1"/>
  <c r="A47" i="4"/>
  <c r="BX46" i="4"/>
  <c r="BW46" i="4"/>
  <c r="BV46" i="4"/>
  <c r="BU46" i="4"/>
  <c r="BT46" i="4" s="1"/>
  <c r="BS46" i="4"/>
  <c r="BR46" i="4"/>
  <c r="BO46" i="4"/>
  <c r="BN46" i="4"/>
  <c r="BM46" i="4"/>
  <c r="BL46" i="4"/>
  <c r="BK46" i="4"/>
  <c r="BJ46" i="4"/>
  <c r="BQ46" i="4" s="1"/>
  <c r="BH46" i="4"/>
  <c r="BG46" i="4"/>
  <c r="BF46" i="4"/>
  <c r="BE46" i="4"/>
  <c r="BD46" i="4"/>
  <c r="AW46" i="4"/>
  <c r="AU46" i="4" s="1"/>
  <c r="AX46" i="4" s="1"/>
  <c r="AV46" i="4"/>
  <c r="AT46" i="4"/>
  <c r="AS46" i="4"/>
  <c r="AR46" i="4"/>
  <c r="AQ46" i="4" s="1"/>
  <c r="AP46" i="4"/>
  <c r="AO46" i="4"/>
  <c r="AM46" i="4" s="1"/>
  <c r="AN46" i="4"/>
  <c r="AL46" i="4"/>
  <c r="AF46" i="4"/>
  <c r="AE46" i="4"/>
  <c r="AB46" i="4"/>
  <c r="AA46" i="4"/>
  <c r="X46" i="4"/>
  <c r="U46" i="4"/>
  <c r="W46" i="4" s="1"/>
  <c r="T46" i="4"/>
  <c r="S46" i="4"/>
  <c r="Q46" i="4"/>
  <c r="O46" i="4"/>
  <c r="N46" i="4"/>
  <c r="P46" i="4" s="1"/>
  <c r="M46" i="4"/>
  <c r="L46" i="4" s="1"/>
  <c r="J46" i="4"/>
  <c r="H46" i="4"/>
  <c r="G46" i="4"/>
  <c r="F46" i="4"/>
  <c r="E46" i="4"/>
  <c r="C46" i="4"/>
  <c r="B46" i="4"/>
  <c r="D46" i="4" s="1"/>
  <c r="A46" i="4"/>
  <c r="BX45" i="4"/>
  <c r="BW45" i="4"/>
  <c r="BV45" i="4"/>
  <c r="BU45" i="4"/>
  <c r="BT45" i="4" s="1"/>
  <c r="BS45" i="4"/>
  <c r="BR45" i="4"/>
  <c r="BO45" i="4"/>
  <c r="BN45" i="4"/>
  <c r="BM45" i="4"/>
  <c r="BL45" i="4"/>
  <c r="BK45" i="4"/>
  <c r="BJ45" i="4"/>
  <c r="BQ45" i="4" s="1"/>
  <c r="BH45" i="4"/>
  <c r="BG45" i="4"/>
  <c r="BF45" i="4"/>
  <c r="BE45" i="4"/>
  <c r="BD45" i="4"/>
  <c r="AW45" i="4"/>
  <c r="AV45" i="4"/>
  <c r="AY45" i="4" s="1"/>
  <c r="BB45" i="4" s="1"/>
  <c r="AT45" i="4"/>
  <c r="AS45" i="4"/>
  <c r="AR45" i="4"/>
  <c r="AQ45" i="4" s="1"/>
  <c r="AP45" i="4"/>
  <c r="AO45" i="4"/>
  <c r="AZ45" i="4" s="1"/>
  <c r="AN45" i="4"/>
  <c r="AM45" i="4"/>
  <c r="AL45" i="4"/>
  <c r="AF45" i="4"/>
  <c r="AB45" i="4"/>
  <c r="AA45" i="4"/>
  <c r="AH45" i="4" s="1"/>
  <c r="X45" i="4"/>
  <c r="Y45" i="4" s="1"/>
  <c r="AD45" i="4" s="1"/>
  <c r="W45" i="4"/>
  <c r="V45" i="4"/>
  <c r="U45" i="4"/>
  <c r="T45" i="4"/>
  <c r="S45" i="4" s="1"/>
  <c r="Q45" i="4"/>
  <c r="R45" i="4" s="1"/>
  <c r="N45" i="4"/>
  <c r="P45" i="4" s="1"/>
  <c r="M45" i="4"/>
  <c r="K45" i="4"/>
  <c r="J45" i="4"/>
  <c r="G45" i="4"/>
  <c r="F45" i="4"/>
  <c r="H45" i="4" s="1"/>
  <c r="E45" i="4"/>
  <c r="C45" i="4"/>
  <c r="B45" i="4"/>
  <c r="D45" i="4" s="1"/>
  <c r="A45" i="4"/>
  <c r="BX44" i="4"/>
  <c r="BW44" i="4"/>
  <c r="BV44" i="4"/>
  <c r="BT44" i="4" s="1"/>
  <c r="BU44" i="4"/>
  <c r="BS44" i="4"/>
  <c r="BP44" i="4"/>
  <c r="BO44" i="4"/>
  <c r="BN44" i="4"/>
  <c r="BM44" i="4"/>
  <c r="BL44" i="4"/>
  <c r="BK44" i="4"/>
  <c r="BI44" i="4" s="1"/>
  <c r="BJ44" i="4"/>
  <c r="BH44" i="4"/>
  <c r="BG44" i="4"/>
  <c r="BE44" i="4" s="1"/>
  <c r="BF44" i="4"/>
  <c r="BD44" i="4"/>
  <c r="AW44" i="4"/>
  <c r="AU44" i="4" s="1"/>
  <c r="AV44" i="4"/>
  <c r="AT44" i="4"/>
  <c r="AS44" i="4"/>
  <c r="AR44" i="4"/>
  <c r="AY44" i="4" s="1"/>
  <c r="AP44" i="4"/>
  <c r="AO44" i="4"/>
  <c r="AM44" i="4" s="1"/>
  <c r="AN44" i="4"/>
  <c r="AL44" i="4"/>
  <c r="AI44" i="4"/>
  <c r="AK44" i="4" s="1"/>
  <c r="AF44" i="4"/>
  <c r="AE44" i="4"/>
  <c r="AB44" i="4"/>
  <c r="AA44" i="4"/>
  <c r="Z44" i="4" s="1"/>
  <c r="AG44" i="4" s="1"/>
  <c r="X44" i="4"/>
  <c r="V44" i="4"/>
  <c r="U44" i="4"/>
  <c r="W44" i="4" s="1"/>
  <c r="T44" i="4"/>
  <c r="S44" i="4"/>
  <c r="Q44" i="4"/>
  <c r="P44" i="4"/>
  <c r="O44" i="4"/>
  <c r="N44" i="4"/>
  <c r="M44" i="4"/>
  <c r="L44" i="4" s="1"/>
  <c r="J44" i="4"/>
  <c r="H44" i="4"/>
  <c r="G44" i="4"/>
  <c r="F44" i="4"/>
  <c r="E44" i="4"/>
  <c r="C44" i="4"/>
  <c r="B44" i="4"/>
  <c r="D44" i="4" s="1"/>
  <c r="A44" i="4"/>
  <c r="BX43" i="4"/>
  <c r="BW43" i="4"/>
  <c r="BV43" i="4"/>
  <c r="BT43" i="4" s="1"/>
  <c r="BU43" i="4"/>
  <c r="BS43" i="4"/>
  <c r="BO43" i="4"/>
  <c r="BR43" i="4" s="1"/>
  <c r="BN43" i="4"/>
  <c r="BM43" i="4"/>
  <c r="BP43" i="4" s="1"/>
  <c r="BL43" i="4"/>
  <c r="BK43" i="4"/>
  <c r="BI43" i="4" s="1"/>
  <c r="BJ43" i="4"/>
  <c r="BH43" i="4"/>
  <c r="BG43" i="4"/>
  <c r="BF43" i="4"/>
  <c r="BE43" i="4" s="1"/>
  <c r="BD43" i="4"/>
  <c r="AZ43" i="4"/>
  <c r="AW43" i="4"/>
  <c r="AV43" i="4"/>
  <c r="AU43" i="4"/>
  <c r="AT43" i="4"/>
  <c r="AS43" i="4"/>
  <c r="AR43" i="4"/>
  <c r="AY43" i="4" s="1"/>
  <c r="BB43" i="4" s="1"/>
  <c r="AP43" i="4"/>
  <c r="AO43" i="4"/>
  <c r="AN43" i="4"/>
  <c r="AM43" i="4"/>
  <c r="AL43" i="4"/>
  <c r="AF43" i="4"/>
  <c r="AE43" i="4"/>
  <c r="AB43" i="4"/>
  <c r="AI43" i="4" s="1"/>
  <c r="AA43" i="4"/>
  <c r="AH43" i="4" s="1"/>
  <c r="Z43" i="4"/>
  <c r="AG43" i="4" s="1"/>
  <c r="X43" i="4"/>
  <c r="V43" i="4"/>
  <c r="U43" i="4"/>
  <c r="W43" i="4" s="1"/>
  <c r="T43" i="4"/>
  <c r="S43" i="4"/>
  <c r="Q43" i="4"/>
  <c r="P43" i="4"/>
  <c r="O43" i="4"/>
  <c r="N43" i="4"/>
  <c r="M43" i="4"/>
  <c r="L43" i="4" s="1"/>
  <c r="J43" i="4"/>
  <c r="G43" i="4"/>
  <c r="F43" i="4"/>
  <c r="H43" i="4" s="1"/>
  <c r="E43" i="4"/>
  <c r="C43" i="4"/>
  <c r="B43" i="4"/>
  <c r="D43" i="4" s="1"/>
  <c r="A43" i="4"/>
  <c r="BX42" i="4"/>
  <c r="BW42" i="4"/>
  <c r="BV42" i="4"/>
  <c r="BT42" i="4" s="1"/>
  <c r="BU42" i="4"/>
  <c r="BS42" i="4"/>
  <c r="BO42" i="4"/>
  <c r="BN42" i="4"/>
  <c r="BL42" i="4"/>
  <c r="BK42" i="4"/>
  <c r="BI42" i="4" s="1"/>
  <c r="BJ42" i="4"/>
  <c r="BH42" i="4"/>
  <c r="BG42" i="4"/>
  <c r="BE42" i="4" s="1"/>
  <c r="BF42" i="4"/>
  <c r="BD42" i="4"/>
  <c r="AW42" i="4"/>
  <c r="AU42" i="4" s="1"/>
  <c r="AV42" i="4"/>
  <c r="AT42" i="4"/>
  <c r="AS42" i="4"/>
  <c r="AR42" i="4"/>
  <c r="AY42" i="4" s="1"/>
  <c r="BB42" i="4" s="1"/>
  <c r="AP42" i="4"/>
  <c r="AO42" i="4"/>
  <c r="AM42" i="4" s="1"/>
  <c r="AN42" i="4"/>
  <c r="AL42" i="4"/>
  <c r="AH42" i="4"/>
  <c r="AF42" i="4"/>
  <c r="AB42" i="4"/>
  <c r="AA42" i="4"/>
  <c r="Z42" i="4" s="1"/>
  <c r="X42" i="4"/>
  <c r="U42" i="4"/>
  <c r="T42" i="4"/>
  <c r="S42" i="4"/>
  <c r="Q42" i="4"/>
  <c r="R42" i="4" s="1"/>
  <c r="V42" i="4" s="1"/>
  <c r="N42" i="4"/>
  <c r="M42" i="4"/>
  <c r="J42" i="4"/>
  <c r="K42" i="4" s="1"/>
  <c r="H42" i="4"/>
  <c r="G42" i="4"/>
  <c r="F42" i="4"/>
  <c r="B42" i="4"/>
  <c r="A42" i="4"/>
  <c r="BX41" i="4"/>
  <c r="BW41" i="4"/>
  <c r="BV41" i="4"/>
  <c r="BU41" i="4"/>
  <c r="BT41" i="4" s="1"/>
  <c r="BS41" i="4"/>
  <c r="BQ41" i="4"/>
  <c r="BO41" i="4"/>
  <c r="BR41" i="4" s="1"/>
  <c r="BN41" i="4"/>
  <c r="BL41" i="4"/>
  <c r="BK41" i="4"/>
  <c r="BJ41" i="4"/>
  <c r="BI41" i="4"/>
  <c r="BH41" i="4"/>
  <c r="BG41" i="4"/>
  <c r="BE41" i="4" s="1"/>
  <c r="BF41" i="4"/>
  <c r="BD41" i="4"/>
  <c r="AY41" i="4"/>
  <c r="BB41" i="4" s="1"/>
  <c r="AW41" i="4"/>
  <c r="AU41" i="4" s="1"/>
  <c r="AV41" i="4"/>
  <c r="AT41" i="4"/>
  <c r="AS41" i="4"/>
  <c r="AR41" i="4"/>
  <c r="AQ41" i="4" s="1"/>
  <c r="AP41" i="4"/>
  <c r="AO41" i="4"/>
  <c r="AM41" i="4" s="1"/>
  <c r="AN41" i="4"/>
  <c r="AL41" i="4"/>
  <c r="AF41" i="4"/>
  <c r="AB41" i="4"/>
  <c r="Z41" i="4" s="1"/>
  <c r="AG41" i="4" s="1"/>
  <c r="AA41" i="4"/>
  <c r="AH41" i="4" s="1"/>
  <c r="X41" i="4"/>
  <c r="U41" i="4"/>
  <c r="T41" i="4"/>
  <c r="S41" i="4"/>
  <c r="Q41" i="4"/>
  <c r="O41" i="4"/>
  <c r="N41" i="4"/>
  <c r="P41" i="4" s="1"/>
  <c r="M41" i="4"/>
  <c r="L41" i="4"/>
  <c r="K41" i="4"/>
  <c r="AE41" i="4" s="1"/>
  <c r="J41" i="4"/>
  <c r="H41" i="4"/>
  <c r="F41" i="4"/>
  <c r="G41" i="4" s="1"/>
  <c r="E41" i="4"/>
  <c r="C41" i="4"/>
  <c r="B41" i="4"/>
  <c r="D41" i="4" s="1"/>
  <c r="A41" i="4"/>
  <c r="BX40" i="4"/>
  <c r="BW40" i="4"/>
  <c r="BV40" i="4"/>
  <c r="BT40" i="4" s="1"/>
  <c r="BU40" i="4"/>
  <c r="BS40" i="4"/>
  <c r="BR40" i="4"/>
  <c r="BO40" i="4"/>
  <c r="BN40" i="4"/>
  <c r="BM40" i="4"/>
  <c r="BP40" i="4" s="1"/>
  <c r="BL40" i="4"/>
  <c r="BK40" i="4"/>
  <c r="BI40" i="4" s="1"/>
  <c r="BJ40" i="4"/>
  <c r="BQ40" i="4" s="1"/>
  <c r="BH40" i="4"/>
  <c r="BG40" i="4"/>
  <c r="BF40" i="4"/>
  <c r="BE40" i="4"/>
  <c r="BD40" i="4"/>
  <c r="AW40" i="4"/>
  <c r="AZ40" i="4" s="1"/>
  <c r="BC40" i="4" s="1"/>
  <c r="AV40" i="4"/>
  <c r="AU40" i="4"/>
  <c r="AX40" i="4" s="1"/>
  <c r="AT40" i="4"/>
  <c r="AS40" i="4"/>
  <c r="AQ40" i="4" s="1"/>
  <c r="AR40" i="4"/>
  <c r="AY40" i="4" s="1"/>
  <c r="AP40" i="4"/>
  <c r="AO40" i="4"/>
  <c r="AN40" i="4"/>
  <c r="AM40" i="4"/>
  <c r="AL40" i="4"/>
  <c r="AJ40" i="4"/>
  <c r="AF40" i="4"/>
  <c r="AB40" i="4"/>
  <c r="AI40" i="4" s="1"/>
  <c r="AK40" i="4" s="1"/>
  <c r="AA40" i="4"/>
  <c r="X40" i="4"/>
  <c r="U40" i="4"/>
  <c r="T40" i="4"/>
  <c r="S40" i="4" s="1"/>
  <c r="Q40" i="4"/>
  <c r="R40" i="4" s="1"/>
  <c r="V40" i="4" s="1"/>
  <c r="P40" i="4"/>
  <c r="N40" i="4"/>
  <c r="O40" i="4" s="1"/>
  <c r="M40" i="4"/>
  <c r="J40" i="4"/>
  <c r="G40" i="4"/>
  <c r="F40" i="4"/>
  <c r="H40" i="4" s="1"/>
  <c r="D40" i="4"/>
  <c r="C40" i="4"/>
  <c r="B40" i="4"/>
  <c r="E40" i="4" s="1"/>
  <c r="A40" i="4"/>
  <c r="BX39" i="4"/>
  <c r="BW39" i="4"/>
  <c r="BV39" i="4"/>
  <c r="BU39" i="4"/>
  <c r="BT39" i="4"/>
  <c r="BS39" i="4"/>
  <c r="BO39" i="4"/>
  <c r="BM39" i="4" s="1"/>
  <c r="BN39" i="4"/>
  <c r="BQ39" i="4" s="1"/>
  <c r="BL39" i="4"/>
  <c r="BK39" i="4"/>
  <c r="BR39" i="4" s="1"/>
  <c r="BJ39" i="4"/>
  <c r="BI39" i="4"/>
  <c r="BH39" i="4"/>
  <c r="BG39" i="4"/>
  <c r="BF39" i="4"/>
  <c r="BD39" i="4"/>
  <c r="AY39" i="4"/>
  <c r="BB39" i="4" s="1"/>
  <c r="AW39" i="4"/>
  <c r="AV39" i="4"/>
  <c r="AU39" i="4" s="1"/>
  <c r="AX39" i="4" s="1"/>
  <c r="AT39" i="4"/>
  <c r="AS39" i="4"/>
  <c r="AZ39" i="4" s="1"/>
  <c r="AR39" i="4"/>
  <c r="AQ39" i="4"/>
  <c r="AP39" i="4"/>
  <c r="AO39" i="4"/>
  <c r="AN39" i="4"/>
  <c r="AM39" i="4" s="1"/>
  <c r="AL39" i="4"/>
  <c r="AF39" i="4"/>
  <c r="AE39" i="4"/>
  <c r="AD39" i="4"/>
  <c r="AC39" i="4"/>
  <c r="AB39" i="4"/>
  <c r="AA39" i="4"/>
  <c r="Z39" i="4"/>
  <c r="X39" i="4"/>
  <c r="U39" i="4"/>
  <c r="S39" i="4" s="1"/>
  <c r="T39" i="4"/>
  <c r="Q39" i="4"/>
  <c r="N39" i="4"/>
  <c r="O39" i="4" s="1"/>
  <c r="M39" i="4"/>
  <c r="AH39" i="4" s="1"/>
  <c r="J39" i="4"/>
  <c r="G39" i="4"/>
  <c r="F39" i="4"/>
  <c r="H39" i="4" s="1"/>
  <c r="B39" i="4"/>
  <c r="E39" i="4" s="1"/>
  <c r="A39" i="4"/>
  <c r="BX38" i="4"/>
  <c r="BW38" i="4"/>
  <c r="BV38" i="4"/>
  <c r="BU38" i="4"/>
  <c r="BT38" i="4"/>
  <c r="BS38" i="4"/>
  <c r="BQ38" i="4"/>
  <c r="BO38" i="4"/>
  <c r="BM38" i="4" s="1"/>
  <c r="BP38" i="4" s="1"/>
  <c r="BN38" i="4"/>
  <c r="BL38" i="4"/>
  <c r="BK38" i="4"/>
  <c r="BJ38" i="4"/>
  <c r="BI38" i="4" s="1"/>
  <c r="BH38" i="4"/>
  <c r="BG38" i="4"/>
  <c r="BE38" i="4" s="1"/>
  <c r="BF38" i="4"/>
  <c r="AW38" i="4"/>
  <c r="AZ38" i="4" s="1"/>
  <c r="BC38" i="4" s="1"/>
  <c r="AV38" i="4"/>
  <c r="AS38" i="4"/>
  <c r="AR38" i="4"/>
  <c r="AQ38" i="4" s="1"/>
  <c r="AO38" i="4"/>
  <c r="AN38" i="4"/>
  <c r="AM38" i="4"/>
  <c r="AJ38" i="4"/>
  <c r="AF38" i="4"/>
  <c r="AK38" i="4" s="1"/>
  <c r="M38" i="4"/>
  <c r="H38" i="4"/>
  <c r="F38" i="4"/>
  <c r="G38" i="4" s="1"/>
  <c r="B38" i="4"/>
  <c r="D38" i="4" s="1"/>
  <c r="A38" i="4"/>
  <c r="BX37" i="4"/>
  <c r="BW37" i="4"/>
  <c r="BV37" i="4"/>
  <c r="BT37" i="4" s="1"/>
  <c r="BU37" i="4"/>
  <c r="BS37" i="4"/>
  <c r="BQ37" i="4"/>
  <c r="BP37" i="4"/>
  <c r="BO37" i="4"/>
  <c r="BN37" i="4"/>
  <c r="BM37" i="4"/>
  <c r="BL37" i="4"/>
  <c r="BK37" i="4"/>
  <c r="BR37" i="4" s="1"/>
  <c r="BJ37" i="4"/>
  <c r="BI37" i="4"/>
  <c r="BH37" i="4"/>
  <c r="BG37" i="4"/>
  <c r="BF37" i="4"/>
  <c r="BE37" i="4"/>
  <c r="BD37" i="4"/>
  <c r="AZ37" i="4"/>
  <c r="AW37" i="4"/>
  <c r="AV37" i="4"/>
  <c r="AU37" i="4"/>
  <c r="AT37" i="4"/>
  <c r="AS37" i="4"/>
  <c r="AR37" i="4"/>
  <c r="AY37" i="4" s="1"/>
  <c r="AP37" i="4"/>
  <c r="AO37" i="4"/>
  <c r="AN37" i="4"/>
  <c r="AM37" i="4"/>
  <c r="AL37" i="4"/>
  <c r="AF37" i="4"/>
  <c r="AB37" i="4"/>
  <c r="AA37" i="4"/>
  <c r="Z37" i="4"/>
  <c r="X37" i="4"/>
  <c r="U37" i="4"/>
  <c r="T37" i="4"/>
  <c r="S37" i="4" s="1"/>
  <c r="Q37" i="4"/>
  <c r="R37" i="4" s="1"/>
  <c r="AE37" i="4" s="1"/>
  <c r="N37" i="4"/>
  <c r="O37" i="4" s="1"/>
  <c r="M37" i="4"/>
  <c r="AH37" i="4" s="1"/>
  <c r="J37" i="4"/>
  <c r="G37" i="4"/>
  <c r="F37" i="4"/>
  <c r="H37" i="4" s="1"/>
  <c r="B37" i="4"/>
  <c r="E37" i="4" s="1"/>
  <c r="A37" i="4"/>
  <c r="BX36" i="4"/>
  <c r="BW36" i="4"/>
  <c r="BV36" i="4"/>
  <c r="BU36" i="4"/>
  <c r="BT36" i="4"/>
  <c r="BS36" i="4"/>
  <c r="BQ36" i="4"/>
  <c r="BO36" i="4"/>
  <c r="BM36" i="4" s="1"/>
  <c r="BP36" i="4" s="1"/>
  <c r="BN36" i="4"/>
  <c r="BL36" i="4"/>
  <c r="BK36" i="4"/>
  <c r="BJ36" i="4"/>
  <c r="BI36" i="4" s="1"/>
  <c r="BH36" i="4"/>
  <c r="BG36" i="4"/>
  <c r="BE36" i="4" s="1"/>
  <c r="BF36" i="4"/>
  <c r="BD36" i="4"/>
  <c r="AY36" i="4"/>
  <c r="BB36" i="4" s="1"/>
  <c r="AW36" i="4"/>
  <c r="AV36" i="4"/>
  <c r="AU36" i="4" s="1"/>
  <c r="AX36" i="4" s="1"/>
  <c r="BA36" i="4" s="1"/>
  <c r="AT36" i="4"/>
  <c r="AS36" i="4"/>
  <c r="AZ36" i="4" s="1"/>
  <c r="AR36" i="4"/>
  <c r="AQ36" i="4"/>
  <c r="AP36" i="4"/>
  <c r="AO36" i="4"/>
  <c r="AN36" i="4"/>
  <c r="AM36" i="4" s="1"/>
  <c r="AL36" i="4"/>
  <c r="AF36" i="4"/>
  <c r="AE36" i="4"/>
  <c r="AD36" i="4"/>
  <c r="AC36" i="4"/>
  <c r="AB36" i="4"/>
  <c r="AA36" i="4"/>
  <c r="Z36" i="4"/>
  <c r="AG36" i="4" s="1"/>
  <c r="X36" i="4"/>
  <c r="W36" i="4"/>
  <c r="V36" i="4"/>
  <c r="U36" i="4"/>
  <c r="S36" i="4" s="1"/>
  <c r="T36" i="4"/>
  <c r="Q36" i="4"/>
  <c r="N36" i="4"/>
  <c r="O36" i="4" s="1"/>
  <c r="M36" i="4"/>
  <c r="AH36" i="4" s="1"/>
  <c r="L36" i="4"/>
  <c r="J36" i="4"/>
  <c r="G36" i="4"/>
  <c r="F36" i="4"/>
  <c r="H36" i="4" s="1"/>
  <c r="B36" i="4"/>
  <c r="E36" i="4" s="1"/>
  <c r="A36" i="4"/>
  <c r="BX35" i="4"/>
  <c r="BW35" i="4"/>
  <c r="BV35" i="4"/>
  <c r="BU35" i="4"/>
  <c r="BT35" i="4"/>
  <c r="BS35" i="4"/>
  <c r="BO35" i="4"/>
  <c r="BN35" i="4"/>
  <c r="BQ35" i="4" s="1"/>
  <c r="BL35" i="4"/>
  <c r="BK35" i="4"/>
  <c r="BJ35" i="4"/>
  <c r="BI35" i="4" s="1"/>
  <c r="BH35" i="4"/>
  <c r="BG35" i="4"/>
  <c r="BF35" i="4"/>
  <c r="BD35" i="4"/>
  <c r="AW35" i="4"/>
  <c r="AV35" i="4"/>
  <c r="AY35" i="4" s="1"/>
  <c r="AU35" i="4"/>
  <c r="AX35" i="4" s="1"/>
  <c r="BA35" i="4" s="1"/>
  <c r="AT35" i="4"/>
  <c r="AS35" i="4"/>
  <c r="AZ35" i="4" s="1"/>
  <c r="AR35" i="4"/>
  <c r="AQ35" i="4"/>
  <c r="AP35" i="4"/>
  <c r="AO35" i="4"/>
  <c r="AN35" i="4"/>
  <c r="AM35" i="4"/>
  <c r="AL35" i="4"/>
  <c r="AF35" i="4"/>
  <c r="AE35" i="4"/>
  <c r="AD35" i="4"/>
  <c r="AC35" i="4"/>
  <c r="AB35" i="4"/>
  <c r="AA35" i="4"/>
  <c r="Z35" i="4"/>
  <c r="AG35" i="4" s="1"/>
  <c r="X35" i="4"/>
  <c r="U35" i="4"/>
  <c r="T35" i="4"/>
  <c r="AH35" i="4" s="1"/>
  <c r="Q35" i="4"/>
  <c r="N35" i="4"/>
  <c r="O35" i="4" s="1"/>
  <c r="M35" i="4"/>
  <c r="L35" i="4"/>
  <c r="J35" i="4"/>
  <c r="F35" i="4"/>
  <c r="H35" i="4" s="1"/>
  <c r="B35" i="4"/>
  <c r="E35" i="4" s="1"/>
  <c r="A35" i="4"/>
  <c r="BX34" i="4"/>
  <c r="BW34" i="4"/>
  <c r="BV34" i="4"/>
  <c r="BT34" i="4" s="1"/>
  <c r="BU34" i="4"/>
  <c r="BS34" i="4"/>
  <c r="BO34" i="4"/>
  <c r="BM34" i="4" s="1"/>
  <c r="BN34" i="4"/>
  <c r="BQ34" i="4" s="1"/>
  <c r="BL34" i="4"/>
  <c r="BK34" i="4"/>
  <c r="BI34" i="4" s="1"/>
  <c r="BJ34" i="4"/>
  <c r="BH34" i="4"/>
  <c r="BG34" i="4"/>
  <c r="BF34" i="4"/>
  <c r="BD34" i="4"/>
  <c r="AW34" i="4"/>
  <c r="AV34" i="4"/>
  <c r="AY34" i="4" s="1"/>
  <c r="BB34" i="4" s="1"/>
  <c r="AT34" i="4"/>
  <c r="AS34" i="4"/>
  <c r="AZ34" i="4" s="1"/>
  <c r="AR34" i="4"/>
  <c r="AP34" i="4"/>
  <c r="AO34" i="4"/>
  <c r="AN34" i="4"/>
  <c r="AM34" i="4" s="1"/>
  <c r="AL34" i="4"/>
  <c r="AF34" i="4"/>
  <c r="AD34" i="4"/>
  <c r="AC34" i="4"/>
  <c r="AB34" i="4"/>
  <c r="AA34" i="4"/>
  <c r="AH34" i="4" s="1"/>
  <c r="X34" i="4"/>
  <c r="Y34" i="4" s="1"/>
  <c r="U34" i="4"/>
  <c r="W34" i="4" s="1"/>
  <c r="T34" i="4"/>
  <c r="S34" i="4"/>
  <c r="R34" i="4"/>
  <c r="Q34" i="4"/>
  <c r="N34" i="4"/>
  <c r="M34" i="4"/>
  <c r="J34" i="4"/>
  <c r="K34" i="4" s="1"/>
  <c r="G34" i="4"/>
  <c r="F34" i="4"/>
  <c r="H34" i="4" s="1"/>
  <c r="D34" i="4"/>
  <c r="B34" i="4"/>
  <c r="C34" i="4" s="1"/>
  <c r="A34" i="4"/>
  <c r="BX33" i="4"/>
  <c r="BW33" i="4"/>
  <c r="BV33" i="4"/>
  <c r="BT33" i="4" s="1"/>
  <c r="BU33" i="4"/>
  <c r="BS33" i="4"/>
  <c r="BO33" i="4"/>
  <c r="BR33" i="4" s="1"/>
  <c r="BN33" i="4"/>
  <c r="BQ33" i="4" s="1"/>
  <c r="BM33" i="4"/>
  <c r="BL33" i="4"/>
  <c r="BK33" i="4"/>
  <c r="BJ33" i="4"/>
  <c r="BI33" i="4" s="1"/>
  <c r="BH33" i="4"/>
  <c r="BG33" i="4"/>
  <c r="BF33" i="4"/>
  <c r="BE33" i="4"/>
  <c r="BD33" i="4"/>
  <c r="AW33" i="4"/>
  <c r="AV33" i="4"/>
  <c r="AY33" i="4" s="1"/>
  <c r="AT33" i="4"/>
  <c r="AS33" i="4"/>
  <c r="AQ33" i="4" s="1"/>
  <c r="AR33" i="4"/>
  <c r="AP33" i="4"/>
  <c r="AO33" i="4"/>
  <c r="AM33" i="4" s="1"/>
  <c r="AN33" i="4"/>
  <c r="AL33" i="4"/>
  <c r="AF33" i="4"/>
  <c r="AE33" i="4"/>
  <c r="AD33" i="4"/>
  <c r="AC33" i="4"/>
  <c r="AB33" i="4"/>
  <c r="AA33" i="4"/>
  <c r="AH33" i="4" s="1"/>
  <c r="X33" i="4"/>
  <c r="U33" i="4"/>
  <c r="AI33" i="4" s="1"/>
  <c r="T33" i="4"/>
  <c r="Q33" i="4"/>
  <c r="P33" i="4"/>
  <c r="O33" i="4"/>
  <c r="N33" i="4"/>
  <c r="M33" i="4"/>
  <c r="L33" i="4"/>
  <c r="J33" i="4"/>
  <c r="F33" i="4"/>
  <c r="H33" i="4" s="1"/>
  <c r="E33" i="4"/>
  <c r="D33" i="4"/>
  <c r="B33" i="4"/>
  <c r="C33" i="4" s="1"/>
  <c r="A33" i="4"/>
  <c r="BX32" i="4"/>
  <c r="BW32" i="4"/>
  <c r="BV32" i="4"/>
  <c r="BU32" i="4"/>
  <c r="BT32" i="4"/>
  <c r="BS32" i="4"/>
  <c r="BO32" i="4"/>
  <c r="BR32" i="4" s="1"/>
  <c r="BN32" i="4"/>
  <c r="BQ32" i="4" s="1"/>
  <c r="BL32" i="4"/>
  <c r="BK32" i="4"/>
  <c r="BJ32" i="4"/>
  <c r="BI32" i="4" s="1"/>
  <c r="BH32" i="4"/>
  <c r="BG32" i="4"/>
  <c r="BF32" i="4"/>
  <c r="BE32" i="4" s="1"/>
  <c r="BD32" i="4"/>
  <c r="AW32" i="4"/>
  <c r="AV32" i="4"/>
  <c r="AY32" i="4" s="1"/>
  <c r="BB32" i="4" s="1"/>
  <c r="AT32" i="4"/>
  <c r="AS32" i="4"/>
  <c r="AQ32" i="4" s="1"/>
  <c r="AR32" i="4"/>
  <c r="AP32" i="4"/>
  <c r="AO32" i="4"/>
  <c r="AM32" i="4" s="1"/>
  <c r="AN32" i="4"/>
  <c r="AL32" i="4"/>
  <c r="AH32" i="4"/>
  <c r="AF32" i="4"/>
  <c r="AD32" i="4"/>
  <c r="AC32" i="4"/>
  <c r="AB32" i="4"/>
  <c r="AA32" i="4"/>
  <c r="Z32" i="4"/>
  <c r="AG32" i="4" s="1"/>
  <c r="X32" i="4"/>
  <c r="W32" i="4"/>
  <c r="U32" i="4"/>
  <c r="T32" i="4"/>
  <c r="Q32" i="4"/>
  <c r="N32" i="4"/>
  <c r="P32" i="4" s="1"/>
  <c r="M32" i="4"/>
  <c r="K32" i="4"/>
  <c r="AE32" i="4" s="1"/>
  <c r="J32" i="4"/>
  <c r="G32" i="4"/>
  <c r="F32" i="4"/>
  <c r="H32" i="4" s="1"/>
  <c r="E32" i="4"/>
  <c r="C32" i="4"/>
  <c r="B32" i="4"/>
  <c r="D32" i="4" s="1"/>
  <c r="A32" i="4"/>
  <c r="BX31" i="4"/>
  <c r="BW31" i="4"/>
  <c r="BV31" i="4"/>
  <c r="BT31" i="4" s="1"/>
  <c r="BU31" i="4"/>
  <c r="BS31" i="4"/>
  <c r="BR31" i="4"/>
  <c r="BO31" i="4"/>
  <c r="BN31" i="4"/>
  <c r="BM31" i="4" s="1"/>
  <c r="BP31" i="4" s="1"/>
  <c r="BL31" i="4"/>
  <c r="BK31" i="4"/>
  <c r="BJ31" i="4"/>
  <c r="BH31" i="4"/>
  <c r="BG31" i="4"/>
  <c r="BE31" i="4" s="1"/>
  <c r="BF31" i="4"/>
  <c r="BD31" i="4"/>
  <c r="AZ31" i="4"/>
  <c r="BC31" i="4" s="1"/>
  <c r="AY31" i="4"/>
  <c r="BB31" i="4" s="1"/>
  <c r="AW31" i="4"/>
  <c r="AV31" i="4"/>
  <c r="AU31" i="4"/>
  <c r="AT31" i="4"/>
  <c r="AS31" i="4"/>
  <c r="AR31" i="4"/>
  <c r="AQ31" i="4"/>
  <c r="AX31" i="4" s="1"/>
  <c r="BA31" i="4" s="1"/>
  <c r="AP31" i="4"/>
  <c r="AO31" i="4"/>
  <c r="AN31" i="4"/>
  <c r="AM31" i="4"/>
  <c r="AL31" i="4"/>
  <c r="AI31" i="4"/>
  <c r="AK31" i="4" s="1"/>
  <c r="AH31" i="4"/>
  <c r="AF31" i="4"/>
  <c r="AE31" i="4"/>
  <c r="AB31" i="4"/>
  <c r="AC31" i="4" s="1"/>
  <c r="AA31" i="4"/>
  <c r="Z31" i="4"/>
  <c r="AG31" i="4" s="1"/>
  <c r="X31" i="4"/>
  <c r="V31" i="4"/>
  <c r="U31" i="4"/>
  <c r="W31" i="4" s="1"/>
  <c r="T31" i="4"/>
  <c r="S31" i="4"/>
  <c r="Q31" i="4"/>
  <c r="P31" i="4"/>
  <c r="O31" i="4"/>
  <c r="N31" i="4"/>
  <c r="M31" i="4"/>
  <c r="L31" i="4" s="1"/>
  <c r="J31" i="4"/>
  <c r="G31" i="4"/>
  <c r="F31" i="4"/>
  <c r="H31" i="4" s="1"/>
  <c r="E31" i="4"/>
  <c r="C31" i="4"/>
  <c r="B31" i="4"/>
  <c r="D31" i="4" s="1"/>
  <c r="A31" i="4"/>
  <c r="BX30" i="4"/>
  <c r="BW30" i="4"/>
  <c r="BV30" i="4"/>
  <c r="BT30" i="4" s="1"/>
  <c r="BU30" i="4"/>
  <c r="BS30" i="4"/>
  <c r="BR30" i="4"/>
  <c r="BO30" i="4"/>
  <c r="BN30" i="4"/>
  <c r="BM30" i="4" s="1"/>
  <c r="BL30" i="4"/>
  <c r="BK30" i="4"/>
  <c r="BJ30" i="4"/>
  <c r="BH30" i="4"/>
  <c r="BG30" i="4"/>
  <c r="BE30" i="4" s="1"/>
  <c r="BF30" i="4"/>
  <c r="BD30" i="4"/>
  <c r="AZ30" i="4"/>
  <c r="BC30" i="4" s="1"/>
  <c r="AY30" i="4"/>
  <c r="BB30" i="4" s="1"/>
  <c r="AW30" i="4"/>
  <c r="AV30" i="4"/>
  <c r="AU30" i="4"/>
  <c r="AT30" i="4"/>
  <c r="AS30" i="4"/>
  <c r="AR30" i="4"/>
  <c r="AQ30" i="4"/>
  <c r="AX30" i="4" s="1"/>
  <c r="AP30" i="4"/>
  <c r="AO30" i="4"/>
  <c r="AN30" i="4"/>
  <c r="AM30" i="4"/>
  <c r="AL30" i="4"/>
  <c r="AI30" i="4"/>
  <c r="AK30" i="4" s="1"/>
  <c r="AH30" i="4"/>
  <c r="AF30" i="4"/>
  <c r="AE30" i="4"/>
  <c r="AB30" i="4"/>
  <c r="AC30" i="4" s="1"/>
  <c r="AA30" i="4"/>
  <c r="Z30" i="4"/>
  <c r="X30" i="4"/>
  <c r="V30" i="4"/>
  <c r="U30" i="4"/>
  <c r="W30" i="4" s="1"/>
  <c r="T30" i="4"/>
  <c r="S30" i="4"/>
  <c r="Q30" i="4"/>
  <c r="P30" i="4"/>
  <c r="O30" i="4"/>
  <c r="N30" i="4"/>
  <c r="M30" i="4"/>
  <c r="L30" i="4" s="1"/>
  <c r="J30" i="4"/>
  <c r="G30" i="4"/>
  <c r="F30" i="4"/>
  <c r="H30" i="4" s="1"/>
  <c r="E30" i="4"/>
  <c r="C30" i="4"/>
  <c r="B30" i="4"/>
  <c r="D30" i="4" s="1"/>
  <c r="A30" i="4"/>
  <c r="BX29" i="4"/>
  <c r="BW29" i="4"/>
  <c r="BV29" i="4"/>
  <c r="BT29" i="4" s="1"/>
  <c r="BU29" i="4"/>
  <c r="BS29" i="4"/>
  <c r="BR29" i="4"/>
  <c r="BO29" i="4"/>
  <c r="BN29" i="4"/>
  <c r="BM29" i="4" s="1"/>
  <c r="BL29" i="4"/>
  <c r="BK29" i="4"/>
  <c r="BJ29" i="4"/>
  <c r="BH29" i="4"/>
  <c r="BG29" i="4"/>
  <c r="BE29" i="4" s="1"/>
  <c r="BF29" i="4"/>
  <c r="BD29" i="4"/>
  <c r="AZ29" i="4"/>
  <c r="AY29" i="4"/>
  <c r="BB29" i="4" s="1"/>
  <c r="AW29" i="4"/>
  <c r="AV29" i="4"/>
  <c r="AU29" i="4"/>
  <c r="AT29" i="4"/>
  <c r="AS29" i="4"/>
  <c r="AR29" i="4"/>
  <c r="AQ29" i="4"/>
  <c r="AX29" i="4" s="1"/>
  <c r="AP29" i="4"/>
  <c r="AO29" i="4"/>
  <c r="AN29" i="4"/>
  <c r="AM29" i="4"/>
  <c r="AL29" i="4"/>
  <c r="AH29" i="4"/>
  <c r="AF29" i="4"/>
  <c r="AB29" i="4"/>
  <c r="AC29" i="4" s="1"/>
  <c r="AA29" i="4"/>
  <c r="X29" i="4"/>
  <c r="V29" i="4"/>
  <c r="U29" i="4"/>
  <c r="W29" i="4" s="1"/>
  <c r="T29" i="4"/>
  <c r="S29" i="4"/>
  <c r="Q29" i="4"/>
  <c r="P29" i="4"/>
  <c r="O29" i="4"/>
  <c r="N29" i="4"/>
  <c r="M29" i="4"/>
  <c r="L29" i="4" s="1"/>
  <c r="J29" i="4"/>
  <c r="K29" i="4" s="1"/>
  <c r="AE29" i="4" s="1"/>
  <c r="G29" i="4"/>
  <c r="F29" i="4"/>
  <c r="H29" i="4" s="1"/>
  <c r="E29" i="4"/>
  <c r="D29" i="4"/>
  <c r="C29" i="4"/>
  <c r="B29" i="4"/>
  <c r="A29" i="4"/>
  <c r="BX28" i="4"/>
  <c r="BW28" i="4"/>
  <c r="BV28" i="4"/>
  <c r="BU28" i="4"/>
  <c r="BT28" i="4"/>
  <c r="BS28" i="4"/>
  <c r="BO28" i="4"/>
  <c r="BN28" i="4"/>
  <c r="BQ28" i="4" s="1"/>
  <c r="BL28" i="4"/>
  <c r="BK28" i="4"/>
  <c r="BI28" i="4" s="1"/>
  <c r="BJ28" i="4"/>
  <c r="BH28" i="4"/>
  <c r="BG28" i="4"/>
  <c r="BE28" i="4" s="1"/>
  <c r="BF28" i="4"/>
  <c r="BD28" i="4"/>
  <c r="AZ28" i="4"/>
  <c r="AW28" i="4"/>
  <c r="AV28" i="4"/>
  <c r="AU28" i="4"/>
  <c r="AX28" i="4" s="1"/>
  <c r="AT28" i="4"/>
  <c r="AS28" i="4"/>
  <c r="AQ28" i="4" s="1"/>
  <c r="AR28" i="4"/>
  <c r="AY28" i="4" s="1"/>
  <c r="BB28" i="4" s="1"/>
  <c r="AP28" i="4"/>
  <c r="AO28" i="4"/>
  <c r="AN28" i="4"/>
  <c r="AM28" i="4"/>
  <c r="AL28" i="4"/>
  <c r="AF28" i="4"/>
  <c r="AC28" i="4"/>
  <c r="AB28" i="4"/>
  <c r="AD28" i="4" s="1"/>
  <c r="AA28" i="4"/>
  <c r="AH28" i="4" s="1"/>
  <c r="Z28" i="4"/>
  <c r="X28" i="4"/>
  <c r="W28" i="4"/>
  <c r="V28" i="4"/>
  <c r="U28" i="4"/>
  <c r="T28" i="4"/>
  <c r="S28" i="4" s="1"/>
  <c r="Q28" i="4"/>
  <c r="P28" i="4"/>
  <c r="N28" i="4"/>
  <c r="M28" i="4"/>
  <c r="K28" i="4"/>
  <c r="AE28" i="4" s="1"/>
  <c r="J28" i="4"/>
  <c r="H28" i="4"/>
  <c r="G28" i="4"/>
  <c r="F28" i="4"/>
  <c r="E28" i="4"/>
  <c r="D28" i="4"/>
  <c r="B28" i="4"/>
  <c r="C28" i="4" s="1"/>
  <c r="A28" i="4"/>
  <c r="BX27" i="4"/>
  <c r="BW27" i="4"/>
  <c r="BV27" i="4"/>
  <c r="BU27" i="4"/>
  <c r="BT27" i="4"/>
  <c r="BS27" i="4"/>
  <c r="BQ27" i="4"/>
  <c r="BO27" i="4"/>
  <c r="BR27" i="4" s="1"/>
  <c r="BN27" i="4"/>
  <c r="BL27" i="4"/>
  <c r="BK27" i="4"/>
  <c r="BJ27" i="4"/>
  <c r="BI27" i="4"/>
  <c r="BH27" i="4"/>
  <c r="BG27" i="4"/>
  <c r="BE27" i="4" s="1"/>
  <c r="BF27" i="4"/>
  <c r="BD27" i="4"/>
  <c r="AW27" i="4"/>
  <c r="AU27" i="4" s="1"/>
  <c r="AV27" i="4"/>
  <c r="AY27" i="4" s="1"/>
  <c r="BB27" i="4" s="1"/>
  <c r="AT27" i="4"/>
  <c r="AS27" i="4"/>
  <c r="AQ27" i="4" s="1"/>
  <c r="AR27" i="4"/>
  <c r="AP27" i="4"/>
  <c r="AO27" i="4"/>
  <c r="AN27" i="4"/>
  <c r="AL27" i="4"/>
  <c r="AF27" i="4"/>
  <c r="AB27" i="4"/>
  <c r="AI27" i="4" s="1"/>
  <c r="AA27" i="4"/>
  <c r="AH27" i="4" s="1"/>
  <c r="Y27" i="4"/>
  <c r="AC27" i="4" s="1"/>
  <c r="X27" i="4"/>
  <c r="U27" i="4"/>
  <c r="T27" i="4"/>
  <c r="S27" i="4"/>
  <c r="Q27" i="4"/>
  <c r="R27" i="4" s="1"/>
  <c r="N27" i="4"/>
  <c r="O27" i="4" s="1"/>
  <c r="M27" i="4"/>
  <c r="K27" i="4"/>
  <c r="J27" i="4"/>
  <c r="H27" i="4"/>
  <c r="G27" i="4"/>
  <c r="F27" i="4"/>
  <c r="E27" i="4"/>
  <c r="D27" i="4"/>
  <c r="B27" i="4"/>
  <c r="C27" i="4" s="1"/>
  <c r="A27" i="4"/>
  <c r="BX26" i="4"/>
  <c r="BW26" i="4"/>
  <c r="BV26" i="4"/>
  <c r="BU26" i="4"/>
  <c r="BT26" i="4" s="1"/>
  <c r="BS26" i="4"/>
  <c r="BO26" i="4"/>
  <c r="BR26" i="4" s="1"/>
  <c r="BN26" i="4"/>
  <c r="BL26" i="4"/>
  <c r="BK26" i="4"/>
  <c r="BI26" i="4" s="1"/>
  <c r="BJ26" i="4"/>
  <c r="BQ26" i="4" s="1"/>
  <c r="BH26" i="4"/>
  <c r="BG26" i="4"/>
  <c r="BF26" i="4"/>
  <c r="BE26" i="4"/>
  <c r="BD26" i="4"/>
  <c r="AW26" i="4"/>
  <c r="AZ26" i="4" s="1"/>
  <c r="AV26" i="4"/>
  <c r="AY26" i="4" s="1"/>
  <c r="BB26" i="4" s="1"/>
  <c r="AT26" i="4"/>
  <c r="AS26" i="4"/>
  <c r="AR26" i="4"/>
  <c r="AQ26" i="4" s="1"/>
  <c r="AP26" i="4"/>
  <c r="AO26" i="4"/>
  <c r="AN26" i="4"/>
  <c r="AM26" i="4" s="1"/>
  <c r="AL26" i="4"/>
  <c r="AF26" i="4"/>
  <c r="AD26" i="4"/>
  <c r="AB26" i="4"/>
  <c r="AI26" i="4" s="1"/>
  <c r="AA26" i="4"/>
  <c r="AH26" i="4" s="1"/>
  <c r="X26" i="4"/>
  <c r="W26" i="4"/>
  <c r="U26" i="4"/>
  <c r="V26" i="4" s="1"/>
  <c r="T26" i="4"/>
  <c r="S26" i="4"/>
  <c r="Q26" i="4"/>
  <c r="N26" i="4"/>
  <c r="P26" i="4" s="1"/>
  <c r="M26" i="4"/>
  <c r="J26" i="4"/>
  <c r="K26" i="4" s="1"/>
  <c r="AE26" i="4" s="1"/>
  <c r="F26" i="4"/>
  <c r="G26" i="4" s="1"/>
  <c r="E26" i="4"/>
  <c r="D26" i="4"/>
  <c r="C26" i="4"/>
  <c r="B26" i="4"/>
  <c r="A26" i="4"/>
  <c r="BX25" i="4"/>
  <c r="BW25" i="4"/>
  <c r="BV25" i="4"/>
  <c r="BT25" i="4" s="1"/>
  <c r="BU25" i="4"/>
  <c r="BS25" i="4"/>
  <c r="BQ25" i="4"/>
  <c r="BO25" i="4"/>
  <c r="BN25" i="4"/>
  <c r="BM25" i="4"/>
  <c r="BP25" i="4" s="1"/>
  <c r="BL25" i="4"/>
  <c r="BK25" i="4"/>
  <c r="BR25" i="4" s="1"/>
  <c r="BJ25" i="4"/>
  <c r="BH25" i="4"/>
  <c r="BG25" i="4"/>
  <c r="BF25" i="4"/>
  <c r="BE25" i="4"/>
  <c r="BD25" i="4"/>
  <c r="AW25" i="4"/>
  <c r="AZ25" i="4" s="1"/>
  <c r="AV25" i="4"/>
  <c r="AU25" i="4"/>
  <c r="AT25" i="4"/>
  <c r="AS25" i="4"/>
  <c r="AR25" i="4"/>
  <c r="AP25" i="4"/>
  <c r="AO25" i="4"/>
  <c r="AN25" i="4"/>
  <c r="AM25" i="4" s="1"/>
  <c r="AL25" i="4"/>
  <c r="AH25" i="4"/>
  <c r="AF25" i="4"/>
  <c r="AE25" i="4"/>
  <c r="AB25" i="4"/>
  <c r="Z25" i="4" s="1"/>
  <c r="AG25" i="4" s="1"/>
  <c r="AA25" i="4"/>
  <c r="X25" i="4"/>
  <c r="W25" i="4"/>
  <c r="V25" i="4"/>
  <c r="U25" i="4"/>
  <c r="T25" i="4"/>
  <c r="S25" i="4"/>
  <c r="Q25" i="4"/>
  <c r="P25" i="4"/>
  <c r="O25" i="4"/>
  <c r="N25" i="4"/>
  <c r="L25" i="4" s="1"/>
  <c r="M25" i="4"/>
  <c r="J25" i="4"/>
  <c r="F25" i="4"/>
  <c r="G25" i="4" s="1"/>
  <c r="E25" i="4"/>
  <c r="D25" i="4"/>
  <c r="C25" i="4"/>
  <c r="B25" i="4"/>
  <c r="A25" i="4"/>
  <c r="BX24" i="4"/>
  <c r="BW24" i="4"/>
  <c r="BV24" i="4"/>
  <c r="BT24" i="4" s="1"/>
  <c r="BU24" i="4"/>
  <c r="BS24" i="4"/>
  <c r="BQ24" i="4"/>
  <c r="BO24" i="4"/>
  <c r="BN24" i="4"/>
  <c r="BM24" i="4"/>
  <c r="BL24" i="4"/>
  <c r="BK24" i="4"/>
  <c r="BR24" i="4" s="1"/>
  <c r="BJ24" i="4"/>
  <c r="BH24" i="4"/>
  <c r="BG24" i="4"/>
  <c r="BF24" i="4"/>
  <c r="BE24" i="4"/>
  <c r="BD24" i="4"/>
  <c r="AW24" i="4"/>
  <c r="AZ24" i="4" s="1"/>
  <c r="AV24" i="4"/>
  <c r="AU24" i="4"/>
  <c r="AT24" i="4"/>
  <c r="AS24" i="4"/>
  <c r="AR24" i="4"/>
  <c r="AP24" i="4"/>
  <c r="AO24" i="4"/>
  <c r="AN24" i="4"/>
  <c r="AM24" i="4" s="1"/>
  <c r="AL24" i="4"/>
  <c r="AH24" i="4"/>
  <c r="AF24" i="4"/>
  <c r="AB24" i="4"/>
  <c r="Z24" i="4" s="1"/>
  <c r="AA24" i="4"/>
  <c r="Y24" i="4"/>
  <c r="X24" i="4"/>
  <c r="U24" i="4"/>
  <c r="T24" i="4"/>
  <c r="R24" i="4"/>
  <c r="AE24" i="4" s="1"/>
  <c r="Q24" i="4"/>
  <c r="P24" i="4"/>
  <c r="O24" i="4"/>
  <c r="N24" i="4"/>
  <c r="M24" i="4"/>
  <c r="L24" i="4"/>
  <c r="J24" i="4"/>
  <c r="K24" i="4" s="1"/>
  <c r="H24" i="4"/>
  <c r="F24" i="4"/>
  <c r="G24" i="4" s="1"/>
  <c r="E24" i="4"/>
  <c r="D24" i="4"/>
  <c r="C24" i="4"/>
  <c r="B24" i="4"/>
  <c r="A24" i="4"/>
  <c r="BX23" i="4"/>
  <c r="BW23" i="4"/>
  <c r="BV23" i="4"/>
  <c r="BT23" i="4" s="1"/>
  <c r="BU23" i="4"/>
  <c r="BS23" i="4"/>
  <c r="BO23" i="4"/>
  <c r="BN23" i="4"/>
  <c r="BQ23" i="4" s="1"/>
  <c r="BL23" i="4"/>
  <c r="BK23" i="4"/>
  <c r="BI23" i="4" s="1"/>
  <c r="BJ23" i="4"/>
  <c r="BH23" i="4"/>
  <c r="BG23" i="4"/>
  <c r="BF23" i="4"/>
  <c r="BD23" i="4"/>
  <c r="AW23" i="4"/>
  <c r="AV23" i="4"/>
  <c r="AY23" i="4" s="1"/>
  <c r="AT23" i="4"/>
  <c r="AS23" i="4"/>
  <c r="AQ23" i="4" s="1"/>
  <c r="AR23" i="4"/>
  <c r="AP23" i="4"/>
  <c r="AO23" i="4"/>
  <c r="AN23" i="4"/>
  <c r="AM23" i="4" s="1"/>
  <c r="AL23" i="4"/>
  <c r="AF23" i="4"/>
  <c r="AE23" i="4"/>
  <c r="AB23" i="4"/>
  <c r="AD23" i="4" s="1"/>
  <c r="AA23" i="4"/>
  <c r="AH23" i="4" s="1"/>
  <c r="X23" i="4"/>
  <c r="W23" i="4"/>
  <c r="V23" i="4"/>
  <c r="U23" i="4"/>
  <c r="T23" i="4"/>
  <c r="S23" i="4"/>
  <c r="Q23" i="4"/>
  <c r="P23" i="4"/>
  <c r="N23" i="4"/>
  <c r="M23" i="4"/>
  <c r="J23" i="4"/>
  <c r="H23" i="4"/>
  <c r="F23" i="4"/>
  <c r="G23" i="4" s="1"/>
  <c r="E23" i="4"/>
  <c r="D23" i="4"/>
  <c r="C23" i="4"/>
  <c r="B23" i="4"/>
  <c r="A23" i="4"/>
  <c r="BX22" i="4"/>
  <c r="BW22" i="4"/>
  <c r="BV22" i="4"/>
  <c r="BT22" i="4" s="1"/>
  <c r="BU22" i="4"/>
  <c r="BS22" i="4"/>
  <c r="BO22" i="4"/>
  <c r="BN22" i="4"/>
  <c r="BQ22" i="4" s="1"/>
  <c r="BL22" i="4"/>
  <c r="BK22" i="4"/>
  <c r="BI22" i="4" s="1"/>
  <c r="BJ22" i="4"/>
  <c r="BH22" i="4"/>
  <c r="BG22" i="4"/>
  <c r="BF22" i="4"/>
  <c r="BD22" i="4"/>
  <c r="AW22" i="4"/>
  <c r="AV22" i="4"/>
  <c r="AY22" i="4" s="1"/>
  <c r="BB22" i="4" s="1"/>
  <c r="AT22" i="4"/>
  <c r="AS22" i="4"/>
  <c r="AQ22" i="4" s="1"/>
  <c r="AR22" i="4"/>
  <c r="AP22" i="4"/>
  <c r="AO22" i="4"/>
  <c r="AN22" i="4"/>
  <c r="AM22" i="4" s="1"/>
  <c r="AL22" i="4"/>
  <c r="AF22" i="4"/>
  <c r="AE22" i="4"/>
  <c r="AB22" i="4"/>
  <c r="AD22" i="4" s="1"/>
  <c r="AA22" i="4"/>
  <c r="AH22" i="4" s="1"/>
  <c r="X22" i="4"/>
  <c r="Y22" i="4" s="1"/>
  <c r="U22" i="4"/>
  <c r="T22" i="4"/>
  <c r="S22" i="4" s="1"/>
  <c r="R22" i="4"/>
  <c r="W22" i="4" s="1"/>
  <c r="Q22" i="4"/>
  <c r="P22" i="4"/>
  <c r="O22" i="4"/>
  <c r="N22" i="4"/>
  <c r="M22" i="4"/>
  <c r="L22" i="4"/>
  <c r="H22" i="4"/>
  <c r="G22" i="4"/>
  <c r="F22" i="4"/>
  <c r="B22" i="4"/>
  <c r="C22" i="4" s="1"/>
  <c r="A22" i="4"/>
  <c r="BX21" i="4"/>
  <c r="BW21" i="4"/>
  <c r="BV21" i="4"/>
  <c r="BU21" i="4"/>
  <c r="BT21" i="4" s="1"/>
  <c r="BS21" i="4"/>
  <c r="BO21" i="4"/>
  <c r="BR21" i="4" s="1"/>
  <c r="BN21" i="4"/>
  <c r="BM21" i="4"/>
  <c r="BL21" i="4"/>
  <c r="BK21" i="4"/>
  <c r="BJ21" i="4"/>
  <c r="BQ21" i="4" s="1"/>
  <c r="BH21" i="4"/>
  <c r="BG21" i="4"/>
  <c r="BF21" i="4"/>
  <c r="BE21" i="4"/>
  <c r="BD21" i="4"/>
  <c r="AY21" i="4"/>
  <c r="BB21" i="4" s="1"/>
  <c r="AW21" i="4"/>
  <c r="AV21" i="4"/>
  <c r="AT21" i="4"/>
  <c r="AS21" i="4"/>
  <c r="AR21" i="4"/>
  <c r="AQ21" i="4"/>
  <c r="AP21" i="4"/>
  <c r="AO21" i="4"/>
  <c r="AM21" i="4" s="1"/>
  <c r="AN21" i="4"/>
  <c r="AL21" i="4"/>
  <c r="AF21" i="4"/>
  <c r="AD21" i="4"/>
  <c r="AB21" i="4"/>
  <c r="AA21" i="4"/>
  <c r="AH21" i="4" s="1"/>
  <c r="Y21" i="4"/>
  <c r="X21" i="4"/>
  <c r="U21" i="4"/>
  <c r="T21" i="4"/>
  <c r="S21" i="4" s="1"/>
  <c r="Q21" i="4"/>
  <c r="R21" i="4" s="1"/>
  <c r="V21" i="4" s="1"/>
  <c r="P21" i="4"/>
  <c r="N21" i="4"/>
  <c r="O21" i="4" s="1"/>
  <c r="M21" i="4"/>
  <c r="L21" i="4"/>
  <c r="K21" i="4"/>
  <c r="J21" i="4"/>
  <c r="H21" i="4"/>
  <c r="G21" i="4"/>
  <c r="F21" i="4"/>
  <c r="E21" i="4"/>
  <c r="C21" i="4"/>
  <c r="B21" i="4"/>
  <c r="D21" i="4" s="1"/>
  <c r="A21" i="4"/>
  <c r="BX20" i="4"/>
  <c r="BW20" i="4"/>
  <c r="BV20" i="4"/>
  <c r="BU20" i="4"/>
  <c r="BT20" i="4" s="1"/>
  <c r="BS20" i="4"/>
  <c r="BO20" i="4"/>
  <c r="BR20" i="4" s="1"/>
  <c r="BN20" i="4"/>
  <c r="BM20" i="4"/>
  <c r="BL20" i="4"/>
  <c r="BK20" i="4"/>
  <c r="BJ20" i="4"/>
  <c r="BQ20" i="4" s="1"/>
  <c r="BH20" i="4"/>
  <c r="BG20" i="4"/>
  <c r="BE20" i="4" s="1"/>
  <c r="BF20" i="4"/>
  <c r="BD20" i="4"/>
  <c r="AW20" i="4"/>
  <c r="AZ20" i="4" s="1"/>
  <c r="AV20" i="4"/>
  <c r="AY20" i="4" s="1"/>
  <c r="BB20" i="4" s="1"/>
  <c r="AT20" i="4"/>
  <c r="AS20" i="4"/>
  <c r="AR20" i="4"/>
  <c r="AQ20" i="4"/>
  <c r="AP20" i="4"/>
  <c r="AO20" i="4"/>
  <c r="AM20" i="4" s="1"/>
  <c r="AN20" i="4"/>
  <c r="AL20" i="4"/>
  <c r="AF20" i="4"/>
  <c r="AB20" i="4"/>
  <c r="AA20" i="4"/>
  <c r="AH20" i="4" s="1"/>
  <c r="Y20" i="4"/>
  <c r="X20" i="4"/>
  <c r="U20" i="4"/>
  <c r="T20" i="4"/>
  <c r="S20" i="4"/>
  <c r="Q20" i="4"/>
  <c r="R20" i="4" s="1"/>
  <c r="W20" i="4" s="1"/>
  <c r="N20" i="4"/>
  <c r="O20" i="4" s="1"/>
  <c r="M20" i="4"/>
  <c r="L20" i="4"/>
  <c r="K20" i="4"/>
  <c r="J20" i="4"/>
  <c r="H20" i="4"/>
  <c r="G20" i="4"/>
  <c r="F20" i="4"/>
  <c r="B20" i="4"/>
  <c r="D20" i="4" s="1"/>
  <c r="A20" i="4"/>
  <c r="BX19" i="4"/>
  <c r="BW19" i="4"/>
  <c r="BV19" i="4"/>
  <c r="BT19" i="4" s="1"/>
  <c r="BU19" i="4"/>
  <c r="BS19" i="4"/>
  <c r="BO19" i="4"/>
  <c r="BR19" i="4" s="1"/>
  <c r="BN19" i="4"/>
  <c r="BQ19" i="4" s="1"/>
  <c r="BM19" i="4"/>
  <c r="BL19" i="4"/>
  <c r="BK19" i="4"/>
  <c r="BJ19" i="4"/>
  <c r="BH19" i="4"/>
  <c r="BG19" i="4"/>
  <c r="BE19" i="4" s="1"/>
  <c r="BF19" i="4"/>
  <c r="BD19" i="4"/>
  <c r="AW19" i="4"/>
  <c r="AZ19" i="4" s="1"/>
  <c r="AV19" i="4"/>
  <c r="AU19" i="4"/>
  <c r="AT19" i="4"/>
  <c r="AS19" i="4"/>
  <c r="AR19" i="4"/>
  <c r="AY19" i="4" s="1"/>
  <c r="AP19" i="4"/>
  <c r="AO19" i="4"/>
  <c r="AN19" i="4"/>
  <c r="AM19" i="4"/>
  <c r="AL19" i="4"/>
  <c r="AF19" i="4"/>
  <c r="AE19" i="4"/>
  <c r="AD19" i="4"/>
  <c r="AB19" i="4"/>
  <c r="AC19" i="4" s="1"/>
  <c r="AA19" i="4"/>
  <c r="Z19" i="4"/>
  <c r="Y19" i="4"/>
  <c r="X19" i="4"/>
  <c r="W19" i="4"/>
  <c r="V19" i="4"/>
  <c r="U19" i="4"/>
  <c r="T19" i="4"/>
  <c r="S19" i="4" s="1"/>
  <c r="AG19" i="4" s="1"/>
  <c r="R19" i="4"/>
  <c r="Q19" i="4"/>
  <c r="O19" i="4"/>
  <c r="N19" i="4"/>
  <c r="P19" i="4" s="1"/>
  <c r="M19" i="4"/>
  <c r="L19" i="4"/>
  <c r="K19" i="4"/>
  <c r="J19" i="4"/>
  <c r="H19" i="4"/>
  <c r="F19" i="4"/>
  <c r="G19" i="4" s="1"/>
  <c r="E19" i="4"/>
  <c r="B19" i="4"/>
  <c r="D19" i="4" s="1"/>
  <c r="A19" i="4"/>
  <c r="BX18" i="4"/>
  <c r="BW18" i="4"/>
  <c r="BV18" i="4"/>
  <c r="BT18" i="4" s="1"/>
  <c r="BU18" i="4"/>
  <c r="BS18" i="4"/>
  <c r="BQ18" i="4"/>
  <c r="BO18" i="4"/>
  <c r="BN18" i="4"/>
  <c r="BM18" i="4"/>
  <c r="BL18" i="4"/>
  <c r="BK18" i="4"/>
  <c r="BR18" i="4" s="1"/>
  <c r="BJ18" i="4"/>
  <c r="BH18" i="4"/>
  <c r="BG18" i="4"/>
  <c r="BF18" i="4"/>
  <c r="BE18" i="4"/>
  <c r="BD18" i="4"/>
  <c r="AZ18" i="4"/>
  <c r="BC18" i="4" s="1"/>
  <c r="AW18" i="4"/>
  <c r="AV18" i="4"/>
  <c r="AU18" i="4"/>
  <c r="AT18" i="4"/>
  <c r="AS18" i="4"/>
  <c r="AR18" i="4"/>
  <c r="AY18" i="4" s="1"/>
  <c r="BB18" i="4" s="1"/>
  <c r="AP18" i="4"/>
  <c r="AO18" i="4"/>
  <c r="AN18" i="4"/>
  <c r="AM18" i="4"/>
  <c r="AL18" i="4"/>
  <c r="AF18" i="4"/>
  <c r="AB18" i="4"/>
  <c r="AI18" i="4" s="1"/>
  <c r="AK18" i="4" s="1"/>
  <c r="AA18" i="4"/>
  <c r="Y18" i="4"/>
  <c r="X18" i="4"/>
  <c r="U18" i="4"/>
  <c r="T18" i="4"/>
  <c r="AH18" i="4" s="1"/>
  <c r="Q18" i="4"/>
  <c r="R18" i="4" s="1"/>
  <c r="V18" i="4" s="1"/>
  <c r="O18" i="4"/>
  <c r="N18" i="4"/>
  <c r="P18" i="4" s="1"/>
  <c r="M18" i="4"/>
  <c r="L18" i="4"/>
  <c r="J18" i="4"/>
  <c r="K18" i="4" s="1"/>
  <c r="H18" i="4"/>
  <c r="F18" i="4"/>
  <c r="G18" i="4" s="1"/>
  <c r="E18" i="4"/>
  <c r="D18" i="4"/>
  <c r="C18" i="4"/>
  <c r="B18" i="4"/>
  <c r="A18" i="4"/>
  <c r="BX17" i="4"/>
  <c r="BW17" i="4"/>
  <c r="BV17" i="4"/>
  <c r="BU17" i="4"/>
  <c r="BT17" i="4"/>
  <c r="BS17" i="4"/>
  <c r="BO17" i="4"/>
  <c r="BN17" i="4"/>
  <c r="BQ17" i="4" s="1"/>
  <c r="BL17" i="4"/>
  <c r="BK17" i="4"/>
  <c r="BR17" i="4" s="1"/>
  <c r="BJ17" i="4"/>
  <c r="BH17" i="4"/>
  <c r="BG17" i="4"/>
  <c r="BF17" i="4"/>
  <c r="BE17" i="4" s="1"/>
  <c r="BD17" i="4"/>
  <c r="AW17" i="4"/>
  <c r="AZ17" i="4" s="1"/>
  <c r="AV17" i="4"/>
  <c r="AY17" i="4" s="1"/>
  <c r="AT17" i="4"/>
  <c r="AS17" i="4"/>
  <c r="AQ17" i="4" s="1"/>
  <c r="AR17" i="4"/>
  <c r="AP17" i="4"/>
  <c r="AO17" i="4"/>
  <c r="AN17" i="4"/>
  <c r="AM17" i="4"/>
  <c r="AL17" i="4"/>
  <c r="AF17" i="4"/>
  <c r="AC17" i="4"/>
  <c r="AB17" i="4"/>
  <c r="AA17" i="4"/>
  <c r="Z17" i="4"/>
  <c r="U17" i="4"/>
  <c r="V17" i="4" s="1"/>
  <c r="T17" i="4"/>
  <c r="S17" i="4"/>
  <c r="Q17" i="4"/>
  <c r="N17" i="4"/>
  <c r="P17" i="4" s="1"/>
  <c r="M17" i="4"/>
  <c r="AH17" i="4" s="1"/>
  <c r="J17" i="4"/>
  <c r="K17" i="4" s="1"/>
  <c r="AE17" i="4" s="1"/>
  <c r="F17" i="4"/>
  <c r="G17" i="4" s="1"/>
  <c r="E17" i="4"/>
  <c r="D17" i="4"/>
  <c r="C17" i="4"/>
  <c r="B17" i="4"/>
  <c r="A17" i="4"/>
  <c r="BX16" i="4"/>
  <c r="BW16" i="4"/>
  <c r="BV16" i="4"/>
  <c r="BT16" i="4" s="1"/>
  <c r="BU16" i="4"/>
  <c r="BS16" i="4"/>
  <c r="BQ16" i="4"/>
  <c r="BO16" i="4"/>
  <c r="BN16" i="4"/>
  <c r="BM16" i="4"/>
  <c r="BL16" i="4"/>
  <c r="BK16" i="4"/>
  <c r="BR16" i="4" s="1"/>
  <c r="BJ16" i="4"/>
  <c r="BH16" i="4"/>
  <c r="BG16" i="4"/>
  <c r="BF16" i="4"/>
  <c r="BE16" i="4"/>
  <c r="BD16" i="4"/>
  <c r="AW16" i="4"/>
  <c r="AZ16" i="4" s="1"/>
  <c r="AV16" i="4"/>
  <c r="AU16" i="4"/>
  <c r="AT16" i="4"/>
  <c r="AS16" i="4"/>
  <c r="AR16" i="4"/>
  <c r="AP16" i="4"/>
  <c r="AO16" i="4"/>
  <c r="AN16" i="4"/>
  <c r="AM16" i="4" s="1"/>
  <c r="AL16" i="4"/>
  <c r="AH16" i="4"/>
  <c r="AF16" i="4"/>
  <c r="AB16" i="4"/>
  <c r="Z16" i="4" s="1"/>
  <c r="AG16" i="4" s="1"/>
  <c r="AA16" i="4"/>
  <c r="X16" i="4"/>
  <c r="W16" i="4"/>
  <c r="V16" i="4"/>
  <c r="U16" i="4"/>
  <c r="T16" i="4"/>
  <c r="S16" i="4"/>
  <c r="Q16" i="4"/>
  <c r="P16" i="4"/>
  <c r="O16" i="4"/>
  <c r="N16" i="4"/>
  <c r="L16" i="4" s="1"/>
  <c r="M16" i="4"/>
  <c r="K16" i="4"/>
  <c r="AE16" i="4" s="1"/>
  <c r="J16" i="4"/>
  <c r="G16" i="4"/>
  <c r="F16" i="4"/>
  <c r="H16" i="4" s="1"/>
  <c r="E16" i="4"/>
  <c r="D16" i="4"/>
  <c r="B16" i="4"/>
  <c r="C16" i="4" s="1"/>
  <c r="A16" i="4"/>
  <c r="BX15" i="4"/>
  <c r="BW15" i="4"/>
  <c r="BV15" i="4"/>
  <c r="BT15" i="4" s="1"/>
  <c r="BU15" i="4"/>
  <c r="BS15" i="4"/>
  <c r="BO15" i="4"/>
  <c r="BR15" i="4" s="1"/>
  <c r="BN15" i="4"/>
  <c r="BQ15" i="4" s="1"/>
  <c r="BM15" i="4"/>
  <c r="BP15" i="4" s="1"/>
  <c r="BL15" i="4"/>
  <c r="BK15" i="4"/>
  <c r="BJ15" i="4"/>
  <c r="BI15" i="4" s="1"/>
  <c r="BH15" i="4"/>
  <c r="BG15" i="4"/>
  <c r="BF15" i="4"/>
  <c r="BE15" i="4"/>
  <c r="BD15" i="4"/>
  <c r="AW15" i="4"/>
  <c r="AV15" i="4"/>
  <c r="AT15" i="4"/>
  <c r="AS15" i="4"/>
  <c r="AR15" i="4"/>
  <c r="AQ15" i="4"/>
  <c r="AP15" i="4"/>
  <c r="AO15" i="4"/>
  <c r="AN15" i="4"/>
  <c r="AY15" i="4" s="1"/>
  <c r="AL15" i="4"/>
  <c r="AF15" i="4"/>
  <c r="AB15" i="4"/>
  <c r="AA15" i="4"/>
  <c r="Z15" i="4" s="1"/>
  <c r="AG15" i="4" s="1"/>
  <c r="X15" i="4"/>
  <c r="Y15" i="4" s="1"/>
  <c r="U15" i="4"/>
  <c r="T15" i="4"/>
  <c r="S15" i="4"/>
  <c r="R15" i="4"/>
  <c r="V15" i="4" s="1"/>
  <c r="Q15" i="4"/>
  <c r="N15" i="4"/>
  <c r="M15" i="4"/>
  <c r="J15" i="4"/>
  <c r="K15" i="4" s="1"/>
  <c r="AE15" i="4" s="1"/>
  <c r="H15" i="4"/>
  <c r="G15" i="4"/>
  <c r="F15" i="4"/>
  <c r="E15" i="4"/>
  <c r="D15" i="4"/>
  <c r="B15" i="4"/>
  <c r="C15" i="4" s="1"/>
  <c r="A15" i="4"/>
  <c r="BX14" i="4"/>
  <c r="BW14" i="4"/>
  <c r="BV14" i="4"/>
  <c r="BU14" i="4"/>
  <c r="BT14" i="4"/>
  <c r="BS14" i="4"/>
  <c r="BR14" i="4"/>
  <c r="BO14" i="4"/>
  <c r="BN14" i="4"/>
  <c r="BM14" i="4"/>
  <c r="BL14" i="4"/>
  <c r="BK14" i="4"/>
  <c r="BJ14" i="4"/>
  <c r="BQ14" i="4" s="1"/>
  <c r="BH14" i="4"/>
  <c r="BG14" i="4"/>
  <c r="BF14" i="4"/>
  <c r="BE14" i="4"/>
  <c r="BD14" i="4"/>
  <c r="AW14" i="4"/>
  <c r="AV14" i="4"/>
  <c r="AY14" i="4" s="1"/>
  <c r="BB14" i="4" s="1"/>
  <c r="AT14" i="4"/>
  <c r="AS14" i="4"/>
  <c r="AQ14" i="4" s="1"/>
  <c r="AR14" i="4"/>
  <c r="AP14" i="4"/>
  <c r="AO14" i="4"/>
  <c r="AM14" i="4" s="1"/>
  <c r="AN14" i="4"/>
  <c r="AL14" i="4"/>
  <c r="AI14" i="4"/>
  <c r="AK14" i="4" s="1"/>
  <c r="AF14" i="4"/>
  <c r="AB14" i="4"/>
  <c r="Z14" i="4" s="1"/>
  <c r="AA14" i="4"/>
  <c r="AH14" i="4" s="1"/>
  <c r="X14" i="4"/>
  <c r="W14" i="4"/>
  <c r="U14" i="4"/>
  <c r="V14" i="4" s="1"/>
  <c r="T14" i="4"/>
  <c r="S14" i="4"/>
  <c r="R14" i="4"/>
  <c r="Q14" i="4"/>
  <c r="P14" i="4"/>
  <c r="O14" i="4"/>
  <c r="N14" i="4"/>
  <c r="M14" i="4"/>
  <c r="L14" i="4" s="1"/>
  <c r="K14" i="4"/>
  <c r="AE14" i="4" s="1"/>
  <c r="J14" i="4"/>
  <c r="G14" i="4"/>
  <c r="F14" i="4"/>
  <c r="H14" i="4" s="1"/>
  <c r="D14" i="4"/>
  <c r="C14" i="4"/>
  <c r="B14" i="4"/>
  <c r="E14" i="4" s="1"/>
  <c r="A14" i="4"/>
  <c r="BX13" i="4"/>
  <c r="BW13" i="4"/>
  <c r="BV13" i="4"/>
  <c r="BT13" i="4" s="1"/>
  <c r="BU13" i="4"/>
  <c r="BS13" i="4"/>
  <c r="BO13" i="4"/>
  <c r="BM13" i="4" s="1"/>
  <c r="BP13" i="4" s="1"/>
  <c r="BN13" i="4"/>
  <c r="BQ13" i="4" s="1"/>
  <c r="BL13" i="4"/>
  <c r="BK13" i="4"/>
  <c r="BJ13" i="4"/>
  <c r="BI13" i="4"/>
  <c r="BH13" i="4"/>
  <c r="BG13" i="4"/>
  <c r="BF13" i="4"/>
  <c r="BD13" i="4"/>
  <c r="AY13" i="4"/>
  <c r="BB13" i="4" s="1"/>
  <c r="AW13" i="4"/>
  <c r="AV13" i="4"/>
  <c r="AU13" i="4" s="1"/>
  <c r="AX13" i="4" s="1"/>
  <c r="BA13" i="4" s="1"/>
  <c r="AT13" i="4"/>
  <c r="AS13" i="4"/>
  <c r="AZ13" i="4" s="1"/>
  <c r="AR13" i="4"/>
  <c r="AQ13" i="4"/>
  <c r="AP13" i="4"/>
  <c r="AO13" i="4"/>
  <c r="AN13" i="4"/>
  <c r="AM13" i="4" s="1"/>
  <c r="AL13" i="4"/>
  <c r="AF13" i="4"/>
  <c r="AD13" i="4"/>
  <c r="AC13" i="4"/>
  <c r="AB13" i="4"/>
  <c r="AA13" i="4"/>
  <c r="Z13" i="4"/>
  <c r="AG13" i="4" s="1"/>
  <c r="X13" i="4"/>
  <c r="U13" i="4"/>
  <c r="S13" i="4" s="1"/>
  <c r="T13" i="4"/>
  <c r="Q13" i="4"/>
  <c r="N13" i="4"/>
  <c r="O13" i="4" s="1"/>
  <c r="M13" i="4"/>
  <c r="AH13" i="4" s="1"/>
  <c r="K13" i="4"/>
  <c r="AE13" i="4" s="1"/>
  <c r="J13" i="4"/>
  <c r="H13" i="4"/>
  <c r="G13" i="4"/>
  <c r="F13" i="4"/>
  <c r="E13" i="4"/>
  <c r="D13" i="4"/>
  <c r="C13" i="4"/>
  <c r="B13" i="4"/>
  <c r="A13" i="4"/>
  <c r="BX12" i="4"/>
  <c r="BW12" i="4"/>
  <c r="BV12" i="4"/>
  <c r="BU12" i="4"/>
  <c r="BT12" i="4"/>
  <c r="BS12" i="4"/>
  <c r="BO12" i="4"/>
  <c r="BR12" i="4" s="1"/>
  <c r="BN12" i="4"/>
  <c r="BM12" i="4"/>
  <c r="BP12" i="4" s="1"/>
  <c r="BL12" i="4"/>
  <c r="BK12" i="4"/>
  <c r="BI12" i="4" s="1"/>
  <c r="BJ12" i="4"/>
  <c r="BQ12" i="4" s="1"/>
  <c r="BH12" i="4"/>
  <c r="BG12" i="4"/>
  <c r="BF12" i="4"/>
  <c r="BE12" i="4"/>
  <c r="BD12" i="4"/>
  <c r="AW12" i="4"/>
  <c r="AZ12" i="4" s="1"/>
  <c r="BC12" i="4" s="1"/>
  <c r="AV12" i="4"/>
  <c r="AY12" i="4" s="1"/>
  <c r="BB12" i="4" s="1"/>
  <c r="AU12" i="4"/>
  <c r="AT12" i="4"/>
  <c r="AS12" i="4"/>
  <c r="AR12" i="4"/>
  <c r="AQ12" i="4" s="1"/>
  <c r="AP12" i="4"/>
  <c r="AO12" i="4"/>
  <c r="AN12" i="4"/>
  <c r="AM12" i="4"/>
  <c r="AL12" i="4"/>
  <c r="AI12" i="4"/>
  <c r="AK12" i="4" s="1"/>
  <c r="AF12" i="4"/>
  <c r="AB12" i="4"/>
  <c r="AA12" i="4"/>
  <c r="AH12" i="4" s="1"/>
  <c r="X12" i="4"/>
  <c r="Y12" i="4" s="1"/>
  <c r="U12" i="4"/>
  <c r="T12" i="4"/>
  <c r="S12" i="4"/>
  <c r="Q12" i="4"/>
  <c r="R12" i="4" s="1"/>
  <c r="V12" i="4" s="1"/>
  <c r="P12" i="4"/>
  <c r="O12" i="4"/>
  <c r="N12" i="4"/>
  <c r="M12" i="4"/>
  <c r="L12" i="4"/>
  <c r="K12" i="4"/>
  <c r="J12" i="4"/>
  <c r="F12" i="4"/>
  <c r="H12" i="4" s="1"/>
  <c r="B12" i="4"/>
  <c r="D12" i="4" s="1"/>
  <c r="A12" i="4"/>
  <c r="BX11" i="4"/>
  <c r="BW11" i="4"/>
  <c r="BV11" i="4"/>
  <c r="BU11" i="4"/>
  <c r="BS11" i="4"/>
  <c r="BO11" i="4"/>
  <c r="BR11" i="4" s="1"/>
  <c r="BN11" i="4"/>
  <c r="BQ11" i="4" s="1"/>
  <c r="BL11" i="4"/>
  <c r="BK11" i="4"/>
  <c r="BI11" i="4" s="1"/>
  <c r="BJ11" i="4"/>
  <c r="BH11" i="4"/>
  <c r="BG11" i="4"/>
  <c r="BF11" i="4"/>
  <c r="BE11" i="4"/>
  <c r="BD11" i="4"/>
  <c r="AZ11" i="4"/>
  <c r="AW11" i="4"/>
  <c r="AV11" i="4"/>
  <c r="AU11" i="4"/>
  <c r="AT11" i="4"/>
  <c r="AS11" i="4"/>
  <c r="AR11" i="4"/>
  <c r="AY11" i="4" s="1"/>
  <c r="AP11" i="4"/>
  <c r="AO11" i="4"/>
  <c r="AN11" i="4"/>
  <c r="AM11" i="4"/>
  <c r="AL11" i="4"/>
  <c r="AF11" i="4"/>
  <c r="AB11" i="4"/>
  <c r="AC11" i="4" s="1"/>
  <c r="AA11" i="4"/>
  <c r="AH11" i="4" s="1"/>
  <c r="X11" i="4"/>
  <c r="V11" i="4"/>
  <c r="U11" i="4"/>
  <c r="W11" i="4" s="1"/>
  <c r="T11" i="4"/>
  <c r="S11" i="4"/>
  <c r="Q11" i="4"/>
  <c r="P11" i="4"/>
  <c r="N11" i="4"/>
  <c r="M11" i="4"/>
  <c r="L11" i="4" s="1"/>
  <c r="J11" i="4"/>
  <c r="K11" i="4" s="1"/>
  <c r="AE11" i="4" s="1"/>
  <c r="F11" i="4"/>
  <c r="H11" i="4" s="1"/>
  <c r="E11" i="4"/>
  <c r="D11" i="4"/>
  <c r="C11" i="4"/>
  <c r="B11" i="4"/>
  <c r="A11" i="4"/>
  <c r="BX10" i="4"/>
  <c r="BW10" i="4"/>
  <c r="BV10" i="4"/>
  <c r="BT10" i="4" s="1"/>
  <c r="BU10" i="4"/>
  <c r="BS10" i="4"/>
  <c r="BO10" i="4"/>
  <c r="BN10" i="4"/>
  <c r="BQ10" i="4" s="1"/>
  <c r="BL10" i="4"/>
  <c r="BK10" i="4"/>
  <c r="BJ10" i="4"/>
  <c r="BI10" i="4"/>
  <c r="BH10" i="4"/>
  <c r="BG10" i="4"/>
  <c r="BE10" i="4" s="1"/>
  <c r="BF10" i="4"/>
  <c r="BD10" i="4"/>
  <c r="AW10" i="4"/>
  <c r="AV10" i="4"/>
  <c r="AY10" i="4" s="1"/>
  <c r="AU10" i="4"/>
  <c r="AX10" i="4" s="1"/>
  <c r="AT10" i="4"/>
  <c r="AS10" i="4"/>
  <c r="AZ10" i="4" s="1"/>
  <c r="AR10" i="4"/>
  <c r="AQ10" i="4"/>
  <c r="AP10" i="4"/>
  <c r="AO10" i="4"/>
  <c r="AN10" i="4"/>
  <c r="AM10" i="4"/>
  <c r="AL10" i="4"/>
  <c r="AF10" i="4"/>
  <c r="AB10" i="4"/>
  <c r="AD10" i="4" s="1"/>
  <c r="AA10" i="4"/>
  <c r="AH10" i="4" s="1"/>
  <c r="X10" i="4"/>
  <c r="Y10" i="4" s="1"/>
  <c r="U10" i="4"/>
  <c r="S10" i="4" s="1"/>
  <c r="T10" i="4"/>
  <c r="R10" i="4"/>
  <c r="Q10" i="4"/>
  <c r="N10" i="4"/>
  <c r="M10" i="4"/>
  <c r="L10" i="4" s="1"/>
  <c r="J10" i="4"/>
  <c r="K10" i="4" s="1"/>
  <c r="G10" i="4"/>
  <c r="F10" i="4"/>
  <c r="H10" i="4" s="1"/>
  <c r="B10" i="4"/>
  <c r="E10" i="4" s="1"/>
  <c r="A10" i="4"/>
  <c r="BX9" i="4"/>
  <c r="BW9" i="4"/>
  <c r="BV9" i="4"/>
  <c r="BU9" i="4"/>
  <c r="BT9" i="4"/>
  <c r="BS9" i="4"/>
  <c r="BR9" i="4"/>
  <c r="BO9" i="4"/>
  <c r="BN9" i="4"/>
  <c r="BQ9" i="4" s="1"/>
  <c r="BL9" i="4"/>
  <c r="BK9" i="4"/>
  <c r="BJ9" i="4"/>
  <c r="BI9" i="4" s="1"/>
  <c r="BH9" i="4"/>
  <c r="BG9" i="4"/>
  <c r="BF9" i="4"/>
  <c r="BD9" i="4"/>
  <c r="AW9" i="4"/>
  <c r="AV9" i="4"/>
  <c r="AY9" i="4" s="1"/>
  <c r="AU9" i="4"/>
  <c r="AX9" i="4" s="1"/>
  <c r="AT9" i="4"/>
  <c r="AS9" i="4"/>
  <c r="AZ9" i="4" s="1"/>
  <c r="AR9" i="4"/>
  <c r="AQ9" i="4"/>
  <c r="AP9" i="4"/>
  <c r="AO9" i="4"/>
  <c r="AN9" i="4"/>
  <c r="AM9" i="4"/>
  <c r="AL9" i="4"/>
  <c r="AF9" i="4"/>
  <c r="AD9" i="4"/>
  <c r="AC9" i="4"/>
  <c r="AB9" i="4"/>
  <c r="AA9" i="4"/>
  <c r="Z9" i="4"/>
  <c r="X9" i="4"/>
  <c r="Y9" i="4" s="1"/>
  <c r="W9" i="4"/>
  <c r="U9" i="4"/>
  <c r="AI9" i="4" s="1"/>
  <c r="T9" i="4"/>
  <c r="R9" i="4"/>
  <c r="Q9" i="4"/>
  <c r="N9" i="4"/>
  <c r="M9" i="4"/>
  <c r="AH9" i="4" s="1"/>
  <c r="K9" i="4"/>
  <c r="O9" i="4" s="1"/>
  <c r="J9" i="4"/>
  <c r="F9" i="4"/>
  <c r="H9" i="4" s="1"/>
  <c r="D9" i="4"/>
  <c r="B9" i="4"/>
  <c r="C9" i="4" s="1"/>
  <c r="A9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BX8" i="4"/>
  <c r="BW8" i="4"/>
  <c r="BV8" i="4"/>
  <c r="BT8" i="4" s="1"/>
  <c r="BU8" i="4"/>
  <c r="BS8" i="4"/>
  <c r="BO8" i="4"/>
  <c r="BM8" i="4" s="1"/>
  <c r="BN8" i="4"/>
  <c r="BQ8" i="4" s="1"/>
  <c r="BL8" i="4"/>
  <c r="BK8" i="4"/>
  <c r="BI8" i="4" s="1"/>
  <c r="BJ8" i="4"/>
  <c r="BH8" i="4"/>
  <c r="BG8" i="4"/>
  <c r="BF8" i="4"/>
  <c r="BD8" i="4"/>
  <c r="AW8" i="4"/>
  <c r="AV8" i="4"/>
  <c r="AY8" i="4" s="1"/>
  <c r="AT8" i="4"/>
  <c r="AS8" i="4"/>
  <c r="AZ8" i="4" s="1"/>
  <c r="AR8" i="4"/>
  <c r="AP8" i="4"/>
  <c r="AO8" i="4"/>
  <c r="AN8" i="4"/>
  <c r="AM8" i="4" s="1"/>
  <c r="AL8" i="4"/>
  <c r="AF8" i="4"/>
  <c r="AD8" i="4"/>
  <c r="AC8" i="4"/>
  <c r="AB8" i="4"/>
  <c r="AA8" i="4"/>
  <c r="AH8" i="4" s="1"/>
  <c r="X8" i="4"/>
  <c r="Y8" i="4" s="1"/>
  <c r="U8" i="4"/>
  <c r="W8" i="4" s="1"/>
  <c r="T8" i="4"/>
  <c r="R8" i="4"/>
  <c r="Q8" i="4"/>
  <c r="N8" i="4"/>
  <c r="M8" i="4"/>
  <c r="J8" i="4"/>
  <c r="K8" i="4" s="1"/>
  <c r="G8" i="4"/>
  <c r="F8" i="4"/>
  <c r="H8" i="4" s="1"/>
  <c r="D8" i="4"/>
  <c r="B8" i="4"/>
  <c r="C8" i="4" s="1"/>
  <c r="A8" i="4"/>
  <c r="BX7" i="4"/>
  <c r="BW7" i="4"/>
  <c r="BV7" i="4"/>
  <c r="BT7" i="4" s="1"/>
  <c r="BU7" i="4"/>
  <c r="BS7" i="4"/>
  <c r="BQ7" i="4"/>
  <c r="BO7" i="4"/>
  <c r="BR7" i="4" s="1"/>
  <c r="BN7" i="4"/>
  <c r="BM7" i="4"/>
  <c r="BL7" i="4"/>
  <c r="BK7" i="4"/>
  <c r="BJ7" i="4"/>
  <c r="BI7" i="4" s="1"/>
  <c r="BH7" i="4"/>
  <c r="BG7" i="4"/>
  <c r="BF7" i="4"/>
  <c r="BE7" i="4"/>
  <c r="BD7" i="4"/>
  <c r="AW7" i="4"/>
  <c r="AV7" i="4"/>
  <c r="AY7" i="4" s="1"/>
  <c r="BB7" i="4" s="1"/>
  <c r="AT7" i="4"/>
  <c r="AS7" i="4"/>
  <c r="AR7" i="4"/>
  <c r="AQ7" i="4"/>
  <c r="AP7" i="4"/>
  <c r="AO7" i="4"/>
  <c r="AM7" i="4" s="1"/>
  <c r="AN7" i="4"/>
  <c r="AL7" i="4"/>
  <c r="AK7" i="4"/>
  <c r="AI7" i="4"/>
  <c r="AJ7" i="4" s="1"/>
  <c r="AF7" i="4"/>
  <c r="AD7" i="4"/>
  <c r="AC7" i="4"/>
  <c r="AB7" i="4"/>
  <c r="AA7" i="4"/>
  <c r="AH7" i="4" s="1"/>
  <c r="X7" i="4"/>
  <c r="U7" i="4"/>
  <c r="T7" i="4"/>
  <c r="Q7" i="4"/>
  <c r="R7" i="4" s="1"/>
  <c r="W7" i="4" s="1"/>
  <c r="P7" i="4"/>
  <c r="N7" i="4"/>
  <c r="M7" i="4"/>
  <c r="L7" i="4" s="1"/>
  <c r="J7" i="4"/>
  <c r="K7" i="4" s="1"/>
  <c r="O7" i="4" s="1"/>
  <c r="F7" i="4"/>
  <c r="H7" i="4" s="1"/>
  <c r="E7" i="4"/>
  <c r="D7" i="4"/>
  <c r="C7" i="4"/>
  <c r="B7" i="4"/>
  <c r="A7" i="4"/>
  <c r="BX6" i="4"/>
  <c r="BW6" i="4"/>
  <c r="BV6" i="4"/>
  <c r="BT6" i="4" s="1"/>
  <c r="BU6" i="4"/>
  <c r="BS6" i="4"/>
  <c r="BO6" i="4"/>
  <c r="BN6" i="4"/>
  <c r="BQ6" i="4" s="1"/>
  <c r="BL6" i="4"/>
  <c r="BL97" i="4" s="1"/>
  <c r="BK6" i="4"/>
  <c r="BJ6" i="4"/>
  <c r="BI6" i="4"/>
  <c r="BH6" i="4"/>
  <c r="BG6" i="4"/>
  <c r="BE6" i="4" s="1"/>
  <c r="BF6" i="4"/>
  <c r="BD6" i="4"/>
  <c r="AW6" i="4"/>
  <c r="AV6" i="4"/>
  <c r="AY6" i="4" s="1"/>
  <c r="AU6" i="4"/>
  <c r="AX6" i="4" s="1"/>
  <c r="AT6" i="4"/>
  <c r="AS6" i="4"/>
  <c r="AZ6" i="4" s="1"/>
  <c r="AR6" i="4"/>
  <c r="AQ6" i="4"/>
  <c r="AP6" i="4"/>
  <c r="AO6" i="4"/>
  <c r="AN6" i="4"/>
  <c r="AM6" i="4"/>
  <c r="AL6" i="4"/>
  <c r="AF6" i="4"/>
  <c r="AB6" i="4"/>
  <c r="AD6" i="4" s="1"/>
  <c r="AA6" i="4"/>
  <c r="AH6" i="4" s="1"/>
  <c r="X6" i="4"/>
  <c r="W6" i="4"/>
  <c r="V6" i="4"/>
  <c r="U6" i="4"/>
  <c r="T6" i="4"/>
  <c r="S6" i="4"/>
  <c r="Q6" i="4"/>
  <c r="N6" i="4"/>
  <c r="M6" i="4"/>
  <c r="K6" i="4"/>
  <c r="AE6" i="4" s="1"/>
  <c r="J6" i="4"/>
  <c r="H6" i="4"/>
  <c r="G6" i="4"/>
  <c r="F6" i="4"/>
  <c r="D6" i="4"/>
  <c r="B6" i="4"/>
  <c r="C6" i="4" s="1"/>
  <c r="A6" i="4"/>
  <c r="BX5" i="4"/>
  <c r="BW5" i="4"/>
  <c r="BV5" i="4"/>
  <c r="BU5" i="4"/>
  <c r="BT5" i="4" s="1"/>
  <c r="BS5" i="4"/>
  <c r="BQ5" i="4"/>
  <c r="BO5" i="4"/>
  <c r="BR5" i="4" s="1"/>
  <c r="BN5" i="4"/>
  <c r="BL5" i="4"/>
  <c r="BK5" i="4"/>
  <c r="BJ5" i="4"/>
  <c r="BI5" i="4"/>
  <c r="BH5" i="4"/>
  <c r="BG5" i="4"/>
  <c r="BE5" i="4" s="1"/>
  <c r="BF5" i="4"/>
  <c r="BD5" i="4"/>
  <c r="AZ5" i="4"/>
  <c r="AW5" i="4"/>
  <c r="AV5" i="4"/>
  <c r="AY5" i="4" s="1"/>
  <c r="AT5" i="4"/>
  <c r="AS5" i="4"/>
  <c r="AR5" i="4"/>
  <c r="AQ5" i="4" s="1"/>
  <c r="AP5" i="4"/>
  <c r="AO5" i="4"/>
  <c r="AN5" i="4"/>
  <c r="AL5" i="4"/>
  <c r="AL97" i="4" s="1"/>
  <c r="AF5" i="4"/>
  <c r="AB5" i="4"/>
  <c r="Z5" i="4" s="1"/>
  <c r="AA5" i="4"/>
  <c r="X5" i="4"/>
  <c r="Y5" i="4" s="1"/>
  <c r="U5" i="4"/>
  <c r="S5" i="4" s="1"/>
  <c r="T5" i="4"/>
  <c r="Q5" i="4"/>
  <c r="R5" i="4" s="1"/>
  <c r="N5" i="4"/>
  <c r="M5" i="4"/>
  <c r="L5" i="4" s="1"/>
  <c r="K5" i="4"/>
  <c r="P5" i="4" s="1"/>
  <c r="J5" i="4"/>
  <c r="H5" i="4"/>
  <c r="G5" i="4"/>
  <c r="F5" i="4"/>
  <c r="B5" i="4"/>
  <c r="E5" i="4" s="1"/>
  <c r="A5" i="4"/>
  <c r="BX4" i="4"/>
  <c r="BW4" i="4"/>
  <c r="BV4" i="4"/>
  <c r="BU4" i="4"/>
  <c r="BT4" i="4"/>
  <c r="BS4" i="4"/>
  <c r="BR4" i="4"/>
  <c r="BO4" i="4"/>
  <c r="BM4" i="4" s="1"/>
  <c r="BP4" i="4" s="1"/>
  <c r="BN4" i="4"/>
  <c r="BL4" i="4"/>
  <c r="BK4" i="4"/>
  <c r="BI4" i="4" s="1"/>
  <c r="BJ4" i="4"/>
  <c r="BQ4" i="4" s="1"/>
  <c r="BH4" i="4"/>
  <c r="BG4" i="4"/>
  <c r="BF4" i="4"/>
  <c r="BE4" i="4"/>
  <c r="BD4" i="4"/>
  <c r="AY4" i="4"/>
  <c r="AW4" i="4"/>
  <c r="AZ4" i="4" s="1"/>
  <c r="AV4" i="4"/>
  <c r="AV97" i="4" s="1"/>
  <c r="CZ276" i="4" s="1"/>
  <c r="AU4" i="4"/>
  <c r="AT4" i="4"/>
  <c r="AS4" i="4"/>
  <c r="AR4" i="4"/>
  <c r="AQ4" i="4" s="1"/>
  <c r="AP4" i="4"/>
  <c r="AO4" i="4"/>
  <c r="AN4" i="4"/>
  <c r="AM4" i="4"/>
  <c r="AL4" i="4"/>
  <c r="AF4" i="4"/>
  <c r="AB4" i="4"/>
  <c r="AA4" i="4"/>
  <c r="X4" i="4"/>
  <c r="Y4" i="4" s="1"/>
  <c r="V4" i="4"/>
  <c r="U4" i="4"/>
  <c r="T4" i="4"/>
  <c r="S4" i="4"/>
  <c r="Q4" i="4"/>
  <c r="R4" i="4" s="1"/>
  <c r="W4" i="4" s="1"/>
  <c r="N4" i="4"/>
  <c r="P4" i="4" s="1"/>
  <c r="M4" i="4"/>
  <c r="L4" i="4"/>
  <c r="K4" i="4"/>
  <c r="O4" i="4" s="1"/>
  <c r="J4" i="4"/>
  <c r="F4" i="4"/>
  <c r="G4" i="4" s="1"/>
  <c r="C4" i="4"/>
  <c r="B4" i="4"/>
  <c r="D4" i="4" s="1"/>
  <c r="A4" i="4"/>
  <c r="BX3" i="4"/>
  <c r="BW3" i="4"/>
  <c r="BV3" i="4"/>
  <c r="BU3" i="4"/>
  <c r="BS3" i="4"/>
  <c r="BS97" i="4" s="1"/>
  <c r="BR3" i="4"/>
  <c r="BO3" i="4"/>
  <c r="BM3" i="4" s="1"/>
  <c r="BN3" i="4"/>
  <c r="BQ3" i="4" s="1"/>
  <c r="BL3" i="4"/>
  <c r="BK3" i="4"/>
  <c r="BI3" i="4" s="1"/>
  <c r="BJ3" i="4"/>
  <c r="BH3" i="4"/>
  <c r="BG3" i="4"/>
  <c r="BF3" i="4"/>
  <c r="BE3" i="4"/>
  <c r="BD3" i="4"/>
  <c r="AY3" i="4"/>
  <c r="BB3" i="4" s="1"/>
  <c r="AW3" i="4"/>
  <c r="AZ3" i="4" s="1"/>
  <c r="AV3" i="4"/>
  <c r="AT3" i="4"/>
  <c r="AS3" i="4"/>
  <c r="AR3" i="4"/>
  <c r="AQ3" i="4"/>
  <c r="AP3" i="4"/>
  <c r="AO3" i="4"/>
  <c r="AM3" i="4" s="1"/>
  <c r="AN3" i="4"/>
  <c r="AL3" i="4"/>
  <c r="AH3" i="4"/>
  <c r="AF3" i="4"/>
  <c r="AD3" i="4"/>
  <c r="AB3" i="4"/>
  <c r="AC3" i="4" s="1"/>
  <c r="AA3" i="4"/>
  <c r="Z3" i="4" s="1"/>
  <c r="X3" i="4"/>
  <c r="U3" i="4"/>
  <c r="S3" i="4" s="1"/>
  <c r="T3" i="4"/>
  <c r="Q3" i="4"/>
  <c r="R3" i="4" s="1"/>
  <c r="N3" i="4"/>
  <c r="M3" i="4"/>
  <c r="J3" i="4"/>
  <c r="K3" i="4" s="1"/>
  <c r="H3" i="4"/>
  <c r="G3" i="4"/>
  <c r="F3" i="4"/>
  <c r="D3" i="4"/>
  <c r="B3" i="4"/>
  <c r="C3" i="4" s="1"/>
  <c r="A3" i="4"/>
  <c r="BX2" i="4"/>
  <c r="BX97" i="4" s="1"/>
  <c r="BW2" i="4"/>
  <c r="BV2" i="4"/>
  <c r="BU2" i="4"/>
  <c r="BU97" i="4" s="1"/>
  <c r="DD276" i="4" s="1"/>
  <c r="BS2" i="4"/>
  <c r="BR2" i="4"/>
  <c r="BQ2" i="4"/>
  <c r="BP2" i="4"/>
  <c r="BO2" i="4"/>
  <c r="BN2" i="4"/>
  <c r="BM2" i="4"/>
  <c r="BL2" i="4"/>
  <c r="BK2" i="4"/>
  <c r="BJ2" i="4"/>
  <c r="BJ97" i="4" s="1"/>
  <c r="DB276" i="4" s="1"/>
  <c r="BI2" i="4"/>
  <c r="BH2" i="4"/>
  <c r="BH97" i="4" s="1"/>
  <c r="BG2" i="4"/>
  <c r="BF2" i="4"/>
  <c r="BE2" i="4"/>
  <c r="BD2" i="4"/>
  <c r="BD97" i="4" s="1"/>
  <c r="AY2" i="4"/>
  <c r="AW2" i="4"/>
  <c r="AU2" i="4" s="1"/>
  <c r="AV2" i="4"/>
  <c r="AT2" i="4"/>
  <c r="AT97" i="4" s="1"/>
  <c r="AS2" i="4"/>
  <c r="AR2" i="4"/>
  <c r="AQ2" i="4" s="1"/>
  <c r="AP2" i="4"/>
  <c r="AO2" i="4"/>
  <c r="AM2" i="4" s="1"/>
  <c r="AN2" i="4"/>
  <c r="AN97" i="4" s="1"/>
  <c r="CX276" i="4" s="1"/>
  <c r="AL2" i="4"/>
  <c r="AI2" i="4"/>
  <c r="AF2" i="4"/>
  <c r="AF97" i="4" s="1"/>
  <c r="AB2" i="4"/>
  <c r="AA2" i="4"/>
  <c r="X2" i="4"/>
  <c r="X97" i="4" s="1"/>
  <c r="U2" i="4"/>
  <c r="S2" i="4" s="1"/>
  <c r="T2" i="4"/>
  <c r="T97" i="4" s="1"/>
  <c r="Q2" i="4"/>
  <c r="R2" i="4" s="1"/>
  <c r="N2" i="4"/>
  <c r="N97" i="4" s="1"/>
  <c r="CU129" i="4" s="1"/>
  <c r="M2" i="4"/>
  <c r="L2" i="4" s="1"/>
  <c r="K2" i="4"/>
  <c r="J2" i="4"/>
  <c r="J97" i="4" s="1"/>
  <c r="H2" i="4"/>
  <c r="G2" i="4"/>
  <c r="F2" i="4"/>
  <c r="D2" i="4"/>
  <c r="B2" i="4"/>
  <c r="E2" i="4" s="1"/>
  <c r="A2" i="4"/>
  <c r="BX110" i="3"/>
  <c r="BW110" i="3"/>
  <c r="BS110" i="3"/>
  <c r="BQ110" i="3"/>
  <c r="BO110" i="3"/>
  <c r="BN110" i="3"/>
  <c r="BL110" i="3"/>
  <c r="BK110" i="3"/>
  <c r="BI110" i="3" s="1"/>
  <c r="BJ110" i="3"/>
  <c r="BH110" i="3"/>
  <c r="BG110" i="3"/>
  <c r="BF110" i="3"/>
  <c r="AY110" i="3"/>
  <c r="BB110" i="3" s="1"/>
  <c r="AW110" i="3"/>
  <c r="AU110" i="3" s="1"/>
  <c r="AX110" i="3" s="1"/>
  <c r="BA110" i="3" s="1"/>
  <c r="AV110" i="3"/>
  <c r="B110" i="3"/>
  <c r="D110" i="3" s="1"/>
  <c r="A110" i="3"/>
  <c r="BV109" i="3"/>
  <c r="BT109" i="3" s="1"/>
  <c r="BU109" i="3"/>
  <c r="BO109" i="3"/>
  <c r="BR109" i="3" s="1"/>
  <c r="BN109" i="3"/>
  <c r="BM109" i="3" s="1"/>
  <c r="BK109" i="3"/>
  <c r="BJ109" i="3"/>
  <c r="BI109" i="3" s="1"/>
  <c r="BG109" i="3"/>
  <c r="BF109" i="3"/>
  <c r="BE109" i="3" s="1"/>
  <c r="BP109" i="3" s="1"/>
  <c r="AY109" i="3"/>
  <c r="AW109" i="3"/>
  <c r="AV109" i="3"/>
  <c r="AU109" i="3"/>
  <c r="AS109" i="3"/>
  <c r="AR109" i="3"/>
  <c r="AQ109" i="3"/>
  <c r="AO109" i="3"/>
  <c r="AZ109" i="3" s="1"/>
  <c r="AN109" i="3"/>
  <c r="AF109" i="3"/>
  <c r="AD109" i="3"/>
  <c r="AC109" i="3"/>
  <c r="AB109" i="3"/>
  <c r="Z109" i="3" s="1"/>
  <c r="AA109" i="3"/>
  <c r="Y109" i="3"/>
  <c r="X109" i="3"/>
  <c r="V109" i="3"/>
  <c r="U109" i="3"/>
  <c r="W109" i="3" s="1"/>
  <c r="T109" i="3"/>
  <c r="S109" i="3"/>
  <c r="R109" i="3"/>
  <c r="N109" i="3"/>
  <c r="M109" i="3"/>
  <c r="G109" i="3"/>
  <c r="F109" i="3"/>
  <c r="H109" i="3" s="1"/>
  <c r="B109" i="3"/>
  <c r="BX108" i="3"/>
  <c r="BW108" i="3"/>
  <c r="BS108" i="3"/>
  <c r="BO108" i="3"/>
  <c r="BN108" i="3"/>
  <c r="BM108" i="3" s="1"/>
  <c r="BL108" i="3"/>
  <c r="BK108" i="3"/>
  <c r="BR108" i="3" s="1"/>
  <c r="BJ108" i="3"/>
  <c r="BI108" i="3"/>
  <c r="BH108" i="3"/>
  <c r="BG108" i="3"/>
  <c r="BF108" i="3"/>
  <c r="BD108" i="3"/>
  <c r="AW108" i="3"/>
  <c r="AU108" i="3" s="1"/>
  <c r="AV108" i="3"/>
  <c r="AT108" i="3"/>
  <c r="AS108" i="3"/>
  <c r="AR108" i="3"/>
  <c r="AY108" i="3" s="1"/>
  <c r="AP108" i="3"/>
  <c r="AO108" i="3"/>
  <c r="AN108" i="3"/>
  <c r="AL108" i="3"/>
  <c r="AF108" i="3"/>
  <c r="AE108" i="3"/>
  <c r="AB108" i="3"/>
  <c r="AD108" i="3" s="1"/>
  <c r="AA108" i="3"/>
  <c r="Z108" i="3"/>
  <c r="Y108" i="3"/>
  <c r="X108" i="3"/>
  <c r="W108" i="3"/>
  <c r="U108" i="3"/>
  <c r="T108" i="3"/>
  <c r="Q108" i="3"/>
  <c r="R108" i="3" s="1"/>
  <c r="V108" i="3" s="1"/>
  <c r="N108" i="3"/>
  <c r="P108" i="3" s="1"/>
  <c r="M108" i="3"/>
  <c r="AH108" i="3" s="1"/>
  <c r="J108" i="3"/>
  <c r="K108" i="3" s="1"/>
  <c r="B108" i="3"/>
  <c r="D108" i="3" s="1"/>
  <c r="BX107" i="3"/>
  <c r="BW107" i="3"/>
  <c r="BS107" i="3"/>
  <c r="BO107" i="3"/>
  <c r="BN107" i="3"/>
  <c r="BM107" i="3"/>
  <c r="BL107" i="3"/>
  <c r="BK107" i="3"/>
  <c r="BJ107" i="3"/>
  <c r="BI107" i="3" s="1"/>
  <c r="BH107" i="3"/>
  <c r="BG107" i="3"/>
  <c r="BR107" i="3" s="1"/>
  <c r="BF107" i="3"/>
  <c r="BE107" i="3"/>
  <c r="BP107" i="3" s="1"/>
  <c r="BD107" i="3"/>
  <c r="AW107" i="3"/>
  <c r="AU107" i="3" s="1"/>
  <c r="AV107" i="3"/>
  <c r="AT107" i="3"/>
  <c r="AS107" i="3"/>
  <c r="AR107" i="3"/>
  <c r="AQ107" i="3"/>
  <c r="AP107" i="3"/>
  <c r="AO107" i="3"/>
  <c r="AN107" i="3"/>
  <c r="AY107" i="3" s="1"/>
  <c r="AL107" i="3"/>
  <c r="AF107" i="3"/>
  <c r="AB107" i="3"/>
  <c r="AA107" i="3"/>
  <c r="Z107" i="3" s="1"/>
  <c r="X107" i="3"/>
  <c r="Y107" i="3" s="1"/>
  <c r="U107" i="3"/>
  <c r="T107" i="3"/>
  <c r="S107" i="3"/>
  <c r="R107" i="3"/>
  <c r="V107" i="3" s="1"/>
  <c r="Q107" i="3"/>
  <c r="N107" i="3"/>
  <c r="M107" i="3"/>
  <c r="J107" i="3"/>
  <c r="K107" i="3" s="1"/>
  <c r="AE107" i="3" s="1"/>
  <c r="D107" i="3"/>
  <c r="B107" i="3"/>
  <c r="C107" i="3" s="1"/>
  <c r="BX106" i="3"/>
  <c r="BW106" i="3"/>
  <c r="BS106" i="3"/>
  <c r="BO106" i="3"/>
  <c r="BN106" i="3"/>
  <c r="BM106" i="3"/>
  <c r="BL106" i="3"/>
  <c r="BK106" i="3"/>
  <c r="BR106" i="3" s="1"/>
  <c r="BJ106" i="3"/>
  <c r="BI106" i="3"/>
  <c r="BH106" i="3"/>
  <c r="BG106" i="3"/>
  <c r="BF106" i="3"/>
  <c r="BQ106" i="3" s="1"/>
  <c r="BE106" i="3"/>
  <c r="BP106" i="3" s="1"/>
  <c r="BD106" i="3"/>
  <c r="AW106" i="3"/>
  <c r="AV106" i="3"/>
  <c r="AU106" i="3"/>
  <c r="AT106" i="3"/>
  <c r="AS106" i="3"/>
  <c r="AR106" i="3"/>
  <c r="AY106" i="3" s="1"/>
  <c r="AP106" i="3"/>
  <c r="AO106" i="3"/>
  <c r="AZ106" i="3" s="1"/>
  <c r="AN106" i="3"/>
  <c r="AL106" i="3"/>
  <c r="AF106" i="3"/>
  <c r="AD106" i="3"/>
  <c r="AC106" i="3"/>
  <c r="AB106" i="3"/>
  <c r="AA106" i="3"/>
  <c r="Z106" i="3"/>
  <c r="Y106" i="3"/>
  <c r="X106" i="3"/>
  <c r="U106" i="3"/>
  <c r="T106" i="3"/>
  <c r="Q106" i="3"/>
  <c r="R106" i="3" s="1"/>
  <c r="N106" i="3"/>
  <c r="L106" i="3" s="1"/>
  <c r="M106" i="3"/>
  <c r="AH106" i="3" s="1"/>
  <c r="J106" i="3"/>
  <c r="K106" i="3" s="1"/>
  <c r="AE106" i="3" s="1"/>
  <c r="B106" i="3"/>
  <c r="D106" i="3" s="1"/>
  <c r="BX105" i="3"/>
  <c r="BW105" i="3"/>
  <c r="BS105" i="3"/>
  <c r="BR105" i="3"/>
  <c r="BQ105" i="3"/>
  <c r="BO105" i="3"/>
  <c r="BN105" i="3"/>
  <c r="BM105" i="3"/>
  <c r="BL105" i="3"/>
  <c r="BK105" i="3"/>
  <c r="BJ105" i="3"/>
  <c r="BI105" i="3" s="1"/>
  <c r="BH105" i="3"/>
  <c r="BG105" i="3"/>
  <c r="BF105" i="3"/>
  <c r="BE105" i="3"/>
  <c r="BP105" i="3" s="1"/>
  <c r="BD105" i="3"/>
  <c r="AY105" i="3"/>
  <c r="AW105" i="3"/>
  <c r="AU105" i="3" s="1"/>
  <c r="AV105" i="3"/>
  <c r="AT105" i="3"/>
  <c r="AS105" i="3"/>
  <c r="AR105" i="3"/>
  <c r="AQ105" i="3"/>
  <c r="AP105" i="3"/>
  <c r="AO105" i="3"/>
  <c r="AN105" i="3"/>
  <c r="AL105" i="3"/>
  <c r="AH105" i="3"/>
  <c r="BB105" i="3" s="1"/>
  <c r="AF105" i="3"/>
  <c r="AD105" i="3"/>
  <c r="AB105" i="3"/>
  <c r="AA105" i="3"/>
  <c r="Z105" i="3" s="1"/>
  <c r="Y105" i="3"/>
  <c r="AC105" i="3" s="1"/>
  <c r="X105" i="3"/>
  <c r="U105" i="3"/>
  <c r="T105" i="3"/>
  <c r="R105" i="3"/>
  <c r="Q105" i="3"/>
  <c r="N105" i="3"/>
  <c r="M105" i="3"/>
  <c r="K105" i="3"/>
  <c r="J105" i="3"/>
  <c r="D105" i="3"/>
  <c r="B105" i="3"/>
  <c r="C105" i="3" s="1"/>
  <c r="BX104" i="3"/>
  <c r="BW104" i="3"/>
  <c r="BS104" i="3"/>
  <c r="BR104" i="3"/>
  <c r="BO104" i="3"/>
  <c r="BN104" i="3"/>
  <c r="BM104" i="3"/>
  <c r="BL104" i="3"/>
  <c r="BK104" i="3"/>
  <c r="BJ104" i="3"/>
  <c r="BQ104" i="3" s="1"/>
  <c r="BH104" i="3"/>
  <c r="BG104" i="3"/>
  <c r="BF104" i="3"/>
  <c r="BE104" i="3"/>
  <c r="BP104" i="3" s="1"/>
  <c r="BD104" i="3"/>
  <c r="AW104" i="3"/>
  <c r="AV104" i="3"/>
  <c r="AU104" i="3"/>
  <c r="AX104" i="3" s="1"/>
  <c r="AT104" i="3"/>
  <c r="AS104" i="3"/>
  <c r="AQ104" i="3" s="1"/>
  <c r="AR104" i="3"/>
  <c r="AY104" i="3" s="1"/>
  <c r="AP104" i="3"/>
  <c r="AO104" i="3"/>
  <c r="AZ104" i="3" s="1"/>
  <c r="AN104" i="3"/>
  <c r="AM104" i="3"/>
  <c r="AL104" i="3"/>
  <c r="AJ104" i="3"/>
  <c r="AF104" i="3"/>
  <c r="AE104" i="3"/>
  <c r="AD104" i="3"/>
  <c r="AB104" i="3"/>
  <c r="AI104" i="3" s="1"/>
  <c r="AA104" i="3"/>
  <c r="X104" i="3"/>
  <c r="V104" i="3"/>
  <c r="U104" i="3"/>
  <c r="W104" i="3" s="1"/>
  <c r="T104" i="3"/>
  <c r="S104" i="3" s="1"/>
  <c r="Q104" i="3"/>
  <c r="P104" i="3"/>
  <c r="O104" i="3"/>
  <c r="N104" i="3"/>
  <c r="M104" i="3"/>
  <c r="L104" i="3" s="1"/>
  <c r="J104" i="3"/>
  <c r="B104" i="3"/>
  <c r="BX102" i="3"/>
  <c r="BW102" i="3"/>
  <c r="BX101" i="3"/>
  <c r="BW101" i="3"/>
  <c r="BX99" i="3"/>
  <c r="BW99" i="3"/>
  <c r="BV99" i="3"/>
  <c r="BU99" i="3"/>
  <c r="BT99" i="3"/>
  <c r="BS99" i="3"/>
  <c r="BO99" i="3"/>
  <c r="BN99" i="3"/>
  <c r="BM99" i="3" s="1"/>
  <c r="BL99" i="3"/>
  <c r="BK99" i="3"/>
  <c r="BR99" i="3" s="1"/>
  <c r="BJ99" i="3"/>
  <c r="BI99" i="3"/>
  <c r="BH99" i="3"/>
  <c r="BG99" i="3"/>
  <c r="BF99" i="3"/>
  <c r="BD99" i="3"/>
  <c r="AZ99" i="3"/>
  <c r="AW99" i="3"/>
  <c r="AV99" i="3"/>
  <c r="AT99" i="3"/>
  <c r="AS99" i="3"/>
  <c r="AQ99" i="3" s="1"/>
  <c r="AR99" i="3"/>
  <c r="AP99" i="3"/>
  <c r="AO99" i="3"/>
  <c r="AN99" i="3"/>
  <c r="AM99" i="3"/>
  <c r="AL99" i="3"/>
  <c r="AF99" i="3"/>
  <c r="AC99" i="3"/>
  <c r="AB99" i="3"/>
  <c r="AA99" i="3"/>
  <c r="Z99" i="3"/>
  <c r="X99" i="3"/>
  <c r="Y99" i="3" s="1"/>
  <c r="U99" i="3"/>
  <c r="T99" i="3"/>
  <c r="AH99" i="3" s="1"/>
  <c r="R99" i="3"/>
  <c r="Q99" i="3"/>
  <c r="N99" i="3"/>
  <c r="M99" i="3"/>
  <c r="L99" i="3"/>
  <c r="J99" i="3"/>
  <c r="K99" i="3" s="1"/>
  <c r="F99" i="3"/>
  <c r="G99" i="3" s="1"/>
  <c r="E99" i="3"/>
  <c r="D99" i="3"/>
  <c r="C99" i="3"/>
  <c r="B99" i="3"/>
  <c r="A99" i="3"/>
  <c r="BX98" i="3"/>
  <c r="BW98" i="3"/>
  <c r="BV98" i="3"/>
  <c r="BU98" i="3"/>
  <c r="BT98" i="3"/>
  <c r="BS98" i="3"/>
  <c r="BQ98" i="3"/>
  <c r="BO98" i="3"/>
  <c r="BM98" i="3" s="1"/>
  <c r="BN98" i="3"/>
  <c r="BL98" i="3"/>
  <c r="BK98" i="3"/>
  <c r="BJ98" i="3"/>
  <c r="BI98" i="3"/>
  <c r="BH98" i="3"/>
  <c r="BG98" i="3"/>
  <c r="BF98" i="3"/>
  <c r="BD98" i="3"/>
  <c r="AZ98" i="3"/>
  <c r="AW98" i="3"/>
  <c r="AV98" i="3"/>
  <c r="AU98" i="3" s="1"/>
  <c r="AT98" i="3"/>
  <c r="AS98" i="3"/>
  <c r="AR98" i="3"/>
  <c r="AY98" i="3" s="1"/>
  <c r="AP98" i="3"/>
  <c r="AO98" i="3"/>
  <c r="AN98" i="3"/>
  <c r="AM98" i="3" s="1"/>
  <c r="AL98" i="3"/>
  <c r="AF98" i="3"/>
  <c r="AB98" i="3"/>
  <c r="AA98" i="3"/>
  <c r="Z98" i="3"/>
  <c r="X98" i="3"/>
  <c r="Y98" i="3" s="1"/>
  <c r="U98" i="3"/>
  <c r="T98" i="3"/>
  <c r="R98" i="3"/>
  <c r="Q98" i="3"/>
  <c r="N98" i="3"/>
  <c r="M98" i="3"/>
  <c r="J98" i="3"/>
  <c r="K98" i="3" s="1"/>
  <c r="F98" i="3"/>
  <c r="H98" i="3" s="1"/>
  <c r="B98" i="3"/>
  <c r="A98" i="3"/>
  <c r="BV97" i="3"/>
  <c r="BU97" i="3"/>
  <c r="BT97" i="3" s="1"/>
  <c r="BS97" i="3"/>
  <c r="BR97" i="3"/>
  <c r="BO97" i="3"/>
  <c r="BN97" i="3"/>
  <c r="BM97" i="3"/>
  <c r="BL97" i="3"/>
  <c r="BK97" i="3"/>
  <c r="BJ97" i="3"/>
  <c r="BQ97" i="3" s="1"/>
  <c r="BH97" i="3"/>
  <c r="BG97" i="3"/>
  <c r="BF97" i="3"/>
  <c r="BE97" i="3"/>
  <c r="BP97" i="3" s="1"/>
  <c r="BD97" i="3"/>
  <c r="AZ97" i="3"/>
  <c r="AY97" i="3"/>
  <c r="BB97" i="3" s="1"/>
  <c r="AW97" i="3"/>
  <c r="AV97" i="3"/>
  <c r="AU97" i="3"/>
  <c r="AT97" i="3"/>
  <c r="AS97" i="3"/>
  <c r="AR97" i="3"/>
  <c r="AQ97" i="3"/>
  <c r="AP97" i="3"/>
  <c r="AO97" i="3"/>
  <c r="AN97" i="3"/>
  <c r="AM97" i="3"/>
  <c r="AL97" i="3"/>
  <c r="AF97" i="3"/>
  <c r="AE97" i="3"/>
  <c r="AB97" i="3"/>
  <c r="AA97" i="3"/>
  <c r="AH97" i="3" s="1"/>
  <c r="Y97" i="3"/>
  <c r="X97" i="3"/>
  <c r="BY97" i="3" s="1"/>
  <c r="BX97" i="3" s="1"/>
  <c r="W97" i="3"/>
  <c r="V97" i="3"/>
  <c r="U97" i="3"/>
  <c r="T97" i="3"/>
  <c r="S97" i="3"/>
  <c r="Q97" i="3"/>
  <c r="R97" i="3" s="1"/>
  <c r="P97" i="3"/>
  <c r="N97" i="3"/>
  <c r="AI97" i="3" s="1"/>
  <c r="M97" i="3"/>
  <c r="K97" i="3"/>
  <c r="J97" i="3"/>
  <c r="G97" i="3"/>
  <c r="F97" i="3"/>
  <c r="H97" i="3" s="1"/>
  <c r="E97" i="3"/>
  <c r="C97" i="3"/>
  <c r="B97" i="3"/>
  <c r="D97" i="3" s="1"/>
  <c r="A97" i="3"/>
  <c r="BY96" i="3"/>
  <c r="BX96" i="3" s="1"/>
  <c r="BW96" i="3"/>
  <c r="BV96" i="3"/>
  <c r="BU96" i="3"/>
  <c r="BT96" i="3"/>
  <c r="BO96" i="3"/>
  <c r="BN96" i="3"/>
  <c r="BL96" i="3"/>
  <c r="BK96" i="3"/>
  <c r="BI96" i="3" s="1"/>
  <c r="BJ96" i="3"/>
  <c r="BG96" i="3"/>
  <c r="BF96" i="3"/>
  <c r="BQ96" i="3" s="1"/>
  <c r="BD96" i="3"/>
  <c r="AZ96" i="3"/>
  <c r="AW96" i="3"/>
  <c r="AV96" i="3"/>
  <c r="AU96" i="3"/>
  <c r="AT96" i="3"/>
  <c r="AS96" i="3"/>
  <c r="AQ96" i="3" s="1"/>
  <c r="AR96" i="3"/>
  <c r="AY96" i="3" s="1"/>
  <c r="AP96" i="3"/>
  <c r="AO96" i="3"/>
  <c r="AN96" i="3"/>
  <c r="AM96" i="3"/>
  <c r="AL96" i="3"/>
  <c r="AF96" i="3"/>
  <c r="AC96" i="3"/>
  <c r="AB96" i="3"/>
  <c r="AD96" i="3" s="1"/>
  <c r="AA96" i="3"/>
  <c r="AH96" i="3" s="1"/>
  <c r="Z96" i="3"/>
  <c r="X96" i="3"/>
  <c r="Y96" i="3" s="1"/>
  <c r="U96" i="3"/>
  <c r="T96" i="3"/>
  <c r="S96" i="3"/>
  <c r="R96" i="3"/>
  <c r="Q96" i="3"/>
  <c r="P96" i="3"/>
  <c r="N96" i="3"/>
  <c r="M96" i="3"/>
  <c r="L96" i="3" s="1"/>
  <c r="K96" i="3"/>
  <c r="AE96" i="3" s="1"/>
  <c r="J96" i="3"/>
  <c r="F96" i="3"/>
  <c r="B96" i="3"/>
  <c r="E96" i="3" s="1"/>
  <c r="A96" i="3"/>
  <c r="BX95" i="3"/>
  <c r="BW95" i="3"/>
  <c r="BV95" i="3"/>
  <c r="BU95" i="3"/>
  <c r="BT95" i="3" s="1"/>
  <c r="BO95" i="3"/>
  <c r="BR95" i="3" s="1"/>
  <c r="BN95" i="3"/>
  <c r="BL95" i="3"/>
  <c r="BK95" i="3"/>
  <c r="BI95" i="3" s="1"/>
  <c r="BJ95" i="3"/>
  <c r="BQ95" i="3" s="1"/>
  <c r="BG95" i="3"/>
  <c r="BF95" i="3"/>
  <c r="BE95" i="3"/>
  <c r="BP95" i="3" s="1"/>
  <c r="BD95" i="3"/>
  <c r="AW95" i="3"/>
  <c r="AV95" i="3"/>
  <c r="AU95" i="3" s="1"/>
  <c r="AT95" i="3"/>
  <c r="AS95" i="3"/>
  <c r="AR95" i="3"/>
  <c r="AQ95" i="3" s="1"/>
  <c r="AP95" i="3"/>
  <c r="AO95" i="3"/>
  <c r="AZ95" i="3" s="1"/>
  <c r="AN95" i="3"/>
  <c r="AY95" i="3" s="1"/>
  <c r="BB95" i="3" s="1"/>
  <c r="AL95" i="3"/>
  <c r="AJ95" i="3"/>
  <c r="AF95" i="3"/>
  <c r="AB95" i="3"/>
  <c r="AI95" i="3" s="1"/>
  <c r="AA95" i="3"/>
  <c r="AH95" i="3" s="1"/>
  <c r="Y95" i="3"/>
  <c r="AD95" i="3" s="1"/>
  <c r="X95" i="3"/>
  <c r="BY95" i="3" s="1"/>
  <c r="U95" i="3"/>
  <c r="T95" i="3"/>
  <c r="S95" i="3" s="1"/>
  <c r="Q95" i="3"/>
  <c r="R95" i="3" s="1"/>
  <c r="W95" i="3" s="1"/>
  <c r="P95" i="3"/>
  <c r="N95" i="3"/>
  <c r="M95" i="3"/>
  <c r="L95" i="3"/>
  <c r="K95" i="3"/>
  <c r="J95" i="3"/>
  <c r="H95" i="3"/>
  <c r="G95" i="3"/>
  <c r="F95" i="3"/>
  <c r="C95" i="3"/>
  <c r="B95" i="3"/>
  <c r="D95" i="3" s="1"/>
  <c r="A95" i="3"/>
  <c r="BY94" i="3"/>
  <c r="BX94" i="3"/>
  <c r="BW94" i="3"/>
  <c r="BV94" i="3"/>
  <c r="BT94" i="3" s="1"/>
  <c r="BU94" i="3"/>
  <c r="BO94" i="3"/>
  <c r="BN94" i="3"/>
  <c r="BL94" i="3"/>
  <c r="BK94" i="3"/>
  <c r="BJ94" i="3"/>
  <c r="BI94" i="3"/>
  <c r="BG94" i="3"/>
  <c r="BF94" i="3"/>
  <c r="BD94" i="3"/>
  <c r="AZ94" i="3"/>
  <c r="AW94" i="3"/>
  <c r="AV94" i="3"/>
  <c r="AU94" i="3"/>
  <c r="AT94" i="3"/>
  <c r="AS94" i="3"/>
  <c r="AR94" i="3"/>
  <c r="AQ94" i="3" s="1"/>
  <c r="AP94" i="3"/>
  <c r="AO94" i="3"/>
  <c r="AN94" i="3"/>
  <c r="AY94" i="3" s="1"/>
  <c r="AM94" i="3"/>
  <c r="AL94" i="3"/>
  <c r="AF94" i="3"/>
  <c r="AC94" i="3"/>
  <c r="AB94" i="3"/>
  <c r="AD94" i="3" s="1"/>
  <c r="AA94" i="3"/>
  <c r="X94" i="3"/>
  <c r="Y94" i="3" s="1"/>
  <c r="W94" i="3"/>
  <c r="U94" i="3"/>
  <c r="V94" i="3" s="1"/>
  <c r="T94" i="3"/>
  <c r="AH94" i="3" s="1"/>
  <c r="S94" i="3"/>
  <c r="R94" i="3"/>
  <c r="Q94" i="3"/>
  <c r="N94" i="3"/>
  <c r="M94" i="3"/>
  <c r="L94" i="3"/>
  <c r="K94" i="3"/>
  <c r="J94" i="3"/>
  <c r="G94" i="3"/>
  <c r="F94" i="3"/>
  <c r="H94" i="3" s="1"/>
  <c r="B94" i="3"/>
  <c r="E94" i="3" s="1"/>
  <c r="A94" i="3"/>
  <c r="BX93" i="3"/>
  <c r="BW93" i="3"/>
  <c r="BV93" i="3"/>
  <c r="BU93" i="3"/>
  <c r="BT93" i="3"/>
  <c r="BS93" i="3"/>
  <c r="BR93" i="3"/>
  <c r="BQ93" i="3"/>
  <c r="BO93" i="3"/>
  <c r="BN93" i="3"/>
  <c r="BL93" i="3"/>
  <c r="BK93" i="3"/>
  <c r="BJ93" i="3"/>
  <c r="BI93" i="3"/>
  <c r="BH93" i="3"/>
  <c r="BG93" i="3"/>
  <c r="BE93" i="3" s="1"/>
  <c r="BF93" i="3"/>
  <c r="BD93" i="3"/>
  <c r="AZ93" i="3"/>
  <c r="AY93" i="3"/>
  <c r="BB93" i="3" s="1"/>
  <c r="AW93" i="3"/>
  <c r="AV93" i="3"/>
  <c r="AU93" i="3" s="1"/>
  <c r="AX93" i="3" s="1"/>
  <c r="AT93" i="3"/>
  <c r="AS93" i="3"/>
  <c r="AR93" i="3"/>
  <c r="AQ93" i="3"/>
  <c r="AP93" i="3"/>
  <c r="AO93" i="3"/>
  <c r="AN93" i="3"/>
  <c r="AM93" i="3" s="1"/>
  <c r="AL93" i="3"/>
  <c r="AI93" i="3"/>
  <c r="AF93" i="3"/>
  <c r="AC93" i="3"/>
  <c r="AB93" i="3"/>
  <c r="AD93" i="3" s="1"/>
  <c r="AA93" i="3"/>
  <c r="AH93" i="3" s="1"/>
  <c r="Z93" i="3"/>
  <c r="X93" i="3"/>
  <c r="Y93" i="3" s="1"/>
  <c r="U93" i="3"/>
  <c r="W93" i="3" s="1"/>
  <c r="T93" i="3"/>
  <c r="S93" i="3" s="1"/>
  <c r="R93" i="3"/>
  <c r="AE93" i="3" s="1"/>
  <c r="Q93" i="3"/>
  <c r="P93" i="3"/>
  <c r="N93" i="3"/>
  <c r="O93" i="3" s="1"/>
  <c r="M93" i="3"/>
  <c r="L93" i="3"/>
  <c r="H93" i="3"/>
  <c r="G93" i="3"/>
  <c r="F93" i="3"/>
  <c r="E93" i="3"/>
  <c r="C93" i="3"/>
  <c r="B93" i="3"/>
  <c r="D93" i="3" s="1"/>
  <c r="A93" i="3"/>
  <c r="BX92" i="3"/>
  <c r="BW92" i="3"/>
  <c r="BV92" i="3"/>
  <c r="BU92" i="3"/>
  <c r="BT92" i="3" s="1"/>
  <c r="BS92" i="3"/>
  <c r="BQ92" i="3"/>
  <c r="BO92" i="3"/>
  <c r="BM92" i="3" s="1"/>
  <c r="BN92" i="3"/>
  <c r="BL92" i="3"/>
  <c r="BK92" i="3"/>
  <c r="BJ92" i="3"/>
  <c r="BI92" i="3"/>
  <c r="BH92" i="3"/>
  <c r="BG92" i="3"/>
  <c r="BR92" i="3" s="1"/>
  <c r="BF92" i="3"/>
  <c r="BD92" i="3"/>
  <c r="AY92" i="3"/>
  <c r="BB92" i="3" s="1"/>
  <c r="AW92" i="3"/>
  <c r="AU92" i="3" s="1"/>
  <c r="AV92" i="3"/>
  <c r="AT92" i="3"/>
  <c r="AS92" i="3"/>
  <c r="AR92" i="3"/>
  <c r="AQ92" i="3" s="1"/>
  <c r="AP92" i="3"/>
  <c r="AO92" i="3"/>
  <c r="AN92" i="3"/>
  <c r="AL92" i="3"/>
  <c r="AF92" i="3"/>
  <c r="AB92" i="3"/>
  <c r="AA92" i="3"/>
  <c r="AH92" i="3" s="1"/>
  <c r="X92" i="3"/>
  <c r="Y92" i="3" s="1"/>
  <c r="AC92" i="3" s="1"/>
  <c r="W92" i="3"/>
  <c r="U92" i="3"/>
  <c r="T92" i="3"/>
  <c r="S92" i="3" s="1"/>
  <c r="Q92" i="3"/>
  <c r="R92" i="3" s="1"/>
  <c r="V92" i="3" s="1"/>
  <c r="N92" i="3"/>
  <c r="M92" i="3"/>
  <c r="K92" i="3"/>
  <c r="AE92" i="3" s="1"/>
  <c r="J92" i="3"/>
  <c r="F92" i="3"/>
  <c r="H92" i="3" s="1"/>
  <c r="E92" i="3"/>
  <c r="D92" i="3"/>
  <c r="B92" i="3"/>
  <c r="C92" i="3" s="1"/>
  <c r="A92" i="3"/>
  <c r="BX91" i="3"/>
  <c r="BW91" i="3"/>
  <c r="BV91" i="3"/>
  <c r="BT91" i="3" s="1"/>
  <c r="BU91" i="3"/>
  <c r="BS91" i="3"/>
  <c r="BO91" i="3"/>
  <c r="BN91" i="3"/>
  <c r="BM91" i="3"/>
  <c r="BL91" i="3"/>
  <c r="BK91" i="3"/>
  <c r="BI91" i="3" s="1"/>
  <c r="BJ91" i="3"/>
  <c r="BH91" i="3"/>
  <c r="BG91" i="3"/>
  <c r="BF91" i="3"/>
  <c r="BQ91" i="3" s="1"/>
  <c r="BD91" i="3"/>
  <c r="AW91" i="3"/>
  <c r="AV91" i="3"/>
  <c r="AU91" i="3"/>
  <c r="AX91" i="3" s="1"/>
  <c r="AT91" i="3"/>
  <c r="AS91" i="3"/>
  <c r="AR91" i="3"/>
  <c r="AQ91" i="3"/>
  <c r="AP91" i="3"/>
  <c r="AO91" i="3"/>
  <c r="AZ91" i="3" s="1"/>
  <c r="AN91" i="3"/>
  <c r="AY91" i="3" s="1"/>
  <c r="BB91" i="3" s="1"/>
  <c r="AM91" i="3"/>
  <c r="AL91" i="3"/>
  <c r="AF91" i="3"/>
  <c r="AB91" i="3"/>
  <c r="AA91" i="3"/>
  <c r="AH91" i="3" s="1"/>
  <c r="Y91" i="3"/>
  <c r="X91" i="3"/>
  <c r="U91" i="3"/>
  <c r="T91" i="3"/>
  <c r="S91" i="3" s="1"/>
  <c r="Q91" i="3"/>
  <c r="R91" i="3" s="1"/>
  <c r="O91" i="3"/>
  <c r="N91" i="3"/>
  <c r="P91" i="3" s="1"/>
  <c r="M91" i="3"/>
  <c r="L91" i="3"/>
  <c r="K91" i="3"/>
  <c r="J91" i="3"/>
  <c r="F91" i="3"/>
  <c r="H91" i="3" s="1"/>
  <c r="B91" i="3"/>
  <c r="A91" i="3"/>
  <c r="BX90" i="3"/>
  <c r="BW90" i="3"/>
  <c r="BV90" i="3"/>
  <c r="BU90" i="3"/>
  <c r="BS90" i="3"/>
  <c r="BR90" i="3"/>
  <c r="BQ90" i="3"/>
  <c r="BO90" i="3"/>
  <c r="BN90" i="3"/>
  <c r="BM90" i="3" s="1"/>
  <c r="BL90" i="3"/>
  <c r="BK90" i="3"/>
  <c r="BJ90" i="3"/>
  <c r="BI90" i="3"/>
  <c r="BH90" i="3"/>
  <c r="BG90" i="3"/>
  <c r="BF90" i="3"/>
  <c r="BE90" i="3" s="1"/>
  <c r="BD90" i="3"/>
  <c r="AW90" i="3"/>
  <c r="AV90" i="3"/>
  <c r="AU90" i="3"/>
  <c r="AT90" i="3"/>
  <c r="AS90" i="3"/>
  <c r="AR90" i="3"/>
  <c r="AY90" i="3" s="1"/>
  <c r="AP90" i="3"/>
  <c r="AO90" i="3"/>
  <c r="AN90" i="3"/>
  <c r="AM90" i="3"/>
  <c r="AL90" i="3"/>
  <c r="AF90" i="3"/>
  <c r="AE90" i="3"/>
  <c r="AD90" i="3"/>
  <c r="AC90" i="3"/>
  <c r="AB90" i="3"/>
  <c r="AI90" i="3" s="1"/>
  <c r="AA90" i="3"/>
  <c r="Y90" i="3"/>
  <c r="X90" i="3"/>
  <c r="U90" i="3"/>
  <c r="T90" i="3"/>
  <c r="AH90" i="3" s="1"/>
  <c r="R90" i="3"/>
  <c r="Q90" i="3"/>
  <c r="O90" i="3"/>
  <c r="N90" i="3"/>
  <c r="P90" i="3" s="1"/>
  <c r="M90" i="3"/>
  <c r="L90" i="3"/>
  <c r="K90" i="3"/>
  <c r="J90" i="3"/>
  <c r="H90" i="3"/>
  <c r="F90" i="3"/>
  <c r="G90" i="3" s="1"/>
  <c r="B90" i="3"/>
  <c r="A90" i="3"/>
  <c r="BX89" i="3"/>
  <c r="BW89" i="3"/>
  <c r="BV89" i="3"/>
  <c r="BU89" i="3"/>
  <c r="BT89" i="3" s="1"/>
  <c r="BS89" i="3"/>
  <c r="BR89" i="3"/>
  <c r="BO89" i="3"/>
  <c r="BN89" i="3"/>
  <c r="BM89" i="3"/>
  <c r="BL89" i="3"/>
  <c r="BK89" i="3"/>
  <c r="BJ89" i="3"/>
  <c r="BQ89" i="3" s="1"/>
  <c r="BH89" i="3"/>
  <c r="BG89" i="3"/>
  <c r="BF89" i="3"/>
  <c r="BE89" i="3"/>
  <c r="BD89" i="3"/>
  <c r="AW89" i="3"/>
  <c r="AV89" i="3"/>
  <c r="AU89" i="3" s="1"/>
  <c r="AT89" i="3"/>
  <c r="AS89" i="3"/>
  <c r="AQ89" i="3" s="1"/>
  <c r="AR89" i="3"/>
  <c r="AP89" i="3"/>
  <c r="AO89" i="3"/>
  <c r="AZ89" i="3" s="1"/>
  <c r="AN89" i="3"/>
  <c r="AM89" i="3"/>
  <c r="AL89" i="3"/>
  <c r="AJ89" i="3"/>
  <c r="AF89" i="3"/>
  <c r="AB89" i="3"/>
  <c r="AI89" i="3" s="1"/>
  <c r="AG89" i="3" s="1"/>
  <c r="AA89" i="3"/>
  <c r="X89" i="3"/>
  <c r="Y89" i="3" s="1"/>
  <c r="U89" i="3"/>
  <c r="T89" i="3"/>
  <c r="AH89" i="3" s="1"/>
  <c r="R89" i="3"/>
  <c r="V89" i="3" s="1"/>
  <c r="Q89" i="3"/>
  <c r="N89" i="3"/>
  <c r="P89" i="3" s="1"/>
  <c r="M89" i="3"/>
  <c r="L89" i="3" s="1"/>
  <c r="J89" i="3"/>
  <c r="K89" i="3" s="1"/>
  <c r="O89" i="3" s="1"/>
  <c r="H89" i="3"/>
  <c r="G89" i="3"/>
  <c r="F89" i="3"/>
  <c r="E89" i="3"/>
  <c r="D89" i="3"/>
  <c r="C89" i="3"/>
  <c r="B89" i="3"/>
  <c r="A89" i="3"/>
  <c r="BX88" i="3"/>
  <c r="BW88" i="3"/>
  <c r="BV88" i="3"/>
  <c r="BU88" i="3"/>
  <c r="BT88" i="3" s="1"/>
  <c r="BS88" i="3"/>
  <c r="BQ88" i="3"/>
  <c r="BO88" i="3"/>
  <c r="BM88" i="3" s="1"/>
  <c r="BN88" i="3"/>
  <c r="BL88" i="3"/>
  <c r="BK88" i="3"/>
  <c r="BJ88" i="3"/>
  <c r="BI88" i="3"/>
  <c r="BH88" i="3"/>
  <c r="BG88" i="3"/>
  <c r="BF88" i="3"/>
  <c r="BD88" i="3"/>
  <c r="AY88" i="3"/>
  <c r="AW88" i="3"/>
  <c r="AU88" i="3" s="1"/>
  <c r="AX88" i="3" s="1"/>
  <c r="AV88" i="3"/>
  <c r="AT88" i="3"/>
  <c r="AS88" i="3"/>
  <c r="AZ88" i="3" s="1"/>
  <c r="AR88" i="3"/>
  <c r="AQ88" i="3"/>
  <c r="AP88" i="3"/>
  <c r="AO88" i="3"/>
  <c r="AM88" i="3" s="1"/>
  <c r="AN88" i="3"/>
  <c r="AL88" i="3"/>
  <c r="AI88" i="3"/>
  <c r="AH88" i="3"/>
  <c r="AF88" i="3"/>
  <c r="AB88" i="3"/>
  <c r="AA88" i="3"/>
  <c r="Z88" i="3"/>
  <c r="Y88" i="3"/>
  <c r="X88" i="3"/>
  <c r="U88" i="3"/>
  <c r="T88" i="3"/>
  <c r="S88" i="3"/>
  <c r="Q88" i="3"/>
  <c r="R88" i="3" s="1"/>
  <c r="P88" i="3"/>
  <c r="N88" i="3"/>
  <c r="M88" i="3"/>
  <c r="L88" i="3" s="1"/>
  <c r="K88" i="3"/>
  <c r="J88" i="3"/>
  <c r="H88" i="3"/>
  <c r="G88" i="3"/>
  <c r="F88" i="3"/>
  <c r="C88" i="3"/>
  <c r="B88" i="3"/>
  <c r="E88" i="3" s="1"/>
  <c r="A88" i="3"/>
  <c r="BX87" i="3"/>
  <c r="BW87" i="3"/>
  <c r="BV87" i="3"/>
  <c r="BT87" i="3" s="1"/>
  <c r="BU87" i="3"/>
  <c r="BS87" i="3"/>
  <c r="BO87" i="3"/>
  <c r="BN87" i="3"/>
  <c r="BL87" i="3"/>
  <c r="BK87" i="3"/>
  <c r="BJ87" i="3"/>
  <c r="BI87" i="3" s="1"/>
  <c r="BH87" i="3"/>
  <c r="BG87" i="3"/>
  <c r="BF87" i="3"/>
  <c r="BQ87" i="3" s="1"/>
  <c r="BD87" i="3"/>
  <c r="AW87" i="3"/>
  <c r="AV87" i="3"/>
  <c r="AU87" i="3" s="1"/>
  <c r="AT87" i="3"/>
  <c r="AS87" i="3"/>
  <c r="AZ87" i="3" s="1"/>
  <c r="AR87" i="3"/>
  <c r="AQ87" i="3"/>
  <c r="AP87" i="3"/>
  <c r="AO87" i="3"/>
  <c r="AN87" i="3"/>
  <c r="AL87" i="3"/>
  <c r="AH87" i="3"/>
  <c r="AF87" i="3"/>
  <c r="AE87" i="3"/>
  <c r="AB87" i="3"/>
  <c r="AC87" i="3" s="1"/>
  <c r="AA87" i="3"/>
  <c r="Z87" i="3"/>
  <c r="X87" i="3"/>
  <c r="Y87" i="3" s="1"/>
  <c r="AD87" i="3" s="1"/>
  <c r="W87" i="3"/>
  <c r="V87" i="3"/>
  <c r="U87" i="3"/>
  <c r="S87" i="3" s="1"/>
  <c r="T87" i="3"/>
  <c r="R87" i="3"/>
  <c r="Q87" i="3"/>
  <c r="N87" i="3"/>
  <c r="M87" i="3"/>
  <c r="K87" i="3"/>
  <c r="J87" i="3"/>
  <c r="G87" i="3"/>
  <c r="F87" i="3"/>
  <c r="H87" i="3" s="1"/>
  <c r="E87" i="3"/>
  <c r="D87" i="3"/>
  <c r="C87" i="3"/>
  <c r="B87" i="3"/>
  <c r="A87" i="3"/>
  <c r="BX86" i="3"/>
  <c r="BW86" i="3"/>
  <c r="BV86" i="3"/>
  <c r="BU86" i="3"/>
  <c r="BT86" i="3"/>
  <c r="BS86" i="3"/>
  <c r="BO86" i="3"/>
  <c r="BN86" i="3"/>
  <c r="BM86" i="3" s="1"/>
  <c r="BL86" i="3"/>
  <c r="BK86" i="3"/>
  <c r="BI86" i="3" s="1"/>
  <c r="BJ86" i="3"/>
  <c r="BH86" i="3"/>
  <c r="BG86" i="3"/>
  <c r="BR86" i="3" s="1"/>
  <c r="BF86" i="3"/>
  <c r="BQ86" i="3" s="1"/>
  <c r="BD86" i="3"/>
  <c r="AW86" i="3"/>
  <c r="AV86" i="3"/>
  <c r="AU86" i="3"/>
  <c r="AX86" i="3" s="1"/>
  <c r="AT86" i="3"/>
  <c r="AS86" i="3"/>
  <c r="AQ86" i="3" s="1"/>
  <c r="AR86" i="3"/>
  <c r="AP86" i="3"/>
  <c r="AO86" i="3"/>
  <c r="AZ86" i="3" s="1"/>
  <c r="AN86" i="3"/>
  <c r="AY86" i="3" s="1"/>
  <c r="BB86" i="3" s="1"/>
  <c r="AM86" i="3"/>
  <c r="AL86" i="3"/>
  <c r="AF86" i="3"/>
  <c r="AC86" i="3"/>
  <c r="AB86" i="3"/>
  <c r="AA86" i="3"/>
  <c r="Z86" i="3"/>
  <c r="X86" i="3"/>
  <c r="Y86" i="3" s="1"/>
  <c r="U86" i="3"/>
  <c r="T86" i="3"/>
  <c r="R86" i="3"/>
  <c r="Q86" i="3"/>
  <c r="N86" i="3"/>
  <c r="M86" i="3"/>
  <c r="AH86" i="3" s="1"/>
  <c r="K86" i="3"/>
  <c r="J86" i="3"/>
  <c r="F86" i="3"/>
  <c r="H86" i="3" s="1"/>
  <c r="B86" i="3"/>
  <c r="A86" i="3"/>
  <c r="BX85" i="3"/>
  <c r="BW85" i="3"/>
  <c r="BV85" i="3"/>
  <c r="BU85" i="3"/>
  <c r="BT85" i="3" s="1"/>
  <c r="BS85" i="3"/>
  <c r="BR85" i="3"/>
  <c r="BO85" i="3"/>
  <c r="BN85" i="3"/>
  <c r="BM85" i="3"/>
  <c r="BL85" i="3"/>
  <c r="BK85" i="3"/>
  <c r="BJ85" i="3"/>
  <c r="BH85" i="3"/>
  <c r="BG85" i="3"/>
  <c r="BF85" i="3"/>
  <c r="BE85" i="3"/>
  <c r="BP85" i="3" s="1"/>
  <c r="BD85" i="3"/>
  <c r="AW85" i="3"/>
  <c r="AV85" i="3"/>
  <c r="AT85" i="3"/>
  <c r="AS85" i="3"/>
  <c r="AR85" i="3"/>
  <c r="AP85" i="3"/>
  <c r="AO85" i="3"/>
  <c r="AM85" i="3" s="1"/>
  <c r="AN85" i="3"/>
  <c r="AY85" i="3" s="1"/>
  <c r="BB85" i="3" s="1"/>
  <c r="AL85" i="3"/>
  <c r="AI85" i="3"/>
  <c r="AF85" i="3"/>
  <c r="AC85" i="3"/>
  <c r="AB85" i="3"/>
  <c r="AD85" i="3" s="1"/>
  <c r="AA85" i="3"/>
  <c r="AH85" i="3" s="1"/>
  <c r="Z85" i="3"/>
  <c r="Y85" i="3"/>
  <c r="X85" i="3"/>
  <c r="U85" i="3"/>
  <c r="T85" i="3"/>
  <c r="S85" i="3" s="1"/>
  <c r="Q85" i="3"/>
  <c r="R85" i="3" s="1"/>
  <c r="V85" i="3" s="1"/>
  <c r="N85" i="3"/>
  <c r="M85" i="3"/>
  <c r="L85" i="3" s="1"/>
  <c r="K85" i="3"/>
  <c r="P85" i="3" s="1"/>
  <c r="J85" i="3"/>
  <c r="H85" i="3"/>
  <c r="G85" i="3"/>
  <c r="F85" i="3"/>
  <c r="B85" i="3"/>
  <c r="E85" i="3" s="1"/>
  <c r="A85" i="3"/>
  <c r="BX84" i="3"/>
  <c r="BW84" i="3"/>
  <c r="BV84" i="3"/>
  <c r="BU84" i="3"/>
  <c r="BT84" i="3"/>
  <c r="BS84" i="3"/>
  <c r="BO84" i="3"/>
  <c r="BM84" i="3" s="1"/>
  <c r="BN84" i="3"/>
  <c r="BL84" i="3"/>
  <c r="BK84" i="3"/>
  <c r="BJ84" i="3"/>
  <c r="BQ84" i="3" s="1"/>
  <c r="BH84" i="3"/>
  <c r="BG84" i="3"/>
  <c r="BF84" i="3"/>
  <c r="BD84" i="3"/>
  <c r="AZ84" i="3"/>
  <c r="AY84" i="3"/>
  <c r="BB84" i="3" s="1"/>
  <c r="AW84" i="3"/>
  <c r="AV84" i="3"/>
  <c r="AU84" i="3"/>
  <c r="AT84" i="3"/>
  <c r="AS84" i="3"/>
  <c r="AR84" i="3"/>
  <c r="AQ84" i="3"/>
  <c r="AP84" i="3"/>
  <c r="AO84" i="3"/>
  <c r="AN84" i="3"/>
  <c r="AM84" i="3"/>
  <c r="AL84" i="3"/>
  <c r="AI84" i="3"/>
  <c r="AG84" i="3"/>
  <c r="AF84" i="3"/>
  <c r="AB84" i="3"/>
  <c r="Z84" i="3" s="1"/>
  <c r="AA84" i="3"/>
  <c r="AH84" i="3" s="1"/>
  <c r="X84" i="3"/>
  <c r="Y84" i="3" s="1"/>
  <c r="U84" i="3"/>
  <c r="V84" i="3" s="1"/>
  <c r="T84" i="3"/>
  <c r="S84" i="3"/>
  <c r="Q84" i="3"/>
  <c r="R84" i="3" s="1"/>
  <c r="P84" i="3"/>
  <c r="O84" i="3"/>
  <c r="N84" i="3"/>
  <c r="M84" i="3"/>
  <c r="L84" i="3"/>
  <c r="K84" i="3"/>
  <c r="J84" i="3"/>
  <c r="G84" i="3"/>
  <c r="F84" i="3"/>
  <c r="H84" i="3" s="1"/>
  <c r="B84" i="3"/>
  <c r="D84" i="3" s="1"/>
  <c r="A84" i="3"/>
  <c r="BX83" i="3"/>
  <c r="BW83" i="3"/>
  <c r="BV83" i="3"/>
  <c r="BT83" i="3" s="1"/>
  <c r="BU83" i="3"/>
  <c r="BS83" i="3"/>
  <c r="BO83" i="3"/>
  <c r="BN83" i="3"/>
  <c r="BM83" i="3" s="1"/>
  <c r="BL83" i="3"/>
  <c r="BK83" i="3"/>
  <c r="BJ83" i="3"/>
  <c r="BH83" i="3"/>
  <c r="BG83" i="3"/>
  <c r="BR83" i="3" s="1"/>
  <c r="BF83" i="3"/>
  <c r="BE83" i="3"/>
  <c r="BD83" i="3"/>
  <c r="AW83" i="3"/>
  <c r="AV83" i="3"/>
  <c r="AU83" i="3" s="1"/>
  <c r="AX83" i="3" s="1"/>
  <c r="AT83" i="3"/>
  <c r="AS83" i="3"/>
  <c r="AR83" i="3"/>
  <c r="AQ83" i="3" s="1"/>
  <c r="AP83" i="3"/>
  <c r="AO83" i="3"/>
  <c r="AZ83" i="3" s="1"/>
  <c r="AN83" i="3"/>
  <c r="AM83" i="3"/>
  <c r="AL83" i="3"/>
  <c r="AF83" i="3"/>
  <c r="AD83" i="3"/>
  <c r="AB83" i="3"/>
  <c r="AA83" i="3"/>
  <c r="Z83" i="3"/>
  <c r="X83" i="3"/>
  <c r="Y83" i="3" s="1"/>
  <c r="U83" i="3"/>
  <c r="T83" i="3"/>
  <c r="S83" i="3" s="1"/>
  <c r="Q83" i="3"/>
  <c r="R83" i="3" s="1"/>
  <c r="W83" i="3" s="1"/>
  <c r="N83" i="3"/>
  <c r="M83" i="3"/>
  <c r="J83" i="3"/>
  <c r="K83" i="3" s="1"/>
  <c r="G83" i="3"/>
  <c r="F83" i="3"/>
  <c r="H83" i="3" s="1"/>
  <c r="E83" i="3"/>
  <c r="C83" i="3"/>
  <c r="B83" i="3"/>
  <c r="D83" i="3" s="1"/>
  <c r="A83" i="3"/>
  <c r="BX82" i="3"/>
  <c r="BW82" i="3"/>
  <c r="BV82" i="3"/>
  <c r="BT82" i="3" s="1"/>
  <c r="BU82" i="3"/>
  <c r="BS82" i="3"/>
  <c r="BR82" i="3"/>
  <c r="BO82" i="3"/>
  <c r="BN82" i="3"/>
  <c r="BM82" i="3"/>
  <c r="BL82" i="3"/>
  <c r="BK82" i="3"/>
  <c r="BI82" i="3" s="1"/>
  <c r="BJ82" i="3"/>
  <c r="BH82" i="3"/>
  <c r="BG82" i="3"/>
  <c r="BF82" i="3"/>
  <c r="BE82" i="3"/>
  <c r="BD82" i="3"/>
  <c r="AY82" i="3"/>
  <c r="AW82" i="3"/>
  <c r="AU82" i="3" s="1"/>
  <c r="AV82" i="3"/>
  <c r="AT82" i="3"/>
  <c r="AS82" i="3"/>
  <c r="AR82" i="3"/>
  <c r="AQ82" i="3"/>
  <c r="AP82" i="3"/>
  <c r="AO82" i="3"/>
  <c r="AZ82" i="3" s="1"/>
  <c r="AN82" i="3"/>
  <c r="AL82" i="3"/>
  <c r="AF82" i="3"/>
  <c r="AD82" i="3"/>
  <c r="AB82" i="3"/>
  <c r="AA82" i="3"/>
  <c r="AH82" i="3" s="1"/>
  <c r="BB82" i="3" s="1"/>
  <c r="Y82" i="3"/>
  <c r="AC82" i="3" s="1"/>
  <c r="X82" i="3"/>
  <c r="U82" i="3"/>
  <c r="T82" i="3"/>
  <c r="S82" i="3"/>
  <c r="Q82" i="3"/>
  <c r="R82" i="3" s="1"/>
  <c r="W82" i="3" s="1"/>
  <c r="N82" i="3"/>
  <c r="M82" i="3"/>
  <c r="J82" i="3"/>
  <c r="K82" i="3" s="1"/>
  <c r="F82" i="3"/>
  <c r="E82" i="3"/>
  <c r="D82" i="3"/>
  <c r="C82" i="3"/>
  <c r="B82" i="3"/>
  <c r="A82" i="3"/>
  <c r="BX81" i="3"/>
  <c r="BW81" i="3"/>
  <c r="BV81" i="3"/>
  <c r="BT81" i="3" s="1"/>
  <c r="BU81" i="3"/>
  <c r="BS81" i="3"/>
  <c r="BO81" i="3"/>
  <c r="BN81" i="3"/>
  <c r="BM81" i="3" s="1"/>
  <c r="BL81" i="3"/>
  <c r="BK81" i="3"/>
  <c r="BJ81" i="3"/>
  <c r="BH81" i="3"/>
  <c r="BG81" i="3"/>
  <c r="BF81" i="3"/>
  <c r="BE81" i="3"/>
  <c r="BP81" i="3" s="1"/>
  <c r="BD81" i="3"/>
  <c r="AW81" i="3"/>
  <c r="AZ81" i="3" s="1"/>
  <c r="AV81" i="3"/>
  <c r="AT81" i="3"/>
  <c r="AS81" i="3"/>
  <c r="AQ81" i="3" s="1"/>
  <c r="AR81" i="3"/>
  <c r="AP81" i="3"/>
  <c r="AO81" i="3"/>
  <c r="AN81" i="3"/>
  <c r="AY81" i="3" s="1"/>
  <c r="AL81" i="3"/>
  <c r="AF81" i="3"/>
  <c r="AB81" i="3"/>
  <c r="AA81" i="3"/>
  <c r="Y81" i="3"/>
  <c r="X81" i="3"/>
  <c r="V81" i="3"/>
  <c r="U81" i="3"/>
  <c r="S81" i="3" s="1"/>
  <c r="T81" i="3"/>
  <c r="R81" i="3"/>
  <c r="Q81" i="3"/>
  <c r="N81" i="3"/>
  <c r="M81" i="3"/>
  <c r="J81" i="3"/>
  <c r="K81" i="3" s="1"/>
  <c r="AE81" i="3" s="1"/>
  <c r="F81" i="3"/>
  <c r="G81" i="3" s="1"/>
  <c r="E81" i="3"/>
  <c r="D81" i="3"/>
  <c r="C81" i="3"/>
  <c r="B81" i="3"/>
  <c r="A81" i="3"/>
  <c r="BX80" i="3"/>
  <c r="BW80" i="3"/>
  <c r="BV80" i="3"/>
  <c r="BU80" i="3"/>
  <c r="BT80" i="3"/>
  <c r="BS80" i="3"/>
  <c r="BQ80" i="3"/>
  <c r="BP80" i="3"/>
  <c r="BO80" i="3"/>
  <c r="BN80" i="3"/>
  <c r="BM80" i="3"/>
  <c r="BL80" i="3"/>
  <c r="BK80" i="3"/>
  <c r="BI80" i="3" s="1"/>
  <c r="BJ80" i="3"/>
  <c r="BH80" i="3"/>
  <c r="BG80" i="3"/>
  <c r="BF80" i="3"/>
  <c r="BE80" i="3"/>
  <c r="BD80" i="3"/>
  <c r="AZ80" i="3"/>
  <c r="AY80" i="3"/>
  <c r="AW80" i="3"/>
  <c r="AV80" i="3"/>
  <c r="AU80" i="3" s="1"/>
  <c r="AT80" i="3"/>
  <c r="AS80" i="3"/>
  <c r="AR80" i="3"/>
  <c r="AQ80" i="3" s="1"/>
  <c r="AP80" i="3"/>
  <c r="AO80" i="3"/>
  <c r="AN80" i="3"/>
  <c r="AM80" i="3" s="1"/>
  <c r="AL80" i="3"/>
  <c r="AF80" i="3"/>
  <c r="AB80" i="3"/>
  <c r="AD80" i="3" s="1"/>
  <c r="AA80" i="3"/>
  <c r="Y80" i="3"/>
  <c r="X80" i="3"/>
  <c r="U80" i="3"/>
  <c r="T80" i="3"/>
  <c r="S80" i="3"/>
  <c r="R80" i="3"/>
  <c r="W80" i="3" s="1"/>
  <c r="Q80" i="3"/>
  <c r="N80" i="3"/>
  <c r="M80" i="3"/>
  <c r="L80" i="3"/>
  <c r="K80" i="3"/>
  <c r="J80" i="3"/>
  <c r="H80" i="3"/>
  <c r="G80" i="3"/>
  <c r="F80" i="3"/>
  <c r="B80" i="3"/>
  <c r="A80" i="3"/>
  <c r="BX79" i="3"/>
  <c r="BW79" i="3"/>
  <c r="BV79" i="3"/>
  <c r="BU79" i="3"/>
  <c r="BT79" i="3"/>
  <c r="BS79" i="3"/>
  <c r="BO79" i="3"/>
  <c r="BM79" i="3" s="1"/>
  <c r="BN79" i="3"/>
  <c r="BL79" i="3"/>
  <c r="BK79" i="3"/>
  <c r="BJ79" i="3"/>
  <c r="BI79" i="3"/>
  <c r="BH79" i="3"/>
  <c r="BG79" i="3"/>
  <c r="BF79" i="3"/>
  <c r="BQ79" i="3" s="1"/>
  <c r="BD79" i="3"/>
  <c r="AZ79" i="3"/>
  <c r="AY79" i="3"/>
  <c r="BB79" i="3" s="1"/>
  <c r="AW79" i="3"/>
  <c r="AV79" i="3"/>
  <c r="AU79" i="3" s="1"/>
  <c r="AX79" i="3" s="1"/>
  <c r="AT79" i="3"/>
  <c r="AS79" i="3"/>
  <c r="AR79" i="3"/>
  <c r="AQ79" i="3" s="1"/>
  <c r="AP79" i="3"/>
  <c r="AO79" i="3"/>
  <c r="AN79" i="3"/>
  <c r="AM79" i="3" s="1"/>
  <c r="AL79" i="3"/>
  <c r="AI79" i="3"/>
  <c r="AH79" i="3"/>
  <c r="AF79" i="3"/>
  <c r="AB79" i="3"/>
  <c r="AD79" i="3" s="1"/>
  <c r="AA79" i="3"/>
  <c r="Z79" i="3"/>
  <c r="X79" i="3"/>
  <c r="Y79" i="3" s="1"/>
  <c r="AC79" i="3" s="1"/>
  <c r="U79" i="3"/>
  <c r="T79" i="3"/>
  <c r="S79" i="3" s="1"/>
  <c r="R79" i="3"/>
  <c r="V79" i="3" s="1"/>
  <c r="Q79" i="3"/>
  <c r="N79" i="3"/>
  <c r="M79" i="3"/>
  <c r="L79" i="3"/>
  <c r="J79" i="3"/>
  <c r="K79" i="3" s="1"/>
  <c r="AE79" i="3" s="1"/>
  <c r="F79" i="3"/>
  <c r="H79" i="3" s="1"/>
  <c r="E79" i="3"/>
  <c r="B79" i="3"/>
  <c r="C79" i="3" s="1"/>
  <c r="A79" i="3"/>
  <c r="BV78" i="3"/>
  <c r="BU78" i="3"/>
  <c r="BT78" i="3" s="1"/>
  <c r="BO78" i="3"/>
  <c r="BM78" i="3" s="1"/>
  <c r="BN78" i="3"/>
  <c r="BK78" i="3"/>
  <c r="BI78" i="3" s="1"/>
  <c r="BJ78" i="3"/>
  <c r="BG78" i="3"/>
  <c r="BE78" i="3" s="1"/>
  <c r="BP78" i="3" s="1"/>
  <c r="BF78" i="3"/>
  <c r="BQ78" i="3" s="1"/>
  <c r="AW78" i="3"/>
  <c r="AU78" i="3" s="1"/>
  <c r="AV78" i="3"/>
  <c r="AS78" i="3"/>
  <c r="AR78" i="3"/>
  <c r="AQ78" i="3"/>
  <c r="AO78" i="3"/>
  <c r="AM78" i="3" s="1"/>
  <c r="AN78" i="3"/>
  <c r="AY78" i="3" s="1"/>
  <c r="BB78" i="3" s="1"/>
  <c r="AK78" i="3"/>
  <c r="AJ78" i="3"/>
  <c r="AF78" i="3"/>
  <c r="AB78" i="3"/>
  <c r="AA78" i="3"/>
  <c r="Z78" i="3" s="1"/>
  <c r="U78" i="3"/>
  <c r="S78" i="3" s="1"/>
  <c r="T78" i="3"/>
  <c r="N78" i="3"/>
  <c r="M78" i="3"/>
  <c r="L78" i="3"/>
  <c r="H78" i="3"/>
  <c r="F78" i="3"/>
  <c r="G78" i="3" s="1"/>
  <c r="E78" i="3"/>
  <c r="D78" i="3"/>
  <c r="C78" i="3"/>
  <c r="B78" i="3"/>
  <c r="A78" i="3"/>
  <c r="BX77" i="3"/>
  <c r="BW77" i="3"/>
  <c r="BV77" i="3"/>
  <c r="BU77" i="3"/>
  <c r="BS77" i="3"/>
  <c r="BO77" i="3"/>
  <c r="BM77" i="3" s="1"/>
  <c r="BN77" i="3"/>
  <c r="BL77" i="3"/>
  <c r="BK77" i="3"/>
  <c r="BI77" i="3" s="1"/>
  <c r="BJ77" i="3"/>
  <c r="BH77" i="3"/>
  <c r="BG77" i="3"/>
  <c r="BF77" i="3"/>
  <c r="BQ77" i="3" s="1"/>
  <c r="BD77" i="3"/>
  <c r="AW77" i="3"/>
  <c r="AV77" i="3"/>
  <c r="AU77" i="3"/>
  <c r="AT77" i="3"/>
  <c r="AS77" i="3"/>
  <c r="AR77" i="3"/>
  <c r="AQ77" i="3" s="1"/>
  <c r="AP77" i="3"/>
  <c r="AO77" i="3"/>
  <c r="AZ77" i="3" s="1"/>
  <c r="AN77" i="3"/>
  <c r="AY77" i="3" s="1"/>
  <c r="AL77" i="3"/>
  <c r="AF77" i="3"/>
  <c r="AB77" i="3"/>
  <c r="AA77" i="3"/>
  <c r="Z77" i="3" s="1"/>
  <c r="X77" i="3"/>
  <c r="Y77" i="3" s="1"/>
  <c r="AC77" i="3" s="1"/>
  <c r="U77" i="3"/>
  <c r="T77" i="3"/>
  <c r="Q77" i="3"/>
  <c r="R77" i="3" s="1"/>
  <c r="AE77" i="3" s="1"/>
  <c r="P77" i="3"/>
  <c r="O77" i="3"/>
  <c r="N77" i="3"/>
  <c r="M77" i="3"/>
  <c r="L77" i="3" s="1"/>
  <c r="J77" i="3"/>
  <c r="K77" i="3" s="1"/>
  <c r="G77" i="3"/>
  <c r="F77" i="3"/>
  <c r="H77" i="3" s="1"/>
  <c r="D77" i="3"/>
  <c r="C77" i="3"/>
  <c r="B77" i="3"/>
  <c r="E77" i="3" s="1"/>
  <c r="A77" i="3"/>
  <c r="BX76" i="3"/>
  <c r="BW76" i="3"/>
  <c r="BV76" i="3"/>
  <c r="BT76" i="3" s="1"/>
  <c r="BU76" i="3"/>
  <c r="BS76" i="3"/>
  <c r="BO76" i="3"/>
  <c r="BN76" i="3"/>
  <c r="BL76" i="3"/>
  <c r="BK76" i="3"/>
  <c r="BJ76" i="3"/>
  <c r="BH76" i="3"/>
  <c r="BG76" i="3"/>
  <c r="BE76" i="3" s="1"/>
  <c r="BP76" i="3" s="1"/>
  <c r="BF76" i="3"/>
  <c r="BQ76" i="3" s="1"/>
  <c r="BD76" i="3"/>
  <c r="BB76" i="3"/>
  <c r="AW76" i="3"/>
  <c r="AV76" i="3"/>
  <c r="AU76" i="3" s="1"/>
  <c r="AT76" i="3"/>
  <c r="AS76" i="3"/>
  <c r="AR76" i="3"/>
  <c r="AP76" i="3"/>
  <c r="AO76" i="3"/>
  <c r="AN76" i="3"/>
  <c r="AY76" i="3" s="1"/>
  <c r="AL76" i="3"/>
  <c r="AF76" i="3"/>
  <c r="AD76" i="3"/>
  <c r="AB76" i="3"/>
  <c r="AA76" i="3"/>
  <c r="X76" i="3"/>
  <c r="Y76" i="3" s="1"/>
  <c r="V76" i="3"/>
  <c r="U76" i="3"/>
  <c r="W76" i="3" s="1"/>
  <c r="T76" i="3"/>
  <c r="AH76" i="3" s="1"/>
  <c r="S76" i="3"/>
  <c r="R76" i="3"/>
  <c r="Q76" i="3"/>
  <c r="N76" i="3"/>
  <c r="M76" i="3"/>
  <c r="L76" i="3"/>
  <c r="K76" i="3"/>
  <c r="AE76" i="3" s="1"/>
  <c r="J76" i="3"/>
  <c r="F76" i="3"/>
  <c r="H76" i="3" s="1"/>
  <c r="C76" i="3"/>
  <c r="B76" i="3"/>
  <c r="E76" i="3" s="1"/>
  <c r="A76" i="3"/>
  <c r="BX75" i="3"/>
  <c r="BW75" i="3"/>
  <c r="BV75" i="3"/>
  <c r="BU75" i="3"/>
  <c r="BT75" i="3"/>
  <c r="BS75" i="3"/>
  <c r="BR75" i="3"/>
  <c r="BO75" i="3"/>
  <c r="BN75" i="3"/>
  <c r="BM75" i="3"/>
  <c r="BL75" i="3"/>
  <c r="BK75" i="3"/>
  <c r="BJ75" i="3"/>
  <c r="BI75" i="3" s="1"/>
  <c r="BH75" i="3"/>
  <c r="BG75" i="3"/>
  <c r="BF75" i="3"/>
  <c r="BE75" i="3"/>
  <c r="BP75" i="3" s="1"/>
  <c r="BD75" i="3"/>
  <c r="AY75" i="3"/>
  <c r="AW75" i="3"/>
  <c r="AV75" i="3"/>
  <c r="AU75" i="3" s="1"/>
  <c r="AT75" i="3"/>
  <c r="AS75" i="3"/>
  <c r="AQ75" i="3" s="1"/>
  <c r="AR75" i="3"/>
  <c r="AP75" i="3"/>
  <c r="AO75" i="3"/>
  <c r="AN75" i="3"/>
  <c r="AM75" i="3" s="1"/>
  <c r="AL75" i="3"/>
  <c r="AI75" i="3"/>
  <c r="AF75" i="3"/>
  <c r="AC75" i="3"/>
  <c r="AB75" i="3"/>
  <c r="AA75" i="3"/>
  <c r="AH75" i="3" s="1"/>
  <c r="BB75" i="3" s="1"/>
  <c r="Y75" i="3"/>
  <c r="AD75" i="3" s="1"/>
  <c r="X75" i="3"/>
  <c r="U75" i="3"/>
  <c r="T75" i="3"/>
  <c r="S75" i="3"/>
  <c r="R75" i="3"/>
  <c r="Q75" i="3"/>
  <c r="N75" i="3"/>
  <c r="M75" i="3"/>
  <c r="L75" i="3"/>
  <c r="J75" i="3"/>
  <c r="K75" i="3" s="1"/>
  <c r="F75" i="3"/>
  <c r="G75" i="3" s="1"/>
  <c r="C75" i="3"/>
  <c r="B75" i="3"/>
  <c r="E75" i="3" s="1"/>
  <c r="A75" i="3"/>
  <c r="BX74" i="3"/>
  <c r="BW74" i="3"/>
  <c r="BV74" i="3"/>
  <c r="BU74" i="3"/>
  <c r="BT74" i="3"/>
  <c r="BS74" i="3"/>
  <c r="BR74" i="3"/>
  <c r="BQ74" i="3"/>
  <c r="BO74" i="3"/>
  <c r="BN74" i="3"/>
  <c r="BM74" i="3" s="1"/>
  <c r="BL74" i="3"/>
  <c r="BK74" i="3"/>
  <c r="BJ74" i="3"/>
  <c r="BI74" i="3"/>
  <c r="BH74" i="3"/>
  <c r="BG74" i="3"/>
  <c r="BF74" i="3"/>
  <c r="BE74" i="3" s="1"/>
  <c r="BP74" i="3" s="1"/>
  <c r="BD74" i="3"/>
  <c r="AW74" i="3"/>
  <c r="AV74" i="3"/>
  <c r="AU74" i="3" s="1"/>
  <c r="AT74" i="3"/>
  <c r="AS74" i="3"/>
  <c r="AR74" i="3"/>
  <c r="AP74" i="3"/>
  <c r="AO74" i="3"/>
  <c r="AN74" i="3"/>
  <c r="AY74" i="3" s="1"/>
  <c r="BB74" i="3" s="1"/>
  <c r="AL74" i="3"/>
  <c r="AK74" i="3"/>
  <c r="AF74" i="3"/>
  <c r="AB74" i="3"/>
  <c r="AI74" i="3" s="1"/>
  <c r="AA74" i="3"/>
  <c r="Z74" i="3"/>
  <c r="X74" i="3"/>
  <c r="Y74" i="3" s="1"/>
  <c r="AE74" i="3" s="1"/>
  <c r="V74" i="3"/>
  <c r="U74" i="3"/>
  <c r="S74" i="3" s="1"/>
  <c r="T74" i="3"/>
  <c r="R74" i="3"/>
  <c r="Q74" i="3"/>
  <c r="P74" i="3"/>
  <c r="O74" i="3"/>
  <c r="N74" i="3"/>
  <c r="M74" i="3"/>
  <c r="AH74" i="3" s="1"/>
  <c r="J74" i="3"/>
  <c r="K74" i="3" s="1"/>
  <c r="F74" i="3"/>
  <c r="H74" i="3" s="1"/>
  <c r="E74" i="3"/>
  <c r="D74" i="3"/>
  <c r="C74" i="3"/>
  <c r="B74" i="3"/>
  <c r="A74" i="3"/>
  <c r="BX73" i="3"/>
  <c r="BW73" i="3"/>
  <c r="BV73" i="3"/>
  <c r="BT73" i="3" s="1"/>
  <c r="BU73" i="3"/>
  <c r="BS73" i="3"/>
  <c r="BO73" i="3"/>
  <c r="BN73" i="3"/>
  <c r="BM73" i="3" s="1"/>
  <c r="BL73" i="3"/>
  <c r="BK73" i="3"/>
  <c r="BI73" i="3" s="1"/>
  <c r="BJ73" i="3"/>
  <c r="BH73" i="3"/>
  <c r="BG73" i="3"/>
  <c r="BR73" i="3" s="1"/>
  <c r="BF73" i="3"/>
  <c r="BD73" i="3"/>
  <c r="AW73" i="3"/>
  <c r="AU73" i="3" s="1"/>
  <c r="AV73" i="3"/>
  <c r="AT73" i="3"/>
  <c r="AS73" i="3"/>
  <c r="AR73" i="3"/>
  <c r="AQ73" i="3"/>
  <c r="AP73" i="3"/>
  <c r="AO73" i="3"/>
  <c r="AN73" i="3"/>
  <c r="AY73" i="3" s="1"/>
  <c r="BB73" i="3" s="1"/>
  <c r="AL73" i="3"/>
  <c r="AI73" i="3"/>
  <c r="AF73" i="3"/>
  <c r="AB73" i="3"/>
  <c r="AA73" i="3"/>
  <c r="AH73" i="3" s="1"/>
  <c r="X73" i="3"/>
  <c r="Y73" i="3" s="1"/>
  <c r="U73" i="3"/>
  <c r="T73" i="3"/>
  <c r="S73" i="3"/>
  <c r="Q73" i="3"/>
  <c r="R73" i="3" s="1"/>
  <c r="N73" i="3"/>
  <c r="M73" i="3"/>
  <c r="L73" i="3" s="1"/>
  <c r="J73" i="3"/>
  <c r="K73" i="3" s="1"/>
  <c r="H73" i="3"/>
  <c r="G73" i="3"/>
  <c r="F73" i="3"/>
  <c r="B73" i="3"/>
  <c r="A73" i="3"/>
  <c r="BX72" i="3"/>
  <c r="BW72" i="3"/>
  <c r="BV72" i="3"/>
  <c r="BU72" i="3"/>
  <c r="BT72" i="3"/>
  <c r="BS72" i="3"/>
  <c r="BO72" i="3"/>
  <c r="BM72" i="3" s="1"/>
  <c r="BN72" i="3"/>
  <c r="BL72" i="3"/>
  <c r="BK72" i="3"/>
  <c r="BJ72" i="3"/>
  <c r="BI72" i="3" s="1"/>
  <c r="BH72" i="3"/>
  <c r="BG72" i="3"/>
  <c r="BE72" i="3" s="1"/>
  <c r="BP72" i="3" s="1"/>
  <c r="BF72" i="3"/>
  <c r="BD72" i="3"/>
  <c r="AZ72" i="3"/>
  <c r="AY72" i="3"/>
  <c r="BB72" i="3" s="1"/>
  <c r="AW72" i="3"/>
  <c r="AV72" i="3"/>
  <c r="AU72" i="3" s="1"/>
  <c r="AT72" i="3"/>
  <c r="AS72" i="3"/>
  <c r="AQ72" i="3" s="1"/>
  <c r="AR72" i="3"/>
  <c r="AP72" i="3"/>
  <c r="AO72" i="3"/>
  <c r="AN72" i="3"/>
  <c r="AM72" i="3" s="1"/>
  <c r="AL72" i="3"/>
  <c r="AF72" i="3"/>
  <c r="AD72" i="3"/>
  <c r="AC72" i="3"/>
  <c r="AB72" i="3"/>
  <c r="AA72" i="3"/>
  <c r="AH72" i="3" s="1"/>
  <c r="X72" i="3"/>
  <c r="Y72" i="3" s="1"/>
  <c r="V72" i="3"/>
  <c r="U72" i="3"/>
  <c r="W72" i="3" s="1"/>
  <c r="T72" i="3"/>
  <c r="S72" i="3"/>
  <c r="R72" i="3"/>
  <c r="Q72" i="3"/>
  <c r="N72" i="3"/>
  <c r="M72" i="3"/>
  <c r="K72" i="3"/>
  <c r="AE72" i="3" s="1"/>
  <c r="J72" i="3"/>
  <c r="G72" i="3"/>
  <c r="F72" i="3"/>
  <c r="H72" i="3" s="1"/>
  <c r="E72" i="3"/>
  <c r="D72" i="3"/>
  <c r="B72" i="3"/>
  <c r="C72" i="3" s="1"/>
  <c r="A72" i="3"/>
  <c r="BX71" i="3"/>
  <c r="BW71" i="3"/>
  <c r="BV71" i="3"/>
  <c r="BU71" i="3"/>
  <c r="BT71" i="3"/>
  <c r="BS71" i="3"/>
  <c r="BO71" i="3"/>
  <c r="BN71" i="3"/>
  <c r="BM71" i="3"/>
  <c r="BL71" i="3"/>
  <c r="BK71" i="3"/>
  <c r="BJ71" i="3"/>
  <c r="BH71" i="3"/>
  <c r="BG71" i="3"/>
  <c r="BF71" i="3"/>
  <c r="BE71" i="3"/>
  <c r="BP71" i="3" s="1"/>
  <c r="BD71" i="3"/>
  <c r="BB71" i="3"/>
  <c r="AW71" i="3"/>
  <c r="AU71" i="3" s="1"/>
  <c r="AV71" i="3"/>
  <c r="AT71" i="3"/>
  <c r="AS71" i="3"/>
  <c r="AR71" i="3"/>
  <c r="AQ71" i="3"/>
  <c r="AP71" i="3"/>
  <c r="AO71" i="3"/>
  <c r="AZ71" i="3" s="1"/>
  <c r="AN71" i="3"/>
  <c r="AY71" i="3" s="1"/>
  <c r="AL71" i="3"/>
  <c r="AF71" i="3"/>
  <c r="AE71" i="3"/>
  <c r="AD71" i="3"/>
  <c r="AB71" i="3"/>
  <c r="AA71" i="3"/>
  <c r="AH71" i="3" s="1"/>
  <c r="Y71" i="3"/>
  <c r="AC71" i="3" s="1"/>
  <c r="X71" i="3"/>
  <c r="V71" i="3"/>
  <c r="U71" i="3"/>
  <c r="T71" i="3"/>
  <c r="S71" i="3"/>
  <c r="Q71" i="3"/>
  <c r="R71" i="3" s="1"/>
  <c r="W71" i="3" s="1"/>
  <c r="P71" i="3"/>
  <c r="O71" i="3"/>
  <c r="N71" i="3"/>
  <c r="M71" i="3"/>
  <c r="K71" i="3"/>
  <c r="J71" i="3"/>
  <c r="H71" i="3"/>
  <c r="F71" i="3"/>
  <c r="G71" i="3" s="1"/>
  <c r="E71" i="3"/>
  <c r="B71" i="3"/>
  <c r="C71" i="3" s="1"/>
  <c r="A71" i="3"/>
  <c r="BX70" i="3"/>
  <c r="BW70" i="3"/>
  <c r="BV70" i="3"/>
  <c r="BT70" i="3" s="1"/>
  <c r="BU70" i="3"/>
  <c r="BS70" i="3"/>
  <c r="BO70" i="3"/>
  <c r="BN70" i="3"/>
  <c r="BM70" i="3" s="1"/>
  <c r="BL70" i="3"/>
  <c r="BK70" i="3"/>
  <c r="BJ70" i="3"/>
  <c r="BI70" i="3" s="1"/>
  <c r="BH70" i="3"/>
  <c r="BG70" i="3"/>
  <c r="BR70" i="3" s="1"/>
  <c r="BF70" i="3"/>
  <c r="BE70" i="3"/>
  <c r="BD70" i="3"/>
  <c r="AZ70" i="3"/>
  <c r="AY70" i="3"/>
  <c r="BB70" i="3" s="1"/>
  <c r="AW70" i="3"/>
  <c r="AU70" i="3" s="1"/>
  <c r="AX70" i="3" s="1"/>
  <c r="BA70" i="3" s="1"/>
  <c r="AV70" i="3"/>
  <c r="AT70" i="3"/>
  <c r="AS70" i="3"/>
  <c r="AR70" i="3"/>
  <c r="AQ70" i="3" s="1"/>
  <c r="AP70" i="3"/>
  <c r="AO70" i="3"/>
  <c r="AM70" i="3" s="1"/>
  <c r="AN70" i="3"/>
  <c r="AL70" i="3"/>
  <c r="AI70" i="3"/>
  <c r="AG70" i="3" s="1"/>
  <c r="AH70" i="3"/>
  <c r="AF70" i="3"/>
  <c r="AB70" i="3"/>
  <c r="AA70" i="3"/>
  <c r="Z70" i="3" s="1"/>
  <c r="Y70" i="3"/>
  <c r="X70" i="3"/>
  <c r="U70" i="3"/>
  <c r="T70" i="3"/>
  <c r="S70" i="3"/>
  <c r="Q70" i="3"/>
  <c r="R70" i="3" s="1"/>
  <c r="V70" i="3" s="1"/>
  <c r="N70" i="3"/>
  <c r="M70" i="3"/>
  <c r="L70" i="3"/>
  <c r="K70" i="3"/>
  <c r="J70" i="3"/>
  <c r="H70" i="3"/>
  <c r="G70" i="3"/>
  <c r="F70" i="3"/>
  <c r="C70" i="3"/>
  <c r="B70" i="3"/>
  <c r="A70" i="3"/>
  <c r="BX69" i="3"/>
  <c r="BW69" i="3"/>
  <c r="BV69" i="3"/>
  <c r="BU69" i="3"/>
  <c r="BT69" i="3" s="1"/>
  <c r="BS69" i="3"/>
  <c r="BP69" i="3"/>
  <c r="BO69" i="3"/>
  <c r="BN69" i="3"/>
  <c r="BM69" i="3"/>
  <c r="BL69" i="3"/>
  <c r="BK69" i="3"/>
  <c r="BR69" i="3" s="1"/>
  <c r="BJ69" i="3"/>
  <c r="BQ69" i="3" s="1"/>
  <c r="BH69" i="3"/>
  <c r="BG69" i="3"/>
  <c r="BF69" i="3"/>
  <c r="BE69" i="3"/>
  <c r="BD69" i="3"/>
  <c r="AZ69" i="3"/>
  <c r="AW69" i="3"/>
  <c r="AV69" i="3"/>
  <c r="AU69" i="3"/>
  <c r="AX69" i="3" s="1"/>
  <c r="AT69" i="3"/>
  <c r="AS69" i="3"/>
  <c r="AQ69" i="3" s="1"/>
  <c r="AR69" i="3"/>
  <c r="AP69" i="3"/>
  <c r="AO69" i="3"/>
  <c r="AN69" i="3"/>
  <c r="AY69" i="3" s="1"/>
  <c r="BB69" i="3" s="1"/>
  <c r="AM69" i="3"/>
  <c r="AL69" i="3"/>
  <c r="AF69" i="3"/>
  <c r="AD69" i="3"/>
  <c r="AC69" i="3"/>
  <c r="AB69" i="3"/>
  <c r="AA69" i="3"/>
  <c r="AH69" i="3" s="1"/>
  <c r="Y69" i="3"/>
  <c r="X69" i="3"/>
  <c r="U69" i="3"/>
  <c r="S69" i="3" s="1"/>
  <c r="T69" i="3"/>
  <c r="Q69" i="3"/>
  <c r="R69" i="3" s="1"/>
  <c r="AE69" i="3" s="1"/>
  <c r="O69" i="3"/>
  <c r="N69" i="3"/>
  <c r="P69" i="3" s="1"/>
  <c r="M69" i="3"/>
  <c r="L69" i="3" s="1"/>
  <c r="K69" i="3"/>
  <c r="J69" i="3"/>
  <c r="F69" i="3"/>
  <c r="E69" i="3"/>
  <c r="D69" i="3"/>
  <c r="C69" i="3"/>
  <c r="B69" i="3"/>
  <c r="A69" i="3"/>
  <c r="BX68" i="3"/>
  <c r="BW68" i="3"/>
  <c r="BV68" i="3"/>
  <c r="BU68" i="3"/>
  <c r="BT68" i="3"/>
  <c r="BS68" i="3"/>
  <c r="BO68" i="3"/>
  <c r="BN68" i="3"/>
  <c r="BM68" i="3" s="1"/>
  <c r="BL68" i="3"/>
  <c r="BK68" i="3"/>
  <c r="BI68" i="3" s="1"/>
  <c r="BJ68" i="3"/>
  <c r="BH68" i="3"/>
  <c r="BG68" i="3"/>
  <c r="BF68" i="3"/>
  <c r="BQ68" i="3" s="1"/>
  <c r="BD68" i="3"/>
  <c r="AW68" i="3"/>
  <c r="AU68" i="3" s="1"/>
  <c r="AX68" i="3" s="1"/>
  <c r="AV68" i="3"/>
  <c r="AT68" i="3"/>
  <c r="AS68" i="3"/>
  <c r="AR68" i="3"/>
  <c r="AQ68" i="3" s="1"/>
  <c r="AP68" i="3"/>
  <c r="AO68" i="3"/>
  <c r="AZ68" i="3" s="1"/>
  <c r="AN68" i="3"/>
  <c r="AM68" i="3"/>
  <c r="AL68" i="3"/>
  <c r="AH68" i="3"/>
  <c r="AF68" i="3"/>
  <c r="AB68" i="3"/>
  <c r="AA68" i="3"/>
  <c r="Z68" i="3"/>
  <c r="X68" i="3"/>
  <c r="Y68" i="3" s="1"/>
  <c r="U68" i="3"/>
  <c r="T68" i="3"/>
  <c r="S68" i="3" s="1"/>
  <c r="R68" i="3"/>
  <c r="V68" i="3" s="1"/>
  <c r="Q68" i="3"/>
  <c r="P68" i="3"/>
  <c r="N68" i="3"/>
  <c r="M68" i="3"/>
  <c r="L68" i="3"/>
  <c r="J68" i="3"/>
  <c r="K68" i="3" s="1"/>
  <c r="O68" i="3" s="1"/>
  <c r="F68" i="3"/>
  <c r="H68" i="3" s="1"/>
  <c r="C68" i="3"/>
  <c r="B68" i="3"/>
  <c r="D68" i="3" s="1"/>
  <c r="A68" i="3"/>
  <c r="BX67" i="3"/>
  <c r="BW67" i="3"/>
  <c r="BV67" i="3"/>
  <c r="BT67" i="3" s="1"/>
  <c r="BU67" i="3"/>
  <c r="BS67" i="3"/>
  <c r="BO67" i="3"/>
  <c r="BM67" i="3" s="1"/>
  <c r="BN67" i="3"/>
  <c r="BL67" i="3"/>
  <c r="BK67" i="3"/>
  <c r="BJ67" i="3"/>
  <c r="BI67" i="3"/>
  <c r="BH67" i="3"/>
  <c r="BG67" i="3"/>
  <c r="BF67" i="3"/>
  <c r="BQ67" i="3" s="1"/>
  <c r="BD67" i="3"/>
  <c r="AW67" i="3"/>
  <c r="AV67" i="3"/>
  <c r="AU67" i="3"/>
  <c r="AT67" i="3"/>
  <c r="AS67" i="3"/>
  <c r="AZ67" i="3" s="1"/>
  <c r="AR67" i="3"/>
  <c r="AY67" i="3" s="1"/>
  <c r="BB67" i="3" s="1"/>
  <c r="AP67" i="3"/>
  <c r="AO67" i="3"/>
  <c r="AN67" i="3"/>
  <c r="AM67" i="3"/>
  <c r="AL67" i="3"/>
  <c r="AH67" i="3"/>
  <c r="AF67" i="3"/>
  <c r="AC67" i="3"/>
  <c r="AB67" i="3"/>
  <c r="AD67" i="3" s="1"/>
  <c r="AA67" i="3"/>
  <c r="Z67" i="3"/>
  <c r="Y67" i="3"/>
  <c r="X67" i="3"/>
  <c r="U67" i="3"/>
  <c r="T67" i="3"/>
  <c r="R67" i="3"/>
  <c r="Q67" i="3"/>
  <c r="N67" i="3"/>
  <c r="M67" i="3"/>
  <c r="L67" i="3" s="1"/>
  <c r="K67" i="3"/>
  <c r="AE67" i="3" s="1"/>
  <c r="J67" i="3"/>
  <c r="F67" i="3"/>
  <c r="G67" i="3" s="1"/>
  <c r="B67" i="3"/>
  <c r="E67" i="3" s="1"/>
  <c r="A67" i="3"/>
  <c r="BX66" i="3"/>
  <c r="BW66" i="3"/>
  <c r="BV66" i="3"/>
  <c r="BU66" i="3"/>
  <c r="BT66" i="3"/>
  <c r="BS66" i="3"/>
  <c r="BR66" i="3"/>
  <c r="BQ66" i="3"/>
  <c r="BO66" i="3"/>
  <c r="BN66" i="3"/>
  <c r="BM66" i="3" s="1"/>
  <c r="BL66" i="3"/>
  <c r="BK66" i="3"/>
  <c r="BI66" i="3" s="1"/>
  <c r="BJ66" i="3"/>
  <c r="BH66" i="3"/>
  <c r="BG66" i="3"/>
  <c r="BF66" i="3"/>
  <c r="BE66" i="3" s="1"/>
  <c r="BP66" i="3" s="1"/>
  <c r="BD66" i="3"/>
  <c r="AW66" i="3"/>
  <c r="AV66" i="3"/>
  <c r="AU66" i="3" s="1"/>
  <c r="AX66" i="3" s="1"/>
  <c r="AT66" i="3"/>
  <c r="AS66" i="3"/>
  <c r="AQ66" i="3" s="1"/>
  <c r="AR66" i="3"/>
  <c r="AP66" i="3"/>
  <c r="AO66" i="3"/>
  <c r="AN66" i="3"/>
  <c r="AM66" i="3"/>
  <c r="AL66" i="3"/>
  <c r="AF66" i="3"/>
  <c r="AB66" i="3"/>
  <c r="AA66" i="3"/>
  <c r="Z66" i="3"/>
  <c r="X66" i="3"/>
  <c r="Y66" i="3" s="1"/>
  <c r="AD66" i="3" s="1"/>
  <c r="W66" i="3"/>
  <c r="U66" i="3"/>
  <c r="S66" i="3" s="1"/>
  <c r="T66" i="3"/>
  <c r="AH66" i="3" s="1"/>
  <c r="R66" i="3"/>
  <c r="Q66" i="3"/>
  <c r="N66" i="3"/>
  <c r="L66" i="3" s="1"/>
  <c r="M66" i="3"/>
  <c r="J66" i="3"/>
  <c r="K66" i="3" s="1"/>
  <c r="AE66" i="3" s="1"/>
  <c r="G66" i="3"/>
  <c r="F66" i="3"/>
  <c r="H66" i="3" s="1"/>
  <c r="E66" i="3"/>
  <c r="D66" i="3"/>
  <c r="C66" i="3"/>
  <c r="B66" i="3"/>
  <c r="A66" i="3"/>
  <c r="BX65" i="3"/>
  <c r="BW65" i="3"/>
  <c r="BV65" i="3"/>
  <c r="BU65" i="3"/>
  <c r="BT65" i="3" s="1"/>
  <c r="BS65" i="3"/>
  <c r="BO65" i="3"/>
  <c r="BM65" i="3" s="1"/>
  <c r="BN65" i="3"/>
  <c r="BL65" i="3"/>
  <c r="BK65" i="3"/>
  <c r="BI65" i="3" s="1"/>
  <c r="BJ65" i="3"/>
  <c r="BH65" i="3"/>
  <c r="BG65" i="3"/>
  <c r="BF65" i="3"/>
  <c r="BQ65" i="3" s="1"/>
  <c r="BD65" i="3"/>
  <c r="AW65" i="3"/>
  <c r="AU65" i="3" s="1"/>
  <c r="AV65" i="3"/>
  <c r="AT65" i="3"/>
  <c r="AS65" i="3"/>
  <c r="AR65" i="3"/>
  <c r="AQ65" i="3"/>
  <c r="AP65" i="3"/>
  <c r="AO65" i="3"/>
  <c r="AN65" i="3"/>
  <c r="AY65" i="3" s="1"/>
  <c r="BB65" i="3" s="1"/>
  <c r="AL65" i="3"/>
  <c r="AI65" i="3"/>
  <c r="AH65" i="3"/>
  <c r="AF65" i="3"/>
  <c r="AB65" i="3"/>
  <c r="AA65" i="3"/>
  <c r="Z65" i="3"/>
  <c r="Y65" i="3"/>
  <c r="X65" i="3"/>
  <c r="U65" i="3"/>
  <c r="V65" i="3" s="1"/>
  <c r="T65" i="3"/>
  <c r="S65" i="3"/>
  <c r="R65" i="3"/>
  <c r="Q65" i="3"/>
  <c r="N65" i="3"/>
  <c r="M65" i="3"/>
  <c r="L65" i="3"/>
  <c r="J65" i="3"/>
  <c r="K65" i="3" s="1"/>
  <c r="H65" i="3"/>
  <c r="G65" i="3"/>
  <c r="F65" i="3"/>
  <c r="B65" i="3"/>
  <c r="A65" i="3"/>
  <c r="BX64" i="3"/>
  <c r="BW64" i="3"/>
  <c r="BV64" i="3"/>
  <c r="BU64" i="3"/>
  <c r="BT64" i="3"/>
  <c r="BS64" i="3"/>
  <c r="BO64" i="3"/>
  <c r="BM64" i="3" s="1"/>
  <c r="BN64" i="3"/>
  <c r="BL64" i="3"/>
  <c r="BK64" i="3"/>
  <c r="BJ64" i="3"/>
  <c r="BI64" i="3" s="1"/>
  <c r="BH64" i="3"/>
  <c r="BG64" i="3"/>
  <c r="BE64" i="3" s="1"/>
  <c r="BP64" i="3" s="1"/>
  <c r="BF64" i="3"/>
  <c r="BD64" i="3"/>
  <c r="AZ64" i="3"/>
  <c r="AY64" i="3"/>
  <c r="BB64" i="3" s="1"/>
  <c r="AW64" i="3"/>
  <c r="AV64" i="3"/>
  <c r="AU64" i="3" s="1"/>
  <c r="AT64" i="3"/>
  <c r="AS64" i="3"/>
  <c r="AQ64" i="3" s="1"/>
  <c r="AR64" i="3"/>
  <c r="AP64" i="3"/>
  <c r="AO64" i="3"/>
  <c r="AN64" i="3"/>
  <c r="AM64" i="3" s="1"/>
  <c r="AL64" i="3"/>
  <c r="AF64" i="3"/>
  <c r="AD64" i="3"/>
  <c r="AC64" i="3"/>
  <c r="AB64" i="3"/>
  <c r="AA64" i="3"/>
  <c r="AH64" i="3" s="1"/>
  <c r="X64" i="3"/>
  <c r="Y64" i="3" s="1"/>
  <c r="V64" i="3"/>
  <c r="U64" i="3"/>
  <c r="W64" i="3" s="1"/>
  <c r="T64" i="3"/>
  <c r="S64" i="3"/>
  <c r="R64" i="3"/>
  <c r="Q64" i="3"/>
  <c r="N64" i="3"/>
  <c r="M64" i="3"/>
  <c r="K64" i="3"/>
  <c r="AE64" i="3" s="1"/>
  <c r="J64" i="3"/>
  <c r="G64" i="3"/>
  <c r="F64" i="3"/>
  <c r="H64" i="3" s="1"/>
  <c r="E64" i="3"/>
  <c r="D64" i="3"/>
  <c r="B64" i="3"/>
  <c r="C64" i="3" s="1"/>
  <c r="A64" i="3"/>
  <c r="BX63" i="3"/>
  <c r="BW63" i="3"/>
  <c r="BV63" i="3"/>
  <c r="BU63" i="3"/>
  <c r="BT63" i="3"/>
  <c r="BS63" i="3"/>
  <c r="BO63" i="3"/>
  <c r="BN63" i="3"/>
  <c r="BM63" i="3"/>
  <c r="BL63" i="3"/>
  <c r="BK63" i="3"/>
  <c r="BJ63" i="3"/>
  <c r="BH63" i="3"/>
  <c r="BG63" i="3"/>
  <c r="BF63" i="3"/>
  <c r="BE63" i="3"/>
  <c r="BD63" i="3"/>
  <c r="BB63" i="3"/>
  <c r="AW63" i="3"/>
  <c r="AU63" i="3" s="1"/>
  <c r="AV63" i="3"/>
  <c r="AT63" i="3"/>
  <c r="AS63" i="3"/>
  <c r="AR63" i="3"/>
  <c r="AQ63" i="3"/>
  <c r="AP63" i="3"/>
  <c r="AO63" i="3"/>
  <c r="AZ63" i="3" s="1"/>
  <c r="AN63" i="3"/>
  <c r="AY63" i="3" s="1"/>
  <c r="AL63" i="3"/>
  <c r="AF63" i="3"/>
  <c r="AB63" i="3"/>
  <c r="AA63" i="3"/>
  <c r="AH63" i="3" s="1"/>
  <c r="X63" i="3"/>
  <c r="Y63" i="3" s="1"/>
  <c r="V63" i="3"/>
  <c r="U63" i="3"/>
  <c r="T63" i="3"/>
  <c r="S63" i="3"/>
  <c r="Q63" i="3"/>
  <c r="R63" i="3" s="1"/>
  <c r="W63" i="3" s="1"/>
  <c r="P63" i="3"/>
  <c r="O63" i="3"/>
  <c r="N63" i="3"/>
  <c r="M63" i="3"/>
  <c r="K63" i="3"/>
  <c r="J63" i="3"/>
  <c r="H63" i="3"/>
  <c r="F63" i="3"/>
  <c r="G63" i="3" s="1"/>
  <c r="E63" i="3"/>
  <c r="B63" i="3"/>
  <c r="C63" i="3" s="1"/>
  <c r="A63" i="3"/>
  <c r="BX62" i="3"/>
  <c r="BW62" i="3"/>
  <c r="BV62" i="3"/>
  <c r="BT62" i="3" s="1"/>
  <c r="BU62" i="3"/>
  <c r="BS62" i="3"/>
  <c r="BO62" i="3"/>
  <c r="BN62" i="3"/>
  <c r="BM62" i="3" s="1"/>
  <c r="BL62" i="3"/>
  <c r="BK62" i="3"/>
  <c r="BJ62" i="3"/>
  <c r="BI62" i="3" s="1"/>
  <c r="BH62" i="3"/>
  <c r="BG62" i="3"/>
  <c r="BR62" i="3" s="1"/>
  <c r="BF62" i="3"/>
  <c r="BE62" i="3"/>
  <c r="BP62" i="3" s="1"/>
  <c r="BD62" i="3"/>
  <c r="AZ62" i="3"/>
  <c r="AY62" i="3"/>
  <c r="BB62" i="3" s="1"/>
  <c r="AW62" i="3"/>
  <c r="AU62" i="3" s="1"/>
  <c r="AX62" i="3" s="1"/>
  <c r="AV62" i="3"/>
  <c r="AT62" i="3"/>
  <c r="AS62" i="3"/>
  <c r="AR62" i="3"/>
  <c r="AQ62" i="3" s="1"/>
  <c r="AP62" i="3"/>
  <c r="AO62" i="3"/>
  <c r="AM62" i="3" s="1"/>
  <c r="AN62" i="3"/>
  <c r="AL62" i="3"/>
  <c r="AI62" i="3"/>
  <c r="AG62" i="3" s="1"/>
  <c r="AH62" i="3"/>
  <c r="AF62" i="3"/>
  <c r="AB62" i="3"/>
  <c r="AA62" i="3"/>
  <c r="Z62" i="3"/>
  <c r="Y62" i="3"/>
  <c r="X62" i="3"/>
  <c r="U62" i="3"/>
  <c r="T62" i="3"/>
  <c r="S62" i="3"/>
  <c r="Q62" i="3"/>
  <c r="R62" i="3" s="1"/>
  <c r="V62" i="3" s="1"/>
  <c r="N62" i="3"/>
  <c r="M62" i="3"/>
  <c r="L62" i="3"/>
  <c r="K62" i="3"/>
  <c r="AE62" i="3" s="1"/>
  <c r="J62" i="3"/>
  <c r="H62" i="3"/>
  <c r="G62" i="3"/>
  <c r="F62" i="3"/>
  <c r="C62" i="3"/>
  <c r="B62" i="3"/>
  <c r="A62" i="3"/>
  <c r="BX61" i="3"/>
  <c r="BW61" i="3"/>
  <c r="BV61" i="3"/>
  <c r="BU61" i="3"/>
  <c r="BT61" i="3" s="1"/>
  <c r="BS61" i="3"/>
  <c r="BR61" i="3"/>
  <c r="BO61" i="3"/>
  <c r="BM61" i="3" s="1"/>
  <c r="BN61" i="3"/>
  <c r="BL61" i="3"/>
  <c r="BK61" i="3"/>
  <c r="BJ61" i="3"/>
  <c r="BI61" i="3" s="1"/>
  <c r="BH61" i="3"/>
  <c r="BG61" i="3"/>
  <c r="BE61" i="3" s="1"/>
  <c r="BP61" i="3" s="1"/>
  <c r="BF61" i="3"/>
  <c r="BD61" i="3"/>
  <c r="AW61" i="3"/>
  <c r="AV61" i="3"/>
  <c r="AU61" i="3"/>
  <c r="AT61" i="3"/>
  <c r="AS61" i="3"/>
  <c r="AQ61" i="3" s="1"/>
  <c r="AR61" i="3"/>
  <c r="AP61" i="3"/>
  <c r="AO61" i="3"/>
  <c r="AN61" i="3"/>
  <c r="AM61" i="3"/>
  <c r="AL61" i="3"/>
  <c r="AF61" i="3"/>
  <c r="AB61" i="3"/>
  <c r="AA61" i="3"/>
  <c r="AH61" i="3" s="1"/>
  <c r="X61" i="3"/>
  <c r="Y61" i="3" s="1"/>
  <c r="AE61" i="3" s="1"/>
  <c r="W61" i="3"/>
  <c r="U61" i="3"/>
  <c r="S61" i="3" s="1"/>
  <c r="T61" i="3"/>
  <c r="Q61" i="3"/>
  <c r="R61" i="3" s="1"/>
  <c r="O61" i="3"/>
  <c r="N61" i="3"/>
  <c r="P61" i="3" s="1"/>
  <c r="M61" i="3"/>
  <c r="L61" i="3"/>
  <c r="K61" i="3"/>
  <c r="J61" i="3"/>
  <c r="F61" i="3"/>
  <c r="E61" i="3"/>
  <c r="D61" i="3"/>
  <c r="C61" i="3"/>
  <c r="B61" i="3"/>
  <c r="A61" i="3"/>
  <c r="BX60" i="3"/>
  <c r="BW60" i="3"/>
  <c r="BV60" i="3"/>
  <c r="BU60" i="3"/>
  <c r="BT60" i="3"/>
  <c r="BS60" i="3"/>
  <c r="BO60" i="3"/>
  <c r="BN60" i="3"/>
  <c r="BM60" i="3" s="1"/>
  <c r="BL60" i="3"/>
  <c r="BK60" i="3"/>
  <c r="BI60" i="3" s="1"/>
  <c r="BJ60" i="3"/>
  <c r="BH60" i="3"/>
  <c r="BG60" i="3"/>
  <c r="BR60" i="3" s="1"/>
  <c r="BF60" i="3"/>
  <c r="BE60" i="3"/>
  <c r="BP60" i="3" s="1"/>
  <c r="BD60" i="3"/>
  <c r="BC60" i="3"/>
  <c r="AW60" i="3"/>
  <c r="AV60" i="3"/>
  <c r="AU60" i="3" s="1"/>
  <c r="AT60" i="3"/>
  <c r="AS60" i="3"/>
  <c r="AR60" i="3"/>
  <c r="AQ60" i="3"/>
  <c r="AP60" i="3"/>
  <c r="AO60" i="3"/>
  <c r="AZ60" i="3" s="1"/>
  <c r="AN60" i="3"/>
  <c r="AY60" i="3" s="1"/>
  <c r="BB60" i="3" s="1"/>
  <c r="AL60" i="3"/>
  <c r="AI60" i="3"/>
  <c r="AK60" i="3" s="1"/>
  <c r="AH60" i="3"/>
  <c r="AG60" i="3"/>
  <c r="AF60" i="3"/>
  <c r="AB60" i="3"/>
  <c r="AA60" i="3"/>
  <c r="Z60" i="3"/>
  <c r="Y60" i="3"/>
  <c r="X60" i="3"/>
  <c r="U60" i="3"/>
  <c r="T60" i="3"/>
  <c r="S60" i="3"/>
  <c r="R60" i="3"/>
  <c r="V60" i="3" s="1"/>
  <c r="Q60" i="3"/>
  <c r="P60" i="3"/>
  <c r="N60" i="3"/>
  <c r="M60" i="3"/>
  <c r="L60" i="3"/>
  <c r="J60" i="3"/>
  <c r="K60" i="3" s="1"/>
  <c r="O60" i="3" s="1"/>
  <c r="F60" i="3"/>
  <c r="H60" i="3" s="1"/>
  <c r="B60" i="3"/>
  <c r="D60" i="3" s="1"/>
  <c r="A60" i="3"/>
  <c r="BX59" i="3"/>
  <c r="BW59" i="3"/>
  <c r="BV59" i="3"/>
  <c r="BT59" i="3" s="1"/>
  <c r="BU59" i="3"/>
  <c r="BS59" i="3"/>
  <c r="BQ59" i="3"/>
  <c r="BO59" i="3"/>
  <c r="BM59" i="3" s="1"/>
  <c r="BN59" i="3"/>
  <c r="BL59" i="3"/>
  <c r="BK59" i="3"/>
  <c r="BJ59" i="3"/>
  <c r="BI59" i="3"/>
  <c r="BH59" i="3"/>
  <c r="BG59" i="3"/>
  <c r="BF59" i="3"/>
  <c r="BD59" i="3"/>
  <c r="AZ59" i="3"/>
  <c r="AW59" i="3"/>
  <c r="AV59" i="3"/>
  <c r="AU59" i="3"/>
  <c r="AT59" i="3"/>
  <c r="AS59" i="3"/>
  <c r="AR59" i="3"/>
  <c r="AY59" i="3" s="1"/>
  <c r="AP59" i="3"/>
  <c r="AO59" i="3"/>
  <c r="AN59" i="3"/>
  <c r="AM59" i="3"/>
  <c r="AL59" i="3"/>
  <c r="AJ59" i="3"/>
  <c r="AI59" i="3"/>
  <c r="AF59" i="3"/>
  <c r="AB59" i="3"/>
  <c r="AD59" i="3" s="1"/>
  <c r="AA59" i="3"/>
  <c r="Y59" i="3"/>
  <c r="X59" i="3"/>
  <c r="U59" i="3"/>
  <c r="T59" i="3"/>
  <c r="AH59" i="3" s="1"/>
  <c r="R59" i="3"/>
  <c r="Q59" i="3"/>
  <c r="N59" i="3"/>
  <c r="M59" i="3"/>
  <c r="L59" i="3" s="1"/>
  <c r="J59" i="3"/>
  <c r="K59" i="3" s="1"/>
  <c r="AE59" i="3" s="1"/>
  <c r="H59" i="3"/>
  <c r="F59" i="3"/>
  <c r="G59" i="3" s="1"/>
  <c r="B59" i="3"/>
  <c r="E59" i="3" s="1"/>
  <c r="A59" i="3"/>
  <c r="BX58" i="3"/>
  <c r="BW58" i="3"/>
  <c r="BV58" i="3"/>
  <c r="BU58" i="3"/>
  <c r="BT58" i="3"/>
  <c r="BS58" i="3"/>
  <c r="BR58" i="3"/>
  <c r="BQ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AW58" i="3"/>
  <c r="AV58" i="3"/>
  <c r="AU58" i="3"/>
  <c r="AT58" i="3"/>
  <c r="AS58" i="3"/>
  <c r="AQ58" i="3" s="1"/>
  <c r="AR58" i="3"/>
  <c r="AP58" i="3"/>
  <c r="AO58" i="3"/>
  <c r="AZ58" i="3" s="1"/>
  <c r="AN58" i="3"/>
  <c r="AY58" i="3" s="1"/>
  <c r="AL58" i="3"/>
  <c r="AF58" i="3"/>
  <c r="AB58" i="3"/>
  <c r="AA58" i="3"/>
  <c r="X58" i="3"/>
  <c r="Y58" i="3" s="1"/>
  <c r="AD58" i="3" s="1"/>
  <c r="U58" i="3"/>
  <c r="S58" i="3" s="1"/>
  <c r="T58" i="3"/>
  <c r="Q58" i="3"/>
  <c r="R58" i="3" s="1"/>
  <c r="V58" i="3" s="1"/>
  <c r="N58" i="3"/>
  <c r="L58" i="3" s="1"/>
  <c r="M58" i="3"/>
  <c r="J58" i="3"/>
  <c r="K58" i="3" s="1"/>
  <c r="AE58" i="3" s="1"/>
  <c r="G58" i="3"/>
  <c r="F58" i="3"/>
  <c r="H58" i="3" s="1"/>
  <c r="E58" i="3"/>
  <c r="D58" i="3"/>
  <c r="C58" i="3"/>
  <c r="B58" i="3"/>
  <c r="A58" i="3"/>
  <c r="BX57" i="3"/>
  <c r="BW57" i="3"/>
  <c r="BV57" i="3"/>
  <c r="BU57" i="3"/>
  <c r="BT57" i="3" s="1"/>
  <c r="BS57" i="3"/>
  <c r="BO57" i="3"/>
  <c r="BM57" i="3" s="1"/>
  <c r="BN57" i="3"/>
  <c r="BL57" i="3"/>
  <c r="BK57" i="3"/>
  <c r="BI57" i="3" s="1"/>
  <c r="BJ57" i="3"/>
  <c r="BH57" i="3"/>
  <c r="BG57" i="3"/>
  <c r="BF57" i="3"/>
  <c r="BQ57" i="3" s="1"/>
  <c r="BD57" i="3"/>
  <c r="AW57" i="3"/>
  <c r="AU57" i="3" s="1"/>
  <c r="AV57" i="3"/>
  <c r="AT57" i="3"/>
  <c r="AS57" i="3"/>
  <c r="AR57" i="3"/>
  <c r="AQ57" i="3"/>
  <c r="AP57" i="3"/>
  <c r="AO57" i="3"/>
  <c r="AN57" i="3"/>
  <c r="AY57" i="3" s="1"/>
  <c r="BB57" i="3" s="1"/>
  <c r="AL57" i="3"/>
  <c r="AI57" i="3"/>
  <c r="AH57" i="3"/>
  <c r="AF57" i="3"/>
  <c r="AB57" i="3"/>
  <c r="AA57" i="3"/>
  <c r="Z57" i="3"/>
  <c r="Y57" i="3"/>
  <c r="X57" i="3"/>
  <c r="U57" i="3"/>
  <c r="V57" i="3" s="1"/>
  <c r="T57" i="3"/>
  <c r="S57" i="3"/>
  <c r="R57" i="3"/>
  <c r="W57" i="3" s="1"/>
  <c r="Q57" i="3"/>
  <c r="N57" i="3"/>
  <c r="M57" i="3"/>
  <c r="L57" i="3"/>
  <c r="J57" i="3"/>
  <c r="K57" i="3" s="1"/>
  <c r="H57" i="3"/>
  <c r="G57" i="3"/>
  <c r="F57" i="3"/>
  <c r="B57" i="3"/>
  <c r="D57" i="3" s="1"/>
  <c r="A57" i="3"/>
  <c r="BX56" i="3"/>
  <c r="BW56" i="3"/>
  <c r="BV56" i="3"/>
  <c r="BT56" i="3" s="1"/>
  <c r="BU56" i="3"/>
  <c r="BS56" i="3"/>
  <c r="BO56" i="3"/>
  <c r="BN56" i="3"/>
  <c r="BQ56" i="3" s="1"/>
  <c r="BL56" i="3"/>
  <c r="BK56" i="3"/>
  <c r="BJ56" i="3"/>
  <c r="BI56" i="3"/>
  <c r="BH56" i="3"/>
  <c r="BG56" i="3"/>
  <c r="BF56" i="3"/>
  <c r="BD56" i="3"/>
  <c r="AY56" i="3"/>
  <c r="AW56" i="3"/>
  <c r="AU56" i="3" s="1"/>
  <c r="AV56" i="3"/>
  <c r="AT56" i="3"/>
  <c r="AS56" i="3"/>
  <c r="AZ56" i="3" s="1"/>
  <c r="AR56" i="3"/>
  <c r="AP56" i="3"/>
  <c r="AO56" i="3"/>
  <c r="AM56" i="3" s="1"/>
  <c r="AN56" i="3"/>
  <c r="AL56" i="3"/>
  <c r="AF56" i="3"/>
  <c r="AB56" i="3"/>
  <c r="AD56" i="3" s="1"/>
  <c r="AA56" i="3"/>
  <c r="AH56" i="3" s="1"/>
  <c r="Y56" i="3"/>
  <c r="X56" i="3"/>
  <c r="U56" i="3"/>
  <c r="S56" i="3" s="1"/>
  <c r="T56" i="3"/>
  <c r="R56" i="3"/>
  <c r="Q56" i="3"/>
  <c r="N56" i="3"/>
  <c r="P56" i="3" s="1"/>
  <c r="M56" i="3"/>
  <c r="L56" i="3" s="1"/>
  <c r="K56" i="3"/>
  <c r="J56" i="3"/>
  <c r="H56" i="3"/>
  <c r="F56" i="3"/>
  <c r="G56" i="3" s="1"/>
  <c r="C56" i="3"/>
  <c r="B56" i="3"/>
  <c r="D56" i="3" s="1"/>
  <c r="A56" i="3"/>
  <c r="BX55" i="3"/>
  <c r="BW55" i="3"/>
  <c r="BV55" i="3"/>
  <c r="BU55" i="3"/>
  <c r="BT55" i="3"/>
  <c r="BS55" i="3"/>
  <c r="BQ55" i="3"/>
  <c r="BO55" i="3"/>
  <c r="BM55" i="3" s="1"/>
  <c r="BN55" i="3"/>
  <c r="BL55" i="3"/>
  <c r="BK55" i="3"/>
  <c r="BR55" i="3" s="1"/>
  <c r="BJ55" i="3"/>
  <c r="BH55" i="3"/>
  <c r="BG55" i="3"/>
  <c r="BE55" i="3" s="1"/>
  <c r="BP55" i="3" s="1"/>
  <c r="BF55" i="3"/>
  <c r="BD55" i="3"/>
  <c r="AZ55" i="3"/>
  <c r="AW55" i="3"/>
  <c r="AV55" i="3"/>
  <c r="AU55" i="3"/>
  <c r="AT55" i="3"/>
  <c r="AS55" i="3"/>
  <c r="AR55" i="3"/>
  <c r="AP55" i="3"/>
  <c r="AO55" i="3"/>
  <c r="AN55" i="3"/>
  <c r="AY55" i="3" s="1"/>
  <c r="AM55" i="3"/>
  <c r="AL55" i="3"/>
  <c r="AF55" i="3"/>
  <c r="AE55" i="3"/>
  <c r="AD55" i="3"/>
  <c r="AC55" i="3"/>
  <c r="AB55" i="3"/>
  <c r="AA55" i="3"/>
  <c r="X55" i="3"/>
  <c r="U55" i="3"/>
  <c r="W55" i="3" s="1"/>
  <c r="T55" i="3"/>
  <c r="Q55" i="3"/>
  <c r="N55" i="3"/>
  <c r="P55" i="3" s="1"/>
  <c r="M55" i="3"/>
  <c r="L55" i="3" s="1"/>
  <c r="J55" i="3"/>
  <c r="H55" i="3"/>
  <c r="G55" i="3"/>
  <c r="F55" i="3"/>
  <c r="C55" i="3"/>
  <c r="B55" i="3"/>
  <c r="A55" i="3"/>
  <c r="BX54" i="3"/>
  <c r="BW54" i="3"/>
  <c r="BV54" i="3"/>
  <c r="BU54" i="3"/>
  <c r="BT54" i="3"/>
  <c r="BS54" i="3"/>
  <c r="BO54" i="3"/>
  <c r="BM54" i="3" s="1"/>
  <c r="BN54" i="3"/>
  <c r="BL54" i="3"/>
  <c r="BK54" i="3"/>
  <c r="BR54" i="3" s="1"/>
  <c r="BJ54" i="3"/>
  <c r="BQ54" i="3" s="1"/>
  <c r="BH54" i="3"/>
  <c r="BG54" i="3"/>
  <c r="BE54" i="3" s="1"/>
  <c r="BP54" i="3" s="1"/>
  <c r="BF54" i="3"/>
  <c r="BD54" i="3"/>
  <c r="AW54" i="3"/>
  <c r="AV54" i="3"/>
  <c r="AU54" i="3"/>
  <c r="AT54" i="3"/>
  <c r="AS54" i="3"/>
  <c r="AQ54" i="3" s="1"/>
  <c r="AR54" i="3"/>
  <c r="AP54" i="3"/>
  <c r="AO54" i="3"/>
  <c r="AN54" i="3"/>
  <c r="AM54" i="3"/>
  <c r="AL54" i="3"/>
  <c r="AF54" i="3"/>
  <c r="AE54" i="3"/>
  <c r="AC54" i="3"/>
  <c r="AB54" i="3"/>
  <c r="AA54" i="3"/>
  <c r="X54" i="3"/>
  <c r="V54" i="3"/>
  <c r="U54" i="3"/>
  <c r="W54" i="3" s="1"/>
  <c r="T54" i="3"/>
  <c r="Q54" i="3"/>
  <c r="N54" i="3"/>
  <c r="P54" i="3" s="1"/>
  <c r="M54" i="3"/>
  <c r="L54" i="3"/>
  <c r="J54" i="3"/>
  <c r="H54" i="3"/>
  <c r="G54" i="3"/>
  <c r="F54" i="3"/>
  <c r="C54" i="3"/>
  <c r="B54" i="3"/>
  <c r="A54" i="3"/>
  <c r="BX53" i="3"/>
  <c r="BW53" i="3"/>
  <c r="BV53" i="3"/>
  <c r="BU53" i="3"/>
  <c r="BT53" i="3"/>
  <c r="BS53" i="3"/>
  <c r="BR53" i="3"/>
  <c r="BO53" i="3"/>
  <c r="BM53" i="3" s="1"/>
  <c r="BN53" i="3"/>
  <c r="BL53" i="3"/>
  <c r="BK53" i="3"/>
  <c r="BJ53" i="3"/>
  <c r="BI53" i="3" s="1"/>
  <c r="BH53" i="3"/>
  <c r="BG53" i="3"/>
  <c r="BE53" i="3" s="1"/>
  <c r="BP53" i="3" s="1"/>
  <c r="BF53" i="3"/>
  <c r="BD53" i="3"/>
  <c r="AW53" i="3"/>
  <c r="AV53" i="3"/>
  <c r="AU53" i="3"/>
  <c r="AT53" i="3"/>
  <c r="AS53" i="3"/>
  <c r="AR53" i="3"/>
  <c r="AP53" i="3"/>
  <c r="AO53" i="3"/>
  <c r="AN53" i="3"/>
  <c r="AM53" i="3"/>
  <c r="AL53" i="3"/>
  <c r="AF53" i="3"/>
  <c r="AE53" i="3"/>
  <c r="AB53" i="3"/>
  <c r="AA53" i="3"/>
  <c r="AH53" i="3" s="1"/>
  <c r="X53" i="3"/>
  <c r="Y53" i="3" s="1"/>
  <c r="W53" i="3"/>
  <c r="U53" i="3"/>
  <c r="S53" i="3" s="1"/>
  <c r="T53" i="3"/>
  <c r="Q53" i="3"/>
  <c r="R53" i="3" s="1"/>
  <c r="O53" i="3"/>
  <c r="N53" i="3"/>
  <c r="P53" i="3" s="1"/>
  <c r="M53" i="3"/>
  <c r="L53" i="3"/>
  <c r="K53" i="3"/>
  <c r="J53" i="3"/>
  <c r="F53" i="3"/>
  <c r="E53" i="3"/>
  <c r="D53" i="3"/>
  <c r="C53" i="3"/>
  <c r="B53" i="3"/>
  <c r="A53" i="3"/>
  <c r="BX52" i="3"/>
  <c r="BW52" i="3"/>
  <c r="BV52" i="3"/>
  <c r="BU52" i="3"/>
  <c r="BT52" i="3"/>
  <c r="BS52" i="3"/>
  <c r="BO52" i="3"/>
  <c r="BN52" i="3"/>
  <c r="BM52" i="3" s="1"/>
  <c r="BL52" i="3"/>
  <c r="BK52" i="3"/>
  <c r="BI52" i="3" s="1"/>
  <c r="BJ52" i="3"/>
  <c r="BH52" i="3"/>
  <c r="BG52" i="3"/>
  <c r="BR52" i="3" s="1"/>
  <c r="BF52" i="3"/>
  <c r="BE52" i="3"/>
  <c r="BP52" i="3" s="1"/>
  <c r="BD52" i="3"/>
  <c r="BC52" i="3"/>
  <c r="AW52" i="3"/>
  <c r="AV52" i="3"/>
  <c r="AU52" i="3" s="1"/>
  <c r="AT52" i="3"/>
  <c r="AS52" i="3"/>
  <c r="AR52" i="3"/>
  <c r="AQ52" i="3"/>
  <c r="AP52" i="3"/>
  <c r="AO52" i="3"/>
  <c r="AZ52" i="3" s="1"/>
  <c r="AN52" i="3"/>
  <c r="AY52" i="3" s="1"/>
  <c r="BB52" i="3" s="1"/>
  <c r="AL52" i="3"/>
  <c r="AI52" i="3"/>
  <c r="AK52" i="3" s="1"/>
  <c r="AH52" i="3"/>
  <c r="AG52" i="3"/>
  <c r="AF52" i="3"/>
  <c r="AB52" i="3"/>
  <c r="AA52" i="3"/>
  <c r="Z52" i="3"/>
  <c r="Y52" i="3"/>
  <c r="AD52" i="3" s="1"/>
  <c r="X52" i="3"/>
  <c r="U52" i="3"/>
  <c r="T52" i="3"/>
  <c r="S52" i="3"/>
  <c r="R52" i="3"/>
  <c r="V52" i="3" s="1"/>
  <c r="Q52" i="3"/>
  <c r="P52" i="3"/>
  <c r="N52" i="3"/>
  <c r="L52" i="3" s="1"/>
  <c r="M52" i="3"/>
  <c r="J52" i="3"/>
  <c r="K52" i="3" s="1"/>
  <c r="O52" i="3" s="1"/>
  <c r="H52" i="3"/>
  <c r="G52" i="3"/>
  <c r="F52" i="3"/>
  <c r="B52" i="3"/>
  <c r="D52" i="3" s="1"/>
  <c r="A52" i="3"/>
  <c r="BX51" i="3"/>
  <c r="BW51" i="3"/>
  <c r="BV51" i="3"/>
  <c r="BT51" i="3" s="1"/>
  <c r="BU51" i="3"/>
  <c r="BS51" i="3"/>
  <c r="BQ51" i="3"/>
  <c r="BO51" i="3"/>
  <c r="BN51" i="3"/>
  <c r="BL51" i="3"/>
  <c r="BK51" i="3"/>
  <c r="BJ51" i="3"/>
  <c r="BI51" i="3"/>
  <c r="BH51" i="3"/>
  <c r="BG51" i="3"/>
  <c r="BF51" i="3"/>
  <c r="BD51" i="3"/>
  <c r="AY51" i="3"/>
  <c r="AW51" i="3"/>
  <c r="AU51" i="3" s="1"/>
  <c r="AV51" i="3"/>
  <c r="AT51" i="3"/>
  <c r="AS51" i="3"/>
  <c r="AZ51" i="3" s="1"/>
  <c r="AR51" i="3"/>
  <c r="AP51" i="3"/>
  <c r="AO51" i="3"/>
  <c r="AM51" i="3" s="1"/>
  <c r="AN51" i="3"/>
  <c r="AL51" i="3"/>
  <c r="AF51" i="3"/>
  <c r="AC51" i="3"/>
  <c r="AB51" i="3"/>
  <c r="AD51" i="3" s="1"/>
  <c r="AA51" i="3"/>
  <c r="AH51" i="3" s="1"/>
  <c r="Y51" i="3"/>
  <c r="X51" i="3"/>
  <c r="U51" i="3"/>
  <c r="T51" i="3"/>
  <c r="S51" i="3" s="1"/>
  <c r="R51" i="3"/>
  <c r="Q51" i="3"/>
  <c r="N51" i="3"/>
  <c r="M51" i="3"/>
  <c r="L51" i="3"/>
  <c r="J51" i="3"/>
  <c r="K51" i="3" s="1"/>
  <c r="AE51" i="3" s="1"/>
  <c r="H51" i="3"/>
  <c r="F51" i="3"/>
  <c r="G51" i="3" s="1"/>
  <c r="D51" i="3"/>
  <c r="B51" i="3"/>
  <c r="E51" i="3" s="1"/>
  <c r="A51" i="3"/>
  <c r="BX50" i="3"/>
  <c r="BW50" i="3"/>
  <c r="BV50" i="3"/>
  <c r="BU50" i="3"/>
  <c r="BT50" i="3"/>
  <c r="BS50" i="3"/>
  <c r="BQ50" i="3"/>
  <c r="BO50" i="3"/>
  <c r="BN50" i="3"/>
  <c r="BM50" i="3"/>
  <c r="BL50" i="3"/>
  <c r="BK50" i="3"/>
  <c r="BJ50" i="3"/>
  <c r="BH50" i="3"/>
  <c r="BG50" i="3"/>
  <c r="BF50" i="3"/>
  <c r="BE50" i="3"/>
  <c r="BD50" i="3"/>
  <c r="AW50" i="3"/>
  <c r="AV50" i="3"/>
  <c r="AU50" i="3"/>
  <c r="AT50" i="3"/>
  <c r="AS50" i="3"/>
  <c r="AQ50" i="3" s="1"/>
  <c r="AR50" i="3"/>
  <c r="AP50" i="3"/>
  <c r="AO50" i="3"/>
  <c r="AN50" i="3"/>
  <c r="AY50" i="3" s="1"/>
  <c r="AL50" i="3"/>
  <c r="AF50" i="3"/>
  <c r="AE50" i="3"/>
  <c r="AB50" i="3"/>
  <c r="AA50" i="3"/>
  <c r="X50" i="3"/>
  <c r="Y50" i="3" s="1"/>
  <c r="AD50" i="3" s="1"/>
  <c r="U50" i="3"/>
  <c r="T50" i="3"/>
  <c r="Q50" i="3"/>
  <c r="R50" i="3" s="1"/>
  <c r="N50" i="3"/>
  <c r="L50" i="3" s="1"/>
  <c r="M50" i="3"/>
  <c r="J50" i="3"/>
  <c r="K50" i="3" s="1"/>
  <c r="G50" i="3"/>
  <c r="F50" i="3"/>
  <c r="H50" i="3" s="1"/>
  <c r="E50" i="3"/>
  <c r="D50" i="3"/>
  <c r="C50" i="3"/>
  <c r="B50" i="3"/>
  <c r="A50" i="3"/>
  <c r="BW49" i="3"/>
  <c r="BV49" i="3"/>
  <c r="BU49" i="3"/>
  <c r="BO49" i="3"/>
  <c r="BN49" i="3"/>
  <c r="BM49" i="3" s="1"/>
  <c r="BK49" i="3"/>
  <c r="BJ49" i="3"/>
  <c r="BI49" i="3"/>
  <c r="BG49" i="3"/>
  <c r="BR49" i="3" s="1"/>
  <c r="BF49" i="3"/>
  <c r="BE49" i="3"/>
  <c r="BD49" i="3"/>
  <c r="AZ49" i="3"/>
  <c r="AY49" i="3"/>
  <c r="AW49" i="3"/>
  <c r="AU49" i="3" s="1"/>
  <c r="AX49" i="3" s="1"/>
  <c r="AV49" i="3"/>
  <c r="AT49" i="3"/>
  <c r="AS49" i="3"/>
  <c r="AR49" i="3"/>
  <c r="AQ49" i="3"/>
  <c r="AP49" i="3"/>
  <c r="AO49" i="3"/>
  <c r="AM49" i="3" s="1"/>
  <c r="AN49" i="3"/>
  <c r="AL49" i="3"/>
  <c r="AI49" i="3"/>
  <c r="AF49" i="3"/>
  <c r="AB49" i="3"/>
  <c r="AA49" i="3"/>
  <c r="Z49" i="3" s="1"/>
  <c r="Y49" i="3"/>
  <c r="X49" i="3"/>
  <c r="BS49" i="3" s="1"/>
  <c r="U49" i="3"/>
  <c r="T49" i="3"/>
  <c r="AH49" i="3" s="1"/>
  <c r="S49" i="3"/>
  <c r="Q49" i="3"/>
  <c r="R49" i="3" s="1"/>
  <c r="AE49" i="3" s="1"/>
  <c r="P49" i="3"/>
  <c r="N49" i="3"/>
  <c r="O49" i="3" s="1"/>
  <c r="M49" i="3"/>
  <c r="L49" i="3"/>
  <c r="H49" i="3"/>
  <c r="G49" i="3"/>
  <c r="F49" i="3"/>
  <c r="B49" i="3"/>
  <c r="D49" i="3" s="1"/>
  <c r="A49" i="3"/>
  <c r="BX48" i="3"/>
  <c r="BW48" i="3"/>
  <c r="BV48" i="3"/>
  <c r="BT48" i="3" s="1"/>
  <c r="BU48" i="3"/>
  <c r="BS48" i="3"/>
  <c r="BO48" i="3"/>
  <c r="BM48" i="3" s="1"/>
  <c r="BN48" i="3"/>
  <c r="BL48" i="3"/>
  <c r="BK48" i="3"/>
  <c r="BJ48" i="3"/>
  <c r="BI48" i="3"/>
  <c r="BH48" i="3"/>
  <c r="BG48" i="3"/>
  <c r="BF48" i="3"/>
  <c r="BQ48" i="3" s="1"/>
  <c r="BD48" i="3"/>
  <c r="AZ48" i="3"/>
  <c r="AX48" i="3"/>
  <c r="AW48" i="3"/>
  <c r="AU48" i="3" s="1"/>
  <c r="AV48" i="3"/>
  <c r="AT48" i="3"/>
  <c r="AS48" i="3"/>
  <c r="AR48" i="3"/>
  <c r="AQ48" i="3" s="1"/>
  <c r="AP48" i="3"/>
  <c r="AO48" i="3"/>
  <c r="AM48" i="3" s="1"/>
  <c r="AN48" i="3"/>
  <c r="AL48" i="3"/>
  <c r="AI48" i="3"/>
  <c r="AF48" i="3"/>
  <c r="AC48" i="3"/>
  <c r="AB48" i="3"/>
  <c r="AD48" i="3" s="1"/>
  <c r="AA48" i="3"/>
  <c r="Z48" i="3" s="1"/>
  <c r="Y48" i="3"/>
  <c r="X48" i="3"/>
  <c r="U48" i="3"/>
  <c r="T48" i="3"/>
  <c r="AH48" i="3" s="1"/>
  <c r="S48" i="3"/>
  <c r="R48" i="3"/>
  <c r="Q48" i="3"/>
  <c r="N48" i="3"/>
  <c r="M48" i="3"/>
  <c r="L48" i="3"/>
  <c r="J48" i="3"/>
  <c r="K48" i="3" s="1"/>
  <c r="AE48" i="3" s="1"/>
  <c r="H48" i="3"/>
  <c r="F48" i="3"/>
  <c r="G48" i="3" s="1"/>
  <c r="D48" i="3"/>
  <c r="C48" i="3"/>
  <c r="B48" i="3"/>
  <c r="E48" i="3" s="1"/>
  <c r="A48" i="3"/>
  <c r="BX47" i="3"/>
  <c r="BW47" i="3"/>
  <c r="BV47" i="3"/>
  <c r="BU47" i="3"/>
  <c r="BT47" i="3"/>
  <c r="BS47" i="3"/>
  <c r="BQ47" i="3"/>
  <c r="BO47" i="3"/>
  <c r="BN47" i="3"/>
  <c r="BM47" i="3"/>
  <c r="BL47" i="3"/>
  <c r="BK47" i="3"/>
  <c r="BR47" i="3" s="1"/>
  <c r="BJ47" i="3"/>
  <c r="BH47" i="3"/>
  <c r="BG47" i="3"/>
  <c r="BF47" i="3"/>
  <c r="BE47" i="3"/>
  <c r="BD47" i="3"/>
  <c r="AW47" i="3"/>
  <c r="AV47" i="3"/>
  <c r="AU47" i="3"/>
  <c r="AT47" i="3"/>
  <c r="AS47" i="3"/>
  <c r="AQ47" i="3" s="1"/>
  <c r="AR47" i="3"/>
  <c r="AP47" i="3"/>
  <c r="AO47" i="3"/>
  <c r="AN47" i="3"/>
  <c r="AY47" i="3" s="1"/>
  <c r="AL47" i="3"/>
  <c r="AK47" i="3"/>
  <c r="AF47" i="3"/>
  <c r="AB47" i="3"/>
  <c r="AI47" i="3" s="1"/>
  <c r="AA47" i="3"/>
  <c r="X47" i="3"/>
  <c r="Y47" i="3" s="1"/>
  <c r="AE47" i="3" s="1"/>
  <c r="W47" i="3"/>
  <c r="U47" i="3"/>
  <c r="S47" i="3" s="1"/>
  <c r="T47" i="3"/>
  <c r="Q47" i="3"/>
  <c r="R47" i="3" s="1"/>
  <c r="P47" i="3"/>
  <c r="N47" i="3"/>
  <c r="M47" i="3"/>
  <c r="J47" i="3"/>
  <c r="K47" i="3" s="1"/>
  <c r="F47" i="3"/>
  <c r="H47" i="3" s="1"/>
  <c r="E47" i="3"/>
  <c r="D47" i="3"/>
  <c r="C47" i="3"/>
  <c r="B47" i="3"/>
  <c r="A47" i="3"/>
  <c r="BX46" i="3"/>
  <c r="BW46" i="3"/>
  <c r="BV46" i="3"/>
  <c r="BU46" i="3"/>
  <c r="BT46" i="3"/>
  <c r="BS46" i="3"/>
  <c r="BO46" i="3"/>
  <c r="BM46" i="3" s="1"/>
  <c r="BN46" i="3"/>
  <c r="BL46" i="3"/>
  <c r="BK46" i="3"/>
  <c r="BI46" i="3" s="1"/>
  <c r="BJ46" i="3"/>
  <c r="BH46" i="3"/>
  <c r="BG46" i="3"/>
  <c r="BF46" i="3"/>
  <c r="BE46" i="3"/>
  <c r="BP46" i="3" s="1"/>
  <c r="BD46" i="3"/>
  <c r="AW46" i="3"/>
  <c r="AV46" i="3"/>
  <c r="AY46" i="3" s="1"/>
  <c r="BB46" i="3" s="1"/>
  <c r="AT46" i="3"/>
  <c r="AS46" i="3"/>
  <c r="AR46" i="3"/>
  <c r="AQ46" i="3"/>
  <c r="AP46" i="3"/>
  <c r="AO46" i="3"/>
  <c r="AN46" i="3"/>
  <c r="AL46" i="3"/>
  <c r="AI46" i="3"/>
  <c r="AH46" i="3"/>
  <c r="AG46" i="3"/>
  <c r="AF46" i="3"/>
  <c r="AB46" i="3"/>
  <c r="AA46" i="3"/>
  <c r="Z46" i="3" s="1"/>
  <c r="Y46" i="3"/>
  <c r="X46" i="3"/>
  <c r="U46" i="3"/>
  <c r="T46" i="3"/>
  <c r="S46" i="3"/>
  <c r="Q46" i="3"/>
  <c r="R46" i="3" s="1"/>
  <c r="W46" i="3" s="1"/>
  <c r="N46" i="3"/>
  <c r="M46" i="3"/>
  <c r="L46" i="3"/>
  <c r="K46" i="3"/>
  <c r="J46" i="3"/>
  <c r="H46" i="3"/>
  <c r="G46" i="3"/>
  <c r="F46" i="3"/>
  <c r="B46" i="3"/>
  <c r="A46" i="3"/>
  <c r="BX45" i="3"/>
  <c r="BW45" i="3"/>
  <c r="BV45" i="3"/>
  <c r="BT45" i="3" s="1"/>
  <c r="BU45" i="3"/>
  <c r="BS45" i="3"/>
  <c r="BQ45" i="3"/>
  <c r="BO45" i="3"/>
  <c r="BM45" i="3" s="1"/>
  <c r="BN45" i="3"/>
  <c r="BL45" i="3"/>
  <c r="BK45" i="3"/>
  <c r="BJ45" i="3"/>
  <c r="BI45" i="3" s="1"/>
  <c r="BH45" i="3"/>
  <c r="BG45" i="3"/>
  <c r="BE45" i="3" s="1"/>
  <c r="BF45" i="3"/>
  <c r="BD45" i="3"/>
  <c r="AZ45" i="3"/>
  <c r="AW45" i="3"/>
  <c r="AV45" i="3"/>
  <c r="AU45" i="3"/>
  <c r="AX45" i="3" s="1"/>
  <c r="AT45" i="3"/>
  <c r="AS45" i="3"/>
  <c r="AR45" i="3"/>
  <c r="AY45" i="3" s="1"/>
  <c r="BB45" i="3" s="1"/>
  <c r="AQ45" i="3"/>
  <c r="AP45" i="3"/>
  <c r="AO45" i="3"/>
  <c r="AN45" i="3"/>
  <c r="AM45" i="3"/>
  <c r="AL45" i="3"/>
  <c r="AF45" i="3"/>
  <c r="AD45" i="3"/>
  <c r="AB45" i="3"/>
  <c r="AA45" i="3"/>
  <c r="AH45" i="3" s="1"/>
  <c r="X45" i="3"/>
  <c r="Y45" i="3" s="1"/>
  <c r="U45" i="3"/>
  <c r="W45" i="3" s="1"/>
  <c r="T45" i="3"/>
  <c r="S45" i="3"/>
  <c r="R45" i="3"/>
  <c r="Q45" i="3"/>
  <c r="N45" i="3"/>
  <c r="M45" i="3"/>
  <c r="K45" i="3"/>
  <c r="AE45" i="3" s="1"/>
  <c r="J45" i="3"/>
  <c r="F45" i="3"/>
  <c r="H45" i="3" s="1"/>
  <c r="E45" i="3"/>
  <c r="D45" i="3"/>
  <c r="C45" i="3"/>
  <c r="B45" i="3"/>
  <c r="A45" i="3"/>
  <c r="BX44" i="3"/>
  <c r="BW44" i="3"/>
  <c r="BV44" i="3"/>
  <c r="BU44" i="3"/>
  <c r="BT44" i="3"/>
  <c r="BS44" i="3"/>
  <c r="BO44" i="3"/>
  <c r="BN44" i="3"/>
  <c r="BM44" i="3"/>
  <c r="BL44" i="3"/>
  <c r="BK44" i="3"/>
  <c r="BJ44" i="3"/>
  <c r="BH44" i="3"/>
  <c r="BG44" i="3"/>
  <c r="BF44" i="3"/>
  <c r="BE44" i="3"/>
  <c r="BD44" i="3"/>
  <c r="AW44" i="3"/>
  <c r="AU44" i="3" s="1"/>
  <c r="AV44" i="3"/>
  <c r="AT44" i="3"/>
  <c r="AS44" i="3"/>
  <c r="AQ44" i="3" s="1"/>
  <c r="AR44" i="3"/>
  <c r="AP44" i="3"/>
  <c r="AO44" i="3"/>
  <c r="AN44" i="3"/>
  <c r="AM44" i="3"/>
  <c r="AL44" i="3"/>
  <c r="AH44" i="3"/>
  <c r="AF44" i="3"/>
  <c r="AB44" i="3"/>
  <c r="AA44" i="3"/>
  <c r="Z44" i="3"/>
  <c r="X44" i="3"/>
  <c r="Y44" i="3" s="1"/>
  <c r="V44" i="3"/>
  <c r="U44" i="3"/>
  <c r="AI44" i="3" s="1"/>
  <c r="T44" i="3"/>
  <c r="Q44" i="3"/>
  <c r="R44" i="3" s="1"/>
  <c r="W44" i="3" s="1"/>
  <c r="N44" i="3"/>
  <c r="L44" i="3" s="1"/>
  <c r="M44" i="3"/>
  <c r="J44" i="3"/>
  <c r="K44" i="3" s="1"/>
  <c r="F44" i="3"/>
  <c r="E44" i="3"/>
  <c r="D44" i="3"/>
  <c r="B44" i="3"/>
  <c r="C44" i="3" s="1"/>
  <c r="A44" i="3"/>
  <c r="BX43" i="3"/>
  <c r="BW43" i="3"/>
  <c r="BV43" i="3"/>
  <c r="BU43" i="3"/>
  <c r="BS43" i="3"/>
  <c r="BO43" i="3"/>
  <c r="BN43" i="3"/>
  <c r="BM43" i="3"/>
  <c r="BL43" i="3"/>
  <c r="BK43" i="3"/>
  <c r="BJ43" i="3"/>
  <c r="BI43" i="3"/>
  <c r="BH43" i="3"/>
  <c r="BG43" i="3"/>
  <c r="BR43" i="3" s="1"/>
  <c r="BF43" i="3"/>
  <c r="BQ43" i="3" s="1"/>
  <c r="BE43" i="3"/>
  <c r="BP43" i="3" s="1"/>
  <c r="BD43" i="3"/>
  <c r="AZ43" i="3"/>
  <c r="AY43" i="3"/>
  <c r="AW43" i="3"/>
  <c r="AU43" i="3" s="1"/>
  <c r="AX43" i="3" s="1"/>
  <c r="AV43" i="3"/>
  <c r="AT43" i="3"/>
  <c r="AS43" i="3"/>
  <c r="AR43" i="3"/>
  <c r="AQ43" i="3"/>
  <c r="AP43" i="3"/>
  <c r="AO43" i="3"/>
  <c r="AM43" i="3" s="1"/>
  <c r="AN43" i="3"/>
  <c r="AL43" i="3"/>
  <c r="AI43" i="3"/>
  <c r="AF43" i="3"/>
  <c r="AB43" i="3"/>
  <c r="AA43" i="3"/>
  <c r="Z43" i="3"/>
  <c r="Y43" i="3"/>
  <c r="X43" i="3"/>
  <c r="U43" i="3"/>
  <c r="T43" i="3"/>
  <c r="AH43" i="3" s="1"/>
  <c r="S43" i="3"/>
  <c r="Q43" i="3"/>
  <c r="R43" i="3" s="1"/>
  <c r="N43" i="3"/>
  <c r="M43" i="3"/>
  <c r="L43" i="3"/>
  <c r="J43" i="3"/>
  <c r="K43" i="3" s="1"/>
  <c r="H43" i="3"/>
  <c r="G43" i="3"/>
  <c r="F43" i="3"/>
  <c r="C43" i="3"/>
  <c r="B43" i="3"/>
  <c r="A43" i="3"/>
  <c r="BX42" i="3"/>
  <c r="BW42" i="3"/>
  <c r="BV42" i="3"/>
  <c r="BU42" i="3"/>
  <c r="BT42" i="3"/>
  <c r="BS42" i="3"/>
  <c r="BQ42" i="3"/>
  <c r="BO42" i="3"/>
  <c r="BM42" i="3" s="1"/>
  <c r="BN42" i="3"/>
  <c r="BL42" i="3"/>
  <c r="BK42" i="3"/>
  <c r="BR42" i="3" s="1"/>
  <c r="BJ42" i="3"/>
  <c r="BH42" i="3"/>
  <c r="BG42" i="3"/>
  <c r="BE42" i="3" s="1"/>
  <c r="BF42" i="3"/>
  <c r="BD42" i="3"/>
  <c r="AW42" i="3"/>
  <c r="AV42" i="3"/>
  <c r="AU42" i="3"/>
  <c r="AT42" i="3"/>
  <c r="AS42" i="3"/>
  <c r="AZ42" i="3" s="1"/>
  <c r="AR42" i="3"/>
  <c r="AY42" i="3" s="1"/>
  <c r="AP42" i="3"/>
  <c r="AO42" i="3"/>
  <c r="AN42" i="3"/>
  <c r="AM42" i="3"/>
  <c r="AL42" i="3"/>
  <c r="AF42" i="3"/>
  <c r="AC42" i="3"/>
  <c r="AB42" i="3"/>
  <c r="AA42" i="3"/>
  <c r="X42" i="3"/>
  <c r="Y42" i="3" s="1"/>
  <c r="U42" i="3"/>
  <c r="S42" i="3" s="1"/>
  <c r="T42" i="3"/>
  <c r="Q42" i="3"/>
  <c r="R42" i="3" s="1"/>
  <c r="AE42" i="3" s="1"/>
  <c r="N42" i="3"/>
  <c r="P42" i="3" s="1"/>
  <c r="M42" i="3"/>
  <c r="K42" i="3"/>
  <c r="J42" i="3"/>
  <c r="F42" i="3"/>
  <c r="E42" i="3"/>
  <c r="D42" i="3"/>
  <c r="C42" i="3"/>
  <c r="B42" i="3"/>
  <c r="A42" i="3"/>
  <c r="BX41" i="3"/>
  <c r="BW41" i="3"/>
  <c r="BV41" i="3"/>
  <c r="BU41" i="3"/>
  <c r="BT41" i="3" s="1"/>
  <c r="BS41" i="3"/>
  <c r="BO41" i="3"/>
  <c r="BN41" i="3"/>
  <c r="BM41" i="3"/>
  <c r="BL41" i="3"/>
  <c r="BK41" i="3"/>
  <c r="BI41" i="3" s="1"/>
  <c r="BJ41" i="3"/>
  <c r="BH41" i="3"/>
  <c r="BG41" i="3"/>
  <c r="BR41" i="3" s="1"/>
  <c r="BF41" i="3"/>
  <c r="BD41" i="3"/>
  <c r="AW41" i="3"/>
  <c r="AU41" i="3" s="1"/>
  <c r="AV41" i="3"/>
  <c r="AT41" i="3"/>
  <c r="AS41" i="3"/>
  <c r="AR41" i="3"/>
  <c r="AQ41" i="3"/>
  <c r="AP41" i="3"/>
  <c r="AO41" i="3"/>
  <c r="AN41" i="3"/>
  <c r="AY41" i="3" s="1"/>
  <c r="AL41" i="3"/>
  <c r="AF41" i="3"/>
  <c r="AE41" i="3"/>
  <c r="AD41" i="3"/>
  <c r="AB41" i="3"/>
  <c r="AC41" i="3" s="1"/>
  <c r="AA41" i="3"/>
  <c r="Z41" i="3"/>
  <c r="X41" i="3"/>
  <c r="W41" i="3"/>
  <c r="V41" i="3"/>
  <c r="U41" i="3"/>
  <c r="S41" i="3" s="1"/>
  <c r="T41" i="3"/>
  <c r="Q41" i="3"/>
  <c r="P41" i="3"/>
  <c r="O41" i="3"/>
  <c r="N41" i="3"/>
  <c r="M41" i="3"/>
  <c r="AH41" i="3" s="1"/>
  <c r="J41" i="3"/>
  <c r="F41" i="3"/>
  <c r="E41" i="3"/>
  <c r="D41" i="3"/>
  <c r="C41" i="3"/>
  <c r="B41" i="3"/>
  <c r="A41" i="3"/>
  <c r="BX40" i="3"/>
  <c r="BW40" i="3"/>
  <c r="BV40" i="3"/>
  <c r="BU40" i="3"/>
  <c r="BT40" i="3" s="1"/>
  <c r="BS40" i="3"/>
  <c r="BO40" i="3"/>
  <c r="BN40" i="3"/>
  <c r="BM40" i="3"/>
  <c r="BL40" i="3"/>
  <c r="BK40" i="3"/>
  <c r="BI40" i="3" s="1"/>
  <c r="BJ40" i="3"/>
  <c r="BH40" i="3"/>
  <c r="BG40" i="3"/>
  <c r="BR40" i="3" s="1"/>
  <c r="BF40" i="3"/>
  <c r="BD40" i="3"/>
  <c r="AW40" i="3"/>
  <c r="AU40" i="3" s="1"/>
  <c r="AV40" i="3"/>
  <c r="AT40" i="3"/>
  <c r="AS40" i="3"/>
  <c r="AR40" i="3"/>
  <c r="AQ40" i="3"/>
  <c r="AP40" i="3"/>
  <c r="AO40" i="3"/>
  <c r="AN40" i="3"/>
  <c r="AY40" i="3" s="1"/>
  <c r="AL40" i="3"/>
  <c r="AF40" i="3"/>
  <c r="AE40" i="3"/>
  <c r="AD40" i="3"/>
  <c r="AB40" i="3"/>
  <c r="AC40" i="3" s="1"/>
  <c r="AA40" i="3"/>
  <c r="Z40" i="3"/>
  <c r="X40" i="3"/>
  <c r="W40" i="3"/>
  <c r="V40" i="3"/>
  <c r="U40" i="3"/>
  <c r="S40" i="3" s="1"/>
  <c r="T40" i="3"/>
  <c r="Q40" i="3"/>
  <c r="P40" i="3"/>
  <c r="O40" i="3"/>
  <c r="N40" i="3"/>
  <c r="M40" i="3"/>
  <c r="AH40" i="3" s="1"/>
  <c r="J40" i="3"/>
  <c r="F40" i="3"/>
  <c r="E40" i="3"/>
  <c r="D40" i="3"/>
  <c r="C40" i="3"/>
  <c r="B40" i="3"/>
  <c r="A40" i="3"/>
  <c r="BX39" i="3"/>
  <c r="BW39" i="3"/>
  <c r="BV39" i="3"/>
  <c r="BU39" i="3"/>
  <c r="BT39" i="3" s="1"/>
  <c r="BS39" i="3"/>
  <c r="BO39" i="3"/>
  <c r="BN39" i="3"/>
  <c r="BM39" i="3"/>
  <c r="BL39" i="3"/>
  <c r="BK39" i="3"/>
  <c r="BJ39" i="3"/>
  <c r="BH39" i="3"/>
  <c r="BG39" i="3"/>
  <c r="BF39" i="3"/>
  <c r="BD39" i="3"/>
  <c r="AW39" i="3"/>
  <c r="AU39" i="3" s="1"/>
  <c r="AV39" i="3"/>
  <c r="AT39" i="3"/>
  <c r="AS39" i="3"/>
  <c r="AR39" i="3"/>
  <c r="AQ39" i="3"/>
  <c r="AP39" i="3"/>
  <c r="AO39" i="3"/>
  <c r="AN39" i="3"/>
  <c r="AY39" i="3" s="1"/>
  <c r="BB39" i="3" s="1"/>
  <c r="AL39" i="3"/>
  <c r="AH39" i="3"/>
  <c r="AF39" i="3"/>
  <c r="AD39" i="3"/>
  <c r="AB39" i="3"/>
  <c r="AC39" i="3" s="1"/>
  <c r="AA39" i="3"/>
  <c r="Z39" i="3"/>
  <c r="X39" i="3"/>
  <c r="U39" i="3"/>
  <c r="S39" i="3" s="1"/>
  <c r="T39" i="3"/>
  <c r="Q39" i="3"/>
  <c r="R39" i="3" s="1"/>
  <c r="W39" i="3" s="1"/>
  <c r="P39" i="3"/>
  <c r="O39" i="3"/>
  <c r="N39" i="3"/>
  <c r="L39" i="3" s="1"/>
  <c r="M39" i="3"/>
  <c r="J39" i="3"/>
  <c r="K39" i="3" s="1"/>
  <c r="AE39" i="3" s="1"/>
  <c r="G39" i="3"/>
  <c r="F39" i="3"/>
  <c r="H39" i="3" s="1"/>
  <c r="E39" i="3"/>
  <c r="D39" i="3"/>
  <c r="B39" i="3"/>
  <c r="C39" i="3" s="1"/>
  <c r="A39" i="3"/>
  <c r="BX38" i="3"/>
  <c r="BW38" i="3"/>
  <c r="BV38" i="3"/>
  <c r="BT38" i="3" s="1"/>
  <c r="BU38" i="3"/>
  <c r="BS38" i="3"/>
  <c r="BP38" i="3"/>
  <c r="BO38" i="3"/>
  <c r="BN38" i="3"/>
  <c r="BM38" i="3"/>
  <c r="BL38" i="3"/>
  <c r="BK38" i="3"/>
  <c r="BJ38" i="3"/>
  <c r="BI38" i="3"/>
  <c r="BH38" i="3"/>
  <c r="BG38" i="3"/>
  <c r="BR38" i="3" s="1"/>
  <c r="BF38" i="3"/>
  <c r="BQ38" i="3" s="1"/>
  <c r="BE38" i="3"/>
  <c r="BD38" i="3"/>
  <c r="AZ38" i="3"/>
  <c r="AY38" i="3"/>
  <c r="AW38" i="3"/>
  <c r="AU38" i="3" s="1"/>
  <c r="AV38" i="3"/>
  <c r="AT38" i="3"/>
  <c r="AS38" i="3"/>
  <c r="AR38" i="3"/>
  <c r="AQ38" i="3"/>
  <c r="AP38" i="3"/>
  <c r="AO38" i="3"/>
  <c r="AM38" i="3" s="1"/>
  <c r="AN38" i="3"/>
  <c r="AL38" i="3"/>
  <c r="AF38" i="3"/>
  <c r="AE38" i="3"/>
  <c r="AB38" i="3"/>
  <c r="AA38" i="3"/>
  <c r="AH38" i="3" s="1"/>
  <c r="W38" i="3"/>
  <c r="V38" i="3"/>
  <c r="U38" i="3"/>
  <c r="T38" i="3"/>
  <c r="S38" i="3"/>
  <c r="P38" i="3"/>
  <c r="N38" i="3"/>
  <c r="M38" i="3"/>
  <c r="J38" i="3"/>
  <c r="F38" i="3"/>
  <c r="E38" i="3"/>
  <c r="D38" i="3"/>
  <c r="C38" i="3"/>
  <c r="B38" i="3"/>
  <c r="A38" i="3"/>
  <c r="BX37" i="3"/>
  <c r="BW37" i="3"/>
  <c r="BV37" i="3"/>
  <c r="BU37" i="3"/>
  <c r="BT37" i="3" s="1"/>
  <c r="BS37" i="3"/>
  <c r="BO37" i="3"/>
  <c r="BN37" i="3"/>
  <c r="BM37" i="3"/>
  <c r="BL37" i="3"/>
  <c r="BK37" i="3"/>
  <c r="BJ37" i="3"/>
  <c r="BH37" i="3"/>
  <c r="BG37" i="3"/>
  <c r="BF37" i="3"/>
  <c r="BE37" i="3"/>
  <c r="BD37" i="3"/>
  <c r="AW37" i="3"/>
  <c r="AV37" i="3"/>
  <c r="AU37" i="3" s="1"/>
  <c r="AT37" i="3"/>
  <c r="AS37" i="3"/>
  <c r="AR37" i="3"/>
  <c r="AQ37" i="3"/>
  <c r="AP37" i="3"/>
  <c r="AO37" i="3"/>
  <c r="AZ37" i="3" s="1"/>
  <c r="AN37" i="3"/>
  <c r="AY37" i="3" s="1"/>
  <c r="AL37" i="3"/>
  <c r="AF37" i="3"/>
  <c r="AB37" i="3"/>
  <c r="AA37" i="3"/>
  <c r="Z37" i="3"/>
  <c r="X37" i="3"/>
  <c r="Y37" i="3" s="1"/>
  <c r="AD37" i="3" s="1"/>
  <c r="W37" i="3"/>
  <c r="V37" i="3"/>
  <c r="U37" i="3"/>
  <c r="T37" i="3"/>
  <c r="S37" i="3"/>
  <c r="P37" i="3"/>
  <c r="N37" i="3"/>
  <c r="M37" i="3"/>
  <c r="AH37" i="3" s="1"/>
  <c r="J37" i="3"/>
  <c r="F37" i="3"/>
  <c r="E37" i="3"/>
  <c r="D37" i="3"/>
  <c r="C37" i="3"/>
  <c r="B37" i="3"/>
  <c r="A37" i="3"/>
  <c r="BX36" i="3"/>
  <c r="BW36" i="3"/>
  <c r="BV36" i="3"/>
  <c r="BT36" i="3" s="1"/>
  <c r="BU36" i="3"/>
  <c r="BS36" i="3"/>
  <c r="BO36" i="3"/>
  <c r="BN36" i="3"/>
  <c r="BM36" i="3" s="1"/>
  <c r="BL36" i="3"/>
  <c r="BK36" i="3"/>
  <c r="BJ36" i="3"/>
  <c r="BH36" i="3"/>
  <c r="BG36" i="3"/>
  <c r="BF36" i="3"/>
  <c r="BE36" i="3"/>
  <c r="BD36" i="3"/>
  <c r="AW36" i="3"/>
  <c r="AV36" i="3"/>
  <c r="AU36" i="3" s="1"/>
  <c r="AT36" i="3"/>
  <c r="AS36" i="3"/>
  <c r="AR36" i="3"/>
  <c r="AQ36" i="3"/>
  <c r="AP36" i="3"/>
  <c r="AO36" i="3"/>
  <c r="AZ36" i="3" s="1"/>
  <c r="AN36" i="3"/>
  <c r="AY36" i="3" s="1"/>
  <c r="BB36" i="3" s="1"/>
  <c r="AL36" i="3"/>
  <c r="AF36" i="3"/>
  <c r="AE36" i="3"/>
  <c r="AD36" i="3"/>
  <c r="AB36" i="3"/>
  <c r="AC36" i="3" s="1"/>
  <c r="AA36" i="3"/>
  <c r="Z36" i="3"/>
  <c r="X36" i="3"/>
  <c r="W36" i="3"/>
  <c r="V36" i="3"/>
  <c r="U36" i="3"/>
  <c r="S36" i="3" s="1"/>
  <c r="T36" i="3"/>
  <c r="Q36" i="3"/>
  <c r="P36" i="3"/>
  <c r="N36" i="3"/>
  <c r="L36" i="3" s="1"/>
  <c r="M36" i="3"/>
  <c r="AH36" i="3" s="1"/>
  <c r="J36" i="3"/>
  <c r="F36" i="3"/>
  <c r="E36" i="3"/>
  <c r="D36" i="3"/>
  <c r="C36" i="3"/>
  <c r="B36" i="3"/>
  <c r="A36" i="3"/>
  <c r="BX35" i="3"/>
  <c r="BW35" i="3"/>
  <c r="BV35" i="3"/>
  <c r="BT35" i="3" s="1"/>
  <c r="BU35" i="3"/>
  <c r="BS35" i="3"/>
  <c r="BO35" i="3"/>
  <c r="BN35" i="3"/>
  <c r="BM35" i="3" s="1"/>
  <c r="BL35" i="3"/>
  <c r="BK35" i="3"/>
  <c r="BJ35" i="3"/>
  <c r="BH35" i="3"/>
  <c r="BG35" i="3"/>
  <c r="BF35" i="3"/>
  <c r="BE35" i="3"/>
  <c r="BP35" i="3" s="1"/>
  <c r="BD35" i="3"/>
  <c r="AW35" i="3"/>
  <c r="AU35" i="3" s="1"/>
  <c r="AV35" i="3"/>
  <c r="AT35" i="3"/>
  <c r="AS35" i="3"/>
  <c r="AR35" i="3"/>
  <c r="AQ35" i="3"/>
  <c r="AP35" i="3"/>
  <c r="AO35" i="3"/>
  <c r="AZ35" i="3" s="1"/>
  <c r="AN35" i="3"/>
  <c r="AY35" i="3" s="1"/>
  <c r="BB35" i="3" s="1"/>
  <c r="AL35" i="3"/>
  <c r="AH35" i="3"/>
  <c r="AF35" i="3"/>
  <c r="AE35" i="3"/>
  <c r="AB35" i="3"/>
  <c r="AC35" i="3" s="1"/>
  <c r="AA35" i="3"/>
  <c r="Z35" i="3"/>
  <c r="X35" i="3"/>
  <c r="Y35" i="3" s="1"/>
  <c r="AD35" i="3" s="1"/>
  <c r="W35" i="3"/>
  <c r="V35" i="3"/>
  <c r="U35" i="3"/>
  <c r="T35" i="3"/>
  <c r="S35" i="3"/>
  <c r="Q35" i="3"/>
  <c r="N35" i="3"/>
  <c r="M35" i="3"/>
  <c r="J35" i="3"/>
  <c r="K35" i="3" s="1"/>
  <c r="O35" i="3" s="1"/>
  <c r="H35" i="3"/>
  <c r="F35" i="3"/>
  <c r="G35" i="3" s="1"/>
  <c r="E35" i="3"/>
  <c r="D35" i="3"/>
  <c r="B35" i="3"/>
  <c r="C35" i="3" s="1"/>
  <c r="A35" i="3"/>
  <c r="BX34" i="3"/>
  <c r="BW34" i="3"/>
  <c r="BV34" i="3"/>
  <c r="BU34" i="3"/>
  <c r="BS34" i="3"/>
  <c r="BO34" i="3"/>
  <c r="BN34" i="3"/>
  <c r="BM34" i="3"/>
  <c r="BL34" i="3"/>
  <c r="BK34" i="3"/>
  <c r="BJ34" i="3"/>
  <c r="BI34" i="3"/>
  <c r="BH34" i="3"/>
  <c r="BG34" i="3"/>
  <c r="BR34" i="3" s="1"/>
  <c r="BF34" i="3"/>
  <c r="BQ34" i="3" s="1"/>
  <c r="BE34" i="3"/>
  <c r="BP34" i="3" s="1"/>
  <c r="BD34" i="3"/>
  <c r="AZ34" i="3"/>
  <c r="AY34" i="3"/>
  <c r="AW34" i="3"/>
  <c r="AU34" i="3" s="1"/>
  <c r="AX34" i="3" s="1"/>
  <c r="AV34" i="3"/>
  <c r="AT34" i="3"/>
  <c r="AS34" i="3"/>
  <c r="AR34" i="3"/>
  <c r="AQ34" i="3"/>
  <c r="AP34" i="3"/>
  <c r="AO34" i="3"/>
  <c r="AM34" i="3" s="1"/>
  <c r="AN34" i="3"/>
  <c r="AL34" i="3"/>
  <c r="AI34" i="3"/>
  <c r="AF34" i="3"/>
  <c r="AB34" i="3"/>
  <c r="AA34" i="3"/>
  <c r="Z34" i="3" s="1"/>
  <c r="Y34" i="3"/>
  <c r="X34" i="3"/>
  <c r="U34" i="3"/>
  <c r="W34" i="3" s="1"/>
  <c r="T34" i="3"/>
  <c r="AH34" i="3" s="1"/>
  <c r="Q34" i="3"/>
  <c r="R34" i="3" s="1"/>
  <c r="N34" i="3"/>
  <c r="M34" i="3"/>
  <c r="L34" i="3"/>
  <c r="K34" i="3"/>
  <c r="J34" i="3"/>
  <c r="H34" i="3"/>
  <c r="G34" i="3"/>
  <c r="F34" i="3"/>
  <c r="C34" i="3"/>
  <c r="B34" i="3"/>
  <c r="A34" i="3"/>
  <c r="BX33" i="3"/>
  <c r="BW33" i="3"/>
  <c r="BV33" i="3"/>
  <c r="BU33" i="3"/>
  <c r="BT33" i="3"/>
  <c r="BS33" i="3"/>
  <c r="BQ33" i="3"/>
  <c r="BO33" i="3"/>
  <c r="BM33" i="3" s="1"/>
  <c r="BN33" i="3"/>
  <c r="BL33" i="3"/>
  <c r="BK33" i="3"/>
  <c r="BR33" i="3" s="1"/>
  <c r="BJ33" i="3"/>
  <c r="BH33" i="3"/>
  <c r="BG33" i="3"/>
  <c r="BE33" i="3" s="1"/>
  <c r="BF33" i="3"/>
  <c r="BD33" i="3"/>
  <c r="AW33" i="3"/>
  <c r="AV33" i="3"/>
  <c r="AU33" i="3"/>
  <c r="AT33" i="3"/>
  <c r="AS33" i="3"/>
  <c r="AZ33" i="3" s="1"/>
  <c r="AR33" i="3"/>
  <c r="AY33" i="3" s="1"/>
  <c r="AP33" i="3"/>
  <c r="AO33" i="3"/>
  <c r="AN33" i="3"/>
  <c r="AM33" i="3"/>
  <c r="AL33" i="3"/>
  <c r="AF33" i="3"/>
  <c r="AB33" i="3"/>
  <c r="AA33" i="3"/>
  <c r="X33" i="3"/>
  <c r="U33" i="3"/>
  <c r="W33" i="3" s="1"/>
  <c r="T33" i="3"/>
  <c r="R33" i="3"/>
  <c r="Q33" i="3"/>
  <c r="N33" i="3"/>
  <c r="M33" i="3"/>
  <c r="K33" i="3"/>
  <c r="AE33" i="3" s="1"/>
  <c r="J33" i="3"/>
  <c r="F33" i="3"/>
  <c r="H33" i="3" s="1"/>
  <c r="C33" i="3"/>
  <c r="B33" i="3"/>
  <c r="E33" i="3" s="1"/>
  <c r="A33" i="3"/>
  <c r="BX32" i="3"/>
  <c r="BW32" i="3"/>
  <c r="BV32" i="3"/>
  <c r="BU32" i="3"/>
  <c r="BT32" i="3"/>
  <c r="BS32" i="3"/>
  <c r="BR32" i="3"/>
  <c r="BO32" i="3"/>
  <c r="BN32" i="3"/>
  <c r="BM32" i="3"/>
  <c r="BL32" i="3"/>
  <c r="BK32" i="3"/>
  <c r="BJ32" i="3"/>
  <c r="BQ32" i="3" s="1"/>
  <c r="BH32" i="3"/>
  <c r="BG32" i="3"/>
  <c r="BF32" i="3"/>
  <c r="BE32" i="3"/>
  <c r="BP32" i="3" s="1"/>
  <c r="BD32" i="3"/>
  <c r="BB32" i="3"/>
  <c r="AW32" i="3"/>
  <c r="AV32" i="3"/>
  <c r="AU32" i="3"/>
  <c r="AT32" i="3"/>
  <c r="AS32" i="3"/>
  <c r="AQ32" i="3" s="1"/>
  <c r="AR32" i="3"/>
  <c r="AP32" i="3"/>
  <c r="AO32" i="3"/>
  <c r="AZ32" i="3" s="1"/>
  <c r="AN32" i="3"/>
  <c r="AY32" i="3" s="1"/>
  <c r="AL32" i="3"/>
  <c r="AF32" i="3"/>
  <c r="AE32" i="3"/>
  <c r="AD32" i="3"/>
  <c r="AC32" i="3"/>
  <c r="AB32" i="3"/>
  <c r="AA32" i="3"/>
  <c r="Z32" i="3"/>
  <c r="X32" i="3"/>
  <c r="W32" i="3"/>
  <c r="V32" i="3"/>
  <c r="U32" i="3"/>
  <c r="T32" i="3"/>
  <c r="AH32" i="3" s="1"/>
  <c r="Q32" i="3"/>
  <c r="O32" i="3"/>
  <c r="N32" i="3"/>
  <c r="M32" i="3"/>
  <c r="J32" i="3"/>
  <c r="F32" i="3"/>
  <c r="H32" i="3" s="1"/>
  <c r="E32" i="3"/>
  <c r="D32" i="3"/>
  <c r="C32" i="3"/>
  <c r="B32" i="3"/>
  <c r="A32" i="3"/>
  <c r="BX31" i="3"/>
  <c r="BW31" i="3"/>
  <c r="BV31" i="3"/>
  <c r="BU31" i="3"/>
  <c r="BT31" i="3" s="1"/>
  <c r="BS31" i="3"/>
  <c r="BO31" i="3"/>
  <c r="BN31" i="3"/>
  <c r="BM31" i="3"/>
  <c r="BL31" i="3"/>
  <c r="BK31" i="3"/>
  <c r="BI31" i="3" s="1"/>
  <c r="BJ31" i="3"/>
  <c r="BQ31" i="3" s="1"/>
  <c r="BH31" i="3"/>
  <c r="BG31" i="3"/>
  <c r="BF31" i="3"/>
  <c r="BE31" i="3"/>
  <c r="BD31" i="3"/>
  <c r="BB31" i="3"/>
  <c r="AW31" i="3"/>
  <c r="AU31" i="3" s="1"/>
  <c r="AV31" i="3"/>
  <c r="AT31" i="3"/>
  <c r="AS31" i="3"/>
  <c r="AQ31" i="3" s="1"/>
  <c r="AR31" i="3"/>
  <c r="AP31" i="3"/>
  <c r="AO31" i="3"/>
  <c r="AZ31" i="3" s="1"/>
  <c r="AN31" i="3"/>
  <c r="AY31" i="3" s="1"/>
  <c r="AL31" i="3"/>
  <c r="AF31" i="3"/>
  <c r="AB31" i="3"/>
  <c r="AA31" i="3"/>
  <c r="Z31" i="3"/>
  <c r="Y31" i="3"/>
  <c r="X31" i="3"/>
  <c r="U31" i="3"/>
  <c r="T31" i="3"/>
  <c r="Q31" i="3"/>
  <c r="R31" i="3" s="1"/>
  <c r="P31" i="3"/>
  <c r="O31" i="3"/>
  <c r="N31" i="3"/>
  <c r="L31" i="3" s="1"/>
  <c r="M31" i="3"/>
  <c r="AH31" i="3" s="1"/>
  <c r="J31" i="3"/>
  <c r="K31" i="3" s="1"/>
  <c r="F31" i="3"/>
  <c r="H31" i="3" s="1"/>
  <c r="E31" i="3"/>
  <c r="D31" i="3"/>
  <c r="B31" i="3"/>
  <c r="C31" i="3" s="1"/>
  <c r="A31" i="3"/>
  <c r="BX30" i="3"/>
  <c r="BW30" i="3"/>
  <c r="BV30" i="3"/>
  <c r="BU30" i="3"/>
  <c r="BS30" i="3"/>
  <c r="BO30" i="3"/>
  <c r="BN30" i="3"/>
  <c r="BM30" i="3" s="1"/>
  <c r="BL30" i="3"/>
  <c r="BK30" i="3"/>
  <c r="BJ30" i="3"/>
  <c r="BI30" i="3"/>
  <c r="BH30" i="3"/>
  <c r="BG30" i="3"/>
  <c r="BR30" i="3" s="1"/>
  <c r="BF30" i="3"/>
  <c r="BQ30" i="3" s="1"/>
  <c r="BD30" i="3"/>
  <c r="AZ30" i="3"/>
  <c r="AY30" i="3"/>
  <c r="AW30" i="3"/>
  <c r="AU30" i="3" s="1"/>
  <c r="AX30" i="3" s="1"/>
  <c r="AV30" i="3"/>
  <c r="AT30" i="3"/>
  <c r="AS30" i="3"/>
  <c r="AR30" i="3"/>
  <c r="AQ30" i="3"/>
  <c r="AP30" i="3"/>
  <c r="AO30" i="3"/>
  <c r="AM30" i="3" s="1"/>
  <c r="AN30" i="3"/>
  <c r="AL30" i="3"/>
  <c r="AF30" i="3"/>
  <c r="AE30" i="3"/>
  <c r="AB30" i="3"/>
  <c r="AA30" i="3"/>
  <c r="AH30" i="3" s="1"/>
  <c r="X30" i="3"/>
  <c r="W30" i="3"/>
  <c r="U30" i="3"/>
  <c r="V30" i="3" s="1"/>
  <c r="T30" i="3"/>
  <c r="S30" i="3"/>
  <c r="Q30" i="3"/>
  <c r="P30" i="3"/>
  <c r="O30" i="3"/>
  <c r="N30" i="3"/>
  <c r="L30" i="3" s="1"/>
  <c r="M30" i="3"/>
  <c r="J30" i="3"/>
  <c r="G30" i="3"/>
  <c r="F30" i="3"/>
  <c r="H30" i="3" s="1"/>
  <c r="E30" i="3"/>
  <c r="D30" i="3"/>
  <c r="B30" i="3"/>
  <c r="C30" i="3" s="1"/>
  <c r="A30" i="3"/>
  <c r="BX29" i="3"/>
  <c r="BW29" i="3"/>
  <c r="BV29" i="3"/>
  <c r="BT29" i="3" s="1"/>
  <c r="BU29" i="3"/>
  <c r="BS29" i="3"/>
  <c r="BO29" i="3"/>
  <c r="BN29" i="3"/>
  <c r="BM29" i="3"/>
  <c r="BL29" i="3"/>
  <c r="BK29" i="3"/>
  <c r="BJ29" i="3"/>
  <c r="BI29" i="3"/>
  <c r="BH29" i="3"/>
  <c r="BG29" i="3"/>
  <c r="BR29" i="3" s="1"/>
  <c r="BF29" i="3"/>
  <c r="BQ29" i="3" s="1"/>
  <c r="BE29" i="3"/>
  <c r="BP29" i="3" s="1"/>
  <c r="BD29" i="3"/>
  <c r="AZ29" i="3"/>
  <c r="AY29" i="3"/>
  <c r="BB29" i="3" s="1"/>
  <c r="AW29" i="3"/>
  <c r="AU29" i="3" s="1"/>
  <c r="AV29" i="3"/>
  <c r="AT29" i="3"/>
  <c r="AS29" i="3"/>
  <c r="AR29" i="3"/>
  <c r="AQ29" i="3" s="1"/>
  <c r="AP29" i="3"/>
  <c r="AO29" i="3"/>
  <c r="AM29" i="3" s="1"/>
  <c r="AN29" i="3"/>
  <c r="AL29" i="3"/>
  <c r="AI29" i="3"/>
  <c r="AH29" i="3"/>
  <c r="AF29" i="3"/>
  <c r="AB29" i="3"/>
  <c r="AA29" i="3"/>
  <c r="Z29" i="3" s="1"/>
  <c r="X29" i="3"/>
  <c r="U29" i="3"/>
  <c r="V29" i="3" s="1"/>
  <c r="T29" i="3"/>
  <c r="S29" i="3"/>
  <c r="R29" i="3"/>
  <c r="W29" i="3" s="1"/>
  <c r="Q29" i="3"/>
  <c r="N29" i="3"/>
  <c r="M29" i="3"/>
  <c r="L29" i="3"/>
  <c r="K29" i="3"/>
  <c r="J29" i="3"/>
  <c r="H29" i="3"/>
  <c r="G29" i="3"/>
  <c r="F29" i="3"/>
  <c r="B29" i="3"/>
  <c r="A29" i="3"/>
  <c r="BX28" i="3"/>
  <c r="BW28" i="3"/>
  <c r="BV28" i="3"/>
  <c r="BT28" i="3" s="1"/>
  <c r="BU28" i="3"/>
  <c r="BS28" i="3"/>
  <c r="BQ28" i="3"/>
  <c r="BO28" i="3"/>
  <c r="BN28" i="3"/>
  <c r="BL28" i="3"/>
  <c r="BK28" i="3"/>
  <c r="BJ28" i="3"/>
  <c r="BI28" i="3"/>
  <c r="BH28" i="3"/>
  <c r="BG28" i="3"/>
  <c r="BE28" i="3" s="1"/>
  <c r="BF28" i="3"/>
  <c r="BD28" i="3"/>
  <c r="AW28" i="3"/>
  <c r="AV28" i="3"/>
  <c r="AU28" i="3"/>
  <c r="AT28" i="3"/>
  <c r="AS28" i="3"/>
  <c r="AR28" i="3"/>
  <c r="AY28" i="3" s="1"/>
  <c r="BB28" i="3" s="1"/>
  <c r="AP28" i="3"/>
  <c r="AO28" i="3"/>
  <c r="AN28" i="3"/>
  <c r="AM28" i="3"/>
  <c r="AL28" i="3"/>
  <c r="AF28" i="3"/>
  <c r="AE28" i="3"/>
  <c r="AC28" i="3"/>
  <c r="AB28" i="3"/>
  <c r="AA28" i="3"/>
  <c r="AH28" i="3" s="1"/>
  <c r="X28" i="3"/>
  <c r="U28" i="3"/>
  <c r="T28" i="3"/>
  <c r="S28" i="3" s="1"/>
  <c r="Q28" i="3"/>
  <c r="P28" i="3"/>
  <c r="N28" i="3"/>
  <c r="O28" i="3" s="1"/>
  <c r="M28" i="3"/>
  <c r="L28" i="3"/>
  <c r="J28" i="3"/>
  <c r="H28" i="3"/>
  <c r="G28" i="3"/>
  <c r="F28" i="3"/>
  <c r="B28" i="3"/>
  <c r="A28" i="3"/>
  <c r="BV27" i="3"/>
  <c r="BT27" i="3" s="1"/>
  <c r="BU27" i="3"/>
  <c r="BO27" i="3"/>
  <c r="BN27" i="3"/>
  <c r="BM27" i="3" s="1"/>
  <c r="BK27" i="3"/>
  <c r="BI27" i="3" s="1"/>
  <c r="BJ27" i="3"/>
  <c r="BG27" i="3"/>
  <c r="BR27" i="3" s="1"/>
  <c r="BF27" i="3"/>
  <c r="BQ27" i="3" s="1"/>
  <c r="BE27" i="3"/>
  <c r="BP27" i="3" s="1"/>
  <c r="AW27" i="3"/>
  <c r="AV27" i="3"/>
  <c r="AU27" i="3" s="1"/>
  <c r="AO27" i="3"/>
  <c r="AN27" i="3"/>
  <c r="AY27" i="3" s="1"/>
  <c r="BB27" i="3" s="1"/>
  <c r="AL27" i="3"/>
  <c r="AI27" i="3"/>
  <c r="AG27" i="3" s="1"/>
  <c r="AF27" i="3"/>
  <c r="AB27" i="3"/>
  <c r="AD27" i="3" s="1"/>
  <c r="AA27" i="3"/>
  <c r="AH27" i="3" s="1"/>
  <c r="X27" i="3"/>
  <c r="Y27" i="3" s="1"/>
  <c r="U27" i="3"/>
  <c r="T27" i="3"/>
  <c r="S27" i="3"/>
  <c r="R27" i="3"/>
  <c r="Q27" i="3"/>
  <c r="P27" i="3"/>
  <c r="O27" i="3"/>
  <c r="N27" i="3"/>
  <c r="M27" i="3"/>
  <c r="L27" i="3"/>
  <c r="H27" i="3"/>
  <c r="G27" i="3"/>
  <c r="F27" i="3"/>
  <c r="E27" i="3"/>
  <c r="D27" i="3"/>
  <c r="B27" i="3"/>
  <c r="C27" i="3" s="1"/>
  <c r="A27" i="3"/>
  <c r="BX26" i="3"/>
  <c r="BW26" i="3"/>
  <c r="BV26" i="3"/>
  <c r="BT26" i="3" s="1"/>
  <c r="BU26" i="3"/>
  <c r="BS26" i="3"/>
  <c r="BO26" i="3"/>
  <c r="BM26" i="3" s="1"/>
  <c r="BN26" i="3"/>
  <c r="BL26" i="3"/>
  <c r="BK26" i="3"/>
  <c r="BJ26" i="3"/>
  <c r="BI26" i="3"/>
  <c r="BH26" i="3"/>
  <c r="BG26" i="3"/>
  <c r="BR26" i="3" s="1"/>
  <c r="BF26" i="3"/>
  <c r="BQ26" i="3" s="1"/>
  <c r="BD26" i="3"/>
  <c r="AZ26" i="3"/>
  <c r="AY26" i="3"/>
  <c r="AW26" i="3"/>
  <c r="AU26" i="3" s="1"/>
  <c r="AV26" i="3"/>
  <c r="AT26" i="3"/>
  <c r="AS26" i="3"/>
  <c r="AR26" i="3"/>
  <c r="AQ26" i="3"/>
  <c r="AX26" i="3" s="1"/>
  <c r="AP26" i="3"/>
  <c r="AO26" i="3"/>
  <c r="AM26" i="3" s="1"/>
  <c r="AN26" i="3"/>
  <c r="AL26" i="3"/>
  <c r="AF26" i="3"/>
  <c r="AB26" i="3"/>
  <c r="AA26" i="3"/>
  <c r="Y26" i="3"/>
  <c r="X26" i="3"/>
  <c r="U26" i="3"/>
  <c r="W26" i="3" s="1"/>
  <c r="T26" i="3"/>
  <c r="AH26" i="3" s="1"/>
  <c r="R26" i="3"/>
  <c r="Q26" i="3"/>
  <c r="N26" i="3"/>
  <c r="M26" i="3"/>
  <c r="L26" i="3"/>
  <c r="J26" i="3"/>
  <c r="K26" i="3" s="1"/>
  <c r="H26" i="3"/>
  <c r="G26" i="3"/>
  <c r="F26" i="3"/>
  <c r="C26" i="3"/>
  <c r="B26" i="3"/>
  <c r="A26" i="3"/>
  <c r="BX25" i="3"/>
  <c r="BW25" i="3"/>
  <c r="BV25" i="3"/>
  <c r="BU25" i="3"/>
  <c r="BT25" i="3"/>
  <c r="BS25" i="3"/>
  <c r="BR25" i="3"/>
  <c r="BO25" i="3"/>
  <c r="BM25" i="3" s="1"/>
  <c r="BN25" i="3"/>
  <c r="BL25" i="3"/>
  <c r="BK25" i="3"/>
  <c r="BJ25" i="3"/>
  <c r="BI25" i="3" s="1"/>
  <c r="BH25" i="3"/>
  <c r="BG25" i="3"/>
  <c r="BE25" i="3" s="1"/>
  <c r="BP25" i="3" s="1"/>
  <c r="BF25" i="3"/>
  <c r="BD25" i="3"/>
  <c r="AW25" i="3"/>
  <c r="AV25" i="3"/>
  <c r="AU25" i="3"/>
  <c r="AT25" i="3"/>
  <c r="AS25" i="3"/>
  <c r="AR25" i="3"/>
  <c r="AY25" i="3" s="1"/>
  <c r="AP25" i="3"/>
  <c r="AO25" i="3"/>
  <c r="AN25" i="3"/>
  <c r="AM25" i="3"/>
  <c r="AL25" i="3"/>
  <c r="AF25" i="3"/>
  <c r="AB25" i="3"/>
  <c r="AA25" i="3"/>
  <c r="X25" i="3"/>
  <c r="Y25" i="3" s="1"/>
  <c r="AE25" i="3" s="1"/>
  <c r="W25" i="3"/>
  <c r="U25" i="3"/>
  <c r="S25" i="3" s="1"/>
  <c r="T25" i="3"/>
  <c r="Q25" i="3"/>
  <c r="R25" i="3" s="1"/>
  <c r="O25" i="3"/>
  <c r="N25" i="3"/>
  <c r="P25" i="3" s="1"/>
  <c r="M25" i="3"/>
  <c r="K25" i="3"/>
  <c r="J25" i="3"/>
  <c r="F25" i="3"/>
  <c r="E25" i="3"/>
  <c r="D25" i="3"/>
  <c r="C25" i="3"/>
  <c r="B25" i="3"/>
  <c r="A25" i="3"/>
  <c r="BX24" i="3"/>
  <c r="BW24" i="3"/>
  <c r="BV24" i="3"/>
  <c r="BU24" i="3"/>
  <c r="BT24" i="3"/>
  <c r="BS24" i="3"/>
  <c r="BO24" i="3"/>
  <c r="BN24" i="3"/>
  <c r="BM24" i="3" s="1"/>
  <c r="BL24" i="3"/>
  <c r="BK24" i="3"/>
  <c r="BJ24" i="3"/>
  <c r="BH24" i="3"/>
  <c r="BG24" i="3"/>
  <c r="BF24" i="3"/>
  <c r="BQ24" i="3" s="1"/>
  <c r="BE24" i="3"/>
  <c r="BD24" i="3"/>
  <c r="AW24" i="3"/>
  <c r="AV24" i="3"/>
  <c r="AU24" i="3" s="1"/>
  <c r="AT24" i="3"/>
  <c r="AS24" i="3"/>
  <c r="AR24" i="3"/>
  <c r="AQ24" i="3"/>
  <c r="AP24" i="3"/>
  <c r="AO24" i="3"/>
  <c r="AZ24" i="3" s="1"/>
  <c r="AN24" i="3"/>
  <c r="AY24" i="3" s="1"/>
  <c r="BB24" i="3" s="1"/>
  <c r="AL24" i="3"/>
  <c r="AH24" i="3"/>
  <c r="AF24" i="3"/>
  <c r="AE24" i="3"/>
  <c r="AD24" i="3"/>
  <c r="AB24" i="3"/>
  <c r="AC24" i="3" s="1"/>
  <c r="AA24" i="3"/>
  <c r="Z24" i="3"/>
  <c r="X24" i="3"/>
  <c r="W24" i="3"/>
  <c r="V24" i="3"/>
  <c r="U24" i="3"/>
  <c r="S24" i="3" s="1"/>
  <c r="T24" i="3"/>
  <c r="Q24" i="3"/>
  <c r="P24" i="3"/>
  <c r="N24" i="3"/>
  <c r="L24" i="3" s="1"/>
  <c r="M24" i="3"/>
  <c r="J24" i="3"/>
  <c r="F24" i="3"/>
  <c r="E24" i="3"/>
  <c r="D24" i="3"/>
  <c r="C24" i="3"/>
  <c r="B24" i="3"/>
  <c r="A24" i="3"/>
  <c r="BX23" i="3"/>
  <c r="BW23" i="3"/>
  <c r="BV23" i="3"/>
  <c r="BU23" i="3"/>
  <c r="BT23" i="3"/>
  <c r="BS23" i="3"/>
  <c r="BO23" i="3"/>
  <c r="BN23" i="3"/>
  <c r="BM23" i="3" s="1"/>
  <c r="BL23" i="3"/>
  <c r="BK23" i="3"/>
  <c r="BJ23" i="3"/>
  <c r="BH23" i="3"/>
  <c r="BG23" i="3"/>
  <c r="BF23" i="3"/>
  <c r="BQ23" i="3" s="1"/>
  <c r="BD23" i="3"/>
  <c r="AW23" i="3"/>
  <c r="AV23" i="3"/>
  <c r="AU23" i="3" s="1"/>
  <c r="AT23" i="3"/>
  <c r="AS23" i="3"/>
  <c r="AR23" i="3"/>
  <c r="AQ23" i="3"/>
  <c r="AP23" i="3"/>
  <c r="AO23" i="3"/>
  <c r="AZ23" i="3" s="1"/>
  <c r="AN23" i="3"/>
  <c r="AY23" i="3" s="1"/>
  <c r="BB23" i="3" s="1"/>
  <c r="AL23" i="3"/>
  <c r="AH23" i="3"/>
  <c r="AF23" i="3"/>
  <c r="AE23" i="3"/>
  <c r="AD23" i="3"/>
  <c r="AB23" i="3"/>
  <c r="AC23" i="3" s="1"/>
  <c r="AA23" i="3"/>
  <c r="Z23" i="3"/>
  <c r="X23" i="3"/>
  <c r="W23" i="3"/>
  <c r="V23" i="3"/>
  <c r="U23" i="3"/>
  <c r="S23" i="3" s="1"/>
  <c r="T23" i="3"/>
  <c r="Q23" i="3"/>
  <c r="P23" i="3"/>
  <c r="O23" i="3"/>
  <c r="N23" i="3"/>
  <c r="L23" i="3" s="1"/>
  <c r="M23" i="3"/>
  <c r="J23" i="3"/>
  <c r="F23" i="3"/>
  <c r="E23" i="3"/>
  <c r="D23" i="3"/>
  <c r="C23" i="3"/>
  <c r="B23" i="3"/>
  <c r="A23" i="3"/>
  <c r="BX22" i="3"/>
  <c r="BW22" i="3"/>
  <c r="BV22" i="3"/>
  <c r="BU22" i="3"/>
  <c r="BT22" i="3"/>
  <c r="BS22" i="3"/>
  <c r="BO22" i="3"/>
  <c r="BN22" i="3"/>
  <c r="BM22" i="3" s="1"/>
  <c r="BL22" i="3"/>
  <c r="BK22" i="3"/>
  <c r="BJ22" i="3"/>
  <c r="BH22" i="3"/>
  <c r="BG22" i="3"/>
  <c r="BF22" i="3"/>
  <c r="BQ22" i="3" s="1"/>
  <c r="BD22" i="3"/>
  <c r="AW22" i="3"/>
  <c r="AV22" i="3"/>
  <c r="AU22" i="3" s="1"/>
  <c r="AT22" i="3"/>
  <c r="AS22" i="3"/>
  <c r="AR22" i="3"/>
  <c r="AQ22" i="3"/>
  <c r="AP22" i="3"/>
  <c r="AO22" i="3"/>
  <c r="AZ22" i="3" s="1"/>
  <c r="AN22" i="3"/>
  <c r="AY22" i="3" s="1"/>
  <c r="BB22" i="3" s="1"/>
  <c r="AL22" i="3"/>
  <c r="AH22" i="3"/>
  <c r="AF22" i="3"/>
  <c r="AE22" i="3"/>
  <c r="AD22" i="3"/>
  <c r="AB22" i="3"/>
  <c r="AC22" i="3" s="1"/>
  <c r="AA22" i="3"/>
  <c r="Z22" i="3"/>
  <c r="X22" i="3"/>
  <c r="W22" i="3"/>
  <c r="V22" i="3"/>
  <c r="U22" i="3"/>
  <c r="S22" i="3" s="1"/>
  <c r="T22" i="3"/>
  <c r="Q22" i="3"/>
  <c r="P22" i="3"/>
  <c r="N22" i="3"/>
  <c r="L22" i="3" s="1"/>
  <c r="M22" i="3"/>
  <c r="J22" i="3"/>
  <c r="F22" i="3"/>
  <c r="E22" i="3"/>
  <c r="D22" i="3"/>
  <c r="C22" i="3"/>
  <c r="B22" i="3"/>
  <c r="A22" i="3"/>
  <c r="BX21" i="3"/>
  <c r="BW21" i="3"/>
  <c r="BV21" i="3"/>
  <c r="BU21" i="3"/>
  <c r="BT21" i="3"/>
  <c r="BS21" i="3"/>
  <c r="BO21" i="3"/>
  <c r="BN21" i="3"/>
  <c r="BM21" i="3" s="1"/>
  <c r="BL21" i="3"/>
  <c r="BK21" i="3"/>
  <c r="BJ21" i="3"/>
  <c r="BH21" i="3"/>
  <c r="BG21" i="3"/>
  <c r="BF21" i="3"/>
  <c r="BQ21" i="3" s="1"/>
  <c r="BD21" i="3"/>
  <c r="AW21" i="3"/>
  <c r="AV21" i="3"/>
  <c r="AU21" i="3" s="1"/>
  <c r="AT21" i="3"/>
  <c r="AS21" i="3"/>
  <c r="AR21" i="3"/>
  <c r="AQ21" i="3"/>
  <c r="AP21" i="3"/>
  <c r="AO21" i="3"/>
  <c r="AZ21" i="3" s="1"/>
  <c r="AN21" i="3"/>
  <c r="AY21" i="3" s="1"/>
  <c r="BB21" i="3" s="1"/>
  <c r="AL21" i="3"/>
  <c r="AH21" i="3"/>
  <c r="AF21" i="3"/>
  <c r="AE21" i="3"/>
  <c r="AD21" i="3"/>
  <c r="AB21" i="3"/>
  <c r="AC21" i="3" s="1"/>
  <c r="AA21" i="3"/>
  <c r="Z21" i="3"/>
  <c r="X21" i="3"/>
  <c r="W21" i="3"/>
  <c r="V21" i="3"/>
  <c r="U21" i="3"/>
  <c r="S21" i="3" s="1"/>
  <c r="T21" i="3"/>
  <c r="Q21" i="3"/>
  <c r="P21" i="3"/>
  <c r="O21" i="3"/>
  <c r="N21" i="3"/>
  <c r="L21" i="3" s="1"/>
  <c r="M21" i="3"/>
  <c r="J21" i="3"/>
  <c r="F21" i="3"/>
  <c r="E21" i="3"/>
  <c r="D21" i="3"/>
  <c r="C21" i="3"/>
  <c r="B21" i="3"/>
  <c r="A21" i="3"/>
  <c r="BX20" i="3"/>
  <c r="BW20" i="3"/>
  <c r="BV20" i="3"/>
  <c r="BU20" i="3"/>
  <c r="BT20" i="3"/>
  <c r="BS20" i="3"/>
  <c r="BO20" i="3"/>
  <c r="BN20" i="3"/>
  <c r="BM20" i="3" s="1"/>
  <c r="BL20" i="3"/>
  <c r="BK20" i="3"/>
  <c r="BJ20" i="3"/>
  <c r="BH20" i="3"/>
  <c r="BG20" i="3"/>
  <c r="BF20" i="3"/>
  <c r="BQ20" i="3" s="1"/>
  <c r="BD20" i="3"/>
  <c r="AW20" i="3"/>
  <c r="AV20" i="3"/>
  <c r="AU20" i="3" s="1"/>
  <c r="AT20" i="3"/>
  <c r="AS20" i="3"/>
  <c r="AR20" i="3"/>
  <c r="AQ20" i="3"/>
  <c r="AP20" i="3"/>
  <c r="AO20" i="3"/>
  <c r="AZ20" i="3" s="1"/>
  <c r="AN20" i="3"/>
  <c r="AY20" i="3" s="1"/>
  <c r="BB20" i="3" s="1"/>
  <c r="AL20" i="3"/>
  <c r="AH20" i="3"/>
  <c r="AF20" i="3"/>
  <c r="AE20" i="3"/>
  <c r="AD20" i="3"/>
  <c r="AB20" i="3"/>
  <c r="AC20" i="3" s="1"/>
  <c r="AA20" i="3"/>
  <c r="Z20" i="3"/>
  <c r="X20" i="3"/>
  <c r="W20" i="3"/>
  <c r="V20" i="3"/>
  <c r="U20" i="3"/>
  <c r="S20" i="3" s="1"/>
  <c r="T20" i="3"/>
  <c r="Q20" i="3"/>
  <c r="P20" i="3"/>
  <c r="N20" i="3"/>
  <c r="L20" i="3" s="1"/>
  <c r="M20" i="3"/>
  <c r="J20" i="3"/>
  <c r="F20" i="3"/>
  <c r="E20" i="3"/>
  <c r="D20" i="3"/>
  <c r="C20" i="3"/>
  <c r="B20" i="3"/>
  <c r="A20" i="3"/>
  <c r="BX19" i="3"/>
  <c r="BW19" i="3"/>
  <c r="BV19" i="3"/>
  <c r="BU19" i="3"/>
  <c r="BT19" i="3"/>
  <c r="BS19" i="3"/>
  <c r="BO19" i="3"/>
  <c r="BN19" i="3"/>
  <c r="BM19" i="3" s="1"/>
  <c r="BL19" i="3"/>
  <c r="BK19" i="3"/>
  <c r="BJ19" i="3"/>
  <c r="BH19" i="3"/>
  <c r="BG19" i="3"/>
  <c r="BF19" i="3"/>
  <c r="BQ19" i="3" s="1"/>
  <c r="BD19" i="3"/>
  <c r="AW19" i="3"/>
  <c r="AV19" i="3"/>
  <c r="AU19" i="3" s="1"/>
  <c r="AT19" i="3"/>
  <c r="AS19" i="3"/>
  <c r="AR19" i="3"/>
  <c r="AQ19" i="3"/>
  <c r="AP19" i="3"/>
  <c r="AO19" i="3"/>
  <c r="AZ19" i="3" s="1"/>
  <c r="AN19" i="3"/>
  <c r="AY19" i="3" s="1"/>
  <c r="BB19" i="3" s="1"/>
  <c r="AL19" i="3"/>
  <c r="AH19" i="3"/>
  <c r="AF19" i="3"/>
  <c r="AE19" i="3"/>
  <c r="AD19" i="3"/>
  <c r="AB19" i="3"/>
  <c r="AC19" i="3" s="1"/>
  <c r="AA19" i="3"/>
  <c r="Z19" i="3"/>
  <c r="X19" i="3"/>
  <c r="W19" i="3"/>
  <c r="V19" i="3"/>
  <c r="U19" i="3"/>
  <c r="S19" i="3" s="1"/>
  <c r="T19" i="3"/>
  <c r="Q19" i="3"/>
  <c r="P19" i="3"/>
  <c r="O19" i="3"/>
  <c r="N19" i="3"/>
  <c r="L19" i="3" s="1"/>
  <c r="M19" i="3"/>
  <c r="J19" i="3"/>
  <c r="F19" i="3"/>
  <c r="E19" i="3"/>
  <c r="D19" i="3"/>
  <c r="C19" i="3"/>
  <c r="B19" i="3"/>
  <c r="A19" i="3"/>
  <c r="BX18" i="3"/>
  <c r="BW18" i="3"/>
  <c r="BV18" i="3"/>
  <c r="BU18" i="3"/>
  <c r="BT18" i="3"/>
  <c r="BS18" i="3"/>
  <c r="BO18" i="3"/>
  <c r="BN18" i="3"/>
  <c r="BM18" i="3" s="1"/>
  <c r="BL18" i="3"/>
  <c r="BK18" i="3"/>
  <c r="BJ18" i="3"/>
  <c r="BH18" i="3"/>
  <c r="BG18" i="3"/>
  <c r="BF18" i="3"/>
  <c r="BQ18" i="3" s="1"/>
  <c r="BD18" i="3"/>
  <c r="AW18" i="3"/>
  <c r="AV18" i="3"/>
  <c r="AU18" i="3" s="1"/>
  <c r="AT18" i="3"/>
  <c r="AS18" i="3"/>
  <c r="AR18" i="3"/>
  <c r="AQ18" i="3"/>
  <c r="AP18" i="3"/>
  <c r="AO18" i="3"/>
  <c r="AZ18" i="3" s="1"/>
  <c r="AN18" i="3"/>
  <c r="AY18" i="3" s="1"/>
  <c r="BB18" i="3" s="1"/>
  <c r="AL18" i="3"/>
  <c r="AH18" i="3"/>
  <c r="AF18" i="3"/>
  <c r="AE18" i="3"/>
  <c r="AD18" i="3"/>
  <c r="AB18" i="3"/>
  <c r="AC18" i="3" s="1"/>
  <c r="AA18" i="3"/>
  <c r="Z18" i="3"/>
  <c r="X18" i="3"/>
  <c r="W18" i="3"/>
  <c r="V18" i="3"/>
  <c r="U18" i="3"/>
  <c r="S18" i="3" s="1"/>
  <c r="T18" i="3"/>
  <c r="Q18" i="3"/>
  <c r="P18" i="3"/>
  <c r="N18" i="3"/>
  <c r="L18" i="3" s="1"/>
  <c r="M18" i="3"/>
  <c r="J18" i="3"/>
  <c r="F18" i="3"/>
  <c r="E18" i="3"/>
  <c r="D18" i="3"/>
  <c r="C18" i="3"/>
  <c r="B18" i="3"/>
  <c r="A18" i="3"/>
  <c r="BX17" i="3"/>
  <c r="BW17" i="3"/>
  <c r="BV17" i="3"/>
  <c r="BU17" i="3"/>
  <c r="BT17" i="3"/>
  <c r="BS17" i="3"/>
  <c r="BO17" i="3"/>
  <c r="BN17" i="3"/>
  <c r="BM17" i="3" s="1"/>
  <c r="BL17" i="3"/>
  <c r="BK17" i="3"/>
  <c r="BJ17" i="3"/>
  <c r="BH17" i="3"/>
  <c r="BG17" i="3"/>
  <c r="BF17" i="3"/>
  <c r="BQ17" i="3" s="1"/>
  <c r="BD17" i="3"/>
  <c r="AW17" i="3"/>
  <c r="AV17" i="3"/>
  <c r="AU17" i="3" s="1"/>
  <c r="AT17" i="3"/>
  <c r="AS17" i="3"/>
  <c r="AR17" i="3"/>
  <c r="AQ17" i="3"/>
  <c r="AP17" i="3"/>
  <c r="AO17" i="3"/>
  <c r="AZ17" i="3" s="1"/>
  <c r="AN17" i="3"/>
  <c r="AY17" i="3" s="1"/>
  <c r="BB17" i="3" s="1"/>
  <c r="AL17" i="3"/>
  <c r="AH17" i="3"/>
  <c r="AF17" i="3"/>
  <c r="AE17" i="3"/>
  <c r="AD17" i="3"/>
  <c r="AB17" i="3"/>
  <c r="AC17" i="3" s="1"/>
  <c r="AA17" i="3"/>
  <c r="Z17" i="3"/>
  <c r="X17" i="3"/>
  <c r="W17" i="3"/>
  <c r="V17" i="3"/>
  <c r="U17" i="3"/>
  <c r="S17" i="3" s="1"/>
  <c r="T17" i="3"/>
  <c r="Q17" i="3"/>
  <c r="P17" i="3"/>
  <c r="O17" i="3"/>
  <c r="N17" i="3"/>
  <c r="L17" i="3" s="1"/>
  <c r="M17" i="3"/>
  <c r="J17" i="3"/>
  <c r="K17" i="3" s="1"/>
  <c r="G17" i="3"/>
  <c r="F17" i="3"/>
  <c r="H17" i="3" s="1"/>
  <c r="E17" i="3"/>
  <c r="D17" i="3"/>
  <c r="C17" i="3"/>
  <c r="B17" i="3"/>
  <c r="A17" i="3"/>
  <c r="BX16" i="3"/>
  <c r="BW16" i="3"/>
  <c r="BV16" i="3"/>
  <c r="BU16" i="3"/>
  <c r="BT16" i="3" s="1"/>
  <c r="BS16" i="3"/>
  <c r="BO16" i="3"/>
  <c r="BM16" i="3" s="1"/>
  <c r="BN16" i="3"/>
  <c r="BL16" i="3"/>
  <c r="BK16" i="3"/>
  <c r="BI16" i="3" s="1"/>
  <c r="BJ16" i="3"/>
  <c r="BH16" i="3"/>
  <c r="BG16" i="3"/>
  <c r="BF16" i="3"/>
  <c r="BQ16" i="3" s="1"/>
  <c r="BD16" i="3"/>
  <c r="AW16" i="3"/>
  <c r="AV16" i="3"/>
  <c r="AT16" i="3"/>
  <c r="AS16" i="3"/>
  <c r="AR16" i="3"/>
  <c r="AQ16" i="3"/>
  <c r="AP16" i="3"/>
  <c r="AO16" i="3"/>
  <c r="AN16" i="3"/>
  <c r="AL16" i="3"/>
  <c r="AH16" i="3"/>
  <c r="AF16" i="3"/>
  <c r="AE16" i="3"/>
  <c r="AB16" i="3"/>
  <c r="AD16" i="3" s="1"/>
  <c r="AA16" i="3"/>
  <c r="Z16" i="3" s="1"/>
  <c r="X16" i="3"/>
  <c r="W16" i="3"/>
  <c r="V16" i="3"/>
  <c r="U16" i="3"/>
  <c r="T16" i="3"/>
  <c r="S16" i="3"/>
  <c r="Q16" i="3"/>
  <c r="O16" i="3"/>
  <c r="N16" i="3"/>
  <c r="L16" i="3" s="1"/>
  <c r="M16" i="3"/>
  <c r="J16" i="3"/>
  <c r="G16" i="3"/>
  <c r="F16" i="3"/>
  <c r="H16" i="3" s="1"/>
  <c r="E16" i="3"/>
  <c r="D16" i="3"/>
  <c r="C16" i="3"/>
  <c r="B16" i="3"/>
  <c r="A16" i="3"/>
  <c r="BX15" i="3"/>
  <c r="BW15" i="3"/>
  <c r="BV15" i="3"/>
  <c r="BU15" i="3"/>
  <c r="BT15" i="3" s="1"/>
  <c r="BS15" i="3"/>
  <c r="BO15" i="3"/>
  <c r="BM15" i="3" s="1"/>
  <c r="BN15" i="3"/>
  <c r="BL15" i="3"/>
  <c r="BK15" i="3"/>
  <c r="BI15" i="3" s="1"/>
  <c r="BJ15" i="3"/>
  <c r="BH15" i="3"/>
  <c r="BG15" i="3"/>
  <c r="BF15" i="3"/>
  <c r="BQ15" i="3" s="1"/>
  <c r="BD15" i="3"/>
  <c r="AW15" i="3"/>
  <c r="AU15" i="3" s="1"/>
  <c r="AV15" i="3"/>
  <c r="AT15" i="3"/>
  <c r="AS15" i="3"/>
  <c r="AR15" i="3"/>
  <c r="AQ15" i="3"/>
  <c r="AP15" i="3"/>
  <c r="AO15" i="3"/>
  <c r="AN15" i="3"/>
  <c r="AY15" i="3" s="1"/>
  <c r="AL15" i="3"/>
  <c r="AF15" i="3"/>
  <c r="AE15" i="3"/>
  <c r="AB15" i="3"/>
  <c r="AD15" i="3" s="1"/>
  <c r="AA15" i="3"/>
  <c r="AH15" i="3" s="1"/>
  <c r="Z15" i="3"/>
  <c r="X15" i="3"/>
  <c r="W15" i="3"/>
  <c r="V15" i="3"/>
  <c r="U15" i="3"/>
  <c r="T15" i="3"/>
  <c r="S15" i="3"/>
  <c r="Q15" i="3"/>
  <c r="P15" i="3"/>
  <c r="O15" i="3"/>
  <c r="N15" i="3"/>
  <c r="L15" i="3" s="1"/>
  <c r="M15" i="3"/>
  <c r="J15" i="3"/>
  <c r="G15" i="3"/>
  <c r="F15" i="3"/>
  <c r="H15" i="3" s="1"/>
  <c r="E15" i="3"/>
  <c r="D15" i="3"/>
  <c r="C15" i="3"/>
  <c r="B15" i="3"/>
  <c r="A15" i="3"/>
  <c r="BX14" i="3"/>
  <c r="BW14" i="3"/>
  <c r="BV14" i="3"/>
  <c r="BU14" i="3"/>
  <c r="BT14" i="3"/>
  <c r="BS14" i="3"/>
  <c r="BO14" i="3"/>
  <c r="BM14" i="3" s="1"/>
  <c r="BN14" i="3"/>
  <c r="BL14" i="3"/>
  <c r="BK14" i="3"/>
  <c r="BI14" i="3" s="1"/>
  <c r="BJ14" i="3"/>
  <c r="BH14" i="3"/>
  <c r="BG14" i="3"/>
  <c r="BF14" i="3"/>
  <c r="BQ14" i="3" s="1"/>
  <c r="BD14" i="3"/>
  <c r="AW14" i="3"/>
  <c r="AU14" i="3" s="1"/>
  <c r="AV14" i="3"/>
  <c r="AT14" i="3"/>
  <c r="AS14" i="3"/>
  <c r="AR14" i="3"/>
  <c r="AQ14" i="3"/>
  <c r="AP14" i="3"/>
  <c r="AO14" i="3"/>
  <c r="AN14" i="3"/>
  <c r="AY14" i="3" s="1"/>
  <c r="AL14" i="3"/>
  <c r="AI14" i="3"/>
  <c r="AH14" i="3"/>
  <c r="AF14" i="3"/>
  <c r="AB14" i="3"/>
  <c r="AA14" i="3"/>
  <c r="Z14" i="3"/>
  <c r="Y14" i="3"/>
  <c r="X14" i="3"/>
  <c r="U14" i="3"/>
  <c r="V14" i="3" s="1"/>
  <c r="T14" i="3"/>
  <c r="S14" i="3"/>
  <c r="R14" i="3"/>
  <c r="W14" i="3" s="1"/>
  <c r="Q14" i="3"/>
  <c r="N14" i="3"/>
  <c r="M14" i="3"/>
  <c r="L14" i="3"/>
  <c r="J14" i="3"/>
  <c r="K14" i="3" s="1"/>
  <c r="H14" i="3"/>
  <c r="G14" i="3"/>
  <c r="F14" i="3"/>
  <c r="B14" i="3"/>
  <c r="A14" i="3"/>
  <c r="BX13" i="3"/>
  <c r="BW13" i="3"/>
  <c r="BV13" i="3"/>
  <c r="BT13" i="3" s="1"/>
  <c r="BU13" i="3"/>
  <c r="BS13" i="3"/>
  <c r="BR13" i="3"/>
  <c r="BQ13" i="3"/>
  <c r="BO13" i="3"/>
  <c r="BM13" i="3" s="1"/>
  <c r="BN13" i="3"/>
  <c r="BL13" i="3"/>
  <c r="BK13" i="3"/>
  <c r="BJ13" i="3"/>
  <c r="BI13" i="3"/>
  <c r="BH13" i="3"/>
  <c r="BG13" i="3"/>
  <c r="BE13" i="3" s="1"/>
  <c r="BP13" i="3" s="1"/>
  <c r="BF13" i="3"/>
  <c r="BD13" i="3"/>
  <c r="AY13" i="3"/>
  <c r="AW13" i="3"/>
  <c r="AV13" i="3"/>
  <c r="AU13" i="3"/>
  <c r="AT13" i="3"/>
  <c r="AS13" i="3"/>
  <c r="AZ13" i="3" s="1"/>
  <c r="AR13" i="3"/>
  <c r="AP13" i="3"/>
  <c r="AO13" i="3"/>
  <c r="AN13" i="3"/>
  <c r="AM13" i="3"/>
  <c r="AL13" i="3"/>
  <c r="AF13" i="3"/>
  <c r="AD13" i="3"/>
  <c r="AC13" i="3"/>
  <c r="AB13" i="3"/>
  <c r="AA13" i="3"/>
  <c r="X13" i="3"/>
  <c r="U13" i="3"/>
  <c r="T13" i="3"/>
  <c r="S13" i="3"/>
  <c r="R13" i="3"/>
  <c r="AE13" i="3" s="1"/>
  <c r="Q13" i="3"/>
  <c r="N13" i="3"/>
  <c r="P13" i="3" s="1"/>
  <c r="M13" i="3"/>
  <c r="L13" i="3"/>
  <c r="J13" i="3"/>
  <c r="H13" i="3"/>
  <c r="G13" i="3"/>
  <c r="F13" i="3"/>
  <c r="C13" i="3"/>
  <c r="B13" i="3"/>
  <c r="A13" i="3"/>
  <c r="BX12" i="3"/>
  <c r="BW12" i="3"/>
  <c r="BV12" i="3"/>
  <c r="BU12" i="3"/>
  <c r="BT12" i="3"/>
  <c r="BS12" i="3"/>
  <c r="BO12" i="3"/>
  <c r="BM12" i="3" s="1"/>
  <c r="BN12" i="3"/>
  <c r="BL12" i="3"/>
  <c r="BK12" i="3"/>
  <c r="BI12" i="3" s="1"/>
  <c r="BJ12" i="3"/>
  <c r="BQ12" i="3" s="1"/>
  <c r="BH12" i="3"/>
  <c r="BG12" i="3"/>
  <c r="BE12" i="3" s="1"/>
  <c r="BF12" i="3"/>
  <c r="BD12" i="3"/>
  <c r="AW12" i="3"/>
  <c r="AV12" i="3"/>
  <c r="AU12" i="3"/>
  <c r="AT12" i="3"/>
  <c r="AS12" i="3"/>
  <c r="AQ12" i="3" s="1"/>
  <c r="AR12" i="3"/>
  <c r="AY12" i="3" s="1"/>
  <c r="AP12" i="3"/>
  <c r="AO12" i="3"/>
  <c r="AN12" i="3"/>
  <c r="AM12" i="3"/>
  <c r="AL12" i="3"/>
  <c r="AF12" i="3"/>
  <c r="AE12" i="3"/>
  <c r="AD12" i="3"/>
  <c r="AB12" i="3"/>
  <c r="AA12" i="3"/>
  <c r="X12" i="3"/>
  <c r="V12" i="3"/>
  <c r="U12" i="3"/>
  <c r="W12" i="3" s="1"/>
  <c r="T12" i="3"/>
  <c r="S12" i="3" s="1"/>
  <c r="R12" i="3"/>
  <c r="Q12" i="3"/>
  <c r="N12" i="3"/>
  <c r="M12" i="3"/>
  <c r="L12" i="3"/>
  <c r="J12" i="3"/>
  <c r="H12" i="3"/>
  <c r="F12" i="3"/>
  <c r="G12" i="3" s="1"/>
  <c r="B12" i="3"/>
  <c r="E12" i="3" s="1"/>
  <c r="A12" i="3"/>
  <c r="BV11" i="3"/>
  <c r="BT11" i="3" s="1"/>
  <c r="BU11" i="3"/>
  <c r="BO11" i="3"/>
  <c r="BN11" i="3"/>
  <c r="BK11" i="3"/>
  <c r="BJ11" i="3"/>
  <c r="BI11" i="3"/>
  <c r="BG11" i="3"/>
  <c r="BR11" i="3" s="1"/>
  <c r="BF11" i="3"/>
  <c r="BQ11" i="3" s="1"/>
  <c r="AW11" i="3"/>
  <c r="AV11" i="3"/>
  <c r="AU11" i="3"/>
  <c r="AX11" i="3" s="1"/>
  <c r="AS11" i="3"/>
  <c r="AQ11" i="3" s="1"/>
  <c r="AR11" i="3"/>
  <c r="AO11" i="3"/>
  <c r="AZ11" i="3" s="1"/>
  <c r="AN11" i="3"/>
  <c r="AM11" i="3"/>
  <c r="AF11" i="3"/>
  <c r="AE11" i="3"/>
  <c r="AD11" i="3"/>
  <c r="AC11" i="3"/>
  <c r="AB11" i="3"/>
  <c r="AA11" i="3"/>
  <c r="X11" i="3"/>
  <c r="Y11" i="3" s="1"/>
  <c r="U11" i="3"/>
  <c r="T11" i="3"/>
  <c r="R11" i="3"/>
  <c r="N11" i="3"/>
  <c r="M11" i="3"/>
  <c r="L11" i="3"/>
  <c r="G11" i="3"/>
  <c r="F11" i="3"/>
  <c r="H11" i="3" s="1"/>
  <c r="D11" i="3"/>
  <c r="B11" i="3"/>
  <c r="C11" i="3" s="1"/>
  <c r="A11" i="3"/>
  <c r="BX10" i="3"/>
  <c r="BW10" i="3"/>
  <c r="BV10" i="3"/>
  <c r="BU10" i="3"/>
  <c r="BS10" i="3"/>
  <c r="BO10" i="3"/>
  <c r="BM10" i="3" s="1"/>
  <c r="BN10" i="3"/>
  <c r="BL10" i="3"/>
  <c r="BK10" i="3"/>
  <c r="BJ10" i="3"/>
  <c r="BI10" i="3"/>
  <c r="BH10" i="3"/>
  <c r="BG10" i="3"/>
  <c r="BF10" i="3"/>
  <c r="BQ10" i="3" s="1"/>
  <c r="BD10" i="3"/>
  <c r="AY10" i="3"/>
  <c r="AW10" i="3"/>
  <c r="AU10" i="3" s="1"/>
  <c r="AV10" i="3"/>
  <c r="AT10" i="3"/>
  <c r="AS10" i="3"/>
  <c r="AR10" i="3"/>
  <c r="AQ10" i="3" s="1"/>
  <c r="AP10" i="3"/>
  <c r="AO10" i="3"/>
  <c r="AN10" i="3"/>
  <c r="AL10" i="3"/>
  <c r="AF10" i="3"/>
  <c r="AB10" i="3"/>
  <c r="AA10" i="3"/>
  <c r="AH10" i="3" s="1"/>
  <c r="X10" i="3"/>
  <c r="U10" i="3"/>
  <c r="T10" i="3"/>
  <c r="S10" i="3"/>
  <c r="R10" i="3"/>
  <c r="Q10" i="3"/>
  <c r="P10" i="3"/>
  <c r="O10" i="3"/>
  <c r="N10" i="3"/>
  <c r="M10" i="3"/>
  <c r="L10" i="3"/>
  <c r="J10" i="3"/>
  <c r="H10" i="3"/>
  <c r="F10" i="3"/>
  <c r="G10" i="3" s="1"/>
  <c r="E10" i="3"/>
  <c r="B10" i="3"/>
  <c r="D10" i="3" s="1"/>
  <c r="A10" i="3"/>
  <c r="BX9" i="3"/>
  <c r="BW9" i="3"/>
  <c r="BV9" i="3"/>
  <c r="BT9" i="3" s="1"/>
  <c r="BU9" i="3"/>
  <c r="BS9" i="3"/>
  <c r="BQ9" i="3"/>
  <c r="BO9" i="3"/>
  <c r="BN9" i="3"/>
  <c r="BL9" i="3"/>
  <c r="BK9" i="3"/>
  <c r="BJ9" i="3"/>
  <c r="BI9" i="3"/>
  <c r="BH9" i="3"/>
  <c r="BG9" i="3"/>
  <c r="BF9" i="3"/>
  <c r="BD9" i="3"/>
  <c r="AZ9" i="3"/>
  <c r="AY9" i="3"/>
  <c r="AW9" i="3"/>
  <c r="AU9" i="3" s="1"/>
  <c r="AV9" i="3"/>
  <c r="AT9" i="3"/>
  <c r="AS9" i="3"/>
  <c r="AR9" i="3"/>
  <c r="AQ9" i="3"/>
  <c r="AP9" i="3"/>
  <c r="AO9" i="3"/>
  <c r="AM9" i="3" s="1"/>
  <c r="AX9" i="3" s="1"/>
  <c r="AN9" i="3"/>
  <c r="AL9" i="3"/>
  <c r="AF9" i="3"/>
  <c r="AC9" i="3"/>
  <c r="AB9" i="3"/>
  <c r="AA9" i="3"/>
  <c r="Y9" i="3"/>
  <c r="X9" i="3"/>
  <c r="U9" i="3"/>
  <c r="T9" i="3"/>
  <c r="AH9" i="3" s="1"/>
  <c r="R9" i="3"/>
  <c r="Q9" i="3"/>
  <c r="N9" i="3"/>
  <c r="M9" i="3"/>
  <c r="L9" i="3" s="1"/>
  <c r="J9" i="3"/>
  <c r="K9" i="3" s="1"/>
  <c r="AE9" i="3" s="1"/>
  <c r="H9" i="3"/>
  <c r="F9" i="3"/>
  <c r="G9" i="3" s="1"/>
  <c r="B9" i="3"/>
  <c r="E9" i="3" s="1"/>
  <c r="A9" i="3"/>
  <c r="CK8" i="3"/>
  <c r="CJ8" i="3"/>
  <c r="CI8" i="3"/>
  <c r="CH8" i="3"/>
  <c r="CG8" i="3"/>
  <c r="CF8" i="3"/>
  <c r="CE8" i="3"/>
  <c r="CD8" i="3"/>
  <c r="CC8" i="3"/>
  <c r="CB8" i="3"/>
  <c r="BX8" i="3"/>
  <c r="BW8" i="3"/>
  <c r="BV8" i="3"/>
  <c r="BU8" i="3"/>
  <c r="BT8" i="3"/>
  <c r="BS8" i="3"/>
  <c r="BO8" i="3"/>
  <c r="BN8" i="3"/>
  <c r="BM8" i="3" s="1"/>
  <c r="BL8" i="3"/>
  <c r="BK8" i="3"/>
  <c r="BJ8" i="3"/>
  <c r="BH8" i="3"/>
  <c r="BG8" i="3"/>
  <c r="BF8" i="3"/>
  <c r="BE8" i="3"/>
  <c r="BD8" i="3"/>
  <c r="AW8" i="3"/>
  <c r="AU8" i="3" s="1"/>
  <c r="AV8" i="3"/>
  <c r="AT8" i="3"/>
  <c r="AS8" i="3"/>
  <c r="AR8" i="3"/>
  <c r="AQ8" i="3"/>
  <c r="AP8" i="3"/>
  <c r="AO8" i="3"/>
  <c r="AZ8" i="3" s="1"/>
  <c r="AN8" i="3"/>
  <c r="AY8" i="3" s="1"/>
  <c r="AL8" i="3"/>
  <c r="AH8" i="3"/>
  <c r="AF8" i="3"/>
  <c r="AB8" i="3"/>
  <c r="AA8" i="3"/>
  <c r="Z8" i="3"/>
  <c r="Y8" i="3"/>
  <c r="AD8" i="3" s="1"/>
  <c r="X8" i="3"/>
  <c r="W8" i="3"/>
  <c r="U8" i="3"/>
  <c r="T8" i="3"/>
  <c r="S8" i="3"/>
  <c r="R8" i="3"/>
  <c r="V8" i="3" s="1"/>
  <c r="Q8" i="3"/>
  <c r="P8" i="3"/>
  <c r="O8" i="3"/>
  <c r="N8" i="3"/>
  <c r="L8" i="3" s="1"/>
  <c r="M8" i="3"/>
  <c r="J8" i="3"/>
  <c r="K8" i="3" s="1"/>
  <c r="G8" i="3"/>
  <c r="F8" i="3"/>
  <c r="H8" i="3" s="1"/>
  <c r="E8" i="3"/>
  <c r="B8" i="3"/>
  <c r="D8" i="3" s="1"/>
  <c r="A8" i="3"/>
  <c r="BX7" i="3"/>
  <c r="BW7" i="3"/>
  <c r="BV7" i="3"/>
  <c r="BT7" i="3" s="1"/>
  <c r="BU7" i="3"/>
  <c r="BS7" i="3"/>
  <c r="BQ7" i="3"/>
  <c r="BO7" i="3"/>
  <c r="BM7" i="3" s="1"/>
  <c r="BN7" i="3"/>
  <c r="BL7" i="3"/>
  <c r="BK7" i="3"/>
  <c r="BJ7" i="3"/>
  <c r="BI7" i="3"/>
  <c r="BH7" i="3"/>
  <c r="BG7" i="3"/>
  <c r="BF7" i="3"/>
  <c r="BD7" i="3"/>
  <c r="AY7" i="3"/>
  <c r="AW7" i="3"/>
  <c r="AU7" i="3" s="1"/>
  <c r="AV7" i="3"/>
  <c r="AT7" i="3"/>
  <c r="AS7" i="3"/>
  <c r="AR7" i="3"/>
  <c r="AP7" i="3"/>
  <c r="AO7" i="3"/>
  <c r="AM7" i="3" s="1"/>
  <c r="AN7" i="3"/>
  <c r="AL7" i="3"/>
  <c r="AF7" i="3"/>
  <c r="AB7" i="3"/>
  <c r="AA7" i="3"/>
  <c r="AH7" i="3" s="1"/>
  <c r="Y7" i="3"/>
  <c r="X7" i="3"/>
  <c r="U7" i="3"/>
  <c r="T7" i="3"/>
  <c r="S7" i="3" s="1"/>
  <c r="R7" i="3"/>
  <c r="Q7" i="3"/>
  <c r="N7" i="3"/>
  <c r="P7" i="3" s="1"/>
  <c r="M7" i="3"/>
  <c r="L7" i="3" s="1"/>
  <c r="J7" i="3"/>
  <c r="K7" i="3" s="1"/>
  <c r="H7" i="3"/>
  <c r="F7" i="3"/>
  <c r="G7" i="3" s="1"/>
  <c r="C7" i="3"/>
  <c r="B7" i="3"/>
  <c r="E7" i="3" s="1"/>
  <c r="A7" i="3"/>
  <c r="BX6" i="3"/>
  <c r="BW6" i="3"/>
  <c r="BV6" i="3"/>
  <c r="BU6" i="3"/>
  <c r="BT6" i="3"/>
  <c r="BS6" i="3"/>
  <c r="BO6" i="3"/>
  <c r="BN6" i="3"/>
  <c r="BM6" i="3"/>
  <c r="BL6" i="3"/>
  <c r="BK6" i="3"/>
  <c r="BK100" i="3" s="1"/>
  <c r="DD155" i="3" s="1"/>
  <c r="BJ6" i="3"/>
  <c r="BQ6" i="3" s="1"/>
  <c r="BH6" i="3"/>
  <c r="BG6" i="3"/>
  <c r="BF6" i="3"/>
  <c r="BE6" i="3"/>
  <c r="BD6" i="3"/>
  <c r="AW6" i="3"/>
  <c r="AV6" i="3"/>
  <c r="AU6" i="3"/>
  <c r="AT6" i="3"/>
  <c r="AS6" i="3"/>
  <c r="AR6" i="3"/>
  <c r="AP6" i="3"/>
  <c r="AO6" i="3"/>
  <c r="AN6" i="3"/>
  <c r="AM6" i="3"/>
  <c r="AL6" i="3"/>
  <c r="AF6" i="3"/>
  <c r="AD6" i="3"/>
  <c r="AC6" i="3"/>
  <c r="AB6" i="3"/>
  <c r="AA6" i="3"/>
  <c r="X6" i="3"/>
  <c r="Y6" i="3" s="1"/>
  <c r="U6" i="3"/>
  <c r="T6" i="3"/>
  <c r="AH6" i="3" s="1"/>
  <c r="Q6" i="3"/>
  <c r="R6" i="3" s="1"/>
  <c r="V6" i="3" s="1"/>
  <c r="N6" i="3"/>
  <c r="L6" i="3" s="1"/>
  <c r="M6" i="3"/>
  <c r="J6" i="3"/>
  <c r="K6" i="3" s="1"/>
  <c r="AE6" i="3" s="1"/>
  <c r="G6" i="3"/>
  <c r="F6" i="3"/>
  <c r="H6" i="3" s="1"/>
  <c r="E6" i="3"/>
  <c r="D6" i="3"/>
  <c r="C6" i="3"/>
  <c r="B6" i="3"/>
  <c r="A6" i="3"/>
  <c r="BX5" i="3"/>
  <c r="BW5" i="3"/>
  <c r="BV5" i="3"/>
  <c r="BT5" i="3" s="1"/>
  <c r="BU5" i="3"/>
  <c r="BS5" i="3"/>
  <c r="BO5" i="3"/>
  <c r="BN5" i="3"/>
  <c r="BM5" i="3"/>
  <c r="BL5" i="3"/>
  <c r="BK5" i="3"/>
  <c r="BI5" i="3" s="1"/>
  <c r="BJ5" i="3"/>
  <c r="BH5" i="3"/>
  <c r="BG5" i="3"/>
  <c r="BF5" i="3"/>
  <c r="BQ5" i="3" s="1"/>
  <c r="BD5" i="3"/>
  <c r="AY5" i="3"/>
  <c r="BB5" i="3" s="1"/>
  <c r="AW5" i="3"/>
  <c r="AU5" i="3" s="1"/>
  <c r="AV5" i="3"/>
  <c r="AT5" i="3"/>
  <c r="AS5" i="3"/>
  <c r="AR5" i="3"/>
  <c r="AQ5" i="3"/>
  <c r="AP5" i="3"/>
  <c r="AO5" i="3"/>
  <c r="AN5" i="3"/>
  <c r="AL5" i="3"/>
  <c r="AI5" i="3"/>
  <c r="AF5" i="3"/>
  <c r="AB5" i="3"/>
  <c r="AD5" i="3" s="1"/>
  <c r="AA5" i="3"/>
  <c r="AH5" i="3" s="1"/>
  <c r="AG5" i="3" s="1"/>
  <c r="Z5" i="3"/>
  <c r="X5" i="3"/>
  <c r="Y5" i="3" s="1"/>
  <c r="U5" i="3"/>
  <c r="T5" i="3"/>
  <c r="S5" i="3"/>
  <c r="Q5" i="3"/>
  <c r="R5" i="3" s="1"/>
  <c r="W5" i="3" s="1"/>
  <c r="P5" i="3"/>
  <c r="N5" i="3"/>
  <c r="M5" i="3"/>
  <c r="L5" i="3"/>
  <c r="J5" i="3"/>
  <c r="K5" i="3" s="1"/>
  <c r="H5" i="3"/>
  <c r="G5" i="3"/>
  <c r="F5" i="3"/>
  <c r="B5" i="3"/>
  <c r="A5" i="3"/>
  <c r="BX4" i="3"/>
  <c r="BW4" i="3"/>
  <c r="BV4" i="3"/>
  <c r="BT4" i="3" s="1"/>
  <c r="BU4" i="3"/>
  <c r="BS4" i="3"/>
  <c r="BR4" i="3"/>
  <c r="BO4" i="3"/>
  <c r="BM4" i="3" s="1"/>
  <c r="BN4" i="3"/>
  <c r="BL4" i="3"/>
  <c r="BK4" i="3"/>
  <c r="BJ4" i="3"/>
  <c r="BQ4" i="3" s="1"/>
  <c r="BH4" i="3"/>
  <c r="BG4" i="3"/>
  <c r="BE4" i="3" s="1"/>
  <c r="BF4" i="3"/>
  <c r="BD4" i="3"/>
  <c r="AW4" i="3"/>
  <c r="AV4" i="3"/>
  <c r="AU4" i="3"/>
  <c r="AT4" i="3"/>
  <c r="AS4" i="3"/>
  <c r="AZ4" i="3" s="1"/>
  <c r="AR4" i="3"/>
  <c r="AY4" i="3" s="1"/>
  <c r="AP4" i="3"/>
  <c r="AO4" i="3"/>
  <c r="AN4" i="3"/>
  <c r="AM4" i="3"/>
  <c r="AL4" i="3"/>
  <c r="AF4" i="3"/>
  <c r="AB4" i="3"/>
  <c r="Z4" i="3" s="1"/>
  <c r="AA4" i="3"/>
  <c r="X4" i="3"/>
  <c r="Y4" i="3" s="1"/>
  <c r="AE4" i="3" s="1"/>
  <c r="V4" i="3"/>
  <c r="U4" i="3"/>
  <c r="T4" i="3"/>
  <c r="P4" i="3"/>
  <c r="N4" i="3"/>
  <c r="O4" i="3" s="1"/>
  <c r="M4" i="3"/>
  <c r="L4" i="3"/>
  <c r="J4" i="3"/>
  <c r="H4" i="3"/>
  <c r="G4" i="3"/>
  <c r="F4" i="3"/>
  <c r="B4" i="3"/>
  <c r="A4" i="3"/>
  <c r="BX3" i="3"/>
  <c r="BW3" i="3"/>
  <c r="BV3" i="3"/>
  <c r="BT3" i="3" s="1"/>
  <c r="BU3" i="3"/>
  <c r="BS3" i="3"/>
  <c r="BO3" i="3"/>
  <c r="BM3" i="3" s="1"/>
  <c r="BN3" i="3"/>
  <c r="BL3" i="3"/>
  <c r="BK3" i="3"/>
  <c r="BJ3" i="3"/>
  <c r="BH3" i="3"/>
  <c r="BG3" i="3"/>
  <c r="BE3" i="3" s="1"/>
  <c r="BF3" i="3"/>
  <c r="BD3" i="3"/>
  <c r="AW3" i="3"/>
  <c r="AV3" i="3"/>
  <c r="AU3" i="3"/>
  <c r="AT3" i="3"/>
  <c r="AS3" i="3"/>
  <c r="AQ3" i="3" s="1"/>
  <c r="AX3" i="3" s="1"/>
  <c r="AR3" i="3"/>
  <c r="AY3" i="3" s="1"/>
  <c r="BB3" i="3" s="1"/>
  <c r="AP3" i="3"/>
  <c r="AO3" i="3"/>
  <c r="AN3" i="3"/>
  <c r="AM3" i="3"/>
  <c r="AL3" i="3"/>
  <c r="AF3" i="3"/>
  <c r="AE3" i="3"/>
  <c r="AB3" i="3"/>
  <c r="AA3" i="3"/>
  <c r="AH3" i="3" s="1"/>
  <c r="U3" i="3"/>
  <c r="W3" i="3" s="1"/>
  <c r="T3" i="3"/>
  <c r="S3" i="3" s="1"/>
  <c r="Q3" i="3"/>
  <c r="P3" i="3"/>
  <c r="O3" i="3"/>
  <c r="N3" i="3"/>
  <c r="M3" i="3"/>
  <c r="L3" i="3"/>
  <c r="J3" i="3"/>
  <c r="F3" i="3"/>
  <c r="H3" i="3" s="1"/>
  <c r="E3" i="3"/>
  <c r="B3" i="3"/>
  <c r="D3" i="3" s="1"/>
  <c r="A3" i="3"/>
  <c r="BX2" i="3"/>
  <c r="BW2" i="3"/>
  <c r="BV2" i="3"/>
  <c r="BU2" i="3"/>
  <c r="BS2" i="3"/>
  <c r="BO2" i="3"/>
  <c r="BN2" i="3"/>
  <c r="BL2" i="3"/>
  <c r="BK2" i="3"/>
  <c r="BJ2" i="3"/>
  <c r="BI2" i="3"/>
  <c r="BH2" i="3"/>
  <c r="BG2" i="3"/>
  <c r="BF2" i="3"/>
  <c r="BD2" i="3"/>
  <c r="AW2" i="3"/>
  <c r="AU2" i="3" s="1"/>
  <c r="AV2" i="3"/>
  <c r="AT2" i="3"/>
  <c r="AT100" i="3" s="1"/>
  <c r="AS2" i="3"/>
  <c r="AR2" i="3"/>
  <c r="AP2" i="3"/>
  <c r="AO2" i="3"/>
  <c r="AM2" i="3" s="1"/>
  <c r="AN2" i="3"/>
  <c r="AL2" i="3"/>
  <c r="AK2" i="3"/>
  <c r="AJ2" i="3"/>
  <c r="AI2" i="3"/>
  <c r="AF2" i="3"/>
  <c r="AC2" i="3"/>
  <c r="AB2" i="3"/>
  <c r="AA2" i="3"/>
  <c r="Z2" i="3" s="1"/>
  <c r="Y2" i="3"/>
  <c r="Y100" i="3" s="1"/>
  <c r="X2" i="3"/>
  <c r="U2" i="3"/>
  <c r="T2" i="3"/>
  <c r="S2" i="3"/>
  <c r="R2" i="3"/>
  <c r="Q2" i="3"/>
  <c r="Q100" i="3" s="1"/>
  <c r="N2" i="3"/>
  <c r="M2" i="3"/>
  <c r="M100" i="3" s="1"/>
  <c r="J2" i="3"/>
  <c r="H2" i="3"/>
  <c r="F2" i="3"/>
  <c r="G2" i="3" s="1"/>
  <c r="C2" i="3"/>
  <c r="B2" i="3"/>
  <c r="E2" i="3" s="1"/>
  <c r="A2" i="3"/>
  <c r="CD162" i="2"/>
  <c r="BZ162" i="2"/>
  <c r="BY162" i="2"/>
  <c r="BW162" i="2" s="1"/>
  <c r="BX162" i="2"/>
  <c r="BV162" i="2"/>
  <c r="BT162" i="2"/>
  <c r="BR162" i="2"/>
  <c r="BP162" i="2" s="1"/>
  <c r="BQ162" i="2"/>
  <c r="BO162" i="2"/>
  <c r="BN162" i="2"/>
  <c r="BM162" i="2"/>
  <c r="BL162" i="2" s="1"/>
  <c r="BK162" i="2"/>
  <c r="BJ162" i="2"/>
  <c r="BI162" i="2"/>
  <c r="BA162" i="2"/>
  <c r="AY162" i="2" s="1"/>
  <c r="AZ162" i="2"/>
  <c r="AX162" i="2"/>
  <c r="AW162" i="2"/>
  <c r="AU162" i="2" s="1"/>
  <c r="AV162" i="2"/>
  <c r="BC162" i="2" s="1"/>
  <c r="BF162" i="2" s="1"/>
  <c r="AT162" i="2"/>
  <c r="AS162" i="2"/>
  <c r="AQ162" i="2" s="1"/>
  <c r="AR162" i="2"/>
  <c r="AP162" i="2"/>
  <c r="AM162" i="2"/>
  <c r="AO162" i="2" s="1"/>
  <c r="AJ162" i="2"/>
  <c r="AG162" i="2"/>
  <c r="AF162" i="2"/>
  <c r="AH162" i="2" s="1"/>
  <c r="AE162" i="2"/>
  <c r="AK162" i="2" s="1"/>
  <c r="AC162" i="2"/>
  <c r="AB162" i="2"/>
  <c r="Y162" i="2"/>
  <c r="X162" i="2"/>
  <c r="W162" i="2"/>
  <c r="V162" i="2"/>
  <c r="U162" i="2"/>
  <c r="R162" i="2"/>
  <c r="Q162" i="2"/>
  <c r="P162" i="2" s="1"/>
  <c r="AL162" i="2" s="1"/>
  <c r="N162" i="2"/>
  <c r="O162" i="2" s="1"/>
  <c r="AI162" i="2" s="1"/>
  <c r="L162" i="2"/>
  <c r="J162" i="2"/>
  <c r="K162" i="2" s="1"/>
  <c r="D162" i="2"/>
  <c r="C162" i="2"/>
  <c r="B162" i="2"/>
  <c r="E162" i="2" s="1"/>
  <c r="CD161" i="2"/>
  <c r="BZ161" i="2"/>
  <c r="BY161" i="2"/>
  <c r="BX161" i="2"/>
  <c r="BW161" i="2"/>
  <c r="BV161" i="2"/>
  <c r="BU161" i="2"/>
  <c r="BR161" i="2"/>
  <c r="BP161" i="2" s="1"/>
  <c r="BQ161" i="2"/>
  <c r="BO161" i="2"/>
  <c r="BN161" i="2"/>
  <c r="BM161" i="2"/>
  <c r="BL161" i="2" s="1"/>
  <c r="BK161" i="2"/>
  <c r="BJ161" i="2"/>
  <c r="BH161" i="2" s="1"/>
  <c r="BI161" i="2"/>
  <c r="BC161" i="2"/>
  <c r="BA161" i="2"/>
  <c r="AZ161" i="2"/>
  <c r="AY161" i="2"/>
  <c r="AX161" i="2"/>
  <c r="AW161" i="2"/>
  <c r="BD161" i="2" s="1"/>
  <c r="AV161" i="2"/>
  <c r="AT161" i="2"/>
  <c r="AS161" i="2"/>
  <c r="AR161" i="2"/>
  <c r="AQ161" i="2"/>
  <c r="AP161" i="2"/>
  <c r="AJ161" i="2"/>
  <c r="AH161" i="2"/>
  <c r="AG161" i="2"/>
  <c r="AF161" i="2"/>
  <c r="AE161" i="2"/>
  <c r="AB161" i="2"/>
  <c r="AC161" i="2" s="1"/>
  <c r="Z161" i="2"/>
  <c r="Y161" i="2"/>
  <c r="AA161" i="2" s="1"/>
  <c r="X161" i="2"/>
  <c r="W161" i="2" s="1"/>
  <c r="V161" i="2"/>
  <c r="U161" i="2"/>
  <c r="R161" i="2"/>
  <c r="Q161" i="2"/>
  <c r="P161" i="2"/>
  <c r="O161" i="2"/>
  <c r="N161" i="2"/>
  <c r="J161" i="2"/>
  <c r="L161" i="2" s="1"/>
  <c r="I161" i="2"/>
  <c r="H161" i="2"/>
  <c r="F161" i="2"/>
  <c r="G161" i="2" s="1"/>
  <c r="E161" i="2"/>
  <c r="B161" i="2"/>
  <c r="D161" i="2" s="1"/>
  <c r="CD160" i="2"/>
  <c r="BZ160" i="2"/>
  <c r="BY160" i="2"/>
  <c r="BW160" i="2" s="1"/>
  <c r="BX160" i="2"/>
  <c r="BV160" i="2"/>
  <c r="BR160" i="2"/>
  <c r="BQ160" i="2"/>
  <c r="BP160" i="2"/>
  <c r="BO160" i="2"/>
  <c r="BN160" i="2"/>
  <c r="BM160" i="2"/>
  <c r="BL160" i="2"/>
  <c r="BK160" i="2"/>
  <c r="BJ160" i="2"/>
  <c r="BI160" i="2"/>
  <c r="BT160" i="2" s="1"/>
  <c r="BH160" i="2"/>
  <c r="BS160" i="2" s="1"/>
  <c r="BC160" i="2"/>
  <c r="BA160" i="2"/>
  <c r="AY160" i="2" s="1"/>
  <c r="AZ160" i="2"/>
  <c r="AX160" i="2"/>
  <c r="AW160" i="2"/>
  <c r="AV160" i="2"/>
  <c r="AU160" i="2"/>
  <c r="AT160" i="2"/>
  <c r="AS160" i="2"/>
  <c r="AQ160" i="2" s="1"/>
  <c r="AR160" i="2"/>
  <c r="AP160" i="2"/>
  <c r="AM160" i="2"/>
  <c r="AJ160" i="2"/>
  <c r="AF160" i="2"/>
  <c r="AH160" i="2" s="1"/>
  <c r="AE160" i="2"/>
  <c r="AK160" i="2" s="1"/>
  <c r="AB160" i="2"/>
  <c r="AC160" i="2" s="1"/>
  <c r="Y160" i="2"/>
  <c r="X160" i="2"/>
  <c r="W160" i="2"/>
  <c r="V160" i="2"/>
  <c r="AA160" i="2" s="1"/>
  <c r="U160" i="2"/>
  <c r="T160" i="2"/>
  <c r="R160" i="2"/>
  <c r="Q160" i="2"/>
  <c r="P160" i="2"/>
  <c r="N160" i="2"/>
  <c r="O160" i="2" s="1"/>
  <c r="L160" i="2"/>
  <c r="K160" i="2"/>
  <c r="J160" i="2"/>
  <c r="F160" i="2"/>
  <c r="E160" i="2"/>
  <c r="D160" i="2"/>
  <c r="C160" i="2"/>
  <c r="B160" i="2"/>
  <c r="CD159" i="2"/>
  <c r="BZ159" i="2"/>
  <c r="BY159" i="2"/>
  <c r="BX159" i="2"/>
  <c r="BW159" i="2"/>
  <c r="BV159" i="2"/>
  <c r="BU159" i="2"/>
  <c r="BR159" i="2"/>
  <c r="BQ159" i="2"/>
  <c r="BP159" i="2"/>
  <c r="BO159" i="2"/>
  <c r="BN159" i="2"/>
  <c r="BM159" i="2"/>
  <c r="BT159" i="2" s="1"/>
  <c r="BK159" i="2"/>
  <c r="BJ159" i="2"/>
  <c r="BI159" i="2"/>
  <c r="BC159" i="2" s="1"/>
  <c r="BH159" i="2"/>
  <c r="BA159" i="2"/>
  <c r="AZ159" i="2"/>
  <c r="AY159" i="2" s="1"/>
  <c r="AX159" i="2"/>
  <c r="AW159" i="2"/>
  <c r="AV159" i="2"/>
  <c r="AT159" i="2"/>
  <c r="AS159" i="2"/>
  <c r="AR159" i="2"/>
  <c r="AQ159" i="2"/>
  <c r="AP159" i="2"/>
  <c r="AJ159" i="2"/>
  <c r="AH159" i="2"/>
  <c r="AF159" i="2"/>
  <c r="AE159" i="2"/>
  <c r="AB159" i="2"/>
  <c r="AC159" i="2" s="1"/>
  <c r="AG159" i="2" s="1"/>
  <c r="AA159" i="2"/>
  <c r="Z159" i="2"/>
  <c r="Y159" i="2"/>
  <c r="W159" i="2" s="1"/>
  <c r="X159" i="2"/>
  <c r="U159" i="2"/>
  <c r="V159" i="2" s="1"/>
  <c r="R159" i="2"/>
  <c r="Q159" i="2"/>
  <c r="N159" i="2"/>
  <c r="O159" i="2" s="1"/>
  <c r="K159" i="2"/>
  <c r="J159" i="2"/>
  <c r="L159" i="2" s="1"/>
  <c r="I159" i="2"/>
  <c r="H159" i="2"/>
  <c r="G159" i="2"/>
  <c r="F159" i="2"/>
  <c r="B159" i="2"/>
  <c r="CD158" i="2"/>
  <c r="BZ158" i="2"/>
  <c r="BY158" i="2"/>
  <c r="BW158" i="2" s="1"/>
  <c r="BX158" i="2"/>
  <c r="BV158" i="2"/>
  <c r="BT158" i="2"/>
  <c r="BR158" i="2"/>
  <c r="BP158" i="2" s="1"/>
  <c r="BQ158" i="2"/>
  <c r="BO158" i="2"/>
  <c r="BN158" i="2"/>
  <c r="BM158" i="2"/>
  <c r="BL158" i="2" s="1"/>
  <c r="BK158" i="2"/>
  <c r="BJ158" i="2"/>
  <c r="BI158" i="2"/>
  <c r="BA158" i="2"/>
  <c r="AY158" i="2" s="1"/>
  <c r="AZ158" i="2"/>
  <c r="AX158" i="2"/>
  <c r="AW158" i="2"/>
  <c r="AU158" i="2" s="1"/>
  <c r="AV158" i="2"/>
  <c r="BC158" i="2" s="1"/>
  <c r="AT158" i="2"/>
  <c r="AS158" i="2"/>
  <c r="AQ158" i="2" s="1"/>
  <c r="AR158" i="2"/>
  <c r="AP158" i="2"/>
  <c r="AO158" i="2"/>
  <c r="AN158" i="2"/>
  <c r="AM158" i="2"/>
  <c r="AJ158" i="2"/>
  <c r="AG158" i="2"/>
  <c r="AF158" i="2"/>
  <c r="AH158" i="2" s="1"/>
  <c r="AE158" i="2"/>
  <c r="AK158" i="2" s="1"/>
  <c r="AC158" i="2"/>
  <c r="AB158" i="2"/>
  <c r="Y158" i="2"/>
  <c r="X158" i="2"/>
  <c r="W158" i="2"/>
  <c r="V158" i="2"/>
  <c r="U158" i="2"/>
  <c r="R158" i="2"/>
  <c r="T158" i="2" s="1"/>
  <c r="Q158" i="2"/>
  <c r="P158" i="2" s="1"/>
  <c r="N158" i="2"/>
  <c r="O158" i="2" s="1"/>
  <c r="AI158" i="2" s="1"/>
  <c r="L158" i="2"/>
  <c r="J158" i="2"/>
  <c r="K158" i="2" s="1"/>
  <c r="G158" i="2"/>
  <c r="F158" i="2"/>
  <c r="I158" i="2" s="1"/>
  <c r="E158" i="2"/>
  <c r="D158" i="2"/>
  <c r="B158" i="2"/>
  <c r="C158" i="2" s="1"/>
  <c r="CD157" i="2"/>
  <c r="BZ157" i="2"/>
  <c r="BY157" i="2"/>
  <c r="BX157" i="2"/>
  <c r="BW157" i="2" s="1"/>
  <c r="BV157" i="2"/>
  <c r="BR157" i="2"/>
  <c r="BQ157" i="2"/>
  <c r="BP157" i="2"/>
  <c r="BO157" i="2"/>
  <c r="BN157" i="2"/>
  <c r="BL157" i="2" s="1"/>
  <c r="BM157" i="2"/>
  <c r="BK157" i="2"/>
  <c r="BJ157" i="2"/>
  <c r="BI157" i="2"/>
  <c r="AX157" i="2"/>
  <c r="AW157" i="2"/>
  <c r="AU157" i="2" s="1"/>
  <c r="AV157" i="2"/>
  <c r="AT157" i="2"/>
  <c r="AS157" i="2"/>
  <c r="AQ157" i="2" s="1"/>
  <c r="AR157" i="2"/>
  <c r="AP157" i="2"/>
  <c r="AK157" i="2"/>
  <c r="AJ157" i="2"/>
  <c r="AH157" i="2"/>
  <c r="AF157" i="2"/>
  <c r="AE157" i="2"/>
  <c r="AD157" i="2"/>
  <c r="AB157" i="2"/>
  <c r="AC157" i="2" s="1"/>
  <c r="AG157" i="2" s="1"/>
  <c r="Y157" i="2"/>
  <c r="AM157" i="2" s="1"/>
  <c r="X157" i="2"/>
  <c r="U157" i="2"/>
  <c r="V157" i="2" s="1"/>
  <c r="AA157" i="2" s="1"/>
  <c r="R157" i="2"/>
  <c r="P157" i="2" s="1"/>
  <c r="Q157" i="2"/>
  <c r="N157" i="2"/>
  <c r="O157" i="2" s="1"/>
  <c r="AI157" i="2" s="1"/>
  <c r="L157" i="2"/>
  <c r="K157" i="2"/>
  <c r="J157" i="2"/>
  <c r="E157" i="2"/>
  <c r="D157" i="2"/>
  <c r="B157" i="2"/>
  <c r="C157" i="2" s="1"/>
  <c r="CD150" i="2"/>
  <c r="BZ150" i="2"/>
  <c r="BY150" i="2"/>
  <c r="BW150" i="2" s="1"/>
  <c r="BX150" i="2"/>
  <c r="BV150" i="2"/>
  <c r="BR150" i="2"/>
  <c r="BQ150" i="2"/>
  <c r="BO150" i="2"/>
  <c r="BN150" i="2"/>
  <c r="BM150" i="2"/>
  <c r="BL150" i="2"/>
  <c r="BK150" i="2"/>
  <c r="BJ150" i="2"/>
  <c r="BI150" i="2"/>
  <c r="BD150" i="2"/>
  <c r="BC150" i="2"/>
  <c r="BA150" i="2"/>
  <c r="AY150" i="2" s="1"/>
  <c r="AZ150" i="2"/>
  <c r="AX150" i="2"/>
  <c r="AW150" i="2"/>
  <c r="AV150" i="2"/>
  <c r="AU150" i="2"/>
  <c r="AT150" i="2"/>
  <c r="AS150" i="2"/>
  <c r="AQ150" i="2" s="1"/>
  <c r="AR150" i="2"/>
  <c r="AP150" i="2"/>
  <c r="AJ150" i="2"/>
  <c r="AF150" i="2"/>
  <c r="AE150" i="2"/>
  <c r="AK150" i="2" s="1"/>
  <c r="AC150" i="2"/>
  <c r="AB150" i="2"/>
  <c r="Y150" i="2"/>
  <c r="X150" i="2"/>
  <c r="W150" i="2" s="1"/>
  <c r="V150" i="2"/>
  <c r="U150" i="2"/>
  <c r="R150" i="2"/>
  <c r="Q150" i="2"/>
  <c r="P150" i="2"/>
  <c r="AL150" i="2" s="1"/>
  <c r="N150" i="2"/>
  <c r="O150" i="2" s="1"/>
  <c r="L150" i="2"/>
  <c r="K150" i="2"/>
  <c r="J150" i="2"/>
  <c r="F150" i="2"/>
  <c r="E150" i="2"/>
  <c r="D150" i="2"/>
  <c r="C150" i="2"/>
  <c r="B150" i="2"/>
  <c r="A150" i="2"/>
  <c r="CD149" i="2"/>
  <c r="BZ149" i="2"/>
  <c r="BY149" i="2"/>
  <c r="BW149" i="2" s="1"/>
  <c r="BX149" i="2"/>
  <c r="BV149" i="2"/>
  <c r="BR149" i="2"/>
  <c r="BP149" i="2" s="1"/>
  <c r="BQ149" i="2"/>
  <c r="BO149" i="2"/>
  <c r="BN149" i="2"/>
  <c r="BL149" i="2" s="1"/>
  <c r="BM149" i="2"/>
  <c r="BK149" i="2"/>
  <c r="BJ149" i="2"/>
  <c r="BI149" i="2"/>
  <c r="BH149" i="2" s="1"/>
  <c r="BA149" i="2"/>
  <c r="AY149" i="2" s="1"/>
  <c r="AZ149" i="2"/>
  <c r="AX149" i="2"/>
  <c r="AW149" i="2"/>
  <c r="AV149" i="2"/>
  <c r="AU149" i="2"/>
  <c r="AT149" i="2"/>
  <c r="AS149" i="2"/>
  <c r="AQ149" i="2" s="1"/>
  <c r="AR149" i="2"/>
  <c r="AP149" i="2"/>
  <c r="AK149" i="2"/>
  <c r="AJ149" i="2"/>
  <c r="AF149" i="2"/>
  <c r="AE149" i="2"/>
  <c r="AD149" i="2"/>
  <c r="AC149" i="2"/>
  <c r="AH149" i="2" s="1"/>
  <c r="AB149" i="2"/>
  <c r="AA149" i="2"/>
  <c r="Y149" i="2"/>
  <c r="X149" i="2"/>
  <c r="W149" i="2"/>
  <c r="V149" i="2"/>
  <c r="Z149" i="2" s="1"/>
  <c r="U149" i="2"/>
  <c r="T149" i="2"/>
  <c r="S149" i="2"/>
  <c r="R149" i="2"/>
  <c r="P149" i="2" s="1"/>
  <c r="AL149" i="2" s="1"/>
  <c r="Q149" i="2"/>
  <c r="N149" i="2"/>
  <c r="O149" i="2" s="1"/>
  <c r="AI149" i="2" s="1"/>
  <c r="L149" i="2"/>
  <c r="K149" i="2"/>
  <c r="J149" i="2"/>
  <c r="I149" i="2"/>
  <c r="F149" i="2"/>
  <c r="H149" i="2" s="1"/>
  <c r="E149" i="2"/>
  <c r="D149" i="2"/>
  <c r="B149" i="2"/>
  <c r="C149" i="2" s="1"/>
  <c r="A149" i="2"/>
  <c r="CD148" i="2"/>
  <c r="BZ148" i="2"/>
  <c r="BY148" i="2"/>
  <c r="BX148" i="2"/>
  <c r="BW148" i="2" s="1"/>
  <c r="BV148" i="2"/>
  <c r="BR148" i="2"/>
  <c r="BQ148" i="2"/>
  <c r="BP148" i="2"/>
  <c r="BO148" i="2"/>
  <c r="BN148" i="2"/>
  <c r="BM148" i="2"/>
  <c r="BT148" i="2" s="1"/>
  <c r="BK148" i="2"/>
  <c r="BJ148" i="2"/>
  <c r="BI148" i="2"/>
  <c r="BC148" i="2" s="1"/>
  <c r="BH148" i="2"/>
  <c r="BA148" i="2"/>
  <c r="AZ148" i="2"/>
  <c r="AY148" i="2"/>
  <c r="AX148" i="2"/>
  <c r="AW148" i="2"/>
  <c r="AV148" i="2"/>
  <c r="AT148" i="2"/>
  <c r="AS148" i="2"/>
  <c r="AR148" i="2"/>
  <c r="AQ148" i="2" s="1"/>
  <c r="AP148" i="2"/>
  <c r="AJ148" i="2"/>
  <c r="AH148" i="2"/>
  <c r="AG148" i="2"/>
  <c r="AF148" i="2"/>
  <c r="AM148" i="2" s="1"/>
  <c r="AE148" i="2"/>
  <c r="AB148" i="2"/>
  <c r="AC148" i="2" s="1"/>
  <c r="Y148" i="2"/>
  <c r="X148" i="2"/>
  <c r="AK148" i="2" s="1"/>
  <c r="BF148" i="2" s="1"/>
  <c r="U148" i="2"/>
  <c r="V148" i="2" s="1"/>
  <c r="AI148" i="2" s="1"/>
  <c r="T148" i="2"/>
  <c r="R148" i="2"/>
  <c r="Q148" i="2"/>
  <c r="N148" i="2"/>
  <c r="O148" i="2" s="1"/>
  <c r="K148" i="2"/>
  <c r="J148" i="2"/>
  <c r="L148" i="2" s="1"/>
  <c r="I148" i="2"/>
  <c r="H148" i="2"/>
  <c r="G148" i="2"/>
  <c r="F148" i="2"/>
  <c r="C148" i="2"/>
  <c r="B148" i="2"/>
  <c r="A148" i="2"/>
  <c r="CD147" i="2"/>
  <c r="BZ147" i="2"/>
  <c r="BY147" i="2"/>
  <c r="BX147" i="2"/>
  <c r="BW147" i="2"/>
  <c r="BV147" i="2"/>
  <c r="BT147" i="2"/>
  <c r="BR147" i="2"/>
  <c r="BP147" i="2" s="1"/>
  <c r="BQ147" i="2"/>
  <c r="BO147" i="2"/>
  <c r="BN147" i="2"/>
  <c r="BU147" i="2" s="1"/>
  <c r="BM147" i="2"/>
  <c r="BK147" i="2"/>
  <c r="BJ147" i="2"/>
  <c r="BH147" i="2" s="1"/>
  <c r="BI147" i="2"/>
  <c r="BC147" i="2"/>
  <c r="BA147" i="2"/>
  <c r="AZ147" i="2"/>
  <c r="AY147" i="2"/>
  <c r="AX147" i="2"/>
  <c r="AW147" i="2"/>
  <c r="AV147" i="2"/>
  <c r="AT147" i="2"/>
  <c r="AS147" i="2"/>
  <c r="AR147" i="2"/>
  <c r="AQ147" i="2"/>
  <c r="AP147" i="2"/>
  <c r="AJ147" i="2"/>
  <c r="AF147" i="2"/>
  <c r="AE147" i="2"/>
  <c r="AK147" i="2" s="1"/>
  <c r="BF147" i="2" s="1"/>
  <c r="AB147" i="2"/>
  <c r="AC147" i="2" s="1"/>
  <c r="AG147" i="2" s="1"/>
  <c r="Y147" i="2"/>
  <c r="AA147" i="2" s="1"/>
  <c r="X147" i="2"/>
  <c r="V147" i="2"/>
  <c r="U147" i="2"/>
  <c r="R147" i="2"/>
  <c r="Q147" i="2"/>
  <c r="O147" i="2"/>
  <c r="AI147" i="2" s="1"/>
  <c r="N147" i="2"/>
  <c r="J147" i="2"/>
  <c r="L147" i="2" s="1"/>
  <c r="I147" i="2"/>
  <c r="H147" i="2"/>
  <c r="F147" i="2"/>
  <c r="G147" i="2" s="1"/>
  <c r="E147" i="2"/>
  <c r="B147" i="2"/>
  <c r="D147" i="2" s="1"/>
  <c r="A147" i="2"/>
  <c r="CD146" i="2"/>
  <c r="BZ146" i="2"/>
  <c r="BY146" i="2"/>
  <c r="BW146" i="2" s="1"/>
  <c r="BX146" i="2"/>
  <c r="BV146" i="2"/>
  <c r="BR146" i="2"/>
  <c r="BP146" i="2" s="1"/>
  <c r="BQ146" i="2"/>
  <c r="BO146" i="2"/>
  <c r="BN146" i="2"/>
  <c r="BM146" i="2"/>
  <c r="BL146" i="2"/>
  <c r="BK146" i="2"/>
  <c r="BJ146" i="2"/>
  <c r="BI146" i="2"/>
  <c r="BT146" i="2" s="1"/>
  <c r="BC146" i="2"/>
  <c r="BF146" i="2" s="1"/>
  <c r="BA146" i="2"/>
  <c r="AY146" i="2" s="1"/>
  <c r="AZ146" i="2"/>
  <c r="AX146" i="2"/>
  <c r="AW146" i="2"/>
  <c r="AV146" i="2"/>
  <c r="AU146" i="2" s="1"/>
  <c r="AT146" i="2"/>
  <c r="AS146" i="2"/>
  <c r="AQ146" i="2" s="1"/>
  <c r="AR146" i="2"/>
  <c r="AP146" i="2"/>
  <c r="AL146" i="2"/>
  <c r="AJ146" i="2"/>
  <c r="AF146" i="2"/>
  <c r="AD146" i="2" s="1"/>
  <c r="AE146" i="2"/>
  <c r="AK146" i="2" s="1"/>
  <c r="AC146" i="2"/>
  <c r="AB146" i="2"/>
  <c r="Y146" i="2"/>
  <c r="X146" i="2"/>
  <c r="W146" i="2"/>
  <c r="U146" i="2"/>
  <c r="V146" i="2" s="1"/>
  <c r="R146" i="2"/>
  <c r="S146" i="2" s="1"/>
  <c r="Q146" i="2"/>
  <c r="P146" i="2"/>
  <c r="O146" i="2"/>
  <c r="N146" i="2"/>
  <c r="L146" i="2"/>
  <c r="K146" i="2"/>
  <c r="J146" i="2"/>
  <c r="G146" i="2"/>
  <c r="F146" i="2"/>
  <c r="E146" i="2"/>
  <c r="D146" i="2"/>
  <c r="C146" i="2"/>
  <c r="B146" i="2"/>
  <c r="A146" i="2"/>
  <c r="CD145" i="2"/>
  <c r="BZ145" i="2"/>
  <c r="BY145" i="2"/>
  <c r="BX145" i="2"/>
  <c r="BW145" i="2"/>
  <c r="BV145" i="2"/>
  <c r="BR145" i="2"/>
  <c r="BP145" i="2" s="1"/>
  <c r="BQ145" i="2"/>
  <c r="BO145" i="2"/>
  <c r="BN145" i="2"/>
  <c r="BL145" i="2" s="1"/>
  <c r="BM145" i="2"/>
  <c r="BK145" i="2"/>
  <c r="BJ145" i="2"/>
  <c r="BI145" i="2"/>
  <c r="BH145" i="2" s="1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K145" i="2"/>
  <c r="AJ145" i="2"/>
  <c r="AF145" i="2"/>
  <c r="AE145" i="2"/>
  <c r="AD145" i="2"/>
  <c r="AB145" i="2"/>
  <c r="AC145" i="2" s="1"/>
  <c r="AH145" i="2" s="1"/>
  <c r="Y145" i="2"/>
  <c r="X145" i="2"/>
  <c r="W145" i="2"/>
  <c r="U145" i="2"/>
  <c r="V145" i="2" s="1"/>
  <c r="Z145" i="2" s="1"/>
  <c r="S145" i="2"/>
  <c r="R145" i="2"/>
  <c r="P145" i="2" s="1"/>
  <c r="AL145" i="2" s="1"/>
  <c r="Q145" i="2"/>
  <c r="N145" i="2"/>
  <c r="O145" i="2" s="1"/>
  <c r="T145" i="2" s="1"/>
  <c r="J145" i="2"/>
  <c r="L145" i="2" s="1"/>
  <c r="I145" i="2"/>
  <c r="F145" i="2"/>
  <c r="H145" i="2" s="1"/>
  <c r="E145" i="2"/>
  <c r="D145" i="2"/>
  <c r="C145" i="2"/>
  <c r="B145" i="2"/>
  <c r="A145" i="2"/>
  <c r="CD144" i="2"/>
  <c r="BZ144" i="2"/>
  <c r="BY144" i="2"/>
  <c r="BX144" i="2"/>
  <c r="BW144" i="2" s="1"/>
  <c r="BV144" i="2"/>
  <c r="BR144" i="2"/>
  <c r="BQ144" i="2"/>
  <c r="BP144" i="2"/>
  <c r="BO144" i="2"/>
  <c r="BN144" i="2"/>
  <c r="BM144" i="2"/>
  <c r="BT144" i="2" s="1"/>
  <c r="BK144" i="2"/>
  <c r="BJ144" i="2"/>
  <c r="BI144" i="2"/>
  <c r="BH144" i="2"/>
  <c r="BA144" i="2"/>
  <c r="AZ144" i="2"/>
  <c r="AY144" i="2" s="1"/>
  <c r="AX144" i="2"/>
  <c r="AW144" i="2"/>
  <c r="AV144" i="2"/>
  <c r="AT144" i="2"/>
  <c r="AS144" i="2"/>
  <c r="AR144" i="2"/>
  <c r="AQ144" i="2" s="1"/>
  <c r="AP144" i="2"/>
  <c r="AJ144" i="2"/>
  <c r="AH144" i="2"/>
  <c r="AG144" i="2"/>
  <c r="AF144" i="2"/>
  <c r="AM144" i="2" s="1"/>
  <c r="AE144" i="2"/>
  <c r="AB144" i="2"/>
  <c r="AC144" i="2" s="1"/>
  <c r="Y144" i="2"/>
  <c r="W144" i="2" s="1"/>
  <c r="X144" i="2"/>
  <c r="AK144" i="2" s="1"/>
  <c r="U144" i="2"/>
  <c r="V144" i="2" s="1"/>
  <c r="T144" i="2"/>
  <c r="S144" i="2"/>
  <c r="R144" i="2"/>
  <c r="Q144" i="2"/>
  <c r="N144" i="2"/>
  <c r="O144" i="2" s="1"/>
  <c r="AI144" i="2" s="1"/>
  <c r="J144" i="2"/>
  <c r="I144" i="2"/>
  <c r="H144" i="2"/>
  <c r="G144" i="2"/>
  <c r="F144" i="2"/>
  <c r="B144" i="2"/>
  <c r="A144" i="2"/>
  <c r="CD143" i="2"/>
  <c r="BZ143" i="2"/>
  <c r="BY143" i="2"/>
  <c r="BX143" i="2"/>
  <c r="BW143" i="2"/>
  <c r="BV143" i="2"/>
  <c r="BU143" i="2"/>
  <c r="BR143" i="2"/>
  <c r="BP143" i="2" s="1"/>
  <c r="BQ143" i="2"/>
  <c r="BO143" i="2"/>
  <c r="BN143" i="2"/>
  <c r="BM143" i="2"/>
  <c r="BT143" i="2" s="1"/>
  <c r="BL143" i="2"/>
  <c r="BK143" i="2"/>
  <c r="BJ143" i="2"/>
  <c r="BH143" i="2" s="1"/>
  <c r="BI143" i="2"/>
  <c r="BA143" i="2"/>
  <c r="AZ143" i="2"/>
  <c r="AY143" i="2"/>
  <c r="AX143" i="2"/>
  <c r="AW143" i="2"/>
  <c r="AV143" i="2"/>
  <c r="BC143" i="2" s="1"/>
  <c r="BF143" i="2" s="1"/>
  <c r="AT143" i="2"/>
  <c r="AS143" i="2"/>
  <c r="AR143" i="2"/>
  <c r="AQ143" i="2"/>
  <c r="AP143" i="2"/>
  <c r="AJ143" i="2"/>
  <c r="AF143" i="2"/>
  <c r="AE143" i="2"/>
  <c r="AK143" i="2" s="1"/>
  <c r="AB143" i="2"/>
  <c r="AC143" i="2" s="1"/>
  <c r="Z143" i="2"/>
  <c r="Y143" i="2"/>
  <c r="AA143" i="2" s="1"/>
  <c r="X143" i="2"/>
  <c r="W143" i="2"/>
  <c r="V143" i="2"/>
  <c r="U143" i="2"/>
  <c r="R143" i="2"/>
  <c r="P143" i="2" s="1"/>
  <c r="Q143" i="2"/>
  <c r="O143" i="2"/>
  <c r="N143" i="2"/>
  <c r="J143" i="2"/>
  <c r="L143" i="2" s="1"/>
  <c r="F143" i="2"/>
  <c r="I143" i="2" s="1"/>
  <c r="E143" i="2"/>
  <c r="B143" i="2"/>
  <c r="D143" i="2" s="1"/>
  <c r="A143" i="2"/>
  <c r="CD142" i="2"/>
  <c r="BZ142" i="2"/>
  <c r="BY142" i="2"/>
  <c r="BW142" i="2" s="1"/>
  <c r="BX142" i="2"/>
  <c r="BV142" i="2"/>
  <c r="BT142" i="2"/>
  <c r="BR142" i="2"/>
  <c r="BQ142" i="2"/>
  <c r="BO142" i="2"/>
  <c r="BN142" i="2"/>
  <c r="BM142" i="2"/>
  <c r="BL142" i="2"/>
  <c r="BK142" i="2"/>
  <c r="BJ142" i="2"/>
  <c r="BI142" i="2"/>
  <c r="BC142" i="2" s="1"/>
  <c r="BA142" i="2"/>
  <c r="AZ142" i="2"/>
  <c r="AX142" i="2"/>
  <c r="AW142" i="2"/>
  <c r="AV142" i="2"/>
  <c r="AU142" i="2"/>
  <c r="AT142" i="2"/>
  <c r="AS142" i="2"/>
  <c r="AQ142" i="2" s="1"/>
  <c r="AR142" i="2"/>
  <c r="AP142" i="2"/>
  <c r="AL142" i="2"/>
  <c r="AJ142" i="2"/>
  <c r="AF142" i="2"/>
  <c r="AE142" i="2"/>
  <c r="AK142" i="2" s="1"/>
  <c r="AC142" i="2"/>
  <c r="AB142" i="2"/>
  <c r="Y142" i="2"/>
  <c r="X142" i="2"/>
  <c r="W142" i="2" s="1"/>
  <c r="V142" i="2"/>
  <c r="U142" i="2"/>
  <c r="R142" i="2"/>
  <c r="S142" i="2" s="1"/>
  <c r="Q142" i="2"/>
  <c r="P142" i="2"/>
  <c r="N142" i="2"/>
  <c r="O142" i="2" s="1"/>
  <c r="L142" i="2"/>
  <c r="K142" i="2"/>
  <c r="J142" i="2"/>
  <c r="F142" i="2"/>
  <c r="E142" i="2"/>
  <c r="D142" i="2"/>
  <c r="C142" i="2"/>
  <c r="B142" i="2"/>
  <c r="A142" i="2"/>
  <c r="CD141" i="2"/>
  <c r="BZ141" i="2"/>
  <c r="BY141" i="2"/>
  <c r="BW141" i="2" s="1"/>
  <c r="BX141" i="2"/>
  <c r="BV141" i="2"/>
  <c r="BR141" i="2"/>
  <c r="BQ141" i="2"/>
  <c r="BP141" i="2" s="1"/>
  <c r="BO141" i="2"/>
  <c r="BN141" i="2"/>
  <c r="BL141" i="2" s="1"/>
  <c r="BM141" i="2"/>
  <c r="BK141" i="2"/>
  <c r="BJ141" i="2"/>
  <c r="BI141" i="2"/>
  <c r="BH141" i="2"/>
  <c r="BB141" i="2"/>
  <c r="BA141" i="2"/>
  <c r="AY141" i="2" s="1"/>
  <c r="AZ141" i="2"/>
  <c r="AX141" i="2"/>
  <c r="AW141" i="2"/>
  <c r="AV141" i="2"/>
  <c r="AU141" i="2"/>
  <c r="AT141" i="2"/>
  <c r="AS141" i="2"/>
  <c r="AQ141" i="2" s="1"/>
  <c r="AR141" i="2"/>
  <c r="AP141" i="2"/>
  <c r="AK141" i="2"/>
  <c r="AJ141" i="2"/>
  <c r="AH141" i="2"/>
  <c r="AF141" i="2"/>
  <c r="AG141" i="2" s="1"/>
  <c r="AE141" i="2"/>
  <c r="AD141" i="2"/>
  <c r="AB141" i="2"/>
  <c r="AA141" i="2"/>
  <c r="Z141" i="2"/>
  <c r="Y141" i="2"/>
  <c r="W141" i="2" s="1"/>
  <c r="X141" i="2"/>
  <c r="U141" i="2"/>
  <c r="R141" i="2"/>
  <c r="Q141" i="2"/>
  <c r="N141" i="2"/>
  <c r="O141" i="2" s="1"/>
  <c r="K141" i="2"/>
  <c r="J141" i="2"/>
  <c r="L141" i="2" s="1"/>
  <c r="I141" i="2"/>
  <c r="H141" i="2"/>
  <c r="G141" i="2"/>
  <c r="F141" i="2"/>
  <c r="B141" i="2"/>
  <c r="A141" i="2"/>
  <c r="CD140" i="2"/>
  <c r="BZ140" i="2"/>
  <c r="BY140" i="2"/>
  <c r="BX140" i="2"/>
  <c r="BW140" i="2"/>
  <c r="BV140" i="2"/>
  <c r="BU140" i="2"/>
  <c r="BT140" i="2"/>
  <c r="BR140" i="2"/>
  <c r="BP140" i="2" s="1"/>
  <c r="BQ140" i="2"/>
  <c r="BO140" i="2"/>
  <c r="BN140" i="2"/>
  <c r="BM140" i="2"/>
  <c r="BL140" i="2"/>
  <c r="BK140" i="2"/>
  <c r="BJ140" i="2"/>
  <c r="BH140" i="2" s="1"/>
  <c r="BI140" i="2"/>
  <c r="BC140" i="2"/>
  <c r="BA140" i="2"/>
  <c r="AZ140" i="2"/>
  <c r="AY140" i="2"/>
  <c r="AX140" i="2"/>
  <c r="AW140" i="2"/>
  <c r="BD140" i="2" s="1"/>
  <c r="AV140" i="2"/>
  <c r="AT140" i="2"/>
  <c r="AS140" i="2"/>
  <c r="AR140" i="2"/>
  <c r="AQ140" i="2"/>
  <c r="AP140" i="2"/>
  <c r="AJ140" i="2"/>
  <c r="AH140" i="2"/>
  <c r="AG140" i="2"/>
  <c r="AF140" i="2"/>
  <c r="AE140" i="2"/>
  <c r="AB140" i="2"/>
  <c r="Y140" i="2"/>
  <c r="X140" i="2"/>
  <c r="W140" i="2"/>
  <c r="U140" i="2"/>
  <c r="R140" i="2"/>
  <c r="S140" i="2" s="1"/>
  <c r="Q140" i="2"/>
  <c r="P140" i="2"/>
  <c r="AL140" i="2" s="1"/>
  <c r="N140" i="2"/>
  <c r="O140" i="2" s="1"/>
  <c r="L140" i="2"/>
  <c r="K140" i="2"/>
  <c r="J140" i="2"/>
  <c r="G140" i="2"/>
  <c r="F140" i="2"/>
  <c r="E140" i="2"/>
  <c r="D140" i="2"/>
  <c r="C140" i="2"/>
  <c r="B140" i="2"/>
  <c r="A140" i="2"/>
  <c r="CD139" i="2"/>
  <c r="BZ139" i="2"/>
  <c r="BY139" i="2"/>
  <c r="BW139" i="2" s="1"/>
  <c r="BX139" i="2"/>
  <c r="BV139" i="2"/>
  <c r="BR139" i="2"/>
  <c r="BQ139" i="2"/>
  <c r="BP139" i="2" s="1"/>
  <c r="BO139" i="2"/>
  <c r="BN139" i="2"/>
  <c r="BL139" i="2" s="1"/>
  <c r="BM139" i="2"/>
  <c r="BK139" i="2"/>
  <c r="BJ139" i="2"/>
  <c r="BI139" i="2"/>
  <c r="BH139" i="2"/>
  <c r="BB139" i="2" s="1"/>
  <c r="BE139" i="2" s="1"/>
  <c r="BA139" i="2"/>
  <c r="AY139" i="2" s="1"/>
  <c r="AZ139" i="2"/>
  <c r="AX139" i="2"/>
  <c r="AW139" i="2"/>
  <c r="AV139" i="2"/>
  <c r="AU139" i="2"/>
  <c r="AT139" i="2"/>
  <c r="AS139" i="2"/>
  <c r="AQ139" i="2" s="1"/>
  <c r="AR139" i="2"/>
  <c r="AP139" i="2"/>
  <c r="AK139" i="2"/>
  <c r="AJ139" i="2"/>
  <c r="AH139" i="2"/>
  <c r="AF139" i="2"/>
  <c r="AD139" i="2" s="1"/>
  <c r="AE139" i="2"/>
  <c r="AB139" i="2"/>
  <c r="Y139" i="2"/>
  <c r="X139" i="2"/>
  <c r="W139" i="2"/>
  <c r="U139" i="2"/>
  <c r="T139" i="2"/>
  <c r="R139" i="2"/>
  <c r="S139" i="2" s="1"/>
  <c r="Q139" i="2"/>
  <c r="P139" i="2"/>
  <c r="AL139" i="2" s="1"/>
  <c r="N139" i="2"/>
  <c r="L139" i="2"/>
  <c r="K139" i="2"/>
  <c r="J139" i="2"/>
  <c r="F139" i="2"/>
  <c r="E139" i="2"/>
  <c r="D139" i="2"/>
  <c r="C139" i="2"/>
  <c r="B139" i="2"/>
  <c r="A139" i="2"/>
  <c r="CD138" i="2"/>
  <c r="BZ138" i="2"/>
  <c r="BY138" i="2"/>
  <c r="BX138" i="2"/>
  <c r="BV138" i="2"/>
  <c r="BR138" i="2"/>
  <c r="BQ138" i="2"/>
  <c r="BP138" i="2"/>
  <c r="BO138" i="2"/>
  <c r="BN138" i="2"/>
  <c r="BM138" i="2"/>
  <c r="BK138" i="2"/>
  <c r="BJ138" i="2"/>
  <c r="BI138" i="2"/>
  <c r="BH138" i="2" s="1"/>
  <c r="BA138" i="2"/>
  <c r="AZ138" i="2"/>
  <c r="AX138" i="2"/>
  <c r="AW138" i="2"/>
  <c r="AU138" i="2" s="1"/>
  <c r="AV138" i="2"/>
  <c r="AT138" i="2"/>
  <c r="AS138" i="2"/>
  <c r="AQ138" i="2" s="1"/>
  <c r="AR138" i="2"/>
  <c r="AP138" i="2"/>
  <c r="AK138" i="2"/>
  <c r="AJ138" i="2"/>
  <c r="AH138" i="2"/>
  <c r="AF138" i="2"/>
  <c r="AE138" i="2"/>
  <c r="AD138" i="2"/>
  <c r="AB138" i="2"/>
  <c r="AC138" i="2" s="1"/>
  <c r="AG138" i="2" s="1"/>
  <c r="Y138" i="2"/>
  <c r="AM138" i="2" s="1"/>
  <c r="X138" i="2"/>
  <c r="U138" i="2"/>
  <c r="V138" i="2" s="1"/>
  <c r="T138" i="2"/>
  <c r="R138" i="2"/>
  <c r="P138" i="2" s="1"/>
  <c r="Q138" i="2"/>
  <c r="N138" i="2"/>
  <c r="O138" i="2" s="1"/>
  <c r="L138" i="2"/>
  <c r="K138" i="2"/>
  <c r="J138" i="2"/>
  <c r="I138" i="2"/>
  <c r="H138" i="2"/>
  <c r="F138" i="2"/>
  <c r="G138" i="2" s="1"/>
  <c r="B138" i="2"/>
  <c r="A138" i="2"/>
  <c r="CD137" i="2"/>
  <c r="BZ137" i="2"/>
  <c r="BY137" i="2"/>
  <c r="BX137" i="2"/>
  <c r="BW137" i="2"/>
  <c r="BV137" i="2"/>
  <c r="BU137" i="2"/>
  <c r="BT137" i="2"/>
  <c r="BR137" i="2"/>
  <c r="BQ137" i="2"/>
  <c r="BP137" i="2" s="1"/>
  <c r="BO137" i="2"/>
  <c r="BN137" i="2"/>
  <c r="BL137" i="2" s="1"/>
  <c r="BM137" i="2"/>
  <c r="BK137" i="2"/>
  <c r="BJ137" i="2"/>
  <c r="BI137" i="2"/>
  <c r="BH137" i="2" s="1"/>
  <c r="BA137" i="2"/>
  <c r="AZ137" i="2"/>
  <c r="AY137" i="2"/>
  <c r="AX137" i="2"/>
  <c r="AW137" i="2"/>
  <c r="AV137" i="2"/>
  <c r="BC137" i="2" s="1"/>
  <c r="AT137" i="2"/>
  <c r="AS137" i="2"/>
  <c r="AR137" i="2"/>
  <c r="AQ137" i="2"/>
  <c r="AP137" i="2"/>
  <c r="AJ137" i="2"/>
  <c r="AI137" i="2"/>
  <c r="AF137" i="2"/>
  <c r="AE137" i="2"/>
  <c r="AB137" i="2"/>
  <c r="AC137" i="2" s="1"/>
  <c r="AA137" i="2"/>
  <c r="Y137" i="2"/>
  <c r="X137" i="2"/>
  <c r="U137" i="2"/>
  <c r="V137" i="2" s="1"/>
  <c r="S137" i="2"/>
  <c r="R137" i="2"/>
  <c r="T137" i="2" s="1"/>
  <c r="Q137" i="2"/>
  <c r="O137" i="2"/>
  <c r="N137" i="2"/>
  <c r="J137" i="2"/>
  <c r="I137" i="2"/>
  <c r="H137" i="2"/>
  <c r="G137" i="2"/>
  <c r="F137" i="2"/>
  <c r="B137" i="2"/>
  <c r="A137" i="2"/>
  <c r="CD136" i="2"/>
  <c r="BZ136" i="2"/>
  <c r="BY136" i="2"/>
  <c r="BW136" i="2" s="1"/>
  <c r="BX136" i="2"/>
  <c r="BV136" i="2"/>
  <c r="BU136" i="2"/>
  <c r="BR136" i="2"/>
  <c r="BP136" i="2" s="1"/>
  <c r="BQ136" i="2"/>
  <c r="BO136" i="2"/>
  <c r="BN136" i="2"/>
  <c r="BM136" i="2"/>
  <c r="BL136" i="2" s="1"/>
  <c r="BK136" i="2"/>
  <c r="BJ136" i="2"/>
  <c r="BH136" i="2" s="1"/>
  <c r="BI136" i="2"/>
  <c r="BC136" i="2"/>
  <c r="BA136" i="2"/>
  <c r="AY136" i="2" s="1"/>
  <c r="AZ136" i="2"/>
  <c r="AX136" i="2"/>
  <c r="AW136" i="2"/>
  <c r="BD136" i="2" s="1"/>
  <c r="AV136" i="2"/>
  <c r="AT136" i="2"/>
  <c r="AS136" i="2"/>
  <c r="AQ136" i="2" s="1"/>
  <c r="AR136" i="2"/>
  <c r="AP136" i="2"/>
  <c r="AJ136" i="2"/>
  <c r="AF136" i="2"/>
  <c r="AE136" i="2"/>
  <c r="AC136" i="2"/>
  <c r="AB136" i="2"/>
  <c r="Y136" i="2"/>
  <c r="X136" i="2"/>
  <c r="W136" i="2" s="1"/>
  <c r="V136" i="2"/>
  <c r="U136" i="2"/>
  <c r="R136" i="2"/>
  <c r="Q136" i="2"/>
  <c r="P136" i="2"/>
  <c r="N136" i="2"/>
  <c r="O136" i="2" s="1"/>
  <c r="AI136" i="2" s="1"/>
  <c r="L136" i="2"/>
  <c r="J136" i="2"/>
  <c r="K136" i="2" s="1"/>
  <c r="H136" i="2"/>
  <c r="F136" i="2"/>
  <c r="I136" i="2" s="1"/>
  <c r="E136" i="2"/>
  <c r="D136" i="2"/>
  <c r="B136" i="2"/>
  <c r="C136" i="2" s="1"/>
  <c r="A136" i="2"/>
  <c r="CD135" i="2"/>
  <c r="BZ135" i="2"/>
  <c r="BY135" i="2"/>
  <c r="BX135" i="2"/>
  <c r="BV135" i="2"/>
  <c r="BR135" i="2"/>
  <c r="BP135" i="2" s="1"/>
  <c r="BQ135" i="2"/>
  <c r="BO135" i="2"/>
  <c r="BN135" i="2"/>
  <c r="BM135" i="2"/>
  <c r="BL135" i="2"/>
  <c r="BK135" i="2"/>
  <c r="BJ135" i="2"/>
  <c r="BH135" i="2" s="1"/>
  <c r="BI135" i="2"/>
  <c r="BT135" i="2" s="1"/>
  <c r="BC135" i="2"/>
  <c r="BA135" i="2"/>
  <c r="AY135" i="2" s="1"/>
  <c r="AZ135" i="2"/>
  <c r="AX135" i="2"/>
  <c r="AW135" i="2"/>
  <c r="AV135" i="2"/>
  <c r="AU135" i="2"/>
  <c r="AT135" i="2"/>
  <c r="AS135" i="2"/>
  <c r="AR135" i="2"/>
  <c r="AP135" i="2"/>
  <c r="AM135" i="2"/>
  <c r="AL135" i="2"/>
  <c r="AK135" i="2"/>
  <c r="AJ135" i="2"/>
  <c r="AF135" i="2"/>
  <c r="AH135" i="2" s="1"/>
  <c r="AE135" i="2"/>
  <c r="AD135" i="2"/>
  <c r="AC135" i="2"/>
  <c r="AB135" i="2"/>
  <c r="Y135" i="2"/>
  <c r="X135" i="2"/>
  <c r="W135" i="2"/>
  <c r="V135" i="2"/>
  <c r="AA135" i="2" s="1"/>
  <c r="U135" i="2"/>
  <c r="R135" i="2"/>
  <c r="Q135" i="2"/>
  <c r="P135" i="2"/>
  <c r="N135" i="2"/>
  <c r="O135" i="2" s="1"/>
  <c r="L135" i="2"/>
  <c r="K135" i="2"/>
  <c r="J135" i="2"/>
  <c r="F135" i="2"/>
  <c r="E135" i="2"/>
  <c r="D135" i="2"/>
  <c r="C135" i="2"/>
  <c r="B135" i="2"/>
  <c r="A135" i="2"/>
  <c r="CD134" i="2"/>
  <c r="BZ134" i="2"/>
  <c r="BY134" i="2"/>
  <c r="BX134" i="2"/>
  <c r="BW134" i="2"/>
  <c r="BV134" i="2"/>
  <c r="BR134" i="2"/>
  <c r="BQ134" i="2"/>
  <c r="BP134" i="2" s="1"/>
  <c r="BO134" i="2"/>
  <c r="BN134" i="2"/>
  <c r="BM134" i="2"/>
  <c r="BK134" i="2"/>
  <c r="BJ134" i="2"/>
  <c r="BD134" i="2" s="1"/>
  <c r="BI134" i="2"/>
  <c r="BH134" i="2"/>
  <c r="BA134" i="2"/>
  <c r="AZ134" i="2"/>
  <c r="AY134" i="2"/>
  <c r="AX134" i="2"/>
  <c r="AW134" i="2"/>
  <c r="AU134" i="2" s="1"/>
  <c r="AV134" i="2"/>
  <c r="AT134" i="2"/>
  <c r="AS134" i="2"/>
  <c r="AQ134" i="2" s="1"/>
  <c r="AR134" i="2"/>
  <c r="AP134" i="2"/>
  <c r="AK134" i="2"/>
  <c r="AJ134" i="2"/>
  <c r="AF134" i="2"/>
  <c r="AE134" i="2"/>
  <c r="AB134" i="2"/>
  <c r="Y134" i="2"/>
  <c r="X134" i="2"/>
  <c r="W134" i="2"/>
  <c r="U134" i="2"/>
  <c r="T134" i="2"/>
  <c r="S134" i="2"/>
  <c r="R134" i="2"/>
  <c r="P134" i="2" s="1"/>
  <c r="AL134" i="2" s="1"/>
  <c r="Q134" i="2"/>
  <c r="N134" i="2"/>
  <c r="J134" i="2"/>
  <c r="L134" i="2" s="1"/>
  <c r="F134" i="2"/>
  <c r="B134" i="2"/>
  <c r="A134" i="2"/>
  <c r="CD133" i="2"/>
  <c r="BZ133" i="2"/>
  <c r="BY133" i="2"/>
  <c r="BX133" i="2"/>
  <c r="BW133" i="2"/>
  <c r="BV133" i="2"/>
  <c r="BR133" i="2"/>
  <c r="BQ133" i="2"/>
  <c r="BP133" i="2"/>
  <c r="BO133" i="2"/>
  <c r="BN133" i="2"/>
  <c r="BM133" i="2"/>
  <c r="BK133" i="2"/>
  <c r="BJ133" i="2"/>
  <c r="BD133" i="2" s="1"/>
  <c r="BI133" i="2"/>
  <c r="BA133" i="2"/>
  <c r="AZ133" i="2"/>
  <c r="AY133" i="2" s="1"/>
  <c r="AX133" i="2"/>
  <c r="AW133" i="2"/>
  <c r="AU133" i="2" s="1"/>
  <c r="AV133" i="2"/>
  <c r="AT133" i="2"/>
  <c r="AS133" i="2"/>
  <c r="AR133" i="2"/>
  <c r="AQ133" i="2"/>
  <c r="AP133" i="2"/>
  <c r="AK133" i="2"/>
  <c r="AJ133" i="2"/>
  <c r="AF133" i="2"/>
  <c r="AE133" i="2"/>
  <c r="AD133" i="2"/>
  <c r="AB133" i="2"/>
  <c r="AC133" i="2" s="1"/>
  <c r="AA133" i="2"/>
  <c r="Y133" i="2"/>
  <c r="X133" i="2"/>
  <c r="U133" i="2"/>
  <c r="V133" i="2" s="1"/>
  <c r="Z133" i="2" s="1"/>
  <c r="T133" i="2"/>
  <c r="S133" i="2"/>
  <c r="R133" i="2"/>
  <c r="P133" i="2" s="1"/>
  <c r="AL133" i="2" s="1"/>
  <c r="Q133" i="2"/>
  <c r="N133" i="2"/>
  <c r="O133" i="2" s="1"/>
  <c r="L133" i="2"/>
  <c r="K133" i="2"/>
  <c r="J133" i="2"/>
  <c r="I133" i="2"/>
  <c r="H133" i="2"/>
  <c r="F133" i="2"/>
  <c r="G133" i="2" s="1"/>
  <c r="D133" i="2"/>
  <c r="B133" i="2"/>
  <c r="E133" i="2" s="1"/>
  <c r="A133" i="2"/>
  <c r="CD132" i="2"/>
  <c r="BZ132" i="2"/>
  <c r="BY132" i="2"/>
  <c r="BX132" i="2"/>
  <c r="BW132" i="2"/>
  <c r="BV132" i="2"/>
  <c r="BT132" i="2"/>
  <c r="BR132" i="2"/>
  <c r="BQ132" i="2"/>
  <c r="BP132" i="2"/>
  <c r="BO132" i="2"/>
  <c r="BN132" i="2"/>
  <c r="BM132" i="2"/>
  <c r="BK132" i="2"/>
  <c r="BJ132" i="2"/>
  <c r="BI132" i="2"/>
  <c r="BH132" i="2"/>
  <c r="BA132" i="2"/>
  <c r="AZ132" i="2"/>
  <c r="AY132" i="2"/>
  <c r="AX132" i="2"/>
  <c r="AW132" i="2"/>
  <c r="AV132" i="2"/>
  <c r="BC132" i="2" s="1"/>
  <c r="AT132" i="2"/>
  <c r="AS132" i="2"/>
  <c r="AR132" i="2"/>
  <c r="AQ132" i="2"/>
  <c r="AP132" i="2"/>
  <c r="AJ132" i="2"/>
  <c r="AF132" i="2"/>
  <c r="AE132" i="2"/>
  <c r="AB132" i="2"/>
  <c r="AC132" i="2" s="1"/>
  <c r="AA132" i="2"/>
  <c r="Z132" i="2"/>
  <c r="Y132" i="2"/>
  <c r="X132" i="2"/>
  <c r="U132" i="2"/>
  <c r="V132" i="2" s="1"/>
  <c r="AI132" i="2" s="1"/>
  <c r="R132" i="2"/>
  <c r="Q132" i="2"/>
  <c r="O132" i="2"/>
  <c r="N132" i="2"/>
  <c r="J132" i="2"/>
  <c r="I132" i="2"/>
  <c r="H132" i="2"/>
  <c r="G132" i="2"/>
  <c r="F132" i="2"/>
  <c r="B132" i="2"/>
  <c r="A132" i="2"/>
  <c r="CD131" i="2"/>
  <c r="BZ131" i="2"/>
  <c r="BY131" i="2"/>
  <c r="BW131" i="2" s="1"/>
  <c r="BX131" i="2"/>
  <c r="BV131" i="2"/>
  <c r="BU131" i="2"/>
  <c r="BR131" i="2"/>
  <c r="BP131" i="2" s="1"/>
  <c r="BQ131" i="2"/>
  <c r="BO131" i="2"/>
  <c r="BN131" i="2"/>
  <c r="BM131" i="2"/>
  <c r="BT131" i="2" s="1"/>
  <c r="BL131" i="2"/>
  <c r="BK131" i="2"/>
  <c r="BJ131" i="2"/>
  <c r="BI131" i="2"/>
  <c r="BA131" i="2"/>
  <c r="AY131" i="2" s="1"/>
  <c r="AZ131" i="2"/>
  <c r="AX131" i="2"/>
  <c r="AW131" i="2"/>
  <c r="AV131" i="2"/>
  <c r="AU131" i="2" s="1"/>
  <c r="AT131" i="2"/>
  <c r="AS131" i="2"/>
  <c r="AQ131" i="2" s="1"/>
  <c r="AR131" i="2"/>
  <c r="AP131" i="2"/>
  <c r="AJ131" i="2"/>
  <c r="AF131" i="2"/>
  <c r="AE131" i="2"/>
  <c r="AK131" i="2" s="1"/>
  <c r="AB131" i="2"/>
  <c r="AA131" i="2"/>
  <c r="Y131" i="2"/>
  <c r="Z131" i="2" s="1"/>
  <c r="X131" i="2"/>
  <c r="W131" i="2"/>
  <c r="U131" i="2"/>
  <c r="T131" i="2"/>
  <c r="S131" i="2"/>
  <c r="R131" i="2"/>
  <c r="P131" i="2" s="1"/>
  <c r="AL131" i="2" s="1"/>
  <c r="Q131" i="2"/>
  <c r="N131" i="2"/>
  <c r="J131" i="2"/>
  <c r="I131" i="2"/>
  <c r="H131" i="2"/>
  <c r="F131" i="2"/>
  <c r="G131" i="2" s="1"/>
  <c r="C131" i="2"/>
  <c r="B131" i="2"/>
  <c r="E131" i="2" s="1"/>
  <c r="A131" i="2"/>
  <c r="CD130" i="2"/>
  <c r="BZ130" i="2"/>
  <c r="BY130" i="2"/>
  <c r="BX130" i="2"/>
  <c r="BW130" i="2"/>
  <c r="BV130" i="2"/>
  <c r="BU130" i="2"/>
  <c r="BR130" i="2"/>
  <c r="BQ130" i="2"/>
  <c r="BP130" i="2"/>
  <c r="BO130" i="2"/>
  <c r="BN130" i="2"/>
  <c r="BM130" i="2"/>
  <c r="BL130" i="2" s="1"/>
  <c r="BS130" i="2" s="1"/>
  <c r="BK130" i="2"/>
  <c r="BJ130" i="2"/>
  <c r="BI130" i="2"/>
  <c r="BH130" i="2"/>
  <c r="BA130" i="2"/>
  <c r="AZ130" i="2"/>
  <c r="AY130" i="2"/>
  <c r="AX130" i="2"/>
  <c r="AW130" i="2"/>
  <c r="AV130" i="2"/>
  <c r="BC130" i="2" s="1"/>
  <c r="AT130" i="2"/>
  <c r="AS130" i="2"/>
  <c r="AR130" i="2"/>
  <c r="AQ130" i="2"/>
  <c r="AP130" i="2"/>
  <c r="AJ130" i="2"/>
  <c r="AI130" i="2"/>
  <c r="AF130" i="2"/>
  <c r="AE130" i="2"/>
  <c r="AB130" i="2"/>
  <c r="AC130" i="2" s="1"/>
  <c r="AA130" i="2"/>
  <c r="Y130" i="2"/>
  <c r="W130" i="2" s="1"/>
  <c r="X130" i="2"/>
  <c r="U130" i="2"/>
  <c r="V130" i="2" s="1"/>
  <c r="S130" i="2"/>
  <c r="R130" i="2"/>
  <c r="T130" i="2" s="1"/>
  <c r="Q130" i="2"/>
  <c r="P130" i="2"/>
  <c r="AL130" i="2" s="1"/>
  <c r="O130" i="2"/>
  <c r="N130" i="2"/>
  <c r="J130" i="2"/>
  <c r="I130" i="2"/>
  <c r="H130" i="2"/>
  <c r="G130" i="2"/>
  <c r="F130" i="2"/>
  <c r="B130" i="2"/>
  <c r="A130" i="2"/>
  <c r="CD129" i="2"/>
  <c r="BZ129" i="2"/>
  <c r="BY129" i="2"/>
  <c r="BW129" i="2" s="1"/>
  <c r="BX129" i="2"/>
  <c r="BV129" i="2"/>
  <c r="BU129" i="2"/>
  <c r="BT129" i="2"/>
  <c r="BR129" i="2"/>
  <c r="BP129" i="2" s="1"/>
  <c r="BQ129" i="2"/>
  <c r="BO129" i="2"/>
  <c r="BN129" i="2"/>
  <c r="BM129" i="2"/>
  <c r="BL129" i="2" s="1"/>
  <c r="BK129" i="2"/>
  <c r="BJ129" i="2"/>
  <c r="BH129" i="2" s="1"/>
  <c r="BI129" i="2"/>
  <c r="BC129" i="2"/>
  <c r="BA129" i="2"/>
  <c r="AY129" i="2" s="1"/>
  <c r="AZ129" i="2"/>
  <c r="AX129" i="2"/>
  <c r="AW129" i="2"/>
  <c r="BD129" i="2" s="1"/>
  <c r="AV129" i="2"/>
  <c r="AT129" i="2"/>
  <c r="AS129" i="2"/>
  <c r="AQ129" i="2" s="1"/>
  <c r="AR129" i="2"/>
  <c r="AP129" i="2"/>
  <c r="AJ129" i="2"/>
  <c r="AF129" i="2"/>
  <c r="AE129" i="2"/>
  <c r="AK129" i="2" s="1"/>
  <c r="AC129" i="2"/>
  <c r="AB129" i="2"/>
  <c r="Y129" i="2"/>
  <c r="X129" i="2"/>
  <c r="W129" i="2"/>
  <c r="V129" i="2"/>
  <c r="U129" i="2"/>
  <c r="R129" i="2"/>
  <c r="Q129" i="2"/>
  <c r="P129" i="2" s="1"/>
  <c r="AL129" i="2" s="1"/>
  <c r="N129" i="2"/>
  <c r="O129" i="2" s="1"/>
  <c r="L129" i="2"/>
  <c r="J129" i="2"/>
  <c r="K129" i="2" s="1"/>
  <c r="H129" i="2"/>
  <c r="F129" i="2"/>
  <c r="I129" i="2" s="1"/>
  <c r="E129" i="2"/>
  <c r="D129" i="2"/>
  <c r="B129" i="2"/>
  <c r="C129" i="2" s="1"/>
  <c r="A129" i="2"/>
  <c r="CD128" i="2"/>
  <c r="BZ128" i="2"/>
  <c r="BY128" i="2"/>
  <c r="BX128" i="2"/>
  <c r="BV128" i="2"/>
  <c r="BR128" i="2"/>
  <c r="BP128" i="2" s="1"/>
  <c r="BQ128" i="2"/>
  <c r="BO128" i="2"/>
  <c r="BN128" i="2"/>
  <c r="BM128" i="2"/>
  <c r="BL128" i="2"/>
  <c r="BK128" i="2"/>
  <c r="BJ128" i="2"/>
  <c r="BI128" i="2"/>
  <c r="BT128" i="2" s="1"/>
  <c r="BA128" i="2"/>
  <c r="AY128" i="2" s="1"/>
  <c r="AZ128" i="2"/>
  <c r="AX128" i="2"/>
  <c r="AW128" i="2"/>
  <c r="AV128" i="2"/>
  <c r="AU128" i="2"/>
  <c r="AT128" i="2"/>
  <c r="AS128" i="2"/>
  <c r="AR128" i="2"/>
  <c r="AP128" i="2"/>
  <c r="AM128" i="2"/>
  <c r="AL128" i="2"/>
  <c r="AK128" i="2"/>
  <c r="AJ128" i="2"/>
  <c r="AF128" i="2"/>
  <c r="AH128" i="2" s="1"/>
  <c r="AE128" i="2"/>
  <c r="AD128" i="2"/>
  <c r="AC128" i="2"/>
  <c r="AB128" i="2"/>
  <c r="Y128" i="2"/>
  <c r="Z128" i="2" s="1"/>
  <c r="X128" i="2"/>
  <c r="W128" i="2"/>
  <c r="V128" i="2"/>
  <c r="AA128" i="2" s="1"/>
  <c r="U128" i="2"/>
  <c r="R128" i="2"/>
  <c r="Q128" i="2"/>
  <c r="P128" i="2"/>
  <c r="N128" i="2"/>
  <c r="O128" i="2" s="1"/>
  <c r="L128" i="2"/>
  <c r="K128" i="2"/>
  <c r="J128" i="2"/>
  <c r="F128" i="2"/>
  <c r="E128" i="2"/>
  <c r="D128" i="2"/>
  <c r="C128" i="2"/>
  <c r="B128" i="2"/>
  <c r="A128" i="2"/>
  <c r="CD127" i="2"/>
  <c r="BZ127" i="2"/>
  <c r="BY127" i="2"/>
  <c r="BX127" i="2"/>
  <c r="BW127" i="2"/>
  <c r="BV127" i="2"/>
  <c r="BR127" i="2"/>
  <c r="BQ127" i="2"/>
  <c r="BP127" i="2" s="1"/>
  <c r="BO127" i="2"/>
  <c r="BN127" i="2"/>
  <c r="BM127" i="2"/>
  <c r="BK127" i="2"/>
  <c r="BJ127" i="2"/>
  <c r="BD127" i="2" s="1"/>
  <c r="BI127" i="2"/>
  <c r="BH127" i="2"/>
  <c r="BA127" i="2"/>
  <c r="AZ127" i="2"/>
  <c r="AY127" i="2"/>
  <c r="AX127" i="2"/>
  <c r="AW127" i="2"/>
  <c r="AU127" i="2" s="1"/>
  <c r="AV127" i="2"/>
  <c r="AT127" i="2"/>
  <c r="AS127" i="2"/>
  <c r="AQ127" i="2" s="1"/>
  <c r="AR127" i="2"/>
  <c r="AP127" i="2"/>
  <c r="AK127" i="2"/>
  <c r="AJ127" i="2"/>
  <c r="AH127" i="2"/>
  <c r="AF127" i="2"/>
  <c r="AE127" i="2"/>
  <c r="AB127" i="2"/>
  <c r="Y127" i="2"/>
  <c r="X127" i="2"/>
  <c r="W127" i="2"/>
  <c r="U127" i="2"/>
  <c r="T127" i="2"/>
  <c r="S127" i="2"/>
  <c r="R127" i="2"/>
  <c r="Q127" i="2"/>
  <c r="P127" i="2"/>
  <c r="AL127" i="2" s="1"/>
  <c r="N127" i="2"/>
  <c r="J127" i="2"/>
  <c r="L127" i="2" s="1"/>
  <c r="I127" i="2"/>
  <c r="F127" i="2"/>
  <c r="H127" i="2" s="1"/>
  <c r="C127" i="2"/>
  <c r="B127" i="2"/>
  <c r="A127" i="2"/>
  <c r="CD126" i="2"/>
  <c r="BZ126" i="2"/>
  <c r="BY126" i="2"/>
  <c r="BX126" i="2"/>
  <c r="BW126" i="2" s="1"/>
  <c r="BV126" i="2"/>
  <c r="BU126" i="2"/>
  <c r="BR126" i="2"/>
  <c r="BQ126" i="2"/>
  <c r="BP126" i="2"/>
  <c r="BO126" i="2"/>
  <c r="BN126" i="2"/>
  <c r="BL126" i="2" s="1"/>
  <c r="BM126" i="2"/>
  <c r="BT126" i="2" s="1"/>
  <c r="BK126" i="2"/>
  <c r="BJ126" i="2"/>
  <c r="BI126" i="2"/>
  <c r="BC126" i="2" s="1"/>
  <c r="BH126" i="2"/>
  <c r="BA126" i="2"/>
  <c r="AZ126" i="2"/>
  <c r="AY126" i="2"/>
  <c r="AX126" i="2"/>
  <c r="AW126" i="2"/>
  <c r="AV126" i="2"/>
  <c r="AT126" i="2"/>
  <c r="AS126" i="2"/>
  <c r="AR126" i="2"/>
  <c r="AQ126" i="2"/>
  <c r="AP126" i="2"/>
  <c r="AJ126" i="2"/>
  <c r="AF126" i="2"/>
  <c r="AE126" i="2"/>
  <c r="AB126" i="2"/>
  <c r="AC126" i="2" s="1"/>
  <c r="AA126" i="2"/>
  <c r="Z126" i="2"/>
  <c r="Y126" i="2"/>
  <c r="W126" i="2" s="1"/>
  <c r="X126" i="2"/>
  <c r="U126" i="2"/>
  <c r="V126" i="2" s="1"/>
  <c r="S126" i="2"/>
  <c r="R126" i="2"/>
  <c r="Q126" i="2"/>
  <c r="N126" i="2"/>
  <c r="O126" i="2" s="1"/>
  <c r="J126" i="2"/>
  <c r="L126" i="2" s="1"/>
  <c r="I126" i="2"/>
  <c r="H126" i="2"/>
  <c r="G126" i="2"/>
  <c r="F126" i="2"/>
  <c r="C126" i="2"/>
  <c r="B126" i="2"/>
  <c r="A126" i="2"/>
  <c r="CD125" i="2"/>
  <c r="BZ125" i="2"/>
  <c r="BY125" i="2"/>
  <c r="BX125" i="2"/>
  <c r="BW125" i="2"/>
  <c r="BV125" i="2"/>
  <c r="BR125" i="2"/>
  <c r="BP125" i="2" s="1"/>
  <c r="BQ125" i="2"/>
  <c r="BO125" i="2"/>
  <c r="BN125" i="2"/>
  <c r="BU125" i="2" s="1"/>
  <c r="BM125" i="2"/>
  <c r="BT125" i="2" s="1"/>
  <c r="BL125" i="2"/>
  <c r="BK125" i="2"/>
  <c r="BJ125" i="2"/>
  <c r="BH125" i="2" s="1"/>
  <c r="BI125" i="2"/>
  <c r="BD125" i="2"/>
  <c r="BC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J125" i="2"/>
  <c r="AH125" i="2"/>
  <c r="AF125" i="2"/>
  <c r="AD125" i="2" s="1"/>
  <c r="AE125" i="2"/>
  <c r="AB125" i="2"/>
  <c r="AC125" i="2" s="1"/>
  <c r="Z125" i="2"/>
  <c r="Y125" i="2"/>
  <c r="AA125" i="2" s="1"/>
  <c r="X125" i="2"/>
  <c r="W125" i="2"/>
  <c r="V125" i="2"/>
  <c r="U125" i="2"/>
  <c r="R125" i="2"/>
  <c r="Q125" i="2"/>
  <c r="P125" i="2"/>
  <c r="O125" i="2"/>
  <c r="AI125" i="2" s="1"/>
  <c r="N125" i="2"/>
  <c r="J125" i="2"/>
  <c r="L125" i="2" s="1"/>
  <c r="H125" i="2"/>
  <c r="G125" i="2"/>
  <c r="F125" i="2"/>
  <c r="I125" i="2" s="1"/>
  <c r="E125" i="2"/>
  <c r="B125" i="2"/>
  <c r="D125" i="2" s="1"/>
  <c r="A125" i="2"/>
  <c r="CD124" i="2"/>
  <c r="BZ124" i="2"/>
  <c r="BY124" i="2"/>
  <c r="BW124" i="2" s="1"/>
  <c r="BX124" i="2"/>
  <c r="BV124" i="2"/>
  <c r="BT124" i="2"/>
  <c r="BR124" i="2"/>
  <c r="BP124" i="2" s="1"/>
  <c r="BQ124" i="2"/>
  <c r="BO124" i="2"/>
  <c r="BN124" i="2"/>
  <c r="BM124" i="2"/>
  <c r="BL124" i="2"/>
  <c r="BK124" i="2"/>
  <c r="BJ124" i="2"/>
  <c r="BD124" i="2" s="1"/>
  <c r="BG124" i="2" s="1"/>
  <c r="BI124" i="2"/>
  <c r="BA124" i="2"/>
  <c r="AY124" i="2" s="1"/>
  <c r="AZ124" i="2"/>
  <c r="AX124" i="2"/>
  <c r="AW124" i="2"/>
  <c r="AV124" i="2"/>
  <c r="AU124" i="2" s="1"/>
  <c r="AT124" i="2"/>
  <c r="AS124" i="2"/>
  <c r="AQ124" i="2" s="1"/>
  <c r="AR124" i="2"/>
  <c r="AP124" i="2"/>
  <c r="AM124" i="2"/>
  <c r="AO124" i="2" s="1"/>
  <c r="AJ124" i="2"/>
  <c r="AF124" i="2"/>
  <c r="AD124" i="2" s="1"/>
  <c r="AE124" i="2"/>
  <c r="AC124" i="2"/>
  <c r="AB124" i="2"/>
  <c r="Y124" i="2"/>
  <c r="AA124" i="2" s="1"/>
  <c r="X124" i="2"/>
  <c r="W124" i="2" s="1"/>
  <c r="V124" i="2"/>
  <c r="U124" i="2"/>
  <c r="R124" i="2"/>
  <c r="Q124" i="2"/>
  <c r="P124" i="2"/>
  <c r="AL124" i="2" s="1"/>
  <c r="N124" i="2"/>
  <c r="O124" i="2" s="1"/>
  <c r="L124" i="2"/>
  <c r="K124" i="2"/>
  <c r="J124" i="2"/>
  <c r="F124" i="2"/>
  <c r="E124" i="2"/>
  <c r="D124" i="2"/>
  <c r="C124" i="2"/>
  <c r="B124" i="2"/>
  <c r="A124" i="2"/>
  <c r="CD123" i="2"/>
  <c r="BZ123" i="2"/>
  <c r="BY123" i="2"/>
  <c r="BX123" i="2"/>
  <c r="BW123" i="2" s="1"/>
  <c r="BV123" i="2"/>
  <c r="BR123" i="2"/>
  <c r="BQ123" i="2"/>
  <c r="BP123" i="2" s="1"/>
  <c r="BO123" i="2"/>
  <c r="BN123" i="2"/>
  <c r="BL123" i="2" s="1"/>
  <c r="BM123" i="2"/>
  <c r="BK123" i="2"/>
  <c r="BJ123" i="2"/>
  <c r="BI123" i="2"/>
  <c r="BA123" i="2"/>
  <c r="AY123" i="2" s="1"/>
  <c r="AZ123" i="2"/>
  <c r="AX123" i="2"/>
  <c r="AW123" i="2"/>
  <c r="AV123" i="2"/>
  <c r="AU123" i="2"/>
  <c r="AT123" i="2"/>
  <c r="AS123" i="2"/>
  <c r="AQ123" i="2" s="1"/>
  <c r="AR123" i="2"/>
  <c r="AP123" i="2"/>
  <c r="AK123" i="2"/>
  <c r="AJ123" i="2"/>
  <c r="AF123" i="2"/>
  <c r="AG123" i="2" s="1"/>
  <c r="AE123" i="2"/>
  <c r="AD123" i="2"/>
  <c r="AC123" i="2"/>
  <c r="AH123" i="2" s="1"/>
  <c r="AB123" i="2"/>
  <c r="Y123" i="2"/>
  <c r="X123" i="2"/>
  <c r="W123" i="2"/>
  <c r="U123" i="2"/>
  <c r="V123" i="2" s="1"/>
  <c r="T123" i="2"/>
  <c r="R123" i="2"/>
  <c r="P123" i="2" s="1"/>
  <c r="AL123" i="2" s="1"/>
  <c r="Q123" i="2"/>
  <c r="N123" i="2"/>
  <c r="O123" i="2" s="1"/>
  <c r="S123" i="2" s="1"/>
  <c r="K123" i="2"/>
  <c r="J123" i="2"/>
  <c r="L123" i="2" s="1"/>
  <c r="I123" i="2"/>
  <c r="F123" i="2"/>
  <c r="H123" i="2" s="1"/>
  <c r="B123" i="2"/>
  <c r="A123" i="2"/>
  <c r="CD122" i="2"/>
  <c r="BZ122" i="2"/>
  <c r="BY122" i="2"/>
  <c r="BX122" i="2"/>
  <c r="BW122" i="2" s="1"/>
  <c r="BV122" i="2"/>
  <c r="BU122" i="2"/>
  <c r="BR122" i="2"/>
  <c r="BQ122" i="2"/>
  <c r="BP122" i="2"/>
  <c r="BO122" i="2"/>
  <c r="BN122" i="2"/>
  <c r="BL122" i="2" s="1"/>
  <c r="BM122" i="2"/>
  <c r="BT122" i="2" s="1"/>
  <c r="BK122" i="2"/>
  <c r="BJ122" i="2"/>
  <c r="BI122" i="2"/>
  <c r="BC122" i="2" s="1"/>
  <c r="BH122" i="2"/>
  <c r="BA122" i="2"/>
  <c r="AZ122" i="2"/>
  <c r="AY122" i="2"/>
  <c r="AX122" i="2"/>
  <c r="AW122" i="2"/>
  <c r="AV122" i="2"/>
  <c r="AT122" i="2"/>
  <c r="AS122" i="2"/>
  <c r="AR122" i="2"/>
  <c r="AQ122" i="2" s="1"/>
  <c r="AP122" i="2"/>
  <c r="AJ122" i="2"/>
  <c r="AI122" i="2"/>
  <c r="AF122" i="2"/>
  <c r="AE122" i="2"/>
  <c r="AB122" i="2"/>
  <c r="AC122" i="2" s="1"/>
  <c r="Z122" i="2"/>
  <c r="Y122" i="2"/>
  <c r="W122" i="2" s="1"/>
  <c r="X122" i="2"/>
  <c r="U122" i="2"/>
  <c r="V122" i="2" s="1"/>
  <c r="R122" i="2"/>
  <c r="Q122" i="2"/>
  <c r="N122" i="2"/>
  <c r="O122" i="2" s="1"/>
  <c r="K122" i="2"/>
  <c r="J122" i="2"/>
  <c r="L122" i="2" s="1"/>
  <c r="I122" i="2"/>
  <c r="H122" i="2"/>
  <c r="G122" i="2"/>
  <c r="F122" i="2"/>
  <c r="B122" i="2"/>
  <c r="A122" i="2"/>
  <c r="CD121" i="2"/>
  <c r="BZ121" i="2"/>
  <c r="BY121" i="2"/>
  <c r="BX121" i="2"/>
  <c r="BW121" i="2"/>
  <c r="BV121" i="2"/>
  <c r="BR121" i="2"/>
  <c r="BP121" i="2" s="1"/>
  <c r="BQ121" i="2"/>
  <c r="BO121" i="2"/>
  <c r="BN121" i="2"/>
  <c r="BL121" i="2" s="1"/>
  <c r="BM121" i="2"/>
  <c r="BT121" i="2" s="1"/>
  <c r="BK121" i="2"/>
  <c r="BJ121" i="2"/>
  <c r="BH121" i="2" s="1"/>
  <c r="BI121" i="2"/>
  <c r="BD121" i="2"/>
  <c r="BC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J121" i="2"/>
  <c r="AH121" i="2"/>
  <c r="AG121" i="2"/>
  <c r="AF121" i="2"/>
  <c r="AE121" i="2"/>
  <c r="AB121" i="2"/>
  <c r="AC121" i="2" s="1"/>
  <c r="Y121" i="2"/>
  <c r="AM121" i="2" s="1"/>
  <c r="X121" i="2"/>
  <c r="W121" i="2"/>
  <c r="V121" i="2"/>
  <c r="U121" i="2"/>
  <c r="R121" i="2"/>
  <c r="P121" i="2" s="1"/>
  <c r="AL121" i="2" s="1"/>
  <c r="Q121" i="2"/>
  <c r="O121" i="2"/>
  <c r="AI121" i="2" s="1"/>
  <c r="N121" i="2"/>
  <c r="J121" i="2"/>
  <c r="L121" i="2" s="1"/>
  <c r="I121" i="2"/>
  <c r="G121" i="2"/>
  <c r="F121" i="2"/>
  <c r="H121" i="2" s="1"/>
  <c r="E121" i="2"/>
  <c r="B121" i="2"/>
  <c r="D121" i="2" s="1"/>
  <c r="A121" i="2"/>
  <c r="CD120" i="2"/>
  <c r="BZ120" i="2"/>
  <c r="BY120" i="2"/>
  <c r="BW120" i="2" s="1"/>
  <c r="BX120" i="2"/>
  <c r="BV120" i="2"/>
  <c r="BR120" i="2"/>
  <c r="BP120" i="2" s="1"/>
  <c r="BQ120" i="2"/>
  <c r="BO120" i="2"/>
  <c r="BN120" i="2"/>
  <c r="BM120" i="2"/>
  <c r="BL120" i="2"/>
  <c r="BK120" i="2"/>
  <c r="BJ120" i="2"/>
  <c r="BI120" i="2"/>
  <c r="BT120" i="2" s="1"/>
  <c r="BA120" i="2"/>
  <c r="AY120" i="2" s="1"/>
  <c r="AZ120" i="2"/>
  <c r="AX120" i="2"/>
  <c r="AW120" i="2"/>
  <c r="AV120" i="2"/>
  <c r="AU120" i="2" s="1"/>
  <c r="AT120" i="2"/>
  <c r="AS120" i="2"/>
  <c r="AQ120" i="2" s="1"/>
  <c r="AR120" i="2"/>
  <c r="AP120" i="2"/>
  <c r="AM120" i="2"/>
  <c r="AL120" i="2"/>
  <c r="AK120" i="2"/>
  <c r="AJ120" i="2"/>
  <c r="AF120" i="2"/>
  <c r="AE120" i="2"/>
  <c r="AD120" i="2" s="1"/>
  <c r="AC120" i="2"/>
  <c r="AB120" i="2"/>
  <c r="Y120" i="2"/>
  <c r="AA120" i="2" s="1"/>
  <c r="X120" i="2"/>
  <c r="W120" i="2"/>
  <c r="U120" i="2"/>
  <c r="V120" i="2" s="1"/>
  <c r="R120" i="2"/>
  <c r="Q120" i="2"/>
  <c r="P120" i="2"/>
  <c r="O120" i="2"/>
  <c r="N120" i="2"/>
  <c r="L120" i="2"/>
  <c r="K120" i="2"/>
  <c r="J120" i="2"/>
  <c r="G120" i="2"/>
  <c r="F120" i="2"/>
  <c r="E120" i="2"/>
  <c r="D120" i="2"/>
  <c r="C120" i="2"/>
  <c r="B120" i="2"/>
  <c r="A120" i="2"/>
  <c r="CD119" i="2"/>
  <c r="BZ119" i="2"/>
  <c r="BY119" i="2"/>
  <c r="BX119" i="2"/>
  <c r="BW119" i="2"/>
  <c r="BV119" i="2"/>
  <c r="BR119" i="2"/>
  <c r="BP119" i="2" s="1"/>
  <c r="BQ119" i="2"/>
  <c r="BO119" i="2"/>
  <c r="BN119" i="2"/>
  <c r="BL119" i="2" s="1"/>
  <c r="BM119" i="2"/>
  <c r="BK119" i="2"/>
  <c r="BJ119" i="2"/>
  <c r="BI119" i="2"/>
  <c r="BA119" i="2"/>
  <c r="AZ119" i="2"/>
  <c r="AY119" i="2" s="1"/>
  <c r="AX119" i="2"/>
  <c r="AW119" i="2"/>
  <c r="AV119" i="2"/>
  <c r="AU119" i="2"/>
  <c r="AT119" i="2"/>
  <c r="AS119" i="2"/>
  <c r="AR119" i="2"/>
  <c r="AQ119" i="2" s="1"/>
  <c r="AP119" i="2"/>
  <c r="AL119" i="2"/>
  <c r="AK119" i="2"/>
  <c r="AJ119" i="2"/>
  <c r="AF119" i="2"/>
  <c r="AE119" i="2"/>
  <c r="AD119" i="2"/>
  <c r="AC119" i="2"/>
  <c r="AH119" i="2" s="1"/>
  <c r="AB119" i="2"/>
  <c r="Y119" i="2"/>
  <c r="X119" i="2"/>
  <c r="W119" i="2"/>
  <c r="U119" i="2"/>
  <c r="V119" i="2" s="1"/>
  <c r="T119" i="2"/>
  <c r="S119" i="2"/>
  <c r="R119" i="2"/>
  <c r="P119" i="2" s="1"/>
  <c r="Q119" i="2"/>
  <c r="N119" i="2"/>
  <c r="O119" i="2" s="1"/>
  <c r="K119" i="2"/>
  <c r="J119" i="2"/>
  <c r="L119" i="2" s="1"/>
  <c r="I119" i="2"/>
  <c r="F119" i="2"/>
  <c r="H119" i="2" s="1"/>
  <c r="D119" i="2"/>
  <c r="C119" i="2"/>
  <c r="B119" i="2"/>
  <c r="E119" i="2" s="1"/>
  <c r="A119" i="2"/>
  <c r="CD118" i="2"/>
  <c r="BZ118" i="2"/>
  <c r="BY118" i="2"/>
  <c r="BX118" i="2"/>
  <c r="BW118" i="2"/>
  <c r="BV118" i="2"/>
  <c r="BR118" i="2"/>
  <c r="BQ118" i="2"/>
  <c r="BP118" i="2"/>
  <c r="BO118" i="2"/>
  <c r="BN118" i="2"/>
  <c r="BU118" i="2" s="1"/>
  <c r="BM118" i="2"/>
  <c r="BT118" i="2" s="1"/>
  <c r="BK118" i="2"/>
  <c r="BJ118" i="2"/>
  <c r="BI118" i="2"/>
  <c r="BC118" i="2" s="1"/>
  <c r="BH118" i="2"/>
  <c r="BA118" i="2"/>
  <c r="AZ118" i="2"/>
  <c r="AY118" i="2" s="1"/>
  <c r="AX118" i="2"/>
  <c r="AW118" i="2"/>
  <c r="AV118" i="2"/>
  <c r="AT118" i="2"/>
  <c r="AS118" i="2"/>
  <c r="AR118" i="2"/>
  <c r="AQ118" i="2" s="1"/>
  <c r="AP118" i="2"/>
  <c r="AJ118" i="2"/>
  <c r="AH118" i="2"/>
  <c r="AF118" i="2"/>
  <c r="AE118" i="2"/>
  <c r="AB118" i="2"/>
  <c r="AC118" i="2" s="1"/>
  <c r="AG118" i="2" s="1"/>
  <c r="AA118" i="2"/>
  <c r="Z118" i="2"/>
  <c r="Y118" i="2"/>
  <c r="W118" i="2" s="1"/>
  <c r="X118" i="2"/>
  <c r="U118" i="2"/>
  <c r="V118" i="2" s="1"/>
  <c r="R118" i="2"/>
  <c r="Q118" i="2"/>
  <c r="N118" i="2"/>
  <c r="O118" i="2" s="1"/>
  <c r="J118" i="2"/>
  <c r="L118" i="2" s="1"/>
  <c r="I118" i="2"/>
  <c r="H118" i="2"/>
  <c r="G118" i="2"/>
  <c r="F118" i="2"/>
  <c r="C118" i="2"/>
  <c r="B118" i="2"/>
  <c r="A118" i="2"/>
  <c r="CD117" i="2"/>
  <c r="BZ117" i="2"/>
  <c r="BY117" i="2"/>
  <c r="BX117" i="2"/>
  <c r="BW117" i="2"/>
  <c r="BV117" i="2"/>
  <c r="BU117" i="2"/>
  <c r="BT117" i="2"/>
  <c r="BR117" i="2"/>
  <c r="BP117" i="2" s="1"/>
  <c r="BQ117" i="2"/>
  <c r="BO117" i="2"/>
  <c r="BN117" i="2"/>
  <c r="BM117" i="2"/>
  <c r="BL117" i="2" s="1"/>
  <c r="BK117" i="2"/>
  <c r="BJ117" i="2"/>
  <c r="BH117" i="2" s="1"/>
  <c r="BI117" i="2"/>
  <c r="BC117" i="2"/>
  <c r="BA117" i="2"/>
  <c r="AZ117" i="2"/>
  <c r="AY117" i="2"/>
  <c r="AX117" i="2"/>
  <c r="AW117" i="2"/>
  <c r="BD117" i="2" s="1"/>
  <c r="AV117" i="2"/>
  <c r="AT117" i="2"/>
  <c r="AS117" i="2"/>
  <c r="AR117" i="2"/>
  <c r="AQ117" i="2"/>
  <c r="AP117" i="2"/>
  <c r="AJ117" i="2"/>
  <c r="AH117" i="2"/>
  <c r="AG117" i="2"/>
  <c r="AF117" i="2"/>
  <c r="AE117" i="2"/>
  <c r="AB117" i="2"/>
  <c r="AC117" i="2" s="1"/>
  <c r="Z117" i="2"/>
  <c r="Y117" i="2"/>
  <c r="AA117" i="2" s="1"/>
  <c r="X117" i="2"/>
  <c r="W117" i="2"/>
  <c r="V117" i="2"/>
  <c r="U117" i="2"/>
  <c r="R117" i="2"/>
  <c r="Q117" i="2"/>
  <c r="P117" i="2" s="1"/>
  <c r="AL117" i="2" s="1"/>
  <c r="O117" i="2"/>
  <c r="N117" i="2"/>
  <c r="J117" i="2"/>
  <c r="L117" i="2" s="1"/>
  <c r="I117" i="2"/>
  <c r="H117" i="2"/>
  <c r="F117" i="2"/>
  <c r="G117" i="2" s="1"/>
  <c r="E117" i="2"/>
  <c r="B117" i="2"/>
  <c r="D117" i="2" s="1"/>
  <c r="A117" i="2"/>
  <c r="CD116" i="2"/>
  <c r="BZ116" i="2"/>
  <c r="BY116" i="2"/>
  <c r="BW116" i="2" s="1"/>
  <c r="BX116" i="2"/>
  <c r="BV116" i="2"/>
  <c r="BR116" i="2"/>
  <c r="BP116" i="2" s="1"/>
  <c r="BQ116" i="2"/>
  <c r="BO116" i="2"/>
  <c r="BN116" i="2"/>
  <c r="BM116" i="2"/>
  <c r="BL116" i="2"/>
  <c r="BK116" i="2"/>
  <c r="BJ116" i="2"/>
  <c r="BI116" i="2"/>
  <c r="BT116" i="2" s="1"/>
  <c r="BD116" i="2"/>
  <c r="BA116" i="2"/>
  <c r="AY116" i="2" s="1"/>
  <c r="AZ116" i="2"/>
  <c r="AX116" i="2"/>
  <c r="AW116" i="2"/>
  <c r="AV116" i="2"/>
  <c r="AU116" i="2" s="1"/>
  <c r="AT116" i="2"/>
  <c r="AS116" i="2"/>
  <c r="AQ116" i="2" s="1"/>
  <c r="AR116" i="2"/>
  <c r="AP116" i="2"/>
  <c r="AJ116" i="2"/>
  <c r="AF116" i="2"/>
  <c r="AE116" i="2"/>
  <c r="AC116" i="2"/>
  <c r="AB116" i="2"/>
  <c r="Y116" i="2"/>
  <c r="AA116" i="2" s="1"/>
  <c r="X116" i="2"/>
  <c r="AK116" i="2" s="1"/>
  <c r="V116" i="2"/>
  <c r="U116" i="2"/>
  <c r="R116" i="2"/>
  <c r="Q116" i="2"/>
  <c r="P116" i="2"/>
  <c r="N116" i="2"/>
  <c r="O116" i="2" s="1"/>
  <c r="L116" i="2"/>
  <c r="K116" i="2"/>
  <c r="J116" i="2"/>
  <c r="G116" i="2"/>
  <c r="F116" i="2"/>
  <c r="E116" i="2"/>
  <c r="D116" i="2"/>
  <c r="C116" i="2"/>
  <c r="B116" i="2"/>
  <c r="A116" i="2"/>
  <c r="CD115" i="2"/>
  <c r="BZ115" i="2"/>
  <c r="BY115" i="2"/>
  <c r="BX115" i="2"/>
  <c r="BW115" i="2"/>
  <c r="BV115" i="2"/>
  <c r="BR115" i="2"/>
  <c r="BP115" i="2" s="1"/>
  <c r="BQ115" i="2"/>
  <c r="BO115" i="2"/>
  <c r="BN115" i="2"/>
  <c r="BL115" i="2" s="1"/>
  <c r="BM115" i="2"/>
  <c r="BK115" i="2"/>
  <c r="BJ115" i="2"/>
  <c r="BI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K115" i="2"/>
  <c r="AJ115" i="2"/>
  <c r="AF115" i="2"/>
  <c r="AE115" i="2"/>
  <c r="AD115" i="2"/>
  <c r="AB115" i="2"/>
  <c r="AC115" i="2" s="1"/>
  <c r="AH115" i="2" s="1"/>
  <c r="AA115" i="2"/>
  <c r="Y115" i="2"/>
  <c r="X115" i="2"/>
  <c r="W115" i="2"/>
  <c r="U115" i="2"/>
  <c r="V115" i="2" s="1"/>
  <c r="Z115" i="2" s="1"/>
  <c r="T115" i="2"/>
  <c r="S115" i="2"/>
  <c r="R115" i="2"/>
  <c r="P115" i="2" s="1"/>
  <c r="AL115" i="2" s="1"/>
  <c r="Q115" i="2"/>
  <c r="N115" i="2"/>
  <c r="O115" i="2" s="1"/>
  <c r="J115" i="2"/>
  <c r="I115" i="2"/>
  <c r="F115" i="2"/>
  <c r="H115" i="2" s="1"/>
  <c r="E115" i="2"/>
  <c r="C115" i="2"/>
  <c r="B115" i="2"/>
  <c r="D115" i="2" s="1"/>
  <c r="A115" i="2"/>
  <c r="CD114" i="2"/>
  <c r="BZ114" i="2"/>
  <c r="BY114" i="2"/>
  <c r="BX114" i="2"/>
  <c r="BW114" i="2" s="1"/>
  <c r="BV114" i="2"/>
  <c r="BR114" i="2"/>
  <c r="BQ114" i="2"/>
  <c r="BP114" i="2"/>
  <c r="BO114" i="2"/>
  <c r="BN114" i="2"/>
  <c r="BM114" i="2"/>
  <c r="BT114" i="2" s="1"/>
  <c r="BK114" i="2"/>
  <c r="BJ114" i="2"/>
  <c r="BI114" i="2"/>
  <c r="BH114" i="2"/>
  <c r="BA114" i="2"/>
  <c r="AZ114" i="2"/>
  <c r="AY114" i="2" s="1"/>
  <c r="AX114" i="2"/>
  <c r="AW114" i="2"/>
  <c r="AV114" i="2"/>
  <c r="AT114" i="2"/>
  <c r="AS114" i="2"/>
  <c r="AR114" i="2"/>
  <c r="AQ114" i="2"/>
  <c r="AP114" i="2"/>
  <c r="AJ114" i="2"/>
  <c r="AH114" i="2"/>
  <c r="AG114" i="2"/>
  <c r="AF114" i="2"/>
  <c r="AE114" i="2"/>
  <c r="AB114" i="2"/>
  <c r="AC114" i="2" s="1"/>
  <c r="Y114" i="2"/>
  <c r="X114" i="2"/>
  <c r="AK114" i="2" s="1"/>
  <c r="U114" i="2"/>
  <c r="V114" i="2" s="1"/>
  <c r="Z114" i="2" s="1"/>
  <c r="R114" i="2"/>
  <c r="P114" i="2" s="1"/>
  <c r="Q114" i="2"/>
  <c r="N114" i="2"/>
  <c r="O114" i="2" s="1"/>
  <c r="S114" i="2" s="1"/>
  <c r="K114" i="2"/>
  <c r="J114" i="2"/>
  <c r="L114" i="2" s="1"/>
  <c r="I114" i="2"/>
  <c r="H114" i="2"/>
  <c r="G114" i="2"/>
  <c r="F114" i="2"/>
  <c r="B114" i="2"/>
  <c r="A114" i="2"/>
  <c r="CD113" i="2"/>
  <c r="BZ113" i="2"/>
  <c r="BY113" i="2"/>
  <c r="BX113" i="2"/>
  <c r="BW113" i="2"/>
  <c r="BV113" i="2"/>
  <c r="BU113" i="2"/>
  <c r="BT113" i="2"/>
  <c r="BR113" i="2"/>
  <c r="BP113" i="2" s="1"/>
  <c r="BQ113" i="2"/>
  <c r="BO113" i="2"/>
  <c r="BN113" i="2"/>
  <c r="BM113" i="2"/>
  <c r="BL113" i="2"/>
  <c r="BK113" i="2"/>
  <c r="BJ113" i="2"/>
  <c r="BH113" i="2" s="1"/>
  <c r="BI113" i="2"/>
  <c r="BD113" i="2"/>
  <c r="BA113" i="2"/>
  <c r="AZ113" i="2"/>
  <c r="AY113" i="2"/>
  <c r="AX113" i="2"/>
  <c r="AW113" i="2"/>
  <c r="AV113" i="2"/>
  <c r="AU113" i="2" s="1"/>
  <c r="AT113" i="2"/>
  <c r="AS113" i="2"/>
  <c r="AR113" i="2"/>
  <c r="AQ113" i="2"/>
  <c r="AP113" i="2"/>
  <c r="AJ113" i="2"/>
  <c r="AH113" i="2"/>
  <c r="AG113" i="2"/>
  <c r="AF113" i="2"/>
  <c r="AE113" i="2"/>
  <c r="AK113" i="2" s="1"/>
  <c r="AB113" i="2"/>
  <c r="AC113" i="2" s="1"/>
  <c r="Z113" i="2"/>
  <c r="Y113" i="2"/>
  <c r="AA113" i="2" s="1"/>
  <c r="X113" i="2"/>
  <c r="W113" i="2"/>
  <c r="V113" i="2"/>
  <c r="U113" i="2"/>
  <c r="R113" i="2"/>
  <c r="Q113" i="2"/>
  <c r="O113" i="2"/>
  <c r="AI113" i="2" s="1"/>
  <c r="N113" i="2"/>
  <c r="J113" i="2"/>
  <c r="L113" i="2" s="1"/>
  <c r="I113" i="2"/>
  <c r="H113" i="2"/>
  <c r="G113" i="2"/>
  <c r="F113" i="2"/>
  <c r="E113" i="2"/>
  <c r="B113" i="2"/>
  <c r="D113" i="2" s="1"/>
  <c r="A113" i="2"/>
  <c r="CD112" i="2"/>
  <c r="BZ112" i="2"/>
  <c r="BY112" i="2"/>
  <c r="BW112" i="2" s="1"/>
  <c r="BX112" i="2"/>
  <c r="BV112" i="2"/>
  <c r="BR112" i="2"/>
  <c r="BQ112" i="2"/>
  <c r="BT112" i="2" s="1"/>
  <c r="BO112" i="2"/>
  <c r="BN112" i="2"/>
  <c r="BM112" i="2"/>
  <c r="BL112" i="2"/>
  <c r="BK112" i="2"/>
  <c r="BJ112" i="2"/>
  <c r="BI112" i="2"/>
  <c r="BC112" i="2"/>
  <c r="BA112" i="2"/>
  <c r="AY112" i="2" s="1"/>
  <c r="AZ112" i="2"/>
  <c r="AX112" i="2"/>
  <c r="AW112" i="2"/>
  <c r="AV112" i="2"/>
  <c r="AU112" i="2"/>
  <c r="AT112" i="2"/>
  <c r="AS112" i="2"/>
  <c r="AQ112" i="2" s="1"/>
  <c r="AR112" i="2"/>
  <c r="AP112" i="2"/>
  <c r="AJ112" i="2"/>
  <c r="AF112" i="2"/>
  <c r="AE112" i="2"/>
  <c r="AK112" i="2" s="1"/>
  <c r="AC112" i="2"/>
  <c r="AB112" i="2"/>
  <c r="Y112" i="2"/>
  <c r="X112" i="2"/>
  <c r="W112" i="2" s="1"/>
  <c r="V112" i="2"/>
  <c r="U112" i="2"/>
  <c r="R112" i="2"/>
  <c r="Q112" i="2"/>
  <c r="P112" i="2"/>
  <c r="N112" i="2"/>
  <c r="O112" i="2" s="1"/>
  <c r="L112" i="2"/>
  <c r="K112" i="2"/>
  <c r="J112" i="2"/>
  <c r="F112" i="2"/>
  <c r="E112" i="2"/>
  <c r="D112" i="2"/>
  <c r="C112" i="2"/>
  <c r="B112" i="2"/>
  <c r="A112" i="2"/>
  <c r="CD111" i="2"/>
  <c r="BZ111" i="2"/>
  <c r="BY111" i="2"/>
  <c r="BW111" i="2" s="1"/>
  <c r="BX111" i="2"/>
  <c r="BV111" i="2"/>
  <c r="BR111" i="2"/>
  <c r="BP111" i="2" s="1"/>
  <c r="BQ111" i="2"/>
  <c r="BO111" i="2"/>
  <c r="BN111" i="2"/>
  <c r="BL111" i="2" s="1"/>
  <c r="BM111" i="2"/>
  <c r="BK111" i="2"/>
  <c r="BJ111" i="2"/>
  <c r="BI111" i="2"/>
  <c r="BH111" i="2"/>
  <c r="BA111" i="2"/>
  <c r="AY111" i="2" s="1"/>
  <c r="AZ111" i="2"/>
  <c r="AX111" i="2"/>
  <c r="AW111" i="2"/>
  <c r="AV111" i="2"/>
  <c r="AU111" i="2"/>
  <c r="AT111" i="2"/>
  <c r="AS111" i="2"/>
  <c r="AQ111" i="2" s="1"/>
  <c r="AR111" i="2"/>
  <c r="AP111" i="2"/>
  <c r="AK111" i="2"/>
  <c r="AJ111" i="2"/>
  <c r="AF111" i="2"/>
  <c r="AG111" i="2" s="1"/>
  <c r="AE111" i="2"/>
  <c r="AD111" i="2"/>
  <c r="AC111" i="2"/>
  <c r="AH111" i="2" s="1"/>
  <c r="AB111" i="2"/>
  <c r="Y111" i="2"/>
  <c r="X111" i="2"/>
  <c r="W111" i="2"/>
  <c r="V111" i="2"/>
  <c r="Z111" i="2" s="1"/>
  <c r="U111" i="2"/>
  <c r="T111" i="2"/>
  <c r="S111" i="2"/>
  <c r="R111" i="2"/>
  <c r="P111" i="2" s="1"/>
  <c r="AL111" i="2" s="1"/>
  <c r="Q111" i="2"/>
  <c r="N111" i="2"/>
  <c r="O111" i="2" s="1"/>
  <c r="AI111" i="2" s="1"/>
  <c r="L111" i="2"/>
  <c r="K111" i="2"/>
  <c r="J111" i="2"/>
  <c r="I111" i="2"/>
  <c r="F111" i="2"/>
  <c r="H111" i="2" s="1"/>
  <c r="D111" i="2"/>
  <c r="B111" i="2"/>
  <c r="C111" i="2" s="1"/>
  <c r="A111" i="2"/>
  <c r="CD110" i="2"/>
  <c r="BZ110" i="2"/>
  <c r="BY110" i="2"/>
  <c r="BX110" i="2"/>
  <c r="BW110" i="2" s="1"/>
  <c r="BV110" i="2"/>
  <c r="BU110" i="2"/>
  <c r="BR110" i="2"/>
  <c r="BQ110" i="2"/>
  <c r="BP110" i="2"/>
  <c r="BO110" i="2"/>
  <c r="BN110" i="2"/>
  <c r="BL110" i="2" s="1"/>
  <c r="BM110" i="2"/>
  <c r="BT110" i="2" s="1"/>
  <c r="BK110" i="2"/>
  <c r="BJ110" i="2"/>
  <c r="BI110" i="2"/>
  <c r="BC110" i="2" s="1"/>
  <c r="BF110" i="2" s="1"/>
  <c r="BH110" i="2"/>
  <c r="BA110" i="2"/>
  <c r="AZ110" i="2"/>
  <c r="AY110" i="2"/>
  <c r="AX110" i="2"/>
  <c r="AW110" i="2"/>
  <c r="AV110" i="2"/>
  <c r="AT110" i="2"/>
  <c r="AS110" i="2"/>
  <c r="AR110" i="2"/>
  <c r="AQ110" i="2" s="1"/>
  <c r="AP110" i="2"/>
  <c r="AJ110" i="2"/>
  <c r="AI110" i="2"/>
  <c r="AF110" i="2"/>
  <c r="AE110" i="2"/>
  <c r="AB110" i="2"/>
  <c r="AC110" i="2" s="1"/>
  <c r="AH110" i="2" s="1"/>
  <c r="Y110" i="2"/>
  <c r="X110" i="2"/>
  <c r="AK110" i="2" s="1"/>
  <c r="U110" i="2"/>
  <c r="V110" i="2" s="1"/>
  <c r="T110" i="2"/>
  <c r="R110" i="2"/>
  <c r="Q110" i="2"/>
  <c r="N110" i="2"/>
  <c r="O110" i="2" s="1"/>
  <c r="J110" i="2"/>
  <c r="L110" i="2" s="1"/>
  <c r="I110" i="2"/>
  <c r="H110" i="2"/>
  <c r="G110" i="2"/>
  <c r="F110" i="2"/>
  <c r="C110" i="2"/>
  <c r="B110" i="2"/>
  <c r="A110" i="2"/>
  <c r="CD109" i="2"/>
  <c r="BZ109" i="2"/>
  <c r="BY109" i="2"/>
  <c r="BX109" i="2"/>
  <c r="BW109" i="2"/>
  <c r="BV109" i="2"/>
  <c r="BT109" i="2"/>
  <c r="BR109" i="2"/>
  <c r="BP109" i="2" s="1"/>
  <c r="BQ109" i="2"/>
  <c r="BO109" i="2"/>
  <c r="BN109" i="2"/>
  <c r="BM109" i="2"/>
  <c r="BK109" i="2"/>
  <c r="BJ109" i="2"/>
  <c r="BH109" i="2" s="1"/>
  <c r="BI109" i="2"/>
  <c r="BD109" i="2"/>
  <c r="BG109" i="2" s="1"/>
  <c r="BC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M109" i="2"/>
  <c r="AN109" i="2" s="1"/>
  <c r="AJ109" i="2"/>
  <c r="AG109" i="2"/>
  <c r="AF109" i="2"/>
  <c r="AE109" i="2"/>
  <c r="AB109" i="2"/>
  <c r="AC109" i="2" s="1"/>
  <c r="Y109" i="2"/>
  <c r="X109" i="2"/>
  <c r="V109" i="2"/>
  <c r="U109" i="2"/>
  <c r="R109" i="2"/>
  <c r="Q109" i="2"/>
  <c r="O109" i="2"/>
  <c r="AI109" i="2" s="1"/>
  <c r="N109" i="2"/>
  <c r="J109" i="2"/>
  <c r="L109" i="2" s="1"/>
  <c r="I109" i="2"/>
  <c r="H109" i="2"/>
  <c r="G109" i="2"/>
  <c r="F109" i="2"/>
  <c r="E109" i="2"/>
  <c r="B109" i="2"/>
  <c r="D109" i="2" s="1"/>
  <c r="A109" i="2"/>
  <c r="CD108" i="2"/>
  <c r="BZ108" i="2"/>
  <c r="BY108" i="2"/>
  <c r="BW108" i="2" s="1"/>
  <c r="BX108" i="2"/>
  <c r="BV108" i="2"/>
  <c r="BR108" i="2"/>
  <c r="BP108" i="2" s="1"/>
  <c r="BQ108" i="2"/>
  <c r="BO108" i="2"/>
  <c r="BN108" i="2"/>
  <c r="BM108" i="2"/>
  <c r="BL108" i="2"/>
  <c r="BK108" i="2"/>
  <c r="BJ108" i="2"/>
  <c r="BI108" i="2"/>
  <c r="BT108" i="2" s="1"/>
  <c r="BA108" i="2"/>
  <c r="AY108" i="2" s="1"/>
  <c r="AZ108" i="2"/>
  <c r="AX108" i="2"/>
  <c r="AW108" i="2"/>
  <c r="AV108" i="2"/>
  <c r="AU108" i="2" s="1"/>
  <c r="AT108" i="2"/>
  <c r="AS108" i="2"/>
  <c r="AQ108" i="2" s="1"/>
  <c r="AR108" i="2"/>
  <c r="AP108" i="2"/>
  <c r="AM108" i="2"/>
  <c r="AJ108" i="2"/>
  <c r="AF108" i="2"/>
  <c r="AD108" i="2" s="1"/>
  <c r="AL108" i="2" s="1"/>
  <c r="AE108" i="2"/>
  <c r="AK108" i="2" s="1"/>
  <c r="AC108" i="2"/>
  <c r="AB108" i="2"/>
  <c r="Y108" i="2"/>
  <c r="AA108" i="2" s="1"/>
  <c r="X108" i="2"/>
  <c r="W108" i="2"/>
  <c r="V108" i="2"/>
  <c r="U108" i="2"/>
  <c r="R108" i="2"/>
  <c r="Q108" i="2"/>
  <c r="P108" i="2"/>
  <c r="O108" i="2"/>
  <c r="N108" i="2"/>
  <c r="L108" i="2"/>
  <c r="K108" i="2"/>
  <c r="J108" i="2"/>
  <c r="G108" i="2"/>
  <c r="F108" i="2"/>
  <c r="E108" i="2"/>
  <c r="D108" i="2"/>
  <c r="C108" i="2"/>
  <c r="B108" i="2"/>
  <c r="A108" i="2"/>
  <c r="CD107" i="2"/>
  <c r="BZ107" i="2"/>
  <c r="BY107" i="2"/>
  <c r="BX107" i="2"/>
  <c r="BW107" i="2"/>
  <c r="BV107" i="2"/>
  <c r="BR107" i="2"/>
  <c r="BP107" i="2" s="1"/>
  <c r="BQ107" i="2"/>
  <c r="BO107" i="2"/>
  <c r="BN107" i="2"/>
  <c r="BL107" i="2" s="1"/>
  <c r="BM107" i="2"/>
  <c r="BK107" i="2"/>
  <c r="BJ107" i="2"/>
  <c r="BI107" i="2"/>
  <c r="BH107" i="2" s="1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K107" i="2"/>
  <c r="AJ107" i="2"/>
  <c r="AF107" i="2"/>
  <c r="AE107" i="2"/>
  <c r="AD107" i="2"/>
  <c r="AB107" i="2"/>
  <c r="AC107" i="2" s="1"/>
  <c r="AH107" i="2" s="1"/>
  <c r="Y107" i="2"/>
  <c r="X107" i="2"/>
  <c r="W107" i="2"/>
  <c r="V107" i="2"/>
  <c r="Z107" i="2" s="1"/>
  <c r="U107" i="2"/>
  <c r="S107" i="2"/>
  <c r="R107" i="2"/>
  <c r="P107" i="2" s="1"/>
  <c r="AL107" i="2" s="1"/>
  <c r="Q107" i="2"/>
  <c r="N107" i="2"/>
  <c r="O107" i="2" s="1"/>
  <c r="T107" i="2" s="1"/>
  <c r="K107" i="2"/>
  <c r="J107" i="2"/>
  <c r="L107" i="2" s="1"/>
  <c r="I107" i="2"/>
  <c r="F107" i="2"/>
  <c r="H107" i="2" s="1"/>
  <c r="E107" i="2"/>
  <c r="D107" i="2"/>
  <c r="C107" i="2"/>
  <c r="B107" i="2"/>
  <c r="A107" i="2"/>
  <c r="CD106" i="2"/>
  <c r="BZ106" i="2"/>
  <c r="BY106" i="2"/>
  <c r="BX106" i="2"/>
  <c r="BW106" i="2"/>
  <c r="BV106" i="2"/>
  <c r="BR106" i="2"/>
  <c r="BQ106" i="2"/>
  <c r="BP106" i="2"/>
  <c r="BO106" i="2"/>
  <c r="BN106" i="2"/>
  <c r="BM106" i="2"/>
  <c r="BT106" i="2" s="1"/>
  <c r="BK106" i="2"/>
  <c r="BJ106" i="2"/>
  <c r="BI106" i="2"/>
  <c r="BH106" i="2"/>
  <c r="BA106" i="2"/>
  <c r="AZ106" i="2"/>
  <c r="AY106" i="2" s="1"/>
  <c r="AX106" i="2"/>
  <c r="AW106" i="2"/>
  <c r="AV106" i="2"/>
  <c r="AT106" i="2"/>
  <c r="AS106" i="2"/>
  <c r="AR106" i="2"/>
  <c r="AQ106" i="2" s="1"/>
  <c r="AP106" i="2"/>
  <c r="AO106" i="2"/>
  <c r="AJ106" i="2"/>
  <c r="AH106" i="2"/>
  <c r="AG106" i="2"/>
  <c r="AF106" i="2"/>
  <c r="AM106" i="2" s="1"/>
  <c r="AE106" i="2"/>
  <c r="AB106" i="2"/>
  <c r="AC106" i="2" s="1"/>
  <c r="AA106" i="2"/>
  <c r="Z106" i="2"/>
  <c r="Y106" i="2"/>
  <c r="W106" i="2" s="1"/>
  <c r="X106" i="2"/>
  <c r="U106" i="2"/>
  <c r="V106" i="2" s="1"/>
  <c r="R106" i="2"/>
  <c r="Q106" i="2"/>
  <c r="N106" i="2"/>
  <c r="O106" i="2" s="1"/>
  <c r="AI106" i="2" s="1"/>
  <c r="J106" i="2"/>
  <c r="I106" i="2"/>
  <c r="H106" i="2"/>
  <c r="G106" i="2"/>
  <c r="F106" i="2"/>
  <c r="B106" i="2"/>
  <c r="A106" i="2"/>
  <c r="CD105" i="2"/>
  <c r="BZ105" i="2"/>
  <c r="BY105" i="2"/>
  <c r="BX105" i="2"/>
  <c r="BW105" i="2"/>
  <c r="BV105" i="2"/>
  <c r="BU105" i="2"/>
  <c r="BR105" i="2"/>
  <c r="BP105" i="2" s="1"/>
  <c r="BQ105" i="2"/>
  <c r="BO105" i="2"/>
  <c r="BN105" i="2"/>
  <c r="BM105" i="2"/>
  <c r="BT105" i="2" s="1"/>
  <c r="BK105" i="2"/>
  <c r="BJ105" i="2"/>
  <c r="BH105" i="2" s="1"/>
  <c r="BI105" i="2"/>
  <c r="BA105" i="2"/>
  <c r="AZ105" i="2"/>
  <c r="AY105" i="2"/>
  <c r="AX105" i="2"/>
  <c r="AW105" i="2"/>
  <c r="AV105" i="2"/>
  <c r="BC105" i="2" s="1"/>
  <c r="BF105" i="2" s="1"/>
  <c r="AT105" i="2"/>
  <c r="AS105" i="2"/>
  <c r="AR105" i="2"/>
  <c r="AQ105" i="2"/>
  <c r="AP105" i="2"/>
  <c r="AJ105" i="2"/>
  <c r="AF105" i="2"/>
  <c r="AE105" i="2"/>
  <c r="AK105" i="2" s="1"/>
  <c r="AB105" i="2"/>
  <c r="AC105" i="2" s="1"/>
  <c r="AH105" i="2" s="1"/>
  <c r="Z105" i="2"/>
  <c r="Y105" i="2"/>
  <c r="AA105" i="2" s="1"/>
  <c r="X105" i="2"/>
  <c r="W105" i="2" s="1"/>
  <c r="V105" i="2"/>
  <c r="U105" i="2"/>
  <c r="R105" i="2"/>
  <c r="Q105" i="2"/>
  <c r="P105" i="2"/>
  <c r="AL105" i="2" s="1"/>
  <c r="O105" i="2"/>
  <c r="N105" i="2"/>
  <c r="J105" i="2"/>
  <c r="L105" i="2" s="1"/>
  <c r="F105" i="2"/>
  <c r="I105" i="2" s="1"/>
  <c r="E105" i="2"/>
  <c r="B105" i="2"/>
  <c r="D105" i="2" s="1"/>
  <c r="A105" i="2"/>
  <c r="CD104" i="2"/>
  <c r="BZ104" i="2"/>
  <c r="BY104" i="2"/>
  <c r="BW104" i="2" s="1"/>
  <c r="BX104" i="2"/>
  <c r="BV104" i="2"/>
  <c r="BR104" i="2"/>
  <c r="BQ104" i="2"/>
  <c r="BO104" i="2"/>
  <c r="BN104" i="2"/>
  <c r="BM104" i="2"/>
  <c r="BL104" i="2"/>
  <c r="BK104" i="2"/>
  <c r="BJ104" i="2"/>
  <c r="BI104" i="2"/>
  <c r="BC104" i="2" s="1"/>
  <c r="BD104" i="2"/>
  <c r="BA104" i="2"/>
  <c r="AY104" i="2" s="1"/>
  <c r="AZ104" i="2"/>
  <c r="AX104" i="2"/>
  <c r="AW104" i="2"/>
  <c r="AV104" i="2"/>
  <c r="AU104" i="2"/>
  <c r="AT104" i="2"/>
  <c r="AS104" i="2"/>
  <c r="AQ104" i="2" s="1"/>
  <c r="AR104" i="2"/>
  <c r="AP104" i="2"/>
  <c r="AJ104" i="2"/>
  <c r="AF104" i="2"/>
  <c r="AE104" i="2"/>
  <c r="AC104" i="2"/>
  <c r="AB104" i="2"/>
  <c r="Y104" i="2"/>
  <c r="X104" i="2"/>
  <c r="W104" i="2" s="1"/>
  <c r="U104" i="2"/>
  <c r="V104" i="2" s="1"/>
  <c r="R104" i="2"/>
  <c r="Q104" i="2"/>
  <c r="P104" i="2"/>
  <c r="N104" i="2"/>
  <c r="O104" i="2" s="1"/>
  <c r="L104" i="2"/>
  <c r="K104" i="2"/>
  <c r="J104" i="2"/>
  <c r="G104" i="2"/>
  <c r="F104" i="2"/>
  <c r="E104" i="2"/>
  <c r="D104" i="2"/>
  <c r="C104" i="2"/>
  <c r="B104" i="2"/>
  <c r="A104" i="2"/>
  <c r="CD103" i="2"/>
  <c r="BZ103" i="2"/>
  <c r="BY103" i="2"/>
  <c r="BW103" i="2" s="1"/>
  <c r="BX103" i="2"/>
  <c r="BV103" i="2"/>
  <c r="BR103" i="2"/>
  <c r="BQ103" i="2"/>
  <c r="BP103" i="2"/>
  <c r="BO103" i="2"/>
  <c r="BN103" i="2"/>
  <c r="BL103" i="2" s="1"/>
  <c r="BM103" i="2"/>
  <c r="BK103" i="2"/>
  <c r="BJ103" i="2"/>
  <c r="BI103" i="2"/>
  <c r="BH103" i="2"/>
  <c r="BA103" i="2"/>
  <c r="AY103" i="2" s="1"/>
  <c r="AZ103" i="2"/>
  <c r="AX103" i="2"/>
  <c r="AW103" i="2"/>
  <c r="AV103" i="2"/>
  <c r="AU103" i="2"/>
  <c r="AT103" i="2"/>
  <c r="AS103" i="2"/>
  <c r="AQ103" i="2" s="1"/>
  <c r="AR103" i="2"/>
  <c r="AP103" i="2"/>
  <c r="AK103" i="2"/>
  <c r="AJ103" i="2"/>
  <c r="AI103" i="2"/>
  <c r="AF103" i="2"/>
  <c r="AG103" i="2" s="1"/>
  <c r="AE103" i="2"/>
  <c r="AD103" i="2"/>
  <c r="AC103" i="2"/>
  <c r="AH103" i="2" s="1"/>
  <c r="AB103" i="2"/>
  <c r="AA103" i="2"/>
  <c r="Y103" i="2"/>
  <c r="X103" i="2"/>
  <c r="W103" i="2"/>
  <c r="U103" i="2"/>
  <c r="V103" i="2" s="1"/>
  <c r="Z103" i="2" s="1"/>
  <c r="R103" i="2"/>
  <c r="P103" i="2" s="1"/>
  <c r="AL103" i="2" s="1"/>
  <c r="Q103" i="2"/>
  <c r="N103" i="2"/>
  <c r="O103" i="2" s="1"/>
  <c r="S103" i="2" s="1"/>
  <c r="J103" i="2"/>
  <c r="K103" i="2" s="1"/>
  <c r="I103" i="2"/>
  <c r="F103" i="2"/>
  <c r="H103" i="2" s="1"/>
  <c r="C103" i="2"/>
  <c r="B103" i="2"/>
  <c r="E103" i="2" s="1"/>
  <c r="A103" i="2"/>
  <c r="CD102" i="2"/>
  <c r="BZ102" i="2"/>
  <c r="BY102" i="2"/>
  <c r="BX102" i="2"/>
  <c r="BW102" i="2" s="1"/>
  <c r="BV102" i="2"/>
  <c r="BU102" i="2"/>
  <c r="BR102" i="2"/>
  <c r="BQ102" i="2"/>
  <c r="BP102" i="2"/>
  <c r="BO102" i="2"/>
  <c r="BN102" i="2"/>
  <c r="BL102" i="2" s="1"/>
  <c r="BM102" i="2"/>
  <c r="BT102" i="2" s="1"/>
  <c r="BK102" i="2"/>
  <c r="BJ102" i="2"/>
  <c r="BI102" i="2"/>
  <c r="BH102" i="2"/>
  <c r="BA102" i="2"/>
  <c r="AZ102" i="2"/>
  <c r="AY102" i="2"/>
  <c r="AX102" i="2"/>
  <c r="AW102" i="2"/>
  <c r="AV102" i="2"/>
  <c r="AT102" i="2"/>
  <c r="AS102" i="2"/>
  <c r="AR102" i="2"/>
  <c r="AQ102" i="2" s="1"/>
  <c r="AP102" i="2"/>
  <c r="AJ102" i="2"/>
  <c r="AI102" i="2"/>
  <c r="AG102" i="2"/>
  <c r="AF102" i="2"/>
  <c r="AE102" i="2"/>
  <c r="AB102" i="2"/>
  <c r="AC102" i="2" s="1"/>
  <c r="AH102" i="2" s="1"/>
  <c r="Y102" i="2"/>
  <c r="X102" i="2"/>
  <c r="U102" i="2"/>
  <c r="S102" i="2"/>
  <c r="R102" i="2"/>
  <c r="Q102" i="2"/>
  <c r="N102" i="2"/>
  <c r="J102" i="2"/>
  <c r="L102" i="2" s="1"/>
  <c r="F102" i="2"/>
  <c r="I102" i="2" s="1"/>
  <c r="E102" i="2"/>
  <c r="B102" i="2"/>
  <c r="D102" i="2" s="1"/>
  <c r="A102" i="2"/>
  <c r="CD101" i="2"/>
  <c r="BZ101" i="2"/>
  <c r="BY101" i="2"/>
  <c r="BW101" i="2" s="1"/>
  <c r="BX101" i="2"/>
  <c r="BV101" i="2"/>
  <c r="BT101" i="2"/>
  <c r="BR101" i="2"/>
  <c r="BP101" i="2" s="1"/>
  <c r="BQ101" i="2"/>
  <c r="BO101" i="2"/>
  <c r="BN101" i="2"/>
  <c r="BM101" i="2"/>
  <c r="BL101" i="2"/>
  <c r="BK101" i="2"/>
  <c r="BJ101" i="2"/>
  <c r="BI101" i="2"/>
  <c r="BD101" i="2"/>
  <c r="BA101" i="2"/>
  <c r="AY101" i="2" s="1"/>
  <c r="AZ101" i="2"/>
  <c r="AX101" i="2"/>
  <c r="AW101" i="2"/>
  <c r="AV101" i="2"/>
  <c r="AU101" i="2" s="1"/>
  <c r="AT101" i="2"/>
  <c r="AS101" i="2"/>
  <c r="AQ101" i="2" s="1"/>
  <c r="AR101" i="2"/>
  <c r="AP101" i="2"/>
  <c r="AL101" i="2"/>
  <c r="AJ101" i="2"/>
  <c r="AF101" i="2"/>
  <c r="AD101" i="2" s="1"/>
  <c r="AE101" i="2"/>
  <c r="AC101" i="2"/>
  <c r="AB101" i="2"/>
  <c r="Y101" i="2"/>
  <c r="AA101" i="2" s="1"/>
  <c r="X101" i="2"/>
  <c r="W101" i="2" s="1"/>
  <c r="V101" i="2"/>
  <c r="U101" i="2"/>
  <c r="R101" i="2"/>
  <c r="Q101" i="2"/>
  <c r="P101" i="2"/>
  <c r="N101" i="2"/>
  <c r="O101" i="2" s="1"/>
  <c r="L101" i="2"/>
  <c r="K101" i="2"/>
  <c r="J101" i="2"/>
  <c r="G101" i="2"/>
  <c r="F101" i="2"/>
  <c r="E101" i="2"/>
  <c r="D101" i="2"/>
  <c r="C101" i="2"/>
  <c r="B101" i="2"/>
  <c r="A101" i="2"/>
  <c r="CD100" i="2"/>
  <c r="BZ100" i="2"/>
  <c r="BY100" i="2"/>
  <c r="BX100" i="2"/>
  <c r="BW100" i="2"/>
  <c r="BV100" i="2"/>
  <c r="BR100" i="2"/>
  <c r="BQ100" i="2"/>
  <c r="BP100" i="2" s="1"/>
  <c r="BO100" i="2"/>
  <c r="BN100" i="2"/>
  <c r="BL100" i="2" s="1"/>
  <c r="BM100" i="2"/>
  <c r="BK100" i="2"/>
  <c r="BJ100" i="2"/>
  <c r="BI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K100" i="2"/>
  <c r="AJ100" i="2"/>
  <c r="AF100" i="2"/>
  <c r="AE100" i="2"/>
  <c r="AD100" i="2"/>
  <c r="AB100" i="2"/>
  <c r="AC100" i="2" s="1"/>
  <c r="AH100" i="2" s="1"/>
  <c r="Y100" i="2"/>
  <c r="X100" i="2"/>
  <c r="W100" i="2"/>
  <c r="U100" i="2"/>
  <c r="V100" i="2" s="1"/>
  <c r="T100" i="2"/>
  <c r="S100" i="2"/>
  <c r="R100" i="2"/>
  <c r="Q100" i="2"/>
  <c r="N100" i="2"/>
  <c r="O100" i="2" s="1"/>
  <c r="J100" i="2"/>
  <c r="L100" i="2" s="1"/>
  <c r="I100" i="2"/>
  <c r="F100" i="2"/>
  <c r="H100" i="2" s="1"/>
  <c r="B100" i="2"/>
  <c r="E100" i="2" s="1"/>
  <c r="A100" i="2"/>
  <c r="CD99" i="2"/>
  <c r="BZ99" i="2"/>
  <c r="BY99" i="2"/>
  <c r="BX99" i="2"/>
  <c r="BW99" i="2" s="1"/>
  <c r="BV99" i="2"/>
  <c r="BU99" i="2"/>
  <c r="BT99" i="2"/>
  <c r="BR99" i="2"/>
  <c r="BQ99" i="2"/>
  <c r="BP99" i="2"/>
  <c r="BO99" i="2"/>
  <c r="BN99" i="2"/>
  <c r="BM99" i="2"/>
  <c r="BL99" i="2"/>
  <c r="BK99" i="2"/>
  <c r="BJ99" i="2"/>
  <c r="BI99" i="2"/>
  <c r="BH99" i="2"/>
  <c r="BD99" i="2"/>
  <c r="BA99" i="2"/>
  <c r="AZ99" i="2"/>
  <c r="AY99" i="2" s="1"/>
  <c r="AX99" i="2"/>
  <c r="AW99" i="2"/>
  <c r="AU99" i="2" s="1"/>
  <c r="AV99" i="2"/>
  <c r="AT99" i="2"/>
  <c r="AS99" i="2"/>
  <c r="AR99" i="2"/>
  <c r="AQ99" i="2"/>
  <c r="AP99" i="2"/>
  <c r="AJ99" i="2"/>
  <c r="AF99" i="2"/>
  <c r="AE99" i="2"/>
  <c r="AB99" i="2"/>
  <c r="AC99" i="2" s="1"/>
  <c r="Y99" i="2"/>
  <c r="X99" i="2"/>
  <c r="AK99" i="2" s="1"/>
  <c r="U99" i="2"/>
  <c r="V99" i="2" s="1"/>
  <c r="AA99" i="2" s="1"/>
  <c r="T99" i="2"/>
  <c r="S99" i="2"/>
  <c r="R99" i="2"/>
  <c r="P99" i="2" s="1"/>
  <c r="AL99" i="2" s="1"/>
  <c r="Q99" i="2"/>
  <c r="N99" i="2"/>
  <c r="O99" i="2" s="1"/>
  <c r="AI99" i="2" s="1"/>
  <c r="K99" i="2"/>
  <c r="J99" i="2"/>
  <c r="L99" i="2" s="1"/>
  <c r="I99" i="2"/>
  <c r="H99" i="2"/>
  <c r="G99" i="2"/>
  <c r="F99" i="2"/>
  <c r="C99" i="2"/>
  <c r="B99" i="2"/>
  <c r="A99" i="2"/>
  <c r="CD98" i="2"/>
  <c r="BZ98" i="2"/>
  <c r="BY98" i="2"/>
  <c r="BX98" i="2"/>
  <c r="BW98" i="2"/>
  <c r="BV98" i="2"/>
  <c r="BT98" i="2"/>
  <c r="BR98" i="2"/>
  <c r="BP98" i="2" s="1"/>
  <c r="BQ98" i="2"/>
  <c r="BO98" i="2"/>
  <c r="BN98" i="2"/>
  <c r="BL98" i="2" s="1"/>
  <c r="BM98" i="2"/>
  <c r="BK98" i="2"/>
  <c r="BJ98" i="2"/>
  <c r="BH98" i="2" s="1"/>
  <c r="BI98" i="2"/>
  <c r="BA98" i="2"/>
  <c r="AZ98" i="2"/>
  <c r="AY98" i="2"/>
  <c r="AX98" i="2"/>
  <c r="AW98" i="2"/>
  <c r="AU98" i="2" s="1"/>
  <c r="AV98" i="2"/>
  <c r="BC98" i="2" s="1"/>
  <c r="BF98" i="2" s="1"/>
  <c r="AT98" i="2"/>
  <c r="AS98" i="2"/>
  <c r="AR98" i="2"/>
  <c r="AQ98" i="2"/>
  <c r="AP98" i="2"/>
  <c r="AL98" i="2"/>
  <c r="AJ98" i="2"/>
  <c r="AF98" i="2"/>
  <c r="AH98" i="2" s="1"/>
  <c r="AE98" i="2"/>
  <c r="AK98" i="2" s="1"/>
  <c r="AB98" i="2"/>
  <c r="Y98" i="2"/>
  <c r="AA98" i="2" s="1"/>
  <c r="X98" i="2"/>
  <c r="W98" i="2"/>
  <c r="U98" i="2"/>
  <c r="T98" i="2"/>
  <c r="S98" i="2"/>
  <c r="R98" i="2"/>
  <c r="Q98" i="2"/>
  <c r="P98" i="2"/>
  <c r="N98" i="2"/>
  <c r="J98" i="2"/>
  <c r="L98" i="2" s="1"/>
  <c r="I98" i="2"/>
  <c r="F98" i="2"/>
  <c r="H98" i="2" s="1"/>
  <c r="B98" i="2"/>
  <c r="E98" i="2" s="1"/>
  <c r="A98" i="2"/>
  <c r="CD97" i="2"/>
  <c r="BZ97" i="2"/>
  <c r="BY97" i="2"/>
  <c r="BX97" i="2"/>
  <c r="BW97" i="2" s="1"/>
  <c r="BV97" i="2"/>
  <c r="BU97" i="2"/>
  <c r="BT97" i="2"/>
  <c r="BR97" i="2"/>
  <c r="BQ97" i="2"/>
  <c r="BP97" i="2"/>
  <c r="BO97" i="2"/>
  <c r="BN97" i="2"/>
  <c r="BM97" i="2"/>
  <c r="BL97" i="2"/>
  <c r="BK97" i="2"/>
  <c r="BJ97" i="2"/>
  <c r="BI97" i="2"/>
  <c r="BH97" i="2"/>
  <c r="BD97" i="2"/>
  <c r="BA97" i="2"/>
  <c r="AZ97" i="2"/>
  <c r="AY97" i="2" s="1"/>
  <c r="AX97" i="2"/>
  <c r="AW97" i="2"/>
  <c r="AU97" i="2" s="1"/>
  <c r="AV97" i="2"/>
  <c r="AT97" i="2"/>
  <c r="AS97" i="2"/>
  <c r="AR97" i="2"/>
  <c r="AQ97" i="2"/>
  <c r="AP97" i="2"/>
  <c r="AJ97" i="2"/>
  <c r="AF97" i="2"/>
  <c r="AE97" i="2"/>
  <c r="AB97" i="2"/>
  <c r="AC97" i="2" s="1"/>
  <c r="Y97" i="2"/>
  <c r="X97" i="2"/>
  <c r="AK97" i="2" s="1"/>
  <c r="U97" i="2"/>
  <c r="V97" i="2" s="1"/>
  <c r="AA97" i="2" s="1"/>
  <c r="T97" i="2"/>
  <c r="S97" i="2"/>
  <c r="R97" i="2"/>
  <c r="P97" i="2" s="1"/>
  <c r="Q97" i="2"/>
  <c r="N97" i="2"/>
  <c r="O97" i="2" s="1"/>
  <c r="AI97" i="2" s="1"/>
  <c r="K97" i="2"/>
  <c r="J97" i="2"/>
  <c r="L97" i="2" s="1"/>
  <c r="I97" i="2"/>
  <c r="H97" i="2"/>
  <c r="G97" i="2"/>
  <c r="F97" i="2"/>
  <c r="C97" i="2"/>
  <c r="B97" i="2"/>
  <c r="A97" i="2"/>
  <c r="CD96" i="2"/>
  <c r="BZ96" i="2"/>
  <c r="BY96" i="2"/>
  <c r="BX96" i="2"/>
  <c r="BW96" i="2"/>
  <c r="BV96" i="2"/>
  <c r="BT96" i="2"/>
  <c r="BR96" i="2"/>
  <c r="BP96" i="2" s="1"/>
  <c r="BQ96" i="2"/>
  <c r="BO96" i="2"/>
  <c r="BN96" i="2"/>
  <c r="BL96" i="2" s="1"/>
  <c r="BM96" i="2"/>
  <c r="BK96" i="2"/>
  <c r="BJ96" i="2"/>
  <c r="BH96" i="2" s="1"/>
  <c r="BI96" i="2"/>
  <c r="BA96" i="2"/>
  <c r="AZ96" i="2"/>
  <c r="AY96" i="2"/>
  <c r="AX96" i="2"/>
  <c r="AW96" i="2"/>
  <c r="AU96" i="2" s="1"/>
  <c r="AV96" i="2"/>
  <c r="BC96" i="2" s="1"/>
  <c r="AT96" i="2"/>
  <c r="AS96" i="2"/>
  <c r="AR96" i="2"/>
  <c r="AQ96" i="2"/>
  <c r="AP96" i="2"/>
  <c r="AJ96" i="2"/>
  <c r="AG96" i="2"/>
  <c r="AF96" i="2"/>
  <c r="AD96" i="2" s="1"/>
  <c r="AE96" i="2"/>
  <c r="AB96" i="2"/>
  <c r="AC96" i="2" s="1"/>
  <c r="Y96" i="2"/>
  <c r="X96" i="2"/>
  <c r="W96" i="2"/>
  <c r="V96" i="2"/>
  <c r="U96" i="2"/>
  <c r="R96" i="2"/>
  <c r="P96" i="2" s="1"/>
  <c r="AL96" i="2" s="1"/>
  <c r="Q96" i="2"/>
  <c r="O96" i="2"/>
  <c r="N96" i="2"/>
  <c r="J96" i="2"/>
  <c r="L96" i="2" s="1"/>
  <c r="I96" i="2"/>
  <c r="H96" i="2"/>
  <c r="G96" i="2"/>
  <c r="F96" i="2"/>
  <c r="E96" i="2"/>
  <c r="B96" i="2"/>
  <c r="D96" i="2" s="1"/>
  <c r="A96" i="2"/>
  <c r="CD95" i="2"/>
  <c r="BZ95" i="2"/>
  <c r="BY95" i="2"/>
  <c r="BW95" i="2" s="1"/>
  <c r="BX95" i="2"/>
  <c r="BV95" i="2"/>
  <c r="BR95" i="2"/>
  <c r="BQ95" i="2"/>
  <c r="BP95" i="2" s="1"/>
  <c r="BO95" i="2"/>
  <c r="BN95" i="2"/>
  <c r="BM95" i="2"/>
  <c r="BL95" i="2"/>
  <c r="BK95" i="2"/>
  <c r="BJ95" i="2"/>
  <c r="BU95" i="2" s="1"/>
  <c r="BI95" i="2"/>
  <c r="BC95" i="2" s="1"/>
  <c r="BA95" i="2"/>
  <c r="AZ95" i="2"/>
  <c r="AX95" i="2"/>
  <c r="AW95" i="2"/>
  <c r="AV95" i="2"/>
  <c r="AU95" i="2" s="1"/>
  <c r="AT95" i="2"/>
  <c r="AS95" i="2"/>
  <c r="AQ95" i="2" s="1"/>
  <c r="AR95" i="2"/>
  <c r="AP95" i="2"/>
  <c r="AM95" i="2"/>
  <c r="AO95" i="2" s="1"/>
  <c r="AJ95" i="2"/>
  <c r="AF95" i="2"/>
  <c r="AE95" i="2"/>
  <c r="AD95" i="2"/>
  <c r="AB95" i="2"/>
  <c r="AC95" i="2" s="1"/>
  <c r="Y95" i="2"/>
  <c r="AA95" i="2" s="1"/>
  <c r="X95" i="2"/>
  <c r="AK95" i="2" s="1"/>
  <c r="V95" i="2"/>
  <c r="U95" i="2"/>
  <c r="T95" i="2"/>
  <c r="R95" i="2"/>
  <c r="S95" i="2" s="1"/>
  <c r="Q95" i="2"/>
  <c r="P95" i="2"/>
  <c r="AL95" i="2" s="1"/>
  <c r="O95" i="2"/>
  <c r="AI95" i="2" s="1"/>
  <c r="N95" i="2"/>
  <c r="L95" i="2"/>
  <c r="K95" i="2"/>
  <c r="J95" i="2"/>
  <c r="F95" i="2"/>
  <c r="E95" i="2"/>
  <c r="D95" i="2"/>
  <c r="C95" i="2"/>
  <c r="B95" i="2"/>
  <c r="A95" i="2"/>
  <c r="CD94" i="2"/>
  <c r="BZ94" i="2"/>
  <c r="BY94" i="2"/>
  <c r="BW94" i="2" s="1"/>
  <c r="BX94" i="2"/>
  <c r="BV94" i="2"/>
  <c r="BR94" i="2"/>
  <c r="BQ94" i="2"/>
  <c r="BP94" i="2"/>
  <c r="BO94" i="2"/>
  <c r="BN94" i="2"/>
  <c r="BL94" i="2" s="1"/>
  <c r="BM94" i="2"/>
  <c r="BK94" i="2"/>
  <c r="BJ94" i="2"/>
  <c r="BH94" i="2" s="1"/>
  <c r="BI94" i="2"/>
  <c r="BA94" i="2"/>
  <c r="AY94" i="2" s="1"/>
  <c r="AZ94" i="2"/>
  <c r="AX94" i="2"/>
  <c r="AW94" i="2"/>
  <c r="AV94" i="2"/>
  <c r="AU94" i="2"/>
  <c r="AT94" i="2"/>
  <c r="AS94" i="2"/>
  <c r="AQ94" i="2" s="1"/>
  <c r="AR94" i="2"/>
  <c r="AP94" i="2"/>
  <c r="AK94" i="2"/>
  <c r="AJ94" i="2"/>
  <c r="AF94" i="2"/>
  <c r="AE94" i="2"/>
  <c r="AD94" i="2"/>
  <c r="AB94" i="2"/>
  <c r="AC94" i="2" s="1"/>
  <c r="AA94" i="2"/>
  <c r="Z94" i="2"/>
  <c r="Y94" i="2"/>
  <c r="X94" i="2"/>
  <c r="W94" i="2"/>
  <c r="V94" i="2"/>
  <c r="U94" i="2"/>
  <c r="R94" i="2"/>
  <c r="Q94" i="2"/>
  <c r="N94" i="2"/>
  <c r="O94" i="2" s="1"/>
  <c r="L94" i="2"/>
  <c r="K94" i="2"/>
  <c r="J94" i="2"/>
  <c r="I94" i="2"/>
  <c r="F94" i="2"/>
  <c r="H94" i="2" s="1"/>
  <c r="E94" i="2"/>
  <c r="D94" i="2"/>
  <c r="C94" i="2"/>
  <c r="B94" i="2"/>
  <c r="A94" i="2"/>
  <c r="CD93" i="2"/>
  <c r="BZ93" i="2"/>
  <c r="BY93" i="2"/>
  <c r="BX93" i="2"/>
  <c r="BW93" i="2" s="1"/>
  <c r="BV93" i="2"/>
  <c r="BR93" i="2"/>
  <c r="BQ93" i="2"/>
  <c r="BP93" i="2"/>
  <c r="BO93" i="2"/>
  <c r="BN93" i="2"/>
  <c r="BU93" i="2" s="1"/>
  <c r="BM93" i="2"/>
  <c r="BT93" i="2" s="1"/>
  <c r="BK93" i="2"/>
  <c r="BJ93" i="2"/>
  <c r="BI93" i="2"/>
  <c r="BH93" i="2"/>
  <c r="BA93" i="2"/>
  <c r="AZ93" i="2"/>
  <c r="AY93" i="2"/>
  <c r="AX93" i="2"/>
  <c r="AW93" i="2"/>
  <c r="AU93" i="2" s="1"/>
  <c r="AV93" i="2"/>
  <c r="AT93" i="2"/>
  <c r="AS93" i="2"/>
  <c r="AR93" i="2"/>
  <c r="AQ93" i="2" s="1"/>
  <c r="AP93" i="2"/>
  <c r="AJ93" i="2"/>
  <c r="AF93" i="2"/>
  <c r="AE93" i="2"/>
  <c r="AB93" i="2"/>
  <c r="AC93" i="2" s="1"/>
  <c r="AH93" i="2" s="1"/>
  <c r="AA93" i="2"/>
  <c r="Z93" i="2"/>
  <c r="Y93" i="2"/>
  <c r="W93" i="2" s="1"/>
  <c r="X93" i="2"/>
  <c r="U93" i="2"/>
  <c r="V93" i="2" s="1"/>
  <c r="S93" i="2"/>
  <c r="R93" i="2"/>
  <c r="T93" i="2" s="1"/>
  <c r="Q93" i="2"/>
  <c r="P93" i="2" s="1"/>
  <c r="AL93" i="2" s="1"/>
  <c r="N93" i="2"/>
  <c r="O93" i="2" s="1"/>
  <c r="AI93" i="2" s="1"/>
  <c r="K93" i="2"/>
  <c r="J93" i="2"/>
  <c r="L93" i="2" s="1"/>
  <c r="I93" i="2"/>
  <c r="H93" i="2"/>
  <c r="G93" i="2"/>
  <c r="F93" i="2"/>
  <c r="C93" i="2"/>
  <c r="B93" i="2"/>
  <c r="A93" i="2"/>
  <c r="CD92" i="2"/>
  <c r="BZ92" i="2"/>
  <c r="BY92" i="2"/>
  <c r="BX92" i="2"/>
  <c r="BW92" i="2"/>
  <c r="BV92" i="2"/>
  <c r="BR92" i="2"/>
  <c r="BP92" i="2" s="1"/>
  <c r="BQ92" i="2"/>
  <c r="BO92" i="2"/>
  <c r="BN92" i="2"/>
  <c r="BU92" i="2" s="1"/>
  <c r="BM92" i="2"/>
  <c r="BT92" i="2" s="1"/>
  <c r="BK92" i="2"/>
  <c r="BJ92" i="2"/>
  <c r="BH92" i="2" s="1"/>
  <c r="BI92" i="2"/>
  <c r="BD92" i="2"/>
  <c r="BA92" i="2"/>
  <c r="AZ92" i="2"/>
  <c r="AY92" i="2"/>
  <c r="AX92" i="2"/>
  <c r="AW92" i="2"/>
  <c r="AV92" i="2"/>
  <c r="BC92" i="2" s="1"/>
  <c r="AT92" i="2"/>
  <c r="AS92" i="2"/>
  <c r="AR92" i="2"/>
  <c r="AQ92" i="2"/>
  <c r="AP92" i="2"/>
  <c r="AJ92" i="2"/>
  <c r="AF92" i="2"/>
  <c r="AH92" i="2" s="1"/>
  <c r="AE92" i="2"/>
  <c r="AD92" i="2"/>
  <c r="AB92" i="2"/>
  <c r="AC92" i="2" s="1"/>
  <c r="Y92" i="2"/>
  <c r="W92" i="2" s="1"/>
  <c r="X92" i="2"/>
  <c r="V92" i="2"/>
  <c r="Z92" i="2" s="1"/>
  <c r="U92" i="2"/>
  <c r="R92" i="2"/>
  <c r="AM92" i="2" s="1"/>
  <c r="Q92" i="2"/>
  <c r="O92" i="2"/>
  <c r="N92" i="2"/>
  <c r="J92" i="2"/>
  <c r="L92" i="2" s="1"/>
  <c r="G92" i="2"/>
  <c r="F92" i="2"/>
  <c r="I92" i="2" s="1"/>
  <c r="E92" i="2"/>
  <c r="B92" i="2"/>
  <c r="D92" i="2" s="1"/>
  <c r="A92" i="2"/>
  <c r="CD91" i="2"/>
  <c r="BZ91" i="2"/>
  <c r="BY91" i="2"/>
  <c r="BX91" i="2"/>
  <c r="BV91" i="2"/>
  <c r="BT91" i="2"/>
  <c r="BR91" i="2"/>
  <c r="BQ91" i="2"/>
  <c r="BP91" i="2"/>
  <c r="BO91" i="2"/>
  <c r="BN91" i="2"/>
  <c r="BM91" i="2"/>
  <c r="BL91" i="2"/>
  <c r="BK91" i="2"/>
  <c r="BJ91" i="2"/>
  <c r="BU91" i="2" s="1"/>
  <c r="BI91" i="2"/>
  <c r="BH91" i="2"/>
  <c r="BS91" i="2" s="1"/>
  <c r="BD91" i="2"/>
  <c r="BC91" i="2"/>
  <c r="BA91" i="2"/>
  <c r="AY91" i="2" s="1"/>
  <c r="AZ91" i="2"/>
  <c r="AX91" i="2"/>
  <c r="AW91" i="2"/>
  <c r="AV91" i="2"/>
  <c r="AU91" i="2" s="1"/>
  <c r="BB91" i="2" s="1"/>
  <c r="AT91" i="2"/>
  <c r="AS91" i="2"/>
  <c r="AQ91" i="2" s="1"/>
  <c r="AR91" i="2"/>
  <c r="AP91" i="2"/>
  <c r="AJ91" i="2"/>
  <c r="AF91" i="2"/>
  <c r="AE91" i="2"/>
  <c r="AC91" i="2"/>
  <c r="AB91" i="2"/>
  <c r="Y91" i="2"/>
  <c r="X91" i="2"/>
  <c r="AK91" i="2" s="1"/>
  <c r="W91" i="2"/>
  <c r="V91" i="2"/>
  <c r="U91" i="2"/>
  <c r="R91" i="2"/>
  <c r="Q91" i="2"/>
  <c r="P91" i="2"/>
  <c r="N91" i="2"/>
  <c r="O91" i="2" s="1"/>
  <c r="L91" i="2"/>
  <c r="K91" i="2"/>
  <c r="J91" i="2"/>
  <c r="G91" i="2"/>
  <c r="F91" i="2"/>
  <c r="E91" i="2"/>
  <c r="D91" i="2"/>
  <c r="C91" i="2"/>
  <c r="B91" i="2"/>
  <c r="A91" i="2"/>
  <c r="CD90" i="2"/>
  <c r="BZ90" i="2"/>
  <c r="BY90" i="2"/>
  <c r="BX90" i="2"/>
  <c r="BW90" i="2" s="1"/>
  <c r="BV90" i="2"/>
  <c r="BR90" i="2"/>
  <c r="BP90" i="2" s="1"/>
  <c r="BQ90" i="2"/>
  <c r="BO90" i="2"/>
  <c r="BN90" i="2"/>
  <c r="BL90" i="2" s="1"/>
  <c r="BM90" i="2"/>
  <c r="BK90" i="2"/>
  <c r="BJ90" i="2"/>
  <c r="BI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K90" i="2"/>
  <c r="AJ90" i="2"/>
  <c r="AH90" i="2"/>
  <c r="AF90" i="2"/>
  <c r="AG90" i="2" s="1"/>
  <c r="AE90" i="2"/>
  <c r="AD90" i="2"/>
  <c r="AC90" i="2"/>
  <c r="AB90" i="2"/>
  <c r="Y90" i="2"/>
  <c r="X90" i="2"/>
  <c r="W90" i="2"/>
  <c r="V90" i="2"/>
  <c r="AA90" i="2" s="1"/>
  <c r="U90" i="2"/>
  <c r="R90" i="2"/>
  <c r="Q90" i="2"/>
  <c r="N90" i="2"/>
  <c r="O90" i="2" s="1"/>
  <c r="T90" i="2" s="1"/>
  <c r="L90" i="2"/>
  <c r="K90" i="2"/>
  <c r="J90" i="2"/>
  <c r="I90" i="2"/>
  <c r="F90" i="2"/>
  <c r="H90" i="2" s="1"/>
  <c r="B90" i="2"/>
  <c r="E90" i="2" s="1"/>
  <c r="A90" i="2"/>
  <c r="CD89" i="2"/>
  <c r="BZ89" i="2"/>
  <c r="BY89" i="2"/>
  <c r="BX89" i="2"/>
  <c r="BW89" i="2"/>
  <c r="BV89" i="2"/>
  <c r="BU89" i="2"/>
  <c r="BT89" i="2"/>
  <c r="BR89" i="2"/>
  <c r="BQ89" i="2"/>
  <c r="BP89" i="2"/>
  <c r="BO89" i="2"/>
  <c r="BN89" i="2"/>
  <c r="BM89" i="2"/>
  <c r="BL89" i="2"/>
  <c r="BK89" i="2"/>
  <c r="BJ89" i="2"/>
  <c r="BI89" i="2"/>
  <c r="BH89" i="2"/>
  <c r="BD89" i="2"/>
  <c r="BA89" i="2"/>
  <c r="AZ89" i="2"/>
  <c r="AY89" i="2" s="1"/>
  <c r="AX89" i="2"/>
  <c r="AW89" i="2"/>
  <c r="AV89" i="2"/>
  <c r="AT89" i="2"/>
  <c r="AS89" i="2"/>
  <c r="AR89" i="2"/>
  <c r="AQ89" i="2" s="1"/>
  <c r="AP89" i="2"/>
  <c r="AJ89" i="2"/>
  <c r="AH89" i="2"/>
  <c r="AG89" i="2"/>
  <c r="AF89" i="2"/>
  <c r="AE89" i="2"/>
  <c r="AB89" i="2"/>
  <c r="AC89" i="2" s="1"/>
  <c r="Y89" i="2"/>
  <c r="X89" i="2"/>
  <c r="AK89" i="2" s="1"/>
  <c r="U89" i="2"/>
  <c r="V89" i="2" s="1"/>
  <c r="Z89" i="2" s="1"/>
  <c r="R89" i="2"/>
  <c r="S89" i="2" s="1"/>
  <c r="Q89" i="2"/>
  <c r="P89" i="2"/>
  <c r="AL89" i="2" s="1"/>
  <c r="N89" i="2"/>
  <c r="O89" i="2" s="1"/>
  <c r="T89" i="2" s="1"/>
  <c r="J89" i="2"/>
  <c r="L89" i="2" s="1"/>
  <c r="I89" i="2"/>
  <c r="H89" i="2"/>
  <c r="G89" i="2"/>
  <c r="F89" i="2"/>
  <c r="C89" i="2"/>
  <c r="B89" i="2"/>
  <c r="A89" i="2"/>
  <c r="CD88" i="2"/>
  <c r="BZ88" i="2"/>
  <c r="BY88" i="2"/>
  <c r="BX88" i="2"/>
  <c r="BW88" i="2"/>
  <c r="BV88" i="2"/>
  <c r="BT88" i="2"/>
  <c r="BR88" i="2"/>
  <c r="BP88" i="2" s="1"/>
  <c r="BQ88" i="2"/>
  <c r="BO88" i="2"/>
  <c r="BN88" i="2"/>
  <c r="BM88" i="2"/>
  <c r="BL88" i="2" s="1"/>
  <c r="BK88" i="2"/>
  <c r="BJ88" i="2"/>
  <c r="BH88" i="2" s="1"/>
  <c r="BB88" i="2" s="1"/>
  <c r="BI88" i="2"/>
  <c r="BC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J88" i="2"/>
  <c r="AH88" i="2"/>
  <c r="AF88" i="2"/>
  <c r="AD88" i="2" s="1"/>
  <c r="AE88" i="2"/>
  <c r="AB88" i="2"/>
  <c r="AC88" i="2" s="1"/>
  <c r="AG88" i="2" s="1"/>
  <c r="Y88" i="2"/>
  <c r="AA88" i="2" s="1"/>
  <c r="X88" i="2"/>
  <c r="V88" i="2"/>
  <c r="U88" i="2"/>
  <c r="R88" i="2"/>
  <c r="Q88" i="2"/>
  <c r="P88" i="2" s="1"/>
  <c r="N88" i="2"/>
  <c r="O88" i="2" s="1"/>
  <c r="AI88" i="2" s="1"/>
  <c r="J88" i="2"/>
  <c r="L88" i="2" s="1"/>
  <c r="F88" i="2"/>
  <c r="I88" i="2" s="1"/>
  <c r="B88" i="2"/>
  <c r="A88" i="2"/>
  <c r="CD87" i="2"/>
  <c r="BZ87" i="2"/>
  <c r="BY87" i="2"/>
  <c r="BW87" i="2" s="1"/>
  <c r="BX87" i="2"/>
  <c r="BV87" i="2"/>
  <c r="BU87" i="2"/>
  <c r="BT87" i="2"/>
  <c r="BR87" i="2"/>
  <c r="BP87" i="2" s="1"/>
  <c r="BQ87" i="2"/>
  <c r="BO87" i="2"/>
  <c r="BN87" i="2"/>
  <c r="BM87" i="2"/>
  <c r="BL87" i="2"/>
  <c r="BK87" i="2"/>
  <c r="BJ87" i="2"/>
  <c r="BH87" i="2" s="1"/>
  <c r="BI87" i="2"/>
  <c r="BC87" i="2"/>
  <c r="BA87" i="2"/>
  <c r="AY87" i="2" s="1"/>
  <c r="AZ87" i="2"/>
  <c r="AX87" i="2"/>
  <c r="AW87" i="2"/>
  <c r="AV87" i="2"/>
  <c r="AU87" i="2"/>
  <c r="AT87" i="2"/>
  <c r="AS87" i="2"/>
  <c r="AR87" i="2"/>
  <c r="AP87" i="2"/>
  <c r="AJ87" i="2"/>
  <c r="AF87" i="2"/>
  <c r="AD87" i="2" s="1"/>
  <c r="AE87" i="2"/>
  <c r="AB87" i="2"/>
  <c r="AC87" i="2" s="1"/>
  <c r="AG87" i="2" s="1"/>
  <c r="Y87" i="2"/>
  <c r="X87" i="2"/>
  <c r="AK87" i="2" s="1"/>
  <c r="W87" i="2"/>
  <c r="V87" i="2"/>
  <c r="U87" i="2"/>
  <c r="R87" i="2"/>
  <c r="Q87" i="2"/>
  <c r="P87" i="2" s="1"/>
  <c r="N87" i="2"/>
  <c r="O87" i="2" s="1"/>
  <c r="L87" i="2"/>
  <c r="K87" i="2"/>
  <c r="J87" i="2"/>
  <c r="G87" i="2"/>
  <c r="F87" i="2"/>
  <c r="I87" i="2" s="1"/>
  <c r="E87" i="2"/>
  <c r="D87" i="2"/>
  <c r="C87" i="2"/>
  <c r="B87" i="2"/>
  <c r="A87" i="2"/>
  <c r="CD86" i="2"/>
  <c r="BZ86" i="2"/>
  <c r="BY86" i="2"/>
  <c r="BX86" i="2"/>
  <c r="BW86" i="2"/>
  <c r="BV86" i="2"/>
  <c r="BR86" i="2"/>
  <c r="BQ86" i="2"/>
  <c r="BP86" i="2"/>
  <c r="BO86" i="2"/>
  <c r="BN86" i="2"/>
  <c r="BL86" i="2" s="1"/>
  <c r="BM86" i="2"/>
  <c r="BK86" i="2"/>
  <c r="BJ86" i="2"/>
  <c r="BH86" i="2" s="1"/>
  <c r="BI86" i="2"/>
  <c r="BT86" i="2" s="1"/>
  <c r="BC86" i="2"/>
  <c r="BF86" i="2" s="1"/>
  <c r="BA86" i="2"/>
  <c r="AY86" i="2" s="1"/>
  <c r="AZ86" i="2"/>
  <c r="AX86" i="2"/>
  <c r="AW86" i="2"/>
  <c r="AV86" i="2"/>
  <c r="AU86" i="2"/>
  <c r="AT86" i="2"/>
  <c r="AS86" i="2"/>
  <c r="AQ86" i="2" s="1"/>
  <c r="AR86" i="2"/>
  <c r="AP86" i="2"/>
  <c r="AM86" i="2"/>
  <c r="AK86" i="2"/>
  <c r="AJ86" i="2"/>
  <c r="AF86" i="2"/>
  <c r="AE86" i="2"/>
  <c r="AD86" i="2"/>
  <c r="AL86" i="2" s="1"/>
  <c r="AB86" i="2"/>
  <c r="AC86" i="2" s="1"/>
  <c r="AH86" i="2" s="1"/>
  <c r="AA86" i="2"/>
  <c r="Y86" i="2"/>
  <c r="X86" i="2"/>
  <c r="W86" i="2"/>
  <c r="V86" i="2"/>
  <c r="U86" i="2"/>
  <c r="T86" i="2"/>
  <c r="S86" i="2"/>
  <c r="R86" i="2"/>
  <c r="P86" i="2" s="1"/>
  <c r="Q86" i="2"/>
  <c r="O86" i="2"/>
  <c r="N86" i="2"/>
  <c r="J86" i="2"/>
  <c r="L86" i="2" s="1"/>
  <c r="I86" i="2"/>
  <c r="F86" i="2"/>
  <c r="B86" i="2"/>
  <c r="E86" i="2" s="1"/>
  <c r="A86" i="2"/>
  <c r="CD85" i="2"/>
  <c r="BZ85" i="2"/>
  <c r="BY85" i="2"/>
  <c r="BW85" i="2" s="1"/>
  <c r="BX85" i="2"/>
  <c r="BV85" i="2"/>
  <c r="BR85" i="2"/>
  <c r="BQ85" i="2"/>
  <c r="BP85" i="2" s="1"/>
  <c r="BO85" i="2"/>
  <c r="BN85" i="2"/>
  <c r="BM85" i="2"/>
  <c r="BL85" i="2"/>
  <c r="BK85" i="2"/>
  <c r="BJ85" i="2"/>
  <c r="BH85" i="2" s="1"/>
  <c r="BI85" i="2"/>
  <c r="BA85" i="2"/>
  <c r="AY85" i="2" s="1"/>
  <c r="AZ85" i="2"/>
  <c r="AX85" i="2"/>
  <c r="AW85" i="2"/>
  <c r="AU85" i="2" s="1"/>
  <c r="AV85" i="2"/>
  <c r="AT85" i="2"/>
  <c r="AS85" i="2"/>
  <c r="AR85" i="2"/>
  <c r="AQ85" i="2"/>
  <c r="AP85" i="2"/>
  <c r="AJ85" i="2"/>
  <c r="AI85" i="2"/>
  <c r="AH85" i="2"/>
  <c r="AF85" i="2"/>
  <c r="AD85" i="2" s="1"/>
  <c r="AE85" i="2"/>
  <c r="AC85" i="2"/>
  <c r="AG85" i="2" s="1"/>
  <c r="AB85" i="2"/>
  <c r="AA85" i="2"/>
  <c r="Z85" i="2"/>
  <c r="Y85" i="2"/>
  <c r="W85" i="2" s="1"/>
  <c r="X85" i="2"/>
  <c r="V85" i="2"/>
  <c r="U85" i="2"/>
  <c r="R85" i="2"/>
  <c r="P85" i="2" s="1"/>
  <c r="AL85" i="2" s="1"/>
  <c r="Q85" i="2"/>
  <c r="AK85" i="2" s="1"/>
  <c r="N85" i="2"/>
  <c r="O85" i="2" s="1"/>
  <c r="J85" i="2"/>
  <c r="L85" i="2" s="1"/>
  <c r="I85" i="2"/>
  <c r="H85" i="2"/>
  <c r="G85" i="2"/>
  <c r="F85" i="2"/>
  <c r="B85" i="2"/>
  <c r="E85" i="2" s="1"/>
  <c r="A85" i="2"/>
  <c r="CD84" i="2"/>
  <c r="BZ84" i="2"/>
  <c r="BY84" i="2"/>
  <c r="BX84" i="2"/>
  <c r="BW84" i="2" s="1"/>
  <c r="BV84" i="2"/>
  <c r="BR84" i="2"/>
  <c r="BP84" i="2" s="1"/>
  <c r="BQ84" i="2"/>
  <c r="BO84" i="2"/>
  <c r="BN84" i="2"/>
  <c r="BM84" i="2"/>
  <c r="BT84" i="2" s="1"/>
  <c r="BK84" i="2"/>
  <c r="BJ84" i="2"/>
  <c r="BH84" i="2" s="1"/>
  <c r="BI84" i="2"/>
  <c r="BC84" i="2"/>
  <c r="BF84" i="2" s="1"/>
  <c r="BA84" i="2"/>
  <c r="AZ84" i="2"/>
  <c r="AY84" i="2" s="1"/>
  <c r="AX84" i="2"/>
  <c r="AW84" i="2"/>
  <c r="AV84" i="2"/>
  <c r="AU84" i="2"/>
  <c r="AT84" i="2"/>
  <c r="AS84" i="2"/>
  <c r="AR84" i="2"/>
  <c r="AQ84" i="2" s="1"/>
  <c r="AP84" i="2"/>
  <c r="AM84" i="2"/>
  <c r="AO84" i="2" s="1"/>
  <c r="AJ84" i="2"/>
  <c r="AF84" i="2"/>
  <c r="AH84" i="2" s="1"/>
  <c r="AE84" i="2"/>
  <c r="AK84" i="2" s="1"/>
  <c r="AD84" i="2"/>
  <c r="AB84" i="2"/>
  <c r="AC84" i="2" s="1"/>
  <c r="Y84" i="2"/>
  <c r="X84" i="2"/>
  <c r="W84" i="2"/>
  <c r="V84" i="2"/>
  <c r="AA84" i="2" s="1"/>
  <c r="U84" i="2"/>
  <c r="T84" i="2"/>
  <c r="R84" i="2"/>
  <c r="P84" i="2" s="1"/>
  <c r="AL84" i="2" s="1"/>
  <c r="Q84" i="2"/>
  <c r="O84" i="2"/>
  <c r="S84" i="2" s="1"/>
  <c r="N84" i="2"/>
  <c r="J84" i="2"/>
  <c r="L84" i="2" s="1"/>
  <c r="I84" i="2"/>
  <c r="H84" i="2"/>
  <c r="F84" i="2"/>
  <c r="G84" i="2" s="1"/>
  <c r="B84" i="2"/>
  <c r="D84" i="2" s="1"/>
  <c r="A84" i="2"/>
  <c r="CD83" i="2"/>
  <c r="BZ83" i="2"/>
  <c r="BY83" i="2"/>
  <c r="BW83" i="2" s="1"/>
  <c r="BX83" i="2"/>
  <c r="BV83" i="2"/>
  <c r="BT83" i="2"/>
  <c r="BR83" i="2"/>
  <c r="BP83" i="2" s="1"/>
  <c r="BQ83" i="2"/>
  <c r="BO83" i="2"/>
  <c r="BN83" i="2"/>
  <c r="BU83" i="2" s="1"/>
  <c r="BM83" i="2"/>
  <c r="BL83" i="2"/>
  <c r="BK83" i="2"/>
  <c r="BJ83" i="2"/>
  <c r="BH83" i="2" s="1"/>
  <c r="BI83" i="2"/>
  <c r="BD83" i="2"/>
  <c r="BC83" i="2"/>
  <c r="BA83" i="2"/>
  <c r="AY83" i="2" s="1"/>
  <c r="AZ83" i="2"/>
  <c r="AX83" i="2"/>
  <c r="AW83" i="2"/>
  <c r="AV83" i="2"/>
  <c r="AU83" i="2" s="1"/>
  <c r="AT83" i="2"/>
  <c r="AS83" i="2"/>
  <c r="AQ83" i="2" s="1"/>
  <c r="AR83" i="2"/>
  <c r="AP83" i="2"/>
  <c r="AJ83" i="2"/>
  <c r="AF83" i="2"/>
  <c r="AE83" i="2"/>
  <c r="AD83" i="2"/>
  <c r="AB83" i="2"/>
  <c r="AC83" i="2" s="1"/>
  <c r="Y83" i="2"/>
  <c r="W83" i="2" s="1"/>
  <c r="X83" i="2"/>
  <c r="U83" i="2"/>
  <c r="V83" i="2" s="1"/>
  <c r="Z83" i="2" s="1"/>
  <c r="R83" i="2"/>
  <c r="S83" i="2" s="1"/>
  <c r="Q83" i="2"/>
  <c r="AK83" i="2" s="1"/>
  <c r="O83" i="2"/>
  <c r="AI83" i="2" s="1"/>
  <c r="N83" i="2"/>
  <c r="L83" i="2"/>
  <c r="K83" i="2"/>
  <c r="J83" i="2"/>
  <c r="I83" i="2"/>
  <c r="H83" i="2"/>
  <c r="G83" i="2"/>
  <c r="F83" i="2"/>
  <c r="E83" i="2"/>
  <c r="D83" i="2"/>
  <c r="C83" i="2"/>
  <c r="B83" i="2"/>
  <c r="A83" i="2"/>
  <c r="CD82" i="2"/>
  <c r="BZ82" i="2"/>
  <c r="BY82" i="2"/>
  <c r="BW82" i="2" s="1"/>
  <c r="BX82" i="2"/>
  <c r="BV82" i="2"/>
  <c r="BT82" i="2"/>
  <c r="BR82" i="2"/>
  <c r="BP82" i="2" s="1"/>
  <c r="BQ82" i="2"/>
  <c r="BO82" i="2"/>
  <c r="BN82" i="2"/>
  <c r="BM82" i="2"/>
  <c r="BL82" i="2"/>
  <c r="BK82" i="2"/>
  <c r="BJ82" i="2"/>
  <c r="BI82" i="2"/>
  <c r="BA82" i="2"/>
  <c r="AY82" i="2" s="1"/>
  <c r="AZ82" i="2"/>
  <c r="AX82" i="2"/>
  <c r="AW82" i="2"/>
  <c r="AV82" i="2"/>
  <c r="BC82" i="2" s="1"/>
  <c r="AT82" i="2"/>
  <c r="AS82" i="2"/>
  <c r="AQ82" i="2" s="1"/>
  <c r="AR82" i="2"/>
  <c r="AP82" i="2"/>
  <c r="AK82" i="2"/>
  <c r="AJ82" i="2"/>
  <c r="AF82" i="2"/>
  <c r="AE82" i="2"/>
  <c r="AD82" i="2"/>
  <c r="AC82" i="2"/>
  <c r="AB82" i="2"/>
  <c r="Y82" i="2"/>
  <c r="X82" i="2"/>
  <c r="W82" i="2" s="1"/>
  <c r="AL82" i="2" s="1"/>
  <c r="U82" i="2"/>
  <c r="V82" i="2" s="1"/>
  <c r="R82" i="2"/>
  <c r="Q82" i="2"/>
  <c r="P82" i="2"/>
  <c r="N82" i="2"/>
  <c r="O82" i="2" s="1"/>
  <c r="L82" i="2"/>
  <c r="K82" i="2"/>
  <c r="J82" i="2"/>
  <c r="F82" i="2"/>
  <c r="I82" i="2" s="1"/>
  <c r="E82" i="2"/>
  <c r="D82" i="2"/>
  <c r="C82" i="2"/>
  <c r="B82" i="2"/>
  <c r="A82" i="2"/>
  <c r="CD81" i="2"/>
  <c r="BZ81" i="2"/>
  <c r="BY81" i="2"/>
  <c r="BX81" i="2"/>
  <c r="BW81" i="2"/>
  <c r="BV81" i="2"/>
  <c r="BR81" i="2"/>
  <c r="BQ81" i="2"/>
  <c r="BP81" i="2"/>
  <c r="BO81" i="2"/>
  <c r="BN81" i="2"/>
  <c r="BL81" i="2" s="1"/>
  <c r="BM81" i="2"/>
  <c r="BK81" i="2"/>
  <c r="BJ81" i="2"/>
  <c r="BU81" i="2" s="1"/>
  <c r="BI81" i="2"/>
  <c r="BT81" i="2" s="1"/>
  <c r="BH81" i="2"/>
  <c r="BA81" i="2"/>
  <c r="AZ81" i="2"/>
  <c r="AY81" i="2"/>
  <c r="AX81" i="2"/>
  <c r="AW81" i="2"/>
  <c r="AU81" i="2" s="1"/>
  <c r="AV81" i="2"/>
  <c r="AT81" i="2"/>
  <c r="AS81" i="2"/>
  <c r="AR81" i="2"/>
  <c r="AQ81" i="2"/>
  <c r="AP81" i="2"/>
  <c r="AK81" i="2"/>
  <c r="AJ81" i="2"/>
  <c r="AF81" i="2"/>
  <c r="AE81" i="2"/>
  <c r="AB81" i="2"/>
  <c r="Y81" i="2"/>
  <c r="X81" i="2"/>
  <c r="W81" i="2"/>
  <c r="U81" i="2"/>
  <c r="T81" i="2"/>
  <c r="S81" i="2"/>
  <c r="R81" i="2"/>
  <c r="P81" i="2" s="1"/>
  <c r="AL81" i="2" s="1"/>
  <c r="Q81" i="2"/>
  <c r="N81" i="2"/>
  <c r="J81" i="2"/>
  <c r="I81" i="2"/>
  <c r="H81" i="2"/>
  <c r="G81" i="2"/>
  <c r="F81" i="2"/>
  <c r="B81" i="2"/>
  <c r="A81" i="2"/>
  <c r="CD80" i="2"/>
  <c r="BZ80" i="2"/>
  <c r="BY80" i="2"/>
  <c r="BX80" i="2"/>
  <c r="BW80" i="2"/>
  <c r="BV80" i="2"/>
  <c r="BU80" i="2"/>
  <c r="BR80" i="2"/>
  <c r="BQ80" i="2"/>
  <c r="BP80" i="2"/>
  <c r="BO80" i="2"/>
  <c r="BN80" i="2"/>
  <c r="BL80" i="2" s="1"/>
  <c r="BM80" i="2"/>
  <c r="BT80" i="2" s="1"/>
  <c r="BK80" i="2"/>
  <c r="BJ80" i="2"/>
  <c r="BI80" i="2"/>
  <c r="BH80" i="2"/>
  <c r="BS80" i="2" s="1"/>
  <c r="BA80" i="2"/>
  <c r="AZ80" i="2"/>
  <c r="BC80" i="2" s="1"/>
  <c r="AY80" i="2"/>
  <c r="AX80" i="2"/>
  <c r="AW80" i="2"/>
  <c r="AV80" i="2"/>
  <c r="AT80" i="2"/>
  <c r="AS80" i="2"/>
  <c r="AR80" i="2"/>
  <c r="AQ80" i="2"/>
  <c r="AP80" i="2"/>
  <c r="AO80" i="2"/>
  <c r="AJ80" i="2"/>
  <c r="AG80" i="2"/>
  <c r="AF80" i="2"/>
  <c r="AM80" i="2" s="1"/>
  <c r="AN80" i="2" s="1"/>
  <c r="AE80" i="2"/>
  <c r="AK80" i="2" s="1"/>
  <c r="AB80" i="2"/>
  <c r="AC80" i="2" s="1"/>
  <c r="Y80" i="2"/>
  <c r="X80" i="2"/>
  <c r="V80" i="2"/>
  <c r="U80" i="2"/>
  <c r="R80" i="2"/>
  <c r="P80" i="2" s="1"/>
  <c r="Q80" i="2"/>
  <c r="O80" i="2"/>
  <c r="N80" i="2"/>
  <c r="J80" i="2"/>
  <c r="L80" i="2" s="1"/>
  <c r="I80" i="2"/>
  <c r="H80" i="2"/>
  <c r="G80" i="2"/>
  <c r="F80" i="2"/>
  <c r="B80" i="2"/>
  <c r="E80" i="2" s="1"/>
  <c r="A80" i="2"/>
  <c r="CD79" i="2"/>
  <c r="BZ79" i="2"/>
  <c r="BY79" i="2"/>
  <c r="BW79" i="2" s="1"/>
  <c r="BX79" i="2"/>
  <c r="BV79" i="2"/>
  <c r="BU79" i="2"/>
  <c r="BT79" i="2"/>
  <c r="BR79" i="2"/>
  <c r="BP79" i="2" s="1"/>
  <c r="BQ79" i="2"/>
  <c r="BO79" i="2"/>
  <c r="BN79" i="2"/>
  <c r="BM79" i="2"/>
  <c r="BL79" i="2"/>
  <c r="BK79" i="2"/>
  <c r="BJ79" i="2"/>
  <c r="BH79" i="2" s="1"/>
  <c r="BB79" i="2" s="1"/>
  <c r="BI79" i="2"/>
  <c r="BD79" i="2"/>
  <c r="BC79" i="2"/>
  <c r="BA79" i="2"/>
  <c r="AY79" i="2" s="1"/>
  <c r="AZ79" i="2"/>
  <c r="AX79" i="2"/>
  <c r="AW79" i="2"/>
  <c r="AV79" i="2"/>
  <c r="AU79" i="2"/>
  <c r="AT79" i="2"/>
  <c r="AS79" i="2"/>
  <c r="AQ79" i="2" s="1"/>
  <c r="AR79" i="2"/>
  <c r="AP79" i="2"/>
  <c r="AM79" i="2"/>
  <c r="AJ79" i="2"/>
  <c r="AF79" i="2"/>
  <c r="AD79" i="2" s="1"/>
  <c r="AE79" i="2"/>
  <c r="AK79" i="2" s="1"/>
  <c r="AC79" i="2"/>
  <c r="AB79" i="2"/>
  <c r="Y79" i="2"/>
  <c r="Z79" i="2" s="1"/>
  <c r="X79" i="2"/>
  <c r="W79" i="2"/>
  <c r="V79" i="2"/>
  <c r="U79" i="2"/>
  <c r="R79" i="2"/>
  <c r="Q79" i="2"/>
  <c r="P79" i="2"/>
  <c r="O79" i="2"/>
  <c r="AI79" i="2" s="1"/>
  <c r="N79" i="2"/>
  <c r="L79" i="2"/>
  <c r="K79" i="2"/>
  <c r="J79" i="2"/>
  <c r="F79" i="2"/>
  <c r="E79" i="2"/>
  <c r="D79" i="2"/>
  <c r="C79" i="2"/>
  <c r="B79" i="2"/>
  <c r="A79" i="2"/>
  <c r="CD78" i="2"/>
  <c r="BZ78" i="2"/>
  <c r="BY78" i="2"/>
  <c r="BW78" i="2" s="1"/>
  <c r="BX78" i="2"/>
  <c r="BV78" i="2"/>
  <c r="BR78" i="2"/>
  <c r="BQ78" i="2"/>
  <c r="BO78" i="2"/>
  <c r="BN78" i="2"/>
  <c r="BM78" i="2"/>
  <c r="BL78" i="2"/>
  <c r="BK78" i="2"/>
  <c r="BJ78" i="2"/>
  <c r="BI78" i="2"/>
  <c r="BA78" i="2"/>
  <c r="AY78" i="2" s="1"/>
  <c r="AZ78" i="2"/>
  <c r="AX78" i="2"/>
  <c r="AW78" i="2"/>
  <c r="AV78" i="2"/>
  <c r="AU78" i="2"/>
  <c r="AT78" i="2"/>
  <c r="AS78" i="2"/>
  <c r="AQ78" i="2" s="1"/>
  <c r="AR78" i="2"/>
  <c r="AP78" i="2"/>
  <c r="AM78" i="2"/>
  <c r="AO78" i="2" s="1"/>
  <c r="AK78" i="2"/>
  <c r="AJ78" i="2"/>
  <c r="AF78" i="2"/>
  <c r="AE78" i="2"/>
  <c r="AD78" i="2"/>
  <c r="AL78" i="2" s="1"/>
  <c r="AC78" i="2"/>
  <c r="AB78" i="2"/>
  <c r="Y78" i="2"/>
  <c r="X78" i="2"/>
  <c r="W78" i="2"/>
  <c r="U78" i="2"/>
  <c r="V78" i="2" s="1"/>
  <c r="R78" i="2"/>
  <c r="Q78" i="2"/>
  <c r="P78" i="2"/>
  <c r="N78" i="2"/>
  <c r="O78" i="2" s="1"/>
  <c r="L78" i="2"/>
  <c r="K78" i="2"/>
  <c r="J78" i="2"/>
  <c r="F78" i="2"/>
  <c r="I78" i="2" s="1"/>
  <c r="E78" i="2"/>
  <c r="D78" i="2"/>
  <c r="C78" i="2"/>
  <c r="B78" i="2"/>
  <c r="A78" i="2"/>
  <c r="CD77" i="2"/>
  <c r="BZ77" i="2"/>
  <c r="BY77" i="2"/>
  <c r="BX77" i="2"/>
  <c r="BW77" i="2"/>
  <c r="BV77" i="2"/>
  <c r="BR77" i="2"/>
  <c r="BQ77" i="2"/>
  <c r="BP77" i="2"/>
  <c r="BO77" i="2"/>
  <c r="BN77" i="2"/>
  <c r="BL77" i="2" s="1"/>
  <c r="BM77" i="2"/>
  <c r="BK77" i="2"/>
  <c r="BJ77" i="2"/>
  <c r="BU77" i="2" s="1"/>
  <c r="BI77" i="2"/>
  <c r="BT77" i="2" s="1"/>
  <c r="BH77" i="2"/>
  <c r="BS77" i="2" s="1"/>
  <c r="BA77" i="2"/>
  <c r="AZ77" i="2"/>
  <c r="AY77" i="2"/>
  <c r="AX77" i="2"/>
  <c r="AW77" i="2"/>
  <c r="AU77" i="2" s="1"/>
  <c r="AV77" i="2"/>
  <c r="AT77" i="2"/>
  <c r="AS77" i="2"/>
  <c r="AR77" i="2"/>
  <c r="AQ77" i="2"/>
  <c r="AP77" i="2"/>
  <c r="AK77" i="2"/>
  <c r="AJ77" i="2"/>
  <c r="AF77" i="2"/>
  <c r="AM77" i="2" s="1"/>
  <c r="AE77" i="2"/>
  <c r="AD77" i="2"/>
  <c r="AB77" i="2"/>
  <c r="AC77" i="2" s="1"/>
  <c r="Y77" i="2"/>
  <c r="W77" i="2" s="1"/>
  <c r="X77" i="2"/>
  <c r="U77" i="2"/>
  <c r="V77" i="2" s="1"/>
  <c r="Z77" i="2" s="1"/>
  <c r="T77" i="2"/>
  <c r="S77" i="2"/>
  <c r="R77" i="2"/>
  <c r="P77" i="2" s="1"/>
  <c r="Q77" i="2"/>
  <c r="N77" i="2"/>
  <c r="O77" i="2" s="1"/>
  <c r="J77" i="2"/>
  <c r="L77" i="2" s="1"/>
  <c r="I77" i="2"/>
  <c r="H77" i="2"/>
  <c r="G77" i="2"/>
  <c r="F77" i="2"/>
  <c r="C77" i="2"/>
  <c r="B77" i="2"/>
  <c r="A77" i="2"/>
  <c r="CD76" i="2"/>
  <c r="BZ76" i="2"/>
  <c r="BY76" i="2"/>
  <c r="BX76" i="2"/>
  <c r="BW76" i="2"/>
  <c r="BV76" i="2"/>
  <c r="BR76" i="2"/>
  <c r="BQ76" i="2"/>
  <c r="BP76" i="2"/>
  <c r="BO76" i="2"/>
  <c r="BN76" i="2"/>
  <c r="BL76" i="2" s="1"/>
  <c r="BM76" i="2"/>
  <c r="BT76" i="2" s="1"/>
  <c r="BK76" i="2"/>
  <c r="BJ76" i="2"/>
  <c r="BI76" i="2"/>
  <c r="BH76" i="2"/>
  <c r="BA76" i="2"/>
  <c r="AZ76" i="2"/>
  <c r="BC76" i="2" s="1"/>
  <c r="AY76" i="2"/>
  <c r="AX76" i="2"/>
  <c r="AW76" i="2"/>
  <c r="AV76" i="2"/>
  <c r="AT76" i="2"/>
  <c r="AS76" i="2"/>
  <c r="AR76" i="2"/>
  <c r="AQ76" i="2"/>
  <c r="AP76" i="2"/>
  <c r="AJ76" i="2"/>
  <c r="AH76" i="2"/>
  <c r="AG76" i="2"/>
  <c r="AF76" i="2"/>
  <c r="AE76" i="2"/>
  <c r="AK76" i="2" s="1"/>
  <c r="BF76" i="2" s="1"/>
  <c r="AB76" i="2"/>
  <c r="AC76" i="2" s="1"/>
  <c r="Y76" i="2"/>
  <c r="X76" i="2"/>
  <c r="U76" i="2"/>
  <c r="V76" i="2" s="1"/>
  <c r="Z76" i="2" s="1"/>
  <c r="R76" i="2"/>
  <c r="Q76" i="2"/>
  <c r="N76" i="2"/>
  <c r="O76" i="2" s="1"/>
  <c r="AI76" i="2" s="1"/>
  <c r="J76" i="2"/>
  <c r="K76" i="2" s="1"/>
  <c r="I76" i="2"/>
  <c r="H76" i="2"/>
  <c r="G76" i="2"/>
  <c r="F76" i="2"/>
  <c r="B76" i="2"/>
  <c r="C76" i="2" s="1"/>
  <c r="A76" i="2"/>
  <c r="CD75" i="2"/>
  <c r="BZ75" i="2"/>
  <c r="BY75" i="2"/>
  <c r="BW75" i="2" s="1"/>
  <c r="BX75" i="2"/>
  <c r="BV75" i="2"/>
  <c r="BU75" i="2"/>
  <c r="BT75" i="2"/>
  <c r="BR75" i="2"/>
  <c r="BP75" i="2" s="1"/>
  <c r="BQ75" i="2"/>
  <c r="BO75" i="2"/>
  <c r="BN75" i="2"/>
  <c r="BM75" i="2"/>
  <c r="BL75" i="2"/>
  <c r="BK75" i="2"/>
  <c r="BJ75" i="2"/>
  <c r="BH75" i="2" s="1"/>
  <c r="BI75" i="2"/>
  <c r="BD75" i="2"/>
  <c r="BC75" i="2"/>
  <c r="BA75" i="2"/>
  <c r="AY75" i="2" s="1"/>
  <c r="AZ75" i="2"/>
  <c r="AX75" i="2"/>
  <c r="AW75" i="2"/>
  <c r="AV75" i="2"/>
  <c r="AU75" i="2"/>
  <c r="AT75" i="2"/>
  <c r="AS75" i="2"/>
  <c r="AQ75" i="2" s="1"/>
  <c r="AR75" i="2"/>
  <c r="AP75" i="2"/>
  <c r="AJ75" i="2"/>
  <c r="AF75" i="2"/>
  <c r="AE75" i="2"/>
  <c r="AC75" i="2"/>
  <c r="AB75" i="2"/>
  <c r="Y75" i="2"/>
  <c r="AA75" i="2" s="1"/>
  <c r="X75" i="2"/>
  <c r="W75" i="2" s="1"/>
  <c r="V75" i="2"/>
  <c r="U75" i="2"/>
  <c r="R75" i="2"/>
  <c r="Q75" i="2"/>
  <c r="P75" i="2"/>
  <c r="O75" i="2"/>
  <c r="AI75" i="2" s="1"/>
  <c r="N75" i="2"/>
  <c r="L75" i="2"/>
  <c r="J75" i="2"/>
  <c r="K75" i="2" s="1"/>
  <c r="G75" i="2"/>
  <c r="F75" i="2"/>
  <c r="E75" i="2"/>
  <c r="D75" i="2"/>
  <c r="B75" i="2"/>
  <c r="C75" i="2" s="1"/>
  <c r="A75" i="2"/>
  <c r="CD74" i="2"/>
  <c r="BZ74" i="2"/>
  <c r="BY74" i="2"/>
  <c r="BW74" i="2" s="1"/>
  <c r="BX74" i="2"/>
  <c r="BV74" i="2"/>
  <c r="BR74" i="2"/>
  <c r="BQ74" i="2"/>
  <c r="BO74" i="2"/>
  <c r="BN74" i="2"/>
  <c r="BM74" i="2"/>
  <c r="BL74" i="2"/>
  <c r="BK74" i="2"/>
  <c r="BJ74" i="2"/>
  <c r="BI74" i="2"/>
  <c r="BA74" i="2"/>
  <c r="AY74" i="2" s="1"/>
  <c r="AZ74" i="2"/>
  <c r="AX74" i="2"/>
  <c r="AW74" i="2"/>
  <c r="AV74" i="2"/>
  <c r="AU74" i="2"/>
  <c r="AT74" i="2"/>
  <c r="AS74" i="2"/>
  <c r="AQ74" i="2" s="1"/>
  <c r="AR74" i="2"/>
  <c r="AP74" i="2"/>
  <c r="AM74" i="2"/>
  <c r="AO74" i="2" s="1"/>
  <c r="AL74" i="2"/>
  <c r="AK74" i="2"/>
  <c r="AJ74" i="2"/>
  <c r="AF74" i="2"/>
  <c r="AE74" i="2"/>
  <c r="AD74" i="2"/>
  <c r="AC74" i="2"/>
  <c r="AB74" i="2"/>
  <c r="Y74" i="2"/>
  <c r="X74" i="2"/>
  <c r="W74" i="2"/>
  <c r="U74" i="2"/>
  <c r="V74" i="2" s="1"/>
  <c r="Z74" i="2" s="1"/>
  <c r="R74" i="2"/>
  <c r="Q74" i="2"/>
  <c r="P74" i="2"/>
  <c r="N74" i="2"/>
  <c r="O74" i="2" s="1"/>
  <c r="L74" i="2"/>
  <c r="K74" i="2"/>
  <c r="J74" i="2"/>
  <c r="F74" i="2"/>
  <c r="I74" i="2" s="1"/>
  <c r="E74" i="2"/>
  <c r="D74" i="2"/>
  <c r="C74" i="2"/>
  <c r="B74" i="2"/>
  <c r="A74" i="2"/>
  <c r="CD73" i="2"/>
  <c r="BZ73" i="2"/>
  <c r="BY73" i="2"/>
  <c r="BX73" i="2"/>
  <c r="BW73" i="2" s="1"/>
  <c r="BV73" i="2"/>
  <c r="BR73" i="2"/>
  <c r="BQ73" i="2"/>
  <c r="BP73" i="2"/>
  <c r="BO73" i="2"/>
  <c r="BN73" i="2"/>
  <c r="BL73" i="2" s="1"/>
  <c r="BM73" i="2"/>
  <c r="BK73" i="2"/>
  <c r="BJ73" i="2"/>
  <c r="BU73" i="2" s="1"/>
  <c r="BI73" i="2"/>
  <c r="BT73" i="2" s="1"/>
  <c r="BH73" i="2"/>
  <c r="BA73" i="2"/>
  <c r="AZ73" i="2"/>
  <c r="AY73" i="2" s="1"/>
  <c r="AX73" i="2"/>
  <c r="AW73" i="2"/>
  <c r="AV73" i="2"/>
  <c r="AU73" i="2" s="1"/>
  <c r="AT73" i="2"/>
  <c r="AS73" i="2"/>
  <c r="AR73" i="2"/>
  <c r="AQ73" i="2"/>
  <c r="AP73" i="2"/>
  <c r="AK73" i="2"/>
  <c r="AJ73" i="2"/>
  <c r="AF73" i="2"/>
  <c r="AE73" i="2"/>
  <c r="AD73" i="2"/>
  <c r="AB73" i="2"/>
  <c r="AC73" i="2" s="1"/>
  <c r="AH73" i="2" s="1"/>
  <c r="Y73" i="2"/>
  <c r="X73" i="2"/>
  <c r="W73" i="2" s="1"/>
  <c r="U73" i="2"/>
  <c r="V73" i="2" s="1"/>
  <c r="Z73" i="2" s="1"/>
  <c r="R73" i="2"/>
  <c r="P73" i="2" s="1"/>
  <c r="AL73" i="2" s="1"/>
  <c r="Q73" i="2"/>
  <c r="N73" i="2"/>
  <c r="O73" i="2" s="1"/>
  <c r="T73" i="2" s="1"/>
  <c r="K73" i="2"/>
  <c r="J73" i="2"/>
  <c r="L73" i="2" s="1"/>
  <c r="I73" i="2"/>
  <c r="G73" i="2"/>
  <c r="F73" i="2"/>
  <c r="H73" i="2" s="1"/>
  <c r="B73" i="2"/>
  <c r="C73" i="2" s="1"/>
  <c r="A73" i="2"/>
  <c r="CD72" i="2"/>
  <c r="BZ72" i="2"/>
  <c r="BY72" i="2"/>
  <c r="BX72" i="2"/>
  <c r="BW72" i="2"/>
  <c r="BV72" i="2"/>
  <c r="BU72" i="2"/>
  <c r="BR72" i="2"/>
  <c r="BQ72" i="2"/>
  <c r="BP72" i="2"/>
  <c r="BO72" i="2"/>
  <c r="BN72" i="2"/>
  <c r="BM72" i="2"/>
  <c r="BT72" i="2" s="1"/>
  <c r="BK72" i="2"/>
  <c r="BJ72" i="2"/>
  <c r="BI72" i="2"/>
  <c r="BC72" i="2" s="1"/>
  <c r="BH72" i="2"/>
  <c r="BA72" i="2"/>
  <c r="AZ72" i="2"/>
  <c r="AY72" i="2"/>
  <c r="AX72" i="2"/>
  <c r="AW72" i="2"/>
  <c r="AV72" i="2"/>
  <c r="AT72" i="2"/>
  <c r="AS72" i="2"/>
  <c r="AR72" i="2"/>
  <c r="AQ72" i="2"/>
  <c r="AP72" i="2"/>
  <c r="AJ72" i="2"/>
  <c r="AH72" i="2"/>
  <c r="AF72" i="2"/>
  <c r="AM72" i="2" s="1"/>
  <c r="AN72" i="2" s="1"/>
  <c r="AE72" i="2"/>
  <c r="AB72" i="2"/>
  <c r="AC72" i="2" s="1"/>
  <c r="AG72" i="2" s="1"/>
  <c r="Y72" i="2"/>
  <c r="X72" i="2"/>
  <c r="U72" i="2"/>
  <c r="V72" i="2" s="1"/>
  <c r="R72" i="2"/>
  <c r="Q72" i="2"/>
  <c r="N72" i="2"/>
  <c r="O72" i="2" s="1"/>
  <c r="J72" i="2"/>
  <c r="L72" i="2" s="1"/>
  <c r="I72" i="2"/>
  <c r="H72" i="2"/>
  <c r="G72" i="2"/>
  <c r="F72" i="2"/>
  <c r="B72" i="2"/>
  <c r="E72" i="2" s="1"/>
  <c r="A72" i="2"/>
  <c r="CD71" i="2"/>
  <c r="BZ71" i="2"/>
  <c r="BY71" i="2"/>
  <c r="BX71" i="2"/>
  <c r="BW71" i="2" s="1"/>
  <c r="BV71" i="2"/>
  <c r="BU71" i="2"/>
  <c r="BT71" i="2"/>
  <c r="BR71" i="2"/>
  <c r="BP71" i="2" s="1"/>
  <c r="BQ71" i="2"/>
  <c r="BO71" i="2"/>
  <c r="BN71" i="2"/>
  <c r="BM71" i="2"/>
  <c r="BL71" i="2"/>
  <c r="BK71" i="2"/>
  <c r="BJ71" i="2"/>
  <c r="BH71" i="2" s="1"/>
  <c r="BI71" i="2"/>
  <c r="BD71" i="2"/>
  <c r="BA71" i="2"/>
  <c r="AY71" i="2" s="1"/>
  <c r="AZ71" i="2"/>
  <c r="AX71" i="2"/>
  <c r="AW71" i="2"/>
  <c r="AV71" i="2"/>
  <c r="AU71" i="2" s="1"/>
  <c r="AT71" i="2"/>
  <c r="AS71" i="2"/>
  <c r="AQ71" i="2" s="1"/>
  <c r="AR71" i="2"/>
  <c r="AP71" i="2"/>
  <c r="AJ71" i="2"/>
  <c r="AF71" i="2"/>
  <c r="AM71" i="2" s="1"/>
  <c r="AE71" i="2"/>
  <c r="AB71" i="2"/>
  <c r="AC71" i="2" s="1"/>
  <c r="Y71" i="2"/>
  <c r="AA71" i="2" s="1"/>
  <c r="X71" i="2"/>
  <c r="W71" i="2" s="1"/>
  <c r="V71" i="2"/>
  <c r="U71" i="2"/>
  <c r="R71" i="2"/>
  <c r="Q71" i="2"/>
  <c r="P71" i="2"/>
  <c r="O71" i="2"/>
  <c r="AI71" i="2" s="1"/>
  <c r="N71" i="2"/>
  <c r="L71" i="2"/>
  <c r="K71" i="2"/>
  <c r="J71" i="2"/>
  <c r="G71" i="2"/>
  <c r="F71" i="2"/>
  <c r="E71" i="2"/>
  <c r="D71" i="2"/>
  <c r="C71" i="2"/>
  <c r="B71" i="2"/>
  <c r="A71" i="2"/>
  <c r="CD70" i="2"/>
  <c r="BZ70" i="2"/>
  <c r="BY70" i="2"/>
  <c r="BW70" i="2" s="1"/>
  <c r="BX70" i="2"/>
  <c r="BV70" i="2"/>
  <c r="BR70" i="2"/>
  <c r="BP70" i="2" s="1"/>
  <c r="BQ70" i="2"/>
  <c r="BO70" i="2"/>
  <c r="BN70" i="2"/>
  <c r="BM70" i="2"/>
  <c r="BL70" i="2"/>
  <c r="BK70" i="2"/>
  <c r="BJ70" i="2"/>
  <c r="BI70" i="2"/>
  <c r="BA70" i="2"/>
  <c r="AY70" i="2" s="1"/>
  <c r="AZ70" i="2"/>
  <c r="AX70" i="2"/>
  <c r="AW70" i="2"/>
  <c r="AV70" i="2"/>
  <c r="AU70" i="2"/>
  <c r="AT70" i="2"/>
  <c r="AS70" i="2"/>
  <c r="AQ70" i="2" s="1"/>
  <c r="AR70" i="2"/>
  <c r="AP70" i="2"/>
  <c r="AM70" i="2"/>
  <c r="AN70" i="2" s="1"/>
  <c r="AL70" i="2"/>
  <c r="AK70" i="2"/>
  <c r="AJ70" i="2"/>
  <c r="AF70" i="2"/>
  <c r="AE70" i="2"/>
  <c r="AD70" i="2"/>
  <c r="AC70" i="2"/>
  <c r="AB70" i="2"/>
  <c r="Y70" i="2"/>
  <c r="X70" i="2"/>
  <c r="W70" i="2"/>
  <c r="V70" i="2"/>
  <c r="U70" i="2"/>
  <c r="R70" i="2"/>
  <c r="Q70" i="2"/>
  <c r="P70" i="2"/>
  <c r="N70" i="2"/>
  <c r="O70" i="2" s="1"/>
  <c r="L70" i="2"/>
  <c r="K70" i="2"/>
  <c r="J70" i="2"/>
  <c r="F70" i="2"/>
  <c r="I70" i="2" s="1"/>
  <c r="E70" i="2"/>
  <c r="D70" i="2"/>
  <c r="C70" i="2"/>
  <c r="B70" i="2"/>
  <c r="A70" i="2"/>
  <c r="CD69" i="2"/>
  <c r="BZ69" i="2"/>
  <c r="BY69" i="2"/>
  <c r="BX69" i="2"/>
  <c r="BW69" i="2"/>
  <c r="BV69" i="2"/>
  <c r="BR69" i="2"/>
  <c r="BQ69" i="2"/>
  <c r="BP69" i="2"/>
  <c r="BO69" i="2"/>
  <c r="BN69" i="2"/>
  <c r="BL69" i="2" s="1"/>
  <c r="BM69" i="2"/>
  <c r="BK69" i="2"/>
  <c r="BJ69" i="2"/>
  <c r="BU69" i="2" s="1"/>
  <c r="BI69" i="2"/>
  <c r="BT69" i="2" s="1"/>
  <c r="BH69" i="2"/>
  <c r="BA69" i="2"/>
  <c r="AZ69" i="2"/>
  <c r="AY69" i="2" s="1"/>
  <c r="AX69" i="2"/>
  <c r="AW69" i="2"/>
  <c r="AU69" i="2" s="1"/>
  <c r="AV69" i="2"/>
  <c r="AT69" i="2"/>
  <c r="AS69" i="2"/>
  <c r="AR69" i="2"/>
  <c r="AQ69" i="2" s="1"/>
  <c r="AP69" i="2"/>
  <c r="AK69" i="2"/>
  <c r="AJ69" i="2"/>
  <c r="AF69" i="2"/>
  <c r="AE69" i="2"/>
  <c r="AD69" i="2"/>
  <c r="AB69" i="2"/>
  <c r="AC69" i="2" s="1"/>
  <c r="AH69" i="2" s="1"/>
  <c r="AA69" i="2"/>
  <c r="Y69" i="2"/>
  <c r="W69" i="2" s="1"/>
  <c r="X69" i="2"/>
  <c r="U69" i="2"/>
  <c r="V69" i="2" s="1"/>
  <c r="Z69" i="2" s="1"/>
  <c r="S69" i="2"/>
  <c r="R69" i="2"/>
  <c r="P69" i="2" s="1"/>
  <c r="Q69" i="2"/>
  <c r="N69" i="2"/>
  <c r="O69" i="2" s="1"/>
  <c r="AI69" i="2" s="1"/>
  <c r="K69" i="2"/>
  <c r="J69" i="2"/>
  <c r="L69" i="2" s="1"/>
  <c r="I69" i="2"/>
  <c r="H69" i="2"/>
  <c r="G69" i="2"/>
  <c r="F69" i="2"/>
  <c r="C69" i="2"/>
  <c r="B69" i="2"/>
  <c r="A69" i="2"/>
  <c r="CD68" i="2"/>
  <c r="BZ68" i="2"/>
  <c r="BY68" i="2"/>
  <c r="BX68" i="2"/>
  <c r="BW68" i="2"/>
  <c r="BV68" i="2"/>
  <c r="BR68" i="2"/>
  <c r="BQ68" i="2"/>
  <c r="BP68" i="2"/>
  <c r="BO68" i="2"/>
  <c r="BN68" i="2"/>
  <c r="BU68" i="2" s="1"/>
  <c r="BM68" i="2"/>
  <c r="BT68" i="2" s="1"/>
  <c r="BK68" i="2"/>
  <c r="BJ68" i="2"/>
  <c r="BI68" i="2"/>
  <c r="BH68" i="2"/>
  <c r="BA68" i="2"/>
  <c r="AZ68" i="2"/>
  <c r="BC68" i="2" s="1"/>
  <c r="AY68" i="2"/>
  <c r="AX68" i="2"/>
  <c r="AW68" i="2"/>
  <c r="AV68" i="2"/>
  <c r="AT68" i="2"/>
  <c r="AS68" i="2"/>
  <c r="AR68" i="2"/>
  <c r="AQ68" i="2"/>
  <c r="AP68" i="2"/>
  <c r="AJ68" i="2"/>
  <c r="AI68" i="2"/>
  <c r="AH68" i="2"/>
  <c r="AG68" i="2"/>
  <c r="AF68" i="2"/>
  <c r="AM68" i="2" s="1"/>
  <c r="AN68" i="2" s="1"/>
  <c r="AE68" i="2"/>
  <c r="AB68" i="2"/>
  <c r="Y68" i="2"/>
  <c r="X68" i="2"/>
  <c r="U68" i="2"/>
  <c r="R68" i="2"/>
  <c r="T68" i="2" s="1"/>
  <c r="Q68" i="2"/>
  <c r="P68" i="2"/>
  <c r="AL68" i="2" s="1"/>
  <c r="N68" i="2"/>
  <c r="L68" i="2"/>
  <c r="J68" i="2"/>
  <c r="K68" i="2" s="1"/>
  <c r="F68" i="2"/>
  <c r="E68" i="2"/>
  <c r="D68" i="2"/>
  <c r="B68" i="2"/>
  <c r="C68" i="2" s="1"/>
  <c r="A68" i="2"/>
  <c r="CD67" i="2"/>
  <c r="BZ67" i="2"/>
  <c r="BY67" i="2"/>
  <c r="BX67" i="2"/>
  <c r="BV67" i="2"/>
  <c r="BR67" i="2"/>
  <c r="BQ67" i="2"/>
  <c r="BP67" i="2"/>
  <c r="BO67" i="2"/>
  <c r="BN67" i="2"/>
  <c r="BL67" i="2" s="1"/>
  <c r="BM67" i="2"/>
  <c r="BK67" i="2"/>
  <c r="BJ67" i="2"/>
  <c r="BU67" i="2" s="1"/>
  <c r="BI67" i="2"/>
  <c r="BH67" i="2" s="1"/>
  <c r="BA67" i="2"/>
  <c r="AZ67" i="2"/>
  <c r="AX67" i="2"/>
  <c r="AW67" i="2"/>
  <c r="AV67" i="2"/>
  <c r="AU67" i="2"/>
  <c r="AT67" i="2"/>
  <c r="AS67" i="2"/>
  <c r="AR67" i="2"/>
  <c r="AP67" i="2"/>
  <c r="AK67" i="2"/>
  <c r="AJ67" i="2"/>
  <c r="AI67" i="2"/>
  <c r="AH67" i="2"/>
  <c r="AG67" i="2"/>
  <c r="AF67" i="2"/>
  <c r="AE67" i="2"/>
  <c r="AD67" i="2"/>
  <c r="AB67" i="2"/>
  <c r="AA67" i="2"/>
  <c r="Z67" i="2"/>
  <c r="Y67" i="2"/>
  <c r="W67" i="2" s="1"/>
  <c r="X67" i="2"/>
  <c r="U67" i="2"/>
  <c r="R67" i="2"/>
  <c r="Q67" i="2"/>
  <c r="N67" i="2"/>
  <c r="J67" i="2"/>
  <c r="K67" i="2" s="1"/>
  <c r="I67" i="2"/>
  <c r="H67" i="2"/>
  <c r="G67" i="2"/>
  <c r="F67" i="2"/>
  <c r="B67" i="2"/>
  <c r="C67" i="2" s="1"/>
  <c r="A67" i="2"/>
  <c r="CD66" i="2"/>
  <c r="BZ66" i="2"/>
  <c r="BY66" i="2"/>
  <c r="BW66" i="2" s="1"/>
  <c r="BX66" i="2"/>
  <c r="BV66" i="2"/>
  <c r="BU66" i="2"/>
  <c r="BT66" i="2"/>
  <c r="BR66" i="2"/>
  <c r="BP66" i="2" s="1"/>
  <c r="BQ66" i="2"/>
  <c r="BO66" i="2"/>
  <c r="BN66" i="2"/>
  <c r="BM66" i="2"/>
  <c r="BL66" i="2"/>
  <c r="BK66" i="2"/>
  <c r="BJ66" i="2"/>
  <c r="BH66" i="2" s="1"/>
  <c r="BI66" i="2"/>
  <c r="BD66" i="2"/>
  <c r="BG66" i="2" s="1"/>
  <c r="BA66" i="2"/>
  <c r="AY66" i="2" s="1"/>
  <c r="AZ66" i="2"/>
  <c r="AX66" i="2"/>
  <c r="AW66" i="2"/>
  <c r="AV66" i="2"/>
  <c r="BC66" i="2" s="1"/>
  <c r="BF66" i="2" s="1"/>
  <c r="AT66" i="2"/>
  <c r="AS66" i="2"/>
  <c r="AQ66" i="2" s="1"/>
  <c r="AR66" i="2"/>
  <c r="AP66" i="2"/>
  <c r="AM66" i="2"/>
  <c r="AO66" i="2" s="1"/>
  <c r="AJ66" i="2"/>
  <c r="AF66" i="2"/>
  <c r="AE66" i="2"/>
  <c r="AK66" i="2" s="1"/>
  <c r="AB66" i="2"/>
  <c r="AC66" i="2" s="1"/>
  <c r="Y66" i="2"/>
  <c r="Z66" i="2" s="1"/>
  <c r="X66" i="2"/>
  <c r="W66" i="2"/>
  <c r="V66" i="2"/>
  <c r="U66" i="2"/>
  <c r="R66" i="2"/>
  <c r="T66" i="2" s="1"/>
  <c r="Q66" i="2"/>
  <c r="P66" i="2"/>
  <c r="O66" i="2"/>
  <c r="AI66" i="2" s="1"/>
  <c r="N66" i="2"/>
  <c r="L66" i="2"/>
  <c r="K66" i="2"/>
  <c r="J66" i="2"/>
  <c r="F66" i="2"/>
  <c r="E66" i="2"/>
  <c r="D66" i="2"/>
  <c r="C66" i="2"/>
  <c r="B66" i="2"/>
  <c r="A66" i="2"/>
  <c r="CD65" i="2"/>
  <c r="BZ65" i="2"/>
  <c r="BY65" i="2"/>
  <c r="BW65" i="2" s="1"/>
  <c r="BX65" i="2"/>
  <c r="BV65" i="2"/>
  <c r="BR65" i="2"/>
  <c r="BQ65" i="2"/>
  <c r="BO65" i="2"/>
  <c r="BN65" i="2"/>
  <c r="BM65" i="2"/>
  <c r="BL65" i="2"/>
  <c r="BK65" i="2"/>
  <c r="BJ65" i="2"/>
  <c r="BI65" i="2"/>
  <c r="BA65" i="2"/>
  <c r="AY65" i="2" s="1"/>
  <c r="AZ65" i="2"/>
  <c r="AX65" i="2"/>
  <c r="AW65" i="2"/>
  <c r="AV65" i="2"/>
  <c r="AU65" i="2"/>
  <c r="AT65" i="2"/>
  <c r="AS65" i="2"/>
  <c r="AQ65" i="2" s="1"/>
  <c r="AR65" i="2"/>
  <c r="AP65" i="2"/>
  <c r="AM65" i="2"/>
  <c r="AN65" i="2" s="1"/>
  <c r="AL65" i="2"/>
  <c r="AK65" i="2"/>
  <c r="AJ65" i="2"/>
  <c r="AF65" i="2"/>
  <c r="AE65" i="2"/>
  <c r="AD65" i="2"/>
  <c r="AC65" i="2"/>
  <c r="AB65" i="2"/>
  <c r="Y65" i="2"/>
  <c r="X65" i="2"/>
  <c r="W65" i="2"/>
  <c r="U65" i="2"/>
  <c r="V65" i="2" s="1"/>
  <c r="R65" i="2"/>
  <c r="Q65" i="2"/>
  <c r="P65" i="2"/>
  <c r="N65" i="2"/>
  <c r="O65" i="2" s="1"/>
  <c r="L65" i="2"/>
  <c r="K65" i="2"/>
  <c r="J65" i="2"/>
  <c r="F65" i="2"/>
  <c r="I65" i="2" s="1"/>
  <c r="E65" i="2"/>
  <c r="D65" i="2"/>
  <c r="C65" i="2"/>
  <c r="B65" i="2"/>
  <c r="A65" i="2"/>
  <c r="CD64" i="2"/>
  <c r="BZ64" i="2"/>
  <c r="BY64" i="2"/>
  <c r="BX64" i="2"/>
  <c r="BW64" i="2" s="1"/>
  <c r="BV64" i="2"/>
  <c r="BR64" i="2"/>
  <c r="BQ64" i="2"/>
  <c r="BP64" i="2"/>
  <c r="BO64" i="2"/>
  <c r="BN64" i="2"/>
  <c r="BL64" i="2" s="1"/>
  <c r="BM64" i="2"/>
  <c r="BK64" i="2"/>
  <c r="BJ64" i="2"/>
  <c r="BU64" i="2" s="1"/>
  <c r="BI64" i="2"/>
  <c r="BT64" i="2" s="1"/>
  <c r="BH64" i="2"/>
  <c r="BA64" i="2"/>
  <c r="AZ64" i="2"/>
  <c r="AY64" i="2"/>
  <c r="AX64" i="2"/>
  <c r="AW64" i="2"/>
  <c r="AU64" i="2" s="1"/>
  <c r="AV64" i="2"/>
  <c r="AT64" i="2"/>
  <c r="AS64" i="2"/>
  <c r="AR64" i="2"/>
  <c r="AQ64" i="2"/>
  <c r="AP64" i="2"/>
  <c r="AK64" i="2"/>
  <c r="AJ64" i="2"/>
  <c r="AF64" i="2"/>
  <c r="AE64" i="2"/>
  <c r="AD64" i="2"/>
  <c r="AB64" i="2"/>
  <c r="AC64" i="2" s="1"/>
  <c r="AH64" i="2" s="1"/>
  <c r="Y64" i="2"/>
  <c r="W64" i="2" s="1"/>
  <c r="X64" i="2"/>
  <c r="U64" i="2"/>
  <c r="V64" i="2" s="1"/>
  <c r="Z64" i="2" s="1"/>
  <c r="R64" i="2"/>
  <c r="P64" i="2" s="1"/>
  <c r="AL64" i="2" s="1"/>
  <c r="Q64" i="2"/>
  <c r="N64" i="2"/>
  <c r="O64" i="2" s="1"/>
  <c r="T64" i="2" s="1"/>
  <c r="K64" i="2"/>
  <c r="J64" i="2"/>
  <c r="L64" i="2" s="1"/>
  <c r="I64" i="2"/>
  <c r="H64" i="2"/>
  <c r="G64" i="2"/>
  <c r="F64" i="2"/>
  <c r="B64" i="2"/>
  <c r="A64" i="2"/>
  <c r="CD63" i="2"/>
  <c r="BZ63" i="2"/>
  <c r="BY63" i="2"/>
  <c r="BX63" i="2"/>
  <c r="BW63" i="2"/>
  <c r="BV63" i="2"/>
  <c r="BU63" i="2"/>
  <c r="BR63" i="2"/>
  <c r="BQ63" i="2"/>
  <c r="BP63" i="2"/>
  <c r="BO63" i="2"/>
  <c r="BN63" i="2"/>
  <c r="BM63" i="2"/>
  <c r="BT63" i="2" s="1"/>
  <c r="BK63" i="2"/>
  <c r="BJ63" i="2"/>
  <c r="BI63" i="2"/>
  <c r="BH63" i="2"/>
  <c r="BA63" i="2"/>
  <c r="AZ63" i="2"/>
  <c r="BC63" i="2" s="1"/>
  <c r="AY63" i="2"/>
  <c r="AX63" i="2"/>
  <c r="AW63" i="2"/>
  <c r="AV63" i="2"/>
  <c r="AT63" i="2"/>
  <c r="AS63" i="2"/>
  <c r="AR63" i="2"/>
  <c r="AQ63" i="2"/>
  <c r="AP63" i="2"/>
  <c r="AJ63" i="2"/>
  <c r="AH63" i="2"/>
  <c r="AG63" i="2"/>
  <c r="AF63" i="2"/>
  <c r="AE63" i="2"/>
  <c r="AB63" i="2"/>
  <c r="AC63" i="2" s="1"/>
  <c r="Y63" i="2"/>
  <c r="Z63" i="2" s="1"/>
  <c r="X63" i="2"/>
  <c r="V63" i="2"/>
  <c r="U63" i="2"/>
  <c r="R63" i="2"/>
  <c r="Q63" i="2"/>
  <c r="N63" i="2"/>
  <c r="O63" i="2" s="1"/>
  <c r="AI63" i="2" s="1"/>
  <c r="J63" i="2"/>
  <c r="K63" i="2" s="1"/>
  <c r="I63" i="2"/>
  <c r="H63" i="2"/>
  <c r="G63" i="2"/>
  <c r="F63" i="2"/>
  <c r="B63" i="2"/>
  <c r="C63" i="2" s="1"/>
  <c r="A63" i="2"/>
  <c r="CD62" i="2"/>
  <c r="BZ62" i="2"/>
  <c r="BY62" i="2"/>
  <c r="BW62" i="2" s="1"/>
  <c r="BX62" i="2"/>
  <c r="BV62" i="2"/>
  <c r="BU62" i="2"/>
  <c r="BT62" i="2"/>
  <c r="BR62" i="2"/>
  <c r="BP62" i="2" s="1"/>
  <c r="BQ62" i="2"/>
  <c r="BO62" i="2"/>
  <c r="BN62" i="2"/>
  <c r="BM62" i="2"/>
  <c r="BL62" i="2"/>
  <c r="BK62" i="2"/>
  <c r="BJ62" i="2"/>
  <c r="BH62" i="2" s="1"/>
  <c r="BI62" i="2"/>
  <c r="BD62" i="2"/>
  <c r="BC62" i="2"/>
  <c r="BF62" i="2" s="1"/>
  <c r="BA62" i="2"/>
  <c r="AY62" i="2" s="1"/>
  <c r="AZ62" i="2"/>
  <c r="AX62" i="2"/>
  <c r="AW62" i="2"/>
  <c r="AV62" i="2"/>
  <c r="AU62" i="2"/>
  <c r="AT62" i="2"/>
  <c r="AS62" i="2"/>
  <c r="AQ62" i="2" s="1"/>
  <c r="AR62" i="2"/>
  <c r="AP62" i="2"/>
  <c r="AJ62" i="2"/>
  <c r="AF62" i="2"/>
  <c r="AE62" i="2"/>
  <c r="AK62" i="2" s="1"/>
  <c r="AD62" i="2"/>
  <c r="AB62" i="2"/>
  <c r="Y62" i="2"/>
  <c r="W62" i="2" s="1"/>
  <c r="X62" i="2"/>
  <c r="U62" i="2"/>
  <c r="R62" i="2"/>
  <c r="S62" i="2" s="1"/>
  <c r="Q62" i="2"/>
  <c r="P62" i="2"/>
  <c r="AL62" i="2" s="1"/>
  <c r="N62" i="2"/>
  <c r="L62" i="2"/>
  <c r="K62" i="2"/>
  <c r="J62" i="2"/>
  <c r="F62" i="2"/>
  <c r="E62" i="2"/>
  <c r="D62" i="2"/>
  <c r="C62" i="2"/>
  <c r="B62" i="2"/>
  <c r="A62" i="2"/>
  <c r="CD61" i="2"/>
  <c r="BZ61" i="2"/>
  <c r="BY61" i="2"/>
  <c r="BW61" i="2" s="1"/>
  <c r="BX61" i="2"/>
  <c r="BV61" i="2"/>
  <c r="BR61" i="2"/>
  <c r="BP61" i="2" s="1"/>
  <c r="BQ61" i="2"/>
  <c r="BO61" i="2"/>
  <c r="BN61" i="2"/>
  <c r="BM61" i="2"/>
  <c r="BL61" i="2"/>
  <c r="BK61" i="2"/>
  <c r="BJ61" i="2"/>
  <c r="BI61" i="2"/>
  <c r="BA61" i="2"/>
  <c r="AY61" i="2" s="1"/>
  <c r="AZ61" i="2"/>
  <c r="AX61" i="2"/>
  <c r="AW61" i="2"/>
  <c r="AV61" i="2"/>
  <c r="AU61" i="2"/>
  <c r="AT61" i="2"/>
  <c r="AS61" i="2"/>
  <c r="AQ61" i="2" s="1"/>
  <c r="AR61" i="2"/>
  <c r="AP61" i="2"/>
  <c r="AM61" i="2"/>
  <c r="AO61" i="2" s="1"/>
  <c r="AK61" i="2"/>
  <c r="AJ61" i="2"/>
  <c r="AF61" i="2"/>
  <c r="AE61" i="2"/>
  <c r="AD61" i="2"/>
  <c r="AL61" i="2" s="1"/>
  <c r="AC61" i="2"/>
  <c r="AB61" i="2"/>
  <c r="Y61" i="2"/>
  <c r="X61" i="2"/>
  <c r="W61" i="2"/>
  <c r="V61" i="2"/>
  <c r="U61" i="2"/>
  <c r="R61" i="2"/>
  <c r="S61" i="2" s="1"/>
  <c r="Q61" i="2"/>
  <c r="P61" i="2"/>
  <c r="N61" i="2"/>
  <c r="O61" i="2" s="1"/>
  <c r="L61" i="2"/>
  <c r="K61" i="2"/>
  <c r="J61" i="2"/>
  <c r="F61" i="2"/>
  <c r="I61" i="2" s="1"/>
  <c r="E61" i="2"/>
  <c r="D61" i="2"/>
  <c r="C61" i="2"/>
  <c r="B61" i="2"/>
  <c r="A61" i="2"/>
  <c r="CD60" i="2"/>
  <c r="BZ60" i="2"/>
  <c r="BY60" i="2"/>
  <c r="BX60" i="2"/>
  <c r="BW60" i="2"/>
  <c r="BV60" i="2"/>
  <c r="BR60" i="2"/>
  <c r="BQ60" i="2"/>
  <c r="BP60" i="2"/>
  <c r="BO60" i="2"/>
  <c r="BN60" i="2"/>
  <c r="BL60" i="2" s="1"/>
  <c r="BM60" i="2"/>
  <c r="BK60" i="2"/>
  <c r="BJ60" i="2"/>
  <c r="BU60" i="2" s="1"/>
  <c r="BI60" i="2"/>
  <c r="BT60" i="2" s="1"/>
  <c r="BH60" i="2"/>
  <c r="BA60" i="2"/>
  <c r="AZ60" i="2"/>
  <c r="AY60" i="2" s="1"/>
  <c r="AX60" i="2"/>
  <c r="AW60" i="2"/>
  <c r="AU60" i="2" s="1"/>
  <c r="AV60" i="2"/>
  <c r="AT60" i="2"/>
  <c r="AS60" i="2"/>
  <c r="AR60" i="2"/>
  <c r="AQ60" i="2" s="1"/>
  <c r="AP60" i="2"/>
  <c r="AK60" i="2"/>
  <c r="AJ60" i="2"/>
  <c r="AF60" i="2"/>
  <c r="AE60" i="2"/>
  <c r="AD60" i="2"/>
  <c r="AB60" i="2"/>
  <c r="AC60" i="2" s="1"/>
  <c r="AH60" i="2" s="1"/>
  <c r="AA60" i="2"/>
  <c r="Y60" i="2"/>
  <c r="W60" i="2" s="1"/>
  <c r="X60" i="2"/>
  <c r="U60" i="2"/>
  <c r="V60" i="2" s="1"/>
  <c r="Z60" i="2" s="1"/>
  <c r="S60" i="2"/>
  <c r="R60" i="2"/>
  <c r="P60" i="2" s="1"/>
  <c r="Q60" i="2"/>
  <c r="N60" i="2"/>
  <c r="O60" i="2" s="1"/>
  <c r="AI60" i="2" s="1"/>
  <c r="K60" i="2"/>
  <c r="J60" i="2"/>
  <c r="L60" i="2" s="1"/>
  <c r="I60" i="2"/>
  <c r="H60" i="2"/>
  <c r="G60" i="2"/>
  <c r="F60" i="2"/>
  <c r="C60" i="2"/>
  <c r="B60" i="2"/>
  <c r="A60" i="2"/>
  <c r="CD59" i="2"/>
  <c r="BZ59" i="2"/>
  <c r="BY59" i="2"/>
  <c r="BX59" i="2"/>
  <c r="BW59" i="2"/>
  <c r="BV59" i="2"/>
  <c r="BR59" i="2"/>
  <c r="BQ59" i="2"/>
  <c r="BP59" i="2"/>
  <c r="BO59" i="2"/>
  <c r="BN59" i="2"/>
  <c r="BU59" i="2" s="1"/>
  <c r="BM59" i="2"/>
  <c r="BT59" i="2" s="1"/>
  <c r="BK59" i="2"/>
  <c r="BJ59" i="2"/>
  <c r="BI59" i="2"/>
  <c r="BC59" i="2" s="1"/>
  <c r="BF59" i="2" s="1"/>
  <c r="BH59" i="2"/>
  <c r="BA59" i="2"/>
  <c r="AZ59" i="2"/>
  <c r="AY59" i="2"/>
  <c r="AX59" i="2"/>
  <c r="AW59" i="2"/>
  <c r="AV59" i="2"/>
  <c r="AT59" i="2"/>
  <c r="AS59" i="2"/>
  <c r="AR59" i="2"/>
  <c r="AQ59" i="2"/>
  <c r="AP59" i="2"/>
  <c r="AJ59" i="2"/>
  <c r="AF59" i="2"/>
  <c r="AE59" i="2"/>
  <c r="AB59" i="2"/>
  <c r="AC59" i="2" s="1"/>
  <c r="AH59" i="2" s="1"/>
  <c r="Z59" i="2"/>
  <c r="Y59" i="2"/>
  <c r="X59" i="2"/>
  <c r="AK59" i="2" s="1"/>
  <c r="V59" i="2"/>
  <c r="U59" i="2"/>
  <c r="R59" i="2"/>
  <c r="Q59" i="2"/>
  <c r="N59" i="2"/>
  <c r="O59" i="2" s="1"/>
  <c r="AI59" i="2" s="1"/>
  <c r="J59" i="2"/>
  <c r="K59" i="2" s="1"/>
  <c r="I59" i="2"/>
  <c r="H59" i="2"/>
  <c r="G59" i="2"/>
  <c r="F59" i="2"/>
  <c r="B59" i="2"/>
  <c r="E59" i="2" s="1"/>
  <c r="A59" i="2"/>
  <c r="CD58" i="2"/>
  <c r="BZ58" i="2"/>
  <c r="BY58" i="2"/>
  <c r="BW58" i="2" s="1"/>
  <c r="BX58" i="2"/>
  <c r="BV58" i="2"/>
  <c r="BU58" i="2"/>
  <c r="BT58" i="2"/>
  <c r="BR58" i="2"/>
  <c r="BP58" i="2" s="1"/>
  <c r="BQ58" i="2"/>
  <c r="BO58" i="2"/>
  <c r="BN58" i="2"/>
  <c r="BM58" i="2"/>
  <c r="BL58" i="2"/>
  <c r="BK58" i="2"/>
  <c r="BJ58" i="2"/>
  <c r="BH58" i="2" s="1"/>
  <c r="BI58" i="2"/>
  <c r="BD58" i="2"/>
  <c r="BA58" i="2"/>
  <c r="AY58" i="2" s="1"/>
  <c r="AZ58" i="2"/>
  <c r="AX58" i="2"/>
  <c r="AW58" i="2"/>
  <c r="AV58" i="2"/>
  <c r="BC58" i="2" s="1"/>
  <c r="BF58" i="2" s="1"/>
  <c r="AU58" i="2"/>
  <c r="AT58" i="2"/>
  <c r="AS58" i="2"/>
  <c r="AQ58" i="2" s="1"/>
  <c r="AR58" i="2"/>
  <c r="AP58" i="2"/>
  <c r="AJ58" i="2"/>
  <c r="AI58" i="2"/>
  <c r="AF58" i="2"/>
  <c r="AE58" i="2"/>
  <c r="AK58" i="2" s="1"/>
  <c r="AB58" i="2"/>
  <c r="Y58" i="2"/>
  <c r="AA58" i="2" s="1"/>
  <c r="X58" i="2"/>
  <c r="W58" i="2"/>
  <c r="U58" i="2"/>
  <c r="T58" i="2"/>
  <c r="S58" i="2"/>
  <c r="R58" i="2"/>
  <c r="Q58" i="2"/>
  <c r="P58" i="2"/>
  <c r="AL58" i="2" s="1"/>
  <c r="N58" i="2"/>
  <c r="L58" i="2"/>
  <c r="K58" i="2"/>
  <c r="J58" i="2"/>
  <c r="F58" i="2"/>
  <c r="I58" i="2" s="1"/>
  <c r="E58" i="2"/>
  <c r="D58" i="2"/>
  <c r="C58" i="2"/>
  <c r="B58" i="2"/>
  <c r="A58" i="2"/>
  <c r="CD57" i="2"/>
  <c r="BZ57" i="2"/>
  <c r="BY57" i="2"/>
  <c r="BX57" i="2"/>
  <c r="BW57" i="2"/>
  <c r="BV57" i="2"/>
  <c r="BR57" i="2"/>
  <c r="BQ57" i="2"/>
  <c r="BP57" i="2"/>
  <c r="BO57" i="2"/>
  <c r="BN57" i="2"/>
  <c r="BM57" i="2"/>
  <c r="BK57" i="2"/>
  <c r="BJ57" i="2"/>
  <c r="BI57" i="2"/>
  <c r="BT57" i="2" s="1"/>
  <c r="BH57" i="2"/>
  <c r="BA57" i="2"/>
  <c r="BD57" i="2" s="1"/>
  <c r="AZ57" i="2"/>
  <c r="AY57" i="2"/>
  <c r="AX57" i="2"/>
  <c r="AW57" i="2"/>
  <c r="AU57" i="2" s="1"/>
  <c r="AV57" i="2"/>
  <c r="AT57" i="2"/>
  <c r="AS57" i="2"/>
  <c r="AR57" i="2"/>
  <c r="AQ57" i="2"/>
  <c r="AP57" i="2"/>
  <c r="AK57" i="2"/>
  <c r="AJ57" i="2"/>
  <c r="AH57" i="2"/>
  <c r="AF57" i="2"/>
  <c r="AE57" i="2"/>
  <c r="AB57" i="2"/>
  <c r="AC57" i="2" s="1"/>
  <c r="AG57" i="2" s="1"/>
  <c r="AA57" i="2"/>
  <c r="Y57" i="2"/>
  <c r="W57" i="2" s="1"/>
  <c r="X57" i="2"/>
  <c r="U57" i="2"/>
  <c r="V57" i="2" s="1"/>
  <c r="Z57" i="2" s="1"/>
  <c r="R57" i="2"/>
  <c r="Q57" i="2"/>
  <c r="O57" i="2"/>
  <c r="N57" i="2"/>
  <c r="J57" i="2"/>
  <c r="I57" i="2"/>
  <c r="H57" i="2"/>
  <c r="G57" i="2"/>
  <c r="F57" i="2"/>
  <c r="B57" i="2"/>
  <c r="A57" i="2"/>
  <c r="CD56" i="2"/>
  <c r="BZ56" i="2"/>
  <c r="BY56" i="2"/>
  <c r="BX56" i="2"/>
  <c r="BW56" i="2"/>
  <c r="BV56" i="2"/>
  <c r="BU56" i="2"/>
  <c r="BT56" i="2"/>
  <c r="BR56" i="2"/>
  <c r="BP56" i="2" s="1"/>
  <c r="BQ56" i="2"/>
  <c r="BO56" i="2"/>
  <c r="BN56" i="2"/>
  <c r="BM56" i="2"/>
  <c r="BL56" i="2"/>
  <c r="BK56" i="2"/>
  <c r="BJ56" i="2"/>
  <c r="BH56" i="2" s="1"/>
  <c r="BI56" i="2"/>
  <c r="BA56" i="2"/>
  <c r="AZ56" i="2"/>
  <c r="AY56" i="2"/>
  <c r="AX56" i="2"/>
  <c r="AW56" i="2"/>
  <c r="AU56" i="2" s="1"/>
  <c r="AV56" i="2"/>
  <c r="BC56" i="2" s="1"/>
  <c r="AT56" i="2"/>
  <c r="AS56" i="2"/>
  <c r="AR56" i="2"/>
  <c r="AQ56" i="2"/>
  <c r="AP56" i="2"/>
  <c r="AJ56" i="2"/>
  <c r="AI56" i="2"/>
  <c r="AF56" i="2"/>
  <c r="AE56" i="2"/>
  <c r="AC56" i="2"/>
  <c r="AB56" i="2"/>
  <c r="Y56" i="2"/>
  <c r="X56" i="2"/>
  <c r="V56" i="2"/>
  <c r="U56" i="2"/>
  <c r="R56" i="2"/>
  <c r="S56" i="2" s="1"/>
  <c r="Q56" i="2"/>
  <c r="P56" i="2"/>
  <c r="AL56" i="2" s="1"/>
  <c r="O56" i="2"/>
  <c r="N56" i="2"/>
  <c r="J56" i="2"/>
  <c r="L56" i="2" s="1"/>
  <c r="I56" i="2"/>
  <c r="H56" i="2"/>
  <c r="G56" i="2"/>
  <c r="F56" i="2"/>
  <c r="B56" i="2"/>
  <c r="E56" i="2" s="1"/>
  <c r="A56" i="2"/>
  <c r="CD55" i="2"/>
  <c r="BZ55" i="2"/>
  <c r="BY55" i="2"/>
  <c r="BW55" i="2" s="1"/>
  <c r="BX55" i="2"/>
  <c r="BV55" i="2"/>
  <c r="BT55" i="2"/>
  <c r="BR55" i="2"/>
  <c r="BP55" i="2" s="1"/>
  <c r="BQ55" i="2"/>
  <c r="BO55" i="2"/>
  <c r="BN55" i="2"/>
  <c r="BM55" i="2"/>
  <c r="BL55" i="2"/>
  <c r="BK55" i="2"/>
  <c r="BJ55" i="2"/>
  <c r="BI55" i="2"/>
  <c r="BC55" i="2"/>
  <c r="BA55" i="2"/>
  <c r="AY55" i="2" s="1"/>
  <c r="AZ55" i="2"/>
  <c r="AX55" i="2"/>
  <c r="AW55" i="2"/>
  <c r="AV55" i="2"/>
  <c r="AU55" i="2"/>
  <c r="AT55" i="2"/>
  <c r="AS55" i="2"/>
  <c r="AQ55" i="2" s="1"/>
  <c r="AR55" i="2"/>
  <c r="AP55" i="2"/>
  <c r="AM55" i="2"/>
  <c r="AJ55" i="2"/>
  <c r="AF55" i="2"/>
  <c r="AG55" i="2" s="1"/>
  <c r="AE55" i="2"/>
  <c r="AK55" i="2" s="1"/>
  <c r="AC55" i="2"/>
  <c r="AB55" i="2"/>
  <c r="Y55" i="2"/>
  <c r="AA55" i="2" s="1"/>
  <c r="X55" i="2"/>
  <c r="W55" i="2"/>
  <c r="V55" i="2"/>
  <c r="U55" i="2"/>
  <c r="R55" i="2"/>
  <c r="Q55" i="2"/>
  <c r="P55" i="2"/>
  <c r="N55" i="2"/>
  <c r="O55" i="2" s="1"/>
  <c r="L55" i="2"/>
  <c r="K55" i="2"/>
  <c r="J55" i="2"/>
  <c r="F55" i="2"/>
  <c r="E55" i="2"/>
  <c r="D55" i="2"/>
  <c r="C55" i="2"/>
  <c r="B55" i="2"/>
  <c r="A55" i="2"/>
  <c r="CD54" i="2"/>
  <c r="BZ54" i="2"/>
  <c r="BY54" i="2"/>
  <c r="BW54" i="2" s="1"/>
  <c r="BX54" i="2"/>
  <c r="BV54" i="2"/>
  <c r="BR54" i="2"/>
  <c r="BQ54" i="2"/>
  <c r="BP54" i="2"/>
  <c r="BO54" i="2"/>
  <c r="BN54" i="2"/>
  <c r="BL54" i="2" s="1"/>
  <c r="BM54" i="2"/>
  <c r="BK54" i="2"/>
  <c r="BJ54" i="2"/>
  <c r="BU54" i="2" s="1"/>
  <c r="BI54" i="2"/>
  <c r="BH54" i="2"/>
  <c r="BA54" i="2"/>
  <c r="AY54" i="2" s="1"/>
  <c r="AZ54" i="2"/>
  <c r="AX54" i="2"/>
  <c r="AW54" i="2"/>
  <c r="AV54" i="2"/>
  <c r="AU54" i="2"/>
  <c r="AT54" i="2"/>
  <c r="AS54" i="2"/>
  <c r="AR54" i="2"/>
  <c r="AP54" i="2"/>
  <c r="AM54" i="2"/>
  <c r="AO54" i="2" s="1"/>
  <c r="AK54" i="2"/>
  <c r="AJ54" i="2"/>
  <c r="AF54" i="2"/>
  <c r="AE54" i="2"/>
  <c r="AD54" i="2"/>
  <c r="AC54" i="2"/>
  <c r="AB54" i="2"/>
  <c r="Y54" i="2"/>
  <c r="X54" i="2"/>
  <c r="W54" i="2"/>
  <c r="U54" i="2"/>
  <c r="V54" i="2" s="1"/>
  <c r="T54" i="2"/>
  <c r="R54" i="2"/>
  <c r="P54" i="2" s="1"/>
  <c r="AL54" i="2" s="1"/>
  <c r="Q54" i="2"/>
  <c r="N54" i="2"/>
  <c r="O54" i="2" s="1"/>
  <c r="L54" i="2"/>
  <c r="K54" i="2"/>
  <c r="J54" i="2"/>
  <c r="F54" i="2"/>
  <c r="I54" i="2" s="1"/>
  <c r="E54" i="2"/>
  <c r="D54" i="2"/>
  <c r="C54" i="2"/>
  <c r="B54" i="2"/>
  <c r="A54" i="2"/>
  <c r="CD53" i="2"/>
  <c r="BZ53" i="2"/>
  <c r="BY53" i="2"/>
  <c r="BX53" i="2"/>
  <c r="BW53" i="2"/>
  <c r="BV53" i="2"/>
  <c r="BR53" i="2"/>
  <c r="BQ53" i="2"/>
  <c r="BP53" i="2"/>
  <c r="BO53" i="2"/>
  <c r="BN53" i="2"/>
  <c r="BM53" i="2"/>
  <c r="BK53" i="2"/>
  <c r="BJ53" i="2"/>
  <c r="BI53" i="2"/>
  <c r="BT53" i="2" s="1"/>
  <c r="BH53" i="2"/>
  <c r="BA53" i="2"/>
  <c r="BD53" i="2" s="1"/>
  <c r="AZ53" i="2"/>
  <c r="AY53" i="2"/>
  <c r="AX53" i="2"/>
  <c r="AW53" i="2"/>
  <c r="AU53" i="2" s="1"/>
  <c r="AV53" i="2"/>
  <c r="AT53" i="2"/>
  <c r="AS53" i="2"/>
  <c r="AR53" i="2"/>
  <c r="AQ53" i="2"/>
  <c r="AP53" i="2"/>
  <c r="AK53" i="2"/>
  <c r="AJ53" i="2"/>
  <c r="AI53" i="2"/>
  <c r="AF53" i="2"/>
  <c r="AE53" i="2"/>
  <c r="AB53" i="2"/>
  <c r="AC53" i="2" s="1"/>
  <c r="AG53" i="2" s="1"/>
  <c r="AA53" i="2"/>
  <c r="Z53" i="2"/>
  <c r="Y53" i="2"/>
  <c r="W53" i="2" s="1"/>
  <c r="X53" i="2"/>
  <c r="U53" i="2"/>
  <c r="V53" i="2" s="1"/>
  <c r="R53" i="2"/>
  <c r="Q53" i="2"/>
  <c r="O53" i="2"/>
  <c r="N53" i="2"/>
  <c r="J53" i="2"/>
  <c r="I53" i="2"/>
  <c r="H53" i="2"/>
  <c r="G53" i="2"/>
  <c r="F53" i="2"/>
  <c r="B53" i="2"/>
  <c r="A53" i="2"/>
  <c r="CD52" i="2"/>
  <c r="BZ52" i="2"/>
  <c r="BY52" i="2"/>
  <c r="BX52" i="2"/>
  <c r="BW52" i="2"/>
  <c r="BV52" i="2"/>
  <c r="BU52" i="2"/>
  <c r="BT52" i="2"/>
  <c r="BR52" i="2"/>
  <c r="BP52" i="2" s="1"/>
  <c r="BQ52" i="2"/>
  <c r="BO52" i="2"/>
  <c r="BN52" i="2"/>
  <c r="BM52" i="2"/>
  <c r="BL52" i="2"/>
  <c r="BK52" i="2"/>
  <c r="BJ52" i="2"/>
  <c r="BH52" i="2" s="1"/>
  <c r="BI52" i="2"/>
  <c r="BD52" i="2"/>
  <c r="BA52" i="2"/>
  <c r="AZ52" i="2"/>
  <c r="AY52" i="2"/>
  <c r="AX52" i="2"/>
  <c r="AW52" i="2"/>
  <c r="AV52" i="2"/>
  <c r="BC52" i="2" s="1"/>
  <c r="AT52" i="2"/>
  <c r="AS52" i="2"/>
  <c r="AR52" i="2"/>
  <c r="AQ52" i="2"/>
  <c r="AP52" i="2"/>
  <c r="AJ52" i="2"/>
  <c r="AI52" i="2"/>
  <c r="AG52" i="2"/>
  <c r="AF52" i="2"/>
  <c r="AE52" i="2"/>
  <c r="AB52" i="2"/>
  <c r="Y52" i="2"/>
  <c r="Z52" i="2" s="1"/>
  <c r="X52" i="2"/>
  <c r="W52" i="2"/>
  <c r="V52" i="2"/>
  <c r="U52" i="2"/>
  <c r="R52" i="2"/>
  <c r="T52" i="2" s="1"/>
  <c r="Q52" i="2"/>
  <c r="P52" i="2"/>
  <c r="N52" i="2"/>
  <c r="L52" i="2"/>
  <c r="K52" i="2"/>
  <c r="J52" i="2"/>
  <c r="F52" i="2"/>
  <c r="E52" i="2"/>
  <c r="D52" i="2"/>
  <c r="C52" i="2"/>
  <c r="B52" i="2"/>
  <c r="A52" i="2"/>
  <c r="CD51" i="2"/>
  <c r="BZ51" i="2"/>
  <c r="BY51" i="2"/>
  <c r="BW51" i="2" s="1"/>
  <c r="BX51" i="2"/>
  <c r="BV51" i="2"/>
  <c r="BR51" i="2"/>
  <c r="BQ51" i="2"/>
  <c r="BP51" i="2"/>
  <c r="BO51" i="2"/>
  <c r="BN51" i="2"/>
  <c r="BL51" i="2" s="1"/>
  <c r="BM51" i="2"/>
  <c r="BK51" i="2"/>
  <c r="BJ51" i="2"/>
  <c r="BU51" i="2" s="1"/>
  <c r="BI51" i="2"/>
  <c r="BH51" i="2"/>
  <c r="BA51" i="2"/>
  <c r="AZ51" i="2"/>
  <c r="AX51" i="2"/>
  <c r="AW51" i="2"/>
  <c r="AV51" i="2"/>
  <c r="AU51" i="2"/>
  <c r="AT51" i="2"/>
  <c r="AS51" i="2"/>
  <c r="AR51" i="2"/>
  <c r="AP51" i="2"/>
  <c r="AM51" i="2"/>
  <c r="AO51" i="2" s="1"/>
  <c r="AK51" i="2"/>
  <c r="AJ51" i="2"/>
  <c r="AF51" i="2"/>
  <c r="AE51" i="2"/>
  <c r="AD51" i="2"/>
  <c r="AB51" i="2"/>
  <c r="AC51" i="2" s="1"/>
  <c r="AA51" i="2"/>
  <c r="Z51" i="2"/>
  <c r="Y51" i="2"/>
  <c r="X51" i="2"/>
  <c r="W51" i="2"/>
  <c r="U51" i="2"/>
  <c r="T51" i="2"/>
  <c r="S51" i="2"/>
  <c r="R51" i="2"/>
  <c r="P51" i="2" s="1"/>
  <c r="AL51" i="2" s="1"/>
  <c r="Q51" i="2"/>
  <c r="N51" i="2"/>
  <c r="O51" i="2" s="1"/>
  <c r="J51" i="2"/>
  <c r="L51" i="2" s="1"/>
  <c r="I51" i="2"/>
  <c r="H51" i="2"/>
  <c r="G51" i="2"/>
  <c r="F51" i="2"/>
  <c r="C51" i="2"/>
  <c r="B51" i="2"/>
  <c r="A51" i="2"/>
  <c r="CD50" i="2"/>
  <c r="BZ50" i="2"/>
  <c r="BY50" i="2"/>
  <c r="BX50" i="2"/>
  <c r="BW50" i="2"/>
  <c r="BV50" i="2"/>
  <c r="BR50" i="2"/>
  <c r="BQ50" i="2"/>
  <c r="BP50" i="2"/>
  <c r="BO50" i="2"/>
  <c r="BN50" i="2"/>
  <c r="BL50" i="2" s="1"/>
  <c r="BM50" i="2"/>
  <c r="BT50" i="2" s="1"/>
  <c r="BK50" i="2"/>
  <c r="BJ50" i="2"/>
  <c r="BI50" i="2"/>
  <c r="BH50" i="2"/>
  <c r="BA50" i="2"/>
  <c r="AZ50" i="2"/>
  <c r="BC50" i="2" s="1"/>
  <c r="AY50" i="2"/>
  <c r="AX50" i="2"/>
  <c r="AW50" i="2"/>
  <c r="AV50" i="2"/>
  <c r="AT50" i="2"/>
  <c r="AS50" i="2"/>
  <c r="AR50" i="2"/>
  <c r="AQ50" i="2"/>
  <c r="AP50" i="2"/>
  <c r="AJ50" i="2"/>
  <c r="AG50" i="2"/>
  <c r="AF50" i="2"/>
  <c r="AM50" i="2" s="1"/>
  <c r="AN50" i="2" s="1"/>
  <c r="AE50" i="2"/>
  <c r="AK50" i="2" s="1"/>
  <c r="BF50" i="2" s="1"/>
  <c r="AB50" i="2"/>
  <c r="AC50" i="2" s="1"/>
  <c r="AI50" i="2" s="1"/>
  <c r="Z50" i="2"/>
  <c r="Y50" i="2"/>
  <c r="X50" i="2"/>
  <c r="U50" i="2"/>
  <c r="R50" i="2"/>
  <c r="S50" i="2" s="1"/>
  <c r="Q50" i="2"/>
  <c r="P50" i="2"/>
  <c r="O50" i="2"/>
  <c r="N50" i="2"/>
  <c r="J50" i="2"/>
  <c r="L50" i="2" s="1"/>
  <c r="I50" i="2"/>
  <c r="H50" i="2"/>
  <c r="G50" i="2"/>
  <c r="F50" i="2"/>
  <c r="B50" i="2"/>
  <c r="E50" i="2" s="1"/>
  <c r="A50" i="2"/>
  <c r="CD49" i="2"/>
  <c r="BZ49" i="2"/>
  <c r="BY49" i="2"/>
  <c r="BW49" i="2" s="1"/>
  <c r="BX49" i="2"/>
  <c r="BV49" i="2"/>
  <c r="BT49" i="2"/>
  <c r="BR49" i="2"/>
  <c r="BP49" i="2" s="1"/>
  <c r="BQ49" i="2"/>
  <c r="BO49" i="2"/>
  <c r="BN49" i="2"/>
  <c r="BM49" i="2"/>
  <c r="BL49" i="2"/>
  <c r="BK49" i="2"/>
  <c r="BJ49" i="2"/>
  <c r="BI49" i="2"/>
  <c r="BC49" i="2"/>
  <c r="BF49" i="2" s="1"/>
  <c r="BA49" i="2"/>
  <c r="AY49" i="2" s="1"/>
  <c r="AZ49" i="2"/>
  <c r="AX49" i="2"/>
  <c r="AW49" i="2"/>
  <c r="AV49" i="2"/>
  <c r="AU49" i="2"/>
  <c r="AT49" i="2"/>
  <c r="AS49" i="2"/>
  <c r="AQ49" i="2" s="1"/>
  <c r="AR49" i="2"/>
  <c r="AP49" i="2"/>
  <c r="AM49" i="2"/>
  <c r="AJ49" i="2"/>
  <c r="AI49" i="2"/>
  <c r="AF49" i="2"/>
  <c r="AH49" i="2" s="1"/>
  <c r="AE49" i="2"/>
  <c r="AK49" i="2" s="1"/>
  <c r="AB49" i="2"/>
  <c r="AA49" i="2"/>
  <c r="Z49" i="2"/>
  <c r="Y49" i="2"/>
  <c r="X49" i="2"/>
  <c r="W49" i="2"/>
  <c r="U49" i="2"/>
  <c r="T49" i="2"/>
  <c r="S49" i="2"/>
  <c r="R49" i="2"/>
  <c r="P49" i="2" s="1"/>
  <c r="Q49" i="2"/>
  <c r="N49" i="2"/>
  <c r="J49" i="2"/>
  <c r="L49" i="2" s="1"/>
  <c r="I49" i="2"/>
  <c r="H49" i="2"/>
  <c r="G49" i="2"/>
  <c r="F49" i="2"/>
  <c r="B49" i="2"/>
  <c r="C49" i="2" s="1"/>
  <c r="A49" i="2"/>
  <c r="CD48" i="2"/>
  <c r="BZ48" i="2"/>
  <c r="BY48" i="2"/>
  <c r="BX48" i="2"/>
  <c r="BW48" i="2"/>
  <c r="BV48" i="2"/>
  <c r="BU48" i="2"/>
  <c r="BR48" i="2"/>
  <c r="BQ48" i="2"/>
  <c r="BP48" i="2"/>
  <c r="BO48" i="2"/>
  <c r="BN48" i="2"/>
  <c r="BM48" i="2"/>
  <c r="BT48" i="2" s="1"/>
  <c r="BK48" i="2"/>
  <c r="BJ48" i="2"/>
  <c r="BI48" i="2"/>
  <c r="BH48" i="2"/>
  <c r="BA48" i="2"/>
  <c r="AZ48" i="2"/>
  <c r="BC48" i="2" s="1"/>
  <c r="BF48" i="2" s="1"/>
  <c r="AY48" i="2"/>
  <c r="AX48" i="2"/>
  <c r="AW48" i="2"/>
  <c r="AV48" i="2"/>
  <c r="AT48" i="2"/>
  <c r="AS48" i="2"/>
  <c r="AR48" i="2"/>
  <c r="AQ48" i="2"/>
  <c r="AP48" i="2"/>
  <c r="AJ48" i="2"/>
  <c r="AI48" i="2"/>
  <c r="AH48" i="2"/>
  <c r="AG48" i="2"/>
  <c r="AF48" i="2"/>
  <c r="AE48" i="2"/>
  <c r="AK48" i="2" s="1"/>
  <c r="AB48" i="2"/>
  <c r="Y48" i="2"/>
  <c r="X48" i="2"/>
  <c r="V48" i="2"/>
  <c r="U48" i="2"/>
  <c r="R48" i="2"/>
  <c r="S48" i="2" s="1"/>
  <c r="Q48" i="2"/>
  <c r="P48" i="2"/>
  <c r="AL48" i="2" s="1"/>
  <c r="N48" i="2"/>
  <c r="L48" i="2"/>
  <c r="K48" i="2"/>
  <c r="J48" i="2"/>
  <c r="G48" i="2"/>
  <c r="F48" i="2"/>
  <c r="E48" i="2"/>
  <c r="D48" i="2"/>
  <c r="C48" i="2"/>
  <c r="B48" i="2"/>
  <c r="A48" i="2"/>
  <c r="CD47" i="2"/>
  <c r="BZ47" i="2"/>
  <c r="BY47" i="2"/>
  <c r="BW47" i="2" s="1"/>
  <c r="BX47" i="2"/>
  <c r="BV47" i="2"/>
  <c r="BR47" i="2"/>
  <c r="BQ47" i="2"/>
  <c r="BO47" i="2"/>
  <c r="BN47" i="2"/>
  <c r="BM47" i="2"/>
  <c r="BL47" i="2"/>
  <c r="BK47" i="2"/>
  <c r="BJ47" i="2"/>
  <c r="BI47" i="2"/>
  <c r="BA47" i="2"/>
  <c r="AY47" i="2" s="1"/>
  <c r="AZ47" i="2"/>
  <c r="AX47" i="2"/>
  <c r="AW47" i="2"/>
  <c r="AV47" i="2"/>
  <c r="AU47" i="2"/>
  <c r="AT47" i="2"/>
  <c r="AS47" i="2"/>
  <c r="AQ47" i="2" s="1"/>
  <c r="AR47" i="2"/>
  <c r="AP47" i="2"/>
  <c r="AM47" i="2"/>
  <c r="AO47" i="2" s="1"/>
  <c r="AK47" i="2"/>
  <c r="AJ47" i="2"/>
  <c r="AF47" i="2"/>
  <c r="AE47" i="2"/>
  <c r="AD47" i="2"/>
  <c r="AL47" i="2" s="1"/>
  <c r="AC47" i="2"/>
  <c r="AB47" i="2"/>
  <c r="Y47" i="2"/>
  <c r="X47" i="2"/>
  <c r="W47" i="2"/>
  <c r="U47" i="2"/>
  <c r="V47" i="2" s="1"/>
  <c r="T47" i="2"/>
  <c r="S47" i="2"/>
  <c r="R47" i="2"/>
  <c r="Q47" i="2"/>
  <c r="P47" i="2"/>
  <c r="N47" i="2"/>
  <c r="L47" i="2"/>
  <c r="K47" i="2"/>
  <c r="J47" i="2"/>
  <c r="F47" i="2"/>
  <c r="I47" i="2" s="1"/>
  <c r="E47" i="2"/>
  <c r="D47" i="2"/>
  <c r="C47" i="2"/>
  <c r="B47" i="2"/>
  <c r="A47" i="2"/>
  <c r="CD46" i="2"/>
  <c r="BZ46" i="2"/>
  <c r="BY46" i="2"/>
  <c r="BX46" i="2"/>
  <c r="BW46" i="2"/>
  <c r="BV46" i="2"/>
  <c r="BR46" i="2"/>
  <c r="BQ46" i="2"/>
  <c r="BP46" i="2"/>
  <c r="BO46" i="2"/>
  <c r="BN46" i="2"/>
  <c r="BM46" i="2"/>
  <c r="BK46" i="2"/>
  <c r="BJ46" i="2"/>
  <c r="BI46" i="2"/>
  <c r="BT46" i="2" s="1"/>
  <c r="BH46" i="2"/>
  <c r="BA46" i="2"/>
  <c r="BD46" i="2" s="1"/>
  <c r="AZ46" i="2"/>
  <c r="AY46" i="2"/>
  <c r="AX46" i="2"/>
  <c r="AW46" i="2"/>
  <c r="AU46" i="2" s="1"/>
  <c r="AV46" i="2"/>
  <c r="AT46" i="2"/>
  <c r="AS46" i="2"/>
  <c r="AR46" i="2"/>
  <c r="AQ46" i="2"/>
  <c r="AP46" i="2"/>
  <c r="AK46" i="2"/>
  <c r="AJ46" i="2"/>
  <c r="AI46" i="2"/>
  <c r="AH46" i="2"/>
  <c r="AF46" i="2"/>
  <c r="AE46" i="2"/>
  <c r="AB46" i="2"/>
  <c r="AC46" i="2" s="1"/>
  <c r="AG46" i="2" s="1"/>
  <c r="Y46" i="2"/>
  <c r="W46" i="2" s="1"/>
  <c r="X46" i="2"/>
  <c r="U46" i="2"/>
  <c r="V46" i="2" s="1"/>
  <c r="AA46" i="2" s="1"/>
  <c r="R46" i="2"/>
  <c r="Q46" i="2"/>
  <c r="O46" i="2"/>
  <c r="N46" i="2"/>
  <c r="J46" i="2"/>
  <c r="I46" i="2"/>
  <c r="H46" i="2"/>
  <c r="G46" i="2"/>
  <c r="F46" i="2"/>
  <c r="B46" i="2"/>
  <c r="A46" i="2"/>
  <c r="CD45" i="2"/>
  <c r="BZ45" i="2"/>
  <c r="BY45" i="2"/>
  <c r="BX45" i="2"/>
  <c r="BW45" i="2"/>
  <c r="BV45" i="2"/>
  <c r="BU45" i="2"/>
  <c r="BR45" i="2"/>
  <c r="BP45" i="2" s="1"/>
  <c r="BQ45" i="2"/>
  <c r="BO45" i="2"/>
  <c r="BN45" i="2"/>
  <c r="BM45" i="2"/>
  <c r="BT45" i="2" s="1"/>
  <c r="BL45" i="2"/>
  <c r="BK45" i="2"/>
  <c r="BJ45" i="2"/>
  <c r="BH45" i="2" s="1"/>
  <c r="BI45" i="2"/>
  <c r="BD45" i="2"/>
  <c r="BA45" i="2"/>
  <c r="AZ45" i="2"/>
  <c r="AY45" i="2"/>
  <c r="AX45" i="2"/>
  <c r="AW45" i="2"/>
  <c r="AV45" i="2"/>
  <c r="BC45" i="2" s="1"/>
  <c r="AT45" i="2"/>
  <c r="AS45" i="2"/>
  <c r="AR45" i="2"/>
  <c r="AQ45" i="2"/>
  <c r="AP45" i="2"/>
  <c r="AJ45" i="2"/>
  <c r="AI45" i="2"/>
  <c r="AF45" i="2"/>
  <c r="AG45" i="2" s="1"/>
  <c r="AE45" i="2"/>
  <c r="AK45" i="2" s="1"/>
  <c r="AB45" i="2"/>
  <c r="Y45" i="2"/>
  <c r="AA45" i="2" s="1"/>
  <c r="X45" i="2"/>
  <c r="W45" i="2"/>
  <c r="U45" i="2"/>
  <c r="T45" i="2"/>
  <c r="S45" i="2"/>
  <c r="R45" i="2"/>
  <c r="Q45" i="2"/>
  <c r="P45" i="2"/>
  <c r="N45" i="2"/>
  <c r="L45" i="2"/>
  <c r="K45" i="2"/>
  <c r="J45" i="2"/>
  <c r="F45" i="2"/>
  <c r="I45" i="2" s="1"/>
  <c r="E45" i="2"/>
  <c r="D45" i="2"/>
  <c r="C45" i="2"/>
  <c r="B45" i="2"/>
  <c r="A45" i="2"/>
  <c r="CD44" i="2"/>
  <c r="BZ44" i="2"/>
  <c r="BY44" i="2"/>
  <c r="BX44" i="2"/>
  <c r="BW44" i="2"/>
  <c r="BV44" i="2"/>
  <c r="BR44" i="2"/>
  <c r="BQ44" i="2"/>
  <c r="BP44" i="2"/>
  <c r="BO44" i="2"/>
  <c r="BN44" i="2"/>
  <c r="BL44" i="2" s="1"/>
  <c r="BM44" i="2"/>
  <c r="BK44" i="2"/>
  <c r="BJ44" i="2"/>
  <c r="BU44" i="2" s="1"/>
  <c r="BI44" i="2"/>
  <c r="BT44" i="2" s="1"/>
  <c r="BH44" i="2"/>
  <c r="BA44" i="2"/>
  <c r="AZ44" i="2"/>
  <c r="AY44" i="2" s="1"/>
  <c r="AX44" i="2"/>
  <c r="AW44" i="2"/>
  <c r="AU44" i="2" s="1"/>
  <c r="AV44" i="2"/>
  <c r="AT44" i="2"/>
  <c r="AS44" i="2"/>
  <c r="AR44" i="2"/>
  <c r="AQ44" i="2"/>
  <c r="AP44" i="2"/>
  <c r="AJ44" i="2"/>
  <c r="AI44" i="2"/>
  <c r="AH44" i="2"/>
  <c r="AG44" i="2"/>
  <c r="AF44" i="2"/>
  <c r="AE44" i="2"/>
  <c r="AD44" i="2"/>
  <c r="AB44" i="2"/>
  <c r="Y44" i="2"/>
  <c r="W44" i="2" s="1"/>
  <c r="X44" i="2"/>
  <c r="AK44" i="2" s="1"/>
  <c r="U44" i="2"/>
  <c r="R44" i="2"/>
  <c r="T44" i="2" s="1"/>
  <c r="Q44" i="2"/>
  <c r="P44" i="2"/>
  <c r="N44" i="2"/>
  <c r="L44" i="2"/>
  <c r="K44" i="2"/>
  <c r="J44" i="2"/>
  <c r="F44" i="2"/>
  <c r="E44" i="2"/>
  <c r="D44" i="2"/>
  <c r="C44" i="2"/>
  <c r="B44" i="2"/>
  <c r="A44" i="2"/>
  <c r="CD43" i="2"/>
  <c r="BZ43" i="2"/>
  <c r="BY43" i="2"/>
  <c r="BW43" i="2" s="1"/>
  <c r="BX43" i="2"/>
  <c r="BV43" i="2"/>
  <c r="BR43" i="2"/>
  <c r="BQ43" i="2"/>
  <c r="BP43" i="2" s="1"/>
  <c r="BO43" i="2"/>
  <c r="BN43" i="2"/>
  <c r="BL43" i="2" s="1"/>
  <c r="BM43" i="2"/>
  <c r="BK43" i="2"/>
  <c r="BJ43" i="2"/>
  <c r="BU43" i="2" s="1"/>
  <c r="BI43" i="2"/>
  <c r="BH43" i="2"/>
  <c r="BA43" i="2"/>
  <c r="AZ43" i="2"/>
  <c r="AX43" i="2"/>
  <c r="AW43" i="2"/>
  <c r="AV43" i="2"/>
  <c r="AU43" i="2"/>
  <c r="AT43" i="2"/>
  <c r="AS43" i="2"/>
  <c r="AQ43" i="2" s="1"/>
  <c r="AR43" i="2"/>
  <c r="AP43" i="2"/>
  <c r="AM43" i="2"/>
  <c r="AO43" i="2" s="1"/>
  <c r="AK43" i="2"/>
  <c r="AJ43" i="2"/>
  <c r="AF43" i="2"/>
  <c r="AE43" i="2"/>
  <c r="AD43" i="2"/>
  <c r="AB43" i="2"/>
  <c r="AC43" i="2" s="1"/>
  <c r="Y43" i="2"/>
  <c r="X43" i="2"/>
  <c r="W43" i="2"/>
  <c r="U43" i="2"/>
  <c r="V43" i="2" s="1"/>
  <c r="R43" i="2"/>
  <c r="P43" i="2" s="1"/>
  <c r="AL43" i="2" s="1"/>
  <c r="Q43" i="2"/>
  <c r="N43" i="2"/>
  <c r="O43" i="2" s="1"/>
  <c r="L43" i="2"/>
  <c r="K43" i="2"/>
  <c r="J43" i="2"/>
  <c r="F43" i="2"/>
  <c r="I43" i="2" s="1"/>
  <c r="E43" i="2"/>
  <c r="D43" i="2"/>
  <c r="C43" i="2"/>
  <c r="B43" i="2"/>
  <c r="A43" i="2"/>
  <c r="CD42" i="2"/>
  <c r="BZ42" i="2"/>
  <c r="BY42" i="2"/>
  <c r="BX42" i="2"/>
  <c r="BW42" i="2"/>
  <c r="BV42" i="2"/>
  <c r="BR42" i="2"/>
  <c r="BQ42" i="2"/>
  <c r="BP42" i="2"/>
  <c r="BO42" i="2"/>
  <c r="BN42" i="2"/>
  <c r="BM42" i="2"/>
  <c r="BK42" i="2"/>
  <c r="BJ42" i="2"/>
  <c r="BI42" i="2"/>
  <c r="BT42" i="2" s="1"/>
  <c r="BH42" i="2"/>
  <c r="BA42" i="2"/>
  <c r="BD42" i="2" s="1"/>
  <c r="AZ42" i="2"/>
  <c r="AY42" i="2"/>
  <c r="AX42" i="2"/>
  <c r="AW42" i="2"/>
  <c r="AU42" i="2" s="1"/>
  <c r="AV42" i="2"/>
  <c r="AT42" i="2"/>
  <c r="AS42" i="2"/>
  <c r="AR42" i="2"/>
  <c r="AQ42" i="2"/>
  <c r="AP42" i="2"/>
  <c r="AJ42" i="2"/>
  <c r="AI42" i="2"/>
  <c r="AH42" i="2"/>
  <c r="AG42" i="2"/>
  <c r="AF42" i="2"/>
  <c r="AE42" i="2"/>
  <c r="AB42" i="2"/>
  <c r="Z42" i="2"/>
  <c r="Y42" i="2"/>
  <c r="X42" i="2"/>
  <c r="V42" i="2"/>
  <c r="U42" i="2"/>
  <c r="R42" i="2"/>
  <c r="Q42" i="2"/>
  <c r="AK42" i="2" s="1"/>
  <c r="O42" i="2"/>
  <c r="N42" i="2"/>
  <c r="J42" i="2"/>
  <c r="K42" i="2" s="1"/>
  <c r="I42" i="2"/>
  <c r="H42" i="2"/>
  <c r="G42" i="2"/>
  <c r="F42" i="2"/>
  <c r="B42" i="2"/>
  <c r="C42" i="2" s="1"/>
  <c r="A42" i="2"/>
  <c r="CD41" i="2"/>
  <c r="BZ41" i="2"/>
  <c r="BY41" i="2"/>
  <c r="BW41" i="2" s="1"/>
  <c r="BX41" i="2"/>
  <c r="BV41" i="2"/>
  <c r="BU41" i="2"/>
  <c r="BT41" i="2"/>
  <c r="BR41" i="2"/>
  <c r="BP41" i="2" s="1"/>
  <c r="BQ41" i="2"/>
  <c r="BO41" i="2"/>
  <c r="BN41" i="2"/>
  <c r="BM41" i="2"/>
  <c r="BL41" i="2"/>
  <c r="BK41" i="2"/>
  <c r="BJ41" i="2"/>
  <c r="BH41" i="2" s="1"/>
  <c r="BI41" i="2"/>
  <c r="BD41" i="2"/>
  <c r="BC41" i="2"/>
  <c r="BF41" i="2" s="1"/>
  <c r="BA41" i="2"/>
  <c r="AY41" i="2" s="1"/>
  <c r="AZ41" i="2"/>
  <c r="AX41" i="2"/>
  <c r="AW41" i="2"/>
  <c r="AV41" i="2"/>
  <c r="AU41" i="2"/>
  <c r="AT41" i="2"/>
  <c r="AS41" i="2"/>
  <c r="AQ41" i="2" s="1"/>
  <c r="AR41" i="2"/>
  <c r="AP41" i="2"/>
  <c r="AJ41" i="2"/>
  <c r="AF41" i="2"/>
  <c r="AE41" i="2"/>
  <c r="AK41" i="2" s="1"/>
  <c r="AC41" i="2"/>
  <c r="AB41" i="2"/>
  <c r="Y41" i="2"/>
  <c r="Z41" i="2" s="1"/>
  <c r="X41" i="2"/>
  <c r="W41" i="2"/>
  <c r="V41" i="2"/>
  <c r="U41" i="2"/>
  <c r="R41" i="2"/>
  <c r="T41" i="2" s="1"/>
  <c r="Q41" i="2"/>
  <c r="P41" i="2"/>
  <c r="AL41" i="2" s="1"/>
  <c r="O41" i="2"/>
  <c r="AI41" i="2" s="1"/>
  <c r="N41" i="2"/>
  <c r="L41" i="2"/>
  <c r="K41" i="2"/>
  <c r="J41" i="2"/>
  <c r="F41" i="2"/>
  <c r="E41" i="2"/>
  <c r="D41" i="2"/>
  <c r="C41" i="2"/>
  <c r="B41" i="2"/>
  <c r="A41" i="2"/>
  <c r="CD40" i="2"/>
  <c r="BZ40" i="2"/>
  <c r="BY40" i="2"/>
  <c r="BW40" i="2" s="1"/>
  <c r="BX40" i="2"/>
  <c r="BV40" i="2"/>
  <c r="BR40" i="2"/>
  <c r="BQ40" i="2"/>
  <c r="BO40" i="2"/>
  <c r="BN40" i="2"/>
  <c r="BM40" i="2"/>
  <c r="BL40" i="2"/>
  <c r="BK40" i="2"/>
  <c r="BJ40" i="2"/>
  <c r="BI40" i="2"/>
  <c r="BA40" i="2"/>
  <c r="AY40" i="2" s="1"/>
  <c r="AZ40" i="2"/>
  <c r="AX40" i="2"/>
  <c r="AW40" i="2"/>
  <c r="AV40" i="2"/>
  <c r="AU40" i="2"/>
  <c r="AT40" i="2"/>
  <c r="AS40" i="2"/>
  <c r="AQ40" i="2" s="1"/>
  <c r="AR40" i="2"/>
  <c r="AP40" i="2"/>
  <c r="AM40" i="2"/>
  <c r="AN40" i="2" s="1"/>
  <c r="AL40" i="2"/>
  <c r="AK40" i="2"/>
  <c r="AJ40" i="2"/>
  <c r="AF40" i="2"/>
  <c r="AE40" i="2"/>
  <c r="AD40" i="2"/>
  <c r="AC40" i="2"/>
  <c r="AB40" i="2"/>
  <c r="Y40" i="2"/>
  <c r="X40" i="2"/>
  <c r="W40" i="2"/>
  <c r="U40" i="2"/>
  <c r="V40" i="2" s="1"/>
  <c r="R40" i="2"/>
  <c r="Q40" i="2"/>
  <c r="P40" i="2"/>
  <c r="N40" i="2"/>
  <c r="O40" i="2" s="1"/>
  <c r="L40" i="2"/>
  <c r="K40" i="2"/>
  <c r="J40" i="2"/>
  <c r="F40" i="2"/>
  <c r="I40" i="2" s="1"/>
  <c r="E40" i="2"/>
  <c r="D40" i="2"/>
  <c r="C40" i="2"/>
  <c r="B40" i="2"/>
  <c r="A40" i="2"/>
  <c r="CD39" i="2"/>
  <c r="BZ39" i="2"/>
  <c r="BY39" i="2"/>
  <c r="BX39" i="2"/>
  <c r="BW39" i="2"/>
  <c r="BV39" i="2"/>
  <c r="BR39" i="2"/>
  <c r="BQ39" i="2"/>
  <c r="BP39" i="2"/>
  <c r="BO39" i="2"/>
  <c r="BN39" i="2"/>
  <c r="BL39" i="2" s="1"/>
  <c r="BM39" i="2"/>
  <c r="BK39" i="2"/>
  <c r="BJ39" i="2"/>
  <c r="BU39" i="2" s="1"/>
  <c r="BI39" i="2"/>
  <c r="BT39" i="2" s="1"/>
  <c r="BH39" i="2"/>
  <c r="BA39" i="2"/>
  <c r="AZ39" i="2"/>
  <c r="AY39" i="2"/>
  <c r="AX39" i="2"/>
  <c r="AW39" i="2"/>
  <c r="AU39" i="2" s="1"/>
  <c r="AV39" i="2"/>
  <c r="AT39" i="2"/>
  <c r="AS39" i="2"/>
  <c r="AR39" i="2"/>
  <c r="AQ39" i="2"/>
  <c r="AP39" i="2"/>
  <c r="AJ39" i="2"/>
  <c r="AI39" i="2"/>
  <c r="AH39" i="2"/>
  <c r="AG39" i="2"/>
  <c r="AF39" i="2"/>
  <c r="AE39" i="2"/>
  <c r="AD39" i="2"/>
  <c r="AB39" i="2"/>
  <c r="AA39" i="2"/>
  <c r="Z39" i="2"/>
  <c r="Y39" i="2"/>
  <c r="W39" i="2" s="1"/>
  <c r="X39" i="2"/>
  <c r="U39" i="2"/>
  <c r="R39" i="2"/>
  <c r="Q39" i="2"/>
  <c r="AK39" i="2" s="1"/>
  <c r="N39" i="2"/>
  <c r="J39" i="2"/>
  <c r="L39" i="2" s="1"/>
  <c r="I39" i="2"/>
  <c r="H39" i="2"/>
  <c r="G39" i="2"/>
  <c r="F39" i="2"/>
  <c r="B39" i="2"/>
  <c r="E39" i="2" s="1"/>
  <c r="A39" i="2"/>
  <c r="CD38" i="2"/>
  <c r="BZ38" i="2"/>
  <c r="BY38" i="2"/>
  <c r="BW38" i="2" s="1"/>
  <c r="BX38" i="2"/>
  <c r="BV38" i="2"/>
  <c r="BT38" i="2"/>
  <c r="BR38" i="2"/>
  <c r="BP38" i="2" s="1"/>
  <c r="BQ38" i="2"/>
  <c r="BO38" i="2"/>
  <c r="BN38" i="2"/>
  <c r="BM38" i="2"/>
  <c r="BL38" i="2"/>
  <c r="BK38" i="2"/>
  <c r="BJ38" i="2"/>
  <c r="BI38" i="2"/>
  <c r="BC38" i="2"/>
  <c r="BA38" i="2"/>
  <c r="AY38" i="2" s="1"/>
  <c r="AZ38" i="2"/>
  <c r="AX38" i="2"/>
  <c r="AW38" i="2"/>
  <c r="AV38" i="2"/>
  <c r="AU38" i="2"/>
  <c r="AT38" i="2"/>
  <c r="AS38" i="2"/>
  <c r="AQ38" i="2" s="1"/>
  <c r="AR38" i="2"/>
  <c r="AP38" i="2"/>
  <c r="AM38" i="2"/>
  <c r="AL38" i="2"/>
  <c r="AJ38" i="2"/>
  <c r="AF38" i="2"/>
  <c r="AH38" i="2" s="1"/>
  <c r="AE38" i="2"/>
  <c r="AK38" i="2" s="1"/>
  <c r="AD38" i="2"/>
  <c r="AC38" i="2"/>
  <c r="AB38" i="2"/>
  <c r="Y38" i="2"/>
  <c r="X38" i="2"/>
  <c r="W38" i="2"/>
  <c r="V38" i="2"/>
  <c r="U38" i="2"/>
  <c r="R38" i="2"/>
  <c r="Q38" i="2"/>
  <c r="P38" i="2"/>
  <c r="N38" i="2"/>
  <c r="O38" i="2" s="1"/>
  <c r="L38" i="2"/>
  <c r="K38" i="2"/>
  <c r="J38" i="2"/>
  <c r="F38" i="2"/>
  <c r="E38" i="2"/>
  <c r="D38" i="2"/>
  <c r="C38" i="2"/>
  <c r="B38" i="2"/>
  <c r="A38" i="2"/>
  <c r="CD37" i="2"/>
  <c r="BZ37" i="2"/>
  <c r="BY37" i="2"/>
  <c r="BW37" i="2" s="1"/>
  <c r="BX37" i="2"/>
  <c r="BV37" i="2"/>
  <c r="BR37" i="2"/>
  <c r="BQ37" i="2"/>
  <c r="BP37" i="2"/>
  <c r="BO37" i="2"/>
  <c r="BN37" i="2"/>
  <c r="BL37" i="2" s="1"/>
  <c r="BM37" i="2"/>
  <c r="BK37" i="2"/>
  <c r="BJ37" i="2"/>
  <c r="BU37" i="2" s="1"/>
  <c r="BI37" i="2"/>
  <c r="BH37" i="2"/>
  <c r="BA37" i="2"/>
  <c r="AZ37" i="2"/>
  <c r="AX37" i="2"/>
  <c r="AW37" i="2"/>
  <c r="AV37" i="2"/>
  <c r="AU37" i="2"/>
  <c r="AT37" i="2"/>
  <c r="AS37" i="2"/>
  <c r="AR37" i="2"/>
  <c r="AP37" i="2"/>
  <c r="AK37" i="2"/>
  <c r="AJ37" i="2"/>
  <c r="AI37" i="2"/>
  <c r="AH37" i="2"/>
  <c r="AG37" i="2"/>
  <c r="AF37" i="2"/>
  <c r="AE37" i="2"/>
  <c r="AD37" i="2"/>
  <c r="AB37" i="2"/>
  <c r="AA37" i="2"/>
  <c r="Z37" i="2"/>
  <c r="Y37" i="2"/>
  <c r="W37" i="2" s="1"/>
  <c r="X37" i="2"/>
  <c r="U37" i="2"/>
  <c r="R37" i="2"/>
  <c r="S37" i="2" s="1"/>
  <c r="Q37" i="2"/>
  <c r="N37" i="2"/>
  <c r="J37" i="2"/>
  <c r="K37" i="2" s="1"/>
  <c r="I37" i="2"/>
  <c r="H37" i="2"/>
  <c r="G37" i="2"/>
  <c r="F37" i="2"/>
  <c r="B37" i="2"/>
  <c r="E37" i="2" s="1"/>
  <c r="A37" i="2"/>
  <c r="CD36" i="2"/>
  <c r="BZ36" i="2"/>
  <c r="BY36" i="2"/>
  <c r="BW36" i="2" s="1"/>
  <c r="BX36" i="2"/>
  <c r="BV36" i="2"/>
  <c r="BU36" i="2"/>
  <c r="BT36" i="2"/>
  <c r="BR36" i="2"/>
  <c r="BP36" i="2" s="1"/>
  <c r="BQ36" i="2"/>
  <c r="BO36" i="2"/>
  <c r="BN36" i="2"/>
  <c r="BM36" i="2"/>
  <c r="BL36" i="2"/>
  <c r="BK36" i="2"/>
  <c r="BJ36" i="2"/>
  <c r="BH36" i="2" s="1"/>
  <c r="BI36" i="2"/>
  <c r="BD36" i="2"/>
  <c r="BC36" i="2"/>
  <c r="BF36" i="2" s="1"/>
  <c r="BA36" i="2"/>
  <c r="AY36" i="2" s="1"/>
  <c r="AZ36" i="2"/>
  <c r="AX36" i="2"/>
  <c r="AW36" i="2"/>
  <c r="AV36" i="2"/>
  <c r="AU36" i="2"/>
  <c r="AT36" i="2"/>
  <c r="AS36" i="2"/>
  <c r="AQ36" i="2" s="1"/>
  <c r="AR36" i="2"/>
  <c r="AP36" i="2"/>
  <c r="AJ36" i="2"/>
  <c r="AF36" i="2"/>
  <c r="AM36" i="2" s="1"/>
  <c r="AE36" i="2"/>
  <c r="AK36" i="2" s="1"/>
  <c r="AC36" i="2"/>
  <c r="AB36" i="2"/>
  <c r="Y36" i="2"/>
  <c r="Z36" i="2" s="1"/>
  <c r="X36" i="2"/>
  <c r="W36" i="2"/>
  <c r="V36" i="2"/>
  <c r="U36" i="2"/>
  <c r="R36" i="2"/>
  <c r="T36" i="2" s="1"/>
  <c r="Q36" i="2"/>
  <c r="P36" i="2"/>
  <c r="O36" i="2"/>
  <c r="AI36" i="2" s="1"/>
  <c r="N36" i="2"/>
  <c r="L36" i="2"/>
  <c r="K36" i="2"/>
  <c r="J36" i="2"/>
  <c r="F36" i="2"/>
  <c r="E36" i="2"/>
  <c r="D36" i="2"/>
  <c r="C36" i="2"/>
  <c r="B36" i="2"/>
  <c r="A36" i="2"/>
  <c r="CD35" i="2"/>
  <c r="BZ35" i="2"/>
  <c r="BY35" i="2"/>
  <c r="BW35" i="2" s="1"/>
  <c r="BX35" i="2"/>
  <c r="BV35" i="2"/>
  <c r="BR35" i="2"/>
  <c r="BQ35" i="2"/>
  <c r="BO35" i="2"/>
  <c r="BN35" i="2"/>
  <c r="BM35" i="2"/>
  <c r="BL35" i="2"/>
  <c r="BK35" i="2"/>
  <c r="BJ35" i="2"/>
  <c r="BI35" i="2"/>
  <c r="BA35" i="2"/>
  <c r="AY35" i="2" s="1"/>
  <c r="AZ35" i="2"/>
  <c r="AX35" i="2"/>
  <c r="AW35" i="2"/>
  <c r="AV35" i="2"/>
  <c r="AU35" i="2"/>
  <c r="AT35" i="2"/>
  <c r="AS35" i="2"/>
  <c r="AQ35" i="2" s="1"/>
  <c r="AR35" i="2"/>
  <c r="AP35" i="2"/>
  <c r="AM35" i="2"/>
  <c r="AN35" i="2" s="1"/>
  <c r="AK35" i="2"/>
  <c r="AJ35" i="2"/>
  <c r="AI35" i="2"/>
  <c r="AF35" i="2"/>
  <c r="AH35" i="2" s="1"/>
  <c r="AE35" i="2"/>
  <c r="AD35" i="2"/>
  <c r="AB35" i="2"/>
  <c r="AA35" i="2"/>
  <c r="Z35" i="2"/>
  <c r="Y35" i="2"/>
  <c r="X35" i="2"/>
  <c r="W35" i="2"/>
  <c r="U35" i="2"/>
  <c r="T35" i="2"/>
  <c r="S35" i="2"/>
  <c r="R35" i="2"/>
  <c r="P35" i="2" s="1"/>
  <c r="AL35" i="2" s="1"/>
  <c r="Q35" i="2"/>
  <c r="N35" i="2"/>
  <c r="J35" i="2"/>
  <c r="I35" i="2"/>
  <c r="H35" i="2"/>
  <c r="G35" i="2"/>
  <c r="F35" i="2"/>
  <c r="B35" i="2"/>
  <c r="A35" i="2"/>
  <c r="CD34" i="2"/>
  <c r="BZ34" i="2"/>
  <c r="BY34" i="2"/>
  <c r="BX34" i="2"/>
  <c r="BW34" i="2"/>
  <c r="BV34" i="2"/>
  <c r="BU34" i="2"/>
  <c r="BR34" i="2"/>
  <c r="BP34" i="2" s="1"/>
  <c r="BQ34" i="2"/>
  <c r="BO34" i="2"/>
  <c r="BN34" i="2"/>
  <c r="BM34" i="2"/>
  <c r="BT34" i="2" s="1"/>
  <c r="BK34" i="2"/>
  <c r="BJ34" i="2"/>
  <c r="BH34" i="2" s="1"/>
  <c r="BI34" i="2"/>
  <c r="BD34" i="2"/>
  <c r="BA34" i="2"/>
  <c r="AZ34" i="2"/>
  <c r="AY34" i="2"/>
  <c r="AX34" i="2"/>
  <c r="AW34" i="2"/>
  <c r="AV34" i="2"/>
  <c r="BC34" i="2" s="1"/>
  <c r="AT34" i="2"/>
  <c r="AS34" i="2"/>
  <c r="AR34" i="2"/>
  <c r="AQ34" i="2"/>
  <c r="AP34" i="2"/>
  <c r="AJ34" i="2"/>
  <c r="AF34" i="2"/>
  <c r="AG34" i="2" s="1"/>
  <c r="AE34" i="2"/>
  <c r="AK34" i="2" s="1"/>
  <c r="AC34" i="2"/>
  <c r="AB34" i="2"/>
  <c r="Y34" i="2"/>
  <c r="X34" i="2"/>
  <c r="U34" i="2"/>
  <c r="R34" i="2"/>
  <c r="Q34" i="2"/>
  <c r="P34" i="2"/>
  <c r="O34" i="2"/>
  <c r="AI34" i="2" s="1"/>
  <c r="N34" i="2"/>
  <c r="L34" i="2"/>
  <c r="K34" i="2"/>
  <c r="J34" i="2"/>
  <c r="F34" i="2"/>
  <c r="E34" i="2"/>
  <c r="D34" i="2"/>
  <c r="C34" i="2"/>
  <c r="B34" i="2"/>
  <c r="A34" i="2"/>
  <c r="CD33" i="2"/>
  <c r="BZ33" i="2"/>
  <c r="BY33" i="2"/>
  <c r="BW33" i="2" s="1"/>
  <c r="BX33" i="2"/>
  <c r="BV33" i="2"/>
  <c r="BR33" i="2"/>
  <c r="BQ33" i="2"/>
  <c r="BO33" i="2"/>
  <c r="BN33" i="2"/>
  <c r="BM33" i="2"/>
  <c r="BL33" i="2"/>
  <c r="BK33" i="2"/>
  <c r="BJ33" i="2"/>
  <c r="BI33" i="2"/>
  <c r="BA33" i="2"/>
  <c r="AY33" i="2" s="1"/>
  <c r="AZ33" i="2"/>
  <c r="AX33" i="2"/>
  <c r="AW33" i="2"/>
  <c r="AV33" i="2"/>
  <c r="AU33" i="2"/>
  <c r="AT33" i="2"/>
  <c r="AS33" i="2"/>
  <c r="AQ33" i="2" s="1"/>
  <c r="AR33" i="2"/>
  <c r="AP33" i="2"/>
  <c r="AM33" i="2"/>
  <c r="AN33" i="2" s="1"/>
  <c r="AL33" i="2"/>
  <c r="AK33" i="2"/>
  <c r="AJ33" i="2"/>
  <c r="AF33" i="2"/>
  <c r="AH33" i="2" s="1"/>
  <c r="AE33" i="2"/>
  <c r="AD33" i="2"/>
  <c r="AC33" i="2"/>
  <c r="AB33" i="2"/>
  <c r="Y33" i="2"/>
  <c r="X33" i="2"/>
  <c r="W33" i="2"/>
  <c r="U33" i="2"/>
  <c r="V33" i="2" s="1"/>
  <c r="R33" i="2"/>
  <c r="Q33" i="2"/>
  <c r="P33" i="2"/>
  <c r="N33" i="2"/>
  <c r="O33" i="2" s="1"/>
  <c r="L33" i="2"/>
  <c r="K33" i="2"/>
  <c r="J33" i="2"/>
  <c r="F33" i="2"/>
  <c r="G33" i="2" s="1"/>
  <c r="E33" i="2"/>
  <c r="D33" i="2"/>
  <c r="C33" i="2"/>
  <c r="B33" i="2"/>
  <c r="A33" i="2"/>
  <c r="CD32" i="2"/>
  <c r="BZ32" i="2"/>
  <c r="BY32" i="2"/>
  <c r="BX32" i="2"/>
  <c r="BW32" i="2" s="1"/>
  <c r="BV32" i="2"/>
  <c r="BR32" i="2"/>
  <c r="BQ32" i="2"/>
  <c r="BP32" i="2"/>
  <c r="BO32" i="2"/>
  <c r="BN32" i="2"/>
  <c r="BL32" i="2" s="1"/>
  <c r="BM32" i="2"/>
  <c r="BK32" i="2"/>
  <c r="BJ32" i="2"/>
  <c r="BU32" i="2" s="1"/>
  <c r="BI32" i="2"/>
  <c r="BT32" i="2" s="1"/>
  <c r="BH32" i="2"/>
  <c r="BA32" i="2"/>
  <c r="AZ32" i="2"/>
  <c r="AY32" i="2" s="1"/>
  <c r="AX32" i="2"/>
  <c r="AW32" i="2"/>
  <c r="AU32" i="2" s="1"/>
  <c r="AV32" i="2"/>
  <c r="AT32" i="2"/>
  <c r="AS32" i="2"/>
  <c r="AR32" i="2"/>
  <c r="AQ32" i="2"/>
  <c r="AP32" i="2"/>
  <c r="AJ32" i="2"/>
  <c r="AI32" i="2"/>
  <c r="AH32" i="2"/>
  <c r="AG32" i="2"/>
  <c r="AF32" i="2"/>
  <c r="AM32" i="2" s="1"/>
  <c r="AE32" i="2"/>
  <c r="AD32" i="2"/>
  <c r="AB32" i="2"/>
  <c r="AA32" i="2"/>
  <c r="Z32" i="2"/>
  <c r="Y32" i="2"/>
  <c r="W32" i="2" s="1"/>
  <c r="X32" i="2"/>
  <c r="U32" i="2"/>
  <c r="R32" i="2"/>
  <c r="Q32" i="2"/>
  <c r="AK32" i="2" s="1"/>
  <c r="N32" i="2"/>
  <c r="J32" i="2"/>
  <c r="L32" i="2" s="1"/>
  <c r="I32" i="2"/>
  <c r="H32" i="2"/>
  <c r="G32" i="2"/>
  <c r="F32" i="2"/>
  <c r="B32" i="2"/>
  <c r="E32" i="2" s="1"/>
  <c r="A32" i="2"/>
  <c r="CD31" i="2"/>
  <c r="BZ31" i="2"/>
  <c r="BY31" i="2"/>
  <c r="BW31" i="2" s="1"/>
  <c r="BX31" i="2"/>
  <c r="BV31" i="2"/>
  <c r="BT31" i="2"/>
  <c r="BR31" i="2"/>
  <c r="BP31" i="2" s="1"/>
  <c r="BQ31" i="2"/>
  <c r="BO31" i="2"/>
  <c r="BN31" i="2"/>
  <c r="BM31" i="2"/>
  <c r="BL31" i="2"/>
  <c r="BK31" i="2"/>
  <c r="BJ31" i="2"/>
  <c r="BI31" i="2"/>
  <c r="BC31" i="2"/>
  <c r="BA31" i="2"/>
  <c r="AY31" i="2" s="1"/>
  <c r="AZ31" i="2"/>
  <c r="AX31" i="2"/>
  <c r="AW31" i="2"/>
  <c r="AV31" i="2"/>
  <c r="AU31" i="2"/>
  <c r="AT31" i="2"/>
  <c r="AS31" i="2"/>
  <c r="AQ31" i="2" s="1"/>
  <c r="AR31" i="2"/>
  <c r="AP31" i="2"/>
  <c r="AM31" i="2"/>
  <c r="AL31" i="2"/>
  <c r="AJ31" i="2"/>
  <c r="AF31" i="2"/>
  <c r="AH31" i="2" s="1"/>
  <c r="AE31" i="2"/>
  <c r="AK31" i="2" s="1"/>
  <c r="AC31" i="2"/>
  <c r="AB31" i="2"/>
  <c r="Y31" i="2"/>
  <c r="X31" i="2"/>
  <c r="W31" i="2"/>
  <c r="V31" i="2"/>
  <c r="U31" i="2"/>
  <c r="R31" i="2"/>
  <c r="Q31" i="2"/>
  <c r="P31" i="2"/>
  <c r="N31" i="2"/>
  <c r="O31" i="2" s="1"/>
  <c r="L31" i="2"/>
  <c r="K31" i="2"/>
  <c r="J31" i="2"/>
  <c r="F31" i="2"/>
  <c r="E31" i="2"/>
  <c r="D31" i="2"/>
  <c r="C31" i="2"/>
  <c r="B31" i="2"/>
  <c r="A31" i="2"/>
  <c r="CD30" i="2"/>
  <c r="BZ30" i="2"/>
  <c r="BY30" i="2"/>
  <c r="BX30" i="2"/>
  <c r="BV30" i="2"/>
  <c r="BR30" i="2"/>
  <c r="BQ30" i="2"/>
  <c r="BP30" i="2" s="1"/>
  <c r="BO30" i="2"/>
  <c r="BN30" i="2"/>
  <c r="BL30" i="2" s="1"/>
  <c r="BM30" i="2"/>
  <c r="BK30" i="2"/>
  <c r="BJ30" i="2"/>
  <c r="BU30" i="2" s="1"/>
  <c r="BI30" i="2"/>
  <c r="BH30" i="2"/>
  <c r="BA30" i="2"/>
  <c r="AZ30" i="2"/>
  <c r="AX30" i="2"/>
  <c r="AW30" i="2"/>
  <c r="AV30" i="2"/>
  <c r="AU30" i="2"/>
  <c r="AT30" i="2"/>
  <c r="AS30" i="2"/>
  <c r="AQ30" i="2" s="1"/>
  <c r="AR30" i="2"/>
  <c r="AP30" i="2"/>
  <c r="AM30" i="2"/>
  <c r="AK30" i="2"/>
  <c r="AJ30" i="2"/>
  <c r="AH30" i="2"/>
  <c r="AF30" i="2"/>
  <c r="AG30" i="2" s="1"/>
  <c r="AE30" i="2"/>
  <c r="AD30" i="2"/>
  <c r="AB30" i="2"/>
  <c r="Y30" i="2"/>
  <c r="W30" i="2" s="1"/>
  <c r="X30" i="2"/>
  <c r="U30" i="2"/>
  <c r="V30" i="2" s="1"/>
  <c r="Z30" i="2" s="1"/>
  <c r="T30" i="2"/>
  <c r="S30" i="2"/>
  <c r="R30" i="2"/>
  <c r="P30" i="2" s="1"/>
  <c r="AL30" i="2" s="1"/>
  <c r="Q30" i="2"/>
  <c r="N30" i="2"/>
  <c r="O30" i="2" s="1"/>
  <c r="AI30" i="2" s="1"/>
  <c r="J30" i="2"/>
  <c r="L30" i="2" s="1"/>
  <c r="I30" i="2"/>
  <c r="H30" i="2"/>
  <c r="F30" i="2"/>
  <c r="G30" i="2" s="1"/>
  <c r="B30" i="2"/>
  <c r="A30" i="2"/>
  <c r="CD29" i="2"/>
  <c r="BZ29" i="2"/>
  <c r="BY29" i="2"/>
  <c r="BX29" i="2"/>
  <c r="BW29" i="2"/>
  <c r="BV29" i="2"/>
  <c r="BU29" i="2"/>
  <c r="BR29" i="2"/>
  <c r="BQ29" i="2"/>
  <c r="BP29" i="2"/>
  <c r="BO29" i="2"/>
  <c r="BN29" i="2"/>
  <c r="BM29" i="2"/>
  <c r="BT29" i="2" s="1"/>
  <c r="BK29" i="2"/>
  <c r="BJ29" i="2"/>
  <c r="BI29" i="2"/>
  <c r="BH29" i="2"/>
  <c r="BA29" i="2"/>
  <c r="AZ29" i="2"/>
  <c r="BC29" i="2" s="1"/>
  <c r="BF29" i="2" s="1"/>
  <c r="AY29" i="2"/>
  <c r="AX29" i="2"/>
  <c r="AW29" i="2"/>
  <c r="AV29" i="2"/>
  <c r="AT29" i="2"/>
  <c r="AS29" i="2"/>
  <c r="AR29" i="2"/>
  <c r="AQ29" i="2"/>
  <c r="AP29" i="2"/>
  <c r="AO29" i="2"/>
  <c r="AJ29" i="2"/>
  <c r="AI29" i="2"/>
  <c r="AH29" i="2"/>
  <c r="AG29" i="2"/>
  <c r="AF29" i="2"/>
  <c r="AM29" i="2" s="1"/>
  <c r="AN29" i="2" s="1"/>
  <c r="AE29" i="2"/>
  <c r="AK29" i="2" s="1"/>
  <c r="AB29" i="2"/>
  <c r="Y29" i="2"/>
  <c r="X29" i="2"/>
  <c r="W29" i="2"/>
  <c r="U29" i="2"/>
  <c r="T29" i="2"/>
  <c r="S29" i="2"/>
  <c r="R29" i="2"/>
  <c r="Q29" i="2"/>
  <c r="P29" i="2"/>
  <c r="N29" i="2"/>
  <c r="L29" i="2"/>
  <c r="K29" i="2"/>
  <c r="J29" i="2"/>
  <c r="F29" i="2"/>
  <c r="I29" i="2" s="1"/>
  <c r="E29" i="2"/>
  <c r="D29" i="2"/>
  <c r="C29" i="2"/>
  <c r="B29" i="2"/>
  <c r="A29" i="2"/>
  <c r="CD28" i="2"/>
  <c r="BZ28" i="2"/>
  <c r="BY28" i="2"/>
  <c r="BX28" i="2"/>
  <c r="BW28" i="2"/>
  <c r="BV28" i="2"/>
  <c r="BR28" i="2"/>
  <c r="BQ28" i="2"/>
  <c r="BP28" i="2"/>
  <c r="BO28" i="2"/>
  <c r="BN28" i="2"/>
  <c r="BM28" i="2"/>
  <c r="BK28" i="2"/>
  <c r="BJ28" i="2"/>
  <c r="BI28" i="2"/>
  <c r="BT28" i="2" s="1"/>
  <c r="BH28" i="2"/>
  <c r="BA28" i="2"/>
  <c r="BD28" i="2" s="1"/>
  <c r="AZ28" i="2"/>
  <c r="AY28" i="2"/>
  <c r="AX28" i="2"/>
  <c r="AW28" i="2"/>
  <c r="AU28" i="2" s="1"/>
  <c r="AV28" i="2"/>
  <c r="AT28" i="2"/>
  <c r="AS28" i="2"/>
  <c r="AR28" i="2"/>
  <c r="AQ28" i="2"/>
  <c r="AP28" i="2"/>
  <c r="AJ28" i="2"/>
  <c r="AI28" i="2"/>
  <c r="AH28" i="2"/>
  <c r="AG28" i="2"/>
  <c r="AF28" i="2"/>
  <c r="AE28" i="2"/>
  <c r="AB28" i="2"/>
  <c r="Y28" i="2"/>
  <c r="X28" i="2"/>
  <c r="U28" i="2"/>
  <c r="R28" i="2"/>
  <c r="S28" i="2" s="1"/>
  <c r="Q28" i="2"/>
  <c r="AK28" i="2" s="1"/>
  <c r="P28" i="2"/>
  <c r="N28" i="2"/>
  <c r="L28" i="2"/>
  <c r="J28" i="2"/>
  <c r="K28" i="2" s="1"/>
  <c r="G28" i="2"/>
  <c r="F28" i="2"/>
  <c r="E28" i="2"/>
  <c r="D28" i="2"/>
  <c r="B28" i="2"/>
  <c r="C28" i="2" s="1"/>
  <c r="A28" i="2"/>
  <c r="CD27" i="2"/>
  <c r="BZ27" i="2"/>
  <c r="BY27" i="2"/>
  <c r="BW27" i="2" s="1"/>
  <c r="BX27" i="2"/>
  <c r="BV27" i="2"/>
  <c r="BR27" i="2"/>
  <c r="BQ27" i="2"/>
  <c r="BO27" i="2"/>
  <c r="BN27" i="2"/>
  <c r="BM27" i="2"/>
  <c r="BL27" i="2"/>
  <c r="BK27" i="2"/>
  <c r="BJ27" i="2"/>
  <c r="BI27" i="2"/>
  <c r="BA27" i="2"/>
  <c r="AY27" i="2" s="1"/>
  <c r="AZ27" i="2"/>
  <c r="AX27" i="2"/>
  <c r="AW27" i="2"/>
  <c r="AV27" i="2"/>
  <c r="AU27" i="2"/>
  <c r="AT27" i="2"/>
  <c r="AS27" i="2"/>
  <c r="AQ27" i="2" s="1"/>
  <c r="AR27" i="2"/>
  <c r="AP27" i="2"/>
  <c r="AM27" i="2"/>
  <c r="AN27" i="2" s="1"/>
  <c r="AK27" i="2"/>
  <c r="AJ27" i="2"/>
  <c r="AI27" i="2"/>
  <c r="AF27" i="2"/>
  <c r="AH27" i="2" s="1"/>
  <c r="AE27" i="2"/>
  <c r="AD27" i="2"/>
  <c r="AB27" i="2"/>
  <c r="AA27" i="2"/>
  <c r="Z27" i="2"/>
  <c r="Y27" i="2"/>
  <c r="X27" i="2"/>
  <c r="W27" i="2"/>
  <c r="U27" i="2"/>
  <c r="T27" i="2"/>
  <c r="S27" i="2"/>
  <c r="R27" i="2"/>
  <c r="P27" i="2" s="1"/>
  <c r="AL27" i="2" s="1"/>
  <c r="Q27" i="2"/>
  <c r="N27" i="2"/>
  <c r="J27" i="2"/>
  <c r="I27" i="2"/>
  <c r="H27" i="2"/>
  <c r="G27" i="2"/>
  <c r="F27" i="2"/>
  <c r="C27" i="2"/>
  <c r="B27" i="2"/>
  <c r="A27" i="2"/>
  <c r="CD26" i="2"/>
  <c r="BZ26" i="2"/>
  <c r="BY26" i="2"/>
  <c r="BX26" i="2"/>
  <c r="BW26" i="2"/>
  <c r="BV26" i="2"/>
  <c r="BR26" i="2"/>
  <c r="BP26" i="2" s="1"/>
  <c r="BQ26" i="2"/>
  <c r="BO26" i="2"/>
  <c r="BN26" i="2"/>
  <c r="BL26" i="2" s="1"/>
  <c r="BM26" i="2"/>
  <c r="BT26" i="2" s="1"/>
  <c r="BK26" i="2"/>
  <c r="BJ26" i="2"/>
  <c r="BH26" i="2" s="1"/>
  <c r="BI26" i="2"/>
  <c r="BA26" i="2"/>
  <c r="AZ26" i="2"/>
  <c r="AY26" i="2"/>
  <c r="AX26" i="2"/>
  <c r="AW26" i="2"/>
  <c r="BD26" i="2" s="1"/>
  <c r="AV26" i="2"/>
  <c r="BC26" i="2" s="1"/>
  <c r="AT26" i="2"/>
  <c r="AS26" i="2"/>
  <c r="AR26" i="2"/>
  <c r="AQ26" i="2"/>
  <c r="AP26" i="2"/>
  <c r="AJ26" i="2"/>
  <c r="AI26" i="2"/>
  <c r="AH26" i="2"/>
  <c r="AG26" i="2"/>
  <c r="AF26" i="2"/>
  <c r="AE26" i="2"/>
  <c r="AB26" i="2"/>
  <c r="Y26" i="2"/>
  <c r="X26" i="2"/>
  <c r="W26" i="2"/>
  <c r="U26" i="2"/>
  <c r="T26" i="2"/>
  <c r="S26" i="2"/>
  <c r="R26" i="2"/>
  <c r="Q26" i="2"/>
  <c r="P26" i="2"/>
  <c r="N26" i="2"/>
  <c r="L26" i="2"/>
  <c r="K26" i="2"/>
  <c r="J26" i="2"/>
  <c r="F26" i="2"/>
  <c r="E26" i="2"/>
  <c r="D26" i="2"/>
  <c r="C26" i="2"/>
  <c r="B26" i="2"/>
  <c r="A26" i="2"/>
  <c r="CD25" i="2"/>
  <c r="BZ25" i="2"/>
  <c r="BY25" i="2"/>
  <c r="BX25" i="2"/>
  <c r="BW25" i="2"/>
  <c r="BV25" i="2"/>
  <c r="BR25" i="2"/>
  <c r="BQ25" i="2"/>
  <c r="BP25" i="2" s="1"/>
  <c r="BO25" i="2"/>
  <c r="BN25" i="2"/>
  <c r="BL25" i="2" s="1"/>
  <c r="BM25" i="2"/>
  <c r="BK25" i="2"/>
  <c r="BJ25" i="2"/>
  <c r="BU25" i="2" s="1"/>
  <c r="BI25" i="2"/>
  <c r="BH25" i="2"/>
  <c r="BA25" i="2"/>
  <c r="AY25" i="2" s="1"/>
  <c r="AZ25" i="2"/>
  <c r="AX25" i="2"/>
  <c r="AW25" i="2"/>
  <c r="AU25" i="2" s="1"/>
  <c r="AV25" i="2"/>
  <c r="AT25" i="2"/>
  <c r="AS25" i="2"/>
  <c r="AQ25" i="2" s="1"/>
  <c r="AR25" i="2"/>
  <c r="AP25" i="2"/>
  <c r="AJ25" i="2"/>
  <c r="AI25" i="2"/>
  <c r="AH25" i="2"/>
  <c r="AG25" i="2"/>
  <c r="AF25" i="2"/>
  <c r="AM25" i="2" s="1"/>
  <c r="AE25" i="2"/>
  <c r="AD25" i="2"/>
  <c r="AB25" i="2"/>
  <c r="AA25" i="2"/>
  <c r="Z25" i="2"/>
  <c r="Y25" i="2"/>
  <c r="W25" i="2" s="1"/>
  <c r="X25" i="2"/>
  <c r="U25" i="2"/>
  <c r="S25" i="2"/>
  <c r="R25" i="2"/>
  <c r="Q25" i="2"/>
  <c r="AK25" i="2" s="1"/>
  <c r="N25" i="2"/>
  <c r="J25" i="2"/>
  <c r="L25" i="2" s="1"/>
  <c r="I25" i="2"/>
  <c r="H25" i="2"/>
  <c r="G25" i="2"/>
  <c r="F25" i="2"/>
  <c r="B25" i="2"/>
  <c r="E25" i="2" s="1"/>
  <c r="A25" i="2"/>
  <c r="CD24" i="2"/>
  <c r="BZ24" i="2"/>
  <c r="BY24" i="2"/>
  <c r="BW24" i="2" s="1"/>
  <c r="BX24" i="2"/>
  <c r="BV24" i="2"/>
  <c r="BT24" i="2"/>
  <c r="BR24" i="2"/>
  <c r="BP24" i="2" s="1"/>
  <c r="BQ24" i="2"/>
  <c r="BO24" i="2"/>
  <c r="BN24" i="2"/>
  <c r="BM24" i="2"/>
  <c r="BL24" i="2"/>
  <c r="BK24" i="2"/>
  <c r="BJ24" i="2"/>
  <c r="BI24" i="2"/>
  <c r="BD24" i="2"/>
  <c r="BC24" i="2"/>
  <c r="BF24" i="2" s="1"/>
  <c r="BA24" i="2"/>
  <c r="AY24" i="2" s="1"/>
  <c r="AZ24" i="2"/>
  <c r="AX24" i="2"/>
  <c r="AW24" i="2"/>
  <c r="AV24" i="2"/>
  <c r="AU24" i="2"/>
  <c r="AT24" i="2"/>
  <c r="AS24" i="2"/>
  <c r="AQ24" i="2" s="1"/>
  <c r="AR24" i="2"/>
  <c r="AP24" i="2"/>
  <c r="AJ24" i="2"/>
  <c r="AI24" i="2"/>
  <c r="AF24" i="2"/>
  <c r="AE24" i="2"/>
  <c r="AK24" i="2" s="1"/>
  <c r="AD24" i="2"/>
  <c r="AB24" i="2"/>
  <c r="AA24" i="2"/>
  <c r="Y24" i="2"/>
  <c r="Z24" i="2" s="1"/>
  <c r="X24" i="2"/>
  <c r="W24" i="2"/>
  <c r="AL24" i="2" s="1"/>
  <c r="U24" i="2"/>
  <c r="T24" i="2"/>
  <c r="S24" i="2"/>
  <c r="R24" i="2"/>
  <c r="P24" i="2" s="1"/>
  <c r="Q24" i="2"/>
  <c r="N24" i="2"/>
  <c r="J24" i="2"/>
  <c r="L24" i="2" s="1"/>
  <c r="I24" i="2"/>
  <c r="H24" i="2"/>
  <c r="F24" i="2"/>
  <c r="G24" i="2" s="1"/>
  <c r="B24" i="2"/>
  <c r="E24" i="2" s="1"/>
  <c r="A24" i="2"/>
  <c r="CD23" i="2"/>
  <c r="BZ23" i="2"/>
  <c r="BY23" i="2"/>
  <c r="BX23" i="2"/>
  <c r="BW23" i="2"/>
  <c r="BV23" i="2"/>
  <c r="BU23" i="2"/>
  <c r="BR23" i="2"/>
  <c r="BQ23" i="2"/>
  <c r="BP23" i="2"/>
  <c r="BO23" i="2"/>
  <c r="BN23" i="2"/>
  <c r="BL23" i="2" s="1"/>
  <c r="BM23" i="2"/>
  <c r="BT23" i="2" s="1"/>
  <c r="BK23" i="2"/>
  <c r="BJ23" i="2"/>
  <c r="BI23" i="2"/>
  <c r="BH23" i="2"/>
  <c r="BS23" i="2" s="1"/>
  <c r="BF23" i="2"/>
  <c r="BA23" i="2"/>
  <c r="AZ23" i="2"/>
  <c r="BC23" i="2" s="1"/>
  <c r="AY23" i="2"/>
  <c r="AX23" i="2"/>
  <c r="AW23" i="2"/>
  <c r="AV23" i="2"/>
  <c r="AT23" i="2"/>
  <c r="AS23" i="2"/>
  <c r="AR23" i="2"/>
  <c r="AQ23" i="2"/>
  <c r="AP23" i="2"/>
  <c r="AJ23" i="2"/>
  <c r="AI23" i="2"/>
  <c r="AH23" i="2"/>
  <c r="AG23" i="2"/>
  <c r="AF23" i="2"/>
  <c r="AE23" i="2"/>
  <c r="AK23" i="2" s="1"/>
  <c r="AB23" i="2"/>
  <c r="Y23" i="2"/>
  <c r="X23" i="2"/>
  <c r="U23" i="2"/>
  <c r="R23" i="2"/>
  <c r="T23" i="2" s="1"/>
  <c r="Q23" i="2"/>
  <c r="P23" i="2"/>
  <c r="N23" i="2"/>
  <c r="L23" i="2"/>
  <c r="K23" i="2"/>
  <c r="J23" i="2"/>
  <c r="G23" i="2"/>
  <c r="F23" i="2"/>
  <c r="E23" i="2"/>
  <c r="D23" i="2"/>
  <c r="C23" i="2"/>
  <c r="B23" i="2"/>
  <c r="A23" i="2"/>
  <c r="CD22" i="2"/>
  <c r="BZ22" i="2"/>
  <c r="BY22" i="2"/>
  <c r="BW22" i="2" s="1"/>
  <c r="BX22" i="2"/>
  <c r="BV22" i="2"/>
  <c r="BR22" i="2"/>
  <c r="BQ22" i="2"/>
  <c r="BP22" i="2"/>
  <c r="BO22" i="2"/>
  <c r="BN22" i="2"/>
  <c r="BL22" i="2" s="1"/>
  <c r="BM22" i="2"/>
  <c r="BK22" i="2"/>
  <c r="BJ22" i="2"/>
  <c r="BI22" i="2"/>
  <c r="BH22" i="2"/>
  <c r="BA22" i="2"/>
  <c r="AZ22" i="2"/>
  <c r="AX22" i="2"/>
  <c r="AW22" i="2"/>
  <c r="AV22" i="2"/>
  <c r="AU22" i="2"/>
  <c r="AT22" i="2"/>
  <c r="AS22" i="2"/>
  <c r="AQ22" i="2" s="1"/>
  <c r="AR22" i="2"/>
  <c r="AP22" i="2"/>
  <c r="AK22" i="2"/>
  <c r="AJ22" i="2"/>
  <c r="AI22" i="2"/>
  <c r="AH22" i="2"/>
  <c r="AF22" i="2"/>
  <c r="AG22" i="2" s="1"/>
  <c r="AE22" i="2"/>
  <c r="AD22" i="2"/>
  <c r="AB22" i="2"/>
  <c r="AA22" i="2"/>
  <c r="Z22" i="2"/>
  <c r="Y22" i="2"/>
  <c r="W22" i="2" s="1"/>
  <c r="X22" i="2"/>
  <c r="U22" i="2"/>
  <c r="T22" i="2"/>
  <c r="S22" i="2"/>
  <c r="R22" i="2"/>
  <c r="Q22" i="2"/>
  <c r="N22" i="2"/>
  <c r="J22" i="2"/>
  <c r="I22" i="2"/>
  <c r="H22" i="2"/>
  <c r="G22" i="2"/>
  <c r="F22" i="2"/>
  <c r="B22" i="2"/>
  <c r="A22" i="2"/>
  <c r="CD21" i="2"/>
  <c r="BZ21" i="2"/>
  <c r="BY21" i="2"/>
  <c r="BW21" i="2" s="1"/>
  <c r="BX21" i="2"/>
  <c r="BV21" i="2"/>
  <c r="BU21" i="2"/>
  <c r="BR21" i="2"/>
  <c r="BP21" i="2" s="1"/>
  <c r="BQ21" i="2"/>
  <c r="BO21" i="2"/>
  <c r="BN21" i="2"/>
  <c r="BM21" i="2"/>
  <c r="BT21" i="2" s="1"/>
  <c r="BL21" i="2"/>
  <c r="BK21" i="2"/>
  <c r="BJ21" i="2"/>
  <c r="BH21" i="2" s="1"/>
  <c r="BI21" i="2"/>
  <c r="BD21" i="2"/>
  <c r="BG21" i="2" s="1"/>
  <c r="BC21" i="2"/>
  <c r="BA21" i="2"/>
  <c r="AY21" i="2" s="1"/>
  <c r="AZ21" i="2"/>
  <c r="AX21" i="2"/>
  <c r="AW21" i="2"/>
  <c r="AV21" i="2"/>
  <c r="AU21" i="2"/>
  <c r="AT21" i="2"/>
  <c r="AS21" i="2"/>
  <c r="AQ21" i="2" s="1"/>
  <c r="AR21" i="2"/>
  <c r="AP21" i="2"/>
  <c r="AM21" i="2"/>
  <c r="AO21" i="2" s="1"/>
  <c r="AJ21" i="2"/>
  <c r="AI21" i="2"/>
  <c r="AG21" i="2"/>
  <c r="AF21" i="2"/>
  <c r="AE21" i="2"/>
  <c r="AK21" i="2" s="1"/>
  <c r="AB21" i="2"/>
  <c r="Y21" i="2"/>
  <c r="AA21" i="2" s="1"/>
  <c r="X21" i="2"/>
  <c r="W21" i="2"/>
  <c r="U21" i="2"/>
  <c r="T21" i="2"/>
  <c r="S21" i="2"/>
  <c r="R21" i="2"/>
  <c r="Q21" i="2"/>
  <c r="P21" i="2"/>
  <c r="N21" i="2"/>
  <c r="L21" i="2"/>
  <c r="K21" i="2"/>
  <c r="J21" i="2"/>
  <c r="F21" i="2"/>
  <c r="I21" i="2" s="1"/>
  <c r="E21" i="2"/>
  <c r="D21" i="2"/>
  <c r="C21" i="2"/>
  <c r="B21" i="2"/>
  <c r="A21" i="2"/>
  <c r="CD20" i="2"/>
  <c r="BZ20" i="2"/>
  <c r="BY20" i="2"/>
  <c r="BX20" i="2"/>
  <c r="BW20" i="2" s="1"/>
  <c r="BV20" i="2"/>
  <c r="BR20" i="2"/>
  <c r="BQ20" i="2"/>
  <c r="BP20" i="2"/>
  <c r="BO20" i="2"/>
  <c r="BN20" i="2"/>
  <c r="BM20" i="2"/>
  <c r="BK20" i="2"/>
  <c r="BJ20" i="2"/>
  <c r="BI20" i="2"/>
  <c r="BT20" i="2" s="1"/>
  <c r="BH20" i="2"/>
  <c r="BA20" i="2"/>
  <c r="BD20" i="2" s="1"/>
  <c r="AZ20" i="2"/>
  <c r="AY20" i="2" s="1"/>
  <c r="AX20" i="2"/>
  <c r="AW20" i="2"/>
  <c r="AU20" i="2" s="1"/>
  <c r="AV20" i="2"/>
  <c r="AT20" i="2"/>
  <c r="AS20" i="2"/>
  <c r="AR20" i="2"/>
  <c r="AQ20" i="2"/>
  <c r="AP20" i="2"/>
  <c r="AK20" i="2"/>
  <c r="AJ20" i="2"/>
  <c r="AF20" i="2"/>
  <c r="AE20" i="2"/>
  <c r="AB20" i="2"/>
  <c r="AC20" i="2" s="1"/>
  <c r="AG20" i="2" s="1"/>
  <c r="Y20" i="2"/>
  <c r="W20" i="2" s="1"/>
  <c r="X20" i="2"/>
  <c r="U20" i="2"/>
  <c r="V20" i="2" s="1"/>
  <c r="AA20" i="2" s="1"/>
  <c r="R20" i="2"/>
  <c r="P20" i="2" s="1"/>
  <c r="Q20" i="2"/>
  <c r="N20" i="2"/>
  <c r="J20" i="2"/>
  <c r="I20" i="2"/>
  <c r="H20" i="2"/>
  <c r="G20" i="2"/>
  <c r="F20" i="2"/>
  <c r="B20" i="2"/>
  <c r="A20" i="2"/>
  <c r="CD19" i="2"/>
  <c r="BZ19" i="2"/>
  <c r="BY19" i="2"/>
  <c r="BW19" i="2" s="1"/>
  <c r="BX19" i="2"/>
  <c r="BV19" i="2"/>
  <c r="BU19" i="2"/>
  <c r="BT19" i="2"/>
  <c r="BR19" i="2"/>
  <c r="BP19" i="2" s="1"/>
  <c r="BQ19" i="2"/>
  <c r="BO19" i="2"/>
  <c r="BN19" i="2"/>
  <c r="BM19" i="2"/>
  <c r="BL19" i="2" s="1"/>
  <c r="BK19" i="2"/>
  <c r="BJ19" i="2"/>
  <c r="BH19" i="2" s="1"/>
  <c r="BI19" i="2"/>
  <c r="BD19" i="2"/>
  <c r="BC19" i="2"/>
  <c r="BF19" i="2" s="1"/>
  <c r="BA19" i="2"/>
  <c r="AY19" i="2" s="1"/>
  <c r="AZ19" i="2"/>
  <c r="AX19" i="2"/>
  <c r="AW19" i="2"/>
  <c r="AV19" i="2"/>
  <c r="AU19" i="2"/>
  <c r="AT19" i="2"/>
  <c r="AS19" i="2"/>
  <c r="AQ19" i="2" s="1"/>
  <c r="AR19" i="2"/>
  <c r="AP19" i="2"/>
  <c r="AJ19" i="2"/>
  <c r="AI19" i="2"/>
  <c r="AF19" i="2"/>
  <c r="AE19" i="2"/>
  <c r="AK19" i="2" s="1"/>
  <c r="AB19" i="2"/>
  <c r="Y19" i="2"/>
  <c r="AA19" i="2" s="1"/>
  <c r="X19" i="2"/>
  <c r="W19" i="2"/>
  <c r="U19" i="2"/>
  <c r="T19" i="2"/>
  <c r="S19" i="2"/>
  <c r="R19" i="2"/>
  <c r="Q19" i="2"/>
  <c r="P19" i="2"/>
  <c r="N19" i="2"/>
  <c r="L19" i="2"/>
  <c r="K19" i="2"/>
  <c r="J19" i="2"/>
  <c r="F19" i="2"/>
  <c r="I19" i="2" s="1"/>
  <c r="E19" i="2"/>
  <c r="D19" i="2"/>
  <c r="C19" i="2"/>
  <c r="B19" i="2"/>
  <c r="A19" i="2"/>
  <c r="CD18" i="2"/>
  <c r="BZ18" i="2"/>
  <c r="BY18" i="2"/>
  <c r="BX18" i="2"/>
  <c r="BW18" i="2"/>
  <c r="BV18" i="2"/>
  <c r="BR18" i="2"/>
  <c r="BQ18" i="2"/>
  <c r="BP18" i="2"/>
  <c r="BO18" i="2"/>
  <c r="BN18" i="2"/>
  <c r="BM18" i="2"/>
  <c r="BK18" i="2"/>
  <c r="BJ18" i="2"/>
  <c r="BI18" i="2"/>
  <c r="BT18" i="2" s="1"/>
  <c r="BH18" i="2"/>
  <c r="BA18" i="2"/>
  <c r="BD18" i="2" s="1"/>
  <c r="AZ18" i="2"/>
  <c r="AY18" i="2"/>
  <c r="AX18" i="2"/>
  <c r="AW18" i="2"/>
  <c r="AU18" i="2" s="1"/>
  <c r="AV18" i="2"/>
  <c r="AT18" i="2"/>
  <c r="AS18" i="2"/>
  <c r="AR18" i="2"/>
  <c r="AQ18" i="2" s="1"/>
  <c r="AP18" i="2"/>
  <c r="AJ18" i="2"/>
  <c r="AI18" i="2"/>
  <c r="AH18" i="2"/>
  <c r="AG18" i="2"/>
  <c r="AF18" i="2"/>
  <c r="AE18" i="2"/>
  <c r="AB18" i="2"/>
  <c r="AA18" i="2"/>
  <c r="Z18" i="2"/>
  <c r="Y18" i="2"/>
  <c r="W18" i="2" s="1"/>
  <c r="X18" i="2"/>
  <c r="U18" i="2"/>
  <c r="R18" i="2"/>
  <c r="P18" i="2" s="1"/>
  <c r="Q18" i="2"/>
  <c r="AK18" i="2" s="1"/>
  <c r="N18" i="2"/>
  <c r="L18" i="2"/>
  <c r="K18" i="2"/>
  <c r="J18" i="2"/>
  <c r="F18" i="2"/>
  <c r="I18" i="2" s="1"/>
  <c r="E18" i="2"/>
  <c r="D18" i="2"/>
  <c r="C18" i="2"/>
  <c r="B18" i="2"/>
  <c r="A18" i="2"/>
  <c r="CD17" i="2"/>
  <c r="BZ17" i="2"/>
  <c r="BY17" i="2"/>
  <c r="BW17" i="2" s="1"/>
  <c r="BX17" i="2"/>
  <c r="BV17" i="2"/>
  <c r="BR17" i="2"/>
  <c r="BQ17" i="2"/>
  <c r="BO17" i="2"/>
  <c r="BN17" i="2"/>
  <c r="BM17" i="2"/>
  <c r="BL17" i="2"/>
  <c r="BK17" i="2"/>
  <c r="BJ17" i="2"/>
  <c r="BI17" i="2"/>
  <c r="BC17" i="2"/>
  <c r="BA17" i="2"/>
  <c r="AY17" i="2" s="1"/>
  <c r="AZ17" i="2"/>
  <c r="AX17" i="2"/>
  <c r="AW17" i="2"/>
  <c r="AV17" i="2"/>
  <c r="AU17" i="2"/>
  <c r="AT17" i="2"/>
  <c r="AS17" i="2"/>
  <c r="AQ17" i="2" s="1"/>
  <c r="AR17" i="2"/>
  <c r="AP17" i="2"/>
  <c r="AM17" i="2"/>
  <c r="AL17" i="2"/>
  <c r="AJ17" i="2"/>
  <c r="AF17" i="2"/>
  <c r="AE17" i="2"/>
  <c r="AK17" i="2" s="1"/>
  <c r="AD17" i="2"/>
  <c r="AC17" i="2"/>
  <c r="AB17" i="2"/>
  <c r="Y17" i="2"/>
  <c r="X17" i="2"/>
  <c r="W17" i="2"/>
  <c r="U17" i="2"/>
  <c r="V17" i="2" s="1"/>
  <c r="R17" i="2"/>
  <c r="Q17" i="2"/>
  <c r="P17" i="2"/>
  <c r="O17" i="2"/>
  <c r="N17" i="2"/>
  <c r="L17" i="2"/>
  <c r="K17" i="2"/>
  <c r="J17" i="2"/>
  <c r="F17" i="2"/>
  <c r="E17" i="2"/>
  <c r="D17" i="2"/>
  <c r="C17" i="2"/>
  <c r="B17" i="2"/>
  <c r="A17" i="2"/>
  <c r="CD16" i="2"/>
  <c r="BZ16" i="2"/>
  <c r="BY16" i="2"/>
  <c r="BW16" i="2" s="1"/>
  <c r="BX16" i="2"/>
  <c r="BV16" i="2"/>
  <c r="BR16" i="2"/>
  <c r="BQ16" i="2"/>
  <c r="BP16" i="2"/>
  <c r="BO16" i="2"/>
  <c r="BN16" i="2"/>
  <c r="BL16" i="2" s="1"/>
  <c r="BM16" i="2"/>
  <c r="BK16" i="2"/>
  <c r="BJ16" i="2"/>
  <c r="BU16" i="2" s="1"/>
  <c r="BI16" i="2"/>
  <c r="BH16" i="2" s="1"/>
  <c r="BA16" i="2"/>
  <c r="AZ16" i="2"/>
  <c r="AY16" i="2"/>
  <c r="AX16" i="2"/>
  <c r="AW16" i="2"/>
  <c r="AU16" i="2" s="1"/>
  <c r="AV16" i="2"/>
  <c r="AT16" i="2"/>
  <c r="AS16" i="2"/>
  <c r="AR16" i="2"/>
  <c r="AQ16" i="2"/>
  <c r="AP16" i="2"/>
  <c r="AK16" i="2"/>
  <c r="AJ16" i="2"/>
  <c r="AF16" i="2"/>
  <c r="AM16" i="2" s="1"/>
  <c r="AE16" i="2"/>
  <c r="AD16" i="2"/>
  <c r="AB16" i="2"/>
  <c r="AC16" i="2" s="1"/>
  <c r="AA16" i="2"/>
  <c r="Y16" i="2"/>
  <c r="W16" i="2" s="1"/>
  <c r="X16" i="2"/>
  <c r="U16" i="2"/>
  <c r="V16" i="2" s="1"/>
  <c r="Z16" i="2" s="1"/>
  <c r="T16" i="2"/>
  <c r="S16" i="2"/>
  <c r="R16" i="2"/>
  <c r="P16" i="2" s="1"/>
  <c r="Q16" i="2"/>
  <c r="N16" i="2"/>
  <c r="O16" i="2" s="1"/>
  <c r="L16" i="2"/>
  <c r="K16" i="2"/>
  <c r="J16" i="2"/>
  <c r="I16" i="2"/>
  <c r="H16" i="2"/>
  <c r="G16" i="2"/>
  <c r="F16" i="2"/>
  <c r="D16" i="2"/>
  <c r="C16" i="2"/>
  <c r="B16" i="2"/>
  <c r="E16" i="2" s="1"/>
  <c r="A16" i="2"/>
  <c r="CD15" i="2"/>
  <c r="BZ15" i="2"/>
  <c r="BY15" i="2"/>
  <c r="BX15" i="2"/>
  <c r="BW15" i="2"/>
  <c r="BV15" i="2"/>
  <c r="BR15" i="2"/>
  <c r="BQ15" i="2"/>
  <c r="BP15" i="2"/>
  <c r="BO15" i="2"/>
  <c r="BN15" i="2"/>
  <c r="BL15" i="2" s="1"/>
  <c r="BM15" i="2"/>
  <c r="BT15" i="2" s="1"/>
  <c r="BK15" i="2"/>
  <c r="BJ15" i="2"/>
  <c r="BI15" i="2"/>
  <c r="BH15" i="2"/>
  <c r="BA15" i="2"/>
  <c r="AZ15" i="2"/>
  <c r="BC15" i="2" s="1"/>
  <c r="BF15" i="2" s="1"/>
  <c r="AY15" i="2"/>
  <c r="AX15" i="2"/>
  <c r="AW15" i="2"/>
  <c r="AV15" i="2"/>
  <c r="AT15" i="2"/>
  <c r="AS15" i="2"/>
  <c r="AR15" i="2"/>
  <c r="AQ15" i="2"/>
  <c r="AP15" i="2"/>
  <c r="AJ15" i="2"/>
  <c r="AI15" i="2"/>
  <c r="AH15" i="2"/>
  <c r="AG15" i="2"/>
  <c r="AF15" i="2"/>
  <c r="AE15" i="2"/>
  <c r="AK15" i="2" s="1"/>
  <c r="AB15" i="2"/>
  <c r="Y15" i="2"/>
  <c r="X15" i="2"/>
  <c r="U15" i="2"/>
  <c r="R15" i="2"/>
  <c r="T15" i="2" s="1"/>
  <c r="Q15" i="2"/>
  <c r="P15" i="2"/>
  <c r="AL15" i="2" s="1"/>
  <c r="N15" i="2"/>
  <c r="L15" i="2"/>
  <c r="K15" i="2"/>
  <c r="J15" i="2"/>
  <c r="F15" i="2"/>
  <c r="E15" i="2"/>
  <c r="D15" i="2"/>
  <c r="C15" i="2"/>
  <c r="B15" i="2"/>
  <c r="A15" i="2"/>
  <c r="CD14" i="2"/>
  <c r="BZ14" i="2"/>
  <c r="BY14" i="2"/>
  <c r="BW14" i="2" s="1"/>
  <c r="BX14" i="2"/>
  <c r="BV14" i="2"/>
  <c r="BR14" i="2"/>
  <c r="BQ14" i="2"/>
  <c r="BP14" i="2"/>
  <c r="BO14" i="2"/>
  <c r="BN14" i="2"/>
  <c r="BL14" i="2" s="1"/>
  <c r="BM14" i="2"/>
  <c r="BK14" i="2"/>
  <c r="BJ14" i="2"/>
  <c r="BH14" i="2" s="1"/>
  <c r="BI14" i="2"/>
  <c r="BA14" i="2"/>
  <c r="AZ14" i="2"/>
  <c r="AX14" i="2"/>
  <c r="AW14" i="2"/>
  <c r="AV14" i="2"/>
  <c r="AU14" i="2"/>
  <c r="AT14" i="2"/>
  <c r="AS14" i="2"/>
  <c r="AR14" i="2"/>
  <c r="AP14" i="2"/>
  <c r="AM14" i="2"/>
  <c r="AO14" i="2" s="1"/>
  <c r="AK14" i="2"/>
  <c r="AJ14" i="2"/>
  <c r="AF14" i="2"/>
  <c r="AE14" i="2"/>
  <c r="AD14" i="2"/>
  <c r="AB14" i="2"/>
  <c r="AC14" i="2" s="1"/>
  <c r="Y14" i="2"/>
  <c r="X14" i="2"/>
  <c r="W14" i="2"/>
  <c r="U14" i="2"/>
  <c r="V14" i="2" s="1"/>
  <c r="T14" i="2"/>
  <c r="R14" i="2"/>
  <c r="P14" i="2" s="1"/>
  <c r="AL14" i="2" s="1"/>
  <c r="Q14" i="2"/>
  <c r="N14" i="2"/>
  <c r="O14" i="2" s="1"/>
  <c r="L14" i="2"/>
  <c r="K14" i="2"/>
  <c r="J14" i="2"/>
  <c r="F14" i="2"/>
  <c r="I14" i="2" s="1"/>
  <c r="E14" i="2"/>
  <c r="D14" i="2"/>
  <c r="C14" i="2"/>
  <c r="B14" i="2"/>
  <c r="A14" i="2"/>
  <c r="CD13" i="2"/>
  <c r="BZ13" i="2"/>
  <c r="BY13" i="2"/>
  <c r="BX13" i="2"/>
  <c r="BW13" i="2"/>
  <c r="BV13" i="2"/>
  <c r="BR13" i="2"/>
  <c r="BQ13" i="2"/>
  <c r="BP13" i="2"/>
  <c r="BO13" i="2"/>
  <c r="BN13" i="2"/>
  <c r="BM13" i="2"/>
  <c r="BK13" i="2"/>
  <c r="BJ13" i="2"/>
  <c r="BD13" i="2" s="1"/>
  <c r="BI13" i="2"/>
  <c r="BT13" i="2" s="1"/>
  <c r="BH13" i="2"/>
  <c r="BA13" i="2"/>
  <c r="AZ13" i="2"/>
  <c r="AY13" i="2"/>
  <c r="AX13" i="2"/>
  <c r="AW13" i="2"/>
  <c r="AU13" i="2" s="1"/>
  <c r="AV13" i="2"/>
  <c r="AT13" i="2"/>
  <c r="AS13" i="2"/>
  <c r="AR13" i="2"/>
  <c r="AQ13" i="2"/>
  <c r="AP13" i="2"/>
  <c r="AJ13" i="2"/>
  <c r="AI13" i="2"/>
  <c r="AH13" i="2"/>
  <c r="AG13" i="2"/>
  <c r="AF13" i="2"/>
  <c r="AE13" i="2"/>
  <c r="AB13" i="2"/>
  <c r="AA13" i="2"/>
  <c r="Z13" i="2"/>
  <c r="Y13" i="2"/>
  <c r="W13" i="2" s="1"/>
  <c r="X13" i="2"/>
  <c r="U13" i="2"/>
  <c r="R13" i="2"/>
  <c r="Q13" i="2"/>
  <c r="AK13" i="2" s="1"/>
  <c r="P13" i="2"/>
  <c r="AL13" i="2" s="1"/>
  <c r="O13" i="2"/>
  <c r="N13" i="2"/>
  <c r="J13" i="2"/>
  <c r="L13" i="2" s="1"/>
  <c r="I13" i="2"/>
  <c r="H13" i="2"/>
  <c r="G13" i="2"/>
  <c r="F13" i="2"/>
  <c r="B13" i="2"/>
  <c r="E13" i="2" s="1"/>
  <c r="A13" i="2"/>
  <c r="CD12" i="2"/>
  <c r="BZ12" i="2"/>
  <c r="BY12" i="2"/>
  <c r="BW12" i="2" s="1"/>
  <c r="BX12" i="2"/>
  <c r="BV12" i="2"/>
  <c r="BT12" i="2"/>
  <c r="BR12" i="2"/>
  <c r="BP12" i="2" s="1"/>
  <c r="BQ12" i="2"/>
  <c r="BO12" i="2"/>
  <c r="BN12" i="2"/>
  <c r="BM12" i="2"/>
  <c r="BL12" i="2"/>
  <c r="BK12" i="2"/>
  <c r="BJ12" i="2"/>
  <c r="BI12" i="2"/>
  <c r="BD12" i="2"/>
  <c r="BG12" i="2" s="1"/>
  <c r="BA12" i="2"/>
  <c r="AY12" i="2" s="1"/>
  <c r="AZ12" i="2"/>
  <c r="AX12" i="2"/>
  <c r="AW12" i="2"/>
  <c r="AV12" i="2"/>
  <c r="BC12" i="2" s="1"/>
  <c r="BF12" i="2" s="1"/>
  <c r="AU12" i="2"/>
  <c r="AT12" i="2"/>
  <c r="AS12" i="2"/>
  <c r="AQ12" i="2" s="1"/>
  <c r="AR12" i="2"/>
  <c r="AP12" i="2"/>
  <c r="AM12" i="2"/>
  <c r="AO12" i="2" s="1"/>
  <c r="AL12" i="2"/>
  <c r="AJ12" i="2"/>
  <c r="AF12" i="2"/>
  <c r="AH12" i="2" s="1"/>
  <c r="AE12" i="2"/>
  <c r="AK12" i="2" s="1"/>
  <c r="AB12" i="2"/>
  <c r="AA12" i="2"/>
  <c r="Z12" i="2"/>
  <c r="Y12" i="2"/>
  <c r="X12" i="2"/>
  <c r="W12" i="2"/>
  <c r="U12" i="2"/>
  <c r="T12" i="2"/>
  <c r="S12" i="2"/>
  <c r="R12" i="2"/>
  <c r="P12" i="2" s="1"/>
  <c r="Q12" i="2"/>
  <c r="N12" i="2"/>
  <c r="K12" i="2"/>
  <c r="J12" i="2"/>
  <c r="L12" i="2" s="1"/>
  <c r="I12" i="2"/>
  <c r="H12" i="2"/>
  <c r="G12" i="2"/>
  <c r="F12" i="2"/>
  <c r="B12" i="2"/>
  <c r="A12" i="2"/>
  <c r="CD11" i="2"/>
  <c r="BZ11" i="2"/>
  <c r="BY11" i="2"/>
  <c r="BX11" i="2"/>
  <c r="BW11" i="2"/>
  <c r="BV11" i="2"/>
  <c r="BU11" i="2"/>
  <c r="BT11" i="2"/>
  <c r="BR11" i="2"/>
  <c r="BQ11" i="2"/>
  <c r="BP11" i="2"/>
  <c r="BO11" i="2"/>
  <c r="BN11" i="2"/>
  <c r="BM11" i="2"/>
  <c r="BL11" i="2"/>
  <c r="BS11" i="2" s="1"/>
  <c r="BK11" i="2"/>
  <c r="BJ11" i="2"/>
  <c r="BI11" i="2"/>
  <c r="BH11" i="2"/>
  <c r="BD11" i="2"/>
  <c r="BA11" i="2"/>
  <c r="AZ11" i="2"/>
  <c r="AY11" i="2"/>
  <c r="AX11" i="2"/>
  <c r="AW11" i="2"/>
  <c r="AV11" i="2"/>
  <c r="BC11" i="2" s="1"/>
  <c r="BF11" i="2" s="1"/>
  <c r="AT11" i="2"/>
  <c r="AS11" i="2"/>
  <c r="AR11" i="2"/>
  <c r="AQ11" i="2"/>
  <c r="AP11" i="2"/>
  <c r="AJ11" i="2"/>
  <c r="AF11" i="2"/>
  <c r="AH11" i="2" s="1"/>
  <c r="AE11" i="2"/>
  <c r="AK11" i="2" s="1"/>
  <c r="AB11" i="2"/>
  <c r="Y11" i="2"/>
  <c r="X11" i="2"/>
  <c r="U11" i="2"/>
  <c r="R11" i="2"/>
  <c r="Q11" i="2"/>
  <c r="P11" i="2"/>
  <c r="N11" i="2"/>
  <c r="O11" i="2" s="1"/>
  <c r="AI11" i="2" s="1"/>
  <c r="L11" i="2"/>
  <c r="K11" i="2"/>
  <c r="J11" i="2"/>
  <c r="F11" i="2"/>
  <c r="E11" i="2"/>
  <c r="D11" i="2"/>
  <c r="C11" i="2"/>
  <c r="B11" i="2"/>
  <c r="A11" i="2"/>
  <c r="CD10" i="2"/>
  <c r="BZ10" i="2"/>
  <c r="BY10" i="2"/>
  <c r="BX10" i="2"/>
  <c r="BV10" i="2"/>
  <c r="BR10" i="2"/>
  <c r="BP10" i="2" s="1"/>
  <c r="BQ10" i="2"/>
  <c r="BO10" i="2"/>
  <c r="BN10" i="2"/>
  <c r="BM10" i="2"/>
  <c r="BL10" i="2"/>
  <c r="BK10" i="2"/>
  <c r="BJ10" i="2"/>
  <c r="BI10" i="2"/>
  <c r="BA10" i="2"/>
  <c r="AZ10" i="2"/>
  <c r="AX10" i="2"/>
  <c r="AW10" i="2"/>
  <c r="AV10" i="2"/>
  <c r="AU10" i="2"/>
  <c r="AT10" i="2"/>
  <c r="AS10" i="2"/>
  <c r="AR10" i="2"/>
  <c r="AP10" i="2"/>
  <c r="AK10" i="2"/>
  <c r="AJ10" i="2"/>
  <c r="AF10" i="2"/>
  <c r="AH10" i="2" s="1"/>
  <c r="AE10" i="2"/>
  <c r="AD10" i="2"/>
  <c r="AB10" i="2"/>
  <c r="AA10" i="2"/>
  <c r="Z10" i="2"/>
  <c r="Y10" i="2"/>
  <c r="X10" i="2"/>
  <c r="W10" i="2"/>
  <c r="U10" i="2"/>
  <c r="R10" i="2"/>
  <c r="T10" i="2" s="1"/>
  <c r="Q10" i="2"/>
  <c r="N10" i="2"/>
  <c r="O10" i="2" s="1"/>
  <c r="AI10" i="2" s="1"/>
  <c r="K10" i="2"/>
  <c r="J10" i="2"/>
  <c r="L10" i="2" s="1"/>
  <c r="I10" i="2"/>
  <c r="H10" i="2"/>
  <c r="G10" i="2"/>
  <c r="F10" i="2"/>
  <c r="C10" i="2"/>
  <c r="B10" i="2"/>
  <c r="A10" i="2"/>
  <c r="CD9" i="2"/>
  <c r="BZ9" i="2"/>
  <c r="BY9" i="2"/>
  <c r="BX9" i="2"/>
  <c r="BW9" i="2"/>
  <c r="BV9" i="2"/>
  <c r="BT9" i="2"/>
  <c r="BR9" i="2"/>
  <c r="BQ9" i="2"/>
  <c r="BP9" i="2"/>
  <c r="BO9" i="2"/>
  <c r="BN9" i="2"/>
  <c r="BU9" i="2" s="1"/>
  <c r="BM9" i="2"/>
  <c r="BK9" i="2"/>
  <c r="BJ9" i="2"/>
  <c r="BI9" i="2"/>
  <c r="BH9" i="2"/>
  <c r="BD9" i="2"/>
  <c r="BA9" i="2"/>
  <c r="AZ9" i="2"/>
  <c r="AY9" i="2"/>
  <c r="AX9" i="2"/>
  <c r="AW9" i="2"/>
  <c r="AV9" i="2"/>
  <c r="BC9" i="2" s="1"/>
  <c r="BF9" i="2" s="1"/>
  <c r="AT9" i="2"/>
  <c r="AS9" i="2"/>
  <c r="AR9" i="2"/>
  <c r="AQ9" i="2"/>
  <c r="AP9" i="2"/>
  <c r="AJ9" i="2"/>
  <c r="AH9" i="2"/>
  <c r="AG9" i="2"/>
  <c r="AF9" i="2"/>
  <c r="AE9" i="2"/>
  <c r="AK9" i="2" s="1"/>
  <c r="AB9" i="2"/>
  <c r="Y9" i="2"/>
  <c r="X9" i="2"/>
  <c r="W9" i="2"/>
  <c r="U9" i="2"/>
  <c r="R9" i="2"/>
  <c r="Q9" i="2"/>
  <c r="P9" i="2"/>
  <c r="AL9" i="2" s="1"/>
  <c r="N9" i="2"/>
  <c r="O9" i="2" s="1"/>
  <c r="AI9" i="2" s="1"/>
  <c r="L9" i="2"/>
  <c r="K9" i="2"/>
  <c r="J9" i="2"/>
  <c r="G9" i="2"/>
  <c r="F9" i="2"/>
  <c r="E9" i="2"/>
  <c r="D9" i="2"/>
  <c r="C9" i="2"/>
  <c r="B9" i="2"/>
  <c r="A9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D8" i="2"/>
  <c r="BZ8" i="2"/>
  <c r="BY8" i="2"/>
  <c r="BX8" i="2"/>
  <c r="BW8" i="2" s="1"/>
  <c r="BV8" i="2"/>
  <c r="BR8" i="2"/>
  <c r="BQ8" i="2"/>
  <c r="BP8" i="2"/>
  <c r="BO8" i="2"/>
  <c r="BN8" i="2"/>
  <c r="BM8" i="2"/>
  <c r="BK8" i="2"/>
  <c r="BJ8" i="2"/>
  <c r="BD8" i="2" s="1"/>
  <c r="BI8" i="2"/>
  <c r="BT8" i="2" s="1"/>
  <c r="BH8" i="2"/>
  <c r="BA8" i="2"/>
  <c r="AZ8" i="2"/>
  <c r="AY8" i="2" s="1"/>
  <c r="AX8" i="2"/>
  <c r="AW8" i="2"/>
  <c r="AU8" i="2" s="1"/>
  <c r="AV8" i="2"/>
  <c r="AT8" i="2"/>
  <c r="AS8" i="2"/>
  <c r="AR8" i="2"/>
  <c r="AQ8" i="2"/>
  <c r="AP8" i="2"/>
  <c r="AJ8" i="2"/>
  <c r="AI8" i="2"/>
  <c r="AH8" i="2"/>
  <c r="AG8" i="2"/>
  <c r="AF8" i="2"/>
  <c r="AE8" i="2"/>
  <c r="AD8" i="2"/>
  <c r="AB8" i="2"/>
  <c r="AA8" i="2"/>
  <c r="Y8" i="2"/>
  <c r="W8" i="2" s="1"/>
  <c r="X8" i="2"/>
  <c r="U8" i="2"/>
  <c r="R8" i="2"/>
  <c r="P8" i="2" s="1"/>
  <c r="AL8" i="2" s="1"/>
  <c r="Q8" i="2"/>
  <c r="AK8" i="2" s="1"/>
  <c r="O8" i="2"/>
  <c r="N8" i="2"/>
  <c r="J8" i="2"/>
  <c r="L8" i="2" s="1"/>
  <c r="I8" i="2"/>
  <c r="H8" i="2"/>
  <c r="G8" i="2"/>
  <c r="F8" i="2"/>
  <c r="B8" i="2"/>
  <c r="E8" i="2" s="1"/>
  <c r="A8" i="2"/>
  <c r="CD7" i="2"/>
  <c r="BZ7" i="2"/>
  <c r="BY7" i="2"/>
  <c r="BW7" i="2" s="1"/>
  <c r="BX7" i="2"/>
  <c r="BV7" i="2"/>
  <c r="BT7" i="2"/>
  <c r="BR7" i="2"/>
  <c r="BP7" i="2" s="1"/>
  <c r="BQ7" i="2"/>
  <c r="BO7" i="2"/>
  <c r="BN7" i="2"/>
  <c r="BM7" i="2"/>
  <c r="BL7" i="2"/>
  <c r="BK7" i="2"/>
  <c r="BJ7" i="2"/>
  <c r="BI7" i="2"/>
  <c r="BA7" i="2"/>
  <c r="AY7" i="2" s="1"/>
  <c r="AZ7" i="2"/>
  <c r="AX7" i="2"/>
  <c r="AW7" i="2"/>
  <c r="AV7" i="2"/>
  <c r="AU7" i="2" s="1"/>
  <c r="AT7" i="2"/>
  <c r="AS7" i="2"/>
  <c r="AQ7" i="2" s="1"/>
  <c r="AR7" i="2"/>
  <c r="AP7" i="2"/>
  <c r="AL7" i="2"/>
  <c r="AJ7" i="2"/>
  <c r="AI7" i="2"/>
  <c r="AF7" i="2"/>
  <c r="AM7" i="2" s="1"/>
  <c r="AE7" i="2"/>
  <c r="AK7" i="2" s="1"/>
  <c r="AD7" i="2"/>
  <c r="AB7" i="2"/>
  <c r="Y7" i="2"/>
  <c r="AA7" i="2" s="1"/>
  <c r="X7" i="2"/>
  <c r="W7" i="2"/>
  <c r="U7" i="2"/>
  <c r="T7" i="2"/>
  <c r="S7" i="2"/>
  <c r="R7" i="2"/>
  <c r="Q7" i="2"/>
  <c r="P7" i="2"/>
  <c r="N7" i="2"/>
  <c r="J7" i="2"/>
  <c r="L7" i="2" s="1"/>
  <c r="I7" i="2"/>
  <c r="F7" i="2"/>
  <c r="H7" i="2" s="1"/>
  <c r="B7" i="2"/>
  <c r="E7" i="2" s="1"/>
  <c r="A7" i="2"/>
  <c r="CD6" i="2"/>
  <c r="BZ6" i="2"/>
  <c r="BY6" i="2"/>
  <c r="BX6" i="2"/>
  <c r="BW6" i="2"/>
  <c r="BV6" i="2"/>
  <c r="BU6" i="2"/>
  <c r="BR6" i="2"/>
  <c r="BQ6" i="2"/>
  <c r="BP6" i="2"/>
  <c r="BO6" i="2"/>
  <c r="BN6" i="2"/>
  <c r="BM6" i="2"/>
  <c r="BT6" i="2" s="1"/>
  <c r="BK6" i="2"/>
  <c r="BJ6" i="2"/>
  <c r="BI6" i="2"/>
  <c r="BC6" i="2" s="1"/>
  <c r="BH6" i="2"/>
  <c r="BA6" i="2"/>
  <c r="AZ6" i="2"/>
  <c r="AY6" i="2"/>
  <c r="AX6" i="2"/>
  <c r="AW6" i="2"/>
  <c r="AV6" i="2"/>
  <c r="AT6" i="2"/>
  <c r="AS6" i="2"/>
  <c r="AR6" i="2"/>
  <c r="AQ6" i="2"/>
  <c r="AP6" i="2"/>
  <c r="AJ6" i="2"/>
  <c r="AF6" i="2"/>
  <c r="AM6" i="2" s="1"/>
  <c r="AN6" i="2" s="1"/>
  <c r="AE6" i="2"/>
  <c r="AB6" i="2"/>
  <c r="AC6" i="2" s="1"/>
  <c r="AH6" i="2" s="1"/>
  <c r="Y6" i="2"/>
  <c r="W6" i="2" s="1"/>
  <c r="X6" i="2"/>
  <c r="U6" i="2"/>
  <c r="V6" i="2" s="1"/>
  <c r="AI6" i="2" s="1"/>
  <c r="S6" i="2"/>
  <c r="R6" i="2"/>
  <c r="Q6" i="2"/>
  <c r="O6" i="2"/>
  <c r="N6" i="2"/>
  <c r="J6" i="2"/>
  <c r="I6" i="2"/>
  <c r="H6" i="2"/>
  <c r="G6" i="2"/>
  <c r="F6" i="2"/>
  <c r="B6" i="2"/>
  <c r="A6" i="2"/>
  <c r="CD5" i="2"/>
  <c r="BZ5" i="2"/>
  <c r="BY5" i="2"/>
  <c r="BX5" i="2"/>
  <c r="BW5" i="2"/>
  <c r="BV5" i="2"/>
  <c r="BU5" i="2"/>
  <c r="BR5" i="2"/>
  <c r="BP5" i="2" s="1"/>
  <c r="BQ5" i="2"/>
  <c r="BO5" i="2"/>
  <c r="BN5" i="2"/>
  <c r="BM5" i="2"/>
  <c r="BT5" i="2" s="1"/>
  <c r="BL5" i="2"/>
  <c r="BK5" i="2"/>
  <c r="BJ5" i="2"/>
  <c r="BH5" i="2" s="1"/>
  <c r="BI5" i="2"/>
  <c r="BD5" i="2"/>
  <c r="BC5" i="2"/>
  <c r="BA5" i="2"/>
  <c r="AZ5" i="2"/>
  <c r="AY5" i="2"/>
  <c r="AX5" i="2"/>
  <c r="AW5" i="2"/>
  <c r="AV5" i="2"/>
  <c r="AU5" i="2"/>
  <c r="AT5" i="2"/>
  <c r="AS5" i="2"/>
  <c r="AR5" i="2"/>
  <c r="AQ5" i="2"/>
  <c r="AP5" i="2"/>
  <c r="AJ5" i="2"/>
  <c r="AF5" i="2"/>
  <c r="AG5" i="2" s="1"/>
  <c r="AE5" i="2"/>
  <c r="AC5" i="2"/>
  <c r="AB5" i="2"/>
  <c r="Y5" i="2"/>
  <c r="X5" i="2"/>
  <c r="W5" i="2"/>
  <c r="V5" i="2"/>
  <c r="U5" i="2"/>
  <c r="R5" i="2"/>
  <c r="Q5" i="2"/>
  <c r="P5" i="2"/>
  <c r="O5" i="2"/>
  <c r="AI5" i="2" s="1"/>
  <c r="N5" i="2"/>
  <c r="J5" i="2"/>
  <c r="L5" i="2" s="1"/>
  <c r="H5" i="2"/>
  <c r="G5" i="2"/>
  <c r="F5" i="2"/>
  <c r="I5" i="2" s="1"/>
  <c r="E5" i="2"/>
  <c r="B5" i="2"/>
  <c r="D5" i="2" s="1"/>
  <c r="A5" i="2"/>
  <c r="CD4" i="2"/>
  <c r="BZ4" i="2"/>
  <c r="BY4" i="2"/>
  <c r="BW4" i="2" s="1"/>
  <c r="BX4" i="2"/>
  <c r="BV4" i="2"/>
  <c r="BR4" i="2"/>
  <c r="BQ4" i="2"/>
  <c r="BO4" i="2"/>
  <c r="BN4" i="2"/>
  <c r="BM4" i="2"/>
  <c r="BL4" i="2"/>
  <c r="BK4" i="2"/>
  <c r="BJ4" i="2"/>
  <c r="BI4" i="2"/>
  <c r="BC4" i="2"/>
  <c r="BA4" i="2"/>
  <c r="AY4" i="2" s="1"/>
  <c r="AZ4" i="2"/>
  <c r="AX4" i="2"/>
  <c r="AW4" i="2"/>
  <c r="AV4" i="2"/>
  <c r="AU4" i="2"/>
  <c r="AT4" i="2"/>
  <c r="AS4" i="2"/>
  <c r="AQ4" i="2" s="1"/>
  <c r="AR4" i="2"/>
  <c r="AP4" i="2"/>
  <c r="AM4" i="2"/>
  <c r="AJ4" i="2"/>
  <c r="AF4" i="2"/>
  <c r="AH4" i="2" s="1"/>
  <c r="AE4" i="2"/>
  <c r="AK4" i="2" s="1"/>
  <c r="AD4" i="2"/>
  <c r="AC4" i="2"/>
  <c r="AB4" i="2"/>
  <c r="Y4" i="2"/>
  <c r="X4" i="2"/>
  <c r="W4" i="2"/>
  <c r="AL4" i="2" s="1"/>
  <c r="U4" i="2"/>
  <c r="V4" i="2" s="1"/>
  <c r="V151" i="2" s="1"/>
  <c r="R4" i="2"/>
  <c r="Q4" i="2"/>
  <c r="P4" i="2"/>
  <c r="N4" i="2"/>
  <c r="O4" i="2" s="1"/>
  <c r="L4" i="2"/>
  <c r="K4" i="2"/>
  <c r="J4" i="2"/>
  <c r="F4" i="2"/>
  <c r="E4" i="2"/>
  <c r="D4" i="2"/>
  <c r="C4" i="2"/>
  <c r="B4" i="2"/>
  <c r="A4" i="2"/>
  <c r="CD3" i="2"/>
  <c r="BZ3" i="2"/>
  <c r="BY3" i="2"/>
  <c r="BX3" i="2"/>
  <c r="BW3" i="2"/>
  <c r="BV3" i="2"/>
  <c r="BR3" i="2"/>
  <c r="BQ3" i="2"/>
  <c r="BP3" i="2"/>
  <c r="BO3" i="2"/>
  <c r="BN3" i="2"/>
  <c r="BL3" i="2" s="1"/>
  <c r="BM3" i="2"/>
  <c r="BK3" i="2"/>
  <c r="BJ3" i="2"/>
  <c r="BU3" i="2" s="1"/>
  <c r="BI3" i="2"/>
  <c r="BH3" i="2"/>
  <c r="BA3" i="2"/>
  <c r="AY3" i="2" s="1"/>
  <c r="AZ3" i="2"/>
  <c r="AX3" i="2"/>
  <c r="AW3" i="2"/>
  <c r="AU3" i="2" s="1"/>
  <c r="AV3" i="2"/>
  <c r="AT3" i="2"/>
  <c r="AS3" i="2"/>
  <c r="AR3" i="2"/>
  <c r="AQ3" i="2"/>
  <c r="AP3" i="2"/>
  <c r="AK3" i="2"/>
  <c r="AJ3" i="2"/>
  <c r="AF3" i="2"/>
  <c r="AE3" i="2"/>
  <c r="AD3" i="2"/>
  <c r="AC3" i="2"/>
  <c r="AB3" i="2"/>
  <c r="AA3" i="2"/>
  <c r="Z3" i="2"/>
  <c r="Y3" i="2"/>
  <c r="X3" i="2"/>
  <c r="W3" i="2"/>
  <c r="U3" i="2"/>
  <c r="R3" i="2"/>
  <c r="P3" i="2" s="1"/>
  <c r="AL3" i="2" s="1"/>
  <c r="Q3" i="2"/>
  <c r="N3" i="2"/>
  <c r="J3" i="2"/>
  <c r="I3" i="2"/>
  <c r="H3" i="2"/>
  <c r="G3" i="2"/>
  <c r="F3" i="2"/>
  <c r="B3" i="2"/>
  <c r="A3" i="2"/>
  <c r="CD2" i="2"/>
  <c r="BZ2" i="2"/>
  <c r="BY2" i="2"/>
  <c r="BW2" i="2" s="1"/>
  <c r="BX2" i="2"/>
  <c r="BV2" i="2"/>
  <c r="BU2" i="2"/>
  <c r="BT2" i="2"/>
  <c r="BR2" i="2"/>
  <c r="BQ2" i="2"/>
  <c r="BO2" i="2"/>
  <c r="BN2" i="2"/>
  <c r="BM2" i="2"/>
  <c r="BL2" i="2" s="1"/>
  <c r="BK2" i="2"/>
  <c r="BK151" i="2" s="1"/>
  <c r="BJ2" i="2"/>
  <c r="BH2" i="2" s="1"/>
  <c r="BI2" i="2"/>
  <c r="BD2" i="2"/>
  <c r="BC2" i="2"/>
  <c r="BA2" i="2"/>
  <c r="AY2" i="2" s="1"/>
  <c r="AZ2" i="2"/>
  <c r="AX2" i="2"/>
  <c r="AW2" i="2"/>
  <c r="AV2" i="2"/>
  <c r="AU2" i="2"/>
  <c r="AT2" i="2"/>
  <c r="AS2" i="2"/>
  <c r="AQ2" i="2" s="1"/>
  <c r="AR2" i="2"/>
  <c r="AP2" i="2"/>
  <c r="AJ2" i="2"/>
  <c r="AI2" i="2"/>
  <c r="AF2" i="2"/>
  <c r="AE2" i="2"/>
  <c r="AB2" i="2"/>
  <c r="Y2" i="2"/>
  <c r="AA2" i="2" s="1"/>
  <c r="X2" i="2"/>
  <c r="W2" i="2"/>
  <c r="U2" i="2"/>
  <c r="T2" i="2"/>
  <c r="S2" i="2"/>
  <c r="R2" i="2"/>
  <c r="Q2" i="2"/>
  <c r="P2" i="2"/>
  <c r="N2" i="2"/>
  <c r="L2" i="2"/>
  <c r="K2" i="2"/>
  <c r="J2" i="2"/>
  <c r="F2" i="2"/>
  <c r="I2" i="2" s="1"/>
  <c r="E2" i="2"/>
  <c r="D2" i="2"/>
  <c r="C2" i="2"/>
  <c r="B2" i="2"/>
  <c r="A2" i="2"/>
  <c r="H17" i="1"/>
  <c r="G17" i="1"/>
  <c r="F17" i="1"/>
  <c r="E17" i="1"/>
  <c r="D17" i="1"/>
  <c r="I17" i="1" s="1"/>
  <c r="I16" i="1"/>
  <c r="H16" i="1"/>
  <c r="G16" i="1"/>
  <c r="F16" i="1"/>
  <c r="E16" i="1"/>
  <c r="D16" i="1"/>
  <c r="G15" i="1"/>
  <c r="F15" i="1"/>
  <c r="I15" i="1" s="1"/>
  <c r="E15" i="1"/>
  <c r="D15" i="1"/>
  <c r="H14" i="1"/>
  <c r="G14" i="1"/>
  <c r="F14" i="1"/>
  <c r="E14" i="1"/>
  <c r="D14" i="1"/>
  <c r="I14" i="1" s="1"/>
  <c r="H13" i="1"/>
  <c r="G13" i="1"/>
  <c r="F13" i="1"/>
  <c r="E13" i="1"/>
  <c r="D13" i="1"/>
  <c r="I13" i="1" s="1"/>
  <c r="H12" i="1"/>
  <c r="I12" i="1" s="1"/>
  <c r="G12" i="1"/>
  <c r="F12" i="1"/>
  <c r="E12" i="1"/>
  <c r="D12" i="1"/>
  <c r="H11" i="1"/>
  <c r="G11" i="1"/>
  <c r="F11" i="1"/>
  <c r="E11" i="1"/>
  <c r="D11" i="1"/>
  <c r="H10" i="1"/>
  <c r="G10" i="1"/>
  <c r="F10" i="1"/>
  <c r="F18" i="1" s="1"/>
  <c r="E10" i="1"/>
  <c r="D10" i="1"/>
  <c r="D18" i="1" s="1"/>
  <c r="C10" i="1"/>
  <c r="H9" i="1"/>
  <c r="G9" i="1"/>
  <c r="F9" i="1"/>
  <c r="E9" i="1"/>
  <c r="E18" i="1" s="1"/>
  <c r="D9" i="1"/>
  <c r="C9" i="1"/>
  <c r="H8" i="1"/>
  <c r="G8" i="1"/>
  <c r="F8" i="1"/>
  <c r="E8" i="1"/>
  <c r="D8" i="1"/>
  <c r="C8" i="1"/>
  <c r="I8" i="1" s="1"/>
  <c r="I7" i="1"/>
  <c r="H7" i="1"/>
  <c r="G7" i="1"/>
  <c r="F7" i="1"/>
  <c r="E7" i="1"/>
  <c r="D7" i="1"/>
  <c r="C7" i="1"/>
  <c r="H6" i="1"/>
  <c r="H18" i="1" s="1"/>
  <c r="G6" i="1"/>
  <c r="F6" i="1"/>
  <c r="E6" i="1"/>
  <c r="D6" i="1"/>
  <c r="C6" i="1"/>
  <c r="BB16" i="2" l="1"/>
  <c r="BS16" i="2"/>
  <c r="AO36" i="2"/>
  <c r="AN36" i="2"/>
  <c r="AH43" i="2"/>
  <c r="AG43" i="2"/>
  <c r="AA14" i="2"/>
  <c r="Z14" i="2"/>
  <c r="AI16" i="2"/>
  <c r="AH16" i="2"/>
  <c r="AG16" i="2"/>
  <c r="AH51" i="2"/>
  <c r="AG51" i="2"/>
  <c r="T38" i="2"/>
  <c r="AI38" i="2"/>
  <c r="S38" i="2"/>
  <c r="AH14" i="2"/>
  <c r="AG14" i="2"/>
  <c r="AA33" i="2"/>
  <c r="Z33" i="2"/>
  <c r="AA40" i="2"/>
  <c r="Z40" i="2"/>
  <c r="AA65" i="2"/>
  <c r="Z65" i="2"/>
  <c r="T55" i="2"/>
  <c r="AI55" i="2"/>
  <c r="S55" i="2"/>
  <c r="AO71" i="2"/>
  <c r="AN71" i="2"/>
  <c r="T31" i="2"/>
  <c r="AI31" i="2"/>
  <c r="BS67" i="2"/>
  <c r="AO7" i="2"/>
  <c r="AN7" i="2"/>
  <c r="AI47" i="2"/>
  <c r="AA47" i="2"/>
  <c r="Z47" i="2"/>
  <c r="O151" i="2"/>
  <c r="T4" i="2"/>
  <c r="AI4" i="2"/>
  <c r="S4" i="2"/>
  <c r="BS14" i="2"/>
  <c r="AA17" i="2"/>
  <c r="Z17" i="2"/>
  <c r="W28" i="2"/>
  <c r="AA28" i="2"/>
  <c r="W34" i="2"/>
  <c r="AA34" i="2"/>
  <c r="Z34" i="2"/>
  <c r="P46" i="2"/>
  <c r="AL46" i="2" s="1"/>
  <c r="T46" i="2"/>
  <c r="BS56" i="2"/>
  <c r="BB56" i="2"/>
  <c r="BE56" i="2" s="1"/>
  <c r="AB151" i="2"/>
  <c r="BU10" i="2"/>
  <c r="BD10" i="2"/>
  <c r="C20" i="2"/>
  <c r="E20" i="2"/>
  <c r="D20" i="2"/>
  <c r="E30" i="2"/>
  <c r="D30" i="2"/>
  <c r="D35" i="2"/>
  <c r="C35" i="2"/>
  <c r="E35" i="2"/>
  <c r="I36" i="2"/>
  <c r="H36" i="2"/>
  <c r="T40" i="2"/>
  <c r="AI40" i="2"/>
  <c r="S40" i="2"/>
  <c r="I41" i="2"/>
  <c r="H41" i="2"/>
  <c r="AI43" i="2"/>
  <c r="S43" i="2"/>
  <c r="BU46" i="2"/>
  <c r="BL46" i="2"/>
  <c r="I52" i="2"/>
  <c r="G52" i="2"/>
  <c r="H52" i="2"/>
  <c r="BF55" i="2"/>
  <c r="W56" i="2"/>
  <c r="Z56" i="2"/>
  <c r="AA56" i="2"/>
  <c r="BD59" i="2"/>
  <c r="AU59" i="2"/>
  <c r="AI64" i="2"/>
  <c r="T65" i="2"/>
  <c r="AI65" i="2"/>
  <c r="H66" i="2"/>
  <c r="I66" i="2"/>
  <c r="G68" i="2"/>
  <c r="H68" i="2"/>
  <c r="I68" i="2"/>
  <c r="BD68" i="2"/>
  <c r="BG68" i="2" s="1"/>
  <c r="AU68" i="2"/>
  <c r="BB71" i="2"/>
  <c r="BS71" i="2"/>
  <c r="AI73" i="2"/>
  <c r="T74" i="2"/>
  <c r="AI74" i="2"/>
  <c r="AA74" i="2"/>
  <c r="AD75" i="2"/>
  <c r="AH75" i="2"/>
  <c r="AG75" i="2"/>
  <c r="BS79" i="2"/>
  <c r="L81" i="2"/>
  <c r="K81" i="2"/>
  <c r="AA82" i="2"/>
  <c r="Z82" i="2"/>
  <c r="AO92" i="2"/>
  <c r="AN92" i="2"/>
  <c r="BS94" i="2"/>
  <c r="BB94" i="2"/>
  <c r="BS107" i="2"/>
  <c r="BB107" i="2"/>
  <c r="BE107" i="2" s="1"/>
  <c r="Z119" i="2"/>
  <c r="AA119" i="2"/>
  <c r="Z123" i="2"/>
  <c r="AA123" i="2"/>
  <c r="BS145" i="2"/>
  <c r="BB145" i="2"/>
  <c r="BE145" i="2" s="1"/>
  <c r="I9" i="1"/>
  <c r="AE151" i="2"/>
  <c r="AK2" i="2"/>
  <c r="S3" i="2"/>
  <c r="P6" i="2"/>
  <c r="T6" i="2"/>
  <c r="C7" i="2"/>
  <c r="BH7" i="2"/>
  <c r="BU7" i="2"/>
  <c r="H9" i="2"/>
  <c r="I9" i="2"/>
  <c r="AM9" i="2"/>
  <c r="AD9" i="2"/>
  <c r="BL9" i="2"/>
  <c r="BS9" i="2" s="1"/>
  <c r="E10" i="2"/>
  <c r="D10" i="2"/>
  <c r="AI14" i="2"/>
  <c r="S14" i="2"/>
  <c r="AM15" i="2"/>
  <c r="AN17" i="2"/>
  <c r="AO17" i="2"/>
  <c r="S20" i="2"/>
  <c r="BU20" i="2"/>
  <c r="BL20" i="2"/>
  <c r="AD21" i="2"/>
  <c r="AH21" i="2"/>
  <c r="AY22" i="2"/>
  <c r="BB22" i="2" s="1"/>
  <c r="Z28" i="2"/>
  <c r="C30" i="2"/>
  <c r="AY30" i="2"/>
  <c r="BD31" i="2"/>
  <c r="BG31" i="2" s="1"/>
  <c r="BH31" i="2"/>
  <c r="BU31" i="2"/>
  <c r="P32" i="2"/>
  <c r="AL32" i="2" s="1"/>
  <c r="T32" i="2"/>
  <c r="S32" i="2"/>
  <c r="BT33" i="2"/>
  <c r="BC33" i="2"/>
  <c r="BF33" i="2" s="1"/>
  <c r="BP33" i="2"/>
  <c r="BL34" i="2"/>
  <c r="G36" i="2"/>
  <c r="BG36" i="2"/>
  <c r="G41" i="2"/>
  <c r="BG41" i="2"/>
  <c r="AA42" i="2"/>
  <c r="W42" i="2"/>
  <c r="AY43" i="2"/>
  <c r="S46" i="2"/>
  <c r="AM46" i="2"/>
  <c r="BD48" i="2"/>
  <c r="BG48" i="2" s="1"/>
  <c r="AU48" i="2"/>
  <c r="K49" i="2"/>
  <c r="K53" i="2"/>
  <c r="L53" i="2"/>
  <c r="AI54" i="2"/>
  <c r="S54" i="2"/>
  <c r="C57" i="2"/>
  <c r="E57" i="2"/>
  <c r="D57" i="2"/>
  <c r="AA59" i="2"/>
  <c r="W59" i="2"/>
  <c r="D60" i="2"/>
  <c r="E60" i="2"/>
  <c r="G66" i="2"/>
  <c r="AD66" i="2"/>
  <c r="AH66" i="2"/>
  <c r="AG66" i="2"/>
  <c r="AU66" i="2"/>
  <c r="BB66" i="2" s="1"/>
  <c r="BE66" i="2" s="1"/>
  <c r="BW67" i="2"/>
  <c r="W68" i="2"/>
  <c r="Z68" i="2"/>
  <c r="AA68" i="2"/>
  <c r="AO68" i="2"/>
  <c r="D69" i="2"/>
  <c r="E69" i="2"/>
  <c r="S70" i="2"/>
  <c r="P72" i="2"/>
  <c r="T72" i="2"/>
  <c r="S72" i="2"/>
  <c r="BB75" i="2"/>
  <c r="BS75" i="2"/>
  <c r="AM76" i="2"/>
  <c r="AO77" i="2"/>
  <c r="AN77" i="2"/>
  <c r="AA100" i="2"/>
  <c r="AI100" i="2"/>
  <c r="Z100" i="2"/>
  <c r="AI135" i="2"/>
  <c r="S135" i="2"/>
  <c r="T135" i="2"/>
  <c r="BS149" i="2"/>
  <c r="BB149" i="2"/>
  <c r="BE149" i="2" s="1"/>
  <c r="BD23" i="2"/>
  <c r="AU23" i="2"/>
  <c r="BU57" i="2"/>
  <c r="BL57" i="2"/>
  <c r="BS57" i="2" s="1"/>
  <c r="AD58" i="2"/>
  <c r="AH58" i="2"/>
  <c r="AG58" i="2"/>
  <c r="BG58" i="2"/>
  <c r="BD63" i="2"/>
  <c r="AU63" i="2"/>
  <c r="BS66" i="2"/>
  <c r="AM75" i="2"/>
  <c r="P76" i="2"/>
  <c r="T76" i="2"/>
  <c r="S76" i="2"/>
  <c r="AI77" i="2"/>
  <c r="T78" i="2"/>
  <c r="AI78" i="2"/>
  <c r="S78" i="2"/>
  <c r="AO79" i="2"/>
  <c r="AN79" i="2"/>
  <c r="BS30" i="2"/>
  <c r="BB30" i="2"/>
  <c r="BE30" i="2" s="1"/>
  <c r="W48" i="2"/>
  <c r="AA48" i="2"/>
  <c r="Z48" i="2"/>
  <c r="I11" i="2"/>
  <c r="H11" i="2"/>
  <c r="AQ54" i="2"/>
  <c r="AK68" i="2"/>
  <c r="BF68" i="2" s="1"/>
  <c r="AL69" i="2"/>
  <c r="AA70" i="2"/>
  <c r="Z70" i="2"/>
  <c r="AH70" i="2"/>
  <c r="BT70" i="2"/>
  <c r="BC70" i="2"/>
  <c r="BF70" i="2" s="1"/>
  <c r="AK72" i="2"/>
  <c r="BF72" i="2" s="1"/>
  <c r="BD72" i="2"/>
  <c r="BG72" i="2" s="1"/>
  <c r="AU72" i="2"/>
  <c r="AA73" i="2"/>
  <c r="S74" i="2"/>
  <c r="BS76" i="2"/>
  <c r="BD80" i="2"/>
  <c r="BG80" i="2" s="1"/>
  <c r="AU80" i="2"/>
  <c r="E81" i="2"/>
  <c r="D81" i="2"/>
  <c r="C81" i="2"/>
  <c r="BS81" i="2"/>
  <c r="AI104" i="2"/>
  <c r="T104" i="2"/>
  <c r="AI124" i="2"/>
  <c r="T124" i="2"/>
  <c r="AA11" i="2"/>
  <c r="Z11" i="2"/>
  <c r="T17" i="2"/>
  <c r="AI17" i="2"/>
  <c r="S17" i="2"/>
  <c r="AY151" i="2"/>
  <c r="BU18" i="2"/>
  <c r="BL18" i="2"/>
  <c r="BS18" i="2" s="1"/>
  <c r="AG24" i="2"/>
  <c r="AH24" i="2"/>
  <c r="BS25" i="2"/>
  <c r="BB25" i="2"/>
  <c r="P57" i="2"/>
  <c r="T57" i="2"/>
  <c r="BP47" i="2"/>
  <c r="BS54" i="2"/>
  <c r="BB54" i="2"/>
  <c r="BE54" i="2" s="1"/>
  <c r="G11" i="2"/>
  <c r="T11" i="2"/>
  <c r="AG11" i="2"/>
  <c r="BP27" i="2"/>
  <c r="BB58" i="2"/>
  <c r="BE58" i="2" s="1"/>
  <c r="W72" i="2"/>
  <c r="AA72" i="2"/>
  <c r="BD76" i="2"/>
  <c r="BG76" i="2" s="1"/>
  <c r="AU76" i="2"/>
  <c r="K77" i="2"/>
  <c r="BT78" i="2"/>
  <c r="BC78" i="2"/>
  <c r="BF78" i="2" s="1"/>
  <c r="BP78" i="2"/>
  <c r="AD81" i="2"/>
  <c r="AM81" i="2"/>
  <c r="T82" i="2"/>
  <c r="AI82" i="2"/>
  <c r="S82" i="2"/>
  <c r="BU82" i="2"/>
  <c r="BH82" i="2"/>
  <c r="BD82" i="2"/>
  <c r="BF83" i="2"/>
  <c r="AE26" i="3"/>
  <c r="P26" i="3"/>
  <c r="E3" i="2"/>
  <c r="D3" i="2"/>
  <c r="C3" i="2"/>
  <c r="AD5" i="2"/>
  <c r="AH5" i="2"/>
  <c r="AO25" i="2"/>
  <c r="AN25" i="2"/>
  <c r="D7" i="2"/>
  <c r="AD19" i="2"/>
  <c r="AH19" i="2"/>
  <c r="AM20" i="2"/>
  <c r="I38" i="2"/>
  <c r="H38" i="2"/>
  <c r="G38" i="2"/>
  <c r="AD41" i="2"/>
  <c r="AG41" i="2"/>
  <c r="AH41" i="2"/>
  <c r="BB43" i="2"/>
  <c r="BE43" i="2" s="1"/>
  <c r="BS43" i="2"/>
  <c r="I17" i="2"/>
  <c r="H17" i="2"/>
  <c r="G17" i="2"/>
  <c r="BS22" i="2"/>
  <c r="BL29" i="2"/>
  <c r="AA31" i="2"/>
  <c r="BS32" i="2"/>
  <c r="BB32" i="2"/>
  <c r="BF38" i="2"/>
  <c r="T43" i="2"/>
  <c r="BS46" i="2"/>
  <c r="AH47" i="2"/>
  <c r="AY51" i="2"/>
  <c r="T67" i="2"/>
  <c r="P67" i="2"/>
  <c r="AL67" i="2" s="1"/>
  <c r="AM67" i="2"/>
  <c r="U151" i="2"/>
  <c r="BW151" i="2"/>
  <c r="AM8" i="2"/>
  <c r="BG8" i="2" s="1"/>
  <c r="BG19" i="2"/>
  <c r="AI20" i="2"/>
  <c r="BS20" i="2"/>
  <c r="BB20" i="2"/>
  <c r="L27" i="2"/>
  <c r="K27" i="2"/>
  <c r="I34" i="2"/>
  <c r="H34" i="2"/>
  <c r="AA43" i="2"/>
  <c r="Z43" i="2"/>
  <c r="AM44" i="2"/>
  <c r="BH47" i="2"/>
  <c r="BD47" i="2"/>
  <c r="BG47" i="2" s="1"/>
  <c r="BU47" i="2"/>
  <c r="AM56" i="2"/>
  <c r="AD56" i="2"/>
  <c r="AH56" i="2"/>
  <c r="AN66" i="2"/>
  <c r="S67" i="2"/>
  <c r="AY67" i="2"/>
  <c r="BB67" i="2" s="1"/>
  <c r="BE67" i="2" s="1"/>
  <c r="BH70" i="2"/>
  <c r="BD70" i="2"/>
  <c r="BG70" i="2" s="1"/>
  <c r="BU70" i="2"/>
  <c r="L3" i="2"/>
  <c r="K3" i="2"/>
  <c r="BB3" i="2"/>
  <c r="BE3" i="2" s="1"/>
  <c r="BS3" i="2"/>
  <c r="BT4" i="2"/>
  <c r="BT151" i="2" s="1"/>
  <c r="AU9" i="2"/>
  <c r="BB9" i="2"/>
  <c r="BE9" i="2" s="1"/>
  <c r="AQ10" i="2"/>
  <c r="AN12" i="2"/>
  <c r="BU13" i="2"/>
  <c r="BL13" i="2"/>
  <c r="AQ14" i="2"/>
  <c r="W15" i="2"/>
  <c r="AA15" i="2"/>
  <c r="BD15" i="2"/>
  <c r="BG15" i="2" s="1"/>
  <c r="AU15" i="2"/>
  <c r="BS15" i="2"/>
  <c r="AH17" i="2"/>
  <c r="BF17" i="2"/>
  <c r="BB18" i="2"/>
  <c r="K20" i="2"/>
  <c r="L20" i="2"/>
  <c r="BU22" i="2"/>
  <c r="BD22" i="2"/>
  <c r="C24" i="2"/>
  <c r="BS26" i="2"/>
  <c r="BH27" i="2"/>
  <c r="BU27" i="2"/>
  <c r="BD27" i="2"/>
  <c r="BG27" i="2" s="1"/>
  <c r="G34" i="2"/>
  <c r="T34" i="2"/>
  <c r="L35" i="2"/>
  <c r="K35" i="2"/>
  <c r="BT35" i="2"/>
  <c r="BC35" i="2"/>
  <c r="BF35" i="2" s="1"/>
  <c r="BP35" i="2"/>
  <c r="AY37" i="2"/>
  <c r="BU38" i="2"/>
  <c r="BH38" i="2"/>
  <c r="BD38" i="2"/>
  <c r="BG38" i="2" s="1"/>
  <c r="P39" i="2"/>
  <c r="AL39" i="2" s="1"/>
  <c r="S39" i="2"/>
  <c r="T39" i="2"/>
  <c r="AH40" i="2"/>
  <c r="BT40" i="2"/>
  <c r="BC40" i="2"/>
  <c r="BF40" i="2" s="1"/>
  <c r="BP40" i="2"/>
  <c r="P42" i="2"/>
  <c r="T42" i="2"/>
  <c r="S42" i="2"/>
  <c r="AM42" i="2"/>
  <c r="BB44" i="2"/>
  <c r="BS44" i="2"/>
  <c r="BF45" i="2"/>
  <c r="Z46" i="2"/>
  <c r="AM48" i="2"/>
  <c r="BL48" i="2"/>
  <c r="BS48" i="2" s="1"/>
  <c r="AH50" i="2"/>
  <c r="BS50" i="2"/>
  <c r="BT51" i="2"/>
  <c r="BC51" i="2"/>
  <c r="BF51" i="2" s="1"/>
  <c r="P53" i="2"/>
  <c r="T53" i="2"/>
  <c r="BU53" i="2"/>
  <c r="BL53" i="2"/>
  <c r="BS53" i="2" s="1"/>
  <c r="AA54" i="2"/>
  <c r="Z54" i="2"/>
  <c r="AG56" i="2"/>
  <c r="BD56" i="2"/>
  <c r="BG56" i="2" s="1"/>
  <c r="AI57" i="2"/>
  <c r="AM58" i="2"/>
  <c r="P59" i="2"/>
  <c r="AL59" i="2" s="1"/>
  <c r="S59" i="2"/>
  <c r="T59" i="2"/>
  <c r="AM59" i="2"/>
  <c r="T60" i="2"/>
  <c r="AG60" i="2"/>
  <c r="BB60" i="2"/>
  <c r="BS60" i="2"/>
  <c r="AH65" i="2"/>
  <c r="BC65" i="2"/>
  <c r="BF65" i="2" s="1"/>
  <c r="BT65" i="2"/>
  <c r="BP65" i="2"/>
  <c r="AQ67" i="2"/>
  <c r="T69" i="2"/>
  <c r="AG69" i="2"/>
  <c r="BB69" i="2"/>
  <c r="BS69" i="2"/>
  <c r="BC71" i="2"/>
  <c r="Z72" i="2"/>
  <c r="AH74" i="2"/>
  <c r="BT74" i="2"/>
  <c r="BC74" i="2"/>
  <c r="BF74" i="2" s="1"/>
  <c r="BP74" i="2"/>
  <c r="AL75" i="2"/>
  <c r="W76" i="2"/>
  <c r="AA76" i="2"/>
  <c r="BU76" i="2"/>
  <c r="E77" i="2"/>
  <c r="D77" i="2"/>
  <c r="AA77" i="2"/>
  <c r="BH78" i="2"/>
  <c r="AL79" i="2"/>
  <c r="BE79" i="2" s="1"/>
  <c r="BF79" i="2"/>
  <c r="BS85" i="2"/>
  <c r="BB85" i="2"/>
  <c r="BE85" i="2" s="1"/>
  <c r="AI91" i="2"/>
  <c r="T91" i="2"/>
  <c r="AI116" i="2"/>
  <c r="T116" i="2"/>
  <c r="AO121" i="2"/>
  <c r="AN121" i="2"/>
  <c r="AI128" i="2"/>
  <c r="S128" i="2"/>
  <c r="T128" i="2"/>
  <c r="AN4" i="2"/>
  <c r="AO4" i="2"/>
  <c r="BS13" i="2"/>
  <c r="BB13" i="2"/>
  <c r="BE13" i="2" s="1"/>
  <c r="AF151" i="2"/>
  <c r="CX180" i="2" s="1"/>
  <c r="AD2" i="2"/>
  <c r="AH2" i="2"/>
  <c r="AH151" i="2" s="1"/>
  <c r="AR151" i="2"/>
  <c r="BM151" i="2"/>
  <c r="DC326" i="2" s="1"/>
  <c r="T3" i="2"/>
  <c r="AH3" i="2"/>
  <c r="AG3" i="2"/>
  <c r="AC151" i="2"/>
  <c r="BG9" i="2"/>
  <c r="H15" i="2"/>
  <c r="I15" i="2"/>
  <c r="BF21" i="2"/>
  <c r="W23" i="2"/>
  <c r="AL23" i="2" s="1"/>
  <c r="AA23" i="2"/>
  <c r="AO32" i="2"/>
  <c r="AN32" i="2"/>
  <c r="BH33" i="2"/>
  <c r="BD33" i="2"/>
  <c r="BG33" i="2" s="1"/>
  <c r="BU33" i="2"/>
  <c r="AM45" i="2"/>
  <c r="AD45" i="2"/>
  <c r="AH45" i="2"/>
  <c r="BH49" i="2"/>
  <c r="BU49" i="2"/>
  <c r="BD49" i="2"/>
  <c r="BG49" i="2" s="1"/>
  <c r="I6" i="1"/>
  <c r="G18" i="1"/>
  <c r="AG6" i="2"/>
  <c r="T8" i="2"/>
  <c r="S8" i="2"/>
  <c r="D12" i="2"/>
  <c r="E12" i="2"/>
  <c r="G18" i="2"/>
  <c r="K24" i="2"/>
  <c r="BT25" i="2"/>
  <c r="BC25" i="2"/>
  <c r="BF25" i="2" s="1"/>
  <c r="BC30" i="2"/>
  <c r="BF30" i="2" s="1"/>
  <c r="BT30" i="2"/>
  <c r="AO31" i="2"/>
  <c r="AN31" i="2"/>
  <c r="AU52" i="2"/>
  <c r="BB52" i="2" s="1"/>
  <c r="BS52" i="2"/>
  <c r="S57" i="2"/>
  <c r="AM57" i="2"/>
  <c r="BG57" i="2" s="1"/>
  <c r="AL60" i="2"/>
  <c r="S10" i="2"/>
  <c r="AY14" i="2"/>
  <c r="BB14" i="2" s="1"/>
  <c r="BE14" i="2" s="1"/>
  <c r="K22" i="2"/>
  <c r="L22" i="2"/>
  <c r="BG24" i="2"/>
  <c r="Z26" i="2"/>
  <c r="AA26" i="2"/>
  <c r="AU26" i="2"/>
  <c r="BB26" i="2" s="1"/>
  <c r="BT27" i="2"/>
  <c r="BC27" i="2"/>
  <c r="BF27" i="2" s="1"/>
  <c r="P37" i="2"/>
  <c r="AL37" i="2" s="1"/>
  <c r="T37" i="2"/>
  <c r="AM37" i="2"/>
  <c r="AM41" i="2"/>
  <c r="BU42" i="2"/>
  <c r="BL42" i="2"/>
  <c r="D53" i="2"/>
  <c r="E53" i="2"/>
  <c r="C53" i="2"/>
  <c r="BS58" i="2"/>
  <c r="BL59" i="2"/>
  <c r="K6" i="2"/>
  <c r="L6" i="2"/>
  <c r="N151" i="2"/>
  <c r="AM2" i="2"/>
  <c r="CD151" i="2"/>
  <c r="AM3" i="2"/>
  <c r="AI3" i="2"/>
  <c r="BT3" i="2"/>
  <c r="BC3" i="2"/>
  <c r="BF3" i="2" s="1"/>
  <c r="BH4" i="2"/>
  <c r="BD4" i="2"/>
  <c r="BG4" i="2" s="1"/>
  <c r="BU4" i="2"/>
  <c r="BU151" i="2" s="1"/>
  <c r="BB5" i="2"/>
  <c r="BS5" i="2"/>
  <c r="Z6" i="2"/>
  <c r="BD6" i="2"/>
  <c r="BG6" i="2" s="1"/>
  <c r="AU6" i="2"/>
  <c r="AU151" i="2" s="1"/>
  <c r="K7" i="2"/>
  <c r="BC7" i="2"/>
  <c r="BF7" i="2" s="1"/>
  <c r="BS8" i="2"/>
  <c r="BB8" i="2"/>
  <c r="BE8" i="2" s="1"/>
  <c r="Z9" i="2"/>
  <c r="AA9" i="2"/>
  <c r="BH10" i="2"/>
  <c r="W11" i="2"/>
  <c r="AL11" i="2" s="1"/>
  <c r="T13" i="2"/>
  <c r="S13" i="2"/>
  <c r="AM13" i="2"/>
  <c r="Z15" i="2"/>
  <c r="AO16" i="2"/>
  <c r="AN16" i="2"/>
  <c r="BT17" i="2"/>
  <c r="BP17" i="2"/>
  <c r="AM19" i="2"/>
  <c r="Z20" i="2"/>
  <c r="AL21" i="2"/>
  <c r="AN21" i="2"/>
  <c r="BB21" i="2"/>
  <c r="BS21" i="2"/>
  <c r="AM23" i="2"/>
  <c r="D24" i="2"/>
  <c r="AM24" i="2"/>
  <c r="BH24" i="2"/>
  <c r="BU24" i="2"/>
  <c r="P25" i="2"/>
  <c r="AL25" i="2" s="1"/>
  <c r="T25" i="2"/>
  <c r="AK26" i="2"/>
  <c r="BF26" i="2" s="1"/>
  <c r="BU26" i="2"/>
  <c r="D27" i="2"/>
  <c r="E27" i="2"/>
  <c r="I28" i="2"/>
  <c r="H28" i="2"/>
  <c r="BS29" i="2"/>
  <c r="K30" i="2"/>
  <c r="BW30" i="2"/>
  <c r="G31" i="2"/>
  <c r="H31" i="2"/>
  <c r="I31" i="2"/>
  <c r="S31" i="2"/>
  <c r="AD31" i="2"/>
  <c r="BF34" i="2"/>
  <c r="BH35" i="2"/>
  <c r="BU35" i="2"/>
  <c r="BD35" i="2"/>
  <c r="BG35" i="2" s="1"/>
  <c r="AQ37" i="2"/>
  <c r="BB37" i="2"/>
  <c r="BE37" i="2" s="1"/>
  <c r="BS37" i="2"/>
  <c r="AM39" i="2"/>
  <c r="BH40" i="2"/>
  <c r="BD40" i="2"/>
  <c r="BG40" i="2" s="1"/>
  <c r="BU40" i="2"/>
  <c r="H44" i="2"/>
  <c r="G44" i="2"/>
  <c r="I44" i="2"/>
  <c r="AU45" i="2"/>
  <c r="BB45" i="2" s="1"/>
  <c r="BE45" i="2" s="1"/>
  <c r="BS45" i="2"/>
  <c r="I48" i="2"/>
  <c r="H48" i="2"/>
  <c r="AD49" i="2"/>
  <c r="AL49" i="2" s="1"/>
  <c r="BD50" i="2"/>
  <c r="BG50" i="2" s="1"/>
  <c r="AU50" i="2"/>
  <c r="K51" i="2"/>
  <c r="AK52" i="2"/>
  <c r="BF52" i="2" s="1"/>
  <c r="S53" i="2"/>
  <c r="AM53" i="2"/>
  <c r="BG53" i="2" s="1"/>
  <c r="K57" i="2"/>
  <c r="L57" i="2"/>
  <c r="AG59" i="2"/>
  <c r="T61" i="2"/>
  <c r="AI61" i="2"/>
  <c r="H62" i="2"/>
  <c r="I62" i="2"/>
  <c r="BB62" i="2"/>
  <c r="BE62" i="2" s="1"/>
  <c r="BS62" i="2"/>
  <c r="AK63" i="2"/>
  <c r="BF63" i="2" s="1"/>
  <c r="BL63" i="2"/>
  <c r="BS63" i="2" s="1"/>
  <c r="S64" i="2"/>
  <c r="BH65" i="2"/>
  <c r="BU65" i="2"/>
  <c r="BD65" i="2"/>
  <c r="BG65" i="2" s="1"/>
  <c r="BC67" i="2"/>
  <c r="BF67" i="2" s="1"/>
  <c r="BT67" i="2"/>
  <c r="T70" i="2"/>
  <c r="AI70" i="2"/>
  <c r="I71" i="2"/>
  <c r="H71" i="2"/>
  <c r="AK71" i="2"/>
  <c r="BG71" i="2"/>
  <c r="S73" i="2"/>
  <c r="BH74" i="2"/>
  <c r="BD74" i="2"/>
  <c r="BG74" i="2" s="1"/>
  <c r="BU74" i="2"/>
  <c r="AH77" i="2"/>
  <c r="AG77" i="2"/>
  <c r="AA78" i="2"/>
  <c r="Z78" i="2"/>
  <c r="AH78" i="2"/>
  <c r="BG79" i="2"/>
  <c r="W80" i="2"/>
  <c r="AL80" i="2" s="1"/>
  <c r="AA80" i="2"/>
  <c r="Z80" i="2"/>
  <c r="BF80" i="2"/>
  <c r="BF82" i="2"/>
  <c r="AH83" i="2"/>
  <c r="AG83" i="2"/>
  <c r="AI86" i="2"/>
  <c r="BS86" i="2"/>
  <c r="BB86" i="2"/>
  <c r="BE86" i="2" s="1"/>
  <c r="AI87" i="2"/>
  <c r="T87" i="2"/>
  <c r="BB87" i="2"/>
  <c r="BS87" i="2"/>
  <c r="AG133" i="2"/>
  <c r="AH133" i="2"/>
  <c r="AL158" i="2"/>
  <c r="AX24" i="3"/>
  <c r="AG34" i="3"/>
  <c r="C6" i="2"/>
  <c r="E6" i="2"/>
  <c r="D6" i="2"/>
  <c r="BU14" i="2"/>
  <c r="BD14" i="2"/>
  <c r="BG14" i="2" s="1"/>
  <c r="G4" i="2"/>
  <c r="I4" i="2"/>
  <c r="H4" i="2"/>
  <c r="T9" i="2"/>
  <c r="T20" i="2"/>
  <c r="AD36" i="2"/>
  <c r="AL36" i="2" s="1"/>
  <c r="AH36" i="2"/>
  <c r="AG36" i="2"/>
  <c r="E49" i="2"/>
  <c r="D49" i="2"/>
  <c r="AH54" i="2"/>
  <c r="AG54" i="2"/>
  <c r="BH55" i="2"/>
  <c r="BU55" i="2"/>
  <c r="BD55" i="2"/>
  <c r="BG55" i="2" s="1"/>
  <c r="AG2" i="2"/>
  <c r="AG151" i="2" s="1"/>
  <c r="AQ151" i="2"/>
  <c r="BF2" i="2"/>
  <c r="BX151" i="2"/>
  <c r="DE326" i="2" s="1"/>
  <c r="AM5" i="2"/>
  <c r="BG5" i="2"/>
  <c r="BL6" i="2"/>
  <c r="BL151" i="2" s="1"/>
  <c r="BU8" i="2"/>
  <c r="BL8" i="2"/>
  <c r="P10" i="2"/>
  <c r="AL10" i="2" s="1"/>
  <c r="AM10" i="2"/>
  <c r="BW10" i="2"/>
  <c r="AM11" i="2"/>
  <c r="BG11" i="2" s="1"/>
  <c r="AD11" i="2"/>
  <c r="G15" i="2"/>
  <c r="AL16" i="2"/>
  <c r="S18" i="2"/>
  <c r="T18" i="2"/>
  <c r="AM18" i="2"/>
  <c r="BG18" i="2" s="1"/>
  <c r="AG19" i="2"/>
  <c r="AH20" i="2"/>
  <c r="Z23" i="2"/>
  <c r="BU28" i="2"/>
  <c r="BL28" i="2"/>
  <c r="BS28" i="2" s="1"/>
  <c r="BB36" i="2"/>
  <c r="BS36" i="2"/>
  <c r="BB41" i="2"/>
  <c r="BE41" i="2" s="1"/>
  <c r="BS41" i="2"/>
  <c r="BC43" i="2"/>
  <c r="BF43" i="2" s="1"/>
  <c r="BT43" i="2"/>
  <c r="AL44" i="2"/>
  <c r="BC47" i="2"/>
  <c r="BF47" i="2" s="1"/>
  <c r="BT47" i="2"/>
  <c r="AK56" i="2"/>
  <c r="BF56" i="2" s="1"/>
  <c r="AA61" i="2"/>
  <c r="Z61" i="2"/>
  <c r="AH61" i="2"/>
  <c r="BT61" i="2"/>
  <c r="BC61" i="2"/>
  <c r="BF61" i="2" s="1"/>
  <c r="W63" i="2"/>
  <c r="AA63" i="2"/>
  <c r="E64" i="2"/>
  <c r="D64" i="2"/>
  <c r="AA64" i="2"/>
  <c r="S65" i="2"/>
  <c r="BF4" i="2"/>
  <c r="Z5" i="2"/>
  <c r="AA5" i="2"/>
  <c r="AK6" i="2"/>
  <c r="BF6" i="2" s="1"/>
  <c r="AY10" i="2"/>
  <c r="C12" i="2"/>
  <c r="BH12" i="2"/>
  <c r="BU12" i="2"/>
  <c r="H18" i="2"/>
  <c r="BC22" i="2"/>
  <c r="BF22" i="2" s="1"/>
  <c r="BT22" i="2"/>
  <c r="AM28" i="2"/>
  <c r="BG28" i="2" s="1"/>
  <c r="T33" i="2"/>
  <c r="AI33" i="2"/>
  <c r="S33" i="2"/>
  <c r="AM34" i="2"/>
  <c r="AD34" i="2"/>
  <c r="AL34" i="2" s="1"/>
  <c r="AH34" i="2"/>
  <c r="L46" i="2"/>
  <c r="K46" i="2"/>
  <c r="AN49" i="2"/>
  <c r="AO49" i="2"/>
  <c r="AQ51" i="2"/>
  <c r="BB51" i="2"/>
  <c r="BE51" i="2" s="1"/>
  <c r="BS51" i="2"/>
  <c r="BT54" i="2"/>
  <c r="BC54" i="2"/>
  <c r="BF54" i="2" s="1"/>
  <c r="AO55" i="2"/>
  <c r="AN55" i="2"/>
  <c r="BH61" i="2"/>
  <c r="BU61" i="2"/>
  <c r="BD61" i="2"/>
  <c r="BG61" i="2" s="1"/>
  <c r="C64" i="2"/>
  <c r="BL68" i="2"/>
  <c r="AO72" i="2"/>
  <c r="E73" i="2"/>
  <c r="D73" i="2"/>
  <c r="C18" i="1"/>
  <c r="W151" i="2"/>
  <c r="BP4" i="2"/>
  <c r="AL5" i="2"/>
  <c r="AH7" i="2"/>
  <c r="AG7" i="2"/>
  <c r="X151" i="2"/>
  <c r="AV151" i="2"/>
  <c r="BI151" i="2"/>
  <c r="DB326" i="2" s="1"/>
  <c r="BR151" i="2"/>
  <c r="DD180" i="2" s="1"/>
  <c r="I10" i="1"/>
  <c r="I11" i="1"/>
  <c r="AW151" i="2"/>
  <c r="CZ180" i="2" s="1"/>
  <c r="BB2" i="2"/>
  <c r="BH151" i="2"/>
  <c r="AA4" i="2"/>
  <c r="AA151" i="2" s="1"/>
  <c r="T5" i="2"/>
  <c r="AK5" i="2"/>
  <c r="BF5" i="2" s="1"/>
  <c r="AA6" i="2"/>
  <c r="AO6" i="2"/>
  <c r="BD7" i="2"/>
  <c r="BG7" i="2" s="1"/>
  <c r="Z8" i="2"/>
  <c r="BC10" i="2"/>
  <c r="BF10" i="2" s="1"/>
  <c r="BT10" i="2"/>
  <c r="AU11" i="2"/>
  <c r="BB11" i="2" s="1"/>
  <c r="BE11" i="2" s="1"/>
  <c r="AD12" i="2"/>
  <c r="BC14" i="2"/>
  <c r="BF14" i="2" s="1"/>
  <c r="BT14" i="2"/>
  <c r="BU15" i="2"/>
  <c r="BT16" i="2"/>
  <c r="BC16" i="2"/>
  <c r="BF16" i="2" s="1"/>
  <c r="BH17" i="2"/>
  <c r="BD17" i="2"/>
  <c r="BG17" i="2" s="1"/>
  <c r="BU17" i="2"/>
  <c r="AL19" i="2"/>
  <c r="BB19" i="2"/>
  <c r="BS19" i="2"/>
  <c r="E22" i="2"/>
  <c r="C22" i="2"/>
  <c r="D22" i="2"/>
  <c r="AM22" i="2"/>
  <c r="P22" i="2"/>
  <c r="AL22" i="2" s="1"/>
  <c r="H23" i="2"/>
  <c r="I23" i="2"/>
  <c r="G26" i="2"/>
  <c r="I26" i="2"/>
  <c r="H26" i="2"/>
  <c r="AM26" i="2"/>
  <c r="AD26" i="2"/>
  <c r="AL26" i="2" s="1"/>
  <c r="BD29" i="2"/>
  <c r="BG29" i="2" s="1"/>
  <c r="AU29" i="2"/>
  <c r="AA30" i="2"/>
  <c r="AO30" i="2"/>
  <c r="BF31" i="2"/>
  <c r="AU34" i="2"/>
  <c r="BB34" i="2" s="1"/>
  <c r="BE34" i="2" s="1"/>
  <c r="BS34" i="2"/>
  <c r="BC37" i="2"/>
  <c r="BF37" i="2" s="1"/>
  <c r="BT37" i="2"/>
  <c r="AA38" i="2"/>
  <c r="AN38" i="2"/>
  <c r="AO38" i="2"/>
  <c r="BB39" i="2"/>
  <c r="BE39" i="2" s="1"/>
  <c r="BS39" i="2"/>
  <c r="BS42" i="2"/>
  <c r="AL45" i="2"/>
  <c r="D46" i="2"/>
  <c r="C46" i="2"/>
  <c r="E46" i="2"/>
  <c r="AA50" i="2"/>
  <c r="W50" i="2"/>
  <c r="AL50" i="2" s="1"/>
  <c r="AO50" i="2"/>
  <c r="BU50" i="2"/>
  <c r="D51" i="2"/>
  <c r="E51" i="2"/>
  <c r="AI51" i="2"/>
  <c r="AM52" i="2"/>
  <c r="AD52" i="2"/>
  <c r="AL52" i="2" s="1"/>
  <c r="AH52" i="2"/>
  <c r="AH53" i="2"/>
  <c r="G55" i="2"/>
  <c r="I55" i="2"/>
  <c r="H55" i="2"/>
  <c r="AD55" i="2"/>
  <c r="AL55" i="2" s="1"/>
  <c r="BS59" i="2"/>
  <c r="G62" i="2"/>
  <c r="AM62" i="2"/>
  <c r="P63" i="2"/>
  <c r="AL63" i="2" s="1"/>
  <c r="T63" i="2"/>
  <c r="S63" i="2"/>
  <c r="AM63" i="2"/>
  <c r="AG64" i="2"/>
  <c r="BS64" i="2"/>
  <c r="BB64" i="2"/>
  <c r="BE64" i="2" s="1"/>
  <c r="AL66" i="2"/>
  <c r="BS68" i="2"/>
  <c r="T71" i="2"/>
  <c r="AD71" i="2"/>
  <c r="AL71" i="2" s="1"/>
  <c r="AH71" i="2"/>
  <c r="AG71" i="2"/>
  <c r="AI72" i="2"/>
  <c r="BL72" i="2"/>
  <c r="BS72" i="2" s="1"/>
  <c r="AG73" i="2"/>
  <c r="BB73" i="2"/>
  <c r="BE73" i="2" s="1"/>
  <c r="BS73" i="2"/>
  <c r="I75" i="2"/>
  <c r="H75" i="2"/>
  <c r="T75" i="2"/>
  <c r="AK75" i="2"/>
  <c r="BF75" i="2" s="1"/>
  <c r="BG75" i="2"/>
  <c r="AL77" i="2"/>
  <c r="I79" i="2"/>
  <c r="H79" i="2"/>
  <c r="G79" i="2"/>
  <c r="T79" i="2"/>
  <c r="AI80" i="2"/>
  <c r="AH80" i="2"/>
  <c r="AH82" i="2"/>
  <c r="BS83" i="2"/>
  <c r="BB83" i="2"/>
  <c r="BB84" i="2"/>
  <c r="BE84" i="2" s="1"/>
  <c r="AL87" i="2"/>
  <c r="BF92" i="2"/>
  <c r="AI94" i="2"/>
  <c r="AH94" i="2"/>
  <c r="BF95" i="2"/>
  <c r="BB96" i="2"/>
  <c r="BE96" i="2" s="1"/>
  <c r="BB98" i="2"/>
  <c r="BE98" i="2" s="1"/>
  <c r="AI101" i="2"/>
  <c r="T101" i="2"/>
  <c r="BB135" i="2"/>
  <c r="BE135" i="2" s="1"/>
  <c r="BS135" i="2"/>
  <c r="BC85" i="2"/>
  <c r="BF85" i="2" s="1"/>
  <c r="BS88" i="2"/>
  <c r="BT90" i="2"/>
  <c r="BC90" i="2"/>
  <c r="BF90" i="2" s="1"/>
  <c r="AH91" i="2"/>
  <c r="AG91" i="2"/>
  <c r="AU92" i="2"/>
  <c r="BB92" i="2" s="1"/>
  <c r="BH95" i="2"/>
  <c r="BC97" i="2"/>
  <c r="BF97" i="2" s="1"/>
  <c r="BC99" i="2"/>
  <c r="BF99" i="2" s="1"/>
  <c r="AK101" i="2"/>
  <c r="BS102" i="2"/>
  <c r="BB102" i="2"/>
  <c r="AH104" i="2"/>
  <c r="AG104" i="2"/>
  <c r="AM104" i="2"/>
  <c r="BG104" i="2"/>
  <c r="BS105" i="2"/>
  <c r="BS111" i="2"/>
  <c r="BB111" i="2"/>
  <c r="BE111" i="2" s="1"/>
  <c r="AI112" i="2"/>
  <c r="T112" i="2"/>
  <c r="BL114" i="2"/>
  <c r="BU114" i="2"/>
  <c r="L115" i="2"/>
  <c r="K115" i="2"/>
  <c r="BT115" i="2"/>
  <c r="BC115" i="2"/>
  <c r="BF115" i="2" s="1"/>
  <c r="BS117" i="2"/>
  <c r="BU120" i="2"/>
  <c r="BH120" i="2"/>
  <c r="AU122" i="2"/>
  <c r="BD122" i="2"/>
  <c r="BB127" i="2"/>
  <c r="BE127" i="2" s="1"/>
  <c r="BU128" i="2"/>
  <c r="BD128" i="2"/>
  <c r="BG128" i="2" s="1"/>
  <c r="BS129" i="2"/>
  <c r="E130" i="2"/>
  <c r="D130" i="2"/>
  <c r="C130" i="2"/>
  <c r="AH131" i="2"/>
  <c r="AG131" i="2"/>
  <c r="AM131" i="2"/>
  <c r="AK132" i="2"/>
  <c r="BF132" i="2" s="1"/>
  <c r="BF135" i="2"/>
  <c r="E138" i="2"/>
  <c r="D138" i="2"/>
  <c r="C138" i="2"/>
  <c r="AD142" i="2"/>
  <c r="AI150" i="2"/>
  <c r="T150" i="2"/>
  <c r="AD158" i="2"/>
  <c r="AD160" i="2"/>
  <c r="BF160" i="2"/>
  <c r="L2" i="3"/>
  <c r="L100" i="3" s="1"/>
  <c r="W4" i="3"/>
  <c r="S4" i="3"/>
  <c r="AZ5" i="3"/>
  <c r="AO100" i="3"/>
  <c r="CZ155" i="3" s="1"/>
  <c r="AM5" i="3"/>
  <c r="AX5" i="3" s="1"/>
  <c r="BA5" i="3" s="1"/>
  <c r="BR6" i="3"/>
  <c r="AD7" i="3"/>
  <c r="AI7" i="3"/>
  <c r="AC7" i="3"/>
  <c r="BR7" i="3"/>
  <c r="BE7" i="3"/>
  <c r="BP7" i="3" s="1"/>
  <c r="Z10" i="3"/>
  <c r="AE27" i="3"/>
  <c r="W27" i="3"/>
  <c r="Z28" i="3"/>
  <c r="AI28" i="3"/>
  <c r="AD28" i="3"/>
  <c r="BC29" i="3"/>
  <c r="AK29" i="3"/>
  <c r="AJ29" i="3"/>
  <c r="BB30" i="3"/>
  <c r="AE31" i="3"/>
  <c r="AH33" i="3"/>
  <c r="AE34" i="3"/>
  <c r="P34" i="3"/>
  <c r="AM36" i="3"/>
  <c r="AX36" i="3" s="1"/>
  <c r="AZ39" i="3"/>
  <c r="AM39" i="3"/>
  <c r="AZ40" i="3"/>
  <c r="AM40" i="3"/>
  <c r="AZ41" i="3"/>
  <c r="AM41" i="3"/>
  <c r="K84" i="2"/>
  <c r="AQ87" i="2"/>
  <c r="D88" i="2"/>
  <c r="C88" i="2"/>
  <c r="K89" i="2"/>
  <c r="BU90" i="2"/>
  <c r="BD90" i="2"/>
  <c r="BF91" i="2"/>
  <c r="T92" i="2"/>
  <c r="S92" i="2"/>
  <c r="BG92" i="2"/>
  <c r="P94" i="2"/>
  <c r="AL94" i="2" s="1"/>
  <c r="AM94" i="2"/>
  <c r="I95" i="2"/>
  <c r="H95" i="2"/>
  <c r="AM97" i="2"/>
  <c r="AD97" i="2"/>
  <c r="AM99" i="2"/>
  <c r="AD99" i="2"/>
  <c r="BU100" i="2"/>
  <c r="BD100" i="2"/>
  <c r="AU102" i="2"/>
  <c r="BD102" i="2"/>
  <c r="L103" i="2"/>
  <c r="BS103" i="2"/>
  <c r="BP104" i="2"/>
  <c r="E106" i="2"/>
  <c r="D106" i="2"/>
  <c r="AI108" i="2"/>
  <c r="T108" i="2"/>
  <c r="AO108" i="2"/>
  <c r="AN108" i="2"/>
  <c r="W110" i="2"/>
  <c r="Z110" i="2"/>
  <c r="BT111" i="2"/>
  <c r="BC111" i="2"/>
  <c r="BF111" i="2" s="1"/>
  <c r="E114" i="2"/>
  <c r="D114" i="2"/>
  <c r="C114" i="2"/>
  <c r="AI115" i="2"/>
  <c r="BU115" i="2"/>
  <c r="BD115" i="2"/>
  <c r="K118" i="2"/>
  <c r="AN124" i="2"/>
  <c r="AU126" i="2"/>
  <c r="BD126" i="2"/>
  <c r="BT127" i="2"/>
  <c r="BC127" i="2"/>
  <c r="BF127" i="2" s="1"/>
  <c r="AH129" i="2"/>
  <c r="AD129" i="2"/>
  <c r="AM129" i="2"/>
  <c r="BG129" i="2"/>
  <c r="AK130" i="2"/>
  <c r="T132" i="2"/>
  <c r="S132" i="2"/>
  <c r="AU137" i="2"/>
  <c r="BD137" i="2"/>
  <c r="E141" i="2"/>
  <c r="D141" i="2"/>
  <c r="T141" i="2"/>
  <c r="S141" i="2"/>
  <c r="I142" i="2"/>
  <c r="H142" i="2"/>
  <c r="BF142" i="2"/>
  <c r="BT149" i="2"/>
  <c r="BC149" i="2"/>
  <c r="BF149" i="2" s="1"/>
  <c r="AS151" i="2"/>
  <c r="CY180" i="2" s="1"/>
  <c r="BY151" i="2"/>
  <c r="DE180" i="2" s="1"/>
  <c r="E159" i="2"/>
  <c r="D159" i="2"/>
  <c r="T159" i="2"/>
  <c r="S159" i="2"/>
  <c r="BH162" i="2"/>
  <c r="BD162" i="2"/>
  <c r="BG162" i="2" s="1"/>
  <c r="BU162" i="2"/>
  <c r="U597" i="15"/>
  <c r="U602" i="15"/>
  <c r="U594" i="15"/>
  <c r="U587" i="15"/>
  <c r="U579" i="15"/>
  <c r="U571" i="15"/>
  <c r="U562" i="15"/>
  <c r="U554" i="15"/>
  <c r="U546" i="15"/>
  <c r="U538" i="15"/>
  <c r="U530" i="15"/>
  <c r="U522" i="15"/>
  <c r="U514" i="15"/>
  <c r="U506" i="15"/>
  <c r="U601" i="15"/>
  <c r="U598" i="15"/>
  <c r="U595" i="15"/>
  <c r="U583" i="15"/>
  <c r="U570" i="15"/>
  <c r="U561" i="15"/>
  <c r="U560" i="15"/>
  <c r="U559" i="15"/>
  <c r="U558" i="15"/>
  <c r="U557" i="15"/>
  <c r="U556" i="15"/>
  <c r="U555" i="15"/>
  <c r="U592" i="15"/>
  <c r="U588" i="15"/>
  <c r="U575" i="15"/>
  <c r="U563" i="15"/>
  <c r="U599" i="15"/>
  <c r="U584" i="15"/>
  <c r="U580" i="15"/>
  <c r="U564" i="15"/>
  <c r="U513" i="15"/>
  <c r="U512" i="15"/>
  <c r="U511" i="15"/>
  <c r="U510" i="15"/>
  <c r="U509" i="15"/>
  <c r="U508" i="15"/>
  <c r="U507" i="15"/>
  <c r="U434" i="15"/>
  <c r="U430" i="15"/>
  <c r="U426" i="15"/>
  <c r="U422" i="15"/>
  <c r="U418" i="15"/>
  <c r="U414" i="15"/>
  <c r="U410" i="15"/>
  <c r="U603" i="15"/>
  <c r="U591" i="15"/>
  <c r="U578" i="15"/>
  <c r="U574" i="15"/>
  <c r="U569" i="15"/>
  <c r="U589" i="15"/>
  <c r="U576" i="15"/>
  <c r="U535" i="15"/>
  <c r="U531" i="15"/>
  <c r="U520" i="15"/>
  <c r="U516" i="15"/>
  <c r="U428" i="15"/>
  <c r="U581" i="15"/>
  <c r="U566" i="15"/>
  <c r="U549" i="15"/>
  <c r="U543" i="15"/>
  <c r="U539" i="15"/>
  <c r="U528" i="15"/>
  <c r="U524" i="15"/>
  <c r="U427" i="15"/>
  <c r="U416" i="15"/>
  <c r="U408" i="15"/>
  <c r="U404" i="15"/>
  <c r="U400" i="15"/>
  <c r="U396" i="15"/>
  <c r="U392" i="15"/>
  <c r="U388" i="15"/>
  <c r="U384" i="15"/>
  <c r="U380" i="15"/>
  <c r="U376" i="15"/>
  <c r="U372" i="15"/>
  <c r="U368" i="15"/>
  <c r="U600" i="15"/>
  <c r="U590" i="15"/>
  <c r="U572" i="15"/>
  <c r="U552" i="15"/>
  <c r="U550" i="15"/>
  <c r="U548" i="15"/>
  <c r="U533" i="15"/>
  <c r="U515" i="15"/>
  <c r="U431" i="15"/>
  <c r="U402" i="15"/>
  <c r="U593" i="15"/>
  <c r="U586" i="15"/>
  <c r="U542" i="15"/>
  <c r="U540" i="15"/>
  <c r="U529" i="15"/>
  <c r="U432" i="15"/>
  <c r="U401" i="15"/>
  <c r="U390" i="15"/>
  <c r="U379" i="15"/>
  <c r="U369" i="15"/>
  <c r="U364" i="15"/>
  <c r="U360" i="15"/>
  <c r="U356" i="15"/>
  <c r="U352" i="15"/>
  <c r="U348" i="15"/>
  <c r="U344" i="15"/>
  <c r="U340" i="15"/>
  <c r="U565" i="15"/>
  <c r="U536" i="15"/>
  <c r="U518" i="15"/>
  <c r="U433" i="15"/>
  <c r="U399" i="15"/>
  <c r="U389" i="15"/>
  <c r="U378" i="15"/>
  <c r="U544" i="15"/>
  <c r="U526" i="15"/>
  <c r="U425" i="15"/>
  <c r="U424" i="15"/>
  <c r="U423" i="15"/>
  <c r="U582" i="15"/>
  <c r="U568" i="15"/>
  <c r="U545" i="15"/>
  <c r="U527" i="15"/>
  <c r="U413" i="15"/>
  <c r="U411" i="15"/>
  <c r="U391" i="15"/>
  <c r="U386" i="15"/>
  <c r="U375" i="15"/>
  <c r="U349" i="15"/>
  <c r="U339" i="15"/>
  <c r="U267" i="15"/>
  <c r="U259" i="15"/>
  <c r="U251" i="15"/>
  <c r="U243" i="15"/>
  <c r="U235" i="15"/>
  <c r="U227" i="15"/>
  <c r="U596" i="15"/>
  <c r="U534" i="15"/>
  <c r="U415" i="15"/>
  <c r="U405" i="15"/>
  <c r="U387" i="15"/>
  <c r="U359" i="15"/>
  <c r="U358" i="15"/>
  <c r="U347" i="15"/>
  <c r="U272" i="15"/>
  <c r="U264" i="15"/>
  <c r="U256" i="15"/>
  <c r="U248" i="15"/>
  <c r="U553" i="15"/>
  <c r="U541" i="15"/>
  <c r="U523" i="15"/>
  <c r="U435" i="15"/>
  <c r="U417" i="15"/>
  <c r="U409" i="15"/>
  <c r="U381" i="15"/>
  <c r="U370" i="15"/>
  <c r="U357" i="15"/>
  <c r="U346" i="15"/>
  <c r="U338" i="15"/>
  <c r="U269" i="15"/>
  <c r="U261" i="15"/>
  <c r="U253" i="15"/>
  <c r="U245" i="15"/>
  <c r="U237" i="15"/>
  <c r="U573" i="15"/>
  <c r="U567" i="15"/>
  <c r="U537" i="15"/>
  <c r="U519" i="15"/>
  <c r="U585" i="15"/>
  <c r="U532" i="15"/>
  <c r="U521" i="15"/>
  <c r="U551" i="15"/>
  <c r="U577" i="15"/>
  <c r="U517" i="15"/>
  <c r="U436" i="15"/>
  <c r="U420" i="15"/>
  <c r="U395" i="15"/>
  <c r="U385" i="15"/>
  <c r="U374" i="15"/>
  <c r="U350" i="15"/>
  <c r="U270" i="15"/>
  <c r="U262" i="15"/>
  <c r="U254" i="15"/>
  <c r="U412" i="15"/>
  <c r="U403" i="15"/>
  <c r="U397" i="15"/>
  <c r="U271" i="15"/>
  <c r="U255" i="15"/>
  <c r="U222" i="15"/>
  <c r="U214" i="15"/>
  <c r="U206" i="15"/>
  <c r="U198" i="15"/>
  <c r="U190" i="15"/>
  <c r="U182" i="15"/>
  <c r="U174" i="15"/>
  <c r="U101" i="15"/>
  <c r="U394" i="15"/>
  <c r="U367" i="15"/>
  <c r="U365" i="15"/>
  <c r="U353" i="15"/>
  <c r="U342" i="15"/>
  <c r="U268" i="15"/>
  <c r="U252" i="15"/>
  <c r="U247" i="15"/>
  <c r="U246" i="15"/>
  <c r="U233" i="15"/>
  <c r="U228" i="15"/>
  <c r="U219" i="15"/>
  <c r="U211" i="15"/>
  <c r="U203" i="15"/>
  <c r="U195" i="15"/>
  <c r="U187" i="15"/>
  <c r="U179" i="15"/>
  <c r="U429" i="15"/>
  <c r="U351" i="15"/>
  <c r="U265" i="15"/>
  <c r="U240" i="15"/>
  <c r="U239" i="15"/>
  <c r="U232" i="15"/>
  <c r="U224" i="15"/>
  <c r="U216" i="15"/>
  <c r="U208" i="15"/>
  <c r="U200" i="15"/>
  <c r="U192" i="15"/>
  <c r="U184" i="15"/>
  <c r="U176" i="15"/>
  <c r="U525" i="15"/>
  <c r="U419" i="15"/>
  <c r="U393" i="15"/>
  <c r="U371" i="15"/>
  <c r="U383" i="15"/>
  <c r="U547" i="15"/>
  <c r="U407" i="15"/>
  <c r="U398" i="15"/>
  <c r="U373" i="15"/>
  <c r="U341" i="15"/>
  <c r="U273" i="15"/>
  <c r="U257" i="15"/>
  <c r="U244" i="15"/>
  <c r="U230" i="15"/>
  <c r="U220" i="15"/>
  <c r="U212" i="15"/>
  <c r="U204" i="15"/>
  <c r="U196" i="15"/>
  <c r="U188" i="15"/>
  <c r="U180" i="15"/>
  <c r="U421" i="15"/>
  <c r="U406" i="15"/>
  <c r="U382" i="15"/>
  <c r="U377" i="15"/>
  <c r="U258" i="15"/>
  <c r="U225" i="15"/>
  <c r="U209" i="15"/>
  <c r="U193" i="15"/>
  <c r="U177" i="15"/>
  <c r="U173" i="15"/>
  <c r="U102" i="15"/>
  <c r="U96" i="15"/>
  <c r="U87" i="15"/>
  <c r="U79" i="15"/>
  <c r="U71" i="15"/>
  <c r="U63" i="15"/>
  <c r="U55" i="15"/>
  <c r="U47" i="15"/>
  <c r="U39" i="15"/>
  <c r="U31" i="15"/>
  <c r="U23" i="15"/>
  <c r="U15" i="15"/>
  <c r="U7" i="15"/>
  <c r="U361" i="15"/>
  <c r="U345" i="15"/>
  <c r="U266" i="15"/>
  <c r="U242" i="15"/>
  <c r="U238" i="15"/>
  <c r="U213" i="15"/>
  <c r="U197" i="15"/>
  <c r="U181" i="15"/>
  <c r="U100" i="15"/>
  <c r="U95" i="15"/>
  <c r="U92" i="15"/>
  <c r="U84" i="15"/>
  <c r="U76" i="15"/>
  <c r="U68" i="15"/>
  <c r="U60" i="15"/>
  <c r="U52" i="15"/>
  <c r="U44" i="15"/>
  <c r="U36" i="15"/>
  <c r="U28" i="15"/>
  <c r="U20" i="15"/>
  <c r="U12" i="15"/>
  <c r="U4" i="15"/>
  <c r="U366" i="15"/>
  <c r="U263" i="15"/>
  <c r="U249" i="15"/>
  <c r="U236" i="15"/>
  <c r="U231" i="15"/>
  <c r="U226" i="15"/>
  <c r="U210" i="15"/>
  <c r="U194" i="15"/>
  <c r="U178" i="15"/>
  <c r="U89" i="15"/>
  <c r="U81" i="15"/>
  <c r="U73" i="15"/>
  <c r="U65" i="15"/>
  <c r="U57" i="15"/>
  <c r="U49" i="15"/>
  <c r="U41" i="15"/>
  <c r="U33" i="15"/>
  <c r="U25" i="15"/>
  <c r="U17" i="15"/>
  <c r="U9" i="15"/>
  <c r="U260" i="15"/>
  <c r="U223" i="15"/>
  <c r="U207" i="15"/>
  <c r="U191" i="15"/>
  <c r="U175" i="15"/>
  <c r="U99" i="15"/>
  <c r="U94" i="15"/>
  <c r="U86" i="15"/>
  <c r="U78" i="15"/>
  <c r="U70" i="15"/>
  <c r="U62" i="15"/>
  <c r="U54" i="15"/>
  <c r="U355" i="15"/>
  <c r="U274" i="15"/>
  <c r="U234" i="15"/>
  <c r="U229" i="15"/>
  <c r="U217" i="15"/>
  <c r="U201" i="15"/>
  <c r="U185" i="15"/>
  <c r="U98" i="15"/>
  <c r="U91" i="15"/>
  <c r="U83" i="15"/>
  <c r="U75" i="15"/>
  <c r="U67" i="15"/>
  <c r="U59" i="15"/>
  <c r="U51" i="15"/>
  <c r="U241" i="15"/>
  <c r="U221" i="15"/>
  <c r="U205" i="15"/>
  <c r="U189" i="15"/>
  <c r="U88" i="15"/>
  <c r="U80" i="15"/>
  <c r="U72" i="15"/>
  <c r="U64" i="15"/>
  <c r="U56" i="15"/>
  <c r="U48" i="15"/>
  <c r="U363" i="15"/>
  <c r="U354" i="15"/>
  <c r="U343" i="15"/>
  <c r="U250" i="15"/>
  <c r="U218" i="15"/>
  <c r="U202" i="15"/>
  <c r="U186" i="15"/>
  <c r="U97" i="15"/>
  <c r="U93" i="15"/>
  <c r="U85" i="15"/>
  <c r="U77" i="15"/>
  <c r="U69" i="15"/>
  <c r="U61" i="15"/>
  <c r="U53" i="15"/>
  <c r="U362" i="15"/>
  <c r="U215" i="15"/>
  <c r="U199" i="15"/>
  <c r="U183" i="15"/>
  <c r="U103" i="15"/>
  <c r="U90" i="15"/>
  <c r="U82" i="15"/>
  <c r="U74" i="15"/>
  <c r="U66" i="15"/>
  <c r="U58" i="15"/>
  <c r="U50" i="15"/>
  <c r="U42" i="15"/>
  <c r="U34" i="15"/>
  <c r="U26" i="15"/>
  <c r="U18" i="15"/>
  <c r="U10" i="15"/>
  <c r="U2" i="15"/>
  <c r="U37" i="15"/>
  <c r="U21" i="15"/>
  <c r="U5" i="15"/>
  <c r="U38" i="15"/>
  <c r="U22" i="15"/>
  <c r="U6" i="15"/>
  <c r="U35" i="15"/>
  <c r="U19" i="15"/>
  <c r="U3" i="15"/>
  <c r="U32" i="15"/>
  <c r="U16" i="15"/>
  <c r="U45" i="15"/>
  <c r="U29" i="15"/>
  <c r="U13" i="15"/>
  <c r="U30" i="15"/>
  <c r="U14" i="15"/>
  <c r="U46" i="15"/>
  <c r="U43" i="15"/>
  <c r="U27" i="15"/>
  <c r="U11" i="15"/>
  <c r="U40" i="15"/>
  <c r="U24" i="15"/>
  <c r="U8" i="15"/>
  <c r="BI6" i="3"/>
  <c r="BP6" i="3" s="1"/>
  <c r="AZ7" i="3"/>
  <c r="AQ7" i="3"/>
  <c r="AX7" i="3" s="1"/>
  <c r="W9" i="3"/>
  <c r="V9" i="3"/>
  <c r="BR10" i="3"/>
  <c r="BE10" i="3"/>
  <c r="BP10" i="3" s="1"/>
  <c r="S11" i="3"/>
  <c r="W11" i="3"/>
  <c r="BR14" i="3"/>
  <c r="BE14" i="3"/>
  <c r="BP14" i="3" s="1"/>
  <c r="BB15" i="3"/>
  <c r="AQ25" i="3"/>
  <c r="AZ25" i="3"/>
  <c r="AE29" i="3"/>
  <c r="O29" i="3"/>
  <c r="P29" i="3"/>
  <c r="AD30" i="3"/>
  <c r="AC30" i="3"/>
  <c r="Z30" i="3"/>
  <c r="AI30" i="3"/>
  <c r="AC31" i="3"/>
  <c r="AD31" i="3"/>
  <c r="Z33" i="3"/>
  <c r="AI33" i="3"/>
  <c r="AD33" i="3"/>
  <c r="BA34" i="3"/>
  <c r="H37" i="3"/>
  <c r="G37" i="3"/>
  <c r="BQ39" i="3"/>
  <c r="BE39" i="3"/>
  <c r="BQ40" i="3"/>
  <c r="BE40" i="3"/>
  <c r="BP40" i="3" s="1"/>
  <c r="BQ41" i="3"/>
  <c r="BE41" i="3"/>
  <c r="BP41" i="3" s="1"/>
  <c r="BC43" i="3"/>
  <c r="AK43" i="3"/>
  <c r="AJ43" i="3"/>
  <c r="AG43" i="3"/>
  <c r="BP45" i="3"/>
  <c r="AG79" i="2"/>
  <c r="S80" i="2"/>
  <c r="AM82" i="2"/>
  <c r="AU82" i="2"/>
  <c r="T83" i="2"/>
  <c r="C84" i="2"/>
  <c r="AN84" i="2"/>
  <c r="BD84" i="2"/>
  <c r="BG84" i="2" s="1"/>
  <c r="BL84" i="2"/>
  <c r="BS84" i="2" s="1"/>
  <c r="S85" i="2"/>
  <c r="BT85" i="2"/>
  <c r="K86" i="2"/>
  <c r="AA87" i="2"/>
  <c r="Z87" i="2"/>
  <c r="BF87" i="2"/>
  <c r="E88" i="2"/>
  <c r="Z88" i="2"/>
  <c r="BU88" i="2"/>
  <c r="E89" i="2"/>
  <c r="D89" i="2"/>
  <c r="W89" i="2"/>
  <c r="AI89" i="2"/>
  <c r="C90" i="2"/>
  <c r="BG91" i="2"/>
  <c r="BW91" i="2"/>
  <c r="H92" i="2"/>
  <c r="AK92" i="2"/>
  <c r="BB93" i="2"/>
  <c r="BE93" i="2" s="1"/>
  <c r="S94" i="2"/>
  <c r="G95" i="2"/>
  <c r="AN95" i="2"/>
  <c r="AH96" i="2"/>
  <c r="BS96" i="2"/>
  <c r="AG97" i="2"/>
  <c r="K98" i="2"/>
  <c r="AG98" i="2"/>
  <c r="BS98" i="2"/>
  <c r="AG99" i="2"/>
  <c r="K100" i="2"/>
  <c r="G102" i="2"/>
  <c r="AK104" i="2"/>
  <c r="BF104" i="2" s="1"/>
  <c r="BT104" i="2"/>
  <c r="BL105" i="2"/>
  <c r="C106" i="2"/>
  <c r="BL106" i="2"/>
  <c r="BS106" i="2" s="1"/>
  <c r="BU106" i="2"/>
  <c r="AO109" i="2"/>
  <c r="K110" i="2"/>
  <c r="AA110" i="2"/>
  <c r="BU111" i="2"/>
  <c r="BD111" i="2"/>
  <c r="BF112" i="2"/>
  <c r="E118" i="2"/>
  <c r="D118" i="2"/>
  <c r="T118" i="2"/>
  <c r="S118" i="2"/>
  <c r="BT119" i="2"/>
  <c r="BC119" i="2"/>
  <c r="BF119" i="2" s="1"/>
  <c r="AO120" i="2"/>
  <c r="AN120" i="2"/>
  <c r="BG121" i="2"/>
  <c r="BU123" i="2"/>
  <c r="BD123" i="2"/>
  <c r="BH123" i="2"/>
  <c r="AG129" i="2"/>
  <c r="AD130" i="2"/>
  <c r="AM130" i="2"/>
  <c r="AH130" i="2"/>
  <c r="AG130" i="2"/>
  <c r="L131" i="2"/>
  <c r="K131" i="2"/>
  <c r="K134" i="2"/>
  <c r="BF136" i="2"/>
  <c r="C141" i="2"/>
  <c r="G142" i="2"/>
  <c r="AH142" i="2"/>
  <c r="AG142" i="2"/>
  <c r="AM142" i="2"/>
  <c r="AA144" i="2"/>
  <c r="Z144" i="2"/>
  <c r="BU149" i="2"/>
  <c r="BD149" i="2"/>
  <c r="BF150" i="2"/>
  <c r="H158" i="2"/>
  <c r="C159" i="2"/>
  <c r="AL100" i="3"/>
  <c r="Z3" i="3"/>
  <c r="Z100" i="3" s="1"/>
  <c r="AD3" i="3"/>
  <c r="AC3" i="3"/>
  <c r="D7" i="3"/>
  <c r="AD10" i="3"/>
  <c r="AC10" i="3"/>
  <c r="AI10" i="3"/>
  <c r="V11" i="3"/>
  <c r="BE11" i="3"/>
  <c r="AI16" i="3"/>
  <c r="BE17" i="3"/>
  <c r="BP17" i="3" s="1"/>
  <c r="O18" i="3"/>
  <c r="AM18" i="3"/>
  <c r="AX18" i="3" s="1"/>
  <c r="BE19" i="3"/>
  <c r="BP19" i="3" s="1"/>
  <c r="O20" i="3"/>
  <c r="AM20" i="3"/>
  <c r="AX20" i="3" s="1"/>
  <c r="BE21" i="3"/>
  <c r="O22" i="3"/>
  <c r="AM22" i="3"/>
  <c r="AX22" i="3" s="1"/>
  <c r="BE23" i="3"/>
  <c r="BP23" i="3" s="1"/>
  <c r="O24" i="3"/>
  <c r="AM24" i="3"/>
  <c r="BB26" i="3"/>
  <c r="E28" i="3"/>
  <c r="D28" i="3"/>
  <c r="C28" i="3"/>
  <c r="AX29" i="3"/>
  <c r="P33" i="3"/>
  <c r="O33" i="3"/>
  <c r="L33" i="3"/>
  <c r="AC33" i="3"/>
  <c r="BB33" i="3"/>
  <c r="BB34" i="3"/>
  <c r="BT34" i="3"/>
  <c r="BI36" i="3"/>
  <c r="BR36" i="3"/>
  <c r="AM37" i="3"/>
  <c r="AX37" i="3" s="1"/>
  <c r="BB49" i="3"/>
  <c r="BB58" i="3"/>
  <c r="AX63" i="3"/>
  <c r="AE65" i="3"/>
  <c r="O65" i="3"/>
  <c r="P65" i="3"/>
  <c r="AP151" i="2"/>
  <c r="AG38" i="2"/>
  <c r="AN74" i="2"/>
  <c r="Z75" i="2"/>
  <c r="BB77" i="2"/>
  <c r="BE77" i="2" s="1"/>
  <c r="G82" i="2"/>
  <c r="AM83" i="2"/>
  <c r="BG83" i="2" s="1"/>
  <c r="E84" i="2"/>
  <c r="BU84" i="2"/>
  <c r="T85" i="2"/>
  <c r="BD85" i="2"/>
  <c r="BG85" i="2" s="1"/>
  <c r="BU85" i="2"/>
  <c r="AO86" i="2"/>
  <c r="AN86" i="2"/>
  <c r="BD87" i="2"/>
  <c r="AM88" i="2"/>
  <c r="D90" i="2"/>
  <c r="AA91" i="2"/>
  <c r="BC93" i="2"/>
  <c r="T94" i="2"/>
  <c r="AI96" i="2"/>
  <c r="AA96" i="2"/>
  <c r="AH97" i="2"/>
  <c r="AH99" i="2"/>
  <c r="H102" i="2"/>
  <c r="W102" i="2"/>
  <c r="AA102" i="2"/>
  <c r="BU103" i="2"/>
  <c r="BD103" i="2"/>
  <c r="AA104" i="2"/>
  <c r="T105" i="2"/>
  <c r="S105" i="2"/>
  <c r="S106" i="2"/>
  <c r="AA109" i="2"/>
  <c r="Z109" i="2"/>
  <c r="W109" i="2"/>
  <c r="BB109" i="2"/>
  <c r="BD112" i="2"/>
  <c r="BS114" i="2"/>
  <c r="BU119" i="2"/>
  <c r="BD119" i="2"/>
  <c r="BH119" i="2"/>
  <c r="AI120" i="2"/>
  <c r="T120" i="2"/>
  <c r="AU132" i="2"/>
  <c r="BB132" i="2" s="1"/>
  <c r="BE132" i="2" s="1"/>
  <c r="BD132" i="2"/>
  <c r="BB134" i="2"/>
  <c r="BE134" i="2" s="1"/>
  <c r="BU135" i="2"/>
  <c r="BD135" i="2"/>
  <c r="BG135" i="2" s="1"/>
  <c r="AA138" i="2"/>
  <c r="Z138" i="2"/>
  <c r="BS139" i="2"/>
  <c r="T143" i="2"/>
  <c r="S143" i="2"/>
  <c r="BG150" i="2"/>
  <c r="BH158" i="2"/>
  <c r="BD158" i="2"/>
  <c r="BG158" i="2" s="1"/>
  <c r="BU158" i="2"/>
  <c r="AA100" i="3"/>
  <c r="AH2" i="3"/>
  <c r="BJ100" i="3"/>
  <c r="DD302" i="3" s="1"/>
  <c r="BI3" i="3"/>
  <c r="BI100" i="3" s="1"/>
  <c r="BQ3" i="3"/>
  <c r="AE10" i="3"/>
  <c r="W10" i="3"/>
  <c r="BB13" i="3"/>
  <c r="AE14" i="3"/>
  <c r="O14" i="3"/>
  <c r="AX25" i="3"/>
  <c r="AD26" i="3"/>
  <c r="AC26" i="3"/>
  <c r="Z26" i="3"/>
  <c r="AI26" i="3"/>
  <c r="AX32" i="3"/>
  <c r="BB37" i="3"/>
  <c r="AE43" i="3"/>
  <c r="P43" i="3"/>
  <c r="BA43" i="3"/>
  <c r="H44" i="3"/>
  <c r="G44" i="3"/>
  <c r="AC44" i="3"/>
  <c r="AD44" i="3"/>
  <c r="AX44" i="3"/>
  <c r="BR50" i="3"/>
  <c r="BI50" i="3"/>
  <c r="AQ53" i="3"/>
  <c r="AZ53" i="3"/>
  <c r="AX60" i="3"/>
  <c r="BA60" i="3" s="1"/>
  <c r="BA62" i="3"/>
  <c r="P151" i="2"/>
  <c r="AX151" i="2"/>
  <c r="BN151" i="2"/>
  <c r="DC180" i="2" s="1"/>
  <c r="BV151" i="2"/>
  <c r="AG31" i="2"/>
  <c r="Z45" i="2"/>
  <c r="AN47" i="2"/>
  <c r="AG49" i="2"/>
  <c r="G61" i="2"/>
  <c r="AN61" i="2"/>
  <c r="G65" i="2"/>
  <c r="Z71" i="2"/>
  <c r="C72" i="2"/>
  <c r="K72" i="2"/>
  <c r="G74" i="2"/>
  <c r="AN78" i="2"/>
  <c r="AH79" i="2"/>
  <c r="C80" i="2"/>
  <c r="K80" i="2"/>
  <c r="T80" i="2"/>
  <c r="BB81" i="2"/>
  <c r="BE81" i="2" s="1"/>
  <c r="G2" i="2"/>
  <c r="Q151" i="2"/>
  <c r="Z2" i="2"/>
  <c r="AI151" i="2"/>
  <c r="BO151" i="2"/>
  <c r="AG4" i="2"/>
  <c r="S5" i="2"/>
  <c r="C8" i="2"/>
  <c r="K8" i="2"/>
  <c r="AG12" i="2"/>
  <c r="C13" i="2"/>
  <c r="K13" i="2"/>
  <c r="AD13" i="2"/>
  <c r="G14" i="2"/>
  <c r="AN14" i="2"/>
  <c r="S15" i="2"/>
  <c r="AG17" i="2"/>
  <c r="AD18" i="2"/>
  <c r="AL18" i="2" s="1"/>
  <c r="G19" i="2"/>
  <c r="Z19" i="2"/>
  <c r="AD20" i="2"/>
  <c r="AL20" i="2" s="1"/>
  <c r="G21" i="2"/>
  <c r="Z21" i="2"/>
  <c r="S23" i="2"/>
  <c r="C25" i="2"/>
  <c r="K25" i="2"/>
  <c r="AG27" i="2"/>
  <c r="AO27" i="2"/>
  <c r="T28" i="2"/>
  <c r="AD28" i="2"/>
  <c r="AL28" i="2" s="1"/>
  <c r="BB28" i="2"/>
  <c r="G29" i="2"/>
  <c r="AN30" i="2"/>
  <c r="BD30" i="2"/>
  <c r="BG30" i="2" s="1"/>
  <c r="Z31" i="2"/>
  <c r="C32" i="2"/>
  <c r="K32" i="2"/>
  <c r="BC32" i="2"/>
  <c r="BF32" i="2" s="1"/>
  <c r="H33" i="2"/>
  <c r="AG33" i="2"/>
  <c r="AO33" i="2"/>
  <c r="S34" i="2"/>
  <c r="AG35" i="2"/>
  <c r="AO35" i="2"/>
  <c r="S36" i="2"/>
  <c r="AA36" i="2"/>
  <c r="D37" i="2"/>
  <c r="L37" i="2"/>
  <c r="BD37" i="2"/>
  <c r="BG37" i="2" s="1"/>
  <c r="Z38" i="2"/>
  <c r="C39" i="2"/>
  <c r="K39" i="2"/>
  <c r="BC39" i="2"/>
  <c r="BF39" i="2" s="1"/>
  <c r="H40" i="2"/>
  <c r="AG40" i="2"/>
  <c r="AO40" i="2"/>
  <c r="S41" i="2"/>
  <c r="AA41" i="2"/>
  <c r="D42" i="2"/>
  <c r="L42" i="2"/>
  <c r="AD42" i="2"/>
  <c r="BB42" i="2"/>
  <c r="G43" i="2"/>
  <c r="AN43" i="2"/>
  <c r="BD43" i="2"/>
  <c r="BG43" i="2" s="1"/>
  <c r="S44" i="2"/>
  <c r="BC44" i="2"/>
  <c r="BF44" i="2" s="1"/>
  <c r="H45" i="2"/>
  <c r="AD46" i="2"/>
  <c r="BB46" i="2"/>
  <c r="BE46" i="2" s="1"/>
  <c r="G47" i="2"/>
  <c r="AG47" i="2"/>
  <c r="T48" i="2"/>
  <c r="C50" i="2"/>
  <c r="K50" i="2"/>
  <c r="T50" i="2"/>
  <c r="AN51" i="2"/>
  <c r="BD51" i="2"/>
  <c r="BG51" i="2" s="1"/>
  <c r="S52" i="2"/>
  <c r="AA52" i="2"/>
  <c r="AD53" i="2"/>
  <c r="BB53" i="2"/>
  <c r="G54" i="2"/>
  <c r="AN54" i="2"/>
  <c r="BD54" i="2"/>
  <c r="BG54" i="2" s="1"/>
  <c r="Z55" i="2"/>
  <c r="AH55" i="2"/>
  <c r="C56" i="2"/>
  <c r="K56" i="2"/>
  <c r="T56" i="2"/>
  <c r="AD57" i="2"/>
  <c r="BB57" i="2"/>
  <c r="G58" i="2"/>
  <c r="Z58" i="2"/>
  <c r="D59" i="2"/>
  <c r="L59" i="2"/>
  <c r="AM60" i="2"/>
  <c r="BC60" i="2"/>
  <c r="BF60" i="2" s="1"/>
  <c r="H61" i="2"/>
  <c r="AG61" i="2"/>
  <c r="T62" i="2"/>
  <c r="D63" i="2"/>
  <c r="L63" i="2"/>
  <c r="AM64" i="2"/>
  <c r="BC64" i="2"/>
  <c r="BF64" i="2" s="1"/>
  <c r="H65" i="2"/>
  <c r="AG65" i="2"/>
  <c r="AO65" i="2"/>
  <c r="S66" i="2"/>
  <c r="AA66" i="2"/>
  <c r="D67" i="2"/>
  <c r="L67" i="2"/>
  <c r="BD67" i="2"/>
  <c r="BG67" i="2" s="1"/>
  <c r="S68" i="2"/>
  <c r="AM69" i="2"/>
  <c r="BC69" i="2"/>
  <c r="BF69" i="2" s="1"/>
  <c r="H70" i="2"/>
  <c r="AG70" i="2"/>
  <c r="AO70" i="2"/>
  <c r="S71" i="2"/>
  <c r="D72" i="2"/>
  <c r="AM73" i="2"/>
  <c r="BC73" i="2"/>
  <c r="BF73" i="2" s="1"/>
  <c r="H74" i="2"/>
  <c r="AG74" i="2"/>
  <c r="S75" i="2"/>
  <c r="D76" i="2"/>
  <c r="L76" i="2"/>
  <c r="BC77" i="2"/>
  <c r="BF77" i="2" s="1"/>
  <c r="H78" i="2"/>
  <c r="AG78" i="2"/>
  <c r="BU78" i="2"/>
  <c r="S79" i="2"/>
  <c r="AA79" i="2"/>
  <c r="D80" i="2"/>
  <c r="BC81" i="2"/>
  <c r="BF81" i="2" s="1"/>
  <c r="H82" i="2"/>
  <c r="AG82" i="2"/>
  <c r="AG84" i="2"/>
  <c r="C85" i="2"/>
  <c r="K85" i="2"/>
  <c r="C86" i="2"/>
  <c r="H87" i="2"/>
  <c r="S87" i="2"/>
  <c r="AM87" i="2"/>
  <c r="G88" i="2"/>
  <c r="T88" i="2"/>
  <c r="S88" i="2"/>
  <c r="BD88" i="2"/>
  <c r="BG88" i="2" s="1"/>
  <c r="AA89" i="2"/>
  <c r="AU89" i="2"/>
  <c r="P90" i="2"/>
  <c r="AL90" i="2" s="1"/>
  <c r="AM90" i="2"/>
  <c r="Z90" i="2"/>
  <c r="AI90" i="2"/>
  <c r="I91" i="2"/>
  <c r="H91" i="2"/>
  <c r="AM91" i="2"/>
  <c r="AG92" i="2"/>
  <c r="AM93" i="2"/>
  <c r="AD93" i="2"/>
  <c r="AY95" i="2"/>
  <c r="BT95" i="2"/>
  <c r="Z96" i="2"/>
  <c r="BU96" i="2"/>
  <c r="E97" i="2"/>
  <c r="D97" i="2"/>
  <c r="W97" i="2"/>
  <c r="AL97" i="2" s="1"/>
  <c r="C98" i="2"/>
  <c r="BU98" i="2"/>
  <c r="E99" i="2"/>
  <c r="D99" i="2"/>
  <c r="W99" i="2"/>
  <c r="C100" i="2"/>
  <c r="I101" i="2"/>
  <c r="H101" i="2"/>
  <c r="Z102" i="2"/>
  <c r="D103" i="2"/>
  <c r="G105" i="2"/>
  <c r="AD105" i="2"/>
  <c r="AM105" i="2"/>
  <c r="AG105" i="2"/>
  <c r="T106" i="2"/>
  <c r="AN106" i="2"/>
  <c r="AI107" i="2"/>
  <c r="S108" i="2"/>
  <c r="BC108" i="2"/>
  <c r="BF108" i="2" s="1"/>
  <c r="E111" i="2"/>
  <c r="AA111" i="2"/>
  <c r="AH112" i="2"/>
  <c r="AG112" i="2"/>
  <c r="AD112" i="2"/>
  <c r="AL112" i="2" s="1"/>
  <c r="AM112" i="2"/>
  <c r="AI114" i="2"/>
  <c r="AU114" i="2"/>
  <c r="BB114" i="2" s="1"/>
  <c r="BE114" i="2" s="1"/>
  <c r="BD114" i="2"/>
  <c r="BC116" i="2"/>
  <c r="BF116" i="2" s="1"/>
  <c r="AI119" i="2"/>
  <c r="AA122" i="2"/>
  <c r="I124" i="2"/>
  <c r="H124" i="2"/>
  <c r="G124" i="2"/>
  <c r="AM125" i="2"/>
  <c r="BG125" i="2" s="1"/>
  <c r="K127" i="2"/>
  <c r="BF130" i="2"/>
  <c r="AI133" i="2"/>
  <c r="BT134" i="2"/>
  <c r="BC134" i="2"/>
  <c r="BF134" i="2" s="1"/>
  <c r="Z135" i="2"/>
  <c r="AK136" i="2"/>
  <c r="BS136" i="2"/>
  <c r="BT136" i="2"/>
  <c r="E137" i="2"/>
  <c r="D137" i="2"/>
  <c r="C137" i="2"/>
  <c r="P137" i="2"/>
  <c r="AL137" i="2" s="1"/>
  <c r="BW138" i="2"/>
  <c r="I139" i="2"/>
  <c r="H139" i="2"/>
  <c r="G139" i="2"/>
  <c r="AI140" i="2"/>
  <c r="T140" i="2"/>
  <c r="G143" i="2"/>
  <c r="AD143" i="2"/>
  <c r="AL143" i="2" s="1"/>
  <c r="AM143" i="2"/>
  <c r="AH143" i="2"/>
  <c r="AG143" i="2"/>
  <c r="L144" i="2"/>
  <c r="K144" i="2"/>
  <c r="BL144" i="2"/>
  <c r="BU144" i="2"/>
  <c r="AI145" i="2"/>
  <c r="AD147" i="2"/>
  <c r="AM147" i="2"/>
  <c r="AH147" i="2"/>
  <c r="W148" i="2"/>
  <c r="AA148" i="2"/>
  <c r="Z148" i="2"/>
  <c r="AH150" i="2"/>
  <c r="AG150" i="2"/>
  <c r="AD150" i="2"/>
  <c r="AM150" i="2"/>
  <c r="BT150" i="2"/>
  <c r="BF158" i="2"/>
  <c r="AL160" i="2"/>
  <c r="AD161" i="2"/>
  <c r="AL161" i="2" s="1"/>
  <c r="AM161" i="2"/>
  <c r="AN162" i="2"/>
  <c r="D2" i="3"/>
  <c r="R100" i="3"/>
  <c r="BN100" i="3"/>
  <c r="DE302" i="3" s="1"/>
  <c r="AZ3" i="3"/>
  <c r="AQ6" i="3"/>
  <c r="AZ6" i="3"/>
  <c r="AE8" i="3"/>
  <c r="BQ8" i="3"/>
  <c r="BB9" i="3"/>
  <c r="BP12" i="3"/>
  <c r="BR12" i="3"/>
  <c r="E13" i="3"/>
  <c r="D13" i="3"/>
  <c r="Z13" i="3"/>
  <c r="AI13" i="3"/>
  <c r="AK14" i="3"/>
  <c r="AJ14" i="3"/>
  <c r="AG14" i="3"/>
  <c r="BR15" i="3"/>
  <c r="BE15" i="3"/>
  <c r="BP15" i="3" s="1"/>
  <c r="P16" i="3"/>
  <c r="AY16" i="3"/>
  <c r="BB16" i="3" s="1"/>
  <c r="AU16" i="3"/>
  <c r="AZ27" i="3"/>
  <c r="AM27" i="3"/>
  <c r="AX27" i="3" s="1"/>
  <c r="BA27" i="3" s="1"/>
  <c r="AZ28" i="3"/>
  <c r="AQ28" i="3"/>
  <c r="AX28" i="3" s="1"/>
  <c r="BM28" i="3"/>
  <c r="BR28" i="3"/>
  <c r="P32" i="3"/>
  <c r="L32" i="3"/>
  <c r="AM32" i="3"/>
  <c r="D33" i="3"/>
  <c r="BI37" i="3"/>
  <c r="BP37" i="3" s="1"/>
  <c r="BR37" i="3"/>
  <c r="H38" i="3"/>
  <c r="G38" i="3"/>
  <c r="AX38" i="3"/>
  <c r="BB43" i="3"/>
  <c r="AE46" i="3"/>
  <c r="O46" i="3"/>
  <c r="P46" i="3"/>
  <c r="BP47" i="3"/>
  <c r="S50" i="3"/>
  <c r="W50" i="3"/>
  <c r="V50" i="3"/>
  <c r="AX52" i="3"/>
  <c r="BA52" i="3" s="1"/>
  <c r="C37" i="2"/>
  <c r="G40" i="2"/>
  <c r="G45" i="2"/>
  <c r="C59" i="2"/>
  <c r="G70" i="2"/>
  <c r="G78" i="2"/>
  <c r="BD78" i="2"/>
  <c r="BG78" i="2" s="1"/>
  <c r="H2" i="2"/>
  <c r="R151" i="2"/>
  <c r="AJ151" i="2"/>
  <c r="AZ151" i="2"/>
  <c r="DA326" i="2" s="1"/>
  <c r="BP2" i="2"/>
  <c r="BP151" i="2" s="1"/>
  <c r="BD3" i="2"/>
  <c r="BG3" i="2" s="1"/>
  <c r="Z4" i="2"/>
  <c r="C5" i="2"/>
  <c r="K5" i="2"/>
  <c r="AD6" i="2"/>
  <c r="BB6" i="2"/>
  <c r="G7" i="2"/>
  <c r="Z7" i="2"/>
  <c r="D8" i="2"/>
  <c r="BC8" i="2"/>
  <c r="BF8" i="2" s="1"/>
  <c r="S9" i="2"/>
  <c r="AG10" i="2"/>
  <c r="S11" i="2"/>
  <c r="D13" i="2"/>
  <c r="BC13" i="2"/>
  <c r="BF13" i="2" s="1"/>
  <c r="H14" i="2"/>
  <c r="AD15" i="2"/>
  <c r="BB15" i="2"/>
  <c r="BE15" i="2" s="1"/>
  <c r="BD16" i="2"/>
  <c r="BG16" i="2" s="1"/>
  <c r="BC18" i="2"/>
  <c r="BF18" i="2" s="1"/>
  <c r="H19" i="2"/>
  <c r="BC20" i="2"/>
  <c r="BF20" i="2" s="1"/>
  <c r="H21" i="2"/>
  <c r="AD23" i="2"/>
  <c r="BB23" i="2"/>
  <c r="D25" i="2"/>
  <c r="BD25" i="2"/>
  <c r="BG25" i="2" s="1"/>
  <c r="BC28" i="2"/>
  <c r="BF28" i="2" s="1"/>
  <c r="H29" i="2"/>
  <c r="AD29" i="2"/>
  <c r="AL29" i="2" s="1"/>
  <c r="BB29" i="2"/>
  <c r="D32" i="2"/>
  <c r="BD32" i="2"/>
  <c r="BG32" i="2" s="1"/>
  <c r="I33" i="2"/>
  <c r="D39" i="2"/>
  <c r="BD39" i="2"/>
  <c r="BG39" i="2" s="1"/>
  <c r="E42" i="2"/>
  <c r="BC42" i="2"/>
  <c r="BF42" i="2" s="1"/>
  <c r="H43" i="2"/>
  <c r="BD44" i="2"/>
  <c r="BG44" i="2" s="1"/>
  <c r="BC46" i="2"/>
  <c r="BF46" i="2" s="1"/>
  <c r="H47" i="2"/>
  <c r="AD48" i="2"/>
  <c r="BB48" i="2"/>
  <c r="BE48" i="2" s="1"/>
  <c r="D50" i="2"/>
  <c r="AD50" i="2"/>
  <c r="BB50" i="2"/>
  <c r="BC53" i="2"/>
  <c r="BF53" i="2" s="1"/>
  <c r="H54" i="2"/>
  <c r="D56" i="2"/>
  <c r="BC57" i="2"/>
  <c r="BF57" i="2" s="1"/>
  <c r="H58" i="2"/>
  <c r="AD59" i="2"/>
  <c r="BB59" i="2"/>
  <c r="BE59" i="2" s="1"/>
  <c r="BD60" i="2"/>
  <c r="E63" i="2"/>
  <c r="AD63" i="2"/>
  <c r="BB63" i="2"/>
  <c r="BE63" i="2" s="1"/>
  <c r="BD64" i="2"/>
  <c r="BG64" i="2" s="1"/>
  <c r="E67" i="2"/>
  <c r="AD68" i="2"/>
  <c r="BB68" i="2"/>
  <c r="BE68" i="2" s="1"/>
  <c r="BD69" i="2"/>
  <c r="BG69" i="2" s="1"/>
  <c r="AD72" i="2"/>
  <c r="BB72" i="2"/>
  <c r="BD73" i="2"/>
  <c r="E76" i="2"/>
  <c r="AD76" i="2"/>
  <c r="BB76" i="2"/>
  <c r="BD77" i="2"/>
  <c r="BG77" i="2" s="1"/>
  <c r="AD80" i="2"/>
  <c r="BB80" i="2"/>
  <c r="BD81" i="2"/>
  <c r="BG81" i="2" s="1"/>
  <c r="D85" i="2"/>
  <c r="D86" i="2"/>
  <c r="AG86" i="2"/>
  <c r="H88" i="2"/>
  <c r="AK88" i="2"/>
  <c r="BF88" i="2" s="1"/>
  <c r="BS89" i="2"/>
  <c r="BB89" i="2"/>
  <c r="BE89" i="2" s="1"/>
  <c r="S90" i="2"/>
  <c r="S91" i="2"/>
  <c r="AG93" i="2"/>
  <c r="BT94" i="2"/>
  <c r="BC94" i="2"/>
  <c r="BF94" i="2" s="1"/>
  <c r="AH95" i="2"/>
  <c r="AG95" i="2"/>
  <c r="AM96" i="2"/>
  <c r="Z97" i="2"/>
  <c r="D98" i="2"/>
  <c r="AM98" i="2"/>
  <c r="Z99" i="2"/>
  <c r="D100" i="2"/>
  <c r="S101" i="2"/>
  <c r="T103" i="2"/>
  <c r="H105" i="2"/>
  <c r="BB106" i="2"/>
  <c r="AK109" i="2"/>
  <c r="BF109" i="2" s="1"/>
  <c r="P110" i="2"/>
  <c r="AL110" i="2" s="1"/>
  <c r="S110" i="2"/>
  <c r="AM110" i="2"/>
  <c r="T113" i="2"/>
  <c r="S113" i="2"/>
  <c r="P113" i="2"/>
  <c r="AL113" i="2" s="1"/>
  <c r="W114" i="2"/>
  <c r="AL114" i="2" s="1"/>
  <c r="AA114" i="2"/>
  <c r="AH116" i="2"/>
  <c r="AG116" i="2"/>
  <c r="AD116" i="2"/>
  <c r="AM116" i="2"/>
  <c r="BG116" i="2"/>
  <c r="BC120" i="2"/>
  <c r="BF120" i="2" s="1"/>
  <c r="AA121" i="2"/>
  <c r="Z121" i="2"/>
  <c r="BU121" i="2"/>
  <c r="E122" i="2"/>
  <c r="D122" i="2"/>
  <c r="AH122" i="2"/>
  <c r="AG122" i="2"/>
  <c r="BC124" i="2"/>
  <c r="AI126" i="2"/>
  <c r="BC128" i="2"/>
  <c r="BF128" i="2" s="1"/>
  <c r="AU130" i="2"/>
  <c r="BB130" i="2" s="1"/>
  <c r="BE130" i="2" s="1"/>
  <c r="BD130" i="2"/>
  <c r="BG130" i="2" s="1"/>
  <c r="AH136" i="2"/>
  <c r="AD136" i="2"/>
  <c r="AL136" i="2" s="1"/>
  <c r="AM136" i="2"/>
  <c r="BG136" i="2"/>
  <c r="AK137" i="2"/>
  <c r="BF137" i="2" s="1"/>
  <c r="AN138" i="2"/>
  <c r="AO138" i="2"/>
  <c r="BL138" i="2"/>
  <c r="BS138" i="2" s="1"/>
  <c r="BU138" i="2"/>
  <c r="BS141" i="2"/>
  <c r="H143" i="2"/>
  <c r="BD146" i="2"/>
  <c r="T147" i="2"/>
  <c r="S147" i="2"/>
  <c r="P147" i="2"/>
  <c r="AL147" i="2" s="1"/>
  <c r="AN157" i="2"/>
  <c r="AO157" i="2"/>
  <c r="AK159" i="2"/>
  <c r="BF159" i="2" s="1"/>
  <c r="AI159" i="2"/>
  <c r="AI160" i="2"/>
  <c r="S160" i="2"/>
  <c r="BB161" i="2"/>
  <c r="BS161" i="2"/>
  <c r="BF100" i="3"/>
  <c r="DC302" i="3" s="1"/>
  <c r="BQ2" i="3"/>
  <c r="BO100" i="3"/>
  <c r="DE155" i="3" s="1"/>
  <c r="BM2" i="3"/>
  <c r="AI3" i="3"/>
  <c r="BI4" i="3"/>
  <c r="BP4" i="3" s="1"/>
  <c r="BU100" i="3"/>
  <c r="DF302" i="3" s="1"/>
  <c r="S6" i="3"/>
  <c r="W6" i="3"/>
  <c r="AE7" i="3"/>
  <c r="AD9" i="3"/>
  <c r="Z9" i="3"/>
  <c r="AI9" i="3"/>
  <c r="L25" i="3"/>
  <c r="S26" i="3"/>
  <c r="Z27" i="3"/>
  <c r="BP28" i="3"/>
  <c r="W31" i="3"/>
  <c r="V31" i="3"/>
  <c r="BR31" i="3"/>
  <c r="BI32" i="3"/>
  <c r="AX33" i="3"/>
  <c r="S34" i="3"/>
  <c r="AM35" i="3"/>
  <c r="AX35" i="3" s="1"/>
  <c r="BP49" i="3"/>
  <c r="AC63" i="3"/>
  <c r="AE63" i="3"/>
  <c r="AD63" i="3"/>
  <c r="AX71" i="3"/>
  <c r="AE73" i="3"/>
  <c r="O73" i="3"/>
  <c r="P73" i="3"/>
  <c r="Y151" i="2"/>
  <c r="CW180" i="2" s="1"/>
  <c r="J602" i="15"/>
  <c r="J595" i="15"/>
  <c r="J656" i="15"/>
  <c r="J647" i="15"/>
  <c r="J638" i="15"/>
  <c r="J633" i="15"/>
  <c r="J618" i="15"/>
  <c r="J611" i="15"/>
  <c r="J593" i="15"/>
  <c r="J585" i="15"/>
  <c r="J577" i="15"/>
  <c r="J556" i="15"/>
  <c r="J548" i="15"/>
  <c r="J540" i="15"/>
  <c r="J532" i="15"/>
  <c r="J524" i="15"/>
  <c r="J516" i="15"/>
  <c r="J508" i="15"/>
  <c r="J488" i="15"/>
  <c r="J484" i="15"/>
  <c r="J480" i="15"/>
  <c r="J476" i="15"/>
  <c r="J472" i="15"/>
  <c r="J468" i="15"/>
  <c r="J452" i="15"/>
  <c r="J444" i="15"/>
  <c r="J443" i="15"/>
  <c r="J442" i="15"/>
  <c r="J441" i="15"/>
  <c r="J440" i="15"/>
  <c r="J654" i="15"/>
  <c r="J582" i="15"/>
  <c r="J578" i="15"/>
  <c r="J569" i="15"/>
  <c r="J547" i="15"/>
  <c r="J546" i="15"/>
  <c r="J545" i="15"/>
  <c r="J544" i="15"/>
  <c r="J543" i="15"/>
  <c r="J542" i="15"/>
  <c r="J541" i="15"/>
  <c r="J483" i="15"/>
  <c r="J474" i="15"/>
  <c r="J463" i="15"/>
  <c r="J461" i="15"/>
  <c r="J653" i="15"/>
  <c r="J648" i="15"/>
  <c r="J643" i="15"/>
  <c r="J637" i="15"/>
  <c r="J632" i="15"/>
  <c r="J624" i="15"/>
  <c r="J621" i="15"/>
  <c r="J616" i="15"/>
  <c r="J613" i="15"/>
  <c r="J608" i="15"/>
  <c r="J603" i="15"/>
  <c r="J598" i="15"/>
  <c r="J591" i="15"/>
  <c r="J587" i="15"/>
  <c r="J574" i="15"/>
  <c r="J570" i="15"/>
  <c r="J555" i="15"/>
  <c r="J554" i="15"/>
  <c r="J553" i="15"/>
  <c r="J552" i="15"/>
  <c r="J551" i="15"/>
  <c r="J550" i="15"/>
  <c r="J549" i="15"/>
  <c r="J642" i="15"/>
  <c r="J627" i="15"/>
  <c r="J605" i="15"/>
  <c r="J601" i="15"/>
  <c r="J583" i="15"/>
  <c r="J579" i="15"/>
  <c r="J563" i="15"/>
  <c r="J562" i="15"/>
  <c r="J561" i="15"/>
  <c r="J560" i="15"/>
  <c r="J559" i="15"/>
  <c r="J558" i="15"/>
  <c r="J557" i="15"/>
  <c r="J491" i="15"/>
  <c r="J482" i="15"/>
  <c r="J473" i="15"/>
  <c r="J453" i="15"/>
  <c r="J435" i="15"/>
  <c r="J431" i="15"/>
  <c r="J427" i="15"/>
  <c r="J423" i="15"/>
  <c r="J419" i="15"/>
  <c r="J415" i="15"/>
  <c r="J411" i="15"/>
  <c r="J649" i="15"/>
  <c r="J644" i="15"/>
  <c r="J639" i="15"/>
  <c r="J634" i="15"/>
  <c r="J628" i="15"/>
  <c r="J619" i="15"/>
  <c r="J614" i="15"/>
  <c r="J606" i="15"/>
  <c r="J600" i="15"/>
  <c r="J597" i="15"/>
  <c r="J594" i="15"/>
  <c r="J590" i="15"/>
  <c r="J586" i="15"/>
  <c r="J573" i="15"/>
  <c r="J568" i="15"/>
  <c r="J636" i="15"/>
  <c r="J615" i="15"/>
  <c r="J610" i="15"/>
  <c r="J592" i="15"/>
  <c r="J571" i="15"/>
  <c r="J564" i="15"/>
  <c r="J538" i="15"/>
  <c r="J534" i="15"/>
  <c r="J523" i="15"/>
  <c r="J519" i="15"/>
  <c r="J486" i="15"/>
  <c r="J459" i="15"/>
  <c r="J451" i="15"/>
  <c r="J448" i="15"/>
  <c r="J430" i="15"/>
  <c r="J646" i="15"/>
  <c r="J626" i="15"/>
  <c r="J620" i="15"/>
  <c r="J584" i="15"/>
  <c r="J531" i="15"/>
  <c r="J527" i="15"/>
  <c r="J512" i="15"/>
  <c r="J467" i="15"/>
  <c r="J457" i="15"/>
  <c r="J429" i="15"/>
  <c r="J418" i="15"/>
  <c r="J409" i="15"/>
  <c r="J405" i="15"/>
  <c r="J401" i="15"/>
  <c r="J397" i="15"/>
  <c r="J393" i="15"/>
  <c r="J389" i="15"/>
  <c r="J385" i="15"/>
  <c r="J381" i="15"/>
  <c r="J377" i="15"/>
  <c r="J373" i="15"/>
  <c r="J369" i="15"/>
  <c r="J645" i="15"/>
  <c r="J635" i="15"/>
  <c r="J604" i="15"/>
  <c r="J655" i="15"/>
  <c r="J650" i="15"/>
  <c r="J629" i="15"/>
  <c r="J640" i="15"/>
  <c r="J599" i="15"/>
  <c r="J576" i="15"/>
  <c r="J566" i="15"/>
  <c r="J537" i="15"/>
  <c r="J535" i="15"/>
  <c r="J517" i="15"/>
  <c r="J506" i="15"/>
  <c r="J479" i="15"/>
  <c r="J471" i="15"/>
  <c r="J464" i="15"/>
  <c r="J458" i="15"/>
  <c r="J456" i="15"/>
  <c r="J436" i="15"/>
  <c r="J422" i="15"/>
  <c r="J421" i="15"/>
  <c r="J420" i="15"/>
  <c r="J404" i="15"/>
  <c r="J394" i="15"/>
  <c r="J622" i="15"/>
  <c r="J526" i="15"/>
  <c r="J515" i="15"/>
  <c r="J513" i="15"/>
  <c r="J487" i="15"/>
  <c r="J478" i="15"/>
  <c r="J437" i="15"/>
  <c r="J426" i="15"/>
  <c r="J425" i="15"/>
  <c r="J424" i="15"/>
  <c r="J403" i="15"/>
  <c r="J392" i="15"/>
  <c r="J382" i="15"/>
  <c r="J371" i="15"/>
  <c r="J365" i="15"/>
  <c r="J361" i="15"/>
  <c r="J357" i="15"/>
  <c r="J353" i="15"/>
  <c r="J349" i="15"/>
  <c r="J345" i="15"/>
  <c r="J341" i="15"/>
  <c r="J631" i="15"/>
  <c r="J612" i="15"/>
  <c r="J589" i="15"/>
  <c r="J575" i="15"/>
  <c r="J572" i="15"/>
  <c r="J533" i="15"/>
  <c r="J522" i="15"/>
  <c r="J520" i="15"/>
  <c r="J485" i="15"/>
  <c r="J477" i="15"/>
  <c r="J470" i="15"/>
  <c r="J460" i="15"/>
  <c r="J455" i="15"/>
  <c r="J449" i="15"/>
  <c r="J402" i="15"/>
  <c r="J391" i="15"/>
  <c r="J380" i="15"/>
  <c r="J370" i="15"/>
  <c r="J652" i="15"/>
  <c r="J625" i="15"/>
  <c r="J617" i="15"/>
  <c r="J641" i="15"/>
  <c r="J623" i="15"/>
  <c r="J607" i="15"/>
  <c r="J580" i="15"/>
  <c r="J567" i="15"/>
  <c r="J530" i="15"/>
  <c r="J528" i="15"/>
  <c r="J510" i="15"/>
  <c r="J489" i="15"/>
  <c r="J481" i="15"/>
  <c r="J465" i="15"/>
  <c r="J454" i="15"/>
  <c r="J450" i="15"/>
  <c r="J651" i="15"/>
  <c r="J509" i="15"/>
  <c r="J445" i="15"/>
  <c r="J438" i="15"/>
  <c r="J398" i="15"/>
  <c r="J351" i="15"/>
  <c r="J340" i="15"/>
  <c r="J323" i="15"/>
  <c r="J319" i="15"/>
  <c r="J315" i="15"/>
  <c r="J311" i="15"/>
  <c r="J302" i="15"/>
  <c r="J300" i="15"/>
  <c r="J295" i="15"/>
  <c r="J276" i="15"/>
  <c r="J273" i="15"/>
  <c r="J265" i="15"/>
  <c r="J257" i="15"/>
  <c r="J249" i="15"/>
  <c r="J241" i="15"/>
  <c r="J233" i="15"/>
  <c r="J630" i="15"/>
  <c r="J588" i="15"/>
  <c r="J433" i="15"/>
  <c r="J428" i="15"/>
  <c r="J408" i="15"/>
  <c r="J395" i="15"/>
  <c r="J374" i="15"/>
  <c r="J350" i="15"/>
  <c r="J307" i="15"/>
  <c r="J298" i="15"/>
  <c r="J270" i="15"/>
  <c r="J262" i="15"/>
  <c r="J254" i="15"/>
  <c r="J246" i="15"/>
  <c r="J596" i="15"/>
  <c r="J581" i="15"/>
  <c r="J490" i="15"/>
  <c r="J475" i="15"/>
  <c r="J462" i="15"/>
  <c r="J413" i="15"/>
  <c r="J399" i="15"/>
  <c r="J386" i="15"/>
  <c r="J375" i="15"/>
  <c r="J348" i="15"/>
  <c r="J339" i="15"/>
  <c r="J322" i="15"/>
  <c r="J318" i="15"/>
  <c r="J314" i="15"/>
  <c r="J310" i="15"/>
  <c r="J304" i="15"/>
  <c r="J291" i="15"/>
  <c r="J290" i="15"/>
  <c r="J289" i="15"/>
  <c r="J288" i="15"/>
  <c r="J287" i="15"/>
  <c r="J286" i="15"/>
  <c r="J285" i="15"/>
  <c r="J284" i="15"/>
  <c r="J283" i="15"/>
  <c r="J282" i="15"/>
  <c r="J281" i="15"/>
  <c r="J275" i="15"/>
  <c r="J267" i="15"/>
  <c r="J259" i="15"/>
  <c r="J251" i="15"/>
  <c r="J243" i="15"/>
  <c r="J609" i="15"/>
  <c r="J536" i="15"/>
  <c r="J518" i="15"/>
  <c r="J507" i="15"/>
  <c r="J525" i="15"/>
  <c r="J514" i="15"/>
  <c r="J466" i="15"/>
  <c r="J539" i="15"/>
  <c r="J521" i="15"/>
  <c r="J446" i="15"/>
  <c r="J439" i="15"/>
  <c r="J416" i="15"/>
  <c r="J407" i="15"/>
  <c r="J390" i="15"/>
  <c r="J384" i="15"/>
  <c r="J379" i="15"/>
  <c r="J368" i="15"/>
  <c r="J367" i="15"/>
  <c r="J366" i="15"/>
  <c r="J352" i="15"/>
  <c r="J342" i="15"/>
  <c r="J305" i="15"/>
  <c r="J268" i="15"/>
  <c r="J260" i="15"/>
  <c r="J252" i="15"/>
  <c r="J400" i="15"/>
  <c r="J346" i="15"/>
  <c r="J317" i="15"/>
  <c r="J309" i="15"/>
  <c r="J299" i="15"/>
  <c r="J293" i="15"/>
  <c r="J279" i="15"/>
  <c r="J261" i="15"/>
  <c r="J245" i="15"/>
  <c r="J244" i="15"/>
  <c r="J220" i="15"/>
  <c r="J212" i="15"/>
  <c r="J204" i="15"/>
  <c r="J196" i="15"/>
  <c r="J188" i="15"/>
  <c r="J180" i="15"/>
  <c r="J130" i="15"/>
  <c r="J128" i="15"/>
  <c r="J123" i="15"/>
  <c r="J99" i="15"/>
  <c r="J565" i="15"/>
  <c r="J447" i="15"/>
  <c r="J406" i="15"/>
  <c r="J363" i="15"/>
  <c r="J355" i="15"/>
  <c r="J344" i="15"/>
  <c r="J303" i="15"/>
  <c r="J274" i="15"/>
  <c r="J258" i="15"/>
  <c r="J234" i="15"/>
  <c r="J229" i="15"/>
  <c r="J225" i="15"/>
  <c r="J217" i="15"/>
  <c r="J209" i="15"/>
  <c r="J201" i="15"/>
  <c r="J193" i="15"/>
  <c r="J185" i="15"/>
  <c r="J177" i="15"/>
  <c r="J153" i="15"/>
  <c r="J149" i="15"/>
  <c r="J145" i="15"/>
  <c r="J141" i="15"/>
  <c r="J137" i="15"/>
  <c r="J133" i="15"/>
  <c r="J126" i="15"/>
  <c r="J104" i="15"/>
  <c r="J529" i="15"/>
  <c r="J469" i="15"/>
  <c r="J434" i="15"/>
  <c r="J412" i="15"/>
  <c r="J372" i="15"/>
  <c r="J324" i="15"/>
  <c r="J316" i="15"/>
  <c r="J308" i="15"/>
  <c r="J277" i="15"/>
  <c r="J271" i="15"/>
  <c r="J255" i="15"/>
  <c r="J222" i="15"/>
  <c r="J214" i="15"/>
  <c r="J206" i="15"/>
  <c r="J198" i="15"/>
  <c r="J190" i="15"/>
  <c r="J182" i="15"/>
  <c r="J174" i="15"/>
  <c r="J396" i="15"/>
  <c r="J376" i="15"/>
  <c r="J432" i="15"/>
  <c r="J388" i="15"/>
  <c r="J414" i="15"/>
  <c r="J410" i="15"/>
  <c r="J383" i="15"/>
  <c r="J378" i="15"/>
  <c r="J354" i="15"/>
  <c r="J343" i="15"/>
  <c r="J320" i="15"/>
  <c r="J312" i="15"/>
  <c r="J297" i="15"/>
  <c r="J263" i="15"/>
  <c r="J250" i="15"/>
  <c r="J236" i="15"/>
  <c r="J231" i="15"/>
  <c r="J226" i="15"/>
  <c r="J218" i="15"/>
  <c r="J210" i="15"/>
  <c r="J202" i="15"/>
  <c r="J194" i="15"/>
  <c r="J186" i="15"/>
  <c r="J178" i="15"/>
  <c r="J511" i="15"/>
  <c r="J417" i="15"/>
  <c r="J387" i="15"/>
  <c r="J362" i="15"/>
  <c r="J296" i="15"/>
  <c r="J264" i="15"/>
  <c r="J235" i="15"/>
  <c r="J230" i="15"/>
  <c r="J215" i="15"/>
  <c r="J199" i="15"/>
  <c r="J183" i="15"/>
  <c r="J138" i="15"/>
  <c r="J131" i="15"/>
  <c r="J125" i="15"/>
  <c r="J117" i="15"/>
  <c r="J114" i="15"/>
  <c r="J110" i="15"/>
  <c r="J97" i="15"/>
  <c r="J93" i="15"/>
  <c r="J85" i="15"/>
  <c r="J77" i="15"/>
  <c r="J69" i="15"/>
  <c r="J61" i="15"/>
  <c r="J53" i="15"/>
  <c r="J45" i="15"/>
  <c r="J37" i="15"/>
  <c r="J29" i="15"/>
  <c r="J21" i="15"/>
  <c r="J13" i="15"/>
  <c r="J5" i="15"/>
  <c r="J272" i="15"/>
  <c r="J247" i="15"/>
  <c r="J240" i="15"/>
  <c r="J228" i="15"/>
  <c r="J219" i="15"/>
  <c r="J203" i="15"/>
  <c r="J187" i="15"/>
  <c r="J150" i="15"/>
  <c r="J143" i="15"/>
  <c r="J136" i="15"/>
  <c r="J127" i="15"/>
  <c r="J120" i="15"/>
  <c r="J103" i="15"/>
  <c r="J101" i="15"/>
  <c r="J96" i="15"/>
  <c r="J90" i="15"/>
  <c r="J82" i="15"/>
  <c r="J74" i="15"/>
  <c r="J66" i="15"/>
  <c r="J58" i="15"/>
  <c r="J50" i="15"/>
  <c r="J42" i="15"/>
  <c r="J34" i="15"/>
  <c r="J26" i="15"/>
  <c r="J18" i="15"/>
  <c r="J10" i="15"/>
  <c r="J2" i="15"/>
  <c r="J360" i="15"/>
  <c r="J356" i="15"/>
  <c r="J338" i="15"/>
  <c r="J313" i="15"/>
  <c r="J301" i="15"/>
  <c r="J269" i="15"/>
  <c r="J238" i="15"/>
  <c r="J216" i="15"/>
  <c r="J200" i="15"/>
  <c r="J184" i="15"/>
  <c r="J173" i="15"/>
  <c r="J148" i="15"/>
  <c r="J124" i="15"/>
  <c r="J122" i="15"/>
  <c r="J115" i="15"/>
  <c r="J111" i="15"/>
  <c r="J106" i="15"/>
  <c r="J105" i="15"/>
  <c r="J102" i="15"/>
  <c r="J87" i="15"/>
  <c r="J79" i="15"/>
  <c r="J71" i="15"/>
  <c r="J63" i="15"/>
  <c r="J55" i="15"/>
  <c r="J47" i="15"/>
  <c r="J39" i="15"/>
  <c r="J31" i="15"/>
  <c r="J23" i="15"/>
  <c r="J15" i="15"/>
  <c r="J7" i="15"/>
  <c r="J294" i="15"/>
  <c r="J278" i="15"/>
  <c r="J266" i="15"/>
  <c r="J242" i="15"/>
  <c r="J213" i="15"/>
  <c r="J197" i="15"/>
  <c r="J181" i="15"/>
  <c r="J142" i="15"/>
  <c r="J135" i="15"/>
  <c r="J118" i="15"/>
  <c r="J107" i="15"/>
  <c r="J100" i="15"/>
  <c r="J95" i="15"/>
  <c r="J92" i="15"/>
  <c r="J84" i="15"/>
  <c r="J76" i="15"/>
  <c r="J68" i="15"/>
  <c r="J60" i="15"/>
  <c r="J52" i="15"/>
  <c r="J359" i="15"/>
  <c r="J223" i="15"/>
  <c r="J207" i="15"/>
  <c r="J191" i="15"/>
  <c r="J147" i="15"/>
  <c r="J140" i="15"/>
  <c r="J129" i="15"/>
  <c r="J112" i="15"/>
  <c r="J108" i="15"/>
  <c r="J89" i="15"/>
  <c r="J81" i="15"/>
  <c r="J73" i="15"/>
  <c r="J65" i="15"/>
  <c r="J57" i="15"/>
  <c r="J49" i="15"/>
  <c r="J364" i="15"/>
  <c r="J358" i="15"/>
  <c r="J347" i="15"/>
  <c r="J292" i="15"/>
  <c r="J280" i="15"/>
  <c r="J256" i="15"/>
  <c r="J248" i="15"/>
  <c r="J211" i="15"/>
  <c r="J195" i="15"/>
  <c r="J179" i="15"/>
  <c r="J175" i="15"/>
  <c r="J152" i="15"/>
  <c r="J134" i="15"/>
  <c r="J121" i="15"/>
  <c r="J116" i="15"/>
  <c r="J94" i="15"/>
  <c r="J86" i="15"/>
  <c r="J78" i="15"/>
  <c r="J70" i="15"/>
  <c r="J62" i="15"/>
  <c r="J54" i="15"/>
  <c r="J321" i="15"/>
  <c r="J306" i="15"/>
  <c r="J253" i="15"/>
  <c r="J239" i="15"/>
  <c r="J237" i="15"/>
  <c r="J232" i="15"/>
  <c r="J227" i="15"/>
  <c r="J224" i="15"/>
  <c r="J208" i="15"/>
  <c r="J192" i="15"/>
  <c r="J176" i="15"/>
  <c r="J146" i="15"/>
  <c r="J139" i="15"/>
  <c r="J132" i="15"/>
  <c r="J119" i="15"/>
  <c r="J113" i="15"/>
  <c r="J109" i="15"/>
  <c r="J98" i="15"/>
  <c r="J91" i="15"/>
  <c r="J83" i="15"/>
  <c r="J75" i="15"/>
  <c r="J67" i="15"/>
  <c r="J59" i="15"/>
  <c r="J51" i="15"/>
  <c r="J221" i="15"/>
  <c r="J205" i="15"/>
  <c r="J189" i="15"/>
  <c r="J151" i="15"/>
  <c r="J144" i="15"/>
  <c r="J88" i="15"/>
  <c r="J80" i="15"/>
  <c r="J72" i="15"/>
  <c r="J64" i="15"/>
  <c r="J56" i="15"/>
  <c r="J48" i="15"/>
  <c r="J40" i="15"/>
  <c r="J32" i="15"/>
  <c r="J24" i="15"/>
  <c r="J16" i="15"/>
  <c r="J8" i="15"/>
  <c r="J46" i="15"/>
  <c r="J43" i="15"/>
  <c r="J27" i="15"/>
  <c r="J11" i="15"/>
  <c r="J44" i="15"/>
  <c r="J28" i="15"/>
  <c r="J12" i="15"/>
  <c r="J41" i="15"/>
  <c r="J25" i="15"/>
  <c r="J9" i="15"/>
  <c r="J38" i="15"/>
  <c r="J22" i="15"/>
  <c r="J6" i="15"/>
  <c r="J35" i="15"/>
  <c r="J19" i="15"/>
  <c r="J3" i="15"/>
  <c r="J36" i="15"/>
  <c r="J20" i="15"/>
  <c r="J4" i="15"/>
  <c r="J33" i="15"/>
  <c r="J17" i="15"/>
  <c r="J30" i="15"/>
  <c r="J14" i="15"/>
  <c r="S151" i="2"/>
  <c r="BA151" i="2"/>
  <c r="DA180" i="2" s="1"/>
  <c r="BQ151" i="2"/>
  <c r="DD326" i="2" s="1"/>
  <c r="Z84" i="2"/>
  <c r="AI84" i="2"/>
  <c r="AM85" i="2"/>
  <c r="BU86" i="2"/>
  <c r="BD86" i="2"/>
  <c r="BG86" i="2" s="1"/>
  <c r="BC89" i="2"/>
  <c r="BF89" i="2" s="1"/>
  <c r="AD91" i="2"/>
  <c r="AL91" i="2" s="1"/>
  <c r="BE91" i="2" s="1"/>
  <c r="AI92" i="2"/>
  <c r="AA92" i="2"/>
  <c r="AK93" i="2"/>
  <c r="BD93" i="2"/>
  <c r="BG93" i="2" s="1"/>
  <c r="BL93" i="2"/>
  <c r="BS93" i="2" s="1"/>
  <c r="BU94" i="2"/>
  <c r="BD94" i="2"/>
  <c r="BG94" i="2" s="1"/>
  <c r="W95" i="2"/>
  <c r="T96" i="2"/>
  <c r="S96" i="2"/>
  <c r="BD96" i="2"/>
  <c r="BG96" i="2" s="1"/>
  <c r="BD98" i="2"/>
  <c r="BG98" i="2" s="1"/>
  <c r="P100" i="2"/>
  <c r="AL100" i="2" s="1"/>
  <c r="AM100" i="2"/>
  <c r="AH101" i="2"/>
  <c r="AG101" i="2"/>
  <c r="AM101" i="2"/>
  <c r="BG101" i="2" s="1"/>
  <c r="I104" i="2"/>
  <c r="H104" i="2"/>
  <c r="AD104" i="2"/>
  <c r="AL104" i="2" s="1"/>
  <c r="AK106" i="2"/>
  <c r="BC106" i="2"/>
  <c r="BF106" i="2" s="1"/>
  <c r="AH108" i="2"/>
  <c r="AG108" i="2"/>
  <c r="BU108" i="2"/>
  <c r="BH108" i="2"/>
  <c r="BD108" i="2"/>
  <c r="BG108" i="2" s="1"/>
  <c r="AD109" i="2"/>
  <c r="AH109" i="2"/>
  <c r="BU109" i="2"/>
  <c r="BL109" i="2"/>
  <c r="BS109" i="2" s="1"/>
  <c r="AG110" i="2"/>
  <c r="AD113" i="2"/>
  <c r="AM113" i="2"/>
  <c r="AK118" i="2"/>
  <c r="BF118" i="2" s="1"/>
  <c r="AI118" i="2"/>
  <c r="AU118" i="2"/>
  <c r="BB118" i="2" s="1"/>
  <c r="BE118" i="2" s="1"/>
  <c r="BD118" i="2"/>
  <c r="BG118" i="2" s="1"/>
  <c r="BD120" i="2"/>
  <c r="BG120" i="2" s="1"/>
  <c r="C122" i="2"/>
  <c r="BS122" i="2"/>
  <c r="BB122" i="2"/>
  <c r="AK124" i="2"/>
  <c r="BU124" i="2"/>
  <c r="BH124" i="2"/>
  <c r="AL125" i="2"/>
  <c r="E126" i="2"/>
  <c r="D126" i="2"/>
  <c r="AH126" i="2"/>
  <c r="AG126" i="2"/>
  <c r="BS126" i="2"/>
  <c r="BB126" i="2"/>
  <c r="BH128" i="2"/>
  <c r="AI129" i="2"/>
  <c r="BF129" i="2"/>
  <c r="AD131" i="2"/>
  <c r="BH131" i="2"/>
  <c r="BD131" i="2"/>
  <c r="BG131" i="2" s="1"/>
  <c r="AM134" i="2"/>
  <c r="BG134" i="2" s="1"/>
  <c r="AD134" i="2"/>
  <c r="AG136" i="2"/>
  <c r="AD137" i="2"/>
  <c r="AM137" i="2"/>
  <c r="AH137" i="2"/>
  <c r="AG137" i="2"/>
  <c r="AY138" i="2"/>
  <c r="BB138" i="2" s="1"/>
  <c r="AD140" i="2"/>
  <c r="AM140" i="2"/>
  <c r="BG140" i="2" s="1"/>
  <c r="AI141" i="2"/>
  <c r="AI142" i="2"/>
  <c r="T142" i="2"/>
  <c r="BD143" i="2"/>
  <c r="BG143" i="2" s="1"/>
  <c r="AU143" i="2"/>
  <c r="BB143" i="2" s="1"/>
  <c r="BS143" i="2"/>
  <c r="AH146" i="2"/>
  <c r="AG146" i="2"/>
  <c r="AM146" i="2"/>
  <c r="BD147" i="2"/>
  <c r="BG147" i="2" s="1"/>
  <c r="AU147" i="2"/>
  <c r="BB147" i="2"/>
  <c r="BE147" i="2" s="1"/>
  <c r="BL148" i="2"/>
  <c r="BU148" i="2"/>
  <c r="Z157" i="2"/>
  <c r="AU159" i="2"/>
  <c r="BB159" i="2" s="1"/>
  <c r="BE159" i="2" s="1"/>
  <c r="BD159" i="2"/>
  <c r="BG159" i="2" s="1"/>
  <c r="BG161" i="2"/>
  <c r="BT161" i="2"/>
  <c r="T162" i="2"/>
  <c r="AD162" i="2"/>
  <c r="AR100" i="3"/>
  <c r="DA302" i="3" s="1"/>
  <c r="AY2" i="3"/>
  <c r="BG100" i="3"/>
  <c r="DC155" i="3" s="1"/>
  <c r="BR2" i="3"/>
  <c r="BE2" i="3"/>
  <c r="AI4" i="3"/>
  <c r="AQ4" i="3"/>
  <c r="AX4" i="3" s="1"/>
  <c r="AE5" i="3"/>
  <c r="O5" i="3"/>
  <c r="Z7" i="3"/>
  <c r="AM10" i="3"/>
  <c r="AX10" i="3" s="1"/>
  <c r="AZ10" i="3"/>
  <c r="BB10" i="3"/>
  <c r="AZ12" i="3"/>
  <c r="BB14" i="3"/>
  <c r="AM17" i="3"/>
  <c r="AX17" i="3" s="1"/>
  <c r="BE18" i="3"/>
  <c r="BP18" i="3" s="1"/>
  <c r="AM19" i="3"/>
  <c r="AX19" i="3" s="1"/>
  <c r="BE20" i="3"/>
  <c r="BP20" i="3" s="1"/>
  <c r="AM21" i="3"/>
  <c r="AX21" i="3" s="1"/>
  <c r="BE22" i="3"/>
  <c r="BP22" i="3" s="1"/>
  <c r="AM23" i="3"/>
  <c r="AX23" i="3" s="1"/>
  <c r="AH25" i="3"/>
  <c r="BB25" i="3" s="1"/>
  <c r="AG29" i="3"/>
  <c r="H36" i="3"/>
  <c r="G36" i="3"/>
  <c r="AC37" i="3"/>
  <c r="BR51" i="3"/>
  <c r="BE51" i="3"/>
  <c r="BB59" i="3"/>
  <c r="AE75" i="3"/>
  <c r="O75" i="3"/>
  <c r="T151" i="2"/>
  <c r="AL2" i="2"/>
  <c r="AT151" i="2"/>
  <c r="BJ151" i="2"/>
  <c r="DB180" i="2" s="1"/>
  <c r="BZ151" i="2"/>
  <c r="P83" i="2"/>
  <c r="AL83" i="2" s="1"/>
  <c r="AA83" i="2"/>
  <c r="H86" i="2"/>
  <c r="G86" i="2"/>
  <c r="Z86" i="2"/>
  <c r="AH87" i="2"/>
  <c r="W88" i="2"/>
  <c r="AL88" i="2" s="1"/>
  <c r="BE88" i="2" s="1"/>
  <c r="AM89" i="2"/>
  <c r="BG89" i="2" s="1"/>
  <c r="AD89" i="2"/>
  <c r="BH90" i="2"/>
  <c r="P92" i="2"/>
  <c r="AL92" i="2" s="1"/>
  <c r="BL92" i="2"/>
  <c r="BS92" i="2" s="1"/>
  <c r="E93" i="2"/>
  <c r="D93" i="2"/>
  <c r="AG94" i="2"/>
  <c r="BD95" i="2"/>
  <c r="BG95" i="2" s="1"/>
  <c r="AK96" i="2"/>
  <c r="BF96" i="2" s="1"/>
  <c r="BS97" i="2"/>
  <c r="BB97" i="2"/>
  <c r="AD98" i="2"/>
  <c r="BS99" i="2"/>
  <c r="BB99" i="2"/>
  <c r="BE99" i="2" s="1"/>
  <c r="BH100" i="2"/>
  <c r="BC101" i="2"/>
  <c r="BF101" i="2" s="1"/>
  <c r="T102" i="2"/>
  <c r="P102" i="2"/>
  <c r="AL102" i="2" s="1"/>
  <c r="AM102" i="2"/>
  <c r="BB103" i="2"/>
  <c r="BE103" i="2" s="1"/>
  <c r="S104" i="2"/>
  <c r="BD105" i="2"/>
  <c r="AU105" i="2"/>
  <c r="BB105" i="2" s="1"/>
  <c r="BE105" i="2" s="1"/>
  <c r="L106" i="2"/>
  <c r="K106" i="2"/>
  <c r="AU106" i="2"/>
  <c r="BD106" i="2"/>
  <c r="BG106" i="2" s="1"/>
  <c r="AA107" i="2"/>
  <c r="BT107" i="2"/>
  <c r="BC107" i="2"/>
  <c r="BF107" i="2" s="1"/>
  <c r="T109" i="2"/>
  <c r="S109" i="2"/>
  <c r="P109" i="2"/>
  <c r="AL109" i="2" s="1"/>
  <c r="BB113" i="2"/>
  <c r="BE113" i="2" s="1"/>
  <c r="BS113" i="2"/>
  <c r="BH115" i="2"/>
  <c r="W116" i="2"/>
  <c r="AL116" i="2" s="1"/>
  <c r="AD117" i="2"/>
  <c r="AM117" i="2"/>
  <c r="BG117" i="2" s="1"/>
  <c r="P122" i="2"/>
  <c r="T122" i="2"/>
  <c r="S122" i="2"/>
  <c r="BF122" i="2"/>
  <c r="E123" i="2"/>
  <c r="D123" i="2"/>
  <c r="C123" i="2"/>
  <c r="P126" i="2"/>
  <c r="AL126" i="2" s="1"/>
  <c r="T126" i="2"/>
  <c r="BF126" i="2"/>
  <c r="E127" i="2"/>
  <c r="D127" i="2"/>
  <c r="E132" i="2"/>
  <c r="D132" i="2"/>
  <c r="C132" i="2"/>
  <c r="P132" i="2"/>
  <c r="AL132" i="2" s="1"/>
  <c r="AH132" i="2"/>
  <c r="AG132" i="2"/>
  <c r="BU132" i="2"/>
  <c r="BL132" i="2"/>
  <c r="BS132" i="2" s="1"/>
  <c r="BT133" i="2"/>
  <c r="BC133" i="2"/>
  <c r="BF133" i="2" s="1"/>
  <c r="BH133" i="2"/>
  <c r="BB137" i="2"/>
  <c r="BS137" i="2"/>
  <c r="AI138" i="2"/>
  <c r="I140" i="2"/>
  <c r="H140" i="2"/>
  <c r="BS140" i="2"/>
  <c r="AY142" i="2"/>
  <c r="BD142" i="2"/>
  <c r="BG142" i="2" s="1"/>
  <c r="AN144" i="2"/>
  <c r="AO144" i="2"/>
  <c r="AA145" i="2"/>
  <c r="BT145" i="2"/>
  <c r="BC145" i="2"/>
  <c r="BF145" i="2" s="1"/>
  <c r="AN148" i="2"/>
  <c r="AO148" i="2"/>
  <c r="BU157" i="2"/>
  <c r="BH157" i="2"/>
  <c r="BS157" i="2" s="1"/>
  <c r="BB160" i="2"/>
  <c r="BE160" i="2" s="1"/>
  <c r="BC2" i="3"/>
  <c r="AG2" i="3"/>
  <c r="AS100" i="3"/>
  <c r="DA155" i="3" s="1"/>
  <c r="AZ2" i="3"/>
  <c r="AQ2" i="3"/>
  <c r="S9" i="3"/>
  <c r="E14" i="3"/>
  <c r="D14" i="3"/>
  <c r="C14" i="3"/>
  <c r="P14" i="3"/>
  <c r="AI15" i="3"/>
  <c r="BR16" i="3"/>
  <c r="BE16" i="3"/>
  <c r="BP16" i="3" s="1"/>
  <c r="Z25" i="3"/>
  <c r="AI25" i="3"/>
  <c r="AD25" i="3"/>
  <c r="AC25" i="3"/>
  <c r="BT30" i="3"/>
  <c r="G31" i="3"/>
  <c r="AM31" i="3"/>
  <c r="AX31" i="3" s="1"/>
  <c r="BC34" i="3"/>
  <c r="AK34" i="3"/>
  <c r="AJ34" i="3"/>
  <c r="BI35" i="3"/>
  <c r="BR35" i="3"/>
  <c r="AE37" i="3"/>
  <c r="AD38" i="3"/>
  <c r="AC38" i="3"/>
  <c r="Z38" i="3"/>
  <c r="AI38" i="3"/>
  <c r="AX39" i="3"/>
  <c r="AX40" i="3"/>
  <c r="AX41" i="3"/>
  <c r="AE44" i="3"/>
  <c r="P45" i="3"/>
  <c r="O45" i="3"/>
  <c r="L45" i="3"/>
  <c r="E46" i="3"/>
  <c r="D46" i="3"/>
  <c r="C46" i="3"/>
  <c r="AG49" i="3"/>
  <c r="BA49" i="3" s="1"/>
  <c r="AE57" i="3"/>
  <c r="O57" i="3"/>
  <c r="P57" i="3"/>
  <c r="BP70" i="3"/>
  <c r="AX77" i="3"/>
  <c r="AX78" i="3"/>
  <c r="BA78" i="3" s="1"/>
  <c r="AX58" i="3"/>
  <c r="P64" i="3"/>
  <c r="O64" i="3"/>
  <c r="AX64" i="3"/>
  <c r="W67" i="3"/>
  <c r="V67" i="3"/>
  <c r="P72" i="3"/>
  <c r="O72" i="3"/>
  <c r="AX72" i="3"/>
  <c r="AK73" i="3"/>
  <c r="AJ73" i="3"/>
  <c r="AJ75" i="3"/>
  <c r="AG75" i="3"/>
  <c r="L87" i="3"/>
  <c r="AI87" i="3"/>
  <c r="P87" i="3"/>
  <c r="O87" i="3"/>
  <c r="AH98" i="3"/>
  <c r="BB98" i="3" s="1"/>
  <c r="L98" i="3"/>
  <c r="D104" i="3"/>
  <c r="E104" i="3"/>
  <c r="C104" i="3"/>
  <c r="P10" i="4"/>
  <c r="O10" i="4"/>
  <c r="AE10" i="4"/>
  <c r="BP24" i="4"/>
  <c r="AK27" i="4"/>
  <c r="AJ27" i="4"/>
  <c r="AX43" i="4"/>
  <c r="BA43" i="4" s="1"/>
  <c r="P53" i="4"/>
  <c r="AE53" i="4"/>
  <c r="O53" i="4"/>
  <c r="P66" i="4"/>
  <c r="AE66" i="4"/>
  <c r="O66" i="4"/>
  <c r="BE12" i="5"/>
  <c r="AH42" i="3"/>
  <c r="BB42" i="3" s="1"/>
  <c r="BT43" i="3"/>
  <c r="AY44" i="3"/>
  <c r="BB44" i="3" s="1"/>
  <c r="Z45" i="3"/>
  <c r="V46" i="3"/>
  <c r="BQ46" i="3"/>
  <c r="L47" i="3"/>
  <c r="AX47" i="3"/>
  <c r="AY48" i="3"/>
  <c r="BB48" i="3" s="1"/>
  <c r="BQ52" i="3"/>
  <c r="S55" i="3"/>
  <c r="BI55" i="3"/>
  <c r="Z56" i="3"/>
  <c r="BM56" i="3"/>
  <c r="AK57" i="3"/>
  <c r="AJ57" i="3"/>
  <c r="BC57" i="3"/>
  <c r="BR57" i="3"/>
  <c r="O58" i="3"/>
  <c r="AM58" i="3"/>
  <c r="W59" i="3"/>
  <c r="V59" i="3"/>
  <c r="G60" i="3"/>
  <c r="BQ60" i="3"/>
  <c r="BI63" i="3"/>
  <c r="Z64" i="3"/>
  <c r="BQ64" i="3"/>
  <c r="AK65" i="3"/>
  <c r="AJ65" i="3"/>
  <c r="BR65" i="3"/>
  <c r="O66" i="3"/>
  <c r="AI67" i="3"/>
  <c r="AQ67" i="3"/>
  <c r="AX67" i="3" s="1"/>
  <c r="G68" i="3"/>
  <c r="AY68" i="3"/>
  <c r="BB68" i="3" s="1"/>
  <c r="Z69" i="3"/>
  <c r="AI69" i="3"/>
  <c r="BI71" i="3"/>
  <c r="Z72" i="3"/>
  <c r="BQ72" i="3"/>
  <c r="AK75" i="3"/>
  <c r="AM77" i="3"/>
  <c r="BT77" i="3"/>
  <c r="AZ78" i="3"/>
  <c r="BC78" i="3" s="1"/>
  <c r="BR78" i="3"/>
  <c r="G79" i="3"/>
  <c r="AC80" i="3"/>
  <c r="P81" i="3"/>
  <c r="O81" i="3"/>
  <c r="AU81" i="3"/>
  <c r="AE83" i="3"/>
  <c r="AK95" i="3"/>
  <c r="AG95" i="3"/>
  <c r="AK97" i="3"/>
  <c r="BC97" i="3"/>
  <c r="AJ97" i="3"/>
  <c r="AG97" i="3"/>
  <c r="AE69" i="4"/>
  <c r="O69" i="4"/>
  <c r="P69" i="4"/>
  <c r="BP69" i="4"/>
  <c r="V72" i="4"/>
  <c r="W72" i="4"/>
  <c r="AC75" i="4"/>
  <c r="AD75" i="4"/>
  <c r="V80" i="4"/>
  <c r="W80" i="4"/>
  <c r="BB88" i="4"/>
  <c r="AX105" i="4"/>
  <c r="BA105" i="4" s="1"/>
  <c r="AX106" i="4"/>
  <c r="BB38" i="3"/>
  <c r="BB40" i="3"/>
  <c r="BB41" i="3"/>
  <c r="O42" i="3"/>
  <c r="Z42" i="3"/>
  <c r="AI42" i="3"/>
  <c r="W43" i="3"/>
  <c r="AJ44" i="3"/>
  <c r="AK44" i="3"/>
  <c r="AZ44" i="3"/>
  <c r="BC44" i="3" s="1"/>
  <c r="BI44" i="3"/>
  <c r="BP44" i="3" s="1"/>
  <c r="AC45" i="3"/>
  <c r="AK46" i="3"/>
  <c r="AJ46" i="3"/>
  <c r="BC46" i="3"/>
  <c r="BR46" i="3"/>
  <c r="O47" i="3"/>
  <c r="AM47" i="3"/>
  <c r="W48" i="3"/>
  <c r="V48" i="3"/>
  <c r="W49" i="3"/>
  <c r="BP50" i="3"/>
  <c r="AM52" i="3"/>
  <c r="AX53" i="3"/>
  <c r="BR56" i="3"/>
  <c r="BE56" i="3"/>
  <c r="BP56" i="3" s="1"/>
  <c r="P58" i="3"/>
  <c r="AI58" i="3"/>
  <c r="BC59" i="3"/>
  <c r="AG59" i="3"/>
  <c r="AQ59" i="3"/>
  <c r="AX59" i="3" s="1"/>
  <c r="AM60" i="3"/>
  <c r="AX61" i="3"/>
  <c r="W62" i="3"/>
  <c r="BR64" i="3"/>
  <c r="E65" i="3"/>
  <c r="D65" i="3"/>
  <c r="C65" i="3"/>
  <c r="P66" i="3"/>
  <c r="AC68" i="3"/>
  <c r="H69" i="3"/>
  <c r="G69" i="3"/>
  <c r="AE70" i="3"/>
  <c r="W70" i="3"/>
  <c r="BR72" i="3"/>
  <c r="E73" i="3"/>
  <c r="D73" i="3"/>
  <c r="C73" i="3"/>
  <c r="Z73" i="3"/>
  <c r="AM74" i="3"/>
  <c r="P75" i="3"/>
  <c r="Z75" i="3"/>
  <c r="AX75" i="3"/>
  <c r="BA75" i="3" s="1"/>
  <c r="AQ76" i="3"/>
  <c r="AX76" i="3" s="1"/>
  <c r="AZ76" i="3"/>
  <c r="AM81" i="3"/>
  <c r="E90" i="3"/>
  <c r="D90" i="3"/>
  <c r="C90" i="3"/>
  <c r="AG90" i="3"/>
  <c r="AJ90" i="3"/>
  <c r="L92" i="3"/>
  <c r="AI92" i="3"/>
  <c r="P92" i="3"/>
  <c r="O92" i="3"/>
  <c r="AG93" i="3"/>
  <c r="BC93" i="3"/>
  <c r="AK93" i="3"/>
  <c r="AJ93" i="3"/>
  <c r="BQ94" i="3"/>
  <c r="AZ108" i="3"/>
  <c r="BQ108" i="3"/>
  <c r="BE108" i="3"/>
  <c r="BP108" i="3" s="1"/>
  <c r="BB9" i="4"/>
  <c r="AG30" i="4"/>
  <c r="BB37" i="4"/>
  <c r="BB57" i="4"/>
  <c r="AG69" i="4"/>
  <c r="BA69" i="4" s="1"/>
  <c r="P74" i="4"/>
  <c r="AE74" i="4"/>
  <c r="V91" i="4"/>
  <c r="W91" i="4"/>
  <c r="BG8" i="5"/>
  <c r="S12" i="5"/>
  <c r="AI12" i="5"/>
  <c r="AN12" i="5" s="1"/>
  <c r="T12" i="5"/>
  <c r="BE39" i="5"/>
  <c r="AJ47" i="3"/>
  <c r="BC48" i="3"/>
  <c r="AG48" i="3"/>
  <c r="BA48" i="3" s="1"/>
  <c r="BC49" i="3"/>
  <c r="AK49" i="3"/>
  <c r="BB51" i="3"/>
  <c r="AC52" i="3"/>
  <c r="Z53" i="3"/>
  <c r="AI53" i="3"/>
  <c r="AC58" i="3"/>
  <c r="AC60" i="3"/>
  <c r="Z61" i="3"/>
  <c r="AI61" i="3"/>
  <c r="BC62" i="3"/>
  <c r="AK62" i="3"/>
  <c r="P67" i="3"/>
  <c r="AE68" i="3"/>
  <c r="BC70" i="3"/>
  <c r="AK70" i="3"/>
  <c r="AZ73" i="3"/>
  <c r="BC73" i="3" s="1"/>
  <c r="AM73" i="3"/>
  <c r="AX73" i="3" s="1"/>
  <c r="AG74" i="3"/>
  <c r="AJ74" i="3"/>
  <c r="AG79" i="3"/>
  <c r="BA79" i="3" s="1"/>
  <c r="BC79" i="3"/>
  <c r="AK79" i="3"/>
  <c r="O80" i="3"/>
  <c r="AE80" i="3"/>
  <c r="P80" i="3"/>
  <c r="AI80" i="3"/>
  <c r="AI81" i="3"/>
  <c r="Z81" i="3"/>
  <c r="BB81" i="3"/>
  <c r="BI81" i="3"/>
  <c r="BR81" i="3"/>
  <c r="G82" i="3"/>
  <c r="H82" i="3"/>
  <c r="AE82" i="3"/>
  <c r="V83" i="3"/>
  <c r="C86" i="3"/>
  <c r="E86" i="3"/>
  <c r="D86" i="3"/>
  <c r="BR88" i="3"/>
  <c r="BE88" i="3"/>
  <c r="BP88" i="3" s="1"/>
  <c r="BA93" i="3"/>
  <c r="AX95" i="3"/>
  <c r="BA95" i="3" s="1"/>
  <c r="BI104" i="3"/>
  <c r="AD107" i="3"/>
  <c r="AC107" i="3"/>
  <c r="AG5" i="4"/>
  <c r="O8" i="4"/>
  <c r="AE8" i="4"/>
  <c r="AK26" i="4"/>
  <c r="AJ26" i="4"/>
  <c r="AK85" i="4"/>
  <c r="AJ85" i="4"/>
  <c r="Z51" i="5"/>
  <c r="AI51" i="5"/>
  <c r="AA51" i="5"/>
  <c r="BT100" i="2"/>
  <c r="BC100" i="2"/>
  <c r="BF100" i="2" s="1"/>
  <c r="AK102" i="2"/>
  <c r="BT103" i="2"/>
  <c r="BC103" i="2"/>
  <c r="BF103" i="2" s="1"/>
  <c r="BU107" i="2"/>
  <c r="BD107" i="2"/>
  <c r="E110" i="2"/>
  <c r="D110" i="2"/>
  <c r="AU110" i="2"/>
  <c r="BD110" i="2"/>
  <c r="BG110" i="2" s="1"/>
  <c r="BS110" i="2"/>
  <c r="BB110" i="2"/>
  <c r="BE110" i="2" s="1"/>
  <c r="AA112" i="2"/>
  <c r="BP112" i="2"/>
  <c r="BC113" i="2"/>
  <c r="BF113" i="2" s="1"/>
  <c r="BC114" i="2"/>
  <c r="BF114" i="2" s="1"/>
  <c r="BU116" i="2"/>
  <c r="BH116" i="2"/>
  <c r="AI117" i="2"/>
  <c r="AU117" i="2"/>
  <c r="BB117" i="2" s="1"/>
  <c r="BE117" i="2" s="1"/>
  <c r="P118" i="2"/>
  <c r="AL118" i="2" s="1"/>
  <c r="AG119" i="2"/>
  <c r="I120" i="2"/>
  <c r="H120" i="2"/>
  <c r="AI123" i="2"/>
  <c r="S124" i="2"/>
  <c r="AM126" i="2"/>
  <c r="AO128" i="2"/>
  <c r="AN128" i="2"/>
  <c r="AA129" i="2"/>
  <c r="Z129" i="2"/>
  <c r="AU129" i="2"/>
  <c r="BB129" i="2" s="1"/>
  <c r="BE129" i="2" s="1"/>
  <c r="BT130" i="2"/>
  <c r="BC131" i="2"/>
  <c r="BF131" i="2" s="1"/>
  <c r="AD132" i="2"/>
  <c r="AM132" i="2"/>
  <c r="BL133" i="2"/>
  <c r="BU133" i="2"/>
  <c r="AO135" i="2"/>
  <c r="AN135" i="2"/>
  <c r="AA136" i="2"/>
  <c r="Z136" i="2"/>
  <c r="AU136" i="2"/>
  <c r="BB136" i="2" s="1"/>
  <c r="BE136" i="2" s="1"/>
  <c r="BT139" i="2"/>
  <c r="BC139" i="2"/>
  <c r="BF139" i="2" s="1"/>
  <c r="AU140" i="2"/>
  <c r="BB140" i="2" s="1"/>
  <c r="BE140" i="2" s="1"/>
  <c r="P141" i="2"/>
  <c r="AL141" i="2" s="1"/>
  <c r="BE141" i="2" s="1"/>
  <c r="BT141" i="2"/>
  <c r="BC141" i="2"/>
  <c r="BF141" i="2" s="1"/>
  <c r="BU145" i="2"/>
  <c r="BD145" i="2"/>
  <c r="W147" i="2"/>
  <c r="BL147" i="2"/>
  <c r="BS147" i="2" s="1"/>
  <c r="E148" i="2"/>
  <c r="D148" i="2"/>
  <c r="AU148" i="2"/>
  <c r="BB148" i="2" s="1"/>
  <c r="BE148" i="2" s="1"/>
  <c r="BD148" i="2"/>
  <c r="BG148" i="2" s="1"/>
  <c r="BS148" i="2"/>
  <c r="AA150" i="2"/>
  <c r="BP150" i="2"/>
  <c r="P159" i="2"/>
  <c r="AL159" i="2" s="1"/>
  <c r="AI161" i="2"/>
  <c r="AU161" i="2"/>
  <c r="AD2" i="3"/>
  <c r="AB100" i="3"/>
  <c r="CY155" i="3" s="1"/>
  <c r="AU100" i="3"/>
  <c r="AH4" i="3"/>
  <c r="BB4" i="3" s="1"/>
  <c r="BE5" i="3"/>
  <c r="BP5" i="3" s="1"/>
  <c r="AM8" i="3"/>
  <c r="AM100" i="3" s="1"/>
  <c r="BT10" i="3"/>
  <c r="AQ13" i="3"/>
  <c r="AX13" i="3" s="1"/>
  <c r="AZ14" i="3"/>
  <c r="BC14" i="3" s="1"/>
  <c r="AM14" i="3"/>
  <c r="AX14" i="3" s="1"/>
  <c r="BA14" i="3" s="1"/>
  <c r="AZ15" i="3"/>
  <c r="AM15" i="3"/>
  <c r="AX15" i="3" s="1"/>
  <c r="AZ16" i="3"/>
  <c r="AM16" i="3"/>
  <c r="BQ25" i="3"/>
  <c r="BE26" i="3"/>
  <c r="BP26" i="3" s="1"/>
  <c r="AI31" i="3"/>
  <c r="S32" i="3"/>
  <c r="AI32" i="3"/>
  <c r="S33" i="3"/>
  <c r="BI33" i="3"/>
  <c r="BP33" i="3" s="1"/>
  <c r="E34" i="3"/>
  <c r="D34" i="3"/>
  <c r="BI39" i="3"/>
  <c r="BR39" i="3"/>
  <c r="H40" i="3"/>
  <c r="G40" i="3"/>
  <c r="H41" i="3"/>
  <c r="G41" i="3"/>
  <c r="H42" i="3"/>
  <c r="G42" i="3"/>
  <c r="AD42" i="3"/>
  <c r="BI42" i="3"/>
  <c r="BP42" i="3" s="1"/>
  <c r="E43" i="3"/>
  <c r="D43" i="3"/>
  <c r="BR45" i="3"/>
  <c r="AU46" i="3"/>
  <c r="AC47" i="3"/>
  <c r="AZ47" i="3"/>
  <c r="BC47" i="3" s="1"/>
  <c r="BI47" i="3"/>
  <c r="AJ48" i="3"/>
  <c r="AJ49" i="3"/>
  <c r="BQ49" i="3"/>
  <c r="O50" i="3"/>
  <c r="AM50" i="3"/>
  <c r="AX50" i="3" s="1"/>
  <c r="W51" i="3"/>
  <c r="V51" i="3"/>
  <c r="AQ51" i="3"/>
  <c r="AX51" i="3" s="1"/>
  <c r="AE52" i="3"/>
  <c r="AC53" i="3"/>
  <c r="AY53" i="3"/>
  <c r="BB53" i="3" s="1"/>
  <c r="BQ53" i="3"/>
  <c r="AH54" i="3"/>
  <c r="AX54" i="3"/>
  <c r="V55" i="3"/>
  <c r="AQ55" i="3"/>
  <c r="AC56" i="3"/>
  <c r="AZ57" i="3"/>
  <c r="AM57" i="3"/>
  <c r="AX57" i="3" s="1"/>
  <c r="BA57" i="3" s="1"/>
  <c r="AH58" i="3"/>
  <c r="C59" i="3"/>
  <c r="P59" i="3"/>
  <c r="Z59" i="3"/>
  <c r="AK59" i="3"/>
  <c r="AE60" i="3"/>
  <c r="AC61" i="3"/>
  <c r="AY61" i="3"/>
  <c r="BB61" i="3" s="1"/>
  <c r="BQ61" i="3"/>
  <c r="E62" i="3"/>
  <c r="D62" i="3"/>
  <c r="AJ62" i="3"/>
  <c r="BQ62" i="3"/>
  <c r="L63" i="3"/>
  <c r="AI63" i="3"/>
  <c r="BP63" i="3"/>
  <c r="AZ65" i="3"/>
  <c r="BC65" i="3" s="1"/>
  <c r="AM65" i="3"/>
  <c r="AX65" i="3" s="1"/>
  <c r="BA65" i="3" s="1"/>
  <c r="AI66" i="3"/>
  <c r="AY66" i="3"/>
  <c r="BB66" i="3" s="1"/>
  <c r="C67" i="3"/>
  <c r="V69" i="3"/>
  <c r="BI69" i="3"/>
  <c r="E70" i="3"/>
  <c r="D70" i="3"/>
  <c r="AJ70" i="3"/>
  <c r="BQ70" i="3"/>
  <c r="L71" i="3"/>
  <c r="AI71" i="3"/>
  <c r="AD73" i="3"/>
  <c r="G74" i="3"/>
  <c r="AC74" i="3"/>
  <c r="D75" i="3"/>
  <c r="BQ75" i="3"/>
  <c r="W79" i="3"/>
  <c r="AJ79" i="3"/>
  <c r="BE79" i="3"/>
  <c r="BP79" i="3" s="1"/>
  <c r="AH81" i="3"/>
  <c r="AC81" i="3"/>
  <c r="V82" i="3"/>
  <c r="AE84" i="3"/>
  <c r="BC84" i="3"/>
  <c r="AK84" i="3"/>
  <c r="AJ84" i="3"/>
  <c r="AQ85" i="3"/>
  <c r="AI86" i="3"/>
  <c r="S86" i="3"/>
  <c r="W86" i="3"/>
  <c r="V86" i="3"/>
  <c r="BC88" i="3"/>
  <c r="AC91" i="3"/>
  <c r="AI91" i="3"/>
  <c r="Z91" i="3"/>
  <c r="AD91" i="3"/>
  <c r="BB96" i="3"/>
  <c r="AU99" i="3"/>
  <c r="AX99" i="3" s="1"/>
  <c r="BB106" i="3"/>
  <c r="BB108" i="3"/>
  <c r="AD15" i="4"/>
  <c r="AC15" i="4"/>
  <c r="O34" i="4"/>
  <c r="AE34" i="4"/>
  <c r="BB72" i="4"/>
  <c r="AC86" i="4"/>
  <c r="AD86" i="4"/>
  <c r="AE111" i="4"/>
  <c r="P111" i="4"/>
  <c r="BU112" i="2"/>
  <c r="BH112" i="2"/>
  <c r="BG113" i="2"/>
  <c r="AG115" i="2"/>
  <c r="I116" i="2"/>
  <c r="H116" i="2"/>
  <c r="S120" i="2"/>
  <c r="AM122" i="2"/>
  <c r="T125" i="2"/>
  <c r="S125" i="2"/>
  <c r="AK125" i="2"/>
  <c r="BF125" i="2" s="1"/>
  <c r="BL127" i="2"/>
  <c r="BS127" i="2" s="1"/>
  <c r="BU127" i="2"/>
  <c r="I128" i="2"/>
  <c r="H128" i="2"/>
  <c r="G128" i="2"/>
  <c r="L130" i="2"/>
  <c r="K130" i="2"/>
  <c r="BL134" i="2"/>
  <c r="BS134" i="2" s="1"/>
  <c r="BU134" i="2"/>
  <c r="I135" i="2"/>
  <c r="H135" i="2"/>
  <c r="G135" i="2"/>
  <c r="L137" i="2"/>
  <c r="K137" i="2"/>
  <c r="BT138" i="2"/>
  <c r="BC138" i="2"/>
  <c r="BF138" i="2" s="1"/>
  <c r="BU139" i="2"/>
  <c r="BD139" i="2"/>
  <c r="AA140" i="2"/>
  <c r="Z140" i="2"/>
  <c r="BU141" i="2"/>
  <c r="BD141" i="2"/>
  <c r="E144" i="2"/>
  <c r="D144" i="2"/>
  <c r="AU144" i="2"/>
  <c r="BD144" i="2"/>
  <c r="BG144" i="2" s="1"/>
  <c r="BS144" i="2"/>
  <c r="BB144" i="2"/>
  <c r="BE144" i="2" s="1"/>
  <c r="AI146" i="2"/>
  <c r="T146" i="2"/>
  <c r="AA146" i="2"/>
  <c r="BU150" i="2"/>
  <c r="BH150" i="2"/>
  <c r="Z160" i="2"/>
  <c r="BU160" i="2"/>
  <c r="BD160" i="2"/>
  <c r="BG160" i="2" s="1"/>
  <c r="S100" i="3"/>
  <c r="V5" i="3"/>
  <c r="AX6" i="3"/>
  <c r="BB7" i="3"/>
  <c r="BB8" i="3"/>
  <c r="P12" i="3"/>
  <c r="O12" i="3"/>
  <c r="AH12" i="3"/>
  <c r="BB12" i="3" s="1"/>
  <c r="AX12" i="3"/>
  <c r="W13" i="3"/>
  <c r="V13" i="3"/>
  <c r="AD14" i="3"/>
  <c r="BI17" i="3"/>
  <c r="BR17" i="3"/>
  <c r="H18" i="3"/>
  <c r="G18" i="3"/>
  <c r="BI18" i="3"/>
  <c r="BR18" i="3"/>
  <c r="H19" i="3"/>
  <c r="G19" i="3"/>
  <c r="BI19" i="3"/>
  <c r="BR19" i="3"/>
  <c r="H20" i="3"/>
  <c r="G20" i="3"/>
  <c r="BI20" i="3"/>
  <c r="BR20" i="3"/>
  <c r="H21" i="3"/>
  <c r="G21" i="3"/>
  <c r="BI21" i="3"/>
  <c r="BR21" i="3"/>
  <c r="H22" i="3"/>
  <c r="G22" i="3"/>
  <c r="BI22" i="3"/>
  <c r="BR22" i="3"/>
  <c r="H23" i="3"/>
  <c r="G23" i="3"/>
  <c r="BI23" i="3"/>
  <c r="BR23" i="3"/>
  <c r="H24" i="3"/>
  <c r="G24" i="3"/>
  <c r="BI24" i="3"/>
  <c r="BP24" i="3" s="1"/>
  <c r="BR24" i="3"/>
  <c r="H25" i="3"/>
  <c r="G25" i="3"/>
  <c r="E26" i="3"/>
  <c r="D26" i="3"/>
  <c r="V27" i="3"/>
  <c r="E29" i="3"/>
  <c r="D29" i="3"/>
  <c r="C29" i="3"/>
  <c r="BE30" i="3"/>
  <c r="BP30" i="3" s="1"/>
  <c r="O34" i="3"/>
  <c r="L35" i="3"/>
  <c r="AI35" i="3"/>
  <c r="V39" i="3"/>
  <c r="O43" i="3"/>
  <c r="AG44" i="3"/>
  <c r="AI45" i="3"/>
  <c r="AZ46" i="3"/>
  <c r="AM46" i="3"/>
  <c r="AH47" i="3"/>
  <c r="BB47" i="3" s="1"/>
  <c r="AD47" i="3"/>
  <c r="P48" i="3"/>
  <c r="AK48" i="3"/>
  <c r="P50" i="3"/>
  <c r="AI50" i="3"/>
  <c r="AI51" i="3"/>
  <c r="H53" i="3"/>
  <c r="G53" i="3"/>
  <c r="AD53" i="3"/>
  <c r="E54" i="3"/>
  <c r="D54" i="3"/>
  <c r="Z54" i="3"/>
  <c r="AI54" i="3"/>
  <c r="BB56" i="3"/>
  <c r="AD57" i="3"/>
  <c r="D59" i="3"/>
  <c r="H61" i="3"/>
  <c r="G61" i="3"/>
  <c r="AD61" i="3"/>
  <c r="AZ61" i="3"/>
  <c r="O62" i="3"/>
  <c r="BQ63" i="3"/>
  <c r="AI64" i="3"/>
  <c r="AD65" i="3"/>
  <c r="AC66" i="3"/>
  <c r="AZ66" i="3"/>
  <c r="D67" i="3"/>
  <c r="W68" i="3"/>
  <c r="BE68" i="3"/>
  <c r="BP68" i="3" s="1"/>
  <c r="W69" i="3"/>
  <c r="O70" i="3"/>
  <c r="BQ71" i="3"/>
  <c r="AI72" i="3"/>
  <c r="AD74" i="3"/>
  <c r="P76" i="3"/>
  <c r="O76" i="3"/>
  <c r="AM76" i="3"/>
  <c r="BE77" i="3"/>
  <c r="BP77" i="3" s="1"/>
  <c r="AD81" i="3"/>
  <c r="BE84" i="3"/>
  <c r="BP84" i="3" s="1"/>
  <c r="BR84" i="3"/>
  <c r="AE86" i="3"/>
  <c r="AD86" i="3"/>
  <c r="AE88" i="3"/>
  <c r="AX89" i="3"/>
  <c r="BA89" i="3" s="1"/>
  <c r="BB90" i="3"/>
  <c r="BP90" i="3"/>
  <c r="AM92" i="3"/>
  <c r="AX92" i="3" s="1"/>
  <c r="AZ92" i="3"/>
  <c r="AX94" i="3"/>
  <c r="BC95" i="3"/>
  <c r="H96" i="3"/>
  <c r="G96" i="3"/>
  <c r="E98" i="3"/>
  <c r="D98" i="3"/>
  <c r="C98" i="3"/>
  <c r="V98" i="3"/>
  <c r="S98" i="3"/>
  <c r="AI98" i="3"/>
  <c r="W98" i="3"/>
  <c r="P99" i="3"/>
  <c r="O99" i="3"/>
  <c r="AE99" i="3"/>
  <c r="W105" i="3"/>
  <c r="S105" i="3"/>
  <c r="AI105" i="3"/>
  <c r="V105" i="3"/>
  <c r="L107" i="3"/>
  <c r="O107" i="3"/>
  <c r="AI107" i="3"/>
  <c r="P107" i="3"/>
  <c r="BQ107" i="3"/>
  <c r="BB6" i="4"/>
  <c r="BB10" i="4"/>
  <c r="BB33" i="4"/>
  <c r="BB35" i="4"/>
  <c r="AK43" i="4"/>
  <c r="BC43" i="4"/>
  <c r="AJ43" i="4"/>
  <c r="AE45" i="4"/>
  <c r="BA53" i="4"/>
  <c r="W69" i="4"/>
  <c r="V69" i="4"/>
  <c r="BB76" i="4"/>
  <c r="AE86" i="4"/>
  <c r="BC110" i="4"/>
  <c r="I112" i="2"/>
  <c r="H112" i="2"/>
  <c r="S116" i="2"/>
  <c r="AM118" i="2"/>
  <c r="T121" i="2"/>
  <c r="S121" i="2"/>
  <c r="AK121" i="2"/>
  <c r="BF121" i="2" s="1"/>
  <c r="AH124" i="2"/>
  <c r="AG124" i="2"/>
  <c r="BB125" i="2"/>
  <c r="BE125" i="2" s="1"/>
  <c r="BS125" i="2"/>
  <c r="AK126" i="2"/>
  <c r="L132" i="2"/>
  <c r="K132" i="2"/>
  <c r="AM133" i="2"/>
  <c r="W137" i="2"/>
  <c r="BD138" i="2"/>
  <c r="BG138" i="2" s="1"/>
  <c r="AA142" i="2"/>
  <c r="BP142" i="2"/>
  <c r="C144" i="2"/>
  <c r="BC144" i="2"/>
  <c r="BF144" i="2" s="1"/>
  <c r="K145" i="2"/>
  <c r="BU146" i="2"/>
  <c r="BH146" i="2"/>
  <c r="P148" i="2"/>
  <c r="AL148" i="2" s="1"/>
  <c r="AG149" i="2"/>
  <c r="I150" i="2"/>
  <c r="H150" i="2"/>
  <c r="S157" i="2"/>
  <c r="AM159" i="2"/>
  <c r="AO160" i="2"/>
  <c r="AN160" i="2"/>
  <c r="J100" i="3"/>
  <c r="T100" i="3"/>
  <c r="AP100" i="3"/>
  <c r="G3" i="3"/>
  <c r="E4" i="3"/>
  <c r="D4" i="3"/>
  <c r="C4" i="3"/>
  <c r="AC4" i="3"/>
  <c r="AC100" i="3" s="1"/>
  <c r="AK5" i="3"/>
  <c r="AJ5" i="3"/>
  <c r="BC5" i="3"/>
  <c r="BR5" i="3"/>
  <c r="O6" i="3"/>
  <c r="W7" i="3"/>
  <c r="V7" i="3"/>
  <c r="AC8" i="3"/>
  <c r="C9" i="3"/>
  <c r="P9" i="3"/>
  <c r="BM9" i="3"/>
  <c r="V10" i="3"/>
  <c r="AH11" i="3"/>
  <c r="C12" i="3"/>
  <c r="Z12" i="3"/>
  <c r="AI12" i="3"/>
  <c r="O26" i="3"/>
  <c r="AK27" i="3"/>
  <c r="AJ27" i="3"/>
  <c r="BP31" i="3"/>
  <c r="BP36" i="3"/>
  <c r="AI37" i="3"/>
  <c r="L37" i="3"/>
  <c r="L38" i="3"/>
  <c r="V42" i="3"/>
  <c r="O44" i="3"/>
  <c r="BQ44" i="3"/>
  <c r="V45" i="3"/>
  <c r="AD46" i="3"/>
  <c r="G47" i="3"/>
  <c r="BR48" i="3"/>
  <c r="BE48" i="3"/>
  <c r="BP48" i="3" s="1"/>
  <c r="AC50" i="3"/>
  <c r="AZ50" i="3"/>
  <c r="W52" i="3"/>
  <c r="AY54" i="3"/>
  <c r="AH55" i="3"/>
  <c r="BB55" i="3" s="1"/>
  <c r="AX55" i="3"/>
  <c r="AE56" i="3"/>
  <c r="W56" i="3"/>
  <c r="V56" i="3"/>
  <c r="AQ56" i="3"/>
  <c r="AX56" i="3" s="1"/>
  <c r="W60" i="3"/>
  <c r="AM63" i="3"/>
  <c r="BR63" i="3"/>
  <c r="L64" i="3"/>
  <c r="S67" i="3"/>
  <c r="BR67" i="3"/>
  <c r="BE67" i="3"/>
  <c r="BP67" i="3" s="1"/>
  <c r="AM71" i="3"/>
  <c r="BR71" i="3"/>
  <c r="L72" i="3"/>
  <c r="AG73" i="3"/>
  <c r="BE73" i="3"/>
  <c r="BP73" i="3" s="1"/>
  <c r="BC74" i="3"/>
  <c r="AI76" i="3"/>
  <c r="Z76" i="3"/>
  <c r="V77" i="3"/>
  <c r="S77" i="3"/>
  <c r="AI77" i="3"/>
  <c r="O79" i="3"/>
  <c r="BR79" i="3"/>
  <c r="E80" i="3"/>
  <c r="D80" i="3"/>
  <c r="C80" i="3"/>
  <c r="Z80" i="3"/>
  <c r="AX80" i="3"/>
  <c r="P82" i="3"/>
  <c r="AI82" i="3"/>
  <c r="L82" i="3"/>
  <c r="BP82" i="3"/>
  <c r="AI83" i="3"/>
  <c r="O83" i="3"/>
  <c r="L83" i="3"/>
  <c r="AY83" i="3"/>
  <c r="BB83" i="3" s="1"/>
  <c r="AG85" i="3"/>
  <c r="AK85" i="3"/>
  <c r="AJ85" i="3"/>
  <c r="BQ85" i="3"/>
  <c r="BI85" i="3"/>
  <c r="AX87" i="3"/>
  <c r="BI89" i="3"/>
  <c r="BP89" i="3" s="1"/>
  <c r="S90" i="3"/>
  <c r="W90" i="3"/>
  <c r="V90" i="3"/>
  <c r="AQ90" i="3"/>
  <c r="AX90" i="3" s="1"/>
  <c r="BA90" i="3" s="1"/>
  <c r="AZ90" i="3"/>
  <c r="BC90" i="3" s="1"/>
  <c r="D91" i="3"/>
  <c r="E91" i="3"/>
  <c r="C91" i="3"/>
  <c r="W91" i="3"/>
  <c r="AE91" i="3"/>
  <c r="V91" i="3"/>
  <c r="P94" i="3"/>
  <c r="O94" i="3"/>
  <c r="AE94" i="3"/>
  <c r="AE95" i="3"/>
  <c r="C109" i="3"/>
  <c r="D109" i="3"/>
  <c r="BB11" i="4"/>
  <c r="AE18" i="4"/>
  <c r="BC26" i="4"/>
  <c r="BC28" i="4"/>
  <c r="BA30" i="4"/>
  <c r="AJ33" i="4"/>
  <c r="AK33" i="4"/>
  <c r="AC67" i="4"/>
  <c r="AD67" i="4"/>
  <c r="AE72" i="4"/>
  <c r="P72" i="4"/>
  <c r="BB96" i="4"/>
  <c r="AA12" i="5"/>
  <c r="Z12" i="5"/>
  <c r="BF27" i="5"/>
  <c r="AG100" i="2"/>
  <c r="BU101" i="2"/>
  <c r="BH101" i="2"/>
  <c r="BC102" i="2"/>
  <c r="BF102" i="2" s="1"/>
  <c r="BU104" i="2"/>
  <c r="BH104" i="2"/>
  <c r="AI105" i="2"/>
  <c r="P106" i="2"/>
  <c r="AG107" i="2"/>
  <c r="I108" i="2"/>
  <c r="H108" i="2"/>
  <c r="G112" i="2"/>
  <c r="S112" i="2"/>
  <c r="T114" i="2"/>
  <c r="AM114" i="2"/>
  <c r="T117" i="2"/>
  <c r="S117" i="2"/>
  <c r="AK117" i="2"/>
  <c r="BF117" i="2" s="1"/>
  <c r="BL118" i="2"/>
  <c r="BS118" i="2" s="1"/>
  <c r="AH120" i="2"/>
  <c r="AG120" i="2"/>
  <c r="AD121" i="2"/>
  <c r="BB121" i="2"/>
  <c r="BE121" i="2" s="1"/>
  <c r="BS121" i="2"/>
  <c r="AK122" i="2"/>
  <c r="BT123" i="2"/>
  <c r="BC123" i="2"/>
  <c r="BF123" i="2" s="1"/>
  <c r="AG125" i="2"/>
  <c r="K126" i="2"/>
  <c r="AD127" i="2"/>
  <c r="AM127" i="2"/>
  <c r="BG127" i="2" s="1"/>
  <c r="AQ128" i="2"/>
  <c r="BW128" i="2"/>
  <c r="G129" i="2"/>
  <c r="T129" i="2"/>
  <c r="Z130" i="2"/>
  <c r="D131" i="2"/>
  <c r="W132" i="2"/>
  <c r="C133" i="2"/>
  <c r="AQ135" i="2"/>
  <c r="BW135" i="2"/>
  <c r="G136" i="2"/>
  <c r="T136" i="2"/>
  <c r="Z137" i="2"/>
  <c r="S138" i="2"/>
  <c r="AK140" i="2"/>
  <c r="BF140" i="2" s="1"/>
  <c r="BU142" i="2"/>
  <c r="BH142" i="2"/>
  <c r="AI143" i="2"/>
  <c r="P144" i="2"/>
  <c r="AL144" i="2" s="1"/>
  <c r="AG145" i="2"/>
  <c r="I146" i="2"/>
  <c r="H146" i="2"/>
  <c r="Z147" i="2"/>
  <c r="S148" i="2"/>
  <c r="G150" i="2"/>
  <c r="S150" i="2"/>
  <c r="T157" i="2"/>
  <c r="BT157" i="2"/>
  <c r="AA158" i="2"/>
  <c r="Z158" i="2"/>
  <c r="BL159" i="2"/>
  <c r="BS159" i="2" s="1"/>
  <c r="I160" i="2"/>
  <c r="H160" i="2"/>
  <c r="G160" i="2"/>
  <c r="T161" i="2"/>
  <c r="S161" i="2"/>
  <c r="AK161" i="2"/>
  <c r="BF161" i="2" s="1"/>
  <c r="AA162" i="2"/>
  <c r="Z162" i="2"/>
  <c r="K2" i="3"/>
  <c r="P2" i="3" s="1"/>
  <c r="P100" i="3" s="1"/>
  <c r="W2" i="3"/>
  <c r="W100" i="3" s="1"/>
  <c r="V2" i="3"/>
  <c r="U100" i="3"/>
  <c r="BT2" i="3"/>
  <c r="BT100" i="3" s="1"/>
  <c r="BV100" i="3"/>
  <c r="DF155" i="3" s="1"/>
  <c r="BR3" i="3"/>
  <c r="AD4" i="3"/>
  <c r="E5" i="3"/>
  <c r="D5" i="3"/>
  <c r="C5" i="3"/>
  <c r="P6" i="3"/>
  <c r="AI6" i="3"/>
  <c r="AY6" i="3"/>
  <c r="BB6" i="3" s="1"/>
  <c r="BI8" i="3"/>
  <c r="BP8" i="3" s="1"/>
  <c r="BR8" i="3"/>
  <c r="D9" i="3"/>
  <c r="BR9" i="3"/>
  <c r="BE9" i="3"/>
  <c r="BP9" i="3" s="1"/>
  <c r="Z11" i="3"/>
  <c r="AI11" i="3"/>
  <c r="AY11" i="3"/>
  <c r="BB11" i="3" s="1"/>
  <c r="BM11" i="3"/>
  <c r="D12" i="3"/>
  <c r="AC12" i="3"/>
  <c r="AH13" i="3"/>
  <c r="V25" i="3"/>
  <c r="BC27" i="3"/>
  <c r="W28" i="3"/>
  <c r="V28" i="3"/>
  <c r="AD29" i="3"/>
  <c r="AC29" i="3"/>
  <c r="V33" i="3"/>
  <c r="AQ33" i="3"/>
  <c r="AD34" i="3"/>
  <c r="AC34" i="3"/>
  <c r="P35" i="3"/>
  <c r="BQ35" i="3"/>
  <c r="O36" i="3"/>
  <c r="BQ36" i="3"/>
  <c r="O37" i="3"/>
  <c r="BQ37" i="3"/>
  <c r="O38" i="3"/>
  <c r="L40" i="3"/>
  <c r="L41" i="3"/>
  <c r="L42" i="3"/>
  <c r="W42" i="3"/>
  <c r="AQ42" i="3"/>
  <c r="AX42" i="3" s="1"/>
  <c r="AD43" i="3"/>
  <c r="AC43" i="3"/>
  <c r="P44" i="3"/>
  <c r="BR44" i="3"/>
  <c r="V47" i="3"/>
  <c r="AD49" i="3"/>
  <c r="AC49" i="3"/>
  <c r="BT49" i="3"/>
  <c r="AH50" i="3"/>
  <c r="BB50" i="3" s="1"/>
  <c r="C51" i="3"/>
  <c r="P51" i="3"/>
  <c r="Z51" i="3"/>
  <c r="BM51" i="3"/>
  <c r="V53" i="3"/>
  <c r="S54" i="3"/>
  <c r="AD54" i="3"/>
  <c r="AZ54" i="3"/>
  <c r="BI54" i="3"/>
  <c r="E55" i="3"/>
  <c r="D55" i="3"/>
  <c r="Z55" i="3"/>
  <c r="AI55" i="3"/>
  <c r="AI56" i="3"/>
  <c r="AG57" i="3"/>
  <c r="BE57" i="3"/>
  <c r="BP57" i="3" s="1"/>
  <c r="W58" i="3"/>
  <c r="BP58" i="3"/>
  <c r="S59" i="3"/>
  <c r="AC59" i="3"/>
  <c r="BR59" i="3"/>
  <c r="BE59" i="3"/>
  <c r="BP59" i="3" s="1"/>
  <c r="V61" i="3"/>
  <c r="AD62" i="3"/>
  <c r="AC62" i="3"/>
  <c r="AG65" i="3"/>
  <c r="BE65" i="3"/>
  <c r="BP65" i="3" s="1"/>
  <c r="V66" i="3"/>
  <c r="BR68" i="3"/>
  <c r="AD70" i="3"/>
  <c r="AC70" i="3"/>
  <c r="V73" i="3"/>
  <c r="BQ73" i="3"/>
  <c r="L74" i="3"/>
  <c r="W74" i="3"/>
  <c r="AQ74" i="3"/>
  <c r="AX74" i="3" s="1"/>
  <c r="BA74" i="3" s="1"/>
  <c r="AZ74" i="3"/>
  <c r="W75" i="3"/>
  <c r="V75" i="3"/>
  <c r="BC75" i="3"/>
  <c r="D76" i="3"/>
  <c r="AC76" i="3"/>
  <c r="BI76" i="3"/>
  <c r="W77" i="3"/>
  <c r="AH77" i="3"/>
  <c r="BB77" i="3" s="1"/>
  <c r="BR77" i="3"/>
  <c r="P79" i="3"/>
  <c r="AH80" i="3"/>
  <c r="BB80" i="3" s="1"/>
  <c r="L81" i="3"/>
  <c r="W81" i="3"/>
  <c r="BQ81" i="3"/>
  <c r="O82" i="3"/>
  <c r="AM82" i="3"/>
  <c r="AX82" i="3" s="1"/>
  <c r="BQ82" i="3"/>
  <c r="P83" i="3"/>
  <c r="AY87" i="3"/>
  <c r="BB87" i="3" s="1"/>
  <c r="AM87" i="3"/>
  <c r="AK90" i="3"/>
  <c r="BB94" i="3"/>
  <c r="AX96" i="3"/>
  <c r="P98" i="3"/>
  <c r="O98" i="3"/>
  <c r="AE98" i="3"/>
  <c r="BR98" i="3"/>
  <c r="BE98" i="3"/>
  <c r="BP98" i="3" s="1"/>
  <c r="BQ99" i="3"/>
  <c r="BE99" i="3"/>
  <c r="BP99" i="3" s="1"/>
  <c r="AE105" i="3"/>
  <c r="P105" i="3"/>
  <c r="AZ105" i="3"/>
  <c r="AM105" i="3"/>
  <c r="AX105" i="3" s="1"/>
  <c r="S106" i="3"/>
  <c r="W106" i="3"/>
  <c r="V106" i="3"/>
  <c r="AX106" i="3"/>
  <c r="AE3" i="4"/>
  <c r="BP3" i="4"/>
  <c r="BB8" i="4"/>
  <c r="AJ9" i="4"/>
  <c r="AK9" i="4"/>
  <c r="BC9" i="4"/>
  <c r="AG14" i="4"/>
  <c r="BC17" i="4"/>
  <c r="BB23" i="4"/>
  <c r="AX25" i="4"/>
  <c r="BA25" i="4" s="1"/>
  <c r="AE42" i="4"/>
  <c r="AG42" i="4"/>
  <c r="BC59" i="4"/>
  <c r="AE75" i="4"/>
  <c r="AE85" i="4"/>
  <c r="O85" i="4"/>
  <c r="P85" i="4"/>
  <c r="BA85" i="4"/>
  <c r="BP109" i="4"/>
  <c r="BC111" i="4"/>
  <c r="BF7" i="5"/>
  <c r="BF12" i="5"/>
  <c r="E49" i="3"/>
  <c r="BL49" i="3"/>
  <c r="BH49" i="3" s="1"/>
  <c r="BH100" i="3" s="1"/>
  <c r="E52" i="3"/>
  <c r="E60" i="3"/>
  <c r="AD60" i="3"/>
  <c r="P62" i="3"/>
  <c r="D63" i="3"/>
  <c r="W65" i="3"/>
  <c r="H67" i="3"/>
  <c r="E68" i="3"/>
  <c r="AD68" i="3"/>
  <c r="P70" i="3"/>
  <c r="D71" i="3"/>
  <c r="W73" i="3"/>
  <c r="H75" i="3"/>
  <c r="BR76" i="3"/>
  <c r="D79" i="3"/>
  <c r="BR80" i="3"/>
  <c r="H81" i="3"/>
  <c r="AC83" i="3"/>
  <c r="E84" i="3"/>
  <c r="W84" i="3"/>
  <c r="AZ85" i="3"/>
  <c r="BC85" i="3" s="1"/>
  <c r="O88" i="3"/>
  <c r="AG88" i="3"/>
  <c r="BA88" i="3" s="1"/>
  <c r="Z89" i="3"/>
  <c r="BE92" i="3"/>
  <c r="BP92" i="3" s="1"/>
  <c r="O95" i="3"/>
  <c r="D96" i="3"/>
  <c r="O96" i="3"/>
  <c r="AI96" i="3"/>
  <c r="BS96" i="3"/>
  <c r="BH96" i="3" s="1"/>
  <c r="L97" i="3"/>
  <c r="H99" i="3"/>
  <c r="AI99" i="3"/>
  <c r="AD99" i="3"/>
  <c r="AW100" i="3"/>
  <c r="DB155" i="3" s="1"/>
  <c r="Z104" i="3"/>
  <c r="AH104" i="3"/>
  <c r="BB104" i="3" s="1"/>
  <c r="E106" i="3"/>
  <c r="AI106" i="3"/>
  <c r="L108" i="3"/>
  <c r="AM108" i="3"/>
  <c r="AE109" i="3"/>
  <c r="AM109" i="3"/>
  <c r="BR110" i="3"/>
  <c r="BE110" i="3"/>
  <c r="BP110" i="3" s="1"/>
  <c r="AX2" i="4"/>
  <c r="BG97" i="4"/>
  <c r="DA129" i="4" s="1"/>
  <c r="BO97" i="4"/>
  <c r="DC129" i="4" s="1"/>
  <c r="BW97" i="4"/>
  <c r="AU3" i="4"/>
  <c r="H4" i="4"/>
  <c r="AH4" i="4"/>
  <c r="BB4" i="4" s="1"/>
  <c r="AH5" i="4"/>
  <c r="BB5" i="4" s="1"/>
  <c r="BM5" i="4"/>
  <c r="BP5" i="4" s="1"/>
  <c r="Z7" i="4"/>
  <c r="Z8" i="4"/>
  <c r="AG8" i="4" s="1"/>
  <c r="AI8" i="4"/>
  <c r="S9" i="4"/>
  <c r="O11" i="4"/>
  <c r="Z11" i="4"/>
  <c r="AG11" i="4" s="1"/>
  <c r="AI11" i="4"/>
  <c r="E12" i="4"/>
  <c r="W12" i="4"/>
  <c r="L13" i="4"/>
  <c r="W13" i="4"/>
  <c r="BR13" i="4"/>
  <c r="BI16" i="4"/>
  <c r="BP16" i="4" s="1"/>
  <c r="W17" i="4"/>
  <c r="P20" i="4"/>
  <c r="E22" i="4"/>
  <c r="Z22" i="4"/>
  <c r="AG22" i="4" s="1"/>
  <c r="AZ22" i="4"/>
  <c r="Z23" i="4"/>
  <c r="AG23" i="4" s="1"/>
  <c r="AZ23" i="4"/>
  <c r="BI24" i="4"/>
  <c r="BI25" i="4"/>
  <c r="L28" i="4"/>
  <c r="AG28" i="4" s="1"/>
  <c r="BA28" i="4" s="1"/>
  <c r="O28" i="4"/>
  <c r="AI28" i="4"/>
  <c r="L32" i="4"/>
  <c r="Z34" i="4"/>
  <c r="AI34" i="4"/>
  <c r="BC34" i="4" s="1"/>
  <c r="D35" i="4"/>
  <c r="L37" i="4"/>
  <c r="AG37" i="4" s="1"/>
  <c r="V37" i="4"/>
  <c r="AU38" i="4"/>
  <c r="AX38" i="4" s="1"/>
  <c r="BA38" i="4" s="1"/>
  <c r="L39" i="4"/>
  <c r="W39" i="4"/>
  <c r="Z40" i="4"/>
  <c r="AH40" i="4"/>
  <c r="BB40" i="4" s="1"/>
  <c r="BM41" i="4"/>
  <c r="BP41" i="4" s="1"/>
  <c r="BR42" i="4"/>
  <c r="BR44" i="4"/>
  <c r="L45" i="4"/>
  <c r="AH46" i="4"/>
  <c r="AY46" i="4"/>
  <c r="BB46" i="4" s="1"/>
  <c r="AQ47" i="4"/>
  <c r="D48" i="4"/>
  <c r="P49" i="4"/>
  <c r="O49" i="4"/>
  <c r="AU49" i="4"/>
  <c r="AX49" i="4" s="1"/>
  <c r="BA49" i="4" s="1"/>
  <c r="AU50" i="4"/>
  <c r="AH51" i="4"/>
  <c r="AY51" i="4"/>
  <c r="BB51" i="4" s="1"/>
  <c r="P52" i="4"/>
  <c r="O52" i="4"/>
  <c r="BI52" i="4"/>
  <c r="H56" i="4"/>
  <c r="AE56" i="4"/>
  <c r="BI57" i="4"/>
  <c r="BP57" i="4" s="1"/>
  <c r="Z58" i="4"/>
  <c r="AG58" i="4" s="1"/>
  <c r="AI58" i="4"/>
  <c r="BC58" i="4" s="1"/>
  <c r="S63" i="4"/>
  <c r="BI63" i="4"/>
  <c r="BR63" i="4"/>
  <c r="D66" i="4"/>
  <c r="BQ67" i="4"/>
  <c r="W68" i="4"/>
  <c r="S69" i="4"/>
  <c r="P70" i="4"/>
  <c r="AZ70" i="4"/>
  <c r="BC70" i="4" s="1"/>
  <c r="D71" i="4"/>
  <c r="AK72" i="4"/>
  <c r="AJ72" i="4"/>
  <c r="AH73" i="4"/>
  <c r="AY73" i="4"/>
  <c r="AK75" i="4"/>
  <c r="AJ75" i="4"/>
  <c r="BM75" i="4"/>
  <c r="BP75" i="4" s="1"/>
  <c r="AE76" i="4"/>
  <c r="AY78" i="4"/>
  <c r="BB78" i="4" s="1"/>
  <c r="AE80" i="4"/>
  <c r="O80" i="4"/>
  <c r="AH80" i="4"/>
  <c r="BB80" i="4" s="1"/>
  <c r="BR80" i="4"/>
  <c r="W81" i="4"/>
  <c r="AZ83" i="4"/>
  <c r="BC83" i="4" s="1"/>
  <c r="Z84" i="4"/>
  <c r="AI84" i="4"/>
  <c r="BQ85" i="4"/>
  <c r="AD87" i="4"/>
  <c r="AH88" i="4"/>
  <c r="AY89" i="4"/>
  <c r="BB89" i="4" s="1"/>
  <c r="AE91" i="4"/>
  <c r="O91" i="4"/>
  <c r="AH91" i="4"/>
  <c r="BB91" i="4" s="1"/>
  <c r="BR91" i="4"/>
  <c r="W92" i="4"/>
  <c r="S96" i="4"/>
  <c r="BI96" i="4"/>
  <c r="AY104" i="4"/>
  <c r="BB104" i="4" s="1"/>
  <c r="AE105" i="4"/>
  <c r="AQ107" i="4"/>
  <c r="AZ107" i="4"/>
  <c r="AQ108" i="4"/>
  <c r="AX108" i="4" s="1"/>
  <c r="BA108" i="4" s="1"/>
  <c r="AI109" i="4"/>
  <c r="O110" i="4"/>
  <c r="AE110" i="4"/>
  <c r="P110" i="4"/>
  <c r="V110" i="4"/>
  <c r="AI110" i="4"/>
  <c r="AS161" i="5"/>
  <c r="DE192" i="5" s="1"/>
  <c r="BM2" i="5"/>
  <c r="BM161" i="5" s="1"/>
  <c r="BV2" i="5"/>
  <c r="AD3" i="5"/>
  <c r="AM3" i="5"/>
  <c r="AD6" i="5"/>
  <c r="BF8" i="5"/>
  <c r="AL9" i="5"/>
  <c r="BF9" i="5" s="1"/>
  <c r="AU9" i="5"/>
  <c r="BB9" i="5" s="1"/>
  <c r="BB10" i="5"/>
  <c r="BQ11" i="5"/>
  <c r="BT11" i="5" s="1"/>
  <c r="W12" i="5"/>
  <c r="AU13" i="5"/>
  <c r="AO14" i="5"/>
  <c r="AN14" i="5"/>
  <c r="BC14" i="5"/>
  <c r="BF14" i="5" s="1"/>
  <c r="H16" i="5"/>
  <c r="AY16" i="5"/>
  <c r="BD17" i="5"/>
  <c r="AY17" i="5"/>
  <c r="BB17" i="5" s="1"/>
  <c r="BE17" i="5" s="1"/>
  <c r="I18" i="5"/>
  <c r="H18" i="5"/>
  <c r="BB18" i="5"/>
  <c r="BT19" i="5"/>
  <c r="AL20" i="5"/>
  <c r="BF20" i="5" s="1"/>
  <c r="BB21" i="5"/>
  <c r="E22" i="5"/>
  <c r="D22" i="5"/>
  <c r="C22" i="5"/>
  <c r="AY22" i="5"/>
  <c r="BB22" i="5" s="1"/>
  <c r="BV25" i="5"/>
  <c r="BM26" i="5"/>
  <c r="BT26" i="5" s="1"/>
  <c r="AD27" i="5"/>
  <c r="AM27" i="5"/>
  <c r="AD29" i="5"/>
  <c r="BV29" i="5"/>
  <c r="E31" i="5"/>
  <c r="D31" i="5"/>
  <c r="AM31" i="5"/>
  <c r="L32" i="5"/>
  <c r="BD34" i="5"/>
  <c r="AY34" i="5"/>
  <c r="BB34" i="5" s="1"/>
  <c r="BE34" i="5" s="1"/>
  <c r="I35" i="5"/>
  <c r="H35" i="5"/>
  <c r="BD36" i="5"/>
  <c r="AU36" i="5"/>
  <c r="BB36" i="5" s="1"/>
  <c r="BE36" i="5" s="1"/>
  <c r="BT36" i="5"/>
  <c r="AG37" i="5"/>
  <c r="AI37" i="5"/>
  <c r="AH37" i="5"/>
  <c r="AH38" i="5"/>
  <c r="AG38" i="5"/>
  <c r="AD38" i="5"/>
  <c r="BD38" i="5"/>
  <c r="AU38" i="5"/>
  <c r="BB38" i="5" s="1"/>
  <c r="BE38" i="5" s="1"/>
  <c r="AY40" i="5"/>
  <c r="BB40" i="5" s="1"/>
  <c r="BF42" i="5"/>
  <c r="BM43" i="5"/>
  <c r="AK46" i="5"/>
  <c r="BU46" i="5"/>
  <c r="BM47" i="5"/>
  <c r="BT47" i="5" s="1"/>
  <c r="BD48" i="5"/>
  <c r="AY48" i="5"/>
  <c r="BB48" i="5" s="1"/>
  <c r="BE48" i="5" s="1"/>
  <c r="L50" i="5"/>
  <c r="K50" i="5"/>
  <c r="BC50" i="5"/>
  <c r="AK51" i="5"/>
  <c r="BU51" i="5"/>
  <c r="AA52" i="5"/>
  <c r="Z52" i="5"/>
  <c r="W52" i="5"/>
  <c r="BF53" i="5"/>
  <c r="BF54" i="5"/>
  <c r="BT54" i="5"/>
  <c r="AO69" i="5"/>
  <c r="AN69" i="5"/>
  <c r="AK69" i="5"/>
  <c r="BG69" i="5"/>
  <c r="BF81" i="5"/>
  <c r="BF99" i="5"/>
  <c r="AK101" i="5"/>
  <c r="BG101" i="5"/>
  <c r="AN101" i="5"/>
  <c r="AO101" i="5"/>
  <c r="AG120" i="5"/>
  <c r="AI120" i="5"/>
  <c r="AH120" i="5"/>
  <c r="AG127" i="5"/>
  <c r="AI127" i="5"/>
  <c r="AH127" i="5"/>
  <c r="BB131" i="5"/>
  <c r="AG10" i="6"/>
  <c r="AI10" i="6"/>
  <c r="AH10" i="6"/>
  <c r="AI11" i="6"/>
  <c r="S11" i="6"/>
  <c r="T11" i="6"/>
  <c r="AY97" i="4"/>
  <c r="Z4" i="4"/>
  <c r="AG4" i="4" s="1"/>
  <c r="AC4" i="4"/>
  <c r="AX4" i="4"/>
  <c r="BA4" i="4" s="1"/>
  <c r="BP7" i="4"/>
  <c r="BP97" i="4" s="1"/>
  <c r="L15" i="4"/>
  <c r="O15" i="4"/>
  <c r="BP33" i="4"/>
  <c r="AI46" i="4"/>
  <c r="Z46" i="4"/>
  <c r="AG46" i="4" s="1"/>
  <c r="BA46" i="4" s="1"/>
  <c r="AC46" i="4"/>
  <c r="AH50" i="4"/>
  <c r="BB50" i="4" s="1"/>
  <c r="P51" i="4"/>
  <c r="O51" i="4"/>
  <c r="BR55" i="4"/>
  <c r="BM55" i="4"/>
  <c r="E59" i="4"/>
  <c r="D59" i="4"/>
  <c r="V64" i="4"/>
  <c r="W64" i="4"/>
  <c r="AJ70" i="4"/>
  <c r="AK70" i="4"/>
  <c r="P71" i="4"/>
  <c r="O71" i="4"/>
  <c r="BR74" i="4"/>
  <c r="BM74" i="4"/>
  <c r="BP74" i="4" s="1"/>
  <c r="AD77" i="4"/>
  <c r="AC77" i="4"/>
  <c r="P79" i="4"/>
  <c r="O79" i="4"/>
  <c r="AK80" i="4"/>
  <c r="AJ80" i="4"/>
  <c r="P82" i="4"/>
  <c r="AE82" i="4"/>
  <c r="W82" i="4"/>
  <c r="V82" i="4"/>
  <c r="BI83" i="4"/>
  <c r="BR83" i="4"/>
  <c r="H84" i="4"/>
  <c r="G84" i="4"/>
  <c r="E85" i="4"/>
  <c r="D85" i="4"/>
  <c r="P90" i="4"/>
  <c r="O90" i="4"/>
  <c r="AK91" i="4"/>
  <c r="AJ91" i="4"/>
  <c r="P93" i="4"/>
  <c r="AE93" i="4"/>
  <c r="W93" i="4"/>
  <c r="V93" i="4"/>
  <c r="BK97" i="4"/>
  <c r="DB129" i="4" s="1"/>
  <c r="AK105" i="4"/>
  <c r="AJ105" i="4"/>
  <c r="W109" i="4"/>
  <c r="V109" i="4"/>
  <c r="AG111" i="4"/>
  <c r="BR111" i="4"/>
  <c r="BM111" i="4"/>
  <c r="BP111" i="4" s="1"/>
  <c r="X161" i="5"/>
  <c r="DC339" i="5" s="1"/>
  <c r="AL2" i="5"/>
  <c r="BV6" i="5"/>
  <c r="BQ6" i="5"/>
  <c r="BT7" i="5"/>
  <c r="AG8" i="5"/>
  <c r="AC161" i="5"/>
  <c r="AH8" i="5"/>
  <c r="T9" i="5"/>
  <c r="AI9" i="5"/>
  <c r="AA9" i="5"/>
  <c r="Z9" i="5"/>
  <c r="AM9" i="5"/>
  <c r="T10" i="5"/>
  <c r="S10" i="5"/>
  <c r="AD10" i="5"/>
  <c r="AM10" i="5"/>
  <c r="AK13" i="5"/>
  <c r="BG13" i="5"/>
  <c r="BV15" i="5"/>
  <c r="BQ15" i="5"/>
  <c r="AD18" i="5"/>
  <c r="AM18" i="5"/>
  <c r="I28" i="5"/>
  <c r="H28" i="5"/>
  <c r="AO29" i="5"/>
  <c r="AN29" i="5"/>
  <c r="BV35" i="5"/>
  <c r="BM35" i="5"/>
  <c r="E37" i="5"/>
  <c r="D37" i="5"/>
  <c r="C37" i="5"/>
  <c r="BG39" i="5"/>
  <c r="AO39" i="5"/>
  <c r="AN39" i="5"/>
  <c r="AK39" i="5"/>
  <c r="AO44" i="5"/>
  <c r="AN44" i="5"/>
  <c r="BV44" i="5"/>
  <c r="BQ44" i="5"/>
  <c r="BT44" i="5" s="1"/>
  <c r="BV50" i="5"/>
  <c r="BM50" i="5"/>
  <c r="AH53" i="5"/>
  <c r="AG53" i="5"/>
  <c r="AD53" i="5"/>
  <c r="T54" i="5"/>
  <c r="S54" i="5"/>
  <c r="P54" i="5"/>
  <c r="AM54" i="5"/>
  <c r="BF57" i="5"/>
  <c r="AO72" i="5"/>
  <c r="AN72" i="5"/>
  <c r="AK72" i="5"/>
  <c r="BG72" i="5"/>
  <c r="BB78" i="5"/>
  <c r="Z121" i="5"/>
  <c r="AA121" i="5"/>
  <c r="Z124" i="5"/>
  <c r="AA124" i="5"/>
  <c r="Z140" i="5"/>
  <c r="AA140" i="5"/>
  <c r="AI140" i="5"/>
  <c r="AG171" i="5"/>
  <c r="AH171" i="5"/>
  <c r="AO6" i="6"/>
  <c r="AN6" i="6"/>
  <c r="L86" i="3"/>
  <c r="BM87" i="3"/>
  <c r="BB88" i="3"/>
  <c r="AK89" i="3"/>
  <c r="BC89" i="3"/>
  <c r="BM94" i="3"/>
  <c r="BM95" i="3"/>
  <c r="S99" i="3"/>
  <c r="V99" i="3"/>
  <c r="AY99" i="3"/>
  <c r="BB99" i="3" s="1"/>
  <c r="AK104" i="3"/>
  <c r="BC104" i="3"/>
  <c r="AM106" i="3"/>
  <c r="AH107" i="3"/>
  <c r="BB107" i="3" s="1"/>
  <c r="K97" i="4"/>
  <c r="W2" i="4"/>
  <c r="U97" i="4"/>
  <c r="CV129" i="4" s="1"/>
  <c r="AP97" i="4"/>
  <c r="AZ2" i="4"/>
  <c r="BI97" i="4"/>
  <c r="W3" i="4"/>
  <c r="AD4" i="4"/>
  <c r="AC5" i="4"/>
  <c r="AU5" i="4"/>
  <c r="AX5" i="4" s="1"/>
  <c r="BA5" i="4" s="1"/>
  <c r="AC6" i="4"/>
  <c r="G7" i="4"/>
  <c r="S8" i="4"/>
  <c r="BM9" i="4"/>
  <c r="BP9" i="4" s="1"/>
  <c r="AC10" i="4"/>
  <c r="G11" i="4"/>
  <c r="BT11" i="4"/>
  <c r="G12" i="4"/>
  <c r="AJ12" i="4"/>
  <c r="AI13" i="4"/>
  <c r="AJ14" i="4"/>
  <c r="P15" i="4"/>
  <c r="AH15" i="4"/>
  <c r="BB15" i="4" s="1"/>
  <c r="AQ16" i="4"/>
  <c r="AX16" i="4" s="1"/>
  <c r="BA16" i="4" s="1"/>
  <c r="O17" i="4"/>
  <c r="Z18" i="4"/>
  <c r="BI18" i="4"/>
  <c r="BP18" i="4" s="1"/>
  <c r="Z20" i="4"/>
  <c r="AG20" i="4" s="1"/>
  <c r="AC20" i="4"/>
  <c r="AU20" i="4"/>
  <c r="AX20" i="4" s="1"/>
  <c r="BA20" i="4" s="1"/>
  <c r="Z21" i="4"/>
  <c r="AG21" i="4" s="1"/>
  <c r="AQ24" i="4"/>
  <c r="AX24" i="4" s="1"/>
  <c r="BA24" i="4" s="1"/>
  <c r="AQ25" i="4"/>
  <c r="O26" i="4"/>
  <c r="BM26" i="4"/>
  <c r="BP26" i="4" s="1"/>
  <c r="P27" i="4"/>
  <c r="BM27" i="4"/>
  <c r="BP27" i="4" s="1"/>
  <c r="Z29" i="4"/>
  <c r="AG29" i="4" s="1"/>
  <c r="BA29" i="4" s="1"/>
  <c r="AI29" i="4"/>
  <c r="AI32" i="4"/>
  <c r="G35" i="4"/>
  <c r="S35" i="4"/>
  <c r="BM35" i="4"/>
  <c r="BP35" i="4" s="1"/>
  <c r="BR36" i="4"/>
  <c r="BR38" i="4"/>
  <c r="AG39" i="4"/>
  <c r="BA39" i="4" s="1"/>
  <c r="AI39" i="4"/>
  <c r="AC41" i="4"/>
  <c r="AX41" i="4"/>
  <c r="BA41" i="4" s="1"/>
  <c r="W42" i="4"/>
  <c r="AD46" i="4"/>
  <c r="AZ46" i="4"/>
  <c r="BC46" i="4" s="1"/>
  <c r="C47" i="4"/>
  <c r="AK47" i="4"/>
  <c r="V48" i="4"/>
  <c r="BR49" i="4"/>
  <c r="P50" i="4"/>
  <c r="O50" i="4"/>
  <c r="C51" i="4"/>
  <c r="AC53" i="4"/>
  <c r="E55" i="4"/>
  <c r="D55" i="4"/>
  <c r="BE55" i="4"/>
  <c r="C59" i="4"/>
  <c r="Z59" i="4"/>
  <c r="AG59" i="4" s="1"/>
  <c r="AI59" i="4"/>
  <c r="BP64" i="4"/>
  <c r="AI65" i="4"/>
  <c r="S65" i="4"/>
  <c r="AC66" i="4"/>
  <c r="O68" i="4"/>
  <c r="Z71" i="4"/>
  <c r="AX71" i="4"/>
  <c r="E72" i="4"/>
  <c r="D72" i="4"/>
  <c r="C72" i="4"/>
  <c r="AZ72" i="4"/>
  <c r="BC72" i="4" s="1"/>
  <c r="AU72" i="4"/>
  <c r="AX72" i="4" s="1"/>
  <c r="BA72" i="4" s="1"/>
  <c r="O74" i="4"/>
  <c r="BE74" i="4"/>
  <c r="AQ76" i="4"/>
  <c r="BT77" i="4"/>
  <c r="AJ78" i="4"/>
  <c r="AK78" i="4"/>
  <c r="BI78" i="4"/>
  <c r="O81" i="4"/>
  <c r="AI82" i="4"/>
  <c r="AE83" i="4"/>
  <c r="C85" i="4"/>
  <c r="AX86" i="4"/>
  <c r="V87" i="4"/>
  <c r="AI87" i="4"/>
  <c r="AZ88" i="4"/>
  <c r="BC88" i="4" s="1"/>
  <c r="AU88" i="4"/>
  <c r="AX88" i="4" s="1"/>
  <c r="BA88" i="4" s="1"/>
  <c r="BT88" i="4"/>
  <c r="AJ89" i="4"/>
  <c r="AK89" i="4"/>
  <c r="BI89" i="4"/>
  <c r="O92" i="4"/>
  <c r="AI93" i="4"/>
  <c r="BC93" i="4" s="1"/>
  <c r="AJ104" i="4"/>
  <c r="AK104" i="4"/>
  <c r="BI104" i="4"/>
  <c r="L106" i="4"/>
  <c r="AG106" i="4" s="1"/>
  <c r="L107" i="4"/>
  <c r="AX107" i="4"/>
  <c r="AJ108" i="4"/>
  <c r="AG110" i="4"/>
  <c r="BR110" i="4"/>
  <c r="BM110" i="4"/>
  <c r="BP110" i="4" s="1"/>
  <c r="E111" i="4"/>
  <c r="D111" i="4"/>
  <c r="C111" i="4"/>
  <c r="BE111" i="4"/>
  <c r="Y161" i="5"/>
  <c r="DC192" i="5" s="1"/>
  <c r="AA2" i="5"/>
  <c r="AV161" i="5"/>
  <c r="DF339" i="5" s="1"/>
  <c r="BC2" i="5"/>
  <c r="BY161" i="5"/>
  <c r="BD3" i="5"/>
  <c r="AY3" i="5"/>
  <c r="I4" i="5"/>
  <c r="H4" i="5"/>
  <c r="AD4" i="5"/>
  <c r="AM4" i="5"/>
  <c r="BI6" i="5"/>
  <c r="AG10" i="5"/>
  <c r="E11" i="5"/>
  <c r="D11" i="5"/>
  <c r="BF11" i="5"/>
  <c r="BG12" i="5"/>
  <c r="AK12" i="5"/>
  <c r="G13" i="5"/>
  <c r="AN13" i="5"/>
  <c r="L14" i="5"/>
  <c r="K14" i="5"/>
  <c r="BM14" i="5"/>
  <c r="BV14" i="5"/>
  <c r="I15" i="5"/>
  <c r="H15" i="5"/>
  <c r="G15" i="5"/>
  <c r="BI15" i="5"/>
  <c r="C17" i="5"/>
  <c r="AG18" i="5"/>
  <c r="E19" i="5"/>
  <c r="D19" i="5"/>
  <c r="AG20" i="5"/>
  <c r="BB20" i="5"/>
  <c r="E21" i="5"/>
  <c r="D21" i="5"/>
  <c r="C21" i="5"/>
  <c r="S21" i="5"/>
  <c r="AH21" i="5"/>
  <c r="AG21" i="5"/>
  <c r="BF23" i="5"/>
  <c r="BB24" i="5"/>
  <c r="BD27" i="5"/>
  <c r="AY27" i="5"/>
  <c r="BB27" i="5" s="1"/>
  <c r="BX27" i="5"/>
  <c r="G28" i="5"/>
  <c r="I30" i="5"/>
  <c r="H30" i="5"/>
  <c r="BT32" i="5"/>
  <c r="AA33" i="5"/>
  <c r="W33" i="5"/>
  <c r="BD33" i="5"/>
  <c r="AU33" i="5"/>
  <c r="BB33" i="5" s="1"/>
  <c r="K34" i="5"/>
  <c r="I40" i="5"/>
  <c r="H40" i="5"/>
  <c r="BV40" i="5"/>
  <c r="BM40" i="5"/>
  <c r="L44" i="5"/>
  <c r="K44" i="5"/>
  <c r="E46" i="5"/>
  <c r="D46" i="5"/>
  <c r="L48" i="5"/>
  <c r="K48" i="5"/>
  <c r="BD49" i="5"/>
  <c r="AU49" i="5"/>
  <c r="BB49" i="5" s="1"/>
  <c r="AH50" i="5"/>
  <c r="AG50" i="5"/>
  <c r="AK52" i="5"/>
  <c r="AO52" i="5"/>
  <c r="AN52" i="5"/>
  <c r="T56" i="5"/>
  <c r="P56" i="5"/>
  <c r="BF56" i="5"/>
  <c r="BC56" i="5"/>
  <c r="AH57" i="5"/>
  <c r="AM57" i="5"/>
  <c r="AD57" i="5"/>
  <c r="AO64" i="5"/>
  <c r="AN64" i="5"/>
  <c r="AK64" i="5"/>
  <c r="BG64" i="5"/>
  <c r="BE70" i="5"/>
  <c r="AN75" i="5"/>
  <c r="AK75" i="5"/>
  <c r="BE75" i="5" s="1"/>
  <c r="AO75" i="5"/>
  <c r="BT77" i="5"/>
  <c r="Z118" i="5"/>
  <c r="AA118" i="5"/>
  <c r="BT132" i="5"/>
  <c r="Z6" i="6"/>
  <c r="AA6" i="6"/>
  <c r="BQ83" i="3"/>
  <c r="BI84" i="3"/>
  <c r="O86" i="3"/>
  <c r="BE86" i="3"/>
  <c r="BP86" i="3" s="1"/>
  <c r="BE87" i="3"/>
  <c r="BP87" i="3" s="1"/>
  <c r="AJ88" i="3"/>
  <c r="S89" i="3"/>
  <c r="AC89" i="3"/>
  <c r="BE91" i="3"/>
  <c r="BP91" i="3" s="1"/>
  <c r="G92" i="3"/>
  <c r="C94" i="3"/>
  <c r="BR94" i="3"/>
  <c r="BE94" i="3"/>
  <c r="BP94" i="3" s="1"/>
  <c r="Z95" i="3"/>
  <c r="AC95" i="3"/>
  <c r="AM95" i="3"/>
  <c r="O97" i="3"/>
  <c r="BI97" i="3"/>
  <c r="AQ98" i="3"/>
  <c r="AX98" i="3" s="1"/>
  <c r="W99" i="3"/>
  <c r="AC104" i="3"/>
  <c r="L105" i="3"/>
  <c r="O105" i="3"/>
  <c r="O108" i="3"/>
  <c r="C2" i="4"/>
  <c r="V2" i="4"/>
  <c r="V3" i="4"/>
  <c r="AE4" i="4"/>
  <c r="AD5" i="4"/>
  <c r="AM5" i="4"/>
  <c r="AM97" i="4" s="1"/>
  <c r="BR6" i="4"/>
  <c r="BR97" i="4" s="1"/>
  <c r="BM6" i="4"/>
  <c r="BP6" i="4" s="1"/>
  <c r="AZ7" i="4"/>
  <c r="BC7" i="4" s="1"/>
  <c r="AU7" i="4"/>
  <c r="AX7" i="4" s="1"/>
  <c r="AU8" i="4"/>
  <c r="AX8" i="4" s="1"/>
  <c r="BA8" i="4" s="1"/>
  <c r="L9" i="4"/>
  <c r="V9" i="4"/>
  <c r="AE9" i="4"/>
  <c r="BE9" i="4"/>
  <c r="BE97" i="4" s="1"/>
  <c r="BR10" i="4"/>
  <c r="BM10" i="4"/>
  <c r="BP10" i="4" s="1"/>
  <c r="AD11" i="4"/>
  <c r="BM11" i="4"/>
  <c r="BP11" i="4" s="1"/>
  <c r="P13" i="4"/>
  <c r="AI15" i="4"/>
  <c r="AI17" i="4"/>
  <c r="AD17" i="4"/>
  <c r="AU17" i="4"/>
  <c r="AX17" i="4" s="1"/>
  <c r="BM17" i="4"/>
  <c r="AJ18" i="4"/>
  <c r="AQ18" i="4"/>
  <c r="AX18" i="4" s="1"/>
  <c r="C19" i="4"/>
  <c r="AD20" i="4"/>
  <c r="AC21" i="4"/>
  <c r="AU21" i="4"/>
  <c r="AX21" i="4" s="1"/>
  <c r="AC22" i="4"/>
  <c r="AU22" i="4"/>
  <c r="AX22" i="4" s="1"/>
  <c r="BA22" i="4" s="1"/>
  <c r="AC23" i="4"/>
  <c r="AU23" i="4"/>
  <c r="AX23" i="4" s="1"/>
  <c r="BA23" i="4" s="1"/>
  <c r="Z26" i="4"/>
  <c r="AG26" i="4" s="1"/>
  <c r="AC26" i="4"/>
  <c r="AU26" i="4"/>
  <c r="AX26" i="4" s="1"/>
  <c r="Z27" i="4"/>
  <c r="AG27" i="4" s="1"/>
  <c r="BI29" i="4"/>
  <c r="BP29" i="4" s="1"/>
  <c r="AJ30" i="4"/>
  <c r="BI30" i="4"/>
  <c r="BP30" i="4" s="1"/>
  <c r="AJ31" i="4"/>
  <c r="BI31" i="4"/>
  <c r="O32" i="4"/>
  <c r="BM32" i="4"/>
  <c r="BP32" i="4" s="1"/>
  <c r="G33" i="4"/>
  <c r="AZ33" i="4"/>
  <c r="BC33" i="4" s="1"/>
  <c r="AU33" i="4"/>
  <c r="AX33" i="4" s="1"/>
  <c r="AU34" i="4"/>
  <c r="V35" i="4"/>
  <c r="BE35" i="4"/>
  <c r="C37" i="4"/>
  <c r="P37" i="4"/>
  <c r="AQ37" i="4"/>
  <c r="AX37" i="4" s="1"/>
  <c r="C38" i="4"/>
  <c r="C39" i="4"/>
  <c r="P39" i="4"/>
  <c r="AC40" i="4"/>
  <c r="AD41" i="4"/>
  <c r="AQ42" i="4"/>
  <c r="AX42" i="4" s="1"/>
  <c r="BA42" i="4" s="1"/>
  <c r="AD43" i="4"/>
  <c r="AC43" i="4"/>
  <c r="BQ43" i="4"/>
  <c r="AH44" i="4"/>
  <c r="BB44" i="4" s="1"/>
  <c r="AQ44" i="4"/>
  <c r="AX44" i="4" s="1"/>
  <c r="BA44" i="4" s="1"/>
  <c r="O45" i="4"/>
  <c r="AU45" i="4"/>
  <c r="AX45" i="4" s="1"/>
  <c r="BI46" i="4"/>
  <c r="BP46" i="4" s="1"/>
  <c r="D47" i="4"/>
  <c r="AH47" i="4"/>
  <c r="BB47" i="4" s="1"/>
  <c r="Z47" i="4"/>
  <c r="W48" i="4"/>
  <c r="AI48" i="4"/>
  <c r="BC48" i="4" s="1"/>
  <c r="S49" i="4"/>
  <c r="C50" i="4"/>
  <c r="D51" i="4"/>
  <c r="AI52" i="4"/>
  <c r="S52" i="4"/>
  <c r="S53" i="4"/>
  <c r="BB53" i="4"/>
  <c r="C55" i="4"/>
  <c r="AQ57" i="4"/>
  <c r="AX57" i="4" s="1"/>
  <c r="BA57" i="4" s="1"/>
  <c r="AC59" i="4"/>
  <c r="E60" i="4"/>
  <c r="D60" i="4"/>
  <c r="AX60" i="4"/>
  <c r="V63" i="4"/>
  <c r="AI63" i="4"/>
  <c r="BC63" i="4" s="1"/>
  <c r="BQ64" i="4"/>
  <c r="V65" i="4"/>
  <c r="AQ65" i="4"/>
  <c r="AZ65" i="4"/>
  <c r="BC65" i="4" s="1"/>
  <c r="S66" i="4"/>
  <c r="BB66" i="4"/>
  <c r="AY67" i="4"/>
  <c r="BB67" i="4" s="1"/>
  <c r="AX68" i="4"/>
  <c r="BQ69" i="4"/>
  <c r="AE70" i="4"/>
  <c r="BP70" i="4"/>
  <c r="AC71" i="4"/>
  <c r="BR71" i="4"/>
  <c r="AM72" i="4"/>
  <c r="G73" i="4"/>
  <c r="AU75" i="4"/>
  <c r="AX75" i="4" s="1"/>
  <c r="BA75" i="4" s="1"/>
  <c r="AZ77" i="4"/>
  <c r="G78" i="4"/>
  <c r="Z79" i="4"/>
  <c r="AG79" i="4" s="1"/>
  <c r="AX79" i="4"/>
  <c r="E80" i="4"/>
  <c r="D80" i="4"/>
  <c r="C80" i="4"/>
  <c r="AZ80" i="4"/>
  <c r="BC80" i="4" s="1"/>
  <c r="AU80" i="4"/>
  <c r="AX80" i="4" s="1"/>
  <c r="BA80" i="4" s="1"/>
  <c r="P81" i="4"/>
  <c r="AI81" i="4"/>
  <c r="C82" i="4"/>
  <c r="AK83" i="4"/>
  <c r="AJ83" i="4"/>
  <c r="BM83" i="4"/>
  <c r="S84" i="4"/>
  <c r="O86" i="4"/>
  <c r="AY86" i="4"/>
  <c r="BB86" i="4" s="1"/>
  <c r="C87" i="4"/>
  <c r="AK88" i="4"/>
  <c r="G89" i="4"/>
  <c r="Z90" i="4"/>
  <c r="AG90" i="4" s="1"/>
  <c r="AX90" i="4"/>
  <c r="E91" i="4"/>
  <c r="D91" i="4"/>
  <c r="C91" i="4"/>
  <c r="AZ91" i="4"/>
  <c r="BC91" i="4" s="1"/>
  <c r="AU91" i="4"/>
  <c r="AX91" i="4" s="1"/>
  <c r="BA91" i="4" s="1"/>
  <c r="P92" i="4"/>
  <c r="AI92" i="4"/>
  <c r="C93" i="4"/>
  <c r="BR94" i="4"/>
  <c r="V96" i="4"/>
  <c r="AI96" i="4"/>
  <c r="Q97" i="4"/>
  <c r="AW97" i="4"/>
  <c r="CZ129" i="4" s="1"/>
  <c r="O106" i="4"/>
  <c r="O107" i="4"/>
  <c r="AH107" i="4"/>
  <c r="AY107" i="4"/>
  <c r="BB107" i="4" s="1"/>
  <c r="C108" i="4"/>
  <c r="AH109" i="4"/>
  <c r="BB109" i="4" s="1"/>
  <c r="E110" i="4"/>
  <c r="D110" i="4"/>
  <c r="BE110" i="4"/>
  <c r="P2" i="5"/>
  <c r="P161" i="5" s="1"/>
  <c r="Z2" i="5"/>
  <c r="AW161" i="5"/>
  <c r="DF192" i="5" s="1"/>
  <c r="AU2" i="5"/>
  <c r="BX161" i="5"/>
  <c r="AQ3" i="5"/>
  <c r="G4" i="5"/>
  <c r="AG4" i="5"/>
  <c r="E5" i="5"/>
  <c r="D5" i="5"/>
  <c r="Z5" i="5"/>
  <c r="AG6" i="5"/>
  <c r="Z7" i="5"/>
  <c r="BD8" i="5"/>
  <c r="G9" i="5"/>
  <c r="BV9" i="5"/>
  <c r="BQ9" i="5"/>
  <c r="BT9" i="5" s="1"/>
  <c r="W10" i="5"/>
  <c r="AH10" i="5"/>
  <c r="C11" i="5"/>
  <c r="AM11" i="5"/>
  <c r="H13" i="5"/>
  <c r="AO13" i="5"/>
  <c r="D17" i="5"/>
  <c r="BQ17" i="5"/>
  <c r="BT17" i="5" s="1"/>
  <c r="W18" i="5"/>
  <c r="AH18" i="5"/>
  <c r="C19" i="5"/>
  <c r="AY19" i="5"/>
  <c r="BB19" i="5" s="1"/>
  <c r="AH20" i="5"/>
  <c r="BV20" i="5"/>
  <c r="T21" i="5"/>
  <c r="AN22" i="5"/>
  <c r="AO22" i="5"/>
  <c r="BM22" i="5"/>
  <c r="BG23" i="5"/>
  <c r="AK23" i="5"/>
  <c r="BE23" i="5" s="1"/>
  <c r="G24" i="5"/>
  <c r="BC24" i="5"/>
  <c r="BF24" i="5" s="1"/>
  <c r="C25" i="5"/>
  <c r="K25" i="5"/>
  <c r="AH25" i="5"/>
  <c r="AG25" i="5"/>
  <c r="AU26" i="5"/>
  <c r="BB26" i="5" s="1"/>
  <c r="AQ27" i="5"/>
  <c r="BD29" i="5"/>
  <c r="BG29" i="5" s="1"/>
  <c r="AY29" i="5"/>
  <c r="BB29" i="5" s="1"/>
  <c r="BX29" i="5"/>
  <c r="G30" i="5"/>
  <c r="S31" i="5"/>
  <c r="BM31" i="5"/>
  <c r="BU32" i="5"/>
  <c r="Z33" i="5"/>
  <c r="BT33" i="5"/>
  <c r="BQ34" i="5"/>
  <c r="BT34" i="5" s="1"/>
  <c r="AM35" i="5"/>
  <c r="AD35" i="5"/>
  <c r="BT35" i="5"/>
  <c r="AO36" i="5"/>
  <c r="AK36" i="5"/>
  <c r="AO37" i="5"/>
  <c r="AN37" i="5"/>
  <c r="AO38" i="5"/>
  <c r="AK38" i="5"/>
  <c r="BM38" i="5"/>
  <c r="G40" i="5"/>
  <c r="AO41" i="5"/>
  <c r="AN41" i="5"/>
  <c r="AK41" i="5"/>
  <c r="L42" i="5"/>
  <c r="K42" i="5"/>
  <c r="AH43" i="5"/>
  <c r="AM43" i="5"/>
  <c r="AD43" i="5"/>
  <c r="AM45" i="5"/>
  <c r="AA45" i="5"/>
  <c r="W45" i="5"/>
  <c r="C46" i="5"/>
  <c r="I47" i="5"/>
  <c r="H47" i="5"/>
  <c r="G47" i="5"/>
  <c r="BQ48" i="5"/>
  <c r="BT48" i="5" s="1"/>
  <c r="AA49" i="5"/>
  <c r="Z49" i="5"/>
  <c r="W49" i="5"/>
  <c r="E50" i="5"/>
  <c r="D50" i="5"/>
  <c r="C50" i="5"/>
  <c r="BF50" i="5"/>
  <c r="BT50" i="5"/>
  <c r="AH51" i="5"/>
  <c r="AG51" i="5"/>
  <c r="BV53" i="5"/>
  <c r="BQ53" i="5"/>
  <c r="BT53" i="5" s="1"/>
  <c r="BD56" i="5"/>
  <c r="BG56" i="5" s="1"/>
  <c r="AY56" i="5"/>
  <c r="BB56" i="5" s="1"/>
  <c r="BE56" i="5" s="1"/>
  <c r="BF61" i="5"/>
  <c r="BF73" i="5"/>
  <c r="AH132" i="5"/>
  <c r="AG132" i="5"/>
  <c r="AI143" i="5"/>
  <c r="S143" i="5"/>
  <c r="T143" i="5"/>
  <c r="BB3" i="6"/>
  <c r="BE22" i="6"/>
  <c r="AI24" i="6"/>
  <c r="S24" i="6"/>
  <c r="T24" i="6"/>
  <c r="AH26" i="6"/>
  <c r="AG26" i="6"/>
  <c r="AI26" i="6"/>
  <c r="AE85" i="3"/>
  <c r="P86" i="3"/>
  <c r="AD88" i="3"/>
  <c r="AK88" i="3"/>
  <c r="AD89" i="3"/>
  <c r="D94" i="3"/>
  <c r="P106" i="3"/>
  <c r="AZ110" i="3"/>
  <c r="BC110" i="3" s="1"/>
  <c r="M97" i="4"/>
  <c r="CU276" i="4" s="1"/>
  <c r="AR97" i="4"/>
  <c r="CY276" i="4" s="1"/>
  <c r="BB2" i="4"/>
  <c r="L3" i="4"/>
  <c r="AG3" i="4" s="1"/>
  <c r="O3" i="4"/>
  <c r="AE5" i="4"/>
  <c r="W5" i="4"/>
  <c r="BC5" i="4"/>
  <c r="AE7" i="4"/>
  <c r="BP8" i="4"/>
  <c r="V10" i="4"/>
  <c r="Z12" i="4"/>
  <c r="AG12" i="4" s="1"/>
  <c r="AC12" i="4"/>
  <c r="AX12" i="4"/>
  <c r="BA12" i="4" s="1"/>
  <c r="AI16" i="4"/>
  <c r="AD16" i="4"/>
  <c r="BB17" i="4"/>
  <c r="AE20" i="4"/>
  <c r="BR22" i="4"/>
  <c r="BM22" i="4"/>
  <c r="BR23" i="4"/>
  <c r="BM23" i="4"/>
  <c r="BP23" i="4" s="1"/>
  <c r="AI24" i="4"/>
  <c r="AD24" i="4"/>
  <c r="AI25" i="4"/>
  <c r="AD25" i="4"/>
  <c r="S33" i="4"/>
  <c r="V33" i="4"/>
  <c r="W35" i="4"/>
  <c r="BR35" i="4"/>
  <c r="AI36" i="4"/>
  <c r="D37" i="4"/>
  <c r="AI37" i="4"/>
  <c r="BC37" i="4" s="1"/>
  <c r="E38" i="4"/>
  <c r="D39" i="4"/>
  <c r="AD40" i="4"/>
  <c r="AZ41" i="4"/>
  <c r="BC41" i="4" s="1"/>
  <c r="D42" i="4"/>
  <c r="C42" i="4"/>
  <c r="L42" i="4"/>
  <c r="O42" i="4"/>
  <c r="AI42" i="4"/>
  <c r="AZ42" i="4"/>
  <c r="BC42" i="4" s="1"/>
  <c r="AZ44" i="4"/>
  <c r="BC44" i="4" s="1"/>
  <c r="P47" i="4"/>
  <c r="O47" i="4"/>
  <c r="AX47" i="4"/>
  <c r="BP47" i="4"/>
  <c r="D50" i="4"/>
  <c r="AI51" i="4"/>
  <c r="S51" i="4"/>
  <c r="AQ52" i="4"/>
  <c r="AX52" i="4" s="1"/>
  <c r="BA52" i="4" s="1"/>
  <c r="AZ52" i="4"/>
  <c r="BC52" i="4" s="1"/>
  <c r="O56" i="4"/>
  <c r="AD59" i="4"/>
  <c r="Z60" i="4"/>
  <c r="AG60" i="4" s="1"/>
  <c r="AI60" i="4"/>
  <c r="AE64" i="4"/>
  <c r="W65" i="4"/>
  <c r="BC66" i="4"/>
  <c r="Z68" i="4"/>
  <c r="AG68" i="4" s="1"/>
  <c r="AI68" i="4"/>
  <c r="V70" i="4"/>
  <c r="AD71" i="4"/>
  <c r="AC72" i="4"/>
  <c r="AI73" i="4"/>
  <c r="S73" i="4"/>
  <c r="AC74" i="4"/>
  <c r="BB75" i="4"/>
  <c r="AH76" i="4"/>
  <c r="AX76" i="4"/>
  <c r="BA76" i="4" s="1"/>
  <c r="AE77" i="4"/>
  <c r="O77" i="4"/>
  <c r="P77" i="4"/>
  <c r="V77" i="4"/>
  <c r="AE78" i="4"/>
  <c r="BP78" i="4"/>
  <c r="BR79" i="4"/>
  <c r="AC81" i="4"/>
  <c r="D82" i="4"/>
  <c r="O82" i="4"/>
  <c r="BR82" i="4"/>
  <c r="BM82" i="4"/>
  <c r="BP82" i="4" s="1"/>
  <c r="W83" i="4"/>
  <c r="AD85" i="4"/>
  <c r="AC85" i="4"/>
  <c r="P86" i="4"/>
  <c r="D87" i="4"/>
  <c r="P87" i="4"/>
  <c r="O87" i="4"/>
  <c r="AE89" i="4"/>
  <c r="BR90" i="4"/>
  <c r="AC92" i="4"/>
  <c r="D93" i="4"/>
  <c r="O93" i="4"/>
  <c r="BR93" i="4"/>
  <c r="BM93" i="4"/>
  <c r="BP93" i="4" s="1"/>
  <c r="AX95" i="4"/>
  <c r="AE104" i="4"/>
  <c r="BP104" i="4"/>
  <c r="O105" i="4"/>
  <c r="AC105" i="4"/>
  <c r="AD105" i="4"/>
  <c r="P106" i="4"/>
  <c r="P107" i="4"/>
  <c r="D108" i="4"/>
  <c r="P108" i="4"/>
  <c r="O108" i="4"/>
  <c r="E109" i="4"/>
  <c r="D109" i="4"/>
  <c r="AX109" i="4"/>
  <c r="BR161" i="5"/>
  <c r="DJ339" i="5" s="1"/>
  <c r="AH4" i="5"/>
  <c r="AH161" i="5" s="1"/>
  <c r="AA5" i="5"/>
  <c r="BB5" i="5"/>
  <c r="AA7" i="5"/>
  <c r="BB7" i="5"/>
  <c r="BM8" i="5"/>
  <c r="BV8" i="5"/>
  <c r="H9" i="5"/>
  <c r="S9" i="5"/>
  <c r="AI10" i="5"/>
  <c r="AO12" i="5"/>
  <c r="BV12" i="5"/>
  <c r="BQ12" i="5"/>
  <c r="T13" i="5"/>
  <c r="S13" i="5"/>
  <c r="BT14" i="5"/>
  <c r="AA17" i="5"/>
  <c r="AH22" i="5"/>
  <c r="H24" i="5"/>
  <c r="D25" i="5"/>
  <c r="T31" i="5"/>
  <c r="BF32" i="5"/>
  <c r="E34" i="5"/>
  <c r="D34" i="5"/>
  <c r="AG35" i="5"/>
  <c r="AN38" i="5"/>
  <c r="BT40" i="5"/>
  <c r="AK42" i="5"/>
  <c r="AO42" i="5"/>
  <c r="AN42" i="5"/>
  <c r="BD42" i="5"/>
  <c r="BG42" i="5" s="1"/>
  <c r="AY42" i="5"/>
  <c r="BB42" i="5" s="1"/>
  <c r="BE42" i="5" s="1"/>
  <c r="AG43" i="5"/>
  <c r="BB45" i="5"/>
  <c r="BD46" i="5"/>
  <c r="AY46" i="5"/>
  <c r="BB46" i="5" s="1"/>
  <c r="BE46" i="5" s="1"/>
  <c r="AN50" i="5"/>
  <c r="AK50" i="5"/>
  <c r="AO50" i="5"/>
  <c r="BD51" i="5"/>
  <c r="AY51" i="5"/>
  <c r="BB51" i="5" s="1"/>
  <c r="BE51" i="5" s="1"/>
  <c r="I52" i="5"/>
  <c r="H52" i="5"/>
  <c r="G52" i="5"/>
  <c r="BT52" i="5"/>
  <c r="AM53" i="5"/>
  <c r="BB55" i="5"/>
  <c r="AO56" i="5"/>
  <c r="AN56" i="5"/>
  <c r="AH61" i="5"/>
  <c r="AG61" i="5"/>
  <c r="AM61" i="5"/>
  <c r="AD61" i="5"/>
  <c r="AN73" i="5"/>
  <c r="AK73" i="5"/>
  <c r="AO73" i="5"/>
  <c r="BT78" i="5"/>
  <c r="AI132" i="5"/>
  <c r="S132" i="5"/>
  <c r="T132" i="5"/>
  <c r="AG170" i="5"/>
  <c r="AH170" i="5"/>
  <c r="BF16" i="6"/>
  <c r="AH20" i="6"/>
  <c r="AG20" i="6"/>
  <c r="AI20" i="6"/>
  <c r="AG23" i="6"/>
  <c r="AI23" i="6"/>
  <c r="AH23" i="6"/>
  <c r="AM103" i="2"/>
  <c r="AM107" i="2"/>
  <c r="AM111" i="2"/>
  <c r="AM115" i="2"/>
  <c r="AM119" i="2"/>
  <c r="AM123" i="2"/>
  <c r="AM139" i="2"/>
  <c r="AM141" i="2"/>
  <c r="AM145" i="2"/>
  <c r="AM149" i="2"/>
  <c r="AI8" i="3"/>
  <c r="AI17" i="3"/>
  <c r="AI18" i="3"/>
  <c r="AI19" i="3"/>
  <c r="AI20" i="3"/>
  <c r="AI21" i="3"/>
  <c r="AI22" i="3"/>
  <c r="AI23" i="3"/>
  <c r="AI24" i="3"/>
  <c r="AI36" i="3"/>
  <c r="AI39" i="3"/>
  <c r="AI40" i="3"/>
  <c r="AI41" i="3"/>
  <c r="BY49" i="3"/>
  <c r="BX49" i="3" s="1"/>
  <c r="BX100" i="3" s="1"/>
  <c r="Z63" i="3"/>
  <c r="AI68" i="3"/>
  <c r="Z71" i="3"/>
  <c r="BM76" i="3"/>
  <c r="V80" i="3"/>
  <c r="Z82" i="3"/>
  <c r="AH83" i="3"/>
  <c r="AC84" i="3"/>
  <c r="C85" i="3"/>
  <c r="W85" i="3"/>
  <c r="AU85" i="3"/>
  <c r="AX85" i="3" s="1"/>
  <c r="BA85" i="3" s="1"/>
  <c r="G86" i="3"/>
  <c r="BR87" i="3"/>
  <c r="AC88" i="3"/>
  <c r="W89" i="3"/>
  <c r="AE89" i="3"/>
  <c r="AY89" i="3"/>
  <c r="BB89" i="3" s="1"/>
  <c r="BT90" i="3"/>
  <c r="G91" i="3"/>
  <c r="Z92" i="3"/>
  <c r="AI94" i="3"/>
  <c r="BS94" i="3"/>
  <c r="BH94" i="3" s="1"/>
  <c r="BM96" i="3"/>
  <c r="G98" i="3"/>
  <c r="O106" i="3"/>
  <c r="E107" i="3"/>
  <c r="C108" i="3"/>
  <c r="AQ108" i="3"/>
  <c r="AX108" i="3" s="1"/>
  <c r="AI109" i="3"/>
  <c r="C110" i="3"/>
  <c r="O2" i="4"/>
  <c r="O97" i="4" s="1"/>
  <c r="Y2" i="4"/>
  <c r="AE2" i="4" s="1"/>
  <c r="AE97" i="4" s="1"/>
  <c r="AJ2" i="4"/>
  <c r="AS97" i="4"/>
  <c r="CY129" i="4" s="1"/>
  <c r="BT2" i="4"/>
  <c r="BT97" i="4" s="1"/>
  <c r="E3" i="4"/>
  <c r="P3" i="4"/>
  <c r="AI3" i="4"/>
  <c r="BC3" i="4" s="1"/>
  <c r="E4" i="4"/>
  <c r="C5" i="4"/>
  <c r="V5" i="4"/>
  <c r="S7" i="4"/>
  <c r="S97" i="4" s="1"/>
  <c r="V7" i="4"/>
  <c r="L8" i="4"/>
  <c r="V8" i="4"/>
  <c r="BE8" i="4"/>
  <c r="E9" i="4"/>
  <c r="P9" i="4"/>
  <c r="C10" i="4"/>
  <c r="W10" i="4"/>
  <c r="AD12" i="4"/>
  <c r="AC14" i="4"/>
  <c r="AU14" i="4"/>
  <c r="AX14" i="4" s="1"/>
  <c r="BA14" i="4" s="1"/>
  <c r="AC16" i="4"/>
  <c r="AY16" i="4"/>
  <c r="BB16" i="4" s="1"/>
  <c r="H17" i="4"/>
  <c r="S18" i="4"/>
  <c r="AC18" i="4"/>
  <c r="AH19" i="4"/>
  <c r="BB19" i="4" s="1"/>
  <c r="AQ19" i="4"/>
  <c r="AX19" i="4" s="1"/>
  <c r="BA19" i="4" s="1"/>
  <c r="C20" i="4"/>
  <c r="V20" i="4"/>
  <c r="AE21" i="4"/>
  <c r="W21" i="4"/>
  <c r="AZ21" i="4"/>
  <c r="BC21" i="4" s="1"/>
  <c r="BI21" i="4"/>
  <c r="BP21" i="4" s="1"/>
  <c r="V22" i="4"/>
  <c r="BE22" i="4"/>
  <c r="BE23" i="4"/>
  <c r="AC24" i="4"/>
  <c r="AY24" i="4"/>
  <c r="BB24" i="4" s="1"/>
  <c r="H25" i="4"/>
  <c r="AC25" i="4"/>
  <c r="AY25" i="4"/>
  <c r="BB25" i="4" s="1"/>
  <c r="H26" i="4"/>
  <c r="AD27" i="4"/>
  <c r="AM27" i="4"/>
  <c r="AX27" i="4" s="1"/>
  <c r="BA27" i="4" s="1"/>
  <c r="BR28" i="4"/>
  <c r="BM28" i="4"/>
  <c r="BP28" i="4" s="1"/>
  <c r="AD29" i="4"/>
  <c r="AD30" i="4"/>
  <c r="AD31" i="4"/>
  <c r="AZ32" i="4"/>
  <c r="BC32" i="4" s="1"/>
  <c r="AU32" i="4"/>
  <c r="AX32" i="4" s="1"/>
  <c r="BA32" i="4" s="1"/>
  <c r="W33" i="4"/>
  <c r="L34" i="4"/>
  <c r="V34" i="4"/>
  <c r="BE34" i="4"/>
  <c r="BP34" i="4" s="1"/>
  <c r="C36" i="4"/>
  <c r="P36" i="4"/>
  <c r="AC37" i="4"/>
  <c r="W40" i="4"/>
  <c r="AE40" i="4"/>
  <c r="E42" i="4"/>
  <c r="P42" i="4"/>
  <c r="AJ44" i="4"/>
  <c r="AI45" i="4"/>
  <c r="BC45" i="4" s="1"/>
  <c r="Z45" i="4"/>
  <c r="AG45" i="4" s="1"/>
  <c r="AC45" i="4"/>
  <c r="V46" i="4"/>
  <c r="AH48" i="4"/>
  <c r="BB48" i="4" s="1"/>
  <c r="Z48" i="4"/>
  <c r="AG48" i="4" s="1"/>
  <c r="W49" i="4"/>
  <c r="AI49" i="4"/>
  <c r="AI50" i="4"/>
  <c r="S50" i="4"/>
  <c r="V51" i="4"/>
  <c r="AQ51" i="4"/>
  <c r="AZ51" i="4"/>
  <c r="BC51" i="4" s="1"/>
  <c r="W52" i="4"/>
  <c r="BP52" i="4"/>
  <c r="W53" i="4"/>
  <c r="V53" i="4"/>
  <c r="AI53" i="4"/>
  <c r="G54" i="4"/>
  <c r="AY56" i="4"/>
  <c r="BB56" i="4" s="1"/>
  <c r="V58" i="4"/>
  <c r="AQ58" i="4"/>
  <c r="AC60" i="4"/>
  <c r="E61" i="4"/>
  <c r="D61" i="4"/>
  <c r="AC62" i="4"/>
  <c r="E63" i="4"/>
  <c r="D63" i="4"/>
  <c r="AK64" i="4"/>
  <c r="AJ64" i="4"/>
  <c r="O65" i="4"/>
  <c r="AU65" i="4"/>
  <c r="AX65" i="4" s="1"/>
  <c r="BA65" i="4" s="1"/>
  <c r="W66" i="4"/>
  <c r="V66" i="4"/>
  <c r="AI66" i="4"/>
  <c r="G67" i="4"/>
  <c r="AK67" i="4"/>
  <c r="AJ67" i="4"/>
  <c r="BI67" i="4"/>
  <c r="BR67" i="4"/>
  <c r="H68" i="4"/>
  <c r="G68" i="4"/>
  <c r="AH68" i="4"/>
  <c r="BB68" i="4" s="1"/>
  <c r="AC68" i="4"/>
  <c r="E69" i="4"/>
  <c r="D69" i="4"/>
  <c r="W71" i="4"/>
  <c r="BM72" i="4"/>
  <c r="BP72" i="4" s="1"/>
  <c r="V73" i="4"/>
  <c r="AQ73" i="4"/>
  <c r="AZ73" i="4"/>
  <c r="BC73" i="4" s="1"/>
  <c r="BB74" i="4"/>
  <c r="AZ75" i="4"/>
  <c r="BC75" i="4" s="1"/>
  <c r="Z76" i="4"/>
  <c r="AG76" i="4" s="1"/>
  <c r="AI76" i="4"/>
  <c r="AI77" i="4"/>
  <c r="BQ77" i="4"/>
  <c r="V78" i="4"/>
  <c r="AD79" i="4"/>
  <c r="AC80" i="4"/>
  <c r="G81" i="4"/>
  <c r="BE82" i="4"/>
  <c r="W84" i="4"/>
  <c r="AQ84" i="4"/>
  <c r="AX84" i="4" s="1"/>
  <c r="BB85" i="4"/>
  <c r="BT85" i="4"/>
  <c r="AI86" i="4"/>
  <c r="BC86" i="4" s="1"/>
  <c r="BI86" i="4"/>
  <c r="AH87" i="4"/>
  <c r="BB87" i="4" s="1"/>
  <c r="BQ88" i="4"/>
  <c r="V89" i="4"/>
  <c r="AD90" i="4"/>
  <c r="AC91" i="4"/>
  <c r="G92" i="4"/>
  <c r="BE93" i="4"/>
  <c r="O95" i="4"/>
  <c r="AY95" i="4"/>
  <c r="BB95" i="4" s="1"/>
  <c r="C96" i="4"/>
  <c r="V104" i="4"/>
  <c r="AY105" i="4"/>
  <c r="BB105" i="4" s="1"/>
  <c r="AY106" i="4"/>
  <c r="BB106" i="4" s="1"/>
  <c r="AC107" i="4"/>
  <c r="Z108" i="4"/>
  <c r="AG108" i="4" s="1"/>
  <c r="C109" i="4"/>
  <c r="AC109" i="4"/>
  <c r="BR109" i="4"/>
  <c r="AC110" i="4"/>
  <c r="BB111" i="4"/>
  <c r="AP161" i="5"/>
  <c r="BB2" i="5"/>
  <c r="BJ161" i="5"/>
  <c r="DH339" i="5" s="1"/>
  <c r="CB161" i="5"/>
  <c r="K3" i="5"/>
  <c r="BQ3" i="5"/>
  <c r="BT3" i="5" s="1"/>
  <c r="AL4" i="5"/>
  <c r="BF4" i="5" s="1"/>
  <c r="P5" i="5"/>
  <c r="BC5" i="5"/>
  <c r="BF5" i="5" s="1"/>
  <c r="C6" i="5"/>
  <c r="BC7" i="5"/>
  <c r="C8" i="5"/>
  <c r="AH9" i="5"/>
  <c r="AA10" i="5"/>
  <c r="T11" i="5"/>
  <c r="BD11" i="5"/>
  <c r="AY11" i="5"/>
  <c r="BB11" i="5" s="1"/>
  <c r="I12" i="5"/>
  <c r="H12" i="5"/>
  <c r="BI12" i="5"/>
  <c r="AD13" i="5"/>
  <c r="BB13" i="5"/>
  <c r="BE13" i="5" s="1"/>
  <c r="E14" i="5"/>
  <c r="D14" i="5"/>
  <c r="C14" i="5"/>
  <c r="P14" i="5"/>
  <c r="AK14" i="5"/>
  <c r="BU14" i="5"/>
  <c r="AM16" i="5"/>
  <c r="W16" i="5"/>
  <c r="BF17" i="5"/>
  <c r="BV17" i="5"/>
  <c r="T19" i="5"/>
  <c r="BD19" i="5"/>
  <c r="D20" i="5"/>
  <c r="L22" i="5"/>
  <c r="K22" i="5"/>
  <c r="BT22" i="5"/>
  <c r="AO23" i="5"/>
  <c r="BV23" i="5"/>
  <c r="BQ23" i="5"/>
  <c r="BT23" i="5" s="1"/>
  <c r="S24" i="5"/>
  <c r="AM24" i="5"/>
  <c r="BM24" i="5"/>
  <c r="BT24" i="5" s="1"/>
  <c r="BD25" i="5"/>
  <c r="G26" i="5"/>
  <c r="T26" i="5"/>
  <c r="S26" i="5"/>
  <c r="K27" i="5"/>
  <c r="BQ27" i="5"/>
  <c r="BT27" i="5" s="1"/>
  <c r="AA28" i="5"/>
  <c r="W28" i="5"/>
  <c r="BD28" i="5"/>
  <c r="AU28" i="5"/>
  <c r="K29" i="5"/>
  <c r="AL30" i="5"/>
  <c r="BF30" i="5" s="1"/>
  <c r="AO32" i="5"/>
  <c r="AN32" i="5"/>
  <c r="BG32" i="5"/>
  <c r="BV33" i="5"/>
  <c r="C34" i="5"/>
  <c r="BF34" i="5"/>
  <c r="AH35" i="5"/>
  <c r="L37" i="5"/>
  <c r="K37" i="5"/>
  <c r="AK37" i="5"/>
  <c r="BG38" i="5"/>
  <c r="BF40" i="5"/>
  <c r="BB44" i="5"/>
  <c r="BE44" i="5" s="1"/>
  <c r="BD47" i="5"/>
  <c r="AU47" i="5"/>
  <c r="AL49" i="5"/>
  <c r="BF49" i="5" s="1"/>
  <c r="AI50" i="5"/>
  <c r="BV52" i="5"/>
  <c r="E53" i="5"/>
  <c r="D53" i="5"/>
  <c r="AL55" i="5"/>
  <c r="BF55" i="5" s="1"/>
  <c r="BD55" i="5"/>
  <c r="AQ56" i="5"/>
  <c r="AU57" i="5"/>
  <c r="BB57" i="5" s="1"/>
  <c r="AH59" i="5"/>
  <c r="AG59" i="5"/>
  <c r="AM59" i="5"/>
  <c r="AD59" i="5"/>
  <c r="AU61" i="5"/>
  <c r="BB61" i="5" s="1"/>
  <c r="T62" i="5"/>
  <c r="S62" i="5"/>
  <c r="P62" i="5"/>
  <c r="BT62" i="5"/>
  <c r="BE66" i="5"/>
  <c r="AN67" i="5"/>
  <c r="AK67" i="5"/>
  <c r="BE67" i="5" s="1"/>
  <c r="BG67" i="5"/>
  <c r="AO67" i="5"/>
  <c r="BB71" i="5"/>
  <c r="BG78" i="5"/>
  <c r="BG85" i="5"/>
  <c r="AK85" i="5"/>
  <c r="AO85" i="5"/>
  <c r="AN85" i="5"/>
  <c r="BB96" i="5"/>
  <c r="BF104" i="5"/>
  <c r="AH121" i="5"/>
  <c r="AG121" i="5"/>
  <c r="AH124" i="5"/>
  <c r="AG124" i="5"/>
  <c r="T125" i="5"/>
  <c r="AI125" i="5"/>
  <c r="S125" i="5"/>
  <c r="T129" i="5"/>
  <c r="AI129" i="5"/>
  <c r="S129" i="5"/>
  <c r="T133" i="5"/>
  <c r="AI133" i="5"/>
  <c r="S133" i="5"/>
  <c r="BF143" i="5"/>
  <c r="AK143" i="5"/>
  <c r="BF152" i="5"/>
  <c r="AI171" i="5"/>
  <c r="AG13" i="6"/>
  <c r="AH13" i="6"/>
  <c r="K88" i="2"/>
  <c r="G90" i="2"/>
  <c r="Z91" i="2"/>
  <c r="C92" i="2"/>
  <c r="K92" i="2"/>
  <c r="G94" i="2"/>
  <c r="Z95" i="2"/>
  <c r="C96" i="2"/>
  <c r="K96" i="2"/>
  <c r="G98" i="2"/>
  <c r="Z98" i="2"/>
  <c r="G100" i="2"/>
  <c r="Z101" i="2"/>
  <c r="C102" i="2"/>
  <c r="K102" i="2"/>
  <c r="AD102" i="2"/>
  <c r="G103" i="2"/>
  <c r="Z104" i="2"/>
  <c r="C105" i="2"/>
  <c r="K105" i="2"/>
  <c r="AD106" i="2"/>
  <c r="G107" i="2"/>
  <c r="Z108" i="2"/>
  <c r="C109" i="2"/>
  <c r="K109" i="2"/>
  <c r="AD110" i="2"/>
  <c r="G111" i="2"/>
  <c r="Z112" i="2"/>
  <c r="C113" i="2"/>
  <c r="K113" i="2"/>
  <c r="AD114" i="2"/>
  <c r="G115" i="2"/>
  <c r="Z116" i="2"/>
  <c r="C117" i="2"/>
  <c r="K117" i="2"/>
  <c r="AD118" i="2"/>
  <c r="G119" i="2"/>
  <c r="Z120" i="2"/>
  <c r="C121" i="2"/>
  <c r="K121" i="2"/>
  <c r="AD122" i="2"/>
  <c r="G123" i="2"/>
  <c r="Z124" i="2"/>
  <c r="C125" i="2"/>
  <c r="K125" i="2"/>
  <c r="AD126" i="2"/>
  <c r="G127" i="2"/>
  <c r="AG128" i="2"/>
  <c r="S129" i="2"/>
  <c r="W133" i="2"/>
  <c r="AG135" i="2"/>
  <c r="S136" i="2"/>
  <c r="W138" i="2"/>
  <c r="AL138" i="2" s="1"/>
  <c r="Z142" i="2"/>
  <c r="C143" i="2"/>
  <c r="K143" i="2"/>
  <c r="AD144" i="2"/>
  <c r="G145" i="2"/>
  <c r="Z146" i="2"/>
  <c r="C147" i="2"/>
  <c r="K147" i="2"/>
  <c r="AD148" i="2"/>
  <c r="G149" i="2"/>
  <c r="Z150" i="2"/>
  <c r="W157" i="2"/>
  <c r="AL157" i="2" s="1"/>
  <c r="S158" i="2"/>
  <c r="AD159" i="2"/>
  <c r="AG160" i="2"/>
  <c r="C161" i="2"/>
  <c r="K161" i="2"/>
  <c r="S162" i="2"/>
  <c r="O2" i="3"/>
  <c r="O100" i="3" s="1"/>
  <c r="C3" i="3"/>
  <c r="V3" i="3"/>
  <c r="AC5" i="3"/>
  <c r="Z6" i="3"/>
  <c r="O7" i="3"/>
  <c r="C8" i="3"/>
  <c r="O9" i="3"/>
  <c r="C10" i="3"/>
  <c r="O13" i="3"/>
  <c r="AC14" i="3"/>
  <c r="AC15" i="3"/>
  <c r="AC16" i="3"/>
  <c r="V26" i="3"/>
  <c r="AC27" i="3"/>
  <c r="S31" i="3"/>
  <c r="G32" i="3"/>
  <c r="G33" i="3"/>
  <c r="V34" i="3"/>
  <c r="V43" i="3"/>
  <c r="S44" i="3"/>
  <c r="G45" i="3"/>
  <c r="AC46" i="3"/>
  <c r="Z47" i="3"/>
  <c r="O48" i="3"/>
  <c r="C49" i="3"/>
  <c r="V49" i="3"/>
  <c r="Z50" i="3"/>
  <c r="O51" i="3"/>
  <c r="C52" i="3"/>
  <c r="AJ52" i="3"/>
  <c r="O54" i="3"/>
  <c r="O55" i="3"/>
  <c r="O56" i="3"/>
  <c r="C57" i="3"/>
  <c r="AC57" i="3"/>
  <c r="Z58" i="3"/>
  <c r="O59" i="3"/>
  <c r="C60" i="3"/>
  <c r="AJ60" i="3"/>
  <c r="AC65" i="3"/>
  <c r="O67" i="3"/>
  <c r="AC73" i="3"/>
  <c r="C84" i="3"/>
  <c r="AD84" i="3"/>
  <c r="AX84" i="3"/>
  <c r="BA84" i="3" s="1"/>
  <c r="D85" i="3"/>
  <c r="V88" i="3"/>
  <c r="Z90" i="3"/>
  <c r="BR91" i="3"/>
  <c r="V93" i="3"/>
  <c r="Z94" i="3"/>
  <c r="V95" i="3"/>
  <c r="V96" i="3"/>
  <c r="BR96" i="3"/>
  <c r="BE96" i="3"/>
  <c r="BP96" i="3" s="1"/>
  <c r="Z97" i="3"/>
  <c r="AC97" i="3"/>
  <c r="AX97" i="3"/>
  <c r="BA97" i="3" s="1"/>
  <c r="BW97" i="3"/>
  <c r="BW100" i="3" s="1"/>
  <c r="AD98" i="3"/>
  <c r="N100" i="3"/>
  <c r="E108" i="3"/>
  <c r="AI108" i="3"/>
  <c r="AX109" i="3"/>
  <c r="BQ109" i="3"/>
  <c r="E110" i="3"/>
  <c r="P2" i="4"/>
  <c r="AA97" i="4"/>
  <c r="AH2" i="4"/>
  <c r="AK2" i="4"/>
  <c r="AI4" i="4"/>
  <c r="AI97" i="4" s="1"/>
  <c r="D5" i="4"/>
  <c r="AI5" i="4"/>
  <c r="L6" i="4"/>
  <c r="L97" i="4" s="1"/>
  <c r="O6" i="4"/>
  <c r="AI6" i="4"/>
  <c r="BC6" i="4" s="1"/>
  <c r="BR8" i="4"/>
  <c r="AG9" i="4"/>
  <c r="BA9" i="4" s="1"/>
  <c r="D10" i="4"/>
  <c r="AI10" i="4"/>
  <c r="BC10" i="4" s="1"/>
  <c r="AE12" i="4"/>
  <c r="AD14" i="4"/>
  <c r="AZ15" i="4"/>
  <c r="AU15" i="4"/>
  <c r="AD18" i="4"/>
  <c r="AI19" i="4"/>
  <c r="BC19" i="4" s="1"/>
  <c r="E20" i="4"/>
  <c r="S24" i="4"/>
  <c r="AG24" i="4" s="1"/>
  <c r="V24" i="4"/>
  <c r="AE27" i="4"/>
  <c r="W27" i="4"/>
  <c r="AZ27" i="4"/>
  <c r="BC27" i="4" s="1"/>
  <c r="BQ29" i="4"/>
  <c r="BQ30" i="4"/>
  <c r="BQ97" i="4" s="1"/>
  <c r="BQ31" i="4"/>
  <c r="BR34" i="4"/>
  <c r="AI35" i="4"/>
  <c r="D36" i="4"/>
  <c r="AD37" i="4"/>
  <c r="AY38" i="4"/>
  <c r="BB38" i="4" s="1"/>
  <c r="L40" i="4"/>
  <c r="W41" i="4"/>
  <c r="V41" i="4"/>
  <c r="AI41" i="4"/>
  <c r="BM42" i="4"/>
  <c r="BP42" i="4" s="1"/>
  <c r="BR47" i="4"/>
  <c r="P48" i="4"/>
  <c r="O48" i="4"/>
  <c r="AX48" i="4"/>
  <c r="BA48" i="4" s="1"/>
  <c r="AQ50" i="4"/>
  <c r="AZ50" i="4"/>
  <c r="W51" i="4"/>
  <c r="BP51" i="4"/>
  <c r="Z57" i="4"/>
  <c r="AG57" i="4" s="1"/>
  <c r="AI57" i="4"/>
  <c r="AD60" i="4"/>
  <c r="AZ60" i="4"/>
  <c r="BC60" i="4" s="1"/>
  <c r="BP61" i="4"/>
  <c r="AD62" i="4"/>
  <c r="AX62" i="4"/>
  <c r="BA62" i="4" s="1"/>
  <c r="AH63" i="4"/>
  <c r="BB63" i="4" s="1"/>
  <c r="AD64" i="4"/>
  <c r="AC64" i="4"/>
  <c r="P65" i="4"/>
  <c r="AH65" i="4"/>
  <c r="BB65" i="4" s="1"/>
  <c r="BR65" i="4"/>
  <c r="AD68" i="4"/>
  <c r="AZ68" i="4"/>
  <c r="AU70" i="4"/>
  <c r="AX70" i="4" s="1"/>
  <c r="BR70" i="4"/>
  <c r="AE71" i="4"/>
  <c r="AI71" i="4"/>
  <c r="W73" i="4"/>
  <c r="BI75" i="4"/>
  <c r="BR75" i="4"/>
  <c r="H76" i="4"/>
  <c r="G76" i="4"/>
  <c r="E77" i="4"/>
  <c r="D77" i="4"/>
  <c r="BP80" i="4"/>
  <c r="O83" i="4"/>
  <c r="AC83" i="4"/>
  <c r="AD83" i="4"/>
  <c r="AZ85" i="4"/>
  <c r="BC85" i="4" s="1"/>
  <c r="AX87" i="4"/>
  <c r="BA87" i="4" s="1"/>
  <c r="E88" i="4"/>
  <c r="D88" i="4"/>
  <c r="C88" i="4"/>
  <c r="P95" i="4"/>
  <c r="D96" i="4"/>
  <c r="P96" i="4"/>
  <c r="O96" i="4"/>
  <c r="AH96" i="4"/>
  <c r="S108" i="4"/>
  <c r="BR108" i="4"/>
  <c r="AD109" i="4"/>
  <c r="AZ109" i="4"/>
  <c r="AQ111" i="4"/>
  <c r="AX111" i="4" s="1"/>
  <c r="BA111" i="4" s="1"/>
  <c r="I2" i="5"/>
  <c r="H2" i="5"/>
  <c r="AF161" i="5"/>
  <c r="DD192" i="5" s="1"/>
  <c r="AD2" i="5"/>
  <c r="AD161" i="5" s="1"/>
  <c r="AM2" i="5"/>
  <c r="AQ161" i="5"/>
  <c r="AZ161" i="5"/>
  <c r="D6" i="5"/>
  <c r="D8" i="5"/>
  <c r="AO8" i="5"/>
  <c r="AN8" i="5"/>
  <c r="BV13" i="5"/>
  <c r="AU16" i="5"/>
  <c r="BD16" i="5"/>
  <c r="AO17" i="5"/>
  <c r="AN17" i="5"/>
  <c r="BG17" i="5"/>
  <c r="AM19" i="5"/>
  <c r="AM20" i="5"/>
  <c r="H26" i="5"/>
  <c r="AD26" i="5"/>
  <c r="AM26" i="5"/>
  <c r="BT28" i="5"/>
  <c r="BT29" i="5"/>
  <c r="AA30" i="5"/>
  <c r="W30" i="5"/>
  <c r="BD30" i="5"/>
  <c r="AU30" i="5"/>
  <c r="BB30" i="5" s="1"/>
  <c r="AH31" i="5"/>
  <c r="BT31" i="5"/>
  <c r="I33" i="5"/>
  <c r="H33" i="5"/>
  <c r="AO34" i="5"/>
  <c r="AN34" i="5"/>
  <c r="BG34" i="5"/>
  <c r="BG36" i="5"/>
  <c r="K39" i="5"/>
  <c r="AH40" i="5"/>
  <c r="AM40" i="5"/>
  <c r="AD40" i="5"/>
  <c r="BT41" i="5"/>
  <c r="BD43" i="5"/>
  <c r="AU43" i="5"/>
  <c r="E44" i="5"/>
  <c r="D44" i="5"/>
  <c r="C44" i="5"/>
  <c r="W44" i="5"/>
  <c r="AK44" i="5"/>
  <c r="AL45" i="5"/>
  <c r="BF45" i="5" s="1"/>
  <c r="BM45" i="5"/>
  <c r="AA47" i="5"/>
  <c r="Z47" i="5"/>
  <c r="W47" i="5"/>
  <c r="E48" i="5"/>
  <c r="D48" i="5"/>
  <c r="C48" i="5"/>
  <c r="C53" i="5"/>
  <c r="AH55" i="5"/>
  <c r="AM55" i="5"/>
  <c r="AD55" i="5"/>
  <c r="T58" i="5"/>
  <c r="P58" i="5"/>
  <c r="AU59" i="5"/>
  <c r="BB59" i="5" s="1"/>
  <c r="T60" i="5"/>
  <c r="S60" i="5"/>
  <c r="P60" i="5"/>
  <c r="BT60" i="5"/>
  <c r="AQ62" i="5"/>
  <c r="BB63" i="5"/>
  <c r="AN70" i="5"/>
  <c r="AK70" i="5"/>
  <c r="BG70" i="5"/>
  <c r="AO70" i="5"/>
  <c r="BT74" i="5"/>
  <c r="BB91" i="5"/>
  <c r="AK99" i="5"/>
  <c r="BE99" i="5" s="1"/>
  <c r="AI121" i="5"/>
  <c r="S121" i="5"/>
  <c r="T121" i="5"/>
  <c r="AI124" i="5"/>
  <c r="S124" i="5"/>
  <c r="T124" i="5"/>
  <c r="BF124" i="5"/>
  <c r="AK124" i="5"/>
  <c r="BE124" i="5" s="1"/>
  <c r="AG131" i="5"/>
  <c r="AI131" i="5"/>
  <c r="AH131" i="5"/>
  <c r="Z143" i="5"/>
  <c r="AA143" i="5"/>
  <c r="AK173" i="5"/>
  <c r="AO173" i="5"/>
  <c r="AN173" i="5"/>
  <c r="O131" i="6"/>
  <c r="T3" i="6"/>
  <c r="AI3" i="6"/>
  <c r="S3" i="6"/>
  <c r="BT11" i="6"/>
  <c r="BE18" i="6"/>
  <c r="X100" i="3"/>
  <c r="AF100" i="3"/>
  <c r="AN100" i="3"/>
  <c r="CZ302" i="3" s="1"/>
  <c r="AV100" i="3"/>
  <c r="DB302" i="3" s="1"/>
  <c r="BD100" i="3"/>
  <c r="BL100" i="3"/>
  <c r="AZ75" i="3"/>
  <c r="G76" i="3"/>
  <c r="AD77" i="3"/>
  <c r="BI83" i="3"/>
  <c r="BP83" i="3" s="1"/>
  <c r="O85" i="3"/>
  <c r="D88" i="3"/>
  <c r="W88" i="3"/>
  <c r="AD92" i="3"/>
  <c r="BM93" i="3"/>
  <c r="BP93" i="3" s="1"/>
  <c r="E95" i="3"/>
  <c r="BS95" i="3"/>
  <c r="BH95" i="3" s="1"/>
  <c r="C96" i="3"/>
  <c r="W96" i="3"/>
  <c r="AD97" i="3"/>
  <c r="AC98" i="3"/>
  <c r="E105" i="3"/>
  <c r="C106" i="3"/>
  <c r="AQ106" i="3"/>
  <c r="W107" i="3"/>
  <c r="AZ107" i="3"/>
  <c r="AM107" i="3"/>
  <c r="AX107" i="3" s="1"/>
  <c r="S108" i="3"/>
  <c r="AC108" i="3"/>
  <c r="L109" i="3"/>
  <c r="AH109" i="3"/>
  <c r="BB109" i="3" s="1"/>
  <c r="BM110" i="3"/>
  <c r="R97" i="4"/>
  <c r="AB97" i="4"/>
  <c r="CW129" i="4" s="1"/>
  <c r="Z2" i="4"/>
  <c r="BF97" i="4"/>
  <c r="DA276" i="4" s="1"/>
  <c r="BN97" i="4"/>
  <c r="DC276" i="4" s="1"/>
  <c r="BV97" i="4"/>
  <c r="DD129" i="4" s="1"/>
  <c r="BT3" i="4"/>
  <c r="O5" i="4"/>
  <c r="E6" i="4"/>
  <c r="P6" i="4"/>
  <c r="Z6" i="4"/>
  <c r="AG6" i="4" s="1"/>
  <c r="BA6" i="4" s="1"/>
  <c r="E8" i="4"/>
  <c r="P8" i="4"/>
  <c r="AQ8" i="4"/>
  <c r="AQ97" i="4" s="1"/>
  <c r="G9" i="4"/>
  <c r="Z10" i="4"/>
  <c r="AG10" i="4" s="1"/>
  <c r="BA10" i="4" s="1"/>
  <c r="AQ11" i="4"/>
  <c r="AX11" i="4" s="1"/>
  <c r="BA11" i="4" s="1"/>
  <c r="C12" i="4"/>
  <c r="V13" i="4"/>
  <c r="BE13" i="4"/>
  <c r="AZ14" i="4"/>
  <c r="BC14" i="4" s="1"/>
  <c r="BI14" i="4"/>
  <c r="BP14" i="4" s="1"/>
  <c r="W15" i="4"/>
  <c r="AM15" i="4"/>
  <c r="L17" i="4"/>
  <c r="AG17" i="4" s="1"/>
  <c r="BI17" i="4"/>
  <c r="W18" i="4"/>
  <c r="BI19" i="4"/>
  <c r="BP19" i="4" s="1"/>
  <c r="AI20" i="4"/>
  <c r="BI20" i="4"/>
  <c r="BP20" i="4" s="1"/>
  <c r="AI21" i="4"/>
  <c r="D22" i="4"/>
  <c r="AI22" i="4"/>
  <c r="L23" i="4"/>
  <c r="O23" i="4"/>
  <c r="AI23" i="4"/>
  <c r="W24" i="4"/>
  <c r="L26" i="4"/>
  <c r="L27" i="4"/>
  <c r="V27" i="4"/>
  <c r="S32" i="4"/>
  <c r="V32" i="4"/>
  <c r="Z33" i="4"/>
  <c r="AG33" i="4" s="1"/>
  <c r="E34" i="4"/>
  <c r="P34" i="4"/>
  <c r="AQ34" i="4"/>
  <c r="C35" i="4"/>
  <c r="P35" i="4"/>
  <c r="W37" i="4"/>
  <c r="V39" i="4"/>
  <c r="BE39" i="4"/>
  <c r="BP39" i="4" s="1"/>
  <c r="AD42" i="4"/>
  <c r="AC42" i="4"/>
  <c r="BQ42" i="4"/>
  <c r="AQ43" i="4"/>
  <c r="AD44" i="4"/>
  <c r="AC44" i="4"/>
  <c r="BQ44" i="4"/>
  <c r="BI45" i="4"/>
  <c r="BP45" i="4" s="1"/>
  <c r="S47" i="4"/>
  <c r="C48" i="4"/>
  <c r="AH49" i="4"/>
  <c r="BB49" i="4" s="1"/>
  <c r="Z49" i="4"/>
  <c r="AG49" i="4" s="1"/>
  <c r="W50" i="4"/>
  <c r="BP50" i="4"/>
  <c r="L51" i="4"/>
  <c r="AU51" i="4"/>
  <c r="AX51" i="4" s="1"/>
  <c r="AH52" i="4"/>
  <c r="AY52" i="4"/>
  <c r="Z53" i="4"/>
  <c r="AG53" i="4" s="1"/>
  <c r="BR53" i="4"/>
  <c r="BM53" i="4"/>
  <c r="BP53" i="4" s="1"/>
  <c r="AK56" i="4"/>
  <c r="AJ56" i="4"/>
  <c r="BI56" i="4"/>
  <c r="BP56" i="4" s="1"/>
  <c r="BR56" i="4"/>
  <c r="H57" i="4"/>
  <c r="G57" i="4"/>
  <c r="AH57" i="4"/>
  <c r="AC57" i="4"/>
  <c r="E58" i="4"/>
  <c r="D58" i="4"/>
  <c r="AX58" i="4"/>
  <c r="BA58" i="4" s="1"/>
  <c r="V59" i="4"/>
  <c r="AQ59" i="4"/>
  <c r="AX59" i="4" s="1"/>
  <c r="BA59" i="4" s="1"/>
  <c r="AH60" i="4"/>
  <c r="BB60" i="4" s="1"/>
  <c r="Z61" i="4"/>
  <c r="AX61" i="4"/>
  <c r="BA61" i="4" s="1"/>
  <c r="AK62" i="4"/>
  <c r="AJ62" i="4"/>
  <c r="Z63" i="4"/>
  <c r="AG63" i="4" s="1"/>
  <c r="AX63" i="4"/>
  <c r="E64" i="4"/>
  <c r="D64" i="4"/>
  <c r="C64" i="4"/>
  <c r="P64" i="4"/>
  <c r="AZ64" i="4"/>
  <c r="BC64" i="4" s="1"/>
  <c r="AU64" i="4"/>
  <c r="AX64" i="4" s="1"/>
  <c r="BA64" i="4" s="1"/>
  <c r="C66" i="4"/>
  <c r="Z66" i="4"/>
  <c r="AG66" i="4" s="1"/>
  <c r="BA66" i="4" s="1"/>
  <c r="BR66" i="4"/>
  <c r="BM66" i="4"/>
  <c r="BP66" i="4" s="1"/>
  <c r="BM67" i="4"/>
  <c r="BP67" i="4" s="1"/>
  <c r="L68" i="4"/>
  <c r="V68" i="4"/>
  <c r="AD69" i="4"/>
  <c r="AC69" i="4"/>
  <c r="O70" i="4"/>
  <c r="AY70" i="4"/>
  <c r="BB70" i="4" s="1"/>
  <c r="L71" i="4"/>
  <c r="BR72" i="4"/>
  <c r="L73" i="4"/>
  <c r="AU73" i="4"/>
  <c r="W74" i="4"/>
  <c r="V74" i="4"/>
  <c r="AI74" i="4"/>
  <c r="AD76" i="4"/>
  <c r="AZ76" i="4"/>
  <c r="BC76" i="4" s="1"/>
  <c r="BI76" i="4"/>
  <c r="C77" i="4"/>
  <c r="Z77" i="4"/>
  <c r="AG77" i="4" s="1"/>
  <c r="BA77" i="4" s="1"/>
  <c r="AU78" i="4"/>
  <c r="AX78" i="4" s="1"/>
  <c r="BR78" i="4"/>
  <c r="L79" i="4"/>
  <c r="V79" i="4"/>
  <c r="AI79" i="4"/>
  <c r="BQ80" i="4"/>
  <c r="V81" i="4"/>
  <c r="AQ81" i="4"/>
  <c r="AX81" i="4" s="1"/>
  <c r="BA81" i="4" s="1"/>
  <c r="AZ81" i="4"/>
  <c r="BC81" i="4" s="1"/>
  <c r="S82" i="4"/>
  <c r="AC82" i="4"/>
  <c r="AY83" i="4"/>
  <c r="BB83" i="4" s="1"/>
  <c r="O84" i="4"/>
  <c r="AH84" i="4"/>
  <c r="BB84" i="4" s="1"/>
  <c r="V85" i="4"/>
  <c r="BM85" i="4"/>
  <c r="BP85" i="4" s="1"/>
  <c r="S87" i="4"/>
  <c r="AC87" i="4"/>
  <c r="BR87" i="4"/>
  <c r="Z88" i="4"/>
  <c r="AG88" i="4" s="1"/>
  <c r="AU89" i="4"/>
  <c r="AX89" i="4" s="1"/>
  <c r="BR89" i="4"/>
  <c r="L90" i="4"/>
  <c r="V90" i="4"/>
  <c r="AI90" i="4"/>
  <c r="BC90" i="4" s="1"/>
  <c r="BQ91" i="4"/>
  <c r="V92" i="4"/>
  <c r="AQ92" i="4"/>
  <c r="AX92" i="4" s="1"/>
  <c r="BA92" i="4" s="1"/>
  <c r="AZ92" i="4"/>
  <c r="S93" i="4"/>
  <c r="AC93" i="4"/>
  <c r="AZ94" i="4"/>
  <c r="BC94" i="4" s="1"/>
  <c r="AU94" i="4"/>
  <c r="AX94" i="4" s="1"/>
  <c r="BA94" i="4" s="1"/>
  <c r="BT94" i="4"/>
  <c r="AI95" i="4"/>
  <c r="BI95" i="4"/>
  <c r="Z96" i="4"/>
  <c r="AG96" i="4" s="1"/>
  <c r="AX96" i="4"/>
  <c r="BA96" i="4" s="1"/>
  <c r="AO97" i="4"/>
  <c r="CX129" i="4" s="1"/>
  <c r="AU104" i="4"/>
  <c r="AX104" i="4" s="1"/>
  <c r="BA104" i="4" s="1"/>
  <c r="BR104" i="4"/>
  <c r="BI105" i="4"/>
  <c r="BR105" i="4"/>
  <c r="BI106" i="4"/>
  <c r="BP106" i="4" s="1"/>
  <c r="BR106" i="4"/>
  <c r="AI107" i="4"/>
  <c r="S107" i="4"/>
  <c r="AG107" i="4" s="1"/>
  <c r="AD108" i="4"/>
  <c r="S109" i="4"/>
  <c r="AG109" i="4" s="1"/>
  <c r="AQ110" i="4"/>
  <c r="AX110" i="4" s="1"/>
  <c r="BA110" i="4" s="1"/>
  <c r="AI111" i="4"/>
  <c r="G2" i="5"/>
  <c r="U161" i="5"/>
  <c r="AG2" i="5"/>
  <c r="AR161" i="5"/>
  <c r="DE339" i="5" s="1"/>
  <c r="BA161" i="5"/>
  <c r="BU2" i="5"/>
  <c r="E3" i="5"/>
  <c r="D3" i="5"/>
  <c r="BV3" i="5"/>
  <c r="Z4" i="5"/>
  <c r="AU4" i="5"/>
  <c r="BB4" i="5" s="1"/>
  <c r="T5" i="5"/>
  <c r="T161" i="5" s="1"/>
  <c r="AM5" i="5"/>
  <c r="BM5" i="5"/>
  <c r="BT5" i="5" s="1"/>
  <c r="AM6" i="5"/>
  <c r="S7" i="5"/>
  <c r="AM7" i="5"/>
  <c r="BM7" i="5"/>
  <c r="AK8" i="5"/>
  <c r="BE8" i="5" s="1"/>
  <c r="BU8" i="5"/>
  <c r="W9" i="5"/>
  <c r="P10" i="5"/>
  <c r="AG12" i="5"/>
  <c r="AH13" i="5"/>
  <c r="T14" i="5"/>
  <c r="AY14" i="5"/>
  <c r="BB14" i="5" s="1"/>
  <c r="BE14" i="5" s="1"/>
  <c r="AA15" i="5"/>
  <c r="Z15" i="5"/>
  <c r="AM15" i="5"/>
  <c r="AA16" i="5"/>
  <c r="BT16" i="5"/>
  <c r="L21" i="5"/>
  <c r="K21" i="5"/>
  <c r="AM21" i="5"/>
  <c r="AK22" i="5"/>
  <c r="AG23" i="5"/>
  <c r="AM25" i="5"/>
  <c r="BU25" i="5"/>
  <c r="AL26" i="5"/>
  <c r="BF26" i="5" s="1"/>
  <c r="AG26" i="5"/>
  <c r="E27" i="5"/>
  <c r="D27" i="5"/>
  <c r="BV27" i="5"/>
  <c r="BB28" i="5"/>
  <c r="E29" i="5"/>
  <c r="D29" i="5"/>
  <c r="AK29" i="5"/>
  <c r="BU29" i="5"/>
  <c r="Z30" i="5"/>
  <c r="BT30" i="5"/>
  <c r="AI31" i="5"/>
  <c r="BV31" i="5"/>
  <c r="BD32" i="5"/>
  <c r="AY32" i="5"/>
  <c r="BB32" i="5" s="1"/>
  <c r="BE32" i="5" s="1"/>
  <c r="BX32" i="5"/>
  <c r="G33" i="5"/>
  <c r="AY35" i="5"/>
  <c r="BB35" i="5" s="1"/>
  <c r="AH36" i="5"/>
  <c r="AG36" i="5"/>
  <c r="BD37" i="5"/>
  <c r="BG37" i="5" s="1"/>
  <c r="AY37" i="5"/>
  <c r="BB37" i="5" s="1"/>
  <c r="BV38" i="5"/>
  <c r="E39" i="5"/>
  <c r="D39" i="5"/>
  <c r="BV39" i="5"/>
  <c r="BQ39" i="5"/>
  <c r="BT39" i="5" s="1"/>
  <c r="AG40" i="5"/>
  <c r="BD41" i="5"/>
  <c r="BG41" i="5" s="1"/>
  <c r="AU41" i="5"/>
  <c r="BB41" i="5" s="1"/>
  <c r="BE41" i="5" s="1"/>
  <c r="E42" i="5"/>
  <c r="D42" i="5"/>
  <c r="C42" i="5"/>
  <c r="T42" i="5"/>
  <c r="P42" i="5"/>
  <c r="BB43" i="5"/>
  <c r="BD44" i="5"/>
  <c r="BG44" i="5" s="1"/>
  <c r="T45" i="5"/>
  <c r="S45" i="5"/>
  <c r="P45" i="5"/>
  <c r="AA46" i="5"/>
  <c r="AI46" i="5"/>
  <c r="BQ46" i="5"/>
  <c r="BT46" i="5" s="1"/>
  <c r="BB47" i="5"/>
  <c r="I49" i="5"/>
  <c r="H49" i="5"/>
  <c r="G49" i="5"/>
  <c r="AY50" i="5"/>
  <c r="BB50" i="5" s="1"/>
  <c r="BQ51" i="5"/>
  <c r="BT51" i="5" s="1"/>
  <c r="BB52" i="5"/>
  <c r="BB53" i="5"/>
  <c r="BD54" i="5"/>
  <c r="AY54" i="5"/>
  <c r="BB54" i="5" s="1"/>
  <c r="AG55" i="5"/>
  <c r="S58" i="5"/>
  <c r="BT58" i="5"/>
  <c r="AQ60" i="5"/>
  <c r="BG88" i="5"/>
  <c r="AO88" i="5"/>
  <c r="AN88" i="5"/>
  <c r="BT97" i="5"/>
  <c r="BE101" i="5"/>
  <c r="BB105" i="5"/>
  <c r="BB108" i="5"/>
  <c r="AK113" i="5"/>
  <c r="AO113" i="5"/>
  <c r="AN113" i="5"/>
  <c r="AI118" i="5"/>
  <c r="S118" i="5"/>
  <c r="T118" i="5"/>
  <c r="AG123" i="5"/>
  <c r="AH123" i="5"/>
  <c r="AI128" i="5"/>
  <c r="S128" i="5"/>
  <c r="T128" i="5"/>
  <c r="Z132" i="5"/>
  <c r="AA132" i="5"/>
  <c r="AG145" i="5"/>
  <c r="AH145" i="5"/>
  <c r="BB148" i="5"/>
  <c r="BT160" i="5"/>
  <c r="AK2" i="6"/>
  <c r="AI6" i="6"/>
  <c r="S6" i="6"/>
  <c r="T6" i="6"/>
  <c r="AI8" i="6"/>
  <c r="Z8" i="6"/>
  <c r="AA8" i="6"/>
  <c r="BE9" i="6"/>
  <c r="BF24" i="6"/>
  <c r="BF31" i="6"/>
  <c r="Z598" i="15"/>
  <c r="Z599" i="15"/>
  <c r="Z588" i="15"/>
  <c r="Z580" i="15"/>
  <c r="Z572" i="15"/>
  <c r="Z561" i="15"/>
  <c r="Z553" i="15"/>
  <c r="Z545" i="15"/>
  <c r="Z537" i="15"/>
  <c r="Z529" i="15"/>
  <c r="Z521" i="15"/>
  <c r="Z513" i="15"/>
  <c r="Z438" i="15"/>
  <c r="Z592" i="15"/>
  <c r="Z579" i="15"/>
  <c r="Z575" i="15"/>
  <c r="Z563" i="15"/>
  <c r="Z562" i="15"/>
  <c r="Z584" i="15"/>
  <c r="Z571" i="15"/>
  <c r="Z564" i="15"/>
  <c r="Z596" i="15"/>
  <c r="Z593" i="15"/>
  <c r="Z589" i="15"/>
  <c r="Z576" i="15"/>
  <c r="Z565" i="15"/>
  <c r="Z520" i="15"/>
  <c r="Z519" i="15"/>
  <c r="Z518" i="15"/>
  <c r="Z517" i="15"/>
  <c r="Z516" i="15"/>
  <c r="Z515" i="15"/>
  <c r="Z514" i="15"/>
  <c r="Z595" i="15"/>
  <c r="Z587" i="15"/>
  <c r="Z583" i="15"/>
  <c r="Z570" i="15"/>
  <c r="Z581" i="15"/>
  <c r="Z566" i="15"/>
  <c r="Z554" i="15"/>
  <c r="Z549" i="15"/>
  <c r="Z543" i="15"/>
  <c r="Z539" i="15"/>
  <c r="Z528" i="15"/>
  <c r="Z524" i="15"/>
  <c r="Z427" i="15"/>
  <c r="Z600" i="15"/>
  <c r="Z573" i="15"/>
  <c r="Z557" i="15"/>
  <c r="Z552" i="15"/>
  <c r="Z536" i="15"/>
  <c r="Z532" i="15"/>
  <c r="Z509" i="15"/>
  <c r="Z437" i="15"/>
  <c r="Z436" i="15"/>
  <c r="Z426" i="15"/>
  <c r="Z425" i="15"/>
  <c r="Z415" i="15"/>
  <c r="Z597" i="15"/>
  <c r="Z594" i="15"/>
  <c r="Z586" i="15"/>
  <c r="Z542" i="15"/>
  <c r="Z540" i="15"/>
  <c r="Z522" i="15"/>
  <c r="Z432" i="15"/>
  <c r="Z401" i="15"/>
  <c r="Z569" i="15"/>
  <c r="Z531" i="15"/>
  <c r="Z511" i="15"/>
  <c r="Z433" i="15"/>
  <c r="Z400" i="15"/>
  <c r="Z399" i="15"/>
  <c r="Z389" i="15"/>
  <c r="Z378" i="15"/>
  <c r="Z368" i="15"/>
  <c r="Z585" i="15"/>
  <c r="Z582" i="15"/>
  <c r="Z568" i="15"/>
  <c r="Z560" i="15"/>
  <c r="Z558" i="15"/>
  <c r="Z556" i="15"/>
  <c r="Z547" i="15"/>
  <c r="Z538" i="15"/>
  <c r="Z527" i="15"/>
  <c r="Z525" i="15"/>
  <c r="Z413" i="15"/>
  <c r="Z412" i="15"/>
  <c r="Z411" i="15"/>
  <c r="Z410" i="15"/>
  <c r="Z409" i="15"/>
  <c r="Z398" i="15"/>
  <c r="Z388" i="15"/>
  <c r="Z387" i="15"/>
  <c r="Z377" i="15"/>
  <c r="Z367" i="15"/>
  <c r="Z363" i="15"/>
  <c r="Z359" i="15"/>
  <c r="Z590" i="15"/>
  <c r="Z559" i="15"/>
  <c r="Z550" i="15"/>
  <c r="Z548" i="15"/>
  <c r="Z546" i="15"/>
  <c r="Z535" i="15"/>
  <c r="Z533" i="15"/>
  <c r="Z508" i="15"/>
  <c r="Z506" i="15"/>
  <c r="Z431" i="15"/>
  <c r="Z534" i="15"/>
  <c r="Z428" i="15"/>
  <c r="Z405" i="15"/>
  <c r="Z380" i="15"/>
  <c r="Z369" i="15"/>
  <c r="Z358" i="15"/>
  <c r="Z348" i="15"/>
  <c r="Z347" i="15"/>
  <c r="Z275" i="15"/>
  <c r="Z272" i="15"/>
  <c r="Z264" i="15"/>
  <c r="Z256" i="15"/>
  <c r="Z248" i="15"/>
  <c r="Z240" i="15"/>
  <c r="Z232" i="15"/>
  <c r="Z541" i="15"/>
  <c r="Z523" i="15"/>
  <c r="Z435" i="15"/>
  <c r="Z417" i="15"/>
  <c r="Z402" i="15"/>
  <c r="Z396" i="15"/>
  <c r="Z392" i="15"/>
  <c r="Z381" i="15"/>
  <c r="Z376" i="15"/>
  <c r="Z370" i="15"/>
  <c r="Z357" i="15"/>
  <c r="Z346" i="15"/>
  <c r="Z338" i="15"/>
  <c r="Z269" i="15"/>
  <c r="Z261" i="15"/>
  <c r="Z253" i="15"/>
  <c r="Z245" i="15"/>
  <c r="Z574" i="15"/>
  <c r="Z567" i="15"/>
  <c r="Z530" i="15"/>
  <c r="Z512" i="15"/>
  <c r="Z421" i="15"/>
  <c r="Z419" i="15"/>
  <c r="Z406" i="15"/>
  <c r="Z393" i="15"/>
  <c r="Z382" i="15"/>
  <c r="Z371" i="15"/>
  <c r="Z362" i="15"/>
  <c r="Z361" i="15"/>
  <c r="Z360" i="15"/>
  <c r="Z356" i="15"/>
  <c r="Z355" i="15"/>
  <c r="Z345" i="15"/>
  <c r="Z274" i="15"/>
  <c r="Z266" i="15"/>
  <c r="Z258" i="15"/>
  <c r="Z250" i="15"/>
  <c r="Z242" i="15"/>
  <c r="Z544" i="15"/>
  <c r="Z526" i="15"/>
  <c r="Z578" i="15"/>
  <c r="Z551" i="15"/>
  <c r="Z591" i="15"/>
  <c r="Z577" i="15"/>
  <c r="Z555" i="15"/>
  <c r="Z510" i="15"/>
  <c r="Z424" i="15"/>
  <c r="Z422" i="15"/>
  <c r="Z408" i="15"/>
  <c r="Z391" i="15"/>
  <c r="Z386" i="15"/>
  <c r="Z375" i="15"/>
  <c r="Z349" i="15"/>
  <c r="Z339" i="15"/>
  <c r="Z267" i="15"/>
  <c r="Z259" i="15"/>
  <c r="Z251" i="15"/>
  <c r="Z507" i="15"/>
  <c r="Z434" i="15"/>
  <c r="Z394" i="15"/>
  <c r="Z372" i="15"/>
  <c r="Z365" i="15"/>
  <c r="Z353" i="15"/>
  <c r="Z342" i="15"/>
  <c r="Z268" i="15"/>
  <c r="Z252" i="15"/>
  <c r="Z247" i="15"/>
  <c r="Z246" i="15"/>
  <c r="Z233" i="15"/>
  <c r="Z228" i="15"/>
  <c r="Z219" i="15"/>
  <c r="Z211" i="15"/>
  <c r="Z203" i="15"/>
  <c r="Z195" i="15"/>
  <c r="Z187" i="15"/>
  <c r="Z179" i="15"/>
  <c r="Z98" i="15"/>
  <c r="Z429" i="15"/>
  <c r="Z416" i="15"/>
  <c r="Z384" i="15"/>
  <c r="Z351" i="15"/>
  <c r="Z265" i="15"/>
  <c r="Z239" i="15"/>
  <c r="Z224" i="15"/>
  <c r="Z216" i="15"/>
  <c r="Z208" i="15"/>
  <c r="Z200" i="15"/>
  <c r="Z192" i="15"/>
  <c r="Z184" i="15"/>
  <c r="Z176" i="15"/>
  <c r="Z103" i="15"/>
  <c r="Z439" i="15"/>
  <c r="Z420" i="15"/>
  <c r="Z379" i="15"/>
  <c r="Z374" i="15"/>
  <c r="Z340" i="15"/>
  <c r="Z262" i="15"/>
  <c r="Z241" i="15"/>
  <c r="Z238" i="15"/>
  <c r="Z237" i="15"/>
  <c r="Z227" i="15"/>
  <c r="Z221" i="15"/>
  <c r="Z213" i="15"/>
  <c r="Z205" i="15"/>
  <c r="Z197" i="15"/>
  <c r="Z189" i="15"/>
  <c r="Z181" i="15"/>
  <c r="Z173" i="15"/>
  <c r="Z423" i="15"/>
  <c r="Z383" i="15"/>
  <c r="Z414" i="15"/>
  <c r="Z407" i="15"/>
  <c r="Z366" i="15"/>
  <c r="Z364" i="15"/>
  <c r="Z373" i="15"/>
  <c r="Z418" i="15"/>
  <c r="Z404" i="15"/>
  <c r="Z395" i="15"/>
  <c r="Z390" i="15"/>
  <c r="Z385" i="15"/>
  <c r="Z350" i="15"/>
  <c r="Z276" i="15"/>
  <c r="Z270" i="15"/>
  <c r="Z254" i="15"/>
  <c r="Z234" i="15"/>
  <c r="Z229" i="15"/>
  <c r="Z225" i="15"/>
  <c r="Z217" i="15"/>
  <c r="Z209" i="15"/>
  <c r="Z201" i="15"/>
  <c r="Z193" i="15"/>
  <c r="Z185" i="15"/>
  <c r="Z177" i="15"/>
  <c r="Z430" i="15"/>
  <c r="Z403" i="15"/>
  <c r="Z397" i="15"/>
  <c r="Z255" i="15"/>
  <c r="Z222" i="15"/>
  <c r="Z206" i="15"/>
  <c r="Z190" i="15"/>
  <c r="Z105" i="15"/>
  <c r="Z104" i="15"/>
  <c r="Z101" i="15"/>
  <c r="Z100" i="15"/>
  <c r="Z95" i="15"/>
  <c r="Z92" i="15"/>
  <c r="Z84" i="15"/>
  <c r="Z76" i="15"/>
  <c r="Z68" i="15"/>
  <c r="Z60" i="15"/>
  <c r="Z52" i="15"/>
  <c r="Z44" i="15"/>
  <c r="Z36" i="15"/>
  <c r="Z28" i="15"/>
  <c r="Z20" i="15"/>
  <c r="Z12" i="15"/>
  <c r="Z4" i="15"/>
  <c r="Z263" i="15"/>
  <c r="Z249" i="15"/>
  <c r="Z236" i="15"/>
  <c r="Z231" i="15"/>
  <c r="Z226" i="15"/>
  <c r="Z210" i="15"/>
  <c r="Z194" i="15"/>
  <c r="Z178" i="15"/>
  <c r="Z89" i="15"/>
  <c r="Z81" i="15"/>
  <c r="Z73" i="15"/>
  <c r="Z65" i="15"/>
  <c r="Z57" i="15"/>
  <c r="Z49" i="15"/>
  <c r="Z41" i="15"/>
  <c r="Z33" i="15"/>
  <c r="Z25" i="15"/>
  <c r="Z17" i="15"/>
  <c r="Z9" i="15"/>
  <c r="Z260" i="15"/>
  <c r="Z223" i="15"/>
  <c r="Z207" i="15"/>
  <c r="Z191" i="15"/>
  <c r="Z175" i="15"/>
  <c r="Z174" i="15"/>
  <c r="Z99" i="15"/>
  <c r="Z94" i="15"/>
  <c r="Z86" i="15"/>
  <c r="Z78" i="15"/>
  <c r="Z70" i="15"/>
  <c r="Z62" i="15"/>
  <c r="Z54" i="15"/>
  <c r="Z46" i="15"/>
  <c r="Z38" i="15"/>
  <c r="Z30" i="15"/>
  <c r="Z22" i="15"/>
  <c r="Z14" i="15"/>
  <c r="Z6" i="15"/>
  <c r="Z352" i="15"/>
  <c r="Z341" i="15"/>
  <c r="Z257" i="15"/>
  <c r="Z244" i="15"/>
  <c r="Z220" i="15"/>
  <c r="Z204" i="15"/>
  <c r="Z188" i="15"/>
  <c r="Z91" i="15"/>
  <c r="Z83" i="15"/>
  <c r="Z75" i="15"/>
  <c r="Z67" i="15"/>
  <c r="Z59" i="15"/>
  <c r="Z51" i="15"/>
  <c r="Z344" i="15"/>
  <c r="Z271" i="15"/>
  <c r="Z214" i="15"/>
  <c r="Z198" i="15"/>
  <c r="Z182" i="15"/>
  <c r="Z88" i="15"/>
  <c r="Z80" i="15"/>
  <c r="Z72" i="15"/>
  <c r="Z64" i="15"/>
  <c r="Z56" i="15"/>
  <c r="Z48" i="15"/>
  <c r="Z354" i="15"/>
  <c r="Z343" i="15"/>
  <c r="Z218" i="15"/>
  <c r="Z202" i="15"/>
  <c r="Z186" i="15"/>
  <c r="Z97" i="15"/>
  <c r="Z93" i="15"/>
  <c r="Z85" i="15"/>
  <c r="Z77" i="15"/>
  <c r="Z69" i="15"/>
  <c r="Z61" i="15"/>
  <c r="Z53" i="15"/>
  <c r="Z215" i="15"/>
  <c r="Z199" i="15"/>
  <c r="Z183" i="15"/>
  <c r="Z90" i="15"/>
  <c r="Z82" i="15"/>
  <c r="Z74" i="15"/>
  <c r="Z66" i="15"/>
  <c r="Z58" i="15"/>
  <c r="Z50" i="15"/>
  <c r="Z273" i="15"/>
  <c r="Z243" i="15"/>
  <c r="Z235" i="15"/>
  <c r="Z230" i="15"/>
  <c r="Z212" i="15"/>
  <c r="Z196" i="15"/>
  <c r="Z180" i="15"/>
  <c r="Z102" i="15"/>
  <c r="Z96" i="15"/>
  <c r="Z87" i="15"/>
  <c r="Z79" i="15"/>
  <c r="Z71" i="15"/>
  <c r="Z63" i="15"/>
  <c r="Z55" i="15"/>
  <c r="Z47" i="15"/>
  <c r="Z39" i="15"/>
  <c r="Z31" i="15"/>
  <c r="Z23" i="15"/>
  <c r="Z15" i="15"/>
  <c r="Z7" i="15"/>
  <c r="Z34" i="15"/>
  <c r="Z18" i="15"/>
  <c r="Z2" i="15"/>
  <c r="Z35" i="15"/>
  <c r="Z19" i="15"/>
  <c r="Z3" i="15"/>
  <c r="Z32" i="15"/>
  <c r="Z16" i="15"/>
  <c r="Z45" i="15"/>
  <c r="Z29" i="15"/>
  <c r="Z13" i="15"/>
  <c r="Z42" i="15"/>
  <c r="Z26" i="15"/>
  <c r="Z10" i="15"/>
  <c r="Z43" i="15"/>
  <c r="Z27" i="15"/>
  <c r="Z11" i="15"/>
  <c r="Z40" i="15"/>
  <c r="Z24" i="15"/>
  <c r="Z8" i="15"/>
  <c r="Z37" i="15"/>
  <c r="Z21" i="15"/>
  <c r="Z5" i="15"/>
  <c r="V56" i="4"/>
  <c r="AD56" i="4"/>
  <c r="O64" i="4"/>
  <c r="V67" i="4"/>
  <c r="AC70" i="4"/>
  <c r="O72" i="4"/>
  <c r="AC95" i="4"/>
  <c r="AC104" i="4"/>
  <c r="V105" i="4"/>
  <c r="O111" i="4"/>
  <c r="AE161" i="5"/>
  <c r="DD339" i="5" s="1"/>
  <c r="BK161" i="5"/>
  <c r="DH192" i="5" s="1"/>
  <c r="BS161" i="5"/>
  <c r="DJ192" i="5" s="1"/>
  <c r="CA161" i="5"/>
  <c r="Z3" i="5"/>
  <c r="AG5" i="5"/>
  <c r="S6" i="5"/>
  <c r="AG7" i="5"/>
  <c r="Z8" i="5"/>
  <c r="Z11" i="5"/>
  <c r="Z17" i="5"/>
  <c r="AG19" i="5"/>
  <c r="S20" i="5"/>
  <c r="Z21" i="5"/>
  <c r="AG22" i="5"/>
  <c r="S23" i="5"/>
  <c r="AG24" i="5"/>
  <c r="S25" i="5"/>
  <c r="Z27" i="5"/>
  <c r="AM28" i="5"/>
  <c r="Z29" i="5"/>
  <c r="AM30" i="5"/>
  <c r="BD31" i="5"/>
  <c r="Z32" i="5"/>
  <c r="AM33" i="5"/>
  <c r="Z34" i="5"/>
  <c r="Z37" i="5"/>
  <c r="BV37" i="5"/>
  <c r="BV42" i="5"/>
  <c r="BD45" i="5"/>
  <c r="Z46" i="5"/>
  <c r="BG46" i="5"/>
  <c r="AM47" i="5"/>
  <c r="Z48" i="5"/>
  <c r="BG48" i="5"/>
  <c r="AM49" i="5"/>
  <c r="BG51" i="5"/>
  <c r="BD52" i="5"/>
  <c r="BG52" i="5" s="1"/>
  <c r="BV54" i="5"/>
  <c r="BV56" i="5"/>
  <c r="BV58" i="5"/>
  <c r="BV60" i="5"/>
  <c r="AD63" i="5"/>
  <c r="P64" i="5"/>
  <c r="AM65" i="5"/>
  <c r="AU65" i="5"/>
  <c r="BB65" i="5" s="1"/>
  <c r="Z66" i="5"/>
  <c r="W67" i="5"/>
  <c r="AG67" i="5"/>
  <c r="BM67" i="5"/>
  <c r="BT67" i="5" s="1"/>
  <c r="I68" i="5"/>
  <c r="S68" i="5"/>
  <c r="AD68" i="5"/>
  <c r="P69" i="5"/>
  <c r="AY69" i="5"/>
  <c r="BB69" i="5" s="1"/>
  <c r="BE69" i="5" s="1"/>
  <c r="W70" i="5"/>
  <c r="AG70" i="5"/>
  <c r="BM70" i="5"/>
  <c r="I71" i="5"/>
  <c r="S71" i="5"/>
  <c r="AD71" i="5"/>
  <c r="P72" i="5"/>
  <c r="AY72" i="5"/>
  <c r="BB72" i="5" s="1"/>
  <c r="BE72" i="5" s="1"/>
  <c r="AG73" i="5"/>
  <c r="E74" i="5"/>
  <c r="AM74" i="5"/>
  <c r="AD75" i="5"/>
  <c r="BQ75" i="5"/>
  <c r="BT75" i="5" s="1"/>
  <c r="Z76" i="5"/>
  <c r="AA77" i="5"/>
  <c r="AQ77" i="5"/>
  <c r="BB77" i="5" s="1"/>
  <c r="S78" i="5"/>
  <c r="AK78" i="5"/>
  <c r="I79" i="5"/>
  <c r="S79" i="5"/>
  <c r="AD79" i="5"/>
  <c r="AN80" i="5"/>
  <c r="AU80" i="5"/>
  <c r="BV80" i="5"/>
  <c r="D82" i="5"/>
  <c r="P82" i="5"/>
  <c r="Z82" i="5"/>
  <c r="Z83" i="5"/>
  <c r="BD84" i="5"/>
  <c r="G85" i="5"/>
  <c r="AY85" i="5"/>
  <c r="E86" i="5"/>
  <c r="AY86" i="5"/>
  <c r="BB86" i="5" s="1"/>
  <c r="BG86" i="5"/>
  <c r="P88" i="5"/>
  <c r="Z90" i="5"/>
  <c r="BQ91" i="5"/>
  <c r="BT91" i="5" s="1"/>
  <c r="W92" i="5"/>
  <c r="AQ93" i="5"/>
  <c r="BB93" i="5" s="1"/>
  <c r="S95" i="5"/>
  <c r="BV95" i="5"/>
  <c r="BM96" i="5"/>
  <c r="BT96" i="5" s="1"/>
  <c r="AH97" i="5"/>
  <c r="AG97" i="5"/>
  <c r="AY97" i="5"/>
  <c r="BB97" i="5" s="1"/>
  <c r="C99" i="5"/>
  <c r="BQ100" i="5"/>
  <c r="L102" i="5"/>
  <c r="K102" i="5"/>
  <c r="BD102" i="5"/>
  <c r="AA103" i="5"/>
  <c r="Z103" i="5"/>
  <c r="BQ104" i="5"/>
  <c r="BT104" i="5" s="1"/>
  <c r="L106" i="5"/>
  <c r="K106" i="5"/>
  <c r="BD106" i="5"/>
  <c r="AL107" i="5"/>
  <c r="BF107" i="5" s="1"/>
  <c r="BB109" i="5"/>
  <c r="E110" i="5"/>
  <c r="D110" i="5"/>
  <c r="C110" i="5"/>
  <c r="P110" i="5"/>
  <c r="BU110" i="5"/>
  <c r="T112" i="5"/>
  <c r="AY112" i="5"/>
  <c r="BB112" i="5" s="1"/>
  <c r="AA113" i="5"/>
  <c r="Z113" i="5"/>
  <c r="BD114" i="5"/>
  <c r="AL115" i="5"/>
  <c r="BF115" i="5" s="1"/>
  <c r="BU117" i="5"/>
  <c r="BQ118" i="5"/>
  <c r="BT118" i="5" s="1"/>
  <c r="H119" i="5"/>
  <c r="AD119" i="5"/>
  <c r="AM119" i="5"/>
  <c r="BM119" i="5"/>
  <c r="C120" i="5"/>
  <c r="L120" i="5"/>
  <c r="BQ120" i="5"/>
  <c r="BD121" i="5"/>
  <c r="G122" i="5"/>
  <c r="AY122" i="5"/>
  <c r="T123" i="5"/>
  <c r="BF123" i="5"/>
  <c r="BM123" i="5"/>
  <c r="BV123" i="5"/>
  <c r="I124" i="5"/>
  <c r="H124" i="5"/>
  <c r="G124" i="5"/>
  <c r="AD124" i="5"/>
  <c r="AA125" i="5"/>
  <c r="Z125" i="5"/>
  <c r="AU125" i="5"/>
  <c r="AL126" i="5"/>
  <c r="BF126" i="5" s="1"/>
  <c r="BC126" i="5"/>
  <c r="AM127" i="5"/>
  <c r="AQ128" i="5"/>
  <c r="BB128" i="5" s="1"/>
  <c r="BE128" i="5" s="1"/>
  <c r="BX128" i="5"/>
  <c r="AM129" i="5"/>
  <c r="L130" i="5"/>
  <c r="K130" i="5"/>
  <c r="AD130" i="5"/>
  <c r="AM130" i="5"/>
  <c r="BM130" i="5"/>
  <c r="C131" i="5"/>
  <c r="L131" i="5"/>
  <c r="BQ131" i="5"/>
  <c r="BD132" i="5"/>
  <c r="BG132" i="5" s="1"/>
  <c r="D135" i="5"/>
  <c r="BV135" i="5"/>
  <c r="BQ135" i="5"/>
  <c r="BT135" i="5" s="1"/>
  <c r="I136" i="5"/>
  <c r="BC136" i="5"/>
  <c r="AK137" i="5"/>
  <c r="BE137" i="5" s="1"/>
  <c r="AH139" i="5"/>
  <c r="AG140" i="5"/>
  <c r="AH140" i="5"/>
  <c r="AU141" i="5"/>
  <c r="BB141" i="5" s="1"/>
  <c r="AA142" i="5"/>
  <c r="BC142" i="5"/>
  <c r="BF142" i="5" s="1"/>
  <c r="AO143" i="5"/>
  <c r="AN143" i="5"/>
  <c r="BF147" i="5"/>
  <c r="AD148" i="5"/>
  <c r="AM148" i="5"/>
  <c r="E150" i="5"/>
  <c r="D150" i="5"/>
  <c r="AH150" i="5"/>
  <c r="BU150" i="5"/>
  <c r="AD152" i="5"/>
  <c r="BC153" i="5"/>
  <c r="BQ154" i="5"/>
  <c r="BT154" i="5" s="1"/>
  <c r="BD155" i="5"/>
  <c r="BM155" i="5"/>
  <c r="AI156" i="5"/>
  <c r="BV156" i="5"/>
  <c r="AM157" i="5"/>
  <c r="AL159" i="5"/>
  <c r="BF159" i="5" s="1"/>
  <c r="AL160" i="5"/>
  <c r="BF160" i="5" s="1"/>
  <c r="BD160" i="5"/>
  <c r="E165" i="5"/>
  <c r="D165" i="5"/>
  <c r="C165" i="5"/>
  <c r="AL166" i="5"/>
  <c r="AK166" i="5" s="1"/>
  <c r="BD167" i="5"/>
  <c r="AU167" i="5"/>
  <c r="BB167" i="5" s="1"/>
  <c r="AO170" i="5"/>
  <c r="AN170" i="5"/>
  <c r="Z171" i="5"/>
  <c r="AM172" i="5"/>
  <c r="D174" i="5"/>
  <c r="L174" i="5"/>
  <c r="AZ131" i="6"/>
  <c r="BK131" i="6"/>
  <c r="DD171" i="6" s="1"/>
  <c r="AG3" i="6"/>
  <c r="W4" i="6"/>
  <c r="W131" i="6" s="1"/>
  <c r="BM4" i="6"/>
  <c r="BT4" i="6" s="1"/>
  <c r="BV4" i="6"/>
  <c r="AY5" i="6"/>
  <c r="BB5" i="6" s="1"/>
  <c r="BU6" i="6"/>
  <c r="BC8" i="6"/>
  <c r="BF8" i="6" s="1"/>
  <c r="W11" i="6"/>
  <c r="P12" i="6"/>
  <c r="AA12" i="6"/>
  <c r="BD13" i="6"/>
  <c r="BG13" i="6" s="1"/>
  <c r="AL14" i="6"/>
  <c r="BF14" i="6" s="1"/>
  <c r="BT15" i="6"/>
  <c r="AU16" i="6"/>
  <c r="P17" i="6"/>
  <c r="AA17" i="6"/>
  <c r="BV18" i="6"/>
  <c r="BM19" i="6"/>
  <c r="AL20" i="6"/>
  <c r="BF20" i="6" s="1"/>
  <c r="BB20" i="6"/>
  <c r="BE20" i="6" s="1"/>
  <c r="H21" i="6"/>
  <c r="BV21" i="6"/>
  <c r="W24" i="6"/>
  <c r="BQ28" i="6"/>
  <c r="E30" i="6"/>
  <c r="D30" i="6"/>
  <c r="BG30" i="6"/>
  <c r="AL31" i="6"/>
  <c r="AU34" i="6"/>
  <c r="BD34" i="6"/>
  <c r="BG34" i="6" s="1"/>
  <c r="L36" i="6"/>
  <c r="K36" i="6"/>
  <c r="T37" i="6"/>
  <c r="BB37" i="6"/>
  <c r="BT40" i="6"/>
  <c r="AY41" i="6"/>
  <c r="BB41" i="6" s="1"/>
  <c r="BE41" i="6" s="1"/>
  <c r="BD41" i="6"/>
  <c r="BF42" i="6"/>
  <c r="AO44" i="6"/>
  <c r="AN44" i="6"/>
  <c r="BB46" i="6"/>
  <c r="AL48" i="6"/>
  <c r="BF48" i="6" s="1"/>
  <c r="W49" i="6"/>
  <c r="AM49" i="6"/>
  <c r="AA49" i="6"/>
  <c r="Z49" i="6"/>
  <c r="W59" i="6"/>
  <c r="AM59" i="6"/>
  <c r="AA59" i="6"/>
  <c r="Z59" i="6"/>
  <c r="BQ59" i="6"/>
  <c r="BT59" i="6" s="1"/>
  <c r="BV59" i="6"/>
  <c r="AA79" i="6"/>
  <c r="Z79" i="6"/>
  <c r="AG112" i="6"/>
  <c r="AI112" i="6"/>
  <c r="AH112" i="6"/>
  <c r="AK9" i="7"/>
  <c r="AY58" i="5"/>
  <c r="BB58" i="5" s="1"/>
  <c r="AY60" i="5"/>
  <c r="BB60" i="5" s="1"/>
  <c r="AY62" i="5"/>
  <c r="BB62" i="5" s="1"/>
  <c r="AM63" i="5"/>
  <c r="AY64" i="5"/>
  <c r="BB64" i="5" s="1"/>
  <c r="BE64" i="5" s="1"/>
  <c r="AK66" i="5"/>
  <c r="BQ66" i="5"/>
  <c r="BT66" i="5" s="1"/>
  <c r="AM68" i="5"/>
  <c r="AM71" i="5"/>
  <c r="BQ73" i="5"/>
  <c r="BT73" i="5" s="1"/>
  <c r="AD74" i="5"/>
  <c r="AL78" i="5"/>
  <c r="BM78" i="5"/>
  <c r="AM79" i="5"/>
  <c r="W80" i="5"/>
  <c r="AO80" i="5"/>
  <c r="BG80" i="5"/>
  <c r="BD82" i="5"/>
  <c r="BG87" i="5"/>
  <c r="AM91" i="5"/>
  <c r="BD92" i="5"/>
  <c r="T94" i="5"/>
  <c r="S94" i="5"/>
  <c r="BD99" i="5"/>
  <c r="BM106" i="5"/>
  <c r="BV106" i="5"/>
  <c r="I107" i="5"/>
  <c r="H107" i="5"/>
  <c r="G107" i="5"/>
  <c r="AO112" i="5"/>
  <c r="AN112" i="5"/>
  <c r="L114" i="5"/>
  <c r="K114" i="5"/>
  <c r="BM114" i="5"/>
  <c r="BV114" i="5"/>
  <c r="I115" i="5"/>
  <c r="H115" i="5"/>
  <c r="G115" i="5"/>
  <c r="AO123" i="5"/>
  <c r="BG125" i="5"/>
  <c r="AK125" i="5"/>
  <c r="L126" i="5"/>
  <c r="K126" i="5"/>
  <c r="AD126" i="5"/>
  <c r="AM126" i="5"/>
  <c r="Z128" i="5"/>
  <c r="AA128" i="5"/>
  <c r="BF138" i="5"/>
  <c r="BD138" i="5"/>
  <c r="BG138" i="5" s="1"/>
  <c r="T141" i="5"/>
  <c r="AI141" i="5"/>
  <c r="S141" i="5"/>
  <c r="AA141" i="5"/>
  <c r="Z141" i="5"/>
  <c r="AH143" i="5"/>
  <c r="AG143" i="5"/>
  <c r="BD145" i="5"/>
  <c r="AY145" i="5"/>
  <c r="BD146" i="5"/>
  <c r="AU146" i="5"/>
  <c r="AG147" i="5"/>
  <c r="AH147" i="5"/>
  <c r="E158" i="5"/>
  <c r="D158" i="5"/>
  <c r="BF158" i="5"/>
  <c r="BM158" i="5"/>
  <c r="BV158" i="5"/>
  <c r="I159" i="5"/>
  <c r="H159" i="5"/>
  <c r="G159" i="5"/>
  <c r="BG160" i="5"/>
  <c r="AN160" i="5"/>
  <c r="AO160" i="5"/>
  <c r="BZ161" i="5"/>
  <c r="BD169" i="5"/>
  <c r="AY169" i="5"/>
  <c r="BB169" i="5" s="1"/>
  <c r="AY2" i="6"/>
  <c r="BA131" i="6"/>
  <c r="BF3" i="6"/>
  <c r="BG4" i="6"/>
  <c r="BF5" i="6"/>
  <c r="AH11" i="6"/>
  <c r="AG11" i="6"/>
  <c r="AO13" i="6"/>
  <c r="AN13" i="6"/>
  <c r="BM13" i="6"/>
  <c r="BV13" i="6"/>
  <c r="I14" i="6"/>
  <c r="H14" i="6"/>
  <c r="G14" i="6"/>
  <c r="AO20" i="6"/>
  <c r="AN20" i="6"/>
  <c r="E28" i="6"/>
  <c r="D28" i="6"/>
  <c r="AH33" i="6"/>
  <c r="AG33" i="6"/>
  <c r="AI33" i="6"/>
  <c r="I37" i="6"/>
  <c r="H37" i="6"/>
  <c r="G37" i="6"/>
  <c r="BF37" i="6"/>
  <c r="AN40" i="6"/>
  <c r="AO40" i="6"/>
  <c r="P43" i="6"/>
  <c r="AM43" i="6"/>
  <c r="BG43" i="6" s="1"/>
  <c r="T43" i="6"/>
  <c r="S43" i="6"/>
  <c r="AN48" i="6"/>
  <c r="AO48" i="6"/>
  <c r="I52" i="6"/>
  <c r="H52" i="6"/>
  <c r="G52" i="6"/>
  <c r="AG54" i="6"/>
  <c r="AI54" i="6"/>
  <c r="AA61" i="6"/>
  <c r="Z61" i="6"/>
  <c r="L68" i="6"/>
  <c r="K68" i="6"/>
  <c r="AI69" i="6"/>
  <c r="S69" i="6"/>
  <c r="T69" i="6"/>
  <c r="BB88" i="6"/>
  <c r="BE88" i="6" s="1"/>
  <c r="AH110" i="6"/>
  <c r="AG110" i="6"/>
  <c r="AI110" i="6"/>
  <c r="AH149" i="6"/>
  <c r="AI149" i="6"/>
  <c r="T10" i="7"/>
  <c r="AI10" i="7"/>
  <c r="S10" i="7"/>
  <c r="AY80" i="5"/>
  <c r="BB80" i="5" s="1"/>
  <c r="BE80" i="5" s="1"/>
  <c r="BQ81" i="5"/>
  <c r="BT81" i="5" s="1"/>
  <c r="AK82" i="5"/>
  <c r="AD83" i="5"/>
  <c r="S84" i="5"/>
  <c r="BU84" i="5"/>
  <c r="AD85" i="5"/>
  <c r="G86" i="5"/>
  <c r="AK86" i="5"/>
  <c r="BQ86" i="5"/>
  <c r="BT86" i="5" s="1"/>
  <c r="BX86" i="5"/>
  <c r="AN87" i="5"/>
  <c r="H88" i="5"/>
  <c r="AL88" i="5"/>
  <c r="BF88" i="5" s="1"/>
  <c r="G89" i="5"/>
  <c r="AQ89" i="5"/>
  <c r="BB89" i="5" s="1"/>
  <c r="S91" i="5"/>
  <c r="C93" i="5"/>
  <c r="G94" i="5"/>
  <c r="AM94" i="5"/>
  <c r="AD94" i="5"/>
  <c r="AH95" i="5"/>
  <c r="AG95" i="5"/>
  <c r="AY95" i="5"/>
  <c r="BB95" i="5" s="1"/>
  <c r="Z96" i="5"/>
  <c r="BC97" i="5"/>
  <c r="BF97" i="5" s="1"/>
  <c r="AU98" i="5"/>
  <c r="AY100" i="5"/>
  <c r="BB100" i="5" s="1"/>
  <c r="BE100" i="5" s="1"/>
  <c r="BI101" i="5"/>
  <c r="P102" i="5"/>
  <c r="Z102" i="5"/>
  <c r="BM102" i="5"/>
  <c r="AD103" i="5"/>
  <c r="AM103" i="5"/>
  <c r="AY104" i="5"/>
  <c r="BB104" i="5" s="1"/>
  <c r="BE104" i="5" s="1"/>
  <c r="BI105" i="5"/>
  <c r="P106" i="5"/>
  <c r="AG107" i="5"/>
  <c r="BB107" i="5"/>
  <c r="BU107" i="5"/>
  <c r="E108" i="5"/>
  <c r="D108" i="5"/>
  <c r="C108" i="5"/>
  <c r="P108" i="5"/>
  <c r="AY110" i="5"/>
  <c r="BB110" i="5" s="1"/>
  <c r="BE110" i="5" s="1"/>
  <c r="AA111" i="5"/>
  <c r="Z111" i="5"/>
  <c r="AM111" i="5"/>
  <c r="AN115" i="5"/>
  <c r="BU115" i="5"/>
  <c r="E116" i="5"/>
  <c r="D116" i="5"/>
  <c r="BD116" i="5"/>
  <c r="G117" i="5"/>
  <c r="W119" i="5"/>
  <c r="AD122" i="5"/>
  <c r="AM122" i="5"/>
  <c r="C123" i="5"/>
  <c r="BT123" i="5"/>
  <c r="BD124" i="5"/>
  <c r="G125" i="5"/>
  <c r="AN125" i="5"/>
  <c r="AG126" i="5"/>
  <c r="W130" i="5"/>
  <c r="BU132" i="5"/>
  <c r="E134" i="5"/>
  <c r="D134" i="5"/>
  <c r="C134" i="5"/>
  <c r="Z134" i="5"/>
  <c r="BF136" i="5"/>
  <c r="BM136" i="5"/>
  <c r="BV136" i="5"/>
  <c r="I137" i="5"/>
  <c r="H137" i="5"/>
  <c r="G137" i="5"/>
  <c r="K138" i="5"/>
  <c r="AN138" i="5"/>
  <c r="AO138" i="5"/>
  <c r="BB139" i="5"/>
  <c r="BE139" i="5" s="1"/>
  <c r="BX140" i="5"/>
  <c r="AM141" i="5"/>
  <c r="BM142" i="5"/>
  <c r="BV142" i="5"/>
  <c r="I143" i="5"/>
  <c r="H143" i="5"/>
  <c r="G143" i="5"/>
  <c r="I146" i="5"/>
  <c r="H146" i="5"/>
  <c r="BB146" i="5"/>
  <c r="AQ147" i="5"/>
  <c r="BB147" i="5" s="1"/>
  <c r="BE147" i="5" s="1"/>
  <c r="BD147" i="5"/>
  <c r="P148" i="5"/>
  <c r="BU148" i="5"/>
  <c r="AL151" i="5"/>
  <c r="BF151" i="5" s="1"/>
  <c r="BM151" i="5"/>
  <c r="L153" i="5"/>
  <c r="K153" i="5"/>
  <c r="AL153" i="5"/>
  <c r="BM153" i="5"/>
  <c r="BV153" i="5"/>
  <c r="I154" i="5"/>
  <c r="H154" i="5"/>
  <c r="G154" i="5"/>
  <c r="AH155" i="5"/>
  <c r="AG155" i="5"/>
  <c r="BM157" i="5"/>
  <c r="C158" i="5"/>
  <c r="AD158" i="5"/>
  <c r="AM158" i="5"/>
  <c r="AN159" i="5"/>
  <c r="BU159" i="5"/>
  <c r="E160" i="5"/>
  <c r="D160" i="5"/>
  <c r="BU160" i="5"/>
  <c r="AL164" i="5"/>
  <c r="P165" i="5"/>
  <c r="AO166" i="5"/>
  <c r="AN166" i="5"/>
  <c r="AQ166" i="5"/>
  <c r="BB166" i="5" s="1"/>
  <c r="BD166" i="5"/>
  <c r="AK167" i="5"/>
  <c r="AQ169" i="5"/>
  <c r="AY171" i="5"/>
  <c r="BB171" i="5" s="1"/>
  <c r="BC174" i="5"/>
  <c r="AG175" i="5"/>
  <c r="V2" i="6"/>
  <c r="AF131" i="6"/>
  <c r="CZ171" i="6" s="1"/>
  <c r="AH2" i="6"/>
  <c r="AG2" i="6"/>
  <c r="AQ2" i="6"/>
  <c r="AQ131" i="6" s="1"/>
  <c r="AS131" i="6"/>
  <c r="DA171" i="6" s="1"/>
  <c r="BY131" i="6"/>
  <c r="DG318" i="6" s="1"/>
  <c r="AA3" i="6"/>
  <c r="Z3" i="6"/>
  <c r="AU3" i="6"/>
  <c r="W7" i="6"/>
  <c r="AH8" i="6"/>
  <c r="AG8" i="6"/>
  <c r="G10" i="6"/>
  <c r="S10" i="6"/>
  <c r="BF11" i="6"/>
  <c r="BX11" i="6"/>
  <c r="AL12" i="6"/>
  <c r="BF12" i="6" s="1"/>
  <c r="AI13" i="6"/>
  <c r="AG14" i="6"/>
  <c r="E15" i="6"/>
  <c r="D15" i="6"/>
  <c r="C15" i="6"/>
  <c r="AN16" i="6"/>
  <c r="AL17" i="6"/>
  <c r="BF17" i="6" s="1"/>
  <c r="C18" i="6"/>
  <c r="K18" i="6"/>
  <c r="BG20" i="6"/>
  <c r="BT20" i="6"/>
  <c r="G23" i="6"/>
  <c r="S23" i="6"/>
  <c r="Z25" i="6"/>
  <c r="AU25" i="6"/>
  <c r="BD25" i="6"/>
  <c r="BG25" i="6" s="1"/>
  <c r="AO26" i="6"/>
  <c r="AN26" i="6"/>
  <c r="Z27" i="6"/>
  <c r="C28" i="6"/>
  <c r="Z29" i="6"/>
  <c r="AM29" i="6"/>
  <c r="BD29" i="6"/>
  <c r="BG29" i="6" s="1"/>
  <c r="AY29" i="6"/>
  <c r="BB29" i="6" s="1"/>
  <c r="P30" i="6"/>
  <c r="S30" i="6"/>
  <c r="AQ30" i="6"/>
  <c r="AD37" i="6"/>
  <c r="BQ37" i="6"/>
  <c r="BV37" i="6"/>
  <c r="AK38" i="6"/>
  <c r="BE38" i="6" s="1"/>
  <c r="BM38" i="6"/>
  <c r="BV38" i="6"/>
  <c r="E41" i="6"/>
  <c r="D41" i="6"/>
  <c r="C41" i="6"/>
  <c r="BQ46" i="6"/>
  <c r="BV46" i="6"/>
  <c r="AK47" i="6"/>
  <c r="BE47" i="6" s="1"/>
  <c r="BV47" i="6"/>
  <c r="BM47" i="6"/>
  <c r="P49" i="6"/>
  <c r="BI49" i="6"/>
  <c r="BT49" i="6" s="1"/>
  <c r="BV49" i="6"/>
  <c r="E63" i="6"/>
  <c r="D63" i="6"/>
  <c r="C63" i="6"/>
  <c r="L64" i="6"/>
  <c r="K64" i="6"/>
  <c r="AA66" i="6"/>
  <c r="Z66" i="6"/>
  <c r="BT88" i="6"/>
  <c r="BE23" i="7"/>
  <c r="AH24" i="7"/>
  <c r="AG24" i="7"/>
  <c r="AG63" i="5"/>
  <c r="S64" i="5"/>
  <c r="G67" i="5"/>
  <c r="Z67" i="5"/>
  <c r="AG68" i="5"/>
  <c r="S69" i="5"/>
  <c r="Z70" i="5"/>
  <c r="AG71" i="5"/>
  <c r="S72" i="5"/>
  <c r="AQ73" i="5"/>
  <c r="BB73" i="5" s="1"/>
  <c r="BE73" i="5" s="1"/>
  <c r="T76" i="5"/>
  <c r="BM76" i="5"/>
  <c r="BT76" i="5" s="1"/>
  <c r="T77" i="5"/>
  <c r="AM77" i="5"/>
  <c r="L78" i="5"/>
  <c r="AO78" i="5"/>
  <c r="C79" i="5"/>
  <c r="AG79" i="5"/>
  <c r="E80" i="5"/>
  <c r="AH80" i="5"/>
  <c r="BC80" i="5"/>
  <c r="BF80" i="5" s="1"/>
  <c r="BQ80" i="5"/>
  <c r="BT80" i="5" s="1"/>
  <c r="AY81" i="5"/>
  <c r="BB81" i="5" s="1"/>
  <c r="G82" i="5"/>
  <c r="AD82" i="5"/>
  <c r="AM83" i="5"/>
  <c r="AU83" i="5"/>
  <c r="BB83" i="5" s="1"/>
  <c r="T84" i="5"/>
  <c r="AM84" i="5"/>
  <c r="BV84" i="5"/>
  <c r="AQ85" i="5"/>
  <c r="I86" i="5"/>
  <c r="AD86" i="5"/>
  <c r="AO87" i="5"/>
  <c r="BQ87" i="5"/>
  <c r="BT87" i="5" s="1"/>
  <c r="I88" i="5"/>
  <c r="S88" i="5"/>
  <c r="BQ88" i="5"/>
  <c r="BT88" i="5" s="1"/>
  <c r="H89" i="5"/>
  <c r="T90" i="5"/>
  <c r="S90" i="5"/>
  <c r="AY90" i="5"/>
  <c r="BB90" i="5" s="1"/>
  <c r="T91" i="5"/>
  <c r="D93" i="5"/>
  <c r="BF93" i="5"/>
  <c r="BQ93" i="5"/>
  <c r="BT93" i="5" s="1"/>
  <c r="H94" i="5"/>
  <c r="W94" i="5"/>
  <c r="AG94" i="5"/>
  <c r="AQ95" i="5"/>
  <c r="AA96" i="5"/>
  <c r="AU96" i="5"/>
  <c r="BD97" i="5"/>
  <c r="AO100" i="5"/>
  <c r="AN100" i="5"/>
  <c r="BC100" i="5"/>
  <c r="BF100" i="5" s="1"/>
  <c r="E102" i="5"/>
  <c r="D102" i="5"/>
  <c r="C102" i="5"/>
  <c r="AA102" i="5"/>
  <c r="I103" i="5"/>
  <c r="H103" i="5"/>
  <c r="G103" i="5"/>
  <c r="AO104" i="5"/>
  <c r="AN104" i="5"/>
  <c r="BC104" i="5"/>
  <c r="E106" i="5"/>
  <c r="D106" i="5"/>
  <c r="C106" i="5"/>
  <c r="BQ106" i="5"/>
  <c r="BT106" i="5" s="1"/>
  <c r="AH107" i="5"/>
  <c r="BV107" i="5"/>
  <c r="S108" i="5"/>
  <c r="AO110" i="5"/>
  <c r="AN110" i="5"/>
  <c r="BC110" i="5"/>
  <c r="BF110" i="5" s="1"/>
  <c r="L112" i="5"/>
  <c r="K112" i="5"/>
  <c r="BM112" i="5"/>
  <c r="BV112" i="5"/>
  <c r="I113" i="5"/>
  <c r="H113" i="5"/>
  <c r="G113" i="5"/>
  <c r="AD113" i="5"/>
  <c r="BQ114" i="5"/>
  <c r="C116" i="5"/>
  <c r="BQ116" i="5"/>
  <c r="BT116" i="5" s="1"/>
  <c r="H117" i="5"/>
  <c r="BG118" i="5"/>
  <c r="AO118" i="5"/>
  <c r="AN118" i="5"/>
  <c r="Z119" i="5"/>
  <c r="BF121" i="5"/>
  <c r="AG122" i="5"/>
  <c r="D123" i="5"/>
  <c r="AI123" i="5"/>
  <c r="AN123" i="5" s="1"/>
  <c r="H125" i="5"/>
  <c r="AO125" i="5"/>
  <c r="W126" i="5"/>
  <c r="AH126" i="5"/>
  <c r="BB129" i="5"/>
  <c r="E130" i="5"/>
  <c r="D130" i="5"/>
  <c r="C130" i="5"/>
  <c r="Z130" i="5"/>
  <c r="BF132" i="5"/>
  <c r="BV133" i="5"/>
  <c r="AA134" i="5"/>
  <c r="W135" i="5"/>
  <c r="AD136" i="5"/>
  <c r="AM136" i="5"/>
  <c r="AN137" i="5"/>
  <c r="E138" i="5"/>
  <c r="D138" i="5"/>
  <c r="AN139" i="5"/>
  <c r="C140" i="5"/>
  <c r="K140" i="5"/>
  <c r="BG140" i="5"/>
  <c r="AO140" i="5"/>
  <c r="AN140" i="5"/>
  <c r="G141" i="5"/>
  <c r="AK142" i="5"/>
  <c r="AN142" i="5"/>
  <c r="BG142" i="5"/>
  <c r="AQ143" i="5"/>
  <c r="BB143" i="5" s="1"/>
  <c r="BE143" i="5" s="1"/>
  <c r="BD143" i="5"/>
  <c r="BG143" i="5" s="1"/>
  <c r="BD144" i="5"/>
  <c r="BG144" i="5" s="1"/>
  <c r="AU144" i="5"/>
  <c r="BB144" i="5" s="1"/>
  <c r="S145" i="5"/>
  <c r="AQ145" i="5"/>
  <c r="G146" i="5"/>
  <c r="AM146" i="5"/>
  <c r="G148" i="5"/>
  <c r="AH149" i="5"/>
  <c r="AG149" i="5"/>
  <c r="AU149" i="5"/>
  <c r="AD151" i="5"/>
  <c r="AD153" i="5"/>
  <c r="AM153" i="5"/>
  <c r="AY154" i="5"/>
  <c r="BB154" i="5" s="1"/>
  <c r="BE154" i="5" s="1"/>
  <c r="AQ156" i="5"/>
  <c r="BB156" i="5" s="1"/>
  <c r="AG158" i="5"/>
  <c r="BQ158" i="5"/>
  <c r="BT158" i="5" s="1"/>
  <c r="BV160" i="5"/>
  <c r="AD164" i="5"/>
  <c r="AY165" i="5"/>
  <c r="BB165" i="5" s="1"/>
  <c r="AN167" i="5"/>
  <c r="AY168" i="5"/>
  <c r="BB168" i="5" s="1"/>
  <c r="S171" i="5"/>
  <c r="BC171" i="5"/>
  <c r="AD173" i="5"/>
  <c r="BF174" i="5"/>
  <c r="C2" i="6"/>
  <c r="AJ131" i="6"/>
  <c r="AT131" i="6"/>
  <c r="BF2" i="6"/>
  <c r="BZ131" i="6"/>
  <c r="DG171" i="6" s="1"/>
  <c r="BX2" i="6"/>
  <c r="AM3" i="6"/>
  <c r="BG3" i="6" s="1"/>
  <c r="G4" i="6"/>
  <c r="Z4" i="6"/>
  <c r="AM4" i="6"/>
  <c r="BM5" i="6"/>
  <c r="BV5" i="6"/>
  <c r="I6" i="6"/>
  <c r="H6" i="6"/>
  <c r="G6" i="6"/>
  <c r="Z7" i="6"/>
  <c r="AY7" i="6"/>
  <c r="BB7" i="6" s="1"/>
  <c r="BE7" i="6" s="1"/>
  <c r="AN9" i="6"/>
  <c r="H10" i="6"/>
  <c r="T10" i="6"/>
  <c r="BD11" i="6"/>
  <c r="BG11" i="6" s="1"/>
  <c r="G12" i="6"/>
  <c r="S12" i="6"/>
  <c r="AM12" i="6"/>
  <c r="BQ13" i="6"/>
  <c r="AH14" i="6"/>
  <c r="BV14" i="6"/>
  <c r="AY15" i="6"/>
  <c r="BB15" i="6" s="1"/>
  <c r="BV16" i="6"/>
  <c r="BQ16" i="6"/>
  <c r="BT16" i="6" s="1"/>
  <c r="S17" i="6"/>
  <c r="AM17" i="6"/>
  <c r="BD17" i="6"/>
  <c r="BG17" i="6" s="1"/>
  <c r="D18" i="6"/>
  <c r="AH18" i="6"/>
  <c r="AG18" i="6"/>
  <c r="AU19" i="6"/>
  <c r="Z21" i="6"/>
  <c r="BD21" i="6"/>
  <c r="AY21" i="6"/>
  <c r="BB21" i="6" s="1"/>
  <c r="AN22" i="6"/>
  <c r="H23" i="6"/>
  <c r="T23" i="6"/>
  <c r="AA25" i="6"/>
  <c r="I27" i="6"/>
  <c r="H27" i="6"/>
  <c r="P28" i="6"/>
  <c r="AK28" i="6" s="1"/>
  <c r="BE28" i="6" s="1"/>
  <c r="S28" i="6"/>
  <c r="AG28" i="6"/>
  <c r="AH28" i="6"/>
  <c r="T30" i="6"/>
  <c r="AM30" i="6"/>
  <c r="BC30" i="6"/>
  <c r="BF30" i="6" s="1"/>
  <c r="AU30" i="6"/>
  <c r="H32" i="6"/>
  <c r="G32" i="6"/>
  <c r="E36" i="6"/>
  <c r="D36" i="6"/>
  <c r="C36" i="6"/>
  <c r="I40" i="6"/>
  <c r="H40" i="6"/>
  <c r="G40" i="6"/>
  <c r="BB42" i="6"/>
  <c r="BF44" i="6"/>
  <c r="P45" i="6"/>
  <c r="BB45" i="6"/>
  <c r="BG48" i="6"/>
  <c r="BB65" i="6"/>
  <c r="BE65" i="6" s="1"/>
  <c r="BI68" i="6"/>
  <c r="BV68" i="6"/>
  <c r="P71" i="6"/>
  <c r="T71" i="6"/>
  <c r="S71" i="6"/>
  <c r="AO91" i="6"/>
  <c r="AN91" i="6"/>
  <c r="Z113" i="6"/>
  <c r="AA113" i="6"/>
  <c r="AI113" i="6"/>
  <c r="BF115" i="6"/>
  <c r="BG121" i="6"/>
  <c r="AI6" i="7"/>
  <c r="T6" i="7"/>
  <c r="T7" i="7"/>
  <c r="AI7" i="7"/>
  <c r="S7" i="7"/>
  <c r="AG22" i="7"/>
  <c r="AI22" i="7"/>
  <c r="AH22" i="7"/>
  <c r="AH23" i="7"/>
  <c r="AI23" i="7"/>
  <c r="AI24" i="7"/>
  <c r="S24" i="7"/>
  <c r="T24" i="7"/>
  <c r="T26" i="7"/>
  <c r="AI26" i="7"/>
  <c r="S26" i="7"/>
  <c r="T64" i="5"/>
  <c r="C66" i="5"/>
  <c r="K66" i="5"/>
  <c r="AN66" i="5"/>
  <c r="H67" i="5"/>
  <c r="T69" i="5"/>
  <c r="G70" i="5"/>
  <c r="T72" i="5"/>
  <c r="P73" i="5"/>
  <c r="BD75" i="5"/>
  <c r="BG75" i="5" s="1"/>
  <c r="D79" i="5"/>
  <c r="AM90" i="5"/>
  <c r="AD90" i="5"/>
  <c r="AH91" i="5"/>
  <c r="AG91" i="5"/>
  <c r="AM93" i="5"/>
  <c r="T98" i="5"/>
  <c r="S98" i="5"/>
  <c r="BB98" i="5"/>
  <c r="L100" i="5"/>
  <c r="K100" i="5"/>
  <c r="AA101" i="5"/>
  <c r="Z101" i="5"/>
  <c r="BV101" i="5"/>
  <c r="L104" i="5"/>
  <c r="K104" i="5"/>
  <c r="AA105" i="5"/>
  <c r="Z105" i="5"/>
  <c r="BV105" i="5"/>
  <c r="AA109" i="5"/>
  <c r="Z109" i="5"/>
  <c r="AM109" i="5"/>
  <c r="AL111" i="5"/>
  <c r="BF111" i="5" s="1"/>
  <c r="BG112" i="5"/>
  <c r="BB113" i="5"/>
  <c r="BE113" i="5" s="1"/>
  <c r="E114" i="5"/>
  <c r="D114" i="5"/>
  <c r="C114" i="5"/>
  <c r="AH118" i="5"/>
  <c r="AG118" i="5"/>
  <c r="AA119" i="5"/>
  <c r="BG121" i="5"/>
  <c r="AO121" i="5"/>
  <c r="AN121" i="5"/>
  <c r="W122" i="5"/>
  <c r="AH122" i="5"/>
  <c r="Z123" i="5"/>
  <c r="BB125" i="5"/>
  <c r="E126" i="5"/>
  <c r="D126" i="5"/>
  <c r="C126" i="5"/>
  <c r="Z126" i="5"/>
  <c r="BF128" i="5"/>
  <c r="BV129" i="5"/>
  <c r="AA130" i="5"/>
  <c r="AO132" i="5"/>
  <c r="AN132" i="5"/>
  <c r="AG133" i="5"/>
  <c r="BD134" i="5"/>
  <c r="AU134" i="5"/>
  <c r="BB134" i="5" s="1"/>
  <c r="AG135" i="5"/>
  <c r="AH135" i="5"/>
  <c r="AG136" i="5"/>
  <c r="C138" i="5"/>
  <c r="AO139" i="5"/>
  <c r="BD139" i="5"/>
  <c r="D140" i="5"/>
  <c r="H141" i="5"/>
  <c r="K142" i="5"/>
  <c r="AG142" i="5"/>
  <c r="T145" i="5"/>
  <c r="BF145" i="5"/>
  <c r="AO147" i="5"/>
  <c r="BG147" i="5"/>
  <c r="BT151" i="5"/>
  <c r="BT153" i="5"/>
  <c r="AH157" i="5"/>
  <c r="AG157" i="5"/>
  <c r="BG174" i="5"/>
  <c r="AK174" i="5"/>
  <c r="BE174" i="5" s="1"/>
  <c r="T175" i="5"/>
  <c r="AI175" i="5"/>
  <c r="S175" i="5"/>
  <c r="AA175" i="5"/>
  <c r="Z175" i="5"/>
  <c r="X131" i="6"/>
  <c r="AU131" i="6"/>
  <c r="BD2" i="6"/>
  <c r="L5" i="6"/>
  <c r="K5" i="6"/>
  <c r="AH6" i="6"/>
  <c r="AG6" i="6"/>
  <c r="AA7" i="6"/>
  <c r="BV9" i="6"/>
  <c r="BQ9" i="6"/>
  <c r="AM10" i="6"/>
  <c r="H12" i="6"/>
  <c r="AG12" i="6"/>
  <c r="BV12" i="6"/>
  <c r="AA13" i="6"/>
  <c r="BF18" i="6"/>
  <c r="AA21" i="6"/>
  <c r="BV22" i="6"/>
  <c r="BQ22" i="6"/>
  <c r="AM23" i="6"/>
  <c r="G25" i="6"/>
  <c r="BD26" i="6"/>
  <c r="BG26" i="6" s="1"/>
  <c r="AY26" i="6"/>
  <c r="G27" i="6"/>
  <c r="AL27" i="6"/>
  <c r="BF27" i="6" s="1"/>
  <c r="T28" i="6"/>
  <c r="BF28" i="6"/>
  <c r="W31" i="6"/>
  <c r="BG31" i="6"/>
  <c r="BF33" i="6"/>
  <c r="P35" i="6"/>
  <c r="T35" i="6"/>
  <c r="S35" i="6"/>
  <c r="AM35" i="6"/>
  <c r="AO38" i="6"/>
  <c r="AN38" i="6"/>
  <c r="BG38" i="6"/>
  <c r="BF41" i="6"/>
  <c r="BQ44" i="6"/>
  <c r="BV44" i="6"/>
  <c r="AK45" i="6"/>
  <c r="BM45" i="6"/>
  <c r="BV45" i="6"/>
  <c r="AO47" i="6"/>
  <c r="AN47" i="6"/>
  <c r="BG47" i="6"/>
  <c r="BU57" i="6"/>
  <c r="BQ57" i="6"/>
  <c r="BT57" i="6" s="1"/>
  <c r="E59" i="6"/>
  <c r="D59" i="6"/>
  <c r="C59" i="6"/>
  <c r="BF61" i="6"/>
  <c r="AG73" i="6"/>
  <c r="AH73" i="6"/>
  <c r="AG78" i="6"/>
  <c r="AH78" i="6"/>
  <c r="AI78" i="6"/>
  <c r="AH85" i="6"/>
  <c r="AG85" i="6"/>
  <c r="AI85" i="6"/>
  <c r="AG127" i="6"/>
  <c r="AI127" i="6"/>
  <c r="AH127" i="6"/>
  <c r="AG130" i="6"/>
  <c r="AI130" i="6"/>
  <c r="AI139" i="6"/>
  <c r="T139" i="6"/>
  <c r="Z4" i="7"/>
  <c r="AA4" i="7"/>
  <c r="Z70" i="4"/>
  <c r="AG70" i="4" s="1"/>
  <c r="S75" i="4"/>
  <c r="Z78" i="4"/>
  <c r="AG78" i="4" s="1"/>
  <c r="S83" i="4"/>
  <c r="AG83" i="4" s="1"/>
  <c r="BA83" i="4" s="1"/>
  <c r="Z86" i="4"/>
  <c r="AG86" i="4" s="1"/>
  <c r="Z89" i="4"/>
  <c r="AG89" i="4" s="1"/>
  <c r="Z95" i="4"/>
  <c r="AG95" i="4" s="1"/>
  <c r="Z104" i="4"/>
  <c r="AG104" i="4" s="1"/>
  <c r="S105" i="4"/>
  <c r="AI106" i="4"/>
  <c r="R161" i="5"/>
  <c r="DB192" i="5" s="1"/>
  <c r="AD5" i="5"/>
  <c r="AD7" i="5"/>
  <c r="W8" i="5"/>
  <c r="W161" i="5" s="1"/>
  <c r="AD19" i="5"/>
  <c r="AD22" i="5"/>
  <c r="AD24" i="5"/>
  <c r="G38" i="5"/>
  <c r="AG39" i="5"/>
  <c r="AG41" i="5"/>
  <c r="G43" i="5"/>
  <c r="Z43" i="5"/>
  <c r="AN46" i="5"/>
  <c r="AN48" i="5"/>
  <c r="AD50" i="5"/>
  <c r="AN51" i="5"/>
  <c r="G55" i="5"/>
  <c r="Z55" i="5"/>
  <c r="C56" i="5"/>
  <c r="K56" i="5"/>
  <c r="G57" i="5"/>
  <c r="Z57" i="5"/>
  <c r="C58" i="5"/>
  <c r="K58" i="5"/>
  <c r="AM58" i="5"/>
  <c r="G59" i="5"/>
  <c r="Z59" i="5"/>
  <c r="C60" i="5"/>
  <c r="K60" i="5"/>
  <c r="AM60" i="5"/>
  <c r="G61" i="5"/>
  <c r="Z61" i="5"/>
  <c r="C62" i="5"/>
  <c r="K62" i="5"/>
  <c r="AM62" i="5"/>
  <c r="G63" i="5"/>
  <c r="Z63" i="5"/>
  <c r="C64" i="5"/>
  <c r="K64" i="5"/>
  <c r="G65" i="5"/>
  <c r="Z65" i="5"/>
  <c r="D66" i="5"/>
  <c r="AG66" i="5"/>
  <c r="AO66" i="5"/>
  <c r="S67" i="5"/>
  <c r="AD67" i="5"/>
  <c r="C69" i="5"/>
  <c r="K69" i="5"/>
  <c r="H70" i="5"/>
  <c r="S70" i="5"/>
  <c r="AD70" i="5"/>
  <c r="C72" i="5"/>
  <c r="K72" i="5"/>
  <c r="S73" i="5"/>
  <c r="AD73" i="5"/>
  <c r="BD73" i="5"/>
  <c r="BG73" i="5" s="1"/>
  <c r="BX74" i="5"/>
  <c r="G75" i="5"/>
  <c r="L76" i="5"/>
  <c r="AM76" i="5"/>
  <c r="C77" i="5"/>
  <c r="W77" i="5"/>
  <c r="AG77" i="5"/>
  <c r="E78" i="5"/>
  <c r="AH78" i="5"/>
  <c r="BC78" i="5"/>
  <c r="AY79" i="5"/>
  <c r="BB79" i="5" s="1"/>
  <c r="G80" i="5"/>
  <c r="H81" i="5"/>
  <c r="AO82" i="5"/>
  <c r="C83" i="5"/>
  <c r="W83" i="5"/>
  <c r="AG83" i="5"/>
  <c r="K84" i="5"/>
  <c r="D85" i="5"/>
  <c r="K86" i="5"/>
  <c r="AN86" i="5"/>
  <c r="K88" i="5"/>
  <c r="BV88" i="5"/>
  <c r="AD89" i="5"/>
  <c r="AM89" i="5"/>
  <c r="BQ89" i="5"/>
  <c r="BT89" i="5" s="1"/>
  <c r="H90" i="5"/>
  <c r="AG90" i="5"/>
  <c r="K91" i="5"/>
  <c r="AQ91" i="5"/>
  <c r="S93" i="5"/>
  <c r="BV93" i="5"/>
  <c r="C95" i="5"/>
  <c r="BD95" i="5"/>
  <c r="G96" i="5"/>
  <c r="T96" i="5"/>
  <c r="S96" i="5"/>
  <c r="AL96" i="5"/>
  <c r="S97" i="5"/>
  <c r="AM97" i="5"/>
  <c r="BU97" i="5"/>
  <c r="H98" i="5"/>
  <c r="AM98" i="5"/>
  <c r="AD98" i="5"/>
  <c r="BC98" i="5"/>
  <c r="BF98" i="5" s="1"/>
  <c r="BQ99" i="5"/>
  <c r="D101" i="5"/>
  <c r="G102" i="5"/>
  <c r="S102" i="5"/>
  <c r="BU102" i="5"/>
  <c r="K103" i="5"/>
  <c r="AG103" i="5"/>
  <c r="BQ103" i="5"/>
  <c r="BT103" i="5" s="1"/>
  <c r="D105" i="5"/>
  <c r="G106" i="5"/>
  <c r="S106" i="5"/>
  <c r="AM108" i="5"/>
  <c r="BC108" i="5"/>
  <c r="BF108" i="5" s="1"/>
  <c r="L110" i="5"/>
  <c r="K110" i="5"/>
  <c r="BM110" i="5"/>
  <c r="BV110" i="5"/>
  <c r="I111" i="5"/>
  <c r="H111" i="5"/>
  <c r="G111" i="5"/>
  <c r="AD111" i="5"/>
  <c r="BQ112" i="5"/>
  <c r="BT112" i="5" s="1"/>
  <c r="AH113" i="5"/>
  <c r="BV113" i="5"/>
  <c r="S114" i="5"/>
  <c r="AH115" i="5"/>
  <c r="AG115" i="5"/>
  <c r="AU115" i="5"/>
  <c r="BB115" i="5" s="1"/>
  <c r="BE115" i="5" s="1"/>
  <c r="S116" i="5"/>
  <c r="AD116" i="5"/>
  <c r="BV116" i="5"/>
  <c r="BF117" i="5"/>
  <c r="BM117" i="5"/>
  <c r="BV117" i="5"/>
  <c r="I118" i="5"/>
  <c r="H118" i="5"/>
  <c r="G118" i="5"/>
  <c r="BD119" i="5"/>
  <c r="AU119" i="5"/>
  <c r="S120" i="5"/>
  <c r="Z122" i="5"/>
  <c r="AK123" i="5"/>
  <c r="BE123" i="5" s="1"/>
  <c r="BV125" i="5"/>
  <c r="AA126" i="5"/>
  <c r="BG128" i="5"/>
  <c r="AO128" i="5"/>
  <c r="AN128" i="5"/>
  <c r="AG129" i="5"/>
  <c r="BD129" i="5"/>
  <c r="BD130" i="5"/>
  <c r="AU130" i="5"/>
  <c r="BT130" i="5"/>
  <c r="S131" i="5"/>
  <c r="S134" i="5"/>
  <c r="AQ135" i="5"/>
  <c r="BB135" i="5" s="1"/>
  <c r="BD135" i="5"/>
  <c r="P136" i="5"/>
  <c r="AH136" i="5"/>
  <c r="BU136" i="5"/>
  <c r="BM139" i="5"/>
  <c r="BU140" i="5"/>
  <c r="E142" i="5"/>
  <c r="D142" i="5"/>
  <c r="AH142" i="5"/>
  <c r="BU142" i="5"/>
  <c r="H144" i="5"/>
  <c r="AN144" i="5"/>
  <c r="BC144" i="5"/>
  <c r="K145" i="5"/>
  <c r="AM145" i="5"/>
  <c r="BU145" i="5"/>
  <c r="D147" i="5"/>
  <c r="AI147" i="5"/>
  <c r="AN147" i="5" s="1"/>
  <c r="BV147" i="5"/>
  <c r="BQ147" i="5"/>
  <c r="BT147" i="5" s="1"/>
  <c r="BX150" i="5"/>
  <c r="AH151" i="5"/>
  <c r="BB152" i="5"/>
  <c r="E153" i="5"/>
  <c r="D153" i="5"/>
  <c r="C153" i="5"/>
  <c r="P153" i="5"/>
  <c r="AH153" i="5"/>
  <c r="BU153" i="5"/>
  <c r="BB155" i="5"/>
  <c r="AL156" i="5"/>
  <c r="BF156" i="5" s="1"/>
  <c r="BD156" i="5"/>
  <c r="G157" i="5"/>
  <c r="AH159" i="5"/>
  <c r="AG159" i="5"/>
  <c r="AU159" i="5"/>
  <c r="BB159" i="5" s="1"/>
  <c r="BE159" i="5" s="1"/>
  <c r="AK160" i="5"/>
  <c r="BE160" i="5" s="1"/>
  <c r="AH164" i="5"/>
  <c r="S165" i="5"/>
  <c r="AM165" i="5"/>
  <c r="BD165" i="5"/>
  <c r="C168" i="5"/>
  <c r="T168" i="5"/>
  <c r="BD168" i="5"/>
  <c r="S170" i="5"/>
  <c r="AY170" i="5"/>
  <c r="BB170" i="5" s="1"/>
  <c r="D171" i="5"/>
  <c r="AM171" i="5"/>
  <c r="P172" i="5"/>
  <c r="AA172" i="5"/>
  <c r="AH173" i="5"/>
  <c r="AN174" i="5"/>
  <c r="AM175" i="5"/>
  <c r="AL2" i="6"/>
  <c r="AV131" i="6"/>
  <c r="DB318" i="6" s="1"/>
  <c r="BH131" i="6"/>
  <c r="BQ131" i="6"/>
  <c r="CB131" i="6"/>
  <c r="H3" i="6"/>
  <c r="AK3" i="6"/>
  <c r="BV3" i="6"/>
  <c r="BQ3" i="6"/>
  <c r="T4" i="6"/>
  <c r="S4" i="6"/>
  <c r="BT5" i="6"/>
  <c r="BF6" i="6"/>
  <c r="BX6" i="6"/>
  <c r="C8" i="6"/>
  <c r="C9" i="6"/>
  <c r="K9" i="6"/>
  <c r="BI9" i="6"/>
  <c r="BI10" i="6"/>
  <c r="BV10" i="6"/>
  <c r="AM11" i="6"/>
  <c r="BU11" i="6"/>
  <c r="AH12" i="6"/>
  <c r="S15" i="6"/>
  <c r="AM15" i="6"/>
  <c r="D16" i="6"/>
  <c r="AG16" i="6"/>
  <c r="BD18" i="6"/>
  <c r="BG18" i="6" s="1"/>
  <c r="G19" i="6"/>
  <c r="T19" i="6"/>
  <c r="T131" i="6" s="1"/>
  <c r="S19" i="6"/>
  <c r="AL19" i="6"/>
  <c r="BF19" i="6" s="1"/>
  <c r="BV20" i="6"/>
  <c r="C22" i="6"/>
  <c r="K22" i="6"/>
  <c r="BI22" i="6"/>
  <c r="BI23" i="6"/>
  <c r="BT23" i="6" s="1"/>
  <c r="BV23" i="6"/>
  <c r="AN24" i="6"/>
  <c r="H25" i="6"/>
  <c r="AL25" i="6"/>
  <c r="BC25" i="6"/>
  <c r="BF25" i="6" s="1"/>
  <c r="K26" i="6"/>
  <c r="AQ26" i="6"/>
  <c r="AD27" i="6"/>
  <c r="AK27" i="6" s="1"/>
  <c r="AG27" i="6"/>
  <c r="AM27" i="6"/>
  <c r="BM27" i="6"/>
  <c r="BD28" i="6"/>
  <c r="BX28" i="6"/>
  <c r="I29" i="6"/>
  <c r="H29" i="6"/>
  <c r="G29" i="6"/>
  <c r="AL29" i="6"/>
  <c r="BF29" i="6" s="1"/>
  <c r="AO33" i="6"/>
  <c r="AI35" i="6"/>
  <c r="AA35" i="6"/>
  <c r="BU36" i="6"/>
  <c r="BG37" i="6"/>
  <c r="AH41" i="6"/>
  <c r="BG46" i="6"/>
  <c r="BB48" i="6"/>
  <c r="BB49" i="6"/>
  <c r="P50" i="6"/>
  <c r="T50" i="6"/>
  <c r="S50" i="6"/>
  <c r="AH54" i="6"/>
  <c r="BF59" i="6"/>
  <c r="L60" i="6"/>
  <c r="K60" i="6"/>
  <c r="T62" i="6"/>
  <c r="AI62" i="6"/>
  <c r="S62" i="6"/>
  <c r="BI62" i="6"/>
  <c r="BV62" i="6"/>
  <c r="BT68" i="6"/>
  <c r="BV70" i="6"/>
  <c r="BQ70" i="6"/>
  <c r="BT70" i="6" s="1"/>
  <c r="AG90" i="6"/>
  <c r="AH90" i="6"/>
  <c r="AI90" i="6"/>
  <c r="BB91" i="6"/>
  <c r="BE91" i="6" s="1"/>
  <c r="AI114" i="6"/>
  <c r="S114" i="6"/>
  <c r="T114" i="6"/>
  <c r="AI9" i="7"/>
  <c r="T9" i="7"/>
  <c r="Z50" i="4"/>
  <c r="AG50" i="4" s="1"/>
  <c r="Z51" i="4"/>
  <c r="Z52" i="4"/>
  <c r="AG52" i="4" s="1"/>
  <c r="Z81" i="4"/>
  <c r="AG81" i="4" s="1"/>
  <c r="Z92" i="4"/>
  <c r="AG92" i="4" s="1"/>
  <c r="P658" i="15"/>
  <c r="P653" i="15"/>
  <c r="P649" i="15"/>
  <c r="P645" i="15"/>
  <c r="P641" i="15"/>
  <c r="P637" i="15"/>
  <c r="P633" i="15"/>
  <c r="P629" i="15"/>
  <c r="P626" i="15"/>
  <c r="P596" i="15"/>
  <c r="P664" i="15"/>
  <c r="P651" i="15"/>
  <c r="P642" i="15"/>
  <c r="P628" i="15"/>
  <c r="P625" i="15"/>
  <c r="P620" i="15"/>
  <c r="P613" i="15"/>
  <c r="P604" i="15"/>
  <c r="P598" i="15"/>
  <c r="P586" i="15"/>
  <c r="P578" i="15"/>
  <c r="P570" i="15"/>
  <c r="P569" i="15"/>
  <c r="P568" i="15"/>
  <c r="P567" i="15"/>
  <c r="P566" i="15"/>
  <c r="P565" i="15"/>
  <c r="P564" i="15"/>
  <c r="P563" i="15"/>
  <c r="P555" i="15"/>
  <c r="P547" i="15"/>
  <c r="P539" i="15"/>
  <c r="P531" i="15"/>
  <c r="P523" i="15"/>
  <c r="P515" i="15"/>
  <c r="P507" i="15"/>
  <c r="P492" i="15"/>
  <c r="P461" i="15"/>
  <c r="P458" i="15"/>
  <c r="P453" i="15"/>
  <c r="P445" i="15"/>
  <c r="P439" i="15"/>
  <c r="P663" i="15"/>
  <c r="P661" i="15"/>
  <c r="P648" i="15"/>
  <c r="P643" i="15"/>
  <c r="P638" i="15"/>
  <c r="P632" i="15"/>
  <c r="P624" i="15"/>
  <c r="P621" i="15"/>
  <c r="P616" i="15"/>
  <c r="P608" i="15"/>
  <c r="P603" i="15"/>
  <c r="P591" i="15"/>
  <c r="P587" i="15"/>
  <c r="P574" i="15"/>
  <c r="P554" i="15"/>
  <c r="P553" i="15"/>
  <c r="P552" i="15"/>
  <c r="P551" i="15"/>
  <c r="P550" i="15"/>
  <c r="P549" i="15"/>
  <c r="P548" i="15"/>
  <c r="P493" i="15"/>
  <c r="P487" i="15"/>
  <c r="P478" i="15"/>
  <c r="P469" i="15"/>
  <c r="P465" i="15"/>
  <c r="P660" i="15"/>
  <c r="P627" i="15"/>
  <c r="P605" i="15"/>
  <c r="P601" i="15"/>
  <c r="P595" i="15"/>
  <c r="P583" i="15"/>
  <c r="P579" i="15"/>
  <c r="P562" i="15"/>
  <c r="P561" i="15"/>
  <c r="P560" i="15"/>
  <c r="P559" i="15"/>
  <c r="P558" i="15"/>
  <c r="P557" i="15"/>
  <c r="P556" i="15"/>
  <c r="P659" i="15"/>
  <c r="P652" i="15"/>
  <c r="P647" i="15"/>
  <c r="P636" i="15"/>
  <c r="P631" i="15"/>
  <c r="P623" i="15"/>
  <c r="P618" i="15"/>
  <c r="P615" i="15"/>
  <c r="P610" i="15"/>
  <c r="P592" i="15"/>
  <c r="P588" i="15"/>
  <c r="P575" i="15"/>
  <c r="P571" i="15"/>
  <c r="P506" i="15"/>
  <c r="P486" i="15"/>
  <c r="P477" i="15"/>
  <c r="P468" i="15"/>
  <c r="P464" i="15"/>
  <c r="P449" i="15"/>
  <c r="P662" i="15"/>
  <c r="P654" i="15"/>
  <c r="P611" i="15"/>
  <c r="P582" i="15"/>
  <c r="P657" i="15"/>
  <c r="P646" i="15"/>
  <c r="P584" i="15"/>
  <c r="P546" i="15"/>
  <c r="P542" i="15"/>
  <c r="P527" i="15"/>
  <c r="P512" i="15"/>
  <c r="P508" i="15"/>
  <c r="P494" i="15"/>
  <c r="P480" i="15"/>
  <c r="P474" i="15"/>
  <c r="P467" i="15"/>
  <c r="P457" i="15"/>
  <c r="P429" i="15"/>
  <c r="P656" i="15"/>
  <c r="P635" i="15"/>
  <c r="P589" i="15"/>
  <c r="P576" i="15"/>
  <c r="P535" i="15"/>
  <c r="P520" i="15"/>
  <c r="P516" i="15"/>
  <c r="P491" i="15"/>
  <c r="P485" i="15"/>
  <c r="P479" i="15"/>
  <c r="P473" i="15"/>
  <c r="P455" i="15"/>
  <c r="P446" i="15"/>
  <c r="P442" i="15"/>
  <c r="P428" i="15"/>
  <c r="P417" i="15"/>
  <c r="P655" i="15"/>
  <c r="P609" i="15"/>
  <c r="P644" i="15"/>
  <c r="P639" i="15"/>
  <c r="P622" i="15"/>
  <c r="P606" i="15"/>
  <c r="P594" i="15"/>
  <c r="P544" i="15"/>
  <c r="P526" i="15"/>
  <c r="P524" i="15"/>
  <c r="P513" i="15"/>
  <c r="P488" i="15"/>
  <c r="P437" i="15"/>
  <c r="P426" i="15"/>
  <c r="P425" i="15"/>
  <c r="P424" i="15"/>
  <c r="P423" i="15"/>
  <c r="P403" i="15"/>
  <c r="P634" i="15"/>
  <c r="P612" i="15"/>
  <c r="P590" i="15"/>
  <c r="P572" i="15"/>
  <c r="P533" i="15"/>
  <c r="P522" i="15"/>
  <c r="P497" i="15"/>
  <c r="P470" i="15"/>
  <c r="P460" i="15"/>
  <c r="P440" i="15"/>
  <c r="P431" i="15"/>
  <c r="P402" i="15"/>
  <c r="P391" i="15"/>
  <c r="P381" i="15"/>
  <c r="P380" i="15"/>
  <c r="P370" i="15"/>
  <c r="P619" i="15"/>
  <c r="P593" i="15"/>
  <c r="P540" i="15"/>
  <c r="P529" i="15"/>
  <c r="P511" i="15"/>
  <c r="P509" i="15"/>
  <c r="P496" i="15"/>
  <c r="P463" i="15"/>
  <c r="P447" i="15"/>
  <c r="P438" i="15"/>
  <c r="P432" i="15"/>
  <c r="P427" i="15"/>
  <c r="P401" i="15"/>
  <c r="P400" i="15"/>
  <c r="P390" i="15"/>
  <c r="P379" i="15"/>
  <c r="P369" i="15"/>
  <c r="P368" i="15"/>
  <c r="P364" i="15"/>
  <c r="P360" i="15"/>
  <c r="P630" i="15"/>
  <c r="P650" i="15"/>
  <c r="P607" i="15"/>
  <c r="P600" i="15"/>
  <c r="P640" i="15"/>
  <c r="P614" i="15"/>
  <c r="P599" i="15"/>
  <c r="P577" i="15"/>
  <c r="P573" i="15"/>
  <c r="P537" i="15"/>
  <c r="P519" i="15"/>
  <c r="P517" i="15"/>
  <c r="P471" i="15"/>
  <c r="P456" i="15"/>
  <c r="P448" i="15"/>
  <c r="P444" i="15"/>
  <c r="P436" i="15"/>
  <c r="P430" i="15"/>
  <c r="P422" i="15"/>
  <c r="P421" i="15"/>
  <c r="P420" i="15"/>
  <c r="P419" i="15"/>
  <c r="P597" i="15"/>
  <c r="P538" i="15"/>
  <c r="P495" i="15"/>
  <c r="P476" i="15"/>
  <c r="P433" i="15"/>
  <c r="P408" i="15"/>
  <c r="P395" i="15"/>
  <c r="P385" i="15"/>
  <c r="P374" i="15"/>
  <c r="P350" i="15"/>
  <c r="P329" i="15"/>
  <c r="P307" i="15"/>
  <c r="P298" i="15"/>
  <c r="P270" i="15"/>
  <c r="P262" i="15"/>
  <c r="P254" i="15"/>
  <c r="P246" i="15"/>
  <c r="P238" i="15"/>
  <c r="P230" i="15"/>
  <c r="P581" i="15"/>
  <c r="P545" i="15"/>
  <c r="P490" i="15"/>
  <c r="P475" i="15"/>
  <c r="P462" i="15"/>
  <c r="P413" i="15"/>
  <c r="P411" i="15"/>
  <c r="P399" i="15"/>
  <c r="P386" i="15"/>
  <c r="P375" i="15"/>
  <c r="P349" i="15"/>
  <c r="P348" i="15"/>
  <c r="P339" i="15"/>
  <c r="P328" i="15"/>
  <c r="P322" i="15"/>
  <c r="P318" i="15"/>
  <c r="P314" i="15"/>
  <c r="P310" i="15"/>
  <c r="P304" i="15"/>
  <c r="P291" i="15"/>
  <c r="P290" i="15"/>
  <c r="P289" i="15"/>
  <c r="P288" i="15"/>
  <c r="P287" i="15"/>
  <c r="P286" i="15"/>
  <c r="P285" i="15"/>
  <c r="P284" i="15"/>
  <c r="P283" i="15"/>
  <c r="P282" i="15"/>
  <c r="P281" i="15"/>
  <c r="P275" i="15"/>
  <c r="P267" i="15"/>
  <c r="P259" i="15"/>
  <c r="P251" i="15"/>
  <c r="P243" i="15"/>
  <c r="P534" i="15"/>
  <c r="P441" i="15"/>
  <c r="P415" i="15"/>
  <c r="P405" i="15"/>
  <c r="P396" i="15"/>
  <c r="P392" i="15"/>
  <c r="P387" i="15"/>
  <c r="P376" i="15"/>
  <c r="P359" i="15"/>
  <c r="P358" i="15"/>
  <c r="P347" i="15"/>
  <c r="P327" i="15"/>
  <c r="P296" i="15"/>
  <c r="P292" i="15"/>
  <c r="P280" i="15"/>
  <c r="P272" i="15"/>
  <c r="P264" i="15"/>
  <c r="P256" i="15"/>
  <c r="P248" i="15"/>
  <c r="P240" i="15"/>
  <c r="P617" i="15"/>
  <c r="P580" i="15"/>
  <c r="P541" i="15"/>
  <c r="P530" i="15"/>
  <c r="P489" i="15"/>
  <c r="P472" i="15"/>
  <c r="P585" i="15"/>
  <c r="P543" i="15"/>
  <c r="P525" i="15"/>
  <c r="P514" i="15"/>
  <c r="P483" i="15"/>
  <c r="P466" i="15"/>
  <c r="P602" i="15"/>
  <c r="P532" i="15"/>
  <c r="P521" i="15"/>
  <c r="P482" i="15"/>
  <c r="P459" i="15"/>
  <c r="P528" i="15"/>
  <c r="P510" i="15"/>
  <c r="P481" i="15"/>
  <c r="P454" i="15"/>
  <c r="P450" i="15"/>
  <c r="P418" i="15"/>
  <c r="P404" i="15"/>
  <c r="P398" i="15"/>
  <c r="P373" i="15"/>
  <c r="P351" i="15"/>
  <c r="P341" i="15"/>
  <c r="P340" i="15"/>
  <c r="P330" i="15"/>
  <c r="P323" i="15"/>
  <c r="P319" i="15"/>
  <c r="P315" i="15"/>
  <c r="P311" i="15"/>
  <c r="P302" i="15"/>
  <c r="P300" i="15"/>
  <c r="P295" i="15"/>
  <c r="P276" i="15"/>
  <c r="P273" i="15"/>
  <c r="P265" i="15"/>
  <c r="P257" i="15"/>
  <c r="P536" i="15"/>
  <c r="P406" i="15"/>
  <c r="P382" i="15"/>
  <c r="P377" i="15"/>
  <c r="P363" i="15"/>
  <c r="P361" i="15"/>
  <c r="P355" i="15"/>
  <c r="P344" i="15"/>
  <c r="P325" i="15"/>
  <c r="P303" i="15"/>
  <c r="P274" i="15"/>
  <c r="P258" i="15"/>
  <c r="P234" i="15"/>
  <c r="P229" i="15"/>
  <c r="P225" i="15"/>
  <c r="P217" i="15"/>
  <c r="P209" i="15"/>
  <c r="P201" i="15"/>
  <c r="P193" i="15"/>
  <c r="P185" i="15"/>
  <c r="P177" i="15"/>
  <c r="P153" i="15"/>
  <c r="P149" i="15"/>
  <c r="P145" i="15"/>
  <c r="P141" i="15"/>
  <c r="P137" i="15"/>
  <c r="P133" i="15"/>
  <c r="P126" i="15"/>
  <c r="P104" i="15"/>
  <c r="P96" i="15"/>
  <c r="P484" i="15"/>
  <c r="P434" i="15"/>
  <c r="P412" i="15"/>
  <c r="P397" i="15"/>
  <c r="P389" i="15"/>
  <c r="P372" i="15"/>
  <c r="P324" i="15"/>
  <c r="P316" i="15"/>
  <c r="P308" i="15"/>
  <c r="P277" i="15"/>
  <c r="P271" i="15"/>
  <c r="P255" i="15"/>
  <c r="P222" i="15"/>
  <c r="P214" i="15"/>
  <c r="P206" i="15"/>
  <c r="P198" i="15"/>
  <c r="P190" i="15"/>
  <c r="P182" i="15"/>
  <c r="P174" i="15"/>
  <c r="P101" i="15"/>
  <c r="P416" i="15"/>
  <c r="P394" i="15"/>
  <c r="P384" i="15"/>
  <c r="P367" i="15"/>
  <c r="P365" i="15"/>
  <c r="P353" i="15"/>
  <c r="P342" i="15"/>
  <c r="P268" i="15"/>
  <c r="P252" i="15"/>
  <c r="P247" i="15"/>
  <c r="P233" i="15"/>
  <c r="P228" i="15"/>
  <c r="P219" i="15"/>
  <c r="P211" i="15"/>
  <c r="P203" i="15"/>
  <c r="P195" i="15"/>
  <c r="P187" i="15"/>
  <c r="P179" i="15"/>
  <c r="P152" i="15"/>
  <c r="P148" i="15"/>
  <c r="P144" i="15"/>
  <c r="P140" i="15"/>
  <c r="P136" i="15"/>
  <c r="P132" i="15"/>
  <c r="P124" i="15"/>
  <c r="P120" i="15"/>
  <c r="P119" i="15"/>
  <c r="P118" i="15"/>
  <c r="P117" i="15"/>
  <c r="P116" i="15"/>
  <c r="P115" i="15"/>
  <c r="P388" i="15"/>
  <c r="P443" i="15"/>
  <c r="P393" i="15"/>
  <c r="P371" i="15"/>
  <c r="P362" i="15"/>
  <c r="P518" i="15"/>
  <c r="P414" i="15"/>
  <c r="P410" i="15"/>
  <c r="P383" i="15"/>
  <c r="P378" i="15"/>
  <c r="P452" i="15"/>
  <c r="P407" i="15"/>
  <c r="P366" i="15"/>
  <c r="P352" i="15"/>
  <c r="P331" i="15"/>
  <c r="P305" i="15"/>
  <c r="P260" i="15"/>
  <c r="P235" i="15"/>
  <c r="P223" i="15"/>
  <c r="P215" i="15"/>
  <c r="P207" i="15"/>
  <c r="P199" i="15"/>
  <c r="P191" i="15"/>
  <c r="P183" i="15"/>
  <c r="P451" i="15"/>
  <c r="P435" i="15"/>
  <c r="P409" i="15"/>
  <c r="P357" i="15"/>
  <c r="P346" i="15"/>
  <c r="P317" i="15"/>
  <c r="P279" i="15"/>
  <c r="P261" i="15"/>
  <c r="P245" i="15"/>
  <c r="P212" i="15"/>
  <c r="P196" i="15"/>
  <c r="P180" i="15"/>
  <c r="P150" i="15"/>
  <c r="P143" i="15"/>
  <c r="P127" i="15"/>
  <c r="P103" i="15"/>
  <c r="P90" i="15"/>
  <c r="P82" i="15"/>
  <c r="P74" i="15"/>
  <c r="P66" i="15"/>
  <c r="P58" i="15"/>
  <c r="P50" i="15"/>
  <c r="P42" i="15"/>
  <c r="P34" i="15"/>
  <c r="P26" i="15"/>
  <c r="P18" i="15"/>
  <c r="P10" i="15"/>
  <c r="P2" i="15"/>
  <c r="P356" i="15"/>
  <c r="P338" i="15"/>
  <c r="P313" i="15"/>
  <c r="P301" i="15"/>
  <c r="P269" i="15"/>
  <c r="P216" i="15"/>
  <c r="P200" i="15"/>
  <c r="P184" i="15"/>
  <c r="P173" i="15"/>
  <c r="P122" i="15"/>
  <c r="P111" i="15"/>
  <c r="P106" i="15"/>
  <c r="P105" i="15"/>
  <c r="P102" i="15"/>
  <c r="P87" i="15"/>
  <c r="P79" i="15"/>
  <c r="P71" i="15"/>
  <c r="P63" i="15"/>
  <c r="P55" i="15"/>
  <c r="P47" i="15"/>
  <c r="P39" i="15"/>
  <c r="P31" i="15"/>
  <c r="P23" i="15"/>
  <c r="P15" i="15"/>
  <c r="P7" i="15"/>
  <c r="P345" i="15"/>
  <c r="P294" i="15"/>
  <c r="P278" i="15"/>
  <c r="P266" i="15"/>
  <c r="P242" i="15"/>
  <c r="P213" i="15"/>
  <c r="P197" i="15"/>
  <c r="P181" i="15"/>
  <c r="P142" i="15"/>
  <c r="P135" i="15"/>
  <c r="P130" i="15"/>
  <c r="P107" i="15"/>
  <c r="P100" i="15"/>
  <c r="P95" i="15"/>
  <c r="P92" i="15"/>
  <c r="P84" i="15"/>
  <c r="P76" i="15"/>
  <c r="P68" i="15"/>
  <c r="P60" i="15"/>
  <c r="P52" i="15"/>
  <c r="P44" i="15"/>
  <c r="P36" i="15"/>
  <c r="P28" i="15"/>
  <c r="P20" i="15"/>
  <c r="P12" i="15"/>
  <c r="P4" i="15"/>
  <c r="P312" i="15"/>
  <c r="P263" i="15"/>
  <c r="P249" i="15"/>
  <c r="P236" i="15"/>
  <c r="P231" i="15"/>
  <c r="P226" i="15"/>
  <c r="P210" i="15"/>
  <c r="P194" i="15"/>
  <c r="P178" i="15"/>
  <c r="P147" i="15"/>
  <c r="P129" i="15"/>
  <c r="P112" i="15"/>
  <c r="P108" i="15"/>
  <c r="P89" i="15"/>
  <c r="P81" i="15"/>
  <c r="P73" i="15"/>
  <c r="P65" i="15"/>
  <c r="P57" i="15"/>
  <c r="P326" i="15"/>
  <c r="P309" i="15"/>
  <c r="P299" i="15"/>
  <c r="P293" i="15"/>
  <c r="P244" i="15"/>
  <c r="P220" i="15"/>
  <c r="P204" i="15"/>
  <c r="P188" i="15"/>
  <c r="P175" i="15"/>
  <c r="P154" i="15"/>
  <c r="P134" i="15"/>
  <c r="P121" i="15"/>
  <c r="P99" i="15"/>
  <c r="P94" i="15"/>
  <c r="P86" i="15"/>
  <c r="P78" i="15"/>
  <c r="P70" i="15"/>
  <c r="P62" i="15"/>
  <c r="P54" i="15"/>
  <c r="P321" i="15"/>
  <c r="P306" i="15"/>
  <c r="P253" i="15"/>
  <c r="P239" i="15"/>
  <c r="P237" i="15"/>
  <c r="P232" i="15"/>
  <c r="P227" i="15"/>
  <c r="P224" i="15"/>
  <c r="P208" i="15"/>
  <c r="P192" i="15"/>
  <c r="P176" i="15"/>
  <c r="P146" i="15"/>
  <c r="P139" i="15"/>
  <c r="P113" i="15"/>
  <c r="P109" i="15"/>
  <c r="P98" i="15"/>
  <c r="P91" i="15"/>
  <c r="P83" i="15"/>
  <c r="P75" i="15"/>
  <c r="P67" i="15"/>
  <c r="P59" i="15"/>
  <c r="P51" i="15"/>
  <c r="P241" i="15"/>
  <c r="P221" i="15"/>
  <c r="P205" i="15"/>
  <c r="P189" i="15"/>
  <c r="P151" i="15"/>
  <c r="P123" i="15"/>
  <c r="P88" i="15"/>
  <c r="P80" i="15"/>
  <c r="P72" i="15"/>
  <c r="P64" i="15"/>
  <c r="P56" i="15"/>
  <c r="P48" i="15"/>
  <c r="P354" i="15"/>
  <c r="P343" i="15"/>
  <c r="P320" i="15"/>
  <c r="P297" i="15"/>
  <c r="P250" i="15"/>
  <c r="P218" i="15"/>
  <c r="P202" i="15"/>
  <c r="P186" i="15"/>
  <c r="P138" i="15"/>
  <c r="P131" i="15"/>
  <c r="P128" i="15"/>
  <c r="P125" i="15"/>
  <c r="P114" i="15"/>
  <c r="P110" i="15"/>
  <c r="P97" i="15"/>
  <c r="P93" i="15"/>
  <c r="P85" i="15"/>
  <c r="P77" i="15"/>
  <c r="P69" i="15"/>
  <c r="P61" i="15"/>
  <c r="P53" i="15"/>
  <c r="P45" i="15"/>
  <c r="P37" i="15"/>
  <c r="P29" i="15"/>
  <c r="P21" i="15"/>
  <c r="P13" i="15"/>
  <c r="P5" i="15"/>
  <c r="P40" i="15"/>
  <c r="P24" i="15"/>
  <c r="P8" i="15"/>
  <c r="P49" i="15"/>
  <c r="P41" i="15"/>
  <c r="P25" i="15"/>
  <c r="P9" i="15"/>
  <c r="P38" i="15"/>
  <c r="P22" i="15"/>
  <c r="P6" i="15"/>
  <c r="P35" i="15"/>
  <c r="P19" i="15"/>
  <c r="P3" i="15"/>
  <c r="P32" i="15"/>
  <c r="P16" i="15"/>
  <c r="P33" i="15"/>
  <c r="P17" i="15"/>
  <c r="P30" i="15"/>
  <c r="P14" i="15"/>
  <c r="P46" i="15"/>
  <c r="P43" i="15"/>
  <c r="P27" i="15"/>
  <c r="P11" i="15"/>
  <c r="S2" i="5"/>
  <c r="S161" i="5" s="1"/>
  <c r="BI2" i="5"/>
  <c r="BI161" i="5" s="1"/>
  <c r="BQ2" i="5"/>
  <c r="H38" i="5"/>
  <c r="H43" i="5"/>
  <c r="AD52" i="5"/>
  <c r="H55" i="5"/>
  <c r="D56" i="5"/>
  <c r="H57" i="5"/>
  <c r="D58" i="5"/>
  <c r="H59" i="5"/>
  <c r="D60" i="5"/>
  <c r="H61" i="5"/>
  <c r="D62" i="5"/>
  <c r="H63" i="5"/>
  <c r="D64" i="5"/>
  <c r="H65" i="5"/>
  <c r="D69" i="5"/>
  <c r="D72" i="5"/>
  <c r="T73" i="5"/>
  <c r="H75" i="5"/>
  <c r="D77" i="5"/>
  <c r="AA79" i="5"/>
  <c r="AQ79" i="5"/>
  <c r="H80" i="5"/>
  <c r="I81" i="5"/>
  <c r="BD81" i="5"/>
  <c r="BG82" i="5"/>
  <c r="D83" i="5"/>
  <c r="C84" i="5"/>
  <c r="W84" i="5"/>
  <c r="AY84" i="5"/>
  <c r="BB84" i="5" s="1"/>
  <c r="W86" i="5"/>
  <c r="K87" i="5"/>
  <c r="AQ87" i="5"/>
  <c r="BB87" i="5" s="1"/>
  <c r="BE87" i="5" s="1"/>
  <c r="BD87" i="5"/>
  <c r="BM87" i="5"/>
  <c r="W88" i="5"/>
  <c r="BU89" i="5"/>
  <c r="AL90" i="5"/>
  <c r="BF90" i="5" s="1"/>
  <c r="AH90" i="5"/>
  <c r="BD90" i="5"/>
  <c r="BM90" i="5"/>
  <c r="BT90" i="5" s="1"/>
  <c r="T92" i="5"/>
  <c r="S92" i="5"/>
  <c r="T93" i="5"/>
  <c r="D95" i="5"/>
  <c r="BQ95" i="5"/>
  <c r="BT95" i="5" s="1"/>
  <c r="H96" i="5"/>
  <c r="AM96" i="5"/>
  <c r="AD96" i="5"/>
  <c r="BC96" i="5"/>
  <c r="T97" i="5"/>
  <c r="AD97" i="5"/>
  <c r="BV97" i="5"/>
  <c r="AD99" i="5"/>
  <c r="BI99" i="5"/>
  <c r="Z100" i="5"/>
  <c r="BM100" i="5"/>
  <c r="AD101" i="5"/>
  <c r="H102" i="5"/>
  <c r="AM105" i="5"/>
  <c r="H106" i="5"/>
  <c r="AA107" i="5"/>
  <c r="Z107" i="5"/>
  <c r="AM107" i="5"/>
  <c r="AL109" i="5"/>
  <c r="BF109" i="5" s="1"/>
  <c r="BG110" i="5"/>
  <c r="BB111" i="5"/>
  <c r="E112" i="5"/>
  <c r="D112" i="5"/>
  <c r="C112" i="5"/>
  <c r="AK112" i="5"/>
  <c r="BD113" i="5"/>
  <c r="BG113" i="5" s="1"/>
  <c r="T114" i="5"/>
  <c r="BG115" i="5"/>
  <c r="T116" i="5"/>
  <c r="AM116" i="5"/>
  <c r="AD117" i="5"/>
  <c r="AM117" i="5"/>
  <c r="BB119" i="5"/>
  <c r="T120" i="5"/>
  <c r="BF120" i="5"/>
  <c r="BM120" i="5"/>
  <c r="BV120" i="5"/>
  <c r="I121" i="5"/>
  <c r="H121" i="5"/>
  <c r="G121" i="5"/>
  <c r="AA122" i="5"/>
  <c r="BG124" i="5"/>
  <c r="AO124" i="5"/>
  <c r="AN124" i="5"/>
  <c r="AG125" i="5"/>
  <c r="BD126" i="5"/>
  <c r="AU126" i="5"/>
  <c r="BB126" i="5" s="1"/>
  <c r="BT126" i="5"/>
  <c r="S127" i="5"/>
  <c r="AH128" i="5"/>
  <c r="AG128" i="5"/>
  <c r="S130" i="5"/>
  <c r="BB130" i="5"/>
  <c r="T131" i="5"/>
  <c r="BF131" i="5"/>
  <c r="BM131" i="5"/>
  <c r="BV131" i="5"/>
  <c r="I132" i="5"/>
  <c r="H132" i="5"/>
  <c r="G132" i="5"/>
  <c r="AA133" i="5"/>
  <c r="Z133" i="5"/>
  <c r="AL134" i="5"/>
  <c r="BF134" i="5" s="1"/>
  <c r="BC134" i="5"/>
  <c r="BV134" i="5"/>
  <c r="K135" i="5"/>
  <c r="G136" i="5"/>
  <c r="AH137" i="5"/>
  <c r="AG137" i="5"/>
  <c r="AK138" i="5"/>
  <c r="BE138" i="5" s="1"/>
  <c r="BG139" i="5"/>
  <c r="AK140" i="5"/>
  <c r="BE140" i="5" s="1"/>
  <c r="BV143" i="5"/>
  <c r="BQ143" i="5"/>
  <c r="BT143" i="5" s="1"/>
  <c r="T144" i="5"/>
  <c r="S144" i="5"/>
  <c r="AO144" i="5"/>
  <c r="BB149" i="5"/>
  <c r="AL150" i="5"/>
  <c r="BF150" i="5" s="1"/>
  <c r="BD150" i="5"/>
  <c r="G151" i="5"/>
  <c r="AM152" i="5"/>
  <c r="BV152" i="5"/>
  <c r="BM154" i="5"/>
  <c r="BV154" i="5"/>
  <c r="I155" i="5"/>
  <c r="H155" i="5"/>
  <c r="G155" i="5"/>
  <c r="AM155" i="5"/>
  <c r="AM156" i="5"/>
  <c r="H157" i="5"/>
  <c r="BG159" i="5"/>
  <c r="D168" i="5"/>
  <c r="AM168" i="5"/>
  <c r="AO174" i="5"/>
  <c r="BV174" i="5"/>
  <c r="BQ174" i="5"/>
  <c r="BT174" i="5" s="1"/>
  <c r="AB131" i="6"/>
  <c r="AM2" i="6"/>
  <c r="BR131" i="6"/>
  <c r="DF318" i="6" s="1"/>
  <c r="BU2" i="6"/>
  <c r="BI3" i="6"/>
  <c r="BI131" i="6" s="1"/>
  <c r="AL4" i="6"/>
  <c r="BF4" i="6" s="1"/>
  <c r="BD6" i="6"/>
  <c r="BG6" i="6" s="1"/>
  <c r="G7" i="6"/>
  <c r="S7" i="6"/>
  <c r="AL7" i="6"/>
  <c r="BF7" i="6" s="1"/>
  <c r="BV7" i="6"/>
  <c r="BQ7" i="6"/>
  <c r="BT7" i="6" s="1"/>
  <c r="D8" i="6"/>
  <c r="AM8" i="6"/>
  <c r="D9" i="6"/>
  <c r="AG9" i="6"/>
  <c r="I11" i="6"/>
  <c r="H11" i="6"/>
  <c r="G11" i="6"/>
  <c r="S13" i="6"/>
  <c r="AA14" i="6"/>
  <c r="Z14" i="6"/>
  <c r="AM14" i="6"/>
  <c r="BG14" i="6" s="1"/>
  <c r="BM15" i="6"/>
  <c r="BT17" i="6"/>
  <c r="H19" i="6"/>
  <c r="AD19" i="6"/>
  <c r="AK19" i="6" s="1"/>
  <c r="AM19" i="6"/>
  <c r="D22" i="6"/>
  <c r="I24" i="6"/>
  <c r="H24" i="6"/>
  <c r="G24" i="6"/>
  <c r="AK24" i="6"/>
  <c r="BE24" i="6" s="1"/>
  <c r="BV24" i="6"/>
  <c r="BQ24" i="6"/>
  <c r="BT24" i="6" s="1"/>
  <c r="T25" i="6"/>
  <c r="S25" i="6"/>
  <c r="AM25" i="6"/>
  <c r="AM28" i="6"/>
  <c r="BM28" i="6"/>
  <c r="BV28" i="6"/>
  <c r="AI30" i="6"/>
  <c r="AO31" i="6"/>
  <c r="BC32" i="6"/>
  <c r="BF32" i="6" s="1"/>
  <c r="BT34" i="6"/>
  <c r="AO37" i="6"/>
  <c r="AN37" i="6"/>
  <c r="W40" i="6"/>
  <c r="AA40" i="6"/>
  <c r="Z40" i="6"/>
  <c r="BG40" i="6"/>
  <c r="AO45" i="6"/>
  <c r="AN45" i="6"/>
  <c r="BG45" i="6"/>
  <c r="AO46" i="6"/>
  <c r="AN46" i="6"/>
  <c r="AI50" i="6"/>
  <c r="AU53" i="6"/>
  <c r="BD53" i="6"/>
  <c r="BG53" i="6" s="1"/>
  <c r="BI55" i="6"/>
  <c r="BV55" i="6"/>
  <c r="AA57" i="6"/>
  <c r="W57" i="6"/>
  <c r="AM57" i="6"/>
  <c r="Z57" i="6"/>
  <c r="BG59" i="6"/>
  <c r="BM61" i="6"/>
  <c r="BV61" i="6"/>
  <c r="BT62" i="6"/>
  <c r="AI66" i="6"/>
  <c r="T66" i="6"/>
  <c r="BG66" i="6"/>
  <c r="BT67" i="6"/>
  <c r="AD70" i="6"/>
  <c r="AK70" i="6" s="1"/>
  <c r="AM70" i="6"/>
  <c r="AH70" i="6"/>
  <c r="AG70" i="6"/>
  <c r="BE70" i="6"/>
  <c r="AO79" i="6"/>
  <c r="AN79" i="6"/>
  <c r="AI118" i="6"/>
  <c r="S118" i="6"/>
  <c r="T118" i="6"/>
  <c r="BF124" i="6"/>
  <c r="BE6" i="7"/>
  <c r="BE9" i="7"/>
  <c r="BF16" i="7"/>
  <c r="AA25" i="7"/>
  <c r="Z25" i="7"/>
  <c r="BG28" i="7"/>
  <c r="W31" i="5"/>
  <c r="W42" i="5"/>
  <c r="AX75" i="5"/>
  <c r="AX161" i="5" s="1"/>
  <c r="BC76" i="5"/>
  <c r="BF76" i="5" s="1"/>
  <c r="AD80" i="5"/>
  <c r="AM81" i="5"/>
  <c r="AY82" i="5"/>
  <c r="BB82" i="5" s="1"/>
  <c r="BE82" i="5" s="1"/>
  <c r="BD91" i="5"/>
  <c r="AM92" i="5"/>
  <c r="AD92" i="5"/>
  <c r="BC92" i="5"/>
  <c r="BF92" i="5" s="1"/>
  <c r="AH93" i="5"/>
  <c r="AG93" i="5"/>
  <c r="P94" i="5"/>
  <c r="AM95" i="5"/>
  <c r="BD98" i="5"/>
  <c r="BM98" i="5"/>
  <c r="AO99" i="5"/>
  <c r="BG99" i="5"/>
  <c r="AN99" i="5"/>
  <c r="E100" i="5"/>
  <c r="D100" i="5"/>
  <c r="C100" i="5"/>
  <c r="BG100" i="5"/>
  <c r="I101" i="5"/>
  <c r="H101" i="5"/>
  <c r="G101" i="5"/>
  <c r="AM102" i="5"/>
  <c r="BV102" i="5"/>
  <c r="E104" i="5"/>
  <c r="D104" i="5"/>
  <c r="C104" i="5"/>
  <c r="AA104" i="5"/>
  <c r="BG104" i="5"/>
  <c r="I105" i="5"/>
  <c r="H105" i="5"/>
  <c r="G105" i="5"/>
  <c r="AM106" i="5"/>
  <c r="L108" i="5"/>
  <c r="K108" i="5"/>
  <c r="BM108" i="5"/>
  <c r="BV108" i="5"/>
  <c r="I109" i="5"/>
  <c r="H109" i="5"/>
  <c r="G109" i="5"/>
  <c r="AD109" i="5"/>
  <c r="AH111" i="5"/>
  <c r="BV111" i="5"/>
  <c r="S112" i="5"/>
  <c r="AM114" i="5"/>
  <c r="AK115" i="5"/>
  <c r="AG117" i="5"/>
  <c r="BD118" i="5"/>
  <c r="G119" i="5"/>
  <c r="T119" i="5"/>
  <c r="S119" i="5"/>
  <c r="AL119" i="5"/>
  <c r="BC119" i="5"/>
  <c r="AM120" i="5"/>
  <c r="AQ121" i="5"/>
  <c r="BB121" i="5" s="1"/>
  <c r="BE121" i="5" s="1"/>
  <c r="BX121" i="5"/>
  <c r="BD122" i="5"/>
  <c r="AU122" i="5"/>
  <c r="S123" i="5"/>
  <c r="BD123" i="5"/>
  <c r="BG123" i="5" s="1"/>
  <c r="S126" i="5"/>
  <c r="T127" i="5"/>
  <c r="BF127" i="5"/>
  <c r="BM127" i="5"/>
  <c r="BT127" i="5" s="1"/>
  <c r="BV127" i="5"/>
  <c r="I128" i="5"/>
  <c r="H128" i="5"/>
  <c r="G128" i="5"/>
  <c r="AA129" i="5"/>
  <c r="Z129" i="5"/>
  <c r="AL130" i="5"/>
  <c r="BC130" i="5"/>
  <c r="AM131" i="5"/>
  <c r="AQ132" i="5"/>
  <c r="BB132" i="5" s="1"/>
  <c r="BE132" i="5" s="1"/>
  <c r="BX132" i="5"/>
  <c r="AM133" i="5"/>
  <c r="L134" i="5"/>
  <c r="K134" i="5"/>
  <c r="AD134" i="5"/>
  <c r="AM134" i="5"/>
  <c r="C135" i="5"/>
  <c r="AM135" i="5"/>
  <c r="AY136" i="5"/>
  <c r="BB136" i="5" s="1"/>
  <c r="BG137" i="5"/>
  <c r="AG139" i="5"/>
  <c r="BT139" i="5"/>
  <c r="BF140" i="5"/>
  <c r="W141" i="5"/>
  <c r="AG141" i="5"/>
  <c r="Z142" i="5"/>
  <c r="AY142" i="5"/>
  <c r="BB142" i="5" s="1"/>
  <c r="BE142" i="5" s="1"/>
  <c r="BI143" i="5"/>
  <c r="AL144" i="5"/>
  <c r="AK144" i="5" s="1"/>
  <c r="D145" i="5"/>
  <c r="AK147" i="5"/>
  <c r="AL148" i="5"/>
  <c r="BF148" i="5" s="1"/>
  <c r="BM148" i="5"/>
  <c r="BV148" i="5"/>
  <c r="I149" i="5"/>
  <c r="H149" i="5"/>
  <c r="G149" i="5"/>
  <c r="AM149" i="5"/>
  <c r="K150" i="5"/>
  <c r="AM150" i="5"/>
  <c r="BQ150" i="5"/>
  <c r="BT150" i="5" s="1"/>
  <c r="H151" i="5"/>
  <c r="AM151" i="5"/>
  <c r="AY151" i="5"/>
  <c r="BB151" i="5" s="1"/>
  <c r="BV151" i="5"/>
  <c r="AH152" i="5"/>
  <c r="AG152" i="5"/>
  <c r="AI152" i="5"/>
  <c r="AY153" i="5"/>
  <c r="BB153" i="5" s="1"/>
  <c r="E156" i="5"/>
  <c r="D156" i="5"/>
  <c r="AH156" i="5"/>
  <c r="BU156" i="5"/>
  <c r="BB157" i="5"/>
  <c r="BC158" i="5"/>
  <c r="AK159" i="5"/>
  <c r="BX160" i="5"/>
  <c r="AM164" i="5"/>
  <c r="AG167" i="5"/>
  <c r="AH168" i="5"/>
  <c r="T169" i="5"/>
  <c r="AM169" i="5"/>
  <c r="BD170" i="5"/>
  <c r="T172" i="5"/>
  <c r="AL172" i="5"/>
  <c r="BI174" i="5"/>
  <c r="AD175" i="5"/>
  <c r="AC131" i="6"/>
  <c r="BJ131" i="6"/>
  <c r="DD318" i="6" s="1"/>
  <c r="BS131" i="6"/>
  <c r="DF171" i="6" s="1"/>
  <c r="BV2" i="6"/>
  <c r="AD4" i="6"/>
  <c r="AK4" i="6" s="1"/>
  <c r="BB4" i="6"/>
  <c r="E5" i="6"/>
  <c r="D5" i="6"/>
  <c r="C5" i="6"/>
  <c r="P5" i="6"/>
  <c r="AK5" i="6" s="1"/>
  <c r="BQ6" i="6"/>
  <c r="BT6" i="6" s="1"/>
  <c r="H7" i="6"/>
  <c r="AM7" i="6"/>
  <c r="BG7" i="6" s="1"/>
  <c r="BB8" i="6"/>
  <c r="BE8" i="6" s="1"/>
  <c r="AD11" i="6"/>
  <c r="AK11" i="6" s="1"/>
  <c r="BE11" i="6" s="1"/>
  <c r="Z12" i="6"/>
  <c r="BD12" i="6"/>
  <c r="BG12" i="6" s="1"/>
  <c r="AY12" i="6"/>
  <c r="BB12" i="6" s="1"/>
  <c r="BE12" i="6" s="1"/>
  <c r="BC13" i="6"/>
  <c r="BF13" i="6" s="1"/>
  <c r="L15" i="6"/>
  <c r="K15" i="6"/>
  <c r="Z17" i="6"/>
  <c r="AM18" i="6"/>
  <c r="BU18" i="6"/>
  <c r="AG19" i="6"/>
  <c r="E20" i="6"/>
  <c r="D20" i="6"/>
  <c r="G21" i="6"/>
  <c r="S21" i="6"/>
  <c r="AM21" i="6"/>
  <c r="BI24" i="6"/>
  <c r="D26" i="6"/>
  <c r="BV26" i="6"/>
  <c r="BQ26" i="6"/>
  <c r="BT26" i="6" s="1"/>
  <c r="W27" i="6"/>
  <c r="AI28" i="6"/>
  <c r="W29" i="6"/>
  <c r="AK29" i="6" s="1"/>
  <c r="K30" i="6"/>
  <c r="Z30" i="6"/>
  <c r="BX30" i="6"/>
  <c r="BV31" i="6"/>
  <c r="BV32" i="6"/>
  <c r="BM35" i="6"/>
  <c r="BT35" i="6" s="1"/>
  <c r="BF36" i="6"/>
  <c r="BI36" i="6"/>
  <c r="BU39" i="6"/>
  <c r="L41" i="6"/>
  <c r="K41" i="6"/>
  <c r="AD42" i="6"/>
  <c r="AH42" i="6"/>
  <c r="AG42" i="6"/>
  <c r="AM42" i="6"/>
  <c r="BG44" i="6"/>
  <c r="BF53" i="6"/>
  <c r="BF56" i="6"/>
  <c r="BD60" i="6"/>
  <c r="AH61" i="6"/>
  <c r="AG61" i="6"/>
  <c r="AD61" i="6"/>
  <c r="AM61" i="6"/>
  <c r="BG61" i="6" s="1"/>
  <c r="AH62" i="6"/>
  <c r="AD62" i="6"/>
  <c r="AK62" i="6" s="1"/>
  <c r="BE62" i="6" s="1"/>
  <c r="AM62" i="6"/>
  <c r="AG62" i="6"/>
  <c r="BT63" i="6"/>
  <c r="BM66" i="6"/>
  <c r="BV66" i="6"/>
  <c r="BF69" i="6"/>
  <c r="BF86" i="6"/>
  <c r="BF121" i="6"/>
  <c r="AH124" i="6"/>
  <c r="AG124" i="6"/>
  <c r="AI124" i="6"/>
  <c r="BB10" i="7"/>
  <c r="BE10" i="7" s="1"/>
  <c r="AH16" i="7"/>
  <c r="AG16" i="7"/>
  <c r="BT28" i="7"/>
  <c r="D465" i="15"/>
  <c r="D463" i="15"/>
  <c r="D457" i="15"/>
  <c r="D451" i="15"/>
  <c r="D459" i="15"/>
  <c r="D456" i="15"/>
  <c r="D448" i="15"/>
  <c r="D444" i="15"/>
  <c r="D454" i="15"/>
  <c r="D445" i="15"/>
  <c r="D441" i="15"/>
  <c r="D432" i="15"/>
  <c r="D431" i="15"/>
  <c r="D461" i="15"/>
  <c r="D430" i="15"/>
  <c r="D420" i="15"/>
  <c r="D419" i="15"/>
  <c r="D450" i="15"/>
  <c r="D442" i="15"/>
  <c r="D406" i="15"/>
  <c r="D405" i="15"/>
  <c r="D395" i="15"/>
  <c r="D464" i="15"/>
  <c r="D458" i="15"/>
  <c r="D436" i="15"/>
  <c r="D423" i="15"/>
  <c r="D422" i="15"/>
  <c r="D421" i="15"/>
  <c r="D404" i="15"/>
  <c r="D394" i="15"/>
  <c r="D393" i="15"/>
  <c r="D383" i="15"/>
  <c r="D372" i="15"/>
  <c r="D440" i="15"/>
  <c r="D437" i="15"/>
  <c r="D426" i="15"/>
  <c r="D425" i="15"/>
  <c r="D424" i="15"/>
  <c r="D403" i="15"/>
  <c r="D392" i="15"/>
  <c r="D382" i="15"/>
  <c r="D381" i="15"/>
  <c r="D371" i="15"/>
  <c r="D365" i="15"/>
  <c r="D361" i="15"/>
  <c r="D452" i="15"/>
  <c r="D446" i="15"/>
  <c r="D439" i="15"/>
  <c r="D435" i="15"/>
  <c r="D418" i="15"/>
  <c r="D417" i="15"/>
  <c r="D416" i="15"/>
  <c r="D453" i="15"/>
  <c r="D449" i="15"/>
  <c r="D407" i="15"/>
  <c r="D390" i="15"/>
  <c r="D384" i="15"/>
  <c r="D379" i="15"/>
  <c r="D373" i="15"/>
  <c r="D368" i="15"/>
  <c r="D367" i="15"/>
  <c r="D366" i="15"/>
  <c r="D352" i="15"/>
  <c r="D342" i="15"/>
  <c r="D341" i="15"/>
  <c r="D305" i="15"/>
  <c r="D268" i="15"/>
  <c r="D260" i="15"/>
  <c r="D252" i="15"/>
  <c r="D244" i="15"/>
  <c r="D236" i="15"/>
  <c r="D228" i="15"/>
  <c r="D438" i="15"/>
  <c r="D398" i="15"/>
  <c r="D391" i="15"/>
  <c r="D385" i="15"/>
  <c r="D380" i="15"/>
  <c r="D369" i="15"/>
  <c r="D351" i="15"/>
  <c r="D340" i="15"/>
  <c r="D302" i="15"/>
  <c r="D300" i="15"/>
  <c r="D295" i="15"/>
  <c r="D276" i="15"/>
  <c r="D273" i="15"/>
  <c r="D265" i="15"/>
  <c r="D257" i="15"/>
  <c r="D249" i="15"/>
  <c r="D241" i="15"/>
  <c r="D433" i="15"/>
  <c r="D428" i="15"/>
  <c r="D411" i="15"/>
  <c r="D408" i="15"/>
  <c r="D402" i="15"/>
  <c r="D374" i="15"/>
  <c r="D350" i="15"/>
  <c r="D349" i="15"/>
  <c r="D307" i="15"/>
  <c r="D298" i="15"/>
  <c r="D270" i="15"/>
  <c r="D262" i="15"/>
  <c r="D254" i="15"/>
  <c r="D246" i="15"/>
  <c r="D238" i="15"/>
  <c r="D462" i="15"/>
  <c r="D466" i="15"/>
  <c r="D434" i="15"/>
  <c r="D429" i="15"/>
  <c r="D414" i="15"/>
  <c r="D412" i="15"/>
  <c r="D410" i="15"/>
  <c r="D401" i="15"/>
  <c r="D378" i="15"/>
  <c r="D354" i="15"/>
  <c r="D353" i="15"/>
  <c r="D343" i="15"/>
  <c r="D308" i="15"/>
  <c r="D297" i="15"/>
  <c r="D277" i="15"/>
  <c r="D271" i="15"/>
  <c r="D263" i="15"/>
  <c r="D255" i="15"/>
  <c r="D409" i="15"/>
  <c r="D387" i="15"/>
  <c r="D359" i="15"/>
  <c r="D357" i="15"/>
  <c r="D296" i="15"/>
  <c r="D264" i="15"/>
  <c r="D235" i="15"/>
  <c r="D230" i="15"/>
  <c r="D223" i="15"/>
  <c r="D215" i="15"/>
  <c r="D207" i="15"/>
  <c r="D199" i="15"/>
  <c r="D191" i="15"/>
  <c r="D183" i="15"/>
  <c r="D175" i="15"/>
  <c r="D105" i="15"/>
  <c r="D102" i="15"/>
  <c r="D400" i="15"/>
  <c r="D377" i="15"/>
  <c r="D346" i="15"/>
  <c r="D299" i="15"/>
  <c r="D293" i="15"/>
  <c r="D279" i="15"/>
  <c r="D261" i="15"/>
  <c r="D245" i="15"/>
  <c r="D220" i="15"/>
  <c r="D212" i="15"/>
  <c r="D204" i="15"/>
  <c r="D196" i="15"/>
  <c r="D188" i="15"/>
  <c r="D180" i="15"/>
  <c r="D130" i="15"/>
  <c r="D128" i="15"/>
  <c r="D123" i="15"/>
  <c r="D447" i="15"/>
  <c r="D397" i="15"/>
  <c r="D389" i="15"/>
  <c r="D363" i="15"/>
  <c r="D355" i="15"/>
  <c r="D344" i="15"/>
  <c r="D303" i="15"/>
  <c r="D274" i="15"/>
  <c r="D258" i="15"/>
  <c r="D234" i="15"/>
  <c r="D229" i="15"/>
  <c r="D225" i="15"/>
  <c r="D217" i="15"/>
  <c r="D209" i="15"/>
  <c r="D201" i="15"/>
  <c r="D193" i="15"/>
  <c r="D185" i="15"/>
  <c r="D177" i="15"/>
  <c r="D126" i="15"/>
  <c r="D460" i="15"/>
  <c r="D415" i="15"/>
  <c r="D399" i="15"/>
  <c r="D386" i="15"/>
  <c r="D427" i="15"/>
  <c r="D396" i="15"/>
  <c r="D376" i="15"/>
  <c r="D360" i="15"/>
  <c r="D455" i="15"/>
  <c r="D443" i="15"/>
  <c r="D388" i="15"/>
  <c r="D364" i="15"/>
  <c r="D362" i="15"/>
  <c r="D294" i="15"/>
  <c r="D278" i="15"/>
  <c r="D266" i="15"/>
  <c r="D243" i="15"/>
  <c r="D242" i="15"/>
  <c r="D221" i="15"/>
  <c r="D213" i="15"/>
  <c r="D205" i="15"/>
  <c r="D197" i="15"/>
  <c r="D189" i="15"/>
  <c r="D181" i="15"/>
  <c r="D413" i="15"/>
  <c r="D375" i="15"/>
  <c r="D370" i="15"/>
  <c r="D339" i="15"/>
  <c r="D304" i="15"/>
  <c r="D291" i="15"/>
  <c r="D287" i="15"/>
  <c r="D283" i="15"/>
  <c r="D267" i="15"/>
  <c r="D250" i="15"/>
  <c r="D218" i="15"/>
  <c r="D202" i="15"/>
  <c r="D186" i="15"/>
  <c r="D88" i="15"/>
  <c r="D80" i="15"/>
  <c r="D72" i="15"/>
  <c r="D64" i="15"/>
  <c r="D56" i="15"/>
  <c r="D48" i="15"/>
  <c r="D40" i="15"/>
  <c r="D32" i="15"/>
  <c r="D24" i="15"/>
  <c r="D16" i="15"/>
  <c r="D8" i="15"/>
  <c r="D290" i="15"/>
  <c r="D286" i="15"/>
  <c r="D282" i="15"/>
  <c r="D275" i="15"/>
  <c r="D233" i="15"/>
  <c r="D222" i="15"/>
  <c r="D206" i="15"/>
  <c r="D190" i="15"/>
  <c r="D125" i="15"/>
  <c r="D117" i="15"/>
  <c r="D114" i="15"/>
  <c r="D110" i="15"/>
  <c r="D104" i="15"/>
  <c r="D97" i="15"/>
  <c r="D93" i="15"/>
  <c r="D85" i="15"/>
  <c r="D77" i="15"/>
  <c r="D69" i="15"/>
  <c r="D61" i="15"/>
  <c r="D53" i="15"/>
  <c r="D45" i="15"/>
  <c r="D37" i="15"/>
  <c r="D29" i="15"/>
  <c r="D21" i="15"/>
  <c r="D13" i="15"/>
  <c r="D5" i="15"/>
  <c r="D272" i="15"/>
  <c r="D247" i="15"/>
  <c r="D240" i="15"/>
  <c r="D219" i="15"/>
  <c r="D203" i="15"/>
  <c r="D187" i="15"/>
  <c r="D127" i="15"/>
  <c r="D120" i="15"/>
  <c r="D103" i="15"/>
  <c r="D101" i="15"/>
  <c r="D96" i="15"/>
  <c r="D90" i="15"/>
  <c r="D82" i="15"/>
  <c r="D74" i="15"/>
  <c r="D66" i="15"/>
  <c r="D58" i="15"/>
  <c r="D50" i="15"/>
  <c r="D42" i="15"/>
  <c r="D34" i="15"/>
  <c r="D26" i="15"/>
  <c r="D18" i="15"/>
  <c r="D10" i="15"/>
  <c r="D2" i="15"/>
  <c r="D356" i="15"/>
  <c r="D345" i="15"/>
  <c r="D338" i="15"/>
  <c r="D301" i="15"/>
  <c r="D269" i="15"/>
  <c r="D216" i="15"/>
  <c r="D200" i="15"/>
  <c r="D184" i="15"/>
  <c r="D174" i="15"/>
  <c r="D173" i="15"/>
  <c r="D124" i="15"/>
  <c r="D122" i="15"/>
  <c r="D115" i="15"/>
  <c r="D111" i="15"/>
  <c r="D106" i="15"/>
  <c r="D87" i="15"/>
  <c r="D79" i="15"/>
  <c r="D71" i="15"/>
  <c r="D63" i="15"/>
  <c r="D55" i="15"/>
  <c r="D348" i="15"/>
  <c r="D289" i="15"/>
  <c r="D285" i="15"/>
  <c r="D281" i="15"/>
  <c r="D251" i="15"/>
  <c r="D231" i="15"/>
  <c r="D226" i="15"/>
  <c r="D210" i="15"/>
  <c r="D194" i="15"/>
  <c r="D178" i="15"/>
  <c r="D118" i="15"/>
  <c r="D107" i="15"/>
  <c r="D100" i="15"/>
  <c r="D95" i="15"/>
  <c r="D92" i="15"/>
  <c r="D84" i="15"/>
  <c r="D76" i="15"/>
  <c r="D68" i="15"/>
  <c r="D60" i="15"/>
  <c r="D52" i="15"/>
  <c r="D288" i="15"/>
  <c r="D284" i="15"/>
  <c r="D259" i="15"/>
  <c r="D214" i="15"/>
  <c r="D198" i="15"/>
  <c r="D182" i="15"/>
  <c r="D129" i="15"/>
  <c r="D112" i="15"/>
  <c r="D108" i="15"/>
  <c r="D99" i="15"/>
  <c r="D89" i="15"/>
  <c r="D81" i="15"/>
  <c r="D73" i="15"/>
  <c r="D65" i="15"/>
  <c r="D57" i="15"/>
  <c r="D49" i="15"/>
  <c r="D358" i="15"/>
  <c r="D347" i="15"/>
  <c r="D292" i="15"/>
  <c r="D280" i="15"/>
  <c r="D256" i="15"/>
  <c r="D248" i="15"/>
  <c r="D211" i="15"/>
  <c r="D195" i="15"/>
  <c r="D179" i="15"/>
  <c r="D121" i="15"/>
  <c r="D116" i="15"/>
  <c r="D94" i="15"/>
  <c r="D86" i="15"/>
  <c r="D78" i="15"/>
  <c r="D70" i="15"/>
  <c r="D62" i="15"/>
  <c r="D54" i="15"/>
  <c r="D46" i="15"/>
  <c r="D306" i="15"/>
  <c r="D253" i="15"/>
  <c r="D239" i="15"/>
  <c r="D237" i="15"/>
  <c r="D232" i="15"/>
  <c r="D227" i="15"/>
  <c r="D224" i="15"/>
  <c r="D208" i="15"/>
  <c r="D192" i="15"/>
  <c r="D176" i="15"/>
  <c r="D119" i="15"/>
  <c r="D113" i="15"/>
  <c r="D109" i="15"/>
  <c r="D98" i="15"/>
  <c r="D91" i="15"/>
  <c r="D83" i="15"/>
  <c r="D75" i="15"/>
  <c r="D67" i="15"/>
  <c r="D59" i="15"/>
  <c r="D51" i="15"/>
  <c r="D43" i="15"/>
  <c r="D35" i="15"/>
  <c r="D27" i="15"/>
  <c r="D19" i="15"/>
  <c r="D11" i="15"/>
  <c r="D3" i="15"/>
  <c r="D30" i="15"/>
  <c r="D14" i="15"/>
  <c r="D31" i="15"/>
  <c r="D15" i="15"/>
  <c r="D44" i="15"/>
  <c r="D28" i="15"/>
  <c r="D12" i="15"/>
  <c r="D41" i="15"/>
  <c r="D25" i="15"/>
  <c r="D9" i="15"/>
  <c r="D47" i="15"/>
  <c r="D38" i="15"/>
  <c r="D22" i="15"/>
  <c r="D6" i="15"/>
  <c r="D39" i="15"/>
  <c r="D23" i="15"/>
  <c r="D7" i="15"/>
  <c r="D36" i="15"/>
  <c r="D20" i="15"/>
  <c r="D4" i="15"/>
  <c r="D33" i="15"/>
  <c r="D17" i="15"/>
  <c r="AY31" i="6"/>
  <c r="BB31" i="6" s="1"/>
  <c r="BE31" i="6" s="1"/>
  <c r="BQ32" i="6"/>
  <c r="BT32" i="6" s="1"/>
  <c r="BQ36" i="6"/>
  <c r="BQ39" i="6"/>
  <c r="BT39" i="6" s="1"/>
  <c r="AY43" i="6"/>
  <c r="BB43" i="6" s="1"/>
  <c r="BE43" i="6" s="1"/>
  <c r="W48" i="6"/>
  <c r="AH49" i="6"/>
  <c r="AA50" i="6"/>
  <c r="BM50" i="6"/>
  <c r="BD51" i="6"/>
  <c r="BG51" i="6" s="1"/>
  <c r="E52" i="6"/>
  <c r="D52" i="6"/>
  <c r="C52" i="6"/>
  <c r="P52" i="6"/>
  <c r="AA53" i="6"/>
  <c r="Z53" i="6"/>
  <c r="AM54" i="6"/>
  <c r="BD54" i="6"/>
  <c r="BG54" i="6" s="1"/>
  <c r="W55" i="6"/>
  <c r="BC60" i="6"/>
  <c r="BF60" i="6" s="1"/>
  <c r="AM64" i="6"/>
  <c r="BM65" i="6"/>
  <c r="BT65" i="6" s="1"/>
  <c r="S66" i="6"/>
  <c r="W67" i="6"/>
  <c r="AH67" i="6"/>
  <c r="BM69" i="6"/>
  <c r="AL70" i="6"/>
  <c r="BF70" i="6" s="1"/>
  <c r="BU70" i="6"/>
  <c r="BD71" i="6"/>
  <c r="BG71" i="6" s="1"/>
  <c r="AY71" i="6"/>
  <c r="AN72" i="6"/>
  <c r="AO72" i="6"/>
  <c r="AI73" i="6"/>
  <c r="I74" i="6"/>
  <c r="H74" i="6"/>
  <c r="BM74" i="6"/>
  <c r="BT74" i="6" s="1"/>
  <c r="AY76" i="6"/>
  <c r="BB76" i="6" s="1"/>
  <c r="BD77" i="6"/>
  <c r="BG77" i="6" s="1"/>
  <c r="AO78" i="6"/>
  <c r="AN78" i="6"/>
  <c r="AM80" i="6"/>
  <c r="E82" i="6"/>
  <c r="D82" i="6"/>
  <c r="AH82" i="6"/>
  <c r="AH83" i="6"/>
  <c r="AG83" i="6"/>
  <c r="AI83" i="6"/>
  <c r="T84" i="6"/>
  <c r="S84" i="6"/>
  <c r="AL84" i="6"/>
  <c r="BF84" i="6" s="1"/>
  <c r="BF85" i="6"/>
  <c r="AI88" i="6"/>
  <c r="T88" i="6"/>
  <c r="AM88" i="6"/>
  <c r="L89" i="6"/>
  <c r="K89" i="6"/>
  <c r="BM89" i="6"/>
  <c r="AM90" i="6"/>
  <c r="BV91" i="6"/>
  <c r="BQ91" i="6"/>
  <c r="BT91" i="6" s="1"/>
  <c r="T92" i="6"/>
  <c r="S92" i="6"/>
  <c r="AL92" i="6"/>
  <c r="BF92" i="6" s="1"/>
  <c r="Z93" i="6"/>
  <c r="P94" i="6"/>
  <c r="AO94" i="6"/>
  <c r="BD95" i="6"/>
  <c r="BI96" i="6"/>
  <c r="E97" i="6"/>
  <c r="D97" i="6"/>
  <c r="C97" i="6"/>
  <c r="P97" i="6"/>
  <c r="AO98" i="6"/>
  <c r="AN98" i="6"/>
  <c r="T99" i="6"/>
  <c r="S99" i="6"/>
  <c r="AI99" i="6"/>
  <c r="Z99" i="6"/>
  <c r="E100" i="6"/>
  <c r="D100" i="6"/>
  <c r="AD102" i="6"/>
  <c r="AK102" i="6" s="1"/>
  <c r="BV102" i="6"/>
  <c r="BQ102" i="6"/>
  <c r="BT102" i="6" s="1"/>
  <c r="T103" i="6"/>
  <c r="S103" i="6"/>
  <c r="AL103" i="6"/>
  <c r="BF103" i="6" s="1"/>
  <c r="Z104" i="6"/>
  <c r="P105" i="6"/>
  <c r="AO105" i="6"/>
  <c r="AQ106" i="6"/>
  <c r="I107" i="6"/>
  <c r="H107" i="6"/>
  <c r="BV107" i="6"/>
  <c r="AA108" i="6"/>
  <c r="S109" i="6"/>
  <c r="AY109" i="6"/>
  <c r="BB109" i="6" s="1"/>
  <c r="BE109" i="6" s="1"/>
  <c r="AG111" i="6"/>
  <c r="BM111" i="6"/>
  <c r="BV111" i="6"/>
  <c r="S112" i="6"/>
  <c r="BC112" i="6"/>
  <c r="BF112" i="6" s="1"/>
  <c r="AG113" i="6"/>
  <c r="BM113" i="6"/>
  <c r="BV113" i="6"/>
  <c r="I114" i="6"/>
  <c r="H114" i="6"/>
  <c r="G114" i="6"/>
  <c r="AD114" i="6"/>
  <c r="AK114" i="6" s="1"/>
  <c r="BD114" i="6"/>
  <c r="BG114" i="6" s="1"/>
  <c r="AY114" i="6"/>
  <c r="BB114" i="6" s="1"/>
  <c r="BE114" i="6" s="1"/>
  <c r="AL115" i="6"/>
  <c r="Z116" i="6"/>
  <c r="AQ117" i="6"/>
  <c r="BQ118" i="6"/>
  <c r="BT118" i="6" s="1"/>
  <c r="AM120" i="6"/>
  <c r="Z121" i="6"/>
  <c r="L122" i="6"/>
  <c r="K122" i="6"/>
  <c r="E123" i="6"/>
  <c r="D123" i="6"/>
  <c r="W126" i="6"/>
  <c r="S127" i="6"/>
  <c r="AI128" i="6"/>
  <c r="T128" i="6"/>
  <c r="AM128" i="6"/>
  <c r="E129" i="6"/>
  <c r="D129" i="6"/>
  <c r="C129" i="6"/>
  <c r="P129" i="6"/>
  <c r="AA129" i="6"/>
  <c r="AY129" i="6"/>
  <c r="BB129" i="6" s="1"/>
  <c r="BE129" i="6" s="1"/>
  <c r="AH130" i="6"/>
  <c r="BV130" i="6"/>
  <c r="AI138" i="6"/>
  <c r="T138" i="6"/>
  <c r="S139" i="6"/>
  <c r="BU139" i="6"/>
  <c r="AD140" i="6"/>
  <c r="AK140" i="6" s="1"/>
  <c r="AI142" i="6"/>
  <c r="S146" i="6"/>
  <c r="AM146" i="6"/>
  <c r="T2" i="7"/>
  <c r="AZ66" i="7"/>
  <c r="DD333" i="7" s="1"/>
  <c r="BV2" i="7"/>
  <c r="E3" i="7"/>
  <c r="H3" i="7"/>
  <c r="AM3" i="7"/>
  <c r="BT3" i="7"/>
  <c r="T4" i="7"/>
  <c r="AO5" i="7"/>
  <c r="AN5" i="7"/>
  <c r="W6" i="7"/>
  <c r="BX6" i="7"/>
  <c r="AD7" i="7"/>
  <c r="AK7" i="7" s="1"/>
  <c r="BV7" i="7"/>
  <c r="BQ7" i="7"/>
  <c r="BT7" i="7" s="1"/>
  <c r="T8" i="7"/>
  <c r="S8" i="7"/>
  <c r="AL8" i="7"/>
  <c r="AM9" i="7"/>
  <c r="BU9" i="7"/>
  <c r="AG10" i="7"/>
  <c r="W11" i="7"/>
  <c r="AH11" i="7"/>
  <c r="AM13" i="7"/>
  <c r="BC13" i="7"/>
  <c r="BF13" i="7" s="1"/>
  <c r="BM13" i="7"/>
  <c r="BC15" i="7"/>
  <c r="BF15" i="7" s="1"/>
  <c r="BD15" i="7"/>
  <c r="AU17" i="7"/>
  <c r="BB17" i="7" s="1"/>
  <c r="BE17" i="7" s="1"/>
  <c r="BD17" i="7"/>
  <c r="BG17" i="7" s="1"/>
  <c r="BI18" i="7"/>
  <c r="AD19" i="7"/>
  <c r="AK19" i="7" s="1"/>
  <c r="BB19" i="7"/>
  <c r="E20" i="7"/>
  <c r="D20" i="7"/>
  <c r="C20" i="7"/>
  <c r="P20" i="7"/>
  <c r="AA20" i="7"/>
  <c r="S21" i="7"/>
  <c r="Z24" i="7"/>
  <c r="AL24" i="7"/>
  <c r="BV24" i="7"/>
  <c r="AH25" i="7"/>
  <c r="AG25" i="7"/>
  <c r="AM27" i="7"/>
  <c r="E28" i="7"/>
  <c r="D28" i="7"/>
  <c r="C28" i="7"/>
  <c r="I28" i="7"/>
  <c r="BB28" i="7"/>
  <c r="BD30" i="7"/>
  <c r="BG30" i="7" s="1"/>
  <c r="T31" i="7"/>
  <c r="AL33" i="7"/>
  <c r="AO34" i="7"/>
  <c r="BI34" i="7"/>
  <c r="AU35" i="7"/>
  <c r="AL37" i="7"/>
  <c r="P38" i="7"/>
  <c r="T38" i="7"/>
  <c r="S38" i="7"/>
  <c r="H39" i="7"/>
  <c r="E39" i="7"/>
  <c r="D39" i="7"/>
  <c r="C39" i="7"/>
  <c r="I39" i="7"/>
  <c r="AG39" i="7"/>
  <c r="AI40" i="7"/>
  <c r="AH40" i="7"/>
  <c r="AG40" i="7"/>
  <c r="AH43" i="7"/>
  <c r="BM47" i="7"/>
  <c r="BV47" i="7"/>
  <c r="BB50" i="7"/>
  <c r="BE50" i="7" s="1"/>
  <c r="AO53" i="7"/>
  <c r="AN53" i="7"/>
  <c r="AN54" i="7"/>
  <c r="AO54" i="7"/>
  <c r="BE54" i="7"/>
  <c r="BB61" i="7"/>
  <c r="AK63" i="7"/>
  <c r="AI65" i="7"/>
  <c r="AI76" i="7"/>
  <c r="AN89" i="7"/>
  <c r="AO89" i="7"/>
  <c r="BB102" i="7"/>
  <c r="BE102" i="7" s="1"/>
  <c r="AK110" i="7"/>
  <c r="AK75" i="6"/>
  <c r="AN77" i="6"/>
  <c r="AO77" i="6"/>
  <c r="I79" i="6"/>
  <c r="H79" i="6"/>
  <c r="T81" i="6"/>
  <c r="S81" i="6"/>
  <c r="BD83" i="6"/>
  <c r="BG83" i="6" s="1"/>
  <c r="AY83" i="6"/>
  <c r="BB83" i="6" s="1"/>
  <c r="BE83" i="6" s="1"/>
  <c r="AD84" i="6"/>
  <c r="AK84" i="6" s="1"/>
  <c r="AM84" i="6"/>
  <c r="BG84" i="6" s="1"/>
  <c r="E93" i="6"/>
  <c r="D93" i="6"/>
  <c r="C93" i="6"/>
  <c r="BM95" i="6"/>
  <c r="BV95" i="6"/>
  <c r="I96" i="6"/>
  <c r="H96" i="6"/>
  <c r="G96" i="6"/>
  <c r="AH98" i="6"/>
  <c r="AG98" i="6"/>
  <c r="AU100" i="6"/>
  <c r="BD100" i="6"/>
  <c r="E104" i="6"/>
  <c r="D104" i="6"/>
  <c r="C104" i="6"/>
  <c r="BG111" i="6"/>
  <c r="I115" i="6"/>
  <c r="H115" i="6"/>
  <c r="E116" i="6"/>
  <c r="D116" i="6"/>
  <c r="C116" i="6"/>
  <c r="AA119" i="6"/>
  <c r="Z119" i="6"/>
  <c r="AH119" i="6"/>
  <c r="AG119" i="6"/>
  <c r="AU123" i="6"/>
  <c r="BD123" i="6"/>
  <c r="BG123" i="6" s="1"/>
  <c r="BD124" i="6"/>
  <c r="BG124" i="6" s="1"/>
  <c r="AY124" i="6"/>
  <c r="BB124" i="6" s="1"/>
  <c r="BE124" i="6" s="1"/>
  <c r="AL125" i="6"/>
  <c r="BF125" i="6" s="1"/>
  <c r="BD127" i="6"/>
  <c r="BG127" i="6" s="1"/>
  <c r="BF129" i="6"/>
  <c r="S143" i="6"/>
  <c r="AI143" i="6"/>
  <c r="AI144" i="6"/>
  <c r="AO144" i="6" s="1"/>
  <c r="S144" i="6"/>
  <c r="E146" i="6"/>
  <c r="D146" i="6"/>
  <c r="AM149" i="6"/>
  <c r="BC2" i="7"/>
  <c r="BF2" i="7" s="1"/>
  <c r="AR66" i="7"/>
  <c r="DD186" i="7"/>
  <c r="AH5" i="7"/>
  <c r="AG5" i="7"/>
  <c r="BF10" i="7"/>
  <c r="BM15" i="7"/>
  <c r="BV15" i="7"/>
  <c r="BD16" i="7"/>
  <c r="BG16" i="7" s="1"/>
  <c r="AY16" i="7"/>
  <c r="AI17" i="7"/>
  <c r="T17" i="7"/>
  <c r="E22" i="7"/>
  <c r="H22" i="7"/>
  <c r="AN22" i="7"/>
  <c r="AO22" i="7"/>
  <c r="AO24" i="7"/>
  <c r="AN24" i="7"/>
  <c r="BV27" i="7"/>
  <c r="BC29" i="7"/>
  <c r="BF29" i="7" s="1"/>
  <c r="AQ29" i="7"/>
  <c r="BU31" i="7"/>
  <c r="BQ31" i="7"/>
  <c r="BT31" i="7" s="1"/>
  <c r="AO32" i="7"/>
  <c r="AN32" i="7"/>
  <c r="AI33" i="7"/>
  <c r="T33" i="7"/>
  <c r="W37" i="7"/>
  <c r="AA37" i="7"/>
  <c r="AI41" i="7"/>
  <c r="T41" i="7"/>
  <c r="P46" i="7"/>
  <c r="T46" i="7"/>
  <c r="S46" i="7"/>
  <c r="AK46" i="7"/>
  <c r="BB53" i="7"/>
  <c r="T55" i="7"/>
  <c r="AI55" i="7"/>
  <c r="S55" i="7"/>
  <c r="BE60" i="7"/>
  <c r="Z95" i="7"/>
  <c r="AA95" i="7"/>
  <c r="AU33" i="6"/>
  <c r="BB33" i="6" s="1"/>
  <c r="BE33" i="6" s="1"/>
  <c r="P34" i="6"/>
  <c r="AY35" i="6"/>
  <c r="BB35" i="6" s="1"/>
  <c r="AM36" i="6"/>
  <c r="AU36" i="6"/>
  <c r="BB36" i="6" s="1"/>
  <c r="BE36" i="6" s="1"/>
  <c r="P37" i="6"/>
  <c r="W39" i="6"/>
  <c r="AK39" i="6" s="1"/>
  <c r="AM39" i="6"/>
  <c r="BG39" i="6" s="1"/>
  <c r="AU39" i="6"/>
  <c r="BB39" i="6" s="1"/>
  <c r="AY40" i="6"/>
  <c r="BB40" i="6" s="1"/>
  <c r="AD41" i="6"/>
  <c r="AK41" i="6" s="1"/>
  <c r="P42" i="6"/>
  <c r="BM42" i="6"/>
  <c r="BT42" i="6" s="1"/>
  <c r="BQ43" i="6"/>
  <c r="BT43" i="6" s="1"/>
  <c r="W44" i="6"/>
  <c r="AK44" i="6" s="1"/>
  <c r="BE44" i="6" s="1"/>
  <c r="W46" i="6"/>
  <c r="AK46" i="6" s="1"/>
  <c r="BC49" i="6"/>
  <c r="BU49" i="6"/>
  <c r="AU50" i="6"/>
  <c r="AL52" i="6"/>
  <c r="AY52" i="6"/>
  <c r="BB52" i="6" s="1"/>
  <c r="AY53" i="6"/>
  <c r="L54" i="6"/>
  <c r="K54" i="6"/>
  <c r="BC55" i="6"/>
  <c r="E56" i="6"/>
  <c r="D56" i="6"/>
  <c r="BQ58" i="6"/>
  <c r="BT58" i="6" s="1"/>
  <c r="W61" i="6"/>
  <c r="BT61" i="6"/>
  <c r="AH66" i="6"/>
  <c r="AG66" i="6"/>
  <c r="AU66" i="6"/>
  <c r="BT66" i="6"/>
  <c r="AM67" i="6"/>
  <c r="AY67" i="6"/>
  <c r="BB67" i="6" s="1"/>
  <c r="BE67" i="6" s="1"/>
  <c r="AN68" i="6"/>
  <c r="AO68" i="6"/>
  <c r="AO69" i="6"/>
  <c r="AN69" i="6"/>
  <c r="AQ71" i="6"/>
  <c r="BV71" i="6"/>
  <c r="BQ71" i="6"/>
  <c r="BT71" i="6" s="1"/>
  <c r="BV72" i="6"/>
  <c r="S76" i="6"/>
  <c r="C77" i="6"/>
  <c r="BI77" i="6"/>
  <c r="BT77" i="6" s="1"/>
  <c r="BM78" i="6"/>
  <c r="G79" i="6"/>
  <c r="AD79" i="6"/>
  <c r="AK79" i="6" s="1"/>
  <c r="AD80" i="6"/>
  <c r="AK80" i="6" s="1"/>
  <c r="BV80" i="6"/>
  <c r="BM80" i="6"/>
  <c r="BT80" i="6" s="1"/>
  <c r="Z82" i="6"/>
  <c r="BD82" i="6"/>
  <c r="AY82" i="6"/>
  <c r="BB82" i="6" s="1"/>
  <c r="BE82" i="6" s="1"/>
  <c r="K83" i="6"/>
  <c r="AQ83" i="6"/>
  <c r="AG84" i="6"/>
  <c r="C85" i="6"/>
  <c r="BU85" i="6"/>
  <c r="BC87" i="6"/>
  <c r="BF87" i="6" s="1"/>
  <c r="AD88" i="6"/>
  <c r="AK88" i="6" s="1"/>
  <c r="Z89" i="6"/>
  <c r="AG92" i="6"/>
  <c r="AU93" i="6"/>
  <c r="AI95" i="6"/>
  <c r="AG96" i="6"/>
  <c r="BD97" i="6"/>
  <c r="BG97" i="6" s="1"/>
  <c r="BM97" i="6"/>
  <c r="BV97" i="6"/>
  <c r="I98" i="6"/>
  <c r="H98" i="6"/>
  <c r="G98" i="6"/>
  <c r="AD98" i="6"/>
  <c r="AK98" i="6" s="1"/>
  <c r="BD98" i="6"/>
  <c r="BG98" i="6" s="1"/>
  <c r="AY98" i="6"/>
  <c r="BB98" i="6" s="1"/>
  <c r="BE98" i="6" s="1"/>
  <c r="AL99" i="6"/>
  <c r="BF99" i="6" s="1"/>
  <c r="P100" i="6"/>
  <c r="BT100" i="6"/>
  <c r="BD101" i="6"/>
  <c r="BG101" i="6" s="1"/>
  <c r="BM101" i="6"/>
  <c r="BV101" i="6"/>
  <c r="I102" i="6"/>
  <c r="H102" i="6"/>
  <c r="G102" i="6"/>
  <c r="AG103" i="6"/>
  <c r="AU104" i="6"/>
  <c r="BC105" i="6"/>
  <c r="BQ106" i="6"/>
  <c r="BT106" i="6" s="1"/>
  <c r="C110" i="6"/>
  <c r="BU110" i="6"/>
  <c r="BM112" i="6"/>
  <c r="BF114" i="6"/>
  <c r="G115" i="6"/>
  <c r="AG115" i="6"/>
  <c r="AU116" i="6"/>
  <c r="BC119" i="6"/>
  <c r="BF119" i="6" s="1"/>
  <c r="BX119" i="6"/>
  <c r="G120" i="6"/>
  <c r="AD120" i="6"/>
  <c r="AK120" i="6" s="1"/>
  <c r="BV120" i="6"/>
  <c r="BQ120" i="6"/>
  <c r="BT120" i="6" s="1"/>
  <c r="T121" i="6"/>
  <c r="S121" i="6"/>
  <c r="AL121" i="6"/>
  <c r="Z122" i="6"/>
  <c r="P123" i="6"/>
  <c r="AQ124" i="6"/>
  <c r="I125" i="6"/>
  <c r="H125" i="6"/>
  <c r="AD125" i="6"/>
  <c r="AK125" i="6" s="1"/>
  <c r="BU125" i="6"/>
  <c r="E126" i="6"/>
  <c r="D126" i="6"/>
  <c r="C126" i="6"/>
  <c r="P126" i="6"/>
  <c r="AY126" i="6"/>
  <c r="BB126" i="6" s="1"/>
  <c r="K127" i="6"/>
  <c r="AD128" i="6"/>
  <c r="AK128" i="6" s="1"/>
  <c r="C130" i="6"/>
  <c r="AD138" i="6"/>
  <c r="AK138" i="6" s="1"/>
  <c r="AH139" i="6"/>
  <c r="AG139" i="6"/>
  <c r="AM141" i="6"/>
  <c r="P142" i="6"/>
  <c r="C146" i="6"/>
  <c r="AH148" i="6"/>
  <c r="AG148" i="6"/>
  <c r="S149" i="6"/>
  <c r="AS66" i="7"/>
  <c r="DB186" i="7" s="1"/>
  <c r="BN66" i="7"/>
  <c r="DF333" i="7" s="1"/>
  <c r="K4" i="7"/>
  <c r="BM4" i="7"/>
  <c r="BV4" i="7"/>
  <c r="BZ66" i="7"/>
  <c r="BD5" i="7"/>
  <c r="BG5" i="7" s="1"/>
  <c r="AY5" i="7"/>
  <c r="BB5" i="7" s="1"/>
  <c r="BE5" i="7" s="1"/>
  <c r="BQ6" i="7"/>
  <c r="BT6" i="7" s="1"/>
  <c r="AG8" i="7"/>
  <c r="S9" i="7"/>
  <c r="AA10" i="7"/>
  <c r="Z10" i="7"/>
  <c r="AU10" i="7"/>
  <c r="AI11" i="7"/>
  <c r="AM11" i="7"/>
  <c r="AD12" i="7"/>
  <c r="AK12" i="7" s="1"/>
  <c r="BE12" i="7" s="1"/>
  <c r="AM12" i="7"/>
  <c r="K13" i="7"/>
  <c r="AL13" i="7"/>
  <c r="AY14" i="7"/>
  <c r="BB14" i="7" s="1"/>
  <c r="H15" i="7"/>
  <c r="I15" i="7"/>
  <c r="AI15" i="7"/>
  <c r="AQ16" i="7"/>
  <c r="BU17" i="7"/>
  <c r="AG18" i="7"/>
  <c r="W19" i="7"/>
  <c r="BC21" i="7"/>
  <c r="BF21" i="7" s="1"/>
  <c r="C22" i="7"/>
  <c r="BC23" i="7"/>
  <c r="BF23" i="7" s="1"/>
  <c r="BD23" i="7"/>
  <c r="AD28" i="7"/>
  <c r="AK28" i="7" s="1"/>
  <c r="AH28" i="7"/>
  <c r="AM28" i="7"/>
  <c r="BM28" i="7"/>
  <c r="S29" i="7"/>
  <c r="P29" i="7"/>
  <c r="AI31" i="7"/>
  <c r="E36" i="7"/>
  <c r="D36" i="7"/>
  <c r="C36" i="7"/>
  <c r="I36" i="7"/>
  <c r="BB36" i="7"/>
  <c r="Z37" i="7"/>
  <c r="AO43" i="7"/>
  <c r="AN43" i="7"/>
  <c r="AU45" i="7"/>
  <c r="BD45" i="7"/>
  <c r="BG45" i="7" s="1"/>
  <c r="AA57" i="7"/>
  <c r="Z57" i="7"/>
  <c r="BF61" i="7"/>
  <c r="AD33" i="6"/>
  <c r="AK33" i="6" s="1"/>
  <c r="AY34" i="6"/>
  <c r="BB34" i="6" s="1"/>
  <c r="BE34" i="6" s="1"/>
  <c r="BM37" i="6"/>
  <c r="BQ38" i="6"/>
  <c r="BT38" i="6" s="1"/>
  <c r="AM41" i="6"/>
  <c r="AU41" i="6"/>
  <c r="AD43" i="6"/>
  <c r="AK43" i="6" s="1"/>
  <c r="BM44" i="6"/>
  <c r="BQ45" i="6"/>
  <c r="BT45" i="6" s="1"/>
  <c r="BM46" i="6"/>
  <c r="BQ47" i="6"/>
  <c r="BT47" i="6" s="1"/>
  <c r="AA51" i="6"/>
  <c r="Z51" i="6"/>
  <c r="BC52" i="6"/>
  <c r="BV54" i="6"/>
  <c r="E60" i="6"/>
  <c r="D60" i="6"/>
  <c r="AI61" i="6"/>
  <c r="E64" i="6"/>
  <c r="D64" i="6"/>
  <c r="AI64" i="6"/>
  <c r="T67" i="6"/>
  <c r="S67" i="6"/>
  <c r="AI67" i="6"/>
  <c r="E68" i="6"/>
  <c r="D68" i="6"/>
  <c r="AH69" i="6"/>
  <c r="AG69" i="6"/>
  <c r="AA74" i="6"/>
  <c r="Z74" i="6"/>
  <c r="AH74" i="6"/>
  <c r="AG74" i="6"/>
  <c r="BV76" i="6"/>
  <c r="BQ76" i="6"/>
  <c r="BT76" i="6" s="1"/>
  <c r="D77" i="6"/>
  <c r="AI77" i="6"/>
  <c r="AA82" i="6"/>
  <c r="AH84" i="6"/>
  <c r="D85" i="6"/>
  <c r="AM86" i="6"/>
  <c r="BI88" i="6"/>
  <c r="E89" i="6"/>
  <c r="D89" i="6"/>
  <c r="C89" i="6"/>
  <c r="AA89" i="6"/>
  <c r="AH92" i="6"/>
  <c r="BG92" i="6"/>
  <c r="BM94" i="6"/>
  <c r="BF96" i="6"/>
  <c r="I99" i="6"/>
  <c r="H99" i="6"/>
  <c r="AY100" i="6"/>
  <c r="AH103" i="6"/>
  <c r="BG103" i="6"/>
  <c r="BU106" i="6"/>
  <c r="AA107" i="6"/>
  <c r="Z107" i="6"/>
  <c r="AH107" i="6"/>
  <c r="AG107" i="6"/>
  <c r="T108" i="6"/>
  <c r="S108" i="6"/>
  <c r="D110" i="6"/>
  <c r="BV110" i="6"/>
  <c r="AM111" i="6"/>
  <c r="BU113" i="6"/>
  <c r="BQ114" i="6"/>
  <c r="BT114" i="6" s="1"/>
  <c r="AH115" i="6"/>
  <c r="BG115" i="6"/>
  <c r="AO118" i="6"/>
  <c r="AN118" i="6"/>
  <c r="BD119" i="6"/>
  <c r="BG119" i="6" s="1"/>
  <c r="H120" i="6"/>
  <c r="BI120" i="6"/>
  <c r="E122" i="6"/>
  <c r="D122" i="6"/>
  <c r="C122" i="6"/>
  <c r="AA122" i="6"/>
  <c r="AY123" i="6"/>
  <c r="BB123" i="6" s="1"/>
  <c r="BE123" i="6" s="1"/>
  <c r="BV125" i="6"/>
  <c r="BV127" i="6"/>
  <c r="AL129" i="6"/>
  <c r="BV129" i="6"/>
  <c r="BQ129" i="6"/>
  <c r="BT129" i="6" s="1"/>
  <c r="D130" i="6"/>
  <c r="BF139" i="6"/>
  <c r="AL143" i="6"/>
  <c r="T149" i="6"/>
  <c r="AE560" i="15"/>
  <c r="AE552" i="15"/>
  <c r="AE544" i="15"/>
  <c r="AE536" i="15"/>
  <c r="AE528" i="15"/>
  <c r="AE520" i="15"/>
  <c r="AE512" i="15"/>
  <c r="AE564" i="15"/>
  <c r="AE511" i="15"/>
  <c r="AE510" i="15"/>
  <c r="AE509" i="15"/>
  <c r="AE508" i="15"/>
  <c r="AE507" i="15"/>
  <c r="AE506" i="15"/>
  <c r="AE565" i="15"/>
  <c r="AE566" i="15"/>
  <c r="AE527" i="15"/>
  <c r="AE526" i="15"/>
  <c r="AE525" i="15"/>
  <c r="AE524" i="15"/>
  <c r="AE523" i="15"/>
  <c r="AE522" i="15"/>
  <c r="AE521" i="15"/>
  <c r="AE433" i="15"/>
  <c r="AE429" i="15"/>
  <c r="AE425" i="15"/>
  <c r="AE421" i="15"/>
  <c r="AE417" i="15"/>
  <c r="AE413" i="15"/>
  <c r="AE563" i="15"/>
  <c r="AE562" i="15"/>
  <c r="AE557" i="15"/>
  <c r="AE532" i="15"/>
  <c r="AE442" i="15"/>
  <c r="AE437" i="15"/>
  <c r="AE436" i="15"/>
  <c r="AE426" i="15"/>
  <c r="AE568" i="15"/>
  <c r="AE547" i="15"/>
  <c r="AE540" i="15"/>
  <c r="AE517" i="15"/>
  <c r="AE513" i="15"/>
  <c r="AE438" i="15"/>
  <c r="AE435" i="15"/>
  <c r="AE424" i="15"/>
  <c r="AE414" i="15"/>
  <c r="AE407" i="15"/>
  <c r="AE403" i="15"/>
  <c r="AE399" i="15"/>
  <c r="AE395" i="15"/>
  <c r="AE391" i="15"/>
  <c r="AE387" i="15"/>
  <c r="AE383" i="15"/>
  <c r="AE379" i="15"/>
  <c r="AE375" i="15"/>
  <c r="AE371" i="15"/>
  <c r="AE569" i="15"/>
  <c r="AE531" i="15"/>
  <c r="AE529" i="15"/>
  <c r="AE440" i="15"/>
  <c r="AE400" i="15"/>
  <c r="AE558" i="15"/>
  <c r="AE556" i="15"/>
  <c r="AE554" i="15"/>
  <c r="AE538" i="15"/>
  <c r="AE518" i="15"/>
  <c r="AE427" i="15"/>
  <c r="AE412" i="15"/>
  <c r="AE411" i="15"/>
  <c r="AE410" i="15"/>
  <c r="AE409" i="15"/>
  <c r="AE398" i="15"/>
  <c r="AE388" i="15"/>
  <c r="AE377" i="15"/>
  <c r="AE367" i="15"/>
  <c r="AE363" i="15"/>
  <c r="AE359" i="15"/>
  <c r="AE355" i="15"/>
  <c r="AE351" i="15"/>
  <c r="AE347" i="15"/>
  <c r="AE343" i="15"/>
  <c r="AE545" i="15"/>
  <c r="AE534" i="15"/>
  <c r="AE443" i="15"/>
  <c r="AE434" i="15"/>
  <c r="AE428" i="15"/>
  <c r="AE408" i="15"/>
  <c r="AE397" i="15"/>
  <c r="AE386" i="15"/>
  <c r="AE376" i="15"/>
  <c r="AE561" i="15"/>
  <c r="AE542" i="15"/>
  <c r="AE515" i="15"/>
  <c r="AE432" i="15"/>
  <c r="AE549" i="15"/>
  <c r="AE541" i="15"/>
  <c r="AE516" i="15"/>
  <c r="AE415" i="15"/>
  <c r="AE402" i="15"/>
  <c r="AE396" i="15"/>
  <c r="AE392" i="15"/>
  <c r="AE381" i="15"/>
  <c r="AE370" i="15"/>
  <c r="AE357" i="15"/>
  <c r="AE346" i="15"/>
  <c r="AE338" i="15"/>
  <c r="AE269" i="15"/>
  <c r="AE261" i="15"/>
  <c r="AE253" i="15"/>
  <c r="AE245" i="15"/>
  <c r="AE237" i="15"/>
  <c r="AE229" i="15"/>
  <c r="AE567" i="15"/>
  <c r="AE553" i="15"/>
  <c r="AE530" i="15"/>
  <c r="AE441" i="15"/>
  <c r="AE419" i="15"/>
  <c r="AE406" i="15"/>
  <c r="AE393" i="15"/>
  <c r="AE382" i="15"/>
  <c r="AE362" i="15"/>
  <c r="AE361" i="15"/>
  <c r="AE360" i="15"/>
  <c r="AE356" i="15"/>
  <c r="AE345" i="15"/>
  <c r="AE280" i="15"/>
  <c r="AE274" i="15"/>
  <c r="AE266" i="15"/>
  <c r="AE258" i="15"/>
  <c r="AE250" i="15"/>
  <c r="AE242" i="15"/>
  <c r="AE537" i="15"/>
  <c r="AE519" i="15"/>
  <c r="AE430" i="15"/>
  <c r="AE423" i="15"/>
  <c r="AE354" i="15"/>
  <c r="AE344" i="15"/>
  <c r="AE279" i="15"/>
  <c r="AE271" i="15"/>
  <c r="AE263" i="15"/>
  <c r="AE255" i="15"/>
  <c r="AE247" i="15"/>
  <c r="AE239" i="15"/>
  <c r="AE548" i="15"/>
  <c r="AE533" i="15"/>
  <c r="AE555" i="15"/>
  <c r="AE539" i="15"/>
  <c r="AE559" i="15"/>
  <c r="AE550" i="15"/>
  <c r="AE546" i="15"/>
  <c r="AE535" i="15"/>
  <c r="AE431" i="15"/>
  <c r="AE405" i="15"/>
  <c r="AE380" i="15"/>
  <c r="AE369" i="15"/>
  <c r="AE358" i="15"/>
  <c r="AE348" i="15"/>
  <c r="AE275" i="15"/>
  <c r="AE272" i="15"/>
  <c r="AE264" i="15"/>
  <c r="AE256" i="15"/>
  <c r="AE416" i="15"/>
  <c r="AE389" i="15"/>
  <c r="AE384" i="15"/>
  <c r="AE277" i="15"/>
  <c r="AE265" i="15"/>
  <c r="AE224" i="15"/>
  <c r="AE216" i="15"/>
  <c r="AE208" i="15"/>
  <c r="AE200" i="15"/>
  <c r="AE192" i="15"/>
  <c r="AE184" i="15"/>
  <c r="AE176" i="15"/>
  <c r="AE103" i="15"/>
  <c r="AE95" i="15"/>
  <c r="AE439" i="15"/>
  <c r="AE420" i="15"/>
  <c r="AE374" i="15"/>
  <c r="AE340" i="15"/>
  <c r="AE262" i="15"/>
  <c r="AE241" i="15"/>
  <c r="AE240" i="15"/>
  <c r="AE238" i="15"/>
  <c r="AE232" i="15"/>
  <c r="AE227" i="15"/>
  <c r="AE221" i="15"/>
  <c r="AE213" i="15"/>
  <c r="AE205" i="15"/>
  <c r="AE197" i="15"/>
  <c r="AE189" i="15"/>
  <c r="AE181" i="15"/>
  <c r="AE173" i="15"/>
  <c r="AE349" i="15"/>
  <c r="AE259" i="15"/>
  <c r="AE249" i="15"/>
  <c r="AE248" i="15"/>
  <c r="AE236" i="15"/>
  <c r="AE231" i="15"/>
  <c r="AE226" i="15"/>
  <c r="AE218" i="15"/>
  <c r="AE210" i="15"/>
  <c r="AE202" i="15"/>
  <c r="AE194" i="15"/>
  <c r="AE186" i="15"/>
  <c r="AE178" i="15"/>
  <c r="AE551" i="15"/>
  <c r="AE378" i="15"/>
  <c r="AE373" i="15"/>
  <c r="AE418" i="15"/>
  <c r="AE404" i="15"/>
  <c r="AE390" i="15"/>
  <c r="AE385" i="15"/>
  <c r="AE543" i="15"/>
  <c r="AE514" i="15"/>
  <c r="AE422" i="15"/>
  <c r="AE401" i="15"/>
  <c r="AE368" i="15"/>
  <c r="AE339" i="15"/>
  <c r="AE267" i="15"/>
  <c r="AE251" i="15"/>
  <c r="AE222" i="15"/>
  <c r="AE214" i="15"/>
  <c r="AE206" i="15"/>
  <c r="AE198" i="15"/>
  <c r="AE190" i="15"/>
  <c r="AE182" i="15"/>
  <c r="AE394" i="15"/>
  <c r="AE372" i="15"/>
  <c r="AE353" i="15"/>
  <c r="AE342" i="15"/>
  <c r="AE252" i="15"/>
  <c r="AE233" i="15"/>
  <c r="AE228" i="15"/>
  <c r="AE219" i="15"/>
  <c r="AE203" i="15"/>
  <c r="AE187" i="15"/>
  <c r="AE106" i="15"/>
  <c r="AE89" i="15"/>
  <c r="AE81" i="15"/>
  <c r="AE73" i="15"/>
  <c r="AE65" i="15"/>
  <c r="AE57" i="15"/>
  <c r="AE49" i="15"/>
  <c r="AE41" i="15"/>
  <c r="AE33" i="15"/>
  <c r="AE25" i="15"/>
  <c r="AE17" i="15"/>
  <c r="AE9" i="15"/>
  <c r="AE366" i="15"/>
  <c r="AE278" i="15"/>
  <c r="AE260" i="15"/>
  <c r="AE223" i="15"/>
  <c r="AE207" i="15"/>
  <c r="AE191" i="15"/>
  <c r="AE175" i="15"/>
  <c r="AE174" i="15"/>
  <c r="AE107" i="15"/>
  <c r="AE99" i="15"/>
  <c r="AE94" i="15"/>
  <c r="AE86" i="15"/>
  <c r="AE78" i="15"/>
  <c r="AE70" i="15"/>
  <c r="AE62" i="15"/>
  <c r="AE54" i="15"/>
  <c r="AE46" i="15"/>
  <c r="AE38" i="15"/>
  <c r="AE30" i="15"/>
  <c r="AE22" i="15"/>
  <c r="AE14" i="15"/>
  <c r="AE6" i="15"/>
  <c r="AE352" i="15"/>
  <c r="AE341" i="15"/>
  <c r="AE257" i="15"/>
  <c r="AE244" i="15"/>
  <c r="AE220" i="15"/>
  <c r="AE204" i="15"/>
  <c r="AE188" i="15"/>
  <c r="AE91" i="15"/>
  <c r="AE83" i="15"/>
  <c r="AE75" i="15"/>
  <c r="AE67" i="15"/>
  <c r="AE59" i="15"/>
  <c r="AE51" i="15"/>
  <c r="AE43" i="15"/>
  <c r="AE35" i="15"/>
  <c r="AE27" i="15"/>
  <c r="AE19" i="15"/>
  <c r="AE11" i="15"/>
  <c r="AE3" i="15"/>
  <c r="AE365" i="15"/>
  <c r="AE254" i="15"/>
  <c r="AE234" i="15"/>
  <c r="AE217" i="15"/>
  <c r="AE201" i="15"/>
  <c r="AE185" i="15"/>
  <c r="AE98" i="15"/>
  <c r="AE88" i="15"/>
  <c r="AE80" i="15"/>
  <c r="AE72" i="15"/>
  <c r="AE64" i="15"/>
  <c r="AE56" i="15"/>
  <c r="AE364" i="15"/>
  <c r="AE268" i="15"/>
  <c r="AE246" i="15"/>
  <c r="AE211" i="15"/>
  <c r="AE195" i="15"/>
  <c r="AE179" i="15"/>
  <c r="AE97" i="15"/>
  <c r="AE93" i="15"/>
  <c r="AE85" i="15"/>
  <c r="AE77" i="15"/>
  <c r="AE69" i="15"/>
  <c r="AE61" i="15"/>
  <c r="AE53" i="15"/>
  <c r="AE215" i="15"/>
  <c r="AE199" i="15"/>
  <c r="AE183" i="15"/>
  <c r="AE90" i="15"/>
  <c r="AE82" i="15"/>
  <c r="AE74" i="15"/>
  <c r="AE66" i="15"/>
  <c r="AE58" i="15"/>
  <c r="AE50" i="15"/>
  <c r="AE273" i="15"/>
  <c r="AE243" i="15"/>
  <c r="AE235" i="15"/>
  <c r="AE230" i="15"/>
  <c r="AE212" i="15"/>
  <c r="AE196" i="15"/>
  <c r="AE180" i="15"/>
  <c r="AE102" i="15"/>
  <c r="AE96" i="15"/>
  <c r="AE87" i="15"/>
  <c r="AE79" i="15"/>
  <c r="AE71" i="15"/>
  <c r="AE63" i="15"/>
  <c r="AE55" i="15"/>
  <c r="AE47" i="15"/>
  <c r="AE350" i="15"/>
  <c r="AE276" i="15"/>
  <c r="AE270" i="15"/>
  <c r="AE225" i="15"/>
  <c r="AE209" i="15"/>
  <c r="AE193" i="15"/>
  <c r="AE177" i="15"/>
  <c r="AE105" i="15"/>
  <c r="AE104" i="15"/>
  <c r="AE101" i="15"/>
  <c r="AE100" i="15"/>
  <c r="AE92" i="15"/>
  <c r="AE84" i="15"/>
  <c r="AE76" i="15"/>
  <c r="AE68" i="15"/>
  <c r="AE60" i="15"/>
  <c r="AE52" i="15"/>
  <c r="AE44" i="15"/>
  <c r="AE36" i="15"/>
  <c r="AE28" i="15"/>
  <c r="AE20" i="15"/>
  <c r="AE12" i="15"/>
  <c r="AE4" i="15"/>
  <c r="AE31" i="15"/>
  <c r="AE15" i="15"/>
  <c r="AE32" i="15"/>
  <c r="AE16" i="15"/>
  <c r="AE48" i="15"/>
  <c r="AE45" i="15"/>
  <c r="AE29" i="15"/>
  <c r="AE13" i="15"/>
  <c r="AE42" i="15"/>
  <c r="AE26" i="15"/>
  <c r="AE10" i="15"/>
  <c r="AE39" i="15"/>
  <c r="AE23" i="15"/>
  <c r="AE7" i="15"/>
  <c r="AE40" i="15"/>
  <c r="AE24" i="15"/>
  <c r="AE8" i="15"/>
  <c r="AE37" i="15"/>
  <c r="AE21" i="15"/>
  <c r="AE5" i="15"/>
  <c r="AE34" i="15"/>
  <c r="AE18" i="15"/>
  <c r="AE2" i="15"/>
  <c r="AT66" i="7"/>
  <c r="H4" i="7"/>
  <c r="I4" i="7"/>
  <c r="AI4" i="7"/>
  <c r="AE66" i="7"/>
  <c r="DA333" i="7" s="1"/>
  <c r="BU6" i="7"/>
  <c r="AH8" i="7"/>
  <c r="L12" i="7"/>
  <c r="K12" i="7"/>
  <c r="E13" i="7"/>
  <c r="D13" i="7"/>
  <c r="AI13" i="7"/>
  <c r="AQ14" i="7"/>
  <c r="BQ15" i="7"/>
  <c r="BT15" i="7" s="1"/>
  <c r="BV17" i="7"/>
  <c r="BF18" i="7"/>
  <c r="AL20" i="7"/>
  <c r="BF20" i="7" s="1"/>
  <c r="BB20" i="7"/>
  <c r="D22" i="7"/>
  <c r="AG23" i="7"/>
  <c r="BM23" i="7"/>
  <c r="BT23" i="7" s="1"/>
  <c r="BV23" i="7"/>
  <c r="BD24" i="7"/>
  <c r="BG24" i="7" s="1"/>
  <c r="AY24" i="7"/>
  <c r="BB24" i="7" s="1"/>
  <c r="BE24" i="7" s="1"/>
  <c r="AI25" i="7"/>
  <c r="T25" i="7"/>
  <c r="BQ25" i="7"/>
  <c r="BT25" i="7" s="1"/>
  <c r="BB27" i="7"/>
  <c r="BE27" i="7" s="1"/>
  <c r="BU27" i="7"/>
  <c r="BM27" i="7"/>
  <c r="BT27" i="7" s="1"/>
  <c r="AN30" i="7"/>
  <c r="AO30" i="7"/>
  <c r="AI32" i="7"/>
  <c r="S32" i="7"/>
  <c r="BD32" i="7"/>
  <c r="BG32" i="7" s="1"/>
  <c r="AY32" i="7"/>
  <c r="BB32" i="7" s="1"/>
  <c r="BV35" i="7"/>
  <c r="BC37" i="7"/>
  <c r="BF37" i="7" s="1"/>
  <c r="AQ37" i="7"/>
  <c r="AN38" i="7"/>
  <c r="AO38" i="7"/>
  <c r="L39" i="7"/>
  <c r="K39" i="7"/>
  <c r="AH41" i="7"/>
  <c r="BI42" i="7"/>
  <c r="AA44" i="7"/>
  <c r="H47" i="7"/>
  <c r="E47" i="7"/>
  <c r="D47" i="7"/>
  <c r="C47" i="7"/>
  <c r="I47" i="7"/>
  <c r="AA49" i="7"/>
  <c r="Z49" i="7"/>
  <c r="AH56" i="7"/>
  <c r="AG56" i="7"/>
  <c r="AA60" i="7"/>
  <c r="AA73" i="7"/>
  <c r="AI73" i="7"/>
  <c r="Z73" i="7"/>
  <c r="BB77" i="7"/>
  <c r="AA92" i="7"/>
  <c r="Z92" i="7"/>
  <c r="BE120" i="7"/>
  <c r="AH140" i="7"/>
  <c r="AG140" i="7"/>
  <c r="AM50" i="6"/>
  <c r="AD50" i="6"/>
  <c r="AK50" i="6" s="1"/>
  <c r="BB50" i="6"/>
  <c r="BT50" i="6"/>
  <c r="I55" i="6"/>
  <c r="H55" i="6"/>
  <c r="S56" i="6"/>
  <c r="BI56" i="6"/>
  <c r="BV56" i="6"/>
  <c r="T57" i="6"/>
  <c r="S57" i="6"/>
  <c r="AL57" i="6"/>
  <c r="BF57" i="6" s="1"/>
  <c r="BD57" i="6"/>
  <c r="BG57" i="6" s="1"/>
  <c r="C58" i="6"/>
  <c r="AA58" i="6"/>
  <c r="Z58" i="6"/>
  <c r="BV58" i="6"/>
  <c r="H59" i="6"/>
  <c r="S59" i="6"/>
  <c r="C60" i="6"/>
  <c r="BI60" i="6"/>
  <c r="BV60" i="6"/>
  <c r="BB61" i="6"/>
  <c r="AA62" i="6"/>
  <c r="Z62" i="6"/>
  <c r="BF62" i="6"/>
  <c r="S63" i="6"/>
  <c r="AL63" i="6"/>
  <c r="BF63" i="6" s="1"/>
  <c r="C64" i="6"/>
  <c r="Z64" i="6"/>
  <c r="BD64" i="6"/>
  <c r="AY64" i="6"/>
  <c r="BB64" i="6" s="1"/>
  <c r="AQ65" i="6"/>
  <c r="BD65" i="6"/>
  <c r="BD67" i="6"/>
  <c r="BG67" i="6" s="1"/>
  <c r="C68" i="6"/>
  <c r="AM71" i="6"/>
  <c r="S73" i="6"/>
  <c r="AG75" i="6"/>
  <c r="L76" i="6"/>
  <c r="K76" i="6"/>
  <c r="AD76" i="6"/>
  <c r="AM76" i="6"/>
  <c r="Z77" i="6"/>
  <c r="AH79" i="6"/>
  <c r="AG79" i="6"/>
  <c r="BT79" i="6"/>
  <c r="BU80" i="6"/>
  <c r="AG81" i="6"/>
  <c r="S82" i="6"/>
  <c r="BV82" i="6"/>
  <c r="BQ82" i="6"/>
  <c r="BT82" i="6" s="1"/>
  <c r="D83" i="6"/>
  <c r="Z84" i="6"/>
  <c r="AO85" i="6"/>
  <c r="AN85" i="6"/>
  <c r="T86" i="6"/>
  <c r="S86" i="6"/>
  <c r="AI86" i="6"/>
  <c r="Z86" i="6"/>
  <c r="AG87" i="6"/>
  <c r="BM87" i="6"/>
  <c r="BV87" i="6"/>
  <c r="I88" i="6"/>
  <c r="H88" i="6"/>
  <c r="G88" i="6"/>
  <c r="BV88" i="6"/>
  <c r="AU89" i="6"/>
  <c r="S90" i="6"/>
  <c r="C91" i="6"/>
  <c r="K91" i="6"/>
  <c r="AH91" i="6"/>
  <c r="AG91" i="6"/>
  <c r="S93" i="6"/>
  <c r="AL93" i="6"/>
  <c r="BF93" i="6" s="1"/>
  <c r="AG94" i="6"/>
  <c r="AA95" i="6"/>
  <c r="AA96" i="6"/>
  <c r="Z96" i="6"/>
  <c r="AH97" i="6"/>
  <c r="AH101" i="6"/>
  <c r="BT101" i="6"/>
  <c r="BF102" i="6"/>
  <c r="AG105" i="6"/>
  <c r="BF107" i="6"/>
  <c r="AD108" i="6"/>
  <c r="AK108" i="6" s="1"/>
  <c r="AM108" i="6"/>
  <c r="AO110" i="6"/>
  <c r="AN110" i="6"/>
  <c r="T111" i="6"/>
  <c r="S111" i="6"/>
  <c r="AI111" i="6"/>
  <c r="L112" i="6"/>
  <c r="K112" i="6"/>
  <c r="AN112" i="6"/>
  <c r="AO112" i="6"/>
  <c r="AH117" i="6"/>
  <c r="BV117" i="6"/>
  <c r="AH118" i="6"/>
  <c r="AG118" i="6"/>
  <c r="AI119" i="6"/>
  <c r="T119" i="6"/>
  <c r="BV121" i="6"/>
  <c r="BG125" i="6"/>
  <c r="AN127" i="6"/>
  <c r="AO127" i="6"/>
  <c r="I128" i="6"/>
  <c r="H128" i="6"/>
  <c r="G128" i="6"/>
  <c r="BV128" i="6"/>
  <c r="AD129" i="6"/>
  <c r="AK129" i="6" s="1"/>
  <c r="AM129" i="6"/>
  <c r="AO130" i="6"/>
  <c r="AN130" i="6"/>
  <c r="BO131" i="6"/>
  <c r="DE171" i="6" s="1"/>
  <c r="BD139" i="6"/>
  <c r="T143" i="6"/>
  <c r="AM143" i="6"/>
  <c r="AD143" i="6"/>
  <c r="AK143" i="6" s="1"/>
  <c r="T144" i="6"/>
  <c r="S147" i="6"/>
  <c r="AI147" i="6"/>
  <c r="AI148" i="6"/>
  <c r="AO148" i="6" s="1"/>
  <c r="S148" i="6"/>
  <c r="E2" i="7"/>
  <c r="D2" i="7"/>
  <c r="W2" i="7"/>
  <c r="W66" i="7" s="1"/>
  <c r="Y66" i="7"/>
  <c r="CZ186" i="7" s="1"/>
  <c r="AI2" i="7"/>
  <c r="AI66" i="7" s="1"/>
  <c r="BT4" i="7"/>
  <c r="CA66" i="7"/>
  <c r="AA9" i="7"/>
  <c r="Z9" i="7"/>
  <c r="AH9" i="7"/>
  <c r="AG9" i="7"/>
  <c r="AU13" i="7"/>
  <c r="BB13" i="7" s="1"/>
  <c r="BE13" i="7" s="1"/>
  <c r="BD13" i="7"/>
  <c r="AA15" i="7"/>
  <c r="BT16" i="7"/>
  <c r="S17" i="7"/>
  <c r="T18" i="7"/>
  <c r="AI18" i="7"/>
  <c r="S18" i="7"/>
  <c r="AA18" i="7"/>
  <c r="Z18" i="7"/>
  <c r="BG18" i="7"/>
  <c r="AM19" i="7"/>
  <c r="AD20" i="7"/>
  <c r="AM20" i="7"/>
  <c r="BB22" i="7"/>
  <c r="H23" i="7"/>
  <c r="I23" i="7"/>
  <c r="AA26" i="7"/>
  <c r="Z26" i="7"/>
  <c r="T27" i="7"/>
  <c r="S27" i="7"/>
  <c r="L28" i="7"/>
  <c r="K28" i="7"/>
  <c r="AI28" i="7"/>
  <c r="AG29" i="7"/>
  <c r="Z30" i="7"/>
  <c r="AH32" i="7"/>
  <c r="AG32" i="7"/>
  <c r="S33" i="7"/>
  <c r="BD33" i="7"/>
  <c r="BG33" i="7" s="1"/>
  <c r="AD36" i="7"/>
  <c r="AK36" i="7" s="1"/>
  <c r="AH36" i="7"/>
  <c r="AM36" i="7"/>
  <c r="S37" i="7"/>
  <c r="P37" i="7"/>
  <c r="Z38" i="7"/>
  <c r="BM38" i="7"/>
  <c r="BB39" i="7"/>
  <c r="BE39" i="7" s="1"/>
  <c r="AO40" i="7"/>
  <c r="S41" i="7"/>
  <c r="BE43" i="7"/>
  <c r="AO45" i="7"/>
  <c r="BB45" i="7"/>
  <c r="BE45" i="7" s="1"/>
  <c r="AM46" i="7"/>
  <c r="BG46" i="7" s="1"/>
  <c r="AH48" i="7"/>
  <c r="AG48" i="7"/>
  <c r="AA52" i="7"/>
  <c r="AG55" i="7"/>
  <c r="BB57" i="7"/>
  <c r="BE57" i="7" s="1"/>
  <c r="BF65" i="7"/>
  <c r="BT74" i="7"/>
  <c r="AG103" i="7"/>
  <c r="AH103" i="7"/>
  <c r="BE104" i="7"/>
  <c r="BG118" i="7"/>
  <c r="AH155" i="7"/>
  <c r="AG155" i="7"/>
  <c r="AO3" i="8"/>
  <c r="AD120" i="5"/>
  <c r="AD123" i="5"/>
  <c r="AD127" i="5"/>
  <c r="AD131" i="5"/>
  <c r="AD138" i="5"/>
  <c r="AD145" i="5"/>
  <c r="AD150" i="5"/>
  <c r="AD156" i="5"/>
  <c r="AD160" i="5"/>
  <c r="AD165" i="5"/>
  <c r="AD168" i="5"/>
  <c r="AD171" i="5"/>
  <c r="Q131" i="6"/>
  <c r="CX318" i="6" s="1"/>
  <c r="Y131" i="6"/>
  <c r="CY171" i="6" s="1"/>
  <c r="AW131" i="6"/>
  <c r="DB171" i="6" s="1"/>
  <c r="AM5" i="6"/>
  <c r="AD10" i="6"/>
  <c r="AK10" i="6" s="1"/>
  <c r="AD15" i="6"/>
  <c r="AK15" i="6" s="1"/>
  <c r="AD17" i="6"/>
  <c r="AK17" i="6" s="1"/>
  <c r="BE17" i="6" s="1"/>
  <c r="AD23" i="6"/>
  <c r="AK23" i="6" s="1"/>
  <c r="BE23" i="6" s="1"/>
  <c r="AN33" i="6"/>
  <c r="S34" i="6"/>
  <c r="AD35" i="6"/>
  <c r="AK35" i="6" s="1"/>
  <c r="S37" i="6"/>
  <c r="C38" i="6"/>
  <c r="K38" i="6"/>
  <c r="G39" i="6"/>
  <c r="Z39" i="6"/>
  <c r="AD40" i="6"/>
  <c r="AK40" i="6" s="1"/>
  <c r="AG41" i="6"/>
  <c r="S42" i="6"/>
  <c r="D43" i="6"/>
  <c r="H44" i="6"/>
  <c r="Z44" i="6"/>
  <c r="C45" i="6"/>
  <c r="K45" i="6"/>
  <c r="G46" i="6"/>
  <c r="Z46" i="6"/>
  <c r="C47" i="6"/>
  <c r="K47" i="6"/>
  <c r="I48" i="6"/>
  <c r="AD48" i="6"/>
  <c r="BI48" i="6"/>
  <c r="BT48" i="6" s="1"/>
  <c r="K49" i="6"/>
  <c r="AL49" i="6"/>
  <c r="D50" i="6"/>
  <c r="AG50" i="6"/>
  <c r="BC50" i="6"/>
  <c r="BF50" i="6" s="1"/>
  <c r="AM51" i="6"/>
  <c r="L52" i="6"/>
  <c r="K52" i="6"/>
  <c r="BM52" i="6"/>
  <c r="BT52" i="6" s="1"/>
  <c r="AH53" i="6"/>
  <c r="BM53" i="6"/>
  <c r="E54" i="6"/>
  <c r="D54" i="6"/>
  <c r="C54" i="6"/>
  <c r="S54" i="6"/>
  <c r="G55" i="6"/>
  <c r="AL55" i="6"/>
  <c r="T56" i="6"/>
  <c r="AD56" i="6"/>
  <c r="AK56" i="6" s="1"/>
  <c r="I57" i="6"/>
  <c r="H57" i="6"/>
  <c r="AD57" i="6"/>
  <c r="AK57" i="6" s="1"/>
  <c r="D58" i="6"/>
  <c r="AM58" i="6"/>
  <c r="BG58" i="6" s="1"/>
  <c r="P60" i="6"/>
  <c r="I61" i="6"/>
  <c r="H61" i="6"/>
  <c r="BD62" i="6"/>
  <c r="BG62" i="6" s="1"/>
  <c r="AD63" i="6"/>
  <c r="AK63" i="6" s="1"/>
  <c r="BE63" i="6" s="1"/>
  <c r="AM63" i="6"/>
  <c r="BU63" i="6"/>
  <c r="P64" i="6"/>
  <c r="AA64" i="6"/>
  <c r="BB66" i="6"/>
  <c r="BE66" i="6" s="1"/>
  <c r="AL67" i="6"/>
  <c r="BF67" i="6" s="1"/>
  <c r="BU67" i="6"/>
  <c r="Z70" i="6"/>
  <c r="K71" i="6"/>
  <c r="AG71" i="6"/>
  <c r="AQ73" i="6"/>
  <c r="BB73" i="6" s="1"/>
  <c r="BE73" i="6" s="1"/>
  <c r="BD73" i="6"/>
  <c r="BG73" i="6" s="1"/>
  <c r="BT73" i="6"/>
  <c r="BD75" i="6"/>
  <c r="AU75" i="6"/>
  <c r="BB75" i="6" s="1"/>
  <c r="BE75" i="6" s="1"/>
  <c r="BX75" i="6"/>
  <c r="AG76" i="6"/>
  <c r="S78" i="6"/>
  <c r="BC78" i="6"/>
  <c r="BF78" i="6" s="1"/>
  <c r="AG80" i="6"/>
  <c r="AH81" i="6"/>
  <c r="T82" i="6"/>
  <c r="AL82" i="6"/>
  <c r="BF82" i="6" s="1"/>
  <c r="BV83" i="6"/>
  <c r="AA84" i="6"/>
  <c r="K87" i="6"/>
  <c r="AI87" i="6"/>
  <c r="AG88" i="6"/>
  <c r="T90" i="6"/>
  <c r="BD90" i="6"/>
  <c r="D91" i="6"/>
  <c r="BC91" i="6"/>
  <c r="BF91" i="6" s="1"/>
  <c r="AI92" i="6"/>
  <c r="AM92" i="6"/>
  <c r="AD93" i="6"/>
  <c r="AK93" i="6" s="1"/>
  <c r="AM93" i="6"/>
  <c r="K94" i="6"/>
  <c r="AL94" i="6"/>
  <c r="BF94" i="6" s="1"/>
  <c r="AI96" i="6"/>
  <c r="T96" i="6"/>
  <c r="AM96" i="6"/>
  <c r="L97" i="6"/>
  <c r="K97" i="6"/>
  <c r="AM97" i="6"/>
  <c r="AI97" i="6"/>
  <c r="BQ98" i="6"/>
  <c r="BT98" i="6" s="1"/>
  <c r="W99" i="6"/>
  <c r="AK99" i="6" s="1"/>
  <c r="AH99" i="6"/>
  <c r="AM100" i="6"/>
  <c r="C101" i="6"/>
  <c r="AM101" i="6"/>
  <c r="AI101" i="6"/>
  <c r="AA102" i="6"/>
  <c r="Z102" i="6"/>
  <c r="AU102" i="6"/>
  <c r="AI103" i="6"/>
  <c r="AM103" i="6"/>
  <c r="AD104" i="6"/>
  <c r="AK104" i="6" s="1"/>
  <c r="AM104" i="6"/>
  <c r="K105" i="6"/>
  <c r="AL105" i="6"/>
  <c r="AO106" i="6"/>
  <c r="AN106" i="6"/>
  <c r="BD107" i="6"/>
  <c r="H108" i="6"/>
  <c r="AG108" i="6"/>
  <c r="E109" i="6"/>
  <c r="D109" i="6"/>
  <c r="S113" i="6"/>
  <c r="AY113" i="6"/>
  <c r="BB113" i="6" s="1"/>
  <c r="BE113" i="6" s="1"/>
  <c r="Z114" i="6"/>
  <c r="BV114" i="6"/>
  <c r="AM115" i="6"/>
  <c r="AD116" i="6"/>
  <c r="AK116" i="6" s="1"/>
  <c r="AM116" i="6"/>
  <c r="K117" i="6"/>
  <c r="AM117" i="6"/>
  <c r="AI117" i="6"/>
  <c r="I118" i="6"/>
  <c r="H118" i="6"/>
  <c r="G118" i="6"/>
  <c r="BD118" i="6"/>
  <c r="BG118" i="6" s="1"/>
  <c r="AY118" i="6"/>
  <c r="BB118" i="6" s="1"/>
  <c r="BE118" i="6" s="1"/>
  <c r="AM119" i="6"/>
  <c r="BU119" i="6"/>
  <c r="AG120" i="6"/>
  <c r="W121" i="6"/>
  <c r="AH121" i="6"/>
  <c r="AM123" i="6"/>
  <c r="C124" i="6"/>
  <c r="BU124" i="6"/>
  <c r="S126" i="6"/>
  <c r="AL126" i="6"/>
  <c r="BF126" i="6" s="1"/>
  <c r="BV126" i="6"/>
  <c r="BQ126" i="6"/>
  <c r="BT126" i="6" s="1"/>
  <c r="D127" i="6"/>
  <c r="Z127" i="6"/>
  <c r="AG128" i="6"/>
  <c r="L129" i="6"/>
  <c r="K129" i="6"/>
  <c r="AG129" i="6"/>
  <c r="BD130" i="6"/>
  <c r="BG130" i="6" s="1"/>
  <c r="AG138" i="6"/>
  <c r="AA139" i="6"/>
  <c r="AA140" i="6"/>
  <c r="Z140" i="6"/>
  <c r="AN140" i="6"/>
  <c r="D141" i="6"/>
  <c r="S142" i="6"/>
  <c r="AM142" i="6"/>
  <c r="AG143" i="6"/>
  <c r="AM145" i="6"/>
  <c r="P146" i="6"/>
  <c r="AA146" i="6"/>
  <c r="AG149" i="6"/>
  <c r="C2" i="7"/>
  <c r="Q66" i="7"/>
  <c r="CY333" i="7" s="1"/>
  <c r="Z2" i="7"/>
  <c r="Z66" i="7" s="1"/>
  <c r="AJ66" i="7"/>
  <c r="AU2" i="7"/>
  <c r="AU66" i="7" s="1"/>
  <c r="AW66" i="7"/>
  <c r="DC186" i="7" s="1"/>
  <c r="BD2" i="7"/>
  <c r="BG2" i="7" s="1"/>
  <c r="BH66" i="7"/>
  <c r="T3" i="7"/>
  <c r="BC3" i="7"/>
  <c r="BF3" i="7" s="1"/>
  <c r="BD3" i="7"/>
  <c r="BG3" i="7" s="1"/>
  <c r="D4" i="7"/>
  <c r="BU4" i="7"/>
  <c r="BR66" i="7"/>
  <c r="DG333" i="7" s="1"/>
  <c r="BQ5" i="7"/>
  <c r="BT5" i="7" s="1"/>
  <c r="S6" i="7"/>
  <c r="AA7" i="7"/>
  <c r="Z7" i="7"/>
  <c r="AU7" i="7"/>
  <c r="BB7" i="7" s="1"/>
  <c r="BE7" i="7" s="1"/>
  <c r="AM8" i="7"/>
  <c r="BC9" i="7"/>
  <c r="BF9" i="7" s="1"/>
  <c r="BX9" i="7"/>
  <c r="AD10" i="7"/>
  <c r="AK10" i="7" s="1"/>
  <c r="BV10" i="7"/>
  <c r="BQ10" i="7"/>
  <c r="BT10" i="7" s="1"/>
  <c r="T11" i="7"/>
  <c r="S11" i="7"/>
  <c r="AL11" i="7"/>
  <c r="Z12" i="7"/>
  <c r="P13" i="7"/>
  <c r="AA13" i="7"/>
  <c r="BT13" i="7"/>
  <c r="K14" i="7"/>
  <c r="BM14" i="7"/>
  <c r="E15" i="7"/>
  <c r="BU16" i="7"/>
  <c r="AM18" i="7"/>
  <c r="Z19" i="7"/>
  <c r="L20" i="7"/>
  <c r="K20" i="7"/>
  <c r="AG20" i="7"/>
  <c r="BU20" i="7"/>
  <c r="E21" i="7"/>
  <c r="D21" i="7"/>
  <c r="I22" i="7"/>
  <c r="S22" i="7"/>
  <c r="C23" i="7"/>
  <c r="AN25" i="7"/>
  <c r="BV25" i="7"/>
  <c r="AM26" i="7"/>
  <c r="BG26" i="7"/>
  <c r="BV26" i="7"/>
  <c r="BQ26" i="7"/>
  <c r="BT26" i="7" s="1"/>
  <c r="AG27" i="7"/>
  <c r="AD27" i="7"/>
  <c r="AK27" i="7" s="1"/>
  <c r="Z28" i="7"/>
  <c r="W28" i="7"/>
  <c r="BF28" i="7"/>
  <c r="AU29" i="7"/>
  <c r="BB29" i="7" s="1"/>
  <c r="BE29" i="7" s="1"/>
  <c r="BD29" i="7"/>
  <c r="BG29" i="7" s="1"/>
  <c r="H31" i="7"/>
  <c r="D31" i="7"/>
  <c r="I31" i="7"/>
  <c r="AA31" i="7"/>
  <c r="AL32" i="7"/>
  <c r="AD32" i="7"/>
  <c r="AK32" i="7" s="1"/>
  <c r="BQ32" i="7"/>
  <c r="BT32" i="7" s="1"/>
  <c r="AH33" i="7"/>
  <c r="AG33" i="7"/>
  <c r="AM33" i="7"/>
  <c r="AU34" i="7"/>
  <c r="BB34" i="7" s="1"/>
  <c r="BE34" i="7" s="1"/>
  <c r="BB35" i="7"/>
  <c r="BU35" i="7"/>
  <c r="BM35" i="7"/>
  <c r="H36" i="7"/>
  <c r="AG36" i="7"/>
  <c r="BD36" i="7"/>
  <c r="BG36" i="7" s="1"/>
  <c r="T37" i="7"/>
  <c r="AM37" i="7"/>
  <c r="BM39" i="7"/>
  <c r="BV39" i="7"/>
  <c r="AA41" i="7"/>
  <c r="Z41" i="7"/>
  <c r="AA42" i="7"/>
  <c r="AL45" i="7"/>
  <c r="Z46" i="7"/>
  <c r="BB46" i="7"/>
  <c r="BE46" i="7" s="1"/>
  <c r="BE51" i="7"/>
  <c r="BG52" i="7"/>
  <c r="BT57" i="7"/>
  <c r="T58" i="7"/>
  <c r="AI58" i="7"/>
  <c r="S58" i="7"/>
  <c r="AH61" i="7"/>
  <c r="AG61" i="7"/>
  <c r="AI62" i="7"/>
  <c r="AA62" i="7"/>
  <c r="Z62" i="7"/>
  <c r="BB63" i="7"/>
  <c r="BE79" i="7"/>
  <c r="AK81" i="7"/>
  <c r="BE81" i="7" s="1"/>
  <c r="BF85" i="7"/>
  <c r="BB85" i="7"/>
  <c r="BE85" i="7" s="1"/>
  <c r="T95" i="7"/>
  <c r="AI95" i="7"/>
  <c r="S95" i="7"/>
  <c r="AK125" i="7"/>
  <c r="BT138" i="7"/>
  <c r="AG143" i="7"/>
  <c r="AH143" i="7"/>
  <c r="AI143" i="7"/>
  <c r="Z158" i="7"/>
  <c r="AA158" i="7"/>
  <c r="AD142" i="5"/>
  <c r="AD172" i="5"/>
  <c r="R131" i="6"/>
  <c r="CX171" i="6" s="1"/>
  <c r="AP131" i="6"/>
  <c r="AX131" i="6"/>
  <c r="BN131" i="6"/>
  <c r="DE318" i="6" s="1"/>
  <c r="AD7" i="6"/>
  <c r="AK7" i="6" s="1"/>
  <c r="AD12" i="6"/>
  <c r="AK12" i="6" s="1"/>
  <c r="AD21" i="6"/>
  <c r="AK21" i="6" s="1"/>
  <c r="AD25" i="6"/>
  <c r="AK25" i="6" s="1"/>
  <c r="AD31" i="6"/>
  <c r="AK31" i="6" s="1"/>
  <c r="AD34" i="6"/>
  <c r="AK34" i="6" s="1"/>
  <c r="D38" i="6"/>
  <c r="H39" i="6"/>
  <c r="D45" i="6"/>
  <c r="H46" i="6"/>
  <c r="D47" i="6"/>
  <c r="AU48" i="6"/>
  <c r="E49" i="6"/>
  <c r="D49" i="6"/>
  <c r="AK49" i="6"/>
  <c r="AH50" i="6"/>
  <c r="AD51" i="6"/>
  <c r="AK51" i="6" s="1"/>
  <c r="BC51" i="6"/>
  <c r="BF51" i="6" s="1"/>
  <c r="W53" i="6"/>
  <c r="AK53" i="6" s="1"/>
  <c r="AG53" i="6"/>
  <c r="BQ53" i="6"/>
  <c r="BT53" i="6" s="1"/>
  <c r="T54" i="6"/>
  <c r="AM56" i="6"/>
  <c r="L59" i="6"/>
  <c r="K59" i="6"/>
  <c r="AL59" i="6"/>
  <c r="S61" i="6"/>
  <c r="L63" i="6"/>
  <c r="K63" i="6"/>
  <c r="BV63" i="6"/>
  <c r="S64" i="6"/>
  <c r="AG65" i="6"/>
  <c r="AM66" i="6"/>
  <c r="AK67" i="6"/>
  <c r="E71" i="6"/>
  <c r="D71" i="6"/>
  <c r="AH71" i="6"/>
  <c r="AI74" i="6"/>
  <c r="S74" i="6"/>
  <c r="T74" i="6"/>
  <c r="BB74" i="6"/>
  <c r="BE74" i="6" s="1"/>
  <c r="T75" i="6"/>
  <c r="AI75" i="6"/>
  <c r="S75" i="6"/>
  <c r="AA75" i="6"/>
  <c r="Z75" i="6"/>
  <c r="AH76" i="6"/>
  <c r="BD78" i="6"/>
  <c r="BG78" i="6" s="1"/>
  <c r="BT78" i="6"/>
  <c r="BD80" i="6"/>
  <c r="BG80" i="6" s="1"/>
  <c r="AU80" i="6"/>
  <c r="AM82" i="6"/>
  <c r="P84" i="6"/>
  <c r="BD85" i="6"/>
  <c r="BG85" i="6" s="1"/>
  <c r="AY85" i="6"/>
  <c r="BB85" i="6" s="1"/>
  <c r="BE85" i="6" s="1"/>
  <c r="AL86" i="6"/>
  <c r="E87" i="6"/>
  <c r="D87" i="6"/>
  <c r="AL89" i="6"/>
  <c r="BF89" i="6" s="1"/>
  <c r="AI91" i="6"/>
  <c r="S91" i="6"/>
  <c r="BD91" i="6"/>
  <c r="BG91" i="6" s="1"/>
  <c r="P92" i="6"/>
  <c r="L93" i="6"/>
  <c r="K93" i="6"/>
  <c r="E94" i="6"/>
  <c r="D94" i="6"/>
  <c r="S95" i="6"/>
  <c r="AY95" i="6"/>
  <c r="BB95" i="6" s="1"/>
  <c r="BE95" i="6" s="1"/>
  <c r="BU98" i="6"/>
  <c r="AG100" i="6"/>
  <c r="D101" i="6"/>
  <c r="Z101" i="6"/>
  <c r="AI102" i="6"/>
  <c r="T102" i="6"/>
  <c r="AM102" i="6"/>
  <c r="P103" i="6"/>
  <c r="L104" i="6"/>
  <c r="K104" i="6"/>
  <c r="E105" i="6"/>
  <c r="D105" i="6"/>
  <c r="AH106" i="6"/>
  <c r="AG106" i="6"/>
  <c r="AI106" i="6"/>
  <c r="AI107" i="6"/>
  <c r="T107" i="6"/>
  <c r="BQ107" i="6"/>
  <c r="BT107" i="6" s="1"/>
  <c r="AH108" i="6"/>
  <c r="BD108" i="6"/>
  <c r="BG108" i="6" s="1"/>
  <c r="BM108" i="6"/>
  <c r="AU109" i="6"/>
  <c r="BD109" i="6"/>
  <c r="BG109" i="6" s="1"/>
  <c r="BD110" i="6"/>
  <c r="BG110" i="6" s="1"/>
  <c r="AY110" i="6"/>
  <c r="BB110" i="6" s="1"/>
  <c r="BE110" i="6" s="1"/>
  <c r="AL111" i="6"/>
  <c r="BF111" i="6" s="1"/>
  <c r="BC113" i="6"/>
  <c r="BF113" i="6" s="1"/>
  <c r="AO114" i="6"/>
  <c r="AN114" i="6"/>
  <c r="T115" i="6"/>
  <c r="S115" i="6"/>
  <c r="AI115" i="6"/>
  <c r="L116" i="6"/>
  <c r="K116" i="6"/>
  <c r="E117" i="6"/>
  <c r="D117" i="6"/>
  <c r="Z117" i="6"/>
  <c r="I119" i="6"/>
  <c r="H119" i="6"/>
  <c r="BV119" i="6"/>
  <c r="BF120" i="6"/>
  <c r="AL122" i="6"/>
  <c r="BF122" i="6" s="1"/>
  <c r="BB122" i="6"/>
  <c r="AG123" i="6"/>
  <c r="D124" i="6"/>
  <c r="BV124" i="6"/>
  <c r="AM125" i="6"/>
  <c r="AD126" i="6"/>
  <c r="AK126" i="6" s="1"/>
  <c r="AM126" i="6"/>
  <c r="BG126" i="6" s="1"/>
  <c r="BD128" i="6"/>
  <c r="AU128" i="6"/>
  <c r="AH129" i="6"/>
  <c r="AM138" i="6"/>
  <c r="AM139" i="6"/>
  <c r="BV139" i="6"/>
  <c r="BQ139" i="6"/>
  <c r="BT139" i="6" s="1"/>
  <c r="AG141" i="6"/>
  <c r="E142" i="6"/>
  <c r="D142" i="6"/>
  <c r="AG142" i="6"/>
  <c r="AH143" i="6"/>
  <c r="W144" i="6"/>
  <c r="AH144" i="6"/>
  <c r="AG144" i="6"/>
  <c r="AL147" i="6"/>
  <c r="R66" i="7"/>
  <c r="CY186" i="7" s="1"/>
  <c r="P2" i="7"/>
  <c r="P66" i="7" s="1"/>
  <c r="AA2" i="7"/>
  <c r="AA66" i="7" s="1"/>
  <c r="AX66" i="7"/>
  <c r="BJ66" i="7"/>
  <c r="DE333" i="7" s="1"/>
  <c r="BS66" i="7"/>
  <c r="DG186" i="7" s="1"/>
  <c r="V3" i="7"/>
  <c r="U66" i="7"/>
  <c r="BY66" i="7"/>
  <c r="E4" i="7"/>
  <c r="BU5" i="7"/>
  <c r="AM7" i="7"/>
  <c r="P8" i="7"/>
  <c r="BD9" i="7"/>
  <c r="BG9" i="7" s="1"/>
  <c r="BB11" i="7"/>
  <c r="BE11" i="7" s="1"/>
  <c r="E12" i="7"/>
  <c r="D12" i="7"/>
  <c r="C12" i="7"/>
  <c r="AA12" i="7"/>
  <c r="S13" i="7"/>
  <c r="AH14" i="7"/>
  <c r="S15" i="7"/>
  <c r="AI16" i="7"/>
  <c r="S16" i="7"/>
  <c r="Z16" i="7"/>
  <c r="BV16" i="7"/>
  <c r="AA17" i="7"/>
  <c r="Z17" i="7"/>
  <c r="AH17" i="7"/>
  <c r="AG17" i="7"/>
  <c r="AH20" i="7"/>
  <c r="BD20" i="7"/>
  <c r="BG20" i="7" s="1"/>
  <c r="AU21" i="7"/>
  <c r="BB21" i="7" s="1"/>
  <c r="BE21" i="7" s="1"/>
  <c r="BD21" i="7"/>
  <c r="BG21" i="7" s="1"/>
  <c r="T22" i="7"/>
  <c r="BD22" i="7"/>
  <c r="BG22" i="7" s="1"/>
  <c r="D23" i="7"/>
  <c r="AA23" i="7"/>
  <c r="BU23" i="7"/>
  <c r="BQ24" i="7"/>
  <c r="BT24" i="7" s="1"/>
  <c r="S25" i="7"/>
  <c r="AD25" i="7"/>
  <c r="AK25" i="7" s="1"/>
  <c r="BE25" i="7" s="1"/>
  <c r="AL29" i="7"/>
  <c r="E30" i="7"/>
  <c r="C30" i="7"/>
  <c r="H30" i="7"/>
  <c r="BB30" i="7"/>
  <c r="BE30" i="7" s="1"/>
  <c r="BV30" i="7"/>
  <c r="AQ31" i="7"/>
  <c r="BB31" i="7" s="1"/>
  <c r="BE31" i="7" s="1"/>
  <c r="T32" i="7"/>
  <c r="AA33" i="7"/>
  <c r="Z33" i="7"/>
  <c r="BC33" i="7"/>
  <c r="BF33" i="7" s="1"/>
  <c r="AU33" i="7"/>
  <c r="BB33" i="7" s="1"/>
  <c r="BE33" i="7" s="1"/>
  <c r="BU33" i="7"/>
  <c r="AA34" i="7"/>
  <c r="Z34" i="7"/>
  <c r="T35" i="7"/>
  <c r="S35" i="7"/>
  <c r="AL35" i="7"/>
  <c r="L36" i="7"/>
  <c r="K36" i="7"/>
  <c r="AG37" i="7"/>
  <c r="BC40" i="7"/>
  <c r="BF40" i="7" s="1"/>
  <c r="AY41" i="7"/>
  <c r="BD41" i="7"/>
  <c r="BG41" i="7" s="1"/>
  <c r="BG43" i="7"/>
  <c r="AL44" i="7"/>
  <c r="W45" i="7"/>
  <c r="AA45" i="7"/>
  <c r="Z45" i="7"/>
  <c r="L47" i="7"/>
  <c r="K47" i="7"/>
  <c r="BT49" i="7"/>
  <c r="T50" i="7"/>
  <c r="AI50" i="7"/>
  <c r="S50" i="7"/>
  <c r="AH53" i="7"/>
  <c r="AG53" i="7"/>
  <c r="AA54" i="7"/>
  <c r="Z54" i="7"/>
  <c r="AI57" i="7"/>
  <c r="T57" i="7"/>
  <c r="BF60" i="7"/>
  <c r="AI61" i="7"/>
  <c r="BB62" i="7"/>
  <c r="BE62" i="7" s="1"/>
  <c r="AG80" i="7"/>
  <c r="AH80" i="7"/>
  <c r="S2" i="6"/>
  <c r="BV48" i="6"/>
  <c r="Z50" i="6"/>
  <c r="BD50" i="6"/>
  <c r="BG50" i="6" s="1"/>
  <c r="BU53" i="6"/>
  <c r="I58" i="6"/>
  <c r="H58" i="6"/>
  <c r="G58" i="6"/>
  <c r="BC58" i="6"/>
  <c r="BF58" i="6" s="1"/>
  <c r="T61" i="6"/>
  <c r="I66" i="6"/>
  <c r="H66" i="6"/>
  <c r="BD68" i="6"/>
  <c r="BG68" i="6" s="1"/>
  <c r="T70" i="6"/>
  <c r="S70" i="6"/>
  <c r="BD70" i="6"/>
  <c r="BG70" i="6" s="1"/>
  <c r="BD72" i="6"/>
  <c r="BG72" i="6" s="1"/>
  <c r="AO73" i="6"/>
  <c r="AN73" i="6"/>
  <c r="AM74" i="6"/>
  <c r="AM75" i="6"/>
  <c r="BC75" i="6"/>
  <c r="BF75" i="6" s="1"/>
  <c r="E76" i="6"/>
  <c r="D76" i="6"/>
  <c r="C76" i="6"/>
  <c r="P76" i="6"/>
  <c r="AI79" i="6"/>
  <c r="S79" i="6"/>
  <c r="T79" i="6"/>
  <c r="BB79" i="6"/>
  <c r="BE79" i="6" s="1"/>
  <c r="T80" i="6"/>
  <c r="AI80" i="6"/>
  <c r="S80" i="6"/>
  <c r="AA80" i="6"/>
  <c r="Z80" i="6"/>
  <c r="AY80" i="6"/>
  <c r="BB80" i="6" s="1"/>
  <c r="BE80" i="6" s="1"/>
  <c r="P81" i="6"/>
  <c r="AK81" i="6" s="1"/>
  <c r="AM81" i="6"/>
  <c r="AY81" i="6"/>
  <c r="BB81" i="6" s="1"/>
  <c r="AO83" i="6"/>
  <c r="AN83" i="6"/>
  <c r="I86" i="6"/>
  <c r="H86" i="6"/>
  <c r="BM86" i="6"/>
  <c r="BU87" i="6"/>
  <c r="AA88" i="6"/>
  <c r="Z88" i="6"/>
  <c r="AU88" i="6"/>
  <c r="AD89" i="6"/>
  <c r="AK89" i="6" s="1"/>
  <c r="AM89" i="6"/>
  <c r="BG89" i="6" s="1"/>
  <c r="BD93" i="6"/>
  <c r="BM93" i="6"/>
  <c r="AU94" i="6"/>
  <c r="BD94" i="6"/>
  <c r="BG94" i="6" s="1"/>
  <c r="AD96" i="6"/>
  <c r="AK96" i="6" s="1"/>
  <c r="AI98" i="6"/>
  <c r="S98" i="6"/>
  <c r="Z98" i="6"/>
  <c r="AM99" i="6"/>
  <c r="BG99" i="6" s="1"/>
  <c r="AY99" i="6"/>
  <c r="BB99" i="6" s="1"/>
  <c r="AL100" i="6"/>
  <c r="BF100" i="6" s="1"/>
  <c r="BD104" i="6"/>
  <c r="BG104" i="6" s="1"/>
  <c r="BM104" i="6"/>
  <c r="AU105" i="6"/>
  <c r="BD105" i="6"/>
  <c r="BG105" i="6" s="1"/>
  <c r="BD106" i="6"/>
  <c r="BG106" i="6" s="1"/>
  <c r="AY106" i="6"/>
  <c r="AM107" i="6"/>
  <c r="AO109" i="6"/>
  <c r="I111" i="6"/>
  <c r="H111" i="6"/>
  <c r="E112" i="6"/>
  <c r="D112" i="6"/>
  <c r="C112" i="6"/>
  <c r="AY112" i="6"/>
  <c r="BB112" i="6" s="1"/>
  <c r="BE112" i="6" s="1"/>
  <c r="BV112" i="6"/>
  <c r="AH114" i="6"/>
  <c r="AG114" i="6"/>
  <c r="BD116" i="6"/>
  <c r="BM116" i="6"/>
  <c r="S119" i="6"/>
  <c r="AD119" i="6"/>
  <c r="AK119" i="6" s="1"/>
  <c r="T120" i="6"/>
  <c r="AI120" i="6"/>
  <c r="S120" i="6"/>
  <c r="AA120" i="6"/>
  <c r="Z120" i="6"/>
  <c r="AU120" i="6"/>
  <c r="AM121" i="6"/>
  <c r="AD122" i="6"/>
  <c r="AK122" i="6" s="1"/>
  <c r="AM122" i="6"/>
  <c r="AL123" i="6"/>
  <c r="BF123" i="6" s="1"/>
  <c r="AO124" i="6"/>
  <c r="AN124" i="6"/>
  <c r="T125" i="6"/>
  <c r="S125" i="6"/>
  <c r="AI125" i="6"/>
  <c r="L126" i="6"/>
  <c r="K126" i="6"/>
  <c r="AA128" i="6"/>
  <c r="Z128" i="6"/>
  <c r="Z129" i="6"/>
  <c r="AA138" i="6"/>
  <c r="Z138" i="6"/>
  <c r="I139" i="6"/>
  <c r="H139" i="6"/>
  <c r="AL142" i="6"/>
  <c r="T147" i="6"/>
  <c r="AM147" i="6"/>
  <c r="AD147" i="6"/>
  <c r="AK147" i="6" s="1"/>
  <c r="T148" i="6"/>
  <c r="S2" i="7"/>
  <c r="S66" i="7" s="1"/>
  <c r="AB66" i="7"/>
  <c r="AC2" i="7"/>
  <c r="AP66" i="7"/>
  <c r="BB2" i="7"/>
  <c r="AY66" i="7"/>
  <c r="BB66" i="7" s="1"/>
  <c r="BK66" i="7"/>
  <c r="DE186" i="7" s="1"/>
  <c r="BU2" i="7"/>
  <c r="AH3" i="7"/>
  <c r="AY4" i="7"/>
  <c r="BB4" i="7" s="1"/>
  <c r="BE4" i="7" s="1"/>
  <c r="AI5" i="7"/>
  <c r="S5" i="7"/>
  <c r="Z5" i="7"/>
  <c r="AL5" i="7"/>
  <c r="BF5" i="7" s="1"/>
  <c r="AA6" i="7"/>
  <c r="Z6" i="7"/>
  <c r="AH6" i="7"/>
  <c r="AG6" i="7"/>
  <c r="BQ9" i="7"/>
  <c r="BT9" i="7" s="1"/>
  <c r="AG11" i="7"/>
  <c r="BV11" i="7"/>
  <c r="H13" i="7"/>
  <c r="E14" i="7"/>
  <c r="H14" i="7"/>
  <c r="AM14" i="7"/>
  <c r="BG14" i="7" s="1"/>
  <c r="AI14" i="7"/>
  <c r="BT14" i="7"/>
  <c r="AO16" i="7"/>
  <c r="AN16" i="7"/>
  <c r="AD18" i="7"/>
  <c r="AK18" i="7" s="1"/>
  <c r="BE18" i="7" s="1"/>
  <c r="BV18" i="7"/>
  <c r="BQ18" i="7"/>
  <c r="T19" i="7"/>
  <c r="S19" i="7"/>
  <c r="AL19" i="7"/>
  <c r="Z20" i="7"/>
  <c r="AO21" i="7"/>
  <c r="BT21" i="7"/>
  <c r="E23" i="7"/>
  <c r="W29" i="7"/>
  <c r="AA29" i="7"/>
  <c r="AO29" i="7"/>
  <c r="P30" i="7"/>
  <c r="T30" i="7"/>
  <c r="BM31" i="7"/>
  <c r="BV31" i="7"/>
  <c r="T34" i="7"/>
  <c r="AI34" i="7"/>
  <c r="S34" i="7"/>
  <c r="BV34" i="7"/>
  <c r="BQ34" i="7"/>
  <c r="BT34" i="7" s="1"/>
  <c r="AG35" i="7"/>
  <c r="AD35" i="7"/>
  <c r="AK35" i="7" s="1"/>
  <c r="Z36" i="7"/>
  <c r="W36" i="7"/>
  <c r="AU37" i="7"/>
  <c r="BB37" i="7" s="1"/>
  <c r="BE37" i="7" s="1"/>
  <c r="BD37" i="7"/>
  <c r="BG37" i="7" s="1"/>
  <c r="S39" i="7"/>
  <c r="Z40" i="7"/>
  <c r="T42" i="7"/>
  <c r="AI42" i="7"/>
  <c r="S42" i="7"/>
  <c r="T43" i="7"/>
  <c r="BQ43" i="7"/>
  <c r="BT43" i="7" s="1"/>
  <c r="BV43" i="7"/>
  <c r="AD44" i="7"/>
  <c r="AK44" i="7" s="1"/>
  <c r="BE44" i="7" s="1"/>
  <c r="AH44" i="7"/>
  <c r="AG44" i="7"/>
  <c r="AM44" i="7"/>
  <c r="BG44" i="7" s="1"/>
  <c r="BF44" i="7"/>
  <c r="BM46" i="7"/>
  <c r="BT46" i="7" s="1"/>
  <c r="BB47" i="7"/>
  <c r="BE47" i="7" s="1"/>
  <c r="AI49" i="7"/>
  <c r="T49" i="7"/>
  <c r="BB55" i="7"/>
  <c r="BE55" i="7" s="1"/>
  <c r="AK58" i="7"/>
  <c r="BB58" i="7"/>
  <c r="AK60" i="7"/>
  <c r="AO61" i="7"/>
  <c r="AN61" i="7"/>
  <c r="AN62" i="7"/>
  <c r="AO62" i="7"/>
  <c r="T63" i="7"/>
  <c r="AI63" i="7"/>
  <c r="S63" i="7"/>
  <c r="AH77" i="7"/>
  <c r="AG77" i="7"/>
  <c r="AI77" i="7"/>
  <c r="Z83" i="7"/>
  <c r="AA83" i="7"/>
  <c r="AI83" i="7"/>
  <c r="BT85" i="7"/>
  <c r="AG92" i="7"/>
  <c r="AH92" i="7"/>
  <c r="BB115" i="7"/>
  <c r="BG116" i="7"/>
  <c r="X66" i="7"/>
  <c r="CZ333" i="7" s="1"/>
  <c r="AF66" i="7"/>
  <c r="DA186" i="7" s="1"/>
  <c r="AV66" i="7"/>
  <c r="DC333" i="7" s="1"/>
  <c r="BL66" i="7"/>
  <c r="CB66" i="7"/>
  <c r="H38" i="7"/>
  <c r="S40" i="7"/>
  <c r="AY40" i="7"/>
  <c r="BB40" i="7" s="1"/>
  <c r="BE40" i="7" s="1"/>
  <c r="BQ42" i="7"/>
  <c r="BT42" i="7" s="1"/>
  <c r="AD43" i="7"/>
  <c r="AK43" i="7" s="1"/>
  <c r="W44" i="7"/>
  <c r="P45" i="7"/>
  <c r="H46" i="7"/>
  <c r="S48" i="7"/>
  <c r="AY48" i="7"/>
  <c r="BB48" i="7" s="1"/>
  <c r="BQ50" i="7"/>
  <c r="BT50" i="7" s="1"/>
  <c r="AD51" i="7"/>
  <c r="AK51" i="7" s="1"/>
  <c r="W52" i="7"/>
  <c r="AM52" i="7"/>
  <c r="P53" i="7"/>
  <c r="BD53" i="7"/>
  <c r="BG53" i="7" s="1"/>
  <c r="H54" i="7"/>
  <c r="I55" i="7"/>
  <c r="BV55" i="7"/>
  <c r="S56" i="7"/>
  <c r="AY56" i="7"/>
  <c r="BB56" i="7" s="1"/>
  <c r="BQ58" i="7"/>
  <c r="BT58" i="7" s="1"/>
  <c r="AD59" i="7"/>
  <c r="AK59" i="7" s="1"/>
  <c r="BE59" i="7" s="1"/>
  <c r="W60" i="7"/>
  <c r="AM60" i="7"/>
  <c r="P61" i="7"/>
  <c r="BD61" i="7"/>
  <c r="BG61" i="7" s="1"/>
  <c r="H62" i="7"/>
  <c r="I63" i="7"/>
  <c r="BV63" i="7"/>
  <c r="S64" i="7"/>
  <c r="AA65" i="7"/>
  <c r="W74" i="7"/>
  <c r="AA76" i="7"/>
  <c r="P77" i="7"/>
  <c r="W78" i="7"/>
  <c r="AL78" i="7"/>
  <c r="AO81" i="7"/>
  <c r="BT81" i="7"/>
  <c r="AL82" i="7"/>
  <c r="AH83" i="7"/>
  <c r="AA84" i="7"/>
  <c r="W86" i="7"/>
  <c r="AM86" i="7"/>
  <c r="BU87" i="7"/>
  <c r="W89" i="7"/>
  <c r="P90" i="7"/>
  <c r="T91" i="7"/>
  <c r="AI92" i="7"/>
  <c r="BU92" i="7"/>
  <c r="AO99" i="7"/>
  <c r="AI100" i="7"/>
  <c r="Z103" i="7"/>
  <c r="AL104" i="7"/>
  <c r="BV104" i="7"/>
  <c r="BD106" i="7"/>
  <c r="AY106" i="7"/>
  <c r="BB106" i="7" s="1"/>
  <c r="BE106" i="7" s="1"/>
  <c r="AO107" i="7"/>
  <c r="W108" i="7"/>
  <c r="AM108" i="7"/>
  <c r="Z108" i="7"/>
  <c r="BQ108" i="7"/>
  <c r="BT108" i="7" s="1"/>
  <c r="E110" i="7"/>
  <c r="D110" i="7"/>
  <c r="C110" i="7"/>
  <c r="I114" i="7"/>
  <c r="H114" i="7"/>
  <c r="C114" i="7"/>
  <c r="BB116" i="7"/>
  <c r="BE116" i="7" s="1"/>
  <c r="BD117" i="7"/>
  <c r="BG117" i="7" s="1"/>
  <c r="AL118" i="7"/>
  <c r="BF118" i="7" s="1"/>
  <c r="AD120" i="7"/>
  <c r="AK120" i="7" s="1"/>
  <c r="BU120" i="7"/>
  <c r="AA121" i="7"/>
  <c r="W121" i="7"/>
  <c r="BM122" i="7"/>
  <c r="BT122" i="7" s="1"/>
  <c r="BV122" i="7"/>
  <c r="BM124" i="7"/>
  <c r="T125" i="7"/>
  <c r="S125" i="7"/>
  <c r="BB125" i="7"/>
  <c r="BE125" i="7" s="1"/>
  <c r="AD127" i="7"/>
  <c r="AK127" i="7" s="1"/>
  <c r="AY127" i="7"/>
  <c r="BB127" i="7" s="1"/>
  <c r="BD127" i="7"/>
  <c r="BM128" i="7"/>
  <c r="BU130" i="7"/>
  <c r="AA135" i="7"/>
  <c r="Z135" i="7"/>
  <c r="BV135" i="7"/>
  <c r="BQ135" i="7"/>
  <c r="BT135" i="7" s="1"/>
  <c r="BU137" i="7"/>
  <c r="E138" i="7"/>
  <c r="D138" i="7"/>
  <c r="C138" i="7"/>
  <c r="P138" i="7"/>
  <c r="BB139" i="7"/>
  <c r="BE139" i="7" s="1"/>
  <c r="BD140" i="7"/>
  <c r="BG140" i="7" s="1"/>
  <c r="AY140" i="7"/>
  <c r="BB140" i="7" s="1"/>
  <c r="BE140" i="7" s="1"/>
  <c r="AA141" i="7"/>
  <c r="Z141" i="7"/>
  <c r="BM144" i="7"/>
  <c r="BV144" i="7"/>
  <c r="AD148" i="7"/>
  <c r="AM148" i="7"/>
  <c r="BG148" i="7" s="1"/>
  <c r="AL149" i="7"/>
  <c r="AG150" i="7"/>
  <c r="AH150" i="7"/>
  <c r="AA151" i="7"/>
  <c r="BC154" i="7"/>
  <c r="BF154" i="7" s="1"/>
  <c r="AQ154" i="7"/>
  <c r="AI155" i="7"/>
  <c r="AA155" i="7"/>
  <c r="Z157" i="7"/>
  <c r="BB157" i="7"/>
  <c r="BM157" i="7"/>
  <c r="BV157" i="7"/>
  <c r="BD159" i="7"/>
  <c r="BG159" i="7" s="1"/>
  <c r="BV160" i="7"/>
  <c r="E161" i="7"/>
  <c r="H161" i="7"/>
  <c r="C161" i="7"/>
  <c r="AD161" i="7"/>
  <c r="AK161" i="7" s="1"/>
  <c r="AQ161" i="7"/>
  <c r="BV3" i="8"/>
  <c r="BQ3" i="8"/>
  <c r="BT3" i="8" s="1"/>
  <c r="AQ4" i="8"/>
  <c r="BM4" i="8"/>
  <c r="BT4" i="8" s="1"/>
  <c r="BC5" i="8"/>
  <c r="BF5" i="8" s="1"/>
  <c r="BU7" i="8"/>
  <c r="BQ7" i="8"/>
  <c r="BT7" i="8" s="1"/>
  <c r="AI14" i="8"/>
  <c r="S14" i="8"/>
  <c r="BT24" i="8"/>
  <c r="BG25" i="8"/>
  <c r="Z32" i="8"/>
  <c r="AA32" i="8"/>
  <c r="AI32" i="8"/>
  <c r="BV64" i="7"/>
  <c r="AA79" i="7"/>
  <c r="Z79" i="7"/>
  <c r="AM82" i="7"/>
  <c r="AD82" i="7"/>
  <c r="AK82" i="7" s="1"/>
  <c r="BD83" i="7"/>
  <c r="BG83" i="7" s="1"/>
  <c r="W94" i="7"/>
  <c r="AM94" i="7"/>
  <c r="Z94" i="7"/>
  <c r="AK96" i="7"/>
  <c r="P103" i="7"/>
  <c r="AK103" i="7" s="1"/>
  <c r="AM103" i="7"/>
  <c r="S103" i="7"/>
  <c r="I104" i="7"/>
  <c r="H104" i="7"/>
  <c r="C104" i="7"/>
  <c r="AH104" i="7"/>
  <c r="AD104" i="7"/>
  <c r="AK104" i="7" s="1"/>
  <c r="E115" i="7"/>
  <c r="D115" i="7"/>
  <c r="H115" i="7"/>
  <c r="BF115" i="7"/>
  <c r="AK118" i="7"/>
  <c r="BB118" i="7"/>
  <c r="BD119" i="7"/>
  <c r="BG119" i="7" s="1"/>
  <c r="AY119" i="7"/>
  <c r="BT121" i="7"/>
  <c r="Z123" i="7"/>
  <c r="W123" i="7"/>
  <c r="AA123" i="7"/>
  <c r="AU131" i="7"/>
  <c r="BD131" i="7"/>
  <c r="BQ133" i="7"/>
  <c r="BT133" i="7" s="1"/>
  <c r="BV133" i="7"/>
  <c r="W135" i="7"/>
  <c r="AK135" i="7" s="1"/>
  <c r="BE135" i="7" s="1"/>
  <c r="AL135" i="7"/>
  <c r="BF135" i="7"/>
  <c r="T136" i="7"/>
  <c r="AI136" i="7"/>
  <c r="S136" i="7"/>
  <c r="AA136" i="7"/>
  <c r="Z136" i="7"/>
  <c r="AO137" i="7"/>
  <c r="AN137" i="7"/>
  <c r="BQ147" i="7"/>
  <c r="BT147" i="7" s="1"/>
  <c r="BV147" i="7"/>
  <c r="T148" i="7"/>
  <c r="P148" i="7"/>
  <c r="S148" i="7"/>
  <c r="W149" i="7"/>
  <c r="AA149" i="7"/>
  <c r="BD151" i="7"/>
  <c r="AY151" i="7"/>
  <c r="BM156" i="7"/>
  <c r="BU156" i="7"/>
  <c r="L157" i="7"/>
  <c r="K157" i="7"/>
  <c r="BV161" i="7"/>
  <c r="BQ161" i="7"/>
  <c r="BT161" i="7" s="1"/>
  <c r="AY2" i="8"/>
  <c r="BA98" i="8"/>
  <c r="DC164" i="8" s="1"/>
  <c r="BD2" i="8"/>
  <c r="BD3" i="8"/>
  <c r="AU3" i="8"/>
  <c r="BB3" i="8" s="1"/>
  <c r="AM6" i="8"/>
  <c r="AO11" i="8"/>
  <c r="AN11" i="8"/>
  <c r="W16" i="8"/>
  <c r="AK16" i="8" s="1"/>
  <c r="BE16" i="8" s="1"/>
  <c r="AL16" i="8"/>
  <c r="BF16" i="8"/>
  <c r="BG22" i="8"/>
  <c r="I23" i="8"/>
  <c r="H23" i="8"/>
  <c r="G23" i="8"/>
  <c r="BF38" i="8"/>
  <c r="AI47" i="8"/>
  <c r="AO47" i="8" s="1"/>
  <c r="S47" i="8"/>
  <c r="T47" i="8"/>
  <c r="AY38" i="7"/>
  <c r="BB38" i="7" s="1"/>
  <c r="BE38" i="7" s="1"/>
  <c r="BQ40" i="7"/>
  <c r="BT40" i="7" s="1"/>
  <c r="AD41" i="7"/>
  <c r="AK41" i="7" s="1"/>
  <c r="AL41" i="7"/>
  <c r="W42" i="7"/>
  <c r="AM42" i="7"/>
  <c r="AU42" i="7"/>
  <c r="BB42" i="7" s="1"/>
  <c r="BE42" i="7" s="1"/>
  <c r="AN51" i="7"/>
  <c r="AG52" i="7"/>
  <c r="Z53" i="7"/>
  <c r="S54" i="7"/>
  <c r="C55" i="7"/>
  <c r="K55" i="7"/>
  <c r="AN59" i="7"/>
  <c r="AG60" i="7"/>
  <c r="Z61" i="7"/>
  <c r="S62" i="7"/>
  <c r="C63" i="7"/>
  <c r="K63" i="7"/>
  <c r="S65" i="7"/>
  <c r="AH73" i="7"/>
  <c r="BM73" i="7"/>
  <c r="BT73" i="7" s="1"/>
  <c r="Z75" i="7"/>
  <c r="BQ75" i="7"/>
  <c r="BT75" i="7" s="1"/>
  <c r="C76" i="7"/>
  <c r="AG78" i="7"/>
  <c r="AG82" i="7"/>
  <c r="S84" i="7"/>
  <c r="AH85" i="7"/>
  <c r="AG85" i="7"/>
  <c r="AQ85" i="7"/>
  <c r="AI86" i="7"/>
  <c r="T88" i="7"/>
  <c r="S88" i="7"/>
  <c r="P92" i="7"/>
  <c r="AK92" i="7" s="1"/>
  <c r="AM92" i="7"/>
  <c r="S92" i="7"/>
  <c r="T93" i="7"/>
  <c r="S93" i="7"/>
  <c r="AA94" i="7"/>
  <c r="AG99" i="7"/>
  <c r="BI99" i="7"/>
  <c r="BT99" i="7" s="1"/>
  <c r="BT100" i="7"/>
  <c r="AH101" i="7"/>
  <c r="AD101" i="7"/>
  <c r="AK101" i="7" s="1"/>
  <c r="BV101" i="7"/>
  <c r="T103" i="7"/>
  <c r="D104" i="7"/>
  <c r="AG104" i="7"/>
  <c r="AU105" i="7"/>
  <c r="BB105" i="7" s="1"/>
  <c r="BE105" i="7" s="1"/>
  <c r="L106" i="7"/>
  <c r="K106" i="7"/>
  <c r="AG107" i="7"/>
  <c r="BI107" i="7"/>
  <c r="AA109" i="7"/>
  <c r="Z109" i="7"/>
  <c r="BC110" i="7"/>
  <c r="BF110" i="7" s="1"/>
  <c r="BD110" i="7"/>
  <c r="AY110" i="7"/>
  <c r="BB110" i="7" s="1"/>
  <c r="BE110" i="7" s="1"/>
  <c r="C115" i="7"/>
  <c r="P115" i="7"/>
  <c r="AK115" i="7" s="1"/>
  <c r="BV116" i="7"/>
  <c r="E117" i="7"/>
  <c r="D117" i="7"/>
  <c r="H117" i="7"/>
  <c r="AO119" i="7"/>
  <c r="E120" i="7"/>
  <c r="I120" i="7"/>
  <c r="AG122" i="7"/>
  <c r="AM122" i="7"/>
  <c r="BG122" i="7" s="1"/>
  <c r="AH122" i="7"/>
  <c r="L123" i="7"/>
  <c r="K123" i="7"/>
  <c r="AM124" i="7"/>
  <c r="AH124" i="7"/>
  <c r="AG124" i="7"/>
  <c r="BG125" i="7"/>
  <c r="W126" i="7"/>
  <c r="AI130" i="7"/>
  <c r="T130" i="7"/>
  <c r="AH131" i="7"/>
  <c r="AM131" i="7"/>
  <c r="AD131" i="7"/>
  <c r="AK131" i="7" s="1"/>
  <c r="BC139" i="7"/>
  <c r="BF139" i="7" s="1"/>
  <c r="AQ139" i="7"/>
  <c r="AI140" i="7"/>
  <c r="AA140" i="7"/>
  <c r="S146" i="7"/>
  <c r="BF148" i="7"/>
  <c r="Z149" i="7"/>
  <c r="T151" i="7"/>
  <c r="S151" i="7"/>
  <c r="BG153" i="7"/>
  <c r="AN154" i="7"/>
  <c r="AO154" i="7"/>
  <c r="AG157" i="7"/>
  <c r="AH157" i="7"/>
  <c r="BM158" i="7"/>
  <c r="BT158" i="7" s="1"/>
  <c r="BV158" i="7"/>
  <c r="BV159" i="7"/>
  <c r="BQ159" i="7"/>
  <c r="BT159" i="7" s="1"/>
  <c r="W160" i="7"/>
  <c r="AA160" i="7"/>
  <c r="Z160" i="7"/>
  <c r="AI161" i="7"/>
  <c r="AA161" i="7"/>
  <c r="AQ2" i="8"/>
  <c r="AQ98" i="8" s="1"/>
  <c r="AS98" i="8"/>
  <c r="DA164" i="8" s="1"/>
  <c r="AI3" i="8"/>
  <c r="AN3" i="8" s="1"/>
  <c r="S3" i="8"/>
  <c r="BQ5" i="8"/>
  <c r="BT5" i="8" s="1"/>
  <c r="Z6" i="8"/>
  <c r="AL8" i="8"/>
  <c r="P8" i="8"/>
  <c r="AK8" i="8" s="1"/>
  <c r="BE8" i="8" s="1"/>
  <c r="BG16" i="8"/>
  <c r="BF25" i="8"/>
  <c r="AI36" i="8"/>
  <c r="T36" i="8"/>
  <c r="AK41" i="8"/>
  <c r="BE41" i="8" s="1"/>
  <c r="BG43" i="8"/>
  <c r="C38" i="7"/>
  <c r="BQ39" i="7"/>
  <c r="BT39" i="7" s="1"/>
  <c r="AD40" i="7"/>
  <c r="AK40" i="7" s="1"/>
  <c r="AM41" i="7"/>
  <c r="AU41" i="7"/>
  <c r="AG43" i="7"/>
  <c r="BM43" i="7"/>
  <c r="I44" i="7"/>
  <c r="Z44" i="7"/>
  <c r="S45" i="7"/>
  <c r="AQ45" i="7"/>
  <c r="C46" i="7"/>
  <c r="K46" i="7"/>
  <c r="BQ47" i="7"/>
  <c r="BT47" i="7" s="1"/>
  <c r="AD48" i="7"/>
  <c r="AK48" i="7" s="1"/>
  <c r="AM49" i="7"/>
  <c r="AU49" i="7"/>
  <c r="BB49" i="7" s="1"/>
  <c r="BE49" i="7" s="1"/>
  <c r="AN50" i="7"/>
  <c r="AG51" i="7"/>
  <c r="BM51" i="7"/>
  <c r="I52" i="7"/>
  <c r="Z52" i="7"/>
  <c r="AH52" i="7"/>
  <c r="S53" i="7"/>
  <c r="AA53" i="7"/>
  <c r="AQ53" i="7"/>
  <c r="C54" i="7"/>
  <c r="K54" i="7"/>
  <c r="T54" i="7"/>
  <c r="D55" i="7"/>
  <c r="BQ55" i="7"/>
  <c r="BT55" i="7" s="1"/>
  <c r="AD56" i="7"/>
  <c r="AK56" i="7" s="1"/>
  <c r="AM57" i="7"/>
  <c r="AU57" i="7"/>
  <c r="AN58" i="7"/>
  <c r="AG59" i="7"/>
  <c r="BM59" i="7"/>
  <c r="BT59" i="7" s="1"/>
  <c r="I60" i="7"/>
  <c r="Z60" i="7"/>
  <c r="AH60" i="7"/>
  <c r="S61" i="7"/>
  <c r="AA61" i="7"/>
  <c r="AQ61" i="7"/>
  <c r="C62" i="7"/>
  <c r="K62" i="7"/>
  <c r="T62" i="7"/>
  <c r="D63" i="7"/>
  <c r="BQ63" i="7"/>
  <c r="BT63" i="7" s="1"/>
  <c r="AN64" i="7"/>
  <c r="T65" i="7"/>
  <c r="BD65" i="7"/>
  <c r="BM65" i="7"/>
  <c r="BT65" i="7" s="1"/>
  <c r="N66" i="7"/>
  <c r="Z74" i="7"/>
  <c r="AM75" i="7"/>
  <c r="D76" i="7"/>
  <c r="C77" i="7"/>
  <c r="S77" i="7"/>
  <c r="AU77" i="7"/>
  <c r="Z78" i="7"/>
  <c r="AH78" i="7"/>
  <c r="AD79" i="7"/>
  <c r="AK79" i="7" s="1"/>
  <c r="BD79" i="7"/>
  <c r="BG79" i="7" s="1"/>
  <c r="BM80" i="7"/>
  <c r="BC81" i="7"/>
  <c r="BF81" i="7" s="1"/>
  <c r="BD81" i="7"/>
  <c r="BG81" i="7" s="1"/>
  <c r="AH82" i="7"/>
  <c r="T84" i="7"/>
  <c r="AM84" i="7"/>
  <c r="AD84" i="7"/>
  <c r="AK84" i="7" s="1"/>
  <c r="P86" i="7"/>
  <c r="Z89" i="7"/>
  <c r="S90" i="7"/>
  <c r="W91" i="7"/>
  <c r="Z91" i="7"/>
  <c r="AI91" i="7"/>
  <c r="T92" i="7"/>
  <c r="AO95" i="7"/>
  <c r="AN95" i="7"/>
  <c r="AH96" i="7"/>
  <c r="AG96" i="7"/>
  <c r="L99" i="7"/>
  <c r="W99" i="7"/>
  <c r="AH99" i="7"/>
  <c r="E100" i="7"/>
  <c r="D100" i="7"/>
  <c r="C100" i="7"/>
  <c r="T100" i="7"/>
  <c r="P100" i="7"/>
  <c r="AG101" i="7"/>
  <c r="BB101" i="7"/>
  <c r="BC103" i="7"/>
  <c r="BF103" i="7" s="1"/>
  <c r="BD103" i="7"/>
  <c r="AY103" i="7"/>
  <c r="BB103" i="7" s="1"/>
  <c r="E104" i="7"/>
  <c r="BD104" i="7"/>
  <c r="T105" i="7"/>
  <c r="S105" i="7"/>
  <c r="W106" i="7"/>
  <c r="AM106" i="7"/>
  <c r="Z106" i="7"/>
  <c r="BQ106" i="7"/>
  <c r="BT106" i="7" s="1"/>
  <c r="L107" i="7"/>
  <c r="W107" i="7"/>
  <c r="AH107" i="7"/>
  <c r="E108" i="7"/>
  <c r="D108" i="7"/>
  <c r="C108" i="7"/>
  <c r="I109" i="7"/>
  <c r="H109" i="7"/>
  <c r="C109" i="7"/>
  <c r="AQ110" i="7"/>
  <c r="BM110" i="7"/>
  <c r="BT110" i="7" s="1"/>
  <c r="AA114" i="7"/>
  <c r="W114" i="7"/>
  <c r="AO115" i="7"/>
  <c r="AN115" i="7"/>
  <c r="BQ115" i="7"/>
  <c r="BT115" i="7" s="1"/>
  <c r="C117" i="7"/>
  <c r="P117" i="7"/>
  <c r="BV118" i="7"/>
  <c r="E119" i="7"/>
  <c r="D119" i="7"/>
  <c r="H119" i="7"/>
  <c r="AQ119" i="7"/>
  <c r="C120" i="7"/>
  <c r="AI120" i="7"/>
  <c r="BD120" i="7"/>
  <c r="BG120" i="7" s="1"/>
  <c r="BU122" i="7"/>
  <c r="AM123" i="7"/>
  <c r="BV123" i="7"/>
  <c r="BQ123" i="7"/>
  <c r="BT123" i="7" s="1"/>
  <c r="AH127" i="7"/>
  <c r="AM128" i="7"/>
  <c r="AD128" i="7"/>
  <c r="AK128" i="7" s="1"/>
  <c r="AG128" i="7"/>
  <c r="AN130" i="7"/>
  <c r="AG131" i="7"/>
  <c r="S132" i="7"/>
  <c r="AK132" i="7"/>
  <c r="BE132" i="7" s="1"/>
  <c r="BT132" i="7"/>
  <c r="AU133" i="7"/>
  <c r="AN135" i="7"/>
  <c r="AA137" i="7"/>
  <c r="Z137" i="7"/>
  <c r="S138" i="7"/>
  <c r="AD138" i="7"/>
  <c r="AM138" i="7"/>
  <c r="AH138" i="7"/>
  <c r="AG138" i="7"/>
  <c r="E143" i="7"/>
  <c r="H143" i="7"/>
  <c r="C143" i="7"/>
  <c r="P143" i="7"/>
  <c r="T143" i="7"/>
  <c r="Z144" i="7"/>
  <c r="AA144" i="7"/>
  <c r="E146" i="7"/>
  <c r="D146" i="7"/>
  <c r="C146" i="7"/>
  <c r="I146" i="7"/>
  <c r="H146" i="7"/>
  <c r="T146" i="7"/>
  <c r="BG146" i="7"/>
  <c r="AU147" i="7"/>
  <c r="BC149" i="7"/>
  <c r="BF149" i="7" s="1"/>
  <c r="AQ149" i="7"/>
  <c r="L150" i="7"/>
  <c r="K150" i="7"/>
  <c r="H151" i="7"/>
  <c r="I151" i="7"/>
  <c r="E151" i="7"/>
  <c r="AQ151" i="7"/>
  <c r="BQ151" i="7"/>
  <c r="BT151" i="7" s="1"/>
  <c r="BX153" i="7"/>
  <c r="AQ158" i="7"/>
  <c r="BD158" i="7"/>
  <c r="AY158" i="7"/>
  <c r="BB158" i="7" s="1"/>
  <c r="BE158" i="7" s="1"/>
  <c r="BI159" i="7"/>
  <c r="BV163" i="7"/>
  <c r="BQ163" i="7"/>
  <c r="BT163" i="7" s="1"/>
  <c r="BF2" i="8"/>
  <c r="P3" i="8"/>
  <c r="AK3" i="8" s="1"/>
  <c r="AK6" i="8"/>
  <c r="BE6" i="8" s="1"/>
  <c r="AA6" i="8"/>
  <c r="BB6" i="8"/>
  <c r="AM15" i="8"/>
  <c r="T15" i="8"/>
  <c r="P15" i="8"/>
  <c r="AK15" i="8" s="1"/>
  <c r="S15" i="8"/>
  <c r="AI19" i="8"/>
  <c r="AN19" i="8" s="1"/>
  <c r="S19" i="8"/>
  <c r="T19" i="8"/>
  <c r="AN22" i="8"/>
  <c r="AI31" i="8"/>
  <c r="AO31" i="8" s="1"/>
  <c r="AA31" i="8"/>
  <c r="D46" i="7"/>
  <c r="BD49" i="7"/>
  <c r="BV51" i="7"/>
  <c r="D54" i="7"/>
  <c r="E55" i="7"/>
  <c r="BD57" i="7"/>
  <c r="BG57" i="7" s="1"/>
  <c r="BV59" i="7"/>
  <c r="D62" i="7"/>
  <c r="E63" i="7"/>
  <c r="AH64" i="7"/>
  <c r="AM65" i="7"/>
  <c r="BV65" i="7"/>
  <c r="D77" i="7"/>
  <c r="AL77" i="7"/>
  <c r="AM79" i="7"/>
  <c r="E81" i="7"/>
  <c r="D81" i="7"/>
  <c r="C81" i="7"/>
  <c r="E84" i="7"/>
  <c r="D84" i="7"/>
  <c r="AI85" i="7"/>
  <c r="S85" i="7"/>
  <c r="BD85" i="7"/>
  <c r="BG85" i="7" s="1"/>
  <c r="AM88" i="7"/>
  <c r="T89" i="7"/>
  <c r="P89" i="7"/>
  <c r="AA89" i="7"/>
  <c r="AM90" i="7"/>
  <c r="AD90" i="7"/>
  <c r="AK90" i="7" s="1"/>
  <c r="AG90" i="7"/>
  <c r="BD92" i="7"/>
  <c r="BG92" i="7" s="1"/>
  <c r="AY92" i="7"/>
  <c r="AM93" i="7"/>
  <c r="BB100" i="7"/>
  <c r="BF101" i="7"/>
  <c r="T102" i="7"/>
  <c r="P102" i="7"/>
  <c r="AK102" i="7" s="1"/>
  <c r="L110" i="7"/>
  <c r="K110" i="7"/>
  <c r="AA116" i="7"/>
  <c r="W116" i="7"/>
  <c r="AO117" i="7"/>
  <c r="AN117" i="7"/>
  <c r="D120" i="7"/>
  <c r="T121" i="7"/>
  <c r="S121" i="7"/>
  <c r="AA122" i="7"/>
  <c r="Z122" i="7"/>
  <c r="Z125" i="7"/>
  <c r="AM125" i="7"/>
  <c r="BT126" i="7"/>
  <c r="C128" i="7"/>
  <c r="I128" i="7"/>
  <c r="E128" i="7"/>
  <c r="D128" i="7"/>
  <c r="H128" i="7"/>
  <c r="W129" i="7"/>
  <c r="AA129" i="7"/>
  <c r="AI135" i="7"/>
  <c r="T135" i="7"/>
  <c r="BF136" i="7"/>
  <c r="BG137" i="7"/>
  <c r="AI138" i="7"/>
  <c r="Z138" i="7"/>
  <c r="AI141" i="7"/>
  <c r="T141" i="7"/>
  <c r="BB141" i="7"/>
  <c r="AL142" i="7"/>
  <c r="W148" i="7"/>
  <c r="AA148" i="7"/>
  <c r="Z148" i="7"/>
  <c r="E149" i="7"/>
  <c r="D149" i="7"/>
  <c r="H149" i="7"/>
  <c r="AI152" i="7"/>
  <c r="S152" i="7"/>
  <c r="T152" i="7"/>
  <c r="T153" i="7"/>
  <c r="S153" i="7"/>
  <c r="AO155" i="7"/>
  <c r="AN155" i="7"/>
  <c r="AK158" i="7"/>
  <c r="BF158" i="7"/>
  <c r="AA159" i="7"/>
  <c r="Z159" i="7"/>
  <c r="W159" i="7"/>
  <c r="AM159" i="7"/>
  <c r="AI162" i="7"/>
  <c r="T162" i="7"/>
  <c r="AH163" i="7"/>
  <c r="AG163" i="7"/>
  <c r="BV2" i="8"/>
  <c r="BS98" i="8"/>
  <c r="DF164" i="8" s="1"/>
  <c r="BQ2" i="8"/>
  <c r="AI5" i="8"/>
  <c r="AN5" i="8" s="1"/>
  <c r="AA5" i="8"/>
  <c r="BG6" i="8"/>
  <c r="BX7" i="8"/>
  <c r="AD8" i="8"/>
  <c r="AG8" i="8"/>
  <c r="AM9" i="8"/>
  <c r="T9" i="8"/>
  <c r="P9" i="8"/>
  <c r="S9" i="8"/>
  <c r="AI22" i="8"/>
  <c r="AO22" i="8" s="1"/>
  <c r="S22" i="8"/>
  <c r="BG37" i="8"/>
  <c r="BE37" i="8"/>
  <c r="AD52" i="6"/>
  <c r="AM60" i="6"/>
  <c r="AM65" i="6"/>
  <c r="AD72" i="6"/>
  <c r="AK72" i="6" s="1"/>
  <c r="AD77" i="6"/>
  <c r="AK77" i="6" s="1"/>
  <c r="BE77" i="6" s="1"/>
  <c r="AM87" i="6"/>
  <c r="BG87" i="6" s="1"/>
  <c r="AM95" i="6"/>
  <c r="AM113" i="6"/>
  <c r="BI2" i="7"/>
  <c r="BI66" i="7" s="1"/>
  <c r="BQ2" i="7"/>
  <c r="AM4" i="7"/>
  <c r="BG4" i="7" s="1"/>
  <c r="I7" i="7"/>
  <c r="I10" i="7"/>
  <c r="AM15" i="7"/>
  <c r="I18" i="7"/>
  <c r="AD22" i="7"/>
  <c r="AM23" i="7"/>
  <c r="I26" i="7"/>
  <c r="D29" i="7"/>
  <c r="AM31" i="7"/>
  <c r="I34" i="7"/>
  <c r="D37" i="7"/>
  <c r="AM39" i="7"/>
  <c r="AN40" i="7"/>
  <c r="AG41" i="7"/>
  <c r="I42" i="7"/>
  <c r="Z42" i="7"/>
  <c r="S43" i="7"/>
  <c r="C44" i="7"/>
  <c r="K44" i="7"/>
  <c r="D45" i="7"/>
  <c r="AM47" i="7"/>
  <c r="AN48" i="7"/>
  <c r="AG49" i="7"/>
  <c r="I50" i="7"/>
  <c r="Z50" i="7"/>
  <c r="S51" i="7"/>
  <c r="C52" i="7"/>
  <c r="K52" i="7"/>
  <c r="D53" i="7"/>
  <c r="AM55" i="7"/>
  <c r="AN56" i="7"/>
  <c r="AG57" i="7"/>
  <c r="I58" i="7"/>
  <c r="Z58" i="7"/>
  <c r="S59" i="7"/>
  <c r="C60" i="7"/>
  <c r="K60" i="7"/>
  <c r="D61" i="7"/>
  <c r="AM63" i="7"/>
  <c r="AG64" i="7"/>
  <c r="Z72" i="7"/>
  <c r="D73" i="7"/>
  <c r="BU73" i="7"/>
  <c r="C74" i="7"/>
  <c r="AH76" i="7"/>
  <c r="AM77" i="7"/>
  <c r="AD77" i="7"/>
  <c r="AK77" i="7" s="1"/>
  <c r="S78" i="7"/>
  <c r="AM78" i="7"/>
  <c r="BQ78" i="7"/>
  <c r="BT78" i="7" s="1"/>
  <c r="C79" i="7"/>
  <c r="S80" i="7"/>
  <c r="Z81" i="7"/>
  <c r="Z82" i="7"/>
  <c r="AO83" i="7"/>
  <c r="AN83" i="7"/>
  <c r="BQ83" i="7"/>
  <c r="BT83" i="7" s="1"/>
  <c r="C84" i="7"/>
  <c r="AL84" i="7"/>
  <c r="AH84" i="7"/>
  <c r="AA85" i="7"/>
  <c r="T86" i="7"/>
  <c r="BM87" i="7"/>
  <c r="AG88" i="7"/>
  <c r="S89" i="7"/>
  <c r="BQ89" i="7"/>
  <c r="BT89" i="7" s="1"/>
  <c r="D90" i="7"/>
  <c r="AH90" i="7"/>
  <c r="AQ92" i="7"/>
  <c r="BM92" i="7"/>
  <c r="AG93" i="7"/>
  <c r="S94" i="7"/>
  <c r="AA99" i="7"/>
  <c r="Z99" i="7"/>
  <c r="H100" i="7"/>
  <c r="AM100" i="7"/>
  <c r="BD101" i="7"/>
  <c r="BG101" i="7" s="1"/>
  <c r="S102" i="7"/>
  <c r="AA104" i="7"/>
  <c r="Z104" i="7"/>
  <c r="AM104" i="7"/>
  <c r="BX104" i="7"/>
  <c r="AM105" i="7"/>
  <c r="BG105" i="7" s="1"/>
  <c r="BI105" i="7"/>
  <c r="AA107" i="7"/>
  <c r="Z107" i="7"/>
  <c r="H108" i="7"/>
  <c r="BC108" i="7"/>
  <c r="BF108" i="7" s="1"/>
  <c r="BD108" i="7"/>
  <c r="BG108" i="7" s="1"/>
  <c r="AY108" i="7"/>
  <c r="BB108" i="7" s="1"/>
  <c r="BE108" i="7" s="1"/>
  <c r="E109" i="7"/>
  <c r="W110" i="7"/>
  <c r="AM110" i="7"/>
  <c r="Z110" i="7"/>
  <c r="L114" i="7"/>
  <c r="AO114" i="7"/>
  <c r="I115" i="7"/>
  <c r="BV115" i="7"/>
  <c r="Z116" i="7"/>
  <c r="AM116" i="7"/>
  <c r="AA118" i="7"/>
  <c r="W118" i="7"/>
  <c r="AA120" i="7"/>
  <c r="BF120" i="7"/>
  <c r="BC121" i="7"/>
  <c r="BF121" i="7" s="1"/>
  <c r="BM121" i="7"/>
  <c r="AA125" i="7"/>
  <c r="BU126" i="7"/>
  <c r="Z129" i="7"/>
  <c r="BV129" i="7"/>
  <c r="I130" i="7"/>
  <c r="H130" i="7"/>
  <c r="C130" i="7"/>
  <c r="S130" i="7"/>
  <c r="BC130" i="7"/>
  <c r="BF130" i="7" s="1"/>
  <c r="BC131" i="7"/>
  <c r="BF131" i="7" s="1"/>
  <c r="AQ131" i="7"/>
  <c r="BB131" i="7" s="1"/>
  <c r="BE131" i="7" s="1"/>
  <c r="AA133" i="7"/>
  <c r="Z133" i="7"/>
  <c r="BM133" i="7"/>
  <c r="BU133" i="7"/>
  <c r="L134" i="7"/>
  <c r="K134" i="7"/>
  <c r="BG136" i="7"/>
  <c r="AN139" i="7"/>
  <c r="AO139" i="7"/>
  <c r="W142" i="7"/>
  <c r="AA142" i="7"/>
  <c r="Z142" i="7"/>
  <c r="AA147" i="7"/>
  <c r="Z147" i="7"/>
  <c r="BM147" i="7"/>
  <c r="BU147" i="7"/>
  <c r="L148" i="7"/>
  <c r="K148" i="7"/>
  <c r="C149" i="7"/>
  <c r="AM149" i="7"/>
  <c r="BB150" i="7"/>
  <c r="BE150" i="7" s="1"/>
  <c r="D151" i="7"/>
  <c r="AI151" i="7"/>
  <c r="AH152" i="7"/>
  <c r="AG152" i="7"/>
  <c r="AD153" i="7"/>
  <c r="AK153" i="7" s="1"/>
  <c r="AM153" i="7"/>
  <c r="AH153" i="7"/>
  <c r="AH156" i="7"/>
  <c r="BQ156" i="7"/>
  <c r="BT156" i="7" s="1"/>
  <c r="BV156" i="7"/>
  <c r="Z161" i="7"/>
  <c r="BF162" i="7"/>
  <c r="BG163" i="7"/>
  <c r="I2" i="8"/>
  <c r="H2" i="8"/>
  <c r="G2" i="8"/>
  <c r="U98" i="8"/>
  <c r="AF98" i="8"/>
  <c r="CZ164" i="8" s="1"/>
  <c r="AH2" i="8"/>
  <c r="AH98" i="8" s="1"/>
  <c r="AG2" i="8"/>
  <c r="AG98" i="8" s="1"/>
  <c r="AM2" i="8"/>
  <c r="AD2" i="8"/>
  <c r="AD98" i="8" s="1"/>
  <c r="BJ98" i="8"/>
  <c r="DD311" i="8" s="1"/>
  <c r="T3" i="8"/>
  <c r="AY4" i="8"/>
  <c r="BV4" i="8"/>
  <c r="AO5" i="8"/>
  <c r="AH8" i="8"/>
  <c r="AU12" i="8"/>
  <c r="BB12" i="8" s="1"/>
  <c r="BD12" i="8"/>
  <c r="BV17" i="8"/>
  <c r="BM17" i="8"/>
  <c r="BT17" i="8" s="1"/>
  <c r="BF22" i="8"/>
  <c r="AI27" i="8"/>
  <c r="T27" i="8"/>
  <c r="AD64" i="6"/>
  <c r="AK64" i="6" s="1"/>
  <c r="W68" i="6"/>
  <c r="AK68" i="6" s="1"/>
  <c r="BE68" i="6" s="1"/>
  <c r="AD71" i="6"/>
  <c r="AK71" i="6" s="1"/>
  <c r="AD82" i="6"/>
  <c r="AK82" i="6" s="1"/>
  <c r="W90" i="6"/>
  <c r="AD94" i="6"/>
  <c r="AK94" i="6" s="1"/>
  <c r="W97" i="6"/>
  <c r="AD100" i="6"/>
  <c r="AK100" i="6" s="1"/>
  <c r="W101" i="6"/>
  <c r="AK101" i="6" s="1"/>
  <c r="BE101" i="6" s="1"/>
  <c r="AD105" i="6"/>
  <c r="AK105" i="6" s="1"/>
  <c r="AD109" i="6"/>
  <c r="AK109" i="6" s="1"/>
  <c r="W112" i="6"/>
  <c r="W117" i="6"/>
  <c r="AD123" i="6"/>
  <c r="AK123" i="6" s="1"/>
  <c r="W127" i="6"/>
  <c r="AD142" i="6"/>
  <c r="AK142" i="6" s="1"/>
  <c r="AD146" i="6"/>
  <c r="AK146" i="6" s="1"/>
  <c r="AD2" i="7"/>
  <c r="AL2" i="7"/>
  <c r="W3" i="7"/>
  <c r="AK3" i="7" s="1"/>
  <c r="BE3" i="7" s="1"/>
  <c r="H5" i="7"/>
  <c r="AD13" i="7"/>
  <c r="AK13" i="7" s="1"/>
  <c r="W14" i="7"/>
  <c r="AK14" i="7" s="1"/>
  <c r="H16" i="7"/>
  <c r="AD21" i="7"/>
  <c r="AK21" i="7" s="1"/>
  <c r="W22" i="7"/>
  <c r="H24" i="7"/>
  <c r="AD29" i="7"/>
  <c r="AK29" i="7" s="1"/>
  <c r="W30" i="7"/>
  <c r="H32" i="7"/>
  <c r="AD37" i="7"/>
  <c r="AK37" i="7" s="1"/>
  <c r="W38" i="7"/>
  <c r="H40" i="7"/>
  <c r="D44" i="7"/>
  <c r="AD45" i="7"/>
  <c r="AK45" i="7" s="1"/>
  <c r="W46" i="7"/>
  <c r="H48" i="7"/>
  <c r="D52" i="7"/>
  <c r="AD53" i="7"/>
  <c r="AK53" i="7" s="1"/>
  <c r="W54" i="7"/>
  <c r="H56" i="7"/>
  <c r="D60" i="7"/>
  <c r="AD61" i="7"/>
  <c r="W62" i="7"/>
  <c r="H64" i="7"/>
  <c r="Z64" i="7"/>
  <c r="W65" i="7"/>
  <c r="AK65" i="7" s="1"/>
  <c r="BE65" i="7" s="1"/>
  <c r="AM73" i="7"/>
  <c r="D74" i="7"/>
  <c r="D79" i="7"/>
  <c r="T80" i="7"/>
  <c r="BU80" i="7"/>
  <c r="P81" i="7"/>
  <c r="AA81" i="7"/>
  <c r="AM85" i="7"/>
  <c r="AI87" i="7"/>
  <c r="AA87" i="7"/>
  <c r="Z87" i="7"/>
  <c r="E88" i="7"/>
  <c r="D88" i="7"/>
  <c r="C88" i="7"/>
  <c r="AA88" i="7"/>
  <c r="W88" i="7"/>
  <c r="AH88" i="7"/>
  <c r="AL89" i="7"/>
  <c r="AO91" i="7"/>
  <c r="E93" i="7"/>
  <c r="D93" i="7"/>
  <c r="C93" i="7"/>
  <c r="AA93" i="7"/>
  <c r="W93" i="7"/>
  <c r="AH93" i="7"/>
  <c r="AH95" i="7"/>
  <c r="AI96" i="7"/>
  <c r="S96" i="7"/>
  <c r="AM96" i="7"/>
  <c r="BT96" i="7"/>
  <c r="I99" i="7"/>
  <c r="H99" i="7"/>
  <c r="C99" i="7"/>
  <c r="I100" i="7"/>
  <c r="AL100" i="7"/>
  <c r="BF100" i="7" s="1"/>
  <c r="BD100" i="7"/>
  <c r="BG100" i="7" s="1"/>
  <c r="BM100" i="7"/>
  <c r="AM102" i="7"/>
  <c r="BT103" i="7"/>
  <c r="BQ104" i="7"/>
  <c r="BT104" i="7" s="1"/>
  <c r="E106" i="7"/>
  <c r="D106" i="7"/>
  <c r="C106" i="7"/>
  <c r="I107" i="7"/>
  <c r="H107" i="7"/>
  <c r="C107" i="7"/>
  <c r="I108" i="7"/>
  <c r="AM109" i="7"/>
  <c r="BU110" i="7"/>
  <c r="AL114" i="7"/>
  <c r="I117" i="7"/>
  <c r="AY117" i="7"/>
  <c r="BB117" i="7" s="1"/>
  <c r="BE117" i="7" s="1"/>
  <c r="BV117" i="7"/>
  <c r="Z118" i="7"/>
  <c r="AM118" i="7"/>
  <c r="AI122" i="7"/>
  <c r="T122" i="7"/>
  <c r="P124" i="7"/>
  <c r="BB124" i="7"/>
  <c r="E125" i="7"/>
  <c r="I125" i="7"/>
  <c r="C125" i="7"/>
  <c r="P125" i="7"/>
  <c r="BI125" i="7"/>
  <c r="BT125" i="7" s="1"/>
  <c r="BV125" i="7"/>
  <c r="E127" i="7"/>
  <c r="H127" i="7"/>
  <c r="D127" i="7"/>
  <c r="AM127" i="7"/>
  <c r="D130" i="7"/>
  <c r="L132" i="7"/>
  <c r="K132" i="7"/>
  <c r="BG135" i="7"/>
  <c r="AD137" i="7"/>
  <c r="AK137" i="7" s="1"/>
  <c r="BE137" i="7" s="1"/>
  <c r="AG137" i="7"/>
  <c r="AG139" i="7"/>
  <c r="AO140" i="7"/>
  <c r="AN140" i="7"/>
  <c r="BD141" i="7"/>
  <c r="BG141" i="7" s="1"/>
  <c r="I143" i="7"/>
  <c r="AL152" i="7"/>
  <c r="AD152" i="7"/>
  <c r="AK152" i="7" s="1"/>
  <c r="BV153" i="7"/>
  <c r="BM153" i="7"/>
  <c r="BC155" i="7"/>
  <c r="BF155" i="7" s="1"/>
  <c r="BD155" i="7"/>
  <c r="BG155" i="7" s="1"/>
  <c r="AY155" i="7"/>
  <c r="W156" i="7"/>
  <c r="AG158" i="7"/>
  <c r="BD162" i="7"/>
  <c r="BT162" i="7"/>
  <c r="AM163" i="7"/>
  <c r="V2" i="8"/>
  <c r="BY98" i="8"/>
  <c r="DG311" i="8" s="1"/>
  <c r="I3" i="8"/>
  <c r="H3" i="8"/>
  <c r="BV6" i="8"/>
  <c r="BD7" i="8"/>
  <c r="AY7" i="8"/>
  <c r="BF8" i="8"/>
  <c r="BD9" i="8"/>
  <c r="AY9" i="8"/>
  <c r="BB9" i="8" s="1"/>
  <c r="BB11" i="8"/>
  <c r="AA14" i="8"/>
  <c r="Z14" i="8"/>
  <c r="W14" i="8"/>
  <c r="AK14" i="8" s="1"/>
  <c r="BE14" i="8" s="1"/>
  <c r="AM14" i="8"/>
  <c r="BB14" i="8"/>
  <c r="AU19" i="8"/>
  <c r="BB19" i="8" s="1"/>
  <c r="BC19" i="8"/>
  <c r="BF19" i="8" s="1"/>
  <c r="BV21" i="8"/>
  <c r="BQ21" i="8"/>
  <c r="BT21" i="8" s="1"/>
  <c r="AL22" i="8"/>
  <c r="BT28" i="8"/>
  <c r="BF29" i="8"/>
  <c r="BB51" i="8"/>
  <c r="AM2" i="7"/>
  <c r="AA64" i="7"/>
  <c r="BQ64" i="7"/>
  <c r="BT64" i="7" s="1"/>
  <c r="AD73" i="7"/>
  <c r="AK73" i="7" s="1"/>
  <c r="AM74" i="7"/>
  <c r="AD74" i="7"/>
  <c r="W75" i="7"/>
  <c r="Z76" i="7"/>
  <c r="W77" i="7"/>
  <c r="BC77" i="7"/>
  <c r="W79" i="7"/>
  <c r="AM80" i="7"/>
  <c r="S82" i="7"/>
  <c r="AY83" i="7"/>
  <c r="BB83" i="7" s="1"/>
  <c r="BE83" i="7" s="1"/>
  <c r="Z84" i="7"/>
  <c r="BU85" i="7"/>
  <c r="AM87" i="7"/>
  <c r="BQ87" i="7"/>
  <c r="BT87" i="7" s="1"/>
  <c r="Z88" i="7"/>
  <c r="E89" i="7"/>
  <c r="D89" i="7"/>
  <c r="AD89" i="7"/>
  <c r="AK89" i="7" s="1"/>
  <c r="W90" i="7"/>
  <c r="BQ92" i="7"/>
  <c r="BT92" i="7" s="1"/>
  <c r="AI93" i="7"/>
  <c r="Z93" i="7"/>
  <c r="E94" i="7"/>
  <c r="D94" i="7"/>
  <c r="BM95" i="7"/>
  <c r="AA96" i="7"/>
  <c r="D99" i="7"/>
  <c r="AD99" i="7"/>
  <c r="AK99" i="7" s="1"/>
  <c r="AU99" i="7"/>
  <c r="BB99" i="7" s="1"/>
  <c r="L100" i="7"/>
  <c r="K100" i="7"/>
  <c r="W100" i="7"/>
  <c r="AM101" i="7"/>
  <c r="BX101" i="7"/>
  <c r="AL102" i="7"/>
  <c r="BC102" i="7"/>
  <c r="BF102" i="7" s="1"/>
  <c r="BD102" i="7"/>
  <c r="BG102" i="7" s="1"/>
  <c r="BM102" i="7"/>
  <c r="BT102" i="7" s="1"/>
  <c r="BU103" i="7"/>
  <c r="AA105" i="7"/>
  <c r="W105" i="7"/>
  <c r="D107" i="7"/>
  <c r="AD107" i="7"/>
  <c r="AK107" i="7" s="1"/>
  <c r="AU107" i="7"/>
  <c r="BB107" i="7" s="1"/>
  <c r="BE107" i="7" s="1"/>
  <c r="L108" i="7"/>
  <c r="K108" i="7"/>
  <c r="AG109" i="7"/>
  <c r="BI109" i="7"/>
  <c r="AD114" i="7"/>
  <c r="AK114" i="7" s="1"/>
  <c r="BB114" i="7"/>
  <c r="BE114" i="7" s="1"/>
  <c r="BD115" i="7"/>
  <c r="BG115" i="7" s="1"/>
  <c r="AL116" i="7"/>
  <c r="I119" i="7"/>
  <c r="H120" i="7"/>
  <c r="AO120" i="7"/>
  <c r="AN120" i="7"/>
  <c r="BQ120" i="7"/>
  <c r="BT120" i="7" s="1"/>
  <c r="BD123" i="7"/>
  <c r="BG123" i="7" s="1"/>
  <c r="D125" i="7"/>
  <c r="S126" i="7"/>
  <c r="T126" i="7"/>
  <c r="C127" i="7"/>
  <c r="AA128" i="7"/>
  <c r="W128" i="7"/>
  <c r="E129" i="7"/>
  <c r="I129" i="7"/>
  <c r="H129" i="7"/>
  <c r="E130" i="7"/>
  <c r="BQ130" i="7"/>
  <c r="BT130" i="7" s="1"/>
  <c r="T131" i="7"/>
  <c r="AI131" i="7"/>
  <c r="S131" i="7"/>
  <c r="BD133" i="7"/>
  <c r="BG133" i="7" s="1"/>
  <c r="S135" i="7"/>
  <c r="BU135" i="7"/>
  <c r="W136" i="7"/>
  <c r="AH137" i="7"/>
  <c r="BT137" i="7"/>
  <c r="AA138" i="7"/>
  <c r="BV138" i="7"/>
  <c r="BM138" i="7"/>
  <c r="BM142" i="7"/>
  <c r="AM143" i="7"/>
  <c r="H144" i="7"/>
  <c r="I144" i="7"/>
  <c r="E144" i="7"/>
  <c r="D144" i="7"/>
  <c r="BD147" i="7"/>
  <c r="BG147" i="7" s="1"/>
  <c r="AU149" i="7"/>
  <c r="BB149" i="7" s="1"/>
  <c r="BE149" i="7" s="1"/>
  <c r="BD149" i="7"/>
  <c r="BG149" i="7" s="1"/>
  <c r="BC150" i="7"/>
  <c r="BF150" i="7" s="1"/>
  <c r="BM154" i="7"/>
  <c r="AM156" i="7"/>
  <c r="AN157" i="7"/>
  <c r="AO157" i="7"/>
  <c r="BB159" i="7"/>
  <c r="BE159" i="7" s="1"/>
  <c r="BD161" i="7"/>
  <c r="BG161" i="7" s="1"/>
  <c r="AY161" i="7"/>
  <c r="BB161" i="7" s="1"/>
  <c r="BE161" i="7" s="1"/>
  <c r="BZ98" i="8"/>
  <c r="DG164" i="8" s="1"/>
  <c r="BX2" i="8"/>
  <c r="BX98" i="8" s="1"/>
  <c r="AK5" i="8"/>
  <c r="BE5" i="8" s="1"/>
  <c r="Z5" i="8"/>
  <c r="W9" i="8"/>
  <c r="AA9" i="8"/>
  <c r="Z9" i="8"/>
  <c r="AK10" i="8"/>
  <c r="BM10" i="8"/>
  <c r="BV10" i="8"/>
  <c r="AA17" i="8"/>
  <c r="W17" i="8"/>
  <c r="AK17" i="8" s="1"/>
  <c r="Z17" i="8"/>
  <c r="BB18" i="8"/>
  <c r="W20" i="8"/>
  <c r="AA20" i="8"/>
  <c r="Z20" i="8"/>
  <c r="AK31" i="8"/>
  <c r="BB23" i="8"/>
  <c r="S27" i="8"/>
  <c r="T29" i="8"/>
  <c r="AM29" i="8"/>
  <c r="Z31" i="8"/>
  <c r="BD32" i="8"/>
  <c r="AY32" i="8"/>
  <c r="BB32" i="8" s="1"/>
  <c r="AM34" i="8"/>
  <c r="P34" i="8"/>
  <c r="AK34" i="8" s="1"/>
  <c r="BE34" i="8" s="1"/>
  <c r="S36" i="8"/>
  <c r="AI37" i="8"/>
  <c r="S37" i="8"/>
  <c r="AA37" i="8"/>
  <c r="Z37" i="8"/>
  <c r="BF37" i="8"/>
  <c r="AK38" i="8"/>
  <c r="L39" i="8"/>
  <c r="K39" i="8"/>
  <c r="AI41" i="8"/>
  <c r="S41" i="8"/>
  <c r="AA41" i="8"/>
  <c r="Z41" i="8"/>
  <c r="BC45" i="8"/>
  <c r="BF45" i="8" s="1"/>
  <c r="AG46" i="8"/>
  <c r="BM46" i="8"/>
  <c r="BT46" i="8" s="1"/>
  <c r="BV46" i="8"/>
  <c r="I47" i="8"/>
  <c r="H47" i="8"/>
  <c r="G47" i="8"/>
  <c r="BD47" i="8"/>
  <c r="AY47" i="8"/>
  <c r="AA48" i="8"/>
  <c r="Z48" i="8"/>
  <c r="AA49" i="8"/>
  <c r="Z49" i="8"/>
  <c r="AM49" i="8"/>
  <c r="W53" i="8"/>
  <c r="AA53" i="8"/>
  <c r="I57" i="8"/>
  <c r="H57" i="8"/>
  <c r="AL58" i="8"/>
  <c r="AD58" i="8"/>
  <c r="AK58" i="8" s="1"/>
  <c r="E61" i="8"/>
  <c r="D61" i="8"/>
  <c r="C61" i="8"/>
  <c r="BV65" i="8"/>
  <c r="BM65" i="8"/>
  <c r="AI68" i="8"/>
  <c r="AA71" i="8"/>
  <c r="Z71" i="8"/>
  <c r="BD71" i="8"/>
  <c r="AY71" i="8"/>
  <c r="BB71" i="8" s="1"/>
  <c r="BE81" i="8"/>
  <c r="BG88" i="8"/>
  <c r="AG92" i="8"/>
  <c r="AH92" i="8"/>
  <c r="AD121" i="7"/>
  <c r="AU122" i="7"/>
  <c r="BB122" i="7" s="1"/>
  <c r="BE122" i="7" s="1"/>
  <c r="AQ125" i="7"/>
  <c r="C126" i="7"/>
  <c r="I126" i="7"/>
  <c r="BC126" i="7"/>
  <c r="BF126" i="7" s="1"/>
  <c r="BI126" i="7"/>
  <c r="BU127" i="7"/>
  <c r="BC128" i="7"/>
  <c r="BF128" i="7" s="1"/>
  <c r="BC129" i="7"/>
  <c r="BF129" i="7" s="1"/>
  <c r="BD129" i="7"/>
  <c r="BG130" i="7"/>
  <c r="BU132" i="7"/>
  <c r="BD134" i="7"/>
  <c r="BG134" i="7" s="1"/>
  <c r="AY134" i="7"/>
  <c r="BB134" i="7" s="1"/>
  <c r="AU138" i="7"/>
  <c r="BB138" i="7" s="1"/>
  <c r="E140" i="7"/>
  <c r="H140" i="7"/>
  <c r="Z140" i="7"/>
  <c r="BV140" i="7"/>
  <c r="AH141" i="7"/>
  <c r="AG141" i="7"/>
  <c r="T142" i="7"/>
  <c r="S142" i="7"/>
  <c r="AM142" i="7"/>
  <c r="BC142" i="7"/>
  <c r="BF142" i="7" s="1"/>
  <c r="BC144" i="7"/>
  <c r="BF144" i="7" s="1"/>
  <c r="BD144" i="7"/>
  <c r="BG144" i="7" s="1"/>
  <c r="AD145" i="7"/>
  <c r="AK145" i="7" s="1"/>
  <c r="BE145" i="7" s="1"/>
  <c r="BU146" i="7"/>
  <c r="AL148" i="7"/>
  <c r="BB148" i="7"/>
  <c r="AG151" i="7"/>
  <c r="BM151" i="7"/>
  <c r="BV151" i="7"/>
  <c r="BD152" i="7"/>
  <c r="BG152" i="7" s="1"/>
  <c r="AY152" i="7"/>
  <c r="BB152" i="7" s="1"/>
  <c r="BE152" i="7" s="1"/>
  <c r="BB153" i="7"/>
  <c r="BE153" i="7" s="1"/>
  <c r="E155" i="7"/>
  <c r="H155" i="7"/>
  <c r="Z155" i="7"/>
  <c r="BV155" i="7"/>
  <c r="AM160" i="7"/>
  <c r="BC160" i="7"/>
  <c r="BF160" i="7" s="1"/>
  <c r="AO161" i="7"/>
  <c r="AN161" i="7"/>
  <c r="AH162" i="7"/>
  <c r="AG162" i="7"/>
  <c r="AZ98" i="8"/>
  <c r="DC311" i="8" s="1"/>
  <c r="BK98" i="8"/>
  <c r="DD164" i="8" s="1"/>
  <c r="AA3" i="8"/>
  <c r="Z3" i="8"/>
  <c r="AM4" i="8"/>
  <c r="T4" i="8"/>
  <c r="BC4" i="8"/>
  <c r="BF4" i="8" s="1"/>
  <c r="BG5" i="8"/>
  <c r="AQ7" i="8"/>
  <c r="I8" i="8"/>
  <c r="H8" i="8"/>
  <c r="BB8" i="8"/>
  <c r="BQ9" i="8"/>
  <c r="BT9" i="8" s="1"/>
  <c r="W10" i="8"/>
  <c r="BV11" i="8"/>
  <c r="AH13" i="8"/>
  <c r="AG13" i="8"/>
  <c r="BD15" i="8"/>
  <c r="AU17" i="8"/>
  <c r="BB17" i="8" s="1"/>
  <c r="BC18" i="8"/>
  <c r="BF18" i="8" s="1"/>
  <c r="AO19" i="8"/>
  <c r="BU19" i="8"/>
  <c r="AU20" i="8"/>
  <c r="BD20" i="8"/>
  <c r="BT20" i="8"/>
  <c r="AA22" i="8"/>
  <c r="Z22" i="8"/>
  <c r="AU22" i="8"/>
  <c r="BB22" i="8" s="1"/>
  <c r="AM23" i="8"/>
  <c r="T23" i="8"/>
  <c r="BC23" i="8"/>
  <c r="BF23" i="8" s="1"/>
  <c r="C24" i="8"/>
  <c r="AG25" i="8"/>
  <c r="E26" i="8"/>
  <c r="D26" i="8"/>
  <c r="S29" i="8"/>
  <c r="BB29" i="8"/>
  <c r="L33" i="8"/>
  <c r="K33" i="8"/>
  <c r="S34" i="8"/>
  <c r="BC34" i="8"/>
  <c r="BF34" i="8" s="1"/>
  <c r="AG35" i="8"/>
  <c r="AM37" i="8"/>
  <c r="G38" i="8"/>
  <c r="AL38" i="8"/>
  <c r="AN40" i="8"/>
  <c r="BV40" i="8"/>
  <c r="AM41" i="8"/>
  <c r="BG41" i="8" s="1"/>
  <c r="I43" i="8"/>
  <c r="H43" i="8"/>
  <c r="BB43" i="8"/>
  <c r="AY44" i="8"/>
  <c r="BU44" i="8"/>
  <c r="BD45" i="8"/>
  <c r="AI46" i="8"/>
  <c r="AQ47" i="8"/>
  <c r="AL48" i="8"/>
  <c r="L50" i="8"/>
  <c r="K50" i="8"/>
  <c r="AM50" i="8"/>
  <c r="AA50" i="8"/>
  <c r="Z50" i="8"/>
  <c r="BQ50" i="8"/>
  <c r="BT50" i="8" s="1"/>
  <c r="BV50" i="8"/>
  <c r="K51" i="8"/>
  <c r="AY52" i="8"/>
  <c r="BB52" i="8" s="1"/>
  <c r="BD52" i="8"/>
  <c r="Z53" i="8"/>
  <c r="E54" i="8"/>
  <c r="C54" i="8"/>
  <c r="BX56" i="8"/>
  <c r="G57" i="8"/>
  <c r="BU58" i="8"/>
  <c r="BQ58" i="8"/>
  <c r="BT58" i="8" s="1"/>
  <c r="Z72" i="8"/>
  <c r="AI72" i="8"/>
  <c r="AA72" i="8"/>
  <c r="T74" i="8"/>
  <c r="AM74" i="8"/>
  <c r="P74" i="8"/>
  <c r="AK74" i="8" s="1"/>
  <c r="BE74" i="8" s="1"/>
  <c r="S74" i="8"/>
  <c r="AI110" i="8"/>
  <c r="S110" i="8"/>
  <c r="T110" i="8"/>
  <c r="BF110" i="8"/>
  <c r="BB117" i="8"/>
  <c r="AO119" i="8"/>
  <c r="AN119" i="8"/>
  <c r="AG146" i="8"/>
  <c r="AH146" i="8"/>
  <c r="O59" i="9"/>
  <c r="AI2" i="9"/>
  <c r="AI59" i="9" s="1"/>
  <c r="AN5" i="9"/>
  <c r="AO5" i="9"/>
  <c r="AU10" i="8"/>
  <c r="BB10" i="8" s="1"/>
  <c r="BD10" i="8"/>
  <c r="BT10" i="8"/>
  <c r="AU16" i="8"/>
  <c r="BB16" i="8" s="1"/>
  <c r="AH21" i="8"/>
  <c r="AG21" i="8"/>
  <c r="D24" i="8"/>
  <c r="AI24" i="8"/>
  <c r="AH25" i="8"/>
  <c r="BM25" i="8"/>
  <c r="BT25" i="8" s="1"/>
  <c r="AM28" i="8"/>
  <c r="BG28" i="8" s="1"/>
  <c r="T34" i="8"/>
  <c r="AH35" i="8"/>
  <c r="AH36" i="8"/>
  <c r="AG36" i="8"/>
  <c r="H38" i="8"/>
  <c r="T38" i="8"/>
  <c r="S38" i="8"/>
  <c r="BB38" i="8"/>
  <c r="I48" i="8"/>
  <c r="H48" i="8"/>
  <c r="BB48" i="8"/>
  <c r="AY49" i="8"/>
  <c r="BB49" i="8" s="1"/>
  <c r="BD49" i="8"/>
  <c r="BB50" i="8"/>
  <c r="AU55" i="8"/>
  <c r="BD55" i="8"/>
  <c r="BC57" i="8"/>
  <c r="AY57" i="8"/>
  <c r="BM57" i="8"/>
  <c r="BT57" i="8" s="1"/>
  <c r="BU57" i="8"/>
  <c r="AD59" i="8"/>
  <c r="AH59" i="8"/>
  <c r="AG59" i="8"/>
  <c r="BF59" i="8"/>
  <c r="L60" i="8"/>
  <c r="K60" i="8"/>
  <c r="I62" i="8"/>
  <c r="H62" i="8"/>
  <c r="G62" i="8"/>
  <c r="Z66" i="8"/>
  <c r="AI66" i="8"/>
  <c r="AA66" i="8"/>
  <c r="E76" i="8"/>
  <c r="D76" i="8"/>
  <c r="C76" i="8"/>
  <c r="AI92" i="8"/>
  <c r="AK105" i="8"/>
  <c r="AO145" i="8"/>
  <c r="E7" i="8"/>
  <c r="D7" i="8"/>
  <c r="AH11" i="8"/>
  <c r="AG11" i="8"/>
  <c r="BC12" i="8"/>
  <c r="BF12" i="8" s="1"/>
  <c r="BF13" i="8"/>
  <c r="BX13" i="8"/>
  <c r="G14" i="8"/>
  <c r="T14" i="8"/>
  <c r="BV14" i="8"/>
  <c r="BQ14" i="8"/>
  <c r="BT14" i="8" s="1"/>
  <c r="T17" i="8"/>
  <c r="S17" i="8"/>
  <c r="AM17" i="8"/>
  <c r="BM18" i="8"/>
  <c r="BT18" i="8" s="1"/>
  <c r="BV18" i="8"/>
  <c r="I19" i="8"/>
  <c r="H19" i="8"/>
  <c r="G19" i="8"/>
  <c r="P20" i="8"/>
  <c r="AK20" i="8" s="1"/>
  <c r="AY20" i="8"/>
  <c r="BB20" i="8" s="1"/>
  <c r="BM23" i="8"/>
  <c r="BT23" i="8" s="1"/>
  <c r="AA24" i="8"/>
  <c r="BV24" i="8"/>
  <c r="BV26" i="8"/>
  <c r="W27" i="8"/>
  <c r="BF27" i="8"/>
  <c r="P28" i="8"/>
  <c r="AK28" i="8" s="1"/>
  <c r="BE28" i="8" s="1"/>
  <c r="Z28" i="8"/>
  <c r="L29" i="8"/>
  <c r="K29" i="8"/>
  <c r="AG29" i="8"/>
  <c r="E30" i="8"/>
  <c r="D30" i="8"/>
  <c r="AI30" i="8"/>
  <c r="AG32" i="8"/>
  <c r="BI32" i="8"/>
  <c r="BT32" i="8" s="1"/>
  <c r="P33" i="8"/>
  <c r="AK33" i="8" s="1"/>
  <c r="AM33" i="8"/>
  <c r="BF33" i="8"/>
  <c r="Z35" i="8"/>
  <c r="BV35" i="8"/>
  <c r="W36" i="8"/>
  <c r="AK36" i="8" s="1"/>
  <c r="BF36" i="8"/>
  <c r="BX36" i="8"/>
  <c r="G37" i="8"/>
  <c r="T37" i="8"/>
  <c r="AD38" i="8"/>
  <c r="E39" i="8"/>
  <c r="D39" i="8"/>
  <c r="C39" i="8"/>
  <c r="P39" i="8"/>
  <c r="AK39" i="8" s="1"/>
  <c r="AU39" i="8"/>
  <c r="BB39" i="8" s="1"/>
  <c r="BD39" i="8"/>
  <c r="BT39" i="8"/>
  <c r="AH40" i="8"/>
  <c r="AG40" i="8"/>
  <c r="T41" i="8"/>
  <c r="BQ42" i="8"/>
  <c r="BT42" i="8" s="1"/>
  <c r="AG43" i="8"/>
  <c r="C45" i="8"/>
  <c r="AI45" i="8"/>
  <c r="AA46" i="8"/>
  <c r="BU46" i="8"/>
  <c r="G48" i="8"/>
  <c r="AD48" i="8"/>
  <c r="BC51" i="8"/>
  <c r="BF51" i="8" s="1"/>
  <c r="BV52" i="8"/>
  <c r="BQ52" i="8"/>
  <c r="AQ54" i="8"/>
  <c r="BB54" i="8" s="1"/>
  <c r="BD54" i="8"/>
  <c r="BF54" i="8"/>
  <c r="AI58" i="8"/>
  <c r="Z58" i="8"/>
  <c r="AA58" i="8"/>
  <c r="L63" i="8"/>
  <c r="K63" i="8"/>
  <c r="AH68" i="8"/>
  <c r="AG68" i="8"/>
  <c r="BC70" i="8"/>
  <c r="BF70" i="8" s="1"/>
  <c r="AU70" i="8"/>
  <c r="AG71" i="8"/>
  <c r="AH71" i="8"/>
  <c r="BU77" i="8"/>
  <c r="BQ77" i="8"/>
  <c r="BT77" i="8" s="1"/>
  <c r="AN97" i="8"/>
  <c r="BG97" i="8"/>
  <c r="BF116" i="8"/>
  <c r="AG117" i="8"/>
  <c r="AH117" i="8"/>
  <c r="AG134" i="8"/>
  <c r="AH134" i="8"/>
  <c r="AM12" i="8"/>
  <c r="T12" i="8"/>
  <c r="S12" i="8"/>
  <c r="BF21" i="8"/>
  <c r="T22" i="8"/>
  <c r="BV22" i="8"/>
  <c r="BQ22" i="8"/>
  <c r="BT22" i="8" s="1"/>
  <c r="AO24" i="8"/>
  <c r="AN24" i="8"/>
  <c r="AA25" i="8"/>
  <c r="AM25" i="8"/>
  <c r="AO26" i="8"/>
  <c r="AN26" i="8"/>
  <c r="BG27" i="8"/>
  <c r="AU30" i="8"/>
  <c r="BB30" i="8" s="1"/>
  <c r="BD30" i="8"/>
  <c r="BT30" i="8"/>
  <c r="BF31" i="8"/>
  <c r="E33" i="8"/>
  <c r="D33" i="8"/>
  <c r="C33" i="8"/>
  <c r="S33" i="8"/>
  <c r="BE33" i="8"/>
  <c r="BG34" i="8"/>
  <c r="AK35" i="8"/>
  <c r="AA35" i="8"/>
  <c r="BD36" i="8"/>
  <c r="H37" i="8"/>
  <c r="BV37" i="8"/>
  <c r="BQ37" i="8"/>
  <c r="BT37" i="8" s="1"/>
  <c r="BV38" i="8"/>
  <c r="AH43" i="8"/>
  <c r="AG44" i="8"/>
  <c r="D45" i="8"/>
  <c r="Z45" i="8"/>
  <c r="BT45" i="8"/>
  <c r="AO46" i="8"/>
  <c r="AN46" i="8"/>
  <c r="BT47" i="8"/>
  <c r="BF48" i="8"/>
  <c r="I49" i="8"/>
  <c r="H49" i="8"/>
  <c r="G49" i="8"/>
  <c r="AK50" i="8"/>
  <c r="AH52" i="8"/>
  <c r="AG52" i="8"/>
  <c r="AL53" i="8"/>
  <c r="P53" i="8"/>
  <c r="AK53" i="8" s="1"/>
  <c r="BE53" i="8" s="1"/>
  <c r="BC55" i="8"/>
  <c r="BF55" i="8" s="1"/>
  <c r="AY55" i="8"/>
  <c r="BE56" i="8"/>
  <c r="L71" i="8"/>
  <c r="K71" i="8"/>
  <c r="AI78" i="8"/>
  <c r="AO78" i="8" s="1"/>
  <c r="S78" i="8"/>
  <c r="T78" i="8"/>
  <c r="AI87" i="8"/>
  <c r="T87" i="8"/>
  <c r="Z93" i="8"/>
  <c r="AA93" i="8"/>
  <c r="AI94" i="8"/>
  <c r="S94" i="8"/>
  <c r="T94" i="8"/>
  <c r="AI134" i="8"/>
  <c r="W122" i="7"/>
  <c r="AK122" i="7" s="1"/>
  <c r="BC122" i="7"/>
  <c r="BF122" i="7" s="1"/>
  <c r="BQ124" i="7"/>
  <c r="AK126" i="7"/>
  <c r="AU126" i="7"/>
  <c r="BB126" i="7" s="1"/>
  <c r="AU128" i="7"/>
  <c r="BB128" i="7" s="1"/>
  <c r="BE128" i="7" s="1"/>
  <c r="BT129" i="7"/>
  <c r="BT131" i="7"/>
  <c r="BC132" i="7"/>
  <c r="BF132" i="7" s="1"/>
  <c r="AD133" i="7"/>
  <c r="AK133" i="7" s="1"/>
  <c r="AM136" i="7"/>
  <c r="L138" i="7"/>
  <c r="K138" i="7"/>
  <c r="E139" i="7"/>
  <c r="D139" i="7"/>
  <c r="I140" i="7"/>
  <c r="AQ140" i="7"/>
  <c r="AM141" i="7"/>
  <c r="AU142" i="7"/>
  <c r="BB142" i="7" s="1"/>
  <c r="BE142" i="7" s="1"/>
  <c r="BD142" i="7"/>
  <c r="BG142" i="7" s="1"/>
  <c r="BC143" i="7"/>
  <c r="BF143" i="7" s="1"/>
  <c r="BC146" i="7"/>
  <c r="BF146" i="7" s="1"/>
  <c r="AD147" i="7"/>
  <c r="AK147" i="7" s="1"/>
  <c r="P149" i="7"/>
  <c r="BM150" i="7"/>
  <c r="BU153" i="7"/>
  <c r="I155" i="7"/>
  <c r="AQ155" i="7"/>
  <c r="T156" i="7"/>
  <c r="S156" i="7"/>
  <c r="AL156" i="7"/>
  <c r="BB156" i="7"/>
  <c r="H158" i="7"/>
  <c r="I158" i="7"/>
  <c r="AU160" i="7"/>
  <c r="BB160" i="7" s="1"/>
  <c r="BE160" i="7" s="1"/>
  <c r="BD160" i="7"/>
  <c r="BG160" i="7" s="1"/>
  <c r="AH161" i="7"/>
  <c r="AM162" i="7"/>
  <c r="N98" i="8"/>
  <c r="X98" i="8"/>
  <c r="CY311" i="8" s="1"/>
  <c r="AK2" i="8"/>
  <c r="AK98" i="8" s="1"/>
  <c r="BP98" i="8"/>
  <c r="CA98" i="8"/>
  <c r="BI3" i="8"/>
  <c r="AL7" i="8"/>
  <c r="BF7" i="8" s="1"/>
  <c r="AL10" i="8"/>
  <c r="BF10" i="8" s="1"/>
  <c r="BC11" i="8"/>
  <c r="BF11" i="8" s="1"/>
  <c r="BX11" i="8"/>
  <c r="G12" i="8"/>
  <c r="D13" i="8"/>
  <c r="Z15" i="8"/>
  <c r="BV16" i="8"/>
  <c r="BQ16" i="8"/>
  <c r="BT16" i="8" s="1"/>
  <c r="AG17" i="8"/>
  <c r="E18" i="8"/>
  <c r="D18" i="8"/>
  <c r="AH19" i="8"/>
  <c r="AG19" i="8"/>
  <c r="AM20" i="8"/>
  <c r="T20" i="8"/>
  <c r="S20" i="8"/>
  <c r="C21" i="8"/>
  <c r="BD21" i="8"/>
  <c r="H22" i="8"/>
  <c r="BI22" i="8"/>
  <c r="S24" i="8"/>
  <c r="AK25" i="8"/>
  <c r="BE25" i="8" s="1"/>
  <c r="Z25" i="8"/>
  <c r="AU25" i="8"/>
  <c r="T26" i="8"/>
  <c r="AA27" i="8"/>
  <c r="AM27" i="8"/>
  <c r="H28" i="8"/>
  <c r="T28" i="8"/>
  <c r="S28" i="8"/>
  <c r="BB28" i="8"/>
  <c r="Z29" i="8"/>
  <c r="AM30" i="8"/>
  <c r="P30" i="8"/>
  <c r="AK30" i="8" s="1"/>
  <c r="AA30" i="8"/>
  <c r="AH31" i="8"/>
  <c r="BD31" i="8"/>
  <c r="K32" i="8"/>
  <c r="BV32" i="8"/>
  <c r="T33" i="8"/>
  <c r="BV33" i="8"/>
  <c r="BQ33" i="8"/>
  <c r="BT33" i="8" s="1"/>
  <c r="AL35" i="8"/>
  <c r="BD35" i="8"/>
  <c r="AU35" i="8"/>
  <c r="BB35" i="8" s="1"/>
  <c r="AA36" i="8"/>
  <c r="BI37" i="8"/>
  <c r="W38" i="8"/>
  <c r="AH38" i="8"/>
  <c r="BD38" i="8"/>
  <c r="AM39" i="8"/>
  <c r="T39" i="8"/>
  <c r="BC40" i="8"/>
  <c r="BF40" i="8" s="1"/>
  <c r="BX40" i="8"/>
  <c r="H41" i="8"/>
  <c r="BV41" i="8"/>
  <c r="BQ41" i="8"/>
  <c r="BT41" i="8" s="1"/>
  <c r="BE43" i="8"/>
  <c r="BM43" i="8"/>
  <c r="BT43" i="8" s="1"/>
  <c r="E44" i="8"/>
  <c r="D44" i="8"/>
  <c r="AH44" i="8"/>
  <c r="P45" i="8"/>
  <c r="AK45" i="8" s="1"/>
  <c r="AM45" i="8"/>
  <c r="S46" i="8"/>
  <c r="Z47" i="8"/>
  <c r="BU47" i="8"/>
  <c r="AH48" i="8"/>
  <c r="BD48" i="8"/>
  <c r="AG49" i="8"/>
  <c r="BU49" i="8"/>
  <c r="AG50" i="8"/>
  <c r="AK52" i="8"/>
  <c r="BI52" i="8"/>
  <c r="P55" i="8"/>
  <c r="BM55" i="8"/>
  <c r="BT55" i="8" s="1"/>
  <c r="BV55" i="8"/>
  <c r="BU56" i="8"/>
  <c r="BQ56" i="8"/>
  <c r="BT56" i="8" s="1"/>
  <c r="L58" i="8"/>
  <c r="K58" i="8"/>
  <c r="I59" i="8"/>
  <c r="H59" i="8"/>
  <c r="G59" i="8"/>
  <c r="BG62" i="8"/>
  <c r="BE62" i="8"/>
  <c r="I74" i="8"/>
  <c r="H74" i="8"/>
  <c r="G74" i="8"/>
  <c r="BG74" i="8"/>
  <c r="AH76" i="8"/>
  <c r="BB79" i="8"/>
  <c r="AK87" i="8"/>
  <c r="BB95" i="8"/>
  <c r="Z110" i="8"/>
  <c r="AA110" i="8"/>
  <c r="AI122" i="8"/>
  <c r="S122" i="8"/>
  <c r="T122" i="8"/>
  <c r="AI146" i="8"/>
  <c r="AG83" i="7"/>
  <c r="Z85" i="7"/>
  <c r="C87" i="7"/>
  <c r="S87" i="7"/>
  <c r="AG95" i="7"/>
  <c r="Z96" i="7"/>
  <c r="Z101" i="7"/>
  <c r="C102" i="7"/>
  <c r="K102" i="7"/>
  <c r="S104" i="7"/>
  <c r="C105" i="7"/>
  <c r="K105" i="7"/>
  <c r="S114" i="7"/>
  <c r="AG115" i="7"/>
  <c r="S116" i="7"/>
  <c r="AG117" i="7"/>
  <c r="S118" i="7"/>
  <c r="AG120" i="7"/>
  <c r="AH123" i="7"/>
  <c r="W124" i="7"/>
  <c r="AK124" i="7" s="1"/>
  <c r="BC124" i="7"/>
  <c r="BF124" i="7" s="1"/>
  <c r="BI124" i="7"/>
  <c r="BU125" i="7"/>
  <c r="H126" i="7"/>
  <c r="AA127" i="7"/>
  <c r="BM127" i="7"/>
  <c r="P129" i="7"/>
  <c r="BU129" i="7"/>
  <c r="K130" i="7"/>
  <c r="AY130" i="7"/>
  <c r="BB130" i="7" s="1"/>
  <c r="BE130" i="7" s="1"/>
  <c r="AA131" i="7"/>
  <c r="Z131" i="7"/>
  <c r="BM132" i="7"/>
  <c r="BV132" i="7"/>
  <c r="AG133" i="7"/>
  <c r="BB133" i="7"/>
  <c r="BE133" i="7" s="1"/>
  <c r="E134" i="7"/>
  <c r="D134" i="7"/>
  <c r="C134" i="7"/>
  <c r="S134" i="7"/>
  <c r="AD134" i="7"/>
  <c r="AK134" i="7" s="1"/>
  <c r="BV134" i="7"/>
  <c r="AH135" i="7"/>
  <c r="AG135" i="7"/>
  <c r="W138" i="7"/>
  <c r="BD138" i="7"/>
  <c r="BG138" i="7" s="1"/>
  <c r="C139" i="7"/>
  <c r="Z139" i="7"/>
  <c r="AU139" i="7"/>
  <c r="BD139" i="7"/>
  <c r="BG139" i="7" s="1"/>
  <c r="BV141" i="7"/>
  <c r="K143" i="7"/>
  <c r="BM143" i="7"/>
  <c r="BT143" i="7" s="1"/>
  <c r="AA145" i="7"/>
  <c r="Z145" i="7"/>
  <c r="AM145" i="7"/>
  <c r="BG145" i="7" s="1"/>
  <c r="BM146" i="7"/>
  <c r="BV146" i="7"/>
  <c r="AG147" i="7"/>
  <c r="BB147" i="7"/>
  <c r="BE147" i="7" s="1"/>
  <c r="E148" i="7"/>
  <c r="D148" i="7"/>
  <c r="C148" i="7"/>
  <c r="S149" i="7"/>
  <c r="Z152" i="7"/>
  <c r="BV152" i="7"/>
  <c r="Z154" i="7"/>
  <c r="AU154" i="7"/>
  <c r="BB154" i="7" s="1"/>
  <c r="BE154" i="7" s="1"/>
  <c r="BD154" i="7"/>
  <c r="BG154" i="7" s="1"/>
  <c r="AD156" i="7"/>
  <c r="AK156" i="7" s="1"/>
  <c r="E157" i="7"/>
  <c r="D157" i="7"/>
  <c r="C157" i="7"/>
  <c r="S157" i="7"/>
  <c r="C158" i="7"/>
  <c r="AG159" i="7"/>
  <c r="P160" i="7"/>
  <c r="BV162" i="7"/>
  <c r="O2" i="8"/>
  <c r="AL2" i="8"/>
  <c r="AV98" i="8"/>
  <c r="DB311" i="8" s="1"/>
  <c r="BH98" i="8"/>
  <c r="CB98" i="8"/>
  <c r="Z4" i="8"/>
  <c r="S7" i="8"/>
  <c r="AM7" i="8"/>
  <c r="AA8" i="8"/>
  <c r="AM8" i="8"/>
  <c r="BG8" i="8" s="1"/>
  <c r="AM10" i="8"/>
  <c r="T10" i="8"/>
  <c r="S10" i="8"/>
  <c r="C11" i="8"/>
  <c r="BD11" i="8"/>
  <c r="H12" i="8"/>
  <c r="AM13" i="8"/>
  <c r="BU13" i="8"/>
  <c r="AG14" i="8"/>
  <c r="AA15" i="8"/>
  <c r="BI16" i="8"/>
  <c r="AH17" i="8"/>
  <c r="BD17" i="8"/>
  <c r="C18" i="8"/>
  <c r="BU18" i="8"/>
  <c r="BX19" i="8"/>
  <c r="G20" i="8"/>
  <c r="D21" i="8"/>
  <c r="Z23" i="8"/>
  <c r="T24" i="8"/>
  <c r="BD24" i="8"/>
  <c r="AY24" i="8"/>
  <c r="BB24" i="8" s="1"/>
  <c r="AL25" i="8"/>
  <c r="BD26" i="8"/>
  <c r="AY26" i="8"/>
  <c r="BB26" i="8" s="1"/>
  <c r="AD28" i="8"/>
  <c r="BU28" i="8"/>
  <c r="E29" i="8"/>
  <c r="D29" i="8"/>
  <c r="C29" i="8"/>
  <c r="P29" i="8"/>
  <c r="AK29" i="8" s="1"/>
  <c r="BE29" i="8" s="1"/>
  <c r="AA29" i="8"/>
  <c r="S30" i="8"/>
  <c r="E32" i="8"/>
  <c r="D32" i="8"/>
  <c r="BG33" i="8"/>
  <c r="T35" i="8"/>
  <c r="AM35" i="8"/>
  <c r="AM36" i="8"/>
  <c r="BU36" i="8"/>
  <c r="W37" i="8"/>
  <c r="AG37" i="8"/>
  <c r="BC39" i="8"/>
  <c r="BF39" i="8" s="1"/>
  <c r="BV39" i="8"/>
  <c r="BD40" i="8"/>
  <c r="W41" i="8"/>
  <c r="AA43" i="8"/>
  <c r="AM43" i="8"/>
  <c r="BC46" i="8"/>
  <c r="BF46" i="8" s="1"/>
  <c r="AN47" i="8"/>
  <c r="BV47" i="8"/>
  <c r="W48" i="8"/>
  <c r="AK48" i="8" s="1"/>
  <c r="W49" i="8"/>
  <c r="AH49" i="8"/>
  <c r="BQ49" i="8"/>
  <c r="BV49" i="8"/>
  <c r="AH50" i="8"/>
  <c r="BE50" i="8"/>
  <c r="AD51" i="8"/>
  <c r="AK51" i="8" s="1"/>
  <c r="AH51" i="8"/>
  <c r="AM57" i="8"/>
  <c r="T57" i="8"/>
  <c r="S57" i="8"/>
  <c r="P57" i="8"/>
  <c r="AK57" i="8" s="1"/>
  <c r="BT64" i="8"/>
  <c r="BB70" i="8"/>
  <c r="BT81" i="8"/>
  <c r="AK133" i="8"/>
  <c r="AK11" i="9"/>
  <c r="AM121" i="7"/>
  <c r="AM126" i="7"/>
  <c r="T128" i="7"/>
  <c r="S128" i="7"/>
  <c r="S129" i="7"/>
  <c r="AY129" i="7"/>
  <c r="BB129" i="7" s="1"/>
  <c r="AH130" i="7"/>
  <c r="AG130" i="7"/>
  <c r="AQ130" i="7"/>
  <c r="E132" i="7"/>
  <c r="H132" i="7"/>
  <c r="AH133" i="7"/>
  <c r="T134" i="7"/>
  <c r="AM134" i="7"/>
  <c r="AD136" i="7"/>
  <c r="BV136" i="7"/>
  <c r="BQ136" i="7"/>
  <c r="BT136" i="7" s="1"/>
  <c r="T137" i="7"/>
  <c r="S137" i="7"/>
  <c r="AL137" i="7"/>
  <c r="BF137" i="7" s="1"/>
  <c r="P139" i="7"/>
  <c r="AA139" i="7"/>
  <c r="BT139" i="7"/>
  <c r="BQ140" i="7"/>
  <c r="BT140" i="7" s="1"/>
  <c r="S141" i="7"/>
  <c r="AD141" i="7"/>
  <c r="AK141" i="7" s="1"/>
  <c r="P142" i="7"/>
  <c r="AY144" i="7"/>
  <c r="BB144" i="7" s="1"/>
  <c r="BE144" i="7" s="1"/>
  <c r="L146" i="7"/>
  <c r="K146" i="7"/>
  <c r="AH147" i="7"/>
  <c r="T149" i="7"/>
  <c r="E150" i="7"/>
  <c r="H150" i="7"/>
  <c r="AM150" i="7"/>
  <c r="BG150" i="7" s="1"/>
  <c r="AO152" i="7"/>
  <c r="AN152" i="7"/>
  <c r="AA154" i="7"/>
  <c r="BQ155" i="7"/>
  <c r="BT155" i="7" s="1"/>
  <c r="BD157" i="7"/>
  <c r="BG157" i="7" s="1"/>
  <c r="BU158" i="7"/>
  <c r="BU161" i="7"/>
  <c r="S162" i="7"/>
  <c r="AD162" i="7"/>
  <c r="AK162" i="7" s="1"/>
  <c r="BE162" i="7" s="1"/>
  <c r="AI163" i="7"/>
  <c r="S163" i="7"/>
  <c r="AA163" i="7"/>
  <c r="Z163" i="7"/>
  <c r="AU163" i="7"/>
  <c r="BB163" i="7" s="1"/>
  <c r="BE163" i="7" s="1"/>
  <c r="AB98" i="8"/>
  <c r="BI2" i="8"/>
  <c r="BI98" i="8" s="1"/>
  <c r="BU2" i="8"/>
  <c r="BR98" i="8"/>
  <c r="DF311" i="8" s="1"/>
  <c r="W3" i="8"/>
  <c r="P4" i="8"/>
  <c r="AK4" i="8" s="1"/>
  <c r="BE4" i="8" s="1"/>
  <c r="AH5" i="8"/>
  <c r="AG5" i="8"/>
  <c r="BC9" i="8"/>
  <c r="BF9" i="8" s="1"/>
  <c r="BQ11" i="8"/>
  <c r="BT11" i="8" s="1"/>
  <c r="AD13" i="8"/>
  <c r="AK13" i="8" s="1"/>
  <c r="BE13" i="8" s="1"/>
  <c r="BV13" i="8"/>
  <c r="AY15" i="8"/>
  <c r="BB15" i="8" s="1"/>
  <c r="BV15" i="8"/>
  <c r="AM18" i="8"/>
  <c r="P18" i="8"/>
  <c r="AK18" i="8" s="1"/>
  <c r="BE18" i="8" s="1"/>
  <c r="BD19" i="8"/>
  <c r="AM21" i="8"/>
  <c r="BU21" i="8"/>
  <c r="W22" i="8"/>
  <c r="AK22" i="8" s="1"/>
  <c r="BE22" i="8" s="1"/>
  <c r="P23" i="8"/>
  <c r="AK23" i="8" s="1"/>
  <c r="BE23" i="8" s="1"/>
  <c r="I25" i="8"/>
  <c r="H25" i="8"/>
  <c r="BB25" i="8"/>
  <c r="I27" i="8"/>
  <c r="H27" i="8"/>
  <c r="AD27" i="8"/>
  <c r="AK27" i="8" s="1"/>
  <c r="BE27" i="8" s="1"/>
  <c r="BV27" i="8"/>
  <c r="BQ27" i="8"/>
  <c r="BT27" i="8" s="1"/>
  <c r="BV28" i="8"/>
  <c r="AL29" i="8"/>
  <c r="BC30" i="8"/>
  <c r="BF30" i="8" s="1"/>
  <c r="BV31" i="8"/>
  <c r="AH33" i="8"/>
  <c r="BC35" i="8"/>
  <c r="BF35" i="8" s="1"/>
  <c r="I36" i="8"/>
  <c r="H36" i="8"/>
  <c r="BV36" i="8"/>
  <c r="AM38" i="8"/>
  <c r="BQ40" i="8"/>
  <c r="BT40" i="8" s="1"/>
  <c r="P43" i="8"/>
  <c r="AK43" i="8" s="1"/>
  <c r="AM44" i="8"/>
  <c r="P44" i="8"/>
  <c r="AK44" i="8" s="1"/>
  <c r="AU44" i="8"/>
  <c r="BD44" i="8"/>
  <c r="BT44" i="8"/>
  <c r="AY45" i="8"/>
  <c r="BB45" i="8" s="1"/>
  <c r="BV45" i="8"/>
  <c r="BD46" i="8"/>
  <c r="AM48" i="8"/>
  <c r="BT48" i="8"/>
  <c r="BI49" i="8"/>
  <c r="W50" i="8"/>
  <c r="AI50" i="8"/>
  <c r="AG51" i="8"/>
  <c r="AD55" i="8"/>
  <c r="AH55" i="8"/>
  <c r="AG55" i="8"/>
  <c r="BF56" i="8"/>
  <c r="E67" i="8"/>
  <c r="D67" i="8"/>
  <c r="C67" i="8"/>
  <c r="E68" i="8"/>
  <c r="D68" i="8"/>
  <c r="C68" i="8"/>
  <c r="AM68" i="8"/>
  <c r="P68" i="8"/>
  <c r="AK68" i="8" s="1"/>
  <c r="T68" i="8"/>
  <c r="S68" i="8"/>
  <c r="AI75" i="8"/>
  <c r="BE80" i="8"/>
  <c r="BG82" i="8"/>
  <c r="AG84" i="8"/>
  <c r="AH84" i="8"/>
  <c r="BF88" i="8"/>
  <c r="AI93" i="8"/>
  <c r="BF113" i="8"/>
  <c r="BG136" i="8"/>
  <c r="H40" i="8"/>
  <c r="AA40" i="8"/>
  <c r="D41" i="8"/>
  <c r="L41" i="8"/>
  <c r="H45" i="8"/>
  <c r="AH46" i="8"/>
  <c r="AA47" i="8"/>
  <c r="H50" i="8"/>
  <c r="AM51" i="8"/>
  <c r="AA51" i="8"/>
  <c r="AM52" i="8"/>
  <c r="BU52" i="8"/>
  <c r="AH53" i="8"/>
  <c r="AH54" i="8"/>
  <c r="AG54" i="8"/>
  <c r="L56" i="8"/>
  <c r="AL57" i="8"/>
  <c r="BD58" i="8"/>
  <c r="AY58" i="8"/>
  <c r="BB58" i="8" s="1"/>
  <c r="AL59" i="8"/>
  <c r="BB59" i="8"/>
  <c r="AM62" i="8"/>
  <c r="T62" i="8"/>
  <c r="BF62" i="8"/>
  <c r="BM63" i="8"/>
  <c r="BT63" i="8" s="1"/>
  <c r="L64" i="8"/>
  <c r="AH64" i="8"/>
  <c r="L66" i="8"/>
  <c r="AI67" i="8"/>
  <c r="BI67" i="8"/>
  <c r="AA68" i="8"/>
  <c r="AY69" i="8"/>
  <c r="BB69" i="8" s="1"/>
  <c r="L70" i="8"/>
  <c r="BC71" i="8"/>
  <c r="BF71" i="8" s="1"/>
  <c r="BQ72" i="8"/>
  <c r="BT72" i="8" s="1"/>
  <c r="AL74" i="8"/>
  <c r="BF74" i="8" s="1"/>
  <c r="T75" i="8"/>
  <c r="AA77" i="8"/>
  <c r="I79" i="8"/>
  <c r="H79" i="8"/>
  <c r="BU79" i="8"/>
  <c r="AL81" i="8"/>
  <c r="BF81" i="8" s="1"/>
  <c r="AI83" i="8"/>
  <c r="D84" i="8"/>
  <c r="AA84" i="8"/>
  <c r="AI86" i="8"/>
  <c r="AN86" i="8" s="1"/>
  <c r="S86" i="8"/>
  <c r="BU86" i="8"/>
  <c r="AH87" i="8"/>
  <c r="AG87" i="8"/>
  <c r="P88" i="8"/>
  <c r="AM88" i="8"/>
  <c r="AM91" i="8"/>
  <c r="P91" i="8"/>
  <c r="AK91" i="8" s="1"/>
  <c r="AY91" i="8"/>
  <c r="T92" i="8"/>
  <c r="BC92" i="8"/>
  <c r="BF92" i="8" s="1"/>
  <c r="BM93" i="8"/>
  <c r="BV93" i="8"/>
  <c r="I94" i="8"/>
  <c r="H94" i="8"/>
  <c r="G94" i="8"/>
  <c r="AI95" i="8"/>
  <c r="AN95" i="8" s="1"/>
  <c r="T95" i="8"/>
  <c r="AA95" i="8"/>
  <c r="AL95" i="8"/>
  <c r="H96" i="8"/>
  <c r="AI97" i="8"/>
  <c r="AO97" i="8" s="1"/>
  <c r="AU97" i="8"/>
  <c r="BB97" i="8" s="1"/>
  <c r="AH104" i="8"/>
  <c r="AU105" i="8"/>
  <c r="BB105" i="8" s="1"/>
  <c r="BD105" i="8"/>
  <c r="AM106" i="8"/>
  <c r="T106" i="8"/>
  <c r="S106" i="8"/>
  <c r="BV107" i="8"/>
  <c r="D109" i="8"/>
  <c r="AI109" i="8"/>
  <c r="BM109" i="8"/>
  <c r="BV109" i="8"/>
  <c r="I110" i="8"/>
  <c r="H110" i="8"/>
  <c r="G110" i="8"/>
  <c r="AI111" i="8"/>
  <c r="AN111" i="8" s="1"/>
  <c r="S111" i="8"/>
  <c r="T111" i="8"/>
  <c r="AA111" i="8"/>
  <c r="AL111" i="8"/>
  <c r="BF111" i="8" s="1"/>
  <c r="BV113" i="8"/>
  <c r="E114" i="8"/>
  <c r="D114" i="8"/>
  <c r="BQ114" i="8"/>
  <c r="BT114" i="8" s="1"/>
  <c r="BV115" i="8"/>
  <c r="AL116" i="8"/>
  <c r="AA116" i="8"/>
  <c r="AA117" i="8"/>
  <c r="BQ117" i="8"/>
  <c r="BT117" i="8" s="1"/>
  <c r="AH119" i="8"/>
  <c r="AI120" i="8"/>
  <c r="BU121" i="8"/>
  <c r="AH122" i="8"/>
  <c r="AG122" i="8"/>
  <c r="H124" i="8"/>
  <c r="AY133" i="8"/>
  <c r="BB133" i="8" s="1"/>
  <c r="BC134" i="8"/>
  <c r="BF134" i="8" s="1"/>
  <c r="E136" i="8"/>
  <c r="AH136" i="8"/>
  <c r="P138" i="8"/>
  <c r="AK138" i="8" s="1"/>
  <c r="AM138" i="8"/>
  <c r="AI140" i="8"/>
  <c r="AD144" i="8"/>
  <c r="P146" i="8"/>
  <c r="AK146" i="8" s="1"/>
  <c r="AM146" i="8"/>
  <c r="AA146" i="8"/>
  <c r="BC2" i="9"/>
  <c r="AR59" i="9"/>
  <c r="DA352" i="9" s="1"/>
  <c r="AZ59" i="9"/>
  <c r="DC352" i="9" s="1"/>
  <c r="BF9" i="9"/>
  <c r="W10" i="9"/>
  <c r="AK10" i="9" s="1"/>
  <c r="AM10" i="9"/>
  <c r="E12" i="9"/>
  <c r="D12" i="9"/>
  <c r="C12" i="9"/>
  <c r="BU16" i="9"/>
  <c r="BD18" i="9"/>
  <c r="BG18" i="9" s="1"/>
  <c r="AK20" i="9"/>
  <c r="AK27" i="9"/>
  <c r="BT27" i="9"/>
  <c r="AO34" i="9"/>
  <c r="AN34" i="9"/>
  <c r="BB56" i="9"/>
  <c r="BE56" i="9" s="1"/>
  <c r="AN97" i="9"/>
  <c r="AO97" i="9"/>
  <c r="BE103" i="9"/>
  <c r="BV79" i="8"/>
  <c r="T81" i="8"/>
  <c r="S81" i="8"/>
  <c r="L82" i="8"/>
  <c r="K82" i="8"/>
  <c r="E83" i="8"/>
  <c r="D83" i="8"/>
  <c r="AU83" i="8"/>
  <c r="BD83" i="8"/>
  <c r="P84" i="8"/>
  <c r="AK84" i="8" s="1"/>
  <c r="AM84" i="8"/>
  <c r="BC85" i="8"/>
  <c r="BF85" i="8" s="1"/>
  <c r="BF87" i="8"/>
  <c r="E90" i="8"/>
  <c r="D90" i="8"/>
  <c r="C90" i="8"/>
  <c r="BD94" i="8"/>
  <c r="AY94" i="8"/>
  <c r="BB94" i="8" s="1"/>
  <c r="AO95" i="8"/>
  <c r="AM103" i="8"/>
  <c r="AH107" i="8"/>
  <c r="AG107" i="8"/>
  <c r="AU108" i="8"/>
  <c r="BD108" i="8"/>
  <c r="BD110" i="8"/>
  <c r="AY110" i="8"/>
  <c r="AO111" i="8"/>
  <c r="BV112" i="8"/>
  <c r="BQ112" i="8"/>
  <c r="BT112" i="8" s="1"/>
  <c r="AM116" i="8"/>
  <c r="T116" i="8"/>
  <c r="AH118" i="8"/>
  <c r="AG118" i="8"/>
  <c r="E120" i="8"/>
  <c r="D120" i="8"/>
  <c r="C120" i="8"/>
  <c r="BF122" i="8"/>
  <c r="AA123" i="8"/>
  <c r="Z123" i="8"/>
  <c r="BG123" i="8"/>
  <c r="E125" i="8"/>
  <c r="D125" i="8"/>
  <c r="BT125" i="8"/>
  <c r="E127" i="8"/>
  <c r="D127" i="8"/>
  <c r="BT127" i="8"/>
  <c r="AM129" i="8"/>
  <c r="T129" i="8"/>
  <c r="BB129" i="8"/>
  <c r="BV129" i="8"/>
  <c r="AM131" i="8"/>
  <c r="T131" i="8"/>
  <c r="BB131" i="8"/>
  <c r="BV131" i="8"/>
  <c r="AL133" i="8"/>
  <c r="BF133" i="8" s="1"/>
  <c r="BE134" i="8"/>
  <c r="T137" i="8"/>
  <c r="AS59" i="9"/>
  <c r="DA204" i="9" s="1"/>
  <c r="BD2" i="9"/>
  <c r="I4" i="9"/>
  <c r="H4" i="9"/>
  <c r="G4" i="9"/>
  <c r="BF4" i="9"/>
  <c r="AW59" i="9"/>
  <c r="DB204" i="9" s="1"/>
  <c r="BD5" i="9"/>
  <c r="BG5" i="9" s="1"/>
  <c r="BQ5" i="9"/>
  <c r="BT5" i="9" s="1"/>
  <c r="BV5" i="9"/>
  <c r="BG8" i="9"/>
  <c r="BU14" i="9"/>
  <c r="AD16" i="9"/>
  <c r="AK16" i="9" s="1"/>
  <c r="AM16" i="9"/>
  <c r="AO21" i="9"/>
  <c r="AN21" i="9"/>
  <c r="AO22" i="9"/>
  <c r="AN22" i="9"/>
  <c r="AO26" i="9"/>
  <c r="AN26" i="9"/>
  <c r="BF27" i="9"/>
  <c r="AK87" i="9"/>
  <c r="BF115" i="9"/>
  <c r="BF58" i="8"/>
  <c r="BU59" i="8"/>
  <c r="BG61" i="8"/>
  <c r="BE61" i="8"/>
  <c r="BX61" i="8"/>
  <c r="AH65" i="8"/>
  <c r="AG65" i="8"/>
  <c r="BF65" i="8"/>
  <c r="BE69" i="8"/>
  <c r="BV70" i="8"/>
  <c r="BM71" i="8"/>
  <c r="BC73" i="8"/>
  <c r="BF73" i="8" s="1"/>
  <c r="BQ78" i="8"/>
  <c r="BT78" i="8" s="1"/>
  <c r="AA80" i="8"/>
  <c r="Z80" i="8"/>
  <c r="AL80" i="8"/>
  <c r="BF80" i="8" s="1"/>
  <c r="AU80" i="8"/>
  <c r="AD81" i="8"/>
  <c r="W82" i="8"/>
  <c r="C83" i="8"/>
  <c r="S84" i="8"/>
  <c r="AY84" i="8"/>
  <c r="BB84" i="8" s="1"/>
  <c r="AG85" i="8"/>
  <c r="BD85" i="8"/>
  <c r="BG87" i="8"/>
  <c r="BE87" i="8"/>
  <c r="BX87" i="8"/>
  <c r="G88" i="8"/>
  <c r="T88" i="8"/>
  <c r="AD88" i="8"/>
  <c r="BV88" i="8"/>
  <c r="BQ88" i="8"/>
  <c r="BC89" i="8"/>
  <c r="BU91" i="8"/>
  <c r="K92" i="8"/>
  <c r="BM92" i="8"/>
  <c r="BT92" i="8" s="1"/>
  <c r="BT93" i="8"/>
  <c r="AQ94" i="8"/>
  <c r="I95" i="8"/>
  <c r="H95" i="8"/>
  <c r="BU95" i="8"/>
  <c r="AG96" i="8"/>
  <c r="Z103" i="8"/>
  <c r="E104" i="8"/>
  <c r="D104" i="8"/>
  <c r="Z104" i="8"/>
  <c r="AU104" i="8"/>
  <c r="BD104" i="8"/>
  <c r="C107" i="8"/>
  <c r="BT109" i="8"/>
  <c r="AQ110" i="8"/>
  <c r="I111" i="8"/>
  <c r="H111" i="8"/>
  <c r="BU111" i="8"/>
  <c r="BI112" i="8"/>
  <c r="AM113" i="8"/>
  <c r="P113" i="8"/>
  <c r="AK113" i="8" s="1"/>
  <c r="S116" i="8"/>
  <c r="BC118" i="8"/>
  <c r="BF118" i="8" s="1"/>
  <c r="P119" i="8"/>
  <c r="Z119" i="8"/>
  <c r="BC119" i="8"/>
  <c r="BF119" i="8" s="1"/>
  <c r="AU120" i="8"/>
  <c r="S121" i="8"/>
  <c r="AM121" i="8"/>
  <c r="BG122" i="8"/>
  <c r="BE122" i="8"/>
  <c r="BX122" i="8"/>
  <c r="AM123" i="8"/>
  <c r="W124" i="8"/>
  <c r="AK124" i="8" s="1"/>
  <c r="BE124" i="8" s="1"/>
  <c r="C125" i="8"/>
  <c r="BE126" i="8"/>
  <c r="C127" i="8"/>
  <c r="AG128" i="8"/>
  <c r="G129" i="8"/>
  <c r="S129" i="8"/>
  <c r="C130" i="8"/>
  <c r="BC130" i="8"/>
  <c r="BF130" i="8" s="1"/>
  <c r="G131" i="8"/>
  <c r="S131" i="8"/>
  <c r="C132" i="8"/>
  <c r="BC132" i="8"/>
  <c r="BF132" i="8" s="1"/>
  <c r="G133" i="8"/>
  <c r="AM133" i="8"/>
  <c r="T133" i="8"/>
  <c r="S133" i="8"/>
  <c r="BU133" i="8"/>
  <c r="K134" i="8"/>
  <c r="BM134" i="8"/>
  <c r="BT134" i="8" s="1"/>
  <c r="AD138" i="8"/>
  <c r="E139" i="8"/>
  <c r="D139" i="8"/>
  <c r="C139" i="8"/>
  <c r="W139" i="8"/>
  <c r="I2" i="9"/>
  <c r="H2" i="9"/>
  <c r="G2" i="9"/>
  <c r="AF59" i="9"/>
  <c r="CZ204" i="9" s="1"/>
  <c r="AD2" i="9"/>
  <c r="AM2" i="9"/>
  <c r="BO59" i="9"/>
  <c r="DE204" i="9" s="1"/>
  <c r="BM2" i="9"/>
  <c r="BM59" i="9" s="1"/>
  <c r="BY59" i="9"/>
  <c r="DG352" i="9" s="1"/>
  <c r="BG4" i="9"/>
  <c r="BX4" i="9"/>
  <c r="L8" i="9"/>
  <c r="K8" i="9"/>
  <c r="I14" i="9"/>
  <c r="H14" i="9"/>
  <c r="G14" i="9"/>
  <c r="I15" i="9"/>
  <c r="H15" i="9"/>
  <c r="G15" i="9"/>
  <c r="E17" i="9"/>
  <c r="D17" i="9"/>
  <c r="C17" i="9"/>
  <c r="W19" i="9"/>
  <c r="AK19" i="9" s="1"/>
  <c r="BG22" i="9"/>
  <c r="AO27" i="9"/>
  <c r="AN27" i="9"/>
  <c r="BE90" i="9"/>
  <c r="BG103" i="9"/>
  <c r="AU53" i="8"/>
  <c r="BB53" i="8" s="1"/>
  <c r="AM55" i="8"/>
  <c r="T55" i="8"/>
  <c r="S55" i="8"/>
  <c r="AM56" i="8"/>
  <c r="E60" i="8"/>
  <c r="D60" i="8"/>
  <c r="Z60" i="8"/>
  <c r="AU60" i="8"/>
  <c r="BD60" i="8"/>
  <c r="BI62" i="8"/>
  <c r="BV62" i="8"/>
  <c r="E63" i="8"/>
  <c r="D63" i="8"/>
  <c r="Z63" i="8"/>
  <c r="AU63" i="8"/>
  <c r="BD63" i="8"/>
  <c r="P64" i="8"/>
  <c r="AK64" i="8" s="1"/>
  <c r="AM64" i="8"/>
  <c r="BG64" i="8" s="1"/>
  <c r="K65" i="8"/>
  <c r="W65" i="8"/>
  <c r="BD65" i="8"/>
  <c r="AO66" i="8"/>
  <c r="AN66" i="8"/>
  <c r="BM69" i="8"/>
  <c r="AN70" i="8"/>
  <c r="C71" i="8"/>
  <c r="AO72" i="8"/>
  <c r="AN72" i="8"/>
  <c r="AA73" i="8"/>
  <c r="Z73" i="8"/>
  <c r="BG73" i="8"/>
  <c r="AG74" i="8"/>
  <c r="K75" i="8"/>
  <c r="BU78" i="8"/>
  <c r="AH79" i="8"/>
  <c r="AG79" i="8"/>
  <c r="AM80" i="8"/>
  <c r="AG81" i="8"/>
  <c r="Z82" i="8"/>
  <c r="AM83" i="8"/>
  <c r="P83" i="8"/>
  <c r="AK83" i="8" s="1"/>
  <c r="AY83" i="8"/>
  <c r="BB83" i="8" s="1"/>
  <c r="T84" i="8"/>
  <c r="BC84" i="8"/>
  <c r="BF84" i="8" s="1"/>
  <c r="C85" i="8"/>
  <c r="AI85" i="8"/>
  <c r="BM85" i="8"/>
  <c r="BV85" i="8"/>
  <c r="I86" i="8"/>
  <c r="H86" i="8"/>
  <c r="G86" i="8"/>
  <c r="H88" i="8"/>
  <c r="BI88" i="8"/>
  <c r="AM89" i="8"/>
  <c r="T90" i="8"/>
  <c r="AM90" i="8"/>
  <c r="BU93" i="8"/>
  <c r="G95" i="8"/>
  <c r="BV95" i="8"/>
  <c r="BF96" i="8"/>
  <c r="G97" i="8"/>
  <c r="T97" i="8"/>
  <c r="S97" i="8"/>
  <c r="AL103" i="8"/>
  <c r="C104" i="8"/>
  <c r="AA104" i="8"/>
  <c r="AN105" i="8"/>
  <c r="BU105" i="8"/>
  <c r="W106" i="8"/>
  <c r="AK106" i="8" s="1"/>
  <c r="D107" i="8"/>
  <c r="P108" i="8"/>
  <c r="AK108" i="8" s="1"/>
  <c r="AY108" i="8"/>
  <c r="BB108" i="8" s="1"/>
  <c r="BU109" i="8"/>
  <c r="G111" i="8"/>
  <c r="BV111" i="8"/>
  <c r="S113" i="8"/>
  <c r="S114" i="8"/>
  <c r="AM114" i="8"/>
  <c r="P115" i="8"/>
  <c r="AK115" i="8" s="1"/>
  <c r="BD115" i="8"/>
  <c r="AY115" i="8"/>
  <c r="BB115" i="8" s="1"/>
  <c r="BD118" i="8"/>
  <c r="BX118" i="8"/>
  <c r="BG119" i="8"/>
  <c r="T120" i="8"/>
  <c r="AM120" i="8"/>
  <c r="T121" i="8"/>
  <c r="G123" i="8"/>
  <c r="Z124" i="8"/>
  <c r="BV125" i="8"/>
  <c r="BV127" i="8"/>
  <c r="BF128" i="8"/>
  <c r="H129" i="8"/>
  <c r="BD129" i="8"/>
  <c r="BG130" i="8"/>
  <c r="BD131" i="8"/>
  <c r="BG132" i="8"/>
  <c r="H133" i="8"/>
  <c r="BG134" i="8"/>
  <c r="P136" i="8"/>
  <c r="AK136" i="8" s="1"/>
  <c r="BE136" i="8" s="1"/>
  <c r="AM136" i="8"/>
  <c r="AM140" i="8"/>
  <c r="AU140" i="8"/>
  <c r="AA141" i="8"/>
  <c r="Z141" i="8"/>
  <c r="AH142" i="8"/>
  <c r="AG142" i="8"/>
  <c r="AH143" i="8"/>
  <c r="AG143" i="8"/>
  <c r="W144" i="8"/>
  <c r="AG144" i="8"/>
  <c r="AA145" i="8"/>
  <c r="Z145" i="8"/>
  <c r="BP59" i="9"/>
  <c r="W3" i="9"/>
  <c r="AK3" i="9" s="1"/>
  <c r="BQ3" i="9"/>
  <c r="BT3" i="9" s="1"/>
  <c r="W4" i="9"/>
  <c r="AK4" i="9" s="1"/>
  <c r="AN7" i="9"/>
  <c r="BC12" i="9"/>
  <c r="BF12" i="9" s="1"/>
  <c r="L13" i="9"/>
  <c r="AO13" i="9"/>
  <c r="AN13" i="9"/>
  <c r="BI14" i="9"/>
  <c r="AO72" i="9"/>
  <c r="AN72" i="9"/>
  <c r="AO83" i="9"/>
  <c r="AN83" i="9"/>
  <c r="BG83" i="9"/>
  <c r="AA63" i="8"/>
  <c r="BB64" i="8"/>
  <c r="BT71" i="8"/>
  <c r="E75" i="8"/>
  <c r="D75" i="8"/>
  <c r="AU75" i="8"/>
  <c r="BD75" i="8"/>
  <c r="P76" i="8"/>
  <c r="AK76" i="8" s="1"/>
  <c r="AM76" i="8"/>
  <c r="BC77" i="8"/>
  <c r="BF77" i="8" s="1"/>
  <c r="Z78" i="8"/>
  <c r="BF79" i="8"/>
  <c r="E82" i="8"/>
  <c r="D82" i="8"/>
  <c r="C82" i="8"/>
  <c r="AK82" i="8"/>
  <c r="BE82" i="8" s="1"/>
  <c r="BE84" i="8"/>
  <c r="BD86" i="8"/>
  <c r="AY86" i="8"/>
  <c r="BB86" i="8" s="1"/>
  <c r="AO87" i="8"/>
  <c r="Z92" i="8"/>
  <c r="AI96" i="8"/>
  <c r="AA96" i="8"/>
  <c r="Z96" i="8"/>
  <c r="T103" i="8"/>
  <c r="S103" i="8"/>
  <c r="AM104" i="8"/>
  <c r="P104" i="8"/>
  <c r="AK104" i="8" s="1"/>
  <c r="BB104" i="8"/>
  <c r="BV105" i="8"/>
  <c r="AU106" i="8"/>
  <c r="BD106" i="8"/>
  <c r="BD107" i="8"/>
  <c r="AG109" i="8"/>
  <c r="AH109" i="8"/>
  <c r="BT110" i="8"/>
  <c r="L116" i="8"/>
  <c r="K116" i="8"/>
  <c r="BC117" i="8"/>
  <c r="BF117" i="8" s="1"/>
  <c r="AA118" i="8"/>
  <c r="T119" i="8"/>
  <c r="S119" i="8"/>
  <c r="BB120" i="8"/>
  <c r="BD121" i="8"/>
  <c r="AY121" i="8"/>
  <c r="BB121" i="8" s="1"/>
  <c r="AO122" i="8"/>
  <c r="T123" i="8"/>
  <c r="BV123" i="8"/>
  <c r="BQ123" i="8"/>
  <c r="AO125" i="8"/>
  <c r="AN125" i="8"/>
  <c r="AO127" i="8"/>
  <c r="AN127" i="8"/>
  <c r="AA128" i="8"/>
  <c r="Z128" i="8"/>
  <c r="BG128" i="8"/>
  <c r="AM139" i="8"/>
  <c r="AK141" i="8"/>
  <c r="AK145" i="8"/>
  <c r="BQ59" i="9"/>
  <c r="BT2" i="9"/>
  <c r="BT59" i="9" s="1"/>
  <c r="AD8" i="9"/>
  <c r="AK8" i="9" s="1"/>
  <c r="AM8" i="9"/>
  <c r="AM11" i="9"/>
  <c r="W14" i="9"/>
  <c r="AM14" i="9"/>
  <c r="L17" i="9"/>
  <c r="K17" i="9"/>
  <c r="AO17" i="9"/>
  <c r="AN17" i="9"/>
  <c r="AN18" i="9"/>
  <c r="AO18" i="9"/>
  <c r="AK22" i="9"/>
  <c r="BG26" i="9"/>
  <c r="BF35" i="9"/>
  <c r="AO43" i="9"/>
  <c r="AN43" i="9"/>
  <c r="AM129" i="7"/>
  <c r="I131" i="7"/>
  <c r="AM132" i="7"/>
  <c r="I136" i="7"/>
  <c r="I142" i="7"/>
  <c r="AM144" i="7"/>
  <c r="AM146" i="7"/>
  <c r="AM151" i="7"/>
  <c r="AD157" i="7"/>
  <c r="AK157" i="7" s="1"/>
  <c r="AM158" i="7"/>
  <c r="I163" i="7"/>
  <c r="Q98" i="8"/>
  <c r="CX311" i="8" s="1"/>
  <c r="Y98" i="8"/>
  <c r="CY164" i="8" s="1"/>
  <c r="AW98" i="8"/>
  <c r="DB164" i="8" s="1"/>
  <c r="AM32" i="8"/>
  <c r="P49" i="8"/>
  <c r="AK49" i="8" s="1"/>
  <c r="E50" i="8"/>
  <c r="D50" i="8"/>
  <c r="C50" i="8"/>
  <c r="E51" i="8"/>
  <c r="D51" i="8"/>
  <c r="BD51" i="8"/>
  <c r="AM53" i="8"/>
  <c r="BG53" i="8" s="1"/>
  <c r="T53" i="8"/>
  <c r="S53" i="8"/>
  <c r="AM54" i="8"/>
  <c r="H55" i="8"/>
  <c r="T56" i="8"/>
  <c r="BV56" i="8"/>
  <c r="D58" i="8"/>
  <c r="BV58" i="8"/>
  <c r="AA59" i="8"/>
  <c r="AM59" i="8"/>
  <c r="AM60" i="8"/>
  <c r="P60" i="8"/>
  <c r="AK60" i="8" s="1"/>
  <c r="AY60" i="8"/>
  <c r="BB60" i="8" s="1"/>
  <c r="AN61" i="8"/>
  <c r="BU61" i="8"/>
  <c r="AA62" i="8"/>
  <c r="AM63" i="8"/>
  <c r="P63" i="8"/>
  <c r="AK63" i="8" s="1"/>
  <c r="AY63" i="8"/>
  <c r="T64" i="8"/>
  <c r="BC64" i="8"/>
  <c r="BF64" i="8" s="1"/>
  <c r="C65" i="8"/>
  <c r="AA65" i="8"/>
  <c r="BD67" i="8"/>
  <c r="AY67" i="8"/>
  <c r="BB67" i="8" s="1"/>
  <c r="C69" i="8"/>
  <c r="Z69" i="8"/>
  <c r="BD72" i="8"/>
  <c r="AY72" i="8"/>
  <c r="BB72" i="8" s="1"/>
  <c r="AN73" i="8"/>
  <c r="W74" i="8"/>
  <c r="AI74" i="8"/>
  <c r="C75" i="8"/>
  <c r="AA75" i="8"/>
  <c r="S76" i="8"/>
  <c r="AY76" i="8"/>
  <c r="BB76" i="8" s="1"/>
  <c r="BV76" i="8"/>
  <c r="AG77" i="8"/>
  <c r="BD77" i="8"/>
  <c r="BD79" i="8"/>
  <c r="BX79" i="8"/>
  <c r="G80" i="8"/>
  <c r="T80" i="8"/>
  <c r="BV80" i="8"/>
  <c r="BQ80" i="8"/>
  <c r="BT80" i="8" s="1"/>
  <c r="BV81" i="8"/>
  <c r="AL82" i="8"/>
  <c r="BF82" i="8" s="1"/>
  <c r="T83" i="8"/>
  <c r="K84" i="8"/>
  <c r="BM84" i="8"/>
  <c r="AA85" i="8"/>
  <c r="BQ85" i="8"/>
  <c r="AQ86" i="8"/>
  <c r="I87" i="8"/>
  <c r="H87" i="8"/>
  <c r="AN87" i="8"/>
  <c r="BU87" i="8"/>
  <c r="AG88" i="8"/>
  <c r="AL89" i="8"/>
  <c r="AG90" i="8"/>
  <c r="K91" i="8"/>
  <c r="D92" i="8"/>
  <c r="AH95" i="8"/>
  <c r="AG95" i="8"/>
  <c r="AK96" i="8"/>
  <c r="BE96" i="8" s="1"/>
  <c r="AM96" i="8"/>
  <c r="BG96" i="8" s="1"/>
  <c r="AG97" i="8"/>
  <c r="AD103" i="8"/>
  <c r="S104" i="8"/>
  <c r="AH105" i="8"/>
  <c r="AG105" i="8"/>
  <c r="AA106" i="8"/>
  <c r="G108" i="8"/>
  <c r="AM108" i="8"/>
  <c r="T108" i="8"/>
  <c r="S108" i="8"/>
  <c r="BU110" i="8"/>
  <c r="AH111" i="8"/>
  <c r="AG111" i="8"/>
  <c r="BF112" i="8"/>
  <c r="G113" i="8"/>
  <c r="AQ113" i="8"/>
  <c r="BB113" i="8" s="1"/>
  <c r="BD114" i="8"/>
  <c r="AY114" i="8"/>
  <c r="BB114" i="8" s="1"/>
  <c r="AM115" i="8"/>
  <c r="T115" i="8"/>
  <c r="S115" i="8"/>
  <c r="C117" i="8"/>
  <c r="BD117" i="8"/>
  <c r="AM118" i="8"/>
  <c r="H119" i="8"/>
  <c r="BC120" i="8"/>
  <c r="BF120" i="8" s="1"/>
  <c r="AQ121" i="8"/>
  <c r="I122" i="8"/>
  <c r="H122" i="8"/>
  <c r="AN122" i="8"/>
  <c r="BU122" i="8"/>
  <c r="BI123" i="8"/>
  <c r="T125" i="8"/>
  <c r="AK126" i="8"/>
  <c r="T127" i="8"/>
  <c r="AM128" i="8"/>
  <c r="AN130" i="8"/>
  <c r="AN132" i="8"/>
  <c r="W133" i="8"/>
  <c r="D134" i="8"/>
  <c r="Z135" i="8"/>
  <c r="T136" i="8"/>
  <c r="AG138" i="8"/>
  <c r="AK139" i="8"/>
  <c r="Z139" i="8"/>
  <c r="AL140" i="8"/>
  <c r="AN141" i="8"/>
  <c r="AA144" i="8"/>
  <c r="Z144" i="8"/>
  <c r="AN145" i="8"/>
  <c r="E146" i="8"/>
  <c r="D146" i="8"/>
  <c r="BU2" i="9"/>
  <c r="K3" i="9"/>
  <c r="AO3" i="9"/>
  <c r="AN3" i="9"/>
  <c r="BV3" i="9"/>
  <c r="AN4" i="9"/>
  <c r="BU4" i="9"/>
  <c r="AD5" i="9"/>
  <c r="AK5" i="9" s="1"/>
  <c r="AI7" i="9"/>
  <c r="BB7" i="9"/>
  <c r="BE7" i="9" s="1"/>
  <c r="E8" i="9"/>
  <c r="D8" i="9"/>
  <c r="C8" i="9"/>
  <c r="L12" i="9"/>
  <c r="K12" i="9"/>
  <c r="BU12" i="9"/>
  <c r="BG13" i="9"/>
  <c r="AK15" i="9"/>
  <c r="BM16" i="9"/>
  <c r="BC17" i="9"/>
  <c r="BF17" i="9" s="1"/>
  <c r="AY17" i="9"/>
  <c r="AQ19" i="9"/>
  <c r="BB19" i="9" s="1"/>
  <c r="BE19" i="9" s="1"/>
  <c r="BD19" i="9"/>
  <c r="BG19" i="9" s="1"/>
  <c r="BF19" i="9"/>
  <c r="BB27" i="9"/>
  <c r="AO30" i="9"/>
  <c r="AN30" i="9"/>
  <c r="AK39" i="9"/>
  <c r="BF57" i="9"/>
  <c r="BG106" i="9"/>
  <c r="H133" i="7"/>
  <c r="AD139" i="7"/>
  <c r="AK139" i="7" s="1"/>
  <c r="AD142" i="7"/>
  <c r="AK142" i="7" s="1"/>
  <c r="W143" i="7"/>
  <c r="AK143" i="7" s="1"/>
  <c r="BE143" i="7" s="1"/>
  <c r="H145" i="7"/>
  <c r="H147" i="7"/>
  <c r="AD149" i="7"/>
  <c r="AK149" i="7" s="1"/>
  <c r="W150" i="7"/>
  <c r="H152" i="7"/>
  <c r="AD154" i="7"/>
  <c r="AK154" i="7" s="1"/>
  <c r="W157" i="7"/>
  <c r="H159" i="7"/>
  <c r="AD160" i="7"/>
  <c r="AK160" i="7" s="1"/>
  <c r="AT600" i="15"/>
  <c r="AT590" i="15"/>
  <c r="AT582" i="15"/>
  <c r="AT574" i="15"/>
  <c r="AT557" i="15"/>
  <c r="AT549" i="15"/>
  <c r="AT541" i="15"/>
  <c r="AT533" i="15"/>
  <c r="AT525" i="15"/>
  <c r="AT517" i="15"/>
  <c r="AT509" i="15"/>
  <c r="AT459" i="15"/>
  <c r="AT448" i="15"/>
  <c r="AT596" i="15"/>
  <c r="AT593" i="15"/>
  <c r="AT580" i="15"/>
  <c r="AT576" i="15"/>
  <c r="AT566" i="15"/>
  <c r="AT532" i="15"/>
  <c r="AT531" i="15"/>
  <c r="AT530" i="15"/>
  <c r="AT529" i="15"/>
  <c r="AT528" i="15"/>
  <c r="AT527" i="15"/>
  <c r="AT526" i="15"/>
  <c r="AT599" i="15"/>
  <c r="AT589" i="15"/>
  <c r="AT585" i="15"/>
  <c r="AT572" i="15"/>
  <c r="AT567" i="15"/>
  <c r="AT581" i="15"/>
  <c r="AT577" i="15"/>
  <c r="AT568" i="15"/>
  <c r="AT548" i="15"/>
  <c r="AT547" i="15"/>
  <c r="AT546" i="15"/>
  <c r="AT545" i="15"/>
  <c r="AT544" i="15"/>
  <c r="AT543" i="15"/>
  <c r="AT542" i="15"/>
  <c r="AT460" i="15"/>
  <c r="AT446" i="15"/>
  <c r="AT441" i="15"/>
  <c r="AT588" i="15"/>
  <c r="AT584" i="15"/>
  <c r="AT571" i="15"/>
  <c r="AT565" i="15"/>
  <c r="AT597" i="15"/>
  <c r="AT594" i="15"/>
  <c r="AT586" i="15"/>
  <c r="AT573" i="15"/>
  <c r="AT550" i="15"/>
  <c r="AT521" i="15"/>
  <c r="AT506" i="15"/>
  <c r="AT463" i="15"/>
  <c r="AT439" i="15"/>
  <c r="AT433" i="15"/>
  <c r="AT591" i="15"/>
  <c r="AT578" i="15"/>
  <c r="AT558" i="15"/>
  <c r="AT553" i="15"/>
  <c r="AT537" i="15"/>
  <c r="AT514" i="15"/>
  <c r="AT510" i="15"/>
  <c r="AT458" i="15"/>
  <c r="AT432" i="15"/>
  <c r="AT431" i="15"/>
  <c r="AT421" i="15"/>
  <c r="AT410" i="15"/>
  <c r="AT520" i="15"/>
  <c r="AT518" i="15"/>
  <c r="AT507" i="15"/>
  <c r="AT453" i="15"/>
  <c r="AT451" i="15"/>
  <c r="AT447" i="15"/>
  <c r="AT428" i="15"/>
  <c r="AT415" i="15"/>
  <c r="AT414" i="15"/>
  <c r="AT413" i="15"/>
  <c r="AT412" i="15"/>
  <c r="AT407" i="15"/>
  <c r="AT396" i="15"/>
  <c r="AT579" i="15"/>
  <c r="AT575" i="15"/>
  <c r="AT562" i="15"/>
  <c r="AT560" i="15"/>
  <c r="AT551" i="15"/>
  <c r="AT536" i="15"/>
  <c r="AT534" i="15"/>
  <c r="AT516" i="15"/>
  <c r="AT455" i="15"/>
  <c r="AT449" i="15"/>
  <c r="AT445" i="15"/>
  <c r="AT443" i="15"/>
  <c r="AT438" i="15"/>
  <c r="AT434" i="15"/>
  <c r="AT429" i="15"/>
  <c r="AT419" i="15"/>
  <c r="AT418" i="15"/>
  <c r="AT417" i="15"/>
  <c r="AT416" i="15"/>
  <c r="AT406" i="15"/>
  <c r="AT405" i="15"/>
  <c r="AT395" i="15"/>
  <c r="AT384" i="15"/>
  <c r="AT374" i="15"/>
  <c r="AT373" i="15"/>
  <c r="AT598" i="15"/>
  <c r="AT523" i="15"/>
  <c r="AT457" i="15"/>
  <c r="AT435" i="15"/>
  <c r="AT430" i="15"/>
  <c r="AT420" i="15"/>
  <c r="AT404" i="15"/>
  <c r="AT394" i="15"/>
  <c r="AT393" i="15"/>
  <c r="AT383" i="15"/>
  <c r="AT372" i="15"/>
  <c r="AT365" i="15"/>
  <c r="AT361" i="15"/>
  <c r="AT601" i="15"/>
  <c r="AT595" i="15"/>
  <c r="AT540" i="15"/>
  <c r="AT538" i="15"/>
  <c r="AT513" i="15"/>
  <c r="AT511" i="15"/>
  <c r="AT461" i="15"/>
  <c r="AT411" i="15"/>
  <c r="AT512" i="15"/>
  <c r="AT462" i="15"/>
  <c r="AT423" i="15"/>
  <c r="AT409" i="15"/>
  <c r="AT403" i="15"/>
  <c r="AT388" i="15"/>
  <c r="AT377" i="15"/>
  <c r="AT364" i="15"/>
  <c r="AT363" i="15"/>
  <c r="AT362" i="15"/>
  <c r="AT354" i="15"/>
  <c r="AT353" i="15"/>
  <c r="AT343" i="15"/>
  <c r="AT296" i="15"/>
  <c r="AT293" i="15"/>
  <c r="AT278" i="15"/>
  <c r="AT268" i="15"/>
  <c r="AT260" i="15"/>
  <c r="AT252" i="15"/>
  <c r="AT244" i="15"/>
  <c r="AT236" i="15"/>
  <c r="AT228" i="15"/>
  <c r="AT561" i="15"/>
  <c r="AT519" i="15"/>
  <c r="AT508" i="15"/>
  <c r="AT456" i="15"/>
  <c r="AT444" i="15"/>
  <c r="AT425" i="15"/>
  <c r="AT400" i="15"/>
  <c r="AT389" i="15"/>
  <c r="AT352" i="15"/>
  <c r="AT342" i="15"/>
  <c r="AT341" i="15"/>
  <c r="AT277" i="15"/>
  <c r="AT273" i="15"/>
  <c r="AT265" i="15"/>
  <c r="AT257" i="15"/>
  <c r="AT249" i="15"/>
  <c r="AT241" i="15"/>
  <c r="AT515" i="15"/>
  <c r="AT452" i="15"/>
  <c r="AT397" i="15"/>
  <c r="AT378" i="15"/>
  <c r="AT367" i="15"/>
  <c r="AT366" i="15"/>
  <c r="AT351" i="15"/>
  <c r="AT340" i="15"/>
  <c r="AT294" i="15"/>
  <c r="AT276" i="15"/>
  <c r="AT270" i="15"/>
  <c r="AT262" i="15"/>
  <c r="AT254" i="15"/>
  <c r="AT246" i="15"/>
  <c r="AT238" i="15"/>
  <c r="AT587" i="15"/>
  <c r="AT556" i="15"/>
  <c r="AT552" i="15"/>
  <c r="AT522" i="15"/>
  <c r="AT592" i="15"/>
  <c r="AT570" i="15"/>
  <c r="AT559" i="15"/>
  <c r="AT450" i="15"/>
  <c r="AT564" i="15"/>
  <c r="AT535" i="15"/>
  <c r="AT454" i="15"/>
  <c r="AT583" i="15"/>
  <c r="AT569" i="15"/>
  <c r="AT563" i="15"/>
  <c r="AT554" i="15"/>
  <c r="AT524" i="15"/>
  <c r="AT399" i="15"/>
  <c r="AT387" i="15"/>
  <c r="AT382" i="15"/>
  <c r="AT376" i="15"/>
  <c r="AT371" i="15"/>
  <c r="AT355" i="15"/>
  <c r="AT344" i="15"/>
  <c r="AT292" i="15"/>
  <c r="AT279" i="15"/>
  <c r="AT271" i="15"/>
  <c r="AT263" i="15"/>
  <c r="AT255" i="15"/>
  <c r="AT391" i="15"/>
  <c r="AT369" i="15"/>
  <c r="AT275" i="15"/>
  <c r="AT272" i="15"/>
  <c r="AT256" i="15"/>
  <c r="AT231" i="15"/>
  <c r="AT226" i="15"/>
  <c r="AT223" i="15"/>
  <c r="AT215" i="15"/>
  <c r="AT207" i="15"/>
  <c r="AT199" i="15"/>
  <c r="AT191" i="15"/>
  <c r="AT183" i="15"/>
  <c r="AT175" i="15"/>
  <c r="AT124" i="15"/>
  <c r="AT120" i="15"/>
  <c r="AT106" i="15"/>
  <c r="AT102" i="15"/>
  <c r="AT94" i="15"/>
  <c r="AT424" i="15"/>
  <c r="AT381" i="15"/>
  <c r="AT347" i="15"/>
  <c r="AT338" i="15"/>
  <c r="AT295" i="15"/>
  <c r="AT269" i="15"/>
  <c r="AT253" i="15"/>
  <c r="AT243" i="15"/>
  <c r="AT242" i="15"/>
  <c r="AT235" i="15"/>
  <c r="AT230" i="15"/>
  <c r="AT220" i="15"/>
  <c r="AT212" i="15"/>
  <c r="AT204" i="15"/>
  <c r="AT196" i="15"/>
  <c r="AT188" i="15"/>
  <c r="AT180" i="15"/>
  <c r="AT121" i="15"/>
  <c r="AT105" i="15"/>
  <c r="AT408" i="15"/>
  <c r="AT402" i="15"/>
  <c r="AT386" i="15"/>
  <c r="AT360" i="15"/>
  <c r="AT358" i="15"/>
  <c r="AT356" i="15"/>
  <c r="AT345" i="15"/>
  <c r="AT298" i="15"/>
  <c r="AT290" i="15"/>
  <c r="AT288" i="15"/>
  <c r="AT286" i="15"/>
  <c r="AT284" i="15"/>
  <c r="AT282" i="15"/>
  <c r="AT280" i="15"/>
  <c r="AT266" i="15"/>
  <c r="AT250" i="15"/>
  <c r="AT225" i="15"/>
  <c r="AT217" i="15"/>
  <c r="AT209" i="15"/>
  <c r="AT201" i="15"/>
  <c r="AT193" i="15"/>
  <c r="AT185" i="15"/>
  <c r="AT177" i="15"/>
  <c r="AT555" i="15"/>
  <c r="AT437" i="15"/>
  <c r="AT427" i="15"/>
  <c r="AT401" i="15"/>
  <c r="AT390" i="15"/>
  <c r="AT368" i="15"/>
  <c r="AT422" i="15"/>
  <c r="AT385" i="15"/>
  <c r="AT380" i="15"/>
  <c r="AT436" i="15"/>
  <c r="AT398" i="15"/>
  <c r="AT392" i="15"/>
  <c r="AT442" i="15"/>
  <c r="AT426" i="15"/>
  <c r="AT375" i="15"/>
  <c r="AT370" i="15"/>
  <c r="AT359" i="15"/>
  <c r="AT346" i="15"/>
  <c r="AT291" i="15"/>
  <c r="AT289" i="15"/>
  <c r="AT287" i="15"/>
  <c r="AT285" i="15"/>
  <c r="AT283" i="15"/>
  <c r="AT281" i="15"/>
  <c r="AT274" i="15"/>
  <c r="AT258" i="15"/>
  <c r="AT240" i="15"/>
  <c r="AT232" i="15"/>
  <c r="AT227" i="15"/>
  <c r="AT221" i="15"/>
  <c r="AT213" i="15"/>
  <c r="AT205" i="15"/>
  <c r="AT197" i="15"/>
  <c r="AT189" i="15"/>
  <c r="AT181" i="15"/>
  <c r="AT539" i="15"/>
  <c r="AT440" i="15"/>
  <c r="AT379" i="15"/>
  <c r="AT349" i="15"/>
  <c r="AT247" i="15"/>
  <c r="AT210" i="15"/>
  <c r="AT194" i="15"/>
  <c r="AT178" i="15"/>
  <c r="AT111" i="15"/>
  <c r="AT107" i="15"/>
  <c r="AT98" i="15"/>
  <c r="AT88" i="15"/>
  <c r="AT80" i="15"/>
  <c r="AT72" i="15"/>
  <c r="AT64" i="15"/>
  <c r="AT56" i="15"/>
  <c r="AT48" i="15"/>
  <c r="AT40" i="15"/>
  <c r="AT32" i="15"/>
  <c r="AT24" i="15"/>
  <c r="AT16" i="15"/>
  <c r="AT8" i="15"/>
  <c r="AT251" i="15"/>
  <c r="AT234" i="15"/>
  <c r="AT229" i="15"/>
  <c r="AT214" i="15"/>
  <c r="AT198" i="15"/>
  <c r="AT182" i="15"/>
  <c r="AT115" i="15"/>
  <c r="AT93" i="15"/>
  <c r="AT85" i="15"/>
  <c r="AT77" i="15"/>
  <c r="AT69" i="15"/>
  <c r="AT61" i="15"/>
  <c r="AT53" i="15"/>
  <c r="AT45" i="15"/>
  <c r="AT37" i="15"/>
  <c r="AT29" i="15"/>
  <c r="AT21" i="15"/>
  <c r="AT13" i="15"/>
  <c r="AT5" i="15"/>
  <c r="AT348" i="15"/>
  <c r="AT211" i="15"/>
  <c r="AT195" i="15"/>
  <c r="AT179" i="15"/>
  <c r="AT118" i="15"/>
  <c r="AT112" i="15"/>
  <c r="AT108" i="15"/>
  <c r="AT97" i="15"/>
  <c r="AT90" i="15"/>
  <c r="AT82" i="15"/>
  <c r="AT74" i="15"/>
  <c r="AT66" i="15"/>
  <c r="AT58" i="15"/>
  <c r="AT50" i="15"/>
  <c r="AT42" i="15"/>
  <c r="AT34" i="15"/>
  <c r="AT26" i="15"/>
  <c r="AT18" i="15"/>
  <c r="AT10" i="15"/>
  <c r="AT2" i="15"/>
  <c r="AT224" i="15"/>
  <c r="AT208" i="15"/>
  <c r="AT192" i="15"/>
  <c r="AT176" i="15"/>
  <c r="AT126" i="15"/>
  <c r="AT96" i="15"/>
  <c r="AT87" i="15"/>
  <c r="AT79" i="15"/>
  <c r="AT71" i="15"/>
  <c r="AT63" i="15"/>
  <c r="AT55" i="15"/>
  <c r="AT259" i="15"/>
  <c r="AT248" i="15"/>
  <c r="AT239" i="15"/>
  <c r="AT237" i="15"/>
  <c r="AT218" i="15"/>
  <c r="AT202" i="15"/>
  <c r="AT186" i="15"/>
  <c r="AT123" i="15"/>
  <c r="AT116" i="15"/>
  <c r="AT113" i="15"/>
  <c r="AT109" i="15"/>
  <c r="AT104" i="15"/>
  <c r="AT103" i="15"/>
  <c r="AT101" i="15"/>
  <c r="AT92" i="15"/>
  <c r="AT84" i="15"/>
  <c r="AT76" i="15"/>
  <c r="AT68" i="15"/>
  <c r="AT60" i="15"/>
  <c r="AT52" i="15"/>
  <c r="AT350" i="15"/>
  <c r="AT339" i="15"/>
  <c r="AT297" i="15"/>
  <c r="AT267" i="15"/>
  <c r="AT222" i="15"/>
  <c r="AT206" i="15"/>
  <c r="AT190" i="15"/>
  <c r="AT125" i="15"/>
  <c r="AT119" i="15"/>
  <c r="AT100" i="15"/>
  <c r="AT95" i="15"/>
  <c r="AT89" i="15"/>
  <c r="AT81" i="15"/>
  <c r="AT73" i="15"/>
  <c r="AT65" i="15"/>
  <c r="AT57" i="15"/>
  <c r="AT49" i="15"/>
  <c r="AT264" i="15"/>
  <c r="AT245" i="15"/>
  <c r="AT233" i="15"/>
  <c r="AT219" i="15"/>
  <c r="AT203" i="15"/>
  <c r="AT187" i="15"/>
  <c r="AT174" i="15"/>
  <c r="AT173" i="15"/>
  <c r="AT114" i="15"/>
  <c r="AT110" i="15"/>
  <c r="AT99" i="15"/>
  <c r="AT86" i="15"/>
  <c r="AT78" i="15"/>
  <c r="AT70" i="15"/>
  <c r="AT62" i="15"/>
  <c r="AT54" i="15"/>
  <c r="AT46" i="15"/>
  <c r="AT357" i="15"/>
  <c r="AT261" i="15"/>
  <c r="AT216" i="15"/>
  <c r="AT200" i="15"/>
  <c r="AT184" i="15"/>
  <c r="AT122" i="15"/>
  <c r="AT117" i="15"/>
  <c r="AT91" i="15"/>
  <c r="AT83" i="15"/>
  <c r="AT75" i="15"/>
  <c r="AT67" i="15"/>
  <c r="AT59" i="15"/>
  <c r="AT51" i="15"/>
  <c r="AT43" i="15"/>
  <c r="AT35" i="15"/>
  <c r="AT27" i="15"/>
  <c r="AT19" i="15"/>
  <c r="AT11" i="15"/>
  <c r="AT3" i="15"/>
  <c r="AT38" i="15"/>
  <c r="AT22" i="15"/>
  <c r="AT6" i="15"/>
  <c r="AT39" i="15"/>
  <c r="AT23" i="15"/>
  <c r="AT7" i="15"/>
  <c r="AT36" i="15"/>
  <c r="AT20" i="15"/>
  <c r="AT4" i="15"/>
  <c r="AT47" i="15"/>
  <c r="AT33" i="15"/>
  <c r="AT17" i="15"/>
  <c r="AT30" i="15"/>
  <c r="AT14" i="15"/>
  <c r="AT31" i="15"/>
  <c r="AT15" i="15"/>
  <c r="AT44" i="15"/>
  <c r="AT28" i="15"/>
  <c r="AT12" i="15"/>
  <c r="AT41" i="15"/>
  <c r="AT25" i="15"/>
  <c r="AT9" i="15"/>
  <c r="R98" i="8"/>
  <c r="CX164" i="8" s="1"/>
  <c r="AP98" i="8"/>
  <c r="AX98" i="8"/>
  <c r="BN98" i="8"/>
  <c r="DE311" i="8" s="1"/>
  <c r="AL50" i="8"/>
  <c r="BF50" i="8" s="1"/>
  <c r="BC53" i="8"/>
  <c r="BU54" i="8"/>
  <c r="AH56" i="8"/>
  <c r="AG56" i="8"/>
  <c r="AU57" i="8"/>
  <c r="BD57" i="8"/>
  <c r="AO58" i="8"/>
  <c r="AN58" i="8"/>
  <c r="BV61" i="8"/>
  <c r="BE64" i="8"/>
  <c r="D65" i="8"/>
  <c r="AM65" i="8"/>
  <c r="BF66" i="8"/>
  <c r="L68" i="8"/>
  <c r="K68" i="8"/>
  <c r="D69" i="8"/>
  <c r="AH70" i="8"/>
  <c r="AG70" i="8"/>
  <c r="P71" i="8"/>
  <c r="AK71" i="8" s="1"/>
  <c r="AM71" i="8"/>
  <c r="I73" i="8"/>
  <c r="H73" i="8"/>
  <c r="AD73" i="8"/>
  <c r="BV73" i="8"/>
  <c r="BQ73" i="8"/>
  <c r="BT73" i="8" s="1"/>
  <c r="AM75" i="8"/>
  <c r="P75" i="8"/>
  <c r="AK75" i="8" s="1"/>
  <c r="BB75" i="8"/>
  <c r="T76" i="8"/>
  <c r="BM77" i="8"/>
  <c r="BV77" i="8"/>
  <c r="I78" i="8"/>
  <c r="H78" i="8"/>
  <c r="G78" i="8"/>
  <c r="AI79" i="8"/>
  <c r="T79" i="8"/>
  <c r="AA79" i="8"/>
  <c r="H80" i="8"/>
  <c r="AM81" i="8"/>
  <c r="AU81" i="8"/>
  <c r="BB81" i="8" s="1"/>
  <c r="T82" i="8"/>
  <c r="AM82" i="8"/>
  <c r="BB82" i="8"/>
  <c r="AG83" i="8"/>
  <c r="BG84" i="8"/>
  <c r="S85" i="8"/>
  <c r="AH86" i="8"/>
  <c r="S87" i="8"/>
  <c r="AD87" i="8"/>
  <c r="BV87" i="8"/>
  <c r="T89" i="8"/>
  <c r="S89" i="8"/>
  <c r="L90" i="8"/>
  <c r="K90" i="8"/>
  <c r="AH90" i="8"/>
  <c r="BD90" i="8"/>
  <c r="BM90" i="8"/>
  <c r="E91" i="8"/>
  <c r="D91" i="8"/>
  <c r="AU91" i="8"/>
  <c r="BD91" i="8"/>
  <c r="P92" i="8"/>
  <c r="AK92" i="8" s="1"/>
  <c r="BE92" i="8" s="1"/>
  <c r="AM92" i="8"/>
  <c r="K93" i="8"/>
  <c r="BC93" i="8"/>
  <c r="BF93" i="8" s="1"/>
  <c r="Z94" i="8"/>
  <c r="BC95" i="8"/>
  <c r="W97" i="8"/>
  <c r="AK97" i="8" s="1"/>
  <c r="BE97" i="8" s="1"/>
  <c r="AH97" i="8"/>
  <c r="BU97" i="8"/>
  <c r="AI103" i="8"/>
  <c r="AG103" i="8"/>
  <c r="T104" i="8"/>
  <c r="K105" i="8"/>
  <c r="BB106" i="8"/>
  <c r="AM107" i="8"/>
  <c r="H108" i="8"/>
  <c r="BC109" i="8"/>
  <c r="BF109" i="8" s="1"/>
  <c r="AI112" i="8"/>
  <c r="AA112" i="8"/>
  <c r="Z112" i="8"/>
  <c r="BG112" i="8"/>
  <c r="H113" i="8"/>
  <c r="BD113" i="8"/>
  <c r="I115" i="8"/>
  <c r="H115" i="8"/>
  <c r="D117" i="8"/>
  <c r="AI117" i="8"/>
  <c r="BM117" i="8"/>
  <c r="BV117" i="8"/>
  <c r="I118" i="8"/>
  <c r="H118" i="8"/>
  <c r="G118" i="8"/>
  <c r="BU118" i="8"/>
  <c r="L120" i="8"/>
  <c r="K120" i="8"/>
  <c r="BV122" i="8"/>
  <c r="AL124" i="8"/>
  <c r="BB124" i="8"/>
  <c r="BD125" i="8"/>
  <c r="AY125" i="8"/>
  <c r="AL126" i="8"/>
  <c r="BB126" i="8"/>
  <c r="BD127" i="8"/>
  <c r="AY127" i="8"/>
  <c r="BB127" i="8" s="1"/>
  <c r="Z129" i="8"/>
  <c r="BT129" i="8"/>
  <c r="BV130" i="8"/>
  <c r="BQ130" i="8"/>
  <c r="Z131" i="8"/>
  <c r="BT131" i="8"/>
  <c r="BV132" i="8"/>
  <c r="BQ132" i="8"/>
  <c r="Z133" i="8"/>
  <c r="AU133" i="8"/>
  <c r="BD133" i="8"/>
  <c r="P134" i="8"/>
  <c r="AK134" i="8" s="1"/>
  <c r="AM134" i="8"/>
  <c r="AA135" i="8"/>
  <c r="C136" i="8"/>
  <c r="AA137" i="8"/>
  <c r="Z137" i="8"/>
  <c r="AL139" i="8"/>
  <c r="T140" i="8"/>
  <c r="S140" i="8"/>
  <c r="AD141" i="8"/>
  <c r="AA142" i="8"/>
  <c r="AA143" i="8"/>
  <c r="AK144" i="8"/>
  <c r="AM144" i="8"/>
  <c r="T145" i="8"/>
  <c r="AD145" i="8"/>
  <c r="C146" i="8"/>
  <c r="X59" i="9"/>
  <c r="CY352" i="9" s="1"/>
  <c r="AL2" i="9"/>
  <c r="AL59" i="9" s="1"/>
  <c r="AP59" i="9"/>
  <c r="AX59" i="9"/>
  <c r="AQ3" i="9"/>
  <c r="BB3" i="9" s="1"/>
  <c r="BE3" i="9" s="1"/>
  <c r="BV4" i="9"/>
  <c r="Q59" i="9"/>
  <c r="CX352" i="9" s="1"/>
  <c r="BF5" i="9"/>
  <c r="BM6" i="9"/>
  <c r="BC7" i="9"/>
  <c r="BF7" i="9" s="1"/>
  <c r="AO9" i="9"/>
  <c r="I10" i="9"/>
  <c r="H10" i="9"/>
  <c r="G10" i="9"/>
  <c r="AU10" i="9"/>
  <c r="BB10" i="9" s="1"/>
  <c r="BI10" i="9"/>
  <c r="I11" i="9"/>
  <c r="G11" i="9"/>
  <c r="AU11" i="9"/>
  <c r="AK14" i="9"/>
  <c r="BG16" i="9"/>
  <c r="BG17" i="9"/>
  <c r="BF18" i="9"/>
  <c r="BF21" i="9"/>
  <c r="AO46" i="9"/>
  <c r="AN46" i="9"/>
  <c r="BF46" i="9"/>
  <c r="AO54" i="9"/>
  <c r="AN54" i="9"/>
  <c r="BB88" i="9"/>
  <c r="BE88" i="9" s="1"/>
  <c r="S2" i="8"/>
  <c r="S98" i="8" s="1"/>
  <c r="AA2" i="8"/>
  <c r="AA98" i="8" s="1"/>
  <c r="BO98" i="8"/>
  <c r="DE164" i="8" s="1"/>
  <c r="BW98" i="8"/>
  <c r="BV48" i="8"/>
  <c r="T49" i="8"/>
  <c r="S49" i="8"/>
  <c r="T50" i="8"/>
  <c r="AL51" i="8"/>
  <c r="Z51" i="8"/>
  <c r="D52" i="8"/>
  <c r="H53" i="8"/>
  <c r="AG53" i="8"/>
  <c r="T54" i="8"/>
  <c r="BV54" i="8"/>
  <c r="AQ56" i="8"/>
  <c r="BB56" i="8" s="1"/>
  <c r="P59" i="8"/>
  <c r="AK59" i="8" s="1"/>
  <c r="BE59" i="8" s="1"/>
  <c r="T60" i="8"/>
  <c r="AH61" i="8"/>
  <c r="AG61" i="8"/>
  <c r="T63" i="8"/>
  <c r="BM64" i="8"/>
  <c r="AH66" i="8"/>
  <c r="BD66" i="8"/>
  <c r="AG67" i="8"/>
  <c r="Z68" i="8"/>
  <c r="AU68" i="8"/>
  <c r="BB68" i="8" s="1"/>
  <c r="BD68" i="8"/>
  <c r="P69" i="8"/>
  <c r="AK69" i="8" s="1"/>
  <c r="AM69" i="8"/>
  <c r="BD70" i="8"/>
  <c r="S71" i="8"/>
  <c r="BV71" i="8"/>
  <c r="AH72" i="8"/>
  <c r="G73" i="8"/>
  <c r="BI73" i="8"/>
  <c r="AA74" i="8"/>
  <c r="AU74" i="8"/>
  <c r="BB74" i="8" s="1"/>
  <c r="S75" i="8"/>
  <c r="BC75" i="8"/>
  <c r="BF75" i="8" s="1"/>
  <c r="BD76" i="8"/>
  <c r="BD78" i="8"/>
  <c r="AY78" i="8"/>
  <c r="BB78" i="8" s="1"/>
  <c r="AM79" i="8"/>
  <c r="BQ79" i="8"/>
  <c r="BT79" i="8" s="1"/>
  <c r="P81" i="8"/>
  <c r="AK81" i="8" s="1"/>
  <c r="Z81" i="8"/>
  <c r="S82" i="8"/>
  <c r="C84" i="8"/>
  <c r="BT84" i="8"/>
  <c r="BQ86" i="8"/>
  <c r="BT86" i="8" s="1"/>
  <c r="AA88" i="8"/>
  <c r="Z88" i="8"/>
  <c r="AU88" i="8"/>
  <c r="BB88" i="8" s="1"/>
  <c r="AD89" i="8"/>
  <c r="AK89" i="8" s="1"/>
  <c r="BE89" i="8" s="1"/>
  <c r="W90" i="8"/>
  <c r="C91" i="8"/>
  <c r="AA91" i="8"/>
  <c r="S92" i="8"/>
  <c r="AY92" i="8"/>
  <c r="BB92" i="8" s="1"/>
  <c r="BV92" i="8"/>
  <c r="AG93" i="8"/>
  <c r="BD93" i="8"/>
  <c r="AO94" i="8"/>
  <c r="AN94" i="8"/>
  <c r="BD95" i="8"/>
  <c r="BX95" i="8"/>
  <c r="G96" i="8"/>
  <c r="T96" i="8"/>
  <c r="AD96" i="8"/>
  <c r="BV96" i="8"/>
  <c r="BQ96" i="8"/>
  <c r="BT96" i="8" s="1"/>
  <c r="BV97" i="8"/>
  <c r="W103" i="8"/>
  <c r="AK103" i="8" s="1"/>
  <c r="AH103" i="8"/>
  <c r="BM104" i="8"/>
  <c r="BT104" i="8" s="1"/>
  <c r="AL106" i="8"/>
  <c r="BC106" i="8"/>
  <c r="AD107" i="8"/>
  <c r="AK107" i="8" s="1"/>
  <c r="BU107" i="8"/>
  <c r="C109" i="8"/>
  <c r="BD109" i="8"/>
  <c r="AO110" i="8"/>
  <c r="AN110" i="8"/>
  <c r="BD111" i="8"/>
  <c r="BX111" i="8"/>
  <c r="AM112" i="8"/>
  <c r="BE112" i="8"/>
  <c r="K114" i="8"/>
  <c r="G115" i="8"/>
  <c r="E116" i="8"/>
  <c r="D116" i="8"/>
  <c r="C116" i="8"/>
  <c r="P116" i="8"/>
  <c r="AK116" i="8" s="1"/>
  <c r="Z116" i="8"/>
  <c r="AU116" i="8"/>
  <c r="BB116" i="8" s="1"/>
  <c r="BD116" i="8"/>
  <c r="AD118" i="8"/>
  <c r="AK118" i="8" s="1"/>
  <c r="BV118" i="8"/>
  <c r="W119" i="8"/>
  <c r="AG119" i="8"/>
  <c r="BB119" i="8"/>
  <c r="AH120" i="8"/>
  <c r="BD120" i="8"/>
  <c r="BM120" i="8"/>
  <c r="BT120" i="8" s="1"/>
  <c r="E121" i="8"/>
  <c r="D121" i="8"/>
  <c r="BQ121" i="8"/>
  <c r="BT121" i="8" s="1"/>
  <c r="W123" i="8"/>
  <c r="AK123" i="8" s="1"/>
  <c r="BE123" i="8" s="1"/>
  <c r="AG123" i="8"/>
  <c r="T124" i="8"/>
  <c r="S124" i="8"/>
  <c r="AM124" i="8"/>
  <c r="BC124" i="8"/>
  <c r="BF124" i="8" s="1"/>
  <c r="AQ125" i="8"/>
  <c r="I126" i="8"/>
  <c r="H126" i="8"/>
  <c r="BC126" i="8"/>
  <c r="BF126" i="8" s="1"/>
  <c r="AQ127" i="8"/>
  <c r="I128" i="8"/>
  <c r="H128" i="8"/>
  <c r="AD128" i="8"/>
  <c r="AK128" i="8" s="1"/>
  <c r="BE128" i="8" s="1"/>
  <c r="BV128" i="8"/>
  <c r="BQ128" i="8"/>
  <c r="BT128" i="8" s="1"/>
  <c r="P129" i="8"/>
  <c r="AK129" i="8" s="1"/>
  <c r="AA129" i="8"/>
  <c r="BU129" i="8"/>
  <c r="BI130" i="8"/>
  <c r="P131" i="8"/>
  <c r="AK131" i="8" s="1"/>
  <c r="AA131" i="8"/>
  <c r="BI132" i="8"/>
  <c r="AA133" i="8"/>
  <c r="S134" i="8"/>
  <c r="AY134" i="8"/>
  <c r="BB134" i="8" s="1"/>
  <c r="BV134" i="8"/>
  <c r="AM135" i="8"/>
  <c r="P135" i="8"/>
  <c r="AK135" i="8" s="1"/>
  <c r="AM137" i="8"/>
  <c r="AA138" i="8"/>
  <c r="Z138" i="8"/>
  <c r="T139" i="8"/>
  <c r="S139" i="8"/>
  <c r="AD140" i="8"/>
  <c r="AK140" i="8" s="1"/>
  <c r="AM142" i="8"/>
  <c r="AM143" i="8"/>
  <c r="Z146" i="8"/>
  <c r="Y59" i="9"/>
  <c r="CY204" i="9" s="1"/>
  <c r="AQ2" i="9"/>
  <c r="AY2" i="9"/>
  <c r="AY59" i="9" s="1"/>
  <c r="BV2" i="9"/>
  <c r="BF3" i="9"/>
  <c r="R59" i="9"/>
  <c r="CX204" i="9" s="1"/>
  <c r="P5" i="9"/>
  <c r="AU5" i="9"/>
  <c r="AL6" i="9"/>
  <c r="BF6" i="9" s="1"/>
  <c r="BD6" i="9"/>
  <c r="BG6" i="9" s="1"/>
  <c r="AD7" i="9"/>
  <c r="AK7" i="9" s="1"/>
  <c r="BG7" i="9"/>
  <c r="BM7" i="9"/>
  <c r="BT7" i="9" s="1"/>
  <c r="W9" i="9"/>
  <c r="AK9" i="9" s="1"/>
  <c r="H11" i="9"/>
  <c r="AD12" i="9"/>
  <c r="AK12" i="9" s="1"/>
  <c r="AM12" i="9"/>
  <c r="E13" i="9"/>
  <c r="C13" i="9"/>
  <c r="BG21" i="9"/>
  <c r="AK24" i="9"/>
  <c r="BE26" i="9"/>
  <c r="BG27" i="9"/>
  <c r="BF28" i="9"/>
  <c r="BE48" i="9"/>
  <c r="AI86" i="9"/>
  <c r="E124" i="8"/>
  <c r="AM126" i="8"/>
  <c r="BG126" i="8" s="1"/>
  <c r="E129" i="8"/>
  <c r="E145" i="8"/>
  <c r="U59" i="9"/>
  <c r="AE59" i="9"/>
  <c r="CZ352" i="9" s="1"/>
  <c r="I3" i="9"/>
  <c r="D5" i="9"/>
  <c r="AD6" i="9"/>
  <c r="AK6" i="9" s="1"/>
  <c r="H7" i="9"/>
  <c r="D9" i="9"/>
  <c r="AQ9" i="9"/>
  <c r="BB9" i="9" s="1"/>
  <c r="BQ10" i="9"/>
  <c r="BT10" i="9" s="1"/>
  <c r="E11" i="9"/>
  <c r="I13" i="9"/>
  <c r="AQ13" i="9"/>
  <c r="BB13" i="9" s="1"/>
  <c r="BE13" i="9" s="1"/>
  <c r="BQ14" i="9"/>
  <c r="BT14" i="9" s="1"/>
  <c r="E15" i="9"/>
  <c r="I17" i="9"/>
  <c r="AQ17" i="9"/>
  <c r="BB17" i="9" s="1"/>
  <c r="BE17" i="9" s="1"/>
  <c r="AD18" i="9"/>
  <c r="AK18" i="9" s="1"/>
  <c r="AD21" i="9"/>
  <c r="AK21" i="9" s="1"/>
  <c r="I26" i="9"/>
  <c r="W26" i="9"/>
  <c r="I28" i="9"/>
  <c r="AD30" i="9"/>
  <c r="AK30" i="9" s="1"/>
  <c r="I32" i="9"/>
  <c r="BV33" i="9"/>
  <c r="AD34" i="9"/>
  <c r="AK34" i="9" s="1"/>
  <c r="AQ36" i="9"/>
  <c r="BB36" i="9" s="1"/>
  <c r="BE36" i="9" s="1"/>
  <c r="BV38" i="9"/>
  <c r="BQ39" i="9"/>
  <c r="BT39" i="9" s="1"/>
  <c r="AD42" i="9"/>
  <c r="AK42" i="9" s="1"/>
  <c r="BM43" i="9"/>
  <c r="AU44" i="9"/>
  <c r="BB44" i="9" s="1"/>
  <c r="BD44" i="9"/>
  <c r="AD45" i="9"/>
  <c r="AK45" i="9" s="1"/>
  <c r="BM46" i="9"/>
  <c r="BV48" i="9"/>
  <c r="AO49" i="9"/>
  <c r="AN49" i="9"/>
  <c r="BU50" i="9"/>
  <c r="AQ52" i="9"/>
  <c r="BB52" i="9" s="1"/>
  <c r="L55" i="9"/>
  <c r="K55" i="9"/>
  <c r="AI66" i="9"/>
  <c r="AO67" i="9"/>
  <c r="AN67" i="9"/>
  <c r="BV67" i="9"/>
  <c r="BV68" i="9"/>
  <c r="BB71" i="9"/>
  <c r="BE71" i="9" s="1"/>
  <c r="BF73" i="9"/>
  <c r="BV73" i="9"/>
  <c r="BQ73" i="9"/>
  <c r="BT73" i="9" s="1"/>
  <c r="D74" i="9"/>
  <c r="AM74" i="9"/>
  <c r="AU76" i="9"/>
  <c r="AU77" i="9"/>
  <c r="BB77" i="9" s="1"/>
  <c r="BE77" i="9" s="1"/>
  <c r="BD77" i="9"/>
  <c r="I81" i="9"/>
  <c r="H81" i="9"/>
  <c r="G81" i="9"/>
  <c r="AD82" i="9"/>
  <c r="AK82" i="9" s="1"/>
  <c r="AU83" i="9"/>
  <c r="AQ87" i="9"/>
  <c r="BB87" i="9" s="1"/>
  <c r="AL89" i="9"/>
  <c r="BD89" i="9"/>
  <c r="BG89" i="9" s="1"/>
  <c r="BM89" i="9"/>
  <c r="BT89" i="9" s="1"/>
  <c r="L90" i="9"/>
  <c r="BM91" i="9"/>
  <c r="BV91" i="9"/>
  <c r="AM93" i="9"/>
  <c r="BU93" i="9"/>
  <c r="AD94" i="9"/>
  <c r="AK94" i="9" s="1"/>
  <c r="BC94" i="9"/>
  <c r="BF94" i="9" s="1"/>
  <c r="P97" i="9"/>
  <c r="AK97" i="9" s="1"/>
  <c r="BE97" i="9" s="1"/>
  <c r="L100" i="9"/>
  <c r="AQ106" i="9"/>
  <c r="BB106" i="9" s="1"/>
  <c r="BB109" i="9"/>
  <c r="BD109" i="9"/>
  <c r="BG109" i="9" s="1"/>
  <c r="E113" i="9"/>
  <c r="D113" i="9"/>
  <c r="BG114" i="9"/>
  <c r="BQ115" i="9"/>
  <c r="BT115" i="9" s="1"/>
  <c r="BV115" i="9"/>
  <c r="AD118" i="9"/>
  <c r="AM118" i="9"/>
  <c r="BG120" i="9"/>
  <c r="AY121" i="9"/>
  <c r="BD121" i="9"/>
  <c r="BG121" i="9" s="1"/>
  <c r="L127" i="9"/>
  <c r="K127" i="9"/>
  <c r="BT129" i="9"/>
  <c r="AO130" i="9"/>
  <c r="BA4" i="10"/>
  <c r="BC10" i="10"/>
  <c r="L32" i="9"/>
  <c r="K32" i="9"/>
  <c r="AL35" i="9"/>
  <c r="BV36" i="9"/>
  <c r="BQ36" i="9"/>
  <c r="BT36" i="9" s="1"/>
  <c r="BG37" i="9"/>
  <c r="AO38" i="9"/>
  <c r="AN38" i="9"/>
  <c r="BG43" i="9"/>
  <c r="BG46" i="9"/>
  <c r="AK54" i="9"/>
  <c r="BB54" i="9"/>
  <c r="BE54" i="9" s="1"/>
  <c r="BB68" i="9"/>
  <c r="BV72" i="9"/>
  <c r="BQ72" i="9"/>
  <c r="AK73" i="9"/>
  <c r="E75" i="9"/>
  <c r="D75" i="9"/>
  <c r="L76" i="9"/>
  <c r="K76" i="9"/>
  <c r="BT78" i="9"/>
  <c r="BE79" i="9"/>
  <c r="I80" i="9"/>
  <c r="H80" i="9"/>
  <c r="G80" i="9"/>
  <c r="AD80" i="9"/>
  <c r="AK80" i="9" s="1"/>
  <c r="AM80" i="9"/>
  <c r="BD86" i="9"/>
  <c r="BG86" i="9" s="1"/>
  <c r="AQ86" i="9"/>
  <c r="BB86" i="9" s="1"/>
  <c r="BE86" i="9" s="1"/>
  <c r="I87" i="9"/>
  <c r="H87" i="9"/>
  <c r="BF87" i="9"/>
  <c r="AM89" i="9"/>
  <c r="AD89" i="9"/>
  <c r="AK89" i="9" s="1"/>
  <c r="L95" i="9"/>
  <c r="K95" i="9"/>
  <c r="AK98" i="9"/>
  <c r="BC99" i="9"/>
  <c r="BF99" i="9" s="1"/>
  <c r="AQ99" i="9"/>
  <c r="BB99" i="9" s="1"/>
  <c r="BE99" i="9" s="1"/>
  <c r="BV100" i="9"/>
  <c r="BM100" i="9"/>
  <c r="I105" i="9"/>
  <c r="H105" i="9"/>
  <c r="BM106" i="9"/>
  <c r="BV106" i="9"/>
  <c r="BU108" i="9"/>
  <c r="BQ108" i="9"/>
  <c r="BD115" i="9"/>
  <c r="AU115" i="9"/>
  <c r="BB115" i="9" s="1"/>
  <c r="AM119" i="9"/>
  <c r="AD119" i="9"/>
  <c r="AK119" i="9" s="1"/>
  <c r="BB131" i="9"/>
  <c r="BG158" i="9"/>
  <c r="BB160" i="9"/>
  <c r="BE160" i="9" s="1"/>
  <c r="BC9" i="10"/>
  <c r="BB33" i="10"/>
  <c r="AQ8" i="9"/>
  <c r="BB8" i="9" s="1"/>
  <c r="BQ9" i="9"/>
  <c r="BT9" i="9" s="1"/>
  <c r="AQ12" i="9"/>
  <c r="BB12" i="9" s="1"/>
  <c r="BQ13" i="9"/>
  <c r="BT13" i="9" s="1"/>
  <c r="AQ16" i="9"/>
  <c r="BB16" i="9" s="1"/>
  <c r="BE16" i="9" s="1"/>
  <c r="BQ17" i="9"/>
  <c r="BT17" i="9" s="1"/>
  <c r="AN20" i="9"/>
  <c r="W22" i="9"/>
  <c r="AN24" i="9"/>
  <c r="BM24" i="9"/>
  <c r="AM25" i="9"/>
  <c r="BG25" i="9" s="1"/>
  <c r="L26" i="9"/>
  <c r="K28" i="9"/>
  <c r="AU28" i="9"/>
  <c r="BM28" i="9"/>
  <c r="K29" i="9"/>
  <c r="BQ31" i="9"/>
  <c r="BT31" i="9" s="1"/>
  <c r="AM32" i="9"/>
  <c r="G33" i="9"/>
  <c r="AM35" i="9"/>
  <c r="BM35" i="9"/>
  <c r="E36" i="9"/>
  <c r="D36" i="9"/>
  <c r="AD37" i="9"/>
  <c r="AK37" i="9" s="1"/>
  <c r="AM37" i="9"/>
  <c r="AQ41" i="9"/>
  <c r="BB41" i="9" s="1"/>
  <c r="BE41" i="9" s="1"/>
  <c r="BM42" i="9"/>
  <c r="E43" i="9"/>
  <c r="D43" i="9"/>
  <c r="BM45" i="9"/>
  <c r="BT45" i="9" s="1"/>
  <c r="E46" i="9"/>
  <c r="D46" i="9"/>
  <c r="G48" i="9"/>
  <c r="AY49" i="9"/>
  <c r="AQ50" i="9"/>
  <c r="BB50" i="9" s="1"/>
  <c r="BE50" i="9" s="1"/>
  <c r="C52" i="9"/>
  <c r="BM52" i="9"/>
  <c r="BT52" i="9" s="1"/>
  <c r="AU53" i="9"/>
  <c r="AI55" i="9"/>
  <c r="BV55" i="9"/>
  <c r="BQ55" i="9"/>
  <c r="BT55" i="9" s="1"/>
  <c r="AN56" i="9"/>
  <c r="BU56" i="9"/>
  <c r="W57" i="9"/>
  <c r="AK57" i="9" s="1"/>
  <c r="BV57" i="9"/>
  <c r="W58" i="9"/>
  <c r="AK58" i="9" s="1"/>
  <c r="BQ58" i="9"/>
  <c r="BT58" i="9" s="1"/>
  <c r="AB59" i="9"/>
  <c r="BD66" i="9"/>
  <c r="AQ66" i="9"/>
  <c r="BB66" i="9" s="1"/>
  <c r="BE66" i="9" s="1"/>
  <c r="I67" i="9"/>
  <c r="H67" i="9"/>
  <c r="BF67" i="9"/>
  <c r="BC68" i="9"/>
  <c r="BF68" i="9" s="1"/>
  <c r="AM69" i="9"/>
  <c r="AD69" i="9"/>
  <c r="AK69" i="9" s="1"/>
  <c r="C70" i="9"/>
  <c r="E72" i="9"/>
  <c r="D72" i="9"/>
  <c r="C72" i="9"/>
  <c r="P72" i="9"/>
  <c r="AD72" i="9"/>
  <c r="BI72" i="9"/>
  <c r="BQ74" i="9"/>
  <c r="BT74" i="9" s="1"/>
  <c r="C75" i="9"/>
  <c r="BD75" i="9"/>
  <c r="BG75" i="9" s="1"/>
  <c r="AU75" i="9"/>
  <c r="BX75" i="9"/>
  <c r="AN76" i="9"/>
  <c r="AM77" i="9"/>
  <c r="BU78" i="9"/>
  <c r="BT80" i="9"/>
  <c r="BM82" i="9"/>
  <c r="E83" i="9"/>
  <c r="D83" i="9"/>
  <c r="AI83" i="9"/>
  <c r="AU84" i="9"/>
  <c r="BB84" i="9" s="1"/>
  <c r="BE84" i="9" s="1"/>
  <c r="BG85" i="9"/>
  <c r="BX85" i="9"/>
  <c r="G86" i="9"/>
  <c r="BF86" i="9"/>
  <c r="G87" i="9"/>
  <c r="BD88" i="9"/>
  <c r="BM88" i="9"/>
  <c r="BT88" i="9" s="1"/>
  <c r="K93" i="9"/>
  <c r="P98" i="9"/>
  <c r="AL98" i="9"/>
  <c r="BF98" i="9" s="1"/>
  <c r="BM98" i="9"/>
  <c r="E100" i="9"/>
  <c r="D100" i="9"/>
  <c r="C100" i="9"/>
  <c r="G105" i="9"/>
  <c r="AM110" i="9"/>
  <c r="BU111" i="9"/>
  <c r="P118" i="9"/>
  <c r="BF122" i="9"/>
  <c r="BF135" i="9"/>
  <c r="BG136" i="9"/>
  <c r="AO138" i="9"/>
  <c r="AN138" i="9"/>
  <c r="BE145" i="9"/>
  <c r="AO150" i="9"/>
  <c r="AN150" i="9"/>
  <c r="BF150" i="9"/>
  <c r="BB8" i="10"/>
  <c r="AG30" i="10"/>
  <c r="AK30" i="10"/>
  <c r="AJ30" i="10"/>
  <c r="BC32" i="10"/>
  <c r="BV26" i="9"/>
  <c r="BT29" i="9"/>
  <c r="H30" i="9"/>
  <c r="G30" i="9"/>
  <c r="BV30" i="9"/>
  <c r="H33" i="9"/>
  <c r="BF33" i="9"/>
  <c r="BF34" i="9"/>
  <c r="AM36" i="9"/>
  <c r="AD36" i="9"/>
  <c r="AK36" i="9" s="1"/>
  <c r="H48" i="9"/>
  <c r="BF48" i="9"/>
  <c r="BD49" i="9"/>
  <c r="BG49" i="9" s="1"/>
  <c r="AQ49" i="9"/>
  <c r="BB49" i="9" s="1"/>
  <c r="BE49" i="9" s="1"/>
  <c r="I50" i="9"/>
  <c r="H50" i="9"/>
  <c r="BF50" i="9"/>
  <c r="D52" i="9"/>
  <c r="AM52" i="9"/>
  <c r="AD52" i="9"/>
  <c r="AK52" i="9" s="1"/>
  <c r="E55" i="9"/>
  <c r="D55" i="9"/>
  <c r="C55" i="9"/>
  <c r="AK55" i="9"/>
  <c r="BV56" i="9"/>
  <c r="AO57" i="9"/>
  <c r="AN57" i="9"/>
  <c r="BD65" i="9"/>
  <c r="BG65" i="9" s="1"/>
  <c r="D70" i="9"/>
  <c r="BV71" i="9"/>
  <c r="AM73" i="9"/>
  <c r="BB74" i="9"/>
  <c r="BE74" i="9" s="1"/>
  <c r="BV76" i="9"/>
  <c r="BQ76" i="9"/>
  <c r="BT76" i="9" s="1"/>
  <c r="BU77" i="9"/>
  <c r="BT79" i="9"/>
  <c r="L84" i="9"/>
  <c r="K84" i="9"/>
  <c r="H86" i="9"/>
  <c r="I88" i="9"/>
  <c r="H88" i="9"/>
  <c r="G88" i="9"/>
  <c r="AD88" i="9"/>
  <c r="AK88" i="9" s="1"/>
  <c r="AM88" i="9"/>
  <c r="AK90" i="9"/>
  <c r="AI92" i="9"/>
  <c r="BC95" i="9"/>
  <c r="BF95" i="9" s="1"/>
  <c r="P96" i="9"/>
  <c r="AK96" i="9" s="1"/>
  <c r="BC96" i="9"/>
  <c r="AM98" i="9"/>
  <c r="AO107" i="9"/>
  <c r="AN107" i="9"/>
  <c r="I108" i="9"/>
  <c r="H108" i="9"/>
  <c r="G108" i="9"/>
  <c r="BB112" i="9"/>
  <c r="AM114" i="9"/>
  <c r="AD114" i="9"/>
  <c r="AK114" i="9" s="1"/>
  <c r="BI118" i="9"/>
  <c r="BT118" i="9" s="1"/>
  <c r="BV118" i="9"/>
  <c r="AO122" i="9"/>
  <c r="AN122" i="9"/>
  <c r="BE122" i="9"/>
  <c r="AN126" i="9"/>
  <c r="AO126" i="9"/>
  <c r="BF142" i="9"/>
  <c r="BG148" i="9"/>
  <c r="C16" i="9"/>
  <c r="K16" i="9"/>
  <c r="G18" i="9"/>
  <c r="AN19" i="9"/>
  <c r="BV20" i="9"/>
  <c r="AN23" i="9"/>
  <c r="BD23" i="9"/>
  <c r="BG23" i="9" s="1"/>
  <c r="AK26" i="9"/>
  <c r="C27" i="9"/>
  <c r="I30" i="9"/>
  <c r="AQ30" i="9"/>
  <c r="BB30" i="9" s="1"/>
  <c r="BE30" i="9" s="1"/>
  <c r="AM31" i="9"/>
  <c r="BG31" i="9" s="1"/>
  <c r="E32" i="9"/>
  <c r="D32" i="9"/>
  <c r="C32" i="9"/>
  <c r="BD33" i="9"/>
  <c r="BX33" i="9"/>
  <c r="G34" i="9"/>
  <c r="BG34" i="9"/>
  <c r="BD38" i="9"/>
  <c r="BG38" i="9" s="1"/>
  <c r="AQ38" i="9"/>
  <c r="BB38" i="9" s="1"/>
  <c r="BE38" i="9" s="1"/>
  <c r="I39" i="9"/>
  <c r="H39" i="9"/>
  <c r="BF39" i="9"/>
  <c r="BC40" i="9"/>
  <c r="AL41" i="9"/>
  <c r="BF41" i="9" s="1"/>
  <c r="K42" i="9"/>
  <c r="P43" i="9"/>
  <c r="AK43" i="9" s="1"/>
  <c r="L44" i="9"/>
  <c r="K44" i="9"/>
  <c r="BC44" i="9"/>
  <c r="BF44" i="9" s="1"/>
  <c r="K45" i="9"/>
  <c r="P46" i="9"/>
  <c r="AK46" i="9" s="1"/>
  <c r="L47" i="9"/>
  <c r="K47" i="9"/>
  <c r="AM47" i="9"/>
  <c r="BD48" i="9"/>
  <c r="BX48" i="9"/>
  <c r="G49" i="9"/>
  <c r="G50" i="9"/>
  <c r="BD51" i="9"/>
  <c r="BM51" i="9"/>
  <c r="BT51" i="9" s="1"/>
  <c r="BV54" i="9"/>
  <c r="AO58" i="9"/>
  <c r="AN58" i="9"/>
  <c r="BT66" i="9"/>
  <c r="I68" i="9"/>
  <c r="H68" i="9"/>
  <c r="G68" i="9"/>
  <c r="AD68" i="9"/>
  <c r="AK68" i="9" s="1"/>
  <c r="AM68" i="9"/>
  <c r="AK70" i="9"/>
  <c r="BG71" i="9"/>
  <c r="G73" i="9"/>
  <c r="AK74" i="9"/>
  <c r="BC74" i="9"/>
  <c r="AN75" i="9"/>
  <c r="E76" i="9"/>
  <c r="D76" i="9"/>
  <c r="C76" i="9"/>
  <c r="AK76" i="9"/>
  <c r="BI76" i="9"/>
  <c r="BV77" i="9"/>
  <c r="AM78" i="9"/>
  <c r="BC81" i="9"/>
  <c r="BF81" i="9" s="1"/>
  <c r="K82" i="9"/>
  <c r="P83" i="9"/>
  <c r="AK83" i="9" s="1"/>
  <c r="AN84" i="9"/>
  <c r="AM85" i="9"/>
  <c r="K91" i="9"/>
  <c r="C93" i="9"/>
  <c r="I94" i="9"/>
  <c r="H94" i="9"/>
  <c r="AN94" i="9"/>
  <c r="AU94" i="9"/>
  <c r="AL96" i="9"/>
  <c r="E98" i="9"/>
  <c r="D98" i="9"/>
  <c r="BC101" i="9"/>
  <c r="BF101" i="9" s="1"/>
  <c r="BG101" i="9"/>
  <c r="C103" i="9"/>
  <c r="AM104" i="9"/>
  <c r="BC110" i="9"/>
  <c r="BF110" i="9" s="1"/>
  <c r="AY110" i="9"/>
  <c r="BC113" i="9"/>
  <c r="BF113" i="9" s="1"/>
  <c r="AQ113" i="9"/>
  <c r="BB113" i="9" s="1"/>
  <c r="BG126" i="9"/>
  <c r="BF136" i="9"/>
  <c r="BF139" i="9"/>
  <c r="BC20" i="10"/>
  <c r="AE21" i="10"/>
  <c r="P21" i="10"/>
  <c r="BB31" i="10"/>
  <c r="AM67" i="8"/>
  <c r="AM77" i="8"/>
  <c r="AM85" i="8"/>
  <c r="AM93" i="8"/>
  <c r="AM109" i="8"/>
  <c r="AM117" i="8"/>
  <c r="AT59" i="9"/>
  <c r="BJ59" i="9"/>
  <c r="DD352" i="9" s="1"/>
  <c r="BR59" i="9"/>
  <c r="DF352" i="9" s="1"/>
  <c r="BZ59" i="9"/>
  <c r="DG204" i="9" s="1"/>
  <c r="C6" i="9"/>
  <c r="K6" i="9"/>
  <c r="AN9" i="9"/>
  <c r="D16" i="9"/>
  <c r="H18" i="9"/>
  <c r="G19" i="9"/>
  <c r="C21" i="9"/>
  <c r="K21" i="9"/>
  <c r="G23" i="9"/>
  <c r="BU24" i="9"/>
  <c r="G25" i="9"/>
  <c r="D27" i="9"/>
  <c r="AL28" i="9"/>
  <c r="AD29" i="9"/>
  <c r="AK29" i="9" s="1"/>
  <c r="BE29" i="9" s="1"/>
  <c r="AM29" i="9"/>
  <c r="BC29" i="9"/>
  <c r="BF29" i="9" s="1"/>
  <c r="BV31" i="9"/>
  <c r="H34" i="9"/>
  <c r="AU35" i="9"/>
  <c r="G39" i="9"/>
  <c r="AL40" i="9"/>
  <c r="BD40" i="9"/>
  <c r="BM40" i="9"/>
  <c r="AM41" i="9"/>
  <c r="AD41" i="9"/>
  <c r="AK41" i="9" s="1"/>
  <c r="AN42" i="9"/>
  <c r="AU42" i="9"/>
  <c r="AL43" i="9"/>
  <c r="BF43" i="9" s="1"/>
  <c r="AN45" i="9"/>
  <c r="AU45" i="9"/>
  <c r="BB45" i="9" s="1"/>
  <c r="BE45" i="9" s="1"/>
  <c r="AL46" i="9"/>
  <c r="H49" i="9"/>
  <c r="BQ49" i="9"/>
  <c r="BT49" i="9" s="1"/>
  <c r="I51" i="9"/>
  <c r="H51" i="9"/>
  <c r="G51" i="9"/>
  <c r="AD51" i="9"/>
  <c r="AK51" i="9" s="1"/>
  <c r="BE51" i="9" s="1"/>
  <c r="AM51" i="9"/>
  <c r="AD53" i="9"/>
  <c r="AK53" i="9" s="1"/>
  <c r="BG54" i="9"/>
  <c r="G56" i="9"/>
  <c r="AY57" i="9"/>
  <c r="AQ58" i="9"/>
  <c r="BB58" i="9" s="1"/>
  <c r="BE58" i="9" s="1"/>
  <c r="AM65" i="9"/>
  <c r="BU66" i="9"/>
  <c r="BT68" i="9"/>
  <c r="BT69" i="9"/>
  <c r="BC70" i="9"/>
  <c r="BF70" i="9" s="1"/>
  <c r="K71" i="9"/>
  <c r="AN71" i="9"/>
  <c r="BF72" i="9"/>
  <c r="H73" i="9"/>
  <c r="K74" i="9"/>
  <c r="AL74" i="9"/>
  <c r="BD74" i="9"/>
  <c r="BG74" i="9" s="1"/>
  <c r="AO79" i="9"/>
  <c r="AN79" i="9"/>
  <c r="BV79" i="9"/>
  <c r="BV80" i="9"/>
  <c r="AN82" i="9"/>
  <c r="AU82" i="9"/>
  <c r="AL83" i="9"/>
  <c r="BF83" i="9" s="1"/>
  <c r="AI84" i="9"/>
  <c r="BV84" i="9"/>
  <c r="BQ84" i="9"/>
  <c r="BT84" i="9" s="1"/>
  <c r="AI85" i="9"/>
  <c r="BU85" i="9"/>
  <c r="W86" i="9"/>
  <c r="AK86" i="9" s="1"/>
  <c r="BV86" i="9"/>
  <c r="W87" i="9"/>
  <c r="BQ87" i="9"/>
  <c r="BT87" i="9" s="1"/>
  <c r="BU88" i="9"/>
  <c r="K89" i="9"/>
  <c r="AM90" i="9"/>
  <c r="D93" i="9"/>
  <c r="AY93" i="9"/>
  <c r="G94" i="9"/>
  <c r="BU94" i="9"/>
  <c r="AM96" i="9"/>
  <c r="BV97" i="9"/>
  <c r="C98" i="9"/>
  <c r="BD98" i="9"/>
  <c r="BG98" i="9" s="1"/>
  <c r="AU98" i="9"/>
  <c r="AM99" i="9"/>
  <c r="AD99" i="9"/>
  <c r="AK99" i="9" s="1"/>
  <c r="AD101" i="9"/>
  <c r="AK101" i="9" s="1"/>
  <c r="D103" i="9"/>
  <c r="AD103" i="9"/>
  <c r="AK103" i="9" s="1"/>
  <c r="AM103" i="9"/>
  <c r="AQ105" i="9"/>
  <c r="BB105" i="9" s="1"/>
  <c r="BE105" i="9" s="1"/>
  <c r="AD106" i="9"/>
  <c r="AK106" i="9" s="1"/>
  <c r="AM106" i="9"/>
  <c r="BC107" i="9"/>
  <c r="BF107" i="9" s="1"/>
  <c r="AY107" i="9"/>
  <c r="BV110" i="9"/>
  <c r="BQ110" i="9"/>
  <c r="K113" i="9"/>
  <c r="BV114" i="9"/>
  <c r="E115" i="9"/>
  <c r="D115" i="9"/>
  <c r="C115" i="9"/>
  <c r="AK117" i="9"/>
  <c r="BQ122" i="9"/>
  <c r="BT122" i="9" s="1"/>
  <c r="BV122" i="9"/>
  <c r="AK124" i="9"/>
  <c r="BV125" i="9"/>
  <c r="BQ125" i="9"/>
  <c r="BT125" i="9" s="1"/>
  <c r="AK129" i="9"/>
  <c r="BE129" i="9" s="1"/>
  <c r="AI147" i="9"/>
  <c r="AG3" i="10"/>
  <c r="AJ3" i="10"/>
  <c r="AK3" i="10"/>
  <c r="BB18" i="10"/>
  <c r="BB19" i="10"/>
  <c r="BB22" i="10"/>
  <c r="AG58" i="8"/>
  <c r="S59" i="8"/>
  <c r="G65" i="8"/>
  <c r="Z65" i="8"/>
  <c r="AG66" i="8"/>
  <c r="G70" i="8"/>
  <c r="Z70" i="8"/>
  <c r="G72" i="8"/>
  <c r="AG72" i="8"/>
  <c r="S73" i="8"/>
  <c r="C74" i="8"/>
  <c r="K74" i="8"/>
  <c r="G77" i="8"/>
  <c r="AG78" i="8"/>
  <c r="Z79" i="8"/>
  <c r="S80" i="8"/>
  <c r="C81" i="8"/>
  <c r="K81" i="8"/>
  <c r="G85" i="8"/>
  <c r="AG86" i="8"/>
  <c r="Z87" i="8"/>
  <c r="S88" i="8"/>
  <c r="C89" i="8"/>
  <c r="K89" i="8"/>
  <c r="G93" i="8"/>
  <c r="AG94" i="8"/>
  <c r="Z95" i="8"/>
  <c r="S96" i="8"/>
  <c r="C97" i="8"/>
  <c r="K97" i="8"/>
  <c r="AG110" i="8"/>
  <c r="Z111" i="8"/>
  <c r="S112" i="8"/>
  <c r="C113" i="8"/>
  <c r="K113" i="8"/>
  <c r="AG114" i="8"/>
  <c r="Z118" i="8"/>
  <c r="AG121" i="8"/>
  <c r="Z122" i="8"/>
  <c r="S123" i="8"/>
  <c r="C124" i="8"/>
  <c r="K124" i="8"/>
  <c r="AG125" i="8"/>
  <c r="S126" i="8"/>
  <c r="AG127" i="8"/>
  <c r="S128" i="8"/>
  <c r="C129" i="8"/>
  <c r="K129" i="8"/>
  <c r="G130" i="8"/>
  <c r="Z130" i="8"/>
  <c r="C131" i="8"/>
  <c r="K131" i="8"/>
  <c r="G132" i="8"/>
  <c r="Z132" i="8"/>
  <c r="C133" i="8"/>
  <c r="K133" i="8"/>
  <c r="C137" i="8"/>
  <c r="S137" i="8"/>
  <c r="S138" i="8"/>
  <c r="S141" i="8"/>
  <c r="Z142" i="8"/>
  <c r="Z143" i="8"/>
  <c r="S144" i="8"/>
  <c r="C145" i="8"/>
  <c r="S145" i="8"/>
  <c r="BK59" i="9"/>
  <c r="DD204" i="9" s="1"/>
  <c r="BS59" i="9"/>
  <c r="DF204" i="9" s="1"/>
  <c r="CA59" i="9"/>
  <c r="G3" i="9"/>
  <c r="D6" i="9"/>
  <c r="C11" i="9"/>
  <c r="K11" i="9"/>
  <c r="G13" i="9"/>
  <c r="C15" i="9"/>
  <c r="K15" i="9"/>
  <c r="G17" i="9"/>
  <c r="H19" i="9"/>
  <c r="D21" i="9"/>
  <c r="H23" i="9"/>
  <c r="H25" i="9"/>
  <c r="AY25" i="9"/>
  <c r="G26" i="9"/>
  <c r="BX27" i="9"/>
  <c r="G28" i="9"/>
  <c r="P29" i="9"/>
  <c r="BD29" i="9"/>
  <c r="BG29" i="9" s="1"/>
  <c r="K30" i="9"/>
  <c r="BD30" i="9"/>
  <c r="BG30" i="9" s="1"/>
  <c r="AK31" i="9"/>
  <c r="G32" i="9"/>
  <c r="BV32" i="9"/>
  <c r="AM33" i="9"/>
  <c r="K37" i="9"/>
  <c r="AY37" i="9"/>
  <c r="BQ38" i="9"/>
  <c r="BT38" i="9" s="1"/>
  <c r="BM39" i="9"/>
  <c r="BV39" i="9"/>
  <c r="I40" i="9"/>
  <c r="H40" i="9"/>
  <c r="G40" i="9"/>
  <c r="AD40" i="9"/>
  <c r="AK40" i="9" s="1"/>
  <c r="AM40" i="9"/>
  <c r="C42" i="9"/>
  <c r="AM44" i="9"/>
  <c r="AD44" i="9"/>
  <c r="C45" i="9"/>
  <c r="AI47" i="9"/>
  <c r="BV47" i="9"/>
  <c r="BQ47" i="9"/>
  <c r="AM48" i="9"/>
  <c r="BQ48" i="9"/>
  <c r="BT48" i="9" s="1"/>
  <c r="BC53" i="9"/>
  <c r="BF53" i="9" s="1"/>
  <c r="H56" i="9"/>
  <c r="BC56" i="9"/>
  <c r="BF56" i="9" s="1"/>
  <c r="BD57" i="9"/>
  <c r="BG57" i="9" s="1"/>
  <c r="AQ57" i="9"/>
  <c r="BB57" i="9" s="1"/>
  <c r="BE57" i="9" s="1"/>
  <c r="I58" i="9"/>
  <c r="H58" i="9"/>
  <c r="BF58" i="9"/>
  <c r="AI65" i="9"/>
  <c r="BU65" i="9"/>
  <c r="W67" i="9"/>
  <c r="AK67" i="9" s="1"/>
  <c r="BE67" i="9" s="1"/>
  <c r="BT67" i="9"/>
  <c r="BU68" i="9"/>
  <c r="AM70" i="9"/>
  <c r="BD70" i="9"/>
  <c r="BM70" i="9"/>
  <c r="E71" i="9"/>
  <c r="D71" i="9"/>
  <c r="AI71" i="9"/>
  <c r="BG72" i="9"/>
  <c r="AK75" i="9"/>
  <c r="BB80" i="9"/>
  <c r="BE80" i="9" s="1"/>
  <c r="E84" i="9"/>
  <c r="D84" i="9"/>
  <c r="C84" i="9"/>
  <c r="AK84" i="9"/>
  <c r="BV85" i="9"/>
  <c r="AO86" i="9"/>
  <c r="AN86" i="9"/>
  <c r="BB89" i="9"/>
  <c r="BE89" i="9" s="1"/>
  <c r="AK93" i="9"/>
  <c r="BC93" i="9"/>
  <c r="BF93" i="9" s="1"/>
  <c r="AN95" i="9"/>
  <c r="AO95" i="9"/>
  <c r="BQ96" i="9"/>
  <c r="BT96" i="9" s="1"/>
  <c r="BV96" i="9"/>
  <c r="BF97" i="9"/>
  <c r="I98" i="9"/>
  <c r="H98" i="9"/>
  <c r="G98" i="9"/>
  <c r="BV102" i="9"/>
  <c r="BM105" i="9"/>
  <c r="BV105" i="9"/>
  <c r="I106" i="9"/>
  <c r="H106" i="9"/>
  <c r="G106" i="9"/>
  <c r="BD107" i="9"/>
  <c r="BG107" i="9" s="1"/>
  <c r="AQ107" i="9"/>
  <c r="AL109" i="9"/>
  <c r="BF109" i="9" s="1"/>
  <c r="BM109" i="9"/>
  <c r="BT109" i="9" s="1"/>
  <c r="BV109" i="9"/>
  <c r="P115" i="9"/>
  <c r="AK115" i="9" s="1"/>
  <c r="AM115" i="9"/>
  <c r="BB116" i="9"/>
  <c r="BF116" i="9"/>
  <c r="AQ117" i="9"/>
  <c r="BB117" i="9" s="1"/>
  <c r="BD117" i="9"/>
  <c r="E124" i="9"/>
  <c r="D124" i="9"/>
  <c r="C124" i="9"/>
  <c r="BC127" i="9"/>
  <c r="BF127" i="9" s="1"/>
  <c r="AQ127" i="9"/>
  <c r="BB127" i="9" s="1"/>
  <c r="BF134" i="9"/>
  <c r="AK165" i="9"/>
  <c r="BC3" i="10"/>
  <c r="BP21" i="10"/>
  <c r="AE30" i="10"/>
  <c r="P30" i="10"/>
  <c r="AO558" i="15"/>
  <c r="AO550" i="15"/>
  <c r="AO542" i="15"/>
  <c r="AO534" i="15"/>
  <c r="AO526" i="15"/>
  <c r="AO518" i="15"/>
  <c r="AO510" i="15"/>
  <c r="AO455" i="15"/>
  <c r="AO447" i="15"/>
  <c r="AO525" i="15"/>
  <c r="AO524" i="15"/>
  <c r="AO523" i="15"/>
  <c r="AO522" i="15"/>
  <c r="AO521" i="15"/>
  <c r="AO520" i="15"/>
  <c r="AO519" i="15"/>
  <c r="AO541" i="15"/>
  <c r="AO540" i="15"/>
  <c r="AO539" i="15"/>
  <c r="AO538" i="15"/>
  <c r="AO537" i="15"/>
  <c r="AO536" i="15"/>
  <c r="AO535" i="15"/>
  <c r="AO454" i="15"/>
  <c r="AO450" i="15"/>
  <c r="AO440" i="15"/>
  <c r="AO436" i="15"/>
  <c r="AO432" i="15"/>
  <c r="AO428" i="15"/>
  <c r="AO424" i="15"/>
  <c r="AO420" i="15"/>
  <c r="AO416" i="15"/>
  <c r="AO412" i="15"/>
  <c r="AO560" i="15"/>
  <c r="AO555" i="15"/>
  <c r="AO544" i="15"/>
  <c r="AO517" i="15"/>
  <c r="AO513" i="15"/>
  <c r="AO452" i="15"/>
  <c r="AO449" i="15"/>
  <c r="AO446" i="15"/>
  <c r="AO443" i="15"/>
  <c r="AO438" i="15"/>
  <c r="AO434" i="15"/>
  <c r="AO533" i="15"/>
  <c r="AO529" i="15"/>
  <c r="AO506" i="15"/>
  <c r="AO439" i="15"/>
  <c r="AO433" i="15"/>
  <c r="AO422" i="15"/>
  <c r="AO411" i="15"/>
  <c r="AO406" i="15"/>
  <c r="AO402" i="15"/>
  <c r="AO398" i="15"/>
  <c r="AO394" i="15"/>
  <c r="AO390" i="15"/>
  <c r="AO386" i="15"/>
  <c r="AO382" i="15"/>
  <c r="AO378" i="15"/>
  <c r="AO374" i="15"/>
  <c r="AO370" i="15"/>
  <c r="AO545" i="15"/>
  <c r="AO511" i="15"/>
  <c r="AO408" i="15"/>
  <c r="AO397" i="15"/>
  <c r="AO549" i="15"/>
  <c r="AO547" i="15"/>
  <c r="AO527" i="15"/>
  <c r="AO509" i="15"/>
  <c r="AO507" i="15"/>
  <c r="AO453" i="15"/>
  <c r="AO451" i="15"/>
  <c r="AO415" i="15"/>
  <c r="AO414" i="15"/>
  <c r="AO413" i="15"/>
  <c r="AO407" i="15"/>
  <c r="AO396" i="15"/>
  <c r="AO385" i="15"/>
  <c r="AO375" i="15"/>
  <c r="AO366" i="15"/>
  <c r="AO362" i="15"/>
  <c r="AO358" i="15"/>
  <c r="AO354" i="15"/>
  <c r="AO350" i="15"/>
  <c r="AO346" i="15"/>
  <c r="AO342" i="15"/>
  <c r="AO562" i="15"/>
  <c r="AO553" i="15"/>
  <c r="AO551" i="15"/>
  <c r="AO543" i="15"/>
  <c r="AO516" i="15"/>
  <c r="AO514" i="15"/>
  <c r="AO445" i="15"/>
  <c r="AO441" i="15"/>
  <c r="AO429" i="15"/>
  <c r="AO419" i="15"/>
  <c r="AO418" i="15"/>
  <c r="AO417" i="15"/>
  <c r="AO405" i="15"/>
  <c r="AO395" i="15"/>
  <c r="AO384" i="15"/>
  <c r="AO373" i="15"/>
  <c r="AO556" i="15"/>
  <c r="AO554" i="15"/>
  <c r="AO552" i="15"/>
  <c r="AO531" i="15"/>
  <c r="AO437" i="15"/>
  <c r="AO427" i="15"/>
  <c r="AO530" i="15"/>
  <c r="AO457" i="15"/>
  <c r="AO435" i="15"/>
  <c r="AO430" i="15"/>
  <c r="AO421" i="15"/>
  <c r="AO399" i="15"/>
  <c r="AO387" i="15"/>
  <c r="AO376" i="15"/>
  <c r="AO371" i="15"/>
  <c r="AO355" i="15"/>
  <c r="AO344" i="15"/>
  <c r="AO292" i="15"/>
  <c r="AO279" i="15"/>
  <c r="AO271" i="15"/>
  <c r="AO263" i="15"/>
  <c r="AO255" i="15"/>
  <c r="AO247" i="15"/>
  <c r="AO239" i="15"/>
  <c r="AO231" i="15"/>
  <c r="AO557" i="15"/>
  <c r="AO548" i="15"/>
  <c r="AO512" i="15"/>
  <c r="AO423" i="15"/>
  <c r="AO409" i="15"/>
  <c r="AO403" i="15"/>
  <c r="AO388" i="15"/>
  <c r="AO383" i="15"/>
  <c r="AO377" i="15"/>
  <c r="AO372" i="15"/>
  <c r="AO365" i="15"/>
  <c r="AO364" i="15"/>
  <c r="AO363" i="15"/>
  <c r="AO353" i="15"/>
  <c r="AO343" i="15"/>
  <c r="AO293" i="15"/>
  <c r="AO278" i="15"/>
  <c r="AO268" i="15"/>
  <c r="AO260" i="15"/>
  <c r="AO252" i="15"/>
  <c r="AO244" i="15"/>
  <c r="AO561" i="15"/>
  <c r="AO508" i="15"/>
  <c r="AO456" i="15"/>
  <c r="AO448" i="15"/>
  <c r="AO444" i="15"/>
  <c r="AO425" i="15"/>
  <c r="AO400" i="15"/>
  <c r="AO389" i="15"/>
  <c r="AO352" i="15"/>
  <c r="AO341" i="15"/>
  <c r="AO277" i="15"/>
  <c r="AO273" i="15"/>
  <c r="AO265" i="15"/>
  <c r="AO257" i="15"/>
  <c r="AO249" i="15"/>
  <c r="AO241" i="15"/>
  <c r="AO515" i="15"/>
  <c r="AO546" i="15"/>
  <c r="AO559" i="15"/>
  <c r="AO528" i="15"/>
  <c r="AO458" i="15"/>
  <c r="AO442" i="15"/>
  <c r="AO426" i="15"/>
  <c r="AO393" i="15"/>
  <c r="AO361" i="15"/>
  <c r="AO360" i="15"/>
  <c r="AO359" i="15"/>
  <c r="AO356" i="15"/>
  <c r="AO345" i="15"/>
  <c r="AO291" i="15"/>
  <c r="AO290" i="15"/>
  <c r="AO289" i="15"/>
  <c r="AO288" i="15"/>
  <c r="AO287" i="15"/>
  <c r="AO286" i="15"/>
  <c r="AO285" i="15"/>
  <c r="AO284" i="15"/>
  <c r="AO283" i="15"/>
  <c r="AO282" i="15"/>
  <c r="AO281" i="15"/>
  <c r="AO280" i="15"/>
  <c r="AO274" i="15"/>
  <c r="AO266" i="15"/>
  <c r="AO258" i="15"/>
  <c r="AO379" i="15"/>
  <c r="AO349" i="15"/>
  <c r="AO259" i="15"/>
  <c r="AO248" i="15"/>
  <c r="AO237" i="15"/>
  <c r="AO236" i="15"/>
  <c r="AO218" i="15"/>
  <c r="AO210" i="15"/>
  <c r="AO202" i="15"/>
  <c r="AO194" i="15"/>
  <c r="AO186" i="15"/>
  <c r="AO178" i="15"/>
  <c r="AO119" i="15"/>
  <c r="AO118" i="15"/>
  <c r="AO117" i="15"/>
  <c r="AO116" i="15"/>
  <c r="AO115" i="15"/>
  <c r="AO114" i="15"/>
  <c r="AO113" i="15"/>
  <c r="AO112" i="15"/>
  <c r="AO111" i="15"/>
  <c r="AO110" i="15"/>
  <c r="AO109" i="15"/>
  <c r="AO108" i="15"/>
  <c r="AO107" i="15"/>
  <c r="AO97" i="15"/>
  <c r="AO532" i="15"/>
  <c r="AO391" i="15"/>
  <c r="AO369" i="15"/>
  <c r="AO275" i="15"/>
  <c r="AO272" i="15"/>
  <c r="AO256" i="15"/>
  <c r="AO226" i="15"/>
  <c r="AO223" i="15"/>
  <c r="AO215" i="15"/>
  <c r="AO207" i="15"/>
  <c r="AO199" i="15"/>
  <c r="AO191" i="15"/>
  <c r="AO183" i="15"/>
  <c r="AO175" i="15"/>
  <c r="AO106" i="15"/>
  <c r="AO102" i="15"/>
  <c r="AO381" i="15"/>
  <c r="AO347" i="15"/>
  <c r="AO338" i="15"/>
  <c r="AO269" i="15"/>
  <c r="AO253" i="15"/>
  <c r="AO243" i="15"/>
  <c r="AO242" i="15"/>
  <c r="AO235" i="15"/>
  <c r="AO230" i="15"/>
  <c r="AO220" i="15"/>
  <c r="AO212" i="15"/>
  <c r="AO204" i="15"/>
  <c r="AO196" i="15"/>
  <c r="AO188" i="15"/>
  <c r="AO180" i="15"/>
  <c r="AO404" i="15"/>
  <c r="AO410" i="15"/>
  <c r="AO401" i="15"/>
  <c r="AO368" i="15"/>
  <c r="AO431" i="15"/>
  <c r="AO380" i="15"/>
  <c r="AO392" i="15"/>
  <c r="AO357" i="15"/>
  <c r="AO261" i="15"/>
  <c r="AO224" i="15"/>
  <c r="AO216" i="15"/>
  <c r="AO208" i="15"/>
  <c r="AO200" i="15"/>
  <c r="AO192" i="15"/>
  <c r="AO184" i="15"/>
  <c r="AO176" i="15"/>
  <c r="AO367" i="15"/>
  <c r="AO240" i="15"/>
  <c r="AO238" i="15"/>
  <c r="AO213" i="15"/>
  <c r="AO197" i="15"/>
  <c r="AO181" i="15"/>
  <c r="AO91" i="15"/>
  <c r="AO83" i="15"/>
  <c r="AO75" i="15"/>
  <c r="AO67" i="15"/>
  <c r="AO59" i="15"/>
  <c r="AO51" i="15"/>
  <c r="AO43" i="15"/>
  <c r="AO35" i="15"/>
  <c r="AO27" i="15"/>
  <c r="AO19" i="15"/>
  <c r="AO11" i="15"/>
  <c r="AO3" i="15"/>
  <c r="AO254" i="15"/>
  <c r="AO217" i="15"/>
  <c r="AO201" i="15"/>
  <c r="AO185" i="15"/>
  <c r="AO98" i="15"/>
  <c r="AO88" i="15"/>
  <c r="AO80" i="15"/>
  <c r="AO72" i="15"/>
  <c r="AO64" i="15"/>
  <c r="AO56" i="15"/>
  <c r="AO48" i="15"/>
  <c r="AO40" i="15"/>
  <c r="AO32" i="15"/>
  <c r="AO24" i="15"/>
  <c r="AO16" i="15"/>
  <c r="AO8" i="15"/>
  <c r="AO251" i="15"/>
  <c r="AO234" i="15"/>
  <c r="AO229" i="15"/>
  <c r="AO214" i="15"/>
  <c r="AO198" i="15"/>
  <c r="AO182" i="15"/>
  <c r="AO93" i="15"/>
  <c r="AO85" i="15"/>
  <c r="AO77" i="15"/>
  <c r="AO69" i="15"/>
  <c r="AO61" i="15"/>
  <c r="AO53" i="15"/>
  <c r="AO45" i="15"/>
  <c r="AO37" i="15"/>
  <c r="AO29" i="15"/>
  <c r="AO21" i="15"/>
  <c r="AO13" i="15"/>
  <c r="AO5" i="15"/>
  <c r="AO348" i="15"/>
  <c r="AO246" i="15"/>
  <c r="AO211" i="15"/>
  <c r="AO195" i="15"/>
  <c r="AO179" i="15"/>
  <c r="AO90" i="15"/>
  <c r="AO82" i="15"/>
  <c r="AO74" i="15"/>
  <c r="AO66" i="15"/>
  <c r="AO58" i="15"/>
  <c r="AO50" i="15"/>
  <c r="AO351" i="15"/>
  <c r="AO340" i="15"/>
  <c r="AO262" i="15"/>
  <c r="AO232" i="15"/>
  <c r="AO227" i="15"/>
  <c r="AO221" i="15"/>
  <c r="AO205" i="15"/>
  <c r="AO189" i="15"/>
  <c r="AO96" i="15"/>
  <c r="AO87" i="15"/>
  <c r="AO79" i="15"/>
  <c r="AO71" i="15"/>
  <c r="AO63" i="15"/>
  <c r="AO55" i="15"/>
  <c r="AO47" i="15"/>
  <c r="AO276" i="15"/>
  <c r="AO270" i="15"/>
  <c r="AO250" i="15"/>
  <c r="AO225" i="15"/>
  <c r="AO209" i="15"/>
  <c r="AO193" i="15"/>
  <c r="AO177" i="15"/>
  <c r="AO105" i="15"/>
  <c r="AO104" i="15"/>
  <c r="AO103" i="15"/>
  <c r="AO101" i="15"/>
  <c r="AO92" i="15"/>
  <c r="AO84" i="15"/>
  <c r="AO76" i="15"/>
  <c r="AO68" i="15"/>
  <c r="AO60" i="15"/>
  <c r="AO52" i="15"/>
  <c r="AO339" i="15"/>
  <c r="AO267" i="15"/>
  <c r="AO222" i="15"/>
  <c r="AO206" i="15"/>
  <c r="AO190" i="15"/>
  <c r="AO100" i="15"/>
  <c r="AO95" i="15"/>
  <c r="AO89" i="15"/>
  <c r="AO81" i="15"/>
  <c r="AO73" i="15"/>
  <c r="AO65" i="15"/>
  <c r="AO57" i="15"/>
  <c r="AO49" i="15"/>
  <c r="AO264" i="15"/>
  <c r="AO245" i="15"/>
  <c r="AO233" i="15"/>
  <c r="AO228" i="15"/>
  <c r="AO219" i="15"/>
  <c r="AO203" i="15"/>
  <c r="AO187" i="15"/>
  <c r="AO174" i="15"/>
  <c r="AO173" i="15"/>
  <c r="AO99" i="15"/>
  <c r="AO94" i="15"/>
  <c r="AO86" i="15"/>
  <c r="AO78" i="15"/>
  <c r="AO70" i="15"/>
  <c r="AO62" i="15"/>
  <c r="AO54" i="15"/>
  <c r="AO46" i="15"/>
  <c r="AO38" i="15"/>
  <c r="AO30" i="15"/>
  <c r="AO22" i="15"/>
  <c r="AO14" i="15"/>
  <c r="AO6" i="15"/>
  <c r="AO41" i="15"/>
  <c r="AO25" i="15"/>
  <c r="AO9" i="15"/>
  <c r="AO42" i="15"/>
  <c r="AO26" i="15"/>
  <c r="AO10" i="15"/>
  <c r="AO39" i="15"/>
  <c r="AO23" i="15"/>
  <c r="AO7" i="15"/>
  <c r="AO36" i="15"/>
  <c r="AO20" i="15"/>
  <c r="AO4" i="15"/>
  <c r="AO33" i="15"/>
  <c r="AO17" i="15"/>
  <c r="AO34" i="15"/>
  <c r="AO18" i="15"/>
  <c r="AO2" i="15"/>
  <c r="AO31" i="15"/>
  <c r="AO15" i="15"/>
  <c r="AO44" i="15"/>
  <c r="AO28" i="15"/>
  <c r="AO12" i="15"/>
  <c r="AV59" i="9"/>
  <c r="DB352" i="9" s="1"/>
  <c r="BL59" i="9"/>
  <c r="CB59" i="9"/>
  <c r="AQ25" i="9"/>
  <c r="BB25" i="9" s="1"/>
  <c r="BE25" i="9" s="1"/>
  <c r="BM29" i="9"/>
  <c r="BU33" i="9"/>
  <c r="BV34" i="9"/>
  <c r="BQ34" i="9"/>
  <c r="BT34" i="9" s="1"/>
  <c r="AQ37" i="9"/>
  <c r="BB37" i="9" s="1"/>
  <c r="BE37" i="9" s="1"/>
  <c r="BU38" i="9"/>
  <c r="AU41" i="9"/>
  <c r="BD41" i="9"/>
  <c r="BG41" i="9" s="1"/>
  <c r="D42" i="9"/>
  <c r="E44" i="9"/>
  <c r="D44" i="9"/>
  <c r="C44" i="9"/>
  <c r="P44" i="9"/>
  <c r="D45" i="9"/>
  <c r="E47" i="9"/>
  <c r="D47" i="9"/>
  <c r="C47" i="9"/>
  <c r="BI47" i="9"/>
  <c r="AI48" i="9"/>
  <c r="BU48" i="9"/>
  <c r="W49" i="9"/>
  <c r="AK49" i="9" s="1"/>
  <c r="BV49" i="9"/>
  <c r="BQ50" i="9"/>
  <c r="BT50" i="9" s="1"/>
  <c r="BU51" i="9"/>
  <c r="AM53" i="9"/>
  <c r="BD53" i="9"/>
  <c r="BG53" i="9" s="1"/>
  <c r="BM53" i="9"/>
  <c r="E54" i="9"/>
  <c r="D54" i="9"/>
  <c r="AI54" i="9"/>
  <c r="AU55" i="9"/>
  <c r="BB55" i="9" s="1"/>
  <c r="BE55" i="9" s="1"/>
  <c r="BD56" i="9"/>
  <c r="BG56" i="9" s="1"/>
  <c r="BX56" i="9"/>
  <c r="G57" i="9"/>
  <c r="G58" i="9"/>
  <c r="BV65" i="9"/>
  <c r="AM66" i="9"/>
  <c r="BU67" i="9"/>
  <c r="AQ69" i="9"/>
  <c r="BB69" i="9" s="1"/>
  <c r="BE69" i="9" s="1"/>
  <c r="C71" i="9"/>
  <c r="L72" i="9"/>
  <c r="K72" i="9"/>
  <c r="AQ73" i="9"/>
  <c r="BB73" i="9" s="1"/>
  <c r="BE73" i="9" s="1"/>
  <c r="C74" i="9"/>
  <c r="BC75" i="9"/>
  <c r="BF75" i="9" s="1"/>
  <c r="BD78" i="9"/>
  <c r="AQ78" i="9"/>
  <c r="BB78" i="9" s="1"/>
  <c r="BE78" i="9" s="1"/>
  <c r="I79" i="9"/>
  <c r="H79" i="9"/>
  <c r="BF79" i="9"/>
  <c r="BC80" i="9"/>
  <c r="BF80" i="9" s="1"/>
  <c r="D82" i="9"/>
  <c r="BV83" i="9"/>
  <c r="AO87" i="9"/>
  <c r="AN87" i="9"/>
  <c r="BV87" i="9"/>
  <c r="BV88" i="9"/>
  <c r="BC89" i="9"/>
  <c r="BF89" i="9" s="1"/>
  <c r="BQ93" i="9"/>
  <c r="BT93" i="9" s="1"/>
  <c r="BB94" i="9"/>
  <c r="BE94" i="9" s="1"/>
  <c r="H95" i="9"/>
  <c r="G95" i="9"/>
  <c r="BD96" i="9"/>
  <c r="AU96" i="9"/>
  <c r="BB96" i="9" s="1"/>
  <c r="AI97" i="9"/>
  <c r="AM101" i="9"/>
  <c r="BU103" i="9"/>
  <c r="BM103" i="9"/>
  <c r="BT103" i="9" s="1"/>
  <c r="BG105" i="9"/>
  <c r="W108" i="9"/>
  <c r="AK108" i="9" s="1"/>
  <c r="BE108" i="9" s="1"/>
  <c r="BF108" i="9"/>
  <c r="BI110" i="9"/>
  <c r="BC120" i="9"/>
  <c r="BF120" i="9" s="1"/>
  <c r="AY120" i="9"/>
  <c r="BU129" i="9"/>
  <c r="BD130" i="9"/>
  <c r="BG130" i="9" s="1"/>
  <c r="AU130" i="9"/>
  <c r="BB130" i="9" s="1"/>
  <c r="BF146" i="9"/>
  <c r="BE155" i="9"/>
  <c r="AI166" i="9"/>
  <c r="BT166" i="9"/>
  <c r="BB10" i="10"/>
  <c r="BP15" i="10"/>
  <c r="I52" i="9"/>
  <c r="E56" i="9"/>
  <c r="E65" i="9"/>
  <c r="I69" i="9"/>
  <c r="E73" i="9"/>
  <c r="E77" i="9"/>
  <c r="E85" i="9"/>
  <c r="I89" i="9"/>
  <c r="BV98" i="9"/>
  <c r="E99" i="9"/>
  <c r="D99" i="9"/>
  <c r="AD102" i="9"/>
  <c r="AK102" i="9" s="1"/>
  <c r="AM102" i="9"/>
  <c r="I104" i="9"/>
  <c r="H104" i="9"/>
  <c r="G104" i="9"/>
  <c r="BV107" i="9"/>
  <c r="AO109" i="9"/>
  <c r="AN109" i="9"/>
  <c r="BU110" i="9"/>
  <c r="AU113" i="9"/>
  <c r="BD113" i="9"/>
  <c r="AL118" i="9"/>
  <c r="BF118" i="9" s="1"/>
  <c r="AL119" i="9"/>
  <c r="BM119" i="9"/>
  <c r="BT119" i="9" s="1"/>
  <c r="AQ120" i="9"/>
  <c r="BB120" i="9" s="1"/>
  <c r="BE120" i="9" s="1"/>
  <c r="BV121" i="9"/>
  <c r="AD122" i="9"/>
  <c r="AK122" i="9" s="1"/>
  <c r="L123" i="9"/>
  <c r="K123" i="9"/>
  <c r="BU125" i="9"/>
  <c r="BU128" i="9"/>
  <c r="BQ132" i="9"/>
  <c r="BT132" i="9" s="1"/>
  <c r="AM135" i="9"/>
  <c r="I136" i="9"/>
  <c r="W138" i="9"/>
  <c r="AK138" i="9" s="1"/>
  <c r="AL139" i="9"/>
  <c r="AU139" i="9"/>
  <c r="BT141" i="9"/>
  <c r="BM145" i="9"/>
  <c r="BV145" i="9"/>
  <c r="I146" i="9"/>
  <c r="H146" i="9"/>
  <c r="G146" i="9"/>
  <c r="BD147" i="9"/>
  <c r="AQ147" i="9"/>
  <c r="BB147" i="9" s="1"/>
  <c r="BE147" i="9" s="1"/>
  <c r="I148" i="9"/>
  <c r="H148" i="9"/>
  <c r="BF148" i="9"/>
  <c r="AL152" i="9"/>
  <c r="BF152" i="9" s="1"/>
  <c r="L153" i="9"/>
  <c r="K153" i="9"/>
  <c r="AO153" i="9"/>
  <c r="E154" i="9"/>
  <c r="D154" i="9"/>
  <c r="AL154" i="9"/>
  <c r="BD154" i="9"/>
  <c r="BG154" i="9" s="1"/>
  <c r="BM155" i="9"/>
  <c r="BT155" i="9" s="1"/>
  <c r="BV155" i="9"/>
  <c r="I156" i="9"/>
  <c r="H156" i="9"/>
  <c r="G156" i="9"/>
  <c r="AD156" i="9"/>
  <c r="AK156" i="9" s="1"/>
  <c r="AM156" i="9"/>
  <c r="BM159" i="9"/>
  <c r="BT159" i="9" s="1"/>
  <c r="BV159" i="9"/>
  <c r="AD168" i="9"/>
  <c r="AK168" i="9" s="1"/>
  <c r="AM168" i="9"/>
  <c r="Q124" i="10"/>
  <c r="BG124" i="10"/>
  <c r="CZ172" i="10" s="1"/>
  <c r="BR2" i="10"/>
  <c r="BO124" i="10"/>
  <c r="DB172" i="10" s="1"/>
  <c r="AY5" i="10"/>
  <c r="Z7" i="10"/>
  <c r="E8" i="10"/>
  <c r="AQ8" i="10"/>
  <c r="AI9" i="10"/>
  <c r="AH11" i="10"/>
  <c r="BB11" i="10" s="1"/>
  <c r="BM12" i="10"/>
  <c r="V17" i="10"/>
  <c r="BQ17" i="10"/>
  <c r="AH18" i="10"/>
  <c r="AQ18" i="10"/>
  <c r="AX18" i="10" s="1"/>
  <c r="AI20" i="10"/>
  <c r="BI20" i="10"/>
  <c r="O21" i="10"/>
  <c r="E22" i="10"/>
  <c r="D22" i="10"/>
  <c r="C22" i="10"/>
  <c r="BQ24" i="10"/>
  <c r="AI25" i="10"/>
  <c r="BQ25" i="10"/>
  <c r="BP25" i="10" s="1"/>
  <c r="AZ26" i="10"/>
  <c r="BC26" i="10" s="1"/>
  <c r="AH29" i="10"/>
  <c r="BB29" i="10" s="1"/>
  <c r="E30" i="10"/>
  <c r="D30" i="10"/>
  <c r="AX30" i="10"/>
  <c r="BA30" i="10" s="1"/>
  <c r="AI31" i="10"/>
  <c r="Z31" i="10"/>
  <c r="BR33" i="10"/>
  <c r="AU34" i="10"/>
  <c r="AX34" i="10" s="1"/>
  <c r="BA34" i="10" s="1"/>
  <c r="BB37" i="10"/>
  <c r="BI37" i="10"/>
  <c r="BB39" i="10"/>
  <c r="BM40" i="10"/>
  <c r="BR40" i="10"/>
  <c r="BP40" i="10" s="1"/>
  <c r="AQ41" i="10"/>
  <c r="AX41" i="10" s="1"/>
  <c r="BA41" i="10" s="1"/>
  <c r="AZ41" i="10"/>
  <c r="BC41" i="10" s="1"/>
  <c r="AH44" i="10"/>
  <c r="BB44" i="10" s="1"/>
  <c r="BP44" i="10"/>
  <c r="E45" i="10"/>
  <c r="D45" i="10"/>
  <c r="C45" i="10"/>
  <c r="AY45" i="10"/>
  <c r="BB45" i="10" s="1"/>
  <c r="AG46" i="10"/>
  <c r="AJ46" i="10"/>
  <c r="AG47" i="10"/>
  <c r="AJ47" i="10"/>
  <c r="BP53" i="10"/>
  <c r="BC60" i="10"/>
  <c r="E70" i="10"/>
  <c r="D70" i="10"/>
  <c r="C70" i="10"/>
  <c r="AE132" i="10"/>
  <c r="P132" i="10"/>
  <c r="BD134" i="9"/>
  <c r="BG134" i="9" s="1"/>
  <c r="AM139" i="9"/>
  <c r="BG143" i="9"/>
  <c r="AM154" i="9"/>
  <c r="AD154" i="9"/>
  <c r="AK154" i="9" s="1"/>
  <c r="AU157" i="9"/>
  <c r="BD157" i="9"/>
  <c r="AK158" i="9"/>
  <c r="BB158" i="9"/>
  <c r="BG159" i="9"/>
  <c r="R124" i="10"/>
  <c r="V2" i="10"/>
  <c r="AW124" i="10"/>
  <c r="CY172" i="10" s="1"/>
  <c r="AU2" i="10"/>
  <c r="AE4" i="10"/>
  <c r="O4" i="10"/>
  <c r="AG11" i="10"/>
  <c r="BC13" i="10"/>
  <c r="W14" i="10"/>
  <c r="V14" i="10"/>
  <c r="BI14" i="10"/>
  <c r="BR14" i="10"/>
  <c r="BP14" i="10" s="1"/>
  <c r="H15" i="10"/>
  <c r="G15" i="10"/>
  <c r="BP17" i="10"/>
  <c r="AI18" i="10"/>
  <c r="BC18" i="10" s="1"/>
  <c r="O30" i="10"/>
  <c r="E31" i="10"/>
  <c r="D31" i="10"/>
  <c r="C31" i="10"/>
  <c r="AK33" i="10"/>
  <c r="AJ33" i="10"/>
  <c r="BB34" i="10"/>
  <c r="AZ42" i="10"/>
  <c r="BI42" i="10"/>
  <c r="BR42" i="10"/>
  <c r="BP42" i="10" s="1"/>
  <c r="Z44" i="10"/>
  <c r="AI44" i="10"/>
  <c r="S45" i="10"/>
  <c r="AI45" i="10"/>
  <c r="W45" i="10"/>
  <c r="V45" i="10"/>
  <c r="AU49" i="10"/>
  <c r="AX49" i="10" s="1"/>
  <c r="BA49" i="10" s="1"/>
  <c r="AZ49" i="10"/>
  <c r="BB72" i="10"/>
  <c r="BC81" i="10"/>
  <c r="O112" i="10"/>
  <c r="AE112" i="10"/>
  <c r="V115" i="10"/>
  <c r="W115" i="10"/>
  <c r="E119" i="9"/>
  <c r="D119" i="9"/>
  <c r="C119" i="9"/>
  <c r="P119" i="9"/>
  <c r="AM123" i="9"/>
  <c r="AD123" i="9"/>
  <c r="BF124" i="9"/>
  <c r="BM127" i="9"/>
  <c r="BT127" i="9" s="1"/>
  <c r="AQ128" i="9"/>
  <c r="BB128" i="9" s="1"/>
  <c r="BE128" i="9" s="1"/>
  <c r="BV129" i="9"/>
  <c r="AD130" i="9"/>
  <c r="AK130" i="9" s="1"/>
  <c r="L131" i="9"/>
  <c r="K131" i="9"/>
  <c r="BC131" i="9"/>
  <c r="BU131" i="9"/>
  <c r="K132" i="9"/>
  <c r="AN133" i="9"/>
  <c r="BU133" i="9"/>
  <c r="AK135" i="9"/>
  <c r="BV135" i="9"/>
  <c r="BQ135" i="9"/>
  <c r="BT135" i="9" s="1"/>
  <c r="BV138" i="9"/>
  <c r="K142" i="9"/>
  <c r="AM143" i="9"/>
  <c r="AU144" i="9"/>
  <c r="BT145" i="9"/>
  <c r="W146" i="9"/>
  <c r="AK146" i="9" s="1"/>
  <c r="BQ147" i="9"/>
  <c r="BT147" i="9" s="1"/>
  <c r="BM148" i="9"/>
  <c r="BV148" i="9"/>
  <c r="I149" i="9"/>
  <c r="H149" i="9"/>
  <c r="G149" i="9"/>
  <c r="AD149" i="9"/>
  <c r="AK149" i="9" s="1"/>
  <c r="AM149" i="9"/>
  <c r="BG149" i="9" s="1"/>
  <c r="BD150" i="9"/>
  <c r="BG150" i="9" s="1"/>
  <c r="AQ150" i="9"/>
  <c r="BB150" i="9" s="1"/>
  <c r="BE150" i="9" s="1"/>
  <c r="I151" i="9"/>
  <c r="H151" i="9"/>
  <c r="BC151" i="9"/>
  <c r="BF151" i="9" s="1"/>
  <c r="AD153" i="9"/>
  <c r="AK153" i="9" s="1"/>
  <c r="BU158" i="9"/>
  <c r="K159" i="9"/>
  <c r="AN159" i="9"/>
  <c r="BC160" i="9"/>
  <c r="BF160" i="9" s="1"/>
  <c r="AU166" i="9"/>
  <c r="AM167" i="9"/>
  <c r="AD167" i="9"/>
  <c r="AK167" i="9" s="1"/>
  <c r="S124" i="10"/>
  <c r="AO124" i="10"/>
  <c r="CW172" i="10" s="1"/>
  <c r="AM2" i="10"/>
  <c r="AM124" i="10" s="1"/>
  <c r="AG4" i="10"/>
  <c r="W5" i="10"/>
  <c r="V5" i="10"/>
  <c r="BI5" i="10"/>
  <c r="BI124" i="10" s="1"/>
  <c r="BR5" i="10"/>
  <c r="BP5" i="10" s="1"/>
  <c r="H6" i="10"/>
  <c r="G6" i="10"/>
  <c r="AY6" i="10"/>
  <c r="BB6" i="10" s="1"/>
  <c r="AG7" i="10"/>
  <c r="L12" i="10"/>
  <c r="BP12" i="10"/>
  <c r="AI13" i="10"/>
  <c r="AK17" i="10"/>
  <c r="AJ17" i="10"/>
  <c r="O18" i="10"/>
  <c r="BC21" i="10"/>
  <c r="AZ22" i="10"/>
  <c r="AU22" i="10"/>
  <c r="AX22" i="10" s="1"/>
  <c r="AU24" i="10"/>
  <c r="AX24" i="10" s="1"/>
  <c r="BM27" i="10"/>
  <c r="AQ28" i="10"/>
  <c r="AX28" i="10" s="1"/>
  <c r="G29" i="10"/>
  <c r="AQ31" i="10"/>
  <c r="AZ31" i="10"/>
  <c r="AQ36" i="10"/>
  <c r="AM45" i="10"/>
  <c r="AQ47" i="10"/>
  <c r="AZ47" i="10"/>
  <c r="BC47" i="10" s="1"/>
  <c r="BQ49" i="10"/>
  <c r="BP49" i="10" s="1"/>
  <c r="BM49" i="10"/>
  <c r="AM51" i="10"/>
  <c r="BP55" i="10"/>
  <c r="L61" i="10"/>
  <c r="BB62" i="10"/>
  <c r="BB63" i="10"/>
  <c r="W72" i="10"/>
  <c r="S72" i="10"/>
  <c r="V72" i="10"/>
  <c r="AG105" i="10"/>
  <c r="AK105" i="10"/>
  <c r="AJ105" i="10"/>
  <c r="V107" i="10"/>
  <c r="W107" i="10"/>
  <c r="BP111" i="10"/>
  <c r="L116" i="9"/>
  <c r="K116" i="9"/>
  <c r="BX117" i="9"/>
  <c r="G118" i="9"/>
  <c r="AU119" i="9"/>
  <c r="BD119" i="9"/>
  <c r="BM120" i="9"/>
  <c r="BV120" i="9"/>
  <c r="I121" i="9"/>
  <c r="H121" i="9"/>
  <c r="G121" i="9"/>
  <c r="BF121" i="9"/>
  <c r="E123" i="9"/>
  <c r="D123" i="9"/>
  <c r="C123" i="9"/>
  <c r="P123" i="9"/>
  <c r="AM127" i="9"/>
  <c r="AD127" i="9"/>
  <c r="AK127" i="9" s="1"/>
  <c r="C128" i="9"/>
  <c r="BF128" i="9"/>
  <c r="AL130" i="9"/>
  <c r="BF130" i="9" s="1"/>
  <c r="AL131" i="9"/>
  <c r="AQ132" i="9"/>
  <c r="BB132" i="9" s="1"/>
  <c r="BE132" i="9" s="1"/>
  <c r="BV133" i="9"/>
  <c r="BI135" i="9"/>
  <c r="BB136" i="9"/>
  <c r="BE136" i="9" s="1"/>
  <c r="AQ137" i="9"/>
  <c r="BB137" i="9" s="1"/>
  <c r="BE137" i="9" s="1"/>
  <c r="C138" i="9"/>
  <c r="BV139" i="9"/>
  <c r="BQ139" i="9"/>
  <c r="BT139" i="9" s="1"/>
  <c r="BV142" i="9"/>
  <c r="BU145" i="9"/>
  <c r="AM146" i="9"/>
  <c r="BG146" i="9" s="1"/>
  <c r="BU147" i="9"/>
  <c r="BT149" i="9"/>
  <c r="G151" i="9"/>
  <c r="BD151" i="9"/>
  <c r="BG151" i="9" s="1"/>
  <c r="BX151" i="9"/>
  <c r="G152" i="9"/>
  <c r="E153" i="9"/>
  <c r="D153" i="9"/>
  <c r="C153" i="9"/>
  <c r="BU155" i="9"/>
  <c r="AM158" i="9"/>
  <c r="E159" i="9"/>
  <c r="D159" i="9"/>
  <c r="AI159" i="9"/>
  <c r="BG160" i="9"/>
  <c r="J124" i="10"/>
  <c r="K2" i="10"/>
  <c r="T124" i="10"/>
  <c r="CU320" i="10" s="1"/>
  <c r="BB2" i="10"/>
  <c r="BU124" i="10"/>
  <c r="DC320" i="10" s="1"/>
  <c r="AJ4" i="10"/>
  <c r="AZ6" i="10"/>
  <c r="BC6" i="10" s="1"/>
  <c r="AI8" i="10"/>
  <c r="BC8" i="10" s="1"/>
  <c r="P10" i="10"/>
  <c r="O10" i="10"/>
  <c r="BT10" i="10"/>
  <c r="AI12" i="10"/>
  <c r="O13" i="10"/>
  <c r="BM14" i="10"/>
  <c r="AI15" i="10"/>
  <c r="AU16" i="10"/>
  <c r="AX16" i="10" s="1"/>
  <c r="P18" i="10"/>
  <c r="BR18" i="10"/>
  <c r="BP18" i="10" s="1"/>
  <c r="BM18" i="10"/>
  <c r="AX19" i="10"/>
  <c r="W20" i="10"/>
  <c r="V20" i="10"/>
  <c r="AQ20" i="10"/>
  <c r="AX20" i="10" s="1"/>
  <c r="AZ23" i="10"/>
  <c r="BC23" i="10" s="1"/>
  <c r="AQ23" i="10"/>
  <c r="AX23" i="10" s="1"/>
  <c r="AY24" i="10"/>
  <c r="BB24" i="10" s="1"/>
  <c r="AG26" i="10"/>
  <c r="BQ27" i="10"/>
  <c r="AI28" i="10"/>
  <c r="BC30" i="10"/>
  <c r="AY32" i="10"/>
  <c r="BB32" i="10" s="1"/>
  <c r="C33" i="10"/>
  <c r="AZ33" i="10"/>
  <c r="BC33" i="10" s="1"/>
  <c r="AU33" i="10"/>
  <c r="AX33" i="10" s="1"/>
  <c r="BA33" i="10" s="1"/>
  <c r="BI34" i="10"/>
  <c r="BR34" i="10"/>
  <c r="H35" i="10"/>
  <c r="G35" i="10"/>
  <c r="BB35" i="10"/>
  <c r="BT35" i="10"/>
  <c r="AG37" i="10"/>
  <c r="AJ37" i="10"/>
  <c r="BT38" i="10"/>
  <c r="BR39" i="10"/>
  <c r="BP39" i="10" s="1"/>
  <c r="E44" i="10"/>
  <c r="C44" i="10"/>
  <c r="BC44" i="10"/>
  <c r="BI44" i="10"/>
  <c r="BM45" i="10"/>
  <c r="AU50" i="10"/>
  <c r="AX50" i="10" s="1"/>
  <c r="BA50" i="10" s="1"/>
  <c r="AZ50" i="10"/>
  <c r="BC50" i="10" s="1"/>
  <c r="BM56" i="10"/>
  <c r="AG57" i="10"/>
  <c r="AJ57" i="10"/>
  <c r="S59" i="10"/>
  <c r="BR67" i="10"/>
  <c r="BP67" i="10" s="1"/>
  <c r="BM67" i="10"/>
  <c r="AG97" i="10"/>
  <c r="AK97" i="10"/>
  <c r="AJ97" i="10"/>
  <c r="H118" i="9"/>
  <c r="BG118" i="9"/>
  <c r="AU123" i="9"/>
  <c r="BD123" i="9"/>
  <c r="BG123" i="9" s="1"/>
  <c r="BM124" i="9"/>
  <c r="BV124" i="9"/>
  <c r="I125" i="9"/>
  <c r="H125" i="9"/>
  <c r="G125" i="9"/>
  <c r="BF125" i="9"/>
  <c r="E127" i="9"/>
  <c r="D127" i="9"/>
  <c r="C127" i="9"/>
  <c r="AM131" i="9"/>
  <c r="AD131" i="9"/>
  <c r="BF132" i="9"/>
  <c r="AD134" i="9"/>
  <c r="AK134" i="9" s="1"/>
  <c r="BE134" i="9" s="1"/>
  <c r="AM134" i="9"/>
  <c r="BV134" i="9"/>
  <c r="AL136" i="9"/>
  <c r="AK140" i="9"/>
  <c r="BB140" i="9"/>
  <c r="BE140" i="9" s="1"/>
  <c r="BB141" i="9"/>
  <c r="BE141" i="9" s="1"/>
  <c r="AO142" i="9"/>
  <c r="AN142" i="9"/>
  <c r="BV143" i="9"/>
  <c r="BQ143" i="9"/>
  <c r="BT143" i="9" s="1"/>
  <c r="BU146" i="9"/>
  <c r="BT148" i="9"/>
  <c r="AM152" i="9"/>
  <c r="BV152" i="9"/>
  <c r="BD153" i="9"/>
  <c r="BG153" i="9" s="1"/>
  <c r="BB157" i="9"/>
  <c r="L160" i="9"/>
  <c r="K160" i="9"/>
  <c r="AM160" i="9"/>
  <c r="AM165" i="9"/>
  <c r="AZ2" i="10"/>
  <c r="BV124" i="10"/>
  <c r="DC172" i="10" s="1"/>
  <c r="BT2" i="10"/>
  <c r="BT124" i="10" s="1"/>
  <c r="E4" i="10"/>
  <c r="D4" i="10"/>
  <c r="C4" i="10"/>
  <c r="BR4" i="10"/>
  <c r="BP4" i="10" s="1"/>
  <c r="BM4" i="10"/>
  <c r="AH5" i="10"/>
  <c r="AH124" i="10" s="1"/>
  <c r="E10" i="10"/>
  <c r="D10" i="10"/>
  <c r="AJ11" i="10"/>
  <c r="BR13" i="10"/>
  <c r="BP13" i="10" s="1"/>
  <c r="BM13" i="10"/>
  <c r="AI14" i="10"/>
  <c r="Z14" i="10"/>
  <c r="AZ17" i="10"/>
  <c r="BC17" i="10" s="1"/>
  <c r="AU17" i="10"/>
  <c r="AX17" i="10" s="1"/>
  <c r="BA17" i="10" s="1"/>
  <c r="AG21" i="10"/>
  <c r="AI23" i="10"/>
  <c r="BP27" i="10"/>
  <c r="AJ29" i="10"/>
  <c r="D33" i="10"/>
  <c r="AZ35" i="10"/>
  <c r="BC35" i="10" s="1"/>
  <c r="AI36" i="10"/>
  <c r="BC36" i="10" s="1"/>
  <c r="AZ38" i="10"/>
  <c r="BI38" i="10"/>
  <c r="BR38" i="10"/>
  <c r="BP38" i="10" s="1"/>
  <c r="AH42" i="10"/>
  <c r="BB42" i="10" s="1"/>
  <c r="Z43" i="10"/>
  <c r="AI43" i="10"/>
  <c r="BC43" i="10" s="1"/>
  <c r="G50" i="10"/>
  <c r="H50" i="10"/>
  <c r="BB50" i="10"/>
  <c r="AH61" i="10"/>
  <c r="BM63" i="10"/>
  <c r="BR63" i="10"/>
  <c r="BP63" i="10" s="1"/>
  <c r="BP69" i="10"/>
  <c r="AG71" i="10"/>
  <c r="AK71" i="10"/>
  <c r="AJ71" i="10"/>
  <c r="BB77" i="10"/>
  <c r="BB83" i="10"/>
  <c r="O104" i="10"/>
  <c r="AE104" i="10"/>
  <c r="AM39" i="9"/>
  <c r="AM50" i="9"/>
  <c r="AQ93" i="9"/>
  <c r="BB93" i="9" s="1"/>
  <c r="BE93" i="9" s="1"/>
  <c r="AU99" i="9"/>
  <c r="AQ104" i="9"/>
  <c r="BB104" i="9" s="1"/>
  <c r="BE104" i="9" s="1"/>
  <c r="BD104" i="9"/>
  <c r="BG104" i="9" s="1"/>
  <c r="BT106" i="9"/>
  <c r="BD110" i="9"/>
  <c r="BG110" i="9" s="1"/>
  <c r="AQ110" i="9"/>
  <c r="BB110" i="9" s="1"/>
  <c r="BE110" i="9" s="1"/>
  <c r="I111" i="9"/>
  <c r="H111" i="9"/>
  <c r="BF111" i="9"/>
  <c r="BC112" i="9"/>
  <c r="AL113" i="9"/>
  <c r="AU114" i="9"/>
  <c r="BB114" i="9" s="1"/>
  <c r="BE114" i="9" s="1"/>
  <c r="AL115" i="9"/>
  <c r="AI116" i="9"/>
  <c r="BV116" i="9"/>
  <c r="BQ116" i="9"/>
  <c r="BT116" i="9" s="1"/>
  <c r="AM117" i="9"/>
  <c r="W121" i="9"/>
  <c r="AK121" i="9" s="1"/>
  <c r="H122" i="9"/>
  <c r="BG122" i="9"/>
  <c r="BD125" i="9"/>
  <c r="BG125" i="9" s="1"/>
  <c r="BX125" i="9"/>
  <c r="G126" i="9"/>
  <c r="BV126" i="9"/>
  <c r="AU127" i="9"/>
  <c r="BD127" i="9"/>
  <c r="BM128" i="9"/>
  <c r="BV128" i="9"/>
  <c r="I129" i="9"/>
  <c r="H129" i="9"/>
  <c r="G129" i="9"/>
  <c r="BF129" i="9"/>
  <c r="E131" i="9"/>
  <c r="D131" i="9"/>
  <c r="C131" i="9"/>
  <c r="P131" i="9"/>
  <c r="D132" i="9"/>
  <c r="BT134" i="9"/>
  <c r="I135" i="9"/>
  <c r="H135" i="9"/>
  <c r="AM136" i="9"/>
  <c r="E137" i="9"/>
  <c r="D137" i="9"/>
  <c r="AL137" i="9"/>
  <c r="BF137" i="9" s="1"/>
  <c r="BD137" i="9"/>
  <c r="BM137" i="9"/>
  <c r="AY138" i="9"/>
  <c r="AL140" i="9"/>
  <c r="BF140" i="9" s="1"/>
  <c r="K141" i="9"/>
  <c r="BC141" i="9"/>
  <c r="D142" i="9"/>
  <c r="BI143" i="9"/>
  <c r="AK144" i="9"/>
  <c r="BV146" i="9"/>
  <c r="AM147" i="9"/>
  <c r="K150" i="9"/>
  <c r="W151" i="9"/>
  <c r="AK151" i="9" s="1"/>
  <c r="BE151" i="9" s="1"/>
  <c r="AM151" i="9"/>
  <c r="BB156" i="9"/>
  <c r="BE156" i="9" s="1"/>
  <c r="C157" i="9"/>
  <c r="BC157" i="9"/>
  <c r="K158" i="9"/>
  <c r="P159" i="9"/>
  <c r="AK159" i="9" s="1"/>
  <c r="BE159" i="9" s="1"/>
  <c r="AK166" i="9"/>
  <c r="BB166" i="9"/>
  <c r="BE166" i="9" s="1"/>
  <c r="BV167" i="9"/>
  <c r="BQ167" i="9"/>
  <c r="BT167" i="9" s="1"/>
  <c r="C168" i="9"/>
  <c r="AJ623" i="15"/>
  <c r="AJ621" i="15"/>
  <c r="AJ619" i="15"/>
  <c r="AJ617" i="15"/>
  <c r="AJ615" i="15"/>
  <c r="AJ613" i="15"/>
  <c r="AJ611" i="15"/>
  <c r="AJ609" i="15"/>
  <c r="AJ607" i="15"/>
  <c r="AJ605" i="15"/>
  <c r="AJ603" i="15"/>
  <c r="AJ599" i="15"/>
  <c r="AJ622" i="15"/>
  <c r="AJ606" i="15"/>
  <c r="AJ595" i="15"/>
  <c r="AJ589" i="15"/>
  <c r="AJ581" i="15"/>
  <c r="AJ573" i="15"/>
  <c r="AJ559" i="15"/>
  <c r="AJ551" i="15"/>
  <c r="AJ543" i="15"/>
  <c r="AJ535" i="15"/>
  <c r="AJ527" i="15"/>
  <c r="AJ519" i="15"/>
  <c r="AJ511" i="15"/>
  <c r="AJ454" i="15"/>
  <c r="AJ446" i="15"/>
  <c r="AJ627" i="15"/>
  <c r="AJ588" i="15"/>
  <c r="AJ584" i="15"/>
  <c r="AJ571" i="15"/>
  <c r="AJ565" i="15"/>
  <c r="AJ518" i="15"/>
  <c r="AJ517" i="15"/>
  <c r="AJ516" i="15"/>
  <c r="AJ515" i="15"/>
  <c r="AJ514" i="15"/>
  <c r="AJ513" i="15"/>
  <c r="AJ512" i="15"/>
  <c r="AJ618" i="15"/>
  <c r="AJ610" i="15"/>
  <c r="AJ596" i="15"/>
  <c r="AJ593" i="15"/>
  <c r="AJ580" i="15"/>
  <c r="AJ576" i="15"/>
  <c r="AJ566" i="15"/>
  <c r="AJ585" i="15"/>
  <c r="AJ572" i="15"/>
  <c r="AJ567" i="15"/>
  <c r="AJ534" i="15"/>
  <c r="AJ533" i="15"/>
  <c r="AJ532" i="15"/>
  <c r="AJ531" i="15"/>
  <c r="AJ530" i="15"/>
  <c r="AJ529" i="15"/>
  <c r="AJ528" i="15"/>
  <c r="AJ462" i="15"/>
  <c r="AJ457" i="15"/>
  <c r="AJ445" i="15"/>
  <c r="AJ439" i="15"/>
  <c r="AJ438" i="15"/>
  <c r="AJ437" i="15"/>
  <c r="AJ624" i="15"/>
  <c r="AJ616" i="15"/>
  <c r="AJ608" i="15"/>
  <c r="AJ601" i="15"/>
  <c r="AJ598" i="15"/>
  <c r="AJ592" i="15"/>
  <c r="AJ579" i="15"/>
  <c r="AJ575" i="15"/>
  <c r="AJ564" i="15"/>
  <c r="AJ626" i="15"/>
  <c r="AJ620" i="15"/>
  <c r="AJ600" i="15"/>
  <c r="AJ568" i="15"/>
  <c r="AJ552" i="15"/>
  <c r="AJ547" i="15"/>
  <c r="AJ540" i="15"/>
  <c r="AJ536" i="15"/>
  <c r="AJ509" i="15"/>
  <c r="AJ461" i="15"/>
  <c r="AJ455" i="15"/>
  <c r="AJ435" i="15"/>
  <c r="AJ604" i="15"/>
  <c r="AJ597" i="15"/>
  <c r="AJ594" i="15"/>
  <c r="AJ586" i="15"/>
  <c r="AJ560" i="15"/>
  <c r="AJ555" i="15"/>
  <c r="AJ550" i="15"/>
  <c r="AJ544" i="15"/>
  <c r="AJ525" i="15"/>
  <c r="AJ521" i="15"/>
  <c r="AJ463" i="15"/>
  <c r="AJ452" i="15"/>
  <c r="AJ449" i="15"/>
  <c r="AJ443" i="15"/>
  <c r="AJ434" i="15"/>
  <c r="AJ423" i="15"/>
  <c r="AJ413" i="15"/>
  <c r="AJ412" i="15"/>
  <c r="AJ625" i="15"/>
  <c r="AJ614" i="15"/>
  <c r="AJ591" i="15"/>
  <c r="AJ612" i="15"/>
  <c r="AJ558" i="15"/>
  <c r="AJ556" i="15"/>
  <c r="AJ554" i="15"/>
  <c r="AJ538" i="15"/>
  <c r="AJ460" i="15"/>
  <c r="AJ433" i="15"/>
  <c r="AJ427" i="15"/>
  <c r="AJ411" i="15"/>
  <c r="AJ410" i="15"/>
  <c r="AJ409" i="15"/>
  <c r="AJ399" i="15"/>
  <c r="AJ398" i="15"/>
  <c r="AJ582" i="15"/>
  <c r="AJ545" i="15"/>
  <c r="AJ520" i="15"/>
  <c r="AJ447" i="15"/>
  <c r="AJ428" i="15"/>
  <c r="AJ408" i="15"/>
  <c r="AJ397" i="15"/>
  <c r="AJ387" i="15"/>
  <c r="AJ386" i="15"/>
  <c r="AJ376" i="15"/>
  <c r="AJ602" i="15"/>
  <c r="AJ578" i="15"/>
  <c r="AJ549" i="15"/>
  <c r="AJ541" i="15"/>
  <c r="AJ507" i="15"/>
  <c r="AJ453" i="15"/>
  <c r="AJ451" i="15"/>
  <c r="AJ416" i="15"/>
  <c r="AJ415" i="15"/>
  <c r="AJ414" i="15"/>
  <c r="AJ407" i="15"/>
  <c r="AJ406" i="15"/>
  <c r="AJ396" i="15"/>
  <c r="AJ385" i="15"/>
  <c r="AJ375" i="15"/>
  <c r="AJ374" i="15"/>
  <c r="AJ366" i="15"/>
  <c r="AJ362" i="15"/>
  <c r="AJ358" i="15"/>
  <c r="AJ587" i="15"/>
  <c r="AJ583" i="15"/>
  <c r="AJ569" i="15"/>
  <c r="AJ563" i="15"/>
  <c r="AJ524" i="15"/>
  <c r="AJ522" i="15"/>
  <c r="AJ458" i="15"/>
  <c r="AJ442" i="15"/>
  <c r="AJ440" i="15"/>
  <c r="AJ426" i="15"/>
  <c r="AJ562" i="15"/>
  <c r="AJ553" i="15"/>
  <c r="AJ523" i="15"/>
  <c r="AJ441" i="15"/>
  <c r="AJ419" i="15"/>
  <c r="AJ417" i="15"/>
  <c r="AJ393" i="15"/>
  <c r="AJ382" i="15"/>
  <c r="AJ361" i="15"/>
  <c r="AJ360" i="15"/>
  <c r="AJ359" i="15"/>
  <c r="AJ356" i="15"/>
  <c r="AJ345" i="15"/>
  <c r="AJ291" i="15"/>
  <c r="AJ290" i="15"/>
  <c r="AJ289" i="15"/>
  <c r="AJ288" i="15"/>
  <c r="AJ287" i="15"/>
  <c r="AJ286" i="15"/>
  <c r="AJ285" i="15"/>
  <c r="AJ284" i="15"/>
  <c r="AJ283" i="15"/>
  <c r="AJ282" i="15"/>
  <c r="AJ281" i="15"/>
  <c r="AJ280" i="15"/>
  <c r="AJ274" i="15"/>
  <c r="AJ266" i="15"/>
  <c r="AJ258" i="15"/>
  <c r="AJ250" i="15"/>
  <c r="AJ242" i="15"/>
  <c r="AJ234" i="15"/>
  <c r="AJ226" i="15"/>
  <c r="AJ574" i="15"/>
  <c r="AJ537" i="15"/>
  <c r="AJ430" i="15"/>
  <c r="AJ421" i="15"/>
  <c r="AJ371" i="15"/>
  <c r="AJ355" i="15"/>
  <c r="AJ354" i="15"/>
  <c r="AJ344" i="15"/>
  <c r="AJ296" i="15"/>
  <c r="AJ292" i="15"/>
  <c r="AJ279" i="15"/>
  <c r="AJ271" i="15"/>
  <c r="AJ263" i="15"/>
  <c r="AJ255" i="15"/>
  <c r="AJ247" i="15"/>
  <c r="AJ557" i="15"/>
  <c r="AJ548" i="15"/>
  <c r="AJ526" i="15"/>
  <c r="AJ403" i="15"/>
  <c r="AJ394" i="15"/>
  <c r="AJ388" i="15"/>
  <c r="AJ383" i="15"/>
  <c r="AJ377" i="15"/>
  <c r="AJ372" i="15"/>
  <c r="AJ365" i="15"/>
  <c r="AJ364" i="15"/>
  <c r="AJ363" i="15"/>
  <c r="AJ353" i="15"/>
  <c r="AJ343" i="15"/>
  <c r="AJ342" i="15"/>
  <c r="AJ301" i="15"/>
  <c r="AJ299" i="15"/>
  <c r="AJ293" i="15"/>
  <c r="AJ278" i="15"/>
  <c r="AJ268" i="15"/>
  <c r="AJ260" i="15"/>
  <c r="AJ252" i="15"/>
  <c r="AJ244" i="15"/>
  <c r="AJ561" i="15"/>
  <c r="AJ508" i="15"/>
  <c r="AJ577" i="15"/>
  <c r="AJ539" i="15"/>
  <c r="AJ510" i="15"/>
  <c r="AJ459" i="15"/>
  <c r="AJ570" i="15"/>
  <c r="AJ546" i="15"/>
  <c r="AJ450" i="15"/>
  <c r="AJ590" i="15"/>
  <c r="AJ542" i="15"/>
  <c r="AJ506" i="15"/>
  <c r="AJ402" i="15"/>
  <c r="AJ392" i="15"/>
  <c r="AJ381" i="15"/>
  <c r="AJ370" i="15"/>
  <c r="AJ357" i="15"/>
  <c r="AJ347" i="15"/>
  <c r="AJ346" i="15"/>
  <c r="AJ338" i="15"/>
  <c r="AJ298" i="15"/>
  <c r="AJ269" i="15"/>
  <c r="AJ261" i="15"/>
  <c r="AJ253" i="15"/>
  <c r="AJ448" i="15"/>
  <c r="AJ429" i="15"/>
  <c r="AJ420" i="15"/>
  <c r="AJ367" i="15"/>
  <c r="AJ351" i="15"/>
  <c r="AJ340" i="15"/>
  <c r="AJ262" i="15"/>
  <c r="AJ241" i="15"/>
  <c r="AJ240" i="15"/>
  <c r="AJ239" i="15"/>
  <c r="AJ238" i="15"/>
  <c r="AJ232" i="15"/>
  <c r="AJ227" i="15"/>
  <c r="AJ221" i="15"/>
  <c r="AJ213" i="15"/>
  <c r="AJ205" i="15"/>
  <c r="AJ197" i="15"/>
  <c r="AJ189" i="15"/>
  <c r="AJ181" i="15"/>
  <c r="AJ173" i="15"/>
  <c r="AJ100" i="15"/>
  <c r="AJ379" i="15"/>
  <c r="AJ349" i="15"/>
  <c r="AJ259" i="15"/>
  <c r="AJ249" i="15"/>
  <c r="AJ248" i="15"/>
  <c r="AJ237" i="15"/>
  <c r="AJ236" i="15"/>
  <c r="AJ231" i="15"/>
  <c r="AJ218" i="15"/>
  <c r="AJ210" i="15"/>
  <c r="AJ202" i="15"/>
  <c r="AJ194" i="15"/>
  <c r="AJ186" i="15"/>
  <c r="AJ178" i="15"/>
  <c r="AJ124" i="15"/>
  <c r="AJ120" i="15"/>
  <c r="AJ119" i="15"/>
  <c r="AJ118" i="15"/>
  <c r="AJ117" i="15"/>
  <c r="AJ116" i="15"/>
  <c r="AJ115" i="15"/>
  <c r="AJ114" i="15"/>
  <c r="AJ113" i="15"/>
  <c r="AJ112" i="15"/>
  <c r="AJ111" i="15"/>
  <c r="AJ110" i="15"/>
  <c r="AJ109" i="15"/>
  <c r="AJ108" i="15"/>
  <c r="AJ107" i="15"/>
  <c r="AJ424" i="15"/>
  <c r="AJ405" i="15"/>
  <c r="AJ391" i="15"/>
  <c r="AJ369" i="15"/>
  <c r="AJ295" i="15"/>
  <c r="AJ275" i="15"/>
  <c r="AJ272" i="15"/>
  <c r="AJ256" i="15"/>
  <c r="AJ223" i="15"/>
  <c r="AJ215" i="15"/>
  <c r="AJ207" i="15"/>
  <c r="AJ199" i="15"/>
  <c r="AJ191" i="15"/>
  <c r="AJ183" i="15"/>
  <c r="AJ175" i="15"/>
  <c r="AJ129" i="15"/>
  <c r="AJ127" i="15"/>
  <c r="AJ121" i="15"/>
  <c r="AJ444" i="15"/>
  <c r="AJ432" i="15"/>
  <c r="AJ378" i="15"/>
  <c r="AJ373" i="15"/>
  <c r="AJ456" i="15"/>
  <c r="AJ418" i="15"/>
  <c r="AJ404" i="15"/>
  <c r="AJ390" i="15"/>
  <c r="AJ422" i="15"/>
  <c r="AJ401" i="15"/>
  <c r="AJ395" i="15"/>
  <c r="AJ436" i="15"/>
  <c r="AJ431" i="15"/>
  <c r="AJ380" i="15"/>
  <c r="AJ348" i="15"/>
  <c r="AJ300" i="15"/>
  <c r="AJ264" i="15"/>
  <c r="AJ246" i="15"/>
  <c r="AJ245" i="15"/>
  <c r="AJ233" i="15"/>
  <c r="AJ228" i="15"/>
  <c r="AJ219" i="15"/>
  <c r="AJ211" i="15"/>
  <c r="AJ203" i="15"/>
  <c r="AJ195" i="15"/>
  <c r="AJ187" i="15"/>
  <c r="AJ179" i="15"/>
  <c r="AJ425" i="15"/>
  <c r="AJ400" i="15"/>
  <c r="AJ389" i="15"/>
  <c r="AJ384" i="15"/>
  <c r="AJ368" i="15"/>
  <c r="AJ216" i="15"/>
  <c r="AJ200" i="15"/>
  <c r="AJ184" i="15"/>
  <c r="AJ174" i="15"/>
  <c r="AJ122" i="15"/>
  <c r="AJ99" i="15"/>
  <c r="AJ94" i="15"/>
  <c r="AJ86" i="15"/>
  <c r="AJ78" i="15"/>
  <c r="AJ70" i="15"/>
  <c r="AJ62" i="15"/>
  <c r="AJ54" i="15"/>
  <c r="AJ46" i="15"/>
  <c r="AJ38" i="15"/>
  <c r="AJ30" i="15"/>
  <c r="AJ22" i="15"/>
  <c r="AJ14" i="15"/>
  <c r="AJ6" i="15"/>
  <c r="AJ352" i="15"/>
  <c r="AJ341" i="15"/>
  <c r="AJ294" i="15"/>
  <c r="AJ257" i="15"/>
  <c r="AJ220" i="15"/>
  <c r="AJ204" i="15"/>
  <c r="AJ188" i="15"/>
  <c r="AJ130" i="15"/>
  <c r="AJ91" i="15"/>
  <c r="AJ83" i="15"/>
  <c r="AJ75" i="15"/>
  <c r="AJ67" i="15"/>
  <c r="AJ59" i="15"/>
  <c r="AJ51" i="15"/>
  <c r="AJ43" i="15"/>
  <c r="AJ35" i="15"/>
  <c r="AJ27" i="15"/>
  <c r="AJ19" i="15"/>
  <c r="AJ11" i="15"/>
  <c r="AJ3" i="15"/>
  <c r="AJ254" i="15"/>
  <c r="AJ217" i="15"/>
  <c r="AJ201" i="15"/>
  <c r="AJ185" i="15"/>
  <c r="AJ98" i="15"/>
  <c r="AJ88" i="15"/>
  <c r="AJ80" i="15"/>
  <c r="AJ72" i="15"/>
  <c r="AJ64" i="15"/>
  <c r="AJ56" i="15"/>
  <c r="AJ48" i="15"/>
  <c r="AJ40" i="15"/>
  <c r="AJ32" i="15"/>
  <c r="AJ24" i="15"/>
  <c r="AJ16" i="15"/>
  <c r="AJ8" i="15"/>
  <c r="AJ251" i="15"/>
  <c r="AJ229" i="15"/>
  <c r="AJ214" i="15"/>
  <c r="AJ198" i="15"/>
  <c r="AJ182" i="15"/>
  <c r="AJ97" i="15"/>
  <c r="AJ93" i="15"/>
  <c r="AJ85" i="15"/>
  <c r="AJ77" i="15"/>
  <c r="AJ69" i="15"/>
  <c r="AJ61" i="15"/>
  <c r="AJ53" i="15"/>
  <c r="AJ277" i="15"/>
  <c r="AJ265" i="15"/>
  <c r="AJ224" i="15"/>
  <c r="AJ208" i="15"/>
  <c r="AJ192" i="15"/>
  <c r="AJ176" i="15"/>
  <c r="AJ126" i="15"/>
  <c r="AJ90" i="15"/>
  <c r="AJ82" i="15"/>
  <c r="AJ74" i="15"/>
  <c r="AJ66" i="15"/>
  <c r="AJ58" i="15"/>
  <c r="AJ50" i="15"/>
  <c r="AJ273" i="15"/>
  <c r="AJ243" i="15"/>
  <c r="AJ235" i="15"/>
  <c r="AJ230" i="15"/>
  <c r="AJ212" i="15"/>
  <c r="AJ196" i="15"/>
  <c r="AJ180" i="15"/>
  <c r="AJ123" i="15"/>
  <c r="AJ102" i="15"/>
  <c r="AJ96" i="15"/>
  <c r="AJ87" i="15"/>
  <c r="AJ79" i="15"/>
  <c r="AJ71" i="15"/>
  <c r="AJ63" i="15"/>
  <c r="AJ55" i="15"/>
  <c r="AJ47" i="15"/>
  <c r="AJ350" i="15"/>
  <c r="AJ297" i="15"/>
  <c r="AJ276" i="15"/>
  <c r="AJ270" i="15"/>
  <c r="AJ225" i="15"/>
  <c r="AJ209" i="15"/>
  <c r="AJ193" i="15"/>
  <c r="AJ177" i="15"/>
  <c r="AJ128" i="15"/>
  <c r="AJ125" i="15"/>
  <c r="AJ105" i="15"/>
  <c r="AJ104" i="15"/>
  <c r="AJ103" i="15"/>
  <c r="AJ101" i="15"/>
  <c r="AJ92" i="15"/>
  <c r="AJ84" i="15"/>
  <c r="AJ76" i="15"/>
  <c r="AJ68" i="15"/>
  <c r="AJ60" i="15"/>
  <c r="AJ52" i="15"/>
  <c r="AJ339" i="15"/>
  <c r="AJ267" i="15"/>
  <c r="AJ222" i="15"/>
  <c r="AJ206" i="15"/>
  <c r="AJ190" i="15"/>
  <c r="AJ106" i="15"/>
  <c r="AJ95" i="15"/>
  <c r="AJ89" i="15"/>
  <c r="AJ81" i="15"/>
  <c r="AJ73" i="15"/>
  <c r="AJ65" i="15"/>
  <c r="AJ57" i="15"/>
  <c r="AJ49" i="15"/>
  <c r="AJ41" i="15"/>
  <c r="AJ33" i="15"/>
  <c r="AJ25" i="15"/>
  <c r="AJ17" i="15"/>
  <c r="AJ9" i="15"/>
  <c r="AJ44" i="15"/>
  <c r="AJ28" i="15"/>
  <c r="AJ12" i="15"/>
  <c r="AJ45" i="15"/>
  <c r="AJ29" i="15"/>
  <c r="AJ13" i="15"/>
  <c r="AJ42" i="15"/>
  <c r="AJ26" i="15"/>
  <c r="AJ10" i="15"/>
  <c r="AJ39" i="15"/>
  <c r="AJ23" i="15"/>
  <c r="AJ7" i="15"/>
  <c r="AJ36" i="15"/>
  <c r="AJ20" i="15"/>
  <c r="AJ4" i="15"/>
  <c r="AJ37" i="15"/>
  <c r="AJ21" i="15"/>
  <c r="AJ5" i="15"/>
  <c r="AJ34" i="15"/>
  <c r="AJ18" i="15"/>
  <c r="AJ2" i="15"/>
  <c r="AJ31" i="15"/>
  <c r="AJ15" i="15"/>
  <c r="L124" i="10"/>
  <c r="W2" i="10"/>
  <c r="AR124" i="10"/>
  <c r="CX320" i="10" s="1"/>
  <c r="BW124" i="10"/>
  <c r="BR3" i="10"/>
  <c r="BP3" i="10" s="1"/>
  <c r="P4" i="10"/>
  <c r="BE4" i="10"/>
  <c r="AI5" i="10"/>
  <c r="Z5" i="10"/>
  <c r="Z124" i="10" s="1"/>
  <c r="L6" i="10"/>
  <c r="AI6" i="10"/>
  <c r="AI124" i="10" s="1"/>
  <c r="AJ7" i="10"/>
  <c r="P8" i="10"/>
  <c r="C10" i="10"/>
  <c r="AK11" i="10"/>
  <c r="C12" i="10"/>
  <c r="O12" i="10"/>
  <c r="AZ12" i="10"/>
  <c r="BC12" i="10" s="1"/>
  <c r="AU12" i="10"/>
  <c r="AX12" i="10" s="1"/>
  <c r="BA12" i="10" s="1"/>
  <c r="BE13" i="10"/>
  <c r="P15" i="10"/>
  <c r="D17" i="10"/>
  <c r="AM17" i="10"/>
  <c r="AH19" i="10"/>
  <c r="E20" i="10"/>
  <c r="D20" i="10"/>
  <c r="W21" i="10"/>
  <c r="AJ21" i="10"/>
  <c r="AY23" i="10"/>
  <c r="BB23" i="10" s="1"/>
  <c r="BP23" i="10"/>
  <c r="P24" i="10"/>
  <c r="O24" i="10"/>
  <c r="BI24" i="10"/>
  <c r="BR24" i="10"/>
  <c r="BP24" i="10" s="1"/>
  <c r="H25" i="10"/>
  <c r="G25" i="10"/>
  <c r="BB25" i="10"/>
  <c r="BT25" i="10"/>
  <c r="G26" i="10"/>
  <c r="W27" i="10"/>
  <c r="AI27" i="10"/>
  <c r="O28" i="10"/>
  <c r="BR28" i="10"/>
  <c r="BP28" i="10" s="1"/>
  <c r="BM28" i="10"/>
  <c r="AK29" i="10"/>
  <c r="W31" i="10"/>
  <c r="V31" i="10"/>
  <c r="BP31" i="10"/>
  <c r="P32" i="10"/>
  <c r="O32" i="10"/>
  <c r="AH32" i="10"/>
  <c r="BI32" i="10"/>
  <c r="G34" i="10"/>
  <c r="AQ37" i="10"/>
  <c r="AZ37" i="10"/>
  <c r="BC37" i="10" s="1"/>
  <c r="AK39" i="10"/>
  <c r="AJ39" i="10"/>
  <c r="BB40" i="10"/>
  <c r="AH41" i="10"/>
  <c r="BB41" i="10" s="1"/>
  <c r="S42" i="10"/>
  <c r="P43" i="10"/>
  <c r="O43" i="10"/>
  <c r="BP45" i="10"/>
  <c r="BB48" i="10"/>
  <c r="H49" i="10"/>
  <c r="G49" i="10"/>
  <c r="AY57" i="10"/>
  <c r="BB57" i="10" s="1"/>
  <c r="AU57" i="10"/>
  <c r="AX57" i="10" s="1"/>
  <c r="BA57" i="10" s="1"/>
  <c r="H59" i="10"/>
  <c r="G59" i="10"/>
  <c r="L63" i="10"/>
  <c r="P63" i="10"/>
  <c r="AI63" i="10"/>
  <c r="O63" i="10"/>
  <c r="BC73" i="10"/>
  <c r="O96" i="10"/>
  <c r="AE96" i="10"/>
  <c r="V99" i="10"/>
  <c r="W99" i="10"/>
  <c r="BP103" i="10"/>
  <c r="C33" i="9"/>
  <c r="K33" i="9"/>
  <c r="C35" i="9"/>
  <c r="K35" i="9"/>
  <c r="G38" i="9"/>
  <c r="G41" i="9"/>
  <c r="C48" i="9"/>
  <c r="K48" i="9"/>
  <c r="G52" i="9"/>
  <c r="C56" i="9"/>
  <c r="K56" i="9"/>
  <c r="C65" i="9"/>
  <c r="K65" i="9"/>
  <c r="G69" i="9"/>
  <c r="C73" i="9"/>
  <c r="K73" i="9"/>
  <c r="C77" i="9"/>
  <c r="K77" i="9"/>
  <c r="C85" i="9"/>
  <c r="K85" i="9"/>
  <c r="G89" i="9"/>
  <c r="BQ94" i="9"/>
  <c r="K96" i="9"/>
  <c r="AL100" i="9"/>
  <c r="BC100" i="9"/>
  <c r="K101" i="9"/>
  <c r="AU101" i="9"/>
  <c r="C102" i="9"/>
  <c r="AQ102" i="9"/>
  <c r="BB102" i="9" s="1"/>
  <c r="BE102" i="9" s="1"/>
  <c r="BQ107" i="9"/>
  <c r="BT107" i="9" s="1"/>
  <c r="BM108" i="9"/>
  <c r="BV108" i="9"/>
  <c r="I109" i="9"/>
  <c r="H109" i="9"/>
  <c r="G109" i="9"/>
  <c r="G110" i="9"/>
  <c r="G111" i="9"/>
  <c r="AL112" i="9"/>
  <c r="BD112" i="9"/>
  <c r="BM112" i="9"/>
  <c r="BT112" i="9" s="1"/>
  <c r="AM113" i="9"/>
  <c r="AD113" i="9"/>
  <c r="AK113" i="9" s="1"/>
  <c r="C114" i="9"/>
  <c r="BU115" i="9"/>
  <c r="E116" i="9"/>
  <c r="D116" i="9"/>
  <c r="C116" i="9"/>
  <c r="AK116" i="9"/>
  <c r="BI116" i="9"/>
  <c r="AI117" i="9"/>
  <c r="BU117" i="9"/>
  <c r="BB119" i="9"/>
  <c r="AM121" i="9"/>
  <c r="BQ121" i="9"/>
  <c r="BT121" i="9" s="1"/>
  <c r="W125" i="9"/>
  <c r="AK125" i="9" s="1"/>
  <c r="BE125" i="9" s="1"/>
  <c r="H126" i="9"/>
  <c r="AU126" i="9"/>
  <c r="BB126" i="9" s="1"/>
  <c r="BE126" i="9" s="1"/>
  <c r="BD129" i="9"/>
  <c r="BG129" i="9" s="1"/>
  <c r="BX129" i="9"/>
  <c r="G130" i="9"/>
  <c r="BV130" i="9"/>
  <c r="AU131" i="9"/>
  <c r="BD131" i="9"/>
  <c r="BM132" i="9"/>
  <c r="BV132" i="9"/>
  <c r="I133" i="9"/>
  <c r="H133" i="9"/>
  <c r="G133" i="9"/>
  <c r="BC133" i="9"/>
  <c r="BF133" i="9" s="1"/>
  <c r="G135" i="9"/>
  <c r="G136" i="9"/>
  <c r="C137" i="9"/>
  <c r="AD137" i="9"/>
  <c r="AK137" i="9" s="1"/>
  <c r="AM137" i="9"/>
  <c r="BD138" i="9"/>
  <c r="BG138" i="9" s="1"/>
  <c r="AQ138" i="9"/>
  <c r="BB138" i="9" s="1"/>
  <c r="BE138" i="9" s="1"/>
  <c r="I139" i="9"/>
  <c r="H139" i="9"/>
  <c r="AM140" i="9"/>
  <c r="BD140" i="9"/>
  <c r="BG140" i="9" s="1"/>
  <c r="BM140" i="9"/>
  <c r="BT140" i="9" s="1"/>
  <c r="E141" i="9"/>
  <c r="D141" i="9"/>
  <c r="AL141" i="9"/>
  <c r="BD141" i="9"/>
  <c r="BM141" i="9"/>
  <c r="AY142" i="9"/>
  <c r="AL144" i="9"/>
  <c r="BF144" i="9" s="1"/>
  <c r="K145" i="9"/>
  <c r="BF145" i="9"/>
  <c r="BV149" i="9"/>
  <c r="BV150" i="9"/>
  <c r="BU151" i="9"/>
  <c r="C155" i="9"/>
  <c r="BF155" i="9"/>
  <c r="BC156" i="9"/>
  <c r="BF156" i="9" s="1"/>
  <c r="D157" i="9"/>
  <c r="AL157" i="9"/>
  <c r="BM157" i="9"/>
  <c r="BT157" i="9" s="1"/>
  <c r="AU158" i="9"/>
  <c r="AL159" i="9"/>
  <c r="BF159" i="9" s="1"/>
  <c r="AI160" i="9"/>
  <c r="BV160" i="9"/>
  <c r="BQ160" i="9"/>
  <c r="BT160" i="9" s="1"/>
  <c r="D168" i="9"/>
  <c r="BV168" i="9"/>
  <c r="X124" i="10"/>
  <c r="AK2" i="10"/>
  <c r="AS124" i="10"/>
  <c r="CX172" i="10" s="1"/>
  <c r="BE2" i="10"/>
  <c r="BM2" i="10"/>
  <c r="BM124" i="10" s="1"/>
  <c r="BX124" i="10"/>
  <c r="AQ3" i="10"/>
  <c r="AX3" i="10" s="1"/>
  <c r="BA3" i="10" s="1"/>
  <c r="O6" i="10"/>
  <c r="BQ6" i="10"/>
  <c r="AK7" i="10"/>
  <c r="C8" i="10"/>
  <c r="BQ8" i="10"/>
  <c r="H9" i="10"/>
  <c r="G9" i="10"/>
  <c r="S10" i="10"/>
  <c r="BQ10" i="10"/>
  <c r="AZ11" i="10"/>
  <c r="BC11" i="10" s="1"/>
  <c r="D12" i="10"/>
  <c r="AM12" i="10"/>
  <c r="AU14" i="10"/>
  <c r="AX14" i="10" s="1"/>
  <c r="AH16" i="10"/>
  <c r="BB16" i="10" s="1"/>
  <c r="BI16" i="10"/>
  <c r="G18" i="10"/>
  <c r="AG19" i="10"/>
  <c r="AZ19" i="10"/>
  <c r="BC19" i="10" s="1"/>
  <c r="BI19" i="10"/>
  <c r="C20" i="10"/>
  <c r="Z20" i="10"/>
  <c r="AK21" i="10"/>
  <c r="AH22" i="10"/>
  <c r="BQ22" i="10"/>
  <c r="C24" i="10"/>
  <c r="AZ25" i="10"/>
  <c r="BC25" i="10" s="1"/>
  <c r="AJ26" i="10"/>
  <c r="AU26" i="10"/>
  <c r="AX26" i="10" s="1"/>
  <c r="BA26" i="10" s="1"/>
  <c r="BR26" i="10"/>
  <c r="BP26" i="10" s="1"/>
  <c r="P28" i="10"/>
  <c r="BE28" i="10"/>
  <c r="W30" i="10"/>
  <c r="C32" i="10"/>
  <c r="Z32" i="10"/>
  <c r="AI32" i="10"/>
  <c r="BM33" i="10"/>
  <c r="BQ34" i="10"/>
  <c r="L35" i="10"/>
  <c r="AI35" i="10"/>
  <c r="BQ35" i="10"/>
  <c r="AX36" i="10"/>
  <c r="BR36" i="10"/>
  <c r="BP36" i="10" s="1"/>
  <c r="AK37" i="10"/>
  <c r="L39" i="10"/>
  <c r="BT39" i="10"/>
  <c r="AG41" i="10"/>
  <c r="AJ41" i="10"/>
  <c r="BP41" i="10"/>
  <c r="W43" i="10"/>
  <c r="AE43" i="10"/>
  <c r="BI43" i="10"/>
  <c r="W44" i="10"/>
  <c r="V44" i="10"/>
  <c r="BP46" i="10"/>
  <c r="Z49" i="10"/>
  <c r="AI49" i="10"/>
  <c r="BQ53" i="10"/>
  <c r="AK57" i="10"/>
  <c r="BC57" i="10"/>
  <c r="P58" i="10"/>
  <c r="L58" i="10"/>
  <c r="O58" i="10"/>
  <c r="AI58" i="10"/>
  <c r="BB61" i="10"/>
  <c r="AX70" i="10"/>
  <c r="BP87" i="10"/>
  <c r="BP95" i="10"/>
  <c r="BD93" i="9"/>
  <c r="BG93" i="9" s="1"/>
  <c r="BI94" i="9"/>
  <c r="AU95" i="9"/>
  <c r="BB95" i="9" s="1"/>
  <c r="BE95" i="9" s="1"/>
  <c r="K99" i="9"/>
  <c r="AD100" i="9"/>
  <c r="AK100" i="9" s="1"/>
  <c r="AM100" i="9"/>
  <c r="BD100" i="9"/>
  <c r="BG100" i="9" s="1"/>
  <c r="D102" i="9"/>
  <c r="AL102" i="9"/>
  <c r="BF102" i="9" s="1"/>
  <c r="BU105" i="9"/>
  <c r="BU107" i="9"/>
  <c r="W109" i="9"/>
  <c r="AK109" i="9" s="1"/>
  <c r="H110" i="9"/>
  <c r="BM111" i="9"/>
  <c r="BV111" i="9"/>
  <c r="I112" i="9"/>
  <c r="H112" i="9"/>
  <c r="G112" i="9"/>
  <c r="AD112" i="9"/>
  <c r="AK112" i="9" s="1"/>
  <c r="AM112" i="9"/>
  <c r="D114" i="9"/>
  <c r="BV117" i="9"/>
  <c r="L119" i="9"/>
  <c r="K119" i="9"/>
  <c r="BC119" i="9"/>
  <c r="BF119" i="9" s="1"/>
  <c r="BU121" i="9"/>
  <c r="AQ123" i="9"/>
  <c r="BB123" i="9" s="1"/>
  <c r="BU124" i="9"/>
  <c r="AM125" i="9"/>
  <c r="BQ128" i="9"/>
  <c r="BT128" i="9" s="1"/>
  <c r="W129" i="9"/>
  <c r="H130" i="9"/>
  <c r="BD133" i="9"/>
  <c r="BG133" i="9" s="1"/>
  <c r="BX133" i="9"/>
  <c r="AU135" i="9"/>
  <c r="G139" i="9"/>
  <c r="C141" i="9"/>
  <c r="AD141" i="9"/>
  <c r="AK141" i="9" s="1"/>
  <c r="AM141" i="9"/>
  <c r="BD142" i="9"/>
  <c r="BG142" i="9" s="1"/>
  <c r="AQ142" i="9"/>
  <c r="BB142" i="9" s="1"/>
  <c r="BE142" i="9" s="1"/>
  <c r="I143" i="9"/>
  <c r="H143" i="9"/>
  <c r="AM144" i="9"/>
  <c r="BD144" i="9"/>
  <c r="BM144" i="9"/>
  <c r="E145" i="9"/>
  <c r="D145" i="9"/>
  <c r="AQ148" i="9"/>
  <c r="BB148" i="9" s="1"/>
  <c r="BE148" i="9" s="1"/>
  <c r="AQ149" i="9"/>
  <c r="BB149" i="9" s="1"/>
  <c r="BE149" i="9" s="1"/>
  <c r="BV151" i="9"/>
  <c r="BC154" i="9"/>
  <c r="BF154" i="9" s="1"/>
  <c r="BV154" i="9"/>
  <c r="BQ154" i="9"/>
  <c r="BT154" i="9" s="1"/>
  <c r="D155" i="9"/>
  <c r="AL156" i="9"/>
  <c r="AM157" i="9"/>
  <c r="AD157" i="9"/>
  <c r="AK157" i="9" s="1"/>
  <c r="E160" i="9"/>
  <c r="D160" i="9"/>
  <c r="C160" i="9"/>
  <c r="AM166" i="9"/>
  <c r="BD166" i="9"/>
  <c r="BG166" i="9" s="1"/>
  <c r="BM166" i="9"/>
  <c r="AL168" i="9"/>
  <c r="Y124" i="10"/>
  <c r="AT124" i="10"/>
  <c r="BF124" i="10"/>
  <c r="CZ320" i="10" s="1"/>
  <c r="BN124" i="10"/>
  <c r="DB320" i="10" s="1"/>
  <c r="BQ2" i="10"/>
  <c r="V4" i="10"/>
  <c r="W4" i="10"/>
  <c r="AU5" i="10"/>
  <c r="AX5" i="10" s="1"/>
  <c r="P6" i="10"/>
  <c r="BR6" i="10"/>
  <c r="AZ7" i="10"/>
  <c r="BC7" i="10" s="1"/>
  <c r="BR8" i="10"/>
  <c r="BP8" i="10" s="1"/>
  <c r="V10" i="10"/>
  <c r="BR10" i="10"/>
  <c r="Z11" i="10"/>
  <c r="S14" i="10"/>
  <c r="AY14" i="10"/>
  <c r="BB14" i="10" s="1"/>
  <c r="BI15" i="10"/>
  <c r="E16" i="10"/>
  <c r="D16" i="10"/>
  <c r="Z16" i="10"/>
  <c r="AI16" i="10"/>
  <c r="BM17" i="10"/>
  <c r="AH20" i="10"/>
  <c r="BB20" i="10" s="1"/>
  <c r="E21" i="10"/>
  <c r="D21" i="10"/>
  <c r="AX21" i="10"/>
  <c r="Z22" i="10"/>
  <c r="AI22" i="10"/>
  <c r="BR22" i="10"/>
  <c r="D24" i="10"/>
  <c r="BM24" i="10"/>
  <c r="BM25" i="10"/>
  <c r="AK26" i="10"/>
  <c r="AZ27" i="10"/>
  <c r="BC27" i="10" s="1"/>
  <c r="AU27" i="10"/>
  <c r="AX27" i="10" s="1"/>
  <c r="Z29" i="10"/>
  <c r="AH31" i="10"/>
  <c r="D32" i="10"/>
  <c r="AG33" i="10"/>
  <c r="BQ33" i="10"/>
  <c r="BR35" i="10"/>
  <c r="AH38" i="10"/>
  <c r="BB38" i="10" s="1"/>
  <c r="AU39" i="10"/>
  <c r="AX39" i="10" s="1"/>
  <c r="BA39" i="10" s="1"/>
  <c r="AZ39" i="10"/>
  <c r="BC39" i="10" s="1"/>
  <c r="AG40" i="10"/>
  <c r="AJ40" i="10"/>
  <c r="BC40" i="10"/>
  <c r="AU42" i="10"/>
  <c r="AX42" i="10" s="1"/>
  <c r="BA42" i="10" s="1"/>
  <c r="BQ47" i="10"/>
  <c r="BP47" i="10" s="1"/>
  <c r="BR51" i="10"/>
  <c r="AQ63" i="10"/>
  <c r="AZ63" i="10"/>
  <c r="BC63" i="10" s="1"/>
  <c r="BB64" i="10"/>
  <c r="AZ70" i="10"/>
  <c r="BB85" i="10"/>
  <c r="AG113" i="10"/>
  <c r="AK113" i="10"/>
  <c r="AJ113" i="10"/>
  <c r="AF124" i="10"/>
  <c r="AN124" i="10"/>
  <c r="CW320" i="10" s="1"/>
  <c r="AV124" i="10"/>
  <c r="CY320" i="10" s="1"/>
  <c r="BD124" i="10"/>
  <c r="BL124" i="10"/>
  <c r="Z37" i="10"/>
  <c r="Z41" i="10"/>
  <c r="AU45" i="10"/>
  <c r="AX45" i="10" s="1"/>
  <c r="BA45" i="10" s="1"/>
  <c r="Z46" i="10"/>
  <c r="BI47" i="10"/>
  <c r="AU48" i="10"/>
  <c r="AX48" i="10" s="1"/>
  <c r="BA48" i="10" s="1"/>
  <c r="P49" i="10"/>
  <c r="AY49" i="10"/>
  <c r="BB49" i="10" s="1"/>
  <c r="E50" i="10"/>
  <c r="AI51" i="10"/>
  <c r="AZ52" i="10"/>
  <c r="BC52" i="10" s="1"/>
  <c r="AZ53" i="10"/>
  <c r="C54" i="10"/>
  <c r="D54" i="10"/>
  <c r="Z54" i="10"/>
  <c r="AZ54" i="10"/>
  <c r="BC54" i="10" s="1"/>
  <c r="BR54" i="10"/>
  <c r="Z56" i="10"/>
  <c r="AI56" i="10"/>
  <c r="AU59" i="10"/>
  <c r="AX59" i="10" s="1"/>
  <c r="BQ62" i="10"/>
  <c r="AZ66" i="10"/>
  <c r="AU66" i="10"/>
  <c r="AX66" i="10" s="1"/>
  <c r="BA66" i="10" s="1"/>
  <c r="AI69" i="10"/>
  <c r="AZ69" i="10"/>
  <c r="P70" i="10"/>
  <c r="O70" i="10"/>
  <c r="AQ71" i="10"/>
  <c r="AH72" i="10"/>
  <c r="AZ72" i="10"/>
  <c r="AU72" i="10"/>
  <c r="AX72" i="10" s="1"/>
  <c r="BA72" i="10" s="1"/>
  <c r="AY73" i="10"/>
  <c r="BB73" i="10" s="1"/>
  <c r="AZ74" i="10"/>
  <c r="P75" i="10"/>
  <c r="O75" i="10"/>
  <c r="AH75" i="10"/>
  <c r="BB75" i="10" s="1"/>
  <c r="AI76" i="10"/>
  <c r="S76" i="10"/>
  <c r="BM76" i="10"/>
  <c r="BR78" i="10"/>
  <c r="AH79" i="10"/>
  <c r="BB79" i="10" s="1"/>
  <c r="AU81" i="10"/>
  <c r="AX81" i="10" s="1"/>
  <c r="P82" i="10"/>
  <c r="O82" i="10"/>
  <c r="AZ82" i="10"/>
  <c r="BQ84" i="10"/>
  <c r="BQ85" i="10"/>
  <c r="AI86" i="10"/>
  <c r="E88" i="10"/>
  <c r="D88" i="10"/>
  <c r="AZ88" i="10"/>
  <c r="BC88" i="10" s="1"/>
  <c r="BR90" i="10"/>
  <c r="BP90" i="10" s="1"/>
  <c r="BM90" i="10"/>
  <c r="AY94" i="10"/>
  <c r="BB94" i="10" s="1"/>
  <c r="AZ95" i="10"/>
  <c r="BI95" i="10"/>
  <c r="AH96" i="10"/>
  <c r="AG96" i="10" s="1"/>
  <c r="AE97" i="10"/>
  <c r="W97" i="10"/>
  <c r="AY102" i="10"/>
  <c r="BB102" i="10" s="1"/>
  <c r="AZ103" i="10"/>
  <c r="BC103" i="10" s="1"/>
  <c r="BI103" i="10"/>
  <c r="AH104" i="10"/>
  <c r="AE105" i="10"/>
  <c r="W105" i="10"/>
  <c r="AY110" i="10"/>
  <c r="BB110" i="10" s="1"/>
  <c r="AZ111" i="10"/>
  <c r="BI111" i="10"/>
  <c r="AH112" i="10"/>
  <c r="AE113" i="10"/>
  <c r="W113" i="10"/>
  <c r="AK116" i="10"/>
  <c r="BP118" i="10"/>
  <c r="BQ120" i="10"/>
  <c r="AU121" i="10"/>
  <c r="AX121" i="10" s="1"/>
  <c r="BA121" i="10" s="1"/>
  <c r="AZ121" i="10"/>
  <c r="BC121" i="10" s="1"/>
  <c r="AU122" i="10"/>
  <c r="AX122" i="10" s="1"/>
  <c r="BA122" i="10" s="1"/>
  <c r="AK133" i="10"/>
  <c r="AG133" i="10"/>
  <c r="AU136" i="10"/>
  <c r="AX136" i="10" s="1"/>
  <c r="BA136" i="10" s="1"/>
  <c r="AZ136" i="10"/>
  <c r="BC136" i="10" s="1"/>
  <c r="AU137" i="10"/>
  <c r="AX137" i="10" s="1"/>
  <c r="BA137" i="10" s="1"/>
  <c r="AZ137" i="10"/>
  <c r="BC137" i="10" s="1"/>
  <c r="E139" i="10"/>
  <c r="D139" i="10"/>
  <c r="C139" i="10"/>
  <c r="Z74" i="10"/>
  <c r="AI74" i="10"/>
  <c r="AI75" i="10"/>
  <c r="Z75" i="10"/>
  <c r="AG79" i="10"/>
  <c r="W81" i="10"/>
  <c r="V81" i="10"/>
  <c r="BP81" i="10"/>
  <c r="H83" i="10"/>
  <c r="G83" i="10"/>
  <c r="AK85" i="10"/>
  <c r="AJ85" i="10"/>
  <c r="BR85" i="10"/>
  <c r="BP85" i="10" s="1"/>
  <c r="BC86" i="10"/>
  <c r="Z88" i="10"/>
  <c r="AI88" i="10"/>
  <c r="AZ92" i="10"/>
  <c r="AU92" i="10"/>
  <c r="AX92" i="10" s="1"/>
  <c r="BA92" i="10" s="1"/>
  <c r="BB93" i="10"/>
  <c r="AZ94" i="10"/>
  <c r="BC94" i="10" s="1"/>
  <c r="P95" i="10"/>
  <c r="O95" i="10"/>
  <c r="AE98" i="10"/>
  <c r="O98" i="10"/>
  <c r="V98" i="10"/>
  <c r="AG98" i="10"/>
  <c r="BB98" i="10"/>
  <c r="AZ100" i="10"/>
  <c r="BC100" i="10" s="1"/>
  <c r="AU100" i="10"/>
  <c r="AX100" i="10" s="1"/>
  <c r="BA100" i="10" s="1"/>
  <c r="BB101" i="10"/>
  <c r="AZ102" i="10"/>
  <c r="P103" i="10"/>
  <c r="O103" i="10"/>
  <c r="AG104" i="10"/>
  <c r="AE106" i="10"/>
  <c r="O106" i="10"/>
  <c r="V106" i="10"/>
  <c r="AG106" i="10"/>
  <c r="BA106" i="10" s="1"/>
  <c r="BB106" i="10"/>
  <c r="AZ108" i="10"/>
  <c r="AU108" i="10"/>
  <c r="AX108" i="10" s="1"/>
  <c r="BA108" i="10" s="1"/>
  <c r="BB109" i="10"/>
  <c r="AZ110" i="10"/>
  <c r="BC110" i="10" s="1"/>
  <c r="P111" i="10"/>
  <c r="O111" i="10"/>
  <c r="AG112" i="10"/>
  <c r="AE114" i="10"/>
  <c r="O114" i="10"/>
  <c r="V114" i="10"/>
  <c r="AG114" i="10"/>
  <c r="BB114" i="10"/>
  <c r="AY118" i="10"/>
  <c r="BB118" i="10" s="1"/>
  <c r="AU118" i="10"/>
  <c r="AX118" i="10" s="1"/>
  <c r="BA118" i="10" s="1"/>
  <c r="BR120" i="10"/>
  <c r="BM120" i="10"/>
  <c r="BE33" i="11"/>
  <c r="S37" i="10"/>
  <c r="L38" i="10"/>
  <c r="S41" i="10"/>
  <c r="L42" i="10"/>
  <c r="AU43" i="10"/>
  <c r="AX43" i="10" s="1"/>
  <c r="L44" i="10"/>
  <c r="AU44" i="10"/>
  <c r="AX44" i="10" s="1"/>
  <c r="S46" i="10"/>
  <c r="BM46" i="10"/>
  <c r="Z48" i="10"/>
  <c r="S49" i="10"/>
  <c r="S50" i="10"/>
  <c r="L52" i="10"/>
  <c r="E56" i="10"/>
  <c r="D56" i="10"/>
  <c r="C56" i="10"/>
  <c r="S56" i="10"/>
  <c r="BR56" i="10"/>
  <c r="BP56" i="10" s="1"/>
  <c r="Z57" i="10"/>
  <c r="W59" i="10"/>
  <c r="V59" i="10"/>
  <c r="P61" i="10"/>
  <c r="O61" i="10"/>
  <c r="BT61" i="10"/>
  <c r="BP62" i="10"/>
  <c r="BE67" i="10"/>
  <c r="Z68" i="10"/>
  <c r="BM70" i="10"/>
  <c r="H74" i="10"/>
  <c r="G74" i="10"/>
  <c r="BP76" i="10"/>
  <c r="C82" i="10"/>
  <c r="BT83" i="10"/>
  <c r="BP84" i="10"/>
  <c r="O86" i="10"/>
  <c r="Z86" i="10"/>
  <c r="AQ87" i="10"/>
  <c r="G90" i="10"/>
  <c r="AZ93" i="10"/>
  <c r="Z94" i="10"/>
  <c r="AI94" i="10"/>
  <c r="BI94" i="10"/>
  <c r="AI95" i="10"/>
  <c r="Z95" i="10"/>
  <c r="BI96" i="10"/>
  <c r="E97" i="10"/>
  <c r="D97" i="10"/>
  <c r="AJ98" i="10"/>
  <c r="G100" i="10"/>
  <c r="AM100" i="10"/>
  <c r="AZ101" i="10"/>
  <c r="Z102" i="10"/>
  <c r="AI102" i="10"/>
  <c r="BI102" i="10"/>
  <c r="AI103" i="10"/>
  <c r="Z103" i="10"/>
  <c r="BI104" i="10"/>
  <c r="E105" i="10"/>
  <c r="D105" i="10"/>
  <c r="AJ106" i="10"/>
  <c r="G108" i="10"/>
  <c r="AM108" i="10"/>
  <c r="AZ109" i="10"/>
  <c r="Z110" i="10"/>
  <c r="AI110" i="10"/>
  <c r="BI110" i="10"/>
  <c r="AI111" i="10"/>
  <c r="Z111" i="10"/>
  <c r="BI112" i="10"/>
  <c r="E113" i="10"/>
  <c r="D113" i="10"/>
  <c r="AJ114" i="10"/>
  <c r="G116" i="10"/>
  <c r="AK117" i="10"/>
  <c r="AJ117" i="10"/>
  <c r="AU117" i="10"/>
  <c r="AX117" i="10" s="1"/>
  <c r="BA117" i="10" s="1"/>
  <c r="AZ117" i="10"/>
  <c r="BC117" i="10" s="1"/>
  <c r="S119" i="10"/>
  <c r="AI119" i="10"/>
  <c r="W119" i="10"/>
  <c r="V119" i="10"/>
  <c r="BR121" i="10"/>
  <c r="BP121" i="10" s="1"/>
  <c r="BM121" i="10"/>
  <c r="O122" i="10"/>
  <c r="P123" i="10"/>
  <c r="L123" i="10"/>
  <c r="Z123" i="10"/>
  <c r="AI123" i="10"/>
  <c r="AU133" i="10"/>
  <c r="AX133" i="10" s="1"/>
  <c r="BA133" i="10" s="1"/>
  <c r="AZ133" i="10"/>
  <c r="BC133" i="10" s="1"/>
  <c r="AG135" i="10"/>
  <c r="BA135" i="10" s="1"/>
  <c r="AK135" i="10"/>
  <c r="AY138" i="10"/>
  <c r="BB138" i="10" s="1"/>
  <c r="AU138" i="10"/>
  <c r="AX138" i="10" s="1"/>
  <c r="BA138" i="10" s="1"/>
  <c r="BR48" i="10"/>
  <c r="BP48" i="10" s="1"/>
  <c r="AI53" i="10"/>
  <c r="AZ55" i="10"/>
  <c r="BC55" i="10" s="1"/>
  <c r="BP57" i="10"/>
  <c r="BB58" i="10"/>
  <c r="H60" i="10"/>
  <c r="G60" i="10"/>
  <c r="E61" i="10"/>
  <c r="D61" i="10"/>
  <c r="Z64" i="10"/>
  <c r="AI64" i="10"/>
  <c r="BQ64" i="10"/>
  <c r="W66" i="10"/>
  <c r="V66" i="10"/>
  <c r="W69" i="10"/>
  <c r="V69" i="10"/>
  <c r="AI70" i="10"/>
  <c r="S70" i="10"/>
  <c r="D82" i="10"/>
  <c r="AI82" i="10"/>
  <c r="S82" i="10"/>
  <c r="AZ83" i="10"/>
  <c r="AZ85" i="10"/>
  <c r="BC85" i="10" s="1"/>
  <c r="AU85" i="10"/>
  <c r="AX85" i="10" s="1"/>
  <c r="BA85" i="10" s="1"/>
  <c r="P86" i="10"/>
  <c r="H94" i="10"/>
  <c r="G94" i="10"/>
  <c r="AK98" i="10"/>
  <c r="AE99" i="10"/>
  <c r="H102" i="10"/>
  <c r="G102" i="10"/>
  <c r="AK106" i="10"/>
  <c r="AE107" i="10"/>
  <c r="H110" i="10"/>
  <c r="G110" i="10"/>
  <c r="AK114" i="10"/>
  <c r="AE115" i="10"/>
  <c r="W117" i="10"/>
  <c r="V117" i="10"/>
  <c r="W118" i="10"/>
  <c r="V118" i="10"/>
  <c r="S118" i="10"/>
  <c r="H121" i="10"/>
  <c r="G121" i="10"/>
  <c r="BE121" i="10"/>
  <c r="P122" i="10"/>
  <c r="O123" i="10"/>
  <c r="AE123" i="10"/>
  <c r="N124" i="10"/>
  <c r="CT172" i="10" s="1"/>
  <c r="E129" i="10"/>
  <c r="D129" i="10"/>
  <c r="C129" i="10"/>
  <c r="AG132" i="10"/>
  <c r="AK132" i="10"/>
  <c r="AJ132" i="10"/>
  <c r="BC132" i="10"/>
  <c r="BC138" i="10"/>
  <c r="BG28" i="11"/>
  <c r="O45" i="10"/>
  <c r="AM46" i="10"/>
  <c r="G48" i="10"/>
  <c r="BI51" i="10"/>
  <c r="AJ52" i="10"/>
  <c r="O53" i="10"/>
  <c r="BT53" i="10"/>
  <c r="AZ56" i="10"/>
  <c r="AU56" i="10"/>
  <c r="AX56" i="10" s="1"/>
  <c r="BA56" i="10" s="1"/>
  <c r="C58" i="10"/>
  <c r="AZ58" i="10"/>
  <c r="AH59" i="10"/>
  <c r="BB59" i="10" s="1"/>
  <c r="C61" i="10"/>
  <c r="AZ62" i="10"/>
  <c r="BC62" i="10" s="1"/>
  <c r="E64" i="10"/>
  <c r="D64" i="10"/>
  <c r="C64" i="10"/>
  <c r="BR64" i="10"/>
  <c r="AJ65" i="10"/>
  <c r="BC65" i="10"/>
  <c r="AG68" i="10"/>
  <c r="V70" i="10"/>
  <c r="AX71" i="10"/>
  <c r="S73" i="10"/>
  <c r="AI73" i="10"/>
  <c r="V74" i="10"/>
  <c r="BB76" i="10"/>
  <c r="P78" i="10"/>
  <c r="O78" i="10"/>
  <c r="BT78" i="10"/>
  <c r="AJ79" i="10"/>
  <c r="O80" i="10"/>
  <c r="AI80" i="10"/>
  <c r="BC80" i="10" s="1"/>
  <c r="AI81" i="10"/>
  <c r="Z81" i="10"/>
  <c r="V82" i="10"/>
  <c r="L83" i="10"/>
  <c r="AZ84" i="10"/>
  <c r="BC84" i="10" s="1"/>
  <c r="O85" i="10"/>
  <c r="AM85" i="10"/>
  <c r="BR86" i="10"/>
  <c r="BP86" i="10" s="1"/>
  <c r="BM86" i="10"/>
  <c r="V89" i="10"/>
  <c r="BQ89" i="10"/>
  <c r="AG90" i="10"/>
  <c r="BB90" i="10"/>
  <c r="G91" i="10"/>
  <c r="E92" i="10"/>
  <c r="D92" i="10"/>
  <c r="G93" i="10"/>
  <c r="S94" i="10"/>
  <c r="W96" i="10"/>
  <c r="V96" i="10"/>
  <c r="AJ96" i="10"/>
  <c r="AQ96" i="10"/>
  <c r="BR97" i="10"/>
  <c r="BP97" i="10" s="1"/>
  <c r="E98" i="10"/>
  <c r="D98" i="10"/>
  <c r="C98" i="10"/>
  <c r="P98" i="10"/>
  <c r="AZ99" i="10"/>
  <c r="BC99" i="10" s="1"/>
  <c r="G101" i="10"/>
  <c r="S102" i="10"/>
  <c r="W104" i="10"/>
  <c r="V104" i="10"/>
  <c r="AJ104" i="10"/>
  <c r="AQ104" i="10"/>
  <c r="BR105" i="10"/>
  <c r="BP105" i="10" s="1"/>
  <c r="E106" i="10"/>
  <c r="D106" i="10"/>
  <c r="C106" i="10"/>
  <c r="P106" i="10"/>
  <c r="AZ107" i="10"/>
  <c r="BC107" i="10" s="1"/>
  <c r="G109" i="10"/>
  <c r="S110" i="10"/>
  <c r="W112" i="10"/>
  <c r="V112" i="10"/>
  <c r="AJ112" i="10"/>
  <c r="AQ112" i="10"/>
  <c r="BR113" i="10"/>
  <c r="BP113" i="10" s="1"/>
  <c r="E114" i="10"/>
  <c r="D114" i="10"/>
  <c r="C114" i="10"/>
  <c r="P114" i="10"/>
  <c r="AZ115" i="10"/>
  <c r="BC115" i="10" s="1"/>
  <c r="AM119" i="10"/>
  <c r="G120" i="10"/>
  <c r="AK120" i="10"/>
  <c r="AG120" i="10"/>
  <c r="W132" i="10"/>
  <c r="W138" i="10"/>
  <c r="V138" i="10"/>
  <c r="S138" i="10"/>
  <c r="AK6" i="11"/>
  <c r="AM105" i="9"/>
  <c r="AM108" i="9"/>
  <c r="AM111" i="9"/>
  <c r="AM120" i="9"/>
  <c r="AM124" i="9"/>
  <c r="BG124" i="9" s="1"/>
  <c r="AM128" i="9"/>
  <c r="BG128" i="9" s="1"/>
  <c r="AM132" i="9"/>
  <c r="AM145" i="9"/>
  <c r="AM148" i="9"/>
  <c r="AM155" i="9"/>
  <c r="AA124" i="10"/>
  <c r="CV320" i="10" s="1"/>
  <c r="AI10" i="10"/>
  <c r="AI24" i="10"/>
  <c r="AI34" i="10"/>
  <c r="C37" i="10"/>
  <c r="V37" i="10"/>
  <c r="O38" i="10"/>
  <c r="AI38" i="10"/>
  <c r="G39" i="10"/>
  <c r="C41" i="10"/>
  <c r="V41" i="10"/>
  <c r="O42" i="10"/>
  <c r="AI42" i="10"/>
  <c r="G43" i="10"/>
  <c r="O44" i="10"/>
  <c r="C46" i="10"/>
  <c r="V46" i="10"/>
  <c r="BM47" i="10"/>
  <c r="W49" i="10"/>
  <c r="AI50" i="10"/>
  <c r="AG54" i="10"/>
  <c r="V56" i="10"/>
  <c r="D58" i="10"/>
  <c r="AI59" i="10"/>
  <c r="Z59" i="10"/>
  <c r="AI60" i="10"/>
  <c r="AI61" i="10"/>
  <c r="S61" i="10"/>
  <c r="BI62" i="10"/>
  <c r="O65" i="10"/>
  <c r="AK65" i="10"/>
  <c r="AH66" i="10"/>
  <c r="BB66" i="10" s="1"/>
  <c r="BQ66" i="10"/>
  <c r="AG67" i="10"/>
  <c r="BB67" i="10"/>
  <c r="G68" i="10"/>
  <c r="E69" i="10"/>
  <c r="D69" i="10"/>
  <c r="AX69" i="10"/>
  <c r="W70" i="10"/>
  <c r="Z72" i="10"/>
  <c r="AI72" i="10"/>
  <c r="BQ72" i="10"/>
  <c r="V73" i="10"/>
  <c r="W74" i="10"/>
  <c r="AX75" i="10"/>
  <c r="P76" i="10"/>
  <c r="O76" i="10"/>
  <c r="E78" i="10"/>
  <c r="D78" i="10"/>
  <c r="AZ78" i="10"/>
  <c r="BC78" i="10" s="1"/>
  <c r="AK79" i="10"/>
  <c r="C80" i="10"/>
  <c r="P80" i="10"/>
  <c r="W82" i="10"/>
  <c r="BR82" i="10"/>
  <c r="BP82" i="10" s="1"/>
  <c r="O83" i="10"/>
  <c r="AI83" i="10"/>
  <c r="BI84" i="10"/>
  <c r="BE86" i="10"/>
  <c r="AY87" i="10"/>
  <c r="BB87" i="10" s="1"/>
  <c r="W89" i="10"/>
  <c r="AI89" i="10"/>
  <c r="BR89" i="10"/>
  <c r="AJ90" i="10"/>
  <c r="BC90" i="10"/>
  <c r="C92" i="10"/>
  <c r="S93" i="10"/>
  <c r="AI93" i="10"/>
  <c r="V94" i="10"/>
  <c r="BQ94" i="10"/>
  <c r="AK96" i="10"/>
  <c r="BC97" i="10"/>
  <c r="BR98" i="10"/>
  <c r="BP98" i="10" s="1"/>
  <c r="BM98" i="10"/>
  <c r="AE100" i="10"/>
  <c r="S101" i="10"/>
  <c r="AI101" i="10"/>
  <c r="V102" i="10"/>
  <c r="BQ102" i="10"/>
  <c r="AK104" i="10"/>
  <c r="BC105" i="10"/>
  <c r="BR106" i="10"/>
  <c r="BP106" i="10" s="1"/>
  <c r="BM106" i="10"/>
  <c r="AE108" i="10"/>
  <c r="S109" i="10"/>
  <c r="AI109" i="10"/>
  <c r="V110" i="10"/>
  <c r="BQ110" i="10"/>
  <c r="AK112" i="10"/>
  <c r="BC113" i="10"/>
  <c r="BR114" i="10"/>
  <c r="BP114" i="10" s="1"/>
  <c r="BM114" i="10"/>
  <c r="BM115" i="10"/>
  <c r="AG116" i="10"/>
  <c r="BM116" i="10"/>
  <c r="BR116" i="10"/>
  <c r="BP116" i="10" s="1"/>
  <c r="Z118" i="10"/>
  <c r="AZ119" i="10"/>
  <c r="BC119" i="10" s="1"/>
  <c r="AJ120" i="10"/>
  <c r="L129" i="10"/>
  <c r="P129" i="10"/>
  <c r="AI129" i="10"/>
  <c r="O129" i="10"/>
  <c r="P130" i="10"/>
  <c r="L130" i="10"/>
  <c r="Z130" i="10"/>
  <c r="AI130" i="10"/>
  <c r="W131" i="10"/>
  <c r="V131" i="10"/>
  <c r="BR133" i="10"/>
  <c r="BP133" i="10" s="1"/>
  <c r="BM133" i="10"/>
  <c r="AG134" i="10"/>
  <c r="AJ134" i="10"/>
  <c r="AE135" i="10"/>
  <c r="P135" i="10"/>
  <c r="W137" i="10"/>
  <c r="V137" i="10"/>
  <c r="G101" i="9"/>
  <c r="G103" i="9"/>
  <c r="G107" i="9"/>
  <c r="G113" i="9"/>
  <c r="C117" i="9"/>
  <c r="K117" i="9"/>
  <c r="C136" i="9"/>
  <c r="K136" i="9"/>
  <c r="G138" i="9"/>
  <c r="C140" i="9"/>
  <c r="K140" i="9"/>
  <c r="G142" i="9"/>
  <c r="C144" i="9"/>
  <c r="K144" i="9"/>
  <c r="G150" i="9"/>
  <c r="G157" i="9"/>
  <c r="C166" i="9"/>
  <c r="C2" i="10"/>
  <c r="AB124" i="10"/>
  <c r="CV172" i="10" s="1"/>
  <c r="AL124" i="10"/>
  <c r="C5" i="10"/>
  <c r="V7" i="10"/>
  <c r="G8" i="10"/>
  <c r="V11" i="10"/>
  <c r="G12" i="10"/>
  <c r="C14" i="10"/>
  <c r="O16" i="10"/>
  <c r="G17" i="10"/>
  <c r="C19" i="10"/>
  <c r="V19" i="10"/>
  <c r="D37" i="10"/>
  <c r="D41" i="10"/>
  <c r="G44" i="10"/>
  <c r="D46" i="10"/>
  <c r="AZ46" i="10"/>
  <c r="BC46" i="10" s="1"/>
  <c r="L48" i="10"/>
  <c r="C50" i="10"/>
  <c r="O50" i="10"/>
  <c r="C51" i="10"/>
  <c r="P51" i="10"/>
  <c r="Z51" i="10"/>
  <c r="AY52" i="10"/>
  <c r="BB52" i="10" s="1"/>
  <c r="V54" i="10"/>
  <c r="AJ54" i="10"/>
  <c r="AU54" i="10"/>
  <c r="AX54" i="10" s="1"/>
  <c r="BA54" i="10" s="1"/>
  <c r="BQ54" i="10"/>
  <c r="L55" i="10"/>
  <c r="V58" i="10"/>
  <c r="O60" i="10"/>
  <c r="V61" i="10"/>
  <c r="AH62" i="10"/>
  <c r="AH64" i="10"/>
  <c r="AZ64" i="10"/>
  <c r="AU64" i="10"/>
  <c r="AX64" i="10" s="1"/>
  <c r="BA64" i="10" s="1"/>
  <c r="P65" i="10"/>
  <c r="AI66" i="10"/>
  <c r="Z66" i="10"/>
  <c r="BR66" i="10"/>
  <c r="BP66" i="10" s="1"/>
  <c r="AJ67" i="10"/>
  <c r="BC67" i="10"/>
  <c r="C69" i="10"/>
  <c r="Z69" i="10"/>
  <c r="AY69" i="10"/>
  <c r="BB69" i="10" s="1"/>
  <c r="L70" i="10"/>
  <c r="BR71" i="10"/>
  <c r="BP71" i="10" s="1"/>
  <c r="E72" i="10"/>
  <c r="D72" i="10"/>
  <c r="C72" i="10"/>
  <c r="BR72" i="10"/>
  <c r="BP72" i="10" s="1"/>
  <c r="L73" i="10"/>
  <c r="W73" i="10"/>
  <c r="BR73" i="10"/>
  <c r="BP73" i="10" s="1"/>
  <c r="AU74" i="10"/>
  <c r="AX74" i="10" s="1"/>
  <c r="BR74" i="10"/>
  <c r="BP74" i="10" s="1"/>
  <c r="L75" i="10"/>
  <c r="V75" i="10"/>
  <c r="BR75" i="10"/>
  <c r="BP75" i="10" s="1"/>
  <c r="H77" i="10"/>
  <c r="G77" i="10"/>
  <c r="C78" i="10"/>
  <c r="BM78" i="10"/>
  <c r="AZ79" i="10"/>
  <c r="BC79" i="10" s="1"/>
  <c r="D80" i="10"/>
  <c r="BR80" i="10"/>
  <c r="BP80" i="10" s="1"/>
  <c r="E81" i="10"/>
  <c r="D81" i="10"/>
  <c r="C81" i="10"/>
  <c r="L82" i="10"/>
  <c r="AU82" i="10"/>
  <c r="AX82" i="10" s="1"/>
  <c r="BA82" i="10" s="1"/>
  <c r="P83" i="10"/>
  <c r="AH84" i="10"/>
  <c r="BB84" i="10" s="1"/>
  <c r="G86" i="10"/>
  <c r="AH87" i="10"/>
  <c r="V88" i="10"/>
  <c r="AU88" i="10"/>
  <c r="AX88" i="10" s="1"/>
  <c r="BR88" i="10"/>
  <c r="BP88" i="10" s="1"/>
  <c r="O90" i="10"/>
  <c r="AK90" i="10"/>
  <c r="AJ91" i="10"/>
  <c r="AQ91" i="10"/>
  <c r="AH92" i="10"/>
  <c r="BB92" i="10" s="1"/>
  <c r="BQ92" i="10"/>
  <c r="V93" i="10"/>
  <c r="L94" i="10"/>
  <c r="W94" i="10"/>
  <c r="BE98" i="10"/>
  <c r="V100" i="10"/>
  <c r="BQ100" i="10"/>
  <c r="V101" i="10"/>
  <c r="L102" i="10"/>
  <c r="W102" i="10"/>
  <c r="AX103" i="10"/>
  <c r="BE106" i="10"/>
  <c r="V108" i="10"/>
  <c r="BQ108" i="10"/>
  <c r="V109" i="10"/>
  <c r="L110" i="10"/>
  <c r="W110" i="10"/>
  <c r="BE114" i="10"/>
  <c r="V116" i="10"/>
  <c r="BR117" i="10"/>
  <c r="BP117" i="10" s="1"/>
  <c r="AU120" i="10"/>
  <c r="AX120" i="10" s="1"/>
  <c r="BA120" i="10" s="1"/>
  <c r="AZ120" i="10"/>
  <c r="BC120" i="10" s="1"/>
  <c r="AK121" i="10"/>
  <c r="AJ121" i="10"/>
  <c r="AG121" i="10"/>
  <c r="AZ123" i="10"/>
  <c r="BC123" i="10" s="1"/>
  <c r="AU123" i="10"/>
  <c r="AX123" i="10" s="1"/>
  <c r="BA123" i="10" s="1"/>
  <c r="BE129" i="10"/>
  <c r="O130" i="10"/>
  <c r="BM134" i="10"/>
  <c r="BR134" i="10"/>
  <c r="BP134" i="10" s="1"/>
  <c r="G137" i="10"/>
  <c r="AG139" i="10"/>
  <c r="AJ139" i="10"/>
  <c r="AK139" i="10"/>
  <c r="BE14" i="11"/>
  <c r="BG27" i="11"/>
  <c r="U124" i="10"/>
  <c r="CU172" i="10" s="1"/>
  <c r="BK124" i="10"/>
  <c r="DA172" i="10" s="1"/>
  <c r="BS124" i="10"/>
  <c r="W47" i="10"/>
  <c r="AI48" i="10"/>
  <c r="E51" i="10"/>
  <c r="BQ51" i="10"/>
  <c r="O55" i="10"/>
  <c r="AI55" i="10"/>
  <c r="G57" i="10"/>
  <c r="AQ57" i="10"/>
  <c r="W58" i="10"/>
  <c r="BR58" i="10"/>
  <c r="BP58" i="10" s="1"/>
  <c r="BM58" i="10"/>
  <c r="BR59" i="10"/>
  <c r="BP59" i="10" s="1"/>
  <c r="P60" i="10"/>
  <c r="AX60" i="10"/>
  <c r="W61" i="10"/>
  <c r="AG62" i="10"/>
  <c r="BR65" i="10"/>
  <c r="BP65" i="10" s="1"/>
  <c r="BM65" i="10"/>
  <c r="O67" i="10"/>
  <c r="AK67" i="10"/>
  <c r="AJ68" i="10"/>
  <c r="AQ68" i="10"/>
  <c r="AH69" i="10"/>
  <c r="O73" i="10"/>
  <c r="AU73" i="10"/>
  <c r="AX73" i="10" s="1"/>
  <c r="AY74" i="10"/>
  <c r="BB74" i="10" s="1"/>
  <c r="AZ75" i="10"/>
  <c r="BC75" i="10" s="1"/>
  <c r="C76" i="10"/>
  <c r="AI77" i="10"/>
  <c r="AI78" i="10"/>
  <c r="S78" i="10"/>
  <c r="BQ78" i="10"/>
  <c r="Z79" i="10"/>
  <c r="BI79" i="10"/>
  <c r="S81" i="10"/>
  <c r="AY82" i="10"/>
  <c r="BB82" i="10" s="1"/>
  <c r="AG84" i="10"/>
  <c r="AG85" i="10"/>
  <c r="BM85" i="10"/>
  <c r="AG87" i="10"/>
  <c r="AZ87" i="10"/>
  <c r="BC87" i="10" s="1"/>
  <c r="AY88" i="10"/>
  <c r="BB88" i="10" s="1"/>
  <c r="AZ89" i="10"/>
  <c r="BC89" i="10" s="1"/>
  <c r="AU89" i="10"/>
  <c r="AX89" i="10" s="1"/>
  <c r="BA89" i="10" s="1"/>
  <c r="P90" i="10"/>
  <c r="AK91" i="10"/>
  <c r="AI92" i="10"/>
  <c r="Z92" i="10"/>
  <c r="BR92" i="10"/>
  <c r="BP92" i="10" s="1"/>
  <c r="L93" i="10"/>
  <c r="W93" i="10"/>
  <c r="BR93" i="10"/>
  <c r="BP93" i="10" s="1"/>
  <c r="AU94" i="10"/>
  <c r="AX94" i="10" s="1"/>
  <c r="BA94" i="10" s="1"/>
  <c r="BR94" i="10"/>
  <c r="L95" i="10"/>
  <c r="V95" i="10"/>
  <c r="AY95" i="10"/>
  <c r="BB95" i="10" s="1"/>
  <c r="P96" i="10"/>
  <c r="Z96" i="10"/>
  <c r="AY96" i="10"/>
  <c r="BB96" i="10" s="1"/>
  <c r="O99" i="10"/>
  <c r="AJ99" i="10"/>
  <c r="BR99" i="10"/>
  <c r="BP99" i="10" s="1"/>
  <c r="AI100" i="10"/>
  <c r="BR100" i="10"/>
  <c r="BP100" i="10" s="1"/>
  <c r="L101" i="10"/>
  <c r="W101" i="10"/>
  <c r="BR101" i="10"/>
  <c r="BP101" i="10" s="1"/>
  <c r="AU102" i="10"/>
  <c r="AX102" i="10" s="1"/>
  <c r="BA102" i="10" s="1"/>
  <c r="BR102" i="10"/>
  <c r="L103" i="10"/>
  <c r="V103" i="10"/>
  <c r="AY103" i="10"/>
  <c r="BB103" i="10" s="1"/>
  <c r="P104" i="10"/>
  <c r="Z104" i="10"/>
  <c r="AY104" i="10"/>
  <c r="BB104" i="10" s="1"/>
  <c r="O107" i="10"/>
  <c r="AJ107" i="10"/>
  <c r="BR107" i="10"/>
  <c r="BP107" i="10" s="1"/>
  <c r="AI108" i="10"/>
  <c r="BR108" i="10"/>
  <c r="BP108" i="10" s="1"/>
  <c r="L109" i="10"/>
  <c r="W109" i="10"/>
  <c r="BR109" i="10"/>
  <c r="BP109" i="10" s="1"/>
  <c r="AU110" i="10"/>
  <c r="AX110" i="10" s="1"/>
  <c r="BR110" i="10"/>
  <c r="BP110" i="10" s="1"/>
  <c r="L111" i="10"/>
  <c r="V111" i="10"/>
  <c r="AY111" i="10"/>
  <c r="BB111" i="10" s="1"/>
  <c r="P112" i="10"/>
  <c r="Z112" i="10"/>
  <c r="AY112" i="10"/>
  <c r="BB112" i="10" s="1"/>
  <c r="O115" i="10"/>
  <c r="AJ115" i="10"/>
  <c r="BR115" i="10"/>
  <c r="BP115" i="10" s="1"/>
  <c r="BC116" i="10"/>
  <c r="AI118" i="10"/>
  <c r="AY121" i="10"/>
  <c r="BB121" i="10" s="1"/>
  <c r="AM123" i="10"/>
  <c r="BI123" i="10"/>
  <c r="BR123" i="10"/>
  <c r="G133" i="10"/>
  <c r="AK26" i="11"/>
  <c r="W57" i="10"/>
  <c r="H58" i="10"/>
  <c r="E59" i="10"/>
  <c r="P59" i="10"/>
  <c r="D62" i="10"/>
  <c r="E66" i="10"/>
  <c r="P66" i="10"/>
  <c r="E68" i="10"/>
  <c r="D71" i="10"/>
  <c r="W71" i="10"/>
  <c r="H76" i="10"/>
  <c r="D79" i="10"/>
  <c r="P81" i="10"/>
  <c r="H82" i="10"/>
  <c r="D84" i="10"/>
  <c r="E87" i="10"/>
  <c r="E91" i="10"/>
  <c r="H96" i="10"/>
  <c r="P97" i="10"/>
  <c r="W98" i="10"/>
  <c r="E99" i="10"/>
  <c r="D100" i="10"/>
  <c r="H104" i="10"/>
  <c r="P105" i="10"/>
  <c r="W106" i="10"/>
  <c r="E107" i="10"/>
  <c r="D108" i="10"/>
  <c r="H112" i="10"/>
  <c r="P113" i="10"/>
  <c r="W114" i="10"/>
  <c r="E115" i="10"/>
  <c r="D116" i="10"/>
  <c r="AE121" i="10"/>
  <c r="BQ122" i="10"/>
  <c r="BP122" i="10" s="1"/>
  <c r="W130" i="10"/>
  <c r="P131" i="10"/>
  <c r="AU131" i="10"/>
  <c r="AX131" i="10" s="1"/>
  <c r="BA131" i="10" s="1"/>
  <c r="AZ131" i="10"/>
  <c r="BM132" i="10"/>
  <c r="BR132" i="10"/>
  <c r="BP132" i="10" s="1"/>
  <c r="AW118" i="11"/>
  <c r="DA186" i="11" s="1"/>
  <c r="AU2" i="11"/>
  <c r="AU118" i="11" s="1"/>
  <c r="BO118" i="11"/>
  <c r="DD186" i="11" s="1"/>
  <c r="BW118" i="11"/>
  <c r="AM4" i="11"/>
  <c r="AN4" i="11" s="1"/>
  <c r="AO4" i="11" s="1"/>
  <c r="AU4" i="11"/>
  <c r="P5" i="11"/>
  <c r="BU6" i="11"/>
  <c r="AD7" i="11"/>
  <c r="AK7" i="11" s="1"/>
  <c r="AD8" i="11"/>
  <c r="AK8" i="11" s="1"/>
  <c r="AM8" i="11"/>
  <c r="AN8" i="11" s="1"/>
  <c r="AO8" i="11" s="1"/>
  <c r="BM8" i="11"/>
  <c r="D9" i="11"/>
  <c r="BC11" i="11"/>
  <c r="BF11" i="11" s="1"/>
  <c r="L12" i="11"/>
  <c r="BV12" i="11"/>
  <c r="BM13" i="11"/>
  <c r="BT13" i="11" s="1"/>
  <c r="E14" i="11"/>
  <c r="D14" i="11"/>
  <c r="BD14" i="11"/>
  <c r="BG14" i="11" s="1"/>
  <c r="AL16" i="11"/>
  <c r="D17" i="11"/>
  <c r="BC19" i="11"/>
  <c r="BF19" i="11" s="1"/>
  <c r="BV20" i="11"/>
  <c r="BM21" i="11"/>
  <c r="BT21" i="11" s="1"/>
  <c r="E22" i="11"/>
  <c r="D22" i="11"/>
  <c r="BD22" i="11"/>
  <c r="BG22" i="11" s="1"/>
  <c r="AL24" i="11"/>
  <c r="AU25" i="11"/>
  <c r="BG25" i="11"/>
  <c r="BC27" i="11"/>
  <c r="BF27" i="11" s="1"/>
  <c r="AL28" i="11"/>
  <c r="AY28" i="11"/>
  <c r="BB28" i="11" s="1"/>
  <c r="BE28" i="11" s="1"/>
  <c r="BV30" i="11"/>
  <c r="W32" i="11"/>
  <c r="AK32" i="11" s="1"/>
  <c r="AU36" i="11"/>
  <c r="W37" i="11"/>
  <c r="AK39" i="11"/>
  <c r="W40" i="11"/>
  <c r="AK40" i="11" s="1"/>
  <c r="AY43" i="11"/>
  <c r="BB43" i="11" s="1"/>
  <c r="BE43" i="11" s="1"/>
  <c r="BD43" i="11"/>
  <c r="BG43" i="11" s="1"/>
  <c r="BG61" i="11"/>
  <c r="AK64" i="11"/>
  <c r="AK72" i="11"/>
  <c r="BQ3" i="11"/>
  <c r="BT3" i="11" s="1"/>
  <c r="AM6" i="11"/>
  <c r="AN6" i="11" s="1"/>
  <c r="AO6" i="11" s="1"/>
  <c r="BV6" i="11"/>
  <c r="AL7" i="11"/>
  <c r="W9" i="11"/>
  <c r="AK9" i="11" s="1"/>
  <c r="L11" i="11"/>
  <c r="K11" i="11"/>
  <c r="BD11" i="11"/>
  <c r="I15" i="11"/>
  <c r="H15" i="11"/>
  <c r="G15" i="11"/>
  <c r="AD16" i="11"/>
  <c r="AM16" i="11"/>
  <c r="AN16" i="11" s="1"/>
  <c r="AO16" i="11" s="1"/>
  <c r="BT17" i="11"/>
  <c r="L19" i="11"/>
  <c r="K19" i="11"/>
  <c r="BD19" i="11"/>
  <c r="BG19" i="11" s="1"/>
  <c r="I23" i="11"/>
  <c r="H23" i="11"/>
  <c r="G23" i="11"/>
  <c r="AD24" i="11"/>
  <c r="AK24" i="11" s="1"/>
  <c r="AM24" i="11"/>
  <c r="AN24" i="11" s="1"/>
  <c r="AO24" i="11" s="1"/>
  <c r="BC35" i="11"/>
  <c r="BF35" i="11" s="1"/>
  <c r="AK38" i="11"/>
  <c r="AZ593" i="15"/>
  <c r="AZ615" i="15"/>
  <c r="AZ608" i="15"/>
  <c r="AZ600" i="15"/>
  <c r="AZ596" i="15"/>
  <c r="AZ591" i="15"/>
  <c r="AZ583" i="15"/>
  <c r="AZ575" i="15"/>
  <c r="AZ556" i="15"/>
  <c r="AZ548" i="15"/>
  <c r="AZ540" i="15"/>
  <c r="AZ532" i="15"/>
  <c r="AZ524" i="15"/>
  <c r="AZ516" i="15"/>
  <c r="AZ508" i="15"/>
  <c r="AZ449" i="15"/>
  <c r="AZ618" i="15"/>
  <c r="AZ613" i="15"/>
  <c r="AZ610" i="15"/>
  <c r="AZ605" i="15"/>
  <c r="AZ599" i="15"/>
  <c r="AZ589" i="15"/>
  <c r="AZ585" i="15"/>
  <c r="AZ572" i="15"/>
  <c r="AZ567" i="15"/>
  <c r="AZ539" i="15"/>
  <c r="AZ538" i="15"/>
  <c r="AZ537" i="15"/>
  <c r="AZ536" i="15"/>
  <c r="AZ535" i="15"/>
  <c r="AZ534" i="15"/>
  <c r="AZ533" i="15"/>
  <c r="AZ581" i="15"/>
  <c r="AZ577" i="15"/>
  <c r="AZ568" i="15"/>
  <c r="AZ547" i="15"/>
  <c r="AZ546" i="15"/>
  <c r="AZ620" i="15"/>
  <c r="AZ612" i="15"/>
  <c r="AZ607" i="15"/>
  <c r="AZ602" i="15"/>
  <c r="AZ597" i="15"/>
  <c r="AZ594" i="15"/>
  <c r="AZ590" i="15"/>
  <c r="AZ586" i="15"/>
  <c r="AZ573" i="15"/>
  <c r="AZ569" i="15"/>
  <c r="AZ555" i="15"/>
  <c r="AZ554" i="15"/>
  <c r="AZ553" i="15"/>
  <c r="AZ552" i="15"/>
  <c r="AZ551" i="15"/>
  <c r="AZ550" i="15"/>
  <c r="AZ549" i="15"/>
  <c r="AZ451" i="15"/>
  <c r="AZ442" i="15"/>
  <c r="AZ435" i="15"/>
  <c r="AZ431" i="15"/>
  <c r="AZ427" i="15"/>
  <c r="AZ423" i="15"/>
  <c r="AZ419" i="15"/>
  <c r="AZ415" i="15"/>
  <c r="AZ411" i="15"/>
  <c r="AZ621" i="15"/>
  <c r="AZ580" i="15"/>
  <c r="AZ576" i="15"/>
  <c r="AZ566" i="15"/>
  <c r="AZ604" i="15"/>
  <c r="AZ578" i="15"/>
  <c r="AZ558" i="15"/>
  <c r="AZ529" i="15"/>
  <c r="AZ525" i="15"/>
  <c r="AZ514" i="15"/>
  <c r="AZ510" i="15"/>
  <c r="AZ432" i="15"/>
  <c r="AZ614" i="15"/>
  <c r="AZ609" i="15"/>
  <c r="AZ570" i="15"/>
  <c r="AZ563" i="15"/>
  <c r="AZ561" i="15"/>
  <c r="AZ545" i="15"/>
  <c r="AZ541" i="15"/>
  <c r="AZ522" i="15"/>
  <c r="AZ518" i="15"/>
  <c r="AZ507" i="15"/>
  <c r="AZ453" i="15"/>
  <c r="AZ450" i="15"/>
  <c r="AZ447" i="15"/>
  <c r="AZ444" i="15"/>
  <c r="AZ440" i="15"/>
  <c r="AZ430" i="15"/>
  <c r="AZ420" i="15"/>
  <c r="AZ409" i="15"/>
  <c r="AZ405" i="15"/>
  <c r="AZ401" i="15"/>
  <c r="AZ397" i="15"/>
  <c r="AZ393" i="15"/>
  <c r="AZ389" i="15"/>
  <c r="AZ385" i="15"/>
  <c r="AZ381" i="15"/>
  <c r="AZ377" i="15"/>
  <c r="AZ373" i="15"/>
  <c r="AZ369" i="15"/>
  <c r="AZ619" i="15"/>
  <c r="AZ582" i="15"/>
  <c r="AZ579" i="15"/>
  <c r="AZ562" i="15"/>
  <c r="AZ560" i="15"/>
  <c r="AZ527" i="15"/>
  <c r="AZ509" i="15"/>
  <c r="AZ445" i="15"/>
  <c r="AZ443" i="15"/>
  <c r="AZ438" i="15"/>
  <c r="AZ434" i="15"/>
  <c r="AZ429" i="15"/>
  <c r="AZ418" i="15"/>
  <c r="AZ417" i="15"/>
  <c r="AZ416" i="15"/>
  <c r="AZ406" i="15"/>
  <c r="AZ395" i="15"/>
  <c r="AZ603" i="15"/>
  <c r="AZ598" i="15"/>
  <c r="AZ565" i="15"/>
  <c r="AZ543" i="15"/>
  <c r="AZ523" i="15"/>
  <c r="AZ441" i="15"/>
  <c r="AZ404" i="15"/>
  <c r="AZ394" i="15"/>
  <c r="AZ383" i="15"/>
  <c r="AZ372" i="15"/>
  <c r="AZ365" i="15"/>
  <c r="AZ361" i="15"/>
  <c r="AZ357" i="15"/>
  <c r="AZ353" i="15"/>
  <c r="AZ349" i="15"/>
  <c r="AZ345" i="15"/>
  <c r="AZ341" i="15"/>
  <c r="AZ530" i="15"/>
  <c r="AZ512" i="15"/>
  <c r="AZ422" i="15"/>
  <c r="AZ421" i="15"/>
  <c r="AZ403" i="15"/>
  <c r="AZ392" i="15"/>
  <c r="AZ382" i="15"/>
  <c r="AZ371" i="15"/>
  <c r="AZ616" i="15"/>
  <c r="AZ622" i="15"/>
  <c r="AZ606" i="15"/>
  <c r="AZ520" i="15"/>
  <c r="AZ433" i="15"/>
  <c r="AZ428" i="15"/>
  <c r="AZ414" i="15"/>
  <c r="AZ413" i="15"/>
  <c r="AZ412" i="15"/>
  <c r="AZ588" i="15"/>
  <c r="AZ574" i="15"/>
  <c r="AZ557" i="15"/>
  <c r="AZ519" i="15"/>
  <c r="AZ425" i="15"/>
  <c r="AZ400" i="15"/>
  <c r="AZ352" i="15"/>
  <c r="AZ342" i="15"/>
  <c r="AZ277" i="15"/>
  <c r="AZ273" i="15"/>
  <c r="AZ265" i="15"/>
  <c r="AZ257" i="15"/>
  <c r="AZ249" i="15"/>
  <c r="AZ241" i="15"/>
  <c r="AZ233" i="15"/>
  <c r="AZ526" i="15"/>
  <c r="AZ515" i="15"/>
  <c r="AZ452" i="15"/>
  <c r="AZ448" i="15"/>
  <c r="AZ378" i="15"/>
  <c r="AZ367" i="15"/>
  <c r="AZ366" i="15"/>
  <c r="AZ351" i="15"/>
  <c r="AZ340" i="15"/>
  <c r="AZ276" i="15"/>
  <c r="AZ270" i="15"/>
  <c r="AZ262" i="15"/>
  <c r="AZ254" i="15"/>
  <c r="AZ246" i="15"/>
  <c r="AZ617" i="15"/>
  <c r="AZ587" i="15"/>
  <c r="AZ544" i="15"/>
  <c r="AZ437" i="15"/>
  <c r="AZ390" i="15"/>
  <c r="AZ384" i="15"/>
  <c r="AZ379" i="15"/>
  <c r="AZ368" i="15"/>
  <c r="AZ350" i="15"/>
  <c r="AZ339" i="15"/>
  <c r="AZ267" i="15"/>
  <c r="AZ259" i="15"/>
  <c r="AZ251" i="15"/>
  <c r="AZ243" i="15"/>
  <c r="AZ595" i="15"/>
  <c r="AZ511" i="15"/>
  <c r="AZ611" i="15"/>
  <c r="AZ592" i="15"/>
  <c r="AZ564" i="15"/>
  <c r="AZ528" i="15"/>
  <c r="AZ454" i="15"/>
  <c r="AZ584" i="15"/>
  <c r="AZ542" i="15"/>
  <c r="AZ517" i="15"/>
  <c r="AZ506" i="15"/>
  <c r="AZ446" i="15"/>
  <c r="AZ601" i="15"/>
  <c r="AZ531" i="15"/>
  <c r="AZ513" i="15"/>
  <c r="AZ396" i="15"/>
  <c r="AZ388" i="15"/>
  <c r="AZ364" i="15"/>
  <c r="AZ363" i="15"/>
  <c r="AZ362" i="15"/>
  <c r="AZ354" i="15"/>
  <c r="AZ343" i="15"/>
  <c r="AZ278" i="15"/>
  <c r="AZ268" i="15"/>
  <c r="AZ260" i="15"/>
  <c r="AZ252" i="15"/>
  <c r="AZ571" i="15"/>
  <c r="AZ439" i="15"/>
  <c r="AZ424" i="15"/>
  <c r="AZ374" i="15"/>
  <c r="AZ347" i="15"/>
  <c r="AZ338" i="15"/>
  <c r="AZ269" i="15"/>
  <c r="AZ253" i="15"/>
  <c r="AZ242" i="15"/>
  <c r="AZ235" i="15"/>
  <c r="AZ230" i="15"/>
  <c r="AZ220" i="15"/>
  <c r="AZ212" i="15"/>
  <c r="AZ204" i="15"/>
  <c r="AZ196" i="15"/>
  <c r="AZ188" i="15"/>
  <c r="AZ180" i="15"/>
  <c r="AZ105" i="15"/>
  <c r="AZ99" i="15"/>
  <c r="AZ408" i="15"/>
  <c r="AZ402" i="15"/>
  <c r="AZ386" i="15"/>
  <c r="AZ360" i="15"/>
  <c r="AZ358" i="15"/>
  <c r="AZ356" i="15"/>
  <c r="AZ290" i="15"/>
  <c r="AZ288" i="15"/>
  <c r="AZ286" i="15"/>
  <c r="AZ284" i="15"/>
  <c r="AZ282" i="15"/>
  <c r="AZ280" i="15"/>
  <c r="AZ266" i="15"/>
  <c r="AZ250" i="15"/>
  <c r="AZ225" i="15"/>
  <c r="AZ217" i="15"/>
  <c r="AZ209" i="15"/>
  <c r="AZ201" i="15"/>
  <c r="AZ193" i="15"/>
  <c r="AZ185" i="15"/>
  <c r="AZ177" i="15"/>
  <c r="AZ559" i="15"/>
  <c r="AZ399" i="15"/>
  <c r="AZ376" i="15"/>
  <c r="AZ263" i="15"/>
  <c r="AZ234" i="15"/>
  <c r="AZ229" i="15"/>
  <c r="AZ222" i="15"/>
  <c r="AZ214" i="15"/>
  <c r="AZ206" i="15"/>
  <c r="AZ198" i="15"/>
  <c r="AZ190" i="15"/>
  <c r="AZ182" i="15"/>
  <c r="AZ174" i="15"/>
  <c r="AZ410" i="15"/>
  <c r="AZ407" i="15"/>
  <c r="AZ380" i="15"/>
  <c r="AZ521" i="15"/>
  <c r="AZ436" i="15"/>
  <c r="AZ398" i="15"/>
  <c r="AZ426" i="15"/>
  <c r="AZ375" i="15"/>
  <c r="AZ370" i="15"/>
  <c r="AZ387" i="15"/>
  <c r="AZ355" i="15"/>
  <c r="AZ344" i="15"/>
  <c r="AZ279" i="15"/>
  <c r="AZ271" i="15"/>
  <c r="AZ255" i="15"/>
  <c r="AZ248" i="15"/>
  <c r="AZ247" i="15"/>
  <c r="AZ239" i="15"/>
  <c r="AZ238" i="15"/>
  <c r="AZ237" i="15"/>
  <c r="AZ218" i="15"/>
  <c r="AZ210" i="15"/>
  <c r="AZ202" i="15"/>
  <c r="AZ194" i="15"/>
  <c r="AZ186" i="15"/>
  <c r="AZ178" i="15"/>
  <c r="AZ391" i="15"/>
  <c r="AZ275" i="15"/>
  <c r="AZ272" i="15"/>
  <c r="AZ236" i="15"/>
  <c r="AZ231" i="15"/>
  <c r="AZ226" i="15"/>
  <c r="AZ223" i="15"/>
  <c r="AZ207" i="15"/>
  <c r="AZ191" i="15"/>
  <c r="AZ175" i="15"/>
  <c r="AZ120" i="15"/>
  <c r="AZ115" i="15"/>
  <c r="AZ93" i="15"/>
  <c r="AZ85" i="15"/>
  <c r="AZ77" i="15"/>
  <c r="AZ69" i="15"/>
  <c r="AZ61" i="15"/>
  <c r="AZ53" i="15"/>
  <c r="AZ45" i="15"/>
  <c r="AZ37" i="15"/>
  <c r="AZ29" i="15"/>
  <c r="AZ21" i="15"/>
  <c r="AZ13" i="15"/>
  <c r="AZ5" i="15"/>
  <c r="AZ348" i="15"/>
  <c r="AZ244" i="15"/>
  <c r="AZ211" i="15"/>
  <c r="AZ195" i="15"/>
  <c r="AZ179" i="15"/>
  <c r="AZ118" i="15"/>
  <c r="AZ112" i="15"/>
  <c r="AZ108" i="15"/>
  <c r="AZ97" i="15"/>
  <c r="AZ90" i="15"/>
  <c r="AZ82" i="15"/>
  <c r="AZ74" i="15"/>
  <c r="AZ66" i="15"/>
  <c r="AZ58" i="15"/>
  <c r="AZ50" i="15"/>
  <c r="AZ42" i="15"/>
  <c r="AZ34" i="15"/>
  <c r="AZ26" i="15"/>
  <c r="AZ18" i="15"/>
  <c r="AZ10" i="15"/>
  <c r="AZ2" i="15"/>
  <c r="AZ224" i="15"/>
  <c r="AZ208" i="15"/>
  <c r="AZ192" i="15"/>
  <c r="AZ176" i="15"/>
  <c r="AZ96" i="15"/>
  <c r="AZ87" i="15"/>
  <c r="AZ79" i="15"/>
  <c r="AZ71" i="15"/>
  <c r="AZ63" i="15"/>
  <c r="AZ55" i="15"/>
  <c r="AZ47" i="15"/>
  <c r="AZ39" i="15"/>
  <c r="AZ31" i="15"/>
  <c r="AZ23" i="15"/>
  <c r="AZ15" i="15"/>
  <c r="AZ7" i="15"/>
  <c r="AZ359" i="15"/>
  <c r="AZ289" i="15"/>
  <c r="AZ285" i="15"/>
  <c r="AZ281" i="15"/>
  <c r="AZ274" i="15"/>
  <c r="AZ232" i="15"/>
  <c r="AZ227" i="15"/>
  <c r="AZ221" i="15"/>
  <c r="AZ205" i="15"/>
  <c r="AZ189" i="15"/>
  <c r="AZ116" i="15"/>
  <c r="AZ113" i="15"/>
  <c r="AZ109" i="15"/>
  <c r="AZ104" i="15"/>
  <c r="AZ103" i="15"/>
  <c r="AZ101" i="15"/>
  <c r="AZ92" i="15"/>
  <c r="AZ84" i="15"/>
  <c r="AZ76" i="15"/>
  <c r="AZ68" i="15"/>
  <c r="AZ60" i="15"/>
  <c r="AZ52" i="15"/>
  <c r="AZ256" i="15"/>
  <c r="AZ215" i="15"/>
  <c r="AZ199" i="15"/>
  <c r="AZ183" i="15"/>
  <c r="AZ119" i="15"/>
  <c r="AZ102" i="15"/>
  <c r="AZ100" i="15"/>
  <c r="AZ95" i="15"/>
  <c r="AZ89" i="15"/>
  <c r="AZ81" i="15"/>
  <c r="AZ73" i="15"/>
  <c r="AZ65" i="15"/>
  <c r="AZ57" i="15"/>
  <c r="AZ49" i="15"/>
  <c r="AZ264" i="15"/>
  <c r="AZ245" i="15"/>
  <c r="AZ219" i="15"/>
  <c r="AZ203" i="15"/>
  <c r="AZ187" i="15"/>
  <c r="AZ173" i="15"/>
  <c r="AZ114" i="15"/>
  <c r="AZ110" i="15"/>
  <c r="AZ86" i="15"/>
  <c r="AZ78" i="15"/>
  <c r="AZ70" i="15"/>
  <c r="AZ62" i="15"/>
  <c r="AZ54" i="15"/>
  <c r="AZ46" i="15"/>
  <c r="AZ261" i="15"/>
  <c r="AZ228" i="15"/>
  <c r="AZ216" i="15"/>
  <c r="AZ200" i="15"/>
  <c r="AZ184" i="15"/>
  <c r="AZ117" i="15"/>
  <c r="AZ106" i="15"/>
  <c r="AZ94" i="15"/>
  <c r="AZ91" i="15"/>
  <c r="AZ83" i="15"/>
  <c r="AZ75" i="15"/>
  <c r="AZ67" i="15"/>
  <c r="AZ59" i="15"/>
  <c r="AZ51" i="15"/>
  <c r="AZ346" i="15"/>
  <c r="AZ287" i="15"/>
  <c r="AZ283" i="15"/>
  <c r="AZ258" i="15"/>
  <c r="AZ240" i="15"/>
  <c r="AZ213" i="15"/>
  <c r="AZ197" i="15"/>
  <c r="AZ181" i="15"/>
  <c r="AZ111" i="15"/>
  <c r="AZ107" i="15"/>
  <c r="AZ98" i="15"/>
  <c r="AZ88" i="15"/>
  <c r="AZ80" i="15"/>
  <c r="AZ72" i="15"/>
  <c r="AZ64" i="15"/>
  <c r="AZ56" i="15"/>
  <c r="AZ48" i="15"/>
  <c r="AZ40" i="15"/>
  <c r="AZ32" i="15"/>
  <c r="AZ24" i="15"/>
  <c r="AZ16" i="15"/>
  <c r="AZ8" i="15"/>
  <c r="AZ35" i="15"/>
  <c r="AZ19" i="15"/>
  <c r="AZ3" i="15"/>
  <c r="AZ36" i="15"/>
  <c r="AZ20" i="15"/>
  <c r="AZ4" i="15"/>
  <c r="AZ33" i="15"/>
  <c r="AZ17" i="15"/>
  <c r="AZ30" i="15"/>
  <c r="AZ14" i="15"/>
  <c r="AZ43" i="15"/>
  <c r="AZ27" i="15"/>
  <c r="AZ11" i="15"/>
  <c r="AZ44" i="15"/>
  <c r="AZ28" i="15"/>
  <c r="AZ12" i="15"/>
  <c r="AZ41" i="15"/>
  <c r="AZ25" i="15"/>
  <c r="AZ9" i="15"/>
  <c r="AZ38" i="15"/>
  <c r="AZ22" i="15"/>
  <c r="AZ6" i="15"/>
  <c r="AY118" i="11"/>
  <c r="BB2" i="11"/>
  <c r="E8" i="11"/>
  <c r="D8" i="11"/>
  <c r="C8" i="11"/>
  <c r="BU9" i="11"/>
  <c r="AK10" i="11"/>
  <c r="AD11" i="11"/>
  <c r="AK11" i="11" s="1"/>
  <c r="AM11" i="11"/>
  <c r="AN11" i="11" s="1"/>
  <c r="AO11" i="11" s="1"/>
  <c r="AM15" i="11"/>
  <c r="AN15" i="11" s="1"/>
  <c r="AO15" i="11" s="1"/>
  <c r="AU15" i="11"/>
  <c r="BB15" i="11" s="1"/>
  <c r="BE15" i="11" s="1"/>
  <c r="P16" i="11"/>
  <c r="BU17" i="11"/>
  <c r="BU118" i="11" s="1"/>
  <c r="AK18" i="11"/>
  <c r="AD19" i="11"/>
  <c r="AK19" i="11" s="1"/>
  <c r="AM19" i="11"/>
  <c r="AN19" i="11" s="1"/>
  <c r="AO19" i="11" s="1"/>
  <c r="AM23" i="11"/>
  <c r="AN23" i="11" s="1"/>
  <c r="AO23" i="11" s="1"/>
  <c r="P24" i="11"/>
  <c r="L26" i="11"/>
  <c r="L29" i="11"/>
  <c r="K29" i="11"/>
  <c r="AL31" i="11"/>
  <c r="E34" i="11"/>
  <c r="D34" i="11"/>
  <c r="C34" i="11"/>
  <c r="AY35" i="11"/>
  <c r="BB35" i="11" s="1"/>
  <c r="BE35" i="11" s="1"/>
  <c r="BD35" i="11"/>
  <c r="BG35" i="11" s="1"/>
  <c r="BM37" i="11"/>
  <c r="BV37" i="11"/>
  <c r="K38" i="11"/>
  <c r="BD38" i="11"/>
  <c r="BG38" i="11" s="1"/>
  <c r="AD42" i="11"/>
  <c r="AK42" i="11" s="1"/>
  <c r="AM42" i="11"/>
  <c r="AN42" i="11" s="1"/>
  <c r="AO42" i="11" s="1"/>
  <c r="BV43" i="11"/>
  <c r="BQ43" i="11"/>
  <c r="BT43" i="11" s="1"/>
  <c r="AL44" i="11"/>
  <c r="L45" i="11"/>
  <c r="K45" i="11"/>
  <c r="AK56" i="11"/>
  <c r="BG62" i="11"/>
  <c r="O135" i="10"/>
  <c r="AE136" i="10"/>
  <c r="BT136" i="10"/>
  <c r="AD118" i="11"/>
  <c r="AK2" i="11"/>
  <c r="AK118" i="11" s="1"/>
  <c r="AN3" i="11"/>
  <c r="AO3" i="11" s="1"/>
  <c r="AY6" i="11"/>
  <c r="BB6" i="11" s="1"/>
  <c r="BE6" i="11" s="1"/>
  <c r="BD6" i="11"/>
  <c r="BG6" i="11" s="1"/>
  <c r="BG7" i="11"/>
  <c r="BV9" i="11"/>
  <c r="AL10" i="11"/>
  <c r="G13" i="11"/>
  <c r="BT14" i="11"/>
  <c r="BG15" i="11"/>
  <c r="BV17" i="11"/>
  <c r="AL18" i="11"/>
  <c r="BB18" i="11"/>
  <c r="BE18" i="11" s="1"/>
  <c r="BG23" i="11"/>
  <c r="AD27" i="11"/>
  <c r="AK27" i="11" s="1"/>
  <c r="AM27" i="11"/>
  <c r="AN27" i="11" s="1"/>
  <c r="AO27" i="11" s="1"/>
  <c r="BQ27" i="11"/>
  <c r="BT27" i="11" s="1"/>
  <c r="BV29" i="11"/>
  <c r="BM29" i="11"/>
  <c r="H30" i="11"/>
  <c r="G30" i="11"/>
  <c r="I30" i="11"/>
  <c r="AM31" i="11"/>
  <c r="BQ31" i="11"/>
  <c r="BT31" i="11" s="1"/>
  <c r="BV31" i="11"/>
  <c r="BD32" i="11"/>
  <c r="BG32" i="11" s="1"/>
  <c r="AY32" i="11"/>
  <c r="BB32" i="11" s="1"/>
  <c r="BE32" i="11" s="1"/>
  <c r="I33" i="11"/>
  <c r="H33" i="11"/>
  <c r="AM44" i="11"/>
  <c r="AN44" i="11" s="1"/>
  <c r="AO44" i="11" s="1"/>
  <c r="AD44" i="11"/>
  <c r="AK44" i="11" s="1"/>
  <c r="I49" i="11"/>
  <c r="H49" i="11"/>
  <c r="G49" i="11"/>
  <c r="E135" i="10"/>
  <c r="D135" i="10"/>
  <c r="C135" i="10"/>
  <c r="V136" i="10"/>
  <c r="Z138" i="10"/>
  <c r="AI138" i="10"/>
  <c r="BC139" i="10"/>
  <c r="AE118" i="11"/>
  <c r="CY333" i="11" s="1"/>
  <c r="AL2" i="11"/>
  <c r="AL118" i="11" s="1"/>
  <c r="CB118" i="11"/>
  <c r="K3" i="11"/>
  <c r="BQ4" i="11"/>
  <c r="BT4" i="11" s="1"/>
  <c r="BV4" i="11"/>
  <c r="AQ6" i="11"/>
  <c r="I7" i="11"/>
  <c r="H7" i="11"/>
  <c r="K9" i="11"/>
  <c r="BV10" i="11"/>
  <c r="E11" i="11"/>
  <c r="D11" i="11"/>
  <c r="C11" i="11"/>
  <c r="BT11" i="11"/>
  <c r="BX12" i="11"/>
  <c r="H13" i="11"/>
  <c r="BB13" i="11"/>
  <c r="AK15" i="11"/>
  <c r="H16" i="11"/>
  <c r="K17" i="11"/>
  <c r="BV18" i="11"/>
  <c r="E19" i="11"/>
  <c r="D19" i="11"/>
  <c r="C19" i="11"/>
  <c r="BT19" i="11"/>
  <c r="BX20" i="11"/>
  <c r="H21" i="11"/>
  <c r="BB21" i="11"/>
  <c r="H24" i="11"/>
  <c r="K25" i="11"/>
  <c r="BD26" i="11"/>
  <c r="BG26" i="11" s="1"/>
  <c r="AD28" i="11"/>
  <c r="AM28" i="11"/>
  <c r="AN28" i="11" s="1"/>
  <c r="AO28" i="11" s="1"/>
  <c r="AY30" i="11"/>
  <c r="BB30" i="11" s="1"/>
  <c r="BE30" i="11" s="1"/>
  <c r="BD30" i="11"/>
  <c r="BG30" i="11" s="1"/>
  <c r="G31" i="11"/>
  <c r="G33" i="11"/>
  <c r="BT33" i="11"/>
  <c r="G34" i="11"/>
  <c r="BV35" i="11"/>
  <c r="BQ35" i="11"/>
  <c r="BT35" i="11" s="1"/>
  <c r="AU39" i="11"/>
  <c r="BD39" i="11"/>
  <c r="BG39" i="11" s="1"/>
  <c r="E45" i="11"/>
  <c r="D45" i="11"/>
  <c r="I46" i="11"/>
  <c r="H46" i="11"/>
  <c r="G46" i="11"/>
  <c r="BM47" i="11"/>
  <c r="Z116" i="10"/>
  <c r="AM118" i="10"/>
  <c r="H119" i="10"/>
  <c r="G119" i="10"/>
  <c r="AM121" i="10"/>
  <c r="H123" i="10"/>
  <c r="G123" i="10"/>
  <c r="S123" i="10"/>
  <c r="AH130" i="10"/>
  <c r="G134" i="10"/>
  <c r="BC134" i="10"/>
  <c r="BM135" i="10"/>
  <c r="BR135" i="10"/>
  <c r="BP135" i="10" s="1"/>
  <c r="BM136" i="10"/>
  <c r="AE137" i="10"/>
  <c r="Q118" i="11"/>
  <c r="CW333" i="11" s="1"/>
  <c r="AF118" i="11"/>
  <c r="CY186" i="11" s="1"/>
  <c r="AM2" i="11"/>
  <c r="BD2" i="11"/>
  <c r="BL118" i="11"/>
  <c r="BC3" i="11"/>
  <c r="BF3" i="11" s="1"/>
  <c r="BI4" i="11"/>
  <c r="BD5" i="11"/>
  <c r="BG5" i="11" s="1"/>
  <c r="C6" i="11"/>
  <c r="G7" i="11"/>
  <c r="AY9" i="11"/>
  <c r="BB9" i="11" s="1"/>
  <c r="BE9" i="11" s="1"/>
  <c r="BD9" i="11"/>
  <c r="BG9" i="11" s="1"/>
  <c r="BG10" i="11"/>
  <c r="W11" i="11"/>
  <c r="BU11" i="11"/>
  <c r="BD12" i="11"/>
  <c r="AK13" i="11"/>
  <c r="BC13" i="11"/>
  <c r="BF13" i="11" s="1"/>
  <c r="AN14" i="11"/>
  <c r="AO14" i="11" s="1"/>
  <c r="BV14" i="11"/>
  <c r="AY17" i="11"/>
  <c r="BD17" i="11"/>
  <c r="BG17" i="11" s="1"/>
  <c r="BG18" i="11"/>
  <c r="BU19" i="11"/>
  <c r="BD20" i="11"/>
  <c r="BG20" i="11" s="1"/>
  <c r="AK21" i="11"/>
  <c r="BC21" i="11"/>
  <c r="BF21" i="11" s="1"/>
  <c r="AN22" i="11"/>
  <c r="AO22" i="11" s="1"/>
  <c r="BV22" i="11"/>
  <c r="C26" i="11"/>
  <c r="E26" i="11"/>
  <c r="D26" i="11"/>
  <c r="BQ28" i="11"/>
  <c r="BT28" i="11" s="1"/>
  <c r="BV28" i="11"/>
  <c r="AK30" i="11"/>
  <c r="H31" i="11"/>
  <c r="H34" i="11"/>
  <c r="BV34" i="11"/>
  <c r="BM34" i="11"/>
  <c r="BQ41" i="11"/>
  <c r="BT41" i="11" s="1"/>
  <c r="BV41" i="11"/>
  <c r="BD42" i="11"/>
  <c r="BG42" i="11" s="1"/>
  <c r="AY42" i="11"/>
  <c r="BB42" i="11" s="1"/>
  <c r="BE42" i="11" s="1"/>
  <c r="C45" i="11"/>
  <c r="BM45" i="11"/>
  <c r="BV45" i="11"/>
  <c r="BG85" i="11"/>
  <c r="BG90" i="11"/>
  <c r="G55" i="10"/>
  <c r="O56" i="10"/>
  <c r="C59" i="10"/>
  <c r="AE116" i="10"/>
  <c r="AE120" i="10"/>
  <c r="BB120" i="10"/>
  <c r="BQ123" i="10"/>
  <c r="AI131" i="10"/>
  <c r="O132" i="10"/>
  <c r="AE133" i="10"/>
  <c r="BQ137" i="10"/>
  <c r="R118" i="11"/>
  <c r="CW186" i="11" s="1"/>
  <c r="E3" i="11"/>
  <c r="D3" i="11"/>
  <c r="D6" i="11"/>
  <c r="BC8" i="11"/>
  <c r="BF8" i="11" s="1"/>
  <c r="I10" i="11"/>
  <c r="H10" i="11"/>
  <c r="W12" i="11"/>
  <c r="AK12" i="11" s="1"/>
  <c r="BE12" i="11" s="1"/>
  <c r="K14" i="11"/>
  <c r="BQ15" i="11"/>
  <c r="BT15" i="11" s="1"/>
  <c r="BV15" i="11"/>
  <c r="BC16" i="11"/>
  <c r="BF16" i="11" s="1"/>
  <c r="BV16" i="11"/>
  <c r="AQ17" i="11"/>
  <c r="I18" i="11"/>
  <c r="H18" i="11"/>
  <c r="W20" i="11"/>
  <c r="AK20" i="11" s="1"/>
  <c r="BQ20" i="11"/>
  <c r="BT20" i="11" s="1"/>
  <c r="AL21" i="11"/>
  <c r="K22" i="11"/>
  <c r="AY22" i="11"/>
  <c r="BB22" i="11" s="1"/>
  <c r="BE22" i="11" s="1"/>
  <c r="BQ23" i="11"/>
  <c r="BT23" i="11" s="1"/>
  <c r="BV23" i="11"/>
  <c r="BC24" i="11"/>
  <c r="BF24" i="11" s="1"/>
  <c r="BV24" i="11"/>
  <c r="BV25" i="11"/>
  <c r="P28" i="11"/>
  <c r="BV33" i="11"/>
  <c r="BV36" i="11"/>
  <c r="BV40" i="11"/>
  <c r="BQ40" i="11"/>
  <c r="BT40" i="11" s="1"/>
  <c r="BG52" i="11"/>
  <c r="AK53" i="11"/>
  <c r="BB70" i="11"/>
  <c r="BE70" i="11" s="1"/>
  <c r="BG76" i="11"/>
  <c r="BG86" i="11"/>
  <c r="AM116" i="10"/>
  <c r="E117" i="10"/>
  <c r="C117" i="10"/>
  <c r="AQ118" i="10"/>
  <c r="BM119" i="10"/>
  <c r="BR119" i="10"/>
  <c r="BP119" i="10" s="1"/>
  <c r="V120" i="10"/>
  <c r="S122" i="10"/>
  <c r="AI122" i="10"/>
  <c r="BM122" i="10"/>
  <c r="W123" i="10"/>
  <c r="V130" i="10"/>
  <c r="O131" i="10"/>
  <c r="V133" i="10"/>
  <c r="O136" i="10"/>
  <c r="AJ136" i="10"/>
  <c r="BR136" i="10"/>
  <c r="BP136" i="10" s="1"/>
  <c r="AI137" i="10"/>
  <c r="BR137" i="10"/>
  <c r="U118" i="11"/>
  <c r="AV118" i="11"/>
  <c r="DA333" i="11" s="1"/>
  <c r="BN118" i="11"/>
  <c r="DD333" i="11" s="1"/>
  <c r="BV2" i="11"/>
  <c r="C3" i="11"/>
  <c r="I4" i="11"/>
  <c r="H4" i="11"/>
  <c r="G4" i="11"/>
  <c r="AD5" i="11"/>
  <c r="AK5" i="11" s="1"/>
  <c r="AM5" i="11"/>
  <c r="AN5" i="11" s="1"/>
  <c r="AO5" i="11" s="1"/>
  <c r="BQ6" i="11"/>
  <c r="BT6" i="11" s="1"/>
  <c r="L8" i="11"/>
  <c r="K8" i="11"/>
  <c r="BD8" i="11"/>
  <c r="C9" i="11"/>
  <c r="G10" i="11"/>
  <c r="AY11" i="11"/>
  <c r="BB11" i="11" s="1"/>
  <c r="BE11" i="11" s="1"/>
  <c r="BV11" i="11"/>
  <c r="AM12" i="11"/>
  <c r="AN12" i="11" s="1"/>
  <c r="AO12" i="11" s="1"/>
  <c r="BD13" i="11"/>
  <c r="BG13" i="11" s="1"/>
  <c r="BD16" i="11"/>
  <c r="BG16" i="11" s="1"/>
  <c r="G18" i="11"/>
  <c r="AY19" i="11"/>
  <c r="BB19" i="11" s="1"/>
  <c r="BE19" i="11" s="1"/>
  <c r="BV19" i="11"/>
  <c r="BD21" i="11"/>
  <c r="BG21" i="11" s="1"/>
  <c r="BD24" i="11"/>
  <c r="BG24" i="11" s="1"/>
  <c r="BQ26" i="11"/>
  <c r="BT26" i="11" s="1"/>
  <c r="BV26" i="11"/>
  <c r="AY27" i="11"/>
  <c r="BB27" i="11" s="1"/>
  <c r="BE27" i="11" s="1"/>
  <c r="BU30" i="11"/>
  <c r="BC31" i="11"/>
  <c r="BF31" i="11" s="1"/>
  <c r="AD33" i="11"/>
  <c r="AK33" i="11" s="1"/>
  <c r="AM33" i="11"/>
  <c r="AN33" i="11" s="1"/>
  <c r="AO33" i="11" s="1"/>
  <c r="AQ42" i="11"/>
  <c r="BG46" i="11"/>
  <c r="BG99" i="11"/>
  <c r="BD56" i="11"/>
  <c r="BG56" i="11" s="1"/>
  <c r="AY56" i="11"/>
  <c r="BB56" i="11" s="1"/>
  <c r="BE56" i="11" s="1"/>
  <c r="AK70" i="11"/>
  <c r="BV70" i="11"/>
  <c r="BQ70" i="11"/>
  <c r="AM72" i="11"/>
  <c r="AN72" i="11" s="1"/>
  <c r="AO72" i="11" s="1"/>
  <c r="BU73" i="11"/>
  <c r="E74" i="11"/>
  <c r="D74" i="11"/>
  <c r="C74" i="11"/>
  <c r="E77" i="11"/>
  <c r="D77" i="11"/>
  <c r="BM77" i="11"/>
  <c r="BV77" i="11"/>
  <c r="I78" i="11"/>
  <c r="H78" i="11"/>
  <c r="G78" i="11"/>
  <c r="BU93" i="11"/>
  <c r="BQ93" i="11"/>
  <c r="BT93" i="11" s="1"/>
  <c r="W96" i="11"/>
  <c r="AM96" i="11"/>
  <c r="AN96" i="11" s="1"/>
  <c r="AO96" i="11" s="1"/>
  <c r="BM99" i="11"/>
  <c r="BV99" i="11"/>
  <c r="I107" i="11"/>
  <c r="H107" i="11"/>
  <c r="G107" i="11"/>
  <c r="AM110" i="11"/>
  <c r="AN110" i="11" s="1"/>
  <c r="AO110" i="11" s="1"/>
  <c r="AD110" i="11"/>
  <c r="AK110" i="11" s="1"/>
  <c r="BG117" i="11"/>
  <c r="I38" i="11"/>
  <c r="H38" i="11"/>
  <c r="G38" i="11"/>
  <c r="L42" i="11"/>
  <c r="K42" i="11"/>
  <c r="BM42" i="11"/>
  <c r="BD45" i="11"/>
  <c r="AM47" i="11"/>
  <c r="AN47" i="11" s="1"/>
  <c r="AO47" i="11" s="1"/>
  <c r="AD47" i="11"/>
  <c r="AK47" i="11" s="1"/>
  <c r="BD50" i="11"/>
  <c r="BG50" i="11" s="1"/>
  <c r="BV51" i="11"/>
  <c r="BC53" i="11"/>
  <c r="BF53" i="11" s="1"/>
  <c r="AL55" i="11"/>
  <c r="AQ56" i="11"/>
  <c r="I57" i="11"/>
  <c r="H57" i="11"/>
  <c r="AU57" i="11"/>
  <c r="BC58" i="11"/>
  <c r="BF58" i="11" s="1"/>
  <c r="C59" i="11"/>
  <c r="K59" i="11"/>
  <c r="AM59" i="11"/>
  <c r="AN59" i="11" s="1"/>
  <c r="AO59" i="11" s="1"/>
  <c r="BU59" i="11"/>
  <c r="AY61" i="11"/>
  <c r="BB61" i="11" s="1"/>
  <c r="BE61" i="11" s="1"/>
  <c r="C64" i="11"/>
  <c r="BD64" i="11"/>
  <c r="BG64" i="11" s="1"/>
  <c r="AY64" i="11"/>
  <c r="BB64" i="11" s="1"/>
  <c r="BE64" i="11" s="1"/>
  <c r="AY66" i="11"/>
  <c r="BB66" i="11" s="1"/>
  <c r="BE66" i="11" s="1"/>
  <c r="W67" i="11"/>
  <c r="AK67" i="11" s="1"/>
  <c r="BQ67" i="11"/>
  <c r="BT67" i="11" s="1"/>
  <c r="AU68" i="11"/>
  <c r="BI70" i="11"/>
  <c r="BC71" i="11"/>
  <c r="BF71" i="11" s="1"/>
  <c r="K72" i="11"/>
  <c r="AM76" i="11"/>
  <c r="AN76" i="11" s="1"/>
  <c r="AO76" i="11" s="1"/>
  <c r="C77" i="11"/>
  <c r="AM78" i="11"/>
  <c r="AN78" i="11" s="1"/>
  <c r="AO78" i="11" s="1"/>
  <c r="G79" i="11"/>
  <c r="AU79" i="11"/>
  <c r="BD79" i="11"/>
  <c r="BG79" i="11" s="1"/>
  <c r="W80" i="11"/>
  <c r="AK80" i="11" s="1"/>
  <c r="I81" i="11"/>
  <c r="H81" i="11"/>
  <c r="BC82" i="11"/>
  <c r="BF82" i="11" s="1"/>
  <c r="C83" i="11"/>
  <c r="K83" i="11"/>
  <c r="AM83" i="11"/>
  <c r="AN83" i="11" s="1"/>
  <c r="AO83" i="11" s="1"/>
  <c r="BU83" i="11"/>
  <c r="AY85" i="11"/>
  <c r="BB85" i="11" s="1"/>
  <c r="BE85" i="11" s="1"/>
  <c r="C88" i="11"/>
  <c r="BD88" i="11"/>
  <c r="BG88" i="11" s="1"/>
  <c r="AY88" i="11"/>
  <c r="BB88" i="11" s="1"/>
  <c r="BE88" i="11" s="1"/>
  <c r="AY90" i="11"/>
  <c r="BB90" i="11" s="1"/>
  <c r="BE90" i="11" s="1"/>
  <c r="W91" i="11"/>
  <c r="AK91" i="11" s="1"/>
  <c r="BQ91" i="11"/>
  <c r="BT91" i="11" s="1"/>
  <c r="AU92" i="11"/>
  <c r="BG94" i="11"/>
  <c r="E103" i="11"/>
  <c r="D103" i="11"/>
  <c r="C103" i="11"/>
  <c r="E111" i="11"/>
  <c r="D111" i="11"/>
  <c r="C111" i="11"/>
  <c r="L50" i="11"/>
  <c r="K50" i="11"/>
  <c r="AK52" i="11"/>
  <c r="AM55" i="11"/>
  <c r="AN55" i="11" s="1"/>
  <c r="AO55" i="11" s="1"/>
  <c r="AD55" i="11"/>
  <c r="AM57" i="11"/>
  <c r="AN57" i="11" s="1"/>
  <c r="AO57" i="11" s="1"/>
  <c r="D59" i="11"/>
  <c r="D64" i="11"/>
  <c r="I65" i="11"/>
  <c r="H65" i="11"/>
  <c r="BD72" i="11"/>
  <c r="AY72" i="11"/>
  <c r="BQ77" i="11"/>
  <c r="BT77" i="11" s="1"/>
  <c r="H79" i="11"/>
  <c r="BM80" i="11"/>
  <c r="AM81" i="11"/>
  <c r="AN81" i="11" s="1"/>
  <c r="AO81" i="11" s="1"/>
  <c r="BD82" i="11"/>
  <c r="D83" i="11"/>
  <c r="BV83" i="11"/>
  <c r="BC85" i="11"/>
  <c r="BF85" i="11" s="1"/>
  <c r="AL87" i="11"/>
  <c r="D88" i="11"/>
  <c r="I89" i="11"/>
  <c r="H89" i="11"/>
  <c r="BU91" i="11"/>
  <c r="AL94" i="11"/>
  <c r="I95" i="11"/>
  <c r="H95" i="11"/>
  <c r="G95" i="11"/>
  <c r="AK96" i="11"/>
  <c r="BG96" i="11"/>
  <c r="I99" i="11"/>
  <c r="H99" i="11"/>
  <c r="G99" i="11"/>
  <c r="AM46" i="11"/>
  <c r="AN46" i="11" s="1"/>
  <c r="AO46" i="11" s="1"/>
  <c r="G47" i="11"/>
  <c r="AU47" i="11"/>
  <c r="BD47" i="11"/>
  <c r="BG47" i="11" s="1"/>
  <c r="AD50" i="11"/>
  <c r="AK50" i="11" s="1"/>
  <c r="AM50" i="11"/>
  <c r="AN50" i="11" s="1"/>
  <c r="AO50" i="11" s="1"/>
  <c r="E53" i="11"/>
  <c r="D53" i="11"/>
  <c r="BM53" i="11"/>
  <c r="BV53" i="11"/>
  <c r="I54" i="11"/>
  <c r="H54" i="11"/>
  <c r="G54" i="11"/>
  <c r="AL54" i="11"/>
  <c r="P55" i="11"/>
  <c r="L58" i="11"/>
  <c r="K58" i="11"/>
  <c r="AL58" i="11"/>
  <c r="BM58" i="11"/>
  <c r="AK60" i="11"/>
  <c r="K61" i="11"/>
  <c r="AM63" i="11"/>
  <c r="AN63" i="11" s="1"/>
  <c r="AO63" i="11" s="1"/>
  <c r="AD63" i="11"/>
  <c r="G65" i="11"/>
  <c r="AM65" i="11"/>
  <c r="AN65" i="11" s="1"/>
  <c r="AO65" i="11" s="1"/>
  <c r="D67" i="11"/>
  <c r="D72" i="11"/>
  <c r="AQ72" i="11"/>
  <c r="I73" i="11"/>
  <c r="H73" i="11"/>
  <c r="C75" i="11"/>
  <c r="K75" i="11"/>
  <c r="AM75" i="11"/>
  <c r="AN75" i="11" s="1"/>
  <c r="AO75" i="11" s="1"/>
  <c r="G76" i="11"/>
  <c r="L82" i="11"/>
  <c r="K82" i="11"/>
  <c r="AL82" i="11"/>
  <c r="AK84" i="11"/>
  <c r="AM87" i="11"/>
  <c r="AN87" i="11" s="1"/>
  <c r="AO87" i="11" s="1"/>
  <c r="AD87" i="11"/>
  <c r="AK87" i="11" s="1"/>
  <c r="G89" i="11"/>
  <c r="AM89" i="11"/>
  <c r="AN89" i="11" s="1"/>
  <c r="AO89" i="11" s="1"/>
  <c r="AK99" i="11"/>
  <c r="AD100" i="11"/>
  <c r="AK100" i="11" s="1"/>
  <c r="BX108" i="11"/>
  <c r="S120" i="10"/>
  <c r="AJ118" i="11"/>
  <c r="AR118" i="11"/>
  <c r="CZ333" i="11" s="1"/>
  <c r="AZ118" i="11"/>
  <c r="DB333" i="11" s="1"/>
  <c r="BH118" i="11"/>
  <c r="BP118" i="11"/>
  <c r="W28" i="11"/>
  <c r="BI28" i="11"/>
  <c r="BC29" i="11"/>
  <c r="BF29" i="11" s="1"/>
  <c r="W30" i="11"/>
  <c r="AQ30" i="11"/>
  <c r="BU31" i="11"/>
  <c r="BC34" i="11"/>
  <c r="BF34" i="11" s="1"/>
  <c r="AQ35" i="11"/>
  <c r="AL36" i="11"/>
  <c r="AY37" i="11"/>
  <c r="BB37" i="11" s="1"/>
  <c r="BE37" i="11" s="1"/>
  <c r="BX38" i="11"/>
  <c r="AL39" i="11"/>
  <c r="BU39" i="11"/>
  <c r="AL41" i="11"/>
  <c r="BU41" i="11"/>
  <c r="E42" i="11"/>
  <c r="D42" i="11"/>
  <c r="C42" i="11"/>
  <c r="BC43" i="11"/>
  <c r="BF43" i="11" s="1"/>
  <c r="BX43" i="11"/>
  <c r="H47" i="11"/>
  <c r="BT47" i="11"/>
  <c r="BV48" i="11"/>
  <c r="AM52" i="11"/>
  <c r="AN52" i="11" s="1"/>
  <c r="AO52" i="11" s="1"/>
  <c r="BM52" i="11"/>
  <c r="C53" i="11"/>
  <c r="AM54" i="11"/>
  <c r="AN54" i="11" s="1"/>
  <c r="AO54" i="11" s="1"/>
  <c r="G55" i="11"/>
  <c r="AU55" i="11"/>
  <c r="BD55" i="11"/>
  <c r="BG55" i="11" s="1"/>
  <c r="W56" i="11"/>
  <c r="BU56" i="11"/>
  <c r="AD58" i="11"/>
  <c r="AK58" i="11" s="1"/>
  <c r="AM58" i="11"/>
  <c r="AN58" i="11" s="1"/>
  <c r="AO58" i="11" s="1"/>
  <c r="AL60" i="11"/>
  <c r="BU60" i="11"/>
  <c r="E61" i="11"/>
  <c r="D61" i="11"/>
  <c r="BM61" i="11"/>
  <c r="BV61" i="11"/>
  <c r="I62" i="11"/>
  <c r="H62" i="11"/>
  <c r="G62" i="11"/>
  <c r="AL62" i="11"/>
  <c r="AU62" i="11"/>
  <c r="BB62" i="11" s="1"/>
  <c r="BE62" i="11" s="1"/>
  <c r="P63" i="11"/>
  <c r="BQ64" i="11"/>
  <c r="BT64" i="11" s="1"/>
  <c r="L66" i="11"/>
  <c r="K66" i="11"/>
  <c r="AL66" i="11"/>
  <c r="BM66" i="11"/>
  <c r="AD68" i="11"/>
  <c r="AK68" i="11" s="1"/>
  <c r="K69" i="11"/>
  <c r="BD69" i="11"/>
  <c r="BG69" i="11" s="1"/>
  <c r="BC70" i="11"/>
  <c r="BF70" i="11" s="1"/>
  <c r="AM71" i="11"/>
  <c r="AN71" i="11" s="1"/>
  <c r="AO71" i="11" s="1"/>
  <c r="AD71" i="11"/>
  <c r="AK71" i="11" s="1"/>
  <c r="G73" i="11"/>
  <c r="AM73" i="11"/>
  <c r="AN73" i="11" s="1"/>
  <c r="AO73" i="11" s="1"/>
  <c r="BD74" i="11"/>
  <c r="BG74" i="11" s="1"/>
  <c r="D75" i="11"/>
  <c r="H76" i="11"/>
  <c r="AU76" i="11"/>
  <c r="BV78" i="11"/>
  <c r="BM78" i="11"/>
  <c r="K80" i="11"/>
  <c r="AD82" i="11"/>
  <c r="AK82" i="11" s="1"/>
  <c r="AM82" i="11"/>
  <c r="AN82" i="11" s="1"/>
  <c r="AO82" i="11" s="1"/>
  <c r="BU84" i="11"/>
  <c r="E85" i="11"/>
  <c r="D85" i="11"/>
  <c r="BM85" i="11"/>
  <c r="BV85" i="11"/>
  <c r="I86" i="11"/>
  <c r="H86" i="11"/>
  <c r="G86" i="11"/>
  <c r="AL86" i="11"/>
  <c r="AU86" i="11"/>
  <c r="P87" i="11"/>
  <c r="BQ88" i="11"/>
  <c r="BT88" i="11" s="1"/>
  <c r="L90" i="11"/>
  <c r="K90" i="11"/>
  <c r="AL90" i="11"/>
  <c r="BM90" i="11"/>
  <c r="AD92" i="11"/>
  <c r="AK92" i="11" s="1"/>
  <c r="I94" i="11"/>
  <c r="H94" i="11"/>
  <c r="G94" i="11"/>
  <c r="W94" i="11"/>
  <c r="AM94" i="11"/>
  <c r="AN94" i="11" s="1"/>
  <c r="AO94" i="11" s="1"/>
  <c r="P100" i="11"/>
  <c r="AK138" i="11"/>
  <c r="AK143" i="11"/>
  <c r="X118" i="11"/>
  <c r="CX333" i="11" s="1"/>
  <c r="AS118" i="11"/>
  <c r="CZ186" i="11" s="1"/>
  <c r="BA118" i="11"/>
  <c r="DB186" i="11" s="1"/>
  <c r="BY118" i="11"/>
  <c r="DF333" i="11" s="1"/>
  <c r="AL26" i="11"/>
  <c r="AU28" i="11"/>
  <c r="E29" i="11"/>
  <c r="D29" i="11"/>
  <c r="AD29" i="11"/>
  <c r="AK29" i="11" s="1"/>
  <c r="AM29" i="11"/>
  <c r="AN29" i="11" s="1"/>
  <c r="AO29" i="11" s="1"/>
  <c r="BD29" i="11"/>
  <c r="BU32" i="11"/>
  <c r="L34" i="11"/>
  <c r="K34" i="11"/>
  <c r="AL34" i="11"/>
  <c r="BD34" i="11"/>
  <c r="BG34" i="11" s="1"/>
  <c r="W35" i="11"/>
  <c r="AK35" i="11" s="1"/>
  <c r="BC37" i="11"/>
  <c r="BF37" i="11" s="1"/>
  <c r="AM39" i="11"/>
  <c r="AN39" i="11" s="1"/>
  <c r="AO39" i="11" s="1"/>
  <c r="W45" i="11"/>
  <c r="AK45" i="11" s="1"/>
  <c r="BU45" i="11"/>
  <c r="BV46" i="11"/>
  <c r="BQ46" i="11"/>
  <c r="BT46" i="11" s="1"/>
  <c r="AY47" i="11"/>
  <c r="BB47" i="11" s="1"/>
  <c r="BE47" i="11" s="1"/>
  <c r="AL49" i="11"/>
  <c r="E50" i="11"/>
  <c r="D50" i="11"/>
  <c r="C50" i="11"/>
  <c r="BQ53" i="11"/>
  <c r="BT53" i="11" s="1"/>
  <c r="H55" i="11"/>
  <c r="BV56" i="11"/>
  <c r="AD57" i="11"/>
  <c r="AK57" i="11" s="1"/>
  <c r="AM60" i="11"/>
  <c r="AN60" i="11" s="1"/>
  <c r="AO60" i="11" s="1"/>
  <c r="BD60" i="11"/>
  <c r="AM62" i="11"/>
  <c r="AN62" i="11" s="1"/>
  <c r="AO62" i="11" s="1"/>
  <c r="AU63" i="11"/>
  <c r="BD63" i="11"/>
  <c r="BG63" i="11" s="1"/>
  <c r="W64" i="11"/>
  <c r="BU64" i="11"/>
  <c r="AD66" i="11"/>
  <c r="AK66" i="11" s="1"/>
  <c r="AM66" i="11"/>
  <c r="AN66" i="11" s="1"/>
  <c r="AO66" i="11" s="1"/>
  <c r="AL68" i="11"/>
  <c r="E69" i="11"/>
  <c r="D69" i="11"/>
  <c r="BM69" i="11"/>
  <c r="BV69" i="11"/>
  <c r="I70" i="11"/>
  <c r="H70" i="11"/>
  <c r="G70" i="11"/>
  <c r="BQ72" i="11"/>
  <c r="BT72" i="11" s="1"/>
  <c r="L74" i="11"/>
  <c r="K74" i="11"/>
  <c r="AL74" i="11"/>
  <c r="BD78" i="11"/>
  <c r="BG78" i="11" s="1"/>
  <c r="C80" i="11"/>
  <c r="BC80" i="11"/>
  <c r="BF80" i="11" s="1"/>
  <c r="AD81" i="11"/>
  <c r="AK81" i="11" s="1"/>
  <c r="AM84" i="11"/>
  <c r="AN84" i="11" s="1"/>
  <c r="AO84" i="11" s="1"/>
  <c r="BD84" i="11"/>
  <c r="BG84" i="11" s="1"/>
  <c r="AM86" i="11"/>
  <c r="AN86" i="11" s="1"/>
  <c r="AO86" i="11" s="1"/>
  <c r="AU87" i="11"/>
  <c r="BD87" i="11"/>
  <c r="BG87" i="11" s="1"/>
  <c r="W88" i="11"/>
  <c r="AK88" i="11" s="1"/>
  <c r="BU88" i="11"/>
  <c r="AD90" i="11"/>
  <c r="AK90" i="11" s="1"/>
  <c r="AM90" i="11"/>
  <c r="AN90" i="11" s="1"/>
  <c r="AO90" i="11" s="1"/>
  <c r="AL92" i="11"/>
  <c r="BV92" i="11"/>
  <c r="BM92" i="11"/>
  <c r="AL95" i="11"/>
  <c r="E96" i="11"/>
  <c r="D96" i="11"/>
  <c r="C96" i="11"/>
  <c r="AK98" i="11"/>
  <c r="BG102" i="11"/>
  <c r="AK105" i="11"/>
  <c r="BU109" i="11"/>
  <c r="BG110" i="11"/>
  <c r="C121" i="10"/>
  <c r="C132" i="10"/>
  <c r="V132" i="10"/>
  <c r="D133" i="10"/>
  <c r="C134" i="10"/>
  <c r="V134" i="10"/>
  <c r="V135" i="10"/>
  <c r="D136" i="10"/>
  <c r="C137" i="10"/>
  <c r="O138" i="10"/>
  <c r="V139" i="10"/>
  <c r="D2" i="11"/>
  <c r="Y118" i="11"/>
  <c r="CX186" i="11" s="1"/>
  <c r="AT118" i="11"/>
  <c r="BJ118" i="11"/>
  <c r="DC333" i="11" s="1"/>
  <c r="BR118" i="11"/>
  <c r="DE333" i="11" s="1"/>
  <c r="BZ118" i="11"/>
  <c r="DF186" i="11" s="1"/>
  <c r="G6" i="11"/>
  <c r="G9" i="11"/>
  <c r="C13" i="11"/>
  <c r="K13" i="11"/>
  <c r="G17" i="11"/>
  <c r="C21" i="11"/>
  <c r="K21" i="11"/>
  <c r="G25" i="11"/>
  <c r="BV32" i="11"/>
  <c r="BC33" i="11"/>
  <c r="BF33" i="11" s="1"/>
  <c r="AD34" i="11"/>
  <c r="AM34" i="11"/>
  <c r="AN34" i="11" s="1"/>
  <c r="AO34" i="11" s="1"/>
  <c r="BD40" i="11"/>
  <c r="BG40" i="11" s="1"/>
  <c r="AY40" i="11"/>
  <c r="BB40" i="11" s="1"/>
  <c r="BE40" i="11" s="1"/>
  <c r="BD41" i="11"/>
  <c r="BG41" i="11" s="1"/>
  <c r="BV42" i="11"/>
  <c r="BV47" i="11"/>
  <c r="BV49" i="11"/>
  <c r="BD51" i="11"/>
  <c r="BG51" i="11" s="1"/>
  <c r="AK54" i="11"/>
  <c r="BV54" i="11"/>
  <c r="BQ54" i="11"/>
  <c r="BT54" i="11" s="1"/>
  <c r="BU57" i="11"/>
  <c r="E58" i="11"/>
  <c r="D58" i="11"/>
  <c r="C58" i="11"/>
  <c r="BC59" i="11"/>
  <c r="BF59" i="11" s="1"/>
  <c r="BT63" i="11"/>
  <c r="BD68" i="11"/>
  <c r="BG68" i="11" s="1"/>
  <c r="BM68" i="11"/>
  <c r="AM70" i="11"/>
  <c r="AN70" i="11" s="1"/>
  <c r="AO70" i="11" s="1"/>
  <c r="AU71" i="11"/>
  <c r="BD71" i="11"/>
  <c r="BG71" i="11" s="1"/>
  <c r="AD74" i="11"/>
  <c r="AK74" i="11" s="1"/>
  <c r="AM74" i="11"/>
  <c r="AN74" i="11" s="1"/>
  <c r="AO74" i="11" s="1"/>
  <c r="BU78" i="11"/>
  <c r="D80" i="11"/>
  <c r="BD80" i="11"/>
  <c r="BG80" i="11" s="1"/>
  <c r="BU81" i="11"/>
  <c r="E82" i="11"/>
  <c r="D82" i="11"/>
  <c r="C82" i="11"/>
  <c r="BC83" i="11"/>
  <c r="BF83" i="11" s="1"/>
  <c r="BM93" i="11"/>
  <c r="BV93" i="11"/>
  <c r="AK94" i="11"/>
  <c r="K97" i="11"/>
  <c r="L97" i="11"/>
  <c r="AK97" i="11"/>
  <c r="BG97" i="11"/>
  <c r="BQ109" i="11"/>
  <c r="BT109" i="11" s="1"/>
  <c r="BQ111" i="11"/>
  <c r="BT111" i="11" s="1"/>
  <c r="AI124" i="11"/>
  <c r="AI118" i="11" s="1"/>
  <c r="O118" i="11"/>
  <c r="AB118" i="11"/>
  <c r="BC2" i="11"/>
  <c r="BK118" i="11"/>
  <c r="DC186" i="11" s="1"/>
  <c r="BS118" i="11"/>
  <c r="DE186" i="11" s="1"/>
  <c r="CA118" i="11"/>
  <c r="AY25" i="11"/>
  <c r="BB25" i="11" s="1"/>
  <c r="BE25" i="11" s="1"/>
  <c r="BM27" i="11"/>
  <c r="D32" i="11"/>
  <c r="P34" i="11"/>
  <c r="G36" i="11"/>
  <c r="E37" i="11"/>
  <c r="D37" i="11"/>
  <c r="AD37" i="11"/>
  <c r="AK37" i="11" s="1"/>
  <c r="AM37" i="11"/>
  <c r="BV38" i="11"/>
  <c r="D40" i="11"/>
  <c r="AQ40" i="11"/>
  <c r="I41" i="11"/>
  <c r="H41" i="11"/>
  <c r="BC42" i="11"/>
  <c r="BF42" i="11" s="1"/>
  <c r="AM43" i="11"/>
  <c r="AN43" i="11" s="1"/>
  <c r="AO43" i="11" s="1"/>
  <c r="BU43" i="11"/>
  <c r="AY45" i="11"/>
  <c r="BB45" i="11" s="1"/>
  <c r="BE45" i="11" s="1"/>
  <c r="C48" i="11"/>
  <c r="BD48" i="11"/>
  <c r="BG48" i="11" s="1"/>
  <c r="AY48" i="11"/>
  <c r="BB48" i="11" s="1"/>
  <c r="BE48" i="11" s="1"/>
  <c r="AY50" i="11"/>
  <c r="BB50" i="11" s="1"/>
  <c r="BE50" i="11" s="1"/>
  <c r="BV50" i="11"/>
  <c r="W51" i="11"/>
  <c r="AK51" i="11" s="1"/>
  <c r="BQ51" i="11"/>
  <c r="BT51" i="11" s="1"/>
  <c r="H52" i="11"/>
  <c r="AU52" i="11"/>
  <c r="BI54" i="11"/>
  <c r="BC55" i="11"/>
  <c r="BF55" i="11" s="1"/>
  <c r="BV57" i="11"/>
  <c r="BD59" i="11"/>
  <c r="G60" i="11"/>
  <c r="BU61" i="11"/>
  <c r="BV62" i="11"/>
  <c r="BQ62" i="11"/>
  <c r="BT62" i="11" s="1"/>
  <c r="AY63" i="11"/>
  <c r="BB63" i="11" s="1"/>
  <c r="AL65" i="11"/>
  <c r="E66" i="11"/>
  <c r="D66" i="11"/>
  <c r="C66" i="11"/>
  <c r="BX67" i="11"/>
  <c r="BQ69" i="11"/>
  <c r="BT69" i="11" s="1"/>
  <c r="BV72" i="11"/>
  <c r="AD76" i="11"/>
  <c r="AK76" i="11" s="1"/>
  <c r="K77" i="11"/>
  <c r="BD77" i="11"/>
  <c r="AM79" i="11"/>
  <c r="AN79" i="11" s="1"/>
  <c r="AO79" i="11" s="1"/>
  <c r="AD79" i="11"/>
  <c r="AK79" i="11" s="1"/>
  <c r="BV81" i="11"/>
  <c r="BD83" i="11"/>
  <c r="BG83" i="11" s="1"/>
  <c r="G84" i="11"/>
  <c r="BU85" i="11"/>
  <c r="BV86" i="11"/>
  <c r="BQ86" i="11"/>
  <c r="BT86" i="11" s="1"/>
  <c r="AY87" i="11"/>
  <c r="BB87" i="11" s="1"/>
  <c r="BE87" i="11" s="1"/>
  <c r="AL89" i="11"/>
  <c r="E90" i="11"/>
  <c r="D90" i="11"/>
  <c r="C90" i="11"/>
  <c r="BX91" i="11"/>
  <c r="P95" i="11"/>
  <c r="AU95" i="11"/>
  <c r="BD95" i="11"/>
  <c r="BG95" i="11" s="1"/>
  <c r="AK106" i="11"/>
  <c r="BG108" i="11"/>
  <c r="BI109" i="11"/>
  <c r="AK139" i="11"/>
  <c r="BQ94" i="11"/>
  <c r="BT94" i="11" s="1"/>
  <c r="AD95" i="11"/>
  <c r="AQ98" i="11"/>
  <c r="BM98" i="11"/>
  <c r="AM101" i="11"/>
  <c r="AN101" i="11" s="1"/>
  <c r="AO101" i="11" s="1"/>
  <c r="AM103" i="11"/>
  <c r="AN103" i="11" s="1"/>
  <c r="AO103" i="11" s="1"/>
  <c r="I104" i="11"/>
  <c r="H104" i="11"/>
  <c r="L105" i="11"/>
  <c r="K105" i="11"/>
  <c r="AM106" i="11"/>
  <c r="AL110" i="11"/>
  <c r="AM111" i="11"/>
  <c r="AN111" i="11" s="1"/>
  <c r="AO111" i="11" s="1"/>
  <c r="AM112" i="11"/>
  <c r="AN112" i="11" s="1"/>
  <c r="AO112" i="11" s="1"/>
  <c r="AM115" i="11"/>
  <c r="AN115" i="11" s="1"/>
  <c r="AO115" i="11" s="1"/>
  <c r="BD115" i="11"/>
  <c r="BM115" i="11"/>
  <c r="AM117" i="11"/>
  <c r="AN117" i="11" s="1"/>
  <c r="AO117" i="11" s="1"/>
  <c r="BC128" i="11"/>
  <c r="BF128" i="11" s="1"/>
  <c r="AD132" i="11"/>
  <c r="AK132" i="11" s="1"/>
  <c r="AM135" i="11"/>
  <c r="AN135" i="11" s="1"/>
  <c r="AO135" i="11" s="1"/>
  <c r="BD135" i="11"/>
  <c r="BG135" i="11" s="1"/>
  <c r="BM135" i="11"/>
  <c r="AD137" i="11"/>
  <c r="AK137" i="11" s="1"/>
  <c r="AM143" i="11"/>
  <c r="AN143" i="11" s="1"/>
  <c r="AO143" i="11" s="1"/>
  <c r="D8" i="12"/>
  <c r="C8" i="12"/>
  <c r="D16" i="12"/>
  <c r="C16" i="12"/>
  <c r="D24" i="12"/>
  <c r="C24" i="12"/>
  <c r="D32" i="12"/>
  <c r="C32" i="12"/>
  <c r="D40" i="12"/>
  <c r="C40" i="12"/>
  <c r="D48" i="12"/>
  <c r="C48" i="12"/>
  <c r="D56" i="12"/>
  <c r="C56" i="12"/>
  <c r="D64" i="12"/>
  <c r="C64" i="12"/>
  <c r="D72" i="12"/>
  <c r="C72" i="12"/>
  <c r="D80" i="12"/>
  <c r="C80" i="12"/>
  <c r="D6" i="13"/>
  <c r="C6" i="13"/>
  <c r="D14" i="13"/>
  <c r="C14" i="13"/>
  <c r="D22" i="13"/>
  <c r="C22" i="13"/>
  <c r="D30" i="13"/>
  <c r="C30" i="13"/>
  <c r="D38" i="13"/>
  <c r="C38" i="13"/>
  <c r="W5" i="14"/>
  <c r="AD5" i="14" s="1"/>
  <c r="AF5" i="14"/>
  <c r="AD6" i="14"/>
  <c r="AF9" i="14"/>
  <c r="AE10" i="14"/>
  <c r="AB25" i="14"/>
  <c r="AH41" i="14"/>
  <c r="AG41" i="14"/>
  <c r="AH43" i="14"/>
  <c r="AG43" i="14"/>
  <c r="E128" i="11"/>
  <c r="D128" i="11"/>
  <c r="E133" i="11"/>
  <c r="D133" i="11"/>
  <c r="C133" i="11"/>
  <c r="AD136" i="11"/>
  <c r="AK136" i="11" s="1"/>
  <c r="AM136" i="11"/>
  <c r="AN136" i="11" s="1"/>
  <c r="AO136" i="11" s="1"/>
  <c r="AM138" i="11"/>
  <c r="AN138" i="11" s="1"/>
  <c r="AO138" i="11" s="1"/>
  <c r="AM140" i="11"/>
  <c r="AN140" i="11" s="1"/>
  <c r="AO140" i="11" s="1"/>
  <c r="AD141" i="11"/>
  <c r="AK141" i="11" s="1"/>
  <c r="AM141" i="11"/>
  <c r="AN141" i="11" s="1"/>
  <c r="AO141" i="11" s="1"/>
  <c r="AK145" i="11"/>
  <c r="E147" i="11"/>
  <c r="D147" i="11"/>
  <c r="C147" i="11"/>
  <c r="AH7" i="14"/>
  <c r="AG7" i="14"/>
  <c r="W11" i="14"/>
  <c r="AD11" i="14" s="1"/>
  <c r="AF11" i="14"/>
  <c r="AD13" i="14"/>
  <c r="AD23" i="14"/>
  <c r="AD24" i="14"/>
  <c r="AD45" i="14"/>
  <c r="AU94" i="11"/>
  <c r="AM100" i="11"/>
  <c r="AN100" i="11" s="1"/>
  <c r="AO100" i="11" s="1"/>
  <c r="BC100" i="11"/>
  <c r="BF100" i="11" s="1"/>
  <c r="BQ100" i="11"/>
  <c r="BT100" i="11" s="1"/>
  <c r="BU103" i="11"/>
  <c r="W104" i="11"/>
  <c r="AK104" i="11" s="1"/>
  <c r="AU104" i="11"/>
  <c r="BM104" i="11"/>
  <c r="D105" i="11"/>
  <c r="C105" i="11"/>
  <c r="AL105" i="11"/>
  <c r="BC105" i="11"/>
  <c r="BF105" i="11" s="1"/>
  <c r="BQ106" i="11"/>
  <c r="BT106" i="11" s="1"/>
  <c r="BQ107" i="11"/>
  <c r="BT107" i="11" s="1"/>
  <c r="AY108" i="11"/>
  <c r="BB108" i="11" s="1"/>
  <c r="BE108" i="11" s="1"/>
  <c r="BQ108" i="11"/>
  <c r="BT108" i="11" s="1"/>
  <c r="H109" i="11"/>
  <c r="G109" i="11"/>
  <c r="AY109" i="11"/>
  <c r="BB109" i="11" s="1"/>
  <c r="BE109" i="11" s="1"/>
  <c r="BV109" i="11"/>
  <c r="BV111" i="11"/>
  <c r="L113" i="11"/>
  <c r="K113" i="11"/>
  <c r="AL113" i="11"/>
  <c r="BD113" i="11"/>
  <c r="BG113" i="11" s="1"/>
  <c r="BG114" i="11"/>
  <c r="G115" i="11"/>
  <c r="BU116" i="11"/>
  <c r="AD117" i="11"/>
  <c r="AK117" i="11" s="1"/>
  <c r="BV117" i="11"/>
  <c r="BQ117" i="11"/>
  <c r="BT117" i="11" s="1"/>
  <c r="AY125" i="11"/>
  <c r="BB125" i="11" s="1"/>
  <c r="BE125" i="11" s="1"/>
  <c r="AU126" i="11"/>
  <c r="C128" i="11"/>
  <c r="AD129" i="11"/>
  <c r="AK129" i="11" s="1"/>
  <c r="G135" i="11"/>
  <c r="AU139" i="11"/>
  <c r="AY143" i="11"/>
  <c r="AD147" i="11"/>
  <c r="AK147" i="11" s="1"/>
  <c r="P150" i="11"/>
  <c r="AK150" i="11" s="1"/>
  <c r="D6" i="12"/>
  <c r="C6" i="12"/>
  <c r="D14" i="12"/>
  <c r="C14" i="12"/>
  <c r="D22" i="12"/>
  <c r="C22" i="12"/>
  <c r="D30" i="12"/>
  <c r="C30" i="12"/>
  <c r="D38" i="12"/>
  <c r="C38" i="12"/>
  <c r="D46" i="12"/>
  <c r="C46" i="12"/>
  <c r="D54" i="12"/>
  <c r="C54" i="12"/>
  <c r="D62" i="12"/>
  <c r="C62" i="12"/>
  <c r="D70" i="12"/>
  <c r="C70" i="12"/>
  <c r="D78" i="12"/>
  <c r="C78" i="12"/>
  <c r="D4" i="13"/>
  <c r="C4" i="13"/>
  <c r="D12" i="13"/>
  <c r="C12" i="13"/>
  <c r="D20" i="13"/>
  <c r="C20" i="13"/>
  <c r="D28" i="13"/>
  <c r="C28" i="13"/>
  <c r="D36" i="13"/>
  <c r="C36" i="13"/>
  <c r="AF3" i="14"/>
  <c r="E6" i="14"/>
  <c r="D6" i="14"/>
  <c r="C6" i="14"/>
  <c r="AJ7" i="14"/>
  <c r="I10" i="14"/>
  <c r="AG34" i="14"/>
  <c r="AH34" i="14"/>
  <c r="AD62" i="14"/>
  <c r="AY95" i="11"/>
  <c r="BB95" i="11" s="1"/>
  <c r="BE95" i="11" s="1"/>
  <c r="AM105" i="11"/>
  <c r="AN105" i="11" s="1"/>
  <c r="AO105" i="11" s="1"/>
  <c r="AD113" i="11"/>
  <c r="AM113" i="11"/>
  <c r="AN113" i="11" s="1"/>
  <c r="AO113" i="11" s="1"/>
  <c r="H115" i="11"/>
  <c r="AD128" i="11"/>
  <c r="AK128" i="11" s="1"/>
  <c r="AM128" i="11"/>
  <c r="AN128" i="11" s="1"/>
  <c r="AO128" i="11" s="1"/>
  <c r="E131" i="11"/>
  <c r="D131" i="11"/>
  <c r="C131" i="11"/>
  <c r="BG132" i="11"/>
  <c r="H135" i="11"/>
  <c r="BG137" i="11"/>
  <c r="BD138" i="11"/>
  <c r="BG138" i="11" s="1"/>
  <c r="AY138" i="11"/>
  <c r="E144" i="11"/>
  <c r="D144" i="11"/>
  <c r="AB2" i="14"/>
  <c r="AB119" i="14" s="1"/>
  <c r="E12" i="14"/>
  <c r="D12" i="14"/>
  <c r="C12" i="14"/>
  <c r="AD16" i="14"/>
  <c r="AH18" i="14"/>
  <c r="AG18" i="14"/>
  <c r="AD55" i="14"/>
  <c r="AD56" i="14"/>
  <c r="AL97" i="11"/>
  <c r="C98" i="11"/>
  <c r="K98" i="11"/>
  <c r="W99" i="11"/>
  <c r="H101" i="11"/>
  <c r="AK102" i="11"/>
  <c r="BD103" i="11"/>
  <c r="AM107" i="11"/>
  <c r="AN107" i="11" s="1"/>
  <c r="AO107" i="11" s="1"/>
  <c r="E108" i="11"/>
  <c r="D108" i="11"/>
  <c r="AD108" i="11"/>
  <c r="AK108" i="11" s="1"/>
  <c r="AM108" i="11"/>
  <c r="AN108" i="11" s="1"/>
  <c r="AO108" i="11" s="1"/>
  <c r="AU110" i="11"/>
  <c r="BD111" i="11"/>
  <c r="BG111" i="11" s="1"/>
  <c r="BI112" i="11"/>
  <c r="P113" i="11"/>
  <c r="C114" i="11"/>
  <c r="K114" i="11"/>
  <c r="AM114" i="11"/>
  <c r="AN114" i="11" s="1"/>
  <c r="AO114" i="11" s="1"/>
  <c r="AM131" i="11"/>
  <c r="AD131" i="11"/>
  <c r="I132" i="11"/>
  <c r="H132" i="11"/>
  <c r="C134" i="11"/>
  <c r="K134" i="11"/>
  <c r="AM134" i="11"/>
  <c r="AN134" i="11" s="1"/>
  <c r="AO134" i="11" s="1"/>
  <c r="AQ138" i="11"/>
  <c r="AK142" i="11"/>
  <c r="C144" i="11"/>
  <c r="C149" i="11"/>
  <c r="D4" i="12"/>
  <c r="C4" i="12"/>
  <c r="D12" i="12"/>
  <c r="C12" i="12"/>
  <c r="D20" i="12"/>
  <c r="C20" i="12"/>
  <c r="D28" i="12"/>
  <c r="C28" i="12"/>
  <c r="D36" i="12"/>
  <c r="C36" i="12"/>
  <c r="D44" i="12"/>
  <c r="C44" i="12"/>
  <c r="D52" i="12"/>
  <c r="C52" i="12"/>
  <c r="D60" i="12"/>
  <c r="C60" i="12"/>
  <c r="D68" i="12"/>
  <c r="C68" i="12"/>
  <c r="D76" i="12"/>
  <c r="C76" i="12"/>
  <c r="D2" i="13"/>
  <c r="C2" i="13"/>
  <c r="D10" i="13"/>
  <c r="C10" i="13"/>
  <c r="D18" i="13"/>
  <c r="C18" i="13"/>
  <c r="D26" i="13"/>
  <c r="C26" i="13"/>
  <c r="D34" i="13"/>
  <c r="C34" i="13"/>
  <c r="AH6" i="14"/>
  <c r="AG6" i="14"/>
  <c r="AH22" i="14"/>
  <c r="AG22" i="14"/>
  <c r="AG38" i="14"/>
  <c r="AH38" i="14"/>
  <c r="AH48" i="14"/>
  <c r="AG48" i="14"/>
  <c r="AM45" i="11"/>
  <c r="AN45" i="11" s="1"/>
  <c r="AO45" i="11" s="1"/>
  <c r="AM53" i="11"/>
  <c r="AN53" i="11" s="1"/>
  <c r="AO53" i="11" s="1"/>
  <c r="AM61" i="11"/>
  <c r="AN61" i="11" s="1"/>
  <c r="AO61" i="11" s="1"/>
  <c r="AM69" i="11"/>
  <c r="AN69" i="11" s="1"/>
  <c r="AO69" i="11" s="1"/>
  <c r="AM77" i="11"/>
  <c r="AN77" i="11" s="1"/>
  <c r="AO77" i="11" s="1"/>
  <c r="AM85" i="11"/>
  <c r="AN85" i="11" s="1"/>
  <c r="AO85" i="11" s="1"/>
  <c r="D93" i="11"/>
  <c r="AM93" i="11"/>
  <c r="D98" i="11"/>
  <c r="AM98" i="11"/>
  <c r="AN98" i="11" s="1"/>
  <c r="AO98" i="11" s="1"/>
  <c r="K99" i="11"/>
  <c r="AM99" i="11"/>
  <c r="AN99" i="11" s="1"/>
  <c r="AO99" i="11" s="1"/>
  <c r="I101" i="11"/>
  <c r="AL102" i="11"/>
  <c r="C104" i="11"/>
  <c r="G105" i="11"/>
  <c r="BM105" i="11"/>
  <c r="BV107" i="11"/>
  <c r="C108" i="11"/>
  <c r="P108" i="11"/>
  <c r="K109" i="11"/>
  <c r="BD109" i="11"/>
  <c r="BG109" i="11" s="1"/>
  <c r="E113" i="11"/>
  <c r="D113" i="11"/>
  <c r="C113" i="11"/>
  <c r="D114" i="11"/>
  <c r="BV114" i="11"/>
  <c r="BC116" i="11"/>
  <c r="BF116" i="11" s="1"/>
  <c r="BD127" i="11"/>
  <c r="BG127" i="11" s="1"/>
  <c r="BD129" i="11"/>
  <c r="BG129" i="11" s="1"/>
  <c r="BD130" i="11"/>
  <c r="BG130" i="11" s="1"/>
  <c r="AY130" i="11"/>
  <c r="BB130" i="11" s="1"/>
  <c r="BE130" i="11" s="1"/>
  <c r="P131" i="11"/>
  <c r="G132" i="11"/>
  <c r="BD133" i="11"/>
  <c r="BG133" i="11" s="1"/>
  <c r="D134" i="11"/>
  <c r="BV134" i="11"/>
  <c r="AL142" i="11"/>
  <c r="AL144" i="11"/>
  <c r="C146" i="11"/>
  <c r="D149" i="11"/>
  <c r="AQ149" i="11"/>
  <c r="AD2" i="14"/>
  <c r="AD12" i="14"/>
  <c r="AH15" i="14"/>
  <c r="AG15" i="14"/>
  <c r="AD20" i="14"/>
  <c r="AG28" i="14"/>
  <c r="AH28" i="14"/>
  <c r="AD43" i="14"/>
  <c r="AD44" i="14"/>
  <c r="AD46" i="14"/>
  <c r="BM100" i="11"/>
  <c r="D104" i="11"/>
  <c r="H105" i="11"/>
  <c r="BM108" i="11"/>
  <c r="I112" i="11"/>
  <c r="H112" i="11"/>
  <c r="BV112" i="11"/>
  <c r="AD115" i="11"/>
  <c r="AK115" i="11" s="1"/>
  <c r="BD116" i="11"/>
  <c r="AM124" i="11"/>
  <c r="AN124" i="11" s="1"/>
  <c r="AO124" i="11" s="1"/>
  <c r="AL126" i="11"/>
  <c r="AY131" i="11"/>
  <c r="BB131" i="11" s="1"/>
  <c r="BE131" i="11" s="1"/>
  <c r="L133" i="11"/>
  <c r="K133" i="11"/>
  <c r="AL133" i="11"/>
  <c r="AD135" i="11"/>
  <c r="AK135" i="11" s="1"/>
  <c r="AM144" i="11"/>
  <c r="AN144" i="11" s="1"/>
  <c r="AO144" i="11" s="1"/>
  <c r="AD144" i="11"/>
  <c r="D146" i="11"/>
  <c r="W148" i="11"/>
  <c r="AK148" i="11" s="1"/>
  <c r="AL149" i="11"/>
  <c r="D2" i="12"/>
  <c r="C2" i="12"/>
  <c r="D10" i="12"/>
  <c r="C10" i="12"/>
  <c r="D18" i="12"/>
  <c r="C18" i="12"/>
  <c r="D26" i="12"/>
  <c r="C26" i="12"/>
  <c r="D34" i="12"/>
  <c r="C34" i="12"/>
  <c r="D42" i="12"/>
  <c r="C42" i="12"/>
  <c r="D50" i="12"/>
  <c r="C50" i="12"/>
  <c r="D58" i="12"/>
  <c r="C58" i="12"/>
  <c r="D66" i="12"/>
  <c r="C66" i="12"/>
  <c r="D74" i="12"/>
  <c r="C74" i="12"/>
  <c r="D82" i="12"/>
  <c r="C82" i="12"/>
  <c r="D8" i="13"/>
  <c r="C8" i="13"/>
  <c r="D16" i="13"/>
  <c r="C16" i="13"/>
  <c r="D24" i="13"/>
  <c r="C24" i="13"/>
  <c r="D32" i="13"/>
  <c r="C32" i="13"/>
  <c r="D40" i="13"/>
  <c r="C40" i="13"/>
  <c r="AH14" i="14"/>
  <c r="AG14" i="14"/>
  <c r="AD17" i="14"/>
  <c r="AD21" i="14"/>
  <c r="AH24" i="14"/>
  <c r="AG24" i="14"/>
  <c r="AD29" i="14"/>
  <c r="AD72" i="14"/>
  <c r="BV101" i="11"/>
  <c r="BC110" i="11"/>
  <c r="BF110" i="11" s="1"/>
  <c r="AU112" i="11"/>
  <c r="E116" i="11"/>
  <c r="D116" i="11"/>
  <c r="BM116" i="11"/>
  <c r="BV116" i="11"/>
  <c r="I117" i="11"/>
  <c r="H117" i="11"/>
  <c r="G117" i="11"/>
  <c r="AU117" i="11"/>
  <c r="AM126" i="11"/>
  <c r="AN126" i="11" s="1"/>
  <c r="AO126" i="11" s="1"/>
  <c r="BD126" i="11"/>
  <c r="AY128" i="11"/>
  <c r="BB128" i="11" s="1"/>
  <c r="BE128" i="11" s="1"/>
  <c r="BC131" i="11"/>
  <c r="BF131" i="11" s="1"/>
  <c r="AD133" i="11"/>
  <c r="AK133" i="11" s="1"/>
  <c r="AM133" i="11"/>
  <c r="AN133" i="11" s="1"/>
  <c r="AO133" i="11" s="1"/>
  <c r="AL135" i="11"/>
  <c r="E136" i="11"/>
  <c r="D136" i="11"/>
  <c r="BD136" i="11"/>
  <c r="AM139" i="11"/>
  <c r="AN139" i="11" s="1"/>
  <c r="AO139" i="11" s="1"/>
  <c r="P144" i="11"/>
  <c r="AM145" i="11"/>
  <c r="AN145" i="11" s="1"/>
  <c r="AO145" i="11" s="1"/>
  <c r="AU147" i="11"/>
  <c r="AD149" i="11"/>
  <c r="AK149" i="11" s="1"/>
  <c r="AM149" i="11"/>
  <c r="AN149" i="11" s="1"/>
  <c r="AO149" i="11" s="1"/>
  <c r="AL150" i="11"/>
  <c r="AE4" i="14"/>
  <c r="AH31" i="14"/>
  <c r="AG31" i="14"/>
  <c r="AH32" i="14"/>
  <c r="AG32" i="14"/>
  <c r="N119" i="14"/>
  <c r="Y119" i="14"/>
  <c r="BP149" i="14" s="1"/>
  <c r="AI119" i="14"/>
  <c r="AQ119" i="14"/>
  <c r="W3" i="14"/>
  <c r="AD3" i="14" s="1"/>
  <c r="W4" i="14"/>
  <c r="AD4" i="14" s="1"/>
  <c r="W9" i="14"/>
  <c r="AD9" i="14" s="1"/>
  <c r="W10" i="14"/>
  <c r="AD10" i="14" s="1"/>
  <c r="W14" i="14"/>
  <c r="AD14" i="14" s="1"/>
  <c r="W15" i="14"/>
  <c r="AD15" i="14" s="1"/>
  <c r="W30" i="14"/>
  <c r="AD30" i="14" s="1"/>
  <c r="W31" i="14"/>
  <c r="AD31" i="14" s="1"/>
  <c r="W32" i="14"/>
  <c r="AD32" i="14" s="1"/>
  <c r="D36" i="14"/>
  <c r="P36" i="14"/>
  <c r="AD36" i="14" s="1"/>
  <c r="W41" i="14"/>
  <c r="AD41" i="14" s="1"/>
  <c r="AF44" i="14"/>
  <c r="AE46" i="14"/>
  <c r="AF49" i="14"/>
  <c r="AE52" i="14"/>
  <c r="P55" i="14"/>
  <c r="P119" i="14" s="1"/>
  <c r="AF55" i="14"/>
  <c r="W57" i="14"/>
  <c r="AF58" i="14"/>
  <c r="AJ58" i="14"/>
  <c r="AF60" i="14"/>
  <c r="AD61" i="14"/>
  <c r="AF63" i="14"/>
  <c r="P63" i="14"/>
  <c r="AD63" i="14" s="1"/>
  <c r="AJ66" i="14"/>
  <c r="W73" i="14"/>
  <c r="AD73" i="14" s="1"/>
  <c r="AF73" i="14"/>
  <c r="AD77" i="14"/>
  <c r="W78" i="14"/>
  <c r="AD78" i="14" s="1"/>
  <c r="AE78" i="14"/>
  <c r="E80" i="14"/>
  <c r="C80" i="14"/>
  <c r="AD86" i="14"/>
  <c r="AH89" i="14"/>
  <c r="AG89" i="14"/>
  <c r="AD93" i="14"/>
  <c r="AB103" i="14"/>
  <c r="AB107" i="14"/>
  <c r="AD107" i="14"/>
  <c r="AD113" i="14"/>
  <c r="AF39" i="14"/>
  <c r="AF40" i="14"/>
  <c r="C65" i="14"/>
  <c r="E65" i="14"/>
  <c r="AH65" i="14"/>
  <c r="AG65" i="14"/>
  <c r="AH66" i="14"/>
  <c r="AD75" i="14"/>
  <c r="D80" i="14"/>
  <c r="AE80" i="14"/>
  <c r="P84" i="14"/>
  <c r="AH88" i="14"/>
  <c r="AG88" i="14"/>
  <c r="AD102" i="14"/>
  <c r="AH103" i="14"/>
  <c r="AG103" i="14"/>
  <c r="AB112" i="14"/>
  <c r="AD118" i="14"/>
  <c r="AC119" i="14"/>
  <c r="AK119" i="14"/>
  <c r="C13" i="14"/>
  <c r="C14" i="14"/>
  <c r="C17" i="14"/>
  <c r="AF20" i="14"/>
  <c r="AG21" i="14"/>
  <c r="AF27" i="14"/>
  <c r="C28" i="14"/>
  <c r="AG29" i="14"/>
  <c r="AJ35" i="14"/>
  <c r="AG36" i="14"/>
  <c r="AF37" i="14"/>
  <c r="AF42" i="14"/>
  <c r="I43" i="14"/>
  <c r="E45" i="14"/>
  <c r="C45" i="14"/>
  <c r="P47" i="14"/>
  <c r="AD47" i="14" s="1"/>
  <c r="AE48" i="14"/>
  <c r="C51" i="14"/>
  <c r="AH51" i="14"/>
  <c r="I52" i="14"/>
  <c r="AD52" i="14" s="1"/>
  <c r="D65" i="14"/>
  <c r="AF68" i="14"/>
  <c r="AH70" i="14"/>
  <c r="AF71" i="14"/>
  <c r="AJ75" i="14"/>
  <c r="AF77" i="14"/>
  <c r="AH86" i="14"/>
  <c r="AD112" i="14"/>
  <c r="AH116" i="14"/>
  <c r="AG116" i="14"/>
  <c r="Q119" i="14"/>
  <c r="BO296" i="14" s="1"/>
  <c r="AL119" i="14"/>
  <c r="BQ149" i="14" s="1"/>
  <c r="D13" i="14"/>
  <c r="D14" i="14"/>
  <c r="D17" i="14"/>
  <c r="D28" i="14"/>
  <c r="AF50" i="14"/>
  <c r="AF54" i="14"/>
  <c r="C74" i="14"/>
  <c r="E74" i="14"/>
  <c r="AH74" i="14"/>
  <c r="AG74" i="14"/>
  <c r="AD79" i="14"/>
  <c r="W81" i="14"/>
  <c r="AD81" i="14" s="1"/>
  <c r="AF81" i="14"/>
  <c r="W85" i="14"/>
  <c r="AD85" i="14" s="1"/>
  <c r="AF85" i="14"/>
  <c r="D87" i="14"/>
  <c r="C87" i="14"/>
  <c r="E87" i="14"/>
  <c r="AH92" i="14"/>
  <c r="AG92" i="14"/>
  <c r="AD106" i="14"/>
  <c r="AB111" i="14"/>
  <c r="AH118" i="14"/>
  <c r="AG118" i="14"/>
  <c r="AH122" i="14"/>
  <c r="AG122" i="14"/>
  <c r="R119" i="14"/>
  <c r="BO149" i="14" s="1"/>
  <c r="AE2" i="14"/>
  <c r="AM119" i="14"/>
  <c r="D3" i="14"/>
  <c r="C4" i="14"/>
  <c r="AG8" i="14"/>
  <c r="D9" i="14"/>
  <c r="AG19" i="14"/>
  <c r="C23" i="14"/>
  <c r="I26" i="14"/>
  <c r="I119" i="14" s="1"/>
  <c r="AF26" i="14"/>
  <c r="C27" i="14"/>
  <c r="C30" i="14"/>
  <c r="W38" i="14"/>
  <c r="W40" i="14"/>
  <c r="AG45" i="14"/>
  <c r="AE51" i="14"/>
  <c r="P59" i="14"/>
  <c r="AD59" i="14" s="1"/>
  <c r="AH59" i="14"/>
  <c r="D60" i="14"/>
  <c r="C60" i="14"/>
  <c r="AH61" i="14"/>
  <c r="AF62" i="14"/>
  <c r="AJ64" i="14"/>
  <c r="P67" i="14"/>
  <c r="AD67" i="14" s="1"/>
  <c r="AH67" i="14"/>
  <c r="P68" i="14"/>
  <c r="AD68" i="14" s="1"/>
  <c r="E70" i="14"/>
  <c r="D70" i="14"/>
  <c r="C70" i="14"/>
  <c r="D74" i="14"/>
  <c r="I80" i="14"/>
  <c r="AD83" i="14"/>
  <c r="W84" i="14"/>
  <c r="AD84" i="14" s="1"/>
  <c r="AM116" i="11"/>
  <c r="AN116" i="11" s="1"/>
  <c r="AO116" i="11" s="1"/>
  <c r="AM125" i="11"/>
  <c r="AN125" i="11" s="1"/>
  <c r="AO125" i="11" s="1"/>
  <c r="AM146" i="11"/>
  <c r="AN146" i="11" s="1"/>
  <c r="AO146" i="11" s="1"/>
  <c r="C42" i="13"/>
  <c r="C44" i="13"/>
  <c r="C46" i="13"/>
  <c r="C48" i="13"/>
  <c r="C50" i="13"/>
  <c r="C52" i="13"/>
  <c r="C54" i="13"/>
  <c r="C56" i="13"/>
  <c r="C58" i="13"/>
  <c r="C60" i="13"/>
  <c r="C62" i="13"/>
  <c r="C64" i="13"/>
  <c r="C66" i="13"/>
  <c r="C68" i="13"/>
  <c r="C70" i="13"/>
  <c r="C72" i="13"/>
  <c r="C74" i="13"/>
  <c r="C76" i="13"/>
  <c r="C78" i="13"/>
  <c r="C80" i="13"/>
  <c r="C82" i="13"/>
  <c r="C84" i="13"/>
  <c r="U119" i="14"/>
  <c r="AF2" i="14"/>
  <c r="AN2" i="14"/>
  <c r="AN119" i="14" s="1"/>
  <c r="D4" i="14"/>
  <c r="AF17" i="14"/>
  <c r="C22" i="14"/>
  <c r="D23" i="14"/>
  <c r="D27" i="14"/>
  <c r="D30" i="14"/>
  <c r="AF35" i="14"/>
  <c r="C37" i="14"/>
  <c r="I38" i="14"/>
  <c r="I40" i="14"/>
  <c r="AJ44" i="14"/>
  <c r="AJ119" i="14" s="1"/>
  <c r="E46" i="14"/>
  <c r="C46" i="14"/>
  <c r="P46" i="14"/>
  <c r="AF46" i="14"/>
  <c r="AE47" i="14"/>
  <c r="W51" i="14"/>
  <c r="AD51" i="14" s="1"/>
  <c r="AG52" i="14"/>
  <c r="AE53" i="14"/>
  <c r="I55" i="14"/>
  <c r="AF56" i="14"/>
  <c r="E60" i="14"/>
  <c r="E61" i="14"/>
  <c r="D61" i="14"/>
  <c r="I63" i="14"/>
  <c r="AG66" i="14"/>
  <c r="AD69" i="14"/>
  <c r="W70" i="14"/>
  <c r="AD70" i="14" s="1"/>
  <c r="AE70" i="14"/>
  <c r="E72" i="14"/>
  <c r="C72" i="14"/>
  <c r="AH78" i="14"/>
  <c r="AF79" i="14"/>
  <c r="AJ83" i="14"/>
  <c r="AG86" i="14"/>
  <c r="AD94" i="14"/>
  <c r="AD97" i="14"/>
  <c r="AD100" i="14"/>
  <c r="AB109" i="14"/>
  <c r="AD117" i="14"/>
  <c r="J119" i="14"/>
  <c r="AF12" i="14"/>
  <c r="AF13" i="14"/>
  <c r="AF16" i="14"/>
  <c r="D22" i="14"/>
  <c r="AF23" i="14"/>
  <c r="W28" i="14"/>
  <c r="AD28" i="14" s="1"/>
  <c r="E37" i="14"/>
  <c r="D46" i="14"/>
  <c r="C48" i="14"/>
  <c r="W49" i="14"/>
  <c r="AD49" i="14" s="1"/>
  <c r="I51" i="14"/>
  <c r="AH52" i="14"/>
  <c r="W53" i="14"/>
  <c r="AD53" i="14" s="1"/>
  <c r="C57" i="14"/>
  <c r="E57" i="14"/>
  <c r="P57" i="14"/>
  <c r="W58" i="14"/>
  <c r="AD58" i="14" s="1"/>
  <c r="AE59" i="14"/>
  <c r="W60" i="14"/>
  <c r="AD60" i="14" s="1"/>
  <c r="C61" i="14"/>
  <c r="P62" i="14"/>
  <c r="W64" i="14"/>
  <c r="AD64" i="14" s="1"/>
  <c r="AF64" i="14"/>
  <c r="AE67" i="14"/>
  <c r="AE68" i="14"/>
  <c r="D72" i="14"/>
  <c r="AE72" i="14"/>
  <c r="AE74" i="14"/>
  <c r="P76" i="14"/>
  <c r="AD76" i="14" s="1"/>
  <c r="AH76" i="14"/>
  <c r="AH80" i="14"/>
  <c r="C82" i="14"/>
  <c r="E82" i="14"/>
  <c r="AH82" i="14"/>
  <c r="AG82" i="14"/>
  <c r="AF83" i="14"/>
  <c r="I84" i="14"/>
  <c r="AD89" i="14"/>
  <c r="AD98" i="14"/>
  <c r="AH108" i="14"/>
  <c r="AG108" i="14"/>
  <c r="AB114" i="14"/>
  <c r="AH124" i="14"/>
  <c r="AG124" i="14"/>
  <c r="BE276" i="15"/>
  <c r="BE270" i="15"/>
  <c r="BE262" i="15"/>
  <c r="BE254" i="15"/>
  <c r="BE246" i="15"/>
  <c r="BE238" i="15"/>
  <c r="BE230" i="15"/>
  <c r="BE267" i="15"/>
  <c r="BE259" i="15"/>
  <c r="BE251" i="15"/>
  <c r="BE243" i="15"/>
  <c r="BE275" i="15"/>
  <c r="BE272" i="15"/>
  <c r="BE264" i="15"/>
  <c r="BE256" i="15"/>
  <c r="BE248" i="15"/>
  <c r="BE240" i="15"/>
  <c r="BE293" i="15"/>
  <c r="BE277" i="15"/>
  <c r="BE273" i="15"/>
  <c r="BE265" i="15"/>
  <c r="BE257" i="15"/>
  <c r="BE290" i="15"/>
  <c r="BE288" i="15"/>
  <c r="BE286" i="15"/>
  <c r="BE284" i="15"/>
  <c r="BE282" i="15"/>
  <c r="BE280" i="15"/>
  <c r="BE266" i="15"/>
  <c r="BE250" i="15"/>
  <c r="BE249" i="15"/>
  <c r="BE225" i="15"/>
  <c r="BE217" i="15"/>
  <c r="BE209" i="15"/>
  <c r="BE201" i="15"/>
  <c r="BE193" i="15"/>
  <c r="BE185" i="15"/>
  <c r="BE177" i="15"/>
  <c r="BE121" i="15"/>
  <c r="BE96" i="15"/>
  <c r="BE263" i="15"/>
  <c r="BE234" i="15"/>
  <c r="BE229" i="15"/>
  <c r="BE222" i="15"/>
  <c r="BE214" i="15"/>
  <c r="BE206" i="15"/>
  <c r="BE198" i="15"/>
  <c r="BE190" i="15"/>
  <c r="BE182" i="15"/>
  <c r="BE174" i="15"/>
  <c r="BE104" i="15"/>
  <c r="BE101" i="15"/>
  <c r="BE292" i="15"/>
  <c r="BE278" i="15"/>
  <c r="BE260" i="15"/>
  <c r="BE245" i="15"/>
  <c r="BE244" i="15"/>
  <c r="BE219" i="15"/>
  <c r="BE211" i="15"/>
  <c r="BE203" i="15"/>
  <c r="BE195" i="15"/>
  <c r="BE187" i="15"/>
  <c r="BE179" i="15"/>
  <c r="BE122" i="15"/>
  <c r="BE268" i="15"/>
  <c r="BE252" i="15"/>
  <c r="BE236" i="15"/>
  <c r="BE231" i="15"/>
  <c r="BE226" i="15"/>
  <c r="BE223" i="15"/>
  <c r="BE215" i="15"/>
  <c r="BE207" i="15"/>
  <c r="BE199" i="15"/>
  <c r="BE191" i="15"/>
  <c r="BE183" i="15"/>
  <c r="BE175" i="15"/>
  <c r="BE269" i="15"/>
  <c r="BE242" i="15"/>
  <c r="BE220" i="15"/>
  <c r="BE204" i="15"/>
  <c r="BE188" i="15"/>
  <c r="BE118" i="15"/>
  <c r="BE112" i="15"/>
  <c r="BE108" i="15"/>
  <c r="BE97" i="15"/>
  <c r="BE90" i="15"/>
  <c r="BE82" i="15"/>
  <c r="BE74" i="15"/>
  <c r="BE66" i="15"/>
  <c r="BE58" i="15"/>
  <c r="BE50" i="15"/>
  <c r="BE42" i="15"/>
  <c r="BE34" i="15"/>
  <c r="BE26" i="15"/>
  <c r="BE18" i="15"/>
  <c r="BE10" i="15"/>
  <c r="BE2" i="15"/>
  <c r="BE224" i="15"/>
  <c r="BE208" i="15"/>
  <c r="BE192" i="15"/>
  <c r="BE176" i="15"/>
  <c r="BE87" i="15"/>
  <c r="BE79" i="15"/>
  <c r="BE71" i="15"/>
  <c r="BE63" i="15"/>
  <c r="BE55" i="15"/>
  <c r="BE47" i="15"/>
  <c r="BE39" i="15"/>
  <c r="BE31" i="15"/>
  <c r="BE23" i="15"/>
  <c r="BE15" i="15"/>
  <c r="BE7" i="15"/>
  <c r="BE289" i="15"/>
  <c r="BE285" i="15"/>
  <c r="BE281" i="15"/>
  <c r="BE274" i="15"/>
  <c r="BE232" i="15"/>
  <c r="BE227" i="15"/>
  <c r="BE221" i="15"/>
  <c r="BE205" i="15"/>
  <c r="BE189" i="15"/>
  <c r="BE116" i="15"/>
  <c r="BE113" i="15"/>
  <c r="BE109" i="15"/>
  <c r="BE103" i="15"/>
  <c r="BE92" i="15"/>
  <c r="BE84" i="15"/>
  <c r="BE76" i="15"/>
  <c r="BE68" i="15"/>
  <c r="BE60" i="15"/>
  <c r="BE52" i="15"/>
  <c r="BE44" i="15"/>
  <c r="BE36" i="15"/>
  <c r="BE28" i="15"/>
  <c r="BE20" i="15"/>
  <c r="BE12" i="15"/>
  <c r="BE4" i="15"/>
  <c r="BE271" i="15"/>
  <c r="BE239" i="15"/>
  <c r="BE237" i="15"/>
  <c r="BE218" i="15"/>
  <c r="BE202" i="15"/>
  <c r="BE186" i="15"/>
  <c r="BE119" i="15"/>
  <c r="BE102" i="15"/>
  <c r="BE100" i="15"/>
  <c r="BE95" i="15"/>
  <c r="BE89" i="15"/>
  <c r="BE81" i="15"/>
  <c r="BE73" i="15"/>
  <c r="BE65" i="15"/>
  <c r="BE57" i="15"/>
  <c r="BE253" i="15"/>
  <c r="BE241" i="15"/>
  <c r="BE235" i="15"/>
  <c r="BE212" i="15"/>
  <c r="BE196" i="15"/>
  <c r="BE180" i="15"/>
  <c r="BE173" i="15"/>
  <c r="BE114" i="15"/>
  <c r="BE110" i="15"/>
  <c r="BE105" i="15"/>
  <c r="BE86" i="15"/>
  <c r="BE78" i="15"/>
  <c r="BE70" i="15"/>
  <c r="BE62" i="15"/>
  <c r="BE54" i="15"/>
  <c r="BE261" i="15"/>
  <c r="BE233" i="15"/>
  <c r="BE228" i="15"/>
  <c r="BE216" i="15"/>
  <c r="BE200" i="15"/>
  <c r="BE184" i="15"/>
  <c r="BE117" i="15"/>
  <c r="BE106" i="15"/>
  <c r="BE99" i="15"/>
  <c r="BE94" i="15"/>
  <c r="BE91" i="15"/>
  <c r="BE83" i="15"/>
  <c r="BE75" i="15"/>
  <c r="BE67" i="15"/>
  <c r="BE59" i="15"/>
  <c r="BE51" i="15"/>
  <c r="BE287" i="15"/>
  <c r="BE283" i="15"/>
  <c r="BE258" i="15"/>
  <c r="BE213" i="15"/>
  <c r="BE197" i="15"/>
  <c r="BE181" i="15"/>
  <c r="BE111" i="15"/>
  <c r="BE107" i="15"/>
  <c r="BE98" i="15"/>
  <c r="BE88" i="15"/>
  <c r="BE80" i="15"/>
  <c r="BE72" i="15"/>
  <c r="BE64" i="15"/>
  <c r="BE56" i="15"/>
  <c r="BE48" i="15"/>
  <c r="BE291" i="15"/>
  <c r="BE279" i="15"/>
  <c r="BE255" i="15"/>
  <c r="BE247" i="15"/>
  <c r="BE210" i="15"/>
  <c r="BE194" i="15"/>
  <c r="BE178" i="15"/>
  <c r="BE120" i="15"/>
  <c r="BE115" i="15"/>
  <c r="BE93" i="15"/>
  <c r="BE85" i="15"/>
  <c r="BE77" i="15"/>
  <c r="BE69" i="15"/>
  <c r="BE61" i="15"/>
  <c r="BE53" i="15"/>
  <c r="BE45" i="15"/>
  <c r="BE37" i="15"/>
  <c r="BE29" i="15"/>
  <c r="BE21" i="15"/>
  <c r="BE13" i="15"/>
  <c r="BE5" i="15"/>
  <c r="BE49" i="15"/>
  <c r="BE32" i="15"/>
  <c r="BE16" i="15"/>
  <c r="BE33" i="15"/>
  <c r="BE17" i="15"/>
  <c r="BE30" i="15"/>
  <c r="BE14" i="15"/>
  <c r="BE43" i="15"/>
  <c r="BE27" i="15"/>
  <c r="BE11" i="15"/>
  <c r="BE40" i="15"/>
  <c r="BE24" i="15"/>
  <c r="BE8" i="15"/>
  <c r="BE46" i="15"/>
  <c r="BE41" i="15"/>
  <c r="BE25" i="15"/>
  <c r="BE9" i="15"/>
  <c r="BE38" i="15"/>
  <c r="BE22" i="15"/>
  <c r="BE6" i="15"/>
  <c r="BE35" i="15"/>
  <c r="BE19" i="15"/>
  <c r="BE3" i="15"/>
  <c r="K119" i="14"/>
  <c r="BN149" i="14" s="1"/>
  <c r="X119" i="14"/>
  <c r="H119" i="14"/>
  <c r="AF25" i="14"/>
  <c r="I31" i="14"/>
  <c r="I32" i="14"/>
  <c r="W39" i="14"/>
  <c r="AD39" i="14" s="1"/>
  <c r="E48" i="14"/>
  <c r="AE61" i="14"/>
  <c r="AD66" i="14"/>
  <c r="AF69" i="14"/>
  <c r="AG75" i="14"/>
  <c r="E78" i="14"/>
  <c r="D78" i="14"/>
  <c r="C78" i="14"/>
  <c r="E86" i="14"/>
  <c r="D86" i="14"/>
  <c r="C86" i="14"/>
  <c r="AD88" i="14"/>
  <c r="AD91" i="14"/>
  <c r="AD103" i="14"/>
  <c r="AB104" i="14"/>
  <c r="AD104" i="14"/>
  <c r="AB108" i="14"/>
  <c r="AH109" i="14"/>
  <c r="AG109" i="14"/>
  <c r="AH115" i="14"/>
  <c r="AG115" i="14"/>
  <c r="P72" i="14"/>
  <c r="P80" i="14"/>
  <c r="AD80" i="14" s="1"/>
  <c r="I89" i="14"/>
  <c r="E95" i="14"/>
  <c r="E99" i="14"/>
  <c r="C101" i="14"/>
  <c r="C105" i="14"/>
  <c r="AG106" i="14"/>
  <c r="C111" i="14"/>
  <c r="E113" i="14"/>
  <c r="AG114" i="14"/>
  <c r="AF117" i="14"/>
  <c r="W122" i="14"/>
  <c r="AD122" i="14" s="1"/>
  <c r="AF123" i="14"/>
  <c r="AF125" i="14"/>
  <c r="D126" i="14"/>
  <c r="D105" i="14"/>
  <c r="AE107" i="14"/>
  <c r="D111" i="14"/>
  <c r="AF112" i="14"/>
  <c r="I115" i="14"/>
  <c r="AD115" i="14" s="1"/>
  <c r="P116" i="14"/>
  <c r="AD116" i="14" s="1"/>
  <c r="E126" i="14"/>
  <c r="AG87" i="14"/>
  <c r="C91" i="14"/>
  <c r="AF94" i="14"/>
  <c r="AG95" i="14"/>
  <c r="AG96" i="14"/>
  <c r="AG97" i="14"/>
  <c r="AG98" i="14"/>
  <c r="C103" i="14"/>
  <c r="C109" i="14"/>
  <c r="I118" i="14"/>
  <c r="C68" i="14"/>
  <c r="C69" i="14"/>
  <c r="C77" i="14"/>
  <c r="C85" i="14"/>
  <c r="C90" i="14"/>
  <c r="D91" i="14"/>
  <c r="AF93" i="14"/>
  <c r="AG99" i="14"/>
  <c r="AF100" i="14"/>
  <c r="D103" i="14"/>
  <c r="AF104" i="14"/>
  <c r="AG107" i="14"/>
  <c r="D109" i="14"/>
  <c r="AF110" i="14"/>
  <c r="AJ124" i="14"/>
  <c r="C59" i="14"/>
  <c r="C67" i="14"/>
  <c r="C76" i="14"/>
  <c r="C84" i="14"/>
  <c r="C89" i="14"/>
  <c r="AE91" i="14"/>
  <c r="AF101" i="14"/>
  <c r="AE102" i="14"/>
  <c r="AF105" i="14"/>
  <c r="AE108" i="14"/>
  <c r="AF113" i="14"/>
  <c r="C115" i="14"/>
  <c r="AE116" i="14"/>
  <c r="AF126" i="14"/>
  <c r="W126" i="14"/>
  <c r="AD126" i="14" s="1"/>
  <c r="D107" i="14"/>
  <c r="C110" i="14"/>
  <c r="D115" i="14"/>
  <c r="C118" i="14"/>
  <c r="C122" i="14"/>
  <c r="D123" i="14"/>
  <c r="C124" i="14"/>
  <c r="AF90" i="14"/>
  <c r="AF111" i="14"/>
  <c r="D118" i="14"/>
  <c r="D122" i="14"/>
  <c r="E124" i="14"/>
  <c r="AS3" i="17"/>
  <c r="AV3" i="17" s="1"/>
  <c r="AX3" i="17"/>
  <c r="BA3" i="17" s="1"/>
  <c r="J4" i="17"/>
  <c r="N4" i="17"/>
  <c r="AG4" i="17"/>
  <c r="M4" i="17"/>
  <c r="AS130" i="17"/>
  <c r="AV130" i="17" s="1"/>
  <c r="AY130" i="17" s="1"/>
  <c r="AV2" i="17"/>
  <c r="AY2" i="17" s="1"/>
  <c r="Z130" i="17"/>
  <c r="CH169" i="17" s="1"/>
  <c r="AG2" i="17"/>
  <c r="BA6" i="17"/>
  <c r="AE7" i="17"/>
  <c r="AH7" i="17"/>
  <c r="AI7" i="17"/>
  <c r="AU130" i="17"/>
  <c r="AX2" i="17"/>
  <c r="Q6" i="17"/>
  <c r="AG6" i="17"/>
  <c r="U6" i="17"/>
  <c r="T6" i="17"/>
  <c r="X2" i="17"/>
  <c r="X130" i="17" s="1"/>
  <c r="X5" i="17"/>
  <c r="AG5" i="17"/>
  <c r="BA5" i="17" s="1"/>
  <c r="L130" i="17"/>
  <c r="CF169" i="17" s="1"/>
  <c r="J2" i="17"/>
  <c r="J130" i="17" s="1"/>
  <c r="Y130" i="17"/>
  <c r="CH317" i="17" s="1"/>
  <c r="X7" i="17"/>
  <c r="M8" i="17"/>
  <c r="N8" i="17"/>
  <c r="AZ9" i="17"/>
  <c r="N9" i="17"/>
  <c r="M9" i="17"/>
  <c r="J9" i="17"/>
  <c r="AK10" i="17"/>
  <c r="BA9" i="17"/>
  <c r="F2" i="17"/>
  <c r="E2" i="17"/>
  <c r="BI130" i="17"/>
  <c r="AO4" i="17"/>
  <c r="AX4" i="17"/>
  <c r="BA4" i="17" s="1"/>
  <c r="AG11" i="17"/>
  <c r="X11" i="17"/>
  <c r="S130" i="17"/>
  <c r="CG169" i="17" s="1"/>
  <c r="T2" i="17"/>
  <c r="T130" i="17" s="1"/>
  <c r="Q2" i="17"/>
  <c r="Q130" i="17" s="1"/>
  <c r="AO2" i="17"/>
  <c r="AO130" i="17" s="1"/>
  <c r="J8" i="17"/>
  <c r="U2" i="17"/>
  <c r="U130" i="17" s="1"/>
  <c r="N3" i="17"/>
  <c r="M3" i="17"/>
  <c r="M130" i="17" s="1"/>
  <c r="AZ4" i="17"/>
  <c r="AO9" i="17"/>
  <c r="AV9" i="17" s="1"/>
  <c r="AE12" i="17"/>
  <c r="AI12" i="17"/>
  <c r="AH12" i="17"/>
  <c r="X12" i="17"/>
  <c r="AZ13" i="17"/>
  <c r="AX13" i="17"/>
  <c r="AS13" i="17"/>
  <c r="AV13" i="17" s="1"/>
  <c r="AY13" i="17" s="1"/>
  <c r="AZ14" i="17"/>
  <c r="F12" i="17"/>
  <c r="E12" i="17"/>
  <c r="AJ130" i="17"/>
  <c r="AT130" i="17"/>
  <c r="AW2" i="17"/>
  <c r="AZ2" i="17" s="1"/>
  <c r="BC6" i="17"/>
  <c r="X10" i="17"/>
  <c r="AG10" i="17"/>
  <c r="BC10" i="17"/>
  <c r="D12" i="17"/>
  <c r="AO12" i="17"/>
  <c r="AX12" i="17"/>
  <c r="BA12" i="17" s="1"/>
  <c r="U5" i="17"/>
  <c r="T5" i="17"/>
  <c r="D7" i="17"/>
  <c r="AO7" i="17"/>
  <c r="AX7" i="17"/>
  <c r="BA7" i="17" s="1"/>
  <c r="E11" i="17"/>
  <c r="AS11" i="17"/>
  <c r="AV11" i="17" s="1"/>
  <c r="AX11" i="17"/>
  <c r="BA11" i="17" s="1"/>
  <c r="BF130" i="17"/>
  <c r="Q3" i="17"/>
  <c r="E7" i="17"/>
  <c r="AX10" i="17"/>
  <c r="BA10" i="17" s="1"/>
  <c r="AS10" i="17"/>
  <c r="AV10" i="17" s="1"/>
  <c r="AY10" i="17" s="1"/>
  <c r="F11" i="17"/>
  <c r="AZ12" i="17"/>
  <c r="R130" i="17"/>
  <c r="CG317" i="17" s="1"/>
  <c r="AD130" i="17"/>
  <c r="BG130" i="17"/>
  <c r="T3" i="17"/>
  <c r="F4" i="17"/>
  <c r="E4" i="17"/>
  <c r="AF5" i="17"/>
  <c r="AZ5" i="17" s="1"/>
  <c r="AW7" i="17"/>
  <c r="AZ7" i="17" s="1"/>
  <c r="T8" i="17"/>
  <c r="U9" i="17"/>
  <c r="Q15" i="17"/>
  <c r="AX16" i="17"/>
  <c r="X17" i="17"/>
  <c r="AH18" i="17"/>
  <c r="AS18" i="17"/>
  <c r="AV18" i="17" s="1"/>
  <c r="AY18" i="17" s="1"/>
  <c r="AE29" i="17"/>
  <c r="AI29" i="17"/>
  <c r="AH29" i="17"/>
  <c r="BA38" i="17"/>
  <c r="AZ39" i="17"/>
  <c r="AH41" i="17"/>
  <c r="AE41" i="17"/>
  <c r="AI41" i="17"/>
  <c r="AZ18" i="17"/>
  <c r="T19" i="17"/>
  <c r="Q19" i="17"/>
  <c r="N25" i="17"/>
  <c r="M25" i="17"/>
  <c r="J25" i="17"/>
  <c r="BA29" i="17"/>
  <c r="AE34" i="17"/>
  <c r="AI34" i="17"/>
  <c r="AH34" i="17"/>
  <c r="AI35" i="17"/>
  <c r="AH35" i="17"/>
  <c r="AE35" i="17"/>
  <c r="U38" i="17"/>
  <c r="AC38" i="17"/>
  <c r="BA42" i="17"/>
  <c r="U47" i="17"/>
  <c r="T47" i="17"/>
  <c r="E14" i="17"/>
  <c r="D14" i="17"/>
  <c r="Q16" i="17"/>
  <c r="N17" i="17"/>
  <c r="BA19" i="17"/>
  <c r="AZ20" i="17"/>
  <c r="AF13" i="17"/>
  <c r="F14" i="17"/>
  <c r="Q14" i="17"/>
  <c r="AK19" i="17"/>
  <c r="AE23" i="17"/>
  <c r="AI23" i="17"/>
  <c r="AX24" i="17"/>
  <c r="BA24" i="17" s="1"/>
  <c r="AS24" i="17"/>
  <c r="AV24" i="17" s="1"/>
  <c r="AY24" i="17" s="1"/>
  <c r="AF26" i="17"/>
  <c r="X26" i="17"/>
  <c r="BA33" i="17"/>
  <c r="AY41" i="17"/>
  <c r="AC44" i="17"/>
  <c r="N44" i="17"/>
  <c r="M44" i="17"/>
  <c r="AZ46" i="17"/>
  <c r="AL130" i="17"/>
  <c r="CI317" i="17" s="1"/>
  <c r="BD130" i="17"/>
  <c r="CL317" i="17" s="1"/>
  <c r="AG3" i="17"/>
  <c r="Q4" i="17"/>
  <c r="AG9" i="17"/>
  <c r="AG13" i="17"/>
  <c r="J14" i="17"/>
  <c r="T14" i="17"/>
  <c r="AS15" i="17"/>
  <c r="AV15" i="17" s="1"/>
  <c r="AY15" i="17" s="1"/>
  <c r="AW17" i="17"/>
  <c r="AZ17" i="17" s="1"/>
  <c r="AF18" i="17"/>
  <c r="AE18" i="17" s="1"/>
  <c r="AE26" i="17"/>
  <c r="AH26" i="17"/>
  <c r="BA30" i="17"/>
  <c r="AZ31" i="17"/>
  <c r="BA34" i="17"/>
  <c r="AZ35" i="17"/>
  <c r="K130" i="17"/>
  <c r="AM130" i="17"/>
  <c r="CI169" i="17" s="1"/>
  <c r="BE130" i="17"/>
  <c r="CL169" i="17" s="1"/>
  <c r="T10" i="17"/>
  <c r="AO10" i="17"/>
  <c r="T11" i="17"/>
  <c r="D13" i="17"/>
  <c r="Q13" i="17"/>
  <c r="U14" i="17"/>
  <c r="J15" i="17"/>
  <c r="M15" i="17"/>
  <c r="AX15" i="17"/>
  <c r="BA15" i="17" s="1"/>
  <c r="F17" i="17"/>
  <c r="E17" i="17"/>
  <c r="Q17" i="17"/>
  <c r="AG17" i="17"/>
  <c r="T17" i="17"/>
  <c r="X18" i="17"/>
  <c r="BC19" i="17"/>
  <c r="AX23" i="17"/>
  <c r="BA23" i="17" s="1"/>
  <c r="AO23" i="17"/>
  <c r="AZ25" i="17"/>
  <c r="AZ27" i="17"/>
  <c r="AE31" i="17"/>
  <c r="U39" i="17"/>
  <c r="AY39" i="17"/>
  <c r="AE40" i="17"/>
  <c r="AC41" i="17"/>
  <c r="N41" i="17"/>
  <c r="M41" i="17"/>
  <c r="AG8" i="17"/>
  <c r="AG14" i="17"/>
  <c r="N19" i="17"/>
  <c r="M19" i="17"/>
  <c r="AI20" i="17"/>
  <c r="AH20" i="17"/>
  <c r="F23" i="17"/>
  <c r="E23" i="17"/>
  <c r="D23" i="17"/>
  <c r="AI27" i="17"/>
  <c r="AH27" i="17"/>
  <c r="AE27" i="17"/>
  <c r="AC47" i="17"/>
  <c r="D9" i="17"/>
  <c r="J12" i="17"/>
  <c r="AG15" i="17"/>
  <c r="N16" i="17"/>
  <c r="M16" i="17"/>
  <c r="J16" i="17"/>
  <c r="X16" i="17"/>
  <c r="AZ16" i="17"/>
  <c r="J17" i="17"/>
  <c r="BC17" i="17"/>
  <c r="AO18" i="17"/>
  <c r="AW19" i="17"/>
  <c r="AZ19" i="17" s="1"/>
  <c r="AG21" i="17"/>
  <c r="X21" i="17"/>
  <c r="AH23" i="17"/>
  <c r="AI26" i="17"/>
  <c r="AZ26" i="17"/>
  <c r="AV33" i="17"/>
  <c r="AZ38" i="17"/>
  <c r="AC39" i="17"/>
  <c r="N39" i="17"/>
  <c r="M26" i="17"/>
  <c r="Q27" i="17"/>
  <c r="T28" i="17"/>
  <c r="AE28" i="17"/>
  <c r="X29" i="17"/>
  <c r="F30" i="17"/>
  <c r="AK30" i="17"/>
  <c r="AS32" i="17"/>
  <c r="AV32" i="17" s="1"/>
  <c r="AY32" i="17" s="1"/>
  <c r="J33" i="17"/>
  <c r="Q35" i="17"/>
  <c r="Q38" i="17"/>
  <c r="X41" i="17"/>
  <c r="J42" i="17"/>
  <c r="X43" i="17"/>
  <c r="Q46" i="17"/>
  <c r="U46" i="17"/>
  <c r="T46" i="17"/>
  <c r="AO46" i="17"/>
  <c r="AC56" i="17"/>
  <c r="N56" i="17"/>
  <c r="M56" i="17"/>
  <c r="U58" i="17"/>
  <c r="T58" i="17"/>
  <c r="AF20" i="17"/>
  <c r="AE20" i="17" s="1"/>
  <c r="AO20" i="17"/>
  <c r="D21" i="17"/>
  <c r="AS21" i="17"/>
  <c r="AV21" i="17" s="1"/>
  <c r="AY21" i="17" s="1"/>
  <c r="M23" i="17"/>
  <c r="T25" i="17"/>
  <c r="AK27" i="17"/>
  <c r="AS29" i="17"/>
  <c r="AV29" i="17" s="1"/>
  <c r="J30" i="17"/>
  <c r="Q32" i="17"/>
  <c r="X34" i="17"/>
  <c r="AI46" i="17"/>
  <c r="AE46" i="17"/>
  <c r="AZ47" i="17"/>
  <c r="U50" i="17"/>
  <c r="T50" i="17"/>
  <c r="AI50" i="17"/>
  <c r="AH50" i="17"/>
  <c r="T60" i="17"/>
  <c r="AC60" i="17"/>
  <c r="AC62" i="17"/>
  <c r="N62" i="17"/>
  <c r="M62" i="17"/>
  <c r="M36" i="17"/>
  <c r="AG36" i="17"/>
  <c r="AS38" i="17"/>
  <c r="AV38" i="17" s="1"/>
  <c r="AH39" i="17"/>
  <c r="D40" i="17"/>
  <c r="AH40" i="17"/>
  <c r="BC42" i="17"/>
  <c r="E43" i="17"/>
  <c r="D43" i="17"/>
  <c r="AH46" i="17"/>
  <c r="AV48" i="17"/>
  <c r="N55" i="17"/>
  <c r="M55" i="17"/>
  <c r="AC55" i="17"/>
  <c r="AI57" i="17"/>
  <c r="AH57" i="17"/>
  <c r="AE57" i="17"/>
  <c r="U22" i="17"/>
  <c r="AX22" i="17"/>
  <c r="AG25" i="17"/>
  <c r="E26" i="17"/>
  <c r="T27" i="17"/>
  <c r="N28" i="17"/>
  <c r="AH28" i="17"/>
  <c r="U30" i="17"/>
  <c r="D31" i="17"/>
  <c r="AI31" i="17"/>
  <c r="AS31" i="17"/>
  <c r="AV31" i="17" s="1"/>
  <c r="AY31" i="17" s="1"/>
  <c r="J32" i="17"/>
  <c r="M33" i="17"/>
  <c r="AG33" i="17"/>
  <c r="E34" i="17"/>
  <c r="Q34" i="17"/>
  <c r="T35" i="17"/>
  <c r="N36" i="17"/>
  <c r="AO37" i="17"/>
  <c r="AV37" i="17" s="1"/>
  <c r="AY37" i="17" s="1"/>
  <c r="Q39" i="17"/>
  <c r="AI39" i="17"/>
  <c r="E40" i="17"/>
  <c r="AI40" i="17"/>
  <c r="N42" i="17"/>
  <c r="N47" i="17"/>
  <c r="J47" i="17"/>
  <c r="AG47" i="17"/>
  <c r="AI49" i="17"/>
  <c r="AH49" i="17"/>
  <c r="J51" i="17"/>
  <c r="AG51" i="17"/>
  <c r="N51" i="17"/>
  <c r="M51" i="17"/>
  <c r="AZ56" i="17"/>
  <c r="AH60" i="17"/>
  <c r="AE60" i="17"/>
  <c r="AI60" i="17"/>
  <c r="AZ63" i="17"/>
  <c r="AI65" i="17"/>
  <c r="AH65" i="17"/>
  <c r="AE65" i="17"/>
  <c r="AZ67" i="17"/>
  <c r="AG22" i="17"/>
  <c r="T24" i="17"/>
  <c r="U27" i="17"/>
  <c r="AX27" i="17"/>
  <c r="BA27" i="17" s="1"/>
  <c r="AG30" i="17"/>
  <c r="E31" i="17"/>
  <c r="U35" i="17"/>
  <c r="AX35" i="17"/>
  <c r="BA35" i="17" s="1"/>
  <c r="H130" i="17"/>
  <c r="P130" i="17"/>
  <c r="AX37" i="17"/>
  <c r="BA37" i="17" s="1"/>
  <c r="AW40" i="17"/>
  <c r="AZ40" i="17" s="1"/>
  <c r="U43" i="17"/>
  <c r="E44" i="17"/>
  <c r="X45" i="17"/>
  <c r="AG45" i="17"/>
  <c r="AX45" i="17"/>
  <c r="BA45" i="17" s="1"/>
  <c r="N46" i="17"/>
  <c r="M47" i="17"/>
  <c r="N48" i="17"/>
  <c r="N49" i="17"/>
  <c r="AC49" i="17"/>
  <c r="U49" i="17"/>
  <c r="AZ50" i="17"/>
  <c r="BA54" i="17"/>
  <c r="AE55" i="17"/>
  <c r="BA55" i="17"/>
  <c r="AI55" i="17"/>
  <c r="AH55" i="17"/>
  <c r="BA57" i="17"/>
  <c r="BA64" i="17"/>
  <c r="AG19" i="17"/>
  <c r="E20" i="17"/>
  <c r="T21" i="17"/>
  <c r="D25" i="17"/>
  <c r="M27" i="17"/>
  <c r="E28" i="17"/>
  <c r="T29" i="17"/>
  <c r="D33" i="17"/>
  <c r="M35" i="17"/>
  <c r="I37" i="17"/>
  <c r="E38" i="17"/>
  <c r="U41" i="17"/>
  <c r="AX41" i="17"/>
  <c r="BA41" i="17" s="1"/>
  <c r="F42" i="17"/>
  <c r="T43" i="17"/>
  <c r="AG43" i="17"/>
  <c r="AX44" i="17"/>
  <c r="BA44" i="17" s="1"/>
  <c r="M48" i="17"/>
  <c r="AF48" i="17"/>
  <c r="AE48" i="17" s="1"/>
  <c r="AX49" i="17"/>
  <c r="BA49" i="17" s="1"/>
  <c r="AS49" i="17"/>
  <c r="AV49" i="17" s="1"/>
  <c r="AY49" i="17" s="1"/>
  <c r="AC50" i="17"/>
  <c r="AW51" i="17"/>
  <c r="AZ51" i="17" s="1"/>
  <c r="AH52" i="17"/>
  <c r="AE52" i="17"/>
  <c r="X52" i="17"/>
  <c r="M57" i="17"/>
  <c r="AC57" i="17"/>
  <c r="U59" i="17"/>
  <c r="T59" i="17"/>
  <c r="U65" i="17"/>
  <c r="T65" i="17"/>
  <c r="AZ66" i="17"/>
  <c r="AG16" i="17"/>
  <c r="T18" i="17"/>
  <c r="D22" i="17"/>
  <c r="AG24" i="17"/>
  <c r="E25" i="17"/>
  <c r="M32" i="17"/>
  <c r="AG32" i="17"/>
  <c r="BA32" i="17" s="1"/>
  <c r="E33" i="17"/>
  <c r="T34" i="17"/>
  <c r="AR130" i="17"/>
  <c r="AG38" i="17"/>
  <c r="T39" i="17"/>
  <c r="U42" i="17"/>
  <c r="Q42" i="17"/>
  <c r="Q45" i="17"/>
  <c r="AC46" i="17"/>
  <c r="BC46" i="17"/>
  <c r="AF50" i="17"/>
  <c r="AE50" i="17" s="1"/>
  <c r="AS51" i="17"/>
  <c r="AV51" i="17" s="1"/>
  <c r="AY51" i="17" s="1"/>
  <c r="AC53" i="17"/>
  <c r="T42" i="17"/>
  <c r="AG42" i="17"/>
  <c r="J43" i="17"/>
  <c r="N43" i="17"/>
  <c r="M43" i="17"/>
  <c r="AG44" i="17"/>
  <c r="D47" i="17"/>
  <c r="AF47" i="17"/>
  <c r="F48" i="17"/>
  <c r="E48" i="17"/>
  <c r="AO48" i="17"/>
  <c r="F51" i="17"/>
  <c r="E51" i="17"/>
  <c r="D51" i="17"/>
  <c r="T51" i="17"/>
  <c r="AK51" i="17"/>
  <c r="AI52" i="17"/>
  <c r="AZ52" i="17"/>
  <c r="N57" i="17"/>
  <c r="AH70" i="17"/>
  <c r="AE70" i="17"/>
  <c r="AI70" i="17"/>
  <c r="J57" i="17"/>
  <c r="AG58" i="17"/>
  <c r="Q60" i="17"/>
  <c r="N63" i="17"/>
  <c r="X63" i="17"/>
  <c r="AI63" i="17"/>
  <c r="M66" i="17"/>
  <c r="AS66" i="17"/>
  <c r="AV66" i="17" s="1"/>
  <c r="AY66" i="17" s="1"/>
  <c r="AX66" i="17"/>
  <c r="AH67" i="17"/>
  <c r="E70" i="17"/>
  <c r="D70" i="17"/>
  <c r="D71" i="17"/>
  <c r="F71" i="17"/>
  <c r="BA77" i="17"/>
  <c r="AX50" i="17"/>
  <c r="BA50" i="17" s="1"/>
  <c r="J52" i="17"/>
  <c r="F53" i="17"/>
  <c r="AG53" i="17"/>
  <c r="AO53" i="17"/>
  <c r="T54" i="17"/>
  <c r="Q55" i="17"/>
  <c r="AF56" i="17"/>
  <c r="AE56" i="17" s="1"/>
  <c r="AS57" i="17"/>
  <c r="AV57" i="17" s="1"/>
  <c r="AY57" i="17" s="1"/>
  <c r="AX58" i="17"/>
  <c r="BA58" i="17" s="1"/>
  <c r="M59" i="17"/>
  <c r="AE59" i="17"/>
  <c r="J60" i="17"/>
  <c r="Q61" i="17"/>
  <c r="AS61" i="17"/>
  <c r="AV61" i="17" s="1"/>
  <c r="J62" i="17"/>
  <c r="T62" i="17"/>
  <c r="AE62" i="17"/>
  <c r="AX62" i="17"/>
  <c r="BA62" i="17" s="1"/>
  <c r="AS63" i="17"/>
  <c r="AV63" i="17" s="1"/>
  <c r="AY63" i="17" s="1"/>
  <c r="T64" i="17"/>
  <c r="Q64" i="17"/>
  <c r="X65" i="17"/>
  <c r="AS65" i="17"/>
  <c r="AV65" i="17" s="1"/>
  <c r="AY65" i="17" s="1"/>
  <c r="D66" i="17"/>
  <c r="AF66" i="17"/>
  <c r="AK66" i="17"/>
  <c r="AI67" i="17"/>
  <c r="E68" i="17"/>
  <c r="D68" i="17"/>
  <c r="AH68" i="17"/>
  <c r="AE68" i="17"/>
  <c r="D69" i="17"/>
  <c r="F69" i="17"/>
  <c r="N73" i="17"/>
  <c r="M73" i="17"/>
  <c r="AC73" i="17"/>
  <c r="AC74" i="17"/>
  <c r="N74" i="17"/>
  <c r="M74" i="17"/>
  <c r="AE76" i="17"/>
  <c r="BA76" i="17"/>
  <c r="AI76" i="17"/>
  <c r="AH76" i="17"/>
  <c r="AE77" i="17"/>
  <c r="AY77" i="17" s="1"/>
  <c r="AI77" i="17"/>
  <c r="AH77" i="17"/>
  <c r="AF51" i="17"/>
  <c r="AS52" i="17"/>
  <c r="AV52" i="17" s="1"/>
  <c r="AY52" i="17" s="1"/>
  <c r="U54" i="17"/>
  <c r="AO56" i="17"/>
  <c r="AS60" i="17"/>
  <c r="AV60" i="17" s="1"/>
  <c r="AY60" i="17" s="1"/>
  <c r="U62" i="17"/>
  <c r="U64" i="17"/>
  <c r="D65" i="17"/>
  <c r="F66" i="17"/>
  <c r="F68" i="17"/>
  <c r="AI68" i="17"/>
  <c r="E69" i="17"/>
  <c r="AI72" i="17"/>
  <c r="AH72" i="17"/>
  <c r="AE72" i="17"/>
  <c r="AY76" i="17"/>
  <c r="AV81" i="17"/>
  <c r="AC63" i="17"/>
  <c r="BA65" i="17"/>
  <c r="AS69" i="17"/>
  <c r="AV69" i="17" s="1"/>
  <c r="AY69" i="17" s="1"/>
  <c r="AC70" i="17"/>
  <c r="AX70" i="17"/>
  <c r="BA70" i="17" s="1"/>
  <c r="AC71" i="17"/>
  <c r="AE73" i="17"/>
  <c r="BA73" i="17"/>
  <c r="AI73" i="17"/>
  <c r="AH73" i="17"/>
  <c r="BA74" i="17"/>
  <c r="AI74" i="17"/>
  <c r="AH74" i="17"/>
  <c r="AE74" i="17"/>
  <c r="AI75" i="17"/>
  <c r="AH75" i="17"/>
  <c r="AE75" i="17"/>
  <c r="BA86" i="17"/>
  <c r="AX51" i="17"/>
  <c r="BA51" i="17" s="1"/>
  <c r="D52" i="17"/>
  <c r="M52" i="17"/>
  <c r="J53" i="17"/>
  <c r="AG54" i="17"/>
  <c r="T55" i="17"/>
  <c r="Q56" i="17"/>
  <c r="E57" i="17"/>
  <c r="AC58" i="17"/>
  <c r="AH59" i="17"/>
  <c r="AX59" i="17"/>
  <c r="BA59" i="17" s="1"/>
  <c r="D60" i="17"/>
  <c r="M60" i="17"/>
  <c r="U60" i="17"/>
  <c r="T61" i="17"/>
  <c r="AF61" i="17"/>
  <c r="AZ61" i="17" s="1"/>
  <c r="D62" i="17"/>
  <c r="AG64" i="17"/>
  <c r="AC65" i="17"/>
  <c r="Q65" i="17"/>
  <c r="AC66" i="17"/>
  <c r="AK67" i="17"/>
  <c r="AX68" i="17"/>
  <c r="BA68" i="17" s="1"/>
  <c r="J69" i="17"/>
  <c r="BA81" i="17"/>
  <c r="AI87" i="17"/>
  <c r="AH87" i="17"/>
  <c r="E52" i="17"/>
  <c r="N52" i="17"/>
  <c r="E60" i="17"/>
  <c r="M61" i="17"/>
  <c r="AG61" i="17"/>
  <c r="E62" i="17"/>
  <c r="T63" i="17"/>
  <c r="AE63" i="17"/>
  <c r="J66" i="17"/>
  <c r="T66" i="17"/>
  <c r="AG66" i="17"/>
  <c r="N67" i="17"/>
  <c r="M67" i="17"/>
  <c r="AF67" i="17"/>
  <c r="AE67" i="17" s="1"/>
  <c r="AK68" i="17"/>
  <c r="N70" i="17"/>
  <c r="M70" i="17"/>
  <c r="J70" i="17"/>
  <c r="M71" i="17"/>
  <c r="J71" i="17"/>
  <c r="AG71" i="17"/>
  <c r="N81" i="17"/>
  <c r="M81" i="17"/>
  <c r="AC81" i="17"/>
  <c r="BA84" i="17"/>
  <c r="D50" i="17"/>
  <c r="M50" i="17"/>
  <c r="N61" i="17"/>
  <c r="Q62" i="17"/>
  <c r="AW62" i="17"/>
  <c r="AZ62" i="17" s="1"/>
  <c r="U63" i="17"/>
  <c r="X67" i="17"/>
  <c r="N68" i="17"/>
  <c r="M68" i="17"/>
  <c r="J68" i="17"/>
  <c r="X69" i="17"/>
  <c r="X70" i="17"/>
  <c r="N71" i="17"/>
  <c r="X71" i="17"/>
  <c r="BA72" i="17"/>
  <c r="BA75" i="17"/>
  <c r="AI78" i="17"/>
  <c r="AH78" i="17"/>
  <c r="E61" i="17"/>
  <c r="AO63" i="17"/>
  <c r="N65" i="17"/>
  <c r="E67" i="17"/>
  <c r="D67" i="17"/>
  <c r="X68" i="17"/>
  <c r="AX71" i="17"/>
  <c r="AO71" i="17"/>
  <c r="M75" i="17"/>
  <c r="AC75" i="17"/>
  <c r="BA87" i="17"/>
  <c r="U74" i="17"/>
  <c r="N77" i="17"/>
  <c r="E78" i="17"/>
  <c r="U79" i="17"/>
  <c r="AF79" i="17"/>
  <c r="N80" i="17"/>
  <c r="AE82" i="17"/>
  <c r="AY82" i="17" s="1"/>
  <c r="AX82" i="17"/>
  <c r="BA82" i="17" s="1"/>
  <c r="N84" i="17"/>
  <c r="AI85" i="17"/>
  <c r="J86" i="17"/>
  <c r="AG86" i="17"/>
  <c r="AO86" i="17"/>
  <c r="AV86" i="17" s="1"/>
  <c r="AW86" i="17"/>
  <c r="AZ86" i="17" s="1"/>
  <c r="E87" i="17"/>
  <c r="N88" i="17"/>
  <c r="AI89" i="17"/>
  <c r="J90" i="17"/>
  <c r="AG90" i="17"/>
  <c r="AO90" i="17"/>
  <c r="AV90" i="17" s="1"/>
  <c r="AW90" i="17"/>
  <c r="AZ90" i="17" s="1"/>
  <c r="E91" i="17"/>
  <c r="X93" i="17"/>
  <c r="AS93" i="17"/>
  <c r="AV93" i="17" s="1"/>
  <c r="AY93" i="17" s="1"/>
  <c r="AW94" i="17"/>
  <c r="AZ94" i="17" s="1"/>
  <c r="AF99" i="17"/>
  <c r="AK99" i="17"/>
  <c r="AS100" i="17"/>
  <c r="AV100" i="17" s="1"/>
  <c r="AY100" i="17" s="1"/>
  <c r="Q101" i="17"/>
  <c r="AG101" i="17"/>
  <c r="U101" i="17"/>
  <c r="T101" i="17"/>
  <c r="AS101" i="17"/>
  <c r="AV101" i="17" s="1"/>
  <c r="AY101" i="17" s="1"/>
  <c r="AH107" i="17"/>
  <c r="AI107" i="17"/>
  <c r="AE107" i="17"/>
  <c r="U110" i="17"/>
  <c r="T110" i="17"/>
  <c r="AC110" i="17"/>
  <c r="AW71" i="17"/>
  <c r="AZ71" i="17" s="1"/>
  <c r="T72" i="17"/>
  <c r="Q73" i="17"/>
  <c r="Q76" i="17"/>
  <c r="Q78" i="17"/>
  <c r="AG79" i="17"/>
  <c r="AO79" i="17"/>
  <c r="AW79" i="17"/>
  <c r="D80" i="17"/>
  <c r="AG81" i="17"/>
  <c r="AW81" i="17"/>
  <c r="AZ81" i="17" s="1"/>
  <c r="AW83" i="17"/>
  <c r="AZ83" i="17" s="1"/>
  <c r="D84" i="17"/>
  <c r="M85" i="17"/>
  <c r="Q87" i="17"/>
  <c r="T87" i="17"/>
  <c r="AF87" i="17"/>
  <c r="AE87" i="17" s="1"/>
  <c r="D88" i="17"/>
  <c r="Q91" i="17"/>
  <c r="T91" i="17"/>
  <c r="AW91" i="17"/>
  <c r="AZ91" i="17" s="1"/>
  <c r="AC92" i="17"/>
  <c r="AX93" i="17"/>
  <c r="BA93" i="17" s="1"/>
  <c r="U94" i="17"/>
  <c r="Q94" i="17"/>
  <c r="F96" i="17"/>
  <c r="E96" i="17"/>
  <c r="J97" i="17"/>
  <c r="AG97" i="17"/>
  <c r="N97" i="17"/>
  <c r="AW97" i="17"/>
  <c r="AZ97" i="17" s="1"/>
  <c r="AS68" i="17"/>
  <c r="AV68" i="17" s="1"/>
  <c r="AY68" i="17" s="1"/>
  <c r="AS70" i="17"/>
  <c r="AV70" i="17" s="1"/>
  <c r="AY70" i="17" s="1"/>
  <c r="D72" i="17"/>
  <c r="M72" i="17"/>
  <c r="U72" i="17"/>
  <c r="AO74" i="17"/>
  <c r="T75" i="17"/>
  <c r="E80" i="17"/>
  <c r="AS80" i="17"/>
  <c r="AV80" i="17" s="1"/>
  <c r="AH82" i="17"/>
  <c r="E84" i="17"/>
  <c r="J87" i="17"/>
  <c r="AZ87" i="17"/>
  <c r="AI91" i="17"/>
  <c r="AE91" i="17"/>
  <c r="T92" i="17"/>
  <c r="AE94" i="17"/>
  <c r="AI94" i="17"/>
  <c r="BA94" i="17"/>
  <c r="AF95" i="17"/>
  <c r="AE95" i="17" s="1"/>
  <c r="D96" i="17"/>
  <c r="AE96" i="17"/>
  <c r="AI96" i="17"/>
  <c r="M97" i="17"/>
  <c r="AS97" i="17"/>
  <c r="AV97" i="17" s="1"/>
  <c r="AY97" i="17" s="1"/>
  <c r="Q98" i="17"/>
  <c r="AG98" i="17"/>
  <c r="U98" i="17"/>
  <c r="AK100" i="17"/>
  <c r="AK101" i="17"/>
  <c r="BA110" i="17"/>
  <c r="AH111" i="17"/>
  <c r="AE111" i="17"/>
  <c r="AI111" i="17"/>
  <c r="AF78" i="17"/>
  <c r="AZ78" i="17" s="1"/>
  <c r="N82" i="17"/>
  <c r="X82" i="17"/>
  <c r="J83" i="17"/>
  <c r="Q84" i="17"/>
  <c r="T84" i="17"/>
  <c r="D85" i="17"/>
  <c r="Q88" i="17"/>
  <c r="T88" i="17"/>
  <c r="D89" i="17"/>
  <c r="M90" i="17"/>
  <c r="AH91" i="17"/>
  <c r="N92" i="17"/>
  <c r="J92" i="17"/>
  <c r="AZ92" i="17"/>
  <c r="AH94" i="17"/>
  <c r="BA97" i="17"/>
  <c r="AO99" i="17"/>
  <c r="AV99" i="17" s="1"/>
  <c r="AZ110" i="17"/>
  <c r="AX67" i="17"/>
  <c r="BA67" i="17" s="1"/>
  <c r="AX69" i="17"/>
  <c r="BA69" i="17" s="1"/>
  <c r="AO72" i="17"/>
  <c r="T73" i="17"/>
  <c r="Q74" i="17"/>
  <c r="T76" i="17"/>
  <c r="J77" i="17"/>
  <c r="AO78" i="17"/>
  <c r="AV78" i="17" s="1"/>
  <c r="D79" i="17"/>
  <c r="J80" i="17"/>
  <c r="T80" i="17"/>
  <c r="AG83" i="17"/>
  <c r="J84" i="17"/>
  <c r="AG84" i="17"/>
  <c r="AO84" i="17"/>
  <c r="AV84" i="17" s="1"/>
  <c r="J88" i="17"/>
  <c r="U88" i="17"/>
  <c r="AG88" i="17"/>
  <c r="BA88" i="17" s="1"/>
  <c r="AO88" i="17"/>
  <c r="AV88" i="17" s="1"/>
  <c r="E89" i="17"/>
  <c r="BC89" i="17"/>
  <c r="M92" i="17"/>
  <c r="AS92" i="17"/>
  <c r="AV92" i="17" s="1"/>
  <c r="AW95" i="17"/>
  <c r="AK97" i="17"/>
  <c r="AS98" i="17"/>
  <c r="AV98" i="17" s="1"/>
  <c r="AY98" i="17" s="1"/>
  <c r="Q99" i="17"/>
  <c r="AG99" i="17"/>
  <c r="U99" i="17"/>
  <c r="AZ103" i="17"/>
  <c r="AY107" i="17"/>
  <c r="AZ111" i="17"/>
  <c r="AY112" i="17"/>
  <c r="AI117" i="17"/>
  <c r="AH117" i="17"/>
  <c r="AE117" i="17"/>
  <c r="AO75" i="17"/>
  <c r="AV75" i="17" s="1"/>
  <c r="AY75" i="17" s="1"/>
  <c r="E79" i="17"/>
  <c r="U80" i="17"/>
  <c r="AW82" i="17"/>
  <c r="AZ82" i="17" s="1"/>
  <c r="Q85" i="17"/>
  <c r="T85" i="17"/>
  <c r="Q89" i="17"/>
  <c r="T89" i="17"/>
  <c r="X92" i="17"/>
  <c r="AX92" i="17"/>
  <c r="BA92" i="17" s="1"/>
  <c r="U93" i="17"/>
  <c r="Q93" i="17"/>
  <c r="AE93" i="17"/>
  <c r="F95" i="17"/>
  <c r="E95" i="17"/>
  <c r="AV96" i="17"/>
  <c r="AY96" i="17" s="1"/>
  <c r="F97" i="17"/>
  <c r="E97" i="17"/>
  <c r="AX98" i="17"/>
  <c r="BA98" i="17" s="1"/>
  <c r="AW99" i="17"/>
  <c r="AZ99" i="17" s="1"/>
  <c r="AO100" i="17"/>
  <c r="AO101" i="17"/>
  <c r="AH108" i="17"/>
  <c r="AI108" i="17"/>
  <c r="AE108" i="17"/>
  <c r="AY108" i="17" s="1"/>
  <c r="AG80" i="17"/>
  <c r="AZ80" i="17"/>
  <c r="F92" i="17"/>
  <c r="E92" i="17"/>
  <c r="AI95" i="17"/>
  <c r="BA95" i="17"/>
  <c r="Q100" i="17"/>
  <c r="AG100" i="17"/>
  <c r="BA100" i="17" s="1"/>
  <c r="U100" i="17"/>
  <c r="AW102" i="17"/>
  <c r="AZ102" i="17" s="1"/>
  <c r="AZ106" i="17"/>
  <c r="D78" i="17"/>
  <c r="T79" i="17"/>
  <c r="E81" i="17"/>
  <c r="X81" i="17"/>
  <c r="X83" i="17"/>
  <c r="AH85" i="17"/>
  <c r="Q86" i="17"/>
  <c r="T86" i="17"/>
  <c r="D87" i="17"/>
  <c r="AH89" i="17"/>
  <c r="Q90" i="17"/>
  <c r="T90" i="17"/>
  <c r="D91" i="17"/>
  <c r="D92" i="17"/>
  <c r="AG92" i="17"/>
  <c r="AW93" i="17"/>
  <c r="AZ93" i="17" s="1"/>
  <c r="U95" i="17"/>
  <c r="T95" i="17"/>
  <c r="Q95" i="17"/>
  <c r="AH95" i="17"/>
  <c r="AO97" i="17"/>
  <c r="AX99" i="17"/>
  <c r="BA99" i="17" s="1"/>
  <c r="T100" i="17"/>
  <c r="AW100" i="17"/>
  <c r="AZ100" i="17" s="1"/>
  <c r="AW101" i="17"/>
  <c r="AZ101" i="17" s="1"/>
  <c r="Q102" i="17"/>
  <c r="AG102" i="17"/>
  <c r="U102" i="17"/>
  <c r="T102" i="17"/>
  <c r="AZ105" i="17"/>
  <c r="AV106" i="17"/>
  <c r="AZ107" i="17"/>
  <c r="AZ109" i="17"/>
  <c r="U109" i="17"/>
  <c r="AG109" i="17"/>
  <c r="F110" i="17"/>
  <c r="AF110" i="17"/>
  <c r="AX112" i="17"/>
  <c r="BA112" i="17" s="1"/>
  <c r="D113" i="17"/>
  <c r="E113" i="17"/>
  <c r="AG113" i="17"/>
  <c r="X114" i="17"/>
  <c r="AH115" i="17"/>
  <c r="U116" i="17"/>
  <c r="T116" i="17"/>
  <c r="Q116" i="17"/>
  <c r="AG120" i="17"/>
  <c r="X120" i="17"/>
  <c r="N123" i="17"/>
  <c r="M123" i="17"/>
  <c r="J123" i="17"/>
  <c r="AV123" i="17"/>
  <c r="T103" i="17"/>
  <c r="AX105" i="17"/>
  <c r="BA105" i="17" s="1"/>
  <c r="AV110" i="17"/>
  <c r="AC111" i="17"/>
  <c r="Q113" i="17"/>
  <c r="AX113" i="17"/>
  <c r="AF114" i="17"/>
  <c r="AW114" i="17"/>
  <c r="AZ114" i="17" s="1"/>
  <c r="AI115" i="17"/>
  <c r="AI122" i="17"/>
  <c r="AE122" i="17"/>
  <c r="AH122" i="17"/>
  <c r="BA122" i="17"/>
  <c r="U103" i="17"/>
  <c r="U104" i="17"/>
  <c r="U105" i="17"/>
  <c r="X106" i="17"/>
  <c r="AX108" i="17"/>
  <c r="BA108" i="17" s="1"/>
  <c r="M109" i="17"/>
  <c r="J110" i="17"/>
  <c r="J111" i="17"/>
  <c r="AS111" i="17"/>
  <c r="AV111" i="17" s="1"/>
  <c r="T112" i="17"/>
  <c r="X115" i="17"/>
  <c r="AS115" i="17"/>
  <c r="AV115" i="17" s="1"/>
  <c r="AY115" i="17" s="1"/>
  <c r="X116" i="17"/>
  <c r="AS119" i="17"/>
  <c r="AV119" i="17" s="1"/>
  <c r="AY119" i="17" s="1"/>
  <c r="Q96" i="17"/>
  <c r="AG103" i="17"/>
  <c r="AG104" i="17"/>
  <c r="AG105" i="17"/>
  <c r="AS109" i="17"/>
  <c r="AV109" i="17" s="1"/>
  <c r="AY109" i="17" s="1"/>
  <c r="U112" i="17"/>
  <c r="AX114" i="17"/>
  <c r="BA114" i="17" s="1"/>
  <c r="AF115" i="17"/>
  <c r="AZ115" i="17" s="1"/>
  <c r="E118" i="17"/>
  <c r="D118" i="17"/>
  <c r="AX118" i="17"/>
  <c r="BA118" i="17" s="1"/>
  <c r="AO118" i="17"/>
  <c r="AV118" i="17" s="1"/>
  <c r="AY118" i="17" s="1"/>
  <c r="AX106" i="17"/>
  <c r="AH112" i="17"/>
  <c r="AI112" i="17"/>
  <c r="AE116" i="17"/>
  <c r="F118" i="17"/>
  <c r="AH119" i="17"/>
  <c r="E102" i="17"/>
  <c r="E103" i="17"/>
  <c r="X107" i="17"/>
  <c r="U108" i="17"/>
  <c r="F109" i="17"/>
  <c r="AX109" i="17"/>
  <c r="BA109" i="17" s="1"/>
  <c r="M110" i="17"/>
  <c r="AG110" i="17"/>
  <c r="D111" i="17"/>
  <c r="M111" i="17"/>
  <c r="AX111" i="17"/>
  <c r="BA111" i="17" s="1"/>
  <c r="AE114" i="17"/>
  <c r="Q115" i="17"/>
  <c r="AW117" i="17"/>
  <c r="AZ117" i="17" s="1"/>
  <c r="AI118" i="17"/>
  <c r="AI119" i="17"/>
  <c r="BA119" i="17"/>
  <c r="AX120" i="17"/>
  <c r="AS120" i="17"/>
  <c r="AV120" i="17" s="1"/>
  <c r="AY120" i="17" s="1"/>
  <c r="T96" i="17"/>
  <c r="T106" i="17"/>
  <c r="E107" i="17"/>
  <c r="E111" i="17"/>
  <c r="N111" i="17"/>
  <c r="M113" i="17"/>
  <c r="N113" i="17"/>
  <c r="AV113" i="17"/>
  <c r="E117" i="17"/>
  <c r="D117" i="17"/>
  <c r="F117" i="17"/>
  <c r="U117" i="17"/>
  <c r="T117" i="17"/>
  <c r="Q117" i="17"/>
  <c r="AS117" i="17"/>
  <c r="AV117" i="17" s="1"/>
  <c r="AX117" i="17"/>
  <c r="BA117" i="17" s="1"/>
  <c r="AS105" i="17"/>
  <c r="AV105" i="17" s="1"/>
  <c r="AY105" i="17" s="1"/>
  <c r="AG106" i="17"/>
  <c r="F107" i="17"/>
  <c r="AX107" i="17"/>
  <c r="BA107" i="17" s="1"/>
  <c r="M108" i="17"/>
  <c r="J109" i="17"/>
  <c r="E110" i="17"/>
  <c r="AF113" i="17"/>
  <c r="AW113" i="17"/>
  <c r="AZ113" i="17" s="1"/>
  <c r="AH116" i="17"/>
  <c r="J118" i="17"/>
  <c r="N118" i="17"/>
  <c r="M120" i="17"/>
  <c r="N120" i="17"/>
  <c r="J120" i="17"/>
  <c r="Q124" i="17"/>
  <c r="Q126" i="17"/>
  <c r="N128" i="17"/>
  <c r="M128" i="17"/>
  <c r="X128" i="17"/>
  <c r="AG128" i="17"/>
  <c r="N129" i="17"/>
  <c r="M129" i="17"/>
  <c r="J129" i="17"/>
  <c r="X129" i="17"/>
  <c r="AG129" i="17"/>
  <c r="U136" i="17"/>
  <c r="T136" i="17"/>
  <c r="AC136" i="17"/>
  <c r="AS137" i="17"/>
  <c r="AB13" i="20"/>
  <c r="AB22" i="20"/>
  <c r="AB25" i="20"/>
  <c r="AB36" i="20"/>
  <c r="AB37" i="20"/>
  <c r="AW126" i="17"/>
  <c r="AZ126" i="17" s="1"/>
  <c r="AS126" i="17"/>
  <c r="AV126" i="17" s="1"/>
  <c r="X123" i="17"/>
  <c r="AG123" i="17"/>
  <c r="N125" i="17"/>
  <c r="M125" i="17"/>
  <c r="X125" i="17"/>
  <c r="AG125" i="17"/>
  <c r="AW127" i="17"/>
  <c r="AZ127" i="17" s="1"/>
  <c r="AS127" i="17"/>
  <c r="AV127" i="17" s="1"/>
  <c r="AY127" i="17" s="1"/>
  <c r="Q136" i="17"/>
  <c r="AB24" i="20"/>
  <c r="AB30" i="20"/>
  <c r="AB31" i="20"/>
  <c r="AB56" i="20"/>
  <c r="AF119" i="17"/>
  <c r="AZ119" i="17" s="1"/>
  <c r="X122" i="17"/>
  <c r="AW122" i="17"/>
  <c r="AZ122" i="17" s="1"/>
  <c r="U124" i="17"/>
  <c r="AW124" i="17"/>
  <c r="AZ124" i="17" s="1"/>
  <c r="U126" i="17"/>
  <c r="AB58" i="20"/>
  <c r="AB59" i="20"/>
  <c r="AB60" i="20"/>
  <c r="AB61" i="20"/>
  <c r="AB62" i="20"/>
  <c r="AW120" i="17"/>
  <c r="AZ120" i="17" s="1"/>
  <c r="AW121" i="17"/>
  <c r="AZ121" i="17" s="1"/>
  <c r="Q123" i="17"/>
  <c r="Q125" i="17"/>
  <c r="X135" i="17"/>
  <c r="AF135" i="17"/>
  <c r="AE135" i="17" s="1"/>
  <c r="H87" i="20"/>
  <c r="AB4" i="20"/>
  <c r="AB66" i="20"/>
  <c r="AB67" i="20"/>
  <c r="AB68" i="20"/>
  <c r="AB69" i="20"/>
  <c r="AB70" i="20"/>
  <c r="X136" i="17"/>
  <c r="AG136" i="17"/>
  <c r="N87" i="20"/>
  <c r="AB79" i="20"/>
  <c r="AB80" i="20"/>
  <c r="AW118" i="17"/>
  <c r="AZ118" i="17" s="1"/>
  <c r="E119" i="17"/>
  <c r="AG121" i="17"/>
  <c r="Q122" i="17"/>
  <c r="N124" i="17"/>
  <c r="M124" i="17"/>
  <c r="X124" i="17"/>
  <c r="AG124" i="17"/>
  <c r="N126" i="17"/>
  <c r="M126" i="17"/>
  <c r="X126" i="17"/>
  <c r="AG126" i="17"/>
  <c r="J128" i="17"/>
  <c r="U87" i="20"/>
  <c r="O87" i="20"/>
  <c r="AX116" i="17"/>
  <c r="BA116" i="17" s="1"/>
  <c r="Q121" i="17"/>
  <c r="U123" i="17"/>
  <c r="AW123" i="17"/>
  <c r="AZ123" i="17" s="1"/>
  <c r="AW125" i="17"/>
  <c r="AZ125" i="17" s="1"/>
  <c r="N127" i="17"/>
  <c r="M127" i="17"/>
  <c r="X127" i="17"/>
  <c r="AG127" i="17"/>
  <c r="V87" i="20"/>
  <c r="AB11" i="20"/>
  <c r="AB87" i="20" s="1"/>
  <c r="AB16" i="20"/>
  <c r="AB34" i="20"/>
  <c r="AB48" i="20"/>
  <c r="AB49" i="20"/>
  <c r="AB50" i="20"/>
  <c r="AB53" i="20"/>
  <c r="AB82" i="20"/>
  <c r="AB83" i="20"/>
  <c r="AB84" i="20"/>
  <c r="AB85" i="20"/>
  <c r="AS128" i="17"/>
  <c r="AV128" i="17" s="1"/>
  <c r="AY128" i="17" s="1"/>
  <c r="AS129" i="17"/>
  <c r="AV129" i="17" s="1"/>
  <c r="AY129" i="17" s="1"/>
  <c r="N135" i="17"/>
  <c r="E135" i="17"/>
  <c r="BE138" i="2" l="1"/>
  <c r="BE144" i="5"/>
  <c r="BE143" i="2"/>
  <c r="BE52" i="2"/>
  <c r="BE26" i="2"/>
  <c r="BE96" i="9"/>
  <c r="AH64" i="14"/>
  <c r="AG64" i="14"/>
  <c r="AG63" i="14"/>
  <c r="AH63" i="14"/>
  <c r="AI25" i="17"/>
  <c r="AH25" i="17"/>
  <c r="AE25" i="17"/>
  <c r="AK93" i="10"/>
  <c r="AJ93" i="10"/>
  <c r="AG93" i="10"/>
  <c r="BA93" i="10" s="1"/>
  <c r="AO65" i="8"/>
  <c r="AN65" i="8"/>
  <c r="AN76" i="8"/>
  <c r="AO76" i="8"/>
  <c r="AO89" i="8"/>
  <c r="AN89" i="8"/>
  <c r="AO10" i="9"/>
  <c r="AN10" i="9"/>
  <c r="BG105" i="8"/>
  <c r="BE105" i="8"/>
  <c r="AO48" i="8"/>
  <c r="AN48" i="8"/>
  <c r="AN12" i="8"/>
  <c r="AO12" i="8"/>
  <c r="AN143" i="7"/>
  <c r="AO143" i="7"/>
  <c r="BG9" i="8"/>
  <c r="AO109" i="7"/>
  <c r="AN109" i="7"/>
  <c r="AI120" i="17"/>
  <c r="AE120" i="17"/>
  <c r="AH120" i="17"/>
  <c r="AI92" i="17"/>
  <c r="AH92" i="17"/>
  <c r="AE92" i="17"/>
  <c r="AE78" i="17"/>
  <c r="AE42" i="17"/>
  <c r="AI42" i="17"/>
  <c r="AH42" i="17"/>
  <c r="AY38" i="17"/>
  <c r="AI14" i="17"/>
  <c r="AH14" i="17"/>
  <c r="AE14" i="17"/>
  <c r="AH94" i="14"/>
  <c r="AG94" i="14"/>
  <c r="AH83" i="14"/>
  <c r="AG83" i="14"/>
  <c r="AN106" i="11"/>
  <c r="AO106" i="11" s="1"/>
  <c r="BG106" i="11"/>
  <c r="BG101" i="11"/>
  <c r="BG12" i="11"/>
  <c r="AI128" i="17"/>
  <c r="AH128" i="17"/>
  <c r="AE128" i="17"/>
  <c r="BA128" i="17"/>
  <c r="AI110" i="17"/>
  <c r="AH110" i="17"/>
  <c r="AE110" i="17"/>
  <c r="AY110" i="17" s="1"/>
  <c r="AI104" i="17"/>
  <c r="AH104" i="17"/>
  <c r="AE104" i="17"/>
  <c r="AY111" i="17"/>
  <c r="AH109" i="17"/>
  <c r="AE109" i="17"/>
  <c r="AI109" i="17"/>
  <c r="AI102" i="17"/>
  <c r="AE102" i="17"/>
  <c r="AH102" i="17"/>
  <c r="AZ79" i="17"/>
  <c r="BA66" i="17"/>
  <c r="AH38" i="17"/>
  <c r="AE38" i="17"/>
  <c r="AI38" i="17"/>
  <c r="AI33" i="17"/>
  <c r="AH33" i="17"/>
  <c r="AE33" i="17"/>
  <c r="AY29" i="17"/>
  <c r="AZ48" i="17"/>
  <c r="AI10" i="17"/>
  <c r="AH10" i="17"/>
  <c r="AE10" i="17"/>
  <c r="BA2" i="17"/>
  <c r="AG90" i="14"/>
  <c r="AH90" i="14"/>
  <c r="AH101" i="14"/>
  <c r="AG101" i="14"/>
  <c r="AH110" i="14"/>
  <c r="AG110" i="14"/>
  <c r="AH125" i="14"/>
  <c r="AG125" i="14"/>
  <c r="AH69" i="14"/>
  <c r="AG69" i="14"/>
  <c r="AG12" i="14"/>
  <c r="AH12" i="14"/>
  <c r="AH26" i="14"/>
  <c r="AG26" i="14"/>
  <c r="AH81" i="14"/>
  <c r="AG81" i="14"/>
  <c r="AG50" i="14"/>
  <c r="AH50" i="14"/>
  <c r="AH39" i="14"/>
  <c r="AG39" i="14"/>
  <c r="AG55" i="14"/>
  <c r="AH55" i="14"/>
  <c r="AK113" i="11"/>
  <c r="BG134" i="11"/>
  <c r="BG115" i="11"/>
  <c r="BG77" i="11"/>
  <c r="BG70" i="11"/>
  <c r="BG60" i="11"/>
  <c r="BG105" i="11"/>
  <c r="BG72" i="11"/>
  <c r="BG65" i="11"/>
  <c r="BG8" i="11"/>
  <c r="AK122" i="10"/>
  <c r="AJ122" i="10"/>
  <c r="AG122" i="10"/>
  <c r="BB17" i="11"/>
  <c r="BE17" i="11" s="1"/>
  <c r="AN31" i="11"/>
  <c r="AO31" i="11" s="1"/>
  <c r="BG31" i="11"/>
  <c r="BG66" i="11"/>
  <c r="BP123" i="10"/>
  <c r="AG77" i="10"/>
  <c r="AK77" i="10"/>
  <c r="AJ77" i="10"/>
  <c r="BP89" i="10"/>
  <c r="AG59" i="10"/>
  <c r="AJ59" i="10"/>
  <c r="BC59" i="10"/>
  <c r="AK59" i="10"/>
  <c r="AK38" i="10"/>
  <c r="AJ38" i="10"/>
  <c r="AG38" i="10"/>
  <c r="AO155" i="9"/>
  <c r="AN155" i="9"/>
  <c r="BG155" i="9"/>
  <c r="AO108" i="9"/>
  <c r="AN108" i="9"/>
  <c r="BC56" i="10"/>
  <c r="BG33" i="11"/>
  <c r="AK82" i="10"/>
  <c r="AJ82" i="10"/>
  <c r="AG82" i="10"/>
  <c r="AJ102" i="10"/>
  <c r="AK102" i="10"/>
  <c r="AG102" i="10"/>
  <c r="BP120" i="10"/>
  <c r="BC82" i="10"/>
  <c r="AK76" i="10"/>
  <c r="AJ76" i="10"/>
  <c r="AG76" i="10"/>
  <c r="BA76" i="10" s="1"/>
  <c r="BC76" i="10"/>
  <c r="BP35" i="10"/>
  <c r="BP6" i="10"/>
  <c r="AO144" i="9"/>
  <c r="AN144" i="9"/>
  <c r="AN112" i="9"/>
  <c r="AO112" i="9"/>
  <c r="AJ32" i="10"/>
  <c r="AK32" i="10"/>
  <c r="AG32" i="10"/>
  <c r="BG141" i="9"/>
  <c r="AO121" i="9"/>
  <c r="AN121" i="9"/>
  <c r="AG5" i="10"/>
  <c r="AJ5" i="10"/>
  <c r="AK5" i="10"/>
  <c r="AO136" i="9"/>
  <c r="AN136" i="9"/>
  <c r="AO117" i="9"/>
  <c r="AN117" i="9"/>
  <c r="BC38" i="10"/>
  <c r="AG23" i="10"/>
  <c r="BA23" i="10" s="1"/>
  <c r="AK23" i="10"/>
  <c r="AJ23" i="10"/>
  <c r="BC31" i="10"/>
  <c r="BC42" i="10"/>
  <c r="AG29" i="10"/>
  <c r="AK25" i="10"/>
  <c r="AG25" i="10"/>
  <c r="BA25" i="10" s="1"/>
  <c r="AJ25" i="10"/>
  <c r="AN168" i="9"/>
  <c r="AO168" i="9"/>
  <c r="BE130" i="9"/>
  <c r="BG96" i="9"/>
  <c r="BB107" i="9"/>
  <c r="BE107" i="9" s="1"/>
  <c r="AK44" i="9"/>
  <c r="BE44" i="9" s="1"/>
  <c r="BT110" i="9"/>
  <c r="AN41" i="9"/>
  <c r="AO41" i="9"/>
  <c r="AO77" i="8"/>
  <c r="AN77" i="8"/>
  <c r="AO104" i="9"/>
  <c r="AN104" i="9"/>
  <c r="BG48" i="9"/>
  <c r="BE112" i="9"/>
  <c r="AN69" i="9"/>
  <c r="AO69" i="9"/>
  <c r="BT72" i="9"/>
  <c r="AK118" i="9"/>
  <c r="BE118" i="9" s="1"/>
  <c r="BG108" i="9"/>
  <c r="BG111" i="8"/>
  <c r="BE111" i="8"/>
  <c r="BT130" i="8"/>
  <c r="BB125" i="8"/>
  <c r="AN92" i="8"/>
  <c r="AO92" i="8"/>
  <c r="AN81" i="8"/>
  <c r="AO81" i="8"/>
  <c r="BE114" i="8"/>
  <c r="BG114" i="8"/>
  <c r="BT85" i="8"/>
  <c r="BE51" i="8"/>
  <c r="BG51" i="8"/>
  <c r="AO144" i="7"/>
  <c r="AN144" i="7"/>
  <c r="AN8" i="9"/>
  <c r="AO8" i="9"/>
  <c r="BT123" i="8"/>
  <c r="BG107" i="8"/>
  <c r="BE107" i="8"/>
  <c r="BG10" i="9"/>
  <c r="AO90" i="8"/>
  <c r="AN90" i="8"/>
  <c r="BG60" i="8"/>
  <c r="BE60" i="8"/>
  <c r="AO55" i="8"/>
  <c r="AN55" i="8"/>
  <c r="AO86" i="8"/>
  <c r="AN116" i="8"/>
  <c r="AO116" i="8"/>
  <c r="BC59" i="9"/>
  <c r="BF2" i="9"/>
  <c r="BF59" i="9" s="1"/>
  <c r="AK88" i="8"/>
  <c r="BE88" i="8" s="1"/>
  <c r="AO52" i="8"/>
  <c r="AN52" i="8"/>
  <c r="BG44" i="8"/>
  <c r="BE44" i="8"/>
  <c r="AO134" i="7"/>
  <c r="AN134" i="7"/>
  <c r="AO35" i="8"/>
  <c r="AN35" i="8"/>
  <c r="AO13" i="8"/>
  <c r="AN13" i="8"/>
  <c r="AI2" i="8"/>
  <c r="AI98" i="8" s="1"/>
  <c r="O98" i="8"/>
  <c r="T2" i="8"/>
  <c r="T98" i="8" s="1"/>
  <c r="BG21" i="8"/>
  <c r="BE21" i="8"/>
  <c r="BB55" i="8"/>
  <c r="BG13" i="8"/>
  <c r="AN33" i="8"/>
  <c r="AO33" i="8"/>
  <c r="BF57" i="8"/>
  <c r="BG52" i="8"/>
  <c r="BE52" i="8"/>
  <c r="AO37" i="8"/>
  <c r="AN37" i="8"/>
  <c r="BE134" i="7"/>
  <c r="AN29" i="8"/>
  <c r="AO29" i="8"/>
  <c r="AO156" i="7"/>
  <c r="AN156" i="7"/>
  <c r="BE124" i="7"/>
  <c r="AK61" i="7"/>
  <c r="AL66" i="7"/>
  <c r="BG12" i="8"/>
  <c r="BE12" i="8"/>
  <c r="AO153" i="7"/>
  <c r="AN153" i="7"/>
  <c r="BG29" i="8"/>
  <c r="BQ98" i="8"/>
  <c r="BT2" i="8"/>
  <c r="BT98" i="8" s="1"/>
  <c r="AO159" i="7"/>
  <c r="AN159" i="7"/>
  <c r="AK129" i="7"/>
  <c r="BE129" i="7" s="1"/>
  <c r="AO93" i="7"/>
  <c r="AN93" i="7"/>
  <c r="BC98" i="8"/>
  <c r="BE127" i="7"/>
  <c r="AO108" i="7"/>
  <c r="AN108" i="7"/>
  <c r="BT18" i="7"/>
  <c r="BU66" i="7"/>
  <c r="BG116" i="6"/>
  <c r="BE81" i="6"/>
  <c r="BE122" i="6"/>
  <c r="BE63" i="7"/>
  <c r="AO92" i="6"/>
  <c r="AN92" i="6"/>
  <c r="AK48" i="6"/>
  <c r="AO20" i="7"/>
  <c r="AN20" i="7"/>
  <c r="BG64" i="6"/>
  <c r="BE61" i="6"/>
  <c r="AO41" i="6"/>
  <c r="AN41" i="6"/>
  <c r="BE36" i="7"/>
  <c r="BE126" i="6"/>
  <c r="BE28" i="7"/>
  <c r="AK61" i="6"/>
  <c r="AO18" i="6"/>
  <c r="AN18" i="6"/>
  <c r="AK151" i="5"/>
  <c r="BG151" i="5"/>
  <c r="AO151" i="5"/>
  <c r="AN151" i="5"/>
  <c r="BF119" i="5"/>
  <c r="AK92" i="5"/>
  <c r="BE92" i="5" s="1"/>
  <c r="AO92" i="5"/>
  <c r="BG92" i="5"/>
  <c r="AN92" i="5"/>
  <c r="AO70" i="6"/>
  <c r="AN70" i="6"/>
  <c r="AN25" i="6"/>
  <c r="AO25" i="6"/>
  <c r="AO8" i="6"/>
  <c r="AN8" i="6"/>
  <c r="AK117" i="5"/>
  <c r="BE117" i="5" s="1"/>
  <c r="BG117" i="5"/>
  <c r="AO117" i="5"/>
  <c r="AN117" i="5"/>
  <c r="BG28" i="6"/>
  <c r="AN15" i="6"/>
  <c r="AO15" i="6"/>
  <c r="BT3" i="6"/>
  <c r="BT131" i="6" s="1"/>
  <c r="AL131" i="6"/>
  <c r="AN145" i="5"/>
  <c r="BG145" i="5"/>
  <c r="AO145" i="5"/>
  <c r="AK145" i="5"/>
  <c r="BG76" i="5"/>
  <c r="AO76" i="5"/>
  <c r="AN76" i="5"/>
  <c r="AK76" i="5"/>
  <c r="BE76" i="5" s="1"/>
  <c r="BE125" i="5"/>
  <c r="AK109" i="5"/>
  <c r="BG109" i="5"/>
  <c r="AO109" i="5"/>
  <c r="AN109" i="5"/>
  <c r="BE21" i="6"/>
  <c r="AN17" i="6"/>
  <c r="AO17" i="6"/>
  <c r="AN12" i="6"/>
  <c r="AO12" i="6"/>
  <c r="BG83" i="5"/>
  <c r="AO83" i="5"/>
  <c r="AN83" i="5"/>
  <c r="AK83" i="5"/>
  <c r="BE83" i="5" s="1"/>
  <c r="AG131" i="6"/>
  <c r="BB145" i="5"/>
  <c r="BE145" i="5" s="1"/>
  <c r="BG79" i="5"/>
  <c r="AK79" i="5"/>
  <c r="BE79" i="5" s="1"/>
  <c r="AO79" i="5"/>
  <c r="AN79" i="5"/>
  <c r="BT28" i="6"/>
  <c r="AK49" i="5"/>
  <c r="BE49" i="5" s="1"/>
  <c r="BG49" i="5"/>
  <c r="AN49" i="5"/>
  <c r="AO49" i="5"/>
  <c r="AK28" i="5"/>
  <c r="AN28" i="5"/>
  <c r="AO28" i="5"/>
  <c r="BG28" i="5"/>
  <c r="AK88" i="5"/>
  <c r="BE88" i="5" s="1"/>
  <c r="BE37" i="5"/>
  <c r="BG25" i="5"/>
  <c r="AO25" i="5"/>
  <c r="AK25" i="5"/>
  <c r="BE25" i="5" s="1"/>
  <c r="AN25" i="5"/>
  <c r="BG6" i="5"/>
  <c r="AK6" i="5"/>
  <c r="BE6" i="5" s="1"/>
  <c r="AO6" i="5"/>
  <c r="AN6" i="5"/>
  <c r="AK111" i="4"/>
  <c r="AJ111" i="4"/>
  <c r="AJ95" i="4"/>
  <c r="AK95" i="4"/>
  <c r="BB52" i="4"/>
  <c r="AK20" i="4"/>
  <c r="AJ20" i="4"/>
  <c r="AK40" i="5"/>
  <c r="BG40" i="5"/>
  <c r="AO40" i="5"/>
  <c r="AN40" i="5"/>
  <c r="DG339" i="5"/>
  <c r="BC161" i="5"/>
  <c r="AJ41" i="4"/>
  <c r="AK41" i="4"/>
  <c r="AJ35" i="4"/>
  <c r="AK35" i="4"/>
  <c r="BC35" i="4"/>
  <c r="AJ5" i="4"/>
  <c r="AK5" i="4"/>
  <c r="AK66" i="4"/>
  <c r="AJ66" i="4"/>
  <c r="AK36" i="3"/>
  <c r="AJ36" i="3"/>
  <c r="AG36" i="3"/>
  <c r="BA36" i="3" s="1"/>
  <c r="BC36" i="3"/>
  <c r="AK17" i="3"/>
  <c r="AJ17" i="3"/>
  <c r="AG17" i="3"/>
  <c r="BA17" i="3" s="1"/>
  <c r="BC17" i="3"/>
  <c r="AO115" i="2"/>
  <c r="AN115" i="2"/>
  <c r="BE5" i="5"/>
  <c r="AK45" i="5"/>
  <c r="AO45" i="5"/>
  <c r="AN45" i="5"/>
  <c r="BG45" i="5"/>
  <c r="AJ52" i="4"/>
  <c r="AK52" i="4"/>
  <c r="BA26" i="4"/>
  <c r="AK17" i="4"/>
  <c r="AJ17" i="4"/>
  <c r="BG15" i="6"/>
  <c r="BB3" i="5"/>
  <c r="BA71" i="4"/>
  <c r="W97" i="4"/>
  <c r="AL161" i="5"/>
  <c r="BF2" i="5"/>
  <c r="BF161" i="5" s="1"/>
  <c r="AO3" i="5"/>
  <c r="AN3" i="5"/>
  <c r="BG3" i="5"/>
  <c r="AK3" i="5"/>
  <c r="AK28" i="4"/>
  <c r="AJ28" i="4"/>
  <c r="AG7" i="4"/>
  <c r="AJ106" i="3"/>
  <c r="AG106" i="3"/>
  <c r="BC106" i="3"/>
  <c r="AK106" i="3"/>
  <c r="BS104" i="2"/>
  <c r="BB104" i="2"/>
  <c r="BE104" i="2" s="1"/>
  <c r="AJ105" i="3"/>
  <c r="BC105" i="3"/>
  <c r="AK105" i="3"/>
  <c r="AG105" i="3"/>
  <c r="BG141" i="2"/>
  <c r="BS112" i="2"/>
  <c r="BB112" i="2"/>
  <c r="BE112" i="2" s="1"/>
  <c r="AJ71" i="3"/>
  <c r="AK71" i="3"/>
  <c r="AG71" i="3"/>
  <c r="BC71" i="3"/>
  <c r="AD100" i="3"/>
  <c r="AK15" i="3"/>
  <c r="AJ15" i="3"/>
  <c r="BC15" i="3"/>
  <c r="AG15" i="3"/>
  <c r="BA15" i="3" s="1"/>
  <c r="AZ100" i="3"/>
  <c r="BS133" i="2"/>
  <c r="BB133" i="2"/>
  <c r="BE133" i="2" s="1"/>
  <c r="BG105" i="2"/>
  <c r="AG4" i="3"/>
  <c r="BC4" i="3"/>
  <c r="AJ4" i="3"/>
  <c r="AK4" i="3"/>
  <c r="AO116" i="2"/>
  <c r="AN116" i="2"/>
  <c r="BG60" i="2"/>
  <c r="BE50" i="2"/>
  <c r="BE29" i="2"/>
  <c r="AO150" i="2"/>
  <c r="AN150" i="2"/>
  <c r="AN147" i="2"/>
  <c r="AO147" i="2"/>
  <c r="BG114" i="2"/>
  <c r="BE57" i="2"/>
  <c r="BG112" i="2"/>
  <c r="BS123" i="2"/>
  <c r="BB123" i="2"/>
  <c r="BE123" i="2" s="1"/>
  <c r="BC30" i="3"/>
  <c r="AK30" i="3"/>
  <c r="AJ30" i="3"/>
  <c r="AG30" i="3"/>
  <c r="BA30" i="3" s="1"/>
  <c r="AN131" i="2"/>
  <c r="AO131" i="2"/>
  <c r="BE83" i="2"/>
  <c r="BE36" i="2"/>
  <c r="BE87" i="2"/>
  <c r="BS40" i="2"/>
  <c r="BB40" i="2"/>
  <c r="BE40" i="2" s="1"/>
  <c r="BE21" i="2"/>
  <c r="AO37" i="2"/>
  <c r="AN37" i="2"/>
  <c r="AL53" i="2"/>
  <c r="BB38" i="2"/>
  <c r="BE38" i="2" s="1"/>
  <c r="BS38" i="2"/>
  <c r="AL57" i="2"/>
  <c r="AL72" i="2"/>
  <c r="BG59" i="2"/>
  <c r="AH37" i="14"/>
  <c r="AG37" i="14"/>
  <c r="AI129" i="17"/>
  <c r="AH129" i="17"/>
  <c r="AE129" i="17"/>
  <c r="BA129" i="17"/>
  <c r="AH106" i="17"/>
  <c r="AE106" i="17"/>
  <c r="AY106" i="17" s="1"/>
  <c r="AI106" i="17"/>
  <c r="AE84" i="17"/>
  <c r="AY84" i="17" s="1"/>
  <c r="AI84" i="17"/>
  <c r="AH84" i="17"/>
  <c r="AI54" i="17"/>
  <c r="AH54" i="17"/>
  <c r="AE54" i="17"/>
  <c r="AY54" i="17" s="1"/>
  <c r="AE53" i="17"/>
  <c r="AI53" i="17"/>
  <c r="AH53" i="17"/>
  <c r="AI47" i="17"/>
  <c r="AH47" i="17"/>
  <c r="BA47" i="17"/>
  <c r="AE47" i="17"/>
  <c r="AY47" i="17" s="1"/>
  <c r="AI9" i="17"/>
  <c r="AH9" i="17"/>
  <c r="AE9" i="17"/>
  <c r="AY9" i="17" s="1"/>
  <c r="AH79" i="14"/>
  <c r="AG79" i="14"/>
  <c r="AK131" i="11"/>
  <c r="AG3" i="14"/>
  <c r="AH3" i="14"/>
  <c r="AI136" i="17"/>
  <c r="AH136" i="17"/>
  <c r="AE136" i="17"/>
  <c r="AI103" i="17"/>
  <c r="AH103" i="17"/>
  <c r="AE103" i="17"/>
  <c r="BA113" i="17"/>
  <c r="AI100" i="17"/>
  <c r="AH100" i="17"/>
  <c r="AE100" i="17"/>
  <c r="AZ95" i="17"/>
  <c r="AY78" i="17"/>
  <c r="AH66" i="17"/>
  <c r="AI66" i="17"/>
  <c r="AE66" i="17"/>
  <c r="AE44" i="17"/>
  <c r="AI44" i="17"/>
  <c r="AH44" i="17"/>
  <c r="AE21" i="17"/>
  <c r="AI21" i="17"/>
  <c r="AH21" i="17"/>
  <c r="AH5" i="17"/>
  <c r="AE5" i="17"/>
  <c r="AY5" i="17" s="1"/>
  <c r="AI5" i="17"/>
  <c r="AX130" i="17"/>
  <c r="BA130" i="17" s="1"/>
  <c r="CK169" i="17"/>
  <c r="AG130" i="17"/>
  <c r="AE2" i="17"/>
  <c r="AE130" i="17" s="1"/>
  <c r="AH2" i="17"/>
  <c r="AI2" i="17"/>
  <c r="AG126" i="14"/>
  <c r="AH126" i="14"/>
  <c r="AH123" i="14"/>
  <c r="AG123" i="14"/>
  <c r="W119" i="14"/>
  <c r="AE119" i="14"/>
  <c r="AH42" i="14"/>
  <c r="AG42" i="14"/>
  <c r="AH20" i="14"/>
  <c r="AG20" i="14"/>
  <c r="BG103" i="11"/>
  <c r="AG11" i="14"/>
  <c r="AH11" i="14"/>
  <c r="AD26" i="14"/>
  <c r="AD119" i="14" s="1"/>
  <c r="BG112" i="11"/>
  <c r="BC118" i="11"/>
  <c r="BF2" i="11"/>
  <c r="BF118" i="11" s="1"/>
  <c r="BG82" i="11"/>
  <c r="BD118" i="11"/>
  <c r="BG2" i="11"/>
  <c r="BE21" i="11"/>
  <c r="AK129" i="10"/>
  <c r="AJ129" i="10"/>
  <c r="AG129" i="10"/>
  <c r="AK109" i="10"/>
  <c r="AJ109" i="10"/>
  <c r="AG109" i="10"/>
  <c r="AK89" i="10"/>
  <c r="AJ89" i="10"/>
  <c r="AG89" i="10"/>
  <c r="AO148" i="9"/>
  <c r="AN148" i="9"/>
  <c r="AO105" i="9"/>
  <c r="AN105" i="9"/>
  <c r="BA71" i="10"/>
  <c r="AJ64" i="10"/>
  <c r="AK64" i="10"/>
  <c r="AG64" i="10"/>
  <c r="BA59" i="10"/>
  <c r="BC53" i="10"/>
  <c r="BC70" i="10"/>
  <c r="AG49" i="10"/>
  <c r="AK49" i="10"/>
  <c r="AJ49" i="10"/>
  <c r="BE119" i="9"/>
  <c r="AO134" i="9"/>
  <c r="AN134" i="9"/>
  <c r="K124" i="10"/>
  <c r="AE2" i="10"/>
  <c r="AE124" i="10" s="1"/>
  <c r="P2" i="10"/>
  <c r="P124" i="10" s="1"/>
  <c r="O2" i="10"/>
  <c r="O124" i="10" s="1"/>
  <c r="AN149" i="9"/>
  <c r="AO149" i="9"/>
  <c r="AG18" i="10"/>
  <c r="BA18" i="10" s="1"/>
  <c r="AK18" i="10"/>
  <c r="AJ18" i="10"/>
  <c r="AG31" i="10"/>
  <c r="AJ31" i="10"/>
  <c r="AK31" i="10"/>
  <c r="BG78" i="9"/>
  <c r="BE127" i="9"/>
  <c r="BE116" i="9"/>
  <c r="BG70" i="9"/>
  <c r="AN44" i="9"/>
  <c r="AO44" i="9"/>
  <c r="AN96" i="9"/>
  <c r="AO96" i="9"/>
  <c r="AN29" i="9"/>
  <c r="AO29" i="9"/>
  <c r="AO67" i="8"/>
  <c r="AN67" i="8"/>
  <c r="AO47" i="9"/>
  <c r="AN47" i="9"/>
  <c r="AO77" i="9"/>
  <c r="AN77" i="9"/>
  <c r="AK72" i="9"/>
  <c r="BE72" i="9" s="1"/>
  <c r="BE106" i="9"/>
  <c r="BB2" i="9"/>
  <c r="AQ59" i="9"/>
  <c r="AO79" i="8"/>
  <c r="AN79" i="8"/>
  <c r="BG68" i="8"/>
  <c r="BE68" i="8"/>
  <c r="BG133" i="8"/>
  <c r="BE133" i="8"/>
  <c r="BE125" i="8"/>
  <c r="BG125" i="8"/>
  <c r="BG113" i="8"/>
  <c r="BE113" i="8"/>
  <c r="BG57" i="8"/>
  <c r="BE57" i="8"/>
  <c r="AO118" i="8"/>
  <c r="AN118" i="8"/>
  <c r="AN108" i="8"/>
  <c r="AO108" i="8"/>
  <c r="BG106" i="8"/>
  <c r="BE106" i="8"/>
  <c r="AO140" i="8"/>
  <c r="AN140" i="8"/>
  <c r="BE129" i="8"/>
  <c r="BG129" i="8"/>
  <c r="AO120" i="8"/>
  <c r="AN120" i="8"/>
  <c r="AO114" i="8"/>
  <c r="AN114" i="8"/>
  <c r="AN83" i="8"/>
  <c r="AO83" i="8"/>
  <c r="BG63" i="8"/>
  <c r="BE63" i="8"/>
  <c r="AK119" i="8"/>
  <c r="BE119" i="8" s="1"/>
  <c r="BE85" i="8"/>
  <c r="BG85" i="8"/>
  <c r="BE58" i="8"/>
  <c r="BG58" i="8"/>
  <c r="BG40" i="8"/>
  <c r="BE40" i="8"/>
  <c r="AO7" i="8"/>
  <c r="AN7" i="8"/>
  <c r="BE156" i="7"/>
  <c r="BT52" i="8"/>
  <c r="BG39" i="8"/>
  <c r="BE39" i="8"/>
  <c r="BG55" i="8"/>
  <c r="BE10" i="8"/>
  <c r="BG10" i="8"/>
  <c r="AN23" i="8"/>
  <c r="AO23" i="8"/>
  <c r="BG23" i="8"/>
  <c r="BF77" i="7"/>
  <c r="BB155" i="7"/>
  <c r="BE155" i="7" s="1"/>
  <c r="AK2" i="7"/>
  <c r="AK66" i="7" s="1"/>
  <c r="AD66" i="7"/>
  <c r="AO2" i="8"/>
  <c r="AM98" i="8"/>
  <c r="AO98" i="8" s="1"/>
  <c r="AO104" i="7"/>
  <c r="AN104" i="7"/>
  <c r="AO31" i="7"/>
  <c r="AN31" i="7"/>
  <c r="BB92" i="7"/>
  <c r="BE92" i="7" s="1"/>
  <c r="AO88" i="7"/>
  <c r="AN88" i="7"/>
  <c r="BG104" i="7"/>
  <c r="AO57" i="7"/>
  <c r="AN57" i="7"/>
  <c r="AO6" i="8"/>
  <c r="AN6" i="8"/>
  <c r="BE58" i="7"/>
  <c r="AO81" i="6"/>
  <c r="AN81" i="6"/>
  <c r="BB41" i="7"/>
  <c r="BE41" i="7" s="1"/>
  <c r="BG128" i="6"/>
  <c r="AO56" i="6"/>
  <c r="AN56" i="6"/>
  <c r="AO18" i="7"/>
  <c r="AN18" i="7"/>
  <c r="AN123" i="6"/>
  <c r="AO123" i="6"/>
  <c r="AO115" i="6"/>
  <c r="AN115" i="6"/>
  <c r="AO103" i="6"/>
  <c r="AN103" i="6"/>
  <c r="AN100" i="6"/>
  <c r="AO100" i="6"/>
  <c r="AO96" i="6"/>
  <c r="AN96" i="6"/>
  <c r="AO63" i="6"/>
  <c r="AN63" i="6"/>
  <c r="AO51" i="6"/>
  <c r="AN51" i="6"/>
  <c r="AK20" i="7"/>
  <c r="BG139" i="6"/>
  <c r="AN71" i="6"/>
  <c r="AO71" i="6"/>
  <c r="AO111" i="6"/>
  <c r="AN111" i="6"/>
  <c r="AO28" i="7"/>
  <c r="AN28" i="7"/>
  <c r="AO141" i="6"/>
  <c r="AN141" i="6"/>
  <c r="BB53" i="6"/>
  <c r="BE53" i="6" s="1"/>
  <c r="BG100" i="6"/>
  <c r="BE19" i="7"/>
  <c r="T66" i="7"/>
  <c r="AO88" i="6"/>
  <c r="AN88" i="6"/>
  <c r="BB71" i="6"/>
  <c r="BE71" i="6" s="1"/>
  <c r="AO42" i="6"/>
  <c r="AN42" i="6"/>
  <c r="AN21" i="6"/>
  <c r="AO21" i="6"/>
  <c r="BE4" i="6"/>
  <c r="AK164" i="5"/>
  <c r="AO164" i="5"/>
  <c r="AN164" i="5"/>
  <c r="AO135" i="5"/>
  <c r="BG135" i="5"/>
  <c r="AN135" i="5"/>
  <c r="AK135" i="5"/>
  <c r="BE135" i="5" s="1"/>
  <c r="BG88" i="6"/>
  <c r="BG42" i="6"/>
  <c r="P131" i="6"/>
  <c r="AK98" i="5"/>
  <c r="AO98" i="5"/>
  <c r="BG98" i="5"/>
  <c r="AN98" i="5"/>
  <c r="AO62" i="5"/>
  <c r="AN62" i="5"/>
  <c r="AK62" i="5"/>
  <c r="BG62" i="5"/>
  <c r="AN23" i="6"/>
  <c r="AO23" i="6"/>
  <c r="BG93" i="5"/>
  <c r="AO93" i="5"/>
  <c r="AN93" i="5"/>
  <c r="AK93" i="5"/>
  <c r="BE93" i="5" s="1"/>
  <c r="BG21" i="6"/>
  <c r="AO3" i="6"/>
  <c r="AN3" i="6"/>
  <c r="AH131" i="6"/>
  <c r="AK141" i="5"/>
  <c r="BE141" i="5" s="1"/>
  <c r="AO141" i="5"/>
  <c r="AN141" i="5"/>
  <c r="BG141" i="5"/>
  <c r="AK103" i="5"/>
  <c r="BE103" i="5" s="1"/>
  <c r="BG103" i="5"/>
  <c r="AO103" i="5"/>
  <c r="AN103" i="5"/>
  <c r="DC318" i="6"/>
  <c r="BC131" i="6"/>
  <c r="BF131" i="6" s="1"/>
  <c r="BE28" i="5"/>
  <c r="BG15" i="5"/>
  <c r="AK15" i="5"/>
  <c r="BE15" i="5" s="1"/>
  <c r="AO15" i="5"/>
  <c r="AN15" i="5"/>
  <c r="BU161" i="5"/>
  <c r="AK74" i="4"/>
  <c r="AJ74" i="4"/>
  <c r="BA63" i="4"/>
  <c r="AK23" i="4"/>
  <c r="AJ23" i="4"/>
  <c r="AK26" i="5"/>
  <c r="BE26" i="5" s="1"/>
  <c r="AO26" i="5"/>
  <c r="BG26" i="5"/>
  <c r="AN26" i="5"/>
  <c r="BC109" i="4"/>
  <c r="BC74" i="4"/>
  <c r="BC50" i="4"/>
  <c r="AJ10" i="4"/>
  <c r="AK10" i="4"/>
  <c r="AK24" i="3"/>
  <c r="AJ24" i="3"/>
  <c r="AG24" i="3"/>
  <c r="BC24" i="3"/>
  <c r="AK8" i="3"/>
  <c r="AJ8" i="3"/>
  <c r="AG8" i="3"/>
  <c r="BC8" i="3"/>
  <c r="AO111" i="2"/>
  <c r="AN111" i="2"/>
  <c r="AK68" i="4"/>
  <c r="AJ68" i="4"/>
  <c r="AJ36" i="4"/>
  <c r="BC36" i="4"/>
  <c r="AK36" i="4"/>
  <c r="AK25" i="4"/>
  <c r="AJ25" i="4"/>
  <c r="AO11" i="5"/>
  <c r="AN11" i="5"/>
  <c r="BG11" i="5"/>
  <c r="AK11" i="5"/>
  <c r="BA79" i="4"/>
  <c r="AJ15" i="4"/>
  <c r="AK15" i="4"/>
  <c r="AG71" i="4"/>
  <c r="AJ32" i="4"/>
  <c r="AK32" i="4"/>
  <c r="AK18" i="5"/>
  <c r="AO18" i="5"/>
  <c r="BG18" i="5"/>
  <c r="AN18" i="5"/>
  <c r="AO27" i="5"/>
  <c r="AN27" i="5"/>
  <c r="BG27" i="5"/>
  <c r="AK27" i="5"/>
  <c r="BB16" i="5"/>
  <c r="BE16" i="5" s="1"/>
  <c r="BB73" i="4"/>
  <c r="AX50" i="4"/>
  <c r="BA50" i="4" s="1"/>
  <c r="BC56" i="3"/>
  <c r="AG56" i="3"/>
  <c r="BA56" i="3" s="1"/>
  <c r="AK56" i="3"/>
  <c r="AJ56" i="3"/>
  <c r="AN118" i="2"/>
  <c r="AO118" i="2"/>
  <c r="AG72" i="3"/>
  <c r="BC72" i="3"/>
  <c r="AK72" i="3"/>
  <c r="AJ72" i="3"/>
  <c r="AN122" i="2"/>
  <c r="AO122" i="2"/>
  <c r="AK91" i="3"/>
  <c r="AG91" i="3"/>
  <c r="BA91" i="3" s="1"/>
  <c r="AJ91" i="3"/>
  <c r="BC91" i="3"/>
  <c r="BA59" i="3"/>
  <c r="BA106" i="4"/>
  <c r="BC67" i="3"/>
  <c r="AG67" i="3"/>
  <c r="BA67" i="3" s="1"/>
  <c r="AK67" i="3"/>
  <c r="AJ67" i="3"/>
  <c r="AL151" i="2"/>
  <c r="BE100" i="3"/>
  <c r="BP2" i="3"/>
  <c r="AO137" i="2"/>
  <c r="AN137" i="2"/>
  <c r="AO101" i="2"/>
  <c r="AN101" i="2"/>
  <c r="AN110" i="2"/>
  <c r="AO110" i="2"/>
  <c r="BE6" i="2"/>
  <c r="AO161" i="2"/>
  <c r="AN161" i="2"/>
  <c r="AO143" i="2"/>
  <c r="AN143" i="2"/>
  <c r="AO69" i="2"/>
  <c r="AN69" i="2"/>
  <c r="Z151" i="2"/>
  <c r="BB158" i="2"/>
  <c r="BE158" i="2" s="1"/>
  <c r="BS158" i="2"/>
  <c r="BE109" i="2"/>
  <c r="BG103" i="2"/>
  <c r="BA29" i="3"/>
  <c r="BG123" i="2"/>
  <c r="BG126" i="2"/>
  <c r="AO99" i="2"/>
  <c r="AN99" i="2"/>
  <c r="BE102" i="2"/>
  <c r="AO62" i="2"/>
  <c r="AN62" i="2"/>
  <c r="AO22" i="2"/>
  <c r="AN22" i="2"/>
  <c r="BA24" i="3"/>
  <c r="AO39" i="2"/>
  <c r="AN39" i="2"/>
  <c r="AO3" i="2"/>
  <c r="AN3" i="2"/>
  <c r="AO45" i="2"/>
  <c r="AN45" i="2"/>
  <c r="BG22" i="2"/>
  <c r="AO8" i="2"/>
  <c r="AN8" i="2"/>
  <c r="AO20" i="2"/>
  <c r="AN20" i="2"/>
  <c r="BG20" i="2"/>
  <c r="BE25" i="2"/>
  <c r="AL6" i="2"/>
  <c r="AI126" i="17"/>
  <c r="AH126" i="17"/>
  <c r="AE126" i="17"/>
  <c r="AY126" i="17" s="1"/>
  <c r="BA126" i="17"/>
  <c r="AI125" i="17"/>
  <c r="AH125" i="17"/>
  <c r="AE125" i="17"/>
  <c r="BA125" i="17"/>
  <c r="AE79" i="17"/>
  <c r="AI79" i="17"/>
  <c r="AH79" i="17"/>
  <c r="BG98" i="11"/>
  <c r="BV118" i="11"/>
  <c r="AM118" i="11"/>
  <c r="AN2" i="11"/>
  <c r="AK16" i="11"/>
  <c r="AG66" i="10"/>
  <c r="AJ66" i="10"/>
  <c r="AK66" i="10"/>
  <c r="AK101" i="10"/>
  <c r="AJ101" i="10"/>
  <c r="AG101" i="10"/>
  <c r="AO145" i="9"/>
  <c r="AN145" i="9"/>
  <c r="BG145" i="9"/>
  <c r="AK53" i="10"/>
  <c r="AJ53" i="10"/>
  <c r="AG53" i="10"/>
  <c r="AG111" i="10"/>
  <c r="AJ111" i="10"/>
  <c r="AK111" i="10"/>
  <c r="BC101" i="10"/>
  <c r="AG95" i="10"/>
  <c r="AJ95" i="10"/>
  <c r="AK95" i="10"/>
  <c r="BC111" i="10"/>
  <c r="AJ56" i="10"/>
  <c r="AK56" i="10"/>
  <c r="AG56" i="10"/>
  <c r="BA5" i="10"/>
  <c r="AK58" i="10"/>
  <c r="AJ58" i="10"/>
  <c r="AG58" i="10"/>
  <c r="AO147" i="9"/>
  <c r="AN147" i="9"/>
  <c r="AO50" i="9"/>
  <c r="AN50" i="9"/>
  <c r="AG36" i="10"/>
  <c r="BA36" i="10" s="1"/>
  <c r="AJ36" i="10"/>
  <c r="AK36" i="10"/>
  <c r="BE157" i="9"/>
  <c r="AK8" i="10"/>
  <c r="AJ8" i="10"/>
  <c r="AG8" i="10"/>
  <c r="AO146" i="9"/>
  <c r="AN146" i="9"/>
  <c r="AN127" i="9"/>
  <c r="AO127" i="9"/>
  <c r="AK45" i="10"/>
  <c r="AJ45" i="10"/>
  <c r="AG45" i="10"/>
  <c r="BE158" i="9"/>
  <c r="AO139" i="9"/>
  <c r="AN139" i="9"/>
  <c r="BB5" i="10"/>
  <c r="AO135" i="9"/>
  <c r="AN135" i="9"/>
  <c r="AN102" i="9"/>
  <c r="BG102" i="9"/>
  <c r="AO102" i="9"/>
  <c r="AO66" i="9"/>
  <c r="AN66" i="9"/>
  <c r="AO115" i="9"/>
  <c r="AN115" i="9"/>
  <c r="AO70" i="9"/>
  <c r="AN70" i="9"/>
  <c r="BG139" i="9"/>
  <c r="AN51" i="9"/>
  <c r="AO51" i="9"/>
  <c r="BG40" i="9"/>
  <c r="AN68" i="9"/>
  <c r="AO68" i="9"/>
  <c r="AO73" i="9"/>
  <c r="AN73" i="9"/>
  <c r="AN36" i="9"/>
  <c r="AO36" i="9"/>
  <c r="BG36" i="9"/>
  <c r="BE68" i="9"/>
  <c r="AN12" i="9"/>
  <c r="AO12" i="9"/>
  <c r="AN144" i="8"/>
  <c r="AO144" i="8"/>
  <c r="AO107" i="8"/>
  <c r="AN107" i="8"/>
  <c r="BG91" i="8"/>
  <c r="BE91" i="8"/>
  <c r="BE27" i="9"/>
  <c r="BU59" i="9"/>
  <c r="BE117" i="8"/>
  <c r="BG117" i="8"/>
  <c r="AO96" i="8"/>
  <c r="AN96" i="8"/>
  <c r="BE86" i="8"/>
  <c r="BG86" i="8"/>
  <c r="AN136" i="8"/>
  <c r="AO136" i="8"/>
  <c r="BG89" i="8"/>
  <c r="BD59" i="9"/>
  <c r="BG2" i="9"/>
  <c r="BG59" i="9" s="1"/>
  <c r="AN131" i="8"/>
  <c r="AO131" i="8"/>
  <c r="AO103" i="8"/>
  <c r="AN103" i="8"/>
  <c r="AN146" i="8"/>
  <c r="AO146" i="8"/>
  <c r="AN106" i="8"/>
  <c r="AO106" i="8"/>
  <c r="AN51" i="8"/>
  <c r="AO51" i="8"/>
  <c r="BU98" i="8"/>
  <c r="BE24" i="8"/>
  <c r="BG24" i="8"/>
  <c r="BE17" i="8"/>
  <c r="BG17" i="8"/>
  <c r="BG11" i="8"/>
  <c r="BE11" i="8"/>
  <c r="BG48" i="8"/>
  <c r="BE48" i="8"/>
  <c r="BG31" i="8"/>
  <c r="BE31" i="8"/>
  <c r="BG30" i="8"/>
  <c r="BE30" i="8"/>
  <c r="AN4" i="8"/>
  <c r="AO4" i="8"/>
  <c r="BG4" i="8"/>
  <c r="BE99" i="7"/>
  <c r="AO87" i="7"/>
  <c r="AN87" i="7"/>
  <c r="AM66" i="7"/>
  <c r="AO66" i="7" s="1"/>
  <c r="AN2" i="7"/>
  <c r="AO2" i="7"/>
  <c r="AO4" i="7"/>
  <c r="AN4" i="7"/>
  <c r="AO65" i="6"/>
  <c r="AN65" i="6"/>
  <c r="BV98" i="8"/>
  <c r="AO79" i="7"/>
  <c r="AN79" i="7"/>
  <c r="AO49" i="7"/>
  <c r="AN49" i="7"/>
  <c r="AO122" i="7"/>
  <c r="AN122" i="7"/>
  <c r="AO42" i="7"/>
  <c r="AN42" i="7"/>
  <c r="AO103" i="7"/>
  <c r="AN103" i="7"/>
  <c r="AN148" i="7"/>
  <c r="AO148" i="7"/>
  <c r="BE48" i="7"/>
  <c r="AO44" i="7"/>
  <c r="AN44" i="7"/>
  <c r="BE66" i="7"/>
  <c r="AO147" i="6"/>
  <c r="AN147" i="6"/>
  <c r="AO75" i="6"/>
  <c r="AN75" i="6"/>
  <c r="AO126" i="6"/>
  <c r="AN126" i="6"/>
  <c r="AO8" i="7"/>
  <c r="AN8" i="7"/>
  <c r="AO145" i="6"/>
  <c r="AN145" i="6"/>
  <c r="BG107" i="6"/>
  <c r="AO5" i="6"/>
  <c r="AN5" i="6"/>
  <c r="AN46" i="7"/>
  <c r="AO46" i="7"/>
  <c r="AO19" i="7"/>
  <c r="AN19" i="7"/>
  <c r="AO86" i="6"/>
  <c r="AN86" i="6"/>
  <c r="AN12" i="7"/>
  <c r="AO12" i="7"/>
  <c r="BE52" i="6"/>
  <c r="AN13" i="7"/>
  <c r="AO13" i="7"/>
  <c r="AN146" i="6"/>
  <c r="AO146" i="6"/>
  <c r="AO128" i="6"/>
  <c r="AN128" i="6"/>
  <c r="AN64" i="6"/>
  <c r="AO64" i="6"/>
  <c r="AN7" i="6"/>
  <c r="AO7" i="6"/>
  <c r="AN131" i="5"/>
  <c r="AO131" i="5"/>
  <c r="BG131" i="5"/>
  <c r="AK131" i="5"/>
  <c r="BE131" i="5" s="1"/>
  <c r="BG95" i="5"/>
  <c r="AO95" i="5"/>
  <c r="AK95" i="5"/>
  <c r="BE95" i="5" s="1"/>
  <c r="AN95" i="5"/>
  <c r="BG81" i="6"/>
  <c r="AO19" i="6"/>
  <c r="AN19" i="6"/>
  <c r="BU131" i="6"/>
  <c r="AN168" i="5"/>
  <c r="AO168" i="5"/>
  <c r="AK168" i="5"/>
  <c r="BG116" i="5"/>
  <c r="AO116" i="5"/>
  <c r="AN116" i="5"/>
  <c r="AK116" i="5"/>
  <c r="BE116" i="5" s="1"/>
  <c r="AK105" i="5"/>
  <c r="BE105" i="5" s="1"/>
  <c r="BG105" i="5"/>
  <c r="AN105" i="5"/>
  <c r="AO105" i="5"/>
  <c r="AG51" i="4"/>
  <c r="BE49" i="6"/>
  <c r="AO27" i="6"/>
  <c r="AN27" i="6"/>
  <c r="AK175" i="5"/>
  <c r="AO175" i="5"/>
  <c r="AN175" i="5"/>
  <c r="BT22" i="6"/>
  <c r="BX131" i="6"/>
  <c r="BE29" i="6"/>
  <c r="AK122" i="5"/>
  <c r="AN122" i="5"/>
  <c r="BG122" i="5"/>
  <c r="AO122" i="5"/>
  <c r="BG91" i="5"/>
  <c r="AO91" i="5"/>
  <c r="AK91" i="5"/>
  <c r="AN91" i="5"/>
  <c r="BF78" i="5"/>
  <c r="AK63" i="5"/>
  <c r="BE63" i="5" s="1"/>
  <c r="BG63" i="5"/>
  <c r="AO63" i="5"/>
  <c r="AN63" i="5"/>
  <c r="BG41" i="6"/>
  <c r="BT131" i="5"/>
  <c r="BG129" i="5"/>
  <c r="AK129" i="5"/>
  <c r="AO129" i="5"/>
  <c r="AN129" i="5"/>
  <c r="AK119" i="5"/>
  <c r="AO119" i="5"/>
  <c r="AN119" i="5"/>
  <c r="BG119" i="5"/>
  <c r="AK74" i="5"/>
  <c r="BE74" i="5" s="1"/>
  <c r="BG74" i="5"/>
  <c r="AO74" i="5"/>
  <c r="AN74" i="5"/>
  <c r="BE43" i="5"/>
  <c r="AN5" i="5"/>
  <c r="AO5" i="5"/>
  <c r="AK5" i="5"/>
  <c r="BG5" i="5"/>
  <c r="AK90" i="4"/>
  <c r="AJ90" i="4"/>
  <c r="BA51" i="4"/>
  <c r="Z97" i="4"/>
  <c r="AG2" i="4"/>
  <c r="AG97" i="4" s="1"/>
  <c r="AM161" i="5"/>
  <c r="AO161" i="5" s="1"/>
  <c r="AK2" i="5"/>
  <c r="AO2" i="5"/>
  <c r="BG2" i="5"/>
  <c r="AN2" i="5"/>
  <c r="AK4" i="4"/>
  <c r="AJ4" i="4"/>
  <c r="BC108" i="3"/>
  <c r="AK108" i="3"/>
  <c r="AJ108" i="3"/>
  <c r="AG108" i="3"/>
  <c r="BA108" i="3" s="1"/>
  <c r="AK59" i="5"/>
  <c r="BE59" i="5" s="1"/>
  <c r="BG59" i="5"/>
  <c r="AO59" i="5"/>
  <c r="AN59" i="5"/>
  <c r="AK16" i="5"/>
  <c r="AN16" i="5"/>
  <c r="AO16" i="5"/>
  <c r="BG16" i="5"/>
  <c r="AK53" i="4"/>
  <c r="AJ53" i="4"/>
  <c r="AK68" i="3"/>
  <c r="AJ68" i="3"/>
  <c r="AG68" i="3"/>
  <c r="BA68" i="3" s="1"/>
  <c r="BC68" i="3"/>
  <c r="AK23" i="3"/>
  <c r="AJ23" i="3"/>
  <c r="AG23" i="3"/>
  <c r="BA23" i="3" s="1"/>
  <c r="BC23" i="3"/>
  <c r="AO149" i="2"/>
  <c r="AN149" i="2"/>
  <c r="AO107" i="2"/>
  <c r="AN107" i="2"/>
  <c r="BG53" i="5"/>
  <c r="AO53" i="5"/>
  <c r="AK53" i="5"/>
  <c r="BE53" i="5" s="1"/>
  <c r="AN53" i="5"/>
  <c r="BC53" i="4"/>
  <c r="AK43" i="5"/>
  <c r="BG43" i="5"/>
  <c r="AN43" i="5"/>
  <c r="AO43" i="5"/>
  <c r="AJ81" i="4"/>
  <c r="AK81" i="4"/>
  <c r="BA45" i="4"/>
  <c r="AK57" i="5"/>
  <c r="BE57" i="5" s="1"/>
  <c r="BG57" i="5"/>
  <c r="AO57" i="5"/>
  <c r="AN57" i="5"/>
  <c r="AK82" i="4"/>
  <c r="AJ82" i="4"/>
  <c r="AJ39" i="4"/>
  <c r="BC39" i="4"/>
  <c r="AK39" i="4"/>
  <c r="AK29" i="4"/>
  <c r="AJ29" i="4"/>
  <c r="BE78" i="5"/>
  <c r="AO54" i="5"/>
  <c r="AN54" i="5"/>
  <c r="BG54" i="5"/>
  <c r="AK54" i="5"/>
  <c r="BE54" i="5" s="1"/>
  <c r="BE40" i="5"/>
  <c r="BV161" i="5"/>
  <c r="AK11" i="4"/>
  <c r="BC11" i="4"/>
  <c r="AJ11" i="4"/>
  <c r="AG96" i="3"/>
  <c r="BA96" i="3" s="1"/>
  <c r="BC96" i="3"/>
  <c r="AK96" i="3"/>
  <c r="AJ96" i="3"/>
  <c r="BA106" i="3"/>
  <c r="AG55" i="3"/>
  <c r="AK55" i="3"/>
  <c r="BC55" i="3"/>
  <c r="AJ55" i="3"/>
  <c r="AK83" i="3"/>
  <c r="AJ83" i="3"/>
  <c r="BC83" i="3"/>
  <c r="AG83" i="3"/>
  <c r="BA83" i="3" s="1"/>
  <c r="AG76" i="3"/>
  <c r="BA76" i="3" s="1"/>
  <c r="AJ76" i="3"/>
  <c r="AK76" i="3"/>
  <c r="BC76" i="3"/>
  <c r="AK35" i="3"/>
  <c r="AJ35" i="3"/>
  <c r="AG35" i="3"/>
  <c r="BA35" i="3" s="1"/>
  <c r="BC35" i="3"/>
  <c r="AG66" i="3"/>
  <c r="BA66" i="3" s="1"/>
  <c r="AJ66" i="3"/>
  <c r="BC66" i="3"/>
  <c r="AK66" i="3"/>
  <c r="AG53" i="3"/>
  <c r="BA53" i="3" s="1"/>
  <c r="AK53" i="3"/>
  <c r="AJ53" i="3"/>
  <c r="BC53" i="3"/>
  <c r="AG42" i="3"/>
  <c r="BA42" i="3" s="1"/>
  <c r="BC42" i="3"/>
  <c r="AJ42" i="3"/>
  <c r="AK42" i="3"/>
  <c r="BC29" i="4"/>
  <c r="BS115" i="2"/>
  <c r="BB115" i="2"/>
  <c r="BE115" i="2" s="1"/>
  <c r="BR100" i="3"/>
  <c r="AO146" i="2"/>
  <c r="AN146" i="2"/>
  <c r="BA71" i="3"/>
  <c r="BE161" i="2"/>
  <c r="AO73" i="2"/>
  <c r="AN73" i="2"/>
  <c r="BE53" i="2"/>
  <c r="BA44" i="3"/>
  <c r="AK16" i="3"/>
  <c r="AJ16" i="3"/>
  <c r="BC16" i="3"/>
  <c r="AG16" i="3"/>
  <c r="BG149" i="2"/>
  <c r="AN26" i="2"/>
  <c r="AO26" i="2"/>
  <c r="BS17" i="2"/>
  <c r="BB17" i="2"/>
  <c r="BE17" i="2" s="1"/>
  <c r="BG62" i="2"/>
  <c r="BS65" i="2"/>
  <c r="BB65" i="2"/>
  <c r="BE65" i="2" s="1"/>
  <c r="AO13" i="2"/>
  <c r="AN13" i="2"/>
  <c r="BE5" i="2"/>
  <c r="AN59" i="2"/>
  <c r="AO59" i="2"/>
  <c r="AO56" i="2"/>
  <c r="AN56" i="2"/>
  <c r="BG99" i="2"/>
  <c r="AO9" i="2"/>
  <c r="AN9" i="2"/>
  <c r="BE94" i="2"/>
  <c r="BG13" i="2"/>
  <c r="AI121" i="17"/>
  <c r="AE121" i="17"/>
  <c r="BA121" i="17"/>
  <c r="AH121" i="17"/>
  <c r="AE115" i="17"/>
  <c r="AI98" i="17"/>
  <c r="AH98" i="17"/>
  <c r="AE98" i="17"/>
  <c r="AI19" i="17"/>
  <c r="AH19" i="17"/>
  <c r="AE19" i="17"/>
  <c r="AH45" i="17"/>
  <c r="AE45" i="17"/>
  <c r="AI45" i="17"/>
  <c r="AE15" i="17"/>
  <c r="AI15" i="17"/>
  <c r="AH15" i="17"/>
  <c r="BA13" i="17"/>
  <c r="AH104" i="14"/>
  <c r="AG104" i="14"/>
  <c r="AH112" i="14"/>
  <c r="AG112" i="14"/>
  <c r="AO39" i="9"/>
  <c r="AN39" i="9"/>
  <c r="AJ43" i="10"/>
  <c r="AG43" i="10"/>
  <c r="BA43" i="10" s="1"/>
  <c r="AK43" i="10"/>
  <c r="AO48" i="9"/>
  <c r="AN48" i="9"/>
  <c r="AO31" i="9"/>
  <c r="AN31" i="9"/>
  <c r="AO35" i="9"/>
  <c r="AN35" i="9"/>
  <c r="AO137" i="8"/>
  <c r="AN137" i="8"/>
  <c r="BE109" i="8"/>
  <c r="BG109" i="8"/>
  <c r="BG95" i="8"/>
  <c r="BE95" i="8"/>
  <c r="AO132" i="7"/>
  <c r="AN132" i="7"/>
  <c r="AN150" i="7"/>
  <c r="AO150" i="7"/>
  <c r="BG35" i="8"/>
  <c r="BE35" i="8"/>
  <c r="AO162" i="7"/>
  <c r="AN162" i="7"/>
  <c r="AO17" i="8"/>
  <c r="AN17" i="8"/>
  <c r="AO28" i="8"/>
  <c r="AN28" i="8"/>
  <c r="AO41" i="8"/>
  <c r="AN41" i="8"/>
  <c r="AO63" i="7"/>
  <c r="AN63" i="7"/>
  <c r="BQ66" i="7"/>
  <c r="BT2" i="7"/>
  <c r="BT66" i="7" s="1"/>
  <c r="AO60" i="6"/>
  <c r="AN60" i="6"/>
  <c r="AN15" i="8"/>
  <c r="AO15" i="8"/>
  <c r="AO128" i="7"/>
  <c r="AN128" i="7"/>
  <c r="BE103" i="7"/>
  <c r="BG3" i="8"/>
  <c r="BE3" i="8"/>
  <c r="AK148" i="7"/>
  <c r="AO60" i="7"/>
  <c r="AN60" i="7"/>
  <c r="BE115" i="7"/>
  <c r="BE2" i="7"/>
  <c r="AO107" i="6"/>
  <c r="AN107" i="6"/>
  <c r="BE99" i="6"/>
  <c r="AO74" i="6"/>
  <c r="AN74" i="6"/>
  <c r="AA3" i="7"/>
  <c r="Z3" i="7"/>
  <c r="AI3" i="7"/>
  <c r="BG60" i="7"/>
  <c r="AO76" i="6"/>
  <c r="AN76" i="6"/>
  <c r="AO67" i="6"/>
  <c r="AN67" i="6"/>
  <c r="AO36" i="6"/>
  <c r="AN36" i="6"/>
  <c r="BB16" i="7"/>
  <c r="BE16" i="7" s="1"/>
  <c r="BD66" i="7"/>
  <c r="BG66" i="7" s="1"/>
  <c r="BE61" i="7"/>
  <c r="BG60" i="6"/>
  <c r="BV131" i="6"/>
  <c r="BG150" i="5"/>
  <c r="AN150" i="5"/>
  <c r="AO150" i="5"/>
  <c r="AK150" i="5"/>
  <c r="BE150" i="5" s="1"/>
  <c r="AK134" i="5"/>
  <c r="BE134" i="5" s="1"/>
  <c r="AO134" i="5"/>
  <c r="AN134" i="5"/>
  <c r="BG134" i="5"/>
  <c r="AO106" i="5"/>
  <c r="AN106" i="5"/>
  <c r="AK106" i="5"/>
  <c r="BE106" i="5" s="1"/>
  <c r="BG106" i="5"/>
  <c r="BG81" i="5"/>
  <c r="AK81" i="5"/>
  <c r="AO81" i="5"/>
  <c r="AN81" i="5"/>
  <c r="BE48" i="6"/>
  <c r="AO108" i="5"/>
  <c r="AN108" i="5"/>
  <c r="AK108" i="5"/>
  <c r="BE108" i="5" s="1"/>
  <c r="BG108" i="5"/>
  <c r="BG89" i="5"/>
  <c r="AO89" i="5"/>
  <c r="AN89" i="5"/>
  <c r="AK89" i="5"/>
  <c r="BE89" i="5" s="1"/>
  <c r="AO58" i="5"/>
  <c r="AN58" i="5"/>
  <c r="AK58" i="5"/>
  <c r="BG58" i="5"/>
  <c r="AN35" i="6"/>
  <c r="AO35" i="6"/>
  <c r="AN10" i="6"/>
  <c r="AO10" i="6"/>
  <c r="AK136" i="5"/>
  <c r="BE136" i="5" s="1"/>
  <c r="BG136" i="5"/>
  <c r="AO136" i="5"/>
  <c r="AN136" i="5"/>
  <c r="BE81" i="5"/>
  <c r="BT46" i="6"/>
  <c r="V131" i="6"/>
  <c r="AI2" i="6"/>
  <c r="AI131" i="6" s="1"/>
  <c r="AA2" i="6"/>
  <c r="AA131" i="6" s="1"/>
  <c r="Z2" i="6"/>
  <c r="Z131" i="6" s="1"/>
  <c r="AK111" i="5"/>
  <c r="BE111" i="5" s="1"/>
  <c r="BG111" i="5"/>
  <c r="AO111" i="5"/>
  <c r="AN111" i="5"/>
  <c r="BG63" i="6"/>
  <c r="AO43" i="6"/>
  <c r="AN43" i="6"/>
  <c r="BD131" i="6"/>
  <c r="DC171" i="6"/>
  <c r="BE62" i="5"/>
  <c r="AO49" i="6"/>
  <c r="AN49" i="6"/>
  <c r="BE5" i="6"/>
  <c r="AO157" i="5"/>
  <c r="AK157" i="5"/>
  <c r="BG157" i="5"/>
  <c r="AN157" i="5"/>
  <c r="BB122" i="5"/>
  <c r="BE122" i="5" s="1"/>
  <c r="BE109" i="5"/>
  <c r="AK47" i="5"/>
  <c r="BE47" i="5" s="1"/>
  <c r="BG47" i="5"/>
  <c r="AN47" i="5"/>
  <c r="AO47" i="5"/>
  <c r="AK33" i="5"/>
  <c r="BE33" i="5" s="1"/>
  <c r="AN33" i="5"/>
  <c r="AO33" i="5"/>
  <c r="BG33" i="5"/>
  <c r="BD161" i="5"/>
  <c r="DG192" i="5"/>
  <c r="BA78" i="4"/>
  <c r="BG10" i="6"/>
  <c r="BE91" i="5"/>
  <c r="AJ71" i="4"/>
  <c r="AK71" i="4"/>
  <c r="AK19" i="4"/>
  <c r="AJ19" i="4"/>
  <c r="AK77" i="4"/>
  <c r="AJ77" i="4"/>
  <c r="AJ50" i="4"/>
  <c r="AK50" i="4"/>
  <c r="AK45" i="4"/>
  <c r="AJ45" i="4"/>
  <c r="AK22" i="3"/>
  <c r="AJ22" i="3"/>
  <c r="AG22" i="3"/>
  <c r="BA22" i="3" s="1"/>
  <c r="BC22" i="3"/>
  <c r="AO145" i="2"/>
  <c r="AN145" i="2"/>
  <c r="AO103" i="2"/>
  <c r="AN103" i="2"/>
  <c r="BG19" i="6"/>
  <c r="AK61" i="5"/>
  <c r="BE61" i="5" s="1"/>
  <c r="BG61" i="5"/>
  <c r="AO61" i="5"/>
  <c r="AN61" i="5"/>
  <c r="AK24" i="4"/>
  <c r="AJ24" i="4"/>
  <c r="AK16" i="4"/>
  <c r="AJ16" i="4"/>
  <c r="BE3" i="6"/>
  <c r="AK96" i="4"/>
  <c r="AJ96" i="4"/>
  <c r="BE27" i="5"/>
  <c r="BT15" i="5"/>
  <c r="BG9" i="5"/>
  <c r="AK9" i="5"/>
  <c r="BE9" i="5" s="1"/>
  <c r="AO9" i="5"/>
  <c r="AN9" i="5"/>
  <c r="BC96" i="4"/>
  <c r="AK31" i="5"/>
  <c r="BE31" i="5" s="1"/>
  <c r="AO31" i="5"/>
  <c r="AN31" i="5"/>
  <c r="BG31" i="5"/>
  <c r="AK109" i="4"/>
  <c r="AJ109" i="4"/>
  <c r="BC24" i="4"/>
  <c r="AG11" i="3"/>
  <c r="BA11" i="3" s="1"/>
  <c r="BC11" i="3"/>
  <c r="AK11" i="3"/>
  <c r="AJ11" i="3"/>
  <c r="AG6" i="3"/>
  <c r="AJ6" i="3"/>
  <c r="AK6" i="3"/>
  <c r="BC6" i="3"/>
  <c r="BS101" i="2"/>
  <c r="BB101" i="2"/>
  <c r="BE101" i="2" s="1"/>
  <c r="AG64" i="3"/>
  <c r="BC64" i="3"/>
  <c r="AK64" i="3"/>
  <c r="AJ64" i="3"/>
  <c r="AX46" i="3"/>
  <c r="BA46" i="3" s="1"/>
  <c r="BG107" i="2"/>
  <c r="BC4" i="4"/>
  <c r="AN102" i="2"/>
  <c r="AO102" i="2"/>
  <c r="BE97" i="2"/>
  <c r="BB128" i="2"/>
  <c r="BE128" i="2" s="1"/>
  <c r="BS128" i="2"/>
  <c r="BB124" i="2"/>
  <c r="BE124" i="2" s="1"/>
  <c r="BS124" i="2"/>
  <c r="BC9" i="3"/>
  <c r="AG9" i="3"/>
  <c r="BA9" i="3" s="1"/>
  <c r="AK9" i="3"/>
  <c r="AJ9" i="3"/>
  <c r="AG3" i="3"/>
  <c r="BA3" i="3" s="1"/>
  <c r="BC3" i="3"/>
  <c r="BC100" i="3" s="1"/>
  <c r="AK3" i="3"/>
  <c r="AJ3" i="3"/>
  <c r="AO112" i="2"/>
  <c r="AN112" i="2"/>
  <c r="AO90" i="2"/>
  <c r="AN90" i="2"/>
  <c r="AO87" i="2"/>
  <c r="AN87" i="2"/>
  <c r="AO60" i="2"/>
  <c r="AN60" i="2"/>
  <c r="BS119" i="2"/>
  <c r="BB119" i="2"/>
  <c r="BE119" i="2" s="1"/>
  <c r="BF93" i="2"/>
  <c r="BP21" i="3"/>
  <c r="BP11" i="3"/>
  <c r="AO130" i="2"/>
  <c r="AN130" i="2"/>
  <c r="AO97" i="2"/>
  <c r="AN97" i="2"/>
  <c r="AX8" i="3"/>
  <c r="BA8" i="3" s="1"/>
  <c r="BG122" i="2"/>
  <c r="AN34" i="2"/>
  <c r="AO34" i="2"/>
  <c r="BS24" i="2"/>
  <c r="BB24" i="2"/>
  <c r="BE24" i="2" s="1"/>
  <c r="AM151" i="2"/>
  <c r="AN2" i="2"/>
  <c r="AO2" i="2"/>
  <c r="AO151" i="2" s="1"/>
  <c r="BF71" i="2"/>
  <c r="BE44" i="2"/>
  <c r="BG2" i="2"/>
  <c r="BG97" i="2"/>
  <c r="AO81" i="2"/>
  <c r="AN81" i="2"/>
  <c r="AN76" i="2"/>
  <c r="AO76" i="2"/>
  <c r="BE22" i="2"/>
  <c r="AN15" i="2"/>
  <c r="AO15" i="2"/>
  <c r="BG26" i="2"/>
  <c r="AI113" i="17"/>
  <c r="AH113" i="17"/>
  <c r="AE113" i="17"/>
  <c r="AH80" i="17"/>
  <c r="AE80" i="17"/>
  <c r="AY80" i="17" s="1"/>
  <c r="AI80" i="17"/>
  <c r="AI101" i="17"/>
  <c r="AE101" i="17"/>
  <c r="AH101" i="17"/>
  <c r="BA79" i="17"/>
  <c r="I130" i="17"/>
  <c r="AC37" i="17"/>
  <c r="AC130" i="17" s="1"/>
  <c r="N37" i="17"/>
  <c r="M37" i="17"/>
  <c r="AE13" i="17"/>
  <c r="AH13" i="17"/>
  <c r="AI13" i="17"/>
  <c r="AJ48" i="10"/>
  <c r="AG48" i="10"/>
  <c r="AK48" i="10"/>
  <c r="AK42" i="10"/>
  <c r="AJ42" i="10"/>
  <c r="AG42" i="10"/>
  <c r="AO132" i="9"/>
  <c r="AN132" i="9"/>
  <c r="AK70" i="10"/>
  <c r="AJ70" i="10"/>
  <c r="AG70" i="10"/>
  <c r="BA70" i="10" s="1"/>
  <c r="AK123" i="10"/>
  <c r="AJ123" i="10"/>
  <c r="AG123" i="10"/>
  <c r="AK51" i="10"/>
  <c r="AJ51" i="10"/>
  <c r="AG51" i="10"/>
  <c r="AE86" i="17"/>
  <c r="AY86" i="17" s="1"/>
  <c r="AI86" i="17"/>
  <c r="AH86" i="17"/>
  <c r="AH32" i="17"/>
  <c r="AE32" i="17"/>
  <c r="AI32" i="17"/>
  <c r="AE43" i="17"/>
  <c r="AI43" i="17"/>
  <c r="AH43" i="17"/>
  <c r="BA22" i="17"/>
  <c r="BA53" i="17"/>
  <c r="AY33" i="17"/>
  <c r="BA25" i="17"/>
  <c r="AY11" i="17"/>
  <c r="CK317" i="17"/>
  <c r="AW130" i="17"/>
  <c r="AZ130" i="17" s="1"/>
  <c r="AI11" i="17"/>
  <c r="AE11" i="17"/>
  <c r="AH11" i="17"/>
  <c r="AH113" i="14"/>
  <c r="AG113" i="14"/>
  <c r="AG23" i="14"/>
  <c r="AH23" i="14"/>
  <c r="AH62" i="14"/>
  <c r="AG62" i="14"/>
  <c r="AD40" i="14"/>
  <c r="AH60" i="14"/>
  <c r="AG60" i="14"/>
  <c r="BG136" i="11"/>
  <c r="BG126" i="11"/>
  <c r="AN93" i="11"/>
  <c r="AO93" i="11" s="1"/>
  <c r="BG93" i="11"/>
  <c r="AN131" i="11"/>
  <c r="AO131" i="11" s="1"/>
  <c r="BG131" i="11"/>
  <c r="BB138" i="11"/>
  <c r="BE138" i="11" s="1"/>
  <c r="AG9" i="14"/>
  <c r="AH9" i="14"/>
  <c r="BG45" i="11"/>
  <c r="BT70" i="11"/>
  <c r="BG58" i="11"/>
  <c r="BE13" i="11"/>
  <c r="BB118" i="11"/>
  <c r="BE2" i="11"/>
  <c r="BE118" i="11" s="1"/>
  <c r="AG118" i="10"/>
  <c r="AK118" i="10"/>
  <c r="AJ118" i="10"/>
  <c r="AK130" i="10"/>
  <c r="AJ130" i="10"/>
  <c r="AG130" i="10"/>
  <c r="AK50" i="10"/>
  <c r="AJ50" i="10"/>
  <c r="AG50" i="10"/>
  <c r="AK34" i="10"/>
  <c r="AJ34" i="10"/>
  <c r="AG34" i="10"/>
  <c r="BC34" i="10"/>
  <c r="AO128" i="9"/>
  <c r="AN128" i="9"/>
  <c r="AJ110" i="10"/>
  <c r="AK110" i="10"/>
  <c r="AG110" i="10"/>
  <c r="BA110" i="10" s="1"/>
  <c r="AJ94" i="10"/>
  <c r="AK94" i="10"/>
  <c r="AG94" i="10"/>
  <c r="AG75" i="10"/>
  <c r="BA75" i="10" s="1"/>
  <c r="AJ75" i="10"/>
  <c r="AK75" i="10"/>
  <c r="BC74" i="10"/>
  <c r="BC69" i="10"/>
  <c r="BP54" i="10"/>
  <c r="BP22" i="10"/>
  <c r="AJ16" i="10"/>
  <c r="AK16" i="10"/>
  <c r="AG16" i="10"/>
  <c r="BA16" i="10" s="1"/>
  <c r="BP10" i="10"/>
  <c r="AK35" i="10"/>
  <c r="AJ35" i="10"/>
  <c r="AG35" i="10"/>
  <c r="AN113" i="9"/>
  <c r="AO113" i="9"/>
  <c r="BF100" i="9"/>
  <c r="BG137" i="9"/>
  <c r="AQ124" i="10"/>
  <c r="AK131" i="9"/>
  <c r="BE131" i="9" s="1"/>
  <c r="AG13" i="10"/>
  <c r="BA13" i="10" s="1"/>
  <c r="AK13" i="10"/>
  <c r="AJ13" i="10"/>
  <c r="AO143" i="9"/>
  <c r="AN143" i="9"/>
  <c r="BC51" i="10"/>
  <c r="AJ44" i="10"/>
  <c r="AG44" i="10"/>
  <c r="AK44" i="10"/>
  <c r="BG157" i="9"/>
  <c r="BR124" i="10"/>
  <c r="BP2" i="10"/>
  <c r="AN156" i="9"/>
  <c r="AO156" i="9"/>
  <c r="BG156" i="9"/>
  <c r="BT47" i="9"/>
  <c r="BC16" i="10"/>
  <c r="AN106" i="9"/>
  <c r="AO106" i="9"/>
  <c r="AO99" i="9"/>
  <c r="AN99" i="9"/>
  <c r="AO65" i="9"/>
  <c r="AN65" i="9"/>
  <c r="AO117" i="8"/>
  <c r="AN117" i="8"/>
  <c r="BE113" i="9"/>
  <c r="BG51" i="9"/>
  <c r="BG135" i="9"/>
  <c r="BG88" i="9"/>
  <c r="AO25" i="9"/>
  <c r="AN25" i="9"/>
  <c r="BE12" i="9"/>
  <c r="BE115" i="9"/>
  <c r="AN80" i="9"/>
  <c r="AO80" i="9"/>
  <c r="BG80" i="9"/>
  <c r="BC5" i="10"/>
  <c r="BG77" i="9"/>
  <c r="BE52" i="9"/>
  <c r="BG44" i="9"/>
  <c r="BE9" i="9"/>
  <c r="AO143" i="8"/>
  <c r="AN143" i="8"/>
  <c r="AO124" i="8"/>
  <c r="AN124" i="8"/>
  <c r="BG116" i="8"/>
  <c r="BE116" i="8"/>
  <c r="BE76" i="8"/>
  <c r="BG76" i="8"/>
  <c r="BT132" i="8"/>
  <c r="BF95" i="8"/>
  <c r="AO128" i="8"/>
  <c r="AN128" i="8"/>
  <c r="BG79" i="8"/>
  <c r="BE79" i="8"/>
  <c r="BB63" i="8"/>
  <c r="AN60" i="8"/>
  <c r="AO60" i="8"/>
  <c r="AO54" i="8"/>
  <c r="AN54" i="8"/>
  <c r="AO158" i="7"/>
  <c r="AN158" i="7"/>
  <c r="AO14" i="9"/>
  <c r="AN14" i="9"/>
  <c r="AO80" i="8"/>
  <c r="AN80" i="8"/>
  <c r="BG65" i="8"/>
  <c r="BE65" i="8"/>
  <c r="AO121" i="8"/>
  <c r="AN121" i="8"/>
  <c r="BB110" i="8"/>
  <c r="BB91" i="8"/>
  <c r="BG80" i="8"/>
  <c r="BE46" i="8"/>
  <c r="BG46" i="8"/>
  <c r="BG19" i="8"/>
  <c r="BE19" i="8"/>
  <c r="AO126" i="7"/>
  <c r="AN126" i="7"/>
  <c r="AK55" i="8"/>
  <c r="BE55" i="8" s="1"/>
  <c r="AN39" i="8"/>
  <c r="AO39" i="8"/>
  <c r="AN20" i="8"/>
  <c r="AO20" i="8"/>
  <c r="BE126" i="7"/>
  <c r="BG49" i="8"/>
  <c r="BE49" i="8"/>
  <c r="AN74" i="8"/>
  <c r="AO74" i="8"/>
  <c r="BE15" i="8"/>
  <c r="BG15" i="8"/>
  <c r="AN160" i="7"/>
  <c r="AO160" i="7"/>
  <c r="BG129" i="7"/>
  <c r="BG81" i="8"/>
  <c r="AN34" i="8"/>
  <c r="AO34" i="8"/>
  <c r="AO14" i="8"/>
  <c r="AN14" i="8"/>
  <c r="AN163" i="7"/>
  <c r="AO163" i="7"/>
  <c r="AN118" i="7"/>
  <c r="AO118" i="7"/>
  <c r="AO85" i="7"/>
  <c r="AN85" i="7"/>
  <c r="AO77" i="7"/>
  <c r="AN77" i="7"/>
  <c r="AO55" i="7"/>
  <c r="AN55" i="7"/>
  <c r="AO23" i="7"/>
  <c r="AN23" i="7"/>
  <c r="AK52" i="6"/>
  <c r="AK9" i="8"/>
  <c r="BE9" i="8" s="1"/>
  <c r="BG143" i="7"/>
  <c r="AN138" i="7"/>
  <c r="AO138" i="7"/>
  <c r="BG132" i="7"/>
  <c r="BG103" i="7"/>
  <c r="AO92" i="7"/>
  <c r="AN92" i="7"/>
  <c r="BD98" i="8"/>
  <c r="BG2" i="8"/>
  <c r="BE2" i="8"/>
  <c r="BE98" i="8" s="1"/>
  <c r="BB119" i="7"/>
  <c r="BE119" i="7" s="1"/>
  <c r="BG106" i="7"/>
  <c r="AO122" i="6"/>
  <c r="AN122" i="6"/>
  <c r="BB106" i="6"/>
  <c r="BE106" i="6" s="1"/>
  <c r="AO99" i="6"/>
  <c r="AN99" i="6"/>
  <c r="BG93" i="6"/>
  <c r="AN125" i="6"/>
  <c r="AO125" i="6"/>
  <c r="AN102" i="6"/>
  <c r="AO102" i="6"/>
  <c r="AN82" i="6"/>
  <c r="AO82" i="6"/>
  <c r="AN26" i="7"/>
  <c r="AO26" i="7"/>
  <c r="AN142" i="6"/>
  <c r="AO142" i="6"/>
  <c r="BG90" i="6"/>
  <c r="BG75" i="6"/>
  <c r="BG13" i="7"/>
  <c r="AK76" i="6"/>
  <c r="BE76" i="6" s="1"/>
  <c r="BE50" i="6"/>
  <c r="BG23" i="7"/>
  <c r="AO11" i="7"/>
  <c r="AN11" i="7"/>
  <c r="BE35" i="6"/>
  <c r="DB333" i="7"/>
  <c r="BC66" i="7"/>
  <c r="BF66" i="7" s="1"/>
  <c r="AN3" i="7"/>
  <c r="AO3" i="7"/>
  <c r="AO120" i="6"/>
  <c r="AN120" i="6"/>
  <c r="BG95" i="6"/>
  <c r="BT36" i="6"/>
  <c r="BG11" i="7"/>
  <c r="AN62" i="6"/>
  <c r="AO62" i="6"/>
  <c r="AK42" i="6"/>
  <c r="BE42" i="6" s="1"/>
  <c r="BG35" i="6"/>
  <c r="AO169" i="5"/>
  <c r="AN169" i="5"/>
  <c r="AK169" i="5"/>
  <c r="BF130" i="5"/>
  <c r="AO57" i="6"/>
  <c r="AN57" i="6"/>
  <c r="BG56" i="6"/>
  <c r="AO11" i="6"/>
  <c r="AN11" i="6"/>
  <c r="BG97" i="5"/>
  <c r="AO97" i="5"/>
  <c r="AN97" i="5"/>
  <c r="AK97" i="5"/>
  <c r="BE97" i="5" s="1"/>
  <c r="AK106" i="4"/>
  <c r="AJ106" i="4"/>
  <c r="BC106" i="4"/>
  <c r="BT9" i="6"/>
  <c r="BG2" i="6"/>
  <c r="BG120" i="6"/>
  <c r="AO30" i="6"/>
  <c r="AN30" i="6"/>
  <c r="BE15" i="6"/>
  <c r="BM131" i="6"/>
  <c r="BG77" i="5"/>
  <c r="AO77" i="5"/>
  <c r="AN77" i="5"/>
  <c r="AK77" i="5"/>
  <c r="BE77" i="5" s="1"/>
  <c r="AN29" i="6"/>
  <c r="AO29" i="6"/>
  <c r="AK158" i="5"/>
  <c r="BE158" i="5" s="1"/>
  <c r="AN158" i="5"/>
  <c r="BG158" i="5"/>
  <c r="AO158" i="5"/>
  <c r="AN144" i="6"/>
  <c r="AY131" i="6"/>
  <c r="BB131" i="6" s="1"/>
  <c r="BE131" i="6" s="1"/>
  <c r="BB2" i="6"/>
  <c r="BE2" i="6" s="1"/>
  <c r="BE112" i="5"/>
  <c r="BE86" i="5"/>
  <c r="BE52" i="5"/>
  <c r="BG21" i="5"/>
  <c r="AO21" i="5"/>
  <c r="AK21" i="5"/>
  <c r="BE21" i="5" s="1"/>
  <c r="AN21" i="5"/>
  <c r="AX73" i="4"/>
  <c r="BA73" i="4" s="1"/>
  <c r="AK22" i="4"/>
  <c r="AJ22" i="4"/>
  <c r="AK55" i="5"/>
  <c r="BE55" i="5" s="1"/>
  <c r="BG55" i="5"/>
  <c r="AO55" i="5"/>
  <c r="AN55" i="5"/>
  <c r="AK20" i="5"/>
  <c r="BE20" i="5" s="1"/>
  <c r="BG20" i="5"/>
  <c r="AN20" i="5"/>
  <c r="AO20" i="5"/>
  <c r="AK57" i="4"/>
  <c r="AJ57" i="4"/>
  <c r="AH97" i="4"/>
  <c r="AN24" i="5"/>
  <c r="AO24" i="5"/>
  <c r="BG24" i="5"/>
  <c r="AK24" i="5"/>
  <c r="AK76" i="4"/>
  <c r="AJ76" i="4"/>
  <c r="AJ49" i="4"/>
  <c r="AK49" i="4"/>
  <c r="Y97" i="4"/>
  <c r="AD2" i="4"/>
  <c r="AD97" i="4" s="1"/>
  <c r="AC2" i="4"/>
  <c r="AC97" i="4" s="1"/>
  <c r="AK21" i="3"/>
  <c r="AJ21" i="3"/>
  <c r="AG21" i="3"/>
  <c r="BA21" i="3" s="1"/>
  <c r="BC21" i="3"/>
  <c r="AO141" i="2"/>
  <c r="AN141" i="2"/>
  <c r="BA95" i="4"/>
  <c r="AJ73" i="4"/>
  <c r="AK73" i="4"/>
  <c r="AU161" i="5"/>
  <c r="BC77" i="4"/>
  <c r="AJ48" i="4"/>
  <c r="AK48" i="4"/>
  <c r="AX34" i="4"/>
  <c r="BA7" i="4"/>
  <c r="V97" i="4"/>
  <c r="AK4" i="5"/>
  <c r="BE4" i="5" s="1"/>
  <c r="BG4" i="5"/>
  <c r="AN4" i="5"/>
  <c r="AO4" i="5"/>
  <c r="BT6" i="5"/>
  <c r="BC82" i="4"/>
  <c r="AK46" i="4"/>
  <c r="AJ46" i="4"/>
  <c r="BE18" i="5"/>
  <c r="AK84" i="4"/>
  <c r="AJ84" i="4"/>
  <c r="BA55" i="3"/>
  <c r="AG12" i="3"/>
  <c r="AK12" i="3"/>
  <c r="AJ12" i="3"/>
  <c r="BC12" i="3"/>
  <c r="BS146" i="2"/>
  <c r="BB146" i="2"/>
  <c r="BE146" i="2" s="1"/>
  <c r="AJ107" i="3"/>
  <c r="BC107" i="3"/>
  <c r="AK107" i="3"/>
  <c r="AG107" i="3"/>
  <c r="BA107" i="3" s="1"/>
  <c r="BC51" i="3"/>
  <c r="AG51" i="3"/>
  <c r="BA51" i="3" s="1"/>
  <c r="AK51" i="3"/>
  <c r="AJ51" i="3"/>
  <c r="BG139" i="2"/>
  <c r="AG104" i="3"/>
  <c r="BA104" i="3" s="1"/>
  <c r="AG81" i="3"/>
  <c r="AJ81" i="3"/>
  <c r="BC81" i="3"/>
  <c r="AK81" i="3"/>
  <c r="AG47" i="3"/>
  <c r="BA47" i="3" s="1"/>
  <c r="AG58" i="3"/>
  <c r="AJ58" i="3"/>
  <c r="AK58" i="3"/>
  <c r="BC58" i="3"/>
  <c r="BC25" i="4"/>
  <c r="AG69" i="3"/>
  <c r="BA69" i="3" s="1"/>
  <c r="AK69" i="3"/>
  <c r="BC69" i="3"/>
  <c r="AJ69" i="3"/>
  <c r="BA64" i="3"/>
  <c r="AG25" i="3"/>
  <c r="BA25" i="3" s="1"/>
  <c r="BC25" i="3"/>
  <c r="AK25" i="3"/>
  <c r="AJ25" i="3"/>
  <c r="AI100" i="3"/>
  <c r="BS90" i="2"/>
  <c r="BB90" i="2"/>
  <c r="BE90" i="2" s="1"/>
  <c r="AY100" i="3"/>
  <c r="BB2" i="3"/>
  <c r="BB100" i="3" s="1"/>
  <c r="AO140" i="2"/>
  <c r="AN140" i="2"/>
  <c r="BE126" i="2"/>
  <c r="AO100" i="2"/>
  <c r="AN100" i="2"/>
  <c r="BM100" i="3"/>
  <c r="BG146" i="2"/>
  <c r="AO98" i="2"/>
  <c r="AN98" i="2"/>
  <c r="AO93" i="2"/>
  <c r="AN93" i="2"/>
  <c r="AO64" i="2"/>
  <c r="AN64" i="2"/>
  <c r="BC26" i="3"/>
  <c r="AK26" i="3"/>
  <c r="AJ26" i="3"/>
  <c r="AG26" i="3"/>
  <c r="BA26" i="3" s="1"/>
  <c r="AH100" i="3"/>
  <c r="BG119" i="2"/>
  <c r="AG33" i="3"/>
  <c r="BA33" i="3" s="1"/>
  <c r="BC33" i="3"/>
  <c r="AJ33" i="3"/>
  <c r="AK33" i="3"/>
  <c r="BB162" i="2"/>
  <c r="BE162" i="2" s="1"/>
  <c r="BS162" i="2"/>
  <c r="AO129" i="2"/>
  <c r="AN129" i="2"/>
  <c r="BG102" i="2"/>
  <c r="BG90" i="2"/>
  <c r="AN52" i="2"/>
  <c r="AO52" i="2"/>
  <c r="BS2" i="2"/>
  <c r="I18" i="1"/>
  <c r="AN11" i="2"/>
  <c r="AO11" i="2"/>
  <c r="AO5" i="2"/>
  <c r="AN5" i="2"/>
  <c r="BB55" i="2"/>
  <c r="BE55" i="2" s="1"/>
  <c r="BS55" i="2"/>
  <c r="AO24" i="2"/>
  <c r="AN24" i="2"/>
  <c r="AN19" i="2"/>
  <c r="AO19" i="2"/>
  <c r="BS33" i="2"/>
  <c r="BB33" i="2"/>
  <c r="BE33" i="2" s="1"/>
  <c r="AD151" i="2"/>
  <c r="AO42" i="2"/>
  <c r="AN42" i="2"/>
  <c r="BS27" i="2"/>
  <c r="BB27" i="2"/>
  <c r="BE27" i="2" s="1"/>
  <c r="BS70" i="2"/>
  <c r="BB70" i="2"/>
  <c r="BE70" i="2" s="1"/>
  <c r="BD151" i="2"/>
  <c r="BG45" i="2"/>
  <c r="BG63" i="2"/>
  <c r="BG23" i="2"/>
  <c r="AK151" i="2"/>
  <c r="BE71" i="2"/>
  <c r="AI97" i="17"/>
  <c r="AH97" i="17"/>
  <c r="AE97" i="17"/>
  <c r="AH77" i="14"/>
  <c r="AG77" i="14"/>
  <c r="AK131" i="10"/>
  <c r="AJ131" i="10"/>
  <c r="AG131" i="10"/>
  <c r="AN157" i="9"/>
  <c r="AO157" i="9"/>
  <c r="BC48" i="10"/>
  <c r="AN137" i="9"/>
  <c r="AO137" i="9"/>
  <c r="BF157" i="9"/>
  <c r="BC2" i="10"/>
  <c r="AZ124" i="10"/>
  <c r="AG15" i="10"/>
  <c r="AK15" i="10"/>
  <c r="AJ15" i="10"/>
  <c r="AN68" i="8"/>
  <c r="AO68" i="8"/>
  <c r="AN44" i="8"/>
  <c r="AO44" i="8"/>
  <c r="AO21" i="8"/>
  <c r="AN21" i="8"/>
  <c r="Z2" i="8"/>
  <c r="Z98" i="8" s="1"/>
  <c r="V98" i="8"/>
  <c r="AY113" i="17"/>
  <c r="AI99" i="17"/>
  <c r="AH99" i="17"/>
  <c r="AE99" i="17"/>
  <c r="AY99" i="17" s="1"/>
  <c r="AY48" i="17"/>
  <c r="AI3" i="17"/>
  <c r="AH3" i="17"/>
  <c r="AE3" i="17"/>
  <c r="AY3" i="17" s="1"/>
  <c r="BA14" i="17"/>
  <c r="AH35" i="14"/>
  <c r="AG35" i="14"/>
  <c r="AH71" i="14"/>
  <c r="AG71" i="14"/>
  <c r="AH44" i="14"/>
  <c r="AG44" i="14"/>
  <c r="AO124" i="9"/>
  <c r="AN124" i="9"/>
  <c r="AJ119" i="10"/>
  <c r="AK119" i="10"/>
  <c r="AG119" i="10"/>
  <c r="AG86" i="10"/>
  <c r="AK86" i="10"/>
  <c r="AJ86" i="10"/>
  <c r="AN141" i="9"/>
  <c r="AO141" i="9"/>
  <c r="BG119" i="9"/>
  <c r="AN167" i="9"/>
  <c r="AO167" i="9"/>
  <c r="AO33" i="9"/>
  <c r="AN33" i="9"/>
  <c r="BC15" i="10"/>
  <c r="AO109" i="8"/>
  <c r="AN109" i="8"/>
  <c r="AO78" i="9"/>
  <c r="AN78" i="9"/>
  <c r="BF74" i="9"/>
  <c r="AN88" i="9"/>
  <c r="AO88" i="9"/>
  <c r="AO32" i="9"/>
  <c r="AN32" i="9"/>
  <c r="BG115" i="9"/>
  <c r="BG32" i="9"/>
  <c r="AO142" i="8"/>
  <c r="AN142" i="8"/>
  <c r="AN135" i="8"/>
  <c r="AO135" i="8"/>
  <c r="BG120" i="8"/>
  <c r="BE120" i="8"/>
  <c r="BG66" i="8"/>
  <c r="BE66" i="8"/>
  <c r="BE127" i="8"/>
  <c r="BG127" i="8"/>
  <c r="AO82" i="8"/>
  <c r="AN82" i="8"/>
  <c r="AN75" i="8"/>
  <c r="AO75" i="8"/>
  <c r="AN78" i="8"/>
  <c r="AO59" i="8"/>
  <c r="AN59" i="8"/>
  <c r="AO129" i="7"/>
  <c r="AN129" i="7"/>
  <c r="BE121" i="8"/>
  <c r="BG121" i="8"/>
  <c r="BG75" i="8"/>
  <c r="BE75" i="8"/>
  <c r="BG118" i="8"/>
  <c r="BE118" i="8"/>
  <c r="AO56" i="8"/>
  <c r="AN56" i="8"/>
  <c r="AO113" i="8"/>
  <c r="AN113" i="8"/>
  <c r="BG73" i="9"/>
  <c r="BE110" i="8"/>
  <c r="BG110" i="8"/>
  <c r="AN84" i="8"/>
  <c r="AO84" i="8"/>
  <c r="AO62" i="8"/>
  <c r="AN62" i="8"/>
  <c r="AO121" i="7"/>
  <c r="BG121" i="7"/>
  <c r="AN121" i="7"/>
  <c r="BG38" i="8"/>
  <c r="BE38" i="8"/>
  <c r="BE45" i="8"/>
  <c r="BG45" i="8"/>
  <c r="BB47" i="8"/>
  <c r="AK74" i="7"/>
  <c r="BB7" i="8"/>
  <c r="AN102" i="7"/>
  <c r="AO102" i="7"/>
  <c r="BB4" i="8"/>
  <c r="AO110" i="7"/>
  <c r="AN110" i="7"/>
  <c r="AO47" i="7"/>
  <c r="AN47" i="7"/>
  <c r="AK22" i="7"/>
  <c r="AO113" i="6"/>
  <c r="AN113" i="6"/>
  <c r="BG113" i="6"/>
  <c r="AO90" i="7"/>
  <c r="AN90" i="7"/>
  <c r="AK138" i="7"/>
  <c r="BE138" i="7" s="1"/>
  <c r="AO106" i="7"/>
  <c r="AN106" i="7"/>
  <c r="AO124" i="7"/>
  <c r="AN124" i="7"/>
  <c r="BB151" i="7"/>
  <c r="BE151" i="7" s="1"/>
  <c r="BG131" i="7"/>
  <c r="AC66" i="7"/>
  <c r="AH2" i="7"/>
  <c r="AH66" i="7" s="1"/>
  <c r="AG2" i="7"/>
  <c r="AG66" i="7" s="1"/>
  <c r="AO89" i="6"/>
  <c r="AN89" i="6"/>
  <c r="AO139" i="6"/>
  <c r="AN139" i="6"/>
  <c r="BE35" i="7"/>
  <c r="AN117" i="6"/>
  <c r="AO117" i="6"/>
  <c r="AO36" i="7"/>
  <c r="AN36" i="7"/>
  <c r="BG129" i="6"/>
  <c r="AO129" i="6"/>
  <c r="AN129" i="6"/>
  <c r="BG65" i="6"/>
  <c r="BE77" i="7"/>
  <c r="BE32" i="7"/>
  <c r="BB100" i="6"/>
  <c r="BE100" i="6" s="1"/>
  <c r="BG124" i="7"/>
  <c r="BF105" i="6"/>
  <c r="BE40" i="6"/>
  <c r="BG86" i="6"/>
  <c r="AO27" i="7"/>
  <c r="AN27" i="7"/>
  <c r="AN90" i="6"/>
  <c r="AO90" i="6"/>
  <c r="BE157" i="5"/>
  <c r="AO149" i="5"/>
  <c r="AK149" i="5"/>
  <c r="BE149" i="5" s="1"/>
  <c r="BG149" i="5"/>
  <c r="AN149" i="5"/>
  <c r="AO102" i="5"/>
  <c r="AN102" i="5"/>
  <c r="AK102" i="5"/>
  <c r="BE102" i="5" s="1"/>
  <c r="BG102" i="5"/>
  <c r="AM131" i="6"/>
  <c r="AO2" i="6"/>
  <c r="AN2" i="6"/>
  <c r="BQ161" i="5"/>
  <c r="BT2" i="5"/>
  <c r="BT161" i="5" s="1"/>
  <c r="BT44" i="6"/>
  <c r="BE98" i="5"/>
  <c r="AK90" i="5"/>
  <c r="BE90" i="5" s="1"/>
  <c r="AO90" i="5"/>
  <c r="BG90" i="5"/>
  <c r="AN90" i="5"/>
  <c r="BG74" i="6"/>
  <c r="BE45" i="6"/>
  <c r="AK146" i="5"/>
  <c r="BE146" i="5" s="1"/>
  <c r="BG146" i="5"/>
  <c r="AO146" i="5"/>
  <c r="AN146" i="5"/>
  <c r="BE129" i="5"/>
  <c r="BT114" i="5"/>
  <c r="AN84" i="5"/>
  <c r="BG84" i="5"/>
  <c r="AO84" i="5"/>
  <c r="AK84" i="5"/>
  <c r="BE84" i="5" s="1"/>
  <c r="BT37" i="6"/>
  <c r="AK71" i="5"/>
  <c r="BG71" i="5"/>
  <c r="AO71" i="5"/>
  <c r="AN71" i="5"/>
  <c r="BE58" i="5"/>
  <c r="BE37" i="6"/>
  <c r="AK172" i="5"/>
  <c r="AN172" i="5"/>
  <c r="AO172" i="5"/>
  <c r="AN127" i="5"/>
  <c r="AO127" i="5"/>
  <c r="AK127" i="5"/>
  <c r="BE127" i="5" s="1"/>
  <c r="BG127" i="5"/>
  <c r="AK131" i="6"/>
  <c r="AN7" i="5"/>
  <c r="AO7" i="5"/>
  <c r="AK7" i="5"/>
  <c r="BG7" i="5"/>
  <c r="AG161" i="5"/>
  <c r="AJ107" i="4"/>
  <c r="AK107" i="4"/>
  <c r="AN19" i="5"/>
  <c r="AO19" i="5"/>
  <c r="BG19" i="5"/>
  <c r="AK19" i="5"/>
  <c r="BE19" i="5" s="1"/>
  <c r="AX15" i="4"/>
  <c r="BA15" i="4" s="1"/>
  <c r="AJ6" i="4"/>
  <c r="AK6" i="4"/>
  <c r="AK41" i="3"/>
  <c r="AJ41" i="3"/>
  <c r="AG41" i="3"/>
  <c r="BA41" i="3" s="1"/>
  <c r="BC41" i="3"/>
  <c r="AK20" i="3"/>
  <c r="AJ20" i="3"/>
  <c r="AG20" i="3"/>
  <c r="BA20" i="3" s="1"/>
  <c r="BC20" i="3"/>
  <c r="AO139" i="2"/>
  <c r="AN139" i="2"/>
  <c r="BG5" i="6"/>
  <c r="BA109" i="4"/>
  <c r="AK35" i="5"/>
  <c r="BE35" i="5" s="1"/>
  <c r="BG35" i="5"/>
  <c r="AO35" i="5"/>
  <c r="AN35" i="5"/>
  <c r="BA68" i="4"/>
  <c r="AK63" i="4"/>
  <c r="AJ63" i="4"/>
  <c r="BA33" i="4"/>
  <c r="BP17" i="4"/>
  <c r="BE24" i="5"/>
  <c r="AA161" i="5"/>
  <c r="AK93" i="4"/>
  <c r="AJ93" i="4"/>
  <c r="AK87" i="4"/>
  <c r="AJ87" i="4"/>
  <c r="AJ65" i="4"/>
  <c r="AK65" i="4"/>
  <c r="AJ13" i="4"/>
  <c r="BC13" i="4"/>
  <c r="AK13" i="4"/>
  <c r="AZ97" i="4"/>
  <c r="BC2" i="4"/>
  <c r="BP55" i="4"/>
  <c r="BE22" i="5"/>
  <c r="BC107" i="4"/>
  <c r="AG84" i="4"/>
  <c r="BA84" i="4" s="1"/>
  <c r="AJ34" i="4"/>
  <c r="AK34" i="4"/>
  <c r="BC23" i="4"/>
  <c r="AX3" i="4"/>
  <c r="BA3" i="4" s="1"/>
  <c r="AU97" i="4"/>
  <c r="V100" i="3"/>
  <c r="AJ82" i="3"/>
  <c r="AK82" i="3"/>
  <c r="AG82" i="3"/>
  <c r="BA82" i="3" s="1"/>
  <c r="BC82" i="3"/>
  <c r="AG54" i="3"/>
  <c r="BA54" i="3" s="1"/>
  <c r="AK54" i="3"/>
  <c r="BC54" i="3"/>
  <c r="AJ54" i="3"/>
  <c r="AG50" i="3"/>
  <c r="BA50" i="3" s="1"/>
  <c r="AJ50" i="3"/>
  <c r="AK50" i="3"/>
  <c r="BC50" i="3"/>
  <c r="AG45" i="3"/>
  <c r="BA45" i="3" s="1"/>
  <c r="BC45" i="3"/>
  <c r="AK45" i="3"/>
  <c r="AJ45" i="3"/>
  <c r="BA6" i="3"/>
  <c r="BS150" i="2"/>
  <c r="BB150" i="2"/>
  <c r="BE150" i="2" s="1"/>
  <c r="BC87" i="4"/>
  <c r="BA99" i="3"/>
  <c r="AJ32" i="3"/>
  <c r="AK32" i="3"/>
  <c r="AG32" i="3"/>
  <c r="BA32" i="3" s="1"/>
  <c r="BC32" i="3"/>
  <c r="AO132" i="2"/>
  <c r="AN132" i="2"/>
  <c r="AG80" i="3"/>
  <c r="BA80" i="3" s="1"/>
  <c r="AK80" i="3"/>
  <c r="AJ80" i="3"/>
  <c r="BC80" i="3"/>
  <c r="BC38" i="3"/>
  <c r="AK38" i="3"/>
  <c r="AJ38" i="3"/>
  <c r="AG38" i="3"/>
  <c r="AN134" i="2"/>
  <c r="AO134" i="2"/>
  <c r="BG73" i="2"/>
  <c r="BE28" i="2"/>
  <c r="BG132" i="2"/>
  <c r="BC10" i="3"/>
  <c r="AK10" i="3"/>
  <c r="AJ10" i="3"/>
  <c r="AG10" i="3"/>
  <c r="BA10" i="3" s="1"/>
  <c r="BG111" i="2"/>
  <c r="BS100" i="3"/>
  <c r="AG28" i="3"/>
  <c r="BA28" i="3" s="1"/>
  <c r="BC28" i="3"/>
  <c r="AK28" i="3"/>
  <c r="AJ28" i="3"/>
  <c r="BB120" i="2"/>
  <c r="BE120" i="2" s="1"/>
  <c r="BS120" i="2"/>
  <c r="AN63" i="2"/>
  <c r="AO63" i="2"/>
  <c r="BS61" i="2"/>
  <c r="BB61" i="2"/>
  <c r="BE61" i="2" s="1"/>
  <c r="BS12" i="2"/>
  <c r="BB12" i="2"/>
  <c r="BE12" i="2" s="1"/>
  <c r="BS6" i="2"/>
  <c r="BS4" i="2"/>
  <c r="BB4" i="2"/>
  <c r="BE4" i="2" s="1"/>
  <c r="BE18" i="2"/>
  <c r="BS47" i="2"/>
  <c r="BB47" i="2"/>
  <c r="BE47" i="2" s="1"/>
  <c r="BE20" i="2"/>
  <c r="BG82" i="2"/>
  <c r="BE75" i="2"/>
  <c r="AO46" i="2"/>
  <c r="AN46" i="2"/>
  <c r="BG46" i="2"/>
  <c r="BG42" i="2"/>
  <c r="AY92" i="17"/>
  <c r="BA80" i="17"/>
  <c r="AH16" i="17"/>
  <c r="AI16" i="17"/>
  <c r="AE16" i="17"/>
  <c r="AI22" i="17"/>
  <c r="AH22" i="17"/>
  <c r="AE22" i="17"/>
  <c r="AH117" i="14"/>
  <c r="AG117" i="14"/>
  <c r="AH49" i="14"/>
  <c r="AG49" i="14"/>
  <c r="AN40" i="9"/>
  <c r="AO40" i="9"/>
  <c r="AN119" i="9"/>
  <c r="AO119" i="9"/>
  <c r="BE78" i="8"/>
  <c r="BG78" i="8"/>
  <c r="AN71" i="8"/>
  <c r="AO71" i="8"/>
  <c r="BE72" i="8"/>
  <c r="BG72" i="8"/>
  <c r="BA106" i="17"/>
  <c r="AE119" i="17"/>
  <c r="AH83" i="17"/>
  <c r="AI83" i="17"/>
  <c r="BA83" i="17"/>
  <c r="AE83" i="17"/>
  <c r="AE90" i="17"/>
  <c r="AY90" i="17" s="1"/>
  <c r="AI90" i="17"/>
  <c r="AH90" i="17"/>
  <c r="AH100" i="14"/>
  <c r="AG100" i="14"/>
  <c r="AH46" i="14"/>
  <c r="AG46" i="14"/>
  <c r="AF119" i="14"/>
  <c r="AH2" i="14"/>
  <c r="AG2" i="14"/>
  <c r="AD38" i="14"/>
  <c r="AK144" i="11"/>
  <c r="AN37" i="11"/>
  <c r="AO37" i="11" s="1"/>
  <c r="BG37" i="11"/>
  <c r="AK28" i="11"/>
  <c r="BG53" i="11"/>
  <c r="BG44" i="11"/>
  <c r="AK108" i="10"/>
  <c r="AJ108" i="10"/>
  <c r="AG108" i="10"/>
  <c r="AK100" i="10"/>
  <c r="AJ100" i="10"/>
  <c r="AG100" i="10"/>
  <c r="BC64" i="10"/>
  <c r="AK61" i="10"/>
  <c r="AJ61" i="10"/>
  <c r="AG61" i="10"/>
  <c r="AK24" i="10"/>
  <c r="AJ24" i="10"/>
  <c r="AG24" i="10"/>
  <c r="BC58" i="10"/>
  <c r="AJ74" i="10"/>
  <c r="AK74" i="10"/>
  <c r="AG74" i="10"/>
  <c r="BA74" i="10" s="1"/>
  <c r="BP78" i="10"/>
  <c r="AG69" i="10"/>
  <c r="BA69" i="10" s="1"/>
  <c r="AK69" i="10"/>
  <c r="AJ69" i="10"/>
  <c r="BC61" i="10"/>
  <c r="AJ22" i="10"/>
  <c r="AK22" i="10"/>
  <c r="AG22" i="10"/>
  <c r="AK63" i="10"/>
  <c r="AJ63" i="10"/>
  <c r="AG63" i="10"/>
  <c r="AG14" i="10"/>
  <c r="BA14" i="10" s="1"/>
  <c r="AJ14" i="10"/>
  <c r="AK14" i="10"/>
  <c r="BC14" i="10"/>
  <c r="AO152" i="9"/>
  <c r="AN152" i="9"/>
  <c r="AN131" i="9"/>
  <c r="AO131" i="9"/>
  <c r="AG28" i="10"/>
  <c r="AK28" i="10"/>
  <c r="AJ28" i="10"/>
  <c r="BA24" i="10"/>
  <c r="BC49" i="10"/>
  <c r="AU124" i="10"/>
  <c r="AX2" i="10"/>
  <c r="AO101" i="9"/>
  <c r="AN101" i="9"/>
  <c r="AI127" i="17"/>
  <c r="AH127" i="17"/>
  <c r="AE127" i="17"/>
  <c r="BA127" i="17"/>
  <c r="AI124" i="17"/>
  <c r="AH124" i="17"/>
  <c r="AE124" i="17"/>
  <c r="BA124" i="17"/>
  <c r="AI123" i="17"/>
  <c r="AH123" i="17"/>
  <c r="AE123" i="17"/>
  <c r="BA123" i="17"/>
  <c r="AY117" i="17"/>
  <c r="BA120" i="17"/>
  <c r="BA103" i="17"/>
  <c r="BA104" i="17"/>
  <c r="AI81" i="17"/>
  <c r="AH81" i="17"/>
  <c r="AE81" i="17"/>
  <c r="AY81" i="17" s="1"/>
  <c r="BA102" i="17"/>
  <c r="BA71" i="17"/>
  <c r="AI64" i="17"/>
  <c r="AH64" i="17"/>
  <c r="AE64" i="17"/>
  <c r="AI30" i="17"/>
  <c r="AH30" i="17"/>
  <c r="AE30" i="17"/>
  <c r="AI36" i="17"/>
  <c r="AH36" i="17"/>
  <c r="AE36" i="17"/>
  <c r="AI8" i="17"/>
  <c r="AE8" i="17"/>
  <c r="AY8" i="17" s="1"/>
  <c r="AH8" i="17"/>
  <c r="AE17" i="17"/>
  <c r="AY17" i="17" s="1"/>
  <c r="AI17" i="17"/>
  <c r="AH17" i="17"/>
  <c r="BA36" i="17"/>
  <c r="BA17" i="17"/>
  <c r="AI6" i="17"/>
  <c r="AH6" i="17"/>
  <c r="AE6" i="17"/>
  <c r="BA8" i="17"/>
  <c r="AH105" i="14"/>
  <c r="AG105" i="14"/>
  <c r="AG16" i="14"/>
  <c r="AH16" i="14"/>
  <c r="AG85" i="14"/>
  <c r="AH85" i="14"/>
  <c r="AH73" i="14"/>
  <c r="AG73" i="14"/>
  <c r="AH58" i="14"/>
  <c r="AG58" i="14"/>
  <c r="BG116" i="11"/>
  <c r="AG5" i="14"/>
  <c r="AH5" i="14"/>
  <c r="AK95" i="11"/>
  <c r="BG100" i="11"/>
  <c r="BG128" i="11"/>
  <c r="AK63" i="11"/>
  <c r="BE63" i="11" s="1"/>
  <c r="BG125" i="11"/>
  <c r="BG73" i="11"/>
  <c r="AK55" i="11"/>
  <c r="BG89" i="11"/>
  <c r="BP137" i="10"/>
  <c r="BG11" i="11"/>
  <c r="BG75" i="11"/>
  <c r="BG4" i="11"/>
  <c r="AJ92" i="10"/>
  <c r="AK92" i="10"/>
  <c r="AG92" i="10"/>
  <c r="AK83" i="10"/>
  <c r="AJ83" i="10"/>
  <c r="AG83" i="10"/>
  <c r="AJ72" i="10"/>
  <c r="AK72" i="10"/>
  <c r="AG72" i="10"/>
  <c r="AG60" i="10"/>
  <c r="AK60" i="10"/>
  <c r="AJ60" i="10"/>
  <c r="AK10" i="10"/>
  <c r="AJ10" i="10"/>
  <c r="AG10" i="10"/>
  <c r="BA10" i="10" s="1"/>
  <c r="AO120" i="9"/>
  <c r="AN120" i="9"/>
  <c r="AG81" i="10"/>
  <c r="BA81" i="10" s="1"/>
  <c r="AJ81" i="10"/>
  <c r="AK81" i="10"/>
  <c r="BP64" i="10"/>
  <c r="BC83" i="10"/>
  <c r="BC109" i="10"/>
  <c r="AG103" i="10"/>
  <c r="BA103" i="10" s="1"/>
  <c r="AJ103" i="10"/>
  <c r="AK103" i="10"/>
  <c r="BC93" i="10"/>
  <c r="BA44" i="10"/>
  <c r="BC108" i="10"/>
  <c r="BC92" i="10"/>
  <c r="BC95" i="10"/>
  <c r="BA27" i="10"/>
  <c r="AO166" i="9"/>
  <c r="AN166" i="9"/>
  <c r="AN100" i="9"/>
  <c r="AO100" i="9"/>
  <c r="BE124" i="10"/>
  <c r="AO140" i="9"/>
  <c r="AN140" i="9"/>
  <c r="BG131" i="9"/>
  <c r="BG112" i="9"/>
  <c r="AK27" i="10"/>
  <c r="AJ27" i="10"/>
  <c r="AG27" i="10"/>
  <c r="BG152" i="9"/>
  <c r="AO165" i="9"/>
  <c r="AN165" i="9"/>
  <c r="BP34" i="10"/>
  <c r="BA19" i="10"/>
  <c r="AK12" i="10"/>
  <c r="AJ12" i="10"/>
  <c r="AG12" i="10"/>
  <c r="AY124" i="10"/>
  <c r="BA22" i="10"/>
  <c r="BF131" i="9"/>
  <c r="AK123" i="9"/>
  <c r="BE123" i="9" s="1"/>
  <c r="AG9" i="10"/>
  <c r="AK9" i="10"/>
  <c r="AJ9" i="10"/>
  <c r="AO53" i="9"/>
  <c r="AN53" i="9"/>
  <c r="BG117" i="9"/>
  <c r="AO90" i="9"/>
  <c r="AN90" i="9"/>
  <c r="AO93" i="8"/>
  <c r="AN93" i="8"/>
  <c r="BF40" i="9"/>
  <c r="AO98" i="9"/>
  <c r="AN98" i="9"/>
  <c r="AN52" i="9"/>
  <c r="AO52" i="9"/>
  <c r="BG52" i="9"/>
  <c r="AO110" i="9"/>
  <c r="AN110" i="9"/>
  <c r="BG66" i="9"/>
  <c r="AN37" i="9"/>
  <c r="AO37" i="9"/>
  <c r="BE8" i="9"/>
  <c r="BT108" i="9"/>
  <c r="BG99" i="9"/>
  <c r="AN89" i="9"/>
  <c r="AO89" i="9"/>
  <c r="BG132" i="9"/>
  <c r="BE87" i="9"/>
  <c r="AO126" i="8"/>
  <c r="AN126" i="8"/>
  <c r="AO112" i="8"/>
  <c r="AN112" i="8"/>
  <c r="BE93" i="8"/>
  <c r="BG93" i="8"/>
  <c r="BG70" i="8"/>
  <c r="BE70" i="8"/>
  <c r="BF53" i="8"/>
  <c r="BF98" i="8" s="1"/>
  <c r="BG50" i="9"/>
  <c r="AN115" i="8"/>
  <c r="AO115" i="8"/>
  <c r="AN63" i="8"/>
  <c r="AO63" i="8"/>
  <c r="AO151" i="7"/>
  <c r="AN151" i="7"/>
  <c r="BG90" i="9"/>
  <c r="BG12" i="9"/>
  <c r="AN104" i="8"/>
  <c r="AO104" i="8"/>
  <c r="BG39" i="9"/>
  <c r="AM59" i="9"/>
  <c r="AN2" i="9"/>
  <c r="AN59" i="9" s="1"/>
  <c r="AO2" i="9"/>
  <c r="AO59" i="9" s="1"/>
  <c r="AN133" i="8"/>
  <c r="AO133" i="8"/>
  <c r="BE104" i="8"/>
  <c r="BG104" i="8"/>
  <c r="BF89" i="8"/>
  <c r="AN16" i="9"/>
  <c r="AO16" i="9"/>
  <c r="AN129" i="8"/>
  <c r="AO129" i="8"/>
  <c r="BE108" i="8"/>
  <c r="BG108" i="8"/>
  <c r="BE94" i="8"/>
  <c r="BG94" i="8"/>
  <c r="BG68" i="9"/>
  <c r="AO138" i="8"/>
  <c r="AN138" i="8"/>
  <c r="AN91" i="8"/>
  <c r="AO91" i="8"/>
  <c r="AO38" i="8"/>
  <c r="AN38" i="8"/>
  <c r="AO18" i="8"/>
  <c r="AN18" i="8"/>
  <c r="BG18" i="8"/>
  <c r="BT49" i="8"/>
  <c r="AN43" i="8"/>
  <c r="AO43" i="8"/>
  <c r="AN10" i="8"/>
  <c r="AO10" i="8"/>
  <c r="AN30" i="8"/>
  <c r="AO30" i="8"/>
  <c r="AO27" i="8"/>
  <c r="AN27" i="8"/>
  <c r="AO136" i="7"/>
  <c r="AN136" i="7"/>
  <c r="BT124" i="7"/>
  <c r="BG124" i="8"/>
  <c r="AN31" i="8"/>
  <c r="BE20" i="8"/>
  <c r="BG20" i="8"/>
  <c r="AN142" i="7"/>
  <c r="AO142" i="7"/>
  <c r="AK121" i="7"/>
  <c r="BE121" i="7" s="1"/>
  <c r="BE71" i="8"/>
  <c r="BG71" i="8"/>
  <c r="BE47" i="8"/>
  <c r="BG47" i="8"/>
  <c r="BE32" i="8"/>
  <c r="BG32" i="8"/>
  <c r="BG14" i="8"/>
  <c r="AO101" i="7"/>
  <c r="AN101" i="7"/>
  <c r="BE7" i="8"/>
  <c r="BG7" i="8"/>
  <c r="BG162" i="7"/>
  <c r="AO127" i="7"/>
  <c r="AN127" i="7"/>
  <c r="AN116" i="7"/>
  <c r="AO116" i="7"/>
  <c r="AN100" i="7"/>
  <c r="AO100" i="7"/>
  <c r="AO39" i="7"/>
  <c r="AN39" i="7"/>
  <c r="AO95" i="6"/>
  <c r="AN95" i="6"/>
  <c r="AN9" i="8"/>
  <c r="AO9" i="8"/>
  <c r="BE141" i="7"/>
  <c r="AO65" i="7"/>
  <c r="AN65" i="7"/>
  <c r="BG158" i="7"/>
  <c r="AO41" i="7"/>
  <c r="AN41" i="7"/>
  <c r="BG110" i="7"/>
  <c r="AY98" i="8"/>
  <c r="BB2" i="8"/>
  <c r="BB98" i="8" s="1"/>
  <c r="BG151" i="7"/>
  <c r="BE118" i="7"/>
  <c r="AO94" i="7"/>
  <c r="AN94" i="7"/>
  <c r="AO52" i="7"/>
  <c r="AN52" i="7"/>
  <c r="AO121" i="6"/>
  <c r="AN121" i="6"/>
  <c r="S131" i="6"/>
  <c r="AN7" i="7"/>
  <c r="AO7" i="7"/>
  <c r="AN138" i="6"/>
  <c r="AO138" i="6"/>
  <c r="AN37" i="7"/>
  <c r="AO37" i="7"/>
  <c r="BG27" i="7"/>
  <c r="AO119" i="6"/>
  <c r="AN119" i="6"/>
  <c r="AN97" i="6"/>
  <c r="AO97" i="6"/>
  <c r="AO93" i="6"/>
  <c r="AN93" i="6"/>
  <c r="AO108" i="6"/>
  <c r="AN108" i="6"/>
  <c r="BG96" i="6"/>
  <c r="AO50" i="6"/>
  <c r="AN50" i="6"/>
  <c r="BF55" i="6"/>
  <c r="BF49" i="6"/>
  <c r="BE39" i="6"/>
  <c r="AO149" i="6"/>
  <c r="AN149" i="6"/>
  <c r="AO84" i="6"/>
  <c r="AN84" i="6"/>
  <c r="BG15" i="7"/>
  <c r="AO80" i="6"/>
  <c r="AN80" i="6"/>
  <c r="AO54" i="6"/>
  <c r="AN54" i="6"/>
  <c r="BG49" i="6"/>
  <c r="BF144" i="5"/>
  <c r="AN120" i="5"/>
  <c r="AO120" i="5"/>
  <c r="BG120" i="5"/>
  <c r="AK120" i="5"/>
  <c r="BE120" i="5" s="1"/>
  <c r="BG117" i="6"/>
  <c r="BG156" i="5"/>
  <c r="AN156" i="5"/>
  <c r="AO156" i="5"/>
  <c r="AK156" i="5"/>
  <c r="BE156" i="5" s="1"/>
  <c r="AO152" i="5"/>
  <c r="BG152" i="5"/>
  <c r="AN152" i="5"/>
  <c r="AK152" i="5"/>
  <c r="BE152" i="5" s="1"/>
  <c r="AK107" i="5"/>
  <c r="BE107" i="5" s="1"/>
  <c r="BG107" i="5"/>
  <c r="AN107" i="5"/>
  <c r="AO107" i="5"/>
  <c r="AK96" i="5"/>
  <c r="BE96" i="5" s="1"/>
  <c r="AO96" i="5"/>
  <c r="BG96" i="5"/>
  <c r="AN96" i="5"/>
  <c r="BT99" i="5"/>
  <c r="BF96" i="5"/>
  <c r="AO60" i="5"/>
  <c r="AN60" i="5"/>
  <c r="AK60" i="5"/>
  <c r="BE60" i="5" s="1"/>
  <c r="BG60" i="5"/>
  <c r="BB26" i="6"/>
  <c r="BE26" i="6" s="1"/>
  <c r="AO4" i="6"/>
  <c r="AN4" i="6"/>
  <c r="AK153" i="5"/>
  <c r="BE153" i="5" s="1"/>
  <c r="BG153" i="5"/>
  <c r="AO153" i="5"/>
  <c r="AN153" i="5"/>
  <c r="AK37" i="6"/>
  <c r="BG122" i="6"/>
  <c r="AK126" i="5"/>
  <c r="BE126" i="5" s="1"/>
  <c r="AO126" i="5"/>
  <c r="AN126" i="5"/>
  <c r="BG126" i="5"/>
  <c r="AK68" i="5"/>
  <c r="BE68" i="5" s="1"/>
  <c r="BG68" i="5"/>
  <c r="AO68" i="5"/>
  <c r="AN68" i="5"/>
  <c r="BE46" i="6"/>
  <c r="AK130" i="5"/>
  <c r="BE130" i="5" s="1"/>
  <c r="AO130" i="5"/>
  <c r="AN130" i="5"/>
  <c r="BG130" i="5"/>
  <c r="BT120" i="5"/>
  <c r="BT100" i="5"/>
  <c r="BB85" i="5"/>
  <c r="BE85" i="5" s="1"/>
  <c r="AK30" i="5"/>
  <c r="BE30" i="5" s="1"/>
  <c r="AN30" i="5"/>
  <c r="AO30" i="5"/>
  <c r="BG30" i="5"/>
  <c r="AD131" i="6"/>
  <c r="BE50" i="5"/>
  <c r="BC92" i="4"/>
  <c r="BA89" i="4"/>
  <c r="AK21" i="4"/>
  <c r="AJ21" i="4"/>
  <c r="BA70" i="4"/>
  <c r="BC15" i="4"/>
  <c r="P97" i="4"/>
  <c r="BE71" i="5"/>
  <c r="BE11" i="5"/>
  <c r="AY161" i="5"/>
  <c r="BB161" i="5" s="1"/>
  <c r="AK3" i="4"/>
  <c r="AK97" i="4" s="1"/>
  <c r="AJ3" i="4"/>
  <c r="AJ97" i="4" s="1"/>
  <c r="AK40" i="3"/>
  <c r="AJ40" i="3"/>
  <c r="AG40" i="3"/>
  <c r="BA40" i="3" s="1"/>
  <c r="BC40" i="3"/>
  <c r="AK19" i="3"/>
  <c r="AJ19" i="3"/>
  <c r="AG19" i="3"/>
  <c r="BA19" i="3" s="1"/>
  <c r="BC19" i="3"/>
  <c r="AO123" i="2"/>
  <c r="AN123" i="2"/>
  <c r="BT12" i="5"/>
  <c r="BE7" i="5"/>
  <c r="BC71" i="4"/>
  <c r="AK60" i="4"/>
  <c r="AJ60" i="4"/>
  <c r="AJ51" i="4"/>
  <c r="AK51" i="4"/>
  <c r="AK42" i="4"/>
  <c r="AJ42" i="4"/>
  <c r="BP22" i="4"/>
  <c r="BE29" i="5"/>
  <c r="Z161" i="5"/>
  <c r="BA90" i="4"/>
  <c r="BP83" i="4"/>
  <c r="AG47" i="4"/>
  <c r="BA47" i="4" s="1"/>
  <c r="BA17" i="4"/>
  <c r="BG23" i="6"/>
  <c r="AK110" i="4"/>
  <c r="AJ110" i="4"/>
  <c r="AG40" i="4"/>
  <c r="BA40" i="4" s="1"/>
  <c r="AG34" i="4"/>
  <c r="AJ8" i="4"/>
  <c r="AK8" i="4"/>
  <c r="AK99" i="3"/>
  <c r="BC99" i="3"/>
  <c r="AJ99" i="3"/>
  <c r="AG99" i="3"/>
  <c r="BC20" i="4"/>
  <c r="BM97" i="4"/>
  <c r="BA105" i="3"/>
  <c r="BS142" i="2"/>
  <c r="BB142" i="2"/>
  <c r="BE142" i="2" s="1"/>
  <c r="AL106" i="2"/>
  <c r="BE106" i="2" s="1"/>
  <c r="AK77" i="3"/>
  <c r="AJ77" i="3"/>
  <c r="BC77" i="3"/>
  <c r="AG77" i="3"/>
  <c r="BA77" i="3" s="1"/>
  <c r="BB54" i="3"/>
  <c r="AK37" i="3"/>
  <c r="AJ37" i="3"/>
  <c r="AG37" i="3"/>
  <c r="BA37" i="3" s="1"/>
  <c r="BC37" i="3"/>
  <c r="AN159" i="2"/>
  <c r="AO159" i="2"/>
  <c r="AN133" i="2"/>
  <c r="AO133" i="2"/>
  <c r="BC8" i="4"/>
  <c r="AJ63" i="3"/>
  <c r="AK63" i="3"/>
  <c r="AG63" i="3"/>
  <c r="BA63" i="3" s="1"/>
  <c r="BC63" i="3"/>
  <c r="BG145" i="2"/>
  <c r="AN126" i="2"/>
  <c r="AO126" i="2"/>
  <c r="BA73" i="3"/>
  <c r="AG61" i="3"/>
  <c r="AK61" i="3"/>
  <c r="BC61" i="3"/>
  <c r="AJ61" i="3"/>
  <c r="AG87" i="3"/>
  <c r="BA87" i="3" s="1"/>
  <c r="AK87" i="3"/>
  <c r="AJ87" i="3"/>
  <c r="BC87" i="3"/>
  <c r="AL122" i="2"/>
  <c r="BE122" i="2" s="1"/>
  <c r="AO89" i="2"/>
  <c r="AN89" i="2"/>
  <c r="AO85" i="2"/>
  <c r="AN85" i="2"/>
  <c r="BQ100" i="3"/>
  <c r="AO136" i="2"/>
  <c r="AN136" i="2"/>
  <c r="BF124" i="2"/>
  <c r="BE72" i="2"/>
  <c r="BE23" i="2"/>
  <c r="AX16" i="3"/>
  <c r="BA16" i="3" s="1"/>
  <c r="AO91" i="2"/>
  <c r="AN91" i="2"/>
  <c r="BE42" i="2"/>
  <c r="AO88" i="2"/>
  <c r="AN88" i="2"/>
  <c r="AO142" i="2"/>
  <c r="AN142" i="2"/>
  <c r="BP39" i="3"/>
  <c r="BG137" i="2"/>
  <c r="BG100" i="2"/>
  <c r="AO94" i="2"/>
  <c r="AN94" i="2"/>
  <c r="BG133" i="2"/>
  <c r="AO104" i="2"/>
  <c r="AN104" i="2"/>
  <c r="BB95" i="2"/>
  <c r="BE95" i="2" s="1"/>
  <c r="BS95" i="2"/>
  <c r="BE19" i="2"/>
  <c r="BE2" i="2"/>
  <c r="AO18" i="2"/>
  <c r="AN18" i="2"/>
  <c r="AO10" i="2"/>
  <c r="AN10" i="2"/>
  <c r="BF151" i="2"/>
  <c r="BS74" i="2"/>
  <c r="BB74" i="2"/>
  <c r="BE74" i="2" s="1"/>
  <c r="AN23" i="2"/>
  <c r="AO23" i="2"/>
  <c r="BS10" i="2"/>
  <c r="BB10" i="2"/>
  <c r="BE10" i="2" s="1"/>
  <c r="AO57" i="2"/>
  <c r="AN57" i="2"/>
  <c r="BB49" i="2"/>
  <c r="BE49" i="2" s="1"/>
  <c r="BS49" i="2"/>
  <c r="BS78" i="2"/>
  <c r="BB78" i="2"/>
  <c r="BE78" i="2" s="1"/>
  <c r="BE69" i="2"/>
  <c r="AO58" i="2"/>
  <c r="AN58" i="2"/>
  <c r="AO44" i="2"/>
  <c r="AN44" i="2"/>
  <c r="AO67" i="2"/>
  <c r="AN67" i="2"/>
  <c r="BS82" i="2"/>
  <c r="BB82" i="2"/>
  <c r="BE82" i="2" s="1"/>
  <c r="BG34" i="2"/>
  <c r="AL76" i="2"/>
  <c r="BE76" i="2" s="1"/>
  <c r="BB31" i="2"/>
  <c r="BE31" i="2" s="1"/>
  <c r="BS31" i="2"/>
  <c r="BB7" i="2"/>
  <c r="BE7" i="2" s="1"/>
  <c r="BS7" i="2"/>
  <c r="BG52" i="2"/>
  <c r="BG10" i="2"/>
  <c r="BE16" i="2"/>
  <c r="AH17" i="14"/>
  <c r="AG17" i="14"/>
  <c r="BA28" i="10"/>
  <c r="BQ124" i="10"/>
  <c r="AK6" i="10"/>
  <c r="AK124" i="10" s="1"/>
  <c r="AJ6" i="10"/>
  <c r="AG6" i="10"/>
  <c r="BA6" i="10" s="1"/>
  <c r="AI105" i="17"/>
  <c r="AH105" i="17"/>
  <c r="AE105" i="17"/>
  <c r="AY123" i="17"/>
  <c r="AE88" i="17"/>
  <c r="AY88" i="17" s="1"/>
  <c r="AI88" i="17"/>
  <c r="AH88" i="17"/>
  <c r="BA101" i="17"/>
  <c r="AE71" i="17"/>
  <c r="AH71" i="17"/>
  <c r="AI71" i="17"/>
  <c r="AE61" i="17"/>
  <c r="AY61" i="17" s="1"/>
  <c r="AI61" i="17"/>
  <c r="AH61" i="17"/>
  <c r="BA61" i="17"/>
  <c r="BA90" i="17"/>
  <c r="AE58" i="17"/>
  <c r="AI58" i="17"/>
  <c r="AH58" i="17"/>
  <c r="AH24" i="17"/>
  <c r="AE24" i="17"/>
  <c r="AI24" i="17"/>
  <c r="AI51" i="17"/>
  <c r="AH51" i="17"/>
  <c r="AE51" i="17"/>
  <c r="BA43" i="17"/>
  <c r="BA21" i="17"/>
  <c r="BA16" i="17"/>
  <c r="AE4" i="17"/>
  <c r="AH4" i="17"/>
  <c r="AI4" i="17"/>
  <c r="AG111" i="14"/>
  <c r="AH111" i="14"/>
  <c r="AH93" i="14"/>
  <c r="AG93" i="14"/>
  <c r="AH25" i="14"/>
  <c r="AG25" i="14"/>
  <c r="AG13" i="14"/>
  <c r="AH13" i="14"/>
  <c r="AH56" i="14"/>
  <c r="AG56" i="14"/>
  <c r="AH54" i="14"/>
  <c r="AG54" i="14"/>
  <c r="AG68" i="14"/>
  <c r="AH68" i="14"/>
  <c r="AG27" i="14"/>
  <c r="AH27" i="14"/>
  <c r="AG40" i="14"/>
  <c r="AH40" i="14"/>
  <c r="AD57" i="14"/>
  <c r="BG59" i="11"/>
  <c r="BG107" i="11"/>
  <c r="AK34" i="11"/>
  <c r="BG29" i="11"/>
  <c r="BG54" i="11"/>
  <c r="BB72" i="11"/>
  <c r="BE72" i="11" s="1"/>
  <c r="BG81" i="11"/>
  <c r="BG57" i="11"/>
  <c r="AK137" i="10"/>
  <c r="AJ137" i="10"/>
  <c r="AG137" i="10"/>
  <c r="AJ138" i="10"/>
  <c r="AG138" i="10"/>
  <c r="AK138" i="10"/>
  <c r="BC131" i="10"/>
  <c r="BP102" i="10"/>
  <c r="BP94" i="10"/>
  <c r="AK78" i="10"/>
  <c r="AJ78" i="10"/>
  <c r="AG78" i="10"/>
  <c r="BA78" i="10" s="1"/>
  <c r="BA60" i="10"/>
  <c r="AK55" i="10"/>
  <c r="AG55" i="10"/>
  <c r="AJ55" i="10"/>
  <c r="AO111" i="9"/>
  <c r="AN111" i="9"/>
  <c r="BG111" i="9"/>
  <c r="AK80" i="10"/>
  <c r="AJ80" i="10"/>
  <c r="AG80" i="10"/>
  <c r="AK73" i="10"/>
  <c r="AJ73" i="10"/>
  <c r="AG73" i="10"/>
  <c r="BA73" i="10" s="1"/>
  <c r="BC122" i="10"/>
  <c r="BC118" i="10"/>
  <c r="BC102" i="10"/>
  <c r="AJ88" i="10"/>
  <c r="AK88" i="10"/>
  <c r="AG88" i="10"/>
  <c r="BA88" i="10" s="1"/>
  <c r="BC72" i="10"/>
  <c r="BC66" i="10"/>
  <c r="BP51" i="10"/>
  <c r="BA21" i="10"/>
  <c r="BG144" i="9"/>
  <c r="AO125" i="9"/>
  <c r="AN125" i="9"/>
  <c r="BC77" i="10"/>
  <c r="BT94" i="9"/>
  <c r="W124" i="10"/>
  <c r="AO151" i="9"/>
  <c r="AN151" i="9"/>
  <c r="BF141" i="9"/>
  <c r="BG127" i="9"/>
  <c r="BF112" i="9"/>
  <c r="AO160" i="9"/>
  <c r="AN160" i="9"/>
  <c r="BB124" i="10"/>
  <c r="AO158" i="9"/>
  <c r="AN158" i="9"/>
  <c r="BC22" i="10"/>
  <c r="AN123" i="9"/>
  <c r="AO123" i="9"/>
  <c r="BC45" i="10"/>
  <c r="V124" i="10"/>
  <c r="AN154" i="9"/>
  <c r="AO154" i="9"/>
  <c r="BP33" i="10"/>
  <c r="AG20" i="10"/>
  <c r="BA20" i="10" s="1"/>
  <c r="AK20" i="10"/>
  <c r="AJ20" i="10"/>
  <c r="BG147" i="9"/>
  <c r="BG113" i="9"/>
  <c r="BC24" i="10"/>
  <c r="BE117" i="9"/>
  <c r="AO103" i="9"/>
  <c r="AN103" i="9"/>
  <c r="AO85" i="8"/>
  <c r="AN85" i="8"/>
  <c r="AO85" i="9"/>
  <c r="AN85" i="9"/>
  <c r="BG33" i="9"/>
  <c r="BC28" i="10"/>
  <c r="AO114" i="9"/>
  <c r="AN114" i="9"/>
  <c r="BF96" i="9"/>
  <c r="BG47" i="9"/>
  <c r="AO118" i="9"/>
  <c r="AN118" i="9"/>
  <c r="BE109" i="9"/>
  <c r="AO93" i="9"/>
  <c r="AN93" i="9"/>
  <c r="AO74" i="9"/>
  <c r="AN74" i="9"/>
  <c r="BV59" i="9"/>
  <c r="BF106" i="8"/>
  <c r="AN69" i="8"/>
  <c r="AO69" i="8"/>
  <c r="BG69" i="8"/>
  <c r="BE10" i="9"/>
  <c r="AN134" i="8"/>
  <c r="AO134" i="8"/>
  <c r="BE90" i="8"/>
  <c r="BG90" i="8"/>
  <c r="BE77" i="8"/>
  <c r="BG77" i="8"/>
  <c r="BE67" i="8"/>
  <c r="BG67" i="8"/>
  <c r="AN53" i="8"/>
  <c r="AO53" i="8"/>
  <c r="AO32" i="8"/>
  <c r="AN32" i="8"/>
  <c r="AO146" i="7"/>
  <c r="AN146" i="7"/>
  <c r="BG69" i="9"/>
  <c r="AO11" i="9"/>
  <c r="AN11" i="9"/>
  <c r="AO139" i="8"/>
  <c r="AN139" i="8"/>
  <c r="BG11" i="9"/>
  <c r="BE131" i="8"/>
  <c r="BG131" i="8"/>
  <c r="BE115" i="8"/>
  <c r="BG115" i="8"/>
  <c r="BG92" i="8"/>
  <c r="AN64" i="8"/>
  <c r="AO64" i="8"/>
  <c r="BG35" i="9"/>
  <c r="AD59" i="9"/>
  <c r="AK2" i="9"/>
  <c r="AK59" i="9" s="1"/>
  <c r="AO123" i="8"/>
  <c r="AN123" i="8"/>
  <c r="BT88" i="8"/>
  <c r="BE83" i="8"/>
  <c r="BG83" i="8"/>
  <c r="BG14" i="9"/>
  <c r="AO88" i="8"/>
  <c r="AN88" i="8"/>
  <c r="AK136" i="7"/>
  <c r="BE136" i="7" s="1"/>
  <c r="AN57" i="8"/>
  <c r="AO57" i="8"/>
  <c r="AO36" i="8"/>
  <c r="AN36" i="8"/>
  <c r="BE26" i="8"/>
  <c r="BG26" i="8"/>
  <c r="AN8" i="8"/>
  <c r="AO8" i="8"/>
  <c r="AL98" i="8"/>
  <c r="AN145" i="7"/>
  <c r="AO145" i="7"/>
  <c r="AN45" i="8"/>
  <c r="AO45" i="8"/>
  <c r="AO141" i="7"/>
  <c r="AN141" i="7"/>
  <c r="BG56" i="8"/>
  <c r="BG36" i="8"/>
  <c r="BE36" i="8"/>
  <c r="AO25" i="8"/>
  <c r="AN25" i="8"/>
  <c r="BG54" i="8"/>
  <c r="BE54" i="8"/>
  <c r="BB57" i="8"/>
  <c r="AN50" i="8"/>
  <c r="AO50" i="8"/>
  <c r="BG50" i="8"/>
  <c r="BB44" i="8"/>
  <c r="BE148" i="7"/>
  <c r="BG59" i="8"/>
  <c r="AO49" i="8"/>
  <c r="AN49" i="8"/>
  <c r="AK100" i="7"/>
  <c r="BE100" i="7" s="1"/>
  <c r="AO96" i="7"/>
  <c r="AN96" i="7"/>
  <c r="AN149" i="7"/>
  <c r="AO149" i="7"/>
  <c r="AO105" i="7"/>
  <c r="AN105" i="7"/>
  <c r="AO15" i="7"/>
  <c r="AN15" i="7"/>
  <c r="AO87" i="6"/>
  <c r="AN87" i="6"/>
  <c r="AO125" i="7"/>
  <c r="AN125" i="7"/>
  <c r="BG49" i="7"/>
  <c r="AO123" i="7"/>
  <c r="AN123" i="7"/>
  <c r="BE101" i="7"/>
  <c r="BG65" i="7"/>
  <c r="BG126" i="7"/>
  <c r="BE157" i="7"/>
  <c r="BG127" i="7"/>
  <c r="BE56" i="7"/>
  <c r="BG63" i="7"/>
  <c r="AN14" i="7"/>
  <c r="AO14" i="7"/>
  <c r="AO66" i="6"/>
  <c r="AN66" i="6"/>
  <c r="AO33" i="7"/>
  <c r="AN33" i="7"/>
  <c r="AN148" i="6"/>
  <c r="AO116" i="6"/>
  <c r="AN116" i="6"/>
  <c r="AO104" i="6"/>
  <c r="AN104" i="6"/>
  <c r="AN101" i="6"/>
  <c r="AO101" i="6"/>
  <c r="AO58" i="6"/>
  <c r="AN58" i="6"/>
  <c r="BE22" i="7"/>
  <c r="AN143" i="6"/>
  <c r="AO143" i="6"/>
  <c r="BE64" i="6"/>
  <c r="BE20" i="7"/>
  <c r="BF52" i="6"/>
  <c r="BE14" i="7"/>
  <c r="BG82" i="6"/>
  <c r="AO39" i="6"/>
  <c r="AN39" i="6"/>
  <c r="BE53" i="7"/>
  <c r="BG77" i="7"/>
  <c r="AO9" i="7"/>
  <c r="AN9" i="7"/>
  <c r="BV66" i="7"/>
  <c r="AO61" i="6"/>
  <c r="AN61" i="6"/>
  <c r="BE151" i="5"/>
  <c r="BG133" i="5"/>
  <c r="AK133" i="5"/>
  <c r="BE133" i="5" s="1"/>
  <c r="AO133" i="5"/>
  <c r="AN133" i="5"/>
  <c r="AO114" i="5"/>
  <c r="AN114" i="5"/>
  <c r="AK114" i="5"/>
  <c r="BE114" i="5" s="1"/>
  <c r="BG114" i="5"/>
  <c r="BG102" i="6"/>
  <c r="AO28" i="6"/>
  <c r="AN28" i="6"/>
  <c r="AN14" i="6"/>
  <c r="AO14" i="6"/>
  <c r="AO155" i="5"/>
  <c r="AN155" i="5"/>
  <c r="AK155" i="5"/>
  <c r="BE155" i="5" s="1"/>
  <c r="BG155" i="5"/>
  <c r="BE119" i="5"/>
  <c r="BG76" i="6"/>
  <c r="AN171" i="5"/>
  <c r="AO171" i="5"/>
  <c r="AK171" i="5"/>
  <c r="AN165" i="5"/>
  <c r="AO165" i="5"/>
  <c r="AK165" i="5"/>
  <c r="BG12" i="7"/>
  <c r="BT13" i="6"/>
  <c r="BF153" i="5"/>
  <c r="AK94" i="5"/>
  <c r="BE94" i="5" s="1"/>
  <c r="BG94" i="5"/>
  <c r="AN94" i="5"/>
  <c r="AO94" i="5"/>
  <c r="BG8" i="6"/>
  <c r="AO59" i="6"/>
  <c r="AN59" i="6"/>
  <c r="BG36" i="6"/>
  <c r="AK148" i="5"/>
  <c r="BE148" i="5" s="1"/>
  <c r="AO148" i="5"/>
  <c r="AN148" i="5"/>
  <c r="BG148" i="5"/>
  <c r="AK65" i="5"/>
  <c r="BE65" i="5" s="1"/>
  <c r="BG65" i="5"/>
  <c r="AO65" i="5"/>
  <c r="AN65" i="5"/>
  <c r="AK79" i="4"/>
  <c r="AJ79" i="4"/>
  <c r="BG27" i="6"/>
  <c r="BC68" i="4"/>
  <c r="BE2" i="5"/>
  <c r="AJ86" i="4"/>
  <c r="AK86" i="4"/>
  <c r="BC79" i="4"/>
  <c r="AK109" i="3"/>
  <c r="AJ109" i="3"/>
  <c r="BC109" i="3"/>
  <c r="AG109" i="3"/>
  <c r="BA109" i="3" s="1"/>
  <c r="AG94" i="3"/>
  <c r="BA94" i="3" s="1"/>
  <c r="AK94" i="3"/>
  <c r="AJ94" i="3"/>
  <c r="BC94" i="3"/>
  <c r="AK39" i="3"/>
  <c r="AJ39" i="3"/>
  <c r="AG39" i="3"/>
  <c r="BA39" i="3" s="1"/>
  <c r="BC39" i="3"/>
  <c r="AK18" i="3"/>
  <c r="AJ18" i="3"/>
  <c r="AG18" i="3"/>
  <c r="BA18" i="3" s="1"/>
  <c r="BC18" i="3"/>
  <c r="AO119" i="2"/>
  <c r="AN119" i="2"/>
  <c r="BE45" i="5"/>
  <c r="AK37" i="4"/>
  <c r="AJ37" i="4"/>
  <c r="BB97" i="4"/>
  <c r="AJ92" i="4"/>
  <c r="AK92" i="4"/>
  <c r="BA60" i="4"/>
  <c r="BA37" i="4"/>
  <c r="BA21" i="4"/>
  <c r="BA107" i="4"/>
  <c r="BA86" i="4"/>
  <c r="AJ59" i="4"/>
  <c r="AK59" i="4"/>
  <c r="AG18" i="4"/>
  <c r="BA18" i="4" s="1"/>
  <c r="AK10" i="5"/>
  <c r="BE10" i="5" s="1"/>
  <c r="AO10" i="5"/>
  <c r="BG10" i="5"/>
  <c r="AN10" i="5"/>
  <c r="AK58" i="4"/>
  <c r="AJ58" i="4"/>
  <c r="BC22" i="4"/>
  <c r="K100" i="3"/>
  <c r="AE2" i="3"/>
  <c r="AE100" i="3" s="1"/>
  <c r="AN127" i="2"/>
  <c r="AO127" i="2"/>
  <c r="AN114" i="2"/>
  <c r="AO114" i="2"/>
  <c r="AG98" i="3"/>
  <c r="BA98" i="3" s="1"/>
  <c r="BC98" i="3"/>
  <c r="AK98" i="3"/>
  <c r="AJ98" i="3"/>
  <c r="BA12" i="3"/>
  <c r="AJ86" i="3"/>
  <c r="AG86" i="3"/>
  <c r="BA86" i="3" s="1"/>
  <c r="AK86" i="3"/>
  <c r="BC86" i="3"/>
  <c r="AJ31" i="3"/>
  <c r="AK31" i="3"/>
  <c r="AG31" i="3"/>
  <c r="BA31" i="3" s="1"/>
  <c r="BC31" i="3"/>
  <c r="BS116" i="2"/>
  <c r="BB116" i="2"/>
  <c r="BE116" i="2" s="1"/>
  <c r="BC95" i="4"/>
  <c r="BC57" i="4"/>
  <c r="BC16" i="4"/>
  <c r="BC92" i="3"/>
  <c r="AK92" i="3"/>
  <c r="AJ92" i="3"/>
  <c r="AG92" i="3"/>
  <c r="BA92" i="3" s="1"/>
  <c r="BA61" i="3"/>
  <c r="BC49" i="4"/>
  <c r="AX81" i="3"/>
  <c r="BA81" i="3" s="1"/>
  <c r="BC84" i="4"/>
  <c r="BA72" i="3"/>
  <c r="BA58" i="3"/>
  <c r="AQ100" i="3"/>
  <c r="AX2" i="3"/>
  <c r="BE137" i="2"/>
  <c r="AO117" i="2"/>
  <c r="AN117" i="2"/>
  <c r="BS100" i="2"/>
  <c r="BB100" i="2"/>
  <c r="BE100" i="2" s="1"/>
  <c r="BP51" i="3"/>
  <c r="BA4" i="3"/>
  <c r="BS131" i="2"/>
  <c r="BB131" i="2"/>
  <c r="BE131" i="2" s="1"/>
  <c r="AO113" i="2"/>
  <c r="AN113" i="2"/>
  <c r="BS108" i="2"/>
  <c r="BB108" i="2"/>
  <c r="BE108" i="2" s="1"/>
  <c r="AO96" i="2"/>
  <c r="AN96" i="2"/>
  <c r="BE80" i="2"/>
  <c r="BA38" i="3"/>
  <c r="AG13" i="3"/>
  <c r="BA13" i="3" s="1"/>
  <c r="BC13" i="3"/>
  <c r="AK13" i="3"/>
  <c r="AJ13" i="3"/>
  <c r="AO125" i="2"/>
  <c r="AN125" i="2"/>
  <c r="AN105" i="2"/>
  <c r="AO105" i="2"/>
  <c r="BG87" i="2"/>
  <c r="AO83" i="2"/>
  <c r="AN83" i="2"/>
  <c r="AO82" i="2"/>
  <c r="AN82" i="2"/>
  <c r="BP3" i="3"/>
  <c r="BG115" i="2"/>
  <c r="BC7" i="3"/>
  <c r="AG7" i="3"/>
  <c r="BA7" i="3" s="1"/>
  <c r="AK7" i="3"/>
  <c r="AJ7" i="3"/>
  <c r="BE92" i="2"/>
  <c r="AO28" i="2"/>
  <c r="AN28" i="2"/>
  <c r="BC151" i="2"/>
  <c r="AO53" i="2"/>
  <c r="AN53" i="2"/>
  <c r="BS35" i="2"/>
  <c r="BB35" i="2"/>
  <c r="BE35" i="2" s="1"/>
  <c r="AO41" i="2"/>
  <c r="AN41" i="2"/>
  <c r="BE60" i="2"/>
  <c r="AN48" i="2"/>
  <c r="AO48" i="2"/>
  <c r="AL42" i="2"/>
  <c r="BE32" i="2"/>
  <c r="AO75" i="2"/>
  <c r="AN75" i="2"/>
  <c r="BC124" i="10" l="1"/>
  <c r="BA34" i="4"/>
  <c r="BE161" i="5"/>
  <c r="AH119" i="14"/>
  <c r="AG119" i="14"/>
  <c r="AN131" i="6"/>
  <c r="BS151" i="2"/>
  <c r="AJ100" i="3"/>
  <c r="AI130" i="17"/>
  <c r="AO131" i="6"/>
  <c r="AK100" i="3"/>
  <c r="AN66" i="7"/>
  <c r="AH130" i="17"/>
  <c r="AX124" i="10"/>
  <c r="BA2" i="10"/>
  <c r="BA124" i="10" s="1"/>
  <c r="BG151" i="2"/>
  <c r="AN118" i="11"/>
  <c r="AO2" i="11"/>
  <c r="AO118" i="11" s="1"/>
  <c r="AX100" i="3"/>
  <c r="BA2" i="3"/>
  <c r="BA100" i="3" s="1"/>
  <c r="BE151" i="2"/>
  <c r="BP124" i="10"/>
  <c r="AN161" i="5"/>
  <c r="AN2" i="8"/>
  <c r="AN98" i="8" s="1"/>
  <c r="BB151" i="2"/>
  <c r="BC97" i="4"/>
  <c r="BG131" i="6"/>
  <c r="BG161" i="5"/>
  <c r="BP100" i="3"/>
  <c r="BG118" i="11"/>
  <c r="AJ124" i="10"/>
  <c r="BG98" i="8"/>
  <c r="AG100" i="3"/>
  <c r="BA2" i="4"/>
  <c r="BA97" i="4" s="1"/>
  <c r="BB59" i="9"/>
  <c r="BE2" i="9"/>
  <c r="BE59" i="9" s="1"/>
  <c r="AG124" i="10"/>
  <c r="AN151" i="2"/>
  <c r="AK161" i="5"/>
  <c r="AX97" i="4"/>
  <c r="BE3" i="5"/>
  <c r="BL165" i="5"/>
  <c r="BL164" i="5"/>
  <c r="BL161" i="5"/>
  <c r="BL166" i="5"/>
  <c r="BP166" i="5"/>
  <c r="BP164" i="5"/>
  <c r="BP161" i="5"/>
  <c r="BP165" i="5"/>
</calcChain>
</file>

<file path=xl/sharedStrings.xml><?xml version="1.0" encoding="utf-8"?>
<sst xmlns="http://schemas.openxmlformats.org/spreadsheetml/2006/main" count="14431" uniqueCount="1811">
  <si>
    <t>EJECUTIVO</t>
  </si>
  <si>
    <t>% DESCUENTO FARMACIA</t>
  </si>
  <si>
    <t>TOTAL CLIENTES</t>
  </si>
  <si>
    <t>20/18</t>
  </si>
  <si>
    <t>SIN</t>
  </si>
  <si>
    <t>JUAN PABLO BASILE</t>
  </si>
  <si>
    <t>MARIO CALO</t>
  </si>
  <si>
    <t>MATIAS RETAMAR</t>
  </si>
  <si>
    <t>LAGE FEDERICO</t>
  </si>
  <si>
    <t>BUELA EZEQUIEL</t>
  </si>
  <si>
    <t>VARGAS JORGE</t>
  </si>
  <si>
    <t>ROLANDO ARRIOLA</t>
  </si>
  <si>
    <t>MONTENEGRO MATIAS</t>
  </si>
  <si>
    <t>MARUCA EZEQUIEL</t>
  </si>
  <si>
    <t>MARIANA /AYELEN</t>
  </si>
  <si>
    <t>ROTELA LEANDRO</t>
  </si>
  <si>
    <t>LAVENIA VANESA</t>
  </si>
  <si>
    <t>TOTAL:</t>
  </si>
  <si>
    <t>Al 11 AGOSTO</t>
  </si>
  <si>
    <t>COD</t>
  </si>
  <si>
    <t>ID</t>
  </si>
  <si>
    <t>FAR</t>
  </si>
  <si>
    <t>ALI</t>
  </si>
  <si>
    <t>COR</t>
  </si>
  <si>
    <t>RAZON SOCIAL</t>
  </si>
  <si>
    <t>OBJ. ENE</t>
  </si>
  <si>
    <t>FARM</t>
  </si>
  <si>
    <t>ALIM</t>
  </si>
  <si>
    <t>FC. ENERO</t>
  </si>
  <si>
    <t>FALTA/ SUPERÓ</t>
  </si>
  <si>
    <t>%</t>
  </si>
  <si>
    <t>OBJ. FEB</t>
  </si>
  <si>
    <t>FC. FEBRERO</t>
  </si>
  <si>
    <t>OBJ. MAR</t>
  </si>
  <si>
    <t>FC. MARZO</t>
  </si>
  <si>
    <t>OBJ TRIMESTRE</t>
  </si>
  <si>
    <t>FC OCT-DIC 2024</t>
  </si>
  <si>
    <t>FC TRIMESTRE</t>
  </si>
  <si>
    <t>FC. ABRIL</t>
  </si>
  <si>
    <t>FC. MAYO</t>
  </si>
  <si>
    <t>FC. JUNIO</t>
  </si>
  <si>
    <t>FC. TRIMESTRE</t>
  </si>
  <si>
    <t>FC. 1ER- SEMESTRE</t>
  </si>
  <si>
    <t>FC. JULIO</t>
  </si>
  <si>
    <t>FC. AGOSTO</t>
  </si>
  <si>
    <t>FC. SEPT.</t>
  </si>
  <si>
    <t>FARM. TRIM.</t>
  </si>
  <si>
    <t>FC. TRIM.</t>
  </si>
  <si>
    <t>FC. OCTUBRE</t>
  </si>
  <si>
    <t>FC. NOVIEMBRE</t>
  </si>
  <si>
    <t>DSCTO. FARMACIA</t>
  </si>
  <si>
    <t>ACTUAL</t>
  </si>
  <si>
    <t>AL 31/01</t>
  </si>
  <si>
    <t>FEB</t>
  </si>
  <si>
    <t>AL 21/03</t>
  </si>
  <si>
    <t>AL 23/04</t>
  </si>
  <si>
    <t>al 20/5</t>
  </si>
  <si>
    <t>al 24/06</t>
  </si>
  <si>
    <t>AL 15/07</t>
  </si>
  <si>
    <t>Al 30/07</t>
  </si>
  <si>
    <t>AL 15/08</t>
  </si>
  <si>
    <t>al 07/10</t>
  </si>
  <si>
    <t>al 27/10</t>
  </si>
  <si>
    <t>Al 13/11</t>
  </si>
  <si>
    <t>STRANGIS ADRIAN</t>
  </si>
  <si>
    <t>ROMANO OSVALDO RUBEN</t>
  </si>
  <si>
    <t>PIEDROZZI MARCOS/HIGA</t>
  </si>
  <si>
    <t>NUTRIVALENT/ NUTRIVALENT SUC2/ VERGARA</t>
  </si>
  <si>
    <t>HAKUNA MATATA/SUC 2</t>
  </si>
  <si>
    <t>FORTUNATO EMILIANO ANGEL</t>
  </si>
  <si>
    <t>DURAN SERGIO DANIEL</t>
  </si>
  <si>
    <t>VETERINARIA SAN MARTIN SA</t>
  </si>
  <si>
    <t>AGROMERCADO CENTRAL/BALANCEAD DEL MERC</t>
  </si>
  <si>
    <t>ADROGUE JOSE/PEREYRA STELLA</t>
  </si>
  <si>
    <t>OLIVERI JORGE LUIS</t>
  </si>
  <si>
    <t>MARCHINI RAMIRO</t>
  </si>
  <si>
    <t>EL GRAN CHEF/MAZZANTI/UNSWORTH/ LALOTTA</t>
  </si>
  <si>
    <t>FLORENCIA BEHRENS/EMILIANO QUINTEROS</t>
  </si>
  <si>
    <t>ENERO, FEBRERO, MARZO CERRADO</t>
  </si>
  <si>
    <t>ALLUE ALEJANDRA MARIANA</t>
  </si>
  <si>
    <t>TRIMESTRE ENE-MAR CERRADO</t>
  </si>
  <si>
    <t>ASOCIACION PROTECTORA DE ANIMALES SAN FRANCISCO DE ASIS DE LOMAS DE ZAMORA</t>
  </si>
  <si>
    <t>ABRIL CERRADO</t>
  </si>
  <si>
    <t>CASCO FEDERICO/BASSI MARIA</t>
  </si>
  <si>
    <t>MAYO CERRADO</t>
  </si>
  <si>
    <t>DARIO GERA Y LEONARDO/ GERA DARIO G</t>
  </si>
  <si>
    <t>JUNIO CERRADO</t>
  </si>
  <si>
    <t>DIAZ EDUARDO RAUL</t>
  </si>
  <si>
    <t>TRIMESTRE ABRIL - JUNIO CERRADO</t>
  </si>
  <si>
    <t>FERNANDO FABIAN CASALONGUE</t>
  </si>
  <si>
    <t>SEMESTRE ENE-JUN - CERRADO</t>
  </si>
  <si>
    <t>FLORENTIN JUAN CARLOS</t>
  </si>
  <si>
    <t>JULIO CERRADO</t>
  </si>
  <si>
    <t>FOGONVET S.R.L.</t>
  </si>
  <si>
    <t>AGOSTO CERRADO</t>
  </si>
  <si>
    <t>GIACHINO LAURA</t>
  </si>
  <si>
    <t>SEPTIEMBRE CERRADO</t>
  </si>
  <si>
    <t>MARIA CECILIA SALUZZO</t>
  </si>
  <si>
    <t>TRIMESTRE JULIO - SEPT. CERRADO</t>
  </si>
  <si>
    <t>PERALTA MATIAS/REYNOSO NICOLAS</t>
  </si>
  <si>
    <t>OCTUBRE CERRADO</t>
  </si>
  <si>
    <t>OTTAVIANO GONZALO</t>
  </si>
  <si>
    <t>QUARLERI FRANCISCO EDGARDO</t>
  </si>
  <si>
    <t>ROBERTO ANIBAL PAVON</t>
  </si>
  <si>
    <t>VELIZ ACUÑA EDSON GONZALO</t>
  </si>
  <si>
    <t>FONTAN NESTOR ALDO</t>
  </si>
  <si>
    <t>MAMANI NADIA LUCIANA</t>
  </si>
  <si>
    <t>PEÑA PAMELA GRACIELA</t>
  </si>
  <si>
    <t>SCHIUMA RUBEN ALBERTO</t>
  </si>
  <si>
    <t>TORRES LORENA SILVIA</t>
  </si>
  <si>
    <t>LIER AMELIA/ROMUALDO CESAR</t>
  </si>
  <si>
    <t>TROZZI/BARRERA</t>
  </si>
  <si>
    <t>SANZO JOSE MARCELO</t>
  </si>
  <si>
    <t>HERMIDA ALEJANDRO</t>
  </si>
  <si>
    <t>MICAELA FERNANDA MEDINA</t>
  </si>
  <si>
    <t>FERNANDEZ OROMENDIA PABLO ADRIAN</t>
  </si>
  <si>
    <t>BEDOYA CAROLINA</t>
  </si>
  <si>
    <t>BLANCO MARINA GRACIELA</t>
  </si>
  <si>
    <t>FEDERICO EZEQUIEL CESARANO</t>
  </si>
  <si>
    <t>GONZALEZ TELMO ANA JULIA</t>
  </si>
  <si>
    <t>MARISOL GUADALUPE RUIZ/CTA2</t>
  </si>
  <si>
    <t>PECORA MARIA EUGENIA</t>
  </si>
  <si>
    <t>MILEO LEONARDO/PIÑEIRO DANIEL</t>
  </si>
  <si>
    <t>VEGA GRISELDA ANAHI</t>
  </si>
  <si>
    <t>FERNANDEZ PAULA VALERIA</t>
  </si>
  <si>
    <t>ACOSTA MARIO HECTOR Y LOIZA NESTOR OMAR S.H.</t>
  </si>
  <si>
    <t>MARIA FLORENCIA PEREZ</t>
  </si>
  <si>
    <t>ALMARAZ NAHUEL HERNAN</t>
  </si>
  <si>
    <t>ROMERO CLAUDIO OMAR</t>
  </si>
  <si>
    <t>CAMPI BRIAN NICOLAS</t>
  </si>
  <si>
    <t>CANDIDO PABLO SEBASTIAN</t>
  </si>
  <si>
    <t>CUEVAS VICTORIA</t>
  </si>
  <si>
    <t>LUGANO VALERIA LUGANO</t>
  </si>
  <si>
    <t>MALDONADO EDUARDO OSCAR</t>
  </si>
  <si>
    <t>RODRIGUEZ MARCELO FABIAN</t>
  </si>
  <si>
    <t>TAYAR ALEJANDRO/FLORES JUAN</t>
  </si>
  <si>
    <t>ROMAC GUSTAVO GABRIEL</t>
  </si>
  <si>
    <t>ALMIRON GENARO/ASOC PROAYUDA/GUGLIELMINI</t>
  </si>
  <si>
    <t>ALVAREZ ROCIO/GIUDICE MARIA</t>
  </si>
  <si>
    <t>ARANDA LUCIANO DAMIAN</t>
  </si>
  <si>
    <t>BARRETO ALEJ/FERREYRA MYRIAN</t>
  </si>
  <si>
    <t>BERMUDEZ JAVIER/CABIROL GERMAN</t>
  </si>
  <si>
    <t>BERMUDEZ EDGAR ROBERTO</t>
  </si>
  <si>
    <t>BUONOPANE ANGEL EZEQUIEL</t>
  </si>
  <si>
    <t>CARBAJAL FLORENCIA/RUSSO JULIO</t>
  </si>
  <si>
    <t>CARLA FABIANA FRIAS</t>
  </si>
  <si>
    <t>CASTRO FERNANDO ARIEL</t>
  </si>
  <si>
    <t>CASTRO FERNANDO ARIEL SUC 2</t>
  </si>
  <si>
    <t>DUARTE MANUEL GUSTAVO</t>
  </si>
  <si>
    <t>DULCE IRMA CRISTINA</t>
  </si>
  <si>
    <t>DURAN MARCELO JAVIER</t>
  </si>
  <si>
    <t>DURAN OSCAR ALBERTO</t>
  </si>
  <si>
    <t>ENRIQUE MARCELO PASQUINELLI</t>
  </si>
  <si>
    <t>FILIPPONI MARGARITA JUANA</t>
  </si>
  <si>
    <t>GARAY LUCAS MAXIMILIANO</t>
  </si>
  <si>
    <t>GONZALEZ ROCH MARIA MICAELA</t>
  </si>
  <si>
    <t>GREGORUTTI MARCELO GASTON</t>
  </si>
  <si>
    <t>HUELLITAS DEL SUR S. CAP I SECC IV</t>
  </si>
  <si>
    <t>TOBIO PABLO JAVIER</t>
  </si>
  <si>
    <t>MEREP LEONARDO DAVID</t>
  </si>
  <si>
    <t>NARVARTE ERIC</t>
  </si>
  <si>
    <t>OMAR LEANDRO MATIAS</t>
  </si>
  <si>
    <t>ORTIZ CESAR RENE</t>
  </si>
  <si>
    <t>OLAVE ALEXANDRA BRENDA</t>
  </si>
  <si>
    <t>PAEZ IGNACIO GERMAN</t>
  </si>
  <si>
    <t>PEREZ RODRIGO NICOLAS</t>
  </si>
  <si>
    <t>SPADARO FLAVIA</t>
  </si>
  <si>
    <t>VIDELA LEONARDO GABRIEL</t>
  </si>
  <si>
    <t>VIEGAS MELRO SERGIO GABRIEL</t>
  </si>
  <si>
    <t>EL ESCALAR PET FOOD S.R.L</t>
  </si>
  <si>
    <t>AGUIRRE MONICA SILVIA</t>
  </si>
  <si>
    <t>ANDREOLI FABIAN RODOLFO</t>
  </si>
  <si>
    <t>ARES SUSANA MONICA</t>
  </si>
  <si>
    <t>ARIAS MONICA/BAINOTTI DANIEL</t>
  </si>
  <si>
    <t>ARREGUI ANDREA CELESTE</t>
  </si>
  <si>
    <t>ASOCIACION REFUGIO VASCOS ANIMALISTAS V G</t>
  </si>
  <si>
    <t>AVILA EMILSE VICTORIA</t>
  </si>
  <si>
    <t>CARLINO SILVINA BEATRIZ</t>
  </si>
  <si>
    <t>DI SALVO EDGARDO JULIO</t>
  </si>
  <si>
    <t>DISLOSUR HERMANOS S.R.L.</t>
  </si>
  <si>
    <t>DOMINGUEZ MARIANA ANDREA</t>
  </si>
  <si>
    <t>DRISDALE GRISELDA BEATRIZ</t>
  </si>
  <si>
    <t>DUARTE IGNACIO/BRIZUELA BATISTA</t>
  </si>
  <si>
    <t>DUVAL YAMILA LORENA</t>
  </si>
  <si>
    <t>FELIS CONCOLOR / GOMEZ SILVANA</t>
  </si>
  <si>
    <t>FERNANDEZ MARTIN</t>
  </si>
  <si>
    <t>FERRARAZZO MARIA LAURA</t>
  </si>
  <si>
    <t>GALARZA RODOLFO</t>
  </si>
  <si>
    <t>GARCIA MARCELO/MONTERO GRACI</t>
  </si>
  <si>
    <t>GAZZOLA JULIANA INES</t>
  </si>
  <si>
    <t>GODOY GUSTAVO/ELIANA/JIMENEZ</t>
  </si>
  <si>
    <t>GOMEZ ARIAS MARBELLA ALICIA</t>
  </si>
  <si>
    <t>GONZALEZ ROSANA</t>
  </si>
  <si>
    <t>GRIATZKY CRISTINA</t>
  </si>
  <si>
    <t>GUZZETTI JAVIER EDUARDO</t>
  </si>
  <si>
    <t>HAAS FABIANA MARCELA</t>
  </si>
  <si>
    <t>HOWLIN ELIANA PAULA</t>
  </si>
  <si>
    <t>LOPEZ EUGENIA</t>
  </si>
  <si>
    <t>MALM GREEN GUILLERMO</t>
  </si>
  <si>
    <t>MENDOZA SERGIO ERNESTO</t>
  </si>
  <si>
    <t>MICHELIN FERNANDO SERGIO</t>
  </si>
  <si>
    <t>MUZIO JUAN PABLO</t>
  </si>
  <si>
    <t>PETRELLI ROBERTO ALEJANDRO</t>
  </si>
  <si>
    <t>ROMANO MARIANA</t>
  </si>
  <si>
    <t>SCARPONE ORIEL ALFREDO</t>
  </si>
  <si>
    <t>SOMOZA ALVARO</t>
  </si>
  <si>
    <t>SUAREZ ANABELA FLORENCIA</t>
  </si>
  <si>
    <t>SZPIRO NOELIA BETIANA</t>
  </si>
  <si>
    <t>Lista</t>
  </si>
  <si>
    <t>TOSONIERI QUAGLIA JULIETA ALEJANDRA</t>
  </si>
  <si>
    <t/>
  </si>
  <si>
    <t>TOGNOLA LUIS AUGUSTO</t>
  </si>
  <si>
    <t>VAZQUEZ ALEJANDRO</t>
  </si>
  <si>
    <t>VETERINARIA BAVIO SOLANO S.A</t>
  </si>
  <si>
    <t>VETERINARIA MARTINA</t>
  </si>
  <si>
    <t>JUAN TEYSSEIRE/ ALVAREZ MANUEL/ LA COLORADA</t>
  </si>
  <si>
    <t>AGUIRRE MARIANO JOSE</t>
  </si>
  <si>
    <t>SVENSON MIRIAM EDITH</t>
  </si>
  <si>
    <t>BIDAL DANIELA SILVANA</t>
  </si>
  <si>
    <t>CAMPOS PATRICIA LORENA</t>
  </si>
  <si>
    <t>CILLERUELO PATRICIA LAURA</t>
  </si>
  <si>
    <t>CROCI LAURA BEATRIZ</t>
  </si>
  <si>
    <t>HERMIDA RICARDO PABLO</t>
  </si>
  <si>
    <t>MENDEZ GRACIELA NOEMI</t>
  </si>
  <si>
    <t>MUNICIPALIDAD DE LOMAS DE ZAMORA</t>
  </si>
  <si>
    <t>SUAREZ SILVIA ELENA</t>
  </si>
  <si>
    <t>ZANDONADI CARLOS GASTON</t>
  </si>
  <si>
    <t>APERTURAS ABRIL A JUNIO</t>
  </si>
  <si>
    <t>APERTURA JULIO - AGOSTO</t>
  </si>
  <si>
    <t>APERTURAS OCTUBRE</t>
  </si>
  <si>
    <t>BAJA</t>
  </si>
  <si>
    <t>ALMARAZ JUAN</t>
  </si>
  <si>
    <t>TRAS MARU</t>
  </si>
  <si>
    <t>LOPEZ GABRIEL DAVID</t>
  </si>
  <si>
    <t>TRAS LESC</t>
  </si>
  <si>
    <t>INVERNOZ PEDRO AUGUSTO</t>
  </si>
  <si>
    <t>ARICAYE RAMIRO/ BISSO RUBEN</t>
  </si>
  <si>
    <t>TRAS VARG</t>
  </si>
  <si>
    <t>ALONSO CARINA/BARDI FERNANDO</t>
  </si>
  <si>
    <t>TRAS RETA</t>
  </si>
  <si>
    <t>SCIPIONI HUGO LUIS</t>
  </si>
  <si>
    <t>Total</t>
  </si>
  <si>
    <t>ASOCIACION PROTECTORA DE ANIMALES SAN FRANCISCO DE</t>
  </si>
  <si>
    <t>OBJ. ENE.</t>
  </si>
  <si>
    <t>OBJ. FEB.</t>
  </si>
  <si>
    <t>OBJ. MAR.</t>
  </si>
  <si>
    <t>FC.JUNIO</t>
  </si>
  <si>
    <t>FC.JULIO</t>
  </si>
  <si>
    <t>FARM. TRIMESTRE</t>
  </si>
  <si>
    <t>FC. OCT.</t>
  </si>
  <si>
    <t>DESCUENTO FARMACIA</t>
  </si>
  <si>
    <t>Al 24/04</t>
  </si>
  <si>
    <t>Al 24/06</t>
  </si>
  <si>
    <t>Al 19 / 08</t>
  </si>
  <si>
    <t>Al 27/10</t>
  </si>
  <si>
    <t>Al 14/11</t>
  </si>
  <si>
    <t>AYALA ALEJANDRO JORGE</t>
  </si>
  <si>
    <t>AYALA RODOLFO DANIEL (ACE2)</t>
  </si>
  <si>
    <t>AYALA RODOLFO DANIEL (RODAL)</t>
  </si>
  <si>
    <t>BRACUTO PABLO/PEREZ MARIANA 2</t>
  </si>
  <si>
    <t>DONATO SERGIO HERNAN</t>
  </si>
  <si>
    <t>EL FORRAJE DEL ABUELO S.A</t>
  </si>
  <si>
    <t>MAGALLANES/SPADANO</t>
  </si>
  <si>
    <t>AGROGAN LOS ABUELOS/ GONZA FEDE / H.V.</t>
  </si>
  <si>
    <t>CORRAL ABEL HOGO</t>
  </si>
  <si>
    <t>LUIS DAVID VILARDI</t>
  </si>
  <si>
    <t>RODRIGUEZ CARLOS EDUARDO</t>
  </si>
  <si>
    <t>GEROSA FEDERICO</t>
  </si>
  <si>
    <t>PAGANO MELODY AZUL</t>
  </si>
  <si>
    <t>ARAYA NORA VIVIANA</t>
  </si>
  <si>
    <t>CABRIL YANINA SOLEDAD</t>
  </si>
  <si>
    <t>GADDI HECTOR MARCELO GABRIEL</t>
  </si>
  <si>
    <t>GUIDO ADALBERTO HORACIO</t>
  </si>
  <si>
    <t>LOMAZO SERG/ WEPPLER ELOISA</t>
  </si>
  <si>
    <t>MAESTU JAVIER HORACIO</t>
  </si>
  <si>
    <t>RICUPERO CARLOS/ AUGE ELIZABETH</t>
  </si>
  <si>
    <t>SETTE GABRIELA ALEJANDRA</t>
  </si>
  <si>
    <t>SISTI ALE/NANCY GIRA</t>
  </si>
  <si>
    <t>VERGE PABLO/DIEGO VERGE</t>
  </si>
  <si>
    <t>VETERINARIA SAN NARCISO SRL</t>
  </si>
  <si>
    <t>RETONTALI MARIO ANDRES</t>
  </si>
  <si>
    <t>TROBIA LAURA CECILIA</t>
  </si>
  <si>
    <t>GUTIERREZ ELASKAR FRANCISCP/MARIA EMILIA</t>
  </si>
  <si>
    <t>AMICARELLI CAR/ARROYO SILVIO</t>
  </si>
  <si>
    <t>JULIETA VALERIA SALDUNGARAY</t>
  </si>
  <si>
    <t>LOPEZ MATIAS DANIEL</t>
  </si>
  <si>
    <t>FONTANARROSA MARIA FLORENCIA</t>
  </si>
  <si>
    <t>GHERSINICH FERNANDO EZEQUIEL</t>
  </si>
  <si>
    <t>ABDALA MARIANO DAVID</t>
  </si>
  <si>
    <t>APAOLAZA GUSTAVO JAVIER</t>
  </si>
  <si>
    <t>SOTO MIRTA SUSANA</t>
  </si>
  <si>
    <t>DISTRIMASCOTA S.R.L.</t>
  </si>
  <si>
    <t>LPH MERCOSUR SA</t>
  </si>
  <si>
    <t>BASSI JORGE MATIAS</t>
  </si>
  <si>
    <t>GENAVES SA</t>
  </si>
  <si>
    <t>VOUILLOUD ARIEL ALBERTO</t>
  </si>
  <si>
    <t>ANTONCICH MARTIN IVAN</t>
  </si>
  <si>
    <t>CASTRO J MANUEL C</t>
  </si>
  <si>
    <t>CAZENEUVE GUSTAVO ANDRES</t>
  </si>
  <si>
    <t>DI RENZO GONZALO AGUSTIN RODOLFO</t>
  </si>
  <si>
    <t>GONZALEZ JOSE ROBERTO</t>
  </si>
  <si>
    <t>JARA JUAN EDUARDO</t>
  </si>
  <si>
    <t>LANUS IGNACIO</t>
  </si>
  <si>
    <t>STIER ALAN ROMAN</t>
  </si>
  <si>
    <t>ACUÑA EDUARDO DAMIAN</t>
  </si>
  <si>
    <t>PAULONI POGGI LUCAS ESTEBAN</t>
  </si>
  <si>
    <t>SHCHERBYNA TAMARA</t>
  </si>
  <si>
    <t>FEDERICO EZEQUIEL PANIAGUA</t>
  </si>
  <si>
    <t>ALZA SILVANA EDITH</t>
  </si>
  <si>
    <t>JOSE MARIA SHINZATO</t>
  </si>
  <si>
    <t>ABRAHAN ISMAEL GABRIEL</t>
  </si>
  <si>
    <t>BASUALDO TAMARA SOLEDAD</t>
  </si>
  <si>
    <t>BECHELLI ALEJANDRO GUSTAVO</t>
  </si>
  <si>
    <t>BEL MARIA TERESA</t>
  </si>
  <si>
    <t>BIANCHI TARQUINO JESUS FEDERICO</t>
  </si>
  <si>
    <t>BUET LAURA PAOLA</t>
  </si>
  <si>
    <t>CENTRO DE DERIVACIONES E INTERNACION VETERINARIA BERNAL SRL</t>
  </si>
  <si>
    <t>CIANI ANIBAL ANDRES</t>
  </si>
  <si>
    <t>COLLA NORBERTO OSCAR</t>
  </si>
  <si>
    <t>CRESPO MERCEDITAS</t>
  </si>
  <si>
    <t>D ORTO PEDRO DOMINGO</t>
  </si>
  <si>
    <t>GARCIA ANDREA INES</t>
  </si>
  <si>
    <t>GARCIA CASAMAYOR SH</t>
  </si>
  <si>
    <t>GARCIA LUIS/SOULES FARRELL</t>
  </si>
  <si>
    <t>GHIGLIAZZA GUSTAVO</t>
  </si>
  <si>
    <t>IBARGUENGOITIA GERMAN</t>
  </si>
  <si>
    <t>INOSTROZA ANDRES RAMON</t>
  </si>
  <si>
    <t>LANUS EDUARDO MARIA</t>
  </si>
  <si>
    <t>LORENA ALEJANDRA DE FELICE</t>
  </si>
  <si>
    <t>MARQUEZ ISMAEL FERNANDO GABR</t>
  </si>
  <si>
    <t>MARQUEZ JULIANA MICHELLE</t>
  </si>
  <si>
    <t>MAYOL SAMANTA</t>
  </si>
  <si>
    <t>MILANESI CARLOS JORGE</t>
  </si>
  <si>
    <t>MUNICIPALIDAD DE CHASCOMUS</t>
  </si>
  <si>
    <t>ORGANIZACION AGROPECUARIA SOCIEDAD DE HECHO</t>
  </si>
  <si>
    <t>PEDICINO LIZA VERONICA</t>
  </si>
  <si>
    <t>PERALTA SOFIA</t>
  </si>
  <si>
    <t>PORTELA ANA ROCIO</t>
  </si>
  <si>
    <t>RAJOY RUBEN DANIEL</t>
  </si>
  <si>
    <t>ROMERO JUAN FACUNDO</t>
  </si>
  <si>
    <t>SANCHEZ ROBERTO GABRIEL</t>
  </si>
  <si>
    <t>SANTIAGO MARCELA ALEJANDRA</t>
  </si>
  <si>
    <t>SILVA NAZARENA BELEN</t>
  </si>
  <si>
    <t>TIRADO SILVINA MABEL</t>
  </si>
  <si>
    <t>TUOZZO GUILLERMO RICARDO</t>
  </si>
  <si>
    <t>ZANETTI MARIANO CARLOS</t>
  </si>
  <si>
    <t>BIANCHI SAMANTA PAULA</t>
  </si>
  <si>
    <t>PEREZ SERGIO ANDRES</t>
  </si>
  <si>
    <t>CARO EMILIANO</t>
  </si>
  <si>
    <t>ETCHEMENDY VERONICA</t>
  </si>
  <si>
    <t>LOPEZ SABRINA JACINTA</t>
  </si>
  <si>
    <t>PEREIRA CORREIA CARLOS ALBERTO</t>
  </si>
  <si>
    <t>RODRIGUEZ HORACIO MARCELINO</t>
  </si>
  <si>
    <t>SANSOT GISELE MARIEL</t>
  </si>
  <si>
    <t>APERTURA JULIO</t>
  </si>
  <si>
    <t>APERTURA ABRIL - JUNIO</t>
  </si>
  <si>
    <t>JORGE MARCELO ZABALA</t>
  </si>
  <si>
    <t>ESPELET CARLOS MARTIN</t>
  </si>
  <si>
    <t>FREIRE SILVINA MIRIAM</t>
  </si>
  <si>
    <t>TRAS MAINAT</t>
  </si>
  <si>
    <t>DONADINI MARIA ISABEL</t>
  </si>
  <si>
    <t>TRAS LAVE</t>
  </si>
  <si>
    <t>BERTOLAZZI VIVIANA NOEMI</t>
  </si>
  <si>
    <t>GUILLERMO DARIO MATA</t>
  </si>
  <si>
    <t>Al 23/04</t>
  </si>
  <si>
    <t>AL 19/05</t>
  </si>
  <si>
    <t>AL 25/06</t>
  </si>
  <si>
    <t>AL 30/07</t>
  </si>
  <si>
    <t>al 06/08</t>
  </si>
  <si>
    <t>AL 20/08</t>
  </si>
  <si>
    <t>Al 07/10</t>
  </si>
  <si>
    <t>AL 27/10</t>
  </si>
  <si>
    <t>Al 17/11</t>
  </si>
  <si>
    <t>BALANCEADOS CANNING S.R.L</t>
  </si>
  <si>
    <t>lage</t>
  </si>
  <si>
    <t>BARBADORI /RAMOS</t>
  </si>
  <si>
    <t>COPPOTELLI CARLOS/MUÑOZ MICAELA</t>
  </si>
  <si>
    <t>calo</t>
  </si>
  <si>
    <t>COTTI DE LA LASTRA FEDERICO EDUARDO</t>
  </si>
  <si>
    <t>t suarez</t>
  </si>
  <si>
    <t>GUARINIELLO CRISTIAN GASTON</t>
  </si>
  <si>
    <t>FINUCCI JORGE EDUARDO</t>
  </si>
  <si>
    <t>lavallol</t>
  </si>
  <si>
    <t>RAMIRO DUFFARD</t>
  </si>
  <si>
    <t>beraza</t>
  </si>
  <si>
    <t>MULTIMARC BALANCEADOS SRL</t>
  </si>
  <si>
    <t>cañuelas</t>
  </si>
  <si>
    <t>D AQUINO NICOLAS NAHUEL MONTEGRANDE</t>
  </si>
  <si>
    <t>monte grande</t>
  </si>
  <si>
    <t>HERNAN DARIO MEDIN</t>
  </si>
  <si>
    <t>el jaguel</t>
  </si>
  <si>
    <t>GRUPO R &amp; R SAS</t>
  </si>
  <si>
    <t>cannig</t>
  </si>
  <si>
    <t>BARBOSA HUGO MIGUEL</t>
  </si>
  <si>
    <t>DIRECCION NACIONAL DEL SERVICIO PENITENCIARIO FEDERAL</t>
  </si>
  <si>
    <t>GARELLI JON/GARELLI NIC/FERNANDEZ</t>
  </si>
  <si>
    <t>temperley</t>
  </si>
  <si>
    <t>LICENZIATO JAVIER EDUARDO</t>
  </si>
  <si>
    <t>PABLO DAVID DI PRINZIO Y RODRIGO EMMANUEL CARINO SOCIEDAD DE HECHO</t>
  </si>
  <si>
    <t>mte gde</t>
  </si>
  <si>
    <t>ROLON SANDRA PAOLA</t>
  </si>
  <si>
    <t>BAIGORRIA NATALIA</t>
  </si>
  <si>
    <t>Burzaco</t>
  </si>
  <si>
    <t>BALENZANO JULIO HORACIO</t>
  </si>
  <si>
    <t>adrogue</t>
  </si>
  <si>
    <t>BOUZOUT ALEJANDRO HORACIO</t>
  </si>
  <si>
    <t>CARUSO FABIAN CARLOS</t>
  </si>
  <si>
    <t>CESAR LEANDRO DOMINGUEZ</t>
  </si>
  <si>
    <t>GOROSITO ADELINA GAUDENCIA</t>
  </si>
  <si>
    <t>GUTIERREZ MARIA DEL PILAR</t>
  </si>
  <si>
    <t>LAGOSTENA CAROLINA</t>
  </si>
  <si>
    <t>Marcos Paz</t>
  </si>
  <si>
    <t>RAMOS BRIAN NAHUEL</t>
  </si>
  <si>
    <t>monte gde</t>
  </si>
  <si>
    <t>RAMOS EZEQUIEL OSCAR</t>
  </si>
  <si>
    <t>TRUSZKOWSKI GUILLERMO</t>
  </si>
  <si>
    <t>YAMILA AYELEN MONTEROS</t>
  </si>
  <si>
    <t>Gutierrez</t>
  </si>
  <si>
    <t>AMELIA ELIZABETH BOLLA</t>
  </si>
  <si>
    <t>BARABANI RUBEN OSVALDO</t>
  </si>
  <si>
    <t>ezeiza</t>
  </si>
  <si>
    <t>BATISTA OSCAR HORACIO</t>
  </si>
  <si>
    <t>llavallo</t>
  </si>
  <si>
    <t>BROWN / PIÑEYRO</t>
  </si>
  <si>
    <t>CARINO CLAUDIO ANGEL</t>
  </si>
  <si>
    <t>CHAVANNE MARIA</t>
  </si>
  <si>
    <t>FACCINI DIEGO ALDO</t>
  </si>
  <si>
    <t>FEDERICO GARAVAGLIA</t>
  </si>
  <si>
    <t>FRATTINI CAROLINA</t>
  </si>
  <si>
    <t>FREGOTTE NESTOR DARIO</t>
  </si>
  <si>
    <t>GOMEZ CARLOS FABIAN</t>
  </si>
  <si>
    <t>JURIO/ TONDELLI</t>
  </si>
  <si>
    <t>LARA CARLOS TOMAS</t>
  </si>
  <si>
    <t>LAZARO JUAN SEGUNDO</t>
  </si>
  <si>
    <t>LESPADA JOSE CARLOS</t>
  </si>
  <si>
    <t>MENDY MARIA GABRIELA</t>
  </si>
  <si>
    <t>MORGANTE HERNAN</t>
  </si>
  <si>
    <t>MOZOTEGUI GABRIEL HORACIO</t>
  </si>
  <si>
    <t>RAMIREZ PAMELA SILVANA</t>
  </si>
  <si>
    <t>REYNA MARTA INES</t>
  </si>
  <si>
    <t>TOZZI FLORENCIA PAOLA</t>
  </si>
  <si>
    <t>VETERINARIA MV</t>
  </si>
  <si>
    <t>VETERINARIA VERGARA SRL</t>
  </si>
  <si>
    <t>SALGADO GONZALO EZEQUIEL</t>
  </si>
  <si>
    <t>GIMENEZ MARIA MILAGROS</t>
  </si>
  <si>
    <t>ACHA PABLO DAVID</t>
  </si>
  <si>
    <t>MASSARO ANTONIO GUILLERMO</t>
  </si>
  <si>
    <t>ROMAN GABRIELA MABEL</t>
  </si>
  <si>
    <t>CALVO CARLOS JOSE</t>
  </si>
  <si>
    <t>FEINMANN LAURA PATRICIA</t>
  </si>
  <si>
    <t>SALA MARIA VICTORIA</t>
  </si>
  <si>
    <t>MATHIEU MARIA LUCRECIA</t>
  </si>
  <si>
    <t>WARINET ANA MARIA</t>
  </si>
  <si>
    <t>LARICE SEBASTIAN PABLO</t>
  </si>
  <si>
    <t>MARTINEZ CARLOS ADRIAN</t>
  </si>
  <si>
    <t>SANTANA CARLOS GUILLERMO</t>
  </si>
  <si>
    <t>BENITEZ ROCIO TAMARA</t>
  </si>
  <si>
    <t>VIDAL VANINA GERALDINA</t>
  </si>
  <si>
    <t>BANACH DIANA</t>
  </si>
  <si>
    <t>IZQUIERDO JULIA MARTA</t>
  </si>
  <si>
    <t>LOTITO DOMINGO JUAN</t>
  </si>
  <si>
    <t>GARAVAGLIA VICTOR ESTEBAN</t>
  </si>
  <si>
    <t>GARCIA LUIS FERNANDO CTA 2</t>
  </si>
  <si>
    <t>GALVAN WALTER RUBEN</t>
  </si>
  <si>
    <t>SAYAL DIEGO (CANNING)</t>
  </si>
  <si>
    <t>MARTINEZ CLAUDIA KARINA</t>
  </si>
  <si>
    <t>PAREDES CLAUDIA CECILIA</t>
  </si>
  <si>
    <t>SILVESTRI MARCELA INES</t>
  </si>
  <si>
    <t>SOCIEDAD RURAL CAÑUELAS</t>
  </si>
  <si>
    <t>FIORETTI CESAR</t>
  </si>
  <si>
    <t>MUNICIPALIDAD DE MARCOS PAZ</t>
  </si>
  <si>
    <t>BUET CARLA ESTEFANIA</t>
  </si>
  <si>
    <t>BELOQUI JOSE ANTONIO</t>
  </si>
  <si>
    <t>CRIADO ANIBAL</t>
  </si>
  <si>
    <t>PROVOSTE ADRIAN FERNANDO</t>
  </si>
  <si>
    <t>ABREGO NOELIA GISELLE</t>
  </si>
  <si>
    <t>CODEGONI ROMINA VICTORIA</t>
  </si>
  <si>
    <t>VERGARA MARCOS AUGUSTO</t>
  </si>
  <si>
    <t>GARCIA GUTIERREZ FACUNDO</t>
  </si>
  <si>
    <t>BARBIERI MAURICIO ANTONIO</t>
  </si>
  <si>
    <t>SALOCHA JORGE HERNAN</t>
  </si>
  <si>
    <t>ALBERTO CARMEN MARCELA</t>
  </si>
  <si>
    <t>FUNDACION UNIVERSIDAD DE CIENCIAS EMPRESARIALES Y SOCIALES</t>
  </si>
  <si>
    <t>MUNICIPALIDAD DE EZEIZA</t>
  </si>
  <si>
    <t>AIMAR MARIELA</t>
  </si>
  <si>
    <t>Total:</t>
  </si>
  <si>
    <t>TRASPASOS</t>
  </si>
  <si>
    <t>SERRANO ALEJANDRA CAROLINA</t>
  </si>
  <si>
    <t>AGUIAR JUAREZ LEONARDO PABLO</t>
  </si>
  <si>
    <t>NOGUERA GASTON EZEQUIEL</t>
  </si>
  <si>
    <t>VETERINARIA TRUDYS S R L</t>
  </si>
  <si>
    <t>La Plata</t>
  </si>
  <si>
    <t>SANCHEZ EUGENIA CECILIA</t>
  </si>
  <si>
    <t>ZUCCHI EUGENIO</t>
  </si>
  <si>
    <t>MAROTZ CHRISTIAN</t>
  </si>
  <si>
    <t>la plata</t>
  </si>
  <si>
    <t>DUGINI DINO ENZO</t>
  </si>
  <si>
    <t>OBJ. FEB,</t>
  </si>
  <si>
    <t>OBJ. MARZO</t>
  </si>
  <si>
    <t>FC. SEPTIEMBRE</t>
  </si>
  <si>
    <t>AL 24/02</t>
  </si>
  <si>
    <t>AL 24/06</t>
  </si>
  <si>
    <t>AL 16/07</t>
  </si>
  <si>
    <t>Al 06/08</t>
  </si>
  <si>
    <t>Al 15/08</t>
  </si>
  <si>
    <t>Al 08/10</t>
  </si>
  <si>
    <t>ASTUR VEL S. A.</t>
  </si>
  <si>
    <t>CESTARO GUSTAVO DANIEL</t>
  </si>
  <si>
    <t>D ALMEIDA ANDREA ELEONORA</t>
  </si>
  <si>
    <t>GRUPO JPL / LTS</t>
  </si>
  <si>
    <t>MARCOS RUBEN FRANCISCO</t>
  </si>
  <si>
    <t>PEREZ BERNARDO</t>
  </si>
  <si>
    <t>RODRIGUEZ TROMBA HECTOR ANDRES</t>
  </si>
  <si>
    <t>SUNNY ALIMENTOS BALANCEADOS S.R.L</t>
  </si>
  <si>
    <t>QUILICI CARLOS ANIBAL</t>
  </si>
  <si>
    <t>FERRARO MARRON HECTOR PEDRO</t>
  </si>
  <si>
    <t>1836 MASCOTAS S.A.</t>
  </si>
  <si>
    <t>CABRERA JESICA GABRIELA</t>
  </si>
  <si>
    <t>CESA DUBOR BRUNO</t>
  </si>
  <si>
    <t>MYSZKOWSKI AGUSTIN EZEQUIEL</t>
  </si>
  <si>
    <t>ROMERO SANDRA INES</t>
  </si>
  <si>
    <t>PAOLI FACUNDO EZEQUIEL</t>
  </si>
  <si>
    <t>PROFARVET SA</t>
  </si>
  <si>
    <t>AGUILERA JAVIER ROBERTO</t>
  </si>
  <si>
    <t>BRUNACCI PABLO ALEJANDRO</t>
  </si>
  <si>
    <t>TRIMESTRE CERRADO</t>
  </si>
  <si>
    <t>CARLOS ALBERTO BORDON</t>
  </si>
  <si>
    <t>DOMINGUEZ NATALIA ROMINA</t>
  </si>
  <si>
    <t>ENTRE MASCOTAS</t>
  </si>
  <si>
    <t>FONSECA JUAN CARLOS</t>
  </si>
  <si>
    <t>GONZALEZ BRENDA JUANA</t>
  </si>
  <si>
    <t>IAFRATE ANA ANTONIA</t>
  </si>
  <si>
    <t>ITURRIA MARISA EDITH</t>
  </si>
  <si>
    <t>JOSELO FERNANDO OROÑISKY</t>
  </si>
  <si>
    <t>LAURIAQUE ROSSANA BEATRIZ</t>
  </si>
  <si>
    <t>LAVANDEYRA JOSE MANUEL</t>
  </si>
  <si>
    <t>MOLINARI GISELA VANINA</t>
  </si>
  <si>
    <t>RODRIGUEZ JORGE OMAR</t>
  </si>
  <si>
    <t>RUIZ MARIANA LAURA</t>
  </si>
  <si>
    <t>MORENO SANDRA MARCELA</t>
  </si>
  <si>
    <t>DOBLER JAVIER ALEJANDRO</t>
  </si>
  <si>
    <t>ELSO JOSE GONZALO</t>
  </si>
  <si>
    <t>MONJES MAURO JESUS</t>
  </si>
  <si>
    <t>BASILE FEDERICO CARLOS</t>
  </si>
  <si>
    <t>MAROLLA EZEQUIEL DANIEL</t>
  </si>
  <si>
    <t>MARTINEZ SUSANA BEATRIZ</t>
  </si>
  <si>
    <t>PAMELA ESTEFANIA BARRIONUEVO</t>
  </si>
  <si>
    <t>RAMASCO PADILLA LORENZO ALBERTO DANI</t>
  </si>
  <si>
    <t>PAULA DIAZ REXACH</t>
  </si>
  <si>
    <t>FRANCO MARIO LASAGNI VITAR</t>
  </si>
  <si>
    <t>ZACCAGNINO ALEJANDRO DANIEL</t>
  </si>
  <si>
    <t>BUSCAGLIA PABLO</t>
  </si>
  <si>
    <t>FREIRE BEATRIZ SUSANA</t>
  </si>
  <si>
    <t>VERA MAXIMILIANO DANIEL</t>
  </si>
  <si>
    <t>WALDAR SRL</t>
  </si>
  <si>
    <t>ANIMALADAS YA/SCALA MARIA/DE LUCA NORA</t>
  </si>
  <si>
    <t>BEORLEGUI GUILLERMO FABIAN</t>
  </si>
  <si>
    <t>BOHDAN MYASNIKOV</t>
  </si>
  <si>
    <t>CALLEGARI LEANDRO ARIEL</t>
  </si>
  <si>
    <t>DANIELA PINCHETTI</t>
  </si>
  <si>
    <t>DONADIO JUAN PABLO</t>
  </si>
  <si>
    <t>FARIA ANTONIO</t>
  </si>
  <si>
    <t>MASCOPET SRL</t>
  </si>
  <si>
    <t>MERCADO MARTIN ARIEL</t>
  </si>
  <si>
    <t>OLVEIRA DARIO FERNANDO</t>
  </si>
  <si>
    <t>SEBASTIAN ARIEL RINALDI</t>
  </si>
  <si>
    <t>STEMPHELET JAVIER ALEJANDRO</t>
  </si>
  <si>
    <t>TORIBROS</t>
  </si>
  <si>
    <t>VAZQUEZ MARTIN DANIEL</t>
  </si>
  <si>
    <t>VETERINARIA AMULEN</t>
  </si>
  <si>
    <t>ARIAS DELIA MERCEDES</t>
  </si>
  <si>
    <t>BERTUZZI FEDERICO JAVIER</t>
  </si>
  <si>
    <t>BESASSO MAURO PEDRO</t>
  </si>
  <si>
    <t>BOYER DIEGO DANIEL</t>
  </si>
  <si>
    <t>CATRI MARCOS RUBEN</t>
  </si>
  <si>
    <t>CAMARILLO HERNANDEZ ISABEL CRISTINA</t>
  </si>
  <si>
    <t>CILAP HOSPITAL VETERINARIO</t>
  </si>
  <si>
    <t>COVA PATRICIA LEONOR</t>
  </si>
  <si>
    <t>D AMARIO ALEJO NICOLAS</t>
  </si>
  <si>
    <t>DAIANA MAGALI CAÑELLAS</t>
  </si>
  <si>
    <t>DIAZ CYNTHIA SILVANA</t>
  </si>
  <si>
    <t>FARMACIA SANTA CATALINA SRL</t>
  </si>
  <si>
    <t>GARGIULO PABLO DAVID</t>
  </si>
  <si>
    <t>GRAVANAGO MARIO CESAR</t>
  </si>
  <si>
    <t>HLLEDE PAOLA ANDREA</t>
  </si>
  <si>
    <t>IZUMI MARIA VICTORIA</t>
  </si>
  <si>
    <t>JORGE ESPARRAGO OCAMPO</t>
  </si>
  <si>
    <t>LAGOS SEBASTIAN AGUSTIN</t>
  </si>
  <si>
    <t>LIBONATTI WALTER MARTIN</t>
  </si>
  <si>
    <t>MALDONADO VANINA ELIZABETH</t>
  </si>
  <si>
    <t>MARCELO NICOLAS PALERMO</t>
  </si>
  <si>
    <t>MENDEZ LORENA FRANCISCA SAMANTA</t>
  </si>
  <si>
    <t>MOYANO MAGALI CARLA</t>
  </si>
  <si>
    <t>MUSITANI PABLO MARTIN</t>
  </si>
  <si>
    <t>PABLO SEBASTIAN PACHINO</t>
  </si>
  <si>
    <t>PAOLILLO JORGE ALBERTO</t>
  </si>
  <si>
    <t>PROMESTI PATRICIA JOSEFINA</t>
  </si>
  <si>
    <t>QUINTANA YANINA NOEMI</t>
  </si>
  <si>
    <t>RODRIGUEZ NANCY MARINA</t>
  </si>
  <si>
    <t>ROSA JUAN MARTIN</t>
  </si>
  <si>
    <t>SCARDAMAGLIA GUILLERMO CARLOS LEANDRO</t>
  </si>
  <si>
    <t>SPINELLI NOELIA ALEJANDRA</t>
  </si>
  <si>
    <t>SUAREZ PATRICIA NOEMI</t>
  </si>
  <si>
    <t>TORRES PERALTA DALMA ARIANA</t>
  </si>
  <si>
    <t>VALENZANO RODOLFO</t>
  </si>
  <si>
    <t>VELAZQUEZ LUIS MARIANO</t>
  </si>
  <si>
    <t>VETERINARIA AZARA SRL</t>
  </si>
  <si>
    <t>VIDELA JESICA NATALI</t>
  </si>
  <si>
    <t>WALTER EDUARDO PEREZ</t>
  </si>
  <si>
    <t>AGNELLO GUILLERMO JAVIER</t>
  </si>
  <si>
    <t>ESTEVEZ MARIA DOLORES</t>
  </si>
  <si>
    <t>ESTOL SOLANA</t>
  </si>
  <si>
    <t>GONZALEZ HECTOR RUBEN</t>
  </si>
  <si>
    <t>GORRITI PAULA</t>
  </si>
  <si>
    <t>HOULGRAVE BARBARA</t>
  </si>
  <si>
    <t>MORRA MARIANA</t>
  </si>
  <si>
    <t>PABLO TOUZON</t>
  </si>
  <si>
    <t>PORCELLI CLAUDIO</t>
  </si>
  <si>
    <t>QUILICI TATIANA SOLANGE</t>
  </si>
  <si>
    <t>WALLINGER CECILIA RAQUEL</t>
  </si>
  <si>
    <t>ARDOHAIN JUAN ESTEBAN</t>
  </si>
  <si>
    <t>BASADRE GILDA</t>
  </si>
  <si>
    <t>RODRIGUEZ FLORES SABRINA GIDELA</t>
  </si>
  <si>
    <t>SOSA GARCIA ANGELICA</t>
  </si>
  <si>
    <t>FAMILIA PETS S.R.L.</t>
  </si>
  <si>
    <t>GALANTE ERICA LAURA</t>
  </si>
  <si>
    <t>DARRE ANDREA FABIANA</t>
  </si>
  <si>
    <t>CAMPAÑA CLAUDIA FABIANA</t>
  </si>
  <si>
    <t>TAMBEYRO ERICA VALERIA</t>
  </si>
  <si>
    <t>CAMPILLO LUIS RICARDO</t>
  </si>
  <si>
    <t>DE FARIA OTILIA SOLEDAD</t>
  </si>
  <si>
    <t>MARTINEZ MARIANO DANIEL</t>
  </si>
  <si>
    <t>MELIENDRES JUAN CRUZ</t>
  </si>
  <si>
    <t>VETERINARIA LOMA DEL SUR SRL</t>
  </si>
  <si>
    <t>ARROCERA DEL SUR SA</t>
  </si>
  <si>
    <t>BIAFORE RICARDO DANIEL</t>
  </si>
  <si>
    <t>ACCONCIA ERICA SABRINA</t>
  </si>
  <si>
    <t>LEMA ARIEL GUSTAVO</t>
  </si>
  <si>
    <t>FLORES VIOLETA AYELEN</t>
  </si>
  <si>
    <t>NOAILLES CECILIA MONICA</t>
  </si>
  <si>
    <t>SAN MILLAN MATIAS ALBERTO</t>
  </si>
  <si>
    <t>SPACAN SRL</t>
  </si>
  <si>
    <t>GALARZA CARLOS ALBERTO</t>
  </si>
  <si>
    <t>MARCOS MATIAS MOYANO</t>
  </si>
  <si>
    <t>BIAFORE CARLOS ALBERTO</t>
  </si>
  <si>
    <t>CORONEL MARIA LUZ DEL CARMEN</t>
  </si>
  <si>
    <t>LLANEZA FRANCISCO ALBERTO</t>
  </si>
  <si>
    <t>MEDIAVILLA SERGIO FABIAN</t>
  </si>
  <si>
    <t>BANEGAS MARIA CELESTE</t>
  </si>
  <si>
    <t>CALVO RUBEN OSCAR</t>
  </si>
  <si>
    <t>PETRONE MARCELO D Y SASSO DANIEL J</t>
  </si>
  <si>
    <t>BRUUN ERIKA VALERIA</t>
  </si>
  <si>
    <t>TORREIRO MARIANO ANDRES</t>
  </si>
  <si>
    <t>VALIENTE JUAN PABLO</t>
  </si>
  <si>
    <t>VANONI JORGE ALBERTO</t>
  </si>
  <si>
    <t>SANCHEZ ADRIANA LORENA</t>
  </si>
  <si>
    <t>PANOZZO JULIANA BELEN</t>
  </si>
  <si>
    <t>RAPISARDI ADRIAN NORBERTO(Lanus)</t>
  </si>
  <si>
    <t>BIOGÉNESIS BAGÓ S.A.</t>
  </si>
  <si>
    <t>PICCOLO VANESA INES</t>
  </si>
  <si>
    <t>JUAN PABLO SEBASTIAN VALENZUELA</t>
  </si>
  <si>
    <t>MUÑOZ JORGE SANTIAGO</t>
  </si>
  <si>
    <t>SERVIDDIO ROBERTO CECILIO</t>
  </si>
  <si>
    <t>AGUILAR HERRERO LORENA CLARA NATACHA</t>
  </si>
  <si>
    <t>FLEMATTI CARLOS ALBERTO</t>
  </si>
  <si>
    <t>ELSO CARLOS JAVIER</t>
  </si>
  <si>
    <t>BAJAS</t>
  </si>
  <si>
    <t>CROSA PABLO LEONARDO</t>
  </si>
  <si>
    <t>MOSCOSO GOMEZ CLAUDIA LORENA</t>
  </si>
  <si>
    <t>GUTIERREZ RICARDO/ADRIANA GONZALES</t>
  </si>
  <si>
    <t>ANDRADA EZEQUIEL MANUEL</t>
  </si>
  <si>
    <t>SANCHEZ JORGE AURELIO</t>
  </si>
  <si>
    <t>GUARINI VERONICA ELSA</t>
  </si>
  <si>
    <t>DORREGO GUERRERO MANUELA/DORREGO SUC 2</t>
  </si>
  <si>
    <t>PALMA BARRERA NINET ELENA</t>
  </si>
  <si>
    <t>DISTRIPET BALANCEADOS S.R.L.</t>
  </si>
  <si>
    <t>SANCHEZ MANUEL ANDRES</t>
  </si>
  <si>
    <t>REXACH MOIRA VILMA</t>
  </si>
  <si>
    <t>APERTURA OCTUBRE</t>
  </si>
  <si>
    <t>OBJ. MAR 25</t>
  </si>
  <si>
    <t>AL 25/02</t>
  </si>
  <si>
    <t>Al 25/03</t>
  </si>
  <si>
    <t>al 19/05</t>
  </si>
  <si>
    <t>Al 28/10</t>
  </si>
  <si>
    <t>ORTIZ JOAQUIN</t>
  </si>
  <si>
    <t>CANTERO / DI LORENZO</t>
  </si>
  <si>
    <t>CARERI LEANDRO GASTON</t>
  </si>
  <si>
    <t>QUINTAS ALB/FIRUMICH</t>
  </si>
  <si>
    <t>BARRETO LUIS ALBERTO</t>
  </si>
  <si>
    <t>DIEGO MARTIN CURCHO</t>
  </si>
  <si>
    <t>ACOSTA JOEL DAVID</t>
  </si>
  <si>
    <t>JOEL CESPEDES FERNANDEZ</t>
  </si>
  <si>
    <t>MAZZA GUILLERMO HECTOR</t>
  </si>
  <si>
    <t>DEVY LUCAS NICOLAS</t>
  </si>
  <si>
    <t>MARIO CUEVA</t>
  </si>
  <si>
    <t>GARCIA DIEGO/GARCIA GUSTAVO</t>
  </si>
  <si>
    <t>MARTINEZ MARIA ANGELES</t>
  </si>
  <si>
    <t>A CARA DE PERRO FELIZ SRL</t>
  </si>
  <si>
    <t>RINALDI HORACIO/ANZOATEGUI RICARDO</t>
  </si>
  <si>
    <t>BERNARDEZ MIGUEL ANGEL ANTONIO</t>
  </si>
  <si>
    <t>COSTILLA JOSE IGNACIO</t>
  </si>
  <si>
    <t>STRAMBI MARIA JOSE</t>
  </si>
  <si>
    <t>FOOD MASCOTAS LANUS S. R. L.</t>
  </si>
  <si>
    <t>LAUTARO ENRIQUEZ</t>
  </si>
  <si>
    <t>NICOLAS BERNARDINO LA MASTRA</t>
  </si>
  <si>
    <t>SPINELLI DIEGO RICARDO</t>
  </si>
  <si>
    <t>ZARATE NOELIA VANESA</t>
  </si>
  <si>
    <t>LAMASTRA LUCIANO EZEQUIEL</t>
  </si>
  <si>
    <t>MARCHIONI SERGIO/VERONICA GOMEZ</t>
  </si>
  <si>
    <t>TRIMESTRE JULIO-SEPTIEMBRE CERRADO</t>
  </si>
  <si>
    <t>PILAT LIONEL MAXIMILIANO</t>
  </si>
  <si>
    <t>TORRES RIOS MANUEL RICARDO</t>
  </si>
  <si>
    <t>VET DE MARCO SOCIEDAD SIMPLE DE CORREA ALEJO Y DE MARCO MARIELA</t>
  </si>
  <si>
    <t>AICARDO FABIAN MARCELO</t>
  </si>
  <si>
    <t>ARRIETA FACUNDO NAHUEL</t>
  </si>
  <si>
    <t>MONTENEGRO CLAUDIO ALBERTO</t>
  </si>
  <si>
    <t>CARBALLO GARCIA ROXANA VANESA</t>
  </si>
  <si>
    <t>SCAZZIOTA LAURA /SANCHEZ ALBERTO</t>
  </si>
  <si>
    <t>CARLOS COLANTONI/MANERA GISELA</t>
  </si>
  <si>
    <t>DE PAULA WALDO SUC1/SUC2</t>
  </si>
  <si>
    <t>PETS FOOD</t>
  </si>
  <si>
    <t>RIEDEL MARIANO LEONEL</t>
  </si>
  <si>
    <t>CENTRO 1 VET TRUSONI S.R.L./TRUSONI 2</t>
  </si>
  <si>
    <t>TRUSONI LUCIANO</t>
  </si>
  <si>
    <t>ALI ROMERO NAZARENO</t>
  </si>
  <si>
    <t>CANOSA JESICA LUCIA</t>
  </si>
  <si>
    <t>D AURIA JAVIER ALEJANDRO</t>
  </si>
  <si>
    <t>ETCHART GLADYS MABEL</t>
  </si>
  <si>
    <t>INSAURRALDE EDGARDO MAXIMILIANO</t>
  </si>
  <si>
    <t>KRAPP EDUARDO CLEMENTE</t>
  </si>
  <si>
    <t>LEPERE NICOLAS</t>
  </si>
  <si>
    <t>MEJIAS JUAN MARCELO</t>
  </si>
  <si>
    <t>OCHIODORO DIEGO LUIS</t>
  </si>
  <si>
    <t>VOLPATTI MARCELA MONICA</t>
  </si>
  <si>
    <t>WINIRONE S.A.</t>
  </si>
  <si>
    <t>CANSECO LILIANA MABEL</t>
  </si>
  <si>
    <t>RINALDIS DANIEL JORGE</t>
  </si>
  <si>
    <t>TERRILE JORGE LUIS</t>
  </si>
  <si>
    <t>FERNANDEZ MARIO AGUSTIN</t>
  </si>
  <si>
    <t>SCIALABBA PAOLA</t>
  </si>
  <si>
    <t>WILLIAM-VET S. CAP I SECC IV</t>
  </si>
  <si>
    <t>VELURTAS SERGIO ALEJANDRO</t>
  </si>
  <si>
    <t>CID MARIA ROSA</t>
  </si>
  <si>
    <t>LUPINI CATAFFO MARTIN EMILIANO</t>
  </si>
  <si>
    <t>BOVEDA ANDREA FABIANA</t>
  </si>
  <si>
    <t>BUGUEYRO DANIEL HORACIO</t>
  </si>
  <si>
    <t>CABALLERO GABRIEL ALEJANDRO</t>
  </si>
  <si>
    <t>CABRERA NATALIA ROMINA/ Y FONTENLA</t>
  </si>
  <si>
    <t>COSENTINO CLAUDIA GLADYS</t>
  </si>
  <si>
    <t>DEPEDRI AUGUSTO RUBEN</t>
  </si>
  <si>
    <t>ESCOBAR RIVERA ELSSY YERALDIN</t>
  </si>
  <si>
    <t>ESTEFANIA JULIETA SANCHEZ</t>
  </si>
  <si>
    <t>ESTEVEZ LEONARDO JAVIER</t>
  </si>
  <si>
    <t>GIORDANO MARTINEZ/ GIORDANO TOBIAS</t>
  </si>
  <si>
    <t>SAPIO SEBASTIAN EZEQUIEL</t>
  </si>
  <si>
    <t>FERNANDEZ SILVIA ALEJANDRA</t>
  </si>
  <si>
    <t>GOMEZ JOSE ANTONIO</t>
  </si>
  <si>
    <t>LA LUZ HERNAN ARIEL</t>
  </si>
  <si>
    <t>MAUMUS CARLA IRENE</t>
  </si>
  <si>
    <t>MERCADO NELIDA ROSA</t>
  </si>
  <si>
    <t>MILONE ALBERTO</t>
  </si>
  <si>
    <t>MOLINARI ALEJANDRA ROMINA</t>
  </si>
  <si>
    <t>PIPITO RUBEN/ PIPITO CTA 2</t>
  </si>
  <si>
    <t>RODRIGUEZ DE LUCA POLO BAUTISTA</t>
  </si>
  <si>
    <t>TARSIA EDUARDO PASCUAL</t>
  </si>
  <si>
    <t>ACUÑA MAURO JAVIER</t>
  </si>
  <si>
    <t>AGRO BRUNOS S.R.L.</t>
  </si>
  <si>
    <t>ALVAREZ GAMBINI MONICA BEATRIZ</t>
  </si>
  <si>
    <t>ASPREA MARCELO OSVALDO/GARRAHAN</t>
  </si>
  <si>
    <t>BANCO PROVINCIA</t>
  </si>
  <si>
    <t>BERROTARAN GABRIELA</t>
  </si>
  <si>
    <t>BURGOS ROBERTO ARIEL</t>
  </si>
  <si>
    <t>CAMINITO FABIAN OSCAR</t>
  </si>
  <si>
    <t>CARRICA GASTON EZEQUIEL</t>
  </si>
  <si>
    <t>CHOCOBAR ALDO GERMAN</t>
  </si>
  <si>
    <t>CLAVERO SILVIA MIRTA</t>
  </si>
  <si>
    <t>CRUZ MORENO CYNTHIA VERONICA</t>
  </si>
  <si>
    <t>DIAGNOSTICOS VETERINARIOS HOSPIVET SRL</t>
  </si>
  <si>
    <t>DIAZ COLELA MARINGELES SOLEDAD</t>
  </si>
  <si>
    <t>EL COMAHUE S.R.L.</t>
  </si>
  <si>
    <t>ERRO AZUL SOFIA</t>
  </si>
  <si>
    <t>GROSSANO ANDREA NOEMI</t>
  </si>
  <si>
    <t>GUTIERREZ DANIEL EDUARDO</t>
  </si>
  <si>
    <t>HENDLER PATRICIA BERTA</t>
  </si>
  <si>
    <t>LEDESMA GUSTAVO ANDRES</t>
  </si>
  <si>
    <t>MARIA AGOSTINA DELLA BELLA</t>
  </si>
  <si>
    <t>MARIA GABRIELA ANA SCHEINSOHN</t>
  </si>
  <si>
    <t>MOLDES SILVINA RUTH</t>
  </si>
  <si>
    <t>ORCAJADA MACARENA MARIA SOLEDAD</t>
  </si>
  <si>
    <t>PAWELEK MARCELO OSCAR</t>
  </si>
  <si>
    <t>PODESTA CELINA</t>
  </si>
  <si>
    <t>PORTINARI EDUARDO DANIEL</t>
  </si>
  <si>
    <t>QUIMICA A.P.M. S.A.</t>
  </si>
  <si>
    <t>RIGONE SILVANA MARIEL</t>
  </si>
  <si>
    <t>SCHINONI MARIO ALFREDO</t>
  </si>
  <si>
    <t>SETTEMBRINI JAVIER ERNESTO</t>
  </si>
  <si>
    <t>SOTOMAYOR JOSE LUIS</t>
  </si>
  <si>
    <t>TRAVERSA SILVINA ELIZABETH</t>
  </si>
  <si>
    <t>TURRISI SILVIA SUSANA</t>
  </si>
  <si>
    <t>MORRA CRISTINA MARIANA</t>
  </si>
  <si>
    <t>AGUIRRE PATRICIA KARINA</t>
  </si>
  <si>
    <t>ELICABE TOHA PATRICIA LUISA</t>
  </si>
  <si>
    <t>ERRO AZUL SOFIA QUILMES</t>
  </si>
  <si>
    <t>CONFORTI DELFINA</t>
  </si>
  <si>
    <t>JOSIPOVIC MONICA GRACIELA</t>
  </si>
  <si>
    <t>MILITO NATALIA PAOLA</t>
  </si>
  <si>
    <t>MUNICIPALIDAD DE NAVARRO</t>
  </si>
  <si>
    <t>MUNICIPALIDAD DE ROQUE PEREZ</t>
  </si>
  <si>
    <t>NICOLO MARCELO FABIAN</t>
  </si>
  <si>
    <t>QUIROS DIEGO ALEJANDRO</t>
  </si>
  <si>
    <t>SABELLI JUAN IGNACIO</t>
  </si>
  <si>
    <t>SALINAS LILIANA NOEMI</t>
  </si>
  <si>
    <t>SBERNA MANUELA</t>
  </si>
  <si>
    <t>TOTALES:</t>
  </si>
  <si>
    <t>*TRASPASOS</t>
  </si>
  <si>
    <t>*APERTURAS JULIO</t>
  </si>
  <si>
    <t>*INCOBRABLE ABRIL 2024</t>
  </si>
  <si>
    <t>RET</t>
  </si>
  <si>
    <t>FUNDACION UNIVERSIDAD DE CIENCIAS EMPRESARIALES Y</t>
  </si>
  <si>
    <t>JUAN CRUZ REY</t>
  </si>
  <si>
    <t>CAGGIA ALEJANDRO BERNAL</t>
  </si>
  <si>
    <t>DE GREGORIO PAOLA ALEJANDRA</t>
  </si>
  <si>
    <t>LOBANOV DANIELA SILVINA</t>
  </si>
  <si>
    <t>LOPEZ SILVANA EDITH</t>
  </si>
  <si>
    <t>DRUCKER CAROLINA VERONICA</t>
  </si>
  <si>
    <t>GOMEZ VALERIA YANINA</t>
  </si>
  <si>
    <t>NESCA HUGO</t>
  </si>
  <si>
    <t>FERIAN DIEGO</t>
  </si>
  <si>
    <t>MARINO VALERIA LUCRECIA</t>
  </si>
  <si>
    <t>APERTURAS ABRIL - JUNIO</t>
  </si>
  <si>
    <t>VET D MARCO</t>
  </si>
  <si>
    <t>FC. FEB</t>
  </si>
  <si>
    <t>FC. MAR</t>
  </si>
  <si>
    <t>AL 26/02</t>
  </si>
  <si>
    <t>Al 25/04</t>
  </si>
  <si>
    <t>AL 20/05</t>
  </si>
  <si>
    <t>Al 20/08</t>
  </si>
  <si>
    <t>Al 18/11</t>
  </si>
  <si>
    <t>GRUPO BAGUAL/BORREGO HERNAN</t>
  </si>
  <si>
    <t>PEREZ LUIS GABRIEL</t>
  </si>
  <si>
    <t>G E N GANADERA</t>
  </si>
  <si>
    <t>360 MASCOTA/LUNA JOAQUIN</t>
  </si>
  <si>
    <t>GARRIGA FEDERICO</t>
  </si>
  <si>
    <t>GARRIGA MARICEL</t>
  </si>
  <si>
    <t>MI PONCHO S.R.L.</t>
  </si>
  <si>
    <t>THORP JUSTO/THORP PATRICIO/ PETTO</t>
  </si>
  <si>
    <t>MAURICIO CORDOBA</t>
  </si>
  <si>
    <t>NAVARRO LUCAS</t>
  </si>
  <si>
    <t>ARAUCAN SERVICIOS VETERINARIOS S.A</t>
  </si>
  <si>
    <t>IÑIGUEZ DIEGO RUBEN/SPOSETTI TORGUET</t>
  </si>
  <si>
    <t>MC CARGO GISELA CAROLINA</t>
  </si>
  <si>
    <t>SCASSO NOELIA SOLEDAD</t>
  </si>
  <si>
    <t>CHOCOBAR SANDRA EVANGELINA</t>
  </si>
  <si>
    <t>CARDINALI MATIAS DANIEL</t>
  </si>
  <si>
    <t>BARCAROLLO CLAUDIA ESTEFANIA</t>
  </si>
  <si>
    <t>GOMEZ DAMIAN / GOMEZ TOMAS</t>
  </si>
  <si>
    <t>JUAN PABLO RIVAROLA</t>
  </si>
  <si>
    <t>TABORDA / SELLART</t>
  </si>
  <si>
    <t>GATTI JORGE EDUARDO</t>
  </si>
  <si>
    <t>ESCAPIL JUAN RICARDO</t>
  </si>
  <si>
    <t>COPELLO JULIO BERNARDO</t>
  </si>
  <si>
    <t>SETIEMBRE CERRADO</t>
  </si>
  <si>
    <t>MUTIO JOSE ABEL</t>
  </si>
  <si>
    <t xml:space="preserve">TRIMESTRE CERRADO </t>
  </si>
  <si>
    <t>SANDRA MARCOS MARTIN</t>
  </si>
  <si>
    <t>ACUÑA CINTIA SOLEDAD</t>
  </si>
  <si>
    <t>GARDINETTI AGUSTIN LISANDRO Y GALLO EZEQUIEL MARTIN S.H</t>
  </si>
  <si>
    <t>GRACIELA MATILDE VACCARO</t>
  </si>
  <si>
    <t>GIANCRISTOFARO LILIANA BEATRIZ</t>
  </si>
  <si>
    <t>MACHADO JUAN PABLO</t>
  </si>
  <si>
    <t>MARIA CRISTINA DE DOMINICIS</t>
  </si>
  <si>
    <t>RUFFOLO GABRIEL</t>
  </si>
  <si>
    <t>MARTINEZ VERONICA ANDREA</t>
  </si>
  <si>
    <t>MONBELLI ESTEBAN EMILIO</t>
  </si>
  <si>
    <t>MARIA LAURA RICCI PARIS</t>
  </si>
  <si>
    <t>COELHO HEBER ALEXIS</t>
  </si>
  <si>
    <t>BALIÑA MARIA FERNANDA</t>
  </si>
  <si>
    <t>MAYAN SABRINA LAURA</t>
  </si>
  <si>
    <t>MENDEZ RODRIGO/PUCACCO CECILIA</t>
  </si>
  <si>
    <t>VAZQUEZ MELISA INES</t>
  </si>
  <si>
    <t>TITTARELLI MARIA ISABEL</t>
  </si>
  <si>
    <t>BIDONDO AGUSTIN</t>
  </si>
  <si>
    <t>DURAN RODRIGO RICARDO</t>
  </si>
  <si>
    <t>VILLALVA LAUTARO ROMAN</t>
  </si>
  <si>
    <t>OMAR LEONARDO SOSA</t>
  </si>
  <si>
    <t>YBARRA JUAN MANUEL</t>
  </si>
  <si>
    <t>CORVALAN ARIEL PEDRO</t>
  </si>
  <si>
    <t>AGUILAR EMANUEL HERNAN</t>
  </si>
  <si>
    <t>FRAMARINI MARTIN AGUSTIN</t>
  </si>
  <si>
    <t>TRIBERIG SA</t>
  </si>
  <si>
    <t>DIMENNA SANTIAGO DOMINGO JOSE</t>
  </si>
  <si>
    <t>PALADINI WALTER VICENTE</t>
  </si>
  <si>
    <t>JUAN BAUTISTA DIAZ</t>
  </si>
  <si>
    <t>PETERSEN MARCELO ORLANDO</t>
  </si>
  <si>
    <t>CARNEVALI MARIA EUGENIA</t>
  </si>
  <si>
    <t>IRIARTE CARLOS MANUEL</t>
  </si>
  <si>
    <t>BONINO MARIANO</t>
  </si>
  <si>
    <t>GROBA HORACIO ROSENDO</t>
  </si>
  <si>
    <t>ERIKA CALVI</t>
  </si>
  <si>
    <t>CASTRO JUAN MANUEL M</t>
  </si>
  <si>
    <t>ARREGUES AILEN ABIGAIL</t>
  </si>
  <si>
    <t>ROMERO FEDERICO DIEGO</t>
  </si>
  <si>
    <t>VON GURADZE HUBERTO NICOLAS</t>
  </si>
  <si>
    <t>MASULLO MARIELA LUCIA</t>
  </si>
  <si>
    <t>PEREZ VARAS CAROLINA</t>
  </si>
  <si>
    <t>BARRAGAN LILIANA GRACIELA</t>
  </si>
  <si>
    <t>HIRIGOYEN JOSE/SELIS DANIEL</t>
  </si>
  <si>
    <t>ARANDA SIPAN RUBEN ARTURO</t>
  </si>
  <si>
    <t>FAUSTO HIPOLITO GURRIERI</t>
  </si>
  <si>
    <t>GUTIERREZ ECHEVERRIA MARIA PAULA</t>
  </si>
  <si>
    <t>DEL PIZZO ROSANA ELIZABETH</t>
  </si>
  <si>
    <t>PETTO MONICA NATALIA</t>
  </si>
  <si>
    <t>SIALER RUIZ JULIO JORGE</t>
  </si>
  <si>
    <t>CAPPELETTI BUPIE FERNANDO GABRIEL</t>
  </si>
  <si>
    <t>LUNA HUGO SERGIO</t>
  </si>
  <si>
    <t>BENITEZ MARIA SILVINA</t>
  </si>
  <si>
    <t>PALAZZO FERNANDO JAVIER</t>
  </si>
  <si>
    <t>VEGA JOSE FELICIANO</t>
  </si>
  <si>
    <t>MARTINEZ PABLO SANTIAGO</t>
  </si>
  <si>
    <t>HERRERO LUCAS</t>
  </si>
  <si>
    <t>MINICI JORGELINA DEBORA</t>
  </si>
  <si>
    <t>IRINA NICOLE GROSMAN</t>
  </si>
  <si>
    <t>CABEIRO ANTONELLA YASMIN</t>
  </si>
  <si>
    <t>CALGARO RAMON ANTONIO</t>
  </si>
  <si>
    <t>MAR</t>
  </si>
  <si>
    <t>GARCIA SIDEREFF LUCIANO HERNAN</t>
  </si>
  <si>
    <t>RIEVE MARIANA/SIMONETTI CANDELA</t>
  </si>
  <si>
    <t>MOJSIUK ALEX CATRIEL</t>
  </si>
  <si>
    <t>MIGUEZ MARIANA</t>
  </si>
  <si>
    <t>LEONOR GISELA JESICA LARDIT</t>
  </si>
  <si>
    <t>MARZULLO DENISE ANABEL</t>
  </si>
  <si>
    <t>CAPPANNINI MARIA PAULA</t>
  </si>
  <si>
    <t>TOSETTI CLAUDIO MARCELO</t>
  </si>
  <si>
    <t>FILIPPI MEDINA MARIA VIRGINIA</t>
  </si>
  <si>
    <t>LUQUEZ/BOTTERI</t>
  </si>
  <si>
    <t>COPELLO MARIELA</t>
  </si>
  <si>
    <t>FARIAS PEDRO ALEJANDRO</t>
  </si>
  <si>
    <t>ESTABLECIMIENTO LOS GAUCHITOS SRL</t>
  </si>
  <si>
    <t>KLIMCZUK LEONARDO CLEMENTE</t>
  </si>
  <si>
    <t>FERREYRA EVELIN</t>
  </si>
  <si>
    <t>FRANCO EMANUEL DI LORETO</t>
  </si>
  <si>
    <t>ROMERO JULIAN</t>
  </si>
  <si>
    <t>NAVAZO AYELEN MAITE</t>
  </si>
  <si>
    <t>VARGAS VERONICA</t>
  </si>
  <si>
    <t>CAMILA MAFFIA</t>
  </si>
  <si>
    <t>GUDELJ BACCHIEGA MARIA JULIA</t>
  </si>
  <si>
    <t>MORAGA VALCARCE DIANA ELISA ANTONIA</t>
  </si>
  <si>
    <t>MATIZ LEONARDO ANDRES</t>
  </si>
  <si>
    <t>OSELLA OSCAR EUGENIO 2</t>
  </si>
  <si>
    <t>PUIG JOSE ALBERTO</t>
  </si>
  <si>
    <t>JFASINGERMANN S.R.L</t>
  </si>
  <si>
    <t>BORRELLI SALVADOR OSVALDO</t>
  </si>
  <si>
    <t>RIOS MANUELA</t>
  </si>
  <si>
    <t>CARINA ESTER SOSA</t>
  </si>
  <si>
    <t>ACOSTA ROBERTO MARTIN</t>
  </si>
  <si>
    <t>CUELLO CARLOS EDUARDO</t>
  </si>
  <si>
    <t>TORELLO GABRIEL MARTIN</t>
  </si>
  <si>
    <t>SCARPAZZA ANDRES DAMIAN</t>
  </si>
  <si>
    <t>ACOSTA LARA AYMARA</t>
  </si>
  <si>
    <t>RUIZ SANDRA INES</t>
  </si>
  <si>
    <t>ARMESTO FEDERICO SEBASTIAN</t>
  </si>
  <si>
    <t>DEBAT ECHEGOYEN AGUSTINA SOLANGE</t>
  </si>
  <si>
    <t>FUSAMOTO RICARDO ABEL</t>
  </si>
  <si>
    <t>LASALA EZEQUIEL ESTEBAN</t>
  </si>
  <si>
    <t>FIGUEROA GUSTAVO FABIAN</t>
  </si>
  <si>
    <t>JULIO CESAR SAMPINO</t>
  </si>
  <si>
    <t>DOLORES DE SETA</t>
  </si>
  <si>
    <t>LAUTARO MANUEL FERREYRA</t>
  </si>
  <si>
    <t>JOSE LUIS VILLALVA</t>
  </si>
  <si>
    <t>MARIA JOSEFINA PEDROCHE</t>
  </si>
  <si>
    <t>AGUSTIN CASABLANCA</t>
  </si>
  <si>
    <t>SPOTO ZABALA JULIETA</t>
  </si>
  <si>
    <t>SANCHEZ URDAY VANESA YANINA</t>
  </si>
  <si>
    <t>CAMPURIS FEDERICO JAVIER</t>
  </si>
  <si>
    <t>CECCARELLI PAOLA ANDREA</t>
  </si>
  <si>
    <t>MARRACINO EMILIANO EMANUEL</t>
  </si>
  <si>
    <t>BILBAO CARLOS MARIO</t>
  </si>
  <si>
    <t>MODAY MARINA</t>
  </si>
  <si>
    <t>BIOMILL SAU</t>
  </si>
  <si>
    <t>BOFFI FEDERICO MARTIN</t>
  </si>
  <si>
    <t>TOMAS SANCHEZ DESCALZI</t>
  </si>
  <si>
    <t>LUCAS EZEQUIEL CARROZO</t>
  </si>
  <si>
    <t>GAZCON MARIANO LUIS</t>
  </si>
  <si>
    <t>MUNICIPALIDAD DE PILA</t>
  </si>
  <si>
    <t>AROCENA JORGE LUIS LUCAS</t>
  </si>
  <si>
    <t>RAMOS ALBERTO FELICIANO</t>
  </si>
  <si>
    <t>BONICATTO PABLO ALEJANDRO</t>
  </si>
  <si>
    <t>martinez maria luciana es Farias Pedro</t>
  </si>
  <si>
    <t>FARIAS PEDRO ALEJANDRO(MARTINEZ MARIA LUCIANA)</t>
  </si>
  <si>
    <t>OBJ. ENE 25</t>
  </si>
  <si>
    <t>OBJ. FEB 25</t>
  </si>
  <si>
    <t>Al 16/07</t>
  </si>
  <si>
    <t>al 28/10</t>
  </si>
  <si>
    <t>MORENA HORACIO ALBERTO</t>
  </si>
  <si>
    <t>BOSCHETTI LEONARDO y LAZARTE RICARDO DANIEL</t>
  </si>
  <si>
    <t>COOPERATIVA AGRARIA LIMITADA DE OLAVARRIA</t>
  </si>
  <si>
    <t>GIAMBRONI EMILCE BEATRIZ</t>
  </si>
  <si>
    <t>DELL OSO MARTIN</t>
  </si>
  <si>
    <t>BENIGNI LUIS ALBERTO LUJAN Y INSAUGARAT JUAN RAMON SOCIEDAD SIMPE</t>
  </si>
  <si>
    <t>GARCES HERMANOS S. CAP I</t>
  </si>
  <si>
    <t>STABILE JOSE CARLOS</t>
  </si>
  <si>
    <t>VETERINARIA DEL PUEBLO SRL</t>
  </si>
  <si>
    <t>MASSON EDGARDO HERNAN</t>
  </si>
  <si>
    <t>ZAFFARANO JOSE MARIA</t>
  </si>
  <si>
    <t>EL PALENQUE S. CAP I SECC IV</t>
  </si>
  <si>
    <t>PICHIRILO CARLOS DAVID</t>
  </si>
  <si>
    <t>CURLEICH MARTIN/ANABEL OLARTICOECHEA</t>
  </si>
  <si>
    <t>GARCÍA NIC/ AGUILAR MARIA</t>
  </si>
  <si>
    <t>ANDRADE ROBERTO HIPOLITO</t>
  </si>
  <si>
    <t>BARRERE BERNARDO</t>
  </si>
  <si>
    <t>GARCIA ELIZ/SANCHEZ MARIA CECILIA</t>
  </si>
  <si>
    <t>FERNANDEZ SILVANA MARINA</t>
  </si>
  <si>
    <t>SOSA MARIA/LIBRANDI LUIS</t>
  </si>
  <si>
    <t>BENIGNI JUAN CARLOS</t>
  </si>
  <si>
    <t>NUÑEZ DIEGO ANDRES</t>
  </si>
  <si>
    <t>RAFECA VANESA ANAHI</t>
  </si>
  <si>
    <t>DI SPALATRO GUSTAVO JULIO</t>
  </si>
  <si>
    <t>MOLINA MOLA MARIANA GISELE</t>
  </si>
  <si>
    <t>PALAZZOLO JAVIER OMAR</t>
  </si>
  <si>
    <t>GASALI GONZALEZ AGUSTINA MERCEDES</t>
  </si>
  <si>
    <t>CARLOS PEDRO CEFERINO MORA</t>
  </si>
  <si>
    <t>BAGUNAC S.A.</t>
  </si>
  <si>
    <t>MARIANA LEILA ABRAHIM</t>
  </si>
  <si>
    <t>MARINA LOPEZ</t>
  </si>
  <si>
    <t>OLIVERA MARIA PIA</t>
  </si>
  <si>
    <t>SILVIA MARIEL CABRERA</t>
  </si>
  <si>
    <t>SILVINA BOCCA</t>
  </si>
  <si>
    <t>DIAZ MARIA DOLORES</t>
  </si>
  <si>
    <t>CROVETTO ALBERTO JULIO</t>
  </si>
  <si>
    <t>CENTRO MEDICO VETERINARIO</t>
  </si>
  <si>
    <t>LIVIO ROBERTO/FOUQUET</t>
  </si>
  <si>
    <t>ORTIZ PAMELA/SEOANE MARIA</t>
  </si>
  <si>
    <t>PRADO TREJO MILAGROS ANAHI</t>
  </si>
  <si>
    <t>BRU DIANA ROSA</t>
  </si>
  <si>
    <t>0</t>
  </si>
  <si>
    <t>SAAVEDRA JORGELINA ANDREA</t>
  </si>
  <si>
    <t>YURNO OSCAR ALFREDO</t>
  </si>
  <si>
    <t>DE ARZAVE JULIO CESAR</t>
  </si>
  <si>
    <t>RUI CARLOS FACUNDO</t>
  </si>
  <si>
    <t>ABRAHIM RAFAAT DANIEL</t>
  </si>
  <si>
    <t>GONZALEZ MONICA NOEMI</t>
  </si>
  <si>
    <t>ROSSA MAGALI YAEL</t>
  </si>
  <si>
    <t>ARROYO GLADYS KARINA</t>
  </si>
  <si>
    <t>PORTILLO ANGEL GERARDO</t>
  </si>
  <si>
    <t>TRAVASCIO CARLOS ALBERTO</t>
  </si>
  <si>
    <t>VETERINARIA LA MULITA DE AZUL S. R. L</t>
  </si>
  <si>
    <t>BRUNO SERVAT BERNARDO ANGEL</t>
  </si>
  <si>
    <t>LOVISO L/MARIA C BENAVIDEZ</t>
  </si>
  <si>
    <t>SADABA SEBASTIAN ANDRES</t>
  </si>
  <si>
    <t>CARUSO ANTONELA</t>
  </si>
  <si>
    <t>CASTRO NESTOR ANDRES</t>
  </si>
  <si>
    <t>MARILE NEGRI</t>
  </si>
  <si>
    <t>ESTANCIAS EL PORVENIR S.A.</t>
  </si>
  <si>
    <t>FARACO MATIAS</t>
  </si>
  <si>
    <t>JESICA LORENA ACOSTA</t>
  </si>
  <si>
    <t>CARRERA MARIA FLORENCIA</t>
  </si>
  <si>
    <t>CARRICA MARIANO/LA REYERTA</t>
  </si>
  <si>
    <t>RIPOLL FERMIN</t>
  </si>
  <si>
    <t>SAPPIA DANIEL HUMBERTO</t>
  </si>
  <si>
    <t>SUAREZ MARIBEL/MELO MELISA</t>
  </si>
  <si>
    <t>LUCIANA YAMILA MANGUDO</t>
  </si>
  <si>
    <t>CHOMICKI CHRISTIAN DANIEL</t>
  </si>
  <si>
    <t>NOYA PABLO HORACIO</t>
  </si>
  <si>
    <t>DEL RABAL BRANDAN JUAN EZEQUIEL</t>
  </si>
  <si>
    <t>DELIA MONICA LILIANA</t>
  </si>
  <si>
    <t>GUERRA LUIS SANDRO SANTOS</t>
  </si>
  <si>
    <t>ROMERO AGUSTIN ALBERTO</t>
  </si>
  <si>
    <t>BARON ANTONE/LUCIANA MUJICA</t>
  </si>
  <si>
    <t>ARREGUI DANIEL ALBERTO</t>
  </si>
  <si>
    <t>CASTEX GERVASIO LUIS</t>
  </si>
  <si>
    <t>PAGANO NANCY MABEL</t>
  </si>
  <si>
    <t>MINOLI MARIANO</t>
  </si>
  <si>
    <t>ESCUDUN JUAN JOSE</t>
  </si>
  <si>
    <t>GONZALEZ JUAN MARIA</t>
  </si>
  <si>
    <t>DI CLAUDIO SERGIO VICENTE</t>
  </si>
  <si>
    <t>ELGUE LUCIA</t>
  </si>
  <si>
    <t>TOMAS ALEJANDRO GERMAN</t>
  </si>
  <si>
    <t>CHIRAMBERRO VIVIANA BEATRIZ</t>
  </si>
  <si>
    <t>BAUTISTA GASPAR</t>
  </si>
  <si>
    <t>PARDO CARLOS ESTEBAN</t>
  </si>
  <si>
    <t>DIMASI CRISTIAN HERNAN</t>
  </si>
  <si>
    <t>CAEIRO ESTEBAN MIGUEL</t>
  </si>
  <si>
    <t>LUNA MATIAS</t>
  </si>
  <si>
    <t>ALLAMPRESE AGATA LORENA</t>
  </si>
  <si>
    <t>FRANCINI JUAN GASTON</t>
  </si>
  <si>
    <t>GOMBA RODRIGO</t>
  </si>
  <si>
    <t>RABAZZANO FERNANDO JAVIER</t>
  </si>
  <si>
    <t>DIEGUEZ JORGE ALBERTO</t>
  </si>
  <si>
    <t>CONSTANTINO MARIA FLORENCIA</t>
  </si>
  <si>
    <t>MARIA CECILIA TORRA</t>
  </si>
  <si>
    <t xml:space="preserve">   </t>
  </si>
  <si>
    <t>MARIA BELEN GUTIERREZ MEYER Y MARIA JULIA GUDELJ B</t>
  </si>
  <si>
    <t>VETERINARIA BALDINI S.A.</t>
  </si>
  <si>
    <t>BUGLIO JULIO CESAR</t>
  </si>
  <si>
    <t>DI IELSI NADIA SOLEDAD</t>
  </si>
  <si>
    <t>SACK AGUSTINA/GERARDO/TEDESCO MARIA</t>
  </si>
  <si>
    <t>IVELI SEBASTIAN</t>
  </si>
  <si>
    <t>SANTISO ATILIO FABIAN</t>
  </si>
  <si>
    <t>MARQUEZ PABLO EZEQUIEL</t>
  </si>
  <si>
    <t>OSTROWSKI CRISTIAN MIGUEL</t>
  </si>
  <si>
    <t>PEDRAZZA NICOLAS GABRIEL</t>
  </si>
  <si>
    <t>MARIA BELEN GUTIERREZ MEYER</t>
  </si>
  <si>
    <t>SUCESION DE GARCIA PEDRO HIGINIO</t>
  </si>
  <si>
    <t>HERRERA JULIAN</t>
  </si>
  <si>
    <t>NIEVA MARIA DE LOS ANGELES</t>
  </si>
  <si>
    <t>GIMENEZ GUILLERMO SAUL</t>
  </si>
  <si>
    <t>LOJO MARCELA ALEJANDRA</t>
  </si>
  <si>
    <t>SANCHEZ ALEJANDRO/RESSIA CARINA</t>
  </si>
  <si>
    <t>RAYEN RONCO PETRUCCI S.R.L LA PLATA</t>
  </si>
  <si>
    <t>RURAL ESPICAY LP SRL</t>
  </si>
  <si>
    <t>DI STEFANO FERNANDO RUBEN</t>
  </si>
  <si>
    <t>COCCARO ANALIA INES</t>
  </si>
  <si>
    <t>SOER ALFREDO DANIEL</t>
  </si>
  <si>
    <t>RUBINETTI ELSA INES</t>
  </si>
  <si>
    <t>MUNICIPALIDAD DE TAPALQUE</t>
  </si>
  <si>
    <t>LEANDRO SILVIA LORENA</t>
  </si>
  <si>
    <t>REYNOSO CARLOS RAFAEL</t>
  </si>
  <si>
    <t>MUNICIPALIDAD DE GENERAL ALVEAR</t>
  </si>
  <si>
    <t>FUNES DAMIAN MARTINIANO</t>
  </si>
  <si>
    <t>ZARATE ALVARO</t>
  </si>
  <si>
    <t>SIERRA MARIA EUGENIA</t>
  </si>
  <si>
    <t>ARIEL SEBASTIAN MARTINEZ</t>
  </si>
  <si>
    <t>SILVA CARLOS MARCELO</t>
  </si>
  <si>
    <t>BENIGNI LUIS ALBERTO LUJAN Y INSAUGARAT JUAN RAMON</t>
  </si>
  <si>
    <t>FC.AGOSTO</t>
  </si>
  <si>
    <t>al 25/04</t>
  </si>
  <si>
    <t>al 20/05</t>
  </si>
  <si>
    <t>AL 26/06</t>
  </si>
  <si>
    <t>Al 20/09</t>
  </si>
  <si>
    <t>AL 28/10</t>
  </si>
  <si>
    <t>al 31/10</t>
  </si>
  <si>
    <t>al 18/11</t>
  </si>
  <si>
    <t>GONZALES J.GABRIEL/CARRIQUIRIBORDE</t>
  </si>
  <si>
    <t>MENDEZ AGUSTINA</t>
  </si>
  <si>
    <t>ATARAMA ALVAN RAFAEL HECTOR</t>
  </si>
  <si>
    <t>QUINTEROS NOELIA/KLIMA LILIANA</t>
  </si>
  <si>
    <t>RICCI ROSANA MARIEL</t>
  </si>
  <si>
    <t>GATTI CARINA</t>
  </si>
  <si>
    <t>MARTIN FARABELLO</t>
  </si>
  <si>
    <t>FERNANDEZ DEL CASTILLO/IAROSKY</t>
  </si>
  <si>
    <t>EL VERANO/APAOLAZA MARIA/APAOLAZA PEDRO</t>
  </si>
  <si>
    <t xml:space="preserve"> JULIO CERRADO</t>
  </si>
  <si>
    <t>CALZADA JESUS MARIA</t>
  </si>
  <si>
    <t>MANDOZI CRISTIAN FABIAN</t>
  </si>
  <si>
    <t>STORNELLI MARIA CECILIA</t>
  </si>
  <si>
    <t>CASALE LUCIA LAURA</t>
  </si>
  <si>
    <t>CAPONERA RAFAEL</t>
  </si>
  <si>
    <t>CUENCA GASTON ADRIAN</t>
  </si>
  <si>
    <t>GONZALEZ KARINA ALEJANDRA</t>
  </si>
  <si>
    <t>IBAÑEZ GASTON LEONARDO</t>
  </si>
  <si>
    <t>NAINSZTEIN VANINA</t>
  </si>
  <si>
    <t>ONDICOL JUAN MANUEL</t>
  </si>
  <si>
    <t>GUZMAN CARLOS ALBERTO</t>
  </si>
  <si>
    <t>LIZARAZU TORRICO GERMAN ROGER</t>
  </si>
  <si>
    <t>ROSAS FACUNDO MATIAS</t>
  </si>
  <si>
    <t>SPADONI JORGE ALBERTO</t>
  </si>
  <si>
    <t>SBERNA ROCIO ANDREA</t>
  </si>
  <si>
    <t>ZAPPACOSTA NORA INES</t>
  </si>
  <si>
    <t>MARCOS SANTIAGO FURLAN</t>
  </si>
  <si>
    <t>ORTA YANINA ANABEL</t>
  </si>
  <si>
    <t>GRASSI MONICA GRACIELA</t>
  </si>
  <si>
    <t>ECOMASCOTAS PET SHOP S.R.L/ HERNANDEZ GUILL</t>
  </si>
  <si>
    <t>ORTEGA MICHEL ANGEL BARTOLINO</t>
  </si>
  <si>
    <t>WERBAG LUCIANO</t>
  </si>
  <si>
    <t>PALAZZO AUGUSTO JOSE</t>
  </si>
  <si>
    <t>LARA MARCELO FABIAN</t>
  </si>
  <si>
    <t>LELLI SEBASTIAN CESAR</t>
  </si>
  <si>
    <t>MACHADO YAMILA SOLEDAD</t>
  </si>
  <si>
    <t>MARIANELA PACCAGNINI</t>
  </si>
  <si>
    <t>MATIAS ALEJANDRO RODRIGUEZ</t>
  </si>
  <si>
    <t>MAMANI ALFREDO OSCAR</t>
  </si>
  <si>
    <t>PALLICER GUSTAVO/CERESOLA AYELEN</t>
  </si>
  <si>
    <t>PLAZA JUAN PEDRO</t>
  </si>
  <si>
    <t>PORTELLI RAUL FEDERICO</t>
  </si>
  <si>
    <t>AMORENA JUAN CARLOS</t>
  </si>
  <si>
    <t>RODOLFO JOSE MARIA MURRAY</t>
  </si>
  <si>
    <t>BASINIANI EMILCE</t>
  </si>
  <si>
    <t>CAMPANINO ANDREA VIVIANA</t>
  </si>
  <si>
    <t>CARDOSO JESICA ALEJANDRA</t>
  </si>
  <si>
    <t>LELLI LEANDRO AUGUSTO</t>
  </si>
  <si>
    <t>MENDIVIL MARIA CECILIA</t>
  </si>
  <si>
    <t>ORLANDI MOLINA ISABEL VERONICA</t>
  </si>
  <si>
    <t>PEREZ AGUSTINA MICAELA</t>
  </si>
  <si>
    <t>ROBLEDO MIGUEL ANGEL</t>
  </si>
  <si>
    <t>ROSSELLI EVANGELINA MARIA</t>
  </si>
  <si>
    <t>SEASING SRL</t>
  </si>
  <si>
    <t>ANTONINI PABLO FABIAN</t>
  </si>
  <si>
    <t>OLID SANTIAGO ARIEL</t>
  </si>
  <si>
    <t>RIMARCEL S. R. L.</t>
  </si>
  <si>
    <t>ROSSI FEDERICO JAVIER</t>
  </si>
  <si>
    <t>ZOOCIOS SOCIEDAD DE RESPONSABILIDAD LIMITADA</t>
  </si>
  <si>
    <t>DELGADO ARIANA</t>
  </si>
  <si>
    <t>CASTELLI ANTONELLA</t>
  </si>
  <si>
    <t>AGUIRRE CELIZ PABLO HUMBERTO</t>
  </si>
  <si>
    <t>ALI EVA BEATRIZ</t>
  </si>
  <si>
    <t>SEGARRA RODRIGO FEDERICO</t>
  </si>
  <si>
    <t>SIBRETTI TOMAS</t>
  </si>
  <si>
    <t>PICCONE EMILIANO RAUL</t>
  </si>
  <si>
    <t>AGUSTINA SOLEDAD FLESSATTI</t>
  </si>
  <si>
    <t>ALVAREZ JULIETA AYELEN</t>
  </si>
  <si>
    <t>ARBIZU MARIANO PABLO ANTONIO</t>
  </si>
  <si>
    <t>BARABOGLIA LISANDRO</t>
  </si>
  <si>
    <t>BARBOZA AYLEN ANDREA</t>
  </si>
  <si>
    <t>BARTOLOME VANESA MILAGROS</t>
  </si>
  <si>
    <t>CANTARD JULIO LUIS</t>
  </si>
  <si>
    <t>CASALE JOSE RAFAEL</t>
  </si>
  <si>
    <t>JON NOELIA YAMILA</t>
  </si>
  <si>
    <t>MARTINS STELLA MARIS</t>
  </si>
  <si>
    <t>MONTONI VERONICA CARINA</t>
  </si>
  <si>
    <t>RE NICOLAS ESTEBAN DAVI</t>
  </si>
  <si>
    <t>SORIA COSTANZA-GHIO MARIA LAURA SOC. DE HECHO</t>
  </si>
  <si>
    <t>FERRETTI OSCAR</t>
  </si>
  <si>
    <t>GALLIARI MARCELA EUGENIA</t>
  </si>
  <si>
    <t>RUIZ LORENA SOLEDAD</t>
  </si>
  <si>
    <t>ZANDONADI MARIA SILVINA</t>
  </si>
  <si>
    <t>ZARATIEGUI DANIEL</t>
  </si>
  <si>
    <t>PERROUD MICH /LAVIGNE LUCAS</t>
  </si>
  <si>
    <t>ORSINI EMILIA AGUSTINA</t>
  </si>
  <si>
    <t>COPELLO JUAN ALFREDO</t>
  </si>
  <si>
    <t>JUNCAL VERONICA</t>
  </si>
  <si>
    <t>LONGHI PAMELA ANAHI</t>
  </si>
  <si>
    <t>REGALADO VANESA ALEJANDRA</t>
  </si>
  <si>
    <t>CITATE JORGE DANIEL</t>
  </si>
  <si>
    <t>DA SILVA MARIA CRISTINA</t>
  </si>
  <si>
    <t>DELGADO STAGNARES JUAN JOSE</t>
  </si>
  <si>
    <t>PADULO FABIO ANDRES</t>
  </si>
  <si>
    <t>PEREZ DANIEL ALEJANDRO</t>
  </si>
  <si>
    <t>PIELLA MARCELO ALEJANDRO</t>
  </si>
  <si>
    <t>MANSO MARIA ALEJANDRINA</t>
  </si>
  <si>
    <t>CORIA CINTIA LORENA</t>
  </si>
  <si>
    <t>BRATSCHI RICARDO</t>
  </si>
  <si>
    <t>DELFINO MARIA FLORENCIA</t>
  </si>
  <si>
    <t>FALCON SERGIO OSVALDO</t>
  </si>
  <si>
    <t>GONZALEZ CECILIA ADRIANA</t>
  </si>
  <si>
    <t>COLQUE HUAITE ROGER GUIDO</t>
  </si>
  <si>
    <t>CORREBO GABRIELA RAQUEL</t>
  </si>
  <si>
    <t>PELLEGRINI FABIAN</t>
  </si>
  <si>
    <t>RODRIGUEZ LINARES MANUEL ANTONIO</t>
  </si>
  <si>
    <t>BIANCO LUISINA DANIELA</t>
  </si>
  <si>
    <t>CUCULICCHIO HERMANOS SOC DE LA SECCION IV LGS</t>
  </si>
  <si>
    <t>ESCRIBANO CESAR GUILLLERMO</t>
  </si>
  <si>
    <t>GALLARDO FACUNDO LUIS</t>
  </si>
  <si>
    <t>GIGENA ALBERTO ABEL</t>
  </si>
  <si>
    <t>GATTI CESAR</t>
  </si>
  <si>
    <t>SERENA SEBASTIAN</t>
  </si>
  <si>
    <t>FACALMA S.A.</t>
  </si>
  <si>
    <t>LEDESMA CARLOS MARIANO</t>
  </si>
  <si>
    <t>PIENSOS &amp; CIA. S.A.</t>
  </si>
  <si>
    <t>FC MARZO</t>
  </si>
  <si>
    <t>FC ABRIL</t>
  </si>
  <si>
    <t>FC MAYO</t>
  </si>
  <si>
    <t>FC JUNIO</t>
  </si>
  <si>
    <t>FC JULIO</t>
  </si>
  <si>
    <t>FC AGOSTO</t>
  </si>
  <si>
    <t>FC SEPTIEMB.</t>
  </si>
  <si>
    <t>FC OCT.</t>
  </si>
  <si>
    <t>DSCTO FARM.</t>
  </si>
  <si>
    <t>al 23 feb</t>
  </si>
  <si>
    <t>AL 05/09</t>
  </si>
  <si>
    <t>AL 9/10</t>
  </si>
  <si>
    <t>AL 18/11</t>
  </si>
  <si>
    <t>PHANTIMON S.A</t>
  </si>
  <si>
    <t>ERCOLI SERGIO NESTOR</t>
  </si>
  <si>
    <t>DONATO CARLOS</t>
  </si>
  <si>
    <t>LARREA HERNAN PABLO</t>
  </si>
  <si>
    <t>ESPINOSA MARIA INES</t>
  </si>
  <si>
    <t>CALDENTEY TOMAS/CALDENTEY Y CAPOZUCCA/CAPOZUCCA FRANCO</t>
  </si>
  <si>
    <t>DESTEFANO JOSE HERNAN Y BIDEGAIN GUSTAVO MIGUEL S.H</t>
  </si>
  <si>
    <t>FEDERICO JOSE MARIA</t>
  </si>
  <si>
    <t>PLAZIBAT MARIA LAURA</t>
  </si>
  <si>
    <t>ROSATO PABLO LUIS</t>
  </si>
  <si>
    <t>KILISET SA</t>
  </si>
  <si>
    <t>MASTRANGELO EZEQUIEL</t>
  </si>
  <si>
    <t>DISTRIBUIDORA DE BALANCEADOS MERLO</t>
  </si>
  <si>
    <t>MOSCA CLAUDIO JOSE</t>
  </si>
  <si>
    <t>ALMEIDA FLAVIA/GUILLEN ALAN</t>
  </si>
  <si>
    <t>BARIDON GUSTAVO RAFAEL</t>
  </si>
  <si>
    <t>ENRIQUE MARTIN AGUILERA</t>
  </si>
  <si>
    <t>NIGRO NATALIA SOLEDAD</t>
  </si>
  <si>
    <t>SAEZ CLAUDIO ALBERTO</t>
  </si>
  <si>
    <t>PANDA PAMPA S.A.</t>
  </si>
  <si>
    <t>PONZO SILVIA ESTEFANIA</t>
  </si>
  <si>
    <t>PUIG JOSÉ ALBERTO/JULIETA AGUSTINA</t>
  </si>
  <si>
    <t>TRIMESTRE JUL-SEPT CERRADO</t>
  </si>
  <si>
    <t>VETERINARIA SEBASTIAN S.R.L</t>
  </si>
  <si>
    <t>VERONA PABLO MATIAS</t>
  </si>
  <si>
    <t>COOPERATIVA AGROPECUARIA E INDUSTRIAL DE RAUCH LIMITADA</t>
  </si>
  <si>
    <t>IRIGOYEN ROBERTO/ITURRALDE JUAN</t>
  </si>
  <si>
    <t>ALLEGRONI JULIO FEDERICO</t>
  </si>
  <si>
    <t>BISCHOFF RUBEN ALEJANDRO</t>
  </si>
  <si>
    <t>BOHNKE ARTICULOS/HALLIER EUGENIA</t>
  </si>
  <si>
    <t>CABALLERO COMERCIAL Y AGROPECUARIA SA</t>
  </si>
  <si>
    <t>CENTRO PET ARGENTINA S.R.L.</t>
  </si>
  <si>
    <t>CIEUTAT PAOLA MARIA</t>
  </si>
  <si>
    <t>FLORES FEDERICO MIGUEL</t>
  </si>
  <si>
    <t>FRONZA CLAUDIO MARCELO</t>
  </si>
  <si>
    <t>GONZALEZ NOELIA LUCIA</t>
  </si>
  <si>
    <t>IRIARTE MONICA</t>
  </si>
  <si>
    <t>LEONARDIS HERNAN HECTOR</t>
  </si>
  <si>
    <t>LLARENA MARTINEZ FLORENCIA ITATI</t>
  </si>
  <si>
    <t>MARIÑO VIRGINIA</t>
  </si>
  <si>
    <t>NUTRIJO AGROSERVICIOS S. R. L.</t>
  </si>
  <si>
    <t>OCAMPO NICOLAS RUFINO</t>
  </si>
  <si>
    <t>ORTEGA JULIO CESAR</t>
  </si>
  <si>
    <t>SORENSEN JOHN/HERRERO YAMILA</t>
  </si>
  <si>
    <t>SEGURADO RUBEN HORACIO</t>
  </si>
  <si>
    <t>URGA GUSTAVO DANIEL</t>
  </si>
  <si>
    <t>VELEZ CARLOS FERNANDO</t>
  </si>
  <si>
    <t>ARANA GASTON ANGEL</t>
  </si>
  <si>
    <t>BAUER SANTIAGO</t>
  </si>
  <si>
    <t>BRACCO VIVIANA BEATRIZ</t>
  </si>
  <si>
    <t>CAMACHO MARIA CANDELA</t>
  </si>
  <si>
    <t>COUYOUPETROU NESTOR MAXIMILIANO</t>
  </si>
  <si>
    <t>CRESPI ANDREA/SALGADO WALTER</t>
  </si>
  <si>
    <t>DETTANO YANINA MARIANELA</t>
  </si>
  <si>
    <t>GOMEZ JAVIER/NICOSIA CLAUDIO</t>
  </si>
  <si>
    <t>GOMEZ GUSTAVO ALBERTO</t>
  </si>
  <si>
    <t>GUILINO ABEL ALCIDES</t>
  </si>
  <si>
    <t>LAS PRADERAS DE PETREIGNE JORGE HORACIO ATELA OMAR SEBASTIAN Y COSTANTINO JAVIER</t>
  </si>
  <si>
    <t>LOPEZ DE ARMENTIA FACUNDO</t>
  </si>
  <si>
    <t>MALANDRA JORGE ARIEL</t>
  </si>
  <si>
    <t>MARQUEZ JENNIFER ESTEFANIA</t>
  </si>
  <si>
    <t>MORENO FRANCISCO</t>
  </si>
  <si>
    <t>NOCETTI FACUNDO</t>
  </si>
  <si>
    <t>SOLER PATRICIA ADOLFINA</t>
  </si>
  <si>
    <t>VOORAF WORDEN S.R.L.</t>
  </si>
  <si>
    <t>WOLCOFF MARIANA LORENA</t>
  </si>
  <si>
    <t>REVORA EDUARDO JOSE</t>
  </si>
  <si>
    <t>GAMARDO PATRICIA MONICA</t>
  </si>
  <si>
    <t>CARDOZO CARLOS MARIA</t>
  </si>
  <si>
    <t>DISTRIB DM PETS/SALDIVIA NICOLAS</t>
  </si>
  <si>
    <t>ALMANG RUBEN DARIO</t>
  </si>
  <si>
    <t>POINTIS DANIEL ROLANDO</t>
  </si>
  <si>
    <t>RESTAINO ADRIAN/ FERREIRA ISABELLE</t>
  </si>
  <si>
    <t>DARIO LUIS ALTI</t>
  </si>
  <si>
    <t>MUSTIOLA RIVERA MIYENYS COROMOTO</t>
  </si>
  <si>
    <t>LOBBOTT S A</t>
  </si>
  <si>
    <t>GOIN MARTIN EMILIO</t>
  </si>
  <si>
    <t>MIROGLIO ANTONELA MAILEN</t>
  </si>
  <si>
    <t>VETERINARIA CENTRO SOCIEDAD DE RESPONSABILIDAD LIMITAD</t>
  </si>
  <si>
    <t>ZUNINO MATIAS AGUSTIN</t>
  </si>
  <si>
    <t>BURON RICARDO/ ALFANO MARIA</t>
  </si>
  <si>
    <t>1 DE ABRIL S.A</t>
  </si>
  <si>
    <t>POLLERO ROSANA MARIA LEONOR</t>
  </si>
  <si>
    <t>HUSEBY MARIA LUJAN</t>
  </si>
  <si>
    <t>ARANA PEDRO FABIAN</t>
  </si>
  <si>
    <t>CAMPOSTRINI JAVIER ALEJANDRO</t>
  </si>
  <si>
    <t>CARMELINI DANIEL GERMAN</t>
  </si>
  <si>
    <t>CHIMENTO SERGIO ANDRES</t>
  </si>
  <si>
    <t>ETCHEVARNE DIEGO SEBASTIAN</t>
  </si>
  <si>
    <t>ORTELLADO GUILLERMO NURI</t>
  </si>
  <si>
    <t>PISERA PABLO MIGUEL</t>
  </si>
  <si>
    <t>ROMINA ACUÑA</t>
  </si>
  <si>
    <t>FORTASSINI LUC/MENDOZA  MARCE</t>
  </si>
  <si>
    <t>BOGADO CARMEN</t>
  </si>
  <si>
    <t>BUJNIEWICZ SABRINA CARLA</t>
  </si>
  <si>
    <t>BUSS BRAUN PAMELA DAIANA</t>
  </si>
  <si>
    <t>CEBRAL JULIA MAGDALENA</t>
  </si>
  <si>
    <t>CHAAR GUILLERMO ANICETO</t>
  </si>
  <si>
    <t>CLAVARINO MARIANA</t>
  </si>
  <si>
    <t>FRANCO HECTOR HUGO Y FRANCO DAVID HERNAN SOC. DE HECHO</t>
  </si>
  <si>
    <t>GARCIA ALEJANDRO RAUL</t>
  </si>
  <si>
    <t>INCORONATO PAULA LILIAN</t>
  </si>
  <si>
    <t>MAIER PATRICIA NOEMI</t>
  </si>
  <si>
    <t>MARCELO RAUL ROQUES</t>
  </si>
  <si>
    <t>MARTIN FEDERICO JOSE</t>
  </si>
  <si>
    <t>MARTIN GASTON FERNANDEZ CHAPARRO</t>
  </si>
  <si>
    <t>MONTENEGRO IBAÑEZ ANA MONICA</t>
  </si>
  <si>
    <t>ORTIZ TORRES LIZ GRISELDA</t>
  </si>
  <si>
    <t>RIEGLER EDUARDO HORACIO</t>
  </si>
  <si>
    <t>SFORZINI YANINA GABRIELA</t>
  </si>
  <si>
    <t>SILVA JUAN LUIS</t>
  </si>
  <si>
    <t>SUCESION DE MARZULLO CESAR ABEL</t>
  </si>
  <si>
    <t>VALARINO EDUARDO/VALARINO RAMIRO</t>
  </si>
  <si>
    <t>VARZE KARINA</t>
  </si>
  <si>
    <t>YANNACE AYELEN</t>
  </si>
  <si>
    <t>SACCO HERNAN</t>
  </si>
  <si>
    <t>ALDAZ LAURA MARCELA</t>
  </si>
  <si>
    <t>CONEXPOR SOCIEDAD ANONIMA S. A.</t>
  </si>
  <si>
    <t>MUNICIPALIDAD DE GENERAL LAVALLE</t>
  </si>
  <si>
    <t>AICARDI LEANDRO</t>
  </si>
  <si>
    <t>BICHO`S DEL SUR SRL</t>
  </si>
  <si>
    <t>LAMAS GABRIELA ALEJANDRA</t>
  </si>
  <si>
    <t>MAURICIO PABLO CEFERINO ARIAS</t>
  </si>
  <si>
    <t>PEREZ KEVIN ALEXANXDER</t>
  </si>
  <si>
    <t>VALARINO RAMIRO JESUS</t>
  </si>
  <si>
    <t>CHENQUELEN CUATRO S.A.</t>
  </si>
  <si>
    <t>VAJDA NESTOR DANIEL</t>
  </si>
  <si>
    <t>BRENTA ALEJANDRO/SANTA CRUZ GABRIEL</t>
  </si>
  <si>
    <t>FABARRO JUAN PABLO</t>
  </si>
  <si>
    <t>IÑIGUEZ CANO JAVIER</t>
  </si>
  <si>
    <t>IRIARTE VALERIA LETICIA</t>
  </si>
  <si>
    <t>HALLIER EUGENIA</t>
  </si>
  <si>
    <t>HERRERO YAMILA</t>
  </si>
  <si>
    <t>AL 25/04</t>
  </si>
  <si>
    <t>AL 23/06</t>
  </si>
  <si>
    <t>Al 09/10</t>
  </si>
  <si>
    <t>AGRO VETERINARIA NUTRISAN S. CAP I SECC IV</t>
  </si>
  <si>
    <t>ARBOLES S.R.L.</t>
  </si>
  <si>
    <t>DROGUERIA MEDICAM SRL</t>
  </si>
  <si>
    <t>DUPUY CARLOS RAUL FERNANDO</t>
  </si>
  <si>
    <t>IRAZOQUI JUAN CARLOS</t>
  </si>
  <si>
    <t>NUÑEZ PEÑALOZA EDUARDO JAVIER</t>
  </si>
  <si>
    <t>QUINTANA MARIANELA</t>
  </si>
  <si>
    <t>MC DERMOTT ELBERT VICTOR</t>
  </si>
  <si>
    <t>ANGELINO CRISTIAN</t>
  </si>
  <si>
    <t>LORENA ANAHI PASQUALE</t>
  </si>
  <si>
    <t>ROMERO MARIA EMILIA</t>
  </si>
  <si>
    <t>GUERRA ANDREA</t>
  </si>
  <si>
    <t>PERON MELINA</t>
  </si>
  <si>
    <t>FUSERO CLAUDIO OSCAR</t>
  </si>
  <si>
    <t>GONZALEZ ANALIA ADRIANA</t>
  </si>
  <si>
    <t>JULIA ISABEL MARTINEZ TARRAGO</t>
  </si>
  <si>
    <t>FERNANDEZ LARA JULIANA</t>
  </si>
  <si>
    <t>GALISE VICTORIO ANDRES</t>
  </si>
  <si>
    <t>LOPEZ VIVIANA VERONICA</t>
  </si>
  <si>
    <t>AVENI FERNANDO JOEL</t>
  </si>
  <si>
    <t>CUBICINO FRANCO GONZALO</t>
  </si>
  <si>
    <t>JULIETA RODRIGUEZ</t>
  </si>
  <si>
    <t>SARACHU MARIA BERTA MABEL</t>
  </si>
  <si>
    <t>TOMAS VILLAVICENCIO</t>
  </si>
  <si>
    <t>BARBONA GABRIELA ALEJANDRA</t>
  </si>
  <si>
    <t>OSVALDO DANIEL GARCIA MAZZOLA</t>
  </si>
  <si>
    <t>KENNY RUPERTO ENRIQUE</t>
  </si>
  <si>
    <t>JESUS DAMIAN TURSI</t>
  </si>
  <si>
    <t>ARISTI CARLOS EDUARDO</t>
  </si>
  <si>
    <t>CARLI VICTOR CAMILO</t>
  </si>
  <si>
    <t>CHIARAVALLE MARTIN AMBROSIO</t>
  </si>
  <si>
    <t>CRISCUELI PAULA AYELEN</t>
  </si>
  <si>
    <t>DANIELA ALEJANDRA ORDOÑEZ BONILLA</t>
  </si>
  <si>
    <t>ALMADA CINTIA VICTORIA</t>
  </si>
  <si>
    <t>ALVAREZ BURATTI VIVIANA</t>
  </si>
  <si>
    <t>BEDOYA ALEJANDRO LUCIANO</t>
  </si>
  <si>
    <t>CHAVES JUAN PABLO</t>
  </si>
  <si>
    <t>CORTI GONZALO IVAN</t>
  </si>
  <si>
    <t>DAIANA GISELE VELLAZ BARBIERI</t>
  </si>
  <si>
    <t>DI CROCE FABIO ALEJANDRO</t>
  </si>
  <si>
    <t>DI FRANCESCO BRUNO ANDRES</t>
  </si>
  <si>
    <t>FERREYRA ALEJANDRO NESTOR</t>
  </si>
  <si>
    <t>GONZALEZ MAURICIO DAMIAN</t>
  </si>
  <si>
    <t>HERRERA GLORIA S/SUC2</t>
  </si>
  <si>
    <t>LA NUEVA MERCED S.R.L.</t>
  </si>
  <si>
    <t>NIEFERGOL MARCO ANTONIO</t>
  </si>
  <si>
    <t>NORO MARIA MARTA</t>
  </si>
  <si>
    <t>PARDO JOSE MARIA</t>
  </si>
  <si>
    <t>PEREZ RAMIRO ESTEBAN</t>
  </si>
  <si>
    <t>PICOLINI MARCELO GERONIMO</t>
  </si>
  <si>
    <t>PINEDO SABRINA</t>
  </si>
  <si>
    <t>SOFIA BELEN SENA</t>
  </si>
  <si>
    <t>SOLARI MARIA VERONICA</t>
  </si>
  <si>
    <t>VIALE LUIS EDUARDO</t>
  </si>
  <si>
    <t>VIDOSEVICH EVANGELINA</t>
  </si>
  <si>
    <t>FERRARI BONOFIGLIO PABLO DANIEL</t>
  </si>
  <si>
    <t>GRANERO AGUERO JESICA MARTINA</t>
  </si>
  <si>
    <t>HENNIG MILTON HUGO</t>
  </si>
  <si>
    <t>JONES CAMILA GERALDINE</t>
  </si>
  <si>
    <t>LEMOS SOLANGE</t>
  </si>
  <si>
    <t>MACIAS MARIA DE LOS ANGELES</t>
  </si>
  <si>
    <t>MARCZAK SILVYA PAOLA</t>
  </si>
  <si>
    <t>MARTINOLICH CARLOS OCTAVIO</t>
  </si>
  <si>
    <t>PACZKO E HIJOS S.R.L</t>
  </si>
  <si>
    <t>PARADA MARIA VIRGINIA</t>
  </si>
  <si>
    <t>SCARANO NICOLAS ANIBAL</t>
  </si>
  <si>
    <t>SHORT JUAN MARTIN</t>
  </si>
  <si>
    <t>BALANCEADOS DEL NORTE SRL</t>
  </si>
  <si>
    <t>LAB FERNANDEZ S.A.</t>
  </si>
  <si>
    <t>FUENTES CRISTIAN MATIAS</t>
  </si>
  <si>
    <t>ADRIAN JESUS SOTO</t>
  </si>
  <si>
    <t>MOTTA LUCAS GABRIEL</t>
  </si>
  <si>
    <t>SUAREZ MARIA VITALINA DE LOURDES</t>
  </si>
  <si>
    <t>CAMINO BELEN</t>
  </si>
  <si>
    <t>MUNDO MARINO S A</t>
  </si>
  <si>
    <t>KARINA TOME</t>
  </si>
  <si>
    <t>BORDON AUGUSTO IMANOL</t>
  </si>
  <si>
    <t>MARTIN SILVIA GRACIELA</t>
  </si>
  <si>
    <t>CONSEJO NACIONAL DE INVESTIGACIONES CIENTIFICAS Y TECNICAS CONICET</t>
  </si>
  <si>
    <t>PAPALEO GISELA</t>
  </si>
  <si>
    <t>MAZZA MATEO AGUSTIN</t>
  </si>
  <si>
    <t>FUNDACION DE LA FACULTAD DE INGENIERIA PARA LA TRANSFERENCIA TECNOLOGICA Y LA PROMOCION DE EMPRESAS DE BIENES Y SERVICIOS</t>
  </si>
  <si>
    <t>PACMA ASOCIACION CIVIL</t>
  </si>
  <si>
    <t>UNIVERSIDAD NACIONAL DE LA PLATA</t>
  </si>
  <si>
    <t>BASSI RICARD/SERRA ALEJANDRA</t>
  </si>
  <si>
    <t>FINAMORE ENRIQUE GABRIEL</t>
  </si>
  <si>
    <t>TINTA VENEROS ROLANDO</t>
  </si>
  <si>
    <t>MUNICIPALIDAD DE BRAGADO</t>
  </si>
  <si>
    <t>MARIA CAROLINA LEONE</t>
  </si>
  <si>
    <t>LA CAUTIVA SOCIEDAD LEY 19550 CAP. I SECC. IV</t>
  </si>
  <si>
    <t>AGROINSUMOS S. A.</t>
  </si>
  <si>
    <t>BLESA MARTINELLI LEANDRO FRANCISCO FEDERICO</t>
  </si>
  <si>
    <t>MARAGGI CELESTINI MARCOS</t>
  </si>
  <si>
    <t>CARDOZO LIDIA ESTHER</t>
  </si>
  <si>
    <t>MUNICIPALIDAD DE GENERAL LAS HERAS</t>
  </si>
  <si>
    <t>MUNICIPALIDAD DE ALMIRANTE BROWN</t>
  </si>
  <si>
    <t>MUNICIPALIDAD DE BERAZATEGUI</t>
  </si>
  <si>
    <t>MUNICIPALIDAD DE LAPRIDA</t>
  </si>
  <si>
    <t>MUNICIPALIDAD DE LOBOS</t>
  </si>
  <si>
    <t>ACUÑA GIAMBRUNO JOAQUIN</t>
  </si>
  <si>
    <t>AGROPECUARIA LOS GROBITOS S A S. A.</t>
  </si>
  <si>
    <t>MUNICIPALIDAD DE MONTE</t>
  </si>
  <si>
    <t>MUNICIPALIDAD DE PRESIDENTE PERON</t>
  </si>
  <si>
    <t>MUNICIPIO DE TOLHUIN</t>
  </si>
  <si>
    <t>RUPP GUILLERMO NAZARENO</t>
  </si>
  <si>
    <t>MUNICIPALIDAD DE SUIPACHA</t>
  </si>
  <si>
    <t>MUNICIPALIDAD DE VEINTICINCO DE MAYO</t>
  </si>
  <si>
    <t>LAVITOLA JOSEFINA</t>
  </si>
  <si>
    <t>CANE MIGUEL</t>
  </si>
  <si>
    <t>DIEGO MARIANO FUENTE</t>
  </si>
  <si>
    <t>CRISTIAN MATIAS FUENTES</t>
  </si>
  <si>
    <t>CATALA JUAN CARLOS LEOPOLDO</t>
  </si>
  <si>
    <t>DIEGO ALBERTO MARTIRE</t>
  </si>
  <si>
    <t>FRATI FEDERICO</t>
  </si>
  <si>
    <t>OYARZABAL MIGUEL ALBERTO</t>
  </si>
  <si>
    <t>FARMENTANO NICOLAS AGUSTIN</t>
  </si>
  <si>
    <t>TORRES MARCOS FABIAN</t>
  </si>
  <si>
    <t>FUNDACION FACULTAD DE CIENCIAS VETERINARIAS UNLP</t>
  </si>
  <si>
    <t>FERREIRA MARIANO</t>
  </si>
  <si>
    <t>GOTTA PASCUAL ALEJANDRO</t>
  </si>
  <si>
    <t>TASSISTRO JONATHAN</t>
  </si>
  <si>
    <t>LARGHI PAULINA</t>
  </si>
  <si>
    <t>BIOTECNOLOGIAS REPRODUCTIVAS SRL</t>
  </si>
  <si>
    <t>BASSI ENZO EZEQUIEL</t>
  </si>
  <si>
    <t>GUILLERMO ALEXIS FARIAS</t>
  </si>
  <si>
    <t>AGROVETERINARIA EL CHANA S. R. L.</t>
  </si>
  <si>
    <t>BLAIOTTA HIPOLITO ANTONIO</t>
  </si>
  <si>
    <t>BURELLA SILVIA DANIELA</t>
  </si>
  <si>
    <t>CASSINA BIANCA</t>
  </si>
  <si>
    <t>LA SUIPACHENSE COOPERATIVA DE PRODUCTORES DE LECHE LIMITADA</t>
  </si>
  <si>
    <t>MENDEZ MARIA ELENA</t>
  </si>
  <si>
    <t>PADIN NUÑEZ RAUL SANTIAGO</t>
  </si>
  <si>
    <t>GRUPO UNLP</t>
  </si>
  <si>
    <t>FUNDACION CIENCIAS EXACTAS</t>
  </si>
  <si>
    <t>SUMIC PAULA LIZA</t>
  </si>
  <si>
    <t>CALDENTEY TOMAS/CALDENTEY Y CAPOZUCCA/CAPOZZUCA FRANCO</t>
  </si>
  <si>
    <t>PIGUEIRAS DIEGO FERNANDO</t>
  </si>
  <si>
    <t>DONADIO NATACHA</t>
  </si>
  <si>
    <t>MUDROVCIC JUAN ALBERTO</t>
  </si>
  <si>
    <t>CORREA GABRIELA SOLEDAD</t>
  </si>
  <si>
    <t>KEVIN PORTILLO AVALOS</t>
  </si>
  <si>
    <t>AYALA MARIA RITA SOLEDAD</t>
  </si>
  <si>
    <t>NEUFELD SCHWARZ TATIANA CAROLINA</t>
  </si>
  <si>
    <t>HAEUBLEIN GERARDO RODOLFO</t>
  </si>
  <si>
    <t>VETERINARIA CENTRO SOCIEDAD DE RESPONSABILIDAD LIMitad</t>
  </si>
  <si>
    <t>BUELA</t>
  </si>
  <si>
    <t>BASILE</t>
  </si>
  <si>
    <t>LAGE</t>
  </si>
  <si>
    <t>CALO</t>
  </si>
  <si>
    <t>RETAMAR</t>
  </si>
  <si>
    <t xml:space="preserve">VARGAS   </t>
  </si>
  <si>
    <t xml:space="preserve">MONTENEGRO   </t>
  </si>
  <si>
    <t>MARUCA</t>
  </si>
  <si>
    <t>ARRIOLA</t>
  </si>
  <si>
    <t>LAVENIA</t>
  </si>
  <si>
    <t>ROTELA</t>
  </si>
  <si>
    <t>APAOLAZA PEDRO</t>
  </si>
  <si>
    <t>BOHNKE ARTICULOS RURALES</t>
  </si>
  <si>
    <t>CUEVA MARIO</t>
  </si>
  <si>
    <t>EL VERANO/APAOLAZA MARIA</t>
  </si>
  <si>
    <t>FORTASSINI LUC/MENDOZA MARCE</t>
  </si>
  <si>
    <t>HERNANDEZ GUILLEN PABLO RICARD</t>
  </si>
  <si>
    <t>GREGORUTTI MARCELO</t>
  </si>
  <si>
    <t>PALLICER GUSTAVO ISMAEL</t>
  </si>
  <si>
    <t>2DA CTA AGOSTO</t>
  </si>
  <si>
    <t>MASCOTASUR S.R.L.</t>
  </si>
  <si>
    <t>VALARINO EDUARDO</t>
  </si>
  <si>
    <t xml:space="preserve"> </t>
  </si>
  <si>
    <t>al 29/10</t>
  </si>
  <si>
    <t>MAINAT</t>
  </si>
  <si>
    <t>LESCANO</t>
  </si>
  <si>
    <t>ARANDA MATIAS EZEQUIEL</t>
  </si>
  <si>
    <t>CURRAO EZEQUIEL OMAR</t>
  </si>
  <si>
    <t>GUTIERREZ RICARDO ADRIAN</t>
  </si>
  <si>
    <t>JPL S.R.L.</t>
  </si>
  <si>
    <t>AVANCE JULIO AL 16</t>
  </si>
  <si>
    <t>ROTELA/PECH</t>
  </si>
  <si>
    <t>CRESPI ABRIL ANDREA MAGDALENA</t>
  </si>
  <si>
    <t>SALGADO WALTER DARIO</t>
  </si>
  <si>
    <t>CALDENTEY TOMAS EDGARDO</t>
  </si>
  <si>
    <t>CAPOZUCCA FRANCO</t>
  </si>
  <si>
    <t>SALDIVIA NICOLAS AGUSTIN</t>
  </si>
  <si>
    <t>CLAUDIO GUILLERMO NICOSIA</t>
  </si>
  <si>
    <t>GOMEZ JAVIER IGNACIO</t>
  </si>
  <si>
    <t>CONSTANTINO MARIA EMILIA</t>
  </si>
  <si>
    <t>FERRARI GABRIEL MARCELO</t>
  </si>
  <si>
    <t>BAVA FEDERICO LUCAS</t>
  </si>
  <si>
    <t>LORDA JOSE LUIS MAURICIO</t>
  </si>
  <si>
    <t>KELLY SILVIA MARIA LIDIA</t>
  </si>
  <si>
    <t>PEREZ GARDINER MARIA LAURA</t>
  </si>
  <si>
    <t>SILVA VERONICA HELENA CTA 1</t>
  </si>
  <si>
    <t>BRUNETTI FERNANDO SIXTO</t>
  </si>
  <si>
    <t>ARZANI LORENA SOLEDAD</t>
  </si>
  <si>
    <t>ESPIL JULIO ALBERTO Y ESPIL BERNARDO RAUL SOC DE HECHO DE ESPIL JULIO ALBERTO Y ESPIL BERNARDO RAUL</t>
  </si>
  <si>
    <t>TRIPOLI ANALIA SOLEDAD</t>
  </si>
  <si>
    <t>MEJIAS EVANGELINA MABEL</t>
  </si>
  <si>
    <t>CARAMANICO CRISTIAN DAVID Y FEGOLI JUAN MARTIN S. CAP I SECC IV</t>
  </si>
  <si>
    <t>MONTENEGRO</t>
  </si>
  <si>
    <t>PECH</t>
  </si>
  <si>
    <t xml:space="preserve">ROTELA </t>
  </si>
  <si>
    <t>ACUERDOS COMERCIALES</t>
  </si>
  <si>
    <t>FARMACIA</t>
  </si>
  <si>
    <t>ALIM. TODA LINEA</t>
  </si>
  <si>
    <t>CORDERO</t>
  </si>
  <si>
    <t>OBJETIVO MENSUAL</t>
  </si>
  <si>
    <t>OBJETIVO BIMESTRAL</t>
  </si>
  <si>
    <t>ACUERDOS COMERCIALES VIGENTES</t>
  </si>
  <si>
    <t>MÍNIMO MENSUAL</t>
  </si>
  <si>
    <t>MÍNIMO BIMESTRAL</t>
  </si>
  <si>
    <t>LISTA</t>
  </si>
  <si>
    <t>EMILIANO EZEQUIEL QUINTEROS</t>
  </si>
  <si>
    <t>FLORENCIA BEATRIZ BEHRENS</t>
  </si>
  <si>
    <t>FORGIA VIVIANA INES</t>
  </si>
  <si>
    <t>MADINAVEITIA JOSEFA PETRONA</t>
  </si>
  <si>
    <t>GRACIELA ELEONORA BIANCULLI</t>
  </si>
  <si>
    <t>RODRIGUEZ MORA</t>
  </si>
  <si>
    <t>ASPREA MARCELO OSVALDO</t>
  </si>
  <si>
    <t>LANDEIRA WALTER ALBERTO</t>
  </si>
  <si>
    <t>BASILE FEDERICO CTA. 2</t>
  </si>
  <si>
    <t>RUSSI ALEJANDRO ANDRES</t>
  </si>
  <si>
    <t>CAVIA REGINO Y GANDARA RICARDO LEANDRO</t>
  </si>
  <si>
    <t>CAZZOLLA MARIANA GRACIELA</t>
  </si>
  <si>
    <t>FONTECOBA CINTIA</t>
  </si>
  <si>
    <t>IGLESIAS FERNANDEZ DIEGO BALTAZAR</t>
  </si>
  <si>
    <t>MARIAN JOSE MENESES SILVA</t>
  </si>
  <si>
    <t>MARIO ADOLFO JOAQUIN DA FONSECA</t>
  </si>
  <si>
    <t>GONZALEZ LIDIA</t>
  </si>
  <si>
    <t>IAPEGHINO MARIA JOSE</t>
  </si>
  <si>
    <t>GONZALEZ ADRIANA MABEL</t>
  </si>
  <si>
    <t>TOTALES</t>
  </si>
  <si>
    <t>ABEL BERAZATEGUI SA</t>
  </si>
  <si>
    <t>ALOISI VICTOR DANIEL</t>
  </si>
  <si>
    <t>ALTI DARIO LUIS</t>
  </si>
  <si>
    <t>AZARIO LEANDRA LORENA</t>
  </si>
  <si>
    <t>BALANCEADOS LOGAN</t>
  </si>
  <si>
    <t>BARRETO ALEJANDRO JAVIER</t>
  </si>
  <si>
    <t>BARRETO CARLOS RODOLFO</t>
  </si>
  <si>
    <t>BISSO RUBEN DARIO</t>
  </si>
  <si>
    <t>BLESA DANIEL FRANCISCO</t>
  </si>
  <si>
    <t>BRACUTO PABLO NICOLAS BURZACO</t>
  </si>
  <si>
    <t>BROUWER S.A.</t>
  </si>
  <si>
    <t>CASTRO JUAN MANUEL V</t>
  </si>
  <si>
    <t>CO PANACEA S A</t>
  </si>
  <si>
    <t>CONSUMIDOR FINAL</t>
  </si>
  <si>
    <t>COOPERATIVA AGROPECUARIA E INDUSTRIAL DE RAUCH LIM</t>
  </si>
  <si>
    <t>COOPERATIVA DE PROVICION PARA VETERINARIOS PAMPA H</t>
  </si>
  <si>
    <t>COOPERATIVA DE TRABAJO DEL OESTE LIMITADA</t>
  </si>
  <si>
    <t>COPPOTELLI CARLOS SEBASTIAN</t>
  </si>
  <si>
    <t>DE SETA DOLORES</t>
  </si>
  <si>
    <t>DESTEFANO JOSE HERNAN Y BIDEGAIN GUSTAVO MIGUEL S.</t>
  </si>
  <si>
    <t>DIEGO RAFAEL ORTEGA</t>
  </si>
  <si>
    <t>DIRECCION NACIONAL DEL SERVICIO PENITENCIARIO FEDE</t>
  </si>
  <si>
    <t>DRESSEN SA</t>
  </si>
  <si>
    <t>EL TORITO S.A.</t>
  </si>
  <si>
    <t>ELASKAR MARIA MARTA</t>
  </si>
  <si>
    <t>EMILIANO ANGEL FORTUNATO</t>
  </si>
  <si>
    <t>EMPLEADOS KRONEN</t>
  </si>
  <si>
    <t>ERCOLI CANALE S.H</t>
  </si>
  <si>
    <t>FEDERICO JOAQUIN OLAIZOLA</t>
  </si>
  <si>
    <t>FERREYRA MYRIAN AMANDA</t>
  </si>
  <si>
    <t>FORCHERIO LUCIANO EDUARDO</t>
  </si>
  <si>
    <t>FRANCO HECTOR HUGO Y FRANCO DAVID HERNAN SOC. DE H</t>
  </si>
  <si>
    <t>GARDINETTI AGUSTIN LISANDRO Y GALLO EZEQUIEL MARTI</t>
  </si>
  <si>
    <t>ILORO CARLOS ALBERTO</t>
  </si>
  <si>
    <t>JOSE DENIS BENITEZ</t>
  </si>
  <si>
    <t>LAS PRADERAS DE PETREIGNE JORGE HORACIO ATELA OMAR</t>
  </si>
  <si>
    <t>LEVIS GISELA BELEN</t>
  </si>
  <si>
    <t>MARCOS RUBEN 2</t>
  </si>
  <si>
    <t>MARTINEZ MARIA LUCIANA</t>
  </si>
  <si>
    <t>MARZIOTTA MIGUEL</t>
  </si>
  <si>
    <t>MILEO LEONARDO GABRIEL</t>
  </si>
  <si>
    <t>MUÑOZ INSUMOS VETERINARIOS SRL.</t>
  </si>
  <si>
    <t>NASUTI NATACHA HEBE</t>
  </si>
  <si>
    <t>NEVETAR SRL</t>
  </si>
  <si>
    <t>PABLO DAVID DI PRINZIO Y RODRIGO EMMANUEL CARINO S</t>
  </si>
  <si>
    <t>PEREZ LEANDRO ARIEL</t>
  </si>
  <si>
    <t>PEREZ MARIANA LAURA 2</t>
  </si>
  <si>
    <t>PIEDROZZI MARCOS/ARICAYE BISSO/HIGA</t>
  </si>
  <si>
    <t>PIÑEIRO DANIEL ROBERTO</t>
  </si>
  <si>
    <t>ROMERO ANTONIO ISAIAS</t>
  </si>
  <si>
    <t>SANCHEZ CAROLINA</t>
  </si>
  <si>
    <t>SANTORO FRANCISCO JOSE</t>
  </si>
  <si>
    <t>SILVA CARLOS LEONEL</t>
  </si>
  <si>
    <t>STELLA MARIS DAINO</t>
  </si>
  <si>
    <t>TORREGIANI PABLO GABRIEL</t>
  </si>
  <si>
    <t>VET DE MARCO SOCIEDAD SIMPLE DE CORREA ALEJO Y DE</t>
  </si>
  <si>
    <t>VETERINARIA CENTRO SOCIEDAD DE RESPONSABILIDAD LIM</t>
  </si>
  <si>
    <t>VETERINARIA PLUS DE LUIS DAVID VILARDI Y GUILLERMO</t>
  </si>
  <si>
    <t>GUARLERI FRANCISCO</t>
  </si>
  <si>
    <t>ALBERTO JULIAN MESSINA</t>
  </si>
  <si>
    <t>GOMEZ ARIAS MARBELLA</t>
  </si>
  <si>
    <t>BASILE LEONARDO ARIEL</t>
  </si>
  <si>
    <t>MAMANI NADIA</t>
  </si>
  <si>
    <t>LUNA AMIRA MAGDALENA</t>
  </si>
  <si>
    <t>MARIANA</t>
  </si>
  <si>
    <t>VADALA SABRINA MAITE</t>
  </si>
  <si>
    <t>BOLLA AMELIA ELIZABETH</t>
  </si>
  <si>
    <t>D AQUINO NICOLAS NAHUEL SUC2 EZEIZA</t>
  </si>
  <si>
    <t>FEDERICO LAGE</t>
  </si>
  <si>
    <t>BELL LEONARDO FABIAN</t>
  </si>
  <si>
    <t>MEDIAVILLA</t>
  </si>
  <si>
    <t>MOUKARZEL IVANA MAGALI</t>
  </si>
  <si>
    <t>RIMATORI CAMILA ELIANA</t>
  </si>
  <si>
    <t>LOPEZ ABLATICO MARIANA ANDREA</t>
  </si>
  <si>
    <t>QUINTAS ALBERTO HORACIO</t>
  </si>
  <si>
    <t>CAPDEVIELLE ARIEL HORACIO</t>
  </si>
  <si>
    <t>RINALDI HORACIO DANIEL</t>
  </si>
  <si>
    <t>ANZOATEGUI RICARDO RUBEN</t>
  </si>
  <si>
    <t>MARTINEZ RICARDO GREGORIO</t>
  </si>
  <si>
    <t>MAURICIO CORDOBA Y CLAUDIO JUAN LOPEZ SECO</t>
  </si>
  <si>
    <t>HUGO SERGIO LUNA</t>
  </si>
  <si>
    <t>MAXIMILIANO GABRIEL MARGIOTTO</t>
  </si>
  <si>
    <t>FUENTES PENOVI JUAN FLORENTINO</t>
  </si>
  <si>
    <t>RODRIGUEZ HECTOR GERMAN</t>
  </si>
  <si>
    <t>PASSARELLI DIEGO BONINO MARIANO TOGNOLINI MARCO SH</t>
  </si>
  <si>
    <t>IGNOFFO MARIA SOLEDAD</t>
  </si>
  <si>
    <t>FERNANDEZ PABLO OSCAR</t>
  </si>
  <si>
    <t>SANCHEZ JORGE</t>
  </si>
  <si>
    <t>BOTSCH ENRIQUE ANGEL</t>
  </si>
  <si>
    <t>JORGELINA DEBORA MINICI</t>
  </si>
  <si>
    <t>SUCESION DE CATRAMBONE CARLOS JOSE</t>
  </si>
  <si>
    <t>FERRARI CECILIA ANDREA</t>
  </si>
  <si>
    <t>BIGRES ARACELI SUSANA</t>
  </si>
  <si>
    <t>CANONICA NATALIA CAROLINA</t>
  </si>
  <si>
    <t>DIAZ PAUL ALBERTO</t>
  </si>
  <si>
    <t>ROXANA LORENA SIVORI</t>
  </si>
  <si>
    <t>QUEIROLO MARIA SOL</t>
  </si>
  <si>
    <t>RODRIGO GOMBA</t>
  </si>
  <si>
    <t>ETCHEVERRY VALERIA</t>
  </si>
  <si>
    <t>REZZA DENISE AYELEN</t>
  </si>
  <si>
    <t>EZEQUIEL MARUCA</t>
  </si>
  <si>
    <t>QUINTEROS NOELIA NATALI</t>
  </si>
  <si>
    <t>FURLAN MARCOS SANTIAGO</t>
  </si>
  <si>
    <t>TREBINO LLAMBIAS MARCOS SANTIAGO</t>
  </si>
  <si>
    <t>LA ROSA ROMINA BETSABE</t>
  </si>
  <si>
    <t>LOPEZ MARIA MANUELA</t>
  </si>
  <si>
    <t>BIDAL MAURO HERNAN</t>
  </si>
  <si>
    <t>MATIZ MIRIAM ELISABETH</t>
  </si>
  <si>
    <t>VERA ROBERTO MARTIN</t>
  </si>
  <si>
    <t>PEREZ MARIANA</t>
  </si>
  <si>
    <t>PAVON ROBERTO ANIBAL</t>
  </si>
  <si>
    <t>CALDENTEY TOMAS EDGARDO Y CAPOZUCCA FRANCO S. CAP</t>
  </si>
  <si>
    <t>DISTRIBUIDORA DM PETS S.R.L.</t>
  </si>
  <si>
    <t>HERRERA GLORIA SUSANA</t>
  </si>
  <si>
    <t>GRUPO AYNI S.A.</t>
  </si>
  <si>
    <t>ROSSO PEDRO ARTURO</t>
  </si>
  <si>
    <t>FRANCO SYCZ FERNANDO DAVID</t>
  </si>
  <si>
    <t>SEOANE MARIA SOLEDAD</t>
  </si>
  <si>
    <t>HERRERA GLORIA SUSANA SUC 2</t>
  </si>
  <si>
    <t>SUAREZ MARIBEL ANDREA</t>
  </si>
  <si>
    <t>MELO MELISA GEORGINA</t>
  </si>
  <si>
    <t>ACEVEDO WALTER JOSE ROBERTO</t>
  </si>
  <si>
    <t>PANNUNZIO SILVINA MARIA</t>
  </si>
  <si>
    <t>CASTILLO NORBERTO NICOLAS</t>
  </si>
  <si>
    <t>ALBANESE LEANDRO</t>
  </si>
  <si>
    <t>SVACHKA FRANCO</t>
  </si>
  <si>
    <t>COFRE TRONCOSO JUAN MANUEL</t>
  </si>
  <si>
    <t>RIQUELME SEPULVEDA YOLANDA INES</t>
  </si>
  <si>
    <t>MALDONADO RAMIRO IVAN</t>
  </si>
  <si>
    <t>FLORES HERNAN</t>
  </si>
  <si>
    <t>FIORENTINI ALEJANDRO</t>
  </si>
  <si>
    <t>BRENTA ALEJANDRO</t>
  </si>
  <si>
    <t>SANTA CRUZ GABRIEL DARIO</t>
  </si>
  <si>
    <t>MONTOVIO EMILIANO</t>
  </si>
  <si>
    <t>FIGUEREDO CARMELO CARLOS JAVIER</t>
  </si>
  <si>
    <t>MIGALE MILENA PASCUAL</t>
  </si>
  <si>
    <t>STAGNETTO PABLO</t>
  </si>
  <si>
    <t>ARIGOS MARIA VICTORIA</t>
  </si>
  <si>
    <t>NUÑEZ PIÑANGO BEATRIZ CAROLINA</t>
  </si>
  <si>
    <t>CHIOSSONE JUAN IGNACIO</t>
  </si>
  <si>
    <t>BUENO OSVALDO ARIEL</t>
  </si>
  <si>
    <t>GUZMAN CESAR FEDERICO</t>
  </si>
  <si>
    <t>LA SUIPACHENSE COOPERATIVA DE PRODUCTORES DE LECHE</t>
  </si>
  <si>
    <t>ESPIL JULIO ALBERTO Y ESPIL BERNARDO RAUL SOC DE H</t>
  </si>
  <si>
    <t>FEGOLI JUAN MARTIN</t>
  </si>
  <si>
    <t>SOLIVELLA AMELIA ESTER</t>
  </si>
  <si>
    <t>Vdor           Localidad                          C.Postal                          Cliente</t>
  </si>
  <si>
    <t>IRIGOYEN ROBERTO DANIEL</t>
  </si>
  <si>
    <t>RESTAINO ADRIAN EMILIO</t>
  </si>
  <si>
    <t>ALFANO MARIA ESTELA</t>
  </si>
  <si>
    <t>FORTASSIN LUCIANO</t>
  </si>
  <si>
    <t>ITURRALDE JUAN MARTIN</t>
  </si>
  <si>
    <t>MENDOZA MARCELA INES</t>
  </si>
  <si>
    <t>PHANTIMON S.A (SUC 1 WILDE)</t>
  </si>
  <si>
    <t>PHANTIMON S.A (SUC ADROGUÉ)</t>
  </si>
  <si>
    <t>PHANTIMON S.A (SUC BALCARCE)</t>
  </si>
  <si>
    <t>PHANTIMON S.A (SUC BARRACAS)</t>
  </si>
  <si>
    <t>PHANTIMON S.A (SUC BERAZATEGUI)</t>
  </si>
  <si>
    <t>PHANTIMON S.A (SUC SALVADOR SALLARES)</t>
  </si>
  <si>
    <t>PHANTIMON S.A SUC AVELLANEDA</t>
  </si>
  <si>
    <t>PHANTIMON S.A SUC AVELLANEDA CENTRO</t>
  </si>
  <si>
    <t>PHANTIMON S.A SUC QUILMES CENTRO</t>
  </si>
  <si>
    <t>PHANTIMON S.A SUC SOLANO</t>
  </si>
  <si>
    <t>FERREIRA ISABELLE CRISTINE</t>
  </si>
  <si>
    <t>SORENSEN TEDESCHI JOHN</t>
  </si>
  <si>
    <t>ALMEIDA FLAVIA GRACIELA</t>
  </si>
  <si>
    <t>GUILLEN ALAN GAMALIEL</t>
  </si>
  <si>
    <t>LA REYERTA S A</t>
  </si>
  <si>
    <t>BASSI RICARDO</t>
  </si>
  <si>
    <t>SERRA ALEJANDRA DEVORA</t>
  </si>
  <si>
    <t>CALDENTEY TOMAS EDGARDO Y CAPOZUCCA FRANCO S. CAP I SECC IV</t>
  </si>
  <si>
    <t>PUIG JOSE ALBERTO 2</t>
  </si>
  <si>
    <t>PEREZ LOPEZ JULIETA AGUSTINA</t>
  </si>
  <si>
    <t>CARRICA ILLIA MARIANO</t>
  </si>
  <si>
    <t>FINOCCHIO ROBERTO</t>
  </si>
  <si>
    <t>PRECIADO ARIEL EDUARDO</t>
  </si>
  <si>
    <t>IACCARINO TAIANA MARIA VICTORIA</t>
  </si>
  <si>
    <t>MELGAR JORGE</t>
  </si>
  <si>
    <t>ALVAREZ CAROLINA SONIA</t>
  </si>
  <si>
    <t>BONILLA GUSTAVO GABRIEL</t>
  </si>
  <si>
    <t>MAST KARINA SUSANA</t>
  </si>
  <si>
    <t>CAYOL JOSE</t>
  </si>
  <si>
    <t>L11</t>
  </si>
  <si>
    <t>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</si>
</sst>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mmm\ d"/>
    <numFmt numFmtId="165" formatCode="dd/mm"/>
    <numFmt numFmtId="166" formatCode="d/mm/yyyy"/>
    <numFmt numFmtId="167" formatCode="d/m/yyyy"/>
    <numFmt numFmtId="168" formatCode="dd/mm/yyyy"/>
    <numFmt numFmtId="169" formatCode="mm/yyyy"/>
    <numFmt numFmtId="170" formatCode="m/yyyy"/>
    <numFmt numFmtId="171" formatCode="d&quot; de &quot;mmmm"/>
    <numFmt numFmtId="172" formatCode="mmmm\ yyyy"/>
    <numFmt numFmtId="173" formatCode="#,##0.0"/>
    <numFmt numFmtId="174" formatCode="d/m"/>
    <numFmt numFmtId="175" formatCode="[$ $]#,##0"/>
  </numFmts>
  <fonts count="2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434343"/>
      <name val="Arial"/>
      <family val="2"/>
    </font>
    <font>
      <sz val="10"/>
      <color rgb="FF434343"/>
      <name val="Arial"/>
      <family val="2"/>
    </font>
    <font>
      <b/>
      <sz val="10"/>
      <color rgb="FF43434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99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660000"/>
      <name val="Arial"/>
      <family val="2"/>
    </font>
    <font>
      <sz val="10"/>
      <color rgb="FF000000"/>
      <name val="Arial"/>
      <family val="2"/>
      <scheme val="minor"/>
    </font>
    <font>
      <b/>
      <sz val="8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16AF1"/>
        <bgColor rgb="FFF16AF1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CDFF"/>
        <bgColor rgb="FFFFCDFF"/>
      </patternFill>
    </fill>
    <fill>
      <patternFill patternType="solid">
        <fgColor rgb="FFA0F5F5"/>
        <bgColor rgb="FFA0F5F5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58EF5"/>
        <bgColor rgb="FFF58EF5"/>
      </patternFill>
    </fill>
    <fill>
      <patternFill patternType="solid">
        <fgColor theme="6"/>
        <bgColor theme="6"/>
      </patternFill>
    </fill>
    <fill>
      <patternFill patternType="solid">
        <fgColor rgb="FFF6B4F6"/>
        <bgColor rgb="FFF6B4F6"/>
      </patternFill>
    </fill>
    <fill>
      <patternFill patternType="solid">
        <fgColor rgb="FFADF4F4"/>
        <bgColor rgb="FFADF4F4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67DF6"/>
        <bgColor rgb="FFF67DF6"/>
      </patternFill>
    </fill>
    <fill>
      <patternFill patternType="solid">
        <fgColor rgb="FFC7F1F1"/>
        <bgColor rgb="FFC7F1F1"/>
      </patternFill>
    </fill>
    <fill>
      <patternFill patternType="solid">
        <fgColor rgb="FFF4CFF4"/>
        <bgColor rgb="FFF4CFF4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DEDEDE"/>
        <bgColor rgb="FFDEDEDE"/>
      </patternFill>
    </fill>
    <fill>
      <patternFill patternType="solid">
        <fgColor rgb="FFE06666"/>
        <bgColor rgb="FFE06666"/>
      </patternFill>
    </fill>
  </fills>
  <borders count="311">
    <border>
      <left/>
      <right/>
      <top/>
      <bottom/>
      <diagonal/>
    </border>
    <border>
      <left style="thick">
        <color rgb="FF999999"/>
      </left>
      <right style="thick">
        <color rgb="FFFFFFFF"/>
      </right>
      <top style="thick">
        <color rgb="FF999999"/>
      </top>
      <bottom/>
      <diagonal/>
    </border>
    <border>
      <left/>
      <right/>
      <top style="thick">
        <color rgb="FF999999"/>
      </top>
      <bottom style="thick">
        <color rgb="FFFFFFFF"/>
      </bottom>
      <diagonal/>
    </border>
    <border>
      <left/>
      <right style="thick">
        <color rgb="FFFFFFFF"/>
      </right>
      <top style="thick">
        <color rgb="FF999999"/>
      </top>
      <bottom style="thick">
        <color rgb="FFFFFFFF"/>
      </bottom>
      <diagonal/>
    </border>
    <border>
      <left/>
      <right style="thick">
        <color rgb="FF999999"/>
      </right>
      <top style="thick">
        <color rgb="FF999999"/>
      </top>
      <bottom/>
      <diagonal/>
    </border>
    <border>
      <left style="thick">
        <color rgb="FF999999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ck">
        <color rgb="FF999999"/>
      </right>
      <top/>
      <bottom style="thick">
        <color rgb="FFFFFFFF"/>
      </bottom>
      <diagonal/>
    </border>
    <border>
      <left style="thick">
        <color rgb="FF999999"/>
      </left>
      <right style="thick">
        <color rgb="FFFFFFFF"/>
      </right>
      <top/>
      <bottom style="thick">
        <color rgb="FF999999"/>
      </bottom>
      <diagonal/>
    </border>
    <border>
      <left/>
      <right style="thick">
        <color rgb="FFFFFFFF"/>
      </right>
      <top/>
      <bottom style="thick">
        <color rgb="FF999999"/>
      </bottom>
      <diagonal/>
    </border>
    <border>
      <left/>
      <right style="thick">
        <color rgb="FF999999"/>
      </right>
      <top/>
      <bottom style="thick">
        <color rgb="FF999999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FFFF"/>
      </left>
      <right/>
      <top style="thick">
        <color rgb="FF00FFFF"/>
      </top>
      <bottom/>
      <diagonal/>
    </border>
    <border>
      <left/>
      <right/>
      <top style="thick">
        <color rgb="FF00FFFF"/>
      </top>
      <bottom/>
      <diagonal/>
    </border>
    <border>
      <left/>
      <right style="thick">
        <color rgb="FF00FFFF"/>
      </right>
      <top style="thick">
        <color rgb="FF00FFFF"/>
      </top>
      <bottom/>
      <diagonal/>
    </border>
    <border>
      <left style="thick">
        <color rgb="FF00FFFF"/>
      </left>
      <right/>
      <top/>
      <bottom/>
      <diagonal/>
    </border>
    <border>
      <left/>
      <right style="thick">
        <color rgb="FF00FFFF"/>
      </right>
      <top/>
      <bottom/>
      <diagonal/>
    </border>
    <border>
      <left style="thick">
        <color rgb="FF00FFFF"/>
      </left>
      <right/>
      <top/>
      <bottom style="thick">
        <color rgb="FF00FFFF"/>
      </bottom>
      <diagonal/>
    </border>
    <border>
      <left/>
      <right/>
      <top/>
      <bottom style="thick">
        <color rgb="FF00FFFF"/>
      </bottom>
      <diagonal/>
    </border>
    <border>
      <left/>
      <right style="thick">
        <color rgb="FF00FFFF"/>
      </right>
      <top/>
      <bottom style="thick">
        <color rgb="FF00FFFF"/>
      </bottom>
      <diagonal/>
    </border>
    <border>
      <left style="thick">
        <color rgb="FFFF9900"/>
      </left>
      <right/>
      <top style="thick">
        <color rgb="FFFF9900"/>
      </top>
      <bottom/>
      <diagonal/>
    </border>
    <border>
      <left/>
      <right/>
      <top style="thick">
        <color rgb="FFFF9900"/>
      </top>
      <bottom/>
      <diagonal/>
    </border>
    <border>
      <left/>
      <right style="thick">
        <color rgb="FFFF9900"/>
      </right>
      <top style="thick">
        <color rgb="FFFF9900"/>
      </top>
      <bottom/>
      <diagonal/>
    </border>
    <border>
      <left style="thick">
        <color rgb="FFFF9900"/>
      </left>
      <right/>
      <top/>
      <bottom/>
      <diagonal/>
    </border>
    <border>
      <left/>
      <right style="thick">
        <color rgb="FFFF9900"/>
      </right>
      <top/>
      <bottom/>
      <diagonal/>
    </border>
    <border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  <diagonal/>
    </border>
    <border>
      <left style="thick">
        <color rgb="FFFF9900"/>
      </left>
      <right/>
      <top/>
      <bottom style="thick">
        <color rgb="FFFF9900"/>
      </bottom>
      <diagonal/>
    </border>
    <border>
      <left/>
      <right/>
      <top/>
      <bottom style="thick">
        <color rgb="FFFF9900"/>
      </bottom>
      <diagonal/>
    </border>
    <border>
      <left/>
      <right style="thick">
        <color rgb="FFFF9900"/>
      </right>
      <top/>
      <bottom style="thick">
        <color rgb="FFFF99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FF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ck">
        <color rgb="FF00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FFFF"/>
      </bottom>
      <diagonal/>
    </border>
    <border>
      <left style="thin">
        <color rgb="FF000000"/>
      </left>
      <right style="thin">
        <color rgb="FF000000"/>
      </right>
      <top/>
      <bottom style="thick">
        <color rgb="FF00FFFF"/>
      </bottom>
      <diagonal/>
    </border>
    <border>
      <left style="thin">
        <color rgb="FF000000"/>
      </left>
      <right style="medium">
        <color rgb="FF000000"/>
      </right>
      <top/>
      <bottom style="thick">
        <color rgb="FF00FFF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434343"/>
      </left>
      <right style="thin">
        <color rgb="FF000000"/>
      </right>
      <top style="medium">
        <color rgb="FF434343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434343"/>
      </top>
      <bottom style="medium">
        <color rgb="FF000000"/>
      </bottom>
      <diagonal/>
    </border>
    <border>
      <left style="thin">
        <color rgb="FF000000"/>
      </left>
      <right/>
      <top style="medium">
        <color rgb="FF434343"/>
      </top>
      <bottom style="medium">
        <color rgb="FF000000"/>
      </bottom>
      <diagonal/>
    </border>
    <border>
      <left style="thin">
        <color rgb="FF000000"/>
      </left>
      <right style="medium">
        <color rgb="FF434343"/>
      </right>
      <top style="medium">
        <color rgb="FF434343"/>
      </top>
      <bottom style="medium">
        <color rgb="FF000000"/>
      </bottom>
      <diagonal/>
    </border>
    <border>
      <left style="medium">
        <color rgb="FF434343"/>
      </left>
      <right style="thin">
        <color rgb="FF000000"/>
      </right>
      <top style="medium">
        <color rgb="FF434343"/>
      </top>
      <bottom style="medium">
        <color rgb="FF434343"/>
      </bottom>
      <diagonal/>
    </border>
    <border>
      <left style="thin">
        <color rgb="FF000000"/>
      </left>
      <right style="thin">
        <color rgb="FF000000"/>
      </right>
      <top style="medium">
        <color rgb="FF434343"/>
      </top>
      <bottom style="medium">
        <color rgb="FF434343"/>
      </bottom>
      <diagonal/>
    </border>
    <border>
      <left style="thin">
        <color rgb="FF000000"/>
      </left>
      <right/>
      <top style="medium">
        <color rgb="FF434343"/>
      </top>
      <bottom style="medium">
        <color rgb="FF434343"/>
      </bottom>
      <diagonal/>
    </border>
    <border>
      <left style="thin">
        <color rgb="FF434343"/>
      </left>
      <right/>
      <top style="medium">
        <color rgb="FF434343"/>
      </top>
      <bottom style="medium">
        <color rgb="FF000000"/>
      </bottom>
      <diagonal/>
    </border>
    <border>
      <left style="medium">
        <color rgb="FF43434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434343"/>
      </right>
      <top style="thin">
        <color rgb="FF000000"/>
      </top>
      <bottom style="thin">
        <color rgb="FF000000"/>
      </bottom>
      <diagonal/>
    </border>
    <border>
      <left style="medium">
        <color rgb="FF434343"/>
      </left>
      <right style="thin">
        <color rgb="FF000000"/>
      </right>
      <top/>
      <bottom style="thin">
        <color rgb="FF000000"/>
      </bottom>
      <diagonal/>
    </border>
    <border>
      <left style="thin">
        <color rgb="FF434343"/>
      </left>
      <right/>
      <top/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 style="medium">
        <color rgb="FF434343"/>
      </left>
      <right style="thin">
        <color rgb="FF000000"/>
      </right>
      <top style="thin">
        <color rgb="FF000000"/>
      </top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FF00"/>
      </bottom>
      <diagonal/>
    </border>
    <border>
      <left style="thin">
        <color rgb="FF000000"/>
      </left>
      <right/>
      <top style="thin">
        <color rgb="FF000000"/>
      </top>
      <bottom style="thick">
        <color rgb="FF00FF00"/>
      </bottom>
      <diagonal/>
    </border>
    <border>
      <left style="medium">
        <color rgb="FF000000"/>
      </left>
      <right/>
      <top style="thin">
        <color rgb="FF000000"/>
      </top>
      <bottom style="thick">
        <color rgb="FF00FF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FF00"/>
      </bottom>
      <diagonal/>
    </border>
    <border>
      <left style="medium">
        <color rgb="FF000000"/>
      </left>
      <right/>
      <top/>
      <bottom style="thick">
        <color rgb="FF00FF00"/>
      </bottom>
      <diagonal/>
    </border>
    <border>
      <left style="thin">
        <color rgb="FF000000"/>
      </left>
      <right style="medium">
        <color rgb="FF434343"/>
      </right>
      <top style="thin">
        <color rgb="FF000000"/>
      </top>
      <bottom/>
      <diagonal/>
    </border>
    <border>
      <left style="medium">
        <color rgb="FF434343"/>
      </left>
      <right style="medium">
        <color rgb="FF000000"/>
      </right>
      <top style="medium">
        <color rgb="FF434343"/>
      </top>
      <bottom style="medium">
        <color rgb="FF434343"/>
      </bottom>
      <diagonal/>
    </border>
    <border>
      <left style="thin">
        <color rgb="FF000000"/>
      </left>
      <right style="medium">
        <color rgb="FF000000"/>
      </right>
      <top style="medium">
        <color rgb="FF434343"/>
      </top>
      <bottom style="medium">
        <color rgb="FF434343"/>
      </bottom>
      <diagonal/>
    </border>
    <border>
      <left style="thin">
        <color rgb="FF434343"/>
      </left>
      <right style="medium">
        <color rgb="FF434343"/>
      </right>
      <top style="medium">
        <color rgb="FF434343"/>
      </top>
      <bottom style="medium">
        <color rgb="FF434343"/>
      </bottom>
      <diagonal/>
    </border>
    <border>
      <left style="thick">
        <color rgb="FF000000"/>
      </left>
      <right/>
      <top style="medium">
        <color rgb="FF434343"/>
      </top>
      <bottom style="thick">
        <color rgb="FF000000"/>
      </bottom>
      <diagonal/>
    </border>
    <border>
      <left style="thin">
        <color rgb="FF000000"/>
      </left>
      <right/>
      <top style="medium">
        <color rgb="FF434343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434343"/>
      </top>
      <bottom style="thick">
        <color rgb="FF000000"/>
      </bottom>
      <diagonal/>
    </border>
    <border>
      <left/>
      <right/>
      <top style="medium">
        <color rgb="FF434343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434343"/>
      </top>
      <bottom style="thick">
        <color rgb="FF000000"/>
      </bottom>
      <diagonal/>
    </border>
    <border>
      <left/>
      <right/>
      <top style="medium">
        <color rgb="FF434343"/>
      </top>
      <bottom style="medium">
        <color rgb="FF434343"/>
      </bottom>
      <diagonal/>
    </border>
    <border>
      <left style="thin">
        <color rgb="FF000000"/>
      </left>
      <right style="medium">
        <color rgb="FF434343"/>
      </right>
      <top style="medium">
        <color rgb="FF434343"/>
      </top>
      <bottom style="medium">
        <color rgb="FF434343"/>
      </bottom>
      <diagonal/>
    </border>
    <border>
      <left style="medium">
        <color rgb="FF000000"/>
      </left>
      <right style="medium">
        <color rgb="FF434343"/>
      </right>
      <top style="medium">
        <color rgb="FF434343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43434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434343"/>
      </top>
      <bottom style="medium">
        <color rgb="FF000000"/>
      </bottom>
      <diagonal/>
    </border>
    <border>
      <left/>
      <right style="thin">
        <color rgb="FF000000"/>
      </right>
      <top style="medium">
        <color rgb="FF434343"/>
      </top>
      <bottom style="medium">
        <color rgb="FF434343"/>
      </bottom>
      <diagonal/>
    </border>
    <border>
      <left style="medium">
        <color rgb="FF000000"/>
      </left>
      <right style="medium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434343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434343"/>
      </right>
      <top/>
      <bottom style="thin">
        <color rgb="FF000000"/>
      </bottom>
      <diagonal/>
    </border>
    <border>
      <left style="thin">
        <color rgb="FF434343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434343"/>
      </left>
      <right/>
      <top style="thin">
        <color rgb="FF000000"/>
      </top>
      <bottom style="thin">
        <color rgb="FF000000"/>
      </bottom>
      <diagonal/>
    </border>
    <border>
      <left style="thin">
        <color rgb="FF434343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medium">
        <color rgb="FF434343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434343"/>
      </top>
      <bottom style="medium">
        <color rgb="FF000000"/>
      </bottom>
      <diagonal/>
    </border>
    <border>
      <left/>
      <right/>
      <top style="thin">
        <color rgb="FF43434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FF"/>
      </bottom>
      <diagonal/>
    </border>
    <border>
      <left style="thin">
        <color rgb="FF000000"/>
      </left>
      <right style="thin">
        <color rgb="FF000000"/>
      </right>
      <top/>
      <bottom style="thick">
        <color rgb="FFFF00FF"/>
      </bottom>
      <diagonal/>
    </border>
    <border>
      <left style="thin">
        <color rgb="FF000000"/>
      </left>
      <right/>
      <top/>
      <bottom style="thick">
        <color rgb="FFFF00FF"/>
      </bottom>
      <diagonal/>
    </border>
    <border>
      <left/>
      <right style="thin">
        <color rgb="FF000000"/>
      </right>
      <top/>
      <bottom style="thick">
        <color rgb="FFFF00FF"/>
      </bottom>
      <diagonal/>
    </border>
    <border>
      <left style="thin">
        <color rgb="FF000000"/>
      </left>
      <right/>
      <top style="thin">
        <color rgb="FF000000"/>
      </top>
      <bottom style="thick">
        <color rgb="FFFF00FF"/>
      </bottom>
      <diagonal/>
    </border>
    <border>
      <left style="thin">
        <color rgb="FF000000"/>
      </left>
      <right/>
      <top style="thin">
        <color rgb="FF000000"/>
      </top>
      <bottom style="thick">
        <color rgb="FF00FFFF"/>
      </bottom>
      <diagonal/>
    </border>
    <border>
      <left/>
      <right style="thin">
        <color rgb="FF000000"/>
      </right>
      <top style="thin">
        <color rgb="FF000000"/>
      </top>
      <bottom style="thick">
        <color rgb="FF00FFFF"/>
      </bottom>
      <diagonal/>
    </border>
    <border>
      <left style="medium">
        <color rgb="FF434343"/>
      </left>
      <right/>
      <top style="medium">
        <color rgb="FF000000"/>
      </top>
      <bottom style="medium">
        <color rgb="FF434343"/>
      </bottom>
      <diagonal/>
    </border>
    <border>
      <left/>
      <right/>
      <top style="medium">
        <color rgb="FF000000"/>
      </top>
      <bottom style="medium">
        <color rgb="FF434343"/>
      </bottom>
      <diagonal/>
    </border>
    <border>
      <left/>
      <right style="thin">
        <color rgb="FF000000"/>
      </right>
      <top style="medium">
        <color rgb="FF000000"/>
      </top>
      <bottom style="medium">
        <color rgb="FF434343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  <diagonal/>
    </border>
    <border>
      <left style="medium">
        <color rgb="FF000000"/>
      </left>
      <right style="medium">
        <color rgb="FF434343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34343"/>
      </bottom>
      <diagonal/>
    </border>
    <border>
      <left style="thin">
        <color rgb="FF000000"/>
      </left>
      <right/>
      <top style="thin">
        <color rgb="FF434343"/>
      </top>
      <bottom style="thin">
        <color rgb="FF434343"/>
      </bottom>
      <diagonal/>
    </border>
    <border>
      <left/>
      <right style="thin">
        <color rgb="FF000000"/>
      </right>
      <top style="thin">
        <color rgb="FF000000"/>
      </top>
      <bottom style="thick">
        <color rgb="FFFF00F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434343"/>
      </left>
      <right style="thin">
        <color rgb="FF000000"/>
      </right>
      <top style="thick">
        <color rgb="FF43434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434343"/>
      </top>
      <bottom style="thin">
        <color rgb="FF000000"/>
      </bottom>
      <diagonal/>
    </border>
    <border>
      <left style="thin">
        <color rgb="FF000000"/>
      </left>
      <right style="thick">
        <color rgb="FF434343"/>
      </right>
      <top style="thick">
        <color rgb="FF434343"/>
      </top>
      <bottom style="thin">
        <color rgb="FF000000"/>
      </bottom>
      <diagonal/>
    </border>
    <border>
      <left style="thick">
        <color rgb="FF43434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434343"/>
      </right>
      <top style="thin">
        <color rgb="FF000000"/>
      </top>
      <bottom style="thin">
        <color rgb="FF000000"/>
      </bottom>
      <diagonal/>
    </border>
    <border>
      <left/>
      <right style="medium">
        <color rgb="FF434343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medium">
        <color rgb="FF434343"/>
      </right>
      <top style="thin">
        <color rgb="FF434343"/>
      </top>
      <bottom style="thin">
        <color rgb="FF434343"/>
      </bottom>
      <diagonal/>
    </border>
    <border>
      <left style="medium">
        <color rgb="FF434343"/>
      </left>
      <right style="thin">
        <color rgb="FF434343"/>
      </right>
      <top style="thin">
        <color rgb="FF434343"/>
      </top>
      <bottom style="medium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medium">
        <color rgb="FF434343"/>
      </bottom>
      <diagonal/>
    </border>
    <border>
      <left style="thin">
        <color rgb="FF434343"/>
      </left>
      <right style="medium">
        <color rgb="FF434343"/>
      </right>
      <top style="thin">
        <color rgb="FF434343"/>
      </top>
      <bottom style="medium">
        <color rgb="FF434343"/>
      </bottom>
      <diagonal/>
    </border>
    <border>
      <left style="thick">
        <color rgb="FF434343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434343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ck">
        <color rgb="FF434343"/>
      </right>
      <top style="thin">
        <color rgb="FF434343"/>
      </top>
      <bottom style="thin">
        <color rgb="FF434343"/>
      </bottom>
      <diagonal/>
    </border>
    <border>
      <left style="thick">
        <color rgb="FF434343"/>
      </left>
      <right style="thin">
        <color rgb="FF434343"/>
      </right>
      <top style="thin">
        <color rgb="FF434343"/>
      </top>
      <bottom style="thick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ck">
        <color rgb="FF434343"/>
      </bottom>
      <diagonal/>
    </border>
    <border>
      <left style="thin">
        <color rgb="FF000000"/>
      </left>
      <right style="thick">
        <color rgb="FF434343"/>
      </right>
      <top style="thin">
        <color rgb="FF000000"/>
      </top>
      <bottom style="thick">
        <color rgb="FF434343"/>
      </bottom>
      <diagonal/>
    </border>
    <border>
      <left style="thick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434343"/>
      </left>
      <right style="thin">
        <color rgb="FF000000"/>
      </right>
      <top style="medium">
        <color rgb="FF434343"/>
      </top>
      <bottom/>
      <diagonal/>
    </border>
    <border>
      <left style="thin">
        <color rgb="FF000000"/>
      </left>
      <right style="thin">
        <color rgb="FF000000"/>
      </right>
      <top style="medium">
        <color rgb="FF434343"/>
      </top>
      <bottom/>
      <diagonal/>
    </border>
    <border>
      <left style="thin">
        <color rgb="FF000000"/>
      </left>
      <right/>
      <top style="medium">
        <color rgb="FF434343"/>
      </top>
      <bottom/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434343"/>
      </left>
      <right style="thin">
        <color rgb="FF000000"/>
      </right>
      <top style="medium">
        <color rgb="FF43434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434343"/>
      </top>
      <bottom style="thin">
        <color rgb="FF000000"/>
      </bottom>
      <diagonal/>
    </border>
    <border>
      <left style="thin">
        <color rgb="FF000000"/>
      </left>
      <right/>
      <top style="medium">
        <color rgb="FF434343"/>
      </top>
      <bottom style="thin">
        <color rgb="FF000000"/>
      </bottom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 style="thin">
        <color rgb="FF434343"/>
      </bottom>
      <diagonal/>
    </border>
    <border>
      <left style="medium">
        <color rgb="FF434343"/>
      </left>
      <right style="medium">
        <color rgb="FF434343"/>
      </right>
      <top style="thin">
        <color rgb="FF434343"/>
      </top>
      <bottom style="thin">
        <color rgb="FF434343"/>
      </bottom>
      <diagonal/>
    </border>
    <border>
      <left style="medium">
        <color rgb="FF434343"/>
      </left>
      <right style="thin">
        <color rgb="FF000000"/>
      </right>
      <top style="thin">
        <color rgb="FF000000"/>
      </top>
      <bottom style="medium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34343"/>
      </bottom>
      <diagonal/>
    </border>
    <border>
      <left style="thin">
        <color rgb="FF000000"/>
      </left>
      <right/>
      <top style="thin">
        <color rgb="FF000000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 style="thin">
        <color rgb="FF434343"/>
      </top>
      <bottom style="medium">
        <color rgb="FF434343"/>
      </bottom>
      <diagonal/>
    </border>
    <border>
      <left style="medium">
        <color rgb="FF434343"/>
      </left>
      <right style="thin">
        <color rgb="FF000000"/>
      </right>
      <top/>
      <bottom style="medium">
        <color rgb="FF434343"/>
      </bottom>
      <diagonal/>
    </border>
    <border>
      <left style="thin">
        <color rgb="FF000000"/>
      </left>
      <right style="thin">
        <color rgb="FF000000"/>
      </right>
      <top/>
      <bottom style="medium">
        <color rgb="FF434343"/>
      </bottom>
      <diagonal/>
    </border>
    <border>
      <left style="thin">
        <color rgb="FF000000"/>
      </left>
      <right/>
      <top/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/>
      <bottom style="medium">
        <color rgb="FF434343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434343"/>
      </bottom>
      <diagonal/>
    </border>
    <border>
      <left style="medium">
        <color rgb="FF000000"/>
      </left>
      <right/>
      <top style="medium">
        <color rgb="FF000000"/>
      </top>
      <bottom style="medium">
        <color rgb="FF434343"/>
      </bottom>
      <diagonal/>
    </border>
    <border>
      <left style="medium">
        <color rgb="FF434343"/>
      </left>
      <right style="thin">
        <color rgb="FF000000"/>
      </right>
      <top style="medium">
        <color rgb="FF000000"/>
      </top>
      <bottom style="medium">
        <color rgb="FF434343"/>
      </bottom>
      <diagonal/>
    </border>
    <border>
      <left style="medium">
        <color rgb="FF000000"/>
      </left>
      <right style="medium">
        <color rgb="FF434343"/>
      </right>
      <top style="medium">
        <color rgb="FF000000"/>
      </top>
      <bottom style="medium">
        <color rgb="FF434343"/>
      </bottom>
      <diagonal/>
    </border>
    <border>
      <left style="thin">
        <color rgb="FF43434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34343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FFFFFF"/>
      </right>
      <top style="thick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000000"/>
      </right>
      <top/>
      <bottom style="thick">
        <color rgb="FFFFFFFF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434343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434343"/>
      </bottom>
      <diagonal/>
    </border>
    <border>
      <left style="medium">
        <color rgb="FF000000"/>
      </left>
      <right style="thin">
        <color rgb="FF666666"/>
      </right>
      <top style="medium">
        <color rgb="FF000000"/>
      </top>
      <bottom/>
      <diagonal/>
    </border>
    <border>
      <left style="thin">
        <color rgb="FF666666"/>
      </left>
      <right style="thin">
        <color rgb="FF666666"/>
      </right>
      <top style="medium">
        <color rgb="FF000000"/>
      </top>
      <bottom/>
      <diagonal/>
    </border>
    <border>
      <left style="thin">
        <color rgb="FF666666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9900"/>
      </bottom>
      <diagonal/>
    </border>
    <border>
      <left style="thin">
        <color rgb="FF000000"/>
      </left>
      <right/>
      <top style="thin">
        <color rgb="FF000000"/>
      </top>
      <bottom style="thick">
        <color rgb="FFFF9900"/>
      </bottom>
      <diagonal/>
    </border>
  </borders>
  <cellStyleXfs count="1">
    <xf numFmtId="0" fontId="0" fillId="0" borderId="0"/>
  </cellStyleXfs>
  <cellXfs count="187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9" fontId="6" fillId="4" borderId="6" xfId="0" applyNumberFormat="1" applyFont="1" applyFill="1" applyBorder="1" applyAlignment="1">
      <alignment horizontal="center" vertical="center"/>
    </xf>
    <xf numFmtId="9" fontId="6" fillId="5" borderId="6" xfId="0" applyNumberFormat="1" applyFont="1" applyFill="1" applyBorder="1" applyAlignment="1">
      <alignment horizontal="center" vertical="center"/>
    </xf>
    <xf numFmtId="9" fontId="6" fillId="6" borderId="6" xfId="0" applyNumberFormat="1" applyFont="1" applyFill="1" applyBorder="1" applyAlignment="1">
      <alignment horizontal="center" vertical="center"/>
    </xf>
    <xf numFmtId="9" fontId="6" fillId="7" borderId="6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49" fontId="7" fillId="9" borderId="5" xfId="0" applyNumberFormat="1" applyFont="1" applyFill="1" applyBorder="1" applyAlignment="1">
      <alignment vertical="center"/>
    </xf>
    <xf numFmtId="0" fontId="8" fillId="10" borderId="6" xfId="0" applyFont="1" applyFill="1" applyBorder="1" applyAlignment="1">
      <alignment horizontal="center" vertical="center"/>
    </xf>
    <xf numFmtId="3" fontId="8" fillId="11" borderId="6" xfId="0" applyNumberFormat="1" applyFont="1" applyFill="1" applyBorder="1" applyAlignment="1">
      <alignment horizontal="center" vertical="center"/>
    </xf>
    <xf numFmtId="3" fontId="8" fillId="12" borderId="6" xfId="0" applyNumberFormat="1" applyFont="1" applyFill="1" applyBorder="1" applyAlignment="1">
      <alignment horizontal="center" vertical="center"/>
    </xf>
    <xf numFmtId="3" fontId="8" fillId="13" borderId="6" xfId="0" applyNumberFormat="1" applyFont="1" applyFill="1" applyBorder="1" applyAlignment="1">
      <alignment horizontal="center" vertical="center"/>
    </xf>
    <xf numFmtId="3" fontId="8" fillId="14" borderId="6" xfId="0" applyNumberFormat="1" applyFont="1" applyFill="1" applyBorder="1" applyAlignment="1">
      <alignment horizontal="center" vertical="center"/>
    </xf>
    <xf numFmtId="3" fontId="8" fillId="15" borderId="6" xfId="0" applyNumberFormat="1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vertical="center"/>
    </xf>
    <xf numFmtId="3" fontId="8" fillId="10" borderId="6" xfId="0" applyNumberFormat="1" applyFont="1" applyFill="1" applyBorder="1" applyAlignment="1">
      <alignment horizontal="center" vertical="center"/>
    </xf>
    <xf numFmtId="3" fontId="9" fillId="12" borderId="6" xfId="0" applyNumberFormat="1" applyFont="1" applyFill="1" applyBorder="1" applyAlignment="1">
      <alignment horizontal="center" vertical="center"/>
    </xf>
    <xf numFmtId="3" fontId="8" fillId="16" borderId="7" xfId="0" applyNumberFormat="1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vertical="center"/>
    </xf>
    <xf numFmtId="0" fontId="8" fillId="15" borderId="8" xfId="0" applyFont="1" applyFill="1" applyBorder="1" applyAlignment="1">
      <alignment horizontal="right" vertical="center"/>
    </xf>
    <xf numFmtId="0" fontId="8" fillId="3" borderId="9" xfId="0" applyFont="1" applyFill="1" applyBorder="1" applyAlignment="1">
      <alignment horizontal="center" vertical="center"/>
    </xf>
    <xf numFmtId="3" fontId="8" fillId="4" borderId="9" xfId="0" applyNumberFormat="1" applyFont="1" applyFill="1" applyBorder="1" applyAlignment="1">
      <alignment horizontal="center" vertical="center"/>
    </xf>
    <xf numFmtId="3" fontId="8" fillId="5" borderId="9" xfId="0" applyNumberFormat="1" applyFont="1" applyFill="1" applyBorder="1" applyAlignment="1">
      <alignment horizontal="center" vertical="center"/>
    </xf>
    <xf numFmtId="3" fontId="8" fillId="6" borderId="9" xfId="0" applyNumberFormat="1" applyFont="1" applyFill="1" applyBorder="1" applyAlignment="1">
      <alignment horizontal="center" vertical="center"/>
    </xf>
    <xf numFmtId="3" fontId="8" fillId="14" borderId="9" xfId="0" applyNumberFormat="1" applyFont="1" applyFill="1" applyBorder="1" applyAlignment="1">
      <alignment horizontal="center" vertical="center"/>
    </xf>
    <xf numFmtId="3" fontId="8" fillId="16" borderId="9" xfId="0" applyNumberFormat="1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9" fontId="6" fillId="3" borderId="6" xfId="0" applyNumberFormat="1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3" fontId="8" fillId="9" borderId="10" xfId="0" applyNumberFormat="1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7" borderId="15" xfId="0" applyFont="1" applyFill="1" applyBorder="1" applyAlignment="1">
      <alignment horizontal="center" vertical="center"/>
    </xf>
    <xf numFmtId="9" fontId="10" fillId="17" borderId="14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9" fontId="10" fillId="3" borderId="14" xfId="0" applyNumberFormat="1" applyFont="1" applyFill="1" applyBorder="1" applyAlignment="1">
      <alignment horizontal="center" vertical="center"/>
    </xf>
    <xf numFmtId="9" fontId="10" fillId="3" borderId="16" xfId="0" applyNumberFormat="1" applyFont="1" applyFill="1" applyBorder="1" applyAlignment="1">
      <alignment horizontal="center" vertical="center"/>
    </xf>
    <xf numFmtId="0" fontId="10" fillId="16" borderId="17" xfId="0" applyFont="1" applyFill="1" applyBorder="1" applyAlignment="1">
      <alignment horizontal="center" vertical="center"/>
    </xf>
    <xf numFmtId="164" fontId="10" fillId="16" borderId="18" xfId="0" applyNumberFormat="1" applyFont="1" applyFill="1" applyBorder="1" applyAlignment="1">
      <alignment horizontal="center" vertical="center"/>
    </xf>
    <xf numFmtId="0" fontId="10" fillId="18" borderId="19" xfId="0" applyFont="1" applyFill="1" applyBorder="1" applyAlignment="1">
      <alignment horizontal="center" vertical="center"/>
    </xf>
    <xf numFmtId="3" fontId="11" fillId="19" borderId="13" xfId="0" applyNumberFormat="1" applyFont="1" applyFill="1" applyBorder="1" applyAlignment="1">
      <alignment horizontal="center" vertical="center" wrapText="1"/>
    </xf>
    <xf numFmtId="3" fontId="12" fillId="17" borderId="13" xfId="0" applyNumberFormat="1" applyFont="1" applyFill="1" applyBorder="1" applyAlignment="1">
      <alignment horizontal="center" vertical="center" wrapText="1"/>
    </xf>
    <xf numFmtId="3" fontId="12" fillId="10" borderId="13" xfId="0" applyNumberFormat="1" applyFont="1" applyFill="1" applyBorder="1" applyAlignment="1">
      <alignment horizontal="center" vertical="center" wrapText="1"/>
    </xf>
    <xf numFmtId="3" fontId="11" fillId="9" borderId="13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/>
    </xf>
    <xf numFmtId="3" fontId="11" fillId="19" borderId="19" xfId="0" applyNumberFormat="1" applyFont="1" applyFill="1" applyBorder="1" applyAlignment="1">
      <alignment horizontal="center" vertical="center" wrapText="1"/>
    </xf>
    <xf numFmtId="3" fontId="12" fillId="10" borderId="20" xfId="0" applyNumberFormat="1" applyFont="1" applyFill="1" applyBorder="1" applyAlignment="1">
      <alignment horizontal="center" vertical="center" wrapText="1"/>
    </xf>
    <xf numFmtId="3" fontId="11" fillId="9" borderId="21" xfId="0" applyNumberFormat="1" applyFont="1" applyFill="1" applyBorder="1" applyAlignment="1">
      <alignment horizontal="center" vertical="center" wrapText="1"/>
    </xf>
    <xf numFmtId="9" fontId="11" fillId="0" borderId="20" xfId="0" applyNumberFormat="1" applyFont="1" applyBorder="1" applyAlignment="1">
      <alignment horizontal="center" vertical="center" wrapText="1"/>
    </xf>
    <xf numFmtId="0" fontId="10" fillId="18" borderId="19" xfId="0" applyFont="1" applyFill="1" applyBorder="1" applyAlignment="1">
      <alignment horizontal="center" vertical="center" wrapText="1"/>
    </xf>
    <xf numFmtId="3" fontId="11" fillId="20" borderId="13" xfId="0" applyNumberFormat="1" applyFont="1" applyFill="1" applyBorder="1" applyAlignment="1">
      <alignment horizontal="center" vertical="center" wrapText="1"/>
    </xf>
    <xf numFmtId="9" fontId="13" fillId="0" borderId="20" xfId="0" applyNumberFormat="1" applyFont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3" fontId="12" fillId="3" borderId="13" xfId="0" applyNumberFormat="1" applyFont="1" applyFill="1" applyBorder="1" applyAlignment="1">
      <alignment horizontal="center" vertical="center" wrapText="1"/>
    </xf>
    <xf numFmtId="9" fontId="12" fillId="21" borderId="17" xfId="0" applyNumberFormat="1" applyFont="1" applyFill="1" applyBorder="1" applyAlignment="1">
      <alignment horizontal="center" vertical="center" wrapText="1"/>
    </xf>
    <xf numFmtId="3" fontId="12" fillId="10" borderId="14" xfId="0" applyNumberFormat="1" applyFont="1" applyFill="1" applyBorder="1" applyAlignment="1">
      <alignment horizontal="center" vertical="center" wrapText="1"/>
    </xf>
    <xf numFmtId="3" fontId="11" fillId="19" borderId="22" xfId="0" applyNumberFormat="1" applyFont="1" applyFill="1" applyBorder="1" applyAlignment="1">
      <alignment horizontal="center" vertical="center" wrapText="1"/>
    </xf>
    <xf numFmtId="3" fontId="12" fillId="3" borderId="16" xfId="0" applyNumberFormat="1" applyFont="1" applyFill="1" applyBorder="1" applyAlignment="1">
      <alignment horizontal="center" vertical="center" wrapText="1"/>
    </xf>
    <xf numFmtId="3" fontId="11" fillId="7" borderId="22" xfId="0" applyNumberFormat="1" applyFont="1" applyFill="1" applyBorder="1" applyAlignment="1">
      <alignment horizontal="center" vertical="center" wrapText="1"/>
    </xf>
    <xf numFmtId="3" fontId="12" fillId="22" borderId="13" xfId="0" applyNumberFormat="1" applyFont="1" applyFill="1" applyBorder="1" applyAlignment="1">
      <alignment horizontal="center" vertical="center" wrapText="1"/>
    </xf>
    <xf numFmtId="3" fontId="12" fillId="4" borderId="14" xfId="0" applyNumberFormat="1" applyFont="1" applyFill="1" applyBorder="1" applyAlignment="1">
      <alignment horizontal="center" vertical="center" wrapText="1"/>
    </xf>
    <xf numFmtId="3" fontId="12" fillId="10" borderId="16" xfId="0" applyNumberFormat="1" applyFont="1" applyFill="1" applyBorder="1" applyAlignment="1">
      <alignment horizontal="center" vertical="center" wrapText="1"/>
    </xf>
    <xf numFmtId="3" fontId="11" fillId="7" borderId="21" xfId="0" applyNumberFormat="1" applyFont="1" applyFill="1" applyBorder="1" applyAlignment="1">
      <alignment horizontal="center" vertical="center" wrapText="1"/>
    </xf>
    <xf numFmtId="3" fontId="12" fillId="4" borderId="16" xfId="0" applyNumberFormat="1" applyFont="1" applyFill="1" applyBorder="1" applyAlignment="1">
      <alignment horizontal="center" vertical="center" wrapText="1"/>
    </xf>
    <xf numFmtId="164" fontId="10" fillId="16" borderId="23" xfId="0" applyNumberFormat="1" applyFont="1" applyFill="1" applyBorder="1" applyAlignment="1">
      <alignment horizontal="center" vertical="center"/>
    </xf>
    <xf numFmtId="3" fontId="11" fillId="19" borderId="24" xfId="0" applyNumberFormat="1" applyFont="1" applyFill="1" applyBorder="1" applyAlignment="1">
      <alignment horizontal="center" vertical="center" wrapText="1"/>
    </xf>
    <xf numFmtId="3" fontId="12" fillId="17" borderId="25" xfId="0" applyNumberFormat="1" applyFont="1" applyFill="1" applyBorder="1" applyAlignment="1">
      <alignment horizontal="center" vertical="center" wrapText="1"/>
    </xf>
    <xf numFmtId="3" fontId="12" fillId="10" borderId="26" xfId="0" applyNumberFormat="1" applyFont="1" applyFill="1" applyBorder="1" applyAlignment="1">
      <alignment horizontal="center" vertical="center" wrapText="1"/>
    </xf>
    <xf numFmtId="164" fontId="10" fillId="16" borderId="2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15" borderId="28" xfId="0" applyFont="1" applyFill="1" applyBorder="1" applyAlignment="1">
      <alignment horizontal="center" vertical="center" wrapText="1"/>
    </xf>
    <xf numFmtId="0" fontId="12" fillId="15" borderId="29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/>
    </xf>
    <xf numFmtId="0" fontId="10" fillId="15" borderId="30" xfId="0" applyFont="1" applyFill="1" applyBorder="1" applyAlignment="1">
      <alignment horizontal="center" vertical="center"/>
    </xf>
    <xf numFmtId="0" fontId="10" fillId="15" borderId="31" xfId="0" applyFont="1" applyFill="1" applyBorder="1" applyAlignment="1">
      <alignment horizontal="center" vertical="center" wrapText="1"/>
    </xf>
    <xf numFmtId="0" fontId="10" fillId="15" borderId="11" xfId="0" applyFont="1" applyFill="1" applyBorder="1" applyAlignment="1">
      <alignment horizontal="center" vertical="center" wrapText="1"/>
    </xf>
    <xf numFmtId="0" fontId="10" fillId="15" borderId="11" xfId="0" applyFont="1" applyFill="1" applyBorder="1" applyAlignment="1">
      <alignment horizontal="center" vertical="center"/>
    </xf>
    <xf numFmtId="165" fontId="10" fillId="15" borderId="11" xfId="0" applyNumberFormat="1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33" xfId="0" applyFont="1" applyBorder="1" applyAlignment="1">
      <alignment horizontal="center"/>
    </xf>
    <xf numFmtId="9" fontId="1" fillId="0" borderId="34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9" fontId="1" fillId="0" borderId="35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0" fontId="1" fillId="0" borderId="37" xfId="0" applyFont="1" applyBorder="1"/>
    <xf numFmtId="3" fontId="1" fillId="0" borderId="38" xfId="0" applyNumberFormat="1" applyFont="1" applyBorder="1"/>
    <xf numFmtId="3" fontId="1" fillId="11" borderId="33" xfId="0" applyNumberFormat="1" applyFont="1" applyFill="1" applyBorder="1"/>
    <xf numFmtId="3" fontId="9" fillId="0" borderId="34" xfId="0" applyNumberFormat="1" applyFont="1" applyBorder="1" applyAlignment="1">
      <alignment horizontal="right"/>
    </xf>
    <xf numFmtId="9" fontId="11" fillId="0" borderId="39" xfId="0" applyNumberFormat="1" applyFont="1" applyBorder="1" applyAlignment="1">
      <alignment horizontal="center" vertical="center" wrapText="1"/>
    </xf>
    <xf numFmtId="3" fontId="1" fillId="11" borderId="32" xfId="0" applyNumberFormat="1" applyFont="1" applyFill="1" applyBorder="1"/>
    <xf numFmtId="3" fontId="9" fillId="0" borderId="33" xfId="0" applyNumberFormat="1" applyFont="1" applyBorder="1" applyAlignment="1">
      <alignment horizontal="right"/>
    </xf>
    <xf numFmtId="3" fontId="9" fillId="0" borderId="39" xfId="0" applyNumberFormat="1" applyFont="1" applyBorder="1" applyAlignment="1">
      <alignment horizontal="right"/>
    </xf>
    <xf numFmtId="3" fontId="9" fillId="0" borderId="40" xfId="0" applyNumberFormat="1" applyFont="1" applyBorder="1" applyAlignment="1">
      <alignment horizontal="right"/>
    </xf>
    <xf numFmtId="9" fontId="12" fillId="0" borderId="39" xfId="0" applyNumberFormat="1" applyFont="1" applyBorder="1" applyAlignment="1">
      <alignment horizontal="center"/>
    </xf>
    <xf numFmtId="9" fontId="9" fillId="0" borderId="39" xfId="0" applyNumberFormat="1" applyFont="1" applyBorder="1" applyAlignment="1">
      <alignment horizontal="center"/>
    </xf>
    <xf numFmtId="3" fontId="10" fillId="15" borderId="32" xfId="0" applyNumberFormat="1" applyFont="1" applyFill="1" applyBorder="1"/>
    <xf numFmtId="3" fontId="1" fillId="15" borderId="41" xfId="0" applyNumberFormat="1" applyFont="1" applyFill="1" applyBorder="1"/>
    <xf numFmtId="9" fontId="9" fillId="0" borderId="42" xfId="0" applyNumberFormat="1" applyFont="1" applyBorder="1" applyAlignment="1">
      <alignment horizontal="center"/>
    </xf>
    <xf numFmtId="3" fontId="1" fillId="0" borderId="33" xfId="0" applyNumberFormat="1" applyFont="1" applyBorder="1"/>
    <xf numFmtId="3" fontId="1" fillId="0" borderId="40" xfId="0" applyNumberFormat="1" applyFont="1" applyBorder="1"/>
    <xf numFmtId="3" fontId="1" fillId="0" borderId="37" xfId="0" applyNumberFormat="1" applyFont="1" applyBorder="1"/>
    <xf numFmtId="3" fontId="1" fillId="0" borderId="34" xfId="0" applyNumberFormat="1" applyFont="1" applyBorder="1"/>
    <xf numFmtId="3" fontId="1" fillId="0" borderId="39" xfId="0" applyNumberFormat="1" applyFont="1" applyBorder="1"/>
    <xf numFmtId="3" fontId="1" fillId="0" borderId="41" xfId="0" applyNumberFormat="1" applyFont="1" applyBorder="1"/>
    <xf numFmtId="3" fontId="1" fillId="0" borderId="42" xfId="0" applyNumberFormat="1" applyFont="1" applyBorder="1"/>
    <xf numFmtId="3" fontId="1" fillId="0" borderId="43" xfId="0" applyNumberFormat="1" applyFont="1" applyBorder="1"/>
    <xf numFmtId="3" fontId="1" fillId="0" borderId="35" xfId="0" applyNumberFormat="1" applyFont="1" applyBorder="1"/>
    <xf numFmtId="3" fontId="1" fillId="0" borderId="44" xfId="0" applyNumberFormat="1" applyFont="1" applyBorder="1"/>
    <xf numFmtId="3" fontId="1" fillId="0" borderId="27" xfId="0" applyNumberFormat="1" applyFont="1" applyBorder="1"/>
    <xf numFmtId="3" fontId="1" fillId="0" borderId="45" xfId="0" applyNumberFormat="1" applyFont="1" applyBorder="1"/>
    <xf numFmtId="3" fontId="1" fillId="0" borderId="23" xfId="0" applyNumberFormat="1" applyFont="1" applyBorder="1"/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9" fontId="12" fillId="3" borderId="46" xfId="0" applyNumberFormat="1" applyFont="1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3" fontId="12" fillId="0" borderId="46" xfId="0" applyNumberFormat="1" applyFont="1" applyBorder="1" applyAlignment="1">
      <alignment horizontal="center"/>
    </xf>
    <xf numFmtId="3" fontId="12" fillId="0" borderId="37" xfId="0" applyNumberFormat="1" applyFont="1" applyBorder="1" applyAlignment="1">
      <alignment horizontal="center"/>
    </xf>
    <xf numFmtId="3" fontId="12" fillId="0" borderId="35" xfId="0" applyNumberFormat="1" applyFont="1" applyBorder="1" applyAlignment="1">
      <alignment horizontal="center"/>
    </xf>
    <xf numFmtId="3" fontId="12" fillId="0" borderId="32" xfId="0" applyNumberFormat="1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" fillId="0" borderId="46" xfId="0" applyFont="1" applyBorder="1"/>
    <xf numFmtId="3" fontId="12" fillId="0" borderId="0" xfId="0" applyNumberFormat="1" applyFont="1" applyAlignment="1">
      <alignment horizontal="center"/>
    </xf>
    <xf numFmtId="9" fontId="1" fillId="0" borderId="47" xfId="0" applyNumberFormat="1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/>
    <xf numFmtId="3" fontId="1" fillId="0" borderId="50" xfId="0" applyNumberFormat="1" applyFont="1" applyBorder="1"/>
    <xf numFmtId="3" fontId="1" fillId="0" borderId="51" xfId="0" applyNumberFormat="1" applyFont="1" applyBorder="1"/>
    <xf numFmtId="3" fontId="9" fillId="0" borderId="27" xfId="0" applyNumberFormat="1" applyFont="1" applyBorder="1" applyAlignment="1">
      <alignment horizontal="right"/>
    </xf>
    <xf numFmtId="9" fontId="12" fillId="0" borderId="36" xfId="0" applyNumberFormat="1" applyFont="1" applyBorder="1" applyAlignment="1">
      <alignment horizontal="center"/>
    </xf>
    <xf numFmtId="3" fontId="1" fillId="10" borderId="50" xfId="0" applyNumberFormat="1" applyFont="1" applyFill="1" applyBorder="1"/>
    <xf numFmtId="3" fontId="9" fillId="0" borderId="47" xfId="0" applyNumberFormat="1" applyFont="1" applyBorder="1" applyAlignment="1">
      <alignment horizontal="right"/>
    </xf>
    <xf numFmtId="9" fontId="9" fillId="0" borderId="37" xfId="0" applyNumberFormat="1" applyFont="1" applyBorder="1" applyAlignment="1">
      <alignment horizontal="center"/>
    </xf>
    <xf numFmtId="3" fontId="10" fillId="15" borderId="51" xfId="0" applyNumberFormat="1" applyFont="1" applyFill="1" applyBorder="1"/>
    <xf numFmtId="3" fontId="1" fillId="0" borderId="49" xfId="0" applyNumberFormat="1" applyFont="1" applyBorder="1"/>
    <xf numFmtId="166" fontId="12" fillId="0" borderId="0" xfId="0" applyNumberFormat="1" applyFont="1" applyAlignment="1">
      <alignment horizontal="center"/>
    </xf>
    <xf numFmtId="9" fontId="12" fillId="4" borderId="52" xfId="0" applyNumberFormat="1" applyFont="1" applyFill="1" applyBorder="1" applyAlignment="1">
      <alignment horizontal="center"/>
    </xf>
    <xf numFmtId="3" fontId="12" fillId="0" borderId="49" xfId="0" applyNumberFormat="1" applyFont="1" applyBorder="1" applyAlignment="1">
      <alignment horizontal="center"/>
    </xf>
    <xf numFmtId="3" fontId="12" fillId="0" borderId="52" xfId="0" applyNumberFormat="1" applyFont="1" applyBorder="1" applyAlignment="1">
      <alignment horizontal="center"/>
    </xf>
    <xf numFmtId="3" fontId="12" fillId="0" borderId="48" xfId="0" applyNumberFormat="1" applyFont="1" applyBorder="1" applyAlignment="1">
      <alignment horizontal="center"/>
    </xf>
    <xf numFmtId="3" fontId="12" fillId="0" borderId="51" xfId="0" applyNumberFormat="1" applyFont="1" applyBorder="1" applyAlignment="1">
      <alignment horizontal="center"/>
    </xf>
    <xf numFmtId="3" fontId="1" fillId="15" borderId="51" xfId="0" applyNumberFormat="1" applyFont="1" applyFill="1" applyBorder="1"/>
    <xf numFmtId="3" fontId="1" fillId="15" borderId="50" xfId="0" applyNumberFormat="1" applyFont="1" applyFill="1" applyBorder="1"/>
    <xf numFmtId="9" fontId="12" fillId="5" borderId="52" xfId="0" applyNumberFormat="1" applyFont="1" applyFill="1" applyBorder="1" applyAlignment="1">
      <alignment horizontal="center"/>
    </xf>
    <xf numFmtId="9" fontId="9" fillId="0" borderId="36" xfId="0" applyNumberFormat="1" applyFont="1" applyBorder="1" applyAlignment="1">
      <alignment horizontal="center"/>
    </xf>
    <xf numFmtId="9" fontId="12" fillId="23" borderId="52" xfId="0" applyNumberFormat="1" applyFont="1" applyFill="1" applyBorder="1" applyAlignment="1">
      <alignment horizontal="center"/>
    </xf>
    <xf numFmtId="0" fontId="1" fillId="0" borderId="53" xfId="0" applyFont="1" applyBorder="1" applyAlignment="1">
      <alignment horizontal="center"/>
    </xf>
    <xf numFmtId="9" fontId="1" fillId="0" borderId="54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/>
    <xf numFmtId="3" fontId="1" fillId="0" borderId="57" xfId="0" applyNumberFormat="1" applyFont="1" applyBorder="1"/>
    <xf numFmtId="3" fontId="1" fillId="15" borderId="58" xfId="0" applyNumberFormat="1" applyFont="1" applyFill="1" applyBorder="1"/>
    <xf numFmtId="9" fontId="12" fillId="7" borderId="52" xfId="0" applyNumberFormat="1" applyFont="1" applyFill="1" applyBorder="1" applyAlignment="1">
      <alignment horizontal="center"/>
    </xf>
    <xf numFmtId="3" fontId="1" fillId="0" borderId="49" xfId="0" applyNumberFormat="1" applyFont="1" applyBorder="1" applyAlignment="1">
      <alignment horizontal="center"/>
    </xf>
    <xf numFmtId="3" fontId="1" fillId="0" borderId="52" xfId="0" applyNumberFormat="1" applyFont="1" applyBorder="1" applyAlignment="1">
      <alignment horizontal="center"/>
    </xf>
    <xf numFmtId="3" fontId="1" fillId="0" borderId="48" xfId="0" applyNumberFormat="1" applyFont="1" applyBorder="1" applyAlignment="1">
      <alignment horizontal="center"/>
    </xf>
    <xf numFmtId="3" fontId="1" fillId="0" borderId="5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50" xfId="0" applyFont="1" applyBorder="1" applyAlignment="1">
      <alignment horizontal="center"/>
    </xf>
    <xf numFmtId="3" fontId="1" fillId="11" borderId="50" xfId="0" applyNumberFormat="1" applyFont="1" applyFill="1" applyBorder="1"/>
    <xf numFmtId="3" fontId="1" fillId="11" borderId="51" xfId="0" applyNumberFormat="1" applyFont="1" applyFill="1" applyBorder="1"/>
    <xf numFmtId="0" fontId="10" fillId="0" borderId="59" xfId="0" applyFont="1" applyBorder="1" applyAlignment="1">
      <alignment horizontal="center"/>
    </xf>
    <xf numFmtId="3" fontId="1" fillId="0" borderId="56" xfId="0" applyNumberFormat="1" applyFont="1" applyBorder="1" applyAlignment="1">
      <alignment horizontal="center"/>
    </xf>
    <xf numFmtId="3" fontId="1" fillId="0" borderId="60" xfId="0" applyNumberFormat="1" applyFont="1" applyBorder="1" applyAlignment="1">
      <alignment horizontal="center"/>
    </xf>
    <xf numFmtId="3" fontId="1" fillId="0" borderId="55" xfId="0" applyNumberFormat="1" applyFont="1" applyBorder="1" applyAlignment="1">
      <alignment horizontal="center"/>
    </xf>
    <xf numFmtId="3" fontId="1" fillId="0" borderId="61" xfId="0" applyNumberFormat="1" applyFont="1" applyBorder="1" applyAlignment="1">
      <alignment horizontal="center"/>
    </xf>
    <xf numFmtId="3" fontId="1" fillId="0" borderId="58" xfId="0" applyNumberFormat="1" applyFont="1" applyBorder="1" applyAlignment="1">
      <alignment horizontal="center"/>
    </xf>
    <xf numFmtId="0" fontId="10" fillId="9" borderId="28" xfId="0" applyFont="1" applyFill="1" applyBorder="1" applyAlignment="1">
      <alignment horizontal="right"/>
    </xf>
    <xf numFmtId="3" fontId="10" fillId="9" borderId="30" xfId="0" applyNumberFormat="1" applyFont="1" applyFill="1" applyBorder="1" applyAlignment="1">
      <alignment horizontal="center"/>
    </xf>
    <xf numFmtId="3" fontId="10" fillId="9" borderId="25" xfId="0" applyNumberFormat="1" applyFont="1" applyFill="1" applyBorder="1" applyAlignment="1">
      <alignment horizontal="center"/>
    </xf>
    <xf numFmtId="3" fontId="10" fillId="9" borderId="26" xfId="0" applyNumberFormat="1" applyFont="1" applyFill="1" applyBorder="1" applyAlignment="1">
      <alignment horizontal="center"/>
    </xf>
    <xf numFmtId="3" fontId="10" fillId="9" borderId="31" xfId="0" applyNumberFormat="1" applyFont="1" applyFill="1" applyBorder="1" applyAlignment="1">
      <alignment horizontal="center"/>
    </xf>
    <xf numFmtId="3" fontId="10" fillId="9" borderId="11" xfId="0" applyNumberFormat="1" applyFont="1" applyFill="1" applyBorder="1" applyAlignment="1">
      <alignment horizontal="center"/>
    </xf>
    <xf numFmtId="3" fontId="10" fillId="9" borderId="28" xfId="0" applyNumberFormat="1" applyFont="1" applyFill="1" applyBorder="1" applyAlignment="1">
      <alignment horizontal="center"/>
    </xf>
    <xf numFmtId="0" fontId="10" fillId="0" borderId="0" xfId="0" applyFont="1"/>
    <xf numFmtId="0" fontId="1" fillId="7" borderId="49" xfId="0" applyFont="1" applyFill="1" applyBorder="1"/>
    <xf numFmtId="9" fontId="12" fillId="4" borderId="47" xfId="0" applyNumberFormat="1" applyFont="1" applyFill="1" applyBorder="1" applyAlignment="1">
      <alignment horizontal="center"/>
    </xf>
    <xf numFmtId="9" fontId="9" fillId="21" borderId="47" xfId="0" applyNumberFormat="1" applyFont="1" applyFill="1" applyBorder="1" applyAlignment="1">
      <alignment horizontal="center"/>
    </xf>
    <xf numFmtId="0" fontId="9" fillId="21" borderId="48" xfId="0" applyFont="1" applyFill="1" applyBorder="1"/>
    <xf numFmtId="0" fontId="9" fillId="21" borderId="32" xfId="0" applyFont="1" applyFill="1" applyBorder="1" applyAlignment="1">
      <alignment horizontal="center"/>
    </xf>
    <xf numFmtId="9" fontId="12" fillId="4" borderId="35" xfId="0" applyNumberFormat="1" applyFont="1" applyFill="1" applyBorder="1" applyAlignment="1">
      <alignment horizontal="center"/>
    </xf>
    <xf numFmtId="9" fontId="9" fillId="21" borderId="35" xfId="0" applyNumberFormat="1" applyFont="1" applyFill="1" applyBorder="1" applyAlignment="1">
      <alignment horizontal="center"/>
    </xf>
    <xf numFmtId="9" fontId="9" fillId="21" borderId="35" xfId="0" applyNumberFormat="1" applyFont="1" applyFill="1" applyBorder="1"/>
    <xf numFmtId="9" fontId="12" fillId="4" borderId="34" xfId="0" applyNumberFormat="1" applyFont="1" applyFill="1" applyBorder="1" applyAlignment="1">
      <alignment horizontal="center"/>
    </xf>
    <xf numFmtId="0" fontId="9" fillId="11" borderId="49" xfId="0" applyFont="1" applyFill="1" applyBorder="1"/>
    <xf numFmtId="3" fontId="9" fillId="0" borderId="38" xfId="0" applyNumberFormat="1" applyFont="1" applyBorder="1" applyAlignment="1">
      <alignment horizontal="right"/>
    </xf>
    <xf numFmtId="3" fontId="9" fillId="0" borderId="50" xfId="0" applyNumberFormat="1" applyFont="1" applyBorder="1" applyAlignment="1">
      <alignment horizontal="right"/>
    </xf>
    <xf numFmtId="3" fontId="14" fillId="21" borderId="34" xfId="0" applyNumberFormat="1" applyFont="1" applyFill="1" applyBorder="1" applyAlignment="1">
      <alignment horizontal="right"/>
    </xf>
    <xf numFmtId="9" fontId="12" fillId="4" borderId="39" xfId="0" applyNumberFormat="1" applyFont="1" applyFill="1" applyBorder="1" applyAlignment="1">
      <alignment horizontal="center" wrapText="1"/>
    </xf>
    <xf numFmtId="3" fontId="9" fillId="11" borderId="51" xfId="0" applyNumberFormat="1" applyFont="1" applyFill="1" applyBorder="1" applyAlignment="1">
      <alignment horizontal="right"/>
    </xf>
    <xf numFmtId="9" fontId="12" fillId="4" borderId="36" xfId="0" applyNumberFormat="1" applyFont="1" applyFill="1" applyBorder="1" applyAlignment="1">
      <alignment horizontal="center"/>
    </xf>
    <xf numFmtId="3" fontId="9" fillId="11" borderId="50" xfId="0" applyNumberFormat="1" applyFont="1" applyFill="1" applyBorder="1" applyAlignment="1">
      <alignment horizontal="right"/>
    </xf>
    <xf numFmtId="3" fontId="14" fillId="21" borderId="47" xfId="0" applyNumberFormat="1" applyFont="1" applyFill="1" applyBorder="1" applyAlignment="1">
      <alignment horizontal="right"/>
    </xf>
    <xf numFmtId="9" fontId="9" fillId="20" borderId="36" xfId="0" applyNumberFormat="1" applyFont="1" applyFill="1" applyBorder="1" applyAlignment="1">
      <alignment horizontal="center"/>
    </xf>
    <xf numFmtId="3" fontId="12" fillId="15" borderId="51" xfId="0" applyNumberFormat="1" applyFont="1" applyFill="1" applyBorder="1" applyAlignment="1">
      <alignment horizontal="right"/>
    </xf>
    <xf numFmtId="3" fontId="9" fillId="15" borderId="41" xfId="0" applyNumberFormat="1" applyFont="1" applyFill="1" applyBorder="1" applyAlignment="1">
      <alignment horizontal="right"/>
    </xf>
    <xf numFmtId="9" fontId="9" fillId="20" borderId="42" xfId="0" applyNumberFormat="1" applyFont="1" applyFill="1" applyBorder="1" applyAlignment="1">
      <alignment horizontal="center"/>
    </xf>
    <xf numFmtId="3" fontId="9" fillId="20" borderId="33" xfId="0" applyNumberFormat="1" applyFont="1" applyFill="1" applyBorder="1" applyAlignment="1">
      <alignment horizontal="right"/>
    </xf>
    <xf numFmtId="3" fontId="9" fillId="20" borderId="40" xfId="0" applyNumberFormat="1" applyFont="1" applyFill="1" applyBorder="1" applyAlignment="1">
      <alignment horizontal="right"/>
    </xf>
    <xf numFmtId="3" fontId="9" fillId="20" borderId="37" xfId="0" applyNumberFormat="1" applyFont="1" applyFill="1" applyBorder="1" applyAlignment="1">
      <alignment horizontal="right"/>
    </xf>
    <xf numFmtId="3" fontId="12" fillId="11" borderId="33" xfId="0" applyNumberFormat="1" applyFont="1" applyFill="1" applyBorder="1" applyAlignment="1">
      <alignment horizontal="right"/>
    </xf>
    <xf numFmtId="3" fontId="9" fillId="20" borderId="34" xfId="0" applyNumberFormat="1" applyFont="1" applyFill="1" applyBorder="1" applyAlignment="1">
      <alignment horizontal="right"/>
    </xf>
    <xf numFmtId="3" fontId="9" fillId="20" borderId="38" xfId="0" applyNumberFormat="1" applyFont="1" applyFill="1" applyBorder="1" applyAlignment="1">
      <alignment horizontal="right"/>
    </xf>
    <xf numFmtId="3" fontId="9" fillId="11" borderId="41" xfId="0" applyNumberFormat="1" applyFont="1" applyFill="1" applyBorder="1" applyAlignment="1">
      <alignment horizontal="right"/>
    </xf>
    <xf numFmtId="3" fontId="9" fillId="0" borderId="42" xfId="0" applyNumberFormat="1" applyFont="1" applyBorder="1" applyAlignment="1">
      <alignment horizontal="right"/>
    </xf>
    <xf numFmtId="3" fontId="9" fillId="0" borderId="41" xfId="0" applyNumberFormat="1" applyFont="1" applyBorder="1" applyAlignment="1">
      <alignment horizontal="right"/>
    </xf>
    <xf numFmtId="3" fontId="9" fillId="0" borderId="37" xfId="0" applyNumberFormat="1" applyFont="1" applyBorder="1" applyAlignment="1">
      <alignment horizontal="right"/>
    </xf>
    <xf numFmtId="3" fontId="9" fillId="0" borderId="23" xfId="0" applyNumberFormat="1" applyFont="1" applyBorder="1" applyAlignment="1">
      <alignment horizontal="right"/>
    </xf>
    <xf numFmtId="3" fontId="9" fillId="0" borderId="43" xfId="0" applyNumberFormat="1" applyFont="1" applyBorder="1" applyAlignment="1">
      <alignment horizontal="right"/>
    </xf>
    <xf numFmtId="3" fontId="9" fillId="20" borderId="35" xfId="0" applyNumberFormat="1" applyFont="1" applyFill="1" applyBorder="1" applyAlignment="1">
      <alignment horizontal="right"/>
    </xf>
    <xf numFmtId="3" fontId="9" fillId="20" borderId="27" xfId="0" applyNumberFormat="1" applyFont="1" applyFill="1" applyBorder="1" applyAlignment="1">
      <alignment horizontal="right"/>
    </xf>
    <xf numFmtId="3" fontId="9" fillId="20" borderId="23" xfId="0" applyNumberFormat="1" applyFont="1" applyFill="1" applyBorder="1" applyAlignment="1">
      <alignment horizontal="right"/>
    </xf>
    <xf numFmtId="3" fontId="9" fillId="0" borderId="44" xfId="0" applyNumberFormat="1" applyFont="1" applyBorder="1" applyAlignment="1">
      <alignment horizontal="right"/>
    </xf>
    <xf numFmtId="3" fontId="9" fillId="20" borderId="45" xfId="0" applyNumberFormat="1" applyFont="1" applyFill="1" applyBorder="1" applyAlignment="1">
      <alignment horizontal="right"/>
    </xf>
    <xf numFmtId="3" fontId="9" fillId="0" borderId="49" xfId="0" applyNumberFormat="1" applyFont="1" applyBorder="1" applyAlignment="1">
      <alignment horizontal="right"/>
    </xf>
    <xf numFmtId="0" fontId="9" fillId="0" borderId="0" xfId="0" applyFont="1"/>
    <xf numFmtId="9" fontId="9" fillId="0" borderId="0" xfId="0" applyNumberFormat="1" applyFont="1"/>
    <xf numFmtId="0" fontId="10" fillId="3" borderId="0" xfId="0" applyFont="1" applyFill="1"/>
    <xf numFmtId="0" fontId="1" fillId="3" borderId="0" xfId="0" applyFont="1" applyFill="1"/>
    <xf numFmtId="0" fontId="1" fillId="24" borderId="49" xfId="0" applyFont="1" applyFill="1" applyBorder="1"/>
    <xf numFmtId="9" fontId="1" fillId="15" borderId="47" xfId="0" applyNumberFormat="1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3" fontId="1" fillId="25" borderId="50" xfId="0" applyNumberFormat="1" applyFont="1" applyFill="1" applyBorder="1"/>
    <xf numFmtId="3" fontId="1" fillId="25" borderId="51" xfId="0" applyNumberFormat="1" applyFont="1" applyFill="1" applyBorder="1"/>
    <xf numFmtId="9" fontId="1" fillId="15" borderId="48" xfId="0" applyNumberFormat="1" applyFont="1" applyFill="1" applyBorder="1" applyAlignment="1">
      <alignment horizontal="center"/>
    </xf>
    <xf numFmtId="3" fontId="1" fillId="12" borderId="50" xfId="0" applyNumberFormat="1" applyFont="1" applyFill="1" applyBorder="1"/>
    <xf numFmtId="3" fontId="1" fillId="12" borderId="33" xfId="0" applyNumberFormat="1" applyFont="1" applyFill="1" applyBorder="1"/>
    <xf numFmtId="3" fontId="1" fillId="12" borderId="32" xfId="0" applyNumberFormat="1" applyFont="1" applyFill="1" applyBorder="1"/>
    <xf numFmtId="0" fontId="12" fillId="3" borderId="0" xfId="0" applyFont="1" applyFill="1"/>
    <xf numFmtId="0" fontId="9" fillId="3" borderId="0" xfId="0" applyFont="1" applyFill="1"/>
    <xf numFmtId="3" fontId="1" fillId="25" borderId="32" xfId="0" applyNumberFormat="1" applyFont="1" applyFill="1" applyBorder="1"/>
    <xf numFmtId="0" fontId="10" fillId="7" borderId="0" xfId="0" applyFont="1" applyFill="1"/>
    <xf numFmtId="0" fontId="1" fillId="18" borderId="49" xfId="0" applyFont="1" applyFill="1" applyBorder="1"/>
    <xf numFmtId="3" fontId="1" fillId="26" borderId="50" xfId="0" applyNumberFormat="1" applyFont="1" applyFill="1" applyBorder="1"/>
    <xf numFmtId="3" fontId="1" fillId="26" borderId="51" xfId="0" applyNumberFormat="1" applyFont="1" applyFill="1" applyBorder="1"/>
    <xf numFmtId="3" fontId="1" fillId="20" borderId="23" xfId="0" applyNumberFormat="1" applyFont="1" applyFill="1" applyBorder="1"/>
    <xf numFmtId="3" fontId="1" fillId="20" borderId="45" xfId="0" applyNumberFormat="1" applyFont="1" applyFill="1" applyBorder="1"/>
    <xf numFmtId="3" fontId="1" fillId="12" borderId="51" xfId="0" applyNumberFormat="1" applyFont="1" applyFill="1" applyBorder="1"/>
    <xf numFmtId="3" fontId="1" fillId="15" borderId="32" xfId="0" applyNumberFormat="1" applyFont="1" applyFill="1" applyBorder="1"/>
    <xf numFmtId="0" fontId="1" fillId="27" borderId="49" xfId="0" applyFont="1" applyFill="1" applyBorder="1"/>
    <xf numFmtId="0" fontId="1" fillId="28" borderId="49" xfId="0" applyFont="1" applyFill="1" applyBorder="1"/>
    <xf numFmtId="0" fontId="1" fillId="10" borderId="49" xfId="0" applyFont="1" applyFill="1" applyBorder="1"/>
    <xf numFmtId="9" fontId="9" fillId="4" borderId="34" xfId="0" applyNumberFormat="1" applyFont="1" applyFill="1" applyBorder="1" applyAlignment="1">
      <alignment horizontal="center"/>
    </xf>
    <xf numFmtId="0" fontId="1" fillId="11" borderId="49" xfId="0" applyFont="1" applyFill="1" applyBorder="1"/>
    <xf numFmtId="0" fontId="1" fillId="0" borderId="62" xfId="0" applyFont="1" applyBorder="1"/>
    <xf numFmtId="3" fontId="1" fillId="0" borderId="63" xfId="0" applyNumberFormat="1" applyFont="1" applyBorder="1"/>
    <xf numFmtId="3" fontId="1" fillId="0" borderId="58" xfId="0" applyNumberFormat="1" applyFont="1" applyBorder="1"/>
    <xf numFmtId="3" fontId="9" fillId="0" borderId="64" xfId="0" applyNumberFormat="1" applyFont="1" applyBorder="1" applyAlignment="1">
      <alignment horizontal="right"/>
    </xf>
    <xf numFmtId="9" fontId="12" fillId="0" borderId="6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right"/>
    </xf>
    <xf numFmtId="9" fontId="9" fillId="0" borderId="65" xfId="0" applyNumberFormat="1" applyFont="1" applyBorder="1" applyAlignment="1">
      <alignment horizontal="center"/>
    </xf>
    <xf numFmtId="3" fontId="10" fillId="15" borderId="58" xfId="0" applyNumberFormat="1" applyFont="1" applyFill="1" applyBorder="1"/>
    <xf numFmtId="3" fontId="1" fillId="0" borderId="66" xfId="0" applyNumberFormat="1" applyFont="1" applyBorder="1"/>
    <xf numFmtId="3" fontId="1" fillId="0" borderId="67" xfId="0" applyNumberFormat="1" applyFont="1" applyBorder="1"/>
    <xf numFmtId="3" fontId="1" fillId="0" borderId="68" xfId="0" applyNumberFormat="1" applyFont="1" applyBorder="1"/>
    <xf numFmtId="3" fontId="1" fillId="0" borderId="69" xfId="0" applyNumberFormat="1" applyFont="1" applyBorder="1"/>
    <xf numFmtId="3" fontId="1" fillId="0" borderId="70" xfId="0" applyNumberFormat="1" applyFont="1" applyBorder="1"/>
    <xf numFmtId="3" fontId="1" fillId="0" borderId="71" xfId="0" applyNumberFormat="1" applyFont="1" applyBorder="1"/>
    <xf numFmtId="3" fontId="1" fillId="0" borderId="72" xfId="0" applyNumberFormat="1" applyFont="1" applyBorder="1"/>
    <xf numFmtId="3" fontId="1" fillId="0" borderId="73" xfId="0" applyNumberFormat="1" applyFont="1" applyBorder="1"/>
    <xf numFmtId="3" fontId="1" fillId="0" borderId="64" xfId="0" applyNumberFormat="1" applyFont="1" applyBorder="1"/>
    <xf numFmtId="3" fontId="1" fillId="0" borderId="74" xfId="0" applyNumberFormat="1" applyFont="1" applyBorder="1"/>
    <xf numFmtId="3" fontId="1" fillId="0" borderId="75" xfId="0" applyNumberFormat="1" applyFont="1" applyBorder="1"/>
    <xf numFmtId="0" fontId="10" fillId="9" borderId="11" xfId="0" applyFont="1" applyFill="1" applyBorder="1" applyAlignment="1">
      <alignment horizontal="right"/>
    </xf>
    <xf numFmtId="0" fontId="10" fillId="9" borderId="29" xfId="0" applyFont="1" applyFill="1" applyBorder="1" applyAlignment="1">
      <alignment horizontal="right"/>
    </xf>
    <xf numFmtId="9" fontId="10" fillId="9" borderId="29" xfId="0" applyNumberFormat="1" applyFont="1" applyFill="1" applyBorder="1" applyAlignment="1">
      <alignment horizontal="right"/>
    </xf>
    <xf numFmtId="0" fontId="10" fillId="9" borderId="30" xfId="0" applyFont="1" applyFill="1" applyBorder="1" applyAlignment="1">
      <alignment horizontal="right"/>
    </xf>
    <xf numFmtId="3" fontId="10" fillId="9" borderId="76" xfId="0" applyNumberFormat="1" applyFont="1" applyFill="1" applyBorder="1"/>
    <xf numFmtId="3" fontId="10" fillId="9" borderId="29" xfId="0" applyNumberFormat="1" applyFont="1" applyFill="1" applyBorder="1"/>
    <xf numFmtId="3" fontId="10" fillId="9" borderId="24" xfId="0" applyNumberFormat="1" applyFont="1" applyFill="1" applyBorder="1"/>
    <xf numFmtId="3" fontId="10" fillId="9" borderId="22" xfId="0" applyNumberFormat="1" applyFont="1" applyFill="1" applyBorder="1"/>
    <xf numFmtId="3" fontId="10" fillId="9" borderId="21" xfId="0" applyNumberFormat="1" applyFont="1" applyFill="1" applyBorder="1"/>
    <xf numFmtId="3" fontId="10" fillId="9" borderId="18" xfId="0" applyNumberFormat="1" applyFont="1" applyFill="1" applyBorder="1"/>
    <xf numFmtId="3" fontId="10" fillId="9" borderId="17" xfId="0" applyNumberFormat="1" applyFont="1" applyFill="1" applyBorder="1"/>
    <xf numFmtId="3" fontId="10" fillId="9" borderId="77" xfId="0" applyNumberFormat="1" applyFont="1" applyFill="1" applyBorder="1"/>
    <xf numFmtId="3" fontId="10" fillId="9" borderId="78" xfId="0" applyNumberFormat="1" applyFont="1" applyFill="1" applyBorder="1"/>
    <xf numFmtId="3" fontId="10" fillId="9" borderId="79" xfId="0" applyNumberFormat="1" applyFont="1" applyFill="1" applyBorder="1"/>
    <xf numFmtId="3" fontId="10" fillId="9" borderId="30" xfId="0" applyNumberFormat="1" applyFont="1" applyFill="1" applyBorder="1"/>
    <xf numFmtId="3" fontId="10" fillId="9" borderId="28" xfId="0" applyNumberFormat="1" applyFont="1" applyFill="1" applyBorder="1"/>
    <xf numFmtId="3" fontId="10" fillId="0" borderId="0" xfId="0" applyNumberFormat="1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center"/>
    </xf>
    <xf numFmtId="0" fontId="10" fillId="24" borderId="0" xfId="0" applyFont="1" applyFill="1"/>
    <xf numFmtId="167" fontId="1" fillId="0" borderId="0" xfId="0" applyNumberFormat="1" applyFont="1"/>
    <xf numFmtId="0" fontId="1" fillId="0" borderId="0" xfId="0" applyFont="1"/>
    <xf numFmtId="0" fontId="10" fillId="11" borderId="0" xfId="0" applyFont="1" applyFill="1"/>
    <xf numFmtId="9" fontId="11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horizontal="center"/>
    </xf>
    <xf numFmtId="3" fontId="10" fillId="15" borderId="0" xfId="0" applyNumberFormat="1" applyFont="1" applyFill="1"/>
    <xf numFmtId="0" fontId="1" fillId="20" borderId="0" xfId="0" applyFont="1" applyFill="1"/>
    <xf numFmtId="0" fontId="1" fillId="0" borderId="80" xfId="0" applyFont="1" applyBorder="1"/>
    <xf numFmtId="0" fontId="1" fillId="0" borderId="81" xfId="0" applyFont="1" applyBorder="1" applyAlignment="1">
      <alignment horizontal="center"/>
    </xf>
    <xf numFmtId="9" fontId="1" fillId="0" borderId="81" xfId="0" applyNumberFormat="1" applyFont="1" applyBorder="1" applyAlignment="1">
      <alignment horizontal="center"/>
    </xf>
    <xf numFmtId="0" fontId="10" fillId="20" borderId="81" xfId="0" applyFont="1" applyFill="1" applyBorder="1"/>
    <xf numFmtId="3" fontId="1" fillId="0" borderId="81" xfId="0" applyNumberFormat="1" applyFont="1" applyBorder="1"/>
    <xf numFmtId="3" fontId="9" fillId="0" borderId="81" xfId="0" applyNumberFormat="1" applyFont="1" applyBorder="1" applyAlignment="1">
      <alignment horizontal="right"/>
    </xf>
    <xf numFmtId="9" fontId="11" fillId="0" borderId="81" xfId="0" applyNumberFormat="1" applyFont="1" applyBorder="1" applyAlignment="1">
      <alignment horizontal="center" vertical="center" wrapText="1"/>
    </xf>
    <xf numFmtId="9" fontId="12" fillId="0" borderId="81" xfId="0" applyNumberFormat="1" applyFont="1" applyBorder="1" applyAlignment="1">
      <alignment horizontal="center"/>
    </xf>
    <xf numFmtId="9" fontId="9" fillId="0" borderId="81" xfId="0" applyNumberFormat="1" applyFont="1" applyBorder="1" applyAlignment="1">
      <alignment horizontal="center"/>
    </xf>
    <xf numFmtId="3" fontId="10" fillId="15" borderId="81" xfId="0" applyNumberFormat="1" applyFont="1" applyFill="1" applyBorder="1"/>
    <xf numFmtId="3" fontId="1" fillId="0" borderId="82" xfId="0" applyNumberFormat="1" applyFont="1" applyBorder="1"/>
    <xf numFmtId="3" fontId="1" fillId="0" borderId="80" xfId="0" applyNumberFormat="1" applyFont="1" applyBorder="1"/>
    <xf numFmtId="3" fontId="1" fillId="0" borderId="83" xfId="0" applyNumberFormat="1" applyFont="1" applyBorder="1"/>
    <xf numFmtId="3" fontId="1" fillId="0" borderId="84" xfId="0" applyNumberFormat="1" applyFont="1" applyBorder="1"/>
    <xf numFmtId="3" fontId="1" fillId="0" borderId="85" xfId="0" applyNumberFormat="1" applyFont="1" applyBorder="1"/>
    <xf numFmtId="0" fontId="1" fillId="0" borderId="50" xfId="0" applyFont="1" applyBorder="1"/>
    <xf numFmtId="0" fontId="1" fillId="0" borderId="47" xfId="0" applyFont="1" applyBorder="1" applyAlignment="1">
      <alignment horizontal="center"/>
    </xf>
    <xf numFmtId="0" fontId="1" fillId="0" borderId="47" xfId="0" applyFont="1" applyBorder="1"/>
    <xf numFmtId="3" fontId="1" fillId="0" borderId="47" xfId="0" applyNumberFormat="1" applyFont="1" applyBorder="1"/>
    <xf numFmtId="9" fontId="11" fillId="0" borderId="47" xfId="0" applyNumberFormat="1" applyFont="1" applyBorder="1" applyAlignment="1">
      <alignment horizontal="center" vertical="center" wrapText="1"/>
    </xf>
    <xf numFmtId="9" fontId="12" fillId="0" borderId="47" xfId="0" applyNumberFormat="1" applyFont="1" applyBorder="1" applyAlignment="1">
      <alignment horizontal="center"/>
    </xf>
    <xf numFmtId="9" fontId="9" fillId="0" borderId="47" xfId="0" applyNumberFormat="1" applyFont="1" applyBorder="1" applyAlignment="1">
      <alignment horizontal="center"/>
    </xf>
    <xf numFmtId="3" fontId="10" fillId="15" borderId="47" xfId="0" applyNumberFormat="1" applyFont="1" applyFill="1" applyBorder="1"/>
    <xf numFmtId="3" fontId="1" fillId="15" borderId="47" xfId="0" applyNumberFormat="1" applyFont="1" applyFill="1" applyBorder="1"/>
    <xf numFmtId="3" fontId="1" fillId="0" borderId="48" xfId="0" applyNumberFormat="1" applyFont="1" applyBorder="1"/>
    <xf numFmtId="3" fontId="1" fillId="0" borderId="36" xfId="0" applyNumberFormat="1" applyFont="1" applyBorder="1"/>
    <xf numFmtId="0" fontId="1" fillId="24" borderId="47" xfId="0" applyFont="1" applyFill="1" applyBorder="1"/>
    <xf numFmtId="0" fontId="9" fillId="21" borderId="47" xfId="0" applyFont="1" applyFill="1" applyBorder="1" applyAlignment="1">
      <alignment horizontal="center"/>
    </xf>
    <xf numFmtId="0" fontId="1" fillId="0" borderId="63" xfId="0" applyFont="1" applyBorder="1"/>
    <xf numFmtId="0" fontId="1" fillId="0" borderId="86" xfId="0" applyFont="1" applyBorder="1" applyAlignment="1">
      <alignment horizontal="center"/>
    </xf>
    <xf numFmtId="9" fontId="1" fillId="0" borderId="86" xfId="0" applyNumberFormat="1" applyFont="1" applyBorder="1" applyAlignment="1">
      <alignment horizontal="center"/>
    </xf>
    <xf numFmtId="0" fontId="10" fillId="0" borderId="86" xfId="0" applyFont="1" applyBorder="1"/>
    <xf numFmtId="3" fontId="1" fillId="0" borderId="86" xfId="0" applyNumberFormat="1" applyFont="1" applyBorder="1"/>
    <xf numFmtId="3" fontId="9" fillId="0" borderId="86" xfId="0" applyNumberFormat="1" applyFont="1" applyBorder="1" applyAlignment="1">
      <alignment horizontal="right"/>
    </xf>
    <xf numFmtId="9" fontId="11" fillId="0" borderId="86" xfId="0" applyNumberFormat="1" applyFont="1" applyBorder="1" applyAlignment="1">
      <alignment horizontal="center" vertical="center" wrapText="1"/>
    </xf>
    <xf numFmtId="9" fontId="12" fillId="0" borderId="86" xfId="0" applyNumberFormat="1" applyFont="1" applyBorder="1" applyAlignment="1">
      <alignment horizontal="center"/>
    </xf>
    <xf numFmtId="9" fontId="9" fillId="0" borderId="86" xfId="0" applyNumberFormat="1" applyFont="1" applyBorder="1" applyAlignment="1">
      <alignment horizontal="center"/>
    </xf>
    <xf numFmtId="3" fontId="10" fillId="15" borderId="86" xfId="0" applyNumberFormat="1" applyFont="1" applyFill="1" applyBorder="1"/>
    <xf numFmtId="3" fontId="1" fillId="15" borderId="86" xfId="0" applyNumberFormat="1" applyFont="1" applyFill="1" applyBorder="1"/>
    <xf numFmtId="3" fontId="1" fillId="0" borderId="87" xfId="0" applyNumberFormat="1" applyFont="1" applyBorder="1"/>
    <xf numFmtId="3" fontId="1" fillId="0" borderId="88" xfId="0" applyNumberFormat="1" applyFont="1" applyBorder="1"/>
    <xf numFmtId="3" fontId="1" fillId="0" borderId="89" xfId="0" applyNumberFormat="1" applyFont="1" applyBorder="1"/>
    <xf numFmtId="3" fontId="1" fillId="0" borderId="62" xfId="0" applyNumberFormat="1" applyFont="1" applyBorder="1"/>
    <xf numFmtId="168" fontId="1" fillId="0" borderId="0" xfId="0" applyNumberFormat="1" applyFont="1"/>
    <xf numFmtId="4" fontId="1" fillId="0" borderId="0" xfId="0" applyNumberFormat="1" applyFont="1"/>
    <xf numFmtId="0" fontId="1" fillId="7" borderId="90" xfId="0" applyFont="1" applyFill="1" applyBorder="1" applyAlignment="1">
      <alignment horizontal="right"/>
    </xf>
    <xf numFmtId="0" fontId="1" fillId="7" borderId="91" xfId="0" applyFont="1" applyFill="1" applyBorder="1" applyAlignment="1">
      <alignment horizontal="right"/>
    </xf>
    <xf numFmtId="0" fontId="1" fillId="7" borderId="92" xfId="0" applyFont="1" applyFill="1" applyBorder="1" applyAlignment="1">
      <alignment horizontal="right"/>
    </xf>
    <xf numFmtId="0" fontId="1" fillId="0" borderId="93" xfId="0" applyFont="1" applyBorder="1"/>
    <xf numFmtId="169" fontId="15" fillId="0" borderId="0" xfId="0" applyNumberFormat="1" applyFont="1" applyAlignment="1">
      <alignment vertical="top"/>
    </xf>
    <xf numFmtId="169" fontId="15" fillId="0" borderId="94" xfId="0" applyNumberFormat="1" applyFont="1" applyBorder="1" applyAlignment="1">
      <alignment vertical="top"/>
    </xf>
    <xf numFmtId="0" fontId="15" fillId="0" borderId="0" xfId="0" applyFont="1" applyAlignment="1">
      <alignment vertical="top"/>
    </xf>
    <xf numFmtId="169" fontId="15" fillId="29" borderId="0" xfId="0" applyNumberFormat="1" applyFont="1" applyFill="1" applyAlignment="1">
      <alignment vertical="top"/>
    </xf>
    <xf numFmtId="4" fontId="15" fillId="0" borderId="0" xfId="0" applyNumberFormat="1" applyFont="1" applyAlignment="1">
      <alignment horizontal="right" vertical="top"/>
    </xf>
    <xf numFmtId="4" fontId="15" fillId="0" borderId="94" xfId="0" applyNumberFormat="1" applyFont="1" applyBorder="1" applyAlignment="1">
      <alignment horizontal="right" vertical="top"/>
    </xf>
    <xf numFmtId="169" fontId="1" fillId="0" borderId="0" xfId="0" applyNumberFormat="1" applyFont="1"/>
    <xf numFmtId="170" fontId="1" fillId="0" borderId="0" xfId="0" applyNumberFormat="1" applyFont="1"/>
    <xf numFmtId="0" fontId="15" fillId="0" borderId="0" xfId="0" applyFont="1" applyAlignment="1">
      <alignment horizontal="right" vertical="top"/>
    </xf>
    <xf numFmtId="0" fontId="15" fillId="0" borderId="94" xfId="0" applyFont="1" applyBorder="1" applyAlignment="1">
      <alignment horizontal="right" vertical="top"/>
    </xf>
    <xf numFmtId="0" fontId="1" fillId="0" borderId="94" xfId="0" applyFont="1" applyBorder="1"/>
    <xf numFmtId="0" fontId="1" fillId="0" borderId="95" xfId="0" applyFont="1" applyBorder="1"/>
    <xf numFmtId="0" fontId="1" fillId="0" borderId="96" xfId="0" applyFont="1" applyBorder="1"/>
    <xf numFmtId="0" fontId="1" fillId="0" borderId="97" xfId="0" applyFont="1" applyBorder="1"/>
    <xf numFmtId="0" fontId="1" fillId="30" borderId="98" xfId="0" applyFont="1" applyFill="1" applyBorder="1" applyAlignment="1">
      <alignment horizontal="right"/>
    </xf>
    <xf numFmtId="0" fontId="1" fillId="30" borderId="99" xfId="0" applyFont="1" applyFill="1" applyBorder="1" applyAlignment="1">
      <alignment horizontal="right"/>
    </xf>
    <xf numFmtId="0" fontId="1" fillId="30" borderId="100" xfId="0" applyFont="1" applyFill="1" applyBorder="1" applyAlignment="1">
      <alignment horizontal="right"/>
    </xf>
    <xf numFmtId="0" fontId="1" fillId="0" borderId="101" xfId="0" applyFont="1" applyBorder="1"/>
    <xf numFmtId="169" fontId="15" fillId="0" borderId="102" xfId="0" applyNumberFormat="1" applyFont="1" applyBorder="1" applyAlignment="1">
      <alignment vertical="top"/>
    </xf>
    <xf numFmtId="0" fontId="15" fillId="29" borderId="103" xfId="0" applyFont="1" applyFill="1" applyBorder="1" applyAlignment="1">
      <alignment vertical="top"/>
    </xf>
    <xf numFmtId="0" fontId="15" fillId="29" borderId="0" xfId="0" applyFont="1" applyFill="1" applyAlignment="1">
      <alignment vertical="top"/>
    </xf>
    <xf numFmtId="4" fontId="15" fillId="0" borderId="102" xfId="0" applyNumberFormat="1" applyFont="1" applyBorder="1" applyAlignment="1">
      <alignment horizontal="right" vertical="top"/>
    </xf>
    <xf numFmtId="0" fontId="15" fillId="0" borderId="102" xfId="0" applyFont="1" applyBorder="1" applyAlignment="1">
      <alignment horizontal="right" vertical="top"/>
    </xf>
    <xf numFmtId="0" fontId="1" fillId="0" borderId="102" xfId="0" applyFont="1" applyBorder="1"/>
    <xf numFmtId="0" fontId="1" fillId="0" borderId="104" xfId="0" applyFont="1" applyBorder="1"/>
    <xf numFmtId="0" fontId="1" fillId="0" borderId="105" xfId="0" applyFont="1" applyBorder="1"/>
    <xf numFmtId="0" fontId="1" fillId="0" borderId="106" xfId="0" applyFont="1" applyBorder="1"/>
    <xf numFmtId="0" fontId="10" fillId="10" borderId="107" xfId="0" applyFont="1" applyFill="1" applyBorder="1" applyAlignment="1">
      <alignment horizontal="center" vertical="center"/>
    </xf>
    <xf numFmtId="0" fontId="10" fillId="10" borderId="108" xfId="0" applyFont="1" applyFill="1" applyBorder="1" applyAlignment="1">
      <alignment horizontal="center" vertical="center"/>
    </xf>
    <xf numFmtId="9" fontId="10" fillId="10" borderId="109" xfId="0" applyNumberFormat="1" applyFont="1" applyFill="1" applyBorder="1" applyAlignment="1">
      <alignment horizontal="center" vertical="center"/>
    </xf>
    <xf numFmtId="0" fontId="10" fillId="16" borderId="19" xfId="0" applyFont="1" applyFill="1" applyBorder="1" applyAlignment="1">
      <alignment horizontal="center" vertical="center"/>
    </xf>
    <xf numFmtId="164" fontId="10" fillId="16" borderId="14" xfId="0" applyNumberFormat="1" applyFont="1" applyFill="1" applyBorder="1" applyAlignment="1">
      <alignment horizontal="center" vertical="center"/>
    </xf>
    <xf numFmtId="3" fontId="12" fillId="3" borderId="20" xfId="0" applyNumberFormat="1" applyFont="1" applyFill="1" applyBorder="1" applyAlignment="1">
      <alignment horizontal="center" vertical="center" wrapText="1"/>
    </xf>
    <xf numFmtId="164" fontId="10" fillId="16" borderId="21" xfId="0" applyNumberFormat="1" applyFont="1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/>
    </xf>
    <xf numFmtId="9" fontId="11" fillId="0" borderId="14" xfId="0" applyNumberFormat="1" applyFont="1" applyBorder="1" applyAlignment="1">
      <alignment horizontal="center" vertical="center" wrapText="1"/>
    </xf>
    <xf numFmtId="9" fontId="11" fillId="0" borderId="16" xfId="0" applyNumberFormat="1" applyFont="1" applyBorder="1" applyAlignment="1">
      <alignment horizontal="center" vertical="center" wrapText="1"/>
    </xf>
    <xf numFmtId="3" fontId="12" fillId="3" borderId="14" xfId="0" applyNumberFormat="1" applyFont="1" applyFill="1" applyBorder="1" applyAlignment="1">
      <alignment horizontal="center" vertical="center" wrapText="1"/>
    </xf>
    <xf numFmtId="3" fontId="12" fillId="31" borderId="110" xfId="0" applyNumberFormat="1" applyFont="1" applyFill="1" applyBorder="1" applyAlignment="1">
      <alignment horizontal="center" vertical="center" wrapText="1"/>
    </xf>
    <xf numFmtId="164" fontId="10" fillId="16" borderId="29" xfId="0" applyNumberFormat="1" applyFont="1" applyFill="1" applyBorder="1" applyAlignment="1">
      <alignment horizontal="center" vertical="center"/>
    </xf>
    <xf numFmtId="3" fontId="12" fillId="31" borderId="31" xfId="0" applyNumberFormat="1" applyFont="1" applyFill="1" applyBorder="1" applyAlignment="1">
      <alignment horizontal="center" vertical="center" wrapText="1"/>
    </xf>
    <xf numFmtId="164" fontId="10" fillId="16" borderId="31" xfId="0" applyNumberFormat="1" applyFont="1" applyFill="1" applyBorder="1" applyAlignment="1">
      <alignment horizontal="center" vertical="center"/>
    </xf>
    <xf numFmtId="3" fontId="12" fillId="31" borderId="26" xfId="0" applyNumberFormat="1" applyFont="1" applyFill="1" applyBorder="1" applyAlignment="1">
      <alignment horizontal="center" vertical="center" wrapText="1"/>
    </xf>
    <xf numFmtId="3" fontId="11" fillId="7" borderId="24" xfId="0" applyNumberFormat="1" applyFont="1" applyFill="1" applyBorder="1" applyAlignment="1">
      <alignment horizontal="center" vertical="center" wrapText="1"/>
    </xf>
    <xf numFmtId="3" fontId="12" fillId="17" borderId="31" xfId="0" applyNumberFormat="1" applyFont="1" applyFill="1" applyBorder="1" applyAlignment="1">
      <alignment horizontal="center" vertical="center" wrapText="1"/>
    </xf>
    <xf numFmtId="3" fontId="12" fillId="4" borderId="26" xfId="0" applyNumberFormat="1" applyFont="1" applyFill="1" applyBorder="1" applyAlignment="1">
      <alignment horizontal="center" vertical="center" wrapText="1"/>
    </xf>
    <xf numFmtId="164" fontId="10" fillId="16" borderId="111" xfId="0" applyNumberFormat="1" applyFont="1" applyFill="1" applyBorder="1" applyAlignment="1">
      <alignment horizontal="center" vertical="center"/>
    </xf>
    <xf numFmtId="164" fontId="10" fillId="16" borderId="84" xfId="0" applyNumberFormat="1" applyFont="1" applyFill="1" applyBorder="1" applyAlignment="1">
      <alignment horizontal="center" vertical="center"/>
    </xf>
    <xf numFmtId="164" fontId="10" fillId="16" borderId="83" xfId="0" applyNumberFormat="1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0" fontId="10" fillId="15" borderId="25" xfId="0" applyFont="1" applyFill="1" applyBorder="1" applyAlignment="1">
      <alignment horizontal="center" vertical="center"/>
    </xf>
    <xf numFmtId="0" fontId="10" fillId="15" borderId="31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9" fontId="1" fillId="0" borderId="39" xfId="0" applyNumberFormat="1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3" fontId="1" fillId="0" borderId="32" xfId="0" applyNumberFormat="1" applyFont="1" applyBorder="1"/>
    <xf numFmtId="3" fontId="1" fillId="29" borderId="32" xfId="0" applyNumberFormat="1" applyFont="1" applyFill="1" applyBorder="1"/>
    <xf numFmtId="9" fontId="1" fillId="0" borderId="42" xfId="0" applyNumberFormat="1" applyFont="1" applyBorder="1" applyAlignment="1">
      <alignment horizontal="center"/>
    </xf>
    <xf numFmtId="0" fontId="1" fillId="0" borderId="38" xfId="0" applyFont="1" applyBorder="1"/>
    <xf numFmtId="0" fontId="1" fillId="0" borderId="35" xfId="0" applyFont="1" applyBorder="1"/>
    <xf numFmtId="3" fontId="10" fillId="0" borderId="39" xfId="0" applyNumberFormat="1" applyFont="1" applyBorder="1"/>
    <xf numFmtId="0" fontId="1" fillId="0" borderId="51" xfId="0" applyFont="1" applyBorder="1"/>
    <xf numFmtId="0" fontId="1" fillId="0" borderId="27" xfId="0" applyFont="1" applyBorder="1"/>
    <xf numFmtId="0" fontId="1" fillId="0" borderId="36" xfId="0" applyFont="1" applyBorder="1"/>
    <xf numFmtId="9" fontId="12" fillId="3" borderId="32" xfId="0" applyNumberFormat="1" applyFont="1" applyFill="1" applyBorder="1" applyAlignment="1">
      <alignment horizontal="center"/>
    </xf>
    <xf numFmtId="3" fontId="9" fillId="0" borderId="33" xfId="0" applyNumberFormat="1" applyFont="1" applyBorder="1" applyAlignment="1">
      <alignment horizontal="center"/>
    </xf>
    <xf numFmtId="3" fontId="9" fillId="0" borderId="34" xfId="0" applyNumberFormat="1" applyFont="1" applyBorder="1" applyAlignment="1">
      <alignment horizontal="center"/>
    </xf>
    <xf numFmtId="3" fontId="9" fillId="0" borderId="35" xfId="0" applyNumberFormat="1" applyFont="1" applyBorder="1" applyAlignment="1">
      <alignment horizontal="center"/>
    </xf>
    <xf numFmtId="3" fontId="12" fillId="0" borderId="34" xfId="0" applyNumberFormat="1" applyFont="1" applyBorder="1" applyAlignment="1">
      <alignment horizontal="center"/>
    </xf>
    <xf numFmtId="3" fontId="12" fillId="0" borderId="39" xfId="0" applyNumberFormat="1" applyFont="1" applyBorder="1" applyAlignment="1">
      <alignment horizontal="center"/>
    </xf>
    <xf numFmtId="3" fontId="1" fillId="11" borderId="27" xfId="0" applyNumberFormat="1" applyFont="1" applyFill="1" applyBorder="1"/>
    <xf numFmtId="3" fontId="1" fillId="11" borderId="48" xfId="0" applyNumberFormat="1" applyFont="1" applyFill="1" applyBorder="1"/>
    <xf numFmtId="3" fontId="1" fillId="29" borderId="51" xfId="0" applyNumberFormat="1" applyFont="1" applyFill="1" applyBorder="1"/>
    <xf numFmtId="0" fontId="1" fillId="0" borderId="23" xfId="0" applyFont="1" applyBorder="1"/>
    <xf numFmtId="3" fontId="1" fillId="0" borderId="112" xfId="0" applyNumberFormat="1" applyFont="1" applyBorder="1"/>
    <xf numFmtId="0" fontId="1" fillId="0" borderId="48" xfId="0" applyFont="1" applyBorder="1"/>
    <xf numFmtId="3" fontId="10" fillId="0" borderId="36" xfId="0" applyNumberFormat="1" applyFont="1" applyBorder="1"/>
    <xf numFmtId="9" fontId="12" fillId="4" borderId="51" xfId="0" applyNumberFormat="1" applyFont="1" applyFill="1" applyBorder="1" applyAlignment="1">
      <alignment horizontal="center"/>
    </xf>
    <xf numFmtId="3" fontId="9" fillId="0" borderId="50" xfId="0" applyNumberFormat="1" applyFont="1" applyBorder="1" applyAlignment="1">
      <alignment horizontal="center"/>
    </xf>
    <xf numFmtId="3" fontId="9" fillId="0" borderId="47" xfId="0" applyNumberFormat="1" applyFont="1" applyBorder="1" applyAlignment="1">
      <alignment horizontal="center"/>
    </xf>
    <xf numFmtId="3" fontId="9" fillId="0" borderId="48" xfId="0" applyNumberFormat="1" applyFont="1" applyBorder="1" applyAlignment="1">
      <alignment horizontal="center"/>
    </xf>
    <xf numFmtId="3" fontId="12" fillId="0" borderId="47" xfId="0" applyNumberFormat="1" applyFont="1" applyBorder="1" applyAlignment="1">
      <alignment horizontal="center"/>
    </xf>
    <xf numFmtId="3" fontId="12" fillId="0" borderId="36" xfId="0" applyNumberFormat="1" applyFont="1" applyBorder="1" applyAlignment="1">
      <alignment horizontal="center"/>
    </xf>
    <xf numFmtId="3" fontId="1" fillId="11" borderId="23" xfId="0" applyNumberFormat="1" applyFont="1" applyFill="1" applyBorder="1"/>
    <xf numFmtId="9" fontId="12" fillId="5" borderId="51" xfId="0" applyNumberFormat="1" applyFont="1" applyFill="1" applyBorder="1" applyAlignment="1">
      <alignment horizontal="center"/>
    </xf>
    <xf numFmtId="9" fontId="12" fillId="23" borderId="51" xfId="0" applyNumberFormat="1" applyFont="1" applyFill="1" applyBorder="1" applyAlignment="1">
      <alignment horizontal="center"/>
    </xf>
    <xf numFmtId="9" fontId="12" fillId="7" borderId="51" xfId="0" applyNumberFormat="1" applyFont="1" applyFill="1" applyBorder="1" applyAlignment="1">
      <alignment horizontal="center"/>
    </xf>
    <xf numFmtId="3" fontId="1" fillId="0" borderId="50" xfId="0" applyNumberFormat="1" applyFont="1" applyBorder="1" applyAlignment="1">
      <alignment horizontal="center"/>
    </xf>
    <xf numFmtId="3" fontId="1" fillId="0" borderId="47" xfId="0" applyNumberFormat="1" applyFont="1" applyBorder="1" applyAlignment="1">
      <alignment horizontal="center"/>
    </xf>
    <xf numFmtId="3" fontId="1" fillId="0" borderId="36" xfId="0" applyNumberFormat="1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3" fontId="1" fillId="0" borderId="57" xfId="0" applyNumberFormat="1" applyFont="1" applyBorder="1" applyAlignment="1">
      <alignment horizontal="center"/>
    </xf>
    <xf numFmtId="3" fontId="1" fillId="0" borderId="54" xfId="0" applyNumberFormat="1" applyFont="1" applyBorder="1" applyAlignment="1">
      <alignment horizontal="center"/>
    </xf>
    <xf numFmtId="3" fontId="10" fillId="9" borderId="24" xfId="0" applyNumberFormat="1" applyFont="1" applyFill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" fillId="25" borderId="48" xfId="0" applyNumberFormat="1" applyFont="1" applyFill="1" applyBorder="1"/>
    <xf numFmtId="3" fontId="1" fillId="25" borderId="35" xfId="0" applyNumberFormat="1" applyFont="1" applyFill="1" applyBorder="1"/>
    <xf numFmtId="3" fontId="1" fillId="25" borderId="33" xfId="0" applyNumberFormat="1" applyFont="1" applyFill="1" applyBorder="1"/>
    <xf numFmtId="3" fontId="1" fillId="0" borderId="113" xfId="0" applyNumberFormat="1" applyFont="1" applyBorder="1"/>
    <xf numFmtId="3" fontId="1" fillId="26" borderId="33" xfId="0" applyNumberFormat="1" applyFont="1" applyFill="1" applyBorder="1"/>
    <xf numFmtId="3" fontId="1" fillId="26" borderId="48" xfId="0" applyNumberFormat="1" applyFont="1" applyFill="1" applyBorder="1"/>
    <xf numFmtId="0" fontId="1" fillId="0" borderId="70" xfId="0" applyFont="1" applyBorder="1"/>
    <xf numFmtId="0" fontId="1" fillId="0" borderId="34" xfId="0" applyFont="1" applyBorder="1"/>
    <xf numFmtId="0" fontId="1" fillId="0" borderId="114" xfId="0" applyFont="1" applyBorder="1" applyAlignment="1">
      <alignment horizontal="center"/>
    </xf>
    <xf numFmtId="9" fontId="1" fillId="0" borderId="88" xfId="0" applyNumberFormat="1" applyFont="1" applyBorder="1" applyAlignment="1">
      <alignment horizontal="center"/>
    </xf>
    <xf numFmtId="9" fontId="1" fillId="0" borderId="115" xfId="0" applyNumberFormat="1" applyFont="1" applyBorder="1" applyAlignment="1">
      <alignment horizontal="center"/>
    </xf>
    <xf numFmtId="3" fontId="1" fillId="0" borderId="55" xfId="0" applyNumberFormat="1" applyFont="1" applyBorder="1"/>
    <xf numFmtId="9" fontId="1" fillId="0" borderId="73" xfId="0" applyNumberFormat="1" applyFont="1" applyBorder="1" applyAlignment="1">
      <alignment horizontal="center"/>
    </xf>
    <xf numFmtId="3" fontId="1" fillId="29" borderId="58" xfId="0" applyNumberFormat="1" applyFont="1" applyFill="1" applyBorder="1"/>
    <xf numFmtId="9" fontId="1" fillId="0" borderId="68" xfId="0" applyNumberFormat="1" applyFont="1" applyBorder="1" applyAlignment="1">
      <alignment horizontal="center"/>
    </xf>
    <xf numFmtId="3" fontId="1" fillId="0" borderId="54" xfId="0" applyNumberFormat="1" applyFont="1" applyBorder="1"/>
    <xf numFmtId="3" fontId="1" fillId="0" borderId="65" xfId="0" applyNumberFormat="1" applyFont="1" applyBorder="1"/>
    <xf numFmtId="0" fontId="1" fillId="0" borderId="71" xfId="0" applyFont="1" applyBorder="1"/>
    <xf numFmtId="0" fontId="1" fillId="0" borderId="57" xfId="0" applyFont="1" applyBorder="1"/>
    <xf numFmtId="0" fontId="1" fillId="0" borderId="64" xfId="0" applyFont="1" applyBorder="1"/>
    <xf numFmtId="0" fontId="1" fillId="0" borderId="55" xfId="0" applyFont="1" applyBorder="1"/>
    <xf numFmtId="0" fontId="1" fillId="0" borderId="58" xfId="0" applyFont="1" applyBorder="1"/>
    <xf numFmtId="0" fontId="10" fillId="0" borderId="65" xfId="0" applyFont="1" applyBorder="1"/>
    <xf numFmtId="0" fontId="10" fillId="9" borderId="11" xfId="0" applyFont="1" applyFill="1" applyBorder="1"/>
    <xf numFmtId="0" fontId="10" fillId="9" borderId="29" xfId="0" applyFont="1" applyFill="1" applyBorder="1" applyAlignment="1">
      <alignment horizontal="center"/>
    </xf>
    <xf numFmtId="9" fontId="10" fillId="9" borderId="29" xfId="0" applyNumberFormat="1" applyFont="1" applyFill="1" applyBorder="1" applyAlignment="1">
      <alignment horizontal="center"/>
    </xf>
    <xf numFmtId="3" fontId="10" fillId="9" borderId="116" xfId="0" applyNumberFormat="1" applyFont="1" applyFill="1" applyBorder="1"/>
    <xf numFmtId="3" fontId="10" fillId="9" borderId="11" xfId="0" applyNumberFormat="1" applyFont="1" applyFill="1" applyBorder="1"/>
    <xf numFmtId="0" fontId="1" fillId="7" borderId="0" xfId="0" applyFont="1" applyFill="1"/>
    <xf numFmtId="0" fontId="1" fillId="5" borderId="0" xfId="0" applyFont="1" applyFill="1"/>
    <xf numFmtId="0" fontId="1" fillId="0" borderId="80" xfId="0" applyFont="1" applyBorder="1" applyAlignment="1">
      <alignment horizontal="center"/>
    </xf>
    <xf numFmtId="9" fontId="1" fillId="0" borderId="82" xfId="0" applyNumberFormat="1" applyFont="1" applyBorder="1" applyAlignment="1">
      <alignment horizontal="center"/>
    </xf>
    <xf numFmtId="0" fontId="1" fillId="28" borderId="117" xfId="0" applyFont="1" applyFill="1" applyBorder="1"/>
    <xf numFmtId="3" fontId="1" fillId="26" borderId="81" xfId="0" applyNumberFormat="1" applyFont="1" applyFill="1" applyBorder="1"/>
    <xf numFmtId="3" fontId="1" fillId="29" borderId="81" xfId="0" applyNumberFormat="1" applyFont="1" applyFill="1" applyBorder="1"/>
    <xf numFmtId="0" fontId="1" fillId="0" borderId="81" xfId="0" applyFont="1" applyBorder="1"/>
    <xf numFmtId="0" fontId="1" fillId="0" borderId="84" xfId="0" applyFont="1" applyBorder="1"/>
    <xf numFmtId="0" fontId="10" fillId="0" borderId="83" xfId="0" applyFont="1" applyBorder="1"/>
    <xf numFmtId="9" fontId="1" fillId="0" borderId="48" xfId="0" applyNumberFormat="1" applyFont="1" applyBorder="1" applyAlignment="1">
      <alignment horizontal="center"/>
    </xf>
    <xf numFmtId="0" fontId="1" fillId="20" borderId="52" xfId="0" applyFont="1" applyFill="1" applyBorder="1"/>
    <xf numFmtId="3" fontId="1" fillId="29" borderId="47" xfId="0" applyNumberFormat="1" applyFont="1" applyFill="1" applyBorder="1"/>
    <xf numFmtId="0" fontId="10" fillId="0" borderId="36" xfId="0" applyFont="1" applyBorder="1"/>
    <xf numFmtId="0" fontId="1" fillId="0" borderId="52" xfId="0" applyFont="1" applyBorder="1"/>
    <xf numFmtId="0" fontId="1" fillId="5" borderId="52" xfId="0" applyFont="1" applyFill="1" applyBorder="1"/>
    <xf numFmtId="0" fontId="1" fillId="12" borderId="52" xfId="0" applyFont="1" applyFill="1" applyBorder="1"/>
    <xf numFmtId="0" fontId="1" fillId="0" borderId="34" xfId="0" applyFont="1" applyBorder="1" applyAlignment="1">
      <alignment horizontal="center"/>
    </xf>
    <xf numFmtId="9" fontId="1" fillId="0" borderId="87" xfId="0" applyNumberFormat="1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0" xfId="0" applyFont="1" applyBorder="1"/>
    <xf numFmtId="3" fontId="1" fillId="29" borderId="86" xfId="0" applyNumberFormat="1" applyFont="1" applyFill="1" applyBorder="1"/>
    <xf numFmtId="0" fontId="1" fillId="0" borderId="86" xfId="0" applyFont="1" applyBorder="1"/>
    <xf numFmtId="0" fontId="1" fillId="0" borderId="89" xfId="0" applyFont="1" applyBorder="1"/>
    <xf numFmtId="0" fontId="10" fillId="0" borderId="88" xfId="0" applyFont="1" applyBorder="1"/>
    <xf numFmtId="0" fontId="1" fillId="7" borderId="90" xfId="0" applyFont="1" applyFill="1" applyBorder="1" applyAlignment="1">
      <alignment horizontal="center"/>
    </xf>
    <xf numFmtId="0" fontId="1" fillId="0" borderId="93" xfId="0" applyFont="1" applyBorder="1" applyAlignment="1">
      <alignment horizontal="center"/>
    </xf>
    <xf numFmtId="0" fontId="15" fillId="29" borderId="47" xfId="0" applyFont="1" applyFill="1" applyBorder="1" applyAlignment="1">
      <alignment vertical="top"/>
    </xf>
    <xf numFmtId="0" fontId="1" fillId="0" borderId="95" xfId="0" applyFont="1" applyBorder="1" applyAlignment="1">
      <alignment horizontal="center"/>
    </xf>
    <xf numFmtId="0" fontId="10" fillId="10" borderId="24" xfId="0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9" fontId="10" fillId="10" borderId="26" xfId="0" applyNumberFormat="1" applyFont="1" applyFill="1" applyBorder="1" applyAlignment="1">
      <alignment horizontal="center" vertical="center"/>
    </xf>
    <xf numFmtId="0" fontId="10" fillId="16" borderId="76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center" vertical="center"/>
    </xf>
    <xf numFmtId="3" fontId="12" fillId="3" borderId="26" xfId="0" applyNumberFormat="1" applyFont="1" applyFill="1" applyBorder="1" applyAlignment="1">
      <alignment horizontal="center" vertical="center" wrapText="1"/>
    </xf>
    <xf numFmtId="3" fontId="11" fillId="9" borderId="76" xfId="0" applyNumberFormat="1" applyFont="1" applyFill="1" applyBorder="1" applyAlignment="1">
      <alignment horizontal="center" vertical="center" wrapText="1"/>
    </xf>
    <xf numFmtId="9" fontId="11" fillId="0" borderId="26" xfId="0" applyNumberFormat="1" applyFont="1" applyBorder="1" applyAlignment="1">
      <alignment horizontal="center" vertical="center" wrapText="1"/>
    </xf>
    <xf numFmtId="164" fontId="10" fillId="16" borderId="76" xfId="0" applyNumberFormat="1" applyFont="1" applyFill="1" applyBorder="1" applyAlignment="1">
      <alignment horizontal="center" vertical="center"/>
    </xf>
    <xf numFmtId="0" fontId="10" fillId="18" borderId="25" xfId="0" applyFont="1" applyFill="1" applyBorder="1" applyAlignment="1">
      <alignment horizontal="center" vertical="center"/>
    </xf>
    <xf numFmtId="3" fontId="11" fillId="19" borderId="25" xfId="0" applyNumberFormat="1" applyFont="1" applyFill="1" applyBorder="1" applyAlignment="1">
      <alignment horizontal="center" vertical="center" wrapText="1"/>
    </xf>
    <xf numFmtId="3" fontId="12" fillId="3" borderId="25" xfId="0" applyNumberFormat="1" applyFont="1" applyFill="1" applyBorder="1" applyAlignment="1">
      <alignment horizontal="center" vertical="center" wrapText="1"/>
    </xf>
    <xf numFmtId="3" fontId="11" fillId="9" borderId="25" xfId="0" applyNumberFormat="1" applyFont="1" applyFill="1" applyBorder="1" applyAlignment="1">
      <alignment horizontal="center" vertical="center" wrapText="1"/>
    </xf>
    <xf numFmtId="9" fontId="11" fillId="0" borderId="31" xfId="0" applyNumberFormat="1" applyFont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3" fontId="12" fillId="3" borderId="31" xfId="0" applyNumberFormat="1" applyFont="1" applyFill="1" applyBorder="1" applyAlignment="1">
      <alignment horizontal="center" vertical="center" wrapText="1"/>
    </xf>
    <xf numFmtId="3" fontId="11" fillId="19" borderId="118" xfId="0" applyNumberFormat="1" applyFont="1" applyFill="1" applyBorder="1" applyAlignment="1">
      <alignment horizontal="center" vertical="center" wrapText="1"/>
    </xf>
    <xf numFmtId="3" fontId="12" fillId="17" borderId="119" xfId="0" applyNumberFormat="1" applyFont="1" applyFill="1" applyBorder="1" applyAlignment="1">
      <alignment horizontal="center" vertical="center" wrapText="1"/>
    </xf>
    <xf numFmtId="3" fontId="12" fillId="3" borderId="120" xfId="0" applyNumberFormat="1" applyFont="1" applyFill="1" applyBorder="1" applyAlignment="1">
      <alignment horizontal="center" vertical="center" wrapText="1"/>
    </xf>
    <xf numFmtId="3" fontId="11" fillId="19" borderId="121" xfId="0" applyNumberFormat="1" applyFont="1" applyFill="1" applyBorder="1" applyAlignment="1">
      <alignment horizontal="center" vertical="center" wrapText="1"/>
    </xf>
    <xf numFmtId="3" fontId="12" fillId="4" borderId="122" xfId="0" applyNumberFormat="1" applyFont="1" applyFill="1" applyBorder="1" applyAlignment="1">
      <alignment horizontal="center" vertical="center" wrapText="1"/>
    </xf>
    <xf numFmtId="164" fontId="10" fillId="16" borderId="89" xfId="0" applyNumberFormat="1" applyFont="1" applyFill="1" applyBorder="1" applyAlignment="1">
      <alignment horizontal="center" vertical="center"/>
    </xf>
    <xf numFmtId="164" fontId="10" fillId="16" borderId="4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29" borderId="24" xfId="0" applyFont="1" applyFill="1" applyBorder="1" applyAlignment="1">
      <alignment horizontal="center" vertical="center" wrapText="1"/>
    </xf>
    <xf numFmtId="0" fontId="12" fillId="29" borderId="25" xfId="0" applyFont="1" applyFill="1" applyBorder="1" applyAlignment="1">
      <alignment horizontal="center" vertical="center" wrapText="1"/>
    </xf>
    <xf numFmtId="0" fontId="10" fillId="29" borderId="25" xfId="0" applyFont="1" applyFill="1" applyBorder="1" applyAlignment="1">
      <alignment horizontal="center" vertical="center"/>
    </xf>
    <xf numFmtId="0" fontId="10" fillId="29" borderId="31" xfId="0" applyFont="1" applyFill="1" applyBorder="1" applyAlignment="1">
      <alignment horizontal="center" vertical="center"/>
    </xf>
    <xf numFmtId="0" fontId="10" fillId="29" borderId="26" xfId="0" applyFont="1" applyFill="1" applyBorder="1" applyAlignment="1">
      <alignment horizontal="center" vertical="center"/>
    </xf>
    <xf numFmtId="0" fontId="10" fillId="29" borderId="11" xfId="0" applyFont="1" applyFill="1" applyBorder="1" applyAlignment="1">
      <alignment horizontal="center" vertical="center"/>
    </xf>
    <xf numFmtId="0" fontId="10" fillId="0" borderId="12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0" xfId="0" applyFont="1" applyBorder="1" applyAlignment="1">
      <alignment horizontal="left"/>
    </xf>
    <xf numFmtId="3" fontId="1" fillId="11" borderId="34" xfId="0" applyNumberFormat="1" applyFont="1" applyFill="1" applyBorder="1"/>
    <xf numFmtId="3" fontId="1" fillId="29" borderId="33" xfId="0" applyNumberFormat="1" applyFont="1" applyFill="1" applyBorder="1"/>
    <xf numFmtId="3" fontId="1" fillId="29" borderId="34" xfId="0" applyNumberFormat="1" applyFont="1" applyFill="1" applyBorder="1"/>
    <xf numFmtId="9" fontId="1" fillId="29" borderId="39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9" fontId="12" fillId="3" borderId="33" xfId="0" applyNumberFormat="1" applyFont="1" applyFill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17" xfId="0" applyFont="1" applyBorder="1" applyAlignment="1">
      <alignment horizontal="center"/>
    </xf>
    <xf numFmtId="9" fontId="1" fillId="0" borderId="47" xfId="0" applyNumberFormat="1" applyFont="1" applyBorder="1" applyAlignment="1">
      <alignment horizontal="center" vertical="center"/>
    </xf>
    <xf numFmtId="9" fontId="1" fillId="0" borderId="3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3" fontId="1" fillId="11" borderId="47" xfId="0" applyNumberFormat="1" applyFont="1" applyFill="1" applyBorder="1"/>
    <xf numFmtId="9" fontId="12" fillId="4" borderId="50" xfId="0" applyNumberFormat="1" applyFont="1" applyFill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9" fontId="12" fillId="5" borderId="50" xfId="0" applyNumberFormat="1" applyFont="1" applyFill="1" applyBorder="1" applyAlignment="1">
      <alignment horizontal="center"/>
    </xf>
    <xf numFmtId="9" fontId="12" fillId="23" borderId="50" xfId="0" applyNumberFormat="1" applyFont="1" applyFill="1" applyBorder="1" applyAlignment="1">
      <alignment horizontal="center"/>
    </xf>
    <xf numFmtId="9" fontId="12" fillId="7" borderId="50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7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8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0" fillId="9" borderId="24" xfId="0" applyFont="1" applyFill="1" applyBorder="1" applyAlignment="1">
      <alignment horizontal="right"/>
    </xf>
    <xf numFmtId="0" fontId="10" fillId="9" borderId="26" xfId="0" applyFont="1" applyFill="1" applyBorder="1" applyAlignment="1">
      <alignment horizontal="center"/>
    </xf>
    <xf numFmtId="0" fontId="10" fillId="9" borderId="31" xfId="0" applyFont="1" applyFill="1" applyBorder="1" applyAlignment="1">
      <alignment horizontal="center"/>
    </xf>
    <xf numFmtId="0" fontId="10" fillId="9" borderId="11" xfId="0" applyFont="1" applyFill="1" applyBorder="1" applyAlignment="1">
      <alignment horizontal="center"/>
    </xf>
    <xf numFmtId="0" fontId="10" fillId="9" borderId="28" xfId="0" applyFont="1" applyFill="1" applyBorder="1" applyAlignment="1">
      <alignment horizontal="center"/>
    </xf>
    <xf numFmtId="0" fontId="1" fillId="7" borderId="40" xfId="0" applyFont="1" applyFill="1" applyBorder="1" applyAlignment="1">
      <alignment horizontal="left"/>
    </xf>
    <xf numFmtId="3" fontId="1" fillId="12" borderId="47" xfId="0" applyNumberFormat="1" applyFont="1" applyFill="1" applyBorder="1"/>
    <xf numFmtId="3" fontId="1" fillId="20" borderId="50" xfId="0" applyNumberFormat="1" applyFont="1" applyFill="1" applyBorder="1"/>
    <xf numFmtId="3" fontId="1" fillId="25" borderId="47" xfId="0" applyNumberFormat="1" applyFont="1" applyFill="1" applyBorder="1"/>
    <xf numFmtId="3" fontId="1" fillId="25" borderId="27" xfId="0" applyNumberFormat="1" applyFont="1" applyFill="1" applyBorder="1"/>
    <xf numFmtId="0" fontId="15" fillId="0" borderId="27" xfId="0" applyFont="1" applyBorder="1" applyAlignment="1">
      <alignment horizontal="left" vertical="top"/>
    </xf>
    <xf numFmtId="171" fontId="1" fillId="0" borderId="0" xfId="0" applyNumberFormat="1" applyFont="1" applyAlignment="1">
      <alignment horizontal="left"/>
    </xf>
    <xf numFmtId="0" fontId="1" fillId="24" borderId="27" xfId="0" applyFont="1" applyFill="1" applyBorder="1" applyAlignment="1">
      <alignment horizontal="left"/>
    </xf>
    <xf numFmtId="3" fontId="1" fillId="29" borderId="53" xfId="0" applyNumberFormat="1" applyFont="1" applyFill="1" applyBorder="1"/>
    <xf numFmtId="3" fontId="1" fillId="29" borderId="54" xfId="0" applyNumberFormat="1" applyFont="1" applyFill="1" applyBorder="1"/>
    <xf numFmtId="3" fontId="1" fillId="29" borderId="67" xfId="0" applyNumberFormat="1" applyFont="1" applyFill="1" applyBorder="1"/>
    <xf numFmtId="9" fontId="1" fillId="29" borderId="115" xfId="0" applyNumberFormat="1" applyFont="1" applyFill="1" applyBorder="1" applyAlignment="1">
      <alignment horizontal="center"/>
    </xf>
    <xf numFmtId="9" fontId="1" fillId="29" borderId="36" xfId="0" applyNumberFormat="1" applyFont="1" applyFill="1" applyBorder="1" applyAlignment="1">
      <alignment horizontal="center"/>
    </xf>
    <xf numFmtId="0" fontId="1" fillId="24" borderId="40" xfId="0" applyFont="1" applyFill="1" applyBorder="1" applyAlignment="1">
      <alignment horizontal="left"/>
    </xf>
    <xf numFmtId="0" fontId="1" fillId="7" borderId="27" xfId="0" applyFont="1" applyFill="1" applyBorder="1" applyAlignment="1">
      <alignment horizontal="left"/>
    </xf>
    <xf numFmtId="3" fontId="1" fillId="26" borderId="47" xfId="0" applyNumberFormat="1" applyFont="1" applyFill="1" applyBorder="1"/>
    <xf numFmtId="3" fontId="1" fillId="29" borderId="124" xfId="0" applyNumberFormat="1" applyFont="1" applyFill="1" applyBorder="1"/>
    <xf numFmtId="3" fontId="1" fillId="29" borderId="125" xfId="0" applyNumberFormat="1" applyFont="1" applyFill="1" applyBorder="1"/>
    <xf numFmtId="3" fontId="1" fillId="29" borderId="126" xfId="0" applyNumberFormat="1" applyFont="1" applyFill="1" applyBorder="1"/>
    <xf numFmtId="9" fontId="1" fillId="29" borderId="127" xfId="0" applyNumberFormat="1" applyFont="1" applyFill="1" applyBorder="1" applyAlignment="1">
      <alignment horizontal="center"/>
    </xf>
    <xf numFmtId="0" fontId="1" fillId="0" borderId="114" xfId="0" applyFont="1" applyBorder="1" applyAlignment="1">
      <alignment horizontal="center" vertical="center"/>
    </xf>
    <xf numFmtId="9" fontId="1" fillId="0" borderId="67" xfId="0" applyNumberFormat="1" applyFont="1" applyBorder="1" applyAlignment="1">
      <alignment horizontal="center"/>
    </xf>
    <xf numFmtId="9" fontId="1" fillId="0" borderId="70" xfId="0" applyNumberFormat="1" applyFont="1" applyBorder="1" applyAlignment="1">
      <alignment horizontal="center"/>
    </xf>
    <xf numFmtId="0" fontId="1" fillId="0" borderId="64" xfId="0" applyFont="1" applyBorder="1" applyAlignment="1">
      <alignment horizontal="left"/>
    </xf>
    <xf numFmtId="9" fontId="1" fillId="0" borderId="65" xfId="0" applyNumberFormat="1" applyFont="1" applyBorder="1" applyAlignment="1">
      <alignment horizontal="center"/>
    </xf>
    <xf numFmtId="3" fontId="1" fillId="11" borderId="54" xfId="0" applyNumberFormat="1" applyFont="1" applyFill="1" applyBorder="1"/>
    <xf numFmtId="3" fontId="1" fillId="0" borderId="56" xfId="0" applyNumberFormat="1" applyFont="1" applyBorder="1"/>
    <xf numFmtId="3" fontId="1" fillId="0" borderId="128" xfId="0" applyNumberFormat="1" applyFont="1" applyBorder="1"/>
    <xf numFmtId="0" fontId="1" fillId="0" borderId="28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9" fontId="1" fillId="0" borderId="30" xfId="0" applyNumberFormat="1" applyFont="1" applyBorder="1" applyAlignment="1">
      <alignment horizontal="center"/>
    </xf>
    <xf numFmtId="0" fontId="10" fillId="9" borderId="76" xfId="0" applyFont="1" applyFill="1" applyBorder="1" applyAlignment="1">
      <alignment horizontal="right"/>
    </xf>
    <xf numFmtId="3" fontId="10" fillId="9" borderId="0" xfId="0" applyNumberFormat="1" applyFont="1" applyFill="1" applyAlignment="1">
      <alignment horizontal="righ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24" borderId="0" xfId="0" applyFont="1" applyFill="1"/>
    <xf numFmtId="0" fontId="10" fillId="3" borderId="0" xfId="0" applyFont="1" applyFill="1" applyAlignment="1">
      <alignment horizontal="left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9" fontId="1" fillId="0" borderId="85" xfId="0" applyNumberFormat="1" applyFont="1" applyBorder="1" applyAlignment="1">
      <alignment horizontal="center"/>
    </xf>
    <xf numFmtId="0" fontId="1" fillId="0" borderId="111" xfId="0" applyFont="1" applyBorder="1" applyAlignment="1">
      <alignment horizontal="center"/>
    </xf>
    <xf numFmtId="0" fontId="1" fillId="0" borderId="85" xfId="0" applyFont="1" applyBorder="1" applyAlignment="1">
      <alignment horizontal="left"/>
    </xf>
    <xf numFmtId="0" fontId="1" fillId="0" borderId="111" xfId="0" applyFont="1" applyBorder="1"/>
    <xf numFmtId="3" fontId="1" fillId="0" borderId="129" xfId="0" applyNumberFormat="1" applyFont="1" applyBorder="1"/>
    <xf numFmtId="9" fontId="1" fillId="0" borderId="83" xfId="0" applyNumberFormat="1" applyFont="1" applyBorder="1" applyAlignment="1">
      <alignment horizontal="center"/>
    </xf>
    <xf numFmtId="3" fontId="1" fillId="0" borderId="111" xfId="0" applyNumberFormat="1" applyFont="1" applyBorder="1"/>
    <xf numFmtId="3" fontId="1" fillId="11" borderId="81" xfId="0" applyNumberFormat="1" applyFont="1" applyFill="1" applyBorder="1"/>
    <xf numFmtId="3" fontId="1" fillId="29" borderId="129" xfId="0" applyNumberFormat="1" applyFont="1" applyFill="1" applyBorder="1"/>
    <xf numFmtId="3" fontId="1" fillId="29" borderId="80" xfId="0" applyNumberFormat="1" applyFont="1" applyFill="1" applyBorder="1"/>
    <xf numFmtId="9" fontId="1" fillId="29" borderId="83" xfId="0" applyNumberFormat="1" applyFont="1" applyFill="1" applyBorder="1" applyAlignment="1">
      <alignment horizontal="center"/>
    </xf>
    <xf numFmtId="3" fontId="1" fillId="0" borderId="130" xfId="0" applyNumberFormat="1" applyFont="1" applyBorder="1"/>
    <xf numFmtId="3" fontId="1" fillId="0" borderId="131" xfId="0" applyNumberFormat="1" applyFont="1" applyBorder="1"/>
    <xf numFmtId="0" fontId="1" fillId="0" borderId="50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9" fontId="1" fillId="0" borderId="49" xfId="0" applyNumberFormat="1" applyFont="1" applyBorder="1" applyAlignment="1">
      <alignment horizontal="center"/>
    </xf>
    <xf numFmtId="0" fontId="1" fillId="0" borderId="49" xfId="0" applyFont="1" applyBorder="1" applyAlignment="1">
      <alignment horizontal="left"/>
    </xf>
    <xf numFmtId="0" fontId="15" fillId="0" borderId="49" xfId="0" applyFont="1" applyBorder="1" applyAlignment="1">
      <alignment horizontal="left" vertical="top"/>
    </xf>
    <xf numFmtId="0" fontId="1" fillId="0" borderId="34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" fillId="0" borderId="6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9" fontId="1" fillId="0" borderId="62" xfId="0" applyNumberFormat="1" applyFont="1" applyBorder="1" applyAlignment="1">
      <alignment horizontal="center"/>
    </xf>
    <xf numFmtId="0" fontId="1" fillId="0" borderId="132" xfId="0" applyFont="1" applyBorder="1" applyAlignment="1">
      <alignment horizontal="center"/>
    </xf>
    <xf numFmtId="9" fontId="1" fillId="0" borderId="133" xfId="0" applyNumberFormat="1" applyFont="1" applyBorder="1" applyAlignment="1">
      <alignment horizontal="center"/>
    </xf>
    <xf numFmtId="9" fontId="1" fillId="0" borderId="134" xfId="0" applyNumberFormat="1" applyFont="1" applyBorder="1" applyAlignment="1">
      <alignment horizontal="center"/>
    </xf>
    <xf numFmtId="0" fontId="1" fillId="0" borderId="62" xfId="0" applyFont="1" applyBorder="1" applyAlignment="1">
      <alignment horizontal="left"/>
    </xf>
    <xf numFmtId="0" fontId="1" fillId="0" borderId="135" xfId="0" applyFont="1" applyBorder="1"/>
    <xf numFmtId="3" fontId="1" fillId="0" borderId="61" xfId="0" applyNumberFormat="1" applyFont="1" applyBorder="1"/>
    <xf numFmtId="3" fontId="1" fillId="0" borderId="133" xfId="0" applyNumberFormat="1" applyFont="1" applyBorder="1"/>
    <xf numFmtId="3" fontId="1" fillId="0" borderId="135" xfId="0" applyNumberFormat="1" applyFont="1" applyBorder="1"/>
    <xf numFmtId="3" fontId="1" fillId="25" borderId="61" xfId="0" applyNumberFormat="1" applyFont="1" applyFill="1" applyBorder="1"/>
    <xf numFmtId="3" fontId="1" fillId="25" borderId="86" xfId="0" applyNumberFormat="1" applyFont="1" applyFill="1" applyBorder="1"/>
    <xf numFmtId="3" fontId="1" fillId="11" borderId="86" xfId="0" applyNumberFormat="1" applyFont="1" applyFill="1" applyBorder="1"/>
    <xf numFmtId="9" fontId="1" fillId="0" borderId="136" xfId="0" applyNumberFormat="1" applyFont="1" applyBorder="1" applyAlignment="1">
      <alignment horizontal="center"/>
    </xf>
    <xf numFmtId="3" fontId="1" fillId="29" borderId="61" xfId="0" applyNumberFormat="1" applyFont="1" applyFill="1" applyBorder="1"/>
    <xf numFmtId="3" fontId="1" fillId="29" borderId="114" xfId="0" applyNumberFormat="1" applyFont="1" applyFill="1" applyBorder="1"/>
    <xf numFmtId="3" fontId="1" fillId="29" borderId="133" xfId="0" applyNumberFormat="1" applyFont="1" applyFill="1" applyBorder="1"/>
    <xf numFmtId="9" fontId="1" fillId="29" borderId="137" xfId="0" applyNumberFormat="1" applyFont="1" applyFill="1" applyBorder="1" applyAlignment="1">
      <alignment horizontal="center"/>
    </xf>
    <xf numFmtId="3" fontId="1" fillId="0" borderId="138" xfId="0" applyNumberFormat="1" applyFont="1" applyBorder="1"/>
    <xf numFmtId="3" fontId="1" fillId="0" borderId="139" xfId="0" applyNumberFormat="1" applyFont="1" applyBorder="1"/>
    <xf numFmtId="0" fontId="1" fillId="0" borderId="44" xfId="0" applyFont="1" applyBorder="1"/>
    <xf numFmtId="0" fontId="1" fillId="30" borderId="98" xfId="0" applyFont="1" applyFill="1" applyBorder="1" applyAlignment="1">
      <alignment horizontal="center"/>
    </xf>
    <xf numFmtId="0" fontId="1" fillId="0" borderId="101" xfId="0" applyFont="1" applyBorder="1" applyAlignment="1">
      <alignment horizontal="center"/>
    </xf>
    <xf numFmtId="0" fontId="1" fillId="0" borderId="104" xfId="0" applyFont="1" applyBorder="1" applyAlignment="1">
      <alignment horizontal="center"/>
    </xf>
    <xf numFmtId="0" fontId="10" fillId="16" borderId="12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9" fontId="10" fillId="10" borderId="14" xfId="0" applyNumberFormat="1" applyFont="1" applyFill="1" applyBorder="1" applyAlignment="1">
      <alignment horizontal="center" vertical="center"/>
    </xf>
    <xf numFmtId="3" fontId="10" fillId="17" borderId="22" xfId="0" applyNumberFormat="1" applyFont="1" applyFill="1" applyBorder="1" applyAlignment="1">
      <alignment horizontal="center" vertical="center"/>
    </xf>
    <xf numFmtId="0" fontId="10" fillId="17" borderId="13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9" fontId="11" fillId="0" borderId="13" xfId="0" applyNumberFormat="1" applyFont="1" applyBorder="1" applyAlignment="1">
      <alignment horizontal="center" vertical="center" wrapText="1"/>
    </xf>
    <xf numFmtId="164" fontId="10" fillId="16" borderId="13" xfId="0" applyNumberFormat="1" applyFont="1" applyFill="1" applyBorder="1" applyAlignment="1">
      <alignment horizontal="center" vertical="center"/>
    </xf>
    <xf numFmtId="0" fontId="10" fillId="18" borderId="14" xfId="0" applyFont="1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 wrapText="1"/>
    </xf>
    <xf numFmtId="0" fontId="10" fillId="18" borderId="14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3" fontId="12" fillId="32" borderId="13" xfId="0" applyNumberFormat="1" applyFont="1" applyFill="1" applyBorder="1" applyAlignment="1">
      <alignment horizontal="center" vertical="center" wrapText="1"/>
    </xf>
    <xf numFmtId="3" fontId="12" fillId="3" borderId="140" xfId="0" applyNumberFormat="1" applyFont="1" applyFill="1" applyBorder="1" applyAlignment="1">
      <alignment horizontal="center" vertical="center" wrapText="1"/>
    </xf>
    <xf numFmtId="164" fontId="10" fillId="16" borderId="141" xfId="0" applyNumberFormat="1" applyFont="1" applyFill="1" applyBorder="1" applyAlignment="1">
      <alignment horizontal="center" vertical="center"/>
    </xf>
    <xf numFmtId="164" fontId="10" fillId="16" borderId="11" xfId="0" applyNumberFormat="1" applyFont="1" applyFill="1" applyBorder="1" applyAlignment="1">
      <alignment horizontal="center" vertical="center"/>
    </xf>
    <xf numFmtId="3" fontId="16" fillId="3" borderId="26" xfId="0" applyNumberFormat="1" applyFont="1" applyFill="1" applyBorder="1" applyAlignment="1">
      <alignment horizontal="center" vertical="center" wrapText="1"/>
    </xf>
    <xf numFmtId="164" fontId="10" fillId="16" borderId="142" xfId="0" applyNumberFormat="1" applyFont="1" applyFill="1" applyBorder="1" applyAlignment="1">
      <alignment horizontal="center" vertical="center"/>
    </xf>
    <xf numFmtId="164" fontId="10" fillId="16" borderId="109" xfId="0" applyNumberFormat="1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76" xfId="0" applyFont="1" applyFill="1" applyBorder="1" applyAlignment="1">
      <alignment horizontal="center" vertical="center"/>
    </xf>
    <xf numFmtId="0" fontId="10" fillId="9" borderId="143" xfId="0" applyFont="1" applyFill="1" applyBorder="1" applyAlignment="1">
      <alignment horizontal="center" vertical="center"/>
    </xf>
    <xf numFmtId="0" fontId="10" fillId="9" borderId="144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9" fontId="1" fillId="0" borderId="34" xfId="0" applyNumberFormat="1" applyFont="1" applyBorder="1" applyAlignment="1">
      <alignment horizontal="center" vertical="center"/>
    </xf>
    <xf numFmtId="9" fontId="1" fillId="0" borderId="35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9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/>
    <xf numFmtId="3" fontId="1" fillId="0" borderId="34" xfId="0" applyNumberFormat="1" applyFont="1" applyBorder="1" applyAlignment="1">
      <alignment horizontal="right"/>
    </xf>
    <xf numFmtId="3" fontId="1" fillId="11" borderId="35" xfId="0" applyNumberFormat="1" applyFont="1" applyFill="1" applyBorder="1"/>
    <xf numFmtId="3" fontId="1" fillId="0" borderId="39" xfId="0" applyNumberFormat="1" applyFont="1" applyBorder="1" applyAlignment="1">
      <alignment horizontal="right"/>
    </xf>
    <xf numFmtId="9" fontId="12" fillId="3" borderId="80" xfId="0" applyNumberFormat="1" applyFont="1" applyFill="1" applyBorder="1" applyAlignment="1">
      <alignment horizontal="center"/>
    </xf>
    <xf numFmtId="3" fontId="12" fillId="0" borderId="81" xfId="0" applyNumberFormat="1" applyFont="1" applyBorder="1" applyAlignment="1">
      <alignment horizontal="center"/>
    </xf>
    <xf numFmtId="3" fontId="9" fillId="0" borderId="81" xfId="0" applyNumberFormat="1" applyFont="1" applyBorder="1" applyAlignment="1">
      <alignment horizontal="center"/>
    </xf>
    <xf numFmtId="3" fontId="9" fillId="0" borderId="82" xfId="0" applyNumberFormat="1" applyFont="1" applyBorder="1" applyAlignment="1">
      <alignment horizontal="center"/>
    </xf>
    <xf numFmtId="3" fontId="9" fillId="0" borderId="40" xfId="0" applyNumberFormat="1" applyFont="1" applyBorder="1" applyAlignment="1">
      <alignment horizontal="center"/>
    </xf>
    <xf numFmtId="3" fontId="9" fillId="0" borderId="84" xfId="0" applyNumberFormat="1" applyFont="1" applyBorder="1" applyAlignment="1">
      <alignment horizontal="center"/>
    </xf>
    <xf numFmtId="3" fontId="9" fillId="0" borderId="111" xfId="0" applyNumberFormat="1" applyFont="1" applyBorder="1" applyAlignment="1">
      <alignment horizontal="center"/>
    </xf>
    <xf numFmtId="3" fontId="9" fillId="0" borderId="46" xfId="0" applyNumberFormat="1" applyFont="1" applyBorder="1" applyAlignment="1">
      <alignment horizontal="center"/>
    </xf>
    <xf numFmtId="9" fontId="1" fillId="0" borderId="48" xfId="0" applyNumberFormat="1" applyFont="1" applyBorder="1" applyAlignment="1">
      <alignment horizontal="center" vertical="center"/>
    </xf>
    <xf numFmtId="3" fontId="1" fillId="0" borderId="47" xfId="0" applyNumberFormat="1" applyFont="1" applyBorder="1" applyAlignment="1">
      <alignment horizontal="right"/>
    </xf>
    <xf numFmtId="3" fontId="1" fillId="0" borderId="36" xfId="0" applyNumberFormat="1" applyFont="1" applyBorder="1" applyAlignment="1">
      <alignment horizontal="right"/>
    </xf>
    <xf numFmtId="3" fontId="9" fillId="0" borderId="27" xfId="0" applyNumberFormat="1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3" fontId="9" fillId="0" borderId="52" xfId="0" applyNumberFormat="1" applyFont="1" applyBorder="1" applyAlignment="1">
      <alignment horizontal="center"/>
    </xf>
    <xf numFmtId="3" fontId="10" fillId="0" borderId="47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3" xfId="0" applyNumberFormat="1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3" fontId="10" fillId="0" borderId="86" xfId="0" applyNumberFormat="1" applyFont="1" applyBorder="1" applyAlignment="1">
      <alignment horizontal="center"/>
    </xf>
    <xf numFmtId="3" fontId="1" fillId="0" borderId="86" xfId="0" applyNumberFormat="1" applyFont="1" applyBorder="1" applyAlignment="1">
      <alignment horizontal="center"/>
    </xf>
    <xf numFmtId="3" fontId="1" fillId="0" borderId="87" xfId="0" applyNumberFormat="1" applyFont="1" applyBorder="1" applyAlignment="1">
      <alignment horizontal="center"/>
    </xf>
    <xf numFmtId="3" fontId="1" fillId="0" borderId="64" xfId="0" applyNumberFormat="1" applyFont="1" applyBorder="1" applyAlignment="1">
      <alignment horizontal="center"/>
    </xf>
    <xf numFmtId="3" fontId="1" fillId="0" borderId="89" xfId="0" applyNumberFormat="1" applyFont="1" applyBorder="1" applyAlignment="1">
      <alignment horizontal="center"/>
    </xf>
    <xf numFmtId="3" fontId="1" fillId="0" borderId="135" xfId="0" applyNumberFormat="1" applyFont="1" applyBorder="1" applyAlignment="1">
      <alignment horizontal="center"/>
    </xf>
    <xf numFmtId="3" fontId="10" fillId="9" borderId="76" xfId="0" applyNumberFormat="1" applyFont="1" applyFill="1" applyBorder="1" applyAlignment="1">
      <alignment horizontal="center"/>
    </xf>
    <xf numFmtId="3" fontId="10" fillId="9" borderId="29" xfId="0" applyNumberFormat="1" applyFont="1" applyFill="1" applyBorder="1" applyAlignment="1">
      <alignment horizontal="center"/>
    </xf>
    <xf numFmtId="9" fontId="1" fillId="21" borderId="47" xfId="0" applyNumberFormat="1" applyFont="1" applyFill="1" applyBorder="1" applyAlignment="1">
      <alignment horizontal="center" vertical="center"/>
    </xf>
    <xf numFmtId="9" fontId="1" fillId="21" borderId="48" xfId="0" applyNumberFormat="1" applyFont="1" applyFill="1" applyBorder="1" applyAlignment="1">
      <alignment horizontal="center" vertical="center"/>
    </xf>
    <xf numFmtId="0" fontId="1" fillId="21" borderId="49" xfId="0" applyFont="1" applyFill="1" applyBorder="1"/>
    <xf numFmtId="0" fontId="1" fillId="15" borderId="49" xfId="0" applyFont="1" applyFill="1" applyBorder="1"/>
    <xf numFmtId="3" fontId="1" fillId="20" borderId="36" xfId="0" applyNumberFormat="1" applyFont="1" applyFill="1" applyBorder="1"/>
    <xf numFmtId="3" fontId="1" fillId="20" borderId="47" xfId="0" applyNumberFormat="1" applyFont="1" applyFill="1" applyBorder="1"/>
    <xf numFmtId="3" fontId="1" fillId="20" borderId="33" xfId="0" applyNumberFormat="1" applyFont="1" applyFill="1" applyBorder="1"/>
    <xf numFmtId="3" fontId="1" fillId="20" borderId="34" xfId="0" applyNumberFormat="1" applyFont="1" applyFill="1" applyBorder="1"/>
    <xf numFmtId="3" fontId="1" fillId="20" borderId="39" xfId="0" applyNumberFormat="1" applyFont="1" applyFill="1" applyBorder="1"/>
    <xf numFmtId="0" fontId="1" fillId="0" borderId="73" xfId="0" applyFont="1" applyBorder="1"/>
    <xf numFmtId="9" fontId="1" fillId="0" borderId="54" xfId="0" applyNumberFormat="1" applyFont="1" applyBorder="1" applyAlignment="1">
      <alignment horizontal="center" vertical="center"/>
    </xf>
    <xf numFmtId="9" fontId="1" fillId="0" borderId="55" xfId="0" applyNumberFormat="1" applyFont="1" applyBorder="1" applyAlignment="1">
      <alignment horizontal="center" vertical="center"/>
    </xf>
    <xf numFmtId="3" fontId="1" fillId="0" borderId="145" xfId="0" applyNumberFormat="1" applyFont="1" applyBorder="1" applyAlignment="1">
      <alignment horizontal="center" vertical="center"/>
    </xf>
    <xf numFmtId="9" fontId="1" fillId="0" borderId="73" xfId="0" applyNumberFormat="1" applyFont="1" applyBorder="1" applyAlignment="1">
      <alignment horizontal="center" vertical="center"/>
    </xf>
    <xf numFmtId="9" fontId="1" fillId="0" borderId="67" xfId="0" applyNumberFormat="1" applyFont="1" applyBorder="1" applyAlignment="1">
      <alignment horizontal="center" vertical="center"/>
    </xf>
    <xf numFmtId="9" fontId="1" fillId="0" borderId="115" xfId="0" applyNumberFormat="1" applyFont="1" applyBorder="1" applyAlignment="1">
      <alignment horizontal="center" vertical="center"/>
    </xf>
    <xf numFmtId="0" fontId="1" fillId="10" borderId="56" xfId="0" applyFont="1" applyFill="1" applyBorder="1"/>
    <xf numFmtId="3" fontId="1" fillId="0" borderId="54" xfId="0" applyNumberFormat="1" applyFont="1" applyBorder="1" applyAlignment="1">
      <alignment horizontal="right"/>
    </xf>
    <xf numFmtId="3" fontId="1" fillId="0" borderId="65" xfId="0" applyNumberFormat="1" applyFont="1" applyBorder="1" applyAlignment="1">
      <alignment horizontal="right"/>
    </xf>
    <xf numFmtId="3" fontId="1" fillId="0" borderId="53" xfId="0" applyNumberFormat="1" applyFont="1" applyBorder="1"/>
    <xf numFmtId="3" fontId="1" fillId="0" borderId="115" xfId="0" applyNumberFormat="1" applyFont="1" applyBorder="1"/>
    <xf numFmtId="0" fontId="10" fillId="0" borderId="11" xfId="0" applyFont="1" applyBorder="1"/>
    <xf numFmtId="0" fontId="10" fillId="9" borderId="25" xfId="0" applyFont="1" applyFill="1" applyBorder="1" applyAlignment="1">
      <alignment horizontal="right"/>
    </xf>
    <xf numFmtId="0" fontId="10" fillId="9" borderId="31" xfId="0" applyFont="1" applyFill="1" applyBorder="1" applyAlignment="1">
      <alignment horizontal="right"/>
    </xf>
    <xf numFmtId="3" fontId="10" fillId="9" borderId="11" xfId="0" applyNumberFormat="1" applyFont="1" applyFill="1" applyBorder="1" applyAlignment="1">
      <alignment horizontal="right"/>
    </xf>
    <xf numFmtId="0" fontId="10" fillId="9" borderId="26" xfId="0" applyFont="1" applyFill="1" applyBorder="1" applyAlignment="1">
      <alignment horizontal="right"/>
    </xf>
    <xf numFmtId="0" fontId="10" fillId="9" borderId="76" xfId="0" applyFont="1" applyFill="1" applyBorder="1"/>
    <xf numFmtId="3" fontId="10" fillId="9" borderId="25" xfId="0" applyNumberFormat="1" applyFont="1" applyFill="1" applyBorder="1"/>
    <xf numFmtId="0" fontId="10" fillId="9" borderId="25" xfId="0" applyFont="1" applyFill="1" applyBorder="1"/>
    <xf numFmtId="3" fontId="10" fillId="9" borderId="31" xfId="0" applyNumberFormat="1" applyFont="1" applyFill="1" applyBorder="1"/>
    <xf numFmtId="3" fontId="10" fillId="9" borderId="26" xfId="0" applyNumberFormat="1" applyFont="1" applyFill="1" applyBorder="1"/>
    <xf numFmtId="9" fontId="10" fillId="0" borderId="26" xfId="0" applyNumberFormat="1" applyFont="1" applyBorder="1" applyAlignment="1">
      <alignment horizontal="center"/>
    </xf>
    <xf numFmtId="0" fontId="10" fillId="9" borderId="24" xfId="0" applyFont="1" applyFill="1" applyBorder="1"/>
    <xf numFmtId="3" fontId="10" fillId="0" borderId="146" xfId="0" applyNumberFormat="1" applyFont="1" applyBorder="1"/>
    <xf numFmtId="3" fontId="10" fillId="0" borderId="25" xfId="0" applyNumberFormat="1" applyFont="1" applyBorder="1"/>
    <xf numFmtId="3" fontId="10" fillId="0" borderId="31" xfId="0" applyNumberFormat="1" applyFont="1" applyBorder="1"/>
    <xf numFmtId="3" fontId="10" fillId="9" borderId="146" xfId="0" applyNumberFormat="1" applyFont="1" applyFill="1" applyBorder="1"/>
    <xf numFmtId="3" fontId="10" fillId="9" borderId="110" xfId="0" applyNumberFormat="1" applyFont="1" applyFill="1" applyBorder="1"/>
    <xf numFmtId="3" fontId="10" fillId="0" borderId="29" xfId="0" applyNumberFormat="1" applyFont="1" applyBorder="1"/>
    <xf numFmtId="0" fontId="1" fillId="28" borderId="0" xfId="0" applyFont="1" applyFill="1" applyAlignment="1">
      <alignment horizontal="center"/>
    </xf>
    <xf numFmtId="0" fontId="1" fillId="0" borderId="129" xfId="0" applyFont="1" applyBorder="1"/>
    <xf numFmtId="9" fontId="1" fillId="0" borderId="81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0" fontId="1" fillId="5" borderId="83" xfId="0" applyFont="1" applyFill="1" applyBorder="1"/>
    <xf numFmtId="3" fontId="1" fillId="0" borderId="81" xfId="0" applyNumberFormat="1" applyFont="1" applyBorder="1" applyAlignment="1">
      <alignment horizontal="right"/>
    </xf>
    <xf numFmtId="0" fontId="1" fillId="0" borderId="144" xfId="0" applyFont="1" applyBorder="1"/>
    <xf numFmtId="3" fontId="1" fillId="0" borderId="144" xfId="0" applyNumberFormat="1" applyFont="1" applyBorder="1"/>
    <xf numFmtId="0" fontId="10" fillId="0" borderId="81" xfId="0" applyFont="1" applyBorder="1"/>
    <xf numFmtId="0" fontId="10" fillId="0" borderId="144" xfId="0" applyFont="1" applyBorder="1"/>
    <xf numFmtId="0" fontId="10" fillId="0" borderId="81" xfId="0" applyFont="1" applyBorder="1" applyAlignment="1">
      <alignment horizontal="right"/>
    </xf>
    <xf numFmtId="3" fontId="10" fillId="0" borderId="81" xfId="0" applyNumberFormat="1" applyFont="1" applyBorder="1" applyAlignment="1">
      <alignment horizontal="right"/>
    </xf>
    <xf numFmtId="3" fontId="1" fillId="0" borderId="84" xfId="0" applyNumberFormat="1" applyFont="1" applyBorder="1" applyAlignment="1">
      <alignment horizontal="right"/>
    </xf>
    <xf numFmtId="3" fontId="1" fillId="0" borderId="85" xfId="0" applyNumberFormat="1" applyFont="1" applyBorder="1" applyAlignment="1">
      <alignment horizontal="right"/>
    </xf>
    <xf numFmtId="9" fontId="1" fillId="0" borderId="50" xfId="0" applyNumberFormat="1" applyFont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20" borderId="36" xfId="0" applyFont="1" applyFill="1" applyBorder="1"/>
    <xf numFmtId="0" fontId="10" fillId="0" borderId="47" xfId="0" applyFont="1" applyBorder="1"/>
    <xf numFmtId="0" fontId="10" fillId="0" borderId="38" xfId="0" applyFont="1" applyBorder="1"/>
    <xf numFmtId="0" fontId="10" fillId="0" borderId="47" xfId="0" applyFont="1" applyBorder="1" applyAlignment="1">
      <alignment horizontal="right"/>
    </xf>
    <xf numFmtId="3" fontId="10" fillId="0" borderId="47" xfId="0" applyNumberFormat="1" applyFont="1" applyBorder="1" applyAlignment="1">
      <alignment horizontal="right"/>
    </xf>
    <xf numFmtId="3" fontId="1" fillId="0" borderId="40" xfId="0" applyNumberFormat="1" applyFont="1" applyBorder="1" applyAlignment="1">
      <alignment horizontal="right"/>
    </xf>
    <xf numFmtId="3" fontId="1" fillId="0" borderId="37" xfId="0" applyNumberFormat="1" applyFont="1" applyBorder="1" applyAlignment="1">
      <alignment horizontal="right"/>
    </xf>
    <xf numFmtId="0" fontId="1" fillId="5" borderId="36" xfId="0" applyFont="1" applyFill="1" applyBorder="1"/>
    <xf numFmtId="0" fontId="10" fillId="0" borderId="23" xfId="0" applyFont="1" applyBorder="1"/>
    <xf numFmtId="3" fontId="1" fillId="0" borderId="47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right"/>
    </xf>
    <xf numFmtId="0" fontId="1" fillId="0" borderId="147" xfId="0" applyFont="1" applyBorder="1"/>
    <xf numFmtId="9" fontId="1" fillId="0" borderId="86" xfId="0" applyNumberFormat="1" applyFont="1" applyBorder="1" applyAlignment="1">
      <alignment horizontal="center" vertical="center"/>
    </xf>
    <xf numFmtId="3" fontId="1" fillId="0" borderId="86" xfId="0" applyNumberFormat="1" applyFont="1" applyBorder="1" applyAlignment="1">
      <alignment horizontal="center" vertical="center"/>
    </xf>
    <xf numFmtId="0" fontId="1" fillId="0" borderId="88" xfId="0" applyFont="1" applyBorder="1"/>
    <xf numFmtId="3" fontId="1" fillId="0" borderId="86" xfId="0" applyNumberFormat="1" applyFont="1" applyBorder="1" applyAlignment="1">
      <alignment horizontal="right"/>
    </xf>
    <xf numFmtId="0" fontId="1" fillId="0" borderId="132" xfId="0" applyFont="1" applyBorder="1"/>
    <xf numFmtId="0" fontId="1" fillId="0" borderId="86" xfId="0" applyFont="1" applyBorder="1" applyAlignment="1">
      <alignment horizontal="right"/>
    </xf>
    <xf numFmtId="3" fontId="1" fillId="0" borderId="148" xfId="0" applyNumberFormat="1" applyFont="1" applyBorder="1" applyAlignment="1">
      <alignment horizontal="right"/>
    </xf>
    <xf numFmtId="3" fontId="1" fillId="0" borderId="134" xfId="0" applyNumberFormat="1" applyFont="1" applyBorder="1" applyAlignment="1">
      <alignment horizontal="right"/>
    </xf>
    <xf numFmtId="0" fontId="1" fillId="18" borderId="0" xfId="0" applyFont="1" applyFill="1"/>
    <xf numFmtId="3" fontId="1" fillId="7" borderId="91" xfId="0" applyNumberFormat="1" applyFont="1" applyFill="1" applyBorder="1" applyAlignment="1">
      <alignment horizontal="right"/>
    </xf>
    <xf numFmtId="3" fontId="15" fillId="0" borderId="0" xfId="0" applyNumberFormat="1" applyFont="1" applyAlignment="1">
      <alignment horizontal="right" vertical="top"/>
    </xf>
    <xf numFmtId="3" fontId="1" fillId="0" borderId="96" xfId="0" applyNumberFormat="1" applyFont="1" applyBorder="1"/>
    <xf numFmtId="3" fontId="1" fillId="30" borderId="99" xfId="0" applyNumberFormat="1" applyFont="1" applyFill="1" applyBorder="1" applyAlignment="1">
      <alignment horizontal="right"/>
    </xf>
    <xf numFmtId="3" fontId="15" fillId="0" borderId="0" xfId="0" applyNumberFormat="1" applyFont="1" applyAlignment="1">
      <alignment vertical="top"/>
    </xf>
    <xf numFmtId="3" fontId="1" fillId="0" borderId="105" xfId="0" applyNumberFormat="1" applyFont="1" applyBorder="1"/>
    <xf numFmtId="0" fontId="10" fillId="16" borderId="48" xfId="0" applyFont="1" applyFill="1" applyBorder="1" applyAlignment="1">
      <alignment horizontal="center" vertical="center"/>
    </xf>
    <xf numFmtId="3" fontId="10" fillId="17" borderId="116" xfId="0" applyNumberFormat="1" applyFont="1" applyFill="1" applyBorder="1" applyAlignment="1">
      <alignment horizontal="center" vertical="center"/>
    </xf>
    <xf numFmtId="9" fontId="10" fillId="17" borderId="149" xfId="0" applyNumberFormat="1" applyFont="1" applyFill="1" applyBorder="1" applyAlignment="1">
      <alignment horizontal="center" vertical="center"/>
    </xf>
    <xf numFmtId="9" fontId="10" fillId="17" borderId="31" xfId="0" applyNumberFormat="1" applyFont="1" applyFill="1" applyBorder="1" applyAlignment="1">
      <alignment horizontal="center" vertical="center"/>
    </xf>
    <xf numFmtId="9" fontId="10" fillId="17" borderId="26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9" fontId="10" fillId="3" borderId="86" xfId="0" applyNumberFormat="1" applyFont="1" applyFill="1" applyBorder="1" applyAlignment="1">
      <alignment horizontal="center" vertical="center"/>
    </xf>
    <xf numFmtId="9" fontId="10" fillId="3" borderId="87" xfId="0" applyNumberFormat="1" applyFont="1" applyFill="1" applyBorder="1" applyAlignment="1">
      <alignment horizontal="center" vertical="center"/>
    </xf>
    <xf numFmtId="0" fontId="10" fillId="16" borderId="28" xfId="0" applyFont="1" applyFill="1" applyBorder="1" applyAlignment="1">
      <alignment horizontal="center" vertical="center"/>
    </xf>
    <xf numFmtId="3" fontId="12" fillId="3" borderId="30" xfId="0" applyNumberFormat="1" applyFont="1" applyFill="1" applyBorder="1" applyAlignment="1">
      <alignment horizontal="center" vertical="center" wrapText="1"/>
    </xf>
    <xf numFmtId="0" fontId="10" fillId="18" borderId="31" xfId="0" applyFont="1" applyFill="1" applyBorder="1" applyAlignment="1">
      <alignment horizontal="center" vertical="center"/>
    </xf>
    <xf numFmtId="0" fontId="10" fillId="18" borderId="24" xfId="0" applyFont="1" applyFill="1" applyBorder="1" applyAlignment="1">
      <alignment horizontal="center" vertical="center" wrapText="1"/>
    </xf>
    <xf numFmtId="3" fontId="12" fillId="3" borderId="76" xfId="0" applyNumberFormat="1" applyFont="1" applyFill="1" applyBorder="1" applyAlignment="1">
      <alignment horizontal="center" vertical="center" wrapText="1"/>
    </xf>
    <xf numFmtId="164" fontId="10" fillId="16" borderId="48" xfId="0" applyNumberFormat="1" applyFont="1" applyFill="1" applyBorder="1" applyAlignment="1">
      <alignment horizontal="center" vertical="center"/>
    </xf>
    <xf numFmtId="3" fontId="12" fillId="3" borderId="29" xfId="0" applyNumberFormat="1" applyFont="1" applyFill="1" applyBorder="1" applyAlignment="1">
      <alignment horizontal="center" vertical="center" wrapText="1"/>
    </xf>
    <xf numFmtId="3" fontId="17" fillId="3" borderId="30" xfId="0" applyNumberFormat="1" applyFont="1" applyFill="1" applyBorder="1" applyAlignment="1">
      <alignment horizontal="center" vertical="center" wrapText="1"/>
    </xf>
    <xf numFmtId="0" fontId="12" fillId="29" borderId="47" xfId="0" applyFont="1" applyFill="1" applyBorder="1" applyAlignment="1">
      <alignment horizontal="center" vertical="center" wrapText="1"/>
    </xf>
    <xf numFmtId="0" fontId="10" fillId="29" borderId="47" xfId="0" applyFont="1" applyFill="1" applyBorder="1" applyAlignment="1">
      <alignment horizontal="center" vertical="center"/>
    </xf>
    <xf numFmtId="0" fontId="10" fillId="29" borderId="48" xfId="0" applyFont="1" applyFill="1" applyBorder="1" applyAlignment="1">
      <alignment horizontal="center" vertical="center"/>
    </xf>
    <xf numFmtId="9" fontId="10" fillId="3" borderId="47" xfId="0" applyNumberFormat="1" applyFont="1" applyFill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10" borderId="46" xfId="0" applyFont="1" applyFill="1" applyBorder="1"/>
    <xf numFmtId="3" fontId="10" fillId="0" borderId="33" xfId="0" applyNumberFormat="1" applyFont="1" applyBorder="1"/>
    <xf numFmtId="3" fontId="10" fillId="0" borderId="40" xfId="0" applyNumberFormat="1" applyFont="1" applyBorder="1"/>
    <xf numFmtId="3" fontId="1" fillId="20" borderId="41" xfId="0" applyNumberFormat="1" applyFont="1" applyFill="1" applyBorder="1"/>
    <xf numFmtId="9" fontId="12" fillId="3" borderId="47" xfId="0" applyNumberFormat="1" applyFont="1" applyFill="1" applyBorder="1" applyAlignment="1">
      <alignment horizontal="center"/>
    </xf>
    <xf numFmtId="4" fontId="1" fillId="0" borderId="38" xfId="0" applyNumberFormat="1" applyFont="1" applyBorder="1"/>
    <xf numFmtId="3" fontId="1" fillId="20" borderId="44" xfId="0" applyNumberFormat="1" applyFont="1" applyFill="1" applyBorder="1"/>
    <xf numFmtId="4" fontId="1" fillId="0" borderId="23" xfId="0" applyNumberFormat="1" applyFont="1" applyBorder="1"/>
    <xf numFmtId="3" fontId="10" fillId="0" borderId="50" xfId="0" applyNumberFormat="1" applyFont="1" applyBorder="1"/>
    <xf numFmtId="9" fontId="12" fillId="5" borderId="47" xfId="0" applyNumberFormat="1" applyFont="1" applyFill="1" applyBorder="1" applyAlignment="1">
      <alignment horizontal="center"/>
    </xf>
    <xf numFmtId="9" fontId="12" fillId="23" borderId="47" xfId="0" applyNumberFormat="1" applyFont="1" applyFill="1" applyBorder="1" applyAlignment="1">
      <alignment horizontal="center"/>
    </xf>
    <xf numFmtId="3" fontId="1" fillId="11" borderId="44" xfId="0" applyNumberFormat="1" applyFont="1" applyFill="1" applyBorder="1"/>
    <xf numFmtId="9" fontId="12" fillId="7" borderId="47" xfId="0" applyNumberFormat="1" applyFont="1" applyFill="1" applyBorder="1" applyAlignment="1">
      <alignment horizontal="center"/>
    </xf>
    <xf numFmtId="0" fontId="1" fillId="24" borderId="52" xfId="0" applyFont="1" applyFill="1" applyBorder="1"/>
    <xf numFmtId="0" fontId="10" fillId="0" borderId="47" xfId="0" applyFont="1" applyBorder="1" applyAlignment="1">
      <alignment horizontal="center"/>
    </xf>
    <xf numFmtId="0" fontId="10" fillId="9" borderId="47" xfId="0" applyFont="1" applyFill="1" applyBorder="1" applyAlignment="1">
      <alignment horizontal="right"/>
    </xf>
    <xf numFmtId="3" fontId="10" fillId="9" borderId="47" xfId="0" applyNumberFormat="1" applyFont="1" applyFill="1" applyBorder="1" applyAlignment="1">
      <alignment horizontal="center"/>
    </xf>
    <xf numFmtId="3" fontId="10" fillId="9" borderId="48" xfId="0" applyNumberFormat="1" applyFont="1" applyFill="1" applyBorder="1" applyAlignment="1">
      <alignment horizontal="center"/>
    </xf>
    <xf numFmtId="3" fontId="12" fillId="9" borderId="47" xfId="0" applyNumberFormat="1" applyFont="1" applyFill="1" applyBorder="1" applyAlignment="1">
      <alignment horizontal="center"/>
    </xf>
    <xf numFmtId="3" fontId="12" fillId="9" borderId="48" xfId="0" applyNumberFormat="1" applyFont="1" applyFill="1" applyBorder="1" applyAlignment="1">
      <alignment horizontal="center"/>
    </xf>
    <xf numFmtId="0" fontId="1" fillId="18" borderId="52" xfId="0" applyFont="1" applyFill="1" applyBorder="1"/>
    <xf numFmtId="0" fontId="1" fillId="10" borderId="52" xfId="0" applyFont="1" applyFill="1" applyBorder="1"/>
    <xf numFmtId="3" fontId="1" fillId="12" borderId="48" xfId="0" applyNumberFormat="1" applyFont="1" applyFill="1" applyBorder="1"/>
    <xf numFmtId="0" fontId="9" fillId="15" borderId="50" xfId="0" applyFont="1" applyFill="1" applyBorder="1" applyAlignment="1">
      <alignment horizontal="center"/>
    </xf>
    <xf numFmtId="9" fontId="12" fillId="33" borderId="47" xfId="0" applyNumberFormat="1" applyFont="1" applyFill="1" applyBorder="1" applyAlignment="1">
      <alignment horizontal="center"/>
    </xf>
    <xf numFmtId="9" fontId="9" fillId="15" borderId="47" xfId="0" applyNumberFormat="1" applyFont="1" applyFill="1" applyBorder="1" applyAlignment="1">
      <alignment horizontal="center"/>
    </xf>
    <xf numFmtId="9" fontId="9" fillId="15" borderId="36" xfId="0" applyNumberFormat="1" applyFont="1" applyFill="1" applyBorder="1"/>
    <xf numFmtId="0" fontId="9" fillId="11" borderId="52" xfId="0" applyFont="1" applyFill="1" applyBorder="1"/>
    <xf numFmtId="0" fontId="9" fillId="15" borderId="23" xfId="0" applyFont="1" applyFill="1" applyBorder="1" applyAlignment="1">
      <alignment horizontal="right"/>
    </xf>
    <xf numFmtId="3" fontId="9" fillId="15" borderId="51" xfId="0" applyNumberFormat="1" applyFont="1" applyFill="1" applyBorder="1" applyAlignment="1">
      <alignment horizontal="right"/>
    </xf>
    <xf numFmtId="3" fontId="9" fillId="15" borderId="50" xfId="0" applyNumberFormat="1" applyFont="1" applyFill="1" applyBorder="1" applyAlignment="1">
      <alignment horizontal="right"/>
    </xf>
    <xf numFmtId="3" fontId="9" fillId="15" borderId="34" xfId="0" applyNumberFormat="1" applyFont="1" applyFill="1" applyBorder="1" applyAlignment="1">
      <alignment horizontal="right"/>
    </xf>
    <xf numFmtId="3" fontId="9" fillId="15" borderId="39" xfId="0" applyNumberFormat="1" applyFont="1" applyFill="1" applyBorder="1" applyAlignment="1">
      <alignment horizontal="right"/>
    </xf>
    <xf numFmtId="3" fontId="18" fillId="15" borderId="27" xfId="0" applyNumberFormat="1" applyFont="1" applyFill="1" applyBorder="1" applyAlignment="1">
      <alignment horizontal="right"/>
    </xf>
    <xf numFmtId="3" fontId="9" fillId="15" borderId="27" xfId="0" applyNumberFormat="1" applyFont="1" applyFill="1" applyBorder="1" applyAlignment="1">
      <alignment horizontal="right"/>
    </xf>
    <xf numFmtId="3" fontId="9" fillId="25" borderId="48" xfId="0" applyNumberFormat="1" applyFont="1" applyFill="1" applyBorder="1" applyAlignment="1">
      <alignment horizontal="right"/>
    </xf>
    <xf numFmtId="3" fontId="9" fillId="15" borderId="33" xfId="0" applyNumberFormat="1" applyFont="1" applyFill="1" applyBorder="1" applyAlignment="1">
      <alignment horizontal="right"/>
    </xf>
    <xf numFmtId="9" fontId="9" fillId="20" borderId="48" xfId="0" applyNumberFormat="1" applyFont="1" applyFill="1" applyBorder="1" applyAlignment="1">
      <alignment horizontal="center"/>
    </xf>
    <xf numFmtId="3" fontId="12" fillId="15" borderId="50" xfId="0" applyNumberFormat="1" applyFont="1" applyFill="1" applyBorder="1" applyAlignment="1">
      <alignment horizontal="right"/>
    </xf>
    <xf numFmtId="3" fontId="12" fillId="15" borderId="40" xfId="0" applyNumberFormat="1" applyFont="1" applyFill="1" applyBorder="1" applyAlignment="1">
      <alignment horizontal="right"/>
    </xf>
    <xf numFmtId="3" fontId="9" fillId="15" borderId="47" xfId="0" applyNumberFormat="1" applyFont="1" applyFill="1" applyBorder="1" applyAlignment="1">
      <alignment horizontal="right"/>
    </xf>
    <xf numFmtId="3" fontId="18" fillId="15" borderId="34" xfId="0" applyNumberFormat="1" applyFont="1" applyFill="1" applyBorder="1" applyAlignment="1">
      <alignment horizontal="right"/>
    </xf>
    <xf numFmtId="9" fontId="9" fillId="20" borderId="39" xfId="0" applyNumberFormat="1" applyFont="1" applyFill="1" applyBorder="1" applyAlignment="1">
      <alignment horizontal="center"/>
    </xf>
    <xf numFmtId="3" fontId="9" fillId="15" borderId="49" xfId="0" applyNumberFormat="1" applyFont="1" applyFill="1" applyBorder="1" applyAlignment="1">
      <alignment horizontal="right"/>
    </xf>
    <xf numFmtId="3" fontId="9" fillId="15" borderId="48" xfId="0" applyNumberFormat="1" applyFont="1" applyFill="1" applyBorder="1" applyAlignment="1">
      <alignment horizontal="right"/>
    </xf>
    <xf numFmtId="3" fontId="9" fillId="20" borderId="44" xfId="0" applyNumberFormat="1" applyFont="1" applyFill="1" applyBorder="1" applyAlignment="1">
      <alignment horizontal="right"/>
    </xf>
    <xf numFmtId="3" fontId="9" fillId="20" borderId="48" xfId="0" applyNumberFormat="1" applyFont="1" applyFill="1" applyBorder="1" applyAlignment="1">
      <alignment horizontal="right"/>
    </xf>
    <xf numFmtId="3" fontId="9" fillId="15" borderId="112" xfId="0" applyNumberFormat="1" applyFont="1" applyFill="1" applyBorder="1" applyAlignment="1">
      <alignment horizontal="right"/>
    </xf>
    <xf numFmtId="0" fontId="9" fillId="15" borderId="27" xfId="0" applyFont="1" applyFill="1" applyBorder="1" applyAlignment="1">
      <alignment horizontal="right"/>
    </xf>
    <xf numFmtId="3" fontId="9" fillId="20" borderId="49" xfId="0" applyNumberFormat="1" applyFont="1" applyFill="1" applyBorder="1" applyAlignment="1">
      <alignment horizontal="right"/>
    </xf>
    <xf numFmtId="0" fontId="9" fillId="0" borderId="27" xfId="0" applyFont="1" applyBorder="1" applyAlignment="1">
      <alignment horizontal="right"/>
    </xf>
    <xf numFmtId="0" fontId="9" fillId="0" borderId="48" xfId="0" applyFont="1" applyBorder="1" applyAlignment="1">
      <alignment horizontal="right"/>
    </xf>
    <xf numFmtId="0" fontId="9" fillId="18" borderId="52" xfId="0" applyFont="1" applyFill="1" applyBorder="1"/>
    <xf numFmtId="0" fontId="1" fillId="7" borderId="52" xfId="0" applyFont="1" applyFill="1" applyBorder="1"/>
    <xf numFmtId="0" fontId="1" fillId="0" borderId="59" xfId="0" applyFont="1" applyBorder="1"/>
    <xf numFmtId="4" fontId="1" fillId="0" borderId="71" xfId="0" applyNumberFormat="1" applyFont="1" applyBorder="1"/>
    <xf numFmtId="0" fontId="1" fillId="10" borderId="150" xfId="0" applyFont="1" applyFill="1" applyBorder="1"/>
    <xf numFmtId="3" fontId="1" fillId="34" borderId="48" xfId="0" applyNumberFormat="1" applyFont="1" applyFill="1" applyBorder="1"/>
    <xf numFmtId="0" fontId="1" fillId="28" borderId="52" xfId="0" applyFont="1" applyFill="1" applyBorder="1"/>
    <xf numFmtId="0" fontId="1" fillId="0" borderId="57" xfId="0" applyFont="1" applyBorder="1" applyAlignment="1">
      <alignment horizontal="center"/>
    </xf>
    <xf numFmtId="9" fontId="1" fillId="0" borderId="65" xfId="0" applyNumberFormat="1" applyFont="1" applyBorder="1" applyAlignment="1">
      <alignment horizontal="center" vertical="center"/>
    </xf>
    <xf numFmtId="9" fontId="1" fillId="0" borderId="88" xfId="0" applyNumberFormat="1" applyFont="1" applyBorder="1" applyAlignment="1">
      <alignment horizontal="center" vertical="center"/>
    </xf>
    <xf numFmtId="0" fontId="1" fillId="0" borderId="132" xfId="0" applyFont="1" applyBorder="1" applyAlignment="1">
      <alignment horizontal="center" vertical="center"/>
    </xf>
    <xf numFmtId="9" fontId="1" fillId="0" borderId="133" xfId="0" applyNumberFormat="1" applyFont="1" applyBorder="1" applyAlignment="1">
      <alignment horizontal="center" vertical="center"/>
    </xf>
    <xf numFmtId="9" fontId="1" fillId="0" borderId="136" xfId="0" applyNumberFormat="1" applyFont="1" applyBorder="1" applyAlignment="1">
      <alignment horizontal="center" vertical="center"/>
    </xf>
    <xf numFmtId="0" fontId="1" fillId="10" borderId="60" xfId="0" applyFont="1" applyFill="1" applyBorder="1"/>
    <xf numFmtId="3" fontId="10" fillId="0" borderId="69" xfId="0" applyNumberFormat="1" applyFont="1" applyBorder="1"/>
    <xf numFmtId="0" fontId="10" fillId="0" borderId="48" xfId="0" applyFont="1" applyBorder="1"/>
    <xf numFmtId="0" fontId="10" fillId="0" borderId="29" xfId="0" applyFont="1" applyBorder="1" applyAlignment="1">
      <alignment horizontal="right"/>
    </xf>
    <xf numFmtId="0" fontId="10" fillId="0" borderId="30" xfId="0" applyFont="1" applyBorder="1" applyAlignment="1">
      <alignment horizontal="right"/>
    </xf>
    <xf numFmtId="3" fontId="10" fillId="0" borderId="11" xfId="0" applyNumberFormat="1" applyFont="1" applyBorder="1" applyAlignment="1">
      <alignment horizontal="right"/>
    </xf>
    <xf numFmtId="0" fontId="10" fillId="0" borderId="132" xfId="0" applyFont="1" applyBorder="1" applyAlignment="1">
      <alignment horizontal="right"/>
    </xf>
    <xf numFmtId="0" fontId="10" fillId="0" borderId="134" xfId="0" applyFont="1" applyBorder="1" applyAlignment="1">
      <alignment horizontal="right"/>
    </xf>
    <xf numFmtId="0" fontId="10" fillId="0" borderId="31" xfId="0" applyFont="1" applyBorder="1"/>
    <xf numFmtId="3" fontId="10" fillId="0" borderId="11" xfId="0" applyNumberFormat="1" applyFont="1" applyBorder="1"/>
    <xf numFmtId="3" fontId="10" fillId="0" borderId="24" xfId="0" applyNumberFormat="1" applyFont="1" applyBorder="1"/>
    <xf numFmtId="3" fontId="10" fillId="0" borderId="151" xfId="0" applyNumberFormat="1" applyFont="1" applyBorder="1"/>
    <xf numFmtId="3" fontId="10" fillId="0" borderId="108" xfId="0" applyNumberFormat="1" applyFont="1" applyBorder="1"/>
    <xf numFmtId="3" fontId="10" fillId="0" borderId="149" xfId="0" applyNumberFormat="1" applyFont="1" applyBorder="1"/>
    <xf numFmtId="3" fontId="10" fillId="0" borderId="107" xfId="0" applyNumberFormat="1" applyFont="1" applyBorder="1"/>
    <xf numFmtId="3" fontId="10" fillId="0" borderId="152" xfId="0" applyNumberFormat="1" applyFont="1" applyBorder="1"/>
    <xf numFmtId="3" fontId="10" fillId="0" borderId="76" xfId="0" applyNumberFormat="1" applyFont="1" applyBorder="1"/>
    <xf numFmtId="3" fontId="10" fillId="0" borderId="28" xfId="0" applyNumberFormat="1" applyFont="1" applyBorder="1"/>
    <xf numFmtId="0" fontId="10" fillId="18" borderId="0" xfId="0" applyFont="1" applyFill="1"/>
    <xf numFmtId="0" fontId="1" fillId="10" borderId="0" xfId="0" applyFont="1" applyFill="1"/>
    <xf numFmtId="0" fontId="1" fillId="28" borderId="0" xfId="0" applyFont="1" applyFill="1"/>
    <xf numFmtId="0" fontId="1" fillId="10" borderId="47" xfId="0" applyFont="1" applyFill="1" applyBorder="1"/>
    <xf numFmtId="0" fontId="1" fillId="0" borderId="54" xfId="0" applyFont="1" applyBorder="1"/>
    <xf numFmtId="3" fontId="1" fillId="0" borderId="54" xfId="0" applyNumberFormat="1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9" fontId="10" fillId="10" borderId="31" xfId="0" applyNumberFormat="1" applyFont="1" applyFill="1" applyBorder="1" applyAlignment="1">
      <alignment horizontal="center" vertical="center"/>
    </xf>
    <xf numFmtId="0" fontId="10" fillId="17" borderId="24" xfId="0" applyFont="1" applyFill="1" applyBorder="1" applyAlignment="1">
      <alignment horizontal="center" vertical="center"/>
    </xf>
    <xf numFmtId="0" fontId="10" fillId="17" borderId="25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18" borderId="24" xfId="0" applyFont="1" applyFill="1" applyBorder="1" applyAlignment="1">
      <alignment horizontal="center" vertical="center"/>
    </xf>
    <xf numFmtId="0" fontId="10" fillId="24" borderId="24" xfId="0" applyFont="1" applyFill="1" applyBorder="1" applyAlignment="1">
      <alignment horizontal="center" vertical="center" wrapText="1"/>
    </xf>
    <xf numFmtId="3" fontId="1" fillId="0" borderId="33" xfId="0" applyNumberFormat="1" applyFont="1" applyBorder="1" applyAlignment="1">
      <alignment horizontal="center" vertical="center"/>
    </xf>
    <xf numFmtId="9" fontId="10" fillId="3" borderId="35" xfId="0" applyNumberFormat="1" applyFont="1" applyFill="1" applyBorder="1" applyAlignment="1">
      <alignment horizontal="center" vertical="center"/>
    </xf>
    <xf numFmtId="9" fontId="10" fillId="0" borderId="39" xfId="0" applyNumberFormat="1" applyFont="1" applyBorder="1" applyAlignment="1">
      <alignment horizontal="center"/>
    </xf>
    <xf numFmtId="4" fontId="1" fillId="0" borderId="27" xfId="0" applyNumberFormat="1" applyFont="1" applyBorder="1"/>
    <xf numFmtId="3" fontId="1" fillId="10" borderId="41" xfId="0" applyNumberFormat="1" applyFont="1" applyFill="1" applyBorder="1"/>
    <xf numFmtId="4" fontId="1" fillId="0" borderId="47" xfId="0" applyNumberFormat="1" applyFont="1" applyBorder="1"/>
    <xf numFmtId="9" fontId="10" fillId="0" borderId="34" xfId="0" applyNumberFormat="1" applyFont="1" applyBorder="1" applyAlignment="1">
      <alignment horizontal="center" vertical="center"/>
    </xf>
    <xf numFmtId="0" fontId="1" fillId="24" borderId="27" xfId="0" applyFont="1" applyFill="1" applyBorder="1"/>
    <xf numFmtId="0" fontId="1" fillId="18" borderId="27" xfId="0" applyFont="1" applyFill="1" applyBorder="1"/>
    <xf numFmtId="0" fontId="19" fillId="0" borderId="34" xfId="0" applyFont="1" applyBorder="1" applyAlignment="1">
      <alignment horizontal="center"/>
    </xf>
    <xf numFmtId="0" fontId="10" fillId="9" borderId="12" xfId="0" applyFont="1" applyFill="1" applyBorder="1" applyAlignment="1">
      <alignment horizontal="right"/>
    </xf>
    <xf numFmtId="0" fontId="10" fillId="9" borderId="18" xfId="0" applyFont="1" applyFill="1" applyBorder="1" applyAlignment="1">
      <alignment horizontal="right"/>
    </xf>
    <xf numFmtId="0" fontId="10" fillId="9" borderId="21" xfId="0" applyFont="1" applyFill="1" applyBorder="1" applyAlignment="1">
      <alignment horizontal="right"/>
    </xf>
    <xf numFmtId="3" fontId="10" fillId="9" borderId="20" xfId="0" applyNumberFormat="1" applyFont="1" applyFill="1" applyBorder="1"/>
    <xf numFmtId="3" fontId="10" fillId="9" borderId="14" xfId="0" applyNumberFormat="1" applyFont="1" applyFill="1" applyBorder="1"/>
    <xf numFmtId="9" fontId="10" fillId="0" borderId="20" xfId="0" applyNumberFormat="1" applyFont="1" applyBorder="1" applyAlignment="1">
      <alignment horizontal="center"/>
    </xf>
    <xf numFmtId="3" fontId="10" fillId="9" borderId="153" xfId="0" applyNumberFormat="1" applyFont="1" applyFill="1" applyBorder="1"/>
    <xf numFmtId="3" fontId="10" fillId="9" borderId="13" xfId="0" applyNumberFormat="1" applyFont="1" applyFill="1" applyBorder="1"/>
    <xf numFmtId="3" fontId="10" fillId="9" borderId="16" xfId="0" applyNumberFormat="1" applyFont="1" applyFill="1" applyBorder="1"/>
    <xf numFmtId="3" fontId="10" fillId="9" borderId="15" xfId="0" applyNumberFormat="1" applyFont="1" applyFill="1" applyBorder="1"/>
    <xf numFmtId="3" fontId="10" fillId="9" borderId="154" xfId="0" applyNumberFormat="1" applyFont="1" applyFill="1" applyBorder="1"/>
    <xf numFmtId="0" fontId="1" fillId="17" borderId="0" xfId="0" applyFont="1" applyFill="1"/>
    <xf numFmtId="0" fontId="1" fillId="12" borderId="81" xfId="0" applyFont="1" applyFill="1" applyBorder="1"/>
    <xf numFmtId="3" fontId="10" fillId="0" borderId="81" xfId="0" applyNumberFormat="1" applyFont="1" applyBorder="1"/>
    <xf numFmtId="9" fontId="10" fillId="0" borderId="81" xfId="0" applyNumberFormat="1" applyFont="1" applyBorder="1" applyAlignment="1">
      <alignment horizontal="center"/>
    </xf>
    <xf numFmtId="4" fontId="1" fillId="0" borderId="81" xfId="0" applyNumberFormat="1" applyFont="1" applyBorder="1"/>
    <xf numFmtId="4" fontId="1" fillId="0" borderId="82" xfId="0" applyNumberFormat="1" applyFont="1" applyBorder="1"/>
    <xf numFmtId="4" fontId="1" fillId="0" borderId="80" xfId="0" applyNumberFormat="1" applyFont="1" applyBorder="1"/>
    <xf numFmtId="4" fontId="1" fillId="0" borderId="83" xfId="0" applyNumberFormat="1" applyFont="1" applyBorder="1"/>
    <xf numFmtId="4" fontId="1" fillId="0" borderId="84" xfId="0" applyNumberFormat="1" applyFont="1" applyBorder="1"/>
    <xf numFmtId="4" fontId="1" fillId="0" borderId="40" xfId="0" applyNumberFormat="1" applyFont="1" applyBorder="1"/>
    <xf numFmtId="4" fontId="1" fillId="0" borderId="34" xfId="0" applyNumberFormat="1" applyFont="1" applyBorder="1"/>
    <xf numFmtId="0" fontId="1" fillId="20" borderId="47" xfId="0" applyFont="1" applyFill="1" applyBorder="1"/>
    <xf numFmtId="3" fontId="10" fillId="0" borderId="47" xfId="0" applyNumberFormat="1" applyFont="1" applyBorder="1"/>
    <xf numFmtId="9" fontId="10" fillId="0" borderId="47" xfId="0" applyNumberFormat="1" applyFont="1" applyBorder="1" applyAlignment="1">
      <alignment horizontal="center"/>
    </xf>
    <xf numFmtId="4" fontId="1" fillId="0" borderId="48" xfId="0" applyNumberFormat="1" applyFont="1" applyBorder="1"/>
    <xf numFmtId="4" fontId="1" fillId="0" borderId="50" xfId="0" applyNumberFormat="1" applyFont="1" applyBorder="1"/>
    <xf numFmtId="4" fontId="1" fillId="0" borderId="36" xfId="0" applyNumberFormat="1" applyFont="1" applyBorder="1"/>
    <xf numFmtId="0" fontId="19" fillId="0" borderId="47" xfId="0" applyFont="1" applyBorder="1" applyAlignment="1">
      <alignment horizontal="center"/>
    </xf>
    <xf numFmtId="3" fontId="1" fillId="35" borderId="47" xfId="0" applyNumberFormat="1" applyFont="1" applyFill="1" applyBorder="1"/>
    <xf numFmtId="9" fontId="10" fillId="0" borderId="47" xfId="0" applyNumberFormat="1" applyFont="1" applyBorder="1" applyAlignment="1">
      <alignment horizontal="center" vertical="center"/>
    </xf>
    <xf numFmtId="0" fontId="1" fillId="17" borderId="47" xfId="0" applyFont="1" applyFill="1" applyBorder="1"/>
    <xf numFmtId="4" fontId="1" fillId="0" borderId="64" xfId="0" applyNumberFormat="1" applyFont="1" applyBorder="1"/>
    <xf numFmtId="4" fontId="1" fillId="0" borderId="54" xfId="0" applyNumberFormat="1" applyFont="1" applyBorder="1"/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12" fillId="0" borderId="0" xfId="0" applyFont="1"/>
    <xf numFmtId="3" fontId="1" fillId="20" borderId="48" xfId="0" applyNumberFormat="1" applyFont="1" applyFill="1" applyBorder="1"/>
    <xf numFmtId="9" fontId="9" fillId="15" borderId="47" xfId="0" applyNumberFormat="1" applyFont="1" applyFill="1" applyBorder="1"/>
    <xf numFmtId="3" fontId="14" fillId="15" borderId="47" xfId="0" applyNumberFormat="1" applyFont="1" applyFill="1" applyBorder="1" applyAlignment="1">
      <alignment horizontal="right"/>
    </xf>
    <xf numFmtId="9" fontId="9" fillId="20" borderId="47" xfId="0" applyNumberFormat="1" applyFont="1" applyFill="1" applyBorder="1" applyAlignment="1">
      <alignment horizontal="center"/>
    </xf>
    <xf numFmtId="3" fontId="12" fillId="15" borderId="47" xfId="0" applyNumberFormat="1" applyFont="1" applyFill="1" applyBorder="1" applyAlignment="1">
      <alignment horizontal="right"/>
    </xf>
    <xf numFmtId="4" fontId="9" fillId="15" borderId="47" xfId="0" applyNumberFormat="1" applyFont="1" applyFill="1" applyBorder="1" applyAlignment="1">
      <alignment horizontal="right"/>
    </xf>
    <xf numFmtId="4" fontId="9" fillId="15" borderId="48" xfId="0" applyNumberFormat="1" applyFont="1" applyFill="1" applyBorder="1" applyAlignment="1">
      <alignment horizontal="right"/>
    </xf>
    <xf numFmtId="4" fontId="9" fillId="0" borderId="27" xfId="0" applyNumberFormat="1" applyFont="1" applyBorder="1" applyAlignment="1">
      <alignment horizontal="right"/>
    </xf>
    <xf numFmtId="4" fontId="9" fillId="0" borderId="47" xfId="0" applyNumberFormat="1" applyFont="1" applyBorder="1" applyAlignment="1">
      <alignment horizontal="right"/>
    </xf>
    <xf numFmtId="3" fontId="10" fillId="0" borderId="86" xfId="0" applyNumberFormat="1" applyFont="1" applyBorder="1"/>
    <xf numFmtId="9" fontId="10" fillId="0" borderId="86" xfId="0" applyNumberFormat="1" applyFont="1" applyBorder="1" applyAlignment="1">
      <alignment horizontal="center"/>
    </xf>
    <xf numFmtId="4" fontId="1" fillId="0" borderId="86" xfId="0" applyNumberFormat="1" applyFont="1" applyBorder="1"/>
    <xf numFmtId="4" fontId="1" fillId="0" borderId="87" xfId="0" applyNumberFormat="1" applyFont="1" applyBorder="1"/>
    <xf numFmtId="4" fontId="1" fillId="0" borderId="63" xfId="0" applyNumberFormat="1" applyFont="1" applyBorder="1"/>
    <xf numFmtId="4" fontId="1" fillId="0" borderId="88" xfId="0" applyNumberFormat="1" applyFont="1" applyBorder="1"/>
    <xf numFmtId="4" fontId="1" fillId="0" borderId="89" xfId="0" applyNumberFormat="1" applyFont="1" applyBorder="1"/>
    <xf numFmtId="0" fontId="1" fillId="0" borderId="91" xfId="0" applyFont="1" applyBorder="1" applyAlignment="1">
      <alignment horizontal="right"/>
    </xf>
    <xf numFmtId="0" fontId="15" fillId="0" borderId="47" xfId="0" applyFont="1" applyBorder="1" applyAlignment="1">
      <alignment vertical="top"/>
    </xf>
    <xf numFmtId="0" fontId="1" fillId="0" borderId="99" xfId="0" applyFont="1" applyBorder="1" applyAlignment="1">
      <alignment horizontal="right"/>
    </xf>
    <xf numFmtId="0" fontId="15" fillId="0" borderId="103" xfId="0" applyFont="1" applyBorder="1" applyAlignment="1">
      <alignment vertical="top"/>
    </xf>
    <xf numFmtId="0" fontId="15" fillId="36" borderId="0" xfId="0" applyFont="1" applyFill="1" applyAlignment="1">
      <alignment vertical="top"/>
    </xf>
    <xf numFmtId="4" fontId="15" fillId="36" borderId="0" xfId="0" applyNumberFormat="1" applyFont="1" applyFill="1" applyAlignment="1">
      <alignment horizontal="right" vertical="top"/>
    </xf>
    <xf numFmtId="0" fontId="10" fillId="16" borderId="48" xfId="0" applyFont="1" applyFill="1" applyBorder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9" fontId="10" fillId="10" borderId="31" xfId="0" applyNumberFormat="1" applyFont="1" applyFill="1" applyBorder="1" applyAlignment="1">
      <alignment horizontal="center" vertical="center" wrapText="1"/>
    </xf>
    <xf numFmtId="3" fontId="10" fillId="17" borderId="24" xfId="0" applyNumberFormat="1" applyFont="1" applyFill="1" applyBorder="1" applyAlignment="1">
      <alignment horizontal="center" vertical="center" wrapText="1"/>
    </xf>
    <xf numFmtId="0" fontId="10" fillId="17" borderId="25" xfId="0" applyFont="1" applyFill="1" applyBorder="1" applyAlignment="1">
      <alignment horizontal="center" vertical="center" wrapText="1"/>
    </xf>
    <xf numFmtId="9" fontId="10" fillId="17" borderId="26" xfId="0" applyNumberFormat="1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16" borderId="30" xfId="0" applyFont="1" applyFill="1" applyBorder="1" applyAlignment="1">
      <alignment horizontal="center" vertical="center" wrapText="1"/>
    </xf>
    <xf numFmtId="164" fontId="10" fillId="16" borderId="29" xfId="0" applyNumberFormat="1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 vertical="center" wrapText="1"/>
    </xf>
    <xf numFmtId="164" fontId="10" fillId="16" borderId="27" xfId="0" applyNumberFormat="1" applyFont="1" applyFill="1" applyBorder="1" applyAlignment="1">
      <alignment horizontal="center" vertical="center" wrapText="1"/>
    </xf>
    <xf numFmtId="0" fontId="10" fillId="18" borderId="47" xfId="0" applyFont="1" applyFill="1" applyBorder="1" applyAlignment="1">
      <alignment horizontal="center" vertical="center" wrapText="1"/>
    </xf>
    <xf numFmtId="0" fontId="10" fillId="24" borderId="11" xfId="0" applyFont="1" applyFill="1" applyBorder="1" applyAlignment="1">
      <alignment horizontal="center" vertical="center" wrapText="1"/>
    </xf>
    <xf numFmtId="164" fontId="10" fillId="16" borderId="23" xfId="0" applyNumberFormat="1" applyFont="1" applyFill="1" applyBorder="1" applyAlignment="1">
      <alignment horizontal="center" vertical="center" wrapText="1"/>
    </xf>
    <xf numFmtId="3" fontId="11" fillId="19" borderId="155" xfId="0" applyNumberFormat="1" applyFont="1" applyFill="1" applyBorder="1" applyAlignment="1">
      <alignment horizontal="center" vertical="center" wrapText="1"/>
    </xf>
    <xf numFmtId="3" fontId="12" fillId="17" borderId="156" xfId="0" applyNumberFormat="1" applyFont="1" applyFill="1" applyBorder="1" applyAlignment="1">
      <alignment horizontal="center" vertical="center" wrapText="1"/>
    </xf>
    <xf numFmtId="3" fontId="12" fillId="3" borderId="157" xfId="0" applyNumberFormat="1" applyFont="1" applyFill="1" applyBorder="1" applyAlignment="1">
      <alignment horizontal="center" vertical="center" wrapText="1"/>
    </xf>
    <xf numFmtId="3" fontId="12" fillId="3" borderId="158" xfId="0" applyNumberFormat="1" applyFont="1" applyFill="1" applyBorder="1" applyAlignment="1">
      <alignment horizontal="center" vertical="center" wrapText="1"/>
    </xf>
    <xf numFmtId="3" fontId="12" fillId="19" borderId="24" xfId="0" applyNumberFormat="1" applyFont="1" applyFill="1" applyBorder="1" applyAlignment="1">
      <alignment horizontal="center" vertical="center" wrapText="1"/>
    </xf>
    <xf numFmtId="164" fontId="10" fillId="16" borderId="4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15" borderId="159" xfId="0" applyFont="1" applyFill="1" applyBorder="1" applyAlignment="1">
      <alignment horizontal="center" vertical="center" wrapText="1"/>
    </xf>
    <xf numFmtId="0" fontId="12" fillId="15" borderId="160" xfId="0" applyFont="1" applyFill="1" applyBorder="1" applyAlignment="1">
      <alignment horizontal="center" vertical="center" wrapText="1"/>
    </xf>
    <xf numFmtId="0" fontId="10" fillId="15" borderId="160" xfId="0" applyFont="1" applyFill="1" applyBorder="1" applyAlignment="1">
      <alignment horizontal="center" vertical="center" wrapText="1"/>
    </xf>
    <xf numFmtId="165" fontId="10" fillId="15" borderId="161" xfId="0" applyNumberFormat="1" applyFont="1" applyFill="1" applyBorder="1" applyAlignment="1">
      <alignment horizontal="center" vertical="center" wrapText="1"/>
    </xf>
    <xf numFmtId="165" fontId="10" fillId="29" borderId="161" xfId="0" applyNumberFormat="1" applyFont="1" applyFill="1" applyBorder="1" applyAlignment="1">
      <alignment horizontal="center" vertical="center" wrapText="1"/>
    </xf>
    <xf numFmtId="165" fontId="10" fillId="29" borderId="157" xfId="0" applyNumberFormat="1" applyFont="1" applyFill="1" applyBorder="1" applyAlignment="1">
      <alignment horizontal="center" vertical="center" wrapText="1"/>
    </xf>
    <xf numFmtId="0" fontId="10" fillId="15" borderId="162" xfId="0" applyFont="1" applyFill="1" applyBorder="1" applyAlignment="1">
      <alignment horizontal="center" vertical="center" wrapText="1"/>
    </xf>
    <xf numFmtId="165" fontId="10" fillId="15" borderId="87" xfId="0" applyNumberFormat="1" applyFont="1" applyFill="1" applyBorder="1" applyAlignment="1">
      <alignment horizontal="center" vertical="center" wrapText="1"/>
    </xf>
    <xf numFmtId="165" fontId="10" fillId="15" borderId="31" xfId="0" applyNumberFormat="1" applyFont="1" applyFill="1" applyBorder="1" applyAlignment="1">
      <alignment horizontal="center" vertical="center" wrapText="1"/>
    </xf>
    <xf numFmtId="0" fontId="10" fillId="15" borderId="87" xfId="0" applyFont="1" applyFill="1" applyBorder="1" applyAlignment="1">
      <alignment horizontal="center" vertical="center" wrapText="1"/>
    </xf>
    <xf numFmtId="0" fontId="10" fillId="15" borderId="88" xfId="0" applyFont="1" applyFill="1" applyBorder="1" applyAlignment="1">
      <alignment horizontal="center" vertical="center" wrapText="1"/>
    </xf>
    <xf numFmtId="9" fontId="1" fillId="0" borderId="37" xfId="0" applyNumberFormat="1" applyFont="1" applyBorder="1" applyAlignment="1">
      <alignment horizontal="center" vertical="center"/>
    </xf>
    <xf numFmtId="3" fontId="1" fillId="0" borderId="163" xfId="0" applyNumberFormat="1" applyFont="1" applyBorder="1"/>
    <xf numFmtId="3" fontId="1" fillId="10" borderId="164" xfId="0" applyNumberFormat="1" applyFont="1" applyFill="1" applyBorder="1"/>
    <xf numFmtId="9" fontId="12" fillId="3" borderId="165" xfId="0" applyNumberFormat="1" applyFont="1" applyFill="1" applyBorder="1" applyAlignment="1">
      <alignment horizontal="center"/>
    </xf>
    <xf numFmtId="3" fontId="12" fillId="0" borderId="166" xfId="0" applyNumberFormat="1" applyFont="1" applyBorder="1" applyAlignment="1">
      <alignment horizontal="center"/>
    </xf>
    <xf numFmtId="3" fontId="1" fillId="0" borderId="164" xfId="0" applyNumberFormat="1" applyFont="1" applyBorder="1"/>
    <xf numFmtId="9" fontId="12" fillId="4" borderId="163" xfId="0" applyNumberFormat="1" applyFont="1" applyFill="1" applyBorder="1" applyAlignment="1">
      <alignment horizontal="center"/>
    </xf>
    <xf numFmtId="3" fontId="9" fillId="0" borderId="167" xfId="0" applyNumberFormat="1" applyFont="1" applyBorder="1" applyAlignment="1">
      <alignment horizontal="center"/>
    </xf>
    <xf numFmtId="3" fontId="9" fillId="0" borderId="36" xfId="0" applyNumberFormat="1" applyFont="1" applyBorder="1" applyAlignment="1">
      <alignment horizontal="center"/>
    </xf>
    <xf numFmtId="9" fontId="12" fillId="5" borderId="163" xfId="0" applyNumberFormat="1" applyFont="1" applyFill="1" applyBorder="1" applyAlignment="1">
      <alignment horizontal="center"/>
    </xf>
    <xf numFmtId="9" fontId="12" fillId="23" borderId="163" xfId="0" applyNumberFormat="1" applyFont="1" applyFill="1" applyBorder="1" applyAlignment="1">
      <alignment horizontal="center"/>
    </xf>
    <xf numFmtId="9" fontId="12" fillId="7" borderId="163" xfId="0" applyNumberFormat="1" applyFont="1" applyFill="1" applyBorder="1" applyAlignment="1">
      <alignment horizontal="center"/>
    </xf>
    <xf numFmtId="0" fontId="1" fillId="0" borderId="167" xfId="0" applyFont="1" applyBorder="1" applyAlignment="1">
      <alignment horizontal="center"/>
    </xf>
    <xf numFmtId="0" fontId="10" fillId="0" borderId="168" xfId="0" applyFont="1" applyBorder="1" applyAlignment="1">
      <alignment horizontal="center"/>
    </xf>
    <xf numFmtId="3" fontId="1" fillId="0" borderId="169" xfId="0" applyNumberFormat="1" applyFont="1" applyBorder="1" applyAlignment="1">
      <alignment horizontal="center"/>
    </xf>
    <xf numFmtId="0" fontId="10" fillId="9" borderId="159" xfId="0" applyFont="1" applyFill="1" applyBorder="1" applyAlignment="1">
      <alignment horizontal="right"/>
    </xf>
    <xf numFmtId="3" fontId="10" fillId="9" borderId="160" xfId="0" applyNumberFormat="1" applyFont="1" applyFill="1" applyBorder="1" applyAlignment="1">
      <alignment horizontal="center"/>
    </xf>
    <xf numFmtId="3" fontId="10" fillId="9" borderId="161" xfId="0" applyNumberFormat="1" applyFont="1" applyFill="1" applyBorder="1" applyAlignment="1">
      <alignment horizontal="center"/>
    </xf>
    <xf numFmtId="3" fontId="10" fillId="9" borderId="170" xfId="0" applyNumberFormat="1" applyFont="1" applyFill="1" applyBorder="1" applyAlignment="1">
      <alignment horizontal="center"/>
    </xf>
    <xf numFmtId="3" fontId="1" fillId="12" borderId="27" xfId="0" applyNumberFormat="1" applyFont="1" applyFill="1" applyBorder="1"/>
    <xf numFmtId="3" fontId="1" fillId="0" borderId="171" xfId="0" applyNumberFormat="1" applyFont="1" applyBorder="1"/>
    <xf numFmtId="9" fontId="1" fillId="0" borderId="171" xfId="0" applyNumberFormat="1" applyFont="1" applyBorder="1" applyAlignment="1">
      <alignment horizontal="center"/>
    </xf>
    <xf numFmtId="3" fontId="1" fillId="0" borderId="172" xfId="0" applyNumberFormat="1" applyFont="1" applyBorder="1"/>
    <xf numFmtId="3" fontId="1" fillId="0" borderId="173" xfId="0" applyNumberFormat="1" applyFont="1" applyBorder="1"/>
    <xf numFmtId="9" fontId="1" fillId="0" borderId="174" xfId="0" applyNumberFormat="1" applyFont="1" applyBorder="1" applyAlignment="1">
      <alignment horizontal="center"/>
    </xf>
    <xf numFmtId="9" fontId="1" fillId="0" borderId="172" xfId="0" applyNumberFormat="1" applyFont="1" applyBorder="1" applyAlignment="1">
      <alignment horizontal="center"/>
    </xf>
    <xf numFmtId="3" fontId="1" fillId="0" borderId="175" xfId="0" applyNumberFormat="1" applyFont="1" applyBorder="1"/>
    <xf numFmtId="3" fontId="1" fillId="20" borderId="49" xfId="0" applyNumberFormat="1" applyFont="1" applyFill="1" applyBorder="1"/>
    <xf numFmtId="3" fontId="1" fillId="0" borderId="145" xfId="0" applyNumberFormat="1" applyFont="1" applyBorder="1"/>
    <xf numFmtId="3" fontId="1" fillId="0" borderId="168" xfId="0" applyNumberFormat="1" applyFont="1" applyBorder="1"/>
    <xf numFmtId="3" fontId="1" fillId="0" borderId="176" xfId="0" applyNumberFormat="1" applyFont="1" applyBorder="1"/>
    <xf numFmtId="0" fontId="10" fillId="0" borderId="11" xfId="0" applyFont="1" applyBorder="1" applyAlignment="1">
      <alignment horizontal="right"/>
    </xf>
    <xf numFmtId="3" fontId="10" fillId="0" borderId="26" xfId="0" applyNumberFormat="1" applyFont="1" applyBorder="1" applyAlignment="1">
      <alignment horizontal="right"/>
    </xf>
    <xf numFmtId="3" fontId="10" fillId="0" borderId="31" xfId="0" applyNumberFormat="1" applyFont="1" applyBorder="1" applyAlignment="1">
      <alignment horizontal="right"/>
    </xf>
    <xf numFmtId="3" fontId="10" fillId="0" borderId="177" xfId="0" applyNumberFormat="1" applyFont="1" applyBorder="1" applyAlignment="1">
      <alignment horizontal="right"/>
    </xf>
    <xf numFmtId="3" fontId="10" fillId="0" borderId="178" xfId="0" applyNumberFormat="1" applyFont="1" applyBorder="1" applyAlignment="1">
      <alignment horizontal="right"/>
    </xf>
    <xf numFmtId="3" fontId="10" fillId="0" borderId="161" xfId="0" applyNumberFormat="1" applyFont="1" applyBorder="1" applyAlignment="1">
      <alignment horizontal="right"/>
    </xf>
    <xf numFmtId="9" fontId="10" fillId="0" borderId="179" xfId="0" applyNumberFormat="1" applyFont="1" applyBorder="1" applyAlignment="1">
      <alignment horizontal="center"/>
    </xf>
    <xf numFmtId="3" fontId="10" fillId="0" borderId="30" xfId="0" applyNumberFormat="1" applyFont="1" applyBorder="1" applyAlignment="1">
      <alignment horizontal="right"/>
    </xf>
    <xf numFmtId="3" fontId="10" fillId="9" borderId="177" xfId="0" applyNumberFormat="1" applyFont="1" applyFill="1" applyBorder="1" applyAlignment="1">
      <alignment horizontal="right"/>
    </xf>
    <xf numFmtId="3" fontId="10" fillId="9" borderId="178" xfId="0" applyNumberFormat="1" applyFont="1" applyFill="1" applyBorder="1" applyAlignment="1">
      <alignment horizontal="right"/>
    </xf>
    <xf numFmtId="3" fontId="10" fillId="9" borderId="161" xfId="0" applyNumberFormat="1" applyFont="1" applyFill="1" applyBorder="1" applyAlignment="1">
      <alignment horizontal="right"/>
    </xf>
    <xf numFmtId="3" fontId="10" fillId="9" borderId="180" xfId="0" applyNumberFormat="1" applyFont="1" applyFill="1" applyBorder="1" applyAlignment="1">
      <alignment horizontal="right"/>
    </xf>
    <xf numFmtId="3" fontId="10" fillId="9" borderId="181" xfId="0" applyNumberFormat="1" applyFont="1" applyFill="1" applyBorder="1" applyAlignment="1">
      <alignment horizontal="right"/>
    </xf>
    <xf numFmtId="3" fontId="10" fillId="9" borderId="182" xfId="0" applyNumberFormat="1" applyFont="1" applyFill="1" applyBorder="1" applyAlignment="1">
      <alignment horizontal="right"/>
    </xf>
    <xf numFmtId="3" fontId="10" fillId="9" borderId="183" xfId="0" applyNumberFormat="1" applyFont="1" applyFill="1" applyBorder="1" applyAlignment="1">
      <alignment horizontal="right"/>
    </xf>
    <xf numFmtId="3" fontId="10" fillId="9" borderId="184" xfId="0" applyNumberFormat="1" applyFont="1" applyFill="1" applyBorder="1" applyAlignment="1">
      <alignment horizontal="right"/>
    </xf>
    <xf numFmtId="3" fontId="10" fillId="9" borderId="185" xfId="0" applyNumberFormat="1" applyFont="1" applyFill="1" applyBorder="1" applyAlignment="1">
      <alignment horizontal="right"/>
    </xf>
    <xf numFmtId="3" fontId="10" fillId="9" borderId="186" xfId="0" applyNumberFormat="1" applyFont="1" applyFill="1" applyBorder="1" applyAlignment="1">
      <alignment horizontal="right"/>
    </xf>
    <xf numFmtId="3" fontId="10" fillId="9" borderId="187" xfId="0" applyNumberFormat="1" applyFont="1" applyFill="1" applyBorder="1" applyAlignment="1">
      <alignment horizontal="right"/>
    </xf>
    <xf numFmtId="3" fontId="10" fillId="9" borderId="157" xfId="0" applyNumberFormat="1" applyFont="1" applyFill="1" applyBorder="1" applyAlignment="1">
      <alignment horizontal="right"/>
    </xf>
    <xf numFmtId="3" fontId="10" fillId="9" borderId="188" xfId="0" applyNumberFormat="1" applyFont="1" applyFill="1" applyBorder="1" applyAlignment="1">
      <alignment horizontal="right"/>
    </xf>
    <xf numFmtId="3" fontId="10" fillId="9" borderId="189" xfId="0" applyNumberFormat="1" applyFont="1" applyFill="1" applyBorder="1" applyAlignment="1">
      <alignment horizontal="right"/>
    </xf>
    <xf numFmtId="3" fontId="10" fillId="9" borderId="190" xfId="0" applyNumberFormat="1" applyFont="1" applyFill="1" applyBorder="1"/>
    <xf numFmtId="3" fontId="10" fillId="9" borderId="186" xfId="0" applyNumberFormat="1" applyFont="1" applyFill="1" applyBorder="1"/>
    <xf numFmtId="9" fontId="1" fillId="0" borderId="82" xfId="0" applyNumberFormat="1" applyFont="1" applyBorder="1" applyAlignment="1">
      <alignment horizontal="center" vertical="center"/>
    </xf>
    <xf numFmtId="3" fontId="1" fillId="0" borderId="129" xfId="0" applyNumberFormat="1" applyFont="1" applyBorder="1" applyAlignment="1">
      <alignment horizontal="center" vertical="center"/>
    </xf>
    <xf numFmtId="9" fontId="1" fillId="0" borderId="83" xfId="0" applyNumberFormat="1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20" borderId="117" xfId="0" applyFont="1" applyFill="1" applyBorder="1"/>
    <xf numFmtId="3" fontId="9" fillId="0" borderId="80" xfId="0" applyNumberFormat="1" applyFont="1" applyBorder="1" applyAlignment="1">
      <alignment horizontal="right"/>
    </xf>
    <xf numFmtId="3" fontId="9" fillId="0" borderId="84" xfId="0" applyNumberFormat="1" applyFont="1" applyBorder="1" applyAlignment="1">
      <alignment horizontal="right"/>
    </xf>
    <xf numFmtId="3" fontId="9" fillId="0" borderId="85" xfId="0" applyNumberFormat="1" applyFont="1" applyBorder="1" applyAlignment="1">
      <alignment horizontal="right"/>
    </xf>
    <xf numFmtId="3" fontId="9" fillId="0" borderId="111" xfId="0" applyNumberFormat="1" applyFont="1" applyBorder="1"/>
    <xf numFmtId="3" fontId="9" fillId="0" borderId="83" xfId="0" applyNumberFormat="1" applyFont="1" applyBorder="1" applyAlignment="1">
      <alignment horizontal="right"/>
    </xf>
    <xf numFmtId="3" fontId="9" fillId="0" borderId="84" xfId="0" applyNumberFormat="1" applyFont="1" applyBorder="1"/>
    <xf numFmtId="3" fontId="9" fillId="0" borderId="82" xfId="0" applyNumberFormat="1" applyFont="1" applyBorder="1"/>
    <xf numFmtId="3" fontId="9" fillId="0" borderId="80" xfId="0" applyNumberFormat="1" applyFont="1" applyBorder="1"/>
    <xf numFmtId="3" fontId="9" fillId="0" borderId="81" xfId="0" applyNumberFormat="1" applyFont="1" applyBorder="1"/>
    <xf numFmtId="3" fontId="9" fillId="0" borderId="83" xfId="0" applyNumberFormat="1" applyFont="1" applyBorder="1"/>
    <xf numFmtId="3" fontId="9" fillId="0" borderId="27" xfId="0" applyNumberFormat="1" applyFont="1" applyBorder="1"/>
    <xf numFmtId="0" fontId="9" fillId="0" borderId="47" xfId="0" applyFont="1" applyBorder="1"/>
    <xf numFmtId="3" fontId="1" fillId="11" borderId="36" xfId="0" applyNumberFormat="1" applyFont="1" applyFill="1" applyBorder="1"/>
    <xf numFmtId="0" fontId="13" fillId="0" borderId="52" xfId="0" applyFont="1" applyBorder="1" applyAlignment="1">
      <alignment vertical="top"/>
    </xf>
    <xf numFmtId="0" fontId="1" fillId="0" borderId="191" xfId="0" applyFont="1" applyBorder="1"/>
    <xf numFmtId="3" fontId="1" fillId="10" borderId="36" xfId="0" applyNumberFormat="1" applyFont="1" applyFill="1" applyBorder="1"/>
    <xf numFmtId="0" fontId="1" fillId="0" borderId="27" xfId="0" applyFont="1" applyBorder="1" applyAlignment="1">
      <alignment horizontal="center" vertical="center"/>
    </xf>
    <xf numFmtId="0" fontId="15" fillId="0" borderId="52" xfId="0" applyFont="1" applyBorder="1" applyAlignment="1">
      <alignment vertical="top"/>
    </xf>
    <xf numFmtId="3" fontId="9" fillId="0" borderId="23" xfId="0" applyNumberFormat="1" applyFont="1" applyBorder="1"/>
    <xf numFmtId="3" fontId="9" fillId="0" borderId="36" xfId="0" applyNumberFormat="1" applyFont="1" applyBorder="1" applyAlignment="1">
      <alignment horizontal="right"/>
    </xf>
    <xf numFmtId="3" fontId="9" fillId="0" borderId="48" xfId="0" applyNumberFormat="1" applyFont="1" applyBorder="1"/>
    <xf numFmtId="3" fontId="9" fillId="0" borderId="50" xfId="0" applyNumberFormat="1" applyFont="1" applyBorder="1"/>
    <xf numFmtId="3" fontId="9" fillId="0" borderId="47" xfId="0" applyNumberFormat="1" applyFont="1" applyBorder="1"/>
    <xf numFmtId="3" fontId="9" fillId="0" borderId="36" xfId="0" applyNumberFormat="1" applyFont="1" applyBorder="1"/>
    <xf numFmtId="0" fontId="9" fillId="15" borderId="51" xfId="0" applyFont="1" applyFill="1" applyBorder="1" applyAlignment="1">
      <alignment horizontal="center"/>
    </xf>
    <xf numFmtId="0" fontId="9" fillId="15" borderId="33" xfId="0" applyFont="1" applyFill="1" applyBorder="1" applyAlignment="1">
      <alignment horizontal="center"/>
    </xf>
    <xf numFmtId="9" fontId="9" fillId="15" borderId="48" xfId="0" applyNumberFormat="1" applyFont="1" applyFill="1" applyBorder="1"/>
    <xf numFmtId="3" fontId="9" fillId="15" borderId="50" xfId="0" applyNumberFormat="1" applyFont="1" applyFill="1" applyBorder="1"/>
    <xf numFmtId="0" fontId="9" fillId="15" borderId="27" xfId="0" applyFont="1" applyFill="1" applyBorder="1"/>
    <xf numFmtId="0" fontId="9" fillId="15" borderId="52" xfId="0" applyFont="1" applyFill="1" applyBorder="1"/>
    <xf numFmtId="3" fontId="9" fillId="15" borderId="27" xfId="0" applyNumberFormat="1" applyFont="1" applyFill="1" applyBorder="1"/>
    <xf numFmtId="0" fontId="1" fillId="0" borderId="61" xfId="0" applyFont="1" applyBorder="1"/>
    <xf numFmtId="9" fontId="1" fillId="0" borderId="87" xfId="0" applyNumberFormat="1" applyFont="1" applyBorder="1" applyAlignment="1">
      <alignment horizontal="center" vertical="center"/>
    </xf>
    <xf numFmtId="3" fontId="1" fillId="0" borderId="63" xfId="0" applyNumberFormat="1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20" borderId="60" xfId="0" applyFont="1" applyFill="1" applyBorder="1"/>
    <xf numFmtId="3" fontId="9" fillId="0" borderId="63" xfId="0" applyNumberFormat="1" applyFont="1" applyBorder="1" applyAlignment="1">
      <alignment horizontal="right"/>
    </xf>
    <xf numFmtId="3" fontId="9" fillId="0" borderId="89" xfId="0" applyNumberFormat="1" applyFont="1" applyBorder="1" applyAlignment="1">
      <alignment horizontal="right"/>
    </xf>
    <xf numFmtId="3" fontId="9" fillId="0" borderId="62" xfId="0" applyNumberFormat="1" applyFont="1" applyBorder="1" applyAlignment="1">
      <alignment horizontal="right"/>
    </xf>
    <xf numFmtId="3" fontId="9" fillId="0" borderId="135" xfId="0" applyNumberFormat="1" applyFont="1" applyBorder="1"/>
    <xf numFmtId="3" fontId="9" fillId="0" borderId="88" xfId="0" applyNumberFormat="1" applyFont="1" applyBorder="1" applyAlignment="1">
      <alignment horizontal="right"/>
    </xf>
    <xf numFmtId="3" fontId="9" fillId="0" borderId="89" xfId="0" applyNumberFormat="1" applyFont="1" applyBorder="1"/>
    <xf numFmtId="3" fontId="9" fillId="0" borderId="87" xfId="0" applyNumberFormat="1" applyFont="1" applyBorder="1"/>
    <xf numFmtId="3" fontId="9" fillId="0" borderId="63" xfId="0" applyNumberFormat="1" applyFont="1" applyBorder="1"/>
    <xf numFmtId="3" fontId="9" fillId="0" borderId="86" xfId="0" applyNumberFormat="1" applyFont="1" applyBorder="1"/>
    <xf numFmtId="3" fontId="9" fillId="0" borderId="88" xfId="0" applyNumberFormat="1" applyFont="1" applyBorder="1"/>
    <xf numFmtId="0" fontId="10" fillId="16" borderId="87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16" borderId="63" xfId="0" applyFont="1" applyFill="1" applyBorder="1" applyAlignment="1">
      <alignment horizontal="center" vertical="center"/>
    </xf>
    <xf numFmtId="164" fontId="10" fillId="16" borderId="86" xfId="0" applyNumberFormat="1" applyFont="1" applyFill="1" applyBorder="1" applyAlignment="1">
      <alignment horizontal="center" vertical="center"/>
    </xf>
    <xf numFmtId="0" fontId="10" fillId="18" borderId="87" xfId="0" applyFont="1" applyFill="1" applyBorder="1" applyAlignment="1">
      <alignment horizontal="center" vertical="center"/>
    </xf>
    <xf numFmtId="0" fontId="10" fillId="24" borderId="87" xfId="0" applyFont="1" applyFill="1" applyBorder="1" applyAlignment="1">
      <alignment horizontal="center" vertical="center" wrapText="1"/>
    </xf>
    <xf numFmtId="164" fontId="10" fillId="16" borderId="87" xfId="0" applyNumberFormat="1" applyFont="1" applyFill="1" applyBorder="1" applyAlignment="1">
      <alignment horizontal="center" vertical="center"/>
    </xf>
    <xf numFmtId="3" fontId="11" fillId="7" borderId="118" xfId="0" applyNumberFormat="1" applyFont="1" applyFill="1" applyBorder="1" applyAlignment="1">
      <alignment horizontal="center" vertical="center" wrapText="1"/>
    </xf>
    <xf numFmtId="3" fontId="12" fillId="22" borderId="119" xfId="0" applyNumberFormat="1" applyFont="1" applyFill="1" applyBorder="1" applyAlignment="1">
      <alignment horizontal="center" vertical="center" wrapText="1"/>
    </xf>
    <xf numFmtId="164" fontId="10" fillId="16" borderId="135" xfId="0" applyNumberFormat="1" applyFont="1" applyFill="1" applyBorder="1" applyAlignment="1">
      <alignment horizontal="center" vertical="center"/>
    </xf>
    <xf numFmtId="3" fontId="17" fillId="3" borderId="26" xfId="0" applyNumberFormat="1" applyFont="1" applyFill="1" applyBorder="1" applyAlignment="1">
      <alignment horizontal="center" vertical="center" wrapText="1"/>
    </xf>
    <xf numFmtId="3" fontId="20" fillId="3" borderId="26" xfId="0" applyNumberFormat="1" applyFont="1" applyFill="1" applyBorder="1" applyAlignment="1">
      <alignment horizontal="center" vertical="center" wrapText="1"/>
    </xf>
    <xf numFmtId="165" fontId="10" fillId="29" borderId="31" xfId="0" applyNumberFormat="1" applyFont="1" applyFill="1" applyBorder="1" applyAlignment="1">
      <alignment horizontal="center" vertical="center"/>
    </xf>
    <xf numFmtId="0" fontId="10" fillId="29" borderId="192" xfId="0" applyFont="1" applyFill="1" applyBorder="1" applyAlignment="1">
      <alignment horizontal="center" vertical="center"/>
    </xf>
    <xf numFmtId="0" fontId="10" fillId="29" borderId="55" xfId="0" applyFont="1" applyFill="1" applyBorder="1" applyAlignment="1">
      <alignment horizontal="center" vertical="center"/>
    </xf>
    <xf numFmtId="0" fontId="10" fillId="29" borderId="36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3" fontId="1" fillId="0" borderId="34" xfId="0" applyNumberFormat="1" applyFont="1" applyBorder="1" applyAlignment="1">
      <alignment vertical="center"/>
    </xf>
    <xf numFmtId="3" fontId="1" fillId="11" borderId="39" xfId="0" applyNumberFormat="1" applyFont="1" applyFill="1" applyBorder="1"/>
    <xf numFmtId="3" fontId="1" fillId="0" borderId="165" xfId="0" applyNumberFormat="1" applyFont="1" applyBorder="1"/>
    <xf numFmtId="3" fontId="1" fillId="0" borderId="193" xfId="0" applyNumberFormat="1" applyFont="1" applyBorder="1"/>
    <xf numFmtId="3" fontId="1" fillId="20" borderId="27" xfId="0" applyNumberFormat="1" applyFont="1" applyFill="1" applyBorder="1"/>
    <xf numFmtId="3" fontId="12" fillId="0" borderId="83" xfId="0" applyNumberFormat="1" applyFont="1" applyBorder="1" applyAlignment="1">
      <alignment horizontal="center"/>
    </xf>
    <xf numFmtId="3" fontId="9" fillId="0" borderId="67" xfId="0" applyNumberFormat="1" applyFont="1" applyBorder="1" applyAlignment="1">
      <alignment horizontal="center"/>
    </xf>
    <xf numFmtId="3" fontId="9" fillId="0" borderId="194" xfId="0" applyNumberFormat="1" applyFont="1" applyBorder="1" applyAlignment="1">
      <alignment horizontal="center"/>
    </xf>
    <xf numFmtId="3" fontId="12" fillId="0" borderId="82" xfId="0" applyNumberFormat="1" applyFont="1" applyBorder="1" applyAlignment="1">
      <alignment horizontal="center"/>
    </xf>
    <xf numFmtId="0" fontId="1" fillId="0" borderId="50" xfId="0" applyFont="1" applyBorder="1" applyAlignment="1">
      <alignment vertical="center"/>
    </xf>
    <xf numFmtId="3" fontId="1" fillId="0" borderId="47" xfId="0" applyNumberFormat="1" applyFont="1" applyBorder="1" applyAlignment="1">
      <alignment vertical="center"/>
    </xf>
    <xf numFmtId="3" fontId="1" fillId="0" borderId="195" xfId="0" applyNumberFormat="1" applyFont="1" applyBorder="1"/>
    <xf numFmtId="3" fontId="9" fillId="0" borderId="196" xfId="0" applyNumberFormat="1" applyFont="1" applyBorder="1" applyAlignment="1">
      <alignment horizontal="center"/>
    </xf>
    <xf numFmtId="3" fontId="1" fillId="35" borderId="48" xfId="0" applyNumberFormat="1" applyFont="1" applyFill="1" applyBorder="1"/>
    <xf numFmtId="3" fontId="1" fillId="35" borderId="27" xfId="0" applyNumberFormat="1" applyFont="1" applyFill="1" applyBorder="1"/>
    <xf numFmtId="3" fontId="1" fillId="0" borderId="196" xfId="0" applyNumberFormat="1" applyFont="1" applyBorder="1" applyAlignment="1">
      <alignment horizontal="center"/>
    </xf>
    <xf numFmtId="3" fontId="10" fillId="0" borderId="36" xfId="0" applyNumberFormat="1" applyFont="1" applyBorder="1" applyAlignment="1">
      <alignment horizontal="center"/>
    </xf>
    <xf numFmtId="3" fontId="10" fillId="0" borderId="48" xfId="0" applyNumberFormat="1" applyFont="1" applyBorder="1" applyAlignment="1">
      <alignment horizontal="center"/>
    </xf>
    <xf numFmtId="3" fontId="1" fillId="4" borderId="50" xfId="0" applyNumberFormat="1" applyFont="1" applyFill="1" applyBorder="1"/>
    <xf numFmtId="3" fontId="1" fillId="4" borderId="27" xfId="0" applyNumberFormat="1" applyFont="1" applyFill="1" applyBorder="1"/>
    <xf numFmtId="3" fontId="1" fillId="4" borderId="49" xfId="0" applyNumberFormat="1" applyFont="1" applyFill="1" applyBorder="1"/>
    <xf numFmtId="0" fontId="10" fillId="0" borderId="61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197" xfId="0" applyFont="1" applyBorder="1" applyAlignment="1">
      <alignment horizontal="center"/>
    </xf>
    <xf numFmtId="3" fontId="10" fillId="9" borderId="192" xfId="0" applyNumberFormat="1" applyFont="1" applyFill="1" applyBorder="1" applyAlignment="1">
      <alignment horizontal="center"/>
    </xf>
    <xf numFmtId="3" fontId="1" fillId="26" borderId="27" xfId="0" applyNumberFormat="1" applyFont="1" applyFill="1" applyBorder="1"/>
    <xf numFmtId="3" fontId="1" fillId="4" borderId="23" xfId="0" applyNumberFormat="1" applyFont="1" applyFill="1" applyBorder="1"/>
    <xf numFmtId="0" fontId="1" fillId="7" borderId="50" xfId="0" applyFont="1" applyFill="1" applyBorder="1" applyAlignment="1">
      <alignment vertical="center"/>
    </xf>
    <xf numFmtId="0" fontId="1" fillId="24" borderId="50" xfId="0" applyFont="1" applyFill="1" applyBorder="1" applyAlignment="1">
      <alignment vertical="center"/>
    </xf>
    <xf numFmtId="3" fontId="1" fillId="0" borderId="64" xfId="0" applyNumberFormat="1" applyFont="1" applyBorder="1" applyAlignment="1">
      <alignment vertical="center"/>
    </xf>
    <xf numFmtId="3" fontId="1" fillId="11" borderId="57" xfId="0" applyNumberFormat="1" applyFont="1" applyFill="1" applyBorder="1"/>
    <xf numFmtId="3" fontId="1" fillId="11" borderId="65" xfId="0" applyNumberFormat="1" applyFont="1" applyFill="1" applyBorder="1"/>
    <xf numFmtId="0" fontId="10" fillId="0" borderId="24" xfId="0" applyFont="1" applyBorder="1" applyAlignment="1">
      <alignment horizontal="center" vertical="center"/>
    </xf>
    <xf numFmtId="3" fontId="10" fillId="0" borderId="132" xfId="0" applyNumberFormat="1" applyFont="1" applyBorder="1" applyAlignment="1">
      <alignment horizontal="right"/>
    </xf>
    <xf numFmtId="0" fontId="10" fillId="0" borderId="76" xfId="0" applyFont="1" applyBorder="1" applyAlignment="1">
      <alignment horizontal="right"/>
    </xf>
    <xf numFmtId="0" fontId="10" fillId="0" borderId="25" xfId="0" applyFont="1" applyBorder="1"/>
    <xf numFmtId="3" fontId="10" fillId="9" borderId="198" xfId="0" applyNumberFormat="1" applyFont="1" applyFill="1" applyBorder="1"/>
    <xf numFmtId="3" fontId="10" fillId="0" borderId="0" xfId="0" applyNumberFormat="1" applyFont="1" applyAlignment="1">
      <alignment horizontal="right"/>
    </xf>
    <xf numFmtId="0" fontId="10" fillId="9" borderId="0" xfId="0" applyFont="1" applyFill="1"/>
    <xf numFmtId="0" fontId="10" fillId="21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right"/>
    </xf>
    <xf numFmtId="3" fontId="10" fillId="21" borderId="0" xfId="0" applyNumberFormat="1" applyFont="1" applyFill="1" applyAlignment="1">
      <alignment horizontal="right"/>
    </xf>
    <xf numFmtId="0" fontId="10" fillId="21" borderId="0" xfId="0" applyFont="1" applyFill="1"/>
    <xf numFmtId="9" fontId="10" fillId="21" borderId="0" xfId="0" applyNumberFormat="1" applyFont="1" applyFill="1" applyAlignment="1">
      <alignment horizontal="center"/>
    </xf>
    <xf numFmtId="0" fontId="1" fillId="21" borderId="0" xfId="0" applyFont="1" applyFill="1"/>
    <xf numFmtId="0" fontId="1" fillId="21" borderId="0" xfId="0" applyFont="1" applyFill="1" applyAlignment="1">
      <alignment horizontal="center"/>
    </xf>
    <xf numFmtId="9" fontId="1" fillId="0" borderId="0" xfId="0" applyNumberFormat="1" applyFont="1"/>
    <xf numFmtId="0" fontId="1" fillId="12" borderId="84" xfId="0" applyFont="1" applyFill="1" applyBorder="1" applyAlignment="1">
      <alignment vertical="center"/>
    </xf>
    <xf numFmtId="3" fontId="1" fillId="0" borderId="81" xfId="0" applyNumberFormat="1" applyFont="1" applyBorder="1" applyAlignment="1">
      <alignment vertical="center"/>
    </xf>
    <xf numFmtId="9" fontId="1" fillId="0" borderId="81" xfId="0" applyNumberFormat="1" applyFont="1" applyBorder="1"/>
    <xf numFmtId="0" fontId="1" fillId="0" borderId="23" xfId="0" applyFont="1" applyBorder="1" applyAlignment="1">
      <alignment horizontal="center" vertical="center"/>
    </xf>
    <xf numFmtId="0" fontId="1" fillId="0" borderId="52" xfId="0" applyFont="1" applyBorder="1" applyAlignment="1">
      <alignment vertical="center"/>
    </xf>
    <xf numFmtId="3" fontId="1" fillId="0" borderId="27" xfId="0" applyNumberFormat="1" applyFont="1" applyBorder="1" applyAlignment="1">
      <alignment vertical="center"/>
    </xf>
    <xf numFmtId="9" fontId="1" fillId="0" borderId="36" xfId="0" applyNumberFormat="1" applyFont="1" applyBorder="1"/>
    <xf numFmtId="9" fontId="1" fillId="0" borderId="47" xfId="0" applyNumberFormat="1" applyFont="1" applyBorder="1"/>
    <xf numFmtId="0" fontId="1" fillId="0" borderId="57" xfId="0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57" xfId="0" applyFont="1" applyBorder="1" applyAlignment="1">
      <alignment vertical="center"/>
    </xf>
    <xf numFmtId="3" fontId="1" fillId="0" borderId="54" xfId="0" applyNumberFormat="1" applyFont="1" applyBorder="1" applyAlignment="1">
      <alignment vertical="center"/>
    </xf>
    <xf numFmtId="3" fontId="1" fillId="26" borderId="55" xfId="0" applyNumberFormat="1" applyFont="1" applyFill="1" applyBorder="1"/>
    <xf numFmtId="3" fontId="1" fillId="26" borderId="64" xfId="0" applyNumberFormat="1" applyFont="1" applyFill="1" applyBorder="1"/>
    <xf numFmtId="3" fontId="1" fillId="26" borderId="54" xfId="0" applyNumberFormat="1" applyFont="1" applyFill="1" applyBorder="1"/>
    <xf numFmtId="3" fontId="1" fillId="0" borderId="199" xfId="0" applyNumberFormat="1" applyFont="1" applyBorder="1"/>
    <xf numFmtId="0" fontId="1" fillId="0" borderId="33" xfId="0" applyFont="1" applyBorder="1"/>
    <xf numFmtId="0" fontId="1" fillId="0" borderId="39" xfId="0" applyFont="1" applyBorder="1"/>
    <xf numFmtId="9" fontId="1" fillId="0" borderId="34" xfId="0" applyNumberFormat="1" applyFont="1" applyBorder="1"/>
    <xf numFmtId="0" fontId="1" fillId="0" borderId="49" xfId="0" applyFont="1" applyBorder="1" applyAlignment="1">
      <alignment vertical="center"/>
    </xf>
    <xf numFmtId="0" fontId="1" fillId="0" borderId="62" xfId="0" applyFont="1" applyBorder="1" applyAlignment="1">
      <alignment vertical="center"/>
    </xf>
    <xf numFmtId="3" fontId="1" fillId="0" borderId="89" xfId="0" applyNumberFormat="1" applyFont="1" applyBorder="1" applyAlignment="1">
      <alignment vertical="center"/>
    </xf>
    <xf numFmtId="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11" borderId="0" xfId="0" applyNumberFormat="1" applyFont="1" applyFill="1"/>
    <xf numFmtId="0" fontId="15" fillId="3" borderId="0" xfId="0" applyFont="1" applyFill="1" applyAlignment="1">
      <alignment vertical="top"/>
    </xf>
    <xf numFmtId="4" fontId="15" fillId="3" borderId="0" xfId="0" applyNumberFormat="1" applyFont="1" applyFill="1" applyAlignment="1">
      <alignment horizontal="right" vertical="top"/>
    </xf>
    <xf numFmtId="4" fontId="15" fillId="37" borderId="0" xfId="0" applyNumberFormat="1" applyFont="1" applyFill="1" applyAlignment="1">
      <alignment horizontal="right" vertical="top"/>
    </xf>
    <xf numFmtId="0" fontId="1" fillId="12" borderId="101" xfId="0" applyFont="1" applyFill="1" applyBorder="1" applyAlignment="1">
      <alignment horizontal="center"/>
    </xf>
    <xf numFmtId="164" fontId="10" fillId="16" borderId="25" xfId="0" applyNumberFormat="1" applyFont="1" applyFill="1" applyBorder="1" applyAlignment="1">
      <alignment horizontal="center" vertical="center"/>
    </xf>
    <xf numFmtId="0" fontId="10" fillId="24" borderId="31" xfId="0" applyFont="1" applyFill="1" applyBorder="1" applyAlignment="1">
      <alignment horizontal="center" vertical="center" wrapText="1"/>
    </xf>
    <xf numFmtId="3" fontId="11" fillId="19" borderId="146" xfId="0" applyNumberFormat="1" applyFont="1" applyFill="1" applyBorder="1" applyAlignment="1">
      <alignment horizontal="center" vertical="center" wrapText="1"/>
    </xf>
    <xf numFmtId="3" fontId="11" fillId="7" borderId="146" xfId="0" applyNumberFormat="1" applyFont="1" applyFill="1" applyBorder="1" applyAlignment="1">
      <alignment horizontal="center" vertical="center" wrapText="1"/>
    </xf>
    <xf numFmtId="3" fontId="12" fillId="22" borderId="25" xfId="0" applyNumberFormat="1" applyFont="1" applyFill="1" applyBorder="1" applyAlignment="1">
      <alignment horizontal="center" vertical="center" wrapText="1"/>
    </xf>
    <xf numFmtId="3" fontId="12" fillId="4" borderId="110" xfId="0" applyNumberFormat="1" applyFont="1" applyFill="1" applyBorder="1" applyAlignment="1">
      <alignment horizontal="center" vertical="center" wrapText="1"/>
    </xf>
    <xf numFmtId="3" fontId="11" fillId="19" borderId="200" xfId="0" applyNumberFormat="1" applyFont="1" applyFill="1" applyBorder="1" applyAlignment="1">
      <alignment horizontal="center" vertical="center" wrapText="1"/>
    </xf>
    <xf numFmtId="0" fontId="12" fillId="15" borderId="25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/>
    </xf>
    <xf numFmtId="0" fontId="10" fillId="15" borderId="26" xfId="0" applyFont="1" applyFill="1" applyBorder="1" applyAlignment="1">
      <alignment horizontal="center" vertical="center"/>
    </xf>
    <xf numFmtId="3" fontId="10" fillId="0" borderId="35" xfId="0" applyNumberFormat="1" applyFont="1" applyBorder="1"/>
    <xf numFmtId="3" fontId="9" fillId="0" borderId="201" xfId="0" applyNumberFormat="1" applyFont="1" applyBorder="1" applyAlignment="1">
      <alignment horizontal="center"/>
    </xf>
    <xf numFmtId="3" fontId="9" fillId="0" borderId="202" xfId="0" applyNumberFormat="1" applyFont="1" applyBorder="1" applyAlignment="1">
      <alignment horizontal="center"/>
    </xf>
    <xf numFmtId="3" fontId="9" fillId="0" borderId="38" xfId="0" applyNumberFormat="1" applyFont="1" applyBorder="1" applyAlignment="1">
      <alignment horizontal="center"/>
    </xf>
    <xf numFmtId="3" fontId="9" fillId="0" borderId="39" xfId="0" applyNumberFormat="1" applyFont="1" applyBorder="1" applyAlignment="1">
      <alignment horizontal="center"/>
    </xf>
    <xf numFmtId="3" fontId="10" fillId="0" borderId="48" xfId="0" applyNumberFormat="1" applyFont="1" applyBorder="1"/>
    <xf numFmtId="9" fontId="10" fillId="0" borderId="36" xfId="0" applyNumberFormat="1" applyFont="1" applyBorder="1" applyAlignment="1">
      <alignment horizontal="center"/>
    </xf>
    <xf numFmtId="3" fontId="9" fillId="0" borderId="203" xfId="0" applyNumberFormat="1" applyFont="1" applyBorder="1" applyAlignment="1">
      <alignment horizontal="center"/>
    </xf>
    <xf numFmtId="3" fontId="9" fillId="0" borderId="204" xfId="0" applyNumberFormat="1" applyFont="1" applyBorder="1" applyAlignment="1">
      <alignment horizontal="center"/>
    </xf>
    <xf numFmtId="3" fontId="1" fillId="0" borderId="203" xfId="0" applyNumberFormat="1" applyFont="1" applyBorder="1" applyAlignment="1">
      <alignment horizontal="center"/>
    </xf>
    <xf numFmtId="3" fontId="1" fillId="0" borderId="204" xfId="0" applyNumberFormat="1" applyFont="1" applyBorder="1" applyAlignment="1">
      <alignment horizontal="center"/>
    </xf>
    <xf numFmtId="3" fontId="1" fillId="0" borderId="205" xfId="0" applyNumberFormat="1" applyFont="1" applyBorder="1" applyAlignment="1">
      <alignment horizontal="center"/>
    </xf>
    <xf numFmtId="3" fontId="1" fillId="0" borderId="206" xfId="0" applyNumberFormat="1" applyFont="1" applyBorder="1" applyAlignment="1">
      <alignment horizontal="center"/>
    </xf>
    <xf numFmtId="3" fontId="1" fillId="0" borderId="88" xfId="0" applyNumberFormat="1" applyFont="1" applyBorder="1" applyAlignment="1">
      <alignment horizontal="center"/>
    </xf>
    <xf numFmtId="0" fontId="10" fillId="9" borderId="114" xfId="0" applyFont="1" applyFill="1" applyBorder="1" applyAlignment="1">
      <alignment horizontal="right"/>
    </xf>
    <xf numFmtId="3" fontId="10" fillId="9" borderId="133" xfId="0" applyNumberFormat="1" applyFont="1" applyFill="1" applyBorder="1" applyAlignment="1">
      <alignment horizontal="center"/>
    </xf>
    <xf numFmtId="3" fontId="10" fillId="9" borderId="136" xfId="0" applyNumberFormat="1" applyFont="1" applyFill="1" applyBorder="1" applyAlignment="1">
      <alignment horizontal="center"/>
    </xf>
    <xf numFmtId="3" fontId="10" fillId="9" borderId="132" xfId="0" applyNumberFormat="1" applyFont="1" applyFill="1" applyBorder="1" applyAlignment="1">
      <alignment horizontal="center"/>
    </xf>
    <xf numFmtId="3" fontId="10" fillId="9" borderId="137" xfId="0" applyNumberFormat="1" applyFont="1" applyFill="1" applyBorder="1" applyAlignment="1">
      <alignment horizontal="center"/>
    </xf>
    <xf numFmtId="3" fontId="10" fillId="9" borderId="207" xfId="0" applyNumberFormat="1" applyFont="1" applyFill="1" applyBorder="1" applyAlignment="1">
      <alignment horizontal="center"/>
    </xf>
    <xf numFmtId="3" fontId="10" fillId="0" borderId="172" xfId="0" applyNumberFormat="1" applyFont="1" applyBorder="1"/>
    <xf numFmtId="3" fontId="1" fillId="20" borderId="32" xfId="0" applyNumberFormat="1" applyFont="1" applyFill="1" applyBorder="1"/>
    <xf numFmtId="3" fontId="1" fillId="20" borderId="35" xfId="0" applyNumberFormat="1" applyFont="1" applyFill="1" applyBorder="1"/>
    <xf numFmtId="172" fontId="10" fillId="7" borderId="0" xfId="0" applyNumberFormat="1" applyFont="1" applyFill="1"/>
    <xf numFmtId="3" fontId="1" fillId="0" borderId="208" xfId="0" applyNumberFormat="1" applyFont="1" applyBorder="1"/>
    <xf numFmtId="3" fontId="1" fillId="0" borderId="209" xfId="0" applyNumberFormat="1" applyFont="1" applyBorder="1"/>
    <xf numFmtId="3" fontId="1" fillId="0" borderId="210" xfId="0" applyNumberFormat="1" applyFont="1" applyBorder="1"/>
    <xf numFmtId="3" fontId="1" fillId="0" borderId="211" xfId="0" applyNumberFormat="1" applyFont="1" applyBorder="1"/>
    <xf numFmtId="3" fontId="10" fillId="0" borderId="212" xfId="0" applyNumberFormat="1" applyFont="1" applyBorder="1"/>
    <xf numFmtId="3" fontId="1" fillId="0" borderId="125" xfId="0" applyNumberFormat="1" applyFont="1" applyBorder="1"/>
    <xf numFmtId="3" fontId="1" fillId="0" borderId="213" xfId="0" applyNumberFormat="1" applyFont="1" applyBorder="1"/>
    <xf numFmtId="3" fontId="1" fillId="0" borderId="214" xfId="0" applyNumberFormat="1" applyFont="1" applyBorder="1"/>
    <xf numFmtId="3" fontId="10" fillId="0" borderId="213" xfId="0" applyNumberFormat="1" applyFont="1" applyBorder="1"/>
    <xf numFmtId="3" fontId="10" fillId="0" borderId="55" xfId="0" applyNumberFormat="1" applyFont="1" applyBorder="1"/>
    <xf numFmtId="9" fontId="10" fillId="0" borderId="65" xfId="0" applyNumberFormat="1" applyFont="1" applyBorder="1" applyAlignment="1">
      <alignment horizontal="center"/>
    </xf>
    <xf numFmtId="3" fontId="10" fillId="9" borderId="218" xfId="0" applyNumberFormat="1" applyFont="1" applyFill="1" applyBorder="1"/>
    <xf numFmtId="3" fontId="10" fillId="9" borderId="170" xfId="0" applyNumberFormat="1" applyFont="1" applyFill="1" applyBorder="1"/>
    <xf numFmtId="3" fontId="10" fillId="9" borderId="219" xfId="0" applyNumberFormat="1" applyFont="1" applyFill="1" applyBorder="1"/>
    <xf numFmtId="3" fontId="10" fillId="9" borderId="220" xfId="0" applyNumberFormat="1" applyFont="1" applyFill="1" applyBorder="1"/>
    <xf numFmtId="3" fontId="10" fillId="0" borderId="82" xfId="0" applyNumberFormat="1" applyFont="1" applyBorder="1"/>
    <xf numFmtId="9" fontId="10" fillId="0" borderId="83" xfId="0" applyNumberFormat="1" applyFont="1" applyBorder="1" applyAlignment="1">
      <alignment horizontal="center"/>
    </xf>
    <xf numFmtId="0" fontId="1" fillId="0" borderId="147" xfId="0" applyFont="1" applyBorder="1" applyAlignment="1">
      <alignment horizontal="center"/>
    </xf>
    <xf numFmtId="0" fontId="1" fillId="0" borderId="134" xfId="0" applyFont="1" applyBorder="1" applyAlignment="1">
      <alignment horizontal="center"/>
    </xf>
    <xf numFmtId="9" fontId="1" fillId="0" borderId="132" xfId="0" applyNumberFormat="1" applyFont="1" applyBorder="1" applyAlignment="1">
      <alignment horizontal="center"/>
    </xf>
    <xf numFmtId="0" fontId="10" fillId="0" borderId="132" xfId="0" applyFont="1" applyBorder="1"/>
    <xf numFmtId="9" fontId="10" fillId="0" borderId="132" xfId="0" applyNumberFormat="1" applyFont="1" applyBorder="1" applyAlignment="1">
      <alignment horizontal="center"/>
    </xf>
    <xf numFmtId="9" fontId="11" fillId="0" borderId="25" xfId="0" applyNumberFormat="1" applyFont="1" applyBorder="1" applyAlignment="1">
      <alignment horizontal="center" vertical="center" wrapText="1"/>
    </xf>
    <xf numFmtId="3" fontId="11" fillId="7" borderId="141" xfId="0" applyNumberFormat="1" applyFont="1" applyFill="1" applyBorder="1" applyAlignment="1">
      <alignment horizontal="center" vertical="center" wrapText="1"/>
    </xf>
    <xf numFmtId="3" fontId="12" fillId="3" borderId="156" xfId="0" applyNumberFormat="1" applyFont="1" applyFill="1" applyBorder="1" applyAlignment="1">
      <alignment horizontal="center" vertical="center" wrapText="1"/>
    </xf>
    <xf numFmtId="164" fontId="10" fillId="16" borderId="64" xfId="0" applyNumberFormat="1" applyFont="1" applyFill="1" applyBorder="1" applyAlignment="1">
      <alignment horizontal="center" vertical="center"/>
    </xf>
    <xf numFmtId="164" fontId="10" fillId="16" borderId="54" xfId="0" applyNumberFormat="1" applyFont="1" applyFill="1" applyBorder="1" applyAlignment="1">
      <alignment horizontal="center" vertical="center"/>
    </xf>
    <xf numFmtId="164" fontId="10" fillId="16" borderId="71" xfId="0" applyNumberFormat="1" applyFont="1" applyFill="1" applyBorder="1" applyAlignment="1">
      <alignment horizontal="center" vertical="center"/>
    </xf>
    <xf numFmtId="0" fontId="12" fillId="15" borderId="47" xfId="0" applyFont="1" applyFill="1" applyBorder="1" applyAlignment="1">
      <alignment horizontal="center" vertical="center" wrapText="1"/>
    </xf>
    <xf numFmtId="0" fontId="10" fillId="15" borderId="47" xfId="0" applyFont="1" applyFill="1" applyBorder="1" applyAlignment="1">
      <alignment horizontal="center" vertical="center"/>
    </xf>
    <xf numFmtId="0" fontId="10" fillId="29" borderId="221" xfId="0" applyFont="1" applyFill="1" applyBorder="1" applyAlignment="1">
      <alignment horizontal="center" vertical="center"/>
    </xf>
    <xf numFmtId="0" fontId="10" fillId="29" borderId="222" xfId="0" applyFont="1" applyFill="1" applyBorder="1" applyAlignment="1">
      <alignment horizontal="center" vertical="center"/>
    </xf>
    <xf numFmtId="0" fontId="10" fillId="15" borderId="48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9" fontId="10" fillId="0" borderId="37" xfId="0" applyNumberFormat="1" applyFont="1" applyBorder="1" applyAlignment="1">
      <alignment horizontal="center"/>
    </xf>
    <xf numFmtId="173" fontId="1" fillId="0" borderId="33" xfId="0" applyNumberFormat="1" applyFont="1" applyBorder="1"/>
    <xf numFmtId="173" fontId="1" fillId="0" borderId="40" xfId="0" applyNumberFormat="1" applyFont="1" applyBorder="1"/>
    <xf numFmtId="173" fontId="1" fillId="20" borderId="37" xfId="0" applyNumberFormat="1" applyFont="1" applyFill="1" applyBorder="1"/>
    <xf numFmtId="3" fontId="1" fillId="20" borderId="38" xfId="0" applyNumberFormat="1" applyFont="1" applyFill="1" applyBorder="1"/>
    <xf numFmtId="0" fontId="1" fillId="0" borderId="165" xfId="0" applyFont="1" applyBorder="1"/>
    <xf numFmtId="3" fontId="12" fillId="0" borderId="223" xfId="0" applyNumberFormat="1" applyFont="1" applyBorder="1" applyAlignment="1">
      <alignment horizontal="center"/>
    </xf>
    <xf numFmtId="9" fontId="10" fillId="0" borderId="49" xfId="0" applyNumberFormat="1" applyFont="1" applyBorder="1" applyAlignment="1">
      <alignment horizontal="center"/>
    </xf>
    <xf numFmtId="173" fontId="1" fillId="0" borderId="50" xfId="0" applyNumberFormat="1" applyFont="1" applyBorder="1"/>
    <xf numFmtId="173" fontId="1" fillId="0" borderId="27" xfId="0" applyNumberFormat="1" applyFont="1" applyBorder="1"/>
    <xf numFmtId="173" fontId="1" fillId="0" borderId="49" xfId="0" applyNumberFormat="1" applyFont="1" applyBorder="1"/>
    <xf numFmtId="0" fontId="1" fillId="0" borderId="163" xfId="0" applyFont="1" applyBorder="1"/>
    <xf numFmtId="0" fontId="1" fillId="0" borderId="223" xfId="0" applyFont="1" applyBorder="1" applyAlignment="1">
      <alignment horizontal="center"/>
    </xf>
    <xf numFmtId="3" fontId="10" fillId="8" borderId="48" xfId="0" applyNumberFormat="1" applyFont="1" applyFill="1" applyBorder="1" applyAlignment="1">
      <alignment horizontal="center"/>
    </xf>
    <xf numFmtId="3" fontId="10" fillId="8" borderId="47" xfId="0" applyNumberFormat="1" applyFont="1" applyFill="1" applyBorder="1" applyAlignment="1">
      <alignment horizontal="center"/>
    </xf>
    <xf numFmtId="173" fontId="1" fillId="20" borderId="50" xfId="0" applyNumberFormat="1" applyFont="1" applyFill="1" applyBorder="1"/>
    <xf numFmtId="3" fontId="1" fillId="4" borderId="36" xfId="0" applyNumberFormat="1" applyFont="1" applyFill="1" applyBorder="1"/>
    <xf numFmtId="0" fontId="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3" fontId="1" fillId="4" borderId="47" xfId="0" applyNumberFormat="1" applyFont="1" applyFill="1" applyBorder="1"/>
    <xf numFmtId="0" fontId="1" fillId="28" borderId="27" xfId="0" applyFont="1" applyFill="1" applyBorder="1"/>
    <xf numFmtId="173" fontId="1" fillId="20" borderId="27" xfId="0" applyNumberFormat="1" applyFont="1" applyFill="1" applyBorder="1"/>
    <xf numFmtId="173" fontId="1" fillId="20" borderId="49" xfId="0" applyNumberFormat="1" applyFont="1" applyFill="1" applyBorder="1"/>
    <xf numFmtId="3" fontId="1" fillId="20" borderId="112" xfId="0" applyNumberFormat="1" applyFont="1" applyFill="1" applyBorder="1"/>
    <xf numFmtId="3" fontId="1" fillId="20" borderId="163" xfId="0" applyNumberFormat="1" applyFont="1" applyFill="1" applyBorder="1"/>
    <xf numFmtId="0" fontId="1" fillId="7" borderId="27" xfId="0" applyFont="1" applyFill="1" applyBorder="1"/>
    <xf numFmtId="0" fontId="1" fillId="0" borderId="53" xfId="0" applyFont="1" applyBorder="1" applyAlignment="1">
      <alignment horizontal="center" vertical="center"/>
    </xf>
    <xf numFmtId="9" fontId="1" fillId="0" borderId="70" xfId="0" applyNumberFormat="1" applyFont="1" applyBorder="1" applyAlignment="1">
      <alignment horizontal="center" vertical="center"/>
    </xf>
    <xf numFmtId="9" fontId="10" fillId="0" borderId="56" xfId="0" applyNumberFormat="1" applyFont="1" applyBorder="1" applyAlignment="1">
      <alignment horizontal="center"/>
    </xf>
    <xf numFmtId="173" fontId="1" fillId="0" borderId="57" xfId="0" applyNumberFormat="1" applyFont="1" applyBorder="1"/>
    <xf numFmtId="173" fontId="1" fillId="0" borderId="64" xfId="0" applyNumberFormat="1" applyFont="1" applyBorder="1"/>
    <xf numFmtId="173" fontId="1" fillId="0" borderId="56" xfId="0" applyNumberFormat="1" applyFont="1" applyBorder="1"/>
    <xf numFmtId="0" fontId="1" fillId="0" borderId="29" xfId="0" applyFont="1" applyBorder="1" applyAlignment="1">
      <alignment horizontal="center" vertical="center"/>
    </xf>
    <xf numFmtId="9" fontId="1" fillId="0" borderId="29" xfId="0" applyNumberFormat="1" applyFont="1" applyBorder="1" applyAlignment="1">
      <alignment horizontal="center" vertical="center"/>
    </xf>
    <xf numFmtId="3" fontId="10" fillId="0" borderId="26" xfId="0" applyNumberFormat="1" applyFont="1" applyBorder="1"/>
    <xf numFmtId="3" fontId="10" fillId="0" borderId="30" xfId="0" applyNumberFormat="1" applyFont="1" applyBorder="1"/>
    <xf numFmtId="0" fontId="1" fillId="5" borderId="0" xfId="0" applyFont="1" applyFill="1" applyAlignment="1">
      <alignment horizontal="center"/>
    </xf>
    <xf numFmtId="0" fontId="1" fillId="0" borderId="84" xfId="0" applyFont="1" applyBorder="1" applyAlignment="1">
      <alignment horizontal="center" vertical="center"/>
    </xf>
    <xf numFmtId="0" fontId="1" fillId="20" borderId="81" xfId="0" applyFont="1" applyFill="1" applyBorder="1"/>
    <xf numFmtId="173" fontId="1" fillId="0" borderId="81" xfId="0" applyNumberFormat="1" applyFont="1" applyBorder="1"/>
    <xf numFmtId="0" fontId="1" fillId="0" borderId="82" xfId="0" applyFont="1" applyBorder="1"/>
    <xf numFmtId="0" fontId="1" fillId="0" borderId="83" xfId="0" applyFont="1" applyBorder="1"/>
    <xf numFmtId="3" fontId="1" fillId="20" borderId="82" xfId="0" applyNumberFormat="1" applyFont="1" applyFill="1" applyBorder="1"/>
    <xf numFmtId="173" fontId="1" fillId="0" borderId="47" xfId="0" applyNumberFormat="1" applyFont="1" applyBorder="1"/>
    <xf numFmtId="0" fontId="1" fillId="20" borderId="86" xfId="0" applyFont="1" applyFill="1" applyBorder="1"/>
    <xf numFmtId="173" fontId="1" fillId="0" borderId="86" xfId="0" applyNumberFormat="1" applyFont="1" applyBorder="1"/>
    <xf numFmtId="0" fontId="1" fillId="0" borderId="87" xfId="0" applyFont="1" applyBorder="1"/>
    <xf numFmtId="3" fontId="1" fillId="20" borderId="87" xfId="0" applyNumberFormat="1" applyFont="1" applyFill="1" applyBorder="1"/>
    <xf numFmtId="4" fontId="21" fillId="3" borderId="0" xfId="0" applyNumberFormat="1" applyFont="1" applyFill="1" applyAlignment="1">
      <alignment vertical="top"/>
    </xf>
    <xf numFmtId="0" fontId="10" fillId="16" borderId="47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3" fontId="11" fillId="19" borderId="47" xfId="0" applyNumberFormat="1" applyFont="1" applyFill="1" applyBorder="1" applyAlignment="1">
      <alignment horizontal="center" vertical="center" wrapText="1"/>
    </xf>
    <xf numFmtId="3" fontId="12" fillId="17" borderId="47" xfId="0" applyNumberFormat="1" applyFont="1" applyFill="1" applyBorder="1" applyAlignment="1">
      <alignment horizontal="center" vertical="center" wrapText="1"/>
    </xf>
    <xf numFmtId="3" fontId="12" fillId="3" borderId="47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10" fillId="16" borderId="24" xfId="0" applyFont="1" applyFill="1" applyBorder="1" applyAlignment="1">
      <alignment horizontal="center" vertical="center"/>
    </xf>
    <xf numFmtId="9" fontId="10" fillId="10" borderId="25" xfId="0" applyNumberFormat="1" applyFont="1" applyFill="1" applyBorder="1" applyAlignment="1">
      <alignment horizontal="center" vertical="center"/>
    </xf>
    <xf numFmtId="0" fontId="10" fillId="16" borderId="25" xfId="0" applyFont="1" applyFill="1" applyBorder="1" applyAlignment="1">
      <alignment horizontal="center" vertical="center"/>
    </xf>
    <xf numFmtId="0" fontId="10" fillId="18" borderId="48" xfId="0" applyFont="1" applyFill="1" applyBorder="1" applyAlignment="1">
      <alignment horizontal="center" vertical="center"/>
    </xf>
    <xf numFmtId="0" fontId="10" fillId="24" borderId="48" xfId="0" applyFont="1" applyFill="1" applyBorder="1" applyAlignment="1">
      <alignment horizontal="center" vertical="center" wrapText="1"/>
    </xf>
    <xf numFmtId="3" fontId="1" fillId="13" borderId="48" xfId="0" applyNumberFormat="1" applyFont="1" applyFill="1" applyBorder="1"/>
    <xf numFmtId="3" fontId="1" fillId="0" borderId="224" xfId="0" applyNumberFormat="1" applyFont="1" applyBorder="1"/>
    <xf numFmtId="3" fontId="1" fillId="0" borderId="212" xfId="0" applyNumberFormat="1" applyFont="1" applyBorder="1"/>
    <xf numFmtId="0" fontId="1" fillId="0" borderId="67" xfId="0" applyFont="1" applyBorder="1"/>
    <xf numFmtId="3" fontId="10" fillId="0" borderId="29" xfId="0" applyNumberFormat="1" applyFont="1" applyBorder="1" applyAlignment="1">
      <alignment horizontal="center"/>
    </xf>
    <xf numFmtId="3" fontId="10" fillId="0" borderId="29" xfId="0" applyNumberFormat="1" applyFont="1" applyBorder="1" applyAlignment="1">
      <alignment horizontal="right"/>
    </xf>
    <xf numFmtId="3" fontId="10" fillId="0" borderId="64" xfId="0" applyNumberFormat="1" applyFont="1" applyBorder="1"/>
    <xf numFmtId="3" fontId="1" fillId="13" borderId="35" xfId="0" applyNumberFormat="1" applyFont="1" applyFill="1" applyBorder="1"/>
    <xf numFmtId="0" fontId="10" fillId="7" borderId="225" xfId="0" applyFont="1" applyFill="1" applyBorder="1"/>
    <xf numFmtId="0" fontId="1" fillId="0" borderId="226" xfId="0" applyFont="1" applyBorder="1"/>
    <xf numFmtId="0" fontId="1" fillId="0" borderId="227" xfId="0" applyFont="1" applyBorder="1" applyAlignment="1">
      <alignment horizontal="right"/>
    </xf>
    <xf numFmtId="0" fontId="10" fillId="7" borderId="80" xfId="0" applyFont="1" applyFill="1" applyBorder="1"/>
    <xf numFmtId="49" fontId="1" fillId="0" borderId="83" xfId="0" applyNumberFormat="1" applyFont="1" applyBorder="1" applyAlignment="1">
      <alignment horizontal="right"/>
    </xf>
    <xf numFmtId="0" fontId="1" fillId="0" borderId="226" xfId="0" applyFont="1" applyBorder="1" applyAlignment="1">
      <alignment horizontal="center"/>
    </xf>
    <xf numFmtId="0" fontId="10" fillId="7" borderId="47" xfId="0" applyFont="1" applyFill="1" applyBorder="1"/>
    <xf numFmtId="0" fontId="1" fillId="0" borderId="198" xfId="0" applyFont="1" applyBorder="1" applyAlignment="1">
      <alignment horizontal="right"/>
    </xf>
    <xf numFmtId="0" fontId="10" fillId="7" borderId="228" xfId="0" applyFont="1" applyFill="1" applyBorder="1"/>
    <xf numFmtId="0" fontId="1" fillId="0" borderId="229" xfId="0" applyFont="1" applyBorder="1"/>
    <xf numFmtId="0" fontId="1" fillId="0" borderId="230" xfId="0" applyFont="1" applyBorder="1" applyAlignment="1">
      <alignment horizontal="right"/>
    </xf>
    <xf numFmtId="0" fontId="10" fillId="4" borderId="225" xfId="0" applyFont="1" applyFill="1" applyBorder="1"/>
    <xf numFmtId="0" fontId="1" fillId="0" borderId="112" xfId="0" applyFont="1" applyBorder="1" applyAlignment="1">
      <alignment horizontal="right"/>
    </xf>
    <xf numFmtId="49" fontId="1" fillId="0" borderId="36" xfId="0" applyNumberFormat="1" applyFont="1" applyBorder="1" applyAlignment="1">
      <alignment horizontal="right"/>
    </xf>
    <xf numFmtId="0" fontId="1" fillId="0" borderId="70" xfId="0" applyFont="1" applyBorder="1" applyAlignment="1">
      <alignment horizontal="right"/>
    </xf>
    <xf numFmtId="0" fontId="1" fillId="0" borderId="231" xfId="0" applyFont="1" applyBorder="1"/>
    <xf numFmtId="3" fontId="1" fillId="0" borderId="232" xfId="0" applyNumberFormat="1" applyFont="1" applyBorder="1" applyAlignment="1">
      <alignment horizontal="right"/>
    </xf>
    <xf numFmtId="0" fontId="1" fillId="0" borderId="232" xfId="0" applyFont="1" applyBorder="1" applyAlignment="1">
      <alignment horizontal="right"/>
    </xf>
    <xf numFmtId="3" fontId="1" fillId="0" borderId="112" xfId="0" applyNumberFormat="1" applyFont="1" applyBorder="1" applyAlignment="1">
      <alignment horizontal="right"/>
    </xf>
    <xf numFmtId="3" fontId="1" fillId="0" borderId="70" xfId="0" applyNumberFormat="1" applyFont="1" applyBorder="1" applyAlignment="1">
      <alignment horizontal="right"/>
    </xf>
    <xf numFmtId="0" fontId="1" fillId="0" borderId="74" xfId="0" applyFont="1" applyBorder="1"/>
    <xf numFmtId="0" fontId="1" fillId="0" borderId="128" xfId="0" applyFont="1" applyBorder="1" applyAlignment="1">
      <alignment horizontal="right"/>
    </xf>
    <xf numFmtId="0" fontId="1" fillId="0" borderId="233" xfId="0" applyFont="1" applyBorder="1" applyAlignment="1">
      <alignment horizontal="right"/>
    </xf>
    <xf numFmtId="0" fontId="1" fillId="0" borderId="234" xfId="0" applyFont="1" applyBorder="1"/>
    <xf numFmtId="0" fontId="1" fillId="0" borderId="235" xfId="0" applyFont="1" applyBorder="1" applyAlignment="1">
      <alignment horizontal="center"/>
    </xf>
    <xf numFmtId="0" fontId="1" fillId="0" borderId="235" xfId="0" applyFont="1" applyBorder="1"/>
    <xf numFmtId="3" fontId="1" fillId="0" borderId="233" xfId="0" applyNumberFormat="1" applyFont="1" applyBorder="1" applyAlignment="1">
      <alignment horizontal="right"/>
    </xf>
    <xf numFmtId="0" fontId="1" fillId="0" borderId="164" xfId="0" applyFont="1" applyBorder="1" applyAlignment="1">
      <alignment horizontal="right"/>
    </xf>
    <xf numFmtId="3" fontId="1" fillId="0" borderId="164" xfId="0" applyNumberFormat="1" applyFont="1" applyBorder="1" applyAlignment="1">
      <alignment horizontal="right"/>
    </xf>
    <xf numFmtId="0" fontId="1" fillId="0" borderId="168" xfId="0" applyFont="1" applyBorder="1"/>
    <xf numFmtId="0" fontId="1" fillId="0" borderId="176" xfId="0" applyFont="1" applyBorder="1" applyAlignment="1">
      <alignment horizontal="right"/>
    </xf>
    <xf numFmtId="0" fontId="1" fillId="0" borderId="236" xfId="0" applyFont="1" applyBorder="1"/>
    <xf numFmtId="0" fontId="1" fillId="0" borderId="237" xfId="0" applyFont="1" applyBorder="1"/>
    <xf numFmtId="0" fontId="1" fillId="0" borderId="238" xfId="0" applyFont="1" applyBorder="1" applyAlignment="1">
      <alignment horizontal="right"/>
    </xf>
    <xf numFmtId="3" fontId="1" fillId="0" borderId="238" xfId="0" applyNumberFormat="1" applyFont="1" applyBorder="1" applyAlignment="1">
      <alignment horizontal="right"/>
    </xf>
    <xf numFmtId="0" fontId="1" fillId="0" borderId="239" xfId="0" applyFont="1" applyBorder="1"/>
    <xf numFmtId="0" fontId="1" fillId="0" borderId="240" xfId="0" applyFont="1" applyBorder="1"/>
    <xf numFmtId="0" fontId="1" fillId="0" borderId="241" xfId="0" applyFont="1" applyBorder="1" applyAlignment="1">
      <alignment horizontal="right"/>
    </xf>
    <xf numFmtId="0" fontId="1" fillId="0" borderId="138" xfId="0" applyFont="1" applyBorder="1"/>
    <xf numFmtId="0" fontId="1" fillId="0" borderId="139" xfId="0" applyFont="1" applyBorder="1" applyAlignment="1">
      <alignment horizontal="right"/>
    </xf>
    <xf numFmtId="0" fontId="1" fillId="0" borderId="242" xfId="0" applyFont="1" applyBorder="1"/>
    <xf numFmtId="3" fontId="1" fillId="0" borderId="243" xfId="0" applyNumberFormat="1" applyFont="1" applyBorder="1" applyAlignment="1">
      <alignment horizontal="right"/>
    </xf>
    <xf numFmtId="0" fontId="1" fillId="0" borderId="244" xfId="0" applyFont="1" applyBorder="1" applyAlignment="1">
      <alignment horizontal="right"/>
    </xf>
    <xf numFmtId="0" fontId="1" fillId="0" borderId="245" xfId="0" applyFont="1" applyBorder="1"/>
    <xf numFmtId="3" fontId="1" fillId="0" borderId="246" xfId="0" applyNumberFormat="1" applyFont="1" applyBorder="1" applyAlignment="1">
      <alignment horizontal="right"/>
    </xf>
    <xf numFmtId="0" fontId="1" fillId="0" borderId="247" xfId="0" applyFont="1" applyBorder="1"/>
    <xf numFmtId="0" fontId="1" fillId="0" borderId="248" xfId="0" applyFont="1" applyBorder="1"/>
    <xf numFmtId="0" fontId="1" fillId="0" borderId="249" xfId="0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38" borderId="0" xfId="0" applyFont="1" applyFill="1"/>
    <xf numFmtId="0" fontId="1" fillId="38" borderId="0" xfId="0" applyFont="1" applyFill="1" applyAlignment="1">
      <alignment horizontal="right"/>
    </xf>
    <xf numFmtId="49" fontId="1" fillId="38" borderId="0" xfId="0" applyNumberFormat="1" applyFont="1" applyFill="1" applyAlignment="1">
      <alignment horizontal="right"/>
    </xf>
    <xf numFmtId="0" fontId="1" fillId="38" borderId="0" xfId="0" applyFont="1" applyFill="1" applyAlignment="1">
      <alignment horizontal="center"/>
    </xf>
    <xf numFmtId="0" fontId="1" fillId="38" borderId="0" xfId="0" applyFont="1" applyFill="1" applyAlignment="1">
      <alignment horizontal="left"/>
    </xf>
    <xf numFmtId="0" fontId="10" fillId="4" borderId="80" xfId="0" applyFont="1" applyFill="1" applyBorder="1"/>
    <xf numFmtId="0" fontId="10" fillId="5" borderId="47" xfId="0" applyFont="1" applyFill="1" applyBorder="1"/>
    <xf numFmtId="0" fontId="10" fillId="4" borderId="228" xfId="0" applyFont="1" applyFill="1" applyBorder="1"/>
    <xf numFmtId="0" fontId="1" fillId="0" borderId="34" xfId="0" applyFont="1" applyBorder="1" applyAlignment="1">
      <alignment horizontal="right"/>
    </xf>
    <xf numFmtId="0" fontId="1" fillId="0" borderId="250" xfId="0" applyFont="1" applyBorder="1"/>
    <xf numFmtId="0" fontId="1" fillId="0" borderId="251" xfId="0" applyFont="1" applyBorder="1"/>
    <xf numFmtId="174" fontId="10" fillId="39" borderId="0" xfId="0" applyNumberFormat="1" applyFont="1" applyFill="1"/>
    <xf numFmtId="0" fontId="22" fillId="39" borderId="0" xfId="0" applyFont="1" applyFill="1"/>
    <xf numFmtId="0" fontId="10" fillId="39" borderId="0" xfId="0" applyFont="1" applyFill="1"/>
    <xf numFmtId="0" fontId="1" fillId="39" borderId="0" xfId="0" applyFont="1" applyFill="1" applyAlignment="1">
      <alignment horizontal="right"/>
    </xf>
    <xf numFmtId="0" fontId="1" fillId="39" borderId="0" xfId="0" applyFont="1" applyFill="1"/>
    <xf numFmtId="49" fontId="1" fillId="39" borderId="0" xfId="0" applyNumberFormat="1" applyFont="1" applyFill="1" applyAlignment="1">
      <alignment horizontal="right"/>
    </xf>
    <xf numFmtId="0" fontId="1" fillId="39" borderId="0" xfId="0" applyFont="1" applyFill="1" applyAlignment="1">
      <alignment horizontal="center"/>
    </xf>
    <xf numFmtId="0" fontId="1" fillId="39" borderId="0" xfId="0" applyFont="1" applyFill="1" applyAlignment="1">
      <alignment horizontal="left"/>
    </xf>
    <xf numFmtId="0" fontId="10" fillId="4" borderId="47" xfId="0" applyFont="1" applyFill="1" applyBorder="1"/>
    <xf numFmtId="0" fontId="1" fillId="0" borderId="83" xfId="0" applyFont="1" applyBorder="1" applyAlignment="1">
      <alignment horizontal="right"/>
    </xf>
    <xf numFmtId="0" fontId="10" fillId="4" borderId="24" xfId="0" applyFont="1" applyFill="1" applyBorder="1"/>
    <xf numFmtId="0" fontId="1" fillId="0" borderId="25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 applyAlignment="1">
      <alignment horizontal="right"/>
    </xf>
    <xf numFmtId="0" fontId="10" fillId="5" borderId="80" xfId="0" applyFont="1" applyFill="1" applyBorder="1"/>
    <xf numFmtId="0" fontId="1" fillId="0" borderId="36" xfId="0" applyFont="1" applyBorder="1" applyAlignment="1">
      <alignment horizontal="right"/>
    </xf>
    <xf numFmtId="0" fontId="1" fillId="0" borderId="39" xfId="0" applyFont="1" applyBorder="1" applyAlignment="1">
      <alignment horizontal="right"/>
    </xf>
    <xf numFmtId="0" fontId="1" fillId="0" borderId="88" xfId="0" applyFont="1" applyBorder="1" applyAlignment="1">
      <alignment horizontal="right"/>
    </xf>
    <xf numFmtId="49" fontId="1" fillId="0" borderId="88" xfId="0" applyNumberFormat="1" applyFont="1" applyBorder="1" applyAlignment="1">
      <alignment horizontal="right"/>
    </xf>
    <xf numFmtId="49" fontId="1" fillId="0" borderId="47" xfId="0" applyNumberFormat="1" applyFont="1" applyBorder="1" applyAlignment="1">
      <alignment horizontal="right"/>
    </xf>
    <xf numFmtId="0" fontId="10" fillId="4" borderId="47" xfId="0" applyFont="1" applyFill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1" fillId="28" borderId="47" xfId="0" applyFont="1" applyFill="1" applyBorder="1"/>
    <xf numFmtId="0" fontId="1" fillId="10" borderId="34" xfId="0" applyFont="1" applyFill="1" applyBorder="1"/>
    <xf numFmtId="3" fontId="1" fillId="0" borderId="35" xfId="0" applyNumberFormat="1" applyFont="1" applyBorder="1" applyAlignment="1">
      <alignment horizontal="right"/>
    </xf>
    <xf numFmtId="3" fontId="1" fillId="0" borderId="48" xfId="0" applyNumberFormat="1" applyFont="1" applyBorder="1" applyAlignment="1">
      <alignment horizontal="right"/>
    </xf>
    <xf numFmtId="0" fontId="1" fillId="21" borderId="47" xfId="0" applyFont="1" applyFill="1" applyBorder="1"/>
    <xf numFmtId="0" fontId="1" fillId="15" borderId="47" xfId="0" applyFont="1" applyFill="1" applyBorder="1"/>
    <xf numFmtId="3" fontId="1" fillId="0" borderId="73" xfId="0" applyNumberFormat="1" applyFont="1" applyBorder="1" applyAlignment="1">
      <alignment horizontal="right"/>
    </xf>
    <xf numFmtId="0" fontId="10" fillId="16" borderId="0" xfId="0" applyFont="1" applyFill="1" applyAlignment="1">
      <alignment horizontal="center" vertical="center"/>
    </xf>
    <xf numFmtId="3" fontId="11" fillId="19" borderId="252" xfId="0" applyNumberFormat="1" applyFont="1" applyFill="1" applyBorder="1" applyAlignment="1">
      <alignment horizontal="center" vertical="center" wrapText="1"/>
    </xf>
    <xf numFmtId="3" fontId="12" fillId="17" borderId="253" xfId="0" applyNumberFormat="1" applyFont="1" applyFill="1" applyBorder="1" applyAlignment="1">
      <alignment horizontal="center" vertical="center" wrapText="1"/>
    </xf>
    <xf numFmtId="3" fontId="12" fillId="3" borderId="254" xfId="0" applyNumberFormat="1" applyFont="1" applyFill="1" applyBorder="1" applyAlignment="1">
      <alignment horizontal="center" vertical="center" wrapText="1"/>
    </xf>
    <xf numFmtId="3" fontId="11" fillId="19" borderId="255" xfId="0" applyNumberFormat="1" applyFont="1" applyFill="1" applyBorder="1" applyAlignment="1">
      <alignment horizontal="center" vertical="center" wrapText="1"/>
    </xf>
    <xf numFmtId="3" fontId="12" fillId="4" borderId="256" xfId="0" applyNumberFormat="1" applyFont="1" applyFill="1" applyBorder="1" applyAlignment="1">
      <alignment horizontal="center" vertical="center" wrapText="1"/>
    </xf>
    <xf numFmtId="0" fontId="12" fillId="15" borderId="257" xfId="0" applyFont="1" applyFill="1" applyBorder="1" applyAlignment="1">
      <alignment horizontal="center" vertical="center" wrapText="1"/>
    </xf>
    <xf numFmtId="0" fontId="12" fillId="15" borderId="258" xfId="0" applyFont="1" applyFill="1" applyBorder="1" applyAlignment="1">
      <alignment horizontal="center" vertical="center" wrapText="1"/>
    </xf>
    <xf numFmtId="0" fontId="10" fillId="15" borderId="258" xfId="0" applyFont="1" applyFill="1" applyBorder="1" applyAlignment="1">
      <alignment horizontal="center" vertical="center"/>
    </xf>
    <xf numFmtId="0" fontId="10" fillId="29" borderId="258" xfId="0" applyFont="1" applyFill="1" applyBorder="1" applyAlignment="1">
      <alignment horizontal="center" vertical="center"/>
    </xf>
    <xf numFmtId="0" fontId="10" fillId="29" borderId="259" xfId="0" applyFont="1" applyFill="1" applyBorder="1" applyAlignment="1">
      <alignment horizontal="center" vertical="center"/>
    </xf>
    <xf numFmtId="165" fontId="10" fillId="29" borderId="260" xfId="0" applyNumberFormat="1" applyFont="1" applyFill="1" applyBorder="1" applyAlignment="1">
      <alignment horizontal="center" vertical="center"/>
    </xf>
    <xf numFmtId="0" fontId="1" fillId="16" borderId="0" xfId="0" applyFont="1" applyFill="1"/>
    <xf numFmtId="0" fontId="1" fillId="21" borderId="34" xfId="0" applyFont="1" applyFill="1" applyBorder="1"/>
    <xf numFmtId="0" fontId="1" fillId="21" borderId="34" xfId="0" applyFont="1" applyFill="1" applyBorder="1" applyAlignment="1">
      <alignment horizontal="center"/>
    </xf>
    <xf numFmtId="9" fontId="1" fillId="21" borderId="34" xfId="0" applyNumberFormat="1" applyFont="1" applyFill="1" applyBorder="1" applyAlignment="1">
      <alignment horizontal="center" vertical="center"/>
    </xf>
    <xf numFmtId="3" fontId="1" fillId="21" borderId="34" xfId="0" applyNumberFormat="1" applyFont="1" applyFill="1" applyBorder="1"/>
    <xf numFmtId="3" fontId="1" fillId="21" borderId="35" xfId="0" applyNumberFormat="1" applyFont="1" applyFill="1" applyBorder="1"/>
    <xf numFmtId="3" fontId="1" fillId="21" borderId="33" xfId="0" applyNumberFormat="1" applyFont="1" applyFill="1" applyBorder="1"/>
    <xf numFmtId="3" fontId="1" fillId="21" borderId="39" xfId="0" applyNumberFormat="1" applyFont="1" applyFill="1" applyBorder="1"/>
    <xf numFmtId="3" fontId="1" fillId="21" borderId="40" xfId="0" applyNumberFormat="1" applyFont="1" applyFill="1" applyBorder="1"/>
    <xf numFmtId="9" fontId="1" fillId="21" borderId="34" xfId="0" applyNumberFormat="1" applyFont="1" applyFill="1" applyBorder="1" applyAlignment="1">
      <alignment horizontal="center"/>
    </xf>
    <xf numFmtId="3" fontId="10" fillId="21" borderId="35" xfId="0" applyNumberFormat="1" applyFont="1" applyFill="1" applyBorder="1"/>
    <xf numFmtId="9" fontId="10" fillId="21" borderId="39" xfId="0" applyNumberFormat="1" applyFont="1" applyFill="1" applyBorder="1" applyAlignment="1">
      <alignment horizontal="center"/>
    </xf>
    <xf numFmtId="3" fontId="1" fillId="21" borderId="23" xfId="0" applyNumberFormat="1" applyFont="1" applyFill="1" applyBorder="1"/>
    <xf numFmtId="3" fontId="1" fillId="21" borderId="50" xfId="0" applyNumberFormat="1" applyFont="1" applyFill="1" applyBorder="1"/>
    <xf numFmtId="3" fontId="1" fillId="21" borderId="27" xfId="0" applyNumberFormat="1" applyFont="1" applyFill="1" applyBorder="1"/>
    <xf numFmtId="3" fontId="1" fillId="21" borderId="49" xfId="0" applyNumberFormat="1" applyFont="1" applyFill="1" applyBorder="1"/>
    <xf numFmtId="3" fontId="1" fillId="21" borderId="47" xfId="0" applyNumberFormat="1" applyFont="1" applyFill="1" applyBorder="1"/>
    <xf numFmtId="3" fontId="1" fillId="21" borderId="36" xfId="0" applyNumberFormat="1" applyFont="1" applyFill="1" applyBorder="1"/>
    <xf numFmtId="3" fontId="1" fillId="21" borderId="225" xfId="0" applyNumberFormat="1" applyFont="1" applyFill="1" applyBorder="1"/>
    <xf numFmtId="3" fontId="1" fillId="21" borderId="226" xfId="0" applyNumberFormat="1" applyFont="1" applyFill="1" applyBorder="1"/>
    <xf numFmtId="3" fontId="1" fillId="21" borderId="261" xfId="0" applyNumberFormat="1" applyFont="1" applyFill="1" applyBorder="1"/>
    <xf numFmtId="3" fontId="1" fillId="21" borderId="262" xfId="0" applyNumberFormat="1" applyFont="1" applyFill="1" applyBorder="1"/>
    <xf numFmtId="3" fontId="1" fillId="21" borderId="227" xfId="0" applyNumberFormat="1" applyFont="1" applyFill="1" applyBorder="1"/>
    <xf numFmtId="3" fontId="1" fillId="21" borderId="163" xfId="0" applyNumberFormat="1" applyFont="1" applyFill="1" applyBorder="1"/>
    <xf numFmtId="3" fontId="1" fillId="21" borderId="164" xfId="0" applyNumberFormat="1" applyFont="1" applyFill="1" applyBorder="1"/>
    <xf numFmtId="9" fontId="12" fillId="3" borderId="263" xfId="0" applyNumberFormat="1" applyFont="1" applyFill="1" applyBorder="1" applyAlignment="1">
      <alignment horizontal="center"/>
    </xf>
    <xf numFmtId="3" fontId="12" fillId="0" borderId="264" xfId="0" applyNumberFormat="1" applyFont="1" applyBorder="1" applyAlignment="1">
      <alignment horizontal="center"/>
    </xf>
    <xf numFmtId="3" fontId="12" fillId="0" borderId="265" xfId="0" applyNumberFormat="1" applyFont="1" applyBorder="1" applyAlignment="1">
      <alignment horizontal="center"/>
    </xf>
    <xf numFmtId="3" fontId="12" fillId="0" borderId="266" xfId="0" applyNumberFormat="1" applyFont="1" applyBorder="1" applyAlignment="1">
      <alignment horizontal="center"/>
    </xf>
    <xf numFmtId="0" fontId="1" fillId="15" borderId="47" xfId="0" applyFont="1" applyFill="1" applyBorder="1" applyAlignment="1">
      <alignment horizontal="center"/>
    </xf>
    <xf numFmtId="9" fontId="1" fillId="15" borderId="47" xfId="0" applyNumberFormat="1" applyFont="1" applyFill="1" applyBorder="1" applyAlignment="1">
      <alignment horizontal="center" vertical="center"/>
    </xf>
    <xf numFmtId="3" fontId="1" fillId="15" borderId="48" xfId="0" applyNumberFormat="1" applyFont="1" applyFill="1" applyBorder="1"/>
    <xf numFmtId="3" fontId="1" fillId="15" borderId="36" xfId="0" applyNumberFormat="1" applyFont="1" applyFill="1" applyBorder="1"/>
    <xf numFmtId="3" fontId="1" fillId="15" borderId="27" xfId="0" applyNumberFormat="1" applyFont="1" applyFill="1" applyBorder="1"/>
    <xf numFmtId="3" fontId="1" fillId="15" borderId="34" xfId="0" applyNumberFormat="1" applyFont="1" applyFill="1" applyBorder="1"/>
    <xf numFmtId="3" fontId="1" fillId="15" borderId="33" xfId="0" applyNumberFormat="1" applyFont="1" applyFill="1" applyBorder="1"/>
    <xf numFmtId="3" fontId="1" fillId="15" borderId="39" xfId="0" applyNumberFormat="1" applyFont="1" applyFill="1" applyBorder="1"/>
    <xf numFmtId="3" fontId="10" fillId="15" borderId="48" xfId="0" applyNumberFormat="1" applyFont="1" applyFill="1" applyBorder="1"/>
    <xf numFmtId="9" fontId="10" fillId="15" borderId="36" xfId="0" applyNumberFormat="1" applyFont="1" applyFill="1" applyBorder="1" applyAlignment="1">
      <alignment horizontal="center"/>
    </xf>
    <xf numFmtId="3" fontId="1" fillId="15" borderId="23" xfId="0" applyNumberFormat="1" applyFont="1" applyFill="1" applyBorder="1"/>
    <xf numFmtId="3" fontId="1" fillId="15" borderId="49" xfId="0" applyNumberFormat="1" applyFont="1" applyFill="1" applyBorder="1"/>
    <xf numFmtId="3" fontId="1" fillId="15" borderId="44" xfId="0" applyNumberFormat="1" applyFont="1" applyFill="1" applyBorder="1"/>
    <xf numFmtId="3" fontId="1" fillId="15" borderId="112" xfId="0" applyNumberFormat="1" applyFont="1" applyFill="1" applyBorder="1"/>
    <xf numFmtId="3" fontId="1" fillId="15" borderId="163" xfId="0" applyNumberFormat="1" applyFont="1" applyFill="1" applyBorder="1"/>
    <xf numFmtId="3" fontId="1" fillId="15" borderId="164" xfId="0" applyNumberFormat="1" applyFont="1" applyFill="1" applyBorder="1"/>
    <xf numFmtId="3" fontId="12" fillId="0" borderId="267" xfId="0" applyNumberFormat="1" applyFont="1" applyBorder="1" applyAlignment="1">
      <alignment horizontal="center"/>
    </xf>
    <xf numFmtId="0" fontId="1" fillId="21" borderId="47" xfId="0" applyFont="1" applyFill="1" applyBorder="1" applyAlignment="1">
      <alignment horizontal="center"/>
    </xf>
    <xf numFmtId="3" fontId="1" fillId="21" borderId="48" xfId="0" applyNumberFormat="1" applyFont="1" applyFill="1" applyBorder="1"/>
    <xf numFmtId="9" fontId="1" fillId="21" borderId="47" xfId="0" applyNumberFormat="1" applyFont="1" applyFill="1" applyBorder="1" applyAlignment="1">
      <alignment horizontal="center"/>
    </xf>
    <xf numFmtId="3" fontId="10" fillId="21" borderId="48" xfId="0" applyNumberFormat="1" applyFont="1" applyFill="1" applyBorder="1"/>
    <xf numFmtId="9" fontId="10" fillId="21" borderId="36" xfId="0" applyNumberFormat="1" applyFont="1" applyFill="1" applyBorder="1" applyAlignment="1">
      <alignment horizontal="center"/>
    </xf>
    <xf numFmtId="3" fontId="1" fillId="21" borderId="44" xfId="0" applyNumberFormat="1" applyFont="1" applyFill="1" applyBorder="1"/>
    <xf numFmtId="3" fontId="1" fillId="21" borderId="112" xfId="0" applyNumberFormat="1" applyFont="1" applyFill="1" applyBorder="1"/>
    <xf numFmtId="3" fontId="1" fillId="0" borderId="267" xfId="0" applyNumberFormat="1" applyFont="1" applyBorder="1" applyAlignment="1">
      <alignment horizontal="center"/>
    </xf>
    <xf numFmtId="0" fontId="10" fillId="0" borderId="268" xfId="0" applyFont="1" applyBorder="1" applyAlignment="1">
      <alignment horizontal="center"/>
    </xf>
    <xf numFmtId="3" fontId="1" fillId="0" borderId="269" xfId="0" applyNumberFormat="1" applyFont="1" applyBorder="1" applyAlignment="1">
      <alignment horizontal="center"/>
    </xf>
    <xf numFmtId="3" fontId="1" fillId="0" borderId="270" xfId="0" applyNumberFormat="1" applyFont="1" applyBorder="1" applyAlignment="1">
      <alignment horizontal="center"/>
    </xf>
    <xf numFmtId="3" fontId="1" fillId="0" borderId="271" xfId="0" applyNumberFormat="1" applyFont="1" applyBorder="1" applyAlignment="1">
      <alignment horizontal="center"/>
    </xf>
    <xf numFmtId="0" fontId="10" fillId="9" borderId="272" xfId="0" applyFont="1" applyFill="1" applyBorder="1" applyAlignment="1">
      <alignment horizontal="right"/>
    </xf>
    <xf numFmtId="3" fontId="10" fillId="9" borderId="273" xfId="0" applyNumberFormat="1" applyFont="1" applyFill="1" applyBorder="1" applyAlignment="1">
      <alignment horizontal="center"/>
    </xf>
    <xf numFmtId="3" fontId="10" fillId="9" borderId="274" xfId="0" applyNumberFormat="1" applyFont="1" applyFill="1" applyBorder="1" applyAlignment="1">
      <alignment horizontal="center"/>
    </xf>
    <xf numFmtId="3" fontId="10" fillId="9" borderId="275" xfId="0" applyNumberFormat="1" applyFont="1" applyFill="1" applyBorder="1" applyAlignment="1">
      <alignment horizontal="center"/>
    </xf>
    <xf numFmtId="3" fontId="1" fillId="15" borderId="171" xfId="0" applyNumberFormat="1" applyFont="1" applyFill="1" applyBorder="1"/>
    <xf numFmtId="3" fontId="1" fillId="15" borderId="172" xfId="0" applyNumberFormat="1" applyFont="1" applyFill="1" applyBorder="1"/>
    <xf numFmtId="3" fontId="1" fillId="15" borderId="113" xfId="0" applyNumberFormat="1" applyFont="1" applyFill="1" applyBorder="1"/>
    <xf numFmtId="3" fontId="10" fillId="15" borderId="172" xfId="0" applyNumberFormat="1" applyFont="1" applyFill="1" applyBorder="1"/>
    <xf numFmtId="3" fontId="1" fillId="15" borderId="35" xfId="0" applyNumberFormat="1" applyFont="1" applyFill="1" applyBorder="1"/>
    <xf numFmtId="3" fontId="1" fillId="15" borderId="40" xfId="0" applyNumberFormat="1" applyFont="1" applyFill="1" applyBorder="1"/>
    <xf numFmtId="9" fontId="1" fillId="15" borderId="34" xfId="0" applyNumberFormat="1" applyFont="1" applyFill="1" applyBorder="1" applyAlignment="1">
      <alignment horizontal="center" vertical="center"/>
    </xf>
    <xf numFmtId="0" fontId="1" fillId="15" borderId="34" xfId="0" applyFont="1" applyFill="1" applyBorder="1"/>
    <xf numFmtId="3" fontId="10" fillId="15" borderId="35" xfId="0" applyNumberFormat="1" applyFont="1" applyFill="1" applyBorder="1"/>
    <xf numFmtId="9" fontId="1" fillId="15" borderId="54" xfId="0" applyNumberFormat="1" applyFont="1" applyFill="1" applyBorder="1" applyAlignment="1">
      <alignment horizontal="center" vertical="center"/>
    </xf>
    <xf numFmtId="0" fontId="1" fillId="15" borderId="54" xfId="0" applyFont="1" applyFill="1" applyBorder="1"/>
    <xf numFmtId="3" fontId="1" fillId="15" borderId="54" xfId="0" applyNumberFormat="1" applyFont="1" applyFill="1" applyBorder="1"/>
    <xf numFmtId="3" fontId="1" fillId="15" borderId="73" xfId="0" applyNumberFormat="1" applyFont="1" applyFill="1" applyBorder="1"/>
    <xf numFmtId="3" fontId="1" fillId="15" borderId="208" xfId="0" applyNumberFormat="1" applyFont="1" applyFill="1" applyBorder="1"/>
    <xf numFmtId="3" fontId="1" fillId="15" borderId="209" xfId="0" applyNumberFormat="1" applyFont="1" applyFill="1" applyBorder="1"/>
    <xf numFmtId="3" fontId="1" fillId="15" borderId="210" xfId="0" applyNumberFormat="1" applyFont="1" applyFill="1" applyBorder="1"/>
    <xf numFmtId="3" fontId="1" fillId="15" borderId="211" xfId="0" applyNumberFormat="1" applyFont="1" applyFill="1" applyBorder="1"/>
    <xf numFmtId="3" fontId="10" fillId="15" borderId="212" xfId="0" applyNumberFormat="1" applyFont="1" applyFill="1" applyBorder="1"/>
    <xf numFmtId="3" fontId="1" fillId="15" borderId="125" xfId="0" applyNumberFormat="1" applyFont="1" applyFill="1" applyBorder="1"/>
    <xf numFmtId="3" fontId="1" fillId="15" borderId="213" xfId="0" applyNumberFormat="1" applyFont="1" applyFill="1" applyBorder="1"/>
    <xf numFmtId="3" fontId="1" fillId="15" borderId="214" xfId="0" applyNumberFormat="1" applyFont="1" applyFill="1" applyBorder="1"/>
    <xf numFmtId="3" fontId="10" fillId="15" borderId="213" xfId="0" applyNumberFormat="1" applyFont="1" applyFill="1" applyBorder="1"/>
    <xf numFmtId="0" fontId="1" fillId="15" borderId="54" xfId="0" applyFont="1" applyFill="1" applyBorder="1" applyAlignment="1">
      <alignment horizontal="center"/>
    </xf>
    <xf numFmtId="3" fontId="1" fillId="15" borderId="55" xfId="0" applyNumberFormat="1" applyFont="1" applyFill="1" applyBorder="1"/>
    <xf numFmtId="3" fontId="1" fillId="15" borderId="57" xfId="0" applyNumberFormat="1" applyFont="1" applyFill="1" applyBorder="1"/>
    <xf numFmtId="3" fontId="1" fillId="15" borderId="65" xfId="0" applyNumberFormat="1" applyFont="1" applyFill="1" applyBorder="1"/>
    <xf numFmtId="3" fontId="1" fillId="15" borderId="64" xfId="0" applyNumberFormat="1" applyFont="1" applyFill="1" applyBorder="1"/>
    <xf numFmtId="9" fontId="1" fillId="15" borderId="54" xfId="0" applyNumberFormat="1" applyFont="1" applyFill="1" applyBorder="1" applyAlignment="1">
      <alignment horizontal="center"/>
    </xf>
    <xf numFmtId="3" fontId="1" fillId="15" borderId="67" xfId="0" applyNumberFormat="1" applyFont="1" applyFill="1" applyBorder="1"/>
    <xf numFmtId="3" fontId="1" fillId="15" borderId="53" xfId="0" applyNumberFormat="1" applyFont="1" applyFill="1" applyBorder="1"/>
    <xf numFmtId="3" fontId="1" fillId="15" borderId="115" xfId="0" applyNumberFormat="1" applyFont="1" applyFill="1" applyBorder="1"/>
    <xf numFmtId="3" fontId="10" fillId="15" borderId="55" xfId="0" applyNumberFormat="1" applyFont="1" applyFill="1" applyBorder="1"/>
    <xf numFmtId="9" fontId="10" fillId="15" borderId="65" xfId="0" applyNumberFormat="1" applyFont="1" applyFill="1" applyBorder="1" applyAlignment="1">
      <alignment horizontal="center"/>
    </xf>
    <xf numFmtId="3" fontId="1" fillId="15" borderId="71" xfId="0" applyNumberFormat="1" applyFont="1" applyFill="1" applyBorder="1"/>
    <xf numFmtId="3" fontId="1" fillId="15" borderId="56" xfId="0" applyNumberFormat="1" applyFont="1" applyFill="1" applyBorder="1"/>
    <xf numFmtId="3" fontId="1" fillId="15" borderId="74" xfId="0" applyNumberFormat="1" applyFont="1" applyFill="1" applyBorder="1"/>
    <xf numFmtId="3" fontId="1" fillId="15" borderId="128" xfId="0" applyNumberFormat="1" applyFont="1" applyFill="1" applyBorder="1"/>
    <xf numFmtId="3" fontId="1" fillId="15" borderId="168" xfId="0" applyNumberFormat="1" applyFont="1" applyFill="1" applyBorder="1"/>
    <xf numFmtId="3" fontId="1" fillId="15" borderId="176" xfId="0" applyNumberFormat="1" applyFont="1" applyFill="1" applyBorder="1"/>
    <xf numFmtId="0" fontId="10" fillId="40" borderId="0" xfId="0" applyFont="1" applyFill="1" applyAlignment="1">
      <alignment horizontal="right" vertical="center"/>
    </xf>
    <xf numFmtId="3" fontId="10" fillId="40" borderId="218" xfId="0" applyNumberFormat="1" applyFont="1" applyFill="1" applyBorder="1"/>
    <xf numFmtId="3" fontId="10" fillId="40" borderId="170" xfId="0" applyNumberFormat="1" applyFont="1" applyFill="1" applyBorder="1"/>
    <xf numFmtId="3" fontId="10" fillId="40" borderId="219" xfId="0" applyNumberFormat="1" applyFont="1" applyFill="1" applyBorder="1"/>
    <xf numFmtId="3" fontId="10" fillId="40" borderId="276" xfId="0" applyNumberFormat="1" applyFont="1" applyFill="1" applyBorder="1"/>
    <xf numFmtId="3" fontId="10" fillId="40" borderId="217" xfId="0" applyNumberFormat="1" applyFont="1" applyFill="1" applyBorder="1"/>
    <xf numFmtId="3" fontId="10" fillId="9" borderId="276" xfId="0" applyNumberFormat="1" applyFont="1" applyFill="1" applyBorder="1"/>
    <xf numFmtId="3" fontId="10" fillId="9" borderId="217" xfId="0" applyNumberFormat="1" applyFont="1" applyFill="1" applyBorder="1"/>
    <xf numFmtId="3" fontId="10" fillId="40" borderId="277" xfId="0" applyNumberFormat="1" applyFont="1" applyFill="1" applyBorder="1"/>
    <xf numFmtId="3" fontId="10" fillId="40" borderId="151" xfId="0" applyNumberFormat="1" applyFont="1" applyFill="1" applyBorder="1"/>
    <xf numFmtId="3" fontId="10" fillId="40" borderId="108" xfId="0" applyNumberFormat="1" applyFont="1" applyFill="1" applyBorder="1"/>
    <xf numFmtId="3" fontId="10" fillId="40" borderId="149" xfId="0" applyNumberFormat="1" applyFont="1" applyFill="1" applyBorder="1"/>
    <xf numFmtId="3" fontId="10" fillId="40" borderId="107" xfId="0" applyNumberFormat="1" applyFont="1" applyFill="1" applyBorder="1"/>
    <xf numFmtId="3" fontId="10" fillId="40" borderId="152" xfId="0" applyNumberFormat="1" applyFont="1" applyFill="1" applyBorder="1"/>
    <xf numFmtId="3" fontId="10" fillId="40" borderId="216" xfId="0" applyNumberFormat="1" applyFont="1" applyFill="1" applyBorder="1"/>
    <xf numFmtId="3" fontId="10" fillId="40" borderId="278" xfId="0" applyNumberFormat="1" applyFont="1" applyFill="1" applyBorder="1"/>
    <xf numFmtId="3" fontId="10" fillId="40" borderId="279" xfId="0" applyNumberFormat="1" applyFont="1" applyFill="1" applyBorder="1"/>
    <xf numFmtId="3" fontId="10" fillId="40" borderId="27" xfId="0" applyNumberFormat="1" applyFont="1" applyFill="1" applyBorder="1"/>
    <xf numFmtId="3" fontId="1" fillId="0" borderId="280" xfId="0" applyNumberFormat="1" applyFont="1" applyBorder="1"/>
    <xf numFmtId="3" fontId="1" fillId="0" borderId="281" xfId="0" applyNumberFormat="1" applyFont="1" applyBorder="1"/>
    <xf numFmtId="0" fontId="9" fillId="0" borderId="282" xfId="0" applyFont="1" applyBorder="1"/>
    <xf numFmtId="9" fontId="9" fillId="0" borderId="282" xfId="0" applyNumberFormat="1" applyFont="1" applyBorder="1"/>
    <xf numFmtId="0" fontId="24" fillId="15" borderId="283" xfId="0" applyFont="1" applyFill="1" applyBorder="1" applyAlignment="1">
      <alignment horizontal="center" vertical="center" wrapText="1"/>
    </xf>
    <xf numFmtId="0" fontId="24" fillId="15" borderId="141" xfId="0" applyFont="1" applyFill="1" applyBorder="1" applyAlignment="1">
      <alignment horizontal="center" vertical="center" wrapText="1"/>
    </xf>
    <xf numFmtId="0" fontId="24" fillId="15" borderId="28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2" fillId="15" borderId="285" xfId="0" applyFont="1" applyFill="1" applyBorder="1" applyAlignment="1">
      <alignment horizontal="center" vertical="center" wrapText="1"/>
    </xf>
    <xf numFmtId="0" fontId="12" fillId="15" borderId="286" xfId="0" applyFont="1" applyFill="1" applyBorder="1" applyAlignment="1">
      <alignment horizontal="center" vertical="center" wrapText="1"/>
    </xf>
    <xf numFmtId="0" fontId="12" fillId="15" borderId="287" xfId="0" applyFont="1" applyFill="1" applyBorder="1" applyAlignment="1">
      <alignment horizontal="center" vertical="center" wrapText="1"/>
    </xf>
    <xf numFmtId="0" fontId="24" fillId="0" borderId="288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9" fontId="24" fillId="0" borderId="40" xfId="0" applyNumberFormat="1" applyFont="1" applyBorder="1" applyAlignment="1">
      <alignment horizontal="center"/>
    </xf>
    <xf numFmtId="0" fontId="9" fillId="0" borderId="289" xfId="0" applyFont="1" applyBorder="1"/>
    <xf numFmtId="9" fontId="12" fillId="3" borderId="290" xfId="0" applyNumberFormat="1" applyFont="1" applyFill="1" applyBorder="1" applyAlignment="1">
      <alignment horizontal="center"/>
    </xf>
    <xf numFmtId="175" fontId="12" fillId="3" borderId="291" xfId="0" applyNumberFormat="1" applyFont="1" applyFill="1" applyBorder="1" applyAlignment="1">
      <alignment horizontal="right"/>
    </xf>
    <xf numFmtId="175" fontId="12" fillId="3" borderId="292" xfId="0" applyNumberFormat="1" applyFont="1" applyFill="1" applyBorder="1" applyAlignment="1">
      <alignment horizontal="right"/>
    </xf>
    <xf numFmtId="9" fontId="24" fillId="0" borderId="289" xfId="0" applyNumberFormat="1" applyFont="1" applyBorder="1" applyAlignment="1">
      <alignment horizontal="center"/>
    </xf>
    <xf numFmtId="9" fontId="12" fillId="4" borderId="293" xfId="0" applyNumberFormat="1" applyFont="1" applyFill="1" applyBorder="1" applyAlignment="1">
      <alignment horizontal="center"/>
    </xf>
    <xf numFmtId="175" fontId="12" fillId="4" borderId="294" xfId="0" applyNumberFormat="1" applyFont="1" applyFill="1" applyBorder="1" applyAlignment="1">
      <alignment horizontal="right"/>
    </xf>
    <xf numFmtId="175" fontId="12" fillId="4" borderId="295" xfId="0" applyNumberFormat="1" applyFont="1" applyFill="1" applyBorder="1" applyAlignment="1">
      <alignment horizontal="right"/>
    </xf>
    <xf numFmtId="9" fontId="12" fillId="5" borderId="293" xfId="0" applyNumberFormat="1" applyFont="1" applyFill="1" applyBorder="1" applyAlignment="1">
      <alignment horizontal="center"/>
    </xf>
    <xf numFmtId="175" fontId="12" fillId="5" borderId="294" xfId="0" applyNumberFormat="1" applyFont="1" applyFill="1" applyBorder="1" applyAlignment="1">
      <alignment horizontal="right"/>
    </xf>
    <xf numFmtId="175" fontId="12" fillId="5" borderId="295" xfId="0" applyNumberFormat="1" applyFont="1" applyFill="1" applyBorder="1" applyAlignment="1">
      <alignment horizontal="right"/>
    </xf>
    <xf numFmtId="9" fontId="12" fillId="23" borderId="293" xfId="0" applyNumberFormat="1" applyFont="1" applyFill="1" applyBorder="1" applyAlignment="1">
      <alignment horizontal="center"/>
    </xf>
    <xf numFmtId="175" fontId="12" fillId="23" borderId="294" xfId="0" applyNumberFormat="1" applyFont="1" applyFill="1" applyBorder="1" applyAlignment="1">
      <alignment horizontal="right"/>
    </xf>
    <xf numFmtId="175" fontId="12" fillId="23" borderId="295" xfId="0" applyNumberFormat="1" applyFont="1" applyFill="1" applyBorder="1" applyAlignment="1">
      <alignment horizontal="right"/>
    </xf>
    <xf numFmtId="9" fontId="12" fillId="7" borderId="296" xfId="0" applyNumberFormat="1" applyFont="1" applyFill="1" applyBorder="1" applyAlignment="1">
      <alignment horizontal="center"/>
    </xf>
    <xf numFmtId="175" fontId="12" fillId="7" borderId="297" xfId="0" applyNumberFormat="1" applyFont="1" applyFill="1" applyBorder="1" applyAlignment="1">
      <alignment horizontal="right"/>
    </xf>
    <xf numFmtId="175" fontId="12" fillId="7" borderId="298" xfId="0" applyNumberFormat="1" applyFont="1" applyFill="1" applyBorder="1" applyAlignment="1">
      <alignment horizontal="right"/>
    </xf>
    <xf numFmtId="0" fontId="9" fillId="0" borderId="291" xfId="0" applyFont="1" applyBorder="1"/>
    <xf numFmtId="0" fontId="24" fillId="28" borderId="288" xfId="0" applyFont="1" applyFill="1" applyBorder="1" applyAlignment="1">
      <alignment horizontal="center"/>
    </xf>
    <xf numFmtId="0" fontId="24" fillId="20" borderId="40" xfId="0" applyFont="1" applyFill="1" applyBorder="1" applyAlignment="1">
      <alignment horizontal="center"/>
    </xf>
    <xf numFmtId="0" fontId="9" fillId="20" borderId="289" xfId="0" applyFont="1" applyFill="1" applyBorder="1"/>
    <xf numFmtId="9" fontId="24" fillId="20" borderId="40" xfId="0" applyNumberFormat="1" applyFont="1" applyFill="1" applyBorder="1" applyAlignment="1">
      <alignment horizontal="center"/>
    </xf>
    <xf numFmtId="9" fontId="24" fillId="20" borderId="289" xfId="0" applyNumberFormat="1" applyFont="1" applyFill="1" applyBorder="1" applyAlignment="1">
      <alignment horizontal="center"/>
    </xf>
    <xf numFmtId="0" fontId="12" fillId="0" borderId="288" xfId="0" applyFont="1" applyBorder="1" applyAlignment="1">
      <alignment horizontal="center"/>
    </xf>
    <xf numFmtId="9" fontId="12" fillId="0" borderId="40" xfId="0" applyNumberFormat="1" applyFont="1" applyBorder="1" applyAlignment="1">
      <alignment horizontal="center"/>
    </xf>
    <xf numFmtId="9" fontId="9" fillId="0" borderId="40" xfId="0" applyNumberFormat="1" applyFont="1" applyBorder="1"/>
    <xf numFmtId="0" fontId="12" fillId="28" borderId="288" xfId="0" applyFont="1" applyFill="1" applyBorder="1" applyAlignment="1">
      <alignment horizontal="center"/>
    </xf>
    <xf numFmtId="9" fontId="12" fillId="20" borderId="40" xfId="0" applyNumberFormat="1" applyFont="1" applyFill="1" applyBorder="1" applyAlignment="1">
      <alignment horizontal="center"/>
    </xf>
    <xf numFmtId="9" fontId="12" fillId="0" borderId="289" xfId="0" applyNumberFormat="1" applyFont="1" applyBorder="1" applyAlignment="1">
      <alignment horizontal="center"/>
    </xf>
    <xf numFmtId="9" fontId="12" fillId="20" borderId="289" xfId="0" applyNumberFormat="1" applyFont="1" applyFill="1" applyBorder="1" applyAlignment="1">
      <alignment horizontal="center"/>
    </xf>
    <xf numFmtId="0" fontId="12" fillId="28" borderId="299" xfId="0" applyFont="1" applyFill="1" applyBorder="1" applyAlignment="1">
      <alignment horizontal="center"/>
    </xf>
    <xf numFmtId="9" fontId="12" fillId="0" borderId="69" xfId="0" applyNumberFormat="1" applyFont="1" applyBorder="1" applyAlignment="1">
      <alignment horizontal="center"/>
    </xf>
    <xf numFmtId="9" fontId="12" fillId="20" borderId="69" xfId="0" applyNumberFormat="1" applyFont="1" applyFill="1" applyBorder="1" applyAlignment="1">
      <alignment horizontal="center"/>
    </xf>
    <xf numFmtId="0" fontId="9" fillId="20" borderId="300" xfId="0" applyFont="1" applyFill="1" applyBorder="1"/>
    <xf numFmtId="0" fontId="12" fillId="28" borderId="301" xfId="0" applyFont="1" applyFill="1" applyBorder="1" applyAlignment="1">
      <alignment horizontal="center"/>
    </xf>
    <xf numFmtId="9" fontId="12" fillId="0" borderId="27" xfId="0" applyNumberFormat="1" applyFont="1" applyBorder="1" applyAlignment="1">
      <alignment horizontal="center"/>
    </xf>
    <xf numFmtId="9" fontId="12" fillId="20" borderId="47" xfId="0" applyNumberFormat="1" applyFont="1" applyFill="1" applyBorder="1" applyAlignment="1">
      <alignment horizontal="center"/>
    </xf>
    <xf numFmtId="0" fontId="9" fillId="20" borderId="112" xfId="0" applyFont="1" applyFill="1" applyBorder="1"/>
    <xf numFmtId="0" fontId="12" fillId="0" borderId="302" xfId="0" applyFont="1" applyBorder="1" applyAlignment="1">
      <alignment horizontal="center"/>
    </xf>
    <xf numFmtId="0" fontId="12" fillId="0" borderId="303" xfId="0" applyFont="1" applyBorder="1" applyAlignment="1">
      <alignment horizontal="center"/>
    </xf>
    <xf numFmtId="9" fontId="12" fillId="0" borderId="235" xfId="0" applyNumberFormat="1" applyFont="1" applyBorder="1" applyAlignment="1">
      <alignment horizontal="center"/>
    </xf>
    <xf numFmtId="0" fontId="9" fillId="0" borderId="244" xfId="0" applyFont="1" applyBorder="1"/>
    <xf numFmtId="0" fontId="12" fillId="0" borderId="301" xfId="0" applyFont="1" applyBorder="1" applyAlignment="1">
      <alignment horizontal="center"/>
    </xf>
    <xf numFmtId="9" fontId="12" fillId="4" borderId="40" xfId="0" applyNumberFormat="1" applyFont="1" applyFill="1" applyBorder="1" applyAlignment="1">
      <alignment horizontal="center"/>
    </xf>
    <xf numFmtId="0" fontId="9" fillId="0" borderId="112" xfId="0" applyFont="1" applyBorder="1"/>
    <xf numFmtId="9" fontId="12" fillId="5" borderId="40" xfId="0" applyNumberFormat="1" applyFont="1" applyFill="1" applyBorder="1" applyAlignment="1">
      <alignment horizontal="center"/>
    </xf>
    <xf numFmtId="9" fontId="12" fillId="33" borderId="40" xfId="0" applyNumberFormat="1" applyFont="1" applyFill="1" applyBorder="1" applyAlignment="1">
      <alignment horizontal="center"/>
    </xf>
    <xf numFmtId="9" fontId="12" fillId="7" borderId="40" xfId="0" applyNumberFormat="1" applyFont="1" applyFill="1" applyBorder="1" applyAlignment="1">
      <alignment horizontal="center"/>
    </xf>
    <xf numFmtId="0" fontId="24" fillId="41" borderId="40" xfId="0" applyFont="1" applyFill="1" applyBorder="1" applyAlignment="1">
      <alignment horizontal="center"/>
    </xf>
    <xf numFmtId="9" fontId="24" fillId="41" borderId="40" xfId="0" applyNumberFormat="1" applyFont="1" applyFill="1" applyBorder="1" applyAlignment="1">
      <alignment horizontal="center"/>
    </xf>
    <xf numFmtId="9" fontId="12" fillId="41" borderId="40" xfId="0" applyNumberFormat="1" applyFont="1" applyFill="1" applyBorder="1" applyAlignment="1">
      <alignment horizontal="center"/>
    </xf>
    <xf numFmtId="9" fontId="12" fillId="41" borderId="289" xfId="0" applyNumberFormat="1" applyFont="1" applyFill="1" applyBorder="1" applyAlignment="1">
      <alignment horizontal="center"/>
    </xf>
    <xf numFmtId="0" fontId="12" fillId="0" borderId="299" xfId="0" applyFont="1" applyBorder="1" applyAlignment="1">
      <alignment horizontal="center"/>
    </xf>
    <xf numFmtId="9" fontId="12" fillId="41" borderId="69" xfId="0" applyNumberFormat="1" applyFont="1" applyFill="1" applyBorder="1" applyAlignment="1">
      <alignment horizontal="center"/>
    </xf>
    <xf numFmtId="0" fontId="9" fillId="0" borderId="300" xfId="0" applyFont="1" applyBorder="1"/>
    <xf numFmtId="0" fontId="23" fillId="0" borderId="0" xfId="0" applyFont="1" applyAlignment="1">
      <alignment horizontal="center" vertical="center"/>
    </xf>
    <xf numFmtId="0" fontId="24" fillId="15" borderId="24" xfId="0" applyFont="1" applyFill="1" applyBorder="1" applyAlignment="1">
      <alignment horizontal="center" vertical="center" wrapText="1"/>
    </xf>
    <xf numFmtId="0" fontId="24" fillId="15" borderId="25" xfId="0" applyFont="1" applyFill="1" applyBorder="1" applyAlignment="1">
      <alignment horizontal="center" vertical="center" wrapText="1"/>
    </xf>
    <xf numFmtId="0" fontId="24" fillId="15" borderId="26" xfId="0" applyFont="1" applyFill="1" applyBorder="1" applyAlignment="1">
      <alignment horizontal="center" vertical="center" wrapText="1"/>
    </xf>
    <xf numFmtId="0" fontId="12" fillId="15" borderId="26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9" fontId="24" fillId="0" borderId="34" xfId="0" applyNumberFormat="1" applyFont="1" applyBorder="1" applyAlignment="1">
      <alignment horizontal="center"/>
    </xf>
    <xf numFmtId="0" fontId="9" fillId="0" borderId="39" xfId="0" applyFont="1" applyBorder="1"/>
    <xf numFmtId="9" fontId="12" fillId="4" borderId="33" xfId="0" applyNumberFormat="1" applyFont="1" applyFill="1" applyBorder="1" applyAlignment="1">
      <alignment horizontal="center"/>
    </xf>
    <xf numFmtId="175" fontId="12" fillId="4" borderId="34" xfId="0" applyNumberFormat="1" applyFont="1" applyFill="1" applyBorder="1" applyAlignment="1">
      <alignment horizontal="right"/>
    </xf>
    <xf numFmtId="175" fontId="12" fillId="4" borderId="39" xfId="0" applyNumberFormat="1" applyFont="1" applyFill="1" applyBorder="1" applyAlignment="1">
      <alignment horizontal="right"/>
    </xf>
    <xf numFmtId="0" fontId="24" fillId="0" borderId="50" xfId="0" applyFont="1" applyBorder="1" applyAlignment="1">
      <alignment horizontal="center"/>
    </xf>
    <xf numFmtId="9" fontId="24" fillId="0" borderId="47" xfId="0" applyNumberFormat="1" applyFont="1" applyBorder="1" applyAlignment="1">
      <alignment horizontal="center"/>
    </xf>
    <xf numFmtId="9" fontId="24" fillId="0" borderId="36" xfId="0" applyNumberFormat="1" applyFont="1" applyBorder="1" applyAlignment="1">
      <alignment horizontal="center"/>
    </xf>
    <xf numFmtId="175" fontId="12" fillId="5" borderId="47" xfId="0" applyNumberFormat="1" applyFont="1" applyFill="1" applyBorder="1" applyAlignment="1">
      <alignment horizontal="right"/>
    </xf>
    <xf numFmtId="175" fontId="12" fillId="5" borderId="36" xfId="0" applyNumberFormat="1" applyFont="1" applyFill="1" applyBorder="1" applyAlignment="1">
      <alignment horizontal="right"/>
    </xf>
    <xf numFmtId="0" fontId="12" fillId="0" borderId="47" xfId="0" applyFont="1" applyBorder="1" applyAlignment="1">
      <alignment horizontal="center"/>
    </xf>
    <xf numFmtId="175" fontId="12" fillId="23" borderId="47" xfId="0" applyNumberFormat="1" applyFont="1" applyFill="1" applyBorder="1" applyAlignment="1">
      <alignment horizontal="right"/>
    </xf>
    <xf numFmtId="175" fontId="12" fillId="23" borderId="36" xfId="0" applyNumberFormat="1" applyFont="1" applyFill="1" applyBorder="1" applyAlignment="1">
      <alignment horizontal="right"/>
    </xf>
    <xf numFmtId="0" fontId="9" fillId="0" borderId="36" xfId="0" applyFont="1" applyBorder="1"/>
    <xf numFmtId="9" fontId="12" fillId="7" borderId="63" xfId="0" applyNumberFormat="1" applyFont="1" applyFill="1" applyBorder="1" applyAlignment="1">
      <alignment horizontal="center"/>
    </xf>
    <xf numFmtId="175" fontId="12" fillId="7" borderId="86" xfId="0" applyNumberFormat="1" applyFont="1" applyFill="1" applyBorder="1" applyAlignment="1">
      <alignment horizontal="right"/>
    </xf>
    <xf numFmtId="175" fontId="12" fillId="7" borderId="88" xfId="0" applyNumberFormat="1" applyFont="1" applyFill="1" applyBorder="1" applyAlignment="1">
      <alignment horizontal="right"/>
    </xf>
    <xf numFmtId="0" fontId="12" fillId="0" borderId="50" xfId="0" applyFont="1" applyBorder="1" applyAlignment="1">
      <alignment horizontal="center"/>
    </xf>
    <xf numFmtId="9" fontId="9" fillId="0" borderId="47" xfId="0" applyNumberFormat="1" applyFont="1" applyBorder="1"/>
    <xf numFmtId="0" fontId="12" fillId="0" borderId="36" xfId="0" applyFont="1" applyBorder="1"/>
    <xf numFmtId="9" fontId="10" fillId="16" borderId="47" xfId="0" applyNumberFormat="1" applyFont="1" applyFill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9" fontId="10" fillId="16" borderId="54" xfId="0" applyNumberFormat="1" applyFont="1" applyFill="1" applyBorder="1" applyAlignment="1">
      <alignment horizontal="center"/>
    </xf>
    <xf numFmtId="9" fontId="10" fillId="0" borderId="54" xfId="0" applyNumberFormat="1" applyFont="1" applyBorder="1" applyAlignment="1">
      <alignment horizontal="center"/>
    </xf>
    <xf numFmtId="0" fontId="12" fillId="0" borderId="304" xfId="0" applyFont="1" applyBorder="1" applyAlignment="1">
      <alignment horizontal="center"/>
    </xf>
    <xf numFmtId="9" fontId="10" fillId="3" borderId="269" xfId="0" applyNumberFormat="1" applyFont="1" applyFill="1" applyBorder="1" applyAlignment="1">
      <alignment horizontal="center"/>
    </xf>
    <xf numFmtId="9" fontId="10" fillId="0" borderId="269" xfId="0" applyNumberFormat="1" applyFont="1" applyBorder="1" applyAlignment="1">
      <alignment horizontal="center"/>
    </xf>
    <xf numFmtId="0" fontId="1" fillId="0" borderId="305" xfId="0" applyFont="1" applyBorder="1"/>
    <xf numFmtId="0" fontId="24" fillId="15" borderId="47" xfId="0" applyFont="1" applyFill="1" applyBorder="1" applyAlignment="1">
      <alignment horizontal="center" vertical="center" wrapText="1"/>
    </xf>
    <xf numFmtId="9" fontId="1" fillId="3" borderId="47" xfId="0" applyNumberFormat="1" applyFont="1" applyFill="1" applyBorder="1" applyAlignment="1">
      <alignment horizontal="center"/>
    </xf>
    <xf numFmtId="0" fontId="10" fillId="11" borderId="4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24" fillId="20" borderId="47" xfId="0" applyNumberFormat="1" applyFont="1" applyFill="1" applyBorder="1" applyAlignment="1">
      <alignment horizontal="center"/>
    </xf>
    <xf numFmtId="0" fontId="19" fillId="0" borderId="0" xfId="0" applyFont="1"/>
    <xf numFmtId="0" fontId="26" fillId="16" borderId="306" xfId="0" applyFont="1" applyFill="1" applyBorder="1" applyAlignment="1">
      <alignment horizontal="center" vertical="center" wrapText="1"/>
    </xf>
    <xf numFmtId="0" fontId="26" fillId="16" borderId="307" xfId="0" applyFont="1" applyFill="1" applyBorder="1" applyAlignment="1">
      <alignment horizontal="center" vertical="center" wrapText="1"/>
    </xf>
    <xf numFmtId="0" fontId="26" fillId="16" borderId="308" xfId="0" applyFont="1" applyFill="1" applyBorder="1" applyAlignment="1">
      <alignment horizontal="center" vertical="center" wrapText="1"/>
    </xf>
    <xf numFmtId="0" fontId="11" fillId="16" borderId="80" xfId="0" applyFont="1" applyFill="1" applyBorder="1" applyAlignment="1">
      <alignment horizontal="center" vertical="center" wrapText="1"/>
    </xf>
    <xf numFmtId="0" fontId="11" fillId="16" borderId="81" xfId="0" applyFont="1" applyFill="1" applyBorder="1" applyAlignment="1">
      <alignment horizontal="center" vertical="center" wrapText="1"/>
    </xf>
    <xf numFmtId="0" fontId="11" fillId="16" borderId="83" xfId="0" applyFont="1" applyFill="1" applyBorder="1" applyAlignment="1">
      <alignment horizontal="center" vertical="center" wrapText="1"/>
    </xf>
    <xf numFmtId="0" fontId="11" fillId="0" borderId="50" xfId="0" applyFont="1" applyBorder="1" applyAlignment="1">
      <alignment horizontal="center"/>
    </xf>
    <xf numFmtId="9" fontId="11" fillId="0" borderId="47" xfId="0" applyNumberFormat="1" applyFont="1" applyBorder="1" applyAlignment="1">
      <alignment horizontal="center"/>
    </xf>
    <xf numFmtId="9" fontId="13" fillId="0" borderId="36" xfId="0" applyNumberFormat="1" applyFont="1" applyBorder="1"/>
    <xf numFmtId="9" fontId="11" fillId="4" borderId="50" xfId="0" applyNumberFormat="1" applyFont="1" applyFill="1" applyBorder="1" applyAlignment="1">
      <alignment horizontal="center"/>
    </xf>
    <xf numFmtId="175" fontId="11" fillId="4" borderId="47" xfId="0" applyNumberFormat="1" applyFont="1" applyFill="1" applyBorder="1" applyAlignment="1">
      <alignment horizontal="right"/>
    </xf>
    <xf numFmtId="175" fontId="11" fillId="4" borderId="36" xfId="0" applyNumberFormat="1" applyFont="1" applyFill="1" applyBorder="1" applyAlignment="1">
      <alignment horizontal="right"/>
    </xf>
    <xf numFmtId="9" fontId="11" fillId="5" borderId="50" xfId="0" applyNumberFormat="1" applyFont="1" applyFill="1" applyBorder="1" applyAlignment="1">
      <alignment horizontal="center"/>
    </xf>
    <xf numFmtId="175" fontId="11" fillId="5" borderId="47" xfId="0" applyNumberFormat="1" applyFont="1" applyFill="1" applyBorder="1" applyAlignment="1">
      <alignment horizontal="right"/>
    </xf>
    <xf numFmtId="175" fontId="11" fillId="5" borderId="36" xfId="0" applyNumberFormat="1" applyFont="1" applyFill="1" applyBorder="1" applyAlignment="1">
      <alignment horizontal="right"/>
    </xf>
    <xf numFmtId="9" fontId="11" fillId="23" borderId="50" xfId="0" applyNumberFormat="1" applyFont="1" applyFill="1" applyBorder="1" applyAlignment="1">
      <alignment horizontal="center"/>
    </xf>
    <xf numFmtId="175" fontId="11" fillId="23" borderId="47" xfId="0" applyNumberFormat="1" applyFont="1" applyFill="1" applyBorder="1" applyAlignment="1">
      <alignment horizontal="right"/>
    </xf>
    <xf numFmtId="175" fontId="11" fillId="23" borderId="36" xfId="0" applyNumberFormat="1" applyFont="1" applyFill="1" applyBorder="1" applyAlignment="1">
      <alignment horizontal="right"/>
    </xf>
    <xf numFmtId="9" fontId="11" fillId="7" borderId="63" xfId="0" applyNumberFormat="1" applyFont="1" applyFill="1" applyBorder="1" applyAlignment="1">
      <alignment horizontal="center"/>
    </xf>
    <xf numFmtId="175" fontId="11" fillId="7" borderId="86" xfId="0" applyNumberFormat="1" applyFont="1" applyFill="1" applyBorder="1" applyAlignment="1">
      <alignment horizontal="right"/>
    </xf>
    <xf numFmtId="175" fontId="11" fillId="7" borderId="88" xfId="0" applyNumberFormat="1" applyFont="1" applyFill="1" applyBorder="1" applyAlignment="1">
      <alignment horizontal="right"/>
    </xf>
    <xf numFmtId="9" fontId="26" fillId="3" borderId="47" xfId="0" applyNumberFormat="1" applyFont="1" applyFill="1" applyBorder="1" applyAlignment="1">
      <alignment horizontal="center"/>
    </xf>
    <xf numFmtId="9" fontId="26" fillId="0" borderId="36" xfId="0" applyNumberFormat="1" applyFont="1" applyBorder="1" applyAlignment="1">
      <alignment horizontal="center"/>
    </xf>
    <xf numFmtId="0" fontId="26" fillId="0" borderId="50" xfId="0" applyFont="1" applyBorder="1" applyAlignment="1">
      <alignment horizontal="center"/>
    </xf>
    <xf numFmtId="9" fontId="26" fillId="0" borderId="47" xfId="0" applyNumberFormat="1" applyFont="1" applyBorder="1" applyAlignment="1">
      <alignment horizontal="center"/>
    </xf>
    <xf numFmtId="9" fontId="19" fillId="0" borderId="36" xfId="0" applyNumberFormat="1" applyFont="1" applyBorder="1" applyAlignment="1">
      <alignment horizontal="center"/>
    </xf>
    <xf numFmtId="0" fontId="26" fillId="0" borderId="57" xfId="0" applyFont="1" applyBorder="1" applyAlignment="1">
      <alignment horizontal="center"/>
    </xf>
    <xf numFmtId="9" fontId="19" fillId="0" borderId="65" xfId="0" applyNumberFormat="1" applyFont="1" applyBorder="1" applyAlignment="1">
      <alignment horizontal="center"/>
    </xf>
    <xf numFmtId="0" fontId="10" fillId="10" borderId="47" xfId="0" applyFont="1" applyFill="1" applyBorder="1" applyAlignment="1">
      <alignment horizontal="center" vertical="center"/>
    </xf>
    <xf numFmtId="9" fontId="10" fillId="10" borderId="47" xfId="0" applyNumberFormat="1" applyFont="1" applyFill="1" applyBorder="1" applyAlignment="1">
      <alignment horizontal="center" vertical="center"/>
    </xf>
    <xf numFmtId="0" fontId="10" fillId="18" borderId="54" xfId="0" applyFont="1" applyFill="1" applyBorder="1" applyAlignment="1">
      <alignment horizontal="center" vertical="center" wrapText="1"/>
    </xf>
    <xf numFmtId="0" fontId="10" fillId="18" borderId="54" xfId="0" applyFont="1" applyFill="1" applyBorder="1" applyAlignment="1">
      <alignment horizontal="center" vertical="center"/>
    </xf>
    <xf numFmtId="0" fontId="10" fillId="24" borderId="54" xfId="0" applyFont="1" applyFill="1" applyBorder="1" applyAlignment="1">
      <alignment horizontal="center" vertical="center" wrapText="1"/>
    </xf>
    <xf numFmtId="165" fontId="10" fillId="15" borderId="47" xfId="0" applyNumberFormat="1" applyFont="1" applyFill="1" applyBorder="1" applyAlignment="1">
      <alignment horizontal="center" vertical="center"/>
    </xf>
    <xf numFmtId="0" fontId="1" fillId="21" borderId="48" xfId="0" applyFont="1" applyFill="1" applyBorder="1"/>
    <xf numFmtId="3" fontId="10" fillId="21" borderId="47" xfId="0" applyNumberFormat="1" applyFont="1" applyFill="1" applyBorder="1"/>
    <xf numFmtId="0" fontId="1" fillId="15" borderId="48" xfId="0" applyFont="1" applyFill="1" applyBorder="1"/>
    <xf numFmtId="0" fontId="1" fillId="0" borderId="171" xfId="0" applyFont="1" applyBorder="1"/>
    <xf numFmtId="0" fontId="1" fillId="21" borderId="171" xfId="0" applyFont="1" applyFill="1" applyBorder="1" applyAlignment="1">
      <alignment horizontal="center"/>
    </xf>
    <xf numFmtId="9" fontId="1" fillId="21" borderId="171" xfId="0" applyNumberFormat="1" applyFont="1" applyFill="1" applyBorder="1" applyAlignment="1">
      <alignment horizontal="center" vertical="center"/>
    </xf>
    <xf numFmtId="0" fontId="1" fillId="21" borderId="172" xfId="0" applyFont="1" applyFill="1" applyBorder="1"/>
    <xf numFmtId="0" fontId="1" fillId="21" borderId="171" xfId="0" applyFont="1" applyFill="1" applyBorder="1"/>
    <xf numFmtId="3" fontId="1" fillId="21" borderId="171" xfId="0" applyNumberFormat="1" applyFont="1" applyFill="1" applyBorder="1"/>
    <xf numFmtId="3" fontId="10" fillId="21" borderId="171" xfId="0" applyNumberFormat="1" applyFont="1" applyFill="1" applyBorder="1"/>
    <xf numFmtId="0" fontId="1" fillId="15" borderId="34" xfId="0" applyFont="1" applyFill="1" applyBorder="1" applyAlignment="1">
      <alignment horizontal="center"/>
    </xf>
    <xf numFmtId="0" fontId="1" fillId="15" borderId="35" xfId="0" applyFont="1" applyFill="1" applyBorder="1"/>
    <xf numFmtId="3" fontId="10" fillId="15" borderId="34" xfId="0" applyNumberFormat="1" applyFont="1" applyFill="1" applyBorder="1"/>
    <xf numFmtId="0" fontId="1" fillId="0" borderId="309" xfId="0" applyFont="1" applyBorder="1"/>
    <xf numFmtId="0" fontId="1" fillId="15" borderId="309" xfId="0" applyFont="1" applyFill="1" applyBorder="1" applyAlignment="1">
      <alignment horizontal="center"/>
    </xf>
    <xf numFmtId="9" fontId="1" fillId="15" borderId="309" xfId="0" applyNumberFormat="1" applyFont="1" applyFill="1" applyBorder="1" applyAlignment="1">
      <alignment horizontal="center" vertical="center"/>
    </xf>
    <xf numFmtId="0" fontId="1" fillId="15" borderId="310" xfId="0" applyFont="1" applyFill="1" applyBorder="1"/>
    <xf numFmtId="0" fontId="1" fillId="15" borderId="309" xfId="0" applyFont="1" applyFill="1" applyBorder="1"/>
    <xf numFmtId="3" fontId="1" fillId="15" borderId="309" xfId="0" applyNumberFormat="1" applyFont="1" applyFill="1" applyBorder="1"/>
    <xf numFmtId="3" fontId="10" fillId="15" borderId="309" xfId="0" applyNumberFormat="1" applyFont="1" applyFill="1" applyBorder="1"/>
    <xf numFmtId="0" fontId="1" fillId="21" borderId="35" xfId="0" applyFont="1" applyFill="1" applyBorder="1"/>
    <xf numFmtId="3" fontId="10" fillId="21" borderId="34" xfId="0" applyNumberFormat="1" applyFont="1" applyFill="1" applyBorder="1"/>
    <xf numFmtId="0" fontId="1" fillId="0" borderId="208" xfId="0" applyFont="1" applyBorder="1"/>
    <xf numFmtId="0" fontId="1" fillId="21" borderId="208" xfId="0" applyFont="1" applyFill="1" applyBorder="1" applyAlignment="1">
      <alignment horizontal="center"/>
    </xf>
    <xf numFmtId="9" fontId="1" fillId="21" borderId="208" xfId="0" applyNumberFormat="1" applyFont="1" applyFill="1" applyBorder="1" applyAlignment="1">
      <alignment horizontal="center" vertical="center"/>
    </xf>
    <xf numFmtId="0" fontId="1" fillId="21" borderId="212" xfId="0" applyFont="1" applyFill="1" applyBorder="1"/>
    <xf numFmtId="0" fontId="1" fillId="21" borderId="208" xfId="0" applyFont="1" applyFill="1" applyBorder="1"/>
    <xf numFmtId="3" fontId="1" fillId="21" borderId="208" xfId="0" applyNumberFormat="1" applyFont="1" applyFill="1" applyBorder="1"/>
    <xf numFmtId="3" fontId="10" fillId="21" borderId="208" xfId="0" applyNumberFormat="1" applyFont="1" applyFill="1" applyBorder="1"/>
    <xf numFmtId="0" fontId="1" fillId="0" borderId="125" xfId="0" applyFont="1" applyBorder="1"/>
    <xf numFmtId="0" fontId="1" fillId="15" borderId="125" xfId="0" applyFont="1" applyFill="1" applyBorder="1" applyAlignment="1">
      <alignment horizontal="center"/>
    </xf>
    <xf numFmtId="9" fontId="1" fillId="15" borderId="125" xfId="0" applyNumberFormat="1" applyFont="1" applyFill="1" applyBorder="1" applyAlignment="1">
      <alignment horizontal="center" vertical="center"/>
    </xf>
    <xf numFmtId="0" fontId="1" fillId="15" borderId="213" xfId="0" applyFont="1" applyFill="1" applyBorder="1"/>
    <xf numFmtId="0" fontId="1" fillId="15" borderId="125" xfId="0" applyFont="1" applyFill="1" applyBorder="1"/>
    <xf numFmtId="3" fontId="10" fillId="15" borderId="125" xfId="0" applyNumberFormat="1" applyFont="1" applyFill="1" applyBorder="1"/>
    <xf numFmtId="9" fontId="1" fillId="21" borderId="54" xfId="0" applyNumberFormat="1" applyFont="1" applyFill="1" applyBorder="1" applyAlignment="1">
      <alignment horizontal="center" vertical="center"/>
    </xf>
    <xf numFmtId="0" fontId="1" fillId="10" borderId="55" xfId="0" applyFont="1" applyFill="1" applyBorder="1"/>
    <xf numFmtId="0" fontId="1" fillId="21" borderId="54" xfId="0" applyFont="1" applyFill="1" applyBorder="1"/>
    <xf numFmtId="3" fontId="1" fillId="21" borderId="54" xfId="0" applyNumberFormat="1" applyFont="1" applyFill="1" applyBorder="1"/>
    <xf numFmtId="3" fontId="10" fillId="21" borderId="54" xfId="0" applyNumberFormat="1" applyFont="1" applyFill="1" applyBorder="1"/>
    <xf numFmtId="3" fontId="10" fillId="15" borderId="54" xfId="0" applyNumberFormat="1" applyFont="1" applyFill="1" applyBorder="1"/>
    <xf numFmtId="0" fontId="1" fillId="10" borderId="48" xfId="0" applyFont="1" applyFill="1" applyBorder="1"/>
    <xf numFmtId="0" fontId="10" fillId="40" borderId="47" xfId="0" applyFont="1" applyFill="1" applyBorder="1"/>
    <xf numFmtId="3" fontId="10" fillId="40" borderId="47" xfId="0" applyNumberFormat="1" applyFont="1" applyFill="1" applyBorder="1"/>
    <xf numFmtId="0" fontId="1" fillId="11" borderId="0" xfId="0" applyFont="1" applyFill="1"/>
    <xf numFmtId="0" fontId="10" fillId="3" borderId="55" xfId="0" applyFont="1" applyFill="1" applyBorder="1"/>
    <xf numFmtId="0" fontId="1" fillId="0" borderId="71" xfId="0" applyFont="1" applyBorder="1" applyAlignment="1">
      <alignment horizontal="left"/>
    </xf>
    <xf numFmtId="169" fontId="1" fillId="11" borderId="71" xfId="0" applyNumberFormat="1" applyFont="1" applyFill="1" applyBorder="1"/>
    <xf numFmtId="169" fontId="1" fillId="0" borderId="71" xfId="0" applyNumberFormat="1" applyFont="1" applyBorder="1"/>
    <xf numFmtId="170" fontId="1" fillId="0" borderId="71" xfId="0" applyNumberFormat="1" applyFont="1" applyBorder="1"/>
    <xf numFmtId="170" fontId="1" fillId="0" borderId="64" xfId="0" applyNumberFormat="1" applyFont="1" applyBorder="1"/>
    <xf numFmtId="0" fontId="10" fillId="0" borderId="73" xfId="0" applyFont="1" applyBorder="1"/>
    <xf numFmtId="4" fontId="10" fillId="0" borderId="0" xfId="0" applyNumberFormat="1" applyFont="1" applyAlignment="1">
      <alignment horizontal="left"/>
    </xf>
    <xf numFmtId="4" fontId="10" fillId="11" borderId="0" xfId="0" applyNumberFormat="1" applyFont="1" applyFill="1"/>
    <xf numFmtId="4" fontId="10" fillId="0" borderId="0" xfId="0" applyNumberFormat="1" applyFont="1"/>
    <xf numFmtId="4" fontId="10" fillId="0" borderId="69" xfId="0" applyNumberFormat="1" applyFont="1" applyBorder="1"/>
    <xf numFmtId="4" fontId="1" fillId="0" borderId="0" xfId="0" applyNumberFormat="1" applyFont="1" applyAlignment="1">
      <alignment horizontal="left"/>
    </xf>
    <xf numFmtId="4" fontId="1" fillId="11" borderId="0" xfId="0" applyNumberFormat="1" applyFont="1" applyFill="1"/>
    <xf numFmtId="4" fontId="1" fillId="0" borderId="69" xfId="0" applyNumberFormat="1" applyFont="1" applyBorder="1"/>
    <xf numFmtId="0" fontId="1" fillId="0" borderId="69" xfId="0" applyFont="1" applyBorder="1"/>
    <xf numFmtId="0" fontId="1" fillId="10" borderId="73" xfId="0" applyFont="1" applyFill="1" applyBorder="1"/>
    <xf numFmtId="4" fontId="1" fillId="10" borderId="0" xfId="0" applyNumberFormat="1" applyFont="1" applyFill="1" applyAlignment="1">
      <alignment horizontal="left"/>
    </xf>
    <xf numFmtId="4" fontId="1" fillId="10" borderId="0" xfId="0" applyNumberFormat="1" applyFont="1" applyFill="1"/>
    <xf numFmtId="0" fontId="1" fillId="10" borderId="69" xfId="0" applyFont="1" applyFill="1" applyBorder="1"/>
    <xf numFmtId="4" fontId="1" fillId="10" borderId="69" xfId="0" applyNumberFormat="1" applyFont="1" applyFill="1" applyBorder="1"/>
    <xf numFmtId="0" fontId="1" fillId="0" borderId="38" xfId="0" applyFont="1" applyBorder="1" applyAlignment="1">
      <alignment horizontal="left"/>
    </xf>
    <xf numFmtId="0" fontId="1" fillId="11" borderId="38" xfId="0" applyFont="1" applyFill="1" applyBorder="1"/>
    <xf numFmtId="0" fontId="27" fillId="3" borderId="55" xfId="0" applyFont="1" applyFill="1" applyBorder="1" applyAlignment="1">
      <alignment vertical="top"/>
    </xf>
    <xf numFmtId="0" fontId="15" fillId="0" borderId="71" xfId="0" applyFont="1" applyBorder="1" applyAlignment="1">
      <alignment horizontal="left" vertical="top"/>
    </xf>
    <xf numFmtId="169" fontId="15" fillId="11" borderId="71" xfId="0" applyNumberFormat="1" applyFont="1" applyFill="1" applyBorder="1" applyAlignment="1">
      <alignment vertical="top"/>
    </xf>
    <xf numFmtId="169" fontId="15" fillId="0" borderId="71" xfId="0" applyNumberFormat="1" applyFont="1" applyBorder="1" applyAlignment="1">
      <alignment vertical="top"/>
    </xf>
    <xf numFmtId="170" fontId="15" fillId="0" borderId="71" xfId="0" applyNumberFormat="1" applyFont="1" applyBorder="1" applyAlignment="1">
      <alignment vertical="top"/>
    </xf>
    <xf numFmtId="170" fontId="15" fillId="0" borderId="64" xfId="0" applyNumberFormat="1" applyFont="1" applyBorder="1" applyAlignment="1">
      <alignment vertical="top"/>
    </xf>
    <xf numFmtId="0" fontId="15" fillId="0" borderId="73" xfId="0" applyFont="1" applyBorder="1" applyAlignment="1">
      <alignment vertical="top"/>
    </xf>
    <xf numFmtId="4" fontId="15" fillId="0" borderId="0" xfId="0" applyNumberFormat="1" applyFont="1" applyAlignment="1">
      <alignment horizontal="left" vertical="top"/>
    </xf>
    <xf numFmtId="4" fontId="15" fillId="11" borderId="0" xfId="0" applyNumberFormat="1" applyFont="1" applyFill="1" applyAlignment="1">
      <alignment horizontal="right" vertical="top"/>
    </xf>
    <xf numFmtId="4" fontId="15" fillId="0" borderId="69" xfId="0" applyNumberFormat="1" applyFont="1" applyBorder="1" applyAlignment="1">
      <alignment horizontal="right" vertical="top"/>
    </xf>
    <xf numFmtId="0" fontId="15" fillId="11" borderId="0" xfId="0" applyFont="1" applyFill="1" applyAlignment="1">
      <alignment horizontal="right" vertical="top"/>
    </xf>
    <xf numFmtId="0" fontId="15" fillId="0" borderId="69" xfId="0" applyFont="1" applyBorder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" fillId="10" borderId="35" xfId="0" applyFont="1" applyFill="1" applyBorder="1"/>
    <xf numFmtId="4" fontId="1" fillId="10" borderId="38" xfId="0" applyNumberFormat="1" applyFont="1" applyFill="1" applyBorder="1" applyAlignment="1">
      <alignment horizontal="left"/>
    </xf>
    <xf numFmtId="4" fontId="1" fillId="10" borderId="38" xfId="0" applyNumberFormat="1" applyFont="1" applyFill="1" applyBorder="1"/>
    <xf numFmtId="0" fontId="1" fillId="10" borderId="38" xfId="0" applyFont="1" applyFill="1" applyBorder="1"/>
    <xf numFmtId="4" fontId="1" fillId="10" borderId="40" xfId="0" applyNumberFormat="1" applyFont="1" applyFill="1" applyBorder="1"/>
    <xf numFmtId="0" fontId="10" fillId="0" borderId="71" xfId="0" applyFont="1" applyBorder="1" applyAlignment="1">
      <alignment horizontal="left"/>
    </xf>
    <xf numFmtId="169" fontId="10" fillId="11" borderId="71" xfId="0" applyNumberFormat="1" applyFont="1" applyFill="1" applyBorder="1"/>
    <xf numFmtId="169" fontId="10" fillId="0" borderId="71" xfId="0" applyNumberFormat="1" applyFont="1" applyBorder="1"/>
    <xf numFmtId="170" fontId="10" fillId="0" borderId="71" xfId="0" applyNumberFormat="1" applyFont="1" applyBorder="1"/>
    <xf numFmtId="170" fontId="10" fillId="0" borderId="64" xfId="0" applyNumberFormat="1" applyFont="1" applyBorder="1"/>
    <xf numFmtId="0" fontId="15" fillId="3" borderId="55" xfId="0" applyFont="1" applyFill="1" applyBorder="1" applyAlignment="1">
      <alignment vertical="top"/>
    </xf>
    <xf numFmtId="0" fontId="15" fillId="0" borderId="35" xfId="0" applyFont="1" applyBorder="1" applyAlignment="1">
      <alignment vertical="top"/>
    </xf>
    <xf numFmtId="0" fontId="15" fillId="0" borderId="38" xfId="0" applyFont="1" applyBorder="1" applyAlignment="1">
      <alignment horizontal="left" vertical="top"/>
    </xf>
    <xf numFmtId="0" fontId="15" fillId="11" borderId="38" xfId="0" applyFont="1" applyFill="1" applyBorder="1" applyAlignment="1">
      <alignment horizontal="right" vertical="top"/>
    </xf>
    <xf numFmtId="0" fontId="15" fillId="0" borderId="38" xfId="0" applyFont="1" applyBorder="1" applyAlignment="1">
      <alignment horizontal="right" vertical="top"/>
    </xf>
    <xf numFmtId="0" fontId="15" fillId="0" borderId="40" xfId="0" applyFont="1" applyBorder="1" applyAlignment="1">
      <alignment horizontal="right" vertical="top"/>
    </xf>
    <xf numFmtId="0" fontId="15" fillId="11" borderId="0" xfId="0" applyFont="1" applyFill="1" applyAlignment="1">
      <alignment vertical="top"/>
    </xf>
    <xf numFmtId="0" fontId="15" fillId="0" borderId="69" xfId="0" applyFont="1" applyBorder="1" applyAlignment="1">
      <alignment vertical="top"/>
    </xf>
    <xf numFmtId="0" fontId="15" fillId="0" borderId="55" xfId="0" applyFont="1" applyBorder="1" applyAlignment="1">
      <alignment vertical="top"/>
    </xf>
    <xf numFmtId="0" fontId="15" fillId="11" borderId="71" xfId="0" applyFont="1" applyFill="1" applyBorder="1" applyAlignment="1">
      <alignment horizontal="right" vertical="top"/>
    </xf>
    <xf numFmtId="0" fontId="15" fillId="0" borderId="71" xfId="0" applyFont="1" applyBorder="1" applyAlignment="1">
      <alignment horizontal="right" vertical="top"/>
    </xf>
    <xf numFmtId="0" fontId="15" fillId="0" borderId="64" xfId="0" applyFont="1" applyBorder="1" applyAlignment="1">
      <alignment horizontal="right" vertical="top"/>
    </xf>
    <xf numFmtId="0" fontId="27" fillId="3" borderId="73" xfId="0" applyFont="1" applyFill="1" applyBorder="1" applyAlignment="1">
      <alignment vertical="top"/>
    </xf>
    <xf numFmtId="169" fontId="15" fillId="11" borderId="0" xfId="0" applyNumberFormat="1" applyFont="1" applyFill="1" applyAlignment="1">
      <alignment vertical="top"/>
    </xf>
    <xf numFmtId="169" fontId="15" fillId="0" borderId="0" xfId="0" applyNumberFormat="1" applyFont="1" applyAlignment="1">
      <alignment horizontal="right" vertical="top"/>
    </xf>
    <xf numFmtId="170" fontId="15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0" borderId="7" xfId="0" applyFont="1" applyBorder="1"/>
    <xf numFmtId="9" fontId="10" fillId="9" borderId="11" xfId="0" applyNumberFormat="1" applyFont="1" applyFill="1" applyBorder="1" applyAlignment="1">
      <alignment horizontal="right"/>
    </xf>
    <xf numFmtId="0" fontId="4" fillId="0" borderId="29" xfId="0" applyFont="1" applyBorder="1"/>
    <xf numFmtId="0" fontId="4" fillId="0" borderId="30" xfId="0" applyFont="1" applyBorder="1"/>
    <xf numFmtId="0" fontId="10" fillId="0" borderId="215" xfId="0" applyFont="1" applyBorder="1" applyAlignment="1">
      <alignment horizontal="right" vertical="center"/>
    </xf>
    <xf numFmtId="0" fontId="4" fillId="0" borderId="216" xfId="0" applyFont="1" applyBorder="1"/>
    <xf numFmtId="0" fontId="4" fillId="0" borderId="217" xfId="0" applyFont="1" applyBorder="1"/>
    <xf numFmtId="0" fontId="10" fillId="40" borderId="215" xfId="0" applyFont="1" applyFill="1" applyBorder="1" applyAlignment="1">
      <alignment horizontal="right" vertical="center"/>
    </xf>
    <xf numFmtId="0" fontId="4" fillId="40" borderId="216" xfId="0" applyFont="1" applyFill="1" applyBorder="1"/>
    <xf numFmtId="0" fontId="4" fillId="40" borderId="217" xfId="0" applyFont="1" applyFill="1" applyBorder="1"/>
    <xf numFmtId="0" fontId="23" fillId="16" borderId="0" xfId="0" applyFont="1" applyFill="1" applyAlignment="1">
      <alignment horizontal="center"/>
    </xf>
    <xf numFmtId="0" fontId="0" fillId="0" borderId="0" xfId="0"/>
    <xf numFmtId="0" fontId="23" fillId="16" borderId="0" xfId="0" applyFont="1" applyFill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10" fillId="40" borderId="48" xfId="0" applyFont="1" applyFill="1" applyBorder="1" applyAlignment="1">
      <alignment horizontal="right"/>
    </xf>
    <xf numFmtId="0" fontId="4" fillId="40" borderId="23" xfId="0" applyFont="1" applyFill="1" applyBorder="1"/>
    <xf numFmtId="0" fontId="4" fillId="40" borderId="27" xfId="0" applyFont="1" applyFill="1" applyBorder="1"/>
  </cellXfs>
  <cellStyles count="1">
    <cellStyle name="Normal" xfId="0" builtinId="0"/>
  </cellStyles>
  <dxfs count="549"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660000"/>
      </font>
      <fill>
        <patternFill patternType="none"/>
      </fill>
    </dxf>
    <dxf>
      <fill>
        <patternFill patternType="solid">
          <fgColor rgb="FFC7F1F1"/>
          <bgColor rgb="FFC7F1F1"/>
        </patternFill>
      </fill>
    </dxf>
    <dxf>
      <fill>
        <patternFill patternType="solid">
          <fgColor rgb="FFF4CFF4"/>
          <bgColor rgb="FFF4CFF4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67DF6"/>
          <bgColor rgb="FFF67DF6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660000"/>
      </font>
      <fill>
        <patternFill patternType="none"/>
      </fill>
    </dxf>
    <dxf>
      <fill>
        <patternFill patternType="solid">
          <fgColor rgb="FFADF4F4"/>
          <bgColor rgb="FFADF4F4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EFEFEF"/>
          <bgColor rgb="FFEFEFEF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EFEFEF"/>
          <bgColor rgb="FFEFEFE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16AF1"/>
          <bgColor rgb="FFF16AF1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EFEFEF"/>
          <bgColor rgb="FFEFEFE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16AF1"/>
          <bgColor rgb="FFF16AF1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EFEFEF"/>
          <bgColor rgb="FFEFEFEF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ont>
        <color rgb="FF660000"/>
      </font>
      <fill>
        <patternFill patternType="none"/>
      </fill>
    </dxf>
    <dxf>
      <fill>
        <patternFill patternType="solid">
          <fgColor rgb="FFC7F1F1"/>
          <bgColor rgb="FFC7F1F1"/>
        </patternFill>
      </fill>
    </dxf>
    <dxf>
      <fill>
        <patternFill patternType="solid">
          <fgColor rgb="FFF4CFF4"/>
          <bgColor rgb="FFF4CFF4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660000"/>
      </font>
      <fill>
        <patternFill patternType="none"/>
      </fill>
    </dxf>
    <dxf>
      <fill>
        <patternFill patternType="solid">
          <fgColor rgb="FFEFEFEF"/>
          <bgColor rgb="FFEFEFE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67DF6"/>
          <bgColor rgb="FFF67D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66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16AF1"/>
          <bgColor rgb="FFF16AF1"/>
        </patternFill>
      </fill>
    </dxf>
    <dxf>
      <font>
        <b/>
      </font>
      <fill>
        <patternFill patternType="solid">
          <fgColor rgb="FFFBBC04"/>
          <bgColor rgb="FFFBBC04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FF4"/>
          <bgColor rgb="FFF4CFF4"/>
        </patternFill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660000"/>
      </font>
      <fill>
        <patternFill patternType="none"/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660000"/>
      </font>
      <fill>
        <patternFill patternType="none"/>
      </fill>
    </dxf>
    <dxf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none"/>
      </fill>
    </dxf>
    <dxf>
      <font>
        <color rgb="FF660000"/>
      </font>
      <fill>
        <patternFill patternType="none"/>
      </fill>
    </dxf>
    <dxf>
      <font>
        <color rgb="FF660000"/>
      </font>
      <fill>
        <patternFill patternType="none"/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99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9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BBC04"/>
          <bgColor rgb="FFFBBC04"/>
        </patternFill>
      </fill>
    </dxf>
    <dxf>
      <font>
        <b/>
      </font>
      <fill>
        <patternFill patternType="solid">
          <fgColor rgb="FFF16AF1"/>
          <bgColor rgb="FFF16AF1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67DF6"/>
          <bgColor rgb="FFF67DF6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5">
    <tableStyle name="BASILE-style" pivot="0" count="2" xr9:uid="{00000000-0011-0000-FFFF-FFFF00000000}">
      <tableStyleElement type="firstRowStripe" dxfId="548"/>
      <tableStyleElement type="secondRowStripe" dxfId="547"/>
    </tableStyle>
    <tableStyle name="BASILE-style 2" pivot="0" count="2" xr9:uid="{00000000-0011-0000-FFFF-FFFF01000000}">
      <tableStyleElement type="firstRowStripe" dxfId="546"/>
      <tableStyleElement type="secondRowStripe" dxfId="545"/>
    </tableStyle>
    <tableStyle name="BASILE-style 3" pivot="0" count="2" xr9:uid="{00000000-0011-0000-FFFF-FFFF02000000}">
      <tableStyleElement type="firstRowStripe" dxfId="544"/>
      <tableStyleElement type="secondRowStripe" dxfId="543"/>
    </tableStyle>
    <tableStyle name="BASILE-style 4" pivot="0" count="2" xr9:uid="{00000000-0011-0000-FFFF-FFFF03000000}">
      <tableStyleElement type="firstRowStripe" dxfId="542"/>
      <tableStyleElement type="secondRowStripe" dxfId="541"/>
    </tableStyle>
    <tableStyle name="CALO-style" pivot="0" count="3" xr9:uid="{00000000-0011-0000-FFFF-FFFF04000000}">
      <tableStyleElement type="totalRow" dxfId="538"/>
      <tableStyleElement type="firstRowStripe" dxfId="540"/>
      <tableStyleElement type="secondRowStripe" dxfId="539"/>
    </tableStyle>
    <tableStyle name="RETAMAR-style" pivot="0" count="3" xr9:uid="{00000000-0011-0000-FFFF-FFFF05000000}">
      <tableStyleElement type="totalRow" dxfId="535"/>
      <tableStyleElement type="firstRowStripe" dxfId="537"/>
      <tableStyleElement type="secondRowStripe" dxfId="536"/>
    </tableStyle>
    <tableStyle name="LAGE-style" pivot="0" count="3" xr9:uid="{00000000-0011-0000-FFFF-FFFF06000000}">
      <tableStyleElement type="totalRow" dxfId="532"/>
      <tableStyleElement type="firstRowStripe" dxfId="534"/>
      <tableStyleElement type="secondRowStripe" dxfId="533"/>
    </tableStyle>
    <tableStyle name="BUELA-style" pivot="0" count="3" xr9:uid="{00000000-0011-0000-FFFF-FFFF07000000}">
      <tableStyleElement type="totalRow" dxfId="529"/>
      <tableStyleElement type="firstRowStripe" dxfId="531"/>
      <tableStyleElement type="secondRowStripe" dxfId="530"/>
    </tableStyle>
    <tableStyle name="ARRIOLA-style" pivot="0" count="3" xr9:uid="{00000000-0011-0000-FFFF-FFFF08000000}">
      <tableStyleElement type="totalRow" dxfId="526"/>
      <tableStyleElement type="firstRowStripe" dxfId="528"/>
      <tableStyleElement type="secondRowStripe" dxfId="527"/>
    </tableStyle>
    <tableStyle name="ARRIOLA-style 2" pivot="0" count="2" xr9:uid="{00000000-0011-0000-FFFF-FFFF09000000}">
      <tableStyleElement type="firstRowStripe" dxfId="525"/>
      <tableStyleElement type="secondRowStripe" dxfId="524"/>
    </tableStyle>
    <tableStyle name="ARRIOLA-style 3" pivot="0" count="2" xr9:uid="{00000000-0011-0000-FFFF-FFFF0A000000}">
      <tableStyleElement type="firstRowStripe" dxfId="523"/>
      <tableStyleElement type="secondRowStripe" dxfId="522"/>
    </tableStyle>
    <tableStyle name="ARRIOLA-style 4" pivot="0" count="2" xr9:uid="{00000000-0011-0000-FFFF-FFFF0B000000}">
      <tableStyleElement type="firstRowStripe" dxfId="521"/>
      <tableStyleElement type="secondRowStripe" dxfId="520"/>
    </tableStyle>
    <tableStyle name="LAVENIA-style" pivot="0" count="3" xr9:uid="{00000000-0011-0000-FFFF-FFFF0C000000}">
      <tableStyleElement type="totalRow" dxfId="517"/>
      <tableStyleElement type="firstRowStripe" dxfId="519"/>
      <tableStyleElement type="secondRowStripe" dxfId="518"/>
    </tableStyle>
    <tableStyle name="ROTELA-style" pivot="0" count="3" xr9:uid="{00000000-0011-0000-FFFF-FFFF0D000000}">
      <tableStyleElement type="totalRow" dxfId="514"/>
      <tableStyleElement type="firstRowStripe" dxfId="516"/>
      <tableStyleElement type="secondRowStripe" dxfId="515"/>
    </tableStyle>
    <tableStyle name="DESCUENTOS-style" pivot="0" count="2" xr9:uid="{00000000-0011-0000-FFFF-FFFF0E000000}">
      <tableStyleElement type="firstRowStripe" dxfId="513"/>
      <tableStyleElement type="secondRowStripe" dxfId="512"/>
    </tableStyle>
    <tableStyle name="DESCUENTOS-style 2" pivot="0" count="3" xr9:uid="{00000000-0011-0000-FFFF-FFFF0F000000}">
      <tableStyleElement type="headerRow" dxfId="511"/>
      <tableStyleElement type="firstRowStripe" dxfId="510"/>
      <tableStyleElement type="secondRowStripe" dxfId="509"/>
    </tableStyle>
    <tableStyle name="DESCUENTOS-style 3" pivot="0" count="3" xr9:uid="{00000000-0011-0000-FFFF-FFFF10000000}">
      <tableStyleElement type="headerRow" dxfId="508"/>
      <tableStyleElement type="firstRowStripe" dxfId="507"/>
      <tableStyleElement type="secondRowStripe" dxfId="506"/>
    </tableStyle>
    <tableStyle name="DESCUENTOS-style 4" pivot="0" count="3" xr9:uid="{00000000-0011-0000-FFFF-FFFF11000000}">
      <tableStyleElement type="headerRow" dxfId="505"/>
      <tableStyleElement type="firstRowStripe" dxfId="504"/>
      <tableStyleElement type="secondRowStripe" dxfId="503"/>
    </tableStyle>
    <tableStyle name="DESCUENTOS-style 5" pivot="0" count="2" xr9:uid="{00000000-0011-0000-FFFF-FFFF12000000}">
      <tableStyleElement type="firstRowStripe" dxfId="502"/>
      <tableStyleElement type="secondRowStripe" dxfId="501"/>
    </tableStyle>
    <tableStyle name="DESCUENTOS-style 6" pivot="0" count="2" xr9:uid="{00000000-0011-0000-FFFF-FFFF13000000}">
      <tableStyleElement type="firstRowStripe" dxfId="500"/>
      <tableStyleElement type="secondRowStripe" dxfId="499"/>
    </tableStyle>
    <tableStyle name="DESCUENTOS-style 7" pivot="0" count="2" xr9:uid="{00000000-0011-0000-FFFF-FFFF14000000}">
      <tableStyleElement type="firstRowStripe" dxfId="498"/>
      <tableStyleElement type="secondRowStripe" dxfId="497"/>
    </tableStyle>
    <tableStyle name="DESCUENTOS-style 8" pivot="0" count="2" xr9:uid="{00000000-0011-0000-FFFF-FFFF15000000}">
      <tableStyleElement type="firstRowStripe" dxfId="496"/>
      <tableStyleElement type="secondRowStripe" dxfId="495"/>
    </tableStyle>
    <tableStyle name="DESCUENTOS-style 9" pivot="0" count="2" xr9:uid="{00000000-0011-0000-FFFF-FFFF16000000}">
      <tableStyleElement type="firstRowStripe" dxfId="494"/>
      <tableStyleElement type="secondRowStripe" dxfId="493"/>
    </tableStyle>
    <tableStyle name="pre-style" pivot="0" count="2" xr9:uid="{00000000-0011-0000-FFFF-FFFF17000000}">
      <tableStyleElement type="firstRowStripe" dxfId="492"/>
      <tableStyleElement type="secondRowStripe" dxfId="491"/>
    </tableStyle>
    <tableStyle name="Hoja 18-style" pivot="0" count="2" xr9:uid="{00000000-0011-0000-FFFF-FFFF18000000}">
      <tableStyleElement type="firstRowStripe" dxfId="490"/>
      <tableStyleElement type="secondRowStripe" dxfId="4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M16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BASI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7:M36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BASIL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4:CD150" headerRowCount="0">
  <tableColumns count="82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  <tableColumn id="46" xr3:uid="{00000000-0010-0000-0200-00002E000000}" name="Column46"/>
    <tableColumn id="47" xr3:uid="{00000000-0010-0000-0200-00002F000000}" name="Column47"/>
    <tableColumn id="48" xr3:uid="{00000000-0010-0000-0200-000030000000}" name="Column48"/>
    <tableColumn id="49" xr3:uid="{00000000-0010-0000-0200-000031000000}" name="Column49"/>
    <tableColumn id="50" xr3:uid="{00000000-0010-0000-0200-000032000000}" name="Column50"/>
    <tableColumn id="51" xr3:uid="{00000000-0010-0000-0200-000033000000}" name="Column51"/>
    <tableColumn id="52" xr3:uid="{00000000-0010-0000-0200-000034000000}" name="Column52"/>
    <tableColumn id="53" xr3:uid="{00000000-0010-0000-0200-000035000000}" name="Column53"/>
    <tableColumn id="54" xr3:uid="{00000000-0010-0000-0200-000036000000}" name="Column54"/>
    <tableColumn id="55" xr3:uid="{00000000-0010-0000-0200-000037000000}" name="Column55"/>
    <tableColumn id="56" xr3:uid="{00000000-0010-0000-0200-000038000000}" name="Column56"/>
    <tableColumn id="57" xr3:uid="{00000000-0010-0000-0200-000039000000}" name="Column57"/>
    <tableColumn id="58" xr3:uid="{00000000-0010-0000-0200-00003A000000}" name="Column58"/>
    <tableColumn id="59" xr3:uid="{00000000-0010-0000-0200-00003B000000}" name="Column59"/>
    <tableColumn id="60" xr3:uid="{00000000-0010-0000-0200-00003C000000}" name="Column60"/>
    <tableColumn id="61" xr3:uid="{00000000-0010-0000-0200-00003D000000}" name="Column61"/>
    <tableColumn id="62" xr3:uid="{00000000-0010-0000-0200-00003E000000}" name="Column62"/>
    <tableColumn id="63" xr3:uid="{00000000-0010-0000-0200-00003F000000}" name="Column63"/>
    <tableColumn id="64" xr3:uid="{00000000-0010-0000-0200-000040000000}" name="Column64"/>
    <tableColumn id="65" xr3:uid="{00000000-0010-0000-0200-000041000000}" name="Column65"/>
    <tableColumn id="66" xr3:uid="{00000000-0010-0000-0200-000042000000}" name="Column66"/>
    <tableColumn id="67" xr3:uid="{00000000-0010-0000-0200-000043000000}" name="Column67"/>
    <tableColumn id="68" xr3:uid="{00000000-0010-0000-0200-000044000000}" name="Column68"/>
    <tableColumn id="69" xr3:uid="{00000000-0010-0000-0200-000045000000}" name="Column69"/>
    <tableColumn id="70" xr3:uid="{00000000-0010-0000-0200-000046000000}" name="Column70"/>
    <tableColumn id="71" xr3:uid="{00000000-0010-0000-0200-000047000000}" name="Column71"/>
    <tableColumn id="72" xr3:uid="{00000000-0010-0000-0200-000048000000}" name="Column72"/>
    <tableColumn id="73" xr3:uid="{00000000-0010-0000-0200-000049000000}" name="Column73"/>
    <tableColumn id="74" xr3:uid="{00000000-0010-0000-0200-00004A000000}" name="Column74"/>
    <tableColumn id="75" xr3:uid="{00000000-0010-0000-0200-00004B000000}" name="Column75"/>
    <tableColumn id="76" xr3:uid="{00000000-0010-0000-0200-00004C000000}" name="Column76"/>
    <tableColumn id="77" xr3:uid="{00000000-0010-0000-0200-00004D000000}" name="Column77"/>
    <tableColumn id="78" xr3:uid="{00000000-0010-0000-0200-00004E000000}" name="Column78"/>
    <tableColumn id="79" xr3:uid="{00000000-0010-0000-0200-00004F000000}" name="Column79"/>
    <tableColumn id="80" xr3:uid="{00000000-0010-0000-0200-000050000000}" name="Column80"/>
    <tableColumn id="81" xr3:uid="{00000000-0010-0000-0200-000051000000}" name="Column81"/>
    <tableColumn id="82" xr3:uid="{00000000-0010-0000-0200-000052000000}" name="Column82"/>
  </tableColumns>
  <tableStyleInfo name="BASIL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62:AJ162" headerRowCount="0">
  <tableColumns count="3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</tableColumns>
  <tableStyleInfo name="BASILE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:BX100" headerRowCount="0" totalsRowCount="1">
  <tableColumns count="7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 totalsRowLabel="TOTAL:"/>
    <tableColumn id="10" xr3:uid="{00000000-0010-0000-0400-00000A000000}" name="Column10" totalsRowFunction="custom">
      <totalsRowFormula>SUM(J2:J99,J104:J110)</totalsRowFormula>
    </tableColumn>
    <tableColumn id="11" xr3:uid="{00000000-0010-0000-0400-00000B000000}" name="Column11" totalsRowFunction="custom">
      <totalsRowFormula>SUM(K2:K99,K104:K110)</totalsRowFormula>
    </tableColumn>
    <tableColumn id="12" xr3:uid="{00000000-0010-0000-0400-00000C000000}" name="Column12" totalsRowFunction="custom">
      <totalsRowFormula>SUM(L2:L99,L104:L110)</totalsRowFormula>
    </tableColumn>
    <tableColumn id="13" xr3:uid="{00000000-0010-0000-0400-00000D000000}" name="Column13" totalsRowFunction="custom">
      <totalsRowFormula>SUM(M2:M99,M104:M110)</totalsRowFormula>
    </tableColumn>
    <tableColumn id="14" xr3:uid="{00000000-0010-0000-0400-00000E000000}" name="Column14" totalsRowFunction="custom">
      <totalsRowFormula>SUM(N2:N99,N104:N110)</totalsRowFormula>
    </tableColumn>
    <tableColumn id="15" xr3:uid="{00000000-0010-0000-0400-00000F000000}" name="Column15" totalsRowFunction="custom">
      <totalsRowFormula>SUM(O2:O99,O104:O110)</totalsRowFormula>
    </tableColumn>
    <tableColumn id="16" xr3:uid="{00000000-0010-0000-0400-000010000000}" name="Column16" totalsRowFunction="custom">
      <totalsRowFormula>SUM(P2:P99,P104:P110)</totalsRowFormula>
    </tableColumn>
    <tableColumn id="17" xr3:uid="{00000000-0010-0000-0400-000011000000}" name="Column17" totalsRowFunction="custom">
      <totalsRowFormula>SUM(Q2:Q99,Q104:Q110)</totalsRowFormula>
    </tableColumn>
    <tableColumn id="18" xr3:uid="{00000000-0010-0000-0400-000012000000}" name="Column18" totalsRowFunction="custom">
      <totalsRowFormula>SUM(R2:R99,R104:R110)</totalsRowFormula>
    </tableColumn>
    <tableColumn id="19" xr3:uid="{00000000-0010-0000-0400-000013000000}" name="Column19" totalsRowFunction="custom">
      <totalsRowFormula>SUM(S2:S99,S104:S110)</totalsRowFormula>
    </tableColumn>
    <tableColumn id="20" xr3:uid="{00000000-0010-0000-0400-000014000000}" name="Column20" totalsRowFunction="custom">
      <totalsRowFormula>SUM(T2:T99,T104:T110)</totalsRowFormula>
    </tableColumn>
    <tableColumn id="21" xr3:uid="{00000000-0010-0000-0400-000015000000}" name="Column21" totalsRowFunction="custom">
      <totalsRowFormula>SUM(U2:U99,U104:U110)</totalsRowFormula>
    </tableColumn>
    <tableColumn id="22" xr3:uid="{00000000-0010-0000-0400-000016000000}" name="Column22" totalsRowFunction="custom">
      <totalsRowFormula>SUM(V2:V99,V104:V110)</totalsRowFormula>
    </tableColumn>
    <tableColumn id="23" xr3:uid="{00000000-0010-0000-0400-000017000000}" name="Column23" totalsRowFunction="custom">
      <totalsRowFormula>SUM(W2:W99,W104:W110)</totalsRowFormula>
    </tableColumn>
    <tableColumn id="24" xr3:uid="{00000000-0010-0000-0400-000018000000}" name="Column24" totalsRowFunction="custom">
      <totalsRowFormula>SUM(X2:X99,X104:X110)</totalsRowFormula>
    </tableColumn>
    <tableColumn id="25" xr3:uid="{00000000-0010-0000-0400-000019000000}" name="Column25" totalsRowFunction="custom">
      <totalsRowFormula>SUM(Y2:Y99,Y104:Y110)</totalsRowFormula>
    </tableColumn>
    <tableColumn id="26" xr3:uid="{00000000-0010-0000-0400-00001A000000}" name="Column26" totalsRowFunction="custom">
      <totalsRowFormula>SUM(Z2:Z99,Z104:Z110)</totalsRowFormula>
    </tableColumn>
    <tableColumn id="27" xr3:uid="{00000000-0010-0000-0400-00001B000000}" name="Column27" totalsRowFunction="custom">
      <totalsRowFormula>SUM(AA2:AA99,AA104:AA110)</totalsRowFormula>
    </tableColumn>
    <tableColumn id="28" xr3:uid="{00000000-0010-0000-0400-00001C000000}" name="Column28" totalsRowFunction="custom">
      <totalsRowFormula>SUM(AB2:AB99,AB104:AB110)</totalsRowFormula>
    </tableColumn>
    <tableColumn id="29" xr3:uid="{00000000-0010-0000-0400-00001D000000}" name="Column29" totalsRowFunction="custom">
      <totalsRowFormula>SUM(AC2:AC99,AC104:AC110)</totalsRowFormula>
    </tableColumn>
    <tableColumn id="30" xr3:uid="{00000000-0010-0000-0400-00001E000000}" name="Column30" totalsRowFunction="custom">
      <totalsRowFormula>SUM(AD2:AD99,AD104:AD110)</totalsRowFormula>
    </tableColumn>
    <tableColumn id="31" xr3:uid="{00000000-0010-0000-0400-00001F000000}" name="Column31" totalsRowFunction="custom">
      <totalsRowFormula>SUM(AE2:AE99,AE104:AE110)</totalsRowFormula>
    </tableColumn>
    <tableColumn id="32" xr3:uid="{00000000-0010-0000-0400-000020000000}" name="Column32" totalsRowFunction="custom">
      <totalsRowFormula>SUM(AF2:AF99,AF104:AF110)</totalsRowFormula>
    </tableColumn>
    <tableColumn id="33" xr3:uid="{00000000-0010-0000-0400-000021000000}" name="Column33" totalsRowFunction="custom">
      <totalsRowFormula>SUM(AG2:AG99,AG104:AG110)</totalsRowFormula>
    </tableColumn>
    <tableColumn id="34" xr3:uid="{00000000-0010-0000-0400-000022000000}" name="Column34" totalsRowFunction="custom">
      <totalsRowFormula>SUM(AH2:AH99,AH104:AH110)</totalsRowFormula>
    </tableColumn>
    <tableColumn id="35" xr3:uid="{00000000-0010-0000-0400-000023000000}" name="Column35" totalsRowFunction="custom">
      <totalsRowFormula>SUM(AI2:AI99,AI104:AI110)</totalsRowFormula>
    </tableColumn>
    <tableColumn id="36" xr3:uid="{00000000-0010-0000-0400-000024000000}" name="Column36" totalsRowFunction="custom">
      <totalsRowFormula>SUM(AJ2:AJ99,AJ104:AJ110)</totalsRowFormula>
    </tableColumn>
    <tableColumn id="37" xr3:uid="{00000000-0010-0000-0400-000025000000}" name="Column37" totalsRowFunction="custom">
      <totalsRowFormula>SUM(AK2:AK99,AK104:AK110)</totalsRowFormula>
    </tableColumn>
    <tableColumn id="38" xr3:uid="{00000000-0010-0000-0400-000026000000}" name="Column38" totalsRowFunction="custom">
      <totalsRowFormula>SUM(AL2:AL99,AL104:AL110)</totalsRowFormula>
    </tableColumn>
    <tableColumn id="39" xr3:uid="{00000000-0010-0000-0400-000027000000}" name="Column39" totalsRowFunction="custom">
      <totalsRowFormula>SUM(AM2:AM99,AM104:AM110)</totalsRowFormula>
    </tableColumn>
    <tableColumn id="40" xr3:uid="{00000000-0010-0000-0400-000028000000}" name="Column40" totalsRowFunction="custom">
      <totalsRowFormula>SUM(AN2:AN99,AN104:AN110)</totalsRowFormula>
    </tableColumn>
    <tableColumn id="41" xr3:uid="{00000000-0010-0000-0400-000029000000}" name="Column41" totalsRowFunction="custom">
      <totalsRowFormula>SUM(AO2:AO99,AO104:AO110)</totalsRowFormula>
    </tableColumn>
    <tableColumn id="42" xr3:uid="{00000000-0010-0000-0400-00002A000000}" name="Column42" totalsRowFunction="custom">
      <totalsRowFormula>SUM(AP2:AP99,AP104:AP110)</totalsRowFormula>
    </tableColumn>
    <tableColumn id="43" xr3:uid="{00000000-0010-0000-0400-00002B000000}" name="Column43" totalsRowFunction="custom">
      <totalsRowFormula>SUM(AQ2:AQ99,AQ104:AQ110)</totalsRowFormula>
    </tableColumn>
    <tableColumn id="44" xr3:uid="{00000000-0010-0000-0400-00002C000000}" name="Column44" totalsRowFunction="custom">
      <totalsRowFormula>SUM(AR2:AR99,AR104:AR110)</totalsRowFormula>
    </tableColumn>
    <tableColumn id="45" xr3:uid="{00000000-0010-0000-0400-00002D000000}" name="Column45" totalsRowFunction="custom">
      <totalsRowFormula>SUM(AS2:AS99,AS104:AS110)</totalsRowFormula>
    </tableColumn>
    <tableColumn id="46" xr3:uid="{00000000-0010-0000-0400-00002E000000}" name="Column46" totalsRowFunction="custom">
      <totalsRowFormula>SUM(AT2:AT99,AT104:AT110)</totalsRowFormula>
    </tableColumn>
    <tableColumn id="47" xr3:uid="{00000000-0010-0000-0400-00002F000000}" name="Column47" totalsRowFunction="custom">
      <totalsRowFormula>SUM(AU2:AU99,AU104:AU110)</totalsRowFormula>
    </tableColumn>
    <tableColumn id="48" xr3:uid="{00000000-0010-0000-0400-000030000000}" name="Column48" totalsRowFunction="custom">
      <totalsRowFormula>SUM(AV2:AV99,AV104:AV110)</totalsRowFormula>
    </tableColumn>
    <tableColumn id="49" xr3:uid="{00000000-0010-0000-0400-000031000000}" name="Column49" totalsRowFunction="custom">
      <totalsRowFormula>SUM(AW2:AW99,AW104:AW110)</totalsRowFormula>
    </tableColumn>
    <tableColumn id="50" xr3:uid="{00000000-0010-0000-0400-000032000000}" name="Column50" totalsRowFunction="custom">
      <totalsRowFormula>SUM(AX2:AX99,AX104:AX110)</totalsRowFormula>
    </tableColumn>
    <tableColumn id="51" xr3:uid="{00000000-0010-0000-0400-000033000000}" name="Column51" totalsRowFunction="custom">
      <totalsRowFormula>SUM(AY2:AY99,AY104:AY110)</totalsRowFormula>
    </tableColumn>
    <tableColumn id="52" xr3:uid="{00000000-0010-0000-0400-000034000000}" name="Column52" totalsRowFunction="custom">
      <totalsRowFormula>SUM(AZ2:AZ99,AZ104:AZ110)</totalsRowFormula>
    </tableColumn>
    <tableColumn id="53" xr3:uid="{00000000-0010-0000-0400-000035000000}" name="Column53" totalsRowFunction="custom">
      <totalsRowFormula>SUM(BA2:BA99,BA104:BA110)</totalsRowFormula>
    </tableColumn>
    <tableColumn id="54" xr3:uid="{00000000-0010-0000-0400-000036000000}" name="Column54" totalsRowFunction="custom">
      <totalsRowFormula>SUM(BB2:BB99,BB104:BB110)</totalsRowFormula>
    </tableColumn>
    <tableColumn id="55" xr3:uid="{00000000-0010-0000-0400-000037000000}" name="Column55" totalsRowFunction="custom">
      <totalsRowFormula>SUM(BC2:BC99,BC104:BC110)</totalsRowFormula>
    </tableColumn>
    <tableColumn id="56" xr3:uid="{00000000-0010-0000-0400-000038000000}" name="Column56" totalsRowFunction="custom">
      <totalsRowFormula>SUM(BD2:BD99,BD104:BD110)</totalsRowFormula>
    </tableColumn>
    <tableColumn id="57" xr3:uid="{00000000-0010-0000-0400-000039000000}" name="Column57" totalsRowFunction="custom">
      <totalsRowFormula>SUM(BE2:BE99,BE104:BE110)</totalsRowFormula>
    </tableColumn>
    <tableColumn id="58" xr3:uid="{00000000-0010-0000-0400-00003A000000}" name="Column58" totalsRowFunction="custom">
      <totalsRowFormula>SUM(BF2:BF99,BF104:BF110)</totalsRowFormula>
    </tableColumn>
    <tableColumn id="59" xr3:uid="{00000000-0010-0000-0400-00003B000000}" name="Column59" totalsRowFunction="custom">
      <totalsRowFormula>SUM(BG2:BG99,BG104:BG110)</totalsRowFormula>
    </tableColumn>
    <tableColumn id="60" xr3:uid="{00000000-0010-0000-0400-00003C000000}" name="Column60" totalsRowFunction="custom">
      <totalsRowFormula>SUM(BH2:BH99,BH104:BH110)</totalsRowFormula>
    </tableColumn>
    <tableColumn id="61" xr3:uid="{00000000-0010-0000-0400-00003D000000}" name="Column61" totalsRowFunction="custom">
      <totalsRowFormula>SUM(BI2:BI99,BI104:BI110)</totalsRowFormula>
    </tableColumn>
    <tableColumn id="62" xr3:uid="{00000000-0010-0000-0400-00003E000000}" name="Column62" totalsRowFunction="custom">
      <totalsRowFormula>SUM(BJ2:BJ99,BJ104:BJ110)</totalsRowFormula>
    </tableColumn>
    <tableColumn id="63" xr3:uid="{00000000-0010-0000-0400-00003F000000}" name="Column63" totalsRowFunction="custom">
      <totalsRowFormula>SUM(BK2:BK99,BK104:BK110)</totalsRowFormula>
    </tableColumn>
    <tableColumn id="64" xr3:uid="{00000000-0010-0000-0400-000040000000}" name="Column64" totalsRowFunction="custom">
      <totalsRowFormula>SUM(BL2:BL99,BL104:BL110)</totalsRowFormula>
    </tableColumn>
    <tableColumn id="65" xr3:uid="{00000000-0010-0000-0400-000041000000}" name="Column65" totalsRowFunction="custom">
      <totalsRowFormula>SUM(BM2:BM99,BM104:BM110)</totalsRowFormula>
    </tableColumn>
    <tableColumn id="66" xr3:uid="{00000000-0010-0000-0400-000042000000}" name="Column66" totalsRowFunction="custom">
      <totalsRowFormula>SUM(BN2:BN99,BN104:BN110)</totalsRowFormula>
    </tableColumn>
    <tableColumn id="67" xr3:uid="{00000000-0010-0000-0400-000043000000}" name="Column67" totalsRowFunction="custom">
      <totalsRowFormula>SUM(BO2:BO99,BO104:BO110)</totalsRowFormula>
    </tableColumn>
    <tableColumn id="68" xr3:uid="{00000000-0010-0000-0400-000044000000}" name="Column68" totalsRowFunction="custom">
      <totalsRowFormula>SUM(BP2:BP99,BP104:BP110)</totalsRowFormula>
    </tableColumn>
    <tableColumn id="69" xr3:uid="{00000000-0010-0000-0400-000045000000}" name="Column69" totalsRowFunction="custom">
      <totalsRowFormula>SUM(BQ2:BQ99,BQ104:BQ110)</totalsRowFormula>
    </tableColumn>
    <tableColumn id="70" xr3:uid="{00000000-0010-0000-0400-000046000000}" name="Column70" totalsRowFunction="custom">
      <totalsRowFormula>SUM(BR2:BR99,BR104:BR110)</totalsRowFormula>
    </tableColumn>
    <tableColumn id="71" xr3:uid="{00000000-0010-0000-0400-000047000000}" name="Column71" totalsRowFunction="custom">
      <totalsRowFormula>SUM(BS2:BS99,BS104:BS110)</totalsRowFormula>
    </tableColumn>
    <tableColumn id="72" xr3:uid="{00000000-0010-0000-0400-000048000000}" name="Column72" totalsRowFunction="custom">
      <totalsRowFormula>SUM(BT2:BT99,BT104:BT110)</totalsRowFormula>
    </tableColumn>
    <tableColumn id="73" xr3:uid="{00000000-0010-0000-0400-000049000000}" name="Column73" totalsRowFunction="custom">
      <totalsRowFormula>SUM(BU2:BU99,BU104:BU110)</totalsRowFormula>
    </tableColumn>
    <tableColumn id="74" xr3:uid="{00000000-0010-0000-0400-00004A000000}" name="Column74" totalsRowFunction="custom">
      <totalsRowFormula>SUM(BV2:BV99,BV104:BV110)</totalsRowFormula>
    </tableColumn>
    <tableColumn id="75" xr3:uid="{00000000-0010-0000-0400-00004B000000}" name="Column75" totalsRowFunction="custom">
      <totalsRowFormula>SUM(BW2:BW99,BW104:BW110)</totalsRowFormula>
    </tableColumn>
    <tableColumn id="76" xr3:uid="{00000000-0010-0000-0400-00004C000000}" name="Column76" totalsRowFunction="custom">
      <totalsRowFormula>SUM(BX2:BX99,BX104:BX110)</totalsRowFormula>
    </tableColumn>
  </tableColumns>
  <tableStyleInfo name="CAL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BZ97" headerRowCount="0" totalsRowCount="1">
  <tableColumns count="78">
    <tableColumn id="1" xr3:uid="{00000000-0010-0000-0500-000001000000}" name="Column1" totalsRowLabel="Total: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 totalsRowFunction="custom">
      <totalsRowFormula>IFERROR(VLOOKUP(F97,A458DC1025,2,FALSE),"")</totalsRowFormula>
    </tableColumn>
    <tableColumn id="8" xr3:uid="{00000000-0010-0000-0500-000008000000}" name="Column8" totalsRowFunction="custom">
      <totalsRowFormula>IFERROR(VLOOKUP(F97,A458DC1025,3,FALSE),"")</totalsRowFormula>
    </tableColumn>
    <tableColumn id="9" xr3:uid="{00000000-0010-0000-0500-000009000000}" name="Column9"/>
    <tableColumn id="10" xr3:uid="{00000000-0010-0000-0500-00000A000000}" name="Column10" totalsRowFunction="custom">
      <totalsRowFormula>SUM(J2:J96,J104:J111)</totalsRowFormula>
    </tableColumn>
    <tableColumn id="11" xr3:uid="{00000000-0010-0000-0500-00000B000000}" name="Column11" totalsRowFunction="custom">
      <totalsRowFormula>SUM(K2:K96,K104:K111)</totalsRowFormula>
    </tableColumn>
    <tableColumn id="12" xr3:uid="{00000000-0010-0000-0500-00000C000000}" name="Column12" totalsRowFunction="custom">
      <totalsRowFormula>SUM(L2:L96,L104:L111)</totalsRowFormula>
    </tableColumn>
    <tableColumn id="13" xr3:uid="{00000000-0010-0000-0500-00000D000000}" name="Column13" totalsRowFunction="custom">
      <totalsRowFormula>SUM(M2:M96,M104:M111)</totalsRowFormula>
    </tableColumn>
    <tableColumn id="14" xr3:uid="{00000000-0010-0000-0500-00000E000000}" name="Column14" totalsRowFunction="custom">
      <totalsRowFormula>SUM(N2:N96,N104:N111)</totalsRowFormula>
    </tableColumn>
    <tableColumn id="15" xr3:uid="{00000000-0010-0000-0500-00000F000000}" name="Column15" totalsRowFunction="custom">
      <totalsRowFormula>SUM(O2:O96,O104:O111)</totalsRowFormula>
    </tableColumn>
    <tableColumn id="16" xr3:uid="{00000000-0010-0000-0500-000010000000}" name="Column16" totalsRowFunction="custom">
      <totalsRowFormula>SUM(P2:P96,P104:P111)</totalsRowFormula>
    </tableColumn>
    <tableColumn id="17" xr3:uid="{00000000-0010-0000-0500-000011000000}" name="Column17" totalsRowFunction="custom">
      <totalsRowFormula>SUM(Q2:Q96,Q104:Q111)</totalsRowFormula>
    </tableColumn>
    <tableColumn id="18" xr3:uid="{00000000-0010-0000-0500-000012000000}" name="Column18" totalsRowFunction="custom">
      <totalsRowFormula>SUM(R2:R96,R104:R111)</totalsRowFormula>
    </tableColumn>
    <tableColumn id="19" xr3:uid="{00000000-0010-0000-0500-000013000000}" name="Column19" totalsRowFunction="custom">
      <totalsRowFormula>SUM(S2:S96,S104:S111)</totalsRowFormula>
    </tableColumn>
    <tableColumn id="20" xr3:uid="{00000000-0010-0000-0500-000014000000}" name="Column20" totalsRowFunction="custom">
      <totalsRowFormula>SUM(T2:T96,T104:T111)</totalsRowFormula>
    </tableColumn>
    <tableColumn id="21" xr3:uid="{00000000-0010-0000-0500-000015000000}" name="Column21" totalsRowFunction="custom">
      <totalsRowFormula>SUM(U2:U96,U104:U111)</totalsRowFormula>
    </tableColumn>
    <tableColumn id="22" xr3:uid="{00000000-0010-0000-0500-000016000000}" name="Column22" totalsRowFunction="custom">
      <totalsRowFormula>SUM(V2:V96,V104:V111)</totalsRowFormula>
    </tableColumn>
    <tableColumn id="23" xr3:uid="{00000000-0010-0000-0500-000017000000}" name="Column23" totalsRowFunction="custom">
      <totalsRowFormula>SUM(W2:W96,W104:W111)</totalsRowFormula>
    </tableColumn>
    <tableColumn id="24" xr3:uid="{00000000-0010-0000-0500-000018000000}" name="Column24" totalsRowFunction="custom">
      <totalsRowFormula>SUM(X2:X96,X104:X111)</totalsRowFormula>
    </tableColumn>
    <tableColumn id="25" xr3:uid="{00000000-0010-0000-0500-000019000000}" name="Column25" totalsRowFunction="custom">
      <totalsRowFormula>SUM(Y2:Y96,Y104:Y111)</totalsRowFormula>
    </tableColumn>
    <tableColumn id="26" xr3:uid="{00000000-0010-0000-0500-00001A000000}" name="Column26" totalsRowFunction="custom">
      <totalsRowFormula>SUM(Z2:Z96,Z104:Z111)</totalsRowFormula>
    </tableColumn>
    <tableColumn id="27" xr3:uid="{00000000-0010-0000-0500-00001B000000}" name="Column27" totalsRowFunction="custom">
      <totalsRowFormula>SUM(AA2:AA96,AA104:AA111)</totalsRowFormula>
    </tableColumn>
    <tableColumn id="28" xr3:uid="{00000000-0010-0000-0500-00001C000000}" name="Column28" totalsRowFunction="custom">
      <totalsRowFormula>SUM(AB2:AB96,AB104:AB111)</totalsRowFormula>
    </tableColumn>
    <tableColumn id="29" xr3:uid="{00000000-0010-0000-0500-00001D000000}" name="Column29" totalsRowFunction="custom">
      <totalsRowFormula>SUM(AC2:AC96,AC104:AC111)</totalsRowFormula>
    </tableColumn>
    <tableColumn id="30" xr3:uid="{00000000-0010-0000-0500-00001E000000}" name="Column30" totalsRowFunction="custom">
      <totalsRowFormula>SUM(AD2:AD96,AD104:AD111)</totalsRowFormula>
    </tableColumn>
    <tableColumn id="31" xr3:uid="{00000000-0010-0000-0500-00001F000000}" name="Column31" totalsRowFunction="custom">
      <totalsRowFormula>SUM(AE2:AE96,AE104:AE111)</totalsRowFormula>
    </tableColumn>
    <tableColumn id="32" xr3:uid="{00000000-0010-0000-0500-000020000000}" name="Column32" totalsRowFunction="custom">
      <totalsRowFormula>SUM(AF2:AF96,AF104:AF111)</totalsRowFormula>
    </tableColumn>
    <tableColumn id="33" xr3:uid="{00000000-0010-0000-0500-000021000000}" name="Column33" totalsRowFunction="custom">
      <totalsRowFormula>SUM(AG2:AG96,AG104:AG111)</totalsRowFormula>
    </tableColumn>
    <tableColumn id="34" xr3:uid="{00000000-0010-0000-0500-000022000000}" name="Column34" totalsRowFunction="custom">
      <totalsRowFormula>SUM(AH2:AH96,AH104:AH111)</totalsRowFormula>
    </tableColumn>
    <tableColumn id="35" xr3:uid="{00000000-0010-0000-0500-000023000000}" name="Column35" totalsRowFunction="custom">
      <totalsRowFormula>SUM(AI2:AI96,AI104:AI111)</totalsRowFormula>
    </tableColumn>
    <tableColumn id="36" xr3:uid="{00000000-0010-0000-0500-000024000000}" name="Column36" totalsRowFunction="custom">
      <totalsRowFormula>SUM(AJ2:AJ96,AJ104:AJ111)</totalsRowFormula>
    </tableColumn>
    <tableColumn id="37" xr3:uid="{00000000-0010-0000-0500-000025000000}" name="Column37" totalsRowFunction="custom">
      <totalsRowFormula>SUM(AK2:AK96,AK104:AK111)</totalsRowFormula>
    </tableColumn>
    <tableColumn id="38" xr3:uid="{00000000-0010-0000-0500-000026000000}" name="Column38" totalsRowFunction="custom">
      <totalsRowFormula>SUM(AL2:AL96,AL104:AL111)</totalsRowFormula>
    </tableColumn>
    <tableColumn id="39" xr3:uid="{00000000-0010-0000-0500-000027000000}" name="Column39" totalsRowFunction="custom">
      <totalsRowFormula>SUM(AM2:AM96,AM104:AM111)</totalsRowFormula>
    </tableColumn>
    <tableColumn id="40" xr3:uid="{00000000-0010-0000-0500-000028000000}" name="Column40" totalsRowFunction="custom">
      <totalsRowFormula>SUM(AN2:AN96,AN104:AN111)</totalsRowFormula>
    </tableColumn>
    <tableColumn id="41" xr3:uid="{00000000-0010-0000-0500-000029000000}" name="Column41" totalsRowFunction="custom">
      <totalsRowFormula>SUM(AO2:AO96,AO104:AO111)</totalsRowFormula>
    </tableColumn>
    <tableColumn id="42" xr3:uid="{00000000-0010-0000-0500-00002A000000}" name="Column42" totalsRowFunction="custom">
      <totalsRowFormula>SUM(AP2:AP96,AP104:AP111)</totalsRowFormula>
    </tableColumn>
    <tableColumn id="43" xr3:uid="{00000000-0010-0000-0500-00002B000000}" name="Column43" totalsRowFunction="custom">
      <totalsRowFormula>SUM(AQ2:AQ96,AQ104:AQ111)</totalsRowFormula>
    </tableColumn>
    <tableColumn id="44" xr3:uid="{00000000-0010-0000-0500-00002C000000}" name="Column44" totalsRowFunction="custom">
      <totalsRowFormula>SUM(AR2:AR96,AR104:AR111)</totalsRowFormula>
    </tableColumn>
    <tableColumn id="45" xr3:uid="{00000000-0010-0000-0500-00002D000000}" name="Column45" totalsRowFunction="custom">
      <totalsRowFormula>SUM(AS2:AS96,AS104:AS111)</totalsRowFormula>
    </tableColumn>
    <tableColumn id="46" xr3:uid="{00000000-0010-0000-0500-00002E000000}" name="Column46" totalsRowFunction="custom">
      <totalsRowFormula>SUM(AT2:AT96,AT104:AT111)</totalsRowFormula>
    </tableColumn>
    <tableColumn id="47" xr3:uid="{00000000-0010-0000-0500-00002F000000}" name="Column47" totalsRowFunction="custom">
      <totalsRowFormula>SUM(AU2:AU96,AU104:AU111)</totalsRowFormula>
    </tableColumn>
    <tableColumn id="48" xr3:uid="{00000000-0010-0000-0500-000030000000}" name="Column48" totalsRowFunction="custom">
      <totalsRowFormula>SUM(AV2:AV96,AV104:AV111)</totalsRowFormula>
    </tableColumn>
    <tableColumn id="49" xr3:uid="{00000000-0010-0000-0500-000031000000}" name="Column49" totalsRowFunction="custom">
      <totalsRowFormula>SUM(AW2:AW96,AW104:AW111)</totalsRowFormula>
    </tableColumn>
    <tableColumn id="50" xr3:uid="{00000000-0010-0000-0500-000032000000}" name="Column50" totalsRowFunction="custom">
      <totalsRowFormula>SUM(AX2:AX96,AX104:AX111)</totalsRowFormula>
    </tableColumn>
    <tableColumn id="51" xr3:uid="{00000000-0010-0000-0500-000033000000}" name="Column51" totalsRowFunction="custom">
      <totalsRowFormula>SUM(AY2:AY96,AY104:AY111)</totalsRowFormula>
    </tableColumn>
    <tableColumn id="52" xr3:uid="{00000000-0010-0000-0500-000034000000}" name="Column52" totalsRowFunction="custom">
      <totalsRowFormula>SUM(AZ2:AZ96,AZ104:AZ111)</totalsRowFormula>
    </tableColumn>
    <tableColumn id="53" xr3:uid="{00000000-0010-0000-0500-000035000000}" name="Column53" totalsRowFunction="custom">
      <totalsRowFormula>SUM(BA2:BA96,BA104:BA111)</totalsRowFormula>
    </tableColumn>
    <tableColumn id="54" xr3:uid="{00000000-0010-0000-0500-000036000000}" name="Column54" totalsRowFunction="custom">
      <totalsRowFormula>SUM(BB2:BB96,BB104:BB111)</totalsRowFormula>
    </tableColumn>
    <tableColumn id="55" xr3:uid="{00000000-0010-0000-0500-000037000000}" name="Column55" totalsRowFunction="custom">
      <totalsRowFormula>SUM(BC2:BC96,BC104:BC111)</totalsRowFormula>
    </tableColumn>
    <tableColumn id="56" xr3:uid="{00000000-0010-0000-0500-000038000000}" name="Column56" totalsRowFunction="custom">
      <totalsRowFormula>SUM(BD2:BD96,BD104:BD111)</totalsRowFormula>
    </tableColumn>
    <tableColumn id="57" xr3:uid="{00000000-0010-0000-0500-000039000000}" name="Column57" totalsRowFunction="custom">
      <totalsRowFormula>SUM(BE2:BE96,BE104:BE111)</totalsRowFormula>
    </tableColumn>
    <tableColumn id="58" xr3:uid="{00000000-0010-0000-0500-00003A000000}" name="Column58" totalsRowFunction="custom">
      <totalsRowFormula>SUM(BF2:BF96,BF104:BF111)</totalsRowFormula>
    </tableColumn>
    <tableColumn id="59" xr3:uid="{00000000-0010-0000-0500-00003B000000}" name="Column59" totalsRowFunction="custom">
      <totalsRowFormula>SUM(BG2:BG96,BG104:BG111)</totalsRowFormula>
    </tableColumn>
    <tableColumn id="60" xr3:uid="{00000000-0010-0000-0500-00003C000000}" name="Column60" totalsRowFunction="custom">
      <totalsRowFormula>SUM(BH2:BH96,BH104:BH111)</totalsRowFormula>
    </tableColumn>
    <tableColumn id="61" xr3:uid="{00000000-0010-0000-0500-00003D000000}" name="Column61" totalsRowFunction="custom">
      <totalsRowFormula>SUM(BI2:BI96,BI104:BI111)</totalsRowFormula>
    </tableColumn>
    <tableColumn id="62" xr3:uid="{00000000-0010-0000-0500-00003E000000}" name="Column62" totalsRowFunction="custom">
      <totalsRowFormula>SUM(BJ2:BJ96,BJ104:BJ111)</totalsRowFormula>
    </tableColumn>
    <tableColumn id="63" xr3:uid="{00000000-0010-0000-0500-00003F000000}" name="Column63" totalsRowFunction="custom">
      <totalsRowFormula>SUM(BK2:BK96,BK104:BK111)</totalsRowFormula>
    </tableColumn>
    <tableColumn id="64" xr3:uid="{00000000-0010-0000-0500-000040000000}" name="Column64" totalsRowFunction="custom">
      <totalsRowFormula>SUM(BL2:BL96,BL104:BL111)</totalsRowFormula>
    </tableColumn>
    <tableColumn id="65" xr3:uid="{00000000-0010-0000-0500-000041000000}" name="Column65" totalsRowFunction="custom">
      <totalsRowFormula>SUM(BM2:BM96,BM104:BM111)</totalsRowFormula>
    </tableColumn>
    <tableColumn id="66" xr3:uid="{00000000-0010-0000-0500-000042000000}" name="Column66" totalsRowFunction="custom">
      <totalsRowFormula>SUM(BN2:BN96,BN104:BN111)</totalsRowFormula>
    </tableColumn>
    <tableColumn id="67" xr3:uid="{00000000-0010-0000-0500-000043000000}" name="Column67" totalsRowFunction="custom">
      <totalsRowFormula>SUM(BO2:BO96,BO104:BO111)</totalsRowFormula>
    </tableColumn>
    <tableColumn id="68" xr3:uid="{00000000-0010-0000-0500-000044000000}" name="Column68" totalsRowFunction="custom">
      <totalsRowFormula>SUM(BP2:BP96,BP104:BP111)</totalsRowFormula>
    </tableColumn>
    <tableColumn id="69" xr3:uid="{00000000-0010-0000-0500-000045000000}" name="Column69" totalsRowFunction="custom">
      <totalsRowFormula>SUM(BQ2:BQ96,BQ104:BQ111)</totalsRowFormula>
    </tableColumn>
    <tableColumn id="70" xr3:uid="{00000000-0010-0000-0500-000046000000}" name="Column70" totalsRowFunction="custom">
      <totalsRowFormula>SUM(BR2:BR96,BR104:BR111)</totalsRowFormula>
    </tableColumn>
    <tableColumn id="71" xr3:uid="{00000000-0010-0000-0500-000047000000}" name="Column71" totalsRowFunction="custom">
      <totalsRowFormula>SUM(BS2:BS96,BS104:BS111)</totalsRowFormula>
    </tableColumn>
    <tableColumn id="72" xr3:uid="{00000000-0010-0000-0500-000048000000}" name="Column72" totalsRowFunction="custom">
      <totalsRowFormula>SUM(BT2:BT96,BT104:BT111)</totalsRowFormula>
    </tableColumn>
    <tableColumn id="73" xr3:uid="{00000000-0010-0000-0500-000049000000}" name="Column73" totalsRowFunction="custom">
      <totalsRowFormula>SUM(BU2:BU96,BU104:BU111)</totalsRowFormula>
    </tableColumn>
    <tableColumn id="74" xr3:uid="{00000000-0010-0000-0500-00004A000000}" name="Column74" totalsRowFunction="custom">
      <totalsRowFormula>SUM(BV2:BV96,BV104:BV111)</totalsRowFormula>
    </tableColumn>
    <tableColumn id="75" xr3:uid="{00000000-0010-0000-0500-00004B000000}" name="Column75" totalsRowFunction="custom">
      <totalsRowFormula>SUM(BW2:BW96,BW104)</totalsRowFormula>
    </tableColumn>
    <tableColumn id="76" xr3:uid="{00000000-0010-0000-0500-00004C000000}" name="Column76" totalsRowFunction="custom">
      <totalsRowFormula>SUM(BX2:BX96,BX104)</totalsRowFormula>
    </tableColumn>
    <tableColumn id="77" xr3:uid="{00000000-0010-0000-0500-00004D000000}" name="Column77"/>
    <tableColumn id="78" xr3:uid="{00000000-0010-0000-0500-00004E000000}" name="Column78"/>
  </tableColumns>
  <tableStyleInfo name="RETAMA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2:CB161" headerRowCount="0" totalsRowCount="1">
  <tableColumns count="8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 totalsRowLabel="TOTAL:"/>
    <tableColumn id="14" xr3:uid="{00000000-0010-0000-0600-00000E000000}" name="Column14"/>
    <tableColumn id="15" xr3:uid="{00000000-0010-0000-0600-00000F000000}" name="Column15" totalsRowFunction="custom">
      <totalsRowFormula>SUM(O2:O160)</totalsRowFormula>
    </tableColumn>
    <tableColumn id="16" xr3:uid="{00000000-0010-0000-0600-000010000000}" name="Column16" totalsRowFunction="custom">
      <totalsRowFormula>SUM(P2:P160,P164:P167)</totalsRowFormula>
    </tableColumn>
    <tableColumn id="17" xr3:uid="{00000000-0010-0000-0600-000011000000}" name="Column17" totalsRowFunction="custom">
      <totalsRowFormula>SUM(Q2:Q160,Q164:Q167)</totalsRowFormula>
    </tableColumn>
    <tableColumn id="18" xr3:uid="{00000000-0010-0000-0600-000012000000}" name="Column18" totalsRowFunction="custom">
      <totalsRowFormula>SUM(R2:R160,R164:R167)</totalsRowFormula>
    </tableColumn>
    <tableColumn id="19" xr3:uid="{00000000-0010-0000-0600-000013000000}" name="Column19" totalsRowFunction="custom">
      <totalsRowFormula>SUM(S2:S160,S164:S167)</totalsRowFormula>
    </tableColumn>
    <tableColumn id="20" xr3:uid="{00000000-0010-0000-0600-000014000000}" name="Column20" totalsRowFunction="custom">
      <totalsRowFormula>SUM(T2:T160,T164:T167)</totalsRowFormula>
    </tableColumn>
    <tableColumn id="21" xr3:uid="{00000000-0010-0000-0600-000015000000}" name="Column21" totalsRowFunction="custom">
      <totalsRowFormula>SUM(U2:U160,U164:U167)</totalsRowFormula>
    </tableColumn>
    <tableColumn id="22" xr3:uid="{00000000-0010-0000-0600-000016000000}" name="Column22" totalsRowFunction="custom">
      <totalsRowFormula>SUM(V2:V160,V164:V167)</totalsRowFormula>
    </tableColumn>
    <tableColumn id="23" xr3:uid="{00000000-0010-0000-0600-000017000000}" name="Column23" totalsRowFunction="custom">
      <totalsRowFormula>SUM(W2:W160,W164:W167)</totalsRowFormula>
    </tableColumn>
    <tableColumn id="24" xr3:uid="{00000000-0010-0000-0600-000018000000}" name="Column24" totalsRowFunction="custom">
      <totalsRowFormula>SUM(X2:X160,X164:X167)</totalsRowFormula>
    </tableColumn>
    <tableColumn id="25" xr3:uid="{00000000-0010-0000-0600-000019000000}" name="Column25" totalsRowFunction="custom">
      <totalsRowFormula>SUM(Y2:Y160,Y164:Y167)</totalsRowFormula>
    </tableColumn>
    <tableColumn id="26" xr3:uid="{00000000-0010-0000-0600-00001A000000}" name="Column26" totalsRowFunction="custom">
      <totalsRowFormula>SUM(Z2:Z160,Z164:Z167)</totalsRowFormula>
    </tableColumn>
    <tableColumn id="27" xr3:uid="{00000000-0010-0000-0600-00001B000000}" name="Column27" totalsRowFunction="custom">
      <totalsRowFormula>SUM(AA2:AA160,AA164:AA167)</totalsRowFormula>
    </tableColumn>
    <tableColumn id="28" xr3:uid="{00000000-0010-0000-0600-00001C000000}" name="Column28" totalsRowFunction="custom">
      <totalsRowFormula>SUM(AB2:AB160,AB164:AB167)</totalsRowFormula>
    </tableColumn>
    <tableColumn id="29" xr3:uid="{00000000-0010-0000-0600-00001D000000}" name="Column29" totalsRowFunction="custom">
      <totalsRowFormula>SUM(AC2:AC160,AC164:AC167)</totalsRowFormula>
    </tableColumn>
    <tableColumn id="30" xr3:uid="{00000000-0010-0000-0600-00001E000000}" name="Column30" totalsRowFunction="custom">
      <totalsRowFormula>SUM(AD2:AD160,AD164:AD167)</totalsRowFormula>
    </tableColumn>
    <tableColumn id="31" xr3:uid="{00000000-0010-0000-0600-00001F000000}" name="Column31" totalsRowFunction="custom">
      <totalsRowFormula>SUM(AE2:AE160,AE164:AE167)</totalsRowFormula>
    </tableColumn>
    <tableColumn id="32" xr3:uid="{00000000-0010-0000-0600-000020000000}" name="Column32" totalsRowFunction="custom">
      <totalsRowFormula>SUM(AF2:AF160,AF164:AF167)</totalsRowFormula>
    </tableColumn>
    <tableColumn id="33" xr3:uid="{00000000-0010-0000-0600-000021000000}" name="Column33" totalsRowFunction="custom">
      <totalsRowFormula>SUM(AG2:AG160,AG164:AG167)</totalsRowFormula>
    </tableColumn>
    <tableColumn id="34" xr3:uid="{00000000-0010-0000-0600-000022000000}" name="Column34" totalsRowFunction="custom">
      <totalsRowFormula>SUM(AH2:AH160,AH164:AH167)</totalsRowFormula>
    </tableColumn>
    <tableColumn id="35" xr3:uid="{00000000-0010-0000-0600-000023000000}" name="Column35" totalsRowFunction="custom">
      <totalsRowFormula>SUM(AI2:AI160,AI164:AI167)</totalsRowFormula>
    </tableColumn>
    <tableColumn id="36" xr3:uid="{00000000-0010-0000-0600-000024000000}" name="Column36" totalsRowFunction="custom">
      <totalsRowFormula>SUM(AJ2:AJ160,AJ164:AJ167)</totalsRowFormula>
    </tableColumn>
    <tableColumn id="37" xr3:uid="{00000000-0010-0000-0600-000025000000}" name="Column37" totalsRowFunction="custom">
      <totalsRowFormula>SUM(AK2:AK160,AK164:AK167)</totalsRowFormula>
    </tableColumn>
    <tableColumn id="38" xr3:uid="{00000000-0010-0000-0600-000026000000}" name="Column38" totalsRowFunction="custom">
      <totalsRowFormula>SUM(AL2:AL160,AL164:AL167)</totalsRowFormula>
    </tableColumn>
    <tableColumn id="39" xr3:uid="{00000000-0010-0000-0600-000027000000}" name="Column39" totalsRowFunction="custom">
      <totalsRowFormula>SUM(AM2:AM160,AM164:AM167)</totalsRowFormula>
    </tableColumn>
    <tableColumn id="40" xr3:uid="{00000000-0010-0000-0600-000028000000}" name="Column40" totalsRowFunction="custom">
      <totalsRowFormula>SUM(AN2:AN160,AN164:AN167)</totalsRowFormula>
    </tableColumn>
    <tableColumn id="41" xr3:uid="{00000000-0010-0000-0600-000029000000}" name="Column41" totalsRowFunction="custom">
      <totalsRowFormula>IFERROR(AM161/AI161,"")</totalsRowFormula>
    </tableColumn>
    <tableColumn id="42" xr3:uid="{00000000-0010-0000-0600-00002A000000}" name="Column42" totalsRowFunction="custom">
      <totalsRowFormula>SUM(AP2:AP160,AP164:AP167)</totalsRowFormula>
    </tableColumn>
    <tableColumn id="43" xr3:uid="{00000000-0010-0000-0600-00002B000000}" name="Column43" totalsRowFunction="custom">
      <totalsRowFormula>SUM(AQ2:AQ160,AQ164:AQ167)</totalsRowFormula>
    </tableColumn>
    <tableColumn id="44" xr3:uid="{00000000-0010-0000-0600-00002C000000}" name="Column44" totalsRowFunction="custom">
      <totalsRowFormula>SUM(AR2:AR160,AR164:AR167)</totalsRowFormula>
    </tableColumn>
    <tableColumn id="45" xr3:uid="{00000000-0010-0000-0600-00002D000000}" name="Column45" totalsRowFunction="custom">
      <totalsRowFormula>SUM(AS2:AS160,AS164:AS167)</totalsRowFormula>
    </tableColumn>
    <tableColumn id="46" xr3:uid="{00000000-0010-0000-0600-00002E000000}" name="Column46" totalsRowFunction="custom">
      <totalsRowFormula>SUM(AT2:AT160,AT164:AT167)</totalsRowFormula>
    </tableColumn>
    <tableColumn id="47" xr3:uid="{00000000-0010-0000-0600-00002F000000}" name="Column47" totalsRowFunction="custom">
      <totalsRowFormula>SUM(AU2:AU160,AU164:AU167)</totalsRowFormula>
    </tableColumn>
    <tableColumn id="48" xr3:uid="{00000000-0010-0000-0600-000030000000}" name="Column48" totalsRowFunction="custom">
      <totalsRowFormula>SUM(AV2:AV160,AV164:AV167)</totalsRowFormula>
    </tableColumn>
    <tableColumn id="49" xr3:uid="{00000000-0010-0000-0600-000031000000}" name="Column49" totalsRowFunction="custom">
      <totalsRowFormula>SUM(AW2:AW160,AW164:AW167)</totalsRowFormula>
    </tableColumn>
    <tableColumn id="50" xr3:uid="{00000000-0010-0000-0600-000032000000}" name="Column50" totalsRowFunction="custom">
      <totalsRowFormula>SUM(AX2:AX160,AX164:AX167)</totalsRowFormula>
    </tableColumn>
    <tableColumn id="51" xr3:uid="{00000000-0010-0000-0600-000033000000}" name="Column51" totalsRowFunction="custom">
      <totalsRowFormula>SUM(AY2:AY160,AY164:AY167)</totalsRowFormula>
    </tableColumn>
    <tableColumn id="52" xr3:uid="{00000000-0010-0000-0600-000034000000}" name="Column52" totalsRowFunction="custom">
      <totalsRowFormula>SUM(AZ2:AZ160,AZ164:AZ167)</totalsRowFormula>
    </tableColumn>
    <tableColumn id="53" xr3:uid="{00000000-0010-0000-0600-000035000000}" name="Column53" totalsRowFunction="custom">
      <totalsRowFormula>SUM(BA2:BA160,BA164:BA167)</totalsRowFormula>
    </tableColumn>
    <tableColumn id="54" xr3:uid="{00000000-0010-0000-0600-000036000000}" name="Column54" totalsRowFunction="custom">
      <totalsRowFormula>AY161+AU161+AQ161</totalsRowFormula>
    </tableColumn>
    <tableColumn id="55" xr3:uid="{00000000-0010-0000-0600-000037000000}" name="Column55" totalsRowFunction="custom">
      <totalsRowFormula>AZ161+AV161+AR161</totalsRowFormula>
    </tableColumn>
    <tableColumn id="56" xr3:uid="{00000000-0010-0000-0600-000038000000}" name="Column56" totalsRowFunction="custom">
      <totalsRowFormula>BA161+AW161+AS161</totalsRowFormula>
    </tableColumn>
    <tableColumn id="57" xr3:uid="{00000000-0010-0000-0600-000039000000}" name="Column57" totalsRowFunction="custom">
      <totalsRowFormula>SUM(BE2:BE160,BE164:BE167)</totalsRowFormula>
    </tableColumn>
    <tableColumn id="58" xr3:uid="{00000000-0010-0000-0600-00003A000000}" name="Column58" totalsRowFunction="custom">
      <totalsRowFormula>SUM(BF2:BF160,BF164:BF167)</totalsRowFormula>
    </tableColumn>
    <tableColumn id="59" xr3:uid="{00000000-0010-0000-0600-00003B000000}" name="Column59" totalsRowFunction="custom">
      <totalsRowFormula>SUM(BG2:BG160,BG164:BG167)</totalsRowFormula>
    </tableColumn>
    <tableColumn id="60" xr3:uid="{00000000-0010-0000-0600-00003C000000}" name="Column60" totalsRowFunction="custom">
      <totalsRowFormula>IFERROR(VLOOKUP(M161,LAGE24,9,FALSE),"")</totalsRowFormula>
    </tableColumn>
    <tableColumn id="61" xr3:uid="{00000000-0010-0000-0600-00003D000000}" name="Column61" totalsRowFunction="custom">
      <totalsRowFormula>SUM(BI2:BI160,BI164:BI175)</totalsRowFormula>
    </tableColumn>
    <tableColumn id="62" xr3:uid="{00000000-0010-0000-0600-00003E000000}" name="Column62" totalsRowFunction="custom">
      <totalsRowFormula>SUM(BJ2:BJ160,BJ164:BJ175)</totalsRowFormula>
    </tableColumn>
    <tableColumn id="63" xr3:uid="{00000000-0010-0000-0600-00003F000000}" name="Column63" totalsRowFunction="custom">
      <totalsRowFormula>SUM(BK2:BK160,BK164:BK175)</totalsRowFormula>
    </tableColumn>
    <tableColumn id="64" xr3:uid="{00000000-0010-0000-0600-000040000000}" name="Column64" totalsRowFunction="custom">
      <totalsRowFormula>SUM(BL2:BL160,BL164:BL175)</totalsRowFormula>
    </tableColumn>
    <tableColumn id="65" xr3:uid="{00000000-0010-0000-0600-000041000000}" name="Column65" totalsRowFunction="custom">
      <totalsRowFormula>SUM(BM2:BM160,BM164:BM175)</totalsRowFormula>
    </tableColumn>
    <tableColumn id="66" xr3:uid="{00000000-0010-0000-0600-000042000000}" name="Column66" totalsRowFunction="custom">
      <totalsRowFormula>SUM(BN2:BN160,BN164:BN175)</totalsRowFormula>
    </tableColumn>
    <tableColumn id="67" xr3:uid="{00000000-0010-0000-0600-000043000000}" name="Column67" totalsRowFunction="custom">
      <totalsRowFormula>SUM(BO2:BO160,BO164:BO175)</totalsRowFormula>
    </tableColumn>
    <tableColumn id="68" xr3:uid="{00000000-0010-0000-0600-000044000000}" name="Column68" totalsRowFunction="custom">
      <totalsRowFormula>SUM(BP2:BP160,BP164:BP175)</totalsRowFormula>
    </tableColumn>
    <tableColumn id="69" xr3:uid="{00000000-0010-0000-0600-000045000000}" name="Column69" totalsRowFunction="custom">
      <totalsRowFormula>SUM(BQ2:BQ160,BQ164:BQ175)</totalsRowFormula>
    </tableColumn>
    <tableColumn id="70" xr3:uid="{00000000-0010-0000-0600-000046000000}" name="Column70" totalsRowFunction="custom">
      <totalsRowFormula>SUM(BR2:BR160,BR164:BR175)</totalsRowFormula>
    </tableColumn>
    <tableColumn id="71" xr3:uid="{00000000-0010-0000-0600-000047000000}" name="Column71" totalsRowFunction="custom">
      <totalsRowFormula>SUM(BS2:BS160,BS164:BS175)</totalsRowFormula>
    </tableColumn>
    <tableColumn id="72" xr3:uid="{00000000-0010-0000-0600-000048000000}" name="Column72" totalsRowFunction="custom">
      <totalsRowFormula>SUM(BT2:BT160,BT164:BT175)</totalsRowFormula>
    </tableColumn>
    <tableColumn id="73" xr3:uid="{00000000-0010-0000-0600-000049000000}" name="Column73" totalsRowFunction="custom">
      <totalsRowFormula>SUM(BU2:BU160,BU164:BU175)</totalsRowFormula>
    </tableColumn>
    <tableColumn id="74" xr3:uid="{00000000-0010-0000-0600-00004A000000}" name="Column74" totalsRowFunction="custom">
      <totalsRowFormula>SUM(BV2:BV160,BV164:BV175)</totalsRowFormula>
    </tableColumn>
    <tableColumn id="75" xr3:uid="{00000000-0010-0000-0600-00004B000000}" name="Column75" totalsRowFunction="custom">
      <totalsRowFormula>SUM(BW2:BW160,BW164:BW175)</totalsRowFormula>
    </tableColumn>
    <tableColumn id="76" xr3:uid="{00000000-0010-0000-0600-00004C000000}" name="Column76" totalsRowFunction="custom">
      <totalsRowFormula>SUM(BX2:BX160,BX164:BX175)</totalsRowFormula>
    </tableColumn>
    <tableColumn id="77" xr3:uid="{00000000-0010-0000-0600-00004D000000}" name="Column77" totalsRowFunction="custom">
      <totalsRowFormula>SUM(BY2:BY160,BY164:BY175)</totalsRowFormula>
    </tableColumn>
    <tableColumn id="78" xr3:uid="{00000000-0010-0000-0600-00004E000000}" name="Column78" totalsRowFunction="custom">
      <totalsRowFormula>SUM(BZ2:BZ160,BZ164:BZ175)</totalsRowFormula>
    </tableColumn>
    <tableColumn id="79" xr3:uid="{00000000-0010-0000-0600-00004F000000}" name="Column79" totalsRowFunction="custom">
      <totalsRowFormula>SUM(CA2:CA160,CA164:CA175)</totalsRowFormula>
    </tableColumn>
    <tableColumn id="80" xr3:uid="{00000000-0010-0000-0600-000050000000}" name="Column80" totalsRowFunction="custom">
      <totalsRowFormula>SUM(CB2:CB160,CB164:CB175)</totalsRowFormula>
    </tableColumn>
  </tableColumns>
  <tableStyleInfo name="LAG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BK131" headerRowCount="0" totalsRowCount="1">
  <tableColumns count="63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 totalsRowLabel="TOTALES:"/>
    <tableColumn id="14" xr3:uid="{00000000-0010-0000-0700-00000E000000}" name="Column14"/>
    <tableColumn id="15" xr3:uid="{00000000-0010-0000-0700-00000F000000}" name="Column15" totalsRowFunction="custom">
      <totalsRowFormula>SUM(O3:O130)</totalsRowFormula>
    </tableColumn>
    <tableColumn id="16" xr3:uid="{00000000-0010-0000-0700-000010000000}" name="Column16" totalsRowFunction="custom">
      <totalsRowFormula>SUM(P2:P130,P138:P149)</totalsRowFormula>
    </tableColumn>
    <tableColumn id="17" xr3:uid="{00000000-0010-0000-0700-000011000000}" name="Column17" totalsRowFunction="custom">
      <totalsRowFormula>SUM(Q2:Q130,Q138:Q149)</totalsRowFormula>
    </tableColumn>
    <tableColumn id="18" xr3:uid="{00000000-0010-0000-0700-000012000000}" name="Column18" totalsRowFunction="custom">
      <totalsRowFormula>SUM(R2:R130,R138:R149)</totalsRowFormula>
    </tableColumn>
    <tableColumn id="19" xr3:uid="{00000000-0010-0000-0700-000013000000}" name="Column19" totalsRowFunction="custom">
      <totalsRowFormula>SUM(S2:S130,S138:S149)</totalsRowFormula>
    </tableColumn>
    <tableColumn id="20" xr3:uid="{00000000-0010-0000-0700-000014000000}" name="Column20" totalsRowFunction="custom">
      <totalsRowFormula>SUM(T2:T130,T138:T149)</totalsRowFormula>
    </tableColumn>
    <tableColumn id="21" xr3:uid="{00000000-0010-0000-0700-000015000000}" name="Column21" totalsRowFunction="custom">
      <totalsRowFormula>SUM(U2:U130,U138:U149)</totalsRowFormula>
    </tableColumn>
    <tableColumn id="22" xr3:uid="{00000000-0010-0000-0700-000016000000}" name="Column22" totalsRowFunction="custom">
      <totalsRowFormula>SUM(V2:V130,V138:V149)</totalsRowFormula>
    </tableColumn>
    <tableColumn id="23" xr3:uid="{00000000-0010-0000-0700-000017000000}" name="Column23" totalsRowFunction="custom">
      <totalsRowFormula>SUM(W2:W130,W138:W149)</totalsRowFormula>
    </tableColumn>
    <tableColumn id="24" xr3:uid="{00000000-0010-0000-0700-000018000000}" name="Column24" totalsRowFunction="custom">
      <totalsRowFormula>SUM(X2:X130,X138:X149)</totalsRowFormula>
    </tableColumn>
    <tableColumn id="25" xr3:uid="{00000000-0010-0000-0700-000019000000}" name="Column25" totalsRowFunction="custom">
      <totalsRowFormula>SUM(Y2:Y130,Y138:Y149)</totalsRowFormula>
    </tableColumn>
    <tableColumn id="26" xr3:uid="{00000000-0010-0000-0700-00001A000000}" name="Column26" totalsRowFunction="custom">
      <totalsRowFormula>SUM(Z2:Z130,Z138:Z149)</totalsRowFormula>
    </tableColumn>
    <tableColumn id="27" xr3:uid="{00000000-0010-0000-0700-00001B000000}" name="Column27" totalsRowFunction="custom">
      <totalsRowFormula>SUM(AA2:AA130,AA138:AA149)</totalsRowFormula>
    </tableColumn>
    <tableColumn id="28" xr3:uid="{00000000-0010-0000-0700-00001C000000}" name="Column28" totalsRowFunction="custom">
      <totalsRowFormula>SUM(AB2:AB130,AB138:AB149)</totalsRowFormula>
    </tableColumn>
    <tableColumn id="29" xr3:uid="{00000000-0010-0000-0700-00001D000000}" name="Column29" totalsRowFunction="custom">
      <totalsRowFormula>SUM(AC2:AC130,AC138:AC149)</totalsRowFormula>
    </tableColumn>
    <tableColumn id="30" xr3:uid="{00000000-0010-0000-0700-00001E000000}" name="Column30" totalsRowFunction="custom">
      <totalsRowFormula>SUM(AD2:AD130,AD138:AD149)</totalsRowFormula>
    </tableColumn>
    <tableColumn id="31" xr3:uid="{00000000-0010-0000-0700-00001F000000}" name="Column31" totalsRowFunction="custom">
      <totalsRowFormula>SUM(AE2:AE130,AE138:AE149)</totalsRowFormula>
    </tableColumn>
    <tableColumn id="32" xr3:uid="{00000000-0010-0000-0700-000020000000}" name="Column32" totalsRowFunction="custom">
      <totalsRowFormula>SUM(AF2:AF130,AF138:AF149)</totalsRowFormula>
    </tableColumn>
    <tableColumn id="33" xr3:uid="{00000000-0010-0000-0700-000021000000}" name="Column33" totalsRowFunction="custom">
      <totalsRowFormula>SUM(AG2:AG130,AG138:AG149)</totalsRowFormula>
    </tableColumn>
    <tableColumn id="34" xr3:uid="{00000000-0010-0000-0700-000022000000}" name="Column34" totalsRowFunction="custom">
      <totalsRowFormula>SUM(AH2:AH130,AH138:AH149)</totalsRowFormula>
    </tableColumn>
    <tableColumn id="35" xr3:uid="{00000000-0010-0000-0700-000023000000}" name="Column35" totalsRowFunction="custom">
      <totalsRowFormula>SUM(AI2:AI130,AI138:AI149)</totalsRowFormula>
    </tableColumn>
    <tableColumn id="36" xr3:uid="{00000000-0010-0000-0700-000024000000}" name="Column36" totalsRowFunction="custom">
      <totalsRowFormula>SUM(AJ2:AJ130,AJ138:AJ149)</totalsRowFormula>
    </tableColumn>
    <tableColumn id="37" xr3:uid="{00000000-0010-0000-0700-000025000000}" name="Column37" totalsRowFunction="custom">
      <totalsRowFormula>SUM(AK2:AK130,AK138:AK149)</totalsRowFormula>
    </tableColumn>
    <tableColumn id="38" xr3:uid="{00000000-0010-0000-0700-000026000000}" name="Column38" totalsRowFunction="custom">
      <totalsRowFormula>SUM(AL2:AL130,AL138:AL149)</totalsRowFormula>
    </tableColumn>
    <tableColumn id="39" xr3:uid="{00000000-0010-0000-0700-000027000000}" name="Column39" totalsRowFunction="custom">
      <totalsRowFormula>SUM(AM2:AM130,AM138:AM149)</totalsRowFormula>
    </tableColumn>
    <tableColumn id="40" xr3:uid="{00000000-0010-0000-0700-000028000000}" name="Column40" totalsRowFunction="custom">
      <totalsRowFormula>SUM(AN2:AN130,AN138:AN149)</totalsRowFormula>
    </tableColumn>
    <tableColumn id="41" xr3:uid="{00000000-0010-0000-0700-000029000000}" name="Column41" totalsRowFunction="custom">
      <totalsRowFormula>SUM(AO2:AO130,AO138:AO149)</totalsRowFormula>
    </tableColumn>
    <tableColumn id="42" xr3:uid="{00000000-0010-0000-0700-00002A000000}" name="Column42" totalsRowFunction="custom">
      <totalsRowFormula>SUM(AP2:AP130,AP138:AP149)</totalsRowFormula>
    </tableColumn>
    <tableColumn id="43" xr3:uid="{00000000-0010-0000-0700-00002B000000}" name="Column43" totalsRowFunction="custom">
      <totalsRowFormula>SUM(AQ2:AQ130,AQ138:AQ149)</totalsRowFormula>
    </tableColumn>
    <tableColumn id="44" xr3:uid="{00000000-0010-0000-0700-00002C000000}" name="Column44" totalsRowFunction="custom">
      <totalsRowFormula>SUM(AR2:AR130,AR138:AR149)</totalsRowFormula>
    </tableColumn>
    <tableColumn id="45" xr3:uid="{00000000-0010-0000-0700-00002D000000}" name="Column45" totalsRowFunction="custom">
      <totalsRowFormula>SUM(AS2:AS130,AS138:AS149)</totalsRowFormula>
    </tableColumn>
    <tableColumn id="46" xr3:uid="{00000000-0010-0000-0700-00002E000000}" name="Column46" totalsRowFunction="custom">
      <totalsRowFormula>SUM(AT2:AT130,AT138:AT149)</totalsRowFormula>
    </tableColumn>
    <tableColumn id="47" xr3:uid="{00000000-0010-0000-0700-00002F000000}" name="Column47" totalsRowFunction="custom">
      <totalsRowFormula>SUM(AU2:AU130,AU138:AU149)</totalsRowFormula>
    </tableColumn>
    <tableColumn id="48" xr3:uid="{00000000-0010-0000-0700-000030000000}" name="Column48" totalsRowFunction="custom">
      <totalsRowFormula>SUM(AV2:AV130,AV138:AV149)</totalsRowFormula>
    </tableColumn>
    <tableColumn id="49" xr3:uid="{00000000-0010-0000-0700-000031000000}" name="Column49" totalsRowFunction="custom">
      <totalsRowFormula>SUM(AW2:AW130,AW138:AW149)</totalsRowFormula>
    </tableColumn>
    <tableColumn id="50" xr3:uid="{00000000-0010-0000-0700-000032000000}" name="Column50" totalsRowFunction="custom">
      <totalsRowFormula>SUM(AX2:AX130,AX138:AX149)</totalsRowFormula>
    </tableColumn>
    <tableColumn id="51" xr3:uid="{00000000-0010-0000-0700-000033000000}" name="Column51" totalsRowFunction="custom">
      <totalsRowFormula>SUM(AY2:AY130,AY138:AY149)</totalsRowFormula>
    </tableColumn>
    <tableColumn id="52" xr3:uid="{00000000-0010-0000-0700-000034000000}" name="Column52" totalsRowFunction="custom">
      <totalsRowFormula>SUM(AZ2:AZ130,AZ138:AZ149)</totalsRowFormula>
    </tableColumn>
    <tableColumn id="53" xr3:uid="{00000000-0010-0000-0700-000035000000}" name="Column53" totalsRowFunction="custom">
      <totalsRowFormula>SUM(BA2:BA130,BA138:BA149)</totalsRowFormula>
    </tableColumn>
    <tableColumn id="54" xr3:uid="{00000000-0010-0000-0700-000036000000}" name="Column54" totalsRowFunction="custom">
      <totalsRowFormula>SUM(AY131,AU131,AQ131)</totalsRowFormula>
    </tableColumn>
    <tableColumn id="55" xr3:uid="{00000000-0010-0000-0700-000037000000}" name="Column55" totalsRowFunction="custom">
      <totalsRowFormula>SUM(AZ131,AV131,AR131)</totalsRowFormula>
    </tableColumn>
    <tableColumn id="56" xr3:uid="{00000000-0010-0000-0700-000038000000}" name="Column56" totalsRowFunction="custom">
      <totalsRowFormula>SUM(BA131,AW131,AS131)</totalsRowFormula>
    </tableColumn>
    <tableColumn id="57" xr3:uid="{00000000-0010-0000-0700-000039000000}" name="Column57" totalsRowFunction="custom">
      <totalsRowFormula>SUM(BB131,AK131)</totalsRowFormula>
    </tableColumn>
    <tableColumn id="58" xr3:uid="{00000000-0010-0000-0700-00003A000000}" name="Column58" totalsRowFunction="custom">
      <totalsRowFormula>SUM(BC131,AL131)</totalsRowFormula>
    </tableColumn>
    <tableColumn id="59" xr3:uid="{00000000-0010-0000-0700-00003B000000}" name="Column59" totalsRowFunction="custom">
      <totalsRowFormula>BD131+AM131</totalsRowFormula>
    </tableColumn>
    <tableColumn id="60" xr3:uid="{00000000-0010-0000-0700-00003C000000}" name="Column60" totalsRowFunction="custom">
      <totalsRowFormula>SUM(BH2:BH130,BH138:BH149)</totalsRowFormula>
    </tableColumn>
    <tableColumn id="61" xr3:uid="{00000000-0010-0000-0700-00003D000000}" name="Column61" totalsRowFunction="custom">
      <totalsRowFormula>SUM(BI2:BI130,BI138:BI149)</totalsRowFormula>
    </tableColumn>
    <tableColumn id="62" xr3:uid="{00000000-0010-0000-0700-00003E000000}" name="Column62" totalsRowFunction="custom">
      <totalsRowFormula>SUM(BJ2:BJ130,BJ138:BJ149)</totalsRowFormula>
    </tableColumn>
    <tableColumn id="63" xr3:uid="{00000000-0010-0000-0700-00003F000000}" name="Column63" totalsRowFunction="custom">
      <totalsRowFormula>SUM(BK2:BK130,BK138:BK149)</totalsRowFormula>
    </tableColumn>
  </tableColumns>
  <tableStyleInfo name="BUELA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2:CB98" headerRowCount="0" totalsRowCount="1">
  <tableColumns count="8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 totalsRowLabel="TOTAL:"/>
    <tableColumn id="14" xr3:uid="{00000000-0010-0000-0800-00000E000000}" name="Column14" totalsRowFunction="custom">
      <totalsRowFormula>SUM(N2:N96)</totalsRowFormula>
    </tableColumn>
    <tableColumn id="15" xr3:uid="{00000000-0010-0000-0800-00000F000000}" name="Column15" totalsRowFunction="custom">
      <totalsRowFormula>SUM(O2:O96)</totalsRowFormula>
    </tableColumn>
    <tableColumn id="16" xr3:uid="{00000000-0010-0000-0800-000010000000}" name="Column16" totalsRowFunction="custom">
      <totalsRowFormula>SUM(P2:P97,P103:P146)</totalsRowFormula>
    </tableColumn>
    <tableColumn id="17" xr3:uid="{00000000-0010-0000-0800-000011000000}" name="Column17" totalsRowFunction="custom">
      <totalsRowFormula>SUM(Q2:Q97,Q103:Q146)</totalsRowFormula>
    </tableColumn>
    <tableColumn id="18" xr3:uid="{00000000-0010-0000-0800-000012000000}" name="Column18" totalsRowFunction="custom">
      <totalsRowFormula>SUM(R2:R97,R103:R146)</totalsRowFormula>
    </tableColumn>
    <tableColumn id="19" xr3:uid="{00000000-0010-0000-0800-000013000000}" name="Column19" totalsRowFunction="custom">
      <totalsRowFormula>SUM(S2:S97,S103:S146)</totalsRowFormula>
    </tableColumn>
    <tableColumn id="20" xr3:uid="{00000000-0010-0000-0800-000014000000}" name="Column20" totalsRowFunction="custom">
      <totalsRowFormula>SUM(T2:T97,T103:T146)</totalsRowFormula>
    </tableColumn>
    <tableColumn id="21" xr3:uid="{00000000-0010-0000-0800-000015000000}" name="Column21" totalsRowFunction="custom">
      <totalsRowFormula>SUM(U2:U97,U103:U146)</totalsRowFormula>
    </tableColumn>
    <tableColumn id="22" xr3:uid="{00000000-0010-0000-0800-000016000000}" name="Column22" totalsRowFunction="custom">
      <totalsRowFormula>SUM(V2:V97,V103:V146)</totalsRowFormula>
    </tableColumn>
    <tableColumn id="23" xr3:uid="{00000000-0010-0000-0800-000017000000}" name="Column23" totalsRowFunction="custom">
      <totalsRowFormula>SUM(W2:W97,W103:W146)</totalsRowFormula>
    </tableColumn>
    <tableColumn id="24" xr3:uid="{00000000-0010-0000-0800-000018000000}" name="Column24" totalsRowFunction="custom">
      <totalsRowFormula>SUM(X2:X97,X103:X146)</totalsRowFormula>
    </tableColumn>
    <tableColumn id="25" xr3:uid="{00000000-0010-0000-0800-000019000000}" name="Column25" totalsRowFunction="custom">
      <totalsRowFormula>SUM(Y2:Y97,Y103:Y146)</totalsRowFormula>
    </tableColumn>
    <tableColumn id="26" xr3:uid="{00000000-0010-0000-0800-00001A000000}" name="Column26" totalsRowFunction="custom">
      <totalsRowFormula>SUM(Z2:Z97,Z103:Z146)</totalsRowFormula>
    </tableColumn>
    <tableColumn id="27" xr3:uid="{00000000-0010-0000-0800-00001B000000}" name="Column27" totalsRowFunction="custom">
      <totalsRowFormula>SUM(AA2:AA97,AA103:AA146)</totalsRowFormula>
    </tableColumn>
    <tableColumn id="28" xr3:uid="{00000000-0010-0000-0800-00001C000000}" name="Column28" totalsRowFunction="custom">
      <totalsRowFormula>SUM(AB2:AB97,AB103:AB146)</totalsRowFormula>
    </tableColumn>
    <tableColumn id="29" xr3:uid="{00000000-0010-0000-0800-00001D000000}" name="Column29" totalsRowFunction="custom">
      <totalsRowFormula>SUM(AC2:AC97,AC103:AC146)</totalsRowFormula>
    </tableColumn>
    <tableColumn id="30" xr3:uid="{00000000-0010-0000-0800-00001E000000}" name="Column30" totalsRowFunction="custom">
      <totalsRowFormula>SUM(AD2:AD97,AD103:AD146)</totalsRowFormula>
    </tableColumn>
    <tableColumn id="31" xr3:uid="{00000000-0010-0000-0800-00001F000000}" name="Column31" totalsRowFunction="custom">
      <totalsRowFormula>SUM(AE2:AE97,AE103:AE146)</totalsRowFormula>
    </tableColumn>
    <tableColumn id="32" xr3:uid="{00000000-0010-0000-0800-000020000000}" name="Column32" totalsRowFunction="custom">
      <totalsRowFormula>SUM(AF2:AF97,AF103:AF146)</totalsRowFormula>
    </tableColumn>
    <tableColumn id="33" xr3:uid="{00000000-0010-0000-0800-000021000000}" name="Column33" totalsRowFunction="custom">
      <totalsRowFormula>SUM(AG2:AG97,AG103:AG146)</totalsRowFormula>
    </tableColumn>
    <tableColumn id="34" xr3:uid="{00000000-0010-0000-0800-000022000000}" name="Column34" totalsRowFunction="custom">
      <totalsRowFormula>SUM(AH2:AH97,AH103:AH146)</totalsRowFormula>
    </tableColumn>
    <tableColumn id="35" xr3:uid="{00000000-0010-0000-0800-000023000000}" name="Column35" totalsRowFunction="custom">
      <totalsRowFormula>SUM(AI2:AI97,AI103:AI146)</totalsRowFormula>
    </tableColumn>
    <tableColumn id="36" xr3:uid="{00000000-0010-0000-0800-000024000000}" name="Column36" totalsRowFunction="custom">
      <totalsRowFormula>SUM(AJ2:AJ97,AJ103:AJ146)</totalsRowFormula>
    </tableColumn>
    <tableColumn id="37" xr3:uid="{00000000-0010-0000-0800-000025000000}" name="Column37" totalsRowFunction="custom">
      <totalsRowFormula>SUM(AK2:AK97,AK103:AK146)</totalsRowFormula>
    </tableColumn>
    <tableColumn id="38" xr3:uid="{00000000-0010-0000-0800-000026000000}" name="Column38" totalsRowFunction="custom">
      <totalsRowFormula>SUM(AL2:AL97,AL103:AL146)</totalsRowFormula>
    </tableColumn>
    <tableColumn id="39" xr3:uid="{00000000-0010-0000-0800-000027000000}" name="Column39" totalsRowFunction="custom">
      <totalsRowFormula>SUM(AM2:AM97,AM103:AM146)</totalsRowFormula>
    </tableColumn>
    <tableColumn id="40" xr3:uid="{00000000-0010-0000-0800-000028000000}" name="Column40" totalsRowFunction="custom">
      <totalsRowFormula>SUM(AN2:AN97,AN103:AN146)</totalsRowFormula>
    </tableColumn>
    <tableColumn id="41" xr3:uid="{00000000-0010-0000-0800-000029000000}" name="Column41" totalsRowFunction="custom">
      <totalsRowFormula>IFERROR(AM98/AI98,"")</totalsRowFormula>
    </tableColumn>
    <tableColumn id="42" xr3:uid="{00000000-0010-0000-0800-00002A000000}" name="Column42" totalsRowFunction="custom">
      <totalsRowFormula>SUM(AP2:AP97,AP103:AP146)</totalsRowFormula>
    </tableColumn>
    <tableColumn id="43" xr3:uid="{00000000-0010-0000-0800-00002B000000}" name="Column43" totalsRowFunction="custom">
      <totalsRowFormula>SUM(AQ2:AQ97,AQ103:AQ146)</totalsRowFormula>
    </tableColumn>
    <tableColumn id="44" xr3:uid="{00000000-0010-0000-0800-00002C000000}" name="Column44" totalsRowFunction="custom">
      <totalsRowFormula>SUM(AR2:AR97,AR103:AR146)</totalsRowFormula>
    </tableColumn>
    <tableColumn id="45" xr3:uid="{00000000-0010-0000-0800-00002D000000}" name="Column45" totalsRowFunction="custom">
      <totalsRowFormula>SUM(AS2:AS97,AS103:AS146)</totalsRowFormula>
    </tableColumn>
    <tableColumn id="46" xr3:uid="{00000000-0010-0000-0800-00002E000000}" name="Column46" totalsRowFunction="custom">
      <totalsRowFormula>SUM(AT2:AT97,AT103:AT146)</totalsRowFormula>
    </tableColumn>
    <tableColumn id="47" xr3:uid="{00000000-0010-0000-0800-00002F000000}" name="Column47" totalsRowFunction="custom">
      <totalsRowFormula>SUM(AU2:AU97,AU103:AU146)</totalsRowFormula>
    </tableColumn>
    <tableColumn id="48" xr3:uid="{00000000-0010-0000-0800-000030000000}" name="Column48" totalsRowFunction="custom">
      <totalsRowFormula>SUM(AV2:AV97,AV103:AV146)</totalsRowFormula>
    </tableColumn>
    <tableColumn id="49" xr3:uid="{00000000-0010-0000-0800-000031000000}" name="Column49" totalsRowFunction="custom">
      <totalsRowFormula>SUM(AW2:AW97,AW103:AW146)</totalsRowFormula>
    </tableColumn>
    <tableColumn id="50" xr3:uid="{00000000-0010-0000-0800-000032000000}" name="Column50" totalsRowFunction="custom">
      <totalsRowFormula>SUM(AX2:AX97,AX103:AX146)</totalsRowFormula>
    </tableColumn>
    <tableColumn id="51" xr3:uid="{00000000-0010-0000-0800-000033000000}" name="Column51" totalsRowFunction="custom">
      <totalsRowFormula>SUM(AY2:AY97,AY103:AY146)</totalsRowFormula>
    </tableColumn>
    <tableColumn id="52" xr3:uid="{00000000-0010-0000-0800-000034000000}" name="Column52" totalsRowFunction="custom">
      <totalsRowFormula>SUM(AZ2:AZ97,AZ103:AZ146)</totalsRowFormula>
    </tableColumn>
    <tableColumn id="53" xr3:uid="{00000000-0010-0000-0800-000035000000}" name="Column53" totalsRowFunction="custom">
      <totalsRowFormula>SUM(BA2:BA97,BA103:BA146)</totalsRowFormula>
    </tableColumn>
    <tableColumn id="54" xr3:uid="{00000000-0010-0000-0800-000036000000}" name="Column54" totalsRowFunction="custom">
      <totalsRowFormula>SUM(BB2:BB97,BB103:BB146)</totalsRowFormula>
    </tableColumn>
    <tableColumn id="55" xr3:uid="{00000000-0010-0000-0800-000037000000}" name="Column55" totalsRowFunction="custom">
      <totalsRowFormula>SUM(BC2:BC97,BC103:BC146)</totalsRowFormula>
    </tableColumn>
    <tableColumn id="56" xr3:uid="{00000000-0010-0000-0800-000038000000}" name="Column56" totalsRowFunction="custom">
      <totalsRowFormula>SUM(BD2:BD97,BD103:BD146)</totalsRowFormula>
    </tableColumn>
    <tableColumn id="57" xr3:uid="{00000000-0010-0000-0800-000039000000}" name="Column57" totalsRowFunction="custom">
      <totalsRowFormula>SUM(BE2:BE97,BE103:BE146)</totalsRowFormula>
    </tableColumn>
    <tableColumn id="58" xr3:uid="{00000000-0010-0000-0800-00003A000000}" name="Column58" totalsRowFunction="custom">
      <totalsRowFormula>SUM(BF2:BF97,BF103:BF146)</totalsRowFormula>
    </tableColumn>
    <tableColumn id="59" xr3:uid="{00000000-0010-0000-0800-00003B000000}" name="Column59" totalsRowFunction="custom">
      <totalsRowFormula>SUM(BG2:BG97,BG103:BG146)</totalsRowFormula>
    </tableColumn>
    <tableColumn id="60" xr3:uid="{00000000-0010-0000-0800-00003C000000}" name="Column60" totalsRowFunction="custom">
      <totalsRowFormula>SUM(BH2:BH97,BH103:BH146)</totalsRowFormula>
    </tableColumn>
    <tableColumn id="61" xr3:uid="{00000000-0010-0000-0800-00003D000000}" name="Column61" totalsRowFunction="custom">
      <totalsRowFormula>SUM(BI2:BI97,BI103:BI146)</totalsRowFormula>
    </tableColumn>
    <tableColumn id="62" xr3:uid="{00000000-0010-0000-0800-00003E000000}" name="Column62" totalsRowFunction="custom">
      <totalsRowFormula>SUM(BJ2:BJ97,BJ103:BJ146)</totalsRowFormula>
    </tableColumn>
    <tableColumn id="63" xr3:uid="{00000000-0010-0000-0800-00003F000000}" name="Column63" totalsRowFunction="custom">
      <totalsRowFormula>SUM(BK2:BK97,BK103:BK146)</totalsRowFormula>
    </tableColumn>
    <tableColumn id="64" xr3:uid="{00000000-0010-0000-0800-000040000000}" name="Column64" totalsRowFunction="custom">
      <totalsRowFormula>SUM(BL2:BL97,BL103:BL146)</totalsRowFormula>
    </tableColumn>
    <tableColumn id="65" xr3:uid="{00000000-0010-0000-0800-000041000000}" name="Column65" totalsRowFunction="custom">
      <totalsRowFormula>SUM(BM2:BM97,BM103:BM146)</totalsRowFormula>
    </tableColumn>
    <tableColumn id="66" xr3:uid="{00000000-0010-0000-0800-000042000000}" name="Column66" totalsRowFunction="custom">
      <totalsRowFormula>SUM(BN2:BN97,BN103:BN146)</totalsRowFormula>
    </tableColumn>
    <tableColumn id="67" xr3:uid="{00000000-0010-0000-0800-000043000000}" name="Column67" totalsRowFunction="custom">
      <totalsRowFormula>SUM(BO2:BO97,BO103:BO146)</totalsRowFormula>
    </tableColumn>
    <tableColumn id="68" xr3:uid="{00000000-0010-0000-0800-000044000000}" name="Column68" totalsRowFunction="custom">
      <totalsRowFormula>SUM(BP2:BP97,BP103:BP146)</totalsRowFormula>
    </tableColumn>
    <tableColumn id="69" xr3:uid="{00000000-0010-0000-0800-000045000000}" name="Column69" totalsRowFunction="custom">
      <totalsRowFormula>SUM(BQ2:BQ97,BQ103:BQ146)</totalsRowFormula>
    </tableColumn>
    <tableColumn id="70" xr3:uid="{00000000-0010-0000-0800-000046000000}" name="Column70" totalsRowFunction="custom">
      <totalsRowFormula>SUM(BR2:BR97,BR103:BR146)</totalsRowFormula>
    </tableColumn>
    <tableColumn id="71" xr3:uid="{00000000-0010-0000-0800-000047000000}" name="Column71" totalsRowFunction="custom">
      <totalsRowFormula>SUM(BS2:BS97,BS103:BS146)</totalsRowFormula>
    </tableColumn>
    <tableColumn id="72" xr3:uid="{00000000-0010-0000-0800-000048000000}" name="Column72" totalsRowFunction="custom">
      <totalsRowFormula>SUM(BT2:BT97,BT103:BT146)</totalsRowFormula>
    </tableColumn>
    <tableColumn id="73" xr3:uid="{00000000-0010-0000-0800-000049000000}" name="Column73" totalsRowFunction="custom">
      <totalsRowFormula>SUM(BU2:BU97,BU103:BU146)</totalsRowFormula>
    </tableColumn>
    <tableColumn id="74" xr3:uid="{00000000-0010-0000-0800-00004A000000}" name="Column74" totalsRowFunction="custom">
      <totalsRowFormula>SUM(BV2:BV97,BV103:BV146)</totalsRowFormula>
    </tableColumn>
    <tableColumn id="75" xr3:uid="{00000000-0010-0000-0800-00004B000000}" name="Column75" totalsRowFunction="custom">
      <totalsRowFormula>SUM(BW2:BW97,BW103:BW146)</totalsRowFormula>
    </tableColumn>
    <tableColumn id="76" xr3:uid="{00000000-0010-0000-0800-00004C000000}" name="Column76" totalsRowFunction="custom">
      <totalsRowFormula>SUM(BX2:BX97,BX103:BX146)</totalsRowFormula>
    </tableColumn>
    <tableColumn id="77" xr3:uid="{00000000-0010-0000-0800-00004D000000}" name="Column77" totalsRowFunction="custom">
      <totalsRowFormula>SUM(BY2:BY97,BY103:BY146)</totalsRowFormula>
    </tableColumn>
    <tableColumn id="78" xr3:uid="{00000000-0010-0000-0800-00004E000000}" name="Column78" totalsRowFunction="custom">
      <totalsRowFormula>SUM(BZ2:BZ97,BZ103:BZ146)</totalsRowFormula>
    </tableColumn>
    <tableColumn id="79" xr3:uid="{00000000-0010-0000-0800-00004F000000}" name="Column79" totalsRowFunction="custom">
      <totalsRowFormula>SUM(CA2:CA96)</totalsRowFormula>
    </tableColumn>
    <tableColumn id="80" xr3:uid="{00000000-0010-0000-0800-000050000000}" name="Column80" totalsRowFunction="custom">
      <totalsRowFormula>SUM(CB2:CB97)</totalsRowFormula>
    </tableColumn>
  </tableColumns>
  <tableStyleInfo name="ARRIOLA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34:CB134" headerRowCount="0">
  <tableColumns count="80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  <tableColumn id="34" xr3:uid="{00000000-0010-0000-0900-000022000000}" name="Column34"/>
    <tableColumn id="35" xr3:uid="{00000000-0010-0000-0900-000023000000}" name="Column35"/>
    <tableColumn id="36" xr3:uid="{00000000-0010-0000-0900-000024000000}" name="Column36"/>
    <tableColumn id="37" xr3:uid="{00000000-0010-0000-0900-000025000000}" name="Column37"/>
    <tableColumn id="38" xr3:uid="{00000000-0010-0000-0900-000026000000}" name="Column38"/>
    <tableColumn id="39" xr3:uid="{00000000-0010-0000-0900-000027000000}" name="Column39"/>
    <tableColumn id="40" xr3:uid="{00000000-0010-0000-0900-000028000000}" name="Column40"/>
    <tableColumn id="41" xr3:uid="{00000000-0010-0000-0900-000029000000}" name="Column41"/>
    <tableColumn id="42" xr3:uid="{00000000-0010-0000-0900-00002A000000}" name="Column42"/>
    <tableColumn id="43" xr3:uid="{00000000-0010-0000-0900-00002B000000}" name="Column43"/>
    <tableColumn id="44" xr3:uid="{00000000-0010-0000-0900-00002C000000}" name="Column44"/>
    <tableColumn id="45" xr3:uid="{00000000-0010-0000-0900-00002D000000}" name="Column45"/>
    <tableColumn id="46" xr3:uid="{00000000-0010-0000-0900-00002E000000}" name="Column46"/>
    <tableColumn id="47" xr3:uid="{00000000-0010-0000-0900-00002F000000}" name="Column47"/>
    <tableColumn id="48" xr3:uid="{00000000-0010-0000-0900-000030000000}" name="Column48"/>
    <tableColumn id="49" xr3:uid="{00000000-0010-0000-0900-000031000000}" name="Column49"/>
    <tableColumn id="50" xr3:uid="{00000000-0010-0000-0900-000032000000}" name="Column50"/>
    <tableColumn id="51" xr3:uid="{00000000-0010-0000-0900-000033000000}" name="Column51"/>
    <tableColumn id="52" xr3:uid="{00000000-0010-0000-0900-000034000000}" name="Column52"/>
    <tableColumn id="53" xr3:uid="{00000000-0010-0000-0900-000035000000}" name="Column53"/>
    <tableColumn id="54" xr3:uid="{00000000-0010-0000-0900-000036000000}" name="Column54"/>
    <tableColumn id="55" xr3:uid="{00000000-0010-0000-0900-000037000000}" name="Column55"/>
    <tableColumn id="56" xr3:uid="{00000000-0010-0000-0900-000038000000}" name="Column56"/>
    <tableColumn id="57" xr3:uid="{00000000-0010-0000-0900-000039000000}" name="Column57"/>
    <tableColumn id="58" xr3:uid="{00000000-0010-0000-0900-00003A000000}" name="Column58"/>
    <tableColumn id="59" xr3:uid="{00000000-0010-0000-0900-00003B000000}" name="Column59"/>
    <tableColumn id="60" xr3:uid="{00000000-0010-0000-0900-00003C000000}" name="Column60"/>
    <tableColumn id="61" xr3:uid="{00000000-0010-0000-0900-00003D000000}" name="Column61"/>
    <tableColumn id="62" xr3:uid="{00000000-0010-0000-0900-00003E000000}" name="Column62"/>
    <tableColumn id="63" xr3:uid="{00000000-0010-0000-0900-00003F000000}" name="Column63"/>
    <tableColumn id="64" xr3:uid="{00000000-0010-0000-0900-000040000000}" name="Column64"/>
    <tableColumn id="65" xr3:uid="{00000000-0010-0000-0900-000041000000}" name="Column65"/>
    <tableColumn id="66" xr3:uid="{00000000-0010-0000-0900-000042000000}" name="Column66"/>
    <tableColumn id="67" xr3:uid="{00000000-0010-0000-0900-000043000000}" name="Column67"/>
    <tableColumn id="68" xr3:uid="{00000000-0010-0000-0900-000044000000}" name="Column68"/>
    <tableColumn id="69" xr3:uid="{00000000-0010-0000-0900-000045000000}" name="Column69"/>
    <tableColumn id="70" xr3:uid="{00000000-0010-0000-0900-000046000000}" name="Column70"/>
    <tableColumn id="71" xr3:uid="{00000000-0010-0000-0900-000047000000}" name="Column71"/>
    <tableColumn id="72" xr3:uid="{00000000-0010-0000-0900-000048000000}" name="Column72"/>
    <tableColumn id="73" xr3:uid="{00000000-0010-0000-0900-000049000000}" name="Column73"/>
    <tableColumn id="74" xr3:uid="{00000000-0010-0000-0900-00004A000000}" name="Column74"/>
    <tableColumn id="75" xr3:uid="{00000000-0010-0000-0900-00004B000000}" name="Column75"/>
    <tableColumn id="76" xr3:uid="{00000000-0010-0000-0900-00004C000000}" name="Column76"/>
    <tableColumn id="77" xr3:uid="{00000000-0010-0000-0900-00004D000000}" name="Column77"/>
    <tableColumn id="78" xr3:uid="{00000000-0010-0000-0900-00004E000000}" name="Column78"/>
    <tableColumn id="79" xr3:uid="{00000000-0010-0000-0900-00004F000000}" name="Column79"/>
    <tableColumn id="80" xr3:uid="{00000000-0010-0000-0900-000050000000}" name="Column80"/>
  </tableColumns>
  <tableStyleInfo name="ARRIOLA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37:AO137" headerRowCount="0">
  <tableColumns count="41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  <tableColumn id="34" xr3:uid="{00000000-0010-0000-0A00-000022000000}" name="Column34"/>
    <tableColumn id="35" xr3:uid="{00000000-0010-0000-0A00-000023000000}" name="Column35"/>
    <tableColumn id="36" xr3:uid="{00000000-0010-0000-0A00-000024000000}" name="Column36"/>
    <tableColumn id="37" xr3:uid="{00000000-0010-0000-0A00-000025000000}" name="Column37"/>
    <tableColumn id="38" xr3:uid="{00000000-0010-0000-0A00-000026000000}" name="Column38"/>
    <tableColumn id="39" xr3:uid="{00000000-0010-0000-0A00-000027000000}" name="Column39"/>
    <tableColumn id="40" xr3:uid="{00000000-0010-0000-0A00-000028000000}" name="Column40"/>
    <tableColumn id="41" xr3:uid="{00000000-0010-0000-0A00-000029000000}" name="Column41"/>
  </tableColumns>
  <tableStyleInfo name="ARRIOLA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39:AO145" headerRowCount="0">
  <tableColumns count="41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  <tableColumn id="30" xr3:uid="{00000000-0010-0000-0B00-00001E000000}" name="Column30"/>
    <tableColumn id="31" xr3:uid="{00000000-0010-0000-0B00-00001F000000}" name="Column31"/>
    <tableColumn id="32" xr3:uid="{00000000-0010-0000-0B00-000020000000}" name="Column32"/>
    <tableColumn id="33" xr3:uid="{00000000-0010-0000-0B00-000021000000}" name="Column33"/>
    <tableColumn id="34" xr3:uid="{00000000-0010-0000-0B00-000022000000}" name="Column34"/>
    <tableColumn id="35" xr3:uid="{00000000-0010-0000-0B00-000023000000}" name="Column35"/>
    <tableColumn id="36" xr3:uid="{00000000-0010-0000-0B00-000024000000}" name="Column36"/>
    <tableColumn id="37" xr3:uid="{00000000-0010-0000-0B00-000025000000}" name="Column37"/>
    <tableColumn id="38" xr3:uid="{00000000-0010-0000-0B00-000026000000}" name="Column38"/>
    <tableColumn id="39" xr3:uid="{00000000-0010-0000-0B00-000027000000}" name="Column39"/>
    <tableColumn id="40" xr3:uid="{00000000-0010-0000-0B00-000028000000}" name="Column40"/>
    <tableColumn id="41" xr3:uid="{00000000-0010-0000-0B00-000029000000}" name="Column41"/>
  </tableColumns>
  <tableStyleInfo name="ARRIOLA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CB118" headerRowCount="0" totalsRowCount="1">
  <tableColumns count="80">
    <tableColumn id="1" xr3:uid="{00000000-0010-0000-0C00-000001000000}" name="Column1" totalsRowLabel="TOTALES: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 totalsRowFunction="custom">
      <totalsRowFormula>IFERROR(VLOOKUP(J118,A458DC1025,2,FALSE),"")</totalsRowFormula>
    </tableColumn>
    <tableColumn id="12" xr3:uid="{00000000-0010-0000-0C00-00000C000000}" name="Column12" totalsRowFunction="custom">
      <totalsRowFormula>IFERROR(VLOOKUP(J118,A458DC1025,3,FALSE),"")</totalsRowFormula>
    </tableColumn>
    <tableColumn id="13" xr3:uid="{00000000-0010-0000-0C00-00000D000000}" name="Column13"/>
    <tableColumn id="14" xr3:uid="{00000000-0010-0000-0C00-00000E000000}" name="Column14" totalsRowFunction="custom">
      <totalsRowFormula>SUM(N2:N117,N124:N150)</totalsRowFormula>
    </tableColumn>
    <tableColumn id="15" xr3:uid="{00000000-0010-0000-0C00-00000F000000}" name="Column15" totalsRowFunction="custom">
      <totalsRowFormula>SUM(O2:O117,O124:O150)</totalsRowFormula>
    </tableColumn>
    <tableColumn id="16" xr3:uid="{00000000-0010-0000-0C00-000010000000}" name="Column16" totalsRowFunction="custom">
      <totalsRowFormula>SUM(P2:P117,P124:P150)</totalsRowFormula>
    </tableColumn>
    <tableColumn id="17" xr3:uid="{00000000-0010-0000-0C00-000011000000}" name="Column17" totalsRowFunction="custom">
      <totalsRowFormula>SUM(Q2:Q117,Q124:Q150)</totalsRowFormula>
    </tableColumn>
    <tableColumn id="18" xr3:uid="{00000000-0010-0000-0C00-000012000000}" name="Column18" totalsRowFunction="custom">
      <totalsRowFormula>SUM(R2:R117,R124:R150)</totalsRowFormula>
    </tableColumn>
    <tableColumn id="19" xr3:uid="{00000000-0010-0000-0C00-000013000000}" name="Column19" totalsRowFunction="custom">
      <totalsRowFormula>SUM(S2:S117,S124:S150)</totalsRowFormula>
    </tableColumn>
    <tableColumn id="20" xr3:uid="{00000000-0010-0000-0C00-000014000000}" name="Column20" totalsRowFunction="custom">
      <totalsRowFormula>SUM(T2:T117,T124:T150)</totalsRowFormula>
    </tableColumn>
    <tableColumn id="21" xr3:uid="{00000000-0010-0000-0C00-000015000000}" name="Column21" totalsRowFunction="custom">
      <totalsRowFormula>SUM(U2:U117,U124:U150)</totalsRowFormula>
    </tableColumn>
    <tableColumn id="22" xr3:uid="{00000000-0010-0000-0C00-000016000000}" name="Column22" totalsRowFunction="custom">
      <totalsRowFormula>SUM(V2:V117,V124:V150)</totalsRowFormula>
    </tableColumn>
    <tableColumn id="23" xr3:uid="{00000000-0010-0000-0C00-000017000000}" name="Column23" totalsRowFunction="custom">
      <totalsRowFormula>SUM(W2:W117,W124:W150)</totalsRowFormula>
    </tableColumn>
    <tableColumn id="24" xr3:uid="{00000000-0010-0000-0C00-000018000000}" name="Column24" totalsRowFunction="custom">
      <totalsRowFormula>SUM(X2:X117,X124:X150)</totalsRowFormula>
    </tableColumn>
    <tableColumn id="25" xr3:uid="{00000000-0010-0000-0C00-000019000000}" name="Column25" totalsRowFunction="custom">
      <totalsRowFormula>SUM(Y2:Y117,Y124:Y150)</totalsRowFormula>
    </tableColumn>
    <tableColumn id="26" xr3:uid="{00000000-0010-0000-0C00-00001A000000}" name="Column26" totalsRowFunction="custom">
      <totalsRowFormula>SUM(Z2:Z117,Z124:Z150)</totalsRowFormula>
    </tableColumn>
    <tableColumn id="27" xr3:uid="{00000000-0010-0000-0C00-00001B000000}" name="Column27" totalsRowFunction="custom">
      <totalsRowFormula>SUM(AA2:AA117,AA124:AA150)</totalsRowFormula>
    </tableColumn>
    <tableColumn id="28" xr3:uid="{00000000-0010-0000-0C00-00001C000000}" name="Column28" totalsRowFunction="custom">
      <totalsRowFormula>SUM(AB2:AB117,AB124:AB150)</totalsRowFormula>
    </tableColumn>
    <tableColumn id="29" xr3:uid="{00000000-0010-0000-0C00-00001D000000}" name="Column29" totalsRowFunction="custom">
      <totalsRowFormula>SUM(AC2:AC117,AC124:AC150)</totalsRowFormula>
    </tableColumn>
    <tableColumn id="30" xr3:uid="{00000000-0010-0000-0C00-00001E000000}" name="Column30" totalsRowFunction="custom">
      <totalsRowFormula>SUM(AD2:AD117,AD124:AD150)</totalsRowFormula>
    </tableColumn>
    <tableColumn id="31" xr3:uid="{00000000-0010-0000-0C00-00001F000000}" name="Column31" totalsRowFunction="custom">
      <totalsRowFormula>SUM(AE2:AE117,AE124:AE150)</totalsRowFormula>
    </tableColumn>
    <tableColumn id="32" xr3:uid="{00000000-0010-0000-0C00-000020000000}" name="Column32" totalsRowFunction="custom">
      <totalsRowFormula>SUM(AF2:AF117,AF124:AF150)</totalsRowFormula>
    </tableColumn>
    <tableColumn id="33" xr3:uid="{00000000-0010-0000-0C00-000021000000}" name="Column33" totalsRowFunction="custom">
      <totalsRowFormula>SUM(AG2:AG117,AG124:AG150)</totalsRowFormula>
    </tableColumn>
    <tableColumn id="34" xr3:uid="{00000000-0010-0000-0C00-000022000000}" name="Column34" totalsRowFunction="custom">
      <totalsRowFormula>SUM(AH2:AH117,AH124:AH150)</totalsRowFormula>
    </tableColumn>
    <tableColumn id="35" xr3:uid="{00000000-0010-0000-0C00-000023000000}" name="Column35" totalsRowFunction="custom">
      <totalsRowFormula>SUM(AI2:AI117,AI124:AI150)</totalsRowFormula>
    </tableColumn>
    <tableColumn id="36" xr3:uid="{00000000-0010-0000-0C00-000024000000}" name="Column36" totalsRowFunction="custom">
      <totalsRowFormula>SUM(AJ2:AJ117,AJ124:AJ150)</totalsRowFormula>
    </tableColumn>
    <tableColumn id="37" xr3:uid="{00000000-0010-0000-0C00-000025000000}" name="Column37" totalsRowFunction="custom">
      <totalsRowFormula>SUM(AK2:AK117,AK124:AK150)</totalsRowFormula>
    </tableColumn>
    <tableColumn id="38" xr3:uid="{00000000-0010-0000-0C00-000026000000}" name="Column38" totalsRowFunction="custom">
      <totalsRowFormula>SUM(AL2:AL117,AL124:AL150)</totalsRowFormula>
    </tableColumn>
    <tableColumn id="39" xr3:uid="{00000000-0010-0000-0C00-000027000000}" name="Column39" totalsRowFunction="custom">
      <totalsRowFormula>SUM(AM2:AM117,AM124:AM150)</totalsRowFormula>
    </tableColumn>
    <tableColumn id="40" xr3:uid="{00000000-0010-0000-0C00-000028000000}" name="Column40" totalsRowFunction="custom">
      <totalsRowFormula>SUM(AN2:AN117,AN124:AN150)</totalsRowFormula>
    </tableColumn>
    <tableColumn id="41" xr3:uid="{00000000-0010-0000-0C00-000029000000}" name="Column41" totalsRowFunction="custom">
      <totalsRowFormula>SUM(AO2:AO117,AO124:AO150)</totalsRowFormula>
    </tableColumn>
    <tableColumn id="42" xr3:uid="{00000000-0010-0000-0C00-00002A000000}" name="Column42" totalsRowFunction="custom">
      <totalsRowFormula>SUM(AP2:AP117,AP124:AP150)</totalsRowFormula>
    </tableColumn>
    <tableColumn id="43" xr3:uid="{00000000-0010-0000-0C00-00002B000000}" name="Column43" totalsRowFunction="custom">
      <totalsRowFormula>SUM(AQ2:AQ117,AQ124:AQ150)</totalsRowFormula>
    </tableColumn>
    <tableColumn id="44" xr3:uid="{00000000-0010-0000-0C00-00002C000000}" name="Column44" totalsRowFunction="custom">
      <totalsRowFormula>SUM(AR2:AR117,AR124:AR150)</totalsRowFormula>
    </tableColumn>
    <tableColumn id="45" xr3:uid="{00000000-0010-0000-0C00-00002D000000}" name="Column45" totalsRowFunction="custom">
      <totalsRowFormula>SUM(AS2:AS117,AS124:AS150)</totalsRowFormula>
    </tableColumn>
    <tableColumn id="46" xr3:uid="{00000000-0010-0000-0C00-00002E000000}" name="Column46" totalsRowFunction="custom">
      <totalsRowFormula>SUM(AT2:AT117,AT124:AT150)</totalsRowFormula>
    </tableColumn>
    <tableColumn id="47" xr3:uid="{00000000-0010-0000-0C00-00002F000000}" name="Column47" totalsRowFunction="custom">
      <totalsRowFormula>SUM(AU2:AU117,AU124:AU150)</totalsRowFormula>
    </tableColumn>
    <tableColumn id="48" xr3:uid="{00000000-0010-0000-0C00-000030000000}" name="Column48" totalsRowFunction="custom">
      <totalsRowFormula>SUM(AV2:AV117,AV124:AV150)</totalsRowFormula>
    </tableColumn>
    <tableColumn id="49" xr3:uid="{00000000-0010-0000-0C00-000031000000}" name="Column49" totalsRowFunction="custom">
      <totalsRowFormula>SUM(AW2:AW117,AW124:AW150)</totalsRowFormula>
    </tableColumn>
    <tableColumn id="50" xr3:uid="{00000000-0010-0000-0C00-000032000000}" name="Column50" totalsRowFunction="custom">
      <totalsRowFormula>SUM(AX2:AX117,AX124:AX150)</totalsRowFormula>
    </tableColumn>
    <tableColumn id="51" xr3:uid="{00000000-0010-0000-0C00-000033000000}" name="Column51" totalsRowFunction="custom">
      <totalsRowFormula>SUM(AY2:AY117,AY124:AY150)</totalsRowFormula>
    </tableColumn>
    <tableColumn id="52" xr3:uid="{00000000-0010-0000-0C00-000034000000}" name="Column52" totalsRowFunction="custom">
      <totalsRowFormula>SUM(AZ2:AZ117,AZ124:AZ150)</totalsRowFormula>
    </tableColumn>
    <tableColumn id="53" xr3:uid="{00000000-0010-0000-0C00-000035000000}" name="Column53" totalsRowFunction="custom">
      <totalsRowFormula>SUM(BA2:BA117,BA124:BA150)</totalsRowFormula>
    </tableColumn>
    <tableColumn id="54" xr3:uid="{00000000-0010-0000-0C00-000036000000}" name="Column54" totalsRowFunction="custom">
      <totalsRowFormula>SUM(BB2:BB117,BB124:BB150)</totalsRowFormula>
    </tableColumn>
    <tableColumn id="55" xr3:uid="{00000000-0010-0000-0C00-000037000000}" name="Column55" totalsRowFunction="custom">
      <totalsRowFormula>SUM(BC2:BC117,BC124:BC150)</totalsRowFormula>
    </tableColumn>
    <tableColumn id="56" xr3:uid="{00000000-0010-0000-0C00-000038000000}" name="Column56" totalsRowFunction="custom">
      <totalsRowFormula>SUM(BD2:BD117,BD124:BD150)</totalsRowFormula>
    </tableColumn>
    <tableColumn id="57" xr3:uid="{00000000-0010-0000-0C00-000039000000}" name="Column57" totalsRowFunction="custom">
      <totalsRowFormula>SUM(BE2:BE117,BE124:BE150)</totalsRowFormula>
    </tableColumn>
    <tableColumn id="58" xr3:uid="{00000000-0010-0000-0C00-00003A000000}" name="Column58" totalsRowFunction="custom">
      <totalsRowFormula>SUM(BF2:BF117,BF124:BF150)</totalsRowFormula>
    </tableColumn>
    <tableColumn id="59" xr3:uid="{00000000-0010-0000-0C00-00003B000000}" name="Column59" totalsRowFunction="custom">
      <totalsRowFormula>SUM(BG2:BG117,BG124:BG150)</totalsRowFormula>
    </tableColumn>
    <tableColumn id="60" xr3:uid="{00000000-0010-0000-0C00-00003C000000}" name="Column60" totalsRowFunction="custom">
      <totalsRowFormula>SUM(BH2:BH117,BH124:BH150)</totalsRowFormula>
    </tableColumn>
    <tableColumn id="61" xr3:uid="{00000000-0010-0000-0C00-00003D000000}" name="Column61" totalsRowFunction="custom">
      <totalsRowFormula>SUM(BI2:BI117,BI124:BI150)</totalsRowFormula>
    </tableColumn>
    <tableColumn id="62" xr3:uid="{00000000-0010-0000-0C00-00003E000000}" name="Column62" totalsRowFunction="custom">
      <totalsRowFormula>SUM(BJ2:BJ117,BJ124:BJ150)</totalsRowFormula>
    </tableColumn>
    <tableColumn id="63" xr3:uid="{00000000-0010-0000-0C00-00003F000000}" name="Column63" totalsRowFunction="custom">
      <totalsRowFormula>SUM(BK2:BK117,BK124:BK150)</totalsRowFormula>
    </tableColumn>
    <tableColumn id="64" xr3:uid="{00000000-0010-0000-0C00-000040000000}" name="Column64" totalsRowFunction="custom">
      <totalsRowFormula>SUM(BL2:BL117,BL124:BL150)</totalsRowFormula>
    </tableColumn>
    <tableColumn id="65" xr3:uid="{00000000-0010-0000-0C00-000041000000}" name="Column65" totalsRowFunction="custom">
      <totalsRowFormula>SUM(BM2:BM117,BM124:BM150)</totalsRowFormula>
    </tableColumn>
    <tableColumn id="66" xr3:uid="{00000000-0010-0000-0C00-000042000000}" name="Column66" totalsRowFunction="custom">
      <totalsRowFormula>SUM(BN2:BN117,BN124:BN150)</totalsRowFormula>
    </tableColumn>
    <tableColumn id="67" xr3:uid="{00000000-0010-0000-0C00-000043000000}" name="Column67" totalsRowFunction="custom">
      <totalsRowFormula>SUM(BO2:BO117,BO124:BO150)</totalsRowFormula>
    </tableColumn>
    <tableColumn id="68" xr3:uid="{00000000-0010-0000-0C00-000044000000}" name="Column68" totalsRowFunction="custom">
      <totalsRowFormula>SUM(BP2:BP117,BP124:BP150)</totalsRowFormula>
    </tableColumn>
    <tableColumn id="69" xr3:uid="{00000000-0010-0000-0C00-000045000000}" name="Column69" totalsRowFunction="custom">
      <totalsRowFormula>SUM(BQ2:BQ117,BQ124:BQ150)</totalsRowFormula>
    </tableColumn>
    <tableColumn id="70" xr3:uid="{00000000-0010-0000-0C00-000046000000}" name="Column70" totalsRowFunction="custom">
      <totalsRowFormula>SUM(BR2:BR117,BR124:BR150)</totalsRowFormula>
    </tableColumn>
    <tableColumn id="71" xr3:uid="{00000000-0010-0000-0C00-000047000000}" name="Column71" totalsRowFunction="custom">
      <totalsRowFormula>SUM(BS2:BS117,BS124:BS150)</totalsRowFormula>
    </tableColumn>
    <tableColumn id="72" xr3:uid="{00000000-0010-0000-0C00-000048000000}" name="Column72" totalsRowFunction="custom">
      <totalsRowFormula>SUM(BT2:BT117,BT124:BT150)</totalsRowFormula>
    </tableColumn>
    <tableColumn id="73" xr3:uid="{00000000-0010-0000-0C00-000049000000}" name="Column73" totalsRowFunction="custom">
      <totalsRowFormula>SUM(BU2:BU117,BU124:BU150)</totalsRowFormula>
    </tableColumn>
    <tableColumn id="74" xr3:uid="{00000000-0010-0000-0C00-00004A000000}" name="Column74" totalsRowFunction="custom">
      <totalsRowFormula>SUM(BV2:BV117,BV124:BV150)</totalsRowFormula>
    </tableColumn>
    <tableColumn id="75" xr3:uid="{00000000-0010-0000-0C00-00004B000000}" name="Column75" totalsRowFunction="custom">
      <totalsRowFormula>SUM(BW2:BW117,BW124:BW150)</totalsRowFormula>
    </tableColumn>
    <tableColumn id="76" xr3:uid="{00000000-0010-0000-0C00-00004C000000}" name="Column76" totalsRowFunction="custom">
      <totalsRowFormula>SUM(BX2:BX117,BX124:BX150)</totalsRowFormula>
    </tableColumn>
    <tableColumn id="77" xr3:uid="{00000000-0010-0000-0C00-00004D000000}" name="Column77" totalsRowFunction="custom">
      <totalsRowFormula>SUM(BY2:BY117,BY124:BY150)</totalsRowFormula>
    </tableColumn>
    <tableColumn id="78" xr3:uid="{00000000-0010-0000-0C00-00004E000000}" name="Column78" totalsRowFunction="custom">
      <totalsRowFormula>SUM(BZ2:BZ117,BZ124:BZ150)</totalsRowFormula>
    </tableColumn>
    <tableColumn id="79" xr3:uid="{00000000-0010-0000-0C00-00004F000000}" name="Column79" totalsRowFunction="custom">
      <totalsRowFormula>SUM(CA2:CA117,CA124:CA150)</totalsRowFormula>
    </tableColumn>
    <tableColumn id="80" xr3:uid="{00000000-0010-0000-0C00-000050000000}" name="Column80" totalsRowFunction="custom">
      <totalsRowFormula>SUM(CB2:CB117,CB124:CB150)</totalsRowFormula>
    </tableColumn>
  </tableColumns>
  <tableStyleInfo name="LAVENIA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2:AQ119" headerRowCount="0" totalsRowCount="1">
  <tableColumns count="43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 totalsRowLabel="TOTALES:"/>
    <tableColumn id="7" xr3:uid="{00000000-0010-0000-0D00-000007000000}" name="Column7" totalsRowFunction="custom">
      <totalsRowFormula>SUM(G2:G118)</totalsRowFormula>
    </tableColumn>
    <tableColumn id="8" xr3:uid="{00000000-0010-0000-0D00-000008000000}" name="Column8" totalsRowFunction="custom">
      <totalsRowFormula>SUM(H2:H118)</totalsRowFormula>
    </tableColumn>
    <tableColumn id="9" xr3:uid="{00000000-0010-0000-0D00-000009000000}" name="Column9" totalsRowFunction="custom">
      <totalsRowFormula>SUM(I2:I118)</totalsRowFormula>
    </tableColumn>
    <tableColumn id="10" xr3:uid="{00000000-0010-0000-0D00-00000A000000}" name="Column10" totalsRowFunction="custom">
      <totalsRowFormula>SUM(J2:J118)</totalsRowFormula>
    </tableColumn>
    <tableColumn id="11" xr3:uid="{00000000-0010-0000-0D00-00000B000000}" name="Column11" totalsRowFunction="custom">
      <totalsRowFormula>SUM(K2:K118)</totalsRowFormula>
    </tableColumn>
    <tableColumn id="12" xr3:uid="{00000000-0010-0000-0D00-00000C000000}" name="Column12" totalsRowFunction="custom">
      <totalsRowFormula>SUM(L2:L118)</totalsRowFormula>
    </tableColumn>
    <tableColumn id="13" xr3:uid="{00000000-0010-0000-0D00-00000D000000}" name="Column13" totalsRowFunction="custom">
      <totalsRowFormula>SUM(M2:M118)</totalsRowFormula>
    </tableColumn>
    <tableColumn id="14" xr3:uid="{00000000-0010-0000-0D00-00000E000000}" name="Column14" totalsRowFunction="custom">
      <totalsRowFormula>SUM(N2:N118)</totalsRowFormula>
    </tableColumn>
    <tableColumn id="15" xr3:uid="{00000000-0010-0000-0D00-00000F000000}" name="Column15" totalsRowFunction="custom">
      <totalsRowFormula>SUM(O2:O118)</totalsRowFormula>
    </tableColumn>
    <tableColumn id="16" xr3:uid="{00000000-0010-0000-0D00-000010000000}" name="Column16" totalsRowFunction="custom">
      <totalsRowFormula>SUM(P2:P118)</totalsRowFormula>
    </tableColumn>
    <tableColumn id="17" xr3:uid="{00000000-0010-0000-0D00-000011000000}" name="Column17" totalsRowFunction="custom">
      <totalsRowFormula>SUM(Q2:Q118)</totalsRowFormula>
    </tableColumn>
    <tableColumn id="18" xr3:uid="{00000000-0010-0000-0D00-000012000000}" name="Column18" totalsRowFunction="custom">
      <totalsRowFormula>SUM(R2:R118)</totalsRowFormula>
    </tableColumn>
    <tableColumn id="19" xr3:uid="{00000000-0010-0000-0D00-000013000000}" name="Column19" totalsRowFunction="custom">
      <totalsRowFormula>SUM(S2:S118)</totalsRowFormula>
    </tableColumn>
    <tableColumn id="20" xr3:uid="{00000000-0010-0000-0D00-000014000000}" name="Column20" totalsRowFunction="custom">
      <totalsRowFormula>SUM(T2:T118)</totalsRowFormula>
    </tableColumn>
    <tableColumn id="21" xr3:uid="{00000000-0010-0000-0D00-000015000000}" name="Column21" totalsRowFunction="custom">
      <totalsRowFormula>SUM(U2:U118)</totalsRowFormula>
    </tableColumn>
    <tableColumn id="22" xr3:uid="{00000000-0010-0000-0D00-000016000000}" name="Column22" totalsRowFunction="custom">
      <totalsRowFormula>SUM(V2:V118)</totalsRowFormula>
    </tableColumn>
    <tableColumn id="23" xr3:uid="{00000000-0010-0000-0D00-000017000000}" name="Column23" totalsRowFunction="custom">
      <totalsRowFormula>SUM(W2:W118)</totalsRowFormula>
    </tableColumn>
    <tableColumn id="24" xr3:uid="{00000000-0010-0000-0D00-000018000000}" name="Column24" totalsRowFunction="custom">
      <totalsRowFormula>SUM(X2:X118)</totalsRowFormula>
    </tableColumn>
    <tableColumn id="25" xr3:uid="{00000000-0010-0000-0D00-000019000000}" name="Column25" totalsRowFunction="custom">
      <totalsRowFormula>SUM(Y2:Y118)</totalsRowFormula>
    </tableColumn>
    <tableColumn id="26" xr3:uid="{00000000-0010-0000-0D00-00001A000000}" name="Column26" totalsRowFunction="custom">
      <totalsRowFormula>SUM(Z2:Z118)</totalsRowFormula>
    </tableColumn>
    <tableColumn id="27" xr3:uid="{00000000-0010-0000-0D00-00001B000000}" name="Column27" totalsRowFunction="custom">
      <totalsRowFormula>SUM(AA2:AA118)</totalsRowFormula>
    </tableColumn>
    <tableColumn id="28" xr3:uid="{00000000-0010-0000-0D00-00001C000000}" name="Column28" totalsRowFunction="custom">
      <totalsRowFormula>SUM(AB2:AB118)</totalsRowFormula>
    </tableColumn>
    <tableColumn id="29" xr3:uid="{00000000-0010-0000-0D00-00001D000000}" name="Column29" totalsRowFunction="custom">
      <totalsRowFormula>SUM(AC2:AC118)</totalsRowFormula>
    </tableColumn>
    <tableColumn id="30" xr3:uid="{00000000-0010-0000-0D00-00001E000000}" name="Column30" totalsRowFunction="custom">
      <totalsRowFormula>SUM(AD2:AD118)</totalsRowFormula>
    </tableColumn>
    <tableColumn id="31" xr3:uid="{00000000-0010-0000-0D00-00001F000000}" name="Column31" totalsRowFunction="custom">
      <totalsRowFormula>SUM(AE2:AE118)</totalsRowFormula>
    </tableColumn>
    <tableColumn id="32" xr3:uid="{00000000-0010-0000-0D00-000020000000}" name="Column32" totalsRowFunction="custom">
      <totalsRowFormula>SUM(AF2:AF118)</totalsRowFormula>
    </tableColumn>
    <tableColumn id="33" xr3:uid="{00000000-0010-0000-0D00-000021000000}" name="Column33" totalsRowFunction="custom">
      <totalsRowFormula>AF119-AC119</totalsRowFormula>
    </tableColumn>
    <tableColumn id="34" xr3:uid="{00000000-0010-0000-0D00-000022000000}" name="Column34" totalsRowFunction="custom">
      <totalsRowFormula>IFERROR(AF119/AC119,"")</totalsRowFormula>
    </tableColumn>
    <tableColumn id="35" xr3:uid="{00000000-0010-0000-0D00-000023000000}" name="Column35" totalsRowFunction="custom">
      <totalsRowFormula>SUM(AI2:AI118)</totalsRowFormula>
    </tableColumn>
    <tableColumn id="36" xr3:uid="{00000000-0010-0000-0D00-000024000000}" name="Column36" totalsRowFunction="custom">
      <totalsRowFormula>SUM(AJ2:AJ118)</totalsRowFormula>
    </tableColumn>
    <tableColumn id="37" xr3:uid="{00000000-0010-0000-0D00-000025000000}" name="Column37" totalsRowFunction="custom">
      <totalsRowFormula>SUM(AK2:AK118)</totalsRowFormula>
    </tableColumn>
    <tableColumn id="38" xr3:uid="{00000000-0010-0000-0D00-000026000000}" name="Column38" totalsRowFunction="custom">
      <totalsRowFormula>SUM(AL2:AL118)</totalsRowFormula>
    </tableColumn>
    <tableColumn id="39" xr3:uid="{00000000-0010-0000-0D00-000027000000}" name="Column39" totalsRowFunction="custom">
      <totalsRowFormula>SUM(AM2:AM118)</totalsRowFormula>
    </tableColumn>
    <tableColumn id="40" xr3:uid="{00000000-0010-0000-0D00-000028000000}" name="Column40" totalsRowFunction="custom">
      <totalsRowFormula>SUM(AN2:AN118)</totalsRowFormula>
    </tableColumn>
    <tableColumn id="41" xr3:uid="{00000000-0010-0000-0D00-000029000000}" name="Column41" totalsRowFunction="custom">
      <totalsRowFormula>SUM(AO2:AO118)</totalsRowFormula>
    </tableColumn>
    <tableColumn id="42" xr3:uid="{00000000-0010-0000-0D00-00002A000000}" name="Column42" totalsRowFunction="custom">
      <totalsRowFormula>SUM(AP2:AP118)</totalsRowFormula>
    </tableColumn>
    <tableColumn id="43" xr3:uid="{00000000-0010-0000-0D00-00002B000000}" name="Column43" totalsRowFunction="custom">
      <totalsRowFormula>SUM(AQ2:AQ118)</totalsRowFormula>
    </tableColumn>
  </tableColumns>
  <tableStyleInfo name="ROTELA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42:E46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DESCUENTOS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75:E115">
  <tableColumns count="4">
    <tableColumn id="1" xr3:uid="{00000000-0010-0000-0F00-000001000000}" name="ID"/>
    <tableColumn id="2" xr3:uid="{00000000-0010-0000-0F00-000002000000}" name="FARMACIA"/>
    <tableColumn id="3" xr3:uid="{00000000-0010-0000-0F00-000003000000}" name="ALIM. TODA LINEA"/>
    <tableColumn id="4" xr3:uid="{00000000-0010-0000-0F00-000004000000}" name="CORDERO"/>
  </tableColumns>
  <tableStyleInfo name="DESCUENTOS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128:D128" headerRowCount="0">
  <tableColumns count="3">
    <tableColumn id="1" xr3:uid="{00000000-0010-0000-1000-000001000000}" name="Column1"/>
    <tableColumn id="2" xr3:uid="{00000000-0010-0000-1000-000002000000}" name="Column2"/>
    <tableColumn id="3" xr3:uid="{00000000-0010-0000-1000-000003000000}" name="Column3"/>
  </tableColumns>
  <tableStyleInfo name="DESCUENTOS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154:E194">
  <tableColumns count="4">
    <tableColumn id="1" xr3:uid="{00000000-0010-0000-1100-000001000000}" name="ID"/>
    <tableColumn id="2" xr3:uid="{00000000-0010-0000-1100-000002000000}" name="FARMACIA"/>
    <tableColumn id="3" xr3:uid="{00000000-0010-0000-1100-000003000000}" name="ALIM. TODA LINEA"/>
    <tableColumn id="4" xr3:uid="{00000000-0010-0000-1100-000004000000}" name="CORDERO"/>
  </tableColumns>
  <tableStyleInfo name="DESCUENTOS-style 4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G170:I170" headerRowCount="0">
  <tableColumns count="3">
    <tableColumn id="1" xr3:uid="{00000000-0010-0000-1200-000001000000}" name="Column1"/>
    <tableColumn id="2" xr3:uid="{00000000-0010-0000-1200-000002000000}" name="Column2"/>
    <tableColumn id="3" xr3:uid="{00000000-0010-0000-1200-000003000000}" name="Column3"/>
  </tableColumns>
  <tableStyleInfo name="DESCUENTOS-style 5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G172:I172" headerRowCount="0">
  <tableColumns count="3">
    <tableColumn id="1" xr3:uid="{00000000-0010-0000-1300-000001000000}" name="Column1"/>
    <tableColumn id="2" xr3:uid="{00000000-0010-0000-1300-000002000000}" name="Column2"/>
    <tableColumn id="3" xr3:uid="{00000000-0010-0000-1300-000003000000}" name="Column3"/>
  </tableColumns>
  <tableStyleInfo name="DESCUENTOS-style 6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G174:I174" headerRowCount="0">
  <tableColumns count="3">
    <tableColumn id="1" xr3:uid="{00000000-0010-0000-1400-000001000000}" name="Column1"/>
    <tableColumn id="2" xr3:uid="{00000000-0010-0000-1400-000002000000}" name="Column2"/>
    <tableColumn id="3" xr3:uid="{00000000-0010-0000-1400-000003000000}" name="Column3"/>
  </tableColumns>
  <tableStyleInfo name="DESCUENTOS-style 7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G178:I178" headerRowCount="0">
  <tableColumns count="3">
    <tableColumn id="1" xr3:uid="{00000000-0010-0000-1500-000001000000}" name="Column1"/>
    <tableColumn id="2" xr3:uid="{00000000-0010-0000-1500-000002000000}" name="Column2"/>
    <tableColumn id="3" xr3:uid="{00000000-0010-0000-1500-000003000000}" name="Column3"/>
  </tableColumns>
  <tableStyleInfo name="DESCUENTOS-style 8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G266:I266" headerRowCount="0">
  <tableColumns count="3">
    <tableColumn id="1" xr3:uid="{00000000-0010-0000-1600-000001000000}" name="Column1"/>
    <tableColumn id="2" xr3:uid="{00000000-0010-0000-1600-000002000000}" name="Column2"/>
    <tableColumn id="3" xr3:uid="{00000000-0010-0000-1600-000003000000}" name="Column3"/>
  </tableColumns>
  <tableStyleInfo name="DESCUENTOS-style 9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2:F2" headerRowCount="0">
  <tableColumns count="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</tableColumns>
  <tableStyleInfo name="pre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3:F3" headerRowCount="0">
  <tableColumns count="5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</tableColumns>
  <tableStyleInfo name="Hoja 1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Z1001"/>
  <sheetViews>
    <sheetView workbookViewId="0"/>
  </sheetViews>
  <sheetFormatPr baseColWidth="10" defaultColWidth="12.6640625" defaultRowHeight="15.75" customHeight="1"/>
  <cols>
    <col min="1" max="1" width="5" customWidth="1"/>
    <col min="2" max="2" width="21" customWidth="1"/>
    <col min="3" max="8" width="6.33203125" customWidth="1"/>
    <col min="9" max="9" width="11" customWidth="1"/>
  </cols>
  <sheetData>
    <row r="1" spans="1:26" ht="13">
      <c r="A1" s="1"/>
      <c r="B1" s="1"/>
      <c r="C1" s="1"/>
      <c r="D1" s="1"/>
      <c r="E1" s="2"/>
      <c r="F1" s="1"/>
      <c r="G1" s="1"/>
      <c r="H1" s="1"/>
      <c r="I1" s="1"/>
      <c r="J1" s="1"/>
      <c r="K1" s="1"/>
    </row>
    <row r="2" spans="1:26" ht="13">
      <c r="A2" s="1"/>
      <c r="B2" s="1"/>
      <c r="C2" s="1"/>
      <c r="D2" s="1"/>
      <c r="E2" s="2"/>
      <c r="F2" s="1"/>
      <c r="G2" s="1"/>
      <c r="H2" s="1"/>
      <c r="I2" s="1"/>
      <c r="J2" s="1"/>
      <c r="K2" s="1"/>
    </row>
    <row r="3" spans="1:26" ht="13">
      <c r="A3" s="1"/>
      <c r="B3" s="1"/>
      <c r="C3" s="1"/>
      <c r="D3" s="1"/>
      <c r="E3" s="2"/>
      <c r="F3" s="1"/>
      <c r="G3" s="1"/>
      <c r="H3" s="1"/>
      <c r="I3" s="1"/>
      <c r="J3" s="1"/>
      <c r="K3" s="1"/>
    </row>
    <row r="4" spans="1:26" ht="18">
      <c r="A4" s="1"/>
      <c r="B4" s="1852" t="s">
        <v>0</v>
      </c>
      <c r="C4" s="1854" t="s">
        <v>1</v>
      </c>
      <c r="D4" s="1855"/>
      <c r="E4" s="1855"/>
      <c r="F4" s="1855"/>
      <c r="G4" s="1855"/>
      <c r="H4" s="1856"/>
      <c r="I4" s="1857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>
      <c r="A5" s="1"/>
      <c r="B5" s="1853"/>
      <c r="C5" s="3" t="s">
        <v>3</v>
      </c>
      <c r="D5" s="4">
        <v>0.15</v>
      </c>
      <c r="E5" s="5">
        <v>0.12</v>
      </c>
      <c r="F5" s="6">
        <v>0.1</v>
      </c>
      <c r="G5" s="7">
        <v>0.05</v>
      </c>
      <c r="H5" s="8" t="s">
        <v>4</v>
      </c>
      <c r="I5" s="185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">
      <c r="A6" s="1"/>
      <c r="B6" s="9" t="s">
        <v>5</v>
      </c>
      <c r="C6" s="10">
        <f>BASILE!CJ2</f>
        <v>0</v>
      </c>
      <c r="D6" s="11">
        <f>BASILE!CJ3</f>
        <v>11</v>
      </c>
      <c r="E6" s="12">
        <f>BASILE!CJ4</f>
        <v>0</v>
      </c>
      <c r="F6" s="13">
        <f>BASILE!CJ5</f>
        <v>24</v>
      </c>
      <c r="G6" s="14">
        <f>BASILE!CJ6</f>
        <v>0</v>
      </c>
      <c r="H6" s="15">
        <f>BASILE!CJ7</f>
        <v>114</v>
      </c>
      <c r="I6" s="16">
        <f t="shared" ref="I6:I18" si="0">SUM(C6:H6)</f>
        <v>149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">
      <c r="A7" s="1"/>
      <c r="B7" s="17" t="s">
        <v>6</v>
      </c>
      <c r="C7" s="18">
        <f>CALO!CB2</f>
        <v>0</v>
      </c>
      <c r="D7" s="11">
        <f>CALO!CB3</f>
        <v>9</v>
      </c>
      <c r="E7" s="19">
        <f>CALO!CB4</f>
        <v>0</v>
      </c>
      <c r="F7" s="13">
        <f>CALO!CB5</f>
        <v>18</v>
      </c>
      <c r="G7" s="14">
        <f>CALO!CB6</f>
        <v>8</v>
      </c>
      <c r="H7" s="15">
        <f>CALO!CB7</f>
        <v>63</v>
      </c>
      <c r="I7" s="20">
        <f t="shared" si="0"/>
        <v>98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>
      <c r="A8" s="1"/>
      <c r="B8" s="9" t="s">
        <v>7</v>
      </c>
      <c r="C8" s="10">
        <f>RETAMAR!CC2</f>
        <v>0</v>
      </c>
      <c r="D8" s="21">
        <f>RETAMAR!CC3</f>
        <v>8</v>
      </c>
      <c r="E8" s="22">
        <f>RETAMAR!CC4</f>
        <v>2</v>
      </c>
      <c r="F8" s="23">
        <f>RETAMAR!CC5</f>
        <v>45</v>
      </c>
      <c r="G8" s="24">
        <f>RETAMAR!CC6</f>
        <v>7</v>
      </c>
      <c r="H8" s="25">
        <f>RETAMAR!CC7</f>
        <v>33</v>
      </c>
      <c r="I8" s="16">
        <f t="shared" si="0"/>
        <v>95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>
      <c r="A9" s="1"/>
      <c r="B9" s="9" t="s">
        <v>8</v>
      </c>
      <c r="C9" s="18">
        <f>LAGE!CJ2</f>
        <v>0</v>
      </c>
      <c r="D9" s="11">
        <f>LAGE!CJ3</f>
        <v>10</v>
      </c>
      <c r="E9" s="12">
        <f>LAGE!CJ4</f>
        <v>0</v>
      </c>
      <c r="F9" s="13">
        <f>LAGE!CJ5</f>
        <v>31</v>
      </c>
      <c r="G9" s="14">
        <f>LAGE!CJ6</f>
        <v>1</v>
      </c>
      <c r="H9" s="15">
        <f>LAGE!CJ7</f>
        <v>117</v>
      </c>
      <c r="I9" s="20">
        <f t="shared" si="0"/>
        <v>159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">
      <c r="A10" s="1"/>
      <c r="B10" s="9" t="s">
        <v>9</v>
      </c>
      <c r="C10" s="10">
        <f>BUELA!CF2</f>
        <v>1</v>
      </c>
      <c r="D10" s="11">
        <f>BUELA!CF3</f>
        <v>9</v>
      </c>
      <c r="E10" s="22">
        <f>BUELA!CF4</f>
        <v>5</v>
      </c>
      <c r="F10" s="13">
        <f>BUELA!CF5</f>
        <v>16</v>
      </c>
      <c r="G10" s="24">
        <f>BUELA!CF6</f>
        <v>1</v>
      </c>
      <c r="H10" s="15">
        <f>BUELA!CF7</f>
        <v>96</v>
      </c>
      <c r="I10" s="16">
        <f t="shared" si="0"/>
        <v>128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">
      <c r="A11" s="1"/>
      <c r="B11" s="9" t="s">
        <v>10</v>
      </c>
      <c r="C11" s="10"/>
      <c r="D11" s="11">
        <f>VARGAS!CG3</f>
        <v>6</v>
      </c>
      <c r="E11" s="12">
        <f>VARGAS!CG4</f>
        <v>0</v>
      </c>
      <c r="F11" s="23">
        <f>VARGAS!CG5</f>
        <v>31</v>
      </c>
      <c r="G11" s="14">
        <f>VARGAS!CG6</f>
        <v>0</v>
      </c>
      <c r="H11" s="15">
        <f>VARGAS!CG7</f>
        <v>26</v>
      </c>
      <c r="I11" s="16">
        <f t="shared" si="0"/>
        <v>63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">
      <c r="A12" s="1"/>
      <c r="B12" s="9" t="s">
        <v>11</v>
      </c>
      <c r="C12" s="10"/>
      <c r="D12" s="11">
        <f>ARRIOLA!CF3</f>
        <v>7</v>
      </c>
      <c r="E12" s="12">
        <f>ARRIOLA!CF4</f>
        <v>0</v>
      </c>
      <c r="F12" s="13">
        <f>ARRIOLA!CF5</f>
        <v>31</v>
      </c>
      <c r="G12" s="24">
        <f>ARRIOLA!CF6</f>
        <v>0</v>
      </c>
      <c r="H12" s="15">
        <f>ARRIOLA!CF7</f>
        <v>58</v>
      </c>
      <c r="I12" s="16">
        <f t="shared" si="0"/>
        <v>96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>
      <c r="A13" s="1"/>
      <c r="B13" s="9" t="s">
        <v>12</v>
      </c>
      <c r="C13" s="10"/>
      <c r="D13" s="11">
        <f>MONTENEGRO!CB3</f>
        <v>10</v>
      </c>
      <c r="E13" s="12">
        <f>MONTENEGRO!CB4</f>
        <v>1</v>
      </c>
      <c r="F13" s="13">
        <f>MONTENEGRO!CB5</f>
        <v>56</v>
      </c>
      <c r="G13" s="14">
        <f>MONTENEGRO!CB6</f>
        <v>0</v>
      </c>
      <c r="H13" s="15">
        <f>MONTENEGRO!CB7</f>
        <v>55</v>
      </c>
      <c r="I13" s="16">
        <f t="shared" si="0"/>
        <v>122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>
      <c r="A14" s="1"/>
      <c r="B14" s="9" t="s">
        <v>13</v>
      </c>
      <c r="C14" s="10"/>
      <c r="D14" s="11">
        <f>MARUCA!CF3</f>
        <v>4</v>
      </c>
      <c r="E14" s="12">
        <f>MARUCA!CF4</f>
        <v>0</v>
      </c>
      <c r="F14" s="13">
        <f>MARUCA!CF5</f>
        <v>20</v>
      </c>
      <c r="G14" s="14">
        <f>MARUCA!CF6</f>
        <v>3</v>
      </c>
      <c r="H14" s="25">
        <f>MARUCA!CF7</f>
        <v>30</v>
      </c>
      <c r="I14" s="16">
        <f t="shared" si="0"/>
        <v>57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>
      <c r="A15" s="1"/>
      <c r="B15" s="9" t="s">
        <v>14</v>
      </c>
      <c r="C15" s="26"/>
      <c r="D15" s="11">
        <f>PEREZ!AN3</f>
        <v>0</v>
      </c>
      <c r="E15" s="12">
        <f>PEREZ!AN4</f>
        <v>0</v>
      </c>
      <c r="F15" s="13">
        <f>PEREZ!AN5</f>
        <v>0</v>
      </c>
      <c r="G15" s="14">
        <f>PEREZ!AN6</f>
        <v>0</v>
      </c>
      <c r="H15" s="25">
        <v>32</v>
      </c>
      <c r="I15" s="16">
        <f t="shared" si="0"/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>
      <c r="A16" s="1"/>
      <c r="B16" s="9" t="s">
        <v>15</v>
      </c>
      <c r="C16" s="26"/>
      <c r="D16" s="11">
        <f>ROTELA!AV3</f>
        <v>0</v>
      </c>
      <c r="E16" s="12">
        <f>ROTELA!AV4</f>
        <v>0</v>
      </c>
      <c r="F16" s="13">
        <f>ROTELA!AV5</f>
        <v>0</v>
      </c>
      <c r="G16" s="14">
        <f>ROTELA!AV6</f>
        <v>0</v>
      </c>
      <c r="H16" s="15">
        <f>ROTELA!AV7</f>
        <v>0</v>
      </c>
      <c r="I16" s="16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>
      <c r="A17" s="1"/>
      <c r="B17" s="9" t="s">
        <v>16</v>
      </c>
      <c r="C17" s="10"/>
      <c r="D17" s="21">
        <f>LAVENIA!CF3</f>
        <v>10</v>
      </c>
      <c r="E17" s="22">
        <f>LAVENIA!CF4</f>
        <v>1</v>
      </c>
      <c r="F17" s="23">
        <f>LAVENIA!CF5</f>
        <v>65</v>
      </c>
      <c r="G17" s="24">
        <f>LAVENIA!CF6</f>
        <v>3</v>
      </c>
      <c r="H17" s="25">
        <f>LAVENIA!CF7</f>
        <v>36</v>
      </c>
      <c r="I17" s="16">
        <f t="shared" si="0"/>
        <v>115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>
      <c r="A18" s="1"/>
      <c r="B18" s="27" t="s">
        <v>17</v>
      </c>
      <c r="C18" s="28">
        <f t="shared" ref="C18:H18" si="1">SUM(C6:C17)</f>
        <v>1</v>
      </c>
      <c r="D18" s="29">
        <f t="shared" si="1"/>
        <v>84</v>
      </c>
      <c r="E18" s="30">
        <f t="shared" si="1"/>
        <v>9</v>
      </c>
      <c r="F18" s="31">
        <f t="shared" si="1"/>
        <v>337</v>
      </c>
      <c r="G18" s="32">
        <f t="shared" si="1"/>
        <v>23</v>
      </c>
      <c r="H18" s="33">
        <f t="shared" si="1"/>
        <v>660</v>
      </c>
      <c r="I18" s="34">
        <f t="shared" si="0"/>
        <v>1114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>
      <c r="A22" s="1"/>
      <c r="B22" s="35" t="s">
        <v>18</v>
      </c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>
      <c r="A23" s="1"/>
      <c r="B23" s="1852" t="s">
        <v>0</v>
      </c>
      <c r="C23" s="1854" t="s">
        <v>1</v>
      </c>
      <c r="D23" s="1855"/>
      <c r="E23" s="1855"/>
      <c r="F23" s="1855"/>
      <c r="G23" s="1855"/>
      <c r="H23" s="1856"/>
      <c r="I23" s="1857" t="s">
        <v>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>
      <c r="A24" s="1"/>
      <c r="B24" s="1853"/>
      <c r="C24" s="36">
        <v>0.2</v>
      </c>
      <c r="D24" s="4">
        <v>0.15</v>
      </c>
      <c r="E24" s="5">
        <v>0.12</v>
      </c>
      <c r="F24" s="6">
        <v>0.1</v>
      </c>
      <c r="G24" s="7">
        <v>0.05</v>
      </c>
      <c r="H24" s="8" t="s">
        <v>4</v>
      </c>
      <c r="I24" s="185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>
      <c r="A25" s="1"/>
      <c r="B25" s="9" t="s">
        <v>5</v>
      </c>
      <c r="C25" s="18"/>
      <c r="D25" s="11">
        <v>11</v>
      </c>
      <c r="E25" s="12">
        <v>1</v>
      </c>
      <c r="F25" s="13">
        <v>34</v>
      </c>
      <c r="G25" s="14">
        <v>3</v>
      </c>
      <c r="H25" s="15">
        <v>95</v>
      </c>
      <c r="I25" s="20">
        <v>144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>
      <c r="A26" s="1"/>
      <c r="B26" s="17" t="s">
        <v>6</v>
      </c>
      <c r="C26" s="18"/>
      <c r="D26" s="11">
        <v>9</v>
      </c>
      <c r="E26" s="19"/>
      <c r="F26" s="13">
        <v>18</v>
      </c>
      <c r="G26" s="14">
        <v>8</v>
      </c>
      <c r="H26" s="15">
        <v>65</v>
      </c>
      <c r="I26" s="20">
        <v>100</v>
      </c>
      <c r="J26" s="1"/>
      <c r="K26" s="1"/>
    </row>
    <row r="27" spans="1:26" ht="13">
      <c r="A27" s="1"/>
      <c r="B27" s="9" t="s">
        <v>7</v>
      </c>
      <c r="C27" s="10"/>
      <c r="D27" s="21">
        <v>10</v>
      </c>
      <c r="E27" s="22">
        <v>2</v>
      </c>
      <c r="F27" s="23">
        <v>48</v>
      </c>
      <c r="G27" s="24">
        <v>8</v>
      </c>
      <c r="H27" s="25">
        <v>34</v>
      </c>
      <c r="I27" s="16">
        <v>102</v>
      </c>
      <c r="J27" s="1"/>
      <c r="K27" s="1"/>
    </row>
    <row r="28" spans="1:26" ht="13">
      <c r="A28" s="1"/>
      <c r="B28" s="9" t="s">
        <v>8</v>
      </c>
      <c r="C28" s="18"/>
      <c r="D28" s="11">
        <v>12</v>
      </c>
      <c r="E28" s="12">
        <v>0</v>
      </c>
      <c r="F28" s="13">
        <v>96</v>
      </c>
      <c r="G28" s="14">
        <v>3</v>
      </c>
      <c r="H28" s="15">
        <v>35</v>
      </c>
      <c r="I28" s="20">
        <v>146</v>
      </c>
      <c r="J28" s="1"/>
      <c r="K28" s="1"/>
    </row>
    <row r="29" spans="1:26" ht="13">
      <c r="A29" s="1"/>
      <c r="B29" s="9" t="s">
        <v>9</v>
      </c>
      <c r="C29" s="18">
        <v>1</v>
      </c>
      <c r="D29" s="21">
        <v>8</v>
      </c>
      <c r="E29" s="12">
        <v>5</v>
      </c>
      <c r="F29" s="23">
        <v>38</v>
      </c>
      <c r="G29" s="24">
        <v>2</v>
      </c>
      <c r="H29" s="15">
        <v>65</v>
      </c>
      <c r="I29" s="20">
        <v>119</v>
      </c>
      <c r="J29" s="1"/>
      <c r="K29" s="1"/>
    </row>
    <row r="30" spans="1:26" ht="13">
      <c r="A30" s="1"/>
      <c r="B30" s="9" t="s">
        <v>10</v>
      </c>
      <c r="C30" s="10"/>
      <c r="D30" s="11">
        <v>4</v>
      </c>
      <c r="E30" s="12">
        <v>2</v>
      </c>
      <c r="F30" s="23">
        <v>44</v>
      </c>
      <c r="G30" s="14">
        <v>8</v>
      </c>
      <c r="H30" s="15">
        <v>48</v>
      </c>
      <c r="I30" s="16">
        <v>106</v>
      </c>
      <c r="J30" s="1"/>
      <c r="K30" s="1"/>
    </row>
    <row r="31" spans="1:26" ht="13">
      <c r="A31" s="1"/>
      <c r="B31" s="9" t="s">
        <v>11</v>
      </c>
      <c r="C31" s="10"/>
      <c r="D31" s="11">
        <v>18</v>
      </c>
      <c r="E31" s="12"/>
      <c r="F31" s="13">
        <v>61</v>
      </c>
      <c r="G31" s="24">
        <v>10</v>
      </c>
      <c r="H31" s="15">
        <v>35</v>
      </c>
      <c r="I31" s="16">
        <v>124</v>
      </c>
      <c r="J31" s="1"/>
      <c r="K31" s="1"/>
    </row>
    <row r="32" spans="1:26" ht="13">
      <c r="A32" s="1"/>
      <c r="B32" s="9" t="s">
        <v>12</v>
      </c>
      <c r="C32" s="10"/>
      <c r="D32" s="11">
        <v>21</v>
      </c>
      <c r="E32" s="12"/>
      <c r="F32" s="13">
        <v>59</v>
      </c>
      <c r="G32" s="14">
        <v>8</v>
      </c>
      <c r="H32" s="15">
        <v>40</v>
      </c>
      <c r="I32" s="16">
        <v>128</v>
      </c>
      <c r="J32" s="1"/>
      <c r="K32" s="1"/>
    </row>
    <row r="33" spans="1:11" ht="13">
      <c r="A33" s="1"/>
      <c r="B33" s="9" t="s">
        <v>13</v>
      </c>
      <c r="C33" s="10"/>
      <c r="D33" s="11">
        <v>2</v>
      </c>
      <c r="E33" s="12"/>
      <c r="F33" s="13">
        <v>27</v>
      </c>
      <c r="G33" s="14">
        <v>18</v>
      </c>
      <c r="H33" s="25">
        <v>70</v>
      </c>
      <c r="I33" s="16">
        <v>117</v>
      </c>
      <c r="J33" s="1"/>
      <c r="K33" s="1"/>
    </row>
    <row r="34" spans="1:11" ht="13">
      <c r="A34" s="1"/>
      <c r="B34" s="9" t="s">
        <v>14</v>
      </c>
      <c r="C34" s="26"/>
      <c r="D34" s="11"/>
      <c r="E34" s="12"/>
      <c r="F34" s="13"/>
      <c r="G34" s="14"/>
      <c r="H34" s="25">
        <v>33</v>
      </c>
      <c r="I34" s="16">
        <v>33</v>
      </c>
      <c r="J34" s="1"/>
      <c r="K34" s="1"/>
    </row>
    <row r="35" spans="1:11" ht="13" hidden="1">
      <c r="A35" s="1"/>
      <c r="B35" s="9" t="s">
        <v>15</v>
      </c>
      <c r="C35" s="26"/>
      <c r="D35" s="11"/>
      <c r="E35" s="12"/>
      <c r="F35" s="13"/>
      <c r="G35" s="14"/>
      <c r="H35" s="15"/>
      <c r="I35" s="16">
        <v>0</v>
      </c>
      <c r="J35" s="1"/>
      <c r="K35" s="1"/>
    </row>
    <row r="36" spans="1:11" ht="13">
      <c r="A36" s="1"/>
      <c r="B36" s="9" t="s">
        <v>16</v>
      </c>
      <c r="C36" s="10"/>
      <c r="D36" s="21">
        <v>9</v>
      </c>
      <c r="E36" s="22">
        <v>3</v>
      </c>
      <c r="F36" s="23">
        <v>69</v>
      </c>
      <c r="G36" s="24">
        <v>2</v>
      </c>
      <c r="H36" s="25">
        <v>34</v>
      </c>
      <c r="I36" s="16">
        <v>117</v>
      </c>
      <c r="J36" s="1"/>
      <c r="K36" s="1"/>
    </row>
    <row r="37" spans="1:11" ht="13">
      <c r="A37" s="1"/>
      <c r="B37" s="27" t="s">
        <v>17</v>
      </c>
      <c r="C37" s="37">
        <v>1</v>
      </c>
      <c r="D37" s="29">
        <v>104</v>
      </c>
      <c r="E37" s="30">
        <v>13</v>
      </c>
      <c r="F37" s="31">
        <v>494</v>
      </c>
      <c r="G37" s="32">
        <v>70</v>
      </c>
      <c r="H37" s="33">
        <v>554</v>
      </c>
      <c r="I37" s="38">
        <v>1236</v>
      </c>
      <c r="J37" s="1"/>
      <c r="K37" s="1"/>
    </row>
    <row r="38" spans="1:11" ht="13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</row>
    <row r="39" spans="1:11" ht="13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</row>
    <row r="40" spans="1:11" ht="13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</row>
    <row r="41" spans="1:11" ht="13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</row>
    <row r="42" spans="1:11" ht="13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</row>
    <row r="43" spans="1:11" ht="13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</row>
    <row r="44" spans="1:11" ht="13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</row>
    <row r="45" spans="1:11" ht="13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</row>
    <row r="46" spans="1:11" ht="13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</row>
    <row r="47" spans="1:11" ht="13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</row>
    <row r="48" spans="1:11" ht="13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</row>
    <row r="49" spans="1:11" ht="13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</row>
    <row r="50" spans="1:11" ht="13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</row>
    <row r="51" spans="1:11" ht="13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</row>
    <row r="52" spans="1:11" ht="13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</row>
    <row r="53" spans="1:11" ht="1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</row>
    <row r="54" spans="1:11" ht="13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</row>
    <row r="55" spans="1:11" ht="13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</row>
    <row r="56" spans="1:11" ht="13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</row>
    <row r="57" spans="1:11" ht="13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</row>
    <row r="58" spans="1:11" ht="13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</row>
    <row r="59" spans="1:11" ht="13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</row>
    <row r="60" spans="1:11" ht="13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</row>
    <row r="61" spans="1:11" ht="13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</row>
    <row r="62" spans="1:11" ht="13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</row>
    <row r="63" spans="1:11" ht="1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</row>
    <row r="64" spans="1:11" ht="13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</row>
    <row r="65" spans="1:11" ht="13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</row>
    <row r="66" spans="1:11" ht="13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</row>
    <row r="67" spans="1:11" ht="13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</row>
    <row r="68" spans="1:11" ht="13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</row>
    <row r="69" spans="1:11" ht="13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</row>
    <row r="70" spans="1:11" ht="13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</row>
    <row r="71" spans="1:11" ht="13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</row>
    <row r="72" spans="1:11" ht="13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</row>
    <row r="73" spans="1:11" ht="1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</row>
    <row r="74" spans="1:11" ht="13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</row>
    <row r="75" spans="1:11" ht="13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</row>
    <row r="76" spans="1:11" ht="13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</row>
    <row r="77" spans="1:11" ht="13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</row>
    <row r="78" spans="1:11" ht="13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</row>
    <row r="79" spans="1:11" ht="13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</row>
    <row r="80" spans="1:11" ht="13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</row>
    <row r="81" spans="1:11" ht="13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</row>
    <row r="82" spans="1:11" ht="13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</row>
    <row r="83" spans="1:11" ht="1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</row>
    <row r="84" spans="1:11" ht="13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</row>
    <row r="85" spans="1:11" ht="13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</row>
    <row r="86" spans="1:11" ht="13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</row>
    <row r="87" spans="1:11" ht="13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</row>
    <row r="88" spans="1:11" ht="13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</row>
    <row r="89" spans="1:11" ht="13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</row>
    <row r="90" spans="1:11" ht="13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</row>
    <row r="91" spans="1:11" ht="13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</row>
    <row r="92" spans="1:11" ht="13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</row>
    <row r="93" spans="1:11" ht="1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</row>
    <row r="94" spans="1:11" ht="13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</row>
    <row r="95" spans="1:11" ht="13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</row>
    <row r="96" spans="1:11" ht="13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</row>
    <row r="97" spans="1:11" ht="13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</row>
    <row r="98" spans="1:11" ht="13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</row>
    <row r="99" spans="1:11" ht="13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</row>
    <row r="100" spans="1:11" ht="13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</row>
    <row r="101" spans="1:11" ht="13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</row>
    <row r="102" spans="1:11" ht="13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</row>
    <row r="103" spans="1:11" ht="1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</row>
    <row r="104" spans="1:11" ht="13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</row>
    <row r="105" spans="1:11" ht="13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</row>
    <row r="106" spans="1:11" ht="13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</row>
    <row r="107" spans="1:11" ht="13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</row>
    <row r="108" spans="1:11" ht="13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</row>
    <row r="109" spans="1:11" ht="13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</row>
    <row r="110" spans="1:11" ht="13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</row>
    <row r="111" spans="1:11" ht="13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</row>
    <row r="112" spans="1:11" ht="13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</row>
    <row r="113" spans="1:11" ht="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</row>
    <row r="114" spans="1:11" ht="13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</row>
    <row r="115" spans="1:11" ht="13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</row>
    <row r="116" spans="1:11" ht="13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</row>
    <row r="117" spans="1:11" ht="13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</row>
    <row r="118" spans="1:11" ht="13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</row>
    <row r="119" spans="1:11" ht="13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</row>
    <row r="120" spans="1:11" ht="13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</row>
    <row r="121" spans="1:11" ht="13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</row>
    <row r="122" spans="1:11" ht="13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</row>
    <row r="123" spans="1:11" ht="1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</row>
    <row r="124" spans="1:11" ht="13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</row>
    <row r="125" spans="1:11" ht="13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</row>
    <row r="126" spans="1:11" ht="13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</row>
    <row r="127" spans="1:11" ht="13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</row>
    <row r="128" spans="1:11" ht="13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</row>
    <row r="129" spans="1:11" ht="13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</row>
    <row r="130" spans="1:11" ht="13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</row>
    <row r="131" spans="1:11" ht="13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</row>
    <row r="132" spans="1:11" ht="13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</row>
    <row r="133" spans="1:11" ht="1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</row>
    <row r="134" spans="1:11" ht="13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</row>
    <row r="135" spans="1:11" ht="13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</row>
    <row r="136" spans="1:11" ht="13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</row>
    <row r="137" spans="1:11" ht="13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</row>
    <row r="138" spans="1:11" ht="13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</row>
    <row r="139" spans="1:11" ht="13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</row>
    <row r="140" spans="1:11" ht="13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</row>
    <row r="141" spans="1:11" ht="13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</row>
    <row r="142" spans="1:11" ht="13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</row>
    <row r="143" spans="1:11" ht="1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</row>
    <row r="144" spans="1:11" ht="13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</row>
    <row r="145" spans="1:11" ht="13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</row>
    <row r="146" spans="1:11" ht="13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</row>
    <row r="147" spans="1:11" ht="13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</row>
    <row r="148" spans="1:11" ht="13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</row>
    <row r="149" spans="1:11" ht="13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</row>
    <row r="150" spans="1:11" ht="13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</row>
    <row r="151" spans="1:11" ht="13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</row>
    <row r="152" spans="1:11" ht="13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</row>
    <row r="153" spans="1:11" ht="1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</row>
    <row r="154" spans="1:11" ht="13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</row>
    <row r="155" spans="1:11" ht="13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</row>
    <row r="156" spans="1:11" ht="13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</row>
    <row r="157" spans="1:11" ht="13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</row>
    <row r="158" spans="1:11" ht="13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</row>
    <row r="159" spans="1:11" ht="13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</row>
    <row r="160" spans="1:11" ht="13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</row>
    <row r="161" spans="1:11" ht="13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</row>
    <row r="162" spans="1:11" ht="13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</row>
    <row r="163" spans="1:11" ht="1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</row>
    <row r="164" spans="1:11" ht="13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</row>
    <row r="165" spans="1:11" ht="13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</row>
    <row r="166" spans="1:11" ht="13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</row>
    <row r="167" spans="1:11" ht="13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</row>
    <row r="168" spans="1:11" ht="13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</row>
    <row r="169" spans="1:11" ht="13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</row>
    <row r="170" spans="1:11" ht="13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</row>
    <row r="171" spans="1:11" ht="13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</row>
    <row r="172" spans="1:11" ht="13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</row>
    <row r="173" spans="1:11" ht="1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</row>
    <row r="174" spans="1:11" ht="13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</row>
    <row r="175" spans="1:11" ht="13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</row>
    <row r="176" spans="1:11" ht="13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</row>
    <row r="177" spans="1:11" ht="13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</row>
    <row r="178" spans="1:11" ht="13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</row>
    <row r="179" spans="1:11" ht="13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</row>
    <row r="180" spans="1:11" ht="13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</row>
    <row r="181" spans="1:11" ht="13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</row>
    <row r="182" spans="1:11" ht="13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</row>
    <row r="183" spans="1:11" ht="1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</row>
    <row r="184" spans="1:11" ht="13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</row>
    <row r="185" spans="1:11" ht="13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</row>
    <row r="186" spans="1:11" ht="13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</row>
    <row r="187" spans="1:11" ht="13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</row>
    <row r="188" spans="1:11" ht="13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</row>
    <row r="189" spans="1:11" ht="13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</row>
    <row r="190" spans="1:11" ht="13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</row>
    <row r="191" spans="1:11" ht="13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</row>
    <row r="192" spans="1:11" ht="13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</row>
    <row r="193" spans="1:11" ht="1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</row>
    <row r="194" spans="1:11" ht="13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</row>
    <row r="195" spans="1:11" ht="13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</row>
    <row r="196" spans="1:11" ht="13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</row>
    <row r="197" spans="1:11" ht="13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</row>
    <row r="198" spans="1:11" ht="13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</row>
    <row r="199" spans="1:11" ht="13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</row>
    <row r="200" spans="1:11" ht="13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</row>
    <row r="201" spans="1:11" ht="13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</row>
    <row r="202" spans="1:11" ht="13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</row>
    <row r="203" spans="1:11" ht="1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</row>
    <row r="204" spans="1:11" ht="13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</row>
    <row r="205" spans="1:11" ht="13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</row>
    <row r="206" spans="1:11" ht="13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</row>
    <row r="207" spans="1:11" ht="13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</row>
    <row r="208" spans="1:11" ht="13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</row>
    <row r="209" spans="1:11" ht="13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</row>
    <row r="210" spans="1:11" ht="13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</row>
    <row r="211" spans="1:11" ht="13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</row>
    <row r="212" spans="1:11" ht="13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</row>
    <row r="213" spans="1:11" ht="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</row>
    <row r="214" spans="1:11" ht="13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</row>
    <row r="215" spans="1:11" ht="13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</row>
    <row r="216" spans="1:11" ht="13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</row>
    <row r="217" spans="1:11" ht="13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</row>
    <row r="218" spans="1:11" ht="13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</row>
    <row r="219" spans="1:11" ht="13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</row>
    <row r="220" spans="1:11" ht="13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</row>
    <row r="221" spans="1:11" ht="13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</row>
    <row r="222" spans="1:11" ht="13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</row>
    <row r="223" spans="1:11" ht="1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</row>
    <row r="224" spans="1:11" ht="13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</row>
    <row r="225" spans="1:11" ht="13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</row>
    <row r="226" spans="1:11" ht="13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</row>
    <row r="227" spans="1:11" ht="13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</row>
    <row r="228" spans="1:11" ht="13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</row>
    <row r="229" spans="1:11" ht="13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</row>
    <row r="230" spans="1:11" ht="13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</row>
    <row r="231" spans="1:11" ht="13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</row>
    <row r="232" spans="1:11" ht="13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</row>
    <row r="233" spans="1:11" ht="1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</row>
    <row r="234" spans="1:11" ht="13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</row>
    <row r="235" spans="1:11" ht="13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</row>
    <row r="236" spans="1:11" ht="13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</row>
    <row r="237" spans="1:11" ht="13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</row>
    <row r="238" spans="1:11" ht="13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</row>
    <row r="239" spans="1:11" ht="13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</row>
    <row r="240" spans="1:11" ht="13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</row>
    <row r="241" spans="1:11" ht="13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</row>
    <row r="242" spans="1:11" ht="13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</row>
    <row r="243" spans="1:11" ht="1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</row>
    <row r="244" spans="1:11" ht="1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</row>
    <row r="245" spans="1:11" ht="1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</row>
    <row r="246" spans="1:11" ht="1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</row>
    <row r="247" spans="1:11" ht="1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</row>
    <row r="248" spans="1:11" ht="1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</row>
    <row r="249" spans="1:11" ht="1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</row>
    <row r="250" spans="1:11" ht="1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</row>
    <row r="251" spans="1:11" ht="1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</row>
    <row r="252" spans="1:11" ht="1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</row>
    <row r="253" spans="1:11" ht="1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</row>
    <row r="254" spans="1:11" ht="1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</row>
    <row r="255" spans="1:11" ht="1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</row>
    <row r="256" spans="1:11" ht="1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</row>
    <row r="257" spans="1:11" ht="1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</row>
    <row r="258" spans="1:11" ht="1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</row>
    <row r="259" spans="1:11" ht="1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</row>
    <row r="260" spans="1:11" ht="1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</row>
    <row r="261" spans="1:11" ht="1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</row>
    <row r="262" spans="1:11" ht="1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</row>
    <row r="263" spans="1:11" ht="1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</row>
    <row r="264" spans="1:11" ht="1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</row>
    <row r="265" spans="1:11" ht="1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</row>
    <row r="266" spans="1:11" ht="1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</row>
    <row r="267" spans="1:11" ht="1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</row>
    <row r="268" spans="1:11" ht="1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</row>
    <row r="269" spans="1:11" ht="1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</row>
    <row r="270" spans="1:11" ht="1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</row>
    <row r="271" spans="1:11" ht="1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</row>
    <row r="272" spans="1:11" ht="1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</row>
    <row r="273" spans="1:11" ht="1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</row>
    <row r="274" spans="1:11" ht="1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</row>
    <row r="275" spans="1:11" ht="1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</row>
    <row r="276" spans="1:11" ht="1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</row>
    <row r="277" spans="1:11" ht="1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</row>
    <row r="278" spans="1:11" ht="1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</row>
    <row r="279" spans="1:11" ht="1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</row>
    <row r="280" spans="1:11" ht="1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</row>
    <row r="281" spans="1:11" ht="1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</row>
    <row r="282" spans="1:11" ht="1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</row>
    <row r="283" spans="1:11" ht="1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</row>
    <row r="284" spans="1:11" ht="1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</row>
    <row r="285" spans="1:11" ht="1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</row>
    <row r="286" spans="1:11" ht="1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</row>
    <row r="287" spans="1:11" ht="1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</row>
    <row r="288" spans="1:11" ht="1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</row>
    <row r="289" spans="1:11" ht="1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</row>
    <row r="290" spans="1:11" ht="1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</row>
    <row r="291" spans="1:11" ht="1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</row>
    <row r="292" spans="1:11" ht="1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</row>
    <row r="293" spans="1:11" ht="1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</row>
    <row r="294" spans="1:11" ht="1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</row>
    <row r="295" spans="1:11" ht="1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</row>
    <row r="296" spans="1:11" ht="1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</row>
    <row r="297" spans="1:11" ht="1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</row>
    <row r="298" spans="1:11" ht="1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</row>
    <row r="299" spans="1:11" ht="1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</row>
    <row r="300" spans="1:11" ht="1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</row>
    <row r="301" spans="1:11" ht="1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</row>
    <row r="302" spans="1:11" ht="1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</row>
    <row r="303" spans="1:11" ht="1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</row>
    <row r="304" spans="1:11" ht="1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</row>
    <row r="305" spans="1:11" ht="1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</row>
    <row r="306" spans="1:11" ht="1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</row>
    <row r="307" spans="1:11" ht="1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</row>
    <row r="308" spans="1:11" ht="1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</row>
    <row r="309" spans="1:11" ht="1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</row>
    <row r="310" spans="1:11" ht="1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</row>
    <row r="311" spans="1:11" ht="1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</row>
    <row r="312" spans="1:11" ht="1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</row>
    <row r="313" spans="1:11" ht="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</row>
    <row r="314" spans="1:11" ht="1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</row>
    <row r="315" spans="1:11" ht="1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</row>
    <row r="316" spans="1:11" ht="1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</row>
    <row r="317" spans="1:11" ht="1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</row>
    <row r="318" spans="1:11" ht="1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</row>
    <row r="319" spans="1:11" ht="1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</row>
    <row r="320" spans="1:11" ht="1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</row>
    <row r="321" spans="1:11" ht="1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</row>
    <row r="322" spans="1:11" ht="1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</row>
    <row r="323" spans="1:11" ht="1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</row>
    <row r="324" spans="1:11" ht="1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</row>
    <row r="325" spans="1:11" ht="1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</row>
    <row r="326" spans="1:11" ht="1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</row>
    <row r="327" spans="1:11" ht="1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</row>
    <row r="328" spans="1:11" ht="1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</row>
    <row r="329" spans="1:11" ht="1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</row>
    <row r="330" spans="1:11" ht="1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</row>
    <row r="331" spans="1:11" ht="1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</row>
    <row r="332" spans="1:11" ht="1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</row>
    <row r="333" spans="1:11" ht="1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</row>
    <row r="334" spans="1:11" ht="1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</row>
    <row r="335" spans="1:11" ht="1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</row>
    <row r="336" spans="1:11" ht="1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</row>
    <row r="337" spans="1:11" ht="1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</row>
    <row r="338" spans="1:11" ht="1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</row>
    <row r="339" spans="1:11" ht="1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</row>
    <row r="340" spans="1:11" ht="1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</row>
    <row r="341" spans="1:11" ht="1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</row>
    <row r="342" spans="1:11" ht="1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</row>
    <row r="343" spans="1:11" ht="1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</row>
    <row r="344" spans="1:11" ht="1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</row>
    <row r="345" spans="1:11" ht="1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</row>
    <row r="346" spans="1:11" ht="1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</row>
    <row r="347" spans="1:11" ht="1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</row>
    <row r="348" spans="1:11" ht="1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</row>
    <row r="349" spans="1:11" ht="1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</row>
    <row r="350" spans="1:11" ht="1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</row>
    <row r="351" spans="1:11" ht="1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</row>
    <row r="352" spans="1:11" ht="1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</row>
    <row r="353" spans="1:11" ht="1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</row>
    <row r="354" spans="1:11" ht="1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</row>
    <row r="355" spans="1:11" ht="1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</row>
    <row r="356" spans="1:11" ht="1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</row>
    <row r="357" spans="1:11" ht="1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</row>
    <row r="358" spans="1:11" ht="1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</row>
    <row r="359" spans="1:11" ht="1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</row>
    <row r="360" spans="1:11" ht="1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</row>
    <row r="361" spans="1:11" ht="1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</row>
    <row r="362" spans="1:11" ht="1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</row>
    <row r="363" spans="1:11" ht="1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</row>
    <row r="364" spans="1:11" ht="1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</row>
    <row r="365" spans="1:11" ht="1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</row>
    <row r="366" spans="1:11" ht="1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</row>
    <row r="367" spans="1:11" ht="1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</row>
    <row r="368" spans="1:11" ht="1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</row>
    <row r="369" spans="1:11" ht="1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</row>
    <row r="370" spans="1:11" ht="1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</row>
    <row r="371" spans="1:11" ht="1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</row>
    <row r="372" spans="1:11" ht="1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</row>
    <row r="373" spans="1:11" ht="1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</row>
    <row r="374" spans="1:11" ht="1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</row>
    <row r="375" spans="1:11" ht="1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</row>
    <row r="376" spans="1:11" ht="1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</row>
    <row r="377" spans="1:11" ht="1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</row>
    <row r="378" spans="1:11" ht="1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</row>
    <row r="379" spans="1:11" ht="1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</row>
    <row r="380" spans="1:11" ht="1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</row>
    <row r="381" spans="1:11" ht="1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</row>
    <row r="382" spans="1:11" ht="1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</row>
    <row r="383" spans="1:11" ht="1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</row>
    <row r="384" spans="1:11" ht="1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</row>
    <row r="385" spans="1:11" ht="1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</row>
    <row r="386" spans="1:11" ht="1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</row>
    <row r="387" spans="1:11" ht="1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</row>
    <row r="388" spans="1:11" ht="1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</row>
    <row r="389" spans="1:11" ht="1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</row>
    <row r="390" spans="1:11" ht="1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</row>
    <row r="391" spans="1:11" ht="1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</row>
    <row r="392" spans="1:11" ht="1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</row>
    <row r="393" spans="1:11" ht="1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</row>
    <row r="394" spans="1:11" ht="1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</row>
    <row r="395" spans="1:11" ht="1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</row>
    <row r="396" spans="1:11" ht="1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</row>
    <row r="397" spans="1:11" ht="1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</row>
    <row r="398" spans="1:11" ht="1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</row>
    <row r="399" spans="1:11" ht="1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</row>
    <row r="400" spans="1:11" ht="1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</row>
    <row r="401" spans="1:11" ht="1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</row>
    <row r="402" spans="1:11" ht="1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</row>
    <row r="403" spans="1:11" ht="1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</row>
    <row r="404" spans="1:11" ht="1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</row>
    <row r="405" spans="1:11" ht="1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</row>
    <row r="406" spans="1:11" ht="1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</row>
    <row r="407" spans="1:11" ht="1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</row>
    <row r="408" spans="1:11" ht="1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</row>
    <row r="409" spans="1:11" ht="1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</row>
    <row r="410" spans="1:11" ht="1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</row>
    <row r="411" spans="1:11" ht="1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</row>
    <row r="412" spans="1:11" ht="1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</row>
    <row r="413" spans="1:11" ht="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</row>
    <row r="414" spans="1:11" ht="1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</row>
    <row r="415" spans="1:11" ht="1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</row>
    <row r="416" spans="1:11" ht="1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</row>
    <row r="417" spans="1:11" ht="1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</row>
    <row r="418" spans="1:11" ht="1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</row>
    <row r="419" spans="1:11" ht="1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</row>
    <row r="420" spans="1:11" ht="1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</row>
    <row r="421" spans="1:11" ht="1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</row>
    <row r="422" spans="1:11" ht="1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</row>
    <row r="423" spans="1:11" ht="1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</row>
    <row r="424" spans="1:11" ht="1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</row>
    <row r="425" spans="1:11" ht="1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</row>
    <row r="426" spans="1:11" ht="1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</row>
    <row r="427" spans="1:11" ht="1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</row>
    <row r="428" spans="1:11" ht="1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</row>
    <row r="429" spans="1:11" ht="1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</row>
    <row r="430" spans="1:11" ht="1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</row>
    <row r="431" spans="1:11" ht="1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</row>
    <row r="432" spans="1:11" ht="1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</row>
    <row r="433" spans="1:11" ht="1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</row>
    <row r="434" spans="1:11" ht="1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</row>
    <row r="435" spans="1:11" ht="1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</row>
    <row r="436" spans="1:11" ht="1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</row>
    <row r="437" spans="1:11" ht="1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</row>
    <row r="438" spans="1:11" ht="1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</row>
    <row r="439" spans="1:11" ht="1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</row>
    <row r="440" spans="1:11" ht="1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</row>
    <row r="441" spans="1:11" ht="1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</row>
    <row r="442" spans="1:11" ht="1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</row>
    <row r="443" spans="1:11" ht="1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</row>
    <row r="444" spans="1:11" ht="1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</row>
    <row r="445" spans="1:11" ht="1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</row>
    <row r="446" spans="1:11" ht="1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</row>
    <row r="447" spans="1:11" ht="1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</row>
    <row r="448" spans="1:11" ht="1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</row>
    <row r="449" spans="1:11" ht="1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</row>
    <row r="450" spans="1:11" ht="1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</row>
    <row r="451" spans="1:11" ht="1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</row>
    <row r="452" spans="1:11" ht="1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</row>
    <row r="453" spans="1:11" ht="1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</row>
    <row r="454" spans="1:11" ht="1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</row>
    <row r="455" spans="1:11" ht="1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</row>
    <row r="456" spans="1:11" ht="1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</row>
    <row r="457" spans="1:11" ht="1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</row>
    <row r="458" spans="1:11" ht="1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</row>
    <row r="459" spans="1:11" ht="1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</row>
    <row r="460" spans="1:11" ht="1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</row>
    <row r="461" spans="1:11" ht="1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</row>
    <row r="462" spans="1:11" ht="1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</row>
    <row r="463" spans="1:11" ht="1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</row>
    <row r="464" spans="1:11" ht="1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</row>
    <row r="465" spans="1:11" ht="1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</row>
    <row r="466" spans="1:11" ht="1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</row>
    <row r="467" spans="1:11" ht="1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</row>
    <row r="468" spans="1:11" ht="1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</row>
    <row r="469" spans="1:11" ht="1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</row>
    <row r="470" spans="1:11" ht="1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</row>
    <row r="471" spans="1:11" ht="1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</row>
    <row r="472" spans="1:11" ht="1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</row>
    <row r="473" spans="1:11" ht="1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</row>
    <row r="474" spans="1:11" ht="1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</row>
    <row r="475" spans="1:11" ht="1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</row>
    <row r="476" spans="1:11" ht="1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</row>
    <row r="477" spans="1:11" ht="1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</row>
    <row r="478" spans="1:11" ht="1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</row>
    <row r="479" spans="1:11" ht="1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</row>
    <row r="480" spans="1:11" ht="1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</row>
    <row r="481" spans="1:11" ht="1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</row>
    <row r="482" spans="1:11" ht="1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</row>
    <row r="483" spans="1:11" ht="1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</row>
    <row r="484" spans="1:11" ht="1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</row>
    <row r="485" spans="1:11" ht="1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</row>
    <row r="486" spans="1:11" ht="1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</row>
    <row r="487" spans="1:11" ht="1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</row>
    <row r="488" spans="1:11" ht="1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</row>
    <row r="489" spans="1:11" ht="1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</row>
    <row r="490" spans="1:11" ht="1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</row>
    <row r="491" spans="1:11" ht="1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</row>
    <row r="492" spans="1:11" ht="1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</row>
    <row r="493" spans="1:11" ht="1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</row>
    <row r="494" spans="1:11" ht="1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</row>
    <row r="495" spans="1:11" ht="1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</row>
    <row r="496" spans="1:11" ht="1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</row>
    <row r="497" spans="1:11" ht="1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</row>
    <row r="498" spans="1:11" ht="1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</row>
    <row r="499" spans="1:11" ht="1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</row>
    <row r="500" spans="1:11" ht="1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</row>
    <row r="501" spans="1:11" ht="1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</row>
    <row r="502" spans="1:11" ht="1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</row>
    <row r="503" spans="1:11" ht="1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</row>
    <row r="504" spans="1:11" ht="1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</row>
    <row r="505" spans="1:11" ht="1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</row>
    <row r="506" spans="1:11" ht="1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</row>
    <row r="507" spans="1:11" ht="1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</row>
    <row r="508" spans="1:11" ht="1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</row>
    <row r="509" spans="1:11" ht="1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</row>
    <row r="510" spans="1:11" ht="1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</row>
    <row r="511" spans="1:11" ht="1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</row>
    <row r="512" spans="1:11" ht="1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</row>
    <row r="513" spans="1:11" ht="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</row>
    <row r="514" spans="1:11" ht="1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</row>
    <row r="515" spans="1:11" ht="1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</row>
    <row r="516" spans="1:11" ht="1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</row>
    <row r="517" spans="1:11" ht="1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</row>
    <row r="518" spans="1:11" ht="1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</row>
    <row r="519" spans="1:11" ht="1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</row>
    <row r="520" spans="1:11" ht="1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</row>
    <row r="521" spans="1:11" ht="1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</row>
    <row r="522" spans="1:11" ht="1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</row>
    <row r="523" spans="1:11" ht="1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</row>
    <row r="524" spans="1:11" ht="1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</row>
    <row r="525" spans="1:11" ht="1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</row>
    <row r="526" spans="1:11" ht="1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</row>
    <row r="527" spans="1:11" ht="1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</row>
    <row r="528" spans="1:11" ht="1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</row>
    <row r="529" spans="1:11" ht="1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</row>
    <row r="530" spans="1:11" ht="1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</row>
    <row r="531" spans="1:11" ht="1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</row>
    <row r="532" spans="1:11" ht="1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</row>
    <row r="533" spans="1:11" ht="1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</row>
    <row r="534" spans="1:11" ht="1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</row>
    <row r="535" spans="1:11" ht="1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</row>
    <row r="536" spans="1:11" ht="1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</row>
    <row r="537" spans="1:11" ht="1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</row>
    <row r="538" spans="1:11" ht="1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</row>
    <row r="539" spans="1:11" ht="1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</row>
    <row r="540" spans="1:11" ht="1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</row>
    <row r="541" spans="1:11" ht="1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</row>
    <row r="542" spans="1:11" ht="1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</row>
    <row r="543" spans="1:11" ht="1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</row>
    <row r="544" spans="1:11" ht="1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</row>
    <row r="545" spans="1:11" ht="1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</row>
    <row r="546" spans="1:11" ht="1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</row>
    <row r="547" spans="1:11" ht="1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</row>
    <row r="548" spans="1:11" ht="1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</row>
    <row r="549" spans="1:11" ht="1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</row>
    <row r="550" spans="1:11" ht="1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</row>
    <row r="551" spans="1:11" ht="1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</row>
    <row r="552" spans="1:11" ht="1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</row>
    <row r="553" spans="1:11" ht="1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</row>
    <row r="554" spans="1:11" ht="1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</row>
    <row r="555" spans="1:11" ht="1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</row>
    <row r="556" spans="1:11" ht="1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</row>
    <row r="557" spans="1:11" ht="1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</row>
    <row r="558" spans="1:11" ht="1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</row>
    <row r="559" spans="1:11" ht="1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</row>
    <row r="560" spans="1:11" ht="1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</row>
    <row r="561" spans="1:11" ht="1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</row>
    <row r="562" spans="1:11" ht="1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</row>
    <row r="563" spans="1:11" ht="1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</row>
    <row r="564" spans="1:11" ht="1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</row>
    <row r="565" spans="1:11" ht="1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</row>
    <row r="566" spans="1:11" ht="1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</row>
    <row r="567" spans="1:11" ht="1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</row>
    <row r="568" spans="1:11" ht="1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</row>
    <row r="569" spans="1:11" ht="1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</row>
    <row r="570" spans="1:11" ht="1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</row>
    <row r="571" spans="1:11" ht="1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</row>
    <row r="572" spans="1:11" ht="1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</row>
    <row r="573" spans="1:11" ht="1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</row>
    <row r="574" spans="1:11" ht="1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</row>
    <row r="575" spans="1:11" ht="1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</row>
    <row r="576" spans="1:11" ht="1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</row>
    <row r="577" spans="1:11" ht="1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</row>
    <row r="578" spans="1:11" ht="1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</row>
    <row r="579" spans="1:11" ht="1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</row>
    <row r="580" spans="1:11" ht="1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</row>
    <row r="581" spans="1:11" ht="1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</row>
    <row r="582" spans="1:11" ht="1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</row>
    <row r="583" spans="1:11" ht="1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</row>
    <row r="584" spans="1:11" ht="1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</row>
    <row r="585" spans="1:11" ht="1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</row>
    <row r="586" spans="1:11" ht="1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</row>
    <row r="587" spans="1:11" ht="1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</row>
    <row r="588" spans="1:11" ht="1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</row>
    <row r="589" spans="1:11" ht="1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</row>
    <row r="590" spans="1:11" ht="1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</row>
    <row r="591" spans="1:11" ht="1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</row>
    <row r="592" spans="1:11" ht="1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</row>
    <row r="593" spans="1:11" ht="1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</row>
    <row r="594" spans="1:11" ht="1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</row>
    <row r="595" spans="1:11" ht="1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</row>
    <row r="596" spans="1:11" ht="1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</row>
    <row r="597" spans="1:11" ht="1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</row>
    <row r="598" spans="1:11" ht="1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</row>
    <row r="599" spans="1:11" ht="1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</row>
    <row r="600" spans="1:11" ht="1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</row>
    <row r="601" spans="1:11" ht="1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</row>
    <row r="602" spans="1:11" ht="1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</row>
    <row r="603" spans="1:11" ht="1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</row>
    <row r="604" spans="1:11" ht="1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</row>
    <row r="605" spans="1:11" ht="1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</row>
    <row r="606" spans="1:11" ht="1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</row>
    <row r="607" spans="1:11" ht="1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</row>
    <row r="608" spans="1:11" ht="1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</row>
    <row r="609" spans="1:11" ht="1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</row>
    <row r="610" spans="1:11" ht="1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</row>
    <row r="611" spans="1:11" ht="1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</row>
    <row r="612" spans="1:11" ht="1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</row>
    <row r="613" spans="1:11" ht="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</row>
    <row r="614" spans="1:11" ht="1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</row>
    <row r="615" spans="1:11" ht="1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</row>
    <row r="616" spans="1:11" ht="1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</row>
    <row r="617" spans="1:11" ht="1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</row>
    <row r="618" spans="1:11" ht="1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</row>
    <row r="619" spans="1:11" ht="1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</row>
    <row r="620" spans="1:11" ht="1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</row>
    <row r="621" spans="1:11" ht="1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</row>
    <row r="622" spans="1:11" ht="1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</row>
    <row r="623" spans="1:11" ht="1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</row>
    <row r="624" spans="1:11" ht="1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</row>
    <row r="625" spans="1:11" ht="1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</row>
    <row r="626" spans="1:11" ht="1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</row>
    <row r="627" spans="1:11" ht="1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</row>
    <row r="628" spans="1:11" ht="1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</row>
    <row r="629" spans="1:11" ht="1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</row>
    <row r="630" spans="1:11" ht="1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</row>
    <row r="631" spans="1:11" ht="1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</row>
    <row r="632" spans="1:11" ht="1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</row>
    <row r="633" spans="1:11" ht="1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</row>
    <row r="634" spans="1:11" ht="1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</row>
    <row r="635" spans="1:11" ht="1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</row>
    <row r="636" spans="1:11" ht="1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</row>
    <row r="637" spans="1:11" ht="1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</row>
    <row r="638" spans="1:11" ht="1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</row>
    <row r="639" spans="1:11" ht="1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</row>
    <row r="640" spans="1:11" ht="1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</row>
    <row r="641" spans="1:11" ht="1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</row>
    <row r="642" spans="1:11" ht="1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</row>
    <row r="643" spans="1:11" ht="1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</row>
    <row r="644" spans="1:11" ht="1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</row>
    <row r="645" spans="1:11" ht="1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</row>
    <row r="646" spans="1:11" ht="1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</row>
    <row r="647" spans="1:11" ht="1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</row>
    <row r="648" spans="1:11" ht="1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</row>
    <row r="649" spans="1:11" ht="1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</row>
    <row r="650" spans="1:11" ht="1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</row>
    <row r="651" spans="1:11" ht="1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</row>
    <row r="652" spans="1:11" ht="1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</row>
    <row r="653" spans="1:11" ht="1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</row>
    <row r="654" spans="1:11" ht="1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</row>
    <row r="655" spans="1:11" ht="1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</row>
    <row r="656" spans="1:11" ht="1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</row>
    <row r="657" spans="1:11" ht="1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</row>
    <row r="658" spans="1:11" ht="1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</row>
    <row r="659" spans="1:11" ht="1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</row>
    <row r="660" spans="1:11" ht="1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</row>
    <row r="661" spans="1:11" ht="1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</row>
    <row r="662" spans="1:11" ht="1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</row>
    <row r="663" spans="1:11" ht="1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</row>
    <row r="664" spans="1:11" ht="1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</row>
    <row r="665" spans="1:11" ht="1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</row>
    <row r="666" spans="1:11" ht="1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</row>
    <row r="667" spans="1:11" ht="1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</row>
    <row r="668" spans="1:11" ht="1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</row>
    <row r="669" spans="1:11" ht="1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</row>
    <row r="670" spans="1:11" ht="1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</row>
    <row r="671" spans="1:11" ht="1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</row>
    <row r="672" spans="1:11" ht="1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</row>
    <row r="673" spans="1:11" ht="1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</row>
    <row r="674" spans="1:11" ht="1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</row>
    <row r="675" spans="1:11" ht="1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</row>
    <row r="676" spans="1:11" ht="1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</row>
    <row r="677" spans="1:11" ht="1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</row>
    <row r="678" spans="1:11" ht="1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</row>
    <row r="679" spans="1:11" ht="1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</row>
    <row r="680" spans="1:11" ht="1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</row>
    <row r="681" spans="1:11" ht="1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</row>
    <row r="682" spans="1:11" ht="1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</row>
    <row r="683" spans="1:11" ht="1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</row>
    <row r="684" spans="1:11" ht="1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</row>
    <row r="685" spans="1:11" ht="1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</row>
    <row r="686" spans="1:11" ht="1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</row>
    <row r="687" spans="1:11" ht="1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</row>
    <row r="688" spans="1:11" ht="1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</row>
    <row r="689" spans="1:11" ht="1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</row>
    <row r="690" spans="1:11" ht="1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</row>
    <row r="691" spans="1:11" ht="1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</row>
    <row r="692" spans="1:11" ht="1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</row>
    <row r="693" spans="1:11" ht="1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</row>
    <row r="694" spans="1:11" ht="1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</row>
    <row r="695" spans="1:11" ht="1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</row>
    <row r="696" spans="1:11" ht="1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</row>
    <row r="697" spans="1:11" ht="1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</row>
    <row r="698" spans="1:11" ht="1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</row>
    <row r="699" spans="1:11" ht="1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</row>
    <row r="700" spans="1:11" ht="1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</row>
    <row r="701" spans="1:11" ht="1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</row>
    <row r="702" spans="1:11" ht="1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</row>
    <row r="703" spans="1:11" ht="1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</row>
    <row r="704" spans="1:11" ht="1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</row>
    <row r="705" spans="1:11" ht="1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</row>
    <row r="706" spans="1:11" ht="1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</row>
    <row r="707" spans="1:11" ht="1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</row>
    <row r="708" spans="1:11" ht="1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</row>
    <row r="709" spans="1:11" ht="1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</row>
    <row r="710" spans="1:11" ht="1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</row>
    <row r="711" spans="1:11" ht="1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</row>
    <row r="712" spans="1:11" ht="1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</row>
    <row r="713" spans="1:11" ht="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</row>
    <row r="714" spans="1:11" ht="1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</row>
    <row r="715" spans="1:11" ht="1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</row>
    <row r="716" spans="1:11" ht="1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</row>
    <row r="717" spans="1:11" ht="1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</row>
    <row r="718" spans="1:11" ht="1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</row>
    <row r="719" spans="1:11" ht="1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</row>
    <row r="720" spans="1:11" ht="1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</row>
    <row r="721" spans="1:11" ht="1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</row>
    <row r="722" spans="1:11" ht="1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</row>
    <row r="723" spans="1:11" ht="1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</row>
    <row r="724" spans="1:11" ht="1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</row>
    <row r="725" spans="1:11" ht="1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</row>
    <row r="726" spans="1:11" ht="1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</row>
    <row r="727" spans="1:11" ht="1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</row>
    <row r="728" spans="1:11" ht="1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</row>
    <row r="729" spans="1:11" ht="1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</row>
    <row r="730" spans="1:11" ht="1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</row>
    <row r="731" spans="1:11" ht="1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</row>
    <row r="732" spans="1:11" ht="1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</row>
    <row r="733" spans="1:11" ht="1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</row>
    <row r="734" spans="1:11" ht="1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</row>
    <row r="735" spans="1:11" ht="1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</row>
    <row r="736" spans="1:11" ht="1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</row>
    <row r="737" spans="1:11" ht="1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</row>
    <row r="738" spans="1:11" ht="1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</row>
    <row r="739" spans="1:11" ht="1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</row>
    <row r="740" spans="1:11" ht="1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</row>
    <row r="741" spans="1:11" ht="1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</row>
    <row r="742" spans="1:11" ht="1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</row>
    <row r="743" spans="1:11" ht="1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</row>
    <row r="744" spans="1:11" ht="1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</row>
    <row r="745" spans="1:11" ht="1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</row>
    <row r="746" spans="1:11" ht="1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</row>
    <row r="747" spans="1:11" ht="1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</row>
    <row r="748" spans="1:11" ht="1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</row>
    <row r="749" spans="1:11" ht="1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</row>
    <row r="750" spans="1:11" ht="1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</row>
    <row r="751" spans="1:11" ht="1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</row>
    <row r="752" spans="1:11" ht="1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</row>
    <row r="753" spans="1:11" ht="1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</row>
    <row r="754" spans="1:11" ht="1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</row>
    <row r="755" spans="1:11" ht="1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</row>
    <row r="756" spans="1:11" ht="1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</row>
    <row r="757" spans="1:11" ht="1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</row>
    <row r="758" spans="1:11" ht="1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</row>
    <row r="759" spans="1:11" ht="1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</row>
    <row r="760" spans="1:11" ht="1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</row>
    <row r="761" spans="1:11" ht="1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</row>
    <row r="762" spans="1:11" ht="1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</row>
    <row r="763" spans="1:11" ht="1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</row>
    <row r="764" spans="1:11" ht="1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</row>
    <row r="765" spans="1:11" ht="1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</row>
    <row r="766" spans="1:11" ht="1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</row>
    <row r="767" spans="1:11" ht="1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</row>
    <row r="768" spans="1:11" ht="1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</row>
    <row r="769" spans="1:11" ht="1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</row>
    <row r="770" spans="1:11" ht="1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</row>
    <row r="771" spans="1:11" ht="1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</row>
    <row r="772" spans="1:11" ht="1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</row>
    <row r="773" spans="1:11" ht="1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</row>
    <row r="774" spans="1:11" ht="1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</row>
    <row r="775" spans="1:11" ht="1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</row>
    <row r="776" spans="1:11" ht="1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</row>
    <row r="777" spans="1:11" ht="1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</row>
    <row r="778" spans="1:11" ht="1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</row>
    <row r="779" spans="1:11" ht="1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</row>
    <row r="780" spans="1:11" ht="1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</row>
    <row r="781" spans="1:11" ht="1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</row>
    <row r="782" spans="1:11" ht="1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</row>
    <row r="783" spans="1:11" ht="1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</row>
    <row r="784" spans="1:11" ht="1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</row>
    <row r="785" spans="1:11" ht="1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</row>
    <row r="786" spans="1:11" ht="1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</row>
    <row r="787" spans="1:11" ht="1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</row>
    <row r="788" spans="1:11" ht="1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</row>
    <row r="789" spans="1:11" ht="1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</row>
    <row r="790" spans="1:11" ht="1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</row>
    <row r="791" spans="1:11" ht="1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</row>
    <row r="792" spans="1:11" ht="1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</row>
    <row r="793" spans="1:11" ht="1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</row>
    <row r="794" spans="1:11" ht="1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</row>
    <row r="795" spans="1:11" ht="1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</row>
    <row r="796" spans="1:11" ht="1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</row>
    <row r="797" spans="1:11" ht="1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</row>
    <row r="798" spans="1:11" ht="1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</row>
    <row r="799" spans="1:11" ht="1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</row>
    <row r="800" spans="1:11" ht="1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</row>
    <row r="801" spans="1:11" ht="1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</row>
    <row r="802" spans="1:11" ht="1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</row>
    <row r="803" spans="1:11" ht="1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</row>
    <row r="804" spans="1:11" ht="1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</row>
    <row r="805" spans="1:11" ht="1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</row>
    <row r="806" spans="1:11" ht="1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</row>
    <row r="807" spans="1:11" ht="1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</row>
    <row r="808" spans="1:11" ht="1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</row>
    <row r="809" spans="1:11" ht="1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</row>
    <row r="810" spans="1:11" ht="1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</row>
    <row r="811" spans="1:11" ht="1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</row>
    <row r="812" spans="1:11" ht="1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</row>
    <row r="813" spans="1:11" ht="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</row>
    <row r="814" spans="1:11" ht="1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</row>
    <row r="815" spans="1:11" ht="1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</row>
    <row r="816" spans="1:11" ht="1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</row>
    <row r="817" spans="1:11" ht="1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</row>
    <row r="818" spans="1:11" ht="1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</row>
    <row r="819" spans="1:11" ht="1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</row>
    <row r="820" spans="1:11" ht="1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</row>
    <row r="821" spans="1:11" ht="1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</row>
    <row r="822" spans="1:11" ht="1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</row>
    <row r="823" spans="1:11" ht="1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</row>
    <row r="824" spans="1:11" ht="1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</row>
    <row r="825" spans="1:11" ht="1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</row>
    <row r="826" spans="1:11" ht="1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</row>
    <row r="827" spans="1:11" ht="1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</row>
    <row r="828" spans="1:11" ht="1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</row>
    <row r="829" spans="1:11" ht="1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</row>
    <row r="830" spans="1:11" ht="1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</row>
    <row r="831" spans="1:11" ht="1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</row>
    <row r="832" spans="1:11" ht="1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</row>
    <row r="833" spans="1:11" ht="1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</row>
    <row r="834" spans="1:11" ht="1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</row>
    <row r="835" spans="1:11" ht="1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</row>
    <row r="836" spans="1:11" ht="1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</row>
    <row r="837" spans="1:11" ht="1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</row>
    <row r="838" spans="1:11" ht="1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</row>
    <row r="839" spans="1:11" ht="1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</row>
    <row r="840" spans="1:11" ht="1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</row>
    <row r="841" spans="1:11" ht="1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</row>
    <row r="842" spans="1:11" ht="1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</row>
    <row r="843" spans="1:11" ht="1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</row>
    <row r="844" spans="1:11" ht="1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</row>
    <row r="845" spans="1:11" ht="1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</row>
    <row r="846" spans="1:11" ht="1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</row>
    <row r="847" spans="1:11" ht="1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</row>
    <row r="848" spans="1:11" ht="1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</row>
    <row r="849" spans="1:11" ht="1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</row>
    <row r="850" spans="1:11" ht="1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</row>
    <row r="851" spans="1:11" ht="1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</row>
    <row r="852" spans="1:11" ht="1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</row>
    <row r="853" spans="1:11" ht="1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</row>
    <row r="854" spans="1:11" ht="1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</row>
    <row r="855" spans="1:11" ht="1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</row>
    <row r="856" spans="1:11" ht="1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</row>
    <row r="857" spans="1:11" ht="1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</row>
    <row r="858" spans="1:11" ht="1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</row>
    <row r="859" spans="1:11" ht="1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</row>
    <row r="860" spans="1:11" ht="1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</row>
    <row r="861" spans="1:11" ht="1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</row>
    <row r="862" spans="1:11" ht="1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</row>
    <row r="863" spans="1:11" ht="1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</row>
    <row r="864" spans="1:11" ht="1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</row>
    <row r="865" spans="1:11" ht="1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</row>
    <row r="866" spans="1:11" ht="1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</row>
    <row r="867" spans="1:11" ht="1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</row>
    <row r="868" spans="1:11" ht="1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</row>
    <row r="869" spans="1:11" ht="1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</row>
    <row r="870" spans="1:11" ht="1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</row>
    <row r="871" spans="1:11" ht="1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</row>
    <row r="872" spans="1:11" ht="1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</row>
    <row r="873" spans="1:11" ht="1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</row>
    <row r="874" spans="1:11" ht="1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</row>
    <row r="875" spans="1:11" ht="1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</row>
    <row r="876" spans="1:11" ht="1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</row>
    <row r="877" spans="1:11" ht="1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</row>
    <row r="878" spans="1:11" ht="1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</row>
    <row r="879" spans="1:11" ht="1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</row>
    <row r="880" spans="1:11" ht="1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</row>
    <row r="881" spans="1:11" ht="1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</row>
    <row r="882" spans="1:11" ht="1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</row>
    <row r="883" spans="1:11" ht="1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</row>
    <row r="884" spans="1:11" ht="1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</row>
    <row r="885" spans="1:11" ht="1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</row>
    <row r="886" spans="1:11" ht="1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</row>
    <row r="887" spans="1:11" ht="1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</row>
    <row r="888" spans="1:11" ht="1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</row>
    <row r="889" spans="1:11" ht="1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</row>
    <row r="890" spans="1:11" ht="1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</row>
    <row r="891" spans="1:11" ht="1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</row>
    <row r="892" spans="1:11" ht="1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</row>
    <row r="893" spans="1:11" ht="1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</row>
    <row r="894" spans="1:11" ht="1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</row>
    <row r="895" spans="1:11" ht="1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</row>
    <row r="896" spans="1:11" ht="1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</row>
    <row r="897" spans="1:11" ht="1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</row>
    <row r="898" spans="1:11" ht="1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</row>
    <row r="899" spans="1:11" ht="1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</row>
    <row r="900" spans="1:11" ht="1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</row>
    <row r="901" spans="1:11" ht="1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</row>
    <row r="902" spans="1:11" ht="1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</row>
    <row r="903" spans="1:11" ht="1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</row>
    <row r="904" spans="1:11" ht="1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</row>
    <row r="905" spans="1:11" ht="1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</row>
    <row r="906" spans="1:11" ht="1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</row>
    <row r="907" spans="1:11" ht="1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</row>
    <row r="908" spans="1:11" ht="1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</row>
    <row r="909" spans="1:11" ht="1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</row>
    <row r="910" spans="1:11" ht="1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</row>
    <row r="911" spans="1:11" ht="1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</row>
    <row r="912" spans="1:11" ht="1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</row>
    <row r="913" spans="1:11" ht="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</row>
    <row r="914" spans="1:11" ht="1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</row>
    <row r="915" spans="1:11" ht="1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</row>
    <row r="916" spans="1:11" ht="1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</row>
    <row r="917" spans="1:11" ht="1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</row>
    <row r="918" spans="1:11" ht="1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</row>
    <row r="919" spans="1:11" ht="1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</row>
    <row r="920" spans="1:11" ht="1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</row>
    <row r="921" spans="1:11" ht="1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</row>
    <row r="922" spans="1:11" ht="1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</row>
    <row r="923" spans="1:11" ht="1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</row>
    <row r="924" spans="1:11" ht="1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</row>
    <row r="925" spans="1:11" ht="1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</row>
    <row r="926" spans="1:11" ht="1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</row>
    <row r="927" spans="1:11" ht="1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</row>
    <row r="928" spans="1:11" ht="1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</row>
    <row r="929" spans="1:11" ht="1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</row>
    <row r="930" spans="1:11" ht="1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</row>
    <row r="931" spans="1:11" ht="1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</row>
    <row r="932" spans="1:11" ht="1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</row>
    <row r="933" spans="1:11" ht="1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</row>
    <row r="934" spans="1:11" ht="1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</row>
    <row r="935" spans="1:11" ht="1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</row>
    <row r="936" spans="1:11" ht="1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</row>
    <row r="937" spans="1:11" ht="1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</row>
    <row r="938" spans="1:11" ht="1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</row>
    <row r="939" spans="1:11" ht="1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</row>
    <row r="940" spans="1:11" ht="1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</row>
    <row r="941" spans="1:11" ht="1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</row>
    <row r="942" spans="1:11" ht="1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</row>
    <row r="943" spans="1:11" ht="1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</row>
    <row r="944" spans="1:11" ht="1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</row>
    <row r="945" spans="1:11" ht="1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</row>
    <row r="946" spans="1:11" ht="1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</row>
    <row r="947" spans="1:11" ht="1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</row>
    <row r="948" spans="1:11" ht="1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</row>
    <row r="949" spans="1:11" ht="1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</row>
    <row r="950" spans="1:11" ht="1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</row>
    <row r="951" spans="1:11" ht="1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</row>
    <row r="952" spans="1:11" ht="1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</row>
    <row r="953" spans="1:11" ht="1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</row>
    <row r="954" spans="1:11" ht="1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</row>
    <row r="955" spans="1:11" ht="1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</row>
    <row r="956" spans="1:11" ht="1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</row>
    <row r="957" spans="1:11" ht="1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</row>
    <row r="958" spans="1:11" ht="1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</row>
    <row r="959" spans="1:11" ht="1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</row>
    <row r="960" spans="1:11" ht="1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</row>
    <row r="961" spans="1:11" ht="1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</row>
    <row r="962" spans="1:11" ht="1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</row>
    <row r="963" spans="1:11" ht="1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</row>
    <row r="964" spans="1:11" ht="1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</row>
    <row r="965" spans="1:11" ht="1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</row>
    <row r="966" spans="1:11" ht="1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</row>
    <row r="967" spans="1:11" ht="1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</row>
    <row r="968" spans="1:11" ht="1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</row>
    <row r="969" spans="1:11" ht="1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</row>
    <row r="970" spans="1:11" ht="1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</row>
    <row r="971" spans="1:11" ht="1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</row>
    <row r="972" spans="1:11" ht="1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</row>
    <row r="973" spans="1:11" ht="1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</row>
    <row r="974" spans="1:11" ht="1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</row>
    <row r="975" spans="1:11" ht="1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</row>
    <row r="976" spans="1:11" ht="1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</row>
    <row r="977" spans="1:11" ht="1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</row>
    <row r="978" spans="1:11" ht="1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</row>
    <row r="979" spans="1:11" ht="1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</row>
    <row r="980" spans="1:11" ht="1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</row>
    <row r="981" spans="1:11" ht="1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</row>
    <row r="982" spans="1:11" ht="1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</row>
    <row r="983" spans="1:11" ht="1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</row>
    <row r="984" spans="1:11" ht="1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</row>
    <row r="985" spans="1:11" ht="1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</row>
    <row r="986" spans="1:11" ht="1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</row>
    <row r="987" spans="1:11" ht="1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</row>
    <row r="988" spans="1:11" ht="1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</row>
    <row r="989" spans="1:11" ht="1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</row>
    <row r="990" spans="1:11" ht="1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</row>
    <row r="991" spans="1:11" ht="1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</row>
    <row r="992" spans="1:11" ht="1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</row>
    <row r="993" spans="1:11" ht="1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</row>
    <row r="994" spans="1:11" ht="1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</row>
    <row r="995" spans="1:11" ht="1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</row>
    <row r="996" spans="1:11" ht="1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</row>
    <row r="997" spans="1:11" ht="1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</row>
    <row r="998" spans="1:11" ht="1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</row>
    <row r="999" spans="1:11" ht="1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</row>
    <row r="1000" spans="1:11" ht="13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</row>
    <row r="1001" spans="1:11" ht="13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</row>
  </sheetData>
  <mergeCells count="6">
    <mergeCell ref="B4:B5"/>
    <mergeCell ref="C4:H4"/>
    <mergeCell ref="I4:I5"/>
    <mergeCell ref="B23:B24"/>
    <mergeCell ref="C23:H23"/>
    <mergeCell ref="I23:I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DM975"/>
  <sheetViews>
    <sheetView showGridLines="0" tabSelected="1" zoomScale="93" workbookViewId="0">
      <selection activeCell="H1" sqref="H1"/>
    </sheetView>
  </sheetViews>
  <sheetFormatPr baseColWidth="10" defaultColWidth="12.6640625" defaultRowHeight="15.75" customHeight="1"/>
  <cols>
    <col min="1" max="1" width="11" bestFit="1" customWidth="1"/>
    <col min="2" max="12" width="5.6640625" customWidth="1"/>
    <col min="13" max="13" width="42.6640625" customWidth="1"/>
    <col min="14" max="14" width="12.5" hidden="1" customWidth="1"/>
    <col min="15" max="15" width="11.33203125" hidden="1" customWidth="1"/>
    <col min="16" max="59" width="10.6640625" hidden="1" customWidth="1"/>
    <col min="60" max="60" width="10.6640625" customWidth="1"/>
    <col min="61" max="61" width="10.6640625" hidden="1" customWidth="1"/>
    <col min="62" max="62" width="10.6640625" customWidth="1"/>
    <col min="63" max="63" width="10.6640625" hidden="1" customWidth="1"/>
    <col min="64" max="64" width="10.6640625" customWidth="1"/>
    <col min="65" max="65" width="10.6640625" hidden="1" customWidth="1"/>
    <col min="66" max="66" width="10.6640625" customWidth="1"/>
    <col min="67" max="67" width="10.6640625" hidden="1" customWidth="1"/>
    <col min="68" max="68" width="10.6640625" customWidth="1"/>
    <col min="69" max="69" width="10.6640625" hidden="1" customWidth="1"/>
    <col min="70" max="71" width="10.6640625" customWidth="1"/>
    <col min="72" max="72" width="10.6640625" hidden="1" customWidth="1"/>
    <col min="73" max="73" width="10.6640625" customWidth="1"/>
    <col min="74" max="74" width="11.33203125" hidden="1" customWidth="1"/>
    <col min="75" max="75" width="11.33203125" customWidth="1"/>
    <col min="76" max="76" width="11.33203125" hidden="1" customWidth="1"/>
    <col min="77" max="77" width="11.33203125" customWidth="1"/>
    <col min="78" max="78" width="11.33203125" hidden="1" customWidth="1"/>
    <col min="79" max="81" width="11.33203125" customWidth="1"/>
    <col min="82" max="82" width="11.33203125" hidden="1" customWidth="1"/>
    <col min="83" max="86" width="11.33203125" customWidth="1"/>
    <col min="87" max="88" width="10.1640625" customWidth="1"/>
    <col min="89" max="89" width="11.6640625" customWidth="1"/>
    <col min="90" max="99" width="10.1640625" customWidth="1"/>
    <col min="100" max="100" width="11.33203125" customWidth="1"/>
    <col min="101" max="108" width="19.6640625" bestFit="1" customWidth="1"/>
    <col min="109" max="109" width="19.5" bestFit="1" customWidth="1"/>
    <col min="110" max="113" width="12.83203125" bestFit="1" customWidth="1"/>
  </cols>
  <sheetData>
    <row r="1" spans="1:117" ht="42">
      <c r="A1" s="39" t="s">
        <v>19</v>
      </c>
      <c r="B1" s="40" t="s">
        <v>20</v>
      </c>
      <c r="C1" s="41" t="s">
        <v>21</v>
      </c>
      <c r="D1" s="41" t="s">
        <v>22</v>
      </c>
      <c r="E1" s="42" t="s">
        <v>23</v>
      </c>
      <c r="F1" s="43" t="s">
        <v>20</v>
      </c>
      <c r="G1" s="44" t="s">
        <v>21</v>
      </c>
      <c r="H1" s="44" t="s">
        <v>22</v>
      </c>
      <c r="I1" s="44" t="s">
        <v>23</v>
      </c>
      <c r="J1" s="45" t="s">
        <v>20</v>
      </c>
      <c r="K1" s="46" t="s">
        <v>21</v>
      </c>
      <c r="L1" s="47" t="s">
        <v>22</v>
      </c>
      <c r="M1" s="48" t="s">
        <v>24</v>
      </c>
      <c r="N1" s="49">
        <v>45681</v>
      </c>
      <c r="O1" s="50" t="s">
        <v>25</v>
      </c>
      <c r="P1" s="51" t="s">
        <v>26</v>
      </c>
      <c r="Q1" s="52" t="s">
        <v>27</v>
      </c>
      <c r="R1" s="53" t="s">
        <v>28</v>
      </c>
      <c r="S1" s="54" t="s">
        <v>29</v>
      </c>
      <c r="T1" s="55" t="s">
        <v>30</v>
      </c>
      <c r="U1" s="49">
        <v>45712</v>
      </c>
      <c r="V1" s="56" t="s">
        <v>31</v>
      </c>
      <c r="W1" s="57" t="s">
        <v>26</v>
      </c>
      <c r="X1" s="52" t="s">
        <v>27</v>
      </c>
      <c r="Y1" s="58" t="s">
        <v>32</v>
      </c>
      <c r="Z1" s="59" t="s">
        <v>29</v>
      </c>
      <c r="AA1" s="60" t="s">
        <v>30</v>
      </c>
      <c r="AB1" s="49">
        <v>45740</v>
      </c>
      <c r="AC1" s="61" t="s">
        <v>33</v>
      </c>
      <c r="AD1" s="51" t="s">
        <v>26</v>
      </c>
      <c r="AE1" s="52" t="s">
        <v>27</v>
      </c>
      <c r="AF1" s="53" t="s">
        <v>34</v>
      </c>
      <c r="AG1" s="62" t="s">
        <v>29</v>
      </c>
      <c r="AH1" s="63" t="s">
        <v>30</v>
      </c>
      <c r="AI1" s="64" t="s">
        <v>35</v>
      </c>
      <c r="AJ1" s="65" t="s">
        <v>36</v>
      </c>
      <c r="AK1" s="52" t="s">
        <v>27</v>
      </c>
      <c r="AL1" s="51" t="s">
        <v>26</v>
      </c>
      <c r="AM1" s="66" t="s">
        <v>37</v>
      </c>
      <c r="AN1" s="54" t="s">
        <v>29</v>
      </c>
      <c r="AO1" s="67" t="s">
        <v>30</v>
      </c>
      <c r="AP1" s="49">
        <v>45771</v>
      </c>
      <c r="AQ1" s="57" t="s">
        <v>26</v>
      </c>
      <c r="AR1" s="52" t="s">
        <v>27</v>
      </c>
      <c r="AS1" s="58" t="s">
        <v>38</v>
      </c>
      <c r="AT1" s="49">
        <v>45801</v>
      </c>
      <c r="AU1" s="57" t="s">
        <v>26</v>
      </c>
      <c r="AV1" s="52" t="s">
        <v>27</v>
      </c>
      <c r="AW1" s="58" t="s">
        <v>39</v>
      </c>
      <c r="AX1" s="49">
        <v>45832</v>
      </c>
      <c r="AY1" s="57" t="s">
        <v>26</v>
      </c>
      <c r="AZ1" s="52" t="s">
        <v>27</v>
      </c>
      <c r="BA1" s="68" t="s">
        <v>40</v>
      </c>
      <c r="BB1" s="69" t="s">
        <v>26</v>
      </c>
      <c r="BC1" s="52" t="s">
        <v>27</v>
      </c>
      <c r="BD1" s="70" t="s">
        <v>41</v>
      </c>
      <c r="BE1" s="71" t="s">
        <v>26</v>
      </c>
      <c r="BF1" s="72" t="s">
        <v>27</v>
      </c>
      <c r="BG1" s="73" t="s">
        <v>42</v>
      </c>
      <c r="BH1" s="69" t="s">
        <v>26</v>
      </c>
      <c r="BI1" s="52" t="s">
        <v>27</v>
      </c>
      <c r="BJ1" s="74" t="s">
        <v>43</v>
      </c>
      <c r="BK1" s="49">
        <v>45893</v>
      </c>
      <c r="BL1" s="69" t="s">
        <v>26</v>
      </c>
      <c r="BM1" s="52" t="s">
        <v>27</v>
      </c>
      <c r="BN1" s="74" t="s">
        <v>44</v>
      </c>
      <c r="BO1" s="49">
        <v>45924</v>
      </c>
      <c r="BP1" s="57" t="s">
        <v>26</v>
      </c>
      <c r="BQ1" s="52" t="s">
        <v>27</v>
      </c>
      <c r="BR1" s="74" t="s">
        <v>45</v>
      </c>
      <c r="BS1" s="75" t="s">
        <v>46</v>
      </c>
      <c r="BT1" s="66" t="s">
        <v>27</v>
      </c>
      <c r="BU1" s="76" t="s">
        <v>47</v>
      </c>
      <c r="BV1" s="77">
        <v>45954</v>
      </c>
      <c r="BW1" s="69" t="s">
        <v>26</v>
      </c>
      <c r="BX1" s="52" t="s">
        <v>27</v>
      </c>
      <c r="BY1" s="74" t="s">
        <v>48</v>
      </c>
      <c r="BZ1" s="77">
        <v>45985</v>
      </c>
      <c r="CA1" s="78" t="s">
        <v>26</v>
      </c>
      <c r="CB1" s="79" t="s">
        <v>27</v>
      </c>
      <c r="CC1" s="80" t="s">
        <v>49</v>
      </c>
      <c r="CD1" s="81">
        <v>46015</v>
      </c>
      <c r="CE1" s="82"/>
      <c r="CF1" s="83"/>
      <c r="CG1" s="83"/>
      <c r="CH1" s="83"/>
      <c r="CI1" s="84" t="s">
        <v>50</v>
      </c>
      <c r="CJ1" s="85" t="s">
        <v>51</v>
      </c>
      <c r="CK1" s="86" t="s">
        <v>52</v>
      </c>
      <c r="CL1" s="87" t="s">
        <v>53</v>
      </c>
      <c r="CM1" s="88" t="s">
        <v>54</v>
      </c>
      <c r="CN1" s="89" t="s">
        <v>55</v>
      </c>
      <c r="CO1" s="90" t="s">
        <v>56</v>
      </c>
      <c r="CP1" s="90" t="s">
        <v>57</v>
      </c>
      <c r="CQ1" s="86" t="s">
        <v>58</v>
      </c>
      <c r="CR1" s="86" t="s">
        <v>59</v>
      </c>
      <c r="CS1" s="91">
        <v>45844</v>
      </c>
      <c r="CT1" s="90" t="s">
        <v>60</v>
      </c>
      <c r="CU1" s="90" t="s">
        <v>61</v>
      </c>
      <c r="CV1" s="90" t="s">
        <v>62</v>
      </c>
      <c r="CW1" s="86" t="s">
        <v>63</v>
      </c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</row>
    <row r="2" spans="1:117" ht="13">
      <c r="A2" s="92">
        <f t="shared" ref="A2:A33" si="0">VLOOKUP(M2,BASCART4,3,FALSE)</f>
        <v>112014519</v>
      </c>
      <c r="B2" s="93">
        <f t="shared" ref="B2:B8" si="1">VLOOKUP(M2,BASILECARTERA,2,FALSE)</f>
        <v>10</v>
      </c>
      <c r="C2" s="94">
        <f t="shared" ref="C2:C18" si="2">IFERROR(VLOOKUP(B2,DES,2,FALSE),"")</f>
        <v>0.15</v>
      </c>
      <c r="D2" s="94">
        <f t="shared" ref="D2:D18" si="3">IFERROR(VLOOKUP(B2,DES,3,FALSE),"")</f>
        <v>0.23</v>
      </c>
      <c r="E2" s="95">
        <f t="shared" ref="E2:E18" si="4">IFERROR(VLOOKUP(B2,DES,4,FALSE),"")</f>
        <v>0</v>
      </c>
      <c r="F2" s="96">
        <f t="shared" ref="F2:F12" si="5">VLOOKUP(M2,BASILECART2,2,FALSE)</f>
        <v>38</v>
      </c>
      <c r="G2" s="97">
        <f t="shared" ref="G2:G33" si="6">IFERROR(VLOOKUP(F2,DES,2,FALSE),"")</f>
        <v>0.15</v>
      </c>
      <c r="H2" s="97">
        <f t="shared" ref="H2:H33" si="7">IFERROR(VLOOKUP(F2,DES,3,FALSE),"")</f>
        <v>0.26</v>
      </c>
      <c r="I2" s="97">
        <f t="shared" ref="I2:I33" si="8">IFERROR(VLOOKUP(F2,DES,4,FALSE),"")</f>
        <v>0</v>
      </c>
      <c r="J2" s="96">
        <f t="shared" ref="J2:J33" si="9">VLOOKUP(M2,BASCART4,2,FALSE)</f>
        <v>52</v>
      </c>
      <c r="K2" s="94">
        <f t="shared" ref="K2:K33" si="10">IFERROR(VLOOKUP(J2,A458DC1025,2,FALSE),"")</f>
        <v>0.15</v>
      </c>
      <c r="L2" s="98">
        <f t="shared" ref="L2:L33" si="11">IFERROR(VLOOKUP(J2,A458DC1025,3,FALSE),"")</f>
        <v>0.17</v>
      </c>
      <c r="M2" s="99" t="s">
        <v>64</v>
      </c>
      <c r="N2" s="100">
        <f t="shared" ref="N2:N33" si="12">IFERROR(VLOOKUP(M2,Basilee24,3,FALSE),"")</f>
        <v>0</v>
      </c>
      <c r="O2" s="101">
        <v>3000000</v>
      </c>
      <c r="P2" s="102">
        <f t="shared" ref="P2:P150" si="13">R2-Q2</f>
        <v>2219600.2999999998</v>
      </c>
      <c r="Q2" s="102">
        <f t="shared" ref="Q2:Q33" si="14">IFERROR(VLOOKUP(M2,BASALIM,3,FALSE),"")</f>
        <v>532717.96</v>
      </c>
      <c r="R2" s="102">
        <f t="shared" ref="R2:R33" si="15">IFERROR(VLOOKUP(M2,BASFC,3,FALSE),"")</f>
        <v>2752318.26</v>
      </c>
      <c r="S2" s="102">
        <f t="shared" ref="S2:S150" si="16">R2-O2</f>
        <v>-247681.74000000022</v>
      </c>
      <c r="T2" s="103">
        <f t="shared" ref="T2:T150" si="17">R2/O2</f>
        <v>0.91743941999999989</v>
      </c>
      <c r="U2" s="100">
        <f t="shared" ref="U2:U33" si="18">IFERROR(VLOOKUP(M2,Basilee24,4,FALSE),"")</f>
        <v>0</v>
      </c>
      <c r="V2" s="104">
        <v>3000000</v>
      </c>
      <c r="W2" s="105">
        <f t="shared" ref="W2:W150" si="19">Y2-X2</f>
        <v>3790323.1900000004</v>
      </c>
      <c r="X2" s="102">
        <f t="shared" ref="X2:X33" si="20">IFERROR(VLOOKUP(M2,BASALIM,4,FALSE),"")</f>
        <v>722136.8</v>
      </c>
      <c r="Y2" s="106">
        <f t="shared" ref="Y2:Y33" si="21">IFERROR(VLOOKUP(M2,BASFC,4,FALSE),"")</f>
        <v>4512459.99</v>
      </c>
      <c r="Z2" s="107">
        <f t="shared" ref="Z2:Z28" si="22">Y2-V2</f>
        <v>1512459.9900000002</v>
      </c>
      <c r="AA2" s="108">
        <f>Y2/V2</f>
        <v>1.5041533300000001</v>
      </c>
      <c r="AB2" s="100">
        <f t="shared" ref="AB2:AB33" si="23">IFERROR(VLOOKUP(M2,Basilee24,5,FALSE),"")</f>
        <v>0</v>
      </c>
      <c r="AC2" s="101">
        <v>3000000</v>
      </c>
      <c r="AD2" s="102">
        <f t="shared" ref="AD2:AD150" si="24">AF2-AE2</f>
        <v>714812.54</v>
      </c>
      <c r="AE2" s="102">
        <f t="shared" ref="AE2:AE33" si="25">IFERROR(VLOOKUP(M2,BASALIM,5,FALSE),"")</f>
        <v>730073.96</v>
      </c>
      <c r="AF2" s="102">
        <f t="shared" ref="AF2:AF33" si="26">IFERROR(VLOOKUP(M2,BASFC,5,FALSE),"")</f>
        <v>1444886.5</v>
      </c>
      <c r="AG2" s="102">
        <f t="shared" ref="AG2:AG61" si="27">AF2-AC2</f>
        <v>-1555113.5</v>
      </c>
      <c r="AH2" s="109">
        <f t="shared" ref="AH2:AH11" si="28">AF2/AC2</f>
        <v>0.48162883333333334</v>
      </c>
      <c r="AI2" s="110">
        <f t="shared" ref="AI2:AI11" si="29">SUM(O2,V2,AC2)</f>
        <v>9000000</v>
      </c>
      <c r="AJ2" s="111">
        <f t="shared" ref="AJ2:AJ33" si="30">IFERROR(VLOOKUP(M2,trim2024,2,FALSE),"0")</f>
        <v>9461313.0099999998</v>
      </c>
      <c r="AK2" s="102">
        <f t="shared" ref="AK2:AK150" si="31">SUM(AE2,X2,Q2)</f>
        <v>1984928.72</v>
      </c>
      <c r="AL2" s="102">
        <f t="shared" ref="AL2:AL150" si="32">SUM(P2,W2,AD2)</f>
        <v>6724736.0300000003</v>
      </c>
      <c r="AM2" s="102">
        <f t="shared" ref="AM2:AM150" si="33">AF2+Y2+R2</f>
        <v>8709664.75</v>
      </c>
      <c r="AN2" s="102">
        <f t="shared" ref="AN2:AN150" si="34">AM2-AJ2</f>
        <v>-751648.25999999978</v>
      </c>
      <c r="AO2" s="112">
        <f t="shared" ref="AO2:AO150" si="35">AM2/AJ2</f>
        <v>0.92055560795784308</v>
      </c>
      <c r="AP2" s="100">
        <f t="shared" ref="AP2:AP33" si="36">IFERROR(VLOOKUP(M2,Basilee24,6,FALSE),"")</f>
        <v>0</v>
      </c>
      <c r="AQ2" s="113">
        <f t="shared" ref="AQ2:AQ150" si="37">AS2-AR2</f>
        <v>1491934.22</v>
      </c>
      <c r="AR2" s="114">
        <f t="shared" ref="AR2:AR33" si="38">IFERROR(VLOOKUP(M2,BASALIM,6,FALSE),"")</f>
        <v>1381583.2</v>
      </c>
      <c r="AS2" s="115">
        <f t="shared" ref="AS2:AS33" si="39">IFERROR(VLOOKUP(M2,BASFC,6,FALSE),"")</f>
        <v>2873517.42</v>
      </c>
      <c r="AT2" s="100">
        <f t="shared" ref="AT2:AT33" si="40">IFERROR(VLOOKUP(M2,Basilee24,7,FALSE),"")</f>
        <v>0</v>
      </c>
      <c r="AU2" s="113">
        <f t="shared" ref="AU2:AU150" si="41">AW2-AV2</f>
        <v>675247.53</v>
      </c>
      <c r="AV2" s="116">
        <f t="shared" ref="AV2:AV33" si="42">IFERROR(VLOOKUP(M2,BASALIM,7,FALSE),"")</f>
        <v>338823.72</v>
      </c>
      <c r="AW2" s="117">
        <f t="shared" ref="AW2:AW33" si="43">IFERROR(VLOOKUP(M2,BASFC,7,FALSE),"")</f>
        <v>1014071.25</v>
      </c>
      <c r="AX2" s="100">
        <f t="shared" ref="AX2:AX33" si="44">IFERROR(VLOOKUP(M2,Basilee24,8,FALSE),"")</f>
        <v>0</v>
      </c>
      <c r="AY2" s="113">
        <f t="shared" ref="AY2:AY150" si="45">BA2-AZ2</f>
        <v>1278327.19</v>
      </c>
      <c r="AZ2" s="114">
        <f t="shared" ref="AZ2:AZ33" si="46">IFERROR(VLOOKUP(M2,BASALIM,8,FALSE),"")</f>
        <v>279518.40000000002</v>
      </c>
      <c r="BA2" s="100">
        <f t="shared" ref="BA2:BA33" si="47">IFERROR(VLOOKUP(M2,BASFC,8,FALSE),"")</f>
        <v>1557845.59</v>
      </c>
      <c r="BB2" s="118">
        <f t="shared" ref="BB2:BD2" si="48">BH2+AY2+AU2</f>
        <v>4160739.55</v>
      </c>
      <c r="BC2" s="116">
        <f t="shared" si="48"/>
        <v>1839374.24</v>
      </c>
      <c r="BD2" s="119">
        <f t="shared" si="48"/>
        <v>6000113.79</v>
      </c>
      <c r="BE2" s="118">
        <f t="shared" ref="BE2:BE150" si="49">BB2+AL2</f>
        <v>10885475.58</v>
      </c>
      <c r="BF2" s="116">
        <f t="shared" ref="BF2:BF150" si="50">BC2+AK2</f>
        <v>3824302.96</v>
      </c>
      <c r="BG2" s="119">
        <f t="shared" ref="BG2:BG150" si="51">SUM(BD2+AM2)</f>
        <v>14709778.539999999</v>
      </c>
      <c r="BH2" s="114">
        <f t="shared" ref="BH2:BH150" si="52">BJ2-BI2</f>
        <v>2207164.83</v>
      </c>
      <c r="BI2" s="114">
        <f t="shared" ref="BI2:BI33" si="53">IFERROR(VLOOKUP(M2,BASALIM,9,FALSE),"")</f>
        <v>1221032.1200000001</v>
      </c>
      <c r="BJ2" s="115">
        <f t="shared" ref="BJ2:BJ33" si="54">IFERROR(VLOOKUP(M2,BASFC,9,FALSE),"")</f>
        <v>3428196.95</v>
      </c>
      <c r="BK2" s="100">
        <f t="shared" ref="BK2:BK33" si="55">IFERROR(VLOOKUP(M2,Basilee24,10,FALSE),"")</f>
        <v>1264274.6100000001</v>
      </c>
      <c r="BL2" s="120">
        <f t="shared" ref="BL2:BL150" si="56">BN2-BM2</f>
        <v>0</v>
      </c>
      <c r="BM2" s="121">
        <f t="shared" ref="BM2:BM33" si="57">IFERROR(VLOOKUP(M2,BASALIM,10,FALSE),"")</f>
        <v>0</v>
      </c>
      <c r="BN2" s="119">
        <f t="shared" ref="BN2:BN33" si="58">IFERROR(VLOOKUP(M2,BASFC,10,FALSE),"")</f>
        <v>0</v>
      </c>
      <c r="BO2" s="100">
        <f t="shared" ref="BO2:BO33" si="59">IFERROR(VLOOKUP(M2,Basilee24,11,FALSE),"")</f>
        <v>2039369.05</v>
      </c>
      <c r="BP2" s="113">
        <f t="shared" ref="BP2:BP150" si="60">BR2-BQ2</f>
        <v>1999722.75</v>
      </c>
      <c r="BQ2" s="114">
        <f t="shared" ref="BQ2:BQ33" si="61">IFERROR(VLOOKUP(M2,BASALIM,11,FALSE),"")</f>
        <v>945500.15</v>
      </c>
      <c r="BR2" s="100">
        <f t="shared" ref="BR2:BR33" si="62">IFERROR(VLOOKUP(M2,BASFC,11,FALSE),"")</f>
        <v>2945222.9</v>
      </c>
      <c r="BS2" s="122">
        <f t="shared" ref="BS2:BS150" si="63">BH2+BL2+BP2</f>
        <v>4206887.58</v>
      </c>
      <c r="BT2" s="123">
        <f t="shared" ref="BT2:BU2" si="64">SUM(BI2,BM2,BQ2)</f>
        <v>2166532.27</v>
      </c>
      <c r="BU2" s="124">
        <f t="shared" si="64"/>
        <v>6373419.8499999996</v>
      </c>
      <c r="BV2" s="125">
        <f t="shared" ref="BV2:BV33" si="65">IFERROR(VLOOKUP(M2,Basilee24,12,FALSE),"")</f>
        <v>2248182.61</v>
      </c>
      <c r="BW2" s="122">
        <f t="shared" ref="BW2:BW150" si="66">BY2-BX2</f>
        <v>10547075.960000001</v>
      </c>
      <c r="BX2" s="123">
        <f t="shared" ref="BX2:BX33" si="67">IFERROR(VLOOKUP(M2,BASALIM,12,FALSE),"")</f>
        <v>2532631.5299999998</v>
      </c>
      <c r="BY2" s="124">
        <f t="shared" ref="BY2:BY33" si="68">IFERROR(VLOOKUP(M2,BASFC,12,FALSE),"")</f>
        <v>13079707.49</v>
      </c>
      <c r="BZ2" s="125">
        <f t="shared" ref="BZ2:BZ33" si="69">IFERROR(VLOOKUP(M2,Basilee24,13,FALSE),"")</f>
        <v>2973025.52</v>
      </c>
      <c r="CA2" s="113"/>
      <c r="CB2" s="114"/>
      <c r="CC2" s="115"/>
      <c r="CD2" s="123">
        <f t="shared" ref="CD2:CD33" si="70">IFERROR(VLOOKUP(M2,Basilee24,14,FALSE),"")</f>
        <v>4240104.88</v>
      </c>
      <c r="CF2" s="126"/>
      <c r="CH2" s="127"/>
      <c r="CI2" s="128">
        <v>0.18</v>
      </c>
      <c r="CJ2" s="129"/>
      <c r="CK2" s="130"/>
      <c r="CL2" s="131"/>
      <c r="CM2" s="132"/>
      <c r="CN2" s="133"/>
      <c r="CO2" s="133"/>
      <c r="CP2" s="133"/>
      <c r="CQ2" s="130"/>
      <c r="CR2" s="130"/>
      <c r="CS2" s="130"/>
      <c r="CT2" s="133"/>
      <c r="CU2" s="133"/>
      <c r="CV2" s="134">
        <v>1</v>
      </c>
      <c r="CW2" s="135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</row>
    <row r="3" spans="1:117" ht="14">
      <c r="A3" s="92">
        <f t="shared" si="0"/>
        <v>112010681</v>
      </c>
      <c r="B3" s="93">
        <f t="shared" si="1"/>
        <v>11</v>
      </c>
      <c r="C3" s="137">
        <f t="shared" si="2"/>
        <v>0.15</v>
      </c>
      <c r="D3" s="137">
        <f t="shared" si="3"/>
        <v>0.2</v>
      </c>
      <c r="E3" s="138">
        <f t="shared" si="4"/>
        <v>0</v>
      </c>
      <c r="F3" s="96">
        <f t="shared" si="5"/>
        <v>11</v>
      </c>
      <c r="G3" s="97">
        <f t="shared" si="6"/>
        <v>0.15</v>
      </c>
      <c r="H3" s="97">
        <f t="shared" si="7"/>
        <v>0.2</v>
      </c>
      <c r="I3" s="97">
        <f t="shared" si="8"/>
        <v>0</v>
      </c>
      <c r="J3" s="96">
        <f t="shared" si="9"/>
        <v>54</v>
      </c>
      <c r="K3" s="94">
        <f t="shared" si="10"/>
        <v>0.15</v>
      </c>
      <c r="L3" s="98">
        <f t="shared" si="11"/>
        <v>0.11</v>
      </c>
      <c r="M3" s="139" t="s">
        <v>65</v>
      </c>
      <c r="N3" s="100">
        <f t="shared" si="12"/>
        <v>1619054.63</v>
      </c>
      <c r="O3" s="140"/>
      <c r="P3" s="102">
        <f t="shared" si="13"/>
        <v>0</v>
      </c>
      <c r="Q3" s="102">
        <f t="shared" si="14"/>
        <v>0</v>
      </c>
      <c r="R3" s="102">
        <f t="shared" si="15"/>
        <v>0</v>
      </c>
      <c r="S3" s="102">
        <f t="shared" si="16"/>
        <v>0</v>
      </c>
      <c r="T3" s="103" t="e">
        <f t="shared" si="17"/>
        <v>#DIV/0!</v>
      </c>
      <c r="U3" s="100">
        <f t="shared" si="18"/>
        <v>499675.99</v>
      </c>
      <c r="V3" s="141"/>
      <c r="W3" s="105">
        <f t="shared" si="19"/>
        <v>1487995.97</v>
      </c>
      <c r="X3" s="102">
        <f t="shared" si="20"/>
        <v>29037.439999999999</v>
      </c>
      <c r="Y3" s="106">
        <f t="shared" si="21"/>
        <v>1517033.41</v>
      </c>
      <c r="Z3" s="142">
        <f t="shared" si="22"/>
        <v>1517033.41</v>
      </c>
      <c r="AA3" s="143" t="str">
        <f>IFERROR(Y3/V3,"")</f>
        <v/>
      </c>
      <c r="AB3" s="100">
        <f t="shared" si="23"/>
        <v>633578.85</v>
      </c>
      <c r="AC3" s="144">
        <f t="shared" ref="AC3:AC6" si="71">(AB3*1.5955)*1.03</f>
        <v>1041201.3068302498</v>
      </c>
      <c r="AD3" s="102">
        <f t="shared" si="24"/>
        <v>524453.89</v>
      </c>
      <c r="AE3" s="102">
        <f t="shared" si="25"/>
        <v>0</v>
      </c>
      <c r="AF3" s="102">
        <f t="shared" si="26"/>
        <v>524453.89</v>
      </c>
      <c r="AG3" s="145">
        <f t="shared" si="27"/>
        <v>-516747.41683024983</v>
      </c>
      <c r="AH3" s="146">
        <f t="shared" si="28"/>
        <v>0.50370076041933287</v>
      </c>
      <c r="AI3" s="147">
        <f t="shared" si="29"/>
        <v>1041201.3068302498</v>
      </c>
      <c r="AJ3" s="111">
        <f t="shared" si="30"/>
        <v>3483125.58</v>
      </c>
      <c r="AK3" s="102">
        <f t="shared" si="31"/>
        <v>29037.439999999999</v>
      </c>
      <c r="AL3" s="102">
        <f t="shared" si="32"/>
        <v>2012449.8599999999</v>
      </c>
      <c r="AM3" s="102">
        <f t="shared" si="33"/>
        <v>2041487.2999999998</v>
      </c>
      <c r="AN3" s="102">
        <f t="shared" si="34"/>
        <v>-1441638.2800000003</v>
      </c>
      <c r="AO3" s="112">
        <f t="shared" si="35"/>
        <v>0.5861078657979365</v>
      </c>
      <c r="AP3" s="100">
        <f t="shared" si="36"/>
        <v>1419591.26</v>
      </c>
      <c r="AQ3" s="113">
        <f t="shared" si="37"/>
        <v>2093842.5799999998</v>
      </c>
      <c r="AR3" s="114">
        <f t="shared" si="38"/>
        <v>95826.3</v>
      </c>
      <c r="AS3" s="115">
        <f t="shared" si="39"/>
        <v>2189668.88</v>
      </c>
      <c r="AT3" s="100">
        <f t="shared" si="40"/>
        <v>927780.34</v>
      </c>
      <c r="AU3" s="113">
        <f t="shared" si="41"/>
        <v>988494.16</v>
      </c>
      <c r="AV3" s="116">
        <f t="shared" si="42"/>
        <v>17818.099999999999</v>
      </c>
      <c r="AW3" s="117">
        <f t="shared" si="43"/>
        <v>1006312.26</v>
      </c>
      <c r="AX3" s="100">
        <f t="shared" si="44"/>
        <v>1193080.05</v>
      </c>
      <c r="AY3" s="113">
        <f t="shared" si="45"/>
        <v>1058754.98</v>
      </c>
      <c r="AZ3" s="114">
        <f t="shared" si="46"/>
        <v>51107.360000000001</v>
      </c>
      <c r="BA3" s="100">
        <f t="shared" si="47"/>
        <v>1109862.3400000001</v>
      </c>
      <c r="BB3" s="118">
        <f t="shared" ref="BB3:BD3" si="72">BH3+AY3+AU3</f>
        <v>3002805.38</v>
      </c>
      <c r="BC3" s="116">
        <f t="shared" si="72"/>
        <v>68925.459999999992</v>
      </c>
      <c r="BD3" s="119">
        <f t="shared" si="72"/>
        <v>3071730.84</v>
      </c>
      <c r="BE3" s="118">
        <f t="shared" si="49"/>
        <v>5015255.24</v>
      </c>
      <c r="BF3" s="116">
        <f t="shared" si="50"/>
        <v>97962.9</v>
      </c>
      <c r="BG3" s="119">
        <f t="shared" si="51"/>
        <v>5113218.1399999997</v>
      </c>
      <c r="BH3" s="114">
        <f t="shared" si="52"/>
        <v>955556.24</v>
      </c>
      <c r="BI3" s="114">
        <f t="shared" si="53"/>
        <v>0</v>
      </c>
      <c r="BJ3" s="115">
        <f t="shared" si="54"/>
        <v>955556.24</v>
      </c>
      <c r="BK3" s="125">
        <f t="shared" si="55"/>
        <v>0</v>
      </c>
      <c r="BL3" s="120">
        <f t="shared" si="56"/>
        <v>1606601.28</v>
      </c>
      <c r="BM3" s="121">
        <f t="shared" si="57"/>
        <v>17086.75</v>
      </c>
      <c r="BN3" s="119">
        <f t="shared" si="58"/>
        <v>1623688.03</v>
      </c>
      <c r="BO3" s="125">
        <f t="shared" si="59"/>
        <v>393776.97</v>
      </c>
      <c r="BP3" s="140">
        <f t="shared" si="60"/>
        <v>1618113.62</v>
      </c>
      <c r="BQ3" s="123">
        <f t="shared" si="61"/>
        <v>0</v>
      </c>
      <c r="BR3" s="125">
        <f t="shared" si="62"/>
        <v>1618113.62</v>
      </c>
      <c r="BS3" s="122">
        <f t="shared" si="63"/>
        <v>4180271.14</v>
      </c>
      <c r="BT3" s="123">
        <f t="shared" ref="BT3:BU3" si="73">SUM(BI3,BM3,BQ3)</f>
        <v>17086.75</v>
      </c>
      <c r="BU3" s="124">
        <f t="shared" si="73"/>
        <v>4197357.8900000006</v>
      </c>
      <c r="BV3" s="125">
        <f t="shared" si="65"/>
        <v>2735282.92</v>
      </c>
      <c r="BW3" s="122">
        <f t="shared" si="66"/>
        <v>2187081.9300000002</v>
      </c>
      <c r="BX3" s="123">
        <f t="shared" si="67"/>
        <v>0</v>
      </c>
      <c r="BY3" s="124">
        <f t="shared" si="68"/>
        <v>2187081.9300000002</v>
      </c>
      <c r="BZ3" s="125">
        <f t="shared" si="69"/>
        <v>747842.66</v>
      </c>
      <c r="CA3" s="140"/>
      <c r="CB3" s="123"/>
      <c r="CC3" s="148"/>
      <c r="CD3" s="123">
        <f t="shared" si="70"/>
        <v>0</v>
      </c>
      <c r="CF3" s="149"/>
      <c r="CH3" s="127"/>
      <c r="CI3" s="150">
        <v>0.15</v>
      </c>
      <c r="CJ3" s="151">
        <v>11</v>
      </c>
      <c r="CK3" s="152">
        <v>10</v>
      </c>
      <c r="CL3" s="151">
        <v>11</v>
      </c>
      <c r="CM3" s="153">
        <v>11</v>
      </c>
      <c r="CN3" s="154">
        <v>10</v>
      </c>
      <c r="CO3" s="154">
        <v>10</v>
      </c>
      <c r="CP3" s="154">
        <v>10</v>
      </c>
      <c r="CQ3" s="152">
        <v>11</v>
      </c>
      <c r="CR3" s="152">
        <v>11</v>
      </c>
      <c r="CS3" s="152">
        <v>11</v>
      </c>
      <c r="CT3" s="154">
        <v>10</v>
      </c>
      <c r="CU3" s="154">
        <v>11</v>
      </c>
      <c r="CV3" s="154">
        <v>11</v>
      </c>
      <c r="CW3" s="152">
        <v>11</v>
      </c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</row>
    <row r="4" spans="1:117" ht="14">
      <c r="A4" s="92">
        <f t="shared" si="0"/>
        <v>112014520</v>
      </c>
      <c r="B4" s="93">
        <f t="shared" si="1"/>
        <v>38</v>
      </c>
      <c r="C4" s="137">
        <f t="shared" si="2"/>
        <v>0.15</v>
      </c>
      <c r="D4" s="137">
        <f t="shared" si="3"/>
        <v>0.26</v>
      </c>
      <c r="E4" s="138">
        <f t="shared" si="4"/>
        <v>0</v>
      </c>
      <c r="F4" s="96">
        <f t="shared" si="5"/>
        <v>38</v>
      </c>
      <c r="G4" s="97">
        <f t="shared" si="6"/>
        <v>0.15</v>
      </c>
      <c r="H4" s="97">
        <f t="shared" si="7"/>
        <v>0.26</v>
      </c>
      <c r="I4" s="97">
        <f t="shared" si="8"/>
        <v>0</v>
      </c>
      <c r="J4" s="96">
        <f t="shared" si="9"/>
        <v>52</v>
      </c>
      <c r="K4" s="94">
        <f t="shared" si="10"/>
        <v>0.15</v>
      </c>
      <c r="L4" s="98">
        <f t="shared" si="11"/>
        <v>0.17</v>
      </c>
      <c r="M4" s="139" t="s">
        <v>66</v>
      </c>
      <c r="N4" s="100" t="str">
        <f t="shared" si="12"/>
        <v/>
      </c>
      <c r="O4" s="140" t="e">
        <f t="shared" ref="O4:O6" si="74">(N4*1.601)*1.05</f>
        <v>#VALUE!</v>
      </c>
      <c r="P4" s="102">
        <f t="shared" si="13"/>
        <v>5711147.7799999975</v>
      </c>
      <c r="Q4" s="102">
        <f t="shared" si="14"/>
        <v>30335361.52</v>
      </c>
      <c r="R4" s="102">
        <f t="shared" si="15"/>
        <v>36046509.299999997</v>
      </c>
      <c r="S4" s="102" t="e">
        <f t="shared" si="16"/>
        <v>#VALUE!</v>
      </c>
      <c r="T4" s="103" t="e">
        <f t="shared" si="17"/>
        <v>#VALUE!</v>
      </c>
      <c r="U4" s="100" t="str">
        <f t="shared" si="18"/>
        <v/>
      </c>
      <c r="V4" s="155" t="e">
        <f t="shared" ref="V4:V6" si="75">U4*1.7245</f>
        <v>#VALUE!</v>
      </c>
      <c r="W4" s="105">
        <f t="shared" si="19"/>
        <v>17722886.839999996</v>
      </c>
      <c r="X4" s="102">
        <f t="shared" si="20"/>
        <v>17654907.960000001</v>
      </c>
      <c r="Y4" s="106">
        <f t="shared" si="21"/>
        <v>35377794.799999997</v>
      </c>
      <c r="Z4" s="142" t="e">
        <f t="shared" si="22"/>
        <v>#VALUE!</v>
      </c>
      <c r="AA4" s="143" t="e">
        <f t="shared" ref="AA4:AA11" si="76">Y4/V4</f>
        <v>#VALUE!</v>
      </c>
      <c r="AB4" s="100" t="str">
        <f t="shared" si="23"/>
        <v/>
      </c>
      <c r="AC4" s="156" t="e">
        <f t="shared" si="71"/>
        <v>#VALUE!</v>
      </c>
      <c r="AD4" s="102">
        <f t="shared" si="24"/>
        <v>211657.73000000045</v>
      </c>
      <c r="AE4" s="102">
        <f t="shared" si="25"/>
        <v>33261059.539999999</v>
      </c>
      <c r="AF4" s="102">
        <f t="shared" si="26"/>
        <v>33472717.27</v>
      </c>
      <c r="AG4" s="145" t="e">
        <f t="shared" si="27"/>
        <v>#VALUE!</v>
      </c>
      <c r="AH4" s="146" t="e">
        <f t="shared" si="28"/>
        <v>#VALUE!</v>
      </c>
      <c r="AI4" s="147" t="e">
        <f t="shared" si="29"/>
        <v>#VALUE!</v>
      </c>
      <c r="AJ4" s="111" t="str">
        <f t="shared" si="30"/>
        <v>0</v>
      </c>
      <c r="AK4" s="102">
        <f t="shared" si="31"/>
        <v>81251329.019999996</v>
      </c>
      <c r="AL4" s="102">
        <f t="shared" si="32"/>
        <v>23645692.349999994</v>
      </c>
      <c r="AM4" s="102">
        <f t="shared" si="33"/>
        <v>104897021.36999999</v>
      </c>
      <c r="AN4" s="102">
        <f t="shared" si="34"/>
        <v>104897021.36999999</v>
      </c>
      <c r="AO4" s="112" t="e">
        <f t="shared" si="35"/>
        <v>#DIV/0!</v>
      </c>
      <c r="AP4" s="100" t="str">
        <f t="shared" si="36"/>
        <v/>
      </c>
      <c r="AQ4" s="113">
        <f t="shared" si="37"/>
        <v>3645409.66</v>
      </c>
      <c r="AR4" s="114">
        <f t="shared" si="38"/>
        <v>31559591.760000002</v>
      </c>
      <c r="AS4" s="115">
        <f t="shared" si="39"/>
        <v>35205001.420000002</v>
      </c>
      <c r="AT4" s="100" t="str">
        <f t="shared" si="40"/>
        <v/>
      </c>
      <c r="AU4" s="113">
        <f t="shared" si="41"/>
        <v>14734200.709999993</v>
      </c>
      <c r="AV4" s="116">
        <f t="shared" si="42"/>
        <v>34803454.340000004</v>
      </c>
      <c r="AW4" s="117">
        <f t="shared" si="43"/>
        <v>49537655.049999997</v>
      </c>
      <c r="AX4" s="100" t="str">
        <f t="shared" si="44"/>
        <v/>
      </c>
      <c r="AY4" s="113">
        <f t="shared" si="45"/>
        <v>9104628.5199999996</v>
      </c>
      <c r="AZ4" s="114">
        <f t="shared" si="46"/>
        <v>27162655.379999999</v>
      </c>
      <c r="BA4" s="100">
        <f t="shared" si="47"/>
        <v>36267283.899999999</v>
      </c>
      <c r="BB4" s="118">
        <f t="shared" ref="BB4:BD4" si="77">BH4+AY4+AU4</f>
        <v>24239436.809999995</v>
      </c>
      <c r="BC4" s="116">
        <f t="shared" si="77"/>
        <v>84567752.49000001</v>
      </c>
      <c r="BD4" s="119">
        <f t="shared" si="77"/>
        <v>108807189.3</v>
      </c>
      <c r="BE4" s="118">
        <f t="shared" si="49"/>
        <v>47885129.159999989</v>
      </c>
      <c r="BF4" s="116">
        <f t="shared" si="50"/>
        <v>165819081.50999999</v>
      </c>
      <c r="BG4" s="119">
        <f t="shared" si="51"/>
        <v>213704210.66999999</v>
      </c>
      <c r="BH4" s="114">
        <f t="shared" si="52"/>
        <v>400607.58000000194</v>
      </c>
      <c r="BI4" s="114">
        <f t="shared" si="53"/>
        <v>22601642.77</v>
      </c>
      <c r="BJ4" s="115">
        <f t="shared" si="54"/>
        <v>23002250.350000001</v>
      </c>
      <c r="BK4" s="125" t="str">
        <f t="shared" si="55"/>
        <v/>
      </c>
      <c r="BL4" s="120">
        <f t="shared" si="56"/>
        <v>1023032.6400000006</v>
      </c>
      <c r="BM4" s="121">
        <f t="shared" si="57"/>
        <v>16261280.59</v>
      </c>
      <c r="BN4" s="119">
        <f t="shared" si="58"/>
        <v>17284313.23</v>
      </c>
      <c r="BO4" s="125" t="str">
        <f t="shared" si="59"/>
        <v/>
      </c>
      <c r="BP4" s="140">
        <f t="shared" si="60"/>
        <v>5219352.0799999982</v>
      </c>
      <c r="BQ4" s="123">
        <f t="shared" si="61"/>
        <v>25511912.48</v>
      </c>
      <c r="BR4" s="125">
        <f t="shared" si="62"/>
        <v>30731264.559999999</v>
      </c>
      <c r="BS4" s="122">
        <f t="shared" si="63"/>
        <v>6642992.3000000007</v>
      </c>
      <c r="BT4" s="123">
        <f t="shared" ref="BT4:BU4" si="78">SUM(BI4,BM4,BQ4)</f>
        <v>64374835.840000004</v>
      </c>
      <c r="BU4" s="124">
        <f t="shared" si="78"/>
        <v>71017828.140000001</v>
      </c>
      <c r="BV4" s="125" t="str">
        <f t="shared" si="65"/>
        <v/>
      </c>
      <c r="BW4" s="122">
        <f t="shared" si="66"/>
        <v>6530036.75</v>
      </c>
      <c r="BX4" s="123">
        <f t="shared" si="67"/>
        <v>13466687.390000001</v>
      </c>
      <c r="BY4" s="124">
        <f t="shared" si="68"/>
        <v>19996724.140000001</v>
      </c>
      <c r="BZ4" s="125" t="str">
        <f t="shared" si="69"/>
        <v/>
      </c>
      <c r="CA4" s="140"/>
      <c r="CB4" s="123"/>
      <c r="CC4" s="148"/>
      <c r="CD4" s="123" t="str">
        <f t="shared" si="70"/>
        <v/>
      </c>
      <c r="CF4" s="126"/>
      <c r="CG4" s="127"/>
      <c r="CH4" s="127"/>
      <c r="CI4" s="157">
        <v>0.12</v>
      </c>
      <c r="CJ4" s="151"/>
      <c r="CK4" s="152">
        <v>3</v>
      </c>
      <c r="CL4" s="151">
        <v>3</v>
      </c>
      <c r="CM4" s="153">
        <v>0</v>
      </c>
      <c r="CN4" s="154">
        <v>0</v>
      </c>
      <c r="CO4" s="154">
        <v>0</v>
      </c>
      <c r="CP4" s="154">
        <v>1</v>
      </c>
      <c r="CQ4" s="152">
        <v>1</v>
      </c>
      <c r="CR4" s="152">
        <v>1</v>
      </c>
      <c r="CS4" s="152">
        <v>1</v>
      </c>
      <c r="CT4" s="154"/>
      <c r="CU4" s="154"/>
      <c r="CV4" s="154"/>
      <c r="CW4" s="152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  <c r="DK4" s="136"/>
      <c r="DL4" s="136"/>
      <c r="DM4" s="136"/>
    </row>
    <row r="5" spans="1:117" ht="13">
      <c r="A5" s="92">
        <f t="shared" si="0"/>
        <v>112014235</v>
      </c>
      <c r="B5" s="93">
        <f t="shared" si="1"/>
        <v>38</v>
      </c>
      <c r="C5" s="137">
        <f t="shared" si="2"/>
        <v>0.15</v>
      </c>
      <c r="D5" s="137">
        <f t="shared" si="3"/>
        <v>0.26</v>
      </c>
      <c r="E5" s="138">
        <f t="shared" si="4"/>
        <v>0</v>
      </c>
      <c r="F5" s="96">
        <f t="shared" si="5"/>
        <v>38</v>
      </c>
      <c r="G5" s="97">
        <f t="shared" si="6"/>
        <v>0.15</v>
      </c>
      <c r="H5" s="97">
        <f t="shared" si="7"/>
        <v>0.26</v>
      </c>
      <c r="I5" s="97">
        <f t="shared" si="8"/>
        <v>0</v>
      </c>
      <c r="J5" s="96">
        <f t="shared" si="9"/>
        <v>52</v>
      </c>
      <c r="K5" s="94">
        <f t="shared" si="10"/>
        <v>0.15</v>
      </c>
      <c r="L5" s="98">
        <f t="shared" si="11"/>
        <v>0.17</v>
      </c>
      <c r="M5" s="139" t="s">
        <v>67</v>
      </c>
      <c r="N5" s="100">
        <f t="shared" si="12"/>
        <v>14230056.75</v>
      </c>
      <c r="O5" s="140">
        <f t="shared" si="74"/>
        <v>23921436.899587501</v>
      </c>
      <c r="P5" s="102">
        <f t="shared" si="13"/>
        <v>1416831</v>
      </c>
      <c r="Q5" s="102">
        <f t="shared" si="14"/>
        <v>21262272.390000001</v>
      </c>
      <c r="R5" s="102">
        <f t="shared" si="15"/>
        <v>22679103.390000001</v>
      </c>
      <c r="S5" s="102">
        <f t="shared" si="16"/>
        <v>-1242333.5095875002</v>
      </c>
      <c r="T5" s="103">
        <f t="shared" si="17"/>
        <v>0.94806610009246883</v>
      </c>
      <c r="U5" s="100">
        <f t="shared" si="18"/>
        <v>14727077.93</v>
      </c>
      <c r="V5" s="155">
        <f t="shared" si="75"/>
        <v>25396845.890284996</v>
      </c>
      <c r="W5" s="105">
        <f t="shared" si="19"/>
        <v>1819323</v>
      </c>
      <c r="X5" s="102">
        <f t="shared" si="20"/>
        <v>29364222.579999998</v>
      </c>
      <c r="Y5" s="106">
        <f t="shared" si="21"/>
        <v>31183545.579999998</v>
      </c>
      <c r="Z5" s="142">
        <f t="shared" si="22"/>
        <v>5786699.6897150017</v>
      </c>
      <c r="AA5" s="143">
        <f t="shared" si="76"/>
        <v>1.2278511164226333</v>
      </c>
      <c r="AB5" s="100">
        <f t="shared" si="23"/>
        <v>27181916.780000001</v>
      </c>
      <c r="AC5" s="156">
        <f t="shared" si="71"/>
        <v>44669810.669164702</v>
      </c>
      <c r="AD5" s="102">
        <f t="shared" si="24"/>
        <v>1221067.5</v>
      </c>
      <c r="AE5" s="102">
        <f t="shared" si="25"/>
        <v>23470677.609999999</v>
      </c>
      <c r="AF5" s="102">
        <f t="shared" si="26"/>
        <v>24691745.109999999</v>
      </c>
      <c r="AG5" s="145">
        <f t="shared" si="27"/>
        <v>-19978065.559164703</v>
      </c>
      <c r="AH5" s="158">
        <f t="shared" si="28"/>
        <v>0.552761355826488</v>
      </c>
      <c r="AI5" s="147">
        <f t="shared" si="29"/>
        <v>93988093.4590372</v>
      </c>
      <c r="AJ5" s="111">
        <f t="shared" si="30"/>
        <v>97043915.120000005</v>
      </c>
      <c r="AK5" s="102">
        <f t="shared" si="31"/>
        <v>74097172.579999998</v>
      </c>
      <c r="AL5" s="102">
        <f t="shared" si="32"/>
        <v>4457221.5</v>
      </c>
      <c r="AM5" s="102">
        <f t="shared" si="33"/>
        <v>78554394.079999998</v>
      </c>
      <c r="AN5" s="102">
        <f t="shared" si="34"/>
        <v>-18489521.040000007</v>
      </c>
      <c r="AO5" s="112">
        <f t="shared" si="35"/>
        <v>0.80947263909193357</v>
      </c>
      <c r="AP5" s="100">
        <f t="shared" si="36"/>
        <v>25421450.609999999</v>
      </c>
      <c r="AQ5" s="113">
        <f t="shared" si="37"/>
        <v>1061367.3999999985</v>
      </c>
      <c r="AR5" s="114">
        <f t="shared" si="38"/>
        <v>34398019.840000004</v>
      </c>
      <c r="AS5" s="115">
        <f t="shared" si="39"/>
        <v>35459387.240000002</v>
      </c>
      <c r="AT5" s="100">
        <f t="shared" si="40"/>
        <v>18456604.280000001</v>
      </c>
      <c r="AU5" s="113">
        <f t="shared" si="41"/>
        <v>707578.25</v>
      </c>
      <c r="AV5" s="116">
        <f t="shared" si="42"/>
        <v>35477507.329999998</v>
      </c>
      <c r="AW5" s="117">
        <f t="shared" si="43"/>
        <v>36185085.579999998</v>
      </c>
      <c r="AX5" s="100">
        <f t="shared" si="44"/>
        <v>21238449.370000001</v>
      </c>
      <c r="AY5" s="113">
        <f t="shared" si="45"/>
        <v>249543</v>
      </c>
      <c r="AZ5" s="114">
        <f t="shared" si="46"/>
        <v>42774867.57</v>
      </c>
      <c r="BA5" s="100">
        <f t="shared" si="47"/>
        <v>43024410.57</v>
      </c>
      <c r="BB5" s="118">
        <f t="shared" ref="BB5:BD5" si="79">BH5+AY5+AU5</f>
        <v>1243269.5</v>
      </c>
      <c r="BC5" s="116">
        <f t="shared" si="79"/>
        <v>121869224.3</v>
      </c>
      <c r="BD5" s="119">
        <f t="shared" si="79"/>
        <v>123112493.8</v>
      </c>
      <c r="BE5" s="118">
        <f t="shared" si="49"/>
        <v>5700491</v>
      </c>
      <c r="BF5" s="116">
        <f t="shared" si="50"/>
        <v>195966396.88</v>
      </c>
      <c r="BG5" s="119">
        <f t="shared" si="51"/>
        <v>201666887.88</v>
      </c>
      <c r="BH5" s="114">
        <f t="shared" si="52"/>
        <v>286148.25</v>
      </c>
      <c r="BI5" s="114">
        <f t="shared" si="53"/>
        <v>43616849.399999999</v>
      </c>
      <c r="BJ5" s="115">
        <f t="shared" si="54"/>
        <v>43902997.649999999</v>
      </c>
      <c r="BK5" s="125">
        <f t="shared" si="55"/>
        <v>33141853.309999999</v>
      </c>
      <c r="BL5" s="120">
        <f t="shared" si="56"/>
        <v>1650887.3299999982</v>
      </c>
      <c r="BM5" s="121">
        <f t="shared" si="57"/>
        <v>55811631.170000002</v>
      </c>
      <c r="BN5" s="119">
        <f t="shared" si="58"/>
        <v>57462518.5</v>
      </c>
      <c r="BO5" s="125">
        <f t="shared" si="59"/>
        <v>20627957.710000001</v>
      </c>
      <c r="BP5" s="140">
        <f t="shared" si="60"/>
        <v>2383671.6799999997</v>
      </c>
      <c r="BQ5" s="123">
        <f t="shared" si="61"/>
        <v>9042217.9900000002</v>
      </c>
      <c r="BR5" s="125">
        <f t="shared" si="62"/>
        <v>11425889.67</v>
      </c>
      <c r="BS5" s="122">
        <f t="shared" si="63"/>
        <v>4320707.2599999979</v>
      </c>
      <c r="BT5" s="123">
        <f t="shared" ref="BT5:BU5" si="80">SUM(BI5,BM5,BQ5)</f>
        <v>108470698.55999999</v>
      </c>
      <c r="BU5" s="124">
        <f t="shared" si="80"/>
        <v>112791405.82000001</v>
      </c>
      <c r="BV5" s="125">
        <f t="shared" si="65"/>
        <v>27477442.77</v>
      </c>
      <c r="BW5" s="122">
        <f t="shared" si="66"/>
        <v>968840.29</v>
      </c>
      <c r="BX5" s="123">
        <f t="shared" si="67"/>
        <v>282201.93</v>
      </c>
      <c r="BY5" s="124">
        <f t="shared" si="68"/>
        <v>1251042.22</v>
      </c>
      <c r="BZ5" s="125">
        <f t="shared" si="69"/>
        <v>27210427.34</v>
      </c>
      <c r="CA5" s="140"/>
      <c r="CB5" s="123"/>
      <c r="CC5" s="148"/>
      <c r="CD5" s="123">
        <f t="shared" si="70"/>
        <v>42356045.020000003</v>
      </c>
      <c r="CF5" s="126"/>
      <c r="CH5" s="127"/>
      <c r="CI5" s="159">
        <v>0.1</v>
      </c>
      <c r="CJ5" s="151">
        <v>24</v>
      </c>
      <c r="CK5" s="152">
        <v>18</v>
      </c>
      <c r="CL5" s="151">
        <v>18</v>
      </c>
      <c r="CM5" s="153">
        <v>27</v>
      </c>
      <c r="CN5" s="154">
        <v>30</v>
      </c>
      <c r="CO5" s="154">
        <v>31</v>
      </c>
      <c r="CP5" s="154">
        <v>33</v>
      </c>
      <c r="CQ5" s="152">
        <v>33</v>
      </c>
      <c r="CR5" s="152">
        <v>34</v>
      </c>
      <c r="CS5" s="152">
        <v>34</v>
      </c>
      <c r="CT5" s="154">
        <v>23</v>
      </c>
      <c r="CU5" s="154">
        <v>23</v>
      </c>
      <c r="CV5" s="154">
        <v>25</v>
      </c>
      <c r="CW5" s="152">
        <v>24</v>
      </c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6"/>
      <c r="DM5" s="136"/>
    </row>
    <row r="6" spans="1:117" ht="13">
      <c r="A6" s="92">
        <f t="shared" si="0"/>
        <v>112012275</v>
      </c>
      <c r="B6" s="160">
        <f t="shared" si="1"/>
        <v>10</v>
      </c>
      <c r="C6" s="161">
        <f t="shared" si="2"/>
        <v>0.15</v>
      </c>
      <c r="D6" s="161">
        <f t="shared" si="3"/>
        <v>0.23</v>
      </c>
      <c r="E6" s="162">
        <f t="shared" si="4"/>
        <v>0</v>
      </c>
      <c r="F6" s="96">
        <f t="shared" si="5"/>
        <v>10</v>
      </c>
      <c r="G6" s="97">
        <f t="shared" si="6"/>
        <v>0.15</v>
      </c>
      <c r="H6" s="97">
        <f t="shared" si="7"/>
        <v>0.23</v>
      </c>
      <c r="I6" s="97">
        <f t="shared" si="8"/>
        <v>0</v>
      </c>
      <c r="J6" s="96">
        <f t="shared" si="9"/>
        <v>53</v>
      </c>
      <c r="K6" s="94">
        <f t="shared" si="10"/>
        <v>0.15</v>
      </c>
      <c r="L6" s="98">
        <f t="shared" si="11"/>
        <v>0.14000000000000001</v>
      </c>
      <c r="M6" s="163" t="s">
        <v>68</v>
      </c>
      <c r="N6" s="100">
        <f t="shared" si="12"/>
        <v>3625306.2</v>
      </c>
      <c r="O6" s="164">
        <f t="shared" si="74"/>
        <v>6094320.9875100004</v>
      </c>
      <c r="P6" s="102">
        <f t="shared" si="13"/>
        <v>2024292.2299999995</v>
      </c>
      <c r="Q6" s="102">
        <f t="shared" si="14"/>
        <v>6311486.4400000004</v>
      </c>
      <c r="R6" s="102">
        <f t="shared" si="15"/>
        <v>8335778.6699999999</v>
      </c>
      <c r="S6" s="102">
        <f t="shared" si="16"/>
        <v>2241457.6824899996</v>
      </c>
      <c r="T6" s="103">
        <f t="shared" si="17"/>
        <v>1.3677944904910249</v>
      </c>
      <c r="U6" s="100">
        <f t="shared" si="18"/>
        <v>7557763.0899999999</v>
      </c>
      <c r="V6" s="165">
        <f t="shared" si="75"/>
        <v>13033362.448704999</v>
      </c>
      <c r="W6" s="105">
        <f t="shared" si="19"/>
        <v>4116637.3000000007</v>
      </c>
      <c r="X6" s="102">
        <f t="shared" si="20"/>
        <v>6586208.9100000001</v>
      </c>
      <c r="Y6" s="106">
        <f t="shared" si="21"/>
        <v>10702846.210000001</v>
      </c>
      <c r="Z6" s="142">
        <f t="shared" si="22"/>
        <v>-2330516.238704998</v>
      </c>
      <c r="AA6" s="143">
        <f t="shared" si="76"/>
        <v>0.82118841182564062</v>
      </c>
      <c r="AB6" s="100">
        <f t="shared" si="23"/>
        <v>9972714.6699999999</v>
      </c>
      <c r="AC6" s="156">
        <f t="shared" si="71"/>
        <v>16388810.24366455</v>
      </c>
      <c r="AD6" s="102">
        <f t="shared" si="24"/>
        <v>1195291.4600000009</v>
      </c>
      <c r="AE6" s="102">
        <f t="shared" si="25"/>
        <v>9468781.5999999996</v>
      </c>
      <c r="AF6" s="102">
        <f t="shared" si="26"/>
        <v>10664073.060000001</v>
      </c>
      <c r="AG6" s="145">
        <f t="shared" si="27"/>
        <v>-5724737.1836645491</v>
      </c>
      <c r="AH6" s="158">
        <f t="shared" si="28"/>
        <v>0.65069232613285211</v>
      </c>
      <c r="AI6" s="147">
        <f t="shared" si="29"/>
        <v>35516493.679879546</v>
      </c>
      <c r="AJ6" s="111">
        <f t="shared" si="30"/>
        <v>24953340.27</v>
      </c>
      <c r="AK6" s="102">
        <f t="shared" si="31"/>
        <v>22366476.949999999</v>
      </c>
      <c r="AL6" s="102">
        <f t="shared" si="32"/>
        <v>7336220.9900000012</v>
      </c>
      <c r="AM6" s="102">
        <f t="shared" si="33"/>
        <v>29702697.940000005</v>
      </c>
      <c r="AN6" s="102">
        <f t="shared" si="34"/>
        <v>4749357.6700000055</v>
      </c>
      <c r="AO6" s="112">
        <f t="shared" si="35"/>
        <v>1.1903295357900399</v>
      </c>
      <c r="AP6" s="100">
        <f t="shared" si="36"/>
        <v>4172537.6</v>
      </c>
      <c r="AQ6" s="113">
        <f t="shared" si="37"/>
        <v>1838991.0099999998</v>
      </c>
      <c r="AR6" s="114">
        <f t="shared" si="38"/>
        <v>9753284.6600000001</v>
      </c>
      <c r="AS6" s="115">
        <f t="shared" si="39"/>
        <v>11592275.67</v>
      </c>
      <c r="AT6" s="100">
        <f t="shared" si="40"/>
        <v>8078157.9299999997</v>
      </c>
      <c r="AU6" s="113">
        <f t="shared" si="41"/>
        <v>1902157.7100000009</v>
      </c>
      <c r="AV6" s="116">
        <f t="shared" si="42"/>
        <v>11396689.67</v>
      </c>
      <c r="AW6" s="117">
        <f t="shared" si="43"/>
        <v>13298847.380000001</v>
      </c>
      <c r="AX6" s="100">
        <f t="shared" si="44"/>
        <v>4165889.43</v>
      </c>
      <c r="AY6" s="113">
        <f t="shared" si="45"/>
        <v>3090913.6899999995</v>
      </c>
      <c r="AZ6" s="114">
        <f t="shared" si="46"/>
        <v>7683403.3399999999</v>
      </c>
      <c r="BA6" s="100">
        <f t="shared" si="47"/>
        <v>10774317.029999999</v>
      </c>
      <c r="BB6" s="118">
        <f t="shared" ref="BB6:BD6" si="81">BH6+AY6+AU6</f>
        <v>8049822.5299999993</v>
      </c>
      <c r="BC6" s="116">
        <f t="shared" si="81"/>
        <v>28325850.469999999</v>
      </c>
      <c r="BD6" s="119">
        <f t="shared" si="81"/>
        <v>36375673</v>
      </c>
      <c r="BE6" s="118">
        <f t="shared" si="49"/>
        <v>15386043.52</v>
      </c>
      <c r="BF6" s="116">
        <f t="shared" si="50"/>
        <v>50692327.420000002</v>
      </c>
      <c r="BG6" s="119">
        <f t="shared" si="51"/>
        <v>66078370.940000005</v>
      </c>
      <c r="BH6" s="114">
        <f t="shared" si="52"/>
        <v>3056751.129999999</v>
      </c>
      <c r="BI6" s="114">
        <f t="shared" si="53"/>
        <v>9245757.4600000009</v>
      </c>
      <c r="BJ6" s="115">
        <f t="shared" si="54"/>
        <v>12302508.59</v>
      </c>
      <c r="BK6" s="125">
        <f t="shared" si="55"/>
        <v>4362355.72</v>
      </c>
      <c r="BL6" s="120">
        <f t="shared" si="56"/>
        <v>520176.75</v>
      </c>
      <c r="BM6" s="121">
        <f t="shared" si="57"/>
        <v>5940096.2599999998</v>
      </c>
      <c r="BN6" s="119">
        <f t="shared" si="58"/>
        <v>6460273.0099999998</v>
      </c>
      <c r="BO6" s="125">
        <f t="shared" si="59"/>
        <v>5801888.5899999999</v>
      </c>
      <c r="BP6" s="140">
        <f t="shared" si="60"/>
        <v>187589.6400000006</v>
      </c>
      <c r="BQ6" s="123">
        <f t="shared" si="61"/>
        <v>4420737.97</v>
      </c>
      <c r="BR6" s="125">
        <f t="shared" si="62"/>
        <v>4608327.6100000003</v>
      </c>
      <c r="BS6" s="122">
        <f t="shared" si="63"/>
        <v>3764517.5199999996</v>
      </c>
      <c r="BT6" s="123">
        <f t="shared" ref="BT6:BU6" si="82">SUM(BI6,BM6,BQ6)</f>
        <v>19606591.690000001</v>
      </c>
      <c r="BU6" s="124">
        <f t="shared" si="82"/>
        <v>23371109.210000001</v>
      </c>
      <c r="BV6" s="125">
        <f t="shared" si="65"/>
        <v>7359598.0499999998</v>
      </c>
      <c r="BW6" s="122">
        <f t="shared" si="66"/>
        <v>296315.56999999983</v>
      </c>
      <c r="BX6" s="123">
        <f t="shared" si="67"/>
        <v>4055629.36</v>
      </c>
      <c r="BY6" s="124">
        <f t="shared" si="68"/>
        <v>4351944.93</v>
      </c>
      <c r="BZ6" s="125">
        <f t="shared" si="69"/>
        <v>8741529.3300000001</v>
      </c>
      <c r="CA6" s="140"/>
      <c r="CB6" s="123"/>
      <c r="CC6" s="148"/>
      <c r="CD6" s="123">
        <f t="shared" si="70"/>
        <v>8852212.8900000006</v>
      </c>
      <c r="CF6" s="126"/>
      <c r="CI6" s="166">
        <v>0.05</v>
      </c>
      <c r="CJ6" s="167"/>
      <c r="CK6" s="168">
        <v>4</v>
      </c>
      <c r="CL6" s="167">
        <v>4</v>
      </c>
      <c r="CM6" s="169">
        <v>4</v>
      </c>
      <c r="CN6" s="170">
        <v>3</v>
      </c>
      <c r="CO6" s="170">
        <v>3</v>
      </c>
      <c r="CP6" s="170">
        <v>3</v>
      </c>
      <c r="CQ6" s="168">
        <v>3</v>
      </c>
      <c r="CR6" s="168">
        <v>3</v>
      </c>
      <c r="CS6" s="168">
        <v>3</v>
      </c>
      <c r="CT6" s="170">
        <v>1</v>
      </c>
      <c r="CU6" s="170">
        <v>1</v>
      </c>
      <c r="CV6" s="154"/>
      <c r="CW6" s="152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</row>
    <row r="7" spans="1:117" ht="13">
      <c r="A7" s="92">
        <f t="shared" si="0"/>
        <v>112014605</v>
      </c>
      <c r="B7" s="172">
        <f t="shared" si="1"/>
        <v>10</v>
      </c>
      <c r="C7" s="137">
        <f t="shared" si="2"/>
        <v>0.15</v>
      </c>
      <c r="D7" s="137">
        <f t="shared" si="3"/>
        <v>0.23</v>
      </c>
      <c r="E7" s="138">
        <f t="shared" si="4"/>
        <v>0</v>
      </c>
      <c r="F7" s="96">
        <f t="shared" si="5"/>
        <v>10</v>
      </c>
      <c r="G7" s="97">
        <f t="shared" si="6"/>
        <v>0.15</v>
      </c>
      <c r="H7" s="97">
        <f t="shared" si="7"/>
        <v>0.23</v>
      </c>
      <c r="I7" s="97">
        <f t="shared" si="8"/>
        <v>0</v>
      </c>
      <c r="J7" s="96">
        <f t="shared" si="9"/>
        <v>53</v>
      </c>
      <c r="K7" s="94">
        <f t="shared" si="10"/>
        <v>0.15</v>
      </c>
      <c r="L7" s="98">
        <f t="shared" si="11"/>
        <v>0.14000000000000001</v>
      </c>
      <c r="M7" s="139" t="s">
        <v>69</v>
      </c>
      <c r="N7" s="100" t="str">
        <f t="shared" si="12"/>
        <v/>
      </c>
      <c r="O7" s="173">
        <v>3000000</v>
      </c>
      <c r="P7" s="102" t="e">
        <f t="shared" si="13"/>
        <v>#VALUE!</v>
      </c>
      <c r="Q7" s="102" t="str">
        <f t="shared" si="14"/>
        <v/>
      </c>
      <c r="R7" s="102">
        <f t="shared" si="15"/>
        <v>0</v>
      </c>
      <c r="S7" s="102">
        <f t="shared" si="16"/>
        <v>-3000000</v>
      </c>
      <c r="T7" s="103">
        <f t="shared" si="17"/>
        <v>0</v>
      </c>
      <c r="U7" s="100" t="str">
        <f t="shared" si="18"/>
        <v/>
      </c>
      <c r="V7" s="174">
        <v>3000000</v>
      </c>
      <c r="W7" s="105" t="e">
        <f t="shared" si="19"/>
        <v>#VALUE!</v>
      </c>
      <c r="X7" s="102" t="str">
        <f t="shared" si="20"/>
        <v/>
      </c>
      <c r="Y7" s="106">
        <f t="shared" si="21"/>
        <v>2964403.37</v>
      </c>
      <c r="Z7" s="142">
        <f t="shared" si="22"/>
        <v>-35596.629999999888</v>
      </c>
      <c r="AA7" s="143">
        <f t="shared" si="76"/>
        <v>0.98813445666666666</v>
      </c>
      <c r="AB7" s="100" t="str">
        <f t="shared" si="23"/>
        <v/>
      </c>
      <c r="AC7" s="173">
        <v>3000000</v>
      </c>
      <c r="AD7" s="102" t="e">
        <f t="shared" si="24"/>
        <v>#VALUE!</v>
      </c>
      <c r="AE7" s="102" t="str">
        <f t="shared" si="25"/>
        <v/>
      </c>
      <c r="AF7" s="102">
        <f t="shared" si="26"/>
        <v>101143.2</v>
      </c>
      <c r="AG7" s="145">
        <f t="shared" si="27"/>
        <v>-2898856.8</v>
      </c>
      <c r="AH7" s="158">
        <f t="shared" si="28"/>
        <v>3.3714399999999999E-2</v>
      </c>
      <c r="AI7" s="147">
        <f t="shared" si="29"/>
        <v>9000000</v>
      </c>
      <c r="AJ7" s="111" t="str">
        <f t="shared" si="30"/>
        <v>0</v>
      </c>
      <c r="AK7" s="102">
        <f t="shared" si="31"/>
        <v>0</v>
      </c>
      <c r="AL7" s="102" t="e">
        <f t="shared" si="32"/>
        <v>#VALUE!</v>
      </c>
      <c r="AM7" s="102">
        <f t="shared" si="33"/>
        <v>3065546.5700000003</v>
      </c>
      <c r="AN7" s="102">
        <f t="shared" si="34"/>
        <v>3065546.5700000003</v>
      </c>
      <c r="AO7" s="112" t="e">
        <f t="shared" si="35"/>
        <v>#DIV/0!</v>
      </c>
      <c r="AP7" s="100" t="str">
        <f t="shared" si="36"/>
        <v/>
      </c>
      <c r="AQ7" s="113" t="e">
        <f t="shared" si="37"/>
        <v>#VALUE!</v>
      </c>
      <c r="AR7" s="114" t="str">
        <f t="shared" si="38"/>
        <v/>
      </c>
      <c r="AS7" s="115">
        <f t="shared" si="39"/>
        <v>0</v>
      </c>
      <c r="AT7" s="100" t="str">
        <f t="shared" si="40"/>
        <v/>
      </c>
      <c r="AU7" s="113" t="e">
        <f t="shared" si="41"/>
        <v>#VALUE!</v>
      </c>
      <c r="AV7" s="116" t="str">
        <f t="shared" si="42"/>
        <v/>
      </c>
      <c r="AW7" s="117">
        <f t="shared" si="43"/>
        <v>0</v>
      </c>
      <c r="AX7" s="100" t="str">
        <f t="shared" si="44"/>
        <v/>
      </c>
      <c r="AY7" s="113" t="e">
        <f t="shared" si="45"/>
        <v>#VALUE!</v>
      </c>
      <c r="AZ7" s="114" t="str">
        <f t="shared" si="46"/>
        <v/>
      </c>
      <c r="BA7" s="100">
        <f t="shared" si="47"/>
        <v>0</v>
      </c>
      <c r="BB7" s="118" t="e">
        <f t="shared" ref="BB7:BD7" si="83">BH7+AY7+AU7</f>
        <v>#VALUE!</v>
      </c>
      <c r="BC7" s="116" t="e">
        <f t="shared" si="83"/>
        <v>#VALUE!</v>
      </c>
      <c r="BD7" s="119">
        <f t="shared" si="83"/>
        <v>0</v>
      </c>
      <c r="BE7" s="118" t="e">
        <f t="shared" si="49"/>
        <v>#VALUE!</v>
      </c>
      <c r="BF7" s="116" t="e">
        <f t="shared" si="50"/>
        <v>#VALUE!</v>
      </c>
      <c r="BG7" s="119">
        <f t="shared" si="51"/>
        <v>3065546.5700000003</v>
      </c>
      <c r="BH7" s="114" t="e">
        <f t="shared" si="52"/>
        <v>#VALUE!</v>
      </c>
      <c r="BI7" s="114" t="str">
        <f t="shared" si="53"/>
        <v/>
      </c>
      <c r="BJ7" s="115">
        <f t="shared" si="54"/>
        <v>0</v>
      </c>
      <c r="BK7" s="125" t="str">
        <f t="shared" si="55"/>
        <v/>
      </c>
      <c r="BL7" s="120" t="e">
        <f t="shared" si="56"/>
        <v>#VALUE!</v>
      </c>
      <c r="BM7" s="121" t="str">
        <f t="shared" si="57"/>
        <v/>
      </c>
      <c r="BN7" s="119">
        <f t="shared" si="58"/>
        <v>1718749.2</v>
      </c>
      <c r="BO7" s="125" t="str">
        <f t="shared" si="59"/>
        <v/>
      </c>
      <c r="BP7" s="140" t="e">
        <f t="shared" si="60"/>
        <v>#VALUE!</v>
      </c>
      <c r="BQ7" s="123" t="str">
        <f t="shared" si="61"/>
        <v/>
      </c>
      <c r="BR7" s="125">
        <f t="shared" si="62"/>
        <v>2550720.81</v>
      </c>
      <c r="BS7" s="122" t="e">
        <f t="shared" si="63"/>
        <v>#VALUE!</v>
      </c>
      <c r="BT7" s="123">
        <f t="shared" ref="BT7:BU7" si="84">SUM(BI7,BM7,BQ7)</f>
        <v>0</v>
      </c>
      <c r="BU7" s="124">
        <f t="shared" si="84"/>
        <v>4269470.01</v>
      </c>
      <c r="BV7" s="125" t="str">
        <f t="shared" si="65"/>
        <v/>
      </c>
      <c r="BW7" s="122" t="e">
        <f t="shared" si="66"/>
        <v>#VALUE!</v>
      </c>
      <c r="BX7" s="123" t="str">
        <f t="shared" si="67"/>
        <v/>
      </c>
      <c r="BY7" s="124">
        <f t="shared" si="68"/>
        <v>4341473.07</v>
      </c>
      <c r="BZ7" s="125" t="str">
        <f t="shared" si="69"/>
        <v/>
      </c>
      <c r="CA7" s="140"/>
      <c r="CB7" s="123"/>
      <c r="CC7" s="148"/>
      <c r="CD7" s="123" t="str">
        <f t="shared" si="70"/>
        <v/>
      </c>
      <c r="CF7" s="126"/>
      <c r="CI7" s="175" t="s">
        <v>4</v>
      </c>
      <c r="CJ7" s="176">
        <v>114</v>
      </c>
      <c r="CK7" s="177">
        <v>86</v>
      </c>
      <c r="CL7" s="176">
        <v>85</v>
      </c>
      <c r="CM7" s="178">
        <v>98</v>
      </c>
      <c r="CN7" s="179">
        <v>96</v>
      </c>
      <c r="CO7" s="180">
        <v>95</v>
      </c>
      <c r="CP7" s="180">
        <v>94</v>
      </c>
      <c r="CQ7" s="168">
        <v>94</v>
      </c>
      <c r="CR7" s="168">
        <v>94</v>
      </c>
      <c r="CS7" s="168">
        <v>95</v>
      </c>
      <c r="CT7" s="170">
        <v>111</v>
      </c>
      <c r="CU7" s="180">
        <v>114</v>
      </c>
      <c r="CV7" s="180">
        <v>116</v>
      </c>
      <c r="CW7" s="168">
        <v>114</v>
      </c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</row>
    <row r="8" spans="1:117" ht="13">
      <c r="A8" s="92">
        <f t="shared" si="0"/>
        <v>112013867</v>
      </c>
      <c r="B8" s="172">
        <f t="shared" si="1"/>
        <v>12</v>
      </c>
      <c r="C8" s="137">
        <f t="shared" si="2"/>
        <v>0.15</v>
      </c>
      <c r="D8" s="137">
        <f t="shared" si="3"/>
        <v>0.09</v>
      </c>
      <c r="E8" s="138">
        <f t="shared" si="4"/>
        <v>0</v>
      </c>
      <c r="F8" s="96">
        <f t="shared" si="5"/>
        <v>12</v>
      </c>
      <c r="G8" s="97">
        <f t="shared" si="6"/>
        <v>0.15</v>
      </c>
      <c r="H8" s="97">
        <f t="shared" si="7"/>
        <v>0.09</v>
      </c>
      <c r="I8" s="97">
        <f t="shared" si="8"/>
        <v>0</v>
      </c>
      <c r="J8" s="96">
        <f t="shared" si="9"/>
        <v>55</v>
      </c>
      <c r="K8" s="94">
        <f t="shared" si="10"/>
        <v>0.15</v>
      </c>
      <c r="L8" s="98">
        <f t="shared" si="11"/>
        <v>0.05</v>
      </c>
      <c r="M8" s="139" t="s">
        <v>70</v>
      </c>
      <c r="N8" s="100">
        <f t="shared" si="12"/>
        <v>2146106.98</v>
      </c>
      <c r="O8" s="140">
        <f t="shared" ref="O8:O11" si="85">(N8*1.601)*1.05</f>
        <v>3607713.138729</v>
      </c>
      <c r="P8" s="102" t="e">
        <f t="shared" si="13"/>
        <v>#VALUE!</v>
      </c>
      <c r="Q8" s="102" t="str">
        <f t="shared" si="14"/>
        <v/>
      </c>
      <c r="R8" s="102">
        <f t="shared" si="15"/>
        <v>5413003.2699999996</v>
      </c>
      <c r="S8" s="102">
        <f t="shared" si="16"/>
        <v>1805290.1312709996</v>
      </c>
      <c r="T8" s="103">
        <f t="shared" si="17"/>
        <v>1.5003973602809797</v>
      </c>
      <c r="U8" s="100">
        <f t="shared" si="18"/>
        <v>1009713.95</v>
      </c>
      <c r="V8" s="174">
        <v>3000000</v>
      </c>
      <c r="W8" s="105" t="e">
        <f t="shared" si="19"/>
        <v>#VALUE!</v>
      </c>
      <c r="X8" s="102" t="str">
        <f t="shared" si="20"/>
        <v/>
      </c>
      <c r="Y8" s="106">
        <f t="shared" si="21"/>
        <v>2353880.9500000002</v>
      </c>
      <c r="Z8" s="142">
        <f t="shared" si="22"/>
        <v>-646119.04999999981</v>
      </c>
      <c r="AA8" s="143">
        <f t="shared" si="76"/>
        <v>0.78462698333333336</v>
      </c>
      <c r="AB8" s="100">
        <f t="shared" si="23"/>
        <v>1230548.68</v>
      </c>
      <c r="AC8" s="173">
        <v>3000000</v>
      </c>
      <c r="AD8" s="102" t="e">
        <f t="shared" si="24"/>
        <v>#VALUE!</v>
      </c>
      <c r="AE8" s="102" t="str">
        <f t="shared" si="25"/>
        <v/>
      </c>
      <c r="AF8" s="102">
        <f t="shared" si="26"/>
        <v>3042748.21</v>
      </c>
      <c r="AG8" s="145">
        <f t="shared" si="27"/>
        <v>42748.209999999963</v>
      </c>
      <c r="AH8" s="158">
        <f t="shared" si="28"/>
        <v>1.0142494033333334</v>
      </c>
      <c r="AI8" s="147">
        <f t="shared" si="29"/>
        <v>9607713.1387290005</v>
      </c>
      <c r="AJ8" s="111">
        <f t="shared" si="30"/>
        <v>14303962.92</v>
      </c>
      <c r="AK8" s="102">
        <f t="shared" si="31"/>
        <v>0</v>
      </c>
      <c r="AL8" s="102" t="e">
        <f t="shared" si="32"/>
        <v>#VALUE!</v>
      </c>
      <c r="AM8" s="102">
        <f t="shared" si="33"/>
        <v>10809632.43</v>
      </c>
      <c r="AN8" s="102">
        <f t="shared" si="34"/>
        <v>-3494330.49</v>
      </c>
      <c r="AO8" s="112">
        <f t="shared" si="35"/>
        <v>0.75570892419511393</v>
      </c>
      <c r="AP8" s="100">
        <f t="shared" si="36"/>
        <v>703328.37</v>
      </c>
      <c r="AQ8" s="113" t="e">
        <f t="shared" si="37"/>
        <v>#VALUE!</v>
      </c>
      <c r="AR8" s="114" t="str">
        <f t="shared" si="38"/>
        <v/>
      </c>
      <c r="AS8" s="115">
        <f t="shared" si="39"/>
        <v>2455587.35</v>
      </c>
      <c r="AT8" s="100">
        <f t="shared" si="40"/>
        <v>1141074.8799999999</v>
      </c>
      <c r="AU8" s="113" t="e">
        <f t="shared" si="41"/>
        <v>#VALUE!</v>
      </c>
      <c r="AV8" s="116" t="str">
        <f t="shared" si="42"/>
        <v/>
      </c>
      <c r="AW8" s="117">
        <f t="shared" si="43"/>
        <v>2172851.06</v>
      </c>
      <c r="AX8" s="100">
        <f t="shared" si="44"/>
        <v>1264239.24</v>
      </c>
      <c r="AY8" s="113" t="e">
        <f t="shared" si="45"/>
        <v>#VALUE!</v>
      </c>
      <c r="AZ8" s="114" t="str">
        <f t="shared" si="46"/>
        <v/>
      </c>
      <c r="BA8" s="100">
        <f t="shared" si="47"/>
        <v>2052576.53</v>
      </c>
      <c r="BB8" s="118" t="e">
        <f t="shared" ref="BB8:BD8" si="86">BH8+AY8+AU8</f>
        <v>#VALUE!</v>
      </c>
      <c r="BC8" s="116" t="e">
        <f t="shared" si="86"/>
        <v>#VALUE!</v>
      </c>
      <c r="BD8" s="119">
        <f t="shared" si="86"/>
        <v>5253472.3499999996</v>
      </c>
      <c r="BE8" s="118" t="e">
        <f t="shared" si="49"/>
        <v>#VALUE!</v>
      </c>
      <c r="BF8" s="116" t="e">
        <f t="shared" si="50"/>
        <v>#VALUE!</v>
      </c>
      <c r="BG8" s="119">
        <f t="shared" si="51"/>
        <v>16063104.779999999</v>
      </c>
      <c r="BH8" s="114" t="e">
        <f t="shared" si="52"/>
        <v>#VALUE!</v>
      </c>
      <c r="BI8" s="114" t="str">
        <f t="shared" si="53"/>
        <v/>
      </c>
      <c r="BJ8" s="115">
        <f t="shared" si="54"/>
        <v>1028044.76</v>
      </c>
      <c r="BK8" s="125">
        <f t="shared" si="55"/>
        <v>2084940.76</v>
      </c>
      <c r="BL8" s="120" t="e">
        <f t="shared" si="56"/>
        <v>#VALUE!</v>
      </c>
      <c r="BM8" s="121" t="str">
        <f t="shared" si="57"/>
        <v/>
      </c>
      <c r="BN8" s="119">
        <f t="shared" si="58"/>
        <v>1129663.28</v>
      </c>
      <c r="BO8" s="125">
        <f t="shared" si="59"/>
        <v>1661952.31</v>
      </c>
      <c r="BP8" s="140" t="e">
        <f t="shared" si="60"/>
        <v>#VALUE!</v>
      </c>
      <c r="BQ8" s="123" t="str">
        <f t="shared" si="61"/>
        <v/>
      </c>
      <c r="BR8" s="125">
        <f t="shared" si="62"/>
        <v>2916085.31</v>
      </c>
      <c r="BS8" s="122" t="e">
        <f t="shared" si="63"/>
        <v>#VALUE!</v>
      </c>
      <c r="BT8" s="123">
        <f t="shared" ref="BT8:BU8" si="87">SUM(BI8,BM8,BQ8)</f>
        <v>0</v>
      </c>
      <c r="BU8" s="124">
        <f t="shared" si="87"/>
        <v>5073793.3499999996</v>
      </c>
      <c r="BV8" s="125">
        <f t="shared" si="65"/>
        <v>4568330.59</v>
      </c>
      <c r="BW8" s="122" t="e">
        <f t="shared" si="66"/>
        <v>#VALUE!</v>
      </c>
      <c r="BX8" s="123" t="str">
        <f t="shared" si="67"/>
        <v/>
      </c>
      <c r="BY8" s="124">
        <f t="shared" si="68"/>
        <v>5802249.71</v>
      </c>
      <c r="BZ8" s="125">
        <f t="shared" si="69"/>
        <v>4468315.25</v>
      </c>
      <c r="CA8" s="140"/>
      <c r="CB8" s="123"/>
      <c r="CC8" s="148"/>
      <c r="CD8" s="123">
        <f t="shared" si="70"/>
        <v>5267317.08</v>
      </c>
      <c r="CF8" s="126"/>
      <c r="CI8" s="181" t="s">
        <v>17</v>
      </c>
      <c r="CJ8" s="182">
        <f t="shared" ref="CJ8:CK8" si="88">SUM(CJ2:CJ7)</f>
        <v>149</v>
      </c>
      <c r="CK8" s="183">
        <f t="shared" si="88"/>
        <v>121</v>
      </c>
      <c r="CL8" s="184">
        <f t="shared" ref="CL8:CU8" si="89">SUM(CL3:CL7)</f>
        <v>121</v>
      </c>
      <c r="CM8" s="185">
        <f t="shared" si="89"/>
        <v>140</v>
      </c>
      <c r="CN8" s="186">
        <f t="shared" si="89"/>
        <v>139</v>
      </c>
      <c r="CO8" s="186">
        <f t="shared" si="89"/>
        <v>139</v>
      </c>
      <c r="CP8" s="186">
        <f t="shared" si="89"/>
        <v>141</v>
      </c>
      <c r="CQ8" s="187">
        <f t="shared" si="89"/>
        <v>142</v>
      </c>
      <c r="CR8" s="187">
        <f t="shared" si="89"/>
        <v>143</v>
      </c>
      <c r="CS8" s="187">
        <f t="shared" si="89"/>
        <v>144</v>
      </c>
      <c r="CT8" s="186">
        <f t="shared" si="89"/>
        <v>145</v>
      </c>
      <c r="CU8" s="186">
        <f t="shared" si="89"/>
        <v>149</v>
      </c>
      <c r="CV8" s="186">
        <f t="shared" ref="CV8:CW8" si="90">SUM(CV2:CV7)</f>
        <v>153</v>
      </c>
      <c r="CW8" s="187">
        <f t="shared" si="90"/>
        <v>149</v>
      </c>
    </row>
    <row r="9" spans="1:117" ht="17.25" customHeight="1">
      <c r="A9" s="92">
        <f t="shared" si="0"/>
        <v>112014558</v>
      </c>
      <c r="B9" s="172" t="str">
        <f t="shared" ref="B9:B40" si="91">IFERROR(VLOOKUP(M9,BASILECARTERA,2,FALSE),"")</f>
        <v/>
      </c>
      <c r="C9" s="137" t="str">
        <f t="shared" si="2"/>
        <v/>
      </c>
      <c r="D9" s="137" t="str">
        <f t="shared" si="3"/>
        <v/>
      </c>
      <c r="E9" s="138" t="str">
        <f t="shared" si="4"/>
        <v/>
      </c>
      <c r="F9" s="96">
        <f t="shared" si="5"/>
        <v>10</v>
      </c>
      <c r="G9" s="97">
        <f t="shared" si="6"/>
        <v>0.15</v>
      </c>
      <c r="H9" s="97">
        <f t="shared" si="7"/>
        <v>0.23</v>
      </c>
      <c r="I9" s="97">
        <f t="shared" si="8"/>
        <v>0</v>
      </c>
      <c r="J9" s="96">
        <f t="shared" si="9"/>
        <v>53</v>
      </c>
      <c r="K9" s="94">
        <f t="shared" si="10"/>
        <v>0.15</v>
      </c>
      <c r="L9" s="98">
        <f t="shared" si="11"/>
        <v>0.14000000000000001</v>
      </c>
      <c r="M9" s="139" t="s">
        <v>71</v>
      </c>
      <c r="N9" s="100" t="str">
        <f t="shared" si="12"/>
        <v/>
      </c>
      <c r="O9" s="140" t="e">
        <f t="shared" si="85"/>
        <v>#VALUE!</v>
      </c>
      <c r="P9" s="102" t="e">
        <f t="shared" si="13"/>
        <v>#VALUE!</v>
      </c>
      <c r="Q9" s="102" t="str">
        <f t="shared" si="14"/>
        <v/>
      </c>
      <c r="R9" s="102">
        <f t="shared" si="15"/>
        <v>0</v>
      </c>
      <c r="S9" s="102" t="e">
        <f t="shared" si="16"/>
        <v>#VALUE!</v>
      </c>
      <c r="T9" s="103" t="e">
        <f t="shared" si="17"/>
        <v>#VALUE!</v>
      </c>
      <c r="U9" s="100" t="str">
        <f t="shared" si="18"/>
        <v/>
      </c>
      <c r="V9" s="174">
        <v>3000000</v>
      </c>
      <c r="W9" s="105" t="e">
        <f t="shared" si="19"/>
        <v>#VALUE!</v>
      </c>
      <c r="X9" s="102" t="str">
        <f t="shared" si="20"/>
        <v/>
      </c>
      <c r="Y9" s="106">
        <f t="shared" si="21"/>
        <v>0</v>
      </c>
      <c r="Z9" s="142">
        <f t="shared" si="22"/>
        <v>-3000000</v>
      </c>
      <c r="AA9" s="143">
        <f t="shared" si="76"/>
        <v>0</v>
      </c>
      <c r="AB9" s="100" t="str">
        <f t="shared" si="23"/>
        <v/>
      </c>
      <c r="AC9" s="173">
        <v>3000000</v>
      </c>
      <c r="AD9" s="102" t="e">
        <f t="shared" si="24"/>
        <v>#VALUE!</v>
      </c>
      <c r="AE9" s="102" t="str">
        <f t="shared" si="25"/>
        <v/>
      </c>
      <c r="AF9" s="102">
        <f t="shared" si="26"/>
        <v>0</v>
      </c>
      <c r="AG9" s="145">
        <f t="shared" si="27"/>
        <v>-3000000</v>
      </c>
      <c r="AH9" s="158">
        <f t="shared" si="28"/>
        <v>0</v>
      </c>
      <c r="AI9" s="147" t="e">
        <f t="shared" si="29"/>
        <v>#VALUE!</v>
      </c>
      <c r="AJ9" s="111" t="str">
        <f t="shared" si="30"/>
        <v>0</v>
      </c>
      <c r="AK9" s="102">
        <f t="shared" si="31"/>
        <v>0</v>
      </c>
      <c r="AL9" s="102" t="e">
        <f t="shared" si="32"/>
        <v>#VALUE!</v>
      </c>
      <c r="AM9" s="102">
        <f t="shared" si="33"/>
        <v>0</v>
      </c>
      <c r="AN9" s="102">
        <f t="shared" si="34"/>
        <v>0</v>
      </c>
      <c r="AO9" s="112" t="e">
        <f t="shared" si="35"/>
        <v>#DIV/0!</v>
      </c>
      <c r="AP9" s="100" t="str">
        <f t="shared" si="36"/>
        <v/>
      </c>
      <c r="AQ9" s="113" t="e">
        <f t="shared" si="37"/>
        <v>#VALUE!</v>
      </c>
      <c r="AR9" s="114" t="str">
        <f t="shared" si="38"/>
        <v/>
      </c>
      <c r="AS9" s="115">
        <f t="shared" si="39"/>
        <v>0</v>
      </c>
      <c r="AT9" s="100" t="str">
        <f t="shared" si="40"/>
        <v/>
      </c>
      <c r="AU9" s="113" t="e">
        <f t="shared" si="41"/>
        <v>#VALUE!</v>
      </c>
      <c r="AV9" s="116" t="str">
        <f t="shared" si="42"/>
        <v/>
      </c>
      <c r="AW9" s="117">
        <f t="shared" si="43"/>
        <v>0</v>
      </c>
      <c r="AX9" s="100" t="str">
        <f t="shared" si="44"/>
        <v/>
      </c>
      <c r="AY9" s="113" t="e">
        <f t="shared" si="45"/>
        <v>#VALUE!</v>
      </c>
      <c r="AZ9" s="114" t="str">
        <f t="shared" si="46"/>
        <v/>
      </c>
      <c r="BA9" s="100">
        <f t="shared" si="47"/>
        <v>0</v>
      </c>
      <c r="BB9" s="118" t="e">
        <f t="shared" ref="BB9:BD9" si="92">BH9+AY9+AU9</f>
        <v>#VALUE!</v>
      </c>
      <c r="BC9" s="116" t="e">
        <f t="shared" si="92"/>
        <v>#VALUE!</v>
      </c>
      <c r="BD9" s="119">
        <f t="shared" si="92"/>
        <v>0</v>
      </c>
      <c r="BE9" s="118" t="e">
        <f t="shared" si="49"/>
        <v>#VALUE!</v>
      </c>
      <c r="BF9" s="116" t="e">
        <f t="shared" si="50"/>
        <v>#VALUE!</v>
      </c>
      <c r="BG9" s="119">
        <f t="shared" si="51"/>
        <v>0</v>
      </c>
      <c r="BH9" s="114" t="e">
        <f t="shared" si="52"/>
        <v>#VALUE!</v>
      </c>
      <c r="BI9" s="114" t="str">
        <f t="shared" si="53"/>
        <v/>
      </c>
      <c r="BJ9" s="115">
        <f t="shared" si="54"/>
        <v>0</v>
      </c>
      <c r="BK9" s="125" t="str">
        <f t="shared" si="55"/>
        <v/>
      </c>
      <c r="BL9" s="120" t="e">
        <f t="shared" si="56"/>
        <v>#VALUE!</v>
      </c>
      <c r="BM9" s="121" t="str">
        <f t="shared" si="57"/>
        <v/>
      </c>
      <c r="BN9" s="119">
        <f t="shared" si="58"/>
        <v>0</v>
      </c>
      <c r="BO9" s="125" t="str">
        <f t="shared" si="59"/>
        <v/>
      </c>
      <c r="BP9" s="140" t="e">
        <f t="shared" si="60"/>
        <v>#VALUE!</v>
      </c>
      <c r="BQ9" s="123" t="str">
        <f t="shared" si="61"/>
        <v/>
      </c>
      <c r="BR9" s="125">
        <f t="shared" si="62"/>
        <v>2983892.72</v>
      </c>
      <c r="BS9" s="122" t="e">
        <f t="shared" si="63"/>
        <v>#VALUE!</v>
      </c>
      <c r="BT9" s="123">
        <f t="shared" ref="BT9:BU9" si="93">SUM(BI9,BM9,BQ9)</f>
        <v>0</v>
      </c>
      <c r="BU9" s="124">
        <f t="shared" si="93"/>
        <v>2983892.72</v>
      </c>
      <c r="BV9" s="125" t="str">
        <f t="shared" si="65"/>
        <v/>
      </c>
      <c r="BW9" s="122" t="e">
        <f t="shared" si="66"/>
        <v>#VALUE!</v>
      </c>
      <c r="BX9" s="123" t="str">
        <f t="shared" si="67"/>
        <v/>
      </c>
      <c r="BY9" s="124">
        <f t="shared" si="68"/>
        <v>1943258.62</v>
      </c>
      <c r="BZ9" s="125" t="str">
        <f t="shared" si="69"/>
        <v/>
      </c>
      <c r="CA9" s="140"/>
      <c r="CB9" s="123"/>
      <c r="CC9" s="148"/>
      <c r="CD9" s="123" t="str">
        <f t="shared" si="70"/>
        <v/>
      </c>
      <c r="CF9" s="126"/>
      <c r="CG9" s="127"/>
      <c r="CI9" s="188"/>
    </row>
    <row r="10" spans="1:117" ht="17.25" customHeight="1">
      <c r="A10" s="92">
        <f t="shared" si="0"/>
        <v>112012843</v>
      </c>
      <c r="B10" s="172">
        <f t="shared" si="91"/>
        <v>12</v>
      </c>
      <c r="C10" s="137">
        <f t="shared" si="2"/>
        <v>0.15</v>
      </c>
      <c r="D10" s="137">
        <f t="shared" si="3"/>
        <v>0.09</v>
      </c>
      <c r="E10" s="138">
        <f t="shared" si="4"/>
        <v>0</v>
      </c>
      <c r="F10" s="96">
        <f t="shared" si="5"/>
        <v>12</v>
      </c>
      <c r="G10" s="97">
        <f t="shared" si="6"/>
        <v>0.15</v>
      </c>
      <c r="H10" s="97">
        <f t="shared" si="7"/>
        <v>0.09</v>
      </c>
      <c r="I10" s="97">
        <f t="shared" si="8"/>
        <v>0</v>
      </c>
      <c r="J10" s="96">
        <f t="shared" si="9"/>
        <v>55</v>
      </c>
      <c r="K10" s="94">
        <f t="shared" si="10"/>
        <v>0.15</v>
      </c>
      <c r="L10" s="98">
        <f t="shared" si="11"/>
        <v>0.05</v>
      </c>
      <c r="M10" s="139" t="s">
        <v>72</v>
      </c>
      <c r="N10" s="100">
        <f t="shared" si="12"/>
        <v>3108853.47</v>
      </c>
      <c r="O10" s="140">
        <f t="shared" si="85"/>
        <v>5226138.1257435009</v>
      </c>
      <c r="P10" s="102">
        <f t="shared" si="13"/>
        <v>7196480.0599999996</v>
      </c>
      <c r="Q10" s="102">
        <f t="shared" si="14"/>
        <v>0</v>
      </c>
      <c r="R10" s="102">
        <f t="shared" si="15"/>
        <v>7196480.0599999996</v>
      </c>
      <c r="S10" s="102">
        <f t="shared" si="16"/>
        <v>1970341.9342564987</v>
      </c>
      <c r="T10" s="103">
        <f t="shared" si="17"/>
        <v>1.3770168118119126</v>
      </c>
      <c r="U10" s="100">
        <f t="shared" si="18"/>
        <v>302700.09999999998</v>
      </c>
      <c r="V10" s="174">
        <v>3000000</v>
      </c>
      <c r="W10" s="105">
        <f t="shared" si="19"/>
        <v>12594299.130000001</v>
      </c>
      <c r="X10" s="102">
        <f t="shared" si="20"/>
        <v>153322.07999999999</v>
      </c>
      <c r="Y10" s="106">
        <f t="shared" si="21"/>
        <v>12747621.210000001</v>
      </c>
      <c r="Z10" s="142">
        <f t="shared" si="22"/>
        <v>9747621.2100000009</v>
      </c>
      <c r="AA10" s="143">
        <f t="shared" si="76"/>
        <v>4.2492070700000006</v>
      </c>
      <c r="AB10" s="100">
        <f t="shared" si="23"/>
        <v>0</v>
      </c>
      <c r="AC10" s="173">
        <v>3000000</v>
      </c>
      <c r="AD10" s="102">
        <f t="shared" si="24"/>
        <v>1305404.9099999999</v>
      </c>
      <c r="AE10" s="102">
        <f t="shared" si="25"/>
        <v>0</v>
      </c>
      <c r="AF10" s="102">
        <f t="shared" si="26"/>
        <v>1305404.9099999999</v>
      </c>
      <c r="AG10" s="145">
        <f t="shared" si="27"/>
        <v>-1694595.09</v>
      </c>
      <c r="AH10" s="158">
        <f t="shared" si="28"/>
        <v>0.43513496999999995</v>
      </c>
      <c r="AI10" s="147">
        <f t="shared" si="29"/>
        <v>11226138.125743501</v>
      </c>
      <c r="AJ10" s="111">
        <f t="shared" si="30"/>
        <v>82418715.400000006</v>
      </c>
      <c r="AK10" s="102">
        <f t="shared" si="31"/>
        <v>153322.07999999999</v>
      </c>
      <c r="AL10" s="102">
        <f t="shared" si="32"/>
        <v>21096184.100000001</v>
      </c>
      <c r="AM10" s="102">
        <f t="shared" si="33"/>
        <v>21249506.18</v>
      </c>
      <c r="AN10" s="102">
        <f t="shared" si="34"/>
        <v>-61169209.220000006</v>
      </c>
      <c r="AO10" s="112">
        <f t="shared" si="35"/>
        <v>0.25782379738473815</v>
      </c>
      <c r="AP10" s="100">
        <f t="shared" si="36"/>
        <v>7604676.3799999999</v>
      </c>
      <c r="AQ10" s="113">
        <f t="shared" si="37"/>
        <v>0</v>
      </c>
      <c r="AR10" s="114">
        <f t="shared" si="38"/>
        <v>0</v>
      </c>
      <c r="AS10" s="115">
        <f t="shared" si="39"/>
        <v>0</v>
      </c>
      <c r="AT10" s="100">
        <f t="shared" si="40"/>
        <v>58563251.520000003</v>
      </c>
      <c r="AU10" s="113">
        <f t="shared" si="41"/>
        <v>13078707.720000001</v>
      </c>
      <c r="AV10" s="116">
        <f t="shared" si="42"/>
        <v>0</v>
      </c>
      <c r="AW10" s="117">
        <f t="shared" si="43"/>
        <v>13078707.720000001</v>
      </c>
      <c r="AX10" s="100">
        <f t="shared" si="44"/>
        <v>0</v>
      </c>
      <c r="AY10" s="113">
        <f t="shared" si="45"/>
        <v>2988980.69</v>
      </c>
      <c r="AZ10" s="114">
        <f t="shared" si="46"/>
        <v>0</v>
      </c>
      <c r="BA10" s="100">
        <f t="shared" si="47"/>
        <v>2988980.69</v>
      </c>
      <c r="BB10" s="118">
        <f t="shared" ref="BB10:BD10" si="94">BH10+AY10+AU10</f>
        <v>16841485.960000001</v>
      </c>
      <c r="BC10" s="116">
        <f t="shared" si="94"/>
        <v>0</v>
      </c>
      <c r="BD10" s="119">
        <f t="shared" si="94"/>
        <v>16841485.960000001</v>
      </c>
      <c r="BE10" s="118">
        <f t="shared" si="49"/>
        <v>37937670.060000002</v>
      </c>
      <c r="BF10" s="116">
        <f t="shared" si="50"/>
        <v>153322.07999999999</v>
      </c>
      <c r="BG10" s="119">
        <f t="shared" si="51"/>
        <v>38090992.140000001</v>
      </c>
      <c r="BH10" s="114">
        <f t="shared" si="52"/>
        <v>773797.55</v>
      </c>
      <c r="BI10" s="114">
        <f t="shared" si="53"/>
        <v>0</v>
      </c>
      <c r="BJ10" s="115">
        <f t="shared" si="54"/>
        <v>773797.55</v>
      </c>
      <c r="BK10" s="125">
        <f t="shared" si="55"/>
        <v>8667925.9900000002</v>
      </c>
      <c r="BL10" s="120">
        <f t="shared" si="56"/>
        <v>3270032.03</v>
      </c>
      <c r="BM10" s="121">
        <f t="shared" si="57"/>
        <v>0</v>
      </c>
      <c r="BN10" s="119">
        <f t="shared" si="58"/>
        <v>3270032.03</v>
      </c>
      <c r="BO10" s="125">
        <f t="shared" si="59"/>
        <v>3511697.68</v>
      </c>
      <c r="BP10" s="140">
        <f t="shared" si="60"/>
        <v>1704569.35</v>
      </c>
      <c r="BQ10" s="123">
        <f t="shared" si="61"/>
        <v>0</v>
      </c>
      <c r="BR10" s="125">
        <f t="shared" si="62"/>
        <v>1704569.35</v>
      </c>
      <c r="BS10" s="122">
        <f t="shared" si="63"/>
        <v>5748398.9299999997</v>
      </c>
      <c r="BT10" s="123">
        <f t="shared" ref="BT10:BU10" si="95">SUM(BI10,BM10,BQ10)</f>
        <v>0</v>
      </c>
      <c r="BU10" s="124">
        <f t="shared" si="95"/>
        <v>5748398.9299999997</v>
      </c>
      <c r="BV10" s="125">
        <f t="shared" si="65"/>
        <v>10028173.6</v>
      </c>
      <c r="BW10" s="122">
        <f t="shared" si="66"/>
        <v>5869337.6900000004</v>
      </c>
      <c r="BX10" s="123">
        <f t="shared" si="67"/>
        <v>0</v>
      </c>
      <c r="BY10" s="124">
        <f t="shared" si="68"/>
        <v>5869337.6900000004</v>
      </c>
      <c r="BZ10" s="125">
        <f t="shared" si="69"/>
        <v>40167347.829999998</v>
      </c>
      <c r="CA10" s="140"/>
      <c r="CB10" s="123"/>
      <c r="CC10" s="148"/>
      <c r="CD10" s="123">
        <f t="shared" si="70"/>
        <v>32223193.969999999</v>
      </c>
      <c r="CF10" s="126"/>
      <c r="CG10" s="127"/>
      <c r="CI10" s="188"/>
    </row>
    <row r="11" spans="1:117" ht="13">
      <c r="A11" s="92">
        <f t="shared" si="0"/>
        <v>112012311</v>
      </c>
      <c r="B11" s="172">
        <f t="shared" si="91"/>
        <v>12</v>
      </c>
      <c r="C11" s="137">
        <f t="shared" si="2"/>
        <v>0.15</v>
      </c>
      <c r="D11" s="137">
        <f t="shared" si="3"/>
        <v>0.09</v>
      </c>
      <c r="E11" s="138">
        <f t="shared" si="4"/>
        <v>0</v>
      </c>
      <c r="F11" s="96">
        <f t="shared" si="5"/>
        <v>12</v>
      </c>
      <c r="G11" s="97">
        <f t="shared" si="6"/>
        <v>0.15</v>
      </c>
      <c r="H11" s="97">
        <f t="shared" si="7"/>
        <v>0.09</v>
      </c>
      <c r="I11" s="97">
        <f t="shared" si="8"/>
        <v>0</v>
      </c>
      <c r="J11" s="96">
        <f t="shared" si="9"/>
        <v>55</v>
      </c>
      <c r="K11" s="94">
        <f t="shared" si="10"/>
        <v>0.15</v>
      </c>
      <c r="L11" s="98">
        <f t="shared" si="11"/>
        <v>0.05</v>
      </c>
      <c r="M11" s="139" t="s">
        <v>73</v>
      </c>
      <c r="N11" s="100">
        <f t="shared" si="12"/>
        <v>1407272.76</v>
      </c>
      <c r="O11" s="140">
        <f t="shared" si="85"/>
        <v>2365695.8731979998</v>
      </c>
      <c r="P11" s="102">
        <f t="shared" si="13"/>
        <v>1907718.26</v>
      </c>
      <c r="Q11" s="102">
        <f t="shared" si="14"/>
        <v>0</v>
      </c>
      <c r="R11" s="102">
        <f t="shared" si="15"/>
        <v>1907718.26</v>
      </c>
      <c r="S11" s="102">
        <f t="shared" si="16"/>
        <v>-457977.61319799977</v>
      </c>
      <c r="T11" s="103">
        <f t="shared" si="17"/>
        <v>0.80640892247113083</v>
      </c>
      <c r="U11" s="100">
        <f t="shared" si="18"/>
        <v>834450.92</v>
      </c>
      <c r="V11" s="174">
        <v>3000000</v>
      </c>
      <c r="W11" s="105">
        <f t="shared" si="19"/>
        <v>1840225.32</v>
      </c>
      <c r="X11" s="102">
        <f t="shared" si="20"/>
        <v>0</v>
      </c>
      <c r="Y11" s="106">
        <f t="shared" si="21"/>
        <v>1840225.32</v>
      </c>
      <c r="Z11" s="142">
        <f t="shared" si="22"/>
        <v>-1159774.68</v>
      </c>
      <c r="AA11" s="143">
        <f t="shared" si="76"/>
        <v>0.61340844000000005</v>
      </c>
      <c r="AB11" s="100">
        <f t="shared" si="23"/>
        <v>1112505.3600000001</v>
      </c>
      <c r="AC11" s="173">
        <v>3000000</v>
      </c>
      <c r="AD11" s="102">
        <f t="shared" si="24"/>
        <v>1672729.22</v>
      </c>
      <c r="AE11" s="102">
        <f t="shared" si="25"/>
        <v>0</v>
      </c>
      <c r="AF11" s="102">
        <f t="shared" si="26"/>
        <v>1672729.22</v>
      </c>
      <c r="AG11" s="145">
        <f t="shared" si="27"/>
        <v>-1327270.78</v>
      </c>
      <c r="AH11" s="158">
        <f t="shared" si="28"/>
        <v>0.55757640666666664</v>
      </c>
      <c r="AI11" s="147">
        <f t="shared" si="29"/>
        <v>8365695.8731979998</v>
      </c>
      <c r="AJ11" s="111">
        <f t="shared" si="30"/>
        <v>7115878.2400000002</v>
      </c>
      <c r="AK11" s="102">
        <f t="shared" si="31"/>
        <v>0</v>
      </c>
      <c r="AL11" s="102">
        <f t="shared" si="32"/>
        <v>5420672.7999999998</v>
      </c>
      <c r="AM11" s="102">
        <f t="shared" si="33"/>
        <v>5420672.7999999998</v>
      </c>
      <c r="AN11" s="102">
        <f t="shared" si="34"/>
        <v>-1695205.4400000004</v>
      </c>
      <c r="AO11" s="112">
        <f t="shared" si="35"/>
        <v>0.7617714380677767</v>
      </c>
      <c r="AP11" s="100">
        <f t="shared" si="36"/>
        <v>948238.82</v>
      </c>
      <c r="AQ11" s="113">
        <f t="shared" si="37"/>
        <v>1725528.73</v>
      </c>
      <c r="AR11" s="114">
        <f t="shared" si="38"/>
        <v>0</v>
      </c>
      <c r="AS11" s="115">
        <f t="shared" si="39"/>
        <v>1725528.73</v>
      </c>
      <c r="AT11" s="100">
        <f t="shared" si="40"/>
        <v>1084593.3</v>
      </c>
      <c r="AU11" s="113">
        <f t="shared" si="41"/>
        <v>1827395.13</v>
      </c>
      <c r="AV11" s="116">
        <f t="shared" si="42"/>
        <v>0</v>
      </c>
      <c r="AW11" s="117">
        <f t="shared" si="43"/>
        <v>1827395.13</v>
      </c>
      <c r="AX11" s="100">
        <f t="shared" si="44"/>
        <v>1218462.33</v>
      </c>
      <c r="AY11" s="113">
        <f t="shared" si="45"/>
        <v>2093150.14</v>
      </c>
      <c r="AZ11" s="114">
        <f t="shared" si="46"/>
        <v>0</v>
      </c>
      <c r="BA11" s="100">
        <f t="shared" si="47"/>
        <v>2093150.14</v>
      </c>
      <c r="BB11" s="118">
        <f t="shared" ref="BB11:BD11" si="96">BH11+AY11+AU11</f>
        <v>4768682</v>
      </c>
      <c r="BC11" s="116">
        <f t="shared" si="96"/>
        <v>6388.42</v>
      </c>
      <c r="BD11" s="119">
        <f t="shared" si="96"/>
        <v>4775070.42</v>
      </c>
      <c r="BE11" s="118">
        <f t="shared" si="49"/>
        <v>10189354.800000001</v>
      </c>
      <c r="BF11" s="116">
        <f t="shared" si="50"/>
        <v>6388.42</v>
      </c>
      <c r="BG11" s="119">
        <f t="shared" si="51"/>
        <v>10195743.219999999</v>
      </c>
      <c r="BH11" s="114">
        <f t="shared" si="52"/>
        <v>848136.73</v>
      </c>
      <c r="BI11" s="114">
        <f t="shared" si="53"/>
        <v>6388.42</v>
      </c>
      <c r="BJ11" s="115">
        <f t="shared" si="54"/>
        <v>854525.15</v>
      </c>
      <c r="BK11" s="125">
        <f t="shared" si="55"/>
        <v>1561418.64</v>
      </c>
      <c r="BL11" s="120">
        <f t="shared" si="56"/>
        <v>2426548.5</v>
      </c>
      <c r="BM11" s="121">
        <f t="shared" si="57"/>
        <v>0</v>
      </c>
      <c r="BN11" s="119">
        <f t="shared" si="58"/>
        <v>2426548.5</v>
      </c>
      <c r="BO11" s="125">
        <f t="shared" si="59"/>
        <v>1740717.53</v>
      </c>
      <c r="BP11" s="140">
        <f t="shared" si="60"/>
        <v>1321466.3700000001</v>
      </c>
      <c r="BQ11" s="123">
        <f t="shared" si="61"/>
        <v>0</v>
      </c>
      <c r="BR11" s="125">
        <f t="shared" si="62"/>
        <v>1321466.3700000001</v>
      </c>
      <c r="BS11" s="122">
        <f t="shared" si="63"/>
        <v>4596151.5999999996</v>
      </c>
      <c r="BT11" s="123">
        <f t="shared" ref="BT11:BU11" si="97">SUM(BI11,BM11,BQ11)</f>
        <v>6388.42</v>
      </c>
      <c r="BU11" s="124">
        <f t="shared" si="97"/>
        <v>4602540.0199999996</v>
      </c>
      <c r="BV11" s="125">
        <f t="shared" si="65"/>
        <v>2391440.9500000002</v>
      </c>
      <c r="BW11" s="122">
        <f t="shared" si="66"/>
        <v>3245674.1</v>
      </c>
      <c r="BX11" s="123">
        <f t="shared" si="67"/>
        <v>0</v>
      </c>
      <c r="BY11" s="124">
        <f t="shared" si="68"/>
        <v>3245674.1</v>
      </c>
      <c r="BZ11" s="125">
        <f t="shared" si="69"/>
        <v>2092798.61</v>
      </c>
      <c r="CA11" s="140"/>
      <c r="CB11" s="123"/>
      <c r="CC11" s="148"/>
      <c r="CD11" s="123">
        <f t="shared" si="70"/>
        <v>2631638.6800000002</v>
      </c>
      <c r="CF11" s="126"/>
      <c r="CG11" s="127"/>
    </row>
    <row r="12" spans="1:117" ht="14">
      <c r="A12" s="92">
        <f t="shared" si="0"/>
        <v>112014719</v>
      </c>
      <c r="B12" s="172">
        <f t="shared" si="91"/>
        <v>10</v>
      </c>
      <c r="C12" s="137">
        <f t="shared" si="2"/>
        <v>0.15</v>
      </c>
      <c r="D12" s="137">
        <f t="shared" si="3"/>
        <v>0.23</v>
      </c>
      <c r="E12" s="138">
        <f t="shared" si="4"/>
        <v>0</v>
      </c>
      <c r="F12" s="96">
        <f t="shared" si="5"/>
        <v>10</v>
      </c>
      <c r="G12" s="97">
        <f t="shared" si="6"/>
        <v>0.15</v>
      </c>
      <c r="H12" s="97">
        <f t="shared" si="7"/>
        <v>0.23</v>
      </c>
      <c r="I12" s="97">
        <f t="shared" si="8"/>
        <v>0</v>
      </c>
      <c r="J12" s="96">
        <f t="shared" si="9"/>
        <v>53</v>
      </c>
      <c r="K12" s="94">
        <f t="shared" si="10"/>
        <v>0.15</v>
      </c>
      <c r="L12" s="98">
        <f t="shared" si="11"/>
        <v>0.14000000000000001</v>
      </c>
      <c r="M12" s="189" t="s">
        <v>74</v>
      </c>
      <c r="N12" s="100" t="str">
        <f t="shared" si="12"/>
        <v/>
      </c>
      <c r="O12" s="140"/>
      <c r="P12" s="102" t="e">
        <f t="shared" si="13"/>
        <v>#VALUE!</v>
      </c>
      <c r="Q12" s="102" t="str">
        <f t="shared" si="14"/>
        <v/>
      </c>
      <c r="R12" s="102">
        <f t="shared" si="15"/>
        <v>0</v>
      </c>
      <c r="S12" s="102">
        <f t="shared" si="16"/>
        <v>0</v>
      </c>
      <c r="T12" s="103" t="e">
        <f t="shared" si="17"/>
        <v>#DIV/0!</v>
      </c>
      <c r="U12" s="100" t="str">
        <f t="shared" si="18"/>
        <v/>
      </c>
      <c r="V12" s="141"/>
      <c r="W12" s="105" t="e">
        <f t="shared" si="19"/>
        <v>#VALUE!</v>
      </c>
      <c r="X12" s="102" t="str">
        <f t="shared" si="20"/>
        <v/>
      </c>
      <c r="Y12" s="106">
        <f t="shared" si="21"/>
        <v>0</v>
      </c>
      <c r="Z12" s="142">
        <f t="shared" si="22"/>
        <v>0</v>
      </c>
      <c r="AA12" s="143" t="str">
        <f>IFERROR(Y12/V12,"")</f>
        <v/>
      </c>
      <c r="AB12" s="100" t="str">
        <f t="shared" si="23"/>
        <v/>
      </c>
      <c r="AC12" s="140"/>
      <c r="AD12" s="102" t="e">
        <f t="shared" si="24"/>
        <v>#VALUE!</v>
      </c>
      <c r="AE12" s="102" t="str">
        <f t="shared" si="25"/>
        <v/>
      </c>
      <c r="AF12" s="102">
        <f t="shared" si="26"/>
        <v>0</v>
      </c>
      <c r="AG12" s="145">
        <f t="shared" si="27"/>
        <v>0</v>
      </c>
      <c r="AH12" s="158" t="str">
        <f>IFERROR(AF12/AC12,"")</f>
        <v/>
      </c>
      <c r="AI12" s="147"/>
      <c r="AJ12" s="111" t="str">
        <f t="shared" si="30"/>
        <v>0</v>
      </c>
      <c r="AK12" s="102">
        <f t="shared" si="31"/>
        <v>0</v>
      </c>
      <c r="AL12" s="102" t="e">
        <f t="shared" si="32"/>
        <v>#VALUE!</v>
      </c>
      <c r="AM12" s="102">
        <f t="shared" si="33"/>
        <v>0</v>
      </c>
      <c r="AN12" s="102">
        <f t="shared" si="34"/>
        <v>0</v>
      </c>
      <c r="AO12" s="112" t="e">
        <f t="shared" si="35"/>
        <v>#DIV/0!</v>
      </c>
      <c r="AP12" s="100" t="str">
        <f t="shared" si="36"/>
        <v/>
      </c>
      <c r="AQ12" s="113" t="e">
        <f t="shared" si="37"/>
        <v>#VALUE!</v>
      </c>
      <c r="AR12" s="114" t="str">
        <f t="shared" si="38"/>
        <v/>
      </c>
      <c r="AS12" s="115">
        <f t="shared" si="39"/>
        <v>0</v>
      </c>
      <c r="AT12" s="100" t="str">
        <f t="shared" si="40"/>
        <v/>
      </c>
      <c r="AU12" s="113" t="e">
        <f t="shared" si="41"/>
        <v>#VALUE!</v>
      </c>
      <c r="AV12" s="116" t="str">
        <f t="shared" si="42"/>
        <v/>
      </c>
      <c r="AW12" s="117">
        <f t="shared" si="43"/>
        <v>0</v>
      </c>
      <c r="AX12" s="100" t="str">
        <f t="shared" si="44"/>
        <v/>
      </c>
      <c r="AY12" s="113" t="e">
        <f t="shared" si="45"/>
        <v>#VALUE!</v>
      </c>
      <c r="AZ12" s="114" t="str">
        <f t="shared" si="46"/>
        <v/>
      </c>
      <c r="BA12" s="100">
        <f t="shared" si="47"/>
        <v>0</v>
      </c>
      <c r="BB12" s="118" t="e">
        <f t="shared" ref="BB12:BD12" si="98">BH12+AY12+AU12</f>
        <v>#VALUE!</v>
      </c>
      <c r="BC12" s="116" t="e">
        <f t="shared" si="98"/>
        <v>#VALUE!</v>
      </c>
      <c r="BD12" s="119">
        <f t="shared" si="98"/>
        <v>0</v>
      </c>
      <c r="BE12" s="118" t="e">
        <f t="shared" si="49"/>
        <v>#VALUE!</v>
      </c>
      <c r="BF12" s="116" t="e">
        <f t="shared" si="50"/>
        <v>#VALUE!</v>
      </c>
      <c r="BG12" s="119">
        <f t="shared" si="51"/>
        <v>0</v>
      </c>
      <c r="BH12" s="114" t="e">
        <f t="shared" si="52"/>
        <v>#VALUE!</v>
      </c>
      <c r="BI12" s="114" t="str">
        <f t="shared" si="53"/>
        <v/>
      </c>
      <c r="BJ12" s="115">
        <f t="shared" si="54"/>
        <v>0</v>
      </c>
      <c r="BK12" s="125" t="str">
        <f t="shared" si="55"/>
        <v/>
      </c>
      <c r="BL12" s="120" t="e">
        <f t="shared" si="56"/>
        <v>#VALUE!</v>
      </c>
      <c r="BM12" s="121" t="str">
        <f t="shared" si="57"/>
        <v/>
      </c>
      <c r="BN12" s="119">
        <f t="shared" si="58"/>
        <v>9547806.5199999996</v>
      </c>
      <c r="BO12" s="125" t="str">
        <f t="shared" si="59"/>
        <v/>
      </c>
      <c r="BP12" s="140" t="e">
        <f t="shared" si="60"/>
        <v>#VALUE!</v>
      </c>
      <c r="BQ12" s="123" t="str">
        <f t="shared" si="61"/>
        <v/>
      </c>
      <c r="BR12" s="125">
        <f t="shared" si="62"/>
        <v>10035379.67</v>
      </c>
      <c r="BS12" s="122" t="e">
        <f t="shared" si="63"/>
        <v>#VALUE!</v>
      </c>
      <c r="BT12" s="123">
        <f t="shared" ref="BT12:BU12" si="99">SUM(BI12,BM12,BQ12)</f>
        <v>0</v>
      </c>
      <c r="BU12" s="124">
        <f t="shared" si="99"/>
        <v>19583186.189999998</v>
      </c>
      <c r="BV12" s="125" t="str">
        <f t="shared" si="65"/>
        <v/>
      </c>
      <c r="BW12" s="122" t="e">
        <f t="shared" si="66"/>
        <v>#VALUE!</v>
      </c>
      <c r="BX12" s="123" t="str">
        <f t="shared" si="67"/>
        <v/>
      </c>
      <c r="BY12" s="124">
        <f t="shared" si="68"/>
        <v>9323823.6799999997</v>
      </c>
      <c r="BZ12" s="125" t="str">
        <f t="shared" si="69"/>
        <v/>
      </c>
      <c r="CA12" s="140"/>
      <c r="CB12" s="123"/>
      <c r="CC12" s="148"/>
      <c r="CD12" s="123" t="str">
        <f t="shared" si="70"/>
        <v/>
      </c>
      <c r="CF12" s="126"/>
      <c r="CG12" s="127"/>
      <c r="CL12" s="188"/>
    </row>
    <row r="13" spans="1:117" ht="14">
      <c r="A13" s="92">
        <f t="shared" si="0"/>
        <v>112014774</v>
      </c>
      <c r="B13" s="172" t="str">
        <f t="shared" si="91"/>
        <v/>
      </c>
      <c r="C13" s="190" t="str">
        <f t="shared" si="2"/>
        <v/>
      </c>
      <c r="D13" s="191" t="str">
        <f t="shared" si="3"/>
        <v/>
      </c>
      <c r="E13" s="192" t="str">
        <f t="shared" si="4"/>
        <v/>
      </c>
      <c r="F13" s="193" t="str">
        <f>IFERROR(VLOOKUP(M13,BASILECART2,2,FALSE),"")</f>
        <v/>
      </c>
      <c r="G13" s="194" t="str">
        <f t="shared" si="6"/>
        <v/>
      </c>
      <c r="H13" s="195" t="str">
        <f t="shared" si="7"/>
        <v/>
      </c>
      <c r="I13" s="196" t="str">
        <f t="shared" si="8"/>
        <v/>
      </c>
      <c r="J13" s="96">
        <f t="shared" si="9"/>
        <v>62</v>
      </c>
      <c r="K13" s="197">
        <f t="shared" si="10"/>
        <v>0.1</v>
      </c>
      <c r="L13" s="98">
        <f t="shared" si="11"/>
        <v>0.11</v>
      </c>
      <c r="M13" s="198" t="s">
        <v>75</v>
      </c>
      <c r="N13" s="199" t="str">
        <f t="shared" si="12"/>
        <v/>
      </c>
      <c r="O13" s="200" t="e">
        <f t="shared" ref="O13:O14" si="100">(N13*1.601)*1.05</f>
        <v>#VALUE!</v>
      </c>
      <c r="P13" s="102" t="e">
        <f t="shared" si="13"/>
        <v>#VALUE!</v>
      </c>
      <c r="Q13" s="201" t="str">
        <f t="shared" si="14"/>
        <v/>
      </c>
      <c r="R13" s="102" t="str">
        <f t="shared" si="15"/>
        <v/>
      </c>
      <c r="S13" s="102" t="e">
        <f t="shared" si="16"/>
        <v>#VALUE!</v>
      </c>
      <c r="T13" s="202" t="e">
        <f t="shared" si="17"/>
        <v>#VALUE!</v>
      </c>
      <c r="U13" s="199" t="str">
        <f t="shared" si="18"/>
        <v/>
      </c>
      <c r="V13" s="203">
        <v>3000000</v>
      </c>
      <c r="W13" s="105" t="e">
        <f t="shared" si="19"/>
        <v>#VALUE!</v>
      </c>
      <c r="X13" s="102" t="str">
        <f t="shared" si="20"/>
        <v/>
      </c>
      <c r="Y13" s="106" t="str">
        <f t="shared" si="21"/>
        <v/>
      </c>
      <c r="Z13" s="142" t="e">
        <f t="shared" si="22"/>
        <v>#VALUE!</v>
      </c>
      <c r="AA13" s="204" t="e">
        <f t="shared" ref="AA13:AA14" si="101">Y13/V13</f>
        <v>#VALUE!</v>
      </c>
      <c r="AB13" s="199" t="str">
        <f t="shared" si="23"/>
        <v/>
      </c>
      <c r="AC13" s="205">
        <v>3000000</v>
      </c>
      <c r="AD13" s="102" t="e">
        <f t="shared" si="24"/>
        <v>#VALUE!</v>
      </c>
      <c r="AE13" s="201" t="str">
        <f t="shared" si="25"/>
        <v/>
      </c>
      <c r="AF13" s="102" t="str">
        <f t="shared" si="26"/>
        <v/>
      </c>
      <c r="AG13" s="206" t="e">
        <f t="shared" si="27"/>
        <v>#VALUE!</v>
      </c>
      <c r="AH13" s="207" t="e">
        <f t="shared" ref="AH13:AH14" si="102">AF13/AC13</f>
        <v>#VALUE!</v>
      </c>
      <c r="AI13" s="208" t="e">
        <f t="shared" ref="AI13:AI61" si="103">SUM(O13,V13,AC13)</f>
        <v>#VALUE!</v>
      </c>
      <c r="AJ13" s="209" t="str">
        <f t="shared" si="30"/>
        <v>0</v>
      </c>
      <c r="AK13" s="102">
        <f t="shared" si="31"/>
        <v>0</v>
      </c>
      <c r="AL13" s="102" t="e">
        <f t="shared" si="32"/>
        <v>#VALUE!</v>
      </c>
      <c r="AM13" s="102" t="e">
        <f t="shared" si="33"/>
        <v>#VALUE!</v>
      </c>
      <c r="AN13" s="201" t="e">
        <f t="shared" si="34"/>
        <v>#VALUE!</v>
      </c>
      <c r="AO13" s="210" t="e">
        <f t="shared" si="35"/>
        <v>#VALUE!</v>
      </c>
      <c r="AP13" s="199" t="str">
        <f t="shared" si="36"/>
        <v/>
      </c>
      <c r="AQ13" s="211" t="e">
        <f t="shared" si="37"/>
        <v>#VALUE!</v>
      </c>
      <c r="AR13" s="212" t="str">
        <f t="shared" si="38"/>
        <v/>
      </c>
      <c r="AS13" s="213" t="str">
        <f t="shared" si="39"/>
        <v/>
      </c>
      <c r="AT13" s="199" t="str">
        <f t="shared" si="40"/>
        <v/>
      </c>
      <c r="AU13" s="214" t="e">
        <f t="shared" si="41"/>
        <v>#VALUE!</v>
      </c>
      <c r="AV13" s="215" t="str">
        <f t="shared" si="42"/>
        <v/>
      </c>
      <c r="AW13" s="106" t="str">
        <f t="shared" si="43"/>
        <v/>
      </c>
      <c r="AX13" s="216" t="str">
        <f t="shared" si="44"/>
        <v/>
      </c>
      <c r="AY13" s="211" t="e">
        <f t="shared" si="45"/>
        <v>#VALUE!</v>
      </c>
      <c r="AZ13" s="212" t="str">
        <f t="shared" si="46"/>
        <v/>
      </c>
      <c r="BA13" s="199" t="str">
        <f t="shared" si="47"/>
        <v/>
      </c>
      <c r="BB13" s="217" t="e">
        <f t="shared" ref="BB13:BD13" si="104">BH13+AY13+AU13</f>
        <v>#VALUE!</v>
      </c>
      <c r="BC13" s="215" t="e">
        <f t="shared" si="104"/>
        <v>#VALUE!</v>
      </c>
      <c r="BD13" s="218" t="e">
        <f t="shared" si="104"/>
        <v>#VALUE!</v>
      </c>
      <c r="BE13" s="219" t="e">
        <f t="shared" si="49"/>
        <v>#VALUE!</v>
      </c>
      <c r="BF13" s="102" t="e">
        <f t="shared" si="50"/>
        <v>#VALUE!</v>
      </c>
      <c r="BG13" s="218" t="e">
        <f t="shared" si="51"/>
        <v>#VALUE!</v>
      </c>
      <c r="BH13" s="212" t="e">
        <f t="shared" si="52"/>
        <v>#VALUE!</v>
      </c>
      <c r="BI13" s="107" t="str">
        <f t="shared" si="53"/>
        <v/>
      </c>
      <c r="BJ13" s="220" t="str">
        <f t="shared" si="54"/>
        <v/>
      </c>
      <c r="BK13" s="221" t="str">
        <f t="shared" si="55"/>
        <v/>
      </c>
      <c r="BL13" s="222" t="e">
        <f t="shared" si="56"/>
        <v>#VALUE!</v>
      </c>
      <c r="BM13" s="223" t="str">
        <f t="shared" si="57"/>
        <v/>
      </c>
      <c r="BN13" s="218" t="str">
        <f t="shared" si="58"/>
        <v/>
      </c>
      <c r="BO13" s="221" t="str">
        <f t="shared" si="59"/>
        <v/>
      </c>
      <c r="BP13" s="200" t="e">
        <f t="shared" si="60"/>
        <v>#VALUE!</v>
      </c>
      <c r="BQ13" s="224" t="str">
        <f t="shared" si="61"/>
        <v/>
      </c>
      <c r="BR13" s="225" t="str">
        <f t="shared" si="62"/>
        <v/>
      </c>
      <c r="BS13" s="226" t="e">
        <f t="shared" si="63"/>
        <v>#VALUE!</v>
      </c>
      <c r="BT13" s="224">
        <f t="shared" ref="BT13:BU13" si="105">SUM(BI13,BM13,BQ13)</f>
        <v>0</v>
      </c>
      <c r="BU13" s="227">
        <f t="shared" si="105"/>
        <v>0</v>
      </c>
      <c r="BV13" s="221" t="str">
        <f t="shared" si="65"/>
        <v/>
      </c>
      <c r="BW13" s="122" t="e">
        <f t="shared" si="66"/>
        <v>#VALUE!</v>
      </c>
      <c r="BX13" s="123" t="str">
        <f t="shared" si="67"/>
        <v/>
      </c>
      <c r="BY13" s="124" t="str">
        <f t="shared" si="68"/>
        <v/>
      </c>
      <c r="BZ13" s="221" t="str">
        <f t="shared" si="69"/>
        <v/>
      </c>
      <c r="CA13" s="200"/>
      <c r="CB13" s="142"/>
      <c r="CC13" s="228"/>
      <c r="CD13" s="142" t="str">
        <f t="shared" si="70"/>
        <v/>
      </c>
      <c r="CE13" s="229"/>
      <c r="CF13" s="229"/>
      <c r="CG13" s="230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</row>
    <row r="14" spans="1:117" ht="13">
      <c r="A14" s="92">
        <f t="shared" si="0"/>
        <v>112014270</v>
      </c>
      <c r="B14" s="172">
        <f t="shared" si="91"/>
        <v>10</v>
      </c>
      <c r="C14" s="137">
        <f t="shared" si="2"/>
        <v>0.15</v>
      </c>
      <c r="D14" s="137">
        <f t="shared" si="3"/>
        <v>0.23</v>
      </c>
      <c r="E14" s="138">
        <f t="shared" si="4"/>
        <v>0</v>
      </c>
      <c r="F14" s="193">
        <f>IFERROR(VLOOKUP(M14,BASILECART2,2,FALSE),"")</f>
        <v>31</v>
      </c>
      <c r="G14" s="97">
        <f t="shared" si="6"/>
        <v>0.1</v>
      </c>
      <c r="H14" s="97">
        <f t="shared" si="7"/>
        <v>0.23</v>
      </c>
      <c r="I14" s="97">
        <f t="shared" si="8"/>
        <v>0</v>
      </c>
      <c r="J14" s="96">
        <f t="shared" si="9"/>
        <v>61</v>
      </c>
      <c r="K14" s="94">
        <f t="shared" si="10"/>
        <v>0.1</v>
      </c>
      <c r="L14" s="98">
        <f t="shared" si="11"/>
        <v>0.14000000000000001</v>
      </c>
      <c r="M14" s="139" t="s">
        <v>76</v>
      </c>
      <c r="N14" s="100">
        <f t="shared" si="12"/>
        <v>2301571.2000000002</v>
      </c>
      <c r="O14" s="140">
        <f t="shared" si="100"/>
        <v>3869056.2657600003</v>
      </c>
      <c r="P14" s="102">
        <f t="shared" si="13"/>
        <v>283617.12000000011</v>
      </c>
      <c r="Q14" s="102">
        <f t="shared" si="14"/>
        <v>3255976.57</v>
      </c>
      <c r="R14" s="102">
        <f t="shared" si="15"/>
        <v>3539593.69</v>
      </c>
      <c r="S14" s="102">
        <f t="shared" si="16"/>
        <v>-329462.57576000039</v>
      </c>
      <c r="T14" s="103">
        <f t="shared" si="17"/>
        <v>0.91484678610759773</v>
      </c>
      <c r="U14" s="100">
        <f t="shared" si="18"/>
        <v>2242152.62</v>
      </c>
      <c r="V14" s="155">
        <f>U14*1.7245</f>
        <v>3866592.19319</v>
      </c>
      <c r="W14" s="105">
        <f t="shared" si="19"/>
        <v>3647981.9400000004</v>
      </c>
      <c r="X14" s="102">
        <f t="shared" si="20"/>
        <v>4924669.13</v>
      </c>
      <c r="Y14" s="106">
        <f t="shared" si="21"/>
        <v>8572651.0700000003</v>
      </c>
      <c r="Z14" s="142">
        <f t="shared" si="22"/>
        <v>4706058.8768100003</v>
      </c>
      <c r="AA14" s="143">
        <f t="shared" si="101"/>
        <v>2.2171076342362928</v>
      </c>
      <c r="AB14" s="100">
        <f t="shared" si="23"/>
        <v>2042682.76</v>
      </c>
      <c r="AC14" s="156">
        <f>(AB14*1.5955)*1.03</f>
        <v>3356873.3538873997</v>
      </c>
      <c r="AD14" s="102">
        <f t="shared" si="24"/>
        <v>0</v>
      </c>
      <c r="AE14" s="102">
        <f t="shared" si="25"/>
        <v>3345431.97</v>
      </c>
      <c r="AF14" s="102">
        <f t="shared" si="26"/>
        <v>3345431.97</v>
      </c>
      <c r="AG14" s="199">
        <f t="shared" si="27"/>
        <v>-11441.383887399454</v>
      </c>
      <c r="AH14" s="158">
        <f t="shared" si="102"/>
        <v>0.99659165459008159</v>
      </c>
      <c r="AI14" s="147">
        <f t="shared" si="103"/>
        <v>11092521.8128374</v>
      </c>
      <c r="AJ14" s="111">
        <f t="shared" si="30"/>
        <v>6455394.8200000003</v>
      </c>
      <c r="AK14" s="102">
        <f t="shared" si="31"/>
        <v>11526077.67</v>
      </c>
      <c r="AL14" s="102">
        <f t="shared" si="32"/>
        <v>3931599.0600000005</v>
      </c>
      <c r="AM14" s="102">
        <f t="shared" si="33"/>
        <v>15457676.73</v>
      </c>
      <c r="AN14" s="102">
        <f t="shared" si="34"/>
        <v>9002281.9100000001</v>
      </c>
      <c r="AO14" s="112">
        <f t="shared" si="35"/>
        <v>2.3945362229602556</v>
      </c>
      <c r="AP14" s="100">
        <f t="shared" si="36"/>
        <v>1429559.74</v>
      </c>
      <c r="AQ14" s="113">
        <f t="shared" si="37"/>
        <v>660116.60000000009</v>
      </c>
      <c r="AR14" s="114">
        <f t="shared" si="38"/>
        <v>2819252.36</v>
      </c>
      <c r="AS14" s="115">
        <f t="shared" si="39"/>
        <v>3479368.96</v>
      </c>
      <c r="AT14" s="100">
        <f t="shared" si="40"/>
        <v>2040779.66</v>
      </c>
      <c r="AU14" s="113">
        <f t="shared" si="41"/>
        <v>0</v>
      </c>
      <c r="AV14" s="116">
        <f t="shared" si="42"/>
        <v>3715085.45</v>
      </c>
      <c r="AW14" s="117">
        <f t="shared" si="43"/>
        <v>3715085.45</v>
      </c>
      <c r="AX14" s="100">
        <f t="shared" si="44"/>
        <v>1216559.27</v>
      </c>
      <c r="AY14" s="113">
        <f t="shared" si="45"/>
        <v>241728.27000000002</v>
      </c>
      <c r="AZ14" s="114">
        <f t="shared" si="46"/>
        <v>1793149.13</v>
      </c>
      <c r="BA14" s="100">
        <f t="shared" si="47"/>
        <v>2034877.4</v>
      </c>
      <c r="BB14" s="118">
        <f t="shared" ref="BB14:BD14" si="106">BH14+AY14+AU14</f>
        <v>241728.27000000002</v>
      </c>
      <c r="BC14" s="116">
        <f t="shared" si="106"/>
        <v>12554787.25</v>
      </c>
      <c r="BD14" s="119">
        <f t="shared" si="106"/>
        <v>12796515.52</v>
      </c>
      <c r="BE14" s="118">
        <f t="shared" si="49"/>
        <v>4173327.3300000005</v>
      </c>
      <c r="BF14" s="116">
        <f t="shared" si="50"/>
        <v>24080864.920000002</v>
      </c>
      <c r="BG14" s="119">
        <f t="shared" si="51"/>
        <v>28254192.25</v>
      </c>
      <c r="BH14" s="114">
        <f t="shared" si="52"/>
        <v>0</v>
      </c>
      <c r="BI14" s="114">
        <f t="shared" si="53"/>
        <v>7046552.6699999999</v>
      </c>
      <c r="BJ14" s="115">
        <f t="shared" si="54"/>
        <v>7046552.6699999999</v>
      </c>
      <c r="BK14" s="125">
        <f t="shared" si="55"/>
        <v>4471137.68</v>
      </c>
      <c r="BL14" s="120">
        <f t="shared" si="56"/>
        <v>0</v>
      </c>
      <c r="BM14" s="121">
        <f t="shared" si="57"/>
        <v>5536190.1200000001</v>
      </c>
      <c r="BN14" s="119">
        <f t="shared" si="58"/>
        <v>5536190.1200000001</v>
      </c>
      <c r="BO14" s="125">
        <f t="shared" si="59"/>
        <v>1436000.41</v>
      </c>
      <c r="BP14" s="140">
        <f t="shared" si="60"/>
        <v>0</v>
      </c>
      <c r="BQ14" s="123">
        <f t="shared" si="61"/>
        <v>3549071.76</v>
      </c>
      <c r="BR14" s="125">
        <f t="shared" si="62"/>
        <v>3549071.76</v>
      </c>
      <c r="BS14" s="122">
        <f t="shared" si="63"/>
        <v>0</v>
      </c>
      <c r="BT14" s="123">
        <f t="shared" ref="BT14:BU14" si="107">SUM(BI14,BM14,BQ14)</f>
        <v>16131814.549999999</v>
      </c>
      <c r="BU14" s="124">
        <f t="shared" si="107"/>
        <v>16131814.549999999</v>
      </c>
      <c r="BV14" s="125">
        <f t="shared" si="65"/>
        <v>2198564.29</v>
      </c>
      <c r="BW14" s="122">
        <f t="shared" si="66"/>
        <v>7559.9200000003912</v>
      </c>
      <c r="BX14" s="123">
        <f t="shared" si="67"/>
        <v>4187832.4</v>
      </c>
      <c r="BY14" s="124">
        <f t="shared" si="68"/>
        <v>4195392.32</v>
      </c>
      <c r="BZ14" s="125">
        <f t="shared" si="69"/>
        <v>1800247.16</v>
      </c>
      <c r="CA14" s="140"/>
      <c r="CB14" s="123"/>
      <c r="CC14" s="148"/>
      <c r="CD14" s="123">
        <f t="shared" si="70"/>
        <v>2456583.36</v>
      </c>
      <c r="CF14" s="149"/>
    </row>
    <row r="15" spans="1:117" ht="14">
      <c r="A15" s="92">
        <f t="shared" si="0"/>
        <v>112014628</v>
      </c>
      <c r="B15" s="172">
        <f t="shared" si="91"/>
        <v>31</v>
      </c>
      <c r="C15" s="137">
        <f t="shared" si="2"/>
        <v>0.1</v>
      </c>
      <c r="D15" s="137">
        <f t="shared" si="3"/>
        <v>0.23</v>
      </c>
      <c r="E15" s="138">
        <f t="shared" si="4"/>
        <v>0</v>
      </c>
      <c r="F15" s="193">
        <f>IFERROR(VLOOKUP(M15,BASILECART2,2,FALSE),"")</f>
        <v>31</v>
      </c>
      <c r="G15" s="97">
        <f t="shared" si="6"/>
        <v>0.1</v>
      </c>
      <c r="H15" s="97">
        <f t="shared" si="7"/>
        <v>0.23</v>
      </c>
      <c r="I15" s="97">
        <f t="shared" si="8"/>
        <v>0</v>
      </c>
      <c r="J15" s="96">
        <f t="shared" si="9"/>
        <v>61</v>
      </c>
      <c r="K15" s="94">
        <f t="shared" si="10"/>
        <v>0.1</v>
      </c>
      <c r="L15" s="98">
        <f t="shared" si="11"/>
        <v>0.14000000000000001</v>
      </c>
      <c r="M15" s="139" t="s">
        <v>77</v>
      </c>
      <c r="N15" s="100" t="str">
        <f t="shared" si="12"/>
        <v/>
      </c>
      <c r="O15" s="140"/>
      <c r="P15" s="102" t="e">
        <f t="shared" si="13"/>
        <v>#VALUE!</v>
      </c>
      <c r="Q15" s="102" t="str">
        <f t="shared" si="14"/>
        <v/>
      </c>
      <c r="R15" s="102">
        <f t="shared" si="15"/>
        <v>404473.08</v>
      </c>
      <c r="S15" s="102">
        <f t="shared" si="16"/>
        <v>404473.08</v>
      </c>
      <c r="T15" s="103" t="e">
        <f t="shared" si="17"/>
        <v>#DIV/0!</v>
      </c>
      <c r="U15" s="100" t="str">
        <f t="shared" si="18"/>
        <v/>
      </c>
      <c r="V15" s="141"/>
      <c r="W15" s="105" t="e">
        <f t="shared" si="19"/>
        <v>#VALUE!</v>
      </c>
      <c r="X15" s="102" t="str">
        <f t="shared" si="20"/>
        <v/>
      </c>
      <c r="Y15" s="106">
        <f t="shared" si="21"/>
        <v>2078461.92</v>
      </c>
      <c r="Z15" s="142">
        <f t="shared" si="22"/>
        <v>2078461.92</v>
      </c>
      <c r="AA15" s="143" t="str">
        <f>IFERROR(Y15/V15,"")</f>
        <v/>
      </c>
      <c r="AB15" s="100" t="str">
        <f t="shared" si="23"/>
        <v/>
      </c>
      <c r="AC15" s="144">
        <v>600000</v>
      </c>
      <c r="AD15" s="102" t="e">
        <f t="shared" si="24"/>
        <v>#VALUE!</v>
      </c>
      <c r="AE15" s="102" t="str">
        <f t="shared" si="25"/>
        <v/>
      </c>
      <c r="AF15" s="102">
        <f t="shared" si="26"/>
        <v>2424631.19</v>
      </c>
      <c r="AG15" s="145">
        <f t="shared" si="27"/>
        <v>1824631.19</v>
      </c>
      <c r="AH15" s="158">
        <f t="shared" ref="AH15:AH21" si="108">IFERROR(AF15/AC15,"")</f>
        <v>4.0410519833333334</v>
      </c>
      <c r="AI15" s="110">
        <f t="shared" si="103"/>
        <v>600000</v>
      </c>
      <c r="AJ15" s="111">
        <f t="shared" si="30"/>
        <v>2473307.54</v>
      </c>
      <c r="AK15" s="102">
        <f t="shared" si="31"/>
        <v>0</v>
      </c>
      <c r="AL15" s="102" t="e">
        <f t="shared" si="32"/>
        <v>#VALUE!</v>
      </c>
      <c r="AM15" s="102">
        <f t="shared" si="33"/>
        <v>4907566.1899999995</v>
      </c>
      <c r="AN15" s="102">
        <f t="shared" si="34"/>
        <v>2434258.6499999994</v>
      </c>
      <c r="AO15" s="112">
        <f t="shared" si="35"/>
        <v>1.9842118744359625</v>
      </c>
      <c r="AP15" s="100" t="str">
        <f t="shared" si="36"/>
        <v/>
      </c>
      <c r="AQ15" s="113" t="e">
        <f t="shared" si="37"/>
        <v>#VALUE!</v>
      </c>
      <c r="AR15" s="114" t="str">
        <f t="shared" si="38"/>
        <v/>
      </c>
      <c r="AS15" s="115">
        <f t="shared" si="39"/>
        <v>1790094.53</v>
      </c>
      <c r="AT15" s="100" t="str">
        <f t="shared" si="40"/>
        <v/>
      </c>
      <c r="AU15" s="113" t="e">
        <f t="shared" si="41"/>
        <v>#VALUE!</v>
      </c>
      <c r="AV15" s="116" t="str">
        <f t="shared" si="42"/>
        <v/>
      </c>
      <c r="AW15" s="117">
        <f t="shared" si="43"/>
        <v>1561155.25</v>
      </c>
      <c r="AX15" s="100" t="str">
        <f t="shared" si="44"/>
        <v/>
      </c>
      <c r="AY15" s="113" t="e">
        <f t="shared" si="45"/>
        <v>#VALUE!</v>
      </c>
      <c r="AZ15" s="114" t="str">
        <f t="shared" si="46"/>
        <v/>
      </c>
      <c r="BA15" s="100">
        <f t="shared" si="47"/>
        <v>1219328.21</v>
      </c>
      <c r="BB15" s="118" t="e">
        <f t="shared" ref="BB15:BD15" si="109">BH15+AY15+AU15</f>
        <v>#VALUE!</v>
      </c>
      <c r="BC15" s="116" t="e">
        <f t="shared" si="109"/>
        <v>#VALUE!</v>
      </c>
      <c r="BD15" s="119">
        <f t="shared" si="109"/>
        <v>3500928.9699999997</v>
      </c>
      <c r="BE15" s="118" t="e">
        <f t="shared" si="49"/>
        <v>#VALUE!</v>
      </c>
      <c r="BF15" s="116" t="e">
        <f t="shared" si="50"/>
        <v>#VALUE!</v>
      </c>
      <c r="BG15" s="119">
        <f t="shared" si="51"/>
        <v>8408495.1600000001</v>
      </c>
      <c r="BH15" s="114" t="e">
        <f t="shared" si="52"/>
        <v>#VALUE!</v>
      </c>
      <c r="BI15" s="114" t="str">
        <f t="shared" si="53"/>
        <v/>
      </c>
      <c r="BJ15" s="115">
        <f t="shared" si="54"/>
        <v>720445.51</v>
      </c>
      <c r="BK15" s="125" t="str">
        <f t="shared" si="55"/>
        <v/>
      </c>
      <c r="BL15" s="120" t="e">
        <f t="shared" si="56"/>
        <v>#VALUE!</v>
      </c>
      <c r="BM15" s="121" t="str">
        <f t="shared" si="57"/>
        <v/>
      </c>
      <c r="BN15" s="119">
        <f t="shared" si="58"/>
        <v>631748.06000000006</v>
      </c>
      <c r="BO15" s="125" t="str">
        <f t="shared" si="59"/>
        <v/>
      </c>
      <c r="BP15" s="140" t="e">
        <f t="shared" si="60"/>
        <v>#VALUE!</v>
      </c>
      <c r="BQ15" s="123" t="str">
        <f t="shared" si="61"/>
        <v/>
      </c>
      <c r="BR15" s="125">
        <f t="shared" si="62"/>
        <v>2903013.28</v>
      </c>
      <c r="BS15" s="122" t="e">
        <f t="shared" si="63"/>
        <v>#VALUE!</v>
      </c>
      <c r="BT15" s="123">
        <f t="shared" ref="BT15:BU15" si="110">SUM(BI15,BM15,BQ15)</f>
        <v>0</v>
      </c>
      <c r="BU15" s="124">
        <f t="shared" si="110"/>
        <v>4255206.8499999996</v>
      </c>
      <c r="BV15" s="125" t="str">
        <f t="shared" si="65"/>
        <v/>
      </c>
      <c r="BW15" s="122" t="e">
        <f t="shared" si="66"/>
        <v>#VALUE!</v>
      </c>
      <c r="BX15" s="123" t="str">
        <f t="shared" si="67"/>
        <v/>
      </c>
      <c r="BY15" s="124">
        <f t="shared" si="68"/>
        <v>5264118.7</v>
      </c>
      <c r="BZ15" s="125" t="str">
        <f t="shared" si="69"/>
        <v/>
      </c>
      <c r="CA15" s="140"/>
      <c r="CB15" s="123"/>
      <c r="CC15" s="148"/>
      <c r="CD15" s="123" t="str">
        <f t="shared" si="70"/>
        <v/>
      </c>
      <c r="CF15" s="126"/>
      <c r="CI15" s="231" t="s">
        <v>78</v>
      </c>
      <c r="CJ15" s="232"/>
      <c r="CK15" s="232"/>
    </row>
    <row r="16" spans="1:117" ht="14">
      <c r="A16" s="92">
        <f t="shared" si="0"/>
        <v>112012345</v>
      </c>
      <c r="B16" s="172">
        <f t="shared" si="91"/>
        <v>7</v>
      </c>
      <c r="C16" s="137">
        <f t="shared" si="2"/>
        <v>0.1</v>
      </c>
      <c r="D16" s="137">
        <f t="shared" si="3"/>
        <v>0.2</v>
      </c>
      <c r="E16" s="138">
        <f t="shared" si="4"/>
        <v>0</v>
      </c>
      <c r="F16" s="193">
        <f>IFERROR(VLOOKUP(M16,BASILECART2,2,FALSE),"")</f>
        <v>7</v>
      </c>
      <c r="G16" s="97">
        <f t="shared" si="6"/>
        <v>0.1</v>
      </c>
      <c r="H16" s="97">
        <f t="shared" si="7"/>
        <v>0.2</v>
      </c>
      <c r="I16" s="97">
        <f t="shared" si="8"/>
        <v>0</v>
      </c>
      <c r="J16" s="96">
        <f t="shared" si="9"/>
        <v>62</v>
      </c>
      <c r="K16" s="94">
        <f t="shared" si="10"/>
        <v>0.1</v>
      </c>
      <c r="L16" s="98">
        <f t="shared" si="11"/>
        <v>0.11</v>
      </c>
      <c r="M16" s="139" t="s">
        <v>79</v>
      </c>
      <c r="N16" s="100">
        <f t="shared" si="12"/>
        <v>0</v>
      </c>
      <c r="O16" s="140">
        <f t="shared" ref="O16:O17" si="111">(N16*1.601)*1.05</f>
        <v>0</v>
      </c>
      <c r="P16" s="102">
        <f t="shared" si="13"/>
        <v>0</v>
      </c>
      <c r="Q16" s="102">
        <f t="shared" si="14"/>
        <v>0</v>
      </c>
      <c r="R16" s="102">
        <f t="shared" si="15"/>
        <v>0</v>
      </c>
      <c r="S16" s="102">
        <f t="shared" si="16"/>
        <v>0</v>
      </c>
      <c r="T16" s="103" t="e">
        <f t="shared" si="17"/>
        <v>#DIV/0!</v>
      </c>
      <c r="U16" s="100">
        <f t="shared" si="18"/>
        <v>0</v>
      </c>
      <c r="V16" s="141">
        <f t="shared" ref="V16:V17" si="112">U16*1.7245</f>
        <v>0</v>
      </c>
      <c r="W16" s="105">
        <f t="shared" si="19"/>
        <v>118484.04</v>
      </c>
      <c r="X16" s="102">
        <f t="shared" si="20"/>
        <v>0</v>
      </c>
      <c r="Y16" s="106">
        <f t="shared" si="21"/>
        <v>118484.04</v>
      </c>
      <c r="Z16" s="142">
        <f t="shared" si="22"/>
        <v>118484.04</v>
      </c>
      <c r="AA16" s="143" t="e">
        <f>Y16/V16</f>
        <v>#DIV/0!</v>
      </c>
      <c r="AB16" s="100">
        <f t="shared" si="23"/>
        <v>30978</v>
      </c>
      <c r="AC16" s="140">
        <f t="shared" ref="AC16:AC17" si="113">(AB16*1.5955)*1.03</f>
        <v>50908.160969999997</v>
      </c>
      <c r="AD16" s="102">
        <f t="shared" si="24"/>
        <v>0</v>
      </c>
      <c r="AE16" s="102">
        <f t="shared" si="25"/>
        <v>0</v>
      </c>
      <c r="AF16" s="102">
        <f t="shared" si="26"/>
        <v>0</v>
      </c>
      <c r="AG16" s="145">
        <f t="shared" si="27"/>
        <v>-50908.160969999997</v>
      </c>
      <c r="AH16" s="158">
        <f t="shared" si="108"/>
        <v>0</v>
      </c>
      <c r="AI16" s="147">
        <f t="shared" si="103"/>
        <v>50908.160969999997</v>
      </c>
      <c r="AJ16" s="111" t="str">
        <f t="shared" si="30"/>
        <v>0</v>
      </c>
      <c r="AK16" s="102">
        <f t="shared" si="31"/>
        <v>0</v>
      </c>
      <c r="AL16" s="102">
        <f t="shared" si="32"/>
        <v>118484.04</v>
      </c>
      <c r="AM16" s="102">
        <f t="shared" si="33"/>
        <v>118484.04</v>
      </c>
      <c r="AN16" s="102">
        <f t="shared" si="34"/>
        <v>118484.04</v>
      </c>
      <c r="AO16" s="112" t="e">
        <f t="shared" si="35"/>
        <v>#DIV/0!</v>
      </c>
      <c r="AP16" s="100">
        <f t="shared" si="36"/>
        <v>0</v>
      </c>
      <c r="AQ16" s="113">
        <f t="shared" si="37"/>
        <v>0</v>
      </c>
      <c r="AR16" s="114">
        <f t="shared" si="38"/>
        <v>0</v>
      </c>
      <c r="AS16" s="115">
        <f t="shared" si="39"/>
        <v>0</v>
      </c>
      <c r="AT16" s="100">
        <f t="shared" si="40"/>
        <v>0</v>
      </c>
      <c r="AU16" s="113">
        <f t="shared" si="41"/>
        <v>137728.64000000001</v>
      </c>
      <c r="AV16" s="116">
        <f t="shared" si="42"/>
        <v>0</v>
      </c>
      <c r="AW16" s="117">
        <f t="shared" si="43"/>
        <v>137728.64000000001</v>
      </c>
      <c r="AX16" s="100">
        <f t="shared" si="44"/>
        <v>0</v>
      </c>
      <c r="AY16" s="113">
        <f t="shared" si="45"/>
        <v>389603.45</v>
      </c>
      <c r="AZ16" s="114">
        <f t="shared" si="46"/>
        <v>48875.7</v>
      </c>
      <c r="BA16" s="100">
        <f t="shared" si="47"/>
        <v>438479.15</v>
      </c>
      <c r="BB16" s="118">
        <f t="shared" ref="BB16:BD16" si="114">BH16+AY16+AU16</f>
        <v>1770563.44</v>
      </c>
      <c r="BC16" s="116">
        <f t="shared" si="114"/>
        <v>117562.8</v>
      </c>
      <c r="BD16" s="119">
        <f t="shared" si="114"/>
        <v>1888126.2400000002</v>
      </c>
      <c r="BE16" s="118">
        <f t="shared" si="49"/>
        <v>1889047.48</v>
      </c>
      <c r="BF16" s="116">
        <f t="shared" si="50"/>
        <v>117562.8</v>
      </c>
      <c r="BG16" s="119">
        <f t="shared" si="51"/>
        <v>2006610.2800000003</v>
      </c>
      <c r="BH16" s="114">
        <f t="shared" si="52"/>
        <v>1243231.3499999999</v>
      </c>
      <c r="BI16" s="114">
        <f t="shared" si="53"/>
        <v>68687.100000000006</v>
      </c>
      <c r="BJ16" s="115">
        <f t="shared" si="54"/>
        <v>1311918.45</v>
      </c>
      <c r="BK16" s="125">
        <f t="shared" si="55"/>
        <v>0</v>
      </c>
      <c r="BL16" s="120">
        <f t="shared" si="56"/>
        <v>720367.25</v>
      </c>
      <c r="BM16" s="121">
        <f t="shared" si="57"/>
        <v>106479.58</v>
      </c>
      <c r="BN16" s="119">
        <f t="shared" si="58"/>
        <v>826846.83</v>
      </c>
      <c r="BO16" s="125">
        <f t="shared" si="59"/>
        <v>0</v>
      </c>
      <c r="BP16" s="140">
        <f t="shared" si="60"/>
        <v>737395.63</v>
      </c>
      <c r="BQ16" s="123">
        <f t="shared" si="61"/>
        <v>20917.52</v>
      </c>
      <c r="BR16" s="125">
        <f t="shared" si="62"/>
        <v>758313.15</v>
      </c>
      <c r="BS16" s="122">
        <f t="shared" si="63"/>
        <v>2700994.23</v>
      </c>
      <c r="BT16" s="123">
        <f t="shared" ref="BT16:BU16" si="115">SUM(BI16,BM16,BQ16)</f>
        <v>196084.19999999998</v>
      </c>
      <c r="BU16" s="124">
        <f t="shared" si="115"/>
        <v>2897078.4299999997</v>
      </c>
      <c r="BV16" s="125">
        <f t="shared" si="65"/>
        <v>0</v>
      </c>
      <c r="BW16" s="122">
        <f t="shared" si="66"/>
        <v>845066.29</v>
      </c>
      <c r="BX16" s="123">
        <f t="shared" si="67"/>
        <v>0</v>
      </c>
      <c r="BY16" s="124">
        <f t="shared" si="68"/>
        <v>845066.29</v>
      </c>
      <c r="BZ16" s="125">
        <f t="shared" si="69"/>
        <v>0</v>
      </c>
      <c r="CA16" s="140"/>
      <c r="CB16" s="123"/>
      <c r="CC16" s="148"/>
      <c r="CD16" s="123">
        <f t="shared" si="70"/>
        <v>0</v>
      </c>
      <c r="CF16" s="126"/>
      <c r="CI16" s="231" t="s">
        <v>80</v>
      </c>
      <c r="CJ16" s="231"/>
      <c r="CK16" s="231"/>
    </row>
    <row r="17" spans="1:89" ht="14">
      <c r="A17" s="92">
        <f t="shared" si="0"/>
        <v>112014704</v>
      </c>
      <c r="B17" s="172">
        <f t="shared" si="91"/>
        <v>7</v>
      </c>
      <c r="C17" s="137">
        <f t="shared" si="2"/>
        <v>0.1</v>
      </c>
      <c r="D17" s="137">
        <f t="shared" si="3"/>
        <v>0.2</v>
      </c>
      <c r="E17" s="138">
        <f t="shared" si="4"/>
        <v>0</v>
      </c>
      <c r="F17" s="96">
        <f>VLOOKUP(M17,BASILECART2,2,FALSE)</f>
        <v>7</v>
      </c>
      <c r="G17" s="97">
        <f t="shared" si="6"/>
        <v>0.1</v>
      </c>
      <c r="H17" s="97">
        <f t="shared" si="7"/>
        <v>0.2</v>
      </c>
      <c r="I17" s="97">
        <f t="shared" si="8"/>
        <v>0</v>
      </c>
      <c r="J17" s="96">
        <f t="shared" si="9"/>
        <v>62</v>
      </c>
      <c r="K17" s="94">
        <f t="shared" si="10"/>
        <v>0.1</v>
      </c>
      <c r="L17" s="98">
        <f t="shared" si="11"/>
        <v>0.11</v>
      </c>
      <c r="M17" s="233" t="s">
        <v>81</v>
      </c>
      <c r="N17" s="100" t="str">
        <f t="shared" si="12"/>
        <v/>
      </c>
      <c r="O17" s="140" t="e">
        <f t="shared" si="111"/>
        <v>#VALUE!</v>
      </c>
      <c r="P17" s="102" t="e">
        <f t="shared" si="13"/>
        <v>#VALUE!</v>
      </c>
      <c r="Q17" s="102" t="str">
        <f t="shared" si="14"/>
        <v/>
      </c>
      <c r="R17" s="102" t="str">
        <f t="shared" si="15"/>
        <v/>
      </c>
      <c r="S17" s="102" t="e">
        <f t="shared" si="16"/>
        <v>#VALUE!</v>
      </c>
      <c r="T17" s="103" t="e">
        <f t="shared" si="17"/>
        <v>#VALUE!</v>
      </c>
      <c r="U17" s="100" t="str">
        <f t="shared" si="18"/>
        <v/>
      </c>
      <c r="V17" s="141" t="e">
        <f t="shared" si="112"/>
        <v>#VALUE!</v>
      </c>
      <c r="W17" s="105" t="e">
        <f t="shared" si="19"/>
        <v>#VALUE!</v>
      </c>
      <c r="X17" s="102" t="str">
        <f t="shared" si="20"/>
        <v/>
      </c>
      <c r="Y17" s="106" t="str">
        <f t="shared" si="21"/>
        <v/>
      </c>
      <c r="Z17" s="142" t="e">
        <f t="shared" si="22"/>
        <v>#VALUE!</v>
      </c>
      <c r="AA17" s="143" t="str">
        <f>IFERROR(Y17/V17,"")</f>
        <v/>
      </c>
      <c r="AB17" s="100" t="str">
        <f t="shared" si="23"/>
        <v/>
      </c>
      <c r="AC17" s="140" t="e">
        <f t="shared" si="113"/>
        <v>#VALUE!</v>
      </c>
      <c r="AD17" s="102" t="e">
        <f t="shared" si="24"/>
        <v>#VALUE!</v>
      </c>
      <c r="AE17" s="102" t="str">
        <f t="shared" si="25"/>
        <v/>
      </c>
      <c r="AF17" s="102" t="str">
        <f t="shared" si="26"/>
        <v/>
      </c>
      <c r="AG17" s="145" t="e">
        <f t="shared" si="27"/>
        <v>#VALUE!</v>
      </c>
      <c r="AH17" s="158" t="str">
        <f t="shared" si="108"/>
        <v/>
      </c>
      <c r="AI17" s="147" t="e">
        <f t="shared" si="103"/>
        <v>#VALUE!</v>
      </c>
      <c r="AJ17" s="111" t="str">
        <f t="shared" si="30"/>
        <v>0</v>
      </c>
      <c r="AK17" s="102">
        <f t="shared" si="31"/>
        <v>0</v>
      </c>
      <c r="AL17" s="102" t="e">
        <f t="shared" si="32"/>
        <v>#VALUE!</v>
      </c>
      <c r="AM17" s="102" t="e">
        <f t="shared" si="33"/>
        <v>#VALUE!</v>
      </c>
      <c r="AN17" s="102" t="e">
        <f t="shared" si="34"/>
        <v>#VALUE!</v>
      </c>
      <c r="AO17" s="112" t="e">
        <f t="shared" si="35"/>
        <v>#VALUE!</v>
      </c>
      <c r="AP17" s="100" t="str">
        <f t="shared" si="36"/>
        <v/>
      </c>
      <c r="AQ17" s="113" t="e">
        <f t="shared" si="37"/>
        <v>#VALUE!</v>
      </c>
      <c r="AR17" s="114" t="str">
        <f t="shared" si="38"/>
        <v/>
      </c>
      <c r="AS17" s="115" t="str">
        <f t="shared" si="39"/>
        <v/>
      </c>
      <c r="AT17" s="100" t="str">
        <f t="shared" si="40"/>
        <v/>
      </c>
      <c r="AU17" s="113" t="e">
        <f t="shared" si="41"/>
        <v>#VALUE!</v>
      </c>
      <c r="AV17" s="116" t="str">
        <f t="shared" si="42"/>
        <v/>
      </c>
      <c r="AW17" s="117" t="str">
        <f t="shared" si="43"/>
        <v/>
      </c>
      <c r="AX17" s="100" t="str">
        <f t="shared" si="44"/>
        <v/>
      </c>
      <c r="AY17" s="113" t="e">
        <f t="shared" si="45"/>
        <v>#VALUE!</v>
      </c>
      <c r="AZ17" s="114" t="str">
        <f t="shared" si="46"/>
        <v/>
      </c>
      <c r="BA17" s="100" t="str">
        <f t="shared" si="47"/>
        <v/>
      </c>
      <c r="BB17" s="118" t="e">
        <f t="shared" ref="BB17:BD17" si="116">BH17+AY17+AU17</f>
        <v>#VALUE!</v>
      </c>
      <c r="BC17" s="116" t="e">
        <f t="shared" si="116"/>
        <v>#VALUE!</v>
      </c>
      <c r="BD17" s="119" t="e">
        <f t="shared" si="116"/>
        <v>#VALUE!</v>
      </c>
      <c r="BE17" s="118" t="e">
        <f t="shared" si="49"/>
        <v>#VALUE!</v>
      </c>
      <c r="BF17" s="116" t="e">
        <f t="shared" si="50"/>
        <v>#VALUE!</v>
      </c>
      <c r="BG17" s="119" t="e">
        <f t="shared" si="51"/>
        <v>#VALUE!</v>
      </c>
      <c r="BH17" s="114" t="e">
        <f t="shared" si="52"/>
        <v>#VALUE!</v>
      </c>
      <c r="BI17" s="114" t="str">
        <f t="shared" si="53"/>
        <v/>
      </c>
      <c r="BJ17" s="115" t="str">
        <f t="shared" si="54"/>
        <v/>
      </c>
      <c r="BK17" s="125" t="str">
        <f t="shared" si="55"/>
        <v/>
      </c>
      <c r="BL17" s="120" t="e">
        <f t="shared" si="56"/>
        <v>#VALUE!</v>
      </c>
      <c r="BM17" s="121" t="str">
        <f t="shared" si="57"/>
        <v/>
      </c>
      <c r="BN17" s="119" t="str">
        <f t="shared" si="58"/>
        <v/>
      </c>
      <c r="BO17" s="125" t="str">
        <f t="shared" si="59"/>
        <v/>
      </c>
      <c r="BP17" s="140" t="e">
        <f t="shared" si="60"/>
        <v>#VALUE!</v>
      </c>
      <c r="BQ17" s="123" t="str">
        <f t="shared" si="61"/>
        <v/>
      </c>
      <c r="BR17" s="125" t="str">
        <f t="shared" si="62"/>
        <v/>
      </c>
      <c r="BS17" s="122" t="e">
        <f t="shared" si="63"/>
        <v>#VALUE!</v>
      </c>
      <c r="BT17" s="123">
        <f t="shared" ref="BT17:BU17" si="117">SUM(BI17,BM17,BQ17)</f>
        <v>0</v>
      </c>
      <c r="BU17" s="124">
        <f t="shared" si="117"/>
        <v>0</v>
      </c>
      <c r="BV17" s="125" t="str">
        <f t="shared" si="65"/>
        <v/>
      </c>
      <c r="BW17" s="122" t="e">
        <f t="shared" si="66"/>
        <v>#VALUE!</v>
      </c>
      <c r="BX17" s="123" t="str">
        <f t="shared" si="67"/>
        <v/>
      </c>
      <c r="BY17" s="124" t="str">
        <f t="shared" si="68"/>
        <v/>
      </c>
      <c r="BZ17" s="125" t="str">
        <f t="shared" si="69"/>
        <v/>
      </c>
      <c r="CA17" s="140"/>
      <c r="CB17" s="123"/>
      <c r="CC17" s="148"/>
      <c r="CD17" s="123" t="str">
        <f t="shared" si="70"/>
        <v/>
      </c>
      <c r="CF17" s="126"/>
      <c r="CI17" s="231" t="s">
        <v>82</v>
      </c>
      <c r="CJ17" s="232"/>
      <c r="CK17" s="232"/>
    </row>
    <row r="18" spans="1:89" ht="13">
      <c r="A18" s="92">
        <f t="shared" si="0"/>
        <v>112013552</v>
      </c>
      <c r="B18" s="172">
        <f t="shared" si="91"/>
        <v>7</v>
      </c>
      <c r="C18" s="234">
        <f t="shared" si="2"/>
        <v>0.1</v>
      </c>
      <c r="D18" s="234">
        <f t="shared" si="3"/>
        <v>0.2</v>
      </c>
      <c r="E18" s="235">
        <f t="shared" si="4"/>
        <v>0</v>
      </c>
      <c r="F18" s="96">
        <f>VLOOKUP(M18,BASILECART2,2,FALSE)</f>
        <v>7</v>
      </c>
      <c r="G18" s="97">
        <f t="shared" si="6"/>
        <v>0.1</v>
      </c>
      <c r="H18" s="97">
        <f t="shared" si="7"/>
        <v>0.2</v>
      </c>
      <c r="I18" s="97">
        <f t="shared" si="8"/>
        <v>0</v>
      </c>
      <c r="J18" s="96">
        <f t="shared" si="9"/>
        <v>62</v>
      </c>
      <c r="K18" s="94">
        <f t="shared" si="10"/>
        <v>0.1</v>
      </c>
      <c r="L18" s="98">
        <f t="shared" si="11"/>
        <v>0.11</v>
      </c>
      <c r="M18" s="139" t="s">
        <v>83</v>
      </c>
      <c r="N18" s="100">
        <f t="shared" si="12"/>
        <v>1137654.6599999999</v>
      </c>
      <c r="O18" s="236">
        <v>1800000</v>
      </c>
      <c r="P18" s="102">
        <f t="shared" si="13"/>
        <v>384630.36999999988</v>
      </c>
      <c r="Q18" s="102">
        <f t="shared" si="14"/>
        <v>1489233.12</v>
      </c>
      <c r="R18" s="102">
        <f t="shared" si="15"/>
        <v>1873863.49</v>
      </c>
      <c r="S18" s="102">
        <f t="shared" si="16"/>
        <v>73863.489999999991</v>
      </c>
      <c r="T18" s="103">
        <f t="shared" si="17"/>
        <v>1.0410352722222223</v>
      </c>
      <c r="U18" s="100">
        <f t="shared" si="18"/>
        <v>814382.31</v>
      </c>
      <c r="V18" s="237">
        <v>1800000</v>
      </c>
      <c r="W18" s="105">
        <f t="shared" si="19"/>
        <v>629128.33000000007</v>
      </c>
      <c r="X18" s="102">
        <f t="shared" si="20"/>
        <v>879159.28</v>
      </c>
      <c r="Y18" s="106">
        <f t="shared" si="21"/>
        <v>1508287.61</v>
      </c>
      <c r="Z18" s="142">
        <f t="shared" si="22"/>
        <v>-291712.3899999999</v>
      </c>
      <c r="AA18" s="143">
        <f t="shared" ref="AA18:AA28" si="118">Y18/V18</f>
        <v>0.83793756111111117</v>
      </c>
      <c r="AB18" s="100">
        <f t="shared" si="23"/>
        <v>1391480.11</v>
      </c>
      <c r="AC18" s="236">
        <v>1800000</v>
      </c>
      <c r="AD18" s="102">
        <f t="shared" si="24"/>
        <v>423780.52</v>
      </c>
      <c r="AE18" s="102">
        <f t="shared" si="25"/>
        <v>1093806.76</v>
      </c>
      <c r="AF18" s="102">
        <f t="shared" si="26"/>
        <v>1517587.28</v>
      </c>
      <c r="AG18" s="145">
        <f t="shared" si="27"/>
        <v>-282412.71999999997</v>
      </c>
      <c r="AH18" s="158">
        <f t="shared" si="108"/>
        <v>0.84310404444444442</v>
      </c>
      <c r="AI18" s="147">
        <f t="shared" si="103"/>
        <v>5400000</v>
      </c>
      <c r="AJ18" s="111">
        <f t="shared" si="30"/>
        <v>3690357.45</v>
      </c>
      <c r="AK18" s="102">
        <f t="shared" si="31"/>
        <v>3462199.16</v>
      </c>
      <c r="AL18" s="102">
        <f t="shared" si="32"/>
        <v>1437539.22</v>
      </c>
      <c r="AM18" s="102">
        <f t="shared" si="33"/>
        <v>4899738.38</v>
      </c>
      <c r="AN18" s="102">
        <f t="shared" si="34"/>
        <v>1209380.9299999997</v>
      </c>
      <c r="AO18" s="112">
        <f t="shared" si="35"/>
        <v>1.3277137638794312</v>
      </c>
      <c r="AP18" s="100">
        <f t="shared" si="36"/>
        <v>1120630.23</v>
      </c>
      <c r="AQ18" s="113">
        <f t="shared" si="37"/>
        <v>0</v>
      </c>
      <c r="AR18" s="114">
        <f t="shared" si="38"/>
        <v>971367.2</v>
      </c>
      <c r="AS18" s="115">
        <f t="shared" si="39"/>
        <v>971367.2</v>
      </c>
      <c r="AT18" s="100">
        <f t="shared" si="40"/>
        <v>1178306.54</v>
      </c>
      <c r="AU18" s="113">
        <f t="shared" si="41"/>
        <v>0</v>
      </c>
      <c r="AV18" s="116">
        <f t="shared" si="42"/>
        <v>1390304.48</v>
      </c>
      <c r="AW18" s="117">
        <f t="shared" si="43"/>
        <v>1390304.48</v>
      </c>
      <c r="AX18" s="100">
        <f t="shared" si="44"/>
        <v>1088045.19</v>
      </c>
      <c r="AY18" s="113">
        <f t="shared" si="45"/>
        <v>445938.39000000013</v>
      </c>
      <c r="AZ18" s="114">
        <f t="shared" si="46"/>
        <v>1589702.48</v>
      </c>
      <c r="BA18" s="100">
        <f t="shared" si="47"/>
        <v>2035640.87</v>
      </c>
      <c r="BB18" s="118">
        <f t="shared" ref="BB18:BD18" si="119">BH18+AY18+AU18</f>
        <v>790049.6100000001</v>
      </c>
      <c r="BC18" s="116">
        <f t="shared" si="119"/>
        <v>4668807.5199999996</v>
      </c>
      <c r="BD18" s="119">
        <f t="shared" si="119"/>
        <v>5458857.1300000008</v>
      </c>
      <c r="BE18" s="118">
        <f t="shared" si="49"/>
        <v>2227588.83</v>
      </c>
      <c r="BF18" s="116">
        <f t="shared" si="50"/>
        <v>8131006.6799999997</v>
      </c>
      <c r="BG18" s="119">
        <f t="shared" si="51"/>
        <v>10358595.510000002</v>
      </c>
      <c r="BH18" s="114">
        <f t="shared" si="52"/>
        <v>344111.22</v>
      </c>
      <c r="BI18" s="114">
        <f t="shared" si="53"/>
        <v>1688800.56</v>
      </c>
      <c r="BJ18" s="115">
        <f t="shared" si="54"/>
        <v>2032911.78</v>
      </c>
      <c r="BK18" s="125">
        <f t="shared" si="55"/>
        <v>1146705.83</v>
      </c>
      <c r="BL18" s="120">
        <f t="shared" si="56"/>
        <v>174453.83999999997</v>
      </c>
      <c r="BM18" s="121">
        <f t="shared" si="57"/>
        <v>1004273.84</v>
      </c>
      <c r="BN18" s="119">
        <f t="shared" si="58"/>
        <v>1178727.68</v>
      </c>
      <c r="BO18" s="125">
        <f t="shared" si="59"/>
        <v>1021430.5</v>
      </c>
      <c r="BP18" s="140">
        <f t="shared" si="60"/>
        <v>221737.52000000002</v>
      </c>
      <c r="BQ18" s="123">
        <f t="shared" si="61"/>
        <v>609911.76</v>
      </c>
      <c r="BR18" s="125">
        <f t="shared" si="62"/>
        <v>831649.28000000003</v>
      </c>
      <c r="BS18" s="122">
        <f t="shared" si="63"/>
        <v>740302.58</v>
      </c>
      <c r="BT18" s="123">
        <f t="shared" ref="BT18:BU18" si="120">SUM(BI18,BM18,BQ18)</f>
        <v>3302986.16</v>
      </c>
      <c r="BU18" s="124">
        <f t="shared" si="120"/>
        <v>4043288.74</v>
      </c>
      <c r="BV18" s="125">
        <f t="shared" si="65"/>
        <v>2361855.1</v>
      </c>
      <c r="BW18" s="122">
        <f t="shared" si="66"/>
        <v>1018707.4099999999</v>
      </c>
      <c r="BX18" s="123">
        <f t="shared" si="67"/>
        <v>1428185.55</v>
      </c>
      <c r="BY18" s="124">
        <f t="shared" si="68"/>
        <v>2446892.96</v>
      </c>
      <c r="BZ18" s="125">
        <f t="shared" si="69"/>
        <v>734907.39</v>
      </c>
      <c r="CA18" s="140"/>
      <c r="CB18" s="123"/>
      <c r="CC18" s="148"/>
      <c r="CD18" s="123">
        <f t="shared" si="70"/>
        <v>593594.96</v>
      </c>
      <c r="CF18" s="149"/>
      <c r="CI18" s="231" t="s">
        <v>84</v>
      </c>
      <c r="CJ18" s="231"/>
      <c r="CK18" s="231"/>
    </row>
    <row r="19" spans="1:89" ht="13">
      <c r="A19" s="92">
        <f t="shared" si="0"/>
        <v>112012249</v>
      </c>
      <c r="B19" s="172">
        <f t="shared" si="91"/>
        <v>8</v>
      </c>
      <c r="C19" s="137">
        <f>VLOOKUP(B19,DES,2,FALSE)</f>
        <v>0.1</v>
      </c>
      <c r="D19" s="234">
        <f>VLOOKUP(B19,DES,3,FALSE)</f>
        <v>0.2</v>
      </c>
      <c r="E19" s="238">
        <f>VLOOKUP(B19,DES,4,FALSE)</f>
        <v>0.23</v>
      </c>
      <c r="F19" s="96">
        <f>VLOOKUP(M19,BASILECART2,2,FALSE)</f>
        <v>8</v>
      </c>
      <c r="G19" s="97">
        <f t="shared" si="6"/>
        <v>0.1</v>
      </c>
      <c r="H19" s="97">
        <f t="shared" si="7"/>
        <v>0.2</v>
      </c>
      <c r="I19" s="97">
        <f t="shared" si="8"/>
        <v>0.23</v>
      </c>
      <c r="J19" s="96">
        <f t="shared" si="9"/>
        <v>62</v>
      </c>
      <c r="K19" s="94">
        <f t="shared" si="10"/>
        <v>0.1</v>
      </c>
      <c r="L19" s="98">
        <f t="shared" si="11"/>
        <v>0.11</v>
      </c>
      <c r="M19" s="139" t="s">
        <v>85</v>
      </c>
      <c r="N19" s="100">
        <f t="shared" si="12"/>
        <v>1577310.95</v>
      </c>
      <c r="O19" s="236">
        <v>1800000</v>
      </c>
      <c r="P19" s="102">
        <f t="shared" si="13"/>
        <v>1702833.2800000003</v>
      </c>
      <c r="Q19" s="102">
        <f t="shared" si="14"/>
        <v>3261466.71</v>
      </c>
      <c r="R19" s="102">
        <f t="shared" si="15"/>
        <v>4964299.99</v>
      </c>
      <c r="S19" s="102">
        <f t="shared" si="16"/>
        <v>3164299.99</v>
      </c>
      <c r="T19" s="103">
        <f t="shared" si="17"/>
        <v>2.757944438888889</v>
      </c>
      <c r="U19" s="100">
        <f t="shared" si="18"/>
        <v>2374619.66</v>
      </c>
      <c r="V19" s="237">
        <v>1800000</v>
      </c>
      <c r="W19" s="105">
        <f t="shared" si="19"/>
        <v>654551.85999999987</v>
      </c>
      <c r="X19" s="102">
        <f t="shared" si="20"/>
        <v>3501785.17</v>
      </c>
      <c r="Y19" s="106">
        <f t="shared" si="21"/>
        <v>4156337.03</v>
      </c>
      <c r="Z19" s="142">
        <f t="shared" si="22"/>
        <v>2356337.0299999998</v>
      </c>
      <c r="AA19" s="143">
        <f t="shared" si="118"/>
        <v>2.3090761277777778</v>
      </c>
      <c r="AB19" s="100">
        <f t="shared" si="23"/>
        <v>3635729.18</v>
      </c>
      <c r="AC19" s="236">
        <v>1800000</v>
      </c>
      <c r="AD19" s="102">
        <f t="shared" si="24"/>
        <v>454185.63999999966</v>
      </c>
      <c r="AE19" s="102">
        <f t="shared" si="25"/>
        <v>4262906.33</v>
      </c>
      <c r="AF19" s="102">
        <f t="shared" si="26"/>
        <v>4717091.97</v>
      </c>
      <c r="AG19" s="145">
        <f t="shared" si="27"/>
        <v>2917091.9699999997</v>
      </c>
      <c r="AH19" s="158">
        <f t="shared" si="108"/>
        <v>2.62060665</v>
      </c>
      <c r="AI19" s="147">
        <f t="shared" si="103"/>
        <v>5400000</v>
      </c>
      <c r="AJ19" s="111">
        <f t="shared" si="30"/>
        <v>14497757.550000001</v>
      </c>
      <c r="AK19" s="102">
        <f t="shared" si="31"/>
        <v>11026158.210000001</v>
      </c>
      <c r="AL19" s="102">
        <f t="shared" si="32"/>
        <v>2811570.78</v>
      </c>
      <c r="AM19" s="102">
        <f t="shared" si="33"/>
        <v>13837728.99</v>
      </c>
      <c r="AN19" s="102">
        <f t="shared" si="34"/>
        <v>-660028.56000000052</v>
      </c>
      <c r="AO19" s="112">
        <f t="shared" si="35"/>
        <v>0.95447374825219089</v>
      </c>
      <c r="AP19" s="100">
        <f t="shared" si="36"/>
        <v>2021494.32</v>
      </c>
      <c r="AQ19" s="113">
        <f t="shared" si="37"/>
        <v>1436761.98</v>
      </c>
      <c r="AR19" s="114">
        <f t="shared" si="38"/>
        <v>2242305.36</v>
      </c>
      <c r="AS19" s="115">
        <f t="shared" si="39"/>
        <v>3679067.34</v>
      </c>
      <c r="AT19" s="100">
        <f t="shared" si="40"/>
        <v>3375735.28</v>
      </c>
      <c r="AU19" s="113">
        <f t="shared" si="41"/>
        <v>0</v>
      </c>
      <c r="AV19" s="116">
        <f t="shared" si="42"/>
        <v>3963899.02</v>
      </c>
      <c r="AW19" s="117">
        <f t="shared" si="43"/>
        <v>3963899.02</v>
      </c>
      <c r="AX19" s="100">
        <f t="shared" si="44"/>
        <v>1657477.54</v>
      </c>
      <c r="AY19" s="113">
        <f t="shared" si="45"/>
        <v>1301731.8199999998</v>
      </c>
      <c r="AZ19" s="114">
        <f t="shared" si="46"/>
        <v>3825575.1</v>
      </c>
      <c r="BA19" s="100">
        <f t="shared" si="47"/>
        <v>5127306.92</v>
      </c>
      <c r="BB19" s="118">
        <f t="shared" ref="BB19:BD19" si="121">BH19+AY19+AU19</f>
        <v>2006731.23</v>
      </c>
      <c r="BC19" s="116">
        <f t="shared" si="121"/>
        <v>13756699.41</v>
      </c>
      <c r="BD19" s="119">
        <f t="shared" si="121"/>
        <v>15763430.640000001</v>
      </c>
      <c r="BE19" s="118">
        <f t="shared" si="49"/>
        <v>4818302.01</v>
      </c>
      <c r="BF19" s="116">
        <f t="shared" si="50"/>
        <v>24782857.620000001</v>
      </c>
      <c r="BG19" s="119">
        <f t="shared" si="51"/>
        <v>29601159.630000003</v>
      </c>
      <c r="BH19" s="114">
        <f t="shared" si="52"/>
        <v>704999.41000000015</v>
      </c>
      <c r="BI19" s="114">
        <f t="shared" si="53"/>
        <v>5967225.29</v>
      </c>
      <c r="BJ19" s="115">
        <f t="shared" si="54"/>
        <v>6672224.7000000002</v>
      </c>
      <c r="BK19" s="125">
        <f t="shared" si="55"/>
        <v>3428497.8</v>
      </c>
      <c r="BL19" s="120">
        <f t="shared" si="56"/>
        <v>400860.90000000037</v>
      </c>
      <c r="BM19" s="121">
        <f t="shared" si="57"/>
        <v>6515716.54</v>
      </c>
      <c r="BN19" s="119">
        <f t="shared" si="58"/>
        <v>6916577.4400000004</v>
      </c>
      <c r="BO19" s="125">
        <f t="shared" si="59"/>
        <v>2880142.68</v>
      </c>
      <c r="BP19" s="140">
        <f t="shared" si="60"/>
        <v>2986449.49</v>
      </c>
      <c r="BQ19" s="123">
        <f t="shared" si="61"/>
        <v>1154855.67</v>
      </c>
      <c r="BR19" s="125">
        <f t="shared" si="62"/>
        <v>4141305.16</v>
      </c>
      <c r="BS19" s="122">
        <f t="shared" si="63"/>
        <v>4092309.8000000007</v>
      </c>
      <c r="BT19" s="123">
        <f t="shared" ref="BT19:BU19" si="122">SUM(BI19,BM19,BQ19)</f>
        <v>13637797.5</v>
      </c>
      <c r="BU19" s="124">
        <f t="shared" si="122"/>
        <v>17730107.300000001</v>
      </c>
      <c r="BV19" s="125">
        <f t="shared" si="65"/>
        <v>3409270.85</v>
      </c>
      <c r="BW19" s="122">
        <f t="shared" si="66"/>
        <v>1372564.0000000002</v>
      </c>
      <c r="BX19" s="123">
        <f t="shared" si="67"/>
        <v>1736558.66</v>
      </c>
      <c r="BY19" s="124">
        <f t="shared" si="68"/>
        <v>3109122.66</v>
      </c>
      <c r="BZ19" s="125">
        <f t="shared" si="69"/>
        <v>3889074.06</v>
      </c>
      <c r="CA19" s="140"/>
      <c r="CB19" s="123"/>
      <c r="CC19" s="148"/>
      <c r="CD19" s="123">
        <f t="shared" si="70"/>
        <v>7199412.6299999999</v>
      </c>
      <c r="CF19" s="126"/>
      <c r="CI19" s="231" t="s">
        <v>86</v>
      </c>
      <c r="CJ19" s="232"/>
      <c r="CK19" s="232"/>
    </row>
    <row r="20" spans="1:89" ht="13">
      <c r="A20" s="92">
        <f t="shared" si="0"/>
        <v>112012542</v>
      </c>
      <c r="B20" s="172">
        <f t="shared" si="91"/>
        <v>7</v>
      </c>
      <c r="C20" s="137">
        <f t="shared" ref="C20:C25" si="123">IFERROR(VLOOKUP(B20,DES,2,FALSE),"")</f>
        <v>0.1</v>
      </c>
      <c r="D20" s="137">
        <f t="shared" ref="D20:D25" si="124">IFERROR(VLOOKUP(B20,DES,3,FALSE),"")</f>
        <v>0.2</v>
      </c>
      <c r="E20" s="138">
        <f t="shared" ref="E20:E25" si="125">IFERROR(VLOOKUP(B20,DES,4,FALSE),"")</f>
        <v>0</v>
      </c>
      <c r="F20" s="193">
        <f>IFERROR(VLOOKUP(M20,BASILECART2,2,FALSE),"")</f>
        <v>7</v>
      </c>
      <c r="G20" s="97">
        <f t="shared" si="6"/>
        <v>0.1</v>
      </c>
      <c r="H20" s="97">
        <f t="shared" si="7"/>
        <v>0.2</v>
      </c>
      <c r="I20" s="97">
        <f t="shared" si="8"/>
        <v>0</v>
      </c>
      <c r="J20" s="96">
        <f t="shared" si="9"/>
        <v>62</v>
      </c>
      <c r="K20" s="94">
        <f t="shared" si="10"/>
        <v>0.1</v>
      </c>
      <c r="L20" s="98">
        <f t="shared" si="11"/>
        <v>0.11</v>
      </c>
      <c r="M20" s="139" t="s">
        <v>87</v>
      </c>
      <c r="N20" s="100">
        <f t="shared" si="12"/>
        <v>1417158.45</v>
      </c>
      <c r="O20" s="239">
        <v>2500000</v>
      </c>
      <c r="P20" s="102">
        <f t="shared" si="13"/>
        <v>96627.959999999963</v>
      </c>
      <c r="Q20" s="102">
        <f t="shared" si="14"/>
        <v>1059751.68</v>
      </c>
      <c r="R20" s="102">
        <f t="shared" si="15"/>
        <v>1156379.6399999999</v>
      </c>
      <c r="S20" s="102">
        <f t="shared" si="16"/>
        <v>-1343620.36</v>
      </c>
      <c r="T20" s="103">
        <f t="shared" si="17"/>
        <v>0.46255185599999998</v>
      </c>
      <c r="U20" s="100">
        <f t="shared" si="18"/>
        <v>2129019.04</v>
      </c>
      <c r="V20" s="141">
        <f>U20*1.7245</f>
        <v>3671493.3344799997</v>
      </c>
      <c r="W20" s="105">
        <f t="shared" si="19"/>
        <v>13652.879999999888</v>
      </c>
      <c r="X20" s="102">
        <f t="shared" si="20"/>
        <v>2030480.36</v>
      </c>
      <c r="Y20" s="106">
        <f t="shared" si="21"/>
        <v>2044133.24</v>
      </c>
      <c r="Z20" s="142">
        <f t="shared" si="22"/>
        <v>-1627360.0944799997</v>
      </c>
      <c r="AA20" s="143">
        <f t="shared" si="118"/>
        <v>0.55675798749325911</v>
      </c>
      <c r="AB20" s="100">
        <f t="shared" si="23"/>
        <v>1949096.37</v>
      </c>
      <c r="AC20" s="140">
        <f>(AB20*1.5955)*1.03</f>
        <v>3203076.7560850498</v>
      </c>
      <c r="AD20" s="102">
        <f t="shared" si="24"/>
        <v>35230.5</v>
      </c>
      <c r="AE20" s="102">
        <f t="shared" si="25"/>
        <v>361824.14</v>
      </c>
      <c r="AF20" s="102">
        <f t="shared" si="26"/>
        <v>397054.64</v>
      </c>
      <c r="AG20" s="145">
        <f t="shared" si="27"/>
        <v>-2806022.1160850497</v>
      </c>
      <c r="AH20" s="158">
        <f t="shared" si="108"/>
        <v>0.1239603887873417</v>
      </c>
      <c r="AI20" s="147">
        <f t="shared" si="103"/>
        <v>9374570.09056505</v>
      </c>
      <c r="AJ20" s="111">
        <f t="shared" si="30"/>
        <v>4106524.22</v>
      </c>
      <c r="AK20" s="102">
        <f t="shared" si="31"/>
        <v>3452056.1799999997</v>
      </c>
      <c r="AL20" s="102">
        <f t="shared" si="32"/>
        <v>145511.33999999985</v>
      </c>
      <c r="AM20" s="102">
        <f t="shared" si="33"/>
        <v>3597567.5199999996</v>
      </c>
      <c r="AN20" s="102">
        <f t="shared" si="34"/>
        <v>-508956.70000000065</v>
      </c>
      <c r="AO20" s="112">
        <f t="shared" si="35"/>
        <v>0.87606143961814975</v>
      </c>
      <c r="AP20" s="100">
        <f t="shared" si="36"/>
        <v>2567245.36</v>
      </c>
      <c r="AQ20" s="113">
        <f t="shared" si="37"/>
        <v>0</v>
      </c>
      <c r="AR20" s="114">
        <f t="shared" si="38"/>
        <v>1204910.32</v>
      </c>
      <c r="AS20" s="115">
        <f t="shared" si="39"/>
        <v>1204910.32</v>
      </c>
      <c r="AT20" s="100">
        <f t="shared" si="40"/>
        <v>1330861.83</v>
      </c>
      <c r="AU20" s="113">
        <f t="shared" si="41"/>
        <v>114669.47999999998</v>
      </c>
      <c r="AV20" s="116">
        <f t="shared" si="42"/>
        <v>1467991.92</v>
      </c>
      <c r="AW20" s="117">
        <f t="shared" si="43"/>
        <v>1582661.4</v>
      </c>
      <c r="AX20" s="100">
        <f t="shared" si="44"/>
        <v>1460935.27</v>
      </c>
      <c r="AY20" s="113">
        <f t="shared" si="45"/>
        <v>0</v>
      </c>
      <c r="AZ20" s="114">
        <f t="shared" si="46"/>
        <v>832847.22</v>
      </c>
      <c r="BA20" s="100">
        <f t="shared" si="47"/>
        <v>832847.22</v>
      </c>
      <c r="BB20" s="118">
        <f t="shared" ref="BB20:BD20" si="126">BH20+AY20+AU20</f>
        <v>198092.93999999994</v>
      </c>
      <c r="BC20" s="116">
        <f t="shared" si="126"/>
        <v>3918292.92</v>
      </c>
      <c r="BD20" s="119">
        <f t="shared" si="126"/>
        <v>4116385.86</v>
      </c>
      <c r="BE20" s="118">
        <f t="shared" si="49"/>
        <v>343604.2799999998</v>
      </c>
      <c r="BF20" s="116">
        <f t="shared" si="50"/>
        <v>7370349.0999999996</v>
      </c>
      <c r="BG20" s="119">
        <f t="shared" si="51"/>
        <v>7713953.379999999</v>
      </c>
      <c r="BH20" s="114">
        <f t="shared" si="52"/>
        <v>83423.459999999963</v>
      </c>
      <c r="BI20" s="114">
        <f t="shared" si="53"/>
        <v>1617453.78</v>
      </c>
      <c r="BJ20" s="115">
        <f t="shared" si="54"/>
        <v>1700877.24</v>
      </c>
      <c r="BK20" s="125">
        <f t="shared" si="55"/>
        <v>2114202.9300000002</v>
      </c>
      <c r="BL20" s="120">
        <f t="shared" si="56"/>
        <v>85821</v>
      </c>
      <c r="BM20" s="121">
        <f t="shared" si="57"/>
        <v>2724007.4</v>
      </c>
      <c r="BN20" s="119">
        <f t="shared" si="58"/>
        <v>2809828.4</v>
      </c>
      <c r="BO20" s="125">
        <f t="shared" si="59"/>
        <v>1273667.52</v>
      </c>
      <c r="BP20" s="140">
        <f t="shared" si="60"/>
        <v>80578.5</v>
      </c>
      <c r="BQ20" s="123">
        <f t="shared" si="61"/>
        <v>330845.96000000002</v>
      </c>
      <c r="BR20" s="125">
        <f t="shared" si="62"/>
        <v>411424.46</v>
      </c>
      <c r="BS20" s="122">
        <f t="shared" si="63"/>
        <v>249822.95999999996</v>
      </c>
      <c r="BT20" s="123">
        <f t="shared" ref="BT20:BU20" si="127">SUM(BI20,BM20,BQ20)</f>
        <v>4672307.1399999997</v>
      </c>
      <c r="BU20" s="124">
        <f t="shared" si="127"/>
        <v>4922130.0999999996</v>
      </c>
      <c r="BV20" s="125">
        <f t="shared" si="65"/>
        <v>1667225.58</v>
      </c>
      <c r="BW20" s="122">
        <f t="shared" si="66"/>
        <v>0</v>
      </c>
      <c r="BX20" s="123">
        <f t="shared" si="67"/>
        <v>1297570.68</v>
      </c>
      <c r="BY20" s="124">
        <f t="shared" si="68"/>
        <v>1297570.68</v>
      </c>
      <c r="BZ20" s="125">
        <f t="shared" si="69"/>
        <v>1891176.49</v>
      </c>
      <c r="CA20" s="140"/>
      <c r="CB20" s="123"/>
      <c r="CC20" s="148"/>
      <c r="CD20" s="123">
        <f t="shared" si="70"/>
        <v>548122.15</v>
      </c>
      <c r="CF20" s="126"/>
      <c r="CI20" s="231" t="s">
        <v>88</v>
      </c>
      <c r="CJ20" s="231"/>
      <c r="CK20" s="231"/>
    </row>
    <row r="21" spans="1:89" ht="13">
      <c r="A21" s="92">
        <f t="shared" si="0"/>
        <v>112014512</v>
      </c>
      <c r="B21" s="172">
        <f t="shared" si="91"/>
        <v>7</v>
      </c>
      <c r="C21" s="137">
        <f t="shared" si="123"/>
        <v>0.1</v>
      </c>
      <c r="D21" s="137">
        <f t="shared" si="124"/>
        <v>0.2</v>
      </c>
      <c r="E21" s="138">
        <f t="shared" si="125"/>
        <v>0</v>
      </c>
      <c r="F21" s="193">
        <f>IFERROR(VLOOKUP(M21,BASILECART2,2,FALSE),"")</f>
        <v>7</v>
      </c>
      <c r="G21" s="97">
        <f t="shared" si="6"/>
        <v>0.1</v>
      </c>
      <c r="H21" s="97">
        <f t="shared" si="7"/>
        <v>0.2</v>
      </c>
      <c r="I21" s="97">
        <f t="shared" si="8"/>
        <v>0</v>
      </c>
      <c r="J21" s="96">
        <f t="shared" si="9"/>
        <v>62</v>
      </c>
      <c r="K21" s="94">
        <f t="shared" si="10"/>
        <v>0.1</v>
      </c>
      <c r="L21" s="98">
        <f t="shared" si="11"/>
        <v>0.11</v>
      </c>
      <c r="M21" s="139" t="s">
        <v>89</v>
      </c>
      <c r="N21" s="100">
        <f t="shared" si="12"/>
        <v>0</v>
      </c>
      <c r="O21" s="236">
        <v>1800000</v>
      </c>
      <c r="P21" s="102">
        <f t="shared" si="13"/>
        <v>874014.86</v>
      </c>
      <c r="Q21" s="102">
        <f t="shared" si="14"/>
        <v>42063.43</v>
      </c>
      <c r="R21" s="102">
        <f t="shared" si="15"/>
        <v>916078.29</v>
      </c>
      <c r="S21" s="102">
        <f t="shared" si="16"/>
        <v>-883921.71</v>
      </c>
      <c r="T21" s="103">
        <f t="shared" si="17"/>
        <v>0.50893238333333335</v>
      </c>
      <c r="U21" s="100">
        <f t="shared" si="18"/>
        <v>0</v>
      </c>
      <c r="V21" s="237">
        <v>1800000</v>
      </c>
      <c r="W21" s="105">
        <f t="shared" si="19"/>
        <v>715723.08</v>
      </c>
      <c r="X21" s="102">
        <f t="shared" si="20"/>
        <v>-6287.49</v>
      </c>
      <c r="Y21" s="106">
        <f t="shared" si="21"/>
        <v>709435.59</v>
      </c>
      <c r="Z21" s="142">
        <f t="shared" si="22"/>
        <v>-1090564.4100000001</v>
      </c>
      <c r="AA21" s="143">
        <f t="shared" si="118"/>
        <v>0.39413088333333329</v>
      </c>
      <c r="AB21" s="100">
        <f t="shared" si="23"/>
        <v>0</v>
      </c>
      <c r="AC21" s="236">
        <v>1800000</v>
      </c>
      <c r="AD21" s="102">
        <f t="shared" si="24"/>
        <v>640274.61</v>
      </c>
      <c r="AE21" s="102">
        <f t="shared" si="25"/>
        <v>42550.22</v>
      </c>
      <c r="AF21" s="102">
        <f t="shared" si="26"/>
        <v>682824.83</v>
      </c>
      <c r="AG21" s="145">
        <f t="shared" si="27"/>
        <v>-1117175.17</v>
      </c>
      <c r="AH21" s="158">
        <f t="shared" si="108"/>
        <v>0.37934712777777774</v>
      </c>
      <c r="AI21" s="147">
        <f t="shared" si="103"/>
        <v>5400000</v>
      </c>
      <c r="AJ21" s="111">
        <f t="shared" si="30"/>
        <v>1779489.44</v>
      </c>
      <c r="AK21" s="102">
        <f t="shared" si="31"/>
        <v>78326.16</v>
      </c>
      <c r="AL21" s="102">
        <f t="shared" si="32"/>
        <v>2230012.5499999998</v>
      </c>
      <c r="AM21" s="102">
        <f t="shared" si="33"/>
        <v>2308338.71</v>
      </c>
      <c r="AN21" s="102">
        <f t="shared" si="34"/>
        <v>528849.27</v>
      </c>
      <c r="AO21" s="112">
        <f t="shared" si="35"/>
        <v>1.297191575354333</v>
      </c>
      <c r="AP21" s="100">
        <f t="shared" si="36"/>
        <v>0</v>
      </c>
      <c r="AQ21" s="113">
        <f t="shared" si="37"/>
        <v>491692.7</v>
      </c>
      <c r="AR21" s="114">
        <f t="shared" si="38"/>
        <v>0</v>
      </c>
      <c r="AS21" s="115">
        <f t="shared" si="39"/>
        <v>491692.7</v>
      </c>
      <c r="AT21" s="100">
        <f t="shared" si="40"/>
        <v>0</v>
      </c>
      <c r="AU21" s="113">
        <f t="shared" si="41"/>
        <v>1160875.81</v>
      </c>
      <c r="AV21" s="116">
        <f t="shared" si="42"/>
        <v>0</v>
      </c>
      <c r="AW21" s="117">
        <f t="shared" si="43"/>
        <v>1160875.81</v>
      </c>
      <c r="AX21" s="100">
        <f t="shared" si="44"/>
        <v>0</v>
      </c>
      <c r="AY21" s="113">
        <f t="shared" si="45"/>
        <v>0</v>
      </c>
      <c r="AZ21" s="114">
        <f t="shared" si="46"/>
        <v>0</v>
      </c>
      <c r="BA21" s="100">
        <f t="shared" si="47"/>
        <v>0</v>
      </c>
      <c r="BB21" s="118">
        <f t="shared" ref="BB21:BD21" si="128">BH21+AY21+AU21</f>
        <v>1408923.6</v>
      </c>
      <c r="BC21" s="116">
        <f t="shared" si="128"/>
        <v>0</v>
      </c>
      <c r="BD21" s="119">
        <f t="shared" si="128"/>
        <v>1408923.6</v>
      </c>
      <c r="BE21" s="118">
        <f t="shared" si="49"/>
        <v>3638936.15</v>
      </c>
      <c r="BF21" s="116">
        <f t="shared" si="50"/>
        <v>78326.16</v>
      </c>
      <c r="BG21" s="119">
        <f t="shared" si="51"/>
        <v>3717262.31</v>
      </c>
      <c r="BH21" s="114">
        <f t="shared" si="52"/>
        <v>248047.79</v>
      </c>
      <c r="BI21" s="114">
        <f t="shared" si="53"/>
        <v>0</v>
      </c>
      <c r="BJ21" s="115">
        <f t="shared" si="54"/>
        <v>248047.79</v>
      </c>
      <c r="BK21" s="125">
        <f t="shared" si="55"/>
        <v>0</v>
      </c>
      <c r="BL21" s="120">
        <f t="shared" si="56"/>
        <v>780393.86</v>
      </c>
      <c r="BM21" s="121">
        <f t="shared" si="57"/>
        <v>0</v>
      </c>
      <c r="BN21" s="119">
        <f t="shared" si="58"/>
        <v>780393.86</v>
      </c>
      <c r="BO21" s="125">
        <f t="shared" si="59"/>
        <v>398630.24</v>
      </c>
      <c r="BP21" s="140">
        <f t="shared" si="60"/>
        <v>184455.73</v>
      </c>
      <c r="BQ21" s="123">
        <f t="shared" si="61"/>
        <v>0</v>
      </c>
      <c r="BR21" s="125">
        <f t="shared" si="62"/>
        <v>184455.73</v>
      </c>
      <c r="BS21" s="122">
        <f t="shared" si="63"/>
        <v>1212897.3800000001</v>
      </c>
      <c r="BT21" s="123">
        <f t="shared" ref="BT21:BU21" si="129">SUM(BI21,BM21,BQ21)</f>
        <v>0</v>
      </c>
      <c r="BU21" s="124">
        <f t="shared" si="129"/>
        <v>1212897.3800000001</v>
      </c>
      <c r="BV21" s="125">
        <f t="shared" si="65"/>
        <v>1290441.8600000001</v>
      </c>
      <c r="BW21" s="122">
        <f t="shared" si="66"/>
        <v>907050.65</v>
      </c>
      <c r="BX21" s="123">
        <f t="shared" si="67"/>
        <v>0</v>
      </c>
      <c r="BY21" s="124">
        <f t="shared" si="68"/>
        <v>907050.65</v>
      </c>
      <c r="BZ21" s="125">
        <f t="shared" si="69"/>
        <v>0</v>
      </c>
      <c r="CA21" s="140"/>
      <c r="CB21" s="123"/>
      <c r="CC21" s="148"/>
      <c r="CD21" s="123">
        <f t="shared" si="70"/>
        <v>489047.58</v>
      </c>
      <c r="CF21" s="126"/>
      <c r="CI21" s="231" t="s">
        <v>90</v>
      </c>
      <c r="CJ21" s="231"/>
      <c r="CK21" s="231"/>
    </row>
    <row r="22" spans="1:89" ht="13">
      <c r="A22" s="92">
        <f t="shared" si="0"/>
        <v>112012200</v>
      </c>
      <c r="B22" s="172">
        <f t="shared" si="91"/>
        <v>7</v>
      </c>
      <c r="C22" s="137">
        <f t="shared" si="123"/>
        <v>0.1</v>
      </c>
      <c r="D22" s="137">
        <f t="shared" si="124"/>
        <v>0.2</v>
      </c>
      <c r="E22" s="138">
        <f t="shared" si="125"/>
        <v>0</v>
      </c>
      <c r="F22" s="193">
        <f>IFERROR(VLOOKUP(M22,BASILECART2,2,FALSE),"")</f>
        <v>7</v>
      </c>
      <c r="G22" s="97">
        <f t="shared" si="6"/>
        <v>0.1</v>
      </c>
      <c r="H22" s="97">
        <f t="shared" si="7"/>
        <v>0.2</v>
      </c>
      <c r="I22" s="97">
        <f t="shared" si="8"/>
        <v>0</v>
      </c>
      <c r="J22" s="96">
        <f t="shared" si="9"/>
        <v>62</v>
      </c>
      <c r="K22" s="94">
        <f t="shared" si="10"/>
        <v>0.1</v>
      </c>
      <c r="L22" s="98">
        <f t="shared" si="11"/>
        <v>0.11</v>
      </c>
      <c r="M22" s="139" t="s">
        <v>91</v>
      </c>
      <c r="N22" s="100">
        <f t="shared" si="12"/>
        <v>321402.59999999998</v>
      </c>
      <c r="O22" s="236">
        <v>1800000</v>
      </c>
      <c r="P22" s="102">
        <f t="shared" si="13"/>
        <v>152348.62</v>
      </c>
      <c r="Q22" s="102">
        <f t="shared" si="14"/>
        <v>185909.36</v>
      </c>
      <c r="R22" s="102">
        <f t="shared" si="15"/>
        <v>338257.98</v>
      </c>
      <c r="S22" s="102">
        <f t="shared" si="16"/>
        <v>-1461742.02</v>
      </c>
      <c r="T22" s="103">
        <f t="shared" si="17"/>
        <v>0.18792109999999998</v>
      </c>
      <c r="U22" s="100">
        <f t="shared" si="18"/>
        <v>198858.98</v>
      </c>
      <c r="V22" s="237">
        <v>1800000</v>
      </c>
      <c r="W22" s="105">
        <f t="shared" si="19"/>
        <v>182965.7</v>
      </c>
      <c r="X22" s="102">
        <f t="shared" si="20"/>
        <v>32601.119999999999</v>
      </c>
      <c r="Y22" s="106">
        <f t="shared" si="21"/>
        <v>215566.82</v>
      </c>
      <c r="Z22" s="142">
        <f t="shared" si="22"/>
        <v>-1584433.18</v>
      </c>
      <c r="AA22" s="143">
        <f t="shared" si="118"/>
        <v>0.11975934444444444</v>
      </c>
      <c r="AB22" s="100">
        <f t="shared" si="23"/>
        <v>416666.65</v>
      </c>
      <c r="AC22" s="236">
        <v>1800000</v>
      </c>
      <c r="AD22" s="102">
        <f t="shared" si="24"/>
        <v>143749.07999999999</v>
      </c>
      <c r="AE22" s="102">
        <f t="shared" si="25"/>
        <v>29238.720000000001</v>
      </c>
      <c r="AF22" s="102">
        <f t="shared" si="26"/>
        <v>172987.8</v>
      </c>
      <c r="AG22" s="145">
        <f t="shared" si="27"/>
        <v>-1627012.2</v>
      </c>
      <c r="AH22" s="158">
        <f t="shared" ref="AH22:AH28" si="130">AF22/AC22</f>
        <v>9.6104333333333333E-2</v>
      </c>
      <c r="AI22" s="147">
        <f t="shared" si="103"/>
        <v>5400000</v>
      </c>
      <c r="AJ22" s="111">
        <f t="shared" si="30"/>
        <v>2481624.1800000002</v>
      </c>
      <c r="AK22" s="102">
        <f t="shared" si="31"/>
        <v>247749.19999999998</v>
      </c>
      <c r="AL22" s="102">
        <f t="shared" si="32"/>
        <v>479063.4</v>
      </c>
      <c r="AM22" s="102">
        <f t="shared" si="33"/>
        <v>726812.6</v>
      </c>
      <c r="AN22" s="102">
        <f t="shared" si="34"/>
        <v>-1754811.58</v>
      </c>
      <c r="AO22" s="112">
        <f t="shared" si="35"/>
        <v>0.29287778780427581</v>
      </c>
      <c r="AP22" s="100">
        <f t="shared" si="36"/>
        <v>226855.16</v>
      </c>
      <c r="AQ22" s="113">
        <f t="shared" si="37"/>
        <v>463325.54</v>
      </c>
      <c r="AR22" s="114">
        <f t="shared" si="38"/>
        <v>143385.44</v>
      </c>
      <c r="AS22" s="115">
        <f t="shared" si="39"/>
        <v>606710.98</v>
      </c>
      <c r="AT22" s="100">
        <f t="shared" si="40"/>
        <v>504679.67</v>
      </c>
      <c r="AU22" s="113">
        <f t="shared" si="41"/>
        <v>211008.22000000003</v>
      </c>
      <c r="AV22" s="116">
        <f t="shared" si="42"/>
        <v>65671.12</v>
      </c>
      <c r="AW22" s="117">
        <f t="shared" si="43"/>
        <v>276679.34000000003</v>
      </c>
      <c r="AX22" s="100">
        <f t="shared" si="44"/>
        <v>405668.77</v>
      </c>
      <c r="AY22" s="113">
        <f t="shared" si="45"/>
        <v>226828.15</v>
      </c>
      <c r="AZ22" s="114">
        <f t="shared" si="46"/>
        <v>114901.6</v>
      </c>
      <c r="BA22" s="100">
        <f t="shared" si="47"/>
        <v>341729.75</v>
      </c>
      <c r="BB22" s="118">
        <f t="shared" ref="BB22:BD22" si="131">BH22+AY22+AU22</f>
        <v>623996.90999999992</v>
      </c>
      <c r="BC22" s="116">
        <f t="shared" si="131"/>
        <v>1069402.1000000001</v>
      </c>
      <c r="BD22" s="119">
        <f t="shared" si="131"/>
        <v>1693399.01</v>
      </c>
      <c r="BE22" s="118">
        <f t="shared" si="49"/>
        <v>1103060.31</v>
      </c>
      <c r="BF22" s="116">
        <f t="shared" si="50"/>
        <v>1317151.3</v>
      </c>
      <c r="BG22" s="119">
        <f t="shared" si="51"/>
        <v>2420211.61</v>
      </c>
      <c r="BH22" s="114">
        <f t="shared" si="52"/>
        <v>186160.53999999992</v>
      </c>
      <c r="BI22" s="114">
        <f t="shared" si="53"/>
        <v>888829.38</v>
      </c>
      <c r="BJ22" s="115">
        <f t="shared" si="54"/>
        <v>1074989.92</v>
      </c>
      <c r="BK22" s="125">
        <f t="shared" si="55"/>
        <v>681493.59</v>
      </c>
      <c r="BL22" s="120">
        <f t="shared" si="56"/>
        <v>107466.09999999998</v>
      </c>
      <c r="BM22" s="121">
        <f t="shared" si="57"/>
        <v>264799.28000000003</v>
      </c>
      <c r="BN22" s="119">
        <f t="shared" si="58"/>
        <v>372265.38</v>
      </c>
      <c r="BO22" s="125">
        <f t="shared" si="59"/>
        <v>429835.98</v>
      </c>
      <c r="BP22" s="140">
        <f t="shared" si="60"/>
        <v>308085.5</v>
      </c>
      <c r="BQ22" s="123">
        <f t="shared" si="61"/>
        <v>395737.12</v>
      </c>
      <c r="BR22" s="125">
        <f t="shared" si="62"/>
        <v>703822.62</v>
      </c>
      <c r="BS22" s="122">
        <f t="shared" si="63"/>
        <v>601712.1399999999</v>
      </c>
      <c r="BT22" s="123">
        <f t="shared" ref="BT22:BU22" si="132">SUM(BI22,BM22,BQ22)</f>
        <v>1549365.7800000003</v>
      </c>
      <c r="BU22" s="124">
        <f t="shared" si="132"/>
        <v>2151077.92</v>
      </c>
      <c r="BV22" s="125">
        <f t="shared" si="65"/>
        <v>996763.82</v>
      </c>
      <c r="BW22" s="122">
        <f t="shared" si="66"/>
        <v>293012.37</v>
      </c>
      <c r="BX22" s="123">
        <f t="shared" si="67"/>
        <v>733288.36</v>
      </c>
      <c r="BY22" s="124">
        <f t="shared" si="68"/>
        <v>1026300.73</v>
      </c>
      <c r="BZ22" s="125">
        <f t="shared" si="69"/>
        <v>547631.04</v>
      </c>
      <c r="CA22" s="140"/>
      <c r="CB22" s="123"/>
      <c r="CC22" s="148"/>
      <c r="CD22" s="123">
        <f t="shared" si="70"/>
        <v>937229.32</v>
      </c>
      <c r="CF22" s="126"/>
      <c r="CI22" s="231" t="s">
        <v>92</v>
      </c>
      <c r="CJ22" s="231"/>
      <c r="CK22" s="231"/>
    </row>
    <row r="23" spans="1:89" ht="13">
      <c r="A23" s="92">
        <f t="shared" si="0"/>
        <v>112013044</v>
      </c>
      <c r="B23" s="172">
        <f t="shared" si="91"/>
        <v>7</v>
      </c>
      <c r="C23" s="94">
        <f t="shared" si="123"/>
        <v>0.1</v>
      </c>
      <c r="D23" s="94">
        <f t="shared" si="124"/>
        <v>0.2</v>
      </c>
      <c r="E23" s="95">
        <f t="shared" si="125"/>
        <v>0</v>
      </c>
      <c r="F23" s="193">
        <f>IFERROR(VLOOKUP(M23,BASILECART2,2,FALSE),"")</f>
        <v>7</v>
      </c>
      <c r="G23" s="97">
        <f t="shared" si="6"/>
        <v>0.1</v>
      </c>
      <c r="H23" s="97">
        <f t="shared" si="7"/>
        <v>0.2</v>
      </c>
      <c r="I23" s="97">
        <f t="shared" si="8"/>
        <v>0</v>
      </c>
      <c r="J23" s="96">
        <f t="shared" si="9"/>
        <v>62</v>
      </c>
      <c r="K23" s="94">
        <f t="shared" si="10"/>
        <v>0.1</v>
      </c>
      <c r="L23" s="98">
        <f t="shared" si="11"/>
        <v>0.11</v>
      </c>
      <c r="M23" s="99" t="s">
        <v>93</v>
      </c>
      <c r="N23" s="100">
        <f t="shared" si="12"/>
        <v>1647368.01</v>
      </c>
      <c r="O23" s="240">
        <v>2500000</v>
      </c>
      <c r="P23" s="102">
        <f t="shared" si="13"/>
        <v>1140387.52</v>
      </c>
      <c r="Q23" s="102">
        <f t="shared" si="14"/>
        <v>385358.32</v>
      </c>
      <c r="R23" s="102">
        <f t="shared" si="15"/>
        <v>1525745.84</v>
      </c>
      <c r="S23" s="102">
        <f t="shared" si="16"/>
        <v>-974254.15999999992</v>
      </c>
      <c r="T23" s="103">
        <f t="shared" si="17"/>
        <v>0.61029833600000005</v>
      </c>
      <c r="U23" s="100">
        <f t="shared" si="18"/>
        <v>301518.8</v>
      </c>
      <c r="V23" s="241">
        <v>2500000</v>
      </c>
      <c r="W23" s="105">
        <f t="shared" si="19"/>
        <v>947308.31</v>
      </c>
      <c r="X23" s="102">
        <f t="shared" si="20"/>
        <v>347109.2</v>
      </c>
      <c r="Y23" s="106">
        <f t="shared" si="21"/>
        <v>1294417.51</v>
      </c>
      <c r="Z23" s="142">
        <f t="shared" si="22"/>
        <v>-1205582.49</v>
      </c>
      <c r="AA23" s="143">
        <f t="shared" si="118"/>
        <v>0.51776700399999998</v>
      </c>
      <c r="AB23" s="100">
        <f t="shared" si="23"/>
        <v>30634.32</v>
      </c>
      <c r="AC23" s="239">
        <v>2500000</v>
      </c>
      <c r="AD23" s="102">
        <f t="shared" si="24"/>
        <v>1700792.69</v>
      </c>
      <c r="AE23" s="102">
        <f t="shared" si="25"/>
        <v>112798.96</v>
      </c>
      <c r="AF23" s="102">
        <f t="shared" si="26"/>
        <v>1813591.65</v>
      </c>
      <c r="AG23" s="145">
        <f t="shared" si="27"/>
        <v>-686408.35000000009</v>
      </c>
      <c r="AH23" s="158">
        <f t="shared" si="130"/>
        <v>0.72543665999999996</v>
      </c>
      <c r="AI23" s="147">
        <f t="shared" si="103"/>
        <v>7500000</v>
      </c>
      <c r="AJ23" s="111">
        <f t="shared" si="30"/>
        <v>4748869.24</v>
      </c>
      <c r="AK23" s="102">
        <f t="shared" si="31"/>
        <v>845266.48</v>
      </c>
      <c r="AL23" s="102">
        <f t="shared" si="32"/>
        <v>3788488.52</v>
      </c>
      <c r="AM23" s="102">
        <f t="shared" si="33"/>
        <v>4633755</v>
      </c>
      <c r="AN23" s="102">
        <f t="shared" si="34"/>
        <v>-115114.24000000022</v>
      </c>
      <c r="AO23" s="112">
        <f t="shared" si="35"/>
        <v>0.97575965262838016</v>
      </c>
      <c r="AP23" s="100">
        <f t="shared" si="36"/>
        <v>380182.28</v>
      </c>
      <c r="AQ23" s="113">
        <f t="shared" si="37"/>
        <v>3494747.2800000003</v>
      </c>
      <c r="AR23" s="114">
        <f t="shared" si="38"/>
        <v>403950.4</v>
      </c>
      <c r="AS23" s="115">
        <f t="shared" si="39"/>
        <v>3898697.68</v>
      </c>
      <c r="AT23" s="100">
        <f t="shared" si="40"/>
        <v>262077.46</v>
      </c>
      <c r="AU23" s="113">
        <f t="shared" si="41"/>
        <v>2415458.92</v>
      </c>
      <c r="AV23" s="116">
        <f t="shared" si="42"/>
        <v>643476.88</v>
      </c>
      <c r="AW23" s="117">
        <f t="shared" si="43"/>
        <v>3058935.8</v>
      </c>
      <c r="AX23" s="100">
        <f t="shared" si="44"/>
        <v>758385.82</v>
      </c>
      <c r="AY23" s="113">
        <f t="shared" si="45"/>
        <v>1354310.54</v>
      </c>
      <c r="AZ23" s="114">
        <f t="shared" si="46"/>
        <v>310434.56</v>
      </c>
      <c r="BA23" s="100">
        <f t="shared" si="47"/>
        <v>1664745.1</v>
      </c>
      <c r="BB23" s="118">
        <f t="shared" ref="BB23:BD23" si="133">BH23+AY23+AU23</f>
        <v>6294933.9800000004</v>
      </c>
      <c r="BC23" s="116">
        <f t="shared" si="133"/>
        <v>1697379.6</v>
      </c>
      <c r="BD23" s="119">
        <f t="shared" si="133"/>
        <v>7992313.5800000001</v>
      </c>
      <c r="BE23" s="118">
        <f t="shared" si="49"/>
        <v>10083422.5</v>
      </c>
      <c r="BF23" s="116">
        <f t="shared" si="50"/>
        <v>2542646.08</v>
      </c>
      <c r="BG23" s="119">
        <f t="shared" si="51"/>
        <v>12626068.58</v>
      </c>
      <c r="BH23" s="114">
        <f t="shared" si="52"/>
        <v>2525164.52</v>
      </c>
      <c r="BI23" s="114">
        <f t="shared" si="53"/>
        <v>743468.16</v>
      </c>
      <c r="BJ23" s="115">
        <f t="shared" si="54"/>
        <v>3268632.68</v>
      </c>
      <c r="BK23" s="125">
        <f t="shared" si="55"/>
        <v>726045.36</v>
      </c>
      <c r="BL23" s="120">
        <f t="shared" si="56"/>
        <v>1991004.93</v>
      </c>
      <c r="BM23" s="121">
        <f t="shared" si="57"/>
        <v>249031.3</v>
      </c>
      <c r="BN23" s="119">
        <f t="shared" si="58"/>
        <v>2240036.23</v>
      </c>
      <c r="BO23" s="125">
        <f t="shared" si="59"/>
        <v>490009.62</v>
      </c>
      <c r="BP23" s="140">
        <f t="shared" si="60"/>
        <v>3104681.6500000004</v>
      </c>
      <c r="BQ23" s="123">
        <f t="shared" si="61"/>
        <v>368728.72</v>
      </c>
      <c r="BR23" s="125">
        <f t="shared" si="62"/>
        <v>3473410.37</v>
      </c>
      <c r="BS23" s="122">
        <f t="shared" si="63"/>
        <v>7620851.1000000006</v>
      </c>
      <c r="BT23" s="123">
        <f t="shared" ref="BT23:BU23" si="134">SUM(BI23,BM23,BQ23)</f>
        <v>1361228.18</v>
      </c>
      <c r="BU23" s="124">
        <f t="shared" si="134"/>
        <v>8982079.2800000012</v>
      </c>
      <c r="BV23" s="125">
        <f t="shared" si="65"/>
        <v>1268485.6200000001</v>
      </c>
      <c r="BW23" s="122">
        <f t="shared" si="66"/>
        <v>2134223.25</v>
      </c>
      <c r="BX23" s="123">
        <f t="shared" si="67"/>
        <v>463918.29</v>
      </c>
      <c r="BY23" s="124">
        <f t="shared" si="68"/>
        <v>2598141.54</v>
      </c>
      <c r="BZ23" s="125">
        <f t="shared" si="69"/>
        <v>2101157.63</v>
      </c>
      <c r="CA23" s="140"/>
      <c r="CB23" s="123"/>
      <c r="CC23" s="148"/>
      <c r="CD23" s="123">
        <f t="shared" si="70"/>
        <v>1379226</v>
      </c>
      <c r="CF23" s="126"/>
      <c r="CI23" s="242" t="s">
        <v>94</v>
      </c>
      <c r="CJ23" s="243"/>
      <c r="CK23" s="243"/>
    </row>
    <row r="24" spans="1:89" ht="13">
      <c r="A24" s="92">
        <f t="shared" si="0"/>
        <v>112012744</v>
      </c>
      <c r="B24" s="172">
        <f t="shared" si="91"/>
        <v>7</v>
      </c>
      <c r="C24" s="137">
        <f t="shared" si="123"/>
        <v>0.1</v>
      </c>
      <c r="D24" s="137">
        <f t="shared" si="124"/>
        <v>0.2</v>
      </c>
      <c r="E24" s="138">
        <f t="shared" si="125"/>
        <v>0</v>
      </c>
      <c r="F24" s="96">
        <f>VLOOKUP(M24,BASILECART2,2,FALSE)</f>
        <v>7</v>
      </c>
      <c r="G24" s="97">
        <f t="shared" si="6"/>
        <v>0.1</v>
      </c>
      <c r="H24" s="97">
        <f t="shared" si="7"/>
        <v>0.2</v>
      </c>
      <c r="I24" s="97">
        <f t="shared" si="8"/>
        <v>0</v>
      </c>
      <c r="J24" s="96">
        <f t="shared" si="9"/>
        <v>62</v>
      </c>
      <c r="K24" s="94">
        <f t="shared" si="10"/>
        <v>0.1</v>
      </c>
      <c r="L24" s="98">
        <f t="shared" si="11"/>
        <v>0.11</v>
      </c>
      <c r="M24" s="139" t="s">
        <v>95</v>
      </c>
      <c r="N24" s="100">
        <f t="shared" si="12"/>
        <v>739358.81</v>
      </c>
      <c r="O24" s="236">
        <v>1800000</v>
      </c>
      <c r="P24" s="102">
        <f t="shared" si="13"/>
        <v>380489.43999999994</v>
      </c>
      <c r="Q24" s="102">
        <f t="shared" si="14"/>
        <v>393333.76000000001</v>
      </c>
      <c r="R24" s="102">
        <f t="shared" si="15"/>
        <v>773823.2</v>
      </c>
      <c r="S24" s="102">
        <f t="shared" si="16"/>
        <v>-1026176.8</v>
      </c>
      <c r="T24" s="103">
        <f t="shared" si="17"/>
        <v>0.42990177777777777</v>
      </c>
      <c r="U24" s="100">
        <f t="shared" si="18"/>
        <v>806814.16</v>
      </c>
      <c r="V24" s="244">
        <v>1800000</v>
      </c>
      <c r="W24" s="105">
        <f t="shared" si="19"/>
        <v>141969.06</v>
      </c>
      <c r="X24" s="102">
        <f t="shared" si="20"/>
        <v>445617.31</v>
      </c>
      <c r="Y24" s="106">
        <f t="shared" si="21"/>
        <v>587586.37</v>
      </c>
      <c r="Z24" s="142">
        <f t="shared" si="22"/>
        <v>-1212413.6299999999</v>
      </c>
      <c r="AA24" s="143">
        <f t="shared" si="118"/>
        <v>0.32643687222222223</v>
      </c>
      <c r="AB24" s="100">
        <f t="shared" si="23"/>
        <v>886860.80000000005</v>
      </c>
      <c r="AC24" s="236">
        <v>1800000</v>
      </c>
      <c r="AD24" s="102">
        <f t="shared" si="24"/>
        <v>456502.56999999995</v>
      </c>
      <c r="AE24" s="102">
        <f t="shared" si="25"/>
        <v>591060.5</v>
      </c>
      <c r="AF24" s="102">
        <f t="shared" si="26"/>
        <v>1047563.07</v>
      </c>
      <c r="AG24" s="145">
        <f t="shared" si="27"/>
        <v>-752436.93</v>
      </c>
      <c r="AH24" s="158">
        <f t="shared" si="130"/>
        <v>0.58197948333333327</v>
      </c>
      <c r="AI24" s="147">
        <f t="shared" si="103"/>
        <v>5400000</v>
      </c>
      <c r="AJ24" s="111">
        <f t="shared" si="30"/>
        <v>2138302.06</v>
      </c>
      <c r="AK24" s="102">
        <f t="shared" si="31"/>
        <v>1430011.57</v>
      </c>
      <c r="AL24" s="102">
        <f t="shared" si="32"/>
        <v>978961.06999999983</v>
      </c>
      <c r="AM24" s="102">
        <f t="shared" si="33"/>
        <v>2408972.6399999997</v>
      </c>
      <c r="AN24" s="102">
        <f t="shared" si="34"/>
        <v>270670.57999999961</v>
      </c>
      <c r="AO24" s="112">
        <f t="shared" si="35"/>
        <v>1.1265820133943094</v>
      </c>
      <c r="AP24" s="100">
        <f t="shared" si="36"/>
        <v>1030088.06</v>
      </c>
      <c r="AQ24" s="113">
        <f t="shared" si="37"/>
        <v>343237.83999999997</v>
      </c>
      <c r="AR24" s="114">
        <f t="shared" si="38"/>
        <v>848463.84</v>
      </c>
      <c r="AS24" s="115">
        <f t="shared" si="39"/>
        <v>1191701.68</v>
      </c>
      <c r="AT24" s="100">
        <f t="shared" si="40"/>
        <v>642210.44999999995</v>
      </c>
      <c r="AU24" s="113">
        <f t="shared" si="41"/>
        <v>189838.89</v>
      </c>
      <c r="AV24" s="116">
        <f t="shared" si="42"/>
        <v>623632.31999999995</v>
      </c>
      <c r="AW24" s="117">
        <f t="shared" si="43"/>
        <v>813471.21</v>
      </c>
      <c r="AX24" s="100">
        <f t="shared" si="44"/>
        <v>783610.5</v>
      </c>
      <c r="AY24" s="113">
        <f t="shared" si="45"/>
        <v>351539.99</v>
      </c>
      <c r="AZ24" s="114">
        <f t="shared" si="46"/>
        <v>1390398.62</v>
      </c>
      <c r="BA24" s="100">
        <f t="shared" si="47"/>
        <v>1741938.61</v>
      </c>
      <c r="BB24" s="118">
        <f t="shared" ref="BB24:BD24" si="135">BH24+AY24+AU24</f>
        <v>1010748.7099999998</v>
      </c>
      <c r="BC24" s="116">
        <f t="shared" si="135"/>
        <v>3112865.7399999998</v>
      </c>
      <c r="BD24" s="119">
        <f t="shared" si="135"/>
        <v>4123614.45</v>
      </c>
      <c r="BE24" s="118">
        <f t="shared" si="49"/>
        <v>1989709.7799999998</v>
      </c>
      <c r="BF24" s="116">
        <f t="shared" si="50"/>
        <v>4542877.3099999996</v>
      </c>
      <c r="BG24" s="119">
        <f t="shared" si="51"/>
        <v>6532587.0899999999</v>
      </c>
      <c r="BH24" s="114">
        <f t="shared" si="52"/>
        <v>469369.82999999984</v>
      </c>
      <c r="BI24" s="114">
        <f t="shared" si="53"/>
        <v>1098834.8</v>
      </c>
      <c r="BJ24" s="115">
        <f t="shared" si="54"/>
        <v>1568204.63</v>
      </c>
      <c r="BK24" s="125">
        <f t="shared" si="55"/>
        <v>291266.15999999997</v>
      </c>
      <c r="BL24" s="120">
        <f t="shared" si="56"/>
        <v>-128664.53999999998</v>
      </c>
      <c r="BM24" s="121">
        <f t="shared" si="57"/>
        <v>592371.6</v>
      </c>
      <c r="BN24" s="119">
        <f t="shared" si="58"/>
        <v>463707.06</v>
      </c>
      <c r="BO24" s="125">
        <f t="shared" si="59"/>
        <v>334226.58</v>
      </c>
      <c r="BP24" s="140">
        <f t="shared" si="60"/>
        <v>429333.4</v>
      </c>
      <c r="BQ24" s="123">
        <f t="shared" si="61"/>
        <v>932138.82</v>
      </c>
      <c r="BR24" s="125">
        <f t="shared" si="62"/>
        <v>1361472.22</v>
      </c>
      <c r="BS24" s="122">
        <f t="shared" si="63"/>
        <v>770038.69</v>
      </c>
      <c r="BT24" s="123">
        <f t="shared" ref="BT24:BU24" si="136">SUM(BI24,BM24,BQ24)</f>
        <v>2623345.2199999997</v>
      </c>
      <c r="BU24" s="124">
        <f t="shared" si="136"/>
        <v>3393383.91</v>
      </c>
      <c r="BV24" s="125">
        <f t="shared" si="65"/>
        <v>800917.3</v>
      </c>
      <c r="BW24" s="122">
        <f t="shared" si="66"/>
        <v>506342.13</v>
      </c>
      <c r="BX24" s="123">
        <f t="shared" si="67"/>
        <v>663531.35</v>
      </c>
      <c r="BY24" s="124">
        <f t="shared" si="68"/>
        <v>1169873.48</v>
      </c>
      <c r="BZ24" s="125">
        <f t="shared" si="69"/>
        <v>820891.53</v>
      </c>
      <c r="CA24" s="140"/>
      <c r="CB24" s="123"/>
      <c r="CC24" s="148"/>
      <c r="CD24" s="123">
        <f t="shared" si="70"/>
        <v>516493.23</v>
      </c>
      <c r="CF24" s="149"/>
      <c r="CI24" s="231" t="s">
        <v>96</v>
      </c>
      <c r="CJ24" s="231"/>
      <c r="CK24" s="231"/>
    </row>
    <row r="25" spans="1:89" ht="13">
      <c r="A25" s="92">
        <f t="shared" si="0"/>
        <v>112014541</v>
      </c>
      <c r="B25" s="172">
        <f t="shared" si="91"/>
        <v>7</v>
      </c>
      <c r="C25" s="137">
        <f t="shared" si="123"/>
        <v>0.1</v>
      </c>
      <c r="D25" s="137">
        <f t="shared" si="124"/>
        <v>0.2</v>
      </c>
      <c r="E25" s="138">
        <f t="shared" si="125"/>
        <v>0</v>
      </c>
      <c r="F25" s="96">
        <f>VLOOKUP(M25,BASILECART2,2,FALSE)</f>
        <v>7</v>
      </c>
      <c r="G25" s="97">
        <f t="shared" si="6"/>
        <v>0.1</v>
      </c>
      <c r="H25" s="97">
        <f t="shared" si="7"/>
        <v>0.2</v>
      </c>
      <c r="I25" s="97">
        <f t="shared" si="8"/>
        <v>0</v>
      </c>
      <c r="J25" s="96">
        <f t="shared" si="9"/>
        <v>62</v>
      </c>
      <c r="K25" s="94">
        <f t="shared" si="10"/>
        <v>0.1</v>
      </c>
      <c r="L25" s="98">
        <f t="shared" si="11"/>
        <v>0.11</v>
      </c>
      <c r="M25" s="139" t="s">
        <v>97</v>
      </c>
      <c r="N25" s="100">
        <f t="shared" si="12"/>
        <v>0</v>
      </c>
      <c r="O25" s="236">
        <v>1800000</v>
      </c>
      <c r="P25" s="102">
        <f t="shared" si="13"/>
        <v>0</v>
      </c>
      <c r="Q25" s="102">
        <f t="shared" si="14"/>
        <v>0</v>
      </c>
      <c r="R25" s="102">
        <f t="shared" si="15"/>
        <v>0</v>
      </c>
      <c r="S25" s="102">
        <f t="shared" si="16"/>
        <v>-1800000</v>
      </c>
      <c r="T25" s="103">
        <f t="shared" si="17"/>
        <v>0</v>
      </c>
      <c r="U25" s="100">
        <f t="shared" si="18"/>
        <v>0</v>
      </c>
      <c r="V25" s="237">
        <v>1800000</v>
      </c>
      <c r="W25" s="105">
        <f t="shared" si="19"/>
        <v>455284.12</v>
      </c>
      <c r="X25" s="102">
        <f t="shared" si="20"/>
        <v>0</v>
      </c>
      <c r="Y25" s="106">
        <f t="shared" si="21"/>
        <v>455284.12</v>
      </c>
      <c r="Z25" s="142">
        <f t="shared" si="22"/>
        <v>-1344715.88</v>
      </c>
      <c r="AA25" s="143">
        <f t="shared" si="118"/>
        <v>0.25293562222222221</v>
      </c>
      <c r="AB25" s="100">
        <f t="shared" si="23"/>
        <v>0</v>
      </c>
      <c r="AC25" s="236">
        <v>1800000</v>
      </c>
      <c r="AD25" s="102">
        <f t="shared" si="24"/>
        <v>580557.41</v>
      </c>
      <c r="AE25" s="102">
        <f t="shared" si="25"/>
        <v>0</v>
      </c>
      <c r="AF25" s="102">
        <f t="shared" si="26"/>
        <v>580557.41</v>
      </c>
      <c r="AG25" s="145">
        <f t="shared" si="27"/>
        <v>-1219442.5899999999</v>
      </c>
      <c r="AH25" s="158">
        <f t="shared" si="130"/>
        <v>0.32253189444444447</v>
      </c>
      <c r="AI25" s="147">
        <f t="shared" si="103"/>
        <v>5400000</v>
      </c>
      <c r="AJ25" s="111">
        <f t="shared" si="30"/>
        <v>988274.71</v>
      </c>
      <c r="AK25" s="102">
        <f t="shared" si="31"/>
        <v>0</v>
      </c>
      <c r="AL25" s="102">
        <f t="shared" si="32"/>
        <v>1035841.53</v>
      </c>
      <c r="AM25" s="102">
        <f t="shared" si="33"/>
        <v>1035841.53</v>
      </c>
      <c r="AN25" s="102">
        <f t="shared" si="34"/>
        <v>47566.820000000065</v>
      </c>
      <c r="AO25" s="112">
        <f t="shared" si="35"/>
        <v>1.0481311719491437</v>
      </c>
      <c r="AP25" s="100">
        <f t="shared" si="36"/>
        <v>0</v>
      </c>
      <c r="AQ25" s="113">
        <f t="shared" si="37"/>
        <v>448643.74</v>
      </c>
      <c r="AR25" s="114">
        <f t="shared" si="38"/>
        <v>0</v>
      </c>
      <c r="AS25" s="115">
        <f t="shared" si="39"/>
        <v>448643.74</v>
      </c>
      <c r="AT25" s="100">
        <f t="shared" si="40"/>
        <v>0</v>
      </c>
      <c r="AU25" s="113">
        <f t="shared" si="41"/>
        <v>812270.17</v>
      </c>
      <c r="AV25" s="116">
        <f t="shared" si="42"/>
        <v>0</v>
      </c>
      <c r="AW25" s="117">
        <f t="shared" si="43"/>
        <v>812270.17</v>
      </c>
      <c r="AX25" s="100">
        <f t="shared" si="44"/>
        <v>0</v>
      </c>
      <c r="AY25" s="113">
        <f t="shared" si="45"/>
        <v>215072.62</v>
      </c>
      <c r="AZ25" s="114">
        <f t="shared" si="46"/>
        <v>0</v>
      </c>
      <c r="BA25" s="100">
        <f t="shared" si="47"/>
        <v>215072.62</v>
      </c>
      <c r="BB25" s="118">
        <f t="shared" ref="BB25:BD25" si="137">BH25+AY25+AU25</f>
        <v>2037050.6099999999</v>
      </c>
      <c r="BC25" s="116">
        <f t="shared" si="137"/>
        <v>0</v>
      </c>
      <c r="BD25" s="119">
        <f t="shared" si="137"/>
        <v>2037050.6099999999</v>
      </c>
      <c r="BE25" s="118">
        <f t="shared" si="49"/>
        <v>3072892.1399999997</v>
      </c>
      <c r="BF25" s="116">
        <f t="shared" si="50"/>
        <v>0</v>
      </c>
      <c r="BG25" s="119">
        <f t="shared" si="51"/>
        <v>3072892.1399999997</v>
      </c>
      <c r="BH25" s="114">
        <f t="shared" si="52"/>
        <v>1009707.82</v>
      </c>
      <c r="BI25" s="114">
        <f t="shared" si="53"/>
        <v>0</v>
      </c>
      <c r="BJ25" s="115">
        <f t="shared" si="54"/>
        <v>1009707.82</v>
      </c>
      <c r="BK25" s="125">
        <f t="shared" si="55"/>
        <v>129952.11</v>
      </c>
      <c r="BL25" s="120">
        <f t="shared" si="56"/>
        <v>444010.86</v>
      </c>
      <c r="BM25" s="121">
        <f t="shared" si="57"/>
        <v>0</v>
      </c>
      <c r="BN25" s="119">
        <f t="shared" si="58"/>
        <v>444010.86</v>
      </c>
      <c r="BO25" s="125">
        <f t="shared" si="59"/>
        <v>48337.65</v>
      </c>
      <c r="BP25" s="140">
        <f t="shared" si="60"/>
        <v>337188.74000000005</v>
      </c>
      <c r="BQ25" s="123">
        <f t="shared" si="61"/>
        <v>31057.599999999999</v>
      </c>
      <c r="BR25" s="125">
        <f t="shared" si="62"/>
        <v>368246.34</v>
      </c>
      <c r="BS25" s="122">
        <f t="shared" si="63"/>
        <v>1790907.42</v>
      </c>
      <c r="BT25" s="123">
        <f t="shared" ref="BT25:BU25" si="138">SUM(BI25,BM25,BQ25)</f>
        <v>31057.599999999999</v>
      </c>
      <c r="BU25" s="124">
        <f t="shared" si="138"/>
        <v>1821965.02</v>
      </c>
      <c r="BV25" s="125">
        <f t="shared" si="65"/>
        <v>412733.35</v>
      </c>
      <c r="BW25" s="122">
        <f t="shared" si="66"/>
        <v>879978.18</v>
      </c>
      <c r="BX25" s="123">
        <f t="shared" si="67"/>
        <v>0</v>
      </c>
      <c r="BY25" s="124">
        <f t="shared" si="68"/>
        <v>879978.18</v>
      </c>
      <c r="BZ25" s="125">
        <f t="shared" si="69"/>
        <v>462349.54</v>
      </c>
      <c r="CA25" s="140"/>
      <c r="CB25" s="123"/>
      <c r="CC25" s="148"/>
      <c r="CD25" s="123">
        <f t="shared" si="70"/>
        <v>113191.82</v>
      </c>
      <c r="CF25" s="126"/>
      <c r="CI25" s="231" t="s">
        <v>98</v>
      </c>
      <c r="CJ25" s="231"/>
      <c r="CK25" s="231"/>
    </row>
    <row r="26" spans="1:89" ht="13">
      <c r="A26" s="92">
        <f t="shared" si="0"/>
        <v>112013916</v>
      </c>
      <c r="B26" s="172">
        <f t="shared" si="91"/>
        <v>7</v>
      </c>
      <c r="C26" s="137">
        <f>VLOOKUP(B26,DES,2,FALSE)</f>
        <v>0.1</v>
      </c>
      <c r="D26" s="137">
        <f>VLOOKUP(B26,DES,3,FALSE)</f>
        <v>0.2</v>
      </c>
      <c r="E26" s="138">
        <f>VLOOKUP(B26,DES,4,FALSE)</f>
        <v>0</v>
      </c>
      <c r="F26" s="96">
        <f>VLOOKUP(M26,BASILECART2,2,FALSE)</f>
        <v>7</v>
      </c>
      <c r="G26" s="97">
        <f t="shared" si="6"/>
        <v>0.1</v>
      </c>
      <c r="H26" s="97">
        <f t="shared" si="7"/>
        <v>0.2</v>
      </c>
      <c r="I26" s="97">
        <f t="shared" si="8"/>
        <v>0</v>
      </c>
      <c r="J26" s="96">
        <f t="shared" si="9"/>
        <v>62</v>
      </c>
      <c r="K26" s="94">
        <f t="shared" si="10"/>
        <v>0.1</v>
      </c>
      <c r="L26" s="98">
        <f t="shared" si="11"/>
        <v>0.11</v>
      </c>
      <c r="M26" s="139" t="s">
        <v>99</v>
      </c>
      <c r="N26" s="100">
        <f t="shared" si="12"/>
        <v>212346.9</v>
      </c>
      <c r="O26" s="236">
        <v>1800000</v>
      </c>
      <c r="P26" s="102">
        <f t="shared" si="13"/>
        <v>666053.70000000007</v>
      </c>
      <c r="Q26" s="102">
        <f t="shared" si="14"/>
        <v>857103.6</v>
      </c>
      <c r="R26" s="102">
        <f t="shared" si="15"/>
        <v>1523157.3</v>
      </c>
      <c r="S26" s="102">
        <f t="shared" si="16"/>
        <v>-276842.69999999995</v>
      </c>
      <c r="T26" s="103">
        <f t="shared" si="17"/>
        <v>0.84619850000000008</v>
      </c>
      <c r="U26" s="100">
        <f t="shared" si="18"/>
        <v>1574012.61</v>
      </c>
      <c r="V26" s="237">
        <v>1800000</v>
      </c>
      <c r="W26" s="105">
        <f t="shared" si="19"/>
        <v>1337599.3400000001</v>
      </c>
      <c r="X26" s="102">
        <f t="shared" si="20"/>
        <v>0</v>
      </c>
      <c r="Y26" s="106">
        <f t="shared" si="21"/>
        <v>1337599.3400000001</v>
      </c>
      <c r="Z26" s="142">
        <f t="shared" si="22"/>
        <v>-462400.65999999992</v>
      </c>
      <c r="AA26" s="143">
        <f t="shared" si="118"/>
        <v>0.74311074444444447</v>
      </c>
      <c r="AB26" s="100">
        <f t="shared" si="23"/>
        <v>800613.48</v>
      </c>
      <c r="AC26" s="236">
        <v>1800000</v>
      </c>
      <c r="AD26" s="102">
        <f t="shared" si="24"/>
        <v>585757.08000000007</v>
      </c>
      <c r="AE26" s="102">
        <f t="shared" si="25"/>
        <v>664269.71</v>
      </c>
      <c r="AF26" s="102">
        <f t="shared" si="26"/>
        <v>1250026.79</v>
      </c>
      <c r="AG26" s="145">
        <f t="shared" si="27"/>
        <v>-549973.21</v>
      </c>
      <c r="AH26" s="158">
        <f t="shared" si="130"/>
        <v>0.69445932777777775</v>
      </c>
      <c r="AI26" s="147">
        <f t="shared" si="103"/>
        <v>5400000</v>
      </c>
      <c r="AJ26" s="111">
        <f t="shared" si="30"/>
        <v>4989537.6900000004</v>
      </c>
      <c r="AK26" s="102">
        <f t="shared" si="31"/>
        <v>1521373.31</v>
      </c>
      <c r="AL26" s="102">
        <f t="shared" si="32"/>
        <v>2589410.12</v>
      </c>
      <c r="AM26" s="102">
        <f t="shared" si="33"/>
        <v>4110783.4299999997</v>
      </c>
      <c r="AN26" s="102">
        <f t="shared" si="34"/>
        <v>-878754.26000000071</v>
      </c>
      <c r="AO26" s="112">
        <f t="shared" si="35"/>
        <v>0.82388062490013969</v>
      </c>
      <c r="AP26" s="100">
        <f t="shared" si="36"/>
        <v>2108306.9700000002</v>
      </c>
      <c r="AQ26" s="113">
        <f t="shared" si="37"/>
        <v>940080.21</v>
      </c>
      <c r="AR26" s="114">
        <f t="shared" si="38"/>
        <v>0</v>
      </c>
      <c r="AS26" s="115">
        <f t="shared" si="39"/>
        <v>940080.21</v>
      </c>
      <c r="AT26" s="100">
        <f t="shared" si="40"/>
        <v>1140078.31</v>
      </c>
      <c r="AU26" s="113">
        <f t="shared" si="41"/>
        <v>799265.33</v>
      </c>
      <c r="AV26" s="116">
        <f t="shared" si="42"/>
        <v>461471.62</v>
      </c>
      <c r="AW26" s="117">
        <f t="shared" si="43"/>
        <v>1260736.95</v>
      </c>
      <c r="AX26" s="100">
        <f t="shared" si="44"/>
        <v>2413895.85</v>
      </c>
      <c r="AY26" s="113">
        <f t="shared" si="45"/>
        <v>330690.61</v>
      </c>
      <c r="AZ26" s="114">
        <f t="shared" si="46"/>
        <v>630068.07999999996</v>
      </c>
      <c r="BA26" s="100">
        <f t="shared" si="47"/>
        <v>960758.69</v>
      </c>
      <c r="BB26" s="118">
        <f t="shared" ref="BB26:BD26" si="139">BH26+AY26+AU26</f>
        <v>1165659.83</v>
      </c>
      <c r="BC26" s="116">
        <f t="shared" si="139"/>
        <v>1281698.8999999999</v>
      </c>
      <c r="BD26" s="119">
        <f t="shared" si="139"/>
        <v>2447358.73</v>
      </c>
      <c r="BE26" s="118">
        <f t="shared" si="49"/>
        <v>3755069.95</v>
      </c>
      <c r="BF26" s="116">
        <f t="shared" si="50"/>
        <v>2803072.21</v>
      </c>
      <c r="BG26" s="119">
        <f t="shared" si="51"/>
        <v>6558142.1600000001</v>
      </c>
      <c r="BH26" s="114">
        <f t="shared" si="52"/>
        <v>35703.889999999985</v>
      </c>
      <c r="BI26" s="114">
        <f t="shared" si="53"/>
        <v>190159.2</v>
      </c>
      <c r="BJ26" s="115">
        <f t="shared" si="54"/>
        <v>225863.09</v>
      </c>
      <c r="BK26" s="125">
        <f t="shared" si="55"/>
        <v>643464.02</v>
      </c>
      <c r="BL26" s="120">
        <f t="shared" si="56"/>
        <v>0</v>
      </c>
      <c r="BM26" s="121">
        <f t="shared" si="57"/>
        <v>0</v>
      </c>
      <c r="BN26" s="119">
        <f t="shared" si="58"/>
        <v>0</v>
      </c>
      <c r="BO26" s="125">
        <f t="shared" si="59"/>
        <v>2001623.94</v>
      </c>
      <c r="BP26" s="140">
        <f t="shared" si="60"/>
        <v>1173818.5899999999</v>
      </c>
      <c r="BQ26" s="123">
        <f t="shared" si="61"/>
        <v>68687.100000000006</v>
      </c>
      <c r="BR26" s="125">
        <f t="shared" si="62"/>
        <v>1242505.69</v>
      </c>
      <c r="BS26" s="122">
        <f t="shared" si="63"/>
        <v>1209522.4799999997</v>
      </c>
      <c r="BT26" s="123">
        <f t="shared" ref="BT26:BU26" si="140">SUM(BI26,BM26,BQ26)</f>
        <v>258846.30000000002</v>
      </c>
      <c r="BU26" s="124">
        <f t="shared" si="140"/>
        <v>1468368.78</v>
      </c>
      <c r="BV26" s="125">
        <f t="shared" si="65"/>
        <v>2703172.67</v>
      </c>
      <c r="BW26" s="122">
        <f t="shared" si="66"/>
        <v>1192827.77</v>
      </c>
      <c r="BX26" s="123">
        <f t="shared" si="67"/>
        <v>578798.25</v>
      </c>
      <c r="BY26" s="124">
        <f t="shared" si="68"/>
        <v>1771626.02</v>
      </c>
      <c r="BZ26" s="125">
        <f t="shared" si="69"/>
        <v>1455626.08</v>
      </c>
      <c r="CA26" s="140"/>
      <c r="CB26" s="123"/>
      <c r="CC26" s="148"/>
      <c r="CD26" s="123">
        <f t="shared" si="70"/>
        <v>830738.93</v>
      </c>
      <c r="CF26" s="126"/>
      <c r="CI26" s="245" t="s">
        <v>100</v>
      </c>
      <c r="CJ26" s="245"/>
      <c r="CK26" s="245"/>
    </row>
    <row r="27" spans="1:89" ht="13">
      <c r="A27" s="92">
        <f t="shared" si="0"/>
        <v>112014782</v>
      </c>
      <c r="B27" s="172" t="str">
        <f t="shared" si="91"/>
        <v/>
      </c>
      <c r="C27" s="137" t="e">
        <f>VLOOKUP(B27,DES,2,FALSE)</f>
        <v>#N/A</v>
      </c>
      <c r="D27" s="137" t="e">
        <f>VLOOKUP(B27,DES,3,FALSE)</f>
        <v>#N/A</v>
      </c>
      <c r="E27" s="138" t="e">
        <f>VLOOKUP(B27,DES,4,FALSE)</f>
        <v>#N/A</v>
      </c>
      <c r="F27" s="96" t="e">
        <f>VLOOKUP(M27,BASILECART2,2,FALSE)</f>
        <v>#N/A</v>
      </c>
      <c r="G27" s="97" t="str">
        <f t="shared" si="6"/>
        <v/>
      </c>
      <c r="H27" s="97" t="str">
        <f t="shared" si="7"/>
        <v/>
      </c>
      <c r="I27" s="97" t="str">
        <f t="shared" si="8"/>
        <v/>
      </c>
      <c r="J27" s="96">
        <f t="shared" si="9"/>
        <v>61</v>
      </c>
      <c r="K27" s="94">
        <f t="shared" si="10"/>
        <v>0.1</v>
      </c>
      <c r="L27" s="98">
        <f t="shared" si="11"/>
        <v>0.14000000000000001</v>
      </c>
      <c r="M27" s="246" t="s">
        <v>101</v>
      </c>
      <c r="N27" s="100" t="str">
        <f t="shared" si="12"/>
        <v/>
      </c>
      <c r="O27" s="236">
        <v>1800000</v>
      </c>
      <c r="P27" s="102" t="e">
        <f t="shared" si="13"/>
        <v>#VALUE!</v>
      </c>
      <c r="Q27" s="102" t="str">
        <f t="shared" si="14"/>
        <v/>
      </c>
      <c r="R27" s="102" t="str">
        <f t="shared" si="15"/>
        <v/>
      </c>
      <c r="S27" s="102" t="e">
        <f t="shared" si="16"/>
        <v>#VALUE!</v>
      </c>
      <c r="T27" s="103" t="e">
        <f t="shared" si="17"/>
        <v>#VALUE!</v>
      </c>
      <c r="U27" s="100" t="str">
        <f t="shared" si="18"/>
        <v/>
      </c>
      <c r="V27" s="237">
        <v>1800000</v>
      </c>
      <c r="W27" s="105" t="e">
        <f t="shared" si="19"/>
        <v>#VALUE!</v>
      </c>
      <c r="X27" s="102" t="str">
        <f t="shared" si="20"/>
        <v/>
      </c>
      <c r="Y27" s="106" t="str">
        <f t="shared" si="21"/>
        <v/>
      </c>
      <c r="Z27" s="142" t="e">
        <f t="shared" si="22"/>
        <v>#VALUE!</v>
      </c>
      <c r="AA27" s="143" t="e">
        <f t="shared" si="118"/>
        <v>#VALUE!</v>
      </c>
      <c r="AB27" s="100" t="str">
        <f t="shared" si="23"/>
        <v/>
      </c>
      <c r="AC27" s="236">
        <v>1800000</v>
      </c>
      <c r="AD27" s="102" t="e">
        <f t="shared" si="24"/>
        <v>#VALUE!</v>
      </c>
      <c r="AE27" s="102" t="str">
        <f t="shared" si="25"/>
        <v/>
      </c>
      <c r="AF27" s="102" t="str">
        <f t="shared" si="26"/>
        <v/>
      </c>
      <c r="AG27" s="145" t="e">
        <f t="shared" si="27"/>
        <v>#VALUE!</v>
      </c>
      <c r="AH27" s="158" t="e">
        <f t="shared" si="130"/>
        <v>#VALUE!</v>
      </c>
      <c r="AI27" s="147">
        <f t="shared" si="103"/>
        <v>5400000</v>
      </c>
      <c r="AJ27" s="111" t="str">
        <f t="shared" si="30"/>
        <v>0</v>
      </c>
      <c r="AK27" s="102">
        <f t="shared" si="31"/>
        <v>0</v>
      </c>
      <c r="AL27" s="102" t="e">
        <f t="shared" si="32"/>
        <v>#VALUE!</v>
      </c>
      <c r="AM27" s="102" t="e">
        <f t="shared" si="33"/>
        <v>#VALUE!</v>
      </c>
      <c r="AN27" s="102" t="e">
        <f t="shared" si="34"/>
        <v>#VALUE!</v>
      </c>
      <c r="AO27" s="112" t="e">
        <f t="shared" si="35"/>
        <v>#VALUE!</v>
      </c>
      <c r="AP27" s="100" t="str">
        <f t="shared" si="36"/>
        <v/>
      </c>
      <c r="AQ27" s="113" t="e">
        <f t="shared" si="37"/>
        <v>#VALUE!</v>
      </c>
      <c r="AR27" s="114" t="str">
        <f t="shared" si="38"/>
        <v/>
      </c>
      <c r="AS27" s="115" t="str">
        <f t="shared" si="39"/>
        <v/>
      </c>
      <c r="AT27" s="100" t="str">
        <f t="shared" si="40"/>
        <v/>
      </c>
      <c r="AU27" s="113" t="e">
        <f t="shared" si="41"/>
        <v>#VALUE!</v>
      </c>
      <c r="AV27" s="116" t="str">
        <f t="shared" si="42"/>
        <v/>
      </c>
      <c r="AW27" s="117" t="str">
        <f t="shared" si="43"/>
        <v/>
      </c>
      <c r="AX27" s="100" t="str">
        <f t="shared" si="44"/>
        <v/>
      </c>
      <c r="AY27" s="113" t="e">
        <f t="shared" si="45"/>
        <v>#VALUE!</v>
      </c>
      <c r="AZ27" s="114" t="str">
        <f t="shared" si="46"/>
        <v/>
      </c>
      <c r="BA27" s="100" t="str">
        <f t="shared" si="47"/>
        <v/>
      </c>
      <c r="BB27" s="118" t="e">
        <f t="shared" ref="BB27:BD27" si="141">BH27+AY27+AU27</f>
        <v>#VALUE!</v>
      </c>
      <c r="BC27" s="116" t="e">
        <f t="shared" si="141"/>
        <v>#VALUE!</v>
      </c>
      <c r="BD27" s="119" t="e">
        <f t="shared" si="141"/>
        <v>#VALUE!</v>
      </c>
      <c r="BE27" s="118" t="e">
        <f t="shared" si="49"/>
        <v>#VALUE!</v>
      </c>
      <c r="BF27" s="116" t="e">
        <f t="shared" si="50"/>
        <v>#VALUE!</v>
      </c>
      <c r="BG27" s="119" t="e">
        <f t="shared" si="51"/>
        <v>#VALUE!</v>
      </c>
      <c r="BH27" s="114" t="e">
        <f t="shared" si="52"/>
        <v>#VALUE!</v>
      </c>
      <c r="BI27" s="114" t="str">
        <f t="shared" si="53"/>
        <v/>
      </c>
      <c r="BJ27" s="115" t="str">
        <f t="shared" si="54"/>
        <v/>
      </c>
      <c r="BK27" s="125" t="str">
        <f t="shared" si="55"/>
        <v/>
      </c>
      <c r="BL27" s="120" t="e">
        <f t="shared" si="56"/>
        <v>#VALUE!</v>
      </c>
      <c r="BM27" s="121" t="str">
        <f t="shared" si="57"/>
        <v/>
      </c>
      <c r="BN27" s="119" t="str">
        <f t="shared" si="58"/>
        <v/>
      </c>
      <c r="BO27" s="125" t="str">
        <f t="shared" si="59"/>
        <v/>
      </c>
      <c r="BP27" s="140" t="e">
        <f t="shared" si="60"/>
        <v>#VALUE!</v>
      </c>
      <c r="BQ27" s="123" t="str">
        <f t="shared" si="61"/>
        <v/>
      </c>
      <c r="BR27" s="125" t="str">
        <f t="shared" si="62"/>
        <v/>
      </c>
      <c r="BS27" s="122" t="e">
        <f t="shared" si="63"/>
        <v>#VALUE!</v>
      </c>
      <c r="BT27" s="123">
        <f t="shared" ref="BT27:BU27" si="142">SUM(BI27,BM27,BQ27)</f>
        <v>0</v>
      </c>
      <c r="BU27" s="124">
        <f t="shared" si="142"/>
        <v>0</v>
      </c>
      <c r="BV27" s="125" t="str">
        <f t="shared" si="65"/>
        <v/>
      </c>
      <c r="BW27" s="122" t="e">
        <f t="shared" si="66"/>
        <v>#VALUE!</v>
      </c>
      <c r="BX27" s="123" t="str">
        <f t="shared" si="67"/>
        <v/>
      </c>
      <c r="BY27" s="124" t="str">
        <f t="shared" si="68"/>
        <v/>
      </c>
      <c r="BZ27" s="125" t="str">
        <f t="shared" si="69"/>
        <v/>
      </c>
      <c r="CA27" s="140"/>
      <c r="CB27" s="123"/>
      <c r="CC27" s="148"/>
      <c r="CD27" s="123" t="str">
        <f t="shared" si="70"/>
        <v/>
      </c>
      <c r="CF27" s="126"/>
    </row>
    <row r="28" spans="1:89" ht="13">
      <c r="A28" s="92">
        <f t="shared" si="0"/>
        <v>112013915</v>
      </c>
      <c r="B28" s="172">
        <f t="shared" si="91"/>
        <v>7</v>
      </c>
      <c r="C28" s="137">
        <f>IFERROR(VLOOKUP(B28,DES,2,FALSE),"")</f>
        <v>0.1</v>
      </c>
      <c r="D28" s="137">
        <f>IFERROR(VLOOKUP(B28,DES,3,FALSE),"")</f>
        <v>0.2</v>
      </c>
      <c r="E28" s="138">
        <f>IFERROR(VLOOKUP(B28,DES,4,FALSE),"")</f>
        <v>0</v>
      </c>
      <c r="F28" s="193">
        <f>IFERROR(VLOOKUP(M28,BASILECART2,2,FALSE),"")</f>
        <v>7</v>
      </c>
      <c r="G28" s="97">
        <f t="shared" si="6"/>
        <v>0.1</v>
      </c>
      <c r="H28" s="97">
        <f t="shared" si="7"/>
        <v>0.2</v>
      </c>
      <c r="I28" s="97">
        <f t="shared" si="8"/>
        <v>0</v>
      </c>
      <c r="J28" s="96">
        <f t="shared" si="9"/>
        <v>62</v>
      </c>
      <c r="K28" s="94">
        <f t="shared" si="10"/>
        <v>0.1</v>
      </c>
      <c r="L28" s="98">
        <f t="shared" si="11"/>
        <v>0.11</v>
      </c>
      <c r="M28" s="139" t="s">
        <v>102</v>
      </c>
      <c r="N28" s="100">
        <f t="shared" si="12"/>
        <v>0</v>
      </c>
      <c r="O28" s="236">
        <v>1800000</v>
      </c>
      <c r="P28" s="102">
        <f t="shared" si="13"/>
        <v>360502.86</v>
      </c>
      <c r="Q28" s="102">
        <f t="shared" si="14"/>
        <v>471435.36</v>
      </c>
      <c r="R28" s="102">
        <f t="shared" si="15"/>
        <v>831938.22</v>
      </c>
      <c r="S28" s="102">
        <f t="shared" si="16"/>
        <v>-968061.78</v>
      </c>
      <c r="T28" s="103">
        <f t="shared" si="17"/>
        <v>0.46218789999999998</v>
      </c>
      <c r="U28" s="100">
        <f t="shared" si="18"/>
        <v>0</v>
      </c>
      <c r="V28" s="237">
        <v>1800000</v>
      </c>
      <c r="W28" s="105">
        <f t="shared" si="19"/>
        <v>1718231.74</v>
      </c>
      <c r="X28" s="102">
        <f t="shared" si="20"/>
        <v>581279.24</v>
      </c>
      <c r="Y28" s="106">
        <f t="shared" si="21"/>
        <v>2299510.98</v>
      </c>
      <c r="Z28" s="142">
        <f t="shared" si="22"/>
        <v>499510.98</v>
      </c>
      <c r="AA28" s="143">
        <f t="shared" si="118"/>
        <v>1.2775061000000001</v>
      </c>
      <c r="AB28" s="100">
        <f t="shared" si="23"/>
        <v>0</v>
      </c>
      <c r="AC28" s="236">
        <v>1800000</v>
      </c>
      <c r="AD28" s="102">
        <f t="shared" si="24"/>
        <v>949022.89999999991</v>
      </c>
      <c r="AE28" s="102">
        <f t="shared" si="25"/>
        <v>500218.73</v>
      </c>
      <c r="AF28" s="102">
        <f t="shared" si="26"/>
        <v>1449241.63</v>
      </c>
      <c r="AG28" s="145">
        <f t="shared" si="27"/>
        <v>-350758.37000000011</v>
      </c>
      <c r="AH28" s="158">
        <f t="shared" si="130"/>
        <v>0.8051342388888888</v>
      </c>
      <c r="AI28" s="147">
        <f t="shared" si="103"/>
        <v>5400000</v>
      </c>
      <c r="AJ28" s="111">
        <f t="shared" si="30"/>
        <v>2670036.86</v>
      </c>
      <c r="AK28" s="102">
        <f t="shared" si="31"/>
        <v>1552933.33</v>
      </c>
      <c r="AL28" s="102">
        <f t="shared" si="32"/>
        <v>3027757.5</v>
      </c>
      <c r="AM28" s="102">
        <f t="shared" si="33"/>
        <v>4580690.83</v>
      </c>
      <c r="AN28" s="102">
        <f t="shared" si="34"/>
        <v>1910653.9700000002</v>
      </c>
      <c r="AO28" s="112">
        <f t="shared" si="35"/>
        <v>1.7155908589217006</v>
      </c>
      <c r="AP28" s="100">
        <f t="shared" si="36"/>
        <v>0</v>
      </c>
      <c r="AQ28" s="113">
        <f t="shared" si="37"/>
        <v>442494.66999999993</v>
      </c>
      <c r="AR28" s="114">
        <f t="shared" si="38"/>
        <v>747573.81</v>
      </c>
      <c r="AS28" s="115">
        <f t="shared" si="39"/>
        <v>1190068.48</v>
      </c>
      <c r="AT28" s="100">
        <f t="shared" si="40"/>
        <v>0</v>
      </c>
      <c r="AU28" s="113">
        <f t="shared" si="41"/>
        <v>599862.47000000009</v>
      </c>
      <c r="AV28" s="116">
        <f t="shared" si="42"/>
        <v>1010167.39</v>
      </c>
      <c r="AW28" s="117">
        <f t="shared" si="43"/>
        <v>1610029.86</v>
      </c>
      <c r="AX28" s="100">
        <f t="shared" si="44"/>
        <v>0</v>
      </c>
      <c r="AY28" s="113">
        <f t="shared" si="45"/>
        <v>1754711.42</v>
      </c>
      <c r="AZ28" s="114">
        <f t="shared" si="46"/>
        <v>1411560.4</v>
      </c>
      <c r="BA28" s="100">
        <f t="shared" si="47"/>
        <v>3166271.82</v>
      </c>
      <c r="BB28" s="118">
        <f t="shared" ref="BB28:BD28" si="143">BH28+AY28+AU28</f>
        <v>2473040.16</v>
      </c>
      <c r="BC28" s="116">
        <f t="shared" si="143"/>
        <v>3421572.43</v>
      </c>
      <c r="BD28" s="119">
        <f t="shared" si="143"/>
        <v>5894612.5899999999</v>
      </c>
      <c r="BE28" s="118">
        <f t="shared" si="49"/>
        <v>5500797.6600000001</v>
      </c>
      <c r="BF28" s="116">
        <f t="shared" si="50"/>
        <v>4974505.76</v>
      </c>
      <c r="BG28" s="119">
        <f t="shared" si="51"/>
        <v>10475303.42</v>
      </c>
      <c r="BH28" s="114">
        <f t="shared" si="52"/>
        <v>118466.2699999999</v>
      </c>
      <c r="BI28" s="114">
        <f t="shared" si="53"/>
        <v>999844.64</v>
      </c>
      <c r="BJ28" s="115">
        <f t="shared" si="54"/>
        <v>1118310.9099999999</v>
      </c>
      <c r="BK28" s="125">
        <f t="shared" si="55"/>
        <v>1908273.09</v>
      </c>
      <c r="BL28" s="120">
        <f t="shared" si="56"/>
        <v>173634.39000000013</v>
      </c>
      <c r="BM28" s="121">
        <f t="shared" si="57"/>
        <v>1245006.72</v>
      </c>
      <c r="BN28" s="119">
        <f t="shared" si="58"/>
        <v>1418641.11</v>
      </c>
      <c r="BO28" s="125">
        <f t="shared" si="59"/>
        <v>1904582.49</v>
      </c>
      <c r="BP28" s="140">
        <f t="shared" si="60"/>
        <v>329065.18000000017</v>
      </c>
      <c r="BQ28" s="123">
        <f t="shared" si="61"/>
        <v>1613502.64</v>
      </c>
      <c r="BR28" s="125">
        <f t="shared" si="62"/>
        <v>1942567.82</v>
      </c>
      <c r="BS28" s="122">
        <f t="shared" si="63"/>
        <v>621165.8400000002</v>
      </c>
      <c r="BT28" s="123">
        <f t="shared" ref="BT28:BU28" si="144">SUM(BI28,BM28,BQ28)</f>
        <v>3858354</v>
      </c>
      <c r="BU28" s="124">
        <f t="shared" si="144"/>
        <v>4479519.84</v>
      </c>
      <c r="BV28" s="125">
        <f t="shared" si="65"/>
        <v>723735</v>
      </c>
      <c r="BW28" s="122">
        <f t="shared" si="66"/>
        <v>181640.34000000008</v>
      </c>
      <c r="BX28" s="123">
        <f t="shared" si="67"/>
        <v>1286827.5</v>
      </c>
      <c r="BY28" s="124">
        <f t="shared" si="68"/>
        <v>1468467.84</v>
      </c>
      <c r="BZ28" s="125">
        <f t="shared" si="69"/>
        <v>980849.14</v>
      </c>
      <c r="CA28" s="140"/>
      <c r="CB28" s="123"/>
      <c r="CC28" s="148"/>
      <c r="CD28" s="123">
        <f t="shared" si="70"/>
        <v>965452.72</v>
      </c>
      <c r="CF28" s="126"/>
    </row>
    <row r="29" spans="1:89" ht="14">
      <c r="A29" s="92">
        <f t="shared" si="0"/>
        <v>112012950</v>
      </c>
      <c r="B29" s="172">
        <f t="shared" si="91"/>
        <v>7</v>
      </c>
      <c r="C29" s="137">
        <f>IFERROR(VLOOKUP(B29,DES,2,FALSE),"")</f>
        <v>0.1</v>
      </c>
      <c r="D29" s="137">
        <f>IFERROR(VLOOKUP(B29,DES,3,FALSE),"")</f>
        <v>0.2</v>
      </c>
      <c r="E29" s="138">
        <f>IFERROR(VLOOKUP(B29,DES,4,FALSE),"")</f>
        <v>0</v>
      </c>
      <c r="F29" s="193">
        <f>IFERROR(VLOOKUP(M29,BASILECART2,2,FALSE),"")</f>
        <v>31</v>
      </c>
      <c r="G29" s="97">
        <f t="shared" si="6"/>
        <v>0.1</v>
      </c>
      <c r="H29" s="97">
        <f t="shared" si="7"/>
        <v>0.23</v>
      </c>
      <c r="I29" s="97">
        <f t="shared" si="8"/>
        <v>0</v>
      </c>
      <c r="J29" s="96">
        <f t="shared" si="9"/>
        <v>61</v>
      </c>
      <c r="K29" s="94">
        <f t="shared" si="10"/>
        <v>0.1</v>
      </c>
      <c r="L29" s="98">
        <f t="shared" si="11"/>
        <v>0.14000000000000001</v>
      </c>
      <c r="M29" s="139" t="s">
        <v>103</v>
      </c>
      <c r="N29" s="100">
        <f t="shared" si="12"/>
        <v>3008620.7</v>
      </c>
      <c r="O29" s="140"/>
      <c r="P29" s="102">
        <f t="shared" si="13"/>
        <v>0</v>
      </c>
      <c r="Q29" s="102">
        <f t="shared" si="14"/>
        <v>0</v>
      </c>
      <c r="R29" s="102">
        <f t="shared" si="15"/>
        <v>0</v>
      </c>
      <c r="S29" s="102">
        <f t="shared" si="16"/>
        <v>0</v>
      </c>
      <c r="T29" s="103" t="e">
        <f t="shared" si="17"/>
        <v>#DIV/0!</v>
      </c>
      <c r="U29" s="100">
        <f t="shared" si="18"/>
        <v>1373851.73</v>
      </c>
      <c r="V29" s="141"/>
      <c r="W29" s="105">
        <f t="shared" si="19"/>
        <v>0</v>
      </c>
      <c r="X29" s="102">
        <f t="shared" si="20"/>
        <v>0</v>
      </c>
      <c r="Y29" s="106">
        <f t="shared" si="21"/>
        <v>0</v>
      </c>
      <c r="Z29" s="142"/>
      <c r="AA29" s="143"/>
      <c r="AB29" s="100">
        <f t="shared" si="23"/>
        <v>3503450.34</v>
      </c>
      <c r="AC29" s="144">
        <v>600000</v>
      </c>
      <c r="AD29" s="102">
        <f t="shared" si="24"/>
        <v>0</v>
      </c>
      <c r="AE29" s="102">
        <f t="shared" si="25"/>
        <v>2907554.8</v>
      </c>
      <c r="AF29" s="102">
        <f t="shared" si="26"/>
        <v>2907554.8</v>
      </c>
      <c r="AG29" s="145">
        <f t="shared" si="27"/>
        <v>2307554.7999999998</v>
      </c>
      <c r="AH29" s="158">
        <f t="shared" ref="AH29:AH31" si="145">IFERROR(AF29/AC29,"")</f>
        <v>4.845924666666666</v>
      </c>
      <c r="AI29" s="147">
        <f t="shared" si="103"/>
        <v>600000</v>
      </c>
      <c r="AJ29" s="111">
        <f t="shared" si="30"/>
        <v>13358986.85</v>
      </c>
      <c r="AK29" s="102">
        <f t="shared" si="31"/>
        <v>2907554.8</v>
      </c>
      <c r="AL29" s="102">
        <f t="shared" si="32"/>
        <v>0</v>
      </c>
      <c r="AM29" s="102">
        <f t="shared" si="33"/>
        <v>2907554.8</v>
      </c>
      <c r="AN29" s="102">
        <f t="shared" si="34"/>
        <v>-10451432.050000001</v>
      </c>
      <c r="AO29" s="112">
        <f t="shared" si="35"/>
        <v>0.21764785253905689</v>
      </c>
      <c r="AP29" s="100">
        <f t="shared" si="36"/>
        <v>583493.12</v>
      </c>
      <c r="AQ29" s="113">
        <f t="shared" si="37"/>
        <v>45619.290000000037</v>
      </c>
      <c r="AR29" s="114">
        <f t="shared" si="38"/>
        <v>3109137.12</v>
      </c>
      <c r="AS29" s="115">
        <f t="shared" si="39"/>
        <v>3154756.41</v>
      </c>
      <c r="AT29" s="100">
        <f t="shared" si="40"/>
        <v>667494</v>
      </c>
      <c r="AU29" s="113">
        <f t="shared" si="41"/>
        <v>22914.680000000168</v>
      </c>
      <c r="AV29" s="116">
        <f t="shared" si="42"/>
        <v>2650551.44</v>
      </c>
      <c r="AW29" s="117">
        <f t="shared" si="43"/>
        <v>2673466.12</v>
      </c>
      <c r="AX29" s="100">
        <f t="shared" si="44"/>
        <v>1053119.2</v>
      </c>
      <c r="AY29" s="113">
        <f t="shared" si="45"/>
        <v>23415.479999999981</v>
      </c>
      <c r="AZ29" s="114">
        <f t="shared" si="46"/>
        <v>4116352.66</v>
      </c>
      <c r="BA29" s="100">
        <f t="shared" si="47"/>
        <v>4139768.14</v>
      </c>
      <c r="BB29" s="118">
        <f t="shared" ref="BB29:BD29" si="146">BH29+AY29+AU29</f>
        <v>46330.160000000149</v>
      </c>
      <c r="BC29" s="116">
        <f t="shared" si="146"/>
        <v>10918160.5</v>
      </c>
      <c r="BD29" s="119">
        <f t="shared" si="146"/>
        <v>10964490.66</v>
      </c>
      <c r="BE29" s="118">
        <f t="shared" si="49"/>
        <v>46330.160000000149</v>
      </c>
      <c r="BF29" s="116">
        <f t="shared" si="50"/>
        <v>13825715.300000001</v>
      </c>
      <c r="BG29" s="119">
        <f t="shared" si="51"/>
        <v>13872045.460000001</v>
      </c>
      <c r="BH29" s="114">
        <f t="shared" si="52"/>
        <v>0</v>
      </c>
      <c r="BI29" s="114">
        <f t="shared" si="53"/>
        <v>4151256.4</v>
      </c>
      <c r="BJ29" s="115">
        <f t="shared" si="54"/>
        <v>4151256.4</v>
      </c>
      <c r="BK29" s="125">
        <f t="shared" si="55"/>
        <v>2351545.6</v>
      </c>
      <c r="BL29" s="120">
        <f t="shared" si="56"/>
        <v>29494.620000000112</v>
      </c>
      <c r="BM29" s="121">
        <f t="shared" si="57"/>
        <v>6381050.2599999998</v>
      </c>
      <c r="BN29" s="119">
        <f t="shared" si="58"/>
        <v>6410544.8799999999</v>
      </c>
      <c r="BO29" s="125">
        <f t="shared" si="59"/>
        <v>850764</v>
      </c>
      <c r="BP29" s="140">
        <f t="shared" si="60"/>
        <v>0</v>
      </c>
      <c r="BQ29" s="123">
        <f t="shared" si="61"/>
        <v>828896.68</v>
      </c>
      <c r="BR29" s="125">
        <f t="shared" si="62"/>
        <v>828896.68</v>
      </c>
      <c r="BS29" s="122">
        <f t="shared" si="63"/>
        <v>29494.620000000112</v>
      </c>
      <c r="BT29" s="123">
        <f t="shared" ref="BT29:BU29" si="147">SUM(BI29,BM29,BQ29)</f>
        <v>11361203.34</v>
      </c>
      <c r="BU29" s="124">
        <f t="shared" si="147"/>
        <v>11390697.959999999</v>
      </c>
      <c r="BV29" s="125">
        <f t="shared" si="65"/>
        <v>3935286.95</v>
      </c>
      <c r="BW29" s="122">
        <f t="shared" si="66"/>
        <v>0</v>
      </c>
      <c r="BX29" s="123">
        <f t="shared" si="67"/>
        <v>2476545.21</v>
      </c>
      <c r="BY29" s="124">
        <f t="shared" si="68"/>
        <v>2476545.21</v>
      </c>
      <c r="BZ29" s="125">
        <f t="shared" si="69"/>
        <v>3753699.61</v>
      </c>
      <c r="CA29" s="140"/>
      <c r="CB29" s="123"/>
      <c r="CC29" s="148"/>
      <c r="CD29" s="123">
        <f t="shared" si="70"/>
        <v>5670000.2999999998</v>
      </c>
      <c r="CF29" s="126"/>
    </row>
    <row r="30" spans="1:89" ht="14">
      <c r="A30" s="92">
        <f t="shared" si="0"/>
        <v>112014659</v>
      </c>
      <c r="B30" s="172">
        <f t="shared" si="91"/>
        <v>7</v>
      </c>
      <c r="C30" s="137">
        <f>IFERROR(VLOOKUP(B30,DES,2,FALSE),"")</f>
        <v>0.1</v>
      </c>
      <c r="D30" s="137">
        <f>IFERROR(VLOOKUP(B30,DES,3,FALSE),"")</f>
        <v>0.2</v>
      </c>
      <c r="E30" s="138">
        <f>IFERROR(VLOOKUP(B30,DES,4,FALSE),"")</f>
        <v>0</v>
      </c>
      <c r="F30" s="193">
        <f>IFERROR(VLOOKUP(M30,BASILECART2,2,FALSE),"")</f>
        <v>7</v>
      </c>
      <c r="G30" s="97">
        <f t="shared" si="6"/>
        <v>0.1</v>
      </c>
      <c r="H30" s="97">
        <f t="shared" si="7"/>
        <v>0.2</v>
      </c>
      <c r="I30" s="97">
        <f t="shared" si="8"/>
        <v>0</v>
      </c>
      <c r="J30" s="96">
        <f t="shared" si="9"/>
        <v>62</v>
      </c>
      <c r="K30" s="94">
        <f t="shared" si="10"/>
        <v>0.1</v>
      </c>
      <c r="L30" s="98">
        <f t="shared" si="11"/>
        <v>0.11</v>
      </c>
      <c r="M30" s="139" t="s">
        <v>104</v>
      </c>
      <c r="N30" s="100" t="str">
        <f t="shared" si="12"/>
        <v/>
      </c>
      <c r="O30" s="140" t="e">
        <f t="shared" ref="O30:O31" si="148">(N30*1.601)*1.05</f>
        <v>#VALUE!</v>
      </c>
      <c r="P30" s="102" t="e">
        <f t="shared" si="13"/>
        <v>#VALUE!</v>
      </c>
      <c r="Q30" s="102" t="str">
        <f t="shared" si="14"/>
        <v/>
      </c>
      <c r="R30" s="102">
        <f t="shared" si="15"/>
        <v>0</v>
      </c>
      <c r="S30" s="102" t="e">
        <f t="shared" si="16"/>
        <v>#VALUE!</v>
      </c>
      <c r="T30" s="103" t="e">
        <f t="shared" si="17"/>
        <v>#VALUE!</v>
      </c>
      <c r="U30" s="100" t="str">
        <f t="shared" si="18"/>
        <v/>
      </c>
      <c r="V30" s="141" t="e">
        <f t="shared" ref="V30:V31" si="149">U30*1.7245</f>
        <v>#VALUE!</v>
      </c>
      <c r="W30" s="105" t="e">
        <f t="shared" si="19"/>
        <v>#VALUE!</v>
      </c>
      <c r="X30" s="102" t="str">
        <f t="shared" si="20"/>
        <v/>
      </c>
      <c r="Y30" s="106">
        <f t="shared" si="21"/>
        <v>1364915.68</v>
      </c>
      <c r="Z30" s="142" t="e">
        <f t="shared" ref="Z30:Z43" si="150">Y30-V30</f>
        <v>#VALUE!</v>
      </c>
      <c r="AA30" s="143" t="str">
        <f>IFERROR(Y30/V30,"")</f>
        <v/>
      </c>
      <c r="AB30" s="100" t="str">
        <f t="shared" si="23"/>
        <v/>
      </c>
      <c r="AC30" s="144">
        <v>600000</v>
      </c>
      <c r="AD30" s="102" t="e">
        <f t="shared" si="24"/>
        <v>#VALUE!</v>
      </c>
      <c r="AE30" s="102" t="str">
        <f t="shared" si="25"/>
        <v/>
      </c>
      <c r="AF30" s="102">
        <f t="shared" si="26"/>
        <v>0</v>
      </c>
      <c r="AG30" s="145">
        <f t="shared" si="27"/>
        <v>-600000</v>
      </c>
      <c r="AH30" s="158">
        <f t="shared" si="145"/>
        <v>0</v>
      </c>
      <c r="AI30" s="147" t="e">
        <f t="shared" si="103"/>
        <v>#VALUE!</v>
      </c>
      <c r="AJ30" s="111" t="str">
        <f t="shared" si="30"/>
        <v>0</v>
      </c>
      <c r="AK30" s="102">
        <f t="shared" si="31"/>
        <v>0</v>
      </c>
      <c r="AL30" s="102" t="e">
        <f t="shared" si="32"/>
        <v>#VALUE!</v>
      </c>
      <c r="AM30" s="102">
        <f t="shared" si="33"/>
        <v>1364915.68</v>
      </c>
      <c r="AN30" s="102">
        <f t="shared" si="34"/>
        <v>1364915.68</v>
      </c>
      <c r="AO30" s="112" t="e">
        <f t="shared" si="35"/>
        <v>#DIV/0!</v>
      </c>
      <c r="AP30" s="100" t="str">
        <f t="shared" si="36"/>
        <v/>
      </c>
      <c r="AQ30" s="113" t="e">
        <f t="shared" si="37"/>
        <v>#VALUE!</v>
      </c>
      <c r="AR30" s="114" t="str">
        <f t="shared" si="38"/>
        <v/>
      </c>
      <c r="AS30" s="115">
        <f t="shared" si="39"/>
        <v>0</v>
      </c>
      <c r="AT30" s="100" t="str">
        <f t="shared" si="40"/>
        <v/>
      </c>
      <c r="AU30" s="113" t="e">
        <f t="shared" si="41"/>
        <v>#VALUE!</v>
      </c>
      <c r="AV30" s="116" t="str">
        <f t="shared" si="42"/>
        <v/>
      </c>
      <c r="AW30" s="117">
        <f t="shared" si="43"/>
        <v>767436.52</v>
      </c>
      <c r="AX30" s="100" t="str">
        <f t="shared" si="44"/>
        <v/>
      </c>
      <c r="AY30" s="113" t="e">
        <f t="shared" si="45"/>
        <v>#VALUE!</v>
      </c>
      <c r="AZ30" s="114" t="str">
        <f t="shared" si="46"/>
        <v/>
      </c>
      <c r="BA30" s="100">
        <f t="shared" si="47"/>
        <v>93025.4</v>
      </c>
      <c r="BB30" s="118" t="e">
        <f t="shared" ref="BB30:BD30" si="151">BH30+AY30+AU30</f>
        <v>#VALUE!</v>
      </c>
      <c r="BC30" s="116" t="e">
        <f t="shared" si="151"/>
        <v>#VALUE!</v>
      </c>
      <c r="BD30" s="119">
        <f t="shared" si="151"/>
        <v>860461.92</v>
      </c>
      <c r="BE30" s="118" t="e">
        <f t="shared" si="49"/>
        <v>#VALUE!</v>
      </c>
      <c r="BF30" s="116" t="e">
        <f t="shared" si="50"/>
        <v>#VALUE!</v>
      </c>
      <c r="BG30" s="119">
        <f t="shared" si="51"/>
        <v>2225377.6</v>
      </c>
      <c r="BH30" s="114" t="e">
        <f t="shared" si="52"/>
        <v>#VALUE!</v>
      </c>
      <c r="BI30" s="114" t="str">
        <f t="shared" si="53"/>
        <v/>
      </c>
      <c r="BJ30" s="115">
        <f t="shared" si="54"/>
        <v>0</v>
      </c>
      <c r="BK30" s="125" t="str">
        <f t="shared" si="55"/>
        <v/>
      </c>
      <c r="BL30" s="120" t="e">
        <f t="shared" si="56"/>
        <v>#VALUE!</v>
      </c>
      <c r="BM30" s="121" t="str">
        <f t="shared" si="57"/>
        <v/>
      </c>
      <c r="BN30" s="119">
        <f t="shared" si="58"/>
        <v>104010.37</v>
      </c>
      <c r="BO30" s="125" t="str">
        <f t="shared" si="59"/>
        <v/>
      </c>
      <c r="BP30" s="140" t="e">
        <f t="shared" si="60"/>
        <v>#VALUE!</v>
      </c>
      <c r="BQ30" s="123" t="str">
        <f t="shared" si="61"/>
        <v/>
      </c>
      <c r="BR30" s="125">
        <f t="shared" si="62"/>
        <v>367190.15</v>
      </c>
      <c r="BS30" s="122" t="e">
        <f t="shared" si="63"/>
        <v>#VALUE!</v>
      </c>
      <c r="BT30" s="123">
        <f t="shared" ref="BT30:BU30" si="152">SUM(BI30,BM30,BQ30)</f>
        <v>0</v>
      </c>
      <c r="BU30" s="124">
        <f t="shared" si="152"/>
        <v>471200.52</v>
      </c>
      <c r="BV30" s="125" t="str">
        <f t="shared" si="65"/>
        <v/>
      </c>
      <c r="BW30" s="122" t="e">
        <f t="shared" si="66"/>
        <v>#VALUE!</v>
      </c>
      <c r="BX30" s="123" t="str">
        <f t="shared" si="67"/>
        <v/>
      </c>
      <c r="BY30" s="124">
        <f t="shared" si="68"/>
        <v>230149.58</v>
      </c>
      <c r="BZ30" s="125" t="str">
        <f t="shared" si="69"/>
        <v/>
      </c>
      <c r="CA30" s="140"/>
      <c r="CB30" s="123"/>
      <c r="CC30" s="148"/>
      <c r="CD30" s="123" t="str">
        <f t="shared" si="70"/>
        <v/>
      </c>
      <c r="CF30" s="126"/>
    </row>
    <row r="31" spans="1:89" ht="13">
      <c r="A31" s="92">
        <f t="shared" si="0"/>
        <v>112010764</v>
      </c>
      <c r="B31" s="172">
        <f t="shared" si="91"/>
        <v>22</v>
      </c>
      <c r="C31" s="137">
        <f>IFERROR(VLOOKUP(B31,DES,2,FALSE),"")</f>
        <v>0.1</v>
      </c>
      <c r="D31" s="137">
        <f>IFERROR(VLOOKUP(B31,DES,3,FALSE),"")</f>
        <v>0.09</v>
      </c>
      <c r="E31" s="138">
        <f>IFERROR(VLOOKUP(B31,DES,4,FALSE),"")</f>
        <v>0</v>
      </c>
      <c r="F31" s="193">
        <f>IFERROR(VLOOKUP(M31,BASILECART2,2,FALSE),"")</f>
        <v>22</v>
      </c>
      <c r="G31" s="97">
        <f t="shared" si="6"/>
        <v>0.1</v>
      </c>
      <c r="H31" s="97">
        <f t="shared" si="7"/>
        <v>0.09</v>
      </c>
      <c r="I31" s="97">
        <f t="shared" si="8"/>
        <v>0</v>
      </c>
      <c r="J31" s="96">
        <f t="shared" si="9"/>
        <v>63</v>
      </c>
      <c r="K31" s="94">
        <f t="shared" si="10"/>
        <v>0.1</v>
      </c>
      <c r="L31" s="98">
        <f t="shared" si="11"/>
        <v>0.05</v>
      </c>
      <c r="M31" s="139" t="s">
        <v>105</v>
      </c>
      <c r="N31" s="100">
        <f t="shared" si="12"/>
        <v>221719.69</v>
      </c>
      <c r="O31" s="140">
        <f t="shared" si="148"/>
        <v>372721.88487450004</v>
      </c>
      <c r="P31" s="102" t="e">
        <f t="shared" si="13"/>
        <v>#VALUE!</v>
      </c>
      <c r="Q31" s="102" t="str">
        <f t="shared" si="14"/>
        <v/>
      </c>
      <c r="R31" s="102">
        <f t="shared" si="15"/>
        <v>0</v>
      </c>
      <c r="S31" s="102">
        <f t="shared" si="16"/>
        <v>-372721.88487450004</v>
      </c>
      <c r="T31" s="103">
        <f t="shared" si="17"/>
        <v>0</v>
      </c>
      <c r="U31" s="100">
        <f t="shared" si="18"/>
        <v>143978.51999999999</v>
      </c>
      <c r="V31" s="141">
        <f t="shared" si="149"/>
        <v>248290.95773999998</v>
      </c>
      <c r="W31" s="105" t="e">
        <f t="shared" si="19"/>
        <v>#VALUE!</v>
      </c>
      <c r="X31" s="102" t="str">
        <f t="shared" si="20"/>
        <v/>
      </c>
      <c r="Y31" s="106">
        <f t="shared" si="21"/>
        <v>0</v>
      </c>
      <c r="Z31" s="142">
        <f t="shared" si="150"/>
        <v>-248290.95773999998</v>
      </c>
      <c r="AA31" s="143">
        <f t="shared" ref="AA31:AA37" si="153">Y31/V31</f>
        <v>0</v>
      </c>
      <c r="AB31" s="100">
        <f t="shared" si="23"/>
        <v>155200.71</v>
      </c>
      <c r="AC31" s="140">
        <f>(AB31*1.5955)*1.03</f>
        <v>255051.41478914997</v>
      </c>
      <c r="AD31" s="102" t="e">
        <f t="shared" si="24"/>
        <v>#VALUE!</v>
      </c>
      <c r="AE31" s="102" t="str">
        <f t="shared" si="25"/>
        <v/>
      </c>
      <c r="AF31" s="102">
        <f t="shared" si="26"/>
        <v>263254.59999999998</v>
      </c>
      <c r="AG31" s="145">
        <f t="shared" si="27"/>
        <v>8203.1852108500025</v>
      </c>
      <c r="AH31" s="158">
        <f t="shared" si="145"/>
        <v>1.0321628688773656</v>
      </c>
      <c r="AI31" s="147">
        <f t="shared" si="103"/>
        <v>876064.25740365009</v>
      </c>
      <c r="AJ31" s="111">
        <f t="shared" si="30"/>
        <v>1491634.64</v>
      </c>
      <c r="AK31" s="102">
        <f t="shared" si="31"/>
        <v>0</v>
      </c>
      <c r="AL31" s="102" t="e">
        <f t="shared" si="32"/>
        <v>#VALUE!</v>
      </c>
      <c r="AM31" s="102">
        <f t="shared" si="33"/>
        <v>263254.59999999998</v>
      </c>
      <c r="AN31" s="102">
        <f t="shared" si="34"/>
        <v>-1228380.04</v>
      </c>
      <c r="AO31" s="112">
        <f t="shared" si="35"/>
        <v>0.1764873199780343</v>
      </c>
      <c r="AP31" s="100">
        <f t="shared" si="36"/>
        <v>194984.21</v>
      </c>
      <c r="AQ31" s="113" t="e">
        <f t="shared" si="37"/>
        <v>#VALUE!</v>
      </c>
      <c r="AR31" s="114" t="str">
        <f t="shared" si="38"/>
        <v/>
      </c>
      <c r="AS31" s="115">
        <f t="shared" si="39"/>
        <v>424687.13</v>
      </c>
      <c r="AT31" s="100">
        <f t="shared" si="40"/>
        <v>277576.09999999998</v>
      </c>
      <c r="AU31" s="113" t="e">
        <f t="shared" si="41"/>
        <v>#VALUE!</v>
      </c>
      <c r="AV31" s="116" t="str">
        <f t="shared" si="42"/>
        <v/>
      </c>
      <c r="AW31" s="117">
        <f t="shared" si="43"/>
        <v>372851.51</v>
      </c>
      <c r="AX31" s="100">
        <f t="shared" si="44"/>
        <v>266203.90999999997</v>
      </c>
      <c r="AY31" s="113" t="e">
        <f t="shared" si="45"/>
        <v>#VALUE!</v>
      </c>
      <c r="AZ31" s="114" t="str">
        <f t="shared" si="46"/>
        <v/>
      </c>
      <c r="BA31" s="100">
        <f t="shared" si="47"/>
        <v>231563.23</v>
      </c>
      <c r="BB31" s="118" t="e">
        <f t="shared" ref="BB31:BD31" si="154">BH31+AY31+AU31</f>
        <v>#VALUE!</v>
      </c>
      <c r="BC31" s="116" t="e">
        <f t="shared" si="154"/>
        <v>#VALUE!</v>
      </c>
      <c r="BD31" s="119">
        <f t="shared" si="154"/>
        <v>1047031.12</v>
      </c>
      <c r="BE31" s="118" t="e">
        <f t="shared" si="49"/>
        <v>#VALUE!</v>
      </c>
      <c r="BF31" s="116" t="e">
        <f t="shared" si="50"/>
        <v>#VALUE!</v>
      </c>
      <c r="BG31" s="119">
        <f t="shared" si="51"/>
        <v>1310285.72</v>
      </c>
      <c r="BH31" s="114" t="e">
        <f t="shared" si="52"/>
        <v>#VALUE!</v>
      </c>
      <c r="BI31" s="114" t="str">
        <f t="shared" si="53"/>
        <v/>
      </c>
      <c r="BJ31" s="115">
        <f t="shared" si="54"/>
        <v>442616.38</v>
      </c>
      <c r="BK31" s="125">
        <f t="shared" si="55"/>
        <v>326256.53000000003</v>
      </c>
      <c r="BL31" s="120" t="e">
        <f t="shared" si="56"/>
        <v>#VALUE!</v>
      </c>
      <c r="BM31" s="121" t="str">
        <f t="shared" si="57"/>
        <v/>
      </c>
      <c r="BN31" s="119">
        <f t="shared" si="58"/>
        <v>352749.66</v>
      </c>
      <c r="BO31" s="125">
        <f t="shared" si="59"/>
        <v>161583.23000000001</v>
      </c>
      <c r="BP31" s="140" t="e">
        <f t="shared" si="60"/>
        <v>#VALUE!</v>
      </c>
      <c r="BQ31" s="123" t="str">
        <f t="shared" si="61"/>
        <v/>
      </c>
      <c r="BR31" s="125">
        <f t="shared" si="62"/>
        <v>877740.58</v>
      </c>
      <c r="BS31" s="122" t="e">
        <f t="shared" si="63"/>
        <v>#VALUE!</v>
      </c>
      <c r="BT31" s="123">
        <f t="shared" ref="BT31:BU31" si="155">SUM(BI31,BM31,BQ31)</f>
        <v>0</v>
      </c>
      <c r="BU31" s="124">
        <f t="shared" si="155"/>
        <v>1673106.62</v>
      </c>
      <c r="BV31" s="125">
        <f t="shared" si="65"/>
        <v>750570.78</v>
      </c>
      <c r="BW31" s="122" t="e">
        <f t="shared" si="66"/>
        <v>#VALUE!</v>
      </c>
      <c r="BX31" s="123" t="str">
        <f t="shared" si="67"/>
        <v/>
      </c>
      <c r="BY31" s="124">
        <f t="shared" si="68"/>
        <v>467355.85</v>
      </c>
      <c r="BZ31" s="125">
        <f t="shared" si="69"/>
        <v>568070</v>
      </c>
      <c r="CA31" s="140"/>
      <c r="CB31" s="123"/>
      <c r="CC31" s="148"/>
      <c r="CD31" s="123">
        <f t="shared" si="70"/>
        <v>172993.86</v>
      </c>
      <c r="CF31" s="126"/>
    </row>
    <row r="32" spans="1:89" ht="13">
      <c r="A32" s="92">
        <f t="shared" si="0"/>
        <v>112014462</v>
      </c>
      <c r="B32" s="172">
        <f t="shared" si="91"/>
        <v>22</v>
      </c>
      <c r="C32" s="137">
        <f>VLOOKUP(B32,DES,2,FALSE)</f>
        <v>0.1</v>
      </c>
      <c r="D32" s="137">
        <f>VLOOKUP(B32,DES,3,FALSE)</f>
        <v>0.09</v>
      </c>
      <c r="E32" s="138">
        <f>VLOOKUP(B32,DES,4,FALSE)</f>
        <v>0</v>
      </c>
      <c r="F32" s="96">
        <f>VLOOKUP(M32,BASILECART2,2,FALSE)</f>
        <v>22</v>
      </c>
      <c r="G32" s="97">
        <f t="shared" si="6"/>
        <v>0.1</v>
      </c>
      <c r="H32" s="97">
        <f t="shared" si="7"/>
        <v>0.09</v>
      </c>
      <c r="I32" s="97">
        <f t="shared" si="8"/>
        <v>0</v>
      </c>
      <c r="J32" s="96">
        <f t="shared" si="9"/>
        <v>63</v>
      </c>
      <c r="K32" s="94">
        <f t="shared" si="10"/>
        <v>0.1</v>
      </c>
      <c r="L32" s="98">
        <f t="shared" si="11"/>
        <v>0.05</v>
      </c>
      <c r="M32" s="139" t="s">
        <v>106</v>
      </c>
      <c r="N32" s="100">
        <f t="shared" si="12"/>
        <v>0</v>
      </c>
      <c r="O32" s="236">
        <v>1800000</v>
      </c>
      <c r="P32" s="102" t="e">
        <f t="shared" si="13"/>
        <v>#VALUE!</v>
      </c>
      <c r="Q32" s="102" t="str">
        <f t="shared" si="14"/>
        <v/>
      </c>
      <c r="R32" s="102">
        <f t="shared" si="15"/>
        <v>863364.41</v>
      </c>
      <c r="S32" s="102">
        <f t="shared" si="16"/>
        <v>-936635.59</v>
      </c>
      <c r="T32" s="103">
        <f t="shared" si="17"/>
        <v>0.47964689444444447</v>
      </c>
      <c r="U32" s="100">
        <f t="shared" si="18"/>
        <v>0</v>
      </c>
      <c r="V32" s="237">
        <v>1800000</v>
      </c>
      <c r="W32" s="105" t="e">
        <f t="shared" si="19"/>
        <v>#VALUE!</v>
      </c>
      <c r="X32" s="102" t="str">
        <f t="shared" si="20"/>
        <v/>
      </c>
      <c r="Y32" s="106">
        <f t="shared" si="21"/>
        <v>525298.24</v>
      </c>
      <c r="Z32" s="142">
        <f t="shared" si="150"/>
        <v>-1274701.76</v>
      </c>
      <c r="AA32" s="143">
        <f t="shared" si="153"/>
        <v>0.29183235555555553</v>
      </c>
      <c r="AB32" s="100">
        <f t="shared" si="23"/>
        <v>0</v>
      </c>
      <c r="AC32" s="236">
        <v>1800000</v>
      </c>
      <c r="AD32" s="102" t="e">
        <f t="shared" si="24"/>
        <v>#VALUE!</v>
      </c>
      <c r="AE32" s="102" t="str">
        <f t="shared" si="25"/>
        <v/>
      </c>
      <c r="AF32" s="102">
        <f t="shared" si="26"/>
        <v>249999.16</v>
      </c>
      <c r="AG32" s="145">
        <f t="shared" si="27"/>
        <v>-1550000.84</v>
      </c>
      <c r="AH32" s="158">
        <f t="shared" ref="AH32:AH35" si="156">AF32/AC32</f>
        <v>0.13888842222222222</v>
      </c>
      <c r="AI32" s="147">
        <f t="shared" si="103"/>
        <v>5400000</v>
      </c>
      <c r="AJ32" s="111">
        <f t="shared" si="30"/>
        <v>1667407.5</v>
      </c>
      <c r="AK32" s="102">
        <f t="shared" si="31"/>
        <v>0</v>
      </c>
      <c r="AL32" s="102" t="e">
        <f t="shared" si="32"/>
        <v>#VALUE!</v>
      </c>
      <c r="AM32" s="102">
        <f t="shared" si="33"/>
        <v>1638661.81</v>
      </c>
      <c r="AN32" s="102">
        <f t="shared" si="34"/>
        <v>-28745.689999999944</v>
      </c>
      <c r="AO32" s="112">
        <f t="shared" si="35"/>
        <v>0.98276024906928872</v>
      </c>
      <c r="AP32" s="100">
        <f t="shared" si="36"/>
        <v>0</v>
      </c>
      <c r="AQ32" s="113" t="e">
        <f t="shared" si="37"/>
        <v>#VALUE!</v>
      </c>
      <c r="AR32" s="114" t="str">
        <f t="shared" si="38"/>
        <v/>
      </c>
      <c r="AS32" s="115">
        <f t="shared" si="39"/>
        <v>845605.17</v>
      </c>
      <c r="AT32" s="100">
        <f t="shared" si="40"/>
        <v>0</v>
      </c>
      <c r="AU32" s="113" t="e">
        <f t="shared" si="41"/>
        <v>#VALUE!</v>
      </c>
      <c r="AV32" s="116" t="str">
        <f t="shared" si="42"/>
        <v/>
      </c>
      <c r="AW32" s="117">
        <f t="shared" si="43"/>
        <v>204130.91</v>
      </c>
      <c r="AX32" s="100">
        <f t="shared" si="44"/>
        <v>158336.45000000001</v>
      </c>
      <c r="AY32" s="113" t="e">
        <f t="shared" si="45"/>
        <v>#VALUE!</v>
      </c>
      <c r="AZ32" s="114" t="str">
        <f t="shared" si="46"/>
        <v/>
      </c>
      <c r="BA32" s="100">
        <f t="shared" si="47"/>
        <v>255862.08</v>
      </c>
      <c r="BB32" s="118" t="e">
        <f t="shared" ref="BB32:BD32" si="157">BH32+AY32+AU32</f>
        <v>#VALUE!</v>
      </c>
      <c r="BC32" s="116" t="e">
        <f t="shared" si="157"/>
        <v>#VALUE!</v>
      </c>
      <c r="BD32" s="119">
        <f t="shared" si="157"/>
        <v>1043307.89</v>
      </c>
      <c r="BE32" s="118" t="e">
        <f t="shared" si="49"/>
        <v>#VALUE!</v>
      </c>
      <c r="BF32" s="116" t="e">
        <f t="shared" si="50"/>
        <v>#VALUE!</v>
      </c>
      <c r="BG32" s="119">
        <f t="shared" si="51"/>
        <v>2681969.7000000002</v>
      </c>
      <c r="BH32" s="114" t="e">
        <f t="shared" si="52"/>
        <v>#VALUE!</v>
      </c>
      <c r="BI32" s="114" t="str">
        <f t="shared" si="53"/>
        <v/>
      </c>
      <c r="BJ32" s="115">
        <f t="shared" si="54"/>
        <v>583314.9</v>
      </c>
      <c r="BK32" s="125">
        <f t="shared" si="55"/>
        <v>407389.41</v>
      </c>
      <c r="BL32" s="120" t="e">
        <f t="shared" si="56"/>
        <v>#VALUE!</v>
      </c>
      <c r="BM32" s="121" t="str">
        <f t="shared" si="57"/>
        <v/>
      </c>
      <c r="BN32" s="119">
        <f t="shared" si="58"/>
        <v>451821.25</v>
      </c>
      <c r="BO32" s="125">
        <f t="shared" si="59"/>
        <v>445134.41</v>
      </c>
      <c r="BP32" s="140" t="e">
        <f t="shared" si="60"/>
        <v>#VALUE!</v>
      </c>
      <c r="BQ32" s="123" t="str">
        <f t="shared" si="61"/>
        <v/>
      </c>
      <c r="BR32" s="125">
        <f t="shared" si="62"/>
        <v>637726.82999999996</v>
      </c>
      <c r="BS32" s="122" t="e">
        <f t="shared" si="63"/>
        <v>#VALUE!</v>
      </c>
      <c r="BT32" s="123">
        <f t="shared" ref="BT32:BU32" si="158">SUM(BI32,BM32,BQ32)</f>
        <v>0</v>
      </c>
      <c r="BU32" s="124">
        <f t="shared" si="158"/>
        <v>1672862.98</v>
      </c>
      <c r="BV32" s="125">
        <f t="shared" si="65"/>
        <v>527577.56000000006</v>
      </c>
      <c r="BW32" s="122" t="e">
        <f t="shared" si="66"/>
        <v>#VALUE!</v>
      </c>
      <c r="BX32" s="123" t="str">
        <f t="shared" si="67"/>
        <v/>
      </c>
      <c r="BY32" s="124">
        <f t="shared" si="68"/>
        <v>231565.91</v>
      </c>
      <c r="BZ32" s="125">
        <f t="shared" si="69"/>
        <v>744479.17</v>
      </c>
      <c r="CA32" s="140"/>
      <c r="CB32" s="123"/>
      <c r="CC32" s="148"/>
      <c r="CD32" s="123">
        <f t="shared" si="70"/>
        <v>395350.77</v>
      </c>
      <c r="CF32" s="126"/>
    </row>
    <row r="33" spans="1:84" ht="13">
      <c r="A33" s="92">
        <f t="shared" si="0"/>
        <v>112013141</v>
      </c>
      <c r="B33" s="172">
        <f t="shared" si="91"/>
        <v>22</v>
      </c>
      <c r="C33" s="137">
        <f t="shared" ref="C33:C38" si="159">IFERROR(VLOOKUP(B33,DES,2,FALSE),"")</f>
        <v>0.1</v>
      </c>
      <c r="D33" s="137">
        <f t="shared" ref="D33:D38" si="160">IFERROR(VLOOKUP(B33,DES,3,FALSE),"")</f>
        <v>0.09</v>
      </c>
      <c r="E33" s="138">
        <f t="shared" ref="E33:E38" si="161">IFERROR(VLOOKUP(B33,DES,4,FALSE),"")</f>
        <v>0</v>
      </c>
      <c r="F33" s="96">
        <f>VLOOKUP(M33,BASILECART2,2,FALSE)</f>
        <v>22</v>
      </c>
      <c r="G33" s="97">
        <f t="shared" si="6"/>
        <v>0.1</v>
      </c>
      <c r="H33" s="97">
        <f t="shared" si="7"/>
        <v>0.09</v>
      </c>
      <c r="I33" s="97">
        <f t="shared" si="8"/>
        <v>0</v>
      </c>
      <c r="J33" s="96">
        <f t="shared" si="9"/>
        <v>63</v>
      </c>
      <c r="K33" s="94">
        <f t="shared" si="10"/>
        <v>0.1</v>
      </c>
      <c r="L33" s="98">
        <f t="shared" si="11"/>
        <v>0.05</v>
      </c>
      <c r="M33" s="139" t="s">
        <v>107</v>
      </c>
      <c r="N33" s="100">
        <f t="shared" si="12"/>
        <v>841248.94</v>
      </c>
      <c r="O33" s="156">
        <f t="shared" ref="O33:O34" si="162">(N33*1.601)*1.05</f>
        <v>1414181.5305869998</v>
      </c>
      <c r="P33" s="102" t="e">
        <f t="shared" si="13"/>
        <v>#VALUE!</v>
      </c>
      <c r="Q33" s="102" t="str">
        <f t="shared" si="14"/>
        <v/>
      </c>
      <c r="R33" s="102">
        <f t="shared" si="15"/>
        <v>1990233.08</v>
      </c>
      <c r="S33" s="102">
        <f t="shared" si="16"/>
        <v>576051.54941300023</v>
      </c>
      <c r="T33" s="103">
        <f t="shared" si="17"/>
        <v>1.4073391830919275</v>
      </c>
      <c r="U33" s="100">
        <f t="shared" si="18"/>
        <v>446164.33</v>
      </c>
      <c r="V33" s="155">
        <f>U33*1.7245</f>
        <v>769410.38708499994</v>
      </c>
      <c r="W33" s="105" t="e">
        <f t="shared" si="19"/>
        <v>#VALUE!</v>
      </c>
      <c r="X33" s="102" t="str">
        <f t="shared" si="20"/>
        <v/>
      </c>
      <c r="Y33" s="106">
        <f t="shared" si="21"/>
        <v>1617201.46</v>
      </c>
      <c r="Z33" s="142">
        <f t="shared" si="150"/>
        <v>847791.07291500003</v>
      </c>
      <c r="AA33" s="143">
        <f t="shared" si="153"/>
        <v>2.1018711043490774</v>
      </c>
      <c r="AB33" s="100">
        <f t="shared" si="23"/>
        <v>420796.93</v>
      </c>
      <c r="AC33" s="156">
        <f t="shared" ref="AC33:AC34" si="163">(AB33*1.5955)*1.03</f>
        <v>691522.94686945004</v>
      </c>
      <c r="AD33" s="102" t="e">
        <f t="shared" si="24"/>
        <v>#VALUE!</v>
      </c>
      <c r="AE33" s="102" t="str">
        <f t="shared" si="25"/>
        <v/>
      </c>
      <c r="AF33" s="102">
        <f t="shared" si="26"/>
        <v>1977028.53</v>
      </c>
      <c r="AG33" s="145">
        <f t="shared" si="27"/>
        <v>1285505.5831305501</v>
      </c>
      <c r="AH33" s="158">
        <f t="shared" si="156"/>
        <v>2.8589485554312857</v>
      </c>
      <c r="AI33" s="147">
        <f t="shared" si="103"/>
        <v>2875114.86454145</v>
      </c>
      <c r="AJ33" s="111">
        <f t="shared" si="30"/>
        <v>4965069.96</v>
      </c>
      <c r="AK33" s="102">
        <f t="shared" si="31"/>
        <v>0</v>
      </c>
      <c r="AL33" s="102" t="e">
        <f t="shared" si="32"/>
        <v>#VALUE!</v>
      </c>
      <c r="AM33" s="102">
        <f t="shared" si="33"/>
        <v>5584463.0700000003</v>
      </c>
      <c r="AN33" s="102">
        <f t="shared" si="34"/>
        <v>619393.11000000034</v>
      </c>
      <c r="AO33" s="112">
        <f t="shared" si="35"/>
        <v>1.1247501273879332</v>
      </c>
      <c r="AP33" s="100">
        <f t="shared" si="36"/>
        <v>157124.49</v>
      </c>
      <c r="AQ33" s="113" t="e">
        <f t="shared" si="37"/>
        <v>#VALUE!</v>
      </c>
      <c r="AR33" s="114" t="str">
        <f t="shared" si="38"/>
        <v/>
      </c>
      <c r="AS33" s="115">
        <f t="shared" si="39"/>
        <v>1278828.6499999999</v>
      </c>
      <c r="AT33" s="100">
        <f t="shared" si="40"/>
        <v>754564.18</v>
      </c>
      <c r="AU33" s="113" t="e">
        <f t="shared" si="41"/>
        <v>#VALUE!</v>
      </c>
      <c r="AV33" s="116" t="str">
        <f t="shared" si="42"/>
        <v/>
      </c>
      <c r="AW33" s="117">
        <f t="shared" si="43"/>
        <v>1461196.42</v>
      </c>
      <c r="AX33" s="100">
        <f t="shared" si="44"/>
        <v>417120.9</v>
      </c>
      <c r="AY33" s="113" t="e">
        <f t="shared" si="45"/>
        <v>#VALUE!</v>
      </c>
      <c r="AZ33" s="114" t="str">
        <f t="shared" si="46"/>
        <v/>
      </c>
      <c r="BA33" s="100">
        <f t="shared" si="47"/>
        <v>123743.46</v>
      </c>
      <c r="BB33" s="118" t="e">
        <f t="shared" ref="BB33:BD33" si="164">BH33+AY33+AU33</f>
        <v>#VALUE!</v>
      </c>
      <c r="BC33" s="116" t="e">
        <f t="shared" si="164"/>
        <v>#VALUE!</v>
      </c>
      <c r="BD33" s="119">
        <f t="shared" si="164"/>
        <v>2463732.09</v>
      </c>
      <c r="BE33" s="118" t="e">
        <f t="shared" si="49"/>
        <v>#VALUE!</v>
      </c>
      <c r="BF33" s="116" t="e">
        <f t="shared" si="50"/>
        <v>#VALUE!</v>
      </c>
      <c r="BG33" s="119">
        <f t="shared" si="51"/>
        <v>8048195.1600000001</v>
      </c>
      <c r="BH33" s="114" t="e">
        <f t="shared" si="52"/>
        <v>#VALUE!</v>
      </c>
      <c r="BI33" s="114" t="str">
        <f t="shared" si="53"/>
        <v/>
      </c>
      <c r="BJ33" s="115">
        <f t="shared" si="54"/>
        <v>878792.21</v>
      </c>
      <c r="BK33" s="125">
        <f t="shared" si="55"/>
        <v>556570.72</v>
      </c>
      <c r="BL33" s="120" t="e">
        <f t="shared" si="56"/>
        <v>#VALUE!</v>
      </c>
      <c r="BM33" s="121" t="str">
        <f t="shared" si="57"/>
        <v/>
      </c>
      <c r="BN33" s="119">
        <f t="shared" si="58"/>
        <v>1963657.58</v>
      </c>
      <c r="BO33" s="125">
        <f t="shared" si="59"/>
        <v>452283.53</v>
      </c>
      <c r="BP33" s="140" t="e">
        <f t="shared" si="60"/>
        <v>#VALUE!</v>
      </c>
      <c r="BQ33" s="123" t="str">
        <f t="shared" si="61"/>
        <v/>
      </c>
      <c r="BR33" s="125">
        <f t="shared" si="62"/>
        <v>1140447</v>
      </c>
      <c r="BS33" s="122" t="e">
        <f t="shared" si="63"/>
        <v>#VALUE!</v>
      </c>
      <c r="BT33" s="123">
        <f t="shared" ref="BT33:BU33" si="165">SUM(BI33,BM33,BQ33)</f>
        <v>0</v>
      </c>
      <c r="BU33" s="124">
        <f t="shared" si="165"/>
        <v>3982896.79</v>
      </c>
      <c r="BV33" s="125">
        <f t="shared" si="65"/>
        <v>1791239.52</v>
      </c>
      <c r="BW33" s="122" t="e">
        <f t="shared" si="66"/>
        <v>#VALUE!</v>
      </c>
      <c r="BX33" s="123" t="str">
        <f t="shared" si="67"/>
        <v/>
      </c>
      <c r="BY33" s="124">
        <f t="shared" si="68"/>
        <v>3610352.27</v>
      </c>
      <c r="BZ33" s="125">
        <f t="shared" si="69"/>
        <v>1166210.43</v>
      </c>
      <c r="CA33" s="140"/>
      <c r="CB33" s="123"/>
      <c r="CC33" s="148"/>
      <c r="CD33" s="123">
        <f t="shared" si="70"/>
        <v>2007620.01</v>
      </c>
      <c r="CF33" s="149"/>
    </row>
    <row r="34" spans="1:84" ht="13">
      <c r="A34" s="92">
        <f t="shared" ref="A34:A65" si="166">VLOOKUP(M34,BASCART4,3,FALSE)</f>
        <v>112012844</v>
      </c>
      <c r="B34" s="172">
        <f t="shared" si="91"/>
        <v>22</v>
      </c>
      <c r="C34" s="137">
        <f t="shared" si="159"/>
        <v>0.1</v>
      </c>
      <c r="D34" s="137">
        <f t="shared" si="160"/>
        <v>0.09</v>
      </c>
      <c r="E34" s="138">
        <f t="shared" si="161"/>
        <v>0</v>
      </c>
      <c r="F34" s="96">
        <f>VLOOKUP(M34,BASILECART2,2,FALSE)</f>
        <v>22</v>
      </c>
      <c r="G34" s="97">
        <f t="shared" ref="G34:G65" si="167">IFERROR(VLOOKUP(F34,DES,2,FALSE),"")</f>
        <v>0.1</v>
      </c>
      <c r="H34" s="97">
        <f t="shared" ref="H34:H65" si="168">IFERROR(VLOOKUP(F34,DES,3,FALSE),"")</f>
        <v>0.09</v>
      </c>
      <c r="I34" s="97">
        <f t="shared" ref="I34:I65" si="169">IFERROR(VLOOKUP(F34,DES,4,FALSE),"")</f>
        <v>0</v>
      </c>
      <c r="J34" s="96">
        <f t="shared" ref="J34:J65" si="170">VLOOKUP(M34,BASCART4,2,FALSE)</f>
        <v>63</v>
      </c>
      <c r="K34" s="94">
        <f t="shared" ref="K34:K65" si="171">IFERROR(VLOOKUP(J34,A458DC1025,2,FALSE),"")</f>
        <v>0.1</v>
      </c>
      <c r="L34" s="98">
        <f t="shared" ref="L34:L65" si="172">IFERROR(VLOOKUP(J34,A458DC1025,3,FALSE),"")</f>
        <v>0.05</v>
      </c>
      <c r="M34" s="139" t="s">
        <v>108</v>
      </c>
      <c r="N34" s="100">
        <f t="shared" ref="N34:N65" si="173">IFERROR(VLOOKUP(M34,Basilee24,3,FALSE),"")</f>
        <v>1663677.17</v>
      </c>
      <c r="O34" s="140">
        <f t="shared" si="162"/>
        <v>2796724.5066284998</v>
      </c>
      <c r="P34" s="102">
        <f t="shared" si="13"/>
        <v>4794971.62</v>
      </c>
      <c r="Q34" s="102">
        <f t="shared" ref="Q34:Q65" si="174">IFERROR(VLOOKUP(M34,BASALIM,3,FALSE),"")</f>
        <v>66000</v>
      </c>
      <c r="R34" s="102">
        <f t="shared" ref="R34:R65" si="175">IFERROR(VLOOKUP(M34,BASFC,3,FALSE),"")</f>
        <v>4860971.62</v>
      </c>
      <c r="S34" s="102">
        <f t="shared" si="16"/>
        <v>2064247.1133715003</v>
      </c>
      <c r="T34" s="103">
        <f t="shared" si="17"/>
        <v>1.7380945489908071</v>
      </c>
      <c r="U34" s="100">
        <f t="shared" ref="U34:U65" si="176">IFERROR(VLOOKUP(M34,Basilee24,4,FALSE),"")</f>
        <v>1510393.81</v>
      </c>
      <c r="V34" s="237">
        <v>1800000</v>
      </c>
      <c r="W34" s="105">
        <f t="shared" si="19"/>
        <v>3569147</v>
      </c>
      <c r="X34" s="102">
        <f t="shared" ref="X34:X65" si="177">IFERROR(VLOOKUP(M34,BASALIM,4,FALSE),"")</f>
        <v>19165.259999999998</v>
      </c>
      <c r="Y34" s="106">
        <f t="shared" ref="Y34:Y65" si="178">IFERROR(VLOOKUP(M34,BASFC,4,FALSE),"")</f>
        <v>3588312.26</v>
      </c>
      <c r="Z34" s="142">
        <f t="shared" si="150"/>
        <v>1788312.2599999998</v>
      </c>
      <c r="AA34" s="143">
        <f t="shared" si="153"/>
        <v>1.9935068111111109</v>
      </c>
      <c r="AB34" s="100">
        <f t="shared" ref="AB34:AB65" si="179">IFERROR(VLOOKUP(M34,Basilee24,5,FALSE),"")</f>
        <v>952974.97</v>
      </c>
      <c r="AC34" s="140">
        <f t="shared" si="163"/>
        <v>1566085.7115740499</v>
      </c>
      <c r="AD34" s="102">
        <f t="shared" si="24"/>
        <v>3698118.0900000003</v>
      </c>
      <c r="AE34" s="102">
        <f t="shared" ref="AE34:AE65" si="180">IFERROR(VLOOKUP(M34,BASALIM,5,FALSE),"")</f>
        <v>19165.259999999998</v>
      </c>
      <c r="AF34" s="102">
        <f t="shared" ref="AF34:AF65" si="181">IFERROR(VLOOKUP(M34,BASFC,5,FALSE),"")</f>
        <v>3717283.35</v>
      </c>
      <c r="AG34" s="145">
        <f t="shared" si="27"/>
        <v>2151197.63842595</v>
      </c>
      <c r="AH34" s="158">
        <f t="shared" si="156"/>
        <v>2.3736142425204894</v>
      </c>
      <c r="AI34" s="147">
        <f t="shared" si="103"/>
        <v>6162810.21820255</v>
      </c>
      <c r="AJ34" s="111">
        <f t="shared" ref="AJ34:AJ65" si="182">IFERROR(VLOOKUP(M34,trim2024,2,FALSE),"0")</f>
        <v>8032997.0899999999</v>
      </c>
      <c r="AK34" s="102">
        <f t="shared" si="31"/>
        <v>104330.51999999999</v>
      </c>
      <c r="AL34" s="102">
        <f t="shared" si="32"/>
        <v>12062236.710000001</v>
      </c>
      <c r="AM34" s="102">
        <f t="shared" si="33"/>
        <v>12166567.23</v>
      </c>
      <c r="AN34" s="102">
        <f t="shared" si="34"/>
        <v>4133570.1400000006</v>
      </c>
      <c r="AO34" s="112">
        <f t="shared" si="35"/>
        <v>1.5145738375961495</v>
      </c>
      <c r="AP34" s="100">
        <f t="shared" ref="AP34:AP65" si="183">IFERROR(VLOOKUP(M34,Basilee24,6,FALSE),"")</f>
        <v>1810219.42</v>
      </c>
      <c r="AQ34" s="113">
        <f t="shared" si="37"/>
        <v>2628601.2599999998</v>
      </c>
      <c r="AR34" s="114">
        <f t="shared" ref="AR34:AR65" si="184">IFERROR(VLOOKUP(M34,BASALIM,6,FALSE),"")</f>
        <v>0</v>
      </c>
      <c r="AS34" s="115">
        <f t="shared" ref="AS34:AS65" si="185">IFERROR(VLOOKUP(M34,BASFC,6,FALSE),"")</f>
        <v>2628601.2599999998</v>
      </c>
      <c r="AT34" s="100">
        <f t="shared" ref="AT34:AT65" si="186">IFERROR(VLOOKUP(M34,Basilee24,7,FALSE),"")</f>
        <v>1545920.23</v>
      </c>
      <c r="AU34" s="113">
        <f t="shared" si="41"/>
        <v>2399337.7599999998</v>
      </c>
      <c r="AV34" s="116">
        <f t="shared" ref="AV34:AV65" si="187">IFERROR(VLOOKUP(M34,BASALIM,7,FALSE),"")</f>
        <v>31057.599999999999</v>
      </c>
      <c r="AW34" s="117">
        <f t="shared" ref="AW34:AW65" si="188">IFERROR(VLOOKUP(M34,BASFC,7,FALSE),"")</f>
        <v>2430395.36</v>
      </c>
      <c r="AX34" s="100">
        <f t="shared" ref="AX34:AX65" si="189">IFERROR(VLOOKUP(M34,Basilee24,8,FALSE),"")</f>
        <v>1361684.13</v>
      </c>
      <c r="AY34" s="113">
        <f t="shared" si="45"/>
        <v>1808579.18</v>
      </c>
      <c r="AZ34" s="114">
        <f t="shared" ref="AZ34:AZ65" si="190">IFERROR(VLOOKUP(M34,BASALIM,8,FALSE),"")</f>
        <v>0</v>
      </c>
      <c r="BA34" s="100">
        <f t="shared" ref="BA34:BA65" si="191">IFERROR(VLOOKUP(M34,BASFC,8,FALSE),"")</f>
        <v>1808579.18</v>
      </c>
      <c r="BB34" s="118">
        <f t="shared" ref="BB34:BD34" si="192">BH34+AY34+AU34</f>
        <v>6578972.1200000001</v>
      </c>
      <c r="BC34" s="116">
        <f t="shared" si="192"/>
        <v>31057.599999999999</v>
      </c>
      <c r="BD34" s="119">
        <f t="shared" si="192"/>
        <v>6610029.7200000007</v>
      </c>
      <c r="BE34" s="118">
        <f t="shared" si="49"/>
        <v>18641208.830000002</v>
      </c>
      <c r="BF34" s="116">
        <f t="shared" si="50"/>
        <v>135388.12</v>
      </c>
      <c r="BG34" s="119">
        <f t="shared" si="51"/>
        <v>18776596.950000003</v>
      </c>
      <c r="BH34" s="114">
        <f t="shared" si="52"/>
        <v>2371055.1800000002</v>
      </c>
      <c r="BI34" s="114">
        <f t="shared" ref="BI34:BI65" si="193">IFERROR(VLOOKUP(M34,BASALIM,9,FALSE),"")</f>
        <v>0</v>
      </c>
      <c r="BJ34" s="115">
        <f t="shared" ref="BJ34:BJ65" si="194">IFERROR(VLOOKUP(M34,BASFC,9,FALSE),"")</f>
        <v>2371055.1800000002</v>
      </c>
      <c r="BK34" s="125">
        <f t="shared" ref="BK34:BK65" si="195">IFERROR(VLOOKUP(M34,Basilee24,10,FALSE),"")</f>
        <v>2757725.21</v>
      </c>
      <c r="BL34" s="120">
        <f t="shared" si="56"/>
        <v>1916292.24</v>
      </c>
      <c r="BM34" s="121">
        <f t="shared" ref="BM34:BM65" si="196">IFERROR(VLOOKUP(M34,BASALIM,10,FALSE),"")</f>
        <v>40616.589999999997</v>
      </c>
      <c r="BN34" s="119">
        <f t="shared" ref="BN34:BN65" si="197">IFERROR(VLOOKUP(M34,BASFC,10,FALSE),"")</f>
        <v>1956908.83</v>
      </c>
      <c r="BO34" s="125">
        <f t="shared" ref="BO34:BO65" si="198">IFERROR(VLOOKUP(M34,Basilee24,11,FALSE),"")</f>
        <v>1578101.37</v>
      </c>
      <c r="BP34" s="140">
        <f t="shared" si="60"/>
        <v>3322838.93</v>
      </c>
      <c r="BQ34" s="123">
        <f t="shared" ref="BQ34:BQ65" si="199">IFERROR(VLOOKUP(M34,BASALIM,11,FALSE),"")</f>
        <v>43865.98</v>
      </c>
      <c r="BR34" s="125">
        <f t="shared" ref="BR34:BR65" si="200">IFERROR(VLOOKUP(M34,BASFC,11,FALSE),"")</f>
        <v>3366704.91</v>
      </c>
      <c r="BS34" s="122">
        <f t="shared" si="63"/>
        <v>7610186.3499999996</v>
      </c>
      <c r="BT34" s="123">
        <f t="shared" ref="BT34:BU34" si="201">SUM(BI34,BM34,BQ34)</f>
        <v>84482.57</v>
      </c>
      <c r="BU34" s="124">
        <f t="shared" si="201"/>
        <v>7694668.9199999999</v>
      </c>
      <c r="BV34" s="125">
        <f t="shared" ref="BV34:BV65" si="202">IFERROR(VLOOKUP(M34,Basilee24,12,FALSE),"")</f>
        <v>3129514.16</v>
      </c>
      <c r="BW34" s="122">
        <f t="shared" si="66"/>
        <v>5220173.45</v>
      </c>
      <c r="BX34" s="123">
        <f t="shared" ref="BX34:BX65" si="203">IFERROR(VLOOKUP(M34,BASALIM,12,FALSE),"")</f>
        <v>0</v>
      </c>
      <c r="BY34" s="124">
        <f t="shared" ref="BY34:BY65" si="204">IFERROR(VLOOKUP(M34,BASFC,12,FALSE),"")</f>
        <v>5220173.45</v>
      </c>
      <c r="BZ34" s="125">
        <f t="shared" ref="BZ34:BZ65" si="205">IFERROR(VLOOKUP(M34,Basilee24,13,FALSE),"")</f>
        <v>2148288.52</v>
      </c>
      <c r="CA34" s="140"/>
      <c r="CB34" s="123"/>
      <c r="CC34" s="148"/>
      <c r="CD34" s="123">
        <f t="shared" ref="CD34:CD65" si="206">IFERROR(VLOOKUP(M34,Basilee24,14,FALSE),"")</f>
        <v>2755194.41</v>
      </c>
      <c r="CF34" s="126"/>
    </row>
    <row r="35" spans="1:84" ht="13">
      <c r="A35" s="92">
        <f t="shared" si="166"/>
        <v>112013040</v>
      </c>
      <c r="B35" s="172">
        <f t="shared" si="91"/>
        <v>22</v>
      </c>
      <c r="C35" s="137">
        <f t="shared" si="159"/>
        <v>0.1</v>
      </c>
      <c r="D35" s="137">
        <f t="shared" si="160"/>
        <v>0.09</v>
      </c>
      <c r="E35" s="138">
        <f t="shared" si="161"/>
        <v>0</v>
      </c>
      <c r="F35" s="193">
        <f>IFERROR(VLOOKUP(M35,BASILECART2,2,FALSE),"")</f>
        <v>22</v>
      </c>
      <c r="G35" s="97">
        <f t="shared" si="167"/>
        <v>0.1</v>
      </c>
      <c r="H35" s="97">
        <f t="shared" si="168"/>
        <v>0.09</v>
      </c>
      <c r="I35" s="97">
        <f t="shared" si="169"/>
        <v>0</v>
      </c>
      <c r="J35" s="96">
        <f t="shared" si="170"/>
        <v>63</v>
      </c>
      <c r="K35" s="94">
        <f t="shared" si="171"/>
        <v>0.1</v>
      </c>
      <c r="L35" s="98">
        <f t="shared" si="172"/>
        <v>0.05</v>
      </c>
      <c r="M35" s="139" t="s">
        <v>109</v>
      </c>
      <c r="N35" s="100">
        <f t="shared" si="173"/>
        <v>461254.08</v>
      </c>
      <c r="O35" s="236">
        <v>1800000</v>
      </c>
      <c r="P35" s="102">
        <f t="shared" si="13"/>
        <v>1219002.97</v>
      </c>
      <c r="Q35" s="102">
        <f t="shared" si="174"/>
        <v>0</v>
      </c>
      <c r="R35" s="102">
        <f t="shared" si="175"/>
        <v>1219002.97</v>
      </c>
      <c r="S35" s="102">
        <f t="shared" si="16"/>
        <v>-580997.03</v>
      </c>
      <c r="T35" s="103">
        <f t="shared" si="17"/>
        <v>0.67722387222222225</v>
      </c>
      <c r="U35" s="100">
        <f t="shared" si="176"/>
        <v>239012.65</v>
      </c>
      <c r="V35" s="237">
        <v>1800000</v>
      </c>
      <c r="W35" s="105">
        <f t="shared" si="19"/>
        <v>0</v>
      </c>
      <c r="X35" s="102">
        <f t="shared" si="177"/>
        <v>0</v>
      </c>
      <c r="Y35" s="106">
        <f t="shared" si="178"/>
        <v>0</v>
      </c>
      <c r="Z35" s="142">
        <f t="shared" si="150"/>
        <v>-1800000</v>
      </c>
      <c r="AA35" s="143">
        <f t="shared" si="153"/>
        <v>0</v>
      </c>
      <c r="AB35" s="100">
        <f t="shared" si="179"/>
        <v>0</v>
      </c>
      <c r="AC35" s="236">
        <v>1800000</v>
      </c>
      <c r="AD35" s="102">
        <f t="shared" si="24"/>
        <v>729643.48</v>
      </c>
      <c r="AE35" s="102">
        <f t="shared" si="180"/>
        <v>0</v>
      </c>
      <c r="AF35" s="102">
        <f t="shared" si="181"/>
        <v>729643.48</v>
      </c>
      <c r="AG35" s="145">
        <f t="shared" si="27"/>
        <v>-1070356.52</v>
      </c>
      <c r="AH35" s="158">
        <f t="shared" si="156"/>
        <v>0.40535748888888889</v>
      </c>
      <c r="AI35" s="147">
        <f t="shared" si="103"/>
        <v>5400000</v>
      </c>
      <c r="AJ35" s="111">
        <f t="shared" si="182"/>
        <v>2017946.45</v>
      </c>
      <c r="AK35" s="102">
        <f t="shared" si="31"/>
        <v>0</v>
      </c>
      <c r="AL35" s="102">
        <f t="shared" si="32"/>
        <v>1948646.45</v>
      </c>
      <c r="AM35" s="102">
        <f t="shared" si="33"/>
        <v>1948646.45</v>
      </c>
      <c r="AN35" s="102">
        <f t="shared" si="34"/>
        <v>-69300</v>
      </c>
      <c r="AO35" s="112">
        <f t="shared" si="35"/>
        <v>0.9656581570834053</v>
      </c>
      <c r="AP35" s="100">
        <f t="shared" si="183"/>
        <v>0</v>
      </c>
      <c r="AQ35" s="113">
        <f t="shared" si="37"/>
        <v>545812.99</v>
      </c>
      <c r="AR35" s="114">
        <f t="shared" si="184"/>
        <v>32132.59</v>
      </c>
      <c r="AS35" s="115">
        <f t="shared" si="185"/>
        <v>577945.57999999996</v>
      </c>
      <c r="AT35" s="100">
        <f t="shared" si="186"/>
        <v>141916.51999999999</v>
      </c>
      <c r="AU35" s="113">
        <f t="shared" si="41"/>
        <v>-5882.73</v>
      </c>
      <c r="AV35" s="116">
        <f t="shared" si="187"/>
        <v>0</v>
      </c>
      <c r="AW35" s="117">
        <f t="shared" si="188"/>
        <v>-5882.73</v>
      </c>
      <c r="AX35" s="100">
        <f t="shared" si="189"/>
        <v>485001.88</v>
      </c>
      <c r="AY35" s="113">
        <f t="shared" si="45"/>
        <v>1328991.27</v>
      </c>
      <c r="AZ35" s="114">
        <f t="shared" si="190"/>
        <v>0</v>
      </c>
      <c r="BA35" s="100">
        <f t="shared" si="191"/>
        <v>1328991.27</v>
      </c>
      <c r="BB35" s="118">
        <f t="shared" ref="BB35:BD35" si="207">BH35+AY35+AU35</f>
        <v>2828247.97</v>
      </c>
      <c r="BC35" s="116">
        <f t="shared" si="207"/>
        <v>0</v>
      </c>
      <c r="BD35" s="119">
        <f t="shared" si="207"/>
        <v>2828247.97</v>
      </c>
      <c r="BE35" s="118">
        <f t="shared" si="49"/>
        <v>4776894.42</v>
      </c>
      <c r="BF35" s="116">
        <f t="shared" si="50"/>
        <v>0</v>
      </c>
      <c r="BG35" s="119">
        <f t="shared" si="51"/>
        <v>4776894.42</v>
      </c>
      <c r="BH35" s="114">
        <f t="shared" si="52"/>
        <v>1505139.43</v>
      </c>
      <c r="BI35" s="114">
        <f t="shared" si="193"/>
        <v>0</v>
      </c>
      <c r="BJ35" s="115">
        <f t="shared" si="194"/>
        <v>1505139.43</v>
      </c>
      <c r="BK35" s="125">
        <f t="shared" si="195"/>
        <v>413187.42</v>
      </c>
      <c r="BL35" s="120">
        <f t="shared" si="56"/>
        <v>1064294.18</v>
      </c>
      <c r="BM35" s="121">
        <f t="shared" si="196"/>
        <v>0</v>
      </c>
      <c r="BN35" s="119">
        <f t="shared" si="197"/>
        <v>1064294.18</v>
      </c>
      <c r="BO35" s="125">
        <f t="shared" si="198"/>
        <v>1139208.82</v>
      </c>
      <c r="BP35" s="140">
        <f t="shared" si="60"/>
        <v>1327462.54</v>
      </c>
      <c r="BQ35" s="123">
        <f t="shared" si="199"/>
        <v>0</v>
      </c>
      <c r="BR35" s="125">
        <f t="shared" si="200"/>
        <v>1327462.54</v>
      </c>
      <c r="BS35" s="122">
        <f t="shared" si="63"/>
        <v>3896896.15</v>
      </c>
      <c r="BT35" s="123">
        <f t="shared" ref="BT35:BU35" si="208">SUM(BI35,BM35,BQ35)</f>
        <v>0</v>
      </c>
      <c r="BU35" s="124">
        <f t="shared" si="208"/>
        <v>3896896.15</v>
      </c>
      <c r="BV35" s="125">
        <f t="shared" si="202"/>
        <v>588582.37</v>
      </c>
      <c r="BW35" s="122">
        <f t="shared" si="66"/>
        <v>1819992.44</v>
      </c>
      <c r="BX35" s="123">
        <f t="shared" si="203"/>
        <v>0</v>
      </c>
      <c r="BY35" s="124">
        <f t="shared" si="204"/>
        <v>1819992.44</v>
      </c>
      <c r="BZ35" s="125">
        <f t="shared" si="205"/>
        <v>381002.57</v>
      </c>
      <c r="CA35" s="140"/>
      <c r="CB35" s="123"/>
      <c r="CC35" s="148"/>
      <c r="CD35" s="123">
        <f t="shared" si="206"/>
        <v>1048361.5</v>
      </c>
      <c r="CF35" s="126"/>
    </row>
    <row r="36" spans="1:84" ht="13">
      <c r="A36" s="92">
        <f t="shared" si="166"/>
        <v>112012231</v>
      </c>
      <c r="B36" s="172">
        <f t="shared" si="91"/>
        <v>1</v>
      </c>
      <c r="C36" s="137" t="str">
        <f t="shared" si="159"/>
        <v>Lista</v>
      </c>
      <c r="D36" s="137">
        <f t="shared" si="160"/>
        <v>0.09</v>
      </c>
      <c r="E36" s="138">
        <f t="shared" si="161"/>
        <v>0</v>
      </c>
      <c r="F36" s="193">
        <f>IFERROR(VLOOKUP(M36,BASILECART2,2,FALSE),"")</f>
        <v>22</v>
      </c>
      <c r="G36" s="97">
        <f t="shared" si="167"/>
        <v>0.1</v>
      </c>
      <c r="H36" s="97">
        <f t="shared" si="168"/>
        <v>0.09</v>
      </c>
      <c r="I36" s="97">
        <f t="shared" si="169"/>
        <v>0</v>
      </c>
      <c r="J36" s="96">
        <f t="shared" si="170"/>
        <v>63</v>
      </c>
      <c r="K36" s="94">
        <f t="shared" si="171"/>
        <v>0.1</v>
      </c>
      <c r="L36" s="98">
        <f t="shared" si="172"/>
        <v>0.05</v>
      </c>
      <c r="M36" s="139" t="s">
        <v>110</v>
      </c>
      <c r="N36" s="100">
        <f t="shared" si="173"/>
        <v>1827241.47</v>
      </c>
      <c r="O36" s="140">
        <f>(N36*1.601)*1.05</f>
        <v>3071684.2731434996</v>
      </c>
      <c r="P36" s="102">
        <f t="shared" si="13"/>
        <v>507144.08999999997</v>
      </c>
      <c r="Q36" s="102">
        <f t="shared" si="174"/>
        <v>311634.38</v>
      </c>
      <c r="R36" s="102">
        <f t="shared" si="175"/>
        <v>818778.47</v>
      </c>
      <c r="S36" s="102">
        <f t="shared" si="16"/>
        <v>-2252905.8031434994</v>
      </c>
      <c r="T36" s="103">
        <f t="shared" si="17"/>
        <v>0.26655684542802266</v>
      </c>
      <c r="U36" s="100">
        <f t="shared" si="176"/>
        <v>855394.18</v>
      </c>
      <c r="V36" s="141">
        <f>U36*1.7245</f>
        <v>1475127.2634100001</v>
      </c>
      <c r="W36" s="105">
        <f t="shared" si="19"/>
        <v>379336.54999999993</v>
      </c>
      <c r="X36" s="102">
        <f t="shared" si="177"/>
        <v>222075.9</v>
      </c>
      <c r="Y36" s="106">
        <f t="shared" si="178"/>
        <v>601412.44999999995</v>
      </c>
      <c r="Z36" s="142">
        <f t="shared" si="150"/>
        <v>-873714.81341000018</v>
      </c>
      <c r="AA36" s="143">
        <f t="shared" si="153"/>
        <v>0.40770207758870636</v>
      </c>
      <c r="AB36" s="100">
        <f t="shared" si="179"/>
        <v>544099.71</v>
      </c>
      <c r="AC36" s="140">
        <f>(AB36*1.5955)*1.03</f>
        <v>894154.41992414999</v>
      </c>
      <c r="AD36" s="102">
        <f t="shared" si="24"/>
        <v>381621.15</v>
      </c>
      <c r="AE36" s="102">
        <f t="shared" si="180"/>
        <v>421544.35</v>
      </c>
      <c r="AF36" s="102">
        <f t="shared" si="181"/>
        <v>803165.5</v>
      </c>
      <c r="AG36" s="145">
        <f t="shared" si="27"/>
        <v>-90988.919924149988</v>
      </c>
      <c r="AH36" s="158">
        <f t="shared" ref="AH36:AH38" si="209">IFERROR(AF36/AC36,"")</f>
        <v>0.89824026152902259</v>
      </c>
      <c r="AI36" s="147">
        <f t="shared" si="103"/>
        <v>5440965.9564776504</v>
      </c>
      <c r="AJ36" s="111">
        <f t="shared" si="182"/>
        <v>2541132.62</v>
      </c>
      <c r="AK36" s="102">
        <f t="shared" si="31"/>
        <v>955254.63</v>
      </c>
      <c r="AL36" s="102">
        <f t="shared" si="32"/>
        <v>1268101.79</v>
      </c>
      <c r="AM36" s="102">
        <f t="shared" si="33"/>
        <v>2223356.42</v>
      </c>
      <c r="AN36" s="102">
        <f t="shared" si="34"/>
        <v>-317776.20000000019</v>
      </c>
      <c r="AO36" s="112">
        <f t="shared" si="35"/>
        <v>0.87494702263906232</v>
      </c>
      <c r="AP36" s="100">
        <f t="shared" si="183"/>
        <v>2006930.47</v>
      </c>
      <c r="AQ36" s="113">
        <f t="shared" si="37"/>
        <v>414687.88999999996</v>
      </c>
      <c r="AR36" s="114">
        <f t="shared" si="184"/>
        <v>249630.68</v>
      </c>
      <c r="AS36" s="115">
        <f t="shared" si="185"/>
        <v>664318.56999999995</v>
      </c>
      <c r="AT36" s="100">
        <f t="shared" si="186"/>
        <v>1714123.63</v>
      </c>
      <c r="AU36" s="113">
        <f t="shared" si="41"/>
        <v>496851.08000000007</v>
      </c>
      <c r="AV36" s="116">
        <f t="shared" si="187"/>
        <v>144931.09</v>
      </c>
      <c r="AW36" s="117">
        <f t="shared" si="188"/>
        <v>641782.17000000004</v>
      </c>
      <c r="AX36" s="100">
        <f t="shared" si="189"/>
        <v>471576.41</v>
      </c>
      <c r="AY36" s="113">
        <f t="shared" si="45"/>
        <v>197259.91000000003</v>
      </c>
      <c r="AZ36" s="114">
        <f t="shared" si="190"/>
        <v>908449.43</v>
      </c>
      <c r="BA36" s="100">
        <f t="shared" si="191"/>
        <v>1105709.3400000001</v>
      </c>
      <c r="BB36" s="118">
        <f t="shared" ref="BB36:BD36" si="210">BH36+AY36+AU36</f>
        <v>821452.39000000013</v>
      </c>
      <c r="BC36" s="116">
        <f t="shared" si="210"/>
        <v>1881381.49</v>
      </c>
      <c r="BD36" s="119">
        <f t="shared" si="210"/>
        <v>2702833.88</v>
      </c>
      <c r="BE36" s="118">
        <f t="shared" si="49"/>
        <v>2089554.1800000002</v>
      </c>
      <c r="BF36" s="116">
        <f t="shared" si="50"/>
        <v>2836636.12</v>
      </c>
      <c r="BG36" s="119">
        <f t="shared" si="51"/>
        <v>4926190.3</v>
      </c>
      <c r="BH36" s="114">
        <f t="shared" si="52"/>
        <v>127341.40000000002</v>
      </c>
      <c r="BI36" s="114">
        <f t="shared" si="193"/>
        <v>828000.97</v>
      </c>
      <c r="BJ36" s="115">
        <f t="shared" si="194"/>
        <v>955342.37</v>
      </c>
      <c r="BK36" s="125">
        <f t="shared" si="195"/>
        <v>1826941.41</v>
      </c>
      <c r="BL36" s="120">
        <f t="shared" si="56"/>
        <v>352212.43999999994</v>
      </c>
      <c r="BM36" s="121">
        <f t="shared" si="196"/>
        <v>585443.4</v>
      </c>
      <c r="BN36" s="119">
        <f t="shared" si="197"/>
        <v>937655.84</v>
      </c>
      <c r="BO36" s="125">
        <f t="shared" si="198"/>
        <v>994252.91</v>
      </c>
      <c r="BP36" s="140">
        <f t="shared" si="60"/>
        <v>202697.45999999996</v>
      </c>
      <c r="BQ36" s="123">
        <f t="shared" si="199"/>
        <v>291045.46000000002</v>
      </c>
      <c r="BR36" s="125">
        <f t="shared" si="200"/>
        <v>493742.92</v>
      </c>
      <c r="BS36" s="122">
        <f t="shared" si="63"/>
        <v>682251.29999999993</v>
      </c>
      <c r="BT36" s="123">
        <f t="shared" ref="BT36:BU36" si="211">SUM(BI36,BM36,BQ36)</f>
        <v>1704489.83</v>
      </c>
      <c r="BU36" s="124">
        <f t="shared" si="211"/>
        <v>2386741.13</v>
      </c>
      <c r="BV36" s="125">
        <f t="shared" si="202"/>
        <v>368004.46</v>
      </c>
      <c r="BW36" s="122">
        <f t="shared" si="66"/>
        <v>703032.69000000006</v>
      </c>
      <c r="BX36" s="123">
        <f t="shared" si="203"/>
        <v>468114.89</v>
      </c>
      <c r="BY36" s="124">
        <f t="shared" si="204"/>
        <v>1171147.58</v>
      </c>
      <c r="BZ36" s="125">
        <f t="shared" si="205"/>
        <v>1312660.42</v>
      </c>
      <c r="CA36" s="140"/>
      <c r="CB36" s="123"/>
      <c r="CC36" s="148"/>
      <c r="CD36" s="123">
        <f t="shared" si="206"/>
        <v>860467.74</v>
      </c>
      <c r="CF36" s="126"/>
    </row>
    <row r="37" spans="1:84" ht="13">
      <c r="A37" s="92">
        <f t="shared" si="166"/>
        <v>112014260</v>
      </c>
      <c r="B37" s="172">
        <f t="shared" si="91"/>
        <v>20</v>
      </c>
      <c r="C37" s="137">
        <f t="shared" si="159"/>
        <v>0.05</v>
      </c>
      <c r="D37" s="137">
        <f t="shared" si="160"/>
        <v>0.09</v>
      </c>
      <c r="E37" s="138">
        <f t="shared" si="161"/>
        <v>0</v>
      </c>
      <c r="F37" s="193">
        <f>IFERROR(VLOOKUP(M37,BASILECART2,2,FALSE),"")</f>
        <v>20</v>
      </c>
      <c r="G37" s="97">
        <f t="shared" si="167"/>
        <v>0.05</v>
      </c>
      <c r="H37" s="97">
        <f t="shared" si="168"/>
        <v>0.09</v>
      </c>
      <c r="I37" s="97">
        <f t="shared" si="169"/>
        <v>0</v>
      </c>
      <c r="J37" s="96">
        <f t="shared" si="170"/>
        <v>71</v>
      </c>
      <c r="K37" s="94" t="str">
        <f t="shared" si="171"/>
        <v>Lista</v>
      </c>
      <c r="L37" s="98">
        <f t="shared" si="172"/>
        <v>0.05</v>
      </c>
      <c r="M37" s="139" t="s">
        <v>111</v>
      </c>
      <c r="N37" s="100">
        <f t="shared" si="173"/>
        <v>863606.49</v>
      </c>
      <c r="O37" s="247">
        <v>1500000</v>
      </c>
      <c r="P37" s="102" t="e">
        <f t="shared" si="13"/>
        <v>#VALUE!</v>
      </c>
      <c r="Q37" s="102" t="str">
        <f t="shared" si="174"/>
        <v/>
      </c>
      <c r="R37" s="102">
        <f t="shared" si="175"/>
        <v>688675.24</v>
      </c>
      <c r="S37" s="102">
        <f t="shared" si="16"/>
        <v>-811324.76</v>
      </c>
      <c r="T37" s="103">
        <f t="shared" si="17"/>
        <v>0.45911682666666664</v>
      </c>
      <c r="U37" s="100">
        <f t="shared" si="176"/>
        <v>250508.72</v>
      </c>
      <c r="V37" s="248">
        <v>1500000</v>
      </c>
      <c r="W37" s="105" t="e">
        <f t="shared" si="19"/>
        <v>#VALUE!</v>
      </c>
      <c r="X37" s="102" t="str">
        <f t="shared" si="177"/>
        <v/>
      </c>
      <c r="Y37" s="106">
        <f t="shared" si="178"/>
        <v>100938.97</v>
      </c>
      <c r="Z37" s="142">
        <f t="shared" si="150"/>
        <v>-1399061.03</v>
      </c>
      <c r="AA37" s="143">
        <f t="shared" si="153"/>
        <v>6.7292646666666664E-2</v>
      </c>
      <c r="AB37" s="100">
        <f t="shared" si="179"/>
        <v>253237.9</v>
      </c>
      <c r="AC37" s="247">
        <v>1500000</v>
      </c>
      <c r="AD37" s="102" t="e">
        <f t="shared" si="24"/>
        <v>#VALUE!</v>
      </c>
      <c r="AE37" s="102" t="str">
        <f t="shared" si="180"/>
        <v/>
      </c>
      <c r="AF37" s="102">
        <f t="shared" si="181"/>
        <v>450230.13</v>
      </c>
      <c r="AG37" s="145">
        <f t="shared" si="27"/>
        <v>-1049769.8700000001</v>
      </c>
      <c r="AH37" s="158">
        <f t="shared" si="209"/>
        <v>0.30015342</v>
      </c>
      <c r="AI37" s="147">
        <f t="shared" si="103"/>
        <v>4500000</v>
      </c>
      <c r="AJ37" s="111">
        <f t="shared" si="182"/>
        <v>2507408.3199999998</v>
      </c>
      <c r="AK37" s="102">
        <f t="shared" si="31"/>
        <v>0</v>
      </c>
      <c r="AL37" s="102" t="e">
        <f t="shared" si="32"/>
        <v>#VALUE!</v>
      </c>
      <c r="AM37" s="102">
        <f t="shared" si="33"/>
        <v>1239844.3399999999</v>
      </c>
      <c r="AN37" s="102">
        <f t="shared" si="34"/>
        <v>-1267563.98</v>
      </c>
      <c r="AO37" s="112">
        <f t="shared" si="35"/>
        <v>0.49447245193794359</v>
      </c>
      <c r="AP37" s="100">
        <f t="shared" si="183"/>
        <v>1308878.78</v>
      </c>
      <c r="AQ37" s="113" t="e">
        <f t="shared" si="37"/>
        <v>#VALUE!</v>
      </c>
      <c r="AR37" s="114" t="str">
        <f t="shared" si="184"/>
        <v/>
      </c>
      <c r="AS37" s="115">
        <f t="shared" si="185"/>
        <v>878868.59</v>
      </c>
      <c r="AT37" s="100">
        <f t="shared" si="186"/>
        <v>23469.72</v>
      </c>
      <c r="AU37" s="113" t="e">
        <f t="shared" si="41"/>
        <v>#VALUE!</v>
      </c>
      <c r="AV37" s="116" t="str">
        <f t="shared" si="187"/>
        <v/>
      </c>
      <c r="AW37" s="117">
        <f t="shared" si="188"/>
        <v>490302.1</v>
      </c>
      <c r="AX37" s="100">
        <f t="shared" si="189"/>
        <v>126614.67</v>
      </c>
      <c r="AY37" s="113" t="e">
        <f t="shared" si="45"/>
        <v>#VALUE!</v>
      </c>
      <c r="AZ37" s="114" t="str">
        <f t="shared" si="190"/>
        <v/>
      </c>
      <c r="BA37" s="100">
        <f t="shared" si="191"/>
        <v>904503.09</v>
      </c>
      <c r="BB37" s="118" t="e">
        <f t="shared" ref="BB37:BD37" si="212">BH37+AY37+AU37</f>
        <v>#VALUE!</v>
      </c>
      <c r="BC37" s="116" t="e">
        <f t="shared" si="212"/>
        <v>#VALUE!</v>
      </c>
      <c r="BD37" s="119">
        <f t="shared" si="212"/>
        <v>1815416.7200000002</v>
      </c>
      <c r="BE37" s="118" t="e">
        <f t="shared" si="49"/>
        <v>#VALUE!</v>
      </c>
      <c r="BF37" s="116" t="e">
        <f t="shared" si="50"/>
        <v>#VALUE!</v>
      </c>
      <c r="BG37" s="119">
        <f t="shared" si="51"/>
        <v>3055261.06</v>
      </c>
      <c r="BH37" s="114" t="e">
        <f t="shared" si="52"/>
        <v>#VALUE!</v>
      </c>
      <c r="BI37" s="114" t="str">
        <f t="shared" si="193"/>
        <v/>
      </c>
      <c r="BJ37" s="115">
        <f t="shared" si="194"/>
        <v>420611.53</v>
      </c>
      <c r="BK37" s="125">
        <f t="shared" si="195"/>
        <v>428427.1</v>
      </c>
      <c r="BL37" s="120" t="e">
        <f t="shared" si="56"/>
        <v>#VALUE!</v>
      </c>
      <c r="BM37" s="121" t="str">
        <f t="shared" si="196"/>
        <v/>
      </c>
      <c r="BN37" s="119">
        <f t="shared" si="197"/>
        <v>609708.48</v>
      </c>
      <c r="BO37" s="125">
        <f t="shared" si="198"/>
        <v>487276.18</v>
      </c>
      <c r="BP37" s="140" t="e">
        <f t="shared" si="60"/>
        <v>#VALUE!</v>
      </c>
      <c r="BQ37" s="123" t="str">
        <f t="shared" si="199"/>
        <v/>
      </c>
      <c r="BR37" s="249">
        <f t="shared" si="200"/>
        <v>433747.44</v>
      </c>
      <c r="BS37" s="122" t="e">
        <f t="shared" si="63"/>
        <v>#VALUE!</v>
      </c>
      <c r="BT37" s="123">
        <f t="shared" ref="BT37:BU37" si="213">SUM(BI37,BM37,BQ37)</f>
        <v>0</v>
      </c>
      <c r="BU37" s="250">
        <f t="shared" si="213"/>
        <v>1464067.45</v>
      </c>
      <c r="BV37" s="125">
        <f t="shared" si="202"/>
        <v>884630.52</v>
      </c>
      <c r="BW37" s="122" t="e">
        <f t="shared" si="66"/>
        <v>#VALUE!</v>
      </c>
      <c r="BX37" s="123" t="str">
        <f t="shared" si="203"/>
        <v/>
      </c>
      <c r="BY37" s="124">
        <f t="shared" si="204"/>
        <v>528600.53</v>
      </c>
      <c r="BZ37" s="125">
        <f t="shared" si="205"/>
        <v>1115091.07</v>
      </c>
      <c r="CA37" s="140"/>
      <c r="CB37" s="123"/>
      <c r="CC37" s="148"/>
      <c r="CD37" s="123">
        <f t="shared" si="206"/>
        <v>507686.74</v>
      </c>
      <c r="CF37" s="126"/>
    </row>
    <row r="38" spans="1:84" ht="13">
      <c r="A38" s="92">
        <f t="shared" si="166"/>
        <v>112014138</v>
      </c>
      <c r="B38" s="172">
        <f t="shared" si="91"/>
        <v>24</v>
      </c>
      <c r="C38" s="137">
        <f t="shared" si="159"/>
        <v>0.12</v>
      </c>
      <c r="D38" s="137">
        <f t="shared" si="160"/>
        <v>0.09</v>
      </c>
      <c r="E38" s="138">
        <f t="shared" si="161"/>
        <v>0</v>
      </c>
      <c r="F38" s="96">
        <f>VLOOKUP(M38,BASILECART2,2,FALSE)</f>
        <v>1</v>
      </c>
      <c r="G38" s="97" t="str">
        <f t="shared" si="167"/>
        <v>Lista</v>
      </c>
      <c r="H38" s="97">
        <f t="shared" si="168"/>
        <v>0.09</v>
      </c>
      <c r="I38" s="97">
        <f t="shared" si="169"/>
        <v>0</v>
      </c>
      <c r="J38" s="96">
        <f t="shared" si="170"/>
        <v>71</v>
      </c>
      <c r="K38" s="94" t="str">
        <f t="shared" si="171"/>
        <v>Lista</v>
      </c>
      <c r="L38" s="98">
        <f t="shared" si="172"/>
        <v>0.05</v>
      </c>
      <c r="M38" s="139" t="s">
        <v>112</v>
      </c>
      <c r="N38" s="100">
        <f t="shared" si="173"/>
        <v>312645.59999999998</v>
      </c>
      <c r="O38" s="140">
        <f>(N38*1.601)*1.05</f>
        <v>525572.88587999996</v>
      </c>
      <c r="P38" s="102" t="e">
        <f t="shared" si="13"/>
        <v>#VALUE!</v>
      </c>
      <c r="Q38" s="102" t="str">
        <f t="shared" si="174"/>
        <v/>
      </c>
      <c r="R38" s="102">
        <f t="shared" si="175"/>
        <v>0</v>
      </c>
      <c r="S38" s="102">
        <f t="shared" si="16"/>
        <v>-525572.88587999996</v>
      </c>
      <c r="T38" s="103">
        <f t="shared" si="17"/>
        <v>0</v>
      </c>
      <c r="U38" s="100">
        <f t="shared" si="176"/>
        <v>0</v>
      </c>
      <c r="V38" s="141">
        <f>U38*1.7245</f>
        <v>0</v>
      </c>
      <c r="W38" s="105" t="e">
        <f t="shared" si="19"/>
        <v>#VALUE!</v>
      </c>
      <c r="X38" s="102" t="str">
        <f t="shared" si="177"/>
        <v/>
      </c>
      <c r="Y38" s="106">
        <f t="shared" si="178"/>
        <v>0</v>
      </c>
      <c r="Z38" s="142">
        <f t="shared" si="150"/>
        <v>0</v>
      </c>
      <c r="AA38" s="143" t="str">
        <f>IFERROR(Y38/V38,"")</f>
        <v/>
      </c>
      <c r="AB38" s="100">
        <f t="shared" si="179"/>
        <v>0</v>
      </c>
      <c r="AC38" s="140">
        <f>(AB38*1.5955)*1.03</f>
        <v>0</v>
      </c>
      <c r="AD38" s="102" t="e">
        <f t="shared" si="24"/>
        <v>#VALUE!</v>
      </c>
      <c r="AE38" s="102" t="str">
        <f t="shared" si="180"/>
        <v/>
      </c>
      <c r="AF38" s="102">
        <f t="shared" si="181"/>
        <v>0</v>
      </c>
      <c r="AG38" s="145">
        <f t="shared" si="27"/>
        <v>0</v>
      </c>
      <c r="AH38" s="158" t="str">
        <f t="shared" si="209"/>
        <v/>
      </c>
      <c r="AI38" s="147">
        <f t="shared" si="103"/>
        <v>525572.88587999996</v>
      </c>
      <c r="AJ38" s="111" t="str">
        <f t="shared" si="182"/>
        <v>0</v>
      </c>
      <c r="AK38" s="102">
        <f t="shared" si="31"/>
        <v>0</v>
      </c>
      <c r="AL38" s="102" t="e">
        <f t="shared" si="32"/>
        <v>#VALUE!</v>
      </c>
      <c r="AM38" s="102">
        <f t="shared" si="33"/>
        <v>0</v>
      </c>
      <c r="AN38" s="102">
        <f t="shared" si="34"/>
        <v>0</v>
      </c>
      <c r="AO38" s="112" t="e">
        <f t="shared" si="35"/>
        <v>#DIV/0!</v>
      </c>
      <c r="AP38" s="100">
        <f t="shared" si="183"/>
        <v>0</v>
      </c>
      <c r="AQ38" s="113" t="e">
        <f t="shared" si="37"/>
        <v>#VALUE!</v>
      </c>
      <c r="AR38" s="114" t="str">
        <f t="shared" si="184"/>
        <v/>
      </c>
      <c r="AS38" s="115">
        <f t="shared" si="185"/>
        <v>0</v>
      </c>
      <c r="AT38" s="100">
        <f t="shared" si="186"/>
        <v>0</v>
      </c>
      <c r="AU38" s="113" t="e">
        <f t="shared" si="41"/>
        <v>#VALUE!</v>
      </c>
      <c r="AV38" s="116" t="str">
        <f t="shared" si="187"/>
        <v/>
      </c>
      <c r="AW38" s="117">
        <f t="shared" si="188"/>
        <v>107053.39</v>
      </c>
      <c r="AX38" s="100">
        <f t="shared" si="189"/>
        <v>237602.4</v>
      </c>
      <c r="AY38" s="113" t="e">
        <f t="shared" si="45"/>
        <v>#VALUE!</v>
      </c>
      <c r="AZ38" s="114" t="str">
        <f t="shared" si="190"/>
        <v/>
      </c>
      <c r="BA38" s="100">
        <f t="shared" si="191"/>
        <v>0</v>
      </c>
      <c r="BB38" s="118" t="e">
        <f t="shared" ref="BB38:BD38" si="214">BH38+AY38+AU38</f>
        <v>#VALUE!</v>
      </c>
      <c r="BC38" s="116" t="e">
        <f t="shared" si="214"/>
        <v>#VALUE!</v>
      </c>
      <c r="BD38" s="119">
        <f t="shared" si="214"/>
        <v>107053.39</v>
      </c>
      <c r="BE38" s="118" t="e">
        <f t="shared" si="49"/>
        <v>#VALUE!</v>
      </c>
      <c r="BF38" s="116" t="e">
        <f t="shared" si="50"/>
        <v>#VALUE!</v>
      </c>
      <c r="BG38" s="119">
        <f t="shared" si="51"/>
        <v>107053.39</v>
      </c>
      <c r="BH38" s="114" t="e">
        <f t="shared" si="52"/>
        <v>#VALUE!</v>
      </c>
      <c r="BI38" s="114" t="str">
        <f t="shared" si="193"/>
        <v/>
      </c>
      <c r="BJ38" s="115">
        <f t="shared" si="194"/>
        <v>0</v>
      </c>
      <c r="BK38" s="125">
        <f t="shared" si="195"/>
        <v>0</v>
      </c>
      <c r="BL38" s="120" t="e">
        <f t="shared" si="56"/>
        <v>#VALUE!</v>
      </c>
      <c r="BM38" s="121" t="str">
        <f t="shared" si="196"/>
        <v/>
      </c>
      <c r="BN38" s="119">
        <f t="shared" si="197"/>
        <v>0</v>
      </c>
      <c r="BO38" s="125">
        <f t="shared" si="198"/>
        <v>0</v>
      </c>
      <c r="BP38" s="140" t="e">
        <f t="shared" si="60"/>
        <v>#VALUE!</v>
      </c>
      <c r="BQ38" s="123" t="str">
        <f t="shared" si="199"/>
        <v/>
      </c>
      <c r="BR38" s="125">
        <f t="shared" si="200"/>
        <v>0</v>
      </c>
      <c r="BS38" s="122" t="e">
        <f t="shared" si="63"/>
        <v>#VALUE!</v>
      </c>
      <c r="BT38" s="123">
        <f t="shared" ref="BT38:BU38" si="215">SUM(BI38,BM38,BQ38)</f>
        <v>0</v>
      </c>
      <c r="BU38" s="124">
        <f t="shared" si="215"/>
        <v>0</v>
      </c>
      <c r="BV38" s="125">
        <f t="shared" si="202"/>
        <v>0</v>
      </c>
      <c r="BW38" s="122" t="e">
        <f t="shared" si="66"/>
        <v>#VALUE!</v>
      </c>
      <c r="BX38" s="123" t="str">
        <f t="shared" si="203"/>
        <v/>
      </c>
      <c r="BY38" s="124">
        <f t="shared" si="204"/>
        <v>0</v>
      </c>
      <c r="BZ38" s="125">
        <f t="shared" si="205"/>
        <v>0</v>
      </c>
      <c r="CA38" s="140"/>
      <c r="CB38" s="123"/>
      <c r="CC38" s="148"/>
      <c r="CD38" s="123">
        <f t="shared" si="206"/>
        <v>0</v>
      </c>
      <c r="CF38" s="126"/>
    </row>
    <row r="39" spans="1:84" ht="13">
      <c r="A39" s="92">
        <f t="shared" si="166"/>
        <v>112014411</v>
      </c>
      <c r="B39" s="172">
        <f t="shared" si="91"/>
        <v>31</v>
      </c>
      <c r="C39" s="137">
        <f>VLOOKUP(B39,DES,2,FALSE)</f>
        <v>0.1</v>
      </c>
      <c r="D39" s="137">
        <f>VLOOKUP(B39,DES,3,FALSE)</f>
        <v>0.23</v>
      </c>
      <c r="E39" s="138">
        <f>VLOOKUP(B39,DES,4,FALSE)</f>
        <v>0</v>
      </c>
      <c r="F39" s="96">
        <f>VLOOKUP(M39,BASILECART2,2,FALSE)</f>
        <v>18</v>
      </c>
      <c r="G39" s="97" t="str">
        <f t="shared" si="167"/>
        <v>Lista</v>
      </c>
      <c r="H39" s="97">
        <f t="shared" si="168"/>
        <v>0.23</v>
      </c>
      <c r="I39" s="97">
        <f t="shared" si="169"/>
        <v>0</v>
      </c>
      <c r="J39" s="96">
        <f t="shared" si="170"/>
        <v>69</v>
      </c>
      <c r="K39" s="94" t="str">
        <f t="shared" si="171"/>
        <v>Lista</v>
      </c>
      <c r="L39" s="98">
        <f t="shared" si="172"/>
        <v>0.14000000000000001</v>
      </c>
      <c r="M39" s="139" t="s">
        <v>113</v>
      </c>
      <c r="N39" s="100">
        <f t="shared" si="173"/>
        <v>0</v>
      </c>
      <c r="O39" s="239">
        <v>2500000</v>
      </c>
      <c r="P39" s="102">
        <f t="shared" si="13"/>
        <v>0</v>
      </c>
      <c r="Q39" s="102">
        <f t="shared" si="174"/>
        <v>3288518.7</v>
      </c>
      <c r="R39" s="102">
        <f t="shared" si="175"/>
        <v>3288518.7</v>
      </c>
      <c r="S39" s="102">
        <f t="shared" si="16"/>
        <v>788518.70000000019</v>
      </c>
      <c r="T39" s="103">
        <f t="shared" si="17"/>
        <v>1.3154074800000002</v>
      </c>
      <c r="U39" s="100">
        <f t="shared" si="176"/>
        <v>0</v>
      </c>
      <c r="V39" s="251">
        <v>2500000</v>
      </c>
      <c r="W39" s="105">
        <f t="shared" si="19"/>
        <v>0</v>
      </c>
      <c r="X39" s="102">
        <f t="shared" si="177"/>
        <v>3773969.43</v>
      </c>
      <c r="Y39" s="106">
        <f t="shared" si="178"/>
        <v>3773969.43</v>
      </c>
      <c r="Z39" s="142">
        <f t="shared" si="150"/>
        <v>1273969.4300000002</v>
      </c>
      <c r="AA39" s="143">
        <f t="shared" ref="AA39:AA43" si="216">Y39/V39</f>
        <v>1.5095877720000002</v>
      </c>
      <c r="AB39" s="100">
        <f t="shared" si="179"/>
        <v>0</v>
      </c>
      <c r="AC39" s="239">
        <v>2500000</v>
      </c>
      <c r="AD39" s="102">
        <f t="shared" si="24"/>
        <v>0</v>
      </c>
      <c r="AE39" s="102">
        <f t="shared" si="180"/>
        <v>2818046.26</v>
      </c>
      <c r="AF39" s="102">
        <f t="shared" si="181"/>
        <v>2818046.26</v>
      </c>
      <c r="AG39" s="145">
        <f t="shared" si="27"/>
        <v>318046.25999999978</v>
      </c>
      <c r="AH39" s="158">
        <f>AF39/AC39</f>
        <v>1.127218504</v>
      </c>
      <c r="AI39" s="147">
        <f t="shared" si="103"/>
        <v>7500000</v>
      </c>
      <c r="AJ39" s="111">
        <f t="shared" si="182"/>
        <v>11659391.609999999</v>
      </c>
      <c r="AK39" s="102">
        <f t="shared" si="31"/>
        <v>9880534.3900000006</v>
      </c>
      <c r="AL39" s="102">
        <f t="shared" si="32"/>
        <v>0</v>
      </c>
      <c r="AM39" s="102">
        <f t="shared" si="33"/>
        <v>9880534.3900000006</v>
      </c>
      <c r="AN39" s="102">
        <f t="shared" si="34"/>
        <v>-1778857.2199999988</v>
      </c>
      <c r="AO39" s="112">
        <f t="shared" si="35"/>
        <v>0.84743138583025956</v>
      </c>
      <c r="AP39" s="100">
        <f t="shared" si="183"/>
        <v>0</v>
      </c>
      <c r="AQ39" s="113">
        <f t="shared" si="37"/>
        <v>0</v>
      </c>
      <c r="AR39" s="114">
        <f t="shared" si="184"/>
        <v>3205294.53</v>
      </c>
      <c r="AS39" s="115">
        <f t="shared" si="185"/>
        <v>3205294.53</v>
      </c>
      <c r="AT39" s="100">
        <f t="shared" si="186"/>
        <v>1741660.85</v>
      </c>
      <c r="AU39" s="113">
        <f t="shared" si="41"/>
        <v>0</v>
      </c>
      <c r="AV39" s="116">
        <f t="shared" si="187"/>
        <v>565825.26</v>
      </c>
      <c r="AW39" s="117">
        <f t="shared" si="188"/>
        <v>565825.26</v>
      </c>
      <c r="AX39" s="100">
        <f t="shared" si="189"/>
        <v>2937461.45</v>
      </c>
      <c r="AY39" s="113">
        <f t="shared" si="45"/>
        <v>0</v>
      </c>
      <c r="AZ39" s="114">
        <f t="shared" si="190"/>
        <v>754433.68</v>
      </c>
      <c r="BA39" s="100">
        <f t="shared" si="191"/>
        <v>754433.68</v>
      </c>
      <c r="BB39" s="118">
        <f t="shared" ref="BB39:BD39" si="217">BH39+AY39+AU39</f>
        <v>0</v>
      </c>
      <c r="BC39" s="116">
        <f t="shared" si="217"/>
        <v>2590594.3499999996</v>
      </c>
      <c r="BD39" s="119">
        <f t="shared" si="217"/>
        <v>2590594.3499999996</v>
      </c>
      <c r="BE39" s="118">
        <f t="shared" si="49"/>
        <v>0</v>
      </c>
      <c r="BF39" s="116">
        <f t="shared" si="50"/>
        <v>12471128.74</v>
      </c>
      <c r="BG39" s="119">
        <f t="shared" si="51"/>
        <v>12471128.74</v>
      </c>
      <c r="BH39" s="114">
        <f t="shared" si="52"/>
        <v>0</v>
      </c>
      <c r="BI39" s="114">
        <f t="shared" si="193"/>
        <v>1270335.4099999999</v>
      </c>
      <c r="BJ39" s="115">
        <f t="shared" si="194"/>
        <v>1270335.4099999999</v>
      </c>
      <c r="BK39" s="125">
        <f t="shared" si="195"/>
        <v>5403442.6600000001</v>
      </c>
      <c r="BL39" s="120">
        <f t="shared" si="56"/>
        <v>0</v>
      </c>
      <c r="BM39" s="121">
        <f t="shared" si="196"/>
        <v>1335570.78</v>
      </c>
      <c r="BN39" s="119">
        <f t="shared" si="197"/>
        <v>1335570.78</v>
      </c>
      <c r="BO39" s="125">
        <f t="shared" si="198"/>
        <v>3504428.62</v>
      </c>
      <c r="BP39" s="140">
        <f t="shared" si="60"/>
        <v>0</v>
      </c>
      <c r="BQ39" s="123">
        <f t="shared" si="199"/>
        <v>611090.87</v>
      </c>
      <c r="BR39" s="125">
        <f t="shared" si="200"/>
        <v>611090.87</v>
      </c>
      <c r="BS39" s="122">
        <f t="shared" si="63"/>
        <v>0</v>
      </c>
      <c r="BT39" s="123">
        <f t="shared" ref="BT39:BU39" si="218">SUM(BI39,BM39,BQ39)</f>
        <v>3216997.06</v>
      </c>
      <c r="BU39" s="124">
        <f t="shared" si="218"/>
        <v>3216997.06</v>
      </c>
      <c r="BV39" s="125">
        <f t="shared" si="202"/>
        <v>2466973.36</v>
      </c>
      <c r="BW39" s="122">
        <f t="shared" si="66"/>
        <v>0</v>
      </c>
      <c r="BX39" s="123">
        <f t="shared" si="203"/>
        <v>407393.91</v>
      </c>
      <c r="BY39" s="124">
        <f t="shared" si="204"/>
        <v>407393.91</v>
      </c>
      <c r="BZ39" s="125">
        <f t="shared" si="205"/>
        <v>5067564.8899999997</v>
      </c>
      <c r="CA39" s="140"/>
      <c r="CB39" s="123"/>
      <c r="CC39" s="148"/>
      <c r="CD39" s="123">
        <f t="shared" si="206"/>
        <v>4124853.36</v>
      </c>
      <c r="CF39" s="126"/>
    </row>
    <row r="40" spans="1:84" ht="14">
      <c r="A40" s="92">
        <f t="shared" si="166"/>
        <v>112014682</v>
      </c>
      <c r="B40" s="172">
        <f t="shared" si="91"/>
        <v>31</v>
      </c>
      <c r="C40" s="137">
        <f>VLOOKUP(B40,DES,2,FALSE)</f>
        <v>0.1</v>
      </c>
      <c r="D40" s="137">
        <f>VLOOKUP(B40,DES,3,FALSE)</f>
        <v>0.23</v>
      </c>
      <c r="E40" s="138">
        <f>VLOOKUP(B40,DES,4,FALSE)</f>
        <v>0</v>
      </c>
      <c r="F40" s="96">
        <f>VLOOKUP(M40,BASILECART2,2,FALSE)</f>
        <v>18</v>
      </c>
      <c r="G40" s="97" t="str">
        <f t="shared" si="167"/>
        <v>Lista</v>
      </c>
      <c r="H40" s="97">
        <f t="shared" si="168"/>
        <v>0.23</v>
      </c>
      <c r="I40" s="97">
        <f t="shared" si="169"/>
        <v>0</v>
      </c>
      <c r="J40" s="96">
        <f t="shared" si="170"/>
        <v>69</v>
      </c>
      <c r="K40" s="94" t="str">
        <f t="shared" si="171"/>
        <v>Lista</v>
      </c>
      <c r="L40" s="98">
        <f t="shared" si="172"/>
        <v>0.14000000000000001</v>
      </c>
      <c r="M40" s="233" t="s">
        <v>114</v>
      </c>
      <c r="N40" s="100" t="str">
        <f t="shared" si="173"/>
        <v/>
      </c>
      <c r="O40" s="140" t="e">
        <f t="shared" ref="O40:O43" si="219">(N40*1.601)*1.05</f>
        <v>#VALUE!</v>
      </c>
      <c r="P40" s="102" t="e">
        <f t="shared" si="13"/>
        <v>#VALUE!</v>
      </c>
      <c r="Q40" s="102" t="str">
        <f t="shared" si="174"/>
        <v/>
      </c>
      <c r="R40" s="102">
        <f t="shared" si="175"/>
        <v>0</v>
      </c>
      <c r="S40" s="102" t="e">
        <f t="shared" si="16"/>
        <v>#VALUE!</v>
      </c>
      <c r="T40" s="103" t="e">
        <f t="shared" si="17"/>
        <v>#VALUE!</v>
      </c>
      <c r="U40" s="100" t="str">
        <f t="shared" si="176"/>
        <v/>
      </c>
      <c r="V40" s="141" t="e">
        <f t="shared" ref="V40:V43" si="220">U40*1.7245</f>
        <v>#VALUE!</v>
      </c>
      <c r="W40" s="105" t="e">
        <f t="shared" si="19"/>
        <v>#VALUE!</v>
      </c>
      <c r="X40" s="102" t="str">
        <f t="shared" si="177"/>
        <v/>
      </c>
      <c r="Y40" s="106">
        <f t="shared" si="178"/>
        <v>0</v>
      </c>
      <c r="Z40" s="142" t="e">
        <f t="shared" si="150"/>
        <v>#VALUE!</v>
      </c>
      <c r="AA40" s="143" t="e">
        <f t="shared" si="216"/>
        <v>#VALUE!</v>
      </c>
      <c r="AB40" s="100" t="str">
        <f t="shared" si="179"/>
        <v/>
      </c>
      <c r="AC40" s="140" t="e">
        <f t="shared" ref="AC40:AC41" si="221">(AB40*1.5955)*1.03</f>
        <v>#VALUE!</v>
      </c>
      <c r="AD40" s="102" t="e">
        <f t="shared" si="24"/>
        <v>#VALUE!</v>
      </c>
      <c r="AE40" s="102" t="str">
        <f t="shared" si="180"/>
        <v/>
      </c>
      <c r="AF40" s="102">
        <f t="shared" si="181"/>
        <v>0</v>
      </c>
      <c r="AG40" s="145" t="e">
        <f t="shared" si="27"/>
        <v>#VALUE!</v>
      </c>
      <c r="AH40" s="158" t="str">
        <f t="shared" ref="AH40:AH44" si="222">IFERROR(AF40/AC40,"")</f>
        <v/>
      </c>
      <c r="AI40" s="147" t="e">
        <f t="shared" si="103"/>
        <v>#VALUE!</v>
      </c>
      <c r="AJ40" s="111" t="str">
        <f t="shared" si="182"/>
        <v>0</v>
      </c>
      <c r="AK40" s="102">
        <f t="shared" si="31"/>
        <v>0</v>
      </c>
      <c r="AL40" s="102" t="e">
        <f t="shared" si="32"/>
        <v>#VALUE!</v>
      </c>
      <c r="AM40" s="102">
        <f t="shared" si="33"/>
        <v>0</v>
      </c>
      <c r="AN40" s="102">
        <f t="shared" si="34"/>
        <v>0</v>
      </c>
      <c r="AO40" s="112" t="e">
        <f t="shared" si="35"/>
        <v>#DIV/0!</v>
      </c>
      <c r="AP40" s="100" t="str">
        <f t="shared" si="183"/>
        <v/>
      </c>
      <c r="AQ40" s="113" t="e">
        <f t="shared" si="37"/>
        <v>#VALUE!</v>
      </c>
      <c r="AR40" s="114" t="str">
        <f t="shared" si="184"/>
        <v/>
      </c>
      <c r="AS40" s="115">
        <f t="shared" si="185"/>
        <v>0</v>
      </c>
      <c r="AT40" s="100" t="str">
        <f t="shared" si="186"/>
        <v/>
      </c>
      <c r="AU40" s="113" t="e">
        <f t="shared" si="41"/>
        <v>#VALUE!</v>
      </c>
      <c r="AV40" s="116" t="str">
        <f t="shared" si="187"/>
        <v/>
      </c>
      <c r="AW40" s="117">
        <f t="shared" si="188"/>
        <v>302275.17</v>
      </c>
      <c r="AX40" s="100" t="str">
        <f t="shared" si="189"/>
        <v/>
      </c>
      <c r="AY40" s="113" t="e">
        <f t="shared" si="45"/>
        <v>#VALUE!</v>
      </c>
      <c r="AZ40" s="114" t="str">
        <f t="shared" si="190"/>
        <v/>
      </c>
      <c r="BA40" s="100">
        <f t="shared" si="191"/>
        <v>130705.16</v>
      </c>
      <c r="BB40" s="118" t="e">
        <f t="shared" ref="BB40:BD40" si="223">BH40+AY40+AU40</f>
        <v>#VALUE!</v>
      </c>
      <c r="BC40" s="116" t="e">
        <f t="shared" si="223"/>
        <v>#VALUE!</v>
      </c>
      <c r="BD40" s="119">
        <f t="shared" si="223"/>
        <v>540958.73</v>
      </c>
      <c r="BE40" s="118" t="e">
        <f t="shared" si="49"/>
        <v>#VALUE!</v>
      </c>
      <c r="BF40" s="116" t="e">
        <f t="shared" si="50"/>
        <v>#VALUE!</v>
      </c>
      <c r="BG40" s="119">
        <f t="shared" si="51"/>
        <v>540958.73</v>
      </c>
      <c r="BH40" s="114" t="e">
        <f t="shared" si="52"/>
        <v>#VALUE!</v>
      </c>
      <c r="BI40" s="114" t="str">
        <f t="shared" si="193"/>
        <v/>
      </c>
      <c r="BJ40" s="115">
        <f t="shared" si="194"/>
        <v>107978.4</v>
      </c>
      <c r="BK40" s="125" t="str">
        <f t="shared" si="195"/>
        <v/>
      </c>
      <c r="BL40" s="120" t="e">
        <f t="shared" si="56"/>
        <v>#VALUE!</v>
      </c>
      <c r="BM40" s="121" t="str">
        <f t="shared" si="196"/>
        <v/>
      </c>
      <c r="BN40" s="119">
        <f t="shared" si="197"/>
        <v>74196</v>
      </c>
      <c r="BO40" s="125" t="str">
        <f t="shared" si="198"/>
        <v/>
      </c>
      <c r="BP40" s="140" t="e">
        <f t="shared" si="60"/>
        <v>#VALUE!</v>
      </c>
      <c r="BQ40" s="123" t="str">
        <f t="shared" si="199"/>
        <v/>
      </c>
      <c r="BR40" s="125">
        <f t="shared" si="200"/>
        <v>0</v>
      </c>
      <c r="BS40" s="122" t="e">
        <f t="shared" si="63"/>
        <v>#VALUE!</v>
      </c>
      <c r="BT40" s="123">
        <f t="shared" ref="BT40:BU40" si="224">SUM(BI40,BM40,BQ40)</f>
        <v>0</v>
      </c>
      <c r="BU40" s="124">
        <f t="shared" si="224"/>
        <v>182174.4</v>
      </c>
      <c r="BV40" s="125" t="str">
        <f t="shared" si="202"/>
        <v/>
      </c>
      <c r="BW40" s="122" t="e">
        <f t="shared" si="66"/>
        <v>#VALUE!</v>
      </c>
      <c r="BX40" s="123" t="str">
        <f t="shared" si="203"/>
        <v/>
      </c>
      <c r="BY40" s="124">
        <f t="shared" si="204"/>
        <v>109891.4</v>
      </c>
      <c r="BZ40" s="125" t="str">
        <f t="shared" si="205"/>
        <v/>
      </c>
      <c r="CA40" s="140"/>
      <c r="CB40" s="123"/>
      <c r="CC40" s="148"/>
      <c r="CD40" s="123" t="str">
        <f t="shared" si="206"/>
        <v/>
      </c>
      <c r="CF40" s="126"/>
    </row>
    <row r="41" spans="1:84" ht="14">
      <c r="A41" s="92">
        <f t="shared" si="166"/>
        <v>112014727</v>
      </c>
      <c r="B41" s="172">
        <f t="shared" ref="B41:B72" si="225">IFERROR(VLOOKUP(M41,BASILECARTERA,2,FALSE),"")</f>
        <v>7</v>
      </c>
      <c r="C41" s="137">
        <f>IFERROR(VLOOKUP(B41,DES,2,FALSE),"")</f>
        <v>0.1</v>
      </c>
      <c r="D41" s="137">
        <f>IFERROR(VLOOKUP(B41,DES,3,FALSE),"")</f>
        <v>0.2</v>
      </c>
      <c r="E41" s="138">
        <f>IFERROR(VLOOKUP(B41,DES,4,FALSE),"")</f>
        <v>0</v>
      </c>
      <c r="F41" s="193">
        <f>IFERROR(VLOOKUP(M41,BASILECART2,2,FALSE),"")</f>
        <v>4</v>
      </c>
      <c r="G41" s="97" t="str">
        <f t="shared" si="167"/>
        <v>Lista</v>
      </c>
      <c r="H41" s="97">
        <f t="shared" si="168"/>
        <v>0.2</v>
      </c>
      <c r="I41" s="97">
        <f t="shared" si="169"/>
        <v>0</v>
      </c>
      <c r="J41" s="96">
        <f t="shared" si="170"/>
        <v>70</v>
      </c>
      <c r="K41" s="94" t="str">
        <f t="shared" si="171"/>
        <v>Lista</v>
      </c>
      <c r="L41" s="98">
        <f t="shared" si="172"/>
        <v>0.11</v>
      </c>
      <c r="M41" s="189" t="s">
        <v>115</v>
      </c>
      <c r="N41" s="100" t="str">
        <f t="shared" si="173"/>
        <v/>
      </c>
      <c r="O41" s="140" t="e">
        <f t="shared" si="219"/>
        <v>#VALUE!</v>
      </c>
      <c r="P41" s="102" t="e">
        <f t="shared" si="13"/>
        <v>#VALUE!</v>
      </c>
      <c r="Q41" s="102" t="str">
        <f t="shared" si="174"/>
        <v/>
      </c>
      <c r="R41" s="102">
        <f t="shared" si="175"/>
        <v>0</v>
      </c>
      <c r="S41" s="102" t="e">
        <f t="shared" si="16"/>
        <v>#VALUE!</v>
      </c>
      <c r="T41" s="103" t="e">
        <f t="shared" si="17"/>
        <v>#VALUE!</v>
      </c>
      <c r="U41" s="100" t="str">
        <f t="shared" si="176"/>
        <v/>
      </c>
      <c r="V41" s="141" t="e">
        <f t="shared" si="220"/>
        <v>#VALUE!</v>
      </c>
      <c r="W41" s="105" t="e">
        <f t="shared" si="19"/>
        <v>#VALUE!</v>
      </c>
      <c r="X41" s="102" t="str">
        <f t="shared" si="177"/>
        <v/>
      </c>
      <c r="Y41" s="106">
        <f t="shared" si="178"/>
        <v>0</v>
      </c>
      <c r="Z41" s="142" t="e">
        <f t="shared" si="150"/>
        <v>#VALUE!</v>
      </c>
      <c r="AA41" s="143" t="e">
        <f t="shared" si="216"/>
        <v>#VALUE!</v>
      </c>
      <c r="AB41" s="100" t="str">
        <f t="shared" si="179"/>
        <v/>
      </c>
      <c r="AC41" s="140" t="e">
        <f t="shared" si="221"/>
        <v>#VALUE!</v>
      </c>
      <c r="AD41" s="102" t="e">
        <f t="shared" si="24"/>
        <v>#VALUE!</v>
      </c>
      <c r="AE41" s="102" t="str">
        <f t="shared" si="180"/>
        <v/>
      </c>
      <c r="AF41" s="102">
        <f t="shared" si="181"/>
        <v>0</v>
      </c>
      <c r="AG41" s="145" t="e">
        <f t="shared" si="27"/>
        <v>#VALUE!</v>
      </c>
      <c r="AH41" s="158" t="str">
        <f t="shared" si="222"/>
        <v/>
      </c>
      <c r="AI41" s="147" t="e">
        <f t="shared" si="103"/>
        <v>#VALUE!</v>
      </c>
      <c r="AJ41" s="111" t="str">
        <f t="shared" si="182"/>
        <v>0</v>
      </c>
      <c r="AK41" s="102">
        <f t="shared" si="31"/>
        <v>0</v>
      </c>
      <c r="AL41" s="102" t="e">
        <f t="shared" si="32"/>
        <v>#VALUE!</v>
      </c>
      <c r="AM41" s="102">
        <f t="shared" si="33"/>
        <v>0</v>
      </c>
      <c r="AN41" s="102">
        <f t="shared" si="34"/>
        <v>0</v>
      </c>
      <c r="AO41" s="112" t="e">
        <f t="shared" si="35"/>
        <v>#DIV/0!</v>
      </c>
      <c r="AP41" s="100" t="str">
        <f t="shared" si="183"/>
        <v/>
      </c>
      <c r="AQ41" s="113" t="e">
        <f t="shared" si="37"/>
        <v>#VALUE!</v>
      </c>
      <c r="AR41" s="114" t="str">
        <f t="shared" si="184"/>
        <v/>
      </c>
      <c r="AS41" s="115">
        <f t="shared" si="185"/>
        <v>0</v>
      </c>
      <c r="AT41" s="100" t="str">
        <f t="shared" si="186"/>
        <v/>
      </c>
      <c r="AU41" s="113" t="e">
        <f t="shared" si="41"/>
        <v>#VALUE!</v>
      </c>
      <c r="AV41" s="116" t="str">
        <f t="shared" si="187"/>
        <v/>
      </c>
      <c r="AW41" s="117">
        <f t="shared" si="188"/>
        <v>0</v>
      </c>
      <c r="AX41" s="100" t="str">
        <f t="shared" si="189"/>
        <v/>
      </c>
      <c r="AY41" s="113" t="e">
        <f t="shared" si="45"/>
        <v>#VALUE!</v>
      </c>
      <c r="AZ41" s="114" t="str">
        <f t="shared" si="190"/>
        <v/>
      </c>
      <c r="BA41" s="100">
        <f t="shared" si="191"/>
        <v>0</v>
      </c>
      <c r="BB41" s="118" t="e">
        <f t="shared" ref="BB41:BD41" si="226">BH41+AY41+AU41</f>
        <v>#VALUE!</v>
      </c>
      <c r="BC41" s="116" t="e">
        <f t="shared" si="226"/>
        <v>#VALUE!</v>
      </c>
      <c r="BD41" s="119">
        <f t="shared" si="226"/>
        <v>66506.600000000006</v>
      </c>
      <c r="BE41" s="118" t="e">
        <f t="shared" si="49"/>
        <v>#VALUE!</v>
      </c>
      <c r="BF41" s="116" t="e">
        <f t="shared" si="50"/>
        <v>#VALUE!</v>
      </c>
      <c r="BG41" s="119">
        <f t="shared" si="51"/>
        <v>66506.600000000006</v>
      </c>
      <c r="BH41" s="114" t="e">
        <f t="shared" si="52"/>
        <v>#VALUE!</v>
      </c>
      <c r="BI41" s="114" t="str">
        <f t="shared" si="193"/>
        <v/>
      </c>
      <c r="BJ41" s="115">
        <f t="shared" si="194"/>
        <v>66506.600000000006</v>
      </c>
      <c r="BK41" s="125" t="str">
        <f t="shared" si="195"/>
        <v/>
      </c>
      <c r="BL41" s="120" t="e">
        <f t="shared" si="56"/>
        <v>#VALUE!</v>
      </c>
      <c r="BM41" s="121" t="str">
        <f t="shared" si="196"/>
        <v/>
      </c>
      <c r="BN41" s="119">
        <f t="shared" si="197"/>
        <v>0</v>
      </c>
      <c r="BO41" s="125" t="str">
        <f t="shared" si="198"/>
        <v/>
      </c>
      <c r="BP41" s="140" t="e">
        <f t="shared" si="60"/>
        <v>#VALUE!</v>
      </c>
      <c r="BQ41" s="123" t="str">
        <f t="shared" si="199"/>
        <v/>
      </c>
      <c r="BR41" s="125">
        <f t="shared" si="200"/>
        <v>0</v>
      </c>
      <c r="BS41" s="122" t="e">
        <f t="shared" si="63"/>
        <v>#VALUE!</v>
      </c>
      <c r="BT41" s="123">
        <f t="shared" ref="BT41:BU41" si="227">SUM(BI41,BM41,BQ41)</f>
        <v>0</v>
      </c>
      <c r="BU41" s="124">
        <f t="shared" si="227"/>
        <v>66506.600000000006</v>
      </c>
      <c r="BV41" s="125" t="str">
        <f t="shared" si="202"/>
        <v/>
      </c>
      <c r="BW41" s="122" t="e">
        <f t="shared" si="66"/>
        <v>#VALUE!</v>
      </c>
      <c r="BX41" s="123" t="str">
        <f t="shared" si="203"/>
        <v/>
      </c>
      <c r="BY41" s="124">
        <f t="shared" si="204"/>
        <v>0</v>
      </c>
      <c r="BZ41" s="125" t="str">
        <f t="shared" si="205"/>
        <v/>
      </c>
      <c r="CA41" s="140"/>
      <c r="CB41" s="123"/>
      <c r="CC41" s="148"/>
      <c r="CD41" s="123" t="str">
        <f t="shared" si="206"/>
        <v/>
      </c>
      <c r="CF41" s="126"/>
    </row>
    <row r="42" spans="1:84" ht="13">
      <c r="A42" s="92">
        <f t="shared" si="166"/>
        <v>112014269</v>
      </c>
      <c r="B42" s="172">
        <f t="shared" si="225"/>
        <v>7</v>
      </c>
      <c r="C42" s="137">
        <f>IFERROR(VLOOKUP(B42,DES,2,FALSE),"")</f>
        <v>0.1</v>
      </c>
      <c r="D42" s="137">
        <f>IFERROR(VLOOKUP(B42,DES,3,FALSE),"")</f>
        <v>0.2</v>
      </c>
      <c r="E42" s="138">
        <f>IFERROR(VLOOKUP(B42,DES,4,FALSE),"")</f>
        <v>0</v>
      </c>
      <c r="F42" s="193">
        <f>IFERROR(VLOOKUP(M42,BASILECART2,2,FALSE),"")</f>
        <v>4</v>
      </c>
      <c r="G42" s="97" t="str">
        <f t="shared" si="167"/>
        <v>Lista</v>
      </c>
      <c r="H42" s="97">
        <f t="shared" si="168"/>
        <v>0.2</v>
      </c>
      <c r="I42" s="97">
        <f t="shared" si="169"/>
        <v>0</v>
      </c>
      <c r="J42" s="96">
        <f t="shared" si="170"/>
        <v>70</v>
      </c>
      <c r="K42" s="94" t="str">
        <f t="shared" si="171"/>
        <v>Lista</v>
      </c>
      <c r="L42" s="98">
        <f t="shared" si="172"/>
        <v>0.11</v>
      </c>
      <c r="M42" s="139" t="s">
        <v>116</v>
      </c>
      <c r="N42" s="100">
        <f t="shared" si="173"/>
        <v>290461.28000000003</v>
      </c>
      <c r="O42" s="140">
        <f t="shared" si="219"/>
        <v>488279.93474400009</v>
      </c>
      <c r="P42" s="102">
        <f t="shared" si="13"/>
        <v>0</v>
      </c>
      <c r="Q42" s="102">
        <f t="shared" si="174"/>
        <v>70424.800000000003</v>
      </c>
      <c r="R42" s="102">
        <f t="shared" si="175"/>
        <v>70424.800000000003</v>
      </c>
      <c r="S42" s="102">
        <f t="shared" si="16"/>
        <v>-417855.1347440001</v>
      </c>
      <c r="T42" s="103">
        <f t="shared" si="17"/>
        <v>0.14423037890533627</v>
      </c>
      <c r="U42" s="100">
        <f t="shared" si="176"/>
        <v>648368.77</v>
      </c>
      <c r="V42" s="141">
        <f t="shared" si="220"/>
        <v>1118111.943865</v>
      </c>
      <c r="W42" s="105">
        <f t="shared" si="19"/>
        <v>49950.73000000001</v>
      </c>
      <c r="X42" s="102">
        <f t="shared" si="177"/>
        <v>167276.07999999999</v>
      </c>
      <c r="Y42" s="106">
        <f t="shared" si="178"/>
        <v>217226.81</v>
      </c>
      <c r="Z42" s="142">
        <f t="shared" si="150"/>
        <v>-900885.13386499998</v>
      </c>
      <c r="AA42" s="143">
        <f t="shared" si="216"/>
        <v>0.19428001926990218</v>
      </c>
      <c r="AB42" s="100">
        <f t="shared" si="179"/>
        <v>700395.87</v>
      </c>
      <c r="AC42" s="236">
        <v>1800000</v>
      </c>
      <c r="AD42" s="102">
        <f t="shared" si="24"/>
        <v>484923.03</v>
      </c>
      <c r="AE42" s="102">
        <f t="shared" si="180"/>
        <v>475726.52</v>
      </c>
      <c r="AF42" s="102">
        <f t="shared" si="181"/>
        <v>960649.55</v>
      </c>
      <c r="AG42" s="145">
        <f t="shared" si="27"/>
        <v>-839350.45</v>
      </c>
      <c r="AH42" s="158">
        <f t="shared" si="222"/>
        <v>0.53369419444444444</v>
      </c>
      <c r="AI42" s="147">
        <f t="shared" si="103"/>
        <v>3406391.8786090002</v>
      </c>
      <c r="AJ42" s="111">
        <f t="shared" si="182"/>
        <v>1473877.74</v>
      </c>
      <c r="AK42" s="102">
        <f t="shared" si="31"/>
        <v>713427.4</v>
      </c>
      <c r="AL42" s="102">
        <f t="shared" si="32"/>
        <v>534873.76</v>
      </c>
      <c r="AM42" s="102">
        <f t="shared" si="33"/>
        <v>1248301.1600000001</v>
      </c>
      <c r="AN42" s="102">
        <f t="shared" si="34"/>
        <v>-225576.57999999984</v>
      </c>
      <c r="AO42" s="112">
        <f t="shared" si="35"/>
        <v>0.84695027689338753</v>
      </c>
      <c r="AP42" s="100">
        <f t="shared" si="183"/>
        <v>341258.02</v>
      </c>
      <c r="AQ42" s="113">
        <f t="shared" si="37"/>
        <v>155852.9800000001</v>
      </c>
      <c r="AR42" s="114">
        <f t="shared" si="184"/>
        <v>614687.19999999995</v>
      </c>
      <c r="AS42" s="115">
        <f t="shared" si="185"/>
        <v>770540.18</v>
      </c>
      <c r="AT42" s="100">
        <f t="shared" si="186"/>
        <v>356180.97</v>
      </c>
      <c r="AU42" s="113">
        <f t="shared" si="41"/>
        <v>442406.68999999994</v>
      </c>
      <c r="AV42" s="116">
        <f t="shared" si="187"/>
        <v>428007.76</v>
      </c>
      <c r="AW42" s="117">
        <f t="shared" si="188"/>
        <v>870414.45</v>
      </c>
      <c r="AX42" s="100">
        <f t="shared" si="189"/>
        <v>243543.13</v>
      </c>
      <c r="AY42" s="113">
        <f t="shared" si="45"/>
        <v>70403.31</v>
      </c>
      <c r="AZ42" s="114">
        <f t="shared" si="190"/>
        <v>185073.12</v>
      </c>
      <c r="BA42" s="100">
        <f t="shared" si="191"/>
        <v>255476.43</v>
      </c>
      <c r="BB42" s="118">
        <f t="shared" ref="BB42:BD42" si="228">BH42+AY42+AU42</f>
        <v>661546.89999999991</v>
      </c>
      <c r="BC42" s="116">
        <f t="shared" si="228"/>
        <v>714717.2</v>
      </c>
      <c r="BD42" s="119">
        <f t="shared" si="228"/>
        <v>1376264.1</v>
      </c>
      <c r="BE42" s="118">
        <f t="shared" si="49"/>
        <v>1196420.6599999999</v>
      </c>
      <c r="BF42" s="116">
        <f t="shared" si="50"/>
        <v>1428144.6</v>
      </c>
      <c r="BG42" s="119">
        <f t="shared" si="51"/>
        <v>2624565.2600000002</v>
      </c>
      <c r="BH42" s="114">
        <f t="shared" si="52"/>
        <v>148736.9</v>
      </c>
      <c r="BI42" s="114">
        <f t="shared" si="193"/>
        <v>101636.32</v>
      </c>
      <c r="BJ42" s="115">
        <f t="shared" si="194"/>
        <v>250373.22</v>
      </c>
      <c r="BK42" s="125">
        <f t="shared" si="195"/>
        <v>496102.28</v>
      </c>
      <c r="BL42" s="120">
        <f t="shared" si="56"/>
        <v>150868.96999999997</v>
      </c>
      <c r="BM42" s="121">
        <f t="shared" si="196"/>
        <v>286381.84000000003</v>
      </c>
      <c r="BN42" s="119">
        <f t="shared" si="197"/>
        <v>437250.81</v>
      </c>
      <c r="BO42" s="125">
        <f t="shared" si="198"/>
        <v>581941.86</v>
      </c>
      <c r="BP42" s="140">
        <f t="shared" si="60"/>
        <v>50083.410000000033</v>
      </c>
      <c r="BQ42" s="123">
        <f t="shared" si="199"/>
        <v>318820.15999999997</v>
      </c>
      <c r="BR42" s="125">
        <f t="shared" si="200"/>
        <v>368903.57</v>
      </c>
      <c r="BS42" s="122">
        <f t="shared" si="63"/>
        <v>349689.28</v>
      </c>
      <c r="BT42" s="123">
        <f t="shared" ref="BT42:BU42" si="229">SUM(BI42,BM42,BQ42)</f>
        <v>706838.32000000007</v>
      </c>
      <c r="BU42" s="124">
        <f t="shared" si="229"/>
        <v>1056527.6000000001</v>
      </c>
      <c r="BV42" s="125">
        <f t="shared" si="202"/>
        <v>535352.01</v>
      </c>
      <c r="BW42" s="122">
        <f t="shared" si="66"/>
        <v>565899.92999999993</v>
      </c>
      <c r="BX42" s="123">
        <f t="shared" si="203"/>
        <v>350451.32</v>
      </c>
      <c r="BY42" s="124">
        <f t="shared" si="204"/>
        <v>916351.25</v>
      </c>
      <c r="BZ42" s="125">
        <f t="shared" si="205"/>
        <v>359544.11</v>
      </c>
      <c r="CA42" s="140"/>
      <c r="CB42" s="123"/>
      <c r="CC42" s="148"/>
      <c r="CD42" s="123">
        <f t="shared" si="206"/>
        <v>578981.62</v>
      </c>
      <c r="CF42" s="126"/>
    </row>
    <row r="43" spans="1:84" ht="13">
      <c r="A43" s="92">
        <f t="shared" si="166"/>
        <v>112012099</v>
      </c>
      <c r="B43" s="172">
        <f t="shared" si="225"/>
        <v>7</v>
      </c>
      <c r="C43" s="137">
        <f>IFERROR(VLOOKUP(B43,DES,2,FALSE),"")</f>
        <v>0.1</v>
      </c>
      <c r="D43" s="137">
        <f>IFERROR(VLOOKUP(B43,DES,3,FALSE),"")</f>
        <v>0.2</v>
      </c>
      <c r="E43" s="138">
        <f>IFERROR(VLOOKUP(B43,DES,4,FALSE),"")</f>
        <v>0</v>
      </c>
      <c r="F43" s="193">
        <f>IFERROR(VLOOKUP(M43,BASILECART2,2,FALSE),"")</f>
        <v>4</v>
      </c>
      <c r="G43" s="97" t="str">
        <f t="shared" si="167"/>
        <v>Lista</v>
      </c>
      <c r="H43" s="97">
        <f t="shared" si="168"/>
        <v>0.2</v>
      </c>
      <c r="I43" s="97">
        <f t="shared" si="169"/>
        <v>0</v>
      </c>
      <c r="J43" s="96">
        <f t="shared" si="170"/>
        <v>70</v>
      </c>
      <c r="K43" s="94" t="str">
        <f t="shared" si="171"/>
        <v>Lista</v>
      </c>
      <c r="L43" s="98">
        <f t="shared" si="172"/>
        <v>0.11</v>
      </c>
      <c r="M43" s="139" t="s">
        <v>117</v>
      </c>
      <c r="N43" s="100">
        <f t="shared" si="173"/>
        <v>230720.81</v>
      </c>
      <c r="O43" s="140">
        <f t="shared" si="219"/>
        <v>387853.21765050001</v>
      </c>
      <c r="P43" s="102">
        <f t="shared" si="13"/>
        <v>0</v>
      </c>
      <c r="Q43" s="102">
        <f t="shared" si="174"/>
        <v>0</v>
      </c>
      <c r="R43" s="102">
        <f t="shared" si="175"/>
        <v>0</v>
      </c>
      <c r="S43" s="102">
        <f t="shared" si="16"/>
        <v>-387853.21765050001</v>
      </c>
      <c r="T43" s="103">
        <f t="shared" si="17"/>
        <v>0</v>
      </c>
      <c r="U43" s="100">
        <f t="shared" si="176"/>
        <v>124715.62</v>
      </c>
      <c r="V43" s="141">
        <f t="shared" si="220"/>
        <v>215072.08669</v>
      </c>
      <c r="W43" s="105">
        <f t="shared" si="19"/>
        <v>0</v>
      </c>
      <c r="X43" s="102">
        <f t="shared" si="177"/>
        <v>0</v>
      </c>
      <c r="Y43" s="106">
        <f t="shared" si="178"/>
        <v>0</v>
      </c>
      <c r="Z43" s="142">
        <f t="shared" si="150"/>
        <v>-215072.08669</v>
      </c>
      <c r="AA43" s="143">
        <f t="shared" si="216"/>
        <v>0</v>
      </c>
      <c r="AB43" s="100">
        <f t="shared" si="179"/>
        <v>62609.96</v>
      </c>
      <c r="AC43" s="140">
        <f>(AB43*1.5955)*1.03</f>
        <v>102891.0169154</v>
      </c>
      <c r="AD43" s="102">
        <f t="shared" si="24"/>
        <v>0</v>
      </c>
      <c r="AE43" s="102">
        <f t="shared" si="180"/>
        <v>310137.34999999998</v>
      </c>
      <c r="AF43" s="102">
        <f t="shared" si="181"/>
        <v>310137.34999999998</v>
      </c>
      <c r="AG43" s="145">
        <f t="shared" si="27"/>
        <v>207246.33308459999</v>
      </c>
      <c r="AH43" s="158">
        <f t="shared" si="222"/>
        <v>3.0142315558510222</v>
      </c>
      <c r="AI43" s="147">
        <f t="shared" si="103"/>
        <v>705816.32125590008</v>
      </c>
      <c r="AJ43" s="111">
        <f t="shared" si="182"/>
        <v>603780.80000000005</v>
      </c>
      <c r="AK43" s="102">
        <f t="shared" si="31"/>
        <v>310137.34999999998</v>
      </c>
      <c r="AL43" s="102">
        <f t="shared" si="32"/>
        <v>0</v>
      </c>
      <c r="AM43" s="102">
        <f t="shared" si="33"/>
        <v>310137.34999999998</v>
      </c>
      <c r="AN43" s="102">
        <f t="shared" si="34"/>
        <v>-293643.45000000007</v>
      </c>
      <c r="AO43" s="112">
        <f t="shared" si="35"/>
        <v>0.51365884771426973</v>
      </c>
      <c r="AP43" s="100">
        <f t="shared" si="183"/>
        <v>175634.51</v>
      </c>
      <c r="AQ43" s="113">
        <f t="shared" si="37"/>
        <v>0</v>
      </c>
      <c r="AR43" s="114">
        <f t="shared" si="184"/>
        <v>208953.91</v>
      </c>
      <c r="AS43" s="115">
        <f t="shared" si="185"/>
        <v>208953.91</v>
      </c>
      <c r="AT43" s="100">
        <f t="shared" si="186"/>
        <v>190776.76</v>
      </c>
      <c r="AU43" s="113">
        <f t="shared" si="41"/>
        <v>0</v>
      </c>
      <c r="AV43" s="116">
        <f t="shared" si="187"/>
        <v>106357.15</v>
      </c>
      <c r="AW43" s="117">
        <f t="shared" si="188"/>
        <v>106357.15</v>
      </c>
      <c r="AX43" s="100">
        <f t="shared" si="189"/>
        <v>40352.35</v>
      </c>
      <c r="AY43" s="113">
        <f t="shared" si="45"/>
        <v>0</v>
      </c>
      <c r="AZ43" s="114">
        <f t="shared" si="190"/>
        <v>61332.11</v>
      </c>
      <c r="BA43" s="100">
        <f t="shared" si="191"/>
        <v>61332.11</v>
      </c>
      <c r="BB43" s="118">
        <f t="shared" ref="BB43:BD43" si="230">BH43+AY43+AU43</f>
        <v>0</v>
      </c>
      <c r="BC43" s="116">
        <f t="shared" si="230"/>
        <v>294950.27</v>
      </c>
      <c r="BD43" s="119">
        <f t="shared" si="230"/>
        <v>294950.27</v>
      </c>
      <c r="BE43" s="118">
        <f t="shared" si="49"/>
        <v>0</v>
      </c>
      <c r="BF43" s="116">
        <f t="shared" si="50"/>
        <v>605087.62</v>
      </c>
      <c r="BG43" s="119">
        <f t="shared" si="51"/>
        <v>605087.62</v>
      </c>
      <c r="BH43" s="114">
        <f t="shared" si="52"/>
        <v>0</v>
      </c>
      <c r="BI43" s="114">
        <f t="shared" si="193"/>
        <v>127261.01</v>
      </c>
      <c r="BJ43" s="115">
        <f t="shared" si="194"/>
        <v>127261.01</v>
      </c>
      <c r="BK43" s="125">
        <f t="shared" si="195"/>
        <v>126358.66</v>
      </c>
      <c r="BL43" s="120">
        <f t="shared" si="56"/>
        <v>0</v>
      </c>
      <c r="BM43" s="121">
        <f t="shared" si="196"/>
        <v>88621.49</v>
      </c>
      <c r="BN43" s="119">
        <f t="shared" si="197"/>
        <v>88621.49</v>
      </c>
      <c r="BO43" s="125">
        <f t="shared" si="198"/>
        <v>140914.92000000001</v>
      </c>
      <c r="BP43" s="140">
        <f t="shared" si="60"/>
        <v>0</v>
      </c>
      <c r="BQ43" s="123">
        <f t="shared" si="199"/>
        <v>53703.11</v>
      </c>
      <c r="BR43" s="125">
        <f t="shared" si="200"/>
        <v>53703.11</v>
      </c>
      <c r="BS43" s="122">
        <f t="shared" si="63"/>
        <v>0</v>
      </c>
      <c r="BT43" s="123">
        <f t="shared" ref="BT43:BU43" si="231">SUM(BI43,BM43,BQ43)</f>
        <v>269585.61</v>
      </c>
      <c r="BU43" s="124">
        <f t="shared" si="231"/>
        <v>269585.61</v>
      </c>
      <c r="BV43" s="125">
        <f t="shared" si="202"/>
        <v>132077.64000000001</v>
      </c>
      <c r="BW43" s="122">
        <f t="shared" si="66"/>
        <v>0</v>
      </c>
      <c r="BX43" s="123">
        <f t="shared" si="203"/>
        <v>0</v>
      </c>
      <c r="BY43" s="124">
        <f t="shared" si="204"/>
        <v>0</v>
      </c>
      <c r="BZ43" s="125">
        <f t="shared" si="205"/>
        <v>370899.53</v>
      </c>
      <c r="CA43" s="140"/>
      <c r="CB43" s="123"/>
      <c r="CC43" s="148"/>
      <c r="CD43" s="123">
        <f t="shared" si="206"/>
        <v>100803.63</v>
      </c>
      <c r="CF43" s="149"/>
    </row>
    <row r="44" spans="1:84" ht="14">
      <c r="A44" s="92">
        <f t="shared" si="166"/>
        <v>112014654</v>
      </c>
      <c r="B44" s="172">
        <f t="shared" si="225"/>
        <v>8</v>
      </c>
      <c r="C44" s="137">
        <f>VLOOKUP(B44,DES,2,FALSE)</f>
        <v>0.1</v>
      </c>
      <c r="D44" s="234">
        <f>VLOOKUP(B44,DES,3,FALSE)</f>
        <v>0.2</v>
      </c>
      <c r="E44" s="238">
        <f>VLOOKUP(B44,DES,4,FALSE)</f>
        <v>0.23</v>
      </c>
      <c r="F44" s="193">
        <f>IFERROR(VLOOKUP(M44,BASILECART2,2,FALSE),"")</f>
        <v>3</v>
      </c>
      <c r="G44" s="97" t="str">
        <f t="shared" si="167"/>
        <v>Lista</v>
      </c>
      <c r="H44" s="97">
        <f t="shared" si="168"/>
        <v>0.2</v>
      </c>
      <c r="I44" s="97">
        <f t="shared" si="169"/>
        <v>0.23</v>
      </c>
      <c r="J44" s="96">
        <f t="shared" si="170"/>
        <v>70</v>
      </c>
      <c r="K44" s="94" t="str">
        <f t="shared" si="171"/>
        <v>Lista</v>
      </c>
      <c r="L44" s="98">
        <f t="shared" si="172"/>
        <v>0.11</v>
      </c>
      <c r="M44" s="139" t="s">
        <v>118</v>
      </c>
      <c r="N44" s="100" t="str">
        <f t="shared" si="173"/>
        <v/>
      </c>
      <c r="O44" s="236"/>
      <c r="P44" s="102">
        <f t="shared" si="13"/>
        <v>0</v>
      </c>
      <c r="Q44" s="102">
        <f t="shared" si="174"/>
        <v>0</v>
      </c>
      <c r="R44" s="102">
        <f t="shared" si="175"/>
        <v>0</v>
      </c>
      <c r="S44" s="102">
        <f t="shared" si="16"/>
        <v>0</v>
      </c>
      <c r="T44" s="103" t="e">
        <f t="shared" si="17"/>
        <v>#DIV/0!</v>
      </c>
      <c r="U44" s="100" t="str">
        <f t="shared" si="176"/>
        <v/>
      </c>
      <c r="V44" s="237"/>
      <c r="W44" s="105">
        <f t="shared" si="19"/>
        <v>113229</v>
      </c>
      <c r="X44" s="102">
        <f t="shared" si="177"/>
        <v>82296.88</v>
      </c>
      <c r="Y44" s="106">
        <f t="shared" si="178"/>
        <v>195525.88</v>
      </c>
      <c r="Z44" s="142"/>
      <c r="AA44" s="143"/>
      <c r="AB44" s="100" t="str">
        <f t="shared" si="179"/>
        <v/>
      </c>
      <c r="AC44" s="144">
        <v>600000</v>
      </c>
      <c r="AD44" s="102">
        <f t="shared" si="24"/>
        <v>0</v>
      </c>
      <c r="AE44" s="102">
        <f t="shared" si="180"/>
        <v>0</v>
      </c>
      <c r="AF44" s="102">
        <f t="shared" si="181"/>
        <v>0</v>
      </c>
      <c r="AG44" s="145">
        <f t="shared" si="27"/>
        <v>-600000</v>
      </c>
      <c r="AH44" s="158">
        <f t="shared" si="222"/>
        <v>0</v>
      </c>
      <c r="AI44" s="147">
        <f t="shared" si="103"/>
        <v>600000</v>
      </c>
      <c r="AJ44" s="111" t="str">
        <f t="shared" si="182"/>
        <v>0</v>
      </c>
      <c r="AK44" s="102">
        <f t="shared" si="31"/>
        <v>82296.88</v>
      </c>
      <c r="AL44" s="102">
        <f t="shared" si="32"/>
        <v>113229</v>
      </c>
      <c r="AM44" s="102">
        <f t="shared" si="33"/>
        <v>195525.88</v>
      </c>
      <c r="AN44" s="102">
        <f t="shared" si="34"/>
        <v>195525.88</v>
      </c>
      <c r="AO44" s="112" t="e">
        <f t="shared" si="35"/>
        <v>#DIV/0!</v>
      </c>
      <c r="AP44" s="100" t="str">
        <f t="shared" si="183"/>
        <v/>
      </c>
      <c r="AQ44" s="113">
        <f t="shared" si="37"/>
        <v>122042.28000000003</v>
      </c>
      <c r="AR44" s="114">
        <f t="shared" si="184"/>
        <v>332310.15999999997</v>
      </c>
      <c r="AS44" s="115">
        <f t="shared" si="185"/>
        <v>454352.44</v>
      </c>
      <c r="AT44" s="100" t="str">
        <f t="shared" si="186"/>
        <v/>
      </c>
      <c r="AU44" s="113">
        <f t="shared" si="41"/>
        <v>0</v>
      </c>
      <c r="AV44" s="116">
        <f t="shared" si="187"/>
        <v>150886.76</v>
      </c>
      <c r="AW44" s="117">
        <f t="shared" si="188"/>
        <v>150886.76</v>
      </c>
      <c r="AX44" s="100" t="str">
        <f t="shared" si="189"/>
        <v/>
      </c>
      <c r="AY44" s="113">
        <f t="shared" si="45"/>
        <v>30993.040000000008</v>
      </c>
      <c r="AZ44" s="114">
        <f t="shared" si="190"/>
        <v>116322.34</v>
      </c>
      <c r="BA44" s="100">
        <f t="shared" si="191"/>
        <v>147315.38</v>
      </c>
      <c r="BB44" s="118">
        <f t="shared" ref="BB44:BD44" si="232">BH44+AY44+AU44</f>
        <v>30993.040000000008</v>
      </c>
      <c r="BC44" s="116">
        <f t="shared" si="232"/>
        <v>267209.09999999998</v>
      </c>
      <c r="BD44" s="119">
        <f t="shared" si="232"/>
        <v>298202.14</v>
      </c>
      <c r="BE44" s="118">
        <f t="shared" si="49"/>
        <v>144222.04</v>
      </c>
      <c r="BF44" s="116">
        <f t="shared" si="50"/>
        <v>349505.98</v>
      </c>
      <c r="BG44" s="119">
        <f t="shared" si="51"/>
        <v>493728.02</v>
      </c>
      <c r="BH44" s="114">
        <f t="shared" si="52"/>
        <v>0</v>
      </c>
      <c r="BI44" s="114">
        <f t="shared" si="193"/>
        <v>0</v>
      </c>
      <c r="BJ44" s="115">
        <f t="shared" si="194"/>
        <v>0</v>
      </c>
      <c r="BK44" s="125" t="str">
        <f t="shared" si="195"/>
        <v/>
      </c>
      <c r="BL44" s="120">
        <f t="shared" si="56"/>
        <v>0</v>
      </c>
      <c r="BM44" s="121">
        <f t="shared" si="196"/>
        <v>226330.14</v>
      </c>
      <c r="BN44" s="119">
        <f t="shared" si="197"/>
        <v>226330.14</v>
      </c>
      <c r="BO44" s="125" t="str">
        <f t="shared" si="198"/>
        <v/>
      </c>
      <c r="BP44" s="140">
        <f t="shared" si="60"/>
        <v>49755.839999999967</v>
      </c>
      <c r="BQ44" s="123">
        <f t="shared" si="199"/>
        <v>265353.90000000002</v>
      </c>
      <c r="BR44" s="125">
        <f t="shared" si="200"/>
        <v>315109.74</v>
      </c>
      <c r="BS44" s="122">
        <f t="shared" si="63"/>
        <v>49755.839999999967</v>
      </c>
      <c r="BT44" s="123">
        <f t="shared" ref="BT44:BU44" si="233">SUM(BI44,BM44,BQ44)</f>
        <v>491684.04000000004</v>
      </c>
      <c r="BU44" s="124">
        <f t="shared" si="233"/>
        <v>541439.88</v>
      </c>
      <c r="BV44" s="125" t="str">
        <f t="shared" si="202"/>
        <v/>
      </c>
      <c r="BW44" s="122">
        <f t="shared" si="66"/>
        <v>0</v>
      </c>
      <c r="BX44" s="123">
        <f t="shared" si="203"/>
        <v>0</v>
      </c>
      <c r="BY44" s="124">
        <f t="shared" si="204"/>
        <v>0</v>
      </c>
      <c r="BZ44" s="125" t="str">
        <f t="shared" si="205"/>
        <v/>
      </c>
      <c r="CA44" s="140"/>
      <c r="CB44" s="123"/>
      <c r="CC44" s="148"/>
      <c r="CD44" s="123" t="str">
        <f t="shared" si="206"/>
        <v/>
      </c>
      <c r="CF44" s="149"/>
    </row>
    <row r="45" spans="1:84" ht="13">
      <c r="A45" s="92">
        <f t="shared" si="166"/>
        <v>112012192</v>
      </c>
      <c r="B45" s="172">
        <f t="shared" si="225"/>
        <v>7</v>
      </c>
      <c r="C45" s="137">
        <f>IFERROR(VLOOKUP(B45,DES,2,FALSE),"")</f>
        <v>0.1</v>
      </c>
      <c r="D45" s="137">
        <f>IFERROR(VLOOKUP(B45,DES,3,FALSE),"")</f>
        <v>0.2</v>
      </c>
      <c r="E45" s="138">
        <f>IFERROR(VLOOKUP(B45,DES,4,FALSE),"")</f>
        <v>0</v>
      </c>
      <c r="F45" s="96">
        <f>VLOOKUP(M45,BASILECART2,2,FALSE)</f>
        <v>4</v>
      </c>
      <c r="G45" s="97" t="str">
        <f t="shared" si="167"/>
        <v>Lista</v>
      </c>
      <c r="H45" s="97">
        <f t="shared" si="168"/>
        <v>0.2</v>
      </c>
      <c r="I45" s="97">
        <f t="shared" si="169"/>
        <v>0</v>
      </c>
      <c r="J45" s="96">
        <f t="shared" si="170"/>
        <v>70</v>
      </c>
      <c r="K45" s="94" t="str">
        <f t="shared" si="171"/>
        <v>Lista</v>
      </c>
      <c r="L45" s="98">
        <f t="shared" si="172"/>
        <v>0.11</v>
      </c>
      <c r="M45" s="139" t="s">
        <v>119</v>
      </c>
      <c r="N45" s="100">
        <f t="shared" si="173"/>
        <v>0</v>
      </c>
      <c r="O45" s="236">
        <v>1800000</v>
      </c>
      <c r="P45" s="102">
        <f t="shared" si="13"/>
        <v>65748.98000000001</v>
      </c>
      <c r="Q45" s="102">
        <f t="shared" si="174"/>
        <v>50306.239999999998</v>
      </c>
      <c r="R45" s="102">
        <f t="shared" si="175"/>
        <v>116055.22</v>
      </c>
      <c r="S45" s="102">
        <f t="shared" si="16"/>
        <v>-1683944.78</v>
      </c>
      <c r="T45" s="103">
        <f t="shared" si="17"/>
        <v>6.4475122222222223E-2</v>
      </c>
      <c r="U45" s="100">
        <f t="shared" si="176"/>
        <v>0</v>
      </c>
      <c r="V45" s="237">
        <v>1800000</v>
      </c>
      <c r="W45" s="105">
        <f t="shared" si="19"/>
        <v>175422.9</v>
      </c>
      <c r="X45" s="102">
        <f t="shared" si="177"/>
        <v>0</v>
      </c>
      <c r="Y45" s="106">
        <f t="shared" si="178"/>
        <v>175422.9</v>
      </c>
      <c r="Z45" s="142">
        <f t="shared" ref="Z45:Z61" si="234">Y45-V45</f>
        <v>-1624577.1</v>
      </c>
      <c r="AA45" s="143">
        <f>Y45/V45</f>
        <v>9.7457166666666664E-2</v>
      </c>
      <c r="AB45" s="100">
        <f t="shared" si="179"/>
        <v>0</v>
      </c>
      <c r="AC45" s="236">
        <v>1800000</v>
      </c>
      <c r="AD45" s="102">
        <f t="shared" si="24"/>
        <v>20288.16</v>
      </c>
      <c r="AE45" s="102">
        <f t="shared" si="180"/>
        <v>0</v>
      </c>
      <c r="AF45" s="102">
        <f t="shared" si="181"/>
        <v>20288.16</v>
      </c>
      <c r="AG45" s="145">
        <f t="shared" si="27"/>
        <v>-1779711.84</v>
      </c>
      <c r="AH45" s="158">
        <f>AF45/AC45</f>
        <v>1.12712E-2</v>
      </c>
      <c r="AI45" s="147">
        <f t="shared" si="103"/>
        <v>5400000</v>
      </c>
      <c r="AJ45" s="111">
        <f t="shared" si="182"/>
        <v>174562.12</v>
      </c>
      <c r="AK45" s="102">
        <f t="shared" si="31"/>
        <v>50306.239999999998</v>
      </c>
      <c r="AL45" s="102">
        <f t="shared" si="32"/>
        <v>261460.04</v>
      </c>
      <c r="AM45" s="102">
        <f t="shared" si="33"/>
        <v>311766.28000000003</v>
      </c>
      <c r="AN45" s="102">
        <f t="shared" si="34"/>
        <v>137204.16000000003</v>
      </c>
      <c r="AO45" s="112">
        <f t="shared" si="35"/>
        <v>1.7859904542864169</v>
      </c>
      <c r="AP45" s="100">
        <f t="shared" si="183"/>
        <v>0</v>
      </c>
      <c r="AQ45" s="113">
        <f t="shared" si="37"/>
        <v>42666.83</v>
      </c>
      <c r="AR45" s="114">
        <f t="shared" si="184"/>
        <v>0</v>
      </c>
      <c r="AS45" s="115">
        <f t="shared" si="185"/>
        <v>42666.83</v>
      </c>
      <c r="AT45" s="100">
        <f t="shared" si="186"/>
        <v>39075.08</v>
      </c>
      <c r="AU45" s="113">
        <f t="shared" si="41"/>
        <v>0</v>
      </c>
      <c r="AV45" s="116">
        <f t="shared" si="187"/>
        <v>0</v>
      </c>
      <c r="AW45" s="117">
        <f t="shared" si="188"/>
        <v>0</v>
      </c>
      <c r="AX45" s="100">
        <f t="shared" si="189"/>
        <v>38262.5</v>
      </c>
      <c r="AY45" s="113">
        <f t="shared" si="45"/>
        <v>0</v>
      </c>
      <c r="AZ45" s="114">
        <f t="shared" si="190"/>
        <v>0</v>
      </c>
      <c r="BA45" s="100">
        <f t="shared" si="191"/>
        <v>0</v>
      </c>
      <c r="BB45" s="118">
        <f t="shared" ref="BB45:BD45" si="235">BH45+AY45+AU45</f>
        <v>42442.21</v>
      </c>
      <c r="BC45" s="116">
        <f t="shared" si="235"/>
        <v>0</v>
      </c>
      <c r="BD45" s="119">
        <f t="shared" si="235"/>
        <v>42442.21</v>
      </c>
      <c r="BE45" s="118">
        <f t="shared" si="49"/>
        <v>303902.25</v>
      </c>
      <c r="BF45" s="116">
        <f t="shared" si="50"/>
        <v>50306.239999999998</v>
      </c>
      <c r="BG45" s="119">
        <f t="shared" si="51"/>
        <v>354208.49000000005</v>
      </c>
      <c r="BH45" s="114">
        <f t="shared" si="52"/>
        <v>42442.21</v>
      </c>
      <c r="BI45" s="114">
        <f t="shared" si="193"/>
        <v>0</v>
      </c>
      <c r="BJ45" s="115">
        <f t="shared" si="194"/>
        <v>42442.21</v>
      </c>
      <c r="BK45" s="125">
        <f t="shared" si="195"/>
        <v>0</v>
      </c>
      <c r="BL45" s="120">
        <f t="shared" si="56"/>
        <v>51933.83</v>
      </c>
      <c r="BM45" s="121">
        <f t="shared" si="196"/>
        <v>0</v>
      </c>
      <c r="BN45" s="119">
        <f t="shared" si="197"/>
        <v>51933.83</v>
      </c>
      <c r="BO45" s="125">
        <f t="shared" si="198"/>
        <v>77168.789999999994</v>
      </c>
      <c r="BP45" s="140">
        <f t="shared" si="60"/>
        <v>0</v>
      </c>
      <c r="BQ45" s="123">
        <f t="shared" si="199"/>
        <v>0</v>
      </c>
      <c r="BR45" s="125">
        <f t="shared" si="200"/>
        <v>0</v>
      </c>
      <c r="BS45" s="122">
        <f t="shared" si="63"/>
        <v>94376.040000000008</v>
      </c>
      <c r="BT45" s="123">
        <f t="shared" ref="BT45:BU45" si="236">SUM(BI45,BM45,BQ45)</f>
        <v>0</v>
      </c>
      <c r="BU45" s="124">
        <f t="shared" si="236"/>
        <v>94376.040000000008</v>
      </c>
      <c r="BV45" s="125">
        <f t="shared" si="202"/>
        <v>29692.720000000001</v>
      </c>
      <c r="BW45" s="122">
        <f t="shared" si="66"/>
        <v>0</v>
      </c>
      <c r="BX45" s="123">
        <f t="shared" si="203"/>
        <v>0</v>
      </c>
      <c r="BY45" s="124">
        <f t="shared" si="204"/>
        <v>0</v>
      </c>
      <c r="BZ45" s="125">
        <f t="shared" si="205"/>
        <v>0</v>
      </c>
      <c r="CA45" s="140"/>
      <c r="CB45" s="123"/>
      <c r="CC45" s="148"/>
      <c r="CD45" s="123">
        <f t="shared" si="206"/>
        <v>144869.4</v>
      </c>
      <c r="CF45" s="149"/>
    </row>
    <row r="46" spans="1:84" ht="14">
      <c r="A46" s="92">
        <f t="shared" si="166"/>
        <v>112014700</v>
      </c>
      <c r="B46" s="172">
        <f t="shared" si="225"/>
        <v>7</v>
      </c>
      <c r="C46" s="137">
        <f>IFERROR(VLOOKUP(B46,DES,2,FALSE),"")</f>
        <v>0.1</v>
      </c>
      <c r="D46" s="137">
        <f>IFERROR(VLOOKUP(B46,DES,3,FALSE),"")</f>
        <v>0.2</v>
      </c>
      <c r="E46" s="138">
        <f>IFERROR(VLOOKUP(B46,DES,4,FALSE),"")</f>
        <v>0</v>
      </c>
      <c r="F46" s="96">
        <f>VLOOKUP(M46,BASILECART2,2,FALSE)</f>
        <v>4</v>
      </c>
      <c r="G46" s="97" t="str">
        <f t="shared" si="167"/>
        <v>Lista</v>
      </c>
      <c r="H46" s="97">
        <f t="shared" si="168"/>
        <v>0.2</v>
      </c>
      <c r="I46" s="97">
        <f t="shared" si="169"/>
        <v>0</v>
      </c>
      <c r="J46" s="96">
        <f t="shared" si="170"/>
        <v>70</v>
      </c>
      <c r="K46" s="94" t="str">
        <f t="shared" si="171"/>
        <v>Lista</v>
      </c>
      <c r="L46" s="98">
        <f t="shared" si="172"/>
        <v>0.11</v>
      </c>
      <c r="M46" s="139" t="s">
        <v>120</v>
      </c>
      <c r="N46" s="100" t="str">
        <f t="shared" si="173"/>
        <v/>
      </c>
      <c r="O46" s="140" t="e">
        <f>(N46*1.601)*1.05</f>
        <v>#VALUE!</v>
      </c>
      <c r="P46" s="102" t="e">
        <f t="shared" si="13"/>
        <v>#VALUE!</v>
      </c>
      <c r="Q46" s="102" t="str">
        <f t="shared" si="174"/>
        <v/>
      </c>
      <c r="R46" s="102">
        <f t="shared" si="175"/>
        <v>0</v>
      </c>
      <c r="S46" s="102" t="e">
        <f t="shared" si="16"/>
        <v>#VALUE!</v>
      </c>
      <c r="T46" s="103" t="e">
        <f t="shared" si="17"/>
        <v>#VALUE!</v>
      </c>
      <c r="U46" s="100" t="str">
        <f t="shared" si="176"/>
        <v/>
      </c>
      <c r="V46" s="141" t="e">
        <f t="shared" ref="V46:V48" si="237">U46*1.7245</f>
        <v>#VALUE!</v>
      </c>
      <c r="W46" s="105" t="e">
        <f t="shared" si="19"/>
        <v>#VALUE!</v>
      </c>
      <c r="X46" s="102" t="str">
        <f t="shared" si="177"/>
        <v/>
      </c>
      <c r="Y46" s="106">
        <f t="shared" si="178"/>
        <v>0</v>
      </c>
      <c r="Z46" s="142" t="e">
        <f t="shared" si="234"/>
        <v>#VALUE!</v>
      </c>
      <c r="AA46" s="143" t="str">
        <f t="shared" ref="AA46:AA47" si="238">IFERROR(Y46/V46,"")</f>
        <v/>
      </c>
      <c r="AB46" s="100" t="str">
        <f t="shared" si="179"/>
        <v/>
      </c>
      <c r="AC46" s="140" t="e">
        <f t="shared" ref="AC46:AC47" si="239">(AB46*1.5955)*1.03</f>
        <v>#VALUE!</v>
      </c>
      <c r="AD46" s="102" t="e">
        <f t="shared" si="24"/>
        <v>#VALUE!</v>
      </c>
      <c r="AE46" s="102" t="str">
        <f t="shared" si="180"/>
        <v/>
      </c>
      <c r="AF46" s="102">
        <f t="shared" si="181"/>
        <v>0</v>
      </c>
      <c r="AG46" s="145" t="e">
        <f t="shared" si="27"/>
        <v>#VALUE!</v>
      </c>
      <c r="AH46" s="158" t="str">
        <f>IFERROR(AF46/AC46,"")</f>
        <v/>
      </c>
      <c r="AI46" s="147" t="e">
        <f t="shared" si="103"/>
        <v>#VALUE!</v>
      </c>
      <c r="AJ46" s="111" t="str">
        <f t="shared" si="182"/>
        <v>0</v>
      </c>
      <c r="AK46" s="102">
        <f t="shared" si="31"/>
        <v>0</v>
      </c>
      <c r="AL46" s="102" t="e">
        <f t="shared" si="32"/>
        <v>#VALUE!</v>
      </c>
      <c r="AM46" s="102">
        <f t="shared" si="33"/>
        <v>0</v>
      </c>
      <c r="AN46" s="102">
        <f t="shared" si="34"/>
        <v>0</v>
      </c>
      <c r="AO46" s="112" t="e">
        <f t="shared" si="35"/>
        <v>#DIV/0!</v>
      </c>
      <c r="AP46" s="100" t="str">
        <f t="shared" si="183"/>
        <v/>
      </c>
      <c r="AQ46" s="113" t="e">
        <f t="shared" si="37"/>
        <v>#VALUE!</v>
      </c>
      <c r="AR46" s="114" t="str">
        <f t="shared" si="184"/>
        <v/>
      </c>
      <c r="AS46" s="115">
        <f t="shared" si="185"/>
        <v>0</v>
      </c>
      <c r="AT46" s="100" t="str">
        <f t="shared" si="186"/>
        <v/>
      </c>
      <c r="AU46" s="113" t="e">
        <f t="shared" si="41"/>
        <v>#VALUE!</v>
      </c>
      <c r="AV46" s="116" t="str">
        <f t="shared" si="187"/>
        <v/>
      </c>
      <c r="AW46" s="117">
        <f t="shared" si="188"/>
        <v>0</v>
      </c>
      <c r="AX46" s="100" t="str">
        <f t="shared" si="189"/>
        <v/>
      </c>
      <c r="AY46" s="113" t="e">
        <f t="shared" si="45"/>
        <v>#VALUE!</v>
      </c>
      <c r="AZ46" s="114" t="str">
        <f t="shared" si="190"/>
        <v/>
      </c>
      <c r="BA46" s="100">
        <f t="shared" si="191"/>
        <v>113564.13</v>
      </c>
      <c r="BB46" s="118" t="e">
        <f t="shared" ref="BB46:BD46" si="240">BH46+AY46+AU46</f>
        <v>#VALUE!</v>
      </c>
      <c r="BC46" s="116" t="e">
        <f t="shared" si="240"/>
        <v>#VALUE!</v>
      </c>
      <c r="BD46" s="119">
        <f t="shared" si="240"/>
        <v>113564.13</v>
      </c>
      <c r="BE46" s="118" t="e">
        <f t="shared" si="49"/>
        <v>#VALUE!</v>
      </c>
      <c r="BF46" s="116" t="e">
        <f t="shared" si="50"/>
        <v>#VALUE!</v>
      </c>
      <c r="BG46" s="119">
        <f t="shared" si="51"/>
        <v>113564.13</v>
      </c>
      <c r="BH46" s="114" t="e">
        <f t="shared" si="52"/>
        <v>#VALUE!</v>
      </c>
      <c r="BI46" s="114" t="str">
        <f t="shared" si="193"/>
        <v/>
      </c>
      <c r="BJ46" s="115">
        <f t="shared" si="194"/>
        <v>0</v>
      </c>
      <c r="BK46" s="125" t="str">
        <f t="shared" si="195"/>
        <v/>
      </c>
      <c r="BL46" s="120" t="e">
        <f t="shared" si="56"/>
        <v>#VALUE!</v>
      </c>
      <c r="BM46" s="121" t="str">
        <f t="shared" si="196"/>
        <v/>
      </c>
      <c r="BN46" s="119">
        <f t="shared" si="197"/>
        <v>0</v>
      </c>
      <c r="BO46" s="125" t="str">
        <f t="shared" si="198"/>
        <v/>
      </c>
      <c r="BP46" s="140" t="e">
        <f t="shared" si="60"/>
        <v>#VALUE!</v>
      </c>
      <c r="BQ46" s="123" t="str">
        <f t="shared" si="199"/>
        <v/>
      </c>
      <c r="BR46" s="125">
        <f t="shared" si="200"/>
        <v>0</v>
      </c>
      <c r="BS46" s="122" t="e">
        <f t="shared" si="63"/>
        <v>#VALUE!</v>
      </c>
      <c r="BT46" s="123">
        <f t="shared" ref="BT46:BU46" si="241">SUM(BI46,BM46,BQ46)</f>
        <v>0</v>
      </c>
      <c r="BU46" s="124">
        <f t="shared" si="241"/>
        <v>0</v>
      </c>
      <c r="BV46" s="125" t="str">
        <f t="shared" si="202"/>
        <v/>
      </c>
      <c r="BW46" s="122" t="e">
        <f t="shared" si="66"/>
        <v>#VALUE!</v>
      </c>
      <c r="BX46" s="123" t="str">
        <f t="shared" si="203"/>
        <v/>
      </c>
      <c r="BY46" s="124">
        <f t="shared" si="204"/>
        <v>0</v>
      </c>
      <c r="BZ46" s="125" t="str">
        <f t="shared" si="205"/>
        <v/>
      </c>
      <c r="CA46" s="140"/>
      <c r="CB46" s="123"/>
      <c r="CC46" s="148"/>
      <c r="CD46" s="123" t="str">
        <f t="shared" si="206"/>
        <v/>
      </c>
      <c r="CF46" s="149"/>
    </row>
    <row r="47" spans="1:84" ht="14">
      <c r="A47" s="92">
        <f t="shared" si="166"/>
        <v>112012613</v>
      </c>
      <c r="B47" s="172">
        <f t="shared" si="225"/>
        <v>7</v>
      </c>
      <c r="C47" s="137">
        <f>IFERROR(VLOOKUP(B47,DES,2,FALSE),"")</f>
        <v>0.1</v>
      </c>
      <c r="D47" s="137">
        <f>IFERROR(VLOOKUP(B47,DES,3,FALSE),"")</f>
        <v>0.2</v>
      </c>
      <c r="E47" s="138">
        <f>IFERROR(VLOOKUP(B47,DES,4,FALSE),"")</f>
        <v>0</v>
      </c>
      <c r="F47" s="193">
        <f>IFERROR(VLOOKUP(M47,BASILECART2,2,FALSE),"")</f>
        <v>4</v>
      </c>
      <c r="G47" s="97" t="str">
        <f t="shared" si="167"/>
        <v>Lista</v>
      </c>
      <c r="H47" s="97">
        <f t="shared" si="168"/>
        <v>0.2</v>
      </c>
      <c r="I47" s="97">
        <f t="shared" si="169"/>
        <v>0</v>
      </c>
      <c r="J47" s="96">
        <f t="shared" si="170"/>
        <v>70</v>
      </c>
      <c r="K47" s="94" t="str">
        <f t="shared" si="171"/>
        <v>Lista</v>
      </c>
      <c r="L47" s="98">
        <f t="shared" si="172"/>
        <v>0.11</v>
      </c>
      <c r="M47" s="139" t="s">
        <v>121</v>
      </c>
      <c r="N47" s="100">
        <f t="shared" si="173"/>
        <v>907187.81</v>
      </c>
      <c r="O47" s="140"/>
      <c r="P47" s="102">
        <f t="shared" si="13"/>
        <v>0</v>
      </c>
      <c r="Q47" s="102">
        <f t="shared" si="174"/>
        <v>0</v>
      </c>
      <c r="R47" s="102">
        <f t="shared" si="175"/>
        <v>0</v>
      </c>
      <c r="S47" s="102">
        <f t="shared" si="16"/>
        <v>0</v>
      </c>
      <c r="T47" s="103" t="e">
        <f t="shared" si="17"/>
        <v>#DIV/0!</v>
      </c>
      <c r="U47" s="100">
        <f t="shared" si="176"/>
        <v>1022630</v>
      </c>
      <c r="V47" s="155">
        <f t="shared" si="237"/>
        <v>1763525.4349999998</v>
      </c>
      <c r="W47" s="105">
        <f t="shared" si="19"/>
        <v>0</v>
      </c>
      <c r="X47" s="102">
        <f t="shared" si="177"/>
        <v>0</v>
      </c>
      <c r="Y47" s="106">
        <f t="shared" si="178"/>
        <v>0</v>
      </c>
      <c r="Z47" s="142">
        <f t="shared" si="234"/>
        <v>-1763525.4349999998</v>
      </c>
      <c r="AA47" s="143">
        <f t="shared" si="238"/>
        <v>0</v>
      </c>
      <c r="AB47" s="100">
        <f t="shared" si="179"/>
        <v>1931547.28</v>
      </c>
      <c r="AC47" s="140">
        <f t="shared" si="239"/>
        <v>3174237.1957972003</v>
      </c>
      <c r="AD47" s="102">
        <f t="shared" si="24"/>
        <v>0</v>
      </c>
      <c r="AE47" s="102">
        <f t="shared" si="180"/>
        <v>1194136.18</v>
      </c>
      <c r="AF47" s="102">
        <f t="shared" si="181"/>
        <v>1194136.18</v>
      </c>
      <c r="AG47" s="199">
        <f t="shared" si="27"/>
        <v>-1980101.0157972004</v>
      </c>
      <c r="AH47" s="158">
        <f t="shared" ref="AH47:AH49" si="242">AF47/AC47</f>
        <v>0.37619626585595983</v>
      </c>
      <c r="AI47" s="147">
        <f t="shared" si="103"/>
        <v>4937762.6307971999</v>
      </c>
      <c r="AJ47" s="111">
        <f t="shared" si="182"/>
        <v>3324939.7</v>
      </c>
      <c r="AK47" s="102">
        <f t="shared" si="31"/>
        <v>1194136.18</v>
      </c>
      <c r="AL47" s="102">
        <f t="shared" si="32"/>
        <v>0</v>
      </c>
      <c r="AM47" s="102">
        <f t="shared" si="33"/>
        <v>1194136.18</v>
      </c>
      <c r="AN47" s="102">
        <f t="shared" si="34"/>
        <v>-2130803.5200000005</v>
      </c>
      <c r="AO47" s="112">
        <f t="shared" si="35"/>
        <v>0.35914521397185034</v>
      </c>
      <c r="AP47" s="100">
        <f t="shared" si="183"/>
        <v>648854.56000000006</v>
      </c>
      <c r="AQ47" s="113">
        <f t="shared" si="37"/>
        <v>19024.469999999972</v>
      </c>
      <c r="AR47" s="114">
        <f t="shared" si="184"/>
        <v>957773.28</v>
      </c>
      <c r="AS47" s="115">
        <f t="shared" si="185"/>
        <v>976797.75</v>
      </c>
      <c r="AT47" s="100">
        <f t="shared" si="186"/>
        <v>970049.38</v>
      </c>
      <c r="AU47" s="113">
        <f t="shared" si="41"/>
        <v>0</v>
      </c>
      <c r="AV47" s="116">
        <f t="shared" si="187"/>
        <v>514106.96</v>
      </c>
      <c r="AW47" s="117">
        <f t="shared" si="188"/>
        <v>514106.96</v>
      </c>
      <c r="AX47" s="100">
        <f t="shared" si="189"/>
        <v>1017673.68</v>
      </c>
      <c r="AY47" s="113">
        <f t="shared" si="45"/>
        <v>190957.78000000003</v>
      </c>
      <c r="AZ47" s="114">
        <f t="shared" si="190"/>
        <v>1286096.24</v>
      </c>
      <c r="BA47" s="100">
        <f t="shared" si="191"/>
        <v>1477054.02</v>
      </c>
      <c r="BB47" s="118">
        <f t="shared" ref="BB47:BD47" si="243">BH47+AY47+AU47</f>
        <v>302231.59999999998</v>
      </c>
      <c r="BC47" s="116">
        <f t="shared" si="243"/>
        <v>2589091.86</v>
      </c>
      <c r="BD47" s="119">
        <f t="shared" si="243"/>
        <v>2891323.46</v>
      </c>
      <c r="BE47" s="118">
        <f t="shared" si="49"/>
        <v>302231.59999999998</v>
      </c>
      <c r="BF47" s="116">
        <f t="shared" si="50"/>
        <v>3783228.04</v>
      </c>
      <c r="BG47" s="119">
        <f t="shared" si="51"/>
        <v>4085459.6399999997</v>
      </c>
      <c r="BH47" s="114">
        <f t="shared" si="52"/>
        <v>111273.81999999995</v>
      </c>
      <c r="BI47" s="114">
        <f t="shared" si="193"/>
        <v>788888.66</v>
      </c>
      <c r="BJ47" s="115">
        <f t="shared" si="194"/>
        <v>900162.48</v>
      </c>
      <c r="BK47" s="125">
        <f t="shared" si="195"/>
        <v>1959426.12</v>
      </c>
      <c r="BL47" s="120">
        <f t="shared" si="56"/>
        <v>212009.25</v>
      </c>
      <c r="BM47" s="121">
        <f t="shared" si="196"/>
        <v>820663.76</v>
      </c>
      <c r="BN47" s="119">
        <f t="shared" si="197"/>
        <v>1032673.01</v>
      </c>
      <c r="BO47" s="125">
        <f t="shared" si="198"/>
        <v>1338211.71</v>
      </c>
      <c r="BP47" s="140">
        <f t="shared" si="60"/>
        <v>175907.39999999991</v>
      </c>
      <c r="BQ47" s="123">
        <f t="shared" si="199"/>
        <v>886270</v>
      </c>
      <c r="BR47" s="125">
        <f t="shared" si="200"/>
        <v>1062177.3999999999</v>
      </c>
      <c r="BS47" s="122">
        <f t="shared" si="63"/>
        <v>499190.46999999986</v>
      </c>
      <c r="BT47" s="123">
        <f t="shared" ref="BT47:BU47" si="244">SUM(BI47,BM47,BQ47)</f>
        <v>2495822.42</v>
      </c>
      <c r="BU47" s="124">
        <f t="shared" si="244"/>
        <v>2995012.8899999997</v>
      </c>
      <c r="BV47" s="125">
        <f t="shared" si="202"/>
        <v>1422102.82</v>
      </c>
      <c r="BW47" s="122">
        <f t="shared" si="66"/>
        <v>166362.07000000007</v>
      </c>
      <c r="BX47" s="123">
        <f t="shared" si="203"/>
        <v>814943.07</v>
      </c>
      <c r="BY47" s="124">
        <f t="shared" si="204"/>
        <v>981305.14</v>
      </c>
      <c r="BZ47" s="125">
        <f t="shared" si="205"/>
        <v>1561743.52</v>
      </c>
      <c r="CA47" s="140"/>
      <c r="CB47" s="123"/>
      <c r="CC47" s="148"/>
      <c r="CD47" s="123">
        <f t="shared" si="206"/>
        <v>341093.36</v>
      </c>
      <c r="CF47" s="149"/>
    </row>
    <row r="48" spans="1:84" ht="13">
      <c r="A48" s="92">
        <f t="shared" si="166"/>
        <v>112014257</v>
      </c>
      <c r="B48" s="172">
        <f t="shared" si="225"/>
        <v>22</v>
      </c>
      <c r="C48" s="137">
        <f>VLOOKUP(B48,DES,2,FALSE)</f>
        <v>0.1</v>
      </c>
      <c r="D48" s="137">
        <f>VLOOKUP(B48,DES,3,FALSE)</f>
        <v>0.09</v>
      </c>
      <c r="E48" s="138">
        <f>VLOOKUP(B48,DES,4,FALSE)</f>
        <v>0</v>
      </c>
      <c r="F48" s="193">
        <f>IFERROR(VLOOKUP(M48,BASILECART2,2,FALSE),"")</f>
        <v>1</v>
      </c>
      <c r="G48" s="97" t="str">
        <f t="shared" si="167"/>
        <v>Lista</v>
      </c>
      <c r="H48" s="97">
        <f t="shared" si="168"/>
        <v>0.09</v>
      </c>
      <c r="I48" s="97">
        <f t="shared" si="169"/>
        <v>0</v>
      </c>
      <c r="J48" s="96">
        <f t="shared" si="170"/>
        <v>71</v>
      </c>
      <c r="K48" s="94" t="str">
        <f t="shared" si="171"/>
        <v>Lista</v>
      </c>
      <c r="L48" s="98">
        <f t="shared" si="172"/>
        <v>0.05</v>
      </c>
      <c r="M48" s="139" t="s">
        <v>122</v>
      </c>
      <c r="N48" s="100" t="str">
        <f t="shared" si="173"/>
        <v/>
      </c>
      <c r="O48" s="236">
        <v>1800000</v>
      </c>
      <c r="P48" s="102" t="e">
        <f t="shared" si="13"/>
        <v>#VALUE!</v>
      </c>
      <c r="Q48" s="102" t="str">
        <f t="shared" si="174"/>
        <v/>
      </c>
      <c r="R48" s="102">
        <f t="shared" si="175"/>
        <v>992048.71</v>
      </c>
      <c r="S48" s="102">
        <f t="shared" si="16"/>
        <v>-807951.29</v>
      </c>
      <c r="T48" s="103">
        <f t="shared" si="17"/>
        <v>0.55113817222222217</v>
      </c>
      <c r="U48" s="100" t="str">
        <f t="shared" si="176"/>
        <v/>
      </c>
      <c r="V48" s="141" t="e">
        <f t="shared" si="237"/>
        <v>#VALUE!</v>
      </c>
      <c r="W48" s="105" t="e">
        <f t="shared" si="19"/>
        <v>#VALUE!</v>
      </c>
      <c r="X48" s="102" t="str">
        <f t="shared" si="177"/>
        <v/>
      </c>
      <c r="Y48" s="106">
        <f t="shared" si="178"/>
        <v>785380.25</v>
      </c>
      <c r="Z48" s="142" t="e">
        <f t="shared" si="234"/>
        <v>#VALUE!</v>
      </c>
      <c r="AA48" s="143" t="e">
        <f t="shared" ref="AA48:AA51" si="245">Y48/V48</f>
        <v>#VALUE!</v>
      </c>
      <c r="AB48" s="100" t="str">
        <f t="shared" si="179"/>
        <v/>
      </c>
      <c r="AC48" s="236">
        <v>1800000</v>
      </c>
      <c r="AD48" s="102" t="e">
        <f t="shared" si="24"/>
        <v>#VALUE!</v>
      </c>
      <c r="AE48" s="102" t="str">
        <f t="shared" si="180"/>
        <v/>
      </c>
      <c r="AF48" s="102">
        <f t="shared" si="181"/>
        <v>301595.77</v>
      </c>
      <c r="AG48" s="199">
        <f t="shared" si="27"/>
        <v>-1498404.23</v>
      </c>
      <c r="AH48" s="158">
        <f t="shared" si="242"/>
        <v>0.16755320555555556</v>
      </c>
      <c r="AI48" s="147" t="e">
        <f t="shared" si="103"/>
        <v>#VALUE!</v>
      </c>
      <c r="AJ48" s="111" t="str">
        <f t="shared" si="182"/>
        <v>0</v>
      </c>
      <c r="AK48" s="102">
        <f t="shared" si="31"/>
        <v>0</v>
      </c>
      <c r="AL48" s="102" t="e">
        <f t="shared" si="32"/>
        <v>#VALUE!</v>
      </c>
      <c r="AM48" s="102">
        <f t="shared" si="33"/>
        <v>2079024.73</v>
      </c>
      <c r="AN48" s="102">
        <f t="shared" si="34"/>
        <v>2079024.73</v>
      </c>
      <c r="AO48" s="112" t="e">
        <f t="shared" si="35"/>
        <v>#DIV/0!</v>
      </c>
      <c r="AP48" s="100" t="str">
        <f t="shared" si="183"/>
        <v/>
      </c>
      <c r="AQ48" s="113" t="e">
        <f t="shared" si="37"/>
        <v>#VALUE!</v>
      </c>
      <c r="AR48" s="114" t="str">
        <f t="shared" si="184"/>
        <v/>
      </c>
      <c r="AS48" s="115">
        <f t="shared" si="185"/>
        <v>807594.14</v>
      </c>
      <c r="AT48" s="100" t="str">
        <f t="shared" si="186"/>
        <v/>
      </c>
      <c r="AU48" s="113" t="e">
        <f t="shared" si="41"/>
        <v>#VALUE!</v>
      </c>
      <c r="AV48" s="116" t="str">
        <f t="shared" si="187"/>
        <v/>
      </c>
      <c r="AW48" s="117">
        <f t="shared" si="188"/>
        <v>257700.08</v>
      </c>
      <c r="AX48" s="100" t="str">
        <f t="shared" si="189"/>
        <v/>
      </c>
      <c r="AY48" s="113" t="e">
        <f t="shared" si="45"/>
        <v>#VALUE!</v>
      </c>
      <c r="AZ48" s="114" t="str">
        <f t="shared" si="190"/>
        <v/>
      </c>
      <c r="BA48" s="100">
        <f t="shared" si="191"/>
        <v>132345.60999999999</v>
      </c>
      <c r="BB48" s="118" t="e">
        <f t="shared" ref="BB48:BD48" si="246">BH48+AY48+AU48</f>
        <v>#VALUE!</v>
      </c>
      <c r="BC48" s="116" t="e">
        <f t="shared" si="246"/>
        <v>#VALUE!</v>
      </c>
      <c r="BD48" s="119">
        <f t="shared" si="246"/>
        <v>1203919.18</v>
      </c>
      <c r="BE48" s="118" t="e">
        <f t="shared" si="49"/>
        <v>#VALUE!</v>
      </c>
      <c r="BF48" s="116" t="e">
        <f t="shared" si="50"/>
        <v>#VALUE!</v>
      </c>
      <c r="BG48" s="119">
        <f t="shared" si="51"/>
        <v>3282943.91</v>
      </c>
      <c r="BH48" s="114" t="e">
        <f t="shared" si="52"/>
        <v>#VALUE!</v>
      </c>
      <c r="BI48" s="114" t="str">
        <f t="shared" si="193"/>
        <v/>
      </c>
      <c r="BJ48" s="115">
        <f t="shared" si="194"/>
        <v>813873.49</v>
      </c>
      <c r="BK48" s="125" t="str">
        <f t="shared" si="195"/>
        <v/>
      </c>
      <c r="BL48" s="120" t="e">
        <f t="shared" si="56"/>
        <v>#VALUE!</v>
      </c>
      <c r="BM48" s="121" t="str">
        <f t="shared" si="196"/>
        <v/>
      </c>
      <c r="BN48" s="119">
        <f t="shared" si="197"/>
        <v>226734.65</v>
      </c>
      <c r="BO48" s="125" t="str">
        <f t="shared" si="198"/>
        <v/>
      </c>
      <c r="BP48" s="140" t="e">
        <f t="shared" si="60"/>
        <v>#VALUE!</v>
      </c>
      <c r="BQ48" s="123" t="str">
        <f t="shared" si="199"/>
        <v/>
      </c>
      <c r="BR48" s="125">
        <f t="shared" si="200"/>
        <v>205948.34</v>
      </c>
      <c r="BS48" s="122" t="e">
        <f t="shared" si="63"/>
        <v>#VALUE!</v>
      </c>
      <c r="BT48" s="123">
        <f t="shared" ref="BT48:BU48" si="247">SUM(BI48,BM48,BQ48)</f>
        <v>0</v>
      </c>
      <c r="BU48" s="124">
        <f t="shared" si="247"/>
        <v>1246556.48</v>
      </c>
      <c r="BV48" s="125" t="str">
        <f t="shared" si="202"/>
        <v/>
      </c>
      <c r="BW48" s="122" t="e">
        <f t="shared" si="66"/>
        <v>#VALUE!</v>
      </c>
      <c r="BX48" s="123" t="str">
        <f t="shared" si="203"/>
        <v/>
      </c>
      <c r="BY48" s="124">
        <f t="shared" si="204"/>
        <v>316287.5</v>
      </c>
      <c r="BZ48" s="125" t="str">
        <f t="shared" si="205"/>
        <v/>
      </c>
      <c r="CA48" s="140"/>
      <c r="CB48" s="123"/>
      <c r="CC48" s="148"/>
      <c r="CD48" s="123" t="str">
        <f t="shared" si="206"/>
        <v/>
      </c>
      <c r="CF48" s="126"/>
    </row>
    <row r="49" spans="1:84" ht="13">
      <c r="A49" s="92">
        <f t="shared" si="166"/>
        <v>112013981</v>
      </c>
      <c r="B49" s="172">
        <f t="shared" si="225"/>
        <v>22</v>
      </c>
      <c r="C49" s="137">
        <f>IFERROR(VLOOKUP(B49,DES,2,FALSE),"")</f>
        <v>0.1</v>
      </c>
      <c r="D49" s="137">
        <f>IFERROR(VLOOKUP(B49,DES,3,FALSE),"")</f>
        <v>0.09</v>
      </c>
      <c r="E49" s="138">
        <f>IFERROR(VLOOKUP(B49,DES,4,FALSE),"")</f>
        <v>0</v>
      </c>
      <c r="F49" s="193">
        <f>IFERROR(VLOOKUP(M49,BASILECART2,2,FALSE),"")</f>
        <v>1</v>
      </c>
      <c r="G49" s="97" t="str">
        <f t="shared" si="167"/>
        <v>Lista</v>
      </c>
      <c r="H49" s="97">
        <f t="shared" si="168"/>
        <v>0.09</v>
      </c>
      <c r="I49" s="97">
        <f t="shared" si="169"/>
        <v>0</v>
      </c>
      <c r="J49" s="96">
        <f t="shared" si="170"/>
        <v>71</v>
      </c>
      <c r="K49" s="94" t="str">
        <f t="shared" si="171"/>
        <v>Lista</v>
      </c>
      <c r="L49" s="98">
        <f t="shared" si="172"/>
        <v>0.05</v>
      </c>
      <c r="M49" s="139" t="s">
        <v>123</v>
      </c>
      <c r="N49" s="100">
        <f t="shared" si="173"/>
        <v>0</v>
      </c>
      <c r="O49" s="236">
        <v>1800000</v>
      </c>
      <c r="P49" s="102">
        <f t="shared" si="13"/>
        <v>518539.64</v>
      </c>
      <c r="Q49" s="102">
        <f t="shared" si="174"/>
        <v>0</v>
      </c>
      <c r="R49" s="102">
        <f t="shared" si="175"/>
        <v>518539.64</v>
      </c>
      <c r="S49" s="102">
        <f t="shared" si="16"/>
        <v>-1281460.3599999999</v>
      </c>
      <c r="T49" s="103">
        <f t="shared" si="17"/>
        <v>0.28807757777777776</v>
      </c>
      <c r="U49" s="100">
        <f t="shared" si="176"/>
        <v>0</v>
      </c>
      <c r="V49" s="237">
        <v>1800000</v>
      </c>
      <c r="W49" s="105">
        <f t="shared" si="19"/>
        <v>845641.19</v>
      </c>
      <c r="X49" s="102">
        <f t="shared" si="177"/>
        <v>54053.68</v>
      </c>
      <c r="Y49" s="106">
        <f t="shared" si="178"/>
        <v>899694.87</v>
      </c>
      <c r="Z49" s="142">
        <f t="shared" si="234"/>
        <v>-900305.13</v>
      </c>
      <c r="AA49" s="143">
        <f t="shared" si="245"/>
        <v>0.49983048333333335</v>
      </c>
      <c r="AB49" s="100">
        <f t="shared" si="179"/>
        <v>0</v>
      </c>
      <c r="AC49" s="236">
        <v>1800000</v>
      </c>
      <c r="AD49" s="102">
        <f t="shared" si="24"/>
        <v>448525</v>
      </c>
      <c r="AE49" s="102">
        <f t="shared" si="180"/>
        <v>0</v>
      </c>
      <c r="AF49" s="102">
        <f t="shared" si="181"/>
        <v>448525</v>
      </c>
      <c r="AG49" s="145">
        <f t="shared" si="27"/>
        <v>-1351475</v>
      </c>
      <c r="AH49" s="158">
        <f t="shared" si="242"/>
        <v>0.24918055555555554</v>
      </c>
      <c r="AI49" s="110">
        <f t="shared" si="103"/>
        <v>5400000</v>
      </c>
      <c r="AJ49" s="111">
        <f t="shared" si="182"/>
        <v>2717350.98</v>
      </c>
      <c r="AK49" s="102">
        <f t="shared" si="31"/>
        <v>54053.68</v>
      </c>
      <c r="AL49" s="102">
        <f t="shared" si="32"/>
        <v>1812705.83</v>
      </c>
      <c r="AM49" s="102">
        <f t="shared" si="33"/>
        <v>1866759.5100000002</v>
      </c>
      <c r="AN49" s="102">
        <f t="shared" si="34"/>
        <v>-850591.46999999974</v>
      </c>
      <c r="AO49" s="112">
        <f t="shared" si="35"/>
        <v>0.68697769398931319</v>
      </c>
      <c r="AP49" s="100">
        <f t="shared" si="183"/>
        <v>0</v>
      </c>
      <c r="AQ49" s="113">
        <f t="shared" si="37"/>
        <v>541576.17000000004</v>
      </c>
      <c r="AR49" s="114">
        <f t="shared" si="184"/>
        <v>0</v>
      </c>
      <c r="AS49" s="115">
        <f t="shared" si="185"/>
        <v>541576.17000000004</v>
      </c>
      <c r="AT49" s="100">
        <f t="shared" si="186"/>
        <v>0</v>
      </c>
      <c r="AU49" s="113">
        <f t="shared" si="41"/>
        <v>642156.73</v>
      </c>
      <c r="AV49" s="116">
        <f t="shared" si="187"/>
        <v>0</v>
      </c>
      <c r="AW49" s="117">
        <f t="shared" si="188"/>
        <v>642156.73</v>
      </c>
      <c r="AX49" s="100">
        <f t="shared" si="189"/>
        <v>379814.18</v>
      </c>
      <c r="AY49" s="113">
        <f t="shared" si="45"/>
        <v>28225.75</v>
      </c>
      <c r="AZ49" s="114">
        <f t="shared" si="190"/>
        <v>0</v>
      </c>
      <c r="BA49" s="100">
        <f t="shared" si="191"/>
        <v>28225.75</v>
      </c>
      <c r="BB49" s="118">
        <f t="shared" ref="BB49:BD49" si="248">BH49+AY49+AU49</f>
        <v>749867.23</v>
      </c>
      <c r="BC49" s="116">
        <f t="shared" si="248"/>
        <v>41008.199999999997</v>
      </c>
      <c r="BD49" s="119">
        <f t="shared" si="248"/>
        <v>790875.42999999993</v>
      </c>
      <c r="BE49" s="118">
        <f t="shared" si="49"/>
        <v>2562573.06</v>
      </c>
      <c r="BF49" s="116">
        <f t="shared" si="50"/>
        <v>95061.88</v>
      </c>
      <c r="BG49" s="119">
        <f t="shared" si="51"/>
        <v>2657634.9400000004</v>
      </c>
      <c r="BH49" s="114">
        <f t="shared" si="52"/>
        <v>79484.75</v>
      </c>
      <c r="BI49" s="114">
        <f t="shared" si="193"/>
        <v>41008.199999999997</v>
      </c>
      <c r="BJ49" s="115">
        <f t="shared" si="194"/>
        <v>120492.95</v>
      </c>
      <c r="BK49" s="125">
        <f t="shared" si="195"/>
        <v>0</v>
      </c>
      <c r="BL49" s="120">
        <f t="shared" si="56"/>
        <v>256427.6</v>
      </c>
      <c r="BM49" s="121">
        <f t="shared" si="196"/>
        <v>0</v>
      </c>
      <c r="BN49" s="119">
        <f t="shared" si="197"/>
        <v>256427.6</v>
      </c>
      <c r="BO49" s="125">
        <f t="shared" si="198"/>
        <v>100907.83</v>
      </c>
      <c r="BP49" s="140">
        <f t="shared" si="60"/>
        <v>421392.57</v>
      </c>
      <c r="BQ49" s="123">
        <f t="shared" si="199"/>
        <v>0</v>
      </c>
      <c r="BR49" s="125">
        <f t="shared" si="200"/>
        <v>421392.57</v>
      </c>
      <c r="BS49" s="122">
        <f t="shared" si="63"/>
        <v>757304.91999999993</v>
      </c>
      <c r="BT49" s="123">
        <f t="shared" ref="BT49:BU49" si="249">SUM(BI49,BM49,BQ49)</f>
        <v>41008.199999999997</v>
      </c>
      <c r="BU49" s="124">
        <f t="shared" si="249"/>
        <v>798313.12</v>
      </c>
      <c r="BV49" s="125">
        <f t="shared" si="202"/>
        <v>2068908.94</v>
      </c>
      <c r="BW49" s="122">
        <f t="shared" si="66"/>
        <v>1834339.16</v>
      </c>
      <c r="BX49" s="123">
        <f t="shared" si="203"/>
        <v>0</v>
      </c>
      <c r="BY49" s="124">
        <f t="shared" si="204"/>
        <v>1834339.16</v>
      </c>
      <c r="BZ49" s="125">
        <f t="shared" si="205"/>
        <v>146154.6</v>
      </c>
      <c r="CA49" s="140"/>
      <c r="CB49" s="123"/>
      <c r="CC49" s="148"/>
      <c r="CD49" s="123">
        <f t="shared" si="206"/>
        <v>502287.44</v>
      </c>
      <c r="CF49" s="126"/>
    </row>
    <row r="50" spans="1:84" ht="13">
      <c r="A50" s="92">
        <f t="shared" si="166"/>
        <v>112011491</v>
      </c>
      <c r="B50" s="172">
        <f t="shared" si="225"/>
        <v>20</v>
      </c>
      <c r="C50" s="137">
        <f>IFERROR(VLOOKUP(B50,DES,2,FALSE),"")</f>
        <v>0.05</v>
      </c>
      <c r="D50" s="137">
        <f>IFERROR(VLOOKUP(B50,DES,3,FALSE),"")</f>
        <v>0.09</v>
      </c>
      <c r="E50" s="138">
        <f>IFERROR(VLOOKUP(B50,DES,4,FALSE),"")</f>
        <v>0</v>
      </c>
      <c r="F50" s="193">
        <f>IFERROR(VLOOKUP(M50,BASILECART2,2,FALSE),"")</f>
        <v>1</v>
      </c>
      <c r="G50" s="97" t="str">
        <f t="shared" si="167"/>
        <v>Lista</v>
      </c>
      <c r="H50" s="97">
        <f t="shared" si="168"/>
        <v>0.09</v>
      </c>
      <c r="I50" s="97">
        <f t="shared" si="169"/>
        <v>0</v>
      </c>
      <c r="J50" s="96">
        <f t="shared" si="170"/>
        <v>71</v>
      </c>
      <c r="K50" s="94" t="str">
        <f t="shared" si="171"/>
        <v>Lista</v>
      </c>
      <c r="L50" s="98">
        <f t="shared" si="172"/>
        <v>0.05</v>
      </c>
      <c r="M50" s="139" t="s">
        <v>124</v>
      </c>
      <c r="N50" s="100">
        <f t="shared" si="173"/>
        <v>1733725.43</v>
      </c>
      <c r="O50" s="140">
        <f t="shared" ref="O50:O51" si="250">(N50*1.601)*1.05</f>
        <v>2914479.1341014998</v>
      </c>
      <c r="P50" s="102">
        <f t="shared" si="13"/>
        <v>2373281</v>
      </c>
      <c r="Q50" s="102">
        <f t="shared" si="174"/>
        <v>0</v>
      </c>
      <c r="R50" s="102">
        <f t="shared" si="175"/>
        <v>2373281</v>
      </c>
      <c r="S50" s="102">
        <f t="shared" si="16"/>
        <v>-541198.1341014998</v>
      </c>
      <c r="T50" s="103">
        <f t="shared" si="17"/>
        <v>0.81430708226073989</v>
      </c>
      <c r="U50" s="100">
        <f t="shared" si="176"/>
        <v>328426.13</v>
      </c>
      <c r="V50" s="248">
        <v>1500000</v>
      </c>
      <c r="W50" s="105">
        <f t="shared" si="19"/>
        <v>969263.16</v>
      </c>
      <c r="X50" s="102">
        <f t="shared" si="177"/>
        <v>0</v>
      </c>
      <c r="Y50" s="106">
        <f t="shared" si="178"/>
        <v>969263.16</v>
      </c>
      <c r="Z50" s="142">
        <f t="shared" si="234"/>
        <v>-530736.84</v>
      </c>
      <c r="AA50" s="143">
        <f t="shared" si="245"/>
        <v>0.64617544000000005</v>
      </c>
      <c r="AB50" s="100">
        <f t="shared" si="179"/>
        <v>1869000.05</v>
      </c>
      <c r="AC50" s="140">
        <f t="shared" ref="AC50:AC51" si="251">(AB50*1.5955)*1.03</f>
        <v>3071449.2671682499</v>
      </c>
      <c r="AD50" s="102">
        <f t="shared" si="24"/>
        <v>2136326.16</v>
      </c>
      <c r="AE50" s="102">
        <f t="shared" si="180"/>
        <v>0</v>
      </c>
      <c r="AF50" s="102">
        <f t="shared" si="181"/>
        <v>2136326.16</v>
      </c>
      <c r="AG50" s="145">
        <f t="shared" si="27"/>
        <v>-935123.10716824979</v>
      </c>
      <c r="AH50" s="158">
        <f t="shared" ref="AH50:AH61" si="252">IFERROR(AF50/AC50,"")</f>
        <v>0.69554336541902417</v>
      </c>
      <c r="AI50" s="147">
        <f t="shared" si="103"/>
        <v>7485928.4012697497</v>
      </c>
      <c r="AJ50" s="111">
        <f t="shared" si="182"/>
        <v>7183941.7699999996</v>
      </c>
      <c r="AK50" s="102">
        <f t="shared" si="31"/>
        <v>0</v>
      </c>
      <c r="AL50" s="102">
        <f t="shared" si="32"/>
        <v>5478870.3200000003</v>
      </c>
      <c r="AM50" s="102">
        <f t="shared" si="33"/>
        <v>5478870.3200000003</v>
      </c>
      <c r="AN50" s="102">
        <f t="shared" si="34"/>
        <v>-1705071.4499999993</v>
      </c>
      <c r="AO50" s="112">
        <f t="shared" si="35"/>
        <v>0.76265516834778024</v>
      </c>
      <c r="AP50" s="100">
        <f t="shared" si="183"/>
        <v>1461650.98</v>
      </c>
      <c r="AQ50" s="113">
        <f t="shared" si="37"/>
        <v>1585357.14</v>
      </c>
      <c r="AR50" s="114">
        <f t="shared" si="184"/>
        <v>0</v>
      </c>
      <c r="AS50" s="115">
        <f t="shared" si="185"/>
        <v>1585357.14</v>
      </c>
      <c r="AT50" s="100">
        <f t="shared" si="186"/>
        <v>1187495.27</v>
      </c>
      <c r="AU50" s="113">
        <f t="shared" si="41"/>
        <v>1420433.76</v>
      </c>
      <c r="AV50" s="116">
        <f t="shared" si="187"/>
        <v>0</v>
      </c>
      <c r="AW50" s="117">
        <f t="shared" si="188"/>
        <v>1420433.76</v>
      </c>
      <c r="AX50" s="100">
        <f t="shared" si="189"/>
        <v>885976.28</v>
      </c>
      <c r="AY50" s="113">
        <f t="shared" si="45"/>
        <v>1733505.93</v>
      </c>
      <c r="AZ50" s="114">
        <f t="shared" si="190"/>
        <v>31057.599999999999</v>
      </c>
      <c r="BA50" s="100">
        <f t="shared" si="191"/>
        <v>1764563.53</v>
      </c>
      <c r="BB50" s="118">
        <f t="shared" ref="BB50:BD50" si="253">BH50+AY50+AU50</f>
        <v>4414227.8899999997</v>
      </c>
      <c r="BC50" s="116">
        <f t="shared" si="253"/>
        <v>31057.599999999999</v>
      </c>
      <c r="BD50" s="119">
        <f t="shared" si="253"/>
        <v>4445285.49</v>
      </c>
      <c r="BE50" s="118">
        <f t="shared" si="49"/>
        <v>9893098.2100000009</v>
      </c>
      <c r="BF50" s="116">
        <f t="shared" si="50"/>
        <v>31057.599999999999</v>
      </c>
      <c r="BG50" s="119">
        <f t="shared" si="51"/>
        <v>9924155.8100000005</v>
      </c>
      <c r="BH50" s="114">
        <f t="shared" si="52"/>
        <v>1260288.2</v>
      </c>
      <c r="BI50" s="114">
        <f t="shared" si="193"/>
        <v>0</v>
      </c>
      <c r="BJ50" s="115">
        <f t="shared" si="194"/>
        <v>1260288.2</v>
      </c>
      <c r="BK50" s="125">
        <f t="shared" si="195"/>
        <v>996919.65</v>
      </c>
      <c r="BL50" s="120">
        <f t="shared" si="56"/>
        <v>2018987.99</v>
      </c>
      <c r="BM50" s="121">
        <f t="shared" si="196"/>
        <v>0</v>
      </c>
      <c r="BN50" s="119">
        <f t="shared" si="197"/>
        <v>2018987.99</v>
      </c>
      <c r="BO50" s="125">
        <f t="shared" si="198"/>
        <v>1794078.76</v>
      </c>
      <c r="BP50" s="140">
        <f t="shared" si="60"/>
        <v>2129572.33</v>
      </c>
      <c r="BQ50" s="123">
        <f t="shared" si="199"/>
        <v>0</v>
      </c>
      <c r="BR50" s="125">
        <f t="shared" si="200"/>
        <v>2129572.33</v>
      </c>
      <c r="BS50" s="122">
        <f t="shared" si="63"/>
        <v>5408848.5199999996</v>
      </c>
      <c r="BT50" s="123">
        <f t="shared" ref="BT50:BU50" si="254">SUM(BI50,BM50,BQ50)</f>
        <v>0</v>
      </c>
      <c r="BU50" s="124">
        <f t="shared" si="254"/>
        <v>5408848.5199999996</v>
      </c>
      <c r="BV50" s="125">
        <f t="shared" si="202"/>
        <v>1786202.64</v>
      </c>
      <c r="BW50" s="122">
        <f t="shared" si="66"/>
        <v>2903280.47</v>
      </c>
      <c r="BX50" s="123">
        <f t="shared" si="203"/>
        <v>0</v>
      </c>
      <c r="BY50" s="124">
        <f t="shared" si="204"/>
        <v>2903280.47</v>
      </c>
      <c r="BZ50" s="125">
        <f t="shared" si="205"/>
        <v>2623779.27</v>
      </c>
      <c r="CA50" s="140"/>
      <c r="CB50" s="123"/>
      <c r="CC50" s="148"/>
      <c r="CD50" s="123">
        <f t="shared" si="206"/>
        <v>2773959.86</v>
      </c>
      <c r="CF50" s="126"/>
    </row>
    <row r="51" spans="1:84" ht="13">
      <c r="A51" s="92">
        <f t="shared" si="166"/>
        <v>112012286</v>
      </c>
      <c r="B51" s="172">
        <f t="shared" si="225"/>
        <v>20</v>
      </c>
      <c r="C51" s="137">
        <f>VLOOKUP(B51,DES,2,FALSE)</f>
        <v>0.05</v>
      </c>
      <c r="D51" s="137">
        <f>VLOOKUP(B51,DES,3,FALSE)</f>
        <v>0.09</v>
      </c>
      <c r="E51" s="138">
        <f>VLOOKUP(B51,DES,4,FALSE)</f>
        <v>0</v>
      </c>
      <c r="F51" s="96">
        <f>VLOOKUP(M51,BASILECART2,2,FALSE)</f>
        <v>1</v>
      </c>
      <c r="G51" s="97" t="str">
        <f t="shared" si="167"/>
        <v>Lista</v>
      </c>
      <c r="H51" s="97">
        <f t="shared" si="168"/>
        <v>0.09</v>
      </c>
      <c r="I51" s="97">
        <f t="shared" si="169"/>
        <v>0</v>
      </c>
      <c r="J51" s="96">
        <f t="shared" si="170"/>
        <v>71</v>
      </c>
      <c r="K51" s="94" t="str">
        <f t="shared" si="171"/>
        <v>Lista</v>
      </c>
      <c r="L51" s="98">
        <f t="shared" si="172"/>
        <v>0.05</v>
      </c>
      <c r="M51" s="139" t="s">
        <v>125</v>
      </c>
      <c r="N51" s="100">
        <f t="shared" si="173"/>
        <v>1262728.25</v>
      </c>
      <c r="O51" s="156">
        <f t="shared" si="250"/>
        <v>2122709.3246625001</v>
      </c>
      <c r="P51" s="102">
        <f t="shared" si="13"/>
        <v>0</v>
      </c>
      <c r="Q51" s="102">
        <f t="shared" si="174"/>
        <v>0</v>
      </c>
      <c r="R51" s="102">
        <f t="shared" si="175"/>
        <v>0</v>
      </c>
      <c r="S51" s="102">
        <f t="shared" si="16"/>
        <v>-2122709.3246625001</v>
      </c>
      <c r="T51" s="103">
        <f t="shared" si="17"/>
        <v>0</v>
      </c>
      <c r="U51" s="100">
        <f t="shared" si="176"/>
        <v>682955.57</v>
      </c>
      <c r="V51" s="248">
        <v>1500000</v>
      </c>
      <c r="W51" s="105">
        <f t="shared" si="19"/>
        <v>1117565.52</v>
      </c>
      <c r="X51" s="102">
        <f t="shared" si="177"/>
        <v>0</v>
      </c>
      <c r="Y51" s="106">
        <f t="shared" si="178"/>
        <v>1117565.52</v>
      </c>
      <c r="Z51" s="142">
        <f t="shared" si="234"/>
        <v>-382434.48</v>
      </c>
      <c r="AA51" s="143">
        <f t="shared" si="245"/>
        <v>0.74504367999999999</v>
      </c>
      <c r="AB51" s="100">
        <f t="shared" si="179"/>
        <v>1421903.59</v>
      </c>
      <c r="AC51" s="156">
        <f t="shared" si="251"/>
        <v>2336706.59318035</v>
      </c>
      <c r="AD51" s="102">
        <f t="shared" si="24"/>
        <v>1350399.87</v>
      </c>
      <c r="AE51" s="102">
        <f t="shared" si="180"/>
        <v>0</v>
      </c>
      <c r="AF51" s="102">
        <f t="shared" si="181"/>
        <v>1350399.87</v>
      </c>
      <c r="AG51" s="145">
        <f t="shared" si="27"/>
        <v>-986306.72318034992</v>
      </c>
      <c r="AH51" s="158">
        <f t="shared" si="252"/>
        <v>0.57790733074538581</v>
      </c>
      <c r="AI51" s="147">
        <f t="shared" si="103"/>
        <v>5959415.9178428501</v>
      </c>
      <c r="AJ51" s="111">
        <f t="shared" si="182"/>
        <v>4101486.59</v>
      </c>
      <c r="AK51" s="102">
        <f t="shared" si="31"/>
        <v>0</v>
      </c>
      <c r="AL51" s="102">
        <f t="shared" si="32"/>
        <v>2467965.39</v>
      </c>
      <c r="AM51" s="102">
        <f t="shared" si="33"/>
        <v>2467965.39</v>
      </c>
      <c r="AN51" s="102">
        <f t="shared" si="34"/>
        <v>-1633521.1999999997</v>
      </c>
      <c r="AO51" s="112">
        <f t="shared" si="35"/>
        <v>0.60172460298108643</v>
      </c>
      <c r="AP51" s="100">
        <f t="shared" si="183"/>
        <v>945514.9</v>
      </c>
      <c r="AQ51" s="113">
        <f t="shared" si="37"/>
        <v>1210134.8999999999</v>
      </c>
      <c r="AR51" s="114">
        <f t="shared" si="184"/>
        <v>103478.58</v>
      </c>
      <c r="AS51" s="115">
        <f t="shared" si="185"/>
        <v>1313613.48</v>
      </c>
      <c r="AT51" s="100">
        <f t="shared" si="186"/>
        <v>1336344.77</v>
      </c>
      <c r="AU51" s="113">
        <f t="shared" si="41"/>
        <v>575803.68999999994</v>
      </c>
      <c r="AV51" s="116">
        <f t="shared" si="187"/>
        <v>120334.14</v>
      </c>
      <c r="AW51" s="117">
        <f t="shared" si="188"/>
        <v>696137.83</v>
      </c>
      <c r="AX51" s="100">
        <f t="shared" si="189"/>
        <v>1171666.29</v>
      </c>
      <c r="AY51" s="113">
        <f t="shared" si="45"/>
        <v>1735216.84</v>
      </c>
      <c r="AZ51" s="114">
        <f t="shared" si="190"/>
        <v>0</v>
      </c>
      <c r="BA51" s="100">
        <f t="shared" si="191"/>
        <v>1735216.84</v>
      </c>
      <c r="BB51" s="118">
        <f t="shared" ref="BB51:BD51" si="255">BH51+AY51+AU51</f>
        <v>3712015.9600000004</v>
      </c>
      <c r="BC51" s="116">
        <f t="shared" si="255"/>
        <v>227551.57</v>
      </c>
      <c r="BD51" s="119">
        <f t="shared" si="255"/>
        <v>3939567.5300000003</v>
      </c>
      <c r="BE51" s="118">
        <f t="shared" si="49"/>
        <v>6179981.3500000006</v>
      </c>
      <c r="BF51" s="116">
        <f t="shared" si="50"/>
        <v>227551.57</v>
      </c>
      <c r="BG51" s="119">
        <f t="shared" si="51"/>
        <v>6407532.9199999999</v>
      </c>
      <c r="BH51" s="114">
        <f t="shared" si="52"/>
        <v>1400995.4300000002</v>
      </c>
      <c r="BI51" s="114">
        <f t="shared" si="193"/>
        <v>107217.43</v>
      </c>
      <c r="BJ51" s="115">
        <f t="shared" si="194"/>
        <v>1508212.86</v>
      </c>
      <c r="BK51" s="125">
        <f t="shared" si="195"/>
        <v>1891129.6</v>
      </c>
      <c r="BL51" s="120">
        <f t="shared" si="56"/>
        <v>801437.78</v>
      </c>
      <c r="BM51" s="121">
        <f t="shared" si="196"/>
        <v>517951.05</v>
      </c>
      <c r="BN51" s="119">
        <f t="shared" si="197"/>
        <v>1319388.83</v>
      </c>
      <c r="BO51" s="125">
        <f t="shared" si="198"/>
        <v>964168.49</v>
      </c>
      <c r="BP51" s="140">
        <f t="shared" si="60"/>
        <v>1726138.8900000001</v>
      </c>
      <c r="BQ51" s="123">
        <f t="shared" si="199"/>
        <v>187614.88</v>
      </c>
      <c r="BR51" s="125">
        <f t="shared" si="200"/>
        <v>1913753.77</v>
      </c>
      <c r="BS51" s="122">
        <f t="shared" si="63"/>
        <v>3928572.1</v>
      </c>
      <c r="BT51" s="123">
        <f t="shared" ref="BT51:BU51" si="256">SUM(BI51,BM51,BQ51)</f>
        <v>812783.36</v>
      </c>
      <c r="BU51" s="124">
        <f t="shared" si="256"/>
        <v>4741355.4600000009</v>
      </c>
      <c r="BV51" s="125">
        <f t="shared" si="202"/>
        <v>946809.75</v>
      </c>
      <c r="BW51" s="122">
        <f t="shared" si="66"/>
        <v>1527356.4700000002</v>
      </c>
      <c r="BX51" s="123">
        <f t="shared" si="203"/>
        <v>171113.62</v>
      </c>
      <c r="BY51" s="124">
        <f t="shared" si="204"/>
        <v>1698470.09</v>
      </c>
      <c r="BZ51" s="125">
        <f t="shared" si="205"/>
        <v>1930590.29</v>
      </c>
      <c r="CA51" s="140"/>
      <c r="CB51" s="123"/>
      <c r="CC51" s="148"/>
      <c r="CD51" s="123">
        <f t="shared" si="206"/>
        <v>1224086.54</v>
      </c>
      <c r="CF51" s="126"/>
    </row>
    <row r="52" spans="1:84" ht="14">
      <c r="A52" s="92">
        <f t="shared" si="166"/>
        <v>112014632</v>
      </c>
      <c r="B52" s="172">
        <f t="shared" si="225"/>
        <v>4</v>
      </c>
      <c r="C52" s="137" t="str">
        <f>IFERROR(VLOOKUP(B52,DES,2,FALSE),"")</f>
        <v>Lista</v>
      </c>
      <c r="D52" s="137">
        <f>IFERROR(VLOOKUP(B52,DES,3,FALSE),"")</f>
        <v>0.2</v>
      </c>
      <c r="E52" s="138">
        <f>IFERROR(VLOOKUP(B52,DES,4,FALSE),"")</f>
        <v>0</v>
      </c>
      <c r="F52" s="96">
        <f>VLOOKUP(M52,BASILECART2,2,FALSE)</f>
        <v>4</v>
      </c>
      <c r="G52" s="97" t="str">
        <f t="shared" si="167"/>
        <v>Lista</v>
      </c>
      <c r="H52" s="97">
        <f t="shared" si="168"/>
        <v>0.2</v>
      </c>
      <c r="I52" s="97">
        <f t="shared" si="169"/>
        <v>0</v>
      </c>
      <c r="J52" s="96">
        <f t="shared" si="170"/>
        <v>70</v>
      </c>
      <c r="K52" s="94" t="str">
        <f t="shared" si="171"/>
        <v>Lista</v>
      </c>
      <c r="L52" s="98">
        <f t="shared" si="172"/>
        <v>0.11</v>
      </c>
      <c r="M52" s="139" t="s">
        <v>126</v>
      </c>
      <c r="N52" s="100">
        <f t="shared" si="173"/>
        <v>0</v>
      </c>
      <c r="O52" s="140"/>
      <c r="P52" s="102">
        <f t="shared" si="13"/>
        <v>0</v>
      </c>
      <c r="Q52" s="102">
        <f t="shared" si="174"/>
        <v>0</v>
      </c>
      <c r="R52" s="102">
        <f t="shared" si="175"/>
        <v>0</v>
      </c>
      <c r="S52" s="102">
        <f t="shared" si="16"/>
        <v>0</v>
      </c>
      <c r="T52" s="103" t="e">
        <f t="shared" si="17"/>
        <v>#DIV/0!</v>
      </c>
      <c r="U52" s="100">
        <f t="shared" si="176"/>
        <v>0</v>
      </c>
      <c r="V52" s="252">
        <f t="shared" ref="V52:V57" si="257">U52*1.7245</f>
        <v>0</v>
      </c>
      <c r="W52" s="105">
        <f t="shared" si="19"/>
        <v>0</v>
      </c>
      <c r="X52" s="102">
        <f t="shared" si="177"/>
        <v>0</v>
      </c>
      <c r="Y52" s="106">
        <f t="shared" si="178"/>
        <v>0</v>
      </c>
      <c r="Z52" s="142">
        <f t="shared" si="234"/>
        <v>0</v>
      </c>
      <c r="AA52" s="143" t="str">
        <f t="shared" ref="AA52:AA57" si="258">IFERROR(Y52/V52,"")</f>
        <v/>
      </c>
      <c r="AB52" s="100">
        <f t="shared" si="179"/>
        <v>0</v>
      </c>
      <c r="AC52" s="144">
        <v>600000</v>
      </c>
      <c r="AD52" s="102">
        <f t="shared" si="24"/>
        <v>30541.349999999991</v>
      </c>
      <c r="AE52" s="102">
        <f t="shared" si="180"/>
        <v>100328.8</v>
      </c>
      <c r="AF52" s="102">
        <f t="shared" si="181"/>
        <v>130870.15</v>
      </c>
      <c r="AG52" s="145">
        <f t="shared" si="27"/>
        <v>-469129.85</v>
      </c>
      <c r="AH52" s="158">
        <f t="shared" si="252"/>
        <v>0.21811691666666666</v>
      </c>
      <c r="AI52" s="110">
        <f t="shared" si="103"/>
        <v>600000</v>
      </c>
      <c r="AJ52" s="111">
        <f t="shared" si="182"/>
        <v>66578.06</v>
      </c>
      <c r="AK52" s="102">
        <f t="shared" si="31"/>
        <v>100328.8</v>
      </c>
      <c r="AL52" s="102">
        <f t="shared" si="32"/>
        <v>30541.349999999991</v>
      </c>
      <c r="AM52" s="102">
        <f t="shared" si="33"/>
        <v>130870.15</v>
      </c>
      <c r="AN52" s="102">
        <f t="shared" si="34"/>
        <v>64292.09</v>
      </c>
      <c r="AO52" s="112">
        <f t="shared" si="35"/>
        <v>1.965664815105757</v>
      </c>
      <c r="AP52" s="100">
        <f t="shared" si="183"/>
        <v>0</v>
      </c>
      <c r="AQ52" s="113">
        <f t="shared" si="37"/>
        <v>19397.949999999983</v>
      </c>
      <c r="AR52" s="114">
        <f t="shared" si="184"/>
        <v>209494.35</v>
      </c>
      <c r="AS52" s="115">
        <f t="shared" si="185"/>
        <v>228892.3</v>
      </c>
      <c r="AT52" s="100">
        <f t="shared" si="186"/>
        <v>0</v>
      </c>
      <c r="AU52" s="113">
        <f t="shared" si="41"/>
        <v>25828.309999999998</v>
      </c>
      <c r="AV52" s="116">
        <f t="shared" si="187"/>
        <v>207768.1</v>
      </c>
      <c r="AW52" s="117">
        <f t="shared" si="188"/>
        <v>233596.41</v>
      </c>
      <c r="AX52" s="100">
        <f t="shared" si="189"/>
        <v>0</v>
      </c>
      <c r="AY52" s="113">
        <f t="shared" si="45"/>
        <v>31860.25</v>
      </c>
      <c r="AZ52" s="114">
        <f t="shared" si="190"/>
        <v>219969.08</v>
      </c>
      <c r="BA52" s="100">
        <f t="shared" si="191"/>
        <v>251829.33</v>
      </c>
      <c r="BB52" s="118">
        <f t="shared" ref="BB52:BD52" si="259">BH52+AY52+AU52</f>
        <v>66630.959999999992</v>
      </c>
      <c r="BC52" s="116">
        <f t="shared" si="259"/>
        <v>466928.55</v>
      </c>
      <c r="BD52" s="119">
        <f t="shared" si="259"/>
        <v>533559.51</v>
      </c>
      <c r="BE52" s="118">
        <f t="shared" si="49"/>
        <v>97172.309999999983</v>
      </c>
      <c r="BF52" s="116">
        <f t="shared" si="50"/>
        <v>567257.35</v>
      </c>
      <c r="BG52" s="119">
        <f t="shared" si="51"/>
        <v>664429.66</v>
      </c>
      <c r="BH52" s="114">
        <f t="shared" si="52"/>
        <v>8942.3999999999942</v>
      </c>
      <c r="BI52" s="114">
        <f t="shared" si="193"/>
        <v>39191.370000000003</v>
      </c>
      <c r="BJ52" s="115">
        <f t="shared" si="194"/>
        <v>48133.77</v>
      </c>
      <c r="BK52" s="125">
        <f t="shared" si="195"/>
        <v>0</v>
      </c>
      <c r="BL52" s="120">
        <f t="shared" si="56"/>
        <v>0</v>
      </c>
      <c r="BM52" s="121">
        <f t="shared" si="196"/>
        <v>136283.57999999999</v>
      </c>
      <c r="BN52" s="119">
        <f t="shared" si="197"/>
        <v>136283.57999999999</v>
      </c>
      <c r="BO52" s="125">
        <f t="shared" si="198"/>
        <v>0</v>
      </c>
      <c r="BP52" s="140">
        <f t="shared" si="60"/>
        <v>0</v>
      </c>
      <c r="BQ52" s="123">
        <f t="shared" si="199"/>
        <v>0</v>
      </c>
      <c r="BR52" s="125">
        <f t="shared" si="200"/>
        <v>0</v>
      </c>
      <c r="BS52" s="122">
        <f t="shared" si="63"/>
        <v>8942.3999999999942</v>
      </c>
      <c r="BT52" s="123">
        <f t="shared" ref="BT52:BU52" si="260">SUM(BI52,BM52,BQ52)</f>
        <v>175474.94999999998</v>
      </c>
      <c r="BU52" s="124">
        <f t="shared" si="260"/>
        <v>184417.34999999998</v>
      </c>
      <c r="BV52" s="125">
        <f t="shared" si="202"/>
        <v>0</v>
      </c>
      <c r="BW52" s="122">
        <f t="shared" si="66"/>
        <v>0</v>
      </c>
      <c r="BX52" s="123">
        <f t="shared" si="203"/>
        <v>0</v>
      </c>
      <c r="BY52" s="124">
        <f t="shared" si="204"/>
        <v>0</v>
      </c>
      <c r="BZ52" s="125">
        <f t="shared" si="205"/>
        <v>0</v>
      </c>
      <c r="CA52" s="140"/>
      <c r="CB52" s="123"/>
      <c r="CC52" s="148"/>
      <c r="CD52" s="123">
        <f t="shared" si="206"/>
        <v>66578.06</v>
      </c>
      <c r="CF52" s="149"/>
    </row>
    <row r="53" spans="1:84" ht="14">
      <c r="A53" s="92">
        <f t="shared" si="166"/>
        <v>112014377</v>
      </c>
      <c r="B53" s="172">
        <f t="shared" si="225"/>
        <v>18</v>
      </c>
      <c r="C53" s="137" t="str">
        <f>IFERROR(VLOOKUP(B53,DES,2,FALSE),"")</f>
        <v>Lista</v>
      </c>
      <c r="D53" s="137">
        <f>IFERROR(VLOOKUP(B53,DES,3,FALSE),"")</f>
        <v>0.23</v>
      </c>
      <c r="E53" s="138">
        <f>IFERROR(VLOOKUP(B53,DES,4,FALSE),"")</f>
        <v>0</v>
      </c>
      <c r="F53" s="96">
        <f>VLOOKUP(M53,BASILECART2,2,FALSE)</f>
        <v>18</v>
      </c>
      <c r="G53" s="97" t="str">
        <f t="shared" si="167"/>
        <v>Lista</v>
      </c>
      <c r="H53" s="97">
        <f t="shared" si="168"/>
        <v>0.23</v>
      </c>
      <c r="I53" s="97">
        <f t="shared" si="169"/>
        <v>0</v>
      </c>
      <c r="J53" s="96">
        <f t="shared" si="170"/>
        <v>69</v>
      </c>
      <c r="K53" s="94" t="str">
        <f t="shared" si="171"/>
        <v>Lista</v>
      </c>
      <c r="L53" s="98">
        <f t="shared" si="172"/>
        <v>0.14000000000000001</v>
      </c>
      <c r="M53" s="139" t="s">
        <v>127</v>
      </c>
      <c r="N53" s="100">
        <f t="shared" si="173"/>
        <v>0</v>
      </c>
      <c r="O53" s="140">
        <f t="shared" ref="O53:O57" si="261">(N53*1.601)*1.05</f>
        <v>0</v>
      </c>
      <c r="P53" s="102">
        <f t="shared" si="13"/>
        <v>0</v>
      </c>
      <c r="Q53" s="102">
        <f t="shared" si="174"/>
        <v>1181177.69</v>
      </c>
      <c r="R53" s="102">
        <f t="shared" si="175"/>
        <v>1181177.69</v>
      </c>
      <c r="S53" s="102">
        <f t="shared" si="16"/>
        <v>1181177.69</v>
      </c>
      <c r="T53" s="103" t="e">
        <f t="shared" si="17"/>
        <v>#DIV/0!</v>
      </c>
      <c r="U53" s="100">
        <f t="shared" si="176"/>
        <v>0</v>
      </c>
      <c r="V53" s="141">
        <f t="shared" si="257"/>
        <v>0</v>
      </c>
      <c r="W53" s="105">
        <f t="shared" si="19"/>
        <v>0</v>
      </c>
      <c r="X53" s="102">
        <f t="shared" si="177"/>
        <v>2001095.1</v>
      </c>
      <c r="Y53" s="106">
        <f t="shared" si="178"/>
        <v>2001095.1</v>
      </c>
      <c r="Z53" s="142">
        <f t="shared" si="234"/>
        <v>2001095.1</v>
      </c>
      <c r="AA53" s="143" t="str">
        <f t="shared" si="258"/>
        <v/>
      </c>
      <c r="AB53" s="100">
        <f t="shared" si="179"/>
        <v>662188.69999999995</v>
      </c>
      <c r="AC53" s="140">
        <f t="shared" ref="AC53:AC57" si="262">(AB53*1.5955)*1.03</f>
        <v>1088217.7329754997</v>
      </c>
      <c r="AD53" s="102">
        <f t="shared" si="24"/>
        <v>0</v>
      </c>
      <c r="AE53" s="102">
        <f t="shared" si="180"/>
        <v>819001.66</v>
      </c>
      <c r="AF53" s="102">
        <f t="shared" si="181"/>
        <v>819001.66</v>
      </c>
      <c r="AG53" s="145">
        <f t="shared" si="27"/>
        <v>-269216.07297549967</v>
      </c>
      <c r="AH53" s="158">
        <f t="shared" si="252"/>
        <v>0.75260826503958389</v>
      </c>
      <c r="AI53" s="147">
        <f t="shared" si="103"/>
        <v>1088217.7329754997</v>
      </c>
      <c r="AJ53" s="111">
        <f t="shared" si="182"/>
        <v>2435872.21</v>
      </c>
      <c r="AK53" s="102">
        <f t="shared" si="31"/>
        <v>4001274.45</v>
      </c>
      <c r="AL53" s="102">
        <f t="shared" si="32"/>
        <v>0</v>
      </c>
      <c r="AM53" s="102">
        <f t="shared" si="33"/>
        <v>4001274.45</v>
      </c>
      <c r="AN53" s="102">
        <f t="shared" si="34"/>
        <v>1565402.2400000002</v>
      </c>
      <c r="AO53" s="112">
        <f t="shared" si="35"/>
        <v>1.6426454694846246</v>
      </c>
      <c r="AP53" s="100">
        <f t="shared" si="183"/>
        <v>920307.44</v>
      </c>
      <c r="AQ53" s="113">
        <f t="shared" si="37"/>
        <v>0</v>
      </c>
      <c r="AR53" s="114">
        <f t="shared" si="184"/>
        <v>850360.9</v>
      </c>
      <c r="AS53" s="115">
        <f t="shared" si="185"/>
        <v>850360.9</v>
      </c>
      <c r="AT53" s="100">
        <f t="shared" si="186"/>
        <v>110286.48</v>
      </c>
      <c r="AU53" s="113">
        <f t="shared" si="41"/>
        <v>0</v>
      </c>
      <c r="AV53" s="116">
        <f t="shared" si="187"/>
        <v>801431.86</v>
      </c>
      <c r="AW53" s="117">
        <f t="shared" si="188"/>
        <v>801431.86</v>
      </c>
      <c r="AX53" s="100">
        <f t="shared" si="189"/>
        <v>539967.19999999995</v>
      </c>
      <c r="AY53" s="113">
        <f t="shared" si="45"/>
        <v>0</v>
      </c>
      <c r="AZ53" s="114">
        <f t="shared" si="190"/>
        <v>1948671.81</v>
      </c>
      <c r="BA53" s="100">
        <f t="shared" si="191"/>
        <v>1948671.81</v>
      </c>
      <c r="BB53" s="118">
        <f t="shared" ref="BB53:BD53" si="263">BH53+AY53+AU53</f>
        <v>0</v>
      </c>
      <c r="BC53" s="116">
        <f t="shared" si="263"/>
        <v>4765381.17</v>
      </c>
      <c r="BD53" s="119">
        <f t="shared" si="263"/>
        <v>4765381.17</v>
      </c>
      <c r="BE53" s="118">
        <f t="shared" si="49"/>
        <v>0</v>
      </c>
      <c r="BF53" s="116">
        <f t="shared" si="50"/>
        <v>8766655.620000001</v>
      </c>
      <c r="BG53" s="119">
        <f t="shared" si="51"/>
        <v>8766655.620000001</v>
      </c>
      <c r="BH53" s="114">
        <f t="shared" si="52"/>
        <v>0</v>
      </c>
      <c r="BI53" s="114">
        <f t="shared" si="193"/>
        <v>2015277.5</v>
      </c>
      <c r="BJ53" s="115">
        <f t="shared" si="194"/>
        <v>2015277.5</v>
      </c>
      <c r="BK53" s="125">
        <f t="shared" si="195"/>
        <v>501545.13</v>
      </c>
      <c r="BL53" s="120">
        <f t="shared" si="56"/>
        <v>0</v>
      </c>
      <c r="BM53" s="121">
        <f t="shared" si="196"/>
        <v>2287200.61</v>
      </c>
      <c r="BN53" s="119">
        <f t="shared" si="197"/>
        <v>2287200.61</v>
      </c>
      <c r="BO53" s="125">
        <f t="shared" si="198"/>
        <v>1002092.55</v>
      </c>
      <c r="BP53" s="140">
        <f t="shared" si="60"/>
        <v>0</v>
      </c>
      <c r="BQ53" s="123">
        <f t="shared" si="199"/>
        <v>1134478.99</v>
      </c>
      <c r="BR53" s="125">
        <f t="shared" si="200"/>
        <v>1134478.99</v>
      </c>
      <c r="BS53" s="122">
        <f t="shared" si="63"/>
        <v>0</v>
      </c>
      <c r="BT53" s="123">
        <f t="shared" ref="BT53:BU53" si="264">SUM(BI53,BM53,BQ53)</f>
        <v>5436957.0999999996</v>
      </c>
      <c r="BU53" s="124">
        <f t="shared" si="264"/>
        <v>5436957.0999999996</v>
      </c>
      <c r="BV53" s="125">
        <f t="shared" si="202"/>
        <v>724564.38</v>
      </c>
      <c r="BW53" s="122">
        <f t="shared" si="66"/>
        <v>0</v>
      </c>
      <c r="BX53" s="123">
        <f t="shared" si="203"/>
        <v>953849.15</v>
      </c>
      <c r="BY53" s="124">
        <f t="shared" si="204"/>
        <v>953849.15</v>
      </c>
      <c r="BZ53" s="125">
        <f t="shared" si="205"/>
        <v>1177014.1499999999</v>
      </c>
      <c r="CA53" s="140"/>
      <c r="CB53" s="123"/>
      <c r="CC53" s="148"/>
      <c r="CD53" s="123">
        <f t="shared" si="206"/>
        <v>534293.68000000005</v>
      </c>
      <c r="CF53" s="149"/>
    </row>
    <row r="54" spans="1:84" ht="14">
      <c r="A54" s="92">
        <f t="shared" si="166"/>
        <v>112012975</v>
      </c>
      <c r="B54" s="172">
        <f t="shared" si="225"/>
        <v>18</v>
      </c>
      <c r="C54" s="137" t="str">
        <f>IFERROR(VLOOKUP(B54,DES,2,FALSE),"")</f>
        <v>Lista</v>
      </c>
      <c r="D54" s="137">
        <f>IFERROR(VLOOKUP(B54,DES,3,FALSE),"")</f>
        <v>0.23</v>
      </c>
      <c r="E54" s="138">
        <f>IFERROR(VLOOKUP(B54,DES,4,FALSE),"")</f>
        <v>0</v>
      </c>
      <c r="F54" s="193">
        <f>IFERROR(VLOOKUP(M54,BASILECART2,2,FALSE),"")</f>
        <v>18</v>
      </c>
      <c r="G54" s="97" t="str">
        <f t="shared" si="167"/>
        <v>Lista</v>
      </c>
      <c r="H54" s="97">
        <f t="shared" si="168"/>
        <v>0.23</v>
      </c>
      <c r="I54" s="97">
        <f t="shared" si="169"/>
        <v>0</v>
      </c>
      <c r="J54" s="96">
        <f t="shared" si="170"/>
        <v>69</v>
      </c>
      <c r="K54" s="94" t="str">
        <f t="shared" si="171"/>
        <v>Lista</v>
      </c>
      <c r="L54" s="98">
        <f t="shared" si="172"/>
        <v>0.14000000000000001</v>
      </c>
      <c r="M54" s="139" t="s">
        <v>128</v>
      </c>
      <c r="N54" s="100" t="str">
        <f t="shared" si="173"/>
        <v/>
      </c>
      <c r="O54" s="140" t="e">
        <f t="shared" si="261"/>
        <v>#VALUE!</v>
      </c>
      <c r="P54" s="102">
        <f t="shared" si="13"/>
        <v>0</v>
      </c>
      <c r="Q54" s="102">
        <f t="shared" si="174"/>
        <v>0</v>
      </c>
      <c r="R54" s="102">
        <f t="shared" si="175"/>
        <v>0</v>
      </c>
      <c r="S54" s="102" t="e">
        <f t="shared" si="16"/>
        <v>#VALUE!</v>
      </c>
      <c r="T54" s="103" t="e">
        <f t="shared" si="17"/>
        <v>#VALUE!</v>
      </c>
      <c r="U54" s="100" t="str">
        <f t="shared" si="176"/>
        <v/>
      </c>
      <c r="V54" s="141" t="e">
        <f t="shared" si="257"/>
        <v>#VALUE!</v>
      </c>
      <c r="W54" s="105">
        <f t="shared" si="19"/>
        <v>0</v>
      </c>
      <c r="X54" s="102">
        <f t="shared" si="177"/>
        <v>0</v>
      </c>
      <c r="Y54" s="106">
        <f t="shared" si="178"/>
        <v>0</v>
      </c>
      <c r="Z54" s="142" t="e">
        <f t="shared" si="234"/>
        <v>#VALUE!</v>
      </c>
      <c r="AA54" s="143" t="str">
        <f t="shared" si="258"/>
        <v/>
      </c>
      <c r="AB54" s="100" t="str">
        <f t="shared" si="179"/>
        <v/>
      </c>
      <c r="AC54" s="140" t="e">
        <f t="shared" si="262"/>
        <v>#VALUE!</v>
      </c>
      <c r="AD54" s="102">
        <f t="shared" si="24"/>
        <v>0</v>
      </c>
      <c r="AE54" s="102">
        <f t="shared" si="180"/>
        <v>0</v>
      </c>
      <c r="AF54" s="102">
        <f t="shared" si="181"/>
        <v>0</v>
      </c>
      <c r="AG54" s="145" t="e">
        <f t="shared" si="27"/>
        <v>#VALUE!</v>
      </c>
      <c r="AH54" s="158" t="str">
        <f t="shared" si="252"/>
        <v/>
      </c>
      <c r="AI54" s="147" t="e">
        <f t="shared" si="103"/>
        <v>#VALUE!</v>
      </c>
      <c r="AJ54" s="111" t="str">
        <f t="shared" si="182"/>
        <v>0</v>
      </c>
      <c r="AK54" s="102">
        <f t="shared" si="31"/>
        <v>0</v>
      </c>
      <c r="AL54" s="102">
        <f t="shared" si="32"/>
        <v>0</v>
      </c>
      <c r="AM54" s="102">
        <f t="shared" si="33"/>
        <v>0</v>
      </c>
      <c r="AN54" s="102">
        <f t="shared" si="34"/>
        <v>0</v>
      </c>
      <c r="AO54" s="112" t="e">
        <f t="shared" si="35"/>
        <v>#DIV/0!</v>
      </c>
      <c r="AP54" s="100" t="str">
        <f t="shared" si="183"/>
        <v/>
      </c>
      <c r="AQ54" s="113">
        <f t="shared" si="37"/>
        <v>0</v>
      </c>
      <c r="AR54" s="114">
        <f t="shared" si="184"/>
        <v>0</v>
      </c>
      <c r="AS54" s="115">
        <f t="shared" si="185"/>
        <v>0</v>
      </c>
      <c r="AT54" s="100" t="str">
        <f t="shared" si="186"/>
        <v/>
      </c>
      <c r="AU54" s="113">
        <f t="shared" si="41"/>
        <v>0</v>
      </c>
      <c r="AV54" s="116">
        <f t="shared" si="187"/>
        <v>0</v>
      </c>
      <c r="AW54" s="117">
        <f t="shared" si="188"/>
        <v>0</v>
      </c>
      <c r="AX54" s="100" t="str">
        <f t="shared" si="189"/>
        <v/>
      </c>
      <c r="AY54" s="113">
        <f t="shared" si="45"/>
        <v>0</v>
      </c>
      <c r="AZ54" s="114">
        <f t="shared" si="190"/>
        <v>577163.13</v>
      </c>
      <c r="BA54" s="100">
        <f t="shared" si="191"/>
        <v>577163.13</v>
      </c>
      <c r="BB54" s="118">
        <f t="shared" ref="BB54:BD54" si="265">BH54+AY54+AU54</f>
        <v>0</v>
      </c>
      <c r="BC54" s="116">
        <f t="shared" si="265"/>
        <v>1005001.23</v>
      </c>
      <c r="BD54" s="119">
        <f t="shared" si="265"/>
        <v>1005001.23</v>
      </c>
      <c r="BE54" s="118">
        <f t="shared" si="49"/>
        <v>0</v>
      </c>
      <c r="BF54" s="116">
        <f t="shared" si="50"/>
        <v>1005001.23</v>
      </c>
      <c r="BG54" s="119">
        <f t="shared" si="51"/>
        <v>1005001.23</v>
      </c>
      <c r="BH54" s="114">
        <f t="shared" si="52"/>
        <v>0</v>
      </c>
      <c r="BI54" s="114">
        <f t="shared" si="193"/>
        <v>427838.1</v>
      </c>
      <c r="BJ54" s="115">
        <f t="shared" si="194"/>
        <v>427838.1</v>
      </c>
      <c r="BK54" s="125" t="str">
        <f t="shared" si="195"/>
        <v/>
      </c>
      <c r="BL54" s="120">
        <f t="shared" si="56"/>
        <v>0</v>
      </c>
      <c r="BM54" s="121">
        <f t="shared" si="196"/>
        <v>0</v>
      </c>
      <c r="BN54" s="119">
        <f t="shared" si="197"/>
        <v>0</v>
      </c>
      <c r="BO54" s="125" t="str">
        <f t="shared" si="198"/>
        <v/>
      </c>
      <c r="BP54" s="140">
        <f t="shared" si="60"/>
        <v>0</v>
      </c>
      <c r="BQ54" s="123">
        <f t="shared" si="199"/>
        <v>0</v>
      </c>
      <c r="BR54" s="125">
        <f t="shared" si="200"/>
        <v>0</v>
      </c>
      <c r="BS54" s="122">
        <f t="shared" si="63"/>
        <v>0</v>
      </c>
      <c r="BT54" s="123">
        <f t="shared" ref="BT54:BU54" si="266">SUM(BI54,BM54,BQ54)</f>
        <v>427838.1</v>
      </c>
      <c r="BU54" s="124">
        <f t="shared" si="266"/>
        <v>427838.1</v>
      </c>
      <c r="BV54" s="125" t="str">
        <f t="shared" si="202"/>
        <v/>
      </c>
      <c r="BW54" s="122">
        <f t="shared" si="66"/>
        <v>0</v>
      </c>
      <c r="BX54" s="123">
        <f t="shared" si="203"/>
        <v>0</v>
      </c>
      <c r="BY54" s="124">
        <f t="shared" si="204"/>
        <v>0</v>
      </c>
      <c r="BZ54" s="125" t="str">
        <f t="shared" si="205"/>
        <v/>
      </c>
      <c r="CA54" s="140"/>
      <c r="CB54" s="123"/>
      <c r="CC54" s="148"/>
      <c r="CD54" s="123" t="str">
        <f t="shared" si="206"/>
        <v/>
      </c>
      <c r="CF54" s="149"/>
    </row>
    <row r="55" spans="1:84" ht="13">
      <c r="A55" s="92">
        <f t="shared" si="166"/>
        <v>112012963</v>
      </c>
      <c r="B55" s="172">
        <f t="shared" si="225"/>
        <v>18</v>
      </c>
      <c r="C55" s="137" t="str">
        <f>VLOOKUP(B55,DES,2,FALSE)</f>
        <v>Lista</v>
      </c>
      <c r="D55" s="137">
        <f>VLOOKUP(B55,DES,3,FALSE)</f>
        <v>0.23</v>
      </c>
      <c r="E55" s="138">
        <f>VLOOKUP(B55,DES,4,FALSE)</f>
        <v>0</v>
      </c>
      <c r="F55" s="193">
        <f>IFERROR(VLOOKUP(M55,BASILECART2,2,FALSE),"")</f>
        <v>18</v>
      </c>
      <c r="G55" s="97" t="str">
        <f t="shared" si="167"/>
        <v>Lista</v>
      </c>
      <c r="H55" s="97">
        <f t="shared" si="168"/>
        <v>0.23</v>
      </c>
      <c r="I55" s="97">
        <f t="shared" si="169"/>
        <v>0</v>
      </c>
      <c r="J55" s="96">
        <f t="shared" si="170"/>
        <v>69</v>
      </c>
      <c r="K55" s="94" t="str">
        <f t="shared" si="171"/>
        <v>Lista</v>
      </c>
      <c r="L55" s="98">
        <f t="shared" si="172"/>
        <v>0.14000000000000001</v>
      </c>
      <c r="M55" s="139" t="s">
        <v>129</v>
      </c>
      <c r="N55" s="100">
        <f t="shared" si="173"/>
        <v>580579.31000000006</v>
      </c>
      <c r="O55" s="140">
        <f t="shared" si="261"/>
        <v>975982.84907550015</v>
      </c>
      <c r="P55" s="102">
        <f t="shared" si="13"/>
        <v>0</v>
      </c>
      <c r="Q55" s="102">
        <f t="shared" si="174"/>
        <v>606033.57999999996</v>
      </c>
      <c r="R55" s="102">
        <f t="shared" si="175"/>
        <v>606033.57999999996</v>
      </c>
      <c r="S55" s="102">
        <f t="shared" si="16"/>
        <v>-369949.2690755002</v>
      </c>
      <c r="T55" s="103">
        <f t="shared" si="17"/>
        <v>0.62094695677702261</v>
      </c>
      <c r="U55" s="100">
        <f t="shared" si="176"/>
        <v>550664.27</v>
      </c>
      <c r="V55" s="141">
        <f t="shared" si="257"/>
        <v>949620.53361499996</v>
      </c>
      <c r="W55" s="105">
        <f t="shared" si="19"/>
        <v>0</v>
      </c>
      <c r="X55" s="102">
        <f t="shared" si="177"/>
        <v>266281.46000000002</v>
      </c>
      <c r="Y55" s="106">
        <f t="shared" si="178"/>
        <v>266281.46000000002</v>
      </c>
      <c r="Z55" s="142">
        <f t="shared" si="234"/>
        <v>-683339.07361499988</v>
      </c>
      <c r="AA55" s="143">
        <f t="shared" si="258"/>
        <v>0.28040827949067626</v>
      </c>
      <c r="AB55" s="100">
        <f t="shared" si="179"/>
        <v>234215.81</v>
      </c>
      <c r="AC55" s="140">
        <f t="shared" si="262"/>
        <v>384902.06460064999</v>
      </c>
      <c r="AD55" s="102">
        <f t="shared" si="24"/>
        <v>67891.599999999977</v>
      </c>
      <c r="AE55" s="102">
        <f t="shared" si="180"/>
        <v>546963.87</v>
      </c>
      <c r="AF55" s="102">
        <f t="shared" si="181"/>
        <v>614855.47</v>
      </c>
      <c r="AG55" s="145">
        <f t="shared" si="27"/>
        <v>229953.40539934998</v>
      </c>
      <c r="AH55" s="158">
        <f t="shared" si="252"/>
        <v>1.5974335462137235</v>
      </c>
      <c r="AI55" s="147">
        <f t="shared" si="103"/>
        <v>2310505.4472911498</v>
      </c>
      <c r="AJ55" s="111">
        <f t="shared" si="182"/>
        <v>1206488.6299999999</v>
      </c>
      <c r="AK55" s="102">
        <f t="shared" si="31"/>
        <v>1419278.9100000001</v>
      </c>
      <c r="AL55" s="102">
        <f t="shared" si="32"/>
        <v>67891.599999999977</v>
      </c>
      <c r="AM55" s="102">
        <f t="shared" si="33"/>
        <v>1487170.5099999998</v>
      </c>
      <c r="AN55" s="102">
        <f t="shared" si="34"/>
        <v>280681.87999999989</v>
      </c>
      <c r="AO55" s="112">
        <f t="shared" si="35"/>
        <v>1.2326436180339304</v>
      </c>
      <c r="AP55" s="100">
        <f t="shared" si="183"/>
        <v>513060.7</v>
      </c>
      <c r="AQ55" s="113">
        <f t="shared" si="37"/>
        <v>0</v>
      </c>
      <c r="AR55" s="114">
        <f t="shared" si="184"/>
        <v>497394.71</v>
      </c>
      <c r="AS55" s="115">
        <f t="shared" si="185"/>
        <v>497394.71</v>
      </c>
      <c r="AT55" s="100">
        <f t="shared" si="186"/>
        <v>749879.58</v>
      </c>
      <c r="AU55" s="113">
        <f t="shared" si="41"/>
        <v>0</v>
      </c>
      <c r="AV55" s="116">
        <f t="shared" si="187"/>
        <v>425018.89</v>
      </c>
      <c r="AW55" s="117">
        <f t="shared" si="188"/>
        <v>425018.89</v>
      </c>
      <c r="AX55" s="100">
        <f t="shared" si="189"/>
        <v>363697.04</v>
      </c>
      <c r="AY55" s="113">
        <f t="shared" si="45"/>
        <v>0</v>
      </c>
      <c r="AZ55" s="114">
        <f t="shared" si="190"/>
        <v>770752.71</v>
      </c>
      <c r="BA55" s="100">
        <f t="shared" si="191"/>
        <v>770752.71</v>
      </c>
      <c r="BB55" s="118">
        <f t="shared" ref="BB55:BD55" si="267">BH55+AY55+AU55</f>
        <v>0</v>
      </c>
      <c r="BC55" s="116">
        <f t="shared" si="267"/>
        <v>2132984.67</v>
      </c>
      <c r="BD55" s="119">
        <f t="shared" si="267"/>
        <v>2132984.67</v>
      </c>
      <c r="BE55" s="118">
        <f t="shared" si="49"/>
        <v>67891.599999999977</v>
      </c>
      <c r="BF55" s="116">
        <f t="shared" si="50"/>
        <v>3552263.58</v>
      </c>
      <c r="BG55" s="119">
        <f t="shared" si="51"/>
        <v>3620155.1799999997</v>
      </c>
      <c r="BH55" s="114">
        <f t="shared" si="52"/>
        <v>0</v>
      </c>
      <c r="BI55" s="114">
        <f t="shared" si="193"/>
        <v>937213.07</v>
      </c>
      <c r="BJ55" s="115">
        <f t="shared" si="194"/>
        <v>937213.07</v>
      </c>
      <c r="BK55" s="125">
        <f t="shared" si="195"/>
        <v>623116.36</v>
      </c>
      <c r="BL55" s="120">
        <f t="shared" si="56"/>
        <v>0</v>
      </c>
      <c r="BM55" s="121">
        <f t="shared" si="196"/>
        <v>743999.17</v>
      </c>
      <c r="BN55" s="119">
        <f t="shared" si="197"/>
        <v>743999.17</v>
      </c>
      <c r="BO55" s="125">
        <f t="shared" si="198"/>
        <v>393531.54</v>
      </c>
      <c r="BP55" s="140">
        <f t="shared" si="60"/>
        <v>0</v>
      </c>
      <c r="BQ55" s="123">
        <f t="shared" si="199"/>
        <v>823918.9</v>
      </c>
      <c r="BR55" s="125">
        <f t="shared" si="200"/>
        <v>823918.9</v>
      </c>
      <c r="BS55" s="122">
        <f t="shared" si="63"/>
        <v>0</v>
      </c>
      <c r="BT55" s="123">
        <f t="shared" ref="BT55:BU55" si="268">SUM(BI55,BM55,BQ55)</f>
        <v>2505131.14</v>
      </c>
      <c r="BU55" s="124">
        <f t="shared" si="268"/>
        <v>2505131.14</v>
      </c>
      <c r="BV55" s="125">
        <f t="shared" si="202"/>
        <v>287281.91999999998</v>
      </c>
      <c r="BW55" s="122">
        <f t="shared" si="66"/>
        <v>0</v>
      </c>
      <c r="BX55" s="123">
        <f t="shared" si="203"/>
        <v>910738.51</v>
      </c>
      <c r="BY55" s="124">
        <f t="shared" si="204"/>
        <v>910738.51</v>
      </c>
      <c r="BZ55" s="125">
        <f t="shared" si="205"/>
        <v>514193.44</v>
      </c>
      <c r="CA55" s="140"/>
      <c r="CB55" s="123"/>
      <c r="CC55" s="148"/>
      <c r="CD55" s="123">
        <f t="shared" si="206"/>
        <v>405013.27</v>
      </c>
      <c r="CF55" s="149"/>
    </row>
    <row r="56" spans="1:84" ht="14">
      <c r="A56" s="92">
        <f t="shared" si="166"/>
        <v>112014569</v>
      </c>
      <c r="B56" s="172">
        <f t="shared" si="225"/>
        <v>18</v>
      </c>
      <c r="C56" s="137" t="str">
        <f>IFERROR(VLOOKUP(B56,DES,2,FALSE),"")</f>
        <v>Lista</v>
      </c>
      <c r="D56" s="137">
        <f>IFERROR(VLOOKUP(B56,DES,3,FALSE),"")</f>
        <v>0.23</v>
      </c>
      <c r="E56" s="138">
        <f>IFERROR(VLOOKUP(B56,DES,4,FALSE),"")</f>
        <v>0</v>
      </c>
      <c r="F56" s="193">
        <f>IFERROR(VLOOKUP(M56,BASILECART2,2,FALSE),"")</f>
        <v>18</v>
      </c>
      <c r="G56" s="97" t="str">
        <f t="shared" si="167"/>
        <v>Lista</v>
      </c>
      <c r="H56" s="97">
        <f t="shared" si="168"/>
        <v>0.23</v>
      </c>
      <c r="I56" s="97">
        <f t="shared" si="169"/>
        <v>0</v>
      </c>
      <c r="J56" s="96">
        <f t="shared" si="170"/>
        <v>69</v>
      </c>
      <c r="K56" s="94" t="str">
        <f t="shared" si="171"/>
        <v>Lista</v>
      </c>
      <c r="L56" s="98">
        <f t="shared" si="172"/>
        <v>0.14000000000000001</v>
      </c>
      <c r="M56" s="139" t="s">
        <v>130</v>
      </c>
      <c r="N56" s="100" t="str">
        <f t="shared" si="173"/>
        <v/>
      </c>
      <c r="O56" s="140" t="e">
        <f t="shared" si="261"/>
        <v>#VALUE!</v>
      </c>
      <c r="P56" s="102" t="e">
        <f t="shared" si="13"/>
        <v>#VALUE!</v>
      </c>
      <c r="Q56" s="102" t="str">
        <f t="shared" si="174"/>
        <v/>
      </c>
      <c r="R56" s="102" t="str">
        <f t="shared" si="175"/>
        <v/>
      </c>
      <c r="S56" s="102" t="e">
        <f t="shared" si="16"/>
        <v>#VALUE!</v>
      </c>
      <c r="T56" s="103" t="e">
        <f t="shared" si="17"/>
        <v>#VALUE!</v>
      </c>
      <c r="U56" s="100" t="str">
        <f t="shared" si="176"/>
        <v/>
      </c>
      <c r="V56" s="141" t="e">
        <f t="shared" si="257"/>
        <v>#VALUE!</v>
      </c>
      <c r="W56" s="105" t="e">
        <f t="shared" si="19"/>
        <v>#VALUE!</v>
      </c>
      <c r="X56" s="102" t="str">
        <f t="shared" si="177"/>
        <v/>
      </c>
      <c r="Y56" s="106" t="str">
        <f t="shared" si="178"/>
        <v/>
      </c>
      <c r="Z56" s="142" t="e">
        <f t="shared" si="234"/>
        <v>#VALUE!</v>
      </c>
      <c r="AA56" s="143" t="str">
        <f t="shared" si="258"/>
        <v/>
      </c>
      <c r="AB56" s="100" t="str">
        <f t="shared" si="179"/>
        <v/>
      </c>
      <c r="AC56" s="140" t="e">
        <f t="shared" si="262"/>
        <v>#VALUE!</v>
      </c>
      <c r="AD56" s="102" t="e">
        <f t="shared" si="24"/>
        <v>#VALUE!</v>
      </c>
      <c r="AE56" s="102" t="str">
        <f t="shared" si="180"/>
        <v/>
      </c>
      <c r="AF56" s="102" t="str">
        <f t="shared" si="181"/>
        <v/>
      </c>
      <c r="AG56" s="145" t="e">
        <f t="shared" si="27"/>
        <v>#VALUE!</v>
      </c>
      <c r="AH56" s="158" t="str">
        <f t="shared" si="252"/>
        <v/>
      </c>
      <c r="AI56" s="147" t="e">
        <f t="shared" si="103"/>
        <v>#VALUE!</v>
      </c>
      <c r="AJ56" s="111" t="str">
        <f t="shared" si="182"/>
        <v>0</v>
      </c>
      <c r="AK56" s="102">
        <f t="shared" si="31"/>
        <v>0</v>
      </c>
      <c r="AL56" s="102" t="e">
        <f t="shared" si="32"/>
        <v>#VALUE!</v>
      </c>
      <c r="AM56" s="102" t="e">
        <f t="shared" si="33"/>
        <v>#VALUE!</v>
      </c>
      <c r="AN56" s="102" t="e">
        <f t="shared" si="34"/>
        <v>#VALUE!</v>
      </c>
      <c r="AO56" s="112" t="e">
        <f t="shared" si="35"/>
        <v>#VALUE!</v>
      </c>
      <c r="AP56" s="100" t="str">
        <f t="shared" si="183"/>
        <v/>
      </c>
      <c r="AQ56" s="113" t="e">
        <f t="shared" si="37"/>
        <v>#VALUE!</v>
      </c>
      <c r="AR56" s="114" t="str">
        <f t="shared" si="184"/>
        <v/>
      </c>
      <c r="AS56" s="115" t="str">
        <f t="shared" si="185"/>
        <v/>
      </c>
      <c r="AT56" s="100" t="str">
        <f t="shared" si="186"/>
        <v/>
      </c>
      <c r="AU56" s="113" t="e">
        <f t="shared" si="41"/>
        <v>#VALUE!</v>
      </c>
      <c r="AV56" s="116" t="str">
        <f t="shared" si="187"/>
        <v/>
      </c>
      <c r="AW56" s="117" t="str">
        <f t="shared" si="188"/>
        <v/>
      </c>
      <c r="AX56" s="100" t="str">
        <f t="shared" si="189"/>
        <v/>
      </c>
      <c r="AY56" s="113" t="e">
        <f t="shared" si="45"/>
        <v>#VALUE!</v>
      </c>
      <c r="AZ56" s="114" t="str">
        <f t="shared" si="190"/>
        <v/>
      </c>
      <c r="BA56" s="100" t="str">
        <f t="shared" si="191"/>
        <v/>
      </c>
      <c r="BB56" s="118" t="e">
        <f t="shared" ref="BB56:BD56" si="269">BH56+AY56+AU56</f>
        <v>#VALUE!</v>
      </c>
      <c r="BC56" s="116" t="e">
        <f t="shared" si="269"/>
        <v>#VALUE!</v>
      </c>
      <c r="BD56" s="119" t="e">
        <f t="shared" si="269"/>
        <v>#VALUE!</v>
      </c>
      <c r="BE56" s="118" t="e">
        <f t="shared" si="49"/>
        <v>#VALUE!</v>
      </c>
      <c r="BF56" s="116" t="e">
        <f t="shared" si="50"/>
        <v>#VALUE!</v>
      </c>
      <c r="BG56" s="119" t="e">
        <f t="shared" si="51"/>
        <v>#VALUE!</v>
      </c>
      <c r="BH56" s="114" t="e">
        <f t="shared" si="52"/>
        <v>#VALUE!</v>
      </c>
      <c r="BI56" s="114" t="str">
        <f t="shared" si="193"/>
        <v/>
      </c>
      <c r="BJ56" s="115" t="str">
        <f t="shared" si="194"/>
        <v/>
      </c>
      <c r="BK56" s="125" t="str">
        <f t="shared" si="195"/>
        <v/>
      </c>
      <c r="BL56" s="120" t="e">
        <f t="shared" si="56"/>
        <v>#VALUE!</v>
      </c>
      <c r="BM56" s="121" t="str">
        <f t="shared" si="196"/>
        <v/>
      </c>
      <c r="BN56" s="119" t="str">
        <f t="shared" si="197"/>
        <v/>
      </c>
      <c r="BO56" s="125" t="str">
        <f t="shared" si="198"/>
        <v/>
      </c>
      <c r="BP56" s="140" t="e">
        <f t="shared" si="60"/>
        <v>#VALUE!</v>
      </c>
      <c r="BQ56" s="123" t="str">
        <f t="shared" si="199"/>
        <v/>
      </c>
      <c r="BR56" s="125" t="str">
        <f t="shared" si="200"/>
        <v/>
      </c>
      <c r="BS56" s="122" t="e">
        <f t="shared" si="63"/>
        <v>#VALUE!</v>
      </c>
      <c r="BT56" s="123">
        <f t="shared" ref="BT56:BU56" si="270">SUM(BI56,BM56,BQ56)</f>
        <v>0</v>
      </c>
      <c r="BU56" s="124">
        <f t="shared" si="270"/>
        <v>0</v>
      </c>
      <c r="BV56" s="125" t="str">
        <f t="shared" si="202"/>
        <v/>
      </c>
      <c r="BW56" s="122" t="e">
        <f t="shared" si="66"/>
        <v>#VALUE!</v>
      </c>
      <c r="BX56" s="123" t="str">
        <f t="shared" si="203"/>
        <v/>
      </c>
      <c r="BY56" s="124" t="str">
        <f t="shared" si="204"/>
        <v/>
      </c>
      <c r="BZ56" s="125" t="str">
        <f t="shared" si="205"/>
        <v/>
      </c>
      <c r="CA56" s="140"/>
      <c r="CB56" s="123"/>
      <c r="CC56" s="148"/>
      <c r="CD56" s="123" t="str">
        <f t="shared" si="206"/>
        <v/>
      </c>
      <c r="CF56" s="149"/>
    </row>
    <row r="57" spans="1:84" ht="13">
      <c r="A57" s="92">
        <f t="shared" si="166"/>
        <v>112012198</v>
      </c>
      <c r="B57" s="172">
        <f t="shared" si="225"/>
        <v>18</v>
      </c>
      <c r="C57" s="137" t="str">
        <f>VLOOKUP(B57,DES,2,FALSE)</f>
        <v>Lista</v>
      </c>
      <c r="D57" s="137">
        <f>VLOOKUP(B57,DES,3,FALSE)</f>
        <v>0.23</v>
      </c>
      <c r="E57" s="138">
        <f>VLOOKUP(B57,DES,4,FALSE)</f>
        <v>0</v>
      </c>
      <c r="F57" s="193">
        <f>IFERROR(VLOOKUP(M57,BASILECART2,2,FALSE),"")</f>
        <v>18</v>
      </c>
      <c r="G57" s="97" t="str">
        <f t="shared" si="167"/>
        <v>Lista</v>
      </c>
      <c r="H57" s="97">
        <f t="shared" si="168"/>
        <v>0.23</v>
      </c>
      <c r="I57" s="97">
        <f t="shared" si="169"/>
        <v>0</v>
      </c>
      <c r="J57" s="96">
        <f t="shared" si="170"/>
        <v>69</v>
      </c>
      <c r="K57" s="94" t="str">
        <f t="shared" si="171"/>
        <v>Lista</v>
      </c>
      <c r="L57" s="98">
        <f t="shared" si="172"/>
        <v>0.14000000000000001</v>
      </c>
      <c r="M57" s="139" t="s">
        <v>131</v>
      </c>
      <c r="N57" s="100">
        <f t="shared" si="173"/>
        <v>916970.4</v>
      </c>
      <c r="O57" s="140">
        <f t="shared" si="261"/>
        <v>1541473.0909200001</v>
      </c>
      <c r="P57" s="102">
        <f t="shared" si="13"/>
        <v>13652.879999999888</v>
      </c>
      <c r="Q57" s="102">
        <f t="shared" si="174"/>
        <v>1035185.54</v>
      </c>
      <c r="R57" s="102">
        <f t="shared" si="175"/>
        <v>1048838.42</v>
      </c>
      <c r="S57" s="102">
        <f t="shared" si="16"/>
        <v>-492634.67092000018</v>
      </c>
      <c r="T57" s="103">
        <f t="shared" si="17"/>
        <v>0.68041305824808129</v>
      </c>
      <c r="U57" s="100">
        <f t="shared" si="176"/>
        <v>1066178</v>
      </c>
      <c r="V57" s="141">
        <f t="shared" si="257"/>
        <v>1838623.9609999999</v>
      </c>
      <c r="W57" s="105">
        <f t="shared" si="19"/>
        <v>0</v>
      </c>
      <c r="X57" s="102">
        <f t="shared" si="177"/>
        <v>1823606.94</v>
      </c>
      <c r="Y57" s="106">
        <f t="shared" si="178"/>
        <v>1823606.94</v>
      </c>
      <c r="Z57" s="142">
        <f t="shared" si="234"/>
        <v>-15017.02099999995</v>
      </c>
      <c r="AA57" s="143">
        <f t="shared" si="258"/>
        <v>0.99183246747647491</v>
      </c>
      <c r="AB57" s="100">
        <f t="shared" si="179"/>
        <v>945948.06</v>
      </c>
      <c r="AC57" s="140">
        <f t="shared" si="262"/>
        <v>1554537.9336218999</v>
      </c>
      <c r="AD57" s="102">
        <f t="shared" si="24"/>
        <v>0</v>
      </c>
      <c r="AE57" s="102">
        <f t="shared" si="180"/>
        <v>230935.67</v>
      </c>
      <c r="AF57" s="102">
        <f t="shared" si="181"/>
        <v>230935.67</v>
      </c>
      <c r="AG57" s="145">
        <f t="shared" si="27"/>
        <v>-1323602.2636219</v>
      </c>
      <c r="AH57" s="158">
        <f t="shared" si="252"/>
        <v>0.14855582807294104</v>
      </c>
      <c r="AI57" s="147">
        <f t="shared" si="103"/>
        <v>4934634.9855418997</v>
      </c>
      <c r="AJ57" s="111">
        <f t="shared" si="182"/>
        <v>1057731.99</v>
      </c>
      <c r="AK57" s="102">
        <f t="shared" si="31"/>
        <v>3089728.15</v>
      </c>
      <c r="AL57" s="102">
        <f t="shared" si="32"/>
        <v>13652.879999999888</v>
      </c>
      <c r="AM57" s="102">
        <f t="shared" si="33"/>
        <v>3103381.03</v>
      </c>
      <c r="AN57" s="102">
        <f t="shared" si="34"/>
        <v>2045649.0399999998</v>
      </c>
      <c r="AO57" s="112">
        <f t="shared" si="35"/>
        <v>2.9339956239765423</v>
      </c>
      <c r="AP57" s="100">
        <f t="shared" si="183"/>
        <v>375697.63</v>
      </c>
      <c r="AQ57" s="113">
        <f t="shared" si="37"/>
        <v>0</v>
      </c>
      <c r="AR57" s="114">
        <f t="shared" si="184"/>
        <v>1327350.02</v>
      </c>
      <c r="AS57" s="115">
        <f t="shared" si="185"/>
        <v>1327350.02</v>
      </c>
      <c r="AT57" s="100">
        <f t="shared" si="186"/>
        <v>187200.09</v>
      </c>
      <c r="AU57" s="113">
        <f t="shared" si="41"/>
        <v>0</v>
      </c>
      <c r="AV57" s="116">
        <f t="shared" si="187"/>
        <v>1230131.8999999999</v>
      </c>
      <c r="AW57" s="117">
        <f t="shared" si="188"/>
        <v>1230131.8999999999</v>
      </c>
      <c r="AX57" s="100">
        <f t="shared" si="189"/>
        <v>537340.42000000004</v>
      </c>
      <c r="AY57" s="113">
        <f t="shared" si="45"/>
        <v>0</v>
      </c>
      <c r="AZ57" s="114">
        <f t="shared" si="190"/>
        <v>1377815.82</v>
      </c>
      <c r="BA57" s="100">
        <f t="shared" si="191"/>
        <v>1377815.82</v>
      </c>
      <c r="BB57" s="118">
        <f t="shared" ref="BB57:BD57" si="271">BH57+AY57+AU57</f>
        <v>0</v>
      </c>
      <c r="BC57" s="116">
        <f t="shared" si="271"/>
        <v>4370783.6400000006</v>
      </c>
      <c r="BD57" s="119">
        <f t="shared" si="271"/>
        <v>4370783.6400000006</v>
      </c>
      <c r="BE57" s="118">
        <f t="shared" si="49"/>
        <v>13652.879999999888</v>
      </c>
      <c r="BF57" s="116">
        <f t="shared" si="50"/>
        <v>7460511.790000001</v>
      </c>
      <c r="BG57" s="119">
        <f t="shared" si="51"/>
        <v>7474164.6699999999</v>
      </c>
      <c r="BH57" s="114">
        <f t="shared" si="52"/>
        <v>0</v>
      </c>
      <c r="BI57" s="114">
        <f t="shared" si="193"/>
        <v>1762835.92</v>
      </c>
      <c r="BJ57" s="115">
        <f t="shared" si="194"/>
        <v>1762835.92</v>
      </c>
      <c r="BK57" s="125">
        <f t="shared" si="195"/>
        <v>1298800.04</v>
      </c>
      <c r="BL57" s="120">
        <f t="shared" si="56"/>
        <v>0</v>
      </c>
      <c r="BM57" s="121">
        <f t="shared" si="196"/>
        <v>1113017.98</v>
      </c>
      <c r="BN57" s="119">
        <f t="shared" si="197"/>
        <v>1113017.98</v>
      </c>
      <c r="BO57" s="125">
        <f t="shared" si="198"/>
        <v>1014990.4</v>
      </c>
      <c r="BP57" s="140">
        <f t="shared" si="60"/>
        <v>0</v>
      </c>
      <c r="BQ57" s="123">
        <f t="shared" si="199"/>
        <v>912738.83</v>
      </c>
      <c r="BR57" s="125">
        <f t="shared" si="200"/>
        <v>912738.83</v>
      </c>
      <c r="BS57" s="122">
        <f t="shared" si="63"/>
        <v>0</v>
      </c>
      <c r="BT57" s="123">
        <f t="shared" ref="BT57:BU57" si="272">SUM(BI57,BM57,BQ57)</f>
        <v>3788592.73</v>
      </c>
      <c r="BU57" s="124">
        <f t="shared" si="272"/>
        <v>3788592.73</v>
      </c>
      <c r="BV57" s="125">
        <f t="shared" si="202"/>
        <v>153910.37</v>
      </c>
      <c r="BW57" s="122">
        <f t="shared" si="66"/>
        <v>0</v>
      </c>
      <c r="BX57" s="123">
        <f t="shared" si="203"/>
        <v>1736389.05</v>
      </c>
      <c r="BY57" s="124">
        <f t="shared" si="204"/>
        <v>1736389.05</v>
      </c>
      <c r="BZ57" s="125">
        <f t="shared" si="205"/>
        <v>222025.5</v>
      </c>
      <c r="CA57" s="140"/>
      <c r="CB57" s="123"/>
      <c r="CC57" s="148"/>
      <c r="CD57" s="123">
        <f t="shared" si="206"/>
        <v>681796.12</v>
      </c>
      <c r="CF57" s="149"/>
    </row>
    <row r="58" spans="1:84" ht="13">
      <c r="A58" s="92">
        <f t="shared" si="166"/>
        <v>112014612</v>
      </c>
      <c r="B58" s="172">
        <f t="shared" si="225"/>
        <v>18</v>
      </c>
      <c r="C58" s="137" t="str">
        <f t="shared" ref="C58:C69" si="273">IFERROR(VLOOKUP(B58,DES,2,FALSE),"")</f>
        <v>Lista</v>
      </c>
      <c r="D58" s="137">
        <f t="shared" ref="D58:D69" si="274">IFERROR(VLOOKUP(B58,DES,3,FALSE),"")</f>
        <v>0.23</v>
      </c>
      <c r="E58" s="138">
        <f t="shared" ref="E58:E69" si="275">IFERROR(VLOOKUP(B58,DES,4,FALSE),"")</f>
        <v>0</v>
      </c>
      <c r="F58" s="96">
        <f>VLOOKUP(M58,BASILECART2,2,FALSE)</f>
        <v>18</v>
      </c>
      <c r="G58" s="97" t="str">
        <f t="shared" si="167"/>
        <v>Lista</v>
      </c>
      <c r="H58" s="97">
        <f t="shared" si="168"/>
        <v>0.23</v>
      </c>
      <c r="I58" s="97">
        <f t="shared" si="169"/>
        <v>0</v>
      </c>
      <c r="J58" s="96">
        <f t="shared" si="170"/>
        <v>69</v>
      </c>
      <c r="K58" s="94" t="str">
        <f t="shared" si="171"/>
        <v>Lista</v>
      </c>
      <c r="L58" s="98">
        <f t="shared" si="172"/>
        <v>0.14000000000000001</v>
      </c>
      <c r="M58" s="139" t="s">
        <v>132</v>
      </c>
      <c r="N58" s="100" t="str">
        <f t="shared" si="173"/>
        <v/>
      </c>
      <c r="O58" s="173">
        <v>3000000</v>
      </c>
      <c r="P58" s="102" t="e">
        <f t="shared" si="13"/>
        <v>#VALUE!</v>
      </c>
      <c r="Q58" s="102" t="str">
        <f t="shared" si="174"/>
        <v/>
      </c>
      <c r="R58" s="102" t="str">
        <f t="shared" si="175"/>
        <v/>
      </c>
      <c r="S58" s="102" t="e">
        <f t="shared" si="16"/>
        <v>#VALUE!</v>
      </c>
      <c r="T58" s="103" t="e">
        <f t="shared" si="17"/>
        <v>#VALUE!</v>
      </c>
      <c r="U58" s="100" t="str">
        <f t="shared" si="176"/>
        <v/>
      </c>
      <c r="V58" s="174">
        <v>3000000</v>
      </c>
      <c r="W58" s="105" t="e">
        <f t="shared" si="19"/>
        <v>#VALUE!</v>
      </c>
      <c r="X58" s="102" t="str">
        <f t="shared" si="177"/>
        <v/>
      </c>
      <c r="Y58" s="106" t="str">
        <f t="shared" si="178"/>
        <v/>
      </c>
      <c r="Z58" s="142" t="e">
        <f t="shared" si="234"/>
        <v>#VALUE!</v>
      </c>
      <c r="AA58" s="143" t="e">
        <f>Y58/V58</f>
        <v>#VALUE!</v>
      </c>
      <c r="AB58" s="100" t="str">
        <f t="shared" si="179"/>
        <v/>
      </c>
      <c r="AC58" s="173">
        <v>3000000</v>
      </c>
      <c r="AD58" s="102" t="e">
        <f t="shared" si="24"/>
        <v>#VALUE!</v>
      </c>
      <c r="AE58" s="102" t="str">
        <f t="shared" si="180"/>
        <v/>
      </c>
      <c r="AF58" s="102" t="str">
        <f t="shared" si="181"/>
        <v/>
      </c>
      <c r="AG58" s="145" t="e">
        <f t="shared" si="27"/>
        <v>#VALUE!</v>
      </c>
      <c r="AH58" s="158" t="str">
        <f t="shared" si="252"/>
        <v/>
      </c>
      <c r="AI58" s="147">
        <f t="shared" si="103"/>
        <v>9000000</v>
      </c>
      <c r="AJ58" s="111" t="str">
        <f t="shared" si="182"/>
        <v>0</v>
      </c>
      <c r="AK58" s="102">
        <f t="shared" si="31"/>
        <v>0</v>
      </c>
      <c r="AL58" s="102" t="e">
        <f t="shared" si="32"/>
        <v>#VALUE!</v>
      </c>
      <c r="AM58" s="102" t="e">
        <f t="shared" si="33"/>
        <v>#VALUE!</v>
      </c>
      <c r="AN58" s="102" t="e">
        <f t="shared" si="34"/>
        <v>#VALUE!</v>
      </c>
      <c r="AO58" s="112" t="e">
        <f t="shared" si="35"/>
        <v>#VALUE!</v>
      </c>
      <c r="AP58" s="100" t="str">
        <f t="shared" si="183"/>
        <v/>
      </c>
      <c r="AQ58" s="113" t="e">
        <f t="shared" si="37"/>
        <v>#VALUE!</v>
      </c>
      <c r="AR58" s="114" t="str">
        <f t="shared" si="184"/>
        <v/>
      </c>
      <c r="AS58" s="115" t="str">
        <f t="shared" si="185"/>
        <v/>
      </c>
      <c r="AT58" s="100" t="str">
        <f t="shared" si="186"/>
        <v/>
      </c>
      <c r="AU58" s="113" t="e">
        <f t="shared" si="41"/>
        <v>#VALUE!</v>
      </c>
      <c r="AV58" s="116" t="str">
        <f t="shared" si="187"/>
        <v/>
      </c>
      <c r="AW58" s="117" t="str">
        <f t="shared" si="188"/>
        <v/>
      </c>
      <c r="AX58" s="100" t="str">
        <f t="shared" si="189"/>
        <v/>
      </c>
      <c r="AY58" s="113" t="e">
        <f t="shared" si="45"/>
        <v>#VALUE!</v>
      </c>
      <c r="AZ58" s="114" t="str">
        <f t="shared" si="190"/>
        <v/>
      </c>
      <c r="BA58" s="100" t="str">
        <f t="shared" si="191"/>
        <v/>
      </c>
      <c r="BB58" s="118" t="e">
        <f t="shared" ref="BB58:BD58" si="276">BH58+AY58+AU58</f>
        <v>#VALUE!</v>
      </c>
      <c r="BC58" s="116" t="e">
        <f t="shared" si="276"/>
        <v>#VALUE!</v>
      </c>
      <c r="BD58" s="119" t="e">
        <f t="shared" si="276"/>
        <v>#VALUE!</v>
      </c>
      <c r="BE58" s="118" t="e">
        <f t="shared" si="49"/>
        <v>#VALUE!</v>
      </c>
      <c r="BF58" s="116" t="e">
        <f t="shared" si="50"/>
        <v>#VALUE!</v>
      </c>
      <c r="BG58" s="119" t="e">
        <f t="shared" si="51"/>
        <v>#VALUE!</v>
      </c>
      <c r="BH58" s="114" t="e">
        <f t="shared" si="52"/>
        <v>#VALUE!</v>
      </c>
      <c r="BI58" s="114" t="str">
        <f t="shared" si="193"/>
        <v/>
      </c>
      <c r="BJ58" s="115" t="str">
        <f t="shared" si="194"/>
        <v/>
      </c>
      <c r="BK58" s="125" t="str">
        <f t="shared" si="195"/>
        <v/>
      </c>
      <c r="BL58" s="120" t="e">
        <f t="shared" si="56"/>
        <v>#VALUE!</v>
      </c>
      <c r="BM58" s="121" t="str">
        <f t="shared" si="196"/>
        <v/>
      </c>
      <c r="BN58" s="119" t="str">
        <f t="shared" si="197"/>
        <v/>
      </c>
      <c r="BO58" s="125" t="str">
        <f t="shared" si="198"/>
        <v/>
      </c>
      <c r="BP58" s="140" t="e">
        <f t="shared" si="60"/>
        <v>#VALUE!</v>
      </c>
      <c r="BQ58" s="123" t="str">
        <f t="shared" si="199"/>
        <v/>
      </c>
      <c r="BR58" s="125" t="str">
        <f t="shared" si="200"/>
        <v/>
      </c>
      <c r="BS58" s="122" t="e">
        <f t="shared" si="63"/>
        <v>#VALUE!</v>
      </c>
      <c r="BT58" s="123">
        <f t="shared" ref="BT58:BU58" si="277">SUM(BI58,BM58,BQ58)</f>
        <v>0</v>
      </c>
      <c r="BU58" s="124">
        <f t="shared" si="277"/>
        <v>0</v>
      </c>
      <c r="BV58" s="125" t="str">
        <f t="shared" si="202"/>
        <v/>
      </c>
      <c r="BW58" s="122" t="e">
        <f t="shared" si="66"/>
        <v>#VALUE!</v>
      </c>
      <c r="BX58" s="123" t="str">
        <f t="shared" si="203"/>
        <v/>
      </c>
      <c r="BY58" s="124" t="str">
        <f t="shared" si="204"/>
        <v/>
      </c>
      <c r="BZ58" s="125" t="str">
        <f t="shared" si="205"/>
        <v/>
      </c>
      <c r="CA58" s="140"/>
      <c r="CB58" s="123"/>
      <c r="CC58" s="148"/>
      <c r="CD58" s="123" t="str">
        <f t="shared" si="206"/>
        <v/>
      </c>
      <c r="CF58" s="126"/>
    </row>
    <row r="59" spans="1:84" ht="13">
      <c r="A59" s="92">
        <f t="shared" si="166"/>
        <v>112012402</v>
      </c>
      <c r="B59" s="172">
        <f t="shared" si="225"/>
        <v>18</v>
      </c>
      <c r="C59" s="137" t="str">
        <f t="shared" si="273"/>
        <v>Lista</v>
      </c>
      <c r="D59" s="137">
        <f t="shared" si="274"/>
        <v>0.23</v>
      </c>
      <c r="E59" s="138">
        <f t="shared" si="275"/>
        <v>0</v>
      </c>
      <c r="F59" s="96">
        <f>VLOOKUP(M59,BASILECART2,2,FALSE)</f>
        <v>18</v>
      </c>
      <c r="G59" s="97" t="str">
        <f t="shared" si="167"/>
        <v>Lista</v>
      </c>
      <c r="H59" s="97">
        <f t="shared" si="168"/>
        <v>0.23</v>
      </c>
      <c r="I59" s="97">
        <f t="shared" si="169"/>
        <v>0</v>
      </c>
      <c r="J59" s="96">
        <f t="shared" si="170"/>
        <v>69</v>
      </c>
      <c r="K59" s="94" t="str">
        <f t="shared" si="171"/>
        <v>Lista</v>
      </c>
      <c r="L59" s="98">
        <f t="shared" si="172"/>
        <v>0.14000000000000001</v>
      </c>
      <c r="M59" s="139" t="s">
        <v>133</v>
      </c>
      <c r="N59" s="100">
        <f t="shared" si="173"/>
        <v>1717896.44</v>
      </c>
      <c r="O59" s="140">
        <f t="shared" ref="O59:O61" si="278">(N59*1.601)*1.05</f>
        <v>2887869.8104619998</v>
      </c>
      <c r="P59" s="102" t="e">
        <f t="shared" si="13"/>
        <v>#VALUE!</v>
      </c>
      <c r="Q59" s="102" t="str">
        <f t="shared" si="174"/>
        <v/>
      </c>
      <c r="R59" s="102">
        <f t="shared" si="175"/>
        <v>1149995.48</v>
      </c>
      <c r="S59" s="102">
        <f t="shared" si="16"/>
        <v>-1737874.3304619999</v>
      </c>
      <c r="T59" s="103">
        <f t="shared" si="17"/>
        <v>0.39821583224903906</v>
      </c>
      <c r="U59" s="100">
        <f t="shared" si="176"/>
        <v>814105.29</v>
      </c>
      <c r="V59" s="141">
        <f t="shared" ref="V59:V61" si="279">U59*1.7245</f>
        <v>1403924.5726050001</v>
      </c>
      <c r="W59" s="105" t="e">
        <f t="shared" si="19"/>
        <v>#VALUE!</v>
      </c>
      <c r="X59" s="102" t="str">
        <f t="shared" si="177"/>
        <v/>
      </c>
      <c r="Y59" s="106">
        <f t="shared" si="178"/>
        <v>602885.55000000005</v>
      </c>
      <c r="Z59" s="142">
        <f t="shared" si="234"/>
        <v>-801039.02260500006</v>
      </c>
      <c r="AA59" s="143">
        <f t="shared" ref="AA59:AA61" si="280">IFERROR(Y59/V59,"")</f>
        <v>0.4294287326856443</v>
      </c>
      <c r="AB59" s="100">
        <f t="shared" si="179"/>
        <v>416501.94</v>
      </c>
      <c r="AC59" s="140">
        <f t="shared" ref="AC59:AC61" si="281">(AB59*1.5955)*1.03</f>
        <v>684464.71062809997</v>
      </c>
      <c r="AD59" s="102" t="e">
        <f t="shared" si="24"/>
        <v>#VALUE!</v>
      </c>
      <c r="AE59" s="102" t="str">
        <f t="shared" si="180"/>
        <v/>
      </c>
      <c r="AF59" s="102">
        <f t="shared" si="181"/>
        <v>1393497.17</v>
      </c>
      <c r="AG59" s="145">
        <f t="shared" si="27"/>
        <v>709032.45937189995</v>
      </c>
      <c r="AH59" s="158">
        <f t="shared" si="252"/>
        <v>2.0358933753082105</v>
      </c>
      <c r="AI59" s="147">
        <f t="shared" si="103"/>
        <v>4976259.0936950995</v>
      </c>
      <c r="AJ59" s="111">
        <f t="shared" si="182"/>
        <v>4369879.7699999996</v>
      </c>
      <c r="AK59" s="102">
        <f t="shared" si="31"/>
        <v>0</v>
      </c>
      <c r="AL59" s="102" t="e">
        <f t="shared" si="32"/>
        <v>#VALUE!</v>
      </c>
      <c r="AM59" s="102">
        <f t="shared" si="33"/>
        <v>3146378.2</v>
      </c>
      <c r="AN59" s="102">
        <f t="shared" si="34"/>
        <v>-1223501.5699999994</v>
      </c>
      <c r="AO59" s="112">
        <f t="shared" si="35"/>
        <v>0.72001482091119418</v>
      </c>
      <c r="AP59" s="100">
        <f t="shared" si="183"/>
        <v>276821.65000000002</v>
      </c>
      <c r="AQ59" s="113" t="e">
        <f t="shared" si="37"/>
        <v>#VALUE!</v>
      </c>
      <c r="AR59" s="114" t="str">
        <f t="shared" si="184"/>
        <v/>
      </c>
      <c r="AS59" s="115">
        <f t="shared" si="185"/>
        <v>665228.09</v>
      </c>
      <c r="AT59" s="100">
        <f t="shared" si="186"/>
        <v>422184.31</v>
      </c>
      <c r="AU59" s="113" t="e">
        <f t="shared" si="41"/>
        <v>#VALUE!</v>
      </c>
      <c r="AV59" s="116" t="str">
        <f t="shared" si="187"/>
        <v/>
      </c>
      <c r="AW59" s="117">
        <f t="shared" si="188"/>
        <v>669391.92000000004</v>
      </c>
      <c r="AX59" s="100">
        <f t="shared" si="189"/>
        <v>630412.65</v>
      </c>
      <c r="AY59" s="113" t="e">
        <f t="shared" si="45"/>
        <v>#VALUE!</v>
      </c>
      <c r="AZ59" s="114" t="str">
        <f t="shared" si="190"/>
        <v/>
      </c>
      <c r="BA59" s="100">
        <f t="shared" si="191"/>
        <v>530058.27</v>
      </c>
      <c r="BB59" s="118" t="e">
        <f t="shared" ref="BB59:BD59" si="282">BH59+AY59+AU59</f>
        <v>#VALUE!</v>
      </c>
      <c r="BC59" s="116" t="e">
        <f t="shared" si="282"/>
        <v>#VALUE!</v>
      </c>
      <c r="BD59" s="119">
        <f t="shared" si="282"/>
        <v>1798464.0099999998</v>
      </c>
      <c r="BE59" s="118" t="e">
        <f t="shared" si="49"/>
        <v>#VALUE!</v>
      </c>
      <c r="BF59" s="116" t="e">
        <f t="shared" si="50"/>
        <v>#VALUE!</v>
      </c>
      <c r="BG59" s="119">
        <f t="shared" si="51"/>
        <v>4944842.21</v>
      </c>
      <c r="BH59" s="114" t="e">
        <f t="shared" si="52"/>
        <v>#VALUE!</v>
      </c>
      <c r="BI59" s="114" t="str">
        <f t="shared" si="193"/>
        <v/>
      </c>
      <c r="BJ59" s="115">
        <f t="shared" si="194"/>
        <v>599013.81999999995</v>
      </c>
      <c r="BK59" s="125">
        <f t="shared" si="195"/>
        <v>839991.47</v>
      </c>
      <c r="BL59" s="120" t="e">
        <f t="shared" si="56"/>
        <v>#VALUE!</v>
      </c>
      <c r="BM59" s="121" t="str">
        <f t="shared" si="196"/>
        <v/>
      </c>
      <c r="BN59" s="119">
        <f t="shared" si="197"/>
        <v>1027993.52</v>
      </c>
      <c r="BO59" s="125">
        <f t="shared" si="198"/>
        <v>278818</v>
      </c>
      <c r="BP59" s="140" t="e">
        <f t="shared" si="60"/>
        <v>#VALUE!</v>
      </c>
      <c r="BQ59" s="123" t="str">
        <f t="shared" si="199"/>
        <v/>
      </c>
      <c r="BR59" s="125">
        <f t="shared" si="200"/>
        <v>1202156.82</v>
      </c>
      <c r="BS59" s="122" t="e">
        <f t="shared" si="63"/>
        <v>#VALUE!</v>
      </c>
      <c r="BT59" s="123">
        <f t="shared" ref="BT59:BU59" si="283">SUM(BI59,BM59,BQ59)</f>
        <v>0</v>
      </c>
      <c r="BU59" s="124">
        <f t="shared" si="283"/>
        <v>2829164.16</v>
      </c>
      <c r="BV59" s="125">
        <f t="shared" si="202"/>
        <v>1426406.25</v>
      </c>
      <c r="BW59" s="122" t="e">
        <f t="shared" si="66"/>
        <v>#VALUE!</v>
      </c>
      <c r="BX59" s="123" t="str">
        <f t="shared" si="203"/>
        <v/>
      </c>
      <c r="BY59" s="124">
        <f t="shared" si="204"/>
        <v>1241957.3899999999</v>
      </c>
      <c r="BZ59" s="125">
        <f t="shared" si="205"/>
        <v>1883661</v>
      </c>
      <c r="CA59" s="140"/>
      <c r="CB59" s="123"/>
      <c r="CC59" s="148"/>
      <c r="CD59" s="123">
        <f t="shared" si="206"/>
        <v>1059812.51</v>
      </c>
      <c r="CF59" s="149"/>
    </row>
    <row r="60" spans="1:84" ht="14">
      <c r="A60" s="92">
        <f t="shared" si="166"/>
        <v>112014762</v>
      </c>
      <c r="B60" s="172" t="str">
        <f t="shared" si="225"/>
        <v/>
      </c>
      <c r="C60" s="137" t="str">
        <f t="shared" si="273"/>
        <v/>
      </c>
      <c r="D60" s="137" t="str">
        <f t="shared" si="274"/>
        <v/>
      </c>
      <c r="E60" s="138" t="str">
        <f t="shared" si="275"/>
        <v/>
      </c>
      <c r="F60" s="193">
        <f>IFERROR(VLOOKUP(M60,BASILECART2,2,FALSE),"")</f>
        <v>18</v>
      </c>
      <c r="G60" s="97" t="str">
        <f t="shared" si="167"/>
        <v>Lista</v>
      </c>
      <c r="H60" s="97">
        <f t="shared" si="168"/>
        <v>0.23</v>
      </c>
      <c r="I60" s="97">
        <f t="shared" si="169"/>
        <v>0</v>
      </c>
      <c r="J60" s="96">
        <f t="shared" si="170"/>
        <v>69</v>
      </c>
      <c r="K60" s="94" t="str">
        <f t="shared" si="171"/>
        <v>Lista</v>
      </c>
      <c r="L60" s="98">
        <f t="shared" si="172"/>
        <v>0.14000000000000001</v>
      </c>
      <c r="M60" s="139" t="s">
        <v>134</v>
      </c>
      <c r="N60" s="100" t="str">
        <f t="shared" si="173"/>
        <v/>
      </c>
      <c r="O60" s="140" t="e">
        <f t="shared" si="278"/>
        <v>#VALUE!</v>
      </c>
      <c r="P60" s="102">
        <f t="shared" si="13"/>
        <v>0</v>
      </c>
      <c r="Q60" s="102">
        <f t="shared" si="174"/>
        <v>0</v>
      </c>
      <c r="R60" s="102">
        <f t="shared" si="175"/>
        <v>0</v>
      </c>
      <c r="S60" s="102" t="e">
        <f t="shared" si="16"/>
        <v>#VALUE!</v>
      </c>
      <c r="T60" s="103" t="e">
        <f t="shared" si="17"/>
        <v>#VALUE!</v>
      </c>
      <c r="U60" s="100" t="str">
        <f t="shared" si="176"/>
        <v/>
      </c>
      <c r="V60" s="141" t="e">
        <f t="shared" si="279"/>
        <v>#VALUE!</v>
      </c>
      <c r="W60" s="105">
        <f t="shared" si="19"/>
        <v>0</v>
      </c>
      <c r="X60" s="102">
        <f t="shared" si="177"/>
        <v>0</v>
      </c>
      <c r="Y60" s="106">
        <f t="shared" si="178"/>
        <v>0</v>
      </c>
      <c r="Z60" s="142" t="e">
        <f t="shared" si="234"/>
        <v>#VALUE!</v>
      </c>
      <c r="AA60" s="143" t="str">
        <f t="shared" si="280"/>
        <v/>
      </c>
      <c r="AB60" s="100" t="str">
        <f t="shared" si="179"/>
        <v/>
      </c>
      <c r="AC60" s="140" t="e">
        <f t="shared" si="281"/>
        <v>#VALUE!</v>
      </c>
      <c r="AD60" s="102">
        <f t="shared" si="24"/>
        <v>0</v>
      </c>
      <c r="AE60" s="102">
        <f t="shared" si="180"/>
        <v>0</v>
      </c>
      <c r="AF60" s="102">
        <f t="shared" si="181"/>
        <v>0</v>
      </c>
      <c r="AG60" s="145" t="e">
        <f t="shared" si="27"/>
        <v>#VALUE!</v>
      </c>
      <c r="AH60" s="158" t="str">
        <f t="shared" si="252"/>
        <v/>
      </c>
      <c r="AI60" s="147" t="e">
        <f t="shared" si="103"/>
        <v>#VALUE!</v>
      </c>
      <c r="AJ60" s="111" t="str">
        <f t="shared" si="182"/>
        <v>0</v>
      </c>
      <c r="AK60" s="102">
        <f t="shared" si="31"/>
        <v>0</v>
      </c>
      <c r="AL60" s="102">
        <f t="shared" si="32"/>
        <v>0</v>
      </c>
      <c r="AM60" s="102">
        <f t="shared" si="33"/>
        <v>0</v>
      </c>
      <c r="AN60" s="102">
        <f t="shared" si="34"/>
        <v>0</v>
      </c>
      <c r="AO60" s="112" t="e">
        <f t="shared" si="35"/>
        <v>#DIV/0!</v>
      </c>
      <c r="AP60" s="100" t="str">
        <f t="shared" si="183"/>
        <v/>
      </c>
      <c r="AQ60" s="113">
        <f t="shared" si="37"/>
        <v>0</v>
      </c>
      <c r="AR60" s="114">
        <f t="shared" si="184"/>
        <v>0</v>
      </c>
      <c r="AS60" s="115">
        <f t="shared" si="185"/>
        <v>0</v>
      </c>
      <c r="AT60" s="100" t="str">
        <f t="shared" si="186"/>
        <v/>
      </c>
      <c r="AU60" s="113">
        <f t="shared" si="41"/>
        <v>0</v>
      </c>
      <c r="AV60" s="116">
        <f t="shared" si="187"/>
        <v>0</v>
      </c>
      <c r="AW60" s="117">
        <f t="shared" si="188"/>
        <v>0</v>
      </c>
      <c r="AX60" s="100" t="str">
        <f t="shared" si="189"/>
        <v/>
      </c>
      <c r="AY60" s="113">
        <f t="shared" si="45"/>
        <v>0</v>
      </c>
      <c r="AZ60" s="114">
        <f t="shared" si="190"/>
        <v>0</v>
      </c>
      <c r="BA60" s="100">
        <f t="shared" si="191"/>
        <v>0</v>
      </c>
      <c r="BB60" s="118">
        <f t="shared" ref="BB60:BD60" si="284">BH60+AY60+AU60</f>
        <v>0</v>
      </c>
      <c r="BC60" s="116">
        <f t="shared" si="284"/>
        <v>0</v>
      </c>
      <c r="BD60" s="119">
        <f t="shared" si="284"/>
        <v>0</v>
      </c>
      <c r="BE60" s="118">
        <f t="shared" si="49"/>
        <v>0</v>
      </c>
      <c r="BF60" s="116">
        <f t="shared" si="50"/>
        <v>0</v>
      </c>
      <c r="BG60" s="119">
        <f t="shared" si="51"/>
        <v>0</v>
      </c>
      <c r="BH60" s="114">
        <f t="shared" si="52"/>
        <v>0</v>
      </c>
      <c r="BI60" s="114">
        <f t="shared" si="193"/>
        <v>0</v>
      </c>
      <c r="BJ60" s="115">
        <f t="shared" si="194"/>
        <v>0</v>
      </c>
      <c r="BK60" s="125" t="str">
        <f t="shared" si="195"/>
        <v/>
      </c>
      <c r="BL60" s="120">
        <f t="shared" si="56"/>
        <v>69497.23</v>
      </c>
      <c r="BM60" s="121">
        <f t="shared" si="196"/>
        <v>0</v>
      </c>
      <c r="BN60" s="119">
        <f t="shared" si="197"/>
        <v>69497.23</v>
      </c>
      <c r="BO60" s="125" t="str">
        <f t="shared" si="198"/>
        <v/>
      </c>
      <c r="BP60" s="140">
        <f t="shared" si="60"/>
        <v>1427631.0399999998</v>
      </c>
      <c r="BQ60" s="123">
        <f t="shared" si="199"/>
        <v>927203.05</v>
      </c>
      <c r="BR60" s="125">
        <f t="shared" si="200"/>
        <v>2354834.09</v>
      </c>
      <c r="BS60" s="122">
        <f t="shared" si="63"/>
        <v>1497128.2699999998</v>
      </c>
      <c r="BT60" s="123">
        <f t="shared" ref="BT60:BU60" si="285">SUM(BI60,BM60,BQ60)</f>
        <v>927203.05</v>
      </c>
      <c r="BU60" s="124">
        <f t="shared" si="285"/>
        <v>2424331.3199999998</v>
      </c>
      <c r="BV60" s="125" t="str">
        <f t="shared" si="202"/>
        <v/>
      </c>
      <c r="BW60" s="122">
        <f t="shared" si="66"/>
        <v>1636607.3</v>
      </c>
      <c r="BX60" s="123">
        <f t="shared" si="203"/>
        <v>0</v>
      </c>
      <c r="BY60" s="124">
        <f t="shared" si="204"/>
        <v>1636607.3</v>
      </c>
      <c r="BZ60" s="125" t="str">
        <f t="shared" si="205"/>
        <v/>
      </c>
      <c r="CA60" s="140"/>
      <c r="CB60" s="123"/>
      <c r="CC60" s="148"/>
      <c r="CD60" s="123" t="str">
        <f t="shared" si="206"/>
        <v/>
      </c>
      <c r="CF60" s="149"/>
    </row>
    <row r="61" spans="1:84" ht="14">
      <c r="A61" s="92">
        <f t="shared" si="166"/>
        <v>112014390</v>
      </c>
      <c r="B61" s="172">
        <f t="shared" si="225"/>
        <v>18</v>
      </c>
      <c r="C61" s="137" t="str">
        <f t="shared" si="273"/>
        <v>Lista</v>
      </c>
      <c r="D61" s="137">
        <f t="shared" si="274"/>
        <v>0.23</v>
      </c>
      <c r="E61" s="138">
        <f t="shared" si="275"/>
        <v>0</v>
      </c>
      <c r="F61" s="193">
        <f>IFERROR(VLOOKUP(M61,BASILECART2,2,FALSE),"")</f>
        <v>18</v>
      </c>
      <c r="G61" s="97" t="str">
        <f t="shared" si="167"/>
        <v>Lista</v>
      </c>
      <c r="H61" s="97">
        <f t="shared" si="168"/>
        <v>0.23</v>
      </c>
      <c r="I61" s="97">
        <f t="shared" si="169"/>
        <v>0</v>
      </c>
      <c r="J61" s="96">
        <f t="shared" si="170"/>
        <v>69</v>
      </c>
      <c r="K61" s="94" t="str">
        <f t="shared" si="171"/>
        <v>Lista</v>
      </c>
      <c r="L61" s="98">
        <f t="shared" si="172"/>
        <v>0.14000000000000001</v>
      </c>
      <c r="M61" s="139" t="s">
        <v>135</v>
      </c>
      <c r="N61" s="100">
        <f t="shared" si="173"/>
        <v>0</v>
      </c>
      <c r="O61" s="140">
        <f t="shared" si="278"/>
        <v>0</v>
      </c>
      <c r="P61" s="102">
        <f t="shared" si="13"/>
        <v>0</v>
      </c>
      <c r="Q61" s="102">
        <f t="shared" si="174"/>
        <v>425102.7</v>
      </c>
      <c r="R61" s="102">
        <f t="shared" si="175"/>
        <v>425102.7</v>
      </c>
      <c r="S61" s="102">
        <f t="shared" si="16"/>
        <v>425102.7</v>
      </c>
      <c r="T61" s="103" t="e">
        <f t="shared" si="17"/>
        <v>#DIV/0!</v>
      </c>
      <c r="U61" s="100">
        <f t="shared" si="176"/>
        <v>0</v>
      </c>
      <c r="V61" s="141">
        <f t="shared" si="279"/>
        <v>0</v>
      </c>
      <c r="W61" s="105">
        <f t="shared" si="19"/>
        <v>0</v>
      </c>
      <c r="X61" s="102">
        <f t="shared" si="177"/>
        <v>0</v>
      </c>
      <c r="Y61" s="106">
        <f t="shared" si="178"/>
        <v>0</v>
      </c>
      <c r="Z61" s="142">
        <f t="shared" si="234"/>
        <v>0</v>
      </c>
      <c r="AA61" s="143" t="str">
        <f t="shared" si="280"/>
        <v/>
      </c>
      <c r="AB61" s="100">
        <f t="shared" si="179"/>
        <v>245179.45</v>
      </c>
      <c r="AC61" s="140">
        <f t="shared" si="281"/>
        <v>402919.32684925001</v>
      </c>
      <c r="AD61" s="102">
        <f t="shared" si="24"/>
        <v>0</v>
      </c>
      <c r="AE61" s="102">
        <f t="shared" si="180"/>
        <v>0</v>
      </c>
      <c r="AF61" s="102">
        <f t="shared" si="181"/>
        <v>0</v>
      </c>
      <c r="AG61" s="145">
        <f t="shared" si="27"/>
        <v>-402919.32684925001</v>
      </c>
      <c r="AH61" s="158">
        <f t="shared" si="252"/>
        <v>0</v>
      </c>
      <c r="AI61" s="147">
        <f t="shared" si="103"/>
        <v>402919.32684925001</v>
      </c>
      <c r="AJ61" s="111">
        <f t="shared" si="182"/>
        <v>1889024.94</v>
      </c>
      <c r="AK61" s="102">
        <f t="shared" si="31"/>
        <v>425102.7</v>
      </c>
      <c r="AL61" s="102">
        <f t="shared" si="32"/>
        <v>0</v>
      </c>
      <c r="AM61" s="102">
        <f t="shared" si="33"/>
        <v>425102.7</v>
      </c>
      <c r="AN61" s="102">
        <f t="shared" si="34"/>
        <v>-1463922.24</v>
      </c>
      <c r="AO61" s="112">
        <f t="shared" si="35"/>
        <v>0.2250381617513213</v>
      </c>
      <c r="AP61" s="100">
        <f t="shared" si="183"/>
        <v>362462.29</v>
      </c>
      <c r="AQ61" s="113">
        <f t="shared" si="37"/>
        <v>0</v>
      </c>
      <c r="AR61" s="114">
        <f t="shared" si="184"/>
        <v>0</v>
      </c>
      <c r="AS61" s="115">
        <f t="shared" si="185"/>
        <v>0</v>
      </c>
      <c r="AT61" s="100">
        <f t="shared" si="186"/>
        <v>547673.81999999995</v>
      </c>
      <c r="AU61" s="113">
        <f t="shared" si="41"/>
        <v>0</v>
      </c>
      <c r="AV61" s="116">
        <f t="shared" si="187"/>
        <v>0</v>
      </c>
      <c r="AW61" s="117">
        <f t="shared" si="188"/>
        <v>0</v>
      </c>
      <c r="AX61" s="100">
        <f t="shared" si="189"/>
        <v>739044.24</v>
      </c>
      <c r="AY61" s="113">
        <f t="shared" si="45"/>
        <v>0</v>
      </c>
      <c r="AZ61" s="114">
        <f t="shared" si="190"/>
        <v>874483.76</v>
      </c>
      <c r="BA61" s="100">
        <f t="shared" si="191"/>
        <v>874483.76</v>
      </c>
      <c r="BB61" s="118">
        <f t="shared" ref="BB61:BD61" si="286">BH61+AY61+AU61</f>
        <v>0</v>
      </c>
      <c r="BC61" s="116">
        <f t="shared" si="286"/>
        <v>2326507.9500000002</v>
      </c>
      <c r="BD61" s="119">
        <f t="shared" si="286"/>
        <v>2326507.9500000002</v>
      </c>
      <c r="BE61" s="118">
        <f t="shared" si="49"/>
        <v>0</v>
      </c>
      <c r="BF61" s="116">
        <f t="shared" si="50"/>
        <v>2751610.6500000004</v>
      </c>
      <c r="BG61" s="119">
        <f t="shared" si="51"/>
        <v>2751610.6500000004</v>
      </c>
      <c r="BH61" s="114">
        <f t="shared" si="52"/>
        <v>0</v>
      </c>
      <c r="BI61" s="114">
        <f t="shared" si="193"/>
        <v>1452024.19</v>
      </c>
      <c r="BJ61" s="115">
        <f t="shared" si="194"/>
        <v>1452024.19</v>
      </c>
      <c r="BK61" s="125">
        <f t="shared" si="195"/>
        <v>375499.2</v>
      </c>
      <c r="BL61" s="120">
        <f t="shared" si="56"/>
        <v>0</v>
      </c>
      <c r="BM61" s="121">
        <f t="shared" si="196"/>
        <v>714343.53</v>
      </c>
      <c r="BN61" s="119">
        <f t="shared" si="197"/>
        <v>714343.53</v>
      </c>
      <c r="BO61" s="125">
        <f t="shared" si="198"/>
        <v>104919.12</v>
      </c>
      <c r="BP61" s="140">
        <f t="shared" si="60"/>
        <v>0</v>
      </c>
      <c r="BQ61" s="123">
        <f t="shared" si="199"/>
        <v>769521.6</v>
      </c>
      <c r="BR61" s="125">
        <f t="shared" si="200"/>
        <v>769521.6</v>
      </c>
      <c r="BS61" s="122">
        <f t="shared" si="63"/>
        <v>0</v>
      </c>
      <c r="BT61" s="123">
        <f t="shared" ref="BT61:BU61" si="287">SUM(BI61,BM61,BQ61)</f>
        <v>2935889.32</v>
      </c>
      <c r="BU61" s="124">
        <f t="shared" si="287"/>
        <v>2935889.32</v>
      </c>
      <c r="BV61" s="125">
        <f t="shared" si="202"/>
        <v>395454.21</v>
      </c>
      <c r="BW61" s="122">
        <f t="shared" si="66"/>
        <v>0</v>
      </c>
      <c r="BX61" s="123">
        <f t="shared" si="203"/>
        <v>449712.89</v>
      </c>
      <c r="BY61" s="124">
        <f t="shared" si="204"/>
        <v>449712.89</v>
      </c>
      <c r="BZ61" s="125">
        <f t="shared" si="205"/>
        <v>731776.38</v>
      </c>
      <c r="CA61" s="140"/>
      <c r="CB61" s="123"/>
      <c r="CC61" s="148"/>
      <c r="CD61" s="123">
        <f t="shared" si="206"/>
        <v>761794.34</v>
      </c>
      <c r="CF61" s="149"/>
    </row>
    <row r="62" spans="1:84" ht="14">
      <c r="A62" s="92">
        <f t="shared" si="166"/>
        <v>112014743</v>
      </c>
      <c r="B62" s="172" t="str">
        <f t="shared" si="225"/>
        <v/>
      </c>
      <c r="C62" s="137" t="str">
        <f t="shared" si="273"/>
        <v/>
      </c>
      <c r="D62" s="137" t="str">
        <f t="shared" si="274"/>
        <v/>
      </c>
      <c r="E62" s="138" t="str">
        <f t="shared" si="275"/>
        <v/>
      </c>
      <c r="F62" s="193">
        <f>IFERROR(VLOOKUP(M62,BASILECART2,2,FALSE),"")</f>
        <v>18</v>
      </c>
      <c r="G62" s="97" t="str">
        <f t="shared" si="167"/>
        <v>Lista</v>
      </c>
      <c r="H62" s="97">
        <f t="shared" si="168"/>
        <v>0.23</v>
      </c>
      <c r="I62" s="97">
        <f t="shared" si="169"/>
        <v>0</v>
      </c>
      <c r="J62" s="96">
        <f t="shared" si="170"/>
        <v>69</v>
      </c>
      <c r="K62" s="94" t="str">
        <f t="shared" si="171"/>
        <v>Lista</v>
      </c>
      <c r="L62" s="98">
        <f t="shared" si="172"/>
        <v>0.14000000000000001</v>
      </c>
      <c r="M62" s="253" t="s">
        <v>136</v>
      </c>
      <c r="N62" s="100" t="str">
        <f t="shared" si="173"/>
        <v/>
      </c>
      <c r="O62" s="140"/>
      <c r="P62" s="102">
        <f t="shared" si="13"/>
        <v>0</v>
      </c>
      <c r="Q62" s="102">
        <f t="shared" si="174"/>
        <v>0</v>
      </c>
      <c r="R62" s="102">
        <f t="shared" si="175"/>
        <v>0</v>
      </c>
      <c r="S62" s="102">
        <f t="shared" si="16"/>
        <v>0</v>
      </c>
      <c r="T62" s="103" t="e">
        <f t="shared" si="17"/>
        <v>#DIV/0!</v>
      </c>
      <c r="U62" s="100" t="str">
        <f t="shared" si="176"/>
        <v/>
      </c>
      <c r="V62" s="141"/>
      <c r="W62" s="105">
        <f t="shared" si="19"/>
        <v>0</v>
      </c>
      <c r="X62" s="102">
        <f t="shared" si="177"/>
        <v>0</v>
      </c>
      <c r="Y62" s="106">
        <f t="shared" si="178"/>
        <v>0</v>
      </c>
      <c r="Z62" s="142"/>
      <c r="AA62" s="143"/>
      <c r="AB62" s="100" t="str">
        <f t="shared" si="179"/>
        <v/>
      </c>
      <c r="AC62" s="140"/>
      <c r="AD62" s="102">
        <f t="shared" si="24"/>
        <v>0</v>
      </c>
      <c r="AE62" s="102">
        <f t="shared" si="180"/>
        <v>0</v>
      </c>
      <c r="AF62" s="102">
        <f t="shared" si="181"/>
        <v>0</v>
      </c>
      <c r="AG62" s="145"/>
      <c r="AH62" s="158"/>
      <c r="AI62" s="147"/>
      <c r="AJ62" s="111" t="str">
        <f t="shared" si="182"/>
        <v>0</v>
      </c>
      <c r="AK62" s="102">
        <f t="shared" si="31"/>
        <v>0</v>
      </c>
      <c r="AL62" s="102">
        <f t="shared" si="32"/>
        <v>0</v>
      </c>
      <c r="AM62" s="102">
        <f t="shared" si="33"/>
        <v>0</v>
      </c>
      <c r="AN62" s="102">
        <f t="shared" si="34"/>
        <v>0</v>
      </c>
      <c r="AO62" s="112" t="e">
        <f t="shared" si="35"/>
        <v>#DIV/0!</v>
      </c>
      <c r="AP62" s="100" t="str">
        <f t="shared" si="183"/>
        <v/>
      </c>
      <c r="AQ62" s="113">
        <f t="shared" si="37"/>
        <v>0</v>
      </c>
      <c r="AR62" s="114">
        <f t="shared" si="184"/>
        <v>0</v>
      </c>
      <c r="AS62" s="115">
        <f t="shared" si="185"/>
        <v>0</v>
      </c>
      <c r="AT62" s="100" t="str">
        <f t="shared" si="186"/>
        <v/>
      </c>
      <c r="AU62" s="113">
        <f t="shared" si="41"/>
        <v>0</v>
      </c>
      <c r="AV62" s="116">
        <f t="shared" si="187"/>
        <v>0</v>
      </c>
      <c r="AW62" s="117">
        <f t="shared" si="188"/>
        <v>0</v>
      </c>
      <c r="AX62" s="100" t="str">
        <f t="shared" si="189"/>
        <v/>
      </c>
      <c r="AY62" s="113">
        <f t="shared" si="45"/>
        <v>0</v>
      </c>
      <c r="AZ62" s="114">
        <f t="shared" si="190"/>
        <v>0</v>
      </c>
      <c r="BA62" s="100">
        <f t="shared" si="191"/>
        <v>0</v>
      </c>
      <c r="BB62" s="118">
        <f t="shared" ref="BB62:BD62" si="288">BH62+AY62+AU62</f>
        <v>0</v>
      </c>
      <c r="BC62" s="116">
        <f t="shared" si="288"/>
        <v>0</v>
      </c>
      <c r="BD62" s="119">
        <f t="shared" si="288"/>
        <v>0</v>
      </c>
      <c r="BE62" s="118">
        <f t="shared" si="49"/>
        <v>0</v>
      </c>
      <c r="BF62" s="116">
        <f t="shared" si="50"/>
        <v>0</v>
      </c>
      <c r="BG62" s="119">
        <f t="shared" si="51"/>
        <v>0</v>
      </c>
      <c r="BH62" s="114">
        <f t="shared" si="52"/>
        <v>0</v>
      </c>
      <c r="BI62" s="114">
        <f t="shared" si="193"/>
        <v>0</v>
      </c>
      <c r="BJ62" s="115">
        <f t="shared" si="194"/>
        <v>0</v>
      </c>
      <c r="BK62" s="125" t="str">
        <f t="shared" si="195"/>
        <v/>
      </c>
      <c r="BL62" s="120">
        <f t="shared" si="56"/>
        <v>235303</v>
      </c>
      <c r="BM62" s="121">
        <f t="shared" si="196"/>
        <v>0</v>
      </c>
      <c r="BN62" s="119">
        <f t="shared" si="197"/>
        <v>235303</v>
      </c>
      <c r="BO62" s="125" t="str">
        <f t="shared" si="198"/>
        <v/>
      </c>
      <c r="BP62" s="140">
        <f t="shared" si="60"/>
        <v>0</v>
      </c>
      <c r="BQ62" s="123">
        <f t="shared" si="199"/>
        <v>39534.11</v>
      </c>
      <c r="BR62" s="125">
        <f t="shared" si="200"/>
        <v>39534.11</v>
      </c>
      <c r="BS62" s="122">
        <f t="shared" si="63"/>
        <v>235303</v>
      </c>
      <c r="BT62" s="123">
        <f t="shared" ref="BT62:BU62" si="289">SUM(BI62,BM62,BQ62)</f>
        <v>39534.11</v>
      </c>
      <c r="BU62" s="124">
        <f t="shared" si="289"/>
        <v>274837.11</v>
      </c>
      <c r="BV62" s="125" t="str">
        <f t="shared" si="202"/>
        <v/>
      </c>
      <c r="BW62" s="122">
        <f t="shared" si="66"/>
        <v>143319.86000000002</v>
      </c>
      <c r="BX62" s="123">
        <f t="shared" si="203"/>
        <v>98619.12</v>
      </c>
      <c r="BY62" s="124">
        <f t="shared" si="204"/>
        <v>241938.98</v>
      </c>
      <c r="BZ62" s="125" t="str">
        <f t="shared" si="205"/>
        <v/>
      </c>
      <c r="CA62" s="140"/>
      <c r="CB62" s="123"/>
      <c r="CC62" s="148"/>
      <c r="CD62" s="123" t="str">
        <f t="shared" si="206"/>
        <v/>
      </c>
      <c r="CF62" s="149"/>
    </row>
    <row r="63" spans="1:84" ht="13">
      <c r="A63" s="92">
        <f t="shared" si="166"/>
        <v>112014178</v>
      </c>
      <c r="B63" s="172">
        <f t="shared" si="225"/>
        <v>4</v>
      </c>
      <c r="C63" s="137" t="str">
        <f t="shared" si="273"/>
        <v>Lista</v>
      </c>
      <c r="D63" s="137">
        <f t="shared" si="274"/>
        <v>0.2</v>
      </c>
      <c r="E63" s="138">
        <f t="shared" si="275"/>
        <v>0</v>
      </c>
      <c r="F63" s="193">
        <f>IFERROR(VLOOKUP(M63,BASILECART2,2,FALSE),"")</f>
        <v>4</v>
      </c>
      <c r="G63" s="97" t="str">
        <f t="shared" si="167"/>
        <v>Lista</v>
      </c>
      <c r="H63" s="97">
        <f t="shared" si="168"/>
        <v>0.2</v>
      </c>
      <c r="I63" s="97">
        <f t="shared" si="169"/>
        <v>0</v>
      </c>
      <c r="J63" s="96">
        <f t="shared" si="170"/>
        <v>70</v>
      </c>
      <c r="K63" s="94" t="str">
        <f t="shared" si="171"/>
        <v>Lista</v>
      </c>
      <c r="L63" s="98">
        <f t="shared" si="172"/>
        <v>0.11</v>
      </c>
      <c r="M63" s="139" t="s">
        <v>137</v>
      </c>
      <c r="N63" s="100">
        <f t="shared" si="173"/>
        <v>378170.12</v>
      </c>
      <c r="O63" s="140">
        <f t="shared" ref="O63:O66" si="290">(N63*1.601)*1.05</f>
        <v>635722.88022599998</v>
      </c>
      <c r="P63" s="102" t="e">
        <f t="shared" si="13"/>
        <v>#VALUE!</v>
      </c>
      <c r="Q63" s="102" t="str">
        <f t="shared" si="174"/>
        <v/>
      </c>
      <c r="R63" s="102">
        <f t="shared" si="175"/>
        <v>452630.22</v>
      </c>
      <c r="S63" s="102">
        <f t="shared" si="16"/>
        <v>-183092.66022600001</v>
      </c>
      <c r="T63" s="103">
        <f t="shared" si="17"/>
        <v>0.71199296750038255</v>
      </c>
      <c r="U63" s="100">
        <f t="shared" si="176"/>
        <v>423667.03</v>
      </c>
      <c r="V63" s="141">
        <f t="shared" ref="V63:V66" si="291">U63*1.7245</f>
        <v>730613.79323499999</v>
      </c>
      <c r="W63" s="105" t="e">
        <f t="shared" si="19"/>
        <v>#VALUE!</v>
      </c>
      <c r="X63" s="102" t="str">
        <f t="shared" si="177"/>
        <v/>
      </c>
      <c r="Y63" s="106">
        <f t="shared" si="178"/>
        <v>790938.66</v>
      </c>
      <c r="Z63" s="142">
        <f t="shared" ref="Z63:Z80" si="292">Y63-V63</f>
        <v>60324.866765000043</v>
      </c>
      <c r="AA63" s="143">
        <f t="shared" ref="AA63:AA66" si="293">IFERROR(Y63/V63,"")</f>
        <v>1.0825673800899578</v>
      </c>
      <c r="AB63" s="100">
        <f t="shared" si="179"/>
        <v>400906</v>
      </c>
      <c r="AC63" s="140">
        <f t="shared" ref="AC63:AC66" si="294">(AB63*1.5955)*1.03</f>
        <v>658834.88868999993</v>
      </c>
      <c r="AD63" s="102" t="e">
        <f t="shared" si="24"/>
        <v>#VALUE!</v>
      </c>
      <c r="AE63" s="102" t="str">
        <f t="shared" si="180"/>
        <v/>
      </c>
      <c r="AF63" s="102">
        <f t="shared" si="181"/>
        <v>389212.95</v>
      </c>
      <c r="AG63" s="145">
        <f t="shared" ref="AG63:AG80" si="295">AF63-AC63</f>
        <v>-269621.93868999992</v>
      </c>
      <c r="AH63" s="158">
        <f t="shared" ref="AH63:AH80" si="296">IFERROR(AF63/AC63,"")</f>
        <v>0.59075947051604227</v>
      </c>
      <c r="AI63" s="147">
        <f t="shared" ref="AI63:AI80" si="297">SUM(O63,V63,AC63)</f>
        <v>2025171.5621509999</v>
      </c>
      <c r="AJ63" s="111">
        <f t="shared" si="182"/>
        <v>1132122.99</v>
      </c>
      <c r="AK63" s="102">
        <f t="shared" si="31"/>
        <v>0</v>
      </c>
      <c r="AL63" s="102" t="e">
        <f t="shared" si="32"/>
        <v>#VALUE!</v>
      </c>
      <c r="AM63" s="102">
        <f t="shared" si="33"/>
        <v>1632781.83</v>
      </c>
      <c r="AN63" s="102">
        <f t="shared" si="34"/>
        <v>500658.84000000008</v>
      </c>
      <c r="AO63" s="112">
        <f t="shared" si="35"/>
        <v>1.4422300796135232</v>
      </c>
      <c r="AP63" s="100">
        <f t="shared" si="183"/>
        <v>436384.81</v>
      </c>
      <c r="AQ63" s="113" t="e">
        <f t="shared" si="37"/>
        <v>#VALUE!</v>
      </c>
      <c r="AR63" s="114" t="str">
        <f t="shared" si="184"/>
        <v/>
      </c>
      <c r="AS63" s="115">
        <f t="shared" si="185"/>
        <v>636594.42000000004</v>
      </c>
      <c r="AT63" s="100">
        <f t="shared" si="186"/>
        <v>165423.63</v>
      </c>
      <c r="AU63" s="113" t="e">
        <f t="shared" si="41"/>
        <v>#VALUE!</v>
      </c>
      <c r="AV63" s="116" t="str">
        <f t="shared" si="187"/>
        <v/>
      </c>
      <c r="AW63" s="117">
        <f t="shared" si="188"/>
        <v>461597.27</v>
      </c>
      <c r="AX63" s="100">
        <f t="shared" si="189"/>
        <v>41385.33</v>
      </c>
      <c r="AY63" s="113" t="e">
        <f t="shared" si="45"/>
        <v>#VALUE!</v>
      </c>
      <c r="AZ63" s="114" t="str">
        <f t="shared" si="190"/>
        <v/>
      </c>
      <c r="BA63" s="100">
        <f t="shared" si="191"/>
        <v>697084.76</v>
      </c>
      <c r="BB63" s="118" t="e">
        <f t="shared" ref="BB63:BD63" si="298">BH63+AY63+AU63</f>
        <v>#VALUE!</v>
      </c>
      <c r="BC63" s="116" t="e">
        <f t="shared" si="298"/>
        <v>#VALUE!</v>
      </c>
      <c r="BD63" s="119">
        <f t="shared" si="298"/>
        <v>1773200.35</v>
      </c>
      <c r="BE63" s="118" t="e">
        <f t="shared" si="49"/>
        <v>#VALUE!</v>
      </c>
      <c r="BF63" s="116" t="e">
        <f t="shared" si="50"/>
        <v>#VALUE!</v>
      </c>
      <c r="BG63" s="119">
        <f t="shared" si="51"/>
        <v>3405982.18</v>
      </c>
      <c r="BH63" s="114" t="e">
        <f t="shared" si="52"/>
        <v>#VALUE!</v>
      </c>
      <c r="BI63" s="114" t="str">
        <f t="shared" si="193"/>
        <v/>
      </c>
      <c r="BJ63" s="115">
        <f t="shared" si="194"/>
        <v>614518.31999999995</v>
      </c>
      <c r="BK63" s="125">
        <f t="shared" si="195"/>
        <v>57478</v>
      </c>
      <c r="BL63" s="120" t="e">
        <f t="shared" si="56"/>
        <v>#VALUE!</v>
      </c>
      <c r="BM63" s="121" t="str">
        <f t="shared" si="196"/>
        <v/>
      </c>
      <c r="BN63" s="119">
        <f t="shared" si="197"/>
        <v>621865.18999999994</v>
      </c>
      <c r="BO63" s="125">
        <f t="shared" si="198"/>
        <v>498665.55</v>
      </c>
      <c r="BP63" s="140" t="e">
        <f t="shared" si="60"/>
        <v>#VALUE!</v>
      </c>
      <c r="BQ63" s="123" t="str">
        <f t="shared" si="199"/>
        <v/>
      </c>
      <c r="BR63" s="125">
        <f t="shared" si="200"/>
        <v>476184.64</v>
      </c>
      <c r="BS63" s="122" t="e">
        <f t="shared" si="63"/>
        <v>#VALUE!</v>
      </c>
      <c r="BT63" s="123">
        <f t="shared" ref="BT63:BU63" si="299">SUM(BI63,BM63,BQ63)</f>
        <v>0</v>
      </c>
      <c r="BU63" s="124">
        <f t="shared" si="299"/>
        <v>1712568.15</v>
      </c>
      <c r="BV63" s="125">
        <f t="shared" si="202"/>
        <v>105495.01</v>
      </c>
      <c r="BW63" s="122" t="e">
        <f t="shared" si="66"/>
        <v>#VALUE!</v>
      </c>
      <c r="BX63" s="123" t="str">
        <f t="shared" si="203"/>
        <v/>
      </c>
      <c r="BY63" s="124">
        <f t="shared" si="204"/>
        <v>538825.57999999996</v>
      </c>
      <c r="BZ63" s="125">
        <f t="shared" si="205"/>
        <v>597274.12</v>
      </c>
      <c r="CA63" s="140"/>
      <c r="CB63" s="123"/>
      <c r="CC63" s="148"/>
      <c r="CD63" s="123">
        <f t="shared" si="206"/>
        <v>429353.86</v>
      </c>
      <c r="CF63" s="149"/>
    </row>
    <row r="64" spans="1:84" ht="14">
      <c r="A64" s="92">
        <f t="shared" si="166"/>
        <v>112014336</v>
      </c>
      <c r="B64" s="172">
        <f t="shared" si="225"/>
        <v>4</v>
      </c>
      <c r="C64" s="137" t="str">
        <f t="shared" si="273"/>
        <v>Lista</v>
      </c>
      <c r="D64" s="137">
        <f t="shared" si="274"/>
        <v>0.2</v>
      </c>
      <c r="E64" s="138">
        <f t="shared" si="275"/>
        <v>0</v>
      </c>
      <c r="F64" s="96">
        <f>VLOOKUP(M64,BASILECART2,2,FALSE)</f>
        <v>4</v>
      </c>
      <c r="G64" s="97" t="str">
        <f t="shared" si="167"/>
        <v>Lista</v>
      </c>
      <c r="H64" s="97">
        <f t="shared" si="168"/>
        <v>0.2</v>
      </c>
      <c r="I64" s="97">
        <f t="shared" si="169"/>
        <v>0</v>
      </c>
      <c r="J64" s="96">
        <f t="shared" si="170"/>
        <v>70</v>
      </c>
      <c r="K64" s="94" t="str">
        <f t="shared" si="171"/>
        <v>Lista</v>
      </c>
      <c r="L64" s="98">
        <f t="shared" si="172"/>
        <v>0.11</v>
      </c>
      <c r="M64" s="139" t="s">
        <v>138</v>
      </c>
      <c r="N64" s="100">
        <f t="shared" si="173"/>
        <v>0</v>
      </c>
      <c r="O64" s="140">
        <f t="shared" si="290"/>
        <v>0</v>
      </c>
      <c r="P64" s="102" t="e">
        <f t="shared" si="13"/>
        <v>#VALUE!</v>
      </c>
      <c r="Q64" s="102" t="str">
        <f t="shared" si="174"/>
        <v/>
      </c>
      <c r="R64" s="102" t="str">
        <f t="shared" si="175"/>
        <v/>
      </c>
      <c r="S64" s="102" t="e">
        <f t="shared" si="16"/>
        <v>#VALUE!</v>
      </c>
      <c r="T64" s="103" t="e">
        <f t="shared" si="17"/>
        <v>#VALUE!</v>
      </c>
      <c r="U64" s="100">
        <f t="shared" si="176"/>
        <v>0</v>
      </c>
      <c r="V64" s="141">
        <f t="shared" si="291"/>
        <v>0</v>
      </c>
      <c r="W64" s="105" t="e">
        <f t="shared" si="19"/>
        <v>#VALUE!</v>
      </c>
      <c r="X64" s="102" t="str">
        <f t="shared" si="177"/>
        <v/>
      </c>
      <c r="Y64" s="106" t="str">
        <f t="shared" si="178"/>
        <v/>
      </c>
      <c r="Z64" s="142" t="e">
        <f t="shared" si="292"/>
        <v>#VALUE!</v>
      </c>
      <c r="AA64" s="143" t="str">
        <f t="shared" si="293"/>
        <v/>
      </c>
      <c r="AB64" s="100">
        <f t="shared" si="179"/>
        <v>305698.73</v>
      </c>
      <c r="AC64" s="140">
        <f t="shared" si="294"/>
        <v>502374.59342644998</v>
      </c>
      <c r="AD64" s="102" t="e">
        <f t="shared" si="24"/>
        <v>#VALUE!</v>
      </c>
      <c r="AE64" s="102" t="str">
        <f t="shared" si="180"/>
        <v/>
      </c>
      <c r="AF64" s="102" t="str">
        <f t="shared" si="181"/>
        <v/>
      </c>
      <c r="AG64" s="145" t="e">
        <f t="shared" si="295"/>
        <v>#VALUE!</v>
      </c>
      <c r="AH64" s="158" t="str">
        <f t="shared" si="296"/>
        <v/>
      </c>
      <c r="AI64" s="147">
        <f t="shared" si="297"/>
        <v>502374.59342644998</v>
      </c>
      <c r="AJ64" s="111" t="str">
        <f t="shared" si="182"/>
        <v>0</v>
      </c>
      <c r="AK64" s="102">
        <f t="shared" si="31"/>
        <v>0</v>
      </c>
      <c r="AL64" s="102" t="e">
        <f t="shared" si="32"/>
        <v>#VALUE!</v>
      </c>
      <c r="AM64" s="102" t="e">
        <f t="shared" si="33"/>
        <v>#VALUE!</v>
      </c>
      <c r="AN64" s="102" t="e">
        <f t="shared" si="34"/>
        <v>#VALUE!</v>
      </c>
      <c r="AO64" s="112" t="e">
        <f t="shared" si="35"/>
        <v>#VALUE!</v>
      </c>
      <c r="AP64" s="100">
        <f t="shared" si="183"/>
        <v>-305698.73</v>
      </c>
      <c r="AQ64" s="113" t="e">
        <f t="shared" si="37"/>
        <v>#VALUE!</v>
      </c>
      <c r="AR64" s="114" t="str">
        <f t="shared" si="184"/>
        <v/>
      </c>
      <c r="AS64" s="115" t="str">
        <f t="shared" si="185"/>
        <v/>
      </c>
      <c r="AT64" s="100">
        <f t="shared" si="186"/>
        <v>0</v>
      </c>
      <c r="AU64" s="113" t="e">
        <f t="shared" si="41"/>
        <v>#VALUE!</v>
      </c>
      <c r="AV64" s="116" t="str">
        <f t="shared" si="187"/>
        <v/>
      </c>
      <c r="AW64" s="117" t="str">
        <f t="shared" si="188"/>
        <v/>
      </c>
      <c r="AX64" s="100">
        <f t="shared" si="189"/>
        <v>0</v>
      </c>
      <c r="AY64" s="113" t="e">
        <f t="shared" si="45"/>
        <v>#VALUE!</v>
      </c>
      <c r="AZ64" s="114" t="str">
        <f t="shared" si="190"/>
        <v/>
      </c>
      <c r="BA64" s="100" t="str">
        <f t="shared" si="191"/>
        <v/>
      </c>
      <c r="BB64" s="118" t="e">
        <f t="shared" ref="BB64:BD64" si="300">BH64+AY64+AU64</f>
        <v>#VALUE!</v>
      </c>
      <c r="BC64" s="116" t="e">
        <f t="shared" si="300"/>
        <v>#VALUE!</v>
      </c>
      <c r="BD64" s="119" t="e">
        <f t="shared" si="300"/>
        <v>#VALUE!</v>
      </c>
      <c r="BE64" s="118" t="e">
        <f t="shared" si="49"/>
        <v>#VALUE!</v>
      </c>
      <c r="BF64" s="116" t="e">
        <f t="shared" si="50"/>
        <v>#VALUE!</v>
      </c>
      <c r="BG64" s="119" t="e">
        <f t="shared" si="51"/>
        <v>#VALUE!</v>
      </c>
      <c r="BH64" s="114" t="e">
        <f t="shared" si="52"/>
        <v>#VALUE!</v>
      </c>
      <c r="BI64" s="114" t="str">
        <f t="shared" si="193"/>
        <v/>
      </c>
      <c r="BJ64" s="115" t="str">
        <f t="shared" si="194"/>
        <v/>
      </c>
      <c r="BK64" s="125">
        <f t="shared" si="195"/>
        <v>0</v>
      </c>
      <c r="BL64" s="120" t="e">
        <f t="shared" si="56"/>
        <v>#VALUE!</v>
      </c>
      <c r="BM64" s="121" t="str">
        <f t="shared" si="196"/>
        <v/>
      </c>
      <c r="BN64" s="119" t="str">
        <f t="shared" si="197"/>
        <v/>
      </c>
      <c r="BO64" s="125">
        <f t="shared" si="198"/>
        <v>0</v>
      </c>
      <c r="BP64" s="140" t="e">
        <f t="shared" si="60"/>
        <v>#VALUE!</v>
      </c>
      <c r="BQ64" s="123" t="str">
        <f t="shared" si="199"/>
        <v/>
      </c>
      <c r="BR64" s="125" t="str">
        <f t="shared" si="200"/>
        <v/>
      </c>
      <c r="BS64" s="122" t="e">
        <f t="shared" si="63"/>
        <v>#VALUE!</v>
      </c>
      <c r="BT64" s="123">
        <f t="shared" ref="BT64:BU64" si="301">SUM(BI64,BM64,BQ64)</f>
        <v>0</v>
      </c>
      <c r="BU64" s="124">
        <f t="shared" si="301"/>
        <v>0</v>
      </c>
      <c r="BV64" s="125">
        <f t="shared" si="202"/>
        <v>0</v>
      </c>
      <c r="BW64" s="122" t="e">
        <f t="shared" si="66"/>
        <v>#VALUE!</v>
      </c>
      <c r="BX64" s="123" t="str">
        <f t="shared" si="203"/>
        <v/>
      </c>
      <c r="BY64" s="124" t="str">
        <f t="shared" si="204"/>
        <v/>
      </c>
      <c r="BZ64" s="125">
        <f t="shared" si="205"/>
        <v>0</v>
      </c>
      <c r="CA64" s="140"/>
      <c r="CB64" s="123"/>
      <c r="CC64" s="148"/>
      <c r="CD64" s="123">
        <f t="shared" si="206"/>
        <v>0</v>
      </c>
      <c r="CF64" s="149"/>
    </row>
    <row r="65" spans="1:84" ht="13">
      <c r="A65" s="92">
        <f t="shared" si="166"/>
        <v>112013230</v>
      </c>
      <c r="B65" s="172">
        <f t="shared" si="225"/>
        <v>4</v>
      </c>
      <c r="C65" s="137" t="str">
        <f t="shared" si="273"/>
        <v>Lista</v>
      </c>
      <c r="D65" s="137">
        <f t="shared" si="274"/>
        <v>0.2</v>
      </c>
      <c r="E65" s="138">
        <f t="shared" si="275"/>
        <v>0</v>
      </c>
      <c r="F65" s="96">
        <f>VLOOKUP(M65,BASILECART2,2,FALSE)</f>
        <v>4</v>
      </c>
      <c r="G65" s="97" t="str">
        <f t="shared" si="167"/>
        <v>Lista</v>
      </c>
      <c r="H65" s="97">
        <f t="shared" si="168"/>
        <v>0.2</v>
      </c>
      <c r="I65" s="97">
        <f t="shared" si="169"/>
        <v>0</v>
      </c>
      <c r="J65" s="96">
        <f t="shared" si="170"/>
        <v>70</v>
      </c>
      <c r="K65" s="94" t="str">
        <f t="shared" si="171"/>
        <v>Lista</v>
      </c>
      <c r="L65" s="98">
        <f t="shared" si="172"/>
        <v>0.11</v>
      </c>
      <c r="M65" s="139" t="s">
        <v>139</v>
      </c>
      <c r="N65" s="100">
        <f t="shared" si="173"/>
        <v>291298.39</v>
      </c>
      <c r="O65" s="140">
        <f t="shared" si="290"/>
        <v>489687.15850950003</v>
      </c>
      <c r="P65" s="102">
        <f t="shared" si="13"/>
        <v>0</v>
      </c>
      <c r="Q65" s="102">
        <f t="shared" si="174"/>
        <v>334459.68</v>
      </c>
      <c r="R65" s="102">
        <f t="shared" si="175"/>
        <v>334459.68</v>
      </c>
      <c r="S65" s="102">
        <f t="shared" si="16"/>
        <v>-155227.47850950004</v>
      </c>
      <c r="T65" s="103">
        <f t="shared" si="17"/>
        <v>0.68300684260951761</v>
      </c>
      <c r="U65" s="100">
        <f t="shared" si="176"/>
        <v>456658.64</v>
      </c>
      <c r="V65" s="141">
        <f t="shared" si="291"/>
        <v>787507.82467999996</v>
      </c>
      <c r="W65" s="105">
        <f t="shared" si="19"/>
        <v>0</v>
      </c>
      <c r="X65" s="102">
        <f t="shared" si="177"/>
        <v>690573.84</v>
      </c>
      <c r="Y65" s="106">
        <f t="shared" si="178"/>
        <v>690573.84</v>
      </c>
      <c r="Z65" s="142">
        <f t="shared" si="292"/>
        <v>-96933.984679999994</v>
      </c>
      <c r="AA65" s="143">
        <f t="shared" si="293"/>
        <v>0.87691044883345937</v>
      </c>
      <c r="AB65" s="100">
        <f t="shared" si="179"/>
        <v>12891.13</v>
      </c>
      <c r="AC65" s="140">
        <f t="shared" si="294"/>
        <v>21184.831852449999</v>
      </c>
      <c r="AD65" s="102">
        <f t="shared" si="24"/>
        <v>0</v>
      </c>
      <c r="AE65" s="102">
        <f t="shared" si="180"/>
        <v>0</v>
      </c>
      <c r="AF65" s="102">
        <f t="shared" si="181"/>
        <v>0</v>
      </c>
      <c r="AG65" s="145">
        <f t="shared" si="295"/>
        <v>-21184.831852449999</v>
      </c>
      <c r="AH65" s="158">
        <f t="shared" si="296"/>
        <v>0</v>
      </c>
      <c r="AI65" s="147">
        <f t="shared" si="297"/>
        <v>1298379.81504195</v>
      </c>
      <c r="AJ65" s="111">
        <f t="shared" si="182"/>
        <v>639592.24</v>
      </c>
      <c r="AK65" s="102">
        <f t="shared" si="31"/>
        <v>1025033.52</v>
      </c>
      <c r="AL65" s="102">
        <f t="shared" si="32"/>
        <v>0</v>
      </c>
      <c r="AM65" s="102">
        <f t="shared" si="33"/>
        <v>1025033.52</v>
      </c>
      <c r="AN65" s="102">
        <f t="shared" si="34"/>
        <v>385441.28000000003</v>
      </c>
      <c r="AO65" s="112">
        <f t="shared" si="35"/>
        <v>1.6026359544324678</v>
      </c>
      <c r="AP65" s="100">
        <f t="shared" si="183"/>
        <v>246841.1</v>
      </c>
      <c r="AQ65" s="113">
        <f t="shared" si="37"/>
        <v>0</v>
      </c>
      <c r="AR65" s="114">
        <f t="shared" si="184"/>
        <v>278827.84000000003</v>
      </c>
      <c r="AS65" s="115">
        <f t="shared" si="185"/>
        <v>278827.84000000003</v>
      </c>
      <c r="AT65" s="100">
        <f t="shared" si="186"/>
        <v>190990.18</v>
      </c>
      <c r="AU65" s="113">
        <f t="shared" si="41"/>
        <v>0</v>
      </c>
      <c r="AV65" s="116">
        <f t="shared" si="187"/>
        <v>240587.84</v>
      </c>
      <c r="AW65" s="117">
        <f t="shared" si="188"/>
        <v>240587.84</v>
      </c>
      <c r="AX65" s="100">
        <f t="shared" si="189"/>
        <v>426822.48</v>
      </c>
      <c r="AY65" s="113">
        <f t="shared" si="45"/>
        <v>12885.989999999991</v>
      </c>
      <c r="AZ65" s="114">
        <f t="shared" si="190"/>
        <v>112282.24000000001</v>
      </c>
      <c r="BA65" s="100">
        <f t="shared" si="191"/>
        <v>125168.23</v>
      </c>
      <c r="BB65" s="118">
        <f t="shared" ref="BB65:BD65" si="302">BH65+AY65+AU65</f>
        <v>12885.989999999991</v>
      </c>
      <c r="BC65" s="116">
        <f t="shared" si="302"/>
        <v>352870.08</v>
      </c>
      <c r="BD65" s="119">
        <f t="shared" si="302"/>
        <v>365756.07</v>
      </c>
      <c r="BE65" s="118">
        <f t="shared" si="49"/>
        <v>12885.989999999991</v>
      </c>
      <c r="BF65" s="116">
        <f t="shared" si="50"/>
        <v>1377903.6</v>
      </c>
      <c r="BG65" s="119">
        <f t="shared" si="51"/>
        <v>1390789.59</v>
      </c>
      <c r="BH65" s="114">
        <f t="shared" si="52"/>
        <v>0</v>
      </c>
      <c r="BI65" s="114">
        <f t="shared" si="193"/>
        <v>0</v>
      </c>
      <c r="BJ65" s="115">
        <f t="shared" si="194"/>
        <v>0</v>
      </c>
      <c r="BK65" s="125">
        <f t="shared" si="195"/>
        <v>666068.56000000006</v>
      </c>
      <c r="BL65" s="120">
        <f t="shared" si="56"/>
        <v>17439.080000000016</v>
      </c>
      <c r="BM65" s="121">
        <f t="shared" si="196"/>
        <v>346288.24</v>
      </c>
      <c r="BN65" s="119">
        <f t="shared" si="197"/>
        <v>363727.32</v>
      </c>
      <c r="BO65" s="125">
        <f t="shared" si="198"/>
        <v>213661.12</v>
      </c>
      <c r="BP65" s="140">
        <f t="shared" si="60"/>
        <v>0</v>
      </c>
      <c r="BQ65" s="123">
        <f t="shared" si="199"/>
        <v>149867.20000000001</v>
      </c>
      <c r="BR65" s="125">
        <f t="shared" si="200"/>
        <v>149867.20000000001</v>
      </c>
      <c r="BS65" s="122">
        <f t="shared" si="63"/>
        <v>17439.080000000016</v>
      </c>
      <c r="BT65" s="123">
        <f t="shared" ref="BT65:BU65" si="303">SUM(BI65,BM65,BQ65)</f>
        <v>496155.44</v>
      </c>
      <c r="BU65" s="124">
        <f t="shared" si="303"/>
        <v>513594.52</v>
      </c>
      <c r="BV65" s="125">
        <f t="shared" si="202"/>
        <v>236497.12</v>
      </c>
      <c r="BW65" s="122">
        <f t="shared" si="66"/>
        <v>0</v>
      </c>
      <c r="BX65" s="123">
        <f t="shared" si="203"/>
        <v>292962.19</v>
      </c>
      <c r="BY65" s="124">
        <f t="shared" si="204"/>
        <v>292962.19</v>
      </c>
      <c r="BZ65" s="125">
        <f t="shared" si="205"/>
        <v>262245.52</v>
      </c>
      <c r="CA65" s="140"/>
      <c r="CB65" s="123"/>
      <c r="CC65" s="148"/>
      <c r="CD65" s="123">
        <f t="shared" si="206"/>
        <v>140849.60000000001</v>
      </c>
      <c r="CF65" s="149"/>
    </row>
    <row r="66" spans="1:84" ht="14">
      <c r="A66" s="92">
        <f t="shared" ref="A66:A97" si="304">VLOOKUP(M66,BASCART4,3,FALSE)</f>
        <v>112014155</v>
      </c>
      <c r="B66" s="172">
        <f t="shared" si="225"/>
        <v>4</v>
      </c>
      <c r="C66" s="137" t="str">
        <f t="shared" si="273"/>
        <v>Lista</v>
      </c>
      <c r="D66" s="137">
        <f t="shared" si="274"/>
        <v>0.2</v>
      </c>
      <c r="E66" s="138">
        <f t="shared" si="275"/>
        <v>0</v>
      </c>
      <c r="F66" s="96">
        <f>VLOOKUP(M66,BASILECART2,2,FALSE)</f>
        <v>4</v>
      </c>
      <c r="G66" s="97" t="str">
        <f t="shared" ref="G66:G97" si="305">IFERROR(VLOOKUP(F66,DES,2,FALSE),"")</f>
        <v>Lista</v>
      </c>
      <c r="H66" s="97">
        <f t="shared" ref="H66:H97" si="306">IFERROR(VLOOKUP(F66,DES,3,FALSE),"")</f>
        <v>0.2</v>
      </c>
      <c r="I66" s="97">
        <f t="shared" ref="I66:I97" si="307">IFERROR(VLOOKUP(F66,DES,4,FALSE),"")</f>
        <v>0</v>
      </c>
      <c r="J66" s="96">
        <f t="shared" ref="J66:J97" si="308">VLOOKUP(M66,BASCART4,2,FALSE)</f>
        <v>70</v>
      </c>
      <c r="K66" s="94" t="str">
        <f t="shared" ref="K66:K97" si="309">IFERROR(VLOOKUP(J66,A458DC1025,2,FALSE),"")</f>
        <v>Lista</v>
      </c>
      <c r="L66" s="98">
        <f t="shared" ref="L66:L97" si="310">IFERROR(VLOOKUP(J66,A458DC1025,3,FALSE),"")</f>
        <v>0.11</v>
      </c>
      <c r="M66" s="139" t="s">
        <v>140</v>
      </c>
      <c r="N66" s="100" t="str">
        <f t="shared" ref="N66:N97" si="311">IFERROR(VLOOKUP(M66,Basilee24,3,FALSE),"")</f>
        <v/>
      </c>
      <c r="O66" s="140" t="e">
        <f t="shared" si="290"/>
        <v>#VALUE!</v>
      </c>
      <c r="P66" s="102">
        <f t="shared" si="13"/>
        <v>91807.56</v>
      </c>
      <c r="Q66" s="102">
        <f t="shared" ref="Q66:Q97" si="312">IFERROR(VLOOKUP(M66,BASALIM,3,FALSE),"")</f>
        <v>30764.880000000001</v>
      </c>
      <c r="R66" s="102">
        <f t="shared" ref="R66:R97" si="313">IFERROR(VLOOKUP(M66,BASFC,3,FALSE),"")</f>
        <v>122572.44</v>
      </c>
      <c r="S66" s="102" t="e">
        <f t="shared" si="16"/>
        <v>#VALUE!</v>
      </c>
      <c r="T66" s="103" t="e">
        <f t="shared" si="17"/>
        <v>#VALUE!</v>
      </c>
      <c r="U66" s="100" t="str">
        <f t="shared" ref="U66:U97" si="314">IFERROR(VLOOKUP(M66,Basilee24,4,FALSE),"")</f>
        <v/>
      </c>
      <c r="V66" s="141" t="e">
        <f t="shared" si="291"/>
        <v>#VALUE!</v>
      </c>
      <c r="W66" s="105">
        <f t="shared" si="19"/>
        <v>315990.56</v>
      </c>
      <c r="X66" s="102">
        <f t="shared" ref="X66:X97" si="315">IFERROR(VLOOKUP(M66,BASALIM,4,FALSE),"")</f>
        <v>0</v>
      </c>
      <c r="Y66" s="106">
        <f t="shared" ref="Y66:Y97" si="316">IFERROR(VLOOKUP(M66,BASFC,4,FALSE),"")</f>
        <v>315990.56</v>
      </c>
      <c r="Z66" s="142" t="e">
        <f t="shared" si="292"/>
        <v>#VALUE!</v>
      </c>
      <c r="AA66" s="143" t="str">
        <f t="shared" si="293"/>
        <v/>
      </c>
      <c r="AB66" s="100" t="str">
        <f t="shared" ref="AB66:AB97" si="317">IFERROR(VLOOKUP(M66,Basilee24,5,FALSE),"")</f>
        <v/>
      </c>
      <c r="AC66" s="140" t="e">
        <f t="shared" si="294"/>
        <v>#VALUE!</v>
      </c>
      <c r="AD66" s="102">
        <f t="shared" si="24"/>
        <v>268629.24</v>
      </c>
      <c r="AE66" s="102">
        <f t="shared" ref="AE66:AE97" si="318">IFERROR(VLOOKUP(M66,BASALIM,5,FALSE),"")</f>
        <v>0</v>
      </c>
      <c r="AF66" s="102">
        <f t="shared" ref="AF66:AF97" si="319">IFERROR(VLOOKUP(M66,BASFC,5,FALSE),"")</f>
        <v>268629.24</v>
      </c>
      <c r="AG66" s="145" t="e">
        <f t="shared" si="295"/>
        <v>#VALUE!</v>
      </c>
      <c r="AH66" s="158" t="str">
        <f t="shared" si="296"/>
        <v/>
      </c>
      <c r="AI66" s="147" t="e">
        <f t="shared" si="297"/>
        <v>#VALUE!</v>
      </c>
      <c r="AJ66" s="111" t="str">
        <f t="shared" ref="AJ66:AJ97" si="320">IFERROR(VLOOKUP(M66,trim2024,2,FALSE),"0")</f>
        <v>0</v>
      </c>
      <c r="AK66" s="102">
        <f t="shared" si="31"/>
        <v>30764.880000000001</v>
      </c>
      <c r="AL66" s="102">
        <f t="shared" si="32"/>
        <v>676427.36</v>
      </c>
      <c r="AM66" s="102">
        <f t="shared" si="33"/>
        <v>707192.24</v>
      </c>
      <c r="AN66" s="102">
        <f t="shared" si="34"/>
        <v>707192.24</v>
      </c>
      <c r="AO66" s="112" t="e">
        <f t="shared" si="35"/>
        <v>#DIV/0!</v>
      </c>
      <c r="AP66" s="100" t="str">
        <f t="shared" ref="AP66:AP97" si="321">IFERROR(VLOOKUP(M66,Basilee24,6,FALSE),"")</f>
        <v/>
      </c>
      <c r="AQ66" s="113">
        <f t="shared" si="37"/>
        <v>703704.45</v>
      </c>
      <c r="AR66" s="114">
        <f t="shared" ref="AR66:AR97" si="322">IFERROR(VLOOKUP(M66,BASALIM,6,FALSE),"")</f>
        <v>0</v>
      </c>
      <c r="AS66" s="115">
        <f t="shared" ref="AS66:AS97" si="323">IFERROR(VLOOKUP(M66,BASFC,6,FALSE),"")</f>
        <v>703704.45</v>
      </c>
      <c r="AT66" s="100" t="str">
        <f t="shared" ref="AT66:AT97" si="324">IFERROR(VLOOKUP(M66,Basilee24,7,FALSE),"")</f>
        <v/>
      </c>
      <c r="AU66" s="113">
        <f t="shared" si="41"/>
        <v>21550.06</v>
      </c>
      <c r="AV66" s="116">
        <f t="shared" ref="AV66:AV97" si="325">IFERROR(VLOOKUP(M66,BASALIM,7,FALSE),"")</f>
        <v>0</v>
      </c>
      <c r="AW66" s="117">
        <f t="shared" ref="AW66:AW97" si="326">IFERROR(VLOOKUP(M66,BASFC,7,FALSE),"")</f>
        <v>21550.06</v>
      </c>
      <c r="AX66" s="100" t="str">
        <f t="shared" ref="AX66:AX97" si="327">IFERROR(VLOOKUP(M66,Basilee24,8,FALSE),"")</f>
        <v/>
      </c>
      <c r="AY66" s="113">
        <f t="shared" si="45"/>
        <v>0</v>
      </c>
      <c r="AZ66" s="114">
        <f t="shared" ref="AZ66:AZ97" si="328">IFERROR(VLOOKUP(M66,BASALIM,8,FALSE),"")</f>
        <v>0</v>
      </c>
      <c r="BA66" s="100">
        <f t="shared" ref="BA66:BA97" si="329">IFERROR(VLOOKUP(M66,BASFC,8,FALSE),"")</f>
        <v>0</v>
      </c>
      <c r="BB66" s="118">
        <f t="shared" ref="BB66:BD66" si="330">BH66+AY66+AU66</f>
        <v>65022.58</v>
      </c>
      <c r="BC66" s="116">
        <f t="shared" si="330"/>
        <v>0</v>
      </c>
      <c r="BD66" s="119">
        <f t="shared" si="330"/>
        <v>65022.58</v>
      </c>
      <c r="BE66" s="118">
        <f t="shared" si="49"/>
        <v>741449.94</v>
      </c>
      <c r="BF66" s="116">
        <f t="shared" si="50"/>
        <v>30764.880000000001</v>
      </c>
      <c r="BG66" s="119">
        <f t="shared" si="51"/>
        <v>772214.82</v>
      </c>
      <c r="BH66" s="114">
        <f t="shared" si="52"/>
        <v>43472.52</v>
      </c>
      <c r="BI66" s="114">
        <f t="shared" ref="BI66:BI97" si="331">IFERROR(VLOOKUP(M66,BASALIM,9,FALSE),"")</f>
        <v>0</v>
      </c>
      <c r="BJ66" s="115">
        <f t="shared" ref="BJ66:BJ97" si="332">IFERROR(VLOOKUP(M66,BASFC,9,FALSE),"")</f>
        <v>43472.52</v>
      </c>
      <c r="BK66" s="125" t="str">
        <f t="shared" ref="BK66:BK97" si="333">IFERROR(VLOOKUP(M66,Basilee24,10,FALSE),"")</f>
        <v/>
      </c>
      <c r="BL66" s="120">
        <f t="shared" si="56"/>
        <v>0</v>
      </c>
      <c r="BM66" s="121">
        <f t="shared" ref="BM66:BM97" si="334">IFERROR(VLOOKUP(M66,BASALIM,10,FALSE),"")</f>
        <v>236221.12</v>
      </c>
      <c r="BN66" s="119">
        <f t="shared" ref="BN66:BN97" si="335">IFERROR(VLOOKUP(M66,BASFC,10,FALSE),"")</f>
        <v>236221.12</v>
      </c>
      <c r="BO66" s="125" t="str">
        <f t="shared" ref="BO66:BO97" si="336">IFERROR(VLOOKUP(M66,Basilee24,11,FALSE),"")</f>
        <v/>
      </c>
      <c r="BP66" s="140">
        <f t="shared" si="60"/>
        <v>0</v>
      </c>
      <c r="BQ66" s="123">
        <f t="shared" ref="BQ66:BQ97" si="337">IFERROR(VLOOKUP(M66,BASALIM,11,FALSE),"")</f>
        <v>0</v>
      </c>
      <c r="BR66" s="125">
        <f t="shared" ref="BR66:BR97" si="338">IFERROR(VLOOKUP(M66,BASFC,11,FALSE),"")</f>
        <v>0</v>
      </c>
      <c r="BS66" s="122">
        <f t="shared" si="63"/>
        <v>43472.52</v>
      </c>
      <c r="BT66" s="123">
        <f t="shared" ref="BT66:BU66" si="339">SUM(BI66,BM66,BQ66)</f>
        <v>236221.12</v>
      </c>
      <c r="BU66" s="124">
        <f t="shared" si="339"/>
        <v>279693.64</v>
      </c>
      <c r="BV66" s="125" t="str">
        <f t="shared" ref="BV66:BV97" si="340">IFERROR(VLOOKUP(M66,Basilee24,12,FALSE),"")</f>
        <v/>
      </c>
      <c r="BW66" s="122">
        <f t="shared" si="66"/>
        <v>0</v>
      </c>
      <c r="BX66" s="123">
        <f t="shared" ref="BX66:BX97" si="341">IFERROR(VLOOKUP(M66,BASALIM,12,FALSE),"")</f>
        <v>0</v>
      </c>
      <c r="BY66" s="124">
        <f t="shared" ref="BY66:BY97" si="342">IFERROR(VLOOKUP(M66,BASFC,12,FALSE),"")</f>
        <v>0</v>
      </c>
      <c r="BZ66" s="125" t="str">
        <f t="shared" ref="BZ66:BZ97" si="343">IFERROR(VLOOKUP(M66,Basilee24,13,FALSE),"")</f>
        <v/>
      </c>
      <c r="CA66" s="140"/>
      <c r="CB66" s="123"/>
      <c r="CC66" s="148"/>
      <c r="CD66" s="123" t="str">
        <f t="shared" ref="CD66:CD97" si="344">IFERROR(VLOOKUP(M66,Basilee24,14,FALSE),"")</f>
        <v/>
      </c>
      <c r="CF66" s="149"/>
    </row>
    <row r="67" spans="1:84" ht="13">
      <c r="A67" s="92">
        <f t="shared" si="304"/>
        <v>112012636</v>
      </c>
      <c r="B67" s="172">
        <f t="shared" si="225"/>
        <v>4</v>
      </c>
      <c r="C67" s="137" t="str">
        <f t="shared" si="273"/>
        <v>Lista</v>
      </c>
      <c r="D67" s="137">
        <f t="shared" si="274"/>
        <v>0.2</v>
      </c>
      <c r="E67" s="138">
        <f t="shared" si="275"/>
        <v>0</v>
      </c>
      <c r="F67" s="193">
        <f>IFERROR(VLOOKUP(M67,BASILECART2,2,FALSE),"")</f>
        <v>4</v>
      </c>
      <c r="G67" s="97" t="str">
        <f t="shared" si="305"/>
        <v>Lista</v>
      </c>
      <c r="H67" s="97">
        <f t="shared" si="306"/>
        <v>0.2</v>
      </c>
      <c r="I67" s="97">
        <f t="shared" si="307"/>
        <v>0</v>
      </c>
      <c r="J67" s="96">
        <f t="shared" si="308"/>
        <v>70</v>
      </c>
      <c r="K67" s="94" t="str">
        <f t="shared" si="309"/>
        <v>Lista</v>
      </c>
      <c r="L67" s="98">
        <f t="shared" si="310"/>
        <v>0.11</v>
      </c>
      <c r="M67" s="139" t="s">
        <v>141</v>
      </c>
      <c r="N67" s="100">
        <f t="shared" si="311"/>
        <v>392517.97</v>
      </c>
      <c r="O67" s="247">
        <v>1500000</v>
      </c>
      <c r="P67" s="102">
        <f t="shared" si="13"/>
        <v>28937.759999999893</v>
      </c>
      <c r="Q67" s="102">
        <f t="shared" si="312"/>
        <v>647209.68000000005</v>
      </c>
      <c r="R67" s="102">
        <f t="shared" si="313"/>
        <v>676147.44</v>
      </c>
      <c r="S67" s="102">
        <f t="shared" si="16"/>
        <v>-823852.56</v>
      </c>
      <c r="T67" s="103">
        <f t="shared" si="17"/>
        <v>0.45076495999999994</v>
      </c>
      <c r="U67" s="100">
        <f t="shared" si="314"/>
        <v>649243.82999999996</v>
      </c>
      <c r="V67" s="248">
        <v>1500000</v>
      </c>
      <c r="W67" s="105">
        <f t="shared" si="19"/>
        <v>0</v>
      </c>
      <c r="X67" s="102">
        <f t="shared" si="315"/>
        <v>901690.4</v>
      </c>
      <c r="Y67" s="106">
        <f t="shared" si="316"/>
        <v>901690.4</v>
      </c>
      <c r="Z67" s="142">
        <f t="shared" si="292"/>
        <v>-598309.6</v>
      </c>
      <c r="AA67" s="143">
        <f t="shared" ref="AA67:AA68" si="345">Y67/V67</f>
        <v>0.60112693333333334</v>
      </c>
      <c r="AB67" s="100">
        <f t="shared" si="317"/>
        <v>441815.66</v>
      </c>
      <c r="AC67" s="247">
        <v>1500000</v>
      </c>
      <c r="AD67" s="102">
        <f t="shared" si="24"/>
        <v>0</v>
      </c>
      <c r="AE67" s="102">
        <f t="shared" si="318"/>
        <v>492208.4</v>
      </c>
      <c r="AF67" s="102">
        <f t="shared" si="319"/>
        <v>492208.4</v>
      </c>
      <c r="AG67" s="145">
        <f t="shared" si="295"/>
        <v>-1007791.6</v>
      </c>
      <c r="AH67" s="158">
        <f t="shared" si="296"/>
        <v>0.32813893333333333</v>
      </c>
      <c r="AI67" s="147">
        <f t="shared" si="297"/>
        <v>4500000</v>
      </c>
      <c r="AJ67" s="111">
        <f t="shared" si="320"/>
        <v>2302166.17</v>
      </c>
      <c r="AK67" s="102">
        <f t="shared" si="31"/>
        <v>2041108.48</v>
      </c>
      <c r="AL67" s="102">
        <f t="shared" si="32"/>
        <v>28937.759999999893</v>
      </c>
      <c r="AM67" s="102">
        <f t="shared" si="33"/>
        <v>2070046.24</v>
      </c>
      <c r="AN67" s="102">
        <f t="shared" si="34"/>
        <v>-232119.92999999993</v>
      </c>
      <c r="AO67" s="112">
        <f t="shared" si="35"/>
        <v>0.89917325125145076</v>
      </c>
      <c r="AP67" s="100">
        <f t="shared" si="321"/>
        <v>1177078.99</v>
      </c>
      <c r="AQ67" s="113">
        <f t="shared" si="37"/>
        <v>0</v>
      </c>
      <c r="AR67" s="114">
        <f t="shared" si="322"/>
        <v>756079.45</v>
      </c>
      <c r="AS67" s="115">
        <f t="shared" si="323"/>
        <v>756079.45</v>
      </c>
      <c r="AT67" s="100">
        <f t="shared" si="324"/>
        <v>524411.19999999995</v>
      </c>
      <c r="AU67" s="113">
        <f t="shared" si="41"/>
        <v>243301.5</v>
      </c>
      <c r="AV67" s="116">
        <f t="shared" si="325"/>
        <v>1218060.6200000001</v>
      </c>
      <c r="AW67" s="117">
        <f t="shared" si="326"/>
        <v>1461362.12</v>
      </c>
      <c r="AX67" s="100">
        <f t="shared" si="327"/>
        <v>711702.52</v>
      </c>
      <c r="AY67" s="113">
        <f t="shared" si="45"/>
        <v>0</v>
      </c>
      <c r="AZ67" s="114">
        <f t="shared" si="328"/>
        <v>1164759.28</v>
      </c>
      <c r="BA67" s="100">
        <f t="shared" si="329"/>
        <v>1164759.28</v>
      </c>
      <c r="BB67" s="118">
        <f t="shared" ref="BB67:BD67" si="346">BH67+AY67+AU67</f>
        <v>498732.29999999993</v>
      </c>
      <c r="BC67" s="116">
        <f t="shared" si="346"/>
        <v>3421721.5</v>
      </c>
      <c r="BD67" s="119">
        <f t="shared" si="346"/>
        <v>3920453.8</v>
      </c>
      <c r="BE67" s="118">
        <f t="shared" si="49"/>
        <v>527670.05999999982</v>
      </c>
      <c r="BF67" s="116">
        <f t="shared" si="50"/>
        <v>5462829.9800000004</v>
      </c>
      <c r="BG67" s="119">
        <f t="shared" si="51"/>
        <v>5990500.04</v>
      </c>
      <c r="BH67" s="114">
        <f t="shared" si="52"/>
        <v>255430.79999999993</v>
      </c>
      <c r="BI67" s="114">
        <f t="shared" si="331"/>
        <v>1038901.6</v>
      </c>
      <c r="BJ67" s="115">
        <f t="shared" si="332"/>
        <v>1294332.3999999999</v>
      </c>
      <c r="BK67" s="125">
        <f t="shared" si="333"/>
        <v>812442.84</v>
      </c>
      <c r="BL67" s="120">
        <f t="shared" si="56"/>
        <v>0</v>
      </c>
      <c r="BM67" s="121">
        <f t="shared" si="334"/>
        <v>838241.95</v>
      </c>
      <c r="BN67" s="119">
        <f t="shared" si="335"/>
        <v>838241.95</v>
      </c>
      <c r="BO67" s="125">
        <f t="shared" si="336"/>
        <v>879223.69</v>
      </c>
      <c r="BP67" s="140">
        <f t="shared" si="60"/>
        <v>0</v>
      </c>
      <c r="BQ67" s="123">
        <f t="shared" si="337"/>
        <v>1136732.07</v>
      </c>
      <c r="BR67" s="125">
        <f t="shared" si="338"/>
        <v>1136732.07</v>
      </c>
      <c r="BS67" s="122">
        <f t="shared" si="63"/>
        <v>255430.79999999993</v>
      </c>
      <c r="BT67" s="123">
        <f t="shared" ref="BT67:BU67" si="347">SUM(BI67,BM67,BQ67)</f>
        <v>3013875.62</v>
      </c>
      <c r="BU67" s="124">
        <f t="shared" si="347"/>
        <v>3269306.42</v>
      </c>
      <c r="BV67" s="125">
        <f t="shared" si="340"/>
        <v>835228.01</v>
      </c>
      <c r="BW67" s="122">
        <f t="shared" si="66"/>
        <v>0</v>
      </c>
      <c r="BX67" s="123">
        <f t="shared" si="341"/>
        <v>816648.26</v>
      </c>
      <c r="BY67" s="124">
        <f t="shared" si="342"/>
        <v>816648.26</v>
      </c>
      <c r="BZ67" s="125">
        <f t="shared" si="343"/>
        <v>754800.56</v>
      </c>
      <c r="CA67" s="140"/>
      <c r="CB67" s="123"/>
      <c r="CC67" s="148"/>
      <c r="CD67" s="123">
        <f t="shared" si="344"/>
        <v>712137.6</v>
      </c>
      <c r="CF67" s="126"/>
    </row>
    <row r="68" spans="1:84" ht="13">
      <c r="A68" s="92">
        <f t="shared" si="304"/>
        <v>112014735</v>
      </c>
      <c r="B68" s="172">
        <f t="shared" si="225"/>
        <v>4</v>
      </c>
      <c r="C68" s="137" t="str">
        <f t="shared" si="273"/>
        <v>Lista</v>
      </c>
      <c r="D68" s="137">
        <f t="shared" si="274"/>
        <v>0.2</v>
      </c>
      <c r="E68" s="138">
        <f t="shared" si="275"/>
        <v>0</v>
      </c>
      <c r="F68" s="193">
        <f>IFERROR(VLOOKUP(M68,BASILECART2,2,FALSE),"")</f>
        <v>4</v>
      </c>
      <c r="G68" s="97" t="str">
        <f t="shared" si="305"/>
        <v>Lista</v>
      </c>
      <c r="H68" s="97">
        <f t="shared" si="306"/>
        <v>0.2</v>
      </c>
      <c r="I68" s="97">
        <f t="shared" si="307"/>
        <v>0</v>
      </c>
      <c r="J68" s="96">
        <f t="shared" si="308"/>
        <v>70</v>
      </c>
      <c r="K68" s="94" t="str">
        <f t="shared" si="309"/>
        <v>Lista</v>
      </c>
      <c r="L68" s="98">
        <f t="shared" si="310"/>
        <v>0.11</v>
      </c>
      <c r="M68" s="189" t="s">
        <v>142</v>
      </c>
      <c r="N68" s="100" t="str">
        <f t="shared" si="311"/>
        <v/>
      </c>
      <c r="O68" s="247">
        <v>1500000</v>
      </c>
      <c r="P68" s="102" t="e">
        <f t="shared" si="13"/>
        <v>#VALUE!</v>
      </c>
      <c r="Q68" s="102" t="str">
        <f t="shared" si="312"/>
        <v/>
      </c>
      <c r="R68" s="102">
        <f t="shared" si="313"/>
        <v>0</v>
      </c>
      <c r="S68" s="102">
        <f t="shared" si="16"/>
        <v>-1500000</v>
      </c>
      <c r="T68" s="103">
        <f t="shared" si="17"/>
        <v>0</v>
      </c>
      <c r="U68" s="100" t="str">
        <f t="shared" si="314"/>
        <v/>
      </c>
      <c r="V68" s="248">
        <v>1500000</v>
      </c>
      <c r="W68" s="105" t="e">
        <f t="shared" si="19"/>
        <v>#VALUE!</v>
      </c>
      <c r="X68" s="102" t="str">
        <f t="shared" si="315"/>
        <v/>
      </c>
      <c r="Y68" s="106">
        <f t="shared" si="316"/>
        <v>0</v>
      </c>
      <c r="Z68" s="142">
        <f t="shared" si="292"/>
        <v>-1500000</v>
      </c>
      <c r="AA68" s="143">
        <f t="shared" si="345"/>
        <v>0</v>
      </c>
      <c r="AB68" s="100" t="str">
        <f t="shared" si="317"/>
        <v/>
      </c>
      <c r="AC68" s="247">
        <v>1500000</v>
      </c>
      <c r="AD68" s="102" t="e">
        <f t="shared" si="24"/>
        <v>#VALUE!</v>
      </c>
      <c r="AE68" s="102" t="str">
        <f t="shared" si="318"/>
        <v/>
      </c>
      <c r="AF68" s="102">
        <f t="shared" si="319"/>
        <v>0</v>
      </c>
      <c r="AG68" s="145">
        <f t="shared" si="295"/>
        <v>-1500000</v>
      </c>
      <c r="AH68" s="158">
        <f t="shared" si="296"/>
        <v>0</v>
      </c>
      <c r="AI68" s="147">
        <f t="shared" si="297"/>
        <v>4500000</v>
      </c>
      <c r="AJ68" s="111" t="str">
        <f t="shared" si="320"/>
        <v>0</v>
      </c>
      <c r="AK68" s="102">
        <f t="shared" si="31"/>
        <v>0</v>
      </c>
      <c r="AL68" s="102" t="e">
        <f t="shared" si="32"/>
        <v>#VALUE!</v>
      </c>
      <c r="AM68" s="102">
        <f t="shared" si="33"/>
        <v>0</v>
      </c>
      <c r="AN68" s="102">
        <f t="shared" si="34"/>
        <v>0</v>
      </c>
      <c r="AO68" s="112" t="e">
        <f t="shared" si="35"/>
        <v>#DIV/0!</v>
      </c>
      <c r="AP68" s="100" t="str">
        <f t="shared" si="321"/>
        <v/>
      </c>
      <c r="AQ68" s="113" t="e">
        <f t="shared" si="37"/>
        <v>#VALUE!</v>
      </c>
      <c r="AR68" s="114" t="str">
        <f t="shared" si="322"/>
        <v/>
      </c>
      <c r="AS68" s="115">
        <f t="shared" si="323"/>
        <v>0</v>
      </c>
      <c r="AT68" s="100" t="str">
        <f t="shared" si="324"/>
        <v/>
      </c>
      <c r="AU68" s="113" t="e">
        <f t="shared" si="41"/>
        <v>#VALUE!</v>
      </c>
      <c r="AV68" s="116" t="str">
        <f t="shared" si="325"/>
        <v/>
      </c>
      <c r="AW68" s="117">
        <f t="shared" si="326"/>
        <v>0</v>
      </c>
      <c r="AX68" s="100" t="str">
        <f t="shared" si="327"/>
        <v/>
      </c>
      <c r="AY68" s="113" t="e">
        <f t="shared" si="45"/>
        <v>#VALUE!</v>
      </c>
      <c r="AZ68" s="114" t="str">
        <f t="shared" si="328"/>
        <v/>
      </c>
      <c r="BA68" s="100">
        <f t="shared" si="329"/>
        <v>0</v>
      </c>
      <c r="BB68" s="118" t="e">
        <f t="shared" ref="BB68:BD68" si="348">BH68+AY68+AU68</f>
        <v>#VALUE!</v>
      </c>
      <c r="BC68" s="116" t="e">
        <f t="shared" si="348"/>
        <v>#VALUE!</v>
      </c>
      <c r="BD68" s="119">
        <f t="shared" si="348"/>
        <v>0</v>
      </c>
      <c r="BE68" s="118" t="e">
        <f t="shared" si="49"/>
        <v>#VALUE!</v>
      </c>
      <c r="BF68" s="116" t="e">
        <f t="shared" si="50"/>
        <v>#VALUE!</v>
      </c>
      <c r="BG68" s="119">
        <f t="shared" si="51"/>
        <v>0</v>
      </c>
      <c r="BH68" s="114" t="e">
        <f t="shared" si="52"/>
        <v>#VALUE!</v>
      </c>
      <c r="BI68" s="114" t="str">
        <f t="shared" si="331"/>
        <v/>
      </c>
      <c r="BJ68" s="115">
        <f t="shared" si="332"/>
        <v>0</v>
      </c>
      <c r="BK68" s="125" t="str">
        <f t="shared" si="333"/>
        <v/>
      </c>
      <c r="BL68" s="120" t="e">
        <f t="shared" si="56"/>
        <v>#VALUE!</v>
      </c>
      <c r="BM68" s="121" t="str">
        <f t="shared" si="334"/>
        <v/>
      </c>
      <c r="BN68" s="119">
        <f t="shared" si="335"/>
        <v>288945</v>
      </c>
      <c r="BO68" s="125" t="str">
        <f t="shared" si="336"/>
        <v/>
      </c>
      <c r="BP68" s="140" t="e">
        <f t="shared" si="60"/>
        <v>#VALUE!</v>
      </c>
      <c r="BQ68" s="123" t="str">
        <f t="shared" si="337"/>
        <v/>
      </c>
      <c r="BR68" s="125">
        <f t="shared" si="338"/>
        <v>0</v>
      </c>
      <c r="BS68" s="122" t="e">
        <f t="shared" si="63"/>
        <v>#VALUE!</v>
      </c>
      <c r="BT68" s="123">
        <f t="shared" ref="BT68:BU68" si="349">SUM(BI68,BM68,BQ68)</f>
        <v>0</v>
      </c>
      <c r="BU68" s="124">
        <f t="shared" si="349"/>
        <v>288945</v>
      </c>
      <c r="BV68" s="125" t="str">
        <f t="shared" si="340"/>
        <v/>
      </c>
      <c r="BW68" s="122" t="e">
        <f t="shared" si="66"/>
        <v>#VALUE!</v>
      </c>
      <c r="BX68" s="123" t="str">
        <f t="shared" si="341"/>
        <v/>
      </c>
      <c r="BY68" s="124">
        <f t="shared" si="342"/>
        <v>0</v>
      </c>
      <c r="BZ68" s="125" t="str">
        <f t="shared" si="343"/>
        <v/>
      </c>
      <c r="CA68" s="140"/>
      <c r="CB68" s="123"/>
      <c r="CC68" s="148"/>
      <c r="CD68" s="123" t="str">
        <f t="shared" si="344"/>
        <v/>
      </c>
      <c r="CF68" s="126"/>
    </row>
    <row r="69" spans="1:84" ht="13">
      <c r="A69" s="92">
        <f t="shared" si="304"/>
        <v>112012199</v>
      </c>
      <c r="B69" s="172">
        <f t="shared" si="225"/>
        <v>4</v>
      </c>
      <c r="C69" s="137" t="str">
        <f t="shared" si="273"/>
        <v>Lista</v>
      </c>
      <c r="D69" s="137">
        <f t="shared" si="274"/>
        <v>0.2</v>
      </c>
      <c r="E69" s="138">
        <f t="shared" si="275"/>
        <v>0</v>
      </c>
      <c r="F69" s="193">
        <f>IFERROR(VLOOKUP(M69,BASILECART2,2,FALSE),"")</f>
        <v>4</v>
      </c>
      <c r="G69" s="97" t="str">
        <f t="shared" si="305"/>
        <v>Lista</v>
      </c>
      <c r="H69" s="97">
        <f t="shared" si="306"/>
        <v>0.2</v>
      </c>
      <c r="I69" s="97">
        <f t="shared" si="307"/>
        <v>0</v>
      </c>
      <c r="J69" s="96">
        <f t="shared" si="308"/>
        <v>70</v>
      </c>
      <c r="K69" s="94" t="str">
        <f t="shared" si="309"/>
        <v>Lista</v>
      </c>
      <c r="L69" s="98">
        <f t="shared" si="310"/>
        <v>0.11</v>
      </c>
      <c r="M69" s="139" t="s">
        <v>143</v>
      </c>
      <c r="N69" s="100">
        <f t="shared" si="311"/>
        <v>231521.07</v>
      </c>
      <c r="O69" s="140">
        <f t="shared" ref="O69:O80" si="350">(N69*1.601)*1.05</f>
        <v>389198.49472350004</v>
      </c>
      <c r="P69" s="102">
        <f t="shared" si="13"/>
        <v>777047.22</v>
      </c>
      <c r="Q69" s="102">
        <f t="shared" si="312"/>
        <v>251199.37</v>
      </c>
      <c r="R69" s="102">
        <f t="shared" si="313"/>
        <v>1028246.59</v>
      </c>
      <c r="S69" s="102">
        <f t="shared" si="16"/>
        <v>639048.09527649987</v>
      </c>
      <c r="T69" s="103">
        <f t="shared" si="17"/>
        <v>2.6419593188059518</v>
      </c>
      <c r="U69" s="100">
        <f t="shared" si="314"/>
        <v>84756.64</v>
      </c>
      <c r="V69" s="141">
        <f t="shared" ref="V69:V80" si="351">U69*1.7245</f>
        <v>146162.82567999998</v>
      </c>
      <c r="W69" s="105">
        <f t="shared" si="19"/>
        <v>544184.52</v>
      </c>
      <c r="X69" s="102">
        <f t="shared" si="315"/>
        <v>158480.54999999999</v>
      </c>
      <c r="Y69" s="106">
        <f t="shared" si="316"/>
        <v>702665.07</v>
      </c>
      <c r="Z69" s="142">
        <f t="shared" si="292"/>
        <v>556502.24431999994</v>
      </c>
      <c r="AA69" s="143">
        <f t="shared" ref="AA69:AA80" si="352">IFERROR(Y69/V69,"")</f>
        <v>4.8074130116940417</v>
      </c>
      <c r="AB69" s="100">
        <f t="shared" si="317"/>
        <v>223670.36</v>
      </c>
      <c r="AC69" s="140">
        <f t="shared" ref="AC69:AC80" si="353">(AB69*1.5955)*1.03</f>
        <v>367572.04116139992</v>
      </c>
      <c r="AD69" s="102">
        <f t="shared" si="24"/>
        <v>0</v>
      </c>
      <c r="AE69" s="102">
        <f t="shared" si="318"/>
        <v>0</v>
      </c>
      <c r="AF69" s="102">
        <f t="shared" si="319"/>
        <v>0</v>
      </c>
      <c r="AG69" s="145">
        <f t="shared" si="295"/>
        <v>-367572.04116139992</v>
      </c>
      <c r="AH69" s="158">
        <f t="shared" si="296"/>
        <v>0</v>
      </c>
      <c r="AI69" s="147">
        <f t="shared" si="297"/>
        <v>902933.36156489991</v>
      </c>
      <c r="AJ69" s="111">
        <f t="shared" si="320"/>
        <v>2343500.46</v>
      </c>
      <c r="AK69" s="102">
        <f t="shared" si="31"/>
        <v>409679.92</v>
      </c>
      <c r="AL69" s="102">
        <f t="shared" si="32"/>
        <v>1321231.74</v>
      </c>
      <c r="AM69" s="102">
        <f t="shared" si="33"/>
        <v>1730911.66</v>
      </c>
      <c r="AN69" s="102">
        <f t="shared" si="34"/>
        <v>-612588.80000000005</v>
      </c>
      <c r="AO69" s="112">
        <f t="shared" si="35"/>
        <v>0.73860094740497728</v>
      </c>
      <c r="AP69" s="100">
        <f t="shared" si="321"/>
        <v>156419.34</v>
      </c>
      <c r="AQ69" s="113">
        <f t="shared" si="37"/>
        <v>680507.40999999992</v>
      </c>
      <c r="AR69" s="114">
        <f t="shared" si="322"/>
        <v>237372.56</v>
      </c>
      <c r="AS69" s="115">
        <f t="shared" si="323"/>
        <v>917879.97</v>
      </c>
      <c r="AT69" s="100">
        <f t="shared" si="324"/>
        <v>384994.33</v>
      </c>
      <c r="AU69" s="113">
        <f t="shared" si="41"/>
        <v>34714.81</v>
      </c>
      <c r="AV69" s="116">
        <f t="shared" si="325"/>
        <v>0</v>
      </c>
      <c r="AW69" s="117">
        <f t="shared" si="326"/>
        <v>34714.81</v>
      </c>
      <c r="AX69" s="100">
        <f t="shared" si="327"/>
        <v>150536.60999999999</v>
      </c>
      <c r="AY69" s="113">
        <f t="shared" si="45"/>
        <v>92295.32</v>
      </c>
      <c r="AZ69" s="114">
        <f t="shared" si="328"/>
        <v>332015.52</v>
      </c>
      <c r="BA69" s="100">
        <f t="shared" si="329"/>
        <v>424310.84</v>
      </c>
      <c r="BB69" s="118">
        <f t="shared" ref="BB69:BD69" si="354">BH69+AY69+AU69</f>
        <v>933571.10000000009</v>
      </c>
      <c r="BC69" s="116">
        <f t="shared" si="354"/>
        <v>592533.36</v>
      </c>
      <c r="BD69" s="119">
        <f t="shared" si="354"/>
        <v>1526104.4600000002</v>
      </c>
      <c r="BE69" s="118">
        <f t="shared" si="49"/>
        <v>2254802.84</v>
      </c>
      <c r="BF69" s="116">
        <f t="shared" si="50"/>
        <v>1002213.28</v>
      </c>
      <c r="BG69" s="119">
        <f t="shared" si="51"/>
        <v>3257016.12</v>
      </c>
      <c r="BH69" s="114">
        <f t="shared" si="52"/>
        <v>806560.97000000009</v>
      </c>
      <c r="BI69" s="114">
        <f t="shared" si="331"/>
        <v>260517.84</v>
      </c>
      <c r="BJ69" s="115">
        <f t="shared" si="332"/>
        <v>1067078.81</v>
      </c>
      <c r="BK69" s="125">
        <f t="shared" si="333"/>
        <v>0</v>
      </c>
      <c r="BL69" s="120">
        <f t="shared" si="56"/>
        <v>481880.9</v>
      </c>
      <c r="BM69" s="121">
        <f t="shared" si="334"/>
        <v>386994.86</v>
      </c>
      <c r="BN69" s="119">
        <f t="shared" si="335"/>
        <v>868875.76</v>
      </c>
      <c r="BO69" s="125">
        <f t="shared" si="336"/>
        <v>202530.67</v>
      </c>
      <c r="BP69" s="140">
        <f t="shared" si="60"/>
        <v>705817.51</v>
      </c>
      <c r="BQ69" s="123">
        <f t="shared" si="337"/>
        <v>189332.01</v>
      </c>
      <c r="BR69" s="125">
        <f t="shared" si="338"/>
        <v>895149.52</v>
      </c>
      <c r="BS69" s="122">
        <f t="shared" si="63"/>
        <v>1994259.3800000001</v>
      </c>
      <c r="BT69" s="123">
        <f t="shared" ref="BT69:BU69" si="355">SUM(BI69,BM69,BQ69)</f>
        <v>836844.71</v>
      </c>
      <c r="BU69" s="124">
        <f t="shared" si="355"/>
        <v>2831104.09</v>
      </c>
      <c r="BV69" s="125">
        <f t="shared" si="340"/>
        <v>617582.93000000005</v>
      </c>
      <c r="BW69" s="122">
        <f t="shared" si="66"/>
        <v>2468946.84</v>
      </c>
      <c r="BX69" s="123">
        <f t="shared" si="341"/>
        <v>401161.29</v>
      </c>
      <c r="BY69" s="124">
        <f t="shared" si="342"/>
        <v>2870108.13</v>
      </c>
      <c r="BZ69" s="125">
        <f t="shared" si="343"/>
        <v>575893.39</v>
      </c>
      <c r="CA69" s="140"/>
      <c r="CB69" s="123"/>
      <c r="CC69" s="148"/>
      <c r="CD69" s="123">
        <f t="shared" si="344"/>
        <v>1150024.1399999999</v>
      </c>
      <c r="CF69" s="149"/>
    </row>
    <row r="70" spans="1:84" ht="14">
      <c r="A70" s="92">
        <f t="shared" si="304"/>
        <v>112012661</v>
      </c>
      <c r="B70" s="172">
        <f t="shared" si="225"/>
        <v>4</v>
      </c>
      <c r="C70" s="137" t="str">
        <f>VLOOKUP(B70,DES,2,FALSE)</f>
        <v>Lista</v>
      </c>
      <c r="D70" s="137">
        <f>VLOOKUP(B70,DES,3,FALSE)</f>
        <v>0.2</v>
      </c>
      <c r="E70" s="138">
        <f>VLOOKUP(B70,DES,4,FALSE)</f>
        <v>0</v>
      </c>
      <c r="F70" s="193">
        <f>IFERROR(VLOOKUP(M70,BASILECART2,2,FALSE),"")</f>
        <v>4</v>
      </c>
      <c r="G70" s="97" t="str">
        <f t="shared" si="305"/>
        <v>Lista</v>
      </c>
      <c r="H70" s="97">
        <f t="shared" si="306"/>
        <v>0.2</v>
      </c>
      <c r="I70" s="97">
        <f t="shared" si="307"/>
        <v>0</v>
      </c>
      <c r="J70" s="96">
        <f t="shared" si="308"/>
        <v>70</v>
      </c>
      <c r="K70" s="94" t="str">
        <f t="shared" si="309"/>
        <v>Lista</v>
      </c>
      <c r="L70" s="98">
        <f t="shared" si="310"/>
        <v>0.11</v>
      </c>
      <c r="M70" s="139" t="s">
        <v>144</v>
      </c>
      <c r="N70" s="100" t="str">
        <f t="shared" si="311"/>
        <v/>
      </c>
      <c r="O70" s="140" t="e">
        <f t="shared" si="350"/>
        <v>#VALUE!</v>
      </c>
      <c r="P70" s="102" t="e">
        <f t="shared" si="13"/>
        <v>#VALUE!</v>
      </c>
      <c r="Q70" s="102" t="str">
        <f t="shared" si="312"/>
        <v/>
      </c>
      <c r="R70" s="102" t="str">
        <f t="shared" si="313"/>
        <v/>
      </c>
      <c r="S70" s="102" t="e">
        <f t="shared" si="16"/>
        <v>#VALUE!</v>
      </c>
      <c r="T70" s="103" t="e">
        <f t="shared" si="17"/>
        <v>#VALUE!</v>
      </c>
      <c r="U70" s="100" t="str">
        <f t="shared" si="314"/>
        <v/>
      </c>
      <c r="V70" s="141" t="e">
        <f t="shared" si="351"/>
        <v>#VALUE!</v>
      </c>
      <c r="W70" s="105" t="e">
        <f t="shared" si="19"/>
        <v>#VALUE!</v>
      </c>
      <c r="X70" s="102" t="str">
        <f t="shared" si="315"/>
        <v/>
      </c>
      <c r="Y70" s="106" t="str">
        <f t="shared" si="316"/>
        <v/>
      </c>
      <c r="Z70" s="142" t="e">
        <f t="shared" si="292"/>
        <v>#VALUE!</v>
      </c>
      <c r="AA70" s="143" t="str">
        <f t="shared" si="352"/>
        <v/>
      </c>
      <c r="AB70" s="100" t="str">
        <f t="shared" si="317"/>
        <v/>
      </c>
      <c r="AC70" s="140" t="e">
        <f t="shared" si="353"/>
        <v>#VALUE!</v>
      </c>
      <c r="AD70" s="102" t="e">
        <f t="shared" si="24"/>
        <v>#VALUE!</v>
      </c>
      <c r="AE70" s="102" t="str">
        <f t="shared" si="318"/>
        <v/>
      </c>
      <c r="AF70" s="102" t="str">
        <f t="shared" si="319"/>
        <v/>
      </c>
      <c r="AG70" s="145" t="e">
        <f t="shared" si="295"/>
        <v>#VALUE!</v>
      </c>
      <c r="AH70" s="158" t="str">
        <f t="shared" si="296"/>
        <v/>
      </c>
      <c r="AI70" s="147" t="e">
        <f t="shared" si="297"/>
        <v>#VALUE!</v>
      </c>
      <c r="AJ70" s="111" t="str">
        <f t="shared" si="320"/>
        <v>0</v>
      </c>
      <c r="AK70" s="102">
        <f t="shared" si="31"/>
        <v>0</v>
      </c>
      <c r="AL70" s="102" t="e">
        <f t="shared" si="32"/>
        <v>#VALUE!</v>
      </c>
      <c r="AM70" s="102" t="e">
        <f t="shared" si="33"/>
        <v>#VALUE!</v>
      </c>
      <c r="AN70" s="102" t="e">
        <f t="shared" si="34"/>
        <v>#VALUE!</v>
      </c>
      <c r="AO70" s="112" t="e">
        <f t="shared" si="35"/>
        <v>#VALUE!</v>
      </c>
      <c r="AP70" s="100" t="str">
        <f t="shared" si="321"/>
        <v/>
      </c>
      <c r="AQ70" s="113" t="e">
        <f t="shared" si="37"/>
        <v>#VALUE!</v>
      </c>
      <c r="AR70" s="114" t="str">
        <f t="shared" si="322"/>
        <v/>
      </c>
      <c r="AS70" s="115" t="str">
        <f t="shared" si="323"/>
        <v/>
      </c>
      <c r="AT70" s="100" t="str">
        <f t="shared" si="324"/>
        <v/>
      </c>
      <c r="AU70" s="113" t="e">
        <f t="shared" si="41"/>
        <v>#VALUE!</v>
      </c>
      <c r="AV70" s="116" t="str">
        <f t="shared" si="325"/>
        <v/>
      </c>
      <c r="AW70" s="117" t="str">
        <f t="shared" si="326"/>
        <v/>
      </c>
      <c r="AX70" s="100" t="str">
        <f t="shared" si="327"/>
        <v/>
      </c>
      <c r="AY70" s="113" t="e">
        <f t="shared" si="45"/>
        <v>#VALUE!</v>
      </c>
      <c r="AZ70" s="114" t="str">
        <f t="shared" si="328"/>
        <v/>
      </c>
      <c r="BA70" s="100" t="str">
        <f t="shared" si="329"/>
        <v/>
      </c>
      <c r="BB70" s="118" t="e">
        <f t="shared" ref="BB70:BD70" si="356">BH70+AY70+AU70</f>
        <v>#VALUE!</v>
      </c>
      <c r="BC70" s="116" t="e">
        <f t="shared" si="356"/>
        <v>#VALUE!</v>
      </c>
      <c r="BD70" s="119" t="e">
        <f t="shared" si="356"/>
        <v>#VALUE!</v>
      </c>
      <c r="BE70" s="118" t="e">
        <f t="shared" si="49"/>
        <v>#VALUE!</v>
      </c>
      <c r="BF70" s="116" t="e">
        <f t="shared" si="50"/>
        <v>#VALUE!</v>
      </c>
      <c r="BG70" s="119" t="e">
        <f t="shared" si="51"/>
        <v>#VALUE!</v>
      </c>
      <c r="BH70" s="114" t="e">
        <f t="shared" si="52"/>
        <v>#VALUE!</v>
      </c>
      <c r="BI70" s="114" t="str">
        <f t="shared" si="331"/>
        <v/>
      </c>
      <c r="BJ70" s="115" t="str">
        <f t="shared" si="332"/>
        <v/>
      </c>
      <c r="BK70" s="125" t="str">
        <f t="shared" si="333"/>
        <v/>
      </c>
      <c r="BL70" s="120" t="e">
        <f t="shared" si="56"/>
        <v>#VALUE!</v>
      </c>
      <c r="BM70" s="121" t="str">
        <f t="shared" si="334"/>
        <v/>
      </c>
      <c r="BN70" s="119" t="str">
        <f t="shared" si="335"/>
        <v/>
      </c>
      <c r="BO70" s="125" t="str">
        <f t="shared" si="336"/>
        <v/>
      </c>
      <c r="BP70" s="140" t="e">
        <f t="shared" si="60"/>
        <v>#VALUE!</v>
      </c>
      <c r="BQ70" s="123" t="str">
        <f t="shared" si="337"/>
        <v/>
      </c>
      <c r="BR70" s="125" t="str">
        <f t="shared" si="338"/>
        <v/>
      </c>
      <c r="BS70" s="122" t="e">
        <f t="shared" si="63"/>
        <v>#VALUE!</v>
      </c>
      <c r="BT70" s="123">
        <f t="shared" ref="BT70:BU70" si="357">SUM(BI70,BM70,BQ70)</f>
        <v>0</v>
      </c>
      <c r="BU70" s="124">
        <f t="shared" si="357"/>
        <v>0</v>
      </c>
      <c r="BV70" s="125" t="str">
        <f t="shared" si="340"/>
        <v/>
      </c>
      <c r="BW70" s="122" t="e">
        <f t="shared" si="66"/>
        <v>#VALUE!</v>
      </c>
      <c r="BX70" s="123" t="str">
        <f t="shared" si="341"/>
        <v/>
      </c>
      <c r="BY70" s="124" t="str">
        <f t="shared" si="342"/>
        <v/>
      </c>
      <c r="BZ70" s="125" t="str">
        <f t="shared" si="343"/>
        <v/>
      </c>
      <c r="CA70" s="140"/>
      <c r="CB70" s="123"/>
      <c r="CC70" s="148"/>
      <c r="CD70" s="123" t="str">
        <f t="shared" si="344"/>
        <v/>
      </c>
      <c r="CF70" s="149"/>
    </row>
    <row r="71" spans="1:84" ht="14">
      <c r="A71" s="92">
        <f t="shared" si="304"/>
        <v>112014610</v>
      </c>
      <c r="B71" s="172">
        <f t="shared" si="225"/>
        <v>4</v>
      </c>
      <c r="C71" s="137" t="str">
        <f>IFERROR(VLOOKUP(B71,DES,2,FALSE),"")</f>
        <v>Lista</v>
      </c>
      <c r="D71" s="137">
        <f>IFERROR(VLOOKUP(B71,DES,3,FALSE),"")</f>
        <v>0.2</v>
      </c>
      <c r="E71" s="138">
        <f>IFERROR(VLOOKUP(B71,DES,4,FALSE),"")</f>
        <v>0</v>
      </c>
      <c r="F71" s="96">
        <f>VLOOKUP(M71,BASILECART2,2,FALSE)</f>
        <v>4</v>
      </c>
      <c r="G71" s="97" t="str">
        <f t="shared" si="305"/>
        <v>Lista</v>
      </c>
      <c r="H71" s="97">
        <f t="shared" si="306"/>
        <v>0.2</v>
      </c>
      <c r="I71" s="97">
        <f t="shared" si="307"/>
        <v>0</v>
      </c>
      <c r="J71" s="96">
        <f t="shared" si="308"/>
        <v>70</v>
      </c>
      <c r="K71" s="94" t="str">
        <f t="shared" si="309"/>
        <v>Lista</v>
      </c>
      <c r="L71" s="98">
        <f t="shared" si="310"/>
        <v>0.11</v>
      </c>
      <c r="M71" s="139" t="s">
        <v>145</v>
      </c>
      <c r="N71" s="100">
        <f t="shared" si="311"/>
        <v>0</v>
      </c>
      <c r="O71" s="140">
        <f t="shared" si="350"/>
        <v>0</v>
      </c>
      <c r="P71" s="102">
        <f t="shared" si="13"/>
        <v>0</v>
      </c>
      <c r="Q71" s="102">
        <f t="shared" si="312"/>
        <v>0</v>
      </c>
      <c r="R71" s="102">
        <f t="shared" si="313"/>
        <v>0</v>
      </c>
      <c r="S71" s="102">
        <f t="shared" si="16"/>
        <v>0</v>
      </c>
      <c r="T71" s="103" t="e">
        <f t="shared" si="17"/>
        <v>#DIV/0!</v>
      </c>
      <c r="U71" s="100">
        <f t="shared" si="314"/>
        <v>0</v>
      </c>
      <c r="V71" s="141">
        <f t="shared" si="351"/>
        <v>0</v>
      </c>
      <c r="W71" s="105">
        <f t="shared" si="19"/>
        <v>0</v>
      </c>
      <c r="X71" s="102">
        <f t="shared" si="315"/>
        <v>0</v>
      </c>
      <c r="Y71" s="106">
        <f t="shared" si="316"/>
        <v>0</v>
      </c>
      <c r="Z71" s="142">
        <f t="shared" si="292"/>
        <v>0</v>
      </c>
      <c r="AA71" s="143" t="str">
        <f t="shared" si="352"/>
        <v/>
      </c>
      <c r="AB71" s="100">
        <f t="shared" si="317"/>
        <v>0</v>
      </c>
      <c r="AC71" s="140">
        <f t="shared" si="353"/>
        <v>0</v>
      </c>
      <c r="AD71" s="102">
        <f t="shared" si="24"/>
        <v>0</v>
      </c>
      <c r="AE71" s="102">
        <f t="shared" si="318"/>
        <v>0</v>
      </c>
      <c r="AF71" s="102">
        <f t="shared" si="319"/>
        <v>0</v>
      </c>
      <c r="AG71" s="145">
        <f t="shared" si="295"/>
        <v>0</v>
      </c>
      <c r="AH71" s="158" t="str">
        <f t="shared" si="296"/>
        <v/>
      </c>
      <c r="AI71" s="147">
        <f t="shared" si="297"/>
        <v>0</v>
      </c>
      <c r="AJ71" s="111">
        <f t="shared" si="320"/>
        <v>37303.4</v>
      </c>
      <c r="AK71" s="102">
        <f t="shared" si="31"/>
        <v>0</v>
      </c>
      <c r="AL71" s="102">
        <f t="shared" si="32"/>
        <v>0</v>
      </c>
      <c r="AM71" s="102">
        <f t="shared" si="33"/>
        <v>0</v>
      </c>
      <c r="AN71" s="102">
        <f t="shared" si="34"/>
        <v>-37303.4</v>
      </c>
      <c r="AO71" s="112">
        <f t="shared" si="35"/>
        <v>0</v>
      </c>
      <c r="AP71" s="100">
        <f t="shared" si="321"/>
        <v>0</v>
      </c>
      <c r="AQ71" s="113">
        <f t="shared" si="37"/>
        <v>0</v>
      </c>
      <c r="AR71" s="114">
        <f t="shared" si="322"/>
        <v>0</v>
      </c>
      <c r="AS71" s="115">
        <f t="shared" si="323"/>
        <v>0</v>
      </c>
      <c r="AT71" s="100">
        <f t="shared" si="324"/>
        <v>0</v>
      </c>
      <c r="AU71" s="113">
        <f t="shared" si="41"/>
        <v>0</v>
      </c>
      <c r="AV71" s="116">
        <f t="shared" si="325"/>
        <v>0</v>
      </c>
      <c r="AW71" s="117">
        <f t="shared" si="326"/>
        <v>0</v>
      </c>
      <c r="AX71" s="100">
        <f t="shared" si="327"/>
        <v>0</v>
      </c>
      <c r="AY71" s="113">
        <f t="shared" si="45"/>
        <v>0</v>
      </c>
      <c r="AZ71" s="114">
        <f t="shared" si="328"/>
        <v>0</v>
      </c>
      <c r="BA71" s="100">
        <f t="shared" si="329"/>
        <v>0</v>
      </c>
      <c r="BB71" s="118">
        <f t="shared" ref="BB71:BD71" si="358">BH71+AY71+AU71</f>
        <v>0</v>
      </c>
      <c r="BC71" s="116">
        <f t="shared" si="358"/>
        <v>0</v>
      </c>
      <c r="BD71" s="119">
        <f t="shared" si="358"/>
        <v>0</v>
      </c>
      <c r="BE71" s="118">
        <f t="shared" si="49"/>
        <v>0</v>
      </c>
      <c r="BF71" s="116">
        <f t="shared" si="50"/>
        <v>0</v>
      </c>
      <c r="BG71" s="119">
        <f t="shared" si="51"/>
        <v>0</v>
      </c>
      <c r="BH71" s="114">
        <f t="shared" si="52"/>
        <v>0</v>
      </c>
      <c r="BI71" s="114">
        <f t="shared" si="331"/>
        <v>0</v>
      </c>
      <c r="BJ71" s="115">
        <f t="shared" si="332"/>
        <v>0</v>
      </c>
      <c r="BK71" s="125">
        <f t="shared" si="333"/>
        <v>0</v>
      </c>
      <c r="BL71" s="120">
        <f t="shared" si="56"/>
        <v>0</v>
      </c>
      <c r="BM71" s="121">
        <f t="shared" si="334"/>
        <v>0</v>
      </c>
      <c r="BN71" s="119">
        <f t="shared" si="335"/>
        <v>0</v>
      </c>
      <c r="BO71" s="125">
        <f t="shared" si="336"/>
        <v>0</v>
      </c>
      <c r="BP71" s="140">
        <f t="shared" si="60"/>
        <v>0</v>
      </c>
      <c r="BQ71" s="123">
        <f t="shared" si="337"/>
        <v>0</v>
      </c>
      <c r="BR71" s="125">
        <f t="shared" si="338"/>
        <v>0</v>
      </c>
      <c r="BS71" s="122">
        <f t="shared" si="63"/>
        <v>0</v>
      </c>
      <c r="BT71" s="123">
        <f t="shared" ref="BT71:BU71" si="359">SUM(BI71,BM71,BQ71)</f>
        <v>0</v>
      </c>
      <c r="BU71" s="124">
        <f t="shared" si="359"/>
        <v>0</v>
      </c>
      <c r="BV71" s="125">
        <f t="shared" si="340"/>
        <v>0</v>
      </c>
      <c r="BW71" s="122">
        <f t="shared" si="66"/>
        <v>99040.69</v>
      </c>
      <c r="BX71" s="123">
        <f t="shared" si="341"/>
        <v>48491.68</v>
      </c>
      <c r="BY71" s="124">
        <f t="shared" si="342"/>
        <v>147532.37</v>
      </c>
      <c r="BZ71" s="125">
        <f t="shared" si="343"/>
        <v>37303.4</v>
      </c>
      <c r="CA71" s="140"/>
      <c r="CB71" s="123"/>
      <c r="CC71" s="148"/>
      <c r="CD71" s="123">
        <f t="shared" si="344"/>
        <v>0</v>
      </c>
      <c r="CF71" s="149"/>
    </row>
    <row r="72" spans="1:84" ht="14">
      <c r="A72" s="92">
        <f t="shared" si="304"/>
        <v>112014408</v>
      </c>
      <c r="B72" s="172">
        <f t="shared" si="225"/>
        <v>4</v>
      </c>
      <c r="C72" s="137" t="str">
        <f>VLOOKUP(B72,DES,2,FALSE)</f>
        <v>Lista</v>
      </c>
      <c r="D72" s="137">
        <f>VLOOKUP(B72,DES,3,FALSE)</f>
        <v>0.2</v>
      </c>
      <c r="E72" s="138">
        <f>VLOOKUP(B72,DES,4,FALSE)</f>
        <v>0</v>
      </c>
      <c r="F72" s="96">
        <f>VLOOKUP(M72,BASILECART2,2,FALSE)</f>
        <v>4</v>
      </c>
      <c r="G72" s="97" t="str">
        <f t="shared" si="305"/>
        <v>Lista</v>
      </c>
      <c r="H72" s="97">
        <f t="shared" si="306"/>
        <v>0.2</v>
      </c>
      <c r="I72" s="97">
        <f t="shared" si="307"/>
        <v>0</v>
      </c>
      <c r="J72" s="96">
        <f t="shared" si="308"/>
        <v>70</v>
      </c>
      <c r="K72" s="94" t="str">
        <f t="shared" si="309"/>
        <v>Lista</v>
      </c>
      <c r="L72" s="98">
        <f t="shared" si="310"/>
        <v>0.11</v>
      </c>
      <c r="M72" s="139" t="s">
        <v>146</v>
      </c>
      <c r="N72" s="100">
        <f t="shared" si="311"/>
        <v>0</v>
      </c>
      <c r="O72" s="140">
        <f t="shared" si="350"/>
        <v>0</v>
      </c>
      <c r="P72" s="102">
        <f t="shared" si="13"/>
        <v>0</v>
      </c>
      <c r="Q72" s="102">
        <f t="shared" si="312"/>
        <v>282106.56</v>
      </c>
      <c r="R72" s="102">
        <f t="shared" si="313"/>
        <v>282106.56</v>
      </c>
      <c r="S72" s="102">
        <f t="shared" si="16"/>
        <v>282106.56</v>
      </c>
      <c r="T72" s="103" t="e">
        <f t="shared" si="17"/>
        <v>#DIV/0!</v>
      </c>
      <c r="U72" s="100">
        <f t="shared" si="314"/>
        <v>0</v>
      </c>
      <c r="V72" s="141">
        <f t="shared" si="351"/>
        <v>0</v>
      </c>
      <c r="W72" s="105">
        <f t="shared" si="19"/>
        <v>0</v>
      </c>
      <c r="X72" s="102">
        <f t="shared" si="315"/>
        <v>248872.08</v>
      </c>
      <c r="Y72" s="106">
        <f t="shared" si="316"/>
        <v>248872.08</v>
      </c>
      <c r="Z72" s="142">
        <f t="shared" si="292"/>
        <v>248872.08</v>
      </c>
      <c r="AA72" s="143" t="str">
        <f t="shared" si="352"/>
        <v/>
      </c>
      <c r="AB72" s="100">
        <f t="shared" si="317"/>
        <v>0</v>
      </c>
      <c r="AC72" s="140">
        <f t="shared" si="353"/>
        <v>0</v>
      </c>
      <c r="AD72" s="102">
        <f t="shared" si="24"/>
        <v>0</v>
      </c>
      <c r="AE72" s="102">
        <f t="shared" si="318"/>
        <v>313329.88</v>
      </c>
      <c r="AF72" s="102">
        <f t="shared" si="319"/>
        <v>313329.88</v>
      </c>
      <c r="AG72" s="145">
        <f t="shared" si="295"/>
        <v>313329.88</v>
      </c>
      <c r="AH72" s="158" t="str">
        <f t="shared" si="296"/>
        <v/>
      </c>
      <c r="AI72" s="147">
        <f t="shared" si="297"/>
        <v>0</v>
      </c>
      <c r="AJ72" s="111">
        <f t="shared" si="320"/>
        <v>386634.72</v>
      </c>
      <c r="AK72" s="102">
        <f t="shared" si="31"/>
        <v>844308.52</v>
      </c>
      <c r="AL72" s="102">
        <f t="shared" si="32"/>
        <v>0</v>
      </c>
      <c r="AM72" s="102">
        <f t="shared" si="33"/>
        <v>844308.52</v>
      </c>
      <c r="AN72" s="102">
        <f t="shared" si="34"/>
        <v>457673.80000000005</v>
      </c>
      <c r="AO72" s="112">
        <f t="shared" si="35"/>
        <v>2.183736939093313</v>
      </c>
      <c r="AP72" s="100">
        <f t="shared" si="321"/>
        <v>108771.05</v>
      </c>
      <c r="AQ72" s="113">
        <f t="shared" si="37"/>
        <v>0</v>
      </c>
      <c r="AR72" s="114">
        <f t="shared" si="322"/>
        <v>233026.48</v>
      </c>
      <c r="AS72" s="115">
        <f t="shared" si="323"/>
        <v>233026.48</v>
      </c>
      <c r="AT72" s="100">
        <f t="shared" si="324"/>
        <v>136550.32</v>
      </c>
      <c r="AU72" s="113">
        <f t="shared" si="41"/>
        <v>0</v>
      </c>
      <c r="AV72" s="116">
        <f t="shared" si="325"/>
        <v>172752.48</v>
      </c>
      <c r="AW72" s="117">
        <f t="shared" si="326"/>
        <v>172752.48</v>
      </c>
      <c r="AX72" s="100">
        <f t="shared" si="327"/>
        <v>264789.28000000003</v>
      </c>
      <c r="AY72" s="113">
        <f t="shared" si="45"/>
        <v>0</v>
      </c>
      <c r="AZ72" s="114">
        <f t="shared" si="328"/>
        <v>149862.72</v>
      </c>
      <c r="BA72" s="100">
        <f t="shared" si="329"/>
        <v>149862.72</v>
      </c>
      <c r="BB72" s="118">
        <f t="shared" ref="BB72:BD72" si="360">BH72+AY72+AU72</f>
        <v>0</v>
      </c>
      <c r="BC72" s="116">
        <f t="shared" si="360"/>
        <v>573164.98</v>
      </c>
      <c r="BD72" s="119">
        <f t="shared" si="360"/>
        <v>573164.98</v>
      </c>
      <c r="BE72" s="118">
        <f t="shared" si="49"/>
        <v>0</v>
      </c>
      <c r="BF72" s="116">
        <f t="shared" si="50"/>
        <v>1417473.5</v>
      </c>
      <c r="BG72" s="119">
        <f t="shared" si="51"/>
        <v>1417473.5</v>
      </c>
      <c r="BH72" s="114">
        <f t="shared" si="52"/>
        <v>0</v>
      </c>
      <c r="BI72" s="114">
        <f t="shared" si="331"/>
        <v>250549.78</v>
      </c>
      <c r="BJ72" s="115">
        <f t="shared" si="332"/>
        <v>250549.78</v>
      </c>
      <c r="BK72" s="125">
        <f t="shared" si="333"/>
        <v>97211.839999999997</v>
      </c>
      <c r="BL72" s="120">
        <f t="shared" si="56"/>
        <v>0</v>
      </c>
      <c r="BM72" s="121">
        <f t="shared" si="334"/>
        <v>0</v>
      </c>
      <c r="BN72" s="119">
        <f t="shared" si="335"/>
        <v>0</v>
      </c>
      <c r="BO72" s="125">
        <f t="shared" si="336"/>
        <v>148631.6</v>
      </c>
      <c r="BP72" s="140">
        <f t="shared" si="60"/>
        <v>0</v>
      </c>
      <c r="BQ72" s="123">
        <f t="shared" si="337"/>
        <v>169889.28</v>
      </c>
      <c r="BR72" s="125">
        <f t="shared" si="338"/>
        <v>169889.28</v>
      </c>
      <c r="BS72" s="122">
        <f t="shared" si="63"/>
        <v>0</v>
      </c>
      <c r="BT72" s="123">
        <f t="shared" ref="BT72:BU72" si="361">SUM(BI72,BM72,BQ72)</f>
        <v>420439.06</v>
      </c>
      <c r="BU72" s="124">
        <f t="shared" si="361"/>
        <v>420439.06</v>
      </c>
      <c r="BV72" s="125">
        <f t="shared" si="340"/>
        <v>169814.64</v>
      </c>
      <c r="BW72" s="122">
        <f t="shared" si="66"/>
        <v>0</v>
      </c>
      <c r="BX72" s="123">
        <f t="shared" si="341"/>
        <v>109881.36</v>
      </c>
      <c r="BY72" s="124">
        <f t="shared" si="342"/>
        <v>109881.36</v>
      </c>
      <c r="BZ72" s="125">
        <f t="shared" si="343"/>
        <v>107134.96</v>
      </c>
      <c r="CA72" s="140"/>
      <c r="CB72" s="123"/>
      <c r="CC72" s="148"/>
      <c r="CD72" s="123">
        <f t="shared" si="344"/>
        <v>109685.12</v>
      </c>
      <c r="CF72" s="149"/>
    </row>
    <row r="73" spans="1:84" ht="14">
      <c r="A73" s="92">
        <f t="shared" si="304"/>
        <v>112014528</v>
      </c>
      <c r="B73" s="172">
        <f t="shared" ref="B73:B104" si="362">IFERROR(VLOOKUP(M73,BASILECARTERA,2,FALSE),"")</f>
        <v>4</v>
      </c>
      <c r="C73" s="137" t="str">
        <f t="shared" ref="C73:C104" si="363">IFERROR(VLOOKUP(B73,DES,2,FALSE),"")</f>
        <v>Lista</v>
      </c>
      <c r="D73" s="137">
        <f t="shared" ref="D73:D104" si="364">IFERROR(VLOOKUP(B73,DES,3,FALSE),"")</f>
        <v>0.2</v>
      </c>
      <c r="E73" s="138">
        <f t="shared" ref="E73:E104" si="365">IFERROR(VLOOKUP(B73,DES,4,FALSE),"")</f>
        <v>0</v>
      </c>
      <c r="F73" s="96">
        <f>VLOOKUP(M73,BASILECART2,2,FALSE)</f>
        <v>4</v>
      </c>
      <c r="G73" s="97" t="str">
        <f t="shared" si="305"/>
        <v>Lista</v>
      </c>
      <c r="H73" s="97">
        <f t="shared" si="306"/>
        <v>0.2</v>
      </c>
      <c r="I73" s="97">
        <f t="shared" si="307"/>
        <v>0</v>
      </c>
      <c r="J73" s="96">
        <f t="shared" si="308"/>
        <v>70</v>
      </c>
      <c r="K73" s="94" t="str">
        <f t="shared" si="309"/>
        <v>Lista</v>
      </c>
      <c r="L73" s="98">
        <f t="shared" si="310"/>
        <v>0.11</v>
      </c>
      <c r="M73" s="139" t="s">
        <v>147</v>
      </c>
      <c r="N73" s="100">
        <f t="shared" si="311"/>
        <v>0</v>
      </c>
      <c r="O73" s="140">
        <f t="shared" si="350"/>
        <v>0</v>
      </c>
      <c r="P73" s="102">
        <f t="shared" si="13"/>
        <v>0</v>
      </c>
      <c r="Q73" s="102">
        <f t="shared" si="312"/>
        <v>125192.08</v>
      </c>
      <c r="R73" s="102">
        <f t="shared" si="313"/>
        <v>125192.08</v>
      </c>
      <c r="S73" s="102">
        <f t="shared" si="16"/>
        <v>125192.08</v>
      </c>
      <c r="T73" s="103" t="e">
        <f t="shared" si="17"/>
        <v>#DIV/0!</v>
      </c>
      <c r="U73" s="100">
        <f t="shared" si="314"/>
        <v>0</v>
      </c>
      <c r="V73" s="141">
        <f t="shared" si="351"/>
        <v>0</v>
      </c>
      <c r="W73" s="105">
        <f t="shared" si="19"/>
        <v>0</v>
      </c>
      <c r="X73" s="102">
        <f t="shared" si="315"/>
        <v>109668.88</v>
      </c>
      <c r="Y73" s="106">
        <f t="shared" si="316"/>
        <v>109668.88</v>
      </c>
      <c r="Z73" s="142">
        <f t="shared" si="292"/>
        <v>109668.88</v>
      </c>
      <c r="AA73" s="143" t="str">
        <f t="shared" si="352"/>
        <v/>
      </c>
      <c r="AB73" s="100">
        <f t="shared" si="317"/>
        <v>0</v>
      </c>
      <c r="AC73" s="140">
        <f t="shared" si="353"/>
        <v>0</v>
      </c>
      <c r="AD73" s="102">
        <f t="shared" si="24"/>
        <v>0</v>
      </c>
      <c r="AE73" s="102">
        <f t="shared" si="318"/>
        <v>102499.04</v>
      </c>
      <c r="AF73" s="102">
        <f t="shared" si="319"/>
        <v>102499.04</v>
      </c>
      <c r="AG73" s="145">
        <f t="shared" si="295"/>
        <v>102499.04</v>
      </c>
      <c r="AH73" s="158" t="str">
        <f t="shared" si="296"/>
        <v/>
      </c>
      <c r="AI73" s="147">
        <f t="shared" si="297"/>
        <v>0</v>
      </c>
      <c r="AJ73" s="111">
        <f t="shared" si="320"/>
        <v>464794</v>
      </c>
      <c r="AK73" s="102">
        <f t="shared" si="31"/>
        <v>337360</v>
      </c>
      <c r="AL73" s="102">
        <f t="shared" si="32"/>
        <v>0</v>
      </c>
      <c r="AM73" s="102">
        <f t="shared" si="33"/>
        <v>337360</v>
      </c>
      <c r="AN73" s="102">
        <f t="shared" si="34"/>
        <v>-127434</v>
      </c>
      <c r="AO73" s="112">
        <f t="shared" si="35"/>
        <v>0.72582692547666283</v>
      </c>
      <c r="AP73" s="100">
        <f t="shared" si="321"/>
        <v>0</v>
      </c>
      <c r="AQ73" s="113">
        <f t="shared" si="37"/>
        <v>0</v>
      </c>
      <c r="AR73" s="114">
        <f t="shared" si="322"/>
        <v>72441.600000000006</v>
      </c>
      <c r="AS73" s="115">
        <f t="shared" si="323"/>
        <v>72441.600000000006</v>
      </c>
      <c r="AT73" s="100">
        <f t="shared" si="324"/>
        <v>0</v>
      </c>
      <c r="AU73" s="113">
        <f t="shared" si="41"/>
        <v>0</v>
      </c>
      <c r="AV73" s="116">
        <f t="shared" si="325"/>
        <v>177756.4</v>
      </c>
      <c r="AW73" s="117">
        <f t="shared" si="326"/>
        <v>177756.4</v>
      </c>
      <c r="AX73" s="100">
        <f t="shared" si="327"/>
        <v>0</v>
      </c>
      <c r="AY73" s="113">
        <f t="shared" si="45"/>
        <v>0</v>
      </c>
      <c r="AZ73" s="114">
        <f t="shared" si="328"/>
        <v>221542.39999999999</v>
      </c>
      <c r="BA73" s="100">
        <f t="shared" si="329"/>
        <v>221542.39999999999</v>
      </c>
      <c r="BB73" s="118">
        <f t="shared" ref="BB73:BD73" si="366">BH73+AY73+AU73</f>
        <v>0</v>
      </c>
      <c r="BC73" s="116">
        <f t="shared" si="366"/>
        <v>663584.56000000006</v>
      </c>
      <c r="BD73" s="119">
        <f t="shared" si="366"/>
        <v>663584.56000000006</v>
      </c>
      <c r="BE73" s="118">
        <f t="shared" si="49"/>
        <v>0</v>
      </c>
      <c r="BF73" s="116">
        <f t="shared" si="50"/>
        <v>1000944.56</v>
      </c>
      <c r="BG73" s="119">
        <f t="shared" si="51"/>
        <v>1000944.56</v>
      </c>
      <c r="BH73" s="114">
        <f t="shared" si="52"/>
        <v>0</v>
      </c>
      <c r="BI73" s="114">
        <f t="shared" si="331"/>
        <v>264285.76</v>
      </c>
      <c r="BJ73" s="115">
        <f t="shared" si="332"/>
        <v>264285.76</v>
      </c>
      <c r="BK73" s="125">
        <f t="shared" si="333"/>
        <v>70536</v>
      </c>
      <c r="BL73" s="120">
        <f t="shared" si="56"/>
        <v>0</v>
      </c>
      <c r="BM73" s="121">
        <f t="shared" si="334"/>
        <v>82308.72</v>
      </c>
      <c r="BN73" s="119">
        <f t="shared" si="335"/>
        <v>82308.72</v>
      </c>
      <c r="BO73" s="125">
        <f t="shared" si="336"/>
        <v>79776.479999999996</v>
      </c>
      <c r="BP73" s="140">
        <f t="shared" si="60"/>
        <v>0</v>
      </c>
      <c r="BQ73" s="123">
        <f t="shared" si="337"/>
        <v>88893.440000000002</v>
      </c>
      <c r="BR73" s="125">
        <f t="shared" si="338"/>
        <v>88893.440000000002</v>
      </c>
      <c r="BS73" s="122">
        <f t="shared" si="63"/>
        <v>0</v>
      </c>
      <c r="BT73" s="123">
        <f t="shared" ref="BT73:BU73" si="367">SUM(BI73,BM73,BQ73)</f>
        <v>435487.92</v>
      </c>
      <c r="BU73" s="124">
        <f t="shared" si="367"/>
        <v>435487.92</v>
      </c>
      <c r="BV73" s="125">
        <f t="shared" si="340"/>
        <v>168266.56</v>
      </c>
      <c r="BW73" s="122">
        <f t="shared" si="66"/>
        <v>0</v>
      </c>
      <c r="BX73" s="123">
        <f t="shared" si="341"/>
        <v>177129.37</v>
      </c>
      <c r="BY73" s="124">
        <f t="shared" si="342"/>
        <v>177129.37</v>
      </c>
      <c r="BZ73" s="125">
        <f t="shared" si="343"/>
        <v>53468.800000000003</v>
      </c>
      <c r="CA73" s="140"/>
      <c r="CB73" s="123"/>
      <c r="CC73" s="148"/>
      <c r="CD73" s="123">
        <f t="shared" si="344"/>
        <v>243058.64</v>
      </c>
      <c r="CF73" s="149"/>
    </row>
    <row r="74" spans="1:84" ht="13">
      <c r="A74" s="92">
        <f t="shared" si="304"/>
        <v>112012294</v>
      </c>
      <c r="B74" s="172">
        <f t="shared" si="362"/>
        <v>4</v>
      </c>
      <c r="C74" s="137" t="str">
        <f t="shared" si="363"/>
        <v>Lista</v>
      </c>
      <c r="D74" s="137">
        <f t="shared" si="364"/>
        <v>0.2</v>
      </c>
      <c r="E74" s="138">
        <f t="shared" si="365"/>
        <v>0</v>
      </c>
      <c r="F74" s="193">
        <f>IFERROR(VLOOKUP(M74,BASILECART2,2,FALSE),"")</f>
        <v>4</v>
      </c>
      <c r="G74" s="97" t="str">
        <f t="shared" si="305"/>
        <v>Lista</v>
      </c>
      <c r="H74" s="97">
        <f t="shared" si="306"/>
        <v>0.2</v>
      </c>
      <c r="I74" s="97">
        <f t="shared" si="307"/>
        <v>0</v>
      </c>
      <c r="J74" s="96">
        <f t="shared" si="308"/>
        <v>70</v>
      </c>
      <c r="K74" s="94" t="str">
        <f t="shared" si="309"/>
        <v>Lista</v>
      </c>
      <c r="L74" s="98">
        <f t="shared" si="310"/>
        <v>0.11</v>
      </c>
      <c r="M74" s="139" t="s">
        <v>148</v>
      </c>
      <c r="N74" s="100">
        <f t="shared" si="311"/>
        <v>49782</v>
      </c>
      <c r="O74" s="140">
        <f t="shared" si="350"/>
        <v>83686.031100000007</v>
      </c>
      <c r="P74" s="102" t="e">
        <f t="shared" si="13"/>
        <v>#VALUE!</v>
      </c>
      <c r="Q74" s="102" t="str">
        <f t="shared" si="312"/>
        <v/>
      </c>
      <c r="R74" s="102">
        <f t="shared" si="313"/>
        <v>68879.8</v>
      </c>
      <c r="S74" s="102">
        <f t="shared" si="16"/>
        <v>-14806.231100000005</v>
      </c>
      <c r="T74" s="103">
        <f t="shared" si="17"/>
        <v>0.82307404347677326</v>
      </c>
      <c r="U74" s="100">
        <f t="shared" si="314"/>
        <v>0</v>
      </c>
      <c r="V74" s="141">
        <f t="shared" si="351"/>
        <v>0</v>
      </c>
      <c r="W74" s="105" t="e">
        <f t="shared" si="19"/>
        <v>#VALUE!</v>
      </c>
      <c r="X74" s="102" t="str">
        <f t="shared" si="315"/>
        <v/>
      </c>
      <c r="Y74" s="106">
        <f t="shared" si="316"/>
        <v>178000.15</v>
      </c>
      <c r="Z74" s="142">
        <f t="shared" si="292"/>
        <v>178000.15</v>
      </c>
      <c r="AA74" s="143" t="str">
        <f t="shared" si="352"/>
        <v/>
      </c>
      <c r="AB74" s="100">
        <f t="shared" si="317"/>
        <v>47929.83</v>
      </c>
      <c r="AC74" s="140">
        <f t="shared" si="353"/>
        <v>78766.205077949999</v>
      </c>
      <c r="AD74" s="102" t="e">
        <f t="shared" si="24"/>
        <v>#VALUE!</v>
      </c>
      <c r="AE74" s="102" t="str">
        <f t="shared" si="318"/>
        <v/>
      </c>
      <c r="AF74" s="102">
        <f t="shared" si="319"/>
        <v>30703.81</v>
      </c>
      <c r="AG74" s="145">
        <f t="shared" si="295"/>
        <v>-48062.395077950001</v>
      </c>
      <c r="AH74" s="158">
        <f t="shared" si="296"/>
        <v>0.38980943628824516</v>
      </c>
      <c r="AI74" s="147">
        <f t="shared" si="297"/>
        <v>162452.23617794999</v>
      </c>
      <c r="AJ74" s="111">
        <f t="shared" si="320"/>
        <v>1763.6</v>
      </c>
      <c r="AK74" s="102">
        <f t="shared" si="31"/>
        <v>0</v>
      </c>
      <c r="AL74" s="102" t="e">
        <f t="shared" si="32"/>
        <v>#VALUE!</v>
      </c>
      <c r="AM74" s="102">
        <f t="shared" si="33"/>
        <v>277583.76</v>
      </c>
      <c r="AN74" s="102">
        <f t="shared" si="34"/>
        <v>275820.16000000003</v>
      </c>
      <c r="AO74" s="112">
        <f t="shared" si="35"/>
        <v>157.39609888863689</v>
      </c>
      <c r="AP74" s="100">
        <f t="shared" si="321"/>
        <v>0</v>
      </c>
      <c r="AQ74" s="113" t="e">
        <f t="shared" si="37"/>
        <v>#VALUE!</v>
      </c>
      <c r="AR74" s="114" t="str">
        <f t="shared" si="322"/>
        <v/>
      </c>
      <c r="AS74" s="115">
        <f t="shared" si="323"/>
        <v>142952.1</v>
      </c>
      <c r="AT74" s="100">
        <f t="shared" si="324"/>
        <v>0</v>
      </c>
      <c r="AU74" s="113" t="e">
        <f t="shared" si="41"/>
        <v>#VALUE!</v>
      </c>
      <c r="AV74" s="116" t="str">
        <f t="shared" si="325"/>
        <v/>
      </c>
      <c r="AW74" s="117">
        <f t="shared" si="326"/>
        <v>28899.5</v>
      </c>
      <c r="AX74" s="100">
        <f t="shared" si="327"/>
        <v>169541.95</v>
      </c>
      <c r="AY74" s="113" t="e">
        <f t="shared" si="45"/>
        <v>#VALUE!</v>
      </c>
      <c r="AZ74" s="114" t="str">
        <f t="shared" si="328"/>
        <v/>
      </c>
      <c r="BA74" s="100">
        <f t="shared" si="329"/>
        <v>0</v>
      </c>
      <c r="BB74" s="118" t="e">
        <f t="shared" ref="BB74:BD74" si="368">BH74+AY74+AU74</f>
        <v>#VALUE!</v>
      </c>
      <c r="BC74" s="116" t="e">
        <f t="shared" si="368"/>
        <v>#VALUE!</v>
      </c>
      <c r="BD74" s="119">
        <f t="shared" si="368"/>
        <v>28899.5</v>
      </c>
      <c r="BE74" s="118" t="e">
        <f t="shared" si="49"/>
        <v>#VALUE!</v>
      </c>
      <c r="BF74" s="116" t="e">
        <f t="shared" si="50"/>
        <v>#VALUE!</v>
      </c>
      <c r="BG74" s="119">
        <f t="shared" si="51"/>
        <v>306483.26</v>
      </c>
      <c r="BH74" s="114" t="e">
        <f t="shared" si="52"/>
        <v>#VALUE!</v>
      </c>
      <c r="BI74" s="114" t="str">
        <f t="shared" si="331"/>
        <v/>
      </c>
      <c r="BJ74" s="115">
        <f t="shared" si="332"/>
        <v>0</v>
      </c>
      <c r="BK74" s="125">
        <f t="shared" si="333"/>
        <v>192623.22</v>
      </c>
      <c r="BL74" s="120" t="e">
        <f t="shared" si="56"/>
        <v>#VALUE!</v>
      </c>
      <c r="BM74" s="121" t="str">
        <f t="shared" si="334"/>
        <v/>
      </c>
      <c r="BN74" s="119">
        <f t="shared" si="335"/>
        <v>290108</v>
      </c>
      <c r="BO74" s="125">
        <f t="shared" si="336"/>
        <v>177218.8</v>
      </c>
      <c r="BP74" s="140" t="e">
        <f t="shared" si="60"/>
        <v>#VALUE!</v>
      </c>
      <c r="BQ74" s="123" t="str">
        <f t="shared" si="337"/>
        <v/>
      </c>
      <c r="BR74" s="125">
        <f t="shared" si="338"/>
        <v>0</v>
      </c>
      <c r="BS74" s="122" t="e">
        <f t="shared" si="63"/>
        <v>#VALUE!</v>
      </c>
      <c r="BT74" s="123">
        <f t="shared" ref="BT74:BU74" si="369">SUM(BI74,BM74,BQ74)</f>
        <v>0</v>
      </c>
      <c r="BU74" s="124">
        <f t="shared" si="369"/>
        <v>290108</v>
      </c>
      <c r="BV74" s="125">
        <f t="shared" si="340"/>
        <v>-42238.400000000001</v>
      </c>
      <c r="BW74" s="122" t="e">
        <f t="shared" si="66"/>
        <v>#VALUE!</v>
      </c>
      <c r="BX74" s="123" t="str">
        <f t="shared" si="341"/>
        <v/>
      </c>
      <c r="BY74" s="124">
        <f t="shared" si="342"/>
        <v>36223.019999999997</v>
      </c>
      <c r="BZ74" s="125">
        <f t="shared" si="343"/>
        <v>0</v>
      </c>
      <c r="CA74" s="140"/>
      <c r="CB74" s="123"/>
      <c r="CC74" s="148"/>
      <c r="CD74" s="123">
        <f t="shared" si="344"/>
        <v>44002</v>
      </c>
      <c r="CF74" s="149"/>
    </row>
    <row r="75" spans="1:84" ht="13">
      <c r="A75" s="92">
        <f t="shared" si="304"/>
        <v>112012308</v>
      </c>
      <c r="B75" s="172">
        <f t="shared" si="362"/>
        <v>4</v>
      </c>
      <c r="C75" s="137" t="str">
        <f t="shared" si="363"/>
        <v>Lista</v>
      </c>
      <c r="D75" s="137">
        <f t="shared" si="364"/>
        <v>0.2</v>
      </c>
      <c r="E75" s="138">
        <f t="shared" si="365"/>
        <v>0</v>
      </c>
      <c r="F75" s="193">
        <f>IFERROR(VLOOKUP(M75,BASILECART2,2,FALSE),"")</f>
        <v>4</v>
      </c>
      <c r="G75" s="97" t="str">
        <f t="shared" si="305"/>
        <v>Lista</v>
      </c>
      <c r="H75" s="97">
        <f t="shared" si="306"/>
        <v>0.2</v>
      </c>
      <c r="I75" s="97">
        <f t="shared" si="307"/>
        <v>0</v>
      </c>
      <c r="J75" s="96">
        <f t="shared" si="308"/>
        <v>70</v>
      </c>
      <c r="K75" s="94" t="str">
        <f t="shared" si="309"/>
        <v>Lista</v>
      </c>
      <c r="L75" s="98">
        <f t="shared" si="310"/>
        <v>0.11</v>
      </c>
      <c r="M75" s="139" t="s">
        <v>149</v>
      </c>
      <c r="N75" s="100">
        <f t="shared" si="311"/>
        <v>1198356.8</v>
      </c>
      <c r="O75" s="140">
        <f t="shared" si="350"/>
        <v>2014497.6986400001</v>
      </c>
      <c r="P75" s="102">
        <f t="shared" si="13"/>
        <v>0</v>
      </c>
      <c r="Q75" s="102">
        <f t="shared" si="312"/>
        <v>682471.92</v>
      </c>
      <c r="R75" s="102">
        <f t="shared" si="313"/>
        <v>682471.92</v>
      </c>
      <c r="S75" s="102">
        <f t="shared" si="16"/>
        <v>-1332025.7786400001</v>
      </c>
      <c r="T75" s="103">
        <f t="shared" si="17"/>
        <v>0.33878019342525983</v>
      </c>
      <c r="U75" s="100">
        <f t="shared" si="314"/>
        <v>1219148.96</v>
      </c>
      <c r="V75" s="141">
        <f t="shared" si="351"/>
        <v>2102422.3815199998</v>
      </c>
      <c r="W75" s="105">
        <f t="shared" si="19"/>
        <v>0</v>
      </c>
      <c r="X75" s="102">
        <f t="shared" si="315"/>
        <v>1217057.6000000001</v>
      </c>
      <c r="Y75" s="106">
        <f t="shared" si="316"/>
        <v>1217057.6000000001</v>
      </c>
      <c r="Z75" s="142">
        <f t="shared" si="292"/>
        <v>-885364.78151999973</v>
      </c>
      <c r="AA75" s="143">
        <f t="shared" si="352"/>
        <v>0.57888348730386774</v>
      </c>
      <c r="AB75" s="100">
        <f t="shared" si="317"/>
        <v>104371.33</v>
      </c>
      <c r="AC75" s="140">
        <f t="shared" si="353"/>
        <v>171520.19072545</v>
      </c>
      <c r="AD75" s="102">
        <f t="shared" si="24"/>
        <v>0</v>
      </c>
      <c r="AE75" s="102">
        <f t="shared" si="318"/>
        <v>162241.12</v>
      </c>
      <c r="AF75" s="102">
        <f t="shared" si="319"/>
        <v>162241.12</v>
      </c>
      <c r="AG75" s="145">
        <f t="shared" si="295"/>
        <v>-9279.0707254500012</v>
      </c>
      <c r="AH75" s="158">
        <f t="shared" si="296"/>
        <v>0.94590100042330949</v>
      </c>
      <c r="AI75" s="147">
        <f t="shared" si="297"/>
        <v>4288440.2708854498</v>
      </c>
      <c r="AJ75" s="111">
        <f t="shared" si="320"/>
        <v>4275846.71</v>
      </c>
      <c r="AK75" s="102">
        <f t="shared" si="31"/>
        <v>2061770.6400000001</v>
      </c>
      <c r="AL75" s="102">
        <f t="shared" si="32"/>
        <v>0</v>
      </c>
      <c r="AM75" s="102">
        <f t="shared" si="33"/>
        <v>2061770.6400000001</v>
      </c>
      <c r="AN75" s="102">
        <f t="shared" si="34"/>
        <v>-2214076.0699999998</v>
      </c>
      <c r="AO75" s="112">
        <f t="shared" si="35"/>
        <v>0.4821900268730635</v>
      </c>
      <c r="AP75" s="100">
        <f t="shared" si="321"/>
        <v>2748910.05</v>
      </c>
      <c r="AQ75" s="113">
        <f t="shared" si="37"/>
        <v>0</v>
      </c>
      <c r="AR75" s="114">
        <f t="shared" si="322"/>
        <v>1259694.32</v>
      </c>
      <c r="AS75" s="115">
        <f t="shared" si="323"/>
        <v>1259694.32</v>
      </c>
      <c r="AT75" s="100">
        <f t="shared" si="324"/>
        <v>486109.6</v>
      </c>
      <c r="AU75" s="113">
        <f t="shared" si="41"/>
        <v>0</v>
      </c>
      <c r="AV75" s="116">
        <f t="shared" si="325"/>
        <v>2350351</v>
      </c>
      <c r="AW75" s="117">
        <f t="shared" si="326"/>
        <v>2350351</v>
      </c>
      <c r="AX75" s="100">
        <f t="shared" si="327"/>
        <v>1524434.72</v>
      </c>
      <c r="AY75" s="113">
        <f t="shared" si="45"/>
        <v>0</v>
      </c>
      <c r="AZ75" s="114">
        <f t="shared" si="328"/>
        <v>2120115.52</v>
      </c>
      <c r="BA75" s="100">
        <f t="shared" si="329"/>
        <v>2120115.52</v>
      </c>
      <c r="BB75" s="118">
        <f t="shared" ref="BB75:BD75" si="370">BH75+AY75+AU75</f>
        <v>0</v>
      </c>
      <c r="BC75" s="116">
        <f t="shared" si="370"/>
        <v>5760433.4000000004</v>
      </c>
      <c r="BD75" s="119">
        <f t="shared" si="370"/>
        <v>5760433.4000000004</v>
      </c>
      <c r="BE75" s="118">
        <f t="shared" si="49"/>
        <v>0</v>
      </c>
      <c r="BF75" s="116">
        <f t="shared" si="50"/>
        <v>7822204.040000001</v>
      </c>
      <c r="BG75" s="119">
        <f t="shared" si="51"/>
        <v>7822204.040000001</v>
      </c>
      <c r="BH75" s="114">
        <f t="shared" si="52"/>
        <v>0</v>
      </c>
      <c r="BI75" s="114">
        <f t="shared" si="331"/>
        <v>1289966.8799999999</v>
      </c>
      <c r="BJ75" s="115">
        <f t="shared" si="332"/>
        <v>1289966.8799999999</v>
      </c>
      <c r="BK75" s="125">
        <f t="shared" si="333"/>
        <v>598973.19999999995</v>
      </c>
      <c r="BL75" s="120">
        <f t="shared" si="56"/>
        <v>0</v>
      </c>
      <c r="BM75" s="121">
        <f t="shared" si="334"/>
        <v>2145446</v>
      </c>
      <c r="BN75" s="119">
        <f t="shared" si="335"/>
        <v>2145446</v>
      </c>
      <c r="BO75" s="125">
        <f t="shared" si="336"/>
        <v>1703086.32</v>
      </c>
      <c r="BP75" s="140">
        <f t="shared" si="60"/>
        <v>0</v>
      </c>
      <c r="BQ75" s="123">
        <f t="shared" si="337"/>
        <v>1329364.3999999999</v>
      </c>
      <c r="BR75" s="125">
        <f t="shared" si="338"/>
        <v>1329364.3999999999</v>
      </c>
      <c r="BS75" s="122">
        <f t="shared" si="63"/>
        <v>0</v>
      </c>
      <c r="BT75" s="123">
        <f t="shared" ref="BT75:BU75" si="371">SUM(BI75,BM75,BQ75)</f>
        <v>4764777.2799999993</v>
      </c>
      <c r="BU75" s="124">
        <f t="shared" si="371"/>
        <v>4764777.2799999993</v>
      </c>
      <c r="BV75" s="125">
        <f t="shared" si="340"/>
        <v>1113804.1000000001</v>
      </c>
      <c r="BW75" s="122">
        <f t="shared" si="66"/>
        <v>0</v>
      </c>
      <c r="BX75" s="123">
        <f t="shared" si="341"/>
        <v>1122062.43</v>
      </c>
      <c r="BY75" s="124">
        <f t="shared" si="342"/>
        <v>1122062.43</v>
      </c>
      <c r="BZ75" s="125">
        <f t="shared" si="343"/>
        <v>1160387.04</v>
      </c>
      <c r="CA75" s="140"/>
      <c r="CB75" s="123"/>
      <c r="CC75" s="148"/>
      <c r="CD75" s="123">
        <f t="shared" si="344"/>
        <v>2001655.58</v>
      </c>
      <c r="CF75" s="149"/>
    </row>
    <row r="76" spans="1:84" ht="14">
      <c r="A76" s="92">
        <f t="shared" si="304"/>
        <v>112012535</v>
      </c>
      <c r="B76" s="172">
        <f t="shared" si="362"/>
        <v>4</v>
      </c>
      <c r="C76" s="137" t="str">
        <f t="shared" si="363"/>
        <v>Lista</v>
      </c>
      <c r="D76" s="137">
        <f t="shared" si="364"/>
        <v>0.2</v>
      </c>
      <c r="E76" s="138">
        <f t="shared" si="365"/>
        <v>0</v>
      </c>
      <c r="F76" s="193">
        <f>IFERROR(VLOOKUP(M76,BASILECART2,2,FALSE),"")</f>
        <v>4</v>
      </c>
      <c r="G76" s="97" t="str">
        <f t="shared" si="305"/>
        <v>Lista</v>
      </c>
      <c r="H76" s="97">
        <f t="shared" si="306"/>
        <v>0.2</v>
      </c>
      <c r="I76" s="97">
        <f t="shared" si="307"/>
        <v>0</v>
      </c>
      <c r="J76" s="96">
        <f t="shared" si="308"/>
        <v>70</v>
      </c>
      <c r="K76" s="94" t="str">
        <f t="shared" si="309"/>
        <v>Lista</v>
      </c>
      <c r="L76" s="98">
        <f t="shared" si="310"/>
        <v>0.11</v>
      </c>
      <c r="M76" s="139" t="s">
        <v>150</v>
      </c>
      <c r="N76" s="100">
        <f t="shared" si="311"/>
        <v>0</v>
      </c>
      <c r="O76" s="140">
        <f t="shared" si="350"/>
        <v>0</v>
      </c>
      <c r="P76" s="102">
        <f t="shared" si="13"/>
        <v>0</v>
      </c>
      <c r="Q76" s="102">
        <f t="shared" si="312"/>
        <v>0</v>
      </c>
      <c r="R76" s="102">
        <f t="shared" si="313"/>
        <v>0</v>
      </c>
      <c r="S76" s="102">
        <f t="shared" si="16"/>
        <v>0</v>
      </c>
      <c r="T76" s="103" t="e">
        <f t="shared" si="17"/>
        <v>#DIV/0!</v>
      </c>
      <c r="U76" s="100">
        <f t="shared" si="314"/>
        <v>50490.400000000001</v>
      </c>
      <c r="V76" s="141">
        <f t="shared" si="351"/>
        <v>87070.694799999997</v>
      </c>
      <c r="W76" s="105">
        <f t="shared" si="19"/>
        <v>0</v>
      </c>
      <c r="X76" s="102">
        <f t="shared" si="315"/>
        <v>0</v>
      </c>
      <c r="Y76" s="106">
        <f t="shared" si="316"/>
        <v>0</v>
      </c>
      <c r="Z76" s="142">
        <f t="shared" si="292"/>
        <v>-87070.694799999997</v>
      </c>
      <c r="AA76" s="143">
        <f t="shared" si="352"/>
        <v>0</v>
      </c>
      <c r="AB76" s="100">
        <f t="shared" si="317"/>
        <v>53827.040000000001</v>
      </c>
      <c r="AC76" s="140">
        <f t="shared" si="353"/>
        <v>88457.473589599991</v>
      </c>
      <c r="AD76" s="102">
        <f t="shared" si="24"/>
        <v>0</v>
      </c>
      <c r="AE76" s="102">
        <f t="shared" si="318"/>
        <v>0</v>
      </c>
      <c r="AF76" s="102">
        <f t="shared" si="319"/>
        <v>0</v>
      </c>
      <c r="AG76" s="145">
        <f t="shared" si="295"/>
        <v>-88457.473589599991</v>
      </c>
      <c r="AH76" s="158">
        <f t="shared" si="296"/>
        <v>0</v>
      </c>
      <c r="AI76" s="147">
        <f t="shared" si="297"/>
        <v>175528.1683896</v>
      </c>
      <c r="AJ76" s="111">
        <f t="shared" si="320"/>
        <v>160904</v>
      </c>
      <c r="AK76" s="102">
        <f t="shared" si="31"/>
        <v>0</v>
      </c>
      <c r="AL76" s="102">
        <f t="shared" si="32"/>
        <v>0</v>
      </c>
      <c r="AM76" s="102">
        <f t="shared" si="33"/>
        <v>0</v>
      </c>
      <c r="AN76" s="102">
        <f t="shared" si="34"/>
        <v>-160904</v>
      </c>
      <c r="AO76" s="112">
        <f t="shared" si="35"/>
        <v>0</v>
      </c>
      <c r="AP76" s="100">
        <f t="shared" si="321"/>
        <v>0</v>
      </c>
      <c r="AQ76" s="113">
        <f t="shared" si="37"/>
        <v>0</v>
      </c>
      <c r="AR76" s="114">
        <f t="shared" si="322"/>
        <v>42471.68</v>
      </c>
      <c r="AS76" s="115">
        <f t="shared" si="323"/>
        <v>42471.68</v>
      </c>
      <c r="AT76" s="100">
        <f t="shared" si="324"/>
        <v>0</v>
      </c>
      <c r="AU76" s="113">
        <f t="shared" si="41"/>
        <v>0</v>
      </c>
      <c r="AV76" s="116">
        <f t="shared" si="325"/>
        <v>0</v>
      </c>
      <c r="AW76" s="117">
        <f t="shared" si="326"/>
        <v>0</v>
      </c>
      <c r="AX76" s="100">
        <f t="shared" si="327"/>
        <v>0</v>
      </c>
      <c r="AY76" s="113">
        <f t="shared" si="45"/>
        <v>0</v>
      </c>
      <c r="AZ76" s="114">
        <f t="shared" si="328"/>
        <v>0</v>
      </c>
      <c r="BA76" s="100">
        <f t="shared" si="329"/>
        <v>0</v>
      </c>
      <c r="BB76" s="118">
        <f t="shared" ref="BB76:BD76" si="372">BH76+AY76+AU76</f>
        <v>0</v>
      </c>
      <c r="BC76" s="116">
        <f t="shared" si="372"/>
        <v>0</v>
      </c>
      <c r="BD76" s="119">
        <f t="shared" si="372"/>
        <v>0</v>
      </c>
      <c r="BE76" s="118">
        <f t="shared" si="49"/>
        <v>0</v>
      </c>
      <c r="BF76" s="116">
        <f t="shared" si="50"/>
        <v>0</v>
      </c>
      <c r="BG76" s="119">
        <f t="shared" si="51"/>
        <v>0</v>
      </c>
      <c r="BH76" s="114">
        <f t="shared" si="52"/>
        <v>0</v>
      </c>
      <c r="BI76" s="114">
        <f t="shared" si="331"/>
        <v>0</v>
      </c>
      <c r="BJ76" s="115">
        <f t="shared" si="332"/>
        <v>0</v>
      </c>
      <c r="BK76" s="125">
        <f t="shared" si="333"/>
        <v>0</v>
      </c>
      <c r="BL76" s="120">
        <f t="shared" si="56"/>
        <v>0</v>
      </c>
      <c r="BM76" s="121">
        <f t="shared" si="334"/>
        <v>0</v>
      </c>
      <c r="BN76" s="119">
        <f t="shared" si="335"/>
        <v>0</v>
      </c>
      <c r="BO76" s="125">
        <f t="shared" si="336"/>
        <v>49600.32</v>
      </c>
      <c r="BP76" s="140">
        <f t="shared" si="60"/>
        <v>0</v>
      </c>
      <c r="BQ76" s="123">
        <f t="shared" si="337"/>
        <v>0</v>
      </c>
      <c r="BR76" s="125">
        <f t="shared" si="338"/>
        <v>0</v>
      </c>
      <c r="BS76" s="122">
        <f t="shared" si="63"/>
        <v>0</v>
      </c>
      <c r="BT76" s="123">
        <f t="shared" ref="BT76:BU76" si="373">SUM(BI76,BM76,BQ76)</f>
        <v>0</v>
      </c>
      <c r="BU76" s="124">
        <f t="shared" si="373"/>
        <v>0</v>
      </c>
      <c r="BV76" s="125">
        <f t="shared" si="340"/>
        <v>90479.2</v>
      </c>
      <c r="BW76" s="122">
        <f t="shared" si="66"/>
        <v>0</v>
      </c>
      <c r="BX76" s="123">
        <f t="shared" si="341"/>
        <v>71816.479999999996</v>
      </c>
      <c r="BY76" s="124">
        <f t="shared" si="342"/>
        <v>71816.479999999996</v>
      </c>
      <c r="BZ76" s="125">
        <f t="shared" si="343"/>
        <v>70424.800000000003</v>
      </c>
      <c r="CA76" s="140"/>
      <c r="CB76" s="123"/>
      <c r="CC76" s="148"/>
      <c r="CD76" s="123">
        <f t="shared" si="344"/>
        <v>0</v>
      </c>
      <c r="CF76" s="149"/>
    </row>
    <row r="77" spans="1:84" ht="13">
      <c r="A77" s="92">
        <f t="shared" si="304"/>
        <v>112012536</v>
      </c>
      <c r="B77" s="172">
        <f t="shared" si="362"/>
        <v>4</v>
      </c>
      <c r="C77" s="137" t="str">
        <f t="shared" si="363"/>
        <v>Lista</v>
      </c>
      <c r="D77" s="137">
        <f t="shared" si="364"/>
        <v>0.2</v>
      </c>
      <c r="E77" s="138">
        <f t="shared" si="365"/>
        <v>0</v>
      </c>
      <c r="F77" s="193">
        <f>IFERROR(VLOOKUP(M77,BASILECART2,2,FALSE),"")</f>
        <v>4</v>
      </c>
      <c r="G77" s="97" t="str">
        <f t="shared" si="305"/>
        <v>Lista</v>
      </c>
      <c r="H77" s="97">
        <f t="shared" si="306"/>
        <v>0.2</v>
      </c>
      <c r="I77" s="97">
        <f t="shared" si="307"/>
        <v>0</v>
      </c>
      <c r="J77" s="96">
        <f t="shared" si="308"/>
        <v>70</v>
      </c>
      <c r="K77" s="94" t="str">
        <f t="shared" si="309"/>
        <v>Lista</v>
      </c>
      <c r="L77" s="98">
        <f t="shared" si="310"/>
        <v>0.11</v>
      </c>
      <c r="M77" s="139" t="s">
        <v>151</v>
      </c>
      <c r="N77" s="100">
        <f t="shared" si="311"/>
        <v>60767.44</v>
      </c>
      <c r="O77" s="140">
        <f t="shared" si="350"/>
        <v>102153.10501200001</v>
      </c>
      <c r="P77" s="102">
        <f t="shared" si="13"/>
        <v>0</v>
      </c>
      <c r="Q77" s="102">
        <f t="shared" si="312"/>
        <v>336498.08</v>
      </c>
      <c r="R77" s="102">
        <f t="shared" si="313"/>
        <v>336498.08</v>
      </c>
      <c r="S77" s="102">
        <f t="shared" si="16"/>
        <v>234344.974988</v>
      </c>
      <c r="T77" s="103">
        <f t="shared" si="17"/>
        <v>3.294056308523087</v>
      </c>
      <c r="U77" s="100">
        <f t="shared" si="314"/>
        <v>109997.75999999999</v>
      </c>
      <c r="V77" s="141">
        <f t="shared" si="351"/>
        <v>189691.13711999997</v>
      </c>
      <c r="W77" s="105">
        <f t="shared" si="19"/>
        <v>0</v>
      </c>
      <c r="X77" s="102">
        <f t="shared" si="315"/>
        <v>0</v>
      </c>
      <c r="Y77" s="106">
        <f t="shared" si="316"/>
        <v>0</v>
      </c>
      <c r="Z77" s="142">
        <f t="shared" si="292"/>
        <v>-189691.13711999997</v>
      </c>
      <c r="AA77" s="143">
        <f t="shared" si="352"/>
        <v>0</v>
      </c>
      <c r="AB77" s="100">
        <f t="shared" si="317"/>
        <v>81461.22</v>
      </c>
      <c r="AC77" s="140">
        <f t="shared" si="353"/>
        <v>133870.51780530001</v>
      </c>
      <c r="AD77" s="102">
        <f t="shared" si="24"/>
        <v>0</v>
      </c>
      <c r="AE77" s="102">
        <f t="shared" si="318"/>
        <v>186070.36</v>
      </c>
      <c r="AF77" s="102">
        <f t="shared" si="319"/>
        <v>186070.36</v>
      </c>
      <c r="AG77" s="145">
        <f t="shared" si="295"/>
        <v>52199.842194699973</v>
      </c>
      <c r="AH77" s="158">
        <f t="shared" si="296"/>
        <v>1.3899278425935344</v>
      </c>
      <c r="AI77" s="147">
        <f t="shared" si="297"/>
        <v>425714.7599373</v>
      </c>
      <c r="AJ77" s="111">
        <f t="shared" si="320"/>
        <v>303329.68</v>
      </c>
      <c r="AK77" s="102">
        <f t="shared" si="31"/>
        <v>522568.44</v>
      </c>
      <c r="AL77" s="102">
        <f t="shared" si="32"/>
        <v>0</v>
      </c>
      <c r="AM77" s="102">
        <f t="shared" si="33"/>
        <v>522568.44</v>
      </c>
      <c r="AN77" s="102">
        <f t="shared" si="34"/>
        <v>219238.76</v>
      </c>
      <c r="AO77" s="112">
        <f t="shared" si="35"/>
        <v>1.722773847913597</v>
      </c>
      <c r="AP77" s="100">
        <f t="shared" si="321"/>
        <v>191797.92</v>
      </c>
      <c r="AQ77" s="113">
        <f t="shared" si="37"/>
        <v>0</v>
      </c>
      <c r="AR77" s="114">
        <f t="shared" si="322"/>
        <v>286797.52</v>
      </c>
      <c r="AS77" s="115">
        <f t="shared" si="323"/>
        <v>286797.52</v>
      </c>
      <c r="AT77" s="100">
        <f t="shared" si="324"/>
        <v>187559.92</v>
      </c>
      <c r="AU77" s="113">
        <f t="shared" si="41"/>
        <v>21155</v>
      </c>
      <c r="AV77" s="116">
        <f t="shared" si="325"/>
        <v>252731.76</v>
      </c>
      <c r="AW77" s="117">
        <f t="shared" si="326"/>
        <v>273886.76</v>
      </c>
      <c r="AX77" s="100">
        <f t="shared" si="327"/>
        <v>131115.35999999999</v>
      </c>
      <c r="AY77" s="113">
        <f t="shared" si="45"/>
        <v>0</v>
      </c>
      <c r="AZ77" s="114">
        <f t="shared" si="328"/>
        <v>374274.8</v>
      </c>
      <c r="BA77" s="100">
        <f t="shared" si="329"/>
        <v>374274.8</v>
      </c>
      <c r="BB77" s="118">
        <f t="shared" ref="BB77:BD77" si="374">BH77+AY77+AU77</f>
        <v>21155</v>
      </c>
      <c r="BC77" s="116">
        <f t="shared" si="374"/>
        <v>1074693.44</v>
      </c>
      <c r="BD77" s="119">
        <f t="shared" si="374"/>
        <v>1095848.44</v>
      </c>
      <c r="BE77" s="118">
        <f t="shared" si="49"/>
        <v>21155</v>
      </c>
      <c r="BF77" s="116">
        <f t="shared" si="50"/>
        <v>1597261.88</v>
      </c>
      <c r="BG77" s="119">
        <f t="shared" si="51"/>
        <v>1618416.88</v>
      </c>
      <c r="BH77" s="114">
        <f t="shared" si="52"/>
        <v>0</v>
      </c>
      <c r="BI77" s="114">
        <f t="shared" si="331"/>
        <v>447686.88</v>
      </c>
      <c r="BJ77" s="115">
        <f t="shared" si="332"/>
        <v>447686.88</v>
      </c>
      <c r="BK77" s="125">
        <f t="shared" si="333"/>
        <v>300532.96000000002</v>
      </c>
      <c r="BL77" s="120">
        <f t="shared" si="56"/>
        <v>0</v>
      </c>
      <c r="BM77" s="121">
        <f t="shared" si="334"/>
        <v>438220.24</v>
      </c>
      <c r="BN77" s="119">
        <f t="shared" si="335"/>
        <v>438220.24</v>
      </c>
      <c r="BO77" s="125">
        <f t="shared" si="336"/>
        <v>0</v>
      </c>
      <c r="BP77" s="140">
        <f t="shared" si="60"/>
        <v>0</v>
      </c>
      <c r="BQ77" s="123">
        <f t="shared" si="337"/>
        <v>248995.12</v>
      </c>
      <c r="BR77" s="125">
        <f t="shared" si="338"/>
        <v>248995.12</v>
      </c>
      <c r="BS77" s="122">
        <f t="shared" si="63"/>
        <v>0</v>
      </c>
      <c r="BT77" s="123">
        <f t="shared" ref="BT77:BU77" si="375">SUM(BI77,BM77,BQ77)</f>
        <v>1134902.24</v>
      </c>
      <c r="BU77" s="124">
        <f t="shared" si="375"/>
        <v>1134902.24</v>
      </c>
      <c r="BV77" s="125">
        <f t="shared" si="340"/>
        <v>154824.32000000001</v>
      </c>
      <c r="BW77" s="122">
        <f t="shared" si="66"/>
        <v>0</v>
      </c>
      <c r="BX77" s="123">
        <f t="shared" si="341"/>
        <v>254260.32</v>
      </c>
      <c r="BY77" s="124">
        <f t="shared" si="342"/>
        <v>254260.32</v>
      </c>
      <c r="BZ77" s="125">
        <f t="shared" si="343"/>
        <v>0</v>
      </c>
      <c r="CA77" s="140"/>
      <c r="CB77" s="123"/>
      <c r="CC77" s="148"/>
      <c r="CD77" s="123">
        <f t="shared" si="344"/>
        <v>148505.35999999999</v>
      </c>
      <c r="CF77" s="149"/>
    </row>
    <row r="78" spans="1:84" ht="14">
      <c r="A78" s="92">
        <f t="shared" si="304"/>
        <v>112014553</v>
      </c>
      <c r="B78" s="172">
        <f t="shared" si="362"/>
        <v>4</v>
      </c>
      <c r="C78" s="137" t="str">
        <f t="shared" si="363"/>
        <v>Lista</v>
      </c>
      <c r="D78" s="137">
        <f t="shared" si="364"/>
        <v>0.2</v>
      </c>
      <c r="E78" s="138">
        <f t="shared" si="365"/>
        <v>0</v>
      </c>
      <c r="F78" s="96">
        <f>VLOOKUP(M78,BASILECART2,2,FALSE)</f>
        <v>4</v>
      </c>
      <c r="G78" s="97" t="str">
        <f t="shared" si="305"/>
        <v>Lista</v>
      </c>
      <c r="H78" s="97">
        <f t="shared" si="306"/>
        <v>0.2</v>
      </c>
      <c r="I78" s="97">
        <f t="shared" si="307"/>
        <v>0</v>
      </c>
      <c r="J78" s="96">
        <f t="shared" si="308"/>
        <v>70</v>
      </c>
      <c r="K78" s="94" t="str">
        <f t="shared" si="309"/>
        <v>Lista</v>
      </c>
      <c r="L78" s="98">
        <f t="shared" si="310"/>
        <v>0.11</v>
      </c>
      <c r="M78" s="139" t="s">
        <v>152</v>
      </c>
      <c r="N78" s="100">
        <f t="shared" si="311"/>
        <v>0</v>
      </c>
      <c r="O78" s="140">
        <f t="shared" si="350"/>
        <v>0</v>
      </c>
      <c r="P78" s="102">
        <f t="shared" si="13"/>
        <v>0</v>
      </c>
      <c r="Q78" s="102">
        <f t="shared" si="312"/>
        <v>0</v>
      </c>
      <c r="R78" s="102">
        <f t="shared" si="313"/>
        <v>0</v>
      </c>
      <c r="S78" s="102">
        <f t="shared" si="16"/>
        <v>0</v>
      </c>
      <c r="T78" s="103" t="e">
        <f t="shared" si="17"/>
        <v>#DIV/0!</v>
      </c>
      <c r="U78" s="100">
        <f t="shared" si="314"/>
        <v>0</v>
      </c>
      <c r="V78" s="141">
        <f t="shared" si="351"/>
        <v>0</v>
      </c>
      <c r="W78" s="105">
        <f t="shared" si="19"/>
        <v>0</v>
      </c>
      <c r="X78" s="102">
        <f t="shared" si="315"/>
        <v>0</v>
      </c>
      <c r="Y78" s="106">
        <f t="shared" si="316"/>
        <v>0</v>
      </c>
      <c r="Z78" s="142">
        <f t="shared" si="292"/>
        <v>0</v>
      </c>
      <c r="AA78" s="143" t="str">
        <f t="shared" si="352"/>
        <v/>
      </c>
      <c r="AB78" s="100">
        <f t="shared" si="317"/>
        <v>0</v>
      </c>
      <c r="AC78" s="140">
        <f t="shared" si="353"/>
        <v>0</v>
      </c>
      <c r="AD78" s="102">
        <f t="shared" si="24"/>
        <v>0</v>
      </c>
      <c r="AE78" s="102">
        <f t="shared" si="318"/>
        <v>0</v>
      </c>
      <c r="AF78" s="102">
        <f t="shared" si="319"/>
        <v>0</v>
      </c>
      <c r="AG78" s="145">
        <f t="shared" si="295"/>
        <v>0</v>
      </c>
      <c r="AH78" s="158" t="str">
        <f t="shared" si="296"/>
        <v/>
      </c>
      <c r="AI78" s="147">
        <f t="shared" si="297"/>
        <v>0</v>
      </c>
      <c r="AJ78" s="111" t="str">
        <f t="shared" si="320"/>
        <v>0</v>
      </c>
      <c r="AK78" s="102">
        <f t="shared" si="31"/>
        <v>0</v>
      </c>
      <c r="AL78" s="102">
        <f t="shared" si="32"/>
        <v>0</v>
      </c>
      <c r="AM78" s="102">
        <f t="shared" si="33"/>
        <v>0</v>
      </c>
      <c r="AN78" s="102">
        <f t="shared" si="34"/>
        <v>0</v>
      </c>
      <c r="AO78" s="112" t="e">
        <f t="shared" si="35"/>
        <v>#DIV/0!</v>
      </c>
      <c r="AP78" s="100">
        <f t="shared" si="321"/>
        <v>0</v>
      </c>
      <c r="AQ78" s="113">
        <f t="shared" si="37"/>
        <v>27764.599999999977</v>
      </c>
      <c r="AR78" s="114">
        <f t="shared" si="322"/>
        <v>142291.20000000001</v>
      </c>
      <c r="AS78" s="115">
        <f t="shared" si="323"/>
        <v>170055.8</v>
      </c>
      <c r="AT78" s="100">
        <f t="shared" si="324"/>
        <v>0</v>
      </c>
      <c r="AU78" s="113">
        <f t="shared" si="41"/>
        <v>0</v>
      </c>
      <c r="AV78" s="116">
        <f t="shared" si="325"/>
        <v>49206.239999999998</v>
      </c>
      <c r="AW78" s="117">
        <f t="shared" si="326"/>
        <v>49206.239999999998</v>
      </c>
      <c r="AX78" s="100">
        <f t="shared" si="327"/>
        <v>0</v>
      </c>
      <c r="AY78" s="113">
        <f t="shared" si="45"/>
        <v>0</v>
      </c>
      <c r="AZ78" s="114">
        <f t="shared" si="328"/>
        <v>0</v>
      </c>
      <c r="BA78" s="100">
        <f t="shared" si="329"/>
        <v>0</v>
      </c>
      <c r="BB78" s="118">
        <f t="shared" ref="BB78:BD78" si="376">BH78+AY78+AU78</f>
        <v>0</v>
      </c>
      <c r="BC78" s="116">
        <f t="shared" si="376"/>
        <v>49206.239999999998</v>
      </c>
      <c r="BD78" s="119">
        <f t="shared" si="376"/>
        <v>49206.239999999998</v>
      </c>
      <c r="BE78" s="118">
        <f t="shared" si="49"/>
        <v>0</v>
      </c>
      <c r="BF78" s="116">
        <f t="shared" si="50"/>
        <v>49206.239999999998</v>
      </c>
      <c r="BG78" s="119">
        <f t="shared" si="51"/>
        <v>49206.239999999998</v>
      </c>
      <c r="BH78" s="114">
        <f t="shared" si="52"/>
        <v>0</v>
      </c>
      <c r="BI78" s="114">
        <f t="shared" si="331"/>
        <v>0</v>
      </c>
      <c r="BJ78" s="115">
        <f t="shared" si="332"/>
        <v>0</v>
      </c>
      <c r="BK78" s="125">
        <f t="shared" si="333"/>
        <v>0</v>
      </c>
      <c r="BL78" s="120">
        <f t="shared" si="56"/>
        <v>0</v>
      </c>
      <c r="BM78" s="121">
        <f t="shared" si="334"/>
        <v>260568.46</v>
      </c>
      <c r="BN78" s="119">
        <f t="shared" si="335"/>
        <v>260568.46</v>
      </c>
      <c r="BO78" s="125">
        <f t="shared" si="336"/>
        <v>234438.72</v>
      </c>
      <c r="BP78" s="140">
        <f t="shared" si="60"/>
        <v>0</v>
      </c>
      <c r="BQ78" s="123">
        <f t="shared" si="337"/>
        <v>0</v>
      </c>
      <c r="BR78" s="125">
        <f t="shared" si="338"/>
        <v>0</v>
      </c>
      <c r="BS78" s="122">
        <f t="shared" si="63"/>
        <v>0</v>
      </c>
      <c r="BT78" s="123">
        <f t="shared" ref="BT78:BU78" si="377">SUM(BI78,BM78,BQ78)</f>
        <v>260568.46</v>
      </c>
      <c r="BU78" s="124">
        <f t="shared" si="377"/>
        <v>260568.46</v>
      </c>
      <c r="BV78" s="125">
        <f t="shared" si="340"/>
        <v>0</v>
      </c>
      <c r="BW78" s="122">
        <f t="shared" si="66"/>
        <v>0</v>
      </c>
      <c r="BX78" s="123">
        <f t="shared" si="341"/>
        <v>0</v>
      </c>
      <c r="BY78" s="124">
        <f t="shared" si="342"/>
        <v>0</v>
      </c>
      <c r="BZ78" s="125">
        <f t="shared" si="343"/>
        <v>0</v>
      </c>
      <c r="CA78" s="140"/>
      <c r="CB78" s="123"/>
      <c r="CC78" s="148"/>
      <c r="CD78" s="123">
        <f t="shared" si="344"/>
        <v>0</v>
      </c>
      <c r="CF78" s="149"/>
    </row>
    <row r="79" spans="1:84" ht="14">
      <c r="A79" s="92">
        <f t="shared" si="304"/>
        <v>112014426</v>
      </c>
      <c r="B79" s="172">
        <f t="shared" si="362"/>
        <v>4</v>
      </c>
      <c r="C79" s="137" t="str">
        <f t="shared" si="363"/>
        <v>Lista</v>
      </c>
      <c r="D79" s="137">
        <f t="shared" si="364"/>
        <v>0.2</v>
      </c>
      <c r="E79" s="138">
        <f t="shared" si="365"/>
        <v>0</v>
      </c>
      <c r="F79" s="96">
        <f>VLOOKUP(M79,BASILECART2,2,FALSE)</f>
        <v>4</v>
      </c>
      <c r="G79" s="97" t="str">
        <f t="shared" si="305"/>
        <v>Lista</v>
      </c>
      <c r="H79" s="97">
        <f t="shared" si="306"/>
        <v>0.2</v>
      </c>
      <c r="I79" s="97">
        <f t="shared" si="307"/>
        <v>0</v>
      </c>
      <c r="J79" s="96">
        <f t="shared" si="308"/>
        <v>70</v>
      </c>
      <c r="K79" s="94" t="str">
        <f t="shared" si="309"/>
        <v>Lista</v>
      </c>
      <c r="L79" s="98">
        <f t="shared" si="310"/>
        <v>0.11</v>
      </c>
      <c r="M79" s="139" t="s">
        <v>153</v>
      </c>
      <c r="N79" s="100">
        <f t="shared" si="311"/>
        <v>0</v>
      </c>
      <c r="O79" s="140">
        <f t="shared" si="350"/>
        <v>0</v>
      </c>
      <c r="P79" s="102">
        <f t="shared" si="13"/>
        <v>0</v>
      </c>
      <c r="Q79" s="102">
        <f t="shared" si="312"/>
        <v>0</v>
      </c>
      <c r="R79" s="102">
        <f t="shared" si="313"/>
        <v>0</v>
      </c>
      <c r="S79" s="102">
        <f t="shared" si="16"/>
        <v>0</v>
      </c>
      <c r="T79" s="103" t="e">
        <f t="shared" si="17"/>
        <v>#DIV/0!</v>
      </c>
      <c r="U79" s="100">
        <f t="shared" si="314"/>
        <v>0</v>
      </c>
      <c r="V79" s="141">
        <f t="shared" si="351"/>
        <v>0</v>
      </c>
      <c r="W79" s="105">
        <f t="shared" si="19"/>
        <v>0</v>
      </c>
      <c r="X79" s="102">
        <f t="shared" si="315"/>
        <v>0</v>
      </c>
      <c r="Y79" s="106">
        <f t="shared" si="316"/>
        <v>0</v>
      </c>
      <c r="Z79" s="142">
        <f t="shared" si="292"/>
        <v>0</v>
      </c>
      <c r="AA79" s="143" t="str">
        <f t="shared" si="352"/>
        <v/>
      </c>
      <c r="AB79" s="100">
        <f t="shared" si="317"/>
        <v>0</v>
      </c>
      <c r="AC79" s="140">
        <f t="shared" si="353"/>
        <v>0</v>
      </c>
      <c r="AD79" s="102">
        <f t="shared" si="24"/>
        <v>0</v>
      </c>
      <c r="AE79" s="102">
        <f t="shared" si="318"/>
        <v>0</v>
      </c>
      <c r="AF79" s="102">
        <f t="shared" si="319"/>
        <v>0</v>
      </c>
      <c r="AG79" s="145">
        <f t="shared" si="295"/>
        <v>0</v>
      </c>
      <c r="AH79" s="158" t="str">
        <f t="shared" si="296"/>
        <v/>
      </c>
      <c r="AI79" s="147">
        <f t="shared" si="297"/>
        <v>0</v>
      </c>
      <c r="AJ79" s="111" t="str">
        <f t="shared" si="320"/>
        <v>0</v>
      </c>
      <c r="AK79" s="102">
        <f t="shared" si="31"/>
        <v>0</v>
      </c>
      <c r="AL79" s="102">
        <f t="shared" si="32"/>
        <v>0</v>
      </c>
      <c r="AM79" s="102">
        <f t="shared" si="33"/>
        <v>0</v>
      </c>
      <c r="AN79" s="102">
        <f t="shared" si="34"/>
        <v>0</v>
      </c>
      <c r="AO79" s="112" t="e">
        <f t="shared" si="35"/>
        <v>#DIV/0!</v>
      </c>
      <c r="AP79" s="100">
        <f t="shared" si="321"/>
        <v>0</v>
      </c>
      <c r="AQ79" s="113">
        <f t="shared" si="37"/>
        <v>0</v>
      </c>
      <c r="AR79" s="114">
        <f t="shared" si="322"/>
        <v>0</v>
      </c>
      <c r="AS79" s="115">
        <f t="shared" si="323"/>
        <v>0</v>
      </c>
      <c r="AT79" s="100">
        <f t="shared" si="324"/>
        <v>616554.57999999996</v>
      </c>
      <c r="AU79" s="113">
        <f t="shared" si="41"/>
        <v>0</v>
      </c>
      <c r="AV79" s="116">
        <f t="shared" si="325"/>
        <v>853722.26</v>
      </c>
      <c r="AW79" s="117">
        <f t="shared" si="326"/>
        <v>853722.26</v>
      </c>
      <c r="AX79" s="100">
        <f t="shared" si="327"/>
        <v>0</v>
      </c>
      <c r="AY79" s="113">
        <f t="shared" si="45"/>
        <v>0</v>
      </c>
      <c r="AZ79" s="114">
        <f t="shared" si="328"/>
        <v>1041746.72</v>
      </c>
      <c r="BA79" s="100">
        <f t="shared" si="329"/>
        <v>1041746.72</v>
      </c>
      <c r="BB79" s="118">
        <f t="shared" ref="BB79:BD79" si="378">BH79+AY79+AU79</f>
        <v>0</v>
      </c>
      <c r="BC79" s="116">
        <f t="shared" si="378"/>
        <v>2677673.7000000002</v>
      </c>
      <c r="BD79" s="119">
        <f t="shared" si="378"/>
        <v>2677673.7000000002</v>
      </c>
      <c r="BE79" s="118">
        <f t="shared" si="49"/>
        <v>0</v>
      </c>
      <c r="BF79" s="116">
        <f t="shared" si="50"/>
        <v>2677673.7000000002</v>
      </c>
      <c r="BG79" s="119">
        <f t="shared" si="51"/>
        <v>2677673.7000000002</v>
      </c>
      <c r="BH79" s="114">
        <f t="shared" si="52"/>
        <v>0</v>
      </c>
      <c r="BI79" s="114">
        <f t="shared" si="331"/>
        <v>782204.72</v>
      </c>
      <c r="BJ79" s="115">
        <f t="shared" si="332"/>
        <v>782204.72</v>
      </c>
      <c r="BK79" s="125">
        <f t="shared" si="333"/>
        <v>0</v>
      </c>
      <c r="BL79" s="120">
        <f t="shared" si="56"/>
        <v>0</v>
      </c>
      <c r="BM79" s="121">
        <f t="shared" si="334"/>
        <v>444075.45</v>
      </c>
      <c r="BN79" s="119">
        <f t="shared" si="335"/>
        <v>444075.45</v>
      </c>
      <c r="BO79" s="125">
        <f t="shared" si="336"/>
        <v>0</v>
      </c>
      <c r="BP79" s="140">
        <f t="shared" si="60"/>
        <v>0</v>
      </c>
      <c r="BQ79" s="123">
        <f t="shared" si="337"/>
        <v>1136209.3600000001</v>
      </c>
      <c r="BR79" s="125">
        <f t="shared" si="338"/>
        <v>1136209.3600000001</v>
      </c>
      <c r="BS79" s="122">
        <f t="shared" si="63"/>
        <v>0</v>
      </c>
      <c r="BT79" s="123">
        <f t="shared" ref="BT79:BU79" si="379">SUM(BI79,BM79,BQ79)</f>
        <v>2362489.5300000003</v>
      </c>
      <c r="BU79" s="124">
        <f t="shared" si="379"/>
        <v>2362489.5300000003</v>
      </c>
      <c r="BV79" s="125">
        <f t="shared" si="340"/>
        <v>0</v>
      </c>
      <c r="BW79" s="122">
        <f t="shared" si="66"/>
        <v>0</v>
      </c>
      <c r="BX79" s="123">
        <f t="shared" si="341"/>
        <v>1315601.08</v>
      </c>
      <c r="BY79" s="124">
        <f t="shared" si="342"/>
        <v>1315601.08</v>
      </c>
      <c r="BZ79" s="125">
        <f t="shared" si="343"/>
        <v>0</v>
      </c>
      <c r="CA79" s="140"/>
      <c r="CB79" s="123"/>
      <c r="CC79" s="148"/>
      <c r="CD79" s="123">
        <f t="shared" si="344"/>
        <v>0</v>
      </c>
      <c r="CF79" s="149"/>
    </row>
    <row r="80" spans="1:84" ht="13">
      <c r="A80" s="92">
        <f t="shared" si="304"/>
        <v>112012948</v>
      </c>
      <c r="B80" s="172">
        <f t="shared" si="362"/>
        <v>4</v>
      </c>
      <c r="C80" s="137" t="str">
        <f t="shared" si="363"/>
        <v>Lista</v>
      </c>
      <c r="D80" s="137">
        <f t="shared" si="364"/>
        <v>0.2</v>
      </c>
      <c r="E80" s="138">
        <f t="shared" si="365"/>
        <v>0</v>
      </c>
      <c r="F80" s="96">
        <f>VLOOKUP(M80,BASILECART2,2,FALSE)</f>
        <v>4</v>
      </c>
      <c r="G80" s="97" t="str">
        <f t="shared" si="305"/>
        <v>Lista</v>
      </c>
      <c r="H80" s="97">
        <f t="shared" si="306"/>
        <v>0.2</v>
      </c>
      <c r="I80" s="97">
        <f t="shared" si="307"/>
        <v>0</v>
      </c>
      <c r="J80" s="96">
        <f t="shared" si="308"/>
        <v>70</v>
      </c>
      <c r="K80" s="94" t="str">
        <f t="shared" si="309"/>
        <v>Lista</v>
      </c>
      <c r="L80" s="98">
        <f t="shared" si="310"/>
        <v>0.11</v>
      </c>
      <c r="M80" s="139" t="s">
        <v>154</v>
      </c>
      <c r="N80" s="100">
        <f t="shared" si="311"/>
        <v>669856.56000000006</v>
      </c>
      <c r="O80" s="140">
        <f t="shared" si="350"/>
        <v>1126062.3701880001</v>
      </c>
      <c r="P80" s="102">
        <f t="shared" si="13"/>
        <v>0</v>
      </c>
      <c r="Q80" s="102">
        <f t="shared" si="312"/>
        <v>936094.56</v>
      </c>
      <c r="R80" s="102">
        <f t="shared" si="313"/>
        <v>936094.56</v>
      </c>
      <c r="S80" s="102">
        <f t="shared" si="16"/>
        <v>-189967.81018800009</v>
      </c>
      <c r="T80" s="103">
        <f t="shared" si="17"/>
        <v>0.83129903350177281</v>
      </c>
      <c r="U80" s="100">
        <f t="shared" si="314"/>
        <v>622719.23</v>
      </c>
      <c r="V80" s="141">
        <f t="shared" si="351"/>
        <v>1073879.312135</v>
      </c>
      <c r="W80" s="105">
        <f t="shared" si="19"/>
        <v>0</v>
      </c>
      <c r="X80" s="102">
        <f t="shared" si="315"/>
        <v>104529.36</v>
      </c>
      <c r="Y80" s="106">
        <f t="shared" si="316"/>
        <v>104529.36</v>
      </c>
      <c r="Z80" s="142">
        <f t="shared" si="292"/>
        <v>-969349.95213500003</v>
      </c>
      <c r="AA80" s="143">
        <f t="shared" si="352"/>
        <v>9.7338088944262435E-2</v>
      </c>
      <c r="AB80" s="100">
        <f t="shared" si="317"/>
        <v>177425.2</v>
      </c>
      <c r="AC80" s="140">
        <f t="shared" si="353"/>
        <v>291574.36379799998</v>
      </c>
      <c r="AD80" s="102">
        <f t="shared" si="24"/>
        <v>0</v>
      </c>
      <c r="AE80" s="102">
        <f t="shared" si="318"/>
        <v>1504451.97</v>
      </c>
      <c r="AF80" s="102">
        <f t="shared" si="319"/>
        <v>1504451.97</v>
      </c>
      <c r="AG80" s="145">
        <f t="shared" si="295"/>
        <v>1212877.6062020001</v>
      </c>
      <c r="AH80" s="158">
        <f t="shared" si="296"/>
        <v>5.1597539317354748</v>
      </c>
      <c r="AI80" s="147">
        <f t="shared" si="297"/>
        <v>2491516.0461210003</v>
      </c>
      <c r="AJ80" s="111">
        <f t="shared" si="320"/>
        <v>2291039.44</v>
      </c>
      <c r="AK80" s="102">
        <f t="shared" si="31"/>
        <v>2545075.89</v>
      </c>
      <c r="AL80" s="102">
        <f t="shared" si="32"/>
        <v>0</v>
      </c>
      <c r="AM80" s="102">
        <f t="shared" si="33"/>
        <v>2545075.89</v>
      </c>
      <c r="AN80" s="102">
        <f t="shared" si="34"/>
        <v>254036.45000000019</v>
      </c>
      <c r="AO80" s="112">
        <f t="shared" si="35"/>
        <v>1.1108826175423676</v>
      </c>
      <c r="AP80" s="100">
        <f t="shared" si="321"/>
        <v>984529.12</v>
      </c>
      <c r="AQ80" s="113">
        <f t="shared" si="37"/>
        <v>0</v>
      </c>
      <c r="AR80" s="114">
        <f t="shared" si="322"/>
        <v>84829.2</v>
      </c>
      <c r="AS80" s="115">
        <f t="shared" si="323"/>
        <v>84829.2</v>
      </c>
      <c r="AT80" s="100">
        <f t="shared" si="324"/>
        <v>691436.07</v>
      </c>
      <c r="AU80" s="113">
        <f t="shared" si="41"/>
        <v>0</v>
      </c>
      <c r="AV80" s="116">
        <f t="shared" si="325"/>
        <v>1093290.08</v>
      </c>
      <c r="AW80" s="117">
        <f t="shared" si="326"/>
        <v>1093290.08</v>
      </c>
      <c r="AX80" s="100">
        <f t="shared" si="327"/>
        <v>711252.72</v>
      </c>
      <c r="AY80" s="113">
        <f t="shared" si="45"/>
        <v>0</v>
      </c>
      <c r="AZ80" s="114">
        <f t="shared" si="328"/>
        <v>109323.04</v>
      </c>
      <c r="BA80" s="100">
        <f t="shared" si="329"/>
        <v>109323.04</v>
      </c>
      <c r="BB80" s="118">
        <f t="shared" ref="BB80:BD80" si="380">BH80+AY80+AU80</f>
        <v>0</v>
      </c>
      <c r="BC80" s="116">
        <f t="shared" si="380"/>
        <v>2026669.6</v>
      </c>
      <c r="BD80" s="119">
        <f t="shared" si="380"/>
        <v>2026669.6</v>
      </c>
      <c r="BE80" s="118">
        <f t="shared" si="49"/>
        <v>0</v>
      </c>
      <c r="BF80" s="116">
        <f t="shared" si="50"/>
        <v>4571745.49</v>
      </c>
      <c r="BG80" s="119">
        <f t="shared" si="51"/>
        <v>4571745.49</v>
      </c>
      <c r="BH80" s="114">
        <f t="shared" si="52"/>
        <v>0</v>
      </c>
      <c r="BI80" s="114">
        <f t="shared" si="331"/>
        <v>824056.48</v>
      </c>
      <c r="BJ80" s="115">
        <f t="shared" si="332"/>
        <v>824056.48</v>
      </c>
      <c r="BK80" s="125">
        <f t="shared" si="333"/>
        <v>356228.56</v>
      </c>
      <c r="BL80" s="120">
        <f t="shared" si="56"/>
        <v>0</v>
      </c>
      <c r="BM80" s="121">
        <f t="shared" si="334"/>
        <v>371999.41</v>
      </c>
      <c r="BN80" s="119">
        <f t="shared" si="335"/>
        <v>371999.41</v>
      </c>
      <c r="BO80" s="125">
        <f t="shared" si="336"/>
        <v>376626.15</v>
      </c>
      <c r="BP80" s="140">
        <f t="shared" si="60"/>
        <v>0</v>
      </c>
      <c r="BQ80" s="123">
        <f t="shared" si="337"/>
        <v>502795.82</v>
      </c>
      <c r="BR80" s="125">
        <f t="shared" si="338"/>
        <v>502795.82</v>
      </c>
      <c r="BS80" s="122">
        <f t="shared" si="63"/>
        <v>0</v>
      </c>
      <c r="BT80" s="123">
        <f t="shared" ref="BT80:BU80" si="381">SUM(BI80,BM80,BQ80)</f>
        <v>1698851.71</v>
      </c>
      <c r="BU80" s="124">
        <f t="shared" si="381"/>
        <v>1698851.71</v>
      </c>
      <c r="BV80" s="125">
        <f t="shared" si="340"/>
        <v>598794.56000000006</v>
      </c>
      <c r="BW80" s="122">
        <f t="shared" si="66"/>
        <v>0</v>
      </c>
      <c r="BX80" s="123">
        <f t="shared" si="341"/>
        <v>425132.41</v>
      </c>
      <c r="BY80" s="124">
        <f t="shared" si="342"/>
        <v>425132.41</v>
      </c>
      <c r="BZ80" s="125">
        <f t="shared" si="343"/>
        <v>766235.6</v>
      </c>
      <c r="CA80" s="140"/>
      <c r="CB80" s="123"/>
      <c r="CC80" s="148"/>
      <c r="CD80" s="123">
        <f t="shared" si="344"/>
        <v>926009.28</v>
      </c>
      <c r="CF80" s="149"/>
    </row>
    <row r="81" spans="1:84" ht="14">
      <c r="A81" s="92">
        <f t="shared" si="304"/>
        <v>112014720</v>
      </c>
      <c r="B81" s="172">
        <f t="shared" si="362"/>
        <v>4</v>
      </c>
      <c r="C81" s="137" t="str">
        <f t="shared" si="363"/>
        <v>Lista</v>
      </c>
      <c r="D81" s="137">
        <f t="shared" si="364"/>
        <v>0.2</v>
      </c>
      <c r="E81" s="138">
        <f t="shared" si="365"/>
        <v>0</v>
      </c>
      <c r="F81" s="193">
        <f t="shared" ref="F81:F112" si="382">IFERROR(VLOOKUP(M81,BASILECART2,2,FALSE),"")</f>
        <v>4</v>
      </c>
      <c r="G81" s="97" t="str">
        <f t="shared" si="305"/>
        <v>Lista</v>
      </c>
      <c r="H81" s="97">
        <f t="shared" si="306"/>
        <v>0.2</v>
      </c>
      <c r="I81" s="97">
        <f t="shared" si="307"/>
        <v>0</v>
      </c>
      <c r="J81" s="96">
        <f t="shared" si="308"/>
        <v>70</v>
      </c>
      <c r="K81" s="94" t="str">
        <f t="shared" si="309"/>
        <v>Lista</v>
      </c>
      <c r="L81" s="98">
        <f t="shared" si="310"/>
        <v>0.11</v>
      </c>
      <c r="M81" s="189" t="s">
        <v>155</v>
      </c>
      <c r="N81" s="100" t="str">
        <f t="shared" si="311"/>
        <v/>
      </c>
      <c r="O81" s="140"/>
      <c r="P81" s="102" t="e">
        <f t="shared" si="13"/>
        <v>#VALUE!</v>
      </c>
      <c r="Q81" s="102" t="str">
        <f t="shared" si="312"/>
        <v/>
      </c>
      <c r="R81" s="102">
        <f t="shared" si="313"/>
        <v>0</v>
      </c>
      <c r="S81" s="102">
        <f t="shared" si="16"/>
        <v>0</v>
      </c>
      <c r="T81" s="103" t="e">
        <f t="shared" si="17"/>
        <v>#DIV/0!</v>
      </c>
      <c r="U81" s="100" t="str">
        <f t="shared" si="314"/>
        <v/>
      </c>
      <c r="V81" s="141"/>
      <c r="W81" s="105" t="e">
        <f t="shared" si="19"/>
        <v>#VALUE!</v>
      </c>
      <c r="X81" s="102" t="str">
        <f t="shared" si="315"/>
        <v/>
      </c>
      <c r="Y81" s="106">
        <f t="shared" si="316"/>
        <v>0</v>
      </c>
      <c r="Z81" s="142"/>
      <c r="AA81" s="143"/>
      <c r="AB81" s="100" t="str">
        <f t="shared" si="317"/>
        <v/>
      </c>
      <c r="AC81" s="140"/>
      <c r="AD81" s="102" t="e">
        <f t="shared" si="24"/>
        <v>#VALUE!</v>
      </c>
      <c r="AE81" s="102" t="str">
        <f t="shared" si="318"/>
        <v/>
      </c>
      <c r="AF81" s="102">
        <f t="shared" si="319"/>
        <v>0</v>
      </c>
      <c r="AG81" s="145"/>
      <c r="AH81" s="158"/>
      <c r="AI81" s="147"/>
      <c r="AJ81" s="111" t="str">
        <f t="shared" si="320"/>
        <v>0</v>
      </c>
      <c r="AK81" s="102">
        <f t="shared" si="31"/>
        <v>0</v>
      </c>
      <c r="AL81" s="102" t="e">
        <f t="shared" si="32"/>
        <v>#VALUE!</v>
      </c>
      <c r="AM81" s="102">
        <f t="shared" si="33"/>
        <v>0</v>
      </c>
      <c r="AN81" s="102">
        <f t="shared" si="34"/>
        <v>0</v>
      </c>
      <c r="AO81" s="112" t="e">
        <f t="shared" si="35"/>
        <v>#DIV/0!</v>
      </c>
      <c r="AP81" s="100" t="str">
        <f t="shared" si="321"/>
        <v/>
      </c>
      <c r="AQ81" s="113" t="e">
        <f t="shared" si="37"/>
        <v>#VALUE!</v>
      </c>
      <c r="AR81" s="114" t="str">
        <f t="shared" si="322"/>
        <v/>
      </c>
      <c r="AS81" s="115">
        <f t="shared" si="323"/>
        <v>0</v>
      </c>
      <c r="AT81" s="100" t="str">
        <f t="shared" si="324"/>
        <v/>
      </c>
      <c r="AU81" s="113" t="e">
        <f t="shared" si="41"/>
        <v>#VALUE!</v>
      </c>
      <c r="AV81" s="116" t="str">
        <f t="shared" si="325"/>
        <v/>
      </c>
      <c r="AW81" s="117">
        <f t="shared" si="326"/>
        <v>0</v>
      </c>
      <c r="AX81" s="100" t="str">
        <f t="shared" si="327"/>
        <v/>
      </c>
      <c r="AY81" s="113" t="e">
        <f t="shared" si="45"/>
        <v>#VALUE!</v>
      </c>
      <c r="AZ81" s="114" t="str">
        <f t="shared" si="328"/>
        <v/>
      </c>
      <c r="BA81" s="100">
        <f t="shared" si="329"/>
        <v>0</v>
      </c>
      <c r="BB81" s="118" t="e">
        <f t="shared" ref="BB81:BD81" si="383">BH81+AY81+AU81</f>
        <v>#VALUE!</v>
      </c>
      <c r="BC81" s="116" t="e">
        <f t="shared" si="383"/>
        <v>#VALUE!</v>
      </c>
      <c r="BD81" s="119">
        <f t="shared" si="383"/>
        <v>306140.2</v>
      </c>
      <c r="BE81" s="118" t="e">
        <f t="shared" si="49"/>
        <v>#VALUE!</v>
      </c>
      <c r="BF81" s="116" t="e">
        <f t="shared" si="50"/>
        <v>#VALUE!</v>
      </c>
      <c r="BG81" s="119">
        <f t="shared" si="51"/>
        <v>306140.2</v>
      </c>
      <c r="BH81" s="114" t="e">
        <f t="shared" si="52"/>
        <v>#VALUE!</v>
      </c>
      <c r="BI81" s="114" t="str">
        <f t="shared" si="331"/>
        <v/>
      </c>
      <c r="BJ81" s="115">
        <f t="shared" si="332"/>
        <v>306140.2</v>
      </c>
      <c r="BK81" s="125" t="str">
        <f t="shared" si="333"/>
        <v/>
      </c>
      <c r="BL81" s="120" t="e">
        <f t="shared" si="56"/>
        <v>#VALUE!</v>
      </c>
      <c r="BM81" s="121" t="str">
        <f t="shared" si="334"/>
        <v/>
      </c>
      <c r="BN81" s="119">
        <f t="shared" si="335"/>
        <v>0</v>
      </c>
      <c r="BO81" s="125" t="str">
        <f t="shared" si="336"/>
        <v/>
      </c>
      <c r="BP81" s="140" t="e">
        <f t="shared" si="60"/>
        <v>#VALUE!</v>
      </c>
      <c r="BQ81" s="123" t="str">
        <f t="shared" si="337"/>
        <v/>
      </c>
      <c r="BR81" s="125">
        <f t="shared" si="338"/>
        <v>0</v>
      </c>
      <c r="BS81" s="122" t="e">
        <f t="shared" si="63"/>
        <v>#VALUE!</v>
      </c>
      <c r="BT81" s="123">
        <f t="shared" ref="BT81:BU81" si="384">SUM(BI81,BM81,BQ81)</f>
        <v>0</v>
      </c>
      <c r="BU81" s="124">
        <f t="shared" si="384"/>
        <v>306140.2</v>
      </c>
      <c r="BV81" s="125" t="str">
        <f t="shared" si="340"/>
        <v/>
      </c>
      <c r="BW81" s="122" t="e">
        <f t="shared" si="66"/>
        <v>#VALUE!</v>
      </c>
      <c r="BX81" s="123" t="str">
        <f t="shared" si="341"/>
        <v/>
      </c>
      <c r="BY81" s="124">
        <f t="shared" si="342"/>
        <v>0</v>
      </c>
      <c r="BZ81" s="125" t="str">
        <f t="shared" si="343"/>
        <v/>
      </c>
      <c r="CA81" s="140"/>
      <c r="CB81" s="123"/>
      <c r="CC81" s="148"/>
      <c r="CD81" s="123" t="str">
        <f t="shared" si="344"/>
        <v/>
      </c>
      <c r="CF81" s="149"/>
    </row>
    <row r="82" spans="1:84" ht="14">
      <c r="A82" s="92">
        <f t="shared" si="304"/>
        <v>112013939</v>
      </c>
      <c r="B82" s="172" t="str">
        <f t="shared" si="362"/>
        <v/>
      </c>
      <c r="C82" s="137" t="str">
        <f t="shared" si="363"/>
        <v/>
      </c>
      <c r="D82" s="137" t="str">
        <f t="shared" si="364"/>
        <v/>
      </c>
      <c r="E82" s="138" t="str">
        <f t="shared" si="365"/>
        <v/>
      </c>
      <c r="F82" s="193">
        <f t="shared" si="382"/>
        <v>4</v>
      </c>
      <c r="G82" s="97" t="str">
        <f t="shared" si="305"/>
        <v>Lista</v>
      </c>
      <c r="H82" s="97">
        <f t="shared" si="306"/>
        <v>0.2</v>
      </c>
      <c r="I82" s="97">
        <f t="shared" si="307"/>
        <v>0</v>
      </c>
      <c r="J82" s="96">
        <f t="shared" si="308"/>
        <v>70</v>
      </c>
      <c r="K82" s="94" t="str">
        <f t="shared" si="309"/>
        <v>Lista</v>
      </c>
      <c r="L82" s="98">
        <f t="shared" si="310"/>
        <v>0.11</v>
      </c>
      <c r="M82" s="254" t="s">
        <v>156</v>
      </c>
      <c r="N82" s="100" t="str">
        <f t="shared" si="311"/>
        <v/>
      </c>
      <c r="O82" s="140" t="e">
        <f t="shared" ref="O82:O97" si="385">(N82*1.601)*1.05</f>
        <v>#VALUE!</v>
      </c>
      <c r="P82" s="102">
        <f t="shared" si="13"/>
        <v>0</v>
      </c>
      <c r="Q82" s="102">
        <f t="shared" si="312"/>
        <v>0</v>
      </c>
      <c r="R82" s="102">
        <f t="shared" si="313"/>
        <v>0</v>
      </c>
      <c r="S82" s="102" t="e">
        <f t="shared" si="16"/>
        <v>#VALUE!</v>
      </c>
      <c r="T82" s="103" t="e">
        <f t="shared" si="17"/>
        <v>#VALUE!</v>
      </c>
      <c r="U82" s="100" t="str">
        <f t="shared" si="314"/>
        <v/>
      </c>
      <c r="V82" s="141" t="e">
        <f t="shared" ref="V82:V97" si="386">U82*1.7245</f>
        <v>#VALUE!</v>
      </c>
      <c r="W82" s="105">
        <f t="shared" si="19"/>
        <v>0</v>
      </c>
      <c r="X82" s="102">
        <f t="shared" si="315"/>
        <v>0</v>
      </c>
      <c r="Y82" s="106">
        <f t="shared" si="316"/>
        <v>0</v>
      </c>
      <c r="Z82" s="142" t="e">
        <f t="shared" ref="Z82:Z126" si="387">Y82-V82</f>
        <v>#VALUE!</v>
      </c>
      <c r="AA82" s="143" t="str">
        <f t="shared" ref="AA82:AA113" si="388">IFERROR(Y82/V82,"")</f>
        <v/>
      </c>
      <c r="AB82" s="100" t="str">
        <f t="shared" si="317"/>
        <v/>
      </c>
      <c r="AC82" s="140" t="e">
        <f t="shared" ref="AC82:AC97" si="389">(AB82*1.5955)*1.03</f>
        <v>#VALUE!</v>
      </c>
      <c r="AD82" s="102">
        <f t="shared" si="24"/>
        <v>0</v>
      </c>
      <c r="AE82" s="102">
        <f t="shared" si="318"/>
        <v>0</v>
      </c>
      <c r="AF82" s="102">
        <f t="shared" si="319"/>
        <v>0</v>
      </c>
      <c r="AG82" s="145" t="e">
        <f t="shared" ref="AG82:AG126" si="390">AF82-AC82</f>
        <v>#VALUE!</v>
      </c>
      <c r="AH82" s="158" t="str">
        <f t="shared" ref="AH82:AH133" si="391">IFERROR(AF82/AC82,"")</f>
        <v/>
      </c>
      <c r="AI82" s="147" t="e">
        <f t="shared" ref="AI82:AI97" si="392">SUM(O82,V82,AC82)</f>
        <v>#VALUE!</v>
      </c>
      <c r="AJ82" s="111" t="str">
        <f t="shared" si="320"/>
        <v>0</v>
      </c>
      <c r="AK82" s="102">
        <f t="shared" si="31"/>
        <v>0</v>
      </c>
      <c r="AL82" s="102">
        <f t="shared" si="32"/>
        <v>0</v>
      </c>
      <c r="AM82" s="102">
        <f t="shared" si="33"/>
        <v>0</v>
      </c>
      <c r="AN82" s="102">
        <f t="shared" si="34"/>
        <v>0</v>
      </c>
      <c r="AO82" s="112" t="e">
        <f t="shared" si="35"/>
        <v>#DIV/0!</v>
      </c>
      <c r="AP82" s="100" t="str">
        <f t="shared" si="321"/>
        <v/>
      </c>
      <c r="AQ82" s="113">
        <f t="shared" si="37"/>
        <v>0</v>
      </c>
      <c r="AR82" s="114">
        <f t="shared" si="322"/>
        <v>0</v>
      </c>
      <c r="AS82" s="115">
        <f t="shared" si="323"/>
        <v>0</v>
      </c>
      <c r="AT82" s="100" t="str">
        <f t="shared" si="324"/>
        <v/>
      </c>
      <c r="AU82" s="113">
        <f t="shared" si="41"/>
        <v>0</v>
      </c>
      <c r="AV82" s="116">
        <f t="shared" si="325"/>
        <v>0</v>
      </c>
      <c r="AW82" s="117">
        <f t="shared" si="326"/>
        <v>0</v>
      </c>
      <c r="AX82" s="100" t="str">
        <f t="shared" si="327"/>
        <v/>
      </c>
      <c r="AY82" s="113">
        <f t="shared" si="45"/>
        <v>0</v>
      </c>
      <c r="AZ82" s="114">
        <f t="shared" si="328"/>
        <v>0</v>
      </c>
      <c r="BA82" s="100">
        <f t="shared" si="329"/>
        <v>0</v>
      </c>
      <c r="BB82" s="118">
        <f t="shared" ref="BB82:BD82" si="393">BH82+AY82+AU82</f>
        <v>0</v>
      </c>
      <c r="BC82" s="116">
        <f t="shared" si="393"/>
        <v>0</v>
      </c>
      <c r="BD82" s="119">
        <f t="shared" si="393"/>
        <v>0</v>
      </c>
      <c r="BE82" s="118">
        <f t="shared" si="49"/>
        <v>0</v>
      </c>
      <c r="BF82" s="116">
        <f t="shared" si="50"/>
        <v>0</v>
      </c>
      <c r="BG82" s="119">
        <f t="shared" si="51"/>
        <v>0</v>
      </c>
      <c r="BH82" s="114">
        <f t="shared" si="52"/>
        <v>0</v>
      </c>
      <c r="BI82" s="114">
        <f t="shared" si="331"/>
        <v>0</v>
      </c>
      <c r="BJ82" s="115">
        <f t="shared" si="332"/>
        <v>0</v>
      </c>
      <c r="BK82" s="125" t="str">
        <f t="shared" si="333"/>
        <v/>
      </c>
      <c r="BL82" s="120">
        <f t="shared" si="56"/>
        <v>0</v>
      </c>
      <c r="BM82" s="121">
        <f t="shared" si="334"/>
        <v>0</v>
      </c>
      <c r="BN82" s="119">
        <f t="shared" si="335"/>
        <v>0</v>
      </c>
      <c r="BO82" s="125" t="str">
        <f t="shared" si="336"/>
        <v/>
      </c>
      <c r="BP82" s="140">
        <f t="shared" si="60"/>
        <v>0</v>
      </c>
      <c r="BQ82" s="123">
        <f t="shared" si="337"/>
        <v>0</v>
      </c>
      <c r="BR82" s="125">
        <f t="shared" si="338"/>
        <v>0</v>
      </c>
      <c r="BS82" s="122">
        <f t="shared" si="63"/>
        <v>0</v>
      </c>
      <c r="BT82" s="123">
        <f t="shared" ref="BT82:BU82" si="394">SUM(BI82,BM82,BQ82)</f>
        <v>0</v>
      </c>
      <c r="BU82" s="124">
        <f t="shared" si="394"/>
        <v>0</v>
      </c>
      <c r="BV82" s="125" t="str">
        <f t="shared" si="340"/>
        <v/>
      </c>
      <c r="BW82" s="122">
        <f t="shared" si="66"/>
        <v>0</v>
      </c>
      <c r="BX82" s="123">
        <f t="shared" si="341"/>
        <v>487273.75</v>
      </c>
      <c r="BY82" s="124">
        <f t="shared" si="342"/>
        <v>487273.75</v>
      </c>
      <c r="BZ82" s="125" t="str">
        <f t="shared" si="343"/>
        <v/>
      </c>
      <c r="CA82" s="140"/>
      <c r="CB82" s="123"/>
      <c r="CC82" s="148"/>
      <c r="CD82" s="123" t="str">
        <f t="shared" si="344"/>
        <v/>
      </c>
      <c r="CF82" s="149"/>
    </row>
    <row r="83" spans="1:84" ht="14">
      <c r="A83" s="92">
        <f t="shared" si="304"/>
        <v>112014668</v>
      </c>
      <c r="B83" s="172">
        <f t="shared" si="362"/>
        <v>4</v>
      </c>
      <c r="C83" s="137" t="str">
        <f t="shared" si="363"/>
        <v>Lista</v>
      </c>
      <c r="D83" s="137">
        <f t="shared" si="364"/>
        <v>0.2</v>
      </c>
      <c r="E83" s="138">
        <f t="shared" si="365"/>
        <v>0</v>
      </c>
      <c r="F83" s="193">
        <f t="shared" si="382"/>
        <v>4</v>
      </c>
      <c r="G83" s="97" t="str">
        <f t="shared" si="305"/>
        <v>Lista</v>
      </c>
      <c r="H83" s="97">
        <f t="shared" si="306"/>
        <v>0.2</v>
      </c>
      <c r="I83" s="97">
        <f t="shared" si="307"/>
        <v>0</v>
      </c>
      <c r="J83" s="96">
        <f t="shared" si="308"/>
        <v>70</v>
      </c>
      <c r="K83" s="94" t="str">
        <f t="shared" si="309"/>
        <v>Lista</v>
      </c>
      <c r="L83" s="98">
        <f t="shared" si="310"/>
        <v>0.11</v>
      </c>
      <c r="M83" s="139" t="s">
        <v>157</v>
      </c>
      <c r="N83" s="100" t="str">
        <f t="shared" si="311"/>
        <v/>
      </c>
      <c r="O83" s="140" t="e">
        <f t="shared" si="385"/>
        <v>#VALUE!</v>
      </c>
      <c r="P83" s="102">
        <f t="shared" si="13"/>
        <v>0</v>
      </c>
      <c r="Q83" s="102">
        <f t="shared" si="312"/>
        <v>0</v>
      </c>
      <c r="R83" s="102">
        <f t="shared" si="313"/>
        <v>0</v>
      </c>
      <c r="S83" s="102" t="e">
        <f t="shared" si="16"/>
        <v>#VALUE!</v>
      </c>
      <c r="T83" s="103" t="e">
        <f t="shared" si="17"/>
        <v>#VALUE!</v>
      </c>
      <c r="U83" s="100" t="str">
        <f t="shared" si="314"/>
        <v/>
      </c>
      <c r="V83" s="141" t="e">
        <f t="shared" si="386"/>
        <v>#VALUE!</v>
      </c>
      <c r="W83" s="105">
        <f t="shared" si="19"/>
        <v>0</v>
      </c>
      <c r="X83" s="102">
        <f t="shared" si="315"/>
        <v>0</v>
      </c>
      <c r="Y83" s="106">
        <f t="shared" si="316"/>
        <v>0</v>
      </c>
      <c r="Z83" s="142" t="e">
        <f t="shared" si="387"/>
        <v>#VALUE!</v>
      </c>
      <c r="AA83" s="143" t="str">
        <f t="shared" si="388"/>
        <v/>
      </c>
      <c r="AB83" s="100" t="str">
        <f t="shared" si="317"/>
        <v/>
      </c>
      <c r="AC83" s="140" t="e">
        <f t="shared" si="389"/>
        <v>#VALUE!</v>
      </c>
      <c r="AD83" s="102">
        <f t="shared" si="24"/>
        <v>0</v>
      </c>
      <c r="AE83" s="102">
        <f t="shared" si="318"/>
        <v>0</v>
      </c>
      <c r="AF83" s="102">
        <f t="shared" si="319"/>
        <v>0</v>
      </c>
      <c r="AG83" s="145" t="e">
        <f t="shared" si="390"/>
        <v>#VALUE!</v>
      </c>
      <c r="AH83" s="158" t="str">
        <f t="shared" si="391"/>
        <v/>
      </c>
      <c r="AI83" s="147" t="e">
        <f t="shared" si="392"/>
        <v>#VALUE!</v>
      </c>
      <c r="AJ83" s="111" t="str">
        <f t="shared" si="320"/>
        <v>0</v>
      </c>
      <c r="AK83" s="102">
        <f t="shared" si="31"/>
        <v>0</v>
      </c>
      <c r="AL83" s="102">
        <f t="shared" si="32"/>
        <v>0</v>
      </c>
      <c r="AM83" s="102">
        <f t="shared" si="33"/>
        <v>0</v>
      </c>
      <c r="AN83" s="102">
        <f t="shared" si="34"/>
        <v>0</v>
      </c>
      <c r="AO83" s="112" t="e">
        <f t="shared" si="35"/>
        <v>#DIV/0!</v>
      </c>
      <c r="AP83" s="100" t="str">
        <f t="shared" si="321"/>
        <v/>
      </c>
      <c r="AQ83" s="113">
        <f t="shared" si="37"/>
        <v>0</v>
      </c>
      <c r="AR83" s="114">
        <f t="shared" si="322"/>
        <v>0</v>
      </c>
      <c r="AS83" s="115">
        <f t="shared" si="323"/>
        <v>0</v>
      </c>
      <c r="AT83" s="100" t="str">
        <f t="shared" si="324"/>
        <v/>
      </c>
      <c r="AU83" s="113">
        <f t="shared" si="41"/>
        <v>45938</v>
      </c>
      <c r="AV83" s="116">
        <f t="shared" si="325"/>
        <v>0</v>
      </c>
      <c r="AW83" s="117">
        <f t="shared" si="326"/>
        <v>45938</v>
      </c>
      <c r="AX83" s="100" t="str">
        <f t="shared" si="327"/>
        <v/>
      </c>
      <c r="AY83" s="113">
        <f t="shared" si="45"/>
        <v>33265.230000000003</v>
      </c>
      <c r="AZ83" s="114">
        <f t="shared" si="328"/>
        <v>0</v>
      </c>
      <c r="BA83" s="100">
        <f t="shared" si="329"/>
        <v>33265.230000000003</v>
      </c>
      <c r="BB83" s="118">
        <f t="shared" ref="BB83:BD83" si="395">BH83+AY83+AU83</f>
        <v>170565.24</v>
      </c>
      <c r="BC83" s="116">
        <f t="shared" si="395"/>
        <v>114725.95</v>
      </c>
      <c r="BD83" s="119">
        <f t="shared" si="395"/>
        <v>285291.19</v>
      </c>
      <c r="BE83" s="118">
        <f t="shared" si="49"/>
        <v>170565.24</v>
      </c>
      <c r="BF83" s="116">
        <f t="shared" si="50"/>
        <v>114725.95</v>
      </c>
      <c r="BG83" s="119">
        <f t="shared" si="51"/>
        <v>285291.19</v>
      </c>
      <c r="BH83" s="114">
        <f t="shared" si="52"/>
        <v>91362.01</v>
      </c>
      <c r="BI83" s="114">
        <f t="shared" si="331"/>
        <v>114725.95</v>
      </c>
      <c r="BJ83" s="115">
        <f t="shared" si="332"/>
        <v>206087.96</v>
      </c>
      <c r="BK83" s="125" t="str">
        <f t="shared" si="333"/>
        <v/>
      </c>
      <c r="BL83" s="120">
        <f t="shared" si="56"/>
        <v>0</v>
      </c>
      <c r="BM83" s="121">
        <f t="shared" si="334"/>
        <v>0</v>
      </c>
      <c r="BN83" s="119">
        <f t="shared" si="335"/>
        <v>0</v>
      </c>
      <c r="BO83" s="125" t="str">
        <f t="shared" si="336"/>
        <v/>
      </c>
      <c r="BP83" s="140">
        <f t="shared" si="60"/>
        <v>0</v>
      </c>
      <c r="BQ83" s="123">
        <f t="shared" si="337"/>
        <v>0</v>
      </c>
      <c r="BR83" s="125">
        <f t="shared" si="338"/>
        <v>0</v>
      </c>
      <c r="BS83" s="122">
        <f t="shared" si="63"/>
        <v>91362.01</v>
      </c>
      <c r="BT83" s="123">
        <f t="shared" ref="BT83:BU83" si="396">SUM(BI83,BM83,BQ83)</f>
        <v>114725.95</v>
      </c>
      <c r="BU83" s="124">
        <f t="shared" si="396"/>
        <v>206087.96</v>
      </c>
      <c r="BV83" s="125" t="str">
        <f t="shared" si="340"/>
        <v/>
      </c>
      <c r="BW83" s="122">
        <f t="shared" si="66"/>
        <v>0</v>
      </c>
      <c r="BX83" s="123">
        <f t="shared" si="341"/>
        <v>0</v>
      </c>
      <c r="BY83" s="124">
        <f t="shared" si="342"/>
        <v>0</v>
      </c>
      <c r="BZ83" s="125" t="str">
        <f t="shared" si="343"/>
        <v/>
      </c>
      <c r="CA83" s="140"/>
      <c r="CB83" s="123"/>
      <c r="CC83" s="148"/>
      <c r="CD83" s="123" t="str">
        <f t="shared" si="344"/>
        <v/>
      </c>
      <c r="CF83" s="149"/>
    </row>
    <row r="84" spans="1:84" ht="14">
      <c r="A84" s="92">
        <f t="shared" si="304"/>
        <v>112013933</v>
      </c>
      <c r="B84" s="172" t="str">
        <f t="shared" si="362"/>
        <v/>
      </c>
      <c r="C84" s="137" t="str">
        <f t="shared" si="363"/>
        <v/>
      </c>
      <c r="D84" s="137" t="str">
        <f t="shared" si="364"/>
        <v/>
      </c>
      <c r="E84" s="138" t="str">
        <f t="shared" si="365"/>
        <v/>
      </c>
      <c r="F84" s="193" t="str">
        <f t="shared" si="382"/>
        <v/>
      </c>
      <c r="G84" s="97" t="str">
        <f t="shared" si="305"/>
        <v/>
      </c>
      <c r="H84" s="97" t="str">
        <f t="shared" si="306"/>
        <v/>
      </c>
      <c r="I84" s="97" t="str">
        <f t="shared" si="307"/>
        <v/>
      </c>
      <c r="J84" s="96">
        <f t="shared" si="308"/>
        <v>70</v>
      </c>
      <c r="K84" s="94" t="str">
        <f t="shared" si="309"/>
        <v>Lista</v>
      </c>
      <c r="L84" s="98">
        <f t="shared" si="310"/>
        <v>0.11</v>
      </c>
      <c r="M84" s="139" t="s">
        <v>158</v>
      </c>
      <c r="N84" s="100" t="str">
        <f t="shared" si="311"/>
        <v/>
      </c>
      <c r="O84" s="140" t="e">
        <f t="shared" si="385"/>
        <v>#VALUE!</v>
      </c>
      <c r="P84" s="102">
        <f t="shared" si="13"/>
        <v>0</v>
      </c>
      <c r="Q84" s="102">
        <f t="shared" si="312"/>
        <v>0</v>
      </c>
      <c r="R84" s="102">
        <f t="shared" si="313"/>
        <v>0</v>
      </c>
      <c r="S84" s="102" t="e">
        <f t="shared" si="16"/>
        <v>#VALUE!</v>
      </c>
      <c r="T84" s="103" t="e">
        <f t="shared" si="17"/>
        <v>#VALUE!</v>
      </c>
      <c r="U84" s="100" t="str">
        <f t="shared" si="314"/>
        <v/>
      </c>
      <c r="V84" s="141" t="e">
        <f t="shared" si="386"/>
        <v>#VALUE!</v>
      </c>
      <c r="W84" s="105">
        <f t="shared" si="19"/>
        <v>0</v>
      </c>
      <c r="X84" s="102">
        <f t="shared" si="315"/>
        <v>0</v>
      </c>
      <c r="Y84" s="106">
        <f t="shared" si="316"/>
        <v>0</v>
      </c>
      <c r="Z84" s="142" t="e">
        <f t="shared" si="387"/>
        <v>#VALUE!</v>
      </c>
      <c r="AA84" s="143" t="str">
        <f t="shared" si="388"/>
        <v/>
      </c>
      <c r="AB84" s="100" t="str">
        <f t="shared" si="317"/>
        <v/>
      </c>
      <c r="AC84" s="140" t="e">
        <f t="shared" si="389"/>
        <v>#VALUE!</v>
      </c>
      <c r="AD84" s="102">
        <f t="shared" si="24"/>
        <v>0</v>
      </c>
      <c r="AE84" s="102">
        <f t="shared" si="318"/>
        <v>0</v>
      </c>
      <c r="AF84" s="102">
        <f t="shared" si="319"/>
        <v>0</v>
      </c>
      <c r="AG84" s="145" t="e">
        <f t="shared" si="390"/>
        <v>#VALUE!</v>
      </c>
      <c r="AH84" s="158" t="str">
        <f t="shared" si="391"/>
        <v/>
      </c>
      <c r="AI84" s="147" t="e">
        <f t="shared" si="392"/>
        <v>#VALUE!</v>
      </c>
      <c r="AJ84" s="111" t="str">
        <f t="shared" si="320"/>
        <v>0</v>
      </c>
      <c r="AK84" s="102">
        <f t="shared" si="31"/>
        <v>0</v>
      </c>
      <c r="AL84" s="102">
        <f t="shared" si="32"/>
        <v>0</v>
      </c>
      <c r="AM84" s="102">
        <f t="shared" si="33"/>
        <v>0</v>
      </c>
      <c r="AN84" s="102">
        <f t="shared" si="34"/>
        <v>0</v>
      </c>
      <c r="AO84" s="112" t="e">
        <f t="shared" si="35"/>
        <v>#DIV/0!</v>
      </c>
      <c r="AP84" s="100" t="str">
        <f t="shared" si="321"/>
        <v/>
      </c>
      <c r="AQ84" s="113">
        <f t="shared" si="37"/>
        <v>0</v>
      </c>
      <c r="AR84" s="114">
        <f t="shared" si="322"/>
        <v>0</v>
      </c>
      <c r="AS84" s="115">
        <f t="shared" si="323"/>
        <v>0</v>
      </c>
      <c r="AT84" s="100" t="str">
        <f t="shared" si="324"/>
        <v/>
      </c>
      <c r="AU84" s="113">
        <f t="shared" si="41"/>
        <v>0</v>
      </c>
      <c r="AV84" s="116">
        <f t="shared" si="325"/>
        <v>0</v>
      </c>
      <c r="AW84" s="117">
        <f t="shared" si="326"/>
        <v>0</v>
      </c>
      <c r="AX84" s="100" t="str">
        <f t="shared" si="327"/>
        <v/>
      </c>
      <c r="AY84" s="113">
        <f t="shared" si="45"/>
        <v>0</v>
      </c>
      <c r="AZ84" s="114">
        <f t="shared" si="328"/>
        <v>0</v>
      </c>
      <c r="BA84" s="100">
        <f t="shared" si="329"/>
        <v>0</v>
      </c>
      <c r="BB84" s="118">
        <f t="shared" ref="BB84:BD84" si="397">BH84+AY84+AU84</f>
        <v>0</v>
      </c>
      <c r="BC84" s="116">
        <f t="shared" si="397"/>
        <v>0</v>
      </c>
      <c r="BD84" s="119">
        <f t="shared" si="397"/>
        <v>0</v>
      </c>
      <c r="BE84" s="118">
        <f t="shared" si="49"/>
        <v>0</v>
      </c>
      <c r="BF84" s="116">
        <f t="shared" si="50"/>
        <v>0</v>
      </c>
      <c r="BG84" s="119">
        <f t="shared" si="51"/>
        <v>0</v>
      </c>
      <c r="BH84" s="114">
        <f t="shared" si="52"/>
        <v>0</v>
      </c>
      <c r="BI84" s="114">
        <f t="shared" si="331"/>
        <v>0</v>
      </c>
      <c r="BJ84" s="115">
        <f t="shared" si="332"/>
        <v>0</v>
      </c>
      <c r="BK84" s="125" t="str">
        <f t="shared" si="333"/>
        <v/>
      </c>
      <c r="BL84" s="120">
        <f t="shared" si="56"/>
        <v>0</v>
      </c>
      <c r="BM84" s="121">
        <f t="shared" si="334"/>
        <v>0</v>
      </c>
      <c r="BN84" s="119">
        <f t="shared" si="335"/>
        <v>0</v>
      </c>
      <c r="BO84" s="125" t="str">
        <f t="shared" si="336"/>
        <v/>
      </c>
      <c r="BP84" s="140">
        <f t="shared" si="60"/>
        <v>0</v>
      </c>
      <c r="BQ84" s="123">
        <f t="shared" si="337"/>
        <v>135109.44</v>
      </c>
      <c r="BR84" s="125">
        <f t="shared" si="338"/>
        <v>135109.44</v>
      </c>
      <c r="BS84" s="122">
        <f t="shared" si="63"/>
        <v>0</v>
      </c>
      <c r="BT84" s="123">
        <f t="shared" ref="BT84:BU84" si="398">SUM(BI84,BM84,BQ84)</f>
        <v>135109.44</v>
      </c>
      <c r="BU84" s="124">
        <f t="shared" si="398"/>
        <v>135109.44</v>
      </c>
      <c r="BV84" s="125" t="str">
        <f t="shared" si="340"/>
        <v/>
      </c>
      <c r="BW84" s="122">
        <f t="shared" si="66"/>
        <v>0</v>
      </c>
      <c r="BX84" s="123">
        <f t="shared" si="341"/>
        <v>0</v>
      </c>
      <c r="BY84" s="124">
        <f t="shared" si="342"/>
        <v>0</v>
      </c>
      <c r="BZ84" s="125" t="str">
        <f t="shared" si="343"/>
        <v/>
      </c>
      <c r="CA84" s="140"/>
      <c r="CB84" s="123"/>
      <c r="CC84" s="148"/>
      <c r="CD84" s="123" t="str">
        <f t="shared" si="344"/>
        <v/>
      </c>
      <c r="CF84" s="149"/>
    </row>
    <row r="85" spans="1:84" ht="13">
      <c r="A85" s="92">
        <f t="shared" si="304"/>
        <v>112013164</v>
      </c>
      <c r="B85" s="172">
        <f t="shared" si="362"/>
        <v>4</v>
      </c>
      <c r="C85" s="137" t="str">
        <f t="shared" si="363"/>
        <v>Lista</v>
      </c>
      <c r="D85" s="137">
        <f t="shared" si="364"/>
        <v>0.2</v>
      </c>
      <c r="E85" s="138">
        <f t="shared" si="365"/>
        <v>0</v>
      </c>
      <c r="F85" s="193">
        <f t="shared" si="382"/>
        <v>4</v>
      </c>
      <c r="G85" s="97" t="str">
        <f t="shared" si="305"/>
        <v>Lista</v>
      </c>
      <c r="H85" s="97">
        <f t="shared" si="306"/>
        <v>0.2</v>
      </c>
      <c r="I85" s="97">
        <f t="shared" si="307"/>
        <v>0</v>
      </c>
      <c r="J85" s="96">
        <f t="shared" si="308"/>
        <v>70</v>
      </c>
      <c r="K85" s="94" t="str">
        <f t="shared" si="309"/>
        <v>Lista</v>
      </c>
      <c r="L85" s="98">
        <f t="shared" si="310"/>
        <v>0.11</v>
      </c>
      <c r="M85" s="139" t="s">
        <v>159</v>
      </c>
      <c r="N85" s="100">
        <f t="shared" si="311"/>
        <v>265582.40000000002</v>
      </c>
      <c r="O85" s="140">
        <f t="shared" si="385"/>
        <v>446457.29352000006</v>
      </c>
      <c r="P85" s="102">
        <f t="shared" si="13"/>
        <v>0</v>
      </c>
      <c r="Q85" s="102">
        <f t="shared" si="312"/>
        <v>0</v>
      </c>
      <c r="R85" s="102">
        <f t="shared" si="313"/>
        <v>0</v>
      </c>
      <c r="S85" s="102">
        <f t="shared" si="16"/>
        <v>-446457.29352000006</v>
      </c>
      <c r="T85" s="103">
        <f t="shared" si="17"/>
        <v>0</v>
      </c>
      <c r="U85" s="100">
        <f t="shared" si="314"/>
        <v>251088.8</v>
      </c>
      <c r="V85" s="141">
        <f t="shared" si="386"/>
        <v>433002.63559999998</v>
      </c>
      <c r="W85" s="105">
        <f t="shared" si="19"/>
        <v>138537.84</v>
      </c>
      <c r="X85" s="102">
        <f t="shared" si="315"/>
        <v>0</v>
      </c>
      <c r="Y85" s="106">
        <f t="shared" si="316"/>
        <v>138537.84</v>
      </c>
      <c r="Z85" s="142">
        <f t="shared" si="387"/>
        <v>-294464.79559999995</v>
      </c>
      <c r="AA85" s="143">
        <f t="shared" si="388"/>
        <v>0.31994687470673677</v>
      </c>
      <c r="AB85" s="100">
        <f t="shared" si="317"/>
        <v>449491.83</v>
      </c>
      <c r="AC85" s="140">
        <f t="shared" si="389"/>
        <v>738679.14120795007</v>
      </c>
      <c r="AD85" s="102">
        <f t="shared" si="24"/>
        <v>0</v>
      </c>
      <c r="AE85" s="102">
        <f t="shared" si="318"/>
        <v>0</v>
      </c>
      <c r="AF85" s="102">
        <f t="shared" si="319"/>
        <v>0</v>
      </c>
      <c r="AG85" s="145">
        <f t="shared" si="390"/>
        <v>-738679.14120795007</v>
      </c>
      <c r="AH85" s="158">
        <f t="shared" si="391"/>
        <v>0</v>
      </c>
      <c r="AI85" s="147">
        <f t="shared" si="392"/>
        <v>1618139.0703279502</v>
      </c>
      <c r="AJ85" s="111">
        <f t="shared" si="320"/>
        <v>352059.28</v>
      </c>
      <c r="AK85" s="102">
        <f t="shared" si="31"/>
        <v>0</v>
      </c>
      <c r="AL85" s="102">
        <f t="shared" si="32"/>
        <v>138537.84</v>
      </c>
      <c r="AM85" s="102">
        <f t="shared" si="33"/>
        <v>138537.84</v>
      </c>
      <c r="AN85" s="102">
        <f t="shared" si="34"/>
        <v>-213521.44000000003</v>
      </c>
      <c r="AO85" s="112">
        <f t="shared" si="35"/>
        <v>0.39350713891137873</v>
      </c>
      <c r="AP85" s="100">
        <f t="shared" si="321"/>
        <v>308370.40000000002</v>
      </c>
      <c r="AQ85" s="113">
        <f t="shared" si="37"/>
        <v>194546.11</v>
      </c>
      <c r="AR85" s="114">
        <f t="shared" si="322"/>
        <v>141586.32</v>
      </c>
      <c r="AS85" s="115">
        <f t="shared" si="323"/>
        <v>336132.43</v>
      </c>
      <c r="AT85" s="100">
        <f t="shared" si="324"/>
        <v>461866.09</v>
      </c>
      <c r="AU85" s="113">
        <f t="shared" si="41"/>
        <v>0</v>
      </c>
      <c r="AV85" s="116">
        <f t="shared" si="325"/>
        <v>0</v>
      </c>
      <c r="AW85" s="117">
        <f t="shared" si="326"/>
        <v>0</v>
      </c>
      <c r="AX85" s="100">
        <f t="shared" si="327"/>
        <v>0</v>
      </c>
      <c r="AY85" s="113">
        <f t="shared" si="45"/>
        <v>0</v>
      </c>
      <c r="AZ85" s="114">
        <f t="shared" si="328"/>
        <v>0</v>
      </c>
      <c r="BA85" s="100">
        <f t="shared" si="329"/>
        <v>0</v>
      </c>
      <c r="BB85" s="118">
        <f t="shared" ref="BB85:BD85" si="399">BH85+AY85+AU85</f>
        <v>0</v>
      </c>
      <c r="BC85" s="116">
        <f t="shared" si="399"/>
        <v>0</v>
      </c>
      <c r="BD85" s="119">
        <f t="shared" si="399"/>
        <v>0</v>
      </c>
      <c r="BE85" s="118">
        <f t="shared" si="49"/>
        <v>138537.84</v>
      </c>
      <c r="BF85" s="116">
        <f t="shared" si="50"/>
        <v>0</v>
      </c>
      <c r="BG85" s="119">
        <f t="shared" si="51"/>
        <v>138537.84</v>
      </c>
      <c r="BH85" s="114">
        <f t="shared" si="52"/>
        <v>0</v>
      </c>
      <c r="BI85" s="114">
        <f t="shared" si="331"/>
        <v>0</v>
      </c>
      <c r="BJ85" s="115">
        <f t="shared" si="332"/>
        <v>0</v>
      </c>
      <c r="BK85" s="125">
        <f t="shared" si="333"/>
        <v>723105.62</v>
      </c>
      <c r="BL85" s="120">
        <f t="shared" si="56"/>
        <v>46102.51</v>
      </c>
      <c r="BM85" s="121">
        <f t="shared" si="334"/>
        <v>0</v>
      </c>
      <c r="BN85" s="119">
        <f t="shared" si="335"/>
        <v>46102.51</v>
      </c>
      <c r="BO85" s="125">
        <f t="shared" si="336"/>
        <v>189400.4</v>
      </c>
      <c r="BP85" s="140">
        <f t="shared" si="60"/>
        <v>0</v>
      </c>
      <c r="BQ85" s="123">
        <f t="shared" si="337"/>
        <v>0</v>
      </c>
      <c r="BR85" s="125">
        <f t="shared" si="338"/>
        <v>0</v>
      </c>
      <c r="BS85" s="122">
        <f t="shared" si="63"/>
        <v>46102.51</v>
      </c>
      <c r="BT85" s="123">
        <f t="shared" ref="BT85:BU85" si="400">SUM(BI85,BM85,BQ85)</f>
        <v>0</v>
      </c>
      <c r="BU85" s="124">
        <f t="shared" si="400"/>
        <v>46102.51</v>
      </c>
      <c r="BV85" s="125">
        <f t="shared" si="340"/>
        <v>0</v>
      </c>
      <c r="BW85" s="122">
        <f t="shared" si="66"/>
        <v>0</v>
      </c>
      <c r="BX85" s="123">
        <f t="shared" si="341"/>
        <v>0</v>
      </c>
      <c r="BY85" s="124">
        <f t="shared" si="342"/>
        <v>0</v>
      </c>
      <c r="BZ85" s="125">
        <f t="shared" si="343"/>
        <v>177864.05</v>
      </c>
      <c r="CA85" s="140"/>
      <c r="CB85" s="123"/>
      <c r="CC85" s="148"/>
      <c r="CD85" s="123">
        <f t="shared" si="344"/>
        <v>174195.23</v>
      </c>
      <c r="CF85" s="149"/>
    </row>
    <row r="86" spans="1:84" ht="13">
      <c r="A86" s="92">
        <f t="shared" si="304"/>
        <v>112012229</v>
      </c>
      <c r="B86" s="172">
        <f t="shared" si="362"/>
        <v>4</v>
      </c>
      <c r="C86" s="137" t="str">
        <f t="shared" si="363"/>
        <v>Lista</v>
      </c>
      <c r="D86" s="137">
        <f t="shared" si="364"/>
        <v>0.2</v>
      </c>
      <c r="E86" s="138">
        <f t="shared" si="365"/>
        <v>0</v>
      </c>
      <c r="F86" s="193">
        <f t="shared" si="382"/>
        <v>4</v>
      </c>
      <c r="G86" s="97" t="str">
        <f t="shared" si="305"/>
        <v>Lista</v>
      </c>
      <c r="H86" s="97">
        <f t="shared" si="306"/>
        <v>0.2</v>
      </c>
      <c r="I86" s="97">
        <f t="shared" si="307"/>
        <v>0</v>
      </c>
      <c r="J86" s="96">
        <f t="shared" si="308"/>
        <v>70</v>
      </c>
      <c r="K86" s="94" t="str">
        <f t="shared" si="309"/>
        <v>Lista</v>
      </c>
      <c r="L86" s="98">
        <f t="shared" si="310"/>
        <v>0.11</v>
      </c>
      <c r="M86" s="139" t="s">
        <v>160</v>
      </c>
      <c r="N86" s="100">
        <f t="shared" si="311"/>
        <v>582995.6</v>
      </c>
      <c r="O86" s="140">
        <f t="shared" si="385"/>
        <v>980044.75338000001</v>
      </c>
      <c r="P86" s="102">
        <f t="shared" si="13"/>
        <v>20479.320000000065</v>
      </c>
      <c r="Q86" s="102">
        <f t="shared" si="312"/>
        <v>616287.22</v>
      </c>
      <c r="R86" s="102">
        <f t="shared" si="313"/>
        <v>636766.54</v>
      </c>
      <c r="S86" s="102">
        <f t="shared" si="16"/>
        <v>-343278.21337999997</v>
      </c>
      <c r="T86" s="103">
        <f t="shared" si="17"/>
        <v>0.6497321043798312</v>
      </c>
      <c r="U86" s="100">
        <f t="shared" si="314"/>
        <v>1146073.2</v>
      </c>
      <c r="V86" s="141">
        <f t="shared" si="386"/>
        <v>1976403.2333999998</v>
      </c>
      <c r="W86" s="105">
        <f t="shared" si="19"/>
        <v>0</v>
      </c>
      <c r="X86" s="102">
        <f t="shared" si="315"/>
        <v>604505.19999999995</v>
      </c>
      <c r="Y86" s="106">
        <f t="shared" si="316"/>
        <v>604505.19999999995</v>
      </c>
      <c r="Z86" s="142">
        <f t="shared" si="387"/>
        <v>-1371898.0333999998</v>
      </c>
      <c r="AA86" s="143">
        <f t="shared" si="388"/>
        <v>0.30586126848217693</v>
      </c>
      <c r="AB86" s="100">
        <f t="shared" si="317"/>
        <v>440910.8</v>
      </c>
      <c r="AC86" s="140">
        <f t="shared" si="389"/>
        <v>724577.37684200006</v>
      </c>
      <c r="AD86" s="102">
        <f t="shared" si="24"/>
        <v>0</v>
      </c>
      <c r="AE86" s="102">
        <f t="shared" si="318"/>
        <v>90552</v>
      </c>
      <c r="AF86" s="102">
        <f t="shared" si="319"/>
        <v>90552</v>
      </c>
      <c r="AG86" s="145">
        <f t="shared" si="390"/>
        <v>-634025.37684200006</v>
      </c>
      <c r="AH86" s="158">
        <f t="shared" si="391"/>
        <v>0.12497216017792616</v>
      </c>
      <c r="AI86" s="147">
        <f t="shared" si="392"/>
        <v>3681025.363622</v>
      </c>
      <c r="AJ86" s="111">
        <f t="shared" si="320"/>
        <v>718186.57</v>
      </c>
      <c r="AK86" s="102">
        <f t="shared" si="31"/>
        <v>1311344.42</v>
      </c>
      <c r="AL86" s="102">
        <f t="shared" si="32"/>
        <v>20479.320000000065</v>
      </c>
      <c r="AM86" s="102">
        <f t="shared" si="33"/>
        <v>1331823.74</v>
      </c>
      <c r="AN86" s="102">
        <f t="shared" si="34"/>
        <v>613637.17000000004</v>
      </c>
      <c r="AO86" s="112">
        <f t="shared" si="35"/>
        <v>1.8544258492608683</v>
      </c>
      <c r="AP86" s="100">
        <f t="shared" si="321"/>
        <v>1218852.0900000001</v>
      </c>
      <c r="AQ86" s="113">
        <f t="shared" si="37"/>
        <v>245564.43</v>
      </c>
      <c r="AR86" s="114">
        <f t="shared" si="322"/>
        <v>359254.2</v>
      </c>
      <c r="AS86" s="115">
        <f t="shared" si="323"/>
        <v>604818.63</v>
      </c>
      <c r="AT86" s="100">
        <f t="shared" si="324"/>
        <v>186208.26</v>
      </c>
      <c r="AU86" s="113">
        <f t="shared" si="41"/>
        <v>421731.40999999992</v>
      </c>
      <c r="AV86" s="116">
        <f t="shared" si="325"/>
        <v>1020682.5</v>
      </c>
      <c r="AW86" s="117">
        <f t="shared" si="326"/>
        <v>1442413.91</v>
      </c>
      <c r="AX86" s="100">
        <f t="shared" si="327"/>
        <v>407301.6</v>
      </c>
      <c r="AY86" s="113">
        <f t="shared" si="45"/>
        <v>17066.099999999977</v>
      </c>
      <c r="AZ86" s="114">
        <f t="shared" si="328"/>
        <v>398302.02</v>
      </c>
      <c r="BA86" s="100">
        <f t="shared" si="329"/>
        <v>415368.12</v>
      </c>
      <c r="BB86" s="118">
        <f t="shared" ref="BB86:BD86" si="401">BH86+AY86+AU86</f>
        <v>500310.7000000003</v>
      </c>
      <c r="BC86" s="116">
        <f t="shared" si="401"/>
        <v>3927305.05</v>
      </c>
      <c r="BD86" s="119">
        <f t="shared" si="401"/>
        <v>4427615.75</v>
      </c>
      <c r="BE86" s="118">
        <f t="shared" si="49"/>
        <v>520790.02000000037</v>
      </c>
      <c r="BF86" s="116">
        <f t="shared" si="50"/>
        <v>5238649.47</v>
      </c>
      <c r="BG86" s="119">
        <f t="shared" si="51"/>
        <v>5759439.4900000002</v>
      </c>
      <c r="BH86" s="114">
        <f t="shared" si="52"/>
        <v>61513.19000000041</v>
      </c>
      <c r="BI86" s="114">
        <f t="shared" si="331"/>
        <v>2508320.5299999998</v>
      </c>
      <c r="BJ86" s="115">
        <f t="shared" si="332"/>
        <v>2569833.7200000002</v>
      </c>
      <c r="BK86" s="125">
        <f t="shared" si="333"/>
        <v>0</v>
      </c>
      <c r="BL86" s="120">
        <f t="shared" si="56"/>
        <v>0</v>
      </c>
      <c r="BM86" s="121">
        <f t="shared" si="334"/>
        <v>1177556.3999999999</v>
      </c>
      <c r="BN86" s="119">
        <f t="shared" si="335"/>
        <v>1177556.3999999999</v>
      </c>
      <c r="BO86" s="125">
        <f t="shared" si="336"/>
        <v>848999.68</v>
      </c>
      <c r="BP86" s="140">
        <f t="shared" si="60"/>
        <v>0</v>
      </c>
      <c r="BQ86" s="123">
        <f t="shared" si="337"/>
        <v>979403.56</v>
      </c>
      <c r="BR86" s="125">
        <f t="shared" si="338"/>
        <v>979403.56</v>
      </c>
      <c r="BS86" s="122">
        <f t="shared" si="63"/>
        <v>61513.19000000041</v>
      </c>
      <c r="BT86" s="123">
        <f t="shared" ref="BT86:BU86" si="402">SUM(BI86,BM86,BQ86)</f>
        <v>4665280.49</v>
      </c>
      <c r="BU86" s="124">
        <f t="shared" si="402"/>
        <v>4726793.68</v>
      </c>
      <c r="BV86" s="125">
        <f t="shared" si="340"/>
        <v>0</v>
      </c>
      <c r="BW86" s="122">
        <f t="shared" si="66"/>
        <v>0</v>
      </c>
      <c r="BX86" s="123">
        <f t="shared" si="341"/>
        <v>1652313.3</v>
      </c>
      <c r="BY86" s="124">
        <f t="shared" si="342"/>
        <v>1652313.3</v>
      </c>
      <c r="BZ86" s="125">
        <f t="shared" si="343"/>
        <v>416095.96</v>
      </c>
      <c r="CA86" s="140"/>
      <c r="CB86" s="123"/>
      <c r="CC86" s="148"/>
      <c r="CD86" s="123">
        <f t="shared" si="344"/>
        <v>302090.61</v>
      </c>
      <c r="CF86" s="149"/>
    </row>
    <row r="87" spans="1:84" ht="14">
      <c r="A87" s="92">
        <f t="shared" si="304"/>
        <v>112014369</v>
      </c>
      <c r="B87" s="172">
        <f t="shared" si="362"/>
        <v>4</v>
      </c>
      <c r="C87" s="137" t="str">
        <f t="shared" si="363"/>
        <v>Lista</v>
      </c>
      <c r="D87" s="137">
        <f t="shared" si="364"/>
        <v>0.2</v>
      </c>
      <c r="E87" s="138">
        <f t="shared" si="365"/>
        <v>0</v>
      </c>
      <c r="F87" s="193">
        <f t="shared" si="382"/>
        <v>4</v>
      </c>
      <c r="G87" s="97" t="str">
        <f t="shared" si="305"/>
        <v>Lista</v>
      </c>
      <c r="H87" s="97">
        <f t="shared" si="306"/>
        <v>0.2</v>
      </c>
      <c r="I87" s="97">
        <f t="shared" si="307"/>
        <v>0</v>
      </c>
      <c r="J87" s="96">
        <f t="shared" si="308"/>
        <v>70</v>
      </c>
      <c r="K87" s="94" t="str">
        <f t="shared" si="309"/>
        <v>Lista</v>
      </c>
      <c r="L87" s="98">
        <f t="shared" si="310"/>
        <v>0.11</v>
      </c>
      <c r="M87" s="139" t="s">
        <v>161</v>
      </c>
      <c r="N87" s="100">
        <f t="shared" si="311"/>
        <v>0</v>
      </c>
      <c r="O87" s="140">
        <f t="shared" si="385"/>
        <v>0</v>
      </c>
      <c r="P87" s="102">
        <f t="shared" si="13"/>
        <v>0</v>
      </c>
      <c r="Q87" s="102">
        <f t="shared" si="312"/>
        <v>361473.6</v>
      </c>
      <c r="R87" s="102">
        <f t="shared" si="313"/>
        <v>361473.6</v>
      </c>
      <c r="S87" s="102">
        <f t="shared" si="16"/>
        <v>361473.6</v>
      </c>
      <c r="T87" s="103" t="e">
        <f t="shared" si="17"/>
        <v>#DIV/0!</v>
      </c>
      <c r="U87" s="100">
        <f t="shared" si="314"/>
        <v>481743.44</v>
      </c>
      <c r="V87" s="141">
        <f t="shared" si="386"/>
        <v>830766.56227999995</v>
      </c>
      <c r="W87" s="105">
        <f t="shared" si="19"/>
        <v>0</v>
      </c>
      <c r="X87" s="102">
        <f t="shared" si="315"/>
        <v>1004051.28</v>
      </c>
      <c r="Y87" s="106">
        <f t="shared" si="316"/>
        <v>1004051.28</v>
      </c>
      <c r="Z87" s="142">
        <f t="shared" si="387"/>
        <v>173284.71772000007</v>
      </c>
      <c r="AA87" s="143">
        <f t="shared" si="388"/>
        <v>1.2085841265017074</v>
      </c>
      <c r="AB87" s="100">
        <f t="shared" si="317"/>
        <v>181257.60000000001</v>
      </c>
      <c r="AC87" s="140">
        <f t="shared" si="389"/>
        <v>297872.39582400001</v>
      </c>
      <c r="AD87" s="102">
        <f t="shared" si="24"/>
        <v>0</v>
      </c>
      <c r="AE87" s="102">
        <f t="shared" si="318"/>
        <v>668595.1</v>
      </c>
      <c r="AF87" s="102">
        <f t="shared" si="319"/>
        <v>668595.1</v>
      </c>
      <c r="AG87" s="145">
        <f t="shared" si="390"/>
        <v>370722.70417599997</v>
      </c>
      <c r="AH87" s="158">
        <f t="shared" si="391"/>
        <v>2.2445688468395173</v>
      </c>
      <c r="AI87" s="147">
        <f t="shared" si="392"/>
        <v>1128638.958104</v>
      </c>
      <c r="AJ87" s="111">
        <f t="shared" si="320"/>
        <v>1265611.54</v>
      </c>
      <c r="AK87" s="102">
        <f t="shared" si="31"/>
        <v>2034119.98</v>
      </c>
      <c r="AL87" s="102">
        <f t="shared" si="32"/>
        <v>0</v>
      </c>
      <c r="AM87" s="102">
        <f t="shared" si="33"/>
        <v>2034119.98</v>
      </c>
      <c r="AN87" s="102">
        <f t="shared" si="34"/>
        <v>768508.44</v>
      </c>
      <c r="AO87" s="112">
        <f t="shared" si="35"/>
        <v>1.6072230030393053</v>
      </c>
      <c r="AP87" s="100">
        <f t="shared" si="321"/>
        <v>630884.49</v>
      </c>
      <c r="AQ87" s="113">
        <f t="shared" si="37"/>
        <v>0</v>
      </c>
      <c r="AR87" s="114">
        <f t="shared" si="322"/>
        <v>1938186.96</v>
      </c>
      <c r="AS87" s="115">
        <f t="shared" si="323"/>
        <v>1938186.96</v>
      </c>
      <c r="AT87" s="100">
        <f t="shared" si="324"/>
        <v>912319.2</v>
      </c>
      <c r="AU87" s="113">
        <f t="shared" si="41"/>
        <v>0</v>
      </c>
      <c r="AV87" s="116">
        <f t="shared" si="325"/>
        <v>942060.16</v>
      </c>
      <c r="AW87" s="117">
        <f t="shared" si="326"/>
        <v>942060.16</v>
      </c>
      <c r="AX87" s="100">
        <f t="shared" si="327"/>
        <v>0</v>
      </c>
      <c r="AY87" s="113">
        <f t="shared" si="45"/>
        <v>0</v>
      </c>
      <c r="AZ87" s="114">
        <f t="shared" si="328"/>
        <v>489304.08</v>
      </c>
      <c r="BA87" s="100">
        <f t="shared" si="329"/>
        <v>489304.08</v>
      </c>
      <c r="BB87" s="118">
        <f t="shared" ref="BB87:BD87" si="403">BH87+AY87+AU87</f>
        <v>0</v>
      </c>
      <c r="BC87" s="116">
        <f t="shared" si="403"/>
        <v>3156062.56</v>
      </c>
      <c r="BD87" s="119">
        <f t="shared" si="403"/>
        <v>3156062.56</v>
      </c>
      <c r="BE87" s="118">
        <f t="shared" si="49"/>
        <v>0</v>
      </c>
      <c r="BF87" s="116">
        <f t="shared" si="50"/>
        <v>5190182.54</v>
      </c>
      <c r="BG87" s="119">
        <f t="shared" si="51"/>
        <v>5190182.54</v>
      </c>
      <c r="BH87" s="114">
        <f t="shared" si="52"/>
        <v>0</v>
      </c>
      <c r="BI87" s="114">
        <f t="shared" si="331"/>
        <v>1724698.32</v>
      </c>
      <c r="BJ87" s="115">
        <f t="shared" si="332"/>
        <v>1724698.32</v>
      </c>
      <c r="BK87" s="125">
        <f t="shared" si="333"/>
        <v>327201.84000000003</v>
      </c>
      <c r="BL87" s="120">
        <f t="shared" si="56"/>
        <v>0</v>
      </c>
      <c r="BM87" s="121">
        <f t="shared" si="334"/>
        <v>319144.8</v>
      </c>
      <c r="BN87" s="119">
        <f t="shared" si="335"/>
        <v>319144.8</v>
      </c>
      <c r="BO87" s="125">
        <f t="shared" si="336"/>
        <v>101285.84</v>
      </c>
      <c r="BP87" s="140">
        <f t="shared" si="60"/>
        <v>0</v>
      </c>
      <c r="BQ87" s="123">
        <f t="shared" si="337"/>
        <v>1265898.72</v>
      </c>
      <c r="BR87" s="125">
        <f t="shared" si="338"/>
        <v>1265898.72</v>
      </c>
      <c r="BS87" s="122">
        <f t="shared" si="63"/>
        <v>0</v>
      </c>
      <c r="BT87" s="123">
        <f t="shared" ref="BT87:BU87" si="404">SUM(BI87,BM87,BQ87)</f>
        <v>3309741.84</v>
      </c>
      <c r="BU87" s="124">
        <f t="shared" si="404"/>
        <v>3309741.84</v>
      </c>
      <c r="BV87" s="125">
        <f t="shared" si="340"/>
        <v>514309.68</v>
      </c>
      <c r="BW87" s="122">
        <f t="shared" si="66"/>
        <v>0</v>
      </c>
      <c r="BX87" s="123">
        <f t="shared" si="341"/>
        <v>691807.44</v>
      </c>
      <c r="BY87" s="124">
        <f t="shared" si="342"/>
        <v>691807.44</v>
      </c>
      <c r="BZ87" s="125">
        <f t="shared" si="343"/>
        <v>429352.16</v>
      </c>
      <c r="CA87" s="140"/>
      <c r="CB87" s="123"/>
      <c r="CC87" s="148"/>
      <c r="CD87" s="123">
        <f t="shared" si="344"/>
        <v>321949.7</v>
      </c>
      <c r="CF87" s="149"/>
    </row>
    <row r="88" spans="1:84" ht="13">
      <c r="A88" s="92">
        <f t="shared" si="304"/>
        <v>112013607</v>
      </c>
      <c r="B88" s="172">
        <f t="shared" si="362"/>
        <v>4</v>
      </c>
      <c r="C88" s="137" t="str">
        <f t="shared" si="363"/>
        <v>Lista</v>
      </c>
      <c r="D88" s="137">
        <f t="shared" si="364"/>
        <v>0.2</v>
      </c>
      <c r="E88" s="138">
        <f t="shared" si="365"/>
        <v>0</v>
      </c>
      <c r="F88" s="193">
        <f t="shared" si="382"/>
        <v>4</v>
      </c>
      <c r="G88" s="97" t="str">
        <f t="shared" si="305"/>
        <v>Lista</v>
      </c>
      <c r="H88" s="97">
        <f t="shared" si="306"/>
        <v>0.2</v>
      </c>
      <c r="I88" s="97">
        <f t="shared" si="307"/>
        <v>0</v>
      </c>
      <c r="J88" s="96">
        <f t="shared" si="308"/>
        <v>70</v>
      </c>
      <c r="K88" s="94" t="str">
        <f t="shared" si="309"/>
        <v>Lista</v>
      </c>
      <c r="L88" s="98">
        <f t="shared" si="310"/>
        <v>0.11</v>
      </c>
      <c r="M88" s="139" t="s">
        <v>162</v>
      </c>
      <c r="N88" s="100">
        <f t="shared" si="311"/>
        <v>466542.6</v>
      </c>
      <c r="O88" s="140">
        <f t="shared" si="385"/>
        <v>784281.43773000001</v>
      </c>
      <c r="P88" s="102">
        <f t="shared" si="13"/>
        <v>0</v>
      </c>
      <c r="Q88" s="102">
        <f t="shared" si="312"/>
        <v>0</v>
      </c>
      <c r="R88" s="102">
        <f t="shared" si="313"/>
        <v>0</v>
      </c>
      <c r="S88" s="102">
        <f t="shared" si="16"/>
        <v>-784281.43773000001</v>
      </c>
      <c r="T88" s="103">
        <f t="shared" si="17"/>
        <v>0</v>
      </c>
      <c r="U88" s="100">
        <f t="shared" si="314"/>
        <v>593773.34</v>
      </c>
      <c r="V88" s="141">
        <f t="shared" si="386"/>
        <v>1023962.1248299999</v>
      </c>
      <c r="W88" s="105">
        <f t="shared" si="19"/>
        <v>0</v>
      </c>
      <c r="X88" s="102">
        <f t="shared" si="315"/>
        <v>0</v>
      </c>
      <c r="Y88" s="106">
        <f t="shared" si="316"/>
        <v>0</v>
      </c>
      <c r="Z88" s="142">
        <f t="shared" si="387"/>
        <v>-1023962.1248299999</v>
      </c>
      <c r="AA88" s="143">
        <f t="shared" si="388"/>
        <v>0</v>
      </c>
      <c r="AB88" s="100">
        <f t="shared" si="317"/>
        <v>456218.4</v>
      </c>
      <c r="AC88" s="140">
        <f t="shared" si="389"/>
        <v>749733.35091599997</v>
      </c>
      <c r="AD88" s="102">
        <f t="shared" si="24"/>
        <v>0</v>
      </c>
      <c r="AE88" s="102">
        <f t="shared" si="318"/>
        <v>0</v>
      </c>
      <c r="AF88" s="102">
        <f t="shared" si="319"/>
        <v>0</v>
      </c>
      <c r="AG88" s="145">
        <f t="shared" si="390"/>
        <v>-749733.35091599997</v>
      </c>
      <c r="AH88" s="158">
        <f t="shared" si="391"/>
        <v>0</v>
      </c>
      <c r="AI88" s="147">
        <f t="shared" si="392"/>
        <v>2557976.9134760001</v>
      </c>
      <c r="AJ88" s="111" t="str">
        <f t="shared" si="320"/>
        <v>0</v>
      </c>
      <c r="AK88" s="102">
        <f t="shared" si="31"/>
        <v>0</v>
      </c>
      <c r="AL88" s="102">
        <f t="shared" si="32"/>
        <v>0</v>
      </c>
      <c r="AM88" s="102">
        <f t="shared" si="33"/>
        <v>0</v>
      </c>
      <c r="AN88" s="102">
        <f t="shared" si="34"/>
        <v>0</v>
      </c>
      <c r="AO88" s="112" t="e">
        <f t="shared" si="35"/>
        <v>#DIV/0!</v>
      </c>
      <c r="AP88" s="100">
        <f t="shared" si="321"/>
        <v>517042.54</v>
      </c>
      <c r="AQ88" s="113">
        <f t="shared" si="37"/>
        <v>0</v>
      </c>
      <c r="AR88" s="114">
        <f t="shared" si="322"/>
        <v>0</v>
      </c>
      <c r="AS88" s="115">
        <f t="shared" si="323"/>
        <v>0</v>
      </c>
      <c r="AT88" s="100">
        <f t="shared" si="324"/>
        <v>0</v>
      </c>
      <c r="AU88" s="113">
        <f t="shared" si="41"/>
        <v>0</v>
      </c>
      <c r="AV88" s="116">
        <f t="shared" si="325"/>
        <v>218224.16</v>
      </c>
      <c r="AW88" s="117">
        <f t="shared" si="326"/>
        <v>218224.16</v>
      </c>
      <c r="AX88" s="100">
        <f t="shared" si="327"/>
        <v>107526.06</v>
      </c>
      <c r="AY88" s="113">
        <f t="shared" si="45"/>
        <v>0</v>
      </c>
      <c r="AZ88" s="114">
        <f t="shared" si="328"/>
        <v>252838.72</v>
      </c>
      <c r="BA88" s="100">
        <f t="shared" si="329"/>
        <v>252838.72</v>
      </c>
      <c r="BB88" s="118">
        <f t="shared" ref="BB88:BD88" si="405">BH88+AY88+AU88</f>
        <v>0</v>
      </c>
      <c r="BC88" s="116">
        <f t="shared" si="405"/>
        <v>747337.04</v>
      </c>
      <c r="BD88" s="119">
        <f t="shared" si="405"/>
        <v>747337.04</v>
      </c>
      <c r="BE88" s="118">
        <f t="shared" si="49"/>
        <v>0</v>
      </c>
      <c r="BF88" s="116">
        <f t="shared" si="50"/>
        <v>747337.04</v>
      </c>
      <c r="BG88" s="119">
        <f t="shared" si="51"/>
        <v>747337.04</v>
      </c>
      <c r="BH88" s="114">
        <f t="shared" si="52"/>
        <v>0</v>
      </c>
      <c r="BI88" s="114">
        <f t="shared" si="331"/>
        <v>276274.15999999997</v>
      </c>
      <c r="BJ88" s="115">
        <f t="shared" si="332"/>
        <v>276274.15999999997</v>
      </c>
      <c r="BK88" s="125">
        <f t="shared" si="333"/>
        <v>0</v>
      </c>
      <c r="BL88" s="120">
        <f t="shared" si="56"/>
        <v>0</v>
      </c>
      <c r="BM88" s="121">
        <f t="shared" si="334"/>
        <v>93301.84</v>
      </c>
      <c r="BN88" s="119">
        <f t="shared" si="335"/>
        <v>93301.84</v>
      </c>
      <c r="BO88" s="125">
        <f t="shared" si="336"/>
        <v>0</v>
      </c>
      <c r="BP88" s="140">
        <f t="shared" si="60"/>
        <v>0</v>
      </c>
      <c r="BQ88" s="123">
        <f t="shared" si="337"/>
        <v>0</v>
      </c>
      <c r="BR88" s="125">
        <f t="shared" si="338"/>
        <v>0</v>
      </c>
      <c r="BS88" s="122">
        <f t="shared" si="63"/>
        <v>0</v>
      </c>
      <c r="BT88" s="123">
        <f t="shared" ref="BT88:BU88" si="406">SUM(BI88,BM88,BQ88)</f>
        <v>369576</v>
      </c>
      <c r="BU88" s="124">
        <f t="shared" si="406"/>
        <v>369576</v>
      </c>
      <c r="BV88" s="125">
        <f t="shared" si="340"/>
        <v>0</v>
      </c>
      <c r="BW88" s="122">
        <f t="shared" si="66"/>
        <v>0</v>
      </c>
      <c r="BX88" s="123">
        <f t="shared" si="341"/>
        <v>0</v>
      </c>
      <c r="BY88" s="124">
        <f t="shared" si="342"/>
        <v>0</v>
      </c>
      <c r="BZ88" s="125">
        <f t="shared" si="343"/>
        <v>0</v>
      </c>
      <c r="CA88" s="140"/>
      <c r="CB88" s="123"/>
      <c r="CC88" s="148"/>
      <c r="CD88" s="123">
        <f t="shared" si="344"/>
        <v>0</v>
      </c>
      <c r="CF88" s="149"/>
    </row>
    <row r="89" spans="1:84" ht="14">
      <c r="A89" s="92">
        <f t="shared" si="304"/>
        <v>112014745</v>
      </c>
      <c r="B89" s="172" t="str">
        <f t="shared" si="362"/>
        <v/>
      </c>
      <c r="C89" s="137" t="str">
        <f t="shared" si="363"/>
        <v/>
      </c>
      <c r="D89" s="137" t="str">
        <f t="shared" si="364"/>
        <v/>
      </c>
      <c r="E89" s="138" t="str">
        <f t="shared" si="365"/>
        <v/>
      </c>
      <c r="F89" s="193">
        <f t="shared" si="382"/>
        <v>4</v>
      </c>
      <c r="G89" s="97" t="str">
        <f t="shared" si="305"/>
        <v>Lista</v>
      </c>
      <c r="H89" s="97">
        <f t="shared" si="306"/>
        <v>0.2</v>
      </c>
      <c r="I89" s="97">
        <f t="shared" si="307"/>
        <v>0</v>
      </c>
      <c r="J89" s="96">
        <f t="shared" si="308"/>
        <v>70</v>
      </c>
      <c r="K89" s="94" t="str">
        <f t="shared" si="309"/>
        <v>Lista</v>
      </c>
      <c r="L89" s="98">
        <f t="shared" si="310"/>
        <v>0.11</v>
      </c>
      <c r="M89" s="139" t="s">
        <v>163</v>
      </c>
      <c r="N89" s="100" t="str">
        <f t="shared" si="311"/>
        <v/>
      </c>
      <c r="O89" s="140" t="e">
        <f t="shared" si="385"/>
        <v>#VALUE!</v>
      </c>
      <c r="P89" s="102" t="e">
        <f t="shared" si="13"/>
        <v>#VALUE!</v>
      </c>
      <c r="Q89" s="102" t="str">
        <f t="shared" si="312"/>
        <v/>
      </c>
      <c r="R89" s="102">
        <f t="shared" si="313"/>
        <v>0</v>
      </c>
      <c r="S89" s="102" t="e">
        <f t="shared" si="16"/>
        <v>#VALUE!</v>
      </c>
      <c r="T89" s="103" t="e">
        <f t="shared" si="17"/>
        <v>#VALUE!</v>
      </c>
      <c r="U89" s="100" t="str">
        <f t="shared" si="314"/>
        <v/>
      </c>
      <c r="V89" s="141" t="e">
        <f t="shared" si="386"/>
        <v>#VALUE!</v>
      </c>
      <c r="W89" s="105" t="e">
        <f t="shared" si="19"/>
        <v>#VALUE!</v>
      </c>
      <c r="X89" s="102" t="str">
        <f t="shared" si="315"/>
        <v/>
      </c>
      <c r="Y89" s="106">
        <f t="shared" si="316"/>
        <v>0</v>
      </c>
      <c r="Z89" s="142" t="e">
        <f t="shared" si="387"/>
        <v>#VALUE!</v>
      </c>
      <c r="AA89" s="143" t="str">
        <f t="shared" si="388"/>
        <v/>
      </c>
      <c r="AB89" s="100" t="str">
        <f t="shared" si="317"/>
        <v/>
      </c>
      <c r="AC89" s="140" t="e">
        <f t="shared" si="389"/>
        <v>#VALUE!</v>
      </c>
      <c r="AD89" s="102" t="e">
        <f t="shared" si="24"/>
        <v>#VALUE!</v>
      </c>
      <c r="AE89" s="102" t="str">
        <f t="shared" si="318"/>
        <v/>
      </c>
      <c r="AF89" s="102">
        <f t="shared" si="319"/>
        <v>0</v>
      </c>
      <c r="AG89" s="145" t="e">
        <f t="shared" si="390"/>
        <v>#VALUE!</v>
      </c>
      <c r="AH89" s="158" t="str">
        <f t="shared" si="391"/>
        <v/>
      </c>
      <c r="AI89" s="147" t="e">
        <f t="shared" si="392"/>
        <v>#VALUE!</v>
      </c>
      <c r="AJ89" s="111" t="str">
        <f t="shared" si="320"/>
        <v>0</v>
      </c>
      <c r="AK89" s="102">
        <f t="shared" si="31"/>
        <v>0</v>
      </c>
      <c r="AL89" s="102" t="e">
        <f t="shared" si="32"/>
        <v>#VALUE!</v>
      </c>
      <c r="AM89" s="102">
        <f t="shared" si="33"/>
        <v>0</v>
      </c>
      <c r="AN89" s="102">
        <f t="shared" si="34"/>
        <v>0</v>
      </c>
      <c r="AO89" s="112" t="e">
        <f t="shared" si="35"/>
        <v>#DIV/0!</v>
      </c>
      <c r="AP89" s="100" t="str">
        <f t="shared" si="321"/>
        <v/>
      </c>
      <c r="AQ89" s="113" t="e">
        <f t="shared" si="37"/>
        <v>#VALUE!</v>
      </c>
      <c r="AR89" s="114" t="str">
        <f t="shared" si="322"/>
        <v/>
      </c>
      <c r="AS89" s="115">
        <f t="shared" si="323"/>
        <v>0</v>
      </c>
      <c r="AT89" s="100" t="str">
        <f t="shared" si="324"/>
        <v/>
      </c>
      <c r="AU89" s="113" t="e">
        <f t="shared" si="41"/>
        <v>#VALUE!</v>
      </c>
      <c r="AV89" s="116" t="str">
        <f t="shared" si="325"/>
        <v/>
      </c>
      <c r="AW89" s="117">
        <f t="shared" si="326"/>
        <v>0</v>
      </c>
      <c r="AX89" s="100" t="str">
        <f t="shared" si="327"/>
        <v/>
      </c>
      <c r="AY89" s="113" t="e">
        <f t="shared" si="45"/>
        <v>#VALUE!</v>
      </c>
      <c r="AZ89" s="114" t="str">
        <f t="shared" si="328"/>
        <v/>
      </c>
      <c r="BA89" s="100">
        <f t="shared" si="329"/>
        <v>0</v>
      </c>
      <c r="BB89" s="118" t="e">
        <f t="shared" ref="BB89:BD89" si="407">BH89+AY89+AU89</f>
        <v>#VALUE!</v>
      </c>
      <c r="BC89" s="116" t="e">
        <f t="shared" si="407"/>
        <v>#VALUE!</v>
      </c>
      <c r="BD89" s="119">
        <f t="shared" si="407"/>
        <v>0</v>
      </c>
      <c r="BE89" s="118" t="e">
        <f t="shared" si="49"/>
        <v>#VALUE!</v>
      </c>
      <c r="BF89" s="116" t="e">
        <f t="shared" si="50"/>
        <v>#VALUE!</v>
      </c>
      <c r="BG89" s="119">
        <f t="shared" si="51"/>
        <v>0</v>
      </c>
      <c r="BH89" s="114" t="e">
        <f t="shared" si="52"/>
        <v>#VALUE!</v>
      </c>
      <c r="BI89" s="114" t="str">
        <f t="shared" si="331"/>
        <v/>
      </c>
      <c r="BJ89" s="115">
        <f t="shared" si="332"/>
        <v>0</v>
      </c>
      <c r="BK89" s="125" t="str">
        <f t="shared" si="333"/>
        <v/>
      </c>
      <c r="BL89" s="120" t="e">
        <f t="shared" si="56"/>
        <v>#VALUE!</v>
      </c>
      <c r="BM89" s="121" t="str">
        <f t="shared" si="334"/>
        <v/>
      </c>
      <c r="BN89" s="119">
        <f t="shared" si="335"/>
        <v>142754.37</v>
      </c>
      <c r="BO89" s="125" t="str">
        <f t="shared" si="336"/>
        <v/>
      </c>
      <c r="BP89" s="140" t="e">
        <f t="shared" si="60"/>
        <v>#VALUE!</v>
      </c>
      <c r="BQ89" s="123" t="str">
        <f t="shared" si="337"/>
        <v/>
      </c>
      <c r="BR89" s="125">
        <f t="shared" si="338"/>
        <v>0</v>
      </c>
      <c r="BS89" s="122" t="e">
        <f t="shared" si="63"/>
        <v>#VALUE!</v>
      </c>
      <c r="BT89" s="123">
        <f t="shared" ref="BT89:BU89" si="408">SUM(BI89,BM89,BQ89)</f>
        <v>0</v>
      </c>
      <c r="BU89" s="124">
        <f t="shared" si="408"/>
        <v>142754.37</v>
      </c>
      <c r="BV89" s="125" t="str">
        <f t="shared" si="340"/>
        <v/>
      </c>
      <c r="BW89" s="122" t="e">
        <f t="shared" si="66"/>
        <v>#VALUE!</v>
      </c>
      <c r="BX89" s="123" t="str">
        <f t="shared" si="341"/>
        <v/>
      </c>
      <c r="BY89" s="124">
        <f t="shared" si="342"/>
        <v>76462.679999999993</v>
      </c>
      <c r="BZ89" s="125" t="str">
        <f t="shared" si="343"/>
        <v/>
      </c>
      <c r="CA89" s="140"/>
      <c r="CB89" s="123"/>
      <c r="CC89" s="148"/>
      <c r="CD89" s="123" t="str">
        <f t="shared" si="344"/>
        <v/>
      </c>
      <c r="CF89" s="149"/>
    </row>
    <row r="90" spans="1:84" ht="14">
      <c r="A90" s="92">
        <f t="shared" si="304"/>
        <v>112013814</v>
      </c>
      <c r="B90" s="172">
        <f t="shared" si="362"/>
        <v>4</v>
      </c>
      <c r="C90" s="137" t="str">
        <f t="shared" si="363"/>
        <v>Lista</v>
      </c>
      <c r="D90" s="137">
        <f t="shared" si="364"/>
        <v>0.2</v>
      </c>
      <c r="E90" s="138">
        <f t="shared" si="365"/>
        <v>0</v>
      </c>
      <c r="F90" s="193">
        <f t="shared" si="382"/>
        <v>18</v>
      </c>
      <c r="G90" s="97" t="str">
        <f t="shared" si="305"/>
        <v>Lista</v>
      </c>
      <c r="H90" s="97">
        <f t="shared" si="306"/>
        <v>0.23</v>
      </c>
      <c r="I90" s="97">
        <f t="shared" si="307"/>
        <v>0</v>
      </c>
      <c r="J90" s="96">
        <f t="shared" si="308"/>
        <v>69</v>
      </c>
      <c r="K90" s="94" t="str">
        <f t="shared" si="309"/>
        <v>Lista</v>
      </c>
      <c r="L90" s="98">
        <f t="shared" si="310"/>
        <v>0.14000000000000001</v>
      </c>
      <c r="M90" s="139" t="s">
        <v>164</v>
      </c>
      <c r="N90" s="100" t="str">
        <f t="shared" si="311"/>
        <v/>
      </c>
      <c r="O90" s="140" t="e">
        <f t="shared" si="385"/>
        <v>#VALUE!</v>
      </c>
      <c r="P90" s="102">
        <f t="shared" si="13"/>
        <v>0</v>
      </c>
      <c r="Q90" s="102">
        <f t="shared" si="312"/>
        <v>0</v>
      </c>
      <c r="R90" s="102">
        <f t="shared" si="313"/>
        <v>0</v>
      </c>
      <c r="S90" s="102" t="e">
        <f t="shared" si="16"/>
        <v>#VALUE!</v>
      </c>
      <c r="T90" s="103" t="e">
        <f t="shared" si="17"/>
        <v>#VALUE!</v>
      </c>
      <c r="U90" s="100" t="str">
        <f t="shared" si="314"/>
        <v/>
      </c>
      <c r="V90" s="141" t="e">
        <f t="shared" si="386"/>
        <v>#VALUE!</v>
      </c>
      <c r="W90" s="105">
        <f t="shared" si="19"/>
        <v>0</v>
      </c>
      <c r="X90" s="102">
        <f t="shared" si="315"/>
        <v>0</v>
      </c>
      <c r="Y90" s="106">
        <f t="shared" si="316"/>
        <v>0</v>
      </c>
      <c r="Z90" s="142" t="e">
        <f t="shared" si="387"/>
        <v>#VALUE!</v>
      </c>
      <c r="AA90" s="143" t="str">
        <f t="shared" si="388"/>
        <v/>
      </c>
      <c r="AB90" s="100" t="str">
        <f t="shared" si="317"/>
        <v/>
      </c>
      <c r="AC90" s="140" t="e">
        <f t="shared" si="389"/>
        <v>#VALUE!</v>
      </c>
      <c r="AD90" s="102">
        <f t="shared" si="24"/>
        <v>0</v>
      </c>
      <c r="AE90" s="102">
        <f t="shared" si="318"/>
        <v>0</v>
      </c>
      <c r="AF90" s="102">
        <f t="shared" si="319"/>
        <v>0</v>
      </c>
      <c r="AG90" s="145" t="e">
        <f t="shared" si="390"/>
        <v>#VALUE!</v>
      </c>
      <c r="AH90" s="158" t="str">
        <f t="shared" si="391"/>
        <v/>
      </c>
      <c r="AI90" s="147" t="e">
        <f t="shared" si="392"/>
        <v>#VALUE!</v>
      </c>
      <c r="AJ90" s="111" t="str">
        <f t="shared" si="320"/>
        <v>0</v>
      </c>
      <c r="AK90" s="102">
        <f t="shared" si="31"/>
        <v>0</v>
      </c>
      <c r="AL90" s="102">
        <f t="shared" si="32"/>
        <v>0</v>
      </c>
      <c r="AM90" s="102">
        <f t="shared" si="33"/>
        <v>0</v>
      </c>
      <c r="AN90" s="102">
        <f t="shared" si="34"/>
        <v>0</v>
      </c>
      <c r="AO90" s="112" t="e">
        <f t="shared" si="35"/>
        <v>#DIV/0!</v>
      </c>
      <c r="AP90" s="100" t="str">
        <f t="shared" si="321"/>
        <v/>
      </c>
      <c r="AQ90" s="113">
        <f t="shared" si="37"/>
        <v>0</v>
      </c>
      <c r="AR90" s="114">
        <f t="shared" si="322"/>
        <v>0</v>
      </c>
      <c r="AS90" s="115">
        <f t="shared" si="323"/>
        <v>0</v>
      </c>
      <c r="AT90" s="100" t="str">
        <f t="shared" si="324"/>
        <v/>
      </c>
      <c r="AU90" s="113">
        <f t="shared" si="41"/>
        <v>0</v>
      </c>
      <c r="AV90" s="116">
        <f t="shared" si="325"/>
        <v>0</v>
      </c>
      <c r="AW90" s="117">
        <f t="shared" si="326"/>
        <v>0</v>
      </c>
      <c r="AX90" s="100" t="str">
        <f t="shared" si="327"/>
        <v/>
      </c>
      <c r="AY90" s="113">
        <f t="shared" si="45"/>
        <v>0</v>
      </c>
      <c r="AZ90" s="114">
        <f t="shared" si="328"/>
        <v>0</v>
      </c>
      <c r="BA90" s="100">
        <f t="shared" si="329"/>
        <v>0</v>
      </c>
      <c r="BB90" s="118">
        <f t="shared" ref="BB90:BD90" si="409">BH90+AY90+AU90</f>
        <v>0</v>
      </c>
      <c r="BC90" s="116">
        <f t="shared" si="409"/>
        <v>0</v>
      </c>
      <c r="BD90" s="119">
        <f t="shared" si="409"/>
        <v>0</v>
      </c>
      <c r="BE90" s="118">
        <f t="shared" si="49"/>
        <v>0</v>
      </c>
      <c r="BF90" s="116">
        <f t="shared" si="50"/>
        <v>0</v>
      </c>
      <c r="BG90" s="119">
        <f t="shared" si="51"/>
        <v>0</v>
      </c>
      <c r="BH90" s="114">
        <f t="shared" si="52"/>
        <v>0</v>
      </c>
      <c r="BI90" s="114">
        <f t="shared" si="331"/>
        <v>0</v>
      </c>
      <c r="BJ90" s="115">
        <f t="shared" si="332"/>
        <v>0</v>
      </c>
      <c r="BK90" s="125" t="str">
        <f t="shared" si="333"/>
        <v/>
      </c>
      <c r="BL90" s="120">
        <f t="shared" si="56"/>
        <v>0</v>
      </c>
      <c r="BM90" s="121">
        <f t="shared" si="334"/>
        <v>718194.97</v>
      </c>
      <c r="BN90" s="119">
        <f t="shared" si="335"/>
        <v>718194.97</v>
      </c>
      <c r="BO90" s="125" t="str">
        <f t="shared" si="336"/>
        <v/>
      </c>
      <c r="BP90" s="140">
        <f t="shared" si="60"/>
        <v>0</v>
      </c>
      <c r="BQ90" s="123">
        <f t="shared" si="337"/>
        <v>0</v>
      </c>
      <c r="BR90" s="125">
        <f t="shared" si="338"/>
        <v>0</v>
      </c>
      <c r="BS90" s="122">
        <f t="shared" si="63"/>
        <v>0</v>
      </c>
      <c r="BT90" s="123">
        <f t="shared" ref="BT90:BU90" si="410">SUM(BI90,BM90,BQ90)</f>
        <v>718194.97</v>
      </c>
      <c r="BU90" s="124">
        <f t="shared" si="410"/>
        <v>718194.97</v>
      </c>
      <c r="BV90" s="125" t="str">
        <f t="shared" si="340"/>
        <v/>
      </c>
      <c r="BW90" s="122">
        <f t="shared" si="66"/>
        <v>0</v>
      </c>
      <c r="BX90" s="123">
        <f t="shared" si="341"/>
        <v>0</v>
      </c>
      <c r="BY90" s="124">
        <f t="shared" si="342"/>
        <v>0</v>
      </c>
      <c r="BZ90" s="125" t="str">
        <f t="shared" si="343"/>
        <v/>
      </c>
      <c r="CA90" s="140"/>
      <c r="CB90" s="123"/>
      <c r="CC90" s="148"/>
      <c r="CD90" s="123" t="str">
        <f t="shared" si="344"/>
        <v/>
      </c>
      <c r="CF90" s="149"/>
    </row>
    <row r="91" spans="1:84" ht="14">
      <c r="A91" s="92">
        <f t="shared" si="304"/>
        <v>112014535</v>
      </c>
      <c r="B91" s="172">
        <f t="shared" si="362"/>
        <v>4</v>
      </c>
      <c r="C91" s="137" t="str">
        <f t="shared" si="363"/>
        <v>Lista</v>
      </c>
      <c r="D91" s="137">
        <f t="shared" si="364"/>
        <v>0.2</v>
      </c>
      <c r="E91" s="138">
        <f t="shared" si="365"/>
        <v>0</v>
      </c>
      <c r="F91" s="193">
        <f t="shared" si="382"/>
        <v>4</v>
      </c>
      <c r="G91" s="97" t="str">
        <f t="shared" si="305"/>
        <v>Lista</v>
      </c>
      <c r="H91" s="97">
        <f t="shared" si="306"/>
        <v>0.2</v>
      </c>
      <c r="I91" s="97">
        <f t="shared" si="307"/>
        <v>0</v>
      </c>
      <c r="J91" s="96">
        <f t="shared" si="308"/>
        <v>70</v>
      </c>
      <c r="K91" s="94" t="str">
        <f t="shared" si="309"/>
        <v>Lista</v>
      </c>
      <c r="L91" s="98">
        <f t="shared" si="310"/>
        <v>0.11</v>
      </c>
      <c r="M91" s="139" t="s">
        <v>165</v>
      </c>
      <c r="N91" s="100">
        <f t="shared" si="311"/>
        <v>0</v>
      </c>
      <c r="O91" s="140">
        <f t="shared" si="385"/>
        <v>0</v>
      </c>
      <c r="P91" s="102">
        <f t="shared" si="13"/>
        <v>0</v>
      </c>
      <c r="Q91" s="102">
        <f t="shared" si="312"/>
        <v>170384.85</v>
      </c>
      <c r="R91" s="102">
        <f t="shared" si="313"/>
        <v>170384.85</v>
      </c>
      <c r="S91" s="102">
        <f t="shared" si="16"/>
        <v>170384.85</v>
      </c>
      <c r="T91" s="103" t="e">
        <f t="shared" si="17"/>
        <v>#DIV/0!</v>
      </c>
      <c r="U91" s="100">
        <f t="shared" si="314"/>
        <v>0</v>
      </c>
      <c r="V91" s="141">
        <f t="shared" si="386"/>
        <v>0</v>
      </c>
      <c r="W91" s="105">
        <f t="shared" si="19"/>
        <v>0</v>
      </c>
      <c r="X91" s="102">
        <f t="shared" si="315"/>
        <v>151139.34</v>
      </c>
      <c r="Y91" s="106">
        <f t="shared" si="316"/>
        <v>151139.34</v>
      </c>
      <c r="Z91" s="142">
        <f t="shared" si="387"/>
        <v>151139.34</v>
      </c>
      <c r="AA91" s="143" t="str">
        <f t="shared" si="388"/>
        <v/>
      </c>
      <c r="AB91" s="100">
        <f t="shared" si="317"/>
        <v>0</v>
      </c>
      <c r="AC91" s="140">
        <f t="shared" si="389"/>
        <v>0</v>
      </c>
      <c r="AD91" s="102">
        <f t="shared" si="24"/>
        <v>0</v>
      </c>
      <c r="AE91" s="102">
        <f t="shared" si="318"/>
        <v>416031.77</v>
      </c>
      <c r="AF91" s="102">
        <f t="shared" si="319"/>
        <v>416031.77</v>
      </c>
      <c r="AG91" s="199">
        <f t="shared" si="390"/>
        <v>416031.77</v>
      </c>
      <c r="AH91" s="158" t="str">
        <f t="shared" si="391"/>
        <v/>
      </c>
      <c r="AI91" s="147">
        <f t="shared" si="392"/>
        <v>0</v>
      </c>
      <c r="AJ91" s="111">
        <f t="shared" si="320"/>
        <v>551432.99</v>
      </c>
      <c r="AK91" s="102">
        <f t="shared" si="31"/>
        <v>737555.96</v>
      </c>
      <c r="AL91" s="102">
        <f t="shared" si="32"/>
        <v>0</v>
      </c>
      <c r="AM91" s="102">
        <f t="shared" si="33"/>
        <v>737555.96</v>
      </c>
      <c r="AN91" s="102">
        <f t="shared" si="34"/>
        <v>186122.96999999997</v>
      </c>
      <c r="AO91" s="112">
        <f t="shared" si="35"/>
        <v>1.3375259974924605</v>
      </c>
      <c r="AP91" s="100">
        <f t="shared" si="321"/>
        <v>0</v>
      </c>
      <c r="AQ91" s="113">
        <f t="shared" si="37"/>
        <v>0</v>
      </c>
      <c r="AR91" s="114">
        <f t="shared" si="322"/>
        <v>364596.72</v>
      </c>
      <c r="AS91" s="115">
        <f t="shared" si="323"/>
        <v>364596.72</v>
      </c>
      <c r="AT91" s="100">
        <f t="shared" si="324"/>
        <v>0</v>
      </c>
      <c r="AU91" s="113">
        <f t="shared" si="41"/>
        <v>0</v>
      </c>
      <c r="AV91" s="116">
        <f t="shared" si="325"/>
        <v>157837.29999999999</v>
      </c>
      <c r="AW91" s="117">
        <f t="shared" si="326"/>
        <v>157837.29999999999</v>
      </c>
      <c r="AX91" s="100">
        <f t="shared" si="327"/>
        <v>0</v>
      </c>
      <c r="AY91" s="113">
        <f t="shared" si="45"/>
        <v>0</v>
      </c>
      <c r="AZ91" s="114">
        <f t="shared" si="328"/>
        <v>231447.05</v>
      </c>
      <c r="BA91" s="100">
        <f t="shared" si="329"/>
        <v>231447.05</v>
      </c>
      <c r="BB91" s="118">
        <f t="shared" ref="BB91:BD91" si="411">BH91+AY91+AU91</f>
        <v>0</v>
      </c>
      <c r="BC91" s="116">
        <f t="shared" si="411"/>
        <v>579318.39999999991</v>
      </c>
      <c r="BD91" s="119">
        <f t="shared" si="411"/>
        <v>579318.39999999991</v>
      </c>
      <c r="BE91" s="118">
        <f t="shared" si="49"/>
        <v>0</v>
      </c>
      <c r="BF91" s="116">
        <f t="shared" si="50"/>
        <v>1316874.3599999999</v>
      </c>
      <c r="BG91" s="119">
        <f t="shared" si="51"/>
        <v>1316874.3599999999</v>
      </c>
      <c r="BH91" s="114">
        <f t="shared" si="52"/>
        <v>0</v>
      </c>
      <c r="BI91" s="114">
        <f t="shared" si="331"/>
        <v>190034.05</v>
      </c>
      <c r="BJ91" s="115">
        <f t="shared" si="332"/>
        <v>190034.05</v>
      </c>
      <c r="BK91" s="125">
        <f t="shared" si="333"/>
        <v>191411.73</v>
      </c>
      <c r="BL91" s="120">
        <f t="shared" si="56"/>
        <v>0</v>
      </c>
      <c r="BM91" s="121">
        <f t="shared" si="334"/>
        <v>157462.68</v>
      </c>
      <c r="BN91" s="119">
        <f t="shared" si="335"/>
        <v>157462.68</v>
      </c>
      <c r="BO91" s="125">
        <f t="shared" si="336"/>
        <v>0</v>
      </c>
      <c r="BP91" s="140">
        <f t="shared" si="60"/>
        <v>71388.140000000014</v>
      </c>
      <c r="BQ91" s="123">
        <f t="shared" si="337"/>
        <v>72520.03</v>
      </c>
      <c r="BR91" s="125">
        <f t="shared" si="338"/>
        <v>143908.17000000001</v>
      </c>
      <c r="BS91" s="122">
        <f t="shared" si="63"/>
        <v>71388.140000000014</v>
      </c>
      <c r="BT91" s="123">
        <f t="shared" ref="BT91:BU91" si="412">SUM(BI91,BM91,BQ91)</f>
        <v>420016.76</v>
      </c>
      <c r="BU91" s="124">
        <f t="shared" si="412"/>
        <v>491404.9</v>
      </c>
      <c r="BV91" s="125">
        <f t="shared" si="340"/>
        <v>139535.92000000001</v>
      </c>
      <c r="BW91" s="122">
        <f t="shared" si="66"/>
        <v>0</v>
      </c>
      <c r="BX91" s="123">
        <f t="shared" si="341"/>
        <v>49087.42</v>
      </c>
      <c r="BY91" s="124">
        <f t="shared" si="342"/>
        <v>49087.42</v>
      </c>
      <c r="BZ91" s="125">
        <f t="shared" si="343"/>
        <v>167313.21</v>
      </c>
      <c r="CA91" s="140"/>
      <c r="CB91" s="123"/>
      <c r="CC91" s="148"/>
      <c r="CD91" s="123">
        <f t="shared" si="344"/>
        <v>244583.86</v>
      </c>
      <c r="CF91" s="149"/>
    </row>
    <row r="92" spans="1:84" ht="13">
      <c r="A92" s="92">
        <f t="shared" si="304"/>
        <v>112013197</v>
      </c>
      <c r="B92" s="172">
        <f t="shared" si="362"/>
        <v>4</v>
      </c>
      <c r="C92" s="137" t="str">
        <f t="shared" si="363"/>
        <v>Lista</v>
      </c>
      <c r="D92" s="137">
        <f t="shared" si="364"/>
        <v>0.2</v>
      </c>
      <c r="E92" s="138">
        <f t="shared" si="365"/>
        <v>0</v>
      </c>
      <c r="F92" s="193">
        <f t="shared" si="382"/>
        <v>4</v>
      </c>
      <c r="G92" s="97" t="str">
        <f t="shared" si="305"/>
        <v>Lista</v>
      </c>
      <c r="H92" s="97">
        <f t="shared" si="306"/>
        <v>0.2</v>
      </c>
      <c r="I92" s="97">
        <f t="shared" si="307"/>
        <v>0</v>
      </c>
      <c r="J92" s="96">
        <f t="shared" si="308"/>
        <v>70</v>
      </c>
      <c r="K92" s="94" t="str">
        <f t="shared" si="309"/>
        <v>Lista</v>
      </c>
      <c r="L92" s="98">
        <f t="shared" si="310"/>
        <v>0.11</v>
      </c>
      <c r="M92" s="139" t="s">
        <v>166</v>
      </c>
      <c r="N92" s="100">
        <f t="shared" si="311"/>
        <v>879668.23</v>
      </c>
      <c r="O92" s="140">
        <f t="shared" si="385"/>
        <v>1478766.2780415001</v>
      </c>
      <c r="P92" s="102">
        <f t="shared" si="13"/>
        <v>562746.03</v>
      </c>
      <c r="Q92" s="102">
        <f t="shared" si="312"/>
        <v>460823.18</v>
      </c>
      <c r="R92" s="102">
        <f t="shared" si="313"/>
        <v>1023569.21</v>
      </c>
      <c r="S92" s="102">
        <f t="shared" si="16"/>
        <v>-455197.06804150017</v>
      </c>
      <c r="T92" s="103">
        <f t="shared" si="17"/>
        <v>0.69217781416792257</v>
      </c>
      <c r="U92" s="100">
        <f t="shared" si="314"/>
        <v>616509.89</v>
      </c>
      <c r="V92" s="141">
        <f t="shared" si="386"/>
        <v>1063171.3053049999</v>
      </c>
      <c r="W92" s="105">
        <f t="shared" si="19"/>
        <v>939355.8600000001</v>
      </c>
      <c r="X92" s="102">
        <f t="shared" si="315"/>
        <v>228410.23999999999</v>
      </c>
      <c r="Y92" s="106">
        <f t="shared" si="316"/>
        <v>1167766.1000000001</v>
      </c>
      <c r="Z92" s="142">
        <f t="shared" si="387"/>
        <v>104594.79469500016</v>
      </c>
      <c r="AA92" s="143">
        <f t="shared" si="388"/>
        <v>1.0983800015793261</v>
      </c>
      <c r="AB92" s="100">
        <f t="shared" si="317"/>
        <v>402047.74</v>
      </c>
      <c r="AC92" s="140">
        <f t="shared" si="389"/>
        <v>660711.18424510001</v>
      </c>
      <c r="AD92" s="102">
        <f t="shared" si="24"/>
        <v>694294.03</v>
      </c>
      <c r="AE92" s="102">
        <f t="shared" si="318"/>
        <v>284680.59999999998</v>
      </c>
      <c r="AF92" s="102">
        <f t="shared" si="319"/>
        <v>978974.63</v>
      </c>
      <c r="AG92" s="199">
        <f t="shared" si="390"/>
        <v>318263.44575489999</v>
      </c>
      <c r="AH92" s="158">
        <f t="shared" si="391"/>
        <v>1.4816982871548239</v>
      </c>
      <c r="AI92" s="147">
        <f t="shared" si="392"/>
        <v>3202648.7675916003</v>
      </c>
      <c r="AJ92" s="111">
        <f t="shared" si="320"/>
        <v>2341909.38</v>
      </c>
      <c r="AK92" s="102">
        <f t="shared" si="31"/>
        <v>973914.02</v>
      </c>
      <c r="AL92" s="102">
        <f t="shared" si="32"/>
        <v>2196395.92</v>
      </c>
      <c r="AM92" s="102">
        <f t="shared" si="33"/>
        <v>3170309.94</v>
      </c>
      <c r="AN92" s="102">
        <f t="shared" si="34"/>
        <v>828400.56</v>
      </c>
      <c r="AO92" s="112">
        <f t="shared" si="35"/>
        <v>1.3537286997842761</v>
      </c>
      <c r="AP92" s="100">
        <f t="shared" si="321"/>
        <v>1016151.17</v>
      </c>
      <c r="AQ92" s="113">
        <f t="shared" si="37"/>
        <v>342464.51000000007</v>
      </c>
      <c r="AR92" s="114">
        <f t="shared" si="322"/>
        <v>290634.15999999997</v>
      </c>
      <c r="AS92" s="115">
        <f t="shared" si="323"/>
        <v>633098.67000000004</v>
      </c>
      <c r="AT92" s="100">
        <f t="shared" si="324"/>
        <v>543426.02</v>
      </c>
      <c r="AU92" s="113">
        <f t="shared" si="41"/>
        <v>576218.26</v>
      </c>
      <c r="AV92" s="116">
        <f t="shared" si="325"/>
        <v>166329.92000000001</v>
      </c>
      <c r="AW92" s="117">
        <f t="shared" si="326"/>
        <v>742548.18</v>
      </c>
      <c r="AX92" s="100">
        <f t="shared" si="327"/>
        <v>768746.55</v>
      </c>
      <c r="AY92" s="113">
        <f t="shared" si="45"/>
        <v>442341.67</v>
      </c>
      <c r="AZ92" s="114">
        <f t="shared" si="328"/>
        <v>378495.3</v>
      </c>
      <c r="BA92" s="100">
        <f t="shared" si="329"/>
        <v>820836.97</v>
      </c>
      <c r="BB92" s="118">
        <f t="shared" ref="BB92:BD92" si="413">BH92+AY92+AU92</f>
        <v>1883535.67</v>
      </c>
      <c r="BC92" s="116">
        <f t="shared" si="413"/>
        <v>1048669.94</v>
      </c>
      <c r="BD92" s="119">
        <f t="shared" si="413"/>
        <v>2932205.61</v>
      </c>
      <c r="BE92" s="118">
        <f t="shared" si="49"/>
        <v>4079931.59</v>
      </c>
      <c r="BF92" s="116">
        <f t="shared" si="50"/>
        <v>2022583.96</v>
      </c>
      <c r="BG92" s="119">
        <f t="shared" si="51"/>
        <v>6102515.5499999998</v>
      </c>
      <c r="BH92" s="114">
        <f t="shared" si="52"/>
        <v>864975.74</v>
      </c>
      <c r="BI92" s="114">
        <f t="shared" si="331"/>
        <v>503844.72</v>
      </c>
      <c r="BJ92" s="115">
        <f t="shared" si="332"/>
        <v>1368820.46</v>
      </c>
      <c r="BK92" s="125">
        <f t="shared" si="333"/>
        <v>811127.84</v>
      </c>
      <c r="BL92" s="120">
        <f t="shared" si="56"/>
        <v>339485.74</v>
      </c>
      <c r="BM92" s="121">
        <f t="shared" si="334"/>
        <v>331343.09999999998</v>
      </c>
      <c r="BN92" s="119">
        <f t="shared" si="335"/>
        <v>670828.84</v>
      </c>
      <c r="BO92" s="125">
        <f t="shared" si="336"/>
        <v>483035.34</v>
      </c>
      <c r="BP92" s="140">
        <f t="shared" si="60"/>
        <v>1040031.2999999999</v>
      </c>
      <c r="BQ92" s="123">
        <f t="shared" si="337"/>
        <v>508480.4</v>
      </c>
      <c r="BR92" s="125">
        <f t="shared" si="338"/>
        <v>1548511.7</v>
      </c>
      <c r="BS92" s="122">
        <f t="shared" si="63"/>
        <v>2244492.7799999998</v>
      </c>
      <c r="BT92" s="123">
        <f t="shared" ref="BT92:BU92" si="414">SUM(BI92,BM92,BQ92)</f>
        <v>1343668.22</v>
      </c>
      <c r="BU92" s="124">
        <f t="shared" si="414"/>
        <v>3588161</v>
      </c>
      <c r="BV92" s="125">
        <f t="shared" si="340"/>
        <v>623395.69999999995</v>
      </c>
      <c r="BW92" s="122">
        <f t="shared" si="66"/>
        <v>647310.01</v>
      </c>
      <c r="BX92" s="123">
        <f t="shared" si="341"/>
        <v>266736.55</v>
      </c>
      <c r="BY92" s="124">
        <f t="shared" si="342"/>
        <v>914046.56</v>
      </c>
      <c r="BZ92" s="125">
        <f t="shared" si="343"/>
        <v>622451.01</v>
      </c>
      <c r="CA92" s="140"/>
      <c r="CB92" s="123"/>
      <c r="CC92" s="148"/>
      <c r="CD92" s="123">
        <f t="shared" si="344"/>
        <v>1096062.67</v>
      </c>
      <c r="CF92" s="149"/>
    </row>
    <row r="93" spans="1:84" ht="13">
      <c r="A93" s="92">
        <f t="shared" si="304"/>
        <v>112014073</v>
      </c>
      <c r="B93" s="172">
        <f t="shared" si="362"/>
        <v>4</v>
      </c>
      <c r="C93" s="137" t="str">
        <f t="shared" si="363"/>
        <v>Lista</v>
      </c>
      <c r="D93" s="137">
        <f t="shared" si="364"/>
        <v>0.2</v>
      </c>
      <c r="E93" s="138">
        <f t="shared" si="365"/>
        <v>0</v>
      </c>
      <c r="F93" s="193">
        <f t="shared" si="382"/>
        <v>4</v>
      </c>
      <c r="G93" s="97" t="str">
        <f t="shared" si="305"/>
        <v>Lista</v>
      </c>
      <c r="H93" s="97">
        <f t="shared" si="306"/>
        <v>0.2</v>
      </c>
      <c r="I93" s="97">
        <f t="shared" si="307"/>
        <v>0</v>
      </c>
      <c r="J93" s="96">
        <f t="shared" si="308"/>
        <v>70</v>
      </c>
      <c r="K93" s="94" t="str">
        <f t="shared" si="309"/>
        <v>Lista</v>
      </c>
      <c r="L93" s="98">
        <f t="shared" si="310"/>
        <v>0.11</v>
      </c>
      <c r="M93" s="139" t="s">
        <v>167</v>
      </c>
      <c r="N93" s="100">
        <f t="shared" si="311"/>
        <v>325367.21999999997</v>
      </c>
      <c r="O93" s="140">
        <f t="shared" si="385"/>
        <v>546958.56518099993</v>
      </c>
      <c r="P93" s="102" t="e">
        <f t="shared" si="13"/>
        <v>#VALUE!</v>
      </c>
      <c r="Q93" s="102" t="str">
        <f t="shared" si="312"/>
        <v/>
      </c>
      <c r="R93" s="102">
        <f t="shared" si="313"/>
        <v>1014896.06</v>
      </c>
      <c r="S93" s="102">
        <f t="shared" si="16"/>
        <v>467937.49481900013</v>
      </c>
      <c r="T93" s="103">
        <f t="shared" si="17"/>
        <v>1.8555264047545355</v>
      </c>
      <c r="U93" s="100">
        <f t="shared" si="314"/>
        <v>276454.21999999997</v>
      </c>
      <c r="V93" s="141">
        <f t="shared" si="386"/>
        <v>476745.30238999991</v>
      </c>
      <c r="W93" s="105" t="e">
        <f t="shared" si="19"/>
        <v>#VALUE!</v>
      </c>
      <c r="X93" s="102" t="str">
        <f t="shared" si="315"/>
        <v/>
      </c>
      <c r="Y93" s="106">
        <f t="shared" si="316"/>
        <v>0</v>
      </c>
      <c r="Z93" s="142">
        <f t="shared" si="387"/>
        <v>-476745.30238999991</v>
      </c>
      <c r="AA93" s="143">
        <f t="shared" si="388"/>
        <v>0</v>
      </c>
      <c r="AB93" s="100">
        <f t="shared" si="317"/>
        <v>1118345.93</v>
      </c>
      <c r="AC93" s="140">
        <f t="shared" si="389"/>
        <v>1837850.5592544498</v>
      </c>
      <c r="AD93" s="102" t="e">
        <f t="shared" si="24"/>
        <v>#VALUE!</v>
      </c>
      <c r="AE93" s="102" t="str">
        <f t="shared" si="318"/>
        <v/>
      </c>
      <c r="AF93" s="102">
        <f t="shared" si="319"/>
        <v>1070309.56</v>
      </c>
      <c r="AG93" s="199">
        <f t="shared" si="390"/>
        <v>-767540.99925444974</v>
      </c>
      <c r="AH93" s="158">
        <f t="shared" si="391"/>
        <v>0.58237028827533521</v>
      </c>
      <c r="AI93" s="147">
        <f t="shared" si="392"/>
        <v>2861554.4268254498</v>
      </c>
      <c r="AJ93" s="111">
        <f t="shared" si="320"/>
        <v>696071.91</v>
      </c>
      <c r="AK93" s="102">
        <f t="shared" si="31"/>
        <v>0</v>
      </c>
      <c r="AL93" s="102" t="e">
        <f t="shared" si="32"/>
        <v>#VALUE!</v>
      </c>
      <c r="AM93" s="102">
        <f t="shared" si="33"/>
        <v>2085205.62</v>
      </c>
      <c r="AN93" s="102">
        <f t="shared" si="34"/>
        <v>1389133.71</v>
      </c>
      <c r="AO93" s="112">
        <f t="shared" si="35"/>
        <v>2.9956755761053482</v>
      </c>
      <c r="AP93" s="100">
        <f t="shared" si="321"/>
        <v>0</v>
      </c>
      <c r="AQ93" s="113" t="e">
        <f t="shared" si="37"/>
        <v>#VALUE!</v>
      </c>
      <c r="AR93" s="114" t="str">
        <f t="shared" si="322"/>
        <v/>
      </c>
      <c r="AS93" s="115">
        <f t="shared" si="323"/>
        <v>0</v>
      </c>
      <c r="AT93" s="100">
        <f t="shared" si="324"/>
        <v>0</v>
      </c>
      <c r="AU93" s="113" t="e">
        <f t="shared" si="41"/>
        <v>#VALUE!</v>
      </c>
      <c r="AV93" s="116" t="str">
        <f t="shared" si="325"/>
        <v/>
      </c>
      <c r="AW93" s="117">
        <f t="shared" si="326"/>
        <v>0</v>
      </c>
      <c r="AX93" s="100">
        <f t="shared" si="327"/>
        <v>0</v>
      </c>
      <c r="AY93" s="113" t="e">
        <f t="shared" si="45"/>
        <v>#VALUE!</v>
      </c>
      <c r="AZ93" s="114" t="str">
        <f t="shared" si="328"/>
        <v/>
      </c>
      <c r="BA93" s="100">
        <f t="shared" si="329"/>
        <v>0</v>
      </c>
      <c r="BB93" s="118" t="e">
        <f t="shared" ref="BB93:BD93" si="415">BH93+AY93+AU93</f>
        <v>#VALUE!</v>
      </c>
      <c r="BC93" s="116" t="e">
        <f t="shared" si="415"/>
        <v>#VALUE!</v>
      </c>
      <c r="BD93" s="119">
        <f t="shared" si="415"/>
        <v>1226047.3400000001</v>
      </c>
      <c r="BE93" s="118" t="e">
        <f t="shared" si="49"/>
        <v>#VALUE!</v>
      </c>
      <c r="BF93" s="116" t="e">
        <f t="shared" si="50"/>
        <v>#VALUE!</v>
      </c>
      <c r="BG93" s="119">
        <f t="shared" si="51"/>
        <v>3311252.96</v>
      </c>
      <c r="BH93" s="114" t="e">
        <f t="shared" si="52"/>
        <v>#VALUE!</v>
      </c>
      <c r="BI93" s="114" t="str">
        <f t="shared" si="331"/>
        <v/>
      </c>
      <c r="BJ93" s="115">
        <f t="shared" si="332"/>
        <v>1226047.3400000001</v>
      </c>
      <c r="BK93" s="125">
        <f t="shared" si="333"/>
        <v>52225.87</v>
      </c>
      <c r="BL93" s="120" t="e">
        <f t="shared" si="56"/>
        <v>#VALUE!</v>
      </c>
      <c r="BM93" s="121" t="str">
        <f t="shared" si="334"/>
        <v/>
      </c>
      <c r="BN93" s="119">
        <f t="shared" si="335"/>
        <v>0</v>
      </c>
      <c r="BO93" s="125">
        <f t="shared" si="336"/>
        <v>0</v>
      </c>
      <c r="BP93" s="140" t="e">
        <f t="shared" si="60"/>
        <v>#VALUE!</v>
      </c>
      <c r="BQ93" s="123" t="str">
        <f t="shared" si="337"/>
        <v/>
      </c>
      <c r="BR93" s="125">
        <f t="shared" si="338"/>
        <v>0</v>
      </c>
      <c r="BS93" s="122" t="e">
        <f t="shared" si="63"/>
        <v>#VALUE!</v>
      </c>
      <c r="BT93" s="123">
        <f t="shared" ref="BT93:BU93" si="416">SUM(BI93,BM93,BQ93)</f>
        <v>0</v>
      </c>
      <c r="BU93" s="124">
        <f t="shared" si="416"/>
        <v>1226047.3400000001</v>
      </c>
      <c r="BV93" s="125">
        <f t="shared" si="340"/>
        <v>696071.91</v>
      </c>
      <c r="BW93" s="122" t="e">
        <f t="shared" si="66"/>
        <v>#VALUE!</v>
      </c>
      <c r="BX93" s="123" t="str">
        <f t="shared" si="341"/>
        <v/>
      </c>
      <c r="BY93" s="124">
        <f t="shared" si="342"/>
        <v>0</v>
      </c>
      <c r="BZ93" s="125">
        <f t="shared" si="343"/>
        <v>0</v>
      </c>
      <c r="CA93" s="140"/>
      <c r="CB93" s="123"/>
      <c r="CC93" s="148"/>
      <c r="CD93" s="123">
        <f t="shared" si="344"/>
        <v>0</v>
      </c>
      <c r="CF93" s="149"/>
    </row>
    <row r="94" spans="1:84" ht="13">
      <c r="A94" s="92">
        <f t="shared" si="304"/>
        <v>112014137</v>
      </c>
      <c r="B94" s="172">
        <f t="shared" si="362"/>
        <v>4</v>
      </c>
      <c r="C94" s="137" t="str">
        <f t="shared" si="363"/>
        <v>Lista</v>
      </c>
      <c r="D94" s="137">
        <f t="shared" si="364"/>
        <v>0.2</v>
      </c>
      <c r="E94" s="138">
        <f t="shared" si="365"/>
        <v>0</v>
      </c>
      <c r="F94" s="193">
        <f t="shared" si="382"/>
        <v>4</v>
      </c>
      <c r="G94" s="97" t="str">
        <f t="shared" si="305"/>
        <v>Lista</v>
      </c>
      <c r="H94" s="97">
        <f t="shared" si="306"/>
        <v>0.2</v>
      </c>
      <c r="I94" s="97">
        <f t="shared" si="307"/>
        <v>0</v>
      </c>
      <c r="J94" s="96">
        <f t="shared" si="308"/>
        <v>70</v>
      </c>
      <c r="K94" s="94" t="str">
        <f t="shared" si="309"/>
        <v>Lista</v>
      </c>
      <c r="L94" s="98">
        <f t="shared" si="310"/>
        <v>0.11</v>
      </c>
      <c r="M94" s="139" t="s">
        <v>168</v>
      </c>
      <c r="N94" s="100">
        <f t="shared" si="311"/>
        <v>513819.61</v>
      </c>
      <c r="O94" s="140">
        <f t="shared" si="385"/>
        <v>863756.45539050002</v>
      </c>
      <c r="P94" s="102">
        <f t="shared" si="13"/>
        <v>0</v>
      </c>
      <c r="Q94" s="102">
        <f t="shared" si="312"/>
        <v>187955.3</v>
      </c>
      <c r="R94" s="102">
        <f t="shared" si="313"/>
        <v>187955.3</v>
      </c>
      <c r="S94" s="102">
        <f t="shared" si="16"/>
        <v>-675801.15539050009</v>
      </c>
      <c r="T94" s="103">
        <f t="shared" si="17"/>
        <v>0.21760219426091157</v>
      </c>
      <c r="U94" s="100">
        <f t="shared" si="314"/>
        <v>345772.32</v>
      </c>
      <c r="V94" s="141">
        <f t="shared" si="386"/>
        <v>596284.36583999998</v>
      </c>
      <c r="W94" s="105">
        <f t="shared" si="19"/>
        <v>0</v>
      </c>
      <c r="X94" s="102">
        <f t="shared" si="315"/>
        <v>0</v>
      </c>
      <c r="Y94" s="106">
        <f t="shared" si="316"/>
        <v>0</v>
      </c>
      <c r="Z94" s="142">
        <f t="shared" si="387"/>
        <v>-596284.36583999998</v>
      </c>
      <c r="AA94" s="143">
        <f t="shared" si="388"/>
        <v>0</v>
      </c>
      <c r="AB94" s="100">
        <f t="shared" si="317"/>
        <v>159992.42000000001</v>
      </c>
      <c r="AC94" s="140">
        <f t="shared" si="389"/>
        <v>262925.94329329999</v>
      </c>
      <c r="AD94" s="102">
        <f t="shared" si="24"/>
        <v>0</v>
      </c>
      <c r="AE94" s="102">
        <f t="shared" si="318"/>
        <v>274822.94</v>
      </c>
      <c r="AF94" s="102">
        <f t="shared" si="319"/>
        <v>274822.94</v>
      </c>
      <c r="AG94" s="199">
        <f t="shared" si="390"/>
        <v>11896.996706700011</v>
      </c>
      <c r="AH94" s="158">
        <f t="shared" si="391"/>
        <v>1.0452484701877769</v>
      </c>
      <c r="AI94" s="147">
        <f t="shared" si="392"/>
        <v>1722966.7645238</v>
      </c>
      <c r="AJ94" s="111">
        <f t="shared" si="320"/>
        <v>313213.36</v>
      </c>
      <c r="AK94" s="102">
        <f t="shared" si="31"/>
        <v>462778.24</v>
      </c>
      <c r="AL94" s="102">
        <f t="shared" si="32"/>
        <v>0</v>
      </c>
      <c r="AM94" s="102">
        <f t="shared" si="33"/>
        <v>462778.24</v>
      </c>
      <c r="AN94" s="102">
        <f t="shared" si="34"/>
        <v>149564.88</v>
      </c>
      <c r="AO94" s="112">
        <f t="shared" si="35"/>
        <v>1.4775175618306959</v>
      </c>
      <c r="AP94" s="100">
        <f t="shared" si="321"/>
        <v>471280.6</v>
      </c>
      <c r="AQ94" s="113">
        <f t="shared" si="37"/>
        <v>0</v>
      </c>
      <c r="AR94" s="114">
        <f t="shared" si="322"/>
        <v>811233.92</v>
      </c>
      <c r="AS94" s="115">
        <f t="shared" si="323"/>
        <v>811233.92</v>
      </c>
      <c r="AT94" s="100">
        <f t="shared" si="324"/>
        <v>126245.04</v>
      </c>
      <c r="AU94" s="113">
        <f t="shared" si="41"/>
        <v>0</v>
      </c>
      <c r="AV94" s="116">
        <f t="shared" si="325"/>
        <v>539931.84</v>
      </c>
      <c r="AW94" s="117">
        <f t="shared" si="326"/>
        <v>539931.84</v>
      </c>
      <c r="AX94" s="100">
        <f t="shared" si="327"/>
        <v>0</v>
      </c>
      <c r="AY94" s="113">
        <f t="shared" si="45"/>
        <v>0</v>
      </c>
      <c r="AZ94" s="114">
        <f t="shared" si="328"/>
        <v>147572.88</v>
      </c>
      <c r="BA94" s="100">
        <f t="shared" si="329"/>
        <v>147572.88</v>
      </c>
      <c r="BB94" s="118">
        <f t="shared" ref="BB94:BD94" si="417">BH94+AY94+AU94</f>
        <v>0</v>
      </c>
      <c r="BC94" s="116">
        <f t="shared" si="417"/>
        <v>1300184.8199999998</v>
      </c>
      <c r="BD94" s="119">
        <f t="shared" si="417"/>
        <v>1300184.8199999998</v>
      </c>
      <c r="BE94" s="118">
        <f t="shared" si="49"/>
        <v>0</v>
      </c>
      <c r="BF94" s="116">
        <f t="shared" si="50"/>
        <v>1762963.0599999998</v>
      </c>
      <c r="BG94" s="119">
        <f t="shared" si="51"/>
        <v>1762963.0599999998</v>
      </c>
      <c r="BH94" s="114">
        <f t="shared" si="52"/>
        <v>0</v>
      </c>
      <c r="BI94" s="114">
        <f t="shared" si="331"/>
        <v>612680.1</v>
      </c>
      <c r="BJ94" s="115">
        <f t="shared" si="332"/>
        <v>612680.1</v>
      </c>
      <c r="BK94" s="125">
        <f t="shared" si="333"/>
        <v>361728.3</v>
      </c>
      <c r="BL94" s="120">
        <f t="shared" si="56"/>
        <v>0</v>
      </c>
      <c r="BM94" s="121">
        <f t="shared" si="334"/>
        <v>1089654.9099999999</v>
      </c>
      <c r="BN94" s="119">
        <f t="shared" si="335"/>
        <v>1089654.9099999999</v>
      </c>
      <c r="BO94" s="125">
        <f t="shared" si="336"/>
        <v>410890.32</v>
      </c>
      <c r="BP94" s="140">
        <f t="shared" si="60"/>
        <v>0</v>
      </c>
      <c r="BQ94" s="123">
        <f t="shared" si="337"/>
        <v>511832.37</v>
      </c>
      <c r="BR94" s="125">
        <f t="shared" si="338"/>
        <v>511832.37</v>
      </c>
      <c r="BS94" s="122">
        <f t="shared" si="63"/>
        <v>0</v>
      </c>
      <c r="BT94" s="123">
        <f t="shared" ref="BT94:BU94" si="418">SUM(BI94,BM94,BQ94)</f>
        <v>2214167.38</v>
      </c>
      <c r="BU94" s="124">
        <f t="shared" si="418"/>
        <v>2214167.38</v>
      </c>
      <c r="BV94" s="125">
        <f t="shared" si="340"/>
        <v>313213.36</v>
      </c>
      <c r="BW94" s="122">
        <f t="shared" si="66"/>
        <v>0</v>
      </c>
      <c r="BX94" s="123">
        <f t="shared" si="341"/>
        <v>85905.61</v>
      </c>
      <c r="BY94" s="124">
        <f t="shared" si="342"/>
        <v>85905.61</v>
      </c>
      <c r="BZ94" s="125">
        <f t="shared" si="343"/>
        <v>0</v>
      </c>
      <c r="CA94" s="140"/>
      <c r="CB94" s="123"/>
      <c r="CC94" s="148"/>
      <c r="CD94" s="123">
        <f t="shared" si="344"/>
        <v>0</v>
      </c>
      <c r="CF94" s="149"/>
    </row>
    <row r="95" spans="1:84" ht="14">
      <c r="A95" s="92">
        <f t="shared" si="304"/>
        <v>112012474</v>
      </c>
      <c r="B95" s="172">
        <f t="shared" si="362"/>
        <v>6</v>
      </c>
      <c r="C95" s="137" t="str">
        <f t="shared" si="363"/>
        <v>Lista</v>
      </c>
      <c r="D95" s="137">
        <f t="shared" si="364"/>
        <v>0.15</v>
      </c>
      <c r="E95" s="138">
        <f t="shared" si="365"/>
        <v>0</v>
      </c>
      <c r="F95" s="193">
        <f t="shared" si="382"/>
        <v>6</v>
      </c>
      <c r="G95" s="97" t="str">
        <f t="shared" si="305"/>
        <v>Lista</v>
      </c>
      <c r="H95" s="97">
        <f t="shared" si="306"/>
        <v>0.15</v>
      </c>
      <c r="I95" s="97">
        <f t="shared" si="307"/>
        <v>0</v>
      </c>
      <c r="J95" s="96">
        <f t="shared" si="308"/>
        <v>70</v>
      </c>
      <c r="K95" s="94" t="str">
        <f t="shared" si="309"/>
        <v>Lista</v>
      </c>
      <c r="L95" s="98">
        <f t="shared" si="310"/>
        <v>0.11</v>
      </c>
      <c r="M95" s="139" t="s">
        <v>169</v>
      </c>
      <c r="N95" s="100" t="str">
        <f t="shared" si="311"/>
        <v/>
      </c>
      <c r="O95" s="140" t="e">
        <f t="shared" si="385"/>
        <v>#VALUE!</v>
      </c>
      <c r="P95" s="102" t="e">
        <f t="shared" si="13"/>
        <v>#VALUE!</v>
      </c>
      <c r="Q95" s="102" t="str">
        <f t="shared" si="312"/>
        <v/>
      </c>
      <c r="R95" s="102" t="str">
        <f t="shared" si="313"/>
        <v/>
      </c>
      <c r="S95" s="102" t="e">
        <f t="shared" si="16"/>
        <v>#VALUE!</v>
      </c>
      <c r="T95" s="103" t="e">
        <f t="shared" si="17"/>
        <v>#VALUE!</v>
      </c>
      <c r="U95" s="100" t="str">
        <f t="shared" si="314"/>
        <v/>
      </c>
      <c r="V95" s="141" t="e">
        <f t="shared" si="386"/>
        <v>#VALUE!</v>
      </c>
      <c r="W95" s="105" t="e">
        <f t="shared" si="19"/>
        <v>#VALUE!</v>
      </c>
      <c r="X95" s="102" t="str">
        <f t="shared" si="315"/>
        <v/>
      </c>
      <c r="Y95" s="106" t="str">
        <f t="shared" si="316"/>
        <v/>
      </c>
      <c r="Z95" s="142" t="e">
        <f t="shared" si="387"/>
        <v>#VALUE!</v>
      </c>
      <c r="AA95" s="143" t="str">
        <f t="shared" si="388"/>
        <v/>
      </c>
      <c r="AB95" s="100" t="str">
        <f t="shared" si="317"/>
        <v/>
      </c>
      <c r="AC95" s="140" t="e">
        <f t="shared" si="389"/>
        <v>#VALUE!</v>
      </c>
      <c r="AD95" s="102" t="e">
        <f t="shared" si="24"/>
        <v>#VALUE!</v>
      </c>
      <c r="AE95" s="102" t="str">
        <f t="shared" si="318"/>
        <v/>
      </c>
      <c r="AF95" s="102" t="str">
        <f t="shared" si="319"/>
        <v/>
      </c>
      <c r="AG95" s="199" t="e">
        <f t="shared" si="390"/>
        <v>#VALUE!</v>
      </c>
      <c r="AH95" s="158" t="str">
        <f t="shared" si="391"/>
        <v/>
      </c>
      <c r="AI95" s="147" t="e">
        <f t="shared" si="392"/>
        <v>#VALUE!</v>
      </c>
      <c r="AJ95" s="111" t="str">
        <f t="shared" si="320"/>
        <v>0</v>
      </c>
      <c r="AK95" s="102">
        <f t="shared" si="31"/>
        <v>0</v>
      </c>
      <c r="AL95" s="102" t="e">
        <f t="shared" si="32"/>
        <v>#VALUE!</v>
      </c>
      <c r="AM95" s="102" t="e">
        <f t="shared" si="33"/>
        <v>#VALUE!</v>
      </c>
      <c r="AN95" s="102" t="e">
        <f t="shared" si="34"/>
        <v>#VALUE!</v>
      </c>
      <c r="AO95" s="112" t="e">
        <f t="shared" si="35"/>
        <v>#VALUE!</v>
      </c>
      <c r="AP95" s="100" t="str">
        <f t="shared" si="321"/>
        <v/>
      </c>
      <c r="AQ95" s="113" t="e">
        <f t="shared" si="37"/>
        <v>#VALUE!</v>
      </c>
      <c r="AR95" s="114" t="str">
        <f t="shared" si="322"/>
        <v/>
      </c>
      <c r="AS95" s="115" t="str">
        <f t="shared" si="323"/>
        <v/>
      </c>
      <c r="AT95" s="100" t="str">
        <f t="shared" si="324"/>
        <v/>
      </c>
      <c r="AU95" s="113" t="e">
        <f t="shared" si="41"/>
        <v>#VALUE!</v>
      </c>
      <c r="AV95" s="116" t="str">
        <f t="shared" si="325"/>
        <v/>
      </c>
      <c r="AW95" s="117" t="str">
        <f t="shared" si="326"/>
        <v/>
      </c>
      <c r="AX95" s="100" t="str">
        <f t="shared" si="327"/>
        <v/>
      </c>
      <c r="AY95" s="113" t="e">
        <f t="shared" si="45"/>
        <v>#VALUE!</v>
      </c>
      <c r="AZ95" s="114" t="str">
        <f t="shared" si="328"/>
        <v/>
      </c>
      <c r="BA95" s="100" t="str">
        <f t="shared" si="329"/>
        <v/>
      </c>
      <c r="BB95" s="118" t="e">
        <f t="shared" ref="BB95:BD95" si="419">BH95+AY95+AU95</f>
        <v>#VALUE!</v>
      </c>
      <c r="BC95" s="116" t="e">
        <f t="shared" si="419"/>
        <v>#VALUE!</v>
      </c>
      <c r="BD95" s="119" t="e">
        <f t="shared" si="419"/>
        <v>#VALUE!</v>
      </c>
      <c r="BE95" s="118" t="e">
        <f t="shared" si="49"/>
        <v>#VALUE!</v>
      </c>
      <c r="BF95" s="116" t="e">
        <f t="shared" si="50"/>
        <v>#VALUE!</v>
      </c>
      <c r="BG95" s="119" t="e">
        <f t="shared" si="51"/>
        <v>#VALUE!</v>
      </c>
      <c r="BH95" s="114" t="e">
        <f t="shared" si="52"/>
        <v>#VALUE!</v>
      </c>
      <c r="BI95" s="114" t="str">
        <f t="shared" si="331"/>
        <v/>
      </c>
      <c r="BJ95" s="115" t="str">
        <f t="shared" si="332"/>
        <v/>
      </c>
      <c r="BK95" s="125" t="str">
        <f t="shared" si="333"/>
        <v/>
      </c>
      <c r="BL95" s="120" t="e">
        <f t="shared" si="56"/>
        <v>#VALUE!</v>
      </c>
      <c r="BM95" s="121" t="str">
        <f t="shared" si="334"/>
        <v/>
      </c>
      <c r="BN95" s="119" t="str">
        <f t="shared" si="335"/>
        <v/>
      </c>
      <c r="BO95" s="125" t="str">
        <f t="shared" si="336"/>
        <v/>
      </c>
      <c r="BP95" s="140" t="e">
        <f t="shared" si="60"/>
        <v>#VALUE!</v>
      </c>
      <c r="BQ95" s="123" t="str">
        <f t="shared" si="337"/>
        <v/>
      </c>
      <c r="BR95" s="125" t="str">
        <f t="shared" si="338"/>
        <v/>
      </c>
      <c r="BS95" s="122" t="e">
        <f t="shared" si="63"/>
        <v>#VALUE!</v>
      </c>
      <c r="BT95" s="123">
        <f t="shared" ref="BT95:BU95" si="420">SUM(BI95,BM95,BQ95)</f>
        <v>0</v>
      </c>
      <c r="BU95" s="124">
        <f t="shared" si="420"/>
        <v>0</v>
      </c>
      <c r="BV95" s="125" t="str">
        <f t="shared" si="340"/>
        <v/>
      </c>
      <c r="BW95" s="122" t="e">
        <f t="shared" si="66"/>
        <v>#VALUE!</v>
      </c>
      <c r="BX95" s="123" t="str">
        <f t="shared" si="341"/>
        <v/>
      </c>
      <c r="BY95" s="124" t="str">
        <f t="shared" si="342"/>
        <v/>
      </c>
      <c r="BZ95" s="125" t="str">
        <f t="shared" si="343"/>
        <v/>
      </c>
      <c r="CA95" s="140"/>
      <c r="CB95" s="123"/>
      <c r="CC95" s="148"/>
      <c r="CD95" s="123" t="str">
        <f t="shared" si="344"/>
        <v/>
      </c>
      <c r="CF95" s="149"/>
    </row>
    <row r="96" spans="1:84" ht="13">
      <c r="A96" s="92">
        <f t="shared" si="304"/>
        <v>112011692</v>
      </c>
      <c r="B96" s="172">
        <f t="shared" si="362"/>
        <v>1</v>
      </c>
      <c r="C96" s="137" t="str">
        <f t="shared" si="363"/>
        <v>Lista</v>
      </c>
      <c r="D96" s="137">
        <f t="shared" si="364"/>
        <v>0.09</v>
      </c>
      <c r="E96" s="138">
        <f t="shared" si="365"/>
        <v>0</v>
      </c>
      <c r="F96" s="193">
        <f t="shared" si="382"/>
        <v>1</v>
      </c>
      <c r="G96" s="97" t="str">
        <f t="shared" si="305"/>
        <v>Lista</v>
      </c>
      <c r="H96" s="97">
        <f t="shared" si="306"/>
        <v>0.09</v>
      </c>
      <c r="I96" s="97">
        <f t="shared" si="307"/>
        <v>0</v>
      </c>
      <c r="J96" s="96">
        <f t="shared" si="308"/>
        <v>71</v>
      </c>
      <c r="K96" s="94" t="str">
        <f t="shared" si="309"/>
        <v>Lista</v>
      </c>
      <c r="L96" s="98">
        <f t="shared" si="310"/>
        <v>0.05</v>
      </c>
      <c r="M96" s="139" t="s">
        <v>170</v>
      </c>
      <c r="N96" s="100">
        <f t="shared" si="311"/>
        <v>13425.88</v>
      </c>
      <c r="O96" s="140">
        <f t="shared" si="385"/>
        <v>22569.575573999999</v>
      </c>
      <c r="P96" s="102">
        <f t="shared" si="13"/>
        <v>29672.289999999997</v>
      </c>
      <c r="Q96" s="102">
        <f t="shared" si="312"/>
        <v>24990.799999999999</v>
      </c>
      <c r="R96" s="102">
        <f t="shared" si="313"/>
        <v>54663.09</v>
      </c>
      <c r="S96" s="102">
        <f t="shared" si="16"/>
        <v>32093.514425999998</v>
      </c>
      <c r="T96" s="103">
        <f t="shared" si="17"/>
        <v>2.4219813004800814</v>
      </c>
      <c r="U96" s="100">
        <f t="shared" si="314"/>
        <v>27235.48</v>
      </c>
      <c r="V96" s="141">
        <f t="shared" si="386"/>
        <v>46967.58526</v>
      </c>
      <c r="W96" s="105">
        <f t="shared" si="19"/>
        <v>24928</v>
      </c>
      <c r="X96" s="102">
        <f t="shared" si="315"/>
        <v>0</v>
      </c>
      <c r="Y96" s="106">
        <f t="shared" si="316"/>
        <v>24928</v>
      </c>
      <c r="Z96" s="142">
        <f t="shared" si="387"/>
        <v>-22039.58526</v>
      </c>
      <c r="AA96" s="143">
        <f t="shared" si="388"/>
        <v>0.5307490232253852</v>
      </c>
      <c r="AB96" s="100">
        <f t="shared" si="317"/>
        <v>56656</v>
      </c>
      <c r="AC96" s="140">
        <f t="shared" si="389"/>
        <v>93106.487439999997</v>
      </c>
      <c r="AD96" s="102">
        <f t="shared" si="24"/>
        <v>0</v>
      </c>
      <c r="AE96" s="102">
        <f t="shared" si="318"/>
        <v>24990.799999999999</v>
      </c>
      <c r="AF96" s="102">
        <f t="shared" si="319"/>
        <v>24990.799999999999</v>
      </c>
      <c r="AG96" s="199">
        <f t="shared" si="390"/>
        <v>-68115.687439999994</v>
      </c>
      <c r="AH96" s="158">
        <f t="shared" si="391"/>
        <v>0.26841094199912391</v>
      </c>
      <c r="AI96" s="147">
        <f t="shared" si="392"/>
        <v>162643.64827399998</v>
      </c>
      <c r="AJ96" s="111">
        <f t="shared" si="320"/>
        <v>35321.53</v>
      </c>
      <c r="AK96" s="102">
        <f t="shared" si="31"/>
        <v>49981.599999999999</v>
      </c>
      <c r="AL96" s="102">
        <f t="shared" si="32"/>
        <v>54600.289999999994</v>
      </c>
      <c r="AM96" s="102">
        <f t="shared" si="33"/>
        <v>104581.89</v>
      </c>
      <c r="AN96" s="102">
        <f t="shared" si="34"/>
        <v>69260.36</v>
      </c>
      <c r="AO96" s="112">
        <f t="shared" si="35"/>
        <v>2.9608539041202349</v>
      </c>
      <c r="AP96" s="100">
        <f t="shared" si="321"/>
        <v>22776.959999999999</v>
      </c>
      <c r="AQ96" s="113">
        <f t="shared" si="37"/>
        <v>0</v>
      </c>
      <c r="AR96" s="114">
        <f t="shared" si="322"/>
        <v>0</v>
      </c>
      <c r="AS96" s="115">
        <f t="shared" si="323"/>
        <v>0</v>
      </c>
      <c r="AT96" s="100">
        <f t="shared" si="324"/>
        <v>36668.769999999997</v>
      </c>
      <c r="AU96" s="113">
        <f t="shared" si="41"/>
        <v>4418.760000000002</v>
      </c>
      <c r="AV96" s="116">
        <f t="shared" si="325"/>
        <v>26240.35</v>
      </c>
      <c r="AW96" s="117">
        <f t="shared" si="326"/>
        <v>30659.11</v>
      </c>
      <c r="AX96" s="100">
        <f t="shared" si="327"/>
        <v>0</v>
      </c>
      <c r="AY96" s="113">
        <f t="shared" si="45"/>
        <v>0</v>
      </c>
      <c r="AZ96" s="114">
        <f t="shared" si="328"/>
        <v>25076.16</v>
      </c>
      <c r="BA96" s="100">
        <f t="shared" si="329"/>
        <v>25076.16</v>
      </c>
      <c r="BB96" s="118">
        <f t="shared" ref="BB96:BD96" si="421">BH96+AY96+AU96</f>
        <v>4418.760000000002</v>
      </c>
      <c r="BC96" s="116">
        <f t="shared" si="421"/>
        <v>51316.509999999995</v>
      </c>
      <c r="BD96" s="119">
        <f t="shared" si="421"/>
        <v>55735.270000000004</v>
      </c>
      <c r="BE96" s="118">
        <f t="shared" si="49"/>
        <v>59019.049999999996</v>
      </c>
      <c r="BF96" s="116">
        <f t="shared" si="50"/>
        <v>101298.10999999999</v>
      </c>
      <c r="BG96" s="119">
        <f t="shared" si="51"/>
        <v>160317.16</v>
      </c>
      <c r="BH96" s="114">
        <f t="shared" si="52"/>
        <v>0</v>
      </c>
      <c r="BI96" s="114">
        <f t="shared" si="331"/>
        <v>0</v>
      </c>
      <c r="BJ96" s="115">
        <f t="shared" si="332"/>
        <v>0</v>
      </c>
      <c r="BK96" s="125">
        <f t="shared" si="333"/>
        <v>0</v>
      </c>
      <c r="BL96" s="120">
        <f t="shared" si="56"/>
        <v>0</v>
      </c>
      <c r="BM96" s="121">
        <f t="shared" si="334"/>
        <v>26240.35</v>
      </c>
      <c r="BN96" s="119">
        <f t="shared" si="335"/>
        <v>26240.35</v>
      </c>
      <c r="BO96" s="125">
        <f t="shared" si="336"/>
        <v>21229.03</v>
      </c>
      <c r="BP96" s="140">
        <f t="shared" si="60"/>
        <v>0</v>
      </c>
      <c r="BQ96" s="123">
        <f t="shared" si="337"/>
        <v>27552.37</v>
      </c>
      <c r="BR96" s="125">
        <f t="shared" si="338"/>
        <v>27552.37</v>
      </c>
      <c r="BS96" s="122">
        <f t="shared" si="63"/>
        <v>0</v>
      </c>
      <c r="BT96" s="123">
        <f t="shared" ref="BT96:BU96" si="422">SUM(BI96,BM96,BQ96)</f>
        <v>53792.72</v>
      </c>
      <c r="BU96" s="124">
        <f t="shared" si="422"/>
        <v>53792.72</v>
      </c>
      <c r="BV96" s="125">
        <f t="shared" si="340"/>
        <v>0</v>
      </c>
      <c r="BW96" s="122">
        <f t="shared" si="66"/>
        <v>0</v>
      </c>
      <c r="BX96" s="123">
        <f t="shared" si="341"/>
        <v>0</v>
      </c>
      <c r="BY96" s="124">
        <f t="shared" si="342"/>
        <v>0</v>
      </c>
      <c r="BZ96" s="125">
        <f t="shared" si="343"/>
        <v>35321.53</v>
      </c>
      <c r="CA96" s="140"/>
      <c r="CB96" s="123"/>
      <c r="CC96" s="148"/>
      <c r="CD96" s="123">
        <f t="shared" si="344"/>
        <v>0</v>
      </c>
      <c r="CF96" s="149"/>
    </row>
    <row r="97" spans="1:84" ht="13">
      <c r="A97" s="92">
        <f t="shared" si="304"/>
        <v>112012274</v>
      </c>
      <c r="B97" s="172">
        <f t="shared" si="362"/>
        <v>1</v>
      </c>
      <c r="C97" s="137" t="str">
        <f t="shared" si="363"/>
        <v>Lista</v>
      </c>
      <c r="D97" s="137">
        <f t="shared" si="364"/>
        <v>0.09</v>
      </c>
      <c r="E97" s="138">
        <f t="shared" si="365"/>
        <v>0</v>
      </c>
      <c r="F97" s="193">
        <f t="shared" si="382"/>
        <v>1</v>
      </c>
      <c r="G97" s="97" t="str">
        <f t="shared" si="305"/>
        <v>Lista</v>
      </c>
      <c r="H97" s="97">
        <f t="shared" si="306"/>
        <v>0.09</v>
      </c>
      <c r="I97" s="97">
        <f t="shared" si="307"/>
        <v>0</v>
      </c>
      <c r="J97" s="96">
        <f t="shared" si="308"/>
        <v>71</v>
      </c>
      <c r="K97" s="94" t="str">
        <f t="shared" si="309"/>
        <v>Lista</v>
      </c>
      <c r="L97" s="98">
        <f t="shared" si="310"/>
        <v>0.05</v>
      </c>
      <c r="M97" s="139" t="s">
        <v>171</v>
      </c>
      <c r="N97" s="100">
        <f t="shared" si="311"/>
        <v>81210.45</v>
      </c>
      <c r="O97" s="140">
        <f t="shared" si="385"/>
        <v>136518.82697250001</v>
      </c>
      <c r="P97" s="102">
        <f t="shared" si="13"/>
        <v>750693.94000000006</v>
      </c>
      <c r="Q97" s="102">
        <f t="shared" si="312"/>
        <v>26771.09</v>
      </c>
      <c r="R97" s="102">
        <f t="shared" si="313"/>
        <v>777465.03</v>
      </c>
      <c r="S97" s="102">
        <f t="shared" si="16"/>
        <v>640946.20302750007</v>
      </c>
      <c r="T97" s="103">
        <f t="shared" si="17"/>
        <v>5.6949290236474894</v>
      </c>
      <c r="U97" s="100">
        <f t="shared" si="314"/>
        <v>507552.58</v>
      </c>
      <c r="V97" s="141">
        <f t="shared" si="386"/>
        <v>875274.42420999997</v>
      </c>
      <c r="W97" s="105">
        <f t="shared" si="19"/>
        <v>245766.52</v>
      </c>
      <c r="X97" s="102">
        <f t="shared" si="315"/>
        <v>0</v>
      </c>
      <c r="Y97" s="106">
        <f t="shared" si="316"/>
        <v>245766.52</v>
      </c>
      <c r="Z97" s="142">
        <f t="shared" si="387"/>
        <v>-629507.90420999995</v>
      </c>
      <c r="AA97" s="143">
        <f t="shared" si="388"/>
        <v>0.28078795998389017</v>
      </c>
      <c r="AB97" s="100">
        <f t="shared" si="317"/>
        <v>340777.42</v>
      </c>
      <c r="AC97" s="140">
        <f t="shared" si="389"/>
        <v>560021.68481829995</v>
      </c>
      <c r="AD97" s="102">
        <f t="shared" si="24"/>
        <v>574849.78</v>
      </c>
      <c r="AE97" s="102">
        <f t="shared" si="318"/>
        <v>0</v>
      </c>
      <c r="AF97" s="102">
        <f t="shared" si="319"/>
        <v>574849.78</v>
      </c>
      <c r="AG97" s="199">
        <f t="shared" si="390"/>
        <v>14828.095181700075</v>
      </c>
      <c r="AH97" s="158">
        <f t="shared" si="391"/>
        <v>1.0264777161022096</v>
      </c>
      <c r="AI97" s="147">
        <f t="shared" si="392"/>
        <v>1571814.9360008</v>
      </c>
      <c r="AJ97" s="111">
        <f t="shared" si="320"/>
        <v>1934926.36</v>
      </c>
      <c r="AK97" s="102">
        <f t="shared" si="31"/>
        <v>26771.09</v>
      </c>
      <c r="AL97" s="102">
        <f t="shared" si="32"/>
        <v>1571310.2400000002</v>
      </c>
      <c r="AM97" s="102">
        <f t="shared" si="33"/>
        <v>1598081.33</v>
      </c>
      <c r="AN97" s="102">
        <f t="shared" si="34"/>
        <v>-336845.03</v>
      </c>
      <c r="AO97" s="112">
        <f t="shared" si="35"/>
        <v>0.82591325594427267</v>
      </c>
      <c r="AP97" s="100">
        <f t="shared" si="321"/>
        <v>449304.23</v>
      </c>
      <c r="AQ97" s="113">
        <f t="shared" si="37"/>
        <v>434305.28000000003</v>
      </c>
      <c r="AR97" s="114">
        <f t="shared" si="322"/>
        <v>30639.49</v>
      </c>
      <c r="AS97" s="115">
        <f t="shared" si="323"/>
        <v>464944.77</v>
      </c>
      <c r="AT97" s="100">
        <f t="shared" si="324"/>
        <v>466550.19</v>
      </c>
      <c r="AU97" s="113">
        <f t="shared" si="41"/>
        <v>274495.11</v>
      </c>
      <c r="AV97" s="116">
        <f t="shared" si="325"/>
        <v>0</v>
      </c>
      <c r="AW97" s="117">
        <f t="shared" si="326"/>
        <v>274495.11</v>
      </c>
      <c r="AX97" s="100">
        <f t="shared" si="327"/>
        <v>380445.67</v>
      </c>
      <c r="AY97" s="113">
        <f t="shared" si="45"/>
        <v>403158.64</v>
      </c>
      <c r="AZ97" s="114">
        <f t="shared" si="328"/>
        <v>30639.49</v>
      </c>
      <c r="BA97" s="100">
        <f t="shared" si="329"/>
        <v>433798.13</v>
      </c>
      <c r="BB97" s="118">
        <f t="shared" ref="BB97:BD97" si="423">BH97+AY97+AU97</f>
        <v>902564.55999999994</v>
      </c>
      <c r="BC97" s="116">
        <f t="shared" si="423"/>
        <v>61278.98</v>
      </c>
      <c r="BD97" s="119">
        <f t="shared" si="423"/>
        <v>963843.53999999992</v>
      </c>
      <c r="BE97" s="118">
        <f t="shared" si="49"/>
        <v>2473874.8000000003</v>
      </c>
      <c r="BF97" s="116">
        <f t="shared" si="50"/>
        <v>88050.07</v>
      </c>
      <c r="BG97" s="119">
        <f t="shared" si="51"/>
        <v>2561924.87</v>
      </c>
      <c r="BH97" s="114">
        <f t="shared" si="52"/>
        <v>224910.81</v>
      </c>
      <c r="BI97" s="114">
        <f t="shared" si="331"/>
        <v>30639.49</v>
      </c>
      <c r="BJ97" s="115">
        <f t="shared" si="332"/>
        <v>255550.3</v>
      </c>
      <c r="BK97" s="125">
        <f t="shared" si="333"/>
        <v>604294.76</v>
      </c>
      <c r="BL97" s="120">
        <f t="shared" si="56"/>
        <v>348432.29</v>
      </c>
      <c r="BM97" s="121">
        <f t="shared" si="334"/>
        <v>0</v>
      </c>
      <c r="BN97" s="119">
        <f t="shared" si="335"/>
        <v>348432.29</v>
      </c>
      <c r="BO97" s="125">
        <f t="shared" si="336"/>
        <v>309399.23</v>
      </c>
      <c r="BP97" s="140">
        <f t="shared" si="60"/>
        <v>137344.68</v>
      </c>
      <c r="BQ97" s="123">
        <f t="shared" si="337"/>
        <v>33090.69</v>
      </c>
      <c r="BR97" s="125">
        <f t="shared" si="338"/>
        <v>170435.37</v>
      </c>
      <c r="BS97" s="122">
        <f t="shared" si="63"/>
        <v>710687.78</v>
      </c>
      <c r="BT97" s="123">
        <f t="shared" ref="BT97:BU97" si="424">SUM(BI97,BM97,BQ97)</f>
        <v>63730.180000000008</v>
      </c>
      <c r="BU97" s="124">
        <f t="shared" si="424"/>
        <v>774417.96</v>
      </c>
      <c r="BV97" s="125">
        <f t="shared" si="340"/>
        <v>519900.04</v>
      </c>
      <c r="BW97" s="122">
        <f t="shared" si="66"/>
        <v>232736.32</v>
      </c>
      <c r="BX97" s="123">
        <f t="shared" si="341"/>
        <v>34579.43</v>
      </c>
      <c r="BY97" s="124">
        <f t="shared" si="342"/>
        <v>267315.75</v>
      </c>
      <c r="BZ97" s="125">
        <f t="shared" si="343"/>
        <v>1001161.28</v>
      </c>
      <c r="CA97" s="140"/>
      <c r="CB97" s="123"/>
      <c r="CC97" s="148"/>
      <c r="CD97" s="123">
        <f t="shared" si="344"/>
        <v>413865.04</v>
      </c>
      <c r="CF97" s="149"/>
    </row>
    <row r="98" spans="1:84" ht="14">
      <c r="A98" s="92">
        <f t="shared" ref="A98:A129" si="425">VLOOKUP(M98,BASCART4,3,FALSE)</f>
        <v>112011745</v>
      </c>
      <c r="B98" s="172">
        <f t="shared" si="362"/>
        <v>1</v>
      </c>
      <c r="C98" s="137" t="str">
        <f t="shared" si="363"/>
        <v>Lista</v>
      </c>
      <c r="D98" s="137">
        <f t="shared" si="364"/>
        <v>0.09</v>
      </c>
      <c r="E98" s="138">
        <f t="shared" si="365"/>
        <v>0</v>
      </c>
      <c r="F98" s="193">
        <f t="shared" si="382"/>
        <v>1</v>
      </c>
      <c r="G98" s="97" t="str">
        <f t="shared" ref="G98:G129" si="426">IFERROR(VLOOKUP(F98,DES,2,FALSE),"")</f>
        <v>Lista</v>
      </c>
      <c r="H98" s="97">
        <f t="shared" ref="H98:H133" si="427">IFERROR(VLOOKUP(F98,DES,3,FALSE),"")</f>
        <v>0.09</v>
      </c>
      <c r="I98" s="97">
        <f t="shared" ref="I98:I133" si="428">IFERROR(VLOOKUP(F98,DES,4,FALSE),"")</f>
        <v>0</v>
      </c>
      <c r="J98" s="96">
        <f t="shared" ref="J98:J129" si="429">VLOOKUP(M98,BASCART4,2,FALSE)</f>
        <v>71</v>
      </c>
      <c r="K98" s="94" t="str">
        <f t="shared" ref="K98:K129" si="430">IFERROR(VLOOKUP(J98,A458DC1025,2,FALSE),"")</f>
        <v>Lista</v>
      </c>
      <c r="L98" s="98">
        <f t="shared" ref="L98:L129" si="431">IFERROR(VLOOKUP(J98,A458DC1025,3,FALSE),"")</f>
        <v>0.05</v>
      </c>
      <c r="M98" s="255" t="s">
        <v>172</v>
      </c>
      <c r="N98" s="100">
        <f t="shared" ref="N98:N129" si="432">IFERROR(VLOOKUP(M98,Basilee24,3,FALSE),"")</f>
        <v>130044.17</v>
      </c>
      <c r="O98" s="140"/>
      <c r="P98" s="102" t="e">
        <f t="shared" si="13"/>
        <v>#VALUE!</v>
      </c>
      <c r="Q98" s="102" t="str">
        <f t="shared" ref="Q98:Q129" si="433">IFERROR(VLOOKUP(M98,BASALIM,3,FALSE),"")</f>
        <v/>
      </c>
      <c r="R98" s="102">
        <f t="shared" ref="R98:R129" si="434">IFERROR(VLOOKUP(M98,BASFC,3,FALSE),"")</f>
        <v>0</v>
      </c>
      <c r="S98" s="102">
        <f t="shared" si="16"/>
        <v>0</v>
      </c>
      <c r="T98" s="103" t="e">
        <f t="shared" si="17"/>
        <v>#DIV/0!</v>
      </c>
      <c r="U98" s="100">
        <f t="shared" ref="U98:U129" si="435">IFERROR(VLOOKUP(M98,Basilee24,4,FALSE),"")</f>
        <v>0</v>
      </c>
      <c r="V98" s="141"/>
      <c r="W98" s="105" t="e">
        <f t="shared" si="19"/>
        <v>#VALUE!</v>
      </c>
      <c r="X98" s="102" t="str">
        <f t="shared" ref="X98:X129" si="436">IFERROR(VLOOKUP(M98,BASALIM,4,FALSE),"")</f>
        <v/>
      </c>
      <c r="Y98" s="106">
        <f t="shared" ref="Y98:Y129" si="437">IFERROR(VLOOKUP(M98,BASFC,4,FALSE),"")</f>
        <v>36106.269999999997</v>
      </c>
      <c r="Z98" s="142">
        <f t="shared" si="387"/>
        <v>36106.269999999997</v>
      </c>
      <c r="AA98" s="143" t="str">
        <f t="shared" si="388"/>
        <v/>
      </c>
      <c r="AB98" s="100">
        <f t="shared" ref="AB98:AB129" si="438">IFERROR(VLOOKUP(M98,Basilee24,5,FALSE),"")</f>
        <v>0</v>
      </c>
      <c r="AC98" s="140"/>
      <c r="AD98" s="102" t="e">
        <f t="shared" si="24"/>
        <v>#VALUE!</v>
      </c>
      <c r="AE98" s="102" t="str">
        <f t="shared" ref="AE98:AE129" si="439">IFERROR(VLOOKUP(M98,BASALIM,5,FALSE),"")</f>
        <v/>
      </c>
      <c r="AF98" s="102">
        <f t="shared" ref="AF98:AF129" si="440">IFERROR(VLOOKUP(M98,BASFC,5,FALSE),"")</f>
        <v>0</v>
      </c>
      <c r="AG98" s="199">
        <f t="shared" si="390"/>
        <v>0</v>
      </c>
      <c r="AH98" s="158" t="str">
        <f t="shared" si="391"/>
        <v/>
      </c>
      <c r="AI98" s="147"/>
      <c r="AJ98" s="111">
        <f t="shared" ref="AJ98:AJ129" si="441">IFERROR(VLOOKUP(M98,trim2024,2,FALSE),"0")</f>
        <v>333052.53999999998</v>
      </c>
      <c r="AK98" s="102">
        <f t="shared" si="31"/>
        <v>0</v>
      </c>
      <c r="AL98" s="102" t="e">
        <f t="shared" si="32"/>
        <v>#VALUE!</v>
      </c>
      <c r="AM98" s="102">
        <f t="shared" si="33"/>
        <v>36106.269999999997</v>
      </c>
      <c r="AN98" s="102">
        <f t="shared" si="34"/>
        <v>-296946.26999999996</v>
      </c>
      <c r="AO98" s="112">
        <f t="shared" si="35"/>
        <v>0.10841013252743846</v>
      </c>
      <c r="AP98" s="100">
        <f t="shared" ref="AP98:AP129" si="442">IFERROR(VLOOKUP(M98,Basilee24,6,FALSE),"")</f>
        <v>154663.14000000001</v>
      </c>
      <c r="AQ98" s="113" t="e">
        <f t="shared" si="37"/>
        <v>#VALUE!</v>
      </c>
      <c r="AR98" s="114" t="str">
        <f t="shared" ref="AR98:AR129" si="443">IFERROR(VLOOKUP(M98,BASALIM,6,FALSE),"")</f>
        <v/>
      </c>
      <c r="AS98" s="115">
        <f t="shared" ref="AS98:AS129" si="444">IFERROR(VLOOKUP(M98,BASFC,6,FALSE),"")</f>
        <v>0</v>
      </c>
      <c r="AT98" s="100">
        <f t="shared" ref="AT98:AT129" si="445">IFERROR(VLOOKUP(M98,Basilee24,7,FALSE),"")</f>
        <v>133407.20000000001</v>
      </c>
      <c r="AU98" s="113" t="e">
        <f t="shared" si="41"/>
        <v>#VALUE!</v>
      </c>
      <c r="AV98" s="116" t="str">
        <f t="shared" ref="AV98:AV129" si="446">IFERROR(VLOOKUP(M98,BASALIM,7,FALSE),"")</f>
        <v/>
      </c>
      <c r="AW98" s="117">
        <f t="shared" ref="AW98:AW129" si="447">IFERROR(VLOOKUP(M98,BASFC,7,FALSE),"")</f>
        <v>0</v>
      </c>
      <c r="AX98" s="100">
        <f t="shared" ref="AX98:AX129" si="448">IFERROR(VLOOKUP(M98,Basilee24,8,FALSE),"")</f>
        <v>139602.48000000001</v>
      </c>
      <c r="AY98" s="113" t="e">
        <f t="shared" si="45"/>
        <v>#VALUE!</v>
      </c>
      <c r="AZ98" s="114" t="str">
        <f t="shared" ref="AZ98:AZ129" si="449">IFERROR(VLOOKUP(M98,BASALIM,8,FALSE),"")</f>
        <v/>
      </c>
      <c r="BA98" s="100">
        <f t="shared" ref="BA98:BA129" si="450">IFERROR(VLOOKUP(M98,BASFC,8,FALSE),"")</f>
        <v>0</v>
      </c>
      <c r="BB98" s="118" t="e">
        <f t="shared" ref="BB98:BD98" si="451">BH98+AY98+AU98</f>
        <v>#VALUE!</v>
      </c>
      <c r="BC98" s="116" t="e">
        <f t="shared" si="451"/>
        <v>#VALUE!</v>
      </c>
      <c r="BD98" s="119">
        <f t="shared" si="451"/>
        <v>0</v>
      </c>
      <c r="BE98" s="118" t="e">
        <f t="shared" si="49"/>
        <v>#VALUE!</v>
      </c>
      <c r="BF98" s="116" t="e">
        <f t="shared" si="50"/>
        <v>#VALUE!</v>
      </c>
      <c r="BG98" s="119">
        <f t="shared" si="51"/>
        <v>36106.269999999997</v>
      </c>
      <c r="BH98" s="114" t="e">
        <f t="shared" si="52"/>
        <v>#VALUE!</v>
      </c>
      <c r="BI98" s="114" t="str">
        <f t="shared" ref="BI98:BI129" si="452">IFERROR(VLOOKUP(M98,BASALIM,9,FALSE),"")</f>
        <v/>
      </c>
      <c r="BJ98" s="115">
        <f t="shared" ref="BJ98:BJ129" si="453">IFERROR(VLOOKUP(M98,BASFC,9,FALSE),"")</f>
        <v>0</v>
      </c>
      <c r="BK98" s="125">
        <f t="shared" ref="BK98:BK129" si="454">IFERROR(VLOOKUP(M98,Basilee24,10,FALSE),"")</f>
        <v>108231.1</v>
      </c>
      <c r="BL98" s="120" t="e">
        <f t="shared" si="56"/>
        <v>#VALUE!</v>
      </c>
      <c r="BM98" s="121" t="str">
        <f t="shared" ref="BM98:BM129" si="455">IFERROR(VLOOKUP(M98,BASALIM,10,FALSE),"")</f>
        <v/>
      </c>
      <c r="BN98" s="119">
        <f t="shared" ref="BN98:BN129" si="456">IFERROR(VLOOKUP(M98,BASFC,10,FALSE),"")</f>
        <v>0</v>
      </c>
      <c r="BO98" s="125">
        <f t="shared" ref="BO98:BO129" si="457">IFERROR(VLOOKUP(M98,Basilee24,11,FALSE),"")</f>
        <v>317414.44</v>
      </c>
      <c r="BP98" s="140" t="e">
        <f t="shared" si="60"/>
        <v>#VALUE!</v>
      </c>
      <c r="BQ98" s="123" t="str">
        <f t="shared" ref="BQ98:BQ129" si="458">IFERROR(VLOOKUP(M98,BASALIM,11,FALSE),"")</f>
        <v/>
      </c>
      <c r="BR98" s="125">
        <f t="shared" ref="BR98:BR129" si="459">IFERROR(VLOOKUP(M98,BASFC,11,FALSE),"")</f>
        <v>0</v>
      </c>
      <c r="BS98" s="122" t="e">
        <f t="shared" si="63"/>
        <v>#VALUE!</v>
      </c>
      <c r="BT98" s="123">
        <f t="shared" ref="BT98:BU98" si="460">SUM(BI98,BM98,BQ98)</f>
        <v>0</v>
      </c>
      <c r="BU98" s="124">
        <f t="shared" si="460"/>
        <v>0</v>
      </c>
      <c r="BV98" s="125">
        <f t="shared" ref="BV98:BV129" si="461">IFERROR(VLOOKUP(M98,Basilee24,12,FALSE),"")</f>
        <v>219214.38</v>
      </c>
      <c r="BW98" s="122" t="e">
        <f t="shared" si="66"/>
        <v>#VALUE!</v>
      </c>
      <c r="BX98" s="123" t="str">
        <f t="shared" ref="BX98:BX129" si="462">IFERROR(VLOOKUP(M98,BASALIM,12,FALSE),"")</f>
        <v/>
      </c>
      <c r="BY98" s="124">
        <f t="shared" ref="BY98:BY129" si="463">IFERROR(VLOOKUP(M98,BASFC,12,FALSE),"")</f>
        <v>0</v>
      </c>
      <c r="BZ98" s="125">
        <f t="shared" ref="BZ98:BZ129" si="464">IFERROR(VLOOKUP(M98,Basilee24,13,FALSE),"")</f>
        <v>0</v>
      </c>
      <c r="CA98" s="140"/>
      <c r="CB98" s="123"/>
      <c r="CC98" s="148"/>
      <c r="CD98" s="123">
        <f t="shared" ref="CD98:CD129" si="465">IFERROR(VLOOKUP(M98,Basilee24,14,FALSE),"")</f>
        <v>113838.16</v>
      </c>
      <c r="CF98" s="149"/>
    </row>
    <row r="99" spans="1:84" ht="13">
      <c r="A99" s="92">
        <f t="shared" si="425"/>
        <v>112012719</v>
      </c>
      <c r="B99" s="172">
        <f t="shared" si="362"/>
        <v>1</v>
      </c>
      <c r="C99" s="137" t="str">
        <f t="shared" si="363"/>
        <v>Lista</v>
      </c>
      <c r="D99" s="137">
        <f t="shared" si="364"/>
        <v>0.09</v>
      </c>
      <c r="E99" s="138">
        <f t="shared" si="365"/>
        <v>0</v>
      </c>
      <c r="F99" s="193">
        <f t="shared" si="382"/>
        <v>1</v>
      </c>
      <c r="G99" s="97" t="str">
        <f t="shared" si="426"/>
        <v>Lista</v>
      </c>
      <c r="H99" s="97">
        <f t="shared" si="427"/>
        <v>0.09</v>
      </c>
      <c r="I99" s="97">
        <f t="shared" si="428"/>
        <v>0</v>
      </c>
      <c r="J99" s="96">
        <f t="shared" si="429"/>
        <v>71</v>
      </c>
      <c r="K99" s="94" t="str">
        <f t="shared" si="430"/>
        <v>Lista</v>
      </c>
      <c r="L99" s="98">
        <f t="shared" si="431"/>
        <v>0.05</v>
      </c>
      <c r="M99" s="139" t="s">
        <v>173</v>
      </c>
      <c r="N99" s="100">
        <f t="shared" si="432"/>
        <v>333670.36</v>
      </c>
      <c r="O99" s="140">
        <f t="shared" ref="O99:O101" si="466">(N99*1.601)*1.05</f>
        <v>560916.558678</v>
      </c>
      <c r="P99" s="102" t="e">
        <f t="shared" si="13"/>
        <v>#VALUE!</v>
      </c>
      <c r="Q99" s="102" t="str">
        <f t="shared" si="433"/>
        <v/>
      </c>
      <c r="R99" s="102">
        <f t="shared" si="434"/>
        <v>124662.1</v>
      </c>
      <c r="S99" s="102">
        <f t="shared" si="16"/>
        <v>-436254.45867800002</v>
      </c>
      <c r="T99" s="103">
        <f t="shared" si="17"/>
        <v>0.22224713831556467</v>
      </c>
      <c r="U99" s="100">
        <f t="shared" si="435"/>
        <v>108889.09</v>
      </c>
      <c r="V99" s="141">
        <f t="shared" ref="V99:V101" si="467">U99*1.7245</f>
        <v>187779.235705</v>
      </c>
      <c r="W99" s="105" t="e">
        <f t="shared" si="19"/>
        <v>#VALUE!</v>
      </c>
      <c r="X99" s="102" t="str">
        <f t="shared" si="436"/>
        <v/>
      </c>
      <c r="Y99" s="106">
        <f t="shared" si="437"/>
        <v>182689.9</v>
      </c>
      <c r="Z99" s="142">
        <f t="shared" si="387"/>
        <v>-5089.335705000005</v>
      </c>
      <c r="AA99" s="143">
        <f t="shared" si="388"/>
        <v>0.97289723921874238</v>
      </c>
      <c r="AB99" s="100">
        <f t="shared" si="438"/>
        <v>33436.879999999997</v>
      </c>
      <c r="AC99" s="140">
        <f t="shared" ref="AC99:AC126" si="468">(AB99*1.5955)*1.03</f>
        <v>54948.998301199994</v>
      </c>
      <c r="AD99" s="102" t="e">
        <f t="shared" si="24"/>
        <v>#VALUE!</v>
      </c>
      <c r="AE99" s="102" t="str">
        <f t="shared" si="439"/>
        <v/>
      </c>
      <c r="AF99" s="102">
        <f t="shared" si="440"/>
        <v>151337</v>
      </c>
      <c r="AG99" s="199">
        <f t="shared" si="390"/>
        <v>96388.001698800013</v>
      </c>
      <c r="AH99" s="158">
        <f t="shared" si="391"/>
        <v>2.7541357382068066</v>
      </c>
      <c r="AI99" s="147">
        <f t="shared" ref="AI99:AI126" si="469">SUM(O99,V99,AC99)</f>
        <v>803644.79268419999</v>
      </c>
      <c r="AJ99" s="111">
        <f t="shared" si="441"/>
        <v>1108637.81</v>
      </c>
      <c r="AK99" s="102">
        <f t="shared" si="31"/>
        <v>0</v>
      </c>
      <c r="AL99" s="102" t="e">
        <f t="shared" si="32"/>
        <v>#VALUE!</v>
      </c>
      <c r="AM99" s="102">
        <f t="shared" si="33"/>
        <v>458689</v>
      </c>
      <c r="AN99" s="102">
        <f t="shared" si="34"/>
        <v>-649948.81000000006</v>
      </c>
      <c r="AO99" s="112">
        <f t="shared" si="35"/>
        <v>0.41374107563587426</v>
      </c>
      <c r="AP99" s="100">
        <f t="shared" si="442"/>
        <v>79970.929999999993</v>
      </c>
      <c r="AQ99" s="113" t="e">
        <f t="shared" si="37"/>
        <v>#VALUE!</v>
      </c>
      <c r="AR99" s="114" t="str">
        <f t="shared" si="443"/>
        <v/>
      </c>
      <c r="AS99" s="115">
        <f t="shared" si="444"/>
        <v>284385.75</v>
      </c>
      <c r="AT99" s="100">
        <f t="shared" si="445"/>
        <v>66412.7</v>
      </c>
      <c r="AU99" s="113" t="e">
        <f t="shared" si="41"/>
        <v>#VALUE!</v>
      </c>
      <c r="AV99" s="116" t="str">
        <f t="shared" si="446"/>
        <v/>
      </c>
      <c r="AW99" s="117">
        <f t="shared" si="447"/>
        <v>364901.44</v>
      </c>
      <c r="AX99" s="100">
        <f t="shared" si="448"/>
        <v>423088.51</v>
      </c>
      <c r="AY99" s="113" t="e">
        <f t="shared" si="45"/>
        <v>#VALUE!</v>
      </c>
      <c r="AZ99" s="114" t="str">
        <f t="shared" si="449"/>
        <v/>
      </c>
      <c r="BA99" s="100">
        <f t="shared" si="450"/>
        <v>323597.33</v>
      </c>
      <c r="BB99" s="118" t="e">
        <f t="shared" ref="BB99:BD99" si="470">BH99+AY99+AU99</f>
        <v>#VALUE!</v>
      </c>
      <c r="BC99" s="116" t="e">
        <f t="shared" si="470"/>
        <v>#VALUE!</v>
      </c>
      <c r="BD99" s="119">
        <f t="shared" si="470"/>
        <v>906029.62000000011</v>
      </c>
      <c r="BE99" s="118" t="e">
        <f t="shared" si="49"/>
        <v>#VALUE!</v>
      </c>
      <c r="BF99" s="116" t="e">
        <f t="shared" si="50"/>
        <v>#VALUE!</v>
      </c>
      <c r="BG99" s="119">
        <f t="shared" si="51"/>
        <v>1364718.62</v>
      </c>
      <c r="BH99" s="114" t="e">
        <f t="shared" si="52"/>
        <v>#VALUE!</v>
      </c>
      <c r="BI99" s="114" t="str">
        <f t="shared" si="452"/>
        <v/>
      </c>
      <c r="BJ99" s="115">
        <f t="shared" si="453"/>
        <v>217530.85</v>
      </c>
      <c r="BK99" s="125">
        <f t="shared" si="454"/>
        <v>68773.5</v>
      </c>
      <c r="BL99" s="120" t="e">
        <f t="shared" si="56"/>
        <v>#VALUE!</v>
      </c>
      <c r="BM99" s="121" t="str">
        <f t="shared" si="455"/>
        <v/>
      </c>
      <c r="BN99" s="119">
        <f t="shared" si="456"/>
        <v>196299.78</v>
      </c>
      <c r="BO99" s="125">
        <f t="shared" si="457"/>
        <v>337452.42</v>
      </c>
      <c r="BP99" s="140" t="e">
        <f t="shared" si="60"/>
        <v>#VALUE!</v>
      </c>
      <c r="BQ99" s="123" t="str">
        <f t="shared" si="458"/>
        <v/>
      </c>
      <c r="BR99" s="125">
        <f t="shared" si="459"/>
        <v>184972.75</v>
      </c>
      <c r="BS99" s="122" t="e">
        <f t="shared" si="63"/>
        <v>#VALUE!</v>
      </c>
      <c r="BT99" s="123">
        <f t="shared" ref="BT99:BU99" si="471">SUM(BI99,BM99,BQ99)</f>
        <v>0</v>
      </c>
      <c r="BU99" s="124">
        <f t="shared" si="471"/>
        <v>598803.38</v>
      </c>
      <c r="BV99" s="125">
        <f t="shared" si="461"/>
        <v>292803.8</v>
      </c>
      <c r="BW99" s="122" t="e">
        <f t="shared" si="66"/>
        <v>#VALUE!</v>
      </c>
      <c r="BX99" s="123" t="str">
        <f t="shared" si="462"/>
        <v/>
      </c>
      <c r="BY99" s="124">
        <f t="shared" si="463"/>
        <v>391574.17</v>
      </c>
      <c r="BZ99" s="125">
        <f t="shared" si="464"/>
        <v>387578.17</v>
      </c>
      <c r="CA99" s="140"/>
      <c r="CB99" s="123"/>
      <c r="CC99" s="148"/>
      <c r="CD99" s="123">
        <f t="shared" si="465"/>
        <v>428255.84</v>
      </c>
      <c r="CF99" s="126"/>
    </row>
    <row r="100" spans="1:84" ht="13">
      <c r="A100" s="92">
        <f t="shared" si="425"/>
        <v>112013458</v>
      </c>
      <c r="B100" s="172">
        <f t="shared" si="362"/>
        <v>1</v>
      </c>
      <c r="C100" s="137" t="str">
        <f t="shared" si="363"/>
        <v>Lista</v>
      </c>
      <c r="D100" s="137">
        <f t="shared" si="364"/>
        <v>0.09</v>
      </c>
      <c r="E100" s="138">
        <f t="shared" si="365"/>
        <v>0</v>
      </c>
      <c r="F100" s="193">
        <f t="shared" si="382"/>
        <v>1</v>
      </c>
      <c r="G100" s="97" t="str">
        <f t="shared" si="426"/>
        <v>Lista</v>
      </c>
      <c r="H100" s="97">
        <f t="shared" si="427"/>
        <v>0.09</v>
      </c>
      <c r="I100" s="97">
        <f t="shared" si="428"/>
        <v>0</v>
      </c>
      <c r="J100" s="96">
        <f t="shared" si="429"/>
        <v>71</v>
      </c>
      <c r="K100" s="94" t="str">
        <f t="shared" si="430"/>
        <v>Lista</v>
      </c>
      <c r="L100" s="98">
        <f t="shared" si="431"/>
        <v>0.05</v>
      </c>
      <c r="M100" s="139" t="s">
        <v>174</v>
      </c>
      <c r="N100" s="100">
        <f t="shared" si="432"/>
        <v>108673.86</v>
      </c>
      <c r="O100" s="140">
        <f t="shared" si="466"/>
        <v>182686.19235299999</v>
      </c>
      <c r="P100" s="102">
        <f t="shared" si="13"/>
        <v>80254.799999999988</v>
      </c>
      <c r="Q100" s="102">
        <f t="shared" si="433"/>
        <v>42053.68</v>
      </c>
      <c r="R100" s="102">
        <f t="shared" si="434"/>
        <v>122308.48</v>
      </c>
      <c r="S100" s="102">
        <f t="shared" si="16"/>
        <v>-60377.712352999995</v>
      </c>
      <c r="T100" s="103">
        <f t="shared" si="17"/>
        <v>0.66950040626861584</v>
      </c>
      <c r="U100" s="100">
        <f t="shared" si="435"/>
        <v>10282.4</v>
      </c>
      <c r="V100" s="141">
        <f t="shared" si="467"/>
        <v>17731.998799999998</v>
      </c>
      <c r="W100" s="105">
        <f t="shared" si="19"/>
        <v>0</v>
      </c>
      <c r="X100" s="102">
        <f t="shared" si="436"/>
        <v>57495.78</v>
      </c>
      <c r="Y100" s="106">
        <f t="shared" si="437"/>
        <v>57495.78</v>
      </c>
      <c r="Z100" s="142">
        <f t="shared" si="387"/>
        <v>39763.781199999998</v>
      </c>
      <c r="AA100" s="143">
        <f t="shared" si="388"/>
        <v>3.242487248532862</v>
      </c>
      <c r="AB100" s="100">
        <f t="shared" si="438"/>
        <v>36780.160000000003</v>
      </c>
      <c r="AC100" s="140">
        <f t="shared" si="468"/>
        <v>60443.227638400007</v>
      </c>
      <c r="AD100" s="102">
        <f t="shared" si="24"/>
        <v>3484.8000000000029</v>
      </c>
      <c r="AE100" s="102">
        <f t="shared" si="439"/>
        <v>96342.44</v>
      </c>
      <c r="AF100" s="102">
        <f t="shared" si="440"/>
        <v>99827.24</v>
      </c>
      <c r="AG100" s="199">
        <f t="shared" si="390"/>
        <v>39384.012361599998</v>
      </c>
      <c r="AH100" s="158">
        <f t="shared" si="391"/>
        <v>1.6515868510069283</v>
      </c>
      <c r="AI100" s="147">
        <f t="shared" si="469"/>
        <v>260861.41879140001</v>
      </c>
      <c r="AJ100" s="111">
        <f t="shared" si="441"/>
        <v>118041.98</v>
      </c>
      <c r="AK100" s="102">
        <f t="shared" si="31"/>
        <v>195891.9</v>
      </c>
      <c r="AL100" s="102">
        <f t="shared" si="32"/>
        <v>83739.599999999991</v>
      </c>
      <c r="AM100" s="102">
        <f t="shared" si="33"/>
        <v>279631.5</v>
      </c>
      <c r="AN100" s="102">
        <f t="shared" si="34"/>
        <v>161589.52000000002</v>
      </c>
      <c r="AO100" s="112">
        <f t="shared" si="35"/>
        <v>2.3689157027016998</v>
      </c>
      <c r="AP100" s="100">
        <f t="shared" si="442"/>
        <v>17849.37</v>
      </c>
      <c r="AQ100" s="113">
        <f t="shared" si="37"/>
        <v>0</v>
      </c>
      <c r="AR100" s="114">
        <f t="shared" si="443"/>
        <v>0</v>
      </c>
      <c r="AS100" s="115">
        <f t="shared" si="444"/>
        <v>0</v>
      </c>
      <c r="AT100" s="100">
        <f t="shared" si="445"/>
        <v>17276.18</v>
      </c>
      <c r="AU100" s="113">
        <f t="shared" si="41"/>
        <v>0</v>
      </c>
      <c r="AV100" s="116">
        <f t="shared" si="446"/>
        <v>39880.58</v>
      </c>
      <c r="AW100" s="117">
        <f t="shared" si="447"/>
        <v>39880.58</v>
      </c>
      <c r="AX100" s="100">
        <f t="shared" si="448"/>
        <v>36995.68</v>
      </c>
      <c r="AY100" s="113">
        <f t="shared" si="45"/>
        <v>55920.03</v>
      </c>
      <c r="AZ100" s="114">
        <f t="shared" si="449"/>
        <v>39880.58</v>
      </c>
      <c r="BA100" s="100">
        <f t="shared" si="450"/>
        <v>95800.61</v>
      </c>
      <c r="BB100" s="118">
        <f t="shared" ref="BB100:BD100" si="472">BH100+AY100+AU100</f>
        <v>55920.03</v>
      </c>
      <c r="BC100" s="116">
        <f t="shared" si="472"/>
        <v>79761.16</v>
      </c>
      <c r="BD100" s="119">
        <f t="shared" si="472"/>
        <v>135681.19</v>
      </c>
      <c r="BE100" s="118">
        <f t="shared" si="49"/>
        <v>139659.63</v>
      </c>
      <c r="BF100" s="116">
        <f t="shared" si="50"/>
        <v>275653.06</v>
      </c>
      <c r="BG100" s="119">
        <f t="shared" si="51"/>
        <v>415312.69</v>
      </c>
      <c r="BH100" s="114">
        <f t="shared" si="52"/>
        <v>0</v>
      </c>
      <c r="BI100" s="114">
        <f t="shared" si="452"/>
        <v>0</v>
      </c>
      <c r="BJ100" s="115">
        <f t="shared" si="453"/>
        <v>0</v>
      </c>
      <c r="BK100" s="125">
        <f t="shared" si="454"/>
        <v>88372.24</v>
      </c>
      <c r="BL100" s="120">
        <f t="shared" si="56"/>
        <v>103966.2</v>
      </c>
      <c r="BM100" s="121">
        <f t="shared" si="455"/>
        <v>0</v>
      </c>
      <c r="BN100" s="119">
        <f t="shared" si="456"/>
        <v>103966.2</v>
      </c>
      <c r="BO100" s="125">
        <f t="shared" si="457"/>
        <v>46694.89</v>
      </c>
      <c r="BP100" s="140">
        <f t="shared" si="60"/>
        <v>153275.28</v>
      </c>
      <c r="BQ100" s="123">
        <f t="shared" si="458"/>
        <v>0</v>
      </c>
      <c r="BR100" s="125">
        <f t="shared" si="459"/>
        <v>153275.28</v>
      </c>
      <c r="BS100" s="122">
        <f t="shared" si="63"/>
        <v>257241.47999999998</v>
      </c>
      <c r="BT100" s="123">
        <f t="shared" ref="BT100:BU100" si="473">SUM(BI100,BM100,BQ100)</f>
        <v>0</v>
      </c>
      <c r="BU100" s="124">
        <f t="shared" si="473"/>
        <v>257241.47999999998</v>
      </c>
      <c r="BV100" s="125">
        <f t="shared" si="461"/>
        <v>7842</v>
      </c>
      <c r="BW100" s="122">
        <f t="shared" si="66"/>
        <v>0</v>
      </c>
      <c r="BX100" s="123">
        <f t="shared" si="462"/>
        <v>0</v>
      </c>
      <c r="BY100" s="124">
        <f t="shared" si="463"/>
        <v>0</v>
      </c>
      <c r="BZ100" s="125">
        <f t="shared" si="464"/>
        <v>51144.02</v>
      </c>
      <c r="CA100" s="140"/>
      <c r="CB100" s="123"/>
      <c r="CC100" s="148"/>
      <c r="CD100" s="123">
        <f t="shared" si="465"/>
        <v>59055.96</v>
      </c>
      <c r="CF100" s="126"/>
    </row>
    <row r="101" spans="1:84" ht="14">
      <c r="A101" s="92">
        <f t="shared" si="425"/>
        <v>112014642</v>
      </c>
      <c r="B101" s="172">
        <f t="shared" si="362"/>
        <v>1</v>
      </c>
      <c r="C101" s="137" t="str">
        <f t="shared" si="363"/>
        <v>Lista</v>
      </c>
      <c r="D101" s="137">
        <f t="shared" si="364"/>
        <v>0.09</v>
      </c>
      <c r="E101" s="138">
        <f t="shared" si="365"/>
        <v>0</v>
      </c>
      <c r="F101" s="193">
        <f t="shared" si="382"/>
        <v>1</v>
      </c>
      <c r="G101" s="97" t="str">
        <f t="shared" si="426"/>
        <v>Lista</v>
      </c>
      <c r="H101" s="97">
        <f t="shared" si="427"/>
        <v>0.09</v>
      </c>
      <c r="I101" s="97">
        <f t="shared" si="428"/>
        <v>0</v>
      </c>
      <c r="J101" s="96">
        <f t="shared" si="429"/>
        <v>71</v>
      </c>
      <c r="K101" s="94" t="str">
        <f t="shared" si="430"/>
        <v>Lista</v>
      </c>
      <c r="L101" s="98">
        <f t="shared" si="431"/>
        <v>0.05</v>
      </c>
      <c r="M101" s="139" t="s">
        <v>175</v>
      </c>
      <c r="N101" s="100" t="str">
        <f t="shared" si="432"/>
        <v/>
      </c>
      <c r="O101" s="140" t="e">
        <f t="shared" si="466"/>
        <v>#VALUE!</v>
      </c>
      <c r="P101" s="102" t="e">
        <f t="shared" si="13"/>
        <v>#VALUE!</v>
      </c>
      <c r="Q101" s="102" t="str">
        <f t="shared" si="433"/>
        <v/>
      </c>
      <c r="R101" s="102">
        <f t="shared" si="434"/>
        <v>140383.70000000001</v>
      </c>
      <c r="S101" s="102" t="e">
        <f t="shared" si="16"/>
        <v>#VALUE!</v>
      </c>
      <c r="T101" s="103" t="e">
        <f t="shared" si="17"/>
        <v>#VALUE!</v>
      </c>
      <c r="U101" s="100" t="str">
        <f t="shared" si="435"/>
        <v/>
      </c>
      <c r="V101" s="141" t="e">
        <f t="shared" si="467"/>
        <v>#VALUE!</v>
      </c>
      <c r="W101" s="105" t="e">
        <f t="shared" si="19"/>
        <v>#VALUE!</v>
      </c>
      <c r="X101" s="102" t="str">
        <f t="shared" si="436"/>
        <v/>
      </c>
      <c r="Y101" s="106">
        <f t="shared" si="437"/>
        <v>0</v>
      </c>
      <c r="Z101" s="142" t="e">
        <f t="shared" si="387"/>
        <v>#VALUE!</v>
      </c>
      <c r="AA101" s="143" t="str">
        <f t="shared" si="388"/>
        <v/>
      </c>
      <c r="AB101" s="100" t="str">
        <f t="shared" si="438"/>
        <v/>
      </c>
      <c r="AC101" s="140" t="e">
        <f t="shared" si="468"/>
        <v>#VALUE!</v>
      </c>
      <c r="AD101" s="102" t="e">
        <f t="shared" si="24"/>
        <v>#VALUE!</v>
      </c>
      <c r="AE101" s="102" t="str">
        <f t="shared" si="439"/>
        <v/>
      </c>
      <c r="AF101" s="102">
        <f t="shared" si="440"/>
        <v>0</v>
      </c>
      <c r="AG101" s="199" t="e">
        <f t="shared" si="390"/>
        <v>#VALUE!</v>
      </c>
      <c r="AH101" s="158" t="str">
        <f t="shared" si="391"/>
        <v/>
      </c>
      <c r="AI101" s="147" t="e">
        <f t="shared" si="469"/>
        <v>#VALUE!</v>
      </c>
      <c r="AJ101" s="111" t="str">
        <f t="shared" si="441"/>
        <v>0</v>
      </c>
      <c r="AK101" s="102">
        <f t="shared" si="31"/>
        <v>0</v>
      </c>
      <c r="AL101" s="102" t="e">
        <f t="shared" si="32"/>
        <v>#VALUE!</v>
      </c>
      <c r="AM101" s="102">
        <f t="shared" si="33"/>
        <v>140383.70000000001</v>
      </c>
      <c r="AN101" s="102">
        <f t="shared" si="34"/>
        <v>140383.70000000001</v>
      </c>
      <c r="AO101" s="112" t="e">
        <f t="shared" si="35"/>
        <v>#DIV/0!</v>
      </c>
      <c r="AP101" s="100" t="str">
        <f t="shared" si="442"/>
        <v/>
      </c>
      <c r="AQ101" s="113" t="e">
        <f t="shared" si="37"/>
        <v>#VALUE!</v>
      </c>
      <c r="AR101" s="114" t="str">
        <f t="shared" si="443"/>
        <v/>
      </c>
      <c r="AS101" s="115">
        <f t="shared" si="444"/>
        <v>0</v>
      </c>
      <c r="AT101" s="100" t="str">
        <f t="shared" si="445"/>
        <v/>
      </c>
      <c r="AU101" s="113" t="e">
        <f t="shared" si="41"/>
        <v>#VALUE!</v>
      </c>
      <c r="AV101" s="116" t="str">
        <f t="shared" si="446"/>
        <v/>
      </c>
      <c r="AW101" s="117">
        <f t="shared" si="447"/>
        <v>0</v>
      </c>
      <c r="AX101" s="100" t="str">
        <f t="shared" si="448"/>
        <v/>
      </c>
      <c r="AY101" s="113" t="e">
        <f t="shared" si="45"/>
        <v>#VALUE!</v>
      </c>
      <c r="AZ101" s="114" t="str">
        <f t="shared" si="449"/>
        <v/>
      </c>
      <c r="BA101" s="100">
        <f t="shared" si="450"/>
        <v>0</v>
      </c>
      <c r="BB101" s="118" t="e">
        <f t="shared" ref="BB101:BD101" si="474">BH101+AY101+AU101</f>
        <v>#VALUE!</v>
      </c>
      <c r="BC101" s="116" t="e">
        <f t="shared" si="474"/>
        <v>#VALUE!</v>
      </c>
      <c r="BD101" s="119">
        <f t="shared" si="474"/>
        <v>0</v>
      </c>
      <c r="BE101" s="118" t="e">
        <f t="shared" si="49"/>
        <v>#VALUE!</v>
      </c>
      <c r="BF101" s="116" t="e">
        <f t="shared" si="50"/>
        <v>#VALUE!</v>
      </c>
      <c r="BG101" s="119">
        <f t="shared" si="51"/>
        <v>140383.70000000001</v>
      </c>
      <c r="BH101" s="114" t="e">
        <f t="shared" si="52"/>
        <v>#VALUE!</v>
      </c>
      <c r="BI101" s="114" t="str">
        <f t="shared" si="452"/>
        <v/>
      </c>
      <c r="BJ101" s="115">
        <f t="shared" si="453"/>
        <v>0</v>
      </c>
      <c r="BK101" s="125" t="str">
        <f t="shared" si="454"/>
        <v/>
      </c>
      <c r="BL101" s="120" t="e">
        <f t="shared" si="56"/>
        <v>#VALUE!</v>
      </c>
      <c r="BM101" s="121" t="str">
        <f t="shared" si="455"/>
        <v/>
      </c>
      <c r="BN101" s="119">
        <f t="shared" si="456"/>
        <v>0</v>
      </c>
      <c r="BO101" s="125" t="str">
        <f t="shared" si="457"/>
        <v/>
      </c>
      <c r="BP101" s="140" t="e">
        <f t="shared" si="60"/>
        <v>#VALUE!</v>
      </c>
      <c r="BQ101" s="123" t="str">
        <f t="shared" si="458"/>
        <v/>
      </c>
      <c r="BR101" s="125">
        <f t="shared" si="459"/>
        <v>110397.75999999999</v>
      </c>
      <c r="BS101" s="122" t="e">
        <f t="shared" si="63"/>
        <v>#VALUE!</v>
      </c>
      <c r="BT101" s="123">
        <f t="shared" ref="BT101:BU101" si="475">SUM(BI101,BM101,BQ101)</f>
        <v>0</v>
      </c>
      <c r="BU101" s="124">
        <f t="shared" si="475"/>
        <v>110397.75999999999</v>
      </c>
      <c r="BV101" s="125" t="str">
        <f t="shared" si="461"/>
        <v/>
      </c>
      <c r="BW101" s="122" t="e">
        <f t="shared" si="66"/>
        <v>#VALUE!</v>
      </c>
      <c r="BX101" s="123" t="str">
        <f t="shared" si="462"/>
        <v/>
      </c>
      <c r="BY101" s="124">
        <f t="shared" si="463"/>
        <v>0</v>
      </c>
      <c r="BZ101" s="125" t="str">
        <f t="shared" si="464"/>
        <v/>
      </c>
      <c r="CA101" s="140"/>
      <c r="CB101" s="123"/>
      <c r="CC101" s="148"/>
      <c r="CD101" s="123" t="str">
        <f t="shared" si="465"/>
        <v/>
      </c>
      <c r="CF101" s="149"/>
    </row>
    <row r="102" spans="1:84" ht="14">
      <c r="A102" s="92">
        <f t="shared" si="425"/>
        <v>112011726</v>
      </c>
      <c r="B102" s="172">
        <f t="shared" si="362"/>
        <v>1</v>
      </c>
      <c r="C102" s="137" t="str">
        <f t="shared" si="363"/>
        <v>Lista</v>
      </c>
      <c r="D102" s="137">
        <f t="shared" si="364"/>
        <v>0.09</v>
      </c>
      <c r="E102" s="138">
        <f t="shared" si="365"/>
        <v>0</v>
      </c>
      <c r="F102" s="193">
        <f t="shared" si="382"/>
        <v>1</v>
      </c>
      <c r="G102" s="97" t="str">
        <f t="shared" si="426"/>
        <v>Lista</v>
      </c>
      <c r="H102" s="97">
        <f t="shared" si="427"/>
        <v>0.09</v>
      </c>
      <c r="I102" s="97">
        <f t="shared" si="428"/>
        <v>0</v>
      </c>
      <c r="J102" s="96">
        <f t="shared" si="429"/>
        <v>71</v>
      </c>
      <c r="K102" s="94" t="str">
        <f t="shared" si="430"/>
        <v>Lista</v>
      </c>
      <c r="L102" s="98">
        <f t="shared" si="431"/>
        <v>0.05</v>
      </c>
      <c r="M102" s="255" t="s">
        <v>176</v>
      </c>
      <c r="N102" s="100">
        <f t="shared" si="432"/>
        <v>0</v>
      </c>
      <c r="O102" s="140"/>
      <c r="P102" s="102" t="e">
        <f t="shared" si="13"/>
        <v>#VALUE!</v>
      </c>
      <c r="Q102" s="102" t="str">
        <f t="shared" si="433"/>
        <v/>
      </c>
      <c r="R102" s="102">
        <f t="shared" si="434"/>
        <v>0</v>
      </c>
      <c r="S102" s="102">
        <f t="shared" si="16"/>
        <v>0</v>
      </c>
      <c r="T102" s="103" t="e">
        <f t="shared" si="17"/>
        <v>#DIV/0!</v>
      </c>
      <c r="U102" s="100">
        <f t="shared" si="435"/>
        <v>0</v>
      </c>
      <c r="V102" s="141"/>
      <c r="W102" s="105" t="e">
        <f t="shared" si="19"/>
        <v>#VALUE!</v>
      </c>
      <c r="X102" s="102" t="str">
        <f t="shared" si="436"/>
        <v/>
      </c>
      <c r="Y102" s="106">
        <f t="shared" si="437"/>
        <v>0</v>
      </c>
      <c r="Z102" s="142">
        <f t="shared" si="387"/>
        <v>0</v>
      </c>
      <c r="AA102" s="143" t="str">
        <f t="shared" si="388"/>
        <v/>
      </c>
      <c r="AB102" s="100">
        <f t="shared" si="438"/>
        <v>132556.4</v>
      </c>
      <c r="AC102" s="140">
        <f t="shared" si="468"/>
        <v>217838.54828599998</v>
      </c>
      <c r="AD102" s="102" t="e">
        <f t="shared" si="24"/>
        <v>#VALUE!</v>
      </c>
      <c r="AE102" s="102" t="str">
        <f t="shared" si="439"/>
        <v/>
      </c>
      <c r="AF102" s="102">
        <f t="shared" si="440"/>
        <v>0</v>
      </c>
      <c r="AG102" s="199">
        <f t="shared" si="390"/>
        <v>-217838.54828599998</v>
      </c>
      <c r="AH102" s="158">
        <f t="shared" si="391"/>
        <v>0</v>
      </c>
      <c r="AI102" s="147">
        <f t="shared" si="469"/>
        <v>217838.54828599998</v>
      </c>
      <c r="AJ102" s="111">
        <f t="shared" si="441"/>
        <v>60864</v>
      </c>
      <c r="AK102" s="102">
        <f t="shared" si="31"/>
        <v>0</v>
      </c>
      <c r="AL102" s="102" t="e">
        <f t="shared" si="32"/>
        <v>#VALUE!</v>
      </c>
      <c r="AM102" s="102">
        <f t="shared" si="33"/>
        <v>0</v>
      </c>
      <c r="AN102" s="102">
        <f t="shared" si="34"/>
        <v>-60864</v>
      </c>
      <c r="AO102" s="112">
        <f t="shared" si="35"/>
        <v>0</v>
      </c>
      <c r="AP102" s="100">
        <f t="shared" si="442"/>
        <v>0</v>
      </c>
      <c r="AQ102" s="113" t="e">
        <f t="shared" si="37"/>
        <v>#VALUE!</v>
      </c>
      <c r="AR102" s="114" t="str">
        <f t="shared" si="443"/>
        <v/>
      </c>
      <c r="AS102" s="115">
        <f t="shared" si="444"/>
        <v>138842.70000000001</v>
      </c>
      <c r="AT102" s="100">
        <f t="shared" si="445"/>
        <v>75450</v>
      </c>
      <c r="AU102" s="113" t="e">
        <f t="shared" si="41"/>
        <v>#VALUE!</v>
      </c>
      <c r="AV102" s="116" t="str">
        <f t="shared" si="446"/>
        <v/>
      </c>
      <c r="AW102" s="117">
        <f t="shared" si="447"/>
        <v>0</v>
      </c>
      <c r="AX102" s="100">
        <f t="shared" si="448"/>
        <v>116224.82</v>
      </c>
      <c r="AY102" s="113" t="e">
        <f t="shared" si="45"/>
        <v>#VALUE!</v>
      </c>
      <c r="AZ102" s="114" t="str">
        <f t="shared" si="449"/>
        <v/>
      </c>
      <c r="BA102" s="100">
        <f t="shared" si="450"/>
        <v>55624.4</v>
      </c>
      <c r="BB102" s="118" t="e">
        <f t="shared" ref="BB102:BD102" si="476">BH102+AY102+AU102</f>
        <v>#VALUE!</v>
      </c>
      <c r="BC102" s="116" t="e">
        <f t="shared" si="476"/>
        <v>#VALUE!</v>
      </c>
      <c r="BD102" s="119">
        <f t="shared" si="476"/>
        <v>55624.4</v>
      </c>
      <c r="BE102" s="118" t="e">
        <f t="shared" si="49"/>
        <v>#VALUE!</v>
      </c>
      <c r="BF102" s="116" t="e">
        <f t="shared" si="50"/>
        <v>#VALUE!</v>
      </c>
      <c r="BG102" s="119">
        <f t="shared" si="51"/>
        <v>55624.4</v>
      </c>
      <c r="BH102" s="114" t="e">
        <f t="shared" si="52"/>
        <v>#VALUE!</v>
      </c>
      <c r="BI102" s="114" t="str">
        <f t="shared" si="452"/>
        <v/>
      </c>
      <c r="BJ102" s="115">
        <f t="shared" si="453"/>
        <v>0</v>
      </c>
      <c r="BK102" s="125">
        <f t="shared" si="454"/>
        <v>127193.71</v>
      </c>
      <c r="BL102" s="120" t="e">
        <f t="shared" si="56"/>
        <v>#VALUE!</v>
      </c>
      <c r="BM102" s="121" t="str">
        <f t="shared" si="455"/>
        <v/>
      </c>
      <c r="BN102" s="119">
        <f t="shared" si="456"/>
        <v>74036.7</v>
      </c>
      <c r="BO102" s="125">
        <f t="shared" si="457"/>
        <v>0</v>
      </c>
      <c r="BP102" s="140" t="e">
        <f t="shared" si="60"/>
        <v>#VALUE!</v>
      </c>
      <c r="BQ102" s="123" t="str">
        <f t="shared" si="458"/>
        <v/>
      </c>
      <c r="BR102" s="125">
        <f t="shared" si="459"/>
        <v>60604.76</v>
      </c>
      <c r="BS102" s="122" t="e">
        <f t="shared" si="63"/>
        <v>#VALUE!</v>
      </c>
      <c r="BT102" s="123">
        <f t="shared" ref="BT102:BU102" si="477">SUM(BI102,BM102,BQ102)</f>
        <v>0</v>
      </c>
      <c r="BU102" s="124">
        <f t="shared" si="477"/>
        <v>134641.46</v>
      </c>
      <c r="BV102" s="125">
        <f t="shared" si="461"/>
        <v>60864</v>
      </c>
      <c r="BW102" s="122" t="e">
        <f t="shared" si="66"/>
        <v>#VALUE!</v>
      </c>
      <c r="BX102" s="123" t="str">
        <f t="shared" si="462"/>
        <v/>
      </c>
      <c r="BY102" s="124">
        <f t="shared" si="463"/>
        <v>0</v>
      </c>
      <c r="BZ102" s="125">
        <f t="shared" si="464"/>
        <v>0</v>
      </c>
      <c r="CA102" s="140"/>
      <c r="CB102" s="123"/>
      <c r="CC102" s="148"/>
      <c r="CD102" s="123">
        <f t="shared" si="465"/>
        <v>0</v>
      </c>
      <c r="CF102" s="149"/>
    </row>
    <row r="103" spans="1:84" ht="13">
      <c r="A103" s="92">
        <f t="shared" si="425"/>
        <v>112013886</v>
      </c>
      <c r="B103" s="172">
        <f t="shared" si="362"/>
        <v>1</v>
      </c>
      <c r="C103" s="137" t="str">
        <f t="shared" si="363"/>
        <v>Lista</v>
      </c>
      <c r="D103" s="137">
        <f t="shared" si="364"/>
        <v>0.09</v>
      </c>
      <c r="E103" s="138">
        <f t="shared" si="365"/>
        <v>0</v>
      </c>
      <c r="F103" s="193">
        <f t="shared" si="382"/>
        <v>1</v>
      </c>
      <c r="G103" s="97" t="str">
        <f t="shared" si="426"/>
        <v>Lista</v>
      </c>
      <c r="H103" s="97">
        <f t="shared" si="427"/>
        <v>0.09</v>
      </c>
      <c r="I103" s="97">
        <f t="shared" si="428"/>
        <v>0</v>
      </c>
      <c r="J103" s="96">
        <f t="shared" si="429"/>
        <v>71</v>
      </c>
      <c r="K103" s="94" t="str">
        <f t="shared" si="430"/>
        <v>Lista</v>
      </c>
      <c r="L103" s="98">
        <f t="shared" si="431"/>
        <v>0.05</v>
      </c>
      <c r="M103" s="139" t="s">
        <v>177</v>
      </c>
      <c r="N103" s="100">
        <f t="shared" si="432"/>
        <v>891631.78</v>
      </c>
      <c r="O103" s="140">
        <f t="shared" ref="O103:O126" si="478">(N103*1.601)*1.05</f>
        <v>1498877.6037689999</v>
      </c>
      <c r="P103" s="102" t="e">
        <f t="shared" si="13"/>
        <v>#VALUE!</v>
      </c>
      <c r="Q103" s="102" t="str">
        <f t="shared" si="433"/>
        <v/>
      </c>
      <c r="R103" s="102">
        <f t="shared" si="434"/>
        <v>453160.39</v>
      </c>
      <c r="S103" s="102">
        <f t="shared" si="16"/>
        <v>-1045717.2137689999</v>
      </c>
      <c r="T103" s="103">
        <f t="shared" si="17"/>
        <v>0.30233315172666958</v>
      </c>
      <c r="U103" s="100">
        <f t="shared" si="435"/>
        <v>568604.31999999995</v>
      </c>
      <c r="V103" s="141">
        <f t="shared" ref="V103:V126" si="479">U103*1.7245</f>
        <v>980558.14983999985</v>
      </c>
      <c r="W103" s="105" t="e">
        <f t="shared" si="19"/>
        <v>#VALUE!</v>
      </c>
      <c r="X103" s="102" t="str">
        <f t="shared" si="436"/>
        <v/>
      </c>
      <c r="Y103" s="106">
        <f t="shared" si="437"/>
        <v>432480.05</v>
      </c>
      <c r="Z103" s="142">
        <f t="shared" si="387"/>
        <v>-548078.09983999981</v>
      </c>
      <c r="AA103" s="143">
        <f t="shared" si="388"/>
        <v>0.4410549747310436</v>
      </c>
      <c r="AB103" s="100">
        <f t="shared" si="438"/>
        <v>560470.23</v>
      </c>
      <c r="AC103" s="140">
        <f t="shared" si="468"/>
        <v>921057.15952394996</v>
      </c>
      <c r="AD103" s="102" t="e">
        <f t="shared" si="24"/>
        <v>#VALUE!</v>
      </c>
      <c r="AE103" s="102" t="str">
        <f t="shared" si="439"/>
        <v/>
      </c>
      <c r="AF103" s="102">
        <f t="shared" si="440"/>
        <v>309003.25</v>
      </c>
      <c r="AG103" s="199">
        <f t="shared" si="390"/>
        <v>-612053.90952394996</v>
      </c>
      <c r="AH103" s="158">
        <f t="shared" si="391"/>
        <v>0.33548759358182384</v>
      </c>
      <c r="AI103" s="147">
        <f t="shared" si="469"/>
        <v>3400492.9131329497</v>
      </c>
      <c r="AJ103" s="111">
        <f t="shared" si="441"/>
        <v>1244894.45</v>
      </c>
      <c r="AK103" s="102">
        <f t="shared" si="31"/>
        <v>0</v>
      </c>
      <c r="AL103" s="102" t="e">
        <f t="shared" si="32"/>
        <v>#VALUE!</v>
      </c>
      <c r="AM103" s="102">
        <f t="shared" si="33"/>
        <v>1194643.69</v>
      </c>
      <c r="AN103" s="102">
        <f t="shared" si="34"/>
        <v>-50250.760000000009</v>
      </c>
      <c r="AO103" s="112">
        <f t="shared" si="35"/>
        <v>0.95963452162550811</v>
      </c>
      <c r="AP103" s="100">
        <f t="shared" si="442"/>
        <v>640622.47</v>
      </c>
      <c r="AQ103" s="113" t="e">
        <f t="shared" si="37"/>
        <v>#VALUE!</v>
      </c>
      <c r="AR103" s="114" t="str">
        <f t="shared" si="443"/>
        <v/>
      </c>
      <c r="AS103" s="115">
        <f t="shared" si="444"/>
        <v>336742.78</v>
      </c>
      <c r="AT103" s="100">
        <f t="shared" si="445"/>
        <v>527146.14</v>
      </c>
      <c r="AU103" s="113" t="e">
        <f t="shared" si="41"/>
        <v>#VALUE!</v>
      </c>
      <c r="AV103" s="116" t="str">
        <f t="shared" si="446"/>
        <v/>
      </c>
      <c r="AW103" s="117">
        <f t="shared" si="447"/>
        <v>164499.01</v>
      </c>
      <c r="AX103" s="100">
        <f t="shared" si="448"/>
        <v>413132.47</v>
      </c>
      <c r="AY103" s="113" t="e">
        <f t="shared" si="45"/>
        <v>#VALUE!</v>
      </c>
      <c r="AZ103" s="114" t="str">
        <f t="shared" si="449"/>
        <v/>
      </c>
      <c r="BA103" s="100">
        <f t="shared" si="450"/>
        <v>344580.14</v>
      </c>
      <c r="BB103" s="118" t="e">
        <f t="shared" ref="BB103:BD103" si="480">BH103+AY103+AU103</f>
        <v>#VALUE!</v>
      </c>
      <c r="BC103" s="116" t="e">
        <f t="shared" si="480"/>
        <v>#VALUE!</v>
      </c>
      <c r="BD103" s="119">
        <f t="shared" si="480"/>
        <v>853713.98</v>
      </c>
      <c r="BE103" s="118" t="e">
        <f t="shared" si="49"/>
        <v>#VALUE!</v>
      </c>
      <c r="BF103" s="116" t="e">
        <f t="shared" si="50"/>
        <v>#VALUE!</v>
      </c>
      <c r="BG103" s="119">
        <f t="shared" si="51"/>
        <v>2048357.67</v>
      </c>
      <c r="BH103" s="114" t="e">
        <f t="shared" si="52"/>
        <v>#VALUE!</v>
      </c>
      <c r="BI103" s="114" t="str">
        <f t="shared" si="452"/>
        <v/>
      </c>
      <c r="BJ103" s="115">
        <f t="shared" si="453"/>
        <v>344634.83</v>
      </c>
      <c r="BK103" s="125">
        <f t="shared" si="454"/>
        <v>338199.08</v>
      </c>
      <c r="BL103" s="120" t="e">
        <f t="shared" si="56"/>
        <v>#VALUE!</v>
      </c>
      <c r="BM103" s="121" t="str">
        <f t="shared" si="455"/>
        <v/>
      </c>
      <c r="BN103" s="119">
        <f t="shared" si="456"/>
        <v>298865.59000000003</v>
      </c>
      <c r="BO103" s="125">
        <f t="shared" si="457"/>
        <v>447172.03</v>
      </c>
      <c r="BP103" s="140" t="e">
        <f t="shared" si="60"/>
        <v>#VALUE!</v>
      </c>
      <c r="BQ103" s="123" t="str">
        <f t="shared" si="458"/>
        <v/>
      </c>
      <c r="BR103" s="125">
        <f t="shared" si="459"/>
        <v>321149.53000000003</v>
      </c>
      <c r="BS103" s="122" t="e">
        <f t="shared" si="63"/>
        <v>#VALUE!</v>
      </c>
      <c r="BT103" s="123">
        <f t="shared" ref="BT103:BU103" si="481">SUM(BI103,BM103,BQ103)</f>
        <v>0</v>
      </c>
      <c r="BU103" s="124">
        <f t="shared" si="481"/>
        <v>964649.95000000007</v>
      </c>
      <c r="BV103" s="125">
        <f t="shared" si="461"/>
        <v>356609.33</v>
      </c>
      <c r="BW103" s="122" t="e">
        <f t="shared" si="66"/>
        <v>#VALUE!</v>
      </c>
      <c r="BX103" s="123" t="str">
        <f t="shared" si="462"/>
        <v/>
      </c>
      <c r="BY103" s="124">
        <f t="shared" si="463"/>
        <v>280422.78999999998</v>
      </c>
      <c r="BZ103" s="125">
        <f t="shared" si="464"/>
        <v>406716.45</v>
      </c>
      <c r="CA103" s="140"/>
      <c r="CB103" s="123"/>
      <c r="CC103" s="148"/>
      <c r="CD103" s="123">
        <f t="shared" si="465"/>
        <v>481568.66</v>
      </c>
      <c r="CF103" s="126"/>
    </row>
    <row r="104" spans="1:84" ht="13">
      <c r="A104" s="92">
        <f t="shared" si="425"/>
        <v>112011337</v>
      </c>
      <c r="B104" s="172">
        <f t="shared" si="362"/>
        <v>1</v>
      </c>
      <c r="C104" s="137" t="str">
        <f t="shared" si="363"/>
        <v>Lista</v>
      </c>
      <c r="D104" s="137">
        <f t="shared" si="364"/>
        <v>0.09</v>
      </c>
      <c r="E104" s="138">
        <f t="shared" si="365"/>
        <v>0</v>
      </c>
      <c r="F104" s="193">
        <f t="shared" si="382"/>
        <v>1</v>
      </c>
      <c r="G104" s="97" t="str">
        <f t="shared" si="426"/>
        <v>Lista</v>
      </c>
      <c r="H104" s="97">
        <f t="shared" si="427"/>
        <v>0.09</v>
      </c>
      <c r="I104" s="97">
        <f t="shared" si="428"/>
        <v>0</v>
      </c>
      <c r="J104" s="96">
        <f t="shared" si="429"/>
        <v>71</v>
      </c>
      <c r="K104" s="94" t="str">
        <f t="shared" si="430"/>
        <v>Lista</v>
      </c>
      <c r="L104" s="98">
        <f t="shared" si="431"/>
        <v>0.05</v>
      </c>
      <c r="M104" s="139" t="s">
        <v>178</v>
      </c>
      <c r="N104" s="100">
        <f t="shared" si="432"/>
        <v>267266.15999999997</v>
      </c>
      <c r="O104" s="140">
        <f t="shared" si="478"/>
        <v>449287.77826799999</v>
      </c>
      <c r="P104" s="102">
        <f t="shared" si="13"/>
        <v>1423126.98</v>
      </c>
      <c r="Q104" s="102">
        <f t="shared" si="433"/>
        <v>56460.42</v>
      </c>
      <c r="R104" s="102">
        <f t="shared" si="434"/>
        <v>1479587.4</v>
      </c>
      <c r="S104" s="102">
        <f t="shared" si="16"/>
        <v>1030299.6217319999</v>
      </c>
      <c r="T104" s="103">
        <f t="shared" si="17"/>
        <v>3.2931841718548296</v>
      </c>
      <c r="U104" s="100">
        <f t="shared" si="435"/>
        <v>431482.98</v>
      </c>
      <c r="V104" s="141">
        <f t="shared" si="479"/>
        <v>744092.39900999994</v>
      </c>
      <c r="W104" s="105">
        <f t="shared" si="19"/>
        <v>1550131.6300000001</v>
      </c>
      <c r="X104" s="102">
        <f t="shared" si="436"/>
        <v>75429.649999999994</v>
      </c>
      <c r="Y104" s="106">
        <f t="shared" si="437"/>
        <v>1625561.28</v>
      </c>
      <c r="Z104" s="142">
        <f t="shared" si="387"/>
        <v>881468.88099000009</v>
      </c>
      <c r="AA104" s="143">
        <f t="shared" si="388"/>
        <v>2.1846228803879422</v>
      </c>
      <c r="AB104" s="100">
        <f t="shared" si="438"/>
        <v>594231.42000000004</v>
      </c>
      <c r="AC104" s="140">
        <f t="shared" si="468"/>
        <v>976539.11752830003</v>
      </c>
      <c r="AD104" s="102">
        <f t="shared" si="24"/>
        <v>34680.699999999997</v>
      </c>
      <c r="AE104" s="102">
        <f t="shared" si="439"/>
        <v>84255.3</v>
      </c>
      <c r="AF104" s="102">
        <f t="shared" si="440"/>
        <v>118936</v>
      </c>
      <c r="AG104" s="199">
        <f t="shared" si="390"/>
        <v>-857603.11752830003</v>
      </c>
      <c r="AH104" s="158">
        <f t="shared" si="391"/>
        <v>0.12179338017819162</v>
      </c>
      <c r="AI104" s="147">
        <f t="shared" si="469"/>
        <v>2169919.2948062997</v>
      </c>
      <c r="AJ104" s="111">
        <f t="shared" si="441"/>
        <v>3320667.56</v>
      </c>
      <c r="AK104" s="102">
        <f t="shared" si="31"/>
        <v>216145.37</v>
      </c>
      <c r="AL104" s="102">
        <f t="shared" si="32"/>
        <v>3007939.3100000005</v>
      </c>
      <c r="AM104" s="102">
        <f t="shared" si="33"/>
        <v>3224084.6799999997</v>
      </c>
      <c r="AN104" s="102">
        <f t="shared" si="34"/>
        <v>-96582.880000000354</v>
      </c>
      <c r="AO104" s="112">
        <f t="shared" si="35"/>
        <v>0.97091461934840584</v>
      </c>
      <c r="AP104" s="100">
        <f t="shared" si="442"/>
        <v>1003787.81</v>
      </c>
      <c r="AQ104" s="113">
        <f t="shared" si="37"/>
        <v>645896.56999999995</v>
      </c>
      <c r="AR104" s="114">
        <f t="shared" si="443"/>
        <v>262305.78000000003</v>
      </c>
      <c r="AS104" s="115">
        <f t="shared" si="444"/>
        <v>908202.35</v>
      </c>
      <c r="AT104" s="100">
        <f t="shared" si="445"/>
        <v>60583.85</v>
      </c>
      <c r="AU104" s="113">
        <f t="shared" si="41"/>
        <v>681798.33</v>
      </c>
      <c r="AV104" s="116">
        <f t="shared" si="446"/>
        <v>27281.360000000001</v>
      </c>
      <c r="AW104" s="117">
        <f t="shared" si="447"/>
        <v>709079.69</v>
      </c>
      <c r="AX104" s="100">
        <f t="shared" si="448"/>
        <v>0</v>
      </c>
      <c r="AY104" s="113">
        <f t="shared" si="45"/>
        <v>829411.15</v>
      </c>
      <c r="AZ104" s="114">
        <f t="shared" si="449"/>
        <v>32158.23</v>
      </c>
      <c r="BA104" s="100">
        <f t="shared" si="450"/>
        <v>861569.38</v>
      </c>
      <c r="BB104" s="118">
        <f t="shared" ref="BB104:BD104" si="482">BH104+AY104+AU104</f>
        <v>2810941.07</v>
      </c>
      <c r="BC104" s="116">
        <f t="shared" si="482"/>
        <v>123329.15</v>
      </c>
      <c r="BD104" s="119">
        <f t="shared" si="482"/>
        <v>2934270.2199999997</v>
      </c>
      <c r="BE104" s="118">
        <f t="shared" si="49"/>
        <v>5818880.3800000008</v>
      </c>
      <c r="BF104" s="116">
        <f t="shared" si="50"/>
        <v>339474.52</v>
      </c>
      <c r="BG104" s="119">
        <f t="shared" si="51"/>
        <v>6158354.8999999994</v>
      </c>
      <c r="BH104" s="114">
        <f t="shared" si="52"/>
        <v>1299731.5899999999</v>
      </c>
      <c r="BI104" s="114">
        <f t="shared" si="452"/>
        <v>63889.56</v>
      </c>
      <c r="BJ104" s="115">
        <f t="shared" si="453"/>
        <v>1363621.15</v>
      </c>
      <c r="BK104" s="125">
        <f t="shared" si="454"/>
        <v>402377.57</v>
      </c>
      <c r="BL104" s="120">
        <f t="shared" si="56"/>
        <v>1604334.94</v>
      </c>
      <c r="BM104" s="121">
        <f t="shared" si="455"/>
        <v>53976.480000000003</v>
      </c>
      <c r="BN104" s="119">
        <f t="shared" si="456"/>
        <v>1658311.42</v>
      </c>
      <c r="BO104" s="125">
        <f t="shared" si="457"/>
        <v>1134968.1200000001</v>
      </c>
      <c r="BP104" s="140">
        <f t="shared" si="60"/>
        <v>1241208.1299999999</v>
      </c>
      <c r="BQ104" s="123">
        <f t="shared" si="458"/>
        <v>56694.11</v>
      </c>
      <c r="BR104" s="125">
        <f t="shared" si="459"/>
        <v>1297902.24</v>
      </c>
      <c r="BS104" s="122">
        <f t="shared" si="63"/>
        <v>4145274.6599999997</v>
      </c>
      <c r="BT104" s="123">
        <f t="shared" ref="BT104:BU104" si="483">SUM(BI104,BM104,BQ104)</f>
        <v>174560.15000000002</v>
      </c>
      <c r="BU104" s="124">
        <f t="shared" si="483"/>
        <v>4319834.8099999996</v>
      </c>
      <c r="BV104" s="125">
        <f t="shared" si="461"/>
        <v>710574.75</v>
      </c>
      <c r="BW104" s="122">
        <f t="shared" si="66"/>
        <v>1145996.72</v>
      </c>
      <c r="BX104" s="123">
        <f t="shared" si="462"/>
        <v>58015.32</v>
      </c>
      <c r="BY104" s="124">
        <f t="shared" si="463"/>
        <v>1204012.04</v>
      </c>
      <c r="BZ104" s="125">
        <f t="shared" si="464"/>
        <v>642684.84</v>
      </c>
      <c r="CA104" s="140"/>
      <c r="CB104" s="123"/>
      <c r="CC104" s="148"/>
      <c r="CD104" s="123">
        <f t="shared" si="465"/>
        <v>1967407.98</v>
      </c>
      <c r="CF104" s="149"/>
    </row>
    <row r="105" spans="1:84" ht="13">
      <c r="A105" s="92">
        <f t="shared" si="425"/>
        <v>112012848</v>
      </c>
      <c r="B105" s="172">
        <f t="shared" ref="B105:B136" si="484">IFERROR(VLOOKUP(M105,BASILECARTERA,2,FALSE),"")</f>
        <v>1</v>
      </c>
      <c r="C105" s="137" t="str">
        <f t="shared" ref="C105:C136" si="485">IFERROR(VLOOKUP(B105,DES,2,FALSE),"")</f>
        <v>Lista</v>
      </c>
      <c r="D105" s="137">
        <f t="shared" ref="D105:D133" si="486">IFERROR(VLOOKUP(B105,DES,3,FALSE),"")</f>
        <v>0.09</v>
      </c>
      <c r="E105" s="138">
        <f t="shared" ref="E105:E133" si="487">IFERROR(VLOOKUP(B105,DES,4,FALSE),"")</f>
        <v>0</v>
      </c>
      <c r="F105" s="193">
        <f t="shared" si="382"/>
        <v>1</v>
      </c>
      <c r="G105" s="97" t="str">
        <f t="shared" si="426"/>
        <v>Lista</v>
      </c>
      <c r="H105" s="97">
        <f t="shared" si="427"/>
        <v>0.09</v>
      </c>
      <c r="I105" s="97">
        <f t="shared" si="428"/>
        <v>0</v>
      </c>
      <c r="J105" s="96">
        <f t="shared" si="429"/>
        <v>71</v>
      </c>
      <c r="K105" s="94" t="str">
        <f t="shared" si="430"/>
        <v>Lista</v>
      </c>
      <c r="L105" s="98">
        <f t="shared" si="431"/>
        <v>0.05</v>
      </c>
      <c r="M105" s="139" t="s">
        <v>179</v>
      </c>
      <c r="N105" s="100">
        <f t="shared" si="432"/>
        <v>914689.56</v>
      </c>
      <c r="O105" s="140">
        <f t="shared" si="478"/>
        <v>1537638.8848380002</v>
      </c>
      <c r="P105" s="102" t="e">
        <f t="shared" si="13"/>
        <v>#VALUE!</v>
      </c>
      <c r="Q105" s="102" t="str">
        <f t="shared" si="433"/>
        <v/>
      </c>
      <c r="R105" s="102">
        <f t="shared" si="434"/>
        <v>2071580.06</v>
      </c>
      <c r="S105" s="102">
        <f t="shared" si="16"/>
        <v>533941.17516199988</v>
      </c>
      <c r="T105" s="103">
        <f t="shared" si="17"/>
        <v>1.3472474456954526</v>
      </c>
      <c r="U105" s="100">
        <f t="shared" si="435"/>
        <v>0</v>
      </c>
      <c r="V105" s="141">
        <f t="shared" si="479"/>
        <v>0</v>
      </c>
      <c r="W105" s="105" t="e">
        <f t="shared" si="19"/>
        <v>#VALUE!</v>
      </c>
      <c r="X105" s="102" t="str">
        <f t="shared" si="436"/>
        <v/>
      </c>
      <c r="Y105" s="106">
        <f t="shared" si="437"/>
        <v>0</v>
      </c>
      <c r="Z105" s="142">
        <f t="shared" si="387"/>
        <v>0</v>
      </c>
      <c r="AA105" s="143" t="str">
        <f t="shared" si="388"/>
        <v/>
      </c>
      <c r="AB105" s="100">
        <f t="shared" si="438"/>
        <v>0</v>
      </c>
      <c r="AC105" s="140">
        <f t="shared" si="468"/>
        <v>0</v>
      </c>
      <c r="AD105" s="102" t="e">
        <f t="shared" si="24"/>
        <v>#VALUE!</v>
      </c>
      <c r="AE105" s="102" t="str">
        <f t="shared" si="439"/>
        <v/>
      </c>
      <c r="AF105" s="102">
        <f t="shared" si="440"/>
        <v>0</v>
      </c>
      <c r="AG105" s="199">
        <f t="shared" si="390"/>
        <v>0</v>
      </c>
      <c r="AH105" s="158" t="str">
        <f t="shared" si="391"/>
        <v/>
      </c>
      <c r="AI105" s="147">
        <f t="shared" si="469"/>
        <v>1537638.8848380002</v>
      </c>
      <c r="AJ105" s="111">
        <f t="shared" si="441"/>
        <v>534555.02</v>
      </c>
      <c r="AK105" s="102">
        <f t="shared" si="31"/>
        <v>0</v>
      </c>
      <c r="AL105" s="102" t="e">
        <f t="shared" si="32"/>
        <v>#VALUE!</v>
      </c>
      <c r="AM105" s="102">
        <f t="shared" si="33"/>
        <v>2071580.06</v>
      </c>
      <c r="AN105" s="102">
        <f t="shared" si="34"/>
        <v>1537025.04</v>
      </c>
      <c r="AO105" s="112">
        <f t="shared" si="35"/>
        <v>3.8753355267339926</v>
      </c>
      <c r="AP105" s="100">
        <f t="shared" si="442"/>
        <v>0</v>
      </c>
      <c r="AQ105" s="113" t="e">
        <f t="shared" si="37"/>
        <v>#VALUE!</v>
      </c>
      <c r="AR105" s="114" t="str">
        <f t="shared" si="443"/>
        <v/>
      </c>
      <c r="AS105" s="115">
        <f t="shared" si="444"/>
        <v>0</v>
      </c>
      <c r="AT105" s="100">
        <f t="shared" si="445"/>
        <v>0</v>
      </c>
      <c r="AU105" s="113" t="e">
        <f t="shared" si="41"/>
        <v>#VALUE!</v>
      </c>
      <c r="AV105" s="116" t="str">
        <f t="shared" si="446"/>
        <v/>
      </c>
      <c r="AW105" s="117">
        <f t="shared" si="447"/>
        <v>0</v>
      </c>
      <c r="AX105" s="100">
        <f t="shared" si="448"/>
        <v>1323296.8899999999</v>
      </c>
      <c r="AY105" s="113" t="e">
        <f t="shared" si="45"/>
        <v>#VALUE!</v>
      </c>
      <c r="AZ105" s="114" t="str">
        <f t="shared" si="449"/>
        <v/>
      </c>
      <c r="BA105" s="100">
        <f t="shared" si="450"/>
        <v>1740095.12</v>
      </c>
      <c r="BB105" s="118" t="e">
        <f t="shared" ref="BB105:BD105" si="488">BH105+AY105+AU105</f>
        <v>#VALUE!</v>
      </c>
      <c r="BC105" s="116" t="e">
        <f t="shared" si="488"/>
        <v>#VALUE!</v>
      </c>
      <c r="BD105" s="119">
        <f t="shared" si="488"/>
        <v>1740095.12</v>
      </c>
      <c r="BE105" s="118" t="e">
        <f t="shared" si="49"/>
        <v>#VALUE!</v>
      </c>
      <c r="BF105" s="116" t="e">
        <f t="shared" si="50"/>
        <v>#VALUE!</v>
      </c>
      <c r="BG105" s="119">
        <f t="shared" si="51"/>
        <v>3811675.18</v>
      </c>
      <c r="BH105" s="114" t="e">
        <f t="shared" si="52"/>
        <v>#VALUE!</v>
      </c>
      <c r="BI105" s="114" t="str">
        <f t="shared" si="452"/>
        <v/>
      </c>
      <c r="BJ105" s="115">
        <f t="shared" si="453"/>
        <v>0</v>
      </c>
      <c r="BK105" s="125">
        <f t="shared" si="454"/>
        <v>0</v>
      </c>
      <c r="BL105" s="120" t="e">
        <f t="shared" si="56"/>
        <v>#VALUE!</v>
      </c>
      <c r="BM105" s="121" t="str">
        <f t="shared" si="455"/>
        <v/>
      </c>
      <c r="BN105" s="119">
        <f t="shared" si="456"/>
        <v>0</v>
      </c>
      <c r="BO105" s="125">
        <f t="shared" si="457"/>
        <v>0</v>
      </c>
      <c r="BP105" s="140" t="e">
        <f t="shared" si="60"/>
        <v>#VALUE!</v>
      </c>
      <c r="BQ105" s="123" t="str">
        <f t="shared" si="458"/>
        <v/>
      </c>
      <c r="BR105" s="125">
        <f t="shared" si="459"/>
        <v>0</v>
      </c>
      <c r="BS105" s="122" t="e">
        <f t="shared" si="63"/>
        <v>#VALUE!</v>
      </c>
      <c r="BT105" s="123">
        <f t="shared" ref="BT105:BU105" si="489">SUM(BI105,BM105,BQ105)</f>
        <v>0</v>
      </c>
      <c r="BU105" s="124">
        <f t="shared" si="489"/>
        <v>0</v>
      </c>
      <c r="BV105" s="125">
        <f t="shared" si="461"/>
        <v>0</v>
      </c>
      <c r="BW105" s="122" t="e">
        <f t="shared" si="66"/>
        <v>#VALUE!</v>
      </c>
      <c r="BX105" s="123" t="str">
        <f t="shared" si="462"/>
        <v/>
      </c>
      <c r="BY105" s="124">
        <f t="shared" si="463"/>
        <v>0</v>
      </c>
      <c r="BZ105" s="125">
        <f t="shared" si="464"/>
        <v>534555.02</v>
      </c>
      <c r="CA105" s="140"/>
      <c r="CB105" s="123"/>
      <c r="CC105" s="148"/>
      <c r="CD105" s="123">
        <f t="shared" si="465"/>
        <v>0</v>
      </c>
      <c r="CF105" s="149"/>
    </row>
    <row r="106" spans="1:84" ht="14">
      <c r="A106" s="92">
        <f t="shared" si="425"/>
        <v>112012326</v>
      </c>
      <c r="B106" s="172">
        <f t="shared" si="484"/>
        <v>1</v>
      </c>
      <c r="C106" s="137" t="str">
        <f t="shared" si="485"/>
        <v>Lista</v>
      </c>
      <c r="D106" s="137">
        <f t="shared" si="486"/>
        <v>0.09</v>
      </c>
      <c r="E106" s="138">
        <f t="shared" si="487"/>
        <v>0</v>
      </c>
      <c r="F106" s="193">
        <f t="shared" si="382"/>
        <v>1</v>
      </c>
      <c r="G106" s="97" t="str">
        <f t="shared" si="426"/>
        <v>Lista</v>
      </c>
      <c r="H106" s="97">
        <f t="shared" si="427"/>
        <v>0.09</v>
      </c>
      <c r="I106" s="97">
        <f t="shared" si="428"/>
        <v>0</v>
      </c>
      <c r="J106" s="96">
        <f t="shared" si="429"/>
        <v>71</v>
      </c>
      <c r="K106" s="94" t="str">
        <f t="shared" si="430"/>
        <v>Lista</v>
      </c>
      <c r="L106" s="98">
        <f t="shared" si="431"/>
        <v>0.05</v>
      </c>
      <c r="M106" s="139" t="s">
        <v>180</v>
      </c>
      <c r="N106" s="100">
        <f t="shared" si="432"/>
        <v>0</v>
      </c>
      <c r="O106" s="140">
        <f t="shared" si="478"/>
        <v>0</v>
      </c>
      <c r="P106" s="102">
        <f t="shared" si="13"/>
        <v>0</v>
      </c>
      <c r="Q106" s="102">
        <f t="shared" si="433"/>
        <v>0</v>
      </c>
      <c r="R106" s="102">
        <f t="shared" si="434"/>
        <v>0</v>
      </c>
      <c r="S106" s="102">
        <f t="shared" si="16"/>
        <v>0</v>
      </c>
      <c r="T106" s="103" t="e">
        <f t="shared" si="17"/>
        <v>#DIV/0!</v>
      </c>
      <c r="U106" s="100">
        <f t="shared" si="435"/>
        <v>169633.46</v>
      </c>
      <c r="V106" s="141">
        <f t="shared" si="479"/>
        <v>292532.90177</v>
      </c>
      <c r="W106" s="105">
        <f t="shared" si="19"/>
        <v>0</v>
      </c>
      <c r="X106" s="102">
        <f t="shared" si="436"/>
        <v>0</v>
      </c>
      <c r="Y106" s="106">
        <f t="shared" si="437"/>
        <v>0</v>
      </c>
      <c r="Z106" s="142">
        <f t="shared" si="387"/>
        <v>-292532.90177</v>
      </c>
      <c r="AA106" s="143">
        <f t="shared" si="388"/>
        <v>0</v>
      </c>
      <c r="AB106" s="100">
        <f t="shared" si="438"/>
        <v>0</v>
      </c>
      <c r="AC106" s="140">
        <f t="shared" si="468"/>
        <v>0</v>
      </c>
      <c r="AD106" s="102">
        <f t="shared" si="24"/>
        <v>0</v>
      </c>
      <c r="AE106" s="102">
        <f t="shared" si="439"/>
        <v>0</v>
      </c>
      <c r="AF106" s="102">
        <f t="shared" si="440"/>
        <v>0</v>
      </c>
      <c r="AG106" s="199">
        <f t="shared" si="390"/>
        <v>0</v>
      </c>
      <c r="AH106" s="158" t="str">
        <f t="shared" si="391"/>
        <v/>
      </c>
      <c r="AI106" s="147">
        <f t="shared" si="469"/>
        <v>292532.90177</v>
      </c>
      <c r="AJ106" s="111">
        <f t="shared" si="441"/>
        <v>45854.64</v>
      </c>
      <c r="AK106" s="102">
        <f t="shared" si="31"/>
        <v>0</v>
      </c>
      <c r="AL106" s="102">
        <f t="shared" si="32"/>
        <v>0</v>
      </c>
      <c r="AM106" s="102">
        <f t="shared" si="33"/>
        <v>0</v>
      </c>
      <c r="AN106" s="102">
        <f t="shared" si="34"/>
        <v>-45854.64</v>
      </c>
      <c r="AO106" s="112">
        <f t="shared" si="35"/>
        <v>0</v>
      </c>
      <c r="AP106" s="100">
        <f t="shared" si="442"/>
        <v>0</v>
      </c>
      <c r="AQ106" s="113">
        <f t="shared" si="37"/>
        <v>0</v>
      </c>
      <c r="AR106" s="114">
        <f t="shared" si="443"/>
        <v>0</v>
      </c>
      <c r="AS106" s="115">
        <f t="shared" si="444"/>
        <v>0</v>
      </c>
      <c r="AT106" s="100">
        <f t="shared" si="445"/>
        <v>21229.03</v>
      </c>
      <c r="AU106" s="113">
        <f t="shared" si="41"/>
        <v>0</v>
      </c>
      <c r="AV106" s="116">
        <f t="shared" si="446"/>
        <v>0</v>
      </c>
      <c r="AW106" s="117">
        <f t="shared" si="447"/>
        <v>0</v>
      </c>
      <c r="AX106" s="100">
        <f t="shared" si="448"/>
        <v>0</v>
      </c>
      <c r="AY106" s="113">
        <f t="shared" si="45"/>
        <v>0</v>
      </c>
      <c r="AZ106" s="114">
        <f t="shared" si="449"/>
        <v>0</v>
      </c>
      <c r="BA106" s="100">
        <f t="shared" si="450"/>
        <v>0</v>
      </c>
      <c r="BB106" s="118">
        <f t="shared" ref="BB106:BD106" si="490">BH106+AY106+AU106</f>
        <v>0</v>
      </c>
      <c r="BC106" s="116">
        <f t="shared" si="490"/>
        <v>26240.35</v>
      </c>
      <c r="BD106" s="119">
        <f t="shared" si="490"/>
        <v>26240.35</v>
      </c>
      <c r="BE106" s="118">
        <f t="shared" si="49"/>
        <v>0</v>
      </c>
      <c r="BF106" s="116">
        <f t="shared" si="50"/>
        <v>26240.35</v>
      </c>
      <c r="BG106" s="119">
        <f t="shared" si="51"/>
        <v>26240.35</v>
      </c>
      <c r="BH106" s="114">
        <f t="shared" si="52"/>
        <v>0</v>
      </c>
      <c r="BI106" s="114">
        <f t="shared" si="452"/>
        <v>26240.35</v>
      </c>
      <c r="BJ106" s="115">
        <f t="shared" si="453"/>
        <v>26240.35</v>
      </c>
      <c r="BK106" s="125">
        <f t="shared" si="454"/>
        <v>72009.03</v>
      </c>
      <c r="BL106" s="120">
        <f t="shared" si="56"/>
        <v>0</v>
      </c>
      <c r="BM106" s="121">
        <f t="shared" si="455"/>
        <v>0</v>
      </c>
      <c r="BN106" s="119">
        <f t="shared" si="456"/>
        <v>0</v>
      </c>
      <c r="BO106" s="125">
        <f t="shared" si="457"/>
        <v>0</v>
      </c>
      <c r="BP106" s="140">
        <f t="shared" si="60"/>
        <v>3109086.09</v>
      </c>
      <c r="BQ106" s="123">
        <f t="shared" si="458"/>
        <v>0</v>
      </c>
      <c r="BR106" s="125">
        <f t="shared" si="459"/>
        <v>3109086.09</v>
      </c>
      <c r="BS106" s="122">
        <f t="shared" si="63"/>
        <v>3109086.09</v>
      </c>
      <c r="BT106" s="123">
        <f t="shared" ref="BT106:BU106" si="491">SUM(BI106,BM106,BQ106)</f>
        <v>26240.35</v>
      </c>
      <c r="BU106" s="124">
        <f t="shared" si="491"/>
        <v>3135326.44</v>
      </c>
      <c r="BV106" s="125">
        <f t="shared" si="461"/>
        <v>45854.64</v>
      </c>
      <c r="BW106" s="122">
        <f t="shared" si="66"/>
        <v>0</v>
      </c>
      <c r="BX106" s="123">
        <f t="shared" si="462"/>
        <v>0</v>
      </c>
      <c r="BY106" s="124">
        <f t="shared" si="463"/>
        <v>0</v>
      </c>
      <c r="BZ106" s="125">
        <f t="shared" si="464"/>
        <v>0</v>
      </c>
      <c r="CA106" s="140"/>
      <c r="CB106" s="123"/>
      <c r="CC106" s="148"/>
      <c r="CD106" s="123">
        <f t="shared" si="465"/>
        <v>0</v>
      </c>
      <c r="CF106" s="149"/>
    </row>
    <row r="107" spans="1:84" ht="13">
      <c r="A107" s="92">
        <f t="shared" si="425"/>
        <v>112011720</v>
      </c>
      <c r="B107" s="172">
        <f t="shared" si="484"/>
        <v>1</v>
      </c>
      <c r="C107" s="137" t="str">
        <f t="shared" si="485"/>
        <v>Lista</v>
      </c>
      <c r="D107" s="137">
        <f t="shared" si="486"/>
        <v>0.09</v>
      </c>
      <c r="E107" s="138">
        <f t="shared" si="487"/>
        <v>0</v>
      </c>
      <c r="F107" s="193">
        <f t="shared" si="382"/>
        <v>1</v>
      </c>
      <c r="G107" s="97" t="str">
        <f t="shared" si="426"/>
        <v>Lista</v>
      </c>
      <c r="H107" s="97">
        <f t="shared" si="427"/>
        <v>0.09</v>
      </c>
      <c r="I107" s="97">
        <f t="shared" si="428"/>
        <v>0</v>
      </c>
      <c r="J107" s="96">
        <f t="shared" si="429"/>
        <v>71</v>
      </c>
      <c r="K107" s="94" t="str">
        <f t="shared" si="430"/>
        <v>Lista</v>
      </c>
      <c r="L107" s="98">
        <f t="shared" si="431"/>
        <v>0.05</v>
      </c>
      <c r="M107" s="139" t="s">
        <v>181</v>
      </c>
      <c r="N107" s="100">
        <f t="shared" si="432"/>
        <v>744414.86</v>
      </c>
      <c r="O107" s="140">
        <f t="shared" si="478"/>
        <v>1251398.6004030001</v>
      </c>
      <c r="P107" s="102" t="e">
        <f t="shared" si="13"/>
        <v>#VALUE!</v>
      </c>
      <c r="Q107" s="102" t="str">
        <f t="shared" si="433"/>
        <v/>
      </c>
      <c r="R107" s="102">
        <f t="shared" si="434"/>
        <v>810522.53</v>
      </c>
      <c r="S107" s="102">
        <f t="shared" si="16"/>
        <v>-440876.07040300011</v>
      </c>
      <c r="T107" s="103">
        <f t="shared" si="17"/>
        <v>0.64769333267512008</v>
      </c>
      <c r="U107" s="100">
        <f t="shared" si="435"/>
        <v>681494.64</v>
      </c>
      <c r="V107" s="141">
        <f t="shared" si="479"/>
        <v>1175237.5066799999</v>
      </c>
      <c r="W107" s="105" t="e">
        <f t="shared" si="19"/>
        <v>#VALUE!</v>
      </c>
      <c r="X107" s="102" t="str">
        <f t="shared" si="436"/>
        <v/>
      </c>
      <c r="Y107" s="106">
        <f t="shared" si="437"/>
        <v>1752560.42</v>
      </c>
      <c r="Z107" s="142">
        <f t="shared" si="387"/>
        <v>577322.91332000005</v>
      </c>
      <c r="AA107" s="143">
        <f t="shared" si="388"/>
        <v>1.491239353780424</v>
      </c>
      <c r="AB107" s="100">
        <f t="shared" si="438"/>
        <v>0</v>
      </c>
      <c r="AC107" s="140">
        <f t="shared" si="468"/>
        <v>0</v>
      </c>
      <c r="AD107" s="102" t="e">
        <f t="shared" si="24"/>
        <v>#VALUE!</v>
      </c>
      <c r="AE107" s="102" t="str">
        <f t="shared" si="439"/>
        <v/>
      </c>
      <c r="AF107" s="102">
        <f t="shared" si="440"/>
        <v>697993.15</v>
      </c>
      <c r="AG107" s="199">
        <f t="shared" si="390"/>
        <v>697993.15</v>
      </c>
      <c r="AH107" s="158" t="str">
        <f t="shared" si="391"/>
        <v/>
      </c>
      <c r="AI107" s="147">
        <f t="shared" si="469"/>
        <v>2426636.1070830002</v>
      </c>
      <c r="AJ107" s="111">
        <f t="shared" si="441"/>
        <v>3149453.41</v>
      </c>
      <c r="AK107" s="102">
        <f t="shared" si="31"/>
        <v>0</v>
      </c>
      <c r="AL107" s="102" t="e">
        <f t="shared" si="32"/>
        <v>#VALUE!</v>
      </c>
      <c r="AM107" s="102">
        <f t="shared" si="33"/>
        <v>3261076.0999999996</v>
      </c>
      <c r="AN107" s="102">
        <f t="shared" si="34"/>
        <v>111622.68999999948</v>
      </c>
      <c r="AO107" s="112">
        <f t="shared" si="35"/>
        <v>1.0354419245084179</v>
      </c>
      <c r="AP107" s="100">
        <f t="shared" si="442"/>
        <v>863322.73</v>
      </c>
      <c r="AQ107" s="113" t="e">
        <f t="shared" si="37"/>
        <v>#VALUE!</v>
      </c>
      <c r="AR107" s="114" t="str">
        <f t="shared" si="443"/>
        <v/>
      </c>
      <c r="AS107" s="115">
        <f t="shared" si="444"/>
        <v>210684.18</v>
      </c>
      <c r="AT107" s="100">
        <f t="shared" si="445"/>
        <v>1123569.47</v>
      </c>
      <c r="AU107" s="113" t="e">
        <f t="shared" si="41"/>
        <v>#VALUE!</v>
      </c>
      <c r="AV107" s="116" t="str">
        <f t="shared" si="446"/>
        <v/>
      </c>
      <c r="AW107" s="117">
        <f t="shared" si="447"/>
        <v>645813.01</v>
      </c>
      <c r="AX107" s="100">
        <f t="shared" si="448"/>
        <v>541727.37</v>
      </c>
      <c r="AY107" s="113" t="e">
        <f t="shared" si="45"/>
        <v>#VALUE!</v>
      </c>
      <c r="AZ107" s="114" t="str">
        <f t="shared" si="449"/>
        <v/>
      </c>
      <c r="BA107" s="100">
        <f t="shared" si="450"/>
        <v>576175.73</v>
      </c>
      <c r="BB107" s="118" t="e">
        <f t="shared" ref="BB107:BD107" si="492">BH107+AY107+AU107</f>
        <v>#VALUE!</v>
      </c>
      <c r="BC107" s="116" t="e">
        <f t="shared" si="492"/>
        <v>#VALUE!</v>
      </c>
      <c r="BD107" s="119">
        <f t="shared" si="492"/>
        <v>2782353.5</v>
      </c>
      <c r="BE107" s="118" t="e">
        <f t="shared" si="49"/>
        <v>#VALUE!</v>
      </c>
      <c r="BF107" s="116" t="e">
        <f t="shared" si="50"/>
        <v>#VALUE!</v>
      </c>
      <c r="BG107" s="119">
        <f t="shared" si="51"/>
        <v>6043429.5999999996</v>
      </c>
      <c r="BH107" s="114" t="e">
        <f t="shared" si="52"/>
        <v>#VALUE!</v>
      </c>
      <c r="BI107" s="114" t="str">
        <f t="shared" si="452"/>
        <v/>
      </c>
      <c r="BJ107" s="115">
        <f t="shared" si="453"/>
        <v>1560364.76</v>
      </c>
      <c r="BK107" s="125">
        <f t="shared" si="454"/>
        <v>364999.61</v>
      </c>
      <c r="BL107" s="120" t="e">
        <f t="shared" si="56"/>
        <v>#VALUE!</v>
      </c>
      <c r="BM107" s="121" t="str">
        <f t="shared" si="455"/>
        <v/>
      </c>
      <c r="BN107" s="119">
        <f t="shared" si="456"/>
        <v>755590.18</v>
      </c>
      <c r="BO107" s="125">
        <f t="shared" si="457"/>
        <v>633841.93999999994</v>
      </c>
      <c r="BP107" s="140" t="e">
        <f t="shared" si="60"/>
        <v>#VALUE!</v>
      </c>
      <c r="BQ107" s="123" t="str">
        <f t="shared" si="458"/>
        <v/>
      </c>
      <c r="BR107" s="125">
        <f t="shared" si="459"/>
        <v>1539979.09</v>
      </c>
      <c r="BS107" s="122" t="e">
        <f t="shared" si="63"/>
        <v>#VALUE!</v>
      </c>
      <c r="BT107" s="123">
        <f t="shared" ref="BT107:BU107" si="493">SUM(BI107,BM107,BQ107)</f>
        <v>0</v>
      </c>
      <c r="BU107" s="124">
        <f t="shared" si="493"/>
        <v>3855934.0300000003</v>
      </c>
      <c r="BV107" s="125">
        <f t="shared" si="461"/>
        <v>859059.04</v>
      </c>
      <c r="BW107" s="122" t="e">
        <f t="shared" si="66"/>
        <v>#VALUE!</v>
      </c>
      <c r="BX107" s="123" t="str">
        <f t="shared" si="462"/>
        <v/>
      </c>
      <c r="BY107" s="124">
        <f t="shared" si="463"/>
        <v>1199709.8700000001</v>
      </c>
      <c r="BZ107" s="125">
        <f t="shared" si="464"/>
        <v>967036.91</v>
      </c>
      <c r="CA107" s="140"/>
      <c r="CB107" s="123"/>
      <c r="CC107" s="148"/>
      <c r="CD107" s="123">
        <f t="shared" si="465"/>
        <v>1323357.46</v>
      </c>
      <c r="CF107" s="126"/>
    </row>
    <row r="108" spans="1:84" ht="13">
      <c r="A108" s="92">
        <f t="shared" si="425"/>
        <v>112013956</v>
      </c>
      <c r="B108" s="172">
        <f t="shared" si="484"/>
        <v>1</v>
      </c>
      <c r="C108" s="137" t="str">
        <f t="shared" si="485"/>
        <v>Lista</v>
      </c>
      <c r="D108" s="137">
        <f t="shared" si="486"/>
        <v>0.09</v>
      </c>
      <c r="E108" s="138">
        <f t="shared" si="487"/>
        <v>0</v>
      </c>
      <c r="F108" s="193">
        <f t="shared" si="382"/>
        <v>1</v>
      </c>
      <c r="G108" s="97" t="str">
        <f t="shared" si="426"/>
        <v>Lista</v>
      </c>
      <c r="H108" s="97">
        <f t="shared" si="427"/>
        <v>0.09</v>
      </c>
      <c r="I108" s="97">
        <f t="shared" si="428"/>
        <v>0</v>
      </c>
      <c r="J108" s="96">
        <f t="shared" si="429"/>
        <v>71</v>
      </c>
      <c r="K108" s="94" t="str">
        <f t="shared" si="430"/>
        <v>Lista</v>
      </c>
      <c r="L108" s="98">
        <f t="shared" si="431"/>
        <v>0.05</v>
      </c>
      <c r="M108" s="139" t="s">
        <v>182</v>
      </c>
      <c r="N108" s="100">
        <f t="shared" si="432"/>
        <v>563286.72</v>
      </c>
      <c r="O108" s="140">
        <f t="shared" si="478"/>
        <v>946913.140656</v>
      </c>
      <c r="P108" s="102">
        <f t="shared" si="13"/>
        <v>1317005.54</v>
      </c>
      <c r="Q108" s="102">
        <f t="shared" si="433"/>
        <v>0</v>
      </c>
      <c r="R108" s="102">
        <f t="shared" si="434"/>
        <v>1317005.54</v>
      </c>
      <c r="S108" s="102">
        <f t="shared" si="16"/>
        <v>370092.39934400003</v>
      </c>
      <c r="T108" s="103">
        <f t="shared" si="17"/>
        <v>1.3908409160819211</v>
      </c>
      <c r="U108" s="100">
        <f t="shared" si="435"/>
        <v>703191.53</v>
      </c>
      <c r="V108" s="141">
        <f t="shared" si="479"/>
        <v>1212653.793485</v>
      </c>
      <c r="W108" s="105">
        <f t="shared" si="19"/>
        <v>1633040.76</v>
      </c>
      <c r="X108" s="102">
        <f t="shared" si="436"/>
        <v>49250.49</v>
      </c>
      <c r="Y108" s="106">
        <f t="shared" si="437"/>
        <v>1682291.25</v>
      </c>
      <c r="Z108" s="142">
        <f t="shared" si="387"/>
        <v>469637.45651499997</v>
      </c>
      <c r="AA108" s="143">
        <f t="shared" si="388"/>
        <v>1.3872807383592365</v>
      </c>
      <c r="AB108" s="100">
        <f t="shared" si="438"/>
        <v>364197.7</v>
      </c>
      <c r="AC108" s="140">
        <f t="shared" si="468"/>
        <v>598509.75326050003</v>
      </c>
      <c r="AD108" s="102">
        <f t="shared" si="24"/>
        <v>1820307.65</v>
      </c>
      <c r="AE108" s="102">
        <f t="shared" si="439"/>
        <v>0</v>
      </c>
      <c r="AF108" s="102">
        <f t="shared" si="440"/>
        <v>1820307.65</v>
      </c>
      <c r="AG108" s="199">
        <f t="shared" si="390"/>
        <v>1221797.8967394999</v>
      </c>
      <c r="AH108" s="158">
        <f t="shared" si="391"/>
        <v>3.0414001444145473</v>
      </c>
      <c r="AI108" s="147">
        <f t="shared" si="469"/>
        <v>2758076.6874014996</v>
      </c>
      <c r="AJ108" s="111">
        <f t="shared" si="441"/>
        <v>4959879.16</v>
      </c>
      <c r="AK108" s="102">
        <f t="shared" si="31"/>
        <v>49250.49</v>
      </c>
      <c r="AL108" s="102">
        <f t="shared" si="32"/>
        <v>4770353.9499999993</v>
      </c>
      <c r="AM108" s="102">
        <f t="shared" si="33"/>
        <v>4819604.4399999995</v>
      </c>
      <c r="AN108" s="102">
        <f t="shared" si="34"/>
        <v>-140274.72000000067</v>
      </c>
      <c r="AO108" s="112">
        <f t="shared" si="35"/>
        <v>0.97171811742284453</v>
      </c>
      <c r="AP108" s="100">
        <f t="shared" si="442"/>
        <v>489171.15</v>
      </c>
      <c r="AQ108" s="113">
        <f t="shared" si="37"/>
        <v>1074695.1000000001</v>
      </c>
      <c r="AR108" s="114">
        <f t="shared" si="443"/>
        <v>0</v>
      </c>
      <c r="AS108" s="115">
        <f t="shared" si="444"/>
        <v>1074695.1000000001</v>
      </c>
      <c r="AT108" s="100">
        <f t="shared" si="445"/>
        <v>506796.89</v>
      </c>
      <c r="AU108" s="113">
        <f t="shared" si="41"/>
        <v>1603796.94</v>
      </c>
      <c r="AV108" s="116">
        <f t="shared" si="446"/>
        <v>0</v>
      </c>
      <c r="AW108" s="117">
        <f t="shared" si="447"/>
        <v>1603796.94</v>
      </c>
      <c r="AX108" s="100">
        <f t="shared" si="448"/>
        <v>838648.79</v>
      </c>
      <c r="AY108" s="113">
        <f t="shared" si="45"/>
        <v>1254496.94</v>
      </c>
      <c r="AZ108" s="114">
        <f t="shared" si="449"/>
        <v>0</v>
      </c>
      <c r="BA108" s="100">
        <f t="shared" si="450"/>
        <v>1254496.94</v>
      </c>
      <c r="BB108" s="118">
        <f t="shared" ref="BB108:BD108" si="494">BH108+AY108+AU108</f>
        <v>3662443.32</v>
      </c>
      <c r="BC108" s="116">
        <f t="shared" si="494"/>
        <v>0</v>
      </c>
      <c r="BD108" s="119">
        <f t="shared" si="494"/>
        <v>3662443.32</v>
      </c>
      <c r="BE108" s="118">
        <f t="shared" si="49"/>
        <v>8432797.2699999996</v>
      </c>
      <c r="BF108" s="116">
        <f t="shared" si="50"/>
        <v>49250.49</v>
      </c>
      <c r="BG108" s="119">
        <f t="shared" si="51"/>
        <v>8482047.7599999998</v>
      </c>
      <c r="BH108" s="114">
        <f t="shared" si="52"/>
        <v>804149.44</v>
      </c>
      <c r="BI108" s="114">
        <f t="shared" si="452"/>
        <v>0</v>
      </c>
      <c r="BJ108" s="115">
        <f t="shared" si="453"/>
        <v>804149.44</v>
      </c>
      <c r="BK108" s="125">
        <f t="shared" si="454"/>
        <v>762437.4</v>
      </c>
      <c r="BL108" s="120">
        <f t="shared" si="56"/>
        <v>1177516.19</v>
      </c>
      <c r="BM108" s="121">
        <f t="shared" si="455"/>
        <v>0</v>
      </c>
      <c r="BN108" s="119">
        <f t="shared" si="456"/>
        <v>1177516.19</v>
      </c>
      <c r="BO108" s="125">
        <f t="shared" si="457"/>
        <v>1097597.58</v>
      </c>
      <c r="BP108" s="140">
        <f t="shared" si="60"/>
        <v>394908.74</v>
      </c>
      <c r="BQ108" s="123">
        <f t="shared" si="458"/>
        <v>0</v>
      </c>
      <c r="BR108" s="125">
        <f t="shared" si="459"/>
        <v>394908.74</v>
      </c>
      <c r="BS108" s="122">
        <f t="shared" si="63"/>
        <v>2376574.37</v>
      </c>
      <c r="BT108" s="123">
        <f t="shared" ref="BT108:BU108" si="495">SUM(BI108,BM108,BQ108)</f>
        <v>0</v>
      </c>
      <c r="BU108" s="124">
        <f t="shared" si="495"/>
        <v>2376574.37</v>
      </c>
      <c r="BV108" s="125">
        <f t="shared" si="461"/>
        <v>2107598.12</v>
      </c>
      <c r="BW108" s="122">
        <f t="shared" si="66"/>
        <v>445600.03</v>
      </c>
      <c r="BX108" s="123">
        <f t="shared" si="462"/>
        <v>0</v>
      </c>
      <c r="BY108" s="124">
        <f t="shared" si="463"/>
        <v>445600.03</v>
      </c>
      <c r="BZ108" s="125">
        <f t="shared" si="464"/>
        <v>1354291.26</v>
      </c>
      <c r="CA108" s="140"/>
      <c r="CB108" s="123"/>
      <c r="CC108" s="148"/>
      <c r="CD108" s="123">
        <f t="shared" si="465"/>
        <v>1497989.79</v>
      </c>
      <c r="CF108" s="126"/>
    </row>
    <row r="109" spans="1:84" ht="14">
      <c r="A109" s="92">
        <f t="shared" si="425"/>
        <v>112012563</v>
      </c>
      <c r="B109" s="172">
        <f t="shared" si="484"/>
        <v>1</v>
      </c>
      <c r="C109" s="137" t="str">
        <f t="shared" si="485"/>
        <v>Lista</v>
      </c>
      <c r="D109" s="137">
        <f t="shared" si="486"/>
        <v>0.09</v>
      </c>
      <c r="E109" s="138">
        <f t="shared" si="487"/>
        <v>0</v>
      </c>
      <c r="F109" s="193">
        <f t="shared" si="382"/>
        <v>1</v>
      </c>
      <c r="G109" s="97" t="str">
        <f t="shared" si="426"/>
        <v>Lista</v>
      </c>
      <c r="H109" s="97">
        <f t="shared" si="427"/>
        <v>0.09</v>
      </c>
      <c r="I109" s="97">
        <f t="shared" si="428"/>
        <v>0</v>
      </c>
      <c r="J109" s="96">
        <f t="shared" si="429"/>
        <v>71</v>
      </c>
      <c r="K109" s="94" t="str">
        <f t="shared" si="430"/>
        <v>Lista</v>
      </c>
      <c r="L109" s="98">
        <f t="shared" si="431"/>
        <v>0.05</v>
      </c>
      <c r="M109" s="139" t="s">
        <v>183</v>
      </c>
      <c r="N109" s="100">
        <f t="shared" si="432"/>
        <v>0</v>
      </c>
      <c r="O109" s="140">
        <f t="shared" si="478"/>
        <v>0</v>
      </c>
      <c r="P109" s="102">
        <f t="shared" si="13"/>
        <v>64307.210000000006</v>
      </c>
      <c r="Q109" s="102">
        <f t="shared" si="433"/>
        <v>29216.2</v>
      </c>
      <c r="R109" s="102">
        <f t="shared" si="434"/>
        <v>93523.41</v>
      </c>
      <c r="S109" s="102">
        <f t="shared" si="16"/>
        <v>93523.41</v>
      </c>
      <c r="T109" s="103" t="e">
        <f t="shared" si="17"/>
        <v>#DIV/0!</v>
      </c>
      <c r="U109" s="100">
        <f t="shared" si="435"/>
        <v>66100.84</v>
      </c>
      <c r="V109" s="141">
        <f t="shared" si="479"/>
        <v>113990.89857999999</v>
      </c>
      <c r="W109" s="105">
        <f t="shared" si="19"/>
        <v>78853.049999999988</v>
      </c>
      <c r="X109" s="102">
        <f t="shared" si="436"/>
        <v>27418.46</v>
      </c>
      <c r="Y109" s="106">
        <f t="shared" si="437"/>
        <v>106271.51</v>
      </c>
      <c r="Z109" s="142">
        <f t="shared" si="387"/>
        <v>-7719.3885799999989</v>
      </c>
      <c r="AA109" s="143">
        <f t="shared" si="388"/>
        <v>0.93228065857747011</v>
      </c>
      <c r="AB109" s="100">
        <f t="shared" si="438"/>
        <v>28459.1</v>
      </c>
      <c r="AC109" s="140">
        <f t="shared" si="468"/>
        <v>46768.688871499995</v>
      </c>
      <c r="AD109" s="102">
        <f t="shared" si="24"/>
        <v>0</v>
      </c>
      <c r="AE109" s="102">
        <f t="shared" si="439"/>
        <v>87791.51</v>
      </c>
      <c r="AF109" s="102">
        <f t="shared" si="440"/>
        <v>87791.51</v>
      </c>
      <c r="AG109" s="199">
        <f t="shared" si="390"/>
        <v>41022.8211285</v>
      </c>
      <c r="AH109" s="158">
        <f t="shared" si="391"/>
        <v>1.8771428517316973</v>
      </c>
      <c r="AI109" s="147">
        <f t="shared" si="469"/>
        <v>160759.5874515</v>
      </c>
      <c r="AJ109" s="111">
        <f t="shared" si="441"/>
        <v>349625.25</v>
      </c>
      <c r="AK109" s="102">
        <f t="shared" si="31"/>
        <v>144426.17000000001</v>
      </c>
      <c r="AL109" s="102">
        <f t="shared" si="32"/>
        <v>143160.26</v>
      </c>
      <c r="AM109" s="102">
        <f t="shared" si="33"/>
        <v>287586.43</v>
      </c>
      <c r="AN109" s="102">
        <f t="shared" si="34"/>
        <v>-62038.820000000007</v>
      </c>
      <c r="AO109" s="112">
        <f t="shared" si="35"/>
        <v>0.822556236999473</v>
      </c>
      <c r="AP109" s="100">
        <f t="shared" si="442"/>
        <v>96744.38</v>
      </c>
      <c r="AQ109" s="113">
        <f t="shared" si="37"/>
        <v>0</v>
      </c>
      <c r="AR109" s="114">
        <f t="shared" si="443"/>
        <v>70856.62</v>
      </c>
      <c r="AS109" s="115">
        <f t="shared" si="444"/>
        <v>70856.62</v>
      </c>
      <c r="AT109" s="100">
        <f t="shared" si="445"/>
        <v>9870</v>
      </c>
      <c r="AU109" s="113">
        <f t="shared" si="41"/>
        <v>10775.029999999999</v>
      </c>
      <c r="AV109" s="116">
        <f t="shared" si="446"/>
        <v>33703.43</v>
      </c>
      <c r="AW109" s="117">
        <f t="shared" si="447"/>
        <v>44478.46</v>
      </c>
      <c r="AX109" s="100">
        <f t="shared" si="448"/>
        <v>70746.429999999993</v>
      </c>
      <c r="AY109" s="113">
        <f t="shared" si="45"/>
        <v>58691.199999999997</v>
      </c>
      <c r="AZ109" s="114">
        <f t="shared" si="449"/>
        <v>0</v>
      </c>
      <c r="BA109" s="100">
        <f t="shared" si="450"/>
        <v>58691.199999999997</v>
      </c>
      <c r="BB109" s="118">
        <f t="shared" ref="BB109:BD109" si="496">BH109+AY109+AU109</f>
        <v>69466.23</v>
      </c>
      <c r="BC109" s="116">
        <f t="shared" si="496"/>
        <v>33703.43</v>
      </c>
      <c r="BD109" s="119">
        <f t="shared" si="496"/>
        <v>103169.66</v>
      </c>
      <c r="BE109" s="118">
        <f t="shared" si="49"/>
        <v>212626.49</v>
      </c>
      <c r="BF109" s="116">
        <f t="shared" si="50"/>
        <v>178129.6</v>
      </c>
      <c r="BG109" s="119">
        <f t="shared" si="51"/>
        <v>390756.08999999997</v>
      </c>
      <c r="BH109" s="114">
        <f t="shared" si="52"/>
        <v>0</v>
      </c>
      <c r="BI109" s="114">
        <f t="shared" si="452"/>
        <v>0</v>
      </c>
      <c r="BJ109" s="115">
        <f t="shared" si="453"/>
        <v>0</v>
      </c>
      <c r="BK109" s="125">
        <f t="shared" si="454"/>
        <v>98048.88</v>
      </c>
      <c r="BL109" s="120">
        <f t="shared" si="56"/>
        <v>0</v>
      </c>
      <c r="BM109" s="121">
        <f t="shared" si="455"/>
        <v>0</v>
      </c>
      <c r="BN109" s="119">
        <f t="shared" si="456"/>
        <v>0</v>
      </c>
      <c r="BO109" s="125">
        <f t="shared" si="457"/>
        <v>25597.26</v>
      </c>
      <c r="BP109" s="140">
        <f t="shared" si="60"/>
        <v>0</v>
      </c>
      <c r="BQ109" s="123">
        <f t="shared" si="458"/>
        <v>57337.120000000003</v>
      </c>
      <c r="BR109" s="125">
        <f t="shared" si="459"/>
        <v>57337.120000000003</v>
      </c>
      <c r="BS109" s="122">
        <f t="shared" si="63"/>
        <v>0</v>
      </c>
      <c r="BT109" s="123">
        <f t="shared" ref="BT109:BU109" si="497">SUM(BI109,BM109,BQ109)</f>
        <v>57337.120000000003</v>
      </c>
      <c r="BU109" s="124">
        <f t="shared" si="497"/>
        <v>57337.120000000003</v>
      </c>
      <c r="BV109" s="125">
        <f t="shared" si="461"/>
        <v>77442.3</v>
      </c>
      <c r="BW109" s="122">
        <f t="shared" si="66"/>
        <v>0</v>
      </c>
      <c r="BX109" s="123">
        <f t="shared" si="462"/>
        <v>0</v>
      </c>
      <c r="BY109" s="124">
        <f t="shared" si="463"/>
        <v>0</v>
      </c>
      <c r="BZ109" s="125">
        <f t="shared" si="464"/>
        <v>47476.31</v>
      </c>
      <c r="CA109" s="140"/>
      <c r="CB109" s="123"/>
      <c r="CC109" s="148"/>
      <c r="CD109" s="123">
        <f t="shared" si="465"/>
        <v>224706.64</v>
      </c>
      <c r="CF109" s="126"/>
    </row>
    <row r="110" spans="1:84" ht="13">
      <c r="A110" s="92">
        <f t="shared" si="425"/>
        <v>112014467</v>
      </c>
      <c r="B110" s="172">
        <f t="shared" si="484"/>
        <v>1</v>
      </c>
      <c r="C110" s="137" t="str">
        <f t="shared" si="485"/>
        <v>Lista</v>
      </c>
      <c r="D110" s="137">
        <f t="shared" si="486"/>
        <v>0.09</v>
      </c>
      <c r="E110" s="138">
        <f t="shared" si="487"/>
        <v>0</v>
      </c>
      <c r="F110" s="193">
        <f t="shared" si="382"/>
        <v>1</v>
      </c>
      <c r="G110" s="97" t="str">
        <f t="shared" si="426"/>
        <v>Lista</v>
      </c>
      <c r="H110" s="97">
        <f t="shared" si="427"/>
        <v>0.09</v>
      </c>
      <c r="I110" s="97">
        <f t="shared" si="428"/>
        <v>0</v>
      </c>
      <c r="J110" s="96">
        <f t="shared" si="429"/>
        <v>71</v>
      </c>
      <c r="K110" s="94" t="str">
        <f t="shared" si="430"/>
        <v>Lista</v>
      </c>
      <c r="L110" s="98">
        <f t="shared" si="431"/>
        <v>0.05</v>
      </c>
      <c r="M110" s="139" t="s">
        <v>184</v>
      </c>
      <c r="N110" s="100">
        <f t="shared" si="432"/>
        <v>495352.18</v>
      </c>
      <c r="O110" s="140">
        <f t="shared" si="478"/>
        <v>832711.78218899993</v>
      </c>
      <c r="P110" s="102" t="e">
        <f t="shared" si="13"/>
        <v>#VALUE!</v>
      </c>
      <c r="Q110" s="102" t="str">
        <f t="shared" si="433"/>
        <v/>
      </c>
      <c r="R110" s="102">
        <f t="shared" si="434"/>
        <v>56522.06</v>
      </c>
      <c r="S110" s="102">
        <f t="shared" si="16"/>
        <v>-776189.72218899988</v>
      </c>
      <c r="T110" s="103">
        <f t="shared" si="17"/>
        <v>6.7877098906199015E-2</v>
      </c>
      <c r="U110" s="100">
        <f t="shared" si="435"/>
        <v>0</v>
      </c>
      <c r="V110" s="141">
        <f t="shared" si="479"/>
        <v>0</v>
      </c>
      <c r="W110" s="105" t="e">
        <f t="shared" si="19"/>
        <v>#VALUE!</v>
      </c>
      <c r="X110" s="102" t="str">
        <f t="shared" si="436"/>
        <v/>
      </c>
      <c r="Y110" s="106">
        <f t="shared" si="437"/>
        <v>0</v>
      </c>
      <c r="Z110" s="142">
        <f t="shared" si="387"/>
        <v>0</v>
      </c>
      <c r="AA110" s="143" t="str">
        <f t="shared" si="388"/>
        <v/>
      </c>
      <c r="AB110" s="100">
        <f t="shared" si="438"/>
        <v>0</v>
      </c>
      <c r="AC110" s="140">
        <f t="shared" si="468"/>
        <v>0</v>
      </c>
      <c r="AD110" s="102" t="e">
        <f t="shared" si="24"/>
        <v>#VALUE!</v>
      </c>
      <c r="AE110" s="102" t="str">
        <f t="shared" si="439"/>
        <v/>
      </c>
      <c r="AF110" s="102">
        <f t="shared" si="440"/>
        <v>0</v>
      </c>
      <c r="AG110" s="199">
        <f t="shared" si="390"/>
        <v>0</v>
      </c>
      <c r="AH110" s="158" t="str">
        <f t="shared" si="391"/>
        <v/>
      </c>
      <c r="AI110" s="147">
        <f t="shared" si="469"/>
        <v>832711.78218899993</v>
      </c>
      <c r="AJ110" s="111">
        <f t="shared" si="441"/>
        <v>382699.66</v>
      </c>
      <c r="AK110" s="102">
        <f t="shared" si="31"/>
        <v>0</v>
      </c>
      <c r="AL110" s="102" t="e">
        <f t="shared" si="32"/>
        <v>#VALUE!</v>
      </c>
      <c r="AM110" s="102">
        <f t="shared" si="33"/>
        <v>56522.06</v>
      </c>
      <c r="AN110" s="102">
        <f t="shared" si="34"/>
        <v>-326177.59999999998</v>
      </c>
      <c r="AO110" s="112">
        <f t="shared" si="35"/>
        <v>0.14769299768910168</v>
      </c>
      <c r="AP110" s="100">
        <f t="shared" si="442"/>
        <v>0</v>
      </c>
      <c r="AQ110" s="113" t="e">
        <f t="shared" si="37"/>
        <v>#VALUE!</v>
      </c>
      <c r="AR110" s="114" t="str">
        <f t="shared" si="443"/>
        <v/>
      </c>
      <c r="AS110" s="115">
        <f t="shared" si="444"/>
        <v>82264.14</v>
      </c>
      <c r="AT110" s="100">
        <f t="shared" si="445"/>
        <v>0</v>
      </c>
      <c r="AU110" s="113" t="e">
        <f t="shared" si="41"/>
        <v>#VALUE!</v>
      </c>
      <c r="AV110" s="116" t="str">
        <f t="shared" si="446"/>
        <v/>
      </c>
      <c r="AW110" s="117">
        <f t="shared" si="447"/>
        <v>68584.740000000005</v>
      </c>
      <c r="AX110" s="100">
        <f t="shared" si="448"/>
        <v>276712.09000000003</v>
      </c>
      <c r="AY110" s="113" t="e">
        <f t="shared" si="45"/>
        <v>#VALUE!</v>
      </c>
      <c r="AZ110" s="114" t="str">
        <f t="shared" si="449"/>
        <v/>
      </c>
      <c r="BA110" s="100">
        <f t="shared" si="450"/>
        <v>0</v>
      </c>
      <c r="BB110" s="118" t="e">
        <f t="shared" ref="BB110:BD110" si="498">BH110+AY110+AU110</f>
        <v>#VALUE!</v>
      </c>
      <c r="BC110" s="116" t="e">
        <f t="shared" si="498"/>
        <v>#VALUE!</v>
      </c>
      <c r="BD110" s="119">
        <f t="shared" si="498"/>
        <v>68584.740000000005</v>
      </c>
      <c r="BE110" s="118" t="e">
        <f t="shared" si="49"/>
        <v>#VALUE!</v>
      </c>
      <c r="BF110" s="116" t="e">
        <f t="shared" si="50"/>
        <v>#VALUE!</v>
      </c>
      <c r="BG110" s="119">
        <f t="shared" si="51"/>
        <v>125106.8</v>
      </c>
      <c r="BH110" s="114" t="e">
        <f t="shared" si="52"/>
        <v>#VALUE!</v>
      </c>
      <c r="BI110" s="114" t="str">
        <f t="shared" si="452"/>
        <v/>
      </c>
      <c r="BJ110" s="115">
        <f t="shared" si="453"/>
        <v>0</v>
      </c>
      <c r="BK110" s="125">
        <f t="shared" si="454"/>
        <v>146038.06</v>
      </c>
      <c r="BL110" s="120" t="e">
        <f t="shared" si="56"/>
        <v>#VALUE!</v>
      </c>
      <c r="BM110" s="121" t="str">
        <f t="shared" si="455"/>
        <v/>
      </c>
      <c r="BN110" s="119">
        <f t="shared" si="456"/>
        <v>0</v>
      </c>
      <c r="BO110" s="125">
        <f t="shared" si="457"/>
        <v>0</v>
      </c>
      <c r="BP110" s="140" t="e">
        <f t="shared" si="60"/>
        <v>#VALUE!</v>
      </c>
      <c r="BQ110" s="123" t="str">
        <f t="shared" si="458"/>
        <v/>
      </c>
      <c r="BR110" s="125">
        <f t="shared" si="459"/>
        <v>0</v>
      </c>
      <c r="BS110" s="122" t="e">
        <f t="shared" si="63"/>
        <v>#VALUE!</v>
      </c>
      <c r="BT110" s="123">
        <f t="shared" ref="BT110:BU110" si="499">SUM(BI110,BM110,BQ110)</f>
        <v>0</v>
      </c>
      <c r="BU110" s="124">
        <f t="shared" si="499"/>
        <v>0</v>
      </c>
      <c r="BV110" s="125">
        <f t="shared" si="461"/>
        <v>126507.82</v>
      </c>
      <c r="BW110" s="122" t="e">
        <f t="shared" si="66"/>
        <v>#VALUE!</v>
      </c>
      <c r="BX110" s="123" t="str">
        <f t="shared" si="462"/>
        <v/>
      </c>
      <c r="BY110" s="124">
        <f t="shared" si="463"/>
        <v>0</v>
      </c>
      <c r="BZ110" s="125">
        <f t="shared" si="464"/>
        <v>80467.05</v>
      </c>
      <c r="CA110" s="140"/>
      <c r="CB110" s="123"/>
      <c r="CC110" s="148"/>
      <c r="CD110" s="123">
        <f t="shared" si="465"/>
        <v>175724.79</v>
      </c>
      <c r="CF110" s="126"/>
    </row>
    <row r="111" spans="1:84" ht="14">
      <c r="A111" s="92">
        <f t="shared" si="425"/>
        <v>112013880</v>
      </c>
      <c r="B111" s="172">
        <f t="shared" si="484"/>
        <v>1</v>
      </c>
      <c r="C111" s="137" t="str">
        <f t="shared" si="485"/>
        <v>Lista</v>
      </c>
      <c r="D111" s="137">
        <f t="shared" si="486"/>
        <v>0.09</v>
      </c>
      <c r="E111" s="138">
        <f t="shared" si="487"/>
        <v>0</v>
      </c>
      <c r="F111" s="193">
        <f t="shared" si="382"/>
        <v>1</v>
      </c>
      <c r="G111" s="97" t="str">
        <f t="shared" si="426"/>
        <v>Lista</v>
      </c>
      <c r="H111" s="97">
        <f t="shared" si="427"/>
        <v>0.09</v>
      </c>
      <c r="I111" s="97">
        <f t="shared" si="428"/>
        <v>0</v>
      </c>
      <c r="J111" s="96">
        <f t="shared" si="429"/>
        <v>71</v>
      </c>
      <c r="K111" s="94" t="str">
        <f t="shared" si="430"/>
        <v>Lista</v>
      </c>
      <c r="L111" s="98">
        <f t="shared" si="431"/>
        <v>0.05</v>
      </c>
      <c r="M111" s="139" t="s">
        <v>185</v>
      </c>
      <c r="N111" s="100" t="str">
        <f t="shared" si="432"/>
        <v/>
      </c>
      <c r="O111" s="140" t="e">
        <f t="shared" si="478"/>
        <v>#VALUE!</v>
      </c>
      <c r="P111" s="102" t="e">
        <f t="shared" si="13"/>
        <v>#VALUE!</v>
      </c>
      <c r="Q111" s="102" t="str">
        <f t="shared" si="433"/>
        <v/>
      </c>
      <c r="R111" s="102" t="str">
        <f t="shared" si="434"/>
        <v/>
      </c>
      <c r="S111" s="102" t="e">
        <f t="shared" si="16"/>
        <v>#VALUE!</v>
      </c>
      <c r="T111" s="103" t="e">
        <f t="shared" si="17"/>
        <v>#VALUE!</v>
      </c>
      <c r="U111" s="100" t="str">
        <f t="shared" si="435"/>
        <v/>
      </c>
      <c r="V111" s="141" t="e">
        <f t="shared" si="479"/>
        <v>#VALUE!</v>
      </c>
      <c r="W111" s="105" t="e">
        <f t="shared" si="19"/>
        <v>#VALUE!</v>
      </c>
      <c r="X111" s="102" t="str">
        <f t="shared" si="436"/>
        <v/>
      </c>
      <c r="Y111" s="106" t="str">
        <f t="shared" si="437"/>
        <v/>
      </c>
      <c r="Z111" s="142" t="e">
        <f t="shared" si="387"/>
        <v>#VALUE!</v>
      </c>
      <c r="AA111" s="143" t="str">
        <f t="shared" si="388"/>
        <v/>
      </c>
      <c r="AB111" s="100" t="str">
        <f t="shared" si="438"/>
        <v/>
      </c>
      <c r="AC111" s="140" t="e">
        <f t="shared" si="468"/>
        <v>#VALUE!</v>
      </c>
      <c r="AD111" s="102" t="e">
        <f t="shared" si="24"/>
        <v>#VALUE!</v>
      </c>
      <c r="AE111" s="102" t="str">
        <f t="shared" si="439"/>
        <v/>
      </c>
      <c r="AF111" s="102" t="str">
        <f t="shared" si="440"/>
        <v/>
      </c>
      <c r="AG111" s="199" t="e">
        <f t="shared" si="390"/>
        <v>#VALUE!</v>
      </c>
      <c r="AH111" s="158" t="str">
        <f t="shared" si="391"/>
        <v/>
      </c>
      <c r="AI111" s="147" t="e">
        <f t="shared" si="469"/>
        <v>#VALUE!</v>
      </c>
      <c r="AJ111" s="111" t="str">
        <f t="shared" si="441"/>
        <v>0</v>
      </c>
      <c r="AK111" s="102">
        <f t="shared" si="31"/>
        <v>0</v>
      </c>
      <c r="AL111" s="102" t="e">
        <f t="shared" si="32"/>
        <v>#VALUE!</v>
      </c>
      <c r="AM111" s="102" t="e">
        <f t="shared" si="33"/>
        <v>#VALUE!</v>
      </c>
      <c r="AN111" s="102" t="e">
        <f t="shared" si="34"/>
        <v>#VALUE!</v>
      </c>
      <c r="AO111" s="112" t="e">
        <f t="shared" si="35"/>
        <v>#VALUE!</v>
      </c>
      <c r="AP111" s="100" t="str">
        <f t="shared" si="442"/>
        <v/>
      </c>
      <c r="AQ111" s="113" t="e">
        <f t="shared" si="37"/>
        <v>#VALUE!</v>
      </c>
      <c r="AR111" s="114" t="str">
        <f t="shared" si="443"/>
        <v/>
      </c>
      <c r="AS111" s="115" t="str">
        <f t="shared" si="444"/>
        <v/>
      </c>
      <c r="AT111" s="100" t="str">
        <f t="shared" si="445"/>
        <v/>
      </c>
      <c r="AU111" s="113" t="e">
        <f t="shared" si="41"/>
        <v>#VALUE!</v>
      </c>
      <c r="AV111" s="116" t="str">
        <f t="shared" si="446"/>
        <v/>
      </c>
      <c r="AW111" s="117" t="str">
        <f t="shared" si="447"/>
        <v/>
      </c>
      <c r="AX111" s="100" t="str">
        <f t="shared" si="448"/>
        <v/>
      </c>
      <c r="AY111" s="113" t="e">
        <f t="shared" si="45"/>
        <v>#VALUE!</v>
      </c>
      <c r="AZ111" s="114" t="str">
        <f t="shared" si="449"/>
        <v/>
      </c>
      <c r="BA111" s="100" t="str">
        <f t="shared" si="450"/>
        <v/>
      </c>
      <c r="BB111" s="118" t="e">
        <f t="shared" ref="BB111:BD111" si="500">BH111+AY111+AU111</f>
        <v>#VALUE!</v>
      </c>
      <c r="BC111" s="116" t="e">
        <f t="shared" si="500"/>
        <v>#VALUE!</v>
      </c>
      <c r="BD111" s="119" t="e">
        <f t="shared" si="500"/>
        <v>#VALUE!</v>
      </c>
      <c r="BE111" s="118" t="e">
        <f t="shared" si="49"/>
        <v>#VALUE!</v>
      </c>
      <c r="BF111" s="116" t="e">
        <f t="shared" si="50"/>
        <v>#VALUE!</v>
      </c>
      <c r="BG111" s="119" t="e">
        <f t="shared" si="51"/>
        <v>#VALUE!</v>
      </c>
      <c r="BH111" s="114" t="e">
        <f t="shared" si="52"/>
        <v>#VALUE!</v>
      </c>
      <c r="BI111" s="114" t="str">
        <f t="shared" si="452"/>
        <v/>
      </c>
      <c r="BJ111" s="115" t="str">
        <f t="shared" si="453"/>
        <v/>
      </c>
      <c r="BK111" s="125" t="str">
        <f t="shared" si="454"/>
        <v/>
      </c>
      <c r="BL111" s="120" t="e">
        <f t="shared" si="56"/>
        <v>#VALUE!</v>
      </c>
      <c r="BM111" s="121" t="str">
        <f t="shared" si="455"/>
        <v/>
      </c>
      <c r="BN111" s="119" t="str">
        <f t="shared" si="456"/>
        <v/>
      </c>
      <c r="BO111" s="125" t="str">
        <f t="shared" si="457"/>
        <v/>
      </c>
      <c r="BP111" s="140" t="e">
        <f t="shared" si="60"/>
        <v>#VALUE!</v>
      </c>
      <c r="BQ111" s="123" t="str">
        <f t="shared" si="458"/>
        <v/>
      </c>
      <c r="BR111" s="125" t="str">
        <f t="shared" si="459"/>
        <v/>
      </c>
      <c r="BS111" s="122" t="e">
        <f t="shared" si="63"/>
        <v>#VALUE!</v>
      </c>
      <c r="BT111" s="123">
        <f t="shared" ref="BT111:BU111" si="501">SUM(BI111,BM111,BQ111)</f>
        <v>0</v>
      </c>
      <c r="BU111" s="124">
        <f t="shared" si="501"/>
        <v>0</v>
      </c>
      <c r="BV111" s="125" t="str">
        <f t="shared" si="461"/>
        <v/>
      </c>
      <c r="BW111" s="122" t="e">
        <f t="shared" si="66"/>
        <v>#VALUE!</v>
      </c>
      <c r="BX111" s="123" t="str">
        <f t="shared" si="462"/>
        <v/>
      </c>
      <c r="BY111" s="124" t="str">
        <f t="shared" si="463"/>
        <v/>
      </c>
      <c r="BZ111" s="125" t="str">
        <f t="shared" si="464"/>
        <v/>
      </c>
      <c r="CA111" s="140"/>
      <c r="CB111" s="123"/>
      <c r="CC111" s="148"/>
      <c r="CD111" s="123" t="str">
        <f t="shared" si="465"/>
        <v/>
      </c>
      <c r="CF111" s="149"/>
    </row>
    <row r="112" spans="1:84" ht="13">
      <c r="A112" s="92">
        <f t="shared" si="425"/>
        <v>112012226</v>
      </c>
      <c r="B112" s="172">
        <f t="shared" si="484"/>
        <v>1</v>
      </c>
      <c r="C112" s="137" t="str">
        <f t="shared" si="485"/>
        <v>Lista</v>
      </c>
      <c r="D112" s="137">
        <f t="shared" si="486"/>
        <v>0.09</v>
      </c>
      <c r="E112" s="138">
        <f t="shared" si="487"/>
        <v>0</v>
      </c>
      <c r="F112" s="193">
        <f t="shared" si="382"/>
        <v>1</v>
      </c>
      <c r="G112" s="97" t="str">
        <f t="shared" si="426"/>
        <v>Lista</v>
      </c>
      <c r="H112" s="97">
        <f t="shared" si="427"/>
        <v>0.09</v>
      </c>
      <c r="I112" s="97">
        <f t="shared" si="428"/>
        <v>0</v>
      </c>
      <c r="J112" s="96">
        <f t="shared" si="429"/>
        <v>71</v>
      </c>
      <c r="K112" s="94" t="str">
        <f t="shared" si="430"/>
        <v>Lista</v>
      </c>
      <c r="L112" s="98">
        <f t="shared" si="431"/>
        <v>0.05</v>
      </c>
      <c r="M112" s="139" t="s">
        <v>186</v>
      </c>
      <c r="N112" s="100">
        <f t="shared" si="432"/>
        <v>387601.95</v>
      </c>
      <c r="O112" s="140">
        <f t="shared" si="478"/>
        <v>651578.25804750004</v>
      </c>
      <c r="P112" s="102">
        <f t="shared" si="13"/>
        <v>620629.94999999995</v>
      </c>
      <c r="Q112" s="102">
        <f t="shared" si="433"/>
        <v>9573.1299999999992</v>
      </c>
      <c r="R112" s="102">
        <f t="shared" si="434"/>
        <v>630203.07999999996</v>
      </c>
      <c r="S112" s="102">
        <f t="shared" si="16"/>
        <v>-21375.178047500085</v>
      </c>
      <c r="T112" s="103">
        <f t="shared" si="17"/>
        <v>0.96719476473700594</v>
      </c>
      <c r="U112" s="100">
        <f t="shared" si="435"/>
        <v>178841.36</v>
      </c>
      <c r="V112" s="141">
        <f t="shared" si="479"/>
        <v>308411.92531999998</v>
      </c>
      <c r="W112" s="105">
        <f t="shared" si="19"/>
        <v>550023.88</v>
      </c>
      <c r="X112" s="102">
        <f t="shared" si="436"/>
        <v>22326.22</v>
      </c>
      <c r="Y112" s="106">
        <f t="shared" si="437"/>
        <v>572350.1</v>
      </c>
      <c r="Z112" s="142">
        <f t="shared" si="387"/>
        <v>263938.17468</v>
      </c>
      <c r="AA112" s="143">
        <f t="shared" si="388"/>
        <v>1.8557975649162879</v>
      </c>
      <c r="AB112" s="100">
        <f t="shared" si="438"/>
        <v>71745.66</v>
      </c>
      <c r="AC112" s="140">
        <f t="shared" si="468"/>
        <v>117904.30654590001</v>
      </c>
      <c r="AD112" s="102">
        <f t="shared" si="24"/>
        <v>287293.04000000004</v>
      </c>
      <c r="AE112" s="102">
        <f t="shared" si="439"/>
        <v>17818.099999999999</v>
      </c>
      <c r="AF112" s="102">
        <f t="shared" si="440"/>
        <v>305111.14</v>
      </c>
      <c r="AG112" s="199">
        <f t="shared" si="390"/>
        <v>187206.83345410001</v>
      </c>
      <c r="AH112" s="158">
        <f t="shared" si="391"/>
        <v>2.5877862220513599</v>
      </c>
      <c r="AI112" s="147">
        <f t="shared" si="469"/>
        <v>1077894.4899134</v>
      </c>
      <c r="AJ112" s="111">
        <f t="shared" si="441"/>
        <v>1650788.83</v>
      </c>
      <c r="AK112" s="102">
        <f t="shared" si="31"/>
        <v>49717.45</v>
      </c>
      <c r="AL112" s="102">
        <f t="shared" si="32"/>
        <v>1457946.87</v>
      </c>
      <c r="AM112" s="102">
        <f t="shared" si="33"/>
        <v>1507664.3199999998</v>
      </c>
      <c r="AN112" s="102">
        <f t="shared" si="34"/>
        <v>-143124.51000000024</v>
      </c>
      <c r="AO112" s="112">
        <f t="shared" si="35"/>
        <v>0.91329932248208867</v>
      </c>
      <c r="AP112" s="100">
        <f t="shared" si="442"/>
        <v>463533.54</v>
      </c>
      <c r="AQ112" s="113">
        <f t="shared" si="37"/>
        <v>630137.51</v>
      </c>
      <c r="AR112" s="114">
        <f t="shared" si="443"/>
        <v>17818.099999999999</v>
      </c>
      <c r="AS112" s="115">
        <f t="shared" si="444"/>
        <v>647955.61</v>
      </c>
      <c r="AT112" s="100">
        <f t="shared" si="445"/>
        <v>320380.33</v>
      </c>
      <c r="AU112" s="113">
        <f t="shared" si="41"/>
        <v>351028.77999999997</v>
      </c>
      <c r="AV112" s="116">
        <f t="shared" si="446"/>
        <v>48875.7</v>
      </c>
      <c r="AW112" s="117">
        <f t="shared" si="447"/>
        <v>399904.48</v>
      </c>
      <c r="AX112" s="100">
        <f t="shared" si="448"/>
        <v>240372.11</v>
      </c>
      <c r="AY112" s="113">
        <f t="shared" si="45"/>
        <v>405567.03</v>
      </c>
      <c r="AZ112" s="114">
        <f t="shared" si="449"/>
        <v>17818.099999999999</v>
      </c>
      <c r="BA112" s="100">
        <f t="shared" si="450"/>
        <v>423385.13</v>
      </c>
      <c r="BB112" s="118">
        <f t="shared" ref="BB112:BD112" si="502">BH112+AY112+AU112</f>
        <v>1501829.06</v>
      </c>
      <c r="BC112" s="116">
        <f t="shared" si="502"/>
        <v>66693.799999999988</v>
      </c>
      <c r="BD112" s="119">
        <f t="shared" si="502"/>
        <v>1568522.8599999999</v>
      </c>
      <c r="BE112" s="118">
        <f t="shared" si="49"/>
        <v>2959775.93</v>
      </c>
      <c r="BF112" s="116">
        <f t="shared" si="50"/>
        <v>116411.24999999999</v>
      </c>
      <c r="BG112" s="119">
        <f t="shared" si="51"/>
        <v>3076187.1799999997</v>
      </c>
      <c r="BH112" s="114">
        <f t="shared" si="52"/>
        <v>745233.25</v>
      </c>
      <c r="BI112" s="114">
        <f t="shared" si="452"/>
        <v>0</v>
      </c>
      <c r="BJ112" s="115">
        <f t="shared" si="453"/>
        <v>745233.25</v>
      </c>
      <c r="BK112" s="125">
        <f t="shared" si="454"/>
        <v>343549.82</v>
      </c>
      <c r="BL112" s="120">
        <f t="shared" si="56"/>
        <v>554941.58000000007</v>
      </c>
      <c r="BM112" s="121">
        <f t="shared" si="455"/>
        <v>48875.7</v>
      </c>
      <c r="BN112" s="119">
        <f t="shared" si="456"/>
        <v>603817.28</v>
      </c>
      <c r="BO112" s="125">
        <f t="shared" si="457"/>
        <v>398253.01</v>
      </c>
      <c r="BP112" s="140">
        <f t="shared" si="60"/>
        <v>727809.17</v>
      </c>
      <c r="BQ112" s="123">
        <f t="shared" si="458"/>
        <v>17818.099999999999</v>
      </c>
      <c r="BR112" s="125">
        <f t="shared" si="459"/>
        <v>745627.27</v>
      </c>
      <c r="BS112" s="122">
        <f t="shared" si="63"/>
        <v>2027984</v>
      </c>
      <c r="BT112" s="123">
        <f t="shared" ref="BT112:BU112" si="503">SUM(BI112,BM112,BQ112)</f>
        <v>66693.799999999988</v>
      </c>
      <c r="BU112" s="124">
        <f t="shared" si="503"/>
        <v>2094677.8</v>
      </c>
      <c r="BV112" s="125">
        <f t="shared" si="461"/>
        <v>470832.6</v>
      </c>
      <c r="BW112" s="122">
        <f t="shared" si="66"/>
        <v>370223.33</v>
      </c>
      <c r="BX112" s="123">
        <f t="shared" si="462"/>
        <v>31057.599999999999</v>
      </c>
      <c r="BY112" s="124">
        <f t="shared" si="463"/>
        <v>401280.93</v>
      </c>
      <c r="BZ112" s="125">
        <f t="shared" si="464"/>
        <v>489222.93</v>
      </c>
      <c r="CA112" s="140"/>
      <c r="CB112" s="123"/>
      <c r="CC112" s="148"/>
      <c r="CD112" s="123">
        <f t="shared" si="465"/>
        <v>690733.3</v>
      </c>
      <c r="CF112" s="149"/>
    </row>
    <row r="113" spans="1:84" ht="13">
      <c r="A113" s="92">
        <f t="shared" si="425"/>
        <v>112011350</v>
      </c>
      <c r="B113" s="172">
        <f t="shared" si="484"/>
        <v>1</v>
      </c>
      <c r="C113" s="137" t="str">
        <f t="shared" si="485"/>
        <v>Lista</v>
      </c>
      <c r="D113" s="137">
        <f t="shared" si="486"/>
        <v>0.09</v>
      </c>
      <c r="E113" s="138">
        <f t="shared" si="487"/>
        <v>0</v>
      </c>
      <c r="F113" s="193">
        <f t="shared" ref="F113:F144" si="504">IFERROR(VLOOKUP(M113,BASILECART2,2,FALSE),"")</f>
        <v>1</v>
      </c>
      <c r="G113" s="97" t="str">
        <f t="shared" si="426"/>
        <v>Lista</v>
      </c>
      <c r="H113" s="97">
        <f t="shared" si="427"/>
        <v>0.09</v>
      </c>
      <c r="I113" s="97">
        <f t="shared" si="428"/>
        <v>0</v>
      </c>
      <c r="J113" s="96">
        <f t="shared" si="429"/>
        <v>71</v>
      </c>
      <c r="K113" s="94" t="str">
        <f t="shared" si="430"/>
        <v>Lista</v>
      </c>
      <c r="L113" s="98">
        <f t="shared" si="431"/>
        <v>0.05</v>
      </c>
      <c r="M113" s="139" t="s">
        <v>187</v>
      </c>
      <c r="N113" s="100">
        <f t="shared" si="432"/>
        <v>65131.48</v>
      </c>
      <c r="O113" s="140">
        <f t="shared" si="478"/>
        <v>109489.274454</v>
      </c>
      <c r="P113" s="102" t="e">
        <f t="shared" si="13"/>
        <v>#VALUE!</v>
      </c>
      <c r="Q113" s="102" t="str">
        <f t="shared" si="433"/>
        <v/>
      </c>
      <c r="R113" s="102">
        <f t="shared" si="434"/>
        <v>175176.14</v>
      </c>
      <c r="S113" s="102">
        <f t="shared" si="16"/>
        <v>65686.865546000015</v>
      </c>
      <c r="T113" s="103">
        <f t="shared" si="17"/>
        <v>1.5999388147703655</v>
      </c>
      <c r="U113" s="100">
        <f t="shared" si="435"/>
        <v>242707</v>
      </c>
      <c r="V113" s="141">
        <f t="shared" si="479"/>
        <v>418548.22149999999</v>
      </c>
      <c r="W113" s="105" t="e">
        <f t="shared" si="19"/>
        <v>#VALUE!</v>
      </c>
      <c r="X113" s="102" t="str">
        <f t="shared" si="436"/>
        <v/>
      </c>
      <c r="Y113" s="106">
        <f t="shared" si="437"/>
        <v>86235.72</v>
      </c>
      <c r="Z113" s="142">
        <f t="shared" si="387"/>
        <v>-332312.50150000001</v>
      </c>
      <c r="AA113" s="143">
        <f t="shared" si="388"/>
        <v>0.20603532775971908</v>
      </c>
      <c r="AB113" s="100">
        <f t="shared" si="438"/>
        <v>76528.06</v>
      </c>
      <c r="AC113" s="140">
        <f t="shared" si="468"/>
        <v>125763.5353219</v>
      </c>
      <c r="AD113" s="102" t="e">
        <f t="shared" si="24"/>
        <v>#VALUE!</v>
      </c>
      <c r="AE113" s="102" t="str">
        <f t="shared" si="439"/>
        <v/>
      </c>
      <c r="AF113" s="102">
        <f t="shared" si="440"/>
        <v>22493.72</v>
      </c>
      <c r="AG113" s="199">
        <f t="shared" si="390"/>
        <v>-103269.81532189999</v>
      </c>
      <c r="AH113" s="158">
        <f t="shared" si="391"/>
        <v>0.17885724938016295</v>
      </c>
      <c r="AI113" s="147">
        <f t="shared" si="469"/>
        <v>653801.03127589996</v>
      </c>
      <c r="AJ113" s="111">
        <f t="shared" si="441"/>
        <v>180349.53</v>
      </c>
      <c r="AK113" s="102">
        <f t="shared" si="31"/>
        <v>0</v>
      </c>
      <c r="AL113" s="102" t="e">
        <f t="shared" si="32"/>
        <v>#VALUE!</v>
      </c>
      <c r="AM113" s="102">
        <f t="shared" si="33"/>
        <v>283905.58</v>
      </c>
      <c r="AN113" s="102">
        <f t="shared" si="34"/>
        <v>103556.05000000002</v>
      </c>
      <c r="AO113" s="112">
        <f t="shared" si="35"/>
        <v>1.5741963951888316</v>
      </c>
      <c r="AP113" s="100">
        <f t="shared" si="442"/>
        <v>38288.400000000001</v>
      </c>
      <c r="AQ113" s="113" t="e">
        <f t="shared" si="37"/>
        <v>#VALUE!</v>
      </c>
      <c r="AR113" s="114" t="str">
        <f t="shared" si="443"/>
        <v/>
      </c>
      <c r="AS113" s="115">
        <f t="shared" si="444"/>
        <v>95758.29</v>
      </c>
      <c r="AT113" s="100">
        <f t="shared" si="445"/>
        <v>179301.24</v>
      </c>
      <c r="AU113" s="113" t="e">
        <f t="shared" si="41"/>
        <v>#VALUE!</v>
      </c>
      <c r="AV113" s="116" t="str">
        <f t="shared" si="446"/>
        <v/>
      </c>
      <c r="AW113" s="117">
        <f t="shared" si="447"/>
        <v>0</v>
      </c>
      <c r="AX113" s="100">
        <f t="shared" si="448"/>
        <v>34479.839999999997</v>
      </c>
      <c r="AY113" s="113" t="e">
        <f t="shared" si="45"/>
        <v>#VALUE!</v>
      </c>
      <c r="AZ113" s="114" t="str">
        <f t="shared" si="449"/>
        <v/>
      </c>
      <c r="BA113" s="100">
        <f t="shared" si="450"/>
        <v>63588.26</v>
      </c>
      <c r="BB113" s="118" t="e">
        <f t="shared" ref="BB113:BD113" si="505">BH113+AY113+AU113</f>
        <v>#VALUE!</v>
      </c>
      <c r="BC113" s="116" t="e">
        <f t="shared" si="505"/>
        <v>#VALUE!</v>
      </c>
      <c r="BD113" s="119">
        <f t="shared" si="505"/>
        <v>99918.040000000008</v>
      </c>
      <c r="BE113" s="118" t="e">
        <f t="shared" si="49"/>
        <v>#VALUE!</v>
      </c>
      <c r="BF113" s="116" t="e">
        <f t="shared" si="50"/>
        <v>#VALUE!</v>
      </c>
      <c r="BG113" s="119">
        <f t="shared" si="51"/>
        <v>383823.62</v>
      </c>
      <c r="BH113" s="114" t="e">
        <f t="shared" si="52"/>
        <v>#VALUE!</v>
      </c>
      <c r="BI113" s="114" t="str">
        <f t="shared" si="452"/>
        <v/>
      </c>
      <c r="BJ113" s="115">
        <f t="shared" si="453"/>
        <v>36329.78</v>
      </c>
      <c r="BK113" s="125">
        <f t="shared" si="454"/>
        <v>0</v>
      </c>
      <c r="BL113" s="120" t="e">
        <f t="shared" si="56"/>
        <v>#VALUE!</v>
      </c>
      <c r="BM113" s="121" t="str">
        <f t="shared" si="455"/>
        <v/>
      </c>
      <c r="BN113" s="119">
        <f t="shared" si="456"/>
        <v>11094.1</v>
      </c>
      <c r="BO113" s="125">
        <f t="shared" si="457"/>
        <v>126843.22</v>
      </c>
      <c r="BP113" s="140" t="e">
        <f t="shared" si="60"/>
        <v>#VALUE!</v>
      </c>
      <c r="BQ113" s="123" t="str">
        <f t="shared" si="458"/>
        <v/>
      </c>
      <c r="BR113" s="125">
        <f t="shared" si="459"/>
        <v>52448.62</v>
      </c>
      <c r="BS113" s="122" t="e">
        <f t="shared" si="63"/>
        <v>#VALUE!</v>
      </c>
      <c r="BT113" s="123">
        <f t="shared" ref="BT113:BU113" si="506">SUM(BI113,BM113,BQ113)</f>
        <v>0</v>
      </c>
      <c r="BU113" s="124">
        <f t="shared" si="506"/>
        <v>99872.5</v>
      </c>
      <c r="BV113" s="125">
        <f t="shared" si="461"/>
        <v>59637.78</v>
      </c>
      <c r="BW113" s="122" t="e">
        <f t="shared" si="66"/>
        <v>#VALUE!</v>
      </c>
      <c r="BX113" s="123" t="str">
        <f t="shared" si="462"/>
        <v/>
      </c>
      <c r="BY113" s="124">
        <f t="shared" si="463"/>
        <v>27203.64</v>
      </c>
      <c r="BZ113" s="125">
        <f t="shared" si="464"/>
        <v>38536.85</v>
      </c>
      <c r="CA113" s="140"/>
      <c r="CB113" s="123"/>
      <c r="CC113" s="148"/>
      <c r="CD113" s="123">
        <f t="shared" si="465"/>
        <v>82174.899999999994</v>
      </c>
      <c r="CF113" s="149"/>
    </row>
    <row r="114" spans="1:84" ht="14">
      <c r="A114" s="92">
        <f t="shared" si="425"/>
        <v>112013792</v>
      </c>
      <c r="B114" s="172">
        <f t="shared" si="484"/>
        <v>1</v>
      </c>
      <c r="C114" s="137" t="str">
        <f t="shared" si="485"/>
        <v>Lista</v>
      </c>
      <c r="D114" s="137">
        <f t="shared" si="486"/>
        <v>0.09</v>
      </c>
      <c r="E114" s="138">
        <f t="shared" si="487"/>
        <v>0</v>
      </c>
      <c r="F114" s="193">
        <f t="shared" si="504"/>
        <v>1</v>
      </c>
      <c r="G114" s="97" t="str">
        <f t="shared" si="426"/>
        <v>Lista</v>
      </c>
      <c r="H114" s="97">
        <f t="shared" si="427"/>
        <v>0.09</v>
      </c>
      <c r="I114" s="97">
        <f t="shared" si="428"/>
        <v>0</v>
      </c>
      <c r="J114" s="96">
        <f t="shared" si="429"/>
        <v>71</v>
      </c>
      <c r="K114" s="94" t="str">
        <f t="shared" si="430"/>
        <v>Lista</v>
      </c>
      <c r="L114" s="98">
        <f t="shared" si="431"/>
        <v>0.05</v>
      </c>
      <c r="M114" s="139" t="s">
        <v>188</v>
      </c>
      <c r="N114" s="100">
        <f t="shared" si="432"/>
        <v>0</v>
      </c>
      <c r="O114" s="140">
        <f t="shared" si="478"/>
        <v>0</v>
      </c>
      <c r="P114" s="102">
        <f t="shared" si="13"/>
        <v>294556.21999999997</v>
      </c>
      <c r="Q114" s="102">
        <f t="shared" si="433"/>
        <v>32576.84</v>
      </c>
      <c r="R114" s="102">
        <f t="shared" si="434"/>
        <v>327133.06</v>
      </c>
      <c r="S114" s="102">
        <f t="shared" si="16"/>
        <v>327133.06</v>
      </c>
      <c r="T114" s="103" t="e">
        <f t="shared" si="17"/>
        <v>#DIV/0!</v>
      </c>
      <c r="U114" s="100">
        <f t="shared" si="435"/>
        <v>116184.81</v>
      </c>
      <c r="V114" s="141">
        <f t="shared" si="479"/>
        <v>200360.704845</v>
      </c>
      <c r="W114" s="105">
        <f t="shared" si="19"/>
        <v>51864.67</v>
      </c>
      <c r="X114" s="102">
        <f t="shared" si="436"/>
        <v>0</v>
      </c>
      <c r="Y114" s="106">
        <f t="shared" si="437"/>
        <v>51864.67</v>
      </c>
      <c r="Z114" s="142">
        <f t="shared" si="387"/>
        <v>-148496.03484500002</v>
      </c>
      <c r="AA114" s="143">
        <f>Y114/V114</f>
        <v>0.25885649603859578</v>
      </c>
      <c r="AB114" s="100">
        <f t="shared" si="438"/>
        <v>50553.43</v>
      </c>
      <c r="AC114" s="140">
        <f t="shared" si="468"/>
        <v>83077.73749195</v>
      </c>
      <c r="AD114" s="102">
        <f t="shared" si="24"/>
        <v>0</v>
      </c>
      <c r="AE114" s="102">
        <f t="shared" si="439"/>
        <v>0</v>
      </c>
      <c r="AF114" s="102">
        <f t="shared" si="440"/>
        <v>0</v>
      </c>
      <c r="AG114" s="199">
        <f t="shared" si="390"/>
        <v>-83077.73749195</v>
      </c>
      <c r="AH114" s="158">
        <f t="shared" si="391"/>
        <v>0</v>
      </c>
      <c r="AI114" s="147">
        <f t="shared" si="469"/>
        <v>283438.44233694999</v>
      </c>
      <c r="AJ114" s="111">
        <f t="shared" si="441"/>
        <v>823608.85</v>
      </c>
      <c r="AK114" s="102">
        <f t="shared" si="31"/>
        <v>32576.84</v>
      </c>
      <c r="AL114" s="102">
        <f t="shared" si="32"/>
        <v>346420.88999999996</v>
      </c>
      <c r="AM114" s="102">
        <f t="shared" si="33"/>
        <v>378997.73</v>
      </c>
      <c r="AN114" s="102">
        <f t="shared" si="34"/>
        <v>-444611.12</v>
      </c>
      <c r="AO114" s="112">
        <f t="shared" si="35"/>
        <v>0.46016714123457997</v>
      </c>
      <c r="AP114" s="100">
        <f t="shared" si="442"/>
        <v>61813.279999999999</v>
      </c>
      <c r="AQ114" s="113">
        <f t="shared" si="37"/>
        <v>0</v>
      </c>
      <c r="AR114" s="114">
        <f t="shared" si="443"/>
        <v>0</v>
      </c>
      <c r="AS114" s="115">
        <f t="shared" si="444"/>
        <v>0</v>
      </c>
      <c r="AT114" s="100">
        <f t="shared" si="445"/>
        <v>121634.98</v>
      </c>
      <c r="AU114" s="113">
        <f t="shared" si="41"/>
        <v>0</v>
      </c>
      <c r="AV114" s="116">
        <f t="shared" si="446"/>
        <v>0</v>
      </c>
      <c r="AW114" s="117">
        <f t="shared" si="447"/>
        <v>0</v>
      </c>
      <c r="AX114" s="100">
        <f t="shared" si="448"/>
        <v>297522.71999999997</v>
      </c>
      <c r="AY114" s="113">
        <f t="shared" si="45"/>
        <v>24928</v>
      </c>
      <c r="AZ114" s="114">
        <f t="shared" si="449"/>
        <v>0</v>
      </c>
      <c r="BA114" s="100">
        <f t="shared" si="450"/>
        <v>24928</v>
      </c>
      <c r="BB114" s="118">
        <f t="shared" ref="BB114:BD114" si="507">BH114+AY114+AU114</f>
        <v>110636.55</v>
      </c>
      <c r="BC114" s="116">
        <f t="shared" si="507"/>
        <v>13669.4</v>
      </c>
      <c r="BD114" s="119">
        <f t="shared" si="507"/>
        <v>124305.95</v>
      </c>
      <c r="BE114" s="118">
        <f t="shared" si="49"/>
        <v>457057.43999999994</v>
      </c>
      <c r="BF114" s="116">
        <f t="shared" si="50"/>
        <v>46246.239999999998</v>
      </c>
      <c r="BG114" s="119">
        <f t="shared" si="51"/>
        <v>503303.67999999999</v>
      </c>
      <c r="BH114" s="114">
        <f t="shared" si="52"/>
        <v>85708.55</v>
      </c>
      <c r="BI114" s="114">
        <f t="shared" si="452"/>
        <v>13669.4</v>
      </c>
      <c r="BJ114" s="115">
        <f t="shared" si="453"/>
        <v>99377.95</v>
      </c>
      <c r="BK114" s="125">
        <f t="shared" si="454"/>
        <v>62371.55</v>
      </c>
      <c r="BL114" s="120">
        <f t="shared" si="56"/>
        <v>3284.7099999999991</v>
      </c>
      <c r="BM114" s="121">
        <f t="shared" si="455"/>
        <v>9226.85</v>
      </c>
      <c r="BN114" s="119">
        <f t="shared" si="456"/>
        <v>12511.56</v>
      </c>
      <c r="BO114" s="125">
        <f t="shared" si="457"/>
        <v>67981.66</v>
      </c>
      <c r="BP114" s="140">
        <f t="shared" si="60"/>
        <v>237407.61000000002</v>
      </c>
      <c r="BQ114" s="123">
        <f t="shared" si="458"/>
        <v>12302.46</v>
      </c>
      <c r="BR114" s="125">
        <f t="shared" si="459"/>
        <v>249710.07</v>
      </c>
      <c r="BS114" s="122">
        <f t="shared" si="63"/>
        <v>326400.87</v>
      </c>
      <c r="BT114" s="123">
        <f t="shared" ref="BT114:BU114" si="508">SUM(BI114,BM114,BQ114)</f>
        <v>35198.71</v>
      </c>
      <c r="BU114" s="124">
        <f t="shared" si="508"/>
        <v>361599.58</v>
      </c>
      <c r="BV114" s="125">
        <f t="shared" si="461"/>
        <v>175698.8</v>
      </c>
      <c r="BW114" s="122">
        <f t="shared" si="66"/>
        <v>18168.66</v>
      </c>
      <c r="BX114" s="123">
        <f t="shared" si="462"/>
        <v>0</v>
      </c>
      <c r="BY114" s="124">
        <f t="shared" si="463"/>
        <v>18168.66</v>
      </c>
      <c r="BZ114" s="125">
        <f t="shared" si="464"/>
        <v>64399.81</v>
      </c>
      <c r="CA114" s="140"/>
      <c r="CB114" s="123"/>
      <c r="CC114" s="148"/>
      <c r="CD114" s="123">
        <f t="shared" si="465"/>
        <v>583510.25</v>
      </c>
      <c r="CF114" s="126"/>
    </row>
    <row r="115" spans="1:84" ht="13">
      <c r="A115" s="92">
        <f t="shared" si="425"/>
        <v>112013881</v>
      </c>
      <c r="B115" s="172">
        <f t="shared" si="484"/>
        <v>1</v>
      </c>
      <c r="C115" s="137" t="str">
        <f t="shared" si="485"/>
        <v>Lista</v>
      </c>
      <c r="D115" s="137">
        <f t="shared" si="486"/>
        <v>0.09</v>
      </c>
      <c r="E115" s="138">
        <f t="shared" si="487"/>
        <v>0</v>
      </c>
      <c r="F115" s="193">
        <f t="shared" si="504"/>
        <v>1</v>
      </c>
      <c r="G115" s="97" t="str">
        <f t="shared" si="426"/>
        <v>Lista</v>
      </c>
      <c r="H115" s="97">
        <f t="shared" si="427"/>
        <v>0.09</v>
      </c>
      <c r="I115" s="97">
        <f t="shared" si="428"/>
        <v>0</v>
      </c>
      <c r="J115" s="96">
        <f t="shared" si="429"/>
        <v>71</v>
      </c>
      <c r="K115" s="94" t="str">
        <f t="shared" si="430"/>
        <v>Lista</v>
      </c>
      <c r="L115" s="98">
        <f t="shared" si="431"/>
        <v>0.05</v>
      </c>
      <c r="M115" s="139" t="s">
        <v>189</v>
      </c>
      <c r="N115" s="100">
        <f t="shared" si="432"/>
        <v>69794.98</v>
      </c>
      <c r="O115" s="140">
        <f t="shared" si="478"/>
        <v>117328.85112899999</v>
      </c>
      <c r="P115" s="102" t="e">
        <f t="shared" si="13"/>
        <v>#VALUE!</v>
      </c>
      <c r="Q115" s="102" t="str">
        <f t="shared" si="433"/>
        <v/>
      </c>
      <c r="R115" s="102" t="str">
        <f t="shared" si="434"/>
        <v/>
      </c>
      <c r="S115" s="102" t="e">
        <f t="shared" si="16"/>
        <v>#VALUE!</v>
      </c>
      <c r="T115" s="103" t="e">
        <f t="shared" si="17"/>
        <v>#VALUE!</v>
      </c>
      <c r="U115" s="100">
        <f t="shared" si="435"/>
        <v>0</v>
      </c>
      <c r="V115" s="141">
        <f t="shared" si="479"/>
        <v>0</v>
      </c>
      <c r="W115" s="105" t="e">
        <f t="shared" si="19"/>
        <v>#VALUE!</v>
      </c>
      <c r="X115" s="102" t="str">
        <f t="shared" si="436"/>
        <v/>
      </c>
      <c r="Y115" s="106" t="str">
        <f t="shared" si="437"/>
        <v/>
      </c>
      <c r="Z115" s="142" t="e">
        <f t="shared" si="387"/>
        <v>#VALUE!</v>
      </c>
      <c r="AA115" s="143" t="str">
        <f>IFERROR(Y115/V115,"")</f>
        <v/>
      </c>
      <c r="AB115" s="100">
        <f t="shared" si="438"/>
        <v>0</v>
      </c>
      <c r="AC115" s="140">
        <f t="shared" si="468"/>
        <v>0</v>
      </c>
      <c r="AD115" s="102" t="e">
        <f t="shared" si="24"/>
        <v>#VALUE!</v>
      </c>
      <c r="AE115" s="102" t="str">
        <f t="shared" si="439"/>
        <v/>
      </c>
      <c r="AF115" s="102" t="str">
        <f t="shared" si="440"/>
        <v/>
      </c>
      <c r="AG115" s="199" t="e">
        <f t="shared" si="390"/>
        <v>#VALUE!</v>
      </c>
      <c r="AH115" s="158" t="str">
        <f t="shared" si="391"/>
        <v/>
      </c>
      <c r="AI115" s="147">
        <f t="shared" si="469"/>
        <v>117328.85112899999</v>
      </c>
      <c r="AJ115" s="111" t="str">
        <f t="shared" si="441"/>
        <v>0</v>
      </c>
      <c r="AK115" s="102">
        <f t="shared" si="31"/>
        <v>0</v>
      </c>
      <c r="AL115" s="102" t="e">
        <f t="shared" si="32"/>
        <v>#VALUE!</v>
      </c>
      <c r="AM115" s="102" t="e">
        <f t="shared" si="33"/>
        <v>#VALUE!</v>
      </c>
      <c r="AN115" s="102" t="e">
        <f t="shared" si="34"/>
        <v>#VALUE!</v>
      </c>
      <c r="AO115" s="112" t="e">
        <f t="shared" si="35"/>
        <v>#VALUE!</v>
      </c>
      <c r="AP115" s="100">
        <f t="shared" si="442"/>
        <v>108516.05</v>
      </c>
      <c r="AQ115" s="113" t="e">
        <f t="shared" si="37"/>
        <v>#VALUE!</v>
      </c>
      <c r="AR115" s="114" t="str">
        <f t="shared" si="443"/>
        <v/>
      </c>
      <c r="AS115" s="115" t="str">
        <f t="shared" si="444"/>
        <v/>
      </c>
      <c r="AT115" s="100">
        <f t="shared" si="445"/>
        <v>0</v>
      </c>
      <c r="AU115" s="113" t="e">
        <f t="shared" si="41"/>
        <v>#VALUE!</v>
      </c>
      <c r="AV115" s="116" t="str">
        <f t="shared" si="446"/>
        <v/>
      </c>
      <c r="AW115" s="117" t="str">
        <f t="shared" si="447"/>
        <v/>
      </c>
      <c r="AX115" s="100">
        <f t="shared" si="448"/>
        <v>0</v>
      </c>
      <c r="AY115" s="113" t="e">
        <f t="shared" si="45"/>
        <v>#VALUE!</v>
      </c>
      <c r="AZ115" s="114" t="str">
        <f t="shared" si="449"/>
        <v/>
      </c>
      <c r="BA115" s="100" t="str">
        <f t="shared" si="450"/>
        <v/>
      </c>
      <c r="BB115" s="118" t="e">
        <f t="shared" ref="BB115:BD115" si="509">BH115+AY115+AU115</f>
        <v>#VALUE!</v>
      </c>
      <c r="BC115" s="116" t="e">
        <f t="shared" si="509"/>
        <v>#VALUE!</v>
      </c>
      <c r="BD115" s="119" t="e">
        <f t="shared" si="509"/>
        <v>#VALUE!</v>
      </c>
      <c r="BE115" s="118" t="e">
        <f t="shared" si="49"/>
        <v>#VALUE!</v>
      </c>
      <c r="BF115" s="116" t="e">
        <f t="shared" si="50"/>
        <v>#VALUE!</v>
      </c>
      <c r="BG115" s="119" t="e">
        <f t="shared" si="51"/>
        <v>#VALUE!</v>
      </c>
      <c r="BH115" s="114" t="e">
        <f t="shared" si="52"/>
        <v>#VALUE!</v>
      </c>
      <c r="BI115" s="114" t="str">
        <f t="shared" si="452"/>
        <v/>
      </c>
      <c r="BJ115" s="115" t="str">
        <f t="shared" si="453"/>
        <v/>
      </c>
      <c r="BK115" s="125">
        <f t="shared" si="454"/>
        <v>0</v>
      </c>
      <c r="BL115" s="120" t="e">
        <f t="shared" si="56"/>
        <v>#VALUE!</v>
      </c>
      <c r="BM115" s="121" t="str">
        <f t="shared" si="455"/>
        <v/>
      </c>
      <c r="BN115" s="119" t="str">
        <f t="shared" si="456"/>
        <v/>
      </c>
      <c r="BO115" s="125">
        <f t="shared" si="457"/>
        <v>0</v>
      </c>
      <c r="BP115" s="140" t="e">
        <f t="shared" si="60"/>
        <v>#VALUE!</v>
      </c>
      <c r="BQ115" s="123" t="str">
        <f t="shared" si="458"/>
        <v/>
      </c>
      <c r="BR115" s="125" t="str">
        <f t="shared" si="459"/>
        <v/>
      </c>
      <c r="BS115" s="122" t="e">
        <f t="shared" si="63"/>
        <v>#VALUE!</v>
      </c>
      <c r="BT115" s="123">
        <f t="shared" ref="BT115:BU115" si="510">SUM(BI115,BM115,BQ115)</f>
        <v>0</v>
      </c>
      <c r="BU115" s="124">
        <f t="shared" si="510"/>
        <v>0</v>
      </c>
      <c r="BV115" s="125">
        <f t="shared" si="461"/>
        <v>0</v>
      </c>
      <c r="BW115" s="122" t="e">
        <f t="shared" si="66"/>
        <v>#VALUE!</v>
      </c>
      <c r="BX115" s="123" t="str">
        <f t="shared" si="462"/>
        <v/>
      </c>
      <c r="BY115" s="124" t="str">
        <f t="shared" si="463"/>
        <v/>
      </c>
      <c r="BZ115" s="125">
        <f t="shared" si="464"/>
        <v>0</v>
      </c>
      <c r="CA115" s="140"/>
      <c r="CB115" s="123"/>
      <c r="CC115" s="148"/>
      <c r="CD115" s="123">
        <f t="shared" si="465"/>
        <v>0</v>
      </c>
      <c r="CF115" s="149"/>
    </row>
    <row r="116" spans="1:84" ht="13">
      <c r="A116" s="92">
        <f t="shared" si="425"/>
        <v>112012220</v>
      </c>
      <c r="B116" s="172">
        <f t="shared" si="484"/>
        <v>1</v>
      </c>
      <c r="C116" s="137" t="str">
        <f t="shared" si="485"/>
        <v>Lista</v>
      </c>
      <c r="D116" s="137">
        <f t="shared" si="486"/>
        <v>0.09</v>
      </c>
      <c r="E116" s="138">
        <f t="shared" si="487"/>
        <v>0</v>
      </c>
      <c r="F116" s="193">
        <f t="shared" si="504"/>
        <v>1</v>
      </c>
      <c r="G116" s="97" t="str">
        <f t="shared" si="426"/>
        <v>Lista</v>
      </c>
      <c r="H116" s="97">
        <f t="shared" si="427"/>
        <v>0.09</v>
      </c>
      <c r="I116" s="97">
        <f t="shared" si="428"/>
        <v>0</v>
      </c>
      <c r="J116" s="96">
        <f t="shared" si="429"/>
        <v>71</v>
      </c>
      <c r="K116" s="94" t="str">
        <f t="shared" si="430"/>
        <v>Lista</v>
      </c>
      <c r="L116" s="98">
        <f t="shared" si="431"/>
        <v>0.05</v>
      </c>
      <c r="M116" s="139" t="s">
        <v>190</v>
      </c>
      <c r="N116" s="100">
        <f t="shared" si="432"/>
        <v>1087315.8899999999</v>
      </c>
      <c r="O116" s="140">
        <f t="shared" si="478"/>
        <v>1827832.3768845</v>
      </c>
      <c r="P116" s="102">
        <f t="shared" si="13"/>
        <v>2297322.48</v>
      </c>
      <c r="Q116" s="102">
        <f t="shared" si="433"/>
        <v>324737.33</v>
      </c>
      <c r="R116" s="102">
        <f t="shared" si="434"/>
        <v>2622059.81</v>
      </c>
      <c r="S116" s="102">
        <f t="shared" si="16"/>
        <v>794227.43311550003</v>
      </c>
      <c r="T116" s="103">
        <f t="shared" si="17"/>
        <v>1.434518746445034</v>
      </c>
      <c r="U116" s="100">
        <f t="shared" si="435"/>
        <v>1306376.3600000001</v>
      </c>
      <c r="V116" s="141">
        <f t="shared" si="479"/>
        <v>2252846.0328199998</v>
      </c>
      <c r="W116" s="105">
        <f t="shared" si="19"/>
        <v>2019880.86</v>
      </c>
      <c r="X116" s="102">
        <f t="shared" si="436"/>
        <v>183564.95</v>
      </c>
      <c r="Y116" s="106">
        <f t="shared" si="437"/>
        <v>2203445.81</v>
      </c>
      <c r="Z116" s="142">
        <f t="shared" si="387"/>
        <v>-49400.222819999792</v>
      </c>
      <c r="AA116" s="143">
        <f>Y116/V116</f>
        <v>0.97807208211288055</v>
      </c>
      <c r="AB116" s="100">
        <f t="shared" si="438"/>
        <v>999904.25</v>
      </c>
      <c r="AC116" s="140">
        <f t="shared" si="468"/>
        <v>1643207.64780125</v>
      </c>
      <c r="AD116" s="102">
        <f t="shared" si="24"/>
        <v>1464580.06</v>
      </c>
      <c r="AE116" s="102">
        <f t="shared" si="439"/>
        <v>305585.03999999998</v>
      </c>
      <c r="AF116" s="102">
        <f t="shared" si="440"/>
        <v>1770165.1</v>
      </c>
      <c r="AG116" s="199">
        <f t="shared" si="390"/>
        <v>126957.45219875011</v>
      </c>
      <c r="AH116" s="158">
        <f t="shared" si="391"/>
        <v>1.0772619652596127</v>
      </c>
      <c r="AI116" s="147">
        <f t="shared" si="469"/>
        <v>5723886.0575057501</v>
      </c>
      <c r="AJ116" s="111">
        <f t="shared" si="441"/>
        <v>7110399.2999999998</v>
      </c>
      <c r="AK116" s="102">
        <f t="shared" si="31"/>
        <v>813887.32000000007</v>
      </c>
      <c r="AL116" s="102">
        <f t="shared" si="32"/>
        <v>5781783.4000000004</v>
      </c>
      <c r="AM116" s="102">
        <f t="shared" si="33"/>
        <v>6595670.7200000007</v>
      </c>
      <c r="AN116" s="102">
        <f t="shared" si="34"/>
        <v>-514728.57999999914</v>
      </c>
      <c r="AO116" s="112">
        <f t="shared" si="35"/>
        <v>0.92760904721623738</v>
      </c>
      <c r="AP116" s="100">
        <f t="shared" si="442"/>
        <v>2068756.82</v>
      </c>
      <c r="AQ116" s="113">
        <f t="shared" si="37"/>
        <v>1077229.9300000002</v>
      </c>
      <c r="AR116" s="114">
        <f t="shared" si="443"/>
        <v>179874.16</v>
      </c>
      <c r="AS116" s="115">
        <f t="shared" si="444"/>
        <v>1257104.0900000001</v>
      </c>
      <c r="AT116" s="100">
        <f t="shared" si="445"/>
        <v>1073790.54</v>
      </c>
      <c r="AU116" s="113">
        <f t="shared" si="41"/>
        <v>905060.75</v>
      </c>
      <c r="AV116" s="116">
        <f t="shared" si="446"/>
        <v>339592.33</v>
      </c>
      <c r="AW116" s="117">
        <f t="shared" si="447"/>
        <v>1244653.08</v>
      </c>
      <c r="AX116" s="100">
        <f t="shared" si="448"/>
        <v>2557110.86</v>
      </c>
      <c r="AY116" s="113">
        <f t="shared" si="45"/>
        <v>804534.96000000008</v>
      </c>
      <c r="AZ116" s="114">
        <f t="shared" si="449"/>
        <v>380134.36</v>
      </c>
      <c r="BA116" s="100">
        <f t="shared" si="450"/>
        <v>1184669.32</v>
      </c>
      <c r="BB116" s="118">
        <f t="shared" ref="BB116:BD116" si="511">BH116+AY116+AU116</f>
        <v>2526363.4900000002</v>
      </c>
      <c r="BC116" s="116">
        <f t="shared" si="511"/>
        <v>915205.02</v>
      </c>
      <c r="BD116" s="119">
        <f t="shared" si="511"/>
        <v>3441568.5100000002</v>
      </c>
      <c r="BE116" s="118">
        <f t="shared" si="49"/>
        <v>8308146.8900000006</v>
      </c>
      <c r="BF116" s="116">
        <f t="shared" si="50"/>
        <v>1729092.34</v>
      </c>
      <c r="BG116" s="119">
        <f t="shared" si="51"/>
        <v>10037239.23</v>
      </c>
      <c r="BH116" s="114">
        <f t="shared" si="52"/>
        <v>816767.78</v>
      </c>
      <c r="BI116" s="114">
        <f t="shared" si="452"/>
        <v>195478.33</v>
      </c>
      <c r="BJ116" s="115">
        <f t="shared" si="453"/>
        <v>1012246.11</v>
      </c>
      <c r="BK116" s="125">
        <f t="shared" si="454"/>
        <v>2888013.89</v>
      </c>
      <c r="BL116" s="120">
        <f t="shared" si="56"/>
        <v>1076437.48</v>
      </c>
      <c r="BM116" s="121">
        <f t="shared" si="455"/>
        <v>511601.7</v>
      </c>
      <c r="BN116" s="119">
        <f t="shared" si="456"/>
        <v>1588039.18</v>
      </c>
      <c r="BO116" s="125">
        <f t="shared" si="457"/>
        <v>1054325.8</v>
      </c>
      <c r="BP116" s="140">
        <f t="shared" si="60"/>
        <v>918513.88</v>
      </c>
      <c r="BQ116" s="123">
        <f t="shared" si="458"/>
        <v>200657.63</v>
      </c>
      <c r="BR116" s="125">
        <f t="shared" si="459"/>
        <v>1119171.51</v>
      </c>
      <c r="BS116" s="122">
        <f t="shared" si="63"/>
        <v>2811719.14</v>
      </c>
      <c r="BT116" s="123">
        <f t="shared" ref="BT116:BU116" si="512">SUM(BI116,BM116,BQ116)</f>
        <v>907737.66</v>
      </c>
      <c r="BU116" s="124">
        <f t="shared" si="512"/>
        <v>3719456.8</v>
      </c>
      <c r="BV116" s="125">
        <f t="shared" si="461"/>
        <v>1846661.46</v>
      </c>
      <c r="BW116" s="122">
        <f t="shared" si="66"/>
        <v>1627061.86</v>
      </c>
      <c r="BX116" s="123">
        <f t="shared" si="462"/>
        <v>328447.45</v>
      </c>
      <c r="BY116" s="124">
        <f t="shared" si="463"/>
        <v>1955509.31</v>
      </c>
      <c r="BZ116" s="125">
        <f t="shared" si="464"/>
        <v>2372533.9</v>
      </c>
      <c r="CA116" s="140"/>
      <c r="CB116" s="123"/>
      <c r="CC116" s="148"/>
      <c r="CD116" s="123">
        <f t="shared" si="465"/>
        <v>2891203.95</v>
      </c>
      <c r="CF116" s="126"/>
    </row>
    <row r="117" spans="1:84" ht="14">
      <c r="A117" s="92">
        <f t="shared" si="425"/>
        <v>112014358</v>
      </c>
      <c r="B117" s="172">
        <f t="shared" si="484"/>
        <v>1</v>
      </c>
      <c r="C117" s="137" t="str">
        <f t="shared" si="485"/>
        <v>Lista</v>
      </c>
      <c r="D117" s="137">
        <f t="shared" si="486"/>
        <v>0.09</v>
      </c>
      <c r="E117" s="138">
        <f t="shared" si="487"/>
        <v>0</v>
      </c>
      <c r="F117" s="193">
        <f t="shared" si="504"/>
        <v>1</v>
      </c>
      <c r="G117" s="97" t="str">
        <f t="shared" si="426"/>
        <v>Lista</v>
      </c>
      <c r="H117" s="97">
        <f t="shared" si="427"/>
        <v>0.09</v>
      </c>
      <c r="I117" s="97">
        <f t="shared" si="428"/>
        <v>0</v>
      </c>
      <c r="J117" s="96">
        <f t="shared" si="429"/>
        <v>71</v>
      </c>
      <c r="K117" s="94" t="str">
        <f t="shared" si="430"/>
        <v>Lista</v>
      </c>
      <c r="L117" s="98">
        <f t="shared" si="431"/>
        <v>0.05</v>
      </c>
      <c r="M117" s="139" t="s">
        <v>191</v>
      </c>
      <c r="N117" s="100">
        <f t="shared" si="432"/>
        <v>0</v>
      </c>
      <c r="O117" s="140">
        <f t="shared" si="478"/>
        <v>0</v>
      </c>
      <c r="P117" s="102" t="e">
        <f t="shared" si="13"/>
        <v>#VALUE!</v>
      </c>
      <c r="Q117" s="102" t="str">
        <f t="shared" si="433"/>
        <v/>
      </c>
      <c r="R117" s="102">
        <f t="shared" si="434"/>
        <v>423351.44</v>
      </c>
      <c r="S117" s="102">
        <f t="shared" si="16"/>
        <v>423351.44</v>
      </c>
      <c r="T117" s="103" t="e">
        <f t="shared" si="17"/>
        <v>#DIV/0!</v>
      </c>
      <c r="U117" s="100">
        <f t="shared" si="435"/>
        <v>0</v>
      </c>
      <c r="V117" s="141">
        <f t="shared" si="479"/>
        <v>0</v>
      </c>
      <c r="W117" s="105" t="e">
        <f t="shared" si="19"/>
        <v>#VALUE!</v>
      </c>
      <c r="X117" s="102" t="str">
        <f t="shared" si="436"/>
        <v/>
      </c>
      <c r="Y117" s="106">
        <f t="shared" si="437"/>
        <v>231691.99</v>
      </c>
      <c r="Z117" s="142">
        <f t="shared" si="387"/>
        <v>231691.99</v>
      </c>
      <c r="AA117" s="143" t="str">
        <f t="shared" ref="AA117:AA126" si="513">IFERROR(Y117/V117,"")</f>
        <v/>
      </c>
      <c r="AB117" s="100">
        <f t="shared" si="438"/>
        <v>0</v>
      </c>
      <c r="AC117" s="140">
        <f t="shared" si="468"/>
        <v>0</v>
      </c>
      <c r="AD117" s="102" t="e">
        <f t="shared" si="24"/>
        <v>#VALUE!</v>
      </c>
      <c r="AE117" s="102" t="str">
        <f t="shared" si="439"/>
        <v/>
      </c>
      <c r="AF117" s="102">
        <f t="shared" si="440"/>
        <v>470007.99</v>
      </c>
      <c r="AG117" s="199">
        <f t="shared" si="390"/>
        <v>470007.99</v>
      </c>
      <c r="AH117" s="158" t="str">
        <f t="shared" si="391"/>
        <v/>
      </c>
      <c r="AI117" s="147">
        <f t="shared" si="469"/>
        <v>0</v>
      </c>
      <c r="AJ117" s="111">
        <f t="shared" si="441"/>
        <v>1542425.8</v>
      </c>
      <c r="AK117" s="102">
        <f t="shared" si="31"/>
        <v>0</v>
      </c>
      <c r="AL117" s="102" t="e">
        <f t="shared" si="32"/>
        <v>#VALUE!</v>
      </c>
      <c r="AM117" s="102">
        <f t="shared" si="33"/>
        <v>1125051.42</v>
      </c>
      <c r="AN117" s="102">
        <f t="shared" si="34"/>
        <v>-417374.38000000012</v>
      </c>
      <c r="AO117" s="112">
        <f t="shared" si="35"/>
        <v>0.72940391686912909</v>
      </c>
      <c r="AP117" s="100">
        <f t="shared" si="442"/>
        <v>0</v>
      </c>
      <c r="AQ117" s="113" t="e">
        <f t="shared" si="37"/>
        <v>#VALUE!</v>
      </c>
      <c r="AR117" s="114" t="str">
        <f t="shared" si="443"/>
        <v/>
      </c>
      <c r="AS117" s="115">
        <f t="shared" si="444"/>
        <v>388409.64</v>
      </c>
      <c r="AT117" s="100">
        <f t="shared" si="445"/>
        <v>0</v>
      </c>
      <c r="AU117" s="113" t="e">
        <f t="shared" si="41"/>
        <v>#VALUE!</v>
      </c>
      <c r="AV117" s="116" t="str">
        <f t="shared" si="446"/>
        <v/>
      </c>
      <c r="AW117" s="117">
        <f t="shared" si="447"/>
        <v>178562.01</v>
      </c>
      <c r="AX117" s="100">
        <f t="shared" si="448"/>
        <v>0</v>
      </c>
      <c r="AY117" s="113" t="e">
        <f t="shared" si="45"/>
        <v>#VALUE!</v>
      </c>
      <c r="AZ117" s="114" t="str">
        <f t="shared" si="449"/>
        <v/>
      </c>
      <c r="BA117" s="100">
        <f t="shared" si="450"/>
        <v>200588.87</v>
      </c>
      <c r="BB117" s="118" t="e">
        <f t="shared" ref="BB117:BD117" si="514">BH117+AY117+AU117</f>
        <v>#VALUE!</v>
      </c>
      <c r="BC117" s="116" t="e">
        <f t="shared" si="514"/>
        <v>#VALUE!</v>
      </c>
      <c r="BD117" s="119">
        <f t="shared" si="514"/>
        <v>757857.02</v>
      </c>
      <c r="BE117" s="118" t="e">
        <f t="shared" si="49"/>
        <v>#VALUE!</v>
      </c>
      <c r="BF117" s="116" t="e">
        <f t="shared" si="50"/>
        <v>#VALUE!</v>
      </c>
      <c r="BG117" s="119">
        <f t="shared" si="51"/>
        <v>1882908.44</v>
      </c>
      <c r="BH117" s="114" t="e">
        <f t="shared" si="52"/>
        <v>#VALUE!</v>
      </c>
      <c r="BI117" s="114" t="str">
        <f t="shared" si="452"/>
        <v/>
      </c>
      <c r="BJ117" s="115">
        <f t="shared" si="453"/>
        <v>378706.14</v>
      </c>
      <c r="BK117" s="125">
        <f t="shared" si="454"/>
        <v>15848.1</v>
      </c>
      <c r="BL117" s="120" t="e">
        <f t="shared" si="56"/>
        <v>#VALUE!</v>
      </c>
      <c r="BM117" s="121" t="str">
        <f t="shared" si="455"/>
        <v/>
      </c>
      <c r="BN117" s="119">
        <f t="shared" si="456"/>
        <v>250179.58</v>
      </c>
      <c r="BO117" s="125">
        <f t="shared" si="457"/>
        <v>328525.43</v>
      </c>
      <c r="BP117" s="140" t="e">
        <f t="shared" si="60"/>
        <v>#VALUE!</v>
      </c>
      <c r="BQ117" s="123" t="str">
        <f t="shared" si="458"/>
        <v/>
      </c>
      <c r="BR117" s="125">
        <f t="shared" si="459"/>
        <v>363616.05</v>
      </c>
      <c r="BS117" s="122" t="e">
        <f t="shared" si="63"/>
        <v>#VALUE!</v>
      </c>
      <c r="BT117" s="123">
        <f t="shared" ref="BT117:BU117" si="515">SUM(BI117,BM117,BQ117)</f>
        <v>0</v>
      </c>
      <c r="BU117" s="124">
        <f t="shared" si="515"/>
        <v>992501.77</v>
      </c>
      <c r="BV117" s="125">
        <f t="shared" si="461"/>
        <v>579467.18000000005</v>
      </c>
      <c r="BW117" s="122" t="e">
        <f t="shared" si="66"/>
        <v>#VALUE!</v>
      </c>
      <c r="BX117" s="123" t="str">
        <f t="shared" si="462"/>
        <v/>
      </c>
      <c r="BY117" s="124">
        <f t="shared" si="463"/>
        <v>402609.88</v>
      </c>
      <c r="BZ117" s="125">
        <f t="shared" si="464"/>
        <v>540249.52</v>
      </c>
      <c r="CA117" s="140"/>
      <c r="CB117" s="123"/>
      <c r="CC117" s="148"/>
      <c r="CD117" s="123">
        <f t="shared" si="465"/>
        <v>422709.1</v>
      </c>
      <c r="CF117" s="149"/>
    </row>
    <row r="118" spans="1:84" ht="13">
      <c r="A118" s="92">
        <f t="shared" si="425"/>
        <v>112013603</v>
      </c>
      <c r="B118" s="172">
        <f t="shared" si="484"/>
        <v>1</v>
      </c>
      <c r="C118" s="137" t="str">
        <f t="shared" si="485"/>
        <v>Lista</v>
      </c>
      <c r="D118" s="137">
        <f t="shared" si="486"/>
        <v>0.09</v>
      </c>
      <c r="E118" s="138">
        <f t="shared" si="487"/>
        <v>0</v>
      </c>
      <c r="F118" s="193">
        <f t="shared" si="504"/>
        <v>1</v>
      </c>
      <c r="G118" s="97" t="str">
        <f t="shared" si="426"/>
        <v>Lista</v>
      </c>
      <c r="H118" s="97">
        <f t="shared" si="427"/>
        <v>0.09</v>
      </c>
      <c r="I118" s="97">
        <f t="shared" si="428"/>
        <v>0</v>
      </c>
      <c r="J118" s="96">
        <f t="shared" si="429"/>
        <v>71</v>
      </c>
      <c r="K118" s="94" t="str">
        <f t="shared" si="430"/>
        <v>Lista</v>
      </c>
      <c r="L118" s="98">
        <f t="shared" si="431"/>
        <v>0.05</v>
      </c>
      <c r="M118" s="139" t="s">
        <v>192</v>
      </c>
      <c r="N118" s="100">
        <f t="shared" si="432"/>
        <v>55577.27</v>
      </c>
      <c r="O118" s="140">
        <f t="shared" si="478"/>
        <v>93428.169733499992</v>
      </c>
      <c r="P118" s="102" t="e">
        <f t="shared" si="13"/>
        <v>#VALUE!</v>
      </c>
      <c r="Q118" s="102" t="str">
        <f t="shared" si="433"/>
        <v/>
      </c>
      <c r="R118" s="102" t="str">
        <f t="shared" si="434"/>
        <v/>
      </c>
      <c r="S118" s="102" t="e">
        <f t="shared" si="16"/>
        <v>#VALUE!</v>
      </c>
      <c r="T118" s="103" t="e">
        <f t="shared" si="17"/>
        <v>#VALUE!</v>
      </c>
      <c r="U118" s="100">
        <f t="shared" si="435"/>
        <v>0</v>
      </c>
      <c r="V118" s="141">
        <f t="shared" si="479"/>
        <v>0</v>
      </c>
      <c r="W118" s="105" t="e">
        <f t="shared" si="19"/>
        <v>#VALUE!</v>
      </c>
      <c r="X118" s="102" t="str">
        <f t="shared" si="436"/>
        <v/>
      </c>
      <c r="Y118" s="106" t="str">
        <f t="shared" si="437"/>
        <v/>
      </c>
      <c r="Z118" s="142" t="e">
        <f t="shared" si="387"/>
        <v>#VALUE!</v>
      </c>
      <c r="AA118" s="143" t="str">
        <f t="shared" si="513"/>
        <v/>
      </c>
      <c r="AB118" s="100">
        <f t="shared" si="438"/>
        <v>63523.1</v>
      </c>
      <c r="AC118" s="140">
        <f t="shared" si="468"/>
        <v>104391.63923149998</v>
      </c>
      <c r="AD118" s="102" t="e">
        <f t="shared" si="24"/>
        <v>#VALUE!</v>
      </c>
      <c r="AE118" s="102" t="str">
        <f t="shared" si="439"/>
        <v/>
      </c>
      <c r="AF118" s="102" t="str">
        <f t="shared" si="440"/>
        <v/>
      </c>
      <c r="AG118" s="199" t="e">
        <f t="shared" si="390"/>
        <v>#VALUE!</v>
      </c>
      <c r="AH118" s="158" t="str">
        <f t="shared" si="391"/>
        <v/>
      </c>
      <c r="AI118" s="147">
        <f t="shared" si="469"/>
        <v>197819.80896499997</v>
      </c>
      <c r="AJ118" s="111">
        <f t="shared" si="441"/>
        <v>160885.12</v>
      </c>
      <c r="AK118" s="102">
        <f t="shared" si="31"/>
        <v>0</v>
      </c>
      <c r="AL118" s="102" t="e">
        <f t="shared" si="32"/>
        <v>#VALUE!</v>
      </c>
      <c r="AM118" s="102" t="e">
        <f t="shared" si="33"/>
        <v>#VALUE!</v>
      </c>
      <c r="AN118" s="102" t="e">
        <f t="shared" si="34"/>
        <v>#VALUE!</v>
      </c>
      <c r="AO118" s="112" t="e">
        <f t="shared" si="35"/>
        <v>#VALUE!</v>
      </c>
      <c r="AP118" s="100">
        <f t="shared" si="442"/>
        <v>9927.59</v>
      </c>
      <c r="AQ118" s="113" t="e">
        <f t="shared" si="37"/>
        <v>#VALUE!</v>
      </c>
      <c r="AR118" s="114" t="str">
        <f t="shared" si="443"/>
        <v/>
      </c>
      <c r="AS118" s="115" t="str">
        <f t="shared" si="444"/>
        <v/>
      </c>
      <c r="AT118" s="100">
        <f t="shared" si="445"/>
        <v>29163.02</v>
      </c>
      <c r="AU118" s="113" t="e">
        <f t="shared" si="41"/>
        <v>#VALUE!</v>
      </c>
      <c r="AV118" s="116" t="str">
        <f t="shared" si="446"/>
        <v/>
      </c>
      <c r="AW118" s="117" t="str">
        <f t="shared" si="447"/>
        <v/>
      </c>
      <c r="AX118" s="100">
        <f t="shared" si="448"/>
        <v>30999.49</v>
      </c>
      <c r="AY118" s="113" t="e">
        <f t="shared" si="45"/>
        <v>#VALUE!</v>
      </c>
      <c r="AZ118" s="114" t="str">
        <f t="shared" si="449"/>
        <v/>
      </c>
      <c r="BA118" s="100" t="str">
        <f t="shared" si="450"/>
        <v/>
      </c>
      <c r="BB118" s="118" t="e">
        <f t="shared" ref="BB118:BD118" si="516">BH118+AY118+AU118</f>
        <v>#VALUE!</v>
      </c>
      <c r="BC118" s="116" t="e">
        <f t="shared" si="516"/>
        <v>#VALUE!</v>
      </c>
      <c r="BD118" s="119" t="e">
        <f t="shared" si="516"/>
        <v>#VALUE!</v>
      </c>
      <c r="BE118" s="118" t="e">
        <f t="shared" si="49"/>
        <v>#VALUE!</v>
      </c>
      <c r="BF118" s="116" t="e">
        <f t="shared" si="50"/>
        <v>#VALUE!</v>
      </c>
      <c r="BG118" s="119" t="e">
        <f t="shared" si="51"/>
        <v>#VALUE!</v>
      </c>
      <c r="BH118" s="114" t="e">
        <f t="shared" si="52"/>
        <v>#VALUE!</v>
      </c>
      <c r="BI118" s="114" t="str">
        <f t="shared" si="452"/>
        <v/>
      </c>
      <c r="BJ118" s="115" t="str">
        <f t="shared" si="453"/>
        <v/>
      </c>
      <c r="BK118" s="125">
        <f t="shared" si="454"/>
        <v>0</v>
      </c>
      <c r="BL118" s="120" t="e">
        <f t="shared" si="56"/>
        <v>#VALUE!</v>
      </c>
      <c r="BM118" s="121" t="str">
        <f t="shared" si="455"/>
        <v/>
      </c>
      <c r="BN118" s="119" t="str">
        <f t="shared" si="456"/>
        <v/>
      </c>
      <c r="BO118" s="125">
        <f t="shared" si="457"/>
        <v>0</v>
      </c>
      <c r="BP118" s="140" t="e">
        <f t="shared" si="60"/>
        <v>#VALUE!</v>
      </c>
      <c r="BQ118" s="123" t="str">
        <f t="shared" si="458"/>
        <v/>
      </c>
      <c r="BR118" s="125" t="str">
        <f t="shared" si="459"/>
        <v/>
      </c>
      <c r="BS118" s="122" t="e">
        <f t="shared" si="63"/>
        <v>#VALUE!</v>
      </c>
      <c r="BT118" s="123">
        <f t="shared" ref="BT118:BU118" si="517">SUM(BI118,BM118,BQ118)</f>
        <v>0</v>
      </c>
      <c r="BU118" s="124">
        <f t="shared" si="517"/>
        <v>0</v>
      </c>
      <c r="BV118" s="125">
        <f t="shared" si="461"/>
        <v>46531.199999999997</v>
      </c>
      <c r="BW118" s="122" t="e">
        <f t="shared" si="66"/>
        <v>#VALUE!</v>
      </c>
      <c r="BX118" s="123" t="str">
        <f t="shared" si="462"/>
        <v/>
      </c>
      <c r="BY118" s="124" t="str">
        <f t="shared" si="463"/>
        <v/>
      </c>
      <c r="BZ118" s="125">
        <f t="shared" si="464"/>
        <v>65699.3</v>
      </c>
      <c r="CA118" s="140"/>
      <c r="CB118" s="123"/>
      <c r="CC118" s="148"/>
      <c r="CD118" s="123">
        <f t="shared" si="465"/>
        <v>48654.62</v>
      </c>
      <c r="CF118" s="149"/>
    </row>
    <row r="119" spans="1:84" ht="13">
      <c r="A119" s="92">
        <f t="shared" si="425"/>
        <v>112011804</v>
      </c>
      <c r="B119" s="172">
        <f t="shared" si="484"/>
        <v>1</v>
      </c>
      <c r="C119" s="137" t="str">
        <f t="shared" si="485"/>
        <v>Lista</v>
      </c>
      <c r="D119" s="137">
        <f t="shared" si="486"/>
        <v>0.09</v>
      </c>
      <c r="E119" s="138">
        <f t="shared" si="487"/>
        <v>0</v>
      </c>
      <c r="F119" s="193">
        <f t="shared" si="504"/>
        <v>1</v>
      </c>
      <c r="G119" s="97" t="str">
        <f t="shared" si="426"/>
        <v>Lista</v>
      </c>
      <c r="H119" s="97">
        <f t="shared" si="427"/>
        <v>0.09</v>
      </c>
      <c r="I119" s="97">
        <f t="shared" si="428"/>
        <v>0</v>
      </c>
      <c r="J119" s="96">
        <f t="shared" si="429"/>
        <v>71</v>
      </c>
      <c r="K119" s="94" t="str">
        <f t="shared" si="430"/>
        <v>Lista</v>
      </c>
      <c r="L119" s="98">
        <f t="shared" si="431"/>
        <v>0.05</v>
      </c>
      <c r="M119" s="139" t="s">
        <v>193</v>
      </c>
      <c r="N119" s="100">
        <f t="shared" si="432"/>
        <v>213851.35</v>
      </c>
      <c r="O119" s="140">
        <f t="shared" si="478"/>
        <v>359494.81191749999</v>
      </c>
      <c r="P119" s="102" t="e">
        <f t="shared" si="13"/>
        <v>#VALUE!</v>
      </c>
      <c r="Q119" s="102" t="str">
        <f t="shared" si="433"/>
        <v/>
      </c>
      <c r="R119" s="102" t="str">
        <f t="shared" si="434"/>
        <v/>
      </c>
      <c r="S119" s="102" t="e">
        <f t="shared" si="16"/>
        <v>#VALUE!</v>
      </c>
      <c r="T119" s="103" t="e">
        <f t="shared" si="17"/>
        <v>#VALUE!</v>
      </c>
      <c r="U119" s="100">
        <f t="shared" si="435"/>
        <v>0</v>
      </c>
      <c r="V119" s="141">
        <f t="shared" si="479"/>
        <v>0</v>
      </c>
      <c r="W119" s="105" t="e">
        <f t="shared" si="19"/>
        <v>#VALUE!</v>
      </c>
      <c r="X119" s="102" t="str">
        <f t="shared" si="436"/>
        <v/>
      </c>
      <c r="Y119" s="106" t="str">
        <f t="shared" si="437"/>
        <v/>
      </c>
      <c r="Z119" s="142" t="e">
        <f t="shared" si="387"/>
        <v>#VALUE!</v>
      </c>
      <c r="AA119" s="143" t="str">
        <f t="shared" si="513"/>
        <v/>
      </c>
      <c r="AB119" s="100">
        <f t="shared" si="438"/>
        <v>69624.149999999994</v>
      </c>
      <c r="AC119" s="140">
        <f t="shared" si="468"/>
        <v>114417.89126475</v>
      </c>
      <c r="AD119" s="102" t="e">
        <f t="shared" si="24"/>
        <v>#VALUE!</v>
      </c>
      <c r="AE119" s="102" t="str">
        <f t="shared" si="439"/>
        <v/>
      </c>
      <c r="AF119" s="102" t="str">
        <f t="shared" si="440"/>
        <v/>
      </c>
      <c r="AG119" s="199" t="e">
        <f t="shared" si="390"/>
        <v>#VALUE!</v>
      </c>
      <c r="AH119" s="158" t="str">
        <f t="shared" si="391"/>
        <v/>
      </c>
      <c r="AI119" s="147">
        <f t="shared" si="469"/>
        <v>473912.70318224997</v>
      </c>
      <c r="AJ119" s="111">
        <f t="shared" si="441"/>
        <v>37118.400000000001</v>
      </c>
      <c r="AK119" s="102">
        <f t="shared" si="31"/>
        <v>0</v>
      </c>
      <c r="AL119" s="102" t="e">
        <f t="shared" si="32"/>
        <v>#VALUE!</v>
      </c>
      <c r="AM119" s="102" t="e">
        <f t="shared" si="33"/>
        <v>#VALUE!</v>
      </c>
      <c r="AN119" s="102" t="e">
        <f t="shared" si="34"/>
        <v>#VALUE!</v>
      </c>
      <c r="AO119" s="112" t="e">
        <f t="shared" si="35"/>
        <v>#VALUE!</v>
      </c>
      <c r="AP119" s="100">
        <f t="shared" si="442"/>
        <v>110834.15</v>
      </c>
      <c r="AQ119" s="113" t="e">
        <f t="shared" si="37"/>
        <v>#VALUE!</v>
      </c>
      <c r="AR119" s="114" t="str">
        <f t="shared" si="443"/>
        <v/>
      </c>
      <c r="AS119" s="115" t="str">
        <f t="shared" si="444"/>
        <v/>
      </c>
      <c r="AT119" s="100">
        <f t="shared" si="445"/>
        <v>0</v>
      </c>
      <c r="AU119" s="113" t="e">
        <f t="shared" si="41"/>
        <v>#VALUE!</v>
      </c>
      <c r="AV119" s="116" t="str">
        <f t="shared" si="446"/>
        <v/>
      </c>
      <c r="AW119" s="117" t="str">
        <f t="shared" si="447"/>
        <v/>
      </c>
      <c r="AX119" s="100">
        <f t="shared" si="448"/>
        <v>0</v>
      </c>
      <c r="AY119" s="113" t="e">
        <f t="shared" si="45"/>
        <v>#VALUE!</v>
      </c>
      <c r="AZ119" s="114" t="str">
        <f t="shared" si="449"/>
        <v/>
      </c>
      <c r="BA119" s="100" t="str">
        <f t="shared" si="450"/>
        <v/>
      </c>
      <c r="BB119" s="118" t="e">
        <f t="shared" ref="BB119:BD119" si="518">BH119+AY119+AU119</f>
        <v>#VALUE!</v>
      </c>
      <c r="BC119" s="116" t="e">
        <f t="shared" si="518"/>
        <v>#VALUE!</v>
      </c>
      <c r="BD119" s="119" t="e">
        <f t="shared" si="518"/>
        <v>#VALUE!</v>
      </c>
      <c r="BE119" s="118" t="e">
        <f t="shared" si="49"/>
        <v>#VALUE!</v>
      </c>
      <c r="BF119" s="116" t="e">
        <f t="shared" si="50"/>
        <v>#VALUE!</v>
      </c>
      <c r="BG119" s="119" t="e">
        <f t="shared" si="51"/>
        <v>#VALUE!</v>
      </c>
      <c r="BH119" s="114" t="e">
        <f t="shared" si="52"/>
        <v>#VALUE!</v>
      </c>
      <c r="BI119" s="114" t="str">
        <f t="shared" si="452"/>
        <v/>
      </c>
      <c r="BJ119" s="115" t="str">
        <f t="shared" si="453"/>
        <v/>
      </c>
      <c r="BK119" s="125">
        <f t="shared" si="454"/>
        <v>142145.32999999999</v>
      </c>
      <c r="BL119" s="120" t="e">
        <f t="shared" si="56"/>
        <v>#VALUE!</v>
      </c>
      <c r="BM119" s="121" t="str">
        <f t="shared" si="455"/>
        <v/>
      </c>
      <c r="BN119" s="119" t="str">
        <f t="shared" si="456"/>
        <v/>
      </c>
      <c r="BO119" s="125">
        <f t="shared" si="457"/>
        <v>0</v>
      </c>
      <c r="BP119" s="140" t="e">
        <f t="shared" si="60"/>
        <v>#VALUE!</v>
      </c>
      <c r="BQ119" s="123" t="str">
        <f t="shared" si="458"/>
        <v/>
      </c>
      <c r="BR119" s="125" t="str">
        <f t="shared" si="459"/>
        <v/>
      </c>
      <c r="BS119" s="122" t="e">
        <f t="shared" si="63"/>
        <v>#VALUE!</v>
      </c>
      <c r="BT119" s="123">
        <f t="shared" ref="BT119:BU119" si="519">SUM(BI119,BM119,BQ119)</f>
        <v>0</v>
      </c>
      <c r="BU119" s="124">
        <f t="shared" si="519"/>
        <v>0</v>
      </c>
      <c r="BV119" s="125">
        <f t="shared" si="461"/>
        <v>37118.400000000001</v>
      </c>
      <c r="BW119" s="122" t="e">
        <f t="shared" si="66"/>
        <v>#VALUE!</v>
      </c>
      <c r="BX119" s="123" t="str">
        <f t="shared" si="462"/>
        <v/>
      </c>
      <c r="BY119" s="124" t="str">
        <f t="shared" si="463"/>
        <v/>
      </c>
      <c r="BZ119" s="125">
        <f t="shared" si="464"/>
        <v>0</v>
      </c>
      <c r="CA119" s="140"/>
      <c r="CB119" s="123"/>
      <c r="CC119" s="148"/>
      <c r="CD119" s="123">
        <f t="shared" si="465"/>
        <v>0</v>
      </c>
      <c r="CF119" s="149"/>
    </row>
    <row r="120" spans="1:84" ht="14">
      <c r="A120" s="92">
        <f t="shared" si="425"/>
        <v>112013735</v>
      </c>
      <c r="B120" s="172">
        <f t="shared" si="484"/>
        <v>1</v>
      </c>
      <c r="C120" s="137" t="str">
        <f t="shared" si="485"/>
        <v>Lista</v>
      </c>
      <c r="D120" s="137">
        <f t="shared" si="486"/>
        <v>0.09</v>
      </c>
      <c r="E120" s="138">
        <f t="shared" si="487"/>
        <v>0</v>
      </c>
      <c r="F120" s="193">
        <f t="shared" si="504"/>
        <v>1</v>
      </c>
      <c r="G120" s="97" t="str">
        <f t="shared" si="426"/>
        <v>Lista</v>
      </c>
      <c r="H120" s="97">
        <f t="shared" si="427"/>
        <v>0.09</v>
      </c>
      <c r="I120" s="97">
        <f t="shared" si="428"/>
        <v>0</v>
      </c>
      <c r="J120" s="96">
        <f t="shared" si="429"/>
        <v>71</v>
      </c>
      <c r="K120" s="94" t="str">
        <f t="shared" si="430"/>
        <v>Lista</v>
      </c>
      <c r="L120" s="98">
        <f t="shared" si="431"/>
        <v>0.05</v>
      </c>
      <c r="M120" s="139" t="s">
        <v>194</v>
      </c>
      <c r="N120" s="100">
        <f t="shared" si="432"/>
        <v>0</v>
      </c>
      <c r="O120" s="140">
        <f t="shared" si="478"/>
        <v>0</v>
      </c>
      <c r="P120" s="102" t="e">
        <f t="shared" si="13"/>
        <v>#VALUE!</v>
      </c>
      <c r="Q120" s="102" t="str">
        <f t="shared" si="433"/>
        <v/>
      </c>
      <c r="R120" s="102" t="str">
        <f t="shared" si="434"/>
        <v/>
      </c>
      <c r="S120" s="102" t="e">
        <f t="shared" si="16"/>
        <v>#VALUE!</v>
      </c>
      <c r="T120" s="103" t="e">
        <f t="shared" si="17"/>
        <v>#VALUE!</v>
      </c>
      <c r="U120" s="100">
        <f t="shared" si="435"/>
        <v>37112.85</v>
      </c>
      <c r="V120" s="141">
        <f t="shared" si="479"/>
        <v>64001.109824999992</v>
      </c>
      <c r="W120" s="105" t="e">
        <f t="shared" si="19"/>
        <v>#VALUE!</v>
      </c>
      <c r="X120" s="102" t="str">
        <f t="shared" si="436"/>
        <v/>
      </c>
      <c r="Y120" s="106" t="str">
        <f t="shared" si="437"/>
        <v/>
      </c>
      <c r="Z120" s="142" t="e">
        <f t="shared" si="387"/>
        <v>#VALUE!</v>
      </c>
      <c r="AA120" s="143" t="str">
        <f t="shared" si="513"/>
        <v/>
      </c>
      <c r="AB120" s="100">
        <f t="shared" si="438"/>
        <v>0</v>
      </c>
      <c r="AC120" s="140">
        <f t="shared" si="468"/>
        <v>0</v>
      </c>
      <c r="AD120" s="102" t="e">
        <f t="shared" si="24"/>
        <v>#VALUE!</v>
      </c>
      <c r="AE120" s="102" t="str">
        <f t="shared" si="439"/>
        <v/>
      </c>
      <c r="AF120" s="102" t="str">
        <f t="shared" si="440"/>
        <v/>
      </c>
      <c r="AG120" s="199" t="e">
        <f t="shared" si="390"/>
        <v>#VALUE!</v>
      </c>
      <c r="AH120" s="158" t="str">
        <f t="shared" si="391"/>
        <v/>
      </c>
      <c r="AI120" s="147">
        <f t="shared" si="469"/>
        <v>64001.109824999992</v>
      </c>
      <c r="AJ120" s="111" t="str">
        <f t="shared" si="441"/>
        <v>0</v>
      </c>
      <c r="AK120" s="102">
        <f t="shared" si="31"/>
        <v>0</v>
      </c>
      <c r="AL120" s="102" t="e">
        <f t="shared" si="32"/>
        <v>#VALUE!</v>
      </c>
      <c r="AM120" s="102" t="e">
        <f t="shared" si="33"/>
        <v>#VALUE!</v>
      </c>
      <c r="AN120" s="102" t="e">
        <f t="shared" si="34"/>
        <v>#VALUE!</v>
      </c>
      <c r="AO120" s="112" t="e">
        <f t="shared" si="35"/>
        <v>#VALUE!</v>
      </c>
      <c r="AP120" s="100">
        <f t="shared" si="442"/>
        <v>0</v>
      </c>
      <c r="AQ120" s="113" t="e">
        <f t="shared" si="37"/>
        <v>#VALUE!</v>
      </c>
      <c r="AR120" s="114" t="str">
        <f t="shared" si="443"/>
        <v/>
      </c>
      <c r="AS120" s="115" t="str">
        <f t="shared" si="444"/>
        <v/>
      </c>
      <c r="AT120" s="100">
        <f t="shared" si="445"/>
        <v>0</v>
      </c>
      <c r="AU120" s="113" t="e">
        <f t="shared" si="41"/>
        <v>#VALUE!</v>
      </c>
      <c r="AV120" s="116" t="str">
        <f t="shared" si="446"/>
        <v/>
      </c>
      <c r="AW120" s="117" t="str">
        <f t="shared" si="447"/>
        <v/>
      </c>
      <c r="AX120" s="100">
        <f t="shared" si="448"/>
        <v>0</v>
      </c>
      <c r="AY120" s="113" t="e">
        <f t="shared" si="45"/>
        <v>#VALUE!</v>
      </c>
      <c r="AZ120" s="114" t="str">
        <f t="shared" si="449"/>
        <v/>
      </c>
      <c r="BA120" s="100" t="str">
        <f t="shared" si="450"/>
        <v/>
      </c>
      <c r="BB120" s="118" t="e">
        <f t="shared" ref="BB120:BD120" si="520">BH120+AY120+AU120</f>
        <v>#VALUE!</v>
      </c>
      <c r="BC120" s="116" t="e">
        <f t="shared" si="520"/>
        <v>#VALUE!</v>
      </c>
      <c r="BD120" s="119" t="e">
        <f t="shared" si="520"/>
        <v>#VALUE!</v>
      </c>
      <c r="BE120" s="118" t="e">
        <f t="shared" si="49"/>
        <v>#VALUE!</v>
      </c>
      <c r="BF120" s="116" t="e">
        <f t="shared" si="50"/>
        <v>#VALUE!</v>
      </c>
      <c r="BG120" s="119" t="e">
        <f t="shared" si="51"/>
        <v>#VALUE!</v>
      </c>
      <c r="BH120" s="114" t="e">
        <f t="shared" si="52"/>
        <v>#VALUE!</v>
      </c>
      <c r="BI120" s="114" t="str">
        <f t="shared" si="452"/>
        <v/>
      </c>
      <c r="BJ120" s="115" t="str">
        <f t="shared" si="453"/>
        <v/>
      </c>
      <c r="BK120" s="125">
        <f t="shared" si="454"/>
        <v>0</v>
      </c>
      <c r="BL120" s="120" t="e">
        <f t="shared" si="56"/>
        <v>#VALUE!</v>
      </c>
      <c r="BM120" s="121" t="str">
        <f t="shared" si="455"/>
        <v/>
      </c>
      <c r="BN120" s="119" t="str">
        <f t="shared" si="456"/>
        <v/>
      </c>
      <c r="BO120" s="125">
        <f t="shared" si="457"/>
        <v>0</v>
      </c>
      <c r="BP120" s="140" t="e">
        <f t="shared" si="60"/>
        <v>#VALUE!</v>
      </c>
      <c r="BQ120" s="123" t="str">
        <f t="shared" si="458"/>
        <v/>
      </c>
      <c r="BR120" s="125" t="str">
        <f t="shared" si="459"/>
        <v/>
      </c>
      <c r="BS120" s="122" t="e">
        <f t="shared" si="63"/>
        <v>#VALUE!</v>
      </c>
      <c r="BT120" s="123">
        <f t="shared" ref="BT120:BU120" si="521">SUM(BI120,BM120,BQ120)</f>
        <v>0</v>
      </c>
      <c r="BU120" s="124">
        <f t="shared" si="521"/>
        <v>0</v>
      </c>
      <c r="BV120" s="125">
        <f t="shared" si="461"/>
        <v>0</v>
      </c>
      <c r="BW120" s="122" t="e">
        <f t="shared" si="66"/>
        <v>#VALUE!</v>
      </c>
      <c r="BX120" s="123" t="str">
        <f t="shared" si="462"/>
        <v/>
      </c>
      <c r="BY120" s="124" t="str">
        <f t="shared" si="463"/>
        <v/>
      </c>
      <c r="BZ120" s="125">
        <f t="shared" si="464"/>
        <v>0</v>
      </c>
      <c r="CA120" s="140"/>
      <c r="CB120" s="123"/>
      <c r="CC120" s="148"/>
      <c r="CD120" s="123">
        <f t="shared" si="465"/>
        <v>0</v>
      </c>
      <c r="CF120" s="149"/>
    </row>
    <row r="121" spans="1:84" ht="14">
      <c r="A121" s="92">
        <f t="shared" si="425"/>
        <v>112014354</v>
      </c>
      <c r="B121" s="172">
        <f t="shared" si="484"/>
        <v>1</v>
      </c>
      <c r="C121" s="137" t="str">
        <f t="shared" si="485"/>
        <v>Lista</v>
      </c>
      <c r="D121" s="137">
        <f t="shared" si="486"/>
        <v>0.09</v>
      </c>
      <c r="E121" s="138">
        <f t="shared" si="487"/>
        <v>0</v>
      </c>
      <c r="F121" s="193">
        <f t="shared" si="504"/>
        <v>1</v>
      </c>
      <c r="G121" s="97" t="str">
        <f t="shared" si="426"/>
        <v>Lista</v>
      </c>
      <c r="H121" s="97">
        <f t="shared" si="427"/>
        <v>0.09</v>
      </c>
      <c r="I121" s="97">
        <f t="shared" si="428"/>
        <v>0</v>
      </c>
      <c r="J121" s="96">
        <f t="shared" si="429"/>
        <v>71</v>
      </c>
      <c r="K121" s="94" t="str">
        <f t="shared" si="430"/>
        <v>Lista</v>
      </c>
      <c r="L121" s="98">
        <f t="shared" si="431"/>
        <v>0.05</v>
      </c>
      <c r="M121" s="139" t="s">
        <v>195</v>
      </c>
      <c r="N121" s="100" t="str">
        <f t="shared" si="432"/>
        <v/>
      </c>
      <c r="O121" s="140" t="e">
        <f t="shared" si="478"/>
        <v>#VALUE!</v>
      </c>
      <c r="P121" s="102" t="e">
        <f t="shared" si="13"/>
        <v>#VALUE!</v>
      </c>
      <c r="Q121" s="102" t="str">
        <f t="shared" si="433"/>
        <v/>
      </c>
      <c r="R121" s="102" t="str">
        <f t="shared" si="434"/>
        <v/>
      </c>
      <c r="S121" s="102" t="e">
        <f t="shared" si="16"/>
        <v>#VALUE!</v>
      </c>
      <c r="T121" s="103" t="e">
        <f t="shared" si="17"/>
        <v>#VALUE!</v>
      </c>
      <c r="U121" s="100" t="str">
        <f t="shared" si="435"/>
        <v/>
      </c>
      <c r="V121" s="141" t="e">
        <f t="shared" si="479"/>
        <v>#VALUE!</v>
      </c>
      <c r="W121" s="105" t="e">
        <f t="shared" si="19"/>
        <v>#VALUE!</v>
      </c>
      <c r="X121" s="102" t="str">
        <f t="shared" si="436"/>
        <v/>
      </c>
      <c r="Y121" s="106" t="str">
        <f t="shared" si="437"/>
        <v/>
      </c>
      <c r="Z121" s="142" t="e">
        <f t="shared" si="387"/>
        <v>#VALUE!</v>
      </c>
      <c r="AA121" s="143" t="str">
        <f t="shared" si="513"/>
        <v/>
      </c>
      <c r="AB121" s="100" t="str">
        <f t="shared" si="438"/>
        <v/>
      </c>
      <c r="AC121" s="140" t="e">
        <f t="shared" si="468"/>
        <v>#VALUE!</v>
      </c>
      <c r="AD121" s="102" t="e">
        <f t="shared" si="24"/>
        <v>#VALUE!</v>
      </c>
      <c r="AE121" s="102" t="str">
        <f t="shared" si="439"/>
        <v/>
      </c>
      <c r="AF121" s="102" t="str">
        <f t="shared" si="440"/>
        <v/>
      </c>
      <c r="AG121" s="199" t="e">
        <f t="shared" si="390"/>
        <v>#VALUE!</v>
      </c>
      <c r="AH121" s="158" t="str">
        <f t="shared" si="391"/>
        <v/>
      </c>
      <c r="AI121" s="147" t="e">
        <f t="shared" si="469"/>
        <v>#VALUE!</v>
      </c>
      <c r="AJ121" s="111" t="str">
        <f t="shared" si="441"/>
        <v>0</v>
      </c>
      <c r="AK121" s="102">
        <f t="shared" si="31"/>
        <v>0</v>
      </c>
      <c r="AL121" s="102" t="e">
        <f t="shared" si="32"/>
        <v>#VALUE!</v>
      </c>
      <c r="AM121" s="102" t="e">
        <f t="shared" si="33"/>
        <v>#VALUE!</v>
      </c>
      <c r="AN121" s="102" t="e">
        <f t="shared" si="34"/>
        <v>#VALUE!</v>
      </c>
      <c r="AO121" s="112" t="e">
        <f t="shared" si="35"/>
        <v>#VALUE!</v>
      </c>
      <c r="AP121" s="100" t="str">
        <f t="shared" si="442"/>
        <v/>
      </c>
      <c r="AQ121" s="113" t="e">
        <f t="shared" si="37"/>
        <v>#VALUE!</v>
      </c>
      <c r="AR121" s="114" t="str">
        <f t="shared" si="443"/>
        <v/>
      </c>
      <c r="AS121" s="115" t="str">
        <f t="shared" si="444"/>
        <v/>
      </c>
      <c r="AT121" s="100" t="str">
        <f t="shared" si="445"/>
        <v/>
      </c>
      <c r="AU121" s="113" t="e">
        <f t="shared" si="41"/>
        <v>#VALUE!</v>
      </c>
      <c r="AV121" s="116" t="str">
        <f t="shared" si="446"/>
        <v/>
      </c>
      <c r="AW121" s="117" t="str">
        <f t="shared" si="447"/>
        <v/>
      </c>
      <c r="AX121" s="100" t="str">
        <f t="shared" si="448"/>
        <v/>
      </c>
      <c r="AY121" s="113" t="e">
        <f t="shared" si="45"/>
        <v>#VALUE!</v>
      </c>
      <c r="AZ121" s="114" t="str">
        <f t="shared" si="449"/>
        <v/>
      </c>
      <c r="BA121" s="100" t="str">
        <f t="shared" si="450"/>
        <v/>
      </c>
      <c r="BB121" s="118" t="e">
        <f t="shared" ref="BB121:BD121" si="522">BH121+AY121+AU121</f>
        <v>#VALUE!</v>
      </c>
      <c r="BC121" s="116" t="e">
        <f t="shared" si="522"/>
        <v>#VALUE!</v>
      </c>
      <c r="BD121" s="119" t="e">
        <f t="shared" si="522"/>
        <v>#VALUE!</v>
      </c>
      <c r="BE121" s="118" t="e">
        <f t="shared" si="49"/>
        <v>#VALUE!</v>
      </c>
      <c r="BF121" s="116" t="e">
        <f t="shared" si="50"/>
        <v>#VALUE!</v>
      </c>
      <c r="BG121" s="119" t="e">
        <f t="shared" si="51"/>
        <v>#VALUE!</v>
      </c>
      <c r="BH121" s="114" t="e">
        <f t="shared" si="52"/>
        <v>#VALUE!</v>
      </c>
      <c r="BI121" s="114" t="str">
        <f t="shared" si="452"/>
        <v/>
      </c>
      <c r="BJ121" s="115" t="str">
        <f t="shared" si="453"/>
        <v/>
      </c>
      <c r="BK121" s="125" t="str">
        <f t="shared" si="454"/>
        <v/>
      </c>
      <c r="BL121" s="120" t="e">
        <f t="shared" si="56"/>
        <v>#VALUE!</v>
      </c>
      <c r="BM121" s="121" t="str">
        <f t="shared" si="455"/>
        <v/>
      </c>
      <c r="BN121" s="119" t="str">
        <f t="shared" si="456"/>
        <v/>
      </c>
      <c r="BO121" s="125" t="str">
        <f t="shared" si="457"/>
        <v/>
      </c>
      <c r="BP121" s="140" t="e">
        <f t="shared" si="60"/>
        <v>#VALUE!</v>
      </c>
      <c r="BQ121" s="123" t="str">
        <f t="shared" si="458"/>
        <v/>
      </c>
      <c r="BR121" s="125" t="str">
        <f t="shared" si="459"/>
        <v/>
      </c>
      <c r="BS121" s="122" t="e">
        <f t="shared" si="63"/>
        <v>#VALUE!</v>
      </c>
      <c r="BT121" s="123">
        <f t="shared" ref="BT121:BU121" si="523">SUM(BI121,BM121,BQ121)</f>
        <v>0</v>
      </c>
      <c r="BU121" s="124">
        <f t="shared" si="523"/>
        <v>0</v>
      </c>
      <c r="BV121" s="125" t="str">
        <f t="shared" si="461"/>
        <v/>
      </c>
      <c r="BW121" s="122" t="e">
        <f t="shared" si="66"/>
        <v>#VALUE!</v>
      </c>
      <c r="BX121" s="123" t="str">
        <f t="shared" si="462"/>
        <v/>
      </c>
      <c r="BY121" s="124" t="str">
        <f t="shared" si="463"/>
        <v/>
      </c>
      <c r="BZ121" s="125" t="str">
        <f t="shared" si="464"/>
        <v/>
      </c>
      <c r="CA121" s="140"/>
      <c r="CB121" s="123"/>
      <c r="CC121" s="148"/>
      <c r="CD121" s="123" t="str">
        <f t="shared" si="465"/>
        <v/>
      </c>
      <c r="CF121" s="149"/>
    </row>
    <row r="122" spans="1:84" ht="13">
      <c r="A122" s="92">
        <f t="shared" si="425"/>
        <v>112013878</v>
      </c>
      <c r="B122" s="172">
        <f t="shared" si="484"/>
        <v>1</v>
      </c>
      <c r="C122" s="137" t="str">
        <f t="shared" si="485"/>
        <v>Lista</v>
      </c>
      <c r="D122" s="137">
        <f t="shared" si="486"/>
        <v>0.09</v>
      </c>
      <c r="E122" s="138">
        <f t="shared" si="487"/>
        <v>0</v>
      </c>
      <c r="F122" s="193">
        <f t="shared" si="504"/>
        <v>1</v>
      </c>
      <c r="G122" s="97" t="str">
        <f t="shared" si="426"/>
        <v>Lista</v>
      </c>
      <c r="H122" s="97">
        <f t="shared" si="427"/>
        <v>0.09</v>
      </c>
      <c r="I122" s="97">
        <f t="shared" si="428"/>
        <v>0</v>
      </c>
      <c r="J122" s="96">
        <f t="shared" si="429"/>
        <v>71</v>
      </c>
      <c r="K122" s="94" t="str">
        <f t="shared" si="430"/>
        <v>Lista</v>
      </c>
      <c r="L122" s="98">
        <f t="shared" si="431"/>
        <v>0.05</v>
      </c>
      <c r="M122" s="139" t="s">
        <v>196</v>
      </c>
      <c r="N122" s="100">
        <f t="shared" si="432"/>
        <v>38381.11</v>
      </c>
      <c r="O122" s="140">
        <f t="shared" si="478"/>
        <v>64520.564965500002</v>
      </c>
      <c r="P122" s="102">
        <f t="shared" si="13"/>
        <v>0</v>
      </c>
      <c r="Q122" s="102">
        <f t="shared" si="433"/>
        <v>79660.98</v>
      </c>
      <c r="R122" s="102">
        <f t="shared" si="434"/>
        <v>79660.98</v>
      </c>
      <c r="S122" s="102">
        <f t="shared" si="16"/>
        <v>15140.415034499994</v>
      </c>
      <c r="T122" s="103">
        <f t="shared" si="17"/>
        <v>1.2346602985047601</v>
      </c>
      <c r="U122" s="100">
        <f t="shared" si="435"/>
        <v>25305.43</v>
      </c>
      <c r="V122" s="141">
        <f t="shared" si="479"/>
        <v>43639.214034999997</v>
      </c>
      <c r="W122" s="105">
        <f t="shared" si="19"/>
        <v>0</v>
      </c>
      <c r="X122" s="102">
        <f t="shared" si="436"/>
        <v>0</v>
      </c>
      <c r="Y122" s="106">
        <f t="shared" si="437"/>
        <v>0</v>
      </c>
      <c r="Z122" s="142">
        <f t="shared" si="387"/>
        <v>-43639.214034999997</v>
      </c>
      <c r="AA122" s="143">
        <f t="shared" si="513"/>
        <v>0</v>
      </c>
      <c r="AB122" s="100">
        <f t="shared" si="438"/>
        <v>75673.3</v>
      </c>
      <c r="AC122" s="140">
        <f t="shared" si="468"/>
        <v>124358.85265449999</v>
      </c>
      <c r="AD122" s="102">
        <f t="shared" si="24"/>
        <v>0</v>
      </c>
      <c r="AE122" s="102">
        <f t="shared" si="439"/>
        <v>84845.39</v>
      </c>
      <c r="AF122" s="102">
        <f t="shared" si="440"/>
        <v>84845.39</v>
      </c>
      <c r="AG122" s="199">
        <f t="shared" si="390"/>
        <v>-39513.462654499992</v>
      </c>
      <c r="AH122" s="158">
        <f t="shared" si="391"/>
        <v>0.68226256666842788</v>
      </c>
      <c r="AI122" s="147">
        <f t="shared" si="469"/>
        <v>232518.63165499998</v>
      </c>
      <c r="AJ122" s="111">
        <f t="shared" si="441"/>
        <v>142524.9</v>
      </c>
      <c r="AK122" s="102">
        <f t="shared" si="31"/>
        <v>164506.37</v>
      </c>
      <c r="AL122" s="102">
        <f t="shared" si="32"/>
        <v>0</v>
      </c>
      <c r="AM122" s="102">
        <f t="shared" si="33"/>
        <v>164506.37</v>
      </c>
      <c r="AN122" s="102">
        <f t="shared" si="34"/>
        <v>21981.47</v>
      </c>
      <c r="AO122" s="112">
        <f t="shared" si="35"/>
        <v>1.1542289803395758</v>
      </c>
      <c r="AP122" s="100">
        <f t="shared" si="442"/>
        <v>92491.49</v>
      </c>
      <c r="AQ122" s="113">
        <f t="shared" si="37"/>
        <v>0</v>
      </c>
      <c r="AR122" s="114">
        <f t="shared" si="443"/>
        <v>62919.63</v>
      </c>
      <c r="AS122" s="115">
        <f t="shared" si="444"/>
        <v>62919.63</v>
      </c>
      <c r="AT122" s="100">
        <f t="shared" si="445"/>
        <v>25046.25</v>
      </c>
      <c r="AU122" s="113">
        <f t="shared" si="41"/>
        <v>0</v>
      </c>
      <c r="AV122" s="116">
        <f t="shared" si="446"/>
        <v>64378.64</v>
      </c>
      <c r="AW122" s="117">
        <f t="shared" si="447"/>
        <v>64378.64</v>
      </c>
      <c r="AX122" s="100">
        <f t="shared" si="448"/>
        <v>41696.14</v>
      </c>
      <c r="AY122" s="113">
        <f t="shared" si="45"/>
        <v>0</v>
      </c>
      <c r="AZ122" s="114">
        <f t="shared" si="449"/>
        <v>33739.160000000003</v>
      </c>
      <c r="BA122" s="100">
        <f t="shared" si="450"/>
        <v>33739.160000000003</v>
      </c>
      <c r="BB122" s="118">
        <f t="shared" ref="BB122:BD122" si="524">BH122+AY122+AU122</f>
        <v>0</v>
      </c>
      <c r="BC122" s="116">
        <f t="shared" si="524"/>
        <v>184105.66</v>
      </c>
      <c r="BD122" s="119">
        <f t="shared" si="524"/>
        <v>184105.66</v>
      </c>
      <c r="BE122" s="118">
        <f t="shared" si="49"/>
        <v>0</v>
      </c>
      <c r="BF122" s="116">
        <f t="shared" si="50"/>
        <v>348612.03</v>
      </c>
      <c r="BG122" s="119">
        <f t="shared" si="51"/>
        <v>348612.03</v>
      </c>
      <c r="BH122" s="114">
        <f t="shared" si="52"/>
        <v>0</v>
      </c>
      <c r="BI122" s="114">
        <f t="shared" si="452"/>
        <v>85987.86</v>
      </c>
      <c r="BJ122" s="115">
        <f t="shared" si="453"/>
        <v>85987.86</v>
      </c>
      <c r="BK122" s="125">
        <f t="shared" si="454"/>
        <v>68074.320000000007</v>
      </c>
      <c r="BL122" s="120">
        <f t="shared" si="56"/>
        <v>0</v>
      </c>
      <c r="BM122" s="121">
        <f t="shared" si="455"/>
        <v>71256.08</v>
      </c>
      <c r="BN122" s="119">
        <f t="shared" si="456"/>
        <v>71256.08</v>
      </c>
      <c r="BO122" s="125">
        <f t="shared" si="457"/>
        <v>52111.43</v>
      </c>
      <c r="BP122" s="140">
        <f t="shared" si="60"/>
        <v>0</v>
      </c>
      <c r="BQ122" s="123">
        <f t="shared" si="458"/>
        <v>59776.23</v>
      </c>
      <c r="BR122" s="125">
        <f t="shared" si="459"/>
        <v>59776.23</v>
      </c>
      <c r="BS122" s="122">
        <f t="shared" si="63"/>
        <v>0</v>
      </c>
      <c r="BT122" s="123">
        <f t="shared" ref="BT122:BU122" si="525">SUM(BI122,BM122,BQ122)</f>
        <v>217020.17</v>
      </c>
      <c r="BU122" s="124">
        <f t="shared" si="525"/>
        <v>217020.17</v>
      </c>
      <c r="BV122" s="125">
        <f t="shared" si="461"/>
        <v>27550.82</v>
      </c>
      <c r="BW122" s="122">
        <f t="shared" si="66"/>
        <v>0</v>
      </c>
      <c r="BX122" s="123">
        <f t="shared" si="462"/>
        <v>36438.269999999997</v>
      </c>
      <c r="BY122" s="124">
        <f t="shared" si="463"/>
        <v>36438.269999999997</v>
      </c>
      <c r="BZ122" s="125">
        <f t="shared" si="464"/>
        <v>30030.39</v>
      </c>
      <c r="CA122" s="140"/>
      <c r="CB122" s="123"/>
      <c r="CC122" s="148"/>
      <c r="CD122" s="123">
        <f t="shared" si="465"/>
        <v>84943.69</v>
      </c>
      <c r="CF122" s="149"/>
    </row>
    <row r="123" spans="1:84" ht="13">
      <c r="A123" s="92">
        <f t="shared" si="425"/>
        <v>112013913</v>
      </c>
      <c r="B123" s="172">
        <f t="shared" si="484"/>
        <v>1</v>
      </c>
      <c r="C123" s="137" t="str">
        <f t="shared" si="485"/>
        <v>Lista</v>
      </c>
      <c r="D123" s="137">
        <f t="shared" si="486"/>
        <v>0.09</v>
      </c>
      <c r="E123" s="138">
        <f t="shared" si="487"/>
        <v>0</v>
      </c>
      <c r="F123" s="193">
        <f t="shared" si="504"/>
        <v>1</v>
      </c>
      <c r="G123" s="97" t="str">
        <f t="shared" si="426"/>
        <v>Lista</v>
      </c>
      <c r="H123" s="97">
        <f t="shared" si="427"/>
        <v>0.09</v>
      </c>
      <c r="I123" s="97">
        <f t="shared" si="428"/>
        <v>0</v>
      </c>
      <c r="J123" s="96">
        <f t="shared" si="429"/>
        <v>71</v>
      </c>
      <c r="K123" s="94" t="str">
        <f t="shared" si="430"/>
        <v>Lista</v>
      </c>
      <c r="L123" s="98">
        <f t="shared" si="431"/>
        <v>0.05</v>
      </c>
      <c r="M123" s="139" t="s">
        <v>197</v>
      </c>
      <c r="N123" s="100">
        <f t="shared" si="432"/>
        <v>388790.03</v>
      </c>
      <c r="O123" s="140">
        <f t="shared" si="478"/>
        <v>653575.47993150004</v>
      </c>
      <c r="P123" s="102" t="e">
        <f t="shared" si="13"/>
        <v>#VALUE!</v>
      </c>
      <c r="Q123" s="102" t="str">
        <f t="shared" si="433"/>
        <v/>
      </c>
      <c r="R123" s="102">
        <f t="shared" si="434"/>
        <v>869005.42</v>
      </c>
      <c r="S123" s="102">
        <f t="shared" si="16"/>
        <v>215429.9400685</v>
      </c>
      <c r="T123" s="103">
        <f t="shared" si="17"/>
        <v>1.3296175371987315</v>
      </c>
      <c r="U123" s="100">
        <f t="shared" si="435"/>
        <v>284939.61</v>
      </c>
      <c r="V123" s="141">
        <f t="shared" si="479"/>
        <v>491378.35744499997</v>
      </c>
      <c r="W123" s="105" t="e">
        <f t="shared" si="19"/>
        <v>#VALUE!</v>
      </c>
      <c r="X123" s="102" t="str">
        <f t="shared" si="436"/>
        <v/>
      </c>
      <c r="Y123" s="106">
        <f t="shared" si="437"/>
        <v>375292.74</v>
      </c>
      <c r="Z123" s="142">
        <f t="shared" si="387"/>
        <v>-116085.61744499998</v>
      </c>
      <c r="AA123" s="143">
        <f t="shared" si="513"/>
        <v>0.76375512741626306</v>
      </c>
      <c r="AB123" s="100">
        <f t="shared" si="438"/>
        <v>184715.19</v>
      </c>
      <c r="AC123" s="140">
        <f t="shared" si="468"/>
        <v>303554.47821435001</v>
      </c>
      <c r="AD123" s="102" t="e">
        <f t="shared" si="24"/>
        <v>#VALUE!</v>
      </c>
      <c r="AE123" s="102" t="str">
        <f t="shared" si="439"/>
        <v/>
      </c>
      <c r="AF123" s="102">
        <f t="shared" si="440"/>
        <v>176230.21</v>
      </c>
      <c r="AG123" s="199">
        <f t="shared" si="390"/>
        <v>-127324.26821435001</v>
      </c>
      <c r="AH123" s="158">
        <f t="shared" si="391"/>
        <v>0.58055546087367527</v>
      </c>
      <c r="AI123" s="147">
        <f t="shared" si="469"/>
        <v>1448508.3155908501</v>
      </c>
      <c r="AJ123" s="111">
        <f t="shared" si="441"/>
        <v>1238473.6100000001</v>
      </c>
      <c r="AK123" s="102">
        <f t="shared" si="31"/>
        <v>0</v>
      </c>
      <c r="AL123" s="102" t="e">
        <f t="shared" si="32"/>
        <v>#VALUE!</v>
      </c>
      <c r="AM123" s="102">
        <f t="shared" si="33"/>
        <v>1420528.37</v>
      </c>
      <c r="AN123" s="102">
        <f t="shared" si="34"/>
        <v>182054.76</v>
      </c>
      <c r="AO123" s="112">
        <f t="shared" si="35"/>
        <v>1.146999305055842</v>
      </c>
      <c r="AP123" s="100">
        <f t="shared" si="442"/>
        <v>287191</v>
      </c>
      <c r="AQ123" s="113" t="e">
        <f t="shared" si="37"/>
        <v>#VALUE!</v>
      </c>
      <c r="AR123" s="114" t="str">
        <f t="shared" si="443"/>
        <v/>
      </c>
      <c r="AS123" s="115">
        <f t="shared" si="444"/>
        <v>681060.64</v>
      </c>
      <c r="AT123" s="100">
        <f t="shared" si="445"/>
        <v>347691.61</v>
      </c>
      <c r="AU123" s="113" t="e">
        <f t="shared" si="41"/>
        <v>#VALUE!</v>
      </c>
      <c r="AV123" s="116" t="str">
        <f t="shared" si="446"/>
        <v/>
      </c>
      <c r="AW123" s="117">
        <f t="shared" si="447"/>
        <v>394859.37</v>
      </c>
      <c r="AX123" s="100">
        <f t="shared" si="448"/>
        <v>326748.96000000002</v>
      </c>
      <c r="AY123" s="113" t="e">
        <f t="shared" si="45"/>
        <v>#VALUE!</v>
      </c>
      <c r="AZ123" s="114" t="str">
        <f t="shared" si="449"/>
        <v/>
      </c>
      <c r="BA123" s="100">
        <f t="shared" si="450"/>
        <v>462442.75</v>
      </c>
      <c r="BB123" s="118" t="e">
        <f t="shared" ref="BB123:BD123" si="526">BH123+AY123+AU123</f>
        <v>#VALUE!</v>
      </c>
      <c r="BC123" s="116" t="e">
        <f t="shared" si="526"/>
        <v>#VALUE!</v>
      </c>
      <c r="BD123" s="119">
        <f t="shared" si="526"/>
        <v>1024164.29</v>
      </c>
      <c r="BE123" s="118" t="e">
        <f t="shared" si="49"/>
        <v>#VALUE!</v>
      </c>
      <c r="BF123" s="116" t="e">
        <f t="shared" si="50"/>
        <v>#VALUE!</v>
      </c>
      <c r="BG123" s="119">
        <f t="shared" si="51"/>
        <v>2444692.66</v>
      </c>
      <c r="BH123" s="114" t="e">
        <f t="shared" si="52"/>
        <v>#VALUE!</v>
      </c>
      <c r="BI123" s="114" t="str">
        <f t="shared" si="452"/>
        <v/>
      </c>
      <c r="BJ123" s="115">
        <f t="shared" si="453"/>
        <v>166862.17000000001</v>
      </c>
      <c r="BK123" s="125">
        <f t="shared" si="454"/>
        <v>356054.01</v>
      </c>
      <c r="BL123" s="120" t="e">
        <f t="shared" si="56"/>
        <v>#VALUE!</v>
      </c>
      <c r="BM123" s="121" t="str">
        <f t="shared" si="455"/>
        <v/>
      </c>
      <c r="BN123" s="119">
        <f t="shared" si="456"/>
        <v>561431.18000000005</v>
      </c>
      <c r="BO123" s="125">
        <f t="shared" si="457"/>
        <v>441221.14</v>
      </c>
      <c r="BP123" s="140" t="e">
        <f t="shared" si="60"/>
        <v>#VALUE!</v>
      </c>
      <c r="BQ123" s="123" t="str">
        <f t="shared" si="458"/>
        <v/>
      </c>
      <c r="BR123" s="125">
        <f t="shared" si="459"/>
        <v>533626.68999999994</v>
      </c>
      <c r="BS123" s="122" t="e">
        <f t="shared" si="63"/>
        <v>#VALUE!</v>
      </c>
      <c r="BT123" s="123">
        <f t="shared" ref="BT123:BU123" si="527">SUM(BI123,BM123,BQ123)</f>
        <v>0</v>
      </c>
      <c r="BU123" s="124">
        <f t="shared" si="527"/>
        <v>1261920.04</v>
      </c>
      <c r="BV123" s="125">
        <f t="shared" si="461"/>
        <v>632813.77</v>
      </c>
      <c r="BW123" s="122" t="e">
        <f t="shared" si="66"/>
        <v>#VALUE!</v>
      </c>
      <c r="BX123" s="123" t="str">
        <f t="shared" si="462"/>
        <v/>
      </c>
      <c r="BY123" s="124">
        <f t="shared" si="463"/>
        <v>365564.44</v>
      </c>
      <c r="BZ123" s="125">
        <f t="shared" si="464"/>
        <v>271767.48</v>
      </c>
      <c r="CA123" s="140"/>
      <c r="CB123" s="123"/>
      <c r="CC123" s="148"/>
      <c r="CD123" s="123">
        <f t="shared" si="465"/>
        <v>333892.36</v>
      </c>
      <c r="CF123" s="149"/>
    </row>
    <row r="124" spans="1:84" ht="14">
      <c r="A124" s="92">
        <f t="shared" si="425"/>
        <v>112010909</v>
      </c>
      <c r="B124" s="172">
        <f t="shared" si="484"/>
        <v>1</v>
      </c>
      <c r="C124" s="137" t="str">
        <f t="shared" si="485"/>
        <v>Lista</v>
      </c>
      <c r="D124" s="137">
        <f t="shared" si="486"/>
        <v>0.09</v>
      </c>
      <c r="E124" s="138">
        <f t="shared" si="487"/>
        <v>0</v>
      </c>
      <c r="F124" s="193">
        <f t="shared" si="504"/>
        <v>1</v>
      </c>
      <c r="G124" s="97" t="str">
        <f t="shared" si="426"/>
        <v>Lista</v>
      </c>
      <c r="H124" s="97">
        <f t="shared" si="427"/>
        <v>0.09</v>
      </c>
      <c r="I124" s="97">
        <f t="shared" si="428"/>
        <v>0</v>
      </c>
      <c r="J124" s="96">
        <f t="shared" si="429"/>
        <v>71</v>
      </c>
      <c r="K124" s="94" t="str">
        <f t="shared" si="430"/>
        <v>Lista</v>
      </c>
      <c r="L124" s="98">
        <f t="shared" si="431"/>
        <v>0.05</v>
      </c>
      <c r="M124" s="139" t="s">
        <v>198</v>
      </c>
      <c r="N124" s="100" t="str">
        <f t="shared" si="432"/>
        <v/>
      </c>
      <c r="O124" s="140" t="e">
        <f t="shared" si="478"/>
        <v>#VALUE!</v>
      </c>
      <c r="P124" s="102">
        <f t="shared" si="13"/>
        <v>0</v>
      </c>
      <c r="Q124" s="102">
        <f t="shared" si="433"/>
        <v>0</v>
      </c>
      <c r="R124" s="102">
        <f t="shared" si="434"/>
        <v>0</v>
      </c>
      <c r="S124" s="102" t="e">
        <f t="shared" si="16"/>
        <v>#VALUE!</v>
      </c>
      <c r="T124" s="103" t="e">
        <f t="shared" si="17"/>
        <v>#VALUE!</v>
      </c>
      <c r="U124" s="100" t="str">
        <f t="shared" si="435"/>
        <v/>
      </c>
      <c r="V124" s="141" t="e">
        <f t="shared" si="479"/>
        <v>#VALUE!</v>
      </c>
      <c r="W124" s="105">
        <f t="shared" si="19"/>
        <v>0</v>
      </c>
      <c r="X124" s="102">
        <f t="shared" si="436"/>
        <v>0</v>
      </c>
      <c r="Y124" s="106">
        <f t="shared" si="437"/>
        <v>0</v>
      </c>
      <c r="Z124" s="142" t="e">
        <f t="shared" si="387"/>
        <v>#VALUE!</v>
      </c>
      <c r="AA124" s="143" t="str">
        <f t="shared" si="513"/>
        <v/>
      </c>
      <c r="AB124" s="100" t="str">
        <f t="shared" si="438"/>
        <v/>
      </c>
      <c r="AC124" s="140" t="e">
        <f t="shared" si="468"/>
        <v>#VALUE!</v>
      </c>
      <c r="AD124" s="102">
        <f t="shared" si="24"/>
        <v>0</v>
      </c>
      <c r="AE124" s="102">
        <f t="shared" si="439"/>
        <v>0</v>
      </c>
      <c r="AF124" s="102">
        <f t="shared" si="440"/>
        <v>0</v>
      </c>
      <c r="AG124" s="199" t="e">
        <f t="shared" si="390"/>
        <v>#VALUE!</v>
      </c>
      <c r="AH124" s="158" t="str">
        <f t="shared" si="391"/>
        <v/>
      </c>
      <c r="AI124" s="147" t="e">
        <f t="shared" si="469"/>
        <v>#VALUE!</v>
      </c>
      <c r="AJ124" s="111" t="str">
        <f t="shared" si="441"/>
        <v>0</v>
      </c>
      <c r="AK124" s="102">
        <f t="shared" si="31"/>
        <v>0</v>
      </c>
      <c r="AL124" s="102">
        <f t="shared" si="32"/>
        <v>0</v>
      </c>
      <c r="AM124" s="102">
        <f t="shared" si="33"/>
        <v>0</v>
      </c>
      <c r="AN124" s="102">
        <f t="shared" si="34"/>
        <v>0</v>
      </c>
      <c r="AO124" s="112" t="e">
        <f t="shared" si="35"/>
        <v>#DIV/0!</v>
      </c>
      <c r="AP124" s="100" t="str">
        <f t="shared" si="442"/>
        <v/>
      </c>
      <c r="AQ124" s="113">
        <f t="shared" si="37"/>
        <v>0</v>
      </c>
      <c r="AR124" s="114">
        <f t="shared" si="443"/>
        <v>0</v>
      </c>
      <c r="AS124" s="115">
        <f t="shared" si="444"/>
        <v>0</v>
      </c>
      <c r="AT124" s="100" t="str">
        <f t="shared" si="445"/>
        <v/>
      </c>
      <c r="AU124" s="113">
        <f t="shared" si="41"/>
        <v>0</v>
      </c>
      <c r="AV124" s="116">
        <f t="shared" si="446"/>
        <v>0</v>
      </c>
      <c r="AW124" s="117">
        <f t="shared" si="447"/>
        <v>0</v>
      </c>
      <c r="AX124" s="100" t="str">
        <f t="shared" si="448"/>
        <v/>
      </c>
      <c r="AY124" s="113">
        <f t="shared" si="45"/>
        <v>459402.14</v>
      </c>
      <c r="AZ124" s="114">
        <f t="shared" si="449"/>
        <v>0</v>
      </c>
      <c r="BA124" s="100">
        <f t="shared" si="450"/>
        <v>459402.14</v>
      </c>
      <c r="BB124" s="118">
        <f t="shared" ref="BB124:BD124" si="528">BH124+AY124+AU124</f>
        <v>586908.98</v>
      </c>
      <c r="BC124" s="116">
        <f t="shared" si="528"/>
        <v>31057.599999999999</v>
      </c>
      <c r="BD124" s="119">
        <f t="shared" si="528"/>
        <v>617966.58000000007</v>
      </c>
      <c r="BE124" s="118">
        <f t="shared" si="49"/>
        <v>586908.98</v>
      </c>
      <c r="BF124" s="116">
        <f t="shared" si="50"/>
        <v>31057.599999999999</v>
      </c>
      <c r="BG124" s="119">
        <f t="shared" si="51"/>
        <v>617966.58000000007</v>
      </c>
      <c r="BH124" s="114">
        <f t="shared" si="52"/>
        <v>127506.84</v>
      </c>
      <c r="BI124" s="114">
        <f t="shared" si="452"/>
        <v>31057.599999999999</v>
      </c>
      <c r="BJ124" s="115">
        <f t="shared" si="453"/>
        <v>158564.44</v>
      </c>
      <c r="BK124" s="125" t="str">
        <f t="shared" si="454"/>
        <v/>
      </c>
      <c r="BL124" s="120">
        <f t="shared" si="56"/>
        <v>408709.94</v>
      </c>
      <c r="BM124" s="121">
        <f t="shared" si="455"/>
        <v>0</v>
      </c>
      <c r="BN124" s="119">
        <f t="shared" si="456"/>
        <v>408709.94</v>
      </c>
      <c r="BO124" s="125" t="str">
        <f t="shared" si="457"/>
        <v/>
      </c>
      <c r="BP124" s="140">
        <f t="shared" si="60"/>
        <v>571459.03</v>
      </c>
      <c r="BQ124" s="123">
        <f t="shared" si="458"/>
        <v>0</v>
      </c>
      <c r="BR124" s="125">
        <f t="shared" si="459"/>
        <v>571459.03</v>
      </c>
      <c r="BS124" s="122">
        <f t="shared" si="63"/>
        <v>1107675.81</v>
      </c>
      <c r="BT124" s="123">
        <f t="shared" ref="BT124:BU124" si="529">SUM(BI124,BM124,BQ124)</f>
        <v>31057.599999999999</v>
      </c>
      <c r="BU124" s="124">
        <f t="shared" si="529"/>
        <v>1138733.4100000001</v>
      </c>
      <c r="BV124" s="125" t="str">
        <f t="shared" si="461"/>
        <v/>
      </c>
      <c r="BW124" s="122">
        <f t="shared" si="66"/>
        <v>1238714.74</v>
      </c>
      <c r="BX124" s="123">
        <f t="shared" si="462"/>
        <v>0</v>
      </c>
      <c r="BY124" s="124">
        <f t="shared" si="463"/>
        <v>1238714.74</v>
      </c>
      <c r="BZ124" s="125" t="str">
        <f t="shared" si="464"/>
        <v/>
      </c>
      <c r="CA124" s="140"/>
      <c r="CB124" s="123"/>
      <c r="CC124" s="148"/>
      <c r="CD124" s="123" t="str">
        <f t="shared" si="465"/>
        <v/>
      </c>
      <c r="CF124" s="149"/>
    </row>
    <row r="125" spans="1:84" ht="13">
      <c r="A125" s="92">
        <f t="shared" si="425"/>
        <v>112013883</v>
      </c>
      <c r="B125" s="172">
        <f t="shared" si="484"/>
        <v>1</v>
      </c>
      <c r="C125" s="137" t="str">
        <f t="shared" si="485"/>
        <v>Lista</v>
      </c>
      <c r="D125" s="137">
        <f t="shared" si="486"/>
        <v>0.09</v>
      </c>
      <c r="E125" s="138">
        <f t="shared" si="487"/>
        <v>0</v>
      </c>
      <c r="F125" s="193">
        <f t="shared" si="504"/>
        <v>1</v>
      </c>
      <c r="G125" s="97" t="str">
        <f t="shared" si="426"/>
        <v>Lista</v>
      </c>
      <c r="H125" s="97">
        <f t="shared" si="427"/>
        <v>0.09</v>
      </c>
      <c r="I125" s="97">
        <f t="shared" si="428"/>
        <v>0</v>
      </c>
      <c r="J125" s="96">
        <f t="shared" si="429"/>
        <v>71</v>
      </c>
      <c r="K125" s="94" t="str">
        <f t="shared" si="430"/>
        <v>Lista</v>
      </c>
      <c r="L125" s="98">
        <f t="shared" si="431"/>
        <v>0.05</v>
      </c>
      <c r="M125" s="139" t="s">
        <v>199</v>
      </c>
      <c r="N125" s="100">
        <f t="shared" si="432"/>
        <v>426619.8</v>
      </c>
      <c r="O125" s="140">
        <f t="shared" si="478"/>
        <v>717169.21479</v>
      </c>
      <c r="P125" s="102">
        <f t="shared" si="13"/>
        <v>718424.18</v>
      </c>
      <c r="Q125" s="102">
        <f t="shared" si="433"/>
        <v>0</v>
      </c>
      <c r="R125" s="102">
        <f t="shared" si="434"/>
        <v>718424.18</v>
      </c>
      <c r="S125" s="102">
        <f t="shared" si="16"/>
        <v>1254.965210000053</v>
      </c>
      <c r="T125" s="103">
        <f t="shared" si="17"/>
        <v>1.0017498871732351</v>
      </c>
      <c r="U125" s="100">
        <f t="shared" si="435"/>
        <v>141225.91</v>
      </c>
      <c r="V125" s="141">
        <f t="shared" si="479"/>
        <v>243544.08179500001</v>
      </c>
      <c r="W125" s="105">
        <f t="shared" si="19"/>
        <v>399545.72000000003</v>
      </c>
      <c r="X125" s="102">
        <f t="shared" si="436"/>
        <v>307186.71000000002</v>
      </c>
      <c r="Y125" s="106">
        <f t="shared" si="437"/>
        <v>706732.43</v>
      </c>
      <c r="Z125" s="142">
        <f t="shared" si="387"/>
        <v>463188.34820500005</v>
      </c>
      <c r="AA125" s="143">
        <f t="shared" si="513"/>
        <v>2.9018665729470801</v>
      </c>
      <c r="AB125" s="100">
        <f t="shared" si="438"/>
        <v>0</v>
      </c>
      <c r="AC125" s="140">
        <f t="shared" si="468"/>
        <v>0</v>
      </c>
      <c r="AD125" s="102">
        <f t="shared" si="24"/>
        <v>111856.27000000002</v>
      </c>
      <c r="AE125" s="102">
        <f t="shared" si="439"/>
        <v>61740.62</v>
      </c>
      <c r="AF125" s="102">
        <f t="shared" si="440"/>
        <v>173596.89</v>
      </c>
      <c r="AG125" s="199">
        <f t="shared" si="390"/>
        <v>173596.89</v>
      </c>
      <c r="AH125" s="158" t="str">
        <f t="shared" si="391"/>
        <v/>
      </c>
      <c r="AI125" s="147">
        <f t="shared" si="469"/>
        <v>960713.296585</v>
      </c>
      <c r="AJ125" s="111">
        <f t="shared" si="441"/>
        <v>1885882.19</v>
      </c>
      <c r="AK125" s="102">
        <f t="shared" si="31"/>
        <v>368927.33</v>
      </c>
      <c r="AL125" s="102">
        <f t="shared" si="32"/>
        <v>1229826.1700000002</v>
      </c>
      <c r="AM125" s="102">
        <f t="shared" si="33"/>
        <v>1598753.5</v>
      </c>
      <c r="AN125" s="102">
        <f t="shared" si="34"/>
        <v>-287128.68999999994</v>
      </c>
      <c r="AO125" s="112">
        <f t="shared" si="35"/>
        <v>0.84774834211674699</v>
      </c>
      <c r="AP125" s="100">
        <f t="shared" si="442"/>
        <v>0</v>
      </c>
      <c r="AQ125" s="113">
        <f t="shared" si="37"/>
        <v>539393.22</v>
      </c>
      <c r="AR125" s="114">
        <f t="shared" si="443"/>
        <v>0</v>
      </c>
      <c r="AS125" s="115">
        <f t="shared" si="444"/>
        <v>539393.22</v>
      </c>
      <c r="AT125" s="100">
        <f t="shared" si="445"/>
        <v>536046.93999999994</v>
      </c>
      <c r="AU125" s="113">
        <f t="shared" si="41"/>
        <v>725925.75</v>
      </c>
      <c r="AV125" s="116">
        <f t="shared" si="446"/>
        <v>48875.7</v>
      </c>
      <c r="AW125" s="117">
        <f t="shared" si="447"/>
        <v>774801.45</v>
      </c>
      <c r="AX125" s="100">
        <f t="shared" si="448"/>
        <v>262582.99</v>
      </c>
      <c r="AY125" s="113">
        <f t="shared" si="45"/>
        <v>227685.51</v>
      </c>
      <c r="AZ125" s="114">
        <f t="shared" si="449"/>
        <v>0</v>
      </c>
      <c r="BA125" s="100">
        <f t="shared" si="450"/>
        <v>227685.51</v>
      </c>
      <c r="BB125" s="118">
        <f t="shared" ref="BB125:BD125" si="530">BH125+AY125+AU125</f>
        <v>1693384.2</v>
      </c>
      <c r="BC125" s="116">
        <f t="shared" si="530"/>
        <v>48875.7</v>
      </c>
      <c r="BD125" s="119">
        <f t="shared" si="530"/>
        <v>1742259.9</v>
      </c>
      <c r="BE125" s="118">
        <f t="shared" si="49"/>
        <v>2923210.37</v>
      </c>
      <c r="BF125" s="116">
        <f t="shared" si="50"/>
        <v>417803.03</v>
      </c>
      <c r="BG125" s="119">
        <f t="shared" si="51"/>
        <v>3341013.4</v>
      </c>
      <c r="BH125" s="114">
        <f t="shared" si="52"/>
        <v>739772.94</v>
      </c>
      <c r="BI125" s="114">
        <f t="shared" si="452"/>
        <v>0</v>
      </c>
      <c r="BJ125" s="115">
        <f t="shared" si="453"/>
        <v>739772.94</v>
      </c>
      <c r="BK125" s="125">
        <f t="shared" si="454"/>
        <v>571071.06000000006</v>
      </c>
      <c r="BL125" s="120">
        <f t="shared" si="56"/>
        <v>349486.81</v>
      </c>
      <c r="BM125" s="121">
        <f t="shared" si="455"/>
        <v>31057.599999999999</v>
      </c>
      <c r="BN125" s="119">
        <f t="shared" si="456"/>
        <v>380544.41</v>
      </c>
      <c r="BO125" s="125">
        <f t="shared" si="457"/>
        <v>352818.36</v>
      </c>
      <c r="BP125" s="140">
        <f t="shared" si="60"/>
        <v>755082.76</v>
      </c>
      <c r="BQ125" s="123">
        <f t="shared" si="458"/>
        <v>0</v>
      </c>
      <c r="BR125" s="125">
        <f t="shared" si="459"/>
        <v>755082.76</v>
      </c>
      <c r="BS125" s="122">
        <f t="shared" si="63"/>
        <v>1844342.51</v>
      </c>
      <c r="BT125" s="123">
        <f t="shared" ref="BT125:BU125" si="531">SUM(BI125,BM125,BQ125)</f>
        <v>31057.599999999999</v>
      </c>
      <c r="BU125" s="124">
        <f t="shared" si="531"/>
        <v>1875400.1099999999</v>
      </c>
      <c r="BV125" s="125">
        <f t="shared" si="461"/>
        <v>563678.30000000005</v>
      </c>
      <c r="BW125" s="122">
        <f t="shared" si="66"/>
        <v>935137.09</v>
      </c>
      <c r="BX125" s="123">
        <f t="shared" si="462"/>
        <v>0</v>
      </c>
      <c r="BY125" s="124">
        <f t="shared" si="463"/>
        <v>935137.09</v>
      </c>
      <c r="BZ125" s="125">
        <f t="shared" si="464"/>
        <v>750061.55</v>
      </c>
      <c r="CA125" s="140"/>
      <c r="CB125" s="123"/>
      <c r="CC125" s="148"/>
      <c r="CD125" s="123">
        <f t="shared" si="465"/>
        <v>572142.34</v>
      </c>
      <c r="CF125" s="149"/>
    </row>
    <row r="126" spans="1:84" ht="13">
      <c r="A126" s="92">
        <f t="shared" si="425"/>
        <v>112012238</v>
      </c>
      <c r="B126" s="172">
        <f t="shared" si="484"/>
        <v>1</v>
      </c>
      <c r="C126" s="137" t="str">
        <f t="shared" si="485"/>
        <v>Lista</v>
      </c>
      <c r="D126" s="137">
        <f t="shared" si="486"/>
        <v>0.09</v>
      </c>
      <c r="E126" s="138">
        <f t="shared" si="487"/>
        <v>0</v>
      </c>
      <c r="F126" s="193">
        <f t="shared" si="504"/>
        <v>1</v>
      </c>
      <c r="G126" s="97" t="str">
        <f t="shared" si="426"/>
        <v>Lista</v>
      </c>
      <c r="H126" s="97">
        <f t="shared" si="427"/>
        <v>0.09</v>
      </c>
      <c r="I126" s="97">
        <f t="shared" si="428"/>
        <v>0</v>
      </c>
      <c r="J126" s="96">
        <f t="shared" si="429"/>
        <v>71</v>
      </c>
      <c r="K126" s="94" t="str">
        <f t="shared" si="430"/>
        <v>Lista</v>
      </c>
      <c r="L126" s="98">
        <f t="shared" si="431"/>
        <v>0.05</v>
      </c>
      <c r="M126" s="139" t="s">
        <v>200</v>
      </c>
      <c r="N126" s="100">
        <f t="shared" si="432"/>
        <v>42306</v>
      </c>
      <c r="O126" s="140">
        <f t="shared" si="478"/>
        <v>71118.501300000004</v>
      </c>
      <c r="P126" s="102" t="e">
        <f t="shared" si="13"/>
        <v>#VALUE!</v>
      </c>
      <c r="Q126" s="102" t="str">
        <f t="shared" si="433"/>
        <v/>
      </c>
      <c r="R126" s="102">
        <f t="shared" si="434"/>
        <v>576965.02</v>
      </c>
      <c r="S126" s="102">
        <f t="shared" si="16"/>
        <v>505846.51870000002</v>
      </c>
      <c r="T126" s="103">
        <f t="shared" si="17"/>
        <v>8.1127274823492375</v>
      </c>
      <c r="U126" s="100">
        <f t="shared" si="435"/>
        <v>43810.36</v>
      </c>
      <c r="V126" s="141">
        <f t="shared" si="479"/>
        <v>75550.965819999998</v>
      </c>
      <c r="W126" s="105" t="e">
        <f t="shared" si="19"/>
        <v>#VALUE!</v>
      </c>
      <c r="X126" s="102" t="str">
        <f t="shared" si="436"/>
        <v/>
      </c>
      <c r="Y126" s="106">
        <f t="shared" si="437"/>
        <v>320740.46000000002</v>
      </c>
      <c r="Z126" s="142">
        <f t="shared" si="387"/>
        <v>245189.49418000004</v>
      </c>
      <c r="AA126" s="143">
        <f t="shared" si="513"/>
        <v>4.2453522138176689</v>
      </c>
      <c r="AB126" s="100">
        <f t="shared" si="438"/>
        <v>0</v>
      </c>
      <c r="AC126" s="140">
        <f t="shared" si="468"/>
        <v>0</v>
      </c>
      <c r="AD126" s="102" t="e">
        <f t="shared" si="24"/>
        <v>#VALUE!</v>
      </c>
      <c r="AE126" s="102" t="str">
        <f t="shared" si="439"/>
        <v/>
      </c>
      <c r="AF126" s="102">
        <f t="shared" si="440"/>
        <v>522461.52</v>
      </c>
      <c r="AG126" s="199">
        <f t="shared" si="390"/>
        <v>522461.52</v>
      </c>
      <c r="AH126" s="158" t="str">
        <f t="shared" si="391"/>
        <v/>
      </c>
      <c r="AI126" s="147">
        <f t="shared" si="469"/>
        <v>146669.46711999999</v>
      </c>
      <c r="AJ126" s="111">
        <f t="shared" si="441"/>
        <v>619263.97</v>
      </c>
      <c r="AK126" s="102">
        <f t="shared" si="31"/>
        <v>0</v>
      </c>
      <c r="AL126" s="102" t="e">
        <f t="shared" si="32"/>
        <v>#VALUE!</v>
      </c>
      <c r="AM126" s="102">
        <f t="shared" si="33"/>
        <v>1420167</v>
      </c>
      <c r="AN126" s="102">
        <f t="shared" si="34"/>
        <v>800903.03</v>
      </c>
      <c r="AO126" s="112">
        <f t="shared" si="35"/>
        <v>2.2933144326158681</v>
      </c>
      <c r="AP126" s="100">
        <f t="shared" si="442"/>
        <v>51658.22</v>
      </c>
      <c r="AQ126" s="113" t="e">
        <f t="shared" si="37"/>
        <v>#VALUE!</v>
      </c>
      <c r="AR126" s="114" t="str">
        <f t="shared" si="443"/>
        <v/>
      </c>
      <c r="AS126" s="115">
        <f t="shared" si="444"/>
        <v>490968.34</v>
      </c>
      <c r="AT126" s="100">
        <f t="shared" si="445"/>
        <v>62081.94</v>
      </c>
      <c r="AU126" s="113" t="e">
        <f t="shared" si="41"/>
        <v>#VALUE!</v>
      </c>
      <c r="AV126" s="116" t="str">
        <f t="shared" si="446"/>
        <v/>
      </c>
      <c r="AW126" s="117">
        <f t="shared" si="447"/>
        <v>138611.15</v>
      </c>
      <c r="AX126" s="100">
        <f t="shared" si="448"/>
        <v>129050.34</v>
      </c>
      <c r="AY126" s="113" t="e">
        <f t="shared" si="45"/>
        <v>#VALUE!</v>
      </c>
      <c r="AZ126" s="114" t="str">
        <f t="shared" si="449"/>
        <v/>
      </c>
      <c r="BA126" s="100">
        <f t="shared" si="450"/>
        <v>175784.97</v>
      </c>
      <c r="BB126" s="118" t="e">
        <f t="shared" ref="BB126:BD126" si="532">BH126+AY126+AU126</f>
        <v>#VALUE!</v>
      </c>
      <c r="BC126" s="116" t="e">
        <f t="shared" si="532"/>
        <v>#VALUE!</v>
      </c>
      <c r="BD126" s="119">
        <f t="shared" si="532"/>
        <v>689778.96000000008</v>
      </c>
      <c r="BE126" s="118" t="e">
        <f t="shared" si="49"/>
        <v>#VALUE!</v>
      </c>
      <c r="BF126" s="116" t="e">
        <f t="shared" si="50"/>
        <v>#VALUE!</v>
      </c>
      <c r="BG126" s="119">
        <f t="shared" si="51"/>
        <v>2109945.96</v>
      </c>
      <c r="BH126" s="114" t="e">
        <f t="shared" si="52"/>
        <v>#VALUE!</v>
      </c>
      <c r="BI126" s="114" t="str">
        <f t="shared" si="452"/>
        <v/>
      </c>
      <c r="BJ126" s="115">
        <f t="shared" si="453"/>
        <v>375382.84</v>
      </c>
      <c r="BK126" s="125">
        <f t="shared" si="454"/>
        <v>150009.70000000001</v>
      </c>
      <c r="BL126" s="120" t="e">
        <f t="shared" si="56"/>
        <v>#VALUE!</v>
      </c>
      <c r="BM126" s="121" t="str">
        <f t="shared" si="455"/>
        <v/>
      </c>
      <c r="BN126" s="119">
        <f t="shared" si="456"/>
        <v>378462</v>
      </c>
      <c r="BO126" s="125">
        <f t="shared" si="457"/>
        <v>221664.49</v>
      </c>
      <c r="BP126" s="140" t="e">
        <f t="shared" si="60"/>
        <v>#VALUE!</v>
      </c>
      <c r="BQ126" s="123" t="str">
        <f t="shared" si="458"/>
        <v/>
      </c>
      <c r="BR126" s="125">
        <f t="shared" si="459"/>
        <v>530490.74</v>
      </c>
      <c r="BS126" s="122" t="e">
        <f t="shared" si="63"/>
        <v>#VALUE!</v>
      </c>
      <c r="BT126" s="123">
        <f t="shared" ref="BT126:BU126" si="533">SUM(BI126,BM126,BQ126)</f>
        <v>0</v>
      </c>
      <c r="BU126" s="124">
        <f t="shared" si="533"/>
        <v>1284335.58</v>
      </c>
      <c r="BV126" s="125">
        <f t="shared" si="461"/>
        <v>355215.56</v>
      </c>
      <c r="BW126" s="122" t="e">
        <f t="shared" si="66"/>
        <v>#VALUE!</v>
      </c>
      <c r="BX126" s="123" t="str">
        <f t="shared" si="462"/>
        <v/>
      </c>
      <c r="BY126" s="124">
        <f t="shared" si="463"/>
        <v>1045218.3</v>
      </c>
      <c r="BZ126" s="125">
        <f t="shared" si="464"/>
        <v>147785.09</v>
      </c>
      <c r="CA126" s="140"/>
      <c r="CB126" s="123"/>
      <c r="CC126" s="148"/>
      <c r="CD126" s="123">
        <f t="shared" si="465"/>
        <v>116263.31</v>
      </c>
      <c r="CF126" s="149"/>
    </row>
    <row r="127" spans="1:84" ht="14">
      <c r="A127" s="92">
        <f t="shared" si="425"/>
        <v>112012197</v>
      </c>
      <c r="B127" s="172">
        <f t="shared" si="484"/>
        <v>1</v>
      </c>
      <c r="C127" s="137" t="str">
        <f t="shared" si="485"/>
        <v>Lista</v>
      </c>
      <c r="D127" s="137">
        <f t="shared" si="486"/>
        <v>0.09</v>
      </c>
      <c r="E127" s="138">
        <f t="shared" si="487"/>
        <v>0</v>
      </c>
      <c r="F127" s="193">
        <f t="shared" si="504"/>
        <v>1</v>
      </c>
      <c r="G127" s="97" t="str">
        <f t="shared" si="426"/>
        <v>Lista</v>
      </c>
      <c r="H127" s="97">
        <f t="shared" si="427"/>
        <v>0.09</v>
      </c>
      <c r="I127" s="97">
        <f t="shared" si="428"/>
        <v>0</v>
      </c>
      <c r="J127" s="96">
        <f t="shared" si="429"/>
        <v>71</v>
      </c>
      <c r="K127" s="94" t="str">
        <f t="shared" si="430"/>
        <v>Lista</v>
      </c>
      <c r="L127" s="98">
        <f t="shared" si="431"/>
        <v>0.05</v>
      </c>
      <c r="M127" s="255" t="s">
        <v>201</v>
      </c>
      <c r="N127" s="100">
        <f t="shared" si="432"/>
        <v>0</v>
      </c>
      <c r="O127" s="140"/>
      <c r="P127" s="102" t="e">
        <f t="shared" si="13"/>
        <v>#VALUE!</v>
      </c>
      <c r="Q127" s="102" t="str">
        <f t="shared" si="433"/>
        <v/>
      </c>
      <c r="R127" s="102" t="str">
        <f t="shared" si="434"/>
        <v/>
      </c>
      <c r="S127" s="102" t="e">
        <f t="shared" si="16"/>
        <v>#VALUE!</v>
      </c>
      <c r="T127" s="103" t="e">
        <f t="shared" si="17"/>
        <v>#VALUE!</v>
      </c>
      <c r="U127" s="100">
        <f t="shared" si="435"/>
        <v>0</v>
      </c>
      <c r="V127" s="141"/>
      <c r="W127" s="105" t="e">
        <f t="shared" si="19"/>
        <v>#VALUE!</v>
      </c>
      <c r="X127" s="102" t="str">
        <f t="shared" si="436"/>
        <v/>
      </c>
      <c r="Y127" s="106" t="str">
        <f t="shared" si="437"/>
        <v/>
      </c>
      <c r="Z127" s="142"/>
      <c r="AA127" s="143"/>
      <c r="AB127" s="100">
        <f t="shared" si="438"/>
        <v>0</v>
      </c>
      <c r="AC127" s="140"/>
      <c r="AD127" s="102" t="e">
        <f t="shared" si="24"/>
        <v>#VALUE!</v>
      </c>
      <c r="AE127" s="102" t="str">
        <f t="shared" si="439"/>
        <v/>
      </c>
      <c r="AF127" s="102" t="str">
        <f t="shared" si="440"/>
        <v/>
      </c>
      <c r="AG127" s="199"/>
      <c r="AH127" s="158" t="str">
        <f t="shared" si="391"/>
        <v/>
      </c>
      <c r="AI127" s="147"/>
      <c r="AJ127" s="111">
        <f t="shared" si="441"/>
        <v>356154.73</v>
      </c>
      <c r="AK127" s="102">
        <f t="shared" si="31"/>
        <v>0</v>
      </c>
      <c r="AL127" s="102" t="e">
        <f t="shared" si="32"/>
        <v>#VALUE!</v>
      </c>
      <c r="AM127" s="102" t="e">
        <f t="shared" si="33"/>
        <v>#VALUE!</v>
      </c>
      <c r="AN127" s="102" t="e">
        <f t="shared" si="34"/>
        <v>#VALUE!</v>
      </c>
      <c r="AO127" s="112" t="e">
        <f t="shared" si="35"/>
        <v>#VALUE!</v>
      </c>
      <c r="AP127" s="100">
        <f t="shared" si="442"/>
        <v>225277.29</v>
      </c>
      <c r="AQ127" s="113" t="e">
        <f t="shared" si="37"/>
        <v>#VALUE!</v>
      </c>
      <c r="AR127" s="114" t="str">
        <f t="shared" si="443"/>
        <v/>
      </c>
      <c r="AS127" s="115" t="str">
        <f t="shared" si="444"/>
        <v/>
      </c>
      <c r="AT127" s="100">
        <f t="shared" si="445"/>
        <v>205657.82</v>
      </c>
      <c r="AU127" s="113" t="e">
        <f t="shared" si="41"/>
        <v>#VALUE!</v>
      </c>
      <c r="AV127" s="116" t="str">
        <f t="shared" si="446"/>
        <v/>
      </c>
      <c r="AW127" s="117" t="str">
        <f t="shared" si="447"/>
        <v/>
      </c>
      <c r="AX127" s="100">
        <f t="shared" si="448"/>
        <v>181028.44</v>
      </c>
      <c r="AY127" s="113" t="e">
        <f t="shared" si="45"/>
        <v>#VALUE!</v>
      </c>
      <c r="AZ127" s="114" t="str">
        <f t="shared" si="449"/>
        <v/>
      </c>
      <c r="BA127" s="100" t="str">
        <f t="shared" si="450"/>
        <v/>
      </c>
      <c r="BB127" s="118" t="e">
        <f t="shared" ref="BB127:BD127" si="534">BH127+AY127+AU127</f>
        <v>#VALUE!</v>
      </c>
      <c r="BC127" s="116" t="e">
        <f t="shared" si="534"/>
        <v>#VALUE!</v>
      </c>
      <c r="BD127" s="119" t="e">
        <f t="shared" si="534"/>
        <v>#VALUE!</v>
      </c>
      <c r="BE127" s="118" t="e">
        <f t="shared" si="49"/>
        <v>#VALUE!</v>
      </c>
      <c r="BF127" s="116" t="e">
        <f t="shared" si="50"/>
        <v>#VALUE!</v>
      </c>
      <c r="BG127" s="119" t="e">
        <f t="shared" si="51"/>
        <v>#VALUE!</v>
      </c>
      <c r="BH127" s="114" t="e">
        <f t="shared" si="52"/>
        <v>#VALUE!</v>
      </c>
      <c r="BI127" s="114" t="str">
        <f t="shared" si="452"/>
        <v/>
      </c>
      <c r="BJ127" s="115" t="str">
        <f t="shared" si="453"/>
        <v/>
      </c>
      <c r="BK127" s="125">
        <f t="shared" si="454"/>
        <v>260885.06</v>
      </c>
      <c r="BL127" s="120" t="e">
        <f t="shared" si="56"/>
        <v>#VALUE!</v>
      </c>
      <c r="BM127" s="121" t="str">
        <f t="shared" si="455"/>
        <v/>
      </c>
      <c r="BN127" s="119" t="str">
        <f t="shared" si="456"/>
        <v/>
      </c>
      <c r="BO127" s="125">
        <f t="shared" si="457"/>
        <v>412112.64000000001</v>
      </c>
      <c r="BP127" s="140" t="e">
        <f t="shared" si="60"/>
        <v>#VALUE!</v>
      </c>
      <c r="BQ127" s="123" t="str">
        <f t="shared" si="458"/>
        <v/>
      </c>
      <c r="BR127" s="125" t="str">
        <f t="shared" si="459"/>
        <v/>
      </c>
      <c r="BS127" s="122" t="e">
        <f t="shared" si="63"/>
        <v>#VALUE!</v>
      </c>
      <c r="BT127" s="123">
        <f t="shared" ref="BT127:BU127" si="535">SUM(BI127,BM127,BQ127)</f>
        <v>0</v>
      </c>
      <c r="BU127" s="124">
        <f t="shared" si="535"/>
        <v>0</v>
      </c>
      <c r="BV127" s="125">
        <f t="shared" si="461"/>
        <v>192709.88</v>
      </c>
      <c r="BW127" s="122" t="e">
        <f t="shared" si="66"/>
        <v>#VALUE!</v>
      </c>
      <c r="BX127" s="123" t="str">
        <f t="shared" si="462"/>
        <v/>
      </c>
      <c r="BY127" s="124" t="str">
        <f t="shared" si="463"/>
        <v/>
      </c>
      <c r="BZ127" s="125">
        <f t="shared" si="464"/>
        <v>104926.5</v>
      </c>
      <c r="CA127" s="140"/>
      <c r="CB127" s="123"/>
      <c r="CC127" s="148"/>
      <c r="CD127" s="123">
        <f t="shared" si="465"/>
        <v>58518.35</v>
      </c>
      <c r="CF127" s="149"/>
    </row>
    <row r="128" spans="1:84" ht="13">
      <c r="A128" s="92">
        <f t="shared" si="425"/>
        <v>112012193</v>
      </c>
      <c r="B128" s="172">
        <f t="shared" si="484"/>
        <v>1</v>
      </c>
      <c r="C128" s="137" t="str">
        <f t="shared" si="485"/>
        <v>Lista</v>
      </c>
      <c r="D128" s="137">
        <f t="shared" si="486"/>
        <v>0.09</v>
      </c>
      <c r="E128" s="138">
        <f t="shared" si="487"/>
        <v>0</v>
      </c>
      <c r="F128" s="193">
        <f t="shared" si="504"/>
        <v>1</v>
      </c>
      <c r="G128" s="97" t="str">
        <f t="shared" si="426"/>
        <v>Lista</v>
      </c>
      <c r="H128" s="97">
        <f t="shared" si="427"/>
        <v>0.09</v>
      </c>
      <c r="I128" s="97">
        <f t="shared" si="428"/>
        <v>0</v>
      </c>
      <c r="J128" s="96">
        <f t="shared" si="429"/>
        <v>71</v>
      </c>
      <c r="K128" s="94" t="str">
        <f t="shared" si="430"/>
        <v>Lista</v>
      </c>
      <c r="L128" s="98">
        <f t="shared" si="431"/>
        <v>0.05</v>
      </c>
      <c r="M128" s="139" t="s">
        <v>202</v>
      </c>
      <c r="N128" s="100">
        <f t="shared" si="432"/>
        <v>378791.95</v>
      </c>
      <c r="O128" s="140">
        <f t="shared" ref="O128:O130" si="536">(N128*1.601)*1.05</f>
        <v>636768.20754750003</v>
      </c>
      <c r="P128" s="102">
        <f t="shared" si="13"/>
        <v>432708.23</v>
      </c>
      <c r="Q128" s="102">
        <f t="shared" si="433"/>
        <v>0</v>
      </c>
      <c r="R128" s="102">
        <f t="shared" si="434"/>
        <v>432708.23</v>
      </c>
      <c r="S128" s="102">
        <f t="shared" si="16"/>
        <v>-204059.97754750005</v>
      </c>
      <c r="T128" s="103">
        <f t="shared" si="17"/>
        <v>0.67953805618934249</v>
      </c>
      <c r="U128" s="100">
        <f t="shared" si="435"/>
        <v>151503.07999999999</v>
      </c>
      <c r="V128" s="141">
        <f t="shared" ref="V128:V130" si="537">U128*1.7245</f>
        <v>261267.06145999997</v>
      </c>
      <c r="W128" s="105">
        <f t="shared" si="19"/>
        <v>271969.55</v>
      </c>
      <c r="X128" s="102">
        <f t="shared" si="436"/>
        <v>57224.14</v>
      </c>
      <c r="Y128" s="106">
        <f t="shared" si="437"/>
        <v>329193.69</v>
      </c>
      <c r="Z128" s="142">
        <f t="shared" ref="Z128:Z133" si="538">Y128-V128</f>
        <v>67926.628540000034</v>
      </c>
      <c r="AA128" s="143">
        <f t="shared" ref="AA128:AA133" si="539">IFERROR(Y128/V128,"")</f>
        <v>1.2599892545214684</v>
      </c>
      <c r="AB128" s="100">
        <f t="shared" si="438"/>
        <v>264669.83</v>
      </c>
      <c r="AC128" s="140">
        <f t="shared" ref="AC128:AC130" si="540">(AB128*1.5955)*1.03</f>
        <v>434949.13517795003</v>
      </c>
      <c r="AD128" s="102">
        <f t="shared" si="24"/>
        <v>0</v>
      </c>
      <c r="AE128" s="102">
        <f t="shared" si="439"/>
        <v>0</v>
      </c>
      <c r="AF128" s="102">
        <f t="shared" si="440"/>
        <v>0</v>
      </c>
      <c r="AG128" s="199">
        <f t="shared" ref="AG128:AG133" si="541">AF128-AC128</f>
        <v>-434949.13517795003</v>
      </c>
      <c r="AH128" s="158">
        <f t="shared" si="391"/>
        <v>0</v>
      </c>
      <c r="AI128" s="147">
        <f t="shared" ref="AI128:AI130" si="542">SUM(O128,V128,AC128)</f>
        <v>1332984.4041854502</v>
      </c>
      <c r="AJ128" s="111">
        <f t="shared" si="441"/>
        <v>359696.04</v>
      </c>
      <c r="AK128" s="102">
        <f t="shared" si="31"/>
        <v>57224.14</v>
      </c>
      <c r="AL128" s="102">
        <f t="shared" si="32"/>
        <v>704677.78</v>
      </c>
      <c r="AM128" s="102">
        <f t="shared" si="33"/>
        <v>761901.91999999993</v>
      </c>
      <c r="AN128" s="102">
        <f t="shared" si="34"/>
        <v>402205.87999999995</v>
      </c>
      <c r="AO128" s="112">
        <f t="shared" si="35"/>
        <v>2.1181826744603582</v>
      </c>
      <c r="AP128" s="100">
        <f t="shared" si="442"/>
        <v>0</v>
      </c>
      <c r="AQ128" s="113">
        <f t="shared" si="37"/>
        <v>0</v>
      </c>
      <c r="AR128" s="114">
        <f t="shared" si="443"/>
        <v>0</v>
      </c>
      <c r="AS128" s="115">
        <f t="shared" si="444"/>
        <v>0</v>
      </c>
      <c r="AT128" s="100">
        <f t="shared" si="445"/>
        <v>184857.96</v>
      </c>
      <c r="AU128" s="113">
        <f t="shared" si="41"/>
        <v>0</v>
      </c>
      <c r="AV128" s="116">
        <f t="shared" si="446"/>
        <v>0</v>
      </c>
      <c r="AW128" s="117">
        <f t="shared" si="447"/>
        <v>0</v>
      </c>
      <c r="AX128" s="100">
        <f t="shared" si="448"/>
        <v>0</v>
      </c>
      <c r="AY128" s="113">
        <f t="shared" si="45"/>
        <v>0</v>
      </c>
      <c r="AZ128" s="114">
        <f t="shared" si="449"/>
        <v>0</v>
      </c>
      <c r="BA128" s="100">
        <f t="shared" si="450"/>
        <v>0</v>
      </c>
      <c r="BB128" s="118">
        <f t="shared" ref="BB128:BD128" si="543">BH128+AY128+AU128</f>
        <v>0</v>
      </c>
      <c r="BC128" s="116">
        <f t="shared" si="543"/>
        <v>0</v>
      </c>
      <c r="BD128" s="119">
        <f t="shared" si="543"/>
        <v>0</v>
      </c>
      <c r="BE128" s="118">
        <f t="shared" si="49"/>
        <v>704677.78</v>
      </c>
      <c r="BF128" s="116">
        <f t="shared" si="50"/>
        <v>57224.14</v>
      </c>
      <c r="BG128" s="119">
        <f t="shared" si="51"/>
        <v>761901.91999999993</v>
      </c>
      <c r="BH128" s="114">
        <f t="shared" si="52"/>
        <v>0</v>
      </c>
      <c r="BI128" s="114">
        <f t="shared" si="452"/>
        <v>0</v>
      </c>
      <c r="BJ128" s="115">
        <f t="shared" si="453"/>
        <v>0</v>
      </c>
      <c r="BK128" s="125">
        <f t="shared" si="454"/>
        <v>616099.06999999995</v>
      </c>
      <c r="BL128" s="120">
        <f t="shared" si="56"/>
        <v>0</v>
      </c>
      <c r="BM128" s="121">
        <f t="shared" si="455"/>
        <v>0</v>
      </c>
      <c r="BN128" s="119">
        <f t="shared" si="456"/>
        <v>0</v>
      </c>
      <c r="BO128" s="125">
        <f t="shared" si="457"/>
        <v>0</v>
      </c>
      <c r="BP128" s="140">
        <f t="shared" si="60"/>
        <v>0</v>
      </c>
      <c r="BQ128" s="123">
        <f t="shared" si="458"/>
        <v>0</v>
      </c>
      <c r="BR128" s="125">
        <f t="shared" si="459"/>
        <v>0</v>
      </c>
      <c r="BS128" s="122">
        <f t="shared" si="63"/>
        <v>0</v>
      </c>
      <c r="BT128" s="123">
        <f t="shared" ref="BT128:BU128" si="544">SUM(BI128,BM128,BQ128)</f>
        <v>0</v>
      </c>
      <c r="BU128" s="124">
        <f t="shared" si="544"/>
        <v>0</v>
      </c>
      <c r="BV128" s="125">
        <f t="shared" si="461"/>
        <v>0</v>
      </c>
      <c r="BW128" s="122">
        <f t="shared" si="66"/>
        <v>0</v>
      </c>
      <c r="BX128" s="123">
        <f t="shared" si="462"/>
        <v>0</v>
      </c>
      <c r="BY128" s="124">
        <f t="shared" si="463"/>
        <v>0</v>
      </c>
      <c r="BZ128" s="125">
        <f t="shared" si="464"/>
        <v>45446.13</v>
      </c>
      <c r="CA128" s="140"/>
      <c r="CB128" s="123"/>
      <c r="CC128" s="148"/>
      <c r="CD128" s="123">
        <f t="shared" si="465"/>
        <v>314249.90999999997</v>
      </c>
      <c r="CF128" s="149"/>
    </row>
    <row r="129" spans="1:117" ht="13">
      <c r="A129" s="92">
        <f t="shared" si="425"/>
        <v>112013748</v>
      </c>
      <c r="B129" s="172">
        <f t="shared" si="484"/>
        <v>1</v>
      </c>
      <c r="C129" s="137" t="str">
        <f t="shared" si="485"/>
        <v>Lista</v>
      </c>
      <c r="D129" s="137">
        <f t="shared" si="486"/>
        <v>0.09</v>
      </c>
      <c r="E129" s="138">
        <f t="shared" si="487"/>
        <v>0</v>
      </c>
      <c r="F129" s="193">
        <f t="shared" si="504"/>
        <v>1</v>
      </c>
      <c r="G129" s="97" t="str">
        <f t="shared" si="426"/>
        <v>Lista</v>
      </c>
      <c r="H129" s="97">
        <f t="shared" si="427"/>
        <v>0.09</v>
      </c>
      <c r="I129" s="97">
        <f t="shared" si="428"/>
        <v>0</v>
      </c>
      <c r="J129" s="96">
        <f t="shared" si="429"/>
        <v>71</v>
      </c>
      <c r="K129" s="94" t="str">
        <f t="shared" si="430"/>
        <v>Lista</v>
      </c>
      <c r="L129" s="98">
        <f t="shared" si="431"/>
        <v>0.05</v>
      </c>
      <c r="M129" s="139" t="s">
        <v>203</v>
      </c>
      <c r="N129" s="100">
        <f t="shared" si="432"/>
        <v>71026.91</v>
      </c>
      <c r="O129" s="140">
        <f t="shared" si="536"/>
        <v>119399.7870555</v>
      </c>
      <c r="P129" s="102" t="e">
        <f t="shared" si="13"/>
        <v>#VALUE!</v>
      </c>
      <c r="Q129" s="102" t="str">
        <f t="shared" si="433"/>
        <v/>
      </c>
      <c r="R129" s="102">
        <f t="shared" si="434"/>
        <v>25544.240000000002</v>
      </c>
      <c r="S129" s="102">
        <f t="shared" si="16"/>
        <v>-93855.547055499992</v>
      </c>
      <c r="T129" s="103">
        <f t="shared" si="17"/>
        <v>0.21393874000902868</v>
      </c>
      <c r="U129" s="100">
        <f t="shared" si="435"/>
        <v>192049.96</v>
      </c>
      <c r="V129" s="141">
        <f t="shared" si="537"/>
        <v>331190.15601999999</v>
      </c>
      <c r="W129" s="105" t="e">
        <f t="shared" si="19"/>
        <v>#VALUE!</v>
      </c>
      <c r="X129" s="102" t="str">
        <f t="shared" si="436"/>
        <v/>
      </c>
      <c r="Y129" s="106">
        <f t="shared" si="437"/>
        <v>257291.83</v>
      </c>
      <c r="Z129" s="142">
        <f t="shared" si="538"/>
        <v>-73898.326020000008</v>
      </c>
      <c r="AA129" s="143">
        <f t="shared" si="539"/>
        <v>0.77687040306977784</v>
      </c>
      <c r="AB129" s="100">
        <f t="shared" si="438"/>
        <v>0</v>
      </c>
      <c r="AC129" s="140">
        <f t="shared" si="540"/>
        <v>0</v>
      </c>
      <c r="AD129" s="102" t="e">
        <f t="shared" si="24"/>
        <v>#VALUE!</v>
      </c>
      <c r="AE129" s="102" t="str">
        <f t="shared" si="439"/>
        <v/>
      </c>
      <c r="AF129" s="102">
        <f t="shared" si="440"/>
        <v>166710.09</v>
      </c>
      <c r="AG129" s="199">
        <f t="shared" si="541"/>
        <v>166710.09</v>
      </c>
      <c r="AH129" s="158" t="str">
        <f t="shared" si="391"/>
        <v/>
      </c>
      <c r="AI129" s="147">
        <f t="shared" si="542"/>
        <v>450589.94307549996</v>
      </c>
      <c r="AJ129" s="111">
        <f t="shared" si="441"/>
        <v>717050.11</v>
      </c>
      <c r="AK129" s="102">
        <f t="shared" si="31"/>
        <v>0</v>
      </c>
      <c r="AL129" s="102" t="e">
        <f t="shared" si="32"/>
        <v>#VALUE!</v>
      </c>
      <c r="AM129" s="102">
        <f t="shared" si="33"/>
        <v>449546.16</v>
      </c>
      <c r="AN129" s="102">
        <f t="shared" si="34"/>
        <v>-267503.95</v>
      </c>
      <c r="AO129" s="112">
        <f t="shared" si="35"/>
        <v>0.62693827632213872</v>
      </c>
      <c r="AP129" s="100">
        <f t="shared" si="442"/>
        <v>140684.45000000001</v>
      </c>
      <c r="AQ129" s="113" t="e">
        <f t="shared" si="37"/>
        <v>#VALUE!</v>
      </c>
      <c r="AR129" s="114" t="str">
        <f t="shared" si="443"/>
        <v/>
      </c>
      <c r="AS129" s="115">
        <f t="shared" si="444"/>
        <v>80397.87</v>
      </c>
      <c r="AT129" s="100">
        <f t="shared" si="445"/>
        <v>26401</v>
      </c>
      <c r="AU129" s="113" t="e">
        <f t="shared" si="41"/>
        <v>#VALUE!</v>
      </c>
      <c r="AV129" s="116" t="str">
        <f t="shared" si="446"/>
        <v/>
      </c>
      <c r="AW129" s="117">
        <f t="shared" si="447"/>
        <v>0</v>
      </c>
      <c r="AX129" s="100">
        <f t="shared" si="448"/>
        <v>0</v>
      </c>
      <c r="AY129" s="113" t="e">
        <f t="shared" si="45"/>
        <v>#VALUE!</v>
      </c>
      <c r="AZ129" s="114" t="str">
        <f t="shared" si="449"/>
        <v/>
      </c>
      <c r="BA129" s="100">
        <f t="shared" si="450"/>
        <v>0</v>
      </c>
      <c r="BB129" s="118" t="e">
        <f t="shared" ref="BB129:BD129" si="545">BH129+AY129+AU129</f>
        <v>#VALUE!</v>
      </c>
      <c r="BC129" s="116" t="e">
        <f t="shared" si="545"/>
        <v>#VALUE!</v>
      </c>
      <c r="BD129" s="119">
        <f t="shared" si="545"/>
        <v>0</v>
      </c>
      <c r="BE129" s="118" t="e">
        <f t="shared" si="49"/>
        <v>#VALUE!</v>
      </c>
      <c r="BF129" s="116" t="e">
        <f t="shared" si="50"/>
        <v>#VALUE!</v>
      </c>
      <c r="BG129" s="119">
        <f t="shared" si="51"/>
        <v>449546.16</v>
      </c>
      <c r="BH129" s="114" t="e">
        <f t="shared" si="52"/>
        <v>#VALUE!</v>
      </c>
      <c r="BI129" s="114" t="str">
        <f t="shared" si="452"/>
        <v/>
      </c>
      <c r="BJ129" s="115">
        <f t="shared" si="453"/>
        <v>0</v>
      </c>
      <c r="BK129" s="125">
        <f t="shared" si="454"/>
        <v>0</v>
      </c>
      <c r="BL129" s="120" t="e">
        <f t="shared" si="56"/>
        <v>#VALUE!</v>
      </c>
      <c r="BM129" s="121" t="str">
        <f t="shared" si="455"/>
        <v/>
      </c>
      <c r="BN129" s="119">
        <f t="shared" si="456"/>
        <v>313753.37</v>
      </c>
      <c r="BO129" s="125">
        <f t="shared" si="457"/>
        <v>0</v>
      </c>
      <c r="BP129" s="140" t="e">
        <f t="shared" si="60"/>
        <v>#VALUE!</v>
      </c>
      <c r="BQ129" s="123" t="str">
        <f t="shared" si="458"/>
        <v/>
      </c>
      <c r="BR129" s="125">
        <f t="shared" si="459"/>
        <v>283494.13</v>
      </c>
      <c r="BS129" s="122" t="e">
        <f t="shared" si="63"/>
        <v>#VALUE!</v>
      </c>
      <c r="BT129" s="123">
        <f t="shared" ref="BT129:BU129" si="546">SUM(BI129,BM129,BQ129)</f>
        <v>0</v>
      </c>
      <c r="BU129" s="124">
        <f t="shared" si="546"/>
        <v>597247.5</v>
      </c>
      <c r="BV129" s="125">
        <f t="shared" si="461"/>
        <v>328689.5</v>
      </c>
      <c r="BW129" s="122" t="e">
        <f t="shared" si="66"/>
        <v>#VALUE!</v>
      </c>
      <c r="BX129" s="123" t="str">
        <f t="shared" si="462"/>
        <v/>
      </c>
      <c r="BY129" s="124">
        <f t="shared" si="463"/>
        <v>-270820.63</v>
      </c>
      <c r="BZ129" s="125">
        <f t="shared" si="464"/>
        <v>90321.49</v>
      </c>
      <c r="CA129" s="140"/>
      <c r="CB129" s="123"/>
      <c r="CC129" s="148"/>
      <c r="CD129" s="123">
        <f t="shared" si="465"/>
        <v>298039.12</v>
      </c>
      <c r="CF129" s="149"/>
    </row>
    <row r="130" spans="1:117" ht="14">
      <c r="A130" s="92">
        <f t="shared" ref="A130:A150" si="547">VLOOKUP(M130,BASCART4,3,FALSE)</f>
        <v>112012870</v>
      </c>
      <c r="B130" s="172">
        <f t="shared" si="484"/>
        <v>1</v>
      </c>
      <c r="C130" s="137" t="str">
        <f t="shared" si="485"/>
        <v>Lista</v>
      </c>
      <c r="D130" s="137">
        <f t="shared" si="486"/>
        <v>0.09</v>
      </c>
      <c r="E130" s="138">
        <f t="shared" si="487"/>
        <v>0</v>
      </c>
      <c r="F130" s="193">
        <f t="shared" si="504"/>
        <v>1</v>
      </c>
      <c r="G130" s="97" t="str">
        <f t="shared" ref="G130:G161" si="548">IFERROR(VLOOKUP(F130,DES,2,FALSE),"")</f>
        <v>Lista</v>
      </c>
      <c r="H130" s="97">
        <f t="shared" si="427"/>
        <v>0.09</v>
      </c>
      <c r="I130" s="97">
        <f t="shared" si="428"/>
        <v>0</v>
      </c>
      <c r="J130" s="96">
        <f t="shared" ref="J130:J150" si="549">VLOOKUP(M130,BASCART4,2,FALSE)</f>
        <v>71</v>
      </c>
      <c r="K130" s="94" t="str">
        <f t="shared" ref="K130:K161" si="550">IFERROR(VLOOKUP(J130,A458DC1025,2,FALSE),"")</f>
        <v>Lista</v>
      </c>
      <c r="L130" s="98">
        <f t="shared" ref="L130:L150" si="551">IFERROR(VLOOKUP(J130,A458DC1025,3,FALSE),"")</f>
        <v>0.05</v>
      </c>
      <c r="M130" s="139" t="s">
        <v>204</v>
      </c>
      <c r="N130" s="100" t="str">
        <f t="shared" ref="N130:N161" si="552">IFERROR(VLOOKUP(M130,Basilee24,3,FALSE),"")</f>
        <v/>
      </c>
      <c r="O130" s="140" t="e">
        <f t="shared" si="536"/>
        <v>#VALUE!</v>
      </c>
      <c r="P130" s="102" t="e">
        <f t="shared" si="13"/>
        <v>#VALUE!</v>
      </c>
      <c r="Q130" s="102" t="str">
        <f t="shared" ref="Q130:Q150" si="553">IFERROR(VLOOKUP(M130,BASALIM,3,FALSE),"")</f>
        <v/>
      </c>
      <c r="R130" s="102" t="str">
        <f t="shared" ref="R130:R150" si="554">IFERROR(VLOOKUP(M130,BASFC,3,FALSE),"")</f>
        <v/>
      </c>
      <c r="S130" s="102" t="e">
        <f t="shared" si="16"/>
        <v>#VALUE!</v>
      </c>
      <c r="T130" s="103" t="e">
        <f t="shared" si="17"/>
        <v>#VALUE!</v>
      </c>
      <c r="U130" s="100" t="str">
        <f t="shared" ref="U130:U150" si="555">IFERROR(VLOOKUP(M130,Basilee24,4,FALSE),"")</f>
        <v/>
      </c>
      <c r="V130" s="141" t="e">
        <f t="shared" si="537"/>
        <v>#VALUE!</v>
      </c>
      <c r="W130" s="105" t="e">
        <f t="shared" si="19"/>
        <v>#VALUE!</v>
      </c>
      <c r="X130" s="102" t="str">
        <f t="shared" ref="X130:X150" si="556">IFERROR(VLOOKUP(M130,BASALIM,4,FALSE),"")</f>
        <v/>
      </c>
      <c r="Y130" s="106" t="str">
        <f t="shared" ref="Y130:Y150" si="557">IFERROR(VLOOKUP(M130,BASFC,4,FALSE),"")</f>
        <v/>
      </c>
      <c r="Z130" s="142" t="e">
        <f t="shared" si="538"/>
        <v>#VALUE!</v>
      </c>
      <c r="AA130" s="143" t="str">
        <f t="shared" si="539"/>
        <v/>
      </c>
      <c r="AB130" s="100" t="str">
        <f t="shared" ref="AB130:AB150" si="558">IFERROR(VLOOKUP(M130,Basilee24,5,FALSE),"")</f>
        <v/>
      </c>
      <c r="AC130" s="140" t="e">
        <f t="shared" si="540"/>
        <v>#VALUE!</v>
      </c>
      <c r="AD130" s="102" t="e">
        <f t="shared" si="24"/>
        <v>#VALUE!</v>
      </c>
      <c r="AE130" s="102" t="str">
        <f t="shared" ref="AE130:AE150" si="559">IFERROR(VLOOKUP(M130,BASALIM,5,FALSE),"")</f>
        <v/>
      </c>
      <c r="AF130" s="102" t="str">
        <f t="shared" ref="AF130:AF150" si="560">IFERROR(VLOOKUP(M130,BASFC,5,FALSE),"")</f>
        <v/>
      </c>
      <c r="AG130" s="199" t="e">
        <f t="shared" si="541"/>
        <v>#VALUE!</v>
      </c>
      <c r="AH130" s="158" t="str">
        <f t="shared" si="391"/>
        <v/>
      </c>
      <c r="AI130" s="147" t="e">
        <f t="shared" si="542"/>
        <v>#VALUE!</v>
      </c>
      <c r="AJ130" s="111" t="str">
        <f t="shared" ref="AJ130:AJ150" si="561">IFERROR(VLOOKUP(M130,trim2024,2,FALSE),"0")</f>
        <v>0</v>
      </c>
      <c r="AK130" s="102">
        <f t="shared" si="31"/>
        <v>0</v>
      </c>
      <c r="AL130" s="102" t="e">
        <f t="shared" si="32"/>
        <v>#VALUE!</v>
      </c>
      <c r="AM130" s="102" t="e">
        <f t="shared" si="33"/>
        <v>#VALUE!</v>
      </c>
      <c r="AN130" s="102" t="e">
        <f t="shared" si="34"/>
        <v>#VALUE!</v>
      </c>
      <c r="AO130" s="112" t="e">
        <f t="shared" si="35"/>
        <v>#VALUE!</v>
      </c>
      <c r="AP130" s="100" t="str">
        <f t="shared" ref="AP130:AP150" si="562">IFERROR(VLOOKUP(M130,Basilee24,6,FALSE),"")</f>
        <v/>
      </c>
      <c r="AQ130" s="113" t="e">
        <f t="shared" si="37"/>
        <v>#VALUE!</v>
      </c>
      <c r="AR130" s="114" t="str">
        <f t="shared" ref="AR130:AR150" si="563">IFERROR(VLOOKUP(M130,BASALIM,6,FALSE),"")</f>
        <v/>
      </c>
      <c r="AS130" s="115" t="str">
        <f t="shared" ref="AS130:AS150" si="564">IFERROR(VLOOKUP(M130,BASFC,6,FALSE),"")</f>
        <v/>
      </c>
      <c r="AT130" s="100" t="str">
        <f t="shared" ref="AT130:AT150" si="565">IFERROR(VLOOKUP(M130,Basilee24,7,FALSE),"")</f>
        <v/>
      </c>
      <c r="AU130" s="113" t="e">
        <f t="shared" si="41"/>
        <v>#VALUE!</v>
      </c>
      <c r="AV130" s="116" t="str">
        <f t="shared" ref="AV130:AV150" si="566">IFERROR(VLOOKUP(M130,BASALIM,7,FALSE),"")</f>
        <v/>
      </c>
      <c r="AW130" s="117" t="str">
        <f t="shared" ref="AW130:AW150" si="567">IFERROR(VLOOKUP(M130,BASFC,7,FALSE),"")</f>
        <v/>
      </c>
      <c r="AX130" s="100" t="str">
        <f t="shared" ref="AX130:AX150" si="568">IFERROR(VLOOKUP(M130,Basilee24,8,FALSE),"")</f>
        <v/>
      </c>
      <c r="AY130" s="113" t="e">
        <f t="shared" si="45"/>
        <v>#VALUE!</v>
      </c>
      <c r="AZ130" s="114" t="str">
        <f t="shared" ref="AZ130:AZ150" si="569">IFERROR(VLOOKUP(M130,BASALIM,8,FALSE),"")</f>
        <v/>
      </c>
      <c r="BA130" s="100" t="str">
        <f t="shared" ref="BA130:BA150" si="570">IFERROR(VLOOKUP(M130,BASFC,8,FALSE),"")</f>
        <v/>
      </c>
      <c r="BB130" s="118" t="e">
        <f t="shared" ref="BB130:BD130" si="571">BH130+AY130+AU130</f>
        <v>#VALUE!</v>
      </c>
      <c r="BC130" s="116" t="e">
        <f t="shared" si="571"/>
        <v>#VALUE!</v>
      </c>
      <c r="BD130" s="119" t="e">
        <f t="shared" si="571"/>
        <v>#VALUE!</v>
      </c>
      <c r="BE130" s="118" t="e">
        <f t="shared" si="49"/>
        <v>#VALUE!</v>
      </c>
      <c r="BF130" s="116" t="e">
        <f t="shared" si="50"/>
        <v>#VALUE!</v>
      </c>
      <c r="BG130" s="119" t="e">
        <f t="shared" si="51"/>
        <v>#VALUE!</v>
      </c>
      <c r="BH130" s="114" t="e">
        <f t="shared" si="52"/>
        <v>#VALUE!</v>
      </c>
      <c r="BI130" s="114" t="str">
        <f t="shared" ref="BI130:BI150" si="572">IFERROR(VLOOKUP(M130,BASALIM,9,FALSE),"")</f>
        <v/>
      </c>
      <c r="BJ130" s="115" t="str">
        <f t="shared" ref="BJ130:BJ150" si="573">IFERROR(VLOOKUP(M130,BASFC,9,FALSE),"")</f>
        <v/>
      </c>
      <c r="BK130" s="125" t="str">
        <f t="shared" ref="BK130:BK150" si="574">IFERROR(VLOOKUP(M130,Basilee24,10,FALSE),"")</f>
        <v/>
      </c>
      <c r="BL130" s="120" t="e">
        <f t="shared" si="56"/>
        <v>#VALUE!</v>
      </c>
      <c r="BM130" s="121" t="str">
        <f t="shared" ref="BM130:BM150" si="575">IFERROR(VLOOKUP(M130,BASALIM,10,FALSE),"")</f>
        <v/>
      </c>
      <c r="BN130" s="119" t="str">
        <f t="shared" ref="BN130:BN150" si="576">IFERROR(VLOOKUP(M130,BASFC,10,FALSE),"")</f>
        <v/>
      </c>
      <c r="BO130" s="125" t="str">
        <f t="shared" ref="BO130:BO150" si="577">IFERROR(VLOOKUP(M130,Basilee24,11,FALSE),"")</f>
        <v/>
      </c>
      <c r="BP130" s="140" t="e">
        <f t="shared" si="60"/>
        <v>#VALUE!</v>
      </c>
      <c r="BQ130" s="123" t="str">
        <f t="shared" ref="BQ130:BQ150" si="578">IFERROR(VLOOKUP(M130,BASALIM,11,FALSE),"")</f>
        <v/>
      </c>
      <c r="BR130" s="125" t="str">
        <f t="shared" ref="BR130:BR150" si="579">IFERROR(VLOOKUP(M130,BASFC,11,FALSE),"")</f>
        <v/>
      </c>
      <c r="BS130" s="122" t="e">
        <f t="shared" si="63"/>
        <v>#VALUE!</v>
      </c>
      <c r="BT130" s="123">
        <f t="shared" ref="BT130:BU130" si="580">SUM(BI130,BM130,BQ130)</f>
        <v>0</v>
      </c>
      <c r="BU130" s="124">
        <f t="shared" si="580"/>
        <v>0</v>
      </c>
      <c r="BV130" s="125" t="str">
        <f t="shared" ref="BV130:BV150" si="581">IFERROR(VLOOKUP(M130,Basilee24,12,FALSE),"")</f>
        <v/>
      </c>
      <c r="BW130" s="122" t="e">
        <f t="shared" si="66"/>
        <v>#VALUE!</v>
      </c>
      <c r="BX130" s="123" t="str">
        <f t="shared" ref="BX130:BX150" si="582">IFERROR(VLOOKUP(M130,BASALIM,12,FALSE),"")</f>
        <v/>
      </c>
      <c r="BY130" s="124" t="str">
        <f t="shared" ref="BY130:BY150" si="583">IFERROR(VLOOKUP(M130,BASFC,12,FALSE),"")</f>
        <v/>
      </c>
      <c r="BZ130" s="125" t="str">
        <f t="shared" ref="BZ130:BZ150" si="584">IFERROR(VLOOKUP(M130,Basilee24,13,FALSE),"")</f>
        <v/>
      </c>
      <c r="CA130" s="140"/>
      <c r="CB130" s="123"/>
      <c r="CC130" s="148"/>
      <c r="CD130" s="123" t="str">
        <f t="shared" ref="CD130:CD150" si="585">IFERROR(VLOOKUP(M130,Basilee24,14,FALSE),"")</f>
        <v/>
      </c>
      <c r="CF130" s="149"/>
    </row>
    <row r="131" spans="1:117" ht="14">
      <c r="A131" s="92">
        <f t="shared" si="547"/>
        <v>112011100</v>
      </c>
      <c r="B131" s="172">
        <f t="shared" si="484"/>
        <v>1</v>
      </c>
      <c r="C131" s="137" t="str">
        <f t="shared" si="485"/>
        <v>Lista</v>
      </c>
      <c r="D131" s="137">
        <f t="shared" si="486"/>
        <v>0.09</v>
      </c>
      <c r="E131" s="138">
        <f t="shared" si="487"/>
        <v>0</v>
      </c>
      <c r="F131" s="193">
        <f t="shared" si="504"/>
        <v>1</v>
      </c>
      <c r="G131" s="97" t="str">
        <f t="shared" si="548"/>
        <v>Lista</v>
      </c>
      <c r="H131" s="97">
        <f t="shared" si="427"/>
        <v>0.09</v>
      </c>
      <c r="I131" s="97">
        <f t="shared" si="428"/>
        <v>0</v>
      </c>
      <c r="J131" s="96">
        <f t="shared" si="549"/>
        <v>71</v>
      </c>
      <c r="K131" s="94" t="str">
        <f t="shared" si="550"/>
        <v>Lista</v>
      </c>
      <c r="L131" s="98">
        <f t="shared" si="551"/>
        <v>0.05</v>
      </c>
      <c r="M131" s="255" t="s">
        <v>205</v>
      </c>
      <c r="N131" s="100">
        <f t="shared" si="552"/>
        <v>137022.34</v>
      </c>
      <c r="O131" s="140"/>
      <c r="P131" s="102" t="e">
        <f t="shared" si="13"/>
        <v>#VALUE!</v>
      </c>
      <c r="Q131" s="102" t="str">
        <f t="shared" si="553"/>
        <v/>
      </c>
      <c r="R131" s="102">
        <f t="shared" si="554"/>
        <v>0</v>
      </c>
      <c r="S131" s="102">
        <f t="shared" si="16"/>
        <v>0</v>
      </c>
      <c r="T131" s="103" t="e">
        <f t="shared" si="17"/>
        <v>#DIV/0!</v>
      </c>
      <c r="U131" s="100">
        <f t="shared" si="555"/>
        <v>289360.13</v>
      </c>
      <c r="V131" s="141"/>
      <c r="W131" s="105" t="e">
        <f t="shared" si="19"/>
        <v>#VALUE!</v>
      </c>
      <c r="X131" s="102" t="str">
        <f t="shared" si="556"/>
        <v/>
      </c>
      <c r="Y131" s="106">
        <f t="shared" si="557"/>
        <v>0</v>
      </c>
      <c r="Z131" s="142">
        <f t="shared" si="538"/>
        <v>0</v>
      </c>
      <c r="AA131" s="143" t="str">
        <f t="shared" si="539"/>
        <v/>
      </c>
      <c r="AB131" s="100">
        <f t="shared" si="558"/>
        <v>133263.99</v>
      </c>
      <c r="AC131" s="140"/>
      <c r="AD131" s="102" t="e">
        <f t="shared" si="24"/>
        <v>#VALUE!</v>
      </c>
      <c r="AE131" s="102" t="str">
        <f t="shared" si="559"/>
        <v/>
      </c>
      <c r="AF131" s="102">
        <f t="shared" si="560"/>
        <v>162296.84</v>
      </c>
      <c r="AG131" s="199">
        <f t="shared" si="541"/>
        <v>162296.84</v>
      </c>
      <c r="AH131" s="158" t="str">
        <f t="shared" si="391"/>
        <v/>
      </c>
      <c r="AI131" s="147"/>
      <c r="AJ131" s="111">
        <f t="shared" si="561"/>
        <v>302344.46999999997</v>
      </c>
      <c r="AK131" s="102">
        <f t="shared" si="31"/>
        <v>0</v>
      </c>
      <c r="AL131" s="102" t="e">
        <f t="shared" si="32"/>
        <v>#VALUE!</v>
      </c>
      <c r="AM131" s="102">
        <f t="shared" si="33"/>
        <v>162296.84</v>
      </c>
      <c r="AN131" s="102">
        <f t="shared" si="34"/>
        <v>-140047.62999999998</v>
      </c>
      <c r="AO131" s="112">
        <f t="shared" si="35"/>
        <v>0.53679447155094329</v>
      </c>
      <c r="AP131" s="100">
        <f t="shared" si="562"/>
        <v>162108.84</v>
      </c>
      <c r="AQ131" s="113" t="e">
        <f t="shared" si="37"/>
        <v>#VALUE!</v>
      </c>
      <c r="AR131" s="114" t="str">
        <f t="shared" si="563"/>
        <v/>
      </c>
      <c r="AS131" s="115">
        <f t="shared" si="564"/>
        <v>0</v>
      </c>
      <c r="AT131" s="100">
        <f t="shared" si="565"/>
        <v>207155.06</v>
      </c>
      <c r="AU131" s="113" t="e">
        <f t="shared" si="41"/>
        <v>#VALUE!</v>
      </c>
      <c r="AV131" s="116" t="str">
        <f t="shared" si="566"/>
        <v/>
      </c>
      <c r="AW131" s="117">
        <f t="shared" si="567"/>
        <v>0</v>
      </c>
      <c r="AX131" s="100">
        <f t="shared" si="568"/>
        <v>83075.16</v>
      </c>
      <c r="AY131" s="113" t="e">
        <f t="shared" si="45"/>
        <v>#VALUE!</v>
      </c>
      <c r="AZ131" s="114" t="str">
        <f t="shared" si="569"/>
        <v/>
      </c>
      <c r="BA131" s="100">
        <f t="shared" si="570"/>
        <v>0</v>
      </c>
      <c r="BB131" s="118" t="e">
        <f t="shared" ref="BB131:BD131" si="586">BH131+AY131+AU131</f>
        <v>#VALUE!</v>
      </c>
      <c r="BC131" s="116" t="e">
        <f t="shared" si="586"/>
        <v>#VALUE!</v>
      </c>
      <c r="BD131" s="119">
        <f t="shared" si="586"/>
        <v>0</v>
      </c>
      <c r="BE131" s="118" t="e">
        <f t="shared" si="49"/>
        <v>#VALUE!</v>
      </c>
      <c r="BF131" s="116" t="e">
        <f t="shared" si="50"/>
        <v>#VALUE!</v>
      </c>
      <c r="BG131" s="119">
        <f t="shared" si="51"/>
        <v>162296.84</v>
      </c>
      <c r="BH131" s="114" t="e">
        <f t="shared" si="52"/>
        <v>#VALUE!</v>
      </c>
      <c r="BI131" s="114" t="str">
        <f t="shared" si="572"/>
        <v/>
      </c>
      <c r="BJ131" s="115">
        <f t="shared" si="573"/>
        <v>0</v>
      </c>
      <c r="BK131" s="125">
        <f t="shared" si="574"/>
        <v>205015.45</v>
      </c>
      <c r="BL131" s="120" t="e">
        <f t="shared" si="56"/>
        <v>#VALUE!</v>
      </c>
      <c r="BM131" s="121" t="str">
        <f t="shared" si="575"/>
        <v/>
      </c>
      <c r="BN131" s="119">
        <f t="shared" si="576"/>
        <v>0</v>
      </c>
      <c r="BO131" s="125">
        <f t="shared" si="577"/>
        <v>77927.42</v>
      </c>
      <c r="BP131" s="140" t="e">
        <f t="shared" si="60"/>
        <v>#VALUE!</v>
      </c>
      <c r="BQ131" s="123" t="str">
        <f t="shared" si="578"/>
        <v/>
      </c>
      <c r="BR131" s="125">
        <f t="shared" si="579"/>
        <v>0</v>
      </c>
      <c r="BS131" s="122" t="e">
        <f t="shared" si="63"/>
        <v>#VALUE!</v>
      </c>
      <c r="BT131" s="123">
        <f t="shared" ref="BT131:BU131" si="587">SUM(BI131,BM131,BQ131)</f>
        <v>0</v>
      </c>
      <c r="BU131" s="124">
        <f t="shared" si="587"/>
        <v>0</v>
      </c>
      <c r="BV131" s="125">
        <f t="shared" si="581"/>
        <v>120491.16</v>
      </c>
      <c r="BW131" s="122" t="e">
        <f t="shared" si="66"/>
        <v>#VALUE!</v>
      </c>
      <c r="BX131" s="123" t="str">
        <f t="shared" si="582"/>
        <v/>
      </c>
      <c r="BY131" s="124">
        <f t="shared" si="583"/>
        <v>0</v>
      </c>
      <c r="BZ131" s="125">
        <f t="shared" si="584"/>
        <v>125447.8</v>
      </c>
      <c r="CA131" s="140"/>
      <c r="CB131" s="123"/>
      <c r="CC131" s="148"/>
      <c r="CD131" s="123">
        <f t="shared" si="585"/>
        <v>56405.51</v>
      </c>
      <c r="CF131" s="149"/>
    </row>
    <row r="132" spans="1:117" ht="13">
      <c r="A132" s="92">
        <f t="shared" si="547"/>
        <v>112012709</v>
      </c>
      <c r="B132" s="172">
        <f t="shared" si="484"/>
        <v>1</v>
      </c>
      <c r="C132" s="137" t="str">
        <f t="shared" si="485"/>
        <v>Lista</v>
      </c>
      <c r="D132" s="137">
        <f t="shared" si="486"/>
        <v>0.09</v>
      </c>
      <c r="E132" s="138">
        <f t="shared" si="487"/>
        <v>0</v>
      </c>
      <c r="F132" s="193">
        <f t="shared" si="504"/>
        <v>1</v>
      </c>
      <c r="G132" s="97" t="str">
        <f t="shared" si="548"/>
        <v>Lista</v>
      </c>
      <c r="H132" s="97">
        <f t="shared" si="427"/>
        <v>0.09</v>
      </c>
      <c r="I132" s="97">
        <f t="shared" si="428"/>
        <v>0</v>
      </c>
      <c r="J132" s="96">
        <f t="shared" si="549"/>
        <v>71</v>
      </c>
      <c r="K132" s="94" t="str">
        <f t="shared" si="550"/>
        <v>Lista</v>
      </c>
      <c r="L132" s="98">
        <f t="shared" si="551"/>
        <v>0.05</v>
      </c>
      <c r="M132" s="99" t="s">
        <v>206</v>
      </c>
      <c r="N132" s="100">
        <f t="shared" si="552"/>
        <v>45259.18</v>
      </c>
      <c r="O132" s="113">
        <f t="shared" ref="O132:O133" si="588">(N132*1.601)*1.05</f>
        <v>76082.944539000004</v>
      </c>
      <c r="P132" s="102">
        <f t="shared" si="13"/>
        <v>13332.180000000008</v>
      </c>
      <c r="Q132" s="102">
        <f t="shared" si="553"/>
        <v>74972.39</v>
      </c>
      <c r="R132" s="102">
        <f t="shared" si="554"/>
        <v>88304.57</v>
      </c>
      <c r="S132" s="102">
        <f t="shared" si="16"/>
        <v>12221.625461000003</v>
      </c>
      <c r="T132" s="103">
        <f t="shared" si="17"/>
        <v>1.160635547625726</v>
      </c>
      <c r="U132" s="100">
        <f t="shared" si="555"/>
        <v>79393.25</v>
      </c>
      <c r="V132" s="141">
        <f t="shared" ref="V132:V133" si="589">U132*1.7245</f>
        <v>136913.659625</v>
      </c>
      <c r="W132" s="105">
        <f t="shared" si="19"/>
        <v>5309.4400000000023</v>
      </c>
      <c r="X132" s="102">
        <f t="shared" si="556"/>
        <v>24990.799999999999</v>
      </c>
      <c r="Y132" s="106">
        <f t="shared" si="557"/>
        <v>30300.240000000002</v>
      </c>
      <c r="Z132" s="142">
        <f t="shared" si="538"/>
        <v>-106613.41962499999</v>
      </c>
      <c r="AA132" s="143">
        <f t="shared" si="539"/>
        <v>0.22130910884268901</v>
      </c>
      <c r="AB132" s="100">
        <f t="shared" si="558"/>
        <v>124520.43</v>
      </c>
      <c r="AC132" s="140">
        <f t="shared" ref="AC132:AC133" si="590">(AB132*1.5955)*1.03</f>
        <v>204632.51644695</v>
      </c>
      <c r="AD132" s="102">
        <f t="shared" si="24"/>
        <v>0</v>
      </c>
      <c r="AE132" s="102">
        <f t="shared" si="559"/>
        <v>74972.39</v>
      </c>
      <c r="AF132" s="102">
        <f t="shared" si="560"/>
        <v>74972.39</v>
      </c>
      <c r="AG132" s="199">
        <f t="shared" si="541"/>
        <v>-129660.12644695</v>
      </c>
      <c r="AH132" s="158">
        <f t="shared" si="391"/>
        <v>0.3663757417528325</v>
      </c>
      <c r="AI132" s="147">
        <f t="shared" ref="AI132:AI133" si="591">SUM(O132,V132,AC132)</f>
        <v>417629.12061095005</v>
      </c>
      <c r="AJ132" s="111">
        <f t="shared" si="561"/>
        <v>124953.98</v>
      </c>
      <c r="AK132" s="102">
        <f t="shared" si="31"/>
        <v>174935.58000000002</v>
      </c>
      <c r="AL132" s="102">
        <f t="shared" si="32"/>
        <v>18641.62000000001</v>
      </c>
      <c r="AM132" s="102">
        <f t="shared" si="33"/>
        <v>193577.2</v>
      </c>
      <c r="AN132" s="102">
        <f t="shared" si="34"/>
        <v>68623.220000000016</v>
      </c>
      <c r="AO132" s="112">
        <f t="shared" si="35"/>
        <v>1.5491879490353171</v>
      </c>
      <c r="AP132" s="100">
        <f t="shared" si="562"/>
        <v>19321.099999999999</v>
      </c>
      <c r="AQ132" s="113">
        <f t="shared" si="37"/>
        <v>10618.87999999999</v>
      </c>
      <c r="AR132" s="114">
        <f t="shared" si="563"/>
        <v>102462.3</v>
      </c>
      <c r="AS132" s="115">
        <f t="shared" si="564"/>
        <v>113081.18</v>
      </c>
      <c r="AT132" s="100">
        <f t="shared" si="565"/>
        <v>121643.22</v>
      </c>
      <c r="AU132" s="113">
        <f t="shared" si="41"/>
        <v>43309.439999999995</v>
      </c>
      <c r="AV132" s="116">
        <f t="shared" si="566"/>
        <v>52480.71</v>
      </c>
      <c r="AW132" s="117">
        <f t="shared" si="567"/>
        <v>95790.15</v>
      </c>
      <c r="AX132" s="100">
        <f t="shared" si="568"/>
        <v>63687.09</v>
      </c>
      <c r="AY132" s="113">
        <f t="shared" si="45"/>
        <v>21237.770000000004</v>
      </c>
      <c r="AZ132" s="114">
        <f t="shared" si="569"/>
        <v>26240.35</v>
      </c>
      <c r="BA132" s="100">
        <f t="shared" si="570"/>
        <v>47478.12</v>
      </c>
      <c r="BB132" s="118">
        <f t="shared" ref="BB132:BD132" si="592">BH132+AY132+AU132</f>
        <v>109874.64000000001</v>
      </c>
      <c r="BC132" s="116">
        <f t="shared" si="592"/>
        <v>157442.12</v>
      </c>
      <c r="BD132" s="119">
        <f t="shared" si="592"/>
        <v>267316.76</v>
      </c>
      <c r="BE132" s="118">
        <f t="shared" si="49"/>
        <v>128516.26000000002</v>
      </c>
      <c r="BF132" s="116">
        <f t="shared" si="50"/>
        <v>332377.7</v>
      </c>
      <c r="BG132" s="119">
        <f t="shared" si="51"/>
        <v>460893.96</v>
      </c>
      <c r="BH132" s="114">
        <f t="shared" si="52"/>
        <v>45327.430000000008</v>
      </c>
      <c r="BI132" s="114">
        <f t="shared" si="572"/>
        <v>78721.06</v>
      </c>
      <c r="BJ132" s="115">
        <f t="shared" si="573"/>
        <v>124048.49</v>
      </c>
      <c r="BK132" s="125">
        <f t="shared" si="574"/>
        <v>42458.06</v>
      </c>
      <c r="BL132" s="120">
        <f t="shared" si="56"/>
        <v>20363.400000000001</v>
      </c>
      <c r="BM132" s="121">
        <f t="shared" si="575"/>
        <v>52480.71</v>
      </c>
      <c r="BN132" s="119">
        <f t="shared" si="576"/>
        <v>72844.11</v>
      </c>
      <c r="BO132" s="125">
        <f t="shared" si="577"/>
        <v>91709.28</v>
      </c>
      <c r="BP132" s="140">
        <f t="shared" si="60"/>
        <v>0</v>
      </c>
      <c r="BQ132" s="123">
        <f t="shared" si="578"/>
        <v>55104.73</v>
      </c>
      <c r="BR132" s="125">
        <f t="shared" si="579"/>
        <v>55104.73</v>
      </c>
      <c r="BS132" s="122">
        <f t="shared" si="63"/>
        <v>65690.830000000016</v>
      </c>
      <c r="BT132" s="123">
        <f t="shared" ref="BT132:BU132" si="593">SUM(BI132,BM132,BQ132)</f>
        <v>186306.5</v>
      </c>
      <c r="BU132" s="124">
        <f t="shared" si="593"/>
        <v>251997.33000000002</v>
      </c>
      <c r="BV132" s="125">
        <f t="shared" si="581"/>
        <v>24990.799999999999</v>
      </c>
      <c r="BW132" s="122">
        <f t="shared" si="66"/>
        <v>0</v>
      </c>
      <c r="BX132" s="123">
        <f t="shared" si="582"/>
        <v>105440.44</v>
      </c>
      <c r="BY132" s="124">
        <f t="shared" si="583"/>
        <v>105440.44</v>
      </c>
      <c r="BZ132" s="125">
        <f t="shared" si="584"/>
        <v>99963.18</v>
      </c>
      <c r="CA132" s="140"/>
      <c r="CB132" s="123"/>
      <c r="CC132" s="148"/>
      <c r="CD132" s="123">
        <f t="shared" si="585"/>
        <v>0</v>
      </c>
      <c r="CF132" s="149"/>
    </row>
    <row r="133" spans="1:117" ht="14">
      <c r="A133" s="92">
        <f t="shared" si="547"/>
        <v>112014273</v>
      </c>
      <c r="B133" s="172">
        <f t="shared" si="484"/>
        <v>1</v>
      </c>
      <c r="C133" s="137" t="str">
        <f t="shared" si="485"/>
        <v>Lista</v>
      </c>
      <c r="D133" s="137">
        <f t="shared" si="486"/>
        <v>0.09</v>
      </c>
      <c r="E133" s="138">
        <f t="shared" si="487"/>
        <v>0</v>
      </c>
      <c r="F133" s="193">
        <f t="shared" si="504"/>
        <v>1</v>
      </c>
      <c r="G133" s="97" t="str">
        <f t="shared" si="548"/>
        <v>Lista</v>
      </c>
      <c r="H133" s="97">
        <f t="shared" si="427"/>
        <v>0.09</v>
      </c>
      <c r="I133" s="97">
        <f t="shared" si="428"/>
        <v>0</v>
      </c>
      <c r="J133" s="96">
        <f t="shared" si="549"/>
        <v>71</v>
      </c>
      <c r="K133" s="94" t="str">
        <f t="shared" si="550"/>
        <v>Lista</v>
      </c>
      <c r="L133" s="98">
        <f t="shared" si="551"/>
        <v>0.05</v>
      </c>
      <c r="M133" s="139" t="s">
        <v>207</v>
      </c>
      <c r="N133" s="100">
        <f t="shared" si="552"/>
        <v>0</v>
      </c>
      <c r="O133" s="140">
        <f t="shared" si="588"/>
        <v>0</v>
      </c>
      <c r="P133" s="102" t="e">
        <f t="shared" si="13"/>
        <v>#VALUE!</v>
      </c>
      <c r="Q133" s="102" t="str">
        <f t="shared" si="553"/>
        <v/>
      </c>
      <c r="R133" s="102" t="str">
        <f t="shared" si="554"/>
        <v/>
      </c>
      <c r="S133" s="102" t="e">
        <f t="shared" si="16"/>
        <v>#VALUE!</v>
      </c>
      <c r="T133" s="103" t="e">
        <f t="shared" si="17"/>
        <v>#VALUE!</v>
      </c>
      <c r="U133" s="100">
        <f t="shared" si="555"/>
        <v>0</v>
      </c>
      <c r="V133" s="141">
        <f t="shared" si="589"/>
        <v>0</v>
      </c>
      <c r="W133" s="105" t="e">
        <f t="shared" si="19"/>
        <v>#VALUE!</v>
      </c>
      <c r="X133" s="102" t="str">
        <f t="shared" si="556"/>
        <v/>
      </c>
      <c r="Y133" s="106" t="str">
        <f t="shared" si="557"/>
        <v/>
      </c>
      <c r="Z133" s="142" t="e">
        <f t="shared" si="538"/>
        <v>#VALUE!</v>
      </c>
      <c r="AA133" s="143" t="str">
        <f t="shared" si="539"/>
        <v/>
      </c>
      <c r="AB133" s="100">
        <f t="shared" si="558"/>
        <v>22100.639999999999</v>
      </c>
      <c r="AC133" s="140">
        <f t="shared" si="590"/>
        <v>36319.418253600001</v>
      </c>
      <c r="AD133" s="102" t="e">
        <f t="shared" si="24"/>
        <v>#VALUE!</v>
      </c>
      <c r="AE133" s="102" t="str">
        <f t="shared" si="559"/>
        <v/>
      </c>
      <c r="AF133" s="102" t="str">
        <f t="shared" si="560"/>
        <v/>
      </c>
      <c r="AG133" s="199" t="e">
        <f t="shared" si="541"/>
        <v>#VALUE!</v>
      </c>
      <c r="AH133" s="158" t="str">
        <f t="shared" si="391"/>
        <v/>
      </c>
      <c r="AI133" s="147">
        <f t="shared" si="591"/>
        <v>36319.418253600001</v>
      </c>
      <c r="AJ133" s="111">
        <f t="shared" si="561"/>
        <v>4967.55</v>
      </c>
      <c r="AK133" s="102">
        <f t="shared" si="31"/>
        <v>0</v>
      </c>
      <c r="AL133" s="102" t="e">
        <f t="shared" si="32"/>
        <v>#VALUE!</v>
      </c>
      <c r="AM133" s="102" t="e">
        <f t="shared" si="33"/>
        <v>#VALUE!</v>
      </c>
      <c r="AN133" s="102" t="e">
        <f t="shared" si="34"/>
        <v>#VALUE!</v>
      </c>
      <c r="AO133" s="112" t="e">
        <f t="shared" si="35"/>
        <v>#VALUE!</v>
      </c>
      <c r="AP133" s="100">
        <f t="shared" si="562"/>
        <v>20827.07</v>
      </c>
      <c r="AQ133" s="113" t="e">
        <f t="shared" si="37"/>
        <v>#VALUE!</v>
      </c>
      <c r="AR133" s="114" t="str">
        <f t="shared" si="563"/>
        <v/>
      </c>
      <c r="AS133" s="115" t="str">
        <f t="shared" si="564"/>
        <v/>
      </c>
      <c r="AT133" s="100">
        <f t="shared" si="565"/>
        <v>0</v>
      </c>
      <c r="AU133" s="113" t="e">
        <f t="shared" si="41"/>
        <v>#VALUE!</v>
      </c>
      <c r="AV133" s="116" t="str">
        <f t="shared" si="566"/>
        <v/>
      </c>
      <c r="AW133" s="117" t="str">
        <f t="shared" si="567"/>
        <v/>
      </c>
      <c r="AX133" s="100">
        <f t="shared" si="568"/>
        <v>0</v>
      </c>
      <c r="AY133" s="113" t="e">
        <f t="shared" si="45"/>
        <v>#VALUE!</v>
      </c>
      <c r="AZ133" s="114" t="str">
        <f t="shared" si="569"/>
        <v/>
      </c>
      <c r="BA133" s="100" t="str">
        <f t="shared" si="570"/>
        <v/>
      </c>
      <c r="BB133" s="118" t="e">
        <f t="shared" ref="BB133:BD133" si="594">BH133+AY133+AU133</f>
        <v>#VALUE!</v>
      </c>
      <c r="BC133" s="116" t="e">
        <f t="shared" si="594"/>
        <v>#VALUE!</v>
      </c>
      <c r="BD133" s="119" t="e">
        <f t="shared" si="594"/>
        <v>#VALUE!</v>
      </c>
      <c r="BE133" s="118" t="e">
        <f t="shared" si="49"/>
        <v>#VALUE!</v>
      </c>
      <c r="BF133" s="116" t="e">
        <f t="shared" si="50"/>
        <v>#VALUE!</v>
      </c>
      <c r="BG133" s="119" t="e">
        <f t="shared" si="51"/>
        <v>#VALUE!</v>
      </c>
      <c r="BH133" s="114" t="e">
        <f t="shared" si="52"/>
        <v>#VALUE!</v>
      </c>
      <c r="BI133" s="114" t="str">
        <f t="shared" si="572"/>
        <v/>
      </c>
      <c r="BJ133" s="115" t="str">
        <f t="shared" si="573"/>
        <v/>
      </c>
      <c r="BK133" s="125">
        <f t="shared" si="574"/>
        <v>0</v>
      </c>
      <c r="BL133" s="120" t="e">
        <f t="shared" si="56"/>
        <v>#VALUE!</v>
      </c>
      <c r="BM133" s="121" t="str">
        <f t="shared" si="575"/>
        <v/>
      </c>
      <c r="BN133" s="119" t="str">
        <f t="shared" si="576"/>
        <v/>
      </c>
      <c r="BO133" s="125">
        <f t="shared" si="577"/>
        <v>0</v>
      </c>
      <c r="BP133" s="140" t="e">
        <f t="shared" si="60"/>
        <v>#VALUE!</v>
      </c>
      <c r="BQ133" s="123" t="str">
        <f t="shared" si="578"/>
        <v/>
      </c>
      <c r="BR133" s="125" t="str">
        <f t="shared" si="579"/>
        <v/>
      </c>
      <c r="BS133" s="122" t="e">
        <f t="shared" si="63"/>
        <v>#VALUE!</v>
      </c>
      <c r="BT133" s="123">
        <f t="shared" ref="BT133:BU133" si="595">SUM(BI133,BM133,BQ133)</f>
        <v>0</v>
      </c>
      <c r="BU133" s="124">
        <f t="shared" si="595"/>
        <v>0</v>
      </c>
      <c r="BV133" s="125">
        <f t="shared" si="581"/>
        <v>4967.55</v>
      </c>
      <c r="BW133" s="122" t="e">
        <f t="shared" si="66"/>
        <v>#VALUE!</v>
      </c>
      <c r="BX133" s="123" t="str">
        <f t="shared" si="582"/>
        <v/>
      </c>
      <c r="BY133" s="124" t="str">
        <f t="shared" si="583"/>
        <v/>
      </c>
      <c r="BZ133" s="125">
        <f t="shared" si="584"/>
        <v>0</v>
      </c>
      <c r="CA133" s="140"/>
      <c r="CB133" s="123"/>
      <c r="CC133" s="148"/>
      <c r="CD133" s="123">
        <f t="shared" si="585"/>
        <v>0</v>
      </c>
      <c r="CF133" s="149"/>
    </row>
    <row r="134" spans="1:117" ht="13">
      <c r="A134" s="92">
        <f t="shared" si="547"/>
        <v>112014760</v>
      </c>
      <c r="B134" s="172" t="str">
        <f t="shared" si="484"/>
        <v/>
      </c>
      <c r="C134" s="137" t="s">
        <v>208</v>
      </c>
      <c r="D134" s="137">
        <v>0.09</v>
      </c>
      <c r="E134" s="138"/>
      <c r="F134" s="193">
        <f t="shared" si="504"/>
        <v>1</v>
      </c>
      <c r="G134" s="97" t="s">
        <v>208</v>
      </c>
      <c r="H134" s="97">
        <v>0.09</v>
      </c>
      <c r="I134" s="97"/>
      <c r="J134" s="96">
        <f t="shared" si="549"/>
        <v>71</v>
      </c>
      <c r="K134" s="94" t="str">
        <f t="shared" si="550"/>
        <v>Lista</v>
      </c>
      <c r="L134" s="98">
        <f t="shared" si="551"/>
        <v>0.05</v>
      </c>
      <c r="M134" s="139" t="s">
        <v>209</v>
      </c>
      <c r="N134" s="100" t="str">
        <f t="shared" si="552"/>
        <v/>
      </c>
      <c r="O134" s="140">
        <v>121614.35189400001</v>
      </c>
      <c r="P134" s="102" t="e">
        <f t="shared" si="13"/>
        <v>#VALUE!</v>
      </c>
      <c r="Q134" s="102" t="str">
        <f t="shared" si="553"/>
        <v/>
      </c>
      <c r="R134" s="102" t="str">
        <f t="shared" si="554"/>
        <v/>
      </c>
      <c r="S134" s="102" t="e">
        <f t="shared" si="16"/>
        <v>#VALUE!</v>
      </c>
      <c r="T134" s="103" t="e">
        <f t="shared" si="17"/>
        <v>#VALUE!</v>
      </c>
      <c r="U134" s="100" t="str">
        <f t="shared" si="555"/>
        <v/>
      </c>
      <c r="V134" s="141">
        <v>0</v>
      </c>
      <c r="W134" s="105" t="e">
        <f t="shared" si="19"/>
        <v>#VALUE!</v>
      </c>
      <c r="X134" s="102" t="str">
        <f t="shared" si="556"/>
        <v/>
      </c>
      <c r="Y134" s="106" t="str">
        <f t="shared" si="557"/>
        <v/>
      </c>
      <c r="Z134" s="142">
        <v>139919.25</v>
      </c>
      <c r="AA134" s="143" t="s">
        <v>210</v>
      </c>
      <c r="AB134" s="100" t="str">
        <f t="shared" si="558"/>
        <v/>
      </c>
      <c r="AC134" s="140">
        <v>147765.21818124998</v>
      </c>
      <c r="AD134" s="102" t="e">
        <f t="shared" si="24"/>
        <v>#VALUE!</v>
      </c>
      <c r="AE134" s="102" t="str">
        <f t="shared" si="559"/>
        <v/>
      </c>
      <c r="AF134" s="102" t="str">
        <f t="shared" si="560"/>
        <v/>
      </c>
      <c r="AG134" s="199">
        <v>-60375.218181249977</v>
      </c>
      <c r="AH134" s="158">
        <v>0.59141116614335276</v>
      </c>
      <c r="AI134" s="147">
        <v>269379.57007525</v>
      </c>
      <c r="AJ134" s="111" t="str">
        <f t="shared" si="561"/>
        <v>0</v>
      </c>
      <c r="AK134" s="102">
        <f t="shared" si="31"/>
        <v>0</v>
      </c>
      <c r="AL134" s="102" t="e">
        <f t="shared" si="32"/>
        <v>#VALUE!</v>
      </c>
      <c r="AM134" s="102" t="e">
        <f t="shared" si="33"/>
        <v>#VALUE!</v>
      </c>
      <c r="AN134" s="102" t="e">
        <f t="shared" si="34"/>
        <v>#VALUE!</v>
      </c>
      <c r="AO134" s="112" t="e">
        <f t="shared" si="35"/>
        <v>#VALUE!</v>
      </c>
      <c r="AP134" s="100" t="str">
        <f t="shared" si="562"/>
        <v/>
      </c>
      <c r="AQ134" s="113" t="e">
        <f t="shared" si="37"/>
        <v>#VALUE!</v>
      </c>
      <c r="AR134" s="114" t="str">
        <f t="shared" si="563"/>
        <v/>
      </c>
      <c r="AS134" s="115" t="str">
        <f t="shared" si="564"/>
        <v/>
      </c>
      <c r="AT134" s="100" t="str">
        <f t="shared" si="565"/>
        <v/>
      </c>
      <c r="AU134" s="113" t="e">
        <f t="shared" si="41"/>
        <v>#VALUE!</v>
      </c>
      <c r="AV134" s="116" t="str">
        <f t="shared" si="566"/>
        <v/>
      </c>
      <c r="AW134" s="117" t="str">
        <f t="shared" si="567"/>
        <v/>
      </c>
      <c r="AX134" s="100" t="str">
        <f t="shared" si="568"/>
        <v/>
      </c>
      <c r="AY134" s="113" t="e">
        <f t="shared" si="45"/>
        <v>#VALUE!</v>
      </c>
      <c r="AZ134" s="114" t="str">
        <f t="shared" si="569"/>
        <v/>
      </c>
      <c r="BA134" s="100" t="str">
        <f t="shared" si="570"/>
        <v/>
      </c>
      <c r="BB134" s="118" t="e">
        <f t="shared" ref="BB134:BD134" si="596">BH134+AY134+AU134</f>
        <v>#VALUE!</v>
      </c>
      <c r="BC134" s="116" t="e">
        <f t="shared" si="596"/>
        <v>#VALUE!</v>
      </c>
      <c r="BD134" s="119" t="e">
        <f t="shared" si="596"/>
        <v>#VALUE!</v>
      </c>
      <c r="BE134" s="118" t="e">
        <f t="shared" si="49"/>
        <v>#VALUE!</v>
      </c>
      <c r="BF134" s="116" t="e">
        <f t="shared" si="50"/>
        <v>#VALUE!</v>
      </c>
      <c r="BG134" s="119" t="e">
        <f t="shared" si="51"/>
        <v>#VALUE!</v>
      </c>
      <c r="BH134" s="114" t="e">
        <f t="shared" si="52"/>
        <v>#VALUE!</v>
      </c>
      <c r="BI134" s="114" t="str">
        <f t="shared" si="572"/>
        <v/>
      </c>
      <c r="BJ134" s="115" t="str">
        <f t="shared" si="573"/>
        <v/>
      </c>
      <c r="BK134" s="125" t="str">
        <f t="shared" si="574"/>
        <v/>
      </c>
      <c r="BL134" s="120" t="e">
        <f t="shared" si="56"/>
        <v>#VALUE!</v>
      </c>
      <c r="BM134" s="121" t="str">
        <f t="shared" si="575"/>
        <v/>
      </c>
      <c r="BN134" s="119" t="str">
        <f t="shared" si="576"/>
        <v/>
      </c>
      <c r="BO134" s="125" t="str">
        <f t="shared" si="577"/>
        <v/>
      </c>
      <c r="BP134" s="140" t="e">
        <f t="shared" si="60"/>
        <v>#VALUE!</v>
      </c>
      <c r="BQ134" s="123" t="str">
        <f t="shared" si="578"/>
        <v/>
      </c>
      <c r="BR134" s="125" t="str">
        <f t="shared" si="579"/>
        <v/>
      </c>
      <c r="BS134" s="122" t="e">
        <f t="shared" si="63"/>
        <v>#VALUE!</v>
      </c>
      <c r="BT134" s="123">
        <f t="shared" ref="BT134:BU134" si="597">SUM(BI134,BM134,BQ134)</f>
        <v>0</v>
      </c>
      <c r="BU134" s="124">
        <f t="shared" si="597"/>
        <v>0</v>
      </c>
      <c r="BV134" s="125" t="str">
        <f t="shared" si="581"/>
        <v/>
      </c>
      <c r="BW134" s="122" t="e">
        <f t="shared" si="66"/>
        <v>#VALUE!</v>
      </c>
      <c r="BX134" s="123" t="str">
        <f t="shared" si="582"/>
        <v/>
      </c>
      <c r="BY134" s="124" t="str">
        <f t="shared" si="583"/>
        <v/>
      </c>
      <c r="BZ134" s="125" t="str">
        <f t="shared" si="584"/>
        <v/>
      </c>
      <c r="CA134" s="140"/>
      <c r="CB134" s="123"/>
      <c r="CC134" s="148"/>
      <c r="CD134" s="123" t="str">
        <f t="shared" si="585"/>
        <v/>
      </c>
      <c r="CF134" s="149"/>
    </row>
    <row r="135" spans="1:117" ht="13">
      <c r="A135" s="92">
        <f t="shared" si="547"/>
        <v>112013944</v>
      </c>
      <c r="B135" s="172">
        <f t="shared" si="484"/>
        <v>1</v>
      </c>
      <c r="C135" s="137" t="str">
        <f t="shared" ref="C135:C150" si="598">IFERROR(VLOOKUP(B135,DES,2,FALSE),"")</f>
        <v>Lista</v>
      </c>
      <c r="D135" s="137">
        <f t="shared" ref="D135:D150" si="599">IFERROR(VLOOKUP(B135,DES,3,FALSE),"")</f>
        <v>0.09</v>
      </c>
      <c r="E135" s="138">
        <f t="shared" ref="E135:E150" si="600">IFERROR(VLOOKUP(B135,DES,4,FALSE),"")</f>
        <v>0</v>
      </c>
      <c r="F135" s="193">
        <f t="shared" si="504"/>
        <v>1</v>
      </c>
      <c r="G135" s="97" t="str">
        <f t="shared" ref="G135:G150" si="601">IFERROR(VLOOKUP(F135,DES,2,FALSE),"")</f>
        <v>Lista</v>
      </c>
      <c r="H135" s="97">
        <f t="shared" ref="H135:H150" si="602">IFERROR(VLOOKUP(F135,DES,3,FALSE),"")</f>
        <v>0.09</v>
      </c>
      <c r="I135" s="97">
        <f t="shared" ref="I135:I150" si="603">IFERROR(VLOOKUP(F135,DES,4,FALSE),"")</f>
        <v>0</v>
      </c>
      <c r="J135" s="96">
        <f t="shared" si="549"/>
        <v>71</v>
      </c>
      <c r="K135" s="94" t="str">
        <f t="shared" si="550"/>
        <v>Lista</v>
      </c>
      <c r="L135" s="98">
        <f t="shared" si="551"/>
        <v>0.05</v>
      </c>
      <c r="M135" s="139" t="s">
        <v>211</v>
      </c>
      <c r="N135" s="100">
        <f t="shared" si="552"/>
        <v>72344.28</v>
      </c>
      <c r="O135" s="140">
        <f t="shared" ref="O135:O138" si="604">(N135*1.601)*1.05</f>
        <v>121614.35189400001</v>
      </c>
      <c r="P135" s="102" t="e">
        <f t="shared" si="13"/>
        <v>#VALUE!</v>
      </c>
      <c r="Q135" s="102" t="str">
        <f t="shared" si="553"/>
        <v/>
      </c>
      <c r="R135" s="102">
        <f t="shared" si="554"/>
        <v>69806.75</v>
      </c>
      <c r="S135" s="102">
        <f t="shared" si="16"/>
        <v>-51807.601894000007</v>
      </c>
      <c r="T135" s="103">
        <f t="shared" si="17"/>
        <v>0.57400092104954925</v>
      </c>
      <c r="U135" s="100">
        <f t="shared" si="555"/>
        <v>0</v>
      </c>
      <c r="V135" s="141">
        <f t="shared" ref="V135:V138" si="605">U135*1.7245</f>
        <v>0</v>
      </c>
      <c r="W135" s="105" t="e">
        <f t="shared" si="19"/>
        <v>#VALUE!</v>
      </c>
      <c r="X135" s="102" t="str">
        <f t="shared" si="556"/>
        <v/>
      </c>
      <c r="Y135" s="106">
        <f t="shared" si="557"/>
        <v>139919.25</v>
      </c>
      <c r="Z135" s="142">
        <f t="shared" ref="Z135:Z138" si="606">Y135-V135</f>
        <v>139919.25</v>
      </c>
      <c r="AA135" s="143" t="str">
        <f t="shared" ref="AA135:AA138" si="607">IFERROR(Y135/V135,"")</f>
        <v/>
      </c>
      <c r="AB135" s="100">
        <f t="shared" si="558"/>
        <v>89916.25</v>
      </c>
      <c r="AC135" s="140">
        <f t="shared" ref="AC135:AC138" si="608">(AB135*1.5955)*1.03</f>
        <v>147765.21818124998</v>
      </c>
      <c r="AD135" s="102" t="e">
        <f t="shared" si="24"/>
        <v>#VALUE!</v>
      </c>
      <c r="AE135" s="102" t="str">
        <f t="shared" si="559"/>
        <v/>
      </c>
      <c r="AF135" s="102">
        <f t="shared" si="560"/>
        <v>87390</v>
      </c>
      <c r="AG135" s="199">
        <f t="shared" ref="AG135:AG138" si="609">AF135-AC135</f>
        <v>-60375.218181249977</v>
      </c>
      <c r="AH135" s="158">
        <f t="shared" ref="AH135:AH139" si="610">IFERROR(AF135/AC135,"")</f>
        <v>0.59141116614335276</v>
      </c>
      <c r="AI135" s="147">
        <f t="shared" ref="AI135:AI138" si="611">SUM(O135,V135,AC135)</f>
        <v>269379.57007525</v>
      </c>
      <c r="AJ135" s="111">
        <f t="shared" si="561"/>
        <v>807099.13</v>
      </c>
      <c r="AK135" s="102">
        <f t="shared" si="31"/>
        <v>0</v>
      </c>
      <c r="AL135" s="102" t="e">
        <f t="shared" si="32"/>
        <v>#VALUE!</v>
      </c>
      <c r="AM135" s="102">
        <f t="shared" si="33"/>
        <v>297116</v>
      </c>
      <c r="AN135" s="102">
        <f t="shared" si="34"/>
        <v>-509983.13</v>
      </c>
      <c r="AO135" s="112">
        <f t="shared" si="35"/>
        <v>0.3681282620141097</v>
      </c>
      <c r="AP135" s="100">
        <f t="shared" si="562"/>
        <v>16004.8</v>
      </c>
      <c r="AQ135" s="113" t="e">
        <f t="shared" si="37"/>
        <v>#VALUE!</v>
      </c>
      <c r="AR135" s="114" t="str">
        <f t="shared" si="563"/>
        <v/>
      </c>
      <c r="AS135" s="115">
        <f t="shared" si="564"/>
        <v>379217.04</v>
      </c>
      <c r="AT135" s="100">
        <f t="shared" si="565"/>
        <v>30914.880000000001</v>
      </c>
      <c r="AU135" s="113" t="e">
        <f t="shared" si="41"/>
        <v>#VALUE!</v>
      </c>
      <c r="AV135" s="116" t="str">
        <f t="shared" si="566"/>
        <v/>
      </c>
      <c r="AW135" s="117">
        <f t="shared" si="567"/>
        <v>0</v>
      </c>
      <c r="AX135" s="100">
        <f t="shared" si="568"/>
        <v>128895.6</v>
      </c>
      <c r="AY135" s="113" t="e">
        <f t="shared" si="45"/>
        <v>#VALUE!</v>
      </c>
      <c r="AZ135" s="114" t="str">
        <f t="shared" si="569"/>
        <v/>
      </c>
      <c r="BA135" s="100">
        <f t="shared" si="570"/>
        <v>114854</v>
      </c>
      <c r="BB135" s="118" t="e">
        <f t="shared" ref="BB135:BD135" si="612">BH135+AY135+AU135</f>
        <v>#VALUE!</v>
      </c>
      <c r="BC135" s="116" t="e">
        <f t="shared" si="612"/>
        <v>#VALUE!</v>
      </c>
      <c r="BD135" s="119">
        <f t="shared" si="612"/>
        <v>484654.82</v>
      </c>
      <c r="BE135" s="118" t="e">
        <f t="shared" si="49"/>
        <v>#VALUE!</v>
      </c>
      <c r="BF135" s="116" t="e">
        <f t="shared" si="50"/>
        <v>#VALUE!</v>
      </c>
      <c r="BG135" s="119">
        <f t="shared" si="51"/>
        <v>781770.82000000007</v>
      </c>
      <c r="BH135" s="114" t="e">
        <f t="shared" si="52"/>
        <v>#VALUE!</v>
      </c>
      <c r="BI135" s="114" t="str">
        <f t="shared" si="572"/>
        <v/>
      </c>
      <c r="BJ135" s="115">
        <f t="shared" si="573"/>
        <v>369800.82</v>
      </c>
      <c r="BK135" s="125">
        <f t="shared" si="574"/>
        <v>22198.400000000001</v>
      </c>
      <c r="BL135" s="120" t="e">
        <f t="shared" si="56"/>
        <v>#VALUE!</v>
      </c>
      <c r="BM135" s="121" t="str">
        <f t="shared" si="575"/>
        <v/>
      </c>
      <c r="BN135" s="119">
        <f t="shared" si="576"/>
        <v>89645.05</v>
      </c>
      <c r="BO135" s="125">
        <f t="shared" si="577"/>
        <v>289900.69</v>
      </c>
      <c r="BP135" s="140" t="e">
        <f t="shared" si="60"/>
        <v>#VALUE!</v>
      </c>
      <c r="BQ135" s="123" t="str">
        <f t="shared" si="578"/>
        <v/>
      </c>
      <c r="BR135" s="125">
        <f t="shared" si="579"/>
        <v>387452.75</v>
      </c>
      <c r="BS135" s="122" t="e">
        <f t="shared" si="63"/>
        <v>#VALUE!</v>
      </c>
      <c r="BT135" s="123">
        <f t="shared" ref="BT135:BU135" si="613">SUM(BI135,BM135,BQ135)</f>
        <v>0</v>
      </c>
      <c r="BU135" s="124">
        <f t="shared" si="613"/>
        <v>846898.62</v>
      </c>
      <c r="BV135" s="125">
        <f t="shared" si="581"/>
        <v>522880.09</v>
      </c>
      <c r="BW135" s="122" t="e">
        <f t="shared" si="66"/>
        <v>#VALUE!</v>
      </c>
      <c r="BX135" s="123" t="str">
        <f t="shared" si="582"/>
        <v/>
      </c>
      <c r="BY135" s="124">
        <f t="shared" si="583"/>
        <v>1054242.74</v>
      </c>
      <c r="BZ135" s="125">
        <f t="shared" si="584"/>
        <v>0</v>
      </c>
      <c r="CA135" s="140"/>
      <c r="CB135" s="123"/>
      <c r="CC135" s="148"/>
      <c r="CD135" s="123">
        <f t="shared" si="585"/>
        <v>284219.03999999998</v>
      </c>
      <c r="CF135" s="149"/>
    </row>
    <row r="136" spans="1:117" ht="13">
      <c r="A136" s="92">
        <f t="shared" si="547"/>
        <v>112011349</v>
      </c>
      <c r="B136" s="172">
        <f t="shared" si="484"/>
        <v>1</v>
      </c>
      <c r="C136" s="137" t="str">
        <f t="shared" si="598"/>
        <v>Lista</v>
      </c>
      <c r="D136" s="137">
        <f t="shared" si="599"/>
        <v>0.09</v>
      </c>
      <c r="E136" s="138">
        <f t="shared" si="600"/>
        <v>0</v>
      </c>
      <c r="F136" s="193">
        <f t="shared" si="504"/>
        <v>1</v>
      </c>
      <c r="G136" s="97" t="str">
        <f t="shared" si="601"/>
        <v>Lista</v>
      </c>
      <c r="H136" s="97">
        <f t="shared" si="602"/>
        <v>0.09</v>
      </c>
      <c r="I136" s="97">
        <f t="shared" si="603"/>
        <v>0</v>
      </c>
      <c r="J136" s="96">
        <f t="shared" si="549"/>
        <v>71</v>
      </c>
      <c r="K136" s="94" t="str">
        <f t="shared" si="550"/>
        <v>Lista</v>
      </c>
      <c r="L136" s="98">
        <f t="shared" si="551"/>
        <v>0.05</v>
      </c>
      <c r="M136" s="139" t="s">
        <v>212</v>
      </c>
      <c r="N136" s="100">
        <f t="shared" si="552"/>
        <v>314087.09999999998</v>
      </c>
      <c r="O136" s="140">
        <f t="shared" si="604"/>
        <v>527996.11945499992</v>
      </c>
      <c r="P136" s="102">
        <f t="shared" si="13"/>
        <v>0</v>
      </c>
      <c r="Q136" s="102">
        <f t="shared" si="553"/>
        <v>0</v>
      </c>
      <c r="R136" s="102">
        <f t="shared" si="554"/>
        <v>0</v>
      </c>
      <c r="S136" s="102">
        <f t="shared" si="16"/>
        <v>-527996.11945499992</v>
      </c>
      <c r="T136" s="103">
        <f t="shared" si="17"/>
        <v>0</v>
      </c>
      <c r="U136" s="100">
        <f t="shared" si="555"/>
        <v>15143.88</v>
      </c>
      <c r="V136" s="141">
        <f t="shared" si="605"/>
        <v>26115.621059999998</v>
      </c>
      <c r="W136" s="105">
        <f t="shared" si="19"/>
        <v>22493.72</v>
      </c>
      <c r="X136" s="102">
        <f t="shared" si="556"/>
        <v>0</v>
      </c>
      <c r="Y136" s="106">
        <f t="shared" si="557"/>
        <v>22493.72</v>
      </c>
      <c r="Z136" s="142">
        <f t="shared" si="606"/>
        <v>-3621.9010599999965</v>
      </c>
      <c r="AA136" s="143">
        <f t="shared" si="607"/>
        <v>0.86131284981970113</v>
      </c>
      <c r="AB136" s="100">
        <f t="shared" si="558"/>
        <v>100433.26</v>
      </c>
      <c r="AC136" s="140">
        <f t="shared" si="608"/>
        <v>165048.50431989998</v>
      </c>
      <c r="AD136" s="102">
        <f t="shared" si="24"/>
        <v>0</v>
      </c>
      <c r="AE136" s="102">
        <f t="shared" si="559"/>
        <v>0</v>
      </c>
      <c r="AF136" s="102">
        <f t="shared" si="560"/>
        <v>0</v>
      </c>
      <c r="AG136" s="199">
        <f t="shared" si="609"/>
        <v>-165048.50431989998</v>
      </c>
      <c r="AH136" s="158">
        <f t="shared" si="610"/>
        <v>0</v>
      </c>
      <c r="AI136" s="147">
        <f t="shared" si="611"/>
        <v>719160.2448348999</v>
      </c>
      <c r="AJ136" s="111">
        <f t="shared" si="561"/>
        <v>116623.29</v>
      </c>
      <c r="AK136" s="102">
        <f t="shared" si="31"/>
        <v>0</v>
      </c>
      <c r="AL136" s="102">
        <f t="shared" si="32"/>
        <v>22493.72</v>
      </c>
      <c r="AM136" s="102">
        <f t="shared" si="33"/>
        <v>22493.72</v>
      </c>
      <c r="AN136" s="102">
        <f t="shared" si="34"/>
        <v>-94129.569999999992</v>
      </c>
      <c r="AO136" s="112">
        <f t="shared" si="35"/>
        <v>0.19287502522009115</v>
      </c>
      <c r="AP136" s="100">
        <f t="shared" si="562"/>
        <v>94809.95</v>
      </c>
      <c r="AQ136" s="113">
        <f t="shared" si="37"/>
        <v>0</v>
      </c>
      <c r="AR136" s="114">
        <f t="shared" si="563"/>
        <v>48037.66</v>
      </c>
      <c r="AS136" s="115">
        <f t="shared" si="564"/>
        <v>48037.66</v>
      </c>
      <c r="AT136" s="100">
        <f t="shared" si="565"/>
        <v>25248.65</v>
      </c>
      <c r="AU136" s="113">
        <f t="shared" si="41"/>
        <v>0</v>
      </c>
      <c r="AV136" s="116">
        <f t="shared" si="566"/>
        <v>0</v>
      </c>
      <c r="AW136" s="117">
        <f t="shared" si="567"/>
        <v>0</v>
      </c>
      <c r="AX136" s="100">
        <f t="shared" si="568"/>
        <v>277810.34000000003</v>
      </c>
      <c r="AY136" s="113">
        <f t="shared" si="45"/>
        <v>0</v>
      </c>
      <c r="AZ136" s="114">
        <f t="shared" si="569"/>
        <v>0</v>
      </c>
      <c r="BA136" s="100">
        <f t="shared" si="570"/>
        <v>0</v>
      </c>
      <c r="BB136" s="118">
        <f t="shared" ref="BB136:BD136" si="614">BH136+AY136+AU136</f>
        <v>0</v>
      </c>
      <c r="BC136" s="116">
        <f t="shared" si="614"/>
        <v>0</v>
      </c>
      <c r="BD136" s="119">
        <f t="shared" si="614"/>
        <v>0</v>
      </c>
      <c r="BE136" s="118">
        <f t="shared" si="49"/>
        <v>22493.72</v>
      </c>
      <c r="BF136" s="116">
        <f t="shared" si="50"/>
        <v>0</v>
      </c>
      <c r="BG136" s="119">
        <f t="shared" si="51"/>
        <v>22493.72</v>
      </c>
      <c r="BH136" s="114">
        <f t="shared" si="52"/>
        <v>0</v>
      </c>
      <c r="BI136" s="114">
        <f t="shared" si="572"/>
        <v>0</v>
      </c>
      <c r="BJ136" s="115">
        <f t="shared" si="573"/>
        <v>0</v>
      </c>
      <c r="BK136" s="125">
        <f t="shared" si="574"/>
        <v>14970.7</v>
      </c>
      <c r="BL136" s="120">
        <f t="shared" si="56"/>
        <v>0</v>
      </c>
      <c r="BM136" s="121">
        <f t="shared" si="575"/>
        <v>0</v>
      </c>
      <c r="BN136" s="119">
        <f t="shared" si="576"/>
        <v>0</v>
      </c>
      <c r="BO136" s="125">
        <f t="shared" si="577"/>
        <v>21880.67</v>
      </c>
      <c r="BP136" s="140">
        <f t="shared" si="60"/>
        <v>22493.72</v>
      </c>
      <c r="BQ136" s="123">
        <f t="shared" si="578"/>
        <v>0</v>
      </c>
      <c r="BR136" s="125">
        <f t="shared" si="579"/>
        <v>22493.72</v>
      </c>
      <c r="BS136" s="122">
        <f t="shared" si="63"/>
        <v>22493.72</v>
      </c>
      <c r="BT136" s="123">
        <f t="shared" ref="BT136:BU136" si="615">SUM(BI136,BM136,BQ136)</f>
        <v>0</v>
      </c>
      <c r="BU136" s="124">
        <f t="shared" si="615"/>
        <v>22493.72</v>
      </c>
      <c r="BV136" s="125">
        <f t="shared" si="581"/>
        <v>80441.84</v>
      </c>
      <c r="BW136" s="122">
        <f t="shared" si="66"/>
        <v>0</v>
      </c>
      <c r="BX136" s="123">
        <f t="shared" si="582"/>
        <v>0</v>
      </c>
      <c r="BY136" s="124">
        <f t="shared" si="583"/>
        <v>0</v>
      </c>
      <c r="BZ136" s="125">
        <f t="shared" si="584"/>
        <v>0</v>
      </c>
      <c r="CA136" s="140"/>
      <c r="CB136" s="123"/>
      <c r="CC136" s="148"/>
      <c r="CD136" s="123">
        <f t="shared" si="585"/>
        <v>36181.449999999997</v>
      </c>
      <c r="CF136" s="149"/>
    </row>
    <row r="137" spans="1:117" ht="14">
      <c r="A137" s="92">
        <f t="shared" si="547"/>
        <v>112012223</v>
      </c>
      <c r="B137" s="172">
        <f t="shared" ref="B137:B150" si="616">IFERROR(VLOOKUP(M137,BASILECARTERA,2,FALSE),"")</f>
        <v>1</v>
      </c>
      <c r="C137" s="137" t="str">
        <f t="shared" si="598"/>
        <v>Lista</v>
      </c>
      <c r="D137" s="137">
        <f t="shared" si="599"/>
        <v>0.09</v>
      </c>
      <c r="E137" s="138">
        <f t="shared" si="600"/>
        <v>0</v>
      </c>
      <c r="F137" s="193">
        <f t="shared" si="504"/>
        <v>1</v>
      </c>
      <c r="G137" s="97" t="str">
        <f t="shared" si="601"/>
        <v>Lista</v>
      </c>
      <c r="H137" s="97">
        <f t="shared" si="602"/>
        <v>0.09</v>
      </c>
      <c r="I137" s="97">
        <f t="shared" si="603"/>
        <v>0</v>
      </c>
      <c r="J137" s="96">
        <f t="shared" si="549"/>
        <v>71</v>
      </c>
      <c r="K137" s="94" t="str">
        <f t="shared" si="550"/>
        <v>Lista</v>
      </c>
      <c r="L137" s="98">
        <f t="shared" si="551"/>
        <v>0.05</v>
      </c>
      <c r="M137" s="139" t="s">
        <v>213</v>
      </c>
      <c r="N137" s="100" t="str">
        <f t="shared" si="552"/>
        <v/>
      </c>
      <c r="O137" s="140" t="e">
        <f t="shared" si="604"/>
        <v>#VALUE!</v>
      </c>
      <c r="P137" s="102" t="e">
        <f t="shared" si="13"/>
        <v>#VALUE!</v>
      </c>
      <c r="Q137" s="102" t="str">
        <f t="shared" si="553"/>
        <v/>
      </c>
      <c r="R137" s="102" t="str">
        <f t="shared" si="554"/>
        <v/>
      </c>
      <c r="S137" s="102" t="e">
        <f t="shared" si="16"/>
        <v>#VALUE!</v>
      </c>
      <c r="T137" s="103" t="e">
        <f t="shared" si="17"/>
        <v>#VALUE!</v>
      </c>
      <c r="U137" s="100" t="str">
        <f t="shared" si="555"/>
        <v/>
      </c>
      <c r="V137" s="141" t="e">
        <f t="shared" si="605"/>
        <v>#VALUE!</v>
      </c>
      <c r="W137" s="105" t="e">
        <f t="shared" si="19"/>
        <v>#VALUE!</v>
      </c>
      <c r="X137" s="102" t="str">
        <f t="shared" si="556"/>
        <v/>
      </c>
      <c r="Y137" s="106" t="str">
        <f t="shared" si="557"/>
        <v/>
      </c>
      <c r="Z137" s="142" t="e">
        <f t="shared" si="606"/>
        <v>#VALUE!</v>
      </c>
      <c r="AA137" s="143" t="str">
        <f t="shared" si="607"/>
        <v/>
      </c>
      <c r="AB137" s="100" t="str">
        <f t="shared" si="558"/>
        <v/>
      </c>
      <c r="AC137" s="140" t="e">
        <f t="shared" si="608"/>
        <v>#VALUE!</v>
      </c>
      <c r="AD137" s="102" t="e">
        <f t="shared" si="24"/>
        <v>#VALUE!</v>
      </c>
      <c r="AE137" s="102" t="str">
        <f t="shared" si="559"/>
        <v/>
      </c>
      <c r="AF137" s="102" t="str">
        <f t="shared" si="560"/>
        <v/>
      </c>
      <c r="AG137" s="199" t="e">
        <f t="shared" si="609"/>
        <v>#VALUE!</v>
      </c>
      <c r="AH137" s="158" t="str">
        <f t="shared" si="610"/>
        <v/>
      </c>
      <c r="AI137" s="147" t="e">
        <f t="shared" si="611"/>
        <v>#VALUE!</v>
      </c>
      <c r="AJ137" s="111" t="str">
        <f t="shared" si="561"/>
        <v>0</v>
      </c>
      <c r="AK137" s="102">
        <f t="shared" si="31"/>
        <v>0</v>
      </c>
      <c r="AL137" s="102" t="e">
        <f t="shared" si="32"/>
        <v>#VALUE!</v>
      </c>
      <c r="AM137" s="102" t="e">
        <f t="shared" si="33"/>
        <v>#VALUE!</v>
      </c>
      <c r="AN137" s="102" t="e">
        <f t="shared" si="34"/>
        <v>#VALUE!</v>
      </c>
      <c r="AO137" s="112" t="e">
        <f t="shared" si="35"/>
        <v>#VALUE!</v>
      </c>
      <c r="AP137" s="100" t="str">
        <f t="shared" si="562"/>
        <v/>
      </c>
      <c r="AQ137" s="113" t="e">
        <f t="shared" si="37"/>
        <v>#VALUE!</v>
      </c>
      <c r="AR137" s="114" t="str">
        <f t="shared" si="563"/>
        <v/>
      </c>
      <c r="AS137" s="115" t="str">
        <f t="shared" si="564"/>
        <v/>
      </c>
      <c r="AT137" s="100" t="str">
        <f t="shared" si="565"/>
        <v/>
      </c>
      <c r="AU137" s="113" t="e">
        <f t="shared" si="41"/>
        <v>#VALUE!</v>
      </c>
      <c r="AV137" s="116" t="str">
        <f t="shared" si="566"/>
        <v/>
      </c>
      <c r="AW137" s="117" t="str">
        <f t="shared" si="567"/>
        <v/>
      </c>
      <c r="AX137" s="100" t="str">
        <f t="shared" si="568"/>
        <v/>
      </c>
      <c r="AY137" s="113" t="e">
        <f t="shared" si="45"/>
        <v>#VALUE!</v>
      </c>
      <c r="AZ137" s="114" t="str">
        <f t="shared" si="569"/>
        <v/>
      </c>
      <c r="BA137" s="100" t="str">
        <f t="shared" si="570"/>
        <v/>
      </c>
      <c r="BB137" s="118" t="e">
        <f t="shared" ref="BB137:BD137" si="617">BH137+AY137+AU137</f>
        <v>#VALUE!</v>
      </c>
      <c r="BC137" s="116" t="e">
        <f t="shared" si="617"/>
        <v>#VALUE!</v>
      </c>
      <c r="BD137" s="119" t="e">
        <f t="shared" si="617"/>
        <v>#VALUE!</v>
      </c>
      <c r="BE137" s="118" t="e">
        <f t="shared" si="49"/>
        <v>#VALUE!</v>
      </c>
      <c r="BF137" s="116" t="e">
        <f t="shared" si="50"/>
        <v>#VALUE!</v>
      </c>
      <c r="BG137" s="119" t="e">
        <f t="shared" si="51"/>
        <v>#VALUE!</v>
      </c>
      <c r="BH137" s="114" t="e">
        <f t="shared" si="52"/>
        <v>#VALUE!</v>
      </c>
      <c r="BI137" s="114" t="str">
        <f t="shared" si="572"/>
        <v/>
      </c>
      <c r="BJ137" s="115" t="str">
        <f t="shared" si="573"/>
        <v/>
      </c>
      <c r="BK137" s="125" t="str">
        <f t="shared" si="574"/>
        <v/>
      </c>
      <c r="BL137" s="120" t="e">
        <f t="shared" si="56"/>
        <v>#VALUE!</v>
      </c>
      <c r="BM137" s="121" t="str">
        <f t="shared" si="575"/>
        <v/>
      </c>
      <c r="BN137" s="119" t="str">
        <f t="shared" si="576"/>
        <v/>
      </c>
      <c r="BO137" s="125" t="str">
        <f t="shared" si="577"/>
        <v/>
      </c>
      <c r="BP137" s="140" t="e">
        <f t="shared" si="60"/>
        <v>#VALUE!</v>
      </c>
      <c r="BQ137" s="123" t="str">
        <f t="shared" si="578"/>
        <v/>
      </c>
      <c r="BR137" s="125" t="str">
        <f t="shared" si="579"/>
        <v/>
      </c>
      <c r="BS137" s="122" t="e">
        <f t="shared" si="63"/>
        <v>#VALUE!</v>
      </c>
      <c r="BT137" s="123">
        <f t="shared" ref="BT137:BU137" si="618">SUM(BI137,BM137,BQ137)</f>
        <v>0</v>
      </c>
      <c r="BU137" s="124">
        <f t="shared" si="618"/>
        <v>0</v>
      </c>
      <c r="BV137" s="125" t="str">
        <f t="shared" si="581"/>
        <v/>
      </c>
      <c r="BW137" s="122" t="e">
        <f t="shared" si="66"/>
        <v>#VALUE!</v>
      </c>
      <c r="BX137" s="123" t="str">
        <f t="shared" si="582"/>
        <v/>
      </c>
      <c r="BY137" s="124" t="str">
        <f t="shared" si="583"/>
        <v/>
      </c>
      <c r="BZ137" s="125" t="str">
        <f t="shared" si="584"/>
        <v/>
      </c>
      <c r="CA137" s="140"/>
      <c r="CB137" s="123"/>
      <c r="CC137" s="148"/>
      <c r="CD137" s="123" t="str">
        <f t="shared" si="585"/>
        <v/>
      </c>
      <c r="CF137" s="149"/>
    </row>
    <row r="138" spans="1:117" ht="14">
      <c r="A138" s="92">
        <f t="shared" si="547"/>
        <v>112013263</v>
      </c>
      <c r="B138" s="172">
        <f t="shared" si="616"/>
        <v>1</v>
      </c>
      <c r="C138" s="137" t="str">
        <f t="shared" si="598"/>
        <v>Lista</v>
      </c>
      <c r="D138" s="137">
        <f t="shared" si="599"/>
        <v>0.09</v>
      </c>
      <c r="E138" s="138">
        <f t="shared" si="600"/>
        <v>0</v>
      </c>
      <c r="F138" s="193">
        <f t="shared" si="504"/>
        <v>1</v>
      </c>
      <c r="G138" s="97" t="str">
        <f t="shared" si="601"/>
        <v>Lista</v>
      </c>
      <c r="H138" s="97">
        <f t="shared" si="602"/>
        <v>0.09</v>
      </c>
      <c r="I138" s="97">
        <f t="shared" si="603"/>
        <v>0</v>
      </c>
      <c r="J138" s="96">
        <f t="shared" si="549"/>
        <v>71</v>
      </c>
      <c r="K138" s="94" t="str">
        <f t="shared" si="550"/>
        <v>Lista</v>
      </c>
      <c r="L138" s="98">
        <f t="shared" si="551"/>
        <v>0.05</v>
      </c>
      <c r="M138" s="139" t="s">
        <v>214</v>
      </c>
      <c r="N138" s="100">
        <f t="shared" si="552"/>
        <v>0</v>
      </c>
      <c r="O138" s="140">
        <f t="shared" si="604"/>
        <v>0</v>
      </c>
      <c r="P138" s="102">
        <f t="shared" si="13"/>
        <v>2114279.98</v>
      </c>
      <c r="Q138" s="102">
        <f t="shared" si="553"/>
        <v>0</v>
      </c>
      <c r="R138" s="102">
        <f t="shared" si="554"/>
        <v>2114279.98</v>
      </c>
      <c r="S138" s="102">
        <f t="shared" si="16"/>
        <v>2114279.98</v>
      </c>
      <c r="T138" s="103" t="e">
        <f t="shared" si="17"/>
        <v>#DIV/0!</v>
      </c>
      <c r="U138" s="100">
        <f t="shared" si="555"/>
        <v>0</v>
      </c>
      <c r="V138" s="141">
        <f t="shared" si="605"/>
        <v>0</v>
      </c>
      <c r="W138" s="105">
        <f t="shared" si="19"/>
        <v>95530.68</v>
      </c>
      <c r="X138" s="102">
        <f t="shared" si="556"/>
        <v>0</v>
      </c>
      <c r="Y138" s="106">
        <f t="shared" si="557"/>
        <v>95530.68</v>
      </c>
      <c r="Z138" s="142">
        <f t="shared" si="606"/>
        <v>95530.68</v>
      </c>
      <c r="AA138" s="143" t="str">
        <f t="shared" si="607"/>
        <v/>
      </c>
      <c r="AB138" s="100">
        <f t="shared" si="558"/>
        <v>0</v>
      </c>
      <c r="AC138" s="140">
        <f t="shared" si="608"/>
        <v>0</v>
      </c>
      <c r="AD138" s="102">
        <f t="shared" si="24"/>
        <v>2064789.11</v>
      </c>
      <c r="AE138" s="102">
        <f t="shared" si="559"/>
        <v>0</v>
      </c>
      <c r="AF138" s="102">
        <f t="shared" si="560"/>
        <v>2064789.11</v>
      </c>
      <c r="AG138" s="199">
        <f t="shared" si="609"/>
        <v>2064789.11</v>
      </c>
      <c r="AH138" s="158" t="str">
        <f t="shared" si="610"/>
        <v/>
      </c>
      <c r="AI138" s="147">
        <f t="shared" si="611"/>
        <v>0</v>
      </c>
      <c r="AJ138" s="111">
        <f t="shared" si="561"/>
        <v>333659.89</v>
      </c>
      <c r="AK138" s="102">
        <f t="shared" si="31"/>
        <v>0</v>
      </c>
      <c r="AL138" s="102">
        <f t="shared" si="32"/>
        <v>4274599.7700000005</v>
      </c>
      <c r="AM138" s="102">
        <f t="shared" si="33"/>
        <v>4274599.7699999996</v>
      </c>
      <c r="AN138" s="102">
        <f t="shared" si="34"/>
        <v>3940939.8799999994</v>
      </c>
      <c r="AO138" s="112">
        <f t="shared" si="35"/>
        <v>12.811248514168122</v>
      </c>
      <c r="AP138" s="100">
        <f t="shared" si="562"/>
        <v>0</v>
      </c>
      <c r="AQ138" s="113">
        <f t="shared" si="37"/>
        <v>1149535.93</v>
      </c>
      <c r="AR138" s="114">
        <f t="shared" si="563"/>
        <v>87553.71</v>
      </c>
      <c r="AS138" s="115">
        <f t="shared" si="564"/>
        <v>1237089.6399999999</v>
      </c>
      <c r="AT138" s="100">
        <f t="shared" si="565"/>
        <v>0</v>
      </c>
      <c r="AU138" s="113">
        <f t="shared" si="41"/>
        <v>950026.41</v>
      </c>
      <c r="AV138" s="116">
        <f t="shared" si="566"/>
        <v>39880.58</v>
      </c>
      <c r="AW138" s="117">
        <f t="shared" si="567"/>
        <v>989906.99</v>
      </c>
      <c r="AX138" s="100">
        <f t="shared" si="568"/>
        <v>0</v>
      </c>
      <c r="AY138" s="113">
        <f t="shared" si="45"/>
        <v>769478.16</v>
      </c>
      <c r="AZ138" s="114">
        <f t="shared" si="569"/>
        <v>288950.37</v>
      </c>
      <c r="BA138" s="100">
        <f t="shared" si="570"/>
        <v>1058428.53</v>
      </c>
      <c r="BB138" s="118">
        <f t="shared" ref="BB138:BD138" si="619">BH138+AY138+AU138</f>
        <v>2115108.4300000002</v>
      </c>
      <c r="BC138" s="116">
        <f t="shared" si="619"/>
        <v>437299.01</v>
      </c>
      <c r="BD138" s="119">
        <f t="shared" si="619"/>
        <v>2552407.44</v>
      </c>
      <c r="BE138" s="118">
        <f t="shared" si="49"/>
        <v>6389708.2000000011</v>
      </c>
      <c r="BF138" s="116">
        <f t="shared" si="50"/>
        <v>437299.01</v>
      </c>
      <c r="BG138" s="119">
        <f t="shared" si="51"/>
        <v>6827007.209999999</v>
      </c>
      <c r="BH138" s="114">
        <f t="shared" si="52"/>
        <v>395603.86</v>
      </c>
      <c r="BI138" s="114">
        <f t="shared" si="572"/>
        <v>108468.06</v>
      </c>
      <c r="BJ138" s="115">
        <f t="shared" si="573"/>
        <v>504071.92</v>
      </c>
      <c r="BK138" s="125">
        <f t="shared" si="574"/>
        <v>0</v>
      </c>
      <c r="BL138" s="120">
        <f t="shared" si="56"/>
        <v>633694.67000000004</v>
      </c>
      <c r="BM138" s="121">
        <f t="shared" si="575"/>
        <v>94114.61</v>
      </c>
      <c r="BN138" s="119">
        <f t="shared" si="576"/>
        <v>727809.28</v>
      </c>
      <c r="BO138" s="125">
        <f t="shared" si="577"/>
        <v>0</v>
      </c>
      <c r="BP138" s="140">
        <f t="shared" si="60"/>
        <v>675148.79</v>
      </c>
      <c r="BQ138" s="123">
        <f t="shared" si="578"/>
        <v>47856.57</v>
      </c>
      <c r="BR138" s="125">
        <f t="shared" si="579"/>
        <v>723005.36</v>
      </c>
      <c r="BS138" s="122">
        <f t="shared" si="63"/>
        <v>1704447.32</v>
      </c>
      <c r="BT138" s="123">
        <f t="shared" ref="BT138:BU138" si="620">SUM(BI138,BM138,BQ138)</f>
        <v>250439.24</v>
      </c>
      <c r="BU138" s="124">
        <f t="shared" si="620"/>
        <v>1954886.56</v>
      </c>
      <c r="BV138" s="125">
        <f t="shared" si="581"/>
        <v>0</v>
      </c>
      <c r="BW138" s="122">
        <f t="shared" si="66"/>
        <v>845606.17999999993</v>
      </c>
      <c r="BX138" s="123">
        <f t="shared" si="582"/>
        <v>150119.78</v>
      </c>
      <c r="BY138" s="124">
        <f t="shared" si="583"/>
        <v>995725.96</v>
      </c>
      <c r="BZ138" s="125">
        <f t="shared" si="584"/>
        <v>0</v>
      </c>
      <c r="CA138" s="140"/>
      <c r="CB138" s="123"/>
      <c r="CC138" s="148"/>
      <c r="CD138" s="123">
        <f t="shared" si="585"/>
        <v>333659.89</v>
      </c>
      <c r="CF138" s="149"/>
    </row>
    <row r="139" spans="1:117" ht="14">
      <c r="A139" s="92">
        <f t="shared" si="547"/>
        <v>112014660</v>
      </c>
      <c r="B139" s="172">
        <f t="shared" si="616"/>
        <v>1</v>
      </c>
      <c r="C139" s="137" t="str">
        <f t="shared" si="598"/>
        <v>Lista</v>
      </c>
      <c r="D139" s="137">
        <f t="shared" si="599"/>
        <v>0.09</v>
      </c>
      <c r="E139" s="138">
        <f t="shared" si="600"/>
        <v>0</v>
      </c>
      <c r="F139" s="193">
        <f t="shared" si="504"/>
        <v>1</v>
      </c>
      <c r="G139" s="97" t="str">
        <f t="shared" si="601"/>
        <v>Lista</v>
      </c>
      <c r="H139" s="97">
        <f t="shared" si="602"/>
        <v>0.09</v>
      </c>
      <c r="I139" s="97">
        <f t="shared" si="603"/>
        <v>0</v>
      </c>
      <c r="J139" s="96">
        <f t="shared" si="549"/>
        <v>71</v>
      </c>
      <c r="K139" s="94" t="str">
        <f t="shared" si="550"/>
        <v>Lista</v>
      </c>
      <c r="L139" s="98">
        <f t="shared" si="551"/>
        <v>0.05</v>
      </c>
      <c r="M139" s="139" t="s">
        <v>215</v>
      </c>
      <c r="N139" s="100" t="str">
        <f t="shared" si="552"/>
        <v/>
      </c>
      <c r="O139" s="140"/>
      <c r="P139" s="102" t="e">
        <f t="shared" si="13"/>
        <v>#VALUE!</v>
      </c>
      <c r="Q139" s="102" t="str">
        <f t="shared" si="553"/>
        <v/>
      </c>
      <c r="R139" s="102">
        <f t="shared" si="554"/>
        <v>0</v>
      </c>
      <c r="S139" s="102">
        <f t="shared" si="16"/>
        <v>0</v>
      </c>
      <c r="T139" s="103" t="e">
        <f t="shared" si="17"/>
        <v>#DIV/0!</v>
      </c>
      <c r="U139" s="100" t="str">
        <f t="shared" si="555"/>
        <v/>
      </c>
      <c r="V139" s="141"/>
      <c r="W139" s="105" t="e">
        <f t="shared" si="19"/>
        <v>#VALUE!</v>
      </c>
      <c r="X139" s="102" t="str">
        <f t="shared" si="556"/>
        <v/>
      </c>
      <c r="Y139" s="106">
        <f t="shared" si="557"/>
        <v>91964.64</v>
      </c>
      <c r="Z139" s="142"/>
      <c r="AA139" s="143"/>
      <c r="AB139" s="100" t="str">
        <f t="shared" si="558"/>
        <v/>
      </c>
      <c r="AC139" s="140"/>
      <c r="AD139" s="102" t="e">
        <f t="shared" si="24"/>
        <v>#VALUE!</v>
      </c>
      <c r="AE139" s="102" t="str">
        <f t="shared" si="559"/>
        <v/>
      </c>
      <c r="AF139" s="102">
        <f t="shared" si="560"/>
        <v>302071.08</v>
      </c>
      <c r="AG139" s="199"/>
      <c r="AH139" s="158" t="str">
        <f t="shared" si="610"/>
        <v/>
      </c>
      <c r="AI139" s="147"/>
      <c r="AJ139" s="111" t="str">
        <f t="shared" si="561"/>
        <v>0</v>
      </c>
      <c r="AK139" s="102">
        <f t="shared" si="31"/>
        <v>0</v>
      </c>
      <c r="AL139" s="102" t="e">
        <f t="shared" si="32"/>
        <v>#VALUE!</v>
      </c>
      <c r="AM139" s="102">
        <f t="shared" si="33"/>
        <v>394035.72000000003</v>
      </c>
      <c r="AN139" s="102">
        <f t="shared" si="34"/>
        <v>394035.72000000003</v>
      </c>
      <c r="AO139" s="112" t="e">
        <f t="shared" si="35"/>
        <v>#DIV/0!</v>
      </c>
      <c r="AP139" s="100" t="str">
        <f t="shared" si="562"/>
        <v/>
      </c>
      <c r="AQ139" s="113" t="e">
        <f t="shared" si="37"/>
        <v>#VALUE!</v>
      </c>
      <c r="AR139" s="114" t="str">
        <f t="shared" si="563"/>
        <v/>
      </c>
      <c r="AS139" s="115">
        <f t="shared" si="564"/>
        <v>538767.43999999994</v>
      </c>
      <c r="AT139" s="100" t="str">
        <f t="shared" si="565"/>
        <v/>
      </c>
      <c r="AU139" s="113" t="e">
        <f t="shared" si="41"/>
        <v>#VALUE!</v>
      </c>
      <c r="AV139" s="116" t="str">
        <f t="shared" si="566"/>
        <v/>
      </c>
      <c r="AW139" s="117">
        <f t="shared" si="567"/>
        <v>559522.13</v>
      </c>
      <c r="AX139" s="100" t="str">
        <f t="shared" si="568"/>
        <v/>
      </c>
      <c r="AY139" s="113" t="e">
        <f t="shared" si="45"/>
        <v>#VALUE!</v>
      </c>
      <c r="AZ139" s="114" t="str">
        <f t="shared" si="569"/>
        <v/>
      </c>
      <c r="BA139" s="100">
        <f t="shared" si="570"/>
        <v>678097.45</v>
      </c>
      <c r="BB139" s="118" t="e">
        <f t="shared" ref="BB139:BD139" si="621">BH139+AY139+AU139</f>
        <v>#VALUE!</v>
      </c>
      <c r="BC139" s="116" t="e">
        <f t="shared" si="621"/>
        <v>#VALUE!</v>
      </c>
      <c r="BD139" s="119">
        <f t="shared" si="621"/>
        <v>1237619.58</v>
      </c>
      <c r="BE139" s="118" t="e">
        <f t="shared" si="49"/>
        <v>#VALUE!</v>
      </c>
      <c r="BF139" s="116" t="e">
        <f t="shared" si="50"/>
        <v>#VALUE!</v>
      </c>
      <c r="BG139" s="119">
        <f t="shared" si="51"/>
        <v>1631655.3</v>
      </c>
      <c r="BH139" s="114" t="e">
        <f t="shared" si="52"/>
        <v>#VALUE!</v>
      </c>
      <c r="BI139" s="114" t="str">
        <f t="shared" si="572"/>
        <v/>
      </c>
      <c r="BJ139" s="115">
        <f t="shared" si="573"/>
        <v>0</v>
      </c>
      <c r="BK139" s="125" t="str">
        <f t="shared" si="574"/>
        <v/>
      </c>
      <c r="BL139" s="120" t="e">
        <f t="shared" si="56"/>
        <v>#VALUE!</v>
      </c>
      <c r="BM139" s="121" t="str">
        <f t="shared" si="575"/>
        <v/>
      </c>
      <c r="BN139" s="119">
        <f t="shared" si="576"/>
        <v>199405.08</v>
      </c>
      <c r="BO139" s="125" t="str">
        <f t="shared" si="577"/>
        <v/>
      </c>
      <c r="BP139" s="140" t="e">
        <f t="shared" si="60"/>
        <v>#VALUE!</v>
      </c>
      <c r="BQ139" s="123" t="str">
        <f t="shared" si="578"/>
        <v/>
      </c>
      <c r="BR139" s="125">
        <f t="shared" si="579"/>
        <v>169421.5</v>
      </c>
      <c r="BS139" s="122" t="e">
        <f t="shared" si="63"/>
        <v>#VALUE!</v>
      </c>
      <c r="BT139" s="123">
        <f t="shared" ref="BT139:BU139" si="622">SUM(BI139,BM139,BQ139)</f>
        <v>0</v>
      </c>
      <c r="BU139" s="124">
        <f t="shared" si="622"/>
        <v>368826.57999999996</v>
      </c>
      <c r="BV139" s="125" t="str">
        <f t="shared" si="581"/>
        <v/>
      </c>
      <c r="BW139" s="122" t="e">
        <f t="shared" si="66"/>
        <v>#VALUE!</v>
      </c>
      <c r="BX139" s="123" t="str">
        <f t="shared" si="582"/>
        <v/>
      </c>
      <c r="BY139" s="124">
        <f t="shared" si="583"/>
        <v>437770.14</v>
      </c>
      <c r="BZ139" s="125" t="str">
        <f t="shared" si="584"/>
        <v/>
      </c>
      <c r="CA139" s="140"/>
      <c r="CB139" s="123"/>
      <c r="CC139" s="148"/>
      <c r="CD139" s="123" t="str">
        <f t="shared" si="585"/>
        <v/>
      </c>
      <c r="CF139" s="149"/>
    </row>
    <row r="140" spans="1:117" ht="14">
      <c r="A140" s="92">
        <f t="shared" si="547"/>
        <v>112014775</v>
      </c>
      <c r="B140" s="172" t="str">
        <f t="shared" si="616"/>
        <v/>
      </c>
      <c r="C140" s="190" t="str">
        <f t="shared" si="598"/>
        <v/>
      </c>
      <c r="D140" s="191" t="str">
        <f t="shared" si="599"/>
        <v/>
      </c>
      <c r="E140" s="192" t="str">
        <f t="shared" si="600"/>
        <v/>
      </c>
      <c r="F140" s="193" t="str">
        <f t="shared" si="504"/>
        <v/>
      </c>
      <c r="G140" s="194" t="str">
        <f t="shared" si="601"/>
        <v/>
      </c>
      <c r="H140" s="195" t="str">
        <f t="shared" si="602"/>
        <v/>
      </c>
      <c r="I140" s="196" t="str">
        <f t="shared" si="603"/>
        <v/>
      </c>
      <c r="J140" s="96">
        <f t="shared" si="549"/>
        <v>70</v>
      </c>
      <c r="K140" s="256" t="str">
        <f t="shared" si="550"/>
        <v>Lista</v>
      </c>
      <c r="L140" s="98">
        <f t="shared" si="551"/>
        <v>0.11</v>
      </c>
      <c r="M140" s="198" t="s">
        <v>216</v>
      </c>
      <c r="N140" s="199" t="str">
        <f t="shared" si="552"/>
        <v/>
      </c>
      <c r="O140" s="200" t="e">
        <f t="shared" ref="O140:O150" si="623">(N140*1.601)*1.05</f>
        <v>#VALUE!</v>
      </c>
      <c r="P140" s="102" t="e">
        <f t="shared" si="13"/>
        <v>#VALUE!</v>
      </c>
      <c r="Q140" s="201" t="str">
        <f t="shared" si="553"/>
        <v/>
      </c>
      <c r="R140" s="102" t="str">
        <f t="shared" si="554"/>
        <v/>
      </c>
      <c r="S140" s="102" t="e">
        <f t="shared" si="16"/>
        <v>#VALUE!</v>
      </c>
      <c r="T140" s="202" t="e">
        <f t="shared" si="17"/>
        <v>#VALUE!</v>
      </c>
      <c r="U140" s="199" t="str">
        <f t="shared" si="555"/>
        <v/>
      </c>
      <c r="V140" s="203">
        <v>3000000</v>
      </c>
      <c r="W140" s="105" t="e">
        <f t="shared" si="19"/>
        <v>#VALUE!</v>
      </c>
      <c r="X140" s="102" t="str">
        <f t="shared" si="556"/>
        <v/>
      </c>
      <c r="Y140" s="106" t="str">
        <f t="shared" si="557"/>
        <v/>
      </c>
      <c r="Z140" s="142" t="e">
        <f t="shared" ref="Z140:Z150" si="624">Y140-V140</f>
        <v>#VALUE!</v>
      </c>
      <c r="AA140" s="204" t="e">
        <f t="shared" ref="AA140:AA141" si="625">Y140/V140</f>
        <v>#VALUE!</v>
      </c>
      <c r="AB140" s="199" t="str">
        <f t="shared" si="558"/>
        <v/>
      </c>
      <c r="AC140" s="205">
        <v>3000000</v>
      </c>
      <c r="AD140" s="102" t="e">
        <f t="shared" si="24"/>
        <v>#VALUE!</v>
      </c>
      <c r="AE140" s="201" t="str">
        <f t="shared" si="559"/>
        <v/>
      </c>
      <c r="AF140" s="102" t="str">
        <f t="shared" si="560"/>
        <v/>
      </c>
      <c r="AG140" s="206" t="e">
        <f t="shared" ref="AG140:AG150" si="626">AF140-AC140</f>
        <v>#VALUE!</v>
      </c>
      <c r="AH140" s="207" t="e">
        <f t="shared" ref="AH140:AH141" si="627">AF140/AC140</f>
        <v>#VALUE!</v>
      </c>
      <c r="AI140" s="208" t="e">
        <f t="shared" ref="AI140:AI150" si="628">SUM(O140,V140,AC140)</f>
        <v>#VALUE!</v>
      </c>
      <c r="AJ140" s="209" t="str">
        <f t="shared" si="561"/>
        <v>0</v>
      </c>
      <c r="AK140" s="102">
        <f t="shared" si="31"/>
        <v>0</v>
      </c>
      <c r="AL140" s="102" t="e">
        <f t="shared" si="32"/>
        <v>#VALUE!</v>
      </c>
      <c r="AM140" s="102" t="e">
        <f t="shared" si="33"/>
        <v>#VALUE!</v>
      </c>
      <c r="AN140" s="201" t="e">
        <f t="shared" si="34"/>
        <v>#VALUE!</v>
      </c>
      <c r="AO140" s="210" t="e">
        <f t="shared" si="35"/>
        <v>#VALUE!</v>
      </c>
      <c r="AP140" s="199" t="str">
        <f t="shared" si="562"/>
        <v/>
      </c>
      <c r="AQ140" s="211" t="e">
        <f t="shared" si="37"/>
        <v>#VALUE!</v>
      </c>
      <c r="AR140" s="212" t="str">
        <f t="shared" si="563"/>
        <v/>
      </c>
      <c r="AS140" s="213" t="str">
        <f t="shared" si="564"/>
        <v/>
      </c>
      <c r="AT140" s="199" t="str">
        <f t="shared" si="565"/>
        <v/>
      </c>
      <c r="AU140" s="214" t="e">
        <f t="shared" si="41"/>
        <v>#VALUE!</v>
      </c>
      <c r="AV140" s="215" t="str">
        <f t="shared" si="566"/>
        <v/>
      </c>
      <c r="AW140" s="106" t="str">
        <f t="shared" si="567"/>
        <v/>
      </c>
      <c r="AX140" s="216" t="str">
        <f t="shared" si="568"/>
        <v/>
      </c>
      <c r="AY140" s="211" t="e">
        <f t="shared" si="45"/>
        <v>#VALUE!</v>
      </c>
      <c r="AZ140" s="212" t="str">
        <f t="shared" si="569"/>
        <v/>
      </c>
      <c r="BA140" s="199" t="str">
        <f t="shared" si="570"/>
        <v/>
      </c>
      <c r="BB140" s="217" t="e">
        <f t="shared" ref="BB140:BD140" si="629">BH140+AY140+AU140</f>
        <v>#VALUE!</v>
      </c>
      <c r="BC140" s="215" t="e">
        <f t="shared" si="629"/>
        <v>#VALUE!</v>
      </c>
      <c r="BD140" s="218" t="e">
        <f t="shared" si="629"/>
        <v>#VALUE!</v>
      </c>
      <c r="BE140" s="219" t="e">
        <f t="shared" si="49"/>
        <v>#VALUE!</v>
      </c>
      <c r="BF140" s="102" t="e">
        <f t="shared" si="50"/>
        <v>#VALUE!</v>
      </c>
      <c r="BG140" s="218" t="e">
        <f t="shared" si="51"/>
        <v>#VALUE!</v>
      </c>
      <c r="BH140" s="212" t="e">
        <f t="shared" si="52"/>
        <v>#VALUE!</v>
      </c>
      <c r="BI140" s="107" t="str">
        <f t="shared" si="572"/>
        <v/>
      </c>
      <c r="BJ140" s="220" t="str">
        <f t="shared" si="573"/>
        <v/>
      </c>
      <c r="BK140" s="221" t="str">
        <f t="shared" si="574"/>
        <v/>
      </c>
      <c r="BL140" s="222" t="e">
        <f t="shared" si="56"/>
        <v>#VALUE!</v>
      </c>
      <c r="BM140" s="223" t="str">
        <f t="shared" si="575"/>
        <v/>
      </c>
      <c r="BN140" s="218" t="str">
        <f t="shared" si="576"/>
        <v/>
      </c>
      <c r="BO140" s="221" t="str">
        <f t="shared" si="577"/>
        <v/>
      </c>
      <c r="BP140" s="200" t="e">
        <f t="shared" si="60"/>
        <v>#VALUE!</v>
      </c>
      <c r="BQ140" s="224" t="str">
        <f t="shared" si="578"/>
        <v/>
      </c>
      <c r="BR140" s="225" t="str">
        <f t="shared" si="579"/>
        <v/>
      </c>
      <c r="BS140" s="226" t="e">
        <f t="shared" si="63"/>
        <v>#VALUE!</v>
      </c>
      <c r="BT140" s="224">
        <f t="shared" ref="BT140:BU140" si="630">SUM(BI140,BM140,BQ140)</f>
        <v>0</v>
      </c>
      <c r="BU140" s="227">
        <f t="shared" si="630"/>
        <v>0</v>
      </c>
      <c r="BV140" s="221" t="str">
        <f t="shared" si="581"/>
        <v/>
      </c>
      <c r="BW140" s="122" t="e">
        <f t="shared" si="66"/>
        <v>#VALUE!</v>
      </c>
      <c r="BX140" s="123" t="str">
        <f t="shared" si="582"/>
        <v/>
      </c>
      <c r="BY140" s="124" t="str">
        <f t="shared" si="583"/>
        <v/>
      </c>
      <c r="BZ140" s="221" t="str">
        <f t="shared" si="584"/>
        <v/>
      </c>
      <c r="CA140" s="200"/>
      <c r="CB140" s="142"/>
      <c r="CC140" s="228"/>
      <c r="CD140" s="142" t="str">
        <f t="shared" si="585"/>
        <v/>
      </c>
      <c r="CE140" s="229"/>
      <c r="CF140" s="229"/>
      <c r="CG140" s="230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</row>
    <row r="141" spans="1:117" ht="17.25" customHeight="1">
      <c r="A141" s="92">
        <f t="shared" si="547"/>
        <v>112014778</v>
      </c>
      <c r="B141" s="172" t="str">
        <f t="shared" si="616"/>
        <v/>
      </c>
      <c r="C141" s="137" t="str">
        <f t="shared" si="598"/>
        <v/>
      </c>
      <c r="D141" s="137" t="str">
        <f t="shared" si="599"/>
        <v/>
      </c>
      <c r="E141" s="138" t="str">
        <f t="shared" si="600"/>
        <v/>
      </c>
      <c r="F141" s="193" t="str">
        <f t="shared" si="504"/>
        <v/>
      </c>
      <c r="G141" s="97" t="str">
        <f t="shared" si="601"/>
        <v/>
      </c>
      <c r="H141" s="97" t="str">
        <f t="shared" si="602"/>
        <v/>
      </c>
      <c r="I141" s="97" t="str">
        <f t="shared" si="603"/>
        <v/>
      </c>
      <c r="J141" s="96">
        <f t="shared" si="549"/>
        <v>0</v>
      </c>
      <c r="K141" s="94" t="str">
        <f t="shared" si="550"/>
        <v/>
      </c>
      <c r="L141" s="98" t="str">
        <f t="shared" si="551"/>
        <v/>
      </c>
      <c r="M141" s="257" t="s">
        <v>217</v>
      </c>
      <c r="N141" s="100" t="str">
        <f t="shared" si="552"/>
        <v/>
      </c>
      <c r="O141" s="140" t="e">
        <f t="shared" si="623"/>
        <v>#VALUE!</v>
      </c>
      <c r="P141" s="102" t="e">
        <f t="shared" si="13"/>
        <v>#VALUE!</v>
      </c>
      <c r="Q141" s="102" t="str">
        <f t="shared" si="553"/>
        <v/>
      </c>
      <c r="R141" s="102" t="str">
        <f t="shared" si="554"/>
        <v/>
      </c>
      <c r="S141" s="102" t="e">
        <f t="shared" si="16"/>
        <v>#VALUE!</v>
      </c>
      <c r="T141" s="103" t="e">
        <f t="shared" si="17"/>
        <v>#VALUE!</v>
      </c>
      <c r="U141" s="100" t="str">
        <f t="shared" si="555"/>
        <v/>
      </c>
      <c r="V141" s="174">
        <v>3000000</v>
      </c>
      <c r="W141" s="105" t="e">
        <f t="shared" si="19"/>
        <v>#VALUE!</v>
      </c>
      <c r="X141" s="102" t="str">
        <f t="shared" si="556"/>
        <v/>
      </c>
      <c r="Y141" s="106" t="str">
        <f t="shared" si="557"/>
        <v/>
      </c>
      <c r="Z141" s="142" t="e">
        <f t="shared" si="624"/>
        <v>#VALUE!</v>
      </c>
      <c r="AA141" s="143" t="e">
        <f t="shared" si="625"/>
        <v>#VALUE!</v>
      </c>
      <c r="AB141" s="100" t="str">
        <f t="shared" si="558"/>
        <v/>
      </c>
      <c r="AC141" s="173">
        <v>3000000</v>
      </c>
      <c r="AD141" s="102" t="e">
        <f t="shared" si="24"/>
        <v>#VALUE!</v>
      </c>
      <c r="AE141" s="102" t="str">
        <f t="shared" si="559"/>
        <v/>
      </c>
      <c r="AF141" s="102" t="str">
        <f t="shared" si="560"/>
        <v/>
      </c>
      <c r="AG141" s="145" t="e">
        <f t="shared" si="626"/>
        <v>#VALUE!</v>
      </c>
      <c r="AH141" s="158" t="e">
        <f t="shared" si="627"/>
        <v>#VALUE!</v>
      </c>
      <c r="AI141" s="147" t="e">
        <f t="shared" si="628"/>
        <v>#VALUE!</v>
      </c>
      <c r="AJ141" s="111" t="str">
        <f t="shared" si="561"/>
        <v>0</v>
      </c>
      <c r="AK141" s="102">
        <f t="shared" si="31"/>
        <v>0</v>
      </c>
      <c r="AL141" s="102" t="e">
        <f t="shared" si="32"/>
        <v>#VALUE!</v>
      </c>
      <c r="AM141" s="102" t="e">
        <f t="shared" si="33"/>
        <v>#VALUE!</v>
      </c>
      <c r="AN141" s="102" t="e">
        <f t="shared" si="34"/>
        <v>#VALUE!</v>
      </c>
      <c r="AO141" s="112" t="e">
        <f t="shared" si="35"/>
        <v>#VALUE!</v>
      </c>
      <c r="AP141" s="100" t="str">
        <f t="shared" si="562"/>
        <v/>
      </c>
      <c r="AQ141" s="113" t="e">
        <f t="shared" si="37"/>
        <v>#VALUE!</v>
      </c>
      <c r="AR141" s="114" t="str">
        <f t="shared" si="563"/>
        <v/>
      </c>
      <c r="AS141" s="115" t="str">
        <f t="shared" si="564"/>
        <v/>
      </c>
      <c r="AT141" s="100" t="str">
        <f t="shared" si="565"/>
        <v/>
      </c>
      <c r="AU141" s="113" t="e">
        <f t="shared" si="41"/>
        <v>#VALUE!</v>
      </c>
      <c r="AV141" s="116" t="str">
        <f t="shared" si="566"/>
        <v/>
      </c>
      <c r="AW141" s="117" t="str">
        <f t="shared" si="567"/>
        <v/>
      </c>
      <c r="AX141" s="100" t="str">
        <f t="shared" si="568"/>
        <v/>
      </c>
      <c r="AY141" s="113" t="e">
        <f t="shared" si="45"/>
        <v>#VALUE!</v>
      </c>
      <c r="AZ141" s="114" t="str">
        <f t="shared" si="569"/>
        <v/>
      </c>
      <c r="BA141" s="100" t="str">
        <f t="shared" si="570"/>
        <v/>
      </c>
      <c r="BB141" s="118" t="e">
        <f t="shared" ref="BB141:BD141" si="631">BH141+AY141+AU141</f>
        <v>#VALUE!</v>
      </c>
      <c r="BC141" s="116" t="e">
        <f t="shared" si="631"/>
        <v>#VALUE!</v>
      </c>
      <c r="BD141" s="119" t="e">
        <f t="shared" si="631"/>
        <v>#VALUE!</v>
      </c>
      <c r="BE141" s="118" t="e">
        <f t="shared" si="49"/>
        <v>#VALUE!</v>
      </c>
      <c r="BF141" s="116" t="e">
        <f t="shared" si="50"/>
        <v>#VALUE!</v>
      </c>
      <c r="BG141" s="119" t="e">
        <f t="shared" si="51"/>
        <v>#VALUE!</v>
      </c>
      <c r="BH141" s="114" t="e">
        <f t="shared" si="52"/>
        <v>#VALUE!</v>
      </c>
      <c r="BI141" s="114" t="str">
        <f t="shared" si="572"/>
        <v/>
      </c>
      <c r="BJ141" s="115" t="str">
        <f t="shared" si="573"/>
        <v/>
      </c>
      <c r="BK141" s="125" t="str">
        <f t="shared" si="574"/>
        <v/>
      </c>
      <c r="BL141" s="120" t="e">
        <f t="shared" si="56"/>
        <v>#VALUE!</v>
      </c>
      <c r="BM141" s="121" t="str">
        <f t="shared" si="575"/>
        <v/>
      </c>
      <c r="BN141" s="119" t="str">
        <f t="shared" si="576"/>
        <v/>
      </c>
      <c r="BO141" s="125" t="str">
        <f t="shared" si="577"/>
        <v/>
      </c>
      <c r="BP141" s="140" t="e">
        <f t="shared" si="60"/>
        <v>#VALUE!</v>
      </c>
      <c r="BQ141" s="123" t="str">
        <f t="shared" si="578"/>
        <v/>
      </c>
      <c r="BR141" s="125" t="str">
        <f t="shared" si="579"/>
        <v/>
      </c>
      <c r="BS141" s="122" t="e">
        <f t="shared" si="63"/>
        <v>#VALUE!</v>
      </c>
      <c r="BT141" s="123">
        <f t="shared" ref="BT141:BU141" si="632">SUM(BI141,BM141,BQ141)</f>
        <v>0</v>
      </c>
      <c r="BU141" s="124">
        <f t="shared" si="632"/>
        <v>0</v>
      </c>
      <c r="BV141" s="125" t="str">
        <f t="shared" si="581"/>
        <v/>
      </c>
      <c r="BW141" s="122" t="e">
        <f t="shared" si="66"/>
        <v>#VALUE!</v>
      </c>
      <c r="BX141" s="123" t="str">
        <f t="shared" si="582"/>
        <v/>
      </c>
      <c r="BY141" s="124" t="str">
        <f t="shared" si="583"/>
        <v/>
      </c>
      <c r="BZ141" s="125" t="str">
        <f t="shared" si="584"/>
        <v/>
      </c>
      <c r="CA141" s="140"/>
      <c r="CB141" s="123"/>
      <c r="CC141" s="148"/>
      <c r="CD141" s="123" t="str">
        <f t="shared" si="585"/>
        <v/>
      </c>
      <c r="CF141" s="126"/>
      <c r="CG141" s="127"/>
      <c r="CI141" s="188"/>
    </row>
    <row r="142" spans="1:117" ht="14">
      <c r="A142" s="92">
        <f t="shared" si="547"/>
        <v>112013085</v>
      </c>
      <c r="B142" s="172">
        <f t="shared" si="616"/>
        <v>0</v>
      </c>
      <c r="C142" s="137" t="str">
        <f t="shared" si="598"/>
        <v/>
      </c>
      <c r="D142" s="137" t="str">
        <f t="shared" si="599"/>
        <v/>
      </c>
      <c r="E142" s="138" t="str">
        <f t="shared" si="600"/>
        <v/>
      </c>
      <c r="F142" s="193">
        <f t="shared" si="504"/>
        <v>0</v>
      </c>
      <c r="G142" s="97" t="str">
        <f t="shared" si="601"/>
        <v/>
      </c>
      <c r="H142" s="97" t="str">
        <f t="shared" si="602"/>
        <v/>
      </c>
      <c r="I142" s="97" t="str">
        <f t="shared" si="603"/>
        <v/>
      </c>
      <c r="J142" s="96">
        <f t="shared" si="549"/>
        <v>0</v>
      </c>
      <c r="K142" s="94" t="str">
        <f t="shared" si="550"/>
        <v/>
      </c>
      <c r="L142" s="98" t="str">
        <f t="shared" si="551"/>
        <v/>
      </c>
      <c r="M142" s="139" t="s">
        <v>218</v>
      </c>
      <c r="N142" s="100" t="str">
        <f t="shared" si="552"/>
        <v/>
      </c>
      <c r="O142" s="140" t="e">
        <f t="shared" si="623"/>
        <v>#VALUE!</v>
      </c>
      <c r="P142" s="102" t="e">
        <f t="shared" si="13"/>
        <v>#VALUE!</v>
      </c>
      <c r="Q142" s="102" t="str">
        <f t="shared" si="553"/>
        <v/>
      </c>
      <c r="R142" s="102" t="str">
        <f t="shared" si="554"/>
        <v/>
      </c>
      <c r="S142" s="102" t="e">
        <f t="shared" si="16"/>
        <v>#VALUE!</v>
      </c>
      <c r="T142" s="103" t="e">
        <f t="shared" si="17"/>
        <v>#VALUE!</v>
      </c>
      <c r="U142" s="100" t="str">
        <f t="shared" si="555"/>
        <v/>
      </c>
      <c r="V142" s="141" t="e">
        <f t="shared" ref="V142:V150" si="633">U142*1.7245</f>
        <v>#VALUE!</v>
      </c>
      <c r="W142" s="105" t="e">
        <f t="shared" si="19"/>
        <v>#VALUE!</v>
      </c>
      <c r="X142" s="102" t="str">
        <f t="shared" si="556"/>
        <v/>
      </c>
      <c r="Y142" s="106" t="str">
        <f t="shared" si="557"/>
        <v/>
      </c>
      <c r="Z142" s="142" t="e">
        <f t="shared" si="624"/>
        <v>#VALUE!</v>
      </c>
      <c r="AA142" s="143" t="str">
        <f t="shared" ref="AA142:AA150" si="634">IFERROR(Y142/V142,"")</f>
        <v/>
      </c>
      <c r="AB142" s="100" t="str">
        <f t="shared" si="558"/>
        <v/>
      </c>
      <c r="AC142" s="140" t="e">
        <f t="shared" ref="AC142:AC150" si="635">(AB142*1.5955)*1.03</f>
        <v>#VALUE!</v>
      </c>
      <c r="AD142" s="102" t="e">
        <f t="shared" si="24"/>
        <v>#VALUE!</v>
      </c>
      <c r="AE142" s="102" t="str">
        <f t="shared" si="559"/>
        <v/>
      </c>
      <c r="AF142" s="102" t="str">
        <f t="shared" si="560"/>
        <v/>
      </c>
      <c r="AG142" s="199" t="e">
        <f t="shared" si="626"/>
        <v>#VALUE!</v>
      </c>
      <c r="AH142" s="158" t="str">
        <f t="shared" ref="AH142:AH150" si="636">IFERROR(AF142/AC142,"")</f>
        <v/>
      </c>
      <c r="AI142" s="147" t="e">
        <f t="shared" si="628"/>
        <v>#VALUE!</v>
      </c>
      <c r="AJ142" s="111" t="str">
        <f t="shared" si="561"/>
        <v>0</v>
      </c>
      <c r="AK142" s="102">
        <f t="shared" si="31"/>
        <v>0</v>
      </c>
      <c r="AL142" s="102" t="e">
        <f t="shared" si="32"/>
        <v>#VALUE!</v>
      </c>
      <c r="AM142" s="102" t="e">
        <f t="shared" si="33"/>
        <v>#VALUE!</v>
      </c>
      <c r="AN142" s="102" t="e">
        <f t="shared" si="34"/>
        <v>#VALUE!</v>
      </c>
      <c r="AO142" s="112" t="e">
        <f t="shared" si="35"/>
        <v>#VALUE!</v>
      </c>
      <c r="AP142" s="100" t="str">
        <f t="shared" si="562"/>
        <v/>
      </c>
      <c r="AQ142" s="113" t="e">
        <f t="shared" si="37"/>
        <v>#VALUE!</v>
      </c>
      <c r="AR142" s="114" t="str">
        <f t="shared" si="563"/>
        <v/>
      </c>
      <c r="AS142" s="115" t="str">
        <f t="shared" si="564"/>
        <v/>
      </c>
      <c r="AT142" s="100" t="str">
        <f t="shared" si="565"/>
        <v/>
      </c>
      <c r="AU142" s="113" t="e">
        <f t="shared" si="41"/>
        <v>#VALUE!</v>
      </c>
      <c r="AV142" s="116" t="str">
        <f t="shared" si="566"/>
        <v/>
      </c>
      <c r="AW142" s="117" t="str">
        <f t="shared" si="567"/>
        <v/>
      </c>
      <c r="AX142" s="100" t="str">
        <f t="shared" si="568"/>
        <v/>
      </c>
      <c r="AY142" s="113" t="e">
        <f t="shared" si="45"/>
        <v>#VALUE!</v>
      </c>
      <c r="AZ142" s="114" t="str">
        <f t="shared" si="569"/>
        <v/>
      </c>
      <c r="BA142" s="100" t="str">
        <f t="shared" si="570"/>
        <v/>
      </c>
      <c r="BB142" s="118" t="e">
        <f t="shared" ref="BB142:BD142" si="637">BH142+AY142+AU142</f>
        <v>#VALUE!</v>
      </c>
      <c r="BC142" s="116" t="e">
        <f t="shared" si="637"/>
        <v>#VALUE!</v>
      </c>
      <c r="BD142" s="119" t="e">
        <f t="shared" si="637"/>
        <v>#VALUE!</v>
      </c>
      <c r="BE142" s="118" t="e">
        <f t="shared" si="49"/>
        <v>#VALUE!</v>
      </c>
      <c r="BF142" s="116" t="e">
        <f t="shared" si="50"/>
        <v>#VALUE!</v>
      </c>
      <c r="BG142" s="119" t="e">
        <f t="shared" si="51"/>
        <v>#VALUE!</v>
      </c>
      <c r="BH142" s="114" t="e">
        <f t="shared" si="52"/>
        <v>#VALUE!</v>
      </c>
      <c r="BI142" s="114" t="str">
        <f t="shared" si="572"/>
        <v/>
      </c>
      <c r="BJ142" s="115" t="str">
        <f t="shared" si="573"/>
        <v/>
      </c>
      <c r="BK142" s="125" t="str">
        <f t="shared" si="574"/>
        <v/>
      </c>
      <c r="BL142" s="120" t="e">
        <f t="shared" si="56"/>
        <v>#VALUE!</v>
      </c>
      <c r="BM142" s="121" t="str">
        <f t="shared" si="575"/>
        <v/>
      </c>
      <c r="BN142" s="119" t="str">
        <f t="shared" si="576"/>
        <v/>
      </c>
      <c r="BO142" s="125" t="str">
        <f t="shared" si="577"/>
        <v/>
      </c>
      <c r="BP142" s="140" t="e">
        <f t="shared" si="60"/>
        <v>#VALUE!</v>
      </c>
      <c r="BQ142" s="123" t="str">
        <f t="shared" si="578"/>
        <v/>
      </c>
      <c r="BR142" s="125" t="str">
        <f t="shared" si="579"/>
        <v/>
      </c>
      <c r="BS142" s="122" t="e">
        <f t="shared" si="63"/>
        <v>#VALUE!</v>
      </c>
      <c r="BT142" s="123">
        <f t="shared" ref="BT142:BU142" si="638">SUM(BI142,BM142,BQ142)</f>
        <v>0</v>
      </c>
      <c r="BU142" s="124">
        <f t="shared" si="638"/>
        <v>0</v>
      </c>
      <c r="BV142" s="125" t="str">
        <f t="shared" si="581"/>
        <v/>
      </c>
      <c r="BW142" s="122" t="e">
        <f t="shared" si="66"/>
        <v>#VALUE!</v>
      </c>
      <c r="BX142" s="123" t="str">
        <f t="shared" si="582"/>
        <v/>
      </c>
      <c r="BY142" s="124" t="str">
        <f t="shared" si="583"/>
        <v/>
      </c>
      <c r="BZ142" s="125" t="str">
        <f t="shared" si="584"/>
        <v/>
      </c>
      <c r="CA142" s="140"/>
      <c r="CB142" s="123"/>
      <c r="CC142" s="148"/>
      <c r="CD142" s="123" t="str">
        <f t="shared" si="585"/>
        <v/>
      </c>
      <c r="CF142" s="149"/>
    </row>
    <row r="143" spans="1:117" ht="13">
      <c r="A143" s="92">
        <f t="shared" si="547"/>
        <v>112013761</v>
      </c>
      <c r="B143" s="172">
        <f t="shared" si="616"/>
        <v>0</v>
      </c>
      <c r="C143" s="137" t="str">
        <f t="shared" si="598"/>
        <v/>
      </c>
      <c r="D143" s="137" t="str">
        <f t="shared" si="599"/>
        <v/>
      </c>
      <c r="E143" s="138" t="str">
        <f t="shared" si="600"/>
        <v/>
      </c>
      <c r="F143" s="193">
        <f t="shared" si="504"/>
        <v>0</v>
      </c>
      <c r="G143" s="97" t="str">
        <f t="shared" si="601"/>
        <v/>
      </c>
      <c r="H143" s="97" t="str">
        <f t="shared" si="602"/>
        <v/>
      </c>
      <c r="I143" s="97" t="str">
        <f t="shared" si="603"/>
        <v/>
      </c>
      <c r="J143" s="96">
        <f t="shared" si="549"/>
        <v>0</v>
      </c>
      <c r="K143" s="94" t="str">
        <f t="shared" si="550"/>
        <v/>
      </c>
      <c r="L143" s="98" t="str">
        <f t="shared" si="551"/>
        <v/>
      </c>
      <c r="M143" s="139" t="s">
        <v>219</v>
      </c>
      <c r="N143" s="100">
        <f t="shared" si="552"/>
        <v>60343.57</v>
      </c>
      <c r="O143" s="140">
        <f t="shared" si="623"/>
        <v>101440.5583485</v>
      </c>
      <c r="P143" s="102">
        <f t="shared" si="13"/>
        <v>0</v>
      </c>
      <c r="Q143" s="102">
        <f t="shared" si="553"/>
        <v>0</v>
      </c>
      <c r="R143" s="102">
        <f t="shared" si="554"/>
        <v>0</v>
      </c>
      <c r="S143" s="102">
        <f t="shared" si="16"/>
        <v>-101440.5583485</v>
      </c>
      <c r="T143" s="103">
        <f t="shared" si="17"/>
        <v>0</v>
      </c>
      <c r="U143" s="100">
        <f t="shared" si="555"/>
        <v>0</v>
      </c>
      <c r="V143" s="141">
        <f t="shared" si="633"/>
        <v>0</v>
      </c>
      <c r="W143" s="105">
        <f t="shared" si="19"/>
        <v>0</v>
      </c>
      <c r="X143" s="102">
        <f t="shared" si="556"/>
        <v>0</v>
      </c>
      <c r="Y143" s="106">
        <f t="shared" si="557"/>
        <v>0</v>
      </c>
      <c r="Z143" s="142">
        <f t="shared" si="624"/>
        <v>0</v>
      </c>
      <c r="AA143" s="143" t="str">
        <f t="shared" si="634"/>
        <v/>
      </c>
      <c r="AB143" s="100">
        <f t="shared" si="558"/>
        <v>0.04</v>
      </c>
      <c r="AC143" s="140">
        <f t="shared" si="635"/>
        <v>6.5734600000000004E-2</v>
      </c>
      <c r="AD143" s="102">
        <f t="shared" si="24"/>
        <v>0</v>
      </c>
      <c r="AE143" s="102">
        <f t="shared" si="559"/>
        <v>0</v>
      </c>
      <c r="AF143" s="102">
        <f t="shared" si="560"/>
        <v>0</v>
      </c>
      <c r="AG143" s="199">
        <f t="shared" si="626"/>
        <v>-6.5734600000000004E-2</v>
      </c>
      <c r="AH143" s="158">
        <f t="shared" si="636"/>
        <v>0</v>
      </c>
      <c r="AI143" s="147">
        <f t="shared" si="628"/>
        <v>101440.62408309999</v>
      </c>
      <c r="AJ143" s="111">
        <f t="shared" si="561"/>
        <v>343598.25</v>
      </c>
      <c r="AK143" s="102">
        <f t="shared" si="31"/>
        <v>0</v>
      </c>
      <c r="AL143" s="102">
        <f t="shared" si="32"/>
        <v>0</v>
      </c>
      <c r="AM143" s="102">
        <f t="shared" si="33"/>
        <v>0</v>
      </c>
      <c r="AN143" s="102">
        <f t="shared" si="34"/>
        <v>-343598.25</v>
      </c>
      <c r="AO143" s="112">
        <f t="shared" si="35"/>
        <v>0</v>
      </c>
      <c r="AP143" s="100">
        <f t="shared" si="562"/>
        <v>205150</v>
      </c>
      <c r="AQ143" s="113">
        <f t="shared" si="37"/>
        <v>168700.58</v>
      </c>
      <c r="AR143" s="114">
        <f t="shared" si="563"/>
        <v>0</v>
      </c>
      <c r="AS143" s="115">
        <f t="shared" si="564"/>
        <v>168700.58</v>
      </c>
      <c r="AT143" s="100">
        <f t="shared" si="565"/>
        <v>53091.81</v>
      </c>
      <c r="AU143" s="113">
        <f t="shared" si="41"/>
        <v>0</v>
      </c>
      <c r="AV143" s="116">
        <f t="shared" si="566"/>
        <v>0</v>
      </c>
      <c r="AW143" s="117">
        <f t="shared" si="567"/>
        <v>0</v>
      </c>
      <c r="AX143" s="100">
        <f t="shared" si="568"/>
        <v>0</v>
      </c>
      <c r="AY143" s="113">
        <f t="shared" si="45"/>
        <v>0</v>
      </c>
      <c r="AZ143" s="114">
        <f t="shared" si="569"/>
        <v>0</v>
      </c>
      <c r="BA143" s="100">
        <f t="shared" si="570"/>
        <v>0</v>
      </c>
      <c r="BB143" s="118">
        <f t="shared" ref="BB143:BD143" si="639">BH143+AY143+AU143</f>
        <v>69200.2</v>
      </c>
      <c r="BC143" s="116">
        <f t="shared" si="639"/>
        <v>0</v>
      </c>
      <c r="BD143" s="119">
        <f t="shared" si="639"/>
        <v>69200.2</v>
      </c>
      <c r="BE143" s="118">
        <f t="shared" si="49"/>
        <v>69200.2</v>
      </c>
      <c r="BF143" s="116">
        <f t="shared" si="50"/>
        <v>0</v>
      </c>
      <c r="BG143" s="119">
        <f t="shared" si="51"/>
        <v>69200.2</v>
      </c>
      <c r="BH143" s="114">
        <f t="shared" si="52"/>
        <v>69200.2</v>
      </c>
      <c r="BI143" s="114">
        <f t="shared" si="572"/>
        <v>0</v>
      </c>
      <c r="BJ143" s="115">
        <f t="shared" si="573"/>
        <v>69200.2</v>
      </c>
      <c r="BK143" s="125">
        <f t="shared" si="574"/>
        <v>0</v>
      </c>
      <c r="BL143" s="120">
        <f t="shared" si="56"/>
        <v>21114</v>
      </c>
      <c r="BM143" s="121">
        <f t="shared" si="575"/>
        <v>28864.1</v>
      </c>
      <c r="BN143" s="119">
        <f t="shared" si="576"/>
        <v>49978.1</v>
      </c>
      <c r="BO143" s="125">
        <f t="shared" si="577"/>
        <v>0</v>
      </c>
      <c r="BP143" s="140">
        <f t="shared" si="60"/>
        <v>0</v>
      </c>
      <c r="BQ143" s="123">
        <f t="shared" si="578"/>
        <v>0</v>
      </c>
      <c r="BR143" s="125">
        <f t="shared" si="579"/>
        <v>0</v>
      </c>
      <c r="BS143" s="122">
        <f t="shared" si="63"/>
        <v>90314.2</v>
      </c>
      <c r="BT143" s="123">
        <f t="shared" ref="BT143:BU143" si="640">SUM(BI143,BM143,BQ143)</f>
        <v>28864.1</v>
      </c>
      <c r="BU143" s="124">
        <f t="shared" si="640"/>
        <v>119178.29999999999</v>
      </c>
      <c r="BV143" s="125">
        <f t="shared" si="581"/>
        <v>0</v>
      </c>
      <c r="BW143" s="122">
        <f t="shared" si="66"/>
        <v>0</v>
      </c>
      <c r="BX143" s="123">
        <f t="shared" si="582"/>
        <v>0</v>
      </c>
      <c r="BY143" s="124">
        <f t="shared" si="583"/>
        <v>0</v>
      </c>
      <c r="BZ143" s="125">
        <f t="shared" si="584"/>
        <v>121812</v>
      </c>
      <c r="CA143" s="140"/>
      <c r="CB143" s="123"/>
      <c r="CC143" s="148"/>
      <c r="CD143" s="123">
        <f t="shared" si="585"/>
        <v>221786.25</v>
      </c>
      <c r="CF143" s="149"/>
    </row>
    <row r="144" spans="1:117" ht="14">
      <c r="A144" s="92">
        <f t="shared" si="547"/>
        <v>112012560</v>
      </c>
      <c r="B144" s="172">
        <f t="shared" si="616"/>
        <v>0</v>
      </c>
      <c r="C144" s="137" t="str">
        <f t="shared" si="598"/>
        <v/>
      </c>
      <c r="D144" s="137" t="str">
        <f t="shared" si="599"/>
        <v/>
      </c>
      <c r="E144" s="138" t="str">
        <f t="shared" si="600"/>
        <v/>
      </c>
      <c r="F144" s="193">
        <f t="shared" si="504"/>
        <v>0</v>
      </c>
      <c r="G144" s="97" t="str">
        <f t="shared" si="601"/>
        <v/>
      </c>
      <c r="H144" s="97" t="str">
        <f t="shared" si="602"/>
        <v/>
      </c>
      <c r="I144" s="97" t="str">
        <f t="shared" si="603"/>
        <v/>
      </c>
      <c r="J144" s="96">
        <f t="shared" si="549"/>
        <v>0</v>
      </c>
      <c r="K144" s="94" t="str">
        <f t="shared" si="550"/>
        <v/>
      </c>
      <c r="L144" s="98" t="str">
        <f t="shared" si="551"/>
        <v/>
      </c>
      <c r="M144" s="139" t="s">
        <v>220</v>
      </c>
      <c r="N144" s="100" t="str">
        <f t="shared" si="552"/>
        <v/>
      </c>
      <c r="O144" s="140" t="e">
        <f t="shared" si="623"/>
        <v>#VALUE!</v>
      </c>
      <c r="P144" s="102" t="e">
        <f t="shared" si="13"/>
        <v>#VALUE!</v>
      </c>
      <c r="Q144" s="102" t="str">
        <f t="shared" si="553"/>
        <v/>
      </c>
      <c r="R144" s="102" t="str">
        <f t="shared" si="554"/>
        <v/>
      </c>
      <c r="S144" s="102" t="e">
        <f t="shared" si="16"/>
        <v>#VALUE!</v>
      </c>
      <c r="T144" s="103" t="e">
        <f t="shared" si="17"/>
        <v>#VALUE!</v>
      </c>
      <c r="U144" s="100" t="str">
        <f t="shared" si="555"/>
        <v/>
      </c>
      <c r="V144" s="141" t="e">
        <f t="shared" si="633"/>
        <v>#VALUE!</v>
      </c>
      <c r="W144" s="105" t="e">
        <f t="shared" si="19"/>
        <v>#VALUE!</v>
      </c>
      <c r="X144" s="102" t="str">
        <f t="shared" si="556"/>
        <v/>
      </c>
      <c r="Y144" s="106" t="str">
        <f t="shared" si="557"/>
        <v/>
      </c>
      <c r="Z144" s="142" t="e">
        <f t="shared" si="624"/>
        <v>#VALUE!</v>
      </c>
      <c r="AA144" s="143" t="str">
        <f t="shared" si="634"/>
        <v/>
      </c>
      <c r="AB144" s="100" t="str">
        <f t="shared" si="558"/>
        <v/>
      </c>
      <c r="AC144" s="140" t="e">
        <f t="shared" si="635"/>
        <v>#VALUE!</v>
      </c>
      <c r="AD144" s="102" t="e">
        <f t="shared" si="24"/>
        <v>#VALUE!</v>
      </c>
      <c r="AE144" s="102" t="str">
        <f t="shared" si="559"/>
        <v/>
      </c>
      <c r="AF144" s="102" t="str">
        <f t="shared" si="560"/>
        <v/>
      </c>
      <c r="AG144" s="199" t="e">
        <f t="shared" si="626"/>
        <v>#VALUE!</v>
      </c>
      <c r="AH144" s="158" t="str">
        <f t="shared" si="636"/>
        <v/>
      </c>
      <c r="AI144" s="147" t="e">
        <f t="shared" si="628"/>
        <v>#VALUE!</v>
      </c>
      <c r="AJ144" s="111" t="str">
        <f t="shared" si="561"/>
        <v>0</v>
      </c>
      <c r="AK144" s="102">
        <f t="shared" si="31"/>
        <v>0</v>
      </c>
      <c r="AL144" s="102" t="e">
        <f t="shared" si="32"/>
        <v>#VALUE!</v>
      </c>
      <c r="AM144" s="102" t="e">
        <f t="shared" si="33"/>
        <v>#VALUE!</v>
      </c>
      <c r="AN144" s="102" t="e">
        <f t="shared" si="34"/>
        <v>#VALUE!</v>
      </c>
      <c r="AO144" s="112" t="e">
        <f t="shared" si="35"/>
        <v>#VALUE!</v>
      </c>
      <c r="AP144" s="100" t="str">
        <f t="shared" si="562"/>
        <v/>
      </c>
      <c r="AQ144" s="113" t="e">
        <f t="shared" si="37"/>
        <v>#VALUE!</v>
      </c>
      <c r="AR144" s="114" t="str">
        <f t="shared" si="563"/>
        <v/>
      </c>
      <c r="AS144" s="115" t="str">
        <f t="shared" si="564"/>
        <v/>
      </c>
      <c r="AT144" s="100" t="str">
        <f t="shared" si="565"/>
        <v/>
      </c>
      <c r="AU144" s="113" t="e">
        <f t="shared" si="41"/>
        <v>#VALUE!</v>
      </c>
      <c r="AV144" s="116" t="str">
        <f t="shared" si="566"/>
        <v/>
      </c>
      <c r="AW144" s="117" t="str">
        <f t="shared" si="567"/>
        <v/>
      </c>
      <c r="AX144" s="100" t="str">
        <f t="shared" si="568"/>
        <v/>
      </c>
      <c r="AY144" s="113" t="e">
        <f t="shared" si="45"/>
        <v>#VALUE!</v>
      </c>
      <c r="AZ144" s="114" t="str">
        <f t="shared" si="569"/>
        <v/>
      </c>
      <c r="BA144" s="100" t="str">
        <f t="shared" si="570"/>
        <v/>
      </c>
      <c r="BB144" s="118" t="e">
        <f t="shared" ref="BB144:BD144" si="641">BH144+AY144+AU144</f>
        <v>#VALUE!</v>
      </c>
      <c r="BC144" s="116" t="e">
        <f t="shared" si="641"/>
        <v>#VALUE!</v>
      </c>
      <c r="BD144" s="119" t="e">
        <f t="shared" si="641"/>
        <v>#VALUE!</v>
      </c>
      <c r="BE144" s="118" t="e">
        <f t="shared" si="49"/>
        <v>#VALUE!</v>
      </c>
      <c r="BF144" s="116" t="e">
        <f t="shared" si="50"/>
        <v>#VALUE!</v>
      </c>
      <c r="BG144" s="119" t="e">
        <f t="shared" si="51"/>
        <v>#VALUE!</v>
      </c>
      <c r="BH144" s="114" t="e">
        <f t="shared" si="52"/>
        <v>#VALUE!</v>
      </c>
      <c r="BI144" s="114" t="str">
        <f t="shared" si="572"/>
        <v/>
      </c>
      <c r="BJ144" s="115" t="str">
        <f t="shared" si="573"/>
        <v/>
      </c>
      <c r="BK144" s="125" t="str">
        <f t="shared" si="574"/>
        <v/>
      </c>
      <c r="BL144" s="120" t="e">
        <f t="shared" si="56"/>
        <v>#VALUE!</v>
      </c>
      <c r="BM144" s="121" t="str">
        <f t="shared" si="575"/>
        <v/>
      </c>
      <c r="BN144" s="119" t="str">
        <f t="shared" si="576"/>
        <v/>
      </c>
      <c r="BO144" s="125" t="str">
        <f t="shared" si="577"/>
        <v/>
      </c>
      <c r="BP144" s="140" t="e">
        <f t="shared" si="60"/>
        <v>#VALUE!</v>
      </c>
      <c r="BQ144" s="123" t="str">
        <f t="shared" si="578"/>
        <v/>
      </c>
      <c r="BR144" s="125" t="str">
        <f t="shared" si="579"/>
        <v/>
      </c>
      <c r="BS144" s="122" t="e">
        <f t="shared" si="63"/>
        <v>#VALUE!</v>
      </c>
      <c r="BT144" s="123">
        <f t="shared" ref="BT144:BU144" si="642">SUM(BI144,BM144,BQ144)</f>
        <v>0</v>
      </c>
      <c r="BU144" s="124">
        <f t="shared" si="642"/>
        <v>0</v>
      </c>
      <c r="BV144" s="125" t="str">
        <f t="shared" si="581"/>
        <v/>
      </c>
      <c r="BW144" s="122" t="e">
        <f t="shared" si="66"/>
        <v>#VALUE!</v>
      </c>
      <c r="BX144" s="123" t="str">
        <f t="shared" si="582"/>
        <v/>
      </c>
      <c r="BY144" s="124" t="str">
        <f t="shared" si="583"/>
        <v/>
      </c>
      <c r="BZ144" s="125" t="str">
        <f t="shared" si="584"/>
        <v/>
      </c>
      <c r="CA144" s="140"/>
      <c r="CB144" s="123"/>
      <c r="CC144" s="148"/>
      <c r="CD144" s="123" t="str">
        <f t="shared" si="585"/>
        <v/>
      </c>
      <c r="CF144" s="149"/>
    </row>
    <row r="145" spans="1:117" ht="13">
      <c r="A145" s="92">
        <f t="shared" si="547"/>
        <v>112014216</v>
      </c>
      <c r="B145" s="172">
        <f t="shared" si="616"/>
        <v>0</v>
      </c>
      <c r="C145" s="137" t="str">
        <f t="shared" si="598"/>
        <v/>
      </c>
      <c r="D145" s="137" t="str">
        <f t="shared" si="599"/>
        <v/>
      </c>
      <c r="E145" s="138" t="str">
        <f t="shared" si="600"/>
        <v/>
      </c>
      <c r="F145" s="193">
        <f t="shared" ref="F145:F150" si="643">IFERROR(VLOOKUP(M145,BASILECART2,2,FALSE),"")</f>
        <v>0</v>
      </c>
      <c r="G145" s="97" t="str">
        <f t="shared" si="601"/>
        <v/>
      </c>
      <c r="H145" s="97" t="str">
        <f t="shared" si="602"/>
        <v/>
      </c>
      <c r="I145" s="97" t="str">
        <f t="shared" si="603"/>
        <v/>
      </c>
      <c r="J145" s="96">
        <f t="shared" si="549"/>
        <v>0</v>
      </c>
      <c r="K145" s="94" t="str">
        <f t="shared" si="550"/>
        <v/>
      </c>
      <c r="L145" s="98" t="str">
        <f t="shared" si="551"/>
        <v/>
      </c>
      <c r="M145" s="139" t="s">
        <v>221</v>
      </c>
      <c r="N145" s="100">
        <f t="shared" si="552"/>
        <v>26796.400000000001</v>
      </c>
      <c r="O145" s="140">
        <f t="shared" si="623"/>
        <v>45046.088220000005</v>
      </c>
      <c r="P145" s="102" t="e">
        <f t="shared" si="13"/>
        <v>#VALUE!</v>
      </c>
      <c r="Q145" s="102" t="str">
        <f t="shared" si="553"/>
        <v/>
      </c>
      <c r="R145" s="102">
        <f t="shared" si="554"/>
        <v>293211.3</v>
      </c>
      <c r="S145" s="102">
        <f t="shared" si="16"/>
        <v>248165.21177999998</v>
      </c>
      <c r="T145" s="103">
        <f t="shared" si="17"/>
        <v>6.5091401181827182</v>
      </c>
      <c r="U145" s="100">
        <f t="shared" si="555"/>
        <v>87667.8</v>
      </c>
      <c r="V145" s="141">
        <f t="shared" si="633"/>
        <v>151183.12109999999</v>
      </c>
      <c r="W145" s="105" t="e">
        <f t="shared" si="19"/>
        <v>#VALUE!</v>
      </c>
      <c r="X145" s="102" t="str">
        <f t="shared" si="556"/>
        <v/>
      </c>
      <c r="Y145" s="106">
        <f t="shared" si="557"/>
        <v>130025.5</v>
      </c>
      <c r="Z145" s="142">
        <f t="shared" si="624"/>
        <v>-21157.621099999989</v>
      </c>
      <c r="AA145" s="143">
        <f t="shared" si="634"/>
        <v>0.86005302082627799</v>
      </c>
      <c r="AB145" s="100">
        <f t="shared" si="558"/>
        <v>146365.5</v>
      </c>
      <c r="AC145" s="140">
        <f t="shared" si="635"/>
        <v>240531.9399075</v>
      </c>
      <c r="AD145" s="102" t="e">
        <f t="shared" si="24"/>
        <v>#VALUE!</v>
      </c>
      <c r="AE145" s="102" t="str">
        <f t="shared" si="559"/>
        <v/>
      </c>
      <c r="AF145" s="102">
        <f t="shared" si="560"/>
        <v>497232.45</v>
      </c>
      <c r="AG145" s="199">
        <f t="shared" si="626"/>
        <v>256700.51009250002</v>
      </c>
      <c r="AH145" s="158">
        <f t="shared" si="636"/>
        <v>2.0672200548135846</v>
      </c>
      <c r="AI145" s="147">
        <f t="shared" si="628"/>
        <v>436761.14922749996</v>
      </c>
      <c r="AJ145" s="111">
        <f t="shared" si="561"/>
        <v>901507.05</v>
      </c>
      <c r="AK145" s="102">
        <f t="shared" si="31"/>
        <v>0</v>
      </c>
      <c r="AL145" s="102" t="e">
        <f t="shared" si="32"/>
        <v>#VALUE!</v>
      </c>
      <c r="AM145" s="102">
        <f t="shared" si="33"/>
        <v>920469.25</v>
      </c>
      <c r="AN145" s="102">
        <f t="shared" si="34"/>
        <v>18962.199999999953</v>
      </c>
      <c r="AO145" s="112">
        <f t="shared" si="35"/>
        <v>1.0210338898625362</v>
      </c>
      <c r="AP145" s="100">
        <f t="shared" si="562"/>
        <v>0</v>
      </c>
      <c r="AQ145" s="113" t="e">
        <f t="shared" si="37"/>
        <v>#VALUE!</v>
      </c>
      <c r="AR145" s="114" t="str">
        <f t="shared" si="563"/>
        <v/>
      </c>
      <c r="AS145" s="115">
        <f t="shared" si="564"/>
        <v>256485.97</v>
      </c>
      <c r="AT145" s="100">
        <f t="shared" si="565"/>
        <v>113241.35</v>
      </c>
      <c r="AU145" s="113" t="e">
        <f t="shared" si="41"/>
        <v>#VALUE!</v>
      </c>
      <c r="AV145" s="116" t="str">
        <f t="shared" si="566"/>
        <v/>
      </c>
      <c r="AW145" s="117">
        <f t="shared" si="567"/>
        <v>398885.64</v>
      </c>
      <c r="AX145" s="100">
        <f t="shared" si="568"/>
        <v>0</v>
      </c>
      <c r="AY145" s="113" t="e">
        <f t="shared" si="45"/>
        <v>#VALUE!</v>
      </c>
      <c r="AZ145" s="114" t="str">
        <f t="shared" si="569"/>
        <v/>
      </c>
      <c r="BA145" s="100">
        <f t="shared" si="570"/>
        <v>205693.86</v>
      </c>
      <c r="BB145" s="118" t="e">
        <f t="shared" ref="BB145:BD145" si="644">BH145+AY145+AU145</f>
        <v>#VALUE!</v>
      </c>
      <c r="BC145" s="116" t="e">
        <f t="shared" si="644"/>
        <v>#VALUE!</v>
      </c>
      <c r="BD145" s="119">
        <f t="shared" si="644"/>
        <v>879483.2</v>
      </c>
      <c r="BE145" s="118" t="e">
        <f t="shared" si="49"/>
        <v>#VALUE!</v>
      </c>
      <c r="BF145" s="116" t="e">
        <f t="shared" si="50"/>
        <v>#VALUE!</v>
      </c>
      <c r="BG145" s="119">
        <f t="shared" si="51"/>
        <v>1799952.45</v>
      </c>
      <c r="BH145" s="114" t="e">
        <f t="shared" si="52"/>
        <v>#VALUE!</v>
      </c>
      <c r="BI145" s="114" t="str">
        <f t="shared" si="572"/>
        <v/>
      </c>
      <c r="BJ145" s="115">
        <f t="shared" si="573"/>
        <v>274903.7</v>
      </c>
      <c r="BK145" s="125">
        <f t="shared" si="574"/>
        <v>136682.70000000001</v>
      </c>
      <c r="BL145" s="120" t="e">
        <f t="shared" si="56"/>
        <v>#VALUE!</v>
      </c>
      <c r="BM145" s="121" t="str">
        <f t="shared" si="575"/>
        <v/>
      </c>
      <c r="BN145" s="119">
        <f t="shared" si="576"/>
        <v>48105.7</v>
      </c>
      <c r="BO145" s="125">
        <f t="shared" si="577"/>
        <v>77456.639999999999</v>
      </c>
      <c r="BP145" s="140" t="e">
        <f t="shared" si="60"/>
        <v>#VALUE!</v>
      </c>
      <c r="BQ145" s="123" t="str">
        <f t="shared" si="578"/>
        <v/>
      </c>
      <c r="BR145" s="125">
        <f t="shared" si="579"/>
        <v>0</v>
      </c>
      <c r="BS145" s="122" t="e">
        <f t="shared" si="63"/>
        <v>#VALUE!</v>
      </c>
      <c r="BT145" s="123">
        <f t="shared" ref="BT145:BU145" si="645">SUM(BI145,BM145,BQ145)</f>
        <v>0</v>
      </c>
      <c r="BU145" s="124">
        <f t="shared" si="645"/>
        <v>323009.40000000002</v>
      </c>
      <c r="BV145" s="125">
        <f t="shared" si="581"/>
        <v>277584</v>
      </c>
      <c r="BW145" s="122" t="e">
        <f t="shared" si="66"/>
        <v>#VALUE!</v>
      </c>
      <c r="BX145" s="123" t="str">
        <f t="shared" si="582"/>
        <v/>
      </c>
      <c r="BY145" s="124">
        <f t="shared" si="583"/>
        <v>151539.54999999999</v>
      </c>
      <c r="BZ145" s="125">
        <f t="shared" si="584"/>
        <v>217712.1</v>
      </c>
      <c r="CA145" s="140"/>
      <c r="CB145" s="123"/>
      <c r="CC145" s="148"/>
      <c r="CD145" s="123">
        <f t="shared" si="585"/>
        <v>406210.94</v>
      </c>
      <c r="CF145" s="149"/>
    </row>
    <row r="146" spans="1:117" ht="14">
      <c r="A146" s="92">
        <f t="shared" si="547"/>
        <v>112010753</v>
      </c>
      <c r="B146" s="172">
        <f t="shared" si="616"/>
        <v>0</v>
      </c>
      <c r="C146" s="137" t="str">
        <f t="shared" si="598"/>
        <v/>
      </c>
      <c r="D146" s="137" t="str">
        <f t="shared" si="599"/>
        <v/>
      </c>
      <c r="E146" s="138" t="str">
        <f t="shared" si="600"/>
        <v/>
      </c>
      <c r="F146" s="193">
        <f t="shared" si="643"/>
        <v>0</v>
      </c>
      <c r="G146" s="97" t="str">
        <f t="shared" si="601"/>
        <v/>
      </c>
      <c r="H146" s="97" t="str">
        <f t="shared" si="602"/>
        <v/>
      </c>
      <c r="I146" s="97" t="str">
        <f t="shared" si="603"/>
        <v/>
      </c>
      <c r="J146" s="96">
        <f t="shared" si="549"/>
        <v>0</v>
      </c>
      <c r="K146" s="94" t="str">
        <f t="shared" si="550"/>
        <v/>
      </c>
      <c r="L146" s="98" t="str">
        <f t="shared" si="551"/>
        <v/>
      </c>
      <c r="M146" s="139" t="s">
        <v>222</v>
      </c>
      <c r="N146" s="100">
        <f t="shared" si="552"/>
        <v>0</v>
      </c>
      <c r="O146" s="140">
        <f t="shared" si="623"/>
        <v>0</v>
      </c>
      <c r="P146" s="102" t="e">
        <f t="shared" si="13"/>
        <v>#VALUE!</v>
      </c>
      <c r="Q146" s="102" t="str">
        <f t="shared" si="553"/>
        <v/>
      </c>
      <c r="R146" s="102" t="str">
        <f t="shared" si="554"/>
        <v/>
      </c>
      <c r="S146" s="102" t="e">
        <f t="shared" si="16"/>
        <v>#VALUE!</v>
      </c>
      <c r="T146" s="103" t="e">
        <f t="shared" si="17"/>
        <v>#VALUE!</v>
      </c>
      <c r="U146" s="100">
        <f t="shared" si="555"/>
        <v>0</v>
      </c>
      <c r="V146" s="141">
        <f t="shared" si="633"/>
        <v>0</v>
      </c>
      <c r="W146" s="105" t="e">
        <f t="shared" si="19"/>
        <v>#VALUE!</v>
      </c>
      <c r="X146" s="102" t="str">
        <f t="shared" si="556"/>
        <v/>
      </c>
      <c r="Y146" s="106" t="str">
        <f t="shared" si="557"/>
        <v/>
      </c>
      <c r="Z146" s="142" t="e">
        <f t="shared" si="624"/>
        <v>#VALUE!</v>
      </c>
      <c r="AA146" s="143" t="str">
        <f t="shared" si="634"/>
        <v/>
      </c>
      <c r="AB146" s="100">
        <f t="shared" si="558"/>
        <v>0</v>
      </c>
      <c r="AC146" s="140">
        <f t="shared" si="635"/>
        <v>0</v>
      </c>
      <c r="AD146" s="102" t="e">
        <f t="shared" si="24"/>
        <v>#VALUE!</v>
      </c>
      <c r="AE146" s="102" t="str">
        <f t="shared" si="559"/>
        <v/>
      </c>
      <c r="AF146" s="102" t="str">
        <f t="shared" si="560"/>
        <v/>
      </c>
      <c r="AG146" s="199" t="e">
        <f t="shared" si="626"/>
        <v>#VALUE!</v>
      </c>
      <c r="AH146" s="158" t="str">
        <f t="shared" si="636"/>
        <v/>
      </c>
      <c r="AI146" s="147">
        <f t="shared" si="628"/>
        <v>0</v>
      </c>
      <c r="AJ146" s="111" t="str">
        <f t="shared" si="561"/>
        <v>0</v>
      </c>
      <c r="AK146" s="102">
        <f t="shared" si="31"/>
        <v>0</v>
      </c>
      <c r="AL146" s="102" t="e">
        <f t="shared" si="32"/>
        <v>#VALUE!</v>
      </c>
      <c r="AM146" s="102" t="e">
        <f t="shared" si="33"/>
        <v>#VALUE!</v>
      </c>
      <c r="AN146" s="102" t="e">
        <f t="shared" si="34"/>
        <v>#VALUE!</v>
      </c>
      <c r="AO146" s="112" t="e">
        <f t="shared" si="35"/>
        <v>#VALUE!</v>
      </c>
      <c r="AP146" s="100">
        <f t="shared" si="562"/>
        <v>0</v>
      </c>
      <c r="AQ146" s="113" t="e">
        <f t="shared" si="37"/>
        <v>#VALUE!</v>
      </c>
      <c r="AR146" s="114" t="str">
        <f t="shared" si="563"/>
        <v/>
      </c>
      <c r="AS146" s="115" t="str">
        <f t="shared" si="564"/>
        <v/>
      </c>
      <c r="AT146" s="100">
        <f t="shared" si="565"/>
        <v>0</v>
      </c>
      <c r="AU146" s="113" t="e">
        <f t="shared" si="41"/>
        <v>#VALUE!</v>
      </c>
      <c r="AV146" s="116" t="str">
        <f t="shared" si="566"/>
        <v/>
      </c>
      <c r="AW146" s="117" t="str">
        <f t="shared" si="567"/>
        <v/>
      </c>
      <c r="AX146" s="100">
        <f t="shared" si="568"/>
        <v>0</v>
      </c>
      <c r="AY146" s="113" t="e">
        <f t="shared" si="45"/>
        <v>#VALUE!</v>
      </c>
      <c r="AZ146" s="114" t="str">
        <f t="shared" si="569"/>
        <v/>
      </c>
      <c r="BA146" s="100" t="str">
        <f t="shared" si="570"/>
        <v/>
      </c>
      <c r="BB146" s="118" t="e">
        <f t="shared" ref="BB146:BD146" si="646">BH146+AY146+AU146</f>
        <v>#VALUE!</v>
      </c>
      <c r="BC146" s="116" t="e">
        <f t="shared" si="646"/>
        <v>#VALUE!</v>
      </c>
      <c r="BD146" s="119" t="e">
        <f t="shared" si="646"/>
        <v>#VALUE!</v>
      </c>
      <c r="BE146" s="118" t="e">
        <f t="shared" si="49"/>
        <v>#VALUE!</v>
      </c>
      <c r="BF146" s="116" t="e">
        <f t="shared" si="50"/>
        <v>#VALUE!</v>
      </c>
      <c r="BG146" s="119" t="e">
        <f t="shared" si="51"/>
        <v>#VALUE!</v>
      </c>
      <c r="BH146" s="114" t="e">
        <f t="shared" si="52"/>
        <v>#VALUE!</v>
      </c>
      <c r="BI146" s="114" t="str">
        <f t="shared" si="572"/>
        <v/>
      </c>
      <c r="BJ146" s="115" t="str">
        <f t="shared" si="573"/>
        <v/>
      </c>
      <c r="BK146" s="125">
        <f t="shared" si="574"/>
        <v>0</v>
      </c>
      <c r="BL146" s="120" t="e">
        <f t="shared" si="56"/>
        <v>#VALUE!</v>
      </c>
      <c r="BM146" s="121" t="str">
        <f t="shared" si="575"/>
        <v/>
      </c>
      <c r="BN146" s="119" t="str">
        <f t="shared" si="576"/>
        <v/>
      </c>
      <c r="BO146" s="125">
        <f t="shared" si="577"/>
        <v>0</v>
      </c>
      <c r="BP146" s="140" t="e">
        <f t="shared" si="60"/>
        <v>#VALUE!</v>
      </c>
      <c r="BQ146" s="123" t="str">
        <f t="shared" si="578"/>
        <v/>
      </c>
      <c r="BR146" s="125" t="str">
        <f t="shared" si="579"/>
        <v/>
      </c>
      <c r="BS146" s="122" t="e">
        <f t="shared" si="63"/>
        <v>#VALUE!</v>
      </c>
      <c r="BT146" s="123">
        <f t="shared" ref="BT146:BU146" si="647">SUM(BI146,BM146,BQ146)</f>
        <v>0</v>
      </c>
      <c r="BU146" s="124">
        <f t="shared" si="647"/>
        <v>0</v>
      </c>
      <c r="BV146" s="125">
        <f t="shared" si="581"/>
        <v>0</v>
      </c>
      <c r="BW146" s="122" t="e">
        <f t="shared" si="66"/>
        <v>#VALUE!</v>
      </c>
      <c r="BX146" s="123" t="str">
        <f t="shared" si="582"/>
        <v/>
      </c>
      <c r="BY146" s="124" t="str">
        <f t="shared" si="583"/>
        <v/>
      </c>
      <c r="BZ146" s="125">
        <f t="shared" si="584"/>
        <v>0</v>
      </c>
      <c r="CA146" s="140"/>
      <c r="CB146" s="123"/>
      <c r="CC146" s="148"/>
      <c r="CD146" s="123">
        <f t="shared" si="585"/>
        <v>0</v>
      </c>
      <c r="CF146" s="149"/>
    </row>
    <row r="147" spans="1:117" ht="14">
      <c r="A147" s="92">
        <f t="shared" si="547"/>
        <v>112012444</v>
      </c>
      <c r="B147" s="172">
        <f t="shared" si="616"/>
        <v>0</v>
      </c>
      <c r="C147" s="137" t="str">
        <f t="shared" si="598"/>
        <v/>
      </c>
      <c r="D147" s="137" t="str">
        <f t="shared" si="599"/>
        <v/>
      </c>
      <c r="E147" s="138" t="str">
        <f t="shared" si="600"/>
        <v/>
      </c>
      <c r="F147" s="193">
        <f t="shared" si="643"/>
        <v>0</v>
      </c>
      <c r="G147" s="97" t="str">
        <f t="shared" si="601"/>
        <v/>
      </c>
      <c r="H147" s="97" t="str">
        <f t="shared" si="602"/>
        <v/>
      </c>
      <c r="I147" s="97" t="str">
        <f t="shared" si="603"/>
        <v/>
      </c>
      <c r="J147" s="96">
        <f t="shared" si="549"/>
        <v>0</v>
      </c>
      <c r="K147" s="94" t="str">
        <f t="shared" si="550"/>
        <v/>
      </c>
      <c r="L147" s="98" t="str">
        <f t="shared" si="551"/>
        <v/>
      </c>
      <c r="M147" s="139" t="s">
        <v>223</v>
      </c>
      <c r="N147" s="100" t="str">
        <f t="shared" si="552"/>
        <v/>
      </c>
      <c r="O147" s="140" t="e">
        <f t="shared" si="623"/>
        <v>#VALUE!</v>
      </c>
      <c r="P147" s="102" t="e">
        <f t="shared" si="13"/>
        <v>#VALUE!</v>
      </c>
      <c r="Q147" s="102" t="str">
        <f t="shared" si="553"/>
        <v/>
      </c>
      <c r="R147" s="102" t="str">
        <f t="shared" si="554"/>
        <v/>
      </c>
      <c r="S147" s="102" t="e">
        <f t="shared" si="16"/>
        <v>#VALUE!</v>
      </c>
      <c r="T147" s="103" t="e">
        <f t="shared" si="17"/>
        <v>#VALUE!</v>
      </c>
      <c r="U147" s="100" t="str">
        <f t="shared" si="555"/>
        <v/>
      </c>
      <c r="V147" s="141" t="e">
        <f t="shared" si="633"/>
        <v>#VALUE!</v>
      </c>
      <c r="W147" s="105" t="e">
        <f t="shared" si="19"/>
        <v>#VALUE!</v>
      </c>
      <c r="X147" s="102" t="str">
        <f t="shared" si="556"/>
        <v/>
      </c>
      <c r="Y147" s="106" t="str">
        <f t="shared" si="557"/>
        <v/>
      </c>
      <c r="Z147" s="142" t="e">
        <f t="shared" si="624"/>
        <v>#VALUE!</v>
      </c>
      <c r="AA147" s="143" t="str">
        <f t="shared" si="634"/>
        <v/>
      </c>
      <c r="AB147" s="100" t="str">
        <f t="shared" si="558"/>
        <v/>
      </c>
      <c r="AC147" s="140" t="e">
        <f t="shared" si="635"/>
        <v>#VALUE!</v>
      </c>
      <c r="AD147" s="102" t="e">
        <f t="shared" si="24"/>
        <v>#VALUE!</v>
      </c>
      <c r="AE147" s="102" t="str">
        <f t="shared" si="559"/>
        <v/>
      </c>
      <c r="AF147" s="102" t="str">
        <f t="shared" si="560"/>
        <v/>
      </c>
      <c r="AG147" s="199" t="e">
        <f t="shared" si="626"/>
        <v>#VALUE!</v>
      </c>
      <c r="AH147" s="158" t="str">
        <f t="shared" si="636"/>
        <v/>
      </c>
      <c r="AI147" s="147" t="e">
        <f t="shared" si="628"/>
        <v>#VALUE!</v>
      </c>
      <c r="AJ147" s="111" t="str">
        <f t="shared" si="561"/>
        <v>0</v>
      </c>
      <c r="AK147" s="102">
        <f t="shared" si="31"/>
        <v>0</v>
      </c>
      <c r="AL147" s="102" t="e">
        <f t="shared" si="32"/>
        <v>#VALUE!</v>
      </c>
      <c r="AM147" s="102" t="e">
        <f t="shared" si="33"/>
        <v>#VALUE!</v>
      </c>
      <c r="AN147" s="102" t="e">
        <f t="shared" si="34"/>
        <v>#VALUE!</v>
      </c>
      <c r="AO147" s="112" t="e">
        <f t="shared" si="35"/>
        <v>#VALUE!</v>
      </c>
      <c r="AP147" s="100" t="str">
        <f t="shared" si="562"/>
        <v/>
      </c>
      <c r="AQ147" s="113" t="e">
        <f t="shared" si="37"/>
        <v>#VALUE!</v>
      </c>
      <c r="AR147" s="114" t="str">
        <f t="shared" si="563"/>
        <v/>
      </c>
      <c r="AS147" s="115" t="str">
        <f t="shared" si="564"/>
        <v/>
      </c>
      <c r="AT147" s="100" t="str">
        <f t="shared" si="565"/>
        <v/>
      </c>
      <c r="AU147" s="113" t="e">
        <f t="shared" si="41"/>
        <v>#VALUE!</v>
      </c>
      <c r="AV147" s="116" t="str">
        <f t="shared" si="566"/>
        <v/>
      </c>
      <c r="AW147" s="117" t="str">
        <f t="shared" si="567"/>
        <v/>
      </c>
      <c r="AX147" s="100" t="str">
        <f t="shared" si="568"/>
        <v/>
      </c>
      <c r="AY147" s="113" t="e">
        <f t="shared" si="45"/>
        <v>#VALUE!</v>
      </c>
      <c r="AZ147" s="114" t="str">
        <f t="shared" si="569"/>
        <v/>
      </c>
      <c r="BA147" s="100" t="str">
        <f t="shared" si="570"/>
        <v/>
      </c>
      <c r="BB147" s="118" t="e">
        <f t="shared" ref="BB147:BD147" si="648">BH147+AY147+AU147</f>
        <v>#VALUE!</v>
      </c>
      <c r="BC147" s="116" t="e">
        <f t="shared" si="648"/>
        <v>#VALUE!</v>
      </c>
      <c r="BD147" s="119" t="e">
        <f t="shared" si="648"/>
        <v>#VALUE!</v>
      </c>
      <c r="BE147" s="118" t="e">
        <f t="shared" si="49"/>
        <v>#VALUE!</v>
      </c>
      <c r="BF147" s="116" t="e">
        <f t="shared" si="50"/>
        <v>#VALUE!</v>
      </c>
      <c r="BG147" s="119" t="e">
        <f t="shared" si="51"/>
        <v>#VALUE!</v>
      </c>
      <c r="BH147" s="114" t="e">
        <f t="shared" si="52"/>
        <v>#VALUE!</v>
      </c>
      <c r="BI147" s="114" t="str">
        <f t="shared" si="572"/>
        <v/>
      </c>
      <c r="BJ147" s="115" t="str">
        <f t="shared" si="573"/>
        <v/>
      </c>
      <c r="BK147" s="125" t="str">
        <f t="shared" si="574"/>
        <v/>
      </c>
      <c r="BL147" s="120" t="e">
        <f t="shared" si="56"/>
        <v>#VALUE!</v>
      </c>
      <c r="BM147" s="121" t="str">
        <f t="shared" si="575"/>
        <v/>
      </c>
      <c r="BN147" s="119" t="str">
        <f t="shared" si="576"/>
        <v/>
      </c>
      <c r="BO147" s="125" t="str">
        <f t="shared" si="577"/>
        <v/>
      </c>
      <c r="BP147" s="140" t="e">
        <f t="shared" si="60"/>
        <v>#VALUE!</v>
      </c>
      <c r="BQ147" s="123" t="str">
        <f t="shared" si="578"/>
        <v/>
      </c>
      <c r="BR147" s="125" t="str">
        <f t="shared" si="579"/>
        <v/>
      </c>
      <c r="BS147" s="122" t="e">
        <f t="shared" si="63"/>
        <v>#VALUE!</v>
      </c>
      <c r="BT147" s="123">
        <f t="shared" ref="BT147:BU147" si="649">SUM(BI147,BM147,BQ147)</f>
        <v>0</v>
      </c>
      <c r="BU147" s="124">
        <f t="shared" si="649"/>
        <v>0</v>
      </c>
      <c r="BV147" s="125" t="str">
        <f t="shared" si="581"/>
        <v/>
      </c>
      <c r="BW147" s="122" t="e">
        <f t="shared" si="66"/>
        <v>#VALUE!</v>
      </c>
      <c r="BX147" s="123" t="str">
        <f t="shared" si="582"/>
        <v/>
      </c>
      <c r="BY147" s="124" t="str">
        <f t="shared" si="583"/>
        <v/>
      </c>
      <c r="BZ147" s="125" t="str">
        <f t="shared" si="584"/>
        <v/>
      </c>
      <c r="CA147" s="140"/>
      <c r="CB147" s="123"/>
      <c r="CC147" s="148"/>
      <c r="CD147" s="123" t="str">
        <f t="shared" si="585"/>
        <v/>
      </c>
      <c r="CF147" s="149"/>
    </row>
    <row r="148" spans="1:117" ht="14">
      <c r="A148" s="92">
        <f t="shared" si="547"/>
        <v>112012614</v>
      </c>
      <c r="B148" s="172">
        <f t="shared" si="616"/>
        <v>0</v>
      </c>
      <c r="C148" s="137" t="str">
        <f t="shared" si="598"/>
        <v/>
      </c>
      <c r="D148" s="137" t="str">
        <f t="shared" si="599"/>
        <v/>
      </c>
      <c r="E148" s="138" t="str">
        <f t="shared" si="600"/>
        <v/>
      </c>
      <c r="F148" s="193">
        <f t="shared" si="643"/>
        <v>0</v>
      </c>
      <c r="G148" s="97" t="str">
        <f t="shared" si="601"/>
        <v/>
      </c>
      <c r="H148" s="97" t="str">
        <f t="shared" si="602"/>
        <v/>
      </c>
      <c r="I148" s="97" t="str">
        <f t="shared" si="603"/>
        <v/>
      </c>
      <c r="J148" s="96">
        <f t="shared" si="549"/>
        <v>0</v>
      </c>
      <c r="K148" s="94" t="str">
        <f t="shared" si="550"/>
        <v/>
      </c>
      <c r="L148" s="98" t="str">
        <f t="shared" si="551"/>
        <v/>
      </c>
      <c r="M148" s="139" t="s">
        <v>224</v>
      </c>
      <c r="N148" s="100">
        <f t="shared" si="552"/>
        <v>0</v>
      </c>
      <c r="O148" s="140">
        <f t="shared" si="623"/>
        <v>0</v>
      </c>
      <c r="P148" s="102" t="e">
        <f t="shared" si="13"/>
        <v>#VALUE!</v>
      </c>
      <c r="Q148" s="102" t="str">
        <f t="shared" si="553"/>
        <v/>
      </c>
      <c r="R148" s="102">
        <f t="shared" si="554"/>
        <v>3033425.62</v>
      </c>
      <c r="S148" s="102">
        <f t="shared" si="16"/>
        <v>3033425.62</v>
      </c>
      <c r="T148" s="103" t="e">
        <f t="shared" si="17"/>
        <v>#DIV/0!</v>
      </c>
      <c r="U148" s="100">
        <f t="shared" si="555"/>
        <v>0</v>
      </c>
      <c r="V148" s="141">
        <f t="shared" si="633"/>
        <v>0</v>
      </c>
      <c r="W148" s="105" t="e">
        <f t="shared" si="19"/>
        <v>#VALUE!</v>
      </c>
      <c r="X148" s="102" t="str">
        <f t="shared" si="556"/>
        <v/>
      </c>
      <c r="Y148" s="106">
        <f t="shared" si="557"/>
        <v>2069385.95</v>
      </c>
      <c r="Z148" s="142">
        <f t="shared" si="624"/>
        <v>2069385.95</v>
      </c>
      <c r="AA148" s="143" t="str">
        <f t="shared" si="634"/>
        <v/>
      </c>
      <c r="AB148" s="100">
        <f t="shared" si="558"/>
        <v>0</v>
      </c>
      <c r="AC148" s="140">
        <f t="shared" si="635"/>
        <v>0</v>
      </c>
      <c r="AD148" s="102" t="e">
        <f t="shared" si="24"/>
        <v>#VALUE!</v>
      </c>
      <c r="AE148" s="102" t="str">
        <f t="shared" si="559"/>
        <v/>
      </c>
      <c r="AF148" s="102">
        <f t="shared" si="560"/>
        <v>0</v>
      </c>
      <c r="AG148" s="199">
        <f t="shared" si="626"/>
        <v>0</v>
      </c>
      <c r="AH148" s="158" t="str">
        <f t="shared" si="636"/>
        <v/>
      </c>
      <c r="AI148" s="147">
        <f t="shared" si="628"/>
        <v>0</v>
      </c>
      <c r="AJ148" s="111">
        <f t="shared" si="561"/>
        <v>19421487.600000001</v>
      </c>
      <c r="AK148" s="102">
        <f t="shared" si="31"/>
        <v>0</v>
      </c>
      <c r="AL148" s="102" t="e">
        <f t="shared" si="32"/>
        <v>#VALUE!</v>
      </c>
      <c r="AM148" s="102">
        <f t="shared" si="33"/>
        <v>5102811.57</v>
      </c>
      <c r="AN148" s="102">
        <f t="shared" si="34"/>
        <v>-14318676.030000001</v>
      </c>
      <c r="AO148" s="112">
        <f t="shared" si="35"/>
        <v>0.26274051067025372</v>
      </c>
      <c r="AP148" s="100">
        <f t="shared" si="562"/>
        <v>0</v>
      </c>
      <c r="AQ148" s="113" t="e">
        <f t="shared" si="37"/>
        <v>#VALUE!</v>
      </c>
      <c r="AR148" s="114" t="str">
        <f t="shared" si="563"/>
        <v/>
      </c>
      <c r="AS148" s="115">
        <f t="shared" si="564"/>
        <v>0</v>
      </c>
      <c r="AT148" s="100">
        <f t="shared" si="565"/>
        <v>0</v>
      </c>
      <c r="AU148" s="113" t="e">
        <f t="shared" si="41"/>
        <v>#VALUE!</v>
      </c>
      <c r="AV148" s="116" t="str">
        <f t="shared" si="566"/>
        <v/>
      </c>
      <c r="AW148" s="117">
        <f t="shared" si="567"/>
        <v>0</v>
      </c>
      <c r="AX148" s="100">
        <f t="shared" si="568"/>
        <v>0</v>
      </c>
      <c r="AY148" s="113" t="e">
        <f t="shared" si="45"/>
        <v>#VALUE!</v>
      </c>
      <c r="AZ148" s="114" t="str">
        <f t="shared" si="569"/>
        <v/>
      </c>
      <c r="BA148" s="100">
        <f t="shared" si="570"/>
        <v>0</v>
      </c>
      <c r="BB148" s="118" t="e">
        <f t="shared" ref="BB148:BD148" si="650">BH148+AY148+AU148</f>
        <v>#VALUE!</v>
      </c>
      <c r="BC148" s="116" t="e">
        <f t="shared" si="650"/>
        <v>#VALUE!</v>
      </c>
      <c r="BD148" s="119">
        <f t="shared" si="650"/>
        <v>0</v>
      </c>
      <c r="BE148" s="118" t="e">
        <f t="shared" si="49"/>
        <v>#VALUE!</v>
      </c>
      <c r="BF148" s="116" t="e">
        <f t="shared" si="50"/>
        <v>#VALUE!</v>
      </c>
      <c r="BG148" s="119">
        <f t="shared" si="51"/>
        <v>5102811.57</v>
      </c>
      <c r="BH148" s="114" t="e">
        <f t="shared" si="52"/>
        <v>#VALUE!</v>
      </c>
      <c r="BI148" s="114" t="str">
        <f t="shared" si="572"/>
        <v/>
      </c>
      <c r="BJ148" s="115">
        <f t="shared" si="573"/>
        <v>0</v>
      </c>
      <c r="BK148" s="125">
        <f t="shared" si="574"/>
        <v>0</v>
      </c>
      <c r="BL148" s="120" t="e">
        <f t="shared" si="56"/>
        <v>#VALUE!</v>
      </c>
      <c r="BM148" s="121" t="str">
        <f t="shared" si="575"/>
        <v/>
      </c>
      <c r="BN148" s="119">
        <f t="shared" si="576"/>
        <v>0</v>
      </c>
      <c r="BO148" s="125">
        <f t="shared" si="577"/>
        <v>0</v>
      </c>
      <c r="BP148" s="140" t="e">
        <f t="shared" si="60"/>
        <v>#VALUE!</v>
      </c>
      <c r="BQ148" s="123" t="str">
        <f t="shared" si="578"/>
        <v/>
      </c>
      <c r="BR148" s="125">
        <f t="shared" si="579"/>
        <v>0</v>
      </c>
      <c r="BS148" s="122" t="e">
        <f t="shared" si="63"/>
        <v>#VALUE!</v>
      </c>
      <c r="BT148" s="123">
        <f t="shared" ref="BT148:BU148" si="651">SUM(BI148,BM148,BQ148)</f>
        <v>0</v>
      </c>
      <c r="BU148" s="124">
        <f t="shared" si="651"/>
        <v>0</v>
      </c>
      <c r="BV148" s="125">
        <f t="shared" si="581"/>
        <v>0</v>
      </c>
      <c r="BW148" s="122" t="e">
        <f t="shared" si="66"/>
        <v>#VALUE!</v>
      </c>
      <c r="BX148" s="123" t="str">
        <f t="shared" si="582"/>
        <v/>
      </c>
      <c r="BY148" s="124">
        <f t="shared" si="583"/>
        <v>11489669.42</v>
      </c>
      <c r="BZ148" s="125">
        <f t="shared" si="584"/>
        <v>19421487.600000001</v>
      </c>
      <c r="CA148" s="140"/>
      <c r="CB148" s="123"/>
      <c r="CC148" s="148"/>
      <c r="CD148" s="123">
        <f t="shared" si="585"/>
        <v>0</v>
      </c>
      <c r="CF148" s="149"/>
    </row>
    <row r="149" spans="1:117" ht="13">
      <c r="A149" s="92">
        <f t="shared" si="547"/>
        <v>112013850</v>
      </c>
      <c r="B149" s="172">
        <f t="shared" si="616"/>
        <v>0</v>
      </c>
      <c r="C149" s="137" t="str">
        <f t="shared" si="598"/>
        <v/>
      </c>
      <c r="D149" s="137" t="str">
        <f t="shared" si="599"/>
        <v/>
      </c>
      <c r="E149" s="138" t="str">
        <f t="shared" si="600"/>
        <v/>
      </c>
      <c r="F149" s="193">
        <f t="shared" si="643"/>
        <v>0</v>
      </c>
      <c r="G149" s="97" t="str">
        <f t="shared" si="601"/>
        <v/>
      </c>
      <c r="H149" s="97" t="str">
        <f t="shared" si="602"/>
        <v/>
      </c>
      <c r="I149" s="97" t="str">
        <f t="shared" si="603"/>
        <v/>
      </c>
      <c r="J149" s="96">
        <f t="shared" si="549"/>
        <v>0</v>
      </c>
      <c r="K149" s="94" t="str">
        <f t="shared" si="550"/>
        <v/>
      </c>
      <c r="L149" s="98" t="str">
        <f t="shared" si="551"/>
        <v/>
      </c>
      <c r="M149" s="139" t="s">
        <v>225</v>
      </c>
      <c r="N149" s="100">
        <f t="shared" si="552"/>
        <v>217487.93</v>
      </c>
      <c r="O149" s="140">
        <f t="shared" si="623"/>
        <v>365608.08472649998</v>
      </c>
      <c r="P149" s="102">
        <f t="shared" si="13"/>
        <v>721667.99</v>
      </c>
      <c r="Q149" s="102">
        <f t="shared" si="553"/>
        <v>21560</v>
      </c>
      <c r="R149" s="102">
        <f t="shared" si="554"/>
        <v>743227.99</v>
      </c>
      <c r="S149" s="102">
        <f t="shared" si="16"/>
        <v>377619.90527350002</v>
      </c>
      <c r="T149" s="103">
        <f t="shared" si="17"/>
        <v>2.0328543624958013</v>
      </c>
      <c r="U149" s="100">
        <f t="shared" si="555"/>
        <v>277874.77</v>
      </c>
      <c r="V149" s="141">
        <f t="shared" si="633"/>
        <v>479195.04086499999</v>
      </c>
      <c r="W149" s="105">
        <f t="shared" si="19"/>
        <v>489231.15999999992</v>
      </c>
      <c r="X149" s="102">
        <f t="shared" si="556"/>
        <v>113657.41</v>
      </c>
      <c r="Y149" s="106">
        <f t="shared" si="557"/>
        <v>602888.56999999995</v>
      </c>
      <c r="Z149" s="142">
        <f t="shared" si="624"/>
        <v>123693.52913499996</v>
      </c>
      <c r="AA149" s="143">
        <f t="shared" si="634"/>
        <v>1.2581277321061577</v>
      </c>
      <c r="AB149" s="100">
        <f t="shared" si="558"/>
        <v>240614.5</v>
      </c>
      <c r="AC149" s="140">
        <f t="shared" si="635"/>
        <v>395417.44779249997</v>
      </c>
      <c r="AD149" s="102">
        <f t="shared" si="24"/>
        <v>315102.28000000003</v>
      </c>
      <c r="AE149" s="102">
        <f t="shared" si="559"/>
        <v>22638</v>
      </c>
      <c r="AF149" s="102">
        <f t="shared" si="560"/>
        <v>337740.28</v>
      </c>
      <c r="AG149" s="199">
        <f t="shared" si="626"/>
        <v>-57677.167792499939</v>
      </c>
      <c r="AH149" s="158">
        <f t="shared" si="636"/>
        <v>0.8541360071122438</v>
      </c>
      <c r="AI149" s="147">
        <f t="shared" si="628"/>
        <v>1240220.573384</v>
      </c>
      <c r="AJ149" s="111">
        <f t="shared" si="561"/>
        <v>1095499.58</v>
      </c>
      <c r="AK149" s="102">
        <f t="shared" si="31"/>
        <v>157855.41</v>
      </c>
      <c r="AL149" s="102">
        <f t="shared" si="32"/>
        <v>1526001.43</v>
      </c>
      <c r="AM149" s="102">
        <f t="shared" si="33"/>
        <v>1683856.8399999999</v>
      </c>
      <c r="AN149" s="102">
        <f t="shared" si="34"/>
        <v>588357.25999999978</v>
      </c>
      <c r="AO149" s="112">
        <f t="shared" si="35"/>
        <v>1.5370675358907939</v>
      </c>
      <c r="AP149" s="100">
        <f t="shared" si="562"/>
        <v>346280.46</v>
      </c>
      <c r="AQ149" s="113">
        <f t="shared" si="37"/>
        <v>524309.13</v>
      </c>
      <c r="AR149" s="114">
        <f t="shared" si="563"/>
        <v>68839.41</v>
      </c>
      <c r="AS149" s="115">
        <f t="shared" si="564"/>
        <v>593148.54</v>
      </c>
      <c r="AT149" s="100">
        <f t="shared" si="565"/>
        <v>52095.06</v>
      </c>
      <c r="AU149" s="113">
        <f t="shared" si="41"/>
        <v>261925.26</v>
      </c>
      <c r="AV149" s="116">
        <f t="shared" si="566"/>
        <v>0</v>
      </c>
      <c r="AW149" s="117">
        <f t="shared" si="567"/>
        <v>261925.26</v>
      </c>
      <c r="AX149" s="100">
        <f t="shared" si="568"/>
        <v>310838.78999999998</v>
      </c>
      <c r="AY149" s="113">
        <f t="shared" si="45"/>
        <v>154179.40000000002</v>
      </c>
      <c r="AZ149" s="114">
        <f t="shared" si="569"/>
        <v>78952.2</v>
      </c>
      <c r="BA149" s="100">
        <f t="shared" si="570"/>
        <v>233131.6</v>
      </c>
      <c r="BB149" s="118">
        <f t="shared" ref="BB149:BD149" si="652">BH149+AY149+AU149</f>
        <v>919633.17</v>
      </c>
      <c r="BC149" s="116">
        <f t="shared" si="652"/>
        <v>120791.7</v>
      </c>
      <c r="BD149" s="119">
        <f t="shared" si="652"/>
        <v>1040424.87</v>
      </c>
      <c r="BE149" s="118">
        <f t="shared" si="49"/>
        <v>2445634.6</v>
      </c>
      <c r="BF149" s="116">
        <f t="shared" si="50"/>
        <v>278647.11</v>
      </c>
      <c r="BG149" s="119">
        <f t="shared" si="51"/>
        <v>2724281.71</v>
      </c>
      <c r="BH149" s="114">
        <f t="shared" si="52"/>
        <v>503528.51</v>
      </c>
      <c r="BI149" s="114">
        <f t="shared" si="572"/>
        <v>41839.5</v>
      </c>
      <c r="BJ149" s="115">
        <f t="shared" si="573"/>
        <v>545368.01</v>
      </c>
      <c r="BK149" s="125">
        <f t="shared" si="574"/>
        <v>463687.53</v>
      </c>
      <c r="BL149" s="120">
        <f t="shared" si="56"/>
        <v>570130.9</v>
      </c>
      <c r="BM149" s="121">
        <f t="shared" si="575"/>
        <v>27583.5</v>
      </c>
      <c r="BN149" s="119">
        <f t="shared" si="576"/>
        <v>597714.4</v>
      </c>
      <c r="BO149" s="125">
        <f t="shared" si="577"/>
        <v>563739.82999999996</v>
      </c>
      <c r="BP149" s="140">
        <f t="shared" si="60"/>
        <v>443866.93</v>
      </c>
      <c r="BQ149" s="123">
        <f t="shared" si="578"/>
        <v>0</v>
      </c>
      <c r="BR149" s="125">
        <f t="shared" si="579"/>
        <v>443866.93</v>
      </c>
      <c r="BS149" s="122">
        <f t="shared" si="63"/>
        <v>1517526.34</v>
      </c>
      <c r="BT149" s="123">
        <f t="shared" ref="BT149:BU149" si="653">SUM(BI149,BM149,BQ149)</f>
        <v>69423</v>
      </c>
      <c r="BU149" s="124">
        <f t="shared" si="653"/>
        <v>1586949.34</v>
      </c>
      <c r="BV149" s="125">
        <f t="shared" si="581"/>
        <v>324784.46000000002</v>
      </c>
      <c r="BW149" s="122">
        <f t="shared" si="66"/>
        <v>344614.48</v>
      </c>
      <c r="BX149" s="123">
        <f t="shared" si="582"/>
        <v>27583.5</v>
      </c>
      <c r="BY149" s="124">
        <f t="shared" si="583"/>
        <v>372197.98</v>
      </c>
      <c r="BZ149" s="125">
        <f t="shared" si="584"/>
        <v>230387.3</v>
      </c>
      <c r="CA149" s="140"/>
      <c r="CB149" s="123"/>
      <c r="CC149" s="148"/>
      <c r="CD149" s="123">
        <f t="shared" si="585"/>
        <v>540327.81999999995</v>
      </c>
      <c r="CF149" s="149"/>
    </row>
    <row r="150" spans="1:117" ht="14">
      <c r="A150" s="92">
        <f t="shared" si="547"/>
        <v>112013927</v>
      </c>
      <c r="B150" s="172">
        <f t="shared" si="616"/>
        <v>0</v>
      </c>
      <c r="C150" s="137" t="str">
        <f t="shared" si="598"/>
        <v/>
      </c>
      <c r="D150" s="137" t="str">
        <f t="shared" si="599"/>
        <v/>
      </c>
      <c r="E150" s="138" t="str">
        <f t="shared" si="600"/>
        <v/>
      </c>
      <c r="F150" s="193">
        <f t="shared" si="643"/>
        <v>0</v>
      </c>
      <c r="G150" s="97" t="str">
        <f t="shared" si="601"/>
        <v/>
      </c>
      <c r="H150" s="97" t="str">
        <f t="shared" si="602"/>
        <v/>
      </c>
      <c r="I150" s="97" t="str">
        <f t="shared" si="603"/>
        <v/>
      </c>
      <c r="J150" s="96">
        <f t="shared" si="549"/>
        <v>0</v>
      </c>
      <c r="K150" s="94" t="str">
        <f t="shared" si="550"/>
        <v/>
      </c>
      <c r="L150" s="98" t="str">
        <f t="shared" si="551"/>
        <v/>
      </c>
      <c r="M150" s="258" t="s">
        <v>226</v>
      </c>
      <c r="N150" s="100" t="str">
        <f t="shared" si="552"/>
        <v/>
      </c>
      <c r="O150" s="259" t="e">
        <f t="shared" si="623"/>
        <v>#VALUE!</v>
      </c>
      <c r="P150" s="102" t="e">
        <f t="shared" si="13"/>
        <v>#VALUE!</v>
      </c>
      <c r="Q150" s="102" t="str">
        <f t="shared" si="553"/>
        <v/>
      </c>
      <c r="R150" s="102" t="str">
        <f t="shared" si="554"/>
        <v/>
      </c>
      <c r="S150" s="102" t="e">
        <f t="shared" si="16"/>
        <v>#VALUE!</v>
      </c>
      <c r="T150" s="103" t="e">
        <f t="shared" si="17"/>
        <v>#VALUE!</v>
      </c>
      <c r="U150" s="100" t="str">
        <f t="shared" si="555"/>
        <v/>
      </c>
      <c r="V150" s="260" t="e">
        <f t="shared" si="633"/>
        <v>#VALUE!</v>
      </c>
      <c r="W150" s="105" t="e">
        <f t="shared" si="19"/>
        <v>#VALUE!</v>
      </c>
      <c r="X150" s="102" t="str">
        <f t="shared" si="556"/>
        <v/>
      </c>
      <c r="Y150" s="106" t="str">
        <f t="shared" si="557"/>
        <v/>
      </c>
      <c r="Z150" s="261" t="e">
        <f t="shared" si="624"/>
        <v>#VALUE!</v>
      </c>
      <c r="AA150" s="262" t="str">
        <f t="shared" si="634"/>
        <v/>
      </c>
      <c r="AB150" s="100" t="str">
        <f t="shared" si="558"/>
        <v/>
      </c>
      <c r="AC150" s="164" t="e">
        <f t="shared" si="635"/>
        <v>#VALUE!</v>
      </c>
      <c r="AD150" s="102" t="e">
        <f t="shared" si="24"/>
        <v>#VALUE!</v>
      </c>
      <c r="AE150" s="102" t="str">
        <f t="shared" si="559"/>
        <v/>
      </c>
      <c r="AF150" s="102" t="str">
        <f t="shared" si="560"/>
        <v/>
      </c>
      <c r="AG150" s="263" t="e">
        <f t="shared" si="626"/>
        <v>#VALUE!</v>
      </c>
      <c r="AH150" s="264" t="str">
        <f t="shared" si="636"/>
        <v/>
      </c>
      <c r="AI150" s="265" t="e">
        <f t="shared" si="628"/>
        <v>#VALUE!</v>
      </c>
      <c r="AJ150" s="111" t="str">
        <f t="shared" si="561"/>
        <v>0</v>
      </c>
      <c r="AK150" s="102">
        <f t="shared" si="31"/>
        <v>0</v>
      </c>
      <c r="AL150" s="102" t="e">
        <f t="shared" si="32"/>
        <v>#VALUE!</v>
      </c>
      <c r="AM150" s="102" t="e">
        <f t="shared" si="33"/>
        <v>#VALUE!</v>
      </c>
      <c r="AN150" s="102" t="e">
        <f t="shared" si="34"/>
        <v>#VALUE!</v>
      </c>
      <c r="AO150" s="112" t="e">
        <f t="shared" si="35"/>
        <v>#VALUE!</v>
      </c>
      <c r="AP150" s="100" t="str">
        <f t="shared" si="562"/>
        <v/>
      </c>
      <c r="AQ150" s="113" t="e">
        <f t="shared" si="37"/>
        <v>#VALUE!</v>
      </c>
      <c r="AR150" s="114" t="str">
        <f t="shared" si="563"/>
        <v/>
      </c>
      <c r="AS150" s="115" t="str">
        <f t="shared" si="564"/>
        <v/>
      </c>
      <c r="AT150" s="100" t="str">
        <f t="shared" si="565"/>
        <v/>
      </c>
      <c r="AU150" s="113" t="e">
        <f t="shared" si="41"/>
        <v>#VALUE!</v>
      </c>
      <c r="AV150" s="116" t="str">
        <f t="shared" si="566"/>
        <v/>
      </c>
      <c r="AW150" s="117" t="str">
        <f t="shared" si="567"/>
        <v/>
      </c>
      <c r="AX150" s="100" t="str">
        <f t="shared" si="568"/>
        <v/>
      </c>
      <c r="AY150" s="113" t="e">
        <f t="shared" si="45"/>
        <v>#VALUE!</v>
      </c>
      <c r="AZ150" s="114" t="str">
        <f t="shared" si="569"/>
        <v/>
      </c>
      <c r="BA150" s="100" t="str">
        <f t="shared" si="570"/>
        <v/>
      </c>
      <c r="BB150" s="118" t="e">
        <f t="shared" ref="BB150:BD150" si="654">BH150+AY150+AU150</f>
        <v>#VALUE!</v>
      </c>
      <c r="BC150" s="116" t="e">
        <f t="shared" si="654"/>
        <v>#VALUE!</v>
      </c>
      <c r="BD150" s="119" t="e">
        <f t="shared" si="654"/>
        <v>#VALUE!</v>
      </c>
      <c r="BE150" s="266" t="e">
        <f t="shared" si="49"/>
        <v>#VALUE!</v>
      </c>
      <c r="BF150" s="267" t="e">
        <f t="shared" si="50"/>
        <v>#VALUE!</v>
      </c>
      <c r="BG150" s="268" t="e">
        <f t="shared" si="51"/>
        <v>#VALUE!</v>
      </c>
      <c r="BH150" s="269" t="e">
        <f t="shared" si="52"/>
        <v>#VALUE!</v>
      </c>
      <c r="BI150" s="269" t="str">
        <f t="shared" si="572"/>
        <v/>
      </c>
      <c r="BJ150" s="270" t="str">
        <f t="shared" si="573"/>
        <v/>
      </c>
      <c r="BK150" s="271" t="str">
        <f t="shared" si="574"/>
        <v/>
      </c>
      <c r="BL150" s="272" t="e">
        <f t="shared" si="56"/>
        <v>#VALUE!</v>
      </c>
      <c r="BM150" s="273" t="str">
        <f t="shared" si="575"/>
        <v/>
      </c>
      <c r="BN150" s="268" t="str">
        <f t="shared" si="576"/>
        <v/>
      </c>
      <c r="BO150" s="271" t="str">
        <f t="shared" si="577"/>
        <v/>
      </c>
      <c r="BP150" s="164" t="e">
        <f t="shared" si="60"/>
        <v>#VALUE!</v>
      </c>
      <c r="BQ150" s="274" t="str">
        <f t="shared" si="578"/>
        <v/>
      </c>
      <c r="BR150" s="271" t="str">
        <f t="shared" si="579"/>
        <v/>
      </c>
      <c r="BS150" s="275" t="e">
        <f t="shared" si="63"/>
        <v>#VALUE!</v>
      </c>
      <c r="BT150" s="274">
        <f t="shared" ref="BT150:BU150" si="655">SUM(BI150,BM150,BQ150)</f>
        <v>0</v>
      </c>
      <c r="BU150" s="276">
        <f t="shared" si="655"/>
        <v>0</v>
      </c>
      <c r="BV150" s="271" t="str">
        <f t="shared" si="581"/>
        <v/>
      </c>
      <c r="BW150" s="275" t="e">
        <f t="shared" si="66"/>
        <v>#VALUE!</v>
      </c>
      <c r="BX150" s="274" t="str">
        <f t="shared" si="582"/>
        <v/>
      </c>
      <c r="BY150" s="276" t="str">
        <f t="shared" si="583"/>
        <v/>
      </c>
      <c r="BZ150" s="125" t="str">
        <f t="shared" si="584"/>
        <v/>
      </c>
      <c r="CA150" s="140"/>
      <c r="CB150" s="123"/>
      <c r="CC150" s="148"/>
      <c r="CD150" s="123" t="str">
        <f t="shared" si="585"/>
        <v/>
      </c>
      <c r="CF150" s="149"/>
    </row>
    <row r="151" spans="1:117" ht="13">
      <c r="A151" s="277"/>
      <c r="B151" s="277"/>
      <c r="C151" s="278"/>
      <c r="D151" s="278"/>
      <c r="E151" s="278"/>
      <c r="F151" s="277"/>
      <c r="G151" s="279"/>
      <c r="H151" s="279"/>
      <c r="I151" s="279"/>
      <c r="J151" s="1859"/>
      <c r="K151" s="1860"/>
      <c r="L151" s="1861"/>
      <c r="M151" s="280" t="s">
        <v>17</v>
      </c>
      <c r="N151" s="281">
        <f t="shared" ref="N151:BY151" si="656">SUM(N2:N150,N157:N162)</f>
        <v>72615918.810000002</v>
      </c>
      <c r="O151" s="281" t="e">
        <f t="shared" si="656"/>
        <v>#VALUE!</v>
      </c>
      <c r="P151" s="281" t="e">
        <f t="shared" si="656"/>
        <v>#VALUE!</v>
      </c>
      <c r="Q151" s="281">
        <f t="shared" si="656"/>
        <v>99242182.450000018</v>
      </c>
      <c r="R151" s="281">
        <f t="shared" si="656"/>
        <v>171372355.17999998</v>
      </c>
      <c r="S151" s="281" t="e">
        <f t="shared" si="656"/>
        <v>#VALUE!</v>
      </c>
      <c r="T151" s="281" t="e">
        <f t="shared" si="656"/>
        <v>#DIV/0!</v>
      </c>
      <c r="U151" s="281">
        <f t="shared" si="656"/>
        <v>73935821.719999999</v>
      </c>
      <c r="V151" s="281" t="e">
        <f t="shared" si="656"/>
        <v>#VALUE!</v>
      </c>
      <c r="W151" s="281" t="e">
        <f t="shared" si="656"/>
        <v>#VALUE!</v>
      </c>
      <c r="X151" s="281">
        <f t="shared" si="656"/>
        <v>96881469.949999988</v>
      </c>
      <c r="Y151" s="281">
        <f t="shared" si="656"/>
        <v>187494425.22000009</v>
      </c>
      <c r="Z151" s="281" t="e">
        <f t="shared" si="656"/>
        <v>#VALUE!</v>
      </c>
      <c r="AA151" s="281" t="e">
        <f t="shared" si="656"/>
        <v>#VALUE!</v>
      </c>
      <c r="AB151" s="281">
        <f t="shared" si="656"/>
        <v>80197521.710000023</v>
      </c>
      <c r="AC151" s="281" t="e">
        <f t="shared" si="656"/>
        <v>#VALUE!</v>
      </c>
      <c r="AD151" s="281" t="e">
        <f t="shared" si="656"/>
        <v>#VALUE!</v>
      </c>
      <c r="AE151" s="281">
        <f t="shared" si="656"/>
        <v>102913123.88</v>
      </c>
      <c r="AF151" s="281">
        <f t="shared" si="656"/>
        <v>150224670.52999997</v>
      </c>
      <c r="AG151" s="281" t="e">
        <f t="shared" si="656"/>
        <v>#VALUE!</v>
      </c>
      <c r="AH151" s="281" t="e">
        <f t="shared" si="656"/>
        <v>#VALUE!</v>
      </c>
      <c r="AI151" s="281" t="e">
        <f t="shared" si="656"/>
        <v>#VALUE!</v>
      </c>
      <c r="AJ151" s="281">
        <f t="shared" si="656"/>
        <v>479597397.50000018</v>
      </c>
      <c r="AK151" s="281">
        <f t="shared" si="656"/>
        <v>299036776.27999997</v>
      </c>
      <c r="AL151" s="281" t="e">
        <f t="shared" si="656"/>
        <v>#VALUE!</v>
      </c>
      <c r="AM151" s="281" t="e">
        <f t="shared" si="656"/>
        <v>#VALUE!</v>
      </c>
      <c r="AN151" s="281" t="e">
        <f t="shared" si="656"/>
        <v>#VALUE!</v>
      </c>
      <c r="AO151" s="281" t="e">
        <f t="shared" si="656"/>
        <v>#DIV/0!</v>
      </c>
      <c r="AP151" s="281">
        <f t="shared" si="656"/>
        <v>85938242.530000031</v>
      </c>
      <c r="AQ151" s="281" t="e">
        <f t="shared" si="656"/>
        <v>#VALUE!</v>
      </c>
      <c r="AR151" s="281">
        <f t="shared" si="656"/>
        <v>123801155.87999997</v>
      </c>
      <c r="AS151" s="281">
        <f t="shared" si="656"/>
        <v>174123307.2299999</v>
      </c>
      <c r="AT151" s="281">
        <f t="shared" si="656"/>
        <v>130906080.98999998</v>
      </c>
      <c r="AU151" s="281" t="e">
        <f t="shared" si="656"/>
        <v>#VALUE!</v>
      </c>
      <c r="AV151" s="281">
        <f t="shared" si="656"/>
        <v>127906086.70000003</v>
      </c>
      <c r="AW151" s="281">
        <f t="shared" si="656"/>
        <v>194150843.15999997</v>
      </c>
      <c r="AX151" s="281">
        <f t="shared" si="656"/>
        <v>78705064.620000049</v>
      </c>
      <c r="AY151" s="281" t="e">
        <f t="shared" si="656"/>
        <v>#VALUE!</v>
      </c>
      <c r="AZ151" s="281">
        <f t="shared" si="656"/>
        <v>122470061.12999997</v>
      </c>
      <c r="BA151" s="281">
        <f t="shared" si="656"/>
        <v>173634780.33000001</v>
      </c>
      <c r="BB151" s="281" t="e">
        <f t="shared" si="656"/>
        <v>#VALUE!</v>
      </c>
      <c r="BC151" s="281" t="e">
        <f t="shared" si="656"/>
        <v>#VALUE!</v>
      </c>
      <c r="BD151" s="282" t="e">
        <f t="shared" si="656"/>
        <v>#VALUE!</v>
      </c>
      <c r="BE151" s="283" t="e">
        <f t="shared" si="656"/>
        <v>#VALUE!</v>
      </c>
      <c r="BF151" s="281" t="e">
        <f t="shared" si="656"/>
        <v>#VALUE!</v>
      </c>
      <c r="BG151" s="282" t="e">
        <f t="shared" si="656"/>
        <v>#VALUE!</v>
      </c>
      <c r="BH151" s="284" t="e">
        <f t="shared" si="656"/>
        <v>#VALUE!</v>
      </c>
      <c r="BI151" s="285">
        <f t="shared" si="656"/>
        <v>135346225.84999996</v>
      </c>
      <c r="BJ151" s="285">
        <f t="shared" si="656"/>
        <v>177504108.46999994</v>
      </c>
      <c r="BK151" s="286">
        <f t="shared" si="656"/>
        <v>122514225.17</v>
      </c>
      <c r="BL151" s="284" t="e">
        <f t="shared" si="656"/>
        <v>#VALUE!</v>
      </c>
      <c r="BM151" s="285">
        <f t="shared" si="656"/>
        <v>136891282.91</v>
      </c>
      <c r="BN151" s="287">
        <f t="shared" si="656"/>
        <v>189740744.92000008</v>
      </c>
      <c r="BO151" s="286">
        <f t="shared" si="656"/>
        <v>87216573.37999998</v>
      </c>
      <c r="BP151" s="284" t="e">
        <f t="shared" si="656"/>
        <v>#VALUE!</v>
      </c>
      <c r="BQ151" s="285">
        <f t="shared" si="656"/>
        <v>73380313.889999956</v>
      </c>
      <c r="BR151" s="287">
        <f t="shared" si="656"/>
        <v>151037019.44000003</v>
      </c>
      <c r="BS151" s="285" t="e">
        <f t="shared" si="656"/>
        <v>#VALUE!</v>
      </c>
      <c r="BT151" s="285">
        <f t="shared" si="656"/>
        <v>345617822.6500001</v>
      </c>
      <c r="BU151" s="287">
        <f t="shared" si="656"/>
        <v>518281872.82999992</v>
      </c>
      <c r="BV151" s="286">
        <f t="shared" si="656"/>
        <v>130148994.62999997</v>
      </c>
      <c r="BW151" s="288" t="e">
        <f t="shared" si="656"/>
        <v>#VALUE!</v>
      </c>
      <c r="BX151" s="289">
        <f t="shared" si="656"/>
        <v>64995850.679999962</v>
      </c>
      <c r="BY151" s="290">
        <f t="shared" si="656"/>
        <v>182766020.5800001</v>
      </c>
      <c r="BZ151" s="291">
        <f>SUM(BZ2:BZ150,BZ157)</f>
        <v>165846156.75000003</v>
      </c>
      <c r="CA151" s="292"/>
      <c r="CB151" s="291"/>
      <c r="CC151" s="291"/>
      <c r="CD151" s="292">
        <f>SUM(CD2:CD150,CD157)</f>
        <v>161428005.80999994</v>
      </c>
      <c r="CE151" s="293"/>
      <c r="CF151" s="188"/>
      <c r="CG151" s="188"/>
      <c r="CH151" s="188"/>
      <c r="CI151" s="188"/>
      <c r="CJ151" s="188"/>
      <c r="CK151" s="188"/>
      <c r="CL151" s="188"/>
      <c r="CM151" s="188"/>
      <c r="CN151" s="188"/>
      <c r="CO151" s="188"/>
      <c r="CP151" s="188"/>
      <c r="CQ151" s="188"/>
      <c r="CR151" s="188"/>
      <c r="CS151" s="188"/>
      <c r="CT151" s="188"/>
      <c r="CU151" s="188"/>
      <c r="CV151" s="188"/>
      <c r="CW151" s="188"/>
      <c r="CX151" s="188"/>
      <c r="CY151" s="188"/>
      <c r="CZ151" s="188"/>
      <c r="DA151" s="188"/>
      <c r="DB151" s="188"/>
      <c r="DC151" s="188"/>
      <c r="DD151" s="188"/>
      <c r="DE151" s="188"/>
      <c r="DF151" s="188"/>
      <c r="DG151" s="188"/>
      <c r="DH151" s="188"/>
      <c r="DI151" s="188"/>
      <c r="DJ151" s="188"/>
      <c r="DK151" s="188"/>
      <c r="DL151" s="188"/>
      <c r="DM151" s="188"/>
    </row>
    <row r="152" spans="1:117" ht="13">
      <c r="B152" s="294"/>
      <c r="C152" s="295"/>
      <c r="D152" s="295"/>
      <c r="E152" s="294"/>
      <c r="F152" s="294"/>
      <c r="G152" s="295"/>
      <c r="H152" s="295"/>
      <c r="I152" s="295"/>
      <c r="J152" s="295"/>
      <c r="K152" s="295"/>
      <c r="L152" s="295"/>
      <c r="N152" s="296"/>
      <c r="O152" s="296"/>
      <c r="P152" s="297"/>
      <c r="Q152" s="297"/>
      <c r="R152" s="297"/>
      <c r="S152" s="297"/>
      <c r="T152" s="298"/>
      <c r="U152" s="296"/>
      <c r="V152" s="296"/>
      <c r="W152" s="297"/>
      <c r="X152" s="297"/>
      <c r="Y152" s="297"/>
      <c r="Z152" s="297"/>
      <c r="AA152" s="299"/>
      <c r="AB152" s="296"/>
      <c r="AC152" s="296"/>
      <c r="AD152" s="297"/>
      <c r="AE152" s="297"/>
      <c r="AF152" s="297"/>
      <c r="AG152" s="297"/>
      <c r="AH152" s="295"/>
      <c r="AI152" s="293"/>
      <c r="AJ152" s="293"/>
      <c r="AK152" s="297"/>
      <c r="AL152" s="297"/>
      <c r="AM152" s="297"/>
      <c r="AN152" s="297"/>
      <c r="AO152" s="295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  <c r="BU152" s="296"/>
      <c r="BV152" s="296"/>
      <c r="BW152" s="296"/>
      <c r="BX152" s="296"/>
      <c r="BY152" s="296"/>
      <c r="BZ152" s="296"/>
      <c r="CA152" s="296"/>
      <c r="CB152" s="296"/>
      <c r="CC152" s="296"/>
      <c r="CD152" s="296"/>
    </row>
    <row r="153" spans="1:117" ht="13">
      <c r="B153" s="294"/>
      <c r="C153" s="295"/>
      <c r="D153" s="295"/>
      <c r="E153" s="294"/>
      <c r="F153" s="294"/>
      <c r="G153" s="295"/>
      <c r="H153" s="295"/>
      <c r="I153" s="295"/>
      <c r="J153" s="295"/>
      <c r="K153" s="295"/>
      <c r="L153" s="295"/>
      <c r="M153" s="300" t="s">
        <v>227</v>
      </c>
      <c r="N153" s="296"/>
      <c r="O153" s="296"/>
      <c r="P153" s="297"/>
      <c r="Q153" s="297"/>
      <c r="R153" s="297"/>
      <c r="S153" s="297"/>
      <c r="T153" s="298"/>
      <c r="U153" s="296"/>
      <c r="V153" s="296"/>
      <c r="W153" s="297"/>
      <c r="X153" s="297"/>
      <c r="Y153" s="297"/>
      <c r="Z153" s="297"/>
      <c r="AA153" s="299"/>
      <c r="AB153" s="296"/>
      <c r="AC153" s="296"/>
      <c r="AD153" s="297"/>
      <c r="AE153" s="297"/>
      <c r="AF153" s="297"/>
      <c r="AG153" s="297"/>
      <c r="AH153" s="295"/>
      <c r="AI153" s="293"/>
      <c r="AJ153" s="293"/>
      <c r="AK153" s="297"/>
      <c r="AL153" s="297"/>
      <c r="AM153" s="297"/>
      <c r="AN153" s="297"/>
      <c r="AO153" s="295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  <c r="BU153" s="296"/>
      <c r="BV153" s="296"/>
      <c r="BW153" s="296"/>
      <c r="BX153" s="296"/>
      <c r="BY153" s="296"/>
      <c r="BZ153" s="296"/>
      <c r="CA153" s="296"/>
      <c r="CB153" s="296"/>
      <c r="CC153" s="296"/>
      <c r="CD153" s="296"/>
    </row>
    <row r="154" spans="1:117" ht="13">
      <c r="B154" s="294"/>
      <c r="C154" s="295"/>
      <c r="D154" s="295"/>
      <c r="E154" s="294"/>
      <c r="F154" s="294"/>
      <c r="G154" s="295"/>
      <c r="H154" s="295"/>
      <c r="I154" s="295"/>
      <c r="J154" s="295"/>
      <c r="K154" s="295"/>
      <c r="L154" s="295"/>
      <c r="M154" s="245" t="s">
        <v>228</v>
      </c>
      <c r="N154" s="296"/>
      <c r="O154" s="296"/>
      <c r="P154" s="297"/>
      <c r="Q154" s="297"/>
      <c r="R154" s="297"/>
      <c r="S154" s="297"/>
      <c r="T154" s="298"/>
      <c r="U154" s="296"/>
      <c r="V154" s="296"/>
      <c r="W154" s="297"/>
      <c r="X154" s="297"/>
      <c r="Y154" s="297"/>
      <c r="Z154" s="297"/>
      <c r="AA154" s="299"/>
      <c r="AB154" s="296"/>
      <c r="AC154" s="296"/>
      <c r="AD154" s="297"/>
      <c r="AE154" s="297"/>
      <c r="AF154" s="297"/>
      <c r="AG154" s="297"/>
      <c r="AH154" s="295"/>
      <c r="AI154" s="293"/>
      <c r="AJ154" s="293"/>
      <c r="AK154" s="297"/>
      <c r="AL154" s="297"/>
      <c r="AM154" s="297"/>
      <c r="AN154" s="297"/>
      <c r="AO154" s="295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  <c r="BU154" s="296"/>
      <c r="BV154" s="296"/>
      <c r="BW154" s="296"/>
      <c r="BX154" s="296"/>
      <c r="BY154" s="296"/>
      <c r="BZ154" s="296"/>
      <c r="CA154" s="296"/>
      <c r="CB154" s="296"/>
      <c r="CC154" s="296"/>
      <c r="CD154" s="296"/>
      <c r="CP154" s="301"/>
    </row>
    <row r="155" spans="1:117" ht="13">
      <c r="A155" s="302"/>
      <c r="B155" s="294"/>
      <c r="C155" s="295"/>
      <c r="D155" s="295"/>
      <c r="E155" s="294"/>
      <c r="F155" s="294"/>
      <c r="G155" s="295"/>
      <c r="H155" s="295"/>
      <c r="I155" s="295"/>
      <c r="J155" s="295"/>
      <c r="K155" s="295"/>
      <c r="L155" s="295"/>
      <c r="M155" s="303" t="s">
        <v>229</v>
      </c>
      <c r="N155" s="296"/>
      <c r="O155" s="296"/>
      <c r="P155" s="263"/>
      <c r="Q155" s="263"/>
      <c r="R155" s="263"/>
      <c r="S155" s="263"/>
      <c r="T155" s="304"/>
      <c r="U155" s="296"/>
      <c r="V155" s="296"/>
      <c r="W155" s="263"/>
      <c r="X155" s="263"/>
      <c r="Y155" s="263"/>
      <c r="Z155" s="263"/>
      <c r="AA155" s="127"/>
      <c r="AB155" s="296"/>
      <c r="AC155" s="296"/>
      <c r="AD155" s="263"/>
      <c r="AE155" s="263"/>
      <c r="AF155" s="263"/>
      <c r="AG155" s="263"/>
      <c r="AH155" s="305"/>
      <c r="AI155" s="306"/>
      <c r="AJ155" s="306"/>
      <c r="AK155" s="297"/>
      <c r="AL155" s="297"/>
      <c r="AM155" s="297"/>
      <c r="AN155" s="297"/>
      <c r="AO155" s="295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P155" s="301"/>
    </row>
    <row r="156" spans="1:117" ht="13">
      <c r="A156" s="307" t="s">
        <v>230</v>
      </c>
      <c r="B156" s="294"/>
      <c r="C156" s="295"/>
      <c r="D156" s="295"/>
      <c r="E156" s="294"/>
      <c r="F156" s="294"/>
      <c r="G156" s="295"/>
      <c r="H156" s="295"/>
      <c r="I156" s="295"/>
      <c r="J156" s="295"/>
      <c r="K156" s="295"/>
      <c r="L156" s="295"/>
      <c r="M156" s="188"/>
      <c r="N156" s="296"/>
      <c r="O156" s="296"/>
      <c r="P156" s="297"/>
      <c r="Q156" s="297"/>
      <c r="R156" s="297"/>
      <c r="S156" s="297"/>
      <c r="T156" s="298"/>
      <c r="U156" s="296"/>
      <c r="V156" s="296"/>
      <c r="W156" s="297"/>
      <c r="X156" s="297"/>
      <c r="Y156" s="297"/>
      <c r="Z156" s="297"/>
      <c r="AA156" s="299"/>
      <c r="AB156" s="296"/>
      <c r="AC156" s="296"/>
      <c r="AD156" s="297"/>
      <c r="AE156" s="297"/>
      <c r="AF156" s="297"/>
      <c r="AG156" s="297"/>
      <c r="AH156" s="295"/>
      <c r="AI156" s="293"/>
      <c r="AJ156" s="293"/>
      <c r="AK156" s="297"/>
      <c r="AL156" s="297"/>
      <c r="AM156" s="297"/>
      <c r="AN156" s="297"/>
      <c r="AO156" s="295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  <c r="BU156" s="296"/>
      <c r="BV156" s="296"/>
      <c r="BW156" s="296"/>
      <c r="BX156" s="296"/>
      <c r="BY156" s="296"/>
      <c r="BZ156" s="296"/>
      <c r="CA156" s="296"/>
      <c r="CB156" s="296"/>
      <c r="CC156" s="296"/>
      <c r="CD156" s="296"/>
      <c r="CP156" s="301"/>
    </row>
    <row r="157" spans="1:117" ht="13">
      <c r="A157" s="308" t="s">
        <v>230</v>
      </c>
      <c r="B157" s="309" t="e">
        <f>VLOOKUP(M157,BASILECARTERA,2,FALSE)</f>
        <v>#N/A</v>
      </c>
      <c r="C157" s="310" t="str">
        <f>IFERROR(VLOOKUP(B157,DES,2,FALSE),"")</f>
        <v/>
      </c>
      <c r="D157" s="310" t="str">
        <f>IFERROR(VLOOKUP(B157,DES,3,FALSE),"")</f>
        <v/>
      </c>
      <c r="E157" s="309" t="str">
        <f>IFERROR(VLOOKUP(B157,DES,4,FALSE),"")</f>
        <v/>
      </c>
      <c r="F157" s="309"/>
      <c r="G157" s="310"/>
      <c r="H157" s="310"/>
      <c r="I157" s="310"/>
      <c r="J157" s="309" t="e">
        <f t="shared" ref="J157:J162" si="657">VLOOKUP(M157,CART.BAS.3,2,FALSE)</f>
        <v>#N/A</v>
      </c>
      <c r="K157" s="310" t="str">
        <f t="shared" ref="K157:K162" si="658">IFERROR(VLOOKUP(J157,A458DC1025,2,FALSE),"")</f>
        <v/>
      </c>
      <c r="L157" s="310" t="str">
        <f t="shared" ref="L157:L162" si="659">IFERROR(VLOOKUP(J157,A458DC1025,3,FALSE),"")</f>
        <v/>
      </c>
      <c r="M157" s="311" t="s">
        <v>231</v>
      </c>
      <c r="N157" s="312">
        <f t="shared" ref="N157:N162" si="660">IFERROR(VLOOKUP(M157,Basilee24,3,FALSE),"")</f>
        <v>262396.76</v>
      </c>
      <c r="O157" s="312">
        <f t="shared" ref="O157:O162" si="661">(N157*1.601)*1.05</f>
        <v>441102.07339800004</v>
      </c>
      <c r="P157" s="313">
        <f t="shared" ref="P157:P162" si="662">R157-Q157</f>
        <v>494307.19</v>
      </c>
      <c r="Q157" s="313">
        <f t="shared" ref="Q157:Q162" si="663">IFERROR(VLOOKUP(M157,BASALIM,3,FALSE),"")</f>
        <v>42203.93</v>
      </c>
      <c r="R157" s="313">
        <f t="shared" ref="R157:R162" si="664">IFERROR(VLOOKUP(M157,BASFC,3,FALSE),"")</f>
        <v>536511.12</v>
      </c>
      <c r="S157" s="313">
        <f t="shared" ref="S157:S162" si="665">R157-O157</f>
        <v>95409.046601999959</v>
      </c>
      <c r="T157" s="314">
        <f>IFERROR(R157/O157,"")</f>
        <v>1.2162969805764521</v>
      </c>
      <c r="U157" s="312">
        <f t="shared" ref="U157:U162" si="666">IFERROR(VLOOKUP(M157,Basilee24,4,FALSE),"")</f>
        <v>461725.5</v>
      </c>
      <c r="V157" s="312">
        <f t="shared" ref="V157:V162" si="667">U157*1.7245</f>
        <v>796245.62474999996</v>
      </c>
      <c r="W157" s="313">
        <f t="shared" ref="W157:W162" si="668">Y157-X157</f>
        <v>132609.64000000001</v>
      </c>
      <c r="X157" s="313">
        <f t="shared" ref="X157:X162" si="669">IFERROR(VLOOKUP(M157,BASALIM,4,FALSE),"")</f>
        <v>98970.76</v>
      </c>
      <c r="Y157" s="313">
        <f t="shared" ref="Y157:Y162" si="670">IFERROR(VLOOKUP(M157,BASFC,4,FALSE),"")</f>
        <v>231580.4</v>
      </c>
      <c r="Z157" s="313">
        <f t="shared" ref="Z157:Z162" si="671">Y157-V157</f>
        <v>-564665.22474999994</v>
      </c>
      <c r="AA157" s="315">
        <f t="shared" ref="AA157:AA162" si="672">IFERROR(Y157/V157,"")</f>
        <v>0.29084040502289743</v>
      </c>
      <c r="AB157" s="312">
        <f t="shared" ref="AB157:AB162" si="673">IFERROR(VLOOKUP(M157,Basilee24,5,FALSE),"")</f>
        <v>135564.98000000001</v>
      </c>
      <c r="AC157" s="312">
        <f t="shared" ref="AC157:AC162" si="674">(AB157*1.5955)*1.03</f>
        <v>222782.7433577</v>
      </c>
      <c r="AD157" s="313">
        <f t="shared" ref="AD157:AD162" si="675">AF157-AE157</f>
        <v>173180.96</v>
      </c>
      <c r="AE157" s="313">
        <f t="shared" ref="AE157:AE162" si="676">IFERROR(VLOOKUP(M157,BASALIM,5,FALSE),"")</f>
        <v>0</v>
      </c>
      <c r="AF157" s="313">
        <f t="shared" ref="AF157:AF162" si="677">IFERROR(VLOOKUP(M157,BASFC,5,FALSE),"")</f>
        <v>173180.96</v>
      </c>
      <c r="AG157" s="313">
        <f t="shared" ref="AG157:AG162" si="678">AF157-AC157</f>
        <v>-49601.783357700013</v>
      </c>
      <c r="AH157" s="316">
        <f t="shared" ref="AH157:AH162" si="679">IFERROR(AF157/AC157,"")</f>
        <v>0.77735356603424444</v>
      </c>
      <c r="AI157" s="317">
        <f t="shared" ref="AI157:AI162" si="680">SUM(O157,V157,AC157)</f>
        <v>1460130.4415057001</v>
      </c>
      <c r="AJ157" s="317">
        <f t="shared" ref="AJ157:AJ162" si="681">IFERROR(VLOOKUP(M157,trim2024,2,FALSE),"0")</f>
        <v>735657.63</v>
      </c>
      <c r="AK157" s="313">
        <f t="shared" ref="AK157:AK162" si="682">SUM(AE157,X157,Q157)</f>
        <v>141174.69</v>
      </c>
      <c r="AL157" s="313">
        <f t="shared" ref="AL157:AL162" si="683">SUM(P157,W157,AD157)</f>
        <v>800097.79</v>
      </c>
      <c r="AM157" s="313">
        <f t="shared" ref="AM157:AM162" si="684">AF157+Y157+R157</f>
        <v>941272.48</v>
      </c>
      <c r="AN157" s="313">
        <f t="shared" ref="AN157:AN162" si="685">AM157-AJ157</f>
        <v>205614.84999999998</v>
      </c>
      <c r="AO157" s="316">
        <f>IFERROR(AM157/AJ157,"")</f>
        <v>1.2794980186639267</v>
      </c>
      <c r="AP157" s="312">
        <f t="shared" ref="AP157:AP162" si="686">IFERROR(VLOOKUP(M157,Basilee24,6,FALSE),"")</f>
        <v>198655.07</v>
      </c>
      <c r="AQ157" s="312">
        <f t="shared" ref="AQ157:AQ162" si="687">AS157-AR157</f>
        <v>0</v>
      </c>
      <c r="AR157" s="312">
        <f t="shared" ref="AR157:AR162" si="688">IFERROR(VLOOKUP(M157,BASALIM,6,FALSE),"")</f>
        <v>0</v>
      </c>
      <c r="AS157" s="312">
        <f t="shared" ref="AS157:AS162" si="689">IFERROR(VLOOKUP(M157,BASFC,6,FALSE),"")</f>
        <v>0</v>
      </c>
      <c r="AT157" s="312">
        <f t="shared" ref="AT157:AT162" si="690">IFERROR(VLOOKUP(M157,Basilee24,7,FALSE),"")</f>
        <v>324141.53999999998</v>
      </c>
      <c r="AU157" s="312">
        <f t="shared" ref="AU157:AU162" si="691">AW157-AV157</f>
        <v>0</v>
      </c>
      <c r="AV157" s="312">
        <f t="shared" ref="AV157:AV162" si="692">IFERROR(VLOOKUP(M157,BASALIM,7,FALSE),"")</f>
        <v>0</v>
      </c>
      <c r="AW157" s="312">
        <f t="shared" ref="AW157:AW162" si="693">IFERROR(VLOOKUP(M157,BASFC,7,FALSE),"")</f>
        <v>0</v>
      </c>
      <c r="AX157" s="312">
        <f t="shared" ref="AX157:AX162" si="694">IFERROR(VLOOKUP(M157,Basilee24,8,FALSE),"")</f>
        <v>578265.86</v>
      </c>
      <c r="AY157" s="312"/>
      <c r="AZ157" s="312"/>
      <c r="BA157" s="312"/>
      <c r="BB157" s="312"/>
      <c r="BC157" s="312"/>
      <c r="BD157" s="312"/>
      <c r="BE157" s="312"/>
      <c r="BF157" s="312"/>
      <c r="BG157" s="318"/>
      <c r="BH157" s="319">
        <f t="shared" ref="BH157:BH162" si="695">BJ157-BI157</f>
        <v>0</v>
      </c>
      <c r="BI157" s="312">
        <f t="shared" ref="BI157:BI162" si="696">IFERROR(VLOOKUP(M157,BASALIM,9,FALSE),"")</f>
        <v>0</v>
      </c>
      <c r="BJ157" s="320">
        <f t="shared" ref="BJ157:BJ162" si="697">IFERROR(VLOOKUP(M157,BASFC,9,FALSE),"")</f>
        <v>0</v>
      </c>
      <c r="BK157" s="321">
        <f t="shared" ref="BK157:BK162" si="698">IFERROR(VLOOKUP(M157,Basilee24,10,FALSE),"")</f>
        <v>520273.35</v>
      </c>
      <c r="BL157" s="312">
        <f t="shared" ref="BL157:BL162" si="699">BN157-BM157</f>
        <v>0</v>
      </c>
      <c r="BM157" s="312">
        <f t="shared" ref="BM157:BM162" si="700">IFERROR(VLOOKUP(M157,BASALIM,10,FALSE),"")</f>
        <v>0</v>
      </c>
      <c r="BN157" s="312">
        <f t="shared" ref="BN157:BN162" si="701">IFERROR(VLOOKUP(M157,BASFC,10,FALSE),"")</f>
        <v>0</v>
      </c>
      <c r="BO157" s="318">
        <f t="shared" ref="BO157:BO162" si="702">IFERROR(VLOOKUP(M157,Basilee24,11,FALSE),"")</f>
        <v>345928.05</v>
      </c>
      <c r="BP157" s="319">
        <f t="shared" ref="BP157:BP162" si="703">BR157-BQ157</f>
        <v>0</v>
      </c>
      <c r="BQ157" s="312">
        <f t="shared" ref="BQ157:BQ162" si="704">IFERROR(VLOOKUP(M157,BASALIM,11,FALSE),"")</f>
        <v>0</v>
      </c>
      <c r="BR157" s="320">
        <f t="shared" ref="BR157:BR162" si="705">IFERROR(VLOOKUP(M157,BASFC,11,FALSE),"")</f>
        <v>0</v>
      </c>
      <c r="BS157" s="321">
        <f t="shared" ref="BS157:BS162" si="706">BH157+BL157+BP157</f>
        <v>0</v>
      </c>
      <c r="BT157" s="312">
        <f t="shared" ref="BT157:BU157" si="707">SUM(BI157,BM157,BQ157)</f>
        <v>0</v>
      </c>
      <c r="BU157" s="312">
        <f t="shared" si="707"/>
        <v>0</v>
      </c>
      <c r="BV157" s="318">
        <f t="shared" ref="BV157:BV162" si="708">IFERROR(VLOOKUP(M157,Basilee24,12,FALSE),"")</f>
        <v>682871.89</v>
      </c>
      <c r="BW157" s="319">
        <f t="shared" ref="BW157:BW162" si="709">BY157-BX157</f>
        <v>0</v>
      </c>
      <c r="BX157" s="312">
        <f t="shared" ref="BX157:BX162" si="710">IFERROR(VLOOKUP(M157,BASALIM,12,FALSE),"")</f>
        <v>0</v>
      </c>
      <c r="BY157" s="320">
        <f t="shared" ref="BY157:BY162" si="711">IFERROR(VLOOKUP(M157,BASFC,12,FALSE),"")</f>
        <v>0</v>
      </c>
      <c r="BZ157" s="125">
        <f t="shared" ref="BZ157:BZ162" si="712">IFERROR(VLOOKUP(M157,Basilee24,13,FALSE),"")</f>
        <v>48043.34</v>
      </c>
      <c r="CA157" s="319"/>
      <c r="CB157" s="321"/>
      <c r="CC157" s="322"/>
      <c r="CD157" s="123">
        <f t="shared" ref="CD157:CD162" si="713">IFERROR(VLOOKUP(M157,Basilee24,14,FALSE),"")</f>
        <v>4742.3999999999996</v>
      </c>
      <c r="CF157" s="149"/>
    </row>
    <row r="158" spans="1:117" ht="13">
      <c r="A158" s="323" t="s">
        <v>232</v>
      </c>
      <c r="B158" s="324">
        <f>IFERROR(VLOOKUP(M158,BASILECARTERA,2,FALSE),"")</f>
        <v>18</v>
      </c>
      <c r="C158" s="137" t="str">
        <f>IFERROR(VLOOKUP(B158,DES,2,FALSE),"")</f>
        <v>Lista</v>
      </c>
      <c r="D158" s="137">
        <f>IFERROR(VLOOKUP(B158,DES,3,FALSE),"")</f>
        <v>0.23</v>
      </c>
      <c r="E158" s="324">
        <f>IFERROR(VLOOKUP(B158,DES,4,FALSE),"")</f>
        <v>0</v>
      </c>
      <c r="F158" s="324">
        <f>VLOOKUP(M158,BASILECART2,2,FALSE)</f>
        <v>18</v>
      </c>
      <c r="G158" s="137" t="str">
        <f>IFERROR(VLOOKUP(F158,DES,2,FALSE),"")</f>
        <v>Lista</v>
      </c>
      <c r="H158" s="137">
        <f>IFERROR(VLOOKUP(F158,DES,3,FALSE),"")</f>
        <v>0.23</v>
      </c>
      <c r="I158" s="137">
        <f>IFERROR(VLOOKUP(F158,DES,4,FALSE),"")</f>
        <v>0</v>
      </c>
      <c r="J158" s="324">
        <f t="shared" si="657"/>
        <v>69</v>
      </c>
      <c r="K158" s="137" t="str">
        <f t="shared" si="658"/>
        <v>Lista</v>
      </c>
      <c r="L158" s="137">
        <f t="shared" si="659"/>
        <v>0.14000000000000001</v>
      </c>
      <c r="M158" s="325" t="s">
        <v>233</v>
      </c>
      <c r="N158" s="326">
        <f t="shared" si="660"/>
        <v>1132243.69</v>
      </c>
      <c r="O158" s="326">
        <f t="shared" si="661"/>
        <v>1903358.2550744999</v>
      </c>
      <c r="P158" s="145">
        <f t="shared" si="662"/>
        <v>21700.139999999665</v>
      </c>
      <c r="Q158" s="145">
        <f t="shared" si="663"/>
        <v>7487194.1600000001</v>
      </c>
      <c r="R158" s="145">
        <f t="shared" si="664"/>
        <v>7508894.2999999998</v>
      </c>
      <c r="S158" s="145">
        <f t="shared" si="665"/>
        <v>5605536.0449254997</v>
      </c>
      <c r="T158" s="327">
        <f t="shared" ref="T158:T162" si="714">R158/O158</f>
        <v>3.9450766979788008</v>
      </c>
      <c r="U158" s="326">
        <f t="shared" si="666"/>
        <v>5499805.1500000004</v>
      </c>
      <c r="V158" s="326">
        <f t="shared" si="667"/>
        <v>9484413.9811749998</v>
      </c>
      <c r="W158" s="145">
        <f t="shared" si="668"/>
        <v>208549.45000000019</v>
      </c>
      <c r="X158" s="145">
        <f t="shared" si="669"/>
        <v>7122280.5999999996</v>
      </c>
      <c r="Y158" s="145">
        <f t="shared" si="670"/>
        <v>7330830.0499999998</v>
      </c>
      <c r="Z158" s="145">
        <f t="shared" si="671"/>
        <v>-2153583.931175</v>
      </c>
      <c r="AA158" s="328">
        <f t="shared" si="672"/>
        <v>0.77293442320743178</v>
      </c>
      <c r="AB158" s="326">
        <f t="shared" si="673"/>
        <v>1112580.8999999999</v>
      </c>
      <c r="AC158" s="326">
        <f t="shared" si="674"/>
        <v>1828376.5107284999</v>
      </c>
      <c r="AD158" s="145">
        <f t="shared" si="675"/>
        <v>0</v>
      </c>
      <c r="AE158" s="145">
        <f t="shared" si="676"/>
        <v>3470455.42</v>
      </c>
      <c r="AF158" s="145">
        <f t="shared" si="677"/>
        <v>3470455.42</v>
      </c>
      <c r="AG158" s="145">
        <f t="shared" si="678"/>
        <v>1642078.9092715001</v>
      </c>
      <c r="AH158" s="329">
        <f t="shared" si="679"/>
        <v>1.8981076379160158</v>
      </c>
      <c r="AI158" s="330">
        <f t="shared" si="680"/>
        <v>13216148.746978</v>
      </c>
      <c r="AJ158" s="331">
        <f t="shared" si="681"/>
        <v>13870380.98</v>
      </c>
      <c r="AK158" s="145">
        <f t="shared" si="682"/>
        <v>18079930.18</v>
      </c>
      <c r="AL158" s="145">
        <f t="shared" si="683"/>
        <v>230249.58999999985</v>
      </c>
      <c r="AM158" s="145">
        <f t="shared" si="684"/>
        <v>18310179.77</v>
      </c>
      <c r="AN158" s="145">
        <f t="shared" si="685"/>
        <v>4439798.7899999991</v>
      </c>
      <c r="AO158" s="329">
        <f t="shared" ref="AO158:AO162" si="715">AM158/AJ158</f>
        <v>1.3200920577741766</v>
      </c>
      <c r="AP158" s="326">
        <f t="shared" si="686"/>
        <v>702332.8</v>
      </c>
      <c r="AQ158" s="326">
        <f t="shared" si="687"/>
        <v>0</v>
      </c>
      <c r="AR158" s="326">
        <f t="shared" si="688"/>
        <v>8355298.1799999997</v>
      </c>
      <c r="AS158" s="326">
        <f t="shared" si="689"/>
        <v>8355298.1799999997</v>
      </c>
      <c r="AT158" s="326">
        <f t="shared" si="690"/>
        <v>2348673.9300000002</v>
      </c>
      <c r="AU158" s="326">
        <f t="shared" si="691"/>
        <v>0</v>
      </c>
      <c r="AV158" s="326">
        <f t="shared" si="692"/>
        <v>4442564.6900000004</v>
      </c>
      <c r="AW158" s="326">
        <f t="shared" si="693"/>
        <v>4442564.6900000004</v>
      </c>
      <c r="AX158" s="326">
        <f t="shared" si="694"/>
        <v>3334597.98</v>
      </c>
      <c r="AY158" s="326">
        <f t="shared" ref="AY158:AY162" si="716">BA158-AZ158</f>
        <v>16822.790000000037</v>
      </c>
      <c r="AZ158" s="326">
        <f>IFERROR(VLOOKUP(M158,BASALIM,8,FALSE),"")</f>
        <v>2978150.48</v>
      </c>
      <c r="BA158" s="326">
        <f>IFERROR(VLOOKUP(M158,BASFC,8,FALSE),"")</f>
        <v>2994973.27</v>
      </c>
      <c r="BB158" s="326">
        <f t="shared" ref="BB158:BD158" si="717">BH158+AY158+AU158</f>
        <v>69442.289999999572</v>
      </c>
      <c r="BC158" s="326">
        <f t="shared" si="717"/>
        <v>11571354.890000001</v>
      </c>
      <c r="BD158" s="326">
        <f t="shared" si="717"/>
        <v>11640797.18</v>
      </c>
      <c r="BE158" s="326">
        <f t="shared" ref="BE158:BE162" si="718">BB158+AL158</f>
        <v>299691.87999999942</v>
      </c>
      <c r="BF158" s="326">
        <f t="shared" ref="BF158:BF162" si="719">BC158+AK158</f>
        <v>29651285.07</v>
      </c>
      <c r="BG158" s="332">
        <f t="shared" ref="BG158:BG162" si="720">SUM(BD158+AM158)</f>
        <v>29950976.949999999</v>
      </c>
      <c r="BH158" s="140">
        <f t="shared" si="695"/>
        <v>52619.499999999534</v>
      </c>
      <c r="BI158" s="326">
        <f t="shared" si="696"/>
        <v>4150639.72</v>
      </c>
      <c r="BJ158" s="333">
        <f t="shared" si="697"/>
        <v>4203259.22</v>
      </c>
      <c r="BK158" s="123">
        <f t="shared" si="698"/>
        <v>8566542.0700000003</v>
      </c>
      <c r="BL158" s="326">
        <f t="shared" si="699"/>
        <v>0</v>
      </c>
      <c r="BM158" s="326">
        <f t="shared" si="700"/>
        <v>3751607.24</v>
      </c>
      <c r="BN158" s="326">
        <f t="shared" si="701"/>
        <v>3751607.24</v>
      </c>
      <c r="BO158" s="332">
        <f t="shared" si="702"/>
        <v>2485248.7999999998</v>
      </c>
      <c r="BP158" s="140">
        <f t="shared" si="703"/>
        <v>0</v>
      </c>
      <c r="BQ158" s="326">
        <f t="shared" si="704"/>
        <v>3033457.35</v>
      </c>
      <c r="BR158" s="333">
        <f t="shared" si="705"/>
        <v>3033457.35</v>
      </c>
      <c r="BS158" s="123">
        <f t="shared" si="706"/>
        <v>52619.499999999534</v>
      </c>
      <c r="BT158" s="326">
        <f t="shared" ref="BT158:BU158" si="721">SUM(BI158,BM158,BQ158)</f>
        <v>10935704.310000001</v>
      </c>
      <c r="BU158" s="326">
        <f t="shared" si="721"/>
        <v>10988323.810000001</v>
      </c>
      <c r="BV158" s="332">
        <f t="shared" si="708"/>
        <v>5975389.5</v>
      </c>
      <c r="BW158" s="140">
        <f t="shared" si="709"/>
        <v>0</v>
      </c>
      <c r="BX158" s="326">
        <f t="shared" si="710"/>
        <v>1139182.75</v>
      </c>
      <c r="BY158" s="333">
        <f t="shared" si="711"/>
        <v>1139182.75</v>
      </c>
      <c r="BZ158" s="125">
        <f t="shared" si="712"/>
        <v>3279916.75</v>
      </c>
      <c r="CA158" s="140"/>
      <c r="CB158" s="123"/>
      <c r="CC158" s="148"/>
      <c r="CD158" s="123">
        <f t="shared" si="713"/>
        <v>4615074.7300000004</v>
      </c>
      <c r="CF158" s="149"/>
    </row>
    <row r="159" spans="1:117" ht="14">
      <c r="A159" s="323" t="s">
        <v>234</v>
      </c>
      <c r="B159" s="324">
        <f>IFERROR(VLOOKUP(M159,BASILECARTERA,2,FALSE),"")</f>
        <v>7</v>
      </c>
      <c r="C159" s="137">
        <f>IFERROR(VLOOKUP(B159,DES,2,FALSE),"")</f>
        <v>0.1</v>
      </c>
      <c r="D159" s="137">
        <f>IFERROR(VLOOKUP(B159,DES,3,FALSE),"")</f>
        <v>0.2</v>
      </c>
      <c r="E159" s="324">
        <f>IFERROR(VLOOKUP(B159,DES,4,FALSE),"")</f>
        <v>0</v>
      </c>
      <c r="F159" s="324">
        <f>VLOOKUP(M159,BASILECART2,2,FALSE)</f>
        <v>4</v>
      </c>
      <c r="G159" s="137" t="str">
        <f>IFERROR(VLOOKUP(F159,DES,2,FALSE),"")</f>
        <v>Lista</v>
      </c>
      <c r="H159" s="137">
        <f>IFERROR(VLOOKUP(F159,DES,3,FALSE),"")</f>
        <v>0.2</v>
      </c>
      <c r="I159" s="137">
        <f>IFERROR(VLOOKUP(F159,DES,4,FALSE),"")</f>
        <v>0</v>
      </c>
      <c r="J159" s="324">
        <f t="shared" si="657"/>
        <v>70</v>
      </c>
      <c r="K159" s="137" t="str">
        <f t="shared" si="658"/>
        <v>Lista</v>
      </c>
      <c r="L159" s="137">
        <f t="shared" si="659"/>
        <v>0.11</v>
      </c>
      <c r="M159" s="334" t="s">
        <v>235</v>
      </c>
      <c r="N159" s="326" t="str">
        <f t="shared" si="660"/>
        <v/>
      </c>
      <c r="O159" s="326" t="e">
        <f t="shared" si="661"/>
        <v>#VALUE!</v>
      </c>
      <c r="P159" s="145" t="e">
        <f t="shared" si="662"/>
        <v>#VALUE!</v>
      </c>
      <c r="Q159" s="145" t="str">
        <f t="shared" si="663"/>
        <v/>
      </c>
      <c r="R159" s="145">
        <f t="shared" si="664"/>
        <v>0</v>
      </c>
      <c r="S159" s="145" t="e">
        <f t="shared" si="665"/>
        <v>#VALUE!</v>
      </c>
      <c r="T159" s="327" t="e">
        <f t="shared" si="714"/>
        <v>#VALUE!</v>
      </c>
      <c r="U159" s="326" t="str">
        <f t="shared" si="666"/>
        <v/>
      </c>
      <c r="V159" s="326" t="e">
        <f t="shared" si="667"/>
        <v>#VALUE!</v>
      </c>
      <c r="W159" s="145" t="e">
        <f t="shared" si="668"/>
        <v>#VALUE!</v>
      </c>
      <c r="X159" s="145" t="str">
        <f t="shared" si="669"/>
        <v/>
      </c>
      <c r="Y159" s="145">
        <f t="shared" si="670"/>
        <v>0</v>
      </c>
      <c r="Z159" s="145" t="e">
        <f t="shared" si="671"/>
        <v>#VALUE!</v>
      </c>
      <c r="AA159" s="328" t="str">
        <f t="shared" si="672"/>
        <v/>
      </c>
      <c r="AB159" s="326" t="str">
        <f t="shared" si="673"/>
        <v/>
      </c>
      <c r="AC159" s="326" t="e">
        <f t="shared" si="674"/>
        <v>#VALUE!</v>
      </c>
      <c r="AD159" s="145" t="e">
        <f t="shared" si="675"/>
        <v>#VALUE!</v>
      </c>
      <c r="AE159" s="145" t="str">
        <f t="shared" si="676"/>
        <v/>
      </c>
      <c r="AF159" s="145">
        <f t="shared" si="677"/>
        <v>0</v>
      </c>
      <c r="AG159" s="145" t="e">
        <f t="shared" si="678"/>
        <v>#VALUE!</v>
      </c>
      <c r="AH159" s="329" t="str">
        <f t="shared" si="679"/>
        <v/>
      </c>
      <c r="AI159" s="330" t="e">
        <f t="shared" si="680"/>
        <v>#VALUE!</v>
      </c>
      <c r="AJ159" s="331" t="str">
        <f t="shared" si="681"/>
        <v>0</v>
      </c>
      <c r="AK159" s="145">
        <f t="shared" si="682"/>
        <v>0</v>
      </c>
      <c r="AL159" s="145" t="e">
        <f t="shared" si="683"/>
        <v>#VALUE!</v>
      </c>
      <c r="AM159" s="145">
        <f t="shared" si="684"/>
        <v>0</v>
      </c>
      <c r="AN159" s="145">
        <f t="shared" si="685"/>
        <v>0</v>
      </c>
      <c r="AO159" s="329" t="e">
        <f t="shared" si="715"/>
        <v>#DIV/0!</v>
      </c>
      <c r="AP159" s="326" t="str">
        <f t="shared" si="686"/>
        <v/>
      </c>
      <c r="AQ159" s="326" t="e">
        <f t="shared" si="687"/>
        <v>#VALUE!</v>
      </c>
      <c r="AR159" s="326" t="str">
        <f t="shared" si="688"/>
        <v/>
      </c>
      <c r="AS159" s="326">
        <f t="shared" si="689"/>
        <v>0</v>
      </c>
      <c r="AT159" s="326" t="str">
        <f t="shared" si="690"/>
        <v/>
      </c>
      <c r="AU159" s="326" t="e">
        <f t="shared" si="691"/>
        <v>#VALUE!</v>
      </c>
      <c r="AV159" s="326" t="str">
        <f t="shared" si="692"/>
        <v/>
      </c>
      <c r="AW159" s="326">
        <f t="shared" si="693"/>
        <v>39839.21</v>
      </c>
      <c r="AX159" s="326" t="str">
        <f t="shared" si="694"/>
        <v/>
      </c>
      <c r="AY159" s="326" t="e">
        <f t="shared" si="716"/>
        <v>#VALUE!</v>
      </c>
      <c r="AZ159" s="326" t="str">
        <f>IFERROR(VLOOKUP(M159,BASALIM,8,FALSE),"")</f>
        <v/>
      </c>
      <c r="BA159" s="326">
        <f>IFERROR(VLOOKUP(M159,BASFC,8,FALSE),"")</f>
        <v>0</v>
      </c>
      <c r="BB159" s="326" t="e">
        <f t="shared" ref="BB159:BD159" si="722">BH159+AY159+AU159</f>
        <v>#VALUE!</v>
      </c>
      <c r="BC159" s="326" t="e">
        <f t="shared" si="722"/>
        <v>#VALUE!</v>
      </c>
      <c r="BD159" s="326">
        <f t="shared" si="722"/>
        <v>79678.42</v>
      </c>
      <c r="BE159" s="326" t="e">
        <f t="shared" si="718"/>
        <v>#VALUE!</v>
      </c>
      <c r="BF159" s="326" t="e">
        <f t="shared" si="719"/>
        <v>#VALUE!</v>
      </c>
      <c r="BG159" s="332">
        <f t="shared" si="720"/>
        <v>79678.42</v>
      </c>
      <c r="BH159" s="140" t="e">
        <f t="shared" si="695"/>
        <v>#VALUE!</v>
      </c>
      <c r="BI159" s="326" t="str">
        <f t="shared" si="696"/>
        <v/>
      </c>
      <c r="BJ159" s="333">
        <f t="shared" si="697"/>
        <v>39839.21</v>
      </c>
      <c r="BK159" s="123" t="str">
        <f t="shared" si="698"/>
        <v/>
      </c>
      <c r="BL159" s="326" t="e">
        <f t="shared" si="699"/>
        <v>#VALUE!</v>
      </c>
      <c r="BM159" s="326" t="str">
        <f t="shared" si="700"/>
        <v/>
      </c>
      <c r="BN159" s="326">
        <f t="shared" si="701"/>
        <v>206186.26</v>
      </c>
      <c r="BO159" s="332" t="str">
        <f t="shared" si="702"/>
        <v/>
      </c>
      <c r="BP159" s="140" t="e">
        <f t="shared" si="703"/>
        <v>#VALUE!</v>
      </c>
      <c r="BQ159" s="326" t="str">
        <f t="shared" si="704"/>
        <v/>
      </c>
      <c r="BR159" s="333">
        <f t="shared" si="705"/>
        <v>0</v>
      </c>
      <c r="BS159" s="123" t="e">
        <f t="shared" si="706"/>
        <v>#VALUE!</v>
      </c>
      <c r="BT159" s="326">
        <f t="shared" ref="BT159:BU159" si="723">SUM(BI159,BM159,BQ159)</f>
        <v>0</v>
      </c>
      <c r="BU159" s="326">
        <f t="shared" si="723"/>
        <v>246025.47</v>
      </c>
      <c r="BV159" s="332" t="str">
        <f t="shared" si="708"/>
        <v/>
      </c>
      <c r="BW159" s="140" t="e">
        <f t="shared" si="709"/>
        <v>#VALUE!</v>
      </c>
      <c r="BX159" s="326" t="str">
        <f t="shared" si="710"/>
        <v/>
      </c>
      <c r="BY159" s="333">
        <f t="shared" si="711"/>
        <v>201545.61</v>
      </c>
      <c r="BZ159" s="125" t="str">
        <f t="shared" si="712"/>
        <v/>
      </c>
      <c r="CA159" s="140"/>
      <c r="CB159" s="123"/>
      <c r="CC159" s="148"/>
      <c r="CD159" s="123" t="str">
        <f t="shared" si="713"/>
        <v/>
      </c>
      <c r="CF159" s="149"/>
    </row>
    <row r="160" spans="1:117" ht="14">
      <c r="A160" s="323" t="s">
        <v>232</v>
      </c>
      <c r="B160" s="324">
        <f>IFERROR(VLOOKUP(M160,BASILECARTERA,2,FALSE),"")</f>
        <v>31</v>
      </c>
      <c r="C160" s="137">
        <f>IFERROR(VLOOKUP(B160,DES,2,FALSE),"")</f>
        <v>0.1</v>
      </c>
      <c r="D160" s="137">
        <f>IFERROR(VLOOKUP(B160,DES,3,FALSE),"")</f>
        <v>0.23</v>
      </c>
      <c r="E160" s="324">
        <f>IFERROR(VLOOKUP(B160,DES,4,FALSE),"")</f>
        <v>0</v>
      </c>
      <c r="F160" s="335">
        <f>IFERROR(VLOOKUP(M160,BASILECART2,2,FALSE),"")</f>
        <v>18</v>
      </c>
      <c r="G160" s="137" t="str">
        <f>IFERROR(VLOOKUP(F160,DES,2,FALSE),"")</f>
        <v>Lista</v>
      </c>
      <c r="H160" s="137">
        <f>IFERROR(VLOOKUP(F160,DES,3,FALSE),"")</f>
        <v>0.23</v>
      </c>
      <c r="I160" s="137">
        <f>IFERROR(VLOOKUP(F160,DES,4,FALSE),"")</f>
        <v>0</v>
      </c>
      <c r="J160" s="324">
        <f t="shared" si="657"/>
        <v>61</v>
      </c>
      <c r="K160" s="137">
        <f t="shared" si="658"/>
        <v>0.1</v>
      </c>
      <c r="L160" s="137">
        <f t="shared" si="659"/>
        <v>0.14000000000000001</v>
      </c>
      <c r="M160" s="325" t="s">
        <v>236</v>
      </c>
      <c r="N160" s="326" t="str">
        <f t="shared" si="660"/>
        <v/>
      </c>
      <c r="O160" s="326" t="e">
        <f t="shared" si="661"/>
        <v>#VALUE!</v>
      </c>
      <c r="P160" s="145">
        <f t="shared" si="662"/>
        <v>1083732.8800000004</v>
      </c>
      <c r="Q160" s="145">
        <f t="shared" si="663"/>
        <v>1018501.09</v>
      </c>
      <c r="R160" s="145">
        <f t="shared" si="664"/>
        <v>2102233.9700000002</v>
      </c>
      <c r="S160" s="145" t="e">
        <f t="shared" si="665"/>
        <v>#VALUE!</v>
      </c>
      <c r="T160" s="327" t="e">
        <f t="shared" si="714"/>
        <v>#VALUE!</v>
      </c>
      <c r="U160" s="326" t="str">
        <f t="shared" si="666"/>
        <v/>
      </c>
      <c r="V160" s="326" t="e">
        <f t="shared" si="667"/>
        <v>#VALUE!</v>
      </c>
      <c r="W160" s="145">
        <f t="shared" si="668"/>
        <v>272340.64000000013</v>
      </c>
      <c r="X160" s="145">
        <f t="shared" si="669"/>
        <v>1809545.39</v>
      </c>
      <c r="Y160" s="145">
        <f t="shared" si="670"/>
        <v>2081886.03</v>
      </c>
      <c r="Z160" s="145" t="e">
        <f t="shared" si="671"/>
        <v>#VALUE!</v>
      </c>
      <c r="AA160" s="328" t="str">
        <f t="shared" si="672"/>
        <v/>
      </c>
      <c r="AB160" s="326" t="str">
        <f t="shared" si="673"/>
        <v/>
      </c>
      <c r="AC160" s="326" t="e">
        <f t="shared" si="674"/>
        <v>#VALUE!</v>
      </c>
      <c r="AD160" s="145">
        <f t="shared" si="675"/>
        <v>543357.81000000006</v>
      </c>
      <c r="AE160" s="145">
        <f t="shared" si="676"/>
        <v>958070.49</v>
      </c>
      <c r="AF160" s="145">
        <f t="shared" si="677"/>
        <v>1501428.3</v>
      </c>
      <c r="AG160" s="145" t="e">
        <f t="shared" si="678"/>
        <v>#VALUE!</v>
      </c>
      <c r="AH160" s="329" t="str">
        <f t="shared" si="679"/>
        <v/>
      </c>
      <c r="AI160" s="330" t="e">
        <f t="shared" si="680"/>
        <v>#VALUE!</v>
      </c>
      <c r="AJ160" s="331" t="str">
        <f t="shared" si="681"/>
        <v>0</v>
      </c>
      <c r="AK160" s="145">
        <f t="shared" si="682"/>
        <v>3786116.9699999997</v>
      </c>
      <c r="AL160" s="145">
        <f t="shared" si="683"/>
        <v>1899431.3300000005</v>
      </c>
      <c r="AM160" s="145">
        <f t="shared" si="684"/>
        <v>5685548.3000000007</v>
      </c>
      <c r="AN160" s="145">
        <f t="shared" si="685"/>
        <v>5685548.3000000007</v>
      </c>
      <c r="AO160" s="329" t="e">
        <f t="shared" si="715"/>
        <v>#DIV/0!</v>
      </c>
      <c r="AP160" s="326" t="str">
        <f t="shared" si="686"/>
        <v/>
      </c>
      <c r="AQ160" s="326">
        <f t="shared" si="687"/>
        <v>98417.25</v>
      </c>
      <c r="AR160" s="326">
        <f t="shared" si="688"/>
        <v>1588878.41</v>
      </c>
      <c r="AS160" s="326">
        <f t="shared" si="689"/>
        <v>1687295.66</v>
      </c>
      <c r="AT160" s="326" t="str">
        <f t="shared" si="690"/>
        <v/>
      </c>
      <c r="AU160" s="326">
        <f t="shared" si="691"/>
        <v>316010.1399999999</v>
      </c>
      <c r="AV160" s="326">
        <f t="shared" si="692"/>
        <v>1494173.06</v>
      </c>
      <c r="AW160" s="326">
        <f t="shared" si="693"/>
        <v>1810183.2</v>
      </c>
      <c r="AX160" s="326" t="str">
        <f t="shared" si="694"/>
        <v/>
      </c>
      <c r="AY160" s="326">
        <f t="shared" si="716"/>
        <v>0</v>
      </c>
      <c r="AZ160" s="326">
        <f>IFERROR(VLOOKUP(M160,BASALIM,8,FALSE),"")</f>
        <v>1133333.3600000001</v>
      </c>
      <c r="BA160" s="326">
        <f>IFERROR(VLOOKUP(M160,BASFC,8,FALSE),"")</f>
        <v>1133333.3600000001</v>
      </c>
      <c r="BB160" s="326">
        <f t="shared" ref="BB160:BD160" si="724">BH160+AY160+AU160</f>
        <v>316010.1399999999</v>
      </c>
      <c r="BC160" s="326">
        <f t="shared" si="724"/>
        <v>3453476.92</v>
      </c>
      <c r="BD160" s="326">
        <f t="shared" si="724"/>
        <v>3769487.06</v>
      </c>
      <c r="BE160" s="326">
        <f t="shared" si="718"/>
        <v>2215441.4700000007</v>
      </c>
      <c r="BF160" s="326">
        <f t="shared" si="719"/>
        <v>7239593.8899999997</v>
      </c>
      <c r="BG160" s="332">
        <f t="shared" si="720"/>
        <v>9455035.3600000013</v>
      </c>
      <c r="BH160" s="140">
        <f t="shared" si="695"/>
        <v>0</v>
      </c>
      <c r="BI160" s="326">
        <f t="shared" si="696"/>
        <v>825970.5</v>
      </c>
      <c r="BJ160" s="333">
        <f t="shared" si="697"/>
        <v>825970.5</v>
      </c>
      <c r="BK160" s="123" t="str">
        <f t="shared" si="698"/>
        <v/>
      </c>
      <c r="BL160" s="326">
        <f t="shared" si="699"/>
        <v>121188.7200000002</v>
      </c>
      <c r="BM160" s="326">
        <f t="shared" si="700"/>
        <v>2669414.98</v>
      </c>
      <c r="BN160" s="326">
        <f t="shared" si="701"/>
        <v>2790603.7</v>
      </c>
      <c r="BO160" s="332" t="str">
        <f t="shared" si="702"/>
        <v/>
      </c>
      <c r="BP160" s="140">
        <f t="shared" si="703"/>
        <v>23220</v>
      </c>
      <c r="BQ160" s="326">
        <f t="shared" si="704"/>
        <v>316980.21000000002</v>
      </c>
      <c r="BR160" s="333">
        <f t="shared" si="705"/>
        <v>340200.21</v>
      </c>
      <c r="BS160" s="123">
        <f t="shared" si="706"/>
        <v>144408.7200000002</v>
      </c>
      <c r="BT160" s="326">
        <f t="shared" ref="BT160:BU160" si="725">SUM(BI160,BM160,BQ160)</f>
        <v>3812365.69</v>
      </c>
      <c r="BU160" s="326">
        <f t="shared" si="725"/>
        <v>3956774.41</v>
      </c>
      <c r="BV160" s="332" t="str">
        <f t="shared" si="708"/>
        <v/>
      </c>
      <c r="BW160" s="140">
        <f t="shared" si="709"/>
        <v>0</v>
      </c>
      <c r="BX160" s="326">
        <f t="shared" si="710"/>
        <v>483491.73</v>
      </c>
      <c r="BY160" s="333">
        <f t="shared" si="711"/>
        <v>483491.73</v>
      </c>
      <c r="BZ160" s="125" t="str">
        <f t="shared" si="712"/>
        <v/>
      </c>
      <c r="CA160" s="140"/>
      <c r="CB160" s="123"/>
      <c r="CC160" s="148"/>
      <c r="CD160" s="123" t="str">
        <f t="shared" si="713"/>
        <v/>
      </c>
      <c r="CF160" s="126"/>
    </row>
    <row r="161" spans="1:94" ht="13">
      <c r="A161" s="323" t="s">
        <v>237</v>
      </c>
      <c r="B161" s="324">
        <f>VLOOKUP(M161,BASILECARTERA,2,FALSE)</f>
        <v>31</v>
      </c>
      <c r="C161" s="137">
        <f>VLOOKUP(B161,DES,2,FALSE)</f>
        <v>0.1</v>
      </c>
      <c r="D161" s="137">
        <f>VLOOKUP(B161,DES,3,FALSE)</f>
        <v>0.23</v>
      </c>
      <c r="E161" s="324">
        <f>VLOOKUP(B161,DES,4,FALSE)</f>
        <v>0</v>
      </c>
      <c r="F161" s="324">
        <f>VLOOKUP(M161,BASILECART2,2,FALSE)</f>
        <v>31</v>
      </c>
      <c r="G161" s="137">
        <f>IFERROR(VLOOKUP(F161,DES,2,FALSE),"")</f>
        <v>0.1</v>
      </c>
      <c r="H161" s="137">
        <f>IFERROR(VLOOKUP(F161,DES,3,FALSE),"")</f>
        <v>0.23</v>
      </c>
      <c r="I161" s="137">
        <f>IFERROR(VLOOKUP(F161,DES,4,FALSE),"")</f>
        <v>0</v>
      </c>
      <c r="J161" s="324">
        <f t="shared" si="657"/>
        <v>72</v>
      </c>
      <c r="K161" s="137">
        <f t="shared" si="658"/>
        <v>0.18</v>
      </c>
      <c r="L161" s="137">
        <f t="shared" si="659"/>
        <v>0.14000000000000001</v>
      </c>
      <c r="M161" s="325" t="s">
        <v>238</v>
      </c>
      <c r="N161" s="326">
        <f t="shared" si="660"/>
        <v>3941730.61</v>
      </c>
      <c r="O161" s="326">
        <f t="shared" si="661"/>
        <v>6626246.2419405002</v>
      </c>
      <c r="P161" s="145">
        <f t="shared" si="662"/>
        <v>0</v>
      </c>
      <c r="Q161" s="145">
        <f t="shared" si="663"/>
        <v>7670935.5999999996</v>
      </c>
      <c r="R161" s="145">
        <f t="shared" si="664"/>
        <v>7670935.5999999996</v>
      </c>
      <c r="S161" s="145">
        <f t="shared" si="665"/>
        <v>1044689.3580594994</v>
      </c>
      <c r="T161" s="327">
        <f t="shared" si="714"/>
        <v>1.1576593021018733</v>
      </c>
      <c r="U161" s="326">
        <f t="shared" si="666"/>
        <v>8418325.5899999999</v>
      </c>
      <c r="V161" s="326">
        <f t="shared" si="667"/>
        <v>14517402.479954999</v>
      </c>
      <c r="W161" s="145">
        <f t="shared" si="668"/>
        <v>0</v>
      </c>
      <c r="X161" s="145">
        <f t="shared" si="669"/>
        <v>5857080</v>
      </c>
      <c r="Y161" s="145">
        <f t="shared" si="670"/>
        <v>5857080</v>
      </c>
      <c r="Z161" s="145">
        <f t="shared" si="671"/>
        <v>-8660322.4799549989</v>
      </c>
      <c r="AA161" s="328">
        <f t="shared" si="672"/>
        <v>0.40345233991323193</v>
      </c>
      <c r="AB161" s="326">
        <f t="shared" si="673"/>
        <v>3394140.44</v>
      </c>
      <c r="AC161" s="326">
        <f t="shared" si="674"/>
        <v>5577811.6041805996</v>
      </c>
      <c r="AD161" s="145">
        <f t="shared" si="675"/>
        <v>1532011.1999999993</v>
      </c>
      <c r="AE161" s="145">
        <f t="shared" si="676"/>
        <v>5349895.7300000004</v>
      </c>
      <c r="AF161" s="145">
        <f t="shared" si="677"/>
        <v>6881906.9299999997</v>
      </c>
      <c r="AG161" s="145">
        <f t="shared" si="678"/>
        <v>1304095.3258194001</v>
      </c>
      <c r="AH161" s="329">
        <f t="shared" si="679"/>
        <v>1.2338005329620623</v>
      </c>
      <c r="AI161" s="330">
        <f t="shared" si="680"/>
        <v>26721460.326076102</v>
      </c>
      <c r="AJ161" s="331">
        <f t="shared" si="681"/>
        <v>17842312.77</v>
      </c>
      <c r="AK161" s="145">
        <f t="shared" si="682"/>
        <v>18877911.329999998</v>
      </c>
      <c r="AL161" s="145">
        <f t="shared" si="683"/>
        <v>1532011.1999999993</v>
      </c>
      <c r="AM161" s="145">
        <f t="shared" si="684"/>
        <v>20409922.530000001</v>
      </c>
      <c r="AN161" s="145">
        <f t="shared" si="685"/>
        <v>2567609.7600000016</v>
      </c>
      <c r="AO161" s="329">
        <f t="shared" si="715"/>
        <v>1.143905658033143</v>
      </c>
      <c r="AP161" s="326">
        <f t="shared" si="686"/>
        <v>3550873.72</v>
      </c>
      <c r="AQ161" s="326">
        <f t="shared" si="687"/>
        <v>-24612.799999999814</v>
      </c>
      <c r="AR161" s="326">
        <f t="shared" si="688"/>
        <v>7358835.7800000003</v>
      </c>
      <c r="AS161" s="326">
        <f t="shared" si="689"/>
        <v>7334222.9800000004</v>
      </c>
      <c r="AT161" s="326">
        <f t="shared" si="690"/>
        <v>4168703.81</v>
      </c>
      <c r="AU161" s="326">
        <f t="shared" si="691"/>
        <v>450196.29999999888</v>
      </c>
      <c r="AV161" s="326">
        <f t="shared" si="692"/>
        <v>9042232.7400000002</v>
      </c>
      <c r="AW161" s="326">
        <f t="shared" si="693"/>
        <v>9492429.0399999991</v>
      </c>
      <c r="AX161" s="326">
        <f t="shared" si="694"/>
        <v>6883355.54</v>
      </c>
      <c r="AY161" s="326">
        <f t="shared" si="716"/>
        <v>6.1499999994412065</v>
      </c>
      <c r="AZ161" s="326">
        <f>IFERROR(VLOOKUP(M161,BASALIM,8,FALSE),"")</f>
        <v>6754067.5700000003</v>
      </c>
      <c r="BA161" s="326">
        <f>IFERROR(VLOOKUP(M161,BASFC,8,FALSE),"")</f>
        <v>6754073.7199999997</v>
      </c>
      <c r="BB161" s="326">
        <f t="shared" ref="BB161:BD161" si="726">BH161+AY161+AU161</f>
        <v>450202.44999999832</v>
      </c>
      <c r="BC161" s="326">
        <f t="shared" si="726"/>
        <v>23349666.66</v>
      </c>
      <c r="BD161" s="326">
        <f t="shared" si="726"/>
        <v>23799869.109999999</v>
      </c>
      <c r="BE161" s="326">
        <f t="shared" si="718"/>
        <v>1982213.6499999976</v>
      </c>
      <c r="BF161" s="326">
        <f t="shared" si="719"/>
        <v>42227577.989999995</v>
      </c>
      <c r="BG161" s="332">
        <f t="shared" si="720"/>
        <v>44209791.640000001</v>
      </c>
      <c r="BH161" s="140">
        <f t="shared" si="695"/>
        <v>0</v>
      </c>
      <c r="BI161" s="326">
        <f t="shared" si="696"/>
        <v>7553366.3499999996</v>
      </c>
      <c r="BJ161" s="333">
        <f t="shared" si="697"/>
        <v>7553366.3499999996</v>
      </c>
      <c r="BK161" s="123">
        <f t="shared" si="698"/>
        <v>8064221.5099999998</v>
      </c>
      <c r="BL161" s="326">
        <f t="shared" si="699"/>
        <v>0</v>
      </c>
      <c r="BM161" s="326">
        <f t="shared" si="700"/>
        <v>8532514.5299999993</v>
      </c>
      <c r="BN161" s="326">
        <f t="shared" si="701"/>
        <v>8532514.5299999993</v>
      </c>
      <c r="BO161" s="332">
        <f t="shared" si="702"/>
        <v>3437862.39</v>
      </c>
      <c r="BP161" s="140">
        <f t="shared" si="703"/>
        <v>0</v>
      </c>
      <c r="BQ161" s="326">
        <f t="shared" si="704"/>
        <v>3946483.32</v>
      </c>
      <c r="BR161" s="333">
        <f t="shared" si="705"/>
        <v>3946483.32</v>
      </c>
      <c r="BS161" s="123">
        <f t="shared" si="706"/>
        <v>0</v>
      </c>
      <c r="BT161" s="326">
        <f t="shared" ref="BT161:BU161" si="727">SUM(BI161,BM161,BQ161)</f>
        <v>20032364.199999999</v>
      </c>
      <c r="BU161" s="326">
        <f t="shared" si="727"/>
        <v>20032364.199999999</v>
      </c>
      <c r="BV161" s="332">
        <f t="shared" si="708"/>
        <v>6105882.9900000002</v>
      </c>
      <c r="BW161" s="140">
        <f t="shared" si="709"/>
        <v>1008469.0999999996</v>
      </c>
      <c r="BX161" s="326">
        <f t="shared" si="710"/>
        <v>12781691.48</v>
      </c>
      <c r="BY161" s="333">
        <f t="shared" si="711"/>
        <v>13790160.58</v>
      </c>
      <c r="BZ161" s="125">
        <f t="shared" si="712"/>
        <v>5583897.2699999996</v>
      </c>
      <c r="CA161" s="140"/>
      <c r="CB161" s="123"/>
      <c r="CC161" s="148"/>
      <c r="CD161" s="123">
        <f t="shared" si="713"/>
        <v>6152532.5099999998</v>
      </c>
      <c r="CF161" s="149"/>
    </row>
    <row r="162" spans="1:94" ht="14">
      <c r="A162" s="336" t="s">
        <v>239</v>
      </c>
      <c r="B162" s="337" t="e">
        <f>VLOOKUP(M162,BASILECARTERA,2,FALSE)</f>
        <v>#N/A</v>
      </c>
      <c r="C162" s="338" t="str">
        <f>IFERROR(VLOOKUP(B162,DES,2,FALSE),"")</f>
        <v/>
      </c>
      <c r="D162" s="338" t="str">
        <f>IFERROR(VLOOKUP(B162,DES,3,FALSE),"")</f>
        <v/>
      </c>
      <c r="E162" s="337" t="str">
        <f>IFERROR(VLOOKUP(B162,DES,4,FALSE),"")</f>
        <v/>
      </c>
      <c r="F162" s="337"/>
      <c r="G162" s="338"/>
      <c r="H162" s="338"/>
      <c r="I162" s="338"/>
      <c r="J162" s="337" t="e">
        <f t="shared" si="657"/>
        <v>#N/A</v>
      </c>
      <c r="K162" s="338" t="str">
        <f t="shared" si="658"/>
        <v/>
      </c>
      <c r="L162" s="338" t="str">
        <f t="shared" si="659"/>
        <v/>
      </c>
      <c r="M162" s="339" t="s">
        <v>240</v>
      </c>
      <c r="N162" s="340">
        <f t="shared" si="660"/>
        <v>0</v>
      </c>
      <c r="O162" s="340">
        <f t="shared" si="661"/>
        <v>0</v>
      </c>
      <c r="P162" s="341" t="e">
        <f t="shared" si="662"/>
        <v>#VALUE!</v>
      </c>
      <c r="Q162" s="341" t="str">
        <f t="shared" si="663"/>
        <v/>
      </c>
      <c r="R162" s="341">
        <f t="shared" si="664"/>
        <v>0</v>
      </c>
      <c r="S162" s="341">
        <f t="shared" si="665"/>
        <v>0</v>
      </c>
      <c r="T162" s="342" t="e">
        <f t="shared" si="714"/>
        <v>#DIV/0!</v>
      </c>
      <c r="U162" s="340">
        <f t="shared" si="666"/>
        <v>53796.15</v>
      </c>
      <c r="V162" s="340">
        <f t="shared" si="667"/>
        <v>92771.460674999995</v>
      </c>
      <c r="W162" s="341" t="e">
        <f t="shared" si="668"/>
        <v>#VALUE!</v>
      </c>
      <c r="X162" s="341" t="str">
        <f t="shared" si="669"/>
        <v/>
      </c>
      <c r="Y162" s="341">
        <f t="shared" si="670"/>
        <v>0</v>
      </c>
      <c r="Z162" s="341">
        <f t="shared" si="671"/>
        <v>-92771.460674999995</v>
      </c>
      <c r="AA162" s="343">
        <f t="shared" si="672"/>
        <v>0</v>
      </c>
      <c r="AB162" s="340">
        <f t="shared" si="673"/>
        <v>0</v>
      </c>
      <c r="AC162" s="340">
        <f t="shared" si="674"/>
        <v>0</v>
      </c>
      <c r="AD162" s="341" t="e">
        <f t="shared" si="675"/>
        <v>#VALUE!</v>
      </c>
      <c r="AE162" s="341" t="str">
        <f t="shared" si="676"/>
        <v/>
      </c>
      <c r="AF162" s="341">
        <f t="shared" si="677"/>
        <v>0</v>
      </c>
      <c r="AG162" s="341">
        <f t="shared" si="678"/>
        <v>0</v>
      </c>
      <c r="AH162" s="344" t="str">
        <f t="shared" si="679"/>
        <v/>
      </c>
      <c r="AI162" s="345">
        <f t="shared" si="680"/>
        <v>92771.460674999995</v>
      </c>
      <c r="AJ162" s="346">
        <f t="shared" si="681"/>
        <v>69511.5</v>
      </c>
      <c r="AK162" s="341">
        <f t="shared" si="682"/>
        <v>0</v>
      </c>
      <c r="AL162" s="341" t="e">
        <f t="shared" si="683"/>
        <v>#VALUE!</v>
      </c>
      <c r="AM162" s="341">
        <f t="shared" si="684"/>
        <v>0</v>
      </c>
      <c r="AN162" s="341">
        <f t="shared" si="685"/>
        <v>-69511.5</v>
      </c>
      <c r="AO162" s="344">
        <f t="shared" si="715"/>
        <v>0</v>
      </c>
      <c r="AP162" s="340">
        <f t="shared" si="686"/>
        <v>0</v>
      </c>
      <c r="AQ162" s="340" t="e">
        <f t="shared" si="687"/>
        <v>#VALUE!</v>
      </c>
      <c r="AR162" s="340" t="str">
        <f t="shared" si="688"/>
        <v/>
      </c>
      <c r="AS162" s="340">
        <f t="shared" si="689"/>
        <v>0</v>
      </c>
      <c r="AT162" s="340">
        <f t="shared" si="690"/>
        <v>0</v>
      </c>
      <c r="AU162" s="340" t="e">
        <f t="shared" si="691"/>
        <v>#VALUE!</v>
      </c>
      <c r="AV162" s="340" t="str">
        <f t="shared" si="692"/>
        <v/>
      </c>
      <c r="AW162" s="340">
        <f t="shared" si="693"/>
        <v>115852.5</v>
      </c>
      <c r="AX162" s="340">
        <f t="shared" si="694"/>
        <v>0</v>
      </c>
      <c r="AY162" s="340" t="e">
        <f t="shared" si="716"/>
        <v>#VALUE!</v>
      </c>
      <c r="AZ162" s="340" t="str">
        <f>IFERROR(VLOOKUP(M162,BASALIM,8,FALSE),"")</f>
        <v/>
      </c>
      <c r="BA162" s="340">
        <f>IFERROR(VLOOKUP(M162,BASFC,8,FALSE),"")</f>
        <v>0</v>
      </c>
      <c r="BB162" s="340" t="e">
        <f t="shared" ref="BB162:BD162" si="728">BH162+AY162+AU162</f>
        <v>#VALUE!</v>
      </c>
      <c r="BC162" s="340" t="e">
        <f t="shared" si="728"/>
        <v>#VALUE!</v>
      </c>
      <c r="BD162" s="340">
        <f t="shared" si="728"/>
        <v>115852.5</v>
      </c>
      <c r="BE162" s="340" t="e">
        <f t="shared" si="718"/>
        <v>#VALUE!</v>
      </c>
      <c r="BF162" s="340" t="e">
        <f t="shared" si="719"/>
        <v>#VALUE!</v>
      </c>
      <c r="BG162" s="347">
        <f t="shared" si="720"/>
        <v>115852.5</v>
      </c>
      <c r="BH162" s="259" t="e">
        <f t="shared" si="695"/>
        <v>#VALUE!</v>
      </c>
      <c r="BI162" s="340" t="str">
        <f t="shared" si="696"/>
        <v/>
      </c>
      <c r="BJ162" s="348">
        <f t="shared" si="697"/>
        <v>0</v>
      </c>
      <c r="BK162" s="349">
        <f t="shared" si="698"/>
        <v>0</v>
      </c>
      <c r="BL162" s="340" t="e">
        <f t="shared" si="699"/>
        <v>#VALUE!</v>
      </c>
      <c r="BM162" s="340" t="str">
        <f t="shared" si="700"/>
        <v/>
      </c>
      <c r="BN162" s="340">
        <f t="shared" si="701"/>
        <v>0</v>
      </c>
      <c r="BO162" s="347">
        <f t="shared" si="702"/>
        <v>0</v>
      </c>
      <c r="BP162" s="259" t="e">
        <f t="shared" si="703"/>
        <v>#VALUE!</v>
      </c>
      <c r="BQ162" s="340" t="str">
        <f t="shared" si="704"/>
        <v/>
      </c>
      <c r="BR162" s="348">
        <f t="shared" si="705"/>
        <v>0</v>
      </c>
      <c r="BS162" s="349" t="e">
        <f t="shared" si="706"/>
        <v>#VALUE!</v>
      </c>
      <c r="BT162" s="340">
        <f t="shared" ref="BT162:BU162" si="729">SUM(BI162,BM162,BQ162)</f>
        <v>0</v>
      </c>
      <c r="BU162" s="340">
        <f t="shared" si="729"/>
        <v>0</v>
      </c>
      <c r="BV162" s="347">
        <f t="shared" si="708"/>
        <v>0</v>
      </c>
      <c r="BW162" s="259" t="e">
        <f t="shared" si="709"/>
        <v>#VALUE!</v>
      </c>
      <c r="BX162" s="340" t="str">
        <f t="shared" si="710"/>
        <v/>
      </c>
      <c r="BY162" s="348">
        <f t="shared" si="711"/>
        <v>0</v>
      </c>
      <c r="BZ162" s="125">
        <f t="shared" si="712"/>
        <v>69511.5</v>
      </c>
      <c r="CA162" s="259"/>
      <c r="CB162" s="349"/>
      <c r="CC162" s="350"/>
      <c r="CD162" s="123">
        <f t="shared" si="713"/>
        <v>0</v>
      </c>
      <c r="CF162" s="149"/>
    </row>
    <row r="163" spans="1:94" ht="13">
      <c r="B163" s="294"/>
      <c r="C163" s="295"/>
      <c r="D163" s="295"/>
      <c r="E163" s="294"/>
      <c r="F163" s="294"/>
      <c r="G163" s="295"/>
      <c r="H163" s="295"/>
      <c r="I163" s="295"/>
      <c r="J163" s="295"/>
      <c r="K163" s="295"/>
      <c r="L163" s="295"/>
      <c r="N163" s="296"/>
      <c r="O163" s="296"/>
      <c r="P163" s="297"/>
      <c r="Q163" s="297"/>
      <c r="R163" s="297"/>
      <c r="S163" s="297"/>
      <c r="T163" s="298"/>
      <c r="U163" s="296"/>
      <c r="V163" s="296"/>
      <c r="W163" s="297"/>
      <c r="X163" s="297"/>
      <c r="Y163" s="297"/>
      <c r="Z163" s="297"/>
      <c r="AA163" s="299"/>
      <c r="AB163" s="296"/>
      <c r="AC163" s="296"/>
      <c r="AD163" s="297"/>
      <c r="AE163" s="297"/>
      <c r="AF163" s="297"/>
      <c r="AG163" s="297"/>
      <c r="AH163" s="295"/>
      <c r="AI163" s="293"/>
      <c r="AJ163" s="293"/>
      <c r="AK163" s="297"/>
      <c r="AL163" s="297"/>
      <c r="AM163" s="297"/>
      <c r="AN163" s="297"/>
      <c r="AO163" s="295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  <c r="BU163" s="296"/>
      <c r="BV163" s="296"/>
      <c r="BW163" s="296"/>
      <c r="BX163" s="296"/>
      <c r="BY163" s="296"/>
      <c r="BZ163" s="296"/>
      <c r="CA163" s="296"/>
      <c r="CB163" s="296"/>
      <c r="CC163" s="296"/>
      <c r="CD163" s="296"/>
      <c r="CP163" s="351"/>
    </row>
    <row r="164" spans="1:94" ht="13">
      <c r="B164" s="294"/>
      <c r="C164" s="295"/>
      <c r="D164" s="295"/>
      <c r="E164" s="294"/>
      <c r="F164" s="294"/>
      <c r="G164" s="295"/>
      <c r="H164" s="295"/>
      <c r="I164" s="295"/>
      <c r="J164" s="295"/>
      <c r="K164" s="295"/>
      <c r="L164" s="295"/>
      <c r="N164" s="296"/>
      <c r="O164" s="296"/>
      <c r="P164" s="297"/>
      <c r="Q164" s="297"/>
      <c r="R164" s="297"/>
      <c r="S164" s="297"/>
      <c r="T164" s="298"/>
      <c r="U164" s="296"/>
      <c r="V164" s="296"/>
      <c r="W164" s="297"/>
      <c r="X164" s="297"/>
      <c r="Y164" s="297"/>
      <c r="Z164" s="297"/>
      <c r="AA164" s="299"/>
      <c r="AB164" s="296"/>
      <c r="AC164" s="296"/>
      <c r="AD164" s="297"/>
      <c r="AE164" s="297"/>
      <c r="AF164" s="297"/>
      <c r="AG164" s="297"/>
      <c r="AH164" s="295"/>
      <c r="AI164" s="293"/>
      <c r="AJ164" s="293"/>
      <c r="AK164" s="297"/>
      <c r="AL164" s="297"/>
      <c r="AM164" s="297"/>
      <c r="AN164" s="297"/>
      <c r="AO164" s="295"/>
      <c r="CP164" s="351"/>
    </row>
    <row r="165" spans="1:94" ht="13">
      <c r="B165" s="294"/>
      <c r="C165" s="295"/>
      <c r="D165" s="295"/>
      <c r="E165" s="294"/>
      <c r="F165" s="294"/>
      <c r="G165" s="295"/>
      <c r="H165" s="295"/>
      <c r="I165" s="295"/>
      <c r="J165" s="295"/>
      <c r="K165" s="295"/>
      <c r="L165" s="295"/>
      <c r="N165" s="296"/>
      <c r="O165" s="296"/>
      <c r="P165" s="297"/>
      <c r="Q165" s="297"/>
      <c r="R165" s="297"/>
      <c r="S165" s="297"/>
      <c r="T165" s="298"/>
      <c r="U165" s="296"/>
      <c r="V165" s="296"/>
      <c r="W165" s="297"/>
      <c r="X165" s="297"/>
      <c r="Y165" s="297"/>
      <c r="Z165" s="297"/>
      <c r="AA165" s="299"/>
      <c r="AB165" s="296"/>
      <c r="AC165" s="296"/>
      <c r="AD165" s="297"/>
      <c r="AE165" s="297"/>
      <c r="AF165" s="297"/>
      <c r="AG165" s="297"/>
      <c r="AH165" s="295"/>
      <c r="AI165" s="293"/>
      <c r="AJ165" s="293"/>
      <c r="AK165" s="297"/>
      <c r="AL165" s="297"/>
      <c r="AM165" s="297"/>
      <c r="AN165" s="297"/>
      <c r="AO165" s="295"/>
      <c r="CP165" s="351"/>
    </row>
    <row r="166" spans="1:94" ht="13">
      <c r="B166" s="294"/>
      <c r="C166" s="295"/>
      <c r="D166" s="295"/>
      <c r="E166" s="294"/>
      <c r="F166" s="294"/>
      <c r="G166" s="295"/>
      <c r="H166" s="295"/>
      <c r="I166" s="295"/>
      <c r="J166" s="295"/>
      <c r="K166" s="295"/>
      <c r="L166" s="295"/>
      <c r="N166" s="296"/>
      <c r="O166" s="296"/>
      <c r="P166" s="297"/>
      <c r="Q166" s="297"/>
      <c r="R166" s="297"/>
      <c r="S166" s="297"/>
      <c r="T166" s="298"/>
      <c r="U166" s="296"/>
      <c r="V166" s="296"/>
      <c r="W166" s="297"/>
      <c r="X166" s="297"/>
      <c r="Y166" s="297"/>
      <c r="Z166" s="297"/>
      <c r="AA166" s="299"/>
      <c r="AB166" s="296"/>
      <c r="AC166" s="296"/>
      <c r="AD166" s="297"/>
      <c r="AE166" s="297"/>
      <c r="AF166" s="297"/>
      <c r="AG166" s="297"/>
      <c r="AH166" s="295"/>
      <c r="AI166" s="293"/>
      <c r="AJ166" s="293"/>
      <c r="AK166" s="297"/>
      <c r="AL166" s="297"/>
      <c r="AM166" s="297"/>
      <c r="AN166" s="297"/>
      <c r="AO166" s="295"/>
      <c r="CP166" s="351"/>
    </row>
    <row r="167" spans="1:94" ht="13">
      <c r="B167" s="294"/>
      <c r="C167" s="295"/>
      <c r="D167" s="295"/>
      <c r="E167" s="294"/>
      <c r="F167" s="294"/>
      <c r="G167" s="295"/>
      <c r="H167" s="295"/>
      <c r="I167" s="295"/>
      <c r="J167" s="295"/>
      <c r="K167" s="295"/>
      <c r="L167" s="295"/>
      <c r="N167" s="296"/>
      <c r="O167" s="296"/>
      <c r="P167" s="297"/>
      <c r="Q167" s="297"/>
      <c r="R167" s="297"/>
      <c r="S167" s="297"/>
      <c r="T167" s="298"/>
      <c r="U167" s="296"/>
      <c r="V167" s="296"/>
      <c r="W167" s="297"/>
      <c r="X167" s="297"/>
      <c r="Y167" s="297"/>
      <c r="Z167" s="297"/>
      <c r="AA167" s="299"/>
      <c r="AB167" s="296"/>
      <c r="AC167" s="296"/>
      <c r="AD167" s="297"/>
      <c r="AE167" s="297"/>
      <c r="AF167" s="297"/>
      <c r="AG167" s="297"/>
      <c r="AH167" s="295"/>
      <c r="AI167" s="293"/>
      <c r="AJ167" s="293"/>
      <c r="AK167" s="297"/>
      <c r="AL167" s="297"/>
      <c r="AM167" s="297"/>
      <c r="AN167" s="297"/>
      <c r="AO167" s="295"/>
      <c r="CP167" s="351"/>
    </row>
    <row r="168" spans="1:94" ht="13">
      <c r="B168" s="294"/>
      <c r="C168" s="295"/>
      <c r="D168" s="295"/>
      <c r="E168" s="294"/>
      <c r="F168" s="294"/>
      <c r="G168" s="295"/>
      <c r="H168" s="295"/>
      <c r="I168" s="295"/>
      <c r="J168" s="295"/>
      <c r="K168" s="295"/>
      <c r="L168" s="295"/>
      <c r="N168" s="296"/>
      <c r="O168" s="296"/>
      <c r="P168" s="297"/>
      <c r="Q168" s="297"/>
      <c r="R168" s="297"/>
      <c r="S168" s="297"/>
      <c r="T168" s="298"/>
      <c r="U168" s="296"/>
      <c r="V168" s="296"/>
      <c r="W168" s="297"/>
      <c r="X168" s="297"/>
      <c r="Y168" s="297"/>
      <c r="Z168" s="297"/>
      <c r="AA168" s="299"/>
      <c r="AB168" s="296"/>
      <c r="AC168" s="296"/>
      <c r="AD168" s="297"/>
      <c r="AE168" s="297"/>
      <c r="AF168" s="297"/>
      <c r="AG168" s="297"/>
      <c r="AH168" s="295"/>
      <c r="AI168" s="293"/>
      <c r="AJ168" s="293"/>
      <c r="AK168" s="297"/>
      <c r="AL168" s="297"/>
      <c r="AM168" s="297"/>
      <c r="AN168" s="297"/>
      <c r="AO168" s="295"/>
      <c r="CP168" s="351"/>
    </row>
    <row r="169" spans="1:94" ht="13">
      <c r="B169" s="294"/>
      <c r="C169" s="295"/>
      <c r="D169" s="295"/>
      <c r="E169" s="294"/>
      <c r="F169" s="294"/>
      <c r="G169" s="295"/>
      <c r="H169" s="295"/>
      <c r="I169" s="295"/>
      <c r="J169" s="295"/>
      <c r="K169" s="295"/>
      <c r="L169" s="295"/>
      <c r="N169" s="296"/>
      <c r="O169" s="296"/>
      <c r="P169" s="297"/>
      <c r="Q169" s="297"/>
      <c r="R169" s="297"/>
      <c r="S169" s="297"/>
      <c r="T169" s="298"/>
      <c r="U169" s="296"/>
      <c r="V169" s="296"/>
      <c r="W169" s="297"/>
      <c r="X169" s="297"/>
      <c r="Y169" s="297"/>
      <c r="Z169" s="297"/>
      <c r="AA169" s="299"/>
      <c r="AB169" s="296"/>
      <c r="AC169" s="296"/>
      <c r="AD169" s="297"/>
      <c r="AE169" s="297"/>
      <c r="AF169" s="297"/>
      <c r="AG169" s="297"/>
      <c r="AH169" s="295"/>
      <c r="AI169" s="293"/>
      <c r="AJ169" s="293"/>
      <c r="AK169" s="297"/>
      <c r="AL169" s="297"/>
      <c r="AM169" s="297"/>
      <c r="AN169" s="297"/>
      <c r="AO169" s="295"/>
      <c r="CP169" s="351"/>
    </row>
    <row r="170" spans="1:94" ht="13">
      <c r="B170" s="294"/>
      <c r="C170" s="295"/>
      <c r="D170" s="295"/>
      <c r="E170" s="294"/>
      <c r="F170" s="294"/>
      <c r="G170" s="295"/>
      <c r="H170" s="295"/>
      <c r="I170" s="295"/>
      <c r="J170" s="295"/>
      <c r="K170" s="295"/>
      <c r="L170" s="295"/>
      <c r="N170" s="296"/>
      <c r="O170" s="296"/>
      <c r="P170" s="297"/>
      <c r="Q170" s="297"/>
      <c r="R170" s="297"/>
      <c r="S170" s="297"/>
      <c r="T170" s="298"/>
      <c r="U170" s="296"/>
      <c r="V170" s="296"/>
      <c r="W170" s="297"/>
      <c r="X170" s="297"/>
      <c r="Y170" s="297"/>
      <c r="Z170" s="297"/>
      <c r="AA170" s="299"/>
      <c r="AB170" s="296"/>
      <c r="AC170" s="296"/>
      <c r="AD170" s="297"/>
      <c r="AE170" s="297"/>
      <c r="AF170" s="297"/>
      <c r="AG170" s="297"/>
      <c r="AH170" s="295"/>
      <c r="AI170" s="293"/>
      <c r="AJ170" s="293"/>
      <c r="AK170" s="297"/>
      <c r="AL170" s="297"/>
      <c r="AM170" s="297"/>
      <c r="AN170" s="297"/>
      <c r="AO170" s="295"/>
      <c r="CP170" s="351"/>
    </row>
    <row r="171" spans="1:94" ht="13">
      <c r="B171" s="294"/>
      <c r="C171" s="295"/>
      <c r="D171" s="295"/>
      <c r="E171" s="294"/>
      <c r="F171" s="294"/>
      <c r="G171" s="295"/>
      <c r="H171" s="295"/>
      <c r="I171" s="295"/>
      <c r="J171" s="295"/>
      <c r="K171" s="295"/>
      <c r="L171" s="295"/>
      <c r="N171" s="296"/>
      <c r="O171" s="296"/>
      <c r="P171" s="297"/>
      <c r="Q171" s="297"/>
      <c r="R171" s="297"/>
      <c r="S171" s="297"/>
      <c r="T171" s="298"/>
      <c r="U171" s="296"/>
      <c r="V171" s="296"/>
      <c r="W171" s="297"/>
      <c r="X171" s="297"/>
      <c r="Y171" s="297"/>
      <c r="Z171" s="297"/>
      <c r="AA171" s="299"/>
      <c r="AB171" s="296"/>
      <c r="AC171" s="296"/>
      <c r="AD171" s="297"/>
      <c r="AE171" s="297"/>
      <c r="AF171" s="297"/>
      <c r="AG171" s="297"/>
      <c r="AH171" s="295"/>
      <c r="AI171" s="293"/>
      <c r="AJ171" s="293"/>
      <c r="AK171" s="297"/>
      <c r="AL171" s="297"/>
      <c r="AM171" s="297"/>
      <c r="AN171" s="297"/>
      <c r="AO171" s="295"/>
      <c r="CP171" s="351"/>
    </row>
    <row r="172" spans="1:94" ht="13">
      <c r="B172" s="294"/>
      <c r="C172" s="295"/>
      <c r="D172" s="295"/>
      <c r="E172" s="294"/>
      <c r="F172" s="294"/>
      <c r="G172" s="295"/>
      <c r="H172" s="295"/>
      <c r="I172" s="295"/>
      <c r="J172" s="295"/>
      <c r="K172" s="295"/>
      <c r="L172" s="295"/>
      <c r="N172" s="296"/>
      <c r="O172" s="296"/>
      <c r="P172" s="297"/>
      <c r="Q172" s="297"/>
      <c r="R172" s="297"/>
      <c r="S172" s="297"/>
      <c r="T172" s="298"/>
      <c r="U172" s="296"/>
      <c r="V172" s="296"/>
      <c r="W172" s="297"/>
      <c r="X172" s="297"/>
      <c r="Y172" s="297"/>
      <c r="Z172" s="297"/>
      <c r="AA172" s="299"/>
      <c r="AB172" s="296"/>
      <c r="AC172" s="296"/>
      <c r="AD172" s="297"/>
      <c r="AE172" s="297"/>
      <c r="AF172" s="297"/>
      <c r="AG172" s="297"/>
      <c r="AH172" s="295"/>
      <c r="AI172" s="293"/>
      <c r="AJ172" s="293"/>
      <c r="AK172" s="297"/>
      <c r="AL172" s="297"/>
      <c r="AM172" s="297"/>
      <c r="AN172" s="297"/>
      <c r="AO172" s="295"/>
      <c r="CP172" s="301"/>
    </row>
    <row r="173" spans="1:94" ht="13">
      <c r="B173" s="294"/>
      <c r="C173" s="295"/>
      <c r="D173" s="295"/>
      <c r="E173" s="294"/>
      <c r="F173" s="294"/>
      <c r="G173" s="295"/>
      <c r="H173" s="295"/>
      <c r="I173" s="295"/>
      <c r="J173" s="295"/>
      <c r="K173" s="295"/>
      <c r="L173" s="295"/>
      <c r="N173" s="296"/>
      <c r="O173" s="296"/>
      <c r="P173" s="297"/>
      <c r="Q173" s="297"/>
      <c r="R173" s="297"/>
      <c r="S173" s="297"/>
      <c r="T173" s="298"/>
      <c r="U173" s="296"/>
      <c r="V173" s="296"/>
      <c r="W173" s="297"/>
      <c r="X173" s="297"/>
      <c r="Y173" s="297"/>
      <c r="Z173" s="297"/>
      <c r="AA173" s="299"/>
      <c r="AB173" s="296"/>
      <c r="AC173" s="296"/>
      <c r="AD173" s="297"/>
      <c r="AE173" s="297"/>
      <c r="AF173" s="297"/>
      <c r="AG173" s="297"/>
      <c r="AH173" s="295"/>
      <c r="AI173" s="293"/>
      <c r="AJ173" s="293"/>
      <c r="AK173" s="297"/>
      <c r="AL173" s="297"/>
      <c r="AM173" s="297"/>
      <c r="AN173" s="297"/>
      <c r="AO173" s="295"/>
      <c r="CP173" s="351"/>
    </row>
    <row r="174" spans="1:94" ht="13">
      <c r="B174" s="294"/>
      <c r="C174" s="295"/>
      <c r="D174" s="295"/>
      <c r="E174" s="294"/>
      <c r="F174" s="294"/>
      <c r="G174" s="295"/>
      <c r="H174" s="295"/>
      <c r="I174" s="295"/>
      <c r="J174" s="295"/>
      <c r="K174" s="295"/>
      <c r="L174" s="295"/>
      <c r="N174" s="296"/>
      <c r="O174" s="296"/>
      <c r="P174" s="297"/>
      <c r="Q174" s="297"/>
      <c r="R174" s="297"/>
      <c r="S174" s="297"/>
      <c r="T174" s="298"/>
      <c r="U174" s="296"/>
      <c r="V174" s="296"/>
      <c r="W174" s="297"/>
      <c r="X174" s="297"/>
      <c r="Y174" s="297"/>
      <c r="Z174" s="297"/>
      <c r="AA174" s="299"/>
      <c r="AB174" s="296"/>
      <c r="AC174" s="296"/>
      <c r="AD174" s="297"/>
      <c r="AE174" s="297"/>
      <c r="AF174" s="297"/>
      <c r="AG174" s="297"/>
      <c r="AH174" s="295"/>
      <c r="AI174" s="293"/>
      <c r="AJ174" s="293"/>
      <c r="AK174" s="297"/>
      <c r="AL174" s="297"/>
      <c r="AM174" s="297"/>
      <c r="AN174" s="297"/>
      <c r="AO174" s="295"/>
      <c r="CP174" s="351"/>
    </row>
    <row r="175" spans="1:94" ht="13">
      <c r="B175" s="294"/>
      <c r="C175" s="295"/>
      <c r="D175" s="295"/>
      <c r="E175" s="294"/>
      <c r="F175" s="294"/>
      <c r="G175" s="295"/>
      <c r="H175" s="295"/>
      <c r="I175" s="295"/>
      <c r="J175" s="295"/>
      <c r="K175" s="295"/>
      <c r="L175" s="295"/>
      <c r="N175" s="296"/>
      <c r="O175" s="296"/>
      <c r="P175" s="297"/>
      <c r="Q175" s="297"/>
      <c r="R175" s="297"/>
      <c r="S175" s="297"/>
      <c r="T175" s="298"/>
      <c r="U175" s="296"/>
      <c r="V175" s="296"/>
      <c r="W175" s="297"/>
      <c r="X175" s="297"/>
      <c r="Y175" s="297"/>
      <c r="Z175" s="297"/>
      <c r="AA175" s="299"/>
      <c r="AB175" s="296"/>
      <c r="AC175" s="296"/>
      <c r="AD175" s="297"/>
      <c r="AE175" s="297"/>
      <c r="AF175" s="297"/>
      <c r="AG175" s="297"/>
      <c r="AH175" s="295"/>
      <c r="AI175" s="293"/>
      <c r="AJ175" s="293"/>
      <c r="AK175" s="297"/>
      <c r="AL175" s="297"/>
      <c r="AM175" s="297"/>
      <c r="AN175" s="297"/>
      <c r="AO175" s="295"/>
      <c r="CP175" s="351"/>
    </row>
    <row r="176" spans="1:94" ht="13">
      <c r="B176" s="294"/>
      <c r="C176" s="295"/>
      <c r="D176" s="295"/>
      <c r="E176" s="294"/>
      <c r="F176" s="294"/>
      <c r="G176" s="295"/>
      <c r="H176" s="295"/>
      <c r="I176" s="295"/>
      <c r="J176" s="295"/>
      <c r="K176" s="295"/>
      <c r="L176" s="295"/>
      <c r="N176" s="296"/>
      <c r="O176" s="296"/>
      <c r="P176" s="297"/>
      <c r="Q176" s="297"/>
      <c r="R176" s="297"/>
      <c r="S176" s="297"/>
      <c r="T176" s="298"/>
      <c r="U176" s="296"/>
      <c r="V176" s="296"/>
      <c r="W176" s="297"/>
      <c r="X176" s="297"/>
      <c r="Y176" s="297"/>
      <c r="Z176" s="297"/>
      <c r="AA176" s="299"/>
      <c r="AB176" s="296"/>
      <c r="AC176" s="296"/>
      <c r="AD176" s="297"/>
      <c r="AE176" s="297"/>
      <c r="AF176" s="297"/>
      <c r="AG176" s="297"/>
      <c r="AH176" s="295"/>
      <c r="AI176" s="293"/>
      <c r="AJ176" s="293"/>
      <c r="AK176" s="297"/>
      <c r="AL176" s="297"/>
      <c r="AM176" s="297"/>
      <c r="AN176" s="297"/>
      <c r="AO176" s="295"/>
      <c r="CP176" s="351"/>
    </row>
    <row r="177" spans="2:117" ht="13">
      <c r="B177" s="294"/>
      <c r="C177" s="295"/>
      <c r="D177" s="295"/>
      <c r="E177" s="294"/>
      <c r="F177" s="294"/>
      <c r="G177" s="295"/>
      <c r="H177" s="295"/>
      <c r="I177" s="295"/>
      <c r="J177" s="295"/>
      <c r="K177" s="295"/>
      <c r="L177" s="295"/>
      <c r="N177" s="296"/>
      <c r="O177" s="296"/>
      <c r="P177" s="297"/>
      <c r="Q177" s="297"/>
      <c r="R177" s="297"/>
      <c r="S177" s="297"/>
      <c r="T177" s="298"/>
      <c r="U177" s="296"/>
      <c r="V177" s="296"/>
      <c r="W177" s="297"/>
      <c r="X177" s="297"/>
      <c r="Y177" s="297"/>
      <c r="Z177" s="297"/>
      <c r="AA177" s="299"/>
      <c r="AB177" s="296"/>
      <c r="AC177" s="296"/>
      <c r="AD177" s="297"/>
      <c r="AE177" s="297"/>
      <c r="AF177" s="297"/>
      <c r="AG177" s="297"/>
      <c r="AH177" s="295"/>
      <c r="AI177" s="293"/>
      <c r="AJ177" s="293"/>
      <c r="AK177" s="297"/>
      <c r="AL177" s="297"/>
      <c r="AM177" s="297"/>
      <c r="AN177" s="297"/>
      <c r="AO177" s="295"/>
      <c r="CP177" s="351"/>
    </row>
    <row r="178" spans="2:117" ht="13">
      <c r="B178" s="294"/>
      <c r="C178" s="295"/>
      <c r="D178" s="295"/>
      <c r="E178" s="294"/>
      <c r="F178" s="294"/>
      <c r="G178" s="295"/>
      <c r="H178" s="295"/>
      <c r="I178" s="295"/>
      <c r="J178" s="295"/>
      <c r="K178" s="295"/>
      <c r="L178" s="295"/>
      <c r="N178" s="296"/>
      <c r="O178" s="296"/>
      <c r="P178" s="297"/>
      <c r="Q178" s="297"/>
      <c r="R178" s="297"/>
      <c r="S178" s="297"/>
      <c r="T178" s="298"/>
      <c r="U178" s="296"/>
      <c r="V178" s="296"/>
      <c r="W178" s="297"/>
      <c r="X178" s="297"/>
      <c r="Y178" s="297"/>
      <c r="Z178" s="297"/>
      <c r="AA178" s="299"/>
      <c r="AB178" s="296"/>
      <c r="AC178" s="296"/>
      <c r="AD178" s="297"/>
      <c r="AE178" s="297"/>
      <c r="AF178" s="297"/>
      <c r="AG178" s="297"/>
      <c r="AH178" s="295"/>
      <c r="AI178" s="293"/>
      <c r="AJ178" s="293"/>
      <c r="AK178" s="297"/>
      <c r="AL178" s="297"/>
      <c r="AM178" s="297"/>
      <c r="AN178" s="297"/>
      <c r="AO178" s="295"/>
      <c r="CP178" s="351"/>
    </row>
    <row r="179" spans="2:117" ht="13">
      <c r="B179" s="294"/>
      <c r="C179" s="295"/>
      <c r="D179" s="295"/>
      <c r="E179" s="294"/>
      <c r="F179" s="294"/>
      <c r="G179" s="295"/>
      <c r="H179" s="295"/>
      <c r="I179" s="295"/>
      <c r="J179" s="295"/>
      <c r="K179" s="295"/>
      <c r="L179" s="295"/>
      <c r="N179" s="296"/>
      <c r="O179" s="296"/>
      <c r="P179" s="297"/>
      <c r="Q179" s="297"/>
      <c r="R179" s="297"/>
      <c r="S179" s="297"/>
      <c r="T179" s="298"/>
      <c r="U179" s="296"/>
      <c r="V179" s="296"/>
      <c r="W179" s="297"/>
      <c r="X179" s="297"/>
      <c r="Y179" s="297"/>
      <c r="Z179" s="297"/>
      <c r="AA179" s="299"/>
      <c r="AB179" s="296"/>
      <c r="AC179" s="296"/>
      <c r="AD179" s="297"/>
      <c r="AE179" s="297"/>
      <c r="AF179" s="297"/>
      <c r="AG179" s="297"/>
      <c r="AH179" s="295"/>
      <c r="AI179" s="293"/>
      <c r="AJ179" s="293"/>
      <c r="AK179" s="297"/>
      <c r="AL179" s="297"/>
      <c r="AM179" s="297"/>
      <c r="AN179" s="297"/>
      <c r="AO179" s="295"/>
    </row>
    <row r="180" spans="2:117" ht="13">
      <c r="B180" s="294"/>
      <c r="C180" s="295"/>
      <c r="D180" s="295"/>
      <c r="E180" s="294"/>
      <c r="F180" s="294"/>
      <c r="G180" s="295"/>
      <c r="H180" s="295"/>
      <c r="I180" s="295"/>
      <c r="J180" s="295"/>
      <c r="K180" s="295"/>
      <c r="L180" s="295"/>
      <c r="N180" s="296"/>
      <c r="O180" s="296"/>
      <c r="P180" s="297"/>
      <c r="Q180" s="297"/>
      <c r="R180" s="297"/>
      <c r="S180" s="297"/>
      <c r="T180" s="298"/>
      <c r="U180" s="296"/>
      <c r="V180" s="296"/>
      <c r="W180" s="297"/>
      <c r="X180" s="297"/>
      <c r="Y180" s="297"/>
      <c r="Z180" s="297"/>
      <c r="AA180" s="299"/>
      <c r="AB180" s="296"/>
      <c r="AC180" s="296"/>
      <c r="AD180" s="297"/>
      <c r="AE180" s="297"/>
      <c r="AF180" s="297"/>
      <c r="AG180" s="297"/>
      <c r="AH180" s="295"/>
      <c r="AI180" s="293"/>
      <c r="AJ180" s="293"/>
      <c r="AK180" s="297"/>
      <c r="AL180" s="297"/>
      <c r="AM180" s="297"/>
      <c r="AN180" s="297"/>
      <c r="AO180" s="295"/>
      <c r="CW180" s="352">
        <f>CW184-Y151</f>
        <v>-3.0000090599060059E-2</v>
      </c>
      <c r="CX180" s="352">
        <f>CX184-AF151</f>
        <v>-9.9999606609344482E-3</v>
      </c>
      <c r="CY180" s="352">
        <f>CY184-AS151</f>
        <v>0</v>
      </c>
      <c r="CZ180" s="352">
        <f>CZ184-AW151</f>
        <v>-9.9999606609344482E-3</v>
      </c>
      <c r="DA180" s="352">
        <f>DA184-BA151</f>
        <v>-2.000001072883606E-2</v>
      </c>
      <c r="DB180" s="352">
        <f>DB184-BJ151</f>
        <v>-1.9999951124191284E-2</v>
      </c>
      <c r="DC180" s="352">
        <f>DC184-BN151</f>
        <v>-4.0000081062316895E-2</v>
      </c>
      <c r="DD180" s="352">
        <f>DD184-BR151</f>
        <v>-3.0000030994415283E-2</v>
      </c>
      <c r="DE180" s="352">
        <f>DE184-BY151</f>
        <v>-1.0000109672546387E-2</v>
      </c>
    </row>
    <row r="181" spans="2:117" ht="13">
      <c r="B181" s="294"/>
      <c r="C181" s="295"/>
      <c r="D181" s="295"/>
      <c r="E181" s="294"/>
      <c r="F181" s="294"/>
      <c r="G181" s="295"/>
      <c r="H181" s="295"/>
      <c r="I181" s="295"/>
      <c r="J181" s="295"/>
      <c r="K181" s="295"/>
      <c r="L181" s="295"/>
      <c r="N181" s="296"/>
      <c r="O181" s="296"/>
      <c r="P181" s="297"/>
      <c r="Q181" s="297"/>
      <c r="R181" s="297"/>
      <c r="S181" s="297"/>
      <c r="T181" s="298"/>
      <c r="U181" s="296"/>
      <c r="V181" s="296"/>
      <c r="W181" s="297"/>
      <c r="X181" s="297"/>
      <c r="Y181" s="297"/>
      <c r="Z181" s="297"/>
      <c r="AA181" s="299"/>
      <c r="AB181" s="296"/>
      <c r="AC181" s="296"/>
      <c r="AD181" s="297"/>
      <c r="AE181" s="297"/>
      <c r="AF181" s="297"/>
      <c r="AG181" s="297"/>
      <c r="AH181" s="295"/>
      <c r="AI181" s="293"/>
      <c r="AJ181" s="293"/>
      <c r="AK181" s="297"/>
      <c r="AL181" s="297"/>
      <c r="AM181" s="297"/>
      <c r="AN181" s="297"/>
      <c r="AO181" s="295"/>
      <c r="CS181" s="353">
        <v>0</v>
      </c>
      <c r="CT181" s="354">
        <v>1</v>
      </c>
      <c r="CU181" s="354">
        <v>2</v>
      </c>
      <c r="CV181" s="354">
        <v>3</v>
      </c>
      <c r="CW181" s="354">
        <v>4</v>
      </c>
      <c r="CX181" s="354">
        <v>5</v>
      </c>
      <c r="CY181" s="354">
        <v>6</v>
      </c>
      <c r="CZ181" s="354">
        <v>7</v>
      </c>
      <c r="DA181" s="354">
        <v>8</v>
      </c>
      <c r="DB181" s="354">
        <v>9</v>
      </c>
      <c r="DC181" s="354">
        <v>10</v>
      </c>
      <c r="DD181" s="354">
        <v>11</v>
      </c>
      <c r="DE181" s="354">
        <v>12</v>
      </c>
      <c r="DF181" s="354">
        <v>13</v>
      </c>
      <c r="DG181" s="354">
        <v>14</v>
      </c>
      <c r="DH181" s="354">
        <v>15</v>
      </c>
      <c r="DI181" s="355"/>
    </row>
    <row r="182" spans="2:117" ht="13">
      <c r="B182" s="294"/>
      <c r="C182" s="295"/>
      <c r="D182" s="295"/>
      <c r="E182" s="294"/>
      <c r="F182" s="294"/>
      <c r="G182" s="295"/>
      <c r="H182" s="295"/>
      <c r="I182" s="295"/>
      <c r="J182" s="295"/>
      <c r="K182" s="295"/>
      <c r="L182" s="295"/>
      <c r="N182" s="296"/>
      <c r="O182" s="296"/>
      <c r="P182" s="297"/>
      <c r="Q182" s="297"/>
      <c r="R182" s="297"/>
      <c r="S182" s="297"/>
      <c r="T182" s="298"/>
      <c r="U182" s="296"/>
      <c r="V182" s="296"/>
      <c r="W182" s="297"/>
      <c r="X182" s="297"/>
      <c r="Y182" s="297"/>
      <c r="Z182" s="297"/>
      <c r="AA182" s="299"/>
      <c r="AB182" s="296"/>
      <c r="AC182" s="296"/>
      <c r="AD182" s="297"/>
      <c r="AE182" s="297"/>
      <c r="AF182" s="297"/>
      <c r="AG182" s="297"/>
      <c r="AH182" s="295"/>
      <c r="AI182" s="293"/>
      <c r="AJ182" s="293"/>
      <c r="AK182" s="297"/>
      <c r="AL182" s="297"/>
      <c r="AM182" s="297"/>
      <c r="AN182" s="297"/>
      <c r="AO182" s="295"/>
      <c r="CS182" s="356"/>
      <c r="CV182" s="357">
        <v>45658</v>
      </c>
      <c r="CW182" s="357">
        <v>45689</v>
      </c>
      <c r="CX182" s="357">
        <v>45717</v>
      </c>
      <c r="CY182" s="357">
        <v>45748</v>
      </c>
      <c r="CZ182" s="357">
        <v>45778</v>
      </c>
      <c r="DA182" s="357">
        <v>45809</v>
      </c>
      <c r="DB182" s="357">
        <v>45839</v>
      </c>
      <c r="DC182" s="357">
        <v>45870</v>
      </c>
      <c r="DD182" s="357">
        <v>45901</v>
      </c>
      <c r="DE182" s="357">
        <v>45931</v>
      </c>
      <c r="DF182" s="357">
        <v>45962</v>
      </c>
      <c r="DG182" s="357">
        <v>45992</v>
      </c>
      <c r="DH182" s="357"/>
      <c r="DI182" s="358"/>
      <c r="DJ182" s="357"/>
    </row>
    <row r="183" spans="2:117" ht="13">
      <c r="B183" s="294"/>
      <c r="C183" s="295"/>
      <c r="D183" s="295"/>
      <c r="E183" s="294"/>
      <c r="F183" s="294"/>
      <c r="G183" s="295"/>
      <c r="H183" s="295"/>
      <c r="I183" s="295"/>
      <c r="J183" s="295"/>
      <c r="K183" s="295"/>
      <c r="L183" s="295"/>
      <c r="N183" s="296"/>
      <c r="O183" s="296"/>
      <c r="P183" s="297"/>
      <c r="Q183" s="297"/>
      <c r="R183" s="297"/>
      <c r="S183" s="297"/>
      <c r="T183" s="298"/>
      <c r="U183" s="296"/>
      <c r="V183" s="296"/>
      <c r="W183" s="297"/>
      <c r="X183" s="297"/>
      <c r="Y183" s="297"/>
      <c r="Z183" s="297"/>
      <c r="AA183" s="299"/>
      <c r="AB183" s="296"/>
      <c r="AC183" s="296"/>
      <c r="AD183" s="297"/>
      <c r="AE183" s="297"/>
      <c r="AF183" s="297"/>
      <c r="AG183" s="297"/>
      <c r="AH183" s="295"/>
      <c r="AI183" s="293"/>
      <c r="AJ183" s="293"/>
      <c r="AK183" s="297"/>
      <c r="AL183" s="297"/>
      <c r="AM183" s="297"/>
      <c r="AN183" s="297"/>
      <c r="AO183" s="295"/>
      <c r="CS183" s="356"/>
      <c r="CT183" s="359"/>
      <c r="CU183" s="359" t="s">
        <v>241</v>
      </c>
      <c r="CV183" s="357">
        <v>45658</v>
      </c>
      <c r="CW183" s="357">
        <v>45689</v>
      </c>
      <c r="CX183" s="357">
        <v>45717</v>
      </c>
      <c r="CY183" s="360">
        <v>45748</v>
      </c>
      <c r="CZ183" s="360">
        <v>45778</v>
      </c>
      <c r="DA183" s="360">
        <v>45809</v>
      </c>
      <c r="DB183" s="360">
        <v>45839</v>
      </c>
      <c r="DC183" s="360">
        <v>45870</v>
      </c>
      <c r="DD183" s="360">
        <v>45901</v>
      </c>
      <c r="DE183" s="360">
        <v>45931</v>
      </c>
      <c r="DF183" s="360"/>
      <c r="DG183" s="360"/>
      <c r="DH183" s="357"/>
      <c r="DI183" s="358"/>
      <c r="DJ183" s="357"/>
      <c r="DK183" s="357"/>
      <c r="DL183" s="357"/>
      <c r="DM183" s="357"/>
    </row>
    <row r="184" spans="2:117" ht="13">
      <c r="B184" s="294"/>
      <c r="C184" s="295"/>
      <c r="D184" s="295"/>
      <c r="E184" s="294"/>
      <c r="F184" s="294"/>
      <c r="G184" s="295"/>
      <c r="H184" s="295"/>
      <c r="I184" s="295"/>
      <c r="J184" s="295"/>
      <c r="K184" s="295"/>
      <c r="L184" s="295"/>
      <c r="N184" s="296"/>
      <c r="O184" s="296"/>
      <c r="P184" s="297"/>
      <c r="Q184" s="297"/>
      <c r="R184" s="297"/>
      <c r="S184" s="297"/>
      <c r="T184" s="298"/>
      <c r="U184" s="296"/>
      <c r="V184" s="296"/>
      <c r="W184" s="297"/>
      <c r="X184" s="297"/>
      <c r="Y184" s="297"/>
      <c r="Z184" s="297"/>
      <c r="AA184" s="299"/>
      <c r="AB184" s="296"/>
      <c r="AC184" s="296"/>
      <c r="AD184" s="297"/>
      <c r="AE184" s="297"/>
      <c r="AF184" s="297"/>
      <c r="AG184" s="297"/>
      <c r="AH184" s="295"/>
      <c r="AI184" s="293"/>
      <c r="AJ184" s="293"/>
      <c r="AK184" s="297"/>
      <c r="AL184" s="297"/>
      <c r="AM184" s="297"/>
      <c r="AN184" s="297"/>
      <c r="AO184" s="295"/>
      <c r="CS184" s="356"/>
      <c r="CT184" s="359" t="s">
        <v>241</v>
      </c>
      <c r="CU184" s="361">
        <v>1752048274.8499999</v>
      </c>
      <c r="CV184" s="361">
        <v>171372355.13999999</v>
      </c>
      <c r="CW184" s="361">
        <v>187494425.19</v>
      </c>
      <c r="CX184" s="361">
        <v>150224670.52000001</v>
      </c>
      <c r="CY184" s="361">
        <v>174123307.22999999</v>
      </c>
      <c r="CZ184" s="361">
        <v>194150843.15000001</v>
      </c>
      <c r="DA184" s="361">
        <v>173634780.31</v>
      </c>
      <c r="DB184" s="361">
        <v>177504108.44999999</v>
      </c>
      <c r="DC184" s="361">
        <v>189740744.88</v>
      </c>
      <c r="DD184" s="361">
        <v>151037019.41</v>
      </c>
      <c r="DE184" s="361">
        <v>182766020.56999999</v>
      </c>
      <c r="DF184" s="361"/>
      <c r="DG184" s="361"/>
      <c r="DH184" s="361"/>
      <c r="DI184" s="362"/>
      <c r="DJ184" s="361"/>
      <c r="DK184" s="361"/>
      <c r="DL184" s="361"/>
      <c r="DM184" s="361"/>
    </row>
    <row r="185" spans="2:117" ht="13">
      <c r="B185" s="294"/>
      <c r="C185" s="295"/>
      <c r="D185" s="295"/>
      <c r="E185" s="294"/>
      <c r="F185" s="294"/>
      <c r="G185" s="295"/>
      <c r="H185" s="295"/>
      <c r="I185" s="295"/>
      <c r="J185" s="295"/>
      <c r="K185" s="295"/>
      <c r="L185" s="295"/>
      <c r="M185" s="302"/>
      <c r="N185" s="296"/>
      <c r="O185" s="296"/>
      <c r="P185" s="297"/>
      <c r="Q185" s="297"/>
      <c r="R185" s="297"/>
      <c r="S185" s="297"/>
      <c r="T185" s="298"/>
      <c r="U185" s="296"/>
      <c r="V185" s="296"/>
      <c r="W185" s="297"/>
      <c r="X185" s="297"/>
      <c r="Y185" s="297"/>
      <c r="Z185" s="297"/>
      <c r="AA185" s="299"/>
      <c r="AB185" s="296"/>
      <c r="AC185" s="296"/>
      <c r="AD185" s="297"/>
      <c r="AE185" s="297"/>
      <c r="AF185" s="297"/>
      <c r="AG185" s="297"/>
      <c r="AH185" s="295"/>
      <c r="AI185" s="293"/>
      <c r="AJ185" s="293"/>
      <c r="AK185" s="297"/>
      <c r="AL185" s="297"/>
      <c r="AM185" s="297"/>
      <c r="AN185" s="297"/>
      <c r="AO185" s="295"/>
      <c r="AP185" s="363"/>
      <c r="AQ185" s="363"/>
      <c r="AR185" s="363"/>
      <c r="AS185" s="363"/>
      <c r="AT185" s="363"/>
      <c r="AU185" s="363"/>
      <c r="AV185" s="363"/>
      <c r="AW185" s="363"/>
      <c r="AX185" s="363"/>
      <c r="AY185" s="363"/>
      <c r="AZ185" s="363"/>
      <c r="BA185" s="363"/>
      <c r="BB185" s="363"/>
      <c r="BC185" s="363"/>
      <c r="BD185" s="363"/>
      <c r="BE185" s="363"/>
      <c r="BF185" s="363"/>
      <c r="BG185" s="363"/>
      <c r="BH185" s="363"/>
      <c r="BI185" s="363"/>
      <c r="BJ185" s="363"/>
      <c r="BK185" s="363"/>
      <c r="BL185" s="363"/>
      <c r="BM185" s="363"/>
      <c r="BN185" s="363"/>
      <c r="BO185" s="363"/>
      <c r="BP185" s="363"/>
      <c r="BQ185" s="363"/>
      <c r="BR185" s="363"/>
      <c r="BS185" s="363"/>
      <c r="BT185" s="363"/>
      <c r="BU185" s="363"/>
      <c r="BV185" s="364"/>
      <c r="BW185" s="364"/>
      <c r="BX185" s="364"/>
      <c r="BY185" s="364"/>
      <c r="BZ185" s="364"/>
      <c r="CA185" s="364"/>
      <c r="CB185" s="364"/>
      <c r="CC185" s="364"/>
      <c r="CD185" s="364"/>
      <c r="CE185" s="302"/>
      <c r="CS185" s="356">
        <v>1</v>
      </c>
      <c r="CT185" s="359" t="s">
        <v>66</v>
      </c>
      <c r="CU185" s="361">
        <v>316921514.00999999</v>
      </c>
      <c r="CV185" s="361">
        <v>36046509.299999997</v>
      </c>
      <c r="CW185" s="361">
        <v>35377794.799999997</v>
      </c>
      <c r="CX185" s="361">
        <v>33472717.27</v>
      </c>
      <c r="CY185" s="361">
        <v>35205001.420000002</v>
      </c>
      <c r="CZ185" s="361">
        <v>49537655.049999997</v>
      </c>
      <c r="DA185" s="361">
        <v>36267283.899999999</v>
      </c>
      <c r="DB185" s="361">
        <v>23002250.350000001</v>
      </c>
      <c r="DC185" s="361">
        <v>17284313.23</v>
      </c>
      <c r="DD185" s="361">
        <v>30731264.559999999</v>
      </c>
      <c r="DE185" s="361">
        <v>19996724.140000001</v>
      </c>
      <c r="DF185" s="361"/>
      <c r="DG185" s="361"/>
      <c r="DH185" s="361"/>
      <c r="DI185" s="362"/>
      <c r="DJ185" s="361"/>
      <c r="DK185" s="361"/>
      <c r="DL185" s="361"/>
      <c r="DM185" s="361"/>
    </row>
    <row r="186" spans="2:117" ht="13">
      <c r="B186" s="294"/>
      <c r="C186" s="295"/>
      <c r="D186" s="295"/>
      <c r="E186" s="294"/>
      <c r="F186" s="294"/>
      <c r="G186" s="295"/>
      <c r="H186" s="295"/>
      <c r="I186" s="295"/>
      <c r="J186" s="295"/>
      <c r="K186" s="295"/>
      <c r="L186" s="295"/>
      <c r="M186" s="302"/>
      <c r="N186" s="296"/>
      <c r="O186" s="296"/>
      <c r="P186" s="297"/>
      <c r="Q186" s="297"/>
      <c r="R186" s="297"/>
      <c r="S186" s="297"/>
      <c r="T186" s="298"/>
      <c r="U186" s="296"/>
      <c r="V186" s="296"/>
      <c r="W186" s="297"/>
      <c r="X186" s="297"/>
      <c r="Y186" s="297"/>
      <c r="Z186" s="297"/>
      <c r="AA186" s="299"/>
      <c r="AB186" s="296"/>
      <c r="AC186" s="296"/>
      <c r="AD186" s="297"/>
      <c r="AE186" s="297"/>
      <c r="AF186" s="297"/>
      <c r="AG186" s="297"/>
      <c r="AH186" s="295"/>
      <c r="AI186" s="293"/>
      <c r="AJ186" s="293"/>
      <c r="AK186" s="297"/>
      <c r="AL186" s="297"/>
      <c r="AM186" s="297"/>
      <c r="AN186" s="297"/>
      <c r="AO186" s="295"/>
      <c r="AP186" s="352"/>
      <c r="AQ186" s="352"/>
      <c r="AR186" s="352"/>
      <c r="AS186" s="352"/>
      <c r="AT186" s="352"/>
      <c r="AU186" s="352"/>
      <c r="AV186" s="352"/>
      <c r="AW186" s="352"/>
      <c r="AX186" s="352"/>
      <c r="AY186" s="352"/>
      <c r="AZ186" s="352"/>
      <c r="BA186" s="352"/>
      <c r="BB186" s="352"/>
      <c r="BC186" s="352"/>
      <c r="BD186" s="352"/>
      <c r="BE186" s="352"/>
      <c r="BF186" s="352"/>
      <c r="BG186" s="352"/>
      <c r="BH186" s="352"/>
      <c r="BI186" s="352"/>
      <c r="BJ186" s="352"/>
      <c r="BK186" s="352"/>
      <c r="BL186" s="352"/>
      <c r="BM186" s="352"/>
      <c r="BN186" s="352"/>
      <c r="BO186" s="352"/>
      <c r="BP186" s="352"/>
      <c r="BQ186" s="352"/>
      <c r="BR186" s="352"/>
      <c r="BS186" s="352"/>
      <c r="BT186" s="352"/>
      <c r="BU186" s="352"/>
      <c r="BV186" s="352"/>
      <c r="BW186" s="352"/>
      <c r="BX186" s="352"/>
      <c r="BY186" s="352"/>
      <c r="BZ186" s="352"/>
      <c r="CA186" s="352"/>
      <c r="CB186" s="352"/>
      <c r="CC186" s="352"/>
      <c r="CD186" s="352"/>
      <c r="CE186" s="352"/>
      <c r="CS186" s="356">
        <v>2</v>
      </c>
      <c r="CT186" s="359" t="s">
        <v>67</v>
      </c>
      <c r="CU186" s="361">
        <v>307265725.50999999</v>
      </c>
      <c r="CV186" s="361">
        <v>22679103.390000001</v>
      </c>
      <c r="CW186" s="361">
        <v>31183545.579999998</v>
      </c>
      <c r="CX186" s="361">
        <v>24691745.109999999</v>
      </c>
      <c r="CY186" s="361">
        <v>35459387.240000002</v>
      </c>
      <c r="CZ186" s="361">
        <v>36185085.579999998</v>
      </c>
      <c r="DA186" s="361">
        <v>43024410.57</v>
      </c>
      <c r="DB186" s="361">
        <v>43902997.649999999</v>
      </c>
      <c r="DC186" s="361">
        <v>57462518.5</v>
      </c>
      <c r="DD186" s="361">
        <v>11425889.67</v>
      </c>
      <c r="DE186" s="361">
        <v>1251042.22</v>
      </c>
      <c r="DF186" s="361"/>
      <c r="DG186" s="361"/>
      <c r="DH186" s="361"/>
      <c r="DI186" s="362"/>
      <c r="DJ186" s="361"/>
      <c r="DK186" s="361"/>
      <c r="DL186" s="361"/>
      <c r="DM186" s="361"/>
    </row>
    <row r="187" spans="2:117" ht="13">
      <c r="B187" s="294"/>
      <c r="C187" s="295"/>
      <c r="D187" s="295"/>
      <c r="E187" s="294"/>
      <c r="F187" s="294"/>
      <c r="G187" s="295"/>
      <c r="H187" s="295"/>
      <c r="I187" s="295"/>
      <c r="J187" s="295"/>
      <c r="K187" s="295"/>
      <c r="L187" s="295"/>
      <c r="M187" s="302"/>
      <c r="N187" s="296"/>
      <c r="O187" s="296"/>
      <c r="P187" s="297"/>
      <c r="Q187" s="297"/>
      <c r="R187" s="297"/>
      <c r="S187" s="297"/>
      <c r="T187" s="298"/>
      <c r="U187" s="296"/>
      <c r="V187" s="296"/>
      <c r="W187" s="297"/>
      <c r="X187" s="297"/>
      <c r="Y187" s="297"/>
      <c r="Z187" s="297"/>
      <c r="AA187" s="299"/>
      <c r="AB187" s="296"/>
      <c r="AC187" s="296"/>
      <c r="AD187" s="297"/>
      <c r="AE187" s="297"/>
      <c r="AF187" s="297"/>
      <c r="AG187" s="297"/>
      <c r="AH187" s="295"/>
      <c r="AI187" s="293"/>
      <c r="AJ187" s="293"/>
      <c r="AK187" s="297"/>
      <c r="AL187" s="297"/>
      <c r="AM187" s="297"/>
      <c r="AN187" s="297"/>
      <c r="AO187" s="295"/>
      <c r="AP187" s="352"/>
      <c r="AQ187" s="352"/>
      <c r="AR187" s="352"/>
      <c r="AS187" s="352"/>
      <c r="AT187" s="352"/>
      <c r="AU187" s="352"/>
      <c r="AV187" s="352"/>
      <c r="AW187" s="352"/>
      <c r="AX187" s="352"/>
      <c r="AY187" s="352"/>
      <c r="AZ187" s="352"/>
      <c r="BA187" s="352"/>
      <c r="BB187" s="352"/>
      <c r="BC187" s="352"/>
      <c r="BD187" s="352"/>
      <c r="BE187" s="352"/>
      <c r="BF187" s="352"/>
      <c r="BG187" s="352"/>
      <c r="BH187" s="352"/>
      <c r="BI187" s="352"/>
      <c r="BJ187" s="352"/>
      <c r="BK187" s="352"/>
      <c r="BL187" s="352"/>
      <c r="BM187" s="352"/>
      <c r="BN187" s="352"/>
      <c r="BO187" s="352"/>
      <c r="BP187" s="352"/>
      <c r="BQ187" s="352"/>
      <c r="BR187" s="352"/>
      <c r="BS187" s="352"/>
      <c r="BT187" s="352"/>
      <c r="BU187" s="352"/>
      <c r="BV187" s="352"/>
      <c r="BW187" s="352"/>
      <c r="BX187" s="352"/>
      <c r="BY187" s="352"/>
      <c r="BZ187" s="352"/>
      <c r="CA187" s="352"/>
      <c r="CB187" s="352"/>
      <c r="CC187" s="352"/>
      <c r="CD187" s="352"/>
      <c r="CE187" s="352"/>
      <c r="CS187" s="356">
        <v>3</v>
      </c>
      <c r="CT187" s="359" t="s">
        <v>68</v>
      </c>
      <c r="CU187" s="361">
        <v>93091192.140000001</v>
      </c>
      <c r="CV187" s="361">
        <v>8335778.6699999999</v>
      </c>
      <c r="CW187" s="361">
        <v>10702846.210000001</v>
      </c>
      <c r="CX187" s="361">
        <v>10664073.060000001</v>
      </c>
      <c r="CY187" s="361">
        <v>11592275.67</v>
      </c>
      <c r="CZ187" s="361">
        <v>13298847.380000001</v>
      </c>
      <c r="DA187" s="361">
        <v>10774317.029999999</v>
      </c>
      <c r="DB187" s="361">
        <v>12302508.59</v>
      </c>
      <c r="DC187" s="361">
        <v>6460273.0099999998</v>
      </c>
      <c r="DD187" s="361">
        <v>4608327.6100000003</v>
      </c>
      <c r="DE187" s="361">
        <v>4351944.93</v>
      </c>
      <c r="DF187" s="361"/>
      <c r="DG187" s="361"/>
      <c r="DH187" s="361"/>
      <c r="DI187" s="362"/>
      <c r="DJ187" s="361"/>
      <c r="DK187" s="361"/>
      <c r="DL187" s="361"/>
      <c r="DM187" s="361"/>
    </row>
    <row r="188" spans="2:117" ht="13">
      <c r="B188" s="294"/>
      <c r="C188" s="295"/>
      <c r="D188" s="295"/>
      <c r="E188" s="294"/>
      <c r="F188" s="294"/>
      <c r="G188" s="295"/>
      <c r="H188" s="295"/>
      <c r="I188" s="295"/>
      <c r="J188" s="295"/>
      <c r="K188" s="295"/>
      <c r="L188" s="295"/>
      <c r="M188" s="302"/>
      <c r="N188" s="296"/>
      <c r="O188" s="296"/>
      <c r="P188" s="297"/>
      <c r="Q188" s="297"/>
      <c r="R188" s="297"/>
      <c r="S188" s="297"/>
      <c r="T188" s="298"/>
      <c r="U188" s="296"/>
      <c r="V188" s="296"/>
      <c r="W188" s="297"/>
      <c r="X188" s="297"/>
      <c r="Y188" s="297"/>
      <c r="Z188" s="297"/>
      <c r="AA188" s="299"/>
      <c r="AB188" s="296"/>
      <c r="AC188" s="296"/>
      <c r="AD188" s="297"/>
      <c r="AE188" s="297"/>
      <c r="AF188" s="297"/>
      <c r="AG188" s="297"/>
      <c r="AH188" s="295"/>
      <c r="AI188" s="293"/>
      <c r="AJ188" s="293"/>
      <c r="AK188" s="297"/>
      <c r="AL188" s="297"/>
      <c r="AM188" s="297"/>
      <c r="AN188" s="297"/>
      <c r="AO188" s="295"/>
      <c r="AP188" s="352"/>
      <c r="AQ188" s="352"/>
      <c r="AR188" s="352"/>
      <c r="AS188" s="352"/>
      <c r="AT188" s="352"/>
      <c r="AU188" s="352"/>
      <c r="AV188" s="352"/>
      <c r="AW188" s="352"/>
      <c r="AX188" s="352"/>
      <c r="AY188" s="352"/>
      <c r="AZ188" s="352"/>
      <c r="BA188" s="352"/>
      <c r="BB188" s="352"/>
      <c r="BC188" s="352"/>
      <c r="BD188" s="352"/>
      <c r="BE188" s="352"/>
      <c r="BF188" s="352"/>
      <c r="BG188" s="352"/>
      <c r="BH188" s="352"/>
      <c r="BI188" s="352"/>
      <c r="BJ188" s="352"/>
      <c r="BK188" s="352"/>
      <c r="BL188" s="352"/>
      <c r="BM188" s="352"/>
      <c r="BN188" s="352"/>
      <c r="BO188" s="352"/>
      <c r="BP188" s="352"/>
      <c r="BQ188" s="352"/>
      <c r="BR188" s="352"/>
      <c r="BS188" s="352"/>
      <c r="BT188" s="352"/>
      <c r="BU188" s="352"/>
      <c r="BV188" s="352"/>
      <c r="BW188" s="352"/>
      <c r="BX188" s="352"/>
      <c r="BY188" s="352"/>
      <c r="BZ188" s="352"/>
      <c r="CA188" s="352"/>
      <c r="CB188" s="352"/>
      <c r="CC188" s="352"/>
      <c r="CD188" s="352"/>
      <c r="CE188" s="352"/>
      <c r="CS188" s="356">
        <v>4</v>
      </c>
      <c r="CT188" s="323" t="s">
        <v>238</v>
      </c>
      <c r="CU188" s="361">
        <v>77813173.040000007</v>
      </c>
      <c r="CV188" s="361">
        <v>7670935.5999999996</v>
      </c>
      <c r="CW188" s="361">
        <v>5857080</v>
      </c>
      <c r="CX188" s="361">
        <v>6881906.9299999997</v>
      </c>
      <c r="CY188" s="361">
        <v>7334222.9800000004</v>
      </c>
      <c r="CZ188" s="361">
        <v>9492429.0399999991</v>
      </c>
      <c r="DA188" s="361">
        <v>6754073.7199999997</v>
      </c>
      <c r="DB188" s="361">
        <v>7553366.3499999996</v>
      </c>
      <c r="DC188" s="361">
        <v>8532514.5299999993</v>
      </c>
      <c r="DD188" s="361">
        <v>3946483.32</v>
      </c>
      <c r="DE188" s="361">
        <v>13790160.58</v>
      </c>
      <c r="DF188" s="361"/>
      <c r="DG188" s="361"/>
      <c r="DH188" s="361"/>
      <c r="DI188" s="362"/>
      <c r="DJ188" s="361"/>
      <c r="DK188" s="361"/>
      <c r="DL188" s="361"/>
      <c r="DM188" s="361"/>
    </row>
    <row r="189" spans="2:117" ht="13">
      <c r="B189" s="294"/>
      <c r="C189" s="295"/>
      <c r="D189" s="295"/>
      <c r="E189" s="294"/>
      <c r="F189" s="294"/>
      <c r="G189" s="295"/>
      <c r="H189" s="295"/>
      <c r="I189" s="295"/>
      <c r="J189" s="295"/>
      <c r="K189" s="295"/>
      <c r="L189" s="295"/>
      <c r="M189" s="302"/>
      <c r="N189" s="296"/>
      <c r="O189" s="296"/>
      <c r="P189" s="297"/>
      <c r="Q189" s="297"/>
      <c r="R189" s="297"/>
      <c r="S189" s="297"/>
      <c r="T189" s="298"/>
      <c r="U189" s="296"/>
      <c r="V189" s="296"/>
      <c r="W189" s="297"/>
      <c r="X189" s="297"/>
      <c r="Y189" s="297"/>
      <c r="Z189" s="297"/>
      <c r="AA189" s="299"/>
      <c r="AB189" s="296"/>
      <c r="AC189" s="296"/>
      <c r="AD189" s="297"/>
      <c r="AE189" s="297"/>
      <c r="AF189" s="297"/>
      <c r="AG189" s="297"/>
      <c r="AH189" s="295"/>
      <c r="AI189" s="293"/>
      <c r="AJ189" s="293"/>
      <c r="AK189" s="297"/>
      <c r="AL189" s="297"/>
      <c r="AM189" s="297"/>
      <c r="AN189" s="297"/>
      <c r="AO189" s="295"/>
      <c r="AP189" s="352"/>
      <c r="AQ189" s="352"/>
      <c r="AR189" s="352"/>
      <c r="AS189" s="352"/>
      <c r="AT189" s="352"/>
      <c r="AU189" s="352"/>
      <c r="AV189" s="352"/>
      <c r="AW189" s="352"/>
      <c r="AX189" s="302"/>
      <c r="AY189" s="302"/>
      <c r="AZ189" s="302"/>
      <c r="BA189" s="302"/>
      <c r="BB189" s="352"/>
      <c r="BC189" s="352"/>
      <c r="BD189" s="352"/>
      <c r="BE189" s="352"/>
      <c r="BF189" s="352"/>
      <c r="BG189" s="352"/>
      <c r="BH189" s="352"/>
      <c r="BI189" s="352"/>
      <c r="BJ189" s="352"/>
      <c r="BK189" s="352"/>
      <c r="BL189" s="352"/>
      <c r="BM189" s="352"/>
      <c r="BN189" s="352"/>
      <c r="BO189" s="352"/>
      <c r="BP189" s="352"/>
      <c r="BQ189" s="352"/>
      <c r="BR189" s="352"/>
      <c r="BS189" s="352"/>
      <c r="BT189" s="352"/>
      <c r="BU189" s="352"/>
      <c r="BV189" s="352"/>
      <c r="BW189" s="352"/>
      <c r="BX189" s="352"/>
      <c r="BY189" s="352"/>
      <c r="BZ189" s="352"/>
      <c r="CA189" s="352"/>
      <c r="CB189" s="352"/>
      <c r="CC189" s="352"/>
      <c r="CD189" s="352"/>
      <c r="CE189" s="352"/>
      <c r="CS189" s="356">
        <v>5</v>
      </c>
      <c r="CT189" s="359" t="s">
        <v>72</v>
      </c>
      <c r="CU189" s="361">
        <v>48934931.200000003</v>
      </c>
      <c r="CV189" s="361">
        <v>7196480.0599999996</v>
      </c>
      <c r="CW189" s="361">
        <v>12747621.210000001</v>
      </c>
      <c r="CX189" s="361">
        <v>1305404.9099999999</v>
      </c>
      <c r="CY189" s="361">
        <v>0</v>
      </c>
      <c r="CZ189" s="361">
        <v>13078707.720000001</v>
      </c>
      <c r="DA189" s="361">
        <v>2988980.69</v>
      </c>
      <c r="DB189" s="361">
        <v>773797.55</v>
      </c>
      <c r="DC189" s="361">
        <v>3270032.03</v>
      </c>
      <c r="DD189" s="361">
        <v>1704569.35</v>
      </c>
      <c r="DE189" s="361">
        <v>5869337.6900000004</v>
      </c>
      <c r="DF189" s="361"/>
      <c r="DG189" s="361"/>
      <c r="DH189" s="361"/>
      <c r="DI189" s="362"/>
      <c r="DJ189" s="361"/>
      <c r="DK189" s="361"/>
      <c r="DL189" s="361"/>
      <c r="DM189" s="361"/>
    </row>
    <row r="190" spans="2:117" ht="13">
      <c r="B190" s="294"/>
      <c r="C190" s="295"/>
      <c r="D190" s="295"/>
      <c r="E190" s="294"/>
      <c r="F190" s="294"/>
      <c r="G190" s="295"/>
      <c r="H190" s="295"/>
      <c r="I190" s="295"/>
      <c r="J190" s="295"/>
      <c r="K190" s="295"/>
      <c r="L190" s="295"/>
      <c r="M190" s="302"/>
      <c r="N190" s="296"/>
      <c r="O190" s="296"/>
      <c r="P190" s="297"/>
      <c r="Q190" s="297"/>
      <c r="R190" s="297"/>
      <c r="S190" s="297"/>
      <c r="T190" s="298"/>
      <c r="U190" s="296"/>
      <c r="V190" s="296"/>
      <c r="W190" s="297"/>
      <c r="X190" s="297"/>
      <c r="Y190" s="297"/>
      <c r="Z190" s="297"/>
      <c r="AA190" s="299"/>
      <c r="AB190" s="296"/>
      <c r="AC190" s="296"/>
      <c r="AD190" s="297"/>
      <c r="AE190" s="297"/>
      <c r="AF190" s="297"/>
      <c r="AG190" s="297"/>
      <c r="AH190" s="295"/>
      <c r="AI190" s="293"/>
      <c r="AJ190" s="293"/>
      <c r="AK190" s="297"/>
      <c r="AL190" s="297"/>
      <c r="AM190" s="297"/>
      <c r="AN190" s="297"/>
      <c r="AO190" s="295"/>
      <c r="AP190" s="352"/>
      <c r="AQ190" s="352"/>
      <c r="AR190" s="352"/>
      <c r="AS190" s="352"/>
      <c r="AT190" s="352"/>
      <c r="AU190" s="352"/>
      <c r="AV190" s="352"/>
      <c r="AW190" s="352"/>
      <c r="AX190" s="352"/>
      <c r="AY190" s="352"/>
      <c r="AZ190" s="352"/>
      <c r="BA190" s="352"/>
      <c r="BB190" s="352"/>
      <c r="BC190" s="352"/>
      <c r="BD190" s="352"/>
      <c r="BE190" s="352"/>
      <c r="BF190" s="352"/>
      <c r="BG190" s="352"/>
      <c r="BH190" s="352"/>
      <c r="BI190" s="352"/>
      <c r="BJ190" s="352"/>
      <c r="BK190" s="352"/>
      <c r="BL190" s="352"/>
      <c r="BM190" s="352"/>
      <c r="BN190" s="352"/>
      <c r="BO190" s="352"/>
      <c r="BP190" s="352"/>
      <c r="BQ190" s="352"/>
      <c r="BR190" s="352"/>
      <c r="BS190" s="352"/>
      <c r="BT190" s="352"/>
      <c r="BU190" s="352"/>
      <c r="BV190" s="352"/>
      <c r="BW190" s="352"/>
      <c r="BX190" s="352"/>
      <c r="BY190" s="352"/>
      <c r="BZ190" s="352"/>
      <c r="CA190" s="352"/>
      <c r="CB190" s="352"/>
      <c r="CC190" s="352"/>
      <c r="CD190" s="352"/>
      <c r="CE190" s="352"/>
      <c r="CS190" s="356">
        <v>6</v>
      </c>
      <c r="CT190" s="359" t="s">
        <v>85</v>
      </c>
      <c r="CU190" s="361">
        <v>47447232.229999997</v>
      </c>
      <c r="CV190" s="361">
        <v>4964299.99</v>
      </c>
      <c r="CW190" s="361">
        <v>4156337.03</v>
      </c>
      <c r="CX190" s="361">
        <v>4717091.97</v>
      </c>
      <c r="CY190" s="361">
        <v>3679067.34</v>
      </c>
      <c r="CZ190" s="361">
        <v>3963899.02</v>
      </c>
      <c r="DA190" s="361">
        <v>5127306.92</v>
      </c>
      <c r="DB190" s="361">
        <v>6672224.7000000002</v>
      </c>
      <c r="DC190" s="361">
        <v>6916577.4400000004</v>
      </c>
      <c r="DD190" s="361">
        <v>4141305.16</v>
      </c>
      <c r="DE190" s="361">
        <v>3109122.66</v>
      </c>
      <c r="DF190" s="361"/>
      <c r="DG190" s="361"/>
      <c r="DH190" s="361"/>
      <c r="DI190" s="362"/>
      <c r="DJ190" s="361"/>
      <c r="DK190" s="361"/>
      <c r="DL190" s="361"/>
      <c r="DM190" s="361"/>
    </row>
    <row r="191" spans="2:117" ht="13">
      <c r="B191" s="294"/>
      <c r="C191" s="295"/>
      <c r="D191" s="295"/>
      <c r="E191" s="294"/>
      <c r="F191" s="294"/>
      <c r="G191" s="295"/>
      <c r="H191" s="295"/>
      <c r="I191" s="295"/>
      <c r="J191" s="295"/>
      <c r="K191" s="295"/>
      <c r="L191" s="295"/>
      <c r="M191" s="302"/>
      <c r="N191" s="296"/>
      <c r="O191" s="296"/>
      <c r="P191" s="297"/>
      <c r="Q191" s="297"/>
      <c r="R191" s="297"/>
      <c r="S191" s="297"/>
      <c r="T191" s="298"/>
      <c r="U191" s="296"/>
      <c r="V191" s="296"/>
      <c r="W191" s="297"/>
      <c r="X191" s="297"/>
      <c r="Y191" s="297"/>
      <c r="Z191" s="297"/>
      <c r="AA191" s="299"/>
      <c r="AB191" s="296"/>
      <c r="AC191" s="296"/>
      <c r="AD191" s="297"/>
      <c r="AE191" s="297"/>
      <c r="AF191" s="297"/>
      <c r="AG191" s="297"/>
      <c r="AH191" s="295"/>
      <c r="AI191" s="293"/>
      <c r="AJ191" s="293"/>
      <c r="AK191" s="297"/>
      <c r="AL191" s="297"/>
      <c r="AM191" s="297"/>
      <c r="AN191" s="297"/>
      <c r="AO191" s="295"/>
      <c r="AP191" s="352"/>
      <c r="AQ191" s="352"/>
      <c r="AR191" s="352"/>
      <c r="AS191" s="352"/>
      <c r="AT191" s="352"/>
      <c r="AU191" s="352"/>
      <c r="AV191" s="352"/>
      <c r="AW191" s="352"/>
      <c r="AX191" s="352"/>
      <c r="AY191" s="352"/>
      <c r="AZ191" s="352"/>
      <c r="BA191" s="352"/>
      <c r="BB191" s="352"/>
      <c r="BC191" s="352"/>
      <c r="BD191" s="352"/>
      <c r="BE191" s="352"/>
      <c r="BF191" s="352"/>
      <c r="BG191" s="352"/>
      <c r="BH191" s="352"/>
      <c r="BI191" s="352"/>
      <c r="BJ191" s="352"/>
      <c r="BK191" s="352"/>
      <c r="BL191" s="352"/>
      <c r="BM191" s="352"/>
      <c r="BN191" s="352"/>
      <c r="BO191" s="352"/>
      <c r="BP191" s="352"/>
      <c r="BQ191" s="352"/>
      <c r="BR191" s="352"/>
      <c r="BS191" s="352"/>
      <c r="BT191" s="352"/>
      <c r="BU191" s="352"/>
      <c r="BV191" s="352"/>
      <c r="BW191" s="352"/>
      <c r="BX191" s="352"/>
      <c r="BY191" s="352"/>
      <c r="BZ191" s="352"/>
      <c r="CA191" s="352"/>
      <c r="CB191" s="352"/>
      <c r="CC191" s="352"/>
      <c r="CD191" s="352"/>
      <c r="CE191" s="352"/>
      <c r="CS191" s="356">
        <v>7</v>
      </c>
      <c r="CT191" s="359" t="s">
        <v>233</v>
      </c>
      <c r="CU191" s="361">
        <v>46230522.469999999</v>
      </c>
      <c r="CV191" s="361">
        <v>7508894.2999999998</v>
      </c>
      <c r="CW191" s="361">
        <v>7330830.0499999998</v>
      </c>
      <c r="CX191" s="361">
        <v>3470455.42</v>
      </c>
      <c r="CY191" s="361">
        <v>8355298.1799999997</v>
      </c>
      <c r="CZ191" s="361">
        <v>4442564.6900000004</v>
      </c>
      <c r="DA191" s="361">
        <v>2994973.27</v>
      </c>
      <c r="DB191" s="361">
        <v>4203259.22</v>
      </c>
      <c r="DC191" s="361">
        <v>3751607.24</v>
      </c>
      <c r="DD191" s="361">
        <v>3033457.35</v>
      </c>
      <c r="DE191" s="361">
        <v>1139182.75</v>
      </c>
      <c r="DF191" s="361"/>
      <c r="DG191" s="361"/>
      <c r="DH191" s="361"/>
      <c r="DI191" s="362"/>
      <c r="DJ191" s="361"/>
      <c r="DK191" s="361"/>
      <c r="DL191" s="361"/>
      <c r="DM191" s="361"/>
    </row>
    <row r="192" spans="2:117" ht="13">
      <c r="B192" s="294"/>
      <c r="C192" s="295"/>
      <c r="D192" s="295"/>
      <c r="E192" s="294"/>
      <c r="F192" s="294"/>
      <c r="G192" s="295"/>
      <c r="H192" s="295"/>
      <c r="I192" s="295"/>
      <c r="J192" s="295"/>
      <c r="K192" s="295"/>
      <c r="L192" s="295"/>
      <c r="M192" s="302"/>
      <c r="N192" s="296"/>
      <c r="O192" s="296"/>
      <c r="P192" s="297"/>
      <c r="Q192" s="297"/>
      <c r="R192" s="297"/>
      <c r="S192" s="297"/>
      <c r="T192" s="298"/>
      <c r="U192" s="296"/>
      <c r="V192" s="296"/>
      <c r="W192" s="297"/>
      <c r="X192" s="297"/>
      <c r="Y192" s="297"/>
      <c r="Z192" s="297"/>
      <c r="AA192" s="299"/>
      <c r="AB192" s="296"/>
      <c r="AC192" s="296"/>
      <c r="AD192" s="297"/>
      <c r="AE192" s="297"/>
      <c r="AF192" s="297"/>
      <c r="AG192" s="297"/>
      <c r="AH192" s="295"/>
      <c r="AI192" s="293"/>
      <c r="AJ192" s="293"/>
      <c r="AK192" s="297"/>
      <c r="AL192" s="297"/>
      <c r="AM192" s="297"/>
      <c r="AN192" s="297"/>
      <c r="AO192" s="295"/>
      <c r="AP192" s="352"/>
      <c r="AQ192" s="352"/>
      <c r="AR192" s="352"/>
      <c r="AS192" s="352"/>
      <c r="AT192" s="352"/>
      <c r="AU192" s="352"/>
      <c r="AV192" s="352"/>
      <c r="AW192" s="352"/>
      <c r="AX192" s="352"/>
      <c r="AY192" s="352"/>
      <c r="AZ192" s="352"/>
      <c r="BA192" s="352"/>
      <c r="BB192" s="352"/>
      <c r="BC192" s="352"/>
      <c r="BD192" s="352"/>
      <c r="BE192" s="352"/>
      <c r="BF192" s="352"/>
      <c r="BG192" s="352"/>
      <c r="BH192" s="352"/>
      <c r="BI192" s="352"/>
      <c r="BJ192" s="352"/>
      <c r="BK192" s="352"/>
      <c r="BL192" s="352"/>
      <c r="BM192" s="352"/>
      <c r="BN192" s="352"/>
      <c r="BO192" s="352"/>
      <c r="BP192" s="352"/>
      <c r="BQ192" s="352"/>
      <c r="BR192" s="352"/>
      <c r="BS192" s="352"/>
      <c r="BT192" s="352"/>
      <c r="BU192" s="352"/>
      <c r="BV192" s="352"/>
      <c r="BW192" s="352"/>
      <c r="BX192" s="352"/>
      <c r="BY192" s="352"/>
      <c r="BZ192" s="352"/>
      <c r="CA192" s="352"/>
      <c r="CB192" s="352"/>
      <c r="CC192" s="352"/>
      <c r="CD192" s="352"/>
      <c r="CE192" s="352"/>
      <c r="CS192" s="356">
        <v>8</v>
      </c>
      <c r="CT192" s="359" t="s">
        <v>76</v>
      </c>
      <c r="CU192" s="361">
        <v>45014215.399999999</v>
      </c>
      <c r="CV192" s="361">
        <v>3539593.69</v>
      </c>
      <c r="CW192" s="361">
        <v>8572651.0700000003</v>
      </c>
      <c r="CX192" s="361">
        <v>3345431.97</v>
      </c>
      <c r="CY192" s="361">
        <v>3479368.96</v>
      </c>
      <c r="CZ192" s="361">
        <v>3715085.45</v>
      </c>
      <c r="DA192" s="361">
        <v>2034877.4</v>
      </c>
      <c r="DB192" s="361">
        <v>7046552.6699999999</v>
      </c>
      <c r="DC192" s="361">
        <v>5536190.1200000001</v>
      </c>
      <c r="DD192" s="361">
        <v>3549071.76</v>
      </c>
      <c r="DE192" s="361">
        <v>4195392.32</v>
      </c>
      <c r="DF192" s="361"/>
      <c r="DG192" s="361"/>
      <c r="DH192" s="361"/>
      <c r="DI192" s="362"/>
      <c r="DJ192" s="361"/>
      <c r="DK192" s="361"/>
      <c r="DL192" s="361"/>
      <c r="DM192" s="361"/>
    </row>
    <row r="193" spans="2:117" ht="13">
      <c r="B193" s="294"/>
      <c r="C193" s="295"/>
      <c r="D193" s="295"/>
      <c r="E193" s="294"/>
      <c r="F193" s="294"/>
      <c r="G193" s="295"/>
      <c r="H193" s="295"/>
      <c r="I193" s="295"/>
      <c r="J193" s="295"/>
      <c r="K193" s="295"/>
      <c r="L193" s="295"/>
      <c r="M193" s="302"/>
      <c r="N193" s="296"/>
      <c r="O193" s="296"/>
      <c r="P193" s="297"/>
      <c r="Q193" s="297"/>
      <c r="R193" s="297"/>
      <c r="S193" s="297"/>
      <c r="T193" s="298"/>
      <c r="U193" s="296"/>
      <c r="V193" s="296"/>
      <c r="W193" s="297"/>
      <c r="X193" s="297"/>
      <c r="Y193" s="297"/>
      <c r="Z193" s="297"/>
      <c r="AA193" s="299"/>
      <c r="AB193" s="296"/>
      <c r="AC193" s="296"/>
      <c r="AD193" s="297"/>
      <c r="AE193" s="297"/>
      <c r="AF193" s="297"/>
      <c r="AG193" s="297"/>
      <c r="AH193" s="295"/>
      <c r="AI193" s="293"/>
      <c r="AJ193" s="293"/>
      <c r="AK193" s="297"/>
      <c r="AL193" s="297"/>
      <c r="AM193" s="297"/>
      <c r="AN193" s="297"/>
      <c r="AO193" s="295"/>
      <c r="AP193" s="352"/>
      <c r="AQ193" s="352"/>
      <c r="AR193" s="352"/>
      <c r="AS193" s="352"/>
      <c r="AT193" s="352"/>
      <c r="AU193" s="352"/>
      <c r="AV193" s="352"/>
      <c r="AW193" s="352"/>
      <c r="AX193" s="352"/>
      <c r="AY193" s="352"/>
      <c r="AZ193" s="352"/>
      <c r="BA193" s="352"/>
      <c r="BB193" s="352"/>
      <c r="BC193" s="352"/>
      <c r="BD193" s="352"/>
      <c r="BE193" s="352"/>
      <c r="BF193" s="352"/>
      <c r="BG193" s="352"/>
      <c r="BH193" s="352"/>
      <c r="BI193" s="352"/>
      <c r="BJ193" s="352"/>
      <c r="BK193" s="352"/>
      <c r="BL193" s="352"/>
      <c r="BM193" s="352"/>
      <c r="BN193" s="352"/>
      <c r="BO193" s="352"/>
      <c r="BP193" s="352"/>
      <c r="BQ193" s="352"/>
      <c r="BR193" s="352"/>
      <c r="BS193" s="352"/>
      <c r="BT193" s="352"/>
      <c r="BU193" s="352"/>
      <c r="BV193" s="352"/>
      <c r="BW193" s="352"/>
      <c r="BX193" s="352"/>
      <c r="BY193" s="352"/>
      <c r="BZ193" s="352"/>
      <c r="CA193" s="352"/>
      <c r="CB193" s="352"/>
      <c r="CC193" s="352"/>
      <c r="CD193" s="352"/>
      <c r="CE193" s="352"/>
      <c r="CS193" s="356">
        <v>9</v>
      </c>
      <c r="CT193" s="359" t="s">
        <v>64</v>
      </c>
      <c r="CU193" s="361">
        <v>33608226.350000001</v>
      </c>
      <c r="CV193" s="361">
        <v>2752318.26</v>
      </c>
      <c r="CW193" s="361">
        <v>4512459.99</v>
      </c>
      <c r="CX193" s="361">
        <v>1444886.5</v>
      </c>
      <c r="CY193" s="361">
        <v>2873517.42</v>
      </c>
      <c r="CZ193" s="361">
        <v>1014071.25</v>
      </c>
      <c r="DA193" s="361">
        <v>1557845.59</v>
      </c>
      <c r="DB193" s="361">
        <v>3428196.95</v>
      </c>
      <c r="DC193" s="361">
        <v>0</v>
      </c>
      <c r="DD193" s="361">
        <v>2945222.9</v>
      </c>
      <c r="DE193" s="361">
        <v>13079707.49</v>
      </c>
      <c r="DF193" s="361"/>
      <c r="DG193" s="361"/>
      <c r="DH193" s="361"/>
      <c r="DI193" s="362"/>
      <c r="DJ193" s="361"/>
      <c r="DK193" s="361"/>
      <c r="DL193" s="361"/>
      <c r="DM193" s="361"/>
    </row>
    <row r="194" spans="2:117" ht="13">
      <c r="B194" s="294"/>
      <c r="C194" s="295"/>
      <c r="D194" s="295"/>
      <c r="E194" s="294"/>
      <c r="F194" s="294"/>
      <c r="G194" s="295"/>
      <c r="H194" s="295"/>
      <c r="I194" s="295"/>
      <c r="J194" s="295"/>
      <c r="K194" s="295"/>
      <c r="L194" s="295"/>
      <c r="M194" s="302"/>
      <c r="N194" s="296"/>
      <c r="O194" s="296"/>
      <c r="P194" s="297"/>
      <c r="Q194" s="297"/>
      <c r="R194" s="297"/>
      <c r="S194" s="297"/>
      <c r="T194" s="298"/>
      <c r="U194" s="296"/>
      <c r="V194" s="296"/>
      <c r="W194" s="297"/>
      <c r="X194" s="297"/>
      <c r="Y194" s="297"/>
      <c r="Z194" s="297"/>
      <c r="AA194" s="299"/>
      <c r="AB194" s="296"/>
      <c r="AC194" s="296"/>
      <c r="AD194" s="297"/>
      <c r="AE194" s="297"/>
      <c r="AF194" s="297"/>
      <c r="AG194" s="297"/>
      <c r="AH194" s="295"/>
      <c r="AI194" s="293"/>
      <c r="AJ194" s="293"/>
      <c r="AK194" s="297"/>
      <c r="AL194" s="297"/>
      <c r="AM194" s="297"/>
      <c r="AN194" s="297"/>
      <c r="AO194" s="295"/>
      <c r="AP194" s="302"/>
      <c r="AQ194" s="302"/>
      <c r="AR194" s="302"/>
      <c r="AS194" s="302"/>
      <c r="AT194" s="352"/>
      <c r="AU194" s="352"/>
      <c r="AV194" s="352"/>
      <c r="AW194" s="352"/>
      <c r="AX194" s="352"/>
      <c r="AY194" s="352"/>
      <c r="AZ194" s="352"/>
      <c r="BA194" s="352"/>
      <c r="BB194" s="352"/>
      <c r="BC194" s="352"/>
      <c r="BD194" s="352"/>
      <c r="BE194" s="352"/>
      <c r="BF194" s="352"/>
      <c r="BG194" s="352"/>
      <c r="BH194" s="352"/>
      <c r="BI194" s="352"/>
      <c r="BJ194" s="352"/>
      <c r="BK194" s="352"/>
      <c r="BL194" s="352"/>
      <c r="BM194" s="352"/>
      <c r="BN194" s="352"/>
      <c r="BO194" s="352"/>
      <c r="BP194" s="352"/>
      <c r="BQ194" s="352"/>
      <c r="BR194" s="352"/>
      <c r="BS194" s="352"/>
      <c r="BT194" s="352"/>
      <c r="BU194" s="352"/>
      <c r="BV194" s="352"/>
      <c r="BW194" s="352"/>
      <c r="BX194" s="352"/>
      <c r="BY194" s="352"/>
      <c r="BZ194" s="352"/>
      <c r="CA194" s="352"/>
      <c r="CB194" s="352"/>
      <c r="CC194" s="352"/>
      <c r="CD194" s="352"/>
      <c r="CE194" s="352"/>
      <c r="CS194" s="356">
        <v>10</v>
      </c>
      <c r="CT194" s="359" t="s">
        <v>108</v>
      </c>
      <c r="CU194" s="361">
        <v>31948985.390000001</v>
      </c>
      <c r="CV194" s="361">
        <v>4860971.62</v>
      </c>
      <c r="CW194" s="361">
        <v>3588312.26</v>
      </c>
      <c r="CX194" s="361">
        <v>3717283.35</v>
      </c>
      <c r="CY194" s="361">
        <v>2628601.2599999998</v>
      </c>
      <c r="CZ194" s="361">
        <v>2430395.36</v>
      </c>
      <c r="DA194" s="361">
        <v>1808579.18</v>
      </c>
      <c r="DB194" s="361">
        <v>2371055.1800000002</v>
      </c>
      <c r="DC194" s="361">
        <v>1956908.83</v>
      </c>
      <c r="DD194" s="361">
        <v>3366704.91</v>
      </c>
      <c r="DE194" s="361">
        <v>5220173.45</v>
      </c>
      <c r="DF194" s="361"/>
      <c r="DG194" s="361"/>
      <c r="DH194" s="361"/>
      <c r="DI194" s="362"/>
      <c r="DJ194" s="361"/>
      <c r="DK194" s="361"/>
      <c r="DL194" s="361"/>
      <c r="DM194" s="361"/>
    </row>
    <row r="195" spans="2:117" ht="13">
      <c r="B195" s="294"/>
      <c r="C195" s="295"/>
      <c r="D195" s="295"/>
      <c r="E195" s="294"/>
      <c r="F195" s="294"/>
      <c r="G195" s="295"/>
      <c r="H195" s="295"/>
      <c r="I195" s="295"/>
      <c r="J195" s="295"/>
      <c r="K195" s="295"/>
      <c r="L195" s="295"/>
      <c r="M195" s="302"/>
      <c r="N195" s="296"/>
      <c r="O195" s="296"/>
      <c r="P195" s="297"/>
      <c r="Q195" s="297"/>
      <c r="R195" s="297"/>
      <c r="S195" s="297"/>
      <c r="T195" s="298"/>
      <c r="U195" s="296"/>
      <c r="V195" s="296"/>
      <c r="W195" s="297"/>
      <c r="X195" s="297"/>
      <c r="Y195" s="297"/>
      <c r="Z195" s="297"/>
      <c r="AA195" s="299"/>
      <c r="AB195" s="296"/>
      <c r="AC195" s="296"/>
      <c r="AD195" s="297"/>
      <c r="AE195" s="297"/>
      <c r="AF195" s="297"/>
      <c r="AG195" s="297"/>
      <c r="AH195" s="295"/>
      <c r="AI195" s="293"/>
      <c r="AJ195" s="293"/>
      <c r="AK195" s="297"/>
      <c r="AL195" s="297"/>
      <c r="AM195" s="297"/>
      <c r="AN195" s="297"/>
      <c r="AO195" s="295"/>
      <c r="AP195" s="352"/>
      <c r="AQ195" s="352"/>
      <c r="AR195" s="352"/>
      <c r="AS195" s="352"/>
      <c r="AT195" s="352"/>
      <c r="AU195" s="352"/>
      <c r="AV195" s="352"/>
      <c r="AW195" s="352"/>
      <c r="AX195" s="352"/>
      <c r="AY195" s="352"/>
      <c r="AZ195" s="352"/>
      <c r="BA195" s="352"/>
      <c r="BB195" s="352"/>
      <c r="BC195" s="352"/>
      <c r="BD195" s="352"/>
      <c r="BE195" s="352"/>
      <c r="BF195" s="352"/>
      <c r="BG195" s="352"/>
      <c r="BH195" s="352"/>
      <c r="BI195" s="352"/>
      <c r="BJ195" s="352"/>
      <c r="BK195" s="352"/>
      <c r="BL195" s="352"/>
      <c r="BM195" s="352"/>
      <c r="BN195" s="352"/>
      <c r="BO195" s="352"/>
      <c r="BP195" s="352"/>
      <c r="BQ195" s="352"/>
      <c r="BR195" s="352"/>
      <c r="BS195" s="352"/>
      <c r="BT195" s="352"/>
      <c r="BU195" s="352"/>
      <c r="BV195" s="352"/>
      <c r="BW195" s="352"/>
      <c r="BX195" s="352"/>
      <c r="BY195" s="352"/>
      <c r="BZ195" s="352"/>
      <c r="CA195" s="352"/>
      <c r="CB195" s="352"/>
      <c r="CC195" s="352"/>
      <c r="CD195" s="352"/>
      <c r="CE195" s="352"/>
      <c r="CS195" s="356">
        <v>11</v>
      </c>
      <c r="CT195" s="359" t="s">
        <v>74</v>
      </c>
      <c r="CU195" s="361">
        <v>28907009.870000001</v>
      </c>
      <c r="CV195" s="361">
        <v>0</v>
      </c>
      <c r="CW195" s="361">
        <v>0</v>
      </c>
      <c r="CX195" s="361">
        <v>0</v>
      </c>
      <c r="CY195" s="361">
        <v>0</v>
      </c>
      <c r="CZ195" s="361">
        <v>0</v>
      </c>
      <c r="DA195" s="361">
        <v>0</v>
      </c>
      <c r="DB195" s="361">
        <v>0</v>
      </c>
      <c r="DC195" s="361">
        <v>9547806.5199999996</v>
      </c>
      <c r="DD195" s="361">
        <v>10035379.67</v>
      </c>
      <c r="DE195" s="361">
        <v>9323823.6799999997</v>
      </c>
      <c r="DF195" s="361"/>
      <c r="DG195" s="361"/>
      <c r="DH195" s="361"/>
      <c r="DI195" s="362"/>
      <c r="DJ195" s="361"/>
      <c r="DK195" s="361"/>
      <c r="DL195" s="361"/>
      <c r="DM195" s="361"/>
    </row>
    <row r="196" spans="2:117" ht="13">
      <c r="B196" s="294"/>
      <c r="C196" s="295"/>
      <c r="D196" s="295"/>
      <c r="E196" s="294"/>
      <c r="F196" s="294"/>
      <c r="G196" s="295"/>
      <c r="H196" s="295"/>
      <c r="I196" s="295"/>
      <c r="J196" s="295"/>
      <c r="K196" s="295"/>
      <c r="L196" s="295"/>
      <c r="M196" s="302"/>
      <c r="N196" s="296"/>
      <c r="O196" s="296"/>
      <c r="P196" s="297"/>
      <c r="Q196" s="297"/>
      <c r="R196" s="297"/>
      <c r="S196" s="297"/>
      <c r="T196" s="298"/>
      <c r="U196" s="296"/>
      <c r="V196" s="296"/>
      <c r="W196" s="297"/>
      <c r="X196" s="297"/>
      <c r="Y196" s="297"/>
      <c r="Z196" s="297"/>
      <c r="AA196" s="299"/>
      <c r="AB196" s="296"/>
      <c r="AC196" s="296"/>
      <c r="AD196" s="297"/>
      <c r="AE196" s="297"/>
      <c r="AF196" s="297"/>
      <c r="AG196" s="297"/>
      <c r="AH196" s="295"/>
      <c r="AI196" s="293"/>
      <c r="AJ196" s="293"/>
      <c r="AK196" s="297"/>
      <c r="AL196" s="297"/>
      <c r="AM196" s="297"/>
      <c r="AN196" s="297"/>
      <c r="AO196" s="295"/>
      <c r="AP196" s="352"/>
      <c r="AQ196" s="352"/>
      <c r="AR196" s="352"/>
      <c r="AS196" s="352"/>
      <c r="AT196" s="352"/>
      <c r="AU196" s="352"/>
      <c r="AV196" s="352"/>
      <c r="AW196" s="352"/>
      <c r="AX196" s="352"/>
      <c r="AY196" s="352"/>
      <c r="AZ196" s="352"/>
      <c r="BA196" s="352"/>
      <c r="BB196" s="352"/>
      <c r="BC196" s="352"/>
      <c r="BD196" s="352"/>
      <c r="BE196" s="352"/>
      <c r="BF196" s="352"/>
      <c r="BG196" s="352"/>
      <c r="BH196" s="352"/>
      <c r="BI196" s="352"/>
      <c r="BJ196" s="352"/>
      <c r="BK196" s="352"/>
      <c r="BL196" s="352"/>
      <c r="BM196" s="352"/>
      <c r="BN196" s="352"/>
      <c r="BO196" s="352"/>
      <c r="BP196" s="352"/>
      <c r="BQ196" s="352"/>
      <c r="BR196" s="352"/>
      <c r="BS196" s="352"/>
      <c r="BT196" s="352"/>
      <c r="BU196" s="352"/>
      <c r="BV196" s="352"/>
      <c r="BW196" s="352"/>
      <c r="BX196" s="352"/>
      <c r="BY196" s="352"/>
      <c r="BZ196" s="352"/>
      <c r="CA196" s="352"/>
      <c r="CB196" s="352"/>
      <c r="CC196" s="352"/>
      <c r="CD196" s="352"/>
      <c r="CE196" s="352"/>
      <c r="CS196" s="356">
        <v>12</v>
      </c>
      <c r="CT196" s="359" t="s">
        <v>70</v>
      </c>
      <c r="CU196" s="361">
        <v>28366690.43</v>
      </c>
      <c r="CV196" s="361">
        <v>5413003.2699999996</v>
      </c>
      <c r="CW196" s="361">
        <v>2353880.9500000002</v>
      </c>
      <c r="CX196" s="361">
        <v>3042748.21</v>
      </c>
      <c r="CY196" s="361">
        <v>2455587.35</v>
      </c>
      <c r="CZ196" s="361">
        <v>2172851.06</v>
      </c>
      <c r="DA196" s="361">
        <v>2052576.53</v>
      </c>
      <c r="DB196" s="361">
        <v>1028044.76</v>
      </c>
      <c r="DC196" s="361">
        <v>1129663.28</v>
      </c>
      <c r="DD196" s="361">
        <v>2916085.31</v>
      </c>
      <c r="DE196" s="361">
        <v>5802249.71</v>
      </c>
      <c r="DF196" s="361"/>
      <c r="DG196" s="361"/>
      <c r="DH196" s="361"/>
      <c r="DI196" s="362"/>
      <c r="DJ196" s="361"/>
      <c r="DK196" s="361"/>
      <c r="DL196" s="361"/>
      <c r="DM196" s="361"/>
    </row>
    <row r="197" spans="2:117" ht="13">
      <c r="B197" s="294"/>
      <c r="C197" s="295"/>
      <c r="D197" s="295"/>
      <c r="E197" s="294"/>
      <c r="F197" s="294"/>
      <c r="G197" s="295"/>
      <c r="H197" s="295"/>
      <c r="I197" s="295"/>
      <c r="J197" s="295"/>
      <c r="K197" s="295"/>
      <c r="L197" s="295"/>
      <c r="M197" s="302"/>
      <c r="N197" s="296"/>
      <c r="O197" s="296"/>
      <c r="P197" s="297"/>
      <c r="Q197" s="297"/>
      <c r="R197" s="297"/>
      <c r="S197" s="297"/>
      <c r="T197" s="298"/>
      <c r="U197" s="296"/>
      <c r="V197" s="296"/>
      <c r="W197" s="297"/>
      <c r="X197" s="297"/>
      <c r="Y197" s="297"/>
      <c r="Z197" s="297"/>
      <c r="AA197" s="299"/>
      <c r="AB197" s="296"/>
      <c r="AC197" s="296"/>
      <c r="AD197" s="297"/>
      <c r="AE197" s="297"/>
      <c r="AF197" s="297"/>
      <c r="AG197" s="297"/>
      <c r="AH197" s="295"/>
      <c r="AI197" s="293"/>
      <c r="AJ197" s="293"/>
      <c r="AK197" s="297"/>
      <c r="AL197" s="297"/>
      <c r="AM197" s="297"/>
      <c r="AN197" s="297"/>
      <c r="AO197" s="295"/>
      <c r="AP197" s="352"/>
      <c r="AQ197" s="352"/>
      <c r="AR197" s="352"/>
      <c r="AS197" s="352"/>
      <c r="AT197" s="352"/>
      <c r="AU197" s="352"/>
      <c r="AV197" s="352"/>
      <c r="AW197" s="352"/>
      <c r="AX197" s="352"/>
      <c r="AY197" s="352"/>
      <c r="AZ197" s="352"/>
      <c r="BA197" s="352"/>
      <c r="BB197" s="352"/>
      <c r="BC197" s="352"/>
      <c r="BD197" s="352"/>
      <c r="BE197" s="352"/>
      <c r="BF197" s="352"/>
      <c r="BG197" s="352"/>
      <c r="BH197" s="352"/>
      <c r="BI197" s="352"/>
      <c r="BJ197" s="352"/>
      <c r="BK197" s="352"/>
      <c r="BL197" s="352"/>
      <c r="BM197" s="352"/>
      <c r="BN197" s="352"/>
      <c r="BO197" s="352"/>
      <c r="BP197" s="352"/>
      <c r="BQ197" s="352"/>
      <c r="BR197" s="352"/>
      <c r="BS197" s="352"/>
      <c r="BT197" s="352"/>
      <c r="BU197" s="352"/>
      <c r="BV197" s="352"/>
      <c r="BW197" s="352"/>
      <c r="BX197" s="352"/>
      <c r="BY197" s="352"/>
      <c r="BZ197" s="352"/>
      <c r="CA197" s="352"/>
      <c r="CB197" s="352"/>
      <c r="CC197" s="352"/>
      <c r="CD197" s="352"/>
      <c r="CE197" s="352"/>
      <c r="CS197" s="356">
        <v>13</v>
      </c>
      <c r="CT197" s="359" t="s">
        <v>103</v>
      </c>
      <c r="CU197" s="361">
        <v>26742788.640000001</v>
      </c>
      <c r="CV197" s="361">
        <v>0</v>
      </c>
      <c r="CW197" s="361">
        <v>0</v>
      </c>
      <c r="CX197" s="361">
        <v>2907554.8</v>
      </c>
      <c r="CY197" s="361">
        <v>3154756.41</v>
      </c>
      <c r="CZ197" s="361">
        <v>2673466.12</v>
      </c>
      <c r="DA197" s="361">
        <v>4139768.14</v>
      </c>
      <c r="DB197" s="361">
        <v>4151256.4</v>
      </c>
      <c r="DC197" s="361">
        <v>6410544.8799999999</v>
      </c>
      <c r="DD197" s="361">
        <v>828896.68</v>
      </c>
      <c r="DE197" s="361">
        <v>2476545.21</v>
      </c>
      <c r="DF197" s="361"/>
      <c r="DG197" s="361"/>
      <c r="DH197" s="361"/>
      <c r="DI197" s="362"/>
      <c r="DJ197" s="361"/>
      <c r="DK197" s="361"/>
      <c r="DL197" s="361"/>
      <c r="DM197" s="361"/>
    </row>
    <row r="198" spans="2:117" ht="13">
      <c r="B198" s="294"/>
      <c r="C198" s="295"/>
      <c r="D198" s="295"/>
      <c r="E198" s="294"/>
      <c r="F198" s="294"/>
      <c r="G198" s="295"/>
      <c r="H198" s="295"/>
      <c r="I198" s="295"/>
      <c r="J198" s="295"/>
      <c r="K198" s="295"/>
      <c r="L198" s="295"/>
      <c r="M198" s="302"/>
      <c r="N198" s="296"/>
      <c r="O198" s="296"/>
      <c r="P198" s="297"/>
      <c r="Q198" s="297"/>
      <c r="R198" s="297"/>
      <c r="S198" s="297"/>
      <c r="T198" s="298"/>
      <c r="U198" s="296"/>
      <c r="V198" s="296"/>
      <c r="W198" s="297"/>
      <c r="X198" s="297"/>
      <c r="Y198" s="297"/>
      <c r="Z198" s="297"/>
      <c r="AA198" s="299"/>
      <c r="AB198" s="296"/>
      <c r="AC198" s="296"/>
      <c r="AD198" s="297"/>
      <c r="AE198" s="297"/>
      <c r="AF198" s="297"/>
      <c r="AG198" s="297"/>
      <c r="AH198" s="295"/>
      <c r="AI198" s="293"/>
      <c r="AJ198" s="293"/>
      <c r="AK198" s="297"/>
      <c r="AL198" s="297"/>
      <c r="AM198" s="297"/>
      <c r="AN198" s="297"/>
      <c r="AO198" s="295"/>
      <c r="AP198" s="352"/>
      <c r="AQ198" s="352"/>
      <c r="AR198" s="352"/>
      <c r="AS198" s="352"/>
      <c r="AT198" s="352"/>
      <c r="AU198" s="352"/>
      <c r="AV198" s="352"/>
      <c r="AW198" s="352"/>
      <c r="AX198" s="352"/>
      <c r="AY198" s="352"/>
      <c r="AZ198" s="352"/>
      <c r="BA198" s="352"/>
      <c r="BB198" s="352"/>
      <c r="BC198" s="352"/>
      <c r="BD198" s="352"/>
      <c r="BE198" s="352"/>
      <c r="BF198" s="352"/>
      <c r="BG198" s="352"/>
      <c r="BH198" s="352"/>
      <c r="BI198" s="352"/>
      <c r="BJ198" s="352"/>
      <c r="BK198" s="352"/>
      <c r="BL198" s="352"/>
      <c r="BM198" s="352"/>
      <c r="BN198" s="352"/>
      <c r="BO198" s="352"/>
      <c r="BP198" s="352"/>
      <c r="BQ198" s="352"/>
      <c r="BR198" s="352"/>
      <c r="BS198" s="352"/>
      <c r="BT198" s="352"/>
      <c r="BU198" s="352"/>
      <c r="BV198" s="352"/>
      <c r="BW198" s="352"/>
      <c r="BX198" s="352"/>
      <c r="BY198" s="352"/>
      <c r="BZ198" s="352"/>
      <c r="CA198" s="352"/>
      <c r="CB198" s="352"/>
      <c r="CC198" s="352"/>
      <c r="CD198" s="352"/>
      <c r="CE198" s="352"/>
      <c r="CS198" s="356">
        <v>14</v>
      </c>
      <c r="CT198" s="359" t="s">
        <v>93</v>
      </c>
      <c r="CU198" s="361">
        <v>24836354.390000001</v>
      </c>
      <c r="CV198" s="361">
        <v>1525745.84</v>
      </c>
      <c r="CW198" s="361">
        <v>1294417.51</v>
      </c>
      <c r="CX198" s="361">
        <v>1813591.65</v>
      </c>
      <c r="CY198" s="361">
        <v>3898697.68</v>
      </c>
      <c r="CZ198" s="361">
        <v>3058935.8</v>
      </c>
      <c r="DA198" s="361">
        <v>1664745.1</v>
      </c>
      <c r="DB198" s="361">
        <v>3268632.68</v>
      </c>
      <c r="DC198" s="361">
        <v>2240036.23</v>
      </c>
      <c r="DD198" s="361">
        <v>3473410.37</v>
      </c>
      <c r="DE198" s="361">
        <v>2598141.54</v>
      </c>
      <c r="DF198" s="361"/>
      <c r="DG198" s="361"/>
      <c r="DH198" s="361"/>
      <c r="DI198" s="362"/>
      <c r="DJ198" s="361"/>
      <c r="DK198" s="361"/>
      <c r="DL198" s="361"/>
      <c r="DM198" s="361"/>
    </row>
    <row r="199" spans="2:117" ht="13">
      <c r="B199" s="294"/>
      <c r="C199" s="295"/>
      <c r="D199" s="295"/>
      <c r="E199" s="294"/>
      <c r="F199" s="294"/>
      <c r="G199" s="295"/>
      <c r="H199" s="295"/>
      <c r="I199" s="295"/>
      <c r="J199" s="295"/>
      <c r="K199" s="295"/>
      <c r="L199" s="295"/>
      <c r="M199" s="302"/>
      <c r="N199" s="296"/>
      <c r="O199" s="296"/>
      <c r="P199" s="297"/>
      <c r="Q199" s="297"/>
      <c r="R199" s="297"/>
      <c r="S199" s="297"/>
      <c r="T199" s="298"/>
      <c r="U199" s="296"/>
      <c r="V199" s="296"/>
      <c r="W199" s="297"/>
      <c r="X199" s="297"/>
      <c r="Y199" s="297"/>
      <c r="Z199" s="297"/>
      <c r="AA199" s="299"/>
      <c r="AB199" s="296"/>
      <c r="AC199" s="296"/>
      <c r="AD199" s="297"/>
      <c r="AE199" s="297"/>
      <c r="AF199" s="297"/>
      <c r="AG199" s="297"/>
      <c r="AH199" s="295"/>
      <c r="AI199" s="293"/>
      <c r="AJ199" s="293"/>
      <c r="AK199" s="297"/>
      <c r="AL199" s="297"/>
      <c r="AM199" s="297"/>
      <c r="AN199" s="297"/>
      <c r="AO199" s="295"/>
      <c r="AP199" s="352"/>
      <c r="AQ199" s="352"/>
      <c r="AR199" s="352"/>
      <c r="AS199" s="352"/>
      <c r="AT199" s="352"/>
      <c r="AU199" s="352"/>
      <c r="AV199" s="352"/>
      <c r="AW199" s="352"/>
      <c r="AX199" s="352"/>
      <c r="AY199" s="352"/>
      <c r="AZ199" s="352"/>
      <c r="BA199" s="352"/>
      <c r="BB199" s="352"/>
      <c r="BC199" s="352"/>
      <c r="BD199" s="352"/>
      <c r="BE199" s="352"/>
      <c r="BF199" s="352"/>
      <c r="BG199" s="352"/>
      <c r="BH199" s="352"/>
      <c r="BI199" s="352"/>
      <c r="BJ199" s="352"/>
      <c r="BK199" s="352"/>
      <c r="BL199" s="352"/>
      <c r="BM199" s="352"/>
      <c r="BN199" s="352"/>
      <c r="BO199" s="352"/>
      <c r="BP199" s="352"/>
      <c r="BQ199" s="352"/>
      <c r="BR199" s="352"/>
      <c r="BS199" s="352"/>
      <c r="BT199" s="352"/>
      <c r="BU199" s="352"/>
      <c r="BV199" s="352"/>
      <c r="BW199" s="352"/>
      <c r="BX199" s="352"/>
      <c r="BY199" s="352"/>
      <c r="BZ199" s="352"/>
      <c r="CA199" s="352"/>
      <c r="CB199" s="352"/>
      <c r="CC199" s="352"/>
      <c r="CD199" s="352"/>
      <c r="CE199" s="352"/>
      <c r="CS199" s="356">
        <v>15</v>
      </c>
      <c r="CT199" s="359" t="s">
        <v>77</v>
      </c>
      <c r="CU199" s="361">
        <v>18997469.719999999</v>
      </c>
      <c r="CV199" s="361">
        <v>404473.08</v>
      </c>
      <c r="CW199" s="361">
        <v>2078461.92</v>
      </c>
      <c r="CX199" s="361">
        <v>2424631.19</v>
      </c>
      <c r="CY199" s="361">
        <v>1790094.53</v>
      </c>
      <c r="CZ199" s="361">
        <v>1561155.25</v>
      </c>
      <c r="DA199" s="361">
        <v>1219328.21</v>
      </c>
      <c r="DB199" s="361">
        <v>720445.51</v>
      </c>
      <c r="DC199" s="361">
        <v>631748.06000000006</v>
      </c>
      <c r="DD199" s="361">
        <v>2903013.28</v>
      </c>
      <c r="DE199" s="361">
        <v>5264118.7</v>
      </c>
      <c r="DF199" s="365"/>
      <c r="DG199" s="365"/>
      <c r="DH199" s="365"/>
      <c r="DI199" s="366"/>
      <c r="DJ199" s="365"/>
      <c r="DK199" s="365"/>
      <c r="DL199" s="365"/>
      <c r="DM199" s="365"/>
    </row>
    <row r="200" spans="2:117" ht="13">
      <c r="B200" s="294"/>
      <c r="C200" s="295"/>
      <c r="D200" s="295"/>
      <c r="E200" s="294"/>
      <c r="F200" s="294"/>
      <c r="G200" s="295"/>
      <c r="H200" s="295"/>
      <c r="I200" s="295"/>
      <c r="J200" s="295"/>
      <c r="K200" s="295"/>
      <c r="L200" s="295"/>
      <c r="M200" s="302"/>
      <c r="N200" s="296"/>
      <c r="O200" s="296"/>
      <c r="P200" s="297"/>
      <c r="Q200" s="297"/>
      <c r="R200" s="297"/>
      <c r="S200" s="297"/>
      <c r="T200" s="298"/>
      <c r="U200" s="296"/>
      <c r="V200" s="296"/>
      <c r="W200" s="297"/>
      <c r="X200" s="297"/>
      <c r="Y200" s="297"/>
      <c r="Z200" s="297"/>
      <c r="AA200" s="299"/>
      <c r="AB200" s="296"/>
      <c r="AC200" s="296"/>
      <c r="AD200" s="297"/>
      <c r="AE200" s="297"/>
      <c r="AF200" s="297"/>
      <c r="AG200" s="297"/>
      <c r="AH200" s="295"/>
      <c r="AI200" s="293"/>
      <c r="AJ200" s="293"/>
      <c r="AK200" s="297"/>
      <c r="AL200" s="297"/>
      <c r="AM200" s="297"/>
      <c r="AN200" s="297"/>
      <c r="AO200" s="295"/>
      <c r="AP200" s="302"/>
      <c r="AQ200" s="302"/>
      <c r="AR200" s="302"/>
      <c r="AS200" s="302"/>
      <c r="AT200" s="302"/>
      <c r="AU200" s="302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52"/>
      <c r="BX200" s="352"/>
      <c r="BY200" s="352"/>
      <c r="BZ200" s="352"/>
      <c r="CA200" s="302"/>
      <c r="CB200" s="302"/>
      <c r="CC200" s="302"/>
      <c r="CD200" s="302"/>
      <c r="CE200" s="352"/>
      <c r="CS200" s="356">
        <v>16</v>
      </c>
      <c r="CT200" s="359" t="s">
        <v>73</v>
      </c>
      <c r="CU200" s="361">
        <v>18914960.93</v>
      </c>
      <c r="CV200" s="361">
        <v>1907718.26</v>
      </c>
      <c r="CW200" s="361">
        <v>1840225.32</v>
      </c>
      <c r="CX200" s="361">
        <v>1672729.22</v>
      </c>
      <c r="CY200" s="361">
        <v>1725528.73</v>
      </c>
      <c r="CZ200" s="361">
        <v>1827395.13</v>
      </c>
      <c r="DA200" s="361">
        <v>2093150.14</v>
      </c>
      <c r="DB200" s="361">
        <v>854525.15</v>
      </c>
      <c r="DC200" s="361">
        <v>2426548.5</v>
      </c>
      <c r="DD200" s="361">
        <v>1321466.3700000001</v>
      </c>
      <c r="DE200" s="361">
        <v>3245674.1</v>
      </c>
      <c r="DF200" s="361"/>
      <c r="DG200" s="361"/>
      <c r="DH200" s="361"/>
      <c r="DI200" s="362"/>
      <c r="DJ200" s="361"/>
      <c r="DK200" s="361"/>
      <c r="DL200" s="361"/>
      <c r="DM200" s="361"/>
    </row>
    <row r="201" spans="2:117" ht="13">
      <c r="B201" s="294"/>
      <c r="C201" s="295"/>
      <c r="D201" s="295"/>
      <c r="E201" s="294"/>
      <c r="F201" s="294"/>
      <c r="G201" s="295"/>
      <c r="H201" s="295"/>
      <c r="I201" s="295"/>
      <c r="J201" s="295"/>
      <c r="K201" s="295"/>
      <c r="L201" s="295"/>
      <c r="M201" s="302"/>
      <c r="N201" s="296"/>
      <c r="O201" s="296"/>
      <c r="P201" s="297"/>
      <c r="Q201" s="297"/>
      <c r="R201" s="297"/>
      <c r="S201" s="297"/>
      <c r="T201" s="298"/>
      <c r="U201" s="296"/>
      <c r="V201" s="296"/>
      <c r="W201" s="297"/>
      <c r="X201" s="297"/>
      <c r="Y201" s="297"/>
      <c r="Z201" s="297"/>
      <c r="AA201" s="299"/>
      <c r="AB201" s="296"/>
      <c r="AC201" s="296"/>
      <c r="AD201" s="297"/>
      <c r="AE201" s="297"/>
      <c r="AF201" s="297"/>
      <c r="AG201" s="297"/>
      <c r="AH201" s="295"/>
      <c r="AI201" s="293"/>
      <c r="AJ201" s="293"/>
      <c r="AK201" s="297"/>
      <c r="AL201" s="297"/>
      <c r="AM201" s="297"/>
      <c r="AN201" s="297"/>
      <c r="AO201" s="295"/>
      <c r="AP201" s="352"/>
      <c r="AQ201" s="352"/>
      <c r="AR201" s="352"/>
      <c r="AS201" s="352"/>
      <c r="AT201" s="352"/>
      <c r="AU201" s="352"/>
      <c r="AV201" s="352"/>
      <c r="AW201" s="352"/>
      <c r="AX201" s="352"/>
      <c r="AY201" s="352"/>
      <c r="AZ201" s="352"/>
      <c r="BA201" s="352"/>
      <c r="BB201" s="352"/>
      <c r="BC201" s="352"/>
      <c r="BD201" s="352"/>
      <c r="BE201" s="352"/>
      <c r="BF201" s="352"/>
      <c r="BG201" s="352"/>
      <c r="BH201" s="352"/>
      <c r="BI201" s="352"/>
      <c r="BJ201" s="352"/>
      <c r="BK201" s="352"/>
      <c r="BL201" s="352"/>
      <c r="BM201" s="352"/>
      <c r="BN201" s="352"/>
      <c r="BO201" s="352"/>
      <c r="BP201" s="352"/>
      <c r="BQ201" s="352"/>
      <c r="BR201" s="352"/>
      <c r="BS201" s="352"/>
      <c r="BT201" s="352"/>
      <c r="BU201" s="352"/>
      <c r="BV201" s="352"/>
      <c r="BW201" s="352"/>
      <c r="BX201" s="352"/>
      <c r="BY201" s="352"/>
      <c r="BZ201" s="352"/>
      <c r="CA201" s="352"/>
      <c r="CB201" s="352"/>
      <c r="CC201" s="352"/>
      <c r="CD201" s="352"/>
      <c r="CE201" s="352"/>
      <c r="CS201" s="356">
        <v>17</v>
      </c>
      <c r="CT201" s="359" t="s">
        <v>124</v>
      </c>
      <c r="CU201" s="361">
        <v>18561353.73</v>
      </c>
      <c r="CV201" s="361">
        <v>2373281</v>
      </c>
      <c r="CW201" s="361">
        <v>969263.16</v>
      </c>
      <c r="CX201" s="361">
        <v>2136326.16</v>
      </c>
      <c r="CY201" s="361">
        <v>1585357.14</v>
      </c>
      <c r="CZ201" s="361">
        <v>1420433.76</v>
      </c>
      <c r="DA201" s="361">
        <v>1764563.53</v>
      </c>
      <c r="DB201" s="361">
        <v>1260288.2</v>
      </c>
      <c r="DC201" s="361">
        <v>2018987.99</v>
      </c>
      <c r="DD201" s="361">
        <v>2129572.33</v>
      </c>
      <c r="DE201" s="361">
        <v>2903280.47</v>
      </c>
      <c r="DF201" s="361"/>
      <c r="DG201" s="361"/>
      <c r="DH201" s="361"/>
      <c r="DI201" s="362"/>
      <c r="DJ201" s="361"/>
      <c r="DK201" s="361"/>
      <c r="DL201" s="361"/>
      <c r="DM201" s="361"/>
    </row>
    <row r="202" spans="2:117" ht="13">
      <c r="B202" s="294"/>
      <c r="C202" s="295"/>
      <c r="D202" s="295"/>
      <c r="E202" s="294"/>
      <c r="F202" s="294"/>
      <c r="G202" s="295"/>
      <c r="H202" s="295"/>
      <c r="I202" s="295"/>
      <c r="J202" s="295"/>
      <c r="K202" s="295"/>
      <c r="L202" s="295"/>
      <c r="M202" s="302"/>
      <c r="N202" s="296"/>
      <c r="O202" s="296"/>
      <c r="P202" s="297"/>
      <c r="Q202" s="297"/>
      <c r="R202" s="297"/>
      <c r="S202" s="297"/>
      <c r="T202" s="298"/>
      <c r="U202" s="296"/>
      <c r="V202" s="296"/>
      <c r="W202" s="297"/>
      <c r="X202" s="297"/>
      <c r="Y202" s="297"/>
      <c r="Z202" s="297"/>
      <c r="AA202" s="299"/>
      <c r="AB202" s="296"/>
      <c r="AC202" s="296"/>
      <c r="AD202" s="297"/>
      <c r="AE202" s="297"/>
      <c r="AF202" s="297"/>
      <c r="AG202" s="297"/>
      <c r="AH202" s="295"/>
      <c r="AI202" s="293"/>
      <c r="AJ202" s="293"/>
      <c r="AK202" s="297"/>
      <c r="AL202" s="297"/>
      <c r="AM202" s="297"/>
      <c r="AN202" s="297"/>
      <c r="AO202" s="295"/>
      <c r="AP202" s="352"/>
      <c r="AQ202" s="352"/>
      <c r="AR202" s="352"/>
      <c r="AS202" s="352"/>
      <c r="AT202" s="352"/>
      <c r="AU202" s="352"/>
      <c r="AV202" s="352"/>
      <c r="AW202" s="352"/>
      <c r="AX202" s="352"/>
      <c r="AY202" s="352"/>
      <c r="AZ202" s="352"/>
      <c r="BA202" s="352"/>
      <c r="BB202" s="352"/>
      <c r="BC202" s="352"/>
      <c r="BD202" s="352"/>
      <c r="BE202" s="352"/>
      <c r="BF202" s="352"/>
      <c r="BG202" s="352"/>
      <c r="BH202" s="352"/>
      <c r="BI202" s="352"/>
      <c r="BJ202" s="352"/>
      <c r="BK202" s="352"/>
      <c r="BL202" s="352"/>
      <c r="BM202" s="352"/>
      <c r="BN202" s="352"/>
      <c r="BO202" s="352"/>
      <c r="BP202" s="352"/>
      <c r="BQ202" s="352"/>
      <c r="BR202" s="352"/>
      <c r="BS202" s="352"/>
      <c r="BT202" s="352"/>
      <c r="BU202" s="352"/>
      <c r="BV202" s="352"/>
      <c r="BW202" s="352"/>
      <c r="BX202" s="352"/>
      <c r="BY202" s="352"/>
      <c r="BZ202" s="352"/>
      <c r="CA202" s="352"/>
      <c r="CB202" s="352"/>
      <c r="CC202" s="352"/>
      <c r="CD202" s="352"/>
      <c r="CE202" s="352"/>
      <c r="CS202" s="356">
        <v>18</v>
      </c>
      <c r="CT202" s="359" t="s">
        <v>113</v>
      </c>
      <c r="CU202" s="361">
        <v>18030478.82</v>
      </c>
      <c r="CV202" s="361">
        <v>3288518.7</v>
      </c>
      <c r="CW202" s="361">
        <v>3773969.43</v>
      </c>
      <c r="CX202" s="361">
        <v>2818046.26</v>
      </c>
      <c r="CY202" s="361">
        <v>3205294.53</v>
      </c>
      <c r="CZ202" s="361">
        <v>565825.26</v>
      </c>
      <c r="DA202" s="361">
        <v>754433.68</v>
      </c>
      <c r="DB202" s="361">
        <v>1270335.4099999999</v>
      </c>
      <c r="DC202" s="361">
        <v>1335570.78</v>
      </c>
      <c r="DD202" s="361">
        <v>611090.87</v>
      </c>
      <c r="DE202" s="361">
        <v>407393.91</v>
      </c>
      <c r="DF202" s="361"/>
      <c r="DG202" s="361"/>
      <c r="DH202" s="361"/>
      <c r="DI202" s="362"/>
      <c r="DJ202" s="361"/>
      <c r="DK202" s="361"/>
      <c r="DL202" s="361"/>
      <c r="DM202" s="361"/>
    </row>
    <row r="203" spans="2:117" ht="13">
      <c r="B203" s="294"/>
      <c r="C203" s="295"/>
      <c r="D203" s="295"/>
      <c r="E203" s="294"/>
      <c r="F203" s="294"/>
      <c r="G203" s="295"/>
      <c r="H203" s="295"/>
      <c r="I203" s="295"/>
      <c r="J203" s="295"/>
      <c r="K203" s="295"/>
      <c r="L203" s="295"/>
      <c r="M203" s="302"/>
      <c r="N203" s="296"/>
      <c r="O203" s="296"/>
      <c r="P203" s="297"/>
      <c r="Q203" s="297"/>
      <c r="R203" s="297"/>
      <c r="S203" s="297"/>
      <c r="T203" s="298"/>
      <c r="U203" s="296"/>
      <c r="V203" s="296"/>
      <c r="W203" s="297"/>
      <c r="X203" s="297"/>
      <c r="Y203" s="297"/>
      <c r="Z203" s="297"/>
      <c r="AA203" s="299"/>
      <c r="AB203" s="296"/>
      <c r="AC203" s="296"/>
      <c r="AD203" s="297"/>
      <c r="AE203" s="297"/>
      <c r="AF203" s="297"/>
      <c r="AG203" s="297"/>
      <c r="AH203" s="295"/>
      <c r="AI203" s="293"/>
      <c r="AJ203" s="293"/>
      <c r="AK203" s="297"/>
      <c r="AL203" s="297"/>
      <c r="AM203" s="297"/>
      <c r="AN203" s="297"/>
      <c r="AO203" s="295"/>
      <c r="AP203" s="352"/>
      <c r="AQ203" s="352"/>
      <c r="AR203" s="352"/>
      <c r="AS203" s="352"/>
      <c r="AT203" s="352"/>
      <c r="AU203" s="352"/>
      <c r="AV203" s="352"/>
      <c r="AW203" s="352"/>
      <c r="AX203" s="352"/>
      <c r="AY203" s="352"/>
      <c r="AZ203" s="352"/>
      <c r="BA203" s="352"/>
      <c r="BB203" s="352"/>
      <c r="BC203" s="352"/>
      <c r="BD203" s="352"/>
      <c r="BE203" s="352"/>
      <c r="BF203" s="352"/>
      <c r="BG203" s="352"/>
      <c r="BH203" s="352"/>
      <c r="BI203" s="352"/>
      <c r="BJ203" s="352"/>
      <c r="BK203" s="352"/>
      <c r="BL203" s="352"/>
      <c r="BM203" s="352"/>
      <c r="BN203" s="352"/>
      <c r="BO203" s="352"/>
      <c r="BP203" s="352"/>
      <c r="BQ203" s="352"/>
      <c r="BR203" s="352"/>
      <c r="BS203" s="352"/>
      <c r="BT203" s="352"/>
      <c r="BU203" s="352"/>
      <c r="BV203" s="352"/>
      <c r="BW203" s="352"/>
      <c r="BX203" s="352"/>
      <c r="BY203" s="352"/>
      <c r="BZ203" s="352"/>
      <c r="CA203" s="352"/>
      <c r="CB203" s="352"/>
      <c r="CC203" s="352"/>
      <c r="CD203" s="352"/>
      <c r="CE203" s="352"/>
      <c r="CS203" s="356">
        <v>19</v>
      </c>
      <c r="CT203" s="359" t="s">
        <v>224</v>
      </c>
      <c r="CU203" s="361">
        <v>16592480.99</v>
      </c>
      <c r="CV203" s="361">
        <v>3033425.62</v>
      </c>
      <c r="CW203" s="361">
        <v>2069385.95</v>
      </c>
      <c r="CX203" s="361">
        <v>0</v>
      </c>
      <c r="CY203" s="361">
        <v>0</v>
      </c>
      <c r="CZ203" s="361">
        <v>0</v>
      </c>
      <c r="DA203" s="361">
        <v>0</v>
      </c>
      <c r="DB203" s="361">
        <v>0</v>
      </c>
      <c r="DC203" s="361">
        <v>0</v>
      </c>
      <c r="DD203" s="361">
        <v>0</v>
      </c>
      <c r="DE203" s="361">
        <v>11489669.42</v>
      </c>
      <c r="DF203" s="361"/>
      <c r="DG203" s="361"/>
      <c r="DH203" s="361"/>
      <c r="DI203" s="362"/>
      <c r="DJ203" s="361"/>
      <c r="DK203" s="361"/>
      <c r="DL203" s="361"/>
      <c r="DM203" s="361"/>
    </row>
    <row r="204" spans="2:117" ht="13">
      <c r="B204" s="294"/>
      <c r="C204" s="295"/>
      <c r="D204" s="295"/>
      <c r="E204" s="294"/>
      <c r="F204" s="294"/>
      <c r="G204" s="295"/>
      <c r="H204" s="295"/>
      <c r="I204" s="295"/>
      <c r="J204" s="295"/>
      <c r="K204" s="295"/>
      <c r="L204" s="295"/>
      <c r="M204" s="302"/>
      <c r="N204" s="296"/>
      <c r="O204" s="296"/>
      <c r="P204" s="297"/>
      <c r="Q204" s="297"/>
      <c r="R204" s="297"/>
      <c r="S204" s="297"/>
      <c r="T204" s="298"/>
      <c r="U204" s="296"/>
      <c r="V204" s="296"/>
      <c r="W204" s="297"/>
      <c r="X204" s="297"/>
      <c r="Y204" s="297"/>
      <c r="Z204" s="297"/>
      <c r="AA204" s="299"/>
      <c r="AB204" s="296"/>
      <c r="AC204" s="296"/>
      <c r="AD204" s="297"/>
      <c r="AE204" s="297"/>
      <c r="AF204" s="297"/>
      <c r="AG204" s="297"/>
      <c r="AH204" s="295"/>
      <c r="AI204" s="293"/>
      <c r="AJ204" s="293"/>
      <c r="AK204" s="297"/>
      <c r="AL204" s="297"/>
      <c r="AM204" s="297"/>
      <c r="AN204" s="297"/>
      <c r="AO204" s="295"/>
      <c r="AP204" s="352"/>
      <c r="AQ204" s="352"/>
      <c r="AR204" s="352"/>
      <c r="AS204" s="352"/>
      <c r="AT204" s="352"/>
      <c r="AU204" s="352"/>
      <c r="AV204" s="352"/>
      <c r="AW204" s="352"/>
      <c r="AX204" s="352"/>
      <c r="AY204" s="352"/>
      <c r="AZ204" s="352"/>
      <c r="BA204" s="352"/>
      <c r="BB204" s="352"/>
      <c r="BC204" s="352"/>
      <c r="BD204" s="352"/>
      <c r="BE204" s="352"/>
      <c r="BF204" s="352"/>
      <c r="BG204" s="352"/>
      <c r="BH204" s="352"/>
      <c r="BI204" s="352"/>
      <c r="BJ204" s="352"/>
      <c r="BK204" s="352"/>
      <c r="BL204" s="352"/>
      <c r="BM204" s="352"/>
      <c r="BN204" s="352"/>
      <c r="BO204" s="352"/>
      <c r="BP204" s="352"/>
      <c r="BQ204" s="352"/>
      <c r="BR204" s="352"/>
      <c r="BS204" s="352"/>
      <c r="BT204" s="352"/>
      <c r="BU204" s="352"/>
      <c r="BV204" s="352"/>
      <c r="BW204" s="352"/>
      <c r="BX204" s="352"/>
      <c r="BY204" s="352"/>
      <c r="BZ204" s="352"/>
      <c r="CA204" s="352"/>
      <c r="CB204" s="352"/>
      <c r="CC204" s="352"/>
      <c r="CD204" s="352"/>
      <c r="CE204" s="352"/>
      <c r="CS204" s="356">
        <v>20</v>
      </c>
      <c r="CT204" s="359" t="s">
        <v>102</v>
      </c>
      <c r="CU204" s="361">
        <v>16495048.66</v>
      </c>
      <c r="CV204" s="361">
        <v>831938.22</v>
      </c>
      <c r="CW204" s="361">
        <v>2299510.98</v>
      </c>
      <c r="CX204" s="361">
        <v>1449241.63</v>
      </c>
      <c r="CY204" s="361">
        <v>1190068.48</v>
      </c>
      <c r="CZ204" s="361">
        <v>1610029.86</v>
      </c>
      <c r="DA204" s="361">
        <v>3166271.82</v>
      </c>
      <c r="DB204" s="361">
        <v>1118310.9099999999</v>
      </c>
      <c r="DC204" s="361">
        <v>1418641.11</v>
      </c>
      <c r="DD204" s="361">
        <v>1942567.82</v>
      </c>
      <c r="DE204" s="361">
        <v>1468467.84</v>
      </c>
      <c r="DF204" s="361"/>
      <c r="DG204" s="361"/>
      <c r="DH204" s="361"/>
      <c r="DI204" s="362"/>
      <c r="DJ204" s="361"/>
      <c r="DK204" s="361"/>
      <c r="DL204" s="361"/>
      <c r="DM204" s="361"/>
    </row>
    <row r="205" spans="2:117" ht="13">
      <c r="B205" s="294"/>
      <c r="C205" s="295"/>
      <c r="D205" s="295"/>
      <c r="E205" s="294"/>
      <c r="F205" s="294"/>
      <c r="G205" s="295"/>
      <c r="H205" s="295"/>
      <c r="I205" s="295"/>
      <c r="J205" s="295"/>
      <c r="K205" s="295"/>
      <c r="L205" s="295"/>
      <c r="M205" s="302"/>
      <c r="N205" s="296"/>
      <c r="O205" s="296"/>
      <c r="P205" s="297"/>
      <c r="Q205" s="297"/>
      <c r="R205" s="297"/>
      <c r="S205" s="297"/>
      <c r="T205" s="298"/>
      <c r="U205" s="296"/>
      <c r="V205" s="296"/>
      <c r="W205" s="297"/>
      <c r="X205" s="297"/>
      <c r="Y205" s="297"/>
      <c r="Z205" s="297"/>
      <c r="AA205" s="299"/>
      <c r="AB205" s="296"/>
      <c r="AC205" s="296"/>
      <c r="AD205" s="297"/>
      <c r="AE205" s="297"/>
      <c r="AF205" s="297"/>
      <c r="AG205" s="297"/>
      <c r="AH205" s="295"/>
      <c r="AI205" s="293"/>
      <c r="AJ205" s="293"/>
      <c r="AK205" s="297"/>
      <c r="AL205" s="297"/>
      <c r="AM205" s="297"/>
      <c r="AN205" s="297"/>
      <c r="AO205" s="295"/>
      <c r="AP205" s="352"/>
      <c r="AQ205" s="352"/>
      <c r="AR205" s="352"/>
      <c r="AS205" s="352"/>
      <c r="AT205" s="352"/>
      <c r="AU205" s="352"/>
      <c r="AV205" s="352"/>
      <c r="AW205" s="352"/>
      <c r="AX205" s="352"/>
      <c r="AY205" s="352"/>
      <c r="AZ205" s="352"/>
      <c r="BA205" s="352"/>
      <c r="BB205" s="352"/>
      <c r="BC205" s="352"/>
      <c r="BD205" s="352"/>
      <c r="BE205" s="352"/>
      <c r="BF205" s="352"/>
      <c r="BG205" s="352"/>
      <c r="BH205" s="352"/>
      <c r="BI205" s="352"/>
      <c r="BJ205" s="352"/>
      <c r="BK205" s="352"/>
      <c r="BL205" s="352"/>
      <c r="BM205" s="352"/>
      <c r="BN205" s="352"/>
      <c r="BO205" s="352"/>
      <c r="BP205" s="352"/>
      <c r="BQ205" s="352"/>
      <c r="BR205" s="352"/>
      <c r="BS205" s="352"/>
      <c r="BT205" s="352"/>
      <c r="BU205" s="352"/>
      <c r="BV205" s="352"/>
      <c r="BW205" s="352"/>
      <c r="BX205" s="352"/>
      <c r="BY205" s="352"/>
      <c r="BZ205" s="352"/>
      <c r="CA205" s="352"/>
      <c r="CB205" s="352"/>
      <c r="CC205" s="352"/>
      <c r="CD205" s="352"/>
      <c r="CE205" s="352"/>
      <c r="CS205" s="356">
        <v>21</v>
      </c>
      <c r="CT205" s="359" t="s">
        <v>107</v>
      </c>
      <c r="CU205" s="361">
        <v>16041480.66</v>
      </c>
      <c r="CV205" s="361">
        <v>1990233.08</v>
      </c>
      <c r="CW205" s="361">
        <v>1617201.46</v>
      </c>
      <c r="CX205" s="361">
        <v>1977028.53</v>
      </c>
      <c r="CY205" s="361">
        <v>1278828.6499999999</v>
      </c>
      <c r="CZ205" s="361">
        <v>1461196.42</v>
      </c>
      <c r="DA205" s="361">
        <v>123743.46</v>
      </c>
      <c r="DB205" s="361">
        <v>878792.21</v>
      </c>
      <c r="DC205" s="361">
        <v>1963657.58</v>
      </c>
      <c r="DD205" s="361">
        <v>1140447</v>
      </c>
      <c r="DE205" s="361">
        <v>3610352.27</v>
      </c>
      <c r="DF205" s="361"/>
      <c r="DG205" s="361"/>
      <c r="DH205" s="361"/>
      <c r="DI205" s="362"/>
      <c r="DJ205" s="361"/>
      <c r="DK205" s="361"/>
      <c r="DL205" s="361"/>
      <c r="DM205" s="361"/>
    </row>
    <row r="206" spans="2:117" ht="13">
      <c r="B206" s="294"/>
      <c r="C206" s="295"/>
      <c r="D206" s="295"/>
      <c r="E206" s="294"/>
      <c r="F206" s="294"/>
      <c r="G206" s="295"/>
      <c r="H206" s="295"/>
      <c r="I206" s="295"/>
      <c r="J206" s="295"/>
      <c r="K206" s="295"/>
      <c r="L206" s="295"/>
      <c r="M206" s="302"/>
      <c r="N206" s="296"/>
      <c r="O206" s="296"/>
      <c r="P206" s="297"/>
      <c r="Q206" s="297"/>
      <c r="R206" s="297"/>
      <c r="S206" s="297"/>
      <c r="T206" s="298"/>
      <c r="U206" s="296"/>
      <c r="V206" s="296"/>
      <c r="W206" s="297"/>
      <c r="X206" s="297"/>
      <c r="Y206" s="297"/>
      <c r="Z206" s="297"/>
      <c r="AA206" s="299"/>
      <c r="AB206" s="296"/>
      <c r="AC206" s="296"/>
      <c r="AD206" s="297"/>
      <c r="AE206" s="297"/>
      <c r="AF206" s="297"/>
      <c r="AG206" s="297"/>
      <c r="AH206" s="295"/>
      <c r="AI206" s="293"/>
      <c r="AJ206" s="293"/>
      <c r="AK206" s="297"/>
      <c r="AL206" s="297"/>
      <c r="AM206" s="297"/>
      <c r="AN206" s="297"/>
      <c r="AO206" s="295"/>
      <c r="AP206" s="352"/>
      <c r="AQ206" s="352"/>
      <c r="AR206" s="352"/>
      <c r="AS206" s="352"/>
      <c r="AT206" s="352"/>
      <c r="AU206" s="352"/>
      <c r="AV206" s="352"/>
      <c r="AW206" s="352"/>
      <c r="AX206" s="352"/>
      <c r="AY206" s="352"/>
      <c r="AZ206" s="352"/>
      <c r="BA206" s="352"/>
      <c r="BB206" s="352"/>
      <c r="BC206" s="352"/>
      <c r="BD206" s="352"/>
      <c r="BE206" s="352"/>
      <c r="BF206" s="352"/>
      <c r="BG206" s="352"/>
      <c r="BH206" s="352"/>
      <c r="BI206" s="352"/>
      <c r="BJ206" s="352"/>
      <c r="BK206" s="352"/>
      <c r="BL206" s="352"/>
      <c r="BM206" s="352"/>
      <c r="BN206" s="352"/>
      <c r="BO206" s="352"/>
      <c r="BP206" s="352"/>
      <c r="BQ206" s="352"/>
      <c r="BR206" s="352"/>
      <c r="BS206" s="352"/>
      <c r="BT206" s="352"/>
      <c r="BU206" s="352"/>
      <c r="BV206" s="352"/>
      <c r="BW206" s="352"/>
      <c r="BX206" s="352"/>
      <c r="BY206" s="352"/>
      <c r="BZ206" s="352"/>
      <c r="CA206" s="352"/>
      <c r="CB206" s="352"/>
      <c r="CC206" s="352"/>
      <c r="CD206" s="352"/>
      <c r="CE206" s="352"/>
      <c r="CS206" s="356">
        <v>22</v>
      </c>
      <c r="CT206" s="359" t="s">
        <v>190</v>
      </c>
      <c r="CU206" s="361">
        <v>15957063.32</v>
      </c>
      <c r="CV206" s="361">
        <v>2622059.81</v>
      </c>
      <c r="CW206" s="361">
        <v>2203445.81</v>
      </c>
      <c r="CX206" s="361">
        <v>1770165.1</v>
      </c>
      <c r="CY206" s="361">
        <v>1257104.0900000001</v>
      </c>
      <c r="CZ206" s="361">
        <v>1244653.08</v>
      </c>
      <c r="DA206" s="361">
        <v>1184669.32</v>
      </c>
      <c r="DB206" s="361">
        <v>1012246.11</v>
      </c>
      <c r="DC206" s="361">
        <v>1588039.18</v>
      </c>
      <c r="DD206" s="361">
        <v>1119171.51</v>
      </c>
      <c r="DE206" s="361">
        <v>1955509.31</v>
      </c>
      <c r="DF206" s="361"/>
      <c r="DG206" s="361"/>
      <c r="DH206" s="361"/>
      <c r="DI206" s="362"/>
      <c r="DJ206" s="361"/>
      <c r="DK206" s="361"/>
      <c r="DL206" s="361"/>
      <c r="DM206" s="361"/>
    </row>
    <row r="207" spans="2:117" ht="13">
      <c r="B207" s="294"/>
      <c r="C207" s="295"/>
      <c r="D207" s="295"/>
      <c r="E207" s="294"/>
      <c r="F207" s="294"/>
      <c r="G207" s="295"/>
      <c r="H207" s="295"/>
      <c r="I207" s="295"/>
      <c r="J207" s="295"/>
      <c r="K207" s="295"/>
      <c r="L207" s="295"/>
      <c r="M207" s="302"/>
      <c r="N207" s="296"/>
      <c r="O207" s="296"/>
      <c r="P207" s="297"/>
      <c r="Q207" s="297"/>
      <c r="R207" s="297"/>
      <c r="S207" s="297"/>
      <c r="T207" s="298"/>
      <c r="U207" s="296"/>
      <c r="V207" s="296"/>
      <c r="W207" s="297"/>
      <c r="X207" s="297"/>
      <c r="Y207" s="297"/>
      <c r="Z207" s="297"/>
      <c r="AA207" s="299"/>
      <c r="AB207" s="296"/>
      <c r="AC207" s="296"/>
      <c r="AD207" s="297"/>
      <c r="AE207" s="297"/>
      <c r="AF207" s="297"/>
      <c r="AG207" s="297"/>
      <c r="AH207" s="295"/>
      <c r="AI207" s="293"/>
      <c r="AJ207" s="293"/>
      <c r="AK207" s="297"/>
      <c r="AL207" s="297"/>
      <c r="AM207" s="297"/>
      <c r="AN207" s="297"/>
      <c r="AO207" s="295"/>
      <c r="AP207" s="352"/>
      <c r="AQ207" s="352"/>
      <c r="AR207" s="352"/>
      <c r="AS207" s="352"/>
      <c r="AT207" s="352"/>
      <c r="AU207" s="352"/>
      <c r="AV207" s="352"/>
      <c r="AW207" s="352"/>
      <c r="AX207" s="352"/>
      <c r="AY207" s="352"/>
      <c r="AZ207" s="352"/>
      <c r="BA207" s="352"/>
      <c r="BB207" s="352"/>
      <c r="BC207" s="352"/>
      <c r="BD207" s="352"/>
      <c r="BE207" s="352"/>
      <c r="BF207" s="352"/>
      <c r="BG207" s="352"/>
      <c r="BH207" s="352"/>
      <c r="BI207" s="352"/>
      <c r="BJ207" s="352"/>
      <c r="BK207" s="352"/>
      <c r="BL207" s="352"/>
      <c r="BM207" s="352"/>
      <c r="BN207" s="352"/>
      <c r="BO207" s="352"/>
      <c r="BP207" s="352"/>
      <c r="BQ207" s="352"/>
      <c r="BR207" s="352"/>
      <c r="BS207" s="352"/>
      <c r="BT207" s="352"/>
      <c r="BU207" s="352"/>
      <c r="BV207" s="352"/>
      <c r="BW207" s="352"/>
      <c r="BX207" s="352"/>
      <c r="BY207" s="352"/>
      <c r="BZ207" s="352"/>
      <c r="CA207" s="352"/>
      <c r="CB207" s="352"/>
      <c r="CC207" s="352"/>
      <c r="CD207" s="352"/>
      <c r="CE207" s="352"/>
      <c r="CS207" s="356">
        <v>23</v>
      </c>
      <c r="CT207" s="359" t="s">
        <v>83</v>
      </c>
      <c r="CU207" s="361">
        <v>15787232.630000001</v>
      </c>
      <c r="CV207" s="361">
        <v>1873863.49</v>
      </c>
      <c r="CW207" s="361">
        <v>1508287.61</v>
      </c>
      <c r="CX207" s="361">
        <v>1517587.28</v>
      </c>
      <c r="CY207" s="361">
        <v>971367.2</v>
      </c>
      <c r="CZ207" s="361">
        <v>1390304.48</v>
      </c>
      <c r="DA207" s="361">
        <v>2035640.87</v>
      </c>
      <c r="DB207" s="361">
        <v>2032911.78</v>
      </c>
      <c r="DC207" s="361">
        <v>1178727.68</v>
      </c>
      <c r="DD207" s="361">
        <v>831649.28000000003</v>
      </c>
      <c r="DE207" s="361">
        <v>2446892.96</v>
      </c>
      <c r="DF207" s="361"/>
      <c r="DG207" s="361"/>
      <c r="DH207" s="361"/>
      <c r="DI207" s="362"/>
      <c r="DJ207" s="361"/>
      <c r="DK207" s="361"/>
      <c r="DL207" s="361"/>
      <c r="DM207" s="361"/>
    </row>
    <row r="208" spans="2:117" ht="13">
      <c r="B208" s="294"/>
      <c r="C208" s="295"/>
      <c r="D208" s="295"/>
      <c r="E208" s="294"/>
      <c r="F208" s="294"/>
      <c r="G208" s="295"/>
      <c r="H208" s="295"/>
      <c r="I208" s="295"/>
      <c r="J208" s="295"/>
      <c r="K208" s="295"/>
      <c r="L208" s="295"/>
      <c r="M208" s="302"/>
      <c r="N208" s="296"/>
      <c r="O208" s="296"/>
      <c r="P208" s="297"/>
      <c r="Q208" s="297"/>
      <c r="R208" s="297"/>
      <c r="S208" s="297"/>
      <c r="T208" s="298"/>
      <c r="U208" s="296"/>
      <c r="V208" s="296"/>
      <c r="W208" s="297"/>
      <c r="X208" s="297"/>
      <c r="Y208" s="297"/>
      <c r="Z208" s="297"/>
      <c r="AA208" s="299"/>
      <c r="AB208" s="296"/>
      <c r="AC208" s="296"/>
      <c r="AD208" s="297"/>
      <c r="AE208" s="297"/>
      <c r="AF208" s="297"/>
      <c r="AG208" s="297"/>
      <c r="AH208" s="295"/>
      <c r="AI208" s="293"/>
      <c r="AJ208" s="293"/>
      <c r="AK208" s="297"/>
      <c r="AL208" s="297"/>
      <c r="AM208" s="297"/>
      <c r="AN208" s="297"/>
      <c r="AO208" s="295"/>
      <c r="AP208" s="352"/>
      <c r="AQ208" s="352"/>
      <c r="AR208" s="352"/>
      <c r="AS208" s="352"/>
      <c r="AT208" s="352"/>
      <c r="AU208" s="352"/>
      <c r="AV208" s="352"/>
      <c r="AW208" s="352"/>
      <c r="AX208" s="352"/>
      <c r="AY208" s="352"/>
      <c r="AZ208" s="352"/>
      <c r="BA208" s="352"/>
      <c r="BB208" s="352"/>
      <c r="BC208" s="352"/>
      <c r="BD208" s="352"/>
      <c r="BE208" s="352"/>
      <c r="BF208" s="352"/>
      <c r="BG208" s="352"/>
      <c r="BH208" s="352"/>
      <c r="BI208" s="352"/>
      <c r="BJ208" s="352"/>
      <c r="BK208" s="352"/>
      <c r="BL208" s="352"/>
      <c r="BM208" s="352"/>
      <c r="BN208" s="352"/>
      <c r="BO208" s="352"/>
      <c r="BP208" s="352"/>
      <c r="BQ208" s="352"/>
      <c r="BR208" s="352"/>
      <c r="BS208" s="352"/>
      <c r="BT208" s="352"/>
      <c r="BU208" s="352"/>
      <c r="BV208" s="352"/>
      <c r="BW208" s="352"/>
      <c r="BX208" s="352"/>
      <c r="BY208" s="352"/>
      <c r="BZ208" s="352"/>
      <c r="CA208" s="352"/>
      <c r="CB208" s="352"/>
      <c r="CC208" s="352"/>
      <c r="CD208" s="352"/>
      <c r="CE208" s="352"/>
      <c r="CS208" s="356">
        <v>24</v>
      </c>
      <c r="CT208" s="359" t="s">
        <v>236</v>
      </c>
      <c r="CU208" s="361">
        <v>14756626.66</v>
      </c>
      <c r="CV208" s="361">
        <v>2102233.9700000002</v>
      </c>
      <c r="CW208" s="361">
        <v>2081886.03</v>
      </c>
      <c r="CX208" s="361">
        <v>1501428.3</v>
      </c>
      <c r="CY208" s="361">
        <v>1687295.66</v>
      </c>
      <c r="CZ208" s="361">
        <v>1810183.2</v>
      </c>
      <c r="DA208" s="361">
        <v>1133333.3600000001</v>
      </c>
      <c r="DB208" s="361">
        <v>825970.5</v>
      </c>
      <c r="DC208" s="361">
        <v>2790603.7</v>
      </c>
      <c r="DD208" s="361">
        <v>340200.21</v>
      </c>
      <c r="DE208" s="361">
        <v>483491.73</v>
      </c>
      <c r="DF208" s="361"/>
      <c r="DG208" s="361"/>
      <c r="DH208" s="361"/>
      <c r="DI208" s="362"/>
      <c r="DJ208" s="361"/>
      <c r="DK208" s="361"/>
      <c r="DL208" s="361"/>
      <c r="DM208" s="361"/>
    </row>
    <row r="209" spans="2:117" ht="13">
      <c r="B209" s="294"/>
      <c r="C209" s="295"/>
      <c r="D209" s="295"/>
      <c r="E209" s="294"/>
      <c r="F209" s="294"/>
      <c r="G209" s="295"/>
      <c r="H209" s="295"/>
      <c r="I209" s="295"/>
      <c r="J209" s="295"/>
      <c r="K209" s="295"/>
      <c r="L209" s="295"/>
      <c r="M209" s="302"/>
      <c r="N209" s="296"/>
      <c r="O209" s="296"/>
      <c r="P209" s="297"/>
      <c r="Q209" s="297"/>
      <c r="R209" s="297"/>
      <c r="S209" s="297"/>
      <c r="T209" s="298"/>
      <c r="U209" s="296"/>
      <c r="V209" s="296"/>
      <c r="W209" s="297"/>
      <c r="X209" s="297"/>
      <c r="Y209" s="297"/>
      <c r="Z209" s="297"/>
      <c r="AA209" s="299"/>
      <c r="AB209" s="296"/>
      <c r="AC209" s="296"/>
      <c r="AD209" s="297"/>
      <c r="AE209" s="297"/>
      <c r="AF209" s="297"/>
      <c r="AG209" s="297"/>
      <c r="AH209" s="295"/>
      <c r="AI209" s="293"/>
      <c r="AJ209" s="293"/>
      <c r="AK209" s="297"/>
      <c r="AL209" s="297"/>
      <c r="AM209" s="297"/>
      <c r="AN209" s="297"/>
      <c r="AO209" s="295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52"/>
      <c r="BL209" s="352"/>
      <c r="BM209" s="352"/>
      <c r="BN209" s="352"/>
      <c r="BO209" s="352"/>
      <c r="BP209" s="352"/>
      <c r="BQ209" s="352"/>
      <c r="BR209" s="352"/>
      <c r="BS209" s="352"/>
      <c r="BT209" s="352"/>
      <c r="BU209" s="352"/>
      <c r="BV209" s="352"/>
      <c r="BW209" s="352"/>
      <c r="BX209" s="352"/>
      <c r="BY209" s="352"/>
      <c r="BZ209" s="352"/>
      <c r="CA209" s="352"/>
      <c r="CB209" s="352"/>
      <c r="CC209" s="352"/>
      <c r="CD209" s="352"/>
      <c r="CE209" s="352"/>
      <c r="CS209" s="356">
        <v>25</v>
      </c>
      <c r="CT209" s="359" t="s">
        <v>127</v>
      </c>
      <c r="CU209" s="361">
        <v>13992545.25</v>
      </c>
      <c r="CV209" s="361">
        <v>1181177.69</v>
      </c>
      <c r="CW209" s="361">
        <v>2001095.1</v>
      </c>
      <c r="CX209" s="361">
        <v>819001.66</v>
      </c>
      <c r="CY209" s="361">
        <v>850360.9</v>
      </c>
      <c r="CZ209" s="361">
        <v>801431.86</v>
      </c>
      <c r="DA209" s="361">
        <v>1948671.81</v>
      </c>
      <c r="DB209" s="361">
        <v>2015277.5</v>
      </c>
      <c r="DC209" s="361">
        <v>2287200.61</v>
      </c>
      <c r="DD209" s="361">
        <v>1134478.99</v>
      </c>
      <c r="DE209" s="361">
        <v>953849.15</v>
      </c>
      <c r="DF209" s="365"/>
      <c r="DG209" s="365"/>
      <c r="DH209" s="365"/>
      <c r="DI209" s="366"/>
      <c r="DJ209" s="365"/>
      <c r="DK209" s="365"/>
      <c r="DL209" s="365"/>
      <c r="DM209" s="365"/>
    </row>
    <row r="210" spans="2:117" ht="13">
      <c r="B210" s="294"/>
      <c r="C210" s="295"/>
      <c r="D210" s="295"/>
      <c r="E210" s="294"/>
      <c r="F210" s="294"/>
      <c r="G210" s="295"/>
      <c r="H210" s="295"/>
      <c r="I210" s="295"/>
      <c r="J210" s="295"/>
      <c r="K210" s="295"/>
      <c r="L210" s="295"/>
      <c r="M210" s="302"/>
      <c r="N210" s="296"/>
      <c r="O210" s="296"/>
      <c r="P210" s="297"/>
      <c r="Q210" s="297"/>
      <c r="R210" s="297"/>
      <c r="S210" s="297"/>
      <c r="T210" s="298"/>
      <c r="U210" s="296"/>
      <c r="V210" s="296"/>
      <c r="W210" s="297"/>
      <c r="X210" s="297"/>
      <c r="Y210" s="297"/>
      <c r="Z210" s="297"/>
      <c r="AA210" s="299"/>
      <c r="AB210" s="296"/>
      <c r="AC210" s="296"/>
      <c r="AD210" s="297"/>
      <c r="AE210" s="297"/>
      <c r="AF210" s="297"/>
      <c r="AG210" s="297"/>
      <c r="AH210" s="295"/>
      <c r="AI210" s="293"/>
      <c r="AJ210" s="293"/>
      <c r="AK210" s="297"/>
      <c r="AL210" s="297"/>
      <c r="AM210" s="297"/>
      <c r="AN210" s="297"/>
      <c r="AO210" s="295"/>
      <c r="AP210" s="352"/>
      <c r="AQ210" s="352"/>
      <c r="AR210" s="352"/>
      <c r="AS210" s="352"/>
      <c r="AT210" s="352"/>
      <c r="AU210" s="352"/>
      <c r="AV210" s="352"/>
      <c r="AW210" s="352"/>
      <c r="AX210" s="352"/>
      <c r="AY210" s="352"/>
      <c r="AZ210" s="352"/>
      <c r="BA210" s="352"/>
      <c r="BB210" s="352"/>
      <c r="BC210" s="352"/>
      <c r="BD210" s="352"/>
      <c r="BE210" s="352"/>
      <c r="BF210" s="352"/>
      <c r="BG210" s="352"/>
      <c r="BH210" s="352"/>
      <c r="BI210" s="352"/>
      <c r="BJ210" s="352"/>
      <c r="BK210" s="352"/>
      <c r="BL210" s="352"/>
      <c r="BM210" s="352"/>
      <c r="BN210" s="352"/>
      <c r="BO210" s="352"/>
      <c r="BP210" s="352"/>
      <c r="BQ210" s="352"/>
      <c r="BR210" s="352"/>
      <c r="BS210" s="352"/>
      <c r="BT210" s="352"/>
      <c r="BU210" s="352"/>
      <c r="BV210" s="352"/>
      <c r="BW210" s="352"/>
      <c r="BX210" s="352"/>
      <c r="BY210" s="352"/>
      <c r="BZ210" s="352"/>
      <c r="CA210" s="352"/>
      <c r="CB210" s="352"/>
      <c r="CC210" s="352"/>
      <c r="CD210" s="352"/>
      <c r="CE210" s="352"/>
      <c r="CS210" s="356">
        <v>26</v>
      </c>
      <c r="CT210" s="359" t="s">
        <v>149</v>
      </c>
      <c r="CU210" s="361">
        <v>13678771.189999999</v>
      </c>
      <c r="CV210" s="361">
        <v>682471.92</v>
      </c>
      <c r="CW210" s="361">
        <v>1217057.6000000001</v>
      </c>
      <c r="CX210" s="361">
        <v>162241.12</v>
      </c>
      <c r="CY210" s="361">
        <v>1259694.32</v>
      </c>
      <c r="CZ210" s="361">
        <v>2350351</v>
      </c>
      <c r="DA210" s="361">
        <v>2120115.52</v>
      </c>
      <c r="DB210" s="361">
        <v>1289966.8799999999</v>
      </c>
      <c r="DC210" s="361">
        <v>2145446</v>
      </c>
      <c r="DD210" s="361">
        <v>1329364.3999999999</v>
      </c>
      <c r="DE210" s="361">
        <v>1122062.43</v>
      </c>
      <c r="DF210" s="361"/>
      <c r="DG210" s="361"/>
      <c r="DH210" s="361"/>
      <c r="DI210" s="362"/>
      <c r="DJ210" s="361"/>
      <c r="DK210" s="361"/>
      <c r="DL210" s="361"/>
      <c r="DM210" s="361"/>
    </row>
    <row r="211" spans="2:117" ht="13">
      <c r="B211" s="294"/>
      <c r="C211" s="295"/>
      <c r="D211" s="295"/>
      <c r="E211" s="294"/>
      <c r="F211" s="294"/>
      <c r="G211" s="295"/>
      <c r="H211" s="295"/>
      <c r="I211" s="295"/>
      <c r="J211" s="295"/>
      <c r="K211" s="295"/>
      <c r="L211" s="295"/>
      <c r="M211" s="302"/>
      <c r="N211" s="296"/>
      <c r="O211" s="296"/>
      <c r="P211" s="297"/>
      <c r="Q211" s="297"/>
      <c r="R211" s="297"/>
      <c r="S211" s="297"/>
      <c r="T211" s="298"/>
      <c r="U211" s="296"/>
      <c r="V211" s="296"/>
      <c r="W211" s="297"/>
      <c r="X211" s="297"/>
      <c r="Y211" s="297"/>
      <c r="Z211" s="297"/>
      <c r="AA211" s="299"/>
      <c r="AB211" s="296"/>
      <c r="AC211" s="296"/>
      <c r="AD211" s="297"/>
      <c r="AE211" s="297"/>
      <c r="AF211" s="297"/>
      <c r="AG211" s="297"/>
      <c r="AH211" s="295"/>
      <c r="AI211" s="293"/>
      <c r="AJ211" s="293"/>
      <c r="AK211" s="297"/>
      <c r="AL211" s="297"/>
      <c r="AM211" s="297"/>
      <c r="AN211" s="297"/>
      <c r="AO211" s="295"/>
      <c r="AP211" s="352"/>
      <c r="AQ211" s="352"/>
      <c r="AR211" s="352"/>
      <c r="AS211" s="352"/>
      <c r="AT211" s="352"/>
      <c r="AU211" s="352"/>
      <c r="AV211" s="352"/>
      <c r="AW211" s="352"/>
      <c r="AX211" s="352"/>
      <c r="AY211" s="352"/>
      <c r="AZ211" s="352"/>
      <c r="BA211" s="352"/>
      <c r="BB211" s="352"/>
      <c r="BC211" s="352"/>
      <c r="BD211" s="352"/>
      <c r="BE211" s="352"/>
      <c r="BF211" s="352"/>
      <c r="BG211" s="352"/>
      <c r="BH211" s="352"/>
      <c r="BI211" s="352"/>
      <c r="BJ211" s="352"/>
      <c r="BK211" s="352"/>
      <c r="BL211" s="352"/>
      <c r="BM211" s="352"/>
      <c r="BN211" s="352"/>
      <c r="BO211" s="352"/>
      <c r="BP211" s="352"/>
      <c r="BQ211" s="352"/>
      <c r="BR211" s="352"/>
      <c r="BS211" s="352"/>
      <c r="BT211" s="352"/>
      <c r="BU211" s="352"/>
      <c r="BV211" s="352"/>
      <c r="BW211" s="352"/>
      <c r="BX211" s="352"/>
      <c r="BY211" s="352"/>
      <c r="BZ211" s="352"/>
      <c r="CA211" s="352"/>
      <c r="CB211" s="352"/>
      <c r="CC211" s="352"/>
      <c r="CD211" s="352"/>
      <c r="CE211" s="352"/>
      <c r="CS211" s="356">
        <v>27</v>
      </c>
      <c r="CT211" s="359" t="s">
        <v>87</v>
      </c>
      <c r="CU211" s="361">
        <v>13437687.24</v>
      </c>
      <c r="CV211" s="361">
        <v>1156379.6399999999</v>
      </c>
      <c r="CW211" s="361">
        <v>2044133.24</v>
      </c>
      <c r="CX211" s="361">
        <v>397054.64</v>
      </c>
      <c r="CY211" s="361">
        <v>1204910.32</v>
      </c>
      <c r="CZ211" s="361">
        <v>1582661.4</v>
      </c>
      <c r="DA211" s="361">
        <v>832847.22</v>
      </c>
      <c r="DB211" s="361">
        <v>1700877.24</v>
      </c>
      <c r="DC211" s="361">
        <v>2809828.4</v>
      </c>
      <c r="DD211" s="361">
        <v>411424.46</v>
      </c>
      <c r="DE211" s="361">
        <v>1297570.68</v>
      </c>
      <c r="DF211" s="361"/>
      <c r="DG211" s="361"/>
      <c r="DH211" s="361"/>
      <c r="DI211" s="362"/>
      <c r="DJ211" s="361"/>
      <c r="DK211" s="361"/>
      <c r="DL211" s="361"/>
      <c r="DM211" s="361"/>
    </row>
    <row r="212" spans="2:117" ht="13">
      <c r="B212" s="294"/>
      <c r="C212" s="295"/>
      <c r="D212" s="295"/>
      <c r="E212" s="294"/>
      <c r="F212" s="294"/>
      <c r="G212" s="295"/>
      <c r="H212" s="295"/>
      <c r="I212" s="295"/>
      <c r="J212" s="295"/>
      <c r="K212" s="295"/>
      <c r="L212" s="295"/>
      <c r="M212" s="302"/>
      <c r="N212" s="296"/>
      <c r="O212" s="296"/>
      <c r="P212" s="297"/>
      <c r="Q212" s="297"/>
      <c r="R212" s="297"/>
      <c r="S212" s="297"/>
      <c r="T212" s="298"/>
      <c r="U212" s="296"/>
      <c r="V212" s="296"/>
      <c r="W212" s="297"/>
      <c r="X212" s="297"/>
      <c r="Y212" s="297"/>
      <c r="Z212" s="297"/>
      <c r="AA212" s="299"/>
      <c r="AB212" s="296"/>
      <c r="AC212" s="296"/>
      <c r="AD212" s="297"/>
      <c r="AE212" s="297"/>
      <c r="AF212" s="297"/>
      <c r="AG212" s="297"/>
      <c r="AH212" s="295"/>
      <c r="AI212" s="293"/>
      <c r="AJ212" s="293"/>
      <c r="AK212" s="297"/>
      <c r="AL212" s="297"/>
      <c r="AM212" s="297"/>
      <c r="AN212" s="297"/>
      <c r="AO212" s="295"/>
      <c r="AP212" s="352"/>
      <c r="AQ212" s="352"/>
      <c r="AR212" s="352"/>
      <c r="AS212" s="352"/>
      <c r="AT212" s="352"/>
      <c r="AU212" s="352"/>
      <c r="AV212" s="352"/>
      <c r="AW212" s="352"/>
      <c r="AX212" s="352"/>
      <c r="AY212" s="352"/>
      <c r="AZ212" s="352"/>
      <c r="BA212" s="352"/>
      <c r="BB212" s="352"/>
      <c r="BC212" s="352"/>
      <c r="BD212" s="352"/>
      <c r="BE212" s="352"/>
      <c r="BF212" s="352"/>
      <c r="BG212" s="352"/>
      <c r="BH212" s="352"/>
      <c r="BI212" s="352"/>
      <c r="BJ212" s="352"/>
      <c r="BK212" s="352"/>
      <c r="BL212" s="352"/>
      <c r="BM212" s="352"/>
      <c r="BN212" s="352"/>
      <c r="BO212" s="352"/>
      <c r="BP212" s="352"/>
      <c r="BQ212" s="352"/>
      <c r="BR212" s="352"/>
      <c r="BS212" s="352"/>
      <c r="BT212" s="352"/>
      <c r="BU212" s="352"/>
      <c r="BV212" s="352"/>
      <c r="BW212" s="352"/>
      <c r="BX212" s="352"/>
      <c r="BY212" s="352"/>
      <c r="BZ212" s="352"/>
      <c r="CA212" s="352"/>
      <c r="CB212" s="352"/>
      <c r="CC212" s="352"/>
      <c r="CD212" s="352"/>
      <c r="CE212" s="352"/>
      <c r="CS212" s="356">
        <v>28</v>
      </c>
      <c r="CT212" s="359" t="s">
        <v>65</v>
      </c>
      <c r="CU212" s="361">
        <v>12731770.6</v>
      </c>
      <c r="CV212" s="361">
        <v>0</v>
      </c>
      <c r="CW212" s="361">
        <v>1517033.41</v>
      </c>
      <c r="CX212" s="361">
        <v>524453.89</v>
      </c>
      <c r="CY212" s="361">
        <v>2189668.88</v>
      </c>
      <c r="CZ212" s="361">
        <v>1006312.26</v>
      </c>
      <c r="DA212" s="361">
        <v>1109862.3400000001</v>
      </c>
      <c r="DB212" s="361">
        <v>955556.24</v>
      </c>
      <c r="DC212" s="361">
        <v>1623688.03</v>
      </c>
      <c r="DD212" s="361">
        <v>1618113.62</v>
      </c>
      <c r="DE212" s="361">
        <v>2187081.9300000002</v>
      </c>
      <c r="DF212" s="361"/>
      <c r="DG212" s="361"/>
      <c r="DH212" s="361"/>
      <c r="DI212" s="362"/>
      <c r="DJ212" s="361"/>
      <c r="DK212" s="361"/>
      <c r="DL212" s="361"/>
      <c r="DM212" s="361"/>
    </row>
    <row r="213" spans="2:117" ht="13">
      <c r="B213" s="294"/>
      <c r="C213" s="295"/>
      <c r="D213" s="295"/>
      <c r="E213" s="294"/>
      <c r="F213" s="294"/>
      <c r="G213" s="295"/>
      <c r="H213" s="295"/>
      <c r="I213" s="295"/>
      <c r="J213" s="295"/>
      <c r="K213" s="295"/>
      <c r="L213" s="295"/>
      <c r="M213" s="302"/>
      <c r="N213" s="296"/>
      <c r="O213" s="296"/>
      <c r="P213" s="297"/>
      <c r="Q213" s="297"/>
      <c r="R213" s="297"/>
      <c r="S213" s="297"/>
      <c r="T213" s="298"/>
      <c r="U213" s="296"/>
      <c r="V213" s="296"/>
      <c r="W213" s="297"/>
      <c r="X213" s="297"/>
      <c r="Y213" s="297"/>
      <c r="Z213" s="297"/>
      <c r="AA213" s="299"/>
      <c r="AB213" s="296"/>
      <c r="AC213" s="296"/>
      <c r="AD213" s="297"/>
      <c r="AE213" s="297"/>
      <c r="AF213" s="297"/>
      <c r="AG213" s="297"/>
      <c r="AH213" s="295"/>
      <c r="AI213" s="293"/>
      <c r="AJ213" s="293"/>
      <c r="AK213" s="297"/>
      <c r="AL213" s="297"/>
      <c r="AM213" s="297"/>
      <c r="AN213" s="297"/>
      <c r="AO213" s="295"/>
      <c r="AP213" s="352"/>
      <c r="AQ213" s="352"/>
      <c r="AR213" s="352"/>
      <c r="AS213" s="352"/>
      <c r="AT213" s="352"/>
      <c r="AU213" s="352"/>
      <c r="AV213" s="352"/>
      <c r="AW213" s="352"/>
      <c r="AX213" s="352"/>
      <c r="AY213" s="352"/>
      <c r="AZ213" s="352"/>
      <c r="BA213" s="352"/>
      <c r="BB213" s="352"/>
      <c r="BC213" s="352"/>
      <c r="BD213" s="352"/>
      <c r="BE213" s="352"/>
      <c r="BF213" s="352"/>
      <c r="BG213" s="352"/>
      <c r="BH213" s="352"/>
      <c r="BI213" s="352"/>
      <c r="BJ213" s="352"/>
      <c r="BK213" s="352"/>
      <c r="BL213" s="352"/>
      <c r="BM213" s="352"/>
      <c r="BN213" s="352"/>
      <c r="BO213" s="352"/>
      <c r="BP213" s="352"/>
      <c r="BQ213" s="352"/>
      <c r="BR213" s="352"/>
      <c r="BS213" s="352"/>
      <c r="BT213" s="352"/>
      <c r="BU213" s="352"/>
      <c r="BV213" s="352"/>
      <c r="BW213" s="352"/>
      <c r="BX213" s="352"/>
      <c r="BY213" s="352"/>
      <c r="BZ213" s="352"/>
      <c r="CA213" s="352"/>
      <c r="CB213" s="352"/>
      <c r="CC213" s="352"/>
      <c r="CD213" s="352"/>
      <c r="CE213" s="352"/>
      <c r="CS213" s="356">
        <v>29</v>
      </c>
      <c r="CT213" s="359" t="s">
        <v>125</v>
      </c>
      <c r="CU213" s="361">
        <v>12652759.09</v>
      </c>
      <c r="CV213" s="361">
        <v>0</v>
      </c>
      <c r="CW213" s="361">
        <v>1117565.52</v>
      </c>
      <c r="CX213" s="361">
        <v>1350399.87</v>
      </c>
      <c r="CY213" s="361">
        <v>1313613.48</v>
      </c>
      <c r="CZ213" s="361">
        <v>696137.83</v>
      </c>
      <c r="DA213" s="361">
        <v>1735216.84</v>
      </c>
      <c r="DB213" s="361">
        <v>1508212.86</v>
      </c>
      <c r="DC213" s="361">
        <v>1319388.83</v>
      </c>
      <c r="DD213" s="361">
        <v>1913753.77</v>
      </c>
      <c r="DE213" s="361">
        <v>1698470.09</v>
      </c>
      <c r="DF213" s="365"/>
      <c r="DG213" s="365"/>
      <c r="DH213" s="365"/>
      <c r="DI213" s="366"/>
      <c r="DJ213" s="365"/>
      <c r="DK213" s="365"/>
      <c r="DL213" s="365"/>
      <c r="DM213" s="365"/>
    </row>
    <row r="214" spans="2:117" ht="13">
      <c r="B214" s="294"/>
      <c r="C214" s="295"/>
      <c r="D214" s="295"/>
      <c r="E214" s="294"/>
      <c r="F214" s="294"/>
      <c r="G214" s="295"/>
      <c r="H214" s="295"/>
      <c r="I214" s="295"/>
      <c r="J214" s="295"/>
      <c r="K214" s="295"/>
      <c r="L214" s="295"/>
      <c r="M214" s="302"/>
      <c r="N214" s="296"/>
      <c r="O214" s="296"/>
      <c r="P214" s="297"/>
      <c r="Q214" s="297"/>
      <c r="R214" s="297"/>
      <c r="S214" s="297"/>
      <c r="T214" s="298"/>
      <c r="U214" s="296"/>
      <c r="V214" s="296"/>
      <c r="W214" s="297"/>
      <c r="X214" s="297"/>
      <c r="Y214" s="297"/>
      <c r="Z214" s="297"/>
      <c r="AA214" s="299"/>
      <c r="AB214" s="296"/>
      <c r="AC214" s="296"/>
      <c r="AD214" s="297"/>
      <c r="AE214" s="297"/>
      <c r="AF214" s="297"/>
      <c r="AG214" s="297"/>
      <c r="AH214" s="295"/>
      <c r="AI214" s="293"/>
      <c r="AJ214" s="293"/>
      <c r="AK214" s="297"/>
      <c r="AL214" s="297"/>
      <c r="AM214" s="297"/>
      <c r="AN214" s="297"/>
      <c r="AO214" s="295"/>
      <c r="AP214" s="352"/>
      <c r="AQ214" s="352"/>
      <c r="AR214" s="352"/>
      <c r="AS214" s="352"/>
      <c r="AT214" s="352"/>
      <c r="AU214" s="352"/>
      <c r="AV214" s="352"/>
      <c r="AW214" s="352"/>
      <c r="AX214" s="352"/>
      <c r="AY214" s="352"/>
      <c r="AZ214" s="352"/>
      <c r="BA214" s="352"/>
      <c r="BB214" s="352"/>
      <c r="BC214" s="352"/>
      <c r="BD214" s="352"/>
      <c r="BE214" s="352"/>
      <c r="BF214" s="352"/>
      <c r="BG214" s="352"/>
      <c r="BH214" s="352"/>
      <c r="BI214" s="352"/>
      <c r="BJ214" s="352"/>
      <c r="BK214" s="352"/>
      <c r="BL214" s="352"/>
      <c r="BM214" s="352"/>
      <c r="BN214" s="352"/>
      <c r="BO214" s="352"/>
      <c r="BP214" s="352"/>
      <c r="BQ214" s="352"/>
      <c r="BR214" s="352"/>
      <c r="BS214" s="352"/>
      <c r="BT214" s="352"/>
      <c r="BU214" s="352"/>
      <c r="BV214" s="352"/>
      <c r="BW214" s="352"/>
      <c r="BX214" s="352"/>
      <c r="BY214" s="352"/>
      <c r="BZ214" s="352"/>
      <c r="CA214" s="352"/>
      <c r="CB214" s="352"/>
      <c r="CC214" s="352"/>
      <c r="CD214" s="352"/>
      <c r="CE214" s="352"/>
      <c r="CS214" s="356">
        <v>30</v>
      </c>
      <c r="CT214" s="359" t="s">
        <v>131</v>
      </c>
      <c r="CU214" s="361">
        <v>12563660.560000001</v>
      </c>
      <c r="CV214" s="361">
        <v>1048838.42</v>
      </c>
      <c r="CW214" s="361">
        <v>1823606.94</v>
      </c>
      <c r="CX214" s="361">
        <v>230935.67</v>
      </c>
      <c r="CY214" s="361">
        <v>1327350.02</v>
      </c>
      <c r="CZ214" s="361">
        <v>1230131.8999999999</v>
      </c>
      <c r="DA214" s="361">
        <v>1377815.82</v>
      </c>
      <c r="DB214" s="361">
        <v>1762835.92</v>
      </c>
      <c r="DC214" s="361">
        <v>1113017.98</v>
      </c>
      <c r="DD214" s="361">
        <v>912738.83</v>
      </c>
      <c r="DE214" s="361">
        <v>1736389.05</v>
      </c>
      <c r="DF214" s="361"/>
      <c r="DG214" s="361"/>
      <c r="DH214" s="361"/>
      <c r="DI214" s="362"/>
      <c r="DJ214" s="361"/>
      <c r="DK214" s="361"/>
      <c r="DL214" s="361"/>
      <c r="DM214" s="361"/>
    </row>
    <row r="215" spans="2:117" ht="13">
      <c r="B215" s="294"/>
      <c r="C215" s="295"/>
      <c r="D215" s="295"/>
      <c r="E215" s="294"/>
      <c r="F215" s="294"/>
      <c r="G215" s="295"/>
      <c r="H215" s="295"/>
      <c r="I215" s="295"/>
      <c r="J215" s="295"/>
      <c r="K215" s="295"/>
      <c r="L215" s="295"/>
      <c r="M215" s="302"/>
      <c r="N215" s="296"/>
      <c r="O215" s="296"/>
      <c r="P215" s="297"/>
      <c r="Q215" s="297"/>
      <c r="R215" s="297"/>
      <c r="S215" s="297"/>
      <c r="T215" s="298"/>
      <c r="U215" s="296"/>
      <c r="V215" s="296"/>
      <c r="W215" s="297"/>
      <c r="X215" s="297"/>
      <c r="Y215" s="297"/>
      <c r="Z215" s="297"/>
      <c r="AA215" s="299"/>
      <c r="AB215" s="296"/>
      <c r="AC215" s="296"/>
      <c r="AD215" s="297"/>
      <c r="AE215" s="297"/>
      <c r="AF215" s="297"/>
      <c r="AG215" s="297"/>
      <c r="AH215" s="295"/>
      <c r="AI215" s="293"/>
      <c r="AJ215" s="293"/>
      <c r="AK215" s="297"/>
      <c r="AL215" s="297"/>
      <c r="AM215" s="297"/>
      <c r="AN215" s="297"/>
      <c r="AO215" s="295"/>
      <c r="AP215" s="352"/>
      <c r="AQ215" s="352"/>
      <c r="AR215" s="352"/>
      <c r="AS215" s="352"/>
      <c r="AT215" s="352"/>
      <c r="AU215" s="352"/>
      <c r="AV215" s="352"/>
      <c r="AW215" s="352"/>
      <c r="AX215" s="352"/>
      <c r="AY215" s="352"/>
      <c r="AZ215" s="352"/>
      <c r="BA215" s="352"/>
      <c r="BB215" s="352"/>
      <c r="BC215" s="352"/>
      <c r="BD215" s="352"/>
      <c r="BE215" s="352"/>
      <c r="BF215" s="352"/>
      <c r="BG215" s="352"/>
      <c r="BH215" s="352"/>
      <c r="BI215" s="352"/>
      <c r="BJ215" s="352"/>
      <c r="BK215" s="352"/>
      <c r="BL215" s="352"/>
      <c r="BM215" s="352"/>
      <c r="BN215" s="352"/>
      <c r="BO215" s="352"/>
      <c r="BP215" s="352"/>
      <c r="BQ215" s="352"/>
      <c r="BR215" s="352"/>
      <c r="BS215" s="352"/>
      <c r="BT215" s="352"/>
      <c r="BU215" s="352"/>
      <c r="BV215" s="352"/>
      <c r="BW215" s="352"/>
      <c r="BX215" s="352"/>
      <c r="BY215" s="352"/>
      <c r="BZ215" s="352"/>
      <c r="CA215" s="352"/>
      <c r="CB215" s="352"/>
      <c r="CC215" s="352"/>
      <c r="CD215" s="352"/>
      <c r="CE215" s="352"/>
      <c r="CS215" s="356">
        <v>31</v>
      </c>
      <c r="CT215" s="359" t="s">
        <v>69</v>
      </c>
      <c r="CU215" s="361">
        <v>11676489.66</v>
      </c>
      <c r="CV215" s="361">
        <v>0</v>
      </c>
      <c r="CW215" s="361">
        <v>2964403.37</v>
      </c>
      <c r="CX215" s="361">
        <v>101143.2</v>
      </c>
      <c r="CY215" s="361">
        <v>0</v>
      </c>
      <c r="CZ215" s="361">
        <v>0</v>
      </c>
      <c r="DA215" s="361">
        <v>0</v>
      </c>
      <c r="DB215" s="361">
        <v>0</v>
      </c>
      <c r="DC215" s="361">
        <v>1718749.2</v>
      </c>
      <c r="DD215" s="361">
        <v>2550720.81</v>
      </c>
      <c r="DE215" s="361">
        <v>4341473.07</v>
      </c>
      <c r="DF215" s="361"/>
      <c r="DG215" s="361"/>
      <c r="DH215" s="361"/>
      <c r="DI215" s="362"/>
      <c r="DJ215" s="361"/>
      <c r="DK215" s="361"/>
      <c r="DL215" s="361"/>
      <c r="DM215" s="361"/>
    </row>
    <row r="216" spans="2:117" ht="13">
      <c r="B216" s="294"/>
      <c r="C216" s="295"/>
      <c r="D216" s="295"/>
      <c r="E216" s="294"/>
      <c r="F216" s="294"/>
      <c r="G216" s="295"/>
      <c r="H216" s="295"/>
      <c r="I216" s="295"/>
      <c r="J216" s="295"/>
      <c r="K216" s="295"/>
      <c r="L216" s="295"/>
      <c r="M216" s="302"/>
      <c r="N216" s="296"/>
      <c r="O216" s="296"/>
      <c r="P216" s="297"/>
      <c r="Q216" s="297"/>
      <c r="R216" s="297"/>
      <c r="S216" s="297"/>
      <c r="T216" s="298"/>
      <c r="U216" s="296"/>
      <c r="V216" s="296"/>
      <c r="W216" s="297"/>
      <c r="X216" s="297"/>
      <c r="Y216" s="297"/>
      <c r="Z216" s="297"/>
      <c r="AA216" s="299"/>
      <c r="AB216" s="296"/>
      <c r="AC216" s="296"/>
      <c r="AD216" s="297"/>
      <c r="AE216" s="297"/>
      <c r="AF216" s="297"/>
      <c r="AG216" s="297"/>
      <c r="AH216" s="295"/>
      <c r="AI216" s="293"/>
      <c r="AJ216" s="293"/>
      <c r="AK216" s="297"/>
      <c r="AL216" s="297"/>
      <c r="AM216" s="297"/>
      <c r="AN216" s="297"/>
      <c r="AO216" s="295"/>
      <c r="AP216" s="352"/>
      <c r="AQ216" s="352"/>
      <c r="AR216" s="352"/>
      <c r="AS216" s="352"/>
      <c r="AT216" s="352"/>
      <c r="AU216" s="352"/>
      <c r="AV216" s="352"/>
      <c r="AW216" s="352"/>
      <c r="AX216" s="352"/>
      <c r="AY216" s="352"/>
      <c r="AZ216" s="352"/>
      <c r="BA216" s="352"/>
      <c r="BB216" s="352"/>
      <c r="BC216" s="352"/>
      <c r="BD216" s="352"/>
      <c r="BE216" s="352"/>
      <c r="BF216" s="352"/>
      <c r="BG216" s="352"/>
      <c r="BH216" s="352"/>
      <c r="BI216" s="352"/>
      <c r="BJ216" s="352"/>
      <c r="BK216" s="352"/>
      <c r="BL216" s="352"/>
      <c r="BM216" s="352"/>
      <c r="BN216" s="352"/>
      <c r="BO216" s="352"/>
      <c r="BP216" s="352"/>
      <c r="BQ216" s="352"/>
      <c r="BR216" s="352"/>
      <c r="BS216" s="352"/>
      <c r="BT216" s="352"/>
      <c r="BU216" s="352"/>
      <c r="BV216" s="352"/>
      <c r="BW216" s="352"/>
      <c r="BX216" s="352"/>
      <c r="BY216" s="352"/>
      <c r="BZ216" s="352"/>
      <c r="CA216" s="352"/>
      <c r="CB216" s="352"/>
      <c r="CC216" s="352"/>
      <c r="CD216" s="352"/>
      <c r="CE216" s="352"/>
      <c r="CS216" s="356">
        <v>32</v>
      </c>
      <c r="CT216" s="359" t="s">
        <v>182</v>
      </c>
      <c r="CU216" s="361">
        <v>11574767.810000001</v>
      </c>
      <c r="CV216" s="361">
        <v>1317005.54</v>
      </c>
      <c r="CW216" s="361">
        <v>1682291.25</v>
      </c>
      <c r="CX216" s="361">
        <v>1820307.65</v>
      </c>
      <c r="CY216" s="361">
        <v>1074695.1000000001</v>
      </c>
      <c r="CZ216" s="361">
        <v>1603796.94</v>
      </c>
      <c r="DA216" s="361">
        <v>1254496.94</v>
      </c>
      <c r="DB216" s="361">
        <v>804149.44</v>
      </c>
      <c r="DC216" s="361">
        <v>1177516.19</v>
      </c>
      <c r="DD216" s="361">
        <v>394908.74</v>
      </c>
      <c r="DE216" s="361">
        <v>445600.03</v>
      </c>
      <c r="DF216" s="361"/>
      <c r="DG216" s="361"/>
      <c r="DH216" s="361"/>
      <c r="DI216" s="362"/>
      <c r="DJ216" s="361"/>
      <c r="DK216" s="361"/>
      <c r="DL216" s="361"/>
      <c r="DM216" s="361"/>
    </row>
    <row r="217" spans="2:117" ht="13">
      <c r="B217" s="294"/>
      <c r="C217" s="295"/>
      <c r="D217" s="295"/>
      <c r="E217" s="294"/>
      <c r="F217" s="294"/>
      <c r="G217" s="295"/>
      <c r="H217" s="295"/>
      <c r="I217" s="295"/>
      <c r="J217" s="295"/>
      <c r="K217" s="295"/>
      <c r="L217" s="295"/>
      <c r="M217" s="302"/>
      <c r="N217" s="296"/>
      <c r="O217" s="296"/>
      <c r="P217" s="297"/>
      <c r="Q217" s="297"/>
      <c r="R217" s="297"/>
      <c r="S217" s="297"/>
      <c r="T217" s="298"/>
      <c r="U217" s="296"/>
      <c r="V217" s="296"/>
      <c r="W217" s="297"/>
      <c r="X217" s="297"/>
      <c r="Y217" s="297"/>
      <c r="Z217" s="297"/>
      <c r="AA217" s="299"/>
      <c r="AB217" s="296"/>
      <c r="AC217" s="296"/>
      <c r="AD217" s="297"/>
      <c r="AE217" s="297"/>
      <c r="AF217" s="297"/>
      <c r="AG217" s="297"/>
      <c r="AH217" s="295"/>
      <c r="AI217" s="293"/>
      <c r="AJ217" s="293"/>
      <c r="AK217" s="297"/>
      <c r="AL217" s="297"/>
      <c r="AM217" s="297"/>
      <c r="AN217" s="297"/>
      <c r="AO217" s="295"/>
      <c r="AP217" s="352"/>
      <c r="AQ217" s="352"/>
      <c r="AR217" s="352"/>
      <c r="AS217" s="352"/>
      <c r="AT217" s="352"/>
      <c r="AU217" s="352"/>
      <c r="AV217" s="352"/>
      <c r="AW217" s="352"/>
      <c r="AX217" s="352"/>
      <c r="AY217" s="352"/>
      <c r="AZ217" s="352"/>
      <c r="BA217" s="352"/>
      <c r="BB217" s="352"/>
      <c r="BC217" s="352"/>
      <c r="BD217" s="352"/>
      <c r="BE217" s="352"/>
      <c r="BF217" s="352"/>
      <c r="BG217" s="352"/>
      <c r="BH217" s="352"/>
      <c r="BI217" s="352"/>
      <c r="BJ217" s="352"/>
      <c r="BK217" s="352"/>
      <c r="BL217" s="352"/>
      <c r="BM217" s="352"/>
      <c r="BN217" s="352"/>
      <c r="BO217" s="352"/>
      <c r="BP217" s="352"/>
      <c r="BQ217" s="352"/>
      <c r="BR217" s="352"/>
      <c r="BS217" s="352"/>
      <c r="BT217" s="352"/>
      <c r="BU217" s="352"/>
      <c r="BV217" s="352"/>
      <c r="BW217" s="352"/>
      <c r="BX217" s="352"/>
      <c r="BY217" s="352"/>
      <c r="BZ217" s="352"/>
      <c r="CA217" s="352"/>
      <c r="CB217" s="352"/>
      <c r="CC217" s="352"/>
      <c r="CD217" s="352"/>
      <c r="CE217" s="352"/>
      <c r="CS217" s="356">
        <v>33</v>
      </c>
      <c r="CT217" s="359" t="s">
        <v>178</v>
      </c>
      <c r="CU217" s="361">
        <v>11226782.93</v>
      </c>
      <c r="CV217" s="361">
        <v>1479587.4</v>
      </c>
      <c r="CW217" s="361">
        <v>1625561.28</v>
      </c>
      <c r="CX217" s="361">
        <v>118936</v>
      </c>
      <c r="CY217" s="361">
        <v>908202.35</v>
      </c>
      <c r="CZ217" s="361">
        <v>709079.69</v>
      </c>
      <c r="DA217" s="361">
        <v>861569.38</v>
      </c>
      <c r="DB217" s="361">
        <v>1363621.15</v>
      </c>
      <c r="DC217" s="361">
        <v>1658311.42</v>
      </c>
      <c r="DD217" s="361">
        <v>1297902.24</v>
      </c>
      <c r="DE217" s="361">
        <v>1204012.04</v>
      </c>
      <c r="DF217" s="365"/>
      <c r="DG217" s="365"/>
      <c r="DH217" s="365"/>
      <c r="DI217" s="366"/>
      <c r="DJ217" s="365"/>
      <c r="DK217" s="365"/>
      <c r="DL217" s="365"/>
      <c r="DM217" s="365"/>
    </row>
    <row r="218" spans="2:117" ht="13">
      <c r="B218" s="294"/>
      <c r="C218" s="295"/>
      <c r="D218" s="295"/>
      <c r="E218" s="294"/>
      <c r="F218" s="294"/>
      <c r="G218" s="295"/>
      <c r="H218" s="295"/>
      <c r="I218" s="295"/>
      <c r="J218" s="295"/>
      <c r="K218" s="295"/>
      <c r="L218" s="295"/>
      <c r="M218" s="302"/>
      <c r="N218" s="296"/>
      <c r="O218" s="296"/>
      <c r="P218" s="297"/>
      <c r="Q218" s="297"/>
      <c r="R218" s="297"/>
      <c r="S218" s="297"/>
      <c r="T218" s="298"/>
      <c r="U218" s="296"/>
      <c r="V218" s="296"/>
      <c r="W218" s="297"/>
      <c r="X218" s="297"/>
      <c r="Y218" s="297"/>
      <c r="Z218" s="297"/>
      <c r="AA218" s="299"/>
      <c r="AB218" s="296"/>
      <c r="AC218" s="296"/>
      <c r="AD218" s="297"/>
      <c r="AE218" s="297"/>
      <c r="AF218" s="297"/>
      <c r="AG218" s="297"/>
      <c r="AH218" s="295"/>
      <c r="AI218" s="293"/>
      <c r="AJ218" s="293"/>
      <c r="AK218" s="297"/>
      <c r="AL218" s="297"/>
      <c r="AM218" s="297"/>
      <c r="AN218" s="297"/>
      <c r="AO218" s="295"/>
      <c r="AP218" s="352"/>
      <c r="AQ218" s="352"/>
      <c r="AR218" s="352"/>
      <c r="AS218" s="352"/>
      <c r="AT218" s="352"/>
      <c r="AU218" s="352"/>
      <c r="AV218" s="352"/>
      <c r="AW218" s="352"/>
      <c r="AX218" s="352"/>
      <c r="AY218" s="352"/>
      <c r="AZ218" s="352"/>
      <c r="BA218" s="352"/>
      <c r="BB218" s="352"/>
      <c r="BC218" s="352"/>
      <c r="BD218" s="352"/>
      <c r="BE218" s="352"/>
      <c r="BF218" s="352"/>
      <c r="BG218" s="352"/>
      <c r="BH218" s="352"/>
      <c r="BI218" s="352"/>
      <c r="BJ218" s="352"/>
      <c r="BK218" s="352"/>
      <c r="BL218" s="352"/>
      <c r="BM218" s="352"/>
      <c r="BN218" s="352"/>
      <c r="BO218" s="352"/>
      <c r="BP218" s="352"/>
      <c r="BQ218" s="352"/>
      <c r="BR218" s="352"/>
      <c r="BS218" s="352"/>
      <c r="BT218" s="352"/>
      <c r="BU218" s="352"/>
      <c r="BV218" s="352"/>
      <c r="BW218" s="352"/>
      <c r="BX218" s="352"/>
      <c r="BY218" s="352"/>
      <c r="BZ218" s="352"/>
      <c r="CA218" s="352"/>
      <c r="CB218" s="352"/>
      <c r="CC218" s="352"/>
      <c r="CD218" s="352"/>
      <c r="CE218" s="352"/>
      <c r="CS218" s="356">
        <v>34</v>
      </c>
      <c r="CT218" s="359" t="s">
        <v>95</v>
      </c>
      <c r="CU218" s="361">
        <v>10719341.529999999</v>
      </c>
      <c r="CV218" s="361">
        <v>773823.2</v>
      </c>
      <c r="CW218" s="361">
        <v>587586.37</v>
      </c>
      <c r="CX218" s="361">
        <v>1047563.07</v>
      </c>
      <c r="CY218" s="361">
        <v>1191701.68</v>
      </c>
      <c r="CZ218" s="361">
        <v>813471.21</v>
      </c>
      <c r="DA218" s="361">
        <v>1741938.61</v>
      </c>
      <c r="DB218" s="361">
        <v>1568204.63</v>
      </c>
      <c r="DC218" s="361">
        <v>463707.06</v>
      </c>
      <c r="DD218" s="361">
        <v>1361472.22</v>
      </c>
      <c r="DE218" s="361">
        <v>1169873.48</v>
      </c>
      <c r="DF218" s="361"/>
      <c r="DG218" s="361"/>
      <c r="DH218" s="361"/>
      <c r="DI218" s="362"/>
      <c r="DJ218" s="361"/>
      <c r="DK218" s="361"/>
      <c r="DL218" s="361"/>
      <c r="DM218" s="361"/>
    </row>
    <row r="219" spans="2:117" ht="13">
      <c r="B219" s="294"/>
      <c r="C219" s="295"/>
      <c r="D219" s="295"/>
      <c r="E219" s="294"/>
      <c r="F219" s="294"/>
      <c r="G219" s="295"/>
      <c r="H219" s="295"/>
      <c r="I219" s="295"/>
      <c r="J219" s="295"/>
      <c r="K219" s="295"/>
      <c r="L219" s="295"/>
      <c r="M219" s="302"/>
      <c r="N219" s="296"/>
      <c r="O219" s="296"/>
      <c r="P219" s="297"/>
      <c r="Q219" s="297"/>
      <c r="R219" s="297"/>
      <c r="S219" s="297"/>
      <c r="T219" s="298"/>
      <c r="U219" s="296"/>
      <c r="V219" s="296"/>
      <c r="W219" s="297"/>
      <c r="X219" s="297"/>
      <c r="Y219" s="297"/>
      <c r="Z219" s="297"/>
      <c r="AA219" s="299"/>
      <c r="AB219" s="296"/>
      <c r="AC219" s="296"/>
      <c r="AD219" s="297"/>
      <c r="AE219" s="297"/>
      <c r="AF219" s="297"/>
      <c r="AG219" s="297"/>
      <c r="AH219" s="295"/>
      <c r="AI219" s="293"/>
      <c r="AJ219" s="293"/>
      <c r="AK219" s="297"/>
      <c r="AL219" s="297"/>
      <c r="AM219" s="297"/>
      <c r="AN219" s="297"/>
      <c r="AO219" s="295"/>
      <c r="AP219" s="352"/>
      <c r="AQ219" s="352"/>
      <c r="AR219" s="352"/>
      <c r="AS219" s="352"/>
      <c r="AT219" s="352"/>
      <c r="AU219" s="352"/>
      <c r="AV219" s="352"/>
      <c r="AW219" s="352"/>
      <c r="AX219" s="352"/>
      <c r="AY219" s="352"/>
      <c r="AZ219" s="352"/>
      <c r="BA219" s="35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52"/>
      <c r="BL219" s="352"/>
      <c r="BM219" s="352"/>
      <c r="BN219" s="352"/>
      <c r="BO219" s="352"/>
      <c r="BP219" s="352"/>
      <c r="BQ219" s="352"/>
      <c r="BR219" s="352"/>
      <c r="BS219" s="352"/>
      <c r="BT219" s="352"/>
      <c r="BU219" s="352"/>
      <c r="BV219" s="352"/>
      <c r="BW219" s="352"/>
      <c r="BX219" s="352"/>
      <c r="BY219" s="352"/>
      <c r="BZ219" s="352"/>
      <c r="CA219" s="352"/>
      <c r="CB219" s="352"/>
      <c r="CC219" s="352"/>
      <c r="CD219" s="352"/>
      <c r="CE219" s="352"/>
      <c r="CS219" s="356">
        <v>35</v>
      </c>
      <c r="CT219" s="359" t="s">
        <v>99</v>
      </c>
      <c r="CU219" s="361">
        <v>10512354.08</v>
      </c>
      <c r="CV219" s="361">
        <v>1523157.3</v>
      </c>
      <c r="CW219" s="361">
        <v>1337599.3400000001</v>
      </c>
      <c r="CX219" s="361">
        <v>1250026.79</v>
      </c>
      <c r="CY219" s="361">
        <v>940080.21</v>
      </c>
      <c r="CZ219" s="361">
        <v>1260736.95</v>
      </c>
      <c r="DA219" s="361">
        <v>960758.69</v>
      </c>
      <c r="DB219" s="361">
        <v>225863.09</v>
      </c>
      <c r="DC219" s="361">
        <v>0</v>
      </c>
      <c r="DD219" s="361">
        <v>1242505.69</v>
      </c>
      <c r="DE219" s="361">
        <v>1771626.02</v>
      </c>
      <c r="DF219" s="361"/>
      <c r="DG219" s="361"/>
      <c r="DH219" s="361"/>
      <c r="DI219" s="362"/>
      <c r="DJ219" s="361"/>
      <c r="DK219" s="361"/>
      <c r="DL219" s="361"/>
      <c r="DM219" s="361"/>
    </row>
    <row r="220" spans="2:117" ht="13">
      <c r="B220" s="294"/>
      <c r="C220" s="295"/>
      <c r="D220" s="295"/>
      <c r="E220" s="294"/>
      <c r="F220" s="294"/>
      <c r="G220" s="295"/>
      <c r="H220" s="295"/>
      <c r="I220" s="295"/>
      <c r="J220" s="295"/>
      <c r="K220" s="295"/>
      <c r="L220" s="295"/>
      <c r="M220" s="302"/>
      <c r="N220" s="296"/>
      <c r="O220" s="296"/>
      <c r="P220" s="297"/>
      <c r="Q220" s="297"/>
      <c r="R220" s="297"/>
      <c r="S220" s="297"/>
      <c r="T220" s="298"/>
      <c r="U220" s="296"/>
      <c r="V220" s="296"/>
      <c r="W220" s="297"/>
      <c r="X220" s="297"/>
      <c r="Y220" s="297"/>
      <c r="Z220" s="297"/>
      <c r="AA220" s="299"/>
      <c r="AB220" s="296"/>
      <c r="AC220" s="296"/>
      <c r="AD220" s="297"/>
      <c r="AE220" s="297"/>
      <c r="AF220" s="297"/>
      <c r="AG220" s="297"/>
      <c r="AH220" s="295"/>
      <c r="AI220" s="293"/>
      <c r="AJ220" s="293"/>
      <c r="AK220" s="297"/>
      <c r="AL220" s="297"/>
      <c r="AM220" s="297"/>
      <c r="AN220" s="297"/>
      <c r="AO220" s="295"/>
      <c r="AP220" s="352"/>
      <c r="AQ220" s="352"/>
      <c r="AR220" s="352"/>
      <c r="AS220" s="352"/>
      <c r="AT220" s="352"/>
      <c r="AU220" s="352"/>
      <c r="AV220" s="352"/>
      <c r="AW220" s="352"/>
      <c r="AX220" s="302"/>
      <c r="AY220" s="302"/>
      <c r="AZ220" s="302"/>
      <c r="BA220" s="302"/>
      <c r="BB220" s="352"/>
      <c r="BC220" s="352"/>
      <c r="BD220" s="352"/>
      <c r="BE220" s="352"/>
      <c r="BF220" s="352"/>
      <c r="BG220" s="352"/>
      <c r="BH220" s="352"/>
      <c r="BI220" s="352"/>
      <c r="BJ220" s="352"/>
      <c r="BK220" s="352"/>
      <c r="BL220" s="352"/>
      <c r="BM220" s="352"/>
      <c r="BN220" s="352"/>
      <c r="BO220" s="352"/>
      <c r="BP220" s="352"/>
      <c r="BQ220" s="352"/>
      <c r="BR220" s="352"/>
      <c r="BS220" s="352"/>
      <c r="BT220" s="352"/>
      <c r="BU220" s="352"/>
      <c r="BV220" s="352"/>
      <c r="BW220" s="352"/>
      <c r="BX220" s="352"/>
      <c r="BY220" s="352"/>
      <c r="BZ220" s="352"/>
      <c r="CA220" s="352"/>
      <c r="CB220" s="352"/>
      <c r="CC220" s="352"/>
      <c r="CD220" s="352"/>
      <c r="CE220" s="352"/>
      <c r="CS220" s="356">
        <v>36</v>
      </c>
      <c r="CT220" s="359" t="s">
        <v>214</v>
      </c>
      <c r="CU220" s="361">
        <v>10510637.439999999</v>
      </c>
      <c r="CV220" s="361">
        <v>2114279.98</v>
      </c>
      <c r="CW220" s="361">
        <v>95530.68</v>
      </c>
      <c r="CX220" s="361">
        <v>2064789.11</v>
      </c>
      <c r="CY220" s="361">
        <v>1237089.6399999999</v>
      </c>
      <c r="CZ220" s="361">
        <v>989906.99</v>
      </c>
      <c r="DA220" s="361">
        <v>1058428.53</v>
      </c>
      <c r="DB220" s="361">
        <v>504071.92</v>
      </c>
      <c r="DC220" s="361">
        <v>727809.28</v>
      </c>
      <c r="DD220" s="361">
        <v>723005.36</v>
      </c>
      <c r="DE220" s="361">
        <v>995725.96</v>
      </c>
      <c r="DF220" s="361"/>
      <c r="DG220" s="361"/>
      <c r="DH220" s="361"/>
      <c r="DI220" s="362"/>
      <c r="DJ220" s="361"/>
      <c r="DK220" s="361"/>
      <c r="DL220" s="361"/>
      <c r="DM220" s="361"/>
    </row>
    <row r="221" spans="2:117" ht="13">
      <c r="B221" s="294"/>
      <c r="C221" s="295"/>
      <c r="D221" s="295"/>
      <c r="E221" s="294"/>
      <c r="F221" s="294"/>
      <c r="G221" s="295"/>
      <c r="H221" s="295"/>
      <c r="I221" s="295"/>
      <c r="J221" s="295"/>
      <c r="K221" s="295"/>
      <c r="L221" s="295"/>
      <c r="M221" s="302"/>
      <c r="N221" s="296"/>
      <c r="O221" s="296"/>
      <c r="P221" s="297"/>
      <c r="Q221" s="297"/>
      <c r="R221" s="297"/>
      <c r="S221" s="297"/>
      <c r="T221" s="298"/>
      <c r="U221" s="296"/>
      <c r="V221" s="296"/>
      <c r="W221" s="297"/>
      <c r="X221" s="297"/>
      <c r="Y221" s="297"/>
      <c r="Z221" s="297"/>
      <c r="AA221" s="299"/>
      <c r="AB221" s="296"/>
      <c r="AC221" s="296"/>
      <c r="AD221" s="297"/>
      <c r="AE221" s="297"/>
      <c r="AF221" s="297"/>
      <c r="AG221" s="297"/>
      <c r="AH221" s="295"/>
      <c r="AI221" s="293"/>
      <c r="AJ221" s="293"/>
      <c r="AK221" s="297"/>
      <c r="AL221" s="297"/>
      <c r="AM221" s="297"/>
      <c r="AN221" s="297"/>
      <c r="AO221" s="295"/>
      <c r="AP221" s="352"/>
      <c r="AQ221" s="352"/>
      <c r="AR221" s="352"/>
      <c r="AS221" s="352"/>
      <c r="AT221" s="352"/>
      <c r="AU221" s="352"/>
      <c r="AV221" s="352"/>
      <c r="AW221" s="352"/>
      <c r="AX221" s="352"/>
      <c r="AY221" s="352"/>
      <c r="AZ221" s="352"/>
      <c r="BA221" s="352"/>
      <c r="BB221" s="352"/>
      <c r="BC221" s="352"/>
      <c r="BD221" s="352"/>
      <c r="BE221" s="352"/>
      <c r="BF221" s="352"/>
      <c r="BG221" s="352"/>
      <c r="BH221" s="352"/>
      <c r="BI221" s="352"/>
      <c r="BJ221" s="352"/>
      <c r="BK221" s="352"/>
      <c r="BL221" s="352"/>
      <c r="BM221" s="352"/>
      <c r="BN221" s="352"/>
      <c r="BO221" s="352"/>
      <c r="BP221" s="352"/>
      <c r="BQ221" s="352"/>
      <c r="BR221" s="352"/>
      <c r="BS221" s="352"/>
      <c r="BT221" s="352"/>
      <c r="BU221" s="352"/>
      <c r="BV221" s="352"/>
      <c r="BW221" s="352"/>
      <c r="BX221" s="352"/>
      <c r="BY221" s="352"/>
      <c r="BZ221" s="352"/>
      <c r="CA221" s="352"/>
      <c r="CB221" s="352"/>
      <c r="CC221" s="352"/>
      <c r="CD221" s="352"/>
      <c r="CE221" s="352"/>
      <c r="CS221" s="356">
        <v>37</v>
      </c>
      <c r="CT221" s="359" t="s">
        <v>160</v>
      </c>
      <c r="CU221" s="361">
        <v>10173531.390000001</v>
      </c>
      <c r="CV221" s="361">
        <v>636766.54</v>
      </c>
      <c r="CW221" s="361">
        <v>604505.19999999995</v>
      </c>
      <c r="CX221" s="361">
        <v>90552</v>
      </c>
      <c r="CY221" s="361">
        <v>604818.63</v>
      </c>
      <c r="CZ221" s="361">
        <v>1442413.91</v>
      </c>
      <c r="DA221" s="361">
        <v>415368.12</v>
      </c>
      <c r="DB221" s="361">
        <v>2569833.7200000002</v>
      </c>
      <c r="DC221" s="361">
        <v>1177556.3999999999</v>
      </c>
      <c r="DD221" s="361">
        <v>979403.56</v>
      </c>
      <c r="DE221" s="361">
        <v>1652313.3</v>
      </c>
      <c r="DF221" s="361"/>
      <c r="DG221" s="361"/>
      <c r="DH221" s="361"/>
      <c r="DI221" s="362"/>
      <c r="DJ221" s="361"/>
      <c r="DK221" s="361"/>
      <c r="DL221" s="361"/>
      <c r="DM221" s="361"/>
    </row>
    <row r="222" spans="2:117" ht="13">
      <c r="B222" s="294"/>
      <c r="C222" s="295"/>
      <c r="D222" s="295"/>
      <c r="E222" s="294"/>
      <c r="F222" s="294"/>
      <c r="G222" s="295"/>
      <c r="H222" s="295"/>
      <c r="I222" s="295"/>
      <c r="J222" s="295"/>
      <c r="K222" s="295"/>
      <c r="L222" s="295"/>
      <c r="M222" s="302"/>
      <c r="N222" s="296"/>
      <c r="O222" s="296"/>
      <c r="P222" s="297"/>
      <c r="Q222" s="297"/>
      <c r="R222" s="297"/>
      <c r="S222" s="297"/>
      <c r="T222" s="298"/>
      <c r="U222" s="296"/>
      <c r="V222" s="296"/>
      <c r="W222" s="297"/>
      <c r="X222" s="297"/>
      <c r="Y222" s="297"/>
      <c r="Z222" s="297"/>
      <c r="AA222" s="299"/>
      <c r="AB222" s="296"/>
      <c r="AC222" s="296"/>
      <c r="AD222" s="297"/>
      <c r="AE222" s="297"/>
      <c r="AF222" s="297"/>
      <c r="AG222" s="297"/>
      <c r="AH222" s="295"/>
      <c r="AI222" s="293"/>
      <c r="AJ222" s="293"/>
      <c r="AK222" s="297"/>
      <c r="AL222" s="297"/>
      <c r="AM222" s="297"/>
      <c r="AN222" s="297"/>
      <c r="AO222" s="295"/>
      <c r="AP222" s="352"/>
      <c r="AQ222" s="352"/>
      <c r="AR222" s="352"/>
      <c r="AS222" s="352"/>
      <c r="AT222" s="352"/>
      <c r="AU222" s="352"/>
      <c r="AV222" s="352"/>
      <c r="AW222" s="352"/>
      <c r="AX222" s="352"/>
      <c r="AY222" s="352"/>
      <c r="AZ222" s="352"/>
      <c r="BA222" s="352"/>
      <c r="BB222" s="352"/>
      <c r="BC222" s="352"/>
      <c r="BD222" s="352"/>
      <c r="BE222" s="352"/>
      <c r="BF222" s="352"/>
      <c r="BG222" s="352"/>
      <c r="BH222" s="352"/>
      <c r="BI222" s="352"/>
      <c r="BJ222" s="352"/>
      <c r="BK222" s="352"/>
      <c r="BL222" s="352"/>
      <c r="BM222" s="352"/>
      <c r="BN222" s="352"/>
      <c r="BO222" s="352"/>
      <c r="BP222" s="352"/>
      <c r="BQ222" s="352"/>
      <c r="BR222" s="352"/>
      <c r="BS222" s="352"/>
      <c r="BT222" s="352"/>
      <c r="BU222" s="352"/>
      <c r="BV222" s="352"/>
      <c r="BW222" s="352"/>
      <c r="BX222" s="352"/>
      <c r="BY222" s="352"/>
      <c r="BZ222" s="352"/>
      <c r="CA222" s="352"/>
      <c r="CB222" s="352"/>
      <c r="CC222" s="352"/>
      <c r="CD222" s="352"/>
      <c r="CE222" s="352"/>
      <c r="CS222" s="356">
        <v>38</v>
      </c>
      <c r="CT222" s="359" t="s">
        <v>166</v>
      </c>
      <c r="CU222" s="361">
        <v>9869001.3200000003</v>
      </c>
      <c r="CV222" s="361">
        <v>1023569.21</v>
      </c>
      <c r="CW222" s="361">
        <v>1167766.1000000001</v>
      </c>
      <c r="CX222" s="361">
        <v>978974.63</v>
      </c>
      <c r="CY222" s="361">
        <v>633098.67000000004</v>
      </c>
      <c r="CZ222" s="361">
        <v>742548.18</v>
      </c>
      <c r="DA222" s="361">
        <v>820836.97</v>
      </c>
      <c r="DB222" s="361">
        <v>1368820.46</v>
      </c>
      <c r="DC222" s="361">
        <v>670828.84</v>
      </c>
      <c r="DD222" s="361">
        <v>1548511.7</v>
      </c>
      <c r="DE222" s="361">
        <v>914046.56</v>
      </c>
      <c r="DF222" s="361"/>
      <c r="DG222" s="361"/>
      <c r="DH222" s="361"/>
      <c r="DI222" s="362"/>
      <c r="DJ222" s="361"/>
      <c r="DK222" s="361"/>
      <c r="DL222" s="361"/>
      <c r="DM222" s="361"/>
    </row>
    <row r="223" spans="2:117" ht="13">
      <c r="B223" s="294"/>
      <c r="C223" s="295"/>
      <c r="D223" s="295"/>
      <c r="E223" s="294"/>
      <c r="F223" s="294"/>
      <c r="G223" s="295"/>
      <c r="H223" s="295"/>
      <c r="I223" s="295"/>
      <c r="J223" s="295"/>
      <c r="K223" s="295"/>
      <c r="L223" s="295"/>
      <c r="M223" s="302"/>
      <c r="N223" s="296"/>
      <c r="O223" s="296"/>
      <c r="P223" s="297"/>
      <c r="Q223" s="297"/>
      <c r="R223" s="297"/>
      <c r="S223" s="297"/>
      <c r="T223" s="298"/>
      <c r="U223" s="296"/>
      <c r="V223" s="296"/>
      <c r="W223" s="297"/>
      <c r="X223" s="297"/>
      <c r="Y223" s="297"/>
      <c r="Z223" s="297"/>
      <c r="AA223" s="299"/>
      <c r="AB223" s="296"/>
      <c r="AC223" s="296"/>
      <c r="AD223" s="297"/>
      <c r="AE223" s="297"/>
      <c r="AF223" s="297"/>
      <c r="AG223" s="297"/>
      <c r="AH223" s="295"/>
      <c r="AI223" s="293"/>
      <c r="AJ223" s="293"/>
      <c r="AK223" s="297"/>
      <c r="AL223" s="297"/>
      <c r="AM223" s="297"/>
      <c r="AN223" s="297"/>
      <c r="AO223" s="295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52"/>
      <c r="BC223" s="352"/>
      <c r="BD223" s="352"/>
      <c r="BE223" s="352"/>
      <c r="BF223" s="352"/>
      <c r="BG223" s="352"/>
      <c r="BH223" s="352"/>
      <c r="BI223" s="352"/>
      <c r="BJ223" s="352"/>
      <c r="BK223" s="352"/>
      <c r="BL223" s="352"/>
      <c r="BM223" s="352"/>
      <c r="BN223" s="352"/>
      <c r="BO223" s="352"/>
      <c r="BP223" s="352"/>
      <c r="BQ223" s="352"/>
      <c r="BR223" s="352"/>
      <c r="BS223" s="352"/>
      <c r="BT223" s="352"/>
      <c r="BU223" s="352"/>
      <c r="BV223" s="352"/>
      <c r="BW223" s="352"/>
      <c r="BX223" s="352"/>
      <c r="BY223" s="352"/>
      <c r="BZ223" s="352"/>
      <c r="CA223" s="352"/>
      <c r="CB223" s="352"/>
      <c r="CC223" s="352"/>
      <c r="CD223" s="352"/>
      <c r="CE223" s="352"/>
      <c r="CS223" s="356">
        <v>39</v>
      </c>
      <c r="CT223" s="359" t="s">
        <v>181</v>
      </c>
      <c r="CU223" s="361">
        <v>9749392.9199999999</v>
      </c>
      <c r="CV223" s="361">
        <v>810522.53</v>
      </c>
      <c r="CW223" s="361">
        <v>1752560.42</v>
      </c>
      <c r="CX223" s="361">
        <v>697993.15</v>
      </c>
      <c r="CY223" s="361">
        <v>210684.18</v>
      </c>
      <c r="CZ223" s="361">
        <v>645813.01</v>
      </c>
      <c r="DA223" s="361">
        <v>576175.73</v>
      </c>
      <c r="DB223" s="361">
        <v>1560364.76</v>
      </c>
      <c r="DC223" s="361">
        <v>755590.18</v>
      </c>
      <c r="DD223" s="361">
        <v>1539979.09</v>
      </c>
      <c r="DE223" s="361">
        <v>1199709.8700000001</v>
      </c>
      <c r="DF223" s="361"/>
      <c r="DG223" s="361"/>
      <c r="DH223" s="361"/>
      <c r="DI223" s="362"/>
      <c r="DJ223" s="361"/>
      <c r="DK223" s="361"/>
      <c r="DL223" s="361"/>
      <c r="DM223" s="361"/>
    </row>
    <row r="224" spans="2:117" ht="13">
      <c r="B224" s="294"/>
      <c r="C224" s="295"/>
      <c r="D224" s="295"/>
      <c r="E224" s="294"/>
      <c r="F224" s="294"/>
      <c r="G224" s="295"/>
      <c r="H224" s="295"/>
      <c r="I224" s="295"/>
      <c r="J224" s="295"/>
      <c r="K224" s="295"/>
      <c r="L224" s="295"/>
      <c r="M224" s="302"/>
      <c r="N224" s="296"/>
      <c r="O224" s="296"/>
      <c r="P224" s="297"/>
      <c r="Q224" s="297"/>
      <c r="R224" s="297"/>
      <c r="S224" s="297"/>
      <c r="T224" s="298"/>
      <c r="U224" s="296"/>
      <c r="V224" s="296"/>
      <c r="W224" s="297"/>
      <c r="X224" s="297"/>
      <c r="Y224" s="297"/>
      <c r="Z224" s="297"/>
      <c r="AA224" s="299"/>
      <c r="AB224" s="296"/>
      <c r="AC224" s="296"/>
      <c r="AD224" s="297"/>
      <c r="AE224" s="297"/>
      <c r="AF224" s="297"/>
      <c r="AG224" s="297"/>
      <c r="AH224" s="295"/>
      <c r="AI224" s="293"/>
      <c r="AJ224" s="293"/>
      <c r="AK224" s="297"/>
      <c r="AL224" s="297"/>
      <c r="AM224" s="297"/>
      <c r="AN224" s="297"/>
      <c r="AO224" s="295"/>
      <c r="AP224" s="352"/>
      <c r="AQ224" s="352"/>
      <c r="AR224" s="352"/>
      <c r="AS224" s="352"/>
      <c r="AT224" s="352"/>
      <c r="AU224" s="352"/>
      <c r="AV224" s="352"/>
      <c r="AW224" s="352"/>
      <c r="AX224" s="352"/>
      <c r="AY224" s="352"/>
      <c r="AZ224" s="352"/>
      <c r="BA224" s="352"/>
      <c r="BB224" s="352"/>
      <c r="BC224" s="352"/>
      <c r="BD224" s="352"/>
      <c r="BE224" s="352"/>
      <c r="BF224" s="352"/>
      <c r="BG224" s="352"/>
      <c r="BH224" s="352"/>
      <c r="BI224" s="352"/>
      <c r="BJ224" s="352"/>
      <c r="BK224" s="302"/>
      <c r="BL224" s="302"/>
      <c r="BM224" s="302"/>
      <c r="BN224" s="302"/>
      <c r="BO224" s="302"/>
      <c r="BP224" s="302"/>
      <c r="BQ224" s="302"/>
      <c r="BR224" s="302"/>
      <c r="BS224" s="302"/>
      <c r="BT224" s="302"/>
      <c r="BU224" s="302"/>
      <c r="BV224" s="302"/>
      <c r="BW224" s="302"/>
      <c r="BX224" s="302"/>
      <c r="BY224" s="302"/>
      <c r="BZ224" s="302"/>
      <c r="CA224" s="302"/>
      <c r="CB224" s="302"/>
      <c r="CC224" s="302"/>
      <c r="CD224" s="302"/>
      <c r="CE224" s="352"/>
      <c r="CS224" s="356">
        <v>40</v>
      </c>
      <c r="CT224" s="359" t="s">
        <v>109</v>
      </c>
      <c r="CU224" s="361">
        <v>9566589.1500000004</v>
      </c>
      <c r="CV224" s="361">
        <v>1219002.97</v>
      </c>
      <c r="CW224" s="361">
        <v>0</v>
      </c>
      <c r="CX224" s="361">
        <v>729643.48</v>
      </c>
      <c r="CY224" s="361">
        <v>577945.57999999996</v>
      </c>
      <c r="CZ224" s="361">
        <v>-5882.73</v>
      </c>
      <c r="DA224" s="361">
        <v>1328991.27</v>
      </c>
      <c r="DB224" s="361">
        <v>1505139.43</v>
      </c>
      <c r="DC224" s="361">
        <v>1064294.18</v>
      </c>
      <c r="DD224" s="361">
        <v>1327462.54</v>
      </c>
      <c r="DE224" s="361">
        <v>1819992.44</v>
      </c>
      <c r="DF224" s="361"/>
      <c r="DG224" s="361"/>
      <c r="DH224" s="361"/>
      <c r="DI224" s="362"/>
      <c r="DJ224" s="361"/>
      <c r="DK224" s="361"/>
      <c r="DL224" s="361"/>
      <c r="DM224" s="361"/>
    </row>
    <row r="225" spans="2:117" ht="13">
      <c r="B225" s="294"/>
      <c r="C225" s="295"/>
      <c r="D225" s="295"/>
      <c r="E225" s="294"/>
      <c r="F225" s="294"/>
      <c r="G225" s="295"/>
      <c r="H225" s="295"/>
      <c r="I225" s="295"/>
      <c r="J225" s="295"/>
      <c r="K225" s="295"/>
      <c r="L225" s="295"/>
      <c r="M225" s="302"/>
      <c r="N225" s="296"/>
      <c r="O225" s="296"/>
      <c r="P225" s="297"/>
      <c r="Q225" s="297"/>
      <c r="R225" s="297"/>
      <c r="S225" s="297"/>
      <c r="T225" s="298"/>
      <c r="U225" s="296"/>
      <c r="V225" s="296"/>
      <c r="W225" s="297"/>
      <c r="X225" s="297"/>
      <c r="Y225" s="297"/>
      <c r="Z225" s="297"/>
      <c r="AA225" s="299"/>
      <c r="AB225" s="296"/>
      <c r="AC225" s="296"/>
      <c r="AD225" s="297"/>
      <c r="AE225" s="297"/>
      <c r="AF225" s="297"/>
      <c r="AG225" s="297"/>
      <c r="AH225" s="295"/>
      <c r="AI225" s="293"/>
      <c r="AJ225" s="293"/>
      <c r="AK225" s="297"/>
      <c r="AL225" s="297"/>
      <c r="AM225" s="297"/>
      <c r="AN225" s="297"/>
      <c r="AO225" s="295"/>
      <c r="AP225" s="352"/>
      <c r="AQ225" s="352"/>
      <c r="AR225" s="352"/>
      <c r="AS225" s="352"/>
      <c r="AT225" s="352"/>
      <c r="AU225" s="352"/>
      <c r="AV225" s="352"/>
      <c r="AW225" s="352"/>
      <c r="AX225" s="352"/>
      <c r="AY225" s="352"/>
      <c r="AZ225" s="352"/>
      <c r="BA225" s="352"/>
      <c r="BB225" s="352"/>
      <c r="BC225" s="352"/>
      <c r="BD225" s="352"/>
      <c r="BE225" s="352"/>
      <c r="BF225" s="352"/>
      <c r="BG225" s="352"/>
      <c r="BH225" s="352"/>
      <c r="BI225" s="352"/>
      <c r="BJ225" s="352"/>
      <c r="BK225" s="352"/>
      <c r="BL225" s="352"/>
      <c r="BM225" s="352"/>
      <c r="BN225" s="352"/>
      <c r="BO225" s="352"/>
      <c r="BP225" s="352"/>
      <c r="BQ225" s="352"/>
      <c r="BR225" s="352"/>
      <c r="BS225" s="352"/>
      <c r="BT225" s="352"/>
      <c r="BU225" s="352"/>
      <c r="BV225" s="352"/>
      <c r="BW225" s="352"/>
      <c r="BX225" s="352"/>
      <c r="BY225" s="352"/>
      <c r="BZ225" s="352"/>
      <c r="CA225" s="352"/>
      <c r="CB225" s="352"/>
      <c r="CC225" s="352"/>
      <c r="CD225" s="352"/>
      <c r="CE225" s="352"/>
      <c r="CS225" s="356">
        <v>41</v>
      </c>
      <c r="CT225" s="359" t="s">
        <v>141</v>
      </c>
      <c r="CU225" s="361">
        <v>9538201.7699999996</v>
      </c>
      <c r="CV225" s="361">
        <v>676147.44</v>
      </c>
      <c r="CW225" s="361">
        <v>901690.4</v>
      </c>
      <c r="CX225" s="361">
        <v>492208.4</v>
      </c>
      <c r="CY225" s="361">
        <v>756079.45</v>
      </c>
      <c r="CZ225" s="361">
        <v>1461362.12</v>
      </c>
      <c r="DA225" s="361">
        <v>1164759.28</v>
      </c>
      <c r="DB225" s="361">
        <v>1294332.3999999999</v>
      </c>
      <c r="DC225" s="361">
        <v>838241.95</v>
      </c>
      <c r="DD225" s="361">
        <v>1136732.07</v>
      </c>
      <c r="DE225" s="361">
        <v>816648.26</v>
      </c>
      <c r="DF225" s="361"/>
      <c r="DG225" s="361"/>
      <c r="DH225" s="361"/>
      <c r="DI225" s="362"/>
      <c r="DJ225" s="361"/>
      <c r="DK225" s="361"/>
      <c r="DL225" s="361"/>
      <c r="DM225" s="361"/>
    </row>
    <row r="226" spans="2:117" ht="13">
      <c r="B226" s="294"/>
      <c r="C226" s="295"/>
      <c r="D226" s="295"/>
      <c r="E226" s="294"/>
      <c r="F226" s="294"/>
      <c r="G226" s="295"/>
      <c r="H226" s="295"/>
      <c r="I226" s="295"/>
      <c r="J226" s="295"/>
      <c r="K226" s="295"/>
      <c r="L226" s="295"/>
      <c r="M226" s="302"/>
      <c r="N226" s="296"/>
      <c r="O226" s="296"/>
      <c r="P226" s="297"/>
      <c r="Q226" s="297"/>
      <c r="R226" s="297"/>
      <c r="S226" s="297"/>
      <c r="T226" s="298"/>
      <c r="U226" s="296"/>
      <c r="V226" s="296"/>
      <c r="W226" s="297"/>
      <c r="X226" s="297"/>
      <c r="Y226" s="297"/>
      <c r="Z226" s="297"/>
      <c r="AA226" s="299"/>
      <c r="AB226" s="296"/>
      <c r="AC226" s="296"/>
      <c r="AD226" s="297"/>
      <c r="AE226" s="297"/>
      <c r="AF226" s="297"/>
      <c r="AG226" s="297"/>
      <c r="AH226" s="295"/>
      <c r="AI226" s="293"/>
      <c r="AJ226" s="293"/>
      <c r="AK226" s="297"/>
      <c r="AL226" s="297"/>
      <c r="AM226" s="297"/>
      <c r="AN226" s="297"/>
      <c r="AO226" s="295"/>
      <c r="AP226" s="352"/>
      <c r="AQ226" s="352"/>
      <c r="AR226" s="352"/>
      <c r="AS226" s="352"/>
      <c r="AT226" s="352"/>
      <c r="AU226" s="352"/>
      <c r="AV226" s="352"/>
      <c r="AW226" s="352"/>
      <c r="AX226" s="352"/>
      <c r="AY226" s="352"/>
      <c r="AZ226" s="352"/>
      <c r="BA226" s="352"/>
      <c r="BB226" s="352"/>
      <c r="BC226" s="352"/>
      <c r="BD226" s="352"/>
      <c r="BE226" s="352"/>
      <c r="BF226" s="352"/>
      <c r="BG226" s="352"/>
      <c r="BH226" s="352"/>
      <c r="BI226" s="352"/>
      <c r="BJ226" s="352"/>
      <c r="BK226" s="302"/>
      <c r="BL226" s="302"/>
      <c r="BM226" s="302"/>
      <c r="BN226" s="302"/>
      <c r="BO226" s="352"/>
      <c r="BP226" s="352"/>
      <c r="BQ226" s="352"/>
      <c r="BR226" s="352"/>
      <c r="BS226" s="352"/>
      <c r="BT226" s="352"/>
      <c r="BU226" s="352"/>
      <c r="BV226" s="302"/>
      <c r="BW226" s="352"/>
      <c r="BX226" s="352"/>
      <c r="BY226" s="352"/>
      <c r="BZ226" s="352"/>
      <c r="CA226" s="352"/>
      <c r="CB226" s="352"/>
      <c r="CC226" s="352"/>
      <c r="CD226" s="352"/>
      <c r="CE226" s="352"/>
      <c r="CS226" s="356">
        <v>42</v>
      </c>
      <c r="CT226" s="359" t="s">
        <v>161</v>
      </c>
      <c r="CU226" s="361">
        <v>9405220.4600000009</v>
      </c>
      <c r="CV226" s="361">
        <v>361473.6</v>
      </c>
      <c r="CW226" s="361">
        <v>1004051.28</v>
      </c>
      <c r="CX226" s="361">
        <v>668595.1</v>
      </c>
      <c r="CY226" s="361">
        <v>1938186.96</v>
      </c>
      <c r="CZ226" s="361">
        <v>942060.16</v>
      </c>
      <c r="DA226" s="361">
        <v>489304.08</v>
      </c>
      <c r="DB226" s="361">
        <v>1724698.32</v>
      </c>
      <c r="DC226" s="361">
        <v>319144.8</v>
      </c>
      <c r="DD226" s="361">
        <v>1265898.72</v>
      </c>
      <c r="DE226" s="361">
        <v>691807.44</v>
      </c>
      <c r="DF226" s="361"/>
      <c r="DG226" s="361"/>
      <c r="DH226" s="361"/>
      <c r="DI226" s="362"/>
      <c r="DJ226" s="361"/>
      <c r="DK226" s="361"/>
      <c r="DL226" s="361"/>
      <c r="DM226" s="361"/>
    </row>
    <row r="227" spans="2:117" ht="13">
      <c r="B227" s="294"/>
      <c r="C227" s="295"/>
      <c r="D227" s="295"/>
      <c r="E227" s="294"/>
      <c r="F227" s="294"/>
      <c r="G227" s="295"/>
      <c r="H227" s="295"/>
      <c r="I227" s="295"/>
      <c r="J227" s="295"/>
      <c r="K227" s="295"/>
      <c r="L227" s="295"/>
      <c r="M227" s="302"/>
      <c r="N227" s="296"/>
      <c r="O227" s="296"/>
      <c r="P227" s="297"/>
      <c r="Q227" s="297"/>
      <c r="R227" s="297"/>
      <c r="S227" s="297"/>
      <c r="T227" s="298"/>
      <c r="U227" s="296"/>
      <c r="V227" s="296"/>
      <c r="W227" s="297"/>
      <c r="X227" s="297"/>
      <c r="Y227" s="297"/>
      <c r="Z227" s="297"/>
      <c r="AA227" s="299"/>
      <c r="AB227" s="296"/>
      <c r="AC227" s="296"/>
      <c r="AD227" s="297"/>
      <c r="AE227" s="297"/>
      <c r="AF227" s="297"/>
      <c r="AG227" s="297"/>
      <c r="AH227" s="295"/>
      <c r="AI227" s="293"/>
      <c r="AJ227" s="293"/>
      <c r="AK227" s="297"/>
      <c r="AL227" s="297"/>
      <c r="AM227" s="297"/>
      <c r="AN227" s="297"/>
      <c r="AO227" s="295"/>
      <c r="AP227" s="352"/>
      <c r="AQ227" s="352"/>
      <c r="AR227" s="352"/>
      <c r="AS227" s="352"/>
      <c r="AT227" s="352"/>
      <c r="AU227" s="352"/>
      <c r="AV227" s="352"/>
      <c r="AW227" s="352"/>
      <c r="AX227" s="352"/>
      <c r="AY227" s="352"/>
      <c r="AZ227" s="352"/>
      <c r="BA227" s="352"/>
      <c r="BB227" s="352"/>
      <c r="BC227" s="352"/>
      <c r="BD227" s="352"/>
      <c r="BE227" s="352"/>
      <c r="BF227" s="352"/>
      <c r="BG227" s="352"/>
      <c r="BH227" s="352"/>
      <c r="BI227" s="352"/>
      <c r="BJ227" s="352"/>
      <c r="BK227" s="352"/>
      <c r="BL227" s="352"/>
      <c r="BM227" s="352"/>
      <c r="BN227" s="352"/>
      <c r="BO227" s="352"/>
      <c r="BP227" s="352"/>
      <c r="BQ227" s="352"/>
      <c r="BR227" s="352"/>
      <c r="BS227" s="352"/>
      <c r="BT227" s="352"/>
      <c r="BU227" s="352"/>
      <c r="BV227" s="352"/>
      <c r="BW227" s="352"/>
      <c r="BX227" s="352"/>
      <c r="BY227" s="352"/>
      <c r="BZ227" s="352"/>
      <c r="CA227" s="352"/>
      <c r="CB227" s="352"/>
      <c r="CC227" s="352"/>
      <c r="CD227" s="352"/>
      <c r="CE227" s="352"/>
      <c r="CS227" s="356">
        <v>43</v>
      </c>
      <c r="CT227" s="359" t="s">
        <v>133</v>
      </c>
      <c r="CU227" s="361">
        <v>9082178.0199999996</v>
      </c>
      <c r="CV227" s="361">
        <v>1149995.48</v>
      </c>
      <c r="CW227" s="361">
        <v>602885.55000000005</v>
      </c>
      <c r="CX227" s="361">
        <v>1393497.17</v>
      </c>
      <c r="CY227" s="361">
        <v>665228.09</v>
      </c>
      <c r="CZ227" s="361">
        <v>669391.92000000004</v>
      </c>
      <c r="DA227" s="361">
        <v>530058.27</v>
      </c>
      <c r="DB227" s="361">
        <v>599013.81999999995</v>
      </c>
      <c r="DC227" s="361">
        <v>1027993.52</v>
      </c>
      <c r="DD227" s="361">
        <v>1202156.82</v>
      </c>
      <c r="DE227" s="361">
        <v>1241957.3899999999</v>
      </c>
      <c r="DF227" s="365"/>
      <c r="DG227" s="365"/>
      <c r="DH227" s="365"/>
      <c r="DI227" s="366"/>
      <c r="DJ227" s="365"/>
      <c r="DK227" s="365"/>
      <c r="DL227" s="365"/>
      <c r="DM227" s="365"/>
    </row>
    <row r="228" spans="2:117" ht="13">
      <c r="B228" s="294"/>
      <c r="C228" s="295"/>
      <c r="D228" s="295"/>
      <c r="E228" s="294"/>
      <c r="F228" s="294"/>
      <c r="G228" s="295"/>
      <c r="H228" s="295"/>
      <c r="I228" s="295"/>
      <c r="J228" s="295"/>
      <c r="K228" s="295"/>
      <c r="L228" s="295"/>
      <c r="M228" s="302"/>
      <c r="N228" s="296"/>
      <c r="O228" s="296"/>
      <c r="P228" s="297"/>
      <c r="Q228" s="297"/>
      <c r="R228" s="297"/>
      <c r="S228" s="297"/>
      <c r="T228" s="298"/>
      <c r="U228" s="296"/>
      <c r="V228" s="296"/>
      <c r="W228" s="297"/>
      <c r="X228" s="297"/>
      <c r="Y228" s="297"/>
      <c r="Z228" s="297"/>
      <c r="AA228" s="299"/>
      <c r="AB228" s="296"/>
      <c r="AC228" s="296"/>
      <c r="AD228" s="297"/>
      <c r="AE228" s="297"/>
      <c r="AF228" s="297"/>
      <c r="AG228" s="297"/>
      <c r="AH228" s="295"/>
      <c r="AI228" s="293"/>
      <c r="AJ228" s="293"/>
      <c r="AK228" s="297"/>
      <c r="AL228" s="297"/>
      <c r="AM228" s="297"/>
      <c r="AN228" s="297"/>
      <c r="AO228" s="295"/>
      <c r="AP228" s="352"/>
      <c r="AQ228" s="352"/>
      <c r="AR228" s="352"/>
      <c r="AS228" s="352"/>
      <c r="AT228" s="352"/>
      <c r="AU228" s="352"/>
      <c r="AV228" s="352"/>
      <c r="AW228" s="352"/>
      <c r="AX228" s="352"/>
      <c r="AY228" s="352"/>
      <c r="AZ228" s="352"/>
      <c r="BA228" s="352"/>
      <c r="BB228" s="352"/>
      <c r="BC228" s="352"/>
      <c r="BD228" s="352"/>
      <c r="BE228" s="352"/>
      <c r="BF228" s="352"/>
      <c r="BG228" s="352"/>
      <c r="BH228" s="352"/>
      <c r="BI228" s="352"/>
      <c r="BJ228" s="352"/>
      <c r="BK228" s="352"/>
      <c r="BL228" s="352"/>
      <c r="BM228" s="352"/>
      <c r="BN228" s="352"/>
      <c r="BO228" s="352"/>
      <c r="BP228" s="352"/>
      <c r="BQ228" s="352"/>
      <c r="BR228" s="352"/>
      <c r="BS228" s="352"/>
      <c r="BT228" s="352"/>
      <c r="BU228" s="352"/>
      <c r="BV228" s="352"/>
      <c r="BW228" s="352"/>
      <c r="BX228" s="352"/>
      <c r="BY228" s="352"/>
      <c r="BZ228" s="352"/>
      <c r="CA228" s="352"/>
      <c r="CB228" s="352"/>
      <c r="CC228" s="352"/>
      <c r="CD228" s="352"/>
      <c r="CE228" s="352"/>
      <c r="CS228" s="356">
        <v>44</v>
      </c>
      <c r="CT228" s="359" t="s">
        <v>143</v>
      </c>
      <c r="CU228" s="361">
        <v>8809029.4900000002</v>
      </c>
      <c r="CV228" s="361">
        <v>1028246.59</v>
      </c>
      <c r="CW228" s="361">
        <v>702665.07</v>
      </c>
      <c r="CX228" s="361">
        <v>0</v>
      </c>
      <c r="CY228" s="361">
        <v>917879.97</v>
      </c>
      <c r="CZ228" s="361">
        <v>34714.81</v>
      </c>
      <c r="DA228" s="361">
        <v>424310.84</v>
      </c>
      <c r="DB228" s="361">
        <v>1067078.81</v>
      </c>
      <c r="DC228" s="361">
        <v>868875.76</v>
      </c>
      <c r="DD228" s="361">
        <v>895149.52</v>
      </c>
      <c r="DE228" s="361">
        <v>2870108.13</v>
      </c>
      <c r="DF228" s="361"/>
      <c r="DG228" s="361"/>
      <c r="DH228" s="361"/>
      <c r="DI228" s="362"/>
      <c r="DJ228" s="361"/>
      <c r="DK228" s="361"/>
      <c r="DL228" s="361"/>
      <c r="DM228" s="361"/>
    </row>
    <row r="229" spans="2:117" ht="13">
      <c r="B229" s="294"/>
      <c r="C229" s="295"/>
      <c r="D229" s="295"/>
      <c r="E229" s="294"/>
      <c r="F229" s="294"/>
      <c r="G229" s="295"/>
      <c r="H229" s="295"/>
      <c r="I229" s="295"/>
      <c r="J229" s="295"/>
      <c r="K229" s="295"/>
      <c r="L229" s="295"/>
      <c r="M229" s="302"/>
      <c r="N229" s="296"/>
      <c r="O229" s="296"/>
      <c r="P229" s="297"/>
      <c r="Q229" s="297"/>
      <c r="R229" s="297"/>
      <c r="S229" s="297"/>
      <c r="T229" s="298"/>
      <c r="U229" s="296"/>
      <c r="V229" s="296"/>
      <c r="W229" s="297"/>
      <c r="X229" s="297"/>
      <c r="Y229" s="297"/>
      <c r="Z229" s="297"/>
      <c r="AA229" s="299"/>
      <c r="AB229" s="296"/>
      <c r="AC229" s="296"/>
      <c r="AD229" s="297"/>
      <c r="AE229" s="297"/>
      <c r="AF229" s="297"/>
      <c r="AG229" s="297"/>
      <c r="AH229" s="295"/>
      <c r="AI229" s="293"/>
      <c r="AJ229" s="293"/>
      <c r="AK229" s="297"/>
      <c r="AL229" s="297"/>
      <c r="AM229" s="297"/>
      <c r="AN229" s="297"/>
      <c r="AO229" s="295"/>
      <c r="AP229" s="352"/>
      <c r="AQ229" s="352"/>
      <c r="AR229" s="352"/>
      <c r="AS229" s="352"/>
      <c r="AT229" s="352"/>
      <c r="AU229" s="352"/>
      <c r="AV229" s="352"/>
      <c r="AW229" s="352"/>
      <c r="AX229" s="352"/>
      <c r="AY229" s="352"/>
      <c r="AZ229" s="352"/>
      <c r="BA229" s="352"/>
      <c r="BB229" s="352"/>
      <c r="BC229" s="352"/>
      <c r="BD229" s="352"/>
      <c r="BE229" s="352"/>
      <c r="BF229" s="352"/>
      <c r="BG229" s="352"/>
      <c r="BH229" s="352"/>
      <c r="BI229" s="352"/>
      <c r="BJ229" s="352"/>
      <c r="BK229" s="352"/>
      <c r="BL229" s="352"/>
      <c r="BM229" s="352"/>
      <c r="BN229" s="352"/>
      <c r="BO229" s="352"/>
      <c r="BP229" s="352"/>
      <c r="BQ229" s="352"/>
      <c r="BR229" s="352"/>
      <c r="BS229" s="352"/>
      <c r="BT229" s="352"/>
      <c r="BU229" s="352"/>
      <c r="BV229" s="352"/>
      <c r="BW229" s="352"/>
      <c r="BX229" s="352"/>
      <c r="BY229" s="352"/>
      <c r="BZ229" s="352"/>
      <c r="CA229" s="352"/>
      <c r="CB229" s="352"/>
      <c r="CC229" s="352"/>
      <c r="CD229" s="352"/>
      <c r="CE229" s="352"/>
      <c r="CS229" s="356">
        <v>45</v>
      </c>
      <c r="CT229" s="359" t="s">
        <v>110</v>
      </c>
      <c r="CU229" s="361">
        <v>8193055.21</v>
      </c>
      <c r="CV229" s="361">
        <v>818778.47</v>
      </c>
      <c r="CW229" s="361">
        <v>601412.44999999995</v>
      </c>
      <c r="CX229" s="361">
        <v>803165.5</v>
      </c>
      <c r="CY229" s="361">
        <v>664318.56999999995</v>
      </c>
      <c r="CZ229" s="361">
        <v>641782.17000000004</v>
      </c>
      <c r="DA229" s="361">
        <v>1105709.3400000001</v>
      </c>
      <c r="DB229" s="361">
        <v>955342.37</v>
      </c>
      <c r="DC229" s="361">
        <v>937655.84</v>
      </c>
      <c r="DD229" s="361">
        <v>493742.92</v>
      </c>
      <c r="DE229" s="361">
        <v>1171147.58</v>
      </c>
      <c r="DF229" s="365"/>
      <c r="DG229" s="365"/>
      <c r="DH229" s="365"/>
      <c r="DI229" s="366"/>
      <c r="DJ229" s="365"/>
      <c r="DK229" s="365"/>
      <c r="DL229" s="365"/>
      <c r="DM229" s="365"/>
    </row>
    <row r="230" spans="2:117" ht="13">
      <c r="B230" s="294"/>
      <c r="C230" s="295"/>
      <c r="D230" s="295"/>
      <c r="E230" s="294"/>
      <c r="F230" s="294"/>
      <c r="G230" s="295"/>
      <c r="H230" s="295"/>
      <c r="I230" s="295"/>
      <c r="J230" s="295"/>
      <c r="K230" s="295"/>
      <c r="L230" s="295"/>
      <c r="M230" s="302"/>
      <c r="N230" s="296"/>
      <c r="O230" s="296"/>
      <c r="P230" s="297"/>
      <c r="Q230" s="297"/>
      <c r="R230" s="297"/>
      <c r="S230" s="297"/>
      <c r="T230" s="298"/>
      <c r="U230" s="296"/>
      <c r="V230" s="296"/>
      <c r="W230" s="297"/>
      <c r="X230" s="297"/>
      <c r="Y230" s="297"/>
      <c r="Z230" s="297"/>
      <c r="AA230" s="299"/>
      <c r="AB230" s="296"/>
      <c r="AC230" s="296"/>
      <c r="AD230" s="297"/>
      <c r="AE230" s="297"/>
      <c r="AF230" s="297"/>
      <c r="AG230" s="297"/>
      <c r="AH230" s="295"/>
      <c r="AI230" s="293"/>
      <c r="AJ230" s="293"/>
      <c r="AK230" s="297"/>
      <c r="AL230" s="297"/>
      <c r="AM230" s="297"/>
      <c r="AN230" s="297"/>
      <c r="AO230" s="295"/>
      <c r="AP230" s="352"/>
      <c r="AQ230" s="352"/>
      <c r="AR230" s="352"/>
      <c r="AS230" s="352"/>
      <c r="AT230" s="352"/>
      <c r="AU230" s="352"/>
      <c r="AV230" s="352"/>
      <c r="AW230" s="352"/>
      <c r="AX230" s="352"/>
      <c r="AY230" s="352"/>
      <c r="AZ230" s="352"/>
      <c r="BA230" s="352"/>
      <c r="BB230" s="352"/>
      <c r="BC230" s="352"/>
      <c r="BD230" s="352"/>
      <c r="BE230" s="352"/>
      <c r="BF230" s="352"/>
      <c r="BG230" s="352"/>
      <c r="BH230" s="352"/>
      <c r="BI230" s="352"/>
      <c r="BJ230" s="352"/>
      <c r="BK230" s="352"/>
      <c r="BL230" s="352"/>
      <c r="BM230" s="352"/>
      <c r="BN230" s="352"/>
      <c r="BO230" s="352"/>
      <c r="BP230" s="352"/>
      <c r="BQ230" s="352"/>
      <c r="BR230" s="352"/>
      <c r="BS230" s="352"/>
      <c r="BT230" s="352"/>
      <c r="BU230" s="352"/>
      <c r="BV230" s="352"/>
      <c r="BW230" s="352"/>
      <c r="BX230" s="352"/>
      <c r="BY230" s="352"/>
      <c r="BZ230" s="352"/>
      <c r="CA230" s="352"/>
      <c r="CB230" s="352"/>
      <c r="CC230" s="352"/>
      <c r="CD230" s="352"/>
      <c r="CE230" s="352"/>
      <c r="CS230" s="356">
        <v>46</v>
      </c>
      <c r="CT230" s="359" t="s">
        <v>121</v>
      </c>
      <c r="CU230" s="361">
        <v>8138412.9400000004</v>
      </c>
      <c r="CV230" s="361">
        <v>0</v>
      </c>
      <c r="CW230" s="361">
        <v>0</v>
      </c>
      <c r="CX230" s="361">
        <v>1194136.18</v>
      </c>
      <c r="CY230" s="361">
        <v>976797.75</v>
      </c>
      <c r="CZ230" s="361">
        <v>514106.96</v>
      </c>
      <c r="DA230" s="361">
        <v>1477054.02</v>
      </c>
      <c r="DB230" s="361">
        <v>900162.48</v>
      </c>
      <c r="DC230" s="361">
        <v>1032673.01</v>
      </c>
      <c r="DD230" s="361">
        <v>1062177.3999999999</v>
      </c>
      <c r="DE230" s="361">
        <v>981305.14</v>
      </c>
      <c r="DF230" s="361"/>
      <c r="DG230" s="361"/>
      <c r="DH230" s="361"/>
      <c r="DI230" s="362"/>
      <c r="DJ230" s="361"/>
      <c r="DK230" s="361"/>
      <c r="DL230" s="361"/>
      <c r="DM230" s="361"/>
    </row>
    <row r="231" spans="2:117" ht="13">
      <c r="B231" s="294"/>
      <c r="C231" s="295"/>
      <c r="D231" s="295"/>
      <c r="E231" s="294"/>
      <c r="F231" s="294"/>
      <c r="G231" s="295"/>
      <c r="H231" s="295"/>
      <c r="I231" s="295"/>
      <c r="J231" s="295"/>
      <c r="K231" s="295"/>
      <c r="L231" s="295"/>
      <c r="M231" s="302"/>
      <c r="N231" s="296"/>
      <c r="O231" s="296"/>
      <c r="P231" s="297"/>
      <c r="Q231" s="297"/>
      <c r="R231" s="297"/>
      <c r="S231" s="297"/>
      <c r="T231" s="298"/>
      <c r="U231" s="296"/>
      <c r="V231" s="296"/>
      <c r="W231" s="297"/>
      <c r="X231" s="297"/>
      <c r="Y231" s="297"/>
      <c r="Z231" s="297"/>
      <c r="AA231" s="299"/>
      <c r="AB231" s="296"/>
      <c r="AC231" s="296"/>
      <c r="AD231" s="297"/>
      <c r="AE231" s="297"/>
      <c r="AF231" s="297"/>
      <c r="AG231" s="297"/>
      <c r="AH231" s="295"/>
      <c r="AI231" s="293"/>
      <c r="AJ231" s="293"/>
      <c r="AK231" s="297"/>
      <c r="AL231" s="297"/>
      <c r="AM231" s="297"/>
      <c r="AN231" s="297"/>
      <c r="AO231" s="295"/>
      <c r="AP231" s="352"/>
      <c r="AQ231" s="352"/>
      <c r="AR231" s="352"/>
      <c r="AS231" s="352"/>
      <c r="AT231" s="352"/>
      <c r="AU231" s="352"/>
      <c r="AV231" s="352"/>
      <c r="AW231" s="352"/>
      <c r="AX231" s="352"/>
      <c r="AY231" s="352"/>
      <c r="AZ231" s="352"/>
      <c r="BA231" s="352"/>
      <c r="BB231" s="352"/>
      <c r="BC231" s="352"/>
      <c r="BD231" s="352"/>
      <c r="BE231" s="352"/>
      <c r="BF231" s="352"/>
      <c r="BG231" s="352"/>
      <c r="BH231" s="352"/>
      <c r="BI231" s="352"/>
      <c r="BJ231" s="352"/>
      <c r="BK231" s="352"/>
      <c r="BL231" s="352"/>
      <c r="BM231" s="352"/>
      <c r="BN231" s="352"/>
      <c r="BO231" s="352"/>
      <c r="BP231" s="352"/>
      <c r="BQ231" s="352"/>
      <c r="BR231" s="352"/>
      <c r="BS231" s="352"/>
      <c r="BT231" s="352"/>
      <c r="BU231" s="352"/>
      <c r="BV231" s="352"/>
      <c r="BW231" s="352"/>
      <c r="BX231" s="352"/>
      <c r="BY231" s="352"/>
      <c r="BZ231" s="352"/>
      <c r="CA231" s="352"/>
      <c r="CB231" s="352"/>
      <c r="CC231" s="352"/>
      <c r="CD231" s="352"/>
      <c r="CE231" s="352"/>
      <c r="CS231" s="356">
        <v>47</v>
      </c>
      <c r="CT231" s="359" t="s">
        <v>129</v>
      </c>
      <c r="CU231" s="361">
        <v>6596206.4699999997</v>
      </c>
      <c r="CV231" s="361">
        <v>606033.57999999996</v>
      </c>
      <c r="CW231" s="361">
        <v>266281.46000000002</v>
      </c>
      <c r="CX231" s="361">
        <v>614855.47</v>
      </c>
      <c r="CY231" s="361">
        <v>497394.71</v>
      </c>
      <c r="CZ231" s="361">
        <v>425018.89</v>
      </c>
      <c r="DA231" s="361">
        <v>770752.71</v>
      </c>
      <c r="DB231" s="361">
        <v>937213.07</v>
      </c>
      <c r="DC231" s="361">
        <v>743999.17</v>
      </c>
      <c r="DD231" s="361">
        <v>823918.9</v>
      </c>
      <c r="DE231" s="361">
        <v>910738.51</v>
      </c>
      <c r="DF231" s="361"/>
      <c r="DG231" s="361"/>
      <c r="DH231" s="361"/>
      <c r="DI231" s="362"/>
      <c r="DJ231" s="361"/>
      <c r="DK231" s="361"/>
      <c r="DL231" s="361"/>
      <c r="DM231" s="361"/>
    </row>
    <row r="232" spans="2:117" ht="13">
      <c r="B232" s="294"/>
      <c r="C232" s="295"/>
      <c r="D232" s="295"/>
      <c r="E232" s="294"/>
      <c r="F232" s="294"/>
      <c r="G232" s="295"/>
      <c r="H232" s="295"/>
      <c r="I232" s="295"/>
      <c r="J232" s="295"/>
      <c r="K232" s="295"/>
      <c r="L232" s="295"/>
      <c r="M232" s="302"/>
      <c r="N232" s="296"/>
      <c r="O232" s="296"/>
      <c r="P232" s="297"/>
      <c r="Q232" s="297"/>
      <c r="R232" s="297"/>
      <c r="S232" s="297"/>
      <c r="T232" s="298"/>
      <c r="U232" s="296"/>
      <c r="V232" s="296"/>
      <c r="W232" s="297"/>
      <c r="X232" s="297"/>
      <c r="Y232" s="297"/>
      <c r="Z232" s="297"/>
      <c r="AA232" s="299"/>
      <c r="AB232" s="296"/>
      <c r="AC232" s="296"/>
      <c r="AD232" s="297"/>
      <c r="AE232" s="297"/>
      <c r="AF232" s="297"/>
      <c r="AG232" s="297"/>
      <c r="AH232" s="295"/>
      <c r="AI232" s="293"/>
      <c r="AJ232" s="293"/>
      <c r="AK232" s="297"/>
      <c r="AL232" s="297"/>
      <c r="AM232" s="297"/>
      <c r="AN232" s="297"/>
      <c r="AO232" s="295"/>
      <c r="AP232" s="302"/>
      <c r="AQ232" s="302"/>
      <c r="AR232" s="302"/>
      <c r="AS232" s="302"/>
      <c r="AT232" s="352"/>
      <c r="AU232" s="352"/>
      <c r="AV232" s="352"/>
      <c r="AW232" s="352"/>
      <c r="AX232" s="352"/>
      <c r="AY232" s="352"/>
      <c r="AZ232" s="352"/>
      <c r="BA232" s="352"/>
      <c r="BB232" s="352"/>
      <c r="BC232" s="352"/>
      <c r="BD232" s="352"/>
      <c r="BE232" s="352"/>
      <c r="BF232" s="352"/>
      <c r="BG232" s="352"/>
      <c r="BH232" s="352"/>
      <c r="BI232" s="352"/>
      <c r="BJ232" s="352"/>
      <c r="BK232" s="352"/>
      <c r="BL232" s="352"/>
      <c r="BM232" s="352"/>
      <c r="BN232" s="352"/>
      <c r="BO232" s="352"/>
      <c r="BP232" s="352"/>
      <c r="BQ232" s="352"/>
      <c r="BR232" s="352"/>
      <c r="BS232" s="352"/>
      <c r="BT232" s="352"/>
      <c r="BU232" s="352"/>
      <c r="BV232" s="352"/>
      <c r="BW232" s="352"/>
      <c r="BX232" s="352"/>
      <c r="BY232" s="352"/>
      <c r="BZ232" s="352"/>
      <c r="CA232" s="352"/>
      <c r="CB232" s="352"/>
      <c r="CC232" s="352"/>
      <c r="CD232" s="352"/>
      <c r="CE232" s="352"/>
      <c r="CS232" s="356">
        <v>48</v>
      </c>
      <c r="CT232" s="359" t="s">
        <v>89</v>
      </c>
      <c r="CU232" s="361">
        <v>6080855.25</v>
      </c>
      <c r="CV232" s="361">
        <v>916078.29</v>
      </c>
      <c r="CW232" s="361">
        <v>709435.59</v>
      </c>
      <c r="CX232" s="361">
        <v>682824.83</v>
      </c>
      <c r="CY232" s="361">
        <v>491692.7</v>
      </c>
      <c r="CZ232" s="361">
        <v>1160875.81</v>
      </c>
      <c r="DA232" s="361">
        <v>0</v>
      </c>
      <c r="DB232" s="361">
        <v>248047.79</v>
      </c>
      <c r="DC232" s="361">
        <v>780393.86</v>
      </c>
      <c r="DD232" s="361">
        <v>184455.73</v>
      </c>
      <c r="DE232" s="361">
        <v>907050.65</v>
      </c>
      <c r="DF232" s="361"/>
      <c r="DG232" s="361"/>
      <c r="DH232" s="361"/>
      <c r="DI232" s="362"/>
      <c r="DJ232" s="361"/>
      <c r="DK232" s="361"/>
      <c r="DL232" s="361"/>
      <c r="DM232" s="361"/>
    </row>
    <row r="233" spans="2:117" ht="13">
      <c r="B233" s="294"/>
      <c r="C233" s="295"/>
      <c r="D233" s="295"/>
      <c r="E233" s="294"/>
      <c r="F233" s="294"/>
      <c r="G233" s="295"/>
      <c r="H233" s="295"/>
      <c r="I233" s="295"/>
      <c r="J233" s="295"/>
      <c r="K233" s="295"/>
      <c r="L233" s="295"/>
      <c r="M233" s="302"/>
      <c r="N233" s="296"/>
      <c r="O233" s="296"/>
      <c r="P233" s="297"/>
      <c r="Q233" s="297"/>
      <c r="R233" s="297"/>
      <c r="S233" s="297"/>
      <c r="T233" s="298"/>
      <c r="U233" s="296"/>
      <c r="V233" s="296"/>
      <c r="W233" s="297"/>
      <c r="X233" s="297"/>
      <c r="Y233" s="297"/>
      <c r="Z233" s="297"/>
      <c r="AA233" s="299"/>
      <c r="AB233" s="296"/>
      <c r="AC233" s="296"/>
      <c r="AD233" s="297"/>
      <c r="AE233" s="297"/>
      <c r="AF233" s="297"/>
      <c r="AG233" s="297"/>
      <c r="AH233" s="295"/>
      <c r="AI233" s="293"/>
      <c r="AJ233" s="293"/>
      <c r="AK233" s="297"/>
      <c r="AL233" s="297"/>
      <c r="AM233" s="297"/>
      <c r="AN233" s="297"/>
      <c r="AO233" s="295"/>
      <c r="AP233" s="352"/>
      <c r="AQ233" s="352"/>
      <c r="AR233" s="352"/>
      <c r="AS233" s="352"/>
      <c r="AT233" s="352"/>
      <c r="AU233" s="352"/>
      <c r="AV233" s="352"/>
      <c r="AW233" s="352"/>
      <c r="AX233" s="352"/>
      <c r="AY233" s="352"/>
      <c r="AZ233" s="352"/>
      <c r="BA233" s="352"/>
      <c r="BB233" s="352"/>
      <c r="BC233" s="352"/>
      <c r="BD233" s="352"/>
      <c r="BE233" s="352"/>
      <c r="BF233" s="352"/>
      <c r="BG233" s="352"/>
      <c r="BH233" s="352"/>
      <c r="BI233" s="352"/>
      <c r="BJ233" s="352"/>
      <c r="BK233" s="352"/>
      <c r="BL233" s="352"/>
      <c r="BM233" s="352"/>
      <c r="BN233" s="352"/>
      <c r="BO233" s="352"/>
      <c r="BP233" s="352"/>
      <c r="BQ233" s="352"/>
      <c r="BR233" s="352"/>
      <c r="BS233" s="352"/>
      <c r="BT233" s="352"/>
      <c r="BU233" s="352"/>
      <c r="BV233" s="352"/>
      <c r="BW233" s="352"/>
      <c r="BX233" s="352"/>
      <c r="BY233" s="352"/>
      <c r="BZ233" s="352"/>
      <c r="CA233" s="352"/>
      <c r="CB233" s="352"/>
      <c r="CC233" s="352"/>
      <c r="CD233" s="352"/>
      <c r="CE233" s="352"/>
      <c r="CS233" s="356">
        <v>49</v>
      </c>
      <c r="CT233" s="359" t="s">
        <v>154</v>
      </c>
      <c r="CU233" s="361">
        <v>5956502.3300000001</v>
      </c>
      <c r="CV233" s="361">
        <v>936094.56</v>
      </c>
      <c r="CW233" s="361">
        <v>104529.36</v>
      </c>
      <c r="CX233" s="361">
        <v>1504451.97</v>
      </c>
      <c r="CY233" s="361">
        <v>84829.2</v>
      </c>
      <c r="CZ233" s="361">
        <v>1093290.08</v>
      </c>
      <c r="DA233" s="361">
        <v>109323.04</v>
      </c>
      <c r="DB233" s="361">
        <v>824056.48</v>
      </c>
      <c r="DC233" s="361">
        <v>371999.41</v>
      </c>
      <c r="DD233" s="361">
        <v>502795.82</v>
      </c>
      <c r="DE233" s="361">
        <v>425132.41</v>
      </c>
      <c r="DF233" s="361"/>
      <c r="DG233" s="361"/>
      <c r="DH233" s="361"/>
      <c r="DI233" s="362"/>
      <c r="DJ233" s="361"/>
      <c r="DK233" s="361"/>
      <c r="DL233" s="361"/>
      <c r="DM233" s="361"/>
    </row>
    <row r="234" spans="2:117" ht="13">
      <c r="B234" s="294"/>
      <c r="C234" s="295"/>
      <c r="D234" s="295"/>
      <c r="E234" s="294"/>
      <c r="F234" s="294"/>
      <c r="G234" s="295"/>
      <c r="H234" s="295"/>
      <c r="I234" s="295"/>
      <c r="J234" s="295"/>
      <c r="K234" s="295"/>
      <c r="L234" s="295"/>
      <c r="M234" s="302"/>
      <c r="N234" s="296"/>
      <c r="O234" s="296"/>
      <c r="P234" s="297"/>
      <c r="Q234" s="297"/>
      <c r="R234" s="297"/>
      <c r="S234" s="297"/>
      <c r="T234" s="298"/>
      <c r="U234" s="296"/>
      <c r="V234" s="296"/>
      <c r="W234" s="297"/>
      <c r="X234" s="297"/>
      <c r="Y234" s="297"/>
      <c r="Z234" s="297"/>
      <c r="AA234" s="299"/>
      <c r="AB234" s="296"/>
      <c r="AC234" s="296"/>
      <c r="AD234" s="297"/>
      <c r="AE234" s="297"/>
      <c r="AF234" s="297"/>
      <c r="AG234" s="297"/>
      <c r="AH234" s="295"/>
      <c r="AI234" s="293"/>
      <c r="AJ234" s="293"/>
      <c r="AK234" s="297"/>
      <c r="AL234" s="297"/>
      <c r="AM234" s="297"/>
      <c r="AN234" s="297"/>
      <c r="AO234" s="295"/>
      <c r="AP234" s="352"/>
      <c r="AQ234" s="352"/>
      <c r="AR234" s="352"/>
      <c r="AS234" s="352"/>
      <c r="AT234" s="352"/>
      <c r="AU234" s="352"/>
      <c r="AV234" s="352"/>
      <c r="AW234" s="352"/>
      <c r="AX234" s="352"/>
      <c r="AY234" s="352"/>
      <c r="AZ234" s="352"/>
      <c r="BA234" s="352"/>
      <c r="BB234" s="352"/>
      <c r="BC234" s="352"/>
      <c r="BD234" s="352"/>
      <c r="BE234" s="352"/>
      <c r="BF234" s="352"/>
      <c r="BG234" s="352"/>
      <c r="BH234" s="352"/>
      <c r="BI234" s="352"/>
      <c r="BJ234" s="352"/>
      <c r="BK234" s="352"/>
      <c r="BL234" s="352"/>
      <c r="BM234" s="352"/>
      <c r="BN234" s="352"/>
      <c r="BO234" s="352"/>
      <c r="BP234" s="352"/>
      <c r="BQ234" s="352"/>
      <c r="BR234" s="352"/>
      <c r="BS234" s="352"/>
      <c r="BT234" s="352"/>
      <c r="BU234" s="352"/>
      <c r="BV234" s="352"/>
      <c r="BW234" s="352"/>
      <c r="BX234" s="352"/>
      <c r="BY234" s="352"/>
      <c r="BZ234" s="352"/>
      <c r="CA234" s="352"/>
      <c r="CB234" s="352"/>
      <c r="CC234" s="352"/>
      <c r="CD234" s="352"/>
      <c r="CE234" s="352"/>
      <c r="CS234" s="356">
        <v>50</v>
      </c>
      <c r="CT234" s="359" t="s">
        <v>199</v>
      </c>
      <c r="CU234" s="361">
        <v>5951170.8799999999</v>
      </c>
      <c r="CV234" s="361">
        <v>718424.18</v>
      </c>
      <c r="CW234" s="361">
        <v>706732.43</v>
      </c>
      <c r="CX234" s="361">
        <v>173596.89</v>
      </c>
      <c r="CY234" s="361">
        <v>539393.22</v>
      </c>
      <c r="CZ234" s="361">
        <v>774801.45</v>
      </c>
      <c r="DA234" s="361">
        <v>227685.51</v>
      </c>
      <c r="DB234" s="361">
        <v>739772.94</v>
      </c>
      <c r="DC234" s="361">
        <v>380544.41</v>
      </c>
      <c r="DD234" s="361">
        <v>755082.76</v>
      </c>
      <c r="DE234" s="361">
        <v>935137.09</v>
      </c>
      <c r="DF234" s="361"/>
      <c r="DG234" s="361"/>
      <c r="DH234" s="361"/>
      <c r="DI234" s="362"/>
      <c r="DJ234" s="361"/>
      <c r="DK234" s="361"/>
      <c r="DL234" s="361"/>
      <c r="DM234" s="361"/>
    </row>
    <row r="235" spans="2:117" ht="13">
      <c r="B235" s="294"/>
      <c r="C235" s="295"/>
      <c r="D235" s="295"/>
      <c r="E235" s="294"/>
      <c r="F235" s="294"/>
      <c r="G235" s="295"/>
      <c r="H235" s="295"/>
      <c r="I235" s="295"/>
      <c r="J235" s="295"/>
      <c r="K235" s="295"/>
      <c r="L235" s="295"/>
      <c r="M235" s="302"/>
      <c r="N235" s="296"/>
      <c r="O235" s="296"/>
      <c r="P235" s="297"/>
      <c r="Q235" s="297"/>
      <c r="R235" s="297"/>
      <c r="S235" s="297"/>
      <c r="T235" s="298"/>
      <c r="U235" s="296"/>
      <c r="V235" s="296"/>
      <c r="W235" s="297"/>
      <c r="X235" s="297"/>
      <c r="Y235" s="297"/>
      <c r="Z235" s="297"/>
      <c r="AA235" s="299"/>
      <c r="AB235" s="296"/>
      <c r="AC235" s="296"/>
      <c r="AD235" s="297"/>
      <c r="AE235" s="297"/>
      <c r="AF235" s="297"/>
      <c r="AG235" s="297"/>
      <c r="AH235" s="295"/>
      <c r="AI235" s="293"/>
      <c r="AJ235" s="293"/>
      <c r="AK235" s="297"/>
      <c r="AL235" s="297"/>
      <c r="AM235" s="297"/>
      <c r="AN235" s="297"/>
      <c r="AO235" s="295"/>
      <c r="AP235" s="302"/>
      <c r="AQ235" s="302"/>
      <c r="AR235" s="302"/>
      <c r="AS235" s="302"/>
      <c r="AT235" s="352"/>
      <c r="AU235" s="352"/>
      <c r="AV235" s="352"/>
      <c r="AW235" s="352"/>
      <c r="AX235" s="352"/>
      <c r="AY235" s="352"/>
      <c r="AZ235" s="352"/>
      <c r="BA235" s="352"/>
      <c r="BB235" s="352"/>
      <c r="BC235" s="352"/>
      <c r="BD235" s="352"/>
      <c r="BE235" s="352"/>
      <c r="BF235" s="352"/>
      <c r="BG235" s="352"/>
      <c r="BH235" s="352"/>
      <c r="BI235" s="352"/>
      <c r="BJ235" s="352"/>
      <c r="BK235" s="352"/>
      <c r="BL235" s="352"/>
      <c r="BM235" s="352"/>
      <c r="BN235" s="352"/>
      <c r="BO235" s="352"/>
      <c r="BP235" s="352"/>
      <c r="BQ235" s="352"/>
      <c r="BR235" s="352"/>
      <c r="BS235" s="352"/>
      <c r="BT235" s="352"/>
      <c r="BU235" s="352"/>
      <c r="BV235" s="352"/>
      <c r="BW235" s="352"/>
      <c r="BX235" s="352"/>
      <c r="BY235" s="352"/>
      <c r="BZ235" s="352"/>
      <c r="CA235" s="352"/>
      <c r="CB235" s="352"/>
      <c r="CC235" s="352"/>
      <c r="CD235" s="352"/>
      <c r="CE235" s="352"/>
      <c r="CS235" s="356">
        <v>51</v>
      </c>
      <c r="CT235" s="359" t="s">
        <v>123</v>
      </c>
      <c r="CU235" s="361">
        <v>5711370.4400000004</v>
      </c>
      <c r="CV235" s="361">
        <v>518539.64</v>
      </c>
      <c r="CW235" s="361">
        <v>899694.87</v>
      </c>
      <c r="CX235" s="361">
        <v>448525</v>
      </c>
      <c r="CY235" s="361">
        <v>541576.17000000004</v>
      </c>
      <c r="CZ235" s="361">
        <v>642156.73</v>
      </c>
      <c r="DA235" s="361">
        <v>28225.75</v>
      </c>
      <c r="DB235" s="361">
        <v>120492.95</v>
      </c>
      <c r="DC235" s="361">
        <v>256427.6</v>
      </c>
      <c r="DD235" s="361">
        <v>421392.57</v>
      </c>
      <c r="DE235" s="361">
        <v>1834339.16</v>
      </c>
      <c r="DF235" s="365"/>
      <c r="DG235" s="365"/>
      <c r="DH235" s="365"/>
      <c r="DI235" s="366"/>
      <c r="DJ235" s="365"/>
      <c r="DK235" s="365"/>
      <c r="DL235" s="365"/>
      <c r="DM235" s="365"/>
    </row>
    <row r="236" spans="2:117" ht="13">
      <c r="B236" s="294"/>
      <c r="C236" s="295"/>
      <c r="D236" s="295"/>
      <c r="E236" s="294"/>
      <c r="F236" s="294"/>
      <c r="G236" s="295"/>
      <c r="H236" s="295"/>
      <c r="I236" s="295"/>
      <c r="J236" s="295"/>
      <c r="K236" s="295"/>
      <c r="L236" s="295"/>
      <c r="M236" s="302"/>
      <c r="N236" s="296"/>
      <c r="O236" s="296"/>
      <c r="P236" s="297"/>
      <c r="Q236" s="297"/>
      <c r="R236" s="297"/>
      <c r="S236" s="297"/>
      <c r="T236" s="298"/>
      <c r="U236" s="296"/>
      <c r="V236" s="296"/>
      <c r="W236" s="297"/>
      <c r="X236" s="297"/>
      <c r="Y236" s="297"/>
      <c r="Z236" s="297"/>
      <c r="AA236" s="299"/>
      <c r="AB236" s="296"/>
      <c r="AC236" s="296"/>
      <c r="AD236" s="297"/>
      <c r="AE236" s="297"/>
      <c r="AF236" s="297"/>
      <c r="AG236" s="297"/>
      <c r="AH236" s="295"/>
      <c r="AI236" s="293"/>
      <c r="AJ236" s="293"/>
      <c r="AK236" s="297"/>
      <c r="AL236" s="297"/>
      <c r="AM236" s="297"/>
      <c r="AN236" s="297"/>
      <c r="AO236" s="295"/>
      <c r="AP236" s="352"/>
      <c r="AQ236" s="352"/>
      <c r="AR236" s="352"/>
      <c r="AS236" s="352"/>
      <c r="AT236" s="352"/>
      <c r="AU236" s="352"/>
      <c r="AV236" s="352"/>
      <c r="AW236" s="352"/>
      <c r="AX236" s="352"/>
      <c r="AY236" s="352"/>
      <c r="AZ236" s="352"/>
      <c r="BA236" s="352"/>
      <c r="BB236" s="352"/>
      <c r="BC236" s="352"/>
      <c r="BD236" s="352"/>
      <c r="BE236" s="352"/>
      <c r="BF236" s="352"/>
      <c r="BG236" s="352"/>
      <c r="BH236" s="352"/>
      <c r="BI236" s="352"/>
      <c r="BJ236" s="352"/>
      <c r="BK236" s="352"/>
      <c r="BL236" s="352"/>
      <c r="BM236" s="352"/>
      <c r="BN236" s="352"/>
      <c r="BO236" s="352"/>
      <c r="BP236" s="352"/>
      <c r="BQ236" s="352"/>
      <c r="BR236" s="352"/>
      <c r="BS236" s="352"/>
      <c r="BT236" s="352"/>
      <c r="BU236" s="352"/>
      <c r="BV236" s="352"/>
      <c r="BW236" s="352"/>
      <c r="BX236" s="352"/>
      <c r="BY236" s="352"/>
      <c r="BZ236" s="352"/>
      <c r="CA236" s="352"/>
      <c r="CB236" s="352"/>
      <c r="CC236" s="352"/>
      <c r="CD236" s="352"/>
      <c r="CE236" s="352"/>
      <c r="CS236" s="356">
        <v>52</v>
      </c>
      <c r="CT236" s="359" t="s">
        <v>137</v>
      </c>
      <c r="CU236" s="361">
        <v>5679452.0099999998</v>
      </c>
      <c r="CV236" s="361">
        <v>452630.22</v>
      </c>
      <c r="CW236" s="361">
        <v>790938.66</v>
      </c>
      <c r="CX236" s="361">
        <v>389212.95</v>
      </c>
      <c r="CY236" s="361">
        <v>636594.42000000004</v>
      </c>
      <c r="CZ236" s="361">
        <v>461597.27</v>
      </c>
      <c r="DA236" s="361">
        <v>697084.76</v>
      </c>
      <c r="DB236" s="361">
        <v>614518.31999999995</v>
      </c>
      <c r="DC236" s="361">
        <v>621865.18999999994</v>
      </c>
      <c r="DD236" s="361">
        <v>476184.64</v>
      </c>
      <c r="DE236" s="361">
        <v>538825.57999999996</v>
      </c>
      <c r="DF236" s="361"/>
      <c r="DG236" s="361"/>
      <c r="DH236" s="361"/>
      <c r="DI236" s="362"/>
      <c r="DJ236" s="361"/>
      <c r="DK236" s="361"/>
      <c r="DL236" s="361"/>
      <c r="DM236" s="361"/>
    </row>
    <row r="237" spans="2:117" ht="13">
      <c r="B237" s="294"/>
      <c r="C237" s="295"/>
      <c r="D237" s="295"/>
      <c r="E237" s="294"/>
      <c r="F237" s="294"/>
      <c r="G237" s="295"/>
      <c r="H237" s="295"/>
      <c r="I237" s="295"/>
      <c r="J237" s="295"/>
      <c r="K237" s="295"/>
      <c r="L237" s="295"/>
      <c r="M237" s="302"/>
      <c r="N237" s="296"/>
      <c r="O237" s="296"/>
      <c r="P237" s="297"/>
      <c r="Q237" s="297"/>
      <c r="R237" s="297"/>
      <c r="S237" s="297"/>
      <c r="T237" s="298"/>
      <c r="U237" s="296"/>
      <c r="V237" s="296"/>
      <c r="W237" s="297"/>
      <c r="X237" s="297"/>
      <c r="Y237" s="297"/>
      <c r="Z237" s="297"/>
      <c r="AA237" s="299"/>
      <c r="AB237" s="296"/>
      <c r="AC237" s="296"/>
      <c r="AD237" s="297"/>
      <c r="AE237" s="297"/>
      <c r="AF237" s="297"/>
      <c r="AG237" s="297"/>
      <c r="AH237" s="295"/>
      <c r="AI237" s="293"/>
      <c r="AJ237" s="293"/>
      <c r="AK237" s="297"/>
      <c r="AL237" s="297"/>
      <c r="AM237" s="297"/>
      <c r="AN237" s="297"/>
      <c r="AO237" s="295"/>
      <c r="AP237" s="352"/>
      <c r="AQ237" s="352"/>
      <c r="AR237" s="352"/>
      <c r="AS237" s="352"/>
      <c r="AT237" s="352"/>
      <c r="AU237" s="352"/>
      <c r="AV237" s="352"/>
      <c r="AW237" s="352"/>
      <c r="AX237" s="352"/>
      <c r="AY237" s="352"/>
      <c r="AZ237" s="352"/>
      <c r="BA237" s="352"/>
      <c r="BB237" s="352"/>
      <c r="BC237" s="352"/>
      <c r="BD237" s="352"/>
      <c r="BE237" s="352"/>
      <c r="BF237" s="352"/>
      <c r="BG237" s="352"/>
      <c r="BH237" s="352"/>
      <c r="BI237" s="352"/>
      <c r="BJ237" s="352"/>
      <c r="BK237" s="302"/>
      <c r="BL237" s="302"/>
      <c r="BM237" s="302"/>
      <c r="BN237" s="302"/>
      <c r="BO237" s="352"/>
      <c r="BP237" s="352"/>
      <c r="BQ237" s="352"/>
      <c r="BR237" s="352"/>
      <c r="BS237" s="352"/>
      <c r="BT237" s="352"/>
      <c r="BU237" s="352"/>
      <c r="BV237" s="352"/>
      <c r="BW237" s="352"/>
      <c r="BX237" s="352"/>
      <c r="BY237" s="352"/>
      <c r="BZ237" s="352"/>
      <c r="CA237" s="352"/>
      <c r="CB237" s="352"/>
      <c r="CC237" s="352"/>
      <c r="CD237" s="352"/>
      <c r="CE237" s="352"/>
      <c r="CS237" s="356">
        <v>53</v>
      </c>
      <c r="CT237" s="359" t="s">
        <v>153</v>
      </c>
      <c r="CU237" s="361">
        <v>5573559.5899999999</v>
      </c>
      <c r="CV237" s="361">
        <v>0</v>
      </c>
      <c r="CW237" s="361">
        <v>0</v>
      </c>
      <c r="CX237" s="361">
        <v>0</v>
      </c>
      <c r="CY237" s="361">
        <v>0</v>
      </c>
      <c r="CZ237" s="361">
        <v>853722.26</v>
      </c>
      <c r="DA237" s="361">
        <v>1041746.72</v>
      </c>
      <c r="DB237" s="361">
        <v>782204.72</v>
      </c>
      <c r="DC237" s="361">
        <v>444075.45</v>
      </c>
      <c r="DD237" s="361">
        <v>1136209.3600000001</v>
      </c>
      <c r="DE237" s="361">
        <v>1315601.08</v>
      </c>
      <c r="DF237" s="361"/>
      <c r="DG237" s="361"/>
      <c r="DH237" s="361"/>
      <c r="DI237" s="362"/>
      <c r="DJ237" s="361"/>
      <c r="DK237" s="361"/>
      <c r="DL237" s="361"/>
      <c r="DM237" s="361"/>
    </row>
    <row r="238" spans="2:117" ht="13">
      <c r="B238" s="294"/>
      <c r="C238" s="295"/>
      <c r="D238" s="295"/>
      <c r="E238" s="294"/>
      <c r="F238" s="294"/>
      <c r="G238" s="295"/>
      <c r="H238" s="295"/>
      <c r="I238" s="295"/>
      <c r="J238" s="295"/>
      <c r="K238" s="295"/>
      <c r="L238" s="295"/>
      <c r="M238" s="302"/>
      <c r="N238" s="296"/>
      <c r="O238" s="296"/>
      <c r="P238" s="297"/>
      <c r="Q238" s="297"/>
      <c r="R238" s="297"/>
      <c r="S238" s="297"/>
      <c r="T238" s="298"/>
      <c r="U238" s="296"/>
      <c r="V238" s="296"/>
      <c r="W238" s="297"/>
      <c r="X238" s="297"/>
      <c r="Y238" s="297"/>
      <c r="Z238" s="297"/>
      <c r="AA238" s="299"/>
      <c r="AB238" s="296"/>
      <c r="AC238" s="296"/>
      <c r="AD238" s="297"/>
      <c r="AE238" s="297"/>
      <c r="AF238" s="297"/>
      <c r="AG238" s="297"/>
      <c r="AH238" s="295"/>
      <c r="AI238" s="293"/>
      <c r="AJ238" s="293"/>
      <c r="AK238" s="297"/>
      <c r="AL238" s="297"/>
      <c r="AM238" s="297"/>
      <c r="AN238" s="297"/>
      <c r="AO238" s="295"/>
      <c r="AP238" s="352"/>
      <c r="AQ238" s="352"/>
      <c r="AR238" s="352"/>
      <c r="AS238" s="352"/>
      <c r="AT238" s="352"/>
      <c r="AU238" s="352"/>
      <c r="AV238" s="352"/>
      <c r="AW238" s="352"/>
      <c r="AX238" s="352"/>
      <c r="AY238" s="352"/>
      <c r="AZ238" s="352"/>
      <c r="BA238" s="352"/>
      <c r="BB238" s="352"/>
      <c r="BC238" s="352"/>
      <c r="BD238" s="352"/>
      <c r="BE238" s="352"/>
      <c r="BF238" s="352"/>
      <c r="BG238" s="352"/>
      <c r="BH238" s="352"/>
      <c r="BI238" s="352"/>
      <c r="BJ238" s="352"/>
      <c r="BK238" s="352"/>
      <c r="BL238" s="352"/>
      <c r="BM238" s="352"/>
      <c r="BN238" s="352"/>
      <c r="BO238" s="352"/>
      <c r="BP238" s="352"/>
      <c r="BQ238" s="352"/>
      <c r="BR238" s="352"/>
      <c r="BS238" s="352"/>
      <c r="BT238" s="352"/>
      <c r="BU238" s="352"/>
      <c r="BV238" s="352"/>
      <c r="BW238" s="352"/>
      <c r="BX238" s="352"/>
      <c r="BY238" s="352"/>
      <c r="BZ238" s="352"/>
      <c r="CA238" s="352"/>
      <c r="CB238" s="352"/>
      <c r="CC238" s="352"/>
      <c r="CD238" s="352"/>
      <c r="CE238" s="352"/>
      <c r="CS238" s="356">
        <v>54</v>
      </c>
      <c r="CT238" s="359" t="s">
        <v>111</v>
      </c>
      <c r="CU238" s="361">
        <v>5506186.0899999999</v>
      </c>
      <c r="CV238" s="361">
        <v>688675.24</v>
      </c>
      <c r="CW238" s="361">
        <v>100938.97</v>
      </c>
      <c r="CX238" s="361">
        <v>450230.13</v>
      </c>
      <c r="CY238" s="361">
        <v>878868.59</v>
      </c>
      <c r="CZ238" s="361">
        <v>490302.1</v>
      </c>
      <c r="DA238" s="361">
        <v>904503.09</v>
      </c>
      <c r="DB238" s="361">
        <v>420611.53</v>
      </c>
      <c r="DC238" s="361">
        <v>609708.48</v>
      </c>
      <c r="DD238" s="361">
        <v>433747.44</v>
      </c>
      <c r="DE238" s="361">
        <v>528600.53</v>
      </c>
      <c r="DF238" s="361"/>
      <c r="DG238" s="361"/>
      <c r="DH238" s="361"/>
      <c r="DI238" s="362"/>
      <c r="DJ238" s="361"/>
      <c r="DK238" s="361"/>
      <c r="DL238" s="361"/>
      <c r="DM238" s="361"/>
    </row>
    <row r="239" spans="2:117" ht="13">
      <c r="B239" s="294"/>
      <c r="C239" s="295"/>
      <c r="D239" s="295"/>
      <c r="E239" s="294"/>
      <c r="F239" s="294"/>
      <c r="G239" s="295"/>
      <c r="H239" s="295"/>
      <c r="I239" s="295"/>
      <c r="J239" s="295"/>
      <c r="K239" s="295"/>
      <c r="L239" s="295"/>
      <c r="M239" s="302"/>
      <c r="N239" s="296"/>
      <c r="O239" s="296"/>
      <c r="P239" s="297"/>
      <c r="Q239" s="297"/>
      <c r="R239" s="297"/>
      <c r="S239" s="297"/>
      <c r="T239" s="298"/>
      <c r="U239" s="296"/>
      <c r="V239" s="296"/>
      <c r="W239" s="297"/>
      <c r="X239" s="297"/>
      <c r="Y239" s="297"/>
      <c r="Z239" s="297"/>
      <c r="AA239" s="299"/>
      <c r="AB239" s="296"/>
      <c r="AC239" s="296"/>
      <c r="AD239" s="297"/>
      <c r="AE239" s="297"/>
      <c r="AF239" s="297"/>
      <c r="AG239" s="297"/>
      <c r="AH239" s="295"/>
      <c r="AI239" s="293"/>
      <c r="AJ239" s="293"/>
      <c r="AK239" s="297"/>
      <c r="AL239" s="297"/>
      <c r="AM239" s="297"/>
      <c r="AN239" s="297"/>
      <c r="AO239" s="295"/>
      <c r="AP239" s="352"/>
      <c r="AQ239" s="352"/>
      <c r="AR239" s="352"/>
      <c r="AS239" s="352"/>
      <c r="AT239" s="352"/>
      <c r="AU239" s="352"/>
      <c r="AV239" s="352"/>
      <c r="AW239" s="35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52"/>
      <c r="BL239" s="352"/>
      <c r="BM239" s="352"/>
      <c r="BN239" s="352"/>
      <c r="BO239" s="352"/>
      <c r="BP239" s="352"/>
      <c r="BQ239" s="352"/>
      <c r="BR239" s="352"/>
      <c r="BS239" s="352"/>
      <c r="BT239" s="352"/>
      <c r="BU239" s="352"/>
      <c r="BV239" s="352"/>
      <c r="BW239" s="352"/>
      <c r="BX239" s="352"/>
      <c r="BY239" s="352"/>
      <c r="BZ239" s="352"/>
      <c r="CA239" s="352"/>
      <c r="CB239" s="352"/>
      <c r="CC239" s="352"/>
      <c r="CD239" s="352"/>
      <c r="CE239" s="352"/>
      <c r="CS239" s="356">
        <v>55</v>
      </c>
      <c r="CT239" s="359" t="s">
        <v>186</v>
      </c>
      <c r="CU239" s="361">
        <v>5474868.2699999996</v>
      </c>
      <c r="CV239" s="361">
        <v>630203.07999999996</v>
      </c>
      <c r="CW239" s="361">
        <v>572350.1</v>
      </c>
      <c r="CX239" s="361">
        <v>305111.14</v>
      </c>
      <c r="CY239" s="361">
        <v>647955.61</v>
      </c>
      <c r="CZ239" s="361">
        <v>399904.48</v>
      </c>
      <c r="DA239" s="361">
        <v>423385.13</v>
      </c>
      <c r="DB239" s="361">
        <v>745233.25</v>
      </c>
      <c r="DC239" s="361">
        <v>603817.28</v>
      </c>
      <c r="DD239" s="361">
        <v>745627.27</v>
      </c>
      <c r="DE239" s="361">
        <v>401280.93</v>
      </c>
      <c r="DF239" s="365"/>
      <c r="DG239" s="365"/>
      <c r="DH239" s="365"/>
      <c r="DI239" s="366"/>
      <c r="DJ239" s="365"/>
      <c r="DK239" s="365"/>
      <c r="DL239" s="365"/>
      <c r="DM239" s="365"/>
    </row>
    <row r="240" spans="2:117" ht="13">
      <c r="B240" s="294"/>
      <c r="C240" s="295"/>
      <c r="D240" s="295"/>
      <c r="E240" s="294"/>
      <c r="F240" s="294"/>
      <c r="G240" s="295"/>
      <c r="H240" s="295"/>
      <c r="I240" s="295"/>
      <c r="J240" s="295"/>
      <c r="K240" s="295"/>
      <c r="L240" s="295"/>
      <c r="M240" s="302"/>
      <c r="N240" s="296"/>
      <c r="O240" s="296"/>
      <c r="P240" s="297"/>
      <c r="Q240" s="297"/>
      <c r="R240" s="297"/>
      <c r="S240" s="297"/>
      <c r="T240" s="298"/>
      <c r="U240" s="296"/>
      <c r="V240" s="296"/>
      <c r="W240" s="297"/>
      <c r="X240" s="297"/>
      <c r="Y240" s="297"/>
      <c r="Z240" s="297"/>
      <c r="AA240" s="299"/>
      <c r="AB240" s="296"/>
      <c r="AC240" s="296"/>
      <c r="AD240" s="297"/>
      <c r="AE240" s="297"/>
      <c r="AF240" s="297"/>
      <c r="AG240" s="297"/>
      <c r="AH240" s="295"/>
      <c r="AI240" s="293"/>
      <c r="AJ240" s="293"/>
      <c r="AK240" s="297"/>
      <c r="AL240" s="297"/>
      <c r="AM240" s="297"/>
      <c r="AN240" s="297"/>
      <c r="AO240" s="295"/>
      <c r="AP240" s="352"/>
      <c r="AQ240" s="352"/>
      <c r="AR240" s="352"/>
      <c r="AS240" s="352"/>
      <c r="AT240" s="352"/>
      <c r="AU240" s="352"/>
      <c r="AV240" s="352"/>
      <c r="AW240" s="352"/>
      <c r="AX240" s="352"/>
      <c r="AY240" s="352"/>
      <c r="AZ240" s="352"/>
      <c r="BA240" s="352"/>
      <c r="BB240" s="352"/>
      <c r="BC240" s="352"/>
      <c r="BD240" s="352"/>
      <c r="BE240" s="352"/>
      <c r="BF240" s="352"/>
      <c r="BG240" s="352"/>
      <c r="BH240" s="352"/>
      <c r="BI240" s="352"/>
      <c r="BJ240" s="352"/>
      <c r="BK240" s="352"/>
      <c r="BL240" s="352"/>
      <c r="BM240" s="352"/>
      <c r="BN240" s="352"/>
      <c r="BO240" s="352"/>
      <c r="BP240" s="352"/>
      <c r="BQ240" s="352"/>
      <c r="BR240" s="352"/>
      <c r="BS240" s="352"/>
      <c r="BT240" s="352"/>
      <c r="BU240" s="352"/>
      <c r="BV240" s="352"/>
      <c r="BW240" s="352"/>
      <c r="BX240" s="352"/>
      <c r="BY240" s="352"/>
      <c r="BZ240" s="352"/>
      <c r="CA240" s="352"/>
      <c r="CB240" s="352"/>
      <c r="CC240" s="352"/>
      <c r="CD240" s="352"/>
      <c r="CE240" s="352"/>
      <c r="CS240" s="356">
        <v>56</v>
      </c>
      <c r="CT240" s="359" t="s">
        <v>97</v>
      </c>
      <c r="CU240" s="361">
        <v>5213771.26</v>
      </c>
      <c r="CV240" s="361">
        <v>0</v>
      </c>
      <c r="CW240" s="361">
        <v>455284.12</v>
      </c>
      <c r="CX240" s="361">
        <v>580557.41</v>
      </c>
      <c r="CY240" s="361">
        <v>448643.74</v>
      </c>
      <c r="CZ240" s="361">
        <v>812270.17</v>
      </c>
      <c r="DA240" s="361">
        <v>215072.62</v>
      </c>
      <c r="DB240" s="361">
        <v>1009707.82</v>
      </c>
      <c r="DC240" s="361">
        <v>444010.86</v>
      </c>
      <c r="DD240" s="361">
        <v>368246.34</v>
      </c>
      <c r="DE240" s="361">
        <v>879978.18</v>
      </c>
      <c r="DF240" s="365"/>
      <c r="DG240" s="365"/>
      <c r="DH240" s="365"/>
      <c r="DI240" s="366"/>
      <c r="DJ240" s="365"/>
      <c r="DK240" s="365"/>
      <c r="DL240" s="365"/>
      <c r="DM240" s="365"/>
    </row>
    <row r="241" spans="2:117" ht="13">
      <c r="B241" s="294"/>
      <c r="C241" s="295"/>
      <c r="D241" s="295"/>
      <c r="E241" s="294"/>
      <c r="F241" s="294"/>
      <c r="G241" s="295"/>
      <c r="H241" s="295"/>
      <c r="I241" s="295"/>
      <c r="J241" s="295"/>
      <c r="K241" s="295"/>
      <c r="L241" s="295"/>
      <c r="M241" s="302"/>
      <c r="N241" s="296"/>
      <c r="O241" s="296"/>
      <c r="P241" s="297"/>
      <c r="Q241" s="297"/>
      <c r="R241" s="297"/>
      <c r="S241" s="297"/>
      <c r="T241" s="298"/>
      <c r="U241" s="296"/>
      <c r="V241" s="296"/>
      <c r="W241" s="297"/>
      <c r="X241" s="297"/>
      <c r="Y241" s="297"/>
      <c r="Z241" s="297"/>
      <c r="AA241" s="299"/>
      <c r="AB241" s="296"/>
      <c r="AC241" s="296"/>
      <c r="AD241" s="297"/>
      <c r="AE241" s="297"/>
      <c r="AF241" s="297"/>
      <c r="AG241" s="297"/>
      <c r="AH241" s="295"/>
      <c r="AI241" s="293"/>
      <c r="AJ241" s="293"/>
      <c r="AK241" s="297"/>
      <c r="AL241" s="297"/>
      <c r="AM241" s="297"/>
      <c r="AN241" s="297"/>
      <c r="AO241" s="295"/>
      <c r="AP241" s="352"/>
      <c r="AQ241" s="352"/>
      <c r="AR241" s="352"/>
      <c r="AS241" s="352"/>
      <c r="AT241" s="352"/>
      <c r="AU241" s="352"/>
      <c r="AV241" s="352"/>
      <c r="AW241" s="352"/>
      <c r="AX241" s="352"/>
      <c r="AY241" s="352"/>
      <c r="AZ241" s="352"/>
      <c r="BA241" s="352"/>
      <c r="BB241" s="352"/>
      <c r="BC241" s="352"/>
      <c r="BD241" s="352"/>
      <c r="BE241" s="352"/>
      <c r="BF241" s="352"/>
      <c r="BG241" s="352"/>
      <c r="BH241" s="352"/>
      <c r="BI241" s="352"/>
      <c r="BJ241" s="352"/>
      <c r="BK241" s="352"/>
      <c r="BL241" s="352"/>
      <c r="BM241" s="352"/>
      <c r="BN241" s="352"/>
      <c r="BO241" s="352"/>
      <c r="BP241" s="352"/>
      <c r="BQ241" s="352"/>
      <c r="BR241" s="352"/>
      <c r="BS241" s="352"/>
      <c r="BT241" s="352"/>
      <c r="BU241" s="352"/>
      <c r="BV241" s="352"/>
      <c r="BW241" s="302"/>
      <c r="BX241" s="302"/>
      <c r="BY241" s="302"/>
      <c r="BZ241" s="302"/>
      <c r="CA241" s="302"/>
      <c r="CB241" s="302"/>
      <c r="CC241" s="302"/>
      <c r="CD241" s="302"/>
      <c r="CE241" s="352"/>
      <c r="CS241" s="356">
        <v>57</v>
      </c>
      <c r="CT241" s="359" t="s">
        <v>91</v>
      </c>
      <c r="CU241" s="361">
        <v>5129311.33</v>
      </c>
      <c r="CV241" s="361">
        <v>338257.98</v>
      </c>
      <c r="CW241" s="361">
        <v>215566.82</v>
      </c>
      <c r="CX241" s="361">
        <v>172987.8</v>
      </c>
      <c r="CY241" s="361">
        <v>606710.98</v>
      </c>
      <c r="CZ241" s="361">
        <v>276679.34000000003</v>
      </c>
      <c r="DA241" s="361">
        <v>341729.75</v>
      </c>
      <c r="DB241" s="361">
        <v>1074989.92</v>
      </c>
      <c r="DC241" s="361">
        <v>372265.38</v>
      </c>
      <c r="DD241" s="361">
        <v>703822.62</v>
      </c>
      <c r="DE241" s="361">
        <v>1026300.73</v>
      </c>
      <c r="DF241" s="361"/>
      <c r="DG241" s="361"/>
      <c r="DH241" s="361"/>
      <c r="DI241" s="362"/>
      <c r="DJ241" s="361"/>
      <c r="DK241" s="361"/>
      <c r="DL241" s="361"/>
      <c r="DM241" s="361"/>
    </row>
    <row r="242" spans="2:117" ht="13">
      <c r="B242" s="294"/>
      <c r="C242" s="295"/>
      <c r="D242" s="295"/>
      <c r="E242" s="294"/>
      <c r="F242" s="294"/>
      <c r="G242" s="295"/>
      <c r="H242" s="295"/>
      <c r="I242" s="295"/>
      <c r="J242" s="295"/>
      <c r="K242" s="295"/>
      <c r="L242" s="295"/>
      <c r="M242" s="302"/>
      <c r="N242" s="296"/>
      <c r="O242" s="296"/>
      <c r="P242" s="297"/>
      <c r="Q242" s="297"/>
      <c r="R242" s="297"/>
      <c r="S242" s="297"/>
      <c r="T242" s="298"/>
      <c r="U242" s="296"/>
      <c r="V242" s="296"/>
      <c r="W242" s="297"/>
      <c r="X242" s="297"/>
      <c r="Y242" s="297"/>
      <c r="Z242" s="297"/>
      <c r="AA242" s="299"/>
      <c r="AB242" s="296"/>
      <c r="AC242" s="296"/>
      <c r="AD242" s="297"/>
      <c r="AE242" s="297"/>
      <c r="AF242" s="297"/>
      <c r="AG242" s="297"/>
      <c r="AH242" s="295"/>
      <c r="AI242" s="293"/>
      <c r="AJ242" s="293"/>
      <c r="AK242" s="297"/>
      <c r="AL242" s="297"/>
      <c r="AM242" s="297"/>
      <c r="AN242" s="297"/>
      <c r="AO242" s="295"/>
      <c r="AP242" s="352"/>
      <c r="AQ242" s="352"/>
      <c r="AR242" s="352"/>
      <c r="AS242" s="352"/>
      <c r="AT242" s="352"/>
      <c r="AU242" s="352"/>
      <c r="AV242" s="352"/>
      <c r="AW242" s="352"/>
      <c r="AX242" s="352"/>
      <c r="AY242" s="352"/>
      <c r="AZ242" s="352"/>
      <c r="BA242" s="352"/>
      <c r="BB242" s="352"/>
      <c r="BC242" s="352"/>
      <c r="BD242" s="352"/>
      <c r="BE242" s="352"/>
      <c r="BF242" s="352"/>
      <c r="BG242" s="352"/>
      <c r="BH242" s="352"/>
      <c r="BI242" s="352"/>
      <c r="BJ242" s="352"/>
      <c r="BK242" s="352"/>
      <c r="BL242" s="352"/>
      <c r="BM242" s="352"/>
      <c r="BN242" s="352"/>
      <c r="BO242" s="352"/>
      <c r="BP242" s="352"/>
      <c r="BQ242" s="352"/>
      <c r="BR242" s="352"/>
      <c r="BS242" s="352"/>
      <c r="BT242" s="352"/>
      <c r="BU242" s="352"/>
      <c r="BV242" s="352"/>
      <c r="BW242" s="352"/>
      <c r="BX242" s="352"/>
      <c r="BY242" s="352"/>
      <c r="BZ242" s="352"/>
      <c r="CA242" s="352"/>
      <c r="CB242" s="352"/>
      <c r="CC242" s="352"/>
      <c r="CD242" s="352"/>
      <c r="CE242" s="352"/>
      <c r="CS242" s="356">
        <v>58</v>
      </c>
      <c r="CT242" s="359" t="s">
        <v>116</v>
      </c>
      <c r="CU242" s="361">
        <v>5117611.07</v>
      </c>
      <c r="CV242" s="361">
        <v>70424.800000000003</v>
      </c>
      <c r="CW242" s="361">
        <v>217226.81</v>
      </c>
      <c r="CX242" s="361">
        <v>960649.55</v>
      </c>
      <c r="CY242" s="361">
        <v>770540.18</v>
      </c>
      <c r="CZ242" s="361">
        <v>870414.45</v>
      </c>
      <c r="DA242" s="361">
        <v>255476.43</v>
      </c>
      <c r="DB242" s="361">
        <v>250373.22</v>
      </c>
      <c r="DC242" s="361">
        <v>437250.81</v>
      </c>
      <c r="DD242" s="361">
        <v>368903.57</v>
      </c>
      <c r="DE242" s="361">
        <v>916351.25</v>
      </c>
      <c r="DF242" s="361"/>
      <c r="DG242" s="361"/>
      <c r="DH242" s="361"/>
      <c r="DI242" s="362"/>
      <c r="DJ242" s="361"/>
      <c r="DK242" s="361"/>
      <c r="DL242" s="361"/>
      <c r="DM242" s="361"/>
    </row>
    <row r="243" spans="2:117" ht="13">
      <c r="B243" s="294"/>
      <c r="C243" s="295"/>
      <c r="D243" s="295"/>
      <c r="E243" s="294"/>
      <c r="F243" s="294"/>
      <c r="G243" s="295"/>
      <c r="H243" s="295"/>
      <c r="I243" s="295"/>
      <c r="J243" s="295"/>
      <c r="K243" s="295"/>
      <c r="L243" s="295"/>
      <c r="M243" s="302"/>
      <c r="N243" s="296"/>
      <c r="O243" s="296"/>
      <c r="P243" s="297"/>
      <c r="Q243" s="297"/>
      <c r="R243" s="297"/>
      <c r="S243" s="297"/>
      <c r="T243" s="298"/>
      <c r="U243" s="296"/>
      <c r="V243" s="296"/>
      <c r="W243" s="297"/>
      <c r="X243" s="297"/>
      <c r="Y243" s="297"/>
      <c r="Z243" s="297"/>
      <c r="AA243" s="299"/>
      <c r="AB243" s="296"/>
      <c r="AC243" s="296"/>
      <c r="AD243" s="297"/>
      <c r="AE243" s="297"/>
      <c r="AF243" s="297"/>
      <c r="AG243" s="297"/>
      <c r="AH243" s="295"/>
      <c r="AI243" s="293"/>
      <c r="AJ243" s="293"/>
      <c r="AK243" s="297"/>
      <c r="AL243" s="297"/>
      <c r="AM243" s="297"/>
      <c r="AN243" s="297"/>
      <c r="AO243" s="295"/>
      <c r="AP243" s="352"/>
      <c r="AQ243" s="352"/>
      <c r="AR243" s="352"/>
      <c r="AS243" s="352"/>
      <c r="AT243" s="352"/>
      <c r="AU243" s="352"/>
      <c r="AV243" s="352"/>
      <c r="AW243" s="352"/>
      <c r="AX243" s="352"/>
      <c r="AY243" s="352"/>
      <c r="AZ243" s="352"/>
      <c r="BA243" s="352"/>
      <c r="BB243" s="352"/>
      <c r="BC243" s="352"/>
      <c r="BD243" s="352"/>
      <c r="BE243" s="352"/>
      <c r="BF243" s="352"/>
      <c r="BG243" s="352"/>
      <c r="BH243" s="352"/>
      <c r="BI243" s="352"/>
      <c r="BJ243" s="352"/>
      <c r="BK243" s="352"/>
      <c r="BL243" s="352"/>
      <c r="BM243" s="352"/>
      <c r="BN243" s="352"/>
      <c r="BO243" s="352"/>
      <c r="BP243" s="352"/>
      <c r="BQ243" s="352"/>
      <c r="BR243" s="352"/>
      <c r="BS243" s="352"/>
      <c r="BT243" s="352"/>
      <c r="BU243" s="352"/>
      <c r="BV243" s="352"/>
      <c r="BW243" s="352"/>
      <c r="BX243" s="352"/>
      <c r="BY243" s="352"/>
      <c r="BZ243" s="352"/>
      <c r="CA243" s="352"/>
      <c r="CB243" s="352"/>
      <c r="CC243" s="352"/>
      <c r="CD243" s="352"/>
      <c r="CE243" s="352"/>
      <c r="CS243" s="356">
        <v>59</v>
      </c>
      <c r="CT243" s="359" t="s">
        <v>71</v>
      </c>
      <c r="CU243" s="361">
        <v>4927151.34</v>
      </c>
      <c r="CV243" s="361">
        <v>0</v>
      </c>
      <c r="CW243" s="361">
        <v>0</v>
      </c>
      <c r="CX243" s="361">
        <v>0</v>
      </c>
      <c r="CY243" s="361">
        <v>0</v>
      </c>
      <c r="CZ243" s="361">
        <v>0</v>
      </c>
      <c r="DA243" s="361">
        <v>0</v>
      </c>
      <c r="DB243" s="361">
        <v>0</v>
      </c>
      <c r="DC243" s="361">
        <v>0</v>
      </c>
      <c r="DD243" s="361">
        <v>2983892.72</v>
      </c>
      <c r="DE243" s="361">
        <v>1943258.62</v>
      </c>
      <c r="DF243" s="361"/>
      <c r="DG243" s="361"/>
      <c r="DH243" s="361"/>
      <c r="DI243" s="362"/>
      <c r="DJ243" s="361"/>
      <c r="DK243" s="361"/>
      <c r="DL243" s="361"/>
      <c r="DM243" s="361"/>
    </row>
    <row r="244" spans="2:117" ht="13">
      <c r="B244" s="294"/>
      <c r="C244" s="295"/>
      <c r="D244" s="295"/>
      <c r="E244" s="294"/>
      <c r="F244" s="294"/>
      <c r="G244" s="295"/>
      <c r="H244" s="295"/>
      <c r="I244" s="295"/>
      <c r="J244" s="295"/>
      <c r="K244" s="295"/>
      <c r="L244" s="295"/>
      <c r="M244" s="302"/>
      <c r="N244" s="296"/>
      <c r="O244" s="296"/>
      <c r="P244" s="297"/>
      <c r="Q244" s="297"/>
      <c r="R244" s="297"/>
      <c r="S244" s="297"/>
      <c r="T244" s="298"/>
      <c r="U244" s="296"/>
      <c r="V244" s="296"/>
      <c r="W244" s="297"/>
      <c r="X244" s="297"/>
      <c r="Y244" s="297"/>
      <c r="Z244" s="297"/>
      <c r="AA244" s="299"/>
      <c r="AB244" s="296"/>
      <c r="AC244" s="296"/>
      <c r="AD244" s="297"/>
      <c r="AE244" s="297"/>
      <c r="AF244" s="297"/>
      <c r="AG244" s="297"/>
      <c r="AH244" s="295"/>
      <c r="AI244" s="293"/>
      <c r="AJ244" s="293"/>
      <c r="AK244" s="297"/>
      <c r="AL244" s="297"/>
      <c r="AM244" s="297"/>
      <c r="AN244" s="297"/>
      <c r="AO244" s="295"/>
      <c r="AP244" s="302"/>
      <c r="AQ244" s="302"/>
      <c r="AR244" s="302"/>
      <c r="AS244" s="302"/>
      <c r="AT244" s="302"/>
      <c r="AU244" s="302"/>
      <c r="AV244" s="302"/>
      <c r="AW244" s="302"/>
      <c r="AX244" s="352"/>
      <c r="AY244" s="352"/>
      <c r="AZ244" s="352"/>
      <c r="BA244" s="35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2"/>
      <c r="BN244" s="302"/>
      <c r="BO244" s="352"/>
      <c r="BP244" s="352"/>
      <c r="BQ244" s="352"/>
      <c r="BR244" s="352"/>
      <c r="BS244" s="352"/>
      <c r="BT244" s="352"/>
      <c r="BU244" s="352"/>
      <c r="BV244" s="352"/>
      <c r="BW244" s="352"/>
      <c r="BX244" s="352"/>
      <c r="BY244" s="352"/>
      <c r="BZ244" s="352"/>
      <c r="CA244" s="352"/>
      <c r="CB244" s="352"/>
      <c r="CC244" s="352"/>
      <c r="CD244" s="352"/>
      <c r="CE244" s="352"/>
      <c r="CS244" s="356">
        <v>60</v>
      </c>
      <c r="CT244" s="359" t="s">
        <v>106</v>
      </c>
      <c r="CU244" s="361">
        <v>4848688.8600000003</v>
      </c>
      <c r="CV244" s="361">
        <v>863364.41</v>
      </c>
      <c r="CW244" s="361">
        <v>525298.24</v>
      </c>
      <c r="CX244" s="361">
        <v>249999.16</v>
      </c>
      <c r="CY244" s="361">
        <v>845605.17</v>
      </c>
      <c r="CZ244" s="361">
        <v>204130.91</v>
      </c>
      <c r="DA244" s="361">
        <v>255862.08</v>
      </c>
      <c r="DB244" s="361">
        <v>583314.9</v>
      </c>
      <c r="DC244" s="361">
        <v>451821.25</v>
      </c>
      <c r="DD244" s="361">
        <v>637726.82999999996</v>
      </c>
      <c r="DE244" s="361">
        <v>231565.91</v>
      </c>
      <c r="DF244" s="361"/>
      <c r="DG244" s="361"/>
      <c r="DH244" s="361"/>
      <c r="DI244" s="362"/>
      <c r="DJ244" s="361"/>
      <c r="DK244" s="361"/>
      <c r="DL244" s="361"/>
      <c r="DM244" s="361"/>
    </row>
    <row r="245" spans="2:117" ht="13">
      <c r="B245" s="294"/>
      <c r="C245" s="295"/>
      <c r="D245" s="295"/>
      <c r="E245" s="294"/>
      <c r="F245" s="294"/>
      <c r="G245" s="295"/>
      <c r="H245" s="295"/>
      <c r="I245" s="295"/>
      <c r="J245" s="295"/>
      <c r="K245" s="295"/>
      <c r="L245" s="295"/>
      <c r="M245" s="302"/>
      <c r="N245" s="296"/>
      <c r="O245" s="296"/>
      <c r="P245" s="297"/>
      <c r="Q245" s="297"/>
      <c r="R245" s="297"/>
      <c r="S245" s="297"/>
      <c r="T245" s="298"/>
      <c r="U245" s="296"/>
      <c r="V245" s="296"/>
      <c r="W245" s="297"/>
      <c r="X245" s="297"/>
      <c r="Y245" s="297"/>
      <c r="Z245" s="297"/>
      <c r="AA245" s="299"/>
      <c r="AB245" s="296"/>
      <c r="AC245" s="296"/>
      <c r="AD245" s="297"/>
      <c r="AE245" s="297"/>
      <c r="AF245" s="297"/>
      <c r="AG245" s="297"/>
      <c r="AH245" s="295"/>
      <c r="AI245" s="293"/>
      <c r="AJ245" s="293"/>
      <c r="AK245" s="297"/>
      <c r="AL245" s="297"/>
      <c r="AM245" s="297"/>
      <c r="AN245" s="297"/>
      <c r="AO245" s="295"/>
      <c r="AP245" s="352"/>
      <c r="AQ245" s="352"/>
      <c r="AR245" s="352"/>
      <c r="AS245" s="352"/>
      <c r="AT245" s="352"/>
      <c r="AU245" s="352"/>
      <c r="AV245" s="352"/>
      <c r="AW245" s="352"/>
      <c r="AX245" s="352"/>
      <c r="AY245" s="352"/>
      <c r="AZ245" s="352"/>
      <c r="BA245" s="35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52"/>
      <c r="BL245" s="352"/>
      <c r="BM245" s="352"/>
      <c r="BN245" s="352"/>
      <c r="BO245" s="352"/>
      <c r="BP245" s="352"/>
      <c r="BQ245" s="352"/>
      <c r="BR245" s="352"/>
      <c r="BS245" s="352"/>
      <c r="BT245" s="352"/>
      <c r="BU245" s="352"/>
      <c r="BV245" s="352"/>
      <c r="BW245" s="352"/>
      <c r="BX245" s="352"/>
      <c r="BY245" s="352"/>
      <c r="BZ245" s="352"/>
      <c r="CA245" s="352"/>
      <c r="CB245" s="352"/>
      <c r="CC245" s="352"/>
      <c r="CD245" s="352"/>
      <c r="CE245" s="352"/>
      <c r="CS245" s="356">
        <v>61</v>
      </c>
      <c r="CT245" s="359" t="s">
        <v>122</v>
      </c>
      <c r="CU245" s="361">
        <v>4839508.54</v>
      </c>
      <c r="CV245" s="361">
        <v>992048.71</v>
      </c>
      <c r="CW245" s="361">
        <v>785380.25</v>
      </c>
      <c r="CX245" s="361">
        <v>301595.77</v>
      </c>
      <c r="CY245" s="361">
        <v>807594.14</v>
      </c>
      <c r="CZ245" s="361">
        <v>257700.08</v>
      </c>
      <c r="DA245" s="361">
        <v>132345.60999999999</v>
      </c>
      <c r="DB245" s="361">
        <v>813873.49</v>
      </c>
      <c r="DC245" s="361">
        <v>226734.65</v>
      </c>
      <c r="DD245" s="361">
        <v>205948.34</v>
      </c>
      <c r="DE245" s="361">
        <v>316287.5</v>
      </c>
      <c r="DF245" s="361"/>
      <c r="DG245" s="361"/>
      <c r="DH245" s="361"/>
      <c r="DI245" s="362"/>
      <c r="DJ245" s="361"/>
      <c r="DK245" s="361"/>
      <c r="DL245" s="361"/>
      <c r="DM245" s="361"/>
    </row>
    <row r="246" spans="2:117" ht="13">
      <c r="B246" s="294"/>
      <c r="C246" s="295"/>
      <c r="D246" s="295"/>
      <c r="E246" s="294"/>
      <c r="F246" s="294"/>
      <c r="G246" s="295"/>
      <c r="H246" s="295"/>
      <c r="I246" s="295"/>
      <c r="J246" s="295"/>
      <c r="K246" s="295"/>
      <c r="L246" s="295"/>
      <c r="M246" s="302"/>
      <c r="N246" s="296"/>
      <c r="O246" s="296"/>
      <c r="P246" s="297"/>
      <c r="Q246" s="297"/>
      <c r="R246" s="297"/>
      <c r="S246" s="297"/>
      <c r="T246" s="298"/>
      <c r="U246" s="296"/>
      <c r="V246" s="296"/>
      <c r="W246" s="297"/>
      <c r="X246" s="297"/>
      <c r="Y246" s="297"/>
      <c r="Z246" s="297"/>
      <c r="AA246" s="299"/>
      <c r="AB246" s="296"/>
      <c r="AC246" s="296"/>
      <c r="AD246" s="297"/>
      <c r="AE246" s="297"/>
      <c r="AF246" s="297"/>
      <c r="AG246" s="297"/>
      <c r="AH246" s="295"/>
      <c r="AI246" s="293"/>
      <c r="AJ246" s="293"/>
      <c r="AK246" s="297"/>
      <c r="AL246" s="297"/>
      <c r="AM246" s="297"/>
      <c r="AN246" s="297"/>
      <c r="AO246" s="295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52"/>
      <c r="BX246" s="352"/>
      <c r="BY246" s="352"/>
      <c r="BZ246" s="352"/>
      <c r="CA246" s="352"/>
      <c r="CB246" s="352"/>
      <c r="CC246" s="352"/>
      <c r="CD246" s="352"/>
      <c r="CE246" s="352"/>
      <c r="CS246" s="356">
        <v>62</v>
      </c>
      <c r="CT246" s="359" t="s">
        <v>225</v>
      </c>
      <c r="CU246" s="361">
        <v>4731209.5599999996</v>
      </c>
      <c r="CV246" s="361">
        <v>743227.99</v>
      </c>
      <c r="CW246" s="361">
        <v>602888.56999999995</v>
      </c>
      <c r="CX246" s="361">
        <v>337740.28</v>
      </c>
      <c r="CY246" s="361">
        <v>593148.54</v>
      </c>
      <c r="CZ246" s="361">
        <v>261925.26</v>
      </c>
      <c r="DA246" s="361">
        <v>233131.6</v>
      </c>
      <c r="DB246" s="361">
        <v>545368.01</v>
      </c>
      <c r="DC246" s="361">
        <v>597714.4</v>
      </c>
      <c r="DD246" s="361">
        <v>443866.93</v>
      </c>
      <c r="DE246" s="361">
        <v>372197.98</v>
      </c>
      <c r="DF246" s="361"/>
      <c r="DG246" s="361"/>
      <c r="DH246" s="361"/>
      <c r="DI246" s="362"/>
      <c r="DJ246" s="361"/>
      <c r="DK246" s="361"/>
      <c r="DL246" s="361"/>
      <c r="DM246" s="361"/>
    </row>
    <row r="247" spans="2:117" ht="13">
      <c r="B247" s="294"/>
      <c r="C247" s="295"/>
      <c r="D247" s="295"/>
      <c r="E247" s="294"/>
      <c r="F247" s="294"/>
      <c r="G247" s="295"/>
      <c r="H247" s="295"/>
      <c r="I247" s="295"/>
      <c r="J247" s="295"/>
      <c r="K247" s="295"/>
      <c r="L247" s="295"/>
      <c r="M247" s="302"/>
      <c r="N247" s="296"/>
      <c r="O247" s="296"/>
      <c r="P247" s="297"/>
      <c r="Q247" s="297"/>
      <c r="R247" s="297"/>
      <c r="S247" s="297"/>
      <c r="T247" s="298"/>
      <c r="U247" s="296"/>
      <c r="V247" s="296"/>
      <c r="W247" s="297"/>
      <c r="X247" s="297"/>
      <c r="Y247" s="297"/>
      <c r="Z247" s="297"/>
      <c r="AA247" s="299"/>
      <c r="AB247" s="296"/>
      <c r="AC247" s="296"/>
      <c r="AD247" s="297"/>
      <c r="AE247" s="297"/>
      <c r="AF247" s="297"/>
      <c r="AG247" s="297"/>
      <c r="AH247" s="295"/>
      <c r="AI247" s="293"/>
      <c r="AJ247" s="293"/>
      <c r="AK247" s="297"/>
      <c r="AL247" s="297"/>
      <c r="AM247" s="297"/>
      <c r="AN247" s="297"/>
      <c r="AO247" s="295"/>
      <c r="AP247" s="302"/>
      <c r="AQ247" s="302"/>
      <c r="AR247" s="302"/>
      <c r="AS247" s="302"/>
      <c r="AT247" s="302"/>
      <c r="AU247" s="302"/>
      <c r="AV247" s="302"/>
      <c r="AW247" s="302"/>
      <c r="AX247" s="352"/>
      <c r="AY247" s="352"/>
      <c r="AZ247" s="352"/>
      <c r="BA247" s="352"/>
      <c r="BB247" s="352"/>
      <c r="BC247" s="352"/>
      <c r="BD247" s="352"/>
      <c r="BE247" s="352"/>
      <c r="BF247" s="352"/>
      <c r="BG247" s="352"/>
      <c r="BH247" s="352"/>
      <c r="BI247" s="352"/>
      <c r="BJ247" s="352"/>
      <c r="BK247" s="352"/>
      <c r="BL247" s="352"/>
      <c r="BM247" s="352"/>
      <c r="BN247" s="352"/>
      <c r="BO247" s="352"/>
      <c r="BP247" s="352"/>
      <c r="BQ247" s="352"/>
      <c r="BR247" s="352"/>
      <c r="BS247" s="352"/>
      <c r="BT247" s="352"/>
      <c r="BU247" s="352"/>
      <c r="BV247" s="352"/>
      <c r="BW247" s="352"/>
      <c r="BX247" s="352"/>
      <c r="BY247" s="352"/>
      <c r="BZ247" s="352"/>
      <c r="CA247" s="352"/>
      <c r="CB247" s="352"/>
      <c r="CC247" s="352"/>
      <c r="CD247" s="352"/>
      <c r="CE247" s="352"/>
      <c r="CS247" s="356">
        <v>63</v>
      </c>
      <c r="CT247" s="359" t="s">
        <v>135</v>
      </c>
      <c r="CU247" s="361">
        <v>4685188.67</v>
      </c>
      <c r="CV247" s="361">
        <v>425102.7</v>
      </c>
      <c r="CW247" s="361">
        <v>0</v>
      </c>
      <c r="CX247" s="361">
        <v>0</v>
      </c>
      <c r="CY247" s="361">
        <v>0</v>
      </c>
      <c r="CZ247" s="361">
        <v>0</v>
      </c>
      <c r="DA247" s="361">
        <v>874483.76</v>
      </c>
      <c r="DB247" s="361">
        <v>1452024.19</v>
      </c>
      <c r="DC247" s="361">
        <v>714343.53</v>
      </c>
      <c r="DD247" s="361">
        <v>769521.6</v>
      </c>
      <c r="DE247" s="361">
        <v>449712.89</v>
      </c>
      <c r="DF247" s="361"/>
      <c r="DG247" s="361"/>
      <c r="DH247" s="361"/>
      <c r="DI247" s="362"/>
      <c r="DJ247" s="361"/>
      <c r="DK247" s="361"/>
      <c r="DL247" s="361"/>
      <c r="DM247" s="361"/>
    </row>
    <row r="248" spans="2:117" ht="13">
      <c r="B248" s="294"/>
      <c r="C248" s="295"/>
      <c r="D248" s="295"/>
      <c r="E248" s="294"/>
      <c r="F248" s="294"/>
      <c r="G248" s="295"/>
      <c r="H248" s="295"/>
      <c r="I248" s="295"/>
      <c r="J248" s="295"/>
      <c r="K248" s="295"/>
      <c r="L248" s="295"/>
      <c r="M248" s="302"/>
      <c r="N248" s="296"/>
      <c r="O248" s="296"/>
      <c r="P248" s="297"/>
      <c r="Q248" s="297"/>
      <c r="R248" s="297"/>
      <c r="S248" s="297"/>
      <c r="T248" s="298"/>
      <c r="U248" s="296"/>
      <c r="V248" s="296"/>
      <c r="W248" s="297"/>
      <c r="X248" s="297"/>
      <c r="Y248" s="297"/>
      <c r="Z248" s="297"/>
      <c r="AA248" s="299"/>
      <c r="AB248" s="296"/>
      <c r="AC248" s="296"/>
      <c r="AD248" s="297"/>
      <c r="AE248" s="297"/>
      <c r="AF248" s="297"/>
      <c r="AG248" s="297"/>
      <c r="AH248" s="295"/>
      <c r="AI248" s="293"/>
      <c r="AJ248" s="293"/>
      <c r="AK248" s="297"/>
      <c r="AL248" s="297"/>
      <c r="AM248" s="297"/>
      <c r="AN248" s="297"/>
      <c r="AO248" s="295"/>
      <c r="AP248" s="352"/>
      <c r="AQ248" s="352"/>
      <c r="AR248" s="352"/>
      <c r="AS248" s="352"/>
      <c r="AT248" s="352"/>
      <c r="AU248" s="352"/>
      <c r="AV248" s="352"/>
      <c r="AW248" s="35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52"/>
      <c r="BL248" s="352"/>
      <c r="BM248" s="352"/>
      <c r="BN248" s="352"/>
      <c r="BO248" s="352"/>
      <c r="BP248" s="352"/>
      <c r="BQ248" s="352"/>
      <c r="BR248" s="352"/>
      <c r="BS248" s="352"/>
      <c r="BT248" s="352"/>
      <c r="BU248" s="352"/>
      <c r="BV248" s="302"/>
      <c r="BW248" s="352"/>
      <c r="BX248" s="352"/>
      <c r="BY248" s="352"/>
      <c r="BZ248" s="352"/>
      <c r="CA248" s="352"/>
      <c r="CB248" s="352"/>
      <c r="CC248" s="352"/>
      <c r="CD248" s="352"/>
      <c r="CE248" s="352"/>
      <c r="CS248" s="356">
        <v>64</v>
      </c>
      <c r="CT248" s="359" t="s">
        <v>197</v>
      </c>
      <c r="CU248" s="361">
        <v>4586375.5999999996</v>
      </c>
      <c r="CV248" s="361">
        <v>869005.42</v>
      </c>
      <c r="CW248" s="361">
        <v>375292.74</v>
      </c>
      <c r="CX248" s="361">
        <v>176230.21</v>
      </c>
      <c r="CY248" s="352">
        <v>681060.64</v>
      </c>
      <c r="CZ248" s="361">
        <v>394859.37</v>
      </c>
      <c r="DA248" s="361">
        <v>462442.75</v>
      </c>
      <c r="DB248" s="361">
        <v>166862.17000000001</v>
      </c>
      <c r="DC248" s="361">
        <v>561431.18000000005</v>
      </c>
      <c r="DD248" s="361">
        <v>533626.68999999994</v>
      </c>
      <c r="DE248" s="361">
        <v>365564.44</v>
      </c>
      <c r="DF248" s="365"/>
      <c r="DG248" s="365"/>
      <c r="DH248" s="365"/>
      <c r="DI248" s="366"/>
      <c r="DJ248" s="365"/>
      <c r="DK248" s="365"/>
      <c r="DL248" s="365"/>
      <c r="DM248" s="365"/>
    </row>
    <row r="249" spans="2:117" ht="13">
      <c r="B249" s="294"/>
      <c r="C249" s="295"/>
      <c r="D249" s="295"/>
      <c r="E249" s="294"/>
      <c r="F249" s="294"/>
      <c r="G249" s="295"/>
      <c r="H249" s="295"/>
      <c r="I249" s="295"/>
      <c r="J249" s="295"/>
      <c r="K249" s="295"/>
      <c r="L249" s="295"/>
      <c r="M249" s="302"/>
      <c r="N249" s="296"/>
      <c r="O249" s="296"/>
      <c r="P249" s="297"/>
      <c r="Q249" s="297"/>
      <c r="R249" s="297"/>
      <c r="S249" s="297"/>
      <c r="T249" s="298"/>
      <c r="U249" s="296"/>
      <c r="V249" s="296"/>
      <c r="W249" s="297"/>
      <c r="X249" s="297"/>
      <c r="Y249" s="297"/>
      <c r="Z249" s="297"/>
      <c r="AA249" s="299"/>
      <c r="AB249" s="296"/>
      <c r="AC249" s="296"/>
      <c r="AD249" s="297"/>
      <c r="AE249" s="297"/>
      <c r="AF249" s="297"/>
      <c r="AG249" s="297"/>
      <c r="AH249" s="295"/>
      <c r="AI249" s="293"/>
      <c r="AJ249" s="293"/>
      <c r="AK249" s="297"/>
      <c r="AL249" s="297"/>
      <c r="AM249" s="297"/>
      <c r="AN249" s="297"/>
      <c r="AO249" s="295"/>
      <c r="AP249" s="302"/>
      <c r="AQ249" s="302"/>
      <c r="AR249" s="302"/>
      <c r="AS249" s="302"/>
      <c r="AT249" s="302"/>
      <c r="AU249" s="302"/>
      <c r="AV249" s="302"/>
      <c r="AW249" s="302"/>
      <c r="AX249" s="352"/>
      <c r="AY249" s="352"/>
      <c r="AZ249" s="352"/>
      <c r="BA249" s="35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52"/>
      <c r="BX249" s="352"/>
      <c r="BY249" s="352"/>
      <c r="BZ249" s="352"/>
      <c r="CA249" s="302"/>
      <c r="CB249" s="302"/>
      <c r="CC249" s="302"/>
      <c r="CD249" s="302"/>
      <c r="CE249" s="352"/>
      <c r="CS249" s="356">
        <v>65</v>
      </c>
      <c r="CT249" s="359" t="s">
        <v>200</v>
      </c>
      <c r="CU249" s="361">
        <v>4555085.34</v>
      </c>
      <c r="CV249" s="361">
        <v>576965.02</v>
      </c>
      <c r="CW249" s="361">
        <v>320740.46000000002</v>
      </c>
      <c r="CX249" s="361">
        <v>522461.52</v>
      </c>
      <c r="CY249" s="361">
        <v>490968.34</v>
      </c>
      <c r="CZ249" s="361">
        <v>138611.15</v>
      </c>
      <c r="DA249" s="361">
        <v>175784.97</v>
      </c>
      <c r="DB249" s="361">
        <v>375382.84</v>
      </c>
      <c r="DC249" s="361">
        <v>378462</v>
      </c>
      <c r="DD249" s="361">
        <v>530490.74</v>
      </c>
      <c r="DE249" s="361">
        <v>1045218.3</v>
      </c>
      <c r="DF249" s="361"/>
      <c r="DG249" s="361"/>
      <c r="DH249" s="361"/>
      <c r="DI249" s="362"/>
      <c r="DJ249" s="361"/>
      <c r="DK249" s="361"/>
      <c r="DL249" s="361"/>
      <c r="DM249" s="361"/>
    </row>
    <row r="250" spans="2:117" ht="13">
      <c r="B250" s="294"/>
      <c r="C250" s="295"/>
      <c r="D250" s="295"/>
      <c r="E250" s="294"/>
      <c r="F250" s="294"/>
      <c r="G250" s="295"/>
      <c r="H250" s="295"/>
      <c r="I250" s="295"/>
      <c r="J250" s="295"/>
      <c r="K250" s="295"/>
      <c r="L250" s="295"/>
      <c r="M250" s="302"/>
      <c r="N250" s="296"/>
      <c r="O250" s="296"/>
      <c r="P250" s="297"/>
      <c r="Q250" s="297"/>
      <c r="R250" s="297"/>
      <c r="S250" s="297"/>
      <c r="T250" s="298"/>
      <c r="U250" s="296"/>
      <c r="V250" s="296"/>
      <c r="W250" s="297"/>
      <c r="X250" s="297"/>
      <c r="Y250" s="297"/>
      <c r="Z250" s="297"/>
      <c r="AA250" s="299"/>
      <c r="AB250" s="296"/>
      <c r="AC250" s="296"/>
      <c r="AD250" s="297"/>
      <c r="AE250" s="297"/>
      <c r="AF250" s="297"/>
      <c r="AG250" s="297"/>
      <c r="AH250" s="295"/>
      <c r="AI250" s="293"/>
      <c r="AJ250" s="293"/>
      <c r="AK250" s="297"/>
      <c r="AL250" s="297"/>
      <c r="AM250" s="297"/>
      <c r="AN250" s="297"/>
      <c r="AO250" s="295"/>
      <c r="AP250" s="302"/>
      <c r="AQ250" s="302"/>
      <c r="AR250" s="302"/>
      <c r="AS250" s="302"/>
      <c r="AT250" s="302"/>
      <c r="AU250" s="302"/>
      <c r="AV250" s="302"/>
      <c r="AW250" s="302"/>
      <c r="AX250" s="302"/>
      <c r="AY250" s="302"/>
      <c r="AZ250" s="302"/>
      <c r="BA250" s="302"/>
      <c r="BB250" s="352"/>
      <c r="BC250" s="352"/>
      <c r="BD250" s="352"/>
      <c r="BE250" s="352"/>
      <c r="BF250" s="352"/>
      <c r="BG250" s="352"/>
      <c r="BH250" s="352"/>
      <c r="BI250" s="352"/>
      <c r="BJ250" s="352"/>
      <c r="BK250" s="352"/>
      <c r="BL250" s="352"/>
      <c r="BM250" s="352"/>
      <c r="BN250" s="352"/>
      <c r="BO250" s="302"/>
      <c r="BP250" s="302"/>
      <c r="BQ250" s="302"/>
      <c r="BR250" s="302"/>
      <c r="BS250" s="302"/>
      <c r="BT250" s="302"/>
      <c r="BU250" s="302"/>
      <c r="BV250" s="352"/>
      <c r="BW250" s="302"/>
      <c r="BX250" s="302"/>
      <c r="BY250" s="302"/>
      <c r="BZ250" s="302"/>
      <c r="CA250" s="302"/>
      <c r="CB250" s="302"/>
      <c r="CC250" s="302"/>
      <c r="CD250" s="302"/>
      <c r="CE250" s="352"/>
      <c r="CS250" s="356">
        <v>66</v>
      </c>
      <c r="CT250" s="359" t="s">
        <v>79</v>
      </c>
      <c r="CU250" s="361">
        <v>4436836.55</v>
      </c>
      <c r="CV250" s="361">
        <v>0</v>
      </c>
      <c r="CW250" s="361">
        <v>118484.04</v>
      </c>
      <c r="CX250" s="361">
        <v>0</v>
      </c>
      <c r="CY250" s="361">
        <v>0</v>
      </c>
      <c r="CZ250" s="361">
        <v>137728.64000000001</v>
      </c>
      <c r="DA250" s="361">
        <v>438479.15</v>
      </c>
      <c r="DB250" s="361">
        <v>1311918.45</v>
      </c>
      <c r="DC250" s="361">
        <v>826846.83</v>
      </c>
      <c r="DD250" s="361">
        <v>758313.15</v>
      </c>
      <c r="DE250" s="361">
        <v>845066.29</v>
      </c>
      <c r="DF250" s="361"/>
      <c r="DG250" s="361"/>
      <c r="DH250" s="361"/>
      <c r="DI250" s="362"/>
      <c r="DJ250" s="361"/>
      <c r="DK250" s="361"/>
      <c r="DL250" s="361"/>
      <c r="DM250" s="361"/>
    </row>
    <row r="251" spans="2:117" ht="13">
      <c r="B251" s="294"/>
      <c r="C251" s="295"/>
      <c r="D251" s="295"/>
      <c r="E251" s="294"/>
      <c r="F251" s="294"/>
      <c r="G251" s="295"/>
      <c r="H251" s="295"/>
      <c r="I251" s="295"/>
      <c r="J251" s="295"/>
      <c r="K251" s="295"/>
      <c r="L251" s="295"/>
      <c r="M251" s="302"/>
      <c r="N251" s="296"/>
      <c r="O251" s="296"/>
      <c r="P251" s="297"/>
      <c r="Q251" s="297"/>
      <c r="R251" s="297"/>
      <c r="S251" s="297"/>
      <c r="T251" s="298"/>
      <c r="U251" s="296"/>
      <c r="V251" s="296"/>
      <c r="W251" s="297"/>
      <c r="X251" s="297"/>
      <c r="Y251" s="297"/>
      <c r="Z251" s="297"/>
      <c r="AA251" s="299"/>
      <c r="AB251" s="296"/>
      <c r="AC251" s="296"/>
      <c r="AD251" s="297"/>
      <c r="AE251" s="297"/>
      <c r="AF251" s="297"/>
      <c r="AG251" s="297"/>
      <c r="AH251" s="295"/>
      <c r="AI251" s="293"/>
      <c r="AJ251" s="293"/>
      <c r="AK251" s="297"/>
      <c r="AL251" s="297"/>
      <c r="AM251" s="297"/>
      <c r="AN251" s="297"/>
      <c r="AO251" s="295"/>
      <c r="AP251" s="352"/>
      <c r="AQ251" s="352"/>
      <c r="AR251" s="352"/>
      <c r="AS251" s="352"/>
      <c r="AT251" s="352"/>
      <c r="AU251" s="352"/>
      <c r="AV251" s="352"/>
      <c r="AW251" s="352"/>
      <c r="AX251" s="352"/>
      <c r="AY251" s="352"/>
      <c r="AZ251" s="352"/>
      <c r="BA251" s="352"/>
      <c r="BB251" s="352"/>
      <c r="BC251" s="352"/>
      <c r="BD251" s="352"/>
      <c r="BE251" s="352"/>
      <c r="BF251" s="352"/>
      <c r="BG251" s="352"/>
      <c r="BH251" s="352"/>
      <c r="BI251" s="352"/>
      <c r="BJ251" s="352"/>
      <c r="BK251" s="352"/>
      <c r="BL251" s="352"/>
      <c r="BM251" s="352"/>
      <c r="BN251" s="352"/>
      <c r="BO251" s="352"/>
      <c r="BP251" s="352"/>
      <c r="BQ251" s="352"/>
      <c r="BR251" s="352"/>
      <c r="BS251" s="352"/>
      <c r="BT251" s="352"/>
      <c r="BU251" s="352"/>
      <c r="BV251" s="352"/>
      <c r="BW251" s="352"/>
      <c r="BX251" s="352"/>
      <c r="BY251" s="352"/>
      <c r="BZ251" s="352"/>
      <c r="CA251" s="352"/>
      <c r="CB251" s="352"/>
      <c r="CC251" s="352"/>
      <c r="CD251" s="352"/>
      <c r="CE251" s="352"/>
      <c r="CS251" s="356">
        <v>67</v>
      </c>
      <c r="CT251" s="359" t="s">
        <v>168</v>
      </c>
      <c r="CU251" s="361">
        <v>4261589.88</v>
      </c>
      <c r="CV251" s="361">
        <v>187955.3</v>
      </c>
      <c r="CW251" s="361">
        <v>0</v>
      </c>
      <c r="CX251" s="361">
        <v>274822.94</v>
      </c>
      <c r="CY251" s="361">
        <v>811233.92</v>
      </c>
      <c r="CZ251" s="361">
        <v>539931.84</v>
      </c>
      <c r="DA251" s="361">
        <v>147572.88</v>
      </c>
      <c r="DB251" s="361">
        <v>612680.1</v>
      </c>
      <c r="DC251" s="361">
        <v>1089654.9099999999</v>
      </c>
      <c r="DD251" s="361">
        <v>511832.37</v>
      </c>
      <c r="DE251" s="361">
        <v>85905.61</v>
      </c>
      <c r="DF251" s="361"/>
      <c r="DG251" s="361"/>
      <c r="DH251" s="361"/>
      <c r="DI251" s="362"/>
      <c r="DJ251" s="361"/>
      <c r="DK251" s="361"/>
      <c r="DL251" s="361"/>
      <c r="DM251" s="361"/>
    </row>
    <row r="252" spans="2:117" ht="13">
      <c r="B252" s="294"/>
      <c r="C252" s="295"/>
      <c r="D252" s="295"/>
      <c r="E252" s="294"/>
      <c r="F252" s="294"/>
      <c r="G252" s="295"/>
      <c r="H252" s="295"/>
      <c r="I252" s="295"/>
      <c r="J252" s="295"/>
      <c r="K252" s="295"/>
      <c r="L252" s="295"/>
      <c r="M252" s="302"/>
      <c r="N252" s="296"/>
      <c r="O252" s="296"/>
      <c r="P252" s="297"/>
      <c r="Q252" s="297"/>
      <c r="R252" s="297"/>
      <c r="S252" s="297"/>
      <c r="T252" s="298"/>
      <c r="U252" s="296"/>
      <c r="V252" s="296"/>
      <c r="W252" s="297"/>
      <c r="X252" s="297"/>
      <c r="Y252" s="297"/>
      <c r="Z252" s="297"/>
      <c r="AA252" s="299"/>
      <c r="AB252" s="296"/>
      <c r="AC252" s="296"/>
      <c r="AD252" s="297"/>
      <c r="AE252" s="297"/>
      <c r="AF252" s="297"/>
      <c r="AG252" s="297"/>
      <c r="AH252" s="295"/>
      <c r="AI252" s="293"/>
      <c r="AJ252" s="293"/>
      <c r="AK252" s="297"/>
      <c r="AL252" s="297"/>
      <c r="AM252" s="297"/>
      <c r="AN252" s="297"/>
      <c r="AO252" s="295"/>
      <c r="AP252" s="352"/>
      <c r="AQ252" s="352"/>
      <c r="AR252" s="352"/>
      <c r="AS252" s="352"/>
      <c r="AT252" s="352"/>
      <c r="AU252" s="352"/>
      <c r="AV252" s="352"/>
      <c r="AW252" s="352"/>
      <c r="AX252" s="302"/>
      <c r="AY252" s="302"/>
      <c r="AZ252" s="302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K252" s="352"/>
      <c r="BL252" s="352"/>
      <c r="BM252" s="352"/>
      <c r="BN252" s="352"/>
      <c r="BO252" s="352"/>
      <c r="BP252" s="352"/>
      <c r="BQ252" s="352"/>
      <c r="BR252" s="352"/>
      <c r="BS252" s="352"/>
      <c r="BT252" s="352"/>
      <c r="BU252" s="352"/>
      <c r="BV252" s="352"/>
      <c r="BW252" s="302"/>
      <c r="BX252" s="302"/>
      <c r="BY252" s="302"/>
      <c r="BZ252" s="302"/>
      <c r="CA252" s="302"/>
      <c r="CB252" s="302"/>
      <c r="CC252" s="302"/>
      <c r="CD252" s="302"/>
      <c r="CE252" s="352"/>
      <c r="CS252" s="356">
        <v>68</v>
      </c>
      <c r="CT252" s="359" t="s">
        <v>134</v>
      </c>
      <c r="CU252" s="361">
        <v>4060938.62</v>
      </c>
      <c r="CV252" s="361">
        <v>0</v>
      </c>
      <c r="CW252" s="361">
        <v>0</v>
      </c>
      <c r="CX252" s="361">
        <v>0</v>
      </c>
      <c r="CY252" s="361">
        <v>0</v>
      </c>
      <c r="CZ252" s="361">
        <v>0</v>
      </c>
      <c r="DA252" s="361">
        <v>0</v>
      </c>
      <c r="DB252" s="361">
        <v>0</v>
      </c>
      <c r="DC252" s="361">
        <v>69497.23</v>
      </c>
      <c r="DD252" s="361">
        <v>2354834.09</v>
      </c>
      <c r="DE252" s="361">
        <v>1636607.3</v>
      </c>
      <c r="DF252" s="365"/>
      <c r="DG252" s="365"/>
      <c r="DH252" s="365"/>
      <c r="DI252" s="366"/>
      <c r="DJ252" s="365"/>
      <c r="DK252" s="365"/>
      <c r="DL252" s="365"/>
      <c r="DM252" s="365"/>
    </row>
    <row r="253" spans="2:117" ht="13">
      <c r="B253" s="294"/>
      <c r="C253" s="295"/>
      <c r="D253" s="295"/>
      <c r="E253" s="294"/>
      <c r="F253" s="294"/>
      <c r="G253" s="295"/>
      <c r="H253" s="295"/>
      <c r="I253" s="295"/>
      <c r="J253" s="295"/>
      <c r="K253" s="295"/>
      <c r="L253" s="295"/>
      <c r="M253" s="302"/>
      <c r="N253" s="296"/>
      <c r="O253" s="296"/>
      <c r="P253" s="297"/>
      <c r="Q253" s="297"/>
      <c r="R253" s="297"/>
      <c r="S253" s="297"/>
      <c r="T253" s="298"/>
      <c r="U253" s="296"/>
      <c r="V253" s="296"/>
      <c r="W253" s="297"/>
      <c r="X253" s="297"/>
      <c r="Y253" s="297"/>
      <c r="Z253" s="297"/>
      <c r="AA253" s="299"/>
      <c r="AB253" s="296"/>
      <c r="AC253" s="296"/>
      <c r="AD253" s="297"/>
      <c r="AE253" s="297"/>
      <c r="AF253" s="297"/>
      <c r="AG253" s="297"/>
      <c r="AH253" s="295"/>
      <c r="AI253" s="293"/>
      <c r="AJ253" s="293"/>
      <c r="AK253" s="297"/>
      <c r="AL253" s="297"/>
      <c r="AM253" s="297"/>
      <c r="AN253" s="297"/>
      <c r="AO253" s="295"/>
      <c r="AP253" s="302"/>
      <c r="AQ253" s="302"/>
      <c r="AR253" s="302"/>
      <c r="AS253" s="302"/>
      <c r="AT253" s="302"/>
      <c r="AU253" s="302"/>
      <c r="AV253" s="302"/>
      <c r="AW253" s="302"/>
      <c r="AX253" s="302"/>
      <c r="AY253" s="302"/>
      <c r="AZ253" s="302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K253" s="302"/>
      <c r="BL253" s="302"/>
      <c r="BM253" s="302"/>
      <c r="BN253" s="302"/>
      <c r="BO253" s="352"/>
      <c r="BP253" s="352"/>
      <c r="BQ253" s="352"/>
      <c r="BR253" s="352"/>
      <c r="BS253" s="352"/>
      <c r="BT253" s="352"/>
      <c r="BU253" s="352"/>
      <c r="BV253" s="352"/>
      <c r="BW253" s="302"/>
      <c r="BX253" s="302"/>
      <c r="BY253" s="302"/>
      <c r="BZ253" s="302"/>
      <c r="CA253" s="352"/>
      <c r="CB253" s="352"/>
      <c r="CC253" s="352"/>
      <c r="CD253" s="352"/>
      <c r="CE253" s="352"/>
      <c r="CS253" s="356">
        <v>69</v>
      </c>
      <c r="CT253" s="359" t="s">
        <v>171</v>
      </c>
      <c r="CU253" s="361">
        <v>3813053.05</v>
      </c>
      <c r="CV253" s="361">
        <v>777465.03</v>
      </c>
      <c r="CW253" s="361">
        <v>245766.52</v>
      </c>
      <c r="CX253" s="361">
        <v>574849.78</v>
      </c>
      <c r="CY253" s="361">
        <v>464944.77</v>
      </c>
      <c r="CZ253" s="361">
        <v>274495.11</v>
      </c>
      <c r="DA253" s="361">
        <v>433798.13</v>
      </c>
      <c r="DB253" s="361">
        <v>255550.3</v>
      </c>
      <c r="DC253" s="361">
        <v>348432.29</v>
      </c>
      <c r="DD253" s="361">
        <v>170435.37</v>
      </c>
      <c r="DE253" s="361">
        <v>267315.75</v>
      </c>
      <c r="DF253" s="361"/>
      <c r="DG253" s="361"/>
      <c r="DH253" s="361"/>
      <c r="DI253" s="362"/>
      <c r="DJ253" s="361"/>
      <c r="DK253" s="361"/>
      <c r="DL253" s="361"/>
      <c r="DM253" s="361"/>
    </row>
    <row r="254" spans="2:117" ht="13">
      <c r="B254" s="294"/>
      <c r="C254" s="295"/>
      <c r="D254" s="295"/>
      <c r="E254" s="294"/>
      <c r="F254" s="294"/>
      <c r="G254" s="295"/>
      <c r="H254" s="295"/>
      <c r="I254" s="295"/>
      <c r="J254" s="295"/>
      <c r="K254" s="295"/>
      <c r="L254" s="295"/>
      <c r="M254" s="302"/>
      <c r="N254" s="296"/>
      <c r="O254" s="296"/>
      <c r="P254" s="297"/>
      <c r="Q254" s="297"/>
      <c r="R254" s="297"/>
      <c r="S254" s="297"/>
      <c r="T254" s="298"/>
      <c r="U254" s="296"/>
      <c r="V254" s="296"/>
      <c r="W254" s="297"/>
      <c r="X254" s="297"/>
      <c r="Y254" s="297"/>
      <c r="Z254" s="297"/>
      <c r="AA254" s="299"/>
      <c r="AB254" s="296"/>
      <c r="AC254" s="296"/>
      <c r="AD254" s="297"/>
      <c r="AE254" s="297"/>
      <c r="AF254" s="297"/>
      <c r="AG254" s="297"/>
      <c r="AH254" s="295"/>
      <c r="AI254" s="293"/>
      <c r="AJ254" s="293"/>
      <c r="AK254" s="297"/>
      <c r="AL254" s="297"/>
      <c r="AM254" s="297"/>
      <c r="AN254" s="297"/>
      <c r="AO254" s="295"/>
      <c r="AP254" s="352"/>
      <c r="AQ254" s="352"/>
      <c r="AR254" s="352"/>
      <c r="AS254" s="352"/>
      <c r="AT254" s="302"/>
      <c r="AU254" s="302"/>
      <c r="AV254" s="302"/>
      <c r="AW254" s="302"/>
      <c r="AX254" s="352"/>
      <c r="AY254" s="352"/>
      <c r="AZ254" s="352"/>
      <c r="BA254" s="352"/>
      <c r="BB254" s="302"/>
      <c r="BC254" s="302"/>
      <c r="BD254" s="302"/>
      <c r="BE254" s="302"/>
      <c r="BF254" s="302"/>
      <c r="BG254" s="302"/>
      <c r="BH254" s="302"/>
      <c r="BI254" s="302"/>
      <c r="BJ254" s="302"/>
      <c r="BK254" s="302"/>
      <c r="BL254" s="302"/>
      <c r="BM254" s="302"/>
      <c r="BN254" s="302"/>
      <c r="BO254" s="302"/>
      <c r="BP254" s="302"/>
      <c r="BQ254" s="302"/>
      <c r="BR254" s="302"/>
      <c r="BS254" s="302"/>
      <c r="BT254" s="302"/>
      <c r="BU254" s="302"/>
      <c r="BV254" s="302"/>
      <c r="BW254" s="302"/>
      <c r="BX254" s="302"/>
      <c r="BY254" s="302"/>
      <c r="BZ254" s="302"/>
      <c r="CA254" s="302"/>
      <c r="CB254" s="302"/>
      <c r="CC254" s="302"/>
      <c r="CD254" s="302"/>
      <c r="CE254" s="352"/>
      <c r="CS254" s="356">
        <v>70</v>
      </c>
      <c r="CT254" s="302" t="s">
        <v>179</v>
      </c>
      <c r="CU254" s="352">
        <v>3811675.18</v>
      </c>
      <c r="CV254" s="352">
        <v>2071580.06</v>
      </c>
      <c r="CW254" s="352">
        <v>0</v>
      </c>
      <c r="CX254" s="352">
        <v>0</v>
      </c>
      <c r="CY254" s="352">
        <v>0</v>
      </c>
      <c r="CZ254" s="361">
        <v>0</v>
      </c>
      <c r="DA254" s="361">
        <v>1740095.12</v>
      </c>
      <c r="DB254" s="361">
        <v>0</v>
      </c>
      <c r="DC254" s="361">
        <v>0</v>
      </c>
      <c r="DD254" s="361">
        <v>0</v>
      </c>
      <c r="DE254" s="361">
        <v>0</v>
      </c>
      <c r="DF254" s="361"/>
      <c r="DG254" s="361"/>
      <c r="DH254" s="361"/>
      <c r="DI254" s="362"/>
      <c r="DJ254" s="361"/>
      <c r="DK254" s="361"/>
      <c r="DL254" s="361"/>
      <c r="DM254" s="361"/>
    </row>
    <row r="255" spans="2:117" ht="13">
      <c r="B255" s="294"/>
      <c r="C255" s="295"/>
      <c r="D255" s="295"/>
      <c r="E255" s="294"/>
      <c r="F255" s="294"/>
      <c r="G255" s="295"/>
      <c r="H255" s="295"/>
      <c r="I255" s="295"/>
      <c r="J255" s="295"/>
      <c r="K255" s="295"/>
      <c r="L255" s="295"/>
      <c r="M255" s="302"/>
      <c r="N255" s="296"/>
      <c r="O255" s="296"/>
      <c r="P255" s="297"/>
      <c r="Q255" s="297"/>
      <c r="R255" s="297"/>
      <c r="S255" s="297"/>
      <c r="T255" s="298"/>
      <c r="U255" s="296"/>
      <c r="V255" s="296"/>
      <c r="W255" s="297"/>
      <c r="X255" s="297"/>
      <c r="Y255" s="297"/>
      <c r="Z255" s="297"/>
      <c r="AA255" s="299"/>
      <c r="AB255" s="296"/>
      <c r="AC255" s="296"/>
      <c r="AD255" s="297"/>
      <c r="AE255" s="297"/>
      <c r="AF255" s="297"/>
      <c r="AG255" s="297"/>
      <c r="AH255" s="295"/>
      <c r="AI255" s="293"/>
      <c r="AJ255" s="293"/>
      <c r="AK255" s="297"/>
      <c r="AL255" s="297"/>
      <c r="AM255" s="297"/>
      <c r="AN255" s="297"/>
      <c r="AO255" s="295"/>
      <c r="AP255" s="302"/>
      <c r="AQ255" s="302"/>
      <c r="AR255" s="302"/>
      <c r="AS255" s="302"/>
      <c r="AT255" s="352"/>
      <c r="AU255" s="352"/>
      <c r="AV255" s="352"/>
      <c r="AW255" s="35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52"/>
      <c r="BL255" s="352"/>
      <c r="BM255" s="352"/>
      <c r="BN255" s="352"/>
      <c r="BO255" s="302"/>
      <c r="BP255" s="302"/>
      <c r="BQ255" s="302"/>
      <c r="BR255" s="302"/>
      <c r="BS255" s="302"/>
      <c r="BT255" s="302"/>
      <c r="BU255" s="302"/>
      <c r="BV255" s="302"/>
      <c r="BW255" s="352"/>
      <c r="BX255" s="352"/>
      <c r="BY255" s="352"/>
      <c r="BZ255" s="352"/>
      <c r="CA255" s="352"/>
      <c r="CB255" s="352"/>
      <c r="CC255" s="352"/>
      <c r="CD255" s="352"/>
      <c r="CE255" s="352"/>
      <c r="CS255" s="356">
        <v>71</v>
      </c>
      <c r="CT255" s="302" t="s">
        <v>105</v>
      </c>
      <c r="CU255" s="352">
        <v>3432818.92</v>
      </c>
      <c r="CV255" s="352">
        <v>0</v>
      </c>
      <c r="CW255" s="352">
        <v>0</v>
      </c>
      <c r="CX255" s="352">
        <v>263254.59999999998</v>
      </c>
      <c r="CY255" s="352">
        <v>424687.13</v>
      </c>
      <c r="CZ255" s="361">
        <v>372851.51</v>
      </c>
      <c r="DA255" s="361">
        <v>231563.23</v>
      </c>
      <c r="DB255" s="361">
        <v>442616.38</v>
      </c>
      <c r="DC255" s="361">
        <v>352749.66</v>
      </c>
      <c r="DD255" s="361">
        <v>877740.58</v>
      </c>
      <c r="DE255" s="361">
        <v>467355.85</v>
      </c>
      <c r="DF255" s="361"/>
      <c r="DG255" s="361"/>
      <c r="DH255" s="361"/>
      <c r="DI255" s="362"/>
      <c r="DJ255" s="361"/>
      <c r="DK255" s="361"/>
      <c r="DL255" s="361"/>
      <c r="DM255" s="361"/>
    </row>
    <row r="256" spans="2:117" ht="13">
      <c r="B256" s="294"/>
      <c r="C256" s="295"/>
      <c r="D256" s="295"/>
      <c r="E256" s="294"/>
      <c r="F256" s="294"/>
      <c r="G256" s="295"/>
      <c r="H256" s="295"/>
      <c r="I256" s="295"/>
      <c r="J256" s="295"/>
      <c r="K256" s="295"/>
      <c r="L256" s="295"/>
      <c r="M256" s="302"/>
      <c r="N256" s="296"/>
      <c r="O256" s="296"/>
      <c r="P256" s="297"/>
      <c r="Q256" s="297"/>
      <c r="R256" s="297"/>
      <c r="S256" s="297"/>
      <c r="T256" s="298"/>
      <c r="U256" s="296"/>
      <c r="V256" s="296"/>
      <c r="W256" s="297"/>
      <c r="X256" s="297"/>
      <c r="Y256" s="297"/>
      <c r="Z256" s="297"/>
      <c r="AA256" s="299"/>
      <c r="AB256" s="296"/>
      <c r="AC256" s="296"/>
      <c r="AD256" s="297"/>
      <c r="AE256" s="297"/>
      <c r="AF256" s="297"/>
      <c r="AG256" s="297"/>
      <c r="AH256" s="295"/>
      <c r="AI256" s="293"/>
      <c r="AJ256" s="293"/>
      <c r="AK256" s="297"/>
      <c r="AL256" s="297"/>
      <c r="AM256" s="297"/>
      <c r="AN256" s="297"/>
      <c r="AO256" s="295"/>
      <c r="AP256" s="302"/>
      <c r="AQ256" s="302"/>
      <c r="AR256" s="302"/>
      <c r="AS256" s="302"/>
      <c r="AT256" s="302"/>
      <c r="AU256" s="302"/>
      <c r="AV256" s="302"/>
      <c r="AW256" s="302"/>
      <c r="AX256" s="302"/>
      <c r="AY256" s="302"/>
      <c r="AZ256" s="302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K256" s="352"/>
      <c r="BL256" s="352"/>
      <c r="BM256" s="352"/>
      <c r="BN256" s="352"/>
      <c r="BO256" s="352"/>
      <c r="BP256" s="352"/>
      <c r="BQ256" s="352"/>
      <c r="BR256" s="352"/>
      <c r="BS256" s="352"/>
      <c r="BT256" s="352"/>
      <c r="BU256" s="352"/>
      <c r="BV256" s="352"/>
      <c r="BW256" s="352"/>
      <c r="BX256" s="352"/>
      <c r="BY256" s="352"/>
      <c r="BZ256" s="352"/>
      <c r="CA256" s="352"/>
      <c r="CB256" s="352"/>
      <c r="CC256" s="352"/>
      <c r="CD256" s="352"/>
      <c r="CE256" s="352"/>
      <c r="CS256" s="356">
        <v>72</v>
      </c>
      <c r="CT256" s="359" t="s">
        <v>167</v>
      </c>
      <c r="CU256" s="361">
        <v>3311252.95</v>
      </c>
      <c r="CV256" s="361">
        <v>1014896.06</v>
      </c>
      <c r="CW256" s="361">
        <v>0</v>
      </c>
      <c r="CX256" s="361">
        <v>1070309.56</v>
      </c>
      <c r="CY256" s="352">
        <v>0</v>
      </c>
      <c r="CZ256" s="361">
        <v>0</v>
      </c>
      <c r="DA256" s="361">
        <v>0</v>
      </c>
      <c r="DB256" s="361">
        <v>1226047.3400000001</v>
      </c>
      <c r="DC256" s="361">
        <v>0</v>
      </c>
      <c r="DD256" s="361">
        <v>0</v>
      </c>
      <c r="DE256" s="361">
        <v>0</v>
      </c>
      <c r="DF256" s="361"/>
      <c r="DG256" s="361"/>
      <c r="DH256" s="361"/>
      <c r="DI256" s="362"/>
      <c r="DJ256" s="361"/>
      <c r="DK256" s="361"/>
      <c r="DL256" s="361"/>
      <c r="DM256" s="361"/>
    </row>
    <row r="257" spans="2:117" ht="13">
      <c r="B257" s="294"/>
      <c r="C257" s="295"/>
      <c r="D257" s="295"/>
      <c r="E257" s="294"/>
      <c r="F257" s="294"/>
      <c r="G257" s="295"/>
      <c r="H257" s="295"/>
      <c r="I257" s="295"/>
      <c r="J257" s="295"/>
      <c r="K257" s="295"/>
      <c r="L257" s="295"/>
      <c r="M257" s="302"/>
      <c r="N257" s="296"/>
      <c r="O257" s="296"/>
      <c r="P257" s="297"/>
      <c r="Q257" s="297"/>
      <c r="R257" s="297"/>
      <c r="S257" s="297"/>
      <c r="T257" s="298"/>
      <c r="U257" s="296"/>
      <c r="V257" s="296"/>
      <c r="W257" s="297"/>
      <c r="X257" s="297"/>
      <c r="Y257" s="297"/>
      <c r="Z257" s="297"/>
      <c r="AA257" s="299"/>
      <c r="AB257" s="296"/>
      <c r="AC257" s="296"/>
      <c r="AD257" s="297"/>
      <c r="AE257" s="297"/>
      <c r="AF257" s="297"/>
      <c r="AG257" s="297"/>
      <c r="AH257" s="295"/>
      <c r="AI257" s="293"/>
      <c r="AJ257" s="293"/>
      <c r="AK257" s="297"/>
      <c r="AL257" s="297"/>
      <c r="AM257" s="297"/>
      <c r="AN257" s="297"/>
      <c r="AO257" s="295"/>
      <c r="AP257" s="352"/>
      <c r="AQ257" s="352"/>
      <c r="AR257" s="352"/>
      <c r="AS257" s="352"/>
      <c r="AT257" s="352"/>
      <c r="AU257" s="352"/>
      <c r="AV257" s="352"/>
      <c r="AW257" s="352"/>
      <c r="AX257" s="302"/>
      <c r="AY257" s="302"/>
      <c r="AZ257" s="302"/>
      <c r="BA257" s="302"/>
      <c r="BB257" s="352"/>
      <c r="BC257" s="352"/>
      <c r="BD257" s="352"/>
      <c r="BE257" s="352"/>
      <c r="BF257" s="352"/>
      <c r="BG257" s="352"/>
      <c r="BH257" s="352"/>
      <c r="BI257" s="352"/>
      <c r="BJ257" s="352"/>
      <c r="BK257" s="302"/>
      <c r="BL257" s="302"/>
      <c r="BM257" s="302"/>
      <c r="BN257" s="302"/>
      <c r="BO257" s="302"/>
      <c r="BP257" s="302"/>
      <c r="BQ257" s="302"/>
      <c r="BR257" s="302"/>
      <c r="BS257" s="302"/>
      <c r="BT257" s="302"/>
      <c r="BU257" s="302"/>
      <c r="BV257" s="352"/>
      <c r="BW257" s="302"/>
      <c r="BX257" s="302"/>
      <c r="BY257" s="302"/>
      <c r="BZ257" s="302"/>
      <c r="CA257" s="352"/>
      <c r="CB257" s="352"/>
      <c r="CC257" s="352"/>
      <c r="CD257" s="352"/>
      <c r="CE257" s="352"/>
      <c r="CS257" s="356">
        <v>73</v>
      </c>
      <c r="CT257" s="359" t="s">
        <v>191</v>
      </c>
      <c r="CU257" s="361">
        <v>3287723.59</v>
      </c>
      <c r="CV257" s="361">
        <v>423351.44</v>
      </c>
      <c r="CW257" s="361">
        <v>231691.99</v>
      </c>
      <c r="CX257" s="361">
        <v>470007.99</v>
      </c>
      <c r="CY257" s="361">
        <v>388409.64</v>
      </c>
      <c r="CZ257" s="361">
        <v>178562.01</v>
      </c>
      <c r="DA257" s="361">
        <v>200588.87</v>
      </c>
      <c r="DB257" s="361">
        <v>378706.14</v>
      </c>
      <c r="DC257" s="361">
        <v>250179.58</v>
      </c>
      <c r="DD257" s="361">
        <v>363616.05</v>
      </c>
      <c r="DE257" s="361">
        <v>402609.88</v>
      </c>
      <c r="DF257" s="361"/>
      <c r="DG257" s="361"/>
      <c r="DH257" s="361"/>
      <c r="DI257" s="362"/>
      <c r="DJ257" s="361"/>
      <c r="DK257" s="361"/>
      <c r="DL257" s="361"/>
      <c r="DM257" s="361"/>
    </row>
    <row r="258" spans="2:117" ht="13">
      <c r="B258" s="294"/>
      <c r="C258" s="295"/>
      <c r="D258" s="295"/>
      <c r="E258" s="294"/>
      <c r="F258" s="294"/>
      <c r="G258" s="295"/>
      <c r="H258" s="295"/>
      <c r="I258" s="295"/>
      <c r="J258" s="295"/>
      <c r="K258" s="295"/>
      <c r="L258" s="295"/>
      <c r="M258" s="302"/>
      <c r="N258" s="296"/>
      <c r="O258" s="296"/>
      <c r="P258" s="297"/>
      <c r="Q258" s="297"/>
      <c r="R258" s="297"/>
      <c r="S258" s="297"/>
      <c r="T258" s="298"/>
      <c r="U258" s="296"/>
      <c r="V258" s="296"/>
      <c r="W258" s="297"/>
      <c r="X258" s="297"/>
      <c r="Y258" s="297"/>
      <c r="Z258" s="297"/>
      <c r="AA258" s="299"/>
      <c r="AB258" s="296"/>
      <c r="AC258" s="296"/>
      <c r="AD258" s="297"/>
      <c r="AE258" s="297"/>
      <c r="AF258" s="297"/>
      <c r="AG258" s="297"/>
      <c r="AH258" s="295"/>
      <c r="AI258" s="293"/>
      <c r="AJ258" s="293"/>
      <c r="AK258" s="297"/>
      <c r="AL258" s="297"/>
      <c r="AM258" s="297"/>
      <c r="AN258" s="297"/>
      <c r="AO258" s="295"/>
      <c r="AP258" s="352"/>
      <c r="AQ258" s="352"/>
      <c r="AR258" s="352"/>
      <c r="AS258" s="352"/>
      <c r="AT258" s="352"/>
      <c r="AU258" s="352"/>
      <c r="AV258" s="352"/>
      <c r="AW258" s="352"/>
      <c r="AX258" s="352"/>
      <c r="AY258" s="352"/>
      <c r="AZ258" s="352"/>
      <c r="BA258" s="352"/>
      <c r="BB258" s="352"/>
      <c r="BC258" s="352"/>
      <c r="BD258" s="352"/>
      <c r="BE258" s="352"/>
      <c r="BF258" s="352"/>
      <c r="BG258" s="352"/>
      <c r="BH258" s="352"/>
      <c r="BI258" s="352"/>
      <c r="BJ258" s="352"/>
      <c r="BK258" s="352"/>
      <c r="BL258" s="352"/>
      <c r="BM258" s="352"/>
      <c r="BN258" s="352"/>
      <c r="BO258" s="352"/>
      <c r="BP258" s="352"/>
      <c r="BQ258" s="352"/>
      <c r="BR258" s="352"/>
      <c r="BS258" s="352"/>
      <c r="BT258" s="352"/>
      <c r="BU258" s="352"/>
      <c r="BV258" s="352"/>
      <c r="BW258" s="302"/>
      <c r="BX258" s="302"/>
      <c r="BY258" s="302"/>
      <c r="BZ258" s="302"/>
      <c r="CA258" s="352"/>
      <c r="CB258" s="352"/>
      <c r="CC258" s="352"/>
      <c r="CD258" s="352"/>
      <c r="CE258" s="352"/>
      <c r="CS258" s="356">
        <v>74</v>
      </c>
      <c r="CT258" s="359" t="s">
        <v>177</v>
      </c>
      <c r="CU258" s="361">
        <v>3285538.35</v>
      </c>
      <c r="CV258" s="361">
        <v>453160.39</v>
      </c>
      <c r="CW258" s="361">
        <v>432480.05</v>
      </c>
      <c r="CX258" s="361">
        <v>309003.25</v>
      </c>
      <c r="CY258" s="361">
        <v>336742.78</v>
      </c>
      <c r="CZ258" s="361">
        <v>164499.01</v>
      </c>
      <c r="DA258" s="361">
        <v>344580.14</v>
      </c>
      <c r="DB258" s="361">
        <v>344634.83</v>
      </c>
      <c r="DC258" s="361">
        <v>298865.59000000003</v>
      </c>
      <c r="DD258" s="361">
        <v>321149.53000000003</v>
      </c>
      <c r="DE258" s="361">
        <v>280422.78999999998</v>
      </c>
      <c r="DF258" s="365"/>
      <c r="DG258" s="365"/>
      <c r="DH258" s="365"/>
      <c r="DI258" s="366"/>
      <c r="DJ258" s="365"/>
      <c r="DK258" s="365"/>
      <c r="DL258" s="365"/>
      <c r="DM258" s="365"/>
    </row>
    <row r="259" spans="2:117" ht="13">
      <c r="B259" s="294"/>
      <c r="C259" s="295"/>
      <c r="D259" s="295"/>
      <c r="E259" s="294"/>
      <c r="F259" s="294"/>
      <c r="G259" s="295"/>
      <c r="H259" s="295"/>
      <c r="I259" s="295"/>
      <c r="J259" s="295"/>
      <c r="K259" s="295"/>
      <c r="L259" s="295"/>
      <c r="M259" s="302"/>
      <c r="N259" s="296"/>
      <c r="O259" s="296"/>
      <c r="P259" s="297"/>
      <c r="Q259" s="297"/>
      <c r="R259" s="297"/>
      <c r="S259" s="297"/>
      <c r="T259" s="298"/>
      <c r="U259" s="296"/>
      <c r="V259" s="296"/>
      <c r="W259" s="297"/>
      <c r="X259" s="297"/>
      <c r="Y259" s="297"/>
      <c r="Z259" s="297"/>
      <c r="AA259" s="299"/>
      <c r="AB259" s="296"/>
      <c r="AC259" s="296"/>
      <c r="AD259" s="297"/>
      <c r="AE259" s="297"/>
      <c r="AF259" s="297"/>
      <c r="AG259" s="297"/>
      <c r="AH259" s="295"/>
      <c r="AI259" s="293"/>
      <c r="AJ259" s="293"/>
      <c r="AK259" s="297"/>
      <c r="AL259" s="297"/>
      <c r="AM259" s="297"/>
      <c r="AN259" s="297"/>
      <c r="AO259" s="295"/>
      <c r="AP259" s="352"/>
      <c r="AQ259" s="352"/>
      <c r="AR259" s="352"/>
      <c r="AS259" s="352"/>
      <c r="AT259" s="352"/>
      <c r="AU259" s="352"/>
      <c r="AV259" s="352"/>
      <c r="AW259" s="352"/>
      <c r="AX259" s="352"/>
      <c r="AY259" s="352"/>
      <c r="AZ259" s="352"/>
      <c r="BA259" s="352"/>
      <c r="BB259" s="352"/>
      <c r="BC259" s="352"/>
      <c r="BD259" s="352"/>
      <c r="BE259" s="352"/>
      <c r="BF259" s="352"/>
      <c r="BG259" s="352"/>
      <c r="BH259" s="352"/>
      <c r="BI259" s="352"/>
      <c r="BJ259" s="352"/>
      <c r="BK259" s="352"/>
      <c r="BL259" s="352"/>
      <c r="BM259" s="352"/>
      <c r="BN259" s="352"/>
      <c r="BO259" s="352"/>
      <c r="BP259" s="352"/>
      <c r="BQ259" s="352"/>
      <c r="BR259" s="352"/>
      <c r="BS259" s="352"/>
      <c r="BT259" s="352"/>
      <c r="BU259" s="352"/>
      <c r="BV259" s="352"/>
      <c r="BW259" s="352"/>
      <c r="BX259" s="352"/>
      <c r="BY259" s="352"/>
      <c r="BZ259" s="352"/>
      <c r="CA259" s="352"/>
      <c r="CB259" s="352"/>
      <c r="CC259" s="352"/>
      <c r="CD259" s="352"/>
      <c r="CE259" s="352"/>
      <c r="CS259" s="356">
        <v>75</v>
      </c>
      <c r="CT259" s="359" t="s">
        <v>180</v>
      </c>
      <c r="CU259" s="361">
        <v>3135326.44</v>
      </c>
      <c r="CV259" s="361">
        <v>0</v>
      </c>
      <c r="CW259" s="361">
        <v>0</v>
      </c>
      <c r="CX259" s="361">
        <v>0</v>
      </c>
      <c r="CY259" s="361">
        <v>0</v>
      </c>
      <c r="CZ259" s="361">
        <v>0</v>
      </c>
      <c r="DA259" s="361">
        <v>0</v>
      </c>
      <c r="DB259" s="361">
        <v>26240.35</v>
      </c>
      <c r="DC259" s="361">
        <v>0</v>
      </c>
      <c r="DD259" s="361">
        <v>3109086.09</v>
      </c>
      <c r="DE259" s="361">
        <v>0</v>
      </c>
      <c r="DF259" s="361"/>
      <c r="DG259" s="361"/>
      <c r="DH259" s="361"/>
      <c r="DI259" s="362"/>
      <c r="DJ259" s="361"/>
      <c r="DK259" s="361"/>
      <c r="DL259" s="361"/>
      <c r="DM259" s="361"/>
    </row>
    <row r="260" spans="2:117" ht="13">
      <c r="B260" s="294"/>
      <c r="C260" s="295"/>
      <c r="D260" s="295"/>
      <c r="E260" s="294"/>
      <c r="F260" s="294"/>
      <c r="G260" s="295"/>
      <c r="H260" s="295"/>
      <c r="I260" s="295"/>
      <c r="J260" s="295"/>
      <c r="K260" s="295"/>
      <c r="L260" s="295"/>
      <c r="M260" s="302"/>
      <c r="N260" s="296"/>
      <c r="O260" s="296"/>
      <c r="P260" s="297"/>
      <c r="Q260" s="297"/>
      <c r="R260" s="297"/>
      <c r="S260" s="297"/>
      <c r="T260" s="298"/>
      <c r="U260" s="296"/>
      <c r="V260" s="296"/>
      <c r="W260" s="297"/>
      <c r="X260" s="297"/>
      <c r="Y260" s="297"/>
      <c r="Z260" s="297"/>
      <c r="AA260" s="299"/>
      <c r="AB260" s="296"/>
      <c r="AC260" s="296"/>
      <c r="AD260" s="297"/>
      <c r="AE260" s="297"/>
      <c r="AF260" s="297"/>
      <c r="AG260" s="297"/>
      <c r="AH260" s="295"/>
      <c r="AI260" s="293"/>
      <c r="AJ260" s="293"/>
      <c r="AK260" s="297"/>
      <c r="AL260" s="297"/>
      <c r="AM260" s="297"/>
      <c r="AN260" s="297"/>
      <c r="AO260" s="295"/>
      <c r="AP260" s="302"/>
      <c r="AQ260" s="302"/>
      <c r="AR260" s="302"/>
      <c r="AS260" s="302"/>
      <c r="AT260" s="352"/>
      <c r="AU260" s="352"/>
      <c r="AV260" s="352"/>
      <c r="AW260" s="352"/>
      <c r="AX260" s="302"/>
      <c r="AY260" s="302"/>
      <c r="AZ260" s="302"/>
      <c r="BA260" s="302"/>
      <c r="BB260" s="352"/>
      <c r="BC260" s="352"/>
      <c r="BD260" s="352"/>
      <c r="BE260" s="352"/>
      <c r="BF260" s="352"/>
      <c r="BG260" s="352"/>
      <c r="BH260" s="352"/>
      <c r="BI260" s="352"/>
      <c r="BJ260" s="352"/>
      <c r="BK260" s="352"/>
      <c r="BL260" s="352"/>
      <c r="BM260" s="352"/>
      <c r="BN260" s="352"/>
      <c r="BO260" s="352"/>
      <c r="BP260" s="352"/>
      <c r="BQ260" s="352"/>
      <c r="BR260" s="352"/>
      <c r="BS260" s="352"/>
      <c r="BT260" s="352"/>
      <c r="BU260" s="352"/>
      <c r="BV260" s="352"/>
      <c r="BW260" s="352"/>
      <c r="BX260" s="352"/>
      <c r="BY260" s="352"/>
      <c r="BZ260" s="352"/>
      <c r="CA260" s="352"/>
      <c r="CB260" s="352"/>
      <c r="CC260" s="352"/>
      <c r="CD260" s="352"/>
      <c r="CE260" s="352"/>
      <c r="CS260" s="356">
        <v>76</v>
      </c>
      <c r="CT260" s="359" t="s">
        <v>215</v>
      </c>
      <c r="CU260" s="361">
        <v>2977019.46</v>
      </c>
      <c r="CV260" s="361">
        <v>0</v>
      </c>
      <c r="CW260" s="361">
        <v>91964.64</v>
      </c>
      <c r="CX260" s="361">
        <v>302071.08</v>
      </c>
      <c r="CY260" s="361">
        <v>538767.43999999994</v>
      </c>
      <c r="CZ260" s="361">
        <v>559522.13</v>
      </c>
      <c r="DA260" s="361">
        <v>678097.45</v>
      </c>
      <c r="DB260" s="361">
        <v>0</v>
      </c>
      <c r="DC260" s="361">
        <v>199405.08</v>
      </c>
      <c r="DD260" s="361">
        <v>169421.5</v>
      </c>
      <c r="DE260" s="361">
        <v>437770.14</v>
      </c>
      <c r="DF260" s="361"/>
      <c r="DG260" s="361"/>
      <c r="DH260" s="361"/>
      <c r="DI260" s="362"/>
      <c r="DJ260" s="361"/>
      <c r="DK260" s="361"/>
      <c r="DL260" s="361"/>
      <c r="DM260" s="361"/>
    </row>
    <row r="261" spans="2:117" ht="13">
      <c r="B261" s="294"/>
      <c r="C261" s="295"/>
      <c r="D261" s="295"/>
      <c r="E261" s="294"/>
      <c r="F261" s="294"/>
      <c r="G261" s="295"/>
      <c r="H261" s="295"/>
      <c r="I261" s="295"/>
      <c r="J261" s="295"/>
      <c r="K261" s="295"/>
      <c r="L261" s="295"/>
      <c r="M261" s="302"/>
      <c r="N261" s="296"/>
      <c r="O261" s="296"/>
      <c r="P261" s="297"/>
      <c r="Q261" s="297"/>
      <c r="R261" s="297"/>
      <c r="S261" s="297"/>
      <c r="T261" s="298"/>
      <c r="U261" s="296"/>
      <c r="V261" s="296"/>
      <c r="W261" s="297"/>
      <c r="X261" s="297"/>
      <c r="Y261" s="297"/>
      <c r="Z261" s="297"/>
      <c r="AA261" s="299"/>
      <c r="AB261" s="296"/>
      <c r="AC261" s="296"/>
      <c r="AD261" s="297"/>
      <c r="AE261" s="297"/>
      <c r="AF261" s="297"/>
      <c r="AG261" s="297"/>
      <c r="AH261" s="295"/>
      <c r="AI261" s="293"/>
      <c r="AJ261" s="293"/>
      <c r="AK261" s="297"/>
      <c r="AL261" s="297"/>
      <c r="AM261" s="297"/>
      <c r="AN261" s="297"/>
      <c r="AO261" s="295"/>
      <c r="AP261" s="302"/>
      <c r="AQ261" s="302"/>
      <c r="AR261" s="302"/>
      <c r="AS261" s="302"/>
      <c r="AT261" s="302"/>
      <c r="AU261" s="302"/>
      <c r="AV261" s="302"/>
      <c r="AW261" s="302"/>
      <c r="AX261" s="352"/>
      <c r="AY261" s="352"/>
      <c r="AZ261" s="352"/>
      <c r="BA261" s="352"/>
      <c r="BB261" s="352"/>
      <c r="BC261" s="352"/>
      <c r="BD261" s="352"/>
      <c r="BE261" s="352"/>
      <c r="BF261" s="352"/>
      <c r="BG261" s="352"/>
      <c r="BH261" s="352"/>
      <c r="BI261" s="352"/>
      <c r="BJ261" s="352"/>
      <c r="BK261" s="352"/>
      <c r="BL261" s="352"/>
      <c r="BM261" s="352"/>
      <c r="BN261" s="352"/>
      <c r="BO261" s="302"/>
      <c r="BP261" s="302"/>
      <c r="BQ261" s="302"/>
      <c r="BR261" s="302"/>
      <c r="BS261" s="302"/>
      <c r="BT261" s="302"/>
      <c r="BU261" s="302"/>
      <c r="BV261" s="352"/>
      <c r="BW261" s="352"/>
      <c r="BX261" s="352"/>
      <c r="BY261" s="352"/>
      <c r="BZ261" s="352"/>
      <c r="CA261" s="352"/>
      <c r="CB261" s="352"/>
      <c r="CC261" s="352"/>
      <c r="CD261" s="352"/>
      <c r="CE261" s="352"/>
      <c r="CS261" s="356">
        <v>77</v>
      </c>
      <c r="CT261" s="302" t="s">
        <v>104</v>
      </c>
      <c r="CU261" s="352">
        <v>2926727.69</v>
      </c>
      <c r="CV261" s="352">
        <v>0</v>
      </c>
      <c r="CW261" s="352">
        <v>1364915.68</v>
      </c>
      <c r="CX261" s="352">
        <v>0</v>
      </c>
      <c r="CY261" s="352">
        <v>0</v>
      </c>
      <c r="CZ261" s="361">
        <v>767436.52</v>
      </c>
      <c r="DA261" s="361">
        <v>93025.4</v>
      </c>
      <c r="DB261" s="361">
        <v>0</v>
      </c>
      <c r="DC261" s="361">
        <v>104010.37</v>
      </c>
      <c r="DD261" s="361">
        <v>367190.15</v>
      </c>
      <c r="DE261" s="361">
        <v>230149.58</v>
      </c>
      <c r="DF261" s="361"/>
      <c r="DG261" s="361"/>
      <c r="DH261" s="361"/>
      <c r="DI261" s="362"/>
      <c r="DJ261" s="361"/>
      <c r="DK261" s="361"/>
      <c r="DL261" s="361"/>
      <c r="DM261" s="361"/>
    </row>
    <row r="262" spans="2:117" ht="13">
      <c r="B262" s="294"/>
      <c r="C262" s="295"/>
      <c r="D262" s="295"/>
      <c r="E262" s="294"/>
      <c r="F262" s="294"/>
      <c r="G262" s="295"/>
      <c r="H262" s="295"/>
      <c r="I262" s="295"/>
      <c r="J262" s="295"/>
      <c r="K262" s="295"/>
      <c r="L262" s="295"/>
      <c r="M262" s="302"/>
      <c r="N262" s="296"/>
      <c r="O262" s="296"/>
      <c r="P262" s="297"/>
      <c r="Q262" s="297"/>
      <c r="R262" s="297"/>
      <c r="S262" s="297"/>
      <c r="T262" s="298"/>
      <c r="U262" s="296"/>
      <c r="V262" s="296"/>
      <c r="W262" s="297"/>
      <c r="X262" s="297"/>
      <c r="Y262" s="297"/>
      <c r="Z262" s="297"/>
      <c r="AA262" s="299"/>
      <c r="AB262" s="296"/>
      <c r="AC262" s="296"/>
      <c r="AD262" s="297"/>
      <c r="AE262" s="297"/>
      <c r="AF262" s="297"/>
      <c r="AG262" s="297"/>
      <c r="AH262" s="295"/>
      <c r="AI262" s="293"/>
      <c r="AJ262" s="293"/>
      <c r="AK262" s="297"/>
      <c r="AL262" s="297"/>
      <c r="AM262" s="297"/>
      <c r="AN262" s="297"/>
      <c r="AO262" s="295"/>
      <c r="AP262" s="352"/>
      <c r="AQ262" s="352"/>
      <c r="AR262" s="352"/>
      <c r="AS262" s="352"/>
      <c r="AT262" s="352"/>
      <c r="AU262" s="352"/>
      <c r="AV262" s="352"/>
      <c r="AW262" s="352"/>
      <c r="AX262" s="352"/>
      <c r="AY262" s="352"/>
      <c r="AZ262" s="352"/>
      <c r="BA262" s="352"/>
      <c r="BB262" s="352"/>
      <c r="BC262" s="352"/>
      <c r="BD262" s="352"/>
      <c r="BE262" s="352"/>
      <c r="BF262" s="352"/>
      <c r="BG262" s="352"/>
      <c r="BH262" s="352"/>
      <c r="BI262" s="352"/>
      <c r="BJ262" s="352"/>
      <c r="BK262" s="352"/>
      <c r="BL262" s="352"/>
      <c r="BM262" s="352"/>
      <c r="BN262" s="352"/>
      <c r="BO262" s="352"/>
      <c r="BP262" s="352"/>
      <c r="BQ262" s="352"/>
      <c r="BR262" s="352"/>
      <c r="BS262" s="352"/>
      <c r="BT262" s="352"/>
      <c r="BU262" s="352"/>
      <c r="BV262" s="352"/>
      <c r="BW262" s="352"/>
      <c r="BX262" s="352"/>
      <c r="BY262" s="352"/>
      <c r="BZ262" s="352"/>
      <c r="CA262" s="352"/>
      <c r="CB262" s="352"/>
      <c r="CC262" s="352"/>
      <c r="CD262" s="352"/>
      <c r="CE262" s="352"/>
      <c r="CS262" s="356">
        <v>78</v>
      </c>
      <c r="CT262" s="359" t="s">
        <v>151</v>
      </c>
      <c r="CU262" s="361">
        <v>2846690.08</v>
      </c>
      <c r="CV262" s="361">
        <v>336498.08</v>
      </c>
      <c r="CW262" s="361">
        <v>0</v>
      </c>
      <c r="CX262" s="361">
        <v>186070.36</v>
      </c>
      <c r="CY262" s="361">
        <v>286797.52</v>
      </c>
      <c r="CZ262" s="361">
        <v>273886.76</v>
      </c>
      <c r="DA262" s="361">
        <v>374274.8</v>
      </c>
      <c r="DB262" s="361">
        <v>447686.88</v>
      </c>
      <c r="DC262" s="361">
        <v>438220.24</v>
      </c>
      <c r="DD262" s="361">
        <v>248995.12</v>
      </c>
      <c r="DE262" s="361">
        <v>254260.32</v>
      </c>
      <c r="DF262" s="361"/>
      <c r="DG262" s="361"/>
      <c r="DH262" s="361"/>
      <c r="DI262" s="362"/>
      <c r="DJ262" s="361"/>
      <c r="DK262" s="361"/>
      <c r="DL262" s="361"/>
      <c r="DM262" s="361"/>
    </row>
    <row r="263" spans="2:117" ht="13">
      <c r="B263" s="294"/>
      <c r="C263" s="295"/>
      <c r="D263" s="295"/>
      <c r="E263" s="294"/>
      <c r="F263" s="294"/>
      <c r="G263" s="295"/>
      <c r="H263" s="295"/>
      <c r="I263" s="295"/>
      <c r="J263" s="295"/>
      <c r="K263" s="295"/>
      <c r="L263" s="295"/>
      <c r="M263" s="302"/>
      <c r="N263" s="296"/>
      <c r="O263" s="296"/>
      <c r="P263" s="297"/>
      <c r="Q263" s="297"/>
      <c r="R263" s="297"/>
      <c r="S263" s="297"/>
      <c r="T263" s="298"/>
      <c r="U263" s="296"/>
      <c r="V263" s="296"/>
      <c r="W263" s="297"/>
      <c r="X263" s="297"/>
      <c r="Y263" s="297"/>
      <c r="Z263" s="297"/>
      <c r="AA263" s="299"/>
      <c r="AB263" s="296"/>
      <c r="AC263" s="296"/>
      <c r="AD263" s="297"/>
      <c r="AE263" s="297"/>
      <c r="AF263" s="297"/>
      <c r="AG263" s="297"/>
      <c r="AH263" s="295"/>
      <c r="AI263" s="293"/>
      <c r="AJ263" s="293"/>
      <c r="AK263" s="297"/>
      <c r="AL263" s="297"/>
      <c r="AM263" s="297"/>
      <c r="AN263" s="297"/>
      <c r="AO263" s="295"/>
      <c r="AP263" s="352"/>
      <c r="AQ263" s="352"/>
      <c r="AR263" s="352"/>
      <c r="AS263" s="352"/>
      <c r="AT263" s="352"/>
      <c r="AU263" s="352"/>
      <c r="AV263" s="352"/>
      <c r="AW263" s="352"/>
      <c r="AX263" s="352"/>
      <c r="AY263" s="352"/>
      <c r="AZ263" s="352"/>
      <c r="BA263" s="352"/>
      <c r="BB263" s="352"/>
      <c r="BC263" s="352"/>
      <c r="BD263" s="352"/>
      <c r="BE263" s="352"/>
      <c r="BF263" s="352"/>
      <c r="BG263" s="352"/>
      <c r="BH263" s="352"/>
      <c r="BI263" s="352"/>
      <c r="BJ263" s="352"/>
      <c r="BK263" s="352"/>
      <c r="BL263" s="352"/>
      <c r="BM263" s="352"/>
      <c r="BN263" s="352"/>
      <c r="BO263" s="302"/>
      <c r="BP263" s="302"/>
      <c r="BQ263" s="302"/>
      <c r="BR263" s="302"/>
      <c r="BS263" s="302"/>
      <c r="BT263" s="302"/>
      <c r="BU263" s="302"/>
      <c r="BV263" s="352"/>
      <c r="BW263" s="302"/>
      <c r="BX263" s="302"/>
      <c r="BY263" s="302"/>
      <c r="BZ263" s="302"/>
      <c r="CA263" s="352"/>
      <c r="CB263" s="352"/>
      <c r="CC263" s="352"/>
      <c r="CD263" s="352"/>
      <c r="CE263" s="352"/>
      <c r="CS263" s="356">
        <v>79</v>
      </c>
      <c r="CT263" s="359" t="s">
        <v>198</v>
      </c>
      <c r="CU263" s="361">
        <v>2836850.29</v>
      </c>
      <c r="CV263" s="361">
        <v>0</v>
      </c>
      <c r="CW263" s="361">
        <v>0</v>
      </c>
      <c r="CX263" s="361">
        <v>0</v>
      </c>
      <c r="CY263" s="361">
        <v>0</v>
      </c>
      <c r="CZ263" s="361">
        <v>0</v>
      </c>
      <c r="DA263" s="361">
        <v>459402.14</v>
      </c>
      <c r="DB263" s="361">
        <v>158564.44</v>
      </c>
      <c r="DC263" s="361">
        <v>408709.94</v>
      </c>
      <c r="DD263" s="361">
        <v>571459.03</v>
      </c>
      <c r="DE263" s="361">
        <v>1238714.74</v>
      </c>
      <c r="DF263" s="365"/>
      <c r="DG263" s="365"/>
      <c r="DH263" s="365"/>
      <c r="DI263" s="366"/>
      <c r="DJ263" s="365"/>
      <c r="DK263" s="365"/>
      <c r="DL263" s="365"/>
      <c r="DM263" s="365"/>
    </row>
    <row r="264" spans="2:117" ht="13">
      <c r="B264" s="294"/>
      <c r="C264" s="295"/>
      <c r="D264" s="295"/>
      <c r="E264" s="294"/>
      <c r="F264" s="294"/>
      <c r="G264" s="295"/>
      <c r="H264" s="295"/>
      <c r="I264" s="295"/>
      <c r="J264" s="295"/>
      <c r="K264" s="295"/>
      <c r="L264" s="295"/>
      <c r="M264" s="302"/>
      <c r="N264" s="296"/>
      <c r="O264" s="296"/>
      <c r="P264" s="297"/>
      <c r="Q264" s="297"/>
      <c r="R264" s="297"/>
      <c r="S264" s="297"/>
      <c r="T264" s="298"/>
      <c r="U264" s="296"/>
      <c r="V264" s="296"/>
      <c r="W264" s="297"/>
      <c r="X264" s="297"/>
      <c r="Y264" s="297"/>
      <c r="Z264" s="297"/>
      <c r="AA264" s="299"/>
      <c r="AB264" s="296"/>
      <c r="AC264" s="296"/>
      <c r="AD264" s="297"/>
      <c r="AE264" s="297"/>
      <c r="AF264" s="297"/>
      <c r="AG264" s="297"/>
      <c r="AH264" s="295"/>
      <c r="AI264" s="293"/>
      <c r="AJ264" s="293"/>
      <c r="AK264" s="297"/>
      <c r="AL264" s="297"/>
      <c r="AM264" s="297"/>
      <c r="AN264" s="297"/>
      <c r="AO264" s="295"/>
      <c r="AP264" s="352"/>
      <c r="AQ264" s="352"/>
      <c r="AR264" s="352"/>
      <c r="AS264" s="352"/>
      <c r="AT264" s="352"/>
      <c r="AU264" s="352"/>
      <c r="AV264" s="352"/>
      <c r="AW264" s="352"/>
      <c r="AX264" s="352"/>
      <c r="AY264" s="352"/>
      <c r="AZ264" s="352"/>
      <c r="BA264" s="352"/>
      <c r="BB264" s="352"/>
      <c r="BC264" s="352"/>
      <c r="BD264" s="352"/>
      <c r="BE264" s="352"/>
      <c r="BF264" s="352"/>
      <c r="BG264" s="352"/>
      <c r="BH264" s="352"/>
      <c r="BI264" s="352"/>
      <c r="BJ264" s="352"/>
      <c r="BK264" s="352"/>
      <c r="BL264" s="352"/>
      <c r="BM264" s="352"/>
      <c r="BN264" s="352"/>
      <c r="BO264" s="352"/>
      <c r="BP264" s="352"/>
      <c r="BQ264" s="352"/>
      <c r="BR264" s="352"/>
      <c r="BS264" s="352"/>
      <c r="BT264" s="352"/>
      <c r="BU264" s="352"/>
      <c r="BV264" s="352"/>
      <c r="BW264" s="352"/>
      <c r="BX264" s="352"/>
      <c r="BY264" s="352"/>
      <c r="BZ264" s="352"/>
      <c r="CA264" s="352"/>
      <c r="CB264" s="352"/>
      <c r="CC264" s="352"/>
      <c r="CD264" s="352"/>
      <c r="CE264" s="352"/>
      <c r="CS264" s="356">
        <v>80</v>
      </c>
      <c r="CT264" s="302" t="s">
        <v>211</v>
      </c>
      <c r="CU264" s="352">
        <v>2692328.39</v>
      </c>
      <c r="CV264" s="352">
        <v>69806.75</v>
      </c>
      <c r="CW264" s="352">
        <v>139919.25</v>
      </c>
      <c r="CX264" s="352">
        <v>87390</v>
      </c>
      <c r="CY264" s="352">
        <v>379217.04</v>
      </c>
      <c r="CZ264" s="361">
        <v>0</v>
      </c>
      <c r="DA264" s="361">
        <v>114854</v>
      </c>
      <c r="DB264" s="361">
        <v>369800.82</v>
      </c>
      <c r="DC264" s="361">
        <v>89645.05</v>
      </c>
      <c r="DD264" s="361">
        <v>387452.75</v>
      </c>
      <c r="DE264" s="361">
        <v>1054242.74</v>
      </c>
      <c r="DF264" s="361"/>
      <c r="DG264" s="361"/>
      <c r="DH264" s="361"/>
      <c r="DI264" s="362"/>
      <c r="DJ264" s="361"/>
      <c r="DK264" s="361"/>
      <c r="DL264" s="361"/>
      <c r="DM264" s="361"/>
    </row>
    <row r="265" spans="2:117" ht="13">
      <c r="B265" s="294"/>
      <c r="C265" s="295"/>
      <c r="D265" s="295"/>
      <c r="E265" s="294"/>
      <c r="F265" s="294"/>
      <c r="G265" s="295"/>
      <c r="H265" s="295"/>
      <c r="I265" s="295"/>
      <c r="J265" s="295"/>
      <c r="K265" s="295"/>
      <c r="L265" s="295"/>
      <c r="M265" s="302"/>
      <c r="N265" s="296"/>
      <c r="O265" s="296"/>
      <c r="P265" s="297"/>
      <c r="Q265" s="297"/>
      <c r="R265" s="297"/>
      <c r="S265" s="297"/>
      <c r="T265" s="298"/>
      <c r="U265" s="296"/>
      <c r="V265" s="296"/>
      <c r="W265" s="297"/>
      <c r="X265" s="297"/>
      <c r="Y265" s="297"/>
      <c r="Z265" s="297"/>
      <c r="AA265" s="299"/>
      <c r="AB265" s="296"/>
      <c r="AC265" s="296"/>
      <c r="AD265" s="297"/>
      <c r="AE265" s="297"/>
      <c r="AF265" s="297"/>
      <c r="AG265" s="297"/>
      <c r="AH265" s="295"/>
      <c r="AI265" s="293"/>
      <c r="AJ265" s="293"/>
      <c r="AK265" s="297"/>
      <c r="AL265" s="297"/>
      <c r="AM265" s="297"/>
      <c r="AN265" s="297"/>
      <c r="AO265" s="295"/>
      <c r="AP265" s="352"/>
      <c r="AQ265" s="352"/>
      <c r="AR265" s="352"/>
      <c r="AS265" s="352"/>
      <c r="AT265" s="352"/>
      <c r="AU265" s="352"/>
      <c r="AV265" s="352"/>
      <c r="AW265" s="352"/>
      <c r="AX265" s="352"/>
      <c r="AY265" s="352"/>
      <c r="AZ265" s="352"/>
      <c r="BA265" s="352"/>
      <c r="BB265" s="352"/>
      <c r="BC265" s="352"/>
      <c r="BD265" s="352"/>
      <c r="BE265" s="352"/>
      <c r="BF265" s="352"/>
      <c r="BG265" s="352"/>
      <c r="BH265" s="352"/>
      <c r="BI265" s="352"/>
      <c r="BJ265" s="352"/>
      <c r="BK265" s="352"/>
      <c r="BL265" s="352"/>
      <c r="BM265" s="352"/>
      <c r="BN265" s="352"/>
      <c r="BO265" s="302"/>
      <c r="BP265" s="302"/>
      <c r="BQ265" s="302"/>
      <c r="BR265" s="302"/>
      <c r="BS265" s="302"/>
      <c r="BT265" s="302"/>
      <c r="BU265" s="302"/>
      <c r="BV265" s="352"/>
      <c r="BW265" s="302"/>
      <c r="BX265" s="302"/>
      <c r="BY265" s="302"/>
      <c r="BZ265" s="302"/>
      <c r="CA265" s="302"/>
      <c r="CB265" s="302"/>
      <c r="CC265" s="302"/>
      <c r="CD265" s="302"/>
      <c r="CE265" s="352"/>
      <c r="CS265" s="356">
        <v>81</v>
      </c>
      <c r="CT265" s="359" t="s">
        <v>139</v>
      </c>
      <c r="CU265" s="361">
        <v>2476174.14</v>
      </c>
      <c r="CV265" s="361">
        <v>334459.68</v>
      </c>
      <c r="CW265" s="361">
        <v>690573.84</v>
      </c>
      <c r="CX265" s="361">
        <v>0</v>
      </c>
      <c r="CY265" s="352">
        <v>278827.84000000003</v>
      </c>
      <c r="CZ265" s="361">
        <v>240587.84</v>
      </c>
      <c r="DA265" s="361">
        <v>125168.23</v>
      </c>
      <c r="DB265" s="361">
        <v>0</v>
      </c>
      <c r="DC265" s="361">
        <v>363727.32</v>
      </c>
      <c r="DD265" s="361">
        <v>149867.20000000001</v>
      </c>
      <c r="DE265" s="361">
        <v>292962.19</v>
      </c>
      <c r="DF265" s="361"/>
      <c r="DG265" s="361"/>
      <c r="DH265" s="361"/>
      <c r="DI265" s="362"/>
      <c r="DJ265" s="361"/>
      <c r="DK265" s="361"/>
      <c r="DL265" s="361"/>
      <c r="DM265" s="361"/>
    </row>
    <row r="266" spans="2:117" ht="13">
      <c r="B266" s="294"/>
      <c r="C266" s="295"/>
      <c r="D266" s="295"/>
      <c r="E266" s="294"/>
      <c r="F266" s="294"/>
      <c r="G266" s="295"/>
      <c r="H266" s="295"/>
      <c r="I266" s="295"/>
      <c r="J266" s="295"/>
      <c r="K266" s="295"/>
      <c r="L266" s="295"/>
      <c r="M266" s="302"/>
      <c r="N266" s="296"/>
      <c r="O266" s="296"/>
      <c r="P266" s="297"/>
      <c r="Q266" s="297"/>
      <c r="R266" s="297"/>
      <c r="S266" s="297"/>
      <c r="T266" s="298"/>
      <c r="U266" s="296"/>
      <c r="V266" s="296"/>
      <c r="W266" s="297"/>
      <c r="X266" s="297"/>
      <c r="Y266" s="297"/>
      <c r="Z266" s="297"/>
      <c r="AA266" s="299"/>
      <c r="AB266" s="296"/>
      <c r="AC266" s="296"/>
      <c r="AD266" s="297"/>
      <c r="AE266" s="297"/>
      <c r="AF266" s="297"/>
      <c r="AG266" s="297"/>
      <c r="AH266" s="295"/>
      <c r="AI266" s="293"/>
      <c r="AJ266" s="293"/>
      <c r="AK266" s="297"/>
      <c r="AL266" s="297"/>
      <c r="AM266" s="297"/>
      <c r="AN266" s="297"/>
      <c r="AO266" s="295"/>
      <c r="AP266" s="302"/>
      <c r="AQ266" s="302"/>
      <c r="AR266" s="302"/>
      <c r="AS266" s="302"/>
      <c r="AT266" s="302"/>
      <c r="AU266" s="302"/>
      <c r="AV266" s="302"/>
      <c r="AW266" s="302"/>
      <c r="AX266" s="302"/>
      <c r="AY266" s="302"/>
      <c r="AZ266" s="302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K266" s="352"/>
      <c r="BL266" s="352"/>
      <c r="BM266" s="352"/>
      <c r="BN266" s="352"/>
      <c r="BO266" s="352"/>
      <c r="BP266" s="352"/>
      <c r="BQ266" s="352"/>
      <c r="BR266" s="352"/>
      <c r="BS266" s="352"/>
      <c r="BT266" s="352"/>
      <c r="BU266" s="352"/>
      <c r="BV266" s="352"/>
      <c r="BW266" s="352"/>
      <c r="BX266" s="352"/>
      <c r="BY266" s="352"/>
      <c r="BZ266" s="352"/>
      <c r="CA266" s="352"/>
      <c r="CB266" s="352"/>
      <c r="CC266" s="352"/>
      <c r="CD266" s="352"/>
      <c r="CE266" s="352"/>
      <c r="CS266" s="356">
        <v>82</v>
      </c>
      <c r="CT266" s="302" t="s">
        <v>173</v>
      </c>
      <c r="CU266" s="352">
        <v>2421951.06</v>
      </c>
      <c r="CV266" s="352">
        <v>124662.1</v>
      </c>
      <c r="CW266" s="352">
        <v>182689.9</v>
      </c>
      <c r="CX266" s="352">
        <v>151337</v>
      </c>
      <c r="CY266" s="352">
        <v>284385.75</v>
      </c>
      <c r="CZ266" s="361">
        <v>364901.44</v>
      </c>
      <c r="DA266" s="361">
        <v>323597.33</v>
      </c>
      <c r="DB266" s="361">
        <v>217530.85</v>
      </c>
      <c r="DC266" s="361">
        <v>196299.78</v>
      </c>
      <c r="DD266" s="361">
        <v>184972.75</v>
      </c>
      <c r="DE266" s="361">
        <v>391574.17</v>
      </c>
      <c r="DF266" s="365"/>
      <c r="DG266" s="365"/>
      <c r="DH266" s="365"/>
      <c r="DI266" s="366"/>
      <c r="DJ266" s="365"/>
      <c r="DK266" s="365"/>
      <c r="DL266" s="365"/>
      <c r="DM266" s="365"/>
    </row>
    <row r="267" spans="2:117" ht="13">
      <c r="B267" s="294"/>
      <c r="C267" s="295"/>
      <c r="D267" s="295"/>
      <c r="E267" s="294"/>
      <c r="F267" s="294"/>
      <c r="G267" s="295"/>
      <c r="H267" s="295"/>
      <c r="I267" s="295"/>
      <c r="J267" s="295"/>
      <c r="K267" s="295"/>
      <c r="L267" s="295"/>
      <c r="M267" s="302"/>
      <c r="N267" s="296"/>
      <c r="O267" s="296"/>
      <c r="P267" s="297"/>
      <c r="Q267" s="297"/>
      <c r="R267" s="297"/>
      <c r="S267" s="297"/>
      <c r="T267" s="298"/>
      <c r="U267" s="296"/>
      <c r="V267" s="296"/>
      <c r="W267" s="297"/>
      <c r="X267" s="297"/>
      <c r="Y267" s="297"/>
      <c r="Z267" s="297"/>
      <c r="AA267" s="299"/>
      <c r="AB267" s="296"/>
      <c r="AC267" s="296"/>
      <c r="AD267" s="297"/>
      <c r="AE267" s="297"/>
      <c r="AF267" s="297"/>
      <c r="AG267" s="297"/>
      <c r="AH267" s="295"/>
      <c r="AI267" s="293"/>
      <c r="AJ267" s="293"/>
      <c r="AK267" s="297"/>
      <c r="AL267" s="297"/>
      <c r="AM267" s="297"/>
      <c r="AN267" s="297"/>
      <c r="AO267" s="295"/>
      <c r="AP267" s="352"/>
      <c r="AQ267" s="352"/>
      <c r="AR267" s="352"/>
      <c r="AS267" s="352"/>
      <c r="AT267" s="352"/>
      <c r="AU267" s="352"/>
      <c r="AV267" s="352"/>
      <c r="AW267" s="352"/>
      <c r="AX267" s="302"/>
      <c r="AY267" s="302"/>
      <c r="AZ267" s="302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K267" s="302"/>
      <c r="BL267" s="302"/>
      <c r="BM267" s="302"/>
      <c r="BN267" s="302"/>
      <c r="BO267" s="302"/>
      <c r="BP267" s="302"/>
      <c r="BQ267" s="302"/>
      <c r="BR267" s="302"/>
      <c r="BS267" s="302"/>
      <c r="BT267" s="302"/>
      <c r="BU267" s="302"/>
      <c r="BV267" s="352"/>
      <c r="BW267" s="352"/>
      <c r="BX267" s="352"/>
      <c r="BY267" s="352"/>
      <c r="BZ267" s="352"/>
      <c r="CA267" s="352"/>
      <c r="CB267" s="352"/>
      <c r="CC267" s="352"/>
      <c r="CD267" s="352"/>
      <c r="CE267" s="352"/>
      <c r="CS267" s="356">
        <v>83</v>
      </c>
      <c r="CT267" s="359" t="s">
        <v>221</v>
      </c>
      <c r="CU267" s="361">
        <v>2256083.6800000002</v>
      </c>
      <c r="CV267" s="361">
        <v>293211.3</v>
      </c>
      <c r="CW267" s="361">
        <v>130025.5</v>
      </c>
      <c r="CX267" s="361">
        <v>497232.45</v>
      </c>
      <c r="CY267" s="352">
        <v>256485.97</v>
      </c>
      <c r="CZ267" s="361">
        <v>398885.64</v>
      </c>
      <c r="DA267" s="361">
        <v>205693.86</v>
      </c>
      <c r="DB267" s="361">
        <v>274903.7</v>
      </c>
      <c r="DC267" s="361">
        <v>48105.7</v>
      </c>
      <c r="DD267" s="361">
        <v>0</v>
      </c>
      <c r="DE267" s="361">
        <v>151539.54999999999</v>
      </c>
      <c r="DF267" s="361"/>
      <c r="DG267" s="361"/>
      <c r="DH267" s="361"/>
      <c r="DI267" s="362"/>
      <c r="DJ267" s="361"/>
      <c r="DK267" s="361"/>
      <c r="DL267" s="361"/>
      <c r="DM267" s="361"/>
    </row>
    <row r="268" spans="2:117" ht="13">
      <c r="B268" s="294"/>
      <c r="C268" s="295"/>
      <c r="D268" s="295"/>
      <c r="E268" s="294"/>
      <c r="F268" s="294"/>
      <c r="G268" s="295"/>
      <c r="H268" s="295"/>
      <c r="I268" s="295"/>
      <c r="J268" s="295"/>
      <c r="K268" s="295"/>
      <c r="L268" s="295"/>
      <c r="M268" s="302"/>
      <c r="N268" s="296"/>
      <c r="O268" s="296"/>
      <c r="P268" s="297"/>
      <c r="Q268" s="297"/>
      <c r="R268" s="297"/>
      <c r="S268" s="297"/>
      <c r="T268" s="298"/>
      <c r="U268" s="296"/>
      <c r="V268" s="296"/>
      <c r="W268" s="297"/>
      <c r="X268" s="297"/>
      <c r="Y268" s="297"/>
      <c r="Z268" s="297"/>
      <c r="AA268" s="299"/>
      <c r="AB268" s="296"/>
      <c r="AC268" s="296"/>
      <c r="AD268" s="297"/>
      <c r="AE268" s="297"/>
      <c r="AF268" s="297"/>
      <c r="AG268" s="297"/>
      <c r="AH268" s="295"/>
      <c r="AI268" s="293"/>
      <c r="AJ268" s="293"/>
      <c r="AK268" s="297"/>
      <c r="AL268" s="297"/>
      <c r="AM268" s="297"/>
      <c r="AN268" s="297"/>
      <c r="AO268" s="295"/>
      <c r="AP268" s="352"/>
      <c r="AQ268" s="352"/>
      <c r="AR268" s="352"/>
      <c r="AS268" s="352"/>
      <c r="AT268" s="352"/>
      <c r="AU268" s="352"/>
      <c r="AV268" s="352"/>
      <c r="AW268" s="352"/>
      <c r="AX268" s="352"/>
      <c r="AY268" s="352"/>
      <c r="AZ268" s="352"/>
      <c r="BA268" s="352"/>
      <c r="BB268" s="352"/>
      <c r="BC268" s="352"/>
      <c r="BD268" s="352"/>
      <c r="BE268" s="352"/>
      <c r="BF268" s="352"/>
      <c r="BG268" s="352"/>
      <c r="BH268" s="352"/>
      <c r="BI268" s="352"/>
      <c r="BJ268" s="352"/>
      <c r="BK268" s="302"/>
      <c r="BL268" s="302"/>
      <c r="BM268" s="302"/>
      <c r="BN268" s="302"/>
      <c r="BO268" s="352"/>
      <c r="BP268" s="352"/>
      <c r="BQ268" s="352"/>
      <c r="BR268" s="352"/>
      <c r="BS268" s="352"/>
      <c r="BT268" s="352"/>
      <c r="BU268" s="352"/>
      <c r="BV268" s="352"/>
      <c r="BW268" s="352"/>
      <c r="BX268" s="352"/>
      <c r="BY268" s="352"/>
      <c r="BZ268" s="352"/>
      <c r="CA268" s="352"/>
      <c r="CB268" s="352"/>
      <c r="CC268" s="352"/>
      <c r="CD268" s="352"/>
      <c r="CE268" s="352"/>
      <c r="CS268" s="356">
        <v>84</v>
      </c>
      <c r="CT268" s="302" t="s">
        <v>165</v>
      </c>
      <c r="CU268" s="352">
        <v>2031929.35</v>
      </c>
      <c r="CV268" s="352">
        <v>170384.85</v>
      </c>
      <c r="CW268" s="352">
        <v>151139.34</v>
      </c>
      <c r="CX268" s="352">
        <v>416031.77</v>
      </c>
      <c r="CY268" s="352">
        <v>364596.72</v>
      </c>
      <c r="CZ268" s="361">
        <v>157837.29999999999</v>
      </c>
      <c r="DA268" s="361">
        <v>231447.05</v>
      </c>
      <c r="DB268" s="361">
        <v>190034.05</v>
      </c>
      <c r="DC268" s="361">
        <v>157462.68</v>
      </c>
      <c r="DD268" s="361">
        <v>143908.17000000001</v>
      </c>
      <c r="DE268" s="361">
        <v>49087.42</v>
      </c>
      <c r="DF268" s="365"/>
      <c r="DG268" s="365"/>
      <c r="DH268" s="365"/>
      <c r="DI268" s="366"/>
      <c r="DJ268" s="365"/>
      <c r="DK268" s="365"/>
      <c r="DL268" s="365"/>
      <c r="DM268" s="365"/>
    </row>
    <row r="269" spans="2:117" ht="13">
      <c r="B269" s="294"/>
      <c r="C269" s="295"/>
      <c r="D269" s="295"/>
      <c r="E269" s="294"/>
      <c r="F269" s="294"/>
      <c r="G269" s="295"/>
      <c r="H269" s="295"/>
      <c r="I269" s="295"/>
      <c r="J269" s="295"/>
      <c r="K269" s="295"/>
      <c r="L269" s="295"/>
      <c r="M269" s="302"/>
      <c r="N269" s="296"/>
      <c r="O269" s="296"/>
      <c r="P269" s="297"/>
      <c r="Q269" s="297"/>
      <c r="R269" s="297"/>
      <c r="S269" s="297"/>
      <c r="T269" s="298"/>
      <c r="U269" s="296"/>
      <c r="V269" s="296"/>
      <c r="W269" s="297"/>
      <c r="X269" s="297"/>
      <c r="Y269" s="297"/>
      <c r="Z269" s="297"/>
      <c r="AA269" s="299"/>
      <c r="AB269" s="296"/>
      <c r="AC269" s="296"/>
      <c r="AD269" s="297"/>
      <c r="AE269" s="297"/>
      <c r="AF269" s="297"/>
      <c r="AG269" s="297"/>
      <c r="AH269" s="295"/>
      <c r="AI269" s="293"/>
      <c r="AJ269" s="293"/>
      <c r="AK269" s="297"/>
      <c r="AL269" s="297"/>
      <c r="AM269" s="297"/>
      <c r="AN269" s="297"/>
      <c r="AO269" s="295"/>
      <c r="AP269" s="352"/>
      <c r="AQ269" s="352"/>
      <c r="AR269" s="352"/>
      <c r="AS269" s="352"/>
      <c r="AT269" s="352"/>
      <c r="AU269" s="352"/>
      <c r="AV269" s="352"/>
      <c r="AW269" s="352"/>
      <c r="AX269" s="352"/>
      <c r="AY269" s="352"/>
      <c r="AZ269" s="352"/>
      <c r="BA269" s="35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52"/>
      <c r="BL269" s="352"/>
      <c r="BM269" s="352"/>
      <c r="BN269" s="352"/>
      <c r="BO269" s="352"/>
      <c r="BP269" s="352"/>
      <c r="BQ269" s="352"/>
      <c r="BR269" s="352"/>
      <c r="BS269" s="352"/>
      <c r="BT269" s="352"/>
      <c r="BU269" s="352"/>
      <c r="BV269" s="352"/>
      <c r="BW269" s="302"/>
      <c r="BX269" s="302"/>
      <c r="BY269" s="302"/>
      <c r="BZ269" s="302"/>
      <c r="CA269" s="352"/>
      <c r="CB269" s="352"/>
      <c r="CC269" s="352"/>
      <c r="CD269" s="352"/>
      <c r="CE269" s="352"/>
      <c r="CS269" s="356">
        <v>85</v>
      </c>
      <c r="CT269" s="359" t="s">
        <v>146</v>
      </c>
      <c r="CU269" s="361">
        <v>1930270.61</v>
      </c>
      <c r="CV269" s="361">
        <v>282106.56</v>
      </c>
      <c r="CW269" s="361">
        <v>248872.08</v>
      </c>
      <c r="CX269" s="361">
        <v>313329.88</v>
      </c>
      <c r="CY269" s="361">
        <v>233026.48</v>
      </c>
      <c r="CZ269" s="361">
        <v>172752.48</v>
      </c>
      <c r="DA269" s="361">
        <v>149862.72</v>
      </c>
      <c r="DB269" s="361">
        <v>250549.78</v>
      </c>
      <c r="DC269" s="361">
        <v>0</v>
      </c>
      <c r="DD269" s="361">
        <v>169889.28</v>
      </c>
      <c r="DE269" s="361">
        <v>109881.36</v>
      </c>
      <c r="DF269" s="365"/>
      <c r="DG269" s="365"/>
      <c r="DH269" s="365"/>
      <c r="DI269" s="366"/>
      <c r="DJ269" s="365"/>
      <c r="DK269" s="365"/>
      <c r="DL269" s="365"/>
      <c r="DM269" s="365"/>
    </row>
    <row r="270" spans="2:117" ht="13">
      <c r="B270" s="294"/>
      <c r="C270" s="295"/>
      <c r="D270" s="295"/>
      <c r="E270" s="294"/>
      <c r="F270" s="294"/>
      <c r="G270" s="295"/>
      <c r="H270" s="295"/>
      <c r="I270" s="295"/>
      <c r="J270" s="295"/>
      <c r="K270" s="295"/>
      <c r="L270" s="295"/>
      <c r="M270" s="302"/>
      <c r="N270" s="296"/>
      <c r="O270" s="296"/>
      <c r="P270" s="297"/>
      <c r="Q270" s="297"/>
      <c r="R270" s="297"/>
      <c r="S270" s="297"/>
      <c r="T270" s="298"/>
      <c r="U270" s="296"/>
      <c r="V270" s="296"/>
      <c r="W270" s="297"/>
      <c r="X270" s="297"/>
      <c r="Y270" s="297"/>
      <c r="Z270" s="297"/>
      <c r="AA270" s="299"/>
      <c r="AB270" s="296"/>
      <c r="AC270" s="296"/>
      <c r="AD270" s="297"/>
      <c r="AE270" s="297"/>
      <c r="AF270" s="297"/>
      <c r="AG270" s="297"/>
      <c r="AH270" s="295"/>
      <c r="AI270" s="293"/>
      <c r="AJ270" s="293"/>
      <c r="AK270" s="297"/>
      <c r="AL270" s="297"/>
      <c r="AM270" s="297"/>
      <c r="AN270" s="297"/>
      <c r="AO270" s="295"/>
      <c r="AP270" s="352"/>
      <c r="AQ270" s="352"/>
      <c r="AR270" s="352"/>
      <c r="AS270" s="352"/>
      <c r="AT270" s="302"/>
      <c r="AU270" s="302"/>
      <c r="AV270" s="302"/>
      <c r="AW270" s="302"/>
      <c r="AX270" s="302"/>
      <c r="AY270" s="302"/>
      <c r="AZ270" s="302"/>
      <c r="BA270" s="302"/>
      <c r="BB270" s="302"/>
      <c r="BC270" s="302"/>
      <c r="BD270" s="302"/>
      <c r="BE270" s="302"/>
      <c r="BF270" s="302"/>
      <c r="BG270" s="302"/>
      <c r="BH270" s="302"/>
      <c r="BI270" s="302"/>
      <c r="BJ270" s="302"/>
      <c r="BK270" s="302"/>
      <c r="BL270" s="302"/>
      <c r="BM270" s="302"/>
      <c r="BN270" s="302"/>
      <c r="BO270" s="302"/>
      <c r="BP270" s="302"/>
      <c r="BQ270" s="302"/>
      <c r="BR270" s="302"/>
      <c r="BS270" s="302"/>
      <c r="BT270" s="302"/>
      <c r="BU270" s="302"/>
      <c r="BV270" s="302"/>
      <c r="BW270" s="302"/>
      <c r="BX270" s="302"/>
      <c r="BY270" s="302"/>
      <c r="BZ270" s="302"/>
      <c r="CA270" s="302"/>
      <c r="CB270" s="302"/>
      <c r="CC270" s="302"/>
      <c r="CD270" s="302"/>
      <c r="CE270" s="352"/>
      <c r="CS270" s="356">
        <v>86</v>
      </c>
      <c r="CT270" s="359" t="s">
        <v>140</v>
      </c>
      <c r="CU270" s="361">
        <v>1712140.37</v>
      </c>
      <c r="CV270" s="361">
        <v>122572.44</v>
      </c>
      <c r="CW270" s="361">
        <v>315990.56</v>
      </c>
      <c r="CX270" s="361">
        <v>268629.24</v>
      </c>
      <c r="CY270" s="361">
        <v>703704.45</v>
      </c>
      <c r="CZ270" s="361">
        <v>21550.06</v>
      </c>
      <c r="DA270" s="361">
        <v>0</v>
      </c>
      <c r="DB270" s="361">
        <v>43472.52</v>
      </c>
      <c r="DC270" s="361">
        <v>236221.12</v>
      </c>
      <c r="DD270" s="361">
        <v>0</v>
      </c>
      <c r="DE270" s="365">
        <v>0</v>
      </c>
      <c r="DF270" s="365"/>
      <c r="DG270" s="365"/>
      <c r="DH270" s="365"/>
      <c r="DI270" s="366"/>
      <c r="DJ270" s="365"/>
      <c r="DK270" s="365"/>
      <c r="DL270" s="365"/>
      <c r="DM270" s="365"/>
    </row>
    <row r="271" spans="2:117" ht="13">
      <c r="B271" s="294"/>
      <c r="C271" s="295"/>
      <c r="D271" s="295"/>
      <c r="E271" s="294"/>
      <c r="F271" s="294"/>
      <c r="G271" s="295"/>
      <c r="H271" s="295"/>
      <c r="I271" s="295"/>
      <c r="J271" s="295"/>
      <c r="K271" s="295"/>
      <c r="L271" s="295"/>
      <c r="M271" s="302"/>
      <c r="N271" s="296"/>
      <c r="O271" s="296"/>
      <c r="P271" s="297"/>
      <c r="Q271" s="297"/>
      <c r="R271" s="297"/>
      <c r="S271" s="297"/>
      <c r="T271" s="298"/>
      <c r="U271" s="296"/>
      <c r="V271" s="296"/>
      <c r="W271" s="297"/>
      <c r="X271" s="297"/>
      <c r="Y271" s="297"/>
      <c r="Z271" s="297"/>
      <c r="AA271" s="299"/>
      <c r="AB271" s="296"/>
      <c r="AC271" s="296"/>
      <c r="AD271" s="297"/>
      <c r="AE271" s="297"/>
      <c r="AF271" s="297"/>
      <c r="AG271" s="297"/>
      <c r="AH271" s="295"/>
      <c r="AI271" s="293"/>
      <c r="AJ271" s="293"/>
      <c r="AK271" s="297"/>
      <c r="AL271" s="297"/>
      <c r="AM271" s="297"/>
      <c r="AN271" s="297"/>
      <c r="AO271" s="295"/>
      <c r="AP271" s="302"/>
      <c r="AQ271" s="302"/>
      <c r="AR271" s="302"/>
      <c r="AS271" s="302"/>
      <c r="AT271" s="302"/>
      <c r="AU271" s="302"/>
      <c r="AV271" s="302"/>
      <c r="AW271" s="302"/>
      <c r="AX271" s="302"/>
      <c r="AY271" s="302"/>
      <c r="AZ271" s="302"/>
      <c r="BA271" s="302"/>
      <c r="BB271" s="302"/>
      <c r="BC271" s="302"/>
      <c r="BD271" s="302"/>
      <c r="BE271" s="302"/>
      <c r="BF271" s="302"/>
      <c r="BG271" s="302"/>
      <c r="BH271" s="302"/>
      <c r="BI271" s="302"/>
      <c r="BJ271" s="302"/>
      <c r="BK271" s="302"/>
      <c r="BL271" s="302"/>
      <c r="BM271" s="302"/>
      <c r="BN271" s="302"/>
      <c r="BO271" s="302"/>
      <c r="BP271" s="302"/>
      <c r="BQ271" s="302"/>
      <c r="BR271" s="302"/>
      <c r="BS271" s="302"/>
      <c r="BT271" s="302"/>
      <c r="BU271" s="302"/>
      <c r="BV271" s="302"/>
      <c r="BW271" s="302"/>
      <c r="BX271" s="302"/>
      <c r="BY271" s="302"/>
      <c r="BZ271" s="302"/>
      <c r="CA271" s="302"/>
      <c r="CB271" s="302"/>
      <c r="CC271" s="302"/>
      <c r="CD271" s="302"/>
      <c r="CE271" s="352"/>
      <c r="CS271" s="356">
        <v>87</v>
      </c>
      <c r="CT271" s="359" t="s">
        <v>118</v>
      </c>
      <c r="CU271" s="361">
        <v>1489520.34</v>
      </c>
      <c r="CV271" s="361">
        <v>0</v>
      </c>
      <c r="CW271" s="361">
        <v>195525.88</v>
      </c>
      <c r="CX271" s="361">
        <v>0</v>
      </c>
      <c r="CY271" s="361">
        <v>454352.44</v>
      </c>
      <c r="CZ271" s="361">
        <v>150886.76</v>
      </c>
      <c r="DA271" s="361">
        <v>147315.38</v>
      </c>
      <c r="DB271" s="365">
        <v>0</v>
      </c>
      <c r="DC271" s="361">
        <v>226330.14</v>
      </c>
      <c r="DD271" s="361">
        <v>315109.74</v>
      </c>
      <c r="DE271" s="365">
        <v>0</v>
      </c>
      <c r="DF271" s="365"/>
      <c r="DG271" s="365"/>
      <c r="DH271" s="365"/>
      <c r="DI271" s="366"/>
      <c r="DJ271" s="365"/>
      <c r="DK271" s="365"/>
      <c r="DL271" s="365"/>
      <c r="DM271" s="365"/>
    </row>
    <row r="272" spans="2:117" ht="13">
      <c r="B272" s="294"/>
      <c r="C272" s="295"/>
      <c r="D272" s="295"/>
      <c r="E272" s="294"/>
      <c r="F272" s="294"/>
      <c r="G272" s="295"/>
      <c r="H272" s="295"/>
      <c r="I272" s="295"/>
      <c r="J272" s="295"/>
      <c r="K272" s="295"/>
      <c r="L272" s="295"/>
      <c r="M272" s="302"/>
      <c r="N272" s="296"/>
      <c r="O272" s="296"/>
      <c r="P272" s="297"/>
      <c r="Q272" s="297"/>
      <c r="R272" s="297"/>
      <c r="S272" s="297"/>
      <c r="T272" s="298"/>
      <c r="U272" s="296"/>
      <c r="V272" s="296"/>
      <c r="W272" s="297"/>
      <c r="X272" s="297"/>
      <c r="Y272" s="297"/>
      <c r="Z272" s="297"/>
      <c r="AA272" s="299"/>
      <c r="AB272" s="296"/>
      <c r="AC272" s="296"/>
      <c r="AD272" s="297"/>
      <c r="AE272" s="297"/>
      <c r="AF272" s="297"/>
      <c r="AG272" s="297"/>
      <c r="AH272" s="295"/>
      <c r="AI272" s="293"/>
      <c r="AJ272" s="293"/>
      <c r="AK272" s="297"/>
      <c r="AL272" s="297"/>
      <c r="AM272" s="297"/>
      <c r="AN272" s="297"/>
      <c r="AO272" s="295"/>
      <c r="AP272" s="352"/>
      <c r="AQ272" s="352"/>
      <c r="AR272" s="352"/>
      <c r="AS272" s="352"/>
      <c r="AT272" s="352"/>
      <c r="AU272" s="352"/>
      <c r="AV272" s="352"/>
      <c r="AW272" s="352"/>
      <c r="AX272" s="352"/>
      <c r="AY272" s="352"/>
      <c r="AZ272" s="352"/>
      <c r="BA272" s="352"/>
      <c r="BB272" s="352"/>
      <c r="BC272" s="352"/>
      <c r="BD272" s="352"/>
      <c r="BE272" s="352"/>
      <c r="BF272" s="352"/>
      <c r="BG272" s="352"/>
      <c r="BH272" s="352"/>
      <c r="BI272" s="352"/>
      <c r="BJ272" s="352"/>
      <c r="BK272" s="352"/>
      <c r="BL272" s="352"/>
      <c r="BM272" s="352"/>
      <c r="BN272" s="352"/>
      <c r="BO272" s="302"/>
      <c r="BP272" s="302"/>
      <c r="BQ272" s="302"/>
      <c r="BR272" s="302"/>
      <c r="BS272" s="302"/>
      <c r="BT272" s="302"/>
      <c r="BU272" s="302"/>
      <c r="BV272" s="302"/>
      <c r="BW272" s="302"/>
      <c r="BX272" s="302"/>
      <c r="BY272" s="302"/>
      <c r="BZ272" s="302"/>
      <c r="CA272" s="302"/>
      <c r="CB272" s="302"/>
      <c r="CC272" s="302"/>
      <c r="CD272" s="302"/>
      <c r="CE272" s="352"/>
      <c r="CS272" s="356">
        <v>88</v>
      </c>
      <c r="CT272" s="359" t="s">
        <v>147</v>
      </c>
      <c r="CU272" s="361">
        <v>1421717.69</v>
      </c>
      <c r="CV272" s="361">
        <v>125192.08</v>
      </c>
      <c r="CW272" s="361">
        <v>109668.88</v>
      </c>
      <c r="CX272" s="361">
        <v>102499.04</v>
      </c>
      <c r="CY272" s="361">
        <v>72441.600000000006</v>
      </c>
      <c r="CZ272" s="361">
        <v>177756.4</v>
      </c>
      <c r="DA272" s="361">
        <v>221542.39999999999</v>
      </c>
      <c r="DB272" s="361">
        <v>264285.76</v>
      </c>
      <c r="DC272" s="361">
        <v>82308.72</v>
      </c>
      <c r="DD272" s="361">
        <v>88893.440000000002</v>
      </c>
      <c r="DE272" s="361">
        <v>177129.37</v>
      </c>
      <c r="DF272" s="361"/>
      <c r="DG272" s="361"/>
      <c r="DH272" s="361"/>
      <c r="DI272" s="362"/>
      <c r="DJ272" s="361"/>
      <c r="DK272" s="361"/>
      <c r="DL272" s="361"/>
      <c r="DM272" s="361"/>
    </row>
    <row r="273" spans="2:113" ht="13">
      <c r="B273" s="294"/>
      <c r="C273" s="295"/>
      <c r="D273" s="295"/>
      <c r="E273" s="294"/>
      <c r="F273" s="294"/>
      <c r="G273" s="295"/>
      <c r="H273" s="295"/>
      <c r="I273" s="295"/>
      <c r="J273" s="295"/>
      <c r="K273" s="295"/>
      <c r="L273" s="295"/>
      <c r="M273" s="302"/>
      <c r="N273" s="296"/>
      <c r="O273" s="296"/>
      <c r="P273" s="297"/>
      <c r="Q273" s="297"/>
      <c r="R273" s="297"/>
      <c r="S273" s="297"/>
      <c r="T273" s="298"/>
      <c r="U273" s="296"/>
      <c r="V273" s="296"/>
      <c r="W273" s="297"/>
      <c r="X273" s="297"/>
      <c r="Y273" s="297"/>
      <c r="Z273" s="297"/>
      <c r="AA273" s="299"/>
      <c r="AB273" s="296"/>
      <c r="AC273" s="296"/>
      <c r="AD273" s="297"/>
      <c r="AE273" s="297"/>
      <c r="AF273" s="297"/>
      <c r="AG273" s="297"/>
      <c r="AH273" s="295"/>
      <c r="AI273" s="293"/>
      <c r="AJ273" s="293"/>
      <c r="AK273" s="297"/>
      <c r="AL273" s="297"/>
      <c r="AM273" s="297"/>
      <c r="AN273" s="297"/>
      <c r="AO273" s="295"/>
      <c r="AP273" s="352"/>
      <c r="AQ273" s="352"/>
      <c r="AR273" s="352"/>
      <c r="AS273" s="352"/>
      <c r="AT273" s="352"/>
      <c r="AU273" s="352"/>
      <c r="AV273" s="352"/>
      <c r="AW273" s="352"/>
      <c r="AX273" s="352"/>
      <c r="AY273" s="352"/>
      <c r="AZ273" s="352"/>
      <c r="BA273" s="352"/>
      <c r="BB273" s="352"/>
      <c r="BC273" s="352"/>
      <c r="BD273" s="352"/>
      <c r="BE273" s="352"/>
      <c r="BF273" s="352"/>
      <c r="BG273" s="352"/>
      <c r="BH273" s="352"/>
      <c r="BI273" s="352"/>
      <c r="BJ273" s="352"/>
      <c r="BK273" s="352"/>
      <c r="BL273" s="352"/>
      <c r="BM273" s="352"/>
      <c r="BN273" s="352"/>
      <c r="BO273" s="352"/>
      <c r="BP273" s="352"/>
      <c r="BQ273" s="352"/>
      <c r="BR273" s="352"/>
      <c r="BS273" s="352"/>
      <c r="BT273" s="352"/>
      <c r="BU273" s="352"/>
      <c r="BV273" s="352"/>
      <c r="BW273" s="352"/>
      <c r="BX273" s="352"/>
      <c r="BY273" s="352"/>
      <c r="BZ273" s="352"/>
      <c r="CA273" s="302"/>
      <c r="CB273" s="302"/>
      <c r="CC273" s="302"/>
      <c r="CD273" s="302"/>
      <c r="CE273" s="352"/>
      <c r="CS273" s="356">
        <v>89</v>
      </c>
      <c r="CT273" s="359" t="s">
        <v>126</v>
      </c>
      <c r="CU273" s="361">
        <v>1029605.54</v>
      </c>
      <c r="CV273" s="361">
        <v>0</v>
      </c>
      <c r="CW273" s="361">
        <v>0</v>
      </c>
      <c r="CX273" s="361">
        <v>130870.15</v>
      </c>
      <c r="CY273" s="361">
        <v>228892.3</v>
      </c>
      <c r="CZ273" s="352">
        <v>233596.41</v>
      </c>
      <c r="DA273" s="352">
        <v>251829.33</v>
      </c>
      <c r="DB273" s="352">
        <v>48133.77</v>
      </c>
      <c r="DC273" s="352">
        <v>136283.57999999999</v>
      </c>
      <c r="DD273" s="352">
        <v>0</v>
      </c>
      <c r="DE273" s="302">
        <v>0</v>
      </c>
      <c r="DI273" s="367"/>
    </row>
    <row r="274" spans="2:113" ht="13">
      <c r="B274" s="294"/>
      <c r="C274" s="295"/>
      <c r="D274" s="295"/>
      <c r="E274" s="294"/>
      <c r="F274" s="294"/>
      <c r="G274" s="295"/>
      <c r="H274" s="295"/>
      <c r="I274" s="295"/>
      <c r="J274" s="295"/>
      <c r="K274" s="295"/>
      <c r="L274" s="295"/>
      <c r="M274" s="302"/>
      <c r="N274" s="296"/>
      <c r="O274" s="296"/>
      <c r="P274" s="297"/>
      <c r="Q274" s="297"/>
      <c r="R274" s="297"/>
      <c r="S274" s="297"/>
      <c r="T274" s="298"/>
      <c r="U274" s="296"/>
      <c r="V274" s="296"/>
      <c r="W274" s="297"/>
      <c r="X274" s="297"/>
      <c r="Y274" s="297"/>
      <c r="Z274" s="297"/>
      <c r="AA274" s="299"/>
      <c r="AB274" s="296"/>
      <c r="AC274" s="296"/>
      <c r="AD274" s="297"/>
      <c r="AE274" s="297"/>
      <c r="AF274" s="297"/>
      <c r="AG274" s="297"/>
      <c r="AH274" s="295"/>
      <c r="AI274" s="293"/>
      <c r="AJ274" s="293"/>
      <c r="AK274" s="297"/>
      <c r="AL274" s="297"/>
      <c r="AM274" s="297"/>
      <c r="AN274" s="297"/>
      <c r="AO274" s="295"/>
      <c r="AP274" s="352"/>
      <c r="AQ274" s="352"/>
      <c r="AR274" s="352"/>
      <c r="AS274" s="352"/>
      <c r="AT274" s="352"/>
      <c r="AU274" s="352"/>
      <c r="AV274" s="352"/>
      <c r="AW274" s="352"/>
      <c r="AX274" s="352"/>
      <c r="AY274" s="352"/>
      <c r="AZ274" s="352"/>
      <c r="BA274" s="352"/>
      <c r="BB274" s="302"/>
      <c r="BC274" s="302"/>
      <c r="BD274" s="302"/>
      <c r="BE274" s="302"/>
      <c r="BF274" s="302"/>
      <c r="BG274" s="302"/>
      <c r="BH274" s="302"/>
      <c r="BI274" s="302"/>
      <c r="BJ274" s="302"/>
      <c r="BK274" s="352"/>
      <c r="BL274" s="352"/>
      <c r="BM274" s="352"/>
      <c r="BN274" s="352"/>
      <c r="BO274" s="352"/>
      <c r="BP274" s="352"/>
      <c r="BQ274" s="352"/>
      <c r="BR274" s="352"/>
      <c r="BS274" s="352"/>
      <c r="BT274" s="352"/>
      <c r="BU274" s="352"/>
      <c r="BV274" s="352"/>
      <c r="BW274" s="352"/>
      <c r="BX274" s="352"/>
      <c r="BY274" s="352"/>
      <c r="BZ274" s="352"/>
      <c r="CA274" s="352"/>
      <c r="CB274" s="352"/>
      <c r="CC274" s="352"/>
      <c r="CD274" s="352"/>
      <c r="CE274" s="352"/>
      <c r="CS274" s="356">
        <v>90</v>
      </c>
      <c r="CT274" s="359" t="s">
        <v>128</v>
      </c>
      <c r="CU274" s="361">
        <v>1005001.23</v>
      </c>
      <c r="CV274" s="361">
        <v>0</v>
      </c>
      <c r="CW274" s="361">
        <v>0</v>
      </c>
      <c r="CX274" s="361">
        <v>0</v>
      </c>
      <c r="CY274" s="361">
        <v>0</v>
      </c>
      <c r="CZ274" s="352">
        <v>0</v>
      </c>
      <c r="DA274" s="352">
        <v>577163.13</v>
      </c>
      <c r="DB274" s="352">
        <v>427838.1</v>
      </c>
      <c r="DC274" s="352">
        <v>0</v>
      </c>
      <c r="DD274" s="302">
        <v>0</v>
      </c>
      <c r="DE274" s="302">
        <v>0</v>
      </c>
      <c r="DI274" s="367"/>
    </row>
    <row r="275" spans="2:113" ht="13">
      <c r="B275" s="294"/>
      <c r="C275" s="295"/>
      <c r="D275" s="295"/>
      <c r="E275" s="294"/>
      <c r="F275" s="294"/>
      <c r="G275" s="295"/>
      <c r="H275" s="295"/>
      <c r="I275" s="295"/>
      <c r="J275" s="295"/>
      <c r="K275" s="295"/>
      <c r="L275" s="295"/>
      <c r="M275" s="302"/>
      <c r="N275" s="296"/>
      <c r="O275" s="296"/>
      <c r="P275" s="297"/>
      <c r="Q275" s="297"/>
      <c r="R275" s="297"/>
      <c r="S275" s="297"/>
      <c r="T275" s="298"/>
      <c r="U275" s="296"/>
      <c r="V275" s="296"/>
      <c r="W275" s="297"/>
      <c r="X275" s="297"/>
      <c r="Y275" s="297"/>
      <c r="Z275" s="297"/>
      <c r="AA275" s="299"/>
      <c r="AB275" s="296"/>
      <c r="AC275" s="296"/>
      <c r="AD275" s="297"/>
      <c r="AE275" s="297"/>
      <c r="AF275" s="297"/>
      <c r="AG275" s="297"/>
      <c r="AH275" s="295"/>
      <c r="AI275" s="293"/>
      <c r="AJ275" s="293"/>
      <c r="AK275" s="297"/>
      <c r="AL275" s="297"/>
      <c r="AM275" s="297"/>
      <c r="AN275" s="297"/>
      <c r="AO275" s="295"/>
      <c r="AP275" s="302"/>
      <c r="AQ275" s="302"/>
      <c r="AR275" s="302"/>
      <c r="AS275" s="302"/>
      <c r="AT275" s="302"/>
      <c r="AU275" s="302"/>
      <c r="AV275" s="302"/>
      <c r="AW275" s="302"/>
      <c r="AX275" s="302"/>
      <c r="AY275" s="302"/>
      <c r="AZ275" s="302"/>
      <c r="BA275" s="302"/>
      <c r="BB275" s="302"/>
      <c r="BC275" s="302"/>
      <c r="BD275" s="302"/>
      <c r="BE275" s="302"/>
      <c r="BF275" s="302"/>
      <c r="BG275" s="302"/>
      <c r="BH275" s="302"/>
      <c r="BI275" s="302"/>
      <c r="BJ275" s="302"/>
      <c r="BK275" s="352"/>
      <c r="BL275" s="352"/>
      <c r="BM275" s="352"/>
      <c r="BN275" s="352"/>
      <c r="BO275" s="302"/>
      <c r="BP275" s="302"/>
      <c r="BQ275" s="302"/>
      <c r="BR275" s="302"/>
      <c r="BS275" s="302"/>
      <c r="BT275" s="302"/>
      <c r="BU275" s="302"/>
      <c r="BV275" s="352"/>
      <c r="BW275" s="352"/>
      <c r="BX275" s="352"/>
      <c r="BY275" s="352"/>
      <c r="BZ275" s="352"/>
      <c r="CA275" s="352"/>
      <c r="CB275" s="352"/>
      <c r="CC275" s="352"/>
      <c r="CD275" s="352"/>
      <c r="CE275" s="352"/>
      <c r="CS275" s="356">
        <v>91</v>
      </c>
      <c r="CT275" s="359" t="s">
        <v>117</v>
      </c>
      <c r="CU275" s="361">
        <v>956366.13</v>
      </c>
      <c r="CV275" s="361">
        <v>0</v>
      </c>
      <c r="CW275" s="361">
        <v>0</v>
      </c>
      <c r="CX275" s="361">
        <v>310137.34999999998</v>
      </c>
      <c r="CY275" s="361">
        <v>208953.91</v>
      </c>
      <c r="CZ275" s="352">
        <v>106357.15</v>
      </c>
      <c r="DA275" s="352">
        <v>61332.11</v>
      </c>
      <c r="DB275" s="352">
        <v>127261.01</v>
      </c>
      <c r="DC275" s="352">
        <v>88621.49</v>
      </c>
      <c r="DD275" s="352">
        <v>53703.11</v>
      </c>
      <c r="DE275" s="302">
        <v>0</v>
      </c>
      <c r="DI275" s="367"/>
    </row>
    <row r="276" spans="2:113" ht="13">
      <c r="B276" s="294"/>
      <c r="C276" s="295"/>
      <c r="D276" s="295"/>
      <c r="E276" s="294"/>
      <c r="F276" s="294"/>
      <c r="G276" s="295"/>
      <c r="H276" s="295"/>
      <c r="I276" s="295"/>
      <c r="J276" s="295"/>
      <c r="K276" s="295"/>
      <c r="L276" s="295"/>
      <c r="M276" s="302"/>
      <c r="N276" s="296"/>
      <c r="O276" s="296"/>
      <c r="P276" s="297"/>
      <c r="Q276" s="297"/>
      <c r="R276" s="297"/>
      <c r="S276" s="297"/>
      <c r="T276" s="298"/>
      <c r="U276" s="296"/>
      <c r="V276" s="296"/>
      <c r="W276" s="297"/>
      <c r="X276" s="297"/>
      <c r="Y276" s="297"/>
      <c r="Z276" s="297"/>
      <c r="AA276" s="299"/>
      <c r="AB276" s="296"/>
      <c r="AC276" s="296"/>
      <c r="AD276" s="297"/>
      <c r="AE276" s="297"/>
      <c r="AF276" s="297"/>
      <c r="AG276" s="297"/>
      <c r="AH276" s="295"/>
      <c r="AI276" s="293"/>
      <c r="AJ276" s="293"/>
      <c r="AK276" s="297"/>
      <c r="AL276" s="297"/>
      <c r="AM276" s="297"/>
      <c r="AN276" s="297"/>
      <c r="AO276" s="295"/>
      <c r="AP276" s="302"/>
      <c r="AQ276" s="302"/>
      <c r="AR276" s="302"/>
      <c r="AS276" s="302"/>
      <c r="AT276" s="302"/>
      <c r="AU276" s="302"/>
      <c r="AV276" s="302"/>
      <c r="AW276" s="302"/>
      <c r="AX276" s="302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52"/>
      <c r="BX276" s="352"/>
      <c r="BY276" s="352"/>
      <c r="BZ276" s="352"/>
      <c r="CA276" s="352"/>
      <c r="CB276" s="352"/>
      <c r="CC276" s="352"/>
      <c r="CD276" s="352"/>
      <c r="CE276" s="352"/>
      <c r="CS276" s="356">
        <v>92</v>
      </c>
      <c r="CT276" s="359" t="s">
        <v>231</v>
      </c>
      <c r="CU276" s="361">
        <v>941272.48</v>
      </c>
      <c r="CV276" s="361">
        <v>536511.12</v>
      </c>
      <c r="CW276" s="361">
        <v>231580.4</v>
      </c>
      <c r="CX276" s="361">
        <v>173180.96</v>
      </c>
      <c r="CY276" s="361">
        <v>0</v>
      </c>
      <c r="CZ276" s="352">
        <v>0</v>
      </c>
      <c r="DA276" s="352">
        <v>0</v>
      </c>
      <c r="DB276" s="352">
        <v>0</v>
      </c>
      <c r="DC276" s="352">
        <v>0</v>
      </c>
      <c r="DD276" s="352">
        <v>0</v>
      </c>
      <c r="DE276" s="302">
        <v>0</v>
      </c>
      <c r="DI276" s="367"/>
    </row>
    <row r="277" spans="2:113" ht="13">
      <c r="B277" s="294"/>
      <c r="C277" s="295"/>
      <c r="D277" s="295"/>
      <c r="E277" s="294"/>
      <c r="F277" s="294"/>
      <c r="G277" s="295"/>
      <c r="H277" s="295"/>
      <c r="I277" s="295"/>
      <c r="J277" s="295"/>
      <c r="K277" s="295"/>
      <c r="L277" s="295"/>
      <c r="M277" s="302"/>
      <c r="N277" s="296"/>
      <c r="O277" s="296"/>
      <c r="P277" s="297"/>
      <c r="Q277" s="297"/>
      <c r="R277" s="297"/>
      <c r="S277" s="297"/>
      <c r="T277" s="298"/>
      <c r="U277" s="296"/>
      <c r="V277" s="296"/>
      <c r="W277" s="297"/>
      <c r="X277" s="297"/>
      <c r="Y277" s="297"/>
      <c r="Z277" s="297"/>
      <c r="AA277" s="299"/>
      <c r="AB277" s="296"/>
      <c r="AC277" s="296"/>
      <c r="AD277" s="297"/>
      <c r="AE277" s="297"/>
      <c r="AF277" s="297"/>
      <c r="AG277" s="297"/>
      <c r="AH277" s="295"/>
      <c r="AI277" s="293"/>
      <c r="AJ277" s="293"/>
      <c r="AK277" s="297"/>
      <c r="AL277" s="297"/>
      <c r="AM277" s="297"/>
      <c r="AN277" s="297"/>
      <c r="AO277" s="295"/>
      <c r="AP277" s="302"/>
      <c r="AQ277" s="302"/>
      <c r="AR277" s="302"/>
      <c r="AS277" s="302"/>
      <c r="AT277" s="302"/>
      <c r="AU277" s="302"/>
      <c r="AV277" s="302"/>
      <c r="AW277" s="302"/>
      <c r="AX277" s="352"/>
      <c r="AY277" s="352"/>
      <c r="AZ277" s="352"/>
      <c r="BA277" s="352"/>
      <c r="BB277" s="352"/>
      <c r="BC277" s="352"/>
      <c r="BD277" s="352"/>
      <c r="BE277" s="352"/>
      <c r="BF277" s="352"/>
      <c r="BG277" s="352"/>
      <c r="BH277" s="352"/>
      <c r="BI277" s="352"/>
      <c r="BJ277" s="352"/>
      <c r="BK277" s="352"/>
      <c r="BL277" s="352"/>
      <c r="BM277" s="352"/>
      <c r="BN277" s="352"/>
      <c r="BO277" s="352"/>
      <c r="BP277" s="352"/>
      <c r="BQ277" s="352"/>
      <c r="BR277" s="352"/>
      <c r="BS277" s="352"/>
      <c r="BT277" s="352"/>
      <c r="BU277" s="352"/>
      <c r="BV277" s="352"/>
      <c r="BW277" s="302"/>
      <c r="BX277" s="302"/>
      <c r="BY277" s="302"/>
      <c r="BZ277" s="302"/>
      <c r="CA277" s="352"/>
      <c r="CB277" s="352"/>
      <c r="CC277" s="352"/>
      <c r="CD277" s="352"/>
      <c r="CE277" s="352"/>
      <c r="CS277" s="356">
        <v>93</v>
      </c>
      <c r="CT277" s="359" t="s">
        <v>203</v>
      </c>
      <c r="CU277" s="361">
        <v>856370.9</v>
      </c>
      <c r="CV277" s="361">
        <v>25544.240000000002</v>
      </c>
      <c r="CW277" s="361">
        <v>257291.83</v>
      </c>
      <c r="CX277" s="361">
        <v>166710.09</v>
      </c>
      <c r="CY277" s="361">
        <v>80397.87</v>
      </c>
      <c r="CZ277" s="352">
        <v>0</v>
      </c>
      <c r="DA277" s="352">
        <v>0</v>
      </c>
      <c r="DB277" s="352">
        <v>0</v>
      </c>
      <c r="DC277" s="352">
        <v>313753.37</v>
      </c>
      <c r="DD277" s="352">
        <v>283494.13</v>
      </c>
      <c r="DE277" s="352">
        <v>-270820.63</v>
      </c>
      <c r="DI277" s="367"/>
    </row>
    <row r="278" spans="2:113" ht="13">
      <c r="B278" s="294"/>
      <c r="C278" s="295"/>
      <c r="D278" s="295"/>
      <c r="E278" s="294"/>
      <c r="F278" s="294"/>
      <c r="G278" s="295"/>
      <c r="H278" s="295"/>
      <c r="I278" s="295"/>
      <c r="J278" s="295"/>
      <c r="K278" s="295"/>
      <c r="L278" s="295"/>
      <c r="M278" s="302"/>
      <c r="N278" s="296"/>
      <c r="O278" s="296"/>
      <c r="P278" s="297"/>
      <c r="Q278" s="297"/>
      <c r="R278" s="297"/>
      <c r="S278" s="297"/>
      <c r="T278" s="298"/>
      <c r="U278" s="296"/>
      <c r="V278" s="296"/>
      <c r="W278" s="297"/>
      <c r="X278" s="297"/>
      <c r="Y278" s="297"/>
      <c r="Z278" s="297"/>
      <c r="AA278" s="299"/>
      <c r="AB278" s="296"/>
      <c r="AC278" s="296"/>
      <c r="AD278" s="297"/>
      <c r="AE278" s="297"/>
      <c r="AF278" s="297"/>
      <c r="AG278" s="297"/>
      <c r="AH278" s="295"/>
      <c r="AI278" s="293"/>
      <c r="AJ278" s="293"/>
      <c r="AK278" s="297"/>
      <c r="AL278" s="297"/>
      <c r="AM278" s="297"/>
      <c r="AN278" s="297"/>
      <c r="AO278" s="295"/>
      <c r="AP278" s="352"/>
      <c r="AQ278" s="352"/>
      <c r="AR278" s="352"/>
      <c r="AS278" s="352"/>
      <c r="AT278" s="352"/>
      <c r="AU278" s="352"/>
      <c r="AV278" s="352"/>
      <c r="AW278" s="352"/>
      <c r="AX278" s="302"/>
      <c r="AY278" s="302"/>
      <c r="AZ278" s="302"/>
      <c r="BA278" s="302"/>
      <c r="BB278" s="302"/>
      <c r="BC278" s="302"/>
      <c r="BD278" s="302"/>
      <c r="BE278" s="302"/>
      <c r="BF278" s="302"/>
      <c r="BG278" s="302"/>
      <c r="BH278" s="302"/>
      <c r="BI278" s="302"/>
      <c r="BJ278" s="302"/>
      <c r="BK278" s="302"/>
      <c r="BL278" s="302"/>
      <c r="BM278" s="302"/>
      <c r="BN278" s="302"/>
      <c r="BO278" s="302"/>
      <c r="BP278" s="302"/>
      <c r="BQ278" s="302"/>
      <c r="BR278" s="302"/>
      <c r="BS278" s="302"/>
      <c r="BT278" s="302"/>
      <c r="BU278" s="302"/>
      <c r="BV278" s="302"/>
      <c r="BW278" s="352"/>
      <c r="BX278" s="352"/>
      <c r="BY278" s="352"/>
      <c r="BZ278" s="352"/>
      <c r="CA278" s="352"/>
      <c r="CB278" s="352"/>
      <c r="CC278" s="352"/>
      <c r="CD278" s="352"/>
      <c r="CE278" s="352"/>
      <c r="CS278" s="356">
        <v>94</v>
      </c>
      <c r="CT278" s="359" t="s">
        <v>162</v>
      </c>
      <c r="CU278" s="361">
        <v>840638.88</v>
      </c>
      <c r="CV278" s="361">
        <v>0</v>
      </c>
      <c r="CW278" s="361">
        <v>0</v>
      </c>
      <c r="CX278" s="361">
        <v>0</v>
      </c>
      <c r="CY278" s="361">
        <v>0</v>
      </c>
      <c r="CZ278" s="352">
        <v>218224.16</v>
      </c>
      <c r="DA278" s="352">
        <v>252838.72</v>
      </c>
      <c r="DB278" s="352">
        <v>276274.15999999997</v>
      </c>
      <c r="DC278" s="352">
        <v>93301.84</v>
      </c>
      <c r="DD278" s="302">
        <v>0</v>
      </c>
      <c r="DE278" s="302">
        <v>0</v>
      </c>
      <c r="DI278" s="367"/>
    </row>
    <row r="279" spans="2:113" ht="13">
      <c r="B279" s="294"/>
      <c r="C279" s="295"/>
      <c r="D279" s="295"/>
      <c r="E279" s="294"/>
      <c r="F279" s="294"/>
      <c r="G279" s="295"/>
      <c r="H279" s="295"/>
      <c r="I279" s="295"/>
      <c r="J279" s="295"/>
      <c r="K279" s="295"/>
      <c r="L279" s="295"/>
      <c r="M279" s="302"/>
      <c r="N279" s="296"/>
      <c r="O279" s="296"/>
      <c r="P279" s="297"/>
      <c r="Q279" s="297"/>
      <c r="R279" s="297"/>
      <c r="S279" s="297"/>
      <c r="T279" s="298"/>
      <c r="U279" s="296"/>
      <c r="V279" s="296"/>
      <c r="W279" s="297"/>
      <c r="X279" s="297"/>
      <c r="Y279" s="297"/>
      <c r="Z279" s="297"/>
      <c r="AA279" s="299"/>
      <c r="AB279" s="296"/>
      <c r="AC279" s="296"/>
      <c r="AD279" s="297"/>
      <c r="AE279" s="297"/>
      <c r="AF279" s="297"/>
      <c r="AG279" s="297"/>
      <c r="AH279" s="295"/>
      <c r="AI279" s="293"/>
      <c r="AJ279" s="293"/>
      <c r="AK279" s="297"/>
      <c r="AL279" s="297"/>
      <c r="AM279" s="297"/>
      <c r="AN279" s="297"/>
      <c r="AO279" s="295"/>
      <c r="AP279" s="352"/>
      <c r="AQ279" s="352"/>
      <c r="AR279" s="352"/>
      <c r="AS279" s="352"/>
      <c r="AT279" s="352"/>
      <c r="AU279" s="352"/>
      <c r="AV279" s="352"/>
      <c r="AW279" s="352"/>
      <c r="AX279" s="352"/>
      <c r="AY279" s="352"/>
      <c r="AZ279" s="352"/>
      <c r="BA279" s="352"/>
      <c r="BB279" s="352"/>
      <c r="BC279" s="352"/>
      <c r="BD279" s="352"/>
      <c r="BE279" s="352"/>
      <c r="BF279" s="352"/>
      <c r="BG279" s="352"/>
      <c r="BH279" s="352"/>
      <c r="BI279" s="352"/>
      <c r="BJ279" s="352"/>
      <c r="BK279" s="352"/>
      <c r="BL279" s="352"/>
      <c r="BM279" s="352"/>
      <c r="BN279" s="352"/>
      <c r="BO279" s="352"/>
      <c r="BP279" s="352"/>
      <c r="BQ279" s="352"/>
      <c r="BR279" s="352"/>
      <c r="BS279" s="352"/>
      <c r="BT279" s="352"/>
      <c r="BU279" s="352"/>
      <c r="BV279" s="352"/>
      <c r="BW279" s="352"/>
      <c r="BX279" s="352"/>
      <c r="BY279" s="352"/>
      <c r="BZ279" s="352"/>
      <c r="CA279" s="352"/>
      <c r="CB279" s="352"/>
      <c r="CC279" s="352"/>
      <c r="CD279" s="352"/>
      <c r="CE279" s="352"/>
      <c r="CS279" s="356">
        <v>95</v>
      </c>
      <c r="CT279" s="359" t="s">
        <v>206</v>
      </c>
      <c r="CU279" s="361">
        <v>807364.41</v>
      </c>
      <c r="CV279" s="361">
        <v>88304.57</v>
      </c>
      <c r="CW279" s="361">
        <v>30300.240000000002</v>
      </c>
      <c r="CX279" s="361">
        <v>74972.39</v>
      </c>
      <c r="CY279" s="361">
        <v>113081.18</v>
      </c>
      <c r="CZ279" s="352">
        <v>95790.15</v>
      </c>
      <c r="DA279" s="352">
        <v>47478.12</v>
      </c>
      <c r="DB279" s="352">
        <v>124048.49</v>
      </c>
      <c r="DC279" s="352">
        <v>72844.11</v>
      </c>
      <c r="DD279" s="352">
        <v>55104.73</v>
      </c>
      <c r="DE279" s="352">
        <v>105440.44</v>
      </c>
      <c r="DI279" s="367"/>
    </row>
    <row r="280" spans="2:113" ht="13">
      <c r="B280" s="294"/>
      <c r="C280" s="295"/>
      <c r="D280" s="295"/>
      <c r="E280" s="294"/>
      <c r="F280" s="294"/>
      <c r="G280" s="295"/>
      <c r="H280" s="295"/>
      <c r="I280" s="295"/>
      <c r="J280" s="295"/>
      <c r="K280" s="295"/>
      <c r="L280" s="295"/>
      <c r="M280" s="302"/>
      <c r="N280" s="296"/>
      <c r="O280" s="296"/>
      <c r="P280" s="297"/>
      <c r="Q280" s="297"/>
      <c r="R280" s="297"/>
      <c r="S280" s="297"/>
      <c r="T280" s="298"/>
      <c r="U280" s="296"/>
      <c r="V280" s="296"/>
      <c r="W280" s="297"/>
      <c r="X280" s="297"/>
      <c r="Y280" s="297"/>
      <c r="Z280" s="297"/>
      <c r="AA280" s="299"/>
      <c r="AB280" s="296"/>
      <c r="AC280" s="296"/>
      <c r="AD280" s="297"/>
      <c r="AE280" s="297"/>
      <c r="AF280" s="297"/>
      <c r="AG280" s="297"/>
      <c r="AH280" s="295"/>
      <c r="AI280" s="293"/>
      <c r="AJ280" s="293"/>
      <c r="AK280" s="297"/>
      <c r="AL280" s="297"/>
      <c r="AM280" s="297"/>
      <c r="AN280" s="297"/>
      <c r="AO280" s="295"/>
      <c r="AP280" s="352"/>
      <c r="AQ280" s="352"/>
      <c r="AR280" s="352"/>
      <c r="AS280" s="352"/>
      <c r="AT280" s="302"/>
      <c r="AU280" s="302"/>
      <c r="AV280" s="302"/>
      <c r="AW280" s="302"/>
      <c r="AX280" s="302"/>
      <c r="AY280" s="302"/>
      <c r="AZ280" s="302"/>
      <c r="BA280" s="302"/>
      <c r="BB280" s="352"/>
      <c r="BC280" s="352"/>
      <c r="BD280" s="352"/>
      <c r="BE280" s="352"/>
      <c r="BF280" s="352"/>
      <c r="BG280" s="352"/>
      <c r="BH280" s="352"/>
      <c r="BI280" s="352"/>
      <c r="BJ280" s="352"/>
      <c r="BK280" s="352"/>
      <c r="BL280" s="352"/>
      <c r="BM280" s="352"/>
      <c r="BN280" s="352"/>
      <c r="BO280" s="302"/>
      <c r="BP280" s="302"/>
      <c r="BQ280" s="302"/>
      <c r="BR280" s="302"/>
      <c r="BS280" s="302"/>
      <c r="BT280" s="302"/>
      <c r="BU280" s="302"/>
      <c r="BV280" s="352"/>
      <c r="BW280" s="302"/>
      <c r="BX280" s="302"/>
      <c r="BY280" s="302"/>
      <c r="BZ280" s="302"/>
      <c r="CA280" s="302"/>
      <c r="CB280" s="302"/>
      <c r="CC280" s="302"/>
      <c r="CD280" s="302"/>
      <c r="CE280" s="352"/>
      <c r="CS280" s="356">
        <v>96</v>
      </c>
      <c r="CT280" s="359" t="s">
        <v>188</v>
      </c>
      <c r="CU280" s="361">
        <v>783693.97</v>
      </c>
      <c r="CV280" s="361">
        <v>327133.06</v>
      </c>
      <c r="CW280" s="361">
        <v>51864.67</v>
      </c>
      <c r="CX280" s="361">
        <v>0</v>
      </c>
      <c r="CY280" s="361">
        <v>0</v>
      </c>
      <c r="CZ280" s="352">
        <v>0</v>
      </c>
      <c r="DA280" s="352">
        <v>24928</v>
      </c>
      <c r="DB280" s="352">
        <v>99377.95</v>
      </c>
      <c r="DC280" s="352">
        <v>12511.56</v>
      </c>
      <c r="DD280" s="352">
        <v>249710.07</v>
      </c>
      <c r="DE280" s="352">
        <v>18168.66</v>
      </c>
      <c r="DI280" s="367"/>
    </row>
    <row r="281" spans="2:113" ht="13">
      <c r="B281" s="294"/>
      <c r="C281" s="295"/>
      <c r="D281" s="295"/>
      <c r="E281" s="294"/>
      <c r="F281" s="294"/>
      <c r="G281" s="295"/>
      <c r="H281" s="295"/>
      <c r="I281" s="295"/>
      <c r="J281" s="295"/>
      <c r="K281" s="295"/>
      <c r="L281" s="295"/>
      <c r="M281" s="302"/>
      <c r="N281" s="296"/>
      <c r="O281" s="296"/>
      <c r="P281" s="297"/>
      <c r="Q281" s="297"/>
      <c r="R281" s="297"/>
      <c r="S281" s="297"/>
      <c r="T281" s="298"/>
      <c r="U281" s="296"/>
      <c r="V281" s="296"/>
      <c r="W281" s="297"/>
      <c r="X281" s="297"/>
      <c r="Y281" s="297"/>
      <c r="Z281" s="297"/>
      <c r="AA281" s="299"/>
      <c r="AB281" s="296"/>
      <c r="AC281" s="296"/>
      <c r="AD281" s="297"/>
      <c r="AE281" s="297"/>
      <c r="AF281" s="297"/>
      <c r="AG281" s="297"/>
      <c r="AH281" s="295"/>
      <c r="AI281" s="293"/>
      <c r="AJ281" s="293"/>
      <c r="AK281" s="297"/>
      <c r="AL281" s="297"/>
      <c r="AM281" s="297"/>
      <c r="AN281" s="297"/>
      <c r="AO281" s="295"/>
      <c r="AP281" s="302"/>
      <c r="AQ281" s="302"/>
      <c r="AR281" s="302"/>
      <c r="AS281" s="302"/>
      <c r="AT281" s="352"/>
      <c r="AU281" s="352"/>
      <c r="AV281" s="352"/>
      <c r="AW281" s="352"/>
      <c r="AX281" s="302"/>
      <c r="AY281" s="302"/>
      <c r="AZ281" s="302"/>
      <c r="BA281" s="302"/>
      <c r="BB281" s="302"/>
      <c r="BC281" s="302"/>
      <c r="BD281" s="302"/>
      <c r="BE281" s="302"/>
      <c r="BF281" s="302"/>
      <c r="BG281" s="302"/>
      <c r="BH281" s="302"/>
      <c r="BI281" s="302"/>
      <c r="BJ281" s="302"/>
      <c r="BK281" s="302"/>
      <c r="BL281" s="302"/>
      <c r="BM281" s="302"/>
      <c r="BN281" s="302"/>
      <c r="BO281" s="302"/>
      <c r="BP281" s="302"/>
      <c r="BQ281" s="302"/>
      <c r="BR281" s="302"/>
      <c r="BS281" s="302"/>
      <c r="BT281" s="302"/>
      <c r="BU281" s="302"/>
      <c r="BV281" s="302"/>
      <c r="BW281" s="302"/>
      <c r="BX281" s="302"/>
      <c r="BY281" s="302"/>
      <c r="BZ281" s="302"/>
      <c r="CA281" s="302"/>
      <c r="CB281" s="302"/>
      <c r="CC281" s="302"/>
      <c r="CD281" s="302"/>
      <c r="CE281" s="352"/>
      <c r="CS281" s="356">
        <v>97</v>
      </c>
      <c r="CT281" s="359" t="s">
        <v>148</v>
      </c>
      <c r="CU281" s="361">
        <v>775766.39</v>
      </c>
      <c r="CV281" s="361">
        <v>68879.8</v>
      </c>
      <c r="CW281" s="361">
        <v>178000.15</v>
      </c>
      <c r="CX281" s="361">
        <v>30703.81</v>
      </c>
      <c r="CY281" s="361">
        <v>142952.1</v>
      </c>
      <c r="CZ281" s="352">
        <v>28899.5</v>
      </c>
      <c r="DA281" s="352">
        <v>0</v>
      </c>
      <c r="DB281" s="352">
        <v>0</v>
      </c>
      <c r="DC281" s="352">
        <v>290108</v>
      </c>
      <c r="DD281" s="302">
        <v>0</v>
      </c>
      <c r="DE281" s="352">
        <v>36223.019999999997</v>
      </c>
      <c r="DI281" s="367"/>
    </row>
    <row r="282" spans="2:113" ht="13">
      <c r="B282" s="294"/>
      <c r="C282" s="295"/>
      <c r="D282" s="295"/>
      <c r="E282" s="294"/>
      <c r="F282" s="294"/>
      <c r="G282" s="295"/>
      <c r="H282" s="295"/>
      <c r="I282" s="295"/>
      <c r="J282" s="295"/>
      <c r="K282" s="295"/>
      <c r="L282" s="295"/>
      <c r="M282" s="302"/>
      <c r="N282" s="296"/>
      <c r="O282" s="296"/>
      <c r="P282" s="297"/>
      <c r="Q282" s="297"/>
      <c r="R282" s="297"/>
      <c r="S282" s="297"/>
      <c r="T282" s="298"/>
      <c r="U282" s="296"/>
      <c r="V282" s="296"/>
      <c r="W282" s="297"/>
      <c r="X282" s="297"/>
      <c r="Y282" s="297"/>
      <c r="Z282" s="297"/>
      <c r="AA282" s="299"/>
      <c r="AB282" s="296"/>
      <c r="AC282" s="296"/>
      <c r="AD282" s="297"/>
      <c r="AE282" s="297"/>
      <c r="AF282" s="297"/>
      <c r="AG282" s="297"/>
      <c r="AH282" s="295"/>
      <c r="AI282" s="293"/>
      <c r="AJ282" s="293"/>
      <c r="AK282" s="297"/>
      <c r="AL282" s="297"/>
      <c r="AM282" s="297"/>
      <c r="AN282" s="297"/>
      <c r="AO282" s="295"/>
      <c r="AP282" s="302"/>
      <c r="AQ282" s="302"/>
      <c r="AR282" s="302"/>
      <c r="AS282" s="302"/>
      <c r="AT282" s="302"/>
      <c r="AU282" s="302"/>
      <c r="AV282" s="302"/>
      <c r="AW282" s="302"/>
      <c r="AX282" s="302"/>
      <c r="AY282" s="302"/>
      <c r="AZ282" s="302"/>
      <c r="BA282" s="302"/>
      <c r="BB282" s="302"/>
      <c r="BC282" s="302"/>
      <c r="BD282" s="302"/>
      <c r="BE282" s="302"/>
      <c r="BF282" s="302"/>
      <c r="BG282" s="302"/>
      <c r="BH282" s="302"/>
      <c r="BI282" s="302"/>
      <c r="BJ282" s="302"/>
      <c r="BK282" s="352"/>
      <c r="BL282" s="352"/>
      <c r="BM282" s="352"/>
      <c r="BN282" s="352"/>
      <c r="BO282" s="352"/>
      <c r="BP282" s="352"/>
      <c r="BQ282" s="352"/>
      <c r="BR282" s="352"/>
      <c r="BS282" s="352"/>
      <c r="BT282" s="352"/>
      <c r="BU282" s="352"/>
      <c r="BV282" s="352"/>
      <c r="BW282" s="352"/>
      <c r="BX282" s="352"/>
      <c r="BY282" s="352"/>
      <c r="BZ282" s="352"/>
      <c r="CA282" s="352"/>
      <c r="CB282" s="352"/>
      <c r="CC282" s="352"/>
      <c r="CD282" s="352"/>
      <c r="CE282" s="352"/>
      <c r="CS282" s="356">
        <v>98</v>
      </c>
      <c r="CT282" s="359" t="s">
        <v>202</v>
      </c>
      <c r="CU282" s="361">
        <v>761901.92</v>
      </c>
      <c r="CV282" s="361">
        <v>432708.23</v>
      </c>
      <c r="CW282" s="361">
        <v>329193.69</v>
      </c>
      <c r="CX282" s="361">
        <v>0</v>
      </c>
      <c r="CY282" s="361">
        <v>0</v>
      </c>
      <c r="CZ282" s="352">
        <v>0</v>
      </c>
      <c r="DA282" s="352">
        <v>0</v>
      </c>
      <c r="DB282" s="352">
        <v>0</v>
      </c>
      <c r="DC282" s="352">
        <v>0</v>
      </c>
      <c r="DD282" s="302">
        <v>0</v>
      </c>
      <c r="DE282" s="302">
        <v>0</v>
      </c>
      <c r="DI282" s="367"/>
    </row>
    <row r="283" spans="2:113" ht="13">
      <c r="B283" s="294"/>
      <c r="C283" s="295"/>
      <c r="D283" s="295"/>
      <c r="E283" s="294"/>
      <c r="F283" s="294"/>
      <c r="G283" s="295"/>
      <c r="H283" s="295"/>
      <c r="I283" s="295"/>
      <c r="J283" s="295"/>
      <c r="K283" s="295"/>
      <c r="L283" s="295"/>
      <c r="M283" s="302"/>
      <c r="N283" s="296"/>
      <c r="O283" s="296"/>
      <c r="P283" s="297"/>
      <c r="Q283" s="297"/>
      <c r="R283" s="297"/>
      <c r="S283" s="297"/>
      <c r="T283" s="298"/>
      <c r="U283" s="296"/>
      <c r="V283" s="296"/>
      <c r="W283" s="297"/>
      <c r="X283" s="297"/>
      <c r="Y283" s="297"/>
      <c r="Z283" s="297"/>
      <c r="AA283" s="299"/>
      <c r="AB283" s="296"/>
      <c r="AC283" s="296"/>
      <c r="AD283" s="297"/>
      <c r="AE283" s="297"/>
      <c r="AF283" s="297"/>
      <c r="AG283" s="297"/>
      <c r="AH283" s="295"/>
      <c r="AI283" s="293"/>
      <c r="AJ283" s="293"/>
      <c r="AK283" s="297"/>
      <c r="AL283" s="297"/>
      <c r="AM283" s="297"/>
      <c r="AN283" s="297"/>
      <c r="AO283" s="295"/>
      <c r="AP283" s="302"/>
      <c r="AQ283" s="302"/>
      <c r="AR283" s="302"/>
      <c r="AS283" s="302"/>
      <c r="AT283" s="352"/>
      <c r="AU283" s="352"/>
      <c r="AV283" s="352"/>
      <c r="AW283" s="352"/>
      <c r="AX283" s="352"/>
      <c r="AY283" s="352"/>
      <c r="AZ283" s="352"/>
      <c r="BA283" s="352"/>
      <c r="BB283" s="352"/>
      <c r="BC283" s="352"/>
      <c r="BD283" s="352"/>
      <c r="BE283" s="352"/>
      <c r="BF283" s="352"/>
      <c r="BG283" s="352"/>
      <c r="BH283" s="352"/>
      <c r="BI283" s="352"/>
      <c r="BJ283" s="352"/>
      <c r="BK283" s="302"/>
      <c r="BL283" s="302"/>
      <c r="BM283" s="302"/>
      <c r="BN283" s="302"/>
      <c r="BO283" s="352"/>
      <c r="BP283" s="352"/>
      <c r="BQ283" s="352"/>
      <c r="BR283" s="352"/>
      <c r="BS283" s="352"/>
      <c r="BT283" s="352"/>
      <c r="BU283" s="352"/>
      <c r="BV283" s="352"/>
      <c r="BW283" s="302"/>
      <c r="BX283" s="302"/>
      <c r="BY283" s="302"/>
      <c r="BZ283" s="302"/>
      <c r="CA283" s="352"/>
      <c r="CB283" s="352"/>
      <c r="CC283" s="352"/>
      <c r="CD283" s="352"/>
      <c r="CE283" s="352"/>
      <c r="CS283" s="356">
        <v>99</v>
      </c>
      <c r="CT283" s="302" t="s">
        <v>114</v>
      </c>
      <c r="CU283" s="352">
        <v>725046.13</v>
      </c>
      <c r="CV283" s="352">
        <v>0</v>
      </c>
      <c r="CW283" s="352">
        <v>0</v>
      </c>
      <c r="CX283" s="352">
        <v>0</v>
      </c>
      <c r="CY283" s="352">
        <v>0</v>
      </c>
      <c r="CZ283" s="352">
        <v>302275.17</v>
      </c>
      <c r="DA283" s="352">
        <v>130705.16</v>
      </c>
      <c r="DB283" s="352">
        <v>107978.4</v>
      </c>
      <c r="DC283" s="352">
        <v>74196</v>
      </c>
      <c r="DD283" s="352">
        <v>0</v>
      </c>
      <c r="DE283" s="352">
        <v>109891.4</v>
      </c>
      <c r="DI283" s="367"/>
    </row>
    <row r="284" spans="2:113" ht="13">
      <c r="B284" s="294"/>
      <c r="C284" s="295"/>
      <c r="D284" s="295"/>
      <c r="E284" s="294"/>
      <c r="F284" s="294"/>
      <c r="G284" s="295"/>
      <c r="H284" s="295"/>
      <c r="I284" s="295"/>
      <c r="J284" s="295"/>
      <c r="K284" s="295"/>
      <c r="L284" s="295"/>
      <c r="M284" s="302"/>
      <c r="N284" s="296"/>
      <c r="O284" s="296"/>
      <c r="P284" s="297"/>
      <c r="Q284" s="297"/>
      <c r="R284" s="297"/>
      <c r="S284" s="297"/>
      <c r="T284" s="298"/>
      <c r="U284" s="296"/>
      <c r="V284" s="296"/>
      <c r="W284" s="297"/>
      <c r="X284" s="297"/>
      <c r="Y284" s="297"/>
      <c r="Z284" s="297"/>
      <c r="AA284" s="299"/>
      <c r="AB284" s="296"/>
      <c r="AC284" s="296"/>
      <c r="AD284" s="297"/>
      <c r="AE284" s="297"/>
      <c r="AF284" s="297"/>
      <c r="AG284" s="297"/>
      <c r="AH284" s="295"/>
      <c r="AI284" s="293"/>
      <c r="AJ284" s="293"/>
      <c r="AK284" s="297"/>
      <c r="AL284" s="297"/>
      <c r="AM284" s="297"/>
      <c r="AN284" s="297"/>
      <c r="AO284" s="295"/>
      <c r="AP284" s="302"/>
      <c r="AQ284" s="302"/>
      <c r="AR284" s="302"/>
      <c r="AS284" s="302"/>
      <c r="AT284" s="302"/>
      <c r="AU284" s="302"/>
      <c r="AV284" s="302"/>
      <c r="AW284" s="302"/>
      <c r="AX284" s="352"/>
      <c r="AY284" s="352"/>
      <c r="AZ284" s="352"/>
      <c r="BA284" s="352"/>
      <c r="BB284" s="302"/>
      <c r="BC284" s="302"/>
      <c r="BD284" s="302"/>
      <c r="BE284" s="302"/>
      <c r="BF284" s="302"/>
      <c r="BG284" s="302"/>
      <c r="BH284" s="302"/>
      <c r="BI284" s="302"/>
      <c r="BJ284" s="302"/>
      <c r="BK284" s="302"/>
      <c r="BL284" s="302"/>
      <c r="BM284" s="302"/>
      <c r="BN284" s="302"/>
      <c r="BO284" s="302"/>
      <c r="BP284" s="302"/>
      <c r="BQ284" s="302"/>
      <c r="BR284" s="302"/>
      <c r="BS284" s="302"/>
      <c r="BT284" s="302"/>
      <c r="BU284" s="302"/>
      <c r="BV284" s="302"/>
      <c r="BW284" s="302"/>
      <c r="BX284" s="302"/>
      <c r="BY284" s="302"/>
      <c r="BZ284" s="302"/>
      <c r="CA284" s="302"/>
      <c r="CB284" s="302"/>
      <c r="CC284" s="302"/>
      <c r="CD284" s="302"/>
      <c r="CE284" s="352"/>
      <c r="CS284" s="356">
        <v>100</v>
      </c>
      <c r="CT284" s="302" t="s">
        <v>164</v>
      </c>
      <c r="CU284" s="352">
        <v>718194.97</v>
      </c>
      <c r="CV284" s="352">
        <v>0</v>
      </c>
      <c r="CW284" s="352">
        <v>0</v>
      </c>
      <c r="CX284" s="352">
        <v>0</v>
      </c>
      <c r="CY284" s="352">
        <v>0</v>
      </c>
      <c r="CZ284" s="352">
        <v>0</v>
      </c>
      <c r="DA284" s="352">
        <v>0</v>
      </c>
      <c r="DB284" s="352">
        <v>0</v>
      </c>
      <c r="DC284" s="352">
        <v>718194.97</v>
      </c>
      <c r="DD284" s="352">
        <v>0</v>
      </c>
      <c r="DE284" s="302">
        <v>0</v>
      </c>
      <c r="DI284" s="367"/>
    </row>
    <row r="285" spans="2:113" ht="13">
      <c r="B285" s="294"/>
      <c r="C285" s="295"/>
      <c r="D285" s="295"/>
      <c r="E285" s="294"/>
      <c r="F285" s="294"/>
      <c r="G285" s="295"/>
      <c r="H285" s="295"/>
      <c r="I285" s="295"/>
      <c r="J285" s="295"/>
      <c r="K285" s="295"/>
      <c r="L285" s="295"/>
      <c r="M285" s="302"/>
      <c r="N285" s="296"/>
      <c r="O285" s="296"/>
      <c r="P285" s="297"/>
      <c r="Q285" s="297"/>
      <c r="R285" s="297"/>
      <c r="S285" s="297"/>
      <c r="T285" s="298"/>
      <c r="U285" s="296"/>
      <c r="V285" s="296"/>
      <c r="W285" s="297"/>
      <c r="X285" s="297"/>
      <c r="Y285" s="297"/>
      <c r="Z285" s="297"/>
      <c r="AA285" s="299"/>
      <c r="AB285" s="296"/>
      <c r="AC285" s="296"/>
      <c r="AD285" s="297"/>
      <c r="AE285" s="297"/>
      <c r="AF285" s="297"/>
      <c r="AG285" s="297"/>
      <c r="AH285" s="295"/>
      <c r="AI285" s="293"/>
      <c r="AJ285" s="293"/>
      <c r="AK285" s="297"/>
      <c r="AL285" s="297"/>
      <c r="AM285" s="297"/>
      <c r="AN285" s="297"/>
      <c r="AO285" s="295"/>
      <c r="AP285" s="352"/>
      <c r="AQ285" s="352"/>
      <c r="AR285" s="352"/>
      <c r="AS285" s="352"/>
      <c r="AT285" s="352"/>
      <c r="AU285" s="352"/>
      <c r="AV285" s="352"/>
      <c r="AW285" s="352"/>
      <c r="AX285" s="352"/>
      <c r="AY285" s="352"/>
      <c r="AZ285" s="352"/>
      <c r="BA285" s="352"/>
      <c r="BB285" s="352"/>
      <c r="BC285" s="352"/>
      <c r="BD285" s="352"/>
      <c r="BE285" s="352"/>
      <c r="BF285" s="352"/>
      <c r="BG285" s="352"/>
      <c r="BH285" s="352"/>
      <c r="BI285" s="352"/>
      <c r="BJ285" s="352"/>
      <c r="BK285" s="352"/>
      <c r="BL285" s="352"/>
      <c r="BM285" s="352"/>
      <c r="BN285" s="352"/>
      <c r="BO285" s="352"/>
      <c r="BP285" s="352"/>
      <c r="BQ285" s="352"/>
      <c r="BR285" s="352"/>
      <c r="BS285" s="352"/>
      <c r="BT285" s="352"/>
      <c r="BU285" s="352"/>
      <c r="BV285" s="352"/>
      <c r="BW285" s="352"/>
      <c r="BX285" s="352"/>
      <c r="BY285" s="352"/>
      <c r="BZ285" s="352"/>
      <c r="CA285" s="352"/>
      <c r="CB285" s="352"/>
      <c r="CC285" s="352"/>
      <c r="CD285" s="352"/>
      <c r="CE285" s="352"/>
      <c r="CS285" s="356">
        <v>101</v>
      </c>
      <c r="CT285" s="302" t="s">
        <v>174</v>
      </c>
      <c r="CU285" s="352">
        <v>672554.17</v>
      </c>
      <c r="CV285" s="352">
        <v>122308.48</v>
      </c>
      <c r="CW285" s="352">
        <v>57495.78</v>
      </c>
      <c r="CX285" s="352">
        <v>99827.24</v>
      </c>
      <c r="CY285" s="352">
        <v>0</v>
      </c>
      <c r="CZ285" s="352">
        <v>39880.58</v>
      </c>
      <c r="DA285" s="352">
        <v>95800.61</v>
      </c>
      <c r="DB285" s="352">
        <v>0</v>
      </c>
      <c r="DC285" s="352">
        <v>103966.2</v>
      </c>
      <c r="DD285" s="352">
        <v>153275.28</v>
      </c>
      <c r="DE285" s="302">
        <v>0</v>
      </c>
      <c r="DI285" s="367"/>
    </row>
    <row r="286" spans="2:113" ht="13">
      <c r="B286" s="294"/>
      <c r="C286" s="295"/>
      <c r="D286" s="295"/>
      <c r="E286" s="294"/>
      <c r="F286" s="294"/>
      <c r="G286" s="295"/>
      <c r="H286" s="295"/>
      <c r="I286" s="295"/>
      <c r="J286" s="295"/>
      <c r="K286" s="295"/>
      <c r="L286" s="295"/>
      <c r="M286" s="302"/>
      <c r="N286" s="296"/>
      <c r="O286" s="296"/>
      <c r="P286" s="297"/>
      <c r="Q286" s="297"/>
      <c r="R286" s="297"/>
      <c r="S286" s="297"/>
      <c r="T286" s="298"/>
      <c r="U286" s="296"/>
      <c r="V286" s="296"/>
      <c r="W286" s="297"/>
      <c r="X286" s="297"/>
      <c r="Y286" s="297"/>
      <c r="Z286" s="297"/>
      <c r="AA286" s="299"/>
      <c r="AB286" s="296"/>
      <c r="AC286" s="296"/>
      <c r="AD286" s="297"/>
      <c r="AE286" s="297"/>
      <c r="AF286" s="297"/>
      <c r="AG286" s="297"/>
      <c r="AH286" s="295"/>
      <c r="AI286" s="293"/>
      <c r="AJ286" s="293"/>
      <c r="AK286" s="297"/>
      <c r="AL286" s="297"/>
      <c r="AM286" s="297"/>
      <c r="AN286" s="297"/>
      <c r="AO286" s="295"/>
      <c r="AP286" s="302"/>
      <c r="AQ286" s="302"/>
      <c r="AR286" s="302"/>
      <c r="AS286" s="302"/>
      <c r="AT286" s="302"/>
      <c r="AU286" s="302"/>
      <c r="AV286" s="302"/>
      <c r="AW286" s="302"/>
      <c r="AX286" s="302"/>
      <c r="AY286" s="302"/>
      <c r="AZ286" s="302"/>
      <c r="BA286" s="302"/>
      <c r="BB286" s="352"/>
      <c r="BC286" s="352"/>
      <c r="BD286" s="352"/>
      <c r="BE286" s="352"/>
      <c r="BF286" s="352"/>
      <c r="BG286" s="352"/>
      <c r="BH286" s="352"/>
      <c r="BI286" s="352"/>
      <c r="BJ286" s="352"/>
      <c r="BK286" s="302"/>
      <c r="BL286" s="302"/>
      <c r="BM286" s="302"/>
      <c r="BN286" s="302"/>
      <c r="BO286" s="352"/>
      <c r="BP286" s="352"/>
      <c r="BQ286" s="352"/>
      <c r="BR286" s="352"/>
      <c r="BS286" s="352"/>
      <c r="BT286" s="352"/>
      <c r="BU286" s="352"/>
      <c r="BV286" s="352"/>
      <c r="BW286" s="352"/>
      <c r="BX286" s="352"/>
      <c r="BY286" s="352"/>
      <c r="BZ286" s="352"/>
      <c r="CA286" s="302"/>
      <c r="CB286" s="302"/>
      <c r="CC286" s="302"/>
      <c r="CD286" s="302"/>
      <c r="CE286" s="352"/>
      <c r="CS286" s="356">
        <v>102</v>
      </c>
      <c r="CT286" s="302" t="s">
        <v>196</v>
      </c>
      <c r="CU286" s="352">
        <v>579002.24</v>
      </c>
      <c r="CV286" s="352">
        <v>79660.98</v>
      </c>
      <c r="CW286" s="302">
        <v>0</v>
      </c>
      <c r="CX286" s="352">
        <v>84845.39</v>
      </c>
      <c r="CY286" s="352">
        <v>62919.63</v>
      </c>
      <c r="CZ286" s="352">
        <v>64378.64</v>
      </c>
      <c r="DA286" s="352">
        <v>33739.160000000003</v>
      </c>
      <c r="DB286" s="352">
        <v>85987.86</v>
      </c>
      <c r="DC286" s="352">
        <v>71256.08</v>
      </c>
      <c r="DD286" s="352">
        <v>59776.23</v>
      </c>
      <c r="DE286" s="352">
        <v>36438.269999999997</v>
      </c>
      <c r="DI286" s="367"/>
    </row>
    <row r="287" spans="2:113" ht="13">
      <c r="B287" s="294"/>
      <c r="C287" s="295"/>
      <c r="D287" s="295"/>
      <c r="E287" s="294"/>
      <c r="F287" s="294"/>
      <c r="G287" s="295"/>
      <c r="H287" s="295"/>
      <c r="I287" s="295"/>
      <c r="J287" s="295"/>
      <c r="K287" s="295"/>
      <c r="L287" s="295"/>
      <c r="M287" s="302"/>
      <c r="N287" s="296"/>
      <c r="O287" s="296"/>
      <c r="P287" s="297"/>
      <c r="Q287" s="297"/>
      <c r="R287" s="297"/>
      <c r="S287" s="297"/>
      <c r="T287" s="298"/>
      <c r="U287" s="296"/>
      <c r="V287" s="296"/>
      <c r="W287" s="297"/>
      <c r="X287" s="297"/>
      <c r="Y287" s="297"/>
      <c r="Z287" s="297"/>
      <c r="AA287" s="299"/>
      <c r="AB287" s="296"/>
      <c r="AC287" s="296"/>
      <c r="AD287" s="297"/>
      <c r="AE287" s="297"/>
      <c r="AF287" s="297"/>
      <c r="AG287" s="297"/>
      <c r="AH287" s="295"/>
      <c r="AI287" s="293"/>
      <c r="AJ287" s="293"/>
      <c r="AK287" s="297"/>
      <c r="AL287" s="297"/>
      <c r="AM287" s="297"/>
      <c r="AN287" s="297"/>
      <c r="AO287" s="295"/>
      <c r="AP287" s="352"/>
      <c r="AQ287" s="352"/>
      <c r="AR287" s="352"/>
      <c r="AS287" s="352"/>
      <c r="AT287" s="352"/>
      <c r="AU287" s="352"/>
      <c r="AV287" s="352"/>
      <c r="AW287" s="352"/>
      <c r="AX287" s="352"/>
      <c r="AY287" s="352"/>
      <c r="AZ287" s="352"/>
      <c r="BA287" s="352"/>
      <c r="BB287" s="302"/>
      <c r="BC287" s="302"/>
      <c r="BD287" s="302"/>
      <c r="BE287" s="302"/>
      <c r="BF287" s="302"/>
      <c r="BG287" s="302"/>
      <c r="BH287" s="302"/>
      <c r="BI287" s="302"/>
      <c r="BJ287" s="302"/>
      <c r="BK287" s="302"/>
      <c r="BL287" s="302"/>
      <c r="BM287" s="302"/>
      <c r="BN287" s="302"/>
      <c r="BO287" s="302"/>
      <c r="BP287" s="302"/>
      <c r="BQ287" s="302"/>
      <c r="BR287" s="302"/>
      <c r="BS287" s="302"/>
      <c r="BT287" s="302"/>
      <c r="BU287" s="302"/>
      <c r="BV287" s="352"/>
      <c r="BW287" s="352"/>
      <c r="BX287" s="352"/>
      <c r="BY287" s="352"/>
      <c r="BZ287" s="352"/>
      <c r="CA287" s="352"/>
      <c r="CB287" s="352"/>
      <c r="CC287" s="352"/>
      <c r="CD287" s="352"/>
      <c r="CE287" s="352"/>
      <c r="CS287" s="356">
        <v>103</v>
      </c>
      <c r="CT287" s="302" t="s">
        <v>187</v>
      </c>
      <c r="CU287" s="352">
        <v>570328.27</v>
      </c>
      <c r="CV287" s="352">
        <v>175176.14</v>
      </c>
      <c r="CW287" s="352">
        <v>86235.72</v>
      </c>
      <c r="CX287" s="352">
        <v>22493.72</v>
      </c>
      <c r="CY287" s="352">
        <v>95758.29</v>
      </c>
      <c r="CZ287" s="352">
        <v>0</v>
      </c>
      <c r="DA287" s="352">
        <v>63588.26</v>
      </c>
      <c r="DB287" s="352">
        <v>36329.78</v>
      </c>
      <c r="DC287" s="352">
        <v>11094.1</v>
      </c>
      <c r="DD287" s="352">
        <v>52448.62</v>
      </c>
      <c r="DE287" s="352">
        <v>27203.64</v>
      </c>
      <c r="DI287" s="367"/>
    </row>
    <row r="288" spans="2:113" ht="13">
      <c r="B288" s="294"/>
      <c r="C288" s="295"/>
      <c r="D288" s="295"/>
      <c r="E288" s="294"/>
      <c r="F288" s="294"/>
      <c r="G288" s="295"/>
      <c r="H288" s="295"/>
      <c r="I288" s="295"/>
      <c r="J288" s="295"/>
      <c r="K288" s="295"/>
      <c r="L288" s="295"/>
      <c r="M288" s="302"/>
      <c r="N288" s="296"/>
      <c r="O288" s="296"/>
      <c r="P288" s="297"/>
      <c r="Q288" s="297"/>
      <c r="R288" s="297"/>
      <c r="S288" s="297"/>
      <c r="T288" s="298"/>
      <c r="U288" s="296"/>
      <c r="V288" s="296"/>
      <c r="W288" s="297"/>
      <c r="X288" s="297"/>
      <c r="Y288" s="297"/>
      <c r="Z288" s="297"/>
      <c r="AA288" s="299"/>
      <c r="AB288" s="296"/>
      <c r="AC288" s="296"/>
      <c r="AD288" s="297"/>
      <c r="AE288" s="297"/>
      <c r="AF288" s="297"/>
      <c r="AG288" s="297"/>
      <c r="AH288" s="295"/>
      <c r="AI288" s="293"/>
      <c r="AJ288" s="293"/>
      <c r="AK288" s="297"/>
      <c r="AL288" s="297"/>
      <c r="AM288" s="297"/>
      <c r="AN288" s="297"/>
      <c r="AO288" s="295"/>
      <c r="AP288" s="302"/>
      <c r="AQ288" s="302"/>
      <c r="AR288" s="302"/>
      <c r="AS288" s="302"/>
      <c r="AT288" s="302"/>
      <c r="AU288" s="302"/>
      <c r="AV288" s="302"/>
      <c r="AW288" s="302"/>
      <c r="AX288" s="302"/>
      <c r="AY288" s="302"/>
      <c r="AZ288" s="302"/>
      <c r="BA288" s="302"/>
      <c r="BB288" s="302"/>
      <c r="BC288" s="302"/>
      <c r="BD288" s="302"/>
      <c r="BE288" s="302"/>
      <c r="BF288" s="302"/>
      <c r="BG288" s="302"/>
      <c r="BH288" s="302"/>
      <c r="BI288" s="302"/>
      <c r="BJ288" s="302"/>
      <c r="BK288" s="302"/>
      <c r="BL288" s="302"/>
      <c r="BM288" s="302"/>
      <c r="BN288" s="302"/>
      <c r="BO288" s="302"/>
      <c r="BP288" s="302"/>
      <c r="BQ288" s="302"/>
      <c r="BR288" s="302"/>
      <c r="BS288" s="302"/>
      <c r="BT288" s="302"/>
      <c r="BU288" s="302"/>
      <c r="BV288" s="302"/>
      <c r="BW288" s="302"/>
      <c r="BX288" s="302"/>
      <c r="BY288" s="302"/>
      <c r="BZ288" s="302"/>
      <c r="CA288" s="352"/>
      <c r="CB288" s="352"/>
      <c r="CC288" s="352"/>
      <c r="CD288" s="352"/>
      <c r="CE288" s="352"/>
      <c r="CS288" s="356">
        <v>104</v>
      </c>
      <c r="CT288" s="302" t="s">
        <v>159</v>
      </c>
      <c r="CU288" s="352">
        <v>520772.78</v>
      </c>
      <c r="CV288" s="352">
        <v>0</v>
      </c>
      <c r="CW288" s="352">
        <v>138537.84</v>
      </c>
      <c r="CX288" s="352">
        <v>0</v>
      </c>
      <c r="CY288" s="352">
        <v>336132.43</v>
      </c>
      <c r="CZ288" s="352">
        <v>0</v>
      </c>
      <c r="DA288" s="352">
        <v>0</v>
      </c>
      <c r="DB288" s="352">
        <v>0</v>
      </c>
      <c r="DC288" s="352">
        <v>46102.51</v>
      </c>
      <c r="DD288" s="302">
        <v>0</v>
      </c>
      <c r="DE288" s="302">
        <v>0</v>
      </c>
      <c r="DI288" s="367"/>
    </row>
    <row r="289" spans="2:113" ht="13">
      <c r="B289" s="294"/>
      <c r="C289" s="295"/>
      <c r="D289" s="295"/>
      <c r="E289" s="294"/>
      <c r="F289" s="294"/>
      <c r="G289" s="295"/>
      <c r="H289" s="295"/>
      <c r="I289" s="295"/>
      <c r="J289" s="295"/>
      <c r="K289" s="295"/>
      <c r="L289" s="295"/>
      <c r="M289" s="302"/>
      <c r="N289" s="296"/>
      <c r="O289" s="296"/>
      <c r="P289" s="297"/>
      <c r="Q289" s="297"/>
      <c r="R289" s="297"/>
      <c r="S289" s="297"/>
      <c r="T289" s="298"/>
      <c r="U289" s="296"/>
      <c r="V289" s="296"/>
      <c r="W289" s="297"/>
      <c r="X289" s="297"/>
      <c r="Y289" s="297"/>
      <c r="Z289" s="297"/>
      <c r="AA289" s="299"/>
      <c r="AB289" s="296"/>
      <c r="AC289" s="296"/>
      <c r="AD289" s="297"/>
      <c r="AE289" s="297"/>
      <c r="AF289" s="297"/>
      <c r="AG289" s="297"/>
      <c r="AH289" s="295"/>
      <c r="AI289" s="293"/>
      <c r="AJ289" s="293"/>
      <c r="AK289" s="297"/>
      <c r="AL289" s="297"/>
      <c r="AM289" s="297"/>
      <c r="AN289" s="297"/>
      <c r="AO289" s="295"/>
      <c r="AP289" s="302"/>
      <c r="AQ289" s="302"/>
      <c r="AR289" s="302"/>
      <c r="AS289" s="302"/>
      <c r="AT289" s="352"/>
      <c r="AU289" s="352"/>
      <c r="AV289" s="352"/>
      <c r="AW289" s="352"/>
      <c r="AX289" s="302"/>
      <c r="AY289" s="302"/>
      <c r="AZ289" s="302"/>
      <c r="BA289" s="302"/>
      <c r="BB289" s="302"/>
      <c r="BC289" s="302"/>
      <c r="BD289" s="302"/>
      <c r="BE289" s="302"/>
      <c r="BF289" s="302"/>
      <c r="BG289" s="302"/>
      <c r="BH289" s="302"/>
      <c r="BI289" s="302"/>
      <c r="BJ289" s="302"/>
      <c r="BK289" s="352"/>
      <c r="BL289" s="352"/>
      <c r="BM289" s="352"/>
      <c r="BN289" s="352"/>
      <c r="BO289" s="302"/>
      <c r="BP289" s="302"/>
      <c r="BQ289" s="302"/>
      <c r="BR289" s="302"/>
      <c r="BS289" s="302"/>
      <c r="BT289" s="302"/>
      <c r="BU289" s="302"/>
      <c r="BV289" s="352"/>
      <c r="BW289" s="302"/>
      <c r="BX289" s="302"/>
      <c r="BY289" s="302"/>
      <c r="BZ289" s="302"/>
      <c r="CA289" s="302"/>
      <c r="CB289" s="302"/>
      <c r="CC289" s="302"/>
      <c r="CD289" s="302"/>
      <c r="CE289" s="352"/>
      <c r="CS289" s="356">
        <v>105</v>
      </c>
      <c r="CT289" s="302" t="s">
        <v>183</v>
      </c>
      <c r="CU289" s="352">
        <v>518949.83</v>
      </c>
      <c r="CV289" s="352">
        <v>93523.41</v>
      </c>
      <c r="CW289" s="352">
        <v>106271.51</v>
      </c>
      <c r="CX289" s="352">
        <v>87791.51</v>
      </c>
      <c r="CY289" s="352">
        <v>70856.62</v>
      </c>
      <c r="CZ289" s="352">
        <v>44478.46</v>
      </c>
      <c r="DA289" s="352">
        <v>58691.199999999997</v>
      </c>
      <c r="DB289" s="302">
        <v>0</v>
      </c>
      <c r="DC289" s="352">
        <v>0</v>
      </c>
      <c r="DD289" s="352">
        <v>57337.120000000003</v>
      </c>
      <c r="DE289" s="302">
        <v>0</v>
      </c>
      <c r="DI289" s="367"/>
    </row>
    <row r="290" spans="2:113" ht="13">
      <c r="B290" s="294"/>
      <c r="C290" s="295"/>
      <c r="D290" s="295"/>
      <c r="E290" s="294"/>
      <c r="F290" s="294"/>
      <c r="G290" s="295"/>
      <c r="H290" s="295"/>
      <c r="I290" s="295"/>
      <c r="J290" s="295"/>
      <c r="K290" s="295"/>
      <c r="L290" s="295"/>
      <c r="M290" s="302"/>
      <c r="N290" s="296"/>
      <c r="O290" s="296"/>
      <c r="P290" s="297"/>
      <c r="Q290" s="297"/>
      <c r="R290" s="297"/>
      <c r="S290" s="297"/>
      <c r="T290" s="298"/>
      <c r="U290" s="296"/>
      <c r="V290" s="296"/>
      <c r="W290" s="297"/>
      <c r="X290" s="297"/>
      <c r="Y290" s="297"/>
      <c r="Z290" s="297"/>
      <c r="AA290" s="299"/>
      <c r="AB290" s="296"/>
      <c r="AC290" s="296"/>
      <c r="AD290" s="297"/>
      <c r="AE290" s="297"/>
      <c r="AF290" s="297"/>
      <c r="AG290" s="297"/>
      <c r="AH290" s="295"/>
      <c r="AI290" s="293"/>
      <c r="AJ290" s="293"/>
      <c r="AK290" s="297"/>
      <c r="AL290" s="297"/>
      <c r="AM290" s="297"/>
      <c r="AN290" s="297"/>
      <c r="AO290" s="295"/>
      <c r="AP290" s="302"/>
      <c r="AQ290" s="302"/>
      <c r="AR290" s="302"/>
      <c r="AS290" s="302"/>
      <c r="AT290" s="352"/>
      <c r="AU290" s="352"/>
      <c r="AV290" s="352"/>
      <c r="AW290" s="352"/>
      <c r="AX290" s="302"/>
      <c r="AY290" s="302"/>
      <c r="AZ290" s="302"/>
      <c r="BA290" s="302"/>
      <c r="BB290" s="302"/>
      <c r="BC290" s="302"/>
      <c r="BD290" s="302"/>
      <c r="BE290" s="302"/>
      <c r="BF290" s="302"/>
      <c r="BG290" s="302"/>
      <c r="BH290" s="302"/>
      <c r="BI290" s="302"/>
      <c r="BJ290" s="302"/>
      <c r="BK290" s="302"/>
      <c r="BL290" s="302"/>
      <c r="BM290" s="302"/>
      <c r="BN290" s="302"/>
      <c r="BO290" s="302"/>
      <c r="BP290" s="302"/>
      <c r="BQ290" s="302"/>
      <c r="BR290" s="302"/>
      <c r="BS290" s="302"/>
      <c r="BT290" s="302"/>
      <c r="BU290" s="302"/>
      <c r="BV290" s="302"/>
      <c r="BW290" s="302"/>
      <c r="BX290" s="302"/>
      <c r="BY290" s="302"/>
      <c r="BZ290" s="302"/>
      <c r="CA290" s="302"/>
      <c r="CB290" s="302"/>
      <c r="CC290" s="302"/>
      <c r="CD290" s="302"/>
      <c r="CE290" s="352"/>
      <c r="CS290" s="356">
        <v>106</v>
      </c>
      <c r="CT290" s="302" t="s">
        <v>136</v>
      </c>
      <c r="CU290" s="352">
        <v>516776.09</v>
      </c>
      <c r="CV290" s="302">
        <v>0</v>
      </c>
      <c r="CW290" s="352">
        <v>0</v>
      </c>
      <c r="CX290" s="352">
        <v>0</v>
      </c>
      <c r="CY290" s="352">
        <v>0</v>
      </c>
      <c r="CZ290" s="352">
        <v>0</v>
      </c>
      <c r="DA290" s="302">
        <v>0</v>
      </c>
      <c r="DB290" s="352">
        <v>0</v>
      </c>
      <c r="DC290" s="352">
        <v>235303</v>
      </c>
      <c r="DD290" s="352">
        <v>39534.11</v>
      </c>
      <c r="DE290" s="352">
        <v>241938.98</v>
      </c>
      <c r="DI290" s="367"/>
    </row>
    <row r="291" spans="2:113" ht="13">
      <c r="B291" s="294"/>
      <c r="C291" s="295"/>
      <c r="D291" s="295"/>
      <c r="E291" s="294"/>
      <c r="F291" s="294"/>
      <c r="G291" s="295"/>
      <c r="H291" s="295"/>
      <c r="I291" s="295"/>
      <c r="J291" s="295"/>
      <c r="K291" s="295"/>
      <c r="L291" s="295"/>
      <c r="M291" s="302"/>
      <c r="N291" s="296"/>
      <c r="O291" s="296"/>
      <c r="P291" s="297"/>
      <c r="Q291" s="297"/>
      <c r="R291" s="297"/>
      <c r="S291" s="297"/>
      <c r="T291" s="298"/>
      <c r="U291" s="296"/>
      <c r="V291" s="296"/>
      <c r="W291" s="297"/>
      <c r="X291" s="297"/>
      <c r="Y291" s="297"/>
      <c r="Z291" s="297"/>
      <c r="AA291" s="299"/>
      <c r="AB291" s="296"/>
      <c r="AC291" s="296"/>
      <c r="AD291" s="297"/>
      <c r="AE291" s="297"/>
      <c r="AF291" s="297"/>
      <c r="AG291" s="297"/>
      <c r="AH291" s="295"/>
      <c r="AI291" s="293"/>
      <c r="AJ291" s="293"/>
      <c r="AK291" s="297"/>
      <c r="AL291" s="297"/>
      <c r="AM291" s="297"/>
      <c r="AN291" s="297"/>
      <c r="AO291" s="295"/>
      <c r="AP291" s="352"/>
      <c r="AQ291" s="352"/>
      <c r="AR291" s="352"/>
      <c r="AS291" s="352"/>
      <c r="AT291" s="302"/>
      <c r="AU291" s="302"/>
      <c r="AV291" s="302"/>
      <c r="AW291" s="302"/>
      <c r="AX291" s="302"/>
      <c r="AY291" s="302"/>
      <c r="AZ291" s="302"/>
      <c r="BA291" s="302"/>
      <c r="BB291" s="352"/>
      <c r="BC291" s="352"/>
      <c r="BD291" s="352"/>
      <c r="BE291" s="352"/>
      <c r="BF291" s="352"/>
      <c r="BG291" s="352"/>
      <c r="BH291" s="352"/>
      <c r="BI291" s="352"/>
      <c r="BJ291" s="352"/>
      <c r="BK291" s="302"/>
      <c r="BL291" s="302"/>
      <c r="BM291" s="302"/>
      <c r="BN291" s="302"/>
      <c r="BO291" s="302"/>
      <c r="BP291" s="302"/>
      <c r="BQ291" s="302"/>
      <c r="BR291" s="302"/>
      <c r="BS291" s="302"/>
      <c r="BT291" s="302"/>
      <c r="BU291" s="302"/>
      <c r="BV291" s="302"/>
      <c r="BW291" s="302"/>
      <c r="BX291" s="302"/>
      <c r="BY291" s="302"/>
      <c r="BZ291" s="302"/>
      <c r="CA291" s="302"/>
      <c r="CB291" s="302"/>
      <c r="CC291" s="302"/>
      <c r="CD291" s="302"/>
      <c r="CE291" s="352"/>
      <c r="CS291" s="356">
        <v>107</v>
      </c>
      <c r="CT291" s="302" t="s">
        <v>235</v>
      </c>
      <c r="CU291" s="352">
        <v>487410.29</v>
      </c>
      <c r="CV291" s="352">
        <v>0</v>
      </c>
      <c r="CW291" s="352">
        <v>0</v>
      </c>
      <c r="CX291" s="352">
        <v>0</v>
      </c>
      <c r="CY291" s="352">
        <v>0</v>
      </c>
      <c r="CZ291" s="352">
        <v>39839.21</v>
      </c>
      <c r="DA291" s="352">
        <v>0</v>
      </c>
      <c r="DB291" s="352">
        <v>39839.21</v>
      </c>
      <c r="DC291" s="352">
        <v>206186.26</v>
      </c>
      <c r="DD291" s="302">
        <v>0</v>
      </c>
      <c r="DE291" s="352">
        <v>201545.61</v>
      </c>
      <c r="DI291" s="367"/>
    </row>
    <row r="292" spans="2:113" ht="13">
      <c r="B292" s="294"/>
      <c r="C292" s="295"/>
      <c r="D292" s="295"/>
      <c r="E292" s="294"/>
      <c r="F292" s="294"/>
      <c r="G292" s="295"/>
      <c r="H292" s="295"/>
      <c r="I292" s="295"/>
      <c r="J292" s="295"/>
      <c r="K292" s="295"/>
      <c r="L292" s="295"/>
      <c r="M292" s="302"/>
      <c r="N292" s="296"/>
      <c r="O292" s="296"/>
      <c r="P292" s="297"/>
      <c r="Q292" s="297"/>
      <c r="R292" s="297"/>
      <c r="S292" s="297"/>
      <c r="T292" s="298"/>
      <c r="U292" s="296"/>
      <c r="V292" s="296"/>
      <c r="W292" s="297"/>
      <c r="X292" s="297"/>
      <c r="Y292" s="297"/>
      <c r="Z292" s="297"/>
      <c r="AA292" s="299"/>
      <c r="AB292" s="296"/>
      <c r="AC292" s="296"/>
      <c r="AD292" s="297"/>
      <c r="AE292" s="297"/>
      <c r="AF292" s="297"/>
      <c r="AG292" s="297"/>
      <c r="AH292" s="295"/>
      <c r="AI292" s="293"/>
      <c r="AJ292" s="293"/>
      <c r="AK292" s="297"/>
      <c r="AL292" s="297"/>
      <c r="AM292" s="297"/>
      <c r="AN292" s="297"/>
      <c r="AO292" s="295"/>
      <c r="AP292" s="352"/>
      <c r="AQ292" s="352"/>
      <c r="AR292" s="352"/>
      <c r="AS292" s="352"/>
      <c r="AT292" s="352"/>
      <c r="AU292" s="352"/>
      <c r="AV292" s="352"/>
      <c r="AW292" s="352"/>
      <c r="AX292" s="302"/>
      <c r="AY292" s="302"/>
      <c r="AZ292" s="302"/>
      <c r="BA292" s="302"/>
      <c r="BB292" s="352"/>
      <c r="BC292" s="352"/>
      <c r="BD292" s="352"/>
      <c r="BE292" s="352"/>
      <c r="BF292" s="352"/>
      <c r="BG292" s="352"/>
      <c r="BH292" s="352"/>
      <c r="BI292" s="352"/>
      <c r="BJ292" s="352"/>
      <c r="BK292" s="302"/>
      <c r="BL292" s="302"/>
      <c r="BM292" s="302"/>
      <c r="BN292" s="302"/>
      <c r="BO292" s="352"/>
      <c r="BP292" s="352"/>
      <c r="BQ292" s="352"/>
      <c r="BR292" s="352"/>
      <c r="BS292" s="352"/>
      <c r="BT292" s="352"/>
      <c r="BU292" s="352"/>
      <c r="BV292" s="302"/>
      <c r="BW292" s="352"/>
      <c r="BX292" s="352"/>
      <c r="BY292" s="352"/>
      <c r="BZ292" s="352"/>
      <c r="CA292" s="302"/>
      <c r="CB292" s="302"/>
      <c r="CC292" s="302"/>
      <c r="CD292" s="302"/>
      <c r="CE292" s="352"/>
      <c r="CS292" s="356">
        <v>108</v>
      </c>
      <c r="CT292" s="302" t="s">
        <v>156</v>
      </c>
      <c r="CU292" s="352">
        <v>487273.75</v>
      </c>
      <c r="CV292" s="352">
        <v>0</v>
      </c>
      <c r="CW292" s="352">
        <v>0</v>
      </c>
      <c r="CX292" s="352">
        <v>0</v>
      </c>
      <c r="CY292" s="352">
        <v>0</v>
      </c>
      <c r="CZ292" s="352">
        <v>0</v>
      </c>
      <c r="DA292" s="352">
        <v>0</v>
      </c>
      <c r="DB292" s="352">
        <v>0</v>
      </c>
      <c r="DC292" s="352">
        <v>0</v>
      </c>
      <c r="DD292" s="302">
        <v>0</v>
      </c>
      <c r="DE292" s="352">
        <v>487273.75</v>
      </c>
      <c r="DI292" s="367"/>
    </row>
    <row r="293" spans="2:113" ht="13">
      <c r="B293" s="294"/>
      <c r="C293" s="295"/>
      <c r="D293" s="295"/>
      <c r="E293" s="294"/>
      <c r="F293" s="294"/>
      <c r="G293" s="295"/>
      <c r="H293" s="295"/>
      <c r="I293" s="295"/>
      <c r="J293" s="295"/>
      <c r="K293" s="295"/>
      <c r="L293" s="295"/>
      <c r="M293" s="302"/>
      <c r="N293" s="296"/>
      <c r="O293" s="296"/>
      <c r="P293" s="297"/>
      <c r="Q293" s="297"/>
      <c r="R293" s="297"/>
      <c r="S293" s="297"/>
      <c r="T293" s="298"/>
      <c r="U293" s="296"/>
      <c r="V293" s="296"/>
      <c r="W293" s="297"/>
      <c r="X293" s="297"/>
      <c r="Y293" s="297"/>
      <c r="Z293" s="297"/>
      <c r="AA293" s="299"/>
      <c r="AB293" s="296"/>
      <c r="AC293" s="296"/>
      <c r="AD293" s="297"/>
      <c r="AE293" s="297"/>
      <c r="AF293" s="297"/>
      <c r="AG293" s="297"/>
      <c r="AH293" s="295"/>
      <c r="AI293" s="293"/>
      <c r="AJ293" s="293"/>
      <c r="AK293" s="297"/>
      <c r="AL293" s="297"/>
      <c r="AM293" s="297"/>
      <c r="AN293" s="297"/>
      <c r="AO293" s="295"/>
      <c r="AP293" s="302"/>
      <c r="AQ293" s="302"/>
      <c r="AR293" s="302"/>
      <c r="AS293" s="302"/>
      <c r="AT293" s="302"/>
      <c r="AU293" s="302"/>
      <c r="AV293" s="302"/>
      <c r="AW293" s="302"/>
      <c r="AX293" s="302"/>
      <c r="AY293" s="302"/>
      <c r="AZ293" s="302"/>
      <c r="BA293" s="302"/>
      <c r="BB293" s="302"/>
      <c r="BC293" s="302"/>
      <c r="BD293" s="302"/>
      <c r="BE293" s="302"/>
      <c r="BF293" s="302"/>
      <c r="BG293" s="302"/>
      <c r="BH293" s="302"/>
      <c r="BI293" s="302"/>
      <c r="BJ293" s="302"/>
      <c r="BK293" s="302"/>
      <c r="BL293" s="302"/>
      <c r="BM293" s="302"/>
      <c r="BN293" s="302"/>
      <c r="BO293" s="352"/>
      <c r="BP293" s="352"/>
      <c r="BQ293" s="352"/>
      <c r="BR293" s="352"/>
      <c r="BS293" s="352"/>
      <c r="BT293" s="352"/>
      <c r="BU293" s="352"/>
      <c r="BV293" s="302"/>
      <c r="BW293" s="302"/>
      <c r="BX293" s="302"/>
      <c r="BY293" s="302"/>
      <c r="BZ293" s="302"/>
      <c r="CA293" s="302"/>
      <c r="CB293" s="302"/>
      <c r="CC293" s="302"/>
      <c r="CD293" s="302"/>
      <c r="CE293" s="352"/>
      <c r="CS293" s="356">
        <v>109</v>
      </c>
      <c r="CT293" s="302" t="s">
        <v>152</v>
      </c>
      <c r="CU293" s="352">
        <v>479830.5</v>
      </c>
      <c r="CV293" s="302">
        <v>0</v>
      </c>
      <c r="CW293" s="352">
        <v>0</v>
      </c>
      <c r="CX293" s="302">
        <v>0</v>
      </c>
      <c r="CY293" s="352">
        <v>170055.8</v>
      </c>
      <c r="CZ293" s="352">
        <v>49206.239999999998</v>
      </c>
      <c r="DA293" s="352">
        <v>0</v>
      </c>
      <c r="DB293" s="352">
        <v>0</v>
      </c>
      <c r="DC293" s="352">
        <v>260568.46</v>
      </c>
      <c r="DD293" s="352">
        <v>0</v>
      </c>
      <c r="DE293" s="302">
        <v>0</v>
      </c>
      <c r="DI293" s="367"/>
    </row>
    <row r="294" spans="2:113" ht="13">
      <c r="B294" s="294"/>
      <c r="C294" s="295"/>
      <c r="D294" s="295"/>
      <c r="E294" s="294"/>
      <c r="F294" s="294"/>
      <c r="G294" s="295"/>
      <c r="H294" s="295"/>
      <c r="I294" s="295"/>
      <c r="J294" s="295"/>
      <c r="K294" s="295"/>
      <c r="L294" s="295"/>
      <c r="M294" s="302"/>
      <c r="N294" s="296"/>
      <c r="O294" s="296"/>
      <c r="P294" s="297"/>
      <c r="Q294" s="297"/>
      <c r="R294" s="297"/>
      <c r="S294" s="297"/>
      <c r="T294" s="298"/>
      <c r="U294" s="296"/>
      <c r="V294" s="296"/>
      <c r="W294" s="297"/>
      <c r="X294" s="297"/>
      <c r="Y294" s="297"/>
      <c r="Z294" s="297"/>
      <c r="AA294" s="299"/>
      <c r="AB294" s="296"/>
      <c r="AC294" s="296"/>
      <c r="AD294" s="297"/>
      <c r="AE294" s="297"/>
      <c r="AF294" s="297"/>
      <c r="AG294" s="297"/>
      <c r="AH294" s="295"/>
      <c r="AI294" s="293"/>
      <c r="AJ294" s="293"/>
      <c r="AK294" s="297"/>
      <c r="AL294" s="297"/>
      <c r="AM294" s="297"/>
      <c r="AN294" s="297"/>
      <c r="AO294" s="295"/>
      <c r="AP294" s="302"/>
      <c r="AQ294" s="302"/>
      <c r="AR294" s="302"/>
      <c r="AS294" s="302"/>
      <c r="AT294" s="302"/>
      <c r="AU294" s="302"/>
      <c r="AV294" s="302"/>
      <c r="AW294" s="302"/>
      <c r="AX294" s="352"/>
      <c r="AY294" s="352"/>
      <c r="AZ294" s="352"/>
      <c r="BA294" s="35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52"/>
      <c r="CS294" s="356">
        <v>110</v>
      </c>
      <c r="CT294" s="302" t="s">
        <v>119</v>
      </c>
      <c r="CU294" s="352">
        <v>448809.15</v>
      </c>
      <c r="CV294" s="352">
        <v>116055.22</v>
      </c>
      <c r="CW294" s="352">
        <v>175422.9</v>
      </c>
      <c r="CX294" s="352">
        <v>20288.16</v>
      </c>
      <c r="CY294" s="352">
        <v>42666.83</v>
      </c>
      <c r="CZ294" s="302">
        <v>0</v>
      </c>
      <c r="DA294" s="352">
        <v>0</v>
      </c>
      <c r="DB294" s="352">
        <v>42442.21</v>
      </c>
      <c r="DC294" s="352">
        <v>51933.83</v>
      </c>
      <c r="DD294" s="302">
        <v>0</v>
      </c>
      <c r="DE294" s="302">
        <v>0</v>
      </c>
      <c r="DI294" s="367"/>
    </row>
    <row r="295" spans="2:113" ht="13">
      <c r="B295" s="294"/>
      <c r="C295" s="295"/>
      <c r="D295" s="295"/>
      <c r="E295" s="294"/>
      <c r="F295" s="294"/>
      <c r="G295" s="295"/>
      <c r="H295" s="295"/>
      <c r="I295" s="295"/>
      <c r="J295" s="295"/>
      <c r="K295" s="295"/>
      <c r="L295" s="295"/>
      <c r="M295" s="302"/>
      <c r="N295" s="296"/>
      <c r="O295" s="296"/>
      <c r="P295" s="297"/>
      <c r="Q295" s="297"/>
      <c r="R295" s="297"/>
      <c r="S295" s="297"/>
      <c r="T295" s="298"/>
      <c r="U295" s="296"/>
      <c r="V295" s="296"/>
      <c r="W295" s="297"/>
      <c r="X295" s="297"/>
      <c r="Y295" s="297"/>
      <c r="Z295" s="297"/>
      <c r="AA295" s="299"/>
      <c r="AB295" s="296"/>
      <c r="AC295" s="296"/>
      <c r="AD295" s="297"/>
      <c r="AE295" s="297"/>
      <c r="AF295" s="297"/>
      <c r="AG295" s="297"/>
      <c r="AH295" s="295"/>
      <c r="AI295" s="293"/>
      <c r="AJ295" s="293"/>
      <c r="AK295" s="297"/>
      <c r="AL295" s="297"/>
      <c r="AM295" s="297"/>
      <c r="AN295" s="297"/>
      <c r="AO295" s="295"/>
      <c r="AP295" s="302"/>
      <c r="AQ295" s="302"/>
      <c r="AR295" s="302"/>
      <c r="AS295" s="302"/>
      <c r="AT295" s="302"/>
      <c r="AU295" s="302"/>
      <c r="AV295" s="302"/>
      <c r="AW295" s="302"/>
      <c r="AX295" s="302"/>
      <c r="AY295" s="302"/>
      <c r="AZ295" s="302"/>
      <c r="BA295" s="302"/>
      <c r="BB295" s="302"/>
      <c r="BC295" s="302"/>
      <c r="BD295" s="302"/>
      <c r="BE295" s="302"/>
      <c r="BF295" s="302"/>
      <c r="BG295" s="302"/>
      <c r="BH295" s="302"/>
      <c r="BI295" s="302"/>
      <c r="BJ295" s="302"/>
      <c r="BK295" s="302"/>
      <c r="BL295" s="302"/>
      <c r="BM295" s="302"/>
      <c r="BN295" s="302"/>
      <c r="BO295" s="302"/>
      <c r="BP295" s="302"/>
      <c r="BQ295" s="302"/>
      <c r="BR295" s="302"/>
      <c r="BS295" s="302"/>
      <c r="BT295" s="302"/>
      <c r="BU295" s="302"/>
      <c r="BV295" s="302"/>
      <c r="BW295" s="302"/>
      <c r="BX295" s="302"/>
      <c r="BY295" s="302"/>
      <c r="BZ295" s="302"/>
      <c r="CA295" s="302"/>
      <c r="CB295" s="302"/>
      <c r="CC295" s="302"/>
      <c r="CD295" s="302"/>
      <c r="CE295" s="352"/>
      <c r="CS295" s="356">
        <v>111</v>
      </c>
      <c r="CT295" s="302" t="s">
        <v>176</v>
      </c>
      <c r="CU295" s="352">
        <v>329108.56</v>
      </c>
      <c r="CV295" s="352">
        <v>0</v>
      </c>
      <c r="CW295" s="352">
        <v>0</v>
      </c>
      <c r="CX295" s="352">
        <v>0</v>
      </c>
      <c r="CY295" s="352">
        <v>138842.70000000001</v>
      </c>
      <c r="CZ295" s="352">
        <v>0</v>
      </c>
      <c r="DA295" s="352">
        <v>55624.4</v>
      </c>
      <c r="DB295" s="302">
        <v>0</v>
      </c>
      <c r="DC295" s="352">
        <v>74036.7</v>
      </c>
      <c r="DD295" s="352">
        <v>60604.76</v>
      </c>
      <c r="DE295" s="302">
        <v>0</v>
      </c>
      <c r="DI295" s="367"/>
    </row>
    <row r="296" spans="2:113" ht="13">
      <c r="B296" s="294"/>
      <c r="C296" s="295"/>
      <c r="D296" s="295"/>
      <c r="E296" s="294"/>
      <c r="F296" s="294"/>
      <c r="G296" s="295"/>
      <c r="H296" s="295"/>
      <c r="I296" s="295"/>
      <c r="J296" s="295"/>
      <c r="K296" s="295"/>
      <c r="L296" s="295"/>
      <c r="M296" s="302"/>
      <c r="N296" s="296"/>
      <c r="O296" s="296"/>
      <c r="P296" s="297"/>
      <c r="Q296" s="297"/>
      <c r="R296" s="297"/>
      <c r="S296" s="297"/>
      <c r="T296" s="298"/>
      <c r="U296" s="296"/>
      <c r="V296" s="296"/>
      <c r="W296" s="297"/>
      <c r="X296" s="297"/>
      <c r="Y296" s="297"/>
      <c r="Z296" s="297"/>
      <c r="AA296" s="299"/>
      <c r="AB296" s="296"/>
      <c r="AC296" s="296"/>
      <c r="AD296" s="297"/>
      <c r="AE296" s="297"/>
      <c r="AF296" s="297"/>
      <c r="AG296" s="297"/>
      <c r="AH296" s="295"/>
      <c r="AI296" s="293"/>
      <c r="AJ296" s="293"/>
      <c r="AK296" s="297"/>
      <c r="AL296" s="297"/>
      <c r="AM296" s="297"/>
      <c r="AN296" s="297"/>
      <c r="AO296" s="295"/>
      <c r="AP296" s="352"/>
      <c r="AQ296" s="352"/>
      <c r="AR296" s="352"/>
      <c r="AS296" s="352"/>
      <c r="AT296" s="302"/>
      <c r="AU296" s="302"/>
      <c r="AV296" s="302"/>
      <c r="AW296" s="302"/>
      <c r="AX296" s="302"/>
      <c r="AY296" s="302"/>
      <c r="AZ296" s="302"/>
      <c r="BA296" s="302"/>
      <c r="BB296" s="302"/>
      <c r="BC296" s="302"/>
      <c r="BD296" s="302"/>
      <c r="BE296" s="302"/>
      <c r="BF296" s="302"/>
      <c r="BG296" s="302"/>
      <c r="BH296" s="302"/>
      <c r="BI296" s="302"/>
      <c r="BJ296" s="302"/>
      <c r="BK296" s="302"/>
      <c r="BL296" s="302"/>
      <c r="BM296" s="302"/>
      <c r="BN296" s="302"/>
      <c r="BO296" s="302"/>
      <c r="BP296" s="302"/>
      <c r="BQ296" s="302"/>
      <c r="BR296" s="302"/>
      <c r="BS296" s="302"/>
      <c r="BT296" s="302"/>
      <c r="BU296" s="302"/>
      <c r="BV296" s="352"/>
      <c r="BW296" s="302"/>
      <c r="BX296" s="302"/>
      <c r="BY296" s="302"/>
      <c r="BZ296" s="302"/>
      <c r="CA296" s="302"/>
      <c r="CB296" s="302"/>
      <c r="CC296" s="302"/>
      <c r="CD296" s="302"/>
      <c r="CE296" s="352"/>
      <c r="CS296" s="356">
        <v>112</v>
      </c>
      <c r="CT296" s="302" t="s">
        <v>155</v>
      </c>
      <c r="CU296" s="352">
        <v>306140.2</v>
      </c>
      <c r="CV296" s="302">
        <v>0</v>
      </c>
      <c r="CW296" s="302">
        <v>0</v>
      </c>
      <c r="CX296" s="352">
        <v>0</v>
      </c>
      <c r="CY296" s="352">
        <v>0</v>
      </c>
      <c r="CZ296" s="352">
        <v>0</v>
      </c>
      <c r="DA296" s="352">
        <v>0</v>
      </c>
      <c r="DB296" s="352">
        <v>306140.2</v>
      </c>
      <c r="DC296" s="352">
        <v>0</v>
      </c>
      <c r="DD296" s="302">
        <v>0</v>
      </c>
      <c r="DE296" s="302">
        <v>0</v>
      </c>
      <c r="DI296" s="367"/>
    </row>
    <row r="297" spans="2:113" ht="13">
      <c r="B297" s="294"/>
      <c r="C297" s="295"/>
      <c r="D297" s="295"/>
      <c r="E297" s="294"/>
      <c r="F297" s="294"/>
      <c r="G297" s="295"/>
      <c r="H297" s="295"/>
      <c r="I297" s="295"/>
      <c r="J297" s="295"/>
      <c r="K297" s="295"/>
      <c r="L297" s="295"/>
      <c r="M297" s="302"/>
      <c r="N297" s="296"/>
      <c r="O297" s="296"/>
      <c r="P297" s="297"/>
      <c r="Q297" s="297"/>
      <c r="R297" s="297"/>
      <c r="S297" s="297"/>
      <c r="T297" s="298"/>
      <c r="U297" s="296"/>
      <c r="V297" s="296"/>
      <c r="W297" s="297"/>
      <c r="X297" s="297"/>
      <c r="Y297" s="297"/>
      <c r="Z297" s="297"/>
      <c r="AA297" s="299"/>
      <c r="AB297" s="296"/>
      <c r="AC297" s="296"/>
      <c r="AD297" s="297"/>
      <c r="AE297" s="297"/>
      <c r="AF297" s="297"/>
      <c r="AG297" s="297"/>
      <c r="AH297" s="295"/>
      <c r="AI297" s="293"/>
      <c r="AJ297" s="293"/>
      <c r="AK297" s="297"/>
      <c r="AL297" s="297"/>
      <c r="AM297" s="297"/>
      <c r="AN297" s="297"/>
      <c r="AO297" s="295"/>
      <c r="AP297" s="302"/>
      <c r="AQ297" s="302"/>
      <c r="AR297" s="302"/>
      <c r="AS297" s="302"/>
      <c r="AT297" s="302"/>
      <c r="AU297" s="302"/>
      <c r="AV297" s="302"/>
      <c r="AW297" s="302"/>
      <c r="AX297" s="302"/>
      <c r="AY297" s="302"/>
      <c r="AZ297" s="302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K297" s="302"/>
      <c r="BL297" s="302"/>
      <c r="BM297" s="302"/>
      <c r="BN297" s="302"/>
      <c r="BO297" s="302"/>
      <c r="BP297" s="302"/>
      <c r="BQ297" s="302"/>
      <c r="BR297" s="302"/>
      <c r="BS297" s="302"/>
      <c r="BT297" s="302"/>
      <c r="BU297" s="302"/>
      <c r="BV297" s="302"/>
      <c r="BW297" s="352"/>
      <c r="BX297" s="352"/>
      <c r="BY297" s="352"/>
      <c r="BZ297" s="352"/>
      <c r="CA297" s="302"/>
      <c r="CB297" s="302"/>
      <c r="CC297" s="302"/>
      <c r="CD297" s="302"/>
      <c r="CE297" s="352"/>
      <c r="CS297" s="356">
        <v>113</v>
      </c>
      <c r="CT297" s="302" t="s">
        <v>142</v>
      </c>
      <c r="CU297" s="352">
        <v>288945</v>
      </c>
      <c r="CV297" s="302">
        <v>0</v>
      </c>
      <c r="CW297" s="352">
        <v>0</v>
      </c>
      <c r="CX297" s="302">
        <v>0</v>
      </c>
      <c r="CY297" s="352">
        <v>0</v>
      </c>
      <c r="CZ297" s="352">
        <v>0</v>
      </c>
      <c r="DA297" s="352">
        <v>0</v>
      </c>
      <c r="DB297" s="352">
        <v>0</v>
      </c>
      <c r="DC297" s="352">
        <v>288945</v>
      </c>
      <c r="DD297" s="302">
        <v>0</v>
      </c>
      <c r="DE297" s="302">
        <v>0</v>
      </c>
      <c r="DI297" s="367"/>
    </row>
    <row r="298" spans="2:113" ht="13">
      <c r="B298" s="294"/>
      <c r="C298" s="295"/>
      <c r="D298" s="295"/>
      <c r="E298" s="294"/>
      <c r="F298" s="294"/>
      <c r="G298" s="295"/>
      <c r="H298" s="295"/>
      <c r="I298" s="295"/>
      <c r="J298" s="295"/>
      <c r="K298" s="295"/>
      <c r="L298" s="295"/>
      <c r="M298" s="302"/>
      <c r="N298" s="296"/>
      <c r="O298" s="296"/>
      <c r="P298" s="297"/>
      <c r="Q298" s="297"/>
      <c r="R298" s="297"/>
      <c r="S298" s="297"/>
      <c r="T298" s="298"/>
      <c r="U298" s="296"/>
      <c r="V298" s="296"/>
      <c r="W298" s="297"/>
      <c r="X298" s="297"/>
      <c r="Y298" s="297"/>
      <c r="Z298" s="297"/>
      <c r="AA298" s="299"/>
      <c r="AB298" s="296"/>
      <c r="AC298" s="296"/>
      <c r="AD298" s="297"/>
      <c r="AE298" s="297"/>
      <c r="AF298" s="297"/>
      <c r="AG298" s="297"/>
      <c r="AH298" s="295"/>
      <c r="AI298" s="293"/>
      <c r="AJ298" s="293"/>
      <c r="AK298" s="297"/>
      <c r="AL298" s="297"/>
      <c r="AM298" s="297"/>
      <c r="AN298" s="297"/>
      <c r="AO298" s="295"/>
      <c r="AP298" s="302"/>
      <c r="AQ298" s="302"/>
      <c r="AR298" s="302"/>
      <c r="AS298" s="302"/>
      <c r="AT298" s="302"/>
      <c r="AU298" s="302"/>
      <c r="AV298" s="302"/>
      <c r="AW298" s="302"/>
      <c r="AX298" s="302"/>
      <c r="AY298" s="302"/>
      <c r="AZ298" s="302"/>
      <c r="BA298" s="302"/>
      <c r="BB298" s="302"/>
      <c r="BC298" s="302"/>
      <c r="BD298" s="302"/>
      <c r="BE298" s="302"/>
      <c r="BF298" s="302"/>
      <c r="BG298" s="302"/>
      <c r="BH298" s="302"/>
      <c r="BI298" s="302"/>
      <c r="BJ298" s="302"/>
      <c r="BK298" s="302"/>
      <c r="BL298" s="302"/>
      <c r="BM298" s="302"/>
      <c r="BN298" s="302"/>
      <c r="BO298" s="302"/>
      <c r="BP298" s="302"/>
      <c r="BQ298" s="302"/>
      <c r="BR298" s="302"/>
      <c r="BS298" s="302"/>
      <c r="BT298" s="302"/>
      <c r="BU298" s="302"/>
      <c r="BV298" s="302"/>
      <c r="BW298" s="302"/>
      <c r="BX298" s="302"/>
      <c r="BY298" s="302"/>
      <c r="BZ298" s="302"/>
      <c r="CA298" s="302"/>
      <c r="CB298" s="302"/>
      <c r="CC298" s="302"/>
      <c r="CD298" s="302"/>
      <c r="CE298" s="352"/>
      <c r="CS298" s="356">
        <v>114</v>
      </c>
      <c r="CT298" s="302" t="s">
        <v>219</v>
      </c>
      <c r="CU298" s="352">
        <v>287878.88</v>
      </c>
      <c r="CV298" s="352">
        <v>0</v>
      </c>
      <c r="CW298" s="352">
        <v>0</v>
      </c>
      <c r="CX298" s="302">
        <v>0</v>
      </c>
      <c r="CY298" s="352">
        <v>168700.58</v>
      </c>
      <c r="CZ298" s="302">
        <v>0</v>
      </c>
      <c r="DA298" s="302">
        <v>0</v>
      </c>
      <c r="DB298" s="352">
        <v>69200.2</v>
      </c>
      <c r="DC298" s="352">
        <v>49978.1</v>
      </c>
      <c r="DD298" s="352">
        <v>0</v>
      </c>
      <c r="DE298" s="302">
        <v>0</v>
      </c>
      <c r="DI298" s="367"/>
    </row>
    <row r="299" spans="2:113" ht="13">
      <c r="B299" s="294"/>
      <c r="C299" s="295"/>
      <c r="D299" s="295"/>
      <c r="E299" s="294"/>
      <c r="F299" s="294"/>
      <c r="G299" s="295"/>
      <c r="H299" s="295"/>
      <c r="I299" s="295"/>
      <c r="J299" s="295"/>
      <c r="K299" s="295"/>
      <c r="L299" s="295"/>
      <c r="M299" s="302"/>
      <c r="N299" s="296"/>
      <c r="O299" s="296"/>
      <c r="P299" s="297"/>
      <c r="Q299" s="297"/>
      <c r="R299" s="297"/>
      <c r="S299" s="297"/>
      <c r="T299" s="298"/>
      <c r="U299" s="296"/>
      <c r="V299" s="296"/>
      <c r="W299" s="297"/>
      <c r="X299" s="297"/>
      <c r="Y299" s="297"/>
      <c r="Z299" s="297"/>
      <c r="AA299" s="299"/>
      <c r="AB299" s="296"/>
      <c r="AC299" s="296"/>
      <c r="AD299" s="297"/>
      <c r="AE299" s="297"/>
      <c r="AF299" s="297"/>
      <c r="AG299" s="297"/>
      <c r="AH299" s="295"/>
      <c r="AI299" s="293"/>
      <c r="AJ299" s="293"/>
      <c r="AK299" s="297"/>
      <c r="AL299" s="297"/>
      <c r="AM299" s="297"/>
      <c r="AN299" s="297"/>
      <c r="AO299" s="295"/>
      <c r="AP299" s="352"/>
      <c r="AQ299" s="352"/>
      <c r="AR299" s="352"/>
      <c r="AS299" s="352"/>
      <c r="AT299" s="302"/>
      <c r="AU299" s="302"/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K299" s="302"/>
      <c r="BL299" s="302"/>
      <c r="BM299" s="302"/>
      <c r="BN299" s="302"/>
      <c r="BO299" s="302"/>
      <c r="BP299" s="302"/>
      <c r="BQ299" s="302"/>
      <c r="BR299" s="302"/>
      <c r="BS299" s="302"/>
      <c r="BT299" s="302"/>
      <c r="BU299" s="302"/>
      <c r="BV299" s="302"/>
      <c r="BW299" s="302"/>
      <c r="BX299" s="302"/>
      <c r="BY299" s="302"/>
      <c r="BZ299" s="302"/>
      <c r="CA299" s="302"/>
      <c r="CB299" s="302"/>
      <c r="CC299" s="302"/>
      <c r="CD299" s="302"/>
      <c r="CE299" s="302"/>
      <c r="CS299" s="356">
        <v>115</v>
      </c>
      <c r="CT299" s="302" t="s">
        <v>157</v>
      </c>
      <c r="CU299" s="352">
        <v>285291.19</v>
      </c>
      <c r="CV299" s="352">
        <v>0</v>
      </c>
      <c r="CW299" s="302">
        <v>0</v>
      </c>
      <c r="CX299" s="302">
        <v>0</v>
      </c>
      <c r="CY299" s="352">
        <v>0</v>
      </c>
      <c r="CZ299" s="352">
        <v>45938</v>
      </c>
      <c r="DA299" s="352">
        <v>33265.230000000003</v>
      </c>
      <c r="DB299" s="352">
        <v>206087.96</v>
      </c>
      <c r="DC299" s="302">
        <v>0</v>
      </c>
      <c r="DD299" s="352">
        <v>0</v>
      </c>
      <c r="DE299" s="302">
        <v>0</v>
      </c>
      <c r="DI299" s="367"/>
    </row>
    <row r="300" spans="2:113" ht="13">
      <c r="B300" s="294"/>
      <c r="C300" s="295"/>
      <c r="D300" s="295"/>
      <c r="E300" s="294"/>
      <c r="F300" s="294"/>
      <c r="G300" s="295"/>
      <c r="H300" s="295"/>
      <c r="I300" s="295"/>
      <c r="J300" s="295"/>
      <c r="K300" s="295"/>
      <c r="L300" s="295"/>
      <c r="M300" s="302"/>
      <c r="N300" s="296"/>
      <c r="O300" s="296"/>
      <c r="P300" s="297"/>
      <c r="Q300" s="297"/>
      <c r="R300" s="297"/>
      <c r="S300" s="297"/>
      <c r="T300" s="298"/>
      <c r="U300" s="296"/>
      <c r="V300" s="296"/>
      <c r="W300" s="297"/>
      <c r="X300" s="297"/>
      <c r="Y300" s="297"/>
      <c r="Z300" s="297"/>
      <c r="AA300" s="299"/>
      <c r="AB300" s="296"/>
      <c r="AC300" s="296"/>
      <c r="AD300" s="297"/>
      <c r="AE300" s="297"/>
      <c r="AF300" s="297"/>
      <c r="AG300" s="297"/>
      <c r="AH300" s="295"/>
      <c r="AI300" s="293"/>
      <c r="AJ300" s="293"/>
      <c r="AK300" s="297"/>
      <c r="AL300" s="297"/>
      <c r="AM300" s="297"/>
      <c r="AN300" s="297"/>
      <c r="AO300" s="295"/>
      <c r="AP300" s="302"/>
      <c r="AQ300" s="302"/>
      <c r="AR300" s="302"/>
      <c r="AS300" s="302"/>
      <c r="AT300" s="302"/>
      <c r="AU300" s="302"/>
      <c r="AV300" s="302"/>
      <c r="AW300" s="302"/>
      <c r="AX300" s="302"/>
      <c r="AY300" s="302"/>
      <c r="AZ300" s="302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K300" s="302"/>
      <c r="BL300" s="302"/>
      <c r="BM300" s="302"/>
      <c r="BN300" s="302"/>
      <c r="BO300" s="302"/>
      <c r="BP300" s="302"/>
      <c r="BQ300" s="302"/>
      <c r="BR300" s="302"/>
      <c r="BS300" s="302"/>
      <c r="BT300" s="302"/>
      <c r="BU300" s="302"/>
      <c r="BV300" s="302"/>
      <c r="BW300" s="302"/>
      <c r="BX300" s="302"/>
      <c r="BY300" s="302"/>
      <c r="BZ300" s="302"/>
      <c r="CA300" s="302"/>
      <c r="CB300" s="302"/>
      <c r="CC300" s="302"/>
      <c r="CD300" s="302"/>
      <c r="CE300" s="302"/>
      <c r="CS300" s="356">
        <v>116</v>
      </c>
      <c r="CT300" s="302" t="s">
        <v>175</v>
      </c>
      <c r="CU300" s="352">
        <v>250781.46</v>
      </c>
      <c r="CV300" s="352">
        <v>140383.70000000001</v>
      </c>
      <c r="CW300" s="352">
        <v>0</v>
      </c>
      <c r="CX300" s="352">
        <v>0</v>
      </c>
      <c r="CY300" s="302">
        <v>0</v>
      </c>
      <c r="CZ300" s="352">
        <v>0</v>
      </c>
      <c r="DA300" s="352">
        <v>0</v>
      </c>
      <c r="DB300" s="302">
        <v>0</v>
      </c>
      <c r="DC300" s="352">
        <v>0</v>
      </c>
      <c r="DD300" s="352">
        <v>110397.75999999999</v>
      </c>
      <c r="DE300" s="302">
        <v>0</v>
      </c>
      <c r="DI300" s="367"/>
    </row>
    <row r="301" spans="2:113" ht="13">
      <c r="B301" s="294"/>
      <c r="C301" s="295"/>
      <c r="D301" s="295"/>
      <c r="E301" s="294"/>
      <c r="F301" s="294"/>
      <c r="G301" s="295"/>
      <c r="H301" s="295"/>
      <c r="I301" s="295"/>
      <c r="J301" s="295"/>
      <c r="K301" s="295"/>
      <c r="L301" s="295"/>
      <c r="N301" s="296"/>
      <c r="O301" s="296"/>
      <c r="P301" s="297"/>
      <c r="Q301" s="297"/>
      <c r="R301" s="297"/>
      <c r="S301" s="297"/>
      <c r="T301" s="298"/>
      <c r="U301" s="296"/>
      <c r="V301" s="296"/>
      <c r="W301" s="297"/>
      <c r="X301" s="297"/>
      <c r="Y301" s="297"/>
      <c r="Z301" s="297"/>
      <c r="AA301" s="299"/>
      <c r="AB301" s="296"/>
      <c r="AC301" s="296"/>
      <c r="AD301" s="297"/>
      <c r="AE301" s="297"/>
      <c r="AF301" s="297"/>
      <c r="AG301" s="297"/>
      <c r="AH301" s="295"/>
      <c r="AI301" s="293"/>
      <c r="AJ301" s="293"/>
      <c r="AK301" s="297"/>
      <c r="AL301" s="297"/>
      <c r="AM301" s="297"/>
      <c r="AN301" s="297"/>
      <c r="AO301" s="295"/>
      <c r="CS301" s="356">
        <v>117</v>
      </c>
      <c r="CT301" s="302" t="s">
        <v>163</v>
      </c>
      <c r="CU301" s="352">
        <v>219217.05</v>
      </c>
      <c r="CV301" s="352">
        <v>0</v>
      </c>
      <c r="CW301" s="352">
        <v>0</v>
      </c>
      <c r="CX301" s="302">
        <v>0</v>
      </c>
      <c r="CY301" s="352">
        <v>0</v>
      </c>
      <c r="CZ301" s="352">
        <v>0</v>
      </c>
      <c r="DA301" s="302">
        <v>0</v>
      </c>
      <c r="DB301" s="302">
        <v>0</v>
      </c>
      <c r="DC301" s="352">
        <v>142754.37</v>
      </c>
      <c r="DD301" s="302">
        <v>0</v>
      </c>
      <c r="DE301" s="352">
        <v>76462.679999999993</v>
      </c>
      <c r="DI301" s="367"/>
    </row>
    <row r="302" spans="2:113" ht="13">
      <c r="B302" s="294"/>
      <c r="C302" s="295"/>
      <c r="D302" s="295"/>
      <c r="E302" s="294"/>
      <c r="F302" s="294"/>
      <c r="G302" s="295"/>
      <c r="H302" s="295"/>
      <c r="I302" s="295"/>
      <c r="J302" s="295"/>
      <c r="K302" s="295"/>
      <c r="L302" s="295"/>
      <c r="N302" s="296"/>
      <c r="O302" s="296"/>
      <c r="P302" s="297"/>
      <c r="Q302" s="297"/>
      <c r="R302" s="297"/>
      <c r="S302" s="297"/>
      <c r="T302" s="298"/>
      <c r="U302" s="296"/>
      <c r="V302" s="296"/>
      <c r="W302" s="297"/>
      <c r="X302" s="297"/>
      <c r="Y302" s="297"/>
      <c r="Z302" s="297"/>
      <c r="AA302" s="299"/>
      <c r="AB302" s="296"/>
      <c r="AC302" s="296"/>
      <c r="AD302" s="297"/>
      <c r="AE302" s="297"/>
      <c r="AF302" s="297"/>
      <c r="AG302" s="297"/>
      <c r="AH302" s="295"/>
      <c r="AI302" s="293"/>
      <c r="AJ302" s="293"/>
      <c r="AK302" s="297"/>
      <c r="AL302" s="297"/>
      <c r="AM302" s="297"/>
      <c r="AN302" s="297"/>
      <c r="AO302" s="295"/>
      <c r="CS302" s="356">
        <v>118</v>
      </c>
      <c r="CT302" s="302" t="s">
        <v>170</v>
      </c>
      <c r="CU302" s="352">
        <v>214109.88</v>
      </c>
      <c r="CV302" s="352">
        <v>54663.09</v>
      </c>
      <c r="CW302" s="352">
        <v>24928</v>
      </c>
      <c r="CX302" s="352">
        <v>24990.799999999999</v>
      </c>
      <c r="CY302" s="352">
        <v>0</v>
      </c>
      <c r="CZ302" s="352">
        <v>30659.11</v>
      </c>
      <c r="DA302" s="352">
        <v>25076.16</v>
      </c>
      <c r="DB302" s="302">
        <v>0</v>
      </c>
      <c r="DC302" s="352">
        <v>26240.35</v>
      </c>
      <c r="DD302" s="352">
        <v>27552.37</v>
      </c>
      <c r="DE302" s="302">
        <v>0</v>
      </c>
      <c r="DI302" s="367"/>
    </row>
    <row r="303" spans="2:113" ht="13">
      <c r="B303" s="294"/>
      <c r="C303" s="295"/>
      <c r="D303" s="295"/>
      <c r="E303" s="294"/>
      <c r="F303" s="294"/>
      <c r="G303" s="295"/>
      <c r="H303" s="295"/>
      <c r="I303" s="295"/>
      <c r="J303" s="295"/>
      <c r="K303" s="295"/>
      <c r="L303" s="295"/>
      <c r="N303" s="296"/>
      <c r="O303" s="296"/>
      <c r="P303" s="297"/>
      <c r="Q303" s="297"/>
      <c r="R303" s="297"/>
      <c r="S303" s="297"/>
      <c r="T303" s="298"/>
      <c r="U303" s="296"/>
      <c r="V303" s="296"/>
      <c r="W303" s="297"/>
      <c r="X303" s="297"/>
      <c r="Y303" s="297"/>
      <c r="Z303" s="297"/>
      <c r="AA303" s="299"/>
      <c r="AB303" s="296"/>
      <c r="AC303" s="296"/>
      <c r="AD303" s="297"/>
      <c r="AE303" s="297"/>
      <c r="AF303" s="297"/>
      <c r="AG303" s="297"/>
      <c r="AH303" s="295"/>
      <c r="AI303" s="293"/>
      <c r="AJ303" s="293"/>
      <c r="AK303" s="297"/>
      <c r="AL303" s="297"/>
      <c r="AM303" s="297"/>
      <c r="AN303" s="297"/>
      <c r="AO303" s="295"/>
      <c r="CS303" s="356">
        <v>119</v>
      </c>
      <c r="CT303" s="302" t="s">
        <v>184</v>
      </c>
      <c r="CU303" s="352">
        <v>207370.94</v>
      </c>
      <c r="CV303" s="352">
        <v>56522.06</v>
      </c>
      <c r="CW303" s="302">
        <v>0</v>
      </c>
      <c r="CX303" s="302">
        <v>0</v>
      </c>
      <c r="CY303" s="352">
        <v>82264.14</v>
      </c>
      <c r="CZ303" s="352">
        <v>68584.740000000005</v>
      </c>
      <c r="DA303" s="302">
        <v>0</v>
      </c>
      <c r="DB303" s="352">
        <v>0</v>
      </c>
      <c r="DC303" s="352">
        <v>0</v>
      </c>
      <c r="DD303" s="302">
        <v>0</v>
      </c>
      <c r="DE303" s="302">
        <v>0</v>
      </c>
      <c r="DI303" s="367"/>
    </row>
    <row r="304" spans="2:113" ht="13">
      <c r="B304" s="294"/>
      <c r="C304" s="295"/>
      <c r="D304" s="295"/>
      <c r="E304" s="294"/>
      <c r="F304" s="294"/>
      <c r="G304" s="295"/>
      <c r="H304" s="295"/>
      <c r="I304" s="295"/>
      <c r="J304" s="295"/>
      <c r="K304" s="295"/>
      <c r="L304" s="295"/>
      <c r="N304" s="296"/>
      <c r="O304" s="296"/>
      <c r="P304" s="297"/>
      <c r="Q304" s="297"/>
      <c r="R304" s="297"/>
      <c r="S304" s="297"/>
      <c r="T304" s="298"/>
      <c r="U304" s="296"/>
      <c r="V304" s="296"/>
      <c r="W304" s="297"/>
      <c r="X304" s="297"/>
      <c r="Y304" s="297"/>
      <c r="Z304" s="297"/>
      <c r="AA304" s="299"/>
      <c r="AB304" s="296"/>
      <c r="AC304" s="296"/>
      <c r="AD304" s="297"/>
      <c r="AE304" s="297"/>
      <c r="AF304" s="297"/>
      <c r="AG304" s="297"/>
      <c r="AH304" s="295"/>
      <c r="AI304" s="293"/>
      <c r="AJ304" s="293"/>
      <c r="AK304" s="297"/>
      <c r="AL304" s="297"/>
      <c r="AM304" s="297"/>
      <c r="AN304" s="297"/>
      <c r="AO304" s="295"/>
      <c r="CS304" s="356">
        <v>120</v>
      </c>
      <c r="CT304" s="302" t="s">
        <v>205</v>
      </c>
      <c r="CU304" s="352">
        <v>162296.84</v>
      </c>
      <c r="CV304" s="302">
        <v>0</v>
      </c>
      <c r="CW304" s="302">
        <v>0</v>
      </c>
      <c r="CX304" s="352">
        <v>162296.84</v>
      </c>
      <c r="CY304" s="352">
        <v>0</v>
      </c>
      <c r="CZ304" s="302">
        <v>0</v>
      </c>
      <c r="DA304" s="302">
        <v>0</v>
      </c>
      <c r="DB304" s="302">
        <v>0</v>
      </c>
      <c r="DC304" s="302">
        <v>0</v>
      </c>
      <c r="DD304" s="352">
        <v>0</v>
      </c>
      <c r="DE304" s="302">
        <v>0</v>
      </c>
      <c r="DI304" s="367"/>
    </row>
    <row r="305" spans="2:113" ht="13">
      <c r="B305" s="294"/>
      <c r="C305" s="295"/>
      <c r="D305" s="295"/>
      <c r="E305" s="294"/>
      <c r="F305" s="294"/>
      <c r="G305" s="295"/>
      <c r="H305" s="295"/>
      <c r="I305" s="295"/>
      <c r="J305" s="295"/>
      <c r="K305" s="295"/>
      <c r="L305" s="295"/>
      <c r="N305" s="296"/>
      <c r="O305" s="296"/>
      <c r="P305" s="297"/>
      <c r="Q305" s="297"/>
      <c r="R305" s="297"/>
      <c r="S305" s="297"/>
      <c r="T305" s="298"/>
      <c r="U305" s="296"/>
      <c r="V305" s="296"/>
      <c r="W305" s="297"/>
      <c r="X305" s="297"/>
      <c r="Y305" s="297"/>
      <c r="Z305" s="297"/>
      <c r="AA305" s="299"/>
      <c r="AB305" s="296"/>
      <c r="AC305" s="296"/>
      <c r="AD305" s="297"/>
      <c r="AE305" s="297"/>
      <c r="AF305" s="297"/>
      <c r="AG305" s="297"/>
      <c r="AH305" s="295"/>
      <c r="AI305" s="293"/>
      <c r="AJ305" s="293"/>
      <c r="AK305" s="297"/>
      <c r="AL305" s="297"/>
      <c r="AM305" s="297"/>
      <c r="AN305" s="297"/>
      <c r="AO305" s="295"/>
      <c r="CS305" s="356">
        <v>121</v>
      </c>
      <c r="CT305" s="302" t="s">
        <v>145</v>
      </c>
      <c r="CU305" s="352">
        <v>147532.37</v>
      </c>
      <c r="CV305" s="302">
        <v>0</v>
      </c>
      <c r="CW305" s="352">
        <v>0</v>
      </c>
      <c r="CX305" s="302">
        <v>0</v>
      </c>
      <c r="CY305" s="302">
        <v>0</v>
      </c>
      <c r="CZ305" s="352">
        <v>0</v>
      </c>
      <c r="DA305" s="302">
        <v>0</v>
      </c>
      <c r="DB305" s="302">
        <v>0</v>
      </c>
      <c r="DC305" s="302">
        <v>0</v>
      </c>
      <c r="DD305" s="302">
        <v>0</v>
      </c>
      <c r="DE305" s="352">
        <v>147532.37</v>
      </c>
      <c r="DI305" s="367"/>
    </row>
    <row r="306" spans="2:113" ht="13">
      <c r="B306" s="294"/>
      <c r="C306" s="295"/>
      <c r="D306" s="295"/>
      <c r="E306" s="294"/>
      <c r="F306" s="294"/>
      <c r="G306" s="295"/>
      <c r="H306" s="295"/>
      <c r="I306" s="295"/>
      <c r="J306" s="295"/>
      <c r="K306" s="295"/>
      <c r="L306" s="295"/>
      <c r="N306" s="296"/>
      <c r="O306" s="296"/>
      <c r="P306" s="297"/>
      <c r="Q306" s="297"/>
      <c r="R306" s="297"/>
      <c r="S306" s="297"/>
      <c r="T306" s="298"/>
      <c r="U306" s="296"/>
      <c r="V306" s="296"/>
      <c r="W306" s="297"/>
      <c r="X306" s="297"/>
      <c r="Y306" s="297"/>
      <c r="Z306" s="297"/>
      <c r="AA306" s="299"/>
      <c r="AB306" s="296"/>
      <c r="AC306" s="296"/>
      <c r="AD306" s="297"/>
      <c r="AE306" s="297"/>
      <c r="AF306" s="297"/>
      <c r="AG306" s="297"/>
      <c r="AH306" s="295"/>
      <c r="AI306" s="293"/>
      <c r="AJ306" s="293"/>
      <c r="AK306" s="297"/>
      <c r="AL306" s="297"/>
      <c r="AM306" s="297"/>
      <c r="AN306" s="297"/>
      <c r="AO306" s="295"/>
      <c r="CS306" s="356">
        <v>122</v>
      </c>
      <c r="CT306" s="302" t="s">
        <v>158</v>
      </c>
      <c r="CU306" s="352">
        <v>135109.44</v>
      </c>
      <c r="CV306" s="302">
        <v>0</v>
      </c>
      <c r="CW306" s="302">
        <v>0</v>
      </c>
      <c r="CX306" s="302">
        <v>0</v>
      </c>
      <c r="CY306" s="352">
        <v>0</v>
      </c>
      <c r="CZ306" s="302">
        <v>0</v>
      </c>
      <c r="DA306" s="302">
        <v>0</v>
      </c>
      <c r="DB306" s="352">
        <v>0</v>
      </c>
      <c r="DC306" s="302">
        <v>0</v>
      </c>
      <c r="DD306" s="352">
        <v>135109.44</v>
      </c>
      <c r="DE306" s="352">
        <v>0</v>
      </c>
      <c r="DI306" s="367"/>
    </row>
    <row r="307" spans="2:113" ht="13">
      <c r="B307" s="294"/>
      <c r="C307" s="295"/>
      <c r="D307" s="295"/>
      <c r="E307" s="294"/>
      <c r="F307" s="294"/>
      <c r="G307" s="295"/>
      <c r="H307" s="295"/>
      <c r="I307" s="295"/>
      <c r="J307" s="295"/>
      <c r="K307" s="295"/>
      <c r="L307" s="295"/>
      <c r="N307" s="296"/>
      <c r="O307" s="296"/>
      <c r="P307" s="297"/>
      <c r="Q307" s="297"/>
      <c r="R307" s="297"/>
      <c r="S307" s="297"/>
      <c r="T307" s="298"/>
      <c r="U307" s="296"/>
      <c r="V307" s="296"/>
      <c r="W307" s="297"/>
      <c r="X307" s="297"/>
      <c r="Y307" s="297"/>
      <c r="Z307" s="297"/>
      <c r="AA307" s="299"/>
      <c r="AB307" s="296"/>
      <c r="AC307" s="296"/>
      <c r="AD307" s="297"/>
      <c r="AE307" s="297"/>
      <c r="AF307" s="297"/>
      <c r="AG307" s="297"/>
      <c r="AH307" s="295"/>
      <c r="AI307" s="293"/>
      <c r="AJ307" s="293"/>
      <c r="AK307" s="297"/>
      <c r="AL307" s="297"/>
      <c r="AM307" s="297"/>
      <c r="AN307" s="297"/>
      <c r="AO307" s="295"/>
      <c r="CS307" s="356">
        <v>123</v>
      </c>
      <c r="CT307" s="302" t="s">
        <v>240</v>
      </c>
      <c r="CU307" s="352">
        <v>115852.5</v>
      </c>
      <c r="CV307" s="302">
        <v>0</v>
      </c>
      <c r="CW307" s="302">
        <v>0</v>
      </c>
      <c r="CX307" s="302">
        <v>0</v>
      </c>
      <c r="CY307" s="302">
        <v>0</v>
      </c>
      <c r="CZ307" s="352">
        <v>115852.5</v>
      </c>
      <c r="DA307" s="352">
        <v>0</v>
      </c>
      <c r="DB307" s="302">
        <v>0</v>
      </c>
      <c r="DC307" s="302">
        <v>0</v>
      </c>
      <c r="DD307" s="302">
        <v>0</v>
      </c>
      <c r="DE307" s="302">
        <v>0</v>
      </c>
      <c r="DI307" s="367"/>
    </row>
    <row r="308" spans="2:113" ht="13">
      <c r="B308" s="294"/>
      <c r="C308" s="295"/>
      <c r="D308" s="295"/>
      <c r="E308" s="294"/>
      <c r="F308" s="294"/>
      <c r="G308" s="295"/>
      <c r="H308" s="295"/>
      <c r="I308" s="295"/>
      <c r="J308" s="295"/>
      <c r="K308" s="295"/>
      <c r="L308" s="295"/>
      <c r="N308" s="296"/>
      <c r="O308" s="296"/>
      <c r="P308" s="297"/>
      <c r="Q308" s="297"/>
      <c r="R308" s="297"/>
      <c r="S308" s="297"/>
      <c r="T308" s="298"/>
      <c r="U308" s="296"/>
      <c r="V308" s="296"/>
      <c r="W308" s="297"/>
      <c r="X308" s="297"/>
      <c r="Y308" s="297"/>
      <c r="Z308" s="297"/>
      <c r="AA308" s="299"/>
      <c r="AB308" s="296"/>
      <c r="AC308" s="296"/>
      <c r="AD308" s="297"/>
      <c r="AE308" s="297"/>
      <c r="AF308" s="297"/>
      <c r="AG308" s="297"/>
      <c r="AH308" s="295"/>
      <c r="AI308" s="293"/>
      <c r="AJ308" s="293"/>
      <c r="AK308" s="297"/>
      <c r="AL308" s="297"/>
      <c r="AM308" s="297"/>
      <c r="AN308" s="297"/>
      <c r="AO308" s="295"/>
      <c r="CS308" s="356">
        <v>124</v>
      </c>
      <c r="CT308" s="302" t="s">
        <v>150</v>
      </c>
      <c r="CU308" s="352">
        <v>114288.16</v>
      </c>
      <c r="CV308" s="302">
        <v>0</v>
      </c>
      <c r="CW308" s="302">
        <v>0</v>
      </c>
      <c r="CX308" s="302">
        <v>0</v>
      </c>
      <c r="CY308" s="352">
        <v>42471.68</v>
      </c>
      <c r="CZ308" s="352">
        <v>0</v>
      </c>
      <c r="DA308" s="302">
        <v>0</v>
      </c>
      <c r="DB308" s="302">
        <v>0</v>
      </c>
      <c r="DC308" s="302">
        <v>0</v>
      </c>
      <c r="DD308" s="302">
        <v>0</v>
      </c>
      <c r="DE308" s="352">
        <v>71816.479999999996</v>
      </c>
      <c r="DI308" s="367"/>
    </row>
    <row r="309" spans="2:113" ht="13">
      <c r="B309" s="294"/>
      <c r="C309" s="295"/>
      <c r="D309" s="295"/>
      <c r="E309" s="294"/>
      <c r="F309" s="294"/>
      <c r="G309" s="295"/>
      <c r="H309" s="295"/>
      <c r="I309" s="295"/>
      <c r="J309" s="295"/>
      <c r="K309" s="295"/>
      <c r="L309" s="295"/>
      <c r="N309" s="296"/>
      <c r="O309" s="296"/>
      <c r="P309" s="297"/>
      <c r="Q309" s="297"/>
      <c r="R309" s="297"/>
      <c r="S309" s="297"/>
      <c r="T309" s="298"/>
      <c r="U309" s="296"/>
      <c r="V309" s="296"/>
      <c r="W309" s="297"/>
      <c r="X309" s="297"/>
      <c r="Y309" s="297"/>
      <c r="Z309" s="297"/>
      <c r="AA309" s="299"/>
      <c r="AB309" s="296"/>
      <c r="AC309" s="296"/>
      <c r="AD309" s="297"/>
      <c r="AE309" s="297"/>
      <c r="AF309" s="297"/>
      <c r="AG309" s="297"/>
      <c r="AH309" s="295"/>
      <c r="AI309" s="293"/>
      <c r="AJ309" s="293"/>
      <c r="AK309" s="297"/>
      <c r="AL309" s="297"/>
      <c r="AM309" s="297"/>
      <c r="AN309" s="297"/>
      <c r="AO309" s="295"/>
      <c r="CS309" s="356">
        <v>125</v>
      </c>
      <c r="CT309" s="302" t="s">
        <v>120</v>
      </c>
      <c r="CU309" s="352">
        <v>113564.13</v>
      </c>
      <c r="CV309" s="302">
        <v>0</v>
      </c>
      <c r="CW309" s="352">
        <v>0</v>
      </c>
      <c r="CX309" s="302">
        <v>0</v>
      </c>
      <c r="CY309" s="352">
        <v>0</v>
      </c>
      <c r="CZ309" s="302">
        <v>0</v>
      </c>
      <c r="DA309" s="352">
        <v>113564.13</v>
      </c>
      <c r="DB309" s="302">
        <v>0</v>
      </c>
      <c r="DC309" s="302">
        <v>0</v>
      </c>
      <c r="DD309" s="352">
        <v>0</v>
      </c>
      <c r="DE309" s="302">
        <v>0</v>
      </c>
      <c r="DI309" s="367"/>
    </row>
    <row r="310" spans="2:113" ht="13">
      <c r="B310" s="294"/>
      <c r="C310" s="295"/>
      <c r="D310" s="295"/>
      <c r="E310" s="294"/>
      <c r="F310" s="294"/>
      <c r="G310" s="295"/>
      <c r="H310" s="295"/>
      <c r="I310" s="295"/>
      <c r="J310" s="295"/>
      <c r="K310" s="295"/>
      <c r="L310" s="295"/>
      <c r="N310" s="296"/>
      <c r="O310" s="296"/>
      <c r="P310" s="297"/>
      <c r="Q310" s="297"/>
      <c r="R310" s="297"/>
      <c r="S310" s="297"/>
      <c r="T310" s="298"/>
      <c r="U310" s="296"/>
      <c r="V310" s="296"/>
      <c r="W310" s="297"/>
      <c r="X310" s="297"/>
      <c r="Y310" s="297"/>
      <c r="Z310" s="297"/>
      <c r="AA310" s="299"/>
      <c r="AB310" s="296"/>
      <c r="AC310" s="296"/>
      <c r="AD310" s="297"/>
      <c r="AE310" s="297"/>
      <c r="AF310" s="297"/>
      <c r="AG310" s="297"/>
      <c r="AH310" s="295"/>
      <c r="AI310" s="293"/>
      <c r="AJ310" s="293"/>
      <c r="AK310" s="297"/>
      <c r="AL310" s="297"/>
      <c r="AM310" s="297"/>
      <c r="AN310" s="297"/>
      <c r="AO310" s="295"/>
      <c r="CS310" s="356">
        <v>126</v>
      </c>
      <c r="CT310" s="302" t="s">
        <v>112</v>
      </c>
      <c r="CU310" s="352">
        <v>107053.39</v>
      </c>
      <c r="CV310" s="302">
        <v>0</v>
      </c>
      <c r="CW310" s="302">
        <v>0</v>
      </c>
      <c r="CX310" s="302">
        <v>0</v>
      </c>
      <c r="CY310" s="302">
        <v>0</v>
      </c>
      <c r="CZ310" s="352">
        <v>107053.39</v>
      </c>
      <c r="DA310" s="302">
        <v>0</v>
      </c>
      <c r="DB310" s="352">
        <v>0</v>
      </c>
      <c r="DC310" s="302">
        <v>0</v>
      </c>
      <c r="DD310" s="302">
        <v>0</v>
      </c>
      <c r="DE310" s="302">
        <v>0</v>
      </c>
      <c r="DI310" s="367"/>
    </row>
    <row r="311" spans="2:113" ht="13">
      <c r="B311" s="294"/>
      <c r="C311" s="295"/>
      <c r="D311" s="295"/>
      <c r="E311" s="294"/>
      <c r="F311" s="294"/>
      <c r="G311" s="295"/>
      <c r="H311" s="295"/>
      <c r="I311" s="295"/>
      <c r="J311" s="295"/>
      <c r="K311" s="295"/>
      <c r="L311" s="295"/>
      <c r="N311" s="296"/>
      <c r="O311" s="296"/>
      <c r="P311" s="297"/>
      <c r="Q311" s="297"/>
      <c r="R311" s="297"/>
      <c r="S311" s="297"/>
      <c r="T311" s="298"/>
      <c r="U311" s="296"/>
      <c r="V311" s="296"/>
      <c r="W311" s="297"/>
      <c r="X311" s="297"/>
      <c r="Y311" s="297"/>
      <c r="Z311" s="297"/>
      <c r="AA311" s="299"/>
      <c r="AB311" s="296"/>
      <c r="AC311" s="296"/>
      <c r="AD311" s="297"/>
      <c r="AE311" s="297"/>
      <c r="AF311" s="297"/>
      <c r="AG311" s="297"/>
      <c r="AH311" s="295"/>
      <c r="AI311" s="293"/>
      <c r="AJ311" s="293"/>
      <c r="AK311" s="297"/>
      <c r="AL311" s="297"/>
      <c r="AM311" s="297"/>
      <c r="AN311" s="297"/>
      <c r="AO311" s="295"/>
      <c r="CS311" s="356">
        <v>127</v>
      </c>
      <c r="CT311" s="302" t="s">
        <v>212</v>
      </c>
      <c r="CU311" s="352">
        <v>93025.1</v>
      </c>
      <c r="CV311" s="302">
        <v>0</v>
      </c>
      <c r="CW311" s="352">
        <v>22493.72</v>
      </c>
      <c r="CX311" s="302">
        <v>0</v>
      </c>
      <c r="CY311" s="352">
        <v>48037.66</v>
      </c>
      <c r="CZ311" s="302">
        <v>0</v>
      </c>
      <c r="DA311" s="302">
        <v>0</v>
      </c>
      <c r="DB311" s="302">
        <v>0</v>
      </c>
      <c r="DC311" s="302">
        <v>0</v>
      </c>
      <c r="DD311" s="352">
        <v>22493.72</v>
      </c>
      <c r="DE311" s="302">
        <v>0</v>
      </c>
      <c r="DI311" s="367"/>
    </row>
    <row r="312" spans="2:113" ht="13">
      <c r="B312" s="294"/>
      <c r="C312" s="295"/>
      <c r="D312" s="295"/>
      <c r="E312" s="294"/>
      <c r="F312" s="294"/>
      <c r="G312" s="295"/>
      <c r="H312" s="295"/>
      <c r="I312" s="295"/>
      <c r="J312" s="295"/>
      <c r="K312" s="295"/>
      <c r="L312" s="295"/>
      <c r="N312" s="296"/>
      <c r="O312" s="296"/>
      <c r="P312" s="297"/>
      <c r="Q312" s="297"/>
      <c r="R312" s="297"/>
      <c r="S312" s="297"/>
      <c r="T312" s="298"/>
      <c r="U312" s="296"/>
      <c r="V312" s="296"/>
      <c r="W312" s="297"/>
      <c r="X312" s="297"/>
      <c r="Y312" s="297"/>
      <c r="Z312" s="297"/>
      <c r="AA312" s="299"/>
      <c r="AB312" s="296"/>
      <c r="AC312" s="296"/>
      <c r="AD312" s="297"/>
      <c r="AE312" s="297"/>
      <c r="AF312" s="297"/>
      <c r="AG312" s="297"/>
      <c r="AH312" s="295"/>
      <c r="AI312" s="293"/>
      <c r="AJ312" s="293"/>
      <c r="AK312" s="297"/>
      <c r="AL312" s="297"/>
      <c r="AM312" s="297"/>
      <c r="AN312" s="297"/>
      <c r="AO312" s="295"/>
      <c r="CS312" s="356">
        <v>128</v>
      </c>
      <c r="CT312" s="302" t="s">
        <v>115</v>
      </c>
      <c r="CU312" s="352">
        <v>66506.600000000006</v>
      </c>
      <c r="CV312" s="302">
        <v>0</v>
      </c>
      <c r="CW312" s="302">
        <v>0</v>
      </c>
      <c r="CX312" s="302">
        <v>0</v>
      </c>
      <c r="CY312" s="302">
        <v>0</v>
      </c>
      <c r="CZ312" s="302">
        <v>0</v>
      </c>
      <c r="DA312" s="302">
        <v>0</v>
      </c>
      <c r="DB312" s="352">
        <v>66506.600000000006</v>
      </c>
      <c r="DC312" s="302">
        <v>0</v>
      </c>
      <c r="DD312" s="302">
        <v>0</v>
      </c>
      <c r="DE312" s="302">
        <v>0</v>
      </c>
      <c r="DI312" s="367"/>
    </row>
    <row r="313" spans="2:113" ht="13">
      <c r="B313" s="294"/>
      <c r="C313" s="295"/>
      <c r="D313" s="295"/>
      <c r="E313" s="294"/>
      <c r="F313" s="294"/>
      <c r="G313" s="295"/>
      <c r="H313" s="295"/>
      <c r="I313" s="295"/>
      <c r="J313" s="295"/>
      <c r="K313" s="295"/>
      <c r="L313" s="295"/>
      <c r="N313" s="296"/>
      <c r="O313" s="296"/>
      <c r="P313" s="297"/>
      <c r="Q313" s="297"/>
      <c r="R313" s="297"/>
      <c r="S313" s="297"/>
      <c r="T313" s="298"/>
      <c r="U313" s="296"/>
      <c r="V313" s="296"/>
      <c r="W313" s="297"/>
      <c r="X313" s="297"/>
      <c r="Y313" s="297"/>
      <c r="Z313" s="297"/>
      <c r="AA313" s="299"/>
      <c r="AB313" s="296"/>
      <c r="AC313" s="296"/>
      <c r="AD313" s="297"/>
      <c r="AE313" s="297"/>
      <c r="AF313" s="297"/>
      <c r="AG313" s="297"/>
      <c r="AH313" s="295"/>
      <c r="AI313" s="293"/>
      <c r="AJ313" s="293"/>
      <c r="AK313" s="297"/>
      <c r="AL313" s="297"/>
      <c r="AM313" s="297"/>
      <c r="AN313" s="297"/>
      <c r="AO313" s="295"/>
      <c r="CS313" s="356">
        <v>129</v>
      </c>
      <c r="CT313" s="302" t="s">
        <v>172</v>
      </c>
      <c r="CU313" s="352">
        <v>36106.269999999997</v>
      </c>
      <c r="CV313" s="302">
        <v>0</v>
      </c>
      <c r="CW313" s="352">
        <v>36106.269999999997</v>
      </c>
      <c r="CX313" s="302">
        <v>0</v>
      </c>
      <c r="CY313" s="302">
        <v>0</v>
      </c>
      <c r="CZ313" s="302">
        <v>0</v>
      </c>
      <c r="DA313" s="302">
        <v>0</v>
      </c>
      <c r="DB313" s="302">
        <v>0</v>
      </c>
      <c r="DC313" s="302">
        <v>0</v>
      </c>
      <c r="DD313" s="302">
        <v>0</v>
      </c>
      <c r="DE313" s="302">
        <v>0</v>
      </c>
      <c r="DI313" s="367"/>
    </row>
    <row r="314" spans="2:113" ht="13">
      <c r="B314" s="294"/>
      <c r="C314" s="295"/>
      <c r="D314" s="295"/>
      <c r="E314" s="294"/>
      <c r="F314" s="294"/>
      <c r="G314" s="295"/>
      <c r="H314" s="295"/>
      <c r="I314" s="295"/>
      <c r="J314" s="295"/>
      <c r="K314" s="295"/>
      <c r="L314" s="295"/>
      <c r="N314" s="296"/>
      <c r="O314" s="296"/>
      <c r="P314" s="297"/>
      <c r="Q314" s="297"/>
      <c r="R314" s="297"/>
      <c r="S314" s="297"/>
      <c r="T314" s="298"/>
      <c r="U314" s="296"/>
      <c r="V314" s="296"/>
      <c r="W314" s="297"/>
      <c r="X314" s="297"/>
      <c r="Y314" s="297"/>
      <c r="Z314" s="297"/>
      <c r="AA314" s="299"/>
      <c r="AB314" s="296"/>
      <c r="AC314" s="296"/>
      <c r="AD314" s="297"/>
      <c r="AE314" s="297"/>
      <c r="AF314" s="297"/>
      <c r="AG314" s="297"/>
      <c r="AH314" s="295"/>
      <c r="AI314" s="293"/>
      <c r="AJ314" s="293"/>
      <c r="AK314" s="297"/>
      <c r="AL314" s="297"/>
      <c r="AM314" s="297"/>
      <c r="AN314" s="297"/>
      <c r="AO314" s="295"/>
      <c r="CS314" s="356">
        <v>130</v>
      </c>
      <c r="CT314" s="302" t="s">
        <v>242</v>
      </c>
      <c r="CU314" s="302">
        <v>0</v>
      </c>
      <c r="CV314" s="302">
        <v>0</v>
      </c>
      <c r="CW314" s="302">
        <v>0</v>
      </c>
      <c r="CX314" s="302">
        <v>0</v>
      </c>
      <c r="CY314" s="302">
        <v>0</v>
      </c>
      <c r="CZ314" s="302">
        <v>0</v>
      </c>
      <c r="DA314" s="302">
        <v>0</v>
      </c>
      <c r="DB314" s="302">
        <v>0</v>
      </c>
      <c r="DC314" s="302">
        <v>0</v>
      </c>
      <c r="DD314" s="302">
        <v>0</v>
      </c>
      <c r="DE314" s="302">
        <v>0</v>
      </c>
      <c r="DI314" s="367"/>
    </row>
    <row r="315" spans="2:113" ht="13">
      <c r="B315" s="294"/>
      <c r="C315" s="295"/>
      <c r="D315" s="295"/>
      <c r="E315" s="294"/>
      <c r="F315" s="294"/>
      <c r="G315" s="295"/>
      <c r="H315" s="295"/>
      <c r="I315" s="295"/>
      <c r="J315" s="295"/>
      <c r="K315" s="295"/>
      <c r="L315" s="295"/>
      <c r="N315" s="296"/>
      <c r="O315" s="296"/>
      <c r="P315" s="297"/>
      <c r="Q315" s="297"/>
      <c r="R315" s="297"/>
      <c r="S315" s="297"/>
      <c r="T315" s="298"/>
      <c r="U315" s="296"/>
      <c r="V315" s="296"/>
      <c r="W315" s="297"/>
      <c r="X315" s="297"/>
      <c r="Y315" s="297"/>
      <c r="Z315" s="297"/>
      <c r="AA315" s="299"/>
      <c r="AB315" s="296"/>
      <c r="AC315" s="296"/>
      <c r="AD315" s="297"/>
      <c r="AE315" s="297"/>
      <c r="AF315" s="297"/>
      <c r="AG315" s="297"/>
      <c r="AH315" s="295"/>
      <c r="AI315" s="293"/>
      <c r="AJ315" s="293"/>
      <c r="AK315" s="297"/>
      <c r="AL315" s="297"/>
      <c r="AM315" s="297"/>
      <c r="AN315" s="297"/>
      <c r="AO315" s="295"/>
      <c r="CS315" s="356">
        <v>131</v>
      </c>
      <c r="DI315" s="367"/>
    </row>
    <row r="316" spans="2:113" ht="13">
      <c r="B316" s="294"/>
      <c r="C316" s="295"/>
      <c r="D316" s="295"/>
      <c r="E316" s="294"/>
      <c r="F316" s="294"/>
      <c r="G316" s="295"/>
      <c r="H316" s="295"/>
      <c r="I316" s="295"/>
      <c r="J316" s="295"/>
      <c r="K316" s="295"/>
      <c r="L316" s="295"/>
      <c r="N316" s="296"/>
      <c r="O316" s="296"/>
      <c r="P316" s="297"/>
      <c r="Q316" s="297"/>
      <c r="R316" s="297"/>
      <c r="S316" s="297"/>
      <c r="T316" s="298"/>
      <c r="U316" s="296"/>
      <c r="V316" s="296"/>
      <c r="W316" s="297"/>
      <c r="X316" s="297"/>
      <c r="Y316" s="297"/>
      <c r="Z316" s="297"/>
      <c r="AA316" s="299"/>
      <c r="AB316" s="296"/>
      <c r="AC316" s="296"/>
      <c r="AD316" s="297"/>
      <c r="AE316" s="297"/>
      <c r="AF316" s="297"/>
      <c r="AG316" s="297"/>
      <c r="AH316" s="295"/>
      <c r="AI316" s="293"/>
      <c r="AJ316" s="293"/>
      <c r="AK316" s="297"/>
      <c r="AL316" s="297"/>
      <c r="AM316" s="297"/>
      <c r="AN316" s="297"/>
      <c r="AO316" s="295"/>
      <c r="CS316" s="356">
        <v>132</v>
      </c>
      <c r="DI316" s="367"/>
    </row>
    <row r="317" spans="2:113" ht="13">
      <c r="B317" s="294"/>
      <c r="C317" s="295"/>
      <c r="D317" s="295"/>
      <c r="E317" s="294"/>
      <c r="F317" s="294"/>
      <c r="G317" s="295"/>
      <c r="H317" s="295"/>
      <c r="I317" s="295"/>
      <c r="J317" s="295"/>
      <c r="K317" s="295"/>
      <c r="L317" s="295"/>
      <c r="N317" s="296"/>
      <c r="O317" s="296"/>
      <c r="P317" s="297"/>
      <c r="Q317" s="297"/>
      <c r="R317" s="297"/>
      <c r="S317" s="297"/>
      <c r="T317" s="298"/>
      <c r="U317" s="296"/>
      <c r="V317" s="296"/>
      <c r="W317" s="297"/>
      <c r="X317" s="297"/>
      <c r="Y317" s="297"/>
      <c r="Z317" s="297"/>
      <c r="AA317" s="299"/>
      <c r="AB317" s="296"/>
      <c r="AC317" s="296"/>
      <c r="AD317" s="297"/>
      <c r="AE317" s="297"/>
      <c r="AF317" s="297"/>
      <c r="AG317" s="297"/>
      <c r="AH317" s="295"/>
      <c r="AI317" s="293"/>
      <c r="AJ317" s="293"/>
      <c r="AK317" s="297"/>
      <c r="AL317" s="297"/>
      <c r="AM317" s="297"/>
      <c r="AN317" s="297"/>
      <c r="AO317" s="295"/>
      <c r="CS317" s="356">
        <v>133</v>
      </c>
      <c r="DI317" s="367"/>
    </row>
    <row r="318" spans="2:113" ht="13">
      <c r="B318" s="294"/>
      <c r="C318" s="295"/>
      <c r="D318" s="295"/>
      <c r="E318" s="294"/>
      <c r="F318" s="294"/>
      <c r="G318" s="295"/>
      <c r="H318" s="295"/>
      <c r="I318" s="295"/>
      <c r="J318" s="295"/>
      <c r="K318" s="295"/>
      <c r="L318" s="295"/>
      <c r="N318" s="296"/>
      <c r="O318" s="296"/>
      <c r="P318" s="297"/>
      <c r="Q318" s="297"/>
      <c r="R318" s="297"/>
      <c r="S318" s="297"/>
      <c r="T318" s="298"/>
      <c r="U318" s="296"/>
      <c r="V318" s="296"/>
      <c r="W318" s="297"/>
      <c r="X318" s="297"/>
      <c r="Y318" s="297"/>
      <c r="Z318" s="297"/>
      <c r="AA318" s="299"/>
      <c r="AB318" s="296"/>
      <c r="AC318" s="296"/>
      <c r="AD318" s="297"/>
      <c r="AE318" s="297"/>
      <c r="AF318" s="297"/>
      <c r="AG318" s="297"/>
      <c r="AH318" s="295"/>
      <c r="AI318" s="293"/>
      <c r="AJ318" s="293"/>
      <c r="AK318" s="297"/>
      <c r="AL318" s="297"/>
      <c r="AM318" s="297"/>
      <c r="AN318" s="297"/>
      <c r="AO318" s="295"/>
      <c r="CS318" s="356">
        <v>134</v>
      </c>
      <c r="DI318" s="367"/>
    </row>
    <row r="319" spans="2:113" ht="13">
      <c r="B319" s="294"/>
      <c r="C319" s="295"/>
      <c r="D319" s="295"/>
      <c r="E319" s="294"/>
      <c r="F319" s="294"/>
      <c r="G319" s="295"/>
      <c r="H319" s="295"/>
      <c r="I319" s="295"/>
      <c r="J319" s="295"/>
      <c r="K319" s="295"/>
      <c r="L319" s="295"/>
      <c r="N319" s="296"/>
      <c r="O319" s="296"/>
      <c r="P319" s="297"/>
      <c r="Q319" s="297"/>
      <c r="R319" s="297"/>
      <c r="S319" s="297"/>
      <c r="T319" s="298"/>
      <c r="U319" s="296"/>
      <c r="V319" s="296"/>
      <c r="W319" s="297"/>
      <c r="X319" s="297"/>
      <c r="Y319" s="297"/>
      <c r="Z319" s="297"/>
      <c r="AA319" s="299"/>
      <c r="AB319" s="296"/>
      <c r="AC319" s="296"/>
      <c r="AD319" s="297"/>
      <c r="AE319" s="297"/>
      <c r="AF319" s="297"/>
      <c r="AG319" s="297"/>
      <c r="AH319" s="295"/>
      <c r="AI319" s="293"/>
      <c r="AJ319" s="293"/>
      <c r="AK319" s="297"/>
      <c r="AL319" s="297"/>
      <c r="AM319" s="297"/>
      <c r="AN319" s="297"/>
      <c r="AO319" s="295"/>
      <c r="CS319" s="356">
        <v>135</v>
      </c>
      <c r="DI319" s="367"/>
    </row>
    <row r="320" spans="2:113" ht="13">
      <c r="B320" s="294"/>
      <c r="C320" s="295"/>
      <c r="D320" s="295"/>
      <c r="E320" s="294"/>
      <c r="F320" s="294"/>
      <c r="G320" s="295"/>
      <c r="H320" s="295"/>
      <c r="I320" s="295"/>
      <c r="J320" s="295"/>
      <c r="K320" s="295"/>
      <c r="L320" s="295"/>
      <c r="N320" s="296"/>
      <c r="O320" s="296"/>
      <c r="P320" s="297"/>
      <c r="Q320" s="297"/>
      <c r="R320" s="297"/>
      <c r="S320" s="297"/>
      <c r="T320" s="298"/>
      <c r="U320" s="296"/>
      <c r="V320" s="296"/>
      <c r="W320" s="297"/>
      <c r="X320" s="297"/>
      <c r="Y320" s="297"/>
      <c r="Z320" s="297"/>
      <c r="AA320" s="299"/>
      <c r="AB320" s="296"/>
      <c r="AC320" s="296"/>
      <c r="AD320" s="297"/>
      <c r="AE320" s="297"/>
      <c r="AF320" s="297"/>
      <c r="AG320" s="297"/>
      <c r="AH320" s="295"/>
      <c r="AI320" s="293"/>
      <c r="AJ320" s="293"/>
      <c r="AK320" s="297"/>
      <c r="AL320" s="297"/>
      <c r="AM320" s="297"/>
      <c r="AN320" s="297"/>
      <c r="AO320" s="295"/>
      <c r="CS320" s="356">
        <v>136</v>
      </c>
      <c r="DI320" s="367"/>
    </row>
    <row r="321" spans="2:113" ht="13">
      <c r="B321" s="294"/>
      <c r="C321" s="295"/>
      <c r="D321" s="295"/>
      <c r="E321" s="294"/>
      <c r="F321" s="294"/>
      <c r="G321" s="295"/>
      <c r="H321" s="295"/>
      <c r="I321" s="295"/>
      <c r="J321" s="295"/>
      <c r="K321" s="295"/>
      <c r="L321" s="295"/>
      <c r="N321" s="296"/>
      <c r="O321" s="296"/>
      <c r="P321" s="297"/>
      <c r="Q321" s="297"/>
      <c r="R321" s="297"/>
      <c r="S321" s="297"/>
      <c r="T321" s="298"/>
      <c r="U321" s="296"/>
      <c r="V321" s="296"/>
      <c r="W321" s="297"/>
      <c r="X321" s="297"/>
      <c r="Y321" s="297"/>
      <c r="Z321" s="297"/>
      <c r="AA321" s="299"/>
      <c r="AB321" s="296"/>
      <c r="AC321" s="296"/>
      <c r="AD321" s="297"/>
      <c r="AE321" s="297"/>
      <c r="AF321" s="297"/>
      <c r="AG321" s="297"/>
      <c r="AH321" s="295"/>
      <c r="AI321" s="293"/>
      <c r="AJ321" s="293"/>
      <c r="AK321" s="297"/>
      <c r="AL321" s="297"/>
      <c r="AM321" s="297"/>
      <c r="AN321" s="297"/>
      <c r="AO321" s="295"/>
      <c r="CS321" s="356">
        <v>137</v>
      </c>
      <c r="DI321" s="367"/>
    </row>
    <row r="322" spans="2:113" ht="13">
      <c r="B322" s="294"/>
      <c r="C322" s="295"/>
      <c r="D322" s="295"/>
      <c r="E322" s="294"/>
      <c r="F322" s="294"/>
      <c r="G322" s="295"/>
      <c r="H322" s="295"/>
      <c r="I322" s="295"/>
      <c r="J322" s="295"/>
      <c r="K322" s="295"/>
      <c r="L322" s="295"/>
      <c r="N322" s="296"/>
      <c r="O322" s="296"/>
      <c r="P322" s="297"/>
      <c r="Q322" s="297"/>
      <c r="R322" s="297"/>
      <c r="S322" s="297"/>
      <c r="T322" s="298"/>
      <c r="U322" s="296"/>
      <c r="V322" s="296"/>
      <c r="W322" s="297"/>
      <c r="X322" s="297"/>
      <c r="Y322" s="297"/>
      <c r="Z322" s="297"/>
      <c r="AA322" s="299"/>
      <c r="AB322" s="296"/>
      <c r="AC322" s="296"/>
      <c r="AD322" s="297"/>
      <c r="AE322" s="297"/>
      <c r="AF322" s="297"/>
      <c r="AG322" s="297"/>
      <c r="AH322" s="295"/>
      <c r="AI322" s="293"/>
      <c r="AJ322" s="293"/>
      <c r="AK322" s="297"/>
      <c r="AL322" s="297"/>
      <c r="AM322" s="297"/>
      <c r="AN322" s="297"/>
      <c r="AO322" s="295"/>
      <c r="CS322" s="356">
        <v>138</v>
      </c>
      <c r="DI322" s="367"/>
    </row>
    <row r="323" spans="2:113" ht="13">
      <c r="B323" s="294"/>
      <c r="C323" s="295"/>
      <c r="D323" s="295"/>
      <c r="E323" s="294"/>
      <c r="F323" s="294"/>
      <c r="G323" s="295"/>
      <c r="H323" s="295"/>
      <c r="I323" s="295"/>
      <c r="J323" s="295"/>
      <c r="K323" s="295"/>
      <c r="L323" s="295"/>
      <c r="N323" s="296"/>
      <c r="O323" s="296"/>
      <c r="P323" s="297"/>
      <c r="Q323" s="297"/>
      <c r="R323" s="297"/>
      <c r="S323" s="297"/>
      <c r="T323" s="298"/>
      <c r="U323" s="296"/>
      <c r="V323" s="296"/>
      <c r="W323" s="297"/>
      <c r="X323" s="297"/>
      <c r="Y323" s="297"/>
      <c r="Z323" s="297"/>
      <c r="AA323" s="299"/>
      <c r="AB323" s="296"/>
      <c r="AC323" s="296"/>
      <c r="AD323" s="297"/>
      <c r="AE323" s="297"/>
      <c r="AF323" s="297"/>
      <c r="AG323" s="297"/>
      <c r="AH323" s="295"/>
      <c r="AI323" s="293"/>
      <c r="AJ323" s="293"/>
      <c r="AK323" s="297"/>
      <c r="AL323" s="297"/>
      <c r="AM323" s="297"/>
      <c r="AN323" s="297"/>
      <c r="AO323" s="295"/>
      <c r="CS323" s="356">
        <v>139</v>
      </c>
      <c r="DI323" s="367"/>
    </row>
    <row r="324" spans="2:113" ht="13">
      <c r="B324" s="294"/>
      <c r="C324" s="295"/>
      <c r="D324" s="295"/>
      <c r="E324" s="294"/>
      <c r="F324" s="294"/>
      <c r="G324" s="295"/>
      <c r="H324" s="295"/>
      <c r="I324" s="295"/>
      <c r="J324" s="295"/>
      <c r="K324" s="295"/>
      <c r="L324" s="295"/>
      <c r="N324" s="296"/>
      <c r="O324" s="296"/>
      <c r="P324" s="297"/>
      <c r="Q324" s="297"/>
      <c r="R324" s="297"/>
      <c r="S324" s="297"/>
      <c r="T324" s="298"/>
      <c r="U324" s="296"/>
      <c r="V324" s="296"/>
      <c r="W324" s="297"/>
      <c r="X324" s="297"/>
      <c r="Y324" s="297"/>
      <c r="Z324" s="297"/>
      <c r="AA324" s="299"/>
      <c r="AB324" s="296"/>
      <c r="AC324" s="296"/>
      <c r="AD324" s="297"/>
      <c r="AE324" s="297"/>
      <c r="AF324" s="297"/>
      <c r="AG324" s="297"/>
      <c r="AH324" s="295"/>
      <c r="AI324" s="293"/>
      <c r="AJ324" s="293"/>
      <c r="AK324" s="297"/>
      <c r="AL324" s="297"/>
      <c r="AM324" s="297"/>
      <c r="AN324" s="297"/>
      <c r="AO324" s="295"/>
      <c r="CS324" s="356">
        <v>140</v>
      </c>
      <c r="DI324" s="367"/>
    </row>
    <row r="325" spans="2:113" ht="13">
      <c r="B325" s="294"/>
      <c r="C325" s="295"/>
      <c r="D325" s="295"/>
      <c r="E325" s="294"/>
      <c r="F325" s="294"/>
      <c r="G325" s="295"/>
      <c r="H325" s="295"/>
      <c r="I325" s="295"/>
      <c r="J325" s="295"/>
      <c r="K325" s="295"/>
      <c r="L325" s="295"/>
      <c r="N325" s="296"/>
      <c r="O325" s="296"/>
      <c r="P325" s="297"/>
      <c r="Q325" s="297"/>
      <c r="R325" s="297"/>
      <c r="S325" s="297"/>
      <c r="T325" s="298"/>
      <c r="U325" s="296"/>
      <c r="V325" s="296"/>
      <c r="W325" s="297"/>
      <c r="X325" s="297"/>
      <c r="Y325" s="297"/>
      <c r="Z325" s="297"/>
      <c r="AA325" s="299"/>
      <c r="AB325" s="296"/>
      <c r="AC325" s="296"/>
      <c r="AD325" s="297"/>
      <c r="AE325" s="297"/>
      <c r="AF325" s="297"/>
      <c r="AG325" s="297"/>
      <c r="AH325" s="295"/>
      <c r="AI325" s="293"/>
      <c r="AJ325" s="293"/>
      <c r="AK325" s="297"/>
      <c r="AL325" s="297"/>
      <c r="AM325" s="297"/>
      <c r="AN325" s="297"/>
      <c r="AO325" s="295"/>
      <c r="CS325" s="368"/>
      <c r="CT325" s="369"/>
      <c r="CU325" s="369"/>
      <c r="CV325" s="369"/>
      <c r="CW325" s="369"/>
      <c r="CX325" s="369"/>
      <c r="CY325" s="369"/>
      <c r="CZ325" s="369"/>
      <c r="DA325" s="369"/>
      <c r="DB325" s="369"/>
      <c r="DC325" s="369"/>
      <c r="DD325" s="369"/>
      <c r="DE325" s="369"/>
      <c r="DF325" s="369"/>
      <c r="DG325" s="369"/>
      <c r="DH325" s="369"/>
      <c r="DI325" s="370"/>
    </row>
    <row r="326" spans="2:113" ht="13">
      <c r="B326" s="294"/>
      <c r="C326" s="295"/>
      <c r="D326" s="295"/>
      <c r="E326" s="294"/>
      <c r="F326" s="294"/>
      <c r="G326" s="295"/>
      <c r="H326" s="295"/>
      <c r="I326" s="295"/>
      <c r="J326" s="295"/>
      <c r="K326" s="295"/>
      <c r="L326" s="295"/>
      <c r="N326" s="296"/>
      <c r="O326" s="296"/>
      <c r="P326" s="297"/>
      <c r="Q326" s="297"/>
      <c r="R326" s="297"/>
      <c r="S326" s="297"/>
      <c r="T326" s="298"/>
      <c r="U326" s="296"/>
      <c r="V326" s="296"/>
      <c r="W326" s="297"/>
      <c r="X326" s="297"/>
      <c r="Y326" s="297"/>
      <c r="Z326" s="297"/>
      <c r="AA326" s="299"/>
      <c r="AB326" s="296"/>
      <c r="AC326" s="296"/>
      <c r="AD326" s="297"/>
      <c r="AE326" s="297"/>
      <c r="AF326" s="297"/>
      <c r="AG326" s="297"/>
      <c r="AH326" s="295"/>
      <c r="AI326" s="293"/>
      <c r="AJ326" s="293"/>
      <c r="AK326" s="297"/>
      <c r="AL326" s="297"/>
      <c r="AM326" s="297"/>
      <c r="AN326" s="297"/>
      <c r="AO326" s="295"/>
      <c r="DA326" s="352">
        <f>DA330-AZ151</f>
        <v>1.0000035166740417E-2</v>
      </c>
      <c r="DB326" s="352">
        <f>DB330-BI151</f>
        <v>1.0000050067901611E-2</v>
      </c>
      <c r="DC326" s="352">
        <f>DC330-BM151</f>
        <v>-2.000001072883606E-2</v>
      </c>
      <c r="DD326" s="352">
        <f>DD330-BQ151</f>
        <v>-1.9999951124191284E-2</v>
      </c>
      <c r="DE326" s="352">
        <f>DE330-BX151</f>
        <v>0</v>
      </c>
    </row>
    <row r="327" spans="2:113" ht="13">
      <c r="B327" s="294"/>
      <c r="C327" s="295"/>
      <c r="D327" s="295"/>
      <c r="E327" s="294"/>
      <c r="F327" s="294"/>
      <c r="G327" s="295"/>
      <c r="H327" s="295"/>
      <c r="I327" s="295"/>
      <c r="J327" s="295"/>
      <c r="K327" s="295"/>
      <c r="L327" s="295"/>
      <c r="N327" s="296"/>
      <c r="O327" s="296"/>
      <c r="P327" s="297"/>
      <c r="Q327" s="297"/>
      <c r="R327" s="297"/>
      <c r="S327" s="297"/>
      <c r="T327" s="298"/>
      <c r="U327" s="296"/>
      <c r="V327" s="296"/>
      <c r="W327" s="297"/>
      <c r="X327" s="297"/>
      <c r="Y327" s="297"/>
      <c r="Z327" s="297"/>
      <c r="AA327" s="299"/>
      <c r="AB327" s="296"/>
      <c r="AC327" s="296"/>
      <c r="AD327" s="297"/>
      <c r="AE327" s="297"/>
      <c r="AF327" s="297"/>
      <c r="AG327" s="297"/>
      <c r="AH327" s="295"/>
      <c r="AI327" s="293"/>
      <c r="AJ327" s="293"/>
      <c r="AK327" s="297"/>
      <c r="AL327" s="297"/>
      <c r="AM327" s="297"/>
      <c r="AN327" s="297"/>
      <c r="AO327" s="295"/>
      <c r="CS327" s="371"/>
      <c r="CT327" s="372">
        <v>1</v>
      </c>
      <c r="CU327" s="372">
        <v>2</v>
      </c>
      <c r="CV327" s="372">
        <v>3</v>
      </c>
      <c r="CW327" s="372">
        <v>4</v>
      </c>
      <c r="CX327" s="372">
        <v>5</v>
      </c>
      <c r="CY327" s="372">
        <v>6</v>
      </c>
      <c r="CZ327" s="372">
        <v>7</v>
      </c>
      <c r="DA327" s="372">
        <v>8</v>
      </c>
      <c r="DB327" s="372">
        <v>9</v>
      </c>
      <c r="DC327" s="372">
        <v>10</v>
      </c>
      <c r="DD327" s="372">
        <v>11</v>
      </c>
      <c r="DE327" s="372">
        <v>12</v>
      </c>
      <c r="DF327" s="372">
        <v>13</v>
      </c>
      <c r="DG327" s="372">
        <v>14</v>
      </c>
      <c r="DH327" s="372">
        <v>15</v>
      </c>
      <c r="DI327" s="373">
        <v>16</v>
      </c>
    </row>
    <row r="328" spans="2:113" ht="13">
      <c r="B328" s="294"/>
      <c r="C328" s="295"/>
      <c r="D328" s="295"/>
      <c r="E328" s="294"/>
      <c r="F328" s="294"/>
      <c r="G328" s="295"/>
      <c r="H328" s="295"/>
      <c r="I328" s="295"/>
      <c r="J328" s="295"/>
      <c r="K328" s="295"/>
      <c r="L328" s="295"/>
      <c r="N328" s="296"/>
      <c r="O328" s="296"/>
      <c r="P328" s="297"/>
      <c r="Q328" s="297"/>
      <c r="R328" s="297"/>
      <c r="S328" s="297"/>
      <c r="T328" s="298"/>
      <c r="U328" s="296"/>
      <c r="V328" s="296"/>
      <c r="W328" s="297"/>
      <c r="X328" s="297"/>
      <c r="Y328" s="297"/>
      <c r="Z328" s="297"/>
      <c r="AA328" s="299"/>
      <c r="AB328" s="296"/>
      <c r="AC328" s="296"/>
      <c r="AD328" s="297"/>
      <c r="AE328" s="297"/>
      <c r="AF328" s="297"/>
      <c r="AG328" s="297"/>
      <c r="AH328" s="295"/>
      <c r="AI328" s="293"/>
      <c r="AJ328" s="293"/>
      <c r="AK328" s="297"/>
      <c r="AL328" s="297"/>
      <c r="AM328" s="297"/>
      <c r="AN328" s="297"/>
      <c r="AO328" s="295"/>
      <c r="CS328" s="374"/>
      <c r="CV328" s="357">
        <v>45658</v>
      </c>
      <c r="CW328" s="357">
        <v>45689</v>
      </c>
      <c r="CX328" s="357">
        <v>45717</v>
      </c>
      <c r="CY328" s="357">
        <v>45748</v>
      </c>
      <c r="CZ328" s="357">
        <v>45778</v>
      </c>
      <c r="DA328" s="357">
        <v>45809</v>
      </c>
      <c r="DB328" s="357">
        <v>45839</v>
      </c>
      <c r="DC328" s="357">
        <v>45870</v>
      </c>
      <c r="DD328" s="357">
        <v>45901</v>
      </c>
      <c r="DE328" s="357">
        <v>45931</v>
      </c>
      <c r="DF328" s="357">
        <v>45962</v>
      </c>
      <c r="DG328" s="357">
        <v>45992</v>
      </c>
      <c r="DH328" s="357"/>
      <c r="DI328" s="375"/>
    </row>
    <row r="329" spans="2:113" ht="13">
      <c r="B329" s="294"/>
      <c r="C329" s="295"/>
      <c r="D329" s="295"/>
      <c r="E329" s="294"/>
      <c r="F329" s="294"/>
      <c r="G329" s="295"/>
      <c r="H329" s="295"/>
      <c r="I329" s="295"/>
      <c r="J329" s="295"/>
      <c r="K329" s="295"/>
      <c r="L329" s="295"/>
      <c r="N329" s="296"/>
      <c r="O329" s="296"/>
      <c r="P329" s="297"/>
      <c r="Q329" s="297"/>
      <c r="R329" s="297"/>
      <c r="S329" s="297"/>
      <c r="T329" s="298"/>
      <c r="U329" s="296"/>
      <c r="V329" s="296"/>
      <c r="W329" s="297"/>
      <c r="X329" s="297"/>
      <c r="Y329" s="297"/>
      <c r="Z329" s="297"/>
      <c r="AA329" s="299"/>
      <c r="AB329" s="296"/>
      <c r="AC329" s="296"/>
      <c r="AD329" s="297"/>
      <c r="AE329" s="297"/>
      <c r="AF329" s="297"/>
      <c r="AG329" s="297"/>
      <c r="AH329" s="295"/>
      <c r="AI329" s="293"/>
      <c r="AJ329" s="293"/>
      <c r="AK329" s="297"/>
      <c r="AL329" s="297"/>
      <c r="AM329" s="297"/>
      <c r="AN329" s="297"/>
      <c r="AO329" s="295"/>
      <c r="CS329" s="374"/>
      <c r="CT329" s="376"/>
      <c r="CU329" s="377" t="s">
        <v>241</v>
      </c>
      <c r="CV329" s="360">
        <v>45658</v>
      </c>
      <c r="CW329" s="360">
        <v>45689</v>
      </c>
      <c r="CX329" s="360">
        <v>45717</v>
      </c>
      <c r="CY329" s="360">
        <v>45748</v>
      </c>
      <c r="CZ329" s="360">
        <v>45778</v>
      </c>
      <c r="DA329" s="360">
        <v>45809</v>
      </c>
      <c r="DB329" s="360">
        <v>45839</v>
      </c>
      <c r="DC329" s="360">
        <v>45870</v>
      </c>
      <c r="DD329" s="360">
        <v>45901</v>
      </c>
      <c r="DE329" s="360">
        <v>45931</v>
      </c>
      <c r="DF329" s="360"/>
      <c r="DG329" s="360"/>
      <c r="DH329" s="357"/>
      <c r="DI329" s="375"/>
    </row>
    <row r="330" spans="2:113" ht="13">
      <c r="B330" s="294"/>
      <c r="C330" s="295"/>
      <c r="D330" s="295"/>
      <c r="E330" s="294"/>
      <c r="F330" s="294"/>
      <c r="G330" s="295"/>
      <c r="H330" s="295"/>
      <c r="I330" s="295"/>
      <c r="J330" s="295"/>
      <c r="K330" s="295"/>
      <c r="L330" s="295"/>
      <c r="N330" s="296"/>
      <c r="O330" s="296"/>
      <c r="P330" s="297"/>
      <c r="Q330" s="297"/>
      <c r="R330" s="297"/>
      <c r="S330" s="297"/>
      <c r="T330" s="298"/>
      <c r="U330" s="296"/>
      <c r="V330" s="296"/>
      <c r="W330" s="297"/>
      <c r="X330" s="297"/>
      <c r="Y330" s="297"/>
      <c r="Z330" s="297"/>
      <c r="AA330" s="299"/>
      <c r="AB330" s="296"/>
      <c r="AC330" s="296"/>
      <c r="AD330" s="297"/>
      <c r="AE330" s="297"/>
      <c r="AF330" s="297"/>
      <c r="AG330" s="297"/>
      <c r="AH330" s="295"/>
      <c r="AI330" s="293"/>
      <c r="AJ330" s="293"/>
      <c r="AK330" s="297"/>
      <c r="AL330" s="297"/>
      <c r="AM330" s="297"/>
      <c r="AN330" s="297"/>
      <c r="AO330" s="295"/>
      <c r="CS330" s="374"/>
      <c r="CT330" s="359" t="s">
        <v>241</v>
      </c>
      <c r="CU330" s="361">
        <v>1083827753.3</v>
      </c>
      <c r="CV330" s="361">
        <v>99242182.430000007</v>
      </c>
      <c r="CW330" s="361">
        <v>96881469.959999993</v>
      </c>
      <c r="CX330" s="361">
        <v>102913123.90000001</v>
      </c>
      <c r="CY330" s="361">
        <v>123801155.89</v>
      </c>
      <c r="CZ330" s="361">
        <v>127906086.7</v>
      </c>
      <c r="DA330" s="361">
        <v>122470061.14</v>
      </c>
      <c r="DB330" s="361">
        <v>135346225.86000001</v>
      </c>
      <c r="DC330" s="361">
        <v>136891282.88999999</v>
      </c>
      <c r="DD330" s="361">
        <v>73380313.870000005</v>
      </c>
      <c r="DE330" s="361">
        <v>64995850.68</v>
      </c>
      <c r="DF330" s="361"/>
      <c r="DG330" s="361"/>
      <c r="DH330" s="361"/>
      <c r="DI330" s="378"/>
    </row>
    <row r="331" spans="2:113" ht="13">
      <c r="B331" s="294"/>
      <c r="C331" s="295"/>
      <c r="D331" s="295"/>
      <c r="E331" s="294"/>
      <c r="F331" s="294"/>
      <c r="G331" s="295"/>
      <c r="H331" s="295"/>
      <c r="I331" s="295"/>
      <c r="J331" s="295"/>
      <c r="K331" s="295"/>
      <c r="L331" s="295"/>
      <c r="N331" s="296"/>
      <c r="O331" s="296"/>
      <c r="P331" s="297"/>
      <c r="Q331" s="297"/>
      <c r="R331" s="297"/>
      <c r="S331" s="297"/>
      <c r="T331" s="298"/>
      <c r="U331" s="296"/>
      <c r="V331" s="296"/>
      <c r="W331" s="297"/>
      <c r="X331" s="297"/>
      <c r="Y331" s="297"/>
      <c r="Z331" s="297"/>
      <c r="AA331" s="299"/>
      <c r="AB331" s="296"/>
      <c r="AC331" s="296"/>
      <c r="AD331" s="297"/>
      <c r="AE331" s="297"/>
      <c r="AF331" s="297"/>
      <c r="AG331" s="297"/>
      <c r="AH331" s="295"/>
      <c r="AI331" s="293"/>
      <c r="AJ331" s="293"/>
      <c r="AK331" s="297"/>
      <c r="AL331" s="297"/>
      <c r="AM331" s="297"/>
      <c r="AN331" s="297"/>
      <c r="AO331" s="295"/>
      <c r="CS331" s="374">
        <v>1</v>
      </c>
      <c r="CT331" s="359" t="s">
        <v>67</v>
      </c>
      <c r="CU331" s="361">
        <v>295500467.81</v>
      </c>
      <c r="CV331" s="361">
        <v>21262272.390000001</v>
      </c>
      <c r="CW331" s="361">
        <v>29364222.579999998</v>
      </c>
      <c r="CX331" s="361">
        <v>23470677.609999999</v>
      </c>
      <c r="CY331" s="361">
        <v>34398019.840000004</v>
      </c>
      <c r="CZ331" s="361">
        <v>35477507.329999998</v>
      </c>
      <c r="DA331" s="361">
        <v>42774867.57</v>
      </c>
      <c r="DB331" s="361">
        <v>43616849.399999999</v>
      </c>
      <c r="DC331" s="361">
        <v>55811631.170000002</v>
      </c>
      <c r="DD331" s="361">
        <v>9042217.9900000002</v>
      </c>
      <c r="DE331" s="361">
        <v>282201.93</v>
      </c>
      <c r="DF331" s="361"/>
      <c r="DG331" s="361"/>
      <c r="DH331" s="361"/>
      <c r="DI331" s="378"/>
    </row>
    <row r="332" spans="2:113" ht="13">
      <c r="B332" s="294"/>
      <c r="C332" s="295"/>
      <c r="D332" s="295"/>
      <c r="E332" s="294"/>
      <c r="F332" s="294"/>
      <c r="G332" s="295"/>
      <c r="H332" s="295"/>
      <c r="I332" s="295"/>
      <c r="J332" s="295"/>
      <c r="K332" s="295"/>
      <c r="L332" s="295"/>
      <c r="N332" s="296"/>
      <c r="O332" s="296"/>
      <c r="P332" s="297"/>
      <c r="Q332" s="297"/>
      <c r="R332" s="297"/>
      <c r="S332" s="297"/>
      <c r="T332" s="298"/>
      <c r="U332" s="296"/>
      <c r="V332" s="296"/>
      <c r="W332" s="297"/>
      <c r="X332" s="297"/>
      <c r="Y332" s="297"/>
      <c r="Z332" s="297"/>
      <c r="AA332" s="299"/>
      <c r="AB332" s="296"/>
      <c r="AC332" s="296"/>
      <c r="AD332" s="297"/>
      <c r="AE332" s="297"/>
      <c r="AF332" s="297"/>
      <c r="AG332" s="297"/>
      <c r="AH332" s="295"/>
      <c r="AI332" s="293"/>
      <c r="AJ332" s="293"/>
      <c r="AK332" s="297"/>
      <c r="AL332" s="297"/>
      <c r="AM332" s="297"/>
      <c r="AN332" s="297"/>
      <c r="AO332" s="295"/>
      <c r="CS332" s="374">
        <v>2</v>
      </c>
      <c r="CT332" s="359" t="s">
        <v>66</v>
      </c>
      <c r="CU332" s="361">
        <v>252618553.72</v>
      </c>
      <c r="CV332" s="361">
        <v>30335361.52</v>
      </c>
      <c r="CW332" s="361">
        <v>17654907.960000001</v>
      </c>
      <c r="CX332" s="361">
        <v>33261059.539999999</v>
      </c>
      <c r="CY332" s="361">
        <v>31559591.760000002</v>
      </c>
      <c r="CZ332" s="361">
        <v>34803454.340000004</v>
      </c>
      <c r="DA332" s="361">
        <v>27162655.379999999</v>
      </c>
      <c r="DB332" s="361">
        <v>22601642.77</v>
      </c>
      <c r="DC332" s="361">
        <v>16261280.59</v>
      </c>
      <c r="DD332" s="361">
        <v>25511912.48</v>
      </c>
      <c r="DE332" s="361">
        <v>13466687.390000001</v>
      </c>
      <c r="DF332" s="361"/>
      <c r="DG332" s="361"/>
      <c r="DH332" s="361"/>
      <c r="DI332" s="378"/>
    </row>
    <row r="333" spans="2:113" ht="13">
      <c r="B333" s="294"/>
      <c r="C333" s="295"/>
      <c r="D333" s="295"/>
      <c r="E333" s="294"/>
      <c r="F333" s="294"/>
      <c r="G333" s="295"/>
      <c r="H333" s="295"/>
      <c r="I333" s="295"/>
      <c r="J333" s="295"/>
      <c r="K333" s="295"/>
      <c r="L333" s="295"/>
      <c r="N333" s="296"/>
      <c r="O333" s="296"/>
      <c r="P333" s="297"/>
      <c r="Q333" s="297"/>
      <c r="R333" s="297"/>
      <c r="S333" s="297"/>
      <c r="T333" s="298"/>
      <c r="U333" s="296"/>
      <c r="V333" s="296"/>
      <c r="W333" s="297"/>
      <c r="X333" s="297"/>
      <c r="Y333" s="297"/>
      <c r="Z333" s="297"/>
      <c r="AA333" s="299"/>
      <c r="AB333" s="296"/>
      <c r="AC333" s="296"/>
      <c r="AD333" s="297"/>
      <c r="AE333" s="297"/>
      <c r="AF333" s="297"/>
      <c r="AG333" s="297"/>
      <c r="AH333" s="295"/>
      <c r="AI333" s="293"/>
      <c r="AJ333" s="293"/>
      <c r="AK333" s="297"/>
      <c r="AL333" s="297"/>
      <c r="AM333" s="297"/>
      <c r="AN333" s="297"/>
      <c r="AO333" s="295"/>
      <c r="CS333" s="374">
        <v>3</v>
      </c>
      <c r="CT333" s="359" t="s">
        <v>68</v>
      </c>
      <c r="CU333" s="361">
        <v>74862075.670000002</v>
      </c>
      <c r="CV333" s="361">
        <v>6311486.4400000004</v>
      </c>
      <c r="CW333" s="361">
        <v>6586208.9100000001</v>
      </c>
      <c r="CX333" s="361">
        <v>9468781.5999999996</v>
      </c>
      <c r="CY333" s="361">
        <v>9753284.6600000001</v>
      </c>
      <c r="CZ333" s="361">
        <v>11396689.67</v>
      </c>
      <c r="DA333" s="361">
        <v>7683403.3399999999</v>
      </c>
      <c r="DB333" s="361">
        <v>9245757.4600000009</v>
      </c>
      <c r="DC333" s="361">
        <v>5940096.2599999998</v>
      </c>
      <c r="DD333" s="361">
        <v>4420737.97</v>
      </c>
      <c r="DE333" s="361">
        <v>4055629.36</v>
      </c>
      <c r="DF333" s="361"/>
      <c r="DG333" s="361"/>
      <c r="DH333" s="361"/>
      <c r="DI333" s="378"/>
    </row>
    <row r="334" spans="2:113" ht="13">
      <c r="B334" s="294"/>
      <c r="C334" s="295"/>
      <c r="D334" s="295"/>
      <c r="E334" s="294"/>
      <c r="F334" s="294"/>
      <c r="G334" s="295"/>
      <c r="H334" s="295"/>
      <c r="I334" s="295"/>
      <c r="J334" s="295"/>
      <c r="K334" s="295"/>
      <c r="L334" s="295"/>
      <c r="N334" s="296"/>
      <c r="O334" s="296"/>
      <c r="P334" s="297"/>
      <c r="Q334" s="297"/>
      <c r="R334" s="297"/>
      <c r="S334" s="297"/>
      <c r="T334" s="298"/>
      <c r="U334" s="296"/>
      <c r="V334" s="296"/>
      <c r="W334" s="297"/>
      <c r="X334" s="297"/>
      <c r="Y334" s="297"/>
      <c r="Z334" s="297"/>
      <c r="AA334" s="299"/>
      <c r="AB334" s="296"/>
      <c r="AC334" s="296"/>
      <c r="AD334" s="297"/>
      <c r="AE334" s="297"/>
      <c r="AF334" s="297"/>
      <c r="AG334" s="297"/>
      <c r="AH334" s="295"/>
      <c r="AI334" s="293"/>
      <c r="AJ334" s="293"/>
      <c r="AK334" s="297"/>
      <c r="AL334" s="297"/>
      <c r="AM334" s="297"/>
      <c r="AN334" s="297"/>
      <c r="AO334" s="295"/>
      <c r="CS334" s="374">
        <v>4</v>
      </c>
      <c r="CT334" s="359" t="s">
        <v>238</v>
      </c>
      <c r="CU334" s="361">
        <v>74847103.099999994</v>
      </c>
      <c r="CV334" s="361">
        <v>7670935.5999999996</v>
      </c>
      <c r="CW334" s="361">
        <v>5857080</v>
      </c>
      <c r="CX334" s="361">
        <v>5349895.7300000004</v>
      </c>
      <c r="CY334" s="361">
        <v>7358835.7800000003</v>
      </c>
      <c r="CZ334" s="361">
        <v>9042232.7400000002</v>
      </c>
      <c r="DA334" s="361">
        <v>6754067.5700000003</v>
      </c>
      <c r="DB334" s="361">
        <v>7553366.3499999996</v>
      </c>
      <c r="DC334" s="361">
        <v>8532514.5299999993</v>
      </c>
      <c r="DD334" s="361">
        <v>3946483.32</v>
      </c>
      <c r="DE334" s="361">
        <v>12781691.48</v>
      </c>
      <c r="DF334" s="361"/>
      <c r="DG334" s="361"/>
      <c r="DH334" s="361"/>
      <c r="DI334" s="378"/>
    </row>
    <row r="335" spans="2:113" ht="13">
      <c r="B335" s="294"/>
      <c r="C335" s="295"/>
      <c r="D335" s="295"/>
      <c r="E335" s="294"/>
      <c r="F335" s="294"/>
      <c r="G335" s="295"/>
      <c r="H335" s="295"/>
      <c r="I335" s="295"/>
      <c r="J335" s="295"/>
      <c r="K335" s="295"/>
      <c r="L335" s="295"/>
      <c r="N335" s="296"/>
      <c r="O335" s="296"/>
      <c r="P335" s="297"/>
      <c r="Q335" s="297"/>
      <c r="R335" s="297"/>
      <c r="S335" s="297"/>
      <c r="T335" s="298"/>
      <c r="U335" s="296"/>
      <c r="V335" s="296"/>
      <c r="W335" s="297"/>
      <c r="X335" s="297"/>
      <c r="Y335" s="297"/>
      <c r="Z335" s="297"/>
      <c r="AA335" s="299"/>
      <c r="AB335" s="296"/>
      <c r="AC335" s="296"/>
      <c r="AD335" s="297"/>
      <c r="AE335" s="297"/>
      <c r="AF335" s="297"/>
      <c r="AG335" s="297"/>
      <c r="AH335" s="295"/>
      <c r="AI335" s="293"/>
      <c r="AJ335" s="293"/>
      <c r="AK335" s="297"/>
      <c r="AL335" s="297"/>
      <c r="AM335" s="297"/>
      <c r="AN335" s="297"/>
      <c r="AO335" s="295"/>
      <c r="CS335" s="374">
        <v>5</v>
      </c>
      <c r="CT335" s="359" t="s">
        <v>233</v>
      </c>
      <c r="CU335" s="361">
        <v>45930830.590000004</v>
      </c>
      <c r="CV335" s="361">
        <v>7487194.1600000001</v>
      </c>
      <c r="CW335" s="361">
        <v>7122280.5999999996</v>
      </c>
      <c r="CX335" s="361">
        <v>3470455.42</v>
      </c>
      <c r="CY335" s="361">
        <v>8355298.1799999997</v>
      </c>
      <c r="CZ335" s="361">
        <v>4442564.6900000004</v>
      </c>
      <c r="DA335" s="361">
        <v>2978150.48</v>
      </c>
      <c r="DB335" s="361">
        <v>4150639.72</v>
      </c>
      <c r="DC335" s="361">
        <v>3751607.24</v>
      </c>
      <c r="DD335" s="361">
        <v>3033457.35</v>
      </c>
      <c r="DE335" s="361">
        <v>1139182.75</v>
      </c>
      <c r="DF335" s="361"/>
      <c r="DG335" s="361"/>
      <c r="DH335" s="361"/>
      <c r="DI335" s="378"/>
    </row>
    <row r="336" spans="2:113" ht="13">
      <c r="B336" s="294"/>
      <c r="C336" s="295"/>
      <c r="D336" s="295"/>
      <c r="E336" s="294"/>
      <c r="F336" s="294"/>
      <c r="G336" s="295"/>
      <c r="H336" s="295"/>
      <c r="I336" s="295"/>
      <c r="J336" s="295"/>
      <c r="K336" s="295"/>
      <c r="L336" s="295"/>
      <c r="N336" s="296"/>
      <c r="O336" s="296"/>
      <c r="P336" s="297"/>
      <c r="Q336" s="297"/>
      <c r="R336" s="297"/>
      <c r="S336" s="297"/>
      <c r="T336" s="298"/>
      <c r="U336" s="296"/>
      <c r="V336" s="296"/>
      <c r="W336" s="297"/>
      <c r="X336" s="297"/>
      <c r="Y336" s="297"/>
      <c r="Z336" s="297"/>
      <c r="AA336" s="299"/>
      <c r="AB336" s="296"/>
      <c r="AC336" s="296"/>
      <c r="AD336" s="297"/>
      <c r="AE336" s="297"/>
      <c r="AF336" s="297"/>
      <c r="AG336" s="297"/>
      <c r="AH336" s="295"/>
      <c r="AI336" s="293"/>
      <c r="AJ336" s="293"/>
      <c r="AK336" s="297"/>
      <c r="AL336" s="297"/>
      <c r="AM336" s="297"/>
      <c r="AN336" s="297"/>
      <c r="AO336" s="295"/>
      <c r="CS336" s="374">
        <v>6</v>
      </c>
      <c r="CT336" s="359" t="s">
        <v>76</v>
      </c>
      <c r="CU336" s="361">
        <v>40173211.560000002</v>
      </c>
      <c r="CV336" s="361">
        <v>3255976.57</v>
      </c>
      <c r="CW336" s="361">
        <v>4924669.13</v>
      </c>
      <c r="CX336" s="361">
        <v>3345431.97</v>
      </c>
      <c r="CY336" s="361">
        <v>2819252.36</v>
      </c>
      <c r="CZ336" s="361">
        <v>3715085.45</v>
      </c>
      <c r="DA336" s="361">
        <v>1793149.13</v>
      </c>
      <c r="DB336" s="361">
        <v>7046552.6699999999</v>
      </c>
      <c r="DC336" s="361">
        <v>5536190.1200000001</v>
      </c>
      <c r="DD336" s="361">
        <v>3549071.76</v>
      </c>
      <c r="DE336" s="361">
        <v>4187832.4</v>
      </c>
      <c r="DF336" s="361"/>
      <c r="DG336" s="361"/>
      <c r="DH336" s="361"/>
      <c r="DI336" s="378"/>
    </row>
    <row r="337" spans="2:113" ht="13">
      <c r="B337" s="294"/>
      <c r="C337" s="295"/>
      <c r="D337" s="295"/>
      <c r="E337" s="294"/>
      <c r="F337" s="294"/>
      <c r="G337" s="295"/>
      <c r="H337" s="295"/>
      <c r="I337" s="295"/>
      <c r="J337" s="295"/>
      <c r="K337" s="295"/>
      <c r="L337" s="295"/>
      <c r="N337" s="296"/>
      <c r="O337" s="296"/>
      <c r="P337" s="297"/>
      <c r="Q337" s="297"/>
      <c r="R337" s="297"/>
      <c r="S337" s="297"/>
      <c r="T337" s="298"/>
      <c r="U337" s="296"/>
      <c r="V337" s="296"/>
      <c r="W337" s="297"/>
      <c r="X337" s="297"/>
      <c r="Y337" s="297"/>
      <c r="Z337" s="297"/>
      <c r="AA337" s="299"/>
      <c r="AB337" s="296"/>
      <c r="AC337" s="296"/>
      <c r="AD337" s="297"/>
      <c r="AE337" s="297"/>
      <c r="AF337" s="297"/>
      <c r="AG337" s="297"/>
      <c r="AH337" s="295"/>
      <c r="AI337" s="293"/>
      <c r="AJ337" s="293"/>
      <c r="AK337" s="297"/>
      <c r="AL337" s="297"/>
      <c r="AM337" s="297"/>
      <c r="AN337" s="297"/>
      <c r="AO337" s="295"/>
      <c r="CS337" s="374">
        <v>7</v>
      </c>
      <c r="CT337" s="359" t="s">
        <v>85</v>
      </c>
      <c r="CU337" s="361">
        <v>36432293.840000004</v>
      </c>
      <c r="CV337" s="361">
        <v>3261466.71</v>
      </c>
      <c r="CW337" s="361">
        <v>3501785.17</v>
      </c>
      <c r="CX337" s="361">
        <v>4262906.33</v>
      </c>
      <c r="CY337" s="361">
        <v>2242305.36</v>
      </c>
      <c r="CZ337" s="361">
        <v>3963899.02</v>
      </c>
      <c r="DA337" s="361">
        <v>3825575.1</v>
      </c>
      <c r="DB337" s="361">
        <v>5967225.29</v>
      </c>
      <c r="DC337" s="361">
        <v>6515716.54</v>
      </c>
      <c r="DD337" s="361">
        <v>1154855.67</v>
      </c>
      <c r="DE337" s="361">
        <v>1736558.66</v>
      </c>
      <c r="DF337" s="361"/>
      <c r="DG337" s="361"/>
      <c r="DH337" s="361"/>
      <c r="DI337" s="378"/>
    </row>
    <row r="338" spans="2:113" ht="13">
      <c r="B338" s="294"/>
      <c r="C338" s="295"/>
      <c r="D338" s="295"/>
      <c r="E338" s="294"/>
      <c r="F338" s="294"/>
      <c r="G338" s="295"/>
      <c r="H338" s="295"/>
      <c r="I338" s="295"/>
      <c r="J338" s="295"/>
      <c r="K338" s="295"/>
      <c r="L338" s="295"/>
      <c r="N338" s="296"/>
      <c r="O338" s="296"/>
      <c r="P338" s="297"/>
      <c r="Q338" s="297"/>
      <c r="R338" s="297"/>
      <c r="S338" s="297"/>
      <c r="T338" s="298"/>
      <c r="U338" s="296"/>
      <c r="V338" s="296"/>
      <c r="W338" s="297"/>
      <c r="X338" s="297"/>
      <c r="Y338" s="297"/>
      <c r="Z338" s="297"/>
      <c r="AA338" s="299"/>
      <c r="AB338" s="296"/>
      <c r="AC338" s="296"/>
      <c r="AD338" s="297"/>
      <c r="AE338" s="297"/>
      <c r="AF338" s="297"/>
      <c r="AG338" s="297"/>
      <c r="AH338" s="295"/>
      <c r="AI338" s="293"/>
      <c r="AJ338" s="293"/>
      <c r="AK338" s="297"/>
      <c r="AL338" s="297"/>
      <c r="AM338" s="297"/>
      <c r="AN338" s="297"/>
      <c r="AO338" s="295"/>
      <c r="CS338" s="374">
        <v>8</v>
      </c>
      <c r="CT338" s="359" t="s">
        <v>103</v>
      </c>
      <c r="CU338" s="361">
        <v>26621344.579999998</v>
      </c>
      <c r="CV338" s="361">
        <v>0</v>
      </c>
      <c r="CW338" s="361">
        <v>0</v>
      </c>
      <c r="CX338" s="361">
        <v>2907554.8</v>
      </c>
      <c r="CY338" s="361">
        <v>3109137.12</v>
      </c>
      <c r="CZ338" s="361">
        <v>2650551.44</v>
      </c>
      <c r="DA338" s="361">
        <v>4116352.66</v>
      </c>
      <c r="DB338" s="361">
        <v>4151256.4</v>
      </c>
      <c r="DC338" s="361">
        <v>6381050.2599999998</v>
      </c>
      <c r="DD338" s="361">
        <v>828896.68</v>
      </c>
      <c r="DE338" s="361">
        <v>2476545.21</v>
      </c>
      <c r="DF338" s="361"/>
      <c r="DG338" s="361"/>
      <c r="DH338" s="361"/>
      <c r="DI338" s="378"/>
    </row>
    <row r="339" spans="2:113" ht="13">
      <c r="B339" s="294"/>
      <c r="C339" s="295"/>
      <c r="D339" s="295"/>
      <c r="E339" s="294"/>
      <c r="F339" s="294"/>
      <c r="G339" s="295"/>
      <c r="H339" s="295"/>
      <c r="I339" s="295"/>
      <c r="J339" s="295"/>
      <c r="K339" s="295"/>
      <c r="L339" s="295"/>
      <c r="N339" s="296"/>
      <c r="O339" s="296"/>
      <c r="P339" s="297"/>
      <c r="Q339" s="297"/>
      <c r="R339" s="297"/>
      <c r="S339" s="297"/>
      <c r="T339" s="298"/>
      <c r="U339" s="296"/>
      <c r="V339" s="296"/>
      <c r="W339" s="297"/>
      <c r="X339" s="297"/>
      <c r="Y339" s="297"/>
      <c r="Z339" s="297"/>
      <c r="AA339" s="299"/>
      <c r="AB339" s="296"/>
      <c r="AC339" s="296"/>
      <c r="AD339" s="297"/>
      <c r="AE339" s="297"/>
      <c r="AF339" s="297"/>
      <c r="AG339" s="297"/>
      <c r="AH339" s="295"/>
      <c r="AI339" s="293"/>
      <c r="AJ339" s="293"/>
      <c r="AK339" s="297"/>
      <c r="AL339" s="297"/>
      <c r="AM339" s="297"/>
      <c r="AN339" s="297"/>
      <c r="AO339" s="295"/>
      <c r="CS339" s="374">
        <v>9</v>
      </c>
      <c r="CT339" s="359" t="s">
        <v>113</v>
      </c>
      <c r="CU339" s="361">
        <v>18030478.82</v>
      </c>
      <c r="CV339" s="361">
        <v>3288518.7</v>
      </c>
      <c r="CW339" s="361">
        <v>3773969.43</v>
      </c>
      <c r="CX339" s="361">
        <v>2818046.26</v>
      </c>
      <c r="CY339" s="361">
        <v>3205294.53</v>
      </c>
      <c r="CZ339" s="361">
        <v>565825.26</v>
      </c>
      <c r="DA339" s="361">
        <v>754433.68</v>
      </c>
      <c r="DB339" s="361">
        <v>1270335.4099999999</v>
      </c>
      <c r="DC339" s="361">
        <v>1335570.78</v>
      </c>
      <c r="DD339" s="361">
        <v>611090.87</v>
      </c>
      <c r="DE339" s="361">
        <v>407393.91</v>
      </c>
      <c r="DF339" s="361"/>
      <c r="DG339" s="361"/>
      <c r="DH339" s="361"/>
      <c r="DI339" s="378"/>
    </row>
    <row r="340" spans="2:113" ht="13">
      <c r="B340" s="294"/>
      <c r="C340" s="295"/>
      <c r="D340" s="295"/>
      <c r="E340" s="294"/>
      <c r="F340" s="294"/>
      <c r="G340" s="295"/>
      <c r="H340" s="295"/>
      <c r="I340" s="295"/>
      <c r="J340" s="295"/>
      <c r="K340" s="295"/>
      <c r="L340" s="295"/>
      <c r="N340" s="296"/>
      <c r="O340" s="296"/>
      <c r="P340" s="297"/>
      <c r="Q340" s="297"/>
      <c r="R340" s="297"/>
      <c r="S340" s="297"/>
      <c r="T340" s="298"/>
      <c r="U340" s="296"/>
      <c r="V340" s="296"/>
      <c r="W340" s="297"/>
      <c r="X340" s="297"/>
      <c r="Y340" s="297"/>
      <c r="Z340" s="297"/>
      <c r="AA340" s="299"/>
      <c r="AB340" s="296"/>
      <c r="AC340" s="296"/>
      <c r="AD340" s="297"/>
      <c r="AE340" s="297"/>
      <c r="AF340" s="297"/>
      <c r="AG340" s="297"/>
      <c r="AH340" s="295"/>
      <c r="AI340" s="293"/>
      <c r="AJ340" s="293"/>
      <c r="AK340" s="297"/>
      <c r="AL340" s="297"/>
      <c r="AM340" s="297"/>
      <c r="AN340" s="297"/>
      <c r="AO340" s="295"/>
      <c r="CS340" s="374">
        <v>10</v>
      </c>
      <c r="CT340" s="359" t="s">
        <v>127</v>
      </c>
      <c r="CU340" s="361">
        <v>13992545.25</v>
      </c>
      <c r="CV340" s="361">
        <v>1181177.69</v>
      </c>
      <c r="CW340" s="361">
        <v>2001095.1</v>
      </c>
      <c r="CX340" s="361">
        <v>819001.66</v>
      </c>
      <c r="CY340" s="361">
        <v>850360.9</v>
      </c>
      <c r="CZ340" s="361">
        <v>801431.86</v>
      </c>
      <c r="DA340" s="361">
        <v>1948671.81</v>
      </c>
      <c r="DB340" s="361">
        <v>2015277.5</v>
      </c>
      <c r="DC340" s="361">
        <v>2287200.61</v>
      </c>
      <c r="DD340" s="361">
        <v>1134478.99</v>
      </c>
      <c r="DE340" s="361">
        <v>953849.15</v>
      </c>
      <c r="DF340" s="361"/>
      <c r="DG340" s="361"/>
      <c r="DH340" s="361"/>
      <c r="DI340" s="378"/>
    </row>
    <row r="341" spans="2:113" ht="13">
      <c r="B341" s="294"/>
      <c r="C341" s="295"/>
      <c r="D341" s="295"/>
      <c r="E341" s="294"/>
      <c r="F341" s="294"/>
      <c r="G341" s="295"/>
      <c r="H341" s="295"/>
      <c r="I341" s="295"/>
      <c r="J341" s="295"/>
      <c r="K341" s="295"/>
      <c r="L341" s="295"/>
      <c r="N341" s="296"/>
      <c r="O341" s="296"/>
      <c r="P341" s="297"/>
      <c r="Q341" s="297"/>
      <c r="R341" s="297"/>
      <c r="S341" s="297"/>
      <c r="T341" s="298"/>
      <c r="U341" s="296"/>
      <c r="V341" s="296"/>
      <c r="W341" s="297"/>
      <c r="X341" s="297"/>
      <c r="Y341" s="297"/>
      <c r="Z341" s="297"/>
      <c r="AA341" s="299"/>
      <c r="AB341" s="296"/>
      <c r="AC341" s="296"/>
      <c r="AD341" s="297"/>
      <c r="AE341" s="297"/>
      <c r="AF341" s="297"/>
      <c r="AG341" s="297"/>
      <c r="AH341" s="295"/>
      <c r="AI341" s="293"/>
      <c r="AJ341" s="293"/>
      <c r="AK341" s="297"/>
      <c r="AL341" s="297"/>
      <c r="AM341" s="297"/>
      <c r="AN341" s="297"/>
      <c r="AO341" s="295"/>
      <c r="CS341" s="374">
        <v>11</v>
      </c>
      <c r="CT341" s="359" t="s">
        <v>149</v>
      </c>
      <c r="CU341" s="361">
        <v>13678771.189999999</v>
      </c>
      <c r="CV341" s="361">
        <v>682471.92</v>
      </c>
      <c r="CW341" s="361">
        <v>1217057.6000000001</v>
      </c>
      <c r="CX341" s="361">
        <v>162241.12</v>
      </c>
      <c r="CY341" s="361">
        <v>1259694.32</v>
      </c>
      <c r="CZ341" s="361">
        <v>2350351</v>
      </c>
      <c r="DA341" s="361">
        <v>2120115.52</v>
      </c>
      <c r="DB341" s="361">
        <v>1289966.8799999999</v>
      </c>
      <c r="DC341" s="361">
        <v>2145446</v>
      </c>
      <c r="DD341" s="361">
        <v>1329364.3999999999</v>
      </c>
      <c r="DE341" s="361">
        <v>1122062.43</v>
      </c>
      <c r="DF341" s="361"/>
      <c r="DG341" s="361"/>
      <c r="DH341" s="361"/>
      <c r="DI341" s="378"/>
    </row>
    <row r="342" spans="2:113" ht="13">
      <c r="B342" s="294"/>
      <c r="C342" s="295"/>
      <c r="D342" s="295"/>
      <c r="E342" s="294"/>
      <c r="F342" s="294"/>
      <c r="G342" s="295"/>
      <c r="H342" s="295"/>
      <c r="I342" s="295"/>
      <c r="J342" s="295"/>
      <c r="K342" s="295"/>
      <c r="L342" s="295"/>
      <c r="N342" s="296"/>
      <c r="O342" s="296"/>
      <c r="P342" s="297"/>
      <c r="Q342" s="297"/>
      <c r="R342" s="297"/>
      <c r="S342" s="297"/>
      <c r="T342" s="298"/>
      <c r="U342" s="296"/>
      <c r="V342" s="296"/>
      <c r="W342" s="297"/>
      <c r="X342" s="297"/>
      <c r="Y342" s="297"/>
      <c r="Z342" s="297"/>
      <c r="AA342" s="299"/>
      <c r="AB342" s="296"/>
      <c r="AC342" s="296"/>
      <c r="AD342" s="297"/>
      <c r="AE342" s="297"/>
      <c r="AF342" s="297"/>
      <c r="AG342" s="297"/>
      <c r="AH342" s="295"/>
      <c r="AI342" s="293"/>
      <c r="AJ342" s="293"/>
      <c r="AK342" s="297"/>
      <c r="AL342" s="297"/>
      <c r="AM342" s="297"/>
      <c r="AN342" s="297"/>
      <c r="AO342" s="295"/>
      <c r="CS342" s="374">
        <v>12</v>
      </c>
      <c r="CT342" s="359" t="s">
        <v>87</v>
      </c>
      <c r="CU342" s="361">
        <v>12927683.460000001</v>
      </c>
      <c r="CV342" s="361">
        <v>1059751.68</v>
      </c>
      <c r="CW342" s="361">
        <v>2030480.36</v>
      </c>
      <c r="CX342" s="361">
        <v>361824.14</v>
      </c>
      <c r="CY342" s="361">
        <v>1204910.32</v>
      </c>
      <c r="CZ342" s="361">
        <v>1467991.92</v>
      </c>
      <c r="DA342" s="361">
        <v>832847.22</v>
      </c>
      <c r="DB342" s="361">
        <v>1617453.78</v>
      </c>
      <c r="DC342" s="361">
        <v>2724007.4</v>
      </c>
      <c r="DD342" s="361">
        <v>330845.96000000002</v>
      </c>
      <c r="DE342" s="361">
        <v>1297570.68</v>
      </c>
      <c r="DF342" s="361"/>
      <c r="DG342" s="361"/>
      <c r="DH342" s="361"/>
      <c r="DI342" s="378"/>
    </row>
    <row r="343" spans="2:113" ht="13">
      <c r="B343" s="294"/>
      <c r="C343" s="295"/>
      <c r="D343" s="295"/>
      <c r="E343" s="294"/>
      <c r="F343" s="294"/>
      <c r="G343" s="295"/>
      <c r="H343" s="295"/>
      <c r="I343" s="295"/>
      <c r="J343" s="295"/>
      <c r="K343" s="295"/>
      <c r="L343" s="295"/>
      <c r="N343" s="296"/>
      <c r="O343" s="296"/>
      <c r="P343" s="297"/>
      <c r="Q343" s="297"/>
      <c r="R343" s="297"/>
      <c r="S343" s="297"/>
      <c r="T343" s="298"/>
      <c r="U343" s="296"/>
      <c r="V343" s="296"/>
      <c r="W343" s="297"/>
      <c r="X343" s="297"/>
      <c r="Y343" s="297"/>
      <c r="Z343" s="297"/>
      <c r="AA343" s="299"/>
      <c r="AB343" s="296"/>
      <c r="AC343" s="296"/>
      <c r="AD343" s="297"/>
      <c r="AE343" s="297"/>
      <c r="AF343" s="297"/>
      <c r="AG343" s="297"/>
      <c r="AH343" s="295"/>
      <c r="AI343" s="293"/>
      <c r="AJ343" s="293"/>
      <c r="AK343" s="297"/>
      <c r="AL343" s="297"/>
      <c r="AM343" s="297"/>
      <c r="AN343" s="297"/>
      <c r="AO343" s="295"/>
      <c r="CS343" s="374">
        <v>13</v>
      </c>
      <c r="CT343" s="359" t="s">
        <v>131</v>
      </c>
      <c r="CU343" s="361">
        <v>12550007.68</v>
      </c>
      <c r="CV343" s="361">
        <v>1035185.54</v>
      </c>
      <c r="CW343" s="361">
        <v>1823606.94</v>
      </c>
      <c r="CX343" s="361">
        <v>230935.67</v>
      </c>
      <c r="CY343" s="361">
        <v>1327350.02</v>
      </c>
      <c r="CZ343" s="361">
        <v>1230131.8999999999</v>
      </c>
      <c r="DA343" s="361">
        <v>1377815.82</v>
      </c>
      <c r="DB343" s="361">
        <v>1762835.92</v>
      </c>
      <c r="DC343" s="361">
        <v>1113017.98</v>
      </c>
      <c r="DD343" s="361">
        <v>912738.83</v>
      </c>
      <c r="DE343" s="361">
        <v>1736389.05</v>
      </c>
      <c r="DF343" s="361"/>
      <c r="DG343" s="361"/>
      <c r="DH343" s="361"/>
      <c r="DI343" s="378"/>
    </row>
    <row r="344" spans="2:113" ht="13">
      <c r="B344" s="294"/>
      <c r="C344" s="295"/>
      <c r="D344" s="295"/>
      <c r="E344" s="294"/>
      <c r="F344" s="294"/>
      <c r="G344" s="295"/>
      <c r="H344" s="295"/>
      <c r="I344" s="295"/>
      <c r="J344" s="295"/>
      <c r="K344" s="295"/>
      <c r="L344" s="295"/>
      <c r="N344" s="296"/>
      <c r="O344" s="296"/>
      <c r="P344" s="297"/>
      <c r="Q344" s="297"/>
      <c r="R344" s="297"/>
      <c r="S344" s="297"/>
      <c r="T344" s="298"/>
      <c r="U344" s="296"/>
      <c r="V344" s="296"/>
      <c r="W344" s="297"/>
      <c r="X344" s="297"/>
      <c r="Y344" s="297"/>
      <c r="Z344" s="297"/>
      <c r="AA344" s="299"/>
      <c r="AB344" s="296"/>
      <c r="AC344" s="296"/>
      <c r="AD344" s="297"/>
      <c r="AE344" s="297"/>
      <c r="AF344" s="297"/>
      <c r="AG344" s="297"/>
      <c r="AH344" s="295"/>
      <c r="AI344" s="293"/>
      <c r="AJ344" s="293"/>
      <c r="AK344" s="297"/>
      <c r="AL344" s="297"/>
      <c r="AM344" s="297"/>
      <c r="AN344" s="297"/>
      <c r="AO344" s="295"/>
      <c r="CS344" s="374">
        <v>14</v>
      </c>
      <c r="CT344" s="359" t="s">
        <v>236</v>
      </c>
      <c r="CU344" s="361">
        <v>12298359.210000001</v>
      </c>
      <c r="CV344" s="361">
        <v>1018501.09</v>
      </c>
      <c r="CW344" s="361">
        <v>1809545.39</v>
      </c>
      <c r="CX344" s="361">
        <v>958070.49</v>
      </c>
      <c r="CY344" s="361">
        <v>1588878.41</v>
      </c>
      <c r="CZ344" s="361">
        <v>1494173.06</v>
      </c>
      <c r="DA344" s="361">
        <v>1133333.3600000001</v>
      </c>
      <c r="DB344" s="361">
        <v>825970.5</v>
      </c>
      <c r="DC344" s="361">
        <v>2669414.98</v>
      </c>
      <c r="DD344" s="361">
        <v>316980.21000000002</v>
      </c>
      <c r="DE344" s="361">
        <v>483491.73</v>
      </c>
      <c r="DF344" s="361"/>
      <c r="DG344" s="361"/>
      <c r="DH344" s="361"/>
      <c r="DI344" s="378"/>
    </row>
    <row r="345" spans="2:113" ht="13">
      <c r="B345" s="294"/>
      <c r="C345" s="295"/>
      <c r="D345" s="295"/>
      <c r="E345" s="294"/>
      <c r="F345" s="294"/>
      <c r="G345" s="295"/>
      <c r="H345" s="295"/>
      <c r="I345" s="295"/>
      <c r="J345" s="295"/>
      <c r="K345" s="295"/>
      <c r="L345" s="295"/>
      <c r="N345" s="296"/>
      <c r="O345" s="296"/>
      <c r="P345" s="297"/>
      <c r="Q345" s="297"/>
      <c r="R345" s="297"/>
      <c r="S345" s="297"/>
      <c r="T345" s="298"/>
      <c r="U345" s="296"/>
      <c r="V345" s="296"/>
      <c r="W345" s="297"/>
      <c r="X345" s="297"/>
      <c r="Y345" s="297"/>
      <c r="Z345" s="297"/>
      <c r="AA345" s="299"/>
      <c r="AB345" s="296"/>
      <c r="AC345" s="296"/>
      <c r="AD345" s="297"/>
      <c r="AE345" s="297"/>
      <c r="AF345" s="297"/>
      <c r="AG345" s="297"/>
      <c r="AH345" s="295"/>
      <c r="AI345" s="293"/>
      <c r="AJ345" s="293"/>
      <c r="AK345" s="297"/>
      <c r="AL345" s="297"/>
      <c r="AM345" s="297"/>
      <c r="AN345" s="297"/>
      <c r="AO345" s="295"/>
      <c r="CS345" s="374">
        <v>15</v>
      </c>
      <c r="CT345" s="359" t="s">
        <v>83</v>
      </c>
      <c r="CU345" s="361">
        <v>12144745.029999999</v>
      </c>
      <c r="CV345" s="361">
        <v>1489233.12</v>
      </c>
      <c r="CW345" s="361">
        <v>879159.28</v>
      </c>
      <c r="CX345" s="361">
        <v>1093806.76</v>
      </c>
      <c r="CY345" s="361">
        <v>971367.2</v>
      </c>
      <c r="CZ345" s="361">
        <v>1390304.48</v>
      </c>
      <c r="DA345" s="361">
        <v>1589702.48</v>
      </c>
      <c r="DB345" s="361">
        <v>1688800.56</v>
      </c>
      <c r="DC345" s="361">
        <v>1004273.84</v>
      </c>
      <c r="DD345" s="361">
        <v>609911.76</v>
      </c>
      <c r="DE345" s="361">
        <v>1428185.55</v>
      </c>
      <c r="DF345" s="365"/>
      <c r="DG345" s="365"/>
      <c r="DH345" s="365"/>
      <c r="DI345" s="379"/>
    </row>
    <row r="346" spans="2:113" ht="13">
      <c r="B346" s="294"/>
      <c r="C346" s="295"/>
      <c r="D346" s="295"/>
      <c r="E346" s="294"/>
      <c r="F346" s="294"/>
      <c r="G346" s="295"/>
      <c r="H346" s="295"/>
      <c r="I346" s="295"/>
      <c r="J346" s="295"/>
      <c r="K346" s="295"/>
      <c r="L346" s="295"/>
      <c r="N346" s="296"/>
      <c r="O346" s="296"/>
      <c r="P346" s="297"/>
      <c r="Q346" s="297"/>
      <c r="R346" s="297"/>
      <c r="S346" s="297"/>
      <c r="T346" s="298"/>
      <c r="U346" s="296"/>
      <c r="V346" s="296"/>
      <c r="W346" s="297"/>
      <c r="X346" s="297"/>
      <c r="Y346" s="297"/>
      <c r="Z346" s="297"/>
      <c r="AA346" s="299"/>
      <c r="AB346" s="296"/>
      <c r="AC346" s="296"/>
      <c r="AD346" s="297"/>
      <c r="AE346" s="297"/>
      <c r="AF346" s="297"/>
      <c r="AG346" s="297"/>
      <c r="AH346" s="295"/>
      <c r="AI346" s="293"/>
      <c r="AJ346" s="293"/>
      <c r="AK346" s="297"/>
      <c r="AL346" s="297"/>
      <c r="AM346" s="297"/>
      <c r="AN346" s="297"/>
      <c r="AO346" s="295"/>
      <c r="CS346" s="374">
        <v>16</v>
      </c>
      <c r="CT346" s="359" t="s">
        <v>102</v>
      </c>
      <c r="CU346" s="361">
        <v>9867416.4299999997</v>
      </c>
      <c r="CV346" s="361">
        <v>471435.36</v>
      </c>
      <c r="CW346" s="361">
        <v>581279.24</v>
      </c>
      <c r="CX346" s="361">
        <v>500218.73</v>
      </c>
      <c r="CY346" s="361">
        <v>747573.81</v>
      </c>
      <c r="CZ346" s="361">
        <v>1010167.39</v>
      </c>
      <c r="DA346" s="361">
        <v>1411560.4</v>
      </c>
      <c r="DB346" s="361">
        <v>999844.64</v>
      </c>
      <c r="DC346" s="361">
        <v>1245006.72</v>
      </c>
      <c r="DD346" s="361">
        <v>1613502.64</v>
      </c>
      <c r="DE346" s="361">
        <v>1286827.5</v>
      </c>
      <c r="DF346" s="361"/>
      <c r="DG346" s="361"/>
      <c r="DH346" s="361"/>
      <c r="DI346" s="378"/>
    </row>
    <row r="347" spans="2:113" ht="13">
      <c r="B347" s="294"/>
      <c r="C347" s="295"/>
      <c r="D347" s="295"/>
      <c r="E347" s="294"/>
      <c r="F347" s="294"/>
      <c r="G347" s="295"/>
      <c r="H347" s="295"/>
      <c r="I347" s="295"/>
      <c r="J347" s="295"/>
      <c r="K347" s="295"/>
      <c r="L347" s="295"/>
      <c r="N347" s="296"/>
      <c r="O347" s="296"/>
      <c r="P347" s="297"/>
      <c r="Q347" s="297"/>
      <c r="R347" s="297"/>
      <c r="S347" s="297"/>
      <c r="T347" s="298"/>
      <c r="U347" s="296"/>
      <c r="V347" s="296"/>
      <c r="W347" s="297"/>
      <c r="X347" s="297"/>
      <c r="Y347" s="297"/>
      <c r="Z347" s="297"/>
      <c r="AA347" s="299"/>
      <c r="AB347" s="296"/>
      <c r="AC347" s="296"/>
      <c r="AD347" s="297"/>
      <c r="AE347" s="297"/>
      <c r="AF347" s="297"/>
      <c r="AG347" s="297"/>
      <c r="AH347" s="295"/>
      <c r="AI347" s="293"/>
      <c r="AJ347" s="293"/>
      <c r="AK347" s="297"/>
      <c r="AL347" s="297"/>
      <c r="AM347" s="297"/>
      <c r="AN347" s="297"/>
      <c r="AO347" s="295"/>
      <c r="CS347" s="374">
        <v>17</v>
      </c>
      <c r="CT347" s="359" t="s">
        <v>160</v>
      </c>
      <c r="CU347" s="361">
        <v>9407176.9399999995</v>
      </c>
      <c r="CV347" s="361">
        <v>616287.22</v>
      </c>
      <c r="CW347" s="361">
        <v>604505.19999999995</v>
      </c>
      <c r="CX347" s="361">
        <v>90552</v>
      </c>
      <c r="CY347" s="361">
        <v>359254.2</v>
      </c>
      <c r="CZ347" s="361">
        <v>1020682.5</v>
      </c>
      <c r="DA347" s="361">
        <v>398302.02</v>
      </c>
      <c r="DB347" s="361">
        <v>2508320.5299999998</v>
      </c>
      <c r="DC347" s="361">
        <v>1177556.3999999999</v>
      </c>
      <c r="DD347" s="361">
        <v>979403.56</v>
      </c>
      <c r="DE347" s="361">
        <v>1652313.3</v>
      </c>
      <c r="DF347" s="361"/>
      <c r="DG347" s="361"/>
      <c r="DH347" s="361"/>
      <c r="DI347" s="378"/>
    </row>
    <row r="348" spans="2:113" ht="13">
      <c r="B348" s="294"/>
      <c r="C348" s="295"/>
      <c r="D348" s="295"/>
      <c r="E348" s="294"/>
      <c r="F348" s="294"/>
      <c r="G348" s="295"/>
      <c r="H348" s="295"/>
      <c r="I348" s="295"/>
      <c r="J348" s="295"/>
      <c r="K348" s="295"/>
      <c r="L348" s="295"/>
      <c r="N348" s="296"/>
      <c r="O348" s="296"/>
      <c r="P348" s="297"/>
      <c r="Q348" s="297"/>
      <c r="R348" s="297"/>
      <c r="S348" s="297"/>
      <c r="T348" s="298"/>
      <c r="U348" s="296"/>
      <c r="V348" s="296"/>
      <c r="W348" s="297"/>
      <c r="X348" s="297"/>
      <c r="Y348" s="297"/>
      <c r="Z348" s="297"/>
      <c r="AA348" s="299"/>
      <c r="AB348" s="296"/>
      <c r="AC348" s="296"/>
      <c r="AD348" s="297"/>
      <c r="AE348" s="297"/>
      <c r="AF348" s="297"/>
      <c r="AG348" s="297"/>
      <c r="AH348" s="295"/>
      <c r="AI348" s="293"/>
      <c r="AJ348" s="293"/>
      <c r="AK348" s="297"/>
      <c r="AL348" s="297"/>
      <c r="AM348" s="297"/>
      <c r="AN348" s="297"/>
      <c r="AO348" s="295"/>
      <c r="CS348" s="374">
        <v>18</v>
      </c>
      <c r="CT348" s="359" t="s">
        <v>161</v>
      </c>
      <c r="CU348" s="361">
        <v>9405220.4600000009</v>
      </c>
      <c r="CV348" s="361">
        <v>361473.6</v>
      </c>
      <c r="CW348" s="361">
        <v>1004051.28</v>
      </c>
      <c r="CX348" s="361">
        <v>668595.1</v>
      </c>
      <c r="CY348" s="361">
        <v>1938186.96</v>
      </c>
      <c r="CZ348" s="361">
        <v>942060.16</v>
      </c>
      <c r="DA348" s="361">
        <v>489304.08</v>
      </c>
      <c r="DB348" s="361">
        <v>1724698.32</v>
      </c>
      <c r="DC348" s="361">
        <v>319144.8</v>
      </c>
      <c r="DD348" s="361">
        <v>1265898.72</v>
      </c>
      <c r="DE348" s="361">
        <v>691807.44</v>
      </c>
      <c r="DF348" s="361"/>
      <c r="DG348" s="361"/>
      <c r="DH348" s="361"/>
      <c r="DI348" s="378"/>
    </row>
    <row r="349" spans="2:113" ht="13">
      <c r="B349" s="294"/>
      <c r="C349" s="295"/>
      <c r="D349" s="295"/>
      <c r="E349" s="294"/>
      <c r="F349" s="294"/>
      <c r="G349" s="295"/>
      <c r="H349" s="295"/>
      <c r="I349" s="295"/>
      <c r="J349" s="295"/>
      <c r="K349" s="295"/>
      <c r="L349" s="295"/>
      <c r="N349" s="296"/>
      <c r="O349" s="296"/>
      <c r="P349" s="297"/>
      <c r="Q349" s="297"/>
      <c r="R349" s="297"/>
      <c r="S349" s="297"/>
      <c r="T349" s="298"/>
      <c r="U349" s="296"/>
      <c r="V349" s="296"/>
      <c r="W349" s="297"/>
      <c r="X349" s="297"/>
      <c r="Y349" s="297"/>
      <c r="Z349" s="297"/>
      <c r="AA349" s="299"/>
      <c r="AB349" s="296"/>
      <c r="AC349" s="296"/>
      <c r="AD349" s="297"/>
      <c r="AE349" s="297"/>
      <c r="AF349" s="297"/>
      <c r="AG349" s="297"/>
      <c r="AH349" s="295"/>
      <c r="AI349" s="293"/>
      <c r="AJ349" s="293"/>
      <c r="AK349" s="297"/>
      <c r="AL349" s="297"/>
      <c r="AM349" s="297"/>
      <c r="AN349" s="297"/>
      <c r="AO349" s="295"/>
      <c r="CS349" s="374">
        <v>19</v>
      </c>
      <c r="CT349" s="359" t="s">
        <v>141</v>
      </c>
      <c r="CU349" s="361">
        <v>9010531.7100000009</v>
      </c>
      <c r="CV349" s="361">
        <v>647209.68000000005</v>
      </c>
      <c r="CW349" s="361">
        <v>901690.4</v>
      </c>
      <c r="CX349" s="361">
        <v>492208.4</v>
      </c>
      <c r="CY349" s="361">
        <v>756079.45</v>
      </c>
      <c r="CZ349" s="361">
        <v>1218060.6200000001</v>
      </c>
      <c r="DA349" s="361">
        <v>1164759.28</v>
      </c>
      <c r="DB349" s="361">
        <v>1038901.6</v>
      </c>
      <c r="DC349" s="361">
        <v>838241.95</v>
      </c>
      <c r="DD349" s="361">
        <v>1136732.07</v>
      </c>
      <c r="DE349" s="361">
        <v>816648.26</v>
      </c>
      <c r="DF349" s="361"/>
      <c r="DG349" s="361"/>
      <c r="DH349" s="361"/>
      <c r="DI349" s="378"/>
    </row>
    <row r="350" spans="2:113" ht="13">
      <c r="B350" s="294"/>
      <c r="C350" s="295"/>
      <c r="D350" s="295"/>
      <c r="E350" s="294"/>
      <c r="F350" s="294"/>
      <c r="G350" s="295"/>
      <c r="H350" s="295"/>
      <c r="I350" s="295"/>
      <c r="J350" s="295"/>
      <c r="K350" s="295"/>
      <c r="L350" s="295"/>
      <c r="N350" s="296"/>
      <c r="O350" s="296"/>
      <c r="P350" s="297"/>
      <c r="Q350" s="297"/>
      <c r="R350" s="297"/>
      <c r="S350" s="297"/>
      <c r="T350" s="298"/>
      <c r="U350" s="296"/>
      <c r="V350" s="296"/>
      <c r="W350" s="297"/>
      <c r="X350" s="297"/>
      <c r="Y350" s="297"/>
      <c r="Z350" s="297"/>
      <c r="AA350" s="299"/>
      <c r="AB350" s="296"/>
      <c r="AC350" s="296"/>
      <c r="AD350" s="297"/>
      <c r="AE350" s="297"/>
      <c r="AF350" s="297"/>
      <c r="AG350" s="297"/>
      <c r="AH350" s="295"/>
      <c r="AI350" s="293"/>
      <c r="AJ350" s="293"/>
      <c r="AK350" s="297"/>
      <c r="AL350" s="297"/>
      <c r="AM350" s="297"/>
      <c r="AN350" s="297"/>
      <c r="AO350" s="295"/>
      <c r="CS350" s="374">
        <v>20</v>
      </c>
      <c r="CT350" s="359" t="s">
        <v>64</v>
      </c>
      <c r="CU350" s="361">
        <v>8684017.8300000001</v>
      </c>
      <c r="CV350" s="361">
        <v>532717.96</v>
      </c>
      <c r="CW350" s="361">
        <v>722136.8</v>
      </c>
      <c r="CX350" s="361">
        <v>730073.96</v>
      </c>
      <c r="CY350" s="361">
        <v>1381583.2</v>
      </c>
      <c r="CZ350" s="361">
        <v>338823.72</v>
      </c>
      <c r="DA350" s="361">
        <v>279518.40000000002</v>
      </c>
      <c r="DB350" s="361">
        <v>1221032.1200000001</v>
      </c>
      <c r="DC350" s="361">
        <v>0</v>
      </c>
      <c r="DD350" s="361">
        <v>945500.15</v>
      </c>
      <c r="DE350" s="361">
        <v>2532631.5299999998</v>
      </c>
      <c r="DF350" s="361"/>
      <c r="DG350" s="361"/>
      <c r="DH350" s="361"/>
      <c r="DI350" s="378"/>
    </row>
    <row r="351" spans="2:113" ht="13">
      <c r="B351" s="294"/>
      <c r="C351" s="295"/>
      <c r="D351" s="295"/>
      <c r="E351" s="294"/>
      <c r="F351" s="294"/>
      <c r="G351" s="295"/>
      <c r="H351" s="295"/>
      <c r="I351" s="295"/>
      <c r="J351" s="295"/>
      <c r="K351" s="295"/>
      <c r="L351" s="295"/>
      <c r="N351" s="296"/>
      <c r="O351" s="296"/>
      <c r="P351" s="297"/>
      <c r="Q351" s="297"/>
      <c r="R351" s="297"/>
      <c r="S351" s="297"/>
      <c r="T351" s="298"/>
      <c r="U351" s="296"/>
      <c r="V351" s="296"/>
      <c r="W351" s="297"/>
      <c r="X351" s="297"/>
      <c r="Y351" s="297"/>
      <c r="Z351" s="297"/>
      <c r="AA351" s="299"/>
      <c r="AB351" s="296"/>
      <c r="AC351" s="296"/>
      <c r="AD351" s="297"/>
      <c r="AE351" s="297"/>
      <c r="AF351" s="297"/>
      <c r="AG351" s="297"/>
      <c r="AH351" s="295"/>
      <c r="AI351" s="293"/>
      <c r="AJ351" s="293"/>
      <c r="AK351" s="297"/>
      <c r="AL351" s="297"/>
      <c r="AM351" s="297"/>
      <c r="AN351" s="297"/>
      <c r="AO351" s="295"/>
      <c r="CS351" s="374">
        <v>21</v>
      </c>
      <c r="CT351" s="359" t="s">
        <v>95</v>
      </c>
      <c r="CU351" s="361">
        <v>7579382.9299999997</v>
      </c>
      <c r="CV351" s="361">
        <v>393333.76000000001</v>
      </c>
      <c r="CW351" s="361">
        <v>445617.31</v>
      </c>
      <c r="CX351" s="361">
        <v>591060.5</v>
      </c>
      <c r="CY351" s="361">
        <v>848463.84</v>
      </c>
      <c r="CZ351" s="361">
        <v>623632.31999999995</v>
      </c>
      <c r="DA351" s="361">
        <v>1390398.62</v>
      </c>
      <c r="DB351" s="361">
        <v>1098834.8</v>
      </c>
      <c r="DC351" s="361">
        <v>592371.6</v>
      </c>
      <c r="DD351" s="361">
        <v>932138.82</v>
      </c>
      <c r="DE351" s="361">
        <v>663531.35</v>
      </c>
      <c r="DF351" s="361"/>
      <c r="DG351" s="361"/>
      <c r="DH351" s="361"/>
      <c r="DI351" s="378"/>
    </row>
    <row r="352" spans="2:113" ht="13">
      <c r="B352" s="294"/>
      <c r="C352" s="295"/>
      <c r="D352" s="295"/>
      <c r="E352" s="294"/>
      <c r="F352" s="294"/>
      <c r="G352" s="295"/>
      <c r="H352" s="295"/>
      <c r="I352" s="295"/>
      <c r="J352" s="295"/>
      <c r="K352" s="295"/>
      <c r="L352" s="295"/>
      <c r="N352" s="296"/>
      <c r="O352" s="296"/>
      <c r="P352" s="297"/>
      <c r="Q352" s="297"/>
      <c r="R352" s="297"/>
      <c r="S352" s="297"/>
      <c r="T352" s="298"/>
      <c r="U352" s="296"/>
      <c r="V352" s="296"/>
      <c r="W352" s="297"/>
      <c r="X352" s="297"/>
      <c r="Y352" s="297"/>
      <c r="Z352" s="297"/>
      <c r="AA352" s="299"/>
      <c r="AB352" s="296"/>
      <c r="AC352" s="296"/>
      <c r="AD352" s="297"/>
      <c r="AE352" s="297"/>
      <c r="AF352" s="297"/>
      <c r="AG352" s="297"/>
      <c r="AH352" s="295"/>
      <c r="AI352" s="293"/>
      <c r="AJ352" s="293"/>
      <c r="AK352" s="297"/>
      <c r="AL352" s="297"/>
      <c r="AM352" s="297"/>
      <c r="AN352" s="297"/>
      <c r="AO352" s="295"/>
      <c r="CS352" s="374">
        <v>22</v>
      </c>
      <c r="CT352" s="359" t="s">
        <v>121</v>
      </c>
      <c r="CU352" s="361">
        <v>7262878.1399999997</v>
      </c>
      <c r="CV352" s="361">
        <v>0</v>
      </c>
      <c r="CW352" s="361">
        <v>0</v>
      </c>
      <c r="CX352" s="361">
        <v>1194136.18</v>
      </c>
      <c r="CY352" s="361">
        <v>957773.28</v>
      </c>
      <c r="CZ352" s="361">
        <v>514106.96</v>
      </c>
      <c r="DA352" s="361">
        <v>1286096.24</v>
      </c>
      <c r="DB352" s="361">
        <v>788888.66</v>
      </c>
      <c r="DC352" s="361">
        <v>820663.76</v>
      </c>
      <c r="DD352" s="361">
        <v>886270</v>
      </c>
      <c r="DE352" s="361">
        <v>814943.07</v>
      </c>
      <c r="DF352" s="361"/>
      <c r="DG352" s="361"/>
      <c r="DH352" s="361"/>
      <c r="DI352" s="378"/>
    </row>
    <row r="353" spans="2:113" ht="13">
      <c r="B353" s="294"/>
      <c r="C353" s="295"/>
      <c r="D353" s="295"/>
      <c r="E353" s="294"/>
      <c r="F353" s="294"/>
      <c r="G353" s="295"/>
      <c r="H353" s="295"/>
      <c r="I353" s="295"/>
      <c r="J353" s="295"/>
      <c r="K353" s="295"/>
      <c r="L353" s="295"/>
      <c r="N353" s="296"/>
      <c r="O353" s="296"/>
      <c r="P353" s="297"/>
      <c r="Q353" s="297"/>
      <c r="R353" s="297"/>
      <c r="S353" s="297"/>
      <c r="T353" s="298"/>
      <c r="U353" s="296"/>
      <c r="V353" s="296"/>
      <c r="W353" s="297"/>
      <c r="X353" s="297"/>
      <c r="Y353" s="297"/>
      <c r="Z353" s="297"/>
      <c r="AA353" s="299"/>
      <c r="AB353" s="296"/>
      <c r="AC353" s="296"/>
      <c r="AD353" s="297"/>
      <c r="AE353" s="297"/>
      <c r="AF353" s="297"/>
      <c r="AG353" s="297"/>
      <c r="AH353" s="295"/>
      <c r="AI353" s="293"/>
      <c r="AJ353" s="293"/>
      <c r="AK353" s="297"/>
      <c r="AL353" s="297"/>
      <c r="AM353" s="297"/>
      <c r="AN353" s="297"/>
      <c r="AO353" s="295"/>
      <c r="CS353" s="374">
        <v>23</v>
      </c>
      <c r="CT353" s="359" t="s">
        <v>129</v>
      </c>
      <c r="CU353" s="361">
        <v>6528314.8700000001</v>
      </c>
      <c r="CV353" s="361">
        <v>606033.57999999996</v>
      </c>
      <c r="CW353" s="361">
        <v>266281.46000000002</v>
      </c>
      <c r="CX353" s="361">
        <v>546963.87</v>
      </c>
      <c r="CY353" s="361">
        <v>497394.71</v>
      </c>
      <c r="CZ353" s="361">
        <v>425018.89</v>
      </c>
      <c r="DA353" s="361">
        <v>770752.71</v>
      </c>
      <c r="DB353" s="361">
        <v>937213.07</v>
      </c>
      <c r="DC353" s="361">
        <v>743999.17</v>
      </c>
      <c r="DD353" s="361">
        <v>823918.9</v>
      </c>
      <c r="DE353" s="361">
        <v>910738.51</v>
      </c>
      <c r="DF353" s="361"/>
      <c r="DG353" s="361"/>
      <c r="DH353" s="361"/>
      <c r="DI353" s="378"/>
    </row>
    <row r="354" spans="2:113" ht="13">
      <c r="B354" s="294"/>
      <c r="C354" s="295"/>
      <c r="D354" s="295"/>
      <c r="E354" s="294"/>
      <c r="F354" s="294"/>
      <c r="G354" s="295"/>
      <c r="H354" s="295"/>
      <c r="I354" s="295"/>
      <c r="J354" s="295"/>
      <c r="K354" s="295"/>
      <c r="L354" s="295"/>
      <c r="N354" s="296"/>
      <c r="O354" s="296"/>
      <c r="P354" s="297"/>
      <c r="Q354" s="297"/>
      <c r="R354" s="297"/>
      <c r="S354" s="297"/>
      <c r="T354" s="298"/>
      <c r="U354" s="296"/>
      <c r="V354" s="296"/>
      <c r="W354" s="297"/>
      <c r="X354" s="297"/>
      <c r="Y354" s="297"/>
      <c r="Z354" s="297"/>
      <c r="AA354" s="299"/>
      <c r="AB354" s="296"/>
      <c r="AC354" s="296"/>
      <c r="AD354" s="297"/>
      <c r="AE354" s="297"/>
      <c r="AF354" s="297"/>
      <c r="AG354" s="297"/>
      <c r="AH354" s="295"/>
      <c r="AI354" s="293"/>
      <c r="AJ354" s="293"/>
      <c r="AK354" s="297"/>
      <c r="AL354" s="297"/>
      <c r="AM354" s="297"/>
      <c r="AN354" s="297"/>
      <c r="AO354" s="295"/>
      <c r="CS354" s="374">
        <v>24</v>
      </c>
      <c r="CT354" s="359" t="s">
        <v>154</v>
      </c>
      <c r="CU354" s="361">
        <v>5956502.3300000001</v>
      </c>
      <c r="CV354" s="361">
        <v>936094.56</v>
      </c>
      <c r="CW354" s="361">
        <v>104529.36</v>
      </c>
      <c r="CX354" s="361">
        <v>1504451.97</v>
      </c>
      <c r="CY354" s="361">
        <v>84829.2</v>
      </c>
      <c r="CZ354" s="361">
        <v>1093290.08</v>
      </c>
      <c r="DA354" s="361">
        <v>109323.04</v>
      </c>
      <c r="DB354" s="361">
        <v>824056.48</v>
      </c>
      <c r="DC354" s="361">
        <v>371999.41</v>
      </c>
      <c r="DD354" s="361">
        <v>502795.82</v>
      </c>
      <c r="DE354" s="361">
        <v>425132.41</v>
      </c>
      <c r="DF354" s="361"/>
      <c r="DG354" s="361"/>
      <c r="DH354" s="361"/>
      <c r="DI354" s="378"/>
    </row>
    <row r="355" spans="2:113" ht="13">
      <c r="B355" s="294"/>
      <c r="C355" s="295"/>
      <c r="D355" s="295"/>
      <c r="E355" s="294"/>
      <c r="F355" s="294"/>
      <c r="G355" s="295"/>
      <c r="H355" s="295"/>
      <c r="I355" s="295"/>
      <c r="J355" s="295"/>
      <c r="K355" s="295"/>
      <c r="L355" s="295"/>
      <c r="N355" s="296"/>
      <c r="O355" s="296"/>
      <c r="P355" s="297"/>
      <c r="Q355" s="297"/>
      <c r="R355" s="297"/>
      <c r="S355" s="297"/>
      <c r="T355" s="298"/>
      <c r="U355" s="296"/>
      <c r="V355" s="296"/>
      <c r="W355" s="297"/>
      <c r="X355" s="297"/>
      <c r="Y355" s="297"/>
      <c r="Z355" s="297"/>
      <c r="AA355" s="299"/>
      <c r="AB355" s="296"/>
      <c r="AC355" s="296"/>
      <c r="AD355" s="297"/>
      <c r="AE355" s="297"/>
      <c r="AF355" s="297"/>
      <c r="AG355" s="297"/>
      <c r="AH355" s="295"/>
      <c r="AI355" s="293"/>
      <c r="AJ355" s="293"/>
      <c r="AK355" s="297"/>
      <c r="AL355" s="297"/>
      <c r="AM355" s="297"/>
      <c r="AN355" s="297"/>
      <c r="AO355" s="295"/>
      <c r="CS355" s="374">
        <v>25</v>
      </c>
      <c r="CT355" s="359" t="s">
        <v>153</v>
      </c>
      <c r="CU355" s="361">
        <v>5573559.5899999999</v>
      </c>
      <c r="CV355" s="361">
        <v>0</v>
      </c>
      <c r="CW355" s="361">
        <v>0</v>
      </c>
      <c r="CX355" s="361">
        <v>0</v>
      </c>
      <c r="CY355" s="361">
        <v>0</v>
      </c>
      <c r="CZ355" s="361">
        <v>853722.26</v>
      </c>
      <c r="DA355" s="361">
        <v>1041746.72</v>
      </c>
      <c r="DB355" s="361">
        <v>782204.72</v>
      </c>
      <c r="DC355" s="361">
        <v>444075.45</v>
      </c>
      <c r="DD355" s="361">
        <v>1136209.3600000001</v>
      </c>
      <c r="DE355" s="361">
        <v>1315601.08</v>
      </c>
      <c r="DF355" s="365"/>
      <c r="DG355" s="365"/>
      <c r="DH355" s="365"/>
      <c r="DI355" s="379"/>
    </row>
    <row r="356" spans="2:113" ht="13">
      <c r="B356" s="294"/>
      <c r="C356" s="295"/>
      <c r="D356" s="295"/>
      <c r="E356" s="294"/>
      <c r="F356" s="294"/>
      <c r="G356" s="295"/>
      <c r="H356" s="295"/>
      <c r="I356" s="295"/>
      <c r="J356" s="295"/>
      <c r="K356" s="295"/>
      <c r="L356" s="295"/>
      <c r="N356" s="296"/>
      <c r="O356" s="296"/>
      <c r="P356" s="297"/>
      <c r="Q356" s="297"/>
      <c r="R356" s="297"/>
      <c r="S356" s="297"/>
      <c r="T356" s="298"/>
      <c r="U356" s="296"/>
      <c r="V356" s="296"/>
      <c r="W356" s="297"/>
      <c r="X356" s="297"/>
      <c r="Y356" s="297"/>
      <c r="Z356" s="297"/>
      <c r="AA356" s="299"/>
      <c r="AB356" s="296"/>
      <c r="AC356" s="296"/>
      <c r="AD356" s="297"/>
      <c r="AE356" s="297"/>
      <c r="AF356" s="297"/>
      <c r="AG356" s="297"/>
      <c r="AH356" s="295"/>
      <c r="AI356" s="293"/>
      <c r="AJ356" s="293"/>
      <c r="AK356" s="297"/>
      <c r="AL356" s="297"/>
      <c r="AM356" s="297"/>
      <c r="AN356" s="297"/>
      <c r="AO356" s="295"/>
      <c r="CS356" s="374">
        <v>26</v>
      </c>
      <c r="CT356" s="359" t="s">
        <v>135</v>
      </c>
      <c r="CU356" s="361">
        <v>4685188.67</v>
      </c>
      <c r="CV356" s="361">
        <v>425102.7</v>
      </c>
      <c r="CW356" s="361">
        <v>0</v>
      </c>
      <c r="CX356" s="361">
        <v>0</v>
      </c>
      <c r="CY356" s="361">
        <v>0</v>
      </c>
      <c r="CZ356" s="361">
        <v>0</v>
      </c>
      <c r="DA356" s="361">
        <v>874483.76</v>
      </c>
      <c r="DB356" s="361">
        <v>1452024.19</v>
      </c>
      <c r="DC356" s="361">
        <v>714343.53</v>
      </c>
      <c r="DD356" s="361">
        <v>769521.6</v>
      </c>
      <c r="DE356" s="361">
        <v>449712.89</v>
      </c>
      <c r="DF356" s="361"/>
      <c r="DG356" s="361"/>
      <c r="DH356" s="361"/>
      <c r="DI356" s="378"/>
    </row>
    <row r="357" spans="2:113" ht="13">
      <c r="B357" s="294"/>
      <c r="C357" s="295"/>
      <c r="D357" s="295"/>
      <c r="E357" s="294"/>
      <c r="F357" s="294"/>
      <c r="G357" s="295"/>
      <c r="H357" s="295"/>
      <c r="I357" s="295"/>
      <c r="J357" s="295"/>
      <c r="K357" s="295"/>
      <c r="L357" s="295"/>
      <c r="N357" s="296"/>
      <c r="O357" s="296"/>
      <c r="P357" s="297"/>
      <c r="Q357" s="297"/>
      <c r="R357" s="297"/>
      <c r="S357" s="297"/>
      <c r="T357" s="298"/>
      <c r="U357" s="296"/>
      <c r="V357" s="296"/>
      <c r="W357" s="297"/>
      <c r="X357" s="297"/>
      <c r="Y357" s="297"/>
      <c r="Z357" s="297"/>
      <c r="AA357" s="299"/>
      <c r="AB357" s="296"/>
      <c r="AC357" s="296"/>
      <c r="AD357" s="297"/>
      <c r="AE357" s="297"/>
      <c r="AF357" s="297"/>
      <c r="AG357" s="297"/>
      <c r="AH357" s="295"/>
      <c r="AI357" s="293"/>
      <c r="AJ357" s="293"/>
      <c r="AK357" s="297"/>
      <c r="AL357" s="297"/>
      <c r="AM357" s="297"/>
      <c r="AN357" s="297"/>
      <c r="AO357" s="295"/>
      <c r="CS357" s="374">
        <v>27</v>
      </c>
      <c r="CT357" s="359" t="s">
        <v>110</v>
      </c>
      <c r="CU357" s="361">
        <v>4430870.5599999996</v>
      </c>
      <c r="CV357" s="361">
        <v>311634.38</v>
      </c>
      <c r="CW357" s="361">
        <v>222075.9</v>
      </c>
      <c r="CX357" s="361">
        <v>421544.35</v>
      </c>
      <c r="CY357" s="361">
        <v>249630.68</v>
      </c>
      <c r="CZ357" s="361">
        <v>144931.09</v>
      </c>
      <c r="DA357" s="361">
        <v>908449.43</v>
      </c>
      <c r="DB357" s="361">
        <v>828000.97</v>
      </c>
      <c r="DC357" s="361">
        <v>585443.4</v>
      </c>
      <c r="DD357" s="361">
        <v>291045.46000000002</v>
      </c>
      <c r="DE357" s="361">
        <v>468114.89</v>
      </c>
      <c r="DF357" s="361"/>
      <c r="DG357" s="361"/>
      <c r="DH357" s="361"/>
      <c r="DI357" s="378"/>
    </row>
    <row r="358" spans="2:113" ht="13">
      <c r="B358" s="294"/>
      <c r="C358" s="295"/>
      <c r="D358" s="295"/>
      <c r="E358" s="294"/>
      <c r="F358" s="294"/>
      <c r="G358" s="295"/>
      <c r="H358" s="295"/>
      <c r="I358" s="295"/>
      <c r="J358" s="295"/>
      <c r="K358" s="295"/>
      <c r="L358" s="295"/>
      <c r="N358" s="296"/>
      <c r="O358" s="296"/>
      <c r="P358" s="297"/>
      <c r="Q358" s="297"/>
      <c r="R358" s="297"/>
      <c r="S358" s="297"/>
      <c r="T358" s="298"/>
      <c r="U358" s="296"/>
      <c r="V358" s="296"/>
      <c r="W358" s="297"/>
      <c r="X358" s="297"/>
      <c r="Y358" s="297"/>
      <c r="Z358" s="297"/>
      <c r="AA358" s="299"/>
      <c r="AB358" s="296"/>
      <c r="AC358" s="296"/>
      <c r="AD358" s="297"/>
      <c r="AE358" s="297"/>
      <c r="AF358" s="297"/>
      <c r="AG358" s="297"/>
      <c r="AH358" s="295"/>
      <c r="AI358" s="293"/>
      <c r="AJ358" s="293"/>
      <c r="AK358" s="297"/>
      <c r="AL358" s="297"/>
      <c r="AM358" s="297"/>
      <c r="AN358" s="297"/>
      <c r="AO358" s="295"/>
      <c r="CS358" s="374">
        <v>28</v>
      </c>
      <c r="CT358" s="359" t="s">
        <v>168</v>
      </c>
      <c r="CU358" s="361">
        <v>4261589.88</v>
      </c>
      <c r="CV358" s="361">
        <v>187955.3</v>
      </c>
      <c r="CW358" s="361">
        <v>0</v>
      </c>
      <c r="CX358" s="361">
        <v>274822.94</v>
      </c>
      <c r="CY358" s="361">
        <v>811233.92</v>
      </c>
      <c r="CZ358" s="361">
        <v>539931.84</v>
      </c>
      <c r="DA358" s="361">
        <v>147572.88</v>
      </c>
      <c r="DB358" s="361">
        <v>612680.1</v>
      </c>
      <c r="DC358" s="361">
        <v>1089654.9099999999</v>
      </c>
      <c r="DD358" s="361">
        <v>511832.37</v>
      </c>
      <c r="DE358" s="361">
        <v>85905.61</v>
      </c>
      <c r="DF358" s="361"/>
      <c r="DG358" s="361"/>
      <c r="DH358" s="361"/>
      <c r="DI358" s="378"/>
    </row>
    <row r="359" spans="2:113" ht="13">
      <c r="B359" s="294"/>
      <c r="C359" s="295"/>
      <c r="D359" s="295"/>
      <c r="E359" s="294"/>
      <c r="F359" s="294"/>
      <c r="G359" s="295"/>
      <c r="H359" s="295"/>
      <c r="I359" s="295"/>
      <c r="J359" s="295"/>
      <c r="K359" s="295"/>
      <c r="L359" s="295"/>
      <c r="N359" s="296"/>
      <c r="O359" s="296"/>
      <c r="P359" s="297"/>
      <c r="Q359" s="297"/>
      <c r="R359" s="297"/>
      <c r="S359" s="297"/>
      <c r="T359" s="298"/>
      <c r="U359" s="296"/>
      <c r="V359" s="296"/>
      <c r="W359" s="297"/>
      <c r="X359" s="297"/>
      <c r="Y359" s="297"/>
      <c r="Z359" s="297"/>
      <c r="AA359" s="299"/>
      <c r="AB359" s="296"/>
      <c r="AC359" s="296"/>
      <c r="AD359" s="297"/>
      <c r="AE359" s="297"/>
      <c r="AF359" s="297"/>
      <c r="AG359" s="297"/>
      <c r="AH359" s="295"/>
      <c r="AI359" s="293"/>
      <c r="AJ359" s="293"/>
      <c r="AK359" s="297"/>
      <c r="AL359" s="297"/>
      <c r="AM359" s="297"/>
      <c r="AN359" s="297"/>
      <c r="AO359" s="295"/>
      <c r="CS359" s="374">
        <v>29</v>
      </c>
      <c r="CT359" s="359" t="s">
        <v>93</v>
      </c>
      <c r="CU359" s="361">
        <v>4028274.79</v>
      </c>
      <c r="CV359" s="361">
        <v>385358.32</v>
      </c>
      <c r="CW359" s="361">
        <v>347109.2</v>
      </c>
      <c r="CX359" s="361">
        <v>112798.96</v>
      </c>
      <c r="CY359" s="361">
        <v>403950.4</v>
      </c>
      <c r="CZ359" s="361">
        <v>643476.88</v>
      </c>
      <c r="DA359" s="361">
        <v>310434.56</v>
      </c>
      <c r="DB359" s="361">
        <v>743468.16</v>
      </c>
      <c r="DC359" s="361">
        <v>249031.3</v>
      </c>
      <c r="DD359" s="361">
        <v>368728.72</v>
      </c>
      <c r="DE359" s="361">
        <v>463918.29</v>
      </c>
      <c r="DF359" s="365"/>
      <c r="DG359" s="365"/>
      <c r="DH359" s="365"/>
      <c r="DI359" s="379"/>
    </row>
    <row r="360" spans="2:113" ht="13">
      <c r="B360" s="294"/>
      <c r="C360" s="295"/>
      <c r="D360" s="295"/>
      <c r="E360" s="294"/>
      <c r="F360" s="294"/>
      <c r="G360" s="295"/>
      <c r="H360" s="295"/>
      <c r="I360" s="295"/>
      <c r="J360" s="295"/>
      <c r="K360" s="295"/>
      <c r="L360" s="295"/>
      <c r="N360" s="296"/>
      <c r="O360" s="296"/>
      <c r="P360" s="297"/>
      <c r="Q360" s="297"/>
      <c r="R360" s="297"/>
      <c r="S360" s="297"/>
      <c r="T360" s="298"/>
      <c r="U360" s="296"/>
      <c r="V360" s="296"/>
      <c r="W360" s="297"/>
      <c r="X360" s="297"/>
      <c r="Y360" s="297"/>
      <c r="Z360" s="297"/>
      <c r="AA360" s="299"/>
      <c r="AB360" s="296"/>
      <c r="AC360" s="296"/>
      <c r="AD360" s="297"/>
      <c r="AE360" s="297"/>
      <c r="AF360" s="297"/>
      <c r="AG360" s="297"/>
      <c r="AH360" s="295"/>
      <c r="AI360" s="293"/>
      <c r="AJ360" s="293"/>
      <c r="AK360" s="297"/>
      <c r="AL360" s="297"/>
      <c r="AM360" s="297"/>
      <c r="AN360" s="297"/>
      <c r="AO360" s="295"/>
      <c r="CS360" s="374">
        <v>30</v>
      </c>
      <c r="CT360" s="359" t="s">
        <v>99</v>
      </c>
      <c r="CU360" s="361">
        <v>3450557.56</v>
      </c>
      <c r="CV360" s="361">
        <v>857103.6</v>
      </c>
      <c r="CW360" s="361">
        <v>0</v>
      </c>
      <c r="CX360" s="361">
        <v>664269.71</v>
      </c>
      <c r="CY360" s="361">
        <v>0</v>
      </c>
      <c r="CZ360" s="361">
        <v>461471.62</v>
      </c>
      <c r="DA360" s="361">
        <v>630068.07999999996</v>
      </c>
      <c r="DB360" s="361">
        <v>190159.2</v>
      </c>
      <c r="DC360" s="361">
        <v>0</v>
      </c>
      <c r="DD360" s="361">
        <v>68687.100000000006</v>
      </c>
      <c r="DE360" s="361">
        <v>578798.25</v>
      </c>
      <c r="DF360" s="361"/>
      <c r="DG360" s="361"/>
      <c r="DH360" s="361"/>
      <c r="DI360" s="378"/>
    </row>
    <row r="361" spans="2:113" ht="13">
      <c r="B361" s="294"/>
      <c r="C361" s="295"/>
      <c r="D361" s="295"/>
      <c r="E361" s="294"/>
      <c r="F361" s="294"/>
      <c r="G361" s="295"/>
      <c r="H361" s="295"/>
      <c r="I361" s="295"/>
      <c r="J361" s="295"/>
      <c r="K361" s="295"/>
      <c r="L361" s="295"/>
      <c r="N361" s="296"/>
      <c r="O361" s="296"/>
      <c r="P361" s="297"/>
      <c r="Q361" s="297"/>
      <c r="R361" s="297"/>
      <c r="S361" s="297"/>
      <c r="T361" s="298"/>
      <c r="U361" s="296"/>
      <c r="V361" s="296"/>
      <c r="W361" s="297"/>
      <c r="X361" s="297"/>
      <c r="Y361" s="297"/>
      <c r="Z361" s="297"/>
      <c r="AA361" s="299"/>
      <c r="AB361" s="296"/>
      <c r="AC361" s="296"/>
      <c r="AD361" s="297"/>
      <c r="AE361" s="297"/>
      <c r="AF361" s="297"/>
      <c r="AG361" s="297"/>
      <c r="AH361" s="295"/>
      <c r="AI361" s="293"/>
      <c r="AJ361" s="293"/>
      <c r="AK361" s="297"/>
      <c r="AL361" s="297"/>
      <c r="AM361" s="297"/>
      <c r="AN361" s="297"/>
      <c r="AO361" s="295"/>
      <c r="CS361" s="374">
        <v>31</v>
      </c>
      <c r="CT361" s="359" t="s">
        <v>166</v>
      </c>
      <c r="CU361" s="361">
        <v>3419778.18</v>
      </c>
      <c r="CV361" s="361">
        <v>460823.18</v>
      </c>
      <c r="CW361" s="361">
        <v>228410.23999999999</v>
      </c>
      <c r="CX361" s="361">
        <v>284680.59999999998</v>
      </c>
      <c r="CY361" s="361">
        <v>290634.15999999997</v>
      </c>
      <c r="CZ361" s="361">
        <v>166329.92000000001</v>
      </c>
      <c r="DA361" s="361">
        <v>378495.3</v>
      </c>
      <c r="DB361" s="361">
        <v>503844.72</v>
      </c>
      <c r="DC361" s="361">
        <v>331343.09999999998</v>
      </c>
      <c r="DD361" s="361">
        <v>508480.4</v>
      </c>
      <c r="DE361" s="361">
        <v>266736.55</v>
      </c>
      <c r="DF361" s="361"/>
      <c r="DG361" s="361"/>
      <c r="DH361" s="361"/>
      <c r="DI361" s="378"/>
    </row>
    <row r="362" spans="2:113" ht="13">
      <c r="B362" s="294"/>
      <c r="C362" s="295"/>
      <c r="D362" s="295"/>
      <c r="E362" s="294"/>
      <c r="F362" s="294"/>
      <c r="G362" s="295"/>
      <c r="H362" s="295"/>
      <c r="I362" s="295"/>
      <c r="J362" s="295"/>
      <c r="K362" s="295"/>
      <c r="L362" s="295"/>
      <c r="N362" s="296"/>
      <c r="O362" s="296"/>
      <c r="P362" s="297"/>
      <c r="Q362" s="297"/>
      <c r="R362" s="297"/>
      <c r="S362" s="297"/>
      <c r="T362" s="298"/>
      <c r="U362" s="296"/>
      <c r="V362" s="296"/>
      <c r="W362" s="297"/>
      <c r="X362" s="297"/>
      <c r="Y362" s="297"/>
      <c r="Z362" s="297"/>
      <c r="AA362" s="299"/>
      <c r="AB362" s="296"/>
      <c r="AC362" s="296"/>
      <c r="AD362" s="297"/>
      <c r="AE362" s="297"/>
      <c r="AF362" s="297"/>
      <c r="AG362" s="297"/>
      <c r="AH362" s="295"/>
      <c r="AI362" s="293"/>
      <c r="AJ362" s="293"/>
      <c r="AK362" s="297"/>
      <c r="AL362" s="297"/>
      <c r="AM362" s="297"/>
      <c r="AN362" s="297"/>
      <c r="AO362" s="295"/>
      <c r="CS362" s="374">
        <v>32</v>
      </c>
      <c r="CT362" s="359" t="s">
        <v>116</v>
      </c>
      <c r="CU362" s="361">
        <v>2998485.12</v>
      </c>
      <c r="CV362" s="361">
        <v>70424.800000000003</v>
      </c>
      <c r="CW362" s="361">
        <v>167276.07999999999</v>
      </c>
      <c r="CX362" s="361">
        <v>475726.52</v>
      </c>
      <c r="CY362" s="361">
        <v>614687.19999999995</v>
      </c>
      <c r="CZ362" s="361">
        <v>428007.76</v>
      </c>
      <c r="DA362" s="361">
        <v>185073.12</v>
      </c>
      <c r="DB362" s="361">
        <v>101636.32</v>
      </c>
      <c r="DC362" s="361">
        <v>286381.84000000003</v>
      </c>
      <c r="DD362" s="361">
        <v>318820.15999999997</v>
      </c>
      <c r="DE362" s="361">
        <v>350451.32</v>
      </c>
      <c r="DF362" s="361"/>
      <c r="DG362" s="361"/>
      <c r="DH362" s="361"/>
      <c r="DI362" s="378"/>
    </row>
    <row r="363" spans="2:113" ht="13">
      <c r="B363" s="294"/>
      <c r="C363" s="295"/>
      <c r="D363" s="295"/>
      <c r="E363" s="294"/>
      <c r="F363" s="294"/>
      <c r="G363" s="295"/>
      <c r="H363" s="295"/>
      <c r="I363" s="295"/>
      <c r="J363" s="295"/>
      <c r="K363" s="295"/>
      <c r="L363" s="295"/>
      <c r="N363" s="296"/>
      <c r="O363" s="296"/>
      <c r="P363" s="297"/>
      <c r="Q363" s="297"/>
      <c r="R363" s="297"/>
      <c r="S363" s="297"/>
      <c r="T363" s="298"/>
      <c r="U363" s="296"/>
      <c r="V363" s="296"/>
      <c r="W363" s="297"/>
      <c r="X363" s="297"/>
      <c r="Y363" s="297"/>
      <c r="Z363" s="297"/>
      <c r="AA363" s="299"/>
      <c r="AB363" s="296"/>
      <c r="AC363" s="296"/>
      <c r="AD363" s="297"/>
      <c r="AE363" s="297"/>
      <c r="AF363" s="297"/>
      <c r="AG363" s="297"/>
      <c r="AH363" s="295"/>
      <c r="AI363" s="293"/>
      <c r="AJ363" s="293"/>
      <c r="AK363" s="297"/>
      <c r="AL363" s="297"/>
      <c r="AM363" s="297"/>
      <c r="AN363" s="297"/>
      <c r="AO363" s="295"/>
      <c r="CS363" s="374">
        <v>33</v>
      </c>
      <c r="CT363" s="359" t="s">
        <v>190</v>
      </c>
      <c r="CU363" s="361">
        <v>2949673.27</v>
      </c>
      <c r="CV363" s="361">
        <v>324737.33</v>
      </c>
      <c r="CW363" s="361">
        <v>183564.95</v>
      </c>
      <c r="CX363" s="361">
        <v>305585.03999999998</v>
      </c>
      <c r="CY363" s="361">
        <v>179874.16</v>
      </c>
      <c r="CZ363" s="361">
        <v>339592.33</v>
      </c>
      <c r="DA363" s="361">
        <v>380134.36</v>
      </c>
      <c r="DB363" s="361">
        <v>195478.33</v>
      </c>
      <c r="DC363" s="361">
        <v>511601.7</v>
      </c>
      <c r="DD363" s="361">
        <v>200657.63</v>
      </c>
      <c r="DE363" s="361">
        <v>328447.45</v>
      </c>
      <c r="DF363" s="365"/>
      <c r="DG363" s="365"/>
      <c r="DH363" s="365"/>
      <c r="DI363" s="379"/>
    </row>
    <row r="364" spans="2:113" ht="13">
      <c r="B364" s="294"/>
      <c r="C364" s="295"/>
      <c r="D364" s="295"/>
      <c r="E364" s="294"/>
      <c r="F364" s="294"/>
      <c r="G364" s="295"/>
      <c r="H364" s="295"/>
      <c r="I364" s="295"/>
      <c r="J364" s="295"/>
      <c r="K364" s="295"/>
      <c r="L364" s="295"/>
      <c r="N364" s="296"/>
      <c r="O364" s="296"/>
      <c r="P364" s="297"/>
      <c r="Q364" s="297"/>
      <c r="R364" s="297"/>
      <c r="S364" s="297"/>
      <c r="T364" s="298"/>
      <c r="U364" s="296"/>
      <c r="V364" s="296"/>
      <c r="W364" s="297"/>
      <c r="X364" s="297"/>
      <c r="Y364" s="297"/>
      <c r="Z364" s="297"/>
      <c r="AA364" s="299"/>
      <c r="AB364" s="296"/>
      <c r="AC364" s="296"/>
      <c r="AD364" s="297"/>
      <c r="AE364" s="297"/>
      <c r="AF364" s="297"/>
      <c r="AG364" s="297"/>
      <c r="AH364" s="295"/>
      <c r="AI364" s="293"/>
      <c r="AJ364" s="293"/>
      <c r="AK364" s="297"/>
      <c r="AL364" s="297"/>
      <c r="AM364" s="297"/>
      <c r="AN364" s="297"/>
      <c r="AO364" s="295"/>
      <c r="CS364" s="374">
        <v>34</v>
      </c>
      <c r="CT364" s="359" t="s">
        <v>91</v>
      </c>
      <c r="CU364" s="361">
        <v>2854361.51</v>
      </c>
      <c r="CV364" s="361">
        <v>185909.36</v>
      </c>
      <c r="CW364" s="361">
        <v>32601.119999999999</v>
      </c>
      <c r="CX364" s="361">
        <v>29238.720000000001</v>
      </c>
      <c r="CY364" s="361">
        <v>143385.44</v>
      </c>
      <c r="CZ364" s="361">
        <v>65671.12</v>
      </c>
      <c r="DA364" s="361">
        <v>114901.6</v>
      </c>
      <c r="DB364" s="361">
        <v>888829.38</v>
      </c>
      <c r="DC364" s="361">
        <v>264799.28000000003</v>
      </c>
      <c r="DD364" s="361">
        <v>395737.12</v>
      </c>
      <c r="DE364" s="361">
        <v>733288.36</v>
      </c>
      <c r="DF364" s="361"/>
      <c r="DG364" s="361"/>
      <c r="DH364" s="361"/>
      <c r="DI364" s="378"/>
    </row>
    <row r="365" spans="2:113" ht="13">
      <c r="B365" s="294"/>
      <c r="C365" s="295"/>
      <c r="D365" s="295"/>
      <c r="E365" s="294"/>
      <c r="F365" s="294"/>
      <c r="G365" s="295"/>
      <c r="H365" s="295"/>
      <c r="I365" s="295"/>
      <c r="J365" s="295"/>
      <c r="K365" s="295"/>
      <c r="L365" s="295"/>
      <c r="N365" s="296"/>
      <c r="O365" s="296"/>
      <c r="P365" s="297"/>
      <c r="Q365" s="297"/>
      <c r="R365" s="297"/>
      <c r="S365" s="297"/>
      <c r="T365" s="298"/>
      <c r="U365" s="296"/>
      <c r="V365" s="296"/>
      <c r="W365" s="297"/>
      <c r="X365" s="297"/>
      <c r="Y365" s="297"/>
      <c r="Z365" s="297"/>
      <c r="AA365" s="299"/>
      <c r="AB365" s="296"/>
      <c r="AC365" s="296"/>
      <c r="AD365" s="297"/>
      <c r="AE365" s="297"/>
      <c r="AF365" s="297"/>
      <c r="AG365" s="297"/>
      <c r="AH365" s="295"/>
      <c r="AI365" s="293"/>
      <c r="AJ365" s="293"/>
      <c r="AK365" s="297"/>
      <c r="AL365" s="297"/>
      <c r="AM365" s="297"/>
      <c r="AN365" s="297"/>
      <c r="AO365" s="295"/>
      <c r="CS365" s="374">
        <v>35</v>
      </c>
      <c r="CT365" s="359" t="s">
        <v>151</v>
      </c>
      <c r="CU365" s="361">
        <v>2825535.08</v>
      </c>
      <c r="CV365" s="361">
        <v>336498.08</v>
      </c>
      <c r="CW365" s="361">
        <v>0</v>
      </c>
      <c r="CX365" s="361">
        <v>186070.36</v>
      </c>
      <c r="CY365" s="361">
        <v>286797.52</v>
      </c>
      <c r="CZ365" s="361">
        <v>252731.76</v>
      </c>
      <c r="DA365" s="361">
        <v>374274.8</v>
      </c>
      <c r="DB365" s="361">
        <v>447686.88</v>
      </c>
      <c r="DC365" s="361">
        <v>438220.24</v>
      </c>
      <c r="DD365" s="361">
        <v>248995.12</v>
      </c>
      <c r="DE365" s="361">
        <v>254260.32</v>
      </c>
      <c r="DF365" s="361"/>
      <c r="DG365" s="361"/>
      <c r="DH365" s="361"/>
      <c r="DI365" s="378"/>
    </row>
    <row r="366" spans="2:113" ht="13">
      <c r="B366" s="294"/>
      <c r="C366" s="295"/>
      <c r="D366" s="295"/>
      <c r="E366" s="294"/>
      <c r="F366" s="294"/>
      <c r="G366" s="295"/>
      <c r="H366" s="295"/>
      <c r="I366" s="295"/>
      <c r="J366" s="295"/>
      <c r="K366" s="295"/>
      <c r="L366" s="295"/>
      <c r="N366" s="296"/>
      <c r="O366" s="296"/>
      <c r="P366" s="297"/>
      <c r="Q366" s="297"/>
      <c r="R366" s="297"/>
      <c r="S366" s="297"/>
      <c r="T366" s="298"/>
      <c r="U366" s="296"/>
      <c r="V366" s="296"/>
      <c r="W366" s="297"/>
      <c r="X366" s="297"/>
      <c r="Y366" s="297"/>
      <c r="Z366" s="297"/>
      <c r="AA366" s="299"/>
      <c r="AB366" s="296"/>
      <c r="AC366" s="296"/>
      <c r="AD366" s="297"/>
      <c r="AE366" s="297"/>
      <c r="AF366" s="297"/>
      <c r="AG366" s="297"/>
      <c r="AH366" s="295"/>
      <c r="AI366" s="293"/>
      <c r="AJ366" s="293"/>
      <c r="AK366" s="297"/>
      <c r="AL366" s="297"/>
      <c r="AM366" s="297"/>
      <c r="AN366" s="297"/>
      <c r="AO366" s="295"/>
      <c r="CS366" s="374">
        <v>36</v>
      </c>
      <c r="CT366" s="359" t="s">
        <v>139</v>
      </c>
      <c r="CU366" s="361">
        <v>2445849.0699999998</v>
      </c>
      <c r="CV366" s="361">
        <v>334459.68</v>
      </c>
      <c r="CW366" s="361">
        <v>690573.84</v>
      </c>
      <c r="CX366" s="361">
        <v>0</v>
      </c>
      <c r="CY366" s="361">
        <v>278827.84000000003</v>
      </c>
      <c r="CZ366" s="361">
        <v>240587.84</v>
      </c>
      <c r="DA366" s="361">
        <v>112282.24000000001</v>
      </c>
      <c r="DB366" s="361">
        <v>0</v>
      </c>
      <c r="DC366" s="361">
        <v>346288.24</v>
      </c>
      <c r="DD366" s="361">
        <v>149867.20000000001</v>
      </c>
      <c r="DE366" s="361">
        <v>292962.19</v>
      </c>
      <c r="DF366" s="361"/>
      <c r="DG366" s="361"/>
      <c r="DH366" s="361"/>
      <c r="DI366" s="378"/>
    </row>
    <row r="367" spans="2:113" ht="13">
      <c r="B367" s="294"/>
      <c r="C367" s="295"/>
      <c r="D367" s="295"/>
      <c r="E367" s="294"/>
      <c r="F367" s="294"/>
      <c r="G367" s="295"/>
      <c r="H367" s="295"/>
      <c r="I367" s="295"/>
      <c r="J367" s="295"/>
      <c r="K367" s="295"/>
      <c r="L367" s="295"/>
      <c r="N367" s="296"/>
      <c r="O367" s="296"/>
      <c r="P367" s="297"/>
      <c r="Q367" s="297"/>
      <c r="R367" s="297"/>
      <c r="S367" s="297"/>
      <c r="T367" s="298"/>
      <c r="U367" s="296"/>
      <c r="V367" s="296"/>
      <c r="W367" s="297"/>
      <c r="X367" s="297"/>
      <c r="Y367" s="297"/>
      <c r="Z367" s="297"/>
      <c r="AA367" s="299"/>
      <c r="AB367" s="296"/>
      <c r="AC367" s="296"/>
      <c r="AD367" s="297"/>
      <c r="AE367" s="297"/>
      <c r="AF367" s="297"/>
      <c r="AG367" s="297"/>
      <c r="AH367" s="295"/>
      <c r="AI367" s="293"/>
      <c r="AJ367" s="293"/>
      <c r="AK367" s="297"/>
      <c r="AL367" s="297"/>
      <c r="AM367" s="297"/>
      <c r="AN367" s="297"/>
      <c r="AO367" s="295"/>
      <c r="CS367" s="374">
        <v>37</v>
      </c>
      <c r="CT367" s="359" t="s">
        <v>143</v>
      </c>
      <c r="CU367" s="361">
        <v>2217074</v>
      </c>
      <c r="CV367" s="361">
        <v>251199.37</v>
      </c>
      <c r="CW367" s="361">
        <v>158480.54999999999</v>
      </c>
      <c r="CX367" s="361">
        <v>0</v>
      </c>
      <c r="CY367" s="361">
        <v>237372.56</v>
      </c>
      <c r="CZ367" s="361">
        <v>0</v>
      </c>
      <c r="DA367" s="361">
        <v>332015.52</v>
      </c>
      <c r="DB367" s="361">
        <v>260517.84</v>
      </c>
      <c r="DC367" s="361">
        <v>386994.86</v>
      </c>
      <c r="DD367" s="361">
        <v>189332.01</v>
      </c>
      <c r="DE367" s="361">
        <v>401161.29</v>
      </c>
      <c r="DF367" s="361"/>
      <c r="DG367" s="361"/>
      <c r="DH367" s="361"/>
      <c r="DI367" s="378"/>
    </row>
    <row r="368" spans="2:113" ht="13">
      <c r="B368" s="294"/>
      <c r="C368" s="295"/>
      <c r="D368" s="295"/>
      <c r="E368" s="294"/>
      <c r="F368" s="294"/>
      <c r="G368" s="295"/>
      <c r="H368" s="295"/>
      <c r="I368" s="295"/>
      <c r="J368" s="295"/>
      <c r="K368" s="295"/>
      <c r="L368" s="295"/>
      <c r="N368" s="296"/>
      <c r="O368" s="296"/>
      <c r="P368" s="297"/>
      <c r="Q368" s="297"/>
      <c r="R368" s="297"/>
      <c r="S368" s="297"/>
      <c r="T368" s="298"/>
      <c r="U368" s="296"/>
      <c r="V368" s="296"/>
      <c r="W368" s="297"/>
      <c r="X368" s="297"/>
      <c r="Y368" s="297"/>
      <c r="Z368" s="297"/>
      <c r="AA368" s="299"/>
      <c r="AB368" s="296"/>
      <c r="AC368" s="296"/>
      <c r="AD368" s="297"/>
      <c r="AE368" s="297"/>
      <c r="AF368" s="297"/>
      <c r="AG368" s="297"/>
      <c r="AH368" s="295"/>
      <c r="AI368" s="293"/>
      <c r="AJ368" s="293"/>
      <c r="AK368" s="297"/>
      <c r="AL368" s="297"/>
      <c r="AM368" s="297"/>
      <c r="AN368" s="297"/>
      <c r="AO368" s="295"/>
      <c r="CS368" s="374">
        <v>38</v>
      </c>
      <c r="CT368" s="359" t="s">
        <v>165</v>
      </c>
      <c r="CU368" s="361">
        <v>1960541.21</v>
      </c>
      <c r="CV368" s="361">
        <v>170384.85</v>
      </c>
      <c r="CW368" s="361">
        <v>151139.34</v>
      </c>
      <c r="CX368" s="361">
        <v>416031.77</v>
      </c>
      <c r="CY368" s="361">
        <v>364596.72</v>
      </c>
      <c r="CZ368" s="361">
        <v>157837.29999999999</v>
      </c>
      <c r="DA368" s="361">
        <v>231447.05</v>
      </c>
      <c r="DB368" s="361">
        <v>190034.05</v>
      </c>
      <c r="DC368" s="361">
        <v>157462.68</v>
      </c>
      <c r="DD368" s="361">
        <v>72520.03</v>
      </c>
      <c r="DE368" s="361">
        <v>49087.42</v>
      </c>
      <c r="DF368" s="361"/>
      <c r="DG368" s="361"/>
      <c r="DH368" s="361"/>
      <c r="DI368" s="378"/>
    </row>
    <row r="369" spans="2:113" ht="13">
      <c r="B369" s="294"/>
      <c r="C369" s="295"/>
      <c r="D369" s="295"/>
      <c r="E369" s="294"/>
      <c r="F369" s="294"/>
      <c r="G369" s="295"/>
      <c r="H369" s="295"/>
      <c r="I369" s="295"/>
      <c r="J369" s="295"/>
      <c r="K369" s="295"/>
      <c r="L369" s="295"/>
      <c r="N369" s="296"/>
      <c r="O369" s="296"/>
      <c r="P369" s="297"/>
      <c r="Q369" s="297"/>
      <c r="R369" s="297"/>
      <c r="S369" s="297"/>
      <c r="T369" s="298"/>
      <c r="U369" s="296"/>
      <c r="V369" s="296"/>
      <c r="W369" s="297"/>
      <c r="X369" s="297"/>
      <c r="Y369" s="297"/>
      <c r="Z369" s="297"/>
      <c r="AA369" s="299"/>
      <c r="AB369" s="296"/>
      <c r="AC369" s="296"/>
      <c r="AD369" s="297"/>
      <c r="AE369" s="297"/>
      <c r="AF369" s="297"/>
      <c r="AG369" s="297"/>
      <c r="AH369" s="295"/>
      <c r="AI369" s="293"/>
      <c r="AJ369" s="293"/>
      <c r="AK369" s="297"/>
      <c r="AL369" s="297"/>
      <c r="AM369" s="297"/>
      <c r="AN369" s="297"/>
      <c r="AO369" s="295"/>
      <c r="CS369" s="374">
        <v>39</v>
      </c>
      <c r="CT369" s="359" t="s">
        <v>146</v>
      </c>
      <c r="CU369" s="361">
        <v>1930270.61</v>
      </c>
      <c r="CV369" s="361">
        <v>282106.56</v>
      </c>
      <c r="CW369" s="361">
        <v>248872.08</v>
      </c>
      <c r="CX369" s="361">
        <v>313329.88</v>
      </c>
      <c r="CY369" s="361">
        <v>233026.48</v>
      </c>
      <c r="CZ369" s="361">
        <v>172752.48</v>
      </c>
      <c r="DA369" s="361">
        <v>149862.72</v>
      </c>
      <c r="DB369" s="361">
        <v>250549.78</v>
      </c>
      <c r="DC369" s="361">
        <v>0</v>
      </c>
      <c r="DD369" s="361">
        <v>169889.28</v>
      </c>
      <c r="DE369" s="361">
        <v>109881.36</v>
      </c>
      <c r="DF369" s="361"/>
      <c r="DG369" s="361"/>
      <c r="DH369" s="361"/>
      <c r="DI369" s="378"/>
    </row>
    <row r="370" spans="2:113" ht="13">
      <c r="B370" s="294"/>
      <c r="C370" s="295"/>
      <c r="D370" s="295"/>
      <c r="E370" s="294"/>
      <c r="F370" s="294"/>
      <c r="G370" s="295"/>
      <c r="H370" s="295"/>
      <c r="I370" s="295"/>
      <c r="J370" s="295"/>
      <c r="K370" s="295"/>
      <c r="L370" s="295"/>
      <c r="N370" s="296"/>
      <c r="O370" s="296"/>
      <c r="P370" s="297"/>
      <c r="Q370" s="297"/>
      <c r="R370" s="297"/>
      <c r="S370" s="297"/>
      <c r="T370" s="298"/>
      <c r="U370" s="296"/>
      <c r="V370" s="296"/>
      <c r="W370" s="297"/>
      <c r="X370" s="297"/>
      <c r="Y370" s="297"/>
      <c r="Z370" s="297"/>
      <c r="AA370" s="299"/>
      <c r="AB370" s="296"/>
      <c r="AC370" s="296"/>
      <c r="AD370" s="297"/>
      <c r="AE370" s="297"/>
      <c r="AF370" s="297"/>
      <c r="AG370" s="297"/>
      <c r="AH370" s="295"/>
      <c r="AI370" s="293"/>
      <c r="AJ370" s="293"/>
      <c r="AK370" s="297"/>
      <c r="AL370" s="297"/>
      <c r="AM370" s="297"/>
      <c r="AN370" s="297"/>
      <c r="AO370" s="295"/>
      <c r="CS370" s="374">
        <v>40</v>
      </c>
      <c r="CT370" s="359" t="s">
        <v>147</v>
      </c>
      <c r="CU370" s="361">
        <v>1421717.69</v>
      </c>
      <c r="CV370" s="361">
        <v>125192.08</v>
      </c>
      <c r="CW370" s="361">
        <v>109668.88</v>
      </c>
      <c r="CX370" s="361">
        <v>102499.04</v>
      </c>
      <c r="CY370" s="361">
        <v>72441.600000000006</v>
      </c>
      <c r="CZ370" s="361">
        <v>177756.4</v>
      </c>
      <c r="DA370" s="361">
        <v>221542.39999999999</v>
      </c>
      <c r="DB370" s="361">
        <v>264285.76</v>
      </c>
      <c r="DC370" s="361">
        <v>82308.72</v>
      </c>
      <c r="DD370" s="361">
        <v>88893.440000000002</v>
      </c>
      <c r="DE370" s="361">
        <v>177129.37</v>
      </c>
      <c r="DF370" s="361"/>
      <c r="DG370" s="361"/>
      <c r="DH370" s="361"/>
      <c r="DI370" s="378"/>
    </row>
    <row r="371" spans="2:113" ht="13">
      <c r="B371" s="294"/>
      <c r="C371" s="295"/>
      <c r="D371" s="295"/>
      <c r="E371" s="294"/>
      <c r="F371" s="294"/>
      <c r="G371" s="295"/>
      <c r="H371" s="295"/>
      <c r="I371" s="295"/>
      <c r="J371" s="295"/>
      <c r="K371" s="295"/>
      <c r="L371" s="295"/>
      <c r="N371" s="296"/>
      <c r="O371" s="296"/>
      <c r="P371" s="297"/>
      <c r="Q371" s="297"/>
      <c r="R371" s="297"/>
      <c r="S371" s="297"/>
      <c r="T371" s="298"/>
      <c r="U371" s="296"/>
      <c r="V371" s="296"/>
      <c r="W371" s="297"/>
      <c r="X371" s="297"/>
      <c r="Y371" s="297"/>
      <c r="Z371" s="297"/>
      <c r="AA371" s="299"/>
      <c r="AB371" s="296"/>
      <c r="AC371" s="296"/>
      <c r="AD371" s="297"/>
      <c r="AE371" s="297"/>
      <c r="AF371" s="297"/>
      <c r="AG371" s="297"/>
      <c r="AH371" s="295"/>
      <c r="AI371" s="293"/>
      <c r="AJ371" s="293"/>
      <c r="AK371" s="297"/>
      <c r="AL371" s="297"/>
      <c r="AM371" s="297"/>
      <c r="AN371" s="297"/>
      <c r="AO371" s="295"/>
      <c r="CS371" s="374">
        <v>41</v>
      </c>
      <c r="CT371" s="359" t="s">
        <v>125</v>
      </c>
      <c r="CU371" s="361">
        <v>1207709.7</v>
      </c>
      <c r="CV371" s="361">
        <v>0</v>
      </c>
      <c r="CW371" s="361">
        <v>0</v>
      </c>
      <c r="CX371" s="361">
        <v>0</v>
      </c>
      <c r="CY371" s="361">
        <v>103478.58</v>
      </c>
      <c r="CZ371" s="361">
        <v>120334.14</v>
      </c>
      <c r="DA371" s="361">
        <v>0</v>
      </c>
      <c r="DB371" s="361">
        <v>107217.43</v>
      </c>
      <c r="DC371" s="361">
        <v>517951.05</v>
      </c>
      <c r="DD371" s="361">
        <v>187614.88</v>
      </c>
      <c r="DE371" s="361">
        <v>171113.62</v>
      </c>
      <c r="DF371" s="361"/>
      <c r="DG371" s="361"/>
      <c r="DH371" s="361"/>
      <c r="DI371" s="378"/>
    </row>
    <row r="372" spans="2:113" ht="13">
      <c r="B372" s="294"/>
      <c r="C372" s="295"/>
      <c r="D372" s="295"/>
      <c r="E372" s="294"/>
      <c r="F372" s="294"/>
      <c r="G372" s="295"/>
      <c r="H372" s="295"/>
      <c r="I372" s="295"/>
      <c r="J372" s="295"/>
      <c r="K372" s="295"/>
      <c r="L372" s="295"/>
      <c r="N372" s="296"/>
      <c r="O372" s="296"/>
      <c r="P372" s="297"/>
      <c r="Q372" s="297"/>
      <c r="R372" s="297"/>
      <c r="S372" s="297"/>
      <c r="T372" s="298"/>
      <c r="U372" s="296"/>
      <c r="V372" s="296"/>
      <c r="W372" s="297"/>
      <c r="X372" s="297"/>
      <c r="Y372" s="297"/>
      <c r="Z372" s="297"/>
      <c r="AA372" s="299"/>
      <c r="AB372" s="296"/>
      <c r="AC372" s="296"/>
      <c r="AD372" s="297"/>
      <c r="AE372" s="297"/>
      <c r="AF372" s="297"/>
      <c r="AG372" s="297"/>
      <c r="AH372" s="295"/>
      <c r="AI372" s="293"/>
      <c r="AJ372" s="293"/>
      <c r="AK372" s="297"/>
      <c r="AL372" s="297"/>
      <c r="AM372" s="297"/>
      <c r="AN372" s="297"/>
      <c r="AO372" s="295"/>
      <c r="CS372" s="374">
        <v>42</v>
      </c>
      <c r="CT372" s="359" t="s">
        <v>118</v>
      </c>
      <c r="CU372" s="361">
        <v>1173500.18</v>
      </c>
      <c r="CV372" s="361">
        <v>0</v>
      </c>
      <c r="CW372" s="361">
        <v>82296.88</v>
      </c>
      <c r="CX372" s="361">
        <v>0</v>
      </c>
      <c r="CY372" s="361">
        <v>332310.15999999997</v>
      </c>
      <c r="CZ372" s="361">
        <v>150886.76</v>
      </c>
      <c r="DA372" s="361">
        <v>116322.34</v>
      </c>
      <c r="DB372" s="361">
        <v>0</v>
      </c>
      <c r="DC372" s="361">
        <v>226330.14</v>
      </c>
      <c r="DD372" s="361">
        <v>265353.90000000002</v>
      </c>
      <c r="DE372" s="361">
        <v>0</v>
      </c>
      <c r="DF372" s="361"/>
      <c r="DG372" s="361"/>
      <c r="DH372" s="361"/>
      <c r="DI372" s="378"/>
    </row>
    <row r="373" spans="2:113" ht="13">
      <c r="B373" s="294"/>
      <c r="C373" s="295"/>
      <c r="D373" s="295"/>
      <c r="E373" s="294"/>
      <c r="F373" s="294"/>
      <c r="G373" s="295"/>
      <c r="H373" s="295"/>
      <c r="I373" s="295"/>
      <c r="J373" s="295"/>
      <c r="K373" s="295"/>
      <c r="L373" s="295"/>
      <c r="N373" s="296"/>
      <c r="O373" s="296"/>
      <c r="P373" s="297"/>
      <c r="Q373" s="297"/>
      <c r="R373" s="297"/>
      <c r="S373" s="297"/>
      <c r="T373" s="298"/>
      <c r="U373" s="296"/>
      <c r="V373" s="296"/>
      <c r="W373" s="297"/>
      <c r="X373" s="297"/>
      <c r="Y373" s="297"/>
      <c r="Z373" s="297"/>
      <c r="AA373" s="299"/>
      <c r="AB373" s="296"/>
      <c r="AC373" s="296"/>
      <c r="AD373" s="297"/>
      <c r="AE373" s="297"/>
      <c r="AF373" s="297"/>
      <c r="AG373" s="297"/>
      <c r="AH373" s="295"/>
      <c r="AI373" s="293"/>
      <c r="AJ373" s="293"/>
      <c r="AK373" s="297"/>
      <c r="AL373" s="297"/>
      <c r="AM373" s="297"/>
      <c r="AN373" s="297"/>
      <c r="AO373" s="295"/>
      <c r="CS373" s="374">
        <v>43</v>
      </c>
      <c r="CT373" s="359" t="s">
        <v>128</v>
      </c>
      <c r="CU373" s="361">
        <v>1005001.23</v>
      </c>
      <c r="CV373" s="361">
        <v>0</v>
      </c>
      <c r="CW373" s="361">
        <v>0</v>
      </c>
      <c r="CX373" s="361">
        <v>0</v>
      </c>
      <c r="CY373" s="361">
        <v>0</v>
      </c>
      <c r="CZ373" s="361">
        <v>0</v>
      </c>
      <c r="DA373" s="361">
        <v>577163.13</v>
      </c>
      <c r="DB373" s="361">
        <v>427838.1</v>
      </c>
      <c r="DC373" s="361">
        <v>0</v>
      </c>
      <c r="DD373" s="365">
        <v>0</v>
      </c>
      <c r="DE373" s="365">
        <v>0</v>
      </c>
      <c r="DF373" s="365"/>
      <c r="DG373" s="365"/>
      <c r="DH373" s="365"/>
      <c r="DI373" s="379"/>
    </row>
    <row r="374" spans="2:113" ht="13">
      <c r="B374" s="294"/>
      <c r="C374" s="295"/>
      <c r="D374" s="295"/>
      <c r="E374" s="294"/>
      <c r="F374" s="294"/>
      <c r="G374" s="295"/>
      <c r="H374" s="295"/>
      <c r="I374" s="295"/>
      <c r="J374" s="295"/>
      <c r="K374" s="295"/>
      <c r="L374" s="295"/>
      <c r="N374" s="296"/>
      <c r="O374" s="296"/>
      <c r="P374" s="297"/>
      <c r="Q374" s="297"/>
      <c r="R374" s="297"/>
      <c r="S374" s="297"/>
      <c r="T374" s="298"/>
      <c r="U374" s="296"/>
      <c r="V374" s="296"/>
      <c r="W374" s="297"/>
      <c r="X374" s="297"/>
      <c r="Y374" s="297"/>
      <c r="Z374" s="297"/>
      <c r="AA374" s="299"/>
      <c r="AB374" s="296"/>
      <c r="AC374" s="296"/>
      <c r="AD374" s="297"/>
      <c r="AE374" s="297"/>
      <c r="AF374" s="297"/>
      <c r="AG374" s="297"/>
      <c r="AH374" s="295"/>
      <c r="AI374" s="293"/>
      <c r="AJ374" s="293"/>
      <c r="AK374" s="297"/>
      <c r="AL374" s="297"/>
      <c r="AM374" s="297"/>
      <c r="AN374" s="297"/>
      <c r="AO374" s="295"/>
      <c r="CS374" s="374">
        <v>44</v>
      </c>
      <c r="CT374" s="359" t="s">
        <v>117</v>
      </c>
      <c r="CU374" s="361">
        <v>956366.13</v>
      </c>
      <c r="CV374" s="361">
        <v>0</v>
      </c>
      <c r="CW374" s="361">
        <v>0</v>
      </c>
      <c r="CX374" s="361">
        <v>310137.34999999998</v>
      </c>
      <c r="CY374" s="361">
        <v>208953.91</v>
      </c>
      <c r="CZ374" s="361">
        <v>106357.15</v>
      </c>
      <c r="DA374" s="361">
        <v>61332.11</v>
      </c>
      <c r="DB374" s="361">
        <v>127261.01</v>
      </c>
      <c r="DC374" s="361">
        <v>88621.49</v>
      </c>
      <c r="DD374" s="361">
        <v>53703.11</v>
      </c>
      <c r="DE374" s="361">
        <v>0</v>
      </c>
      <c r="DF374" s="361"/>
      <c r="DG374" s="361"/>
      <c r="DH374" s="361"/>
      <c r="DI374" s="378"/>
    </row>
    <row r="375" spans="2:113" ht="13">
      <c r="B375" s="294"/>
      <c r="C375" s="295"/>
      <c r="D375" s="295"/>
      <c r="E375" s="294"/>
      <c r="F375" s="294"/>
      <c r="G375" s="295"/>
      <c r="H375" s="295"/>
      <c r="I375" s="295"/>
      <c r="J375" s="295"/>
      <c r="K375" s="295"/>
      <c r="L375" s="295"/>
      <c r="N375" s="296"/>
      <c r="O375" s="296"/>
      <c r="P375" s="297"/>
      <c r="Q375" s="297"/>
      <c r="R375" s="297"/>
      <c r="S375" s="297"/>
      <c r="T375" s="298"/>
      <c r="U375" s="296"/>
      <c r="V375" s="296"/>
      <c r="W375" s="297"/>
      <c r="X375" s="297"/>
      <c r="Y375" s="297"/>
      <c r="Z375" s="297"/>
      <c r="AA375" s="299"/>
      <c r="AB375" s="296"/>
      <c r="AC375" s="296"/>
      <c r="AD375" s="297"/>
      <c r="AE375" s="297"/>
      <c r="AF375" s="297"/>
      <c r="AG375" s="297"/>
      <c r="AH375" s="295"/>
      <c r="AI375" s="293"/>
      <c r="AJ375" s="293"/>
      <c r="AK375" s="297"/>
      <c r="AL375" s="297"/>
      <c r="AM375" s="297"/>
      <c r="AN375" s="297"/>
      <c r="AO375" s="295"/>
      <c r="CS375" s="374">
        <v>45</v>
      </c>
      <c r="CT375" s="359" t="s">
        <v>134</v>
      </c>
      <c r="CU375" s="361">
        <v>927203.05</v>
      </c>
      <c r="CV375" s="361">
        <v>0</v>
      </c>
      <c r="CW375" s="361">
        <v>0</v>
      </c>
      <c r="CX375" s="361">
        <v>0</v>
      </c>
      <c r="CY375" s="361">
        <v>0</v>
      </c>
      <c r="CZ375" s="361">
        <v>0</v>
      </c>
      <c r="DA375" s="361">
        <v>0</v>
      </c>
      <c r="DB375" s="361">
        <v>0</v>
      </c>
      <c r="DC375" s="361">
        <v>0</v>
      </c>
      <c r="DD375" s="361">
        <v>927203.05</v>
      </c>
      <c r="DE375" s="365">
        <v>0</v>
      </c>
      <c r="DF375" s="365"/>
      <c r="DG375" s="365"/>
      <c r="DH375" s="365"/>
      <c r="DI375" s="379"/>
    </row>
    <row r="376" spans="2:113" ht="13">
      <c r="B376" s="294"/>
      <c r="C376" s="295"/>
      <c r="D376" s="295"/>
      <c r="E376" s="294"/>
      <c r="F376" s="294"/>
      <c r="G376" s="295"/>
      <c r="H376" s="295"/>
      <c r="I376" s="295"/>
      <c r="J376" s="295"/>
      <c r="K376" s="295"/>
      <c r="L376" s="295"/>
      <c r="N376" s="296"/>
      <c r="O376" s="296"/>
      <c r="P376" s="297"/>
      <c r="Q376" s="297"/>
      <c r="R376" s="297"/>
      <c r="S376" s="297"/>
      <c r="T376" s="298"/>
      <c r="U376" s="296"/>
      <c r="V376" s="296"/>
      <c r="W376" s="297"/>
      <c r="X376" s="297"/>
      <c r="Y376" s="297"/>
      <c r="Z376" s="297"/>
      <c r="AA376" s="299"/>
      <c r="AB376" s="296"/>
      <c r="AC376" s="296"/>
      <c r="AD376" s="297"/>
      <c r="AE376" s="297"/>
      <c r="AF376" s="297"/>
      <c r="AG376" s="297"/>
      <c r="AH376" s="295"/>
      <c r="AI376" s="293"/>
      <c r="AJ376" s="293"/>
      <c r="AK376" s="297"/>
      <c r="AL376" s="297"/>
      <c r="AM376" s="297"/>
      <c r="AN376" s="297"/>
      <c r="AO376" s="295"/>
      <c r="CS376" s="374">
        <v>46</v>
      </c>
      <c r="CT376" s="359" t="s">
        <v>126</v>
      </c>
      <c r="CU376" s="361">
        <v>913035.28</v>
      </c>
      <c r="CV376" s="361">
        <v>0</v>
      </c>
      <c r="CW376" s="361">
        <v>0</v>
      </c>
      <c r="CX376" s="361">
        <v>100328.8</v>
      </c>
      <c r="CY376" s="361">
        <v>209494.35</v>
      </c>
      <c r="CZ376" s="361">
        <v>207768.1</v>
      </c>
      <c r="DA376" s="361">
        <v>219969.08</v>
      </c>
      <c r="DB376" s="361">
        <v>39191.370000000003</v>
      </c>
      <c r="DC376" s="361">
        <v>136283.57999999999</v>
      </c>
      <c r="DD376" s="361">
        <v>0</v>
      </c>
      <c r="DE376" s="361">
        <v>0</v>
      </c>
      <c r="DF376" s="361"/>
      <c r="DG376" s="361"/>
      <c r="DH376" s="361"/>
      <c r="DI376" s="378"/>
    </row>
    <row r="377" spans="2:113" ht="13">
      <c r="B377" s="294"/>
      <c r="C377" s="295"/>
      <c r="D377" s="295"/>
      <c r="E377" s="294"/>
      <c r="F377" s="294"/>
      <c r="G377" s="295"/>
      <c r="H377" s="295"/>
      <c r="I377" s="295"/>
      <c r="J377" s="295"/>
      <c r="K377" s="295"/>
      <c r="L377" s="295"/>
      <c r="N377" s="296"/>
      <c r="O377" s="296"/>
      <c r="P377" s="297"/>
      <c r="Q377" s="297"/>
      <c r="R377" s="297"/>
      <c r="S377" s="297"/>
      <c r="T377" s="298"/>
      <c r="U377" s="296"/>
      <c r="V377" s="296"/>
      <c r="W377" s="297"/>
      <c r="X377" s="297"/>
      <c r="Y377" s="297"/>
      <c r="Z377" s="297"/>
      <c r="AA377" s="299"/>
      <c r="AB377" s="296"/>
      <c r="AC377" s="296"/>
      <c r="AD377" s="297"/>
      <c r="AE377" s="297"/>
      <c r="AF377" s="297"/>
      <c r="AG377" s="297"/>
      <c r="AH377" s="295"/>
      <c r="AI377" s="293"/>
      <c r="AJ377" s="293"/>
      <c r="AK377" s="297"/>
      <c r="AL377" s="297"/>
      <c r="AM377" s="297"/>
      <c r="AN377" s="297"/>
      <c r="AO377" s="295"/>
      <c r="CS377" s="374">
        <v>47</v>
      </c>
      <c r="CT377" s="359" t="s">
        <v>162</v>
      </c>
      <c r="CU377" s="361">
        <v>840638.88</v>
      </c>
      <c r="CV377" s="361">
        <v>0</v>
      </c>
      <c r="CW377" s="361">
        <v>0</v>
      </c>
      <c r="CX377" s="361">
        <v>0</v>
      </c>
      <c r="CY377" s="361">
        <v>0</v>
      </c>
      <c r="CZ377" s="361">
        <v>218224.16</v>
      </c>
      <c r="DA377" s="361">
        <v>252838.72</v>
      </c>
      <c r="DB377" s="361">
        <v>276274.15999999997</v>
      </c>
      <c r="DC377" s="361">
        <v>93301.84</v>
      </c>
      <c r="DD377" s="361">
        <v>0</v>
      </c>
      <c r="DE377" s="361">
        <v>0</v>
      </c>
      <c r="DF377" s="361"/>
      <c r="DG377" s="361"/>
      <c r="DH377" s="361"/>
      <c r="DI377" s="378"/>
    </row>
    <row r="378" spans="2:113" ht="13">
      <c r="B378" s="294"/>
      <c r="C378" s="295"/>
      <c r="D378" s="295"/>
      <c r="E378" s="294"/>
      <c r="F378" s="294"/>
      <c r="G378" s="295"/>
      <c r="H378" s="295"/>
      <c r="I378" s="295"/>
      <c r="J378" s="295"/>
      <c r="K378" s="295"/>
      <c r="L378" s="295"/>
      <c r="N378" s="296"/>
      <c r="O378" s="296"/>
      <c r="P378" s="297"/>
      <c r="Q378" s="297"/>
      <c r="R378" s="297"/>
      <c r="S378" s="297"/>
      <c r="T378" s="298"/>
      <c r="U378" s="296"/>
      <c r="V378" s="296"/>
      <c r="W378" s="297"/>
      <c r="X378" s="297"/>
      <c r="Y378" s="297"/>
      <c r="Z378" s="297"/>
      <c r="AA378" s="299"/>
      <c r="AB378" s="296"/>
      <c r="AC378" s="296"/>
      <c r="AD378" s="297"/>
      <c r="AE378" s="297"/>
      <c r="AF378" s="297"/>
      <c r="AG378" s="297"/>
      <c r="AH378" s="295"/>
      <c r="AI378" s="293"/>
      <c r="AJ378" s="293"/>
      <c r="AK378" s="297"/>
      <c r="AL378" s="297"/>
      <c r="AM378" s="297"/>
      <c r="AN378" s="297"/>
      <c r="AO378" s="295"/>
      <c r="CS378" s="374">
        <v>48</v>
      </c>
      <c r="CT378" s="359" t="s">
        <v>214</v>
      </c>
      <c r="CU378" s="361">
        <v>816943.68</v>
      </c>
      <c r="CV378" s="361">
        <v>0</v>
      </c>
      <c r="CW378" s="361">
        <v>0</v>
      </c>
      <c r="CX378" s="361">
        <v>0</v>
      </c>
      <c r="CY378" s="361">
        <v>87553.71</v>
      </c>
      <c r="CZ378" s="361">
        <v>39880.58</v>
      </c>
      <c r="DA378" s="361">
        <v>288950.37</v>
      </c>
      <c r="DB378" s="361">
        <v>108468.06</v>
      </c>
      <c r="DC378" s="361">
        <v>94114.61</v>
      </c>
      <c r="DD378" s="361">
        <v>47856.57</v>
      </c>
      <c r="DE378" s="361">
        <v>150119.78</v>
      </c>
      <c r="DF378" s="361"/>
      <c r="DG378" s="361"/>
      <c r="DH378" s="361"/>
      <c r="DI378" s="378"/>
    </row>
    <row r="379" spans="2:113" ht="13">
      <c r="B379" s="294"/>
      <c r="C379" s="295"/>
      <c r="D379" s="295"/>
      <c r="E379" s="294"/>
      <c r="F379" s="294"/>
      <c r="G379" s="295"/>
      <c r="H379" s="295"/>
      <c r="I379" s="295"/>
      <c r="J379" s="295"/>
      <c r="K379" s="295"/>
      <c r="L379" s="295"/>
      <c r="N379" s="296"/>
      <c r="O379" s="296"/>
      <c r="P379" s="297"/>
      <c r="Q379" s="297"/>
      <c r="R379" s="297"/>
      <c r="S379" s="297"/>
      <c r="T379" s="298"/>
      <c r="U379" s="296"/>
      <c r="V379" s="296"/>
      <c r="W379" s="297"/>
      <c r="X379" s="297"/>
      <c r="Y379" s="297"/>
      <c r="Z379" s="297"/>
      <c r="AA379" s="299"/>
      <c r="AB379" s="296"/>
      <c r="AC379" s="296"/>
      <c r="AD379" s="297"/>
      <c r="AE379" s="297"/>
      <c r="AF379" s="297"/>
      <c r="AG379" s="297"/>
      <c r="AH379" s="295"/>
      <c r="AI379" s="293"/>
      <c r="AJ379" s="293"/>
      <c r="AK379" s="297"/>
      <c r="AL379" s="297"/>
      <c r="AM379" s="297"/>
      <c r="AN379" s="297"/>
      <c r="AO379" s="295"/>
      <c r="CS379" s="374">
        <v>49</v>
      </c>
      <c r="CT379" s="359" t="s">
        <v>178</v>
      </c>
      <c r="CU379" s="361">
        <v>770466.21</v>
      </c>
      <c r="CV379" s="361">
        <v>56460.42</v>
      </c>
      <c r="CW379" s="361">
        <v>75429.649999999994</v>
      </c>
      <c r="CX379" s="361">
        <v>84255.3</v>
      </c>
      <c r="CY379" s="361">
        <v>262305.78000000003</v>
      </c>
      <c r="CZ379" s="361">
        <v>27281.360000000001</v>
      </c>
      <c r="DA379" s="361">
        <v>32158.23</v>
      </c>
      <c r="DB379" s="361">
        <v>63889.56</v>
      </c>
      <c r="DC379" s="361">
        <v>53976.480000000003</v>
      </c>
      <c r="DD379" s="361">
        <v>56694.11</v>
      </c>
      <c r="DE379" s="361">
        <v>58015.32</v>
      </c>
      <c r="DF379" s="361"/>
      <c r="DG379" s="361"/>
      <c r="DH379" s="361"/>
      <c r="DI379" s="378"/>
    </row>
    <row r="380" spans="2:113" ht="13">
      <c r="B380" s="294"/>
      <c r="C380" s="295"/>
      <c r="D380" s="295"/>
      <c r="E380" s="294"/>
      <c r="F380" s="294"/>
      <c r="G380" s="295"/>
      <c r="H380" s="295"/>
      <c r="I380" s="295"/>
      <c r="J380" s="295"/>
      <c r="K380" s="295"/>
      <c r="L380" s="295"/>
      <c r="N380" s="296"/>
      <c r="O380" s="296"/>
      <c r="P380" s="297"/>
      <c r="Q380" s="297"/>
      <c r="R380" s="297"/>
      <c r="S380" s="297"/>
      <c r="T380" s="298"/>
      <c r="U380" s="296"/>
      <c r="V380" s="296"/>
      <c r="W380" s="297"/>
      <c r="X380" s="297"/>
      <c r="Y380" s="297"/>
      <c r="Z380" s="297"/>
      <c r="AA380" s="299"/>
      <c r="AB380" s="296"/>
      <c r="AC380" s="296"/>
      <c r="AD380" s="297"/>
      <c r="AE380" s="297"/>
      <c r="AF380" s="297"/>
      <c r="AG380" s="297"/>
      <c r="AH380" s="295"/>
      <c r="AI380" s="293"/>
      <c r="AJ380" s="293"/>
      <c r="AK380" s="297"/>
      <c r="AL380" s="297"/>
      <c r="AM380" s="297"/>
      <c r="AN380" s="297"/>
      <c r="AO380" s="295"/>
      <c r="CS380" s="374">
        <v>50</v>
      </c>
      <c r="CT380" s="359" t="s">
        <v>164</v>
      </c>
      <c r="CU380" s="361">
        <v>718194.97</v>
      </c>
      <c r="CV380" s="361">
        <v>0</v>
      </c>
      <c r="CW380" s="361">
        <v>0</v>
      </c>
      <c r="CX380" s="361">
        <v>0</v>
      </c>
      <c r="CY380" s="361">
        <v>0</v>
      </c>
      <c r="CZ380" s="361">
        <v>0</v>
      </c>
      <c r="DA380" s="361">
        <v>0</v>
      </c>
      <c r="DB380" s="361">
        <v>0</v>
      </c>
      <c r="DC380" s="361">
        <v>718194.97</v>
      </c>
      <c r="DD380" s="361">
        <v>0</v>
      </c>
      <c r="DE380" s="361">
        <v>0</v>
      </c>
      <c r="DF380" s="361"/>
      <c r="DG380" s="361"/>
      <c r="DH380" s="361"/>
      <c r="DI380" s="378"/>
    </row>
    <row r="381" spans="2:113" ht="13">
      <c r="B381" s="294"/>
      <c r="C381" s="295"/>
      <c r="D381" s="295"/>
      <c r="E381" s="294"/>
      <c r="F381" s="294"/>
      <c r="G381" s="295"/>
      <c r="H381" s="295"/>
      <c r="I381" s="295"/>
      <c r="J381" s="295"/>
      <c r="K381" s="295"/>
      <c r="L381" s="295"/>
      <c r="N381" s="296"/>
      <c r="O381" s="296"/>
      <c r="P381" s="297"/>
      <c r="Q381" s="297"/>
      <c r="R381" s="297"/>
      <c r="S381" s="297"/>
      <c r="T381" s="298"/>
      <c r="U381" s="296"/>
      <c r="V381" s="296"/>
      <c r="W381" s="297"/>
      <c r="X381" s="297"/>
      <c r="Y381" s="297"/>
      <c r="Z381" s="297"/>
      <c r="AA381" s="299"/>
      <c r="AB381" s="296"/>
      <c r="AC381" s="296"/>
      <c r="AD381" s="297"/>
      <c r="AE381" s="297"/>
      <c r="AF381" s="297"/>
      <c r="AG381" s="297"/>
      <c r="AH381" s="295"/>
      <c r="AI381" s="293"/>
      <c r="AJ381" s="293"/>
      <c r="AK381" s="297"/>
      <c r="AL381" s="297"/>
      <c r="AM381" s="297"/>
      <c r="AN381" s="297"/>
      <c r="AO381" s="295"/>
      <c r="CS381" s="374">
        <v>51</v>
      </c>
      <c r="CT381" s="359" t="s">
        <v>206</v>
      </c>
      <c r="CU381" s="361">
        <v>647865.86</v>
      </c>
      <c r="CV381" s="361">
        <v>74972.39</v>
      </c>
      <c r="CW381" s="361">
        <v>24990.799999999999</v>
      </c>
      <c r="CX381" s="361">
        <v>74972.39</v>
      </c>
      <c r="CY381" s="361">
        <v>102462.3</v>
      </c>
      <c r="CZ381" s="361">
        <v>52480.71</v>
      </c>
      <c r="DA381" s="361">
        <v>26240.35</v>
      </c>
      <c r="DB381" s="361">
        <v>78721.06</v>
      </c>
      <c r="DC381" s="361">
        <v>52480.71</v>
      </c>
      <c r="DD381" s="361">
        <v>55104.73</v>
      </c>
      <c r="DE381" s="361">
        <v>105440.44</v>
      </c>
      <c r="DF381" s="365"/>
      <c r="DG381" s="365"/>
      <c r="DH381" s="365"/>
      <c r="DI381" s="379"/>
    </row>
    <row r="382" spans="2:113" ht="13">
      <c r="B382" s="294"/>
      <c r="C382" s="295"/>
      <c r="D382" s="295"/>
      <c r="E382" s="294"/>
      <c r="F382" s="294"/>
      <c r="G382" s="295"/>
      <c r="H382" s="295"/>
      <c r="I382" s="295"/>
      <c r="J382" s="295"/>
      <c r="K382" s="295"/>
      <c r="L382" s="295"/>
      <c r="N382" s="296"/>
      <c r="O382" s="296"/>
      <c r="P382" s="297"/>
      <c r="Q382" s="297"/>
      <c r="R382" s="297"/>
      <c r="S382" s="297"/>
      <c r="T382" s="298"/>
      <c r="U382" s="296"/>
      <c r="V382" s="296"/>
      <c r="W382" s="297"/>
      <c r="X382" s="297"/>
      <c r="Y382" s="297"/>
      <c r="Z382" s="297"/>
      <c r="AA382" s="299"/>
      <c r="AB382" s="296"/>
      <c r="AC382" s="296"/>
      <c r="AD382" s="297"/>
      <c r="AE382" s="297"/>
      <c r="AF382" s="297"/>
      <c r="AG382" s="297"/>
      <c r="AH382" s="295"/>
      <c r="AI382" s="293"/>
      <c r="AJ382" s="293"/>
      <c r="AK382" s="297"/>
      <c r="AL382" s="297"/>
      <c r="AM382" s="297"/>
      <c r="AN382" s="297"/>
      <c r="AO382" s="295"/>
      <c r="CS382" s="374">
        <v>52</v>
      </c>
      <c r="CT382" s="359" t="s">
        <v>196</v>
      </c>
      <c r="CU382" s="361">
        <v>579002.24</v>
      </c>
      <c r="CV382" s="361">
        <v>79660.98</v>
      </c>
      <c r="CW382" s="361">
        <v>0</v>
      </c>
      <c r="CX382" s="361">
        <v>84845.39</v>
      </c>
      <c r="CY382" s="361">
        <v>62919.63</v>
      </c>
      <c r="CZ382" s="361">
        <v>64378.64</v>
      </c>
      <c r="DA382" s="361">
        <v>33739.160000000003</v>
      </c>
      <c r="DB382" s="361">
        <v>85987.86</v>
      </c>
      <c r="DC382" s="361">
        <v>71256.08</v>
      </c>
      <c r="DD382" s="361">
        <v>59776.23</v>
      </c>
      <c r="DE382" s="361">
        <v>36438.269999999997</v>
      </c>
      <c r="DF382" s="361"/>
      <c r="DG382" s="361"/>
      <c r="DH382" s="361"/>
      <c r="DI382" s="378"/>
    </row>
    <row r="383" spans="2:113" ht="13">
      <c r="B383" s="294"/>
      <c r="C383" s="295"/>
      <c r="D383" s="295"/>
      <c r="E383" s="294"/>
      <c r="F383" s="294"/>
      <c r="G383" s="295"/>
      <c r="H383" s="295"/>
      <c r="I383" s="295"/>
      <c r="J383" s="295"/>
      <c r="K383" s="295"/>
      <c r="L383" s="295"/>
      <c r="N383" s="296"/>
      <c r="O383" s="296"/>
      <c r="P383" s="297"/>
      <c r="Q383" s="297"/>
      <c r="R383" s="297"/>
      <c r="S383" s="297"/>
      <c r="T383" s="298"/>
      <c r="U383" s="296"/>
      <c r="V383" s="296"/>
      <c r="W383" s="297"/>
      <c r="X383" s="297"/>
      <c r="Y383" s="297"/>
      <c r="Z383" s="297"/>
      <c r="AA383" s="299"/>
      <c r="AB383" s="296"/>
      <c r="AC383" s="296"/>
      <c r="AD383" s="297"/>
      <c r="AE383" s="297"/>
      <c r="AF383" s="297"/>
      <c r="AG383" s="297"/>
      <c r="AH383" s="295"/>
      <c r="AI383" s="293"/>
      <c r="AJ383" s="293"/>
      <c r="AK383" s="297"/>
      <c r="AL383" s="297"/>
      <c r="AM383" s="297"/>
      <c r="AN383" s="297"/>
      <c r="AO383" s="295"/>
      <c r="CS383" s="374">
        <v>53</v>
      </c>
      <c r="CT383" s="359" t="s">
        <v>156</v>
      </c>
      <c r="CU383" s="361">
        <v>487273.75</v>
      </c>
      <c r="CV383" s="361">
        <v>0</v>
      </c>
      <c r="CW383" s="361">
        <v>0</v>
      </c>
      <c r="CX383" s="361">
        <v>0</v>
      </c>
      <c r="CY383" s="361">
        <v>0</v>
      </c>
      <c r="CZ383" s="361">
        <v>0</v>
      </c>
      <c r="DA383" s="361">
        <v>0</v>
      </c>
      <c r="DB383" s="361">
        <v>0</v>
      </c>
      <c r="DC383" s="361">
        <v>0</v>
      </c>
      <c r="DD383" s="361">
        <v>0</v>
      </c>
      <c r="DE383" s="361">
        <v>487273.75</v>
      </c>
      <c r="DF383" s="361"/>
      <c r="DG383" s="361"/>
      <c r="DH383" s="361"/>
      <c r="DI383" s="378"/>
    </row>
    <row r="384" spans="2:113" ht="13">
      <c r="B384" s="294"/>
      <c r="C384" s="295"/>
      <c r="D384" s="295"/>
      <c r="E384" s="294"/>
      <c r="F384" s="294"/>
      <c r="G384" s="295"/>
      <c r="H384" s="295"/>
      <c r="I384" s="295"/>
      <c r="J384" s="295"/>
      <c r="K384" s="295"/>
      <c r="L384" s="295"/>
      <c r="N384" s="296"/>
      <c r="O384" s="296"/>
      <c r="P384" s="297"/>
      <c r="Q384" s="297"/>
      <c r="R384" s="297"/>
      <c r="S384" s="297"/>
      <c r="T384" s="298"/>
      <c r="U384" s="296"/>
      <c r="V384" s="296"/>
      <c r="W384" s="297"/>
      <c r="X384" s="297"/>
      <c r="Y384" s="297"/>
      <c r="Z384" s="297"/>
      <c r="AA384" s="299"/>
      <c r="AB384" s="296"/>
      <c r="AC384" s="296"/>
      <c r="AD384" s="297"/>
      <c r="AE384" s="297"/>
      <c r="AF384" s="297"/>
      <c r="AG384" s="297"/>
      <c r="AH384" s="295"/>
      <c r="AI384" s="293"/>
      <c r="AJ384" s="293"/>
      <c r="AK384" s="297"/>
      <c r="AL384" s="297"/>
      <c r="AM384" s="297"/>
      <c r="AN384" s="297"/>
      <c r="AO384" s="295"/>
      <c r="CS384" s="374">
        <v>54</v>
      </c>
      <c r="CT384" s="359" t="s">
        <v>152</v>
      </c>
      <c r="CU384" s="361">
        <v>452065.9</v>
      </c>
      <c r="CV384" s="361">
        <v>0</v>
      </c>
      <c r="CW384" s="361">
        <v>0</v>
      </c>
      <c r="CX384" s="361">
        <v>0</v>
      </c>
      <c r="CY384" s="361">
        <v>142291.20000000001</v>
      </c>
      <c r="CZ384" s="361">
        <v>49206.239999999998</v>
      </c>
      <c r="DA384" s="361">
        <v>0</v>
      </c>
      <c r="DB384" s="361">
        <v>0</v>
      </c>
      <c r="DC384" s="361">
        <v>260568.46</v>
      </c>
      <c r="DD384" s="361">
        <v>0</v>
      </c>
      <c r="DE384" s="361">
        <v>0</v>
      </c>
      <c r="DF384" s="361"/>
      <c r="DG384" s="361"/>
      <c r="DH384" s="361"/>
      <c r="DI384" s="378"/>
    </row>
    <row r="385" spans="2:113" ht="13">
      <c r="B385" s="294"/>
      <c r="C385" s="295"/>
      <c r="D385" s="295"/>
      <c r="E385" s="294"/>
      <c r="F385" s="294"/>
      <c r="G385" s="295"/>
      <c r="H385" s="295"/>
      <c r="I385" s="295"/>
      <c r="J385" s="295"/>
      <c r="K385" s="295"/>
      <c r="L385" s="295"/>
      <c r="N385" s="296"/>
      <c r="O385" s="296"/>
      <c r="P385" s="297"/>
      <c r="Q385" s="297"/>
      <c r="R385" s="297"/>
      <c r="S385" s="297"/>
      <c r="T385" s="298"/>
      <c r="U385" s="296"/>
      <c r="V385" s="296"/>
      <c r="W385" s="297"/>
      <c r="X385" s="297"/>
      <c r="Y385" s="297"/>
      <c r="Z385" s="297"/>
      <c r="AA385" s="299"/>
      <c r="AB385" s="296"/>
      <c r="AC385" s="296"/>
      <c r="AD385" s="297"/>
      <c r="AE385" s="297"/>
      <c r="AF385" s="297"/>
      <c r="AG385" s="297"/>
      <c r="AH385" s="295"/>
      <c r="AI385" s="293"/>
      <c r="AJ385" s="293"/>
      <c r="AK385" s="297"/>
      <c r="AL385" s="297"/>
      <c r="AM385" s="297"/>
      <c r="AN385" s="297"/>
      <c r="AO385" s="295"/>
      <c r="CS385" s="374">
        <v>55</v>
      </c>
      <c r="CT385" s="359" t="s">
        <v>199</v>
      </c>
      <c r="CU385" s="361">
        <v>448860.63</v>
      </c>
      <c r="CV385" s="361">
        <v>0</v>
      </c>
      <c r="CW385" s="361">
        <v>307186.71000000002</v>
      </c>
      <c r="CX385" s="361">
        <v>61740.62</v>
      </c>
      <c r="CY385" s="361">
        <v>0</v>
      </c>
      <c r="CZ385" s="361">
        <v>48875.7</v>
      </c>
      <c r="DA385" s="361">
        <v>0</v>
      </c>
      <c r="DB385" s="361">
        <v>0</v>
      </c>
      <c r="DC385" s="361">
        <v>31057.599999999999</v>
      </c>
      <c r="DD385" s="365">
        <v>0</v>
      </c>
      <c r="DE385" s="365">
        <v>0</v>
      </c>
      <c r="DF385" s="365"/>
      <c r="DG385" s="365"/>
      <c r="DH385" s="365"/>
      <c r="DI385" s="379"/>
    </row>
    <row r="386" spans="2:113" ht="13">
      <c r="B386" s="294"/>
      <c r="C386" s="295"/>
      <c r="D386" s="295"/>
      <c r="E386" s="294"/>
      <c r="F386" s="294"/>
      <c r="G386" s="295"/>
      <c r="H386" s="295"/>
      <c r="I386" s="295"/>
      <c r="J386" s="295"/>
      <c r="K386" s="295"/>
      <c r="L386" s="295"/>
      <c r="N386" s="296"/>
      <c r="O386" s="296"/>
      <c r="P386" s="297"/>
      <c r="Q386" s="297"/>
      <c r="R386" s="297"/>
      <c r="S386" s="297"/>
      <c r="T386" s="298"/>
      <c r="U386" s="296"/>
      <c r="V386" s="296"/>
      <c r="W386" s="297"/>
      <c r="X386" s="297"/>
      <c r="Y386" s="297"/>
      <c r="Z386" s="297"/>
      <c r="AA386" s="299"/>
      <c r="AB386" s="296"/>
      <c r="AC386" s="296"/>
      <c r="AD386" s="297"/>
      <c r="AE386" s="297"/>
      <c r="AF386" s="297"/>
      <c r="AG386" s="297"/>
      <c r="AH386" s="295"/>
      <c r="AI386" s="293"/>
      <c r="AJ386" s="293"/>
      <c r="AK386" s="297"/>
      <c r="AL386" s="297"/>
      <c r="AM386" s="297"/>
      <c r="AN386" s="297"/>
      <c r="AO386" s="295"/>
      <c r="CS386" s="374">
        <v>56</v>
      </c>
      <c r="CT386" s="359" t="s">
        <v>225</v>
      </c>
      <c r="CU386" s="361">
        <v>402653.52</v>
      </c>
      <c r="CV386" s="361">
        <v>21560</v>
      </c>
      <c r="CW386" s="361">
        <v>113657.41</v>
      </c>
      <c r="CX386" s="361">
        <v>22638</v>
      </c>
      <c r="CY386" s="361">
        <v>68839.41</v>
      </c>
      <c r="CZ386" s="361">
        <v>0</v>
      </c>
      <c r="DA386" s="361">
        <v>78952.2</v>
      </c>
      <c r="DB386" s="361">
        <v>41839.5</v>
      </c>
      <c r="DC386" s="361">
        <v>27583.5</v>
      </c>
      <c r="DD386" s="361">
        <v>0</v>
      </c>
      <c r="DE386" s="361">
        <v>27583.5</v>
      </c>
      <c r="DF386" s="365"/>
      <c r="DG386" s="365"/>
      <c r="DH386" s="365"/>
      <c r="DI386" s="379"/>
    </row>
    <row r="387" spans="2:113" ht="13">
      <c r="B387" s="294"/>
      <c r="C387" s="295"/>
      <c r="D387" s="295"/>
      <c r="E387" s="294"/>
      <c r="F387" s="294"/>
      <c r="G387" s="295"/>
      <c r="H387" s="295"/>
      <c r="I387" s="295"/>
      <c r="J387" s="295"/>
      <c r="K387" s="295"/>
      <c r="L387" s="295"/>
      <c r="N387" s="296"/>
      <c r="O387" s="296"/>
      <c r="P387" s="297"/>
      <c r="Q387" s="297"/>
      <c r="R387" s="297"/>
      <c r="S387" s="297"/>
      <c r="T387" s="298"/>
      <c r="U387" s="296"/>
      <c r="V387" s="296"/>
      <c r="W387" s="297"/>
      <c r="X387" s="297"/>
      <c r="Y387" s="297"/>
      <c r="Z387" s="297"/>
      <c r="AA387" s="299"/>
      <c r="AB387" s="296"/>
      <c r="AC387" s="296"/>
      <c r="AD387" s="297"/>
      <c r="AE387" s="297"/>
      <c r="AF387" s="297"/>
      <c r="AG387" s="297"/>
      <c r="AH387" s="295"/>
      <c r="AI387" s="293"/>
      <c r="AJ387" s="293"/>
      <c r="AK387" s="297"/>
      <c r="AL387" s="297"/>
      <c r="AM387" s="297"/>
      <c r="AN387" s="297"/>
      <c r="AO387" s="295"/>
      <c r="CS387" s="374">
        <v>57</v>
      </c>
      <c r="CT387" s="359" t="s">
        <v>183</v>
      </c>
      <c r="CU387" s="361">
        <v>306323.34000000003</v>
      </c>
      <c r="CV387" s="361">
        <v>29216.2</v>
      </c>
      <c r="CW387" s="361">
        <v>27418.46</v>
      </c>
      <c r="CX387" s="361">
        <v>87791.51</v>
      </c>
      <c r="CY387" s="361">
        <v>70856.62</v>
      </c>
      <c r="CZ387" s="361">
        <v>33703.43</v>
      </c>
      <c r="DA387" s="361">
        <v>0</v>
      </c>
      <c r="DB387" s="361">
        <v>0</v>
      </c>
      <c r="DC387" s="361">
        <v>0</v>
      </c>
      <c r="DD387" s="361">
        <v>57337.120000000003</v>
      </c>
      <c r="DE387" s="361">
        <v>0</v>
      </c>
      <c r="DF387" s="361"/>
      <c r="DG387" s="361"/>
      <c r="DH387" s="361"/>
      <c r="DI387" s="378"/>
    </row>
    <row r="388" spans="2:113" ht="13">
      <c r="B388" s="294"/>
      <c r="C388" s="295"/>
      <c r="D388" s="295"/>
      <c r="E388" s="294"/>
      <c r="F388" s="294"/>
      <c r="G388" s="295"/>
      <c r="H388" s="295"/>
      <c r="I388" s="295"/>
      <c r="J388" s="295"/>
      <c r="K388" s="295"/>
      <c r="L388" s="295"/>
      <c r="N388" s="296"/>
      <c r="O388" s="296"/>
      <c r="P388" s="297"/>
      <c r="Q388" s="297"/>
      <c r="R388" s="297"/>
      <c r="S388" s="297"/>
      <c r="T388" s="298"/>
      <c r="U388" s="296"/>
      <c r="V388" s="296"/>
      <c r="W388" s="297"/>
      <c r="X388" s="297"/>
      <c r="Y388" s="297"/>
      <c r="Z388" s="297"/>
      <c r="AA388" s="299"/>
      <c r="AB388" s="296"/>
      <c r="AC388" s="296"/>
      <c r="AD388" s="297"/>
      <c r="AE388" s="297"/>
      <c r="AF388" s="297"/>
      <c r="AG388" s="297"/>
      <c r="AH388" s="295"/>
      <c r="AI388" s="293"/>
      <c r="AJ388" s="293"/>
      <c r="AK388" s="297"/>
      <c r="AL388" s="297"/>
      <c r="AM388" s="297"/>
      <c r="AN388" s="297"/>
      <c r="AO388" s="295"/>
      <c r="CS388" s="374">
        <v>58</v>
      </c>
      <c r="CT388" s="359" t="s">
        <v>174</v>
      </c>
      <c r="CU388" s="361">
        <v>275653.06</v>
      </c>
      <c r="CV388" s="361">
        <v>42053.68</v>
      </c>
      <c r="CW388" s="361">
        <v>57495.78</v>
      </c>
      <c r="CX388" s="361">
        <v>96342.44</v>
      </c>
      <c r="CY388" s="361">
        <v>0</v>
      </c>
      <c r="CZ388" s="361">
        <v>39880.58</v>
      </c>
      <c r="DA388" s="361">
        <v>39880.58</v>
      </c>
      <c r="DB388" s="361">
        <v>0</v>
      </c>
      <c r="DC388" s="361">
        <v>0</v>
      </c>
      <c r="DD388" s="361">
        <v>0</v>
      </c>
      <c r="DE388" s="361">
        <v>0</v>
      </c>
      <c r="DF388" s="361"/>
      <c r="DG388" s="361"/>
      <c r="DH388" s="361"/>
      <c r="DI388" s="378"/>
    </row>
    <row r="389" spans="2:113" ht="13">
      <c r="B389" s="294"/>
      <c r="C389" s="295"/>
      <c r="D389" s="295"/>
      <c r="E389" s="294"/>
      <c r="F389" s="294"/>
      <c r="G389" s="295"/>
      <c r="H389" s="295"/>
      <c r="I389" s="295"/>
      <c r="J389" s="295"/>
      <c r="K389" s="295"/>
      <c r="L389" s="295"/>
      <c r="N389" s="296"/>
      <c r="O389" s="296"/>
      <c r="P389" s="297"/>
      <c r="Q389" s="297"/>
      <c r="R389" s="297"/>
      <c r="S389" s="297"/>
      <c r="T389" s="298"/>
      <c r="U389" s="296"/>
      <c r="V389" s="296"/>
      <c r="W389" s="297"/>
      <c r="X389" s="297"/>
      <c r="Y389" s="297"/>
      <c r="Z389" s="297"/>
      <c r="AA389" s="299"/>
      <c r="AB389" s="296"/>
      <c r="AC389" s="296"/>
      <c r="AD389" s="297"/>
      <c r="AE389" s="297"/>
      <c r="AF389" s="297"/>
      <c r="AG389" s="297"/>
      <c r="AH389" s="295"/>
      <c r="AI389" s="293"/>
      <c r="AJ389" s="293"/>
      <c r="AK389" s="297"/>
      <c r="AL389" s="297"/>
      <c r="AM389" s="297"/>
      <c r="AN389" s="297"/>
      <c r="AO389" s="295"/>
      <c r="CS389" s="374">
        <v>59</v>
      </c>
      <c r="CT389" s="359" t="s">
        <v>140</v>
      </c>
      <c r="CU389" s="361">
        <v>266986</v>
      </c>
      <c r="CV389" s="361">
        <v>30764.880000000001</v>
      </c>
      <c r="CW389" s="361">
        <v>0</v>
      </c>
      <c r="CX389" s="361">
        <v>0</v>
      </c>
      <c r="CY389" s="361">
        <v>0</v>
      </c>
      <c r="CZ389" s="361">
        <v>0</v>
      </c>
      <c r="DA389" s="361">
        <v>0</v>
      </c>
      <c r="DB389" s="361">
        <v>0</v>
      </c>
      <c r="DC389" s="361">
        <v>236221.12</v>
      </c>
      <c r="DD389" s="361">
        <v>0</v>
      </c>
      <c r="DE389" s="361">
        <v>0</v>
      </c>
      <c r="DF389" s="361"/>
      <c r="DG389" s="361"/>
      <c r="DH389" s="361"/>
      <c r="DI389" s="378"/>
    </row>
    <row r="390" spans="2:113" ht="13">
      <c r="B390" s="294"/>
      <c r="C390" s="295"/>
      <c r="D390" s="295"/>
      <c r="E390" s="294"/>
      <c r="F390" s="294"/>
      <c r="G390" s="295"/>
      <c r="H390" s="295"/>
      <c r="I390" s="295"/>
      <c r="J390" s="295"/>
      <c r="K390" s="295"/>
      <c r="L390" s="295"/>
      <c r="N390" s="296"/>
      <c r="O390" s="296"/>
      <c r="P390" s="297"/>
      <c r="Q390" s="297"/>
      <c r="R390" s="297"/>
      <c r="S390" s="297"/>
      <c r="T390" s="298"/>
      <c r="U390" s="296"/>
      <c r="V390" s="296"/>
      <c r="W390" s="297"/>
      <c r="X390" s="297"/>
      <c r="Y390" s="297"/>
      <c r="Z390" s="297"/>
      <c r="AA390" s="299"/>
      <c r="AB390" s="296"/>
      <c r="AC390" s="296"/>
      <c r="AD390" s="297"/>
      <c r="AE390" s="297"/>
      <c r="AF390" s="297"/>
      <c r="AG390" s="297"/>
      <c r="AH390" s="295"/>
      <c r="AI390" s="293"/>
      <c r="AJ390" s="293"/>
      <c r="AK390" s="297"/>
      <c r="AL390" s="297"/>
      <c r="AM390" s="297"/>
      <c r="AN390" s="297"/>
      <c r="AO390" s="295"/>
      <c r="CS390" s="374">
        <v>60</v>
      </c>
      <c r="CT390" s="359" t="s">
        <v>79</v>
      </c>
      <c r="CU390" s="361">
        <v>244959.9</v>
      </c>
      <c r="CV390" s="361">
        <v>0</v>
      </c>
      <c r="CW390" s="361">
        <v>0</v>
      </c>
      <c r="CX390" s="361">
        <v>0</v>
      </c>
      <c r="CY390" s="361">
        <v>0</v>
      </c>
      <c r="CZ390" s="361">
        <v>0</v>
      </c>
      <c r="DA390" s="361">
        <v>48875.7</v>
      </c>
      <c r="DB390" s="361">
        <v>68687.100000000006</v>
      </c>
      <c r="DC390" s="361">
        <v>106479.58</v>
      </c>
      <c r="DD390" s="361">
        <v>20917.52</v>
      </c>
      <c r="DE390" s="361">
        <v>0</v>
      </c>
      <c r="DF390" s="361"/>
      <c r="DG390" s="361"/>
      <c r="DH390" s="361"/>
      <c r="DI390" s="378"/>
    </row>
    <row r="391" spans="2:113" ht="13">
      <c r="B391" s="294"/>
      <c r="C391" s="295"/>
      <c r="D391" s="295"/>
      <c r="E391" s="294"/>
      <c r="F391" s="294"/>
      <c r="G391" s="295"/>
      <c r="H391" s="295"/>
      <c r="I391" s="295"/>
      <c r="J391" s="295"/>
      <c r="K391" s="295"/>
      <c r="L391" s="295"/>
      <c r="N391" s="296"/>
      <c r="O391" s="296"/>
      <c r="P391" s="297"/>
      <c r="Q391" s="297"/>
      <c r="R391" s="297"/>
      <c r="S391" s="297"/>
      <c r="T391" s="298"/>
      <c r="U391" s="296"/>
      <c r="V391" s="296"/>
      <c r="W391" s="297"/>
      <c r="X391" s="297"/>
      <c r="Y391" s="297"/>
      <c r="Z391" s="297"/>
      <c r="AA391" s="299"/>
      <c r="AB391" s="296"/>
      <c r="AC391" s="296"/>
      <c r="AD391" s="297"/>
      <c r="AE391" s="297"/>
      <c r="AF391" s="297"/>
      <c r="AG391" s="297"/>
      <c r="AH391" s="295"/>
      <c r="AI391" s="293"/>
      <c r="AJ391" s="293"/>
      <c r="AK391" s="297"/>
      <c r="AL391" s="297"/>
      <c r="AM391" s="297"/>
      <c r="AN391" s="297"/>
      <c r="AO391" s="295"/>
      <c r="CS391" s="374">
        <v>61</v>
      </c>
      <c r="CT391" s="359" t="s">
        <v>186</v>
      </c>
      <c r="CU391" s="361">
        <v>231980.75</v>
      </c>
      <c r="CV391" s="361">
        <v>9573.1299999999992</v>
      </c>
      <c r="CW391" s="361">
        <v>22326.22</v>
      </c>
      <c r="CX391" s="361">
        <v>17818.099999999999</v>
      </c>
      <c r="CY391" s="361">
        <v>17818.099999999999</v>
      </c>
      <c r="CZ391" s="361">
        <v>48875.7</v>
      </c>
      <c r="DA391" s="361">
        <v>17818.099999999999</v>
      </c>
      <c r="DB391" s="361">
        <v>0</v>
      </c>
      <c r="DC391" s="361">
        <v>48875.7</v>
      </c>
      <c r="DD391" s="361">
        <v>17818.099999999999</v>
      </c>
      <c r="DE391" s="361">
        <v>31057.599999999999</v>
      </c>
      <c r="DF391" s="361"/>
      <c r="DG391" s="361"/>
      <c r="DH391" s="361"/>
      <c r="DI391" s="378"/>
    </row>
    <row r="392" spans="2:113" ht="13">
      <c r="B392" s="294"/>
      <c r="C392" s="295"/>
      <c r="D392" s="295"/>
      <c r="E392" s="294"/>
      <c r="F392" s="294"/>
      <c r="G392" s="295"/>
      <c r="H392" s="295"/>
      <c r="I392" s="295"/>
      <c r="J392" s="295"/>
      <c r="K392" s="295"/>
      <c r="L392" s="295"/>
      <c r="N392" s="296"/>
      <c r="O392" s="296"/>
      <c r="P392" s="297"/>
      <c r="Q392" s="297"/>
      <c r="R392" s="297"/>
      <c r="S392" s="297"/>
      <c r="T392" s="298"/>
      <c r="U392" s="296"/>
      <c r="V392" s="296"/>
      <c r="W392" s="297"/>
      <c r="X392" s="297"/>
      <c r="Y392" s="297"/>
      <c r="Z392" s="297"/>
      <c r="AA392" s="299"/>
      <c r="AB392" s="296"/>
      <c r="AC392" s="296"/>
      <c r="AD392" s="297"/>
      <c r="AE392" s="297"/>
      <c r="AF392" s="297"/>
      <c r="AG392" s="297"/>
      <c r="AH392" s="295"/>
      <c r="AI392" s="293"/>
      <c r="AJ392" s="293"/>
      <c r="AK392" s="297"/>
      <c r="AL392" s="297"/>
      <c r="AM392" s="297"/>
      <c r="AN392" s="297"/>
      <c r="AO392" s="295"/>
      <c r="CS392" s="374">
        <v>62</v>
      </c>
      <c r="CT392" s="359" t="s">
        <v>108</v>
      </c>
      <c r="CU392" s="361">
        <v>219870.69</v>
      </c>
      <c r="CV392" s="361">
        <v>66000</v>
      </c>
      <c r="CW392" s="361">
        <v>19165.259999999998</v>
      </c>
      <c r="CX392" s="361">
        <v>19165.259999999998</v>
      </c>
      <c r="CY392" s="361">
        <v>0</v>
      </c>
      <c r="CZ392" s="361">
        <v>31057.599999999999</v>
      </c>
      <c r="DA392" s="361">
        <v>0</v>
      </c>
      <c r="DB392" s="361">
        <v>0</v>
      </c>
      <c r="DC392" s="361">
        <v>40616.589999999997</v>
      </c>
      <c r="DD392" s="361">
        <v>43865.98</v>
      </c>
      <c r="DE392" s="361">
        <v>0</v>
      </c>
      <c r="DF392" s="361"/>
      <c r="DG392" s="361"/>
      <c r="DH392" s="361"/>
      <c r="DI392" s="378"/>
    </row>
    <row r="393" spans="2:113" ht="13">
      <c r="B393" s="294"/>
      <c r="C393" s="295"/>
      <c r="D393" s="295"/>
      <c r="E393" s="294"/>
      <c r="F393" s="294"/>
      <c r="G393" s="295"/>
      <c r="H393" s="295"/>
      <c r="I393" s="295"/>
      <c r="J393" s="295"/>
      <c r="K393" s="295"/>
      <c r="L393" s="295"/>
      <c r="N393" s="296"/>
      <c r="O393" s="296"/>
      <c r="P393" s="297"/>
      <c r="Q393" s="297"/>
      <c r="R393" s="297"/>
      <c r="S393" s="297"/>
      <c r="T393" s="298"/>
      <c r="U393" s="296"/>
      <c r="V393" s="296"/>
      <c r="W393" s="297"/>
      <c r="X393" s="297"/>
      <c r="Y393" s="297"/>
      <c r="Z393" s="297"/>
      <c r="AA393" s="299"/>
      <c r="AB393" s="296"/>
      <c r="AC393" s="296"/>
      <c r="AD393" s="297"/>
      <c r="AE393" s="297"/>
      <c r="AF393" s="297"/>
      <c r="AG393" s="297"/>
      <c r="AH393" s="295"/>
      <c r="AI393" s="293"/>
      <c r="AJ393" s="293"/>
      <c r="AK393" s="297"/>
      <c r="AL393" s="297"/>
      <c r="AM393" s="297"/>
      <c r="AN393" s="297"/>
      <c r="AO393" s="295"/>
      <c r="CS393" s="374">
        <v>63</v>
      </c>
      <c r="CT393" s="359" t="s">
        <v>65</v>
      </c>
      <c r="CU393" s="361">
        <v>210875.95</v>
      </c>
      <c r="CV393" s="361">
        <v>0</v>
      </c>
      <c r="CW393" s="361">
        <v>29037.439999999999</v>
      </c>
      <c r="CX393" s="361">
        <v>0</v>
      </c>
      <c r="CY393" s="361">
        <v>95826.3</v>
      </c>
      <c r="CZ393" s="361">
        <v>17818.099999999999</v>
      </c>
      <c r="DA393" s="361">
        <v>51107.360000000001</v>
      </c>
      <c r="DB393" s="361">
        <v>0</v>
      </c>
      <c r="DC393" s="361">
        <v>17086.75</v>
      </c>
      <c r="DD393" s="361">
        <v>0</v>
      </c>
      <c r="DE393" s="361">
        <v>0</v>
      </c>
      <c r="DF393" s="361"/>
      <c r="DG393" s="361"/>
      <c r="DH393" s="361"/>
      <c r="DI393" s="378"/>
    </row>
    <row r="394" spans="2:113" ht="13">
      <c r="B394" s="294"/>
      <c r="C394" s="295"/>
      <c r="D394" s="295"/>
      <c r="E394" s="294"/>
      <c r="F394" s="294"/>
      <c r="G394" s="295"/>
      <c r="H394" s="295"/>
      <c r="I394" s="295"/>
      <c r="J394" s="295"/>
      <c r="K394" s="295"/>
      <c r="L394" s="295"/>
      <c r="N394" s="296"/>
      <c r="O394" s="296"/>
      <c r="P394" s="297"/>
      <c r="Q394" s="297"/>
      <c r="R394" s="297"/>
      <c r="S394" s="297"/>
      <c r="T394" s="298"/>
      <c r="U394" s="296"/>
      <c r="V394" s="296"/>
      <c r="W394" s="297"/>
      <c r="X394" s="297"/>
      <c r="Y394" s="297"/>
      <c r="Z394" s="297"/>
      <c r="AA394" s="299"/>
      <c r="AB394" s="296"/>
      <c r="AC394" s="296"/>
      <c r="AD394" s="297"/>
      <c r="AE394" s="297"/>
      <c r="AF394" s="297"/>
      <c r="AG394" s="297"/>
      <c r="AH394" s="295"/>
      <c r="AI394" s="293"/>
      <c r="AJ394" s="293"/>
      <c r="AK394" s="297"/>
      <c r="AL394" s="297"/>
      <c r="AM394" s="297"/>
      <c r="AN394" s="297"/>
      <c r="AO394" s="295"/>
      <c r="CS394" s="374">
        <v>64</v>
      </c>
      <c r="CT394" s="359" t="s">
        <v>171</v>
      </c>
      <c r="CU394" s="361">
        <v>186359.67999999999</v>
      </c>
      <c r="CV394" s="361">
        <v>26771.09</v>
      </c>
      <c r="CW394" s="361">
        <v>0</v>
      </c>
      <c r="CX394" s="365">
        <v>0</v>
      </c>
      <c r="CY394" s="361">
        <v>30639.49</v>
      </c>
      <c r="CZ394" s="365">
        <v>0</v>
      </c>
      <c r="DA394" s="361">
        <v>30639.49</v>
      </c>
      <c r="DB394" s="361">
        <v>30639.49</v>
      </c>
      <c r="DC394" s="365">
        <v>0</v>
      </c>
      <c r="DD394" s="361">
        <v>33090.69</v>
      </c>
      <c r="DE394" s="361">
        <v>34579.43</v>
      </c>
      <c r="DF394" s="365"/>
      <c r="DG394" s="365"/>
      <c r="DH394" s="365"/>
      <c r="DI394" s="379"/>
    </row>
    <row r="395" spans="2:113" ht="13">
      <c r="B395" s="294"/>
      <c r="C395" s="295"/>
      <c r="D395" s="295"/>
      <c r="E395" s="294"/>
      <c r="F395" s="294"/>
      <c r="G395" s="295"/>
      <c r="H395" s="295"/>
      <c r="I395" s="295"/>
      <c r="J395" s="295"/>
      <c r="K395" s="295"/>
      <c r="L395" s="295"/>
      <c r="N395" s="296"/>
      <c r="O395" s="296"/>
      <c r="P395" s="297"/>
      <c r="Q395" s="297"/>
      <c r="R395" s="297"/>
      <c r="S395" s="297"/>
      <c r="T395" s="298"/>
      <c r="U395" s="296"/>
      <c r="V395" s="296"/>
      <c r="W395" s="297"/>
      <c r="X395" s="297"/>
      <c r="Y395" s="297"/>
      <c r="Z395" s="297"/>
      <c r="AA395" s="299"/>
      <c r="AB395" s="296"/>
      <c r="AC395" s="296"/>
      <c r="AD395" s="297"/>
      <c r="AE395" s="297"/>
      <c r="AF395" s="297"/>
      <c r="AG395" s="297"/>
      <c r="AH395" s="295"/>
      <c r="AI395" s="293"/>
      <c r="AJ395" s="293"/>
      <c r="AK395" s="297"/>
      <c r="AL395" s="297"/>
      <c r="AM395" s="297"/>
      <c r="AN395" s="297"/>
      <c r="AO395" s="295"/>
      <c r="CS395" s="374">
        <v>65</v>
      </c>
      <c r="CT395" s="359" t="s">
        <v>170</v>
      </c>
      <c r="CU395" s="361">
        <v>155090.82</v>
      </c>
      <c r="CV395" s="361">
        <v>24990.799999999999</v>
      </c>
      <c r="CW395" s="361">
        <v>0</v>
      </c>
      <c r="CX395" s="361">
        <v>24990.799999999999</v>
      </c>
      <c r="CY395" s="361">
        <v>0</v>
      </c>
      <c r="CZ395" s="361">
        <v>26240.35</v>
      </c>
      <c r="DA395" s="361">
        <v>25076.16</v>
      </c>
      <c r="DB395" s="361">
        <v>0</v>
      </c>
      <c r="DC395" s="361">
        <v>26240.35</v>
      </c>
      <c r="DD395" s="361">
        <v>27552.37</v>
      </c>
      <c r="DE395" s="361">
        <v>0</v>
      </c>
      <c r="DF395" s="361"/>
      <c r="DG395" s="361"/>
      <c r="DH395" s="361"/>
      <c r="DI395" s="378"/>
    </row>
    <row r="396" spans="2:113" ht="13">
      <c r="B396" s="294"/>
      <c r="C396" s="295"/>
      <c r="D396" s="295"/>
      <c r="E396" s="294"/>
      <c r="F396" s="294"/>
      <c r="G396" s="295"/>
      <c r="H396" s="295"/>
      <c r="I396" s="295"/>
      <c r="J396" s="295"/>
      <c r="K396" s="295"/>
      <c r="L396" s="295"/>
      <c r="N396" s="296"/>
      <c r="O396" s="296"/>
      <c r="P396" s="297"/>
      <c r="Q396" s="297"/>
      <c r="R396" s="297"/>
      <c r="S396" s="297"/>
      <c r="T396" s="298"/>
      <c r="U396" s="296"/>
      <c r="V396" s="296"/>
      <c r="W396" s="297"/>
      <c r="X396" s="297"/>
      <c r="Y396" s="297"/>
      <c r="Z396" s="297"/>
      <c r="AA396" s="299"/>
      <c r="AB396" s="296"/>
      <c r="AC396" s="296"/>
      <c r="AD396" s="297"/>
      <c r="AE396" s="297"/>
      <c r="AF396" s="297"/>
      <c r="AG396" s="297"/>
      <c r="AH396" s="295"/>
      <c r="AI396" s="293"/>
      <c r="AJ396" s="293"/>
      <c r="AK396" s="297"/>
      <c r="AL396" s="297"/>
      <c r="AM396" s="297"/>
      <c r="AN396" s="297"/>
      <c r="AO396" s="295"/>
      <c r="CS396" s="374">
        <v>66</v>
      </c>
      <c r="CT396" s="359" t="s">
        <v>72</v>
      </c>
      <c r="CU396" s="361">
        <v>153322.07999999999</v>
      </c>
      <c r="CV396" s="361">
        <v>0</v>
      </c>
      <c r="CW396" s="361">
        <v>153322.07999999999</v>
      </c>
      <c r="CX396" s="361">
        <v>0</v>
      </c>
      <c r="CY396" s="361">
        <v>0</v>
      </c>
      <c r="CZ396" s="361">
        <v>0</v>
      </c>
      <c r="DA396" s="361">
        <v>0</v>
      </c>
      <c r="DB396" s="361">
        <v>0</v>
      </c>
      <c r="DC396" s="361">
        <v>0</v>
      </c>
      <c r="DD396" s="361">
        <v>0</v>
      </c>
      <c r="DE396" s="361">
        <v>0</v>
      </c>
      <c r="DF396" s="361"/>
      <c r="DG396" s="361"/>
      <c r="DH396" s="361"/>
      <c r="DI396" s="378"/>
    </row>
    <row r="397" spans="2:113" ht="13">
      <c r="B397" s="294"/>
      <c r="C397" s="295"/>
      <c r="D397" s="295"/>
      <c r="E397" s="294"/>
      <c r="F397" s="294"/>
      <c r="G397" s="295"/>
      <c r="H397" s="295"/>
      <c r="I397" s="295"/>
      <c r="J397" s="295"/>
      <c r="K397" s="295"/>
      <c r="L397" s="295"/>
      <c r="N397" s="296"/>
      <c r="O397" s="296"/>
      <c r="P397" s="297"/>
      <c r="Q397" s="297"/>
      <c r="R397" s="297"/>
      <c r="S397" s="297"/>
      <c r="T397" s="298"/>
      <c r="U397" s="296"/>
      <c r="V397" s="296"/>
      <c r="W397" s="297"/>
      <c r="X397" s="297"/>
      <c r="Y397" s="297"/>
      <c r="Z397" s="297"/>
      <c r="AA397" s="299"/>
      <c r="AB397" s="296"/>
      <c r="AC397" s="296"/>
      <c r="AD397" s="297"/>
      <c r="AE397" s="297"/>
      <c r="AF397" s="297"/>
      <c r="AG397" s="297"/>
      <c r="AH397" s="295"/>
      <c r="AI397" s="293"/>
      <c r="AJ397" s="293"/>
      <c r="AK397" s="297"/>
      <c r="AL397" s="297"/>
      <c r="AM397" s="297"/>
      <c r="AN397" s="297"/>
      <c r="AO397" s="295"/>
      <c r="CS397" s="374">
        <v>67</v>
      </c>
      <c r="CT397" s="359" t="s">
        <v>159</v>
      </c>
      <c r="CU397" s="361">
        <v>141586.32</v>
      </c>
      <c r="CV397" s="361">
        <v>0</v>
      </c>
      <c r="CW397" s="361">
        <v>0</v>
      </c>
      <c r="CX397" s="361">
        <v>0</v>
      </c>
      <c r="CY397" s="361">
        <v>141586.32</v>
      </c>
      <c r="CZ397" s="361">
        <v>0</v>
      </c>
      <c r="DA397" s="361">
        <v>0</v>
      </c>
      <c r="DB397" s="361">
        <v>0</v>
      </c>
      <c r="DC397" s="361">
        <v>0</v>
      </c>
      <c r="DD397" s="361">
        <v>0</v>
      </c>
      <c r="DE397" s="361">
        <v>0</v>
      </c>
      <c r="DF397" s="361"/>
      <c r="DG397" s="361"/>
      <c r="DH397" s="361"/>
      <c r="DI397" s="378"/>
    </row>
    <row r="398" spans="2:113" ht="13">
      <c r="B398" s="294"/>
      <c r="C398" s="295"/>
      <c r="D398" s="295"/>
      <c r="E398" s="294"/>
      <c r="F398" s="294"/>
      <c r="G398" s="295"/>
      <c r="H398" s="295"/>
      <c r="I398" s="295"/>
      <c r="J398" s="295"/>
      <c r="K398" s="295"/>
      <c r="L398" s="295"/>
      <c r="N398" s="296"/>
      <c r="O398" s="296"/>
      <c r="P398" s="297"/>
      <c r="Q398" s="297"/>
      <c r="R398" s="297"/>
      <c r="S398" s="297"/>
      <c r="T398" s="298"/>
      <c r="U398" s="296"/>
      <c r="V398" s="296"/>
      <c r="W398" s="297"/>
      <c r="X398" s="297"/>
      <c r="Y398" s="297"/>
      <c r="Z398" s="297"/>
      <c r="AA398" s="299"/>
      <c r="AB398" s="296"/>
      <c r="AC398" s="296"/>
      <c r="AD398" s="297"/>
      <c r="AE398" s="297"/>
      <c r="AF398" s="297"/>
      <c r="AG398" s="297"/>
      <c r="AH398" s="295"/>
      <c r="AI398" s="293"/>
      <c r="AJ398" s="293"/>
      <c r="AK398" s="297"/>
      <c r="AL398" s="297"/>
      <c r="AM398" s="297"/>
      <c r="AN398" s="297"/>
      <c r="AO398" s="295"/>
      <c r="CS398" s="374">
        <v>68</v>
      </c>
      <c r="CT398" s="359" t="s">
        <v>231</v>
      </c>
      <c r="CU398" s="361">
        <v>141174.69</v>
      </c>
      <c r="CV398" s="361">
        <v>42203.93</v>
      </c>
      <c r="CW398" s="361">
        <v>98970.76</v>
      </c>
      <c r="CX398" s="365">
        <v>0</v>
      </c>
      <c r="CY398" s="361">
        <v>0</v>
      </c>
      <c r="CZ398" s="365">
        <v>0</v>
      </c>
      <c r="DA398" s="365">
        <v>0</v>
      </c>
      <c r="DB398" s="365">
        <v>0</v>
      </c>
      <c r="DC398" s="365">
        <v>0</v>
      </c>
      <c r="DD398" s="361">
        <v>0</v>
      </c>
      <c r="DE398" s="365">
        <v>0</v>
      </c>
      <c r="DF398" s="365"/>
      <c r="DG398" s="365"/>
      <c r="DH398" s="365"/>
      <c r="DI398" s="379"/>
    </row>
    <row r="399" spans="2:113" ht="13">
      <c r="B399" s="294"/>
      <c r="C399" s="295"/>
      <c r="D399" s="295"/>
      <c r="E399" s="294"/>
      <c r="F399" s="294"/>
      <c r="G399" s="295"/>
      <c r="H399" s="295"/>
      <c r="I399" s="295"/>
      <c r="J399" s="295"/>
      <c r="K399" s="295"/>
      <c r="L399" s="295"/>
      <c r="N399" s="296"/>
      <c r="O399" s="296"/>
      <c r="P399" s="297"/>
      <c r="Q399" s="297"/>
      <c r="R399" s="297"/>
      <c r="S399" s="297"/>
      <c r="T399" s="298"/>
      <c r="U399" s="296"/>
      <c r="V399" s="296"/>
      <c r="W399" s="297"/>
      <c r="X399" s="297"/>
      <c r="Y399" s="297"/>
      <c r="Z399" s="297"/>
      <c r="AA399" s="299"/>
      <c r="AB399" s="296"/>
      <c r="AC399" s="296"/>
      <c r="AD399" s="297"/>
      <c r="AE399" s="297"/>
      <c r="AF399" s="297"/>
      <c r="AG399" s="297"/>
      <c r="AH399" s="295"/>
      <c r="AI399" s="293"/>
      <c r="AJ399" s="293"/>
      <c r="AK399" s="297"/>
      <c r="AL399" s="297"/>
      <c r="AM399" s="297"/>
      <c r="AN399" s="297"/>
      <c r="AO399" s="295"/>
      <c r="CS399" s="374">
        <v>69</v>
      </c>
      <c r="CT399" s="359" t="s">
        <v>136</v>
      </c>
      <c r="CU399" s="361">
        <v>138153.23000000001</v>
      </c>
      <c r="CV399" s="361">
        <v>0</v>
      </c>
      <c r="CW399" s="361">
        <v>0</v>
      </c>
      <c r="CX399" s="361">
        <v>0</v>
      </c>
      <c r="CY399" s="361">
        <v>0</v>
      </c>
      <c r="CZ399" s="361">
        <v>0</v>
      </c>
      <c r="DA399" s="361">
        <v>0</v>
      </c>
      <c r="DB399" s="361">
        <v>0</v>
      </c>
      <c r="DC399" s="361">
        <v>0</v>
      </c>
      <c r="DD399" s="361">
        <v>39534.11</v>
      </c>
      <c r="DE399" s="361">
        <v>98619.12</v>
      </c>
      <c r="DF399" s="361"/>
      <c r="DG399" s="361"/>
      <c r="DH399" s="361"/>
      <c r="DI399" s="378"/>
    </row>
    <row r="400" spans="2:113" ht="13">
      <c r="B400" s="294"/>
      <c r="C400" s="295"/>
      <c r="D400" s="295"/>
      <c r="E400" s="294"/>
      <c r="F400" s="294"/>
      <c r="G400" s="295"/>
      <c r="H400" s="295"/>
      <c r="I400" s="295"/>
      <c r="J400" s="295"/>
      <c r="K400" s="295"/>
      <c r="L400" s="295"/>
      <c r="N400" s="296"/>
      <c r="O400" s="296"/>
      <c r="P400" s="297"/>
      <c r="Q400" s="297"/>
      <c r="R400" s="297"/>
      <c r="S400" s="297"/>
      <c r="T400" s="298"/>
      <c r="U400" s="296"/>
      <c r="V400" s="296"/>
      <c r="W400" s="297"/>
      <c r="X400" s="297"/>
      <c r="Y400" s="297"/>
      <c r="Z400" s="297"/>
      <c r="AA400" s="299"/>
      <c r="AB400" s="296"/>
      <c r="AC400" s="296"/>
      <c r="AD400" s="297"/>
      <c r="AE400" s="297"/>
      <c r="AF400" s="297"/>
      <c r="AG400" s="297"/>
      <c r="AH400" s="295"/>
      <c r="AI400" s="293"/>
      <c r="AJ400" s="293"/>
      <c r="AK400" s="297"/>
      <c r="AL400" s="297"/>
      <c r="AM400" s="297"/>
      <c r="AN400" s="297"/>
      <c r="AO400" s="295"/>
      <c r="CS400" s="374">
        <v>70</v>
      </c>
      <c r="CT400" s="359" t="s">
        <v>158</v>
      </c>
      <c r="CU400" s="361">
        <v>135109.44</v>
      </c>
      <c r="CV400" s="361">
        <v>0</v>
      </c>
      <c r="CW400" s="361">
        <v>0</v>
      </c>
      <c r="CX400" s="361">
        <v>0</v>
      </c>
      <c r="CY400" s="361">
        <v>0</v>
      </c>
      <c r="CZ400" s="361">
        <v>0</v>
      </c>
      <c r="DA400" s="361">
        <v>0</v>
      </c>
      <c r="DB400" s="361">
        <v>0</v>
      </c>
      <c r="DC400" s="361">
        <v>0</v>
      </c>
      <c r="DD400" s="361">
        <v>135109.44</v>
      </c>
      <c r="DE400" s="361">
        <v>0</v>
      </c>
      <c r="DF400" s="361"/>
      <c r="DG400" s="361"/>
      <c r="DH400" s="361"/>
      <c r="DI400" s="378"/>
    </row>
    <row r="401" spans="2:113" ht="13">
      <c r="B401" s="294"/>
      <c r="C401" s="295"/>
      <c r="D401" s="295"/>
      <c r="E401" s="294"/>
      <c r="F401" s="294"/>
      <c r="G401" s="295"/>
      <c r="H401" s="295"/>
      <c r="I401" s="295"/>
      <c r="J401" s="295"/>
      <c r="K401" s="295"/>
      <c r="L401" s="295"/>
      <c r="N401" s="296"/>
      <c r="O401" s="296"/>
      <c r="P401" s="297"/>
      <c r="Q401" s="297"/>
      <c r="R401" s="297"/>
      <c r="S401" s="297"/>
      <c r="T401" s="298"/>
      <c r="U401" s="296"/>
      <c r="V401" s="296"/>
      <c r="W401" s="297"/>
      <c r="X401" s="297"/>
      <c r="Y401" s="297"/>
      <c r="Z401" s="297"/>
      <c r="AA401" s="299"/>
      <c r="AB401" s="296"/>
      <c r="AC401" s="296"/>
      <c r="AD401" s="297"/>
      <c r="AE401" s="297"/>
      <c r="AF401" s="297"/>
      <c r="AG401" s="297"/>
      <c r="AH401" s="295"/>
      <c r="AI401" s="293"/>
      <c r="AJ401" s="293"/>
      <c r="AK401" s="297"/>
      <c r="AL401" s="297"/>
      <c r="AM401" s="297"/>
      <c r="AN401" s="297"/>
      <c r="AO401" s="295"/>
      <c r="CS401" s="374">
        <v>71</v>
      </c>
      <c r="CT401" s="359" t="s">
        <v>157</v>
      </c>
      <c r="CU401" s="361">
        <v>114725.95</v>
      </c>
      <c r="CV401" s="361">
        <v>0</v>
      </c>
      <c r="CW401" s="361">
        <v>0</v>
      </c>
      <c r="CX401" s="361">
        <v>0</v>
      </c>
      <c r="CY401" s="361">
        <v>0</v>
      </c>
      <c r="CZ401" s="361">
        <v>0</v>
      </c>
      <c r="DA401" s="361">
        <v>0</v>
      </c>
      <c r="DB401" s="361">
        <v>114725.95</v>
      </c>
      <c r="DC401" s="361">
        <v>0</v>
      </c>
      <c r="DD401" s="361">
        <v>0</v>
      </c>
      <c r="DE401" s="361">
        <v>0</v>
      </c>
      <c r="DF401" s="361"/>
      <c r="DG401" s="361"/>
      <c r="DH401" s="361"/>
      <c r="DI401" s="378"/>
    </row>
    <row r="402" spans="2:113" ht="13">
      <c r="B402" s="294"/>
      <c r="C402" s="295"/>
      <c r="D402" s="295"/>
      <c r="E402" s="294"/>
      <c r="F402" s="294"/>
      <c r="G402" s="295"/>
      <c r="H402" s="295"/>
      <c r="I402" s="295"/>
      <c r="J402" s="295"/>
      <c r="K402" s="295"/>
      <c r="L402" s="295"/>
      <c r="N402" s="296"/>
      <c r="O402" s="296"/>
      <c r="P402" s="297"/>
      <c r="Q402" s="297"/>
      <c r="R402" s="297"/>
      <c r="S402" s="297"/>
      <c r="T402" s="298"/>
      <c r="U402" s="296"/>
      <c r="V402" s="296"/>
      <c r="W402" s="297"/>
      <c r="X402" s="297"/>
      <c r="Y402" s="297"/>
      <c r="Z402" s="297"/>
      <c r="AA402" s="299"/>
      <c r="AB402" s="296"/>
      <c r="AC402" s="296"/>
      <c r="AD402" s="297"/>
      <c r="AE402" s="297"/>
      <c r="AF402" s="297"/>
      <c r="AG402" s="297"/>
      <c r="AH402" s="295"/>
      <c r="AI402" s="293"/>
      <c r="AJ402" s="293"/>
      <c r="AK402" s="297"/>
      <c r="AL402" s="297"/>
      <c r="AM402" s="297"/>
      <c r="AN402" s="297"/>
      <c r="AO402" s="295"/>
      <c r="CS402" s="374">
        <v>72</v>
      </c>
      <c r="CT402" s="359" t="s">
        <v>150</v>
      </c>
      <c r="CU402" s="361">
        <v>114288.16</v>
      </c>
      <c r="CV402" s="361">
        <v>0</v>
      </c>
      <c r="CW402" s="361">
        <v>0</v>
      </c>
      <c r="CX402" s="361">
        <v>0</v>
      </c>
      <c r="CY402" s="361">
        <v>42471.68</v>
      </c>
      <c r="CZ402" s="361">
        <v>0</v>
      </c>
      <c r="DA402" s="361">
        <v>0</v>
      </c>
      <c r="DB402" s="361">
        <v>0</v>
      </c>
      <c r="DC402" s="361">
        <v>0</v>
      </c>
      <c r="DD402" s="361">
        <v>0</v>
      </c>
      <c r="DE402" s="361">
        <v>71816.479999999996</v>
      </c>
      <c r="DF402" s="361"/>
      <c r="DG402" s="361"/>
      <c r="DH402" s="361"/>
      <c r="DI402" s="378"/>
    </row>
    <row r="403" spans="2:113" ht="13">
      <c r="B403" s="294"/>
      <c r="C403" s="295"/>
      <c r="D403" s="295"/>
      <c r="E403" s="294"/>
      <c r="F403" s="294"/>
      <c r="G403" s="295"/>
      <c r="H403" s="295"/>
      <c r="I403" s="295"/>
      <c r="J403" s="295"/>
      <c r="K403" s="295"/>
      <c r="L403" s="295"/>
      <c r="N403" s="296"/>
      <c r="O403" s="296"/>
      <c r="P403" s="297"/>
      <c r="Q403" s="297"/>
      <c r="R403" s="297"/>
      <c r="S403" s="297"/>
      <c r="T403" s="298"/>
      <c r="U403" s="296"/>
      <c r="V403" s="296"/>
      <c r="W403" s="297"/>
      <c r="X403" s="297"/>
      <c r="Y403" s="297"/>
      <c r="Z403" s="297"/>
      <c r="AA403" s="299"/>
      <c r="AB403" s="296"/>
      <c r="AC403" s="296"/>
      <c r="AD403" s="297"/>
      <c r="AE403" s="297"/>
      <c r="AF403" s="297"/>
      <c r="AG403" s="297"/>
      <c r="AH403" s="295"/>
      <c r="AI403" s="293"/>
      <c r="AJ403" s="293"/>
      <c r="AK403" s="297"/>
      <c r="AL403" s="297"/>
      <c r="AM403" s="297"/>
      <c r="AN403" s="297"/>
      <c r="AO403" s="295"/>
      <c r="CS403" s="374">
        <v>73</v>
      </c>
      <c r="CT403" s="359" t="s">
        <v>123</v>
      </c>
      <c r="CU403" s="361">
        <v>95061.88</v>
      </c>
      <c r="CV403" s="361">
        <v>0</v>
      </c>
      <c r="CW403" s="361">
        <v>54053.68</v>
      </c>
      <c r="CX403" s="361">
        <v>0</v>
      </c>
      <c r="CY403" s="361">
        <v>0</v>
      </c>
      <c r="CZ403" s="361">
        <v>0</v>
      </c>
      <c r="DA403" s="361">
        <v>0</v>
      </c>
      <c r="DB403" s="361">
        <v>41008.199999999997</v>
      </c>
      <c r="DC403" s="361">
        <v>0</v>
      </c>
      <c r="DD403" s="361">
        <v>0</v>
      </c>
      <c r="DE403" s="361">
        <v>0</v>
      </c>
      <c r="DF403" s="361"/>
      <c r="DG403" s="361"/>
      <c r="DH403" s="361"/>
      <c r="DI403" s="378"/>
    </row>
    <row r="404" spans="2:113" ht="13">
      <c r="B404" s="294"/>
      <c r="C404" s="295"/>
      <c r="D404" s="295"/>
      <c r="E404" s="294"/>
      <c r="F404" s="294"/>
      <c r="G404" s="295"/>
      <c r="H404" s="295"/>
      <c r="I404" s="295"/>
      <c r="J404" s="295"/>
      <c r="K404" s="295"/>
      <c r="L404" s="295"/>
      <c r="N404" s="296"/>
      <c r="O404" s="296"/>
      <c r="P404" s="297"/>
      <c r="Q404" s="297"/>
      <c r="R404" s="297"/>
      <c r="S404" s="297"/>
      <c r="T404" s="298"/>
      <c r="U404" s="296"/>
      <c r="V404" s="296"/>
      <c r="W404" s="297"/>
      <c r="X404" s="297"/>
      <c r="Y404" s="297"/>
      <c r="Z404" s="297"/>
      <c r="AA404" s="299"/>
      <c r="AB404" s="296"/>
      <c r="AC404" s="296"/>
      <c r="AD404" s="297"/>
      <c r="AE404" s="297"/>
      <c r="AF404" s="297"/>
      <c r="AG404" s="297"/>
      <c r="AH404" s="295"/>
      <c r="AI404" s="293"/>
      <c r="AJ404" s="293"/>
      <c r="AK404" s="297"/>
      <c r="AL404" s="297"/>
      <c r="AM404" s="297"/>
      <c r="AN404" s="297"/>
      <c r="AO404" s="295"/>
      <c r="CS404" s="374">
        <v>74</v>
      </c>
      <c r="CT404" s="359" t="s">
        <v>89</v>
      </c>
      <c r="CU404" s="361">
        <v>78326.16</v>
      </c>
      <c r="CV404" s="361">
        <v>42063.43</v>
      </c>
      <c r="CW404" s="361">
        <v>-6287.49</v>
      </c>
      <c r="CX404" s="361">
        <v>42550.22</v>
      </c>
      <c r="CY404" s="361">
        <v>0</v>
      </c>
      <c r="CZ404" s="365">
        <v>0</v>
      </c>
      <c r="DA404" s="361">
        <v>0</v>
      </c>
      <c r="DB404" s="365">
        <v>0</v>
      </c>
      <c r="DC404" s="365">
        <v>0</v>
      </c>
      <c r="DD404" s="365">
        <v>0</v>
      </c>
      <c r="DE404" s="365">
        <v>0</v>
      </c>
      <c r="DF404" s="365"/>
      <c r="DG404" s="365"/>
      <c r="DH404" s="365"/>
      <c r="DI404" s="379"/>
    </row>
    <row r="405" spans="2:113" ht="13">
      <c r="B405" s="294"/>
      <c r="C405" s="295"/>
      <c r="D405" s="295"/>
      <c r="E405" s="294"/>
      <c r="F405" s="294"/>
      <c r="G405" s="295"/>
      <c r="H405" s="295"/>
      <c r="I405" s="295"/>
      <c r="J405" s="295"/>
      <c r="K405" s="295"/>
      <c r="L405" s="295"/>
      <c r="N405" s="296"/>
      <c r="O405" s="296"/>
      <c r="P405" s="297"/>
      <c r="Q405" s="297"/>
      <c r="R405" s="297"/>
      <c r="S405" s="297"/>
      <c r="T405" s="298"/>
      <c r="U405" s="296"/>
      <c r="V405" s="296"/>
      <c r="W405" s="297"/>
      <c r="X405" s="297"/>
      <c r="Y405" s="297"/>
      <c r="Z405" s="297"/>
      <c r="AA405" s="299"/>
      <c r="AB405" s="296"/>
      <c r="AC405" s="296"/>
      <c r="AD405" s="297"/>
      <c r="AE405" s="297"/>
      <c r="AF405" s="297"/>
      <c r="AG405" s="297"/>
      <c r="AH405" s="295"/>
      <c r="AI405" s="293"/>
      <c r="AJ405" s="293"/>
      <c r="AK405" s="297"/>
      <c r="AL405" s="297"/>
      <c r="AM405" s="297"/>
      <c r="AN405" s="297"/>
      <c r="AO405" s="295"/>
      <c r="CS405" s="374">
        <v>75</v>
      </c>
      <c r="CT405" s="359" t="s">
        <v>188</v>
      </c>
      <c r="CU405" s="361">
        <v>67775.55</v>
      </c>
      <c r="CV405" s="361">
        <v>32576.84</v>
      </c>
      <c r="CW405" s="361">
        <v>0</v>
      </c>
      <c r="CX405" s="361">
        <v>0</v>
      </c>
      <c r="CY405" s="361">
        <v>0</v>
      </c>
      <c r="CZ405" s="361">
        <v>0</v>
      </c>
      <c r="DA405" s="361">
        <v>0</v>
      </c>
      <c r="DB405" s="361">
        <v>13669.4</v>
      </c>
      <c r="DC405" s="361">
        <v>9226.85</v>
      </c>
      <c r="DD405" s="361">
        <v>12302.46</v>
      </c>
      <c r="DE405" s="361">
        <v>0</v>
      </c>
      <c r="DF405" s="361"/>
      <c r="DG405" s="361"/>
      <c r="DH405" s="361"/>
      <c r="DI405" s="378"/>
    </row>
    <row r="406" spans="2:113" ht="13">
      <c r="B406" s="294"/>
      <c r="C406" s="295"/>
      <c r="D406" s="295"/>
      <c r="E406" s="294"/>
      <c r="F406" s="294"/>
      <c r="G406" s="295"/>
      <c r="H406" s="295"/>
      <c r="I406" s="295"/>
      <c r="J406" s="295"/>
      <c r="K406" s="295"/>
      <c r="L406" s="295"/>
      <c r="N406" s="296"/>
      <c r="O406" s="296"/>
      <c r="P406" s="297"/>
      <c r="Q406" s="297"/>
      <c r="R406" s="297"/>
      <c r="S406" s="297"/>
      <c r="T406" s="298"/>
      <c r="U406" s="296"/>
      <c r="V406" s="296"/>
      <c r="W406" s="297"/>
      <c r="X406" s="297"/>
      <c r="Y406" s="297"/>
      <c r="Z406" s="297"/>
      <c r="AA406" s="299"/>
      <c r="AB406" s="296"/>
      <c r="AC406" s="296"/>
      <c r="AD406" s="297"/>
      <c r="AE406" s="297"/>
      <c r="AF406" s="297"/>
      <c r="AG406" s="297"/>
      <c r="AH406" s="295"/>
      <c r="AI406" s="293"/>
      <c r="AJ406" s="293"/>
      <c r="AK406" s="297"/>
      <c r="AL406" s="297"/>
      <c r="AM406" s="297"/>
      <c r="AN406" s="297"/>
      <c r="AO406" s="295"/>
      <c r="CS406" s="374">
        <v>76</v>
      </c>
      <c r="CT406" s="359" t="s">
        <v>202</v>
      </c>
      <c r="CU406" s="361">
        <v>57224.14</v>
      </c>
      <c r="CV406" s="361">
        <v>0</v>
      </c>
      <c r="CW406" s="361">
        <v>57224.14</v>
      </c>
      <c r="CX406" s="361">
        <v>0</v>
      </c>
      <c r="CY406" s="361">
        <v>0</v>
      </c>
      <c r="CZ406" s="361">
        <v>0</v>
      </c>
      <c r="DA406" s="361">
        <v>0</v>
      </c>
      <c r="DB406" s="361">
        <v>0</v>
      </c>
      <c r="DC406" s="361">
        <v>0</v>
      </c>
      <c r="DD406" s="361">
        <v>0</v>
      </c>
      <c r="DE406" s="361">
        <v>0</v>
      </c>
      <c r="DF406" s="361"/>
      <c r="DG406" s="361"/>
      <c r="DH406" s="361"/>
      <c r="DI406" s="378"/>
    </row>
    <row r="407" spans="2:113" ht="13">
      <c r="B407" s="294"/>
      <c r="C407" s="295"/>
      <c r="D407" s="295"/>
      <c r="E407" s="294"/>
      <c r="F407" s="294"/>
      <c r="G407" s="295"/>
      <c r="H407" s="295"/>
      <c r="I407" s="295"/>
      <c r="J407" s="295"/>
      <c r="K407" s="295"/>
      <c r="L407" s="295"/>
      <c r="N407" s="296"/>
      <c r="O407" s="296"/>
      <c r="P407" s="297"/>
      <c r="Q407" s="297"/>
      <c r="R407" s="297"/>
      <c r="S407" s="297"/>
      <c r="T407" s="298"/>
      <c r="U407" s="296"/>
      <c r="V407" s="296"/>
      <c r="W407" s="297"/>
      <c r="X407" s="297"/>
      <c r="Y407" s="297"/>
      <c r="Z407" s="297"/>
      <c r="AA407" s="299"/>
      <c r="AB407" s="296"/>
      <c r="AC407" s="296"/>
      <c r="AD407" s="297"/>
      <c r="AE407" s="297"/>
      <c r="AF407" s="297"/>
      <c r="AG407" s="297"/>
      <c r="AH407" s="295"/>
      <c r="AI407" s="293"/>
      <c r="AJ407" s="293"/>
      <c r="AK407" s="297"/>
      <c r="AL407" s="297"/>
      <c r="AM407" s="297"/>
      <c r="AN407" s="297"/>
      <c r="AO407" s="295"/>
      <c r="CS407" s="374">
        <v>77</v>
      </c>
      <c r="CT407" s="359" t="s">
        <v>119</v>
      </c>
      <c r="CU407" s="361">
        <v>50306.239999999998</v>
      </c>
      <c r="CV407" s="361">
        <v>50306.239999999998</v>
      </c>
      <c r="CW407" s="361">
        <v>0</v>
      </c>
      <c r="CX407" s="361">
        <v>0</v>
      </c>
      <c r="CY407" s="361">
        <v>0</v>
      </c>
      <c r="CZ407" s="361">
        <v>0</v>
      </c>
      <c r="DA407" s="361">
        <v>0</v>
      </c>
      <c r="DB407" s="361">
        <v>0</v>
      </c>
      <c r="DC407" s="361">
        <v>0</v>
      </c>
      <c r="DD407" s="361">
        <v>0</v>
      </c>
      <c r="DE407" s="361">
        <v>0</v>
      </c>
      <c r="DF407" s="361"/>
      <c r="DG407" s="361"/>
      <c r="DH407" s="361"/>
      <c r="DI407" s="378"/>
    </row>
    <row r="408" spans="2:113" ht="13">
      <c r="B408" s="294"/>
      <c r="C408" s="295"/>
      <c r="D408" s="295"/>
      <c r="E408" s="294"/>
      <c r="F408" s="294"/>
      <c r="G408" s="295"/>
      <c r="H408" s="295"/>
      <c r="I408" s="295"/>
      <c r="J408" s="295"/>
      <c r="K408" s="295"/>
      <c r="L408" s="295"/>
      <c r="N408" s="296"/>
      <c r="O408" s="296"/>
      <c r="P408" s="297"/>
      <c r="Q408" s="297"/>
      <c r="R408" s="297"/>
      <c r="S408" s="297"/>
      <c r="T408" s="298"/>
      <c r="U408" s="296"/>
      <c r="V408" s="296"/>
      <c r="W408" s="297"/>
      <c r="X408" s="297"/>
      <c r="Y408" s="297"/>
      <c r="Z408" s="297"/>
      <c r="AA408" s="299"/>
      <c r="AB408" s="296"/>
      <c r="AC408" s="296"/>
      <c r="AD408" s="297"/>
      <c r="AE408" s="297"/>
      <c r="AF408" s="297"/>
      <c r="AG408" s="297"/>
      <c r="AH408" s="295"/>
      <c r="AI408" s="293"/>
      <c r="AJ408" s="293"/>
      <c r="AK408" s="297"/>
      <c r="AL408" s="297"/>
      <c r="AM408" s="297"/>
      <c r="AN408" s="297"/>
      <c r="AO408" s="295"/>
      <c r="CS408" s="374">
        <v>78</v>
      </c>
      <c r="CT408" s="359" t="s">
        <v>182</v>
      </c>
      <c r="CU408" s="361">
        <v>49250.49</v>
      </c>
      <c r="CV408" s="361">
        <v>0</v>
      </c>
      <c r="CW408" s="361">
        <v>49250.49</v>
      </c>
      <c r="CX408" s="361">
        <v>0</v>
      </c>
      <c r="CY408" s="361">
        <v>0</v>
      </c>
      <c r="CZ408" s="361">
        <v>0</v>
      </c>
      <c r="DA408" s="361">
        <v>0</v>
      </c>
      <c r="DB408" s="361">
        <v>0</v>
      </c>
      <c r="DC408" s="361">
        <v>0</v>
      </c>
      <c r="DD408" s="361">
        <v>0</v>
      </c>
      <c r="DE408" s="361">
        <v>0</v>
      </c>
      <c r="DF408" s="361"/>
      <c r="DG408" s="361"/>
      <c r="DH408" s="361"/>
      <c r="DI408" s="378"/>
    </row>
    <row r="409" spans="2:113" ht="13">
      <c r="B409" s="294"/>
      <c r="C409" s="295"/>
      <c r="D409" s="295"/>
      <c r="E409" s="294"/>
      <c r="F409" s="294"/>
      <c r="G409" s="295"/>
      <c r="H409" s="295"/>
      <c r="I409" s="295"/>
      <c r="J409" s="295"/>
      <c r="K409" s="295"/>
      <c r="L409" s="295"/>
      <c r="N409" s="296"/>
      <c r="O409" s="296"/>
      <c r="P409" s="297"/>
      <c r="Q409" s="297"/>
      <c r="R409" s="297"/>
      <c r="S409" s="297"/>
      <c r="T409" s="298"/>
      <c r="U409" s="296"/>
      <c r="V409" s="296"/>
      <c r="W409" s="297"/>
      <c r="X409" s="297"/>
      <c r="Y409" s="297"/>
      <c r="Z409" s="297"/>
      <c r="AA409" s="299"/>
      <c r="AB409" s="296"/>
      <c r="AC409" s="296"/>
      <c r="AD409" s="297"/>
      <c r="AE409" s="297"/>
      <c r="AF409" s="297"/>
      <c r="AG409" s="297"/>
      <c r="AH409" s="295"/>
      <c r="AI409" s="293"/>
      <c r="AJ409" s="293"/>
      <c r="AK409" s="297"/>
      <c r="AL409" s="297"/>
      <c r="AM409" s="297"/>
      <c r="AN409" s="297"/>
      <c r="AO409" s="295"/>
      <c r="CS409" s="374">
        <v>79</v>
      </c>
      <c r="CT409" s="359" t="s">
        <v>145</v>
      </c>
      <c r="CU409" s="361">
        <v>48491.68</v>
      </c>
      <c r="CV409" s="361">
        <v>0</v>
      </c>
      <c r="CW409" s="365">
        <v>0</v>
      </c>
      <c r="CX409" s="365">
        <v>0</v>
      </c>
      <c r="CY409" s="361">
        <v>0</v>
      </c>
      <c r="CZ409" s="365">
        <v>0</v>
      </c>
      <c r="DA409" s="365">
        <v>0</v>
      </c>
      <c r="DB409" s="361">
        <v>0</v>
      </c>
      <c r="DC409" s="365">
        <v>0</v>
      </c>
      <c r="DD409" s="365">
        <v>0</v>
      </c>
      <c r="DE409" s="361">
        <v>48491.68</v>
      </c>
      <c r="DF409" s="365"/>
      <c r="DG409" s="365"/>
      <c r="DH409" s="365"/>
      <c r="DI409" s="379"/>
    </row>
    <row r="410" spans="2:113" ht="13">
      <c r="B410" s="294"/>
      <c r="C410" s="295"/>
      <c r="D410" s="295"/>
      <c r="E410" s="294"/>
      <c r="F410" s="294"/>
      <c r="G410" s="295"/>
      <c r="H410" s="295"/>
      <c r="I410" s="295"/>
      <c r="J410" s="295"/>
      <c r="K410" s="295"/>
      <c r="L410" s="295"/>
      <c r="N410" s="296"/>
      <c r="O410" s="296"/>
      <c r="P410" s="297"/>
      <c r="Q410" s="297"/>
      <c r="R410" s="297"/>
      <c r="S410" s="297"/>
      <c r="T410" s="298"/>
      <c r="U410" s="296"/>
      <c r="V410" s="296"/>
      <c r="W410" s="297"/>
      <c r="X410" s="297"/>
      <c r="Y410" s="297"/>
      <c r="Z410" s="297"/>
      <c r="AA410" s="299"/>
      <c r="AB410" s="296"/>
      <c r="AC410" s="296"/>
      <c r="AD410" s="297"/>
      <c r="AE410" s="297"/>
      <c r="AF410" s="297"/>
      <c r="AG410" s="297"/>
      <c r="AH410" s="295"/>
      <c r="AI410" s="293"/>
      <c r="AJ410" s="293"/>
      <c r="AK410" s="297"/>
      <c r="AL410" s="297"/>
      <c r="AM410" s="297"/>
      <c r="AN410" s="297"/>
      <c r="AO410" s="295"/>
      <c r="CS410" s="374">
        <v>80</v>
      </c>
      <c r="CT410" s="359" t="s">
        <v>212</v>
      </c>
      <c r="CU410" s="361">
        <v>48037.66</v>
      </c>
      <c r="CV410" s="361">
        <v>0</v>
      </c>
      <c r="CW410" s="361">
        <v>0</v>
      </c>
      <c r="CX410" s="361">
        <v>0</v>
      </c>
      <c r="CY410" s="361">
        <v>48037.66</v>
      </c>
      <c r="CZ410" s="361">
        <v>0</v>
      </c>
      <c r="DA410" s="361">
        <v>0</v>
      </c>
      <c r="DB410" s="361">
        <v>0</v>
      </c>
      <c r="DC410" s="361">
        <v>0</v>
      </c>
      <c r="DD410" s="361">
        <v>0</v>
      </c>
      <c r="DE410" s="361">
        <v>0</v>
      </c>
      <c r="DF410" s="361"/>
      <c r="DG410" s="361"/>
      <c r="DH410" s="361"/>
      <c r="DI410" s="378"/>
    </row>
    <row r="411" spans="2:113" ht="13">
      <c r="B411" s="294"/>
      <c r="C411" s="295"/>
      <c r="D411" s="295"/>
      <c r="E411" s="294"/>
      <c r="F411" s="294"/>
      <c r="G411" s="295"/>
      <c r="H411" s="295"/>
      <c r="I411" s="295"/>
      <c r="J411" s="295"/>
      <c r="K411" s="295"/>
      <c r="L411" s="295"/>
      <c r="N411" s="296"/>
      <c r="O411" s="296"/>
      <c r="P411" s="297"/>
      <c r="Q411" s="297"/>
      <c r="R411" s="297"/>
      <c r="S411" s="297"/>
      <c r="T411" s="298"/>
      <c r="U411" s="296"/>
      <c r="V411" s="296"/>
      <c r="W411" s="297"/>
      <c r="X411" s="297"/>
      <c r="Y411" s="297"/>
      <c r="Z411" s="297"/>
      <c r="AA411" s="299"/>
      <c r="AB411" s="296"/>
      <c r="AC411" s="296"/>
      <c r="AD411" s="297"/>
      <c r="AE411" s="297"/>
      <c r="AF411" s="297"/>
      <c r="AG411" s="297"/>
      <c r="AH411" s="295"/>
      <c r="AI411" s="293"/>
      <c r="AJ411" s="293"/>
      <c r="AK411" s="297"/>
      <c r="AL411" s="297"/>
      <c r="AM411" s="297"/>
      <c r="AN411" s="297"/>
      <c r="AO411" s="295"/>
      <c r="CS411" s="374">
        <v>81</v>
      </c>
      <c r="CT411" s="359" t="s">
        <v>109</v>
      </c>
      <c r="CU411" s="361">
        <v>32132.59</v>
      </c>
      <c r="CV411" s="361">
        <v>0</v>
      </c>
      <c r="CW411" s="361">
        <v>0</v>
      </c>
      <c r="CX411" s="361">
        <v>0</v>
      </c>
      <c r="CY411" s="361">
        <v>32132.59</v>
      </c>
      <c r="CZ411" s="361">
        <v>0</v>
      </c>
      <c r="DA411" s="361">
        <v>0</v>
      </c>
      <c r="DB411" s="361">
        <v>0</v>
      </c>
      <c r="DC411" s="361">
        <v>0</v>
      </c>
      <c r="DD411" s="361">
        <v>0</v>
      </c>
      <c r="DE411" s="361">
        <v>0</v>
      </c>
      <c r="DF411" s="361"/>
      <c r="DG411" s="361"/>
      <c r="DH411" s="361"/>
      <c r="DI411" s="378"/>
    </row>
    <row r="412" spans="2:113" ht="13">
      <c r="B412" s="294"/>
      <c r="C412" s="295"/>
      <c r="D412" s="295"/>
      <c r="E412" s="294"/>
      <c r="F412" s="294"/>
      <c r="G412" s="295"/>
      <c r="H412" s="295"/>
      <c r="I412" s="295"/>
      <c r="J412" s="295"/>
      <c r="K412" s="295"/>
      <c r="L412" s="295"/>
      <c r="N412" s="296"/>
      <c r="O412" s="296"/>
      <c r="P412" s="297"/>
      <c r="Q412" s="297"/>
      <c r="R412" s="297"/>
      <c r="S412" s="297"/>
      <c r="T412" s="298"/>
      <c r="U412" s="296"/>
      <c r="V412" s="296"/>
      <c r="W412" s="297"/>
      <c r="X412" s="297"/>
      <c r="Y412" s="297"/>
      <c r="Z412" s="297"/>
      <c r="AA412" s="299"/>
      <c r="AB412" s="296"/>
      <c r="AC412" s="296"/>
      <c r="AD412" s="297"/>
      <c r="AE412" s="297"/>
      <c r="AF412" s="297"/>
      <c r="AG412" s="297"/>
      <c r="AH412" s="295"/>
      <c r="AI412" s="293"/>
      <c r="AJ412" s="293"/>
      <c r="AK412" s="297"/>
      <c r="AL412" s="297"/>
      <c r="AM412" s="297"/>
      <c r="AN412" s="297"/>
      <c r="AO412" s="295"/>
      <c r="CS412" s="374">
        <v>82</v>
      </c>
      <c r="CT412" s="359" t="s">
        <v>124</v>
      </c>
      <c r="CU412" s="361">
        <v>31057.599999999999</v>
      </c>
      <c r="CV412" s="361">
        <v>0</v>
      </c>
      <c r="CW412" s="365">
        <v>0</v>
      </c>
      <c r="CX412" s="365">
        <v>0</v>
      </c>
      <c r="CY412" s="365">
        <v>0</v>
      </c>
      <c r="CZ412" s="365">
        <v>0</v>
      </c>
      <c r="DA412" s="361">
        <v>31057.599999999999</v>
      </c>
      <c r="DB412" s="365">
        <v>0</v>
      </c>
      <c r="DC412" s="365">
        <v>0</v>
      </c>
      <c r="DD412" s="361">
        <v>0</v>
      </c>
      <c r="DE412" s="365">
        <v>0</v>
      </c>
      <c r="DF412" s="365"/>
      <c r="DG412" s="365"/>
      <c r="DH412" s="365"/>
      <c r="DI412" s="379"/>
    </row>
    <row r="413" spans="2:113" ht="13">
      <c r="B413" s="294"/>
      <c r="C413" s="295"/>
      <c r="D413" s="295"/>
      <c r="E413" s="294"/>
      <c r="F413" s="294"/>
      <c r="G413" s="295"/>
      <c r="H413" s="295"/>
      <c r="I413" s="295"/>
      <c r="J413" s="295"/>
      <c r="K413" s="295"/>
      <c r="L413" s="295"/>
      <c r="N413" s="296"/>
      <c r="O413" s="296"/>
      <c r="P413" s="297"/>
      <c r="Q413" s="297"/>
      <c r="R413" s="297"/>
      <c r="S413" s="297"/>
      <c r="T413" s="298"/>
      <c r="U413" s="296"/>
      <c r="V413" s="296"/>
      <c r="W413" s="297"/>
      <c r="X413" s="297"/>
      <c r="Y413" s="297"/>
      <c r="Z413" s="297"/>
      <c r="AA413" s="299"/>
      <c r="AB413" s="296"/>
      <c r="AC413" s="296"/>
      <c r="AD413" s="297"/>
      <c r="AE413" s="297"/>
      <c r="AF413" s="297"/>
      <c r="AG413" s="297"/>
      <c r="AH413" s="295"/>
      <c r="AI413" s="293"/>
      <c r="AJ413" s="293"/>
      <c r="AK413" s="297"/>
      <c r="AL413" s="297"/>
      <c r="AM413" s="297"/>
      <c r="AN413" s="297"/>
      <c r="AO413" s="295"/>
      <c r="CS413" s="374">
        <v>83</v>
      </c>
      <c r="CT413" s="359" t="s">
        <v>198</v>
      </c>
      <c r="CU413" s="361">
        <v>31057.599999999999</v>
      </c>
      <c r="CV413" s="361">
        <v>0</v>
      </c>
      <c r="CW413" s="361">
        <v>0</v>
      </c>
      <c r="CX413" s="361">
        <v>0</v>
      </c>
      <c r="CY413" s="361">
        <v>0</v>
      </c>
      <c r="CZ413" s="361">
        <v>0</v>
      </c>
      <c r="DA413" s="361">
        <v>0</v>
      </c>
      <c r="DB413" s="361">
        <v>31057.599999999999</v>
      </c>
      <c r="DC413" s="361">
        <v>0</v>
      </c>
      <c r="DD413" s="361">
        <v>0</v>
      </c>
      <c r="DE413" s="361">
        <v>0</v>
      </c>
      <c r="DF413" s="361"/>
      <c r="DG413" s="361"/>
      <c r="DH413" s="361"/>
      <c r="DI413" s="378"/>
    </row>
    <row r="414" spans="2:113" ht="13">
      <c r="B414" s="294"/>
      <c r="C414" s="295"/>
      <c r="D414" s="295"/>
      <c r="E414" s="294"/>
      <c r="F414" s="294"/>
      <c r="G414" s="295"/>
      <c r="H414" s="295"/>
      <c r="I414" s="295"/>
      <c r="J414" s="295"/>
      <c r="K414" s="295"/>
      <c r="L414" s="295"/>
      <c r="N414" s="296"/>
      <c r="O414" s="296"/>
      <c r="P414" s="297"/>
      <c r="Q414" s="297"/>
      <c r="R414" s="297"/>
      <c r="S414" s="297"/>
      <c r="T414" s="298"/>
      <c r="U414" s="296"/>
      <c r="V414" s="296"/>
      <c r="W414" s="297"/>
      <c r="X414" s="297"/>
      <c r="Y414" s="297"/>
      <c r="Z414" s="297"/>
      <c r="AA414" s="299"/>
      <c r="AB414" s="296"/>
      <c r="AC414" s="296"/>
      <c r="AD414" s="297"/>
      <c r="AE414" s="297"/>
      <c r="AF414" s="297"/>
      <c r="AG414" s="297"/>
      <c r="AH414" s="295"/>
      <c r="AI414" s="293"/>
      <c r="AJ414" s="293"/>
      <c r="AK414" s="297"/>
      <c r="AL414" s="297"/>
      <c r="AM414" s="297"/>
      <c r="AN414" s="297"/>
      <c r="AO414" s="295"/>
      <c r="CS414" s="374">
        <v>84</v>
      </c>
      <c r="CT414" s="359" t="s">
        <v>97</v>
      </c>
      <c r="CU414" s="361">
        <v>31057.599999999999</v>
      </c>
      <c r="CV414" s="361">
        <v>0</v>
      </c>
      <c r="CW414" s="361">
        <v>0</v>
      </c>
      <c r="CX414" s="365">
        <v>0</v>
      </c>
      <c r="CY414" s="365">
        <v>0</v>
      </c>
      <c r="CZ414" s="365">
        <v>0</v>
      </c>
      <c r="DA414" s="365">
        <v>0</v>
      </c>
      <c r="DB414" s="361">
        <v>0</v>
      </c>
      <c r="DC414" s="365">
        <v>0</v>
      </c>
      <c r="DD414" s="361">
        <v>31057.599999999999</v>
      </c>
      <c r="DE414" s="365">
        <v>0</v>
      </c>
      <c r="DF414" s="365"/>
      <c r="DG414" s="365"/>
      <c r="DH414" s="365"/>
      <c r="DI414" s="379"/>
    </row>
    <row r="415" spans="2:113" ht="13">
      <c r="B415" s="294"/>
      <c r="C415" s="295"/>
      <c r="D415" s="295"/>
      <c r="E415" s="294"/>
      <c r="F415" s="294"/>
      <c r="G415" s="295"/>
      <c r="H415" s="295"/>
      <c r="I415" s="295"/>
      <c r="J415" s="295"/>
      <c r="K415" s="295"/>
      <c r="L415" s="295"/>
      <c r="N415" s="296"/>
      <c r="O415" s="296"/>
      <c r="P415" s="297"/>
      <c r="Q415" s="297"/>
      <c r="R415" s="297"/>
      <c r="S415" s="297"/>
      <c r="T415" s="298"/>
      <c r="U415" s="296"/>
      <c r="V415" s="296"/>
      <c r="W415" s="297"/>
      <c r="X415" s="297"/>
      <c r="Y415" s="297"/>
      <c r="Z415" s="297"/>
      <c r="AA415" s="299"/>
      <c r="AB415" s="296"/>
      <c r="AC415" s="296"/>
      <c r="AD415" s="297"/>
      <c r="AE415" s="297"/>
      <c r="AF415" s="297"/>
      <c r="AG415" s="297"/>
      <c r="AH415" s="295"/>
      <c r="AI415" s="293"/>
      <c r="AJ415" s="293"/>
      <c r="AK415" s="297"/>
      <c r="AL415" s="297"/>
      <c r="AM415" s="297"/>
      <c r="AN415" s="297"/>
      <c r="AO415" s="295"/>
      <c r="CS415" s="374">
        <v>85</v>
      </c>
      <c r="CT415" s="359" t="s">
        <v>219</v>
      </c>
      <c r="CU415" s="361">
        <v>28864.1</v>
      </c>
      <c r="CV415" s="361">
        <v>0</v>
      </c>
      <c r="CW415" s="365">
        <v>0</v>
      </c>
      <c r="CX415" s="365">
        <v>0</v>
      </c>
      <c r="CY415" s="365">
        <v>0</v>
      </c>
      <c r="CZ415" s="365">
        <v>0</v>
      </c>
      <c r="DA415" s="365">
        <v>0</v>
      </c>
      <c r="DB415" s="361">
        <v>0</v>
      </c>
      <c r="DC415" s="361">
        <v>28864.1</v>
      </c>
      <c r="DD415" s="365">
        <v>0</v>
      </c>
      <c r="DE415" s="365">
        <v>0</v>
      </c>
      <c r="DF415" s="365"/>
      <c r="DG415" s="365"/>
      <c r="DH415" s="365"/>
      <c r="DI415" s="379"/>
    </row>
    <row r="416" spans="2:113" ht="13">
      <c r="B416" s="294"/>
      <c r="C416" s="295"/>
      <c r="D416" s="295"/>
      <c r="E416" s="294"/>
      <c r="F416" s="294"/>
      <c r="G416" s="295"/>
      <c r="H416" s="295"/>
      <c r="I416" s="295"/>
      <c r="J416" s="295"/>
      <c r="K416" s="295"/>
      <c r="L416" s="295"/>
      <c r="N416" s="296"/>
      <c r="O416" s="296"/>
      <c r="P416" s="297"/>
      <c r="Q416" s="297"/>
      <c r="R416" s="297"/>
      <c r="S416" s="297"/>
      <c r="T416" s="298"/>
      <c r="U416" s="296"/>
      <c r="V416" s="296"/>
      <c r="W416" s="297"/>
      <c r="X416" s="297"/>
      <c r="Y416" s="297"/>
      <c r="Z416" s="297"/>
      <c r="AA416" s="299"/>
      <c r="AB416" s="296"/>
      <c r="AC416" s="296"/>
      <c r="AD416" s="297"/>
      <c r="AE416" s="297"/>
      <c r="AF416" s="297"/>
      <c r="AG416" s="297"/>
      <c r="AH416" s="295"/>
      <c r="AI416" s="293"/>
      <c r="AJ416" s="293"/>
      <c r="AK416" s="297"/>
      <c r="AL416" s="297"/>
      <c r="AM416" s="297"/>
      <c r="AN416" s="297"/>
      <c r="AO416" s="295"/>
      <c r="CS416" s="374">
        <v>86</v>
      </c>
      <c r="CT416" s="359" t="s">
        <v>180</v>
      </c>
      <c r="CU416" s="361">
        <v>26240.35</v>
      </c>
      <c r="CV416" s="361">
        <v>0</v>
      </c>
      <c r="CW416" s="365">
        <v>0</v>
      </c>
      <c r="CX416" s="365">
        <v>0</v>
      </c>
      <c r="CY416" s="365">
        <v>0</v>
      </c>
      <c r="CZ416" s="365">
        <v>0</v>
      </c>
      <c r="DA416" s="365">
        <v>0</v>
      </c>
      <c r="DB416" s="361">
        <v>26240.35</v>
      </c>
      <c r="DC416" s="365">
        <v>0</v>
      </c>
      <c r="DD416" s="365">
        <v>0</v>
      </c>
      <c r="DE416" s="365">
        <v>0</v>
      </c>
      <c r="DF416" s="365"/>
      <c r="DG416" s="365"/>
      <c r="DH416" s="365"/>
      <c r="DI416" s="379"/>
    </row>
    <row r="417" spans="2:113" ht="13">
      <c r="B417" s="294"/>
      <c r="C417" s="295"/>
      <c r="D417" s="295"/>
      <c r="E417" s="294"/>
      <c r="F417" s="294"/>
      <c r="G417" s="295"/>
      <c r="H417" s="295"/>
      <c r="I417" s="295"/>
      <c r="J417" s="295"/>
      <c r="K417" s="295"/>
      <c r="L417" s="295"/>
      <c r="N417" s="296"/>
      <c r="O417" s="296"/>
      <c r="P417" s="297"/>
      <c r="Q417" s="297"/>
      <c r="R417" s="297"/>
      <c r="S417" s="297"/>
      <c r="T417" s="298"/>
      <c r="U417" s="296"/>
      <c r="V417" s="296"/>
      <c r="W417" s="297"/>
      <c r="X417" s="297"/>
      <c r="Y417" s="297"/>
      <c r="Z417" s="297"/>
      <c r="AA417" s="299"/>
      <c r="AB417" s="296"/>
      <c r="AC417" s="296"/>
      <c r="AD417" s="297"/>
      <c r="AE417" s="297"/>
      <c r="AF417" s="297"/>
      <c r="AG417" s="297"/>
      <c r="AH417" s="295"/>
      <c r="AI417" s="293"/>
      <c r="AJ417" s="293"/>
      <c r="AK417" s="297"/>
      <c r="AL417" s="297"/>
      <c r="AM417" s="297"/>
      <c r="AN417" s="297"/>
      <c r="AO417" s="295"/>
      <c r="CS417" s="374">
        <v>87</v>
      </c>
      <c r="CT417" s="359" t="s">
        <v>73</v>
      </c>
      <c r="CU417" s="361">
        <v>6388.42</v>
      </c>
      <c r="CV417" s="361">
        <v>0</v>
      </c>
      <c r="CW417" s="365">
        <v>0</v>
      </c>
      <c r="CX417" s="365">
        <v>0</v>
      </c>
      <c r="CY417" s="365">
        <v>0</v>
      </c>
      <c r="CZ417" s="365">
        <v>0</v>
      </c>
      <c r="DA417" s="365">
        <v>0</v>
      </c>
      <c r="DB417" s="361">
        <v>6388.42</v>
      </c>
      <c r="DC417" s="365">
        <v>0</v>
      </c>
      <c r="DD417" s="365">
        <v>0</v>
      </c>
      <c r="DE417" s="365">
        <v>0</v>
      </c>
      <c r="DF417" s="365"/>
      <c r="DG417" s="365"/>
      <c r="DH417" s="365"/>
      <c r="DI417" s="379"/>
    </row>
    <row r="418" spans="2:113" ht="13">
      <c r="B418" s="294"/>
      <c r="C418" s="295"/>
      <c r="D418" s="295"/>
      <c r="E418" s="294"/>
      <c r="F418" s="294"/>
      <c r="G418" s="295"/>
      <c r="H418" s="295"/>
      <c r="I418" s="295"/>
      <c r="J418" s="295"/>
      <c r="K418" s="295"/>
      <c r="L418" s="295"/>
      <c r="N418" s="296"/>
      <c r="O418" s="296"/>
      <c r="P418" s="297"/>
      <c r="Q418" s="297"/>
      <c r="R418" s="297"/>
      <c r="S418" s="297"/>
      <c r="T418" s="298"/>
      <c r="U418" s="296"/>
      <c r="V418" s="296"/>
      <c r="W418" s="297"/>
      <c r="X418" s="297"/>
      <c r="Y418" s="297"/>
      <c r="Z418" s="297"/>
      <c r="AA418" s="299"/>
      <c r="AB418" s="296"/>
      <c r="AC418" s="296"/>
      <c r="AD418" s="297"/>
      <c r="AE418" s="297"/>
      <c r="AF418" s="297"/>
      <c r="AG418" s="297"/>
      <c r="AH418" s="295"/>
      <c r="AI418" s="293"/>
      <c r="AJ418" s="293"/>
      <c r="AK418" s="297"/>
      <c r="AL418" s="297"/>
      <c r="AM418" s="297"/>
      <c r="AN418" s="297"/>
      <c r="AO418" s="295"/>
      <c r="CS418" s="374">
        <v>88</v>
      </c>
      <c r="CT418" s="359"/>
      <c r="CU418" s="361"/>
      <c r="CV418" s="365"/>
      <c r="CW418" s="361"/>
      <c r="CX418" s="361"/>
      <c r="CY418" s="361"/>
      <c r="CZ418" s="361"/>
      <c r="DA418" s="361"/>
      <c r="DB418" s="361"/>
      <c r="DC418" s="361"/>
      <c r="DD418" s="361"/>
      <c r="DE418" s="361"/>
      <c r="DF418" s="361"/>
      <c r="DG418" s="361"/>
      <c r="DH418" s="361"/>
      <c r="DI418" s="378"/>
    </row>
    <row r="419" spans="2:113" ht="13">
      <c r="B419" s="294"/>
      <c r="C419" s="295"/>
      <c r="D419" s="295"/>
      <c r="E419" s="294"/>
      <c r="F419" s="294"/>
      <c r="G419" s="295"/>
      <c r="H419" s="295"/>
      <c r="I419" s="295"/>
      <c r="J419" s="295"/>
      <c r="K419" s="295"/>
      <c r="L419" s="295"/>
      <c r="N419" s="296"/>
      <c r="O419" s="296"/>
      <c r="P419" s="297"/>
      <c r="Q419" s="297"/>
      <c r="R419" s="297"/>
      <c r="S419" s="297"/>
      <c r="T419" s="298"/>
      <c r="U419" s="296"/>
      <c r="V419" s="296"/>
      <c r="W419" s="297"/>
      <c r="X419" s="297"/>
      <c r="Y419" s="297"/>
      <c r="Z419" s="297"/>
      <c r="AA419" s="299"/>
      <c r="AB419" s="296"/>
      <c r="AC419" s="296"/>
      <c r="AD419" s="297"/>
      <c r="AE419" s="297"/>
      <c r="AF419" s="297"/>
      <c r="AG419" s="297"/>
      <c r="AH419" s="295"/>
      <c r="AI419" s="293"/>
      <c r="AJ419" s="293"/>
      <c r="AK419" s="297"/>
      <c r="AL419" s="297"/>
      <c r="AM419" s="297"/>
      <c r="AN419" s="297"/>
      <c r="AO419" s="295"/>
      <c r="CS419" s="374">
        <v>89</v>
      </c>
      <c r="DI419" s="380"/>
    </row>
    <row r="420" spans="2:113" ht="13">
      <c r="B420" s="294"/>
      <c r="C420" s="295"/>
      <c r="D420" s="295"/>
      <c r="E420" s="294"/>
      <c r="F420" s="294"/>
      <c r="G420" s="295"/>
      <c r="H420" s="295"/>
      <c r="I420" s="295"/>
      <c r="J420" s="295"/>
      <c r="K420" s="295"/>
      <c r="L420" s="295"/>
      <c r="N420" s="296"/>
      <c r="O420" s="296"/>
      <c r="P420" s="297"/>
      <c r="Q420" s="297"/>
      <c r="R420" s="297"/>
      <c r="S420" s="297"/>
      <c r="T420" s="298"/>
      <c r="U420" s="296"/>
      <c r="V420" s="296"/>
      <c r="W420" s="297"/>
      <c r="X420" s="297"/>
      <c r="Y420" s="297"/>
      <c r="Z420" s="297"/>
      <c r="AA420" s="299"/>
      <c r="AB420" s="296"/>
      <c r="AC420" s="296"/>
      <c r="AD420" s="297"/>
      <c r="AE420" s="297"/>
      <c r="AF420" s="297"/>
      <c r="AG420" s="297"/>
      <c r="AH420" s="295"/>
      <c r="AI420" s="293"/>
      <c r="AJ420" s="293"/>
      <c r="AK420" s="297"/>
      <c r="AL420" s="297"/>
      <c r="AM420" s="297"/>
      <c r="AN420" s="297"/>
      <c r="AO420" s="295"/>
      <c r="CS420" s="374">
        <v>90</v>
      </c>
      <c r="DI420" s="380"/>
    </row>
    <row r="421" spans="2:113" ht="13">
      <c r="B421" s="294"/>
      <c r="C421" s="295"/>
      <c r="D421" s="295"/>
      <c r="E421" s="294"/>
      <c r="F421" s="294"/>
      <c r="G421" s="295"/>
      <c r="H421" s="295"/>
      <c r="I421" s="295"/>
      <c r="J421" s="295"/>
      <c r="K421" s="295"/>
      <c r="L421" s="295"/>
      <c r="N421" s="296"/>
      <c r="O421" s="296"/>
      <c r="P421" s="297"/>
      <c r="Q421" s="297"/>
      <c r="R421" s="297"/>
      <c r="S421" s="297"/>
      <c r="T421" s="298"/>
      <c r="U421" s="296"/>
      <c r="V421" s="296"/>
      <c r="W421" s="297"/>
      <c r="X421" s="297"/>
      <c r="Y421" s="297"/>
      <c r="Z421" s="297"/>
      <c r="AA421" s="299"/>
      <c r="AB421" s="296"/>
      <c r="AC421" s="296"/>
      <c r="AD421" s="297"/>
      <c r="AE421" s="297"/>
      <c r="AF421" s="297"/>
      <c r="AG421" s="297"/>
      <c r="AH421" s="295"/>
      <c r="AI421" s="293"/>
      <c r="AJ421" s="293"/>
      <c r="AK421" s="297"/>
      <c r="AL421" s="297"/>
      <c r="AM421" s="297"/>
      <c r="AN421" s="297"/>
      <c r="AO421" s="295"/>
      <c r="CS421" s="374">
        <v>91</v>
      </c>
      <c r="DI421" s="380"/>
    </row>
    <row r="422" spans="2:113" ht="13">
      <c r="B422" s="294"/>
      <c r="C422" s="295"/>
      <c r="D422" s="295"/>
      <c r="E422" s="294"/>
      <c r="F422" s="294"/>
      <c r="G422" s="295"/>
      <c r="H422" s="295"/>
      <c r="I422" s="295"/>
      <c r="J422" s="295"/>
      <c r="K422" s="295"/>
      <c r="L422" s="295"/>
      <c r="N422" s="296"/>
      <c r="O422" s="296"/>
      <c r="P422" s="297"/>
      <c r="Q422" s="297"/>
      <c r="R422" s="297"/>
      <c r="S422" s="297"/>
      <c r="T422" s="298"/>
      <c r="U422" s="296"/>
      <c r="V422" s="296"/>
      <c r="W422" s="297"/>
      <c r="X422" s="297"/>
      <c r="Y422" s="297"/>
      <c r="Z422" s="297"/>
      <c r="AA422" s="299"/>
      <c r="AB422" s="296"/>
      <c r="AC422" s="296"/>
      <c r="AD422" s="297"/>
      <c r="AE422" s="297"/>
      <c r="AF422" s="297"/>
      <c r="AG422" s="297"/>
      <c r="AH422" s="295"/>
      <c r="AI422" s="293"/>
      <c r="AJ422" s="293"/>
      <c r="AK422" s="297"/>
      <c r="AL422" s="297"/>
      <c r="AM422" s="297"/>
      <c r="AN422" s="297"/>
      <c r="AO422" s="295"/>
      <c r="CS422" s="374">
        <v>92</v>
      </c>
      <c r="DI422" s="380"/>
    </row>
    <row r="423" spans="2:113" ht="13">
      <c r="B423" s="294"/>
      <c r="C423" s="295"/>
      <c r="D423" s="295"/>
      <c r="E423" s="294"/>
      <c r="F423" s="294"/>
      <c r="G423" s="295"/>
      <c r="H423" s="295"/>
      <c r="I423" s="295"/>
      <c r="J423" s="295"/>
      <c r="K423" s="295"/>
      <c r="L423" s="295"/>
      <c r="N423" s="296"/>
      <c r="O423" s="296"/>
      <c r="P423" s="297"/>
      <c r="Q423" s="297"/>
      <c r="R423" s="297"/>
      <c r="S423" s="297"/>
      <c r="T423" s="298"/>
      <c r="U423" s="296"/>
      <c r="V423" s="296"/>
      <c r="W423" s="297"/>
      <c r="X423" s="297"/>
      <c r="Y423" s="297"/>
      <c r="Z423" s="297"/>
      <c r="AA423" s="299"/>
      <c r="AB423" s="296"/>
      <c r="AC423" s="296"/>
      <c r="AD423" s="297"/>
      <c r="AE423" s="297"/>
      <c r="AF423" s="297"/>
      <c r="AG423" s="297"/>
      <c r="AH423" s="295"/>
      <c r="AI423" s="293"/>
      <c r="AJ423" s="293"/>
      <c r="AK423" s="297"/>
      <c r="AL423" s="297"/>
      <c r="AM423" s="297"/>
      <c r="AN423" s="297"/>
      <c r="AO423" s="295"/>
      <c r="CS423" s="374">
        <v>93</v>
      </c>
      <c r="DI423" s="380"/>
    </row>
    <row r="424" spans="2:113" ht="13">
      <c r="B424" s="294"/>
      <c r="C424" s="295"/>
      <c r="D424" s="295"/>
      <c r="E424" s="294"/>
      <c r="F424" s="294"/>
      <c r="G424" s="295"/>
      <c r="H424" s="295"/>
      <c r="I424" s="295"/>
      <c r="J424" s="295"/>
      <c r="K424" s="295"/>
      <c r="L424" s="295"/>
      <c r="N424" s="296"/>
      <c r="O424" s="296"/>
      <c r="P424" s="297"/>
      <c r="Q424" s="297"/>
      <c r="R424" s="297"/>
      <c r="S424" s="297"/>
      <c r="T424" s="298"/>
      <c r="U424" s="296"/>
      <c r="V424" s="296"/>
      <c r="W424" s="297"/>
      <c r="X424" s="297"/>
      <c r="Y424" s="297"/>
      <c r="Z424" s="297"/>
      <c r="AA424" s="299"/>
      <c r="AB424" s="296"/>
      <c r="AC424" s="296"/>
      <c r="AD424" s="297"/>
      <c r="AE424" s="297"/>
      <c r="AF424" s="297"/>
      <c r="AG424" s="297"/>
      <c r="AH424" s="295"/>
      <c r="AI424" s="293"/>
      <c r="AJ424" s="293"/>
      <c r="AK424" s="297"/>
      <c r="AL424" s="297"/>
      <c r="AM424" s="297"/>
      <c r="AN424" s="297"/>
      <c r="AO424" s="295"/>
      <c r="CS424" s="374">
        <v>94</v>
      </c>
      <c r="DI424" s="380"/>
    </row>
    <row r="425" spans="2:113" ht="13">
      <c r="B425" s="294"/>
      <c r="C425" s="295"/>
      <c r="D425" s="295"/>
      <c r="E425" s="294"/>
      <c r="F425" s="294"/>
      <c r="G425" s="295"/>
      <c r="H425" s="295"/>
      <c r="I425" s="295"/>
      <c r="J425" s="295"/>
      <c r="K425" s="295"/>
      <c r="L425" s="295"/>
      <c r="N425" s="296"/>
      <c r="O425" s="296"/>
      <c r="P425" s="297"/>
      <c r="Q425" s="297"/>
      <c r="R425" s="297"/>
      <c r="S425" s="297"/>
      <c r="T425" s="298"/>
      <c r="U425" s="296"/>
      <c r="V425" s="296"/>
      <c r="W425" s="297"/>
      <c r="X425" s="297"/>
      <c r="Y425" s="297"/>
      <c r="Z425" s="297"/>
      <c r="AA425" s="299"/>
      <c r="AB425" s="296"/>
      <c r="AC425" s="296"/>
      <c r="AD425" s="297"/>
      <c r="AE425" s="297"/>
      <c r="AF425" s="297"/>
      <c r="AG425" s="297"/>
      <c r="AH425" s="295"/>
      <c r="AI425" s="293"/>
      <c r="AJ425" s="293"/>
      <c r="AK425" s="297"/>
      <c r="AL425" s="297"/>
      <c r="AM425" s="297"/>
      <c r="AN425" s="297"/>
      <c r="AO425" s="295"/>
      <c r="CS425" s="374">
        <v>95</v>
      </c>
      <c r="DI425" s="380"/>
    </row>
    <row r="426" spans="2:113" ht="13">
      <c r="B426" s="294"/>
      <c r="C426" s="295"/>
      <c r="D426" s="295"/>
      <c r="E426" s="294"/>
      <c r="F426" s="294"/>
      <c r="G426" s="295"/>
      <c r="H426" s="295"/>
      <c r="I426" s="295"/>
      <c r="J426" s="295"/>
      <c r="K426" s="295"/>
      <c r="L426" s="295"/>
      <c r="N426" s="296"/>
      <c r="O426" s="296"/>
      <c r="P426" s="297"/>
      <c r="Q426" s="297"/>
      <c r="R426" s="297"/>
      <c r="S426" s="297"/>
      <c r="T426" s="298"/>
      <c r="U426" s="296"/>
      <c r="V426" s="296"/>
      <c r="W426" s="297"/>
      <c r="X426" s="297"/>
      <c r="Y426" s="297"/>
      <c r="Z426" s="297"/>
      <c r="AA426" s="299"/>
      <c r="AB426" s="296"/>
      <c r="AC426" s="296"/>
      <c r="AD426" s="297"/>
      <c r="AE426" s="297"/>
      <c r="AF426" s="297"/>
      <c r="AG426" s="297"/>
      <c r="AH426" s="295"/>
      <c r="AI426" s="293"/>
      <c r="AJ426" s="293"/>
      <c r="AK426" s="297"/>
      <c r="AL426" s="297"/>
      <c r="AM426" s="297"/>
      <c r="AN426" s="297"/>
      <c r="AO426" s="295"/>
      <c r="CS426" s="374">
        <v>96</v>
      </c>
      <c r="DI426" s="380"/>
    </row>
    <row r="427" spans="2:113" ht="13">
      <c r="B427" s="294"/>
      <c r="C427" s="295"/>
      <c r="D427" s="295"/>
      <c r="E427" s="294"/>
      <c r="F427" s="294"/>
      <c r="G427" s="295"/>
      <c r="H427" s="295"/>
      <c r="I427" s="295"/>
      <c r="J427" s="295"/>
      <c r="K427" s="295"/>
      <c r="L427" s="295"/>
      <c r="N427" s="296"/>
      <c r="O427" s="296"/>
      <c r="P427" s="297"/>
      <c r="Q427" s="297"/>
      <c r="R427" s="297"/>
      <c r="S427" s="297"/>
      <c r="T427" s="298"/>
      <c r="U427" s="296"/>
      <c r="V427" s="296"/>
      <c r="W427" s="297"/>
      <c r="X427" s="297"/>
      <c r="Y427" s="297"/>
      <c r="Z427" s="297"/>
      <c r="AA427" s="299"/>
      <c r="AB427" s="296"/>
      <c r="AC427" s="296"/>
      <c r="AD427" s="297"/>
      <c r="AE427" s="297"/>
      <c r="AF427" s="297"/>
      <c r="AG427" s="297"/>
      <c r="AH427" s="295"/>
      <c r="AI427" s="293"/>
      <c r="AJ427" s="293"/>
      <c r="AK427" s="297"/>
      <c r="AL427" s="297"/>
      <c r="AM427" s="297"/>
      <c r="AN427" s="297"/>
      <c r="AO427" s="295"/>
      <c r="CS427" s="374">
        <v>97</v>
      </c>
      <c r="DI427" s="380"/>
    </row>
    <row r="428" spans="2:113" ht="13">
      <c r="B428" s="294"/>
      <c r="C428" s="295"/>
      <c r="D428" s="295"/>
      <c r="E428" s="294"/>
      <c r="F428" s="294"/>
      <c r="G428" s="295"/>
      <c r="H428" s="295"/>
      <c r="I428" s="295"/>
      <c r="J428" s="295"/>
      <c r="K428" s="295"/>
      <c r="L428" s="295"/>
      <c r="N428" s="296"/>
      <c r="O428" s="296"/>
      <c r="P428" s="297"/>
      <c r="Q428" s="297"/>
      <c r="R428" s="297"/>
      <c r="S428" s="297"/>
      <c r="T428" s="298"/>
      <c r="U428" s="296"/>
      <c r="V428" s="296"/>
      <c r="W428" s="297"/>
      <c r="X428" s="297"/>
      <c r="Y428" s="297"/>
      <c r="Z428" s="297"/>
      <c r="AA428" s="299"/>
      <c r="AB428" s="296"/>
      <c r="AC428" s="296"/>
      <c r="AD428" s="297"/>
      <c r="AE428" s="297"/>
      <c r="AF428" s="297"/>
      <c r="AG428" s="297"/>
      <c r="AH428" s="295"/>
      <c r="AI428" s="293"/>
      <c r="AJ428" s="293"/>
      <c r="AK428" s="297"/>
      <c r="AL428" s="297"/>
      <c r="AM428" s="297"/>
      <c r="AN428" s="297"/>
      <c r="AO428" s="295"/>
      <c r="CS428" s="374">
        <v>98</v>
      </c>
      <c r="DI428" s="380"/>
    </row>
    <row r="429" spans="2:113" ht="13">
      <c r="B429" s="294"/>
      <c r="C429" s="295"/>
      <c r="D429" s="295"/>
      <c r="E429" s="294"/>
      <c r="F429" s="294"/>
      <c r="G429" s="295"/>
      <c r="H429" s="295"/>
      <c r="I429" s="295"/>
      <c r="J429" s="295"/>
      <c r="K429" s="295"/>
      <c r="L429" s="295"/>
      <c r="N429" s="296"/>
      <c r="O429" s="296"/>
      <c r="P429" s="297"/>
      <c r="Q429" s="297"/>
      <c r="R429" s="297"/>
      <c r="S429" s="297"/>
      <c r="T429" s="298"/>
      <c r="U429" s="296"/>
      <c r="V429" s="296"/>
      <c r="W429" s="297"/>
      <c r="X429" s="297"/>
      <c r="Y429" s="297"/>
      <c r="Z429" s="297"/>
      <c r="AA429" s="299"/>
      <c r="AB429" s="296"/>
      <c r="AC429" s="296"/>
      <c r="AD429" s="297"/>
      <c r="AE429" s="297"/>
      <c r="AF429" s="297"/>
      <c r="AG429" s="297"/>
      <c r="AH429" s="295"/>
      <c r="AI429" s="293"/>
      <c r="AJ429" s="293"/>
      <c r="AK429" s="297"/>
      <c r="AL429" s="297"/>
      <c r="AM429" s="297"/>
      <c r="AN429" s="297"/>
      <c r="AO429" s="295"/>
      <c r="CS429" s="374">
        <v>99</v>
      </c>
      <c r="DI429" s="380"/>
    </row>
    <row r="430" spans="2:113" ht="13">
      <c r="B430" s="294"/>
      <c r="C430" s="295"/>
      <c r="D430" s="295"/>
      <c r="E430" s="294"/>
      <c r="F430" s="294"/>
      <c r="G430" s="295"/>
      <c r="H430" s="295"/>
      <c r="I430" s="295"/>
      <c r="J430" s="295"/>
      <c r="K430" s="295"/>
      <c r="L430" s="295"/>
      <c r="N430" s="296"/>
      <c r="O430" s="296"/>
      <c r="P430" s="297"/>
      <c r="Q430" s="297"/>
      <c r="R430" s="297"/>
      <c r="S430" s="297"/>
      <c r="T430" s="298"/>
      <c r="U430" s="296"/>
      <c r="V430" s="296"/>
      <c r="W430" s="297"/>
      <c r="X430" s="297"/>
      <c r="Y430" s="297"/>
      <c r="Z430" s="297"/>
      <c r="AA430" s="299"/>
      <c r="AB430" s="296"/>
      <c r="AC430" s="296"/>
      <c r="AD430" s="297"/>
      <c r="AE430" s="297"/>
      <c r="AF430" s="297"/>
      <c r="AG430" s="297"/>
      <c r="AH430" s="295"/>
      <c r="AI430" s="293"/>
      <c r="AJ430" s="293"/>
      <c r="AK430" s="297"/>
      <c r="AL430" s="297"/>
      <c r="AM430" s="297"/>
      <c r="AN430" s="297"/>
      <c r="AO430" s="295"/>
      <c r="CS430" s="374">
        <v>100</v>
      </c>
      <c r="DI430" s="380"/>
    </row>
    <row r="431" spans="2:113" ht="13">
      <c r="B431" s="294"/>
      <c r="C431" s="295"/>
      <c r="D431" s="295"/>
      <c r="E431" s="294"/>
      <c r="F431" s="294"/>
      <c r="G431" s="295"/>
      <c r="H431" s="295"/>
      <c r="I431" s="295"/>
      <c r="J431" s="295"/>
      <c r="K431" s="295"/>
      <c r="L431" s="295"/>
      <c r="N431" s="296"/>
      <c r="O431" s="296"/>
      <c r="P431" s="297"/>
      <c r="Q431" s="297"/>
      <c r="R431" s="297"/>
      <c r="S431" s="297"/>
      <c r="T431" s="298"/>
      <c r="U431" s="296"/>
      <c r="V431" s="296"/>
      <c r="W431" s="297"/>
      <c r="X431" s="297"/>
      <c r="Y431" s="297"/>
      <c r="Z431" s="297"/>
      <c r="AA431" s="299"/>
      <c r="AB431" s="296"/>
      <c r="AC431" s="296"/>
      <c r="AD431" s="297"/>
      <c r="AE431" s="297"/>
      <c r="AF431" s="297"/>
      <c r="AG431" s="297"/>
      <c r="AH431" s="295"/>
      <c r="AI431" s="293"/>
      <c r="AJ431" s="293"/>
      <c r="AK431" s="297"/>
      <c r="AL431" s="297"/>
      <c r="AM431" s="297"/>
      <c r="AN431" s="297"/>
      <c r="AO431" s="295"/>
      <c r="CS431" s="374">
        <v>101</v>
      </c>
      <c r="DI431" s="380"/>
    </row>
    <row r="432" spans="2:113" ht="13">
      <c r="B432" s="294"/>
      <c r="C432" s="295"/>
      <c r="D432" s="295"/>
      <c r="E432" s="294"/>
      <c r="F432" s="294"/>
      <c r="G432" s="295"/>
      <c r="H432" s="295"/>
      <c r="I432" s="295"/>
      <c r="J432" s="295"/>
      <c r="K432" s="295"/>
      <c r="L432" s="295"/>
      <c r="N432" s="296"/>
      <c r="O432" s="296"/>
      <c r="P432" s="297"/>
      <c r="Q432" s="297"/>
      <c r="R432" s="297"/>
      <c r="S432" s="297"/>
      <c r="T432" s="298"/>
      <c r="U432" s="296"/>
      <c r="V432" s="296"/>
      <c r="W432" s="297"/>
      <c r="X432" s="297"/>
      <c r="Y432" s="297"/>
      <c r="Z432" s="297"/>
      <c r="AA432" s="299"/>
      <c r="AB432" s="296"/>
      <c r="AC432" s="296"/>
      <c r="AD432" s="297"/>
      <c r="AE432" s="297"/>
      <c r="AF432" s="297"/>
      <c r="AG432" s="297"/>
      <c r="AH432" s="295"/>
      <c r="AI432" s="293"/>
      <c r="AJ432" s="293"/>
      <c r="AK432" s="297"/>
      <c r="AL432" s="297"/>
      <c r="AM432" s="297"/>
      <c r="AN432" s="297"/>
      <c r="AO432" s="295"/>
      <c r="CS432" s="374">
        <v>102</v>
      </c>
      <c r="DI432" s="380"/>
    </row>
    <row r="433" spans="2:113" ht="13">
      <c r="B433" s="294"/>
      <c r="C433" s="295"/>
      <c r="D433" s="295"/>
      <c r="E433" s="294"/>
      <c r="F433" s="294"/>
      <c r="G433" s="295"/>
      <c r="H433" s="295"/>
      <c r="I433" s="295"/>
      <c r="J433" s="295"/>
      <c r="K433" s="295"/>
      <c r="L433" s="295"/>
      <c r="N433" s="296"/>
      <c r="O433" s="296"/>
      <c r="P433" s="297"/>
      <c r="Q433" s="297"/>
      <c r="R433" s="297"/>
      <c r="S433" s="297"/>
      <c r="T433" s="298"/>
      <c r="U433" s="296"/>
      <c r="V433" s="296"/>
      <c r="W433" s="297"/>
      <c r="X433" s="297"/>
      <c r="Y433" s="297"/>
      <c r="Z433" s="297"/>
      <c r="AA433" s="299"/>
      <c r="AB433" s="296"/>
      <c r="AC433" s="296"/>
      <c r="AD433" s="297"/>
      <c r="AE433" s="297"/>
      <c r="AF433" s="297"/>
      <c r="AG433" s="297"/>
      <c r="AH433" s="295"/>
      <c r="AI433" s="293"/>
      <c r="AJ433" s="293"/>
      <c r="AK433" s="297"/>
      <c r="AL433" s="297"/>
      <c r="AM433" s="297"/>
      <c r="AN433" s="297"/>
      <c r="AO433" s="295"/>
      <c r="CS433" s="374">
        <v>103</v>
      </c>
      <c r="DI433" s="380"/>
    </row>
    <row r="434" spans="2:113" ht="13">
      <c r="B434" s="294"/>
      <c r="C434" s="295"/>
      <c r="D434" s="295"/>
      <c r="E434" s="294"/>
      <c r="F434" s="294"/>
      <c r="G434" s="295"/>
      <c r="H434" s="295"/>
      <c r="I434" s="295"/>
      <c r="J434" s="295"/>
      <c r="K434" s="295"/>
      <c r="L434" s="295"/>
      <c r="N434" s="296"/>
      <c r="O434" s="296"/>
      <c r="P434" s="297"/>
      <c r="Q434" s="297"/>
      <c r="R434" s="297"/>
      <c r="S434" s="297"/>
      <c r="T434" s="298"/>
      <c r="U434" s="296"/>
      <c r="V434" s="296"/>
      <c r="W434" s="297"/>
      <c r="X434" s="297"/>
      <c r="Y434" s="297"/>
      <c r="Z434" s="297"/>
      <c r="AA434" s="299"/>
      <c r="AB434" s="296"/>
      <c r="AC434" s="296"/>
      <c r="AD434" s="297"/>
      <c r="AE434" s="297"/>
      <c r="AF434" s="297"/>
      <c r="AG434" s="297"/>
      <c r="AH434" s="295"/>
      <c r="AI434" s="293"/>
      <c r="AJ434" s="293"/>
      <c r="AK434" s="297"/>
      <c r="AL434" s="297"/>
      <c r="AM434" s="297"/>
      <c r="AN434" s="297"/>
      <c r="AO434" s="295"/>
      <c r="CS434" s="374">
        <v>104</v>
      </c>
      <c r="DI434" s="380"/>
    </row>
    <row r="435" spans="2:113" ht="13">
      <c r="B435" s="294"/>
      <c r="C435" s="295"/>
      <c r="D435" s="295"/>
      <c r="E435" s="294"/>
      <c r="F435" s="294"/>
      <c r="G435" s="295"/>
      <c r="H435" s="295"/>
      <c r="I435" s="295"/>
      <c r="J435" s="295"/>
      <c r="K435" s="295"/>
      <c r="L435" s="295"/>
      <c r="N435" s="296"/>
      <c r="O435" s="296"/>
      <c r="P435" s="297"/>
      <c r="Q435" s="297"/>
      <c r="R435" s="297"/>
      <c r="S435" s="297"/>
      <c r="T435" s="298"/>
      <c r="U435" s="296"/>
      <c r="V435" s="296"/>
      <c r="W435" s="297"/>
      <c r="X435" s="297"/>
      <c r="Y435" s="297"/>
      <c r="Z435" s="297"/>
      <c r="AA435" s="299"/>
      <c r="AB435" s="296"/>
      <c r="AC435" s="296"/>
      <c r="AD435" s="297"/>
      <c r="AE435" s="297"/>
      <c r="AF435" s="297"/>
      <c r="AG435" s="297"/>
      <c r="AH435" s="295"/>
      <c r="AI435" s="293"/>
      <c r="AJ435" s="293"/>
      <c r="AK435" s="297"/>
      <c r="AL435" s="297"/>
      <c r="AM435" s="297"/>
      <c r="AN435" s="297"/>
      <c r="AO435" s="295"/>
      <c r="CS435" s="374">
        <v>105</v>
      </c>
      <c r="DI435" s="380"/>
    </row>
    <row r="436" spans="2:113" ht="13">
      <c r="B436" s="294"/>
      <c r="C436" s="295"/>
      <c r="D436" s="295"/>
      <c r="E436" s="294"/>
      <c r="F436" s="294"/>
      <c r="G436" s="295"/>
      <c r="H436" s="295"/>
      <c r="I436" s="295"/>
      <c r="J436" s="295"/>
      <c r="K436" s="295"/>
      <c r="L436" s="295"/>
      <c r="N436" s="296"/>
      <c r="O436" s="296"/>
      <c r="P436" s="297"/>
      <c r="Q436" s="297"/>
      <c r="R436" s="297"/>
      <c r="S436" s="297"/>
      <c r="T436" s="298"/>
      <c r="U436" s="296"/>
      <c r="V436" s="296"/>
      <c r="W436" s="297"/>
      <c r="X436" s="297"/>
      <c r="Y436" s="297"/>
      <c r="Z436" s="297"/>
      <c r="AA436" s="299"/>
      <c r="AB436" s="296"/>
      <c r="AC436" s="296"/>
      <c r="AD436" s="297"/>
      <c r="AE436" s="297"/>
      <c r="AF436" s="297"/>
      <c r="AG436" s="297"/>
      <c r="AH436" s="295"/>
      <c r="AI436" s="293"/>
      <c r="AJ436" s="293"/>
      <c r="AK436" s="297"/>
      <c r="AL436" s="297"/>
      <c r="AM436" s="297"/>
      <c r="AN436" s="297"/>
      <c r="AO436" s="295"/>
      <c r="CS436" s="374">
        <v>106</v>
      </c>
      <c r="DI436" s="380"/>
    </row>
    <row r="437" spans="2:113" ht="13">
      <c r="B437" s="294"/>
      <c r="C437" s="295"/>
      <c r="D437" s="295"/>
      <c r="E437" s="294"/>
      <c r="F437" s="294"/>
      <c r="G437" s="295"/>
      <c r="H437" s="295"/>
      <c r="I437" s="295"/>
      <c r="J437" s="295"/>
      <c r="K437" s="295"/>
      <c r="L437" s="295"/>
      <c r="N437" s="296"/>
      <c r="O437" s="296"/>
      <c r="P437" s="297"/>
      <c r="Q437" s="297"/>
      <c r="R437" s="297"/>
      <c r="S437" s="297"/>
      <c r="T437" s="298"/>
      <c r="U437" s="296"/>
      <c r="V437" s="296"/>
      <c r="W437" s="297"/>
      <c r="X437" s="297"/>
      <c r="Y437" s="297"/>
      <c r="Z437" s="297"/>
      <c r="AA437" s="299"/>
      <c r="AB437" s="296"/>
      <c r="AC437" s="296"/>
      <c r="AD437" s="297"/>
      <c r="AE437" s="297"/>
      <c r="AF437" s="297"/>
      <c r="AG437" s="297"/>
      <c r="AH437" s="295"/>
      <c r="AI437" s="293"/>
      <c r="AJ437" s="293"/>
      <c r="AK437" s="297"/>
      <c r="AL437" s="297"/>
      <c r="AM437" s="297"/>
      <c r="AN437" s="297"/>
      <c r="AO437" s="295"/>
      <c r="CS437" s="374">
        <v>107</v>
      </c>
      <c r="DI437" s="380"/>
    </row>
    <row r="438" spans="2:113" ht="13">
      <c r="B438" s="294"/>
      <c r="C438" s="295"/>
      <c r="D438" s="295"/>
      <c r="E438" s="294"/>
      <c r="F438" s="294"/>
      <c r="G438" s="295"/>
      <c r="H438" s="295"/>
      <c r="I438" s="295"/>
      <c r="J438" s="295"/>
      <c r="K438" s="295"/>
      <c r="L438" s="295"/>
      <c r="N438" s="296"/>
      <c r="O438" s="296"/>
      <c r="P438" s="297"/>
      <c r="Q438" s="297"/>
      <c r="R438" s="297"/>
      <c r="S438" s="297"/>
      <c r="T438" s="298"/>
      <c r="U438" s="296"/>
      <c r="V438" s="296"/>
      <c r="W438" s="297"/>
      <c r="X438" s="297"/>
      <c r="Y438" s="297"/>
      <c r="Z438" s="297"/>
      <c r="AA438" s="299"/>
      <c r="AB438" s="296"/>
      <c r="AC438" s="296"/>
      <c r="AD438" s="297"/>
      <c r="AE438" s="297"/>
      <c r="AF438" s="297"/>
      <c r="AG438" s="297"/>
      <c r="AH438" s="295"/>
      <c r="AI438" s="293"/>
      <c r="AJ438" s="293"/>
      <c r="AK438" s="297"/>
      <c r="AL438" s="297"/>
      <c r="AM438" s="297"/>
      <c r="AN438" s="297"/>
      <c r="AO438" s="295"/>
      <c r="CS438" s="374">
        <v>108</v>
      </c>
      <c r="DI438" s="380"/>
    </row>
    <row r="439" spans="2:113" ht="13">
      <c r="B439" s="294"/>
      <c r="C439" s="295"/>
      <c r="D439" s="295"/>
      <c r="E439" s="294"/>
      <c r="F439" s="294"/>
      <c r="G439" s="295"/>
      <c r="H439" s="295"/>
      <c r="I439" s="295"/>
      <c r="J439" s="295"/>
      <c r="K439" s="295"/>
      <c r="L439" s="295"/>
      <c r="N439" s="296"/>
      <c r="O439" s="296"/>
      <c r="P439" s="297"/>
      <c r="Q439" s="297"/>
      <c r="R439" s="297"/>
      <c r="S439" s="297"/>
      <c r="T439" s="298"/>
      <c r="U439" s="296"/>
      <c r="V439" s="296"/>
      <c r="W439" s="297"/>
      <c r="X439" s="297"/>
      <c r="Y439" s="297"/>
      <c r="Z439" s="297"/>
      <c r="AA439" s="299"/>
      <c r="AB439" s="296"/>
      <c r="AC439" s="296"/>
      <c r="AD439" s="297"/>
      <c r="AE439" s="297"/>
      <c r="AF439" s="297"/>
      <c r="AG439" s="297"/>
      <c r="AH439" s="295"/>
      <c r="AI439" s="293"/>
      <c r="AJ439" s="293"/>
      <c r="AK439" s="297"/>
      <c r="AL439" s="297"/>
      <c r="AM439" s="297"/>
      <c r="AN439" s="297"/>
      <c r="AO439" s="295"/>
      <c r="CS439" s="374">
        <v>109</v>
      </c>
      <c r="DI439" s="380"/>
    </row>
    <row r="440" spans="2:113" ht="13">
      <c r="B440" s="294"/>
      <c r="C440" s="295"/>
      <c r="D440" s="295"/>
      <c r="E440" s="294"/>
      <c r="F440" s="294"/>
      <c r="G440" s="295"/>
      <c r="H440" s="295"/>
      <c r="I440" s="295"/>
      <c r="J440" s="295"/>
      <c r="K440" s="295"/>
      <c r="L440" s="295"/>
      <c r="N440" s="296"/>
      <c r="O440" s="296"/>
      <c r="P440" s="297"/>
      <c r="Q440" s="297"/>
      <c r="R440" s="297"/>
      <c r="S440" s="297"/>
      <c r="T440" s="298"/>
      <c r="U440" s="296"/>
      <c r="V440" s="296"/>
      <c r="W440" s="297"/>
      <c r="X440" s="297"/>
      <c r="Y440" s="297"/>
      <c r="Z440" s="297"/>
      <c r="AA440" s="299"/>
      <c r="AB440" s="296"/>
      <c r="AC440" s="296"/>
      <c r="AD440" s="297"/>
      <c r="AE440" s="297"/>
      <c r="AF440" s="297"/>
      <c r="AG440" s="297"/>
      <c r="AH440" s="295"/>
      <c r="AI440" s="293"/>
      <c r="AJ440" s="293"/>
      <c r="AK440" s="297"/>
      <c r="AL440" s="297"/>
      <c r="AM440" s="297"/>
      <c r="AN440" s="297"/>
      <c r="AO440" s="295"/>
      <c r="CS440" s="374">
        <v>110</v>
      </c>
      <c r="DI440" s="380"/>
    </row>
    <row r="441" spans="2:113" ht="13">
      <c r="B441" s="294"/>
      <c r="C441" s="295"/>
      <c r="D441" s="295"/>
      <c r="E441" s="294"/>
      <c r="F441" s="294"/>
      <c r="G441" s="295"/>
      <c r="H441" s="295"/>
      <c r="I441" s="295"/>
      <c r="J441" s="295"/>
      <c r="K441" s="295"/>
      <c r="L441" s="295"/>
      <c r="N441" s="296"/>
      <c r="O441" s="296"/>
      <c r="P441" s="297"/>
      <c r="Q441" s="297"/>
      <c r="R441" s="297"/>
      <c r="S441" s="297"/>
      <c r="T441" s="298"/>
      <c r="U441" s="296"/>
      <c r="V441" s="296"/>
      <c r="W441" s="297"/>
      <c r="X441" s="297"/>
      <c r="Y441" s="297"/>
      <c r="Z441" s="297"/>
      <c r="AA441" s="299"/>
      <c r="AB441" s="296"/>
      <c r="AC441" s="296"/>
      <c r="AD441" s="297"/>
      <c r="AE441" s="297"/>
      <c r="AF441" s="297"/>
      <c r="AG441" s="297"/>
      <c r="AH441" s="295"/>
      <c r="AI441" s="293"/>
      <c r="AJ441" s="293"/>
      <c r="AK441" s="297"/>
      <c r="AL441" s="297"/>
      <c r="AM441" s="297"/>
      <c r="AN441" s="297"/>
      <c r="AO441" s="295"/>
      <c r="CS441" s="374">
        <v>111</v>
      </c>
      <c r="DI441" s="380"/>
    </row>
    <row r="442" spans="2:113" ht="13">
      <c r="B442" s="294"/>
      <c r="C442" s="295"/>
      <c r="D442" s="295"/>
      <c r="E442" s="294"/>
      <c r="F442" s="294"/>
      <c r="G442" s="295"/>
      <c r="H442" s="295"/>
      <c r="I442" s="295"/>
      <c r="J442" s="295"/>
      <c r="K442" s="295"/>
      <c r="L442" s="295"/>
      <c r="N442" s="296"/>
      <c r="O442" s="296"/>
      <c r="P442" s="297"/>
      <c r="Q442" s="297"/>
      <c r="R442" s="297"/>
      <c r="S442" s="297"/>
      <c r="T442" s="298"/>
      <c r="U442" s="296"/>
      <c r="V442" s="296"/>
      <c r="W442" s="297"/>
      <c r="X442" s="297"/>
      <c r="Y442" s="297"/>
      <c r="Z442" s="297"/>
      <c r="AA442" s="299"/>
      <c r="AB442" s="296"/>
      <c r="AC442" s="296"/>
      <c r="AD442" s="297"/>
      <c r="AE442" s="297"/>
      <c r="AF442" s="297"/>
      <c r="AG442" s="297"/>
      <c r="AH442" s="295"/>
      <c r="AI442" s="293"/>
      <c r="AJ442" s="293"/>
      <c r="AK442" s="297"/>
      <c r="AL442" s="297"/>
      <c r="AM442" s="297"/>
      <c r="AN442" s="297"/>
      <c r="AO442" s="295"/>
      <c r="CS442" s="374">
        <v>112</v>
      </c>
      <c r="DI442" s="380"/>
    </row>
    <row r="443" spans="2:113" ht="13">
      <c r="B443" s="294"/>
      <c r="C443" s="295"/>
      <c r="D443" s="295"/>
      <c r="E443" s="294"/>
      <c r="F443" s="294"/>
      <c r="G443" s="295"/>
      <c r="H443" s="295"/>
      <c r="I443" s="295"/>
      <c r="J443" s="295"/>
      <c r="K443" s="295"/>
      <c r="L443" s="295"/>
      <c r="N443" s="296"/>
      <c r="O443" s="296"/>
      <c r="P443" s="297"/>
      <c r="Q443" s="297"/>
      <c r="R443" s="297"/>
      <c r="S443" s="297"/>
      <c r="T443" s="298"/>
      <c r="U443" s="296"/>
      <c r="V443" s="296"/>
      <c r="W443" s="297"/>
      <c r="X443" s="297"/>
      <c r="Y443" s="297"/>
      <c r="Z443" s="297"/>
      <c r="AA443" s="299"/>
      <c r="AB443" s="296"/>
      <c r="AC443" s="296"/>
      <c r="AD443" s="297"/>
      <c r="AE443" s="297"/>
      <c r="AF443" s="297"/>
      <c r="AG443" s="297"/>
      <c r="AH443" s="295"/>
      <c r="AI443" s="293"/>
      <c r="AJ443" s="293"/>
      <c r="AK443" s="297"/>
      <c r="AL443" s="297"/>
      <c r="AM443" s="297"/>
      <c r="AN443" s="297"/>
      <c r="AO443" s="295"/>
      <c r="CS443" s="374">
        <v>113</v>
      </c>
      <c r="DI443" s="380"/>
    </row>
    <row r="444" spans="2:113" ht="13">
      <c r="B444" s="294"/>
      <c r="C444" s="295"/>
      <c r="D444" s="295"/>
      <c r="E444" s="294"/>
      <c r="F444" s="294"/>
      <c r="G444" s="295"/>
      <c r="H444" s="295"/>
      <c r="I444" s="295"/>
      <c r="J444" s="295"/>
      <c r="K444" s="295"/>
      <c r="L444" s="295"/>
      <c r="N444" s="296"/>
      <c r="O444" s="296"/>
      <c r="P444" s="297"/>
      <c r="Q444" s="297"/>
      <c r="R444" s="297"/>
      <c r="S444" s="297"/>
      <c r="T444" s="298"/>
      <c r="U444" s="296"/>
      <c r="V444" s="296"/>
      <c r="W444" s="297"/>
      <c r="X444" s="297"/>
      <c r="Y444" s="297"/>
      <c r="Z444" s="297"/>
      <c r="AA444" s="299"/>
      <c r="AB444" s="296"/>
      <c r="AC444" s="296"/>
      <c r="AD444" s="297"/>
      <c r="AE444" s="297"/>
      <c r="AF444" s="297"/>
      <c r="AG444" s="297"/>
      <c r="AH444" s="295"/>
      <c r="AI444" s="293"/>
      <c r="AJ444" s="293"/>
      <c r="AK444" s="297"/>
      <c r="AL444" s="297"/>
      <c r="AM444" s="297"/>
      <c r="AN444" s="297"/>
      <c r="AO444" s="295"/>
      <c r="CS444" s="374">
        <v>114</v>
      </c>
      <c r="DI444" s="380"/>
    </row>
    <row r="445" spans="2:113" ht="13">
      <c r="B445" s="294"/>
      <c r="C445" s="295"/>
      <c r="D445" s="295"/>
      <c r="E445" s="294"/>
      <c r="F445" s="294"/>
      <c r="G445" s="295"/>
      <c r="H445" s="295"/>
      <c r="I445" s="295"/>
      <c r="J445" s="295"/>
      <c r="K445" s="295"/>
      <c r="L445" s="295"/>
      <c r="N445" s="296"/>
      <c r="O445" s="296"/>
      <c r="P445" s="297"/>
      <c r="Q445" s="297"/>
      <c r="R445" s="297"/>
      <c r="S445" s="297"/>
      <c r="T445" s="298"/>
      <c r="U445" s="296"/>
      <c r="V445" s="296"/>
      <c r="W445" s="297"/>
      <c r="X445" s="297"/>
      <c r="Y445" s="297"/>
      <c r="Z445" s="297"/>
      <c r="AA445" s="299"/>
      <c r="AB445" s="296"/>
      <c r="AC445" s="296"/>
      <c r="AD445" s="297"/>
      <c r="AE445" s="297"/>
      <c r="AF445" s="297"/>
      <c r="AG445" s="297"/>
      <c r="AH445" s="295"/>
      <c r="AI445" s="293"/>
      <c r="AJ445" s="293"/>
      <c r="AK445" s="297"/>
      <c r="AL445" s="297"/>
      <c r="AM445" s="297"/>
      <c r="AN445" s="297"/>
      <c r="AO445" s="295"/>
      <c r="CS445" s="374">
        <v>115</v>
      </c>
      <c r="DI445" s="380"/>
    </row>
    <row r="446" spans="2:113" ht="13">
      <c r="B446" s="294"/>
      <c r="C446" s="295"/>
      <c r="D446" s="295"/>
      <c r="E446" s="294"/>
      <c r="F446" s="294"/>
      <c r="G446" s="295"/>
      <c r="H446" s="295"/>
      <c r="I446" s="295"/>
      <c r="J446" s="295"/>
      <c r="K446" s="295"/>
      <c r="L446" s="295"/>
      <c r="N446" s="296"/>
      <c r="O446" s="296"/>
      <c r="P446" s="297"/>
      <c r="Q446" s="297"/>
      <c r="R446" s="297"/>
      <c r="S446" s="297"/>
      <c r="T446" s="298"/>
      <c r="U446" s="296"/>
      <c r="V446" s="296"/>
      <c r="W446" s="297"/>
      <c r="X446" s="297"/>
      <c r="Y446" s="297"/>
      <c r="Z446" s="297"/>
      <c r="AA446" s="299"/>
      <c r="AB446" s="296"/>
      <c r="AC446" s="296"/>
      <c r="AD446" s="297"/>
      <c r="AE446" s="297"/>
      <c r="AF446" s="297"/>
      <c r="AG446" s="297"/>
      <c r="AH446" s="295"/>
      <c r="AI446" s="293"/>
      <c r="AJ446" s="293"/>
      <c r="AK446" s="297"/>
      <c r="AL446" s="297"/>
      <c r="AM446" s="297"/>
      <c r="AN446" s="297"/>
      <c r="AO446" s="295"/>
      <c r="CS446" s="374">
        <v>116</v>
      </c>
      <c r="DI446" s="380"/>
    </row>
    <row r="447" spans="2:113" ht="13">
      <c r="B447" s="294"/>
      <c r="C447" s="295"/>
      <c r="D447" s="295"/>
      <c r="E447" s="294"/>
      <c r="F447" s="294"/>
      <c r="G447" s="295"/>
      <c r="H447" s="295"/>
      <c r="I447" s="295"/>
      <c r="J447" s="295"/>
      <c r="K447" s="295"/>
      <c r="L447" s="295"/>
      <c r="N447" s="296"/>
      <c r="O447" s="296"/>
      <c r="P447" s="297"/>
      <c r="Q447" s="297"/>
      <c r="R447" s="297"/>
      <c r="S447" s="297"/>
      <c r="T447" s="298"/>
      <c r="U447" s="296"/>
      <c r="V447" s="296"/>
      <c r="W447" s="297"/>
      <c r="X447" s="297"/>
      <c r="Y447" s="297"/>
      <c r="Z447" s="297"/>
      <c r="AA447" s="299"/>
      <c r="AB447" s="296"/>
      <c r="AC447" s="296"/>
      <c r="AD447" s="297"/>
      <c r="AE447" s="297"/>
      <c r="AF447" s="297"/>
      <c r="AG447" s="297"/>
      <c r="AH447" s="295"/>
      <c r="AI447" s="293"/>
      <c r="AJ447" s="293"/>
      <c r="AK447" s="297"/>
      <c r="AL447" s="297"/>
      <c r="AM447" s="297"/>
      <c r="AN447" s="297"/>
      <c r="AO447" s="295"/>
      <c r="CS447" s="374">
        <v>117</v>
      </c>
      <c r="DI447" s="380"/>
    </row>
    <row r="448" spans="2:113" ht="13">
      <c r="B448" s="294"/>
      <c r="C448" s="295"/>
      <c r="D448" s="295"/>
      <c r="E448" s="294"/>
      <c r="F448" s="294"/>
      <c r="G448" s="295"/>
      <c r="H448" s="295"/>
      <c r="I448" s="295"/>
      <c r="J448" s="295"/>
      <c r="K448" s="295"/>
      <c r="L448" s="295"/>
      <c r="N448" s="296"/>
      <c r="O448" s="296"/>
      <c r="P448" s="297"/>
      <c r="Q448" s="297"/>
      <c r="R448" s="297"/>
      <c r="S448" s="297"/>
      <c r="T448" s="298"/>
      <c r="U448" s="296"/>
      <c r="V448" s="296"/>
      <c r="W448" s="297"/>
      <c r="X448" s="297"/>
      <c r="Y448" s="297"/>
      <c r="Z448" s="297"/>
      <c r="AA448" s="299"/>
      <c r="AB448" s="296"/>
      <c r="AC448" s="296"/>
      <c r="AD448" s="297"/>
      <c r="AE448" s="297"/>
      <c r="AF448" s="297"/>
      <c r="AG448" s="297"/>
      <c r="AH448" s="295"/>
      <c r="AI448" s="293"/>
      <c r="AJ448" s="293"/>
      <c r="AK448" s="297"/>
      <c r="AL448" s="297"/>
      <c r="AM448" s="297"/>
      <c r="AN448" s="297"/>
      <c r="AO448" s="295"/>
      <c r="CS448" s="374">
        <v>118</v>
      </c>
      <c r="DI448" s="380"/>
    </row>
    <row r="449" spans="2:113" ht="13">
      <c r="B449" s="294"/>
      <c r="C449" s="295"/>
      <c r="D449" s="295"/>
      <c r="E449" s="294"/>
      <c r="F449" s="294"/>
      <c r="G449" s="295"/>
      <c r="H449" s="295"/>
      <c r="I449" s="295"/>
      <c r="J449" s="295"/>
      <c r="K449" s="295"/>
      <c r="L449" s="295"/>
      <c r="N449" s="296"/>
      <c r="O449" s="296"/>
      <c r="P449" s="297"/>
      <c r="Q449" s="297"/>
      <c r="R449" s="297"/>
      <c r="S449" s="297"/>
      <c r="T449" s="298"/>
      <c r="U449" s="296"/>
      <c r="V449" s="296"/>
      <c r="W449" s="297"/>
      <c r="X449" s="297"/>
      <c r="Y449" s="297"/>
      <c r="Z449" s="297"/>
      <c r="AA449" s="299"/>
      <c r="AB449" s="296"/>
      <c r="AC449" s="296"/>
      <c r="AD449" s="297"/>
      <c r="AE449" s="297"/>
      <c r="AF449" s="297"/>
      <c r="AG449" s="297"/>
      <c r="AH449" s="295"/>
      <c r="AI449" s="293"/>
      <c r="AJ449" s="293"/>
      <c r="AK449" s="297"/>
      <c r="AL449" s="297"/>
      <c r="AM449" s="297"/>
      <c r="AN449" s="297"/>
      <c r="AO449" s="295"/>
      <c r="CS449" s="374">
        <v>119</v>
      </c>
      <c r="DI449" s="380"/>
    </row>
    <row r="450" spans="2:113" ht="13">
      <c r="B450" s="294"/>
      <c r="C450" s="295"/>
      <c r="D450" s="295"/>
      <c r="E450" s="294"/>
      <c r="F450" s="294"/>
      <c r="G450" s="295"/>
      <c r="H450" s="295"/>
      <c r="I450" s="295"/>
      <c r="J450" s="295"/>
      <c r="K450" s="295"/>
      <c r="L450" s="295"/>
      <c r="N450" s="296"/>
      <c r="O450" s="296"/>
      <c r="P450" s="297"/>
      <c r="Q450" s="297"/>
      <c r="R450" s="297"/>
      <c r="S450" s="297"/>
      <c r="T450" s="298"/>
      <c r="U450" s="296"/>
      <c r="V450" s="296"/>
      <c r="W450" s="297"/>
      <c r="X450" s="297"/>
      <c r="Y450" s="297"/>
      <c r="Z450" s="297"/>
      <c r="AA450" s="299"/>
      <c r="AB450" s="296"/>
      <c r="AC450" s="296"/>
      <c r="AD450" s="297"/>
      <c r="AE450" s="297"/>
      <c r="AF450" s="297"/>
      <c r="AG450" s="297"/>
      <c r="AH450" s="295"/>
      <c r="AI450" s="293"/>
      <c r="AJ450" s="293"/>
      <c r="AK450" s="297"/>
      <c r="AL450" s="297"/>
      <c r="AM450" s="297"/>
      <c r="AN450" s="297"/>
      <c r="AO450" s="295"/>
      <c r="CS450" s="374">
        <v>120</v>
      </c>
      <c r="DI450" s="380"/>
    </row>
    <row r="451" spans="2:113" ht="13">
      <c r="B451" s="294"/>
      <c r="C451" s="295"/>
      <c r="D451" s="295"/>
      <c r="E451" s="294"/>
      <c r="F451" s="294"/>
      <c r="G451" s="295"/>
      <c r="H451" s="295"/>
      <c r="I451" s="295"/>
      <c r="J451" s="295"/>
      <c r="K451" s="295"/>
      <c r="L451" s="295"/>
      <c r="N451" s="296"/>
      <c r="O451" s="296"/>
      <c r="P451" s="297"/>
      <c r="Q451" s="297"/>
      <c r="R451" s="297"/>
      <c r="S451" s="297"/>
      <c r="T451" s="298"/>
      <c r="U451" s="296"/>
      <c r="V451" s="296"/>
      <c r="W451" s="297"/>
      <c r="X451" s="297"/>
      <c r="Y451" s="297"/>
      <c r="Z451" s="297"/>
      <c r="AA451" s="299"/>
      <c r="AB451" s="296"/>
      <c r="AC451" s="296"/>
      <c r="AD451" s="297"/>
      <c r="AE451" s="297"/>
      <c r="AF451" s="297"/>
      <c r="AG451" s="297"/>
      <c r="AH451" s="295"/>
      <c r="AI451" s="293"/>
      <c r="AJ451" s="293"/>
      <c r="AK451" s="297"/>
      <c r="AL451" s="297"/>
      <c r="AM451" s="297"/>
      <c r="AN451" s="297"/>
      <c r="AO451" s="295"/>
      <c r="CS451" s="374">
        <v>121</v>
      </c>
      <c r="DI451" s="380"/>
    </row>
    <row r="452" spans="2:113" ht="13">
      <c r="B452" s="294"/>
      <c r="C452" s="295"/>
      <c r="D452" s="295"/>
      <c r="E452" s="294"/>
      <c r="F452" s="294"/>
      <c r="G452" s="295"/>
      <c r="H452" s="295"/>
      <c r="I452" s="295"/>
      <c r="J452" s="295"/>
      <c r="K452" s="295"/>
      <c r="L452" s="295"/>
      <c r="N452" s="296"/>
      <c r="O452" s="296"/>
      <c r="P452" s="297"/>
      <c r="Q452" s="297"/>
      <c r="R452" s="297"/>
      <c r="S452" s="297"/>
      <c r="T452" s="298"/>
      <c r="U452" s="296"/>
      <c r="V452" s="296"/>
      <c r="W452" s="297"/>
      <c r="X452" s="297"/>
      <c r="Y452" s="297"/>
      <c r="Z452" s="297"/>
      <c r="AA452" s="299"/>
      <c r="AB452" s="296"/>
      <c r="AC452" s="296"/>
      <c r="AD452" s="297"/>
      <c r="AE452" s="297"/>
      <c r="AF452" s="297"/>
      <c r="AG452" s="297"/>
      <c r="AH452" s="295"/>
      <c r="AI452" s="293"/>
      <c r="AJ452" s="293"/>
      <c r="AK452" s="297"/>
      <c r="AL452" s="297"/>
      <c r="AM452" s="297"/>
      <c r="AN452" s="297"/>
      <c r="AO452" s="295"/>
      <c r="CS452" s="374">
        <v>122</v>
      </c>
      <c r="DI452" s="380"/>
    </row>
    <row r="453" spans="2:113" ht="13">
      <c r="B453" s="294"/>
      <c r="C453" s="295"/>
      <c r="D453" s="295"/>
      <c r="E453" s="294"/>
      <c r="F453" s="294"/>
      <c r="G453" s="295"/>
      <c r="H453" s="295"/>
      <c r="I453" s="295"/>
      <c r="J453" s="295"/>
      <c r="K453" s="295"/>
      <c r="L453" s="295"/>
      <c r="N453" s="296"/>
      <c r="O453" s="296"/>
      <c r="P453" s="297"/>
      <c r="Q453" s="297"/>
      <c r="R453" s="297"/>
      <c r="S453" s="297"/>
      <c r="T453" s="298"/>
      <c r="U453" s="296"/>
      <c r="V453" s="296"/>
      <c r="W453" s="297"/>
      <c r="X453" s="297"/>
      <c r="Y453" s="297"/>
      <c r="Z453" s="297"/>
      <c r="AA453" s="299"/>
      <c r="AB453" s="296"/>
      <c r="AC453" s="296"/>
      <c r="AD453" s="297"/>
      <c r="AE453" s="297"/>
      <c r="AF453" s="297"/>
      <c r="AG453" s="297"/>
      <c r="AH453" s="295"/>
      <c r="AI453" s="293"/>
      <c r="AJ453" s="293"/>
      <c r="AK453" s="297"/>
      <c r="AL453" s="297"/>
      <c r="AM453" s="297"/>
      <c r="AN453" s="297"/>
      <c r="AO453" s="295"/>
      <c r="CS453" s="374">
        <v>123</v>
      </c>
      <c r="DI453" s="380"/>
    </row>
    <row r="454" spans="2:113" ht="13">
      <c r="B454" s="294"/>
      <c r="C454" s="295"/>
      <c r="D454" s="295"/>
      <c r="E454" s="294"/>
      <c r="F454" s="294"/>
      <c r="G454" s="295"/>
      <c r="H454" s="295"/>
      <c r="I454" s="295"/>
      <c r="J454" s="295"/>
      <c r="K454" s="295"/>
      <c r="L454" s="295"/>
      <c r="N454" s="296"/>
      <c r="O454" s="296"/>
      <c r="P454" s="297"/>
      <c r="Q454" s="297"/>
      <c r="R454" s="297"/>
      <c r="S454" s="297"/>
      <c r="T454" s="298"/>
      <c r="U454" s="296"/>
      <c r="V454" s="296"/>
      <c r="W454" s="297"/>
      <c r="X454" s="297"/>
      <c r="Y454" s="297"/>
      <c r="Z454" s="297"/>
      <c r="AA454" s="299"/>
      <c r="AB454" s="296"/>
      <c r="AC454" s="296"/>
      <c r="AD454" s="297"/>
      <c r="AE454" s="297"/>
      <c r="AF454" s="297"/>
      <c r="AG454" s="297"/>
      <c r="AH454" s="295"/>
      <c r="AI454" s="293"/>
      <c r="AJ454" s="293"/>
      <c r="AK454" s="297"/>
      <c r="AL454" s="297"/>
      <c r="AM454" s="297"/>
      <c r="AN454" s="297"/>
      <c r="AO454" s="295"/>
      <c r="CS454" s="374">
        <v>124</v>
      </c>
      <c r="DI454" s="380"/>
    </row>
    <row r="455" spans="2:113" ht="13">
      <c r="B455" s="294"/>
      <c r="C455" s="295"/>
      <c r="D455" s="295"/>
      <c r="E455" s="294"/>
      <c r="F455" s="294"/>
      <c r="G455" s="295"/>
      <c r="H455" s="295"/>
      <c r="I455" s="295"/>
      <c r="J455" s="295"/>
      <c r="K455" s="295"/>
      <c r="L455" s="295"/>
      <c r="N455" s="296"/>
      <c r="O455" s="296"/>
      <c r="P455" s="297"/>
      <c r="Q455" s="297"/>
      <c r="R455" s="297"/>
      <c r="S455" s="297"/>
      <c r="T455" s="298"/>
      <c r="U455" s="296"/>
      <c r="V455" s="296"/>
      <c r="W455" s="297"/>
      <c r="X455" s="297"/>
      <c r="Y455" s="297"/>
      <c r="Z455" s="297"/>
      <c r="AA455" s="299"/>
      <c r="AB455" s="296"/>
      <c r="AC455" s="296"/>
      <c r="AD455" s="297"/>
      <c r="AE455" s="297"/>
      <c r="AF455" s="297"/>
      <c r="AG455" s="297"/>
      <c r="AH455" s="295"/>
      <c r="AI455" s="293"/>
      <c r="AJ455" s="293"/>
      <c r="AK455" s="297"/>
      <c r="AL455" s="297"/>
      <c r="AM455" s="297"/>
      <c r="AN455" s="297"/>
      <c r="AO455" s="295"/>
      <c r="CS455" s="374">
        <v>125</v>
      </c>
      <c r="DI455" s="380"/>
    </row>
    <row r="456" spans="2:113" ht="13">
      <c r="B456" s="294"/>
      <c r="C456" s="295"/>
      <c r="D456" s="295"/>
      <c r="E456" s="294"/>
      <c r="F456" s="294"/>
      <c r="G456" s="295"/>
      <c r="H456" s="295"/>
      <c r="I456" s="295"/>
      <c r="J456" s="295"/>
      <c r="K456" s="295"/>
      <c r="L456" s="295"/>
      <c r="N456" s="296"/>
      <c r="O456" s="296"/>
      <c r="P456" s="297"/>
      <c r="Q456" s="297"/>
      <c r="R456" s="297"/>
      <c r="S456" s="297"/>
      <c r="T456" s="298"/>
      <c r="U456" s="296"/>
      <c r="V456" s="296"/>
      <c r="W456" s="297"/>
      <c r="X456" s="297"/>
      <c r="Y456" s="297"/>
      <c r="Z456" s="297"/>
      <c r="AA456" s="299"/>
      <c r="AB456" s="296"/>
      <c r="AC456" s="296"/>
      <c r="AD456" s="297"/>
      <c r="AE456" s="297"/>
      <c r="AF456" s="297"/>
      <c r="AG456" s="297"/>
      <c r="AH456" s="295"/>
      <c r="AI456" s="293"/>
      <c r="AJ456" s="293"/>
      <c r="AK456" s="297"/>
      <c r="AL456" s="297"/>
      <c r="AM456" s="297"/>
      <c r="AN456" s="297"/>
      <c r="AO456" s="295"/>
      <c r="CS456" s="374">
        <v>126</v>
      </c>
      <c r="DI456" s="380"/>
    </row>
    <row r="457" spans="2:113" ht="13">
      <c r="B457" s="294"/>
      <c r="C457" s="295"/>
      <c r="D457" s="295"/>
      <c r="E457" s="294"/>
      <c r="F457" s="294"/>
      <c r="G457" s="295"/>
      <c r="H457" s="295"/>
      <c r="I457" s="295"/>
      <c r="J457" s="295"/>
      <c r="K457" s="295"/>
      <c r="L457" s="295"/>
      <c r="N457" s="296"/>
      <c r="O457" s="296"/>
      <c r="P457" s="297"/>
      <c r="Q457" s="297"/>
      <c r="R457" s="297"/>
      <c r="S457" s="297"/>
      <c r="T457" s="298"/>
      <c r="U457" s="296"/>
      <c r="V457" s="296"/>
      <c r="W457" s="297"/>
      <c r="X457" s="297"/>
      <c r="Y457" s="297"/>
      <c r="Z457" s="297"/>
      <c r="AA457" s="299"/>
      <c r="AB457" s="296"/>
      <c r="AC457" s="296"/>
      <c r="AD457" s="297"/>
      <c r="AE457" s="297"/>
      <c r="AF457" s="297"/>
      <c r="AG457" s="297"/>
      <c r="AH457" s="295"/>
      <c r="AI457" s="293"/>
      <c r="AJ457" s="293"/>
      <c r="AK457" s="297"/>
      <c r="AL457" s="297"/>
      <c r="AM457" s="297"/>
      <c r="AN457" s="297"/>
      <c r="AO457" s="295"/>
      <c r="CS457" s="374">
        <v>127</v>
      </c>
      <c r="DI457" s="380"/>
    </row>
    <row r="458" spans="2:113" ht="13">
      <c r="B458" s="294"/>
      <c r="C458" s="295"/>
      <c r="D458" s="295"/>
      <c r="E458" s="294"/>
      <c r="F458" s="294"/>
      <c r="G458" s="295"/>
      <c r="H458" s="295"/>
      <c r="I458" s="295"/>
      <c r="J458" s="295"/>
      <c r="K458" s="295"/>
      <c r="L458" s="295"/>
      <c r="N458" s="296"/>
      <c r="O458" s="296"/>
      <c r="P458" s="297"/>
      <c r="Q458" s="297"/>
      <c r="R458" s="297"/>
      <c r="S458" s="297"/>
      <c r="T458" s="298"/>
      <c r="U458" s="296"/>
      <c r="V458" s="296"/>
      <c r="W458" s="297"/>
      <c r="X458" s="297"/>
      <c r="Y458" s="297"/>
      <c r="Z458" s="297"/>
      <c r="AA458" s="299"/>
      <c r="AB458" s="296"/>
      <c r="AC458" s="296"/>
      <c r="AD458" s="297"/>
      <c r="AE458" s="297"/>
      <c r="AF458" s="297"/>
      <c r="AG458" s="297"/>
      <c r="AH458" s="295"/>
      <c r="AI458" s="293"/>
      <c r="AJ458" s="293"/>
      <c r="AK458" s="297"/>
      <c r="AL458" s="297"/>
      <c r="AM458" s="297"/>
      <c r="AN458" s="297"/>
      <c r="AO458" s="295"/>
      <c r="CS458" s="374">
        <v>128</v>
      </c>
      <c r="DI458" s="380"/>
    </row>
    <row r="459" spans="2:113" ht="13">
      <c r="B459" s="294"/>
      <c r="C459" s="295"/>
      <c r="D459" s="295"/>
      <c r="E459" s="294"/>
      <c r="F459" s="294"/>
      <c r="G459" s="295"/>
      <c r="H459" s="295"/>
      <c r="I459" s="295"/>
      <c r="J459" s="295"/>
      <c r="K459" s="295"/>
      <c r="L459" s="295"/>
      <c r="N459" s="296"/>
      <c r="O459" s="296"/>
      <c r="P459" s="297"/>
      <c r="Q459" s="297"/>
      <c r="R459" s="297"/>
      <c r="S459" s="297"/>
      <c r="T459" s="298"/>
      <c r="U459" s="296"/>
      <c r="V459" s="296"/>
      <c r="W459" s="297"/>
      <c r="X459" s="297"/>
      <c r="Y459" s="297"/>
      <c r="Z459" s="297"/>
      <c r="AA459" s="299"/>
      <c r="AB459" s="296"/>
      <c r="AC459" s="296"/>
      <c r="AD459" s="297"/>
      <c r="AE459" s="297"/>
      <c r="AF459" s="297"/>
      <c r="AG459" s="297"/>
      <c r="AH459" s="295"/>
      <c r="AI459" s="293"/>
      <c r="AJ459" s="293"/>
      <c r="AK459" s="297"/>
      <c r="AL459" s="297"/>
      <c r="AM459" s="297"/>
      <c r="AN459" s="297"/>
      <c r="AO459" s="295"/>
      <c r="CS459" s="374">
        <v>129</v>
      </c>
      <c r="DI459" s="380"/>
    </row>
    <row r="460" spans="2:113" ht="13">
      <c r="B460" s="294"/>
      <c r="C460" s="295"/>
      <c r="D460" s="295"/>
      <c r="E460" s="294"/>
      <c r="F460" s="294"/>
      <c r="G460" s="295"/>
      <c r="H460" s="295"/>
      <c r="I460" s="295"/>
      <c r="J460" s="295"/>
      <c r="K460" s="295"/>
      <c r="L460" s="295"/>
      <c r="N460" s="296"/>
      <c r="O460" s="296"/>
      <c r="P460" s="297"/>
      <c r="Q460" s="297"/>
      <c r="R460" s="297"/>
      <c r="S460" s="297"/>
      <c r="T460" s="298"/>
      <c r="U460" s="296"/>
      <c r="V460" s="296"/>
      <c r="W460" s="297"/>
      <c r="X460" s="297"/>
      <c r="Y460" s="297"/>
      <c r="Z460" s="297"/>
      <c r="AA460" s="299"/>
      <c r="AB460" s="296"/>
      <c r="AC460" s="296"/>
      <c r="AD460" s="297"/>
      <c r="AE460" s="297"/>
      <c r="AF460" s="297"/>
      <c r="AG460" s="297"/>
      <c r="AH460" s="295"/>
      <c r="AI460" s="293"/>
      <c r="AJ460" s="293"/>
      <c r="AK460" s="297"/>
      <c r="AL460" s="297"/>
      <c r="AM460" s="297"/>
      <c r="AN460" s="297"/>
      <c r="AO460" s="295"/>
      <c r="CS460" s="374">
        <v>130</v>
      </c>
      <c r="DI460" s="380"/>
    </row>
    <row r="461" spans="2:113" ht="13">
      <c r="B461" s="294"/>
      <c r="C461" s="295"/>
      <c r="D461" s="295"/>
      <c r="E461" s="294"/>
      <c r="F461" s="294"/>
      <c r="G461" s="295"/>
      <c r="H461" s="295"/>
      <c r="I461" s="295"/>
      <c r="J461" s="295"/>
      <c r="K461" s="295"/>
      <c r="L461" s="295"/>
      <c r="N461" s="296"/>
      <c r="O461" s="296"/>
      <c r="P461" s="297"/>
      <c r="Q461" s="297"/>
      <c r="R461" s="297"/>
      <c r="S461" s="297"/>
      <c r="T461" s="298"/>
      <c r="U461" s="296"/>
      <c r="V461" s="296"/>
      <c r="W461" s="297"/>
      <c r="X461" s="297"/>
      <c r="Y461" s="297"/>
      <c r="Z461" s="297"/>
      <c r="AA461" s="299"/>
      <c r="AB461" s="296"/>
      <c r="AC461" s="296"/>
      <c r="AD461" s="297"/>
      <c r="AE461" s="297"/>
      <c r="AF461" s="297"/>
      <c r="AG461" s="297"/>
      <c r="AH461" s="295"/>
      <c r="AI461" s="293"/>
      <c r="AJ461" s="293"/>
      <c r="AK461" s="297"/>
      <c r="AL461" s="297"/>
      <c r="AM461" s="297"/>
      <c r="AN461" s="297"/>
      <c r="AO461" s="295"/>
      <c r="CS461" s="374">
        <v>131</v>
      </c>
      <c r="DI461" s="380"/>
    </row>
    <row r="462" spans="2:113" ht="13">
      <c r="B462" s="294"/>
      <c r="C462" s="295"/>
      <c r="D462" s="295"/>
      <c r="E462" s="294"/>
      <c r="F462" s="294"/>
      <c r="G462" s="295"/>
      <c r="H462" s="295"/>
      <c r="I462" s="295"/>
      <c r="J462" s="295"/>
      <c r="K462" s="295"/>
      <c r="L462" s="295"/>
      <c r="N462" s="296"/>
      <c r="O462" s="296"/>
      <c r="P462" s="297"/>
      <c r="Q462" s="297"/>
      <c r="R462" s="297"/>
      <c r="S462" s="297"/>
      <c r="T462" s="298"/>
      <c r="U462" s="296"/>
      <c r="V462" s="296"/>
      <c r="W462" s="297"/>
      <c r="X462" s="297"/>
      <c r="Y462" s="297"/>
      <c r="Z462" s="297"/>
      <c r="AA462" s="299"/>
      <c r="AB462" s="296"/>
      <c r="AC462" s="296"/>
      <c r="AD462" s="297"/>
      <c r="AE462" s="297"/>
      <c r="AF462" s="297"/>
      <c r="AG462" s="297"/>
      <c r="AH462" s="295"/>
      <c r="AI462" s="293"/>
      <c r="AJ462" s="293"/>
      <c r="AK462" s="297"/>
      <c r="AL462" s="297"/>
      <c r="AM462" s="297"/>
      <c r="AN462" s="297"/>
      <c r="AO462" s="295"/>
      <c r="CS462" s="374">
        <v>132</v>
      </c>
      <c r="DI462" s="380"/>
    </row>
    <row r="463" spans="2:113" ht="13">
      <c r="B463" s="294"/>
      <c r="C463" s="295"/>
      <c r="D463" s="295"/>
      <c r="E463" s="294"/>
      <c r="F463" s="294"/>
      <c r="G463" s="295"/>
      <c r="H463" s="295"/>
      <c r="I463" s="295"/>
      <c r="J463" s="295"/>
      <c r="K463" s="295"/>
      <c r="L463" s="295"/>
      <c r="N463" s="296"/>
      <c r="O463" s="296"/>
      <c r="P463" s="297"/>
      <c r="Q463" s="297"/>
      <c r="R463" s="297"/>
      <c r="S463" s="297"/>
      <c r="T463" s="298"/>
      <c r="U463" s="296"/>
      <c r="V463" s="296"/>
      <c r="W463" s="297"/>
      <c r="X463" s="297"/>
      <c r="Y463" s="297"/>
      <c r="Z463" s="297"/>
      <c r="AA463" s="299"/>
      <c r="AB463" s="296"/>
      <c r="AC463" s="296"/>
      <c r="AD463" s="297"/>
      <c r="AE463" s="297"/>
      <c r="AF463" s="297"/>
      <c r="AG463" s="297"/>
      <c r="AH463" s="295"/>
      <c r="AI463" s="293"/>
      <c r="AJ463" s="293"/>
      <c r="AK463" s="297"/>
      <c r="AL463" s="297"/>
      <c r="AM463" s="297"/>
      <c r="AN463" s="297"/>
      <c r="AO463" s="295"/>
      <c r="CS463" s="374">
        <v>133</v>
      </c>
      <c r="DI463" s="380"/>
    </row>
    <row r="464" spans="2:113" ht="13">
      <c r="B464" s="294"/>
      <c r="C464" s="295"/>
      <c r="D464" s="295"/>
      <c r="E464" s="294"/>
      <c r="F464" s="294"/>
      <c r="G464" s="295"/>
      <c r="H464" s="295"/>
      <c r="I464" s="295"/>
      <c r="J464" s="295"/>
      <c r="K464" s="295"/>
      <c r="L464" s="295"/>
      <c r="N464" s="296"/>
      <c r="O464" s="296"/>
      <c r="P464" s="297"/>
      <c r="Q464" s="297"/>
      <c r="R464" s="297"/>
      <c r="S464" s="297"/>
      <c r="T464" s="298"/>
      <c r="U464" s="296"/>
      <c r="V464" s="296"/>
      <c r="W464" s="297"/>
      <c r="X464" s="297"/>
      <c r="Y464" s="297"/>
      <c r="Z464" s="297"/>
      <c r="AA464" s="299"/>
      <c r="AB464" s="296"/>
      <c r="AC464" s="296"/>
      <c r="AD464" s="297"/>
      <c r="AE464" s="297"/>
      <c r="AF464" s="297"/>
      <c r="AG464" s="297"/>
      <c r="AH464" s="295"/>
      <c r="AI464" s="293"/>
      <c r="AJ464" s="293"/>
      <c r="AK464" s="297"/>
      <c r="AL464" s="297"/>
      <c r="AM464" s="297"/>
      <c r="AN464" s="297"/>
      <c r="AO464" s="295"/>
      <c r="CS464" s="374">
        <v>134</v>
      </c>
      <c r="DI464" s="380"/>
    </row>
    <row r="465" spans="2:113" ht="13">
      <c r="B465" s="294"/>
      <c r="C465" s="295"/>
      <c r="D465" s="295"/>
      <c r="E465" s="294"/>
      <c r="F465" s="294"/>
      <c r="G465" s="295"/>
      <c r="H465" s="295"/>
      <c r="I465" s="295"/>
      <c r="J465" s="295"/>
      <c r="K465" s="295"/>
      <c r="L465" s="295"/>
      <c r="N465" s="296"/>
      <c r="O465" s="296"/>
      <c r="P465" s="297"/>
      <c r="Q465" s="297"/>
      <c r="R465" s="297"/>
      <c r="S465" s="297"/>
      <c r="T465" s="298"/>
      <c r="U465" s="296"/>
      <c r="V465" s="296"/>
      <c r="W465" s="297"/>
      <c r="X465" s="297"/>
      <c r="Y465" s="297"/>
      <c r="Z465" s="297"/>
      <c r="AA465" s="299"/>
      <c r="AB465" s="296"/>
      <c r="AC465" s="296"/>
      <c r="AD465" s="297"/>
      <c r="AE465" s="297"/>
      <c r="AF465" s="297"/>
      <c r="AG465" s="297"/>
      <c r="AH465" s="295"/>
      <c r="AI465" s="293"/>
      <c r="AJ465" s="293"/>
      <c r="AK465" s="297"/>
      <c r="AL465" s="297"/>
      <c r="AM465" s="297"/>
      <c r="AN465" s="297"/>
      <c r="AO465" s="295"/>
      <c r="CS465" s="374">
        <v>135</v>
      </c>
      <c r="DI465" s="380"/>
    </row>
    <row r="466" spans="2:113" ht="13">
      <c r="B466" s="294"/>
      <c r="C466" s="295"/>
      <c r="D466" s="295"/>
      <c r="E466" s="294"/>
      <c r="F466" s="294"/>
      <c r="G466" s="295"/>
      <c r="H466" s="295"/>
      <c r="I466" s="295"/>
      <c r="J466" s="295"/>
      <c r="K466" s="295"/>
      <c r="L466" s="295"/>
      <c r="N466" s="296"/>
      <c r="O466" s="296"/>
      <c r="P466" s="297"/>
      <c r="Q466" s="297"/>
      <c r="R466" s="297"/>
      <c r="S466" s="297"/>
      <c r="T466" s="298"/>
      <c r="U466" s="296"/>
      <c r="V466" s="296"/>
      <c r="W466" s="297"/>
      <c r="X466" s="297"/>
      <c r="Y466" s="297"/>
      <c r="Z466" s="297"/>
      <c r="AA466" s="299"/>
      <c r="AB466" s="296"/>
      <c r="AC466" s="296"/>
      <c r="AD466" s="297"/>
      <c r="AE466" s="297"/>
      <c r="AF466" s="297"/>
      <c r="AG466" s="297"/>
      <c r="AH466" s="295"/>
      <c r="AI466" s="293"/>
      <c r="AJ466" s="293"/>
      <c r="AK466" s="297"/>
      <c r="AL466" s="297"/>
      <c r="AM466" s="297"/>
      <c r="AN466" s="297"/>
      <c r="AO466" s="295"/>
      <c r="CS466" s="374">
        <v>136</v>
      </c>
      <c r="DI466" s="380"/>
    </row>
    <row r="467" spans="2:113" ht="13">
      <c r="B467" s="294"/>
      <c r="C467" s="295"/>
      <c r="D467" s="295"/>
      <c r="E467" s="294"/>
      <c r="F467" s="294"/>
      <c r="G467" s="295"/>
      <c r="H467" s="295"/>
      <c r="I467" s="295"/>
      <c r="J467" s="295"/>
      <c r="K467" s="295"/>
      <c r="L467" s="295"/>
      <c r="N467" s="296"/>
      <c r="O467" s="296"/>
      <c r="P467" s="297"/>
      <c r="Q467" s="297"/>
      <c r="R467" s="297"/>
      <c r="S467" s="297"/>
      <c r="T467" s="298"/>
      <c r="U467" s="296"/>
      <c r="V467" s="296"/>
      <c r="W467" s="297"/>
      <c r="X467" s="297"/>
      <c r="Y467" s="297"/>
      <c r="Z467" s="297"/>
      <c r="AA467" s="299"/>
      <c r="AB467" s="296"/>
      <c r="AC467" s="296"/>
      <c r="AD467" s="297"/>
      <c r="AE467" s="297"/>
      <c r="AF467" s="297"/>
      <c r="AG467" s="297"/>
      <c r="AH467" s="295"/>
      <c r="AI467" s="293"/>
      <c r="AJ467" s="293"/>
      <c r="AK467" s="297"/>
      <c r="AL467" s="297"/>
      <c r="AM467" s="297"/>
      <c r="AN467" s="297"/>
      <c r="AO467" s="295"/>
      <c r="CS467" s="374">
        <v>137</v>
      </c>
      <c r="DI467" s="380"/>
    </row>
    <row r="468" spans="2:113" ht="13">
      <c r="B468" s="294"/>
      <c r="C468" s="295"/>
      <c r="D468" s="295"/>
      <c r="E468" s="294"/>
      <c r="F468" s="294"/>
      <c r="G468" s="295"/>
      <c r="H468" s="295"/>
      <c r="I468" s="295"/>
      <c r="J468" s="295"/>
      <c r="K468" s="295"/>
      <c r="L468" s="295"/>
      <c r="N468" s="296"/>
      <c r="O468" s="296"/>
      <c r="P468" s="297"/>
      <c r="Q468" s="297"/>
      <c r="R468" s="297"/>
      <c r="S468" s="297"/>
      <c r="T468" s="298"/>
      <c r="U468" s="296"/>
      <c r="V468" s="296"/>
      <c r="W468" s="297"/>
      <c r="X468" s="297"/>
      <c r="Y468" s="297"/>
      <c r="Z468" s="297"/>
      <c r="AA468" s="299"/>
      <c r="AB468" s="296"/>
      <c r="AC468" s="296"/>
      <c r="AD468" s="297"/>
      <c r="AE468" s="297"/>
      <c r="AF468" s="297"/>
      <c r="AG468" s="297"/>
      <c r="AH468" s="295"/>
      <c r="AI468" s="293"/>
      <c r="AJ468" s="293"/>
      <c r="AK468" s="297"/>
      <c r="AL468" s="297"/>
      <c r="AM468" s="297"/>
      <c r="AN468" s="297"/>
      <c r="AO468" s="295"/>
      <c r="CS468" s="374">
        <v>138</v>
      </c>
      <c r="DI468" s="380"/>
    </row>
    <row r="469" spans="2:113" ht="13">
      <c r="B469" s="294"/>
      <c r="C469" s="295"/>
      <c r="D469" s="295"/>
      <c r="E469" s="294"/>
      <c r="F469" s="294"/>
      <c r="G469" s="295"/>
      <c r="H469" s="295"/>
      <c r="I469" s="295"/>
      <c r="J469" s="295"/>
      <c r="K469" s="295"/>
      <c r="L469" s="295"/>
      <c r="N469" s="296"/>
      <c r="O469" s="296"/>
      <c r="P469" s="297"/>
      <c r="Q469" s="297"/>
      <c r="R469" s="297"/>
      <c r="S469" s="297"/>
      <c r="T469" s="298"/>
      <c r="U469" s="296"/>
      <c r="V469" s="296"/>
      <c r="W469" s="297"/>
      <c r="X469" s="297"/>
      <c r="Y469" s="297"/>
      <c r="Z469" s="297"/>
      <c r="AA469" s="299"/>
      <c r="AB469" s="296"/>
      <c r="AC469" s="296"/>
      <c r="AD469" s="297"/>
      <c r="AE469" s="297"/>
      <c r="AF469" s="297"/>
      <c r="AG469" s="297"/>
      <c r="AH469" s="295"/>
      <c r="AI469" s="293"/>
      <c r="AJ469" s="293"/>
      <c r="AK469" s="297"/>
      <c r="AL469" s="297"/>
      <c r="AM469" s="297"/>
      <c r="AN469" s="297"/>
      <c r="AO469" s="295"/>
      <c r="CS469" s="374">
        <v>139</v>
      </c>
      <c r="DI469" s="380"/>
    </row>
    <row r="470" spans="2:113" ht="13">
      <c r="B470" s="294"/>
      <c r="C470" s="295"/>
      <c r="D470" s="295"/>
      <c r="E470" s="294"/>
      <c r="F470" s="294"/>
      <c r="G470" s="295"/>
      <c r="H470" s="295"/>
      <c r="I470" s="295"/>
      <c r="J470" s="295"/>
      <c r="K470" s="295"/>
      <c r="L470" s="295"/>
      <c r="N470" s="296"/>
      <c r="O470" s="296"/>
      <c r="P470" s="297"/>
      <c r="Q470" s="297"/>
      <c r="R470" s="297"/>
      <c r="S470" s="297"/>
      <c r="T470" s="298"/>
      <c r="U470" s="296"/>
      <c r="V470" s="296"/>
      <c r="W470" s="297"/>
      <c r="X470" s="297"/>
      <c r="Y470" s="297"/>
      <c r="Z470" s="297"/>
      <c r="AA470" s="299"/>
      <c r="AB470" s="296"/>
      <c r="AC470" s="296"/>
      <c r="AD470" s="297"/>
      <c r="AE470" s="297"/>
      <c r="AF470" s="297"/>
      <c r="AG470" s="297"/>
      <c r="AH470" s="295"/>
      <c r="AI470" s="293"/>
      <c r="AJ470" s="293"/>
      <c r="AK470" s="297"/>
      <c r="AL470" s="297"/>
      <c r="AM470" s="297"/>
      <c r="AN470" s="297"/>
      <c r="AO470" s="295"/>
      <c r="CS470" s="381">
        <v>140</v>
      </c>
      <c r="CT470" s="382"/>
      <c r="CU470" s="382"/>
      <c r="CV470" s="382"/>
      <c r="CW470" s="382"/>
      <c r="CX470" s="382"/>
      <c r="CY470" s="382"/>
      <c r="CZ470" s="382"/>
      <c r="DA470" s="382"/>
      <c r="DB470" s="382"/>
      <c r="DC470" s="382"/>
      <c r="DD470" s="382"/>
      <c r="DE470" s="382"/>
      <c r="DF470" s="382"/>
      <c r="DG470" s="382"/>
      <c r="DH470" s="382"/>
      <c r="DI470" s="383"/>
    </row>
    <row r="471" spans="2:113" ht="13">
      <c r="B471" s="294"/>
      <c r="C471" s="295"/>
      <c r="D471" s="295"/>
      <c r="E471" s="294"/>
      <c r="F471" s="294"/>
      <c r="G471" s="295"/>
      <c r="H471" s="295"/>
      <c r="I471" s="295"/>
      <c r="J471" s="295"/>
      <c r="K471" s="295"/>
      <c r="L471" s="295"/>
      <c r="N471" s="296"/>
      <c r="O471" s="296"/>
      <c r="P471" s="297"/>
      <c r="Q471" s="297"/>
      <c r="R471" s="297"/>
      <c r="S471" s="297"/>
      <c r="T471" s="298"/>
      <c r="U471" s="296"/>
      <c r="V471" s="296"/>
      <c r="W471" s="297"/>
      <c r="X471" s="297"/>
      <c r="Y471" s="297"/>
      <c r="Z471" s="297"/>
      <c r="AA471" s="299"/>
      <c r="AB471" s="296"/>
      <c r="AC471" s="296"/>
      <c r="AD471" s="297"/>
      <c r="AE471" s="297"/>
      <c r="AF471" s="297"/>
      <c r="AG471" s="297"/>
      <c r="AH471" s="295"/>
      <c r="AI471" s="293"/>
      <c r="AJ471" s="293"/>
      <c r="AK471" s="297"/>
      <c r="AL471" s="297"/>
      <c r="AM471" s="297"/>
      <c r="AN471" s="297"/>
      <c r="AO471" s="295"/>
    </row>
    <row r="472" spans="2:113" ht="13">
      <c r="B472" s="294"/>
      <c r="C472" s="295"/>
      <c r="D472" s="295"/>
      <c r="E472" s="294"/>
      <c r="F472" s="294"/>
      <c r="G472" s="295"/>
      <c r="H472" s="295"/>
      <c r="I472" s="295"/>
      <c r="J472" s="295"/>
      <c r="K472" s="295"/>
      <c r="L472" s="295"/>
      <c r="N472" s="296"/>
      <c r="O472" s="296"/>
      <c r="P472" s="297"/>
      <c r="Q472" s="297"/>
      <c r="R472" s="297"/>
      <c r="S472" s="297"/>
      <c r="T472" s="298"/>
      <c r="U472" s="296"/>
      <c r="V472" s="296"/>
      <c r="W472" s="297"/>
      <c r="X472" s="297"/>
      <c r="Y472" s="297"/>
      <c r="Z472" s="297"/>
      <c r="AA472" s="299"/>
      <c r="AB472" s="296"/>
      <c r="AC472" s="296"/>
      <c r="AD472" s="297"/>
      <c r="AE472" s="297"/>
      <c r="AF472" s="297"/>
      <c r="AG472" s="297"/>
      <c r="AH472" s="295"/>
      <c r="AI472" s="293"/>
      <c r="AJ472" s="293"/>
      <c r="AK472" s="297"/>
      <c r="AL472" s="297"/>
      <c r="AM472" s="297"/>
      <c r="AN472" s="297"/>
      <c r="AO472" s="295"/>
    </row>
    <row r="473" spans="2:113" ht="13">
      <c r="B473" s="294"/>
      <c r="C473" s="295"/>
      <c r="D473" s="295"/>
      <c r="E473" s="294"/>
      <c r="F473" s="294"/>
      <c r="G473" s="295"/>
      <c r="H473" s="295"/>
      <c r="I473" s="295"/>
      <c r="J473" s="295"/>
      <c r="K473" s="295"/>
      <c r="L473" s="295"/>
      <c r="N473" s="296"/>
      <c r="O473" s="296"/>
      <c r="P473" s="297"/>
      <c r="Q473" s="297"/>
      <c r="R473" s="297"/>
      <c r="S473" s="297"/>
      <c r="T473" s="298"/>
      <c r="U473" s="296"/>
      <c r="V473" s="296"/>
      <c r="W473" s="297"/>
      <c r="X473" s="297"/>
      <c r="Y473" s="297"/>
      <c r="Z473" s="297"/>
      <c r="AA473" s="299"/>
      <c r="AB473" s="296"/>
      <c r="AC473" s="296"/>
      <c r="AD473" s="297"/>
      <c r="AE473" s="297"/>
      <c r="AF473" s="297"/>
      <c r="AG473" s="297"/>
      <c r="AH473" s="295"/>
      <c r="AI473" s="293"/>
      <c r="AJ473" s="293"/>
      <c r="AK473" s="297"/>
      <c r="AL473" s="297"/>
      <c r="AM473" s="297"/>
      <c r="AN473" s="297"/>
      <c r="AO473" s="295"/>
    </row>
    <row r="474" spans="2:113" ht="13">
      <c r="B474" s="294"/>
      <c r="C474" s="295"/>
      <c r="D474" s="295"/>
      <c r="E474" s="294"/>
      <c r="F474" s="294"/>
      <c r="G474" s="295"/>
      <c r="H474" s="295"/>
      <c r="I474" s="295"/>
      <c r="J474" s="295"/>
      <c r="K474" s="295"/>
      <c r="L474" s="295"/>
      <c r="N474" s="296"/>
      <c r="O474" s="296"/>
      <c r="P474" s="297"/>
      <c r="Q474" s="297"/>
      <c r="R474" s="297"/>
      <c r="S474" s="297"/>
      <c r="T474" s="298"/>
      <c r="U474" s="296"/>
      <c r="V474" s="296"/>
      <c r="W474" s="297"/>
      <c r="X474" s="297"/>
      <c r="Y474" s="297"/>
      <c r="Z474" s="297"/>
      <c r="AA474" s="299"/>
      <c r="AB474" s="296"/>
      <c r="AC474" s="296"/>
      <c r="AD474" s="297"/>
      <c r="AE474" s="297"/>
      <c r="AF474" s="297"/>
      <c r="AG474" s="297"/>
      <c r="AH474" s="295"/>
      <c r="AI474" s="293"/>
      <c r="AJ474" s="293"/>
      <c r="AK474" s="297"/>
      <c r="AL474" s="297"/>
      <c r="AM474" s="297"/>
      <c r="AN474" s="297"/>
      <c r="AO474" s="295"/>
    </row>
    <row r="475" spans="2:113" ht="13">
      <c r="B475" s="294"/>
      <c r="C475" s="295"/>
      <c r="D475" s="295"/>
      <c r="E475" s="294"/>
      <c r="F475" s="294"/>
      <c r="G475" s="295"/>
      <c r="H475" s="295"/>
      <c r="I475" s="295"/>
      <c r="J475" s="295"/>
      <c r="K475" s="295"/>
      <c r="L475" s="295"/>
      <c r="N475" s="296"/>
      <c r="O475" s="296"/>
      <c r="P475" s="297"/>
      <c r="Q475" s="297"/>
      <c r="R475" s="297"/>
      <c r="S475" s="297"/>
      <c r="T475" s="298"/>
      <c r="U475" s="296"/>
      <c r="V475" s="296"/>
      <c r="W475" s="297"/>
      <c r="X475" s="297"/>
      <c r="Y475" s="297"/>
      <c r="Z475" s="297"/>
      <c r="AA475" s="299"/>
      <c r="AB475" s="296"/>
      <c r="AC475" s="296"/>
      <c r="AD475" s="297"/>
      <c r="AE475" s="297"/>
      <c r="AF475" s="297"/>
      <c r="AG475" s="297"/>
      <c r="AH475" s="295"/>
      <c r="AI475" s="293"/>
      <c r="AJ475" s="293"/>
      <c r="AK475" s="297"/>
      <c r="AL475" s="297"/>
      <c r="AM475" s="297"/>
      <c r="AN475" s="297"/>
      <c r="AO475" s="295"/>
    </row>
    <row r="476" spans="2:113" ht="13">
      <c r="B476" s="294"/>
      <c r="C476" s="295"/>
      <c r="D476" s="295"/>
      <c r="E476" s="294"/>
      <c r="F476" s="294"/>
      <c r="G476" s="295"/>
      <c r="H476" s="295"/>
      <c r="I476" s="295"/>
      <c r="J476" s="295"/>
      <c r="K476" s="295"/>
      <c r="L476" s="295"/>
      <c r="N476" s="296"/>
      <c r="O476" s="296"/>
      <c r="P476" s="297"/>
      <c r="Q476" s="297"/>
      <c r="R476" s="297"/>
      <c r="S476" s="297"/>
      <c r="T476" s="298"/>
      <c r="U476" s="296"/>
      <c r="V476" s="296"/>
      <c r="W476" s="297"/>
      <c r="X476" s="297"/>
      <c r="Y476" s="297"/>
      <c r="Z476" s="297"/>
      <c r="AA476" s="299"/>
      <c r="AB476" s="296"/>
      <c r="AC476" s="296"/>
      <c r="AD476" s="297"/>
      <c r="AE476" s="297"/>
      <c r="AF476" s="297"/>
      <c r="AG476" s="297"/>
      <c r="AH476" s="295"/>
      <c r="AI476" s="293"/>
      <c r="AJ476" s="293"/>
      <c r="AK476" s="297"/>
      <c r="AL476" s="297"/>
      <c r="AM476" s="297"/>
      <c r="AN476" s="297"/>
      <c r="AO476" s="295"/>
    </row>
    <row r="477" spans="2:113" ht="13">
      <c r="B477" s="294"/>
      <c r="C477" s="295"/>
      <c r="D477" s="295"/>
      <c r="E477" s="294"/>
      <c r="F477" s="294"/>
      <c r="G477" s="295"/>
      <c r="H477" s="295"/>
      <c r="I477" s="295"/>
      <c r="J477" s="295"/>
      <c r="K477" s="295"/>
      <c r="L477" s="295"/>
      <c r="N477" s="296"/>
      <c r="O477" s="296"/>
      <c r="P477" s="297"/>
      <c r="Q477" s="297"/>
      <c r="R477" s="297"/>
      <c r="S477" s="297"/>
      <c r="T477" s="298"/>
      <c r="U477" s="296"/>
      <c r="V477" s="296"/>
      <c r="W477" s="297"/>
      <c r="X477" s="297"/>
      <c r="Y477" s="297"/>
      <c r="Z477" s="297"/>
      <c r="AA477" s="299"/>
      <c r="AB477" s="296"/>
      <c r="AC477" s="296"/>
      <c r="AD477" s="297"/>
      <c r="AE477" s="297"/>
      <c r="AF477" s="297"/>
      <c r="AG477" s="297"/>
      <c r="AH477" s="295"/>
      <c r="AI477" s="293"/>
      <c r="AJ477" s="293"/>
      <c r="AK477" s="297"/>
      <c r="AL477" s="297"/>
      <c r="AM477" s="297"/>
      <c r="AN477" s="297"/>
      <c r="AO477" s="295"/>
    </row>
    <row r="478" spans="2:113" ht="13">
      <c r="B478" s="294"/>
      <c r="C478" s="295"/>
      <c r="D478" s="295"/>
      <c r="E478" s="294"/>
      <c r="F478" s="294"/>
      <c r="G478" s="295"/>
      <c r="H478" s="295"/>
      <c r="I478" s="295"/>
      <c r="J478" s="295"/>
      <c r="K478" s="295"/>
      <c r="L478" s="295"/>
      <c r="N478" s="296"/>
      <c r="O478" s="296"/>
      <c r="P478" s="297"/>
      <c r="Q478" s="297"/>
      <c r="R478" s="297"/>
      <c r="S478" s="297"/>
      <c r="T478" s="298"/>
      <c r="U478" s="296"/>
      <c r="V478" s="296"/>
      <c r="W478" s="297"/>
      <c r="X478" s="297"/>
      <c r="Y478" s="297"/>
      <c r="Z478" s="297"/>
      <c r="AA478" s="299"/>
      <c r="AB478" s="296"/>
      <c r="AC478" s="296"/>
      <c r="AD478" s="297"/>
      <c r="AE478" s="297"/>
      <c r="AF478" s="297"/>
      <c r="AG478" s="297"/>
      <c r="AH478" s="295"/>
      <c r="AI478" s="293"/>
      <c r="AJ478" s="293"/>
      <c r="AK478" s="297"/>
      <c r="AL478" s="297"/>
      <c r="AM478" s="297"/>
      <c r="AN478" s="297"/>
      <c r="AO478" s="295"/>
    </row>
    <row r="479" spans="2:113" ht="13">
      <c r="B479" s="294"/>
      <c r="C479" s="295"/>
      <c r="D479" s="295"/>
      <c r="E479" s="294"/>
      <c r="F479" s="294"/>
      <c r="G479" s="295"/>
      <c r="H479" s="295"/>
      <c r="I479" s="295"/>
      <c r="J479" s="295"/>
      <c r="K479" s="295"/>
      <c r="L479" s="295"/>
      <c r="N479" s="296"/>
      <c r="O479" s="296"/>
      <c r="P479" s="297"/>
      <c r="Q479" s="297"/>
      <c r="R479" s="297"/>
      <c r="S479" s="297"/>
      <c r="T479" s="298"/>
      <c r="U479" s="296"/>
      <c r="V479" s="296"/>
      <c r="W479" s="297"/>
      <c r="X479" s="297"/>
      <c r="Y479" s="297"/>
      <c r="Z479" s="297"/>
      <c r="AA479" s="299"/>
      <c r="AB479" s="296"/>
      <c r="AC479" s="296"/>
      <c r="AD479" s="297"/>
      <c r="AE479" s="297"/>
      <c r="AF479" s="297"/>
      <c r="AG479" s="297"/>
      <c r="AH479" s="295"/>
      <c r="AI479" s="293"/>
      <c r="AJ479" s="293"/>
      <c r="AK479" s="297"/>
      <c r="AL479" s="297"/>
      <c r="AM479" s="297"/>
      <c r="AN479" s="297"/>
      <c r="AO479" s="295"/>
    </row>
    <row r="480" spans="2:113" ht="13">
      <c r="B480" s="294"/>
      <c r="C480" s="295"/>
      <c r="D480" s="295"/>
      <c r="E480" s="294"/>
      <c r="F480" s="294"/>
      <c r="G480" s="295"/>
      <c r="H480" s="295"/>
      <c r="I480" s="295"/>
      <c r="J480" s="295"/>
      <c r="K480" s="295"/>
      <c r="L480" s="295"/>
      <c r="N480" s="296"/>
      <c r="O480" s="296"/>
      <c r="P480" s="297"/>
      <c r="Q480" s="297"/>
      <c r="R480" s="297"/>
      <c r="S480" s="297"/>
      <c r="T480" s="298"/>
      <c r="U480" s="296"/>
      <c r="V480" s="296"/>
      <c r="W480" s="297"/>
      <c r="X480" s="297"/>
      <c r="Y480" s="297"/>
      <c r="Z480" s="297"/>
      <c r="AA480" s="299"/>
      <c r="AB480" s="296"/>
      <c r="AC480" s="296"/>
      <c r="AD480" s="297"/>
      <c r="AE480" s="297"/>
      <c r="AF480" s="297"/>
      <c r="AG480" s="297"/>
      <c r="AH480" s="295"/>
      <c r="AI480" s="293"/>
      <c r="AJ480" s="293"/>
      <c r="AK480" s="297"/>
      <c r="AL480" s="297"/>
      <c r="AM480" s="297"/>
      <c r="AN480" s="297"/>
      <c r="AO480" s="295"/>
    </row>
    <row r="481" spans="2:41" ht="13">
      <c r="B481" s="294"/>
      <c r="C481" s="295"/>
      <c r="D481" s="295"/>
      <c r="E481" s="294"/>
      <c r="F481" s="294"/>
      <c r="G481" s="295"/>
      <c r="H481" s="295"/>
      <c r="I481" s="295"/>
      <c r="J481" s="295"/>
      <c r="K481" s="295"/>
      <c r="L481" s="295"/>
      <c r="N481" s="296"/>
      <c r="O481" s="296"/>
      <c r="P481" s="297"/>
      <c r="Q481" s="297"/>
      <c r="R481" s="297"/>
      <c r="S481" s="297"/>
      <c r="T481" s="298"/>
      <c r="U481" s="296"/>
      <c r="V481" s="296"/>
      <c r="W481" s="297"/>
      <c r="X481" s="297"/>
      <c r="Y481" s="297"/>
      <c r="Z481" s="297"/>
      <c r="AA481" s="299"/>
      <c r="AB481" s="296"/>
      <c r="AC481" s="296"/>
      <c r="AD481" s="297"/>
      <c r="AE481" s="297"/>
      <c r="AF481" s="297"/>
      <c r="AG481" s="297"/>
      <c r="AH481" s="295"/>
      <c r="AI481" s="293"/>
      <c r="AJ481" s="293"/>
      <c r="AK481" s="297"/>
      <c r="AL481" s="297"/>
      <c r="AM481" s="297"/>
      <c r="AN481" s="297"/>
      <c r="AO481" s="295"/>
    </row>
    <row r="482" spans="2:41" ht="13">
      <c r="B482" s="294"/>
      <c r="C482" s="295"/>
      <c r="D482" s="295"/>
      <c r="E482" s="294"/>
      <c r="F482" s="294"/>
      <c r="G482" s="295"/>
      <c r="H482" s="295"/>
      <c r="I482" s="295"/>
      <c r="J482" s="295"/>
      <c r="K482" s="295"/>
      <c r="L482" s="295"/>
      <c r="N482" s="296"/>
      <c r="O482" s="296"/>
      <c r="P482" s="297"/>
      <c r="Q482" s="297"/>
      <c r="R482" s="297"/>
      <c r="S482" s="297"/>
      <c r="T482" s="298"/>
      <c r="U482" s="296"/>
      <c r="V482" s="296"/>
      <c r="W482" s="297"/>
      <c r="X482" s="297"/>
      <c r="Y482" s="297"/>
      <c r="Z482" s="297"/>
      <c r="AA482" s="299"/>
      <c r="AB482" s="296"/>
      <c r="AC482" s="296"/>
      <c r="AD482" s="297"/>
      <c r="AE482" s="297"/>
      <c r="AF482" s="297"/>
      <c r="AG482" s="297"/>
      <c r="AH482" s="295"/>
      <c r="AI482" s="293"/>
      <c r="AJ482" s="293"/>
      <c r="AK482" s="297"/>
      <c r="AL482" s="297"/>
      <c r="AM482" s="297"/>
      <c r="AN482" s="297"/>
      <c r="AO482" s="295"/>
    </row>
    <row r="483" spans="2:41" ht="13">
      <c r="B483" s="294"/>
      <c r="C483" s="295"/>
      <c r="D483" s="295"/>
      <c r="E483" s="294"/>
      <c r="F483" s="294"/>
      <c r="G483" s="295"/>
      <c r="H483" s="295"/>
      <c r="I483" s="295"/>
      <c r="J483" s="295"/>
      <c r="K483" s="295"/>
      <c r="L483" s="295"/>
      <c r="N483" s="296"/>
      <c r="O483" s="296"/>
      <c r="P483" s="297"/>
      <c r="Q483" s="297"/>
      <c r="R483" s="297"/>
      <c r="S483" s="297"/>
      <c r="T483" s="298"/>
      <c r="U483" s="296"/>
      <c r="V483" s="296"/>
      <c r="W483" s="297"/>
      <c r="X483" s="297"/>
      <c r="Y483" s="297"/>
      <c r="Z483" s="297"/>
      <c r="AA483" s="299"/>
      <c r="AB483" s="296"/>
      <c r="AC483" s="296"/>
      <c r="AD483" s="297"/>
      <c r="AE483" s="297"/>
      <c r="AF483" s="297"/>
      <c r="AG483" s="297"/>
      <c r="AH483" s="295"/>
      <c r="AI483" s="293"/>
      <c r="AJ483" s="293"/>
      <c r="AK483" s="297"/>
      <c r="AL483" s="297"/>
      <c r="AM483" s="297"/>
      <c r="AN483" s="297"/>
      <c r="AO483" s="295"/>
    </row>
    <row r="484" spans="2:41" ht="13">
      <c r="B484" s="294"/>
      <c r="C484" s="295"/>
      <c r="D484" s="295"/>
      <c r="E484" s="294"/>
      <c r="F484" s="294"/>
      <c r="G484" s="295"/>
      <c r="H484" s="295"/>
      <c r="I484" s="295"/>
      <c r="J484" s="295"/>
      <c r="K484" s="295"/>
      <c r="L484" s="295"/>
      <c r="N484" s="296"/>
      <c r="O484" s="296"/>
      <c r="P484" s="297"/>
      <c r="Q484" s="297"/>
      <c r="R484" s="297"/>
      <c r="S484" s="297"/>
      <c r="T484" s="298"/>
      <c r="U484" s="296"/>
      <c r="V484" s="296"/>
      <c r="W484" s="297"/>
      <c r="X484" s="297"/>
      <c r="Y484" s="297"/>
      <c r="Z484" s="297"/>
      <c r="AA484" s="299"/>
      <c r="AB484" s="296"/>
      <c r="AC484" s="296"/>
      <c r="AD484" s="297"/>
      <c r="AE484" s="297"/>
      <c r="AF484" s="297"/>
      <c r="AG484" s="297"/>
      <c r="AH484" s="295"/>
      <c r="AI484" s="293"/>
      <c r="AJ484" s="293"/>
      <c r="AK484" s="297"/>
      <c r="AL484" s="297"/>
      <c r="AM484" s="297"/>
      <c r="AN484" s="297"/>
      <c r="AO484" s="295"/>
    </row>
    <row r="485" spans="2:41" ht="13">
      <c r="B485" s="294"/>
      <c r="C485" s="295"/>
      <c r="D485" s="295"/>
      <c r="E485" s="294"/>
      <c r="F485" s="294"/>
      <c r="G485" s="295"/>
      <c r="H485" s="295"/>
      <c r="I485" s="295"/>
      <c r="J485" s="295"/>
      <c r="K485" s="295"/>
      <c r="L485" s="295"/>
      <c r="N485" s="296"/>
      <c r="O485" s="296"/>
      <c r="P485" s="297"/>
      <c r="Q485" s="297"/>
      <c r="R485" s="297"/>
      <c r="S485" s="297"/>
      <c r="T485" s="298"/>
      <c r="U485" s="296"/>
      <c r="V485" s="296"/>
      <c r="W485" s="297"/>
      <c r="X485" s="297"/>
      <c r="Y485" s="297"/>
      <c r="Z485" s="297"/>
      <c r="AA485" s="299"/>
      <c r="AB485" s="296"/>
      <c r="AC485" s="296"/>
      <c r="AD485" s="297"/>
      <c r="AE485" s="297"/>
      <c r="AF485" s="297"/>
      <c r="AG485" s="297"/>
      <c r="AH485" s="295"/>
      <c r="AI485" s="293"/>
      <c r="AJ485" s="293"/>
      <c r="AK485" s="297"/>
      <c r="AL485" s="297"/>
      <c r="AM485" s="297"/>
      <c r="AN485" s="297"/>
      <c r="AO485" s="295"/>
    </row>
    <row r="486" spans="2:41" ht="13">
      <c r="B486" s="294"/>
      <c r="C486" s="295"/>
      <c r="D486" s="295"/>
      <c r="E486" s="294"/>
      <c r="F486" s="294"/>
      <c r="G486" s="295"/>
      <c r="H486" s="295"/>
      <c r="I486" s="295"/>
      <c r="J486" s="295"/>
      <c r="K486" s="295"/>
      <c r="L486" s="295"/>
      <c r="N486" s="296"/>
      <c r="O486" s="296"/>
      <c r="P486" s="297"/>
      <c r="Q486" s="297"/>
      <c r="R486" s="297"/>
      <c r="S486" s="297"/>
      <c r="T486" s="298"/>
      <c r="U486" s="296"/>
      <c r="V486" s="296"/>
      <c r="W486" s="297"/>
      <c r="X486" s="297"/>
      <c r="Y486" s="297"/>
      <c r="Z486" s="297"/>
      <c r="AA486" s="299"/>
      <c r="AB486" s="296"/>
      <c r="AC486" s="296"/>
      <c r="AD486" s="297"/>
      <c r="AE486" s="297"/>
      <c r="AF486" s="297"/>
      <c r="AG486" s="297"/>
      <c r="AH486" s="295"/>
      <c r="AI486" s="293"/>
      <c r="AJ486" s="293"/>
      <c r="AK486" s="297"/>
      <c r="AL486" s="297"/>
      <c r="AM486" s="297"/>
      <c r="AN486" s="297"/>
      <c r="AO486" s="295"/>
    </row>
    <row r="487" spans="2:41" ht="13">
      <c r="B487" s="294"/>
      <c r="C487" s="295"/>
      <c r="D487" s="295"/>
      <c r="E487" s="294"/>
      <c r="F487" s="294"/>
      <c r="G487" s="295"/>
      <c r="H487" s="295"/>
      <c r="I487" s="295"/>
      <c r="J487" s="295"/>
      <c r="K487" s="295"/>
      <c r="L487" s="295"/>
      <c r="N487" s="296"/>
      <c r="O487" s="296"/>
      <c r="P487" s="297"/>
      <c r="Q487" s="297"/>
      <c r="R487" s="297"/>
      <c r="S487" s="297"/>
      <c r="T487" s="298"/>
      <c r="U487" s="296"/>
      <c r="V487" s="296"/>
      <c r="W487" s="297"/>
      <c r="X487" s="297"/>
      <c r="Y487" s="297"/>
      <c r="Z487" s="297"/>
      <c r="AA487" s="299"/>
      <c r="AB487" s="296"/>
      <c r="AC487" s="296"/>
      <c r="AD487" s="297"/>
      <c r="AE487" s="297"/>
      <c r="AF487" s="297"/>
      <c r="AG487" s="297"/>
      <c r="AH487" s="295"/>
      <c r="AI487" s="293"/>
      <c r="AJ487" s="293"/>
      <c r="AK487" s="297"/>
      <c r="AL487" s="297"/>
      <c r="AM487" s="297"/>
      <c r="AN487" s="297"/>
      <c r="AO487" s="295"/>
    </row>
    <row r="488" spans="2:41" ht="13">
      <c r="B488" s="294"/>
      <c r="C488" s="295"/>
      <c r="D488" s="295"/>
      <c r="E488" s="294"/>
      <c r="F488" s="294"/>
      <c r="G488" s="295"/>
      <c r="H488" s="295"/>
      <c r="I488" s="295"/>
      <c r="J488" s="295"/>
      <c r="K488" s="295"/>
      <c r="L488" s="295"/>
      <c r="N488" s="296"/>
      <c r="O488" s="296"/>
      <c r="P488" s="297"/>
      <c r="Q488" s="297"/>
      <c r="R488" s="297"/>
      <c r="S488" s="297"/>
      <c r="T488" s="298"/>
      <c r="U488" s="296"/>
      <c r="V488" s="296"/>
      <c r="W488" s="297"/>
      <c r="X488" s="297"/>
      <c r="Y488" s="297"/>
      <c r="Z488" s="297"/>
      <c r="AA488" s="299"/>
      <c r="AB488" s="296"/>
      <c r="AC488" s="296"/>
      <c r="AD488" s="297"/>
      <c r="AE488" s="297"/>
      <c r="AF488" s="297"/>
      <c r="AG488" s="297"/>
      <c r="AH488" s="295"/>
      <c r="AI488" s="293"/>
      <c r="AJ488" s="293"/>
      <c r="AK488" s="297"/>
      <c r="AL488" s="297"/>
      <c r="AM488" s="297"/>
      <c r="AN488" s="297"/>
      <c r="AO488" s="295"/>
    </row>
    <row r="489" spans="2:41" ht="13">
      <c r="B489" s="294"/>
      <c r="C489" s="295"/>
      <c r="D489" s="295"/>
      <c r="E489" s="294"/>
      <c r="F489" s="294"/>
      <c r="G489" s="295"/>
      <c r="H489" s="295"/>
      <c r="I489" s="295"/>
      <c r="J489" s="295"/>
      <c r="K489" s="295"/>
      <c r="L489" s="295"/>
      <c r="N489" s="296"/>
      <c r="O489" s="296"/>
      <c r="P489" s="297"/>
      <c r="Q489" s="297"/>
      <c r="R489" s="297"/>
      <c r="S489" s="297"/>
      <c r="T489" s="298"/>
      <c r="U489" s="296"/>
      <c r="V489" s="296"/>
      <c r="W489" s="297"/>
      <c r="X489" s="297"/>
      <c r="Y489" s="297"/>
      <c r="Z489" s="297"/>
      <c r="AA489" s="299"/>
      <c r="AB489" s="296"/>
      <c r="AC489" s="296"/>
      <c r="AD489" s="297"/>
      <c r="AE489" s="297"/>
      <c r="AF489" s="297"/>
      <c r="AG489" s="297"/>
      <c r="AH489" s="295"/>
      <c r="AI489" s="293"/>
      <c r="AJ489" s="293"/>
      <c r="AK489" s="297"/>
      <c r="AL489" s="297"/>
      <c r="AM489" s="297"/>
      <c r="AN489" s="297"/>
      <c r="AO489" s="295"/>
    </row>
    <row r="490" spans="2:41" ht="13">
      <c r="B490" s="294"/>
      <c r="C490" s="295"/>
      <c r="D490" s="295"/>
      <c r="E490" s="294"/>
      <c r="F490" s="294"/>
      <c r="G490" s="295"/>
      <c r="H490" s="295"/>
      <c r="I490" s="295"/>
      <c r="J490" s="295"/>
      <c r="K490" s="295"/>
      <c r="L490" s="295"/>
      <c r="N490" s="296"/>
      <c r="O490" s="296"/>
      <c r="P490" s="297"/>
      <c r="Q490" s="297"/>
      <c r="R490" s="297"/>
      <c r="S490" s="297"/>
      <c r="T490" s="298"/>
      <c r="U490" s="296"/>
      <c r="V490" s="296"/>
      <c r="W490" s="297"/>
      <c r="X490" s="297"/>
      <c r="Y490" s="297"/>
      <c r="Z490" s="297"/>
      <c r="AA490" s="299"/>
      <c r="AB490" s="296"/>
      <c r="AC490" s="296"/>
      <c r="AD490" s="297"/>
      <c r="AE490" s="297"/>
      <c r="AF490" s="297"/>
      <c r="AG490" s="297"/>
      <c r="AH490" s="295"/>
      <c r="AI490" s="293"/>
      <c r="AJ490" s="293"/>
      <c r="AK490" s="297"/>
      <c r="AL490" s="297"/>
      <c r="AM490" s="297"/>
      <c r="AN490" s="297"/>
      <c r="AO490" s="295"/>
    </row>
    <row r="491" spans="2:41" ht="13">
      <c r="B491" s="294"/>
      <c r="C491" s="295"/>
      <c r="D491" s="295"/>
      <c r="E491" s="294"/>
      <c r="F491" s="294"/>
      <c r="G491" s="295"/>
      <c r="H491" s="295"/>
      <c r="I491" s="295"/>
      <c r="J491" s="295"/>
      <c r="K491" s="295"/>
      <c r="L491" s="295"/>
      <c r="N491" s="296"/>
      <c r="O491" s="296"/>
      <c r="P491" s="297"/>
      <c r="Q491" s="297"/>
      <c r="R491" s="297"/>
      <c r="S491" s="297"/>
      <c r="T491" s="298"/>
      <c r="U491" s="296"/>
      <c r="V491" s="296"/>
      <c r="W491" s="297"/>
      <c r="X491" s="297"/>
      <c r="Y491" s="297"/>
      <c r="Z491" s="297"/>
      <c r="AA491" s="299"/>
      <c r="AB491" s="296"/>
      <c r="AC491" s="296"/>
      <c r="AD491" s="297"/>
      <c r="AE491" s="297"/>
      <c r="AF491" s="297"/>
      <c r="AG491" s="297"/>
      <c r="AH491" s="295"/>
      <c r="AI491" s="293"/>
      <c r="AJ491" s="293"/>
      <c r="AK491" s="297"/>
      <c r="AL491" s="297"/>
      <c r="AM491" s="297"/>
      <c r="AN491" s="297"/>
      <c r="AO491" s="295"/>
    </row>
    <row r="492" spans="2:41" ht="13">
      <c r="B492" s="294"/>
      <c r="C492" s="295"/>
      <c r="D492" s="295"/>
      <c r="E492" s="294"/>
      <c r="F492" s="294"/>
      <c r="G492" s="295"/>
      <c r="H492" s="295"/>
      <c r="I492" s="295"/>
      <c r="J492" s="295"/>
      <c r="K492" s="295"/>
      <c r="L492" s="295"/>
      <c r="N492" s="296"/>
      <c r="O492" s="296"/>
      <c r="P492" s="297"/>
      <c r="Q492" s="297"/>
      <c r="R492" s="297"/>
      <c r="S492" s="297"/>
      <c r="T492" s="298"/>
      <c r="U492" s="296"/>
      <c r="V492" s="296"/>
      <c r="W492" s="297"/>
      <c r="X492" s="297"/>
      <c r="Y492" s="297"/>
      <c r="Z492" s="297"/>
      <c r="AA492" s="299"/>
      <c r="AB492" s="296"/>
      <c r="AC492" s="296"/>
      <c r="AD492" s="297"/>
      <c r="AE492" s="297"/>
      <c r="AF492" s="297"/>
      <c r="AG492" s="297"/>
      <c r="AH492" s="295"/>
      <c r="AI492" s="293"/>
      <c r="AJ492" s="293"/>
      <c r="AK492" s="297"/>
      <c r="AL492" s="297"/>
      <c r="AM492" s="297"/>
      <c r="AN492" s="297"/>
      <c r="AO492" s="295"/>
    </row>
    <row r="493" spans="2:41" ht="13">
      <c r="B493" s="294"/>
      <c r="C493" s="295"/>
      <c r="D493" s="295"/>
      <c r="E493" s="294"/>
      <c r="F493" s="294"/>
      <c r="G493" s="295"/>
      <c r="H493" s="295"/>
      <c r="I493" s="295"/>
      <c r="J493" s="295"/>
      <c r="K493" s="295"/>
      <c r="L493" s="295"/>
      <c r="N493" s="296"/>
      <c r="O493" s="296"/>
      <c r="P493" s="297"/>
      <c r="Q493" s="297"/>
      <c r="R493" s="297"/>
      <c r="S493" s="297"/>
      <c r="T493" s="298"/>
      <c r="U493" s="296"/>
      <c r="V493" s="296"/>
      <c r="W493" s="297"/>
      <c r="X493" s="297"/>
      <c r="Y493" s="297"/>
      <c r="Z493" s="297"/>
      <c r="AA493" s="299"/>
      <c r="AB493" s="296"/>
      <c r="AC493" s="296"/>
      <c r="AD493" s="297"/>
      <c r="AE493" s="297"/>
      <c r="AF493" s="297"/>
      <c r="AG493" s="297"/>
      <c r="AH493" s="295"/>
      <c r="AI493" s="293"/>
      <c r="AJ493" s="293"/>
      <c r="AK493" s="297"/>
      <c r="AL493" s="297"/>
      <c r="AM493" s="297"/>
      <c r="AN493" s="297"/>
      <c r="AO493" s="295"/>
    </row>
    <row r="494" spans="2:41" ht="13">
      <c r="B494" s="294"/>
      <c r="C494" s="295"/>
      <c r="D494" s="295"/>
      <c r="E494" s="294"/>
      <c r="F494" s="294"/>
      <c r="G494" s="295"/>
      <c r="H494" s="295"/>
      <c r="I494" s="295"/>
      <c r="J494" s="295"/>
      <c r="K494" s="295"/>
      <c r="L494" s="295"/>
      <c r="N494" s="296"/>
      <c r="O494" s="296"/>
      <c r="P494" s="297"/>
      <c r="Q494" s="297"/>
      <c r="R494" s="297"/>
      <c r="S494" s="297"/>
      <c r="T494" s="298"/>
      <c r="U494" s="296"/>
      <c r="V494" s="296"/>
      <c r="W494" s="297"/>
      <c r="X494" s="297"/>
      <c r="Y494" s="297"/>
      <c r="Z494" s="297"/>
      <c r="AA494" s="299"/>
      <c r="AB494" s="296"/>
      <c r="AC494" s="296"/>
      <c r="AD494" s="297"/>
      <c r="AE494" s="297"/>
      <c r="AF494" s="297"/>
      <c r="AG494" s="297"/>
      <c r="AH494" s="295"/>
      <c r="AI494" s="293"/>
      <c r="AJ494" s="293"/>
      <c r="AK494" s="297"/>
      <c r="AL494" s="297"/>
      <c r="AM494" s="297"/>
      <c r="AN494" s="297"/>
      <c r="AO494" s="295"/>
    </row>
    <row r="495" spans="2:41" ht="13">
      <c r="B495" s="294"/>
      <c r="C495" s="295"/>
      <c r="D495" s="295"/>
      <c r="E495" s="294"/>
      <c r="F495" s="294"/>
      <c r="G495" s="295"/>
      <c r="H495" s="295"/>
      <c r="I495" s="295"/>
      <c r="J495" s="295"/>
      <c r="K495" s="295"/>
      <c r="L495" s="295"/>
      <c r="N495" s="296"/>
      <c r="O495" s="296"/>
      <c r="P495" s="297"/>
      <c r="Q495" s="297"/>
      <c r="R495" s="297"/>
      <c r="S495" s="297"/>
      <c r="T495" s="298"/>
      <c r="U495" s="296"/>
      <c r="V495" s="296"/>
      <c r="W495" s="297"/>
      <c r="X495" s="297"/>
      <c r="Y495" s="297"/>
      <c r="Z495" s="297"/>
      <c r="AA495" s="299"/>
      <c r="AB495" s="296"/>
      <c r="AC495" s="296"/>
      <c r="AD495" s="297"/>
      <c r="AE495" s="297"/>
      <c r="AF495" s="297"/>
      <c r="AG495" s="297"/>
      <c r="AH495" s="295"/>
      <c r="AI495" s="293"/>
      <c r="AJ495" s="293"/>
      <c r="AK495" s="297"/>
      <c r="AL495" s="297"/>
      <c r="AM495" s="297"/>
      <c r="AN495" s="297"/>
      <c r="AO495" s="295"/>
    </row>
    <row r="496" spans="2:41" ht="13">
      <c r="B496" s="294"/>
      <c r="C496" s="295"/>
      <c r="D496" s="295"/>
      <c r="E496" s="294"/>
      <c r="F496" s="294"/>
      <c r="G496" s="295"/>
      <c r="H496" s="295"/>
      <c r="I496" s="295"/>
      <c r="J496" s="295"/>
      <c r="K496" s="295"/>
      <c r="L496" s="295"/>
      <c r="N496" s="296"/>
      <c r="O496" s="296"/>
      <c r="P496" s="297"/>
      <c r="Q496" s="297"/>
      <c r="R496" s="297"/>
      <c r="S496" s="297"/>
      <c r="T496" s="298"/>
      <c r="U496" s="296"/>
      <c r="V496" s="296"/>
      <c r="W496" s="297"/>
      <c r="X496" s="297"/>
      <c r="Y496" s="297"/>
      <c r="Z496" s="297"/>
      <c r="AA496" s="299"/>
      <c r="AB496" s="296"/>
      <c r="AC496" s="296"/>
      <c r="AD496" s="297"/>
      <c r="AE496" s="297"/>
      <c r="AF496" s="297"/>
      <c r="AG496" s="297"/>
      <c r="AH496" s="295"/>
      <c r="AI496" s="293"/>
      <c r="AJ496" s="293"/>
      <c r="AK496" s="297"/>
      <c r="AL496" s="297"/>
      <c r="AM496" s="297"/>
      <c r="AN496" s="297"/>
      <c r="AO496" s="295"/>
    </row>
    <row r="497" spans="2:41" ht="13">
      <c r="B497" s="294"/>
      <c r="C497" s="295"/>
      <c r="D497" s="295"/>
      <c r="E497" s="294"/>
      <c r="F497" s="294"/>
      <c r="G497" s="295"/>
      <c r="H497" s="295"/>
      <c r="I497" s="295"/>
      <c r="J497" s="295"/>
      <c r="K497" s="295"/>
      <c r="L497" s="295"/>
      <c r="N497" s="296"/>
      <c r="O497" s="296"/>
      <c r="P497" s="297"/>
      <c r="Q497" s="297"/>
      <c r="R497" s="297"/>
      <c r="S497" s="297"/>
      <c r="T497" s="298"/>
      <c r="U497" s="296"/>
      <c r="V497" s="296"/>
      <c r="W497" s="297"/>
      <c r="X497" s="297"/>
      <c r="Y497" s="297"/>
      <c r="Z497" s="297"/>
      <c r="AA497" s="299"/>
      <c r="AB497" s="296"/>
      <c r="AC497" s="296"/>
      <c r="AD497" s="297"/>
      <c r="AE497" s="297"/>
      <c r="AF497" s="297"/>
      <c r="AG497" s="297"/>
      <c r="AH497" s="295"/>
      <c r="AI497" s="293"/>
      <c r="AJ497" s="293"/>
      <c r="AK497" s="297"/>
      <c r="AL497" s="297"/>
      <c r="AM497" s="297"/>
      <c r="AN497" s="297"/>
      <c r="AO497" s="295"/>
    </row>
    <row r="498" spans="2:41" ht="13">
      <c r="B498" s="294"/>
      <c r="C498" s="295"/>
      <c r="D498" s="295"/>
      <c r="E498" s="294"/>
      <c r="F498" s="294"/>
      <c r="G498" s="295"/>
      <c r="H498" s="295"/>
      <c r="I498" s="295"/>
      <c r="J498" s="295"/>
      <c r="K498" s="295"/>
      <c r="L498" s="295"/>
      <c r="N498" s="296"/>
      <c r="O498" s="296"/>
      <c r="P498" s="297"/>
      <c r="Q498" s="297"/>
      <c r="R498" s="297"/>
      <c r="S498" s="297"/>
      <c r="T498" s="298"/>
      <c r="U498" s="296"/>
      <c r="V498" s="296"/>
      <c r="W498" s="297"/>
      <c r="X498" s="297"/>
      <c r="Y498" s="297"/>
      <c r="Z498" s="297"/>
      <c r="AA498" s="299"/>
      <c r="AB498" s="296"/>
      <c r="AC498" s="296"/>
      <c r="AD498" s="297"/>
      <c r="AE498" s="297"/>
      <c r="AF498" s="297"/>
      <c r="AG498" s="297"/>
      <c r="AH498" s="295"/>
      <c r="AI498" s="293"/>
      <c r="AJ498" s="293"/>
      <c r="AK498" s="297"/>
      <c r="AL498" s="297"/>
      <c r="AM498" s="297"/>
      <c r="AN498" s="297"/>
      <c r="AO498" s="295"/>
    </row>
    <row r="499" spans="2:41" ht="13">
      <c r="B499" s="294"/>
      <c r="C499" s="295"/>
      <c r="D499" s="295"/>
      <c r="E499" s="294"/>
      <c r="F499" s="294"/>
      <c r="G499" s="295"/>
      <c r="H499" s="295"/>
      <c r="I499" s="295"/>
      <c r="J499" s="295"/>
      <c r="K499" s="295"/>
      <c r="L499" s="295"/>
      <c r="N499" s="296"/>
      <c r="O499" s="296"/>
      <c r="P499" s="297"/>
      <c r="Q499" s="297"/>
      <c r="R499" s="297"/>
      <c r="S499" s="297"/>
      <c r="T499" s="298"/>
      <c r="U499" s="296"/>
      <c r="V499" s="296"/>
      <c r="W499" s="297"/>
      <c r="X499" s="297"/>
      <c r="Y499" s="297"/>
      <c r="Z499" s="297"/>
      <c r="AA499" s="299"/>
      <c r="AB499" s="296"/>
      <c r="AC499" s="296"/>
      <c r="AD499" s="297"/>
      <c r="AE499" s="297"/>
      <c r="AF499" s="297"/>
      <c r="AG499" s="297"/>
      <c r="AH499" s="295"/>
      <c r="AI499" s="293"/>
      <c r="AJ499" s="293"/>
      <c r="AK499" s="297"/>
      <c r="AL499" s="297"/>
      <c r="AM499" s="297"/>
      <c r="AN499" s="297"/>
      <c r="AO499" s="295"/>
    </row>
    <row r="500" spans="2:41" ht="13">
      <c r="B500" s="294"/>
      <c r="C500" s="295"/>
      <c r="D500" s="295"/>
      <c r="E500" s="294"/>
      <c r="F500" s="294"/>
      <c r="G500" s="295"/>
      <c r="H500" s="295"/>
      <c r="I500" s="295"/>
      <c r="J500" s="295"/>
      <c r="K500" s="295"/>
      <c r="L500" s="295"/>
      <c r="N500" s="296"/>
      <c r="O500" s="296"/>
      <c r="P500" s="297"/>
      <c r="Q500" s="297"/>
      <c r="R500" s="297"/>
      <c r="S500" s="297"/>
      <c r="T500" s="298"/>
      <c r="U500" s="296"/>
      <c r="V500" s="296"/>
      <c r="W500" s="297"/>
      <c r="X500" s="297"/>
      <c r="Y500" s="297"/>
      <c r="Z500" s="297"/>
      <c r="AA500" s="299"/>
      <c r="AB500" s="296"/>
      <c r="AC500" s="296"/>
      <c r="AD500" s="297"/>
      <c r="AE500" s="297"/>
      <c r="AF500" s="297"/>
      <c r="AG500" s="297"/>
      <c r="AH500" s="295"/>
      <c r="AI500" s="293"/>
      <c r="AJ500" s="293"/>
      <c r="AK500" s="297"/>
      <c r="AL500" s="297"/>
      <c r="AM500" s="297"/>
      <c r="AN500" s="297"/>
      <c r="AO500" s="295"/>
    </row>
    <row r="501" spans="2:41" ht="13">
      <c r="B501" s="294"/>
      <c r="C501" s="295"/>
      <c r="D501" s="295"/>
      <c r="E501" s="294"/>
      <c r="F501" s="294"/>
      <c r="G501" s="295"/>
      <c r="H501" s="295"/>
      <c r="I501" s="295"/>
      <c r="J501" s="295"/>
      <c r="K501" s="295"/>
      <c r="L501" s="295"/>
      <c r="N501" s="296"/>
      <c r="O501" s="296"/>
      <c r="P501" s="297"/>
      <c r="Q501" s="297"/>
      <c r="R501" s="297"/>
      <c r="S501" s="297"/>
      <c r="T501" s="298"/>
      <c r="U501" s="296"/>
      <c r="V501" s="296"/>
      <c r="W501" s="297"/>
      <c r="X501" s="297"/>
      <c r="Y501" s="297"/>
      <c r="Z501" s="297"/>
      <c r="AA501" s="299"/>
      <c r="AB501" s="296"/>
      <c r="AC501" s="296"/>
      <c r="AD501" s="297"/>
      <c r="AE501" s="297"/>
      <c r="AF501" s="297"/>
      <c r="AG501" s="297"/>
      <c r="AH501" s="295"/>
      <c r="AI501" s="293"/>
      <c r="AJ501" s="293"/>
      <c r="AK501" s="297"/>
      <c r="AL501" s="297"/>
      <c r="AM501" s="297"/>
      <c r="AN501" s="297"/>
      <c r="AO501" s="295"/>
    </row>
    <row r="502" spans="2:41" ht="13">
      <c r="B502" s="294"/>
      <c r="C502" s="295"/>
      <c r="D502" s="295"/>
      <c r="E502" s="294"/>
      <c r="F502" s="294"/>
      <c r="G502" s="295"/>
      <c r="H502" s="295"/>
      <c r="I502" s="295"/>
      <c r="J502" s="295"/>
      <c r="K502" s="295"/>
      <c r="L502" s="295"/>
      <c r="N502" s="296"/>
      <c r="O502" s="296"/>
      <c r="P502" s="297"/>
      <c r="Q502" s="297"/>
      <c r="R502" s="297"/>
      <c r="S502" s="297"/>
      <c r="T502" s="298"/>
      <c r="U502" s="296"/>
      <c r="V502" s="296"/>
      <c r="W502" s="297"/>
      <c r="X502" s="297"/>
      <c r="Y502" s="297"/>
      <c r="Z502" s="297"/>
      <c r="AA502" s="299"/>
      <c r="AB502" s="296"/>
      <c r="AC502" s="296"/>
      <c r="AD502" s="297"/>
      <c r="AE502" s="297"/>
      <c r="AF502" s="297"/>
      <c r="AG502" s="297"/>
      <c r="AH502" s="295"/>
      <c r="AI502" s="293"/>
      <c r="AJ502" s="293"/>
      <c r="AK502" s="297"/>
      <c r="AL502" s="297"/>
      <c r="AM502" s="297"/>
      <c r="AN502" s="297"/>
      <c r="AO502" s="295"/>
    </row>
    <row r="503" spans="2:41" ht="13">
      <c r="B503" s="294"/>
      <c r="C503" s="295"/>
      <c r="D503" s="295"/>
      <c r="E503" s="294"/>
      <c r="F503" s="294"/>
      <c r="G503" s="295"/>
      <c r="H503" s="295"/>
      <c r="I503" s="295"/>
      <c r="J503" s="295"/>
      <c r="K503" s="295"/>
      <c r="L503" s="295"/>
      <c r="N503" s="296"/>
      <c r="O503" s="296"/>
      <c r="P503" s="297"/>
      <c r="Q503" s="297"/>
      <c r="R503" s="297"/>
      <c r="S503" s="297"/>
      <c r="T503" s="298"/>
      <c r="U503" s="296"/>
      <c r="V503" s="296"/>
      <c r="W503" s="297"/>
      <c r="X503" s="297"/>
      <c r="Y503" s="297"/>
      <c r="Z503" s="297"/>
      <c r="AA503" s="299"/>
      <c r="AB503" s="296"/>
      <c r="AC503" s="296"/>
      <c r="AD503" s="297"/>
      <c r="AE503" s="297"/>
      <c r="AF503" s="297"/>
      <c r="AG503" s="297"/>
      <c r="AH503" s="295"/>
      <c r="AI503" s="293"/>
      <c r="AJ503" s="293"/>
      <c r="AK503" s="297"/>
      <c r="AL503" s="297"/>
      <c r="AM503" s="297"/>
      <c r="AN503" s="297"/>
      <c r="AO503" s="295"/>
    </row>
    <row r="504" spans="2:41" ht="13">
      <c r="B504" s="294"/>
      <c r="C504" s="295"/>
      <c r="D504" s="295"/>
      <c r="E504" s="294"/>
      <c r="F504" s="294"/>
      <c r="G504" s="295"/>
      <c r="H504" s="295"/>
      <c r="I504" s="295"/>
      <c r="J504" s="295"/>
      <c r="K504" s="295"/>
      <c r="L504" s="295"/>
      <c r="N504" s="296"/>
      <c r="O504" s="296"/>
      <c r="P504" s="297"/>
      <c r="Q504" s="297"/>
      <c r="R504" s="297"/>
      <c r="S504" s="297"/>
      <c r="T504" s="298"/>
      <c r="U504" s="296"/>
      <c r="V504" s="296"/>
      <c r="W504" s="297"/>
      <c r="X504" s="297"/>
      <c r="Y504" s="297"/>
      <c r="Z504" s="297"/>
      <c r="AA504" s="299"/>
      <c r="AB504" s="296"/>
      <c r="AC504" s="296"/>
      <c r="AD504" s="297"/>
      <c r="AE504" s="297"/>
      <c r="AF504" s="297"/>
      <c r="AG504" s="297"/>
      <c r="AH504" s="295"/>
      <c r="AI504" s="293"/>
      <c r="AJ504" s="293"/>
      <c r="AK504" s="297"/>
      <c r="AL504" s="297"/>
      <c r="AM504" s="297"/>
      <c r="AN504" s="297"/>
      <c r="AO504" s="295"/>
    </row>
    <row r="505" spans="2:41" ht="13">
      <c r="B505" s="294"/>
      <c r="C505" s="295"/>
      <c r="D505" s="295"/>
      <c r="E505" s="294"/>
      <c r="F505" s="294"/>
      <c r="G505" s="295"/>
      <c r="H505" s="295"/>
      <c r="I505" s="295"/>
      <c r="J505" s="295"/>
      <c r="K505" s="295"/>
      <c r="L505" s="295"/>
      <c r="N505" s="296"/>
      <c r="O505" s="296"/>
      <c r="P505" s="297"/>
      <c r="Q505" s="297"/>
      <c r="R505" s="297"/>
      <c r="S505" s="297"/>
      <c r="T505" s="298"/>
      <c r="U505" s="296"/>
      <c r="V505" s="296"/>
      <c r="W505" s="297"/>
      <c r="X505" s="297"/>
      <c r="Y505" s="297"/>
      <c r="Z505" s="297"/>
      <c r="AA505" s="299"/>
      <c r="AB505" s="296"/>
      <c r="AC505" s="296"/>
      <c r="AD505" s="297"/>
      <c r="AE505" s="297"/>
      <c r="AF505" s="297"/>
      <c r="AG505" s="297"/>
      <c r="AH505" s="295"/>
      <c r="AI505" s="293"/>
      <c r="AJ505" s="293"/>
      <c r="AK505" s="297"/>
      <c r="AL505" s="297"/>
      <c r="AM505" s="297"/>
      <c r="AN505" s="297"/>
      <c r="AO505" s="295"/>
    </row>
    <row r="506" spans="2:41" ht="13">
      <c r="B506" s="294"/>
      <c r="C506" s="295"/>
      <c r="D506" s="295"/>
      <c r="E506" s="294"/>
      <c r="F506" s="294"/>
      <c r="G506" s="295"/>
      <c r="H506" s="295"/>
      <c r="I506" s="295"/>
      <c r="J506" s="295"/>
      <c r="K506" s="295"/>
      <c r="L506" s="295"/>
      <c r="N506" s="296"/>
      <c r="O506" s="296"/>
      <c r="P506" s="297"/>
      <c r="Q506" s="297"/>
      <c r="R506" s="297"/>
      <c r="S506" s="297"/>
      <c r="T506" s="298"/>
      <c r="U506" s="296"/>
      <c r="V506" s="296"/>
      <c r="W506" s="297"/>
      <c r="X506" s="297"/>
      <c r="Y506" s="297"/>
      <c r="Z506" s="297"/>
      <c r="AA506" s="299"/>
      <c r="AB506" s="296"/>
      <c r="AC506" s="296"/>
      <c r="AD506" s="297"/>
      <c r="AE506" s="297"/>
      <c r="AF506" s="297"/>
      <c r="AG506" s="297"/>
      <c r="AH506" s="295"/>
      <c r="AI506" s="293"/>
      <c r="AJ506" s="293"/>
      <c r="AK506" s="297"/>
      <c r="AL506" s="297"/>
      <c r="AM506" s="297"/>
      <c r="AN506" s="297"/>
      <c r="AO506" s="295"/>
    </row>
    <row r="507" spans="2:41" ht="13">
      <c r="B507" s="294"/>
      <c r="C507" s="295"/>
      <c r="D507" s="295"/>
      <c r="E507" s="294"/>
      <c r="F507" s="294"/>
      <c r="G507" s="295"/>
      <c r="H507" s="295"/>
      <c r="I507" s="295"/>
      <c r="J507" s="295"/>
      <c r="K507" s="295"/>
      <c r="L507" s="295"/>
      <c r="N507" s="296"/>
      <c r="O507" s="296"/>
      <c r="P507" s="297"/>
      <c r="Q507" s="297"/>
      <c r="R507" s="297"/>
      <c r="S507" s="297"/>
      <c r="T507" s="298"/>
      <c r="U507" s="296"/>
      <c r="V507" s="296"/>
      <c r="W507" s="297"/>
      <c r="X507" s="297"/>
      <c r="Y507" s="297"/>
      <c r="Z507" s="297"/>
      <c r="AA507" s="299"/>
      <c r="AB507" s="296"/>
      <c r="AC507" s="296"/>
      <c r="AD507" s="297"/>
      <c r="AE507" s="297"/>
      <c r="AF507" s="297"/>
      <c r="AG507" s="297"/>
      <c r="AH507" s="295"/>
      <c r="AI507" s="293"/>
      <c r="AJ507" s="293"/>
      <c r="AK507" s="297"/>
      <c r="AL507" s="297"/>
      <c r="AM507" s="297"/>
      <c r="AN507" s="297"/>
      <c r="AO507" s="295"/>
    </row>
    <row r="508" spans="2:41" ht="13">
      <c r="B508" s="294"/>
      <c r="C508" s="295"/>
      <c r="D508" s="295"/>
      <c r="E508" s="294"/>
      <c r="F508" s="294"/>
      <c r="G508" s="295"/>
      <c r="H508" s="295"/>
      <c r="I508" s="295"/>
      <c r="J508" s="295"/>
      <c r="K508" s="295"/>
      <c r="L508" s="295"/>
      <c r="N508" s="296"/>
      <c r="O508" s="296"/>
      <c r="P508" s="297"/>
      <c r="Q508" s="297"/>
      <c r="R508" s="297"/>
      <c r="S508" s="297"/>
      <c r="T508" s="298"/>
      <c r="U508" s="296"/>
      <c r="V508" s="296"/>
      <c r="W508" s="297"/>
      <c r="X508" s="297"/>
      <c r="Y508" s="297"/>
      <c r="Z508" s="297"/>
      <c r="AA508" s="299"/>
      <c r="AB508" s="296"/>
      <c r="AC508" s="296"/>
      <c r="AD508" s="297"/>
      <c r="AE508" s="297"/>
      <c r="AF508" s="297"/>
      <c r="AG508" s="297"/>
      <c r="AH508" s="295"/>
      <c r="AI508" s="293"/>
      <c r="AJ508" s="293"/>
      <c r="AK508" s="297"/>
      <c r="AL508" s="297"/>
      <c r="AM508" s="297"/>
      <c r="AN508" s="297"/>
      <c r="AO508" s="295"/>
    </row>
    <row r="509" spans="2:41" ht="13">
      <c r="B509" s="294"/>
      <c r="C509" s="295"/>
      <c r="D509" s="295"/>
      <c r="E509" s="294"/>
      <c r="F509" s="294"/>
      <c r="G509" s="295"/>
      <c r="H509" s="295"/>
      <c r="I509" s="295"/>
      <c r="J509" s="295"/>
      <c r="K509" s="295"/>
      <c r="L509" s="295"/>
      <c r="N509" s="296"/>
      <c r="O509" s="296"/>
      <c r="P509" s="297"/>
      <c r="Q509" s="297"/>
      <c r="R509" s="297"/>
      <c r="S509" s="297"/>
      <c r="T509" s="298"/>
      <c r="U509" s="296"/>
      <c r="V509" s="296"/>
      <c r="W509" s="297"/>
      <c r="X509" s="297"/>
      <c r="Y509" s="297"/>
      <c r="Z509" s="297"/>
      <c r="AA509" s="299"/>
      <c r="AB509" s="296"/>
      <c r="AC509" s="296"/>
      <c r="AD509" s="297"/>
      <c r="AE509" s="297"/>
      <c r="AF509" s="297"/>
      <c r="AG509" s="297"/>
      <c r="AH509" s="295"/>
      <c r="AI509" s="293"/>
      <c r="AJ509" s="293"/>
      <c r="AK509" s="297"/>
      <c r="AL509" s="297"/>
      <c r="AM509" s="297"/>
      <c r="AN509" s="297"/>
      <c r="AO509" s="295"/>
    </row>
    <row r="510" spans="2:41" ht="13">
      <c r="B510" s="294"/>
      <c r="C510" s="295"/>
      <c r="D510" s="295"/>
      <c r="E510" s="294"/>
      <c r="F510" s="294"/>
      <c r="G510" s="295"/>
      <c r="H510" s="295"/>
      <c r="I510" s="295"/>
      <c r="J510" s="295"/>
      <c r="K510" s="295"/>
      <c r="L510" s="295"/>
      <c r="N510" s="296"/>
      <c r="O510" s="296"/>
      <c r="P510" s="297"/>
      <c r="Q510" s="297"/>
      <c r="R510" s="297"/>
      <c r="S510" s="297"/>
      <c r="T510" s="298"/>
      <c r="U510" s="296"/>
      <c r="V510" s="296"/>
      <c r="W510" s="297"/>
      <c r="X510" s="297"/>
      <c r="Y510" s="297"/>
      <c r="Z510" s="297"/>
      <c r="AA510" s="299"/>
      <c r="AB510" s="296"/>
      <c r="AC510" s="296"/>
      <c r="AD510" s="297"/>
      <c r="AE510" s="297"/>
      <c r="AF510" s="297"/>
      <c r="AG510" s="297"/>
      <c r="AH510" s="295"/>
      <c r="AI510" s="293"/>
      <c r="AJ510" s="293"/>
      <c r="AK510" s="297"/>
      <c r="AL510" s="297"/>
      <c r="AM510" s="297"/>
      <c r="AN510" s="297"/>
      <c r="AO510" s="295"/>
    </row>
    <row r="511" spans="2:41" ht="13">
      <c r="B511" s="294"/>
      <c r="C511" s="295"/>
      <c r="D511" s="295"/>
      <c r="E511" s="294"/>
      <c r="F511" s="294"/>
      <c r="G511" s="295"/>
      <c r="H511" s="295"/>
      <c r="I511" s="295"/>
      <c r="J511" s="295"/>
      <c r="K511" s="295"/>
      <c r="L511" s="295"/>
      <c r="N511" s="296"/>
      <c r="O511" s="296"/>
      <c r="P511" s="297"/>
      <c r="Q511" s="297"/>
      <c r="R511" s="297"/>
      <c r="S511" s="297"/>
      <c r="T511" s="298"/>
      <c r="U511" s="296"/>
      <c r="V511" s="296"/>
      <c r="W511" s="297"/>
      <c r="X511" s="297"/>
      <c r="Y511" s="297"/>
      <c r="Z511" s="297"/>
      <c r="AA511" s="299"/>
      <c r="AB511" s="296"/>
      <c r="AC511" s="296"/>
      <c r="AD511" s="297"/>
      <c r="AE511" s="297"/>
      <c r="AF511" s="297"/>
      <c r="AG511" s="297"/>
      <c r="AH511" s="295"/>
      <c r="AI511" s="293"/>
      <c r="AJ511" s="293"/>
      <c r="AK511" s="297"/>
      <c r="AL511" s="297"/>
      <c r="AM511" s="297"/>
      <c r="AN511" s="297"/>
      <c r="AO511" s="295"/>
    </row>
    <row r="512" spans="2:41" ht="13">
      <c r="B512" s="294"/>
      <c r="C512" s="295"/>
      <c r="D512" s="295"/>
      <c r="E512" s="294"/>
      <c r="F512" s="294"/>
      <c r="G512" s="295"/>
      <c r="H512" s="295"/>
      <c r="I512" s="295"/>
      <c r="J512" s="295"/>
      <c r="K512" s="295"/>
      <c r="L512" s="295"/>
      <c r="N512" s="296"/>
      <c r="O512" s="296"/>
      <c r="P512" s="297"/>
      <c r="Q512" s="297"/>
      <c r="R512" s="297"/>
      <c r="S512" s="297"/>
      <c r="T512" s="298"/>
      <c r="U512" s="296"/>
      <c r="V512" s="296"/>
      <c r="W512" s="297"/>
      <c r="X512" s="297"/>
      <c r="Y512" s="297"/>
      <c r="Z512" s="297"/>
      <c r="AA512" s="299"/>
      <c r="AB512" s="296"/>
      <c r="AC512" s="296"/>
      <c r="AD512" s="297"/>
      <c r="AE512" s="297"/>
      <c r="AF512" s="297"/>
      <c r="AG512" s="297"/>
      <c r="AH512" s="295"/>
      <c r="AI512" s="293"/>
      <c r="AJ512" s="293"/>
      <c r="AK512" s="297"/>
      <c r="AL512" s="297"/>
      <c r="AM512" s="297"/>
      <c r="AN512" s="297"/>
      <c r="AO512" s="295"/>
    </row>
    <row r="513" spans="2:41" ht="13">
      <c r="B513" s="294"/>
      <c r="C513" s="295"/>
      <c r="D513" s="295"/>
      <c r="E513" s="294"/>
      <c r="F513" s="294"/>
      <c r="G513" s="295"/>
      <c r="H513" s="295"/>
      <c r="I513" s="295"/>
      <c r="J513" s="295"/>
      <c r="K513" s="295"/>
      <c r="L513" s="295"/>
      <c r="N513" s="296"/>
      <c r="O513" s="296"/>
      <c r="P513" s="297"/>
      <c r="Q513" s="297"/>
      <c r="R513" s="297"/>
      <c r="S513" s="297"/>
      <c r="T513" s="298"/>
      <c r="U513" s="296"/>
      <c r="V513" s="296"/>
      <c r="W513" s="297"/>
      <c r="X513" s="297"/>
      <c r="Y513" s="297"/>
      <c r="Z513" s="297"/>
      <c r="AA513" s="299"/>
      <c r="AB513" s="296"/>
      <c r="AC513" s="296"/>
      <c r="AD513" s="297"/>
      <c r="AE513" s="297"/>
      <c r="AF513" s="297"/>
      <c r="AG513" s="297"/>
      <c r="AH513" s="295"/>
      <c r="AI513" s="293"/>
      <c r="AJ513" s="293"/>
      <c r="AK513" s="297"/>
      <c r="AL513" s="297"/>
      <c r="AM513" s="297"/>
      <c r="AN513" s="297"/>
      <c r="AO513" s="295"/>
    </row>
    <row r="514" spans="2:41" ht="13">
      <c r="B514" s="294"/>
      <c r="C514" s="295"/>
      <c r="D514" s="295"/>
      <c r="E514" s="294"/>
      <c r="F514" s="294"/>
      <c r="G514" s="295"/>
      <c r="H514" s="295"/>
      <c r="I514" s="295"/>
      <c r="J514" s="295"/>
      <c r="K514" s="295"/>
      <c r="L514" s="295"/>
      <c r="N514" s="296"/>
      <c r="O514" s="296"/>
      <c r="P514" s="297"/>
      <c r="Q514" s="297"/>
      <c r="R514" s="297"/>
      <c r="S514" s="297"/>
      <c r="T514" s="298"/>
      <c r="U514" s="296"/>
      <c r="V514" s="296"/>
      <c r="W514" s="297"/>
      <c r="X514" s="297"/>
      <c r="Y514" s="297"/>
      <c r="Z514" s="297"/>
      <c r="AA514" s="299"/>
      <c r="AB514" s="296"/>
      <c r="AC514" s="296"/>
      <c r="AD514" s="297"/>
      <c r="AE514" s="297"/>
      <c r="AF514" s="297"/>
      <c r="AG514" s="297"/>
      <c r="AH514" s="295"/>
      <c r="AI514" s="293"/>
      <c r="AJ514" s="293"/>
      <c r="AK514" s="297"/>
      <c r="AL514" s="297"/>
      <c r="AM514" s="297"/>
      <c r="AN514" s="297"/>
      <c r="AO514" s="295"/>
    </row>
    <row r="515" spans="2:41" ht="13">
      <c r="B515" s="294"/>
      <c r="C515" s="295"/>
      <c r="D515" s="295"/>
      <c r="E515" s="294"/>
      <c r="F515" s="294"/>
      <c r="G515" s="295"/>
      <c r="H515" s="295"/>
      <c r="I515" s="295"/>
      <c r="J515" s="295"/>
      <c r="K515" s="295"/>
      <c r="L515" s="295"/>
      <c r="N515" s="296"/>
      <c r="O515" s="296"/>
      <c r="P515" s="297"/>
      <c r="Q515" s="297"/>
      <c r="R515" s="297"/>
      <c r="S515" s="297"/>
      <c r="T515" s="298"/>
      <c r="U515" s="296"/>
      <c r="V515" s="296"/>
      <c r="W515" s="297"/>
      <c r="X515" s="297"/>
      <c r="Y515" s="297"/>
      <c r="Z515" s="297"/>
      <c r="AA515" s="299"/>
      <c r="AB515" s="296"/>
      <c r="AC515" s="296"/>
      <c r="AD515" s="297"/>
      <c r="AE515" s="297"/>
      <c r="AF515" s="297"/>
      <c r="AG515" s="297"/>
      <c r="AH515" s="295"/>
      <c r="AI515" s="293"/>
      <c r="AJ515" s="293"/>
      <c r="AK515" s="297"/>
      <c r="AL515" s="297"/>
      <c r="AM515" s="297"/>
      <c r="AN515" s="297"/>
      <c r="AO515" s="295"/>
    </row>
    <row r="516" spans="2:41" ht="13">
      <c r="B516" s="294"/>
      <c r="C516" s="295"/>
      <c r="D516" s="295"/>
      <c r="E516" s="294"/>
      <c r="F516" s="294"/>
      <c r="G516" s="295"/>
      <c r="H516" s="295"/>
      <c r="I516" s="295"/>
      <c r="J516" s="295"/>
      <c r="K516" s="295"/>
      <c r="L516" s="295"/>
      <c r="N516" s="296"/>
      <c r="O516" s="296"/>
      <c r="P516" s="297"/>
      <c r="Q516" s="297"/>
      <c r="R516" s="297"/>
      <c r="S516" s="297"/>
      <c r="T516" s="298"/>
      <c r="U516" s="296"/>
      <c r="V516" s="296"/>
      <c r="W516" s="297"/>
      <c r="X516" s="297"/>
      <c r="Y516" s="297"/>
      <c r="Z516" s="297"/>
      <c r="AA516" s="299"/>
      <c r="AB516" s="296"/>
      <c r="AC516" s="296"/>
      <c r="AD516" s="297"/>
      <c r="AE516" s="297"/>
      <c r="AF516" s="297"/>
      <c r="AG516" s="297"/>
      <c r="AH516" s="295"/>
      <c r="AI516" s="293"/>
      <c r="AJ516" s="293"/>
      <c r="AK516" s="297"/>
      <c r="AL516" s="297"/>
      <c r="AM516" s="297"/>
      <c r="AN516" s="297"/>
      <c r="AO516" s="295"/>
    </row>
    <row r="517" spans="2:41" ht="13">
      <c r="B517" s="294"/>
      <c r="C517" s="295"/>
      <c r="D517" s="295"/>
      <c r="E517" s="294"/>
      <c r="F517" s="294"/>
      <c r="G517" s="295"/>
      <c r="H517" s="295"/>
      <c r="I517" s="295"/>
      <c r="J517" s="295"/>
      <c r="K517" s="295"/>
      <c r="L517" s="295"/>
      <c r="N517" s="296"/>
      <c r="O517" s="296"/>
      <c r="P517" s="297"/>
      <c r="Q517" s="297"/>
      <c r="R517" s="297"/>
      <c r="S517" s="297"/>
      <c r="T517" s="298"/>
      <c r="U517" s="296"/>
      <c r="V517" s="296"/>
      <c r="W517" s="297"/>
      <c r="X517" s="297"/>
      <c r="Y517" s="297"/>
      <c r="Z517" s="297"/>
      <c r="AA517" s="299"/>
      <c r="AB517" s="296"/>
      <c r="AC517" s="296"/>
      <c r="AD517" s="297"/>
      <c r="AE517" s="297"/>
      <c r="AF517" s="297"/>
      <c r="AG517" s="297"/>
      <c r="AH517" s="295"/>
      <c r="AI517" s="293"/>
      <c r="AJ517" s="293"/>
      <c r="AK517" s="297"/>
      <c r="AL517" s="297"/>
      <c r="AM517" s="297"/>
      <c r="AN517" s="297"/>
      <c r="AO517" s="295"/>
    </row>
    <row r="518" spans="2:41" ht="13">
      <c r="B518" s="294"/>
      <c r="C518" s="295"/>
      <c r="D518" s="295"/>
      <c r="E518" s="294"/>
      <c r="F518" s="294"/>
      <c r="G518" s="295"/>
      <c r="H518" s="295"/>
      <c r="I518" s="295"/>
      <c r="J518" s="295"/>
      <c r="K518" s="295"/>
      <c r="L518" s="295"/>
      <c r="N518" s="296"/>
      <c r="O518" s="296"/>
      <c r="P518" s="297"/>
      <c r="Q518" s="297"/>
      <c r="R518" s="297"/>
      <c r="S518" s="297"/>
      <c r="T518" s="298"/>
      <c r="U518" s="296"/>
      <c r="V518" s="296"/>
      <c r="W518" s="297"/>
      <c r="X518" s="297"/>
      <c r="Y518" s="297"/>
      <c r="Z518" s="297"/>
      <c r="AA518" s="299"/>
      <c r="AB518" s="296"/>
      <c r="AC518" s="296"/>
      <c r="AD518" s="297"/>
      <c r="AE518" s="297"/>
      <c r="AF518" s="297"/>
      <c r="AG518" s="297"/>
      <c r="AH518" s="295"/>
      <c r="AI518" s="293"/>
      <c r="AJ518" s="293"/>
      <c r="AK518" s="297"/>
      <c r="AL518" s="297"/>
      <c r="AM518" s="297"/>
      <c r="AN518" s="297"/>
      <c r="AO518" s="295"/>
    </row>
    <row r="519" spans="2:41" ht="13">
      <c r="B519" s="294"/>
      <c r="C519" s="295"/>
      <c r="D519" s="295"/>
      <c r="E519" s="294"/>
      <c r="F519" s="294"/>
      <c r="G519" s="295"/>
      <c r="H519" s="295"/>
      <c r="I519" s="295"/>
      <c r="J519" s="295"/>
      <c r="K519" s="295"/>
      <c r="L519" s="295"/>
      <c r="N519" s="296"/>
      <c r="O519" s="296"/>
      <c r="P519" s="297"/>
      <c r="Q519" s="297"/>
      <c r="R519" s="297"/>
      <c r="S519" s="297"/>
      <c r="T519" s="298"/>
      <c r="U519" s="296"/>
      <c r="V519" s="296"/>
      <c r="W519" s="297"/>
      <c r="X519" s="297"/>
      <c r="Y519" s="297"/>
      <c r="Z519" s="297"/>
      <c r="AA519" s="299"/>
      <c r="AB519" s="296"/>
      <c r="AC519" s="296"/>
      <c r="AD519" s="297"/>
      <c r="AE519" s="297"/>
      <c r="AF519" s="297"/>
      <c r="AG519" s="297"/>
      <c r="AH519" s="295"/>
      <c r="AI519" s="293"/>
      <c r="AJ519" s="293"/>
      <c r="AK519" s="297"/>
      <c r="AL519" s="297"/>
      <c r="AM519" s="297"/>
      <c r="AN519" s="297"/>
      <c r="AO519" s="295"/>
    </row>
    <row r="520" spans="2:41" ht="13">
      <c r="B520" s="294"/>
      <c r="C520" s="295"/>
      <c r="D520" s="295"/>
      <c r="E520" s="294"/>
      <c r="F520" s="294"/>
      <c r="G520" s="295"/>
      <c r="H520" s="295"/>
      <c r="I520" s="295"/>
      <c r="J520" s="295"/>
      <c r="K520" s="295"/>
      <c r="L520" s="295"/>
      <c r="N520" s="296"/>
      <c r="O520" s="296"/>
      <c r="P520" s="297"/>
      <c r="Q520" s="297"/>
      <c r="R520" s="297"/>
      <c r="S520" s="297"/>
      <c r="T520" s="298"/>
      <c r="U520" s="296"/>
      <c r="V520" s="296"/>
      <c r="W520" s="297"/>
      <c r="X520" s="297"/>
      <c r="Y520" s="297"/>
      <c r="Z520" s="297"/>
      <c r="AA520" s="299"/>
      <c r="AB520" s="296"/>
      <c r="AC520" s="296"/>
      <c r="AD520" s="297"/>
      <c r="AE520" s="297"/>
      <c r="AF520" s="297"/>
      <c r="AG520" s="297"/>
      <c r="AH520" s="295"/>
      <c r="AI520" s="293"/>
      <c r="AJ520" s="293"/>
      <c r="AK520" s="297"/>
      <c r="AL520" s="297"/>
      <c r="AM520" s="297"/>
      <c r="AN520" s="297"/>
      <c r="AO520" s="295"/>
    </row>
    <row r="521" spans="2:41" ht="13">
      <c r="B521" s="294"/>
      <c r="C521" s="295"/>
      <c r="D521" s="295"/>
      <c r="E521" s="294"/>
      <c r="F521" s="294"/>
      <c r="G521" s="295"/>
      <c r="H521" s="295"/>
      <c r="I521" s="295"/>
      <c r="J521" s="295"/>
      <c r="K521" s="295"/>
      <c r="L521" s="295"/>
      <c r="N521" s="296"/>
      <c r="O521" s="296"/>
      <c r="P521" s="297"/>
      <c r="Q521" s="297"/>
      <c r="R521" s="297"/>
      <c r="S521" s="297"/>
      <c r="T521" s="298"/>
      <c r="U521" s="296"/>
      <c r="V521" s="296"/>
      <c r="W521" s="297"/>
      <c r="X521" s="297"/>
      <c r="Y521" s="297"/>
      <c r="Z521" s="297"/>
      <c r="AA521" s="299"/>
      <c r="AB521" s="296"/>
      <c r="AC521" s="296"/>
      <c r="AD521" s="297"/>
      <c r="AE521" s="297"/>
      <c r="AF521" s="297"/>
      <c r="AG521" s="297"/>
      <c r="AH521" s="295"/>
      <c r="AI521" s="293"/>
      <c r="AJ521" s="293"/>
      <c r="AK521" s="297"/>
      <c r="AL521" s="297"/>
      <c r="AM521" s="297"/>
      <c r="AN521" s="297"/>
      <c r="AO521" s="295"/>
    </row>
    <row r="522" spans="2:41" ht="13">
      <c r="B522" s="294"/>
      <c r="C522" s="295"/>
      <c r="D522" s="295"/>
      <c r="E522" s="294"/>
      <c r="F522" s="294"/>
      <c r="G522" s="295"/>
      <c r="H522" s="295"/>
      <c r="I522" s="295"/>
      <c r="J522" s="295"/>
      <c r="K522" s="295"/>
      <c r="L522" s="295"/>
      <c r="N522" s="296"/>
      <c r="O522" s="296"/>
      <c r="P522" s="297"/>
      <c r="Q522" s="297"/>
      <c r="R522" s="297"/>
      <c r="S522" s="297"/>
      <c r="T522" s="298"/>
      <c r="U522" s="296"/>
      <c r="V522" s="296"/>
      <c r="W522" s="297"/>
      <c r="X522" s="297"/>
      <c r="Y522" s="297"/>
      <c r="Z522" s="297"/>
      <c r="AA522" s="299"/>
      <c r="AB522" s="296"/>
      <c r="AC522" s="296"/>
      <c r="AD522" s="297"/>
      <c r="AE522" s="297"/>
      <c r="AF522" s="297"/>
      <c r="AG522" s="297"/>
      <c r="AH522" s="295"/>
      <c r="AI522" s="293"/>
      <c r="AJ522" s="293"/>
      <c r="AK522" s="297"/>
      <c r="AL522" s="297"/>
      <c r="AM522" s="297"/>
      <c r="AN522" s="297"/>
      <c r="AO522" s="295"/>
    </row>
    <row r="523" spans="2:41" ht="13">
      <c r="B523" s="294"/>
      <c r="C523" s="295"/>
      <c r="D523" s="295"/>
      <c r="E523" s="294"/>
      <c r="F523" s="294"/>
      <c r="G523" s="295"/>
      <c r="H523" s="295"/>
      <c r="I523" s="295"/>
      <c r="J523" s="295"/>
      <c r="K523" s="295"/>
      <c r="L523" s="295"/>
      <c r="N523" s="296"/>
      <c r="O523" s="296"/>
      <c r="P523" s="297"/>
      <c r="Q523" s="297"/>
      <c r="R523" s="297"/>
      <c r="S523" s="297"/>
      <c r="T523" s="298"/>
      <c r="U523" s="296"/>
      <c r="V523" s="296"/>
      <c r="W523" s="297"/>
      <c r="X523" s="297"/>
      <c r="Y523" s="297"/>
      <c r="Z523" s="297"/>
      <c r="AA523" s="299"/>
      <c r="AB523" s="296"/>
      <c r="AC523" s="296"/>
      <c r="AD523" s="297"/>
      <c r="AE523" s="297"/>
      <c r="AF523" s="297"/>
      <c r="AG523" s="297"/>
      <c r="AH523" s="295"/>
      <c r="AI523" s="293"/>
      <c r="AJ523" s="293"/>
      <c r="AK523" s="297"/>
      <c r="AL523" s="297"/>
      <c r="AM523" s="297"/>
      <c r="AN523" s="297"/>
      <c r="AO523" s="295"/>
    </row>
    <row r="524" spans="2:41" ht="13">
      <c r="B524" s="294"/>
      <c r="C524" s="295"/>
      <c r="D524" s="295"/>
      <c r="E524" s="294"/>
      <c r="F524" s="294"/>
      <c r="G524" s="295"/>
      <c r="H524" s="295"/>
      <c r="I524" s="295"/>
      <c r="J524" s="295"/>
      <c r="K524" s="295"/>
      <c r="L524" s="295"/>
      <c r="N524" s="296"/>
      <c r="O524" s="296"/>
      <c r="P524" s="297"/>
      <c r="Q524" s="297"/>
      <c r="R524" s="297"/>
      <c r="S524" s="297"/>
      <c r="T524" s="298"/>
      <c r="U524" s="296"/>
      <c r="V524" s="296"/>
      <c r="W524" s="297"/>
      <c r="X524" s="297"/>
      <c r="Y524" s="297"/>
      <c r="Z524" s="297"/>
      <c r="AA524" s="299"/>
      <c r="AB524" s="296"/>
      <c r="AC524" s="296"/>
      <c r="AD524" s="297"/>
      <c r="AE524" s="297"/>
      <c r="AF524" s="297"/>
      <c r="AG524" s="297"/>
      <c r="AH524" s="295"/>
      <c r="AI524" s="293"/>
      <c r="AJ524" s="293"/>
      <c r="AK524" s="297"/>
      <c r="AL524" s="297"/>
      <c r="AM524" s="297"/>
      <c r="AN524" s="297"/>
      <c r="AO524" s="295"/>
    </row>
    <row r="525" spans="2:41" ht="13">
      <c r="B525" s="294"/>
      <c r="C525" s="295"/>
      <c r="D525" s="295"/>
      <c r="E525" s="294"/>
      <c r="F525" s="294"/>
      <c r="G525" s="295"/>
      <c r="H525" s="295"/>
      <c r="I525" s="295"/>
      <c r="J525" s="295"/>
      <c r="K525" s="295"/>
      <c r="L525" s="295"/>
      <c r="N525" s="296"/>
      <c r="O525" s="296"/>
      <c r="P525" s="297"/>
      <c r="Q525" s="297"/>
      <c r="R525" s="297"/>
      <c r="S525" s="297"/>
      <c r="T525" s="298"/>
      <c r="U525" s="296"/>
      <c r="V525" s="296"/>
      <c r="W525" s="297"/>
      <c r="X525" s="297"/>
      <c r="Y525" s="297"/>
      <c r="Z525" s="297"/>
      <c r="AA525" s="299"/>
      <c r="AB525" s="296"/>
      <c r="AC525" s="296"/>
      <c r="AD525" s="297"/>
      <c r="AE525" s="297"/>
      <c r="AF525" s="297"/>
      <c r="AG525" s="297"/>
      <c r="AH525" s="295"/>
      <c r="AI525" s="293"/>
      <c r="AJ525" s="293"/>
      <c r="AK525" s="297"/>
      <c r="AL525" s="297"/>
      <c r="AM525" s="297"/>
      <c r="AN525" s="297"/>
      <c r="AO525" s="295"/>
    </row>
    <row r="526" spans="2:41" ht="13">
      <c r="B526" s="294"/>
      <c r="C526" s="295"/>
      <c r="D526" s="295"/>
      <c r="E526" s="294"/>
      <c r="F526" s="294"/>
      <c r="G526" s="295"/>
      <c r="H526" s="295"/>
      <c r="I526" s="295"/>
      <c r="J526" s="295"/>
      <c r="K526" s="295"/>
      <c r="L526" s="295"/>
      <c r="N526" s="296"/>
      <c r="O526" s="296"/>
      <c r="P526" s="297"/>
      <c r="Q526" s="297"/>
      <c r="R526" s="297"/>
      <c r="S526" s="297"/>
      <c r="T526" s="298"/>
      <c r="U526" s="296"/>
      <c r="V526" s="296"/>
      <c r="W526" s="297"/>
      <c r="X526" s="297"/>
      <c r="Y526" s="297"/>
      <c r="Z526" s="297"/>
      <c r="AA526" s="299"/>
      <c r="AB526" s="296"/>
      <c r="AC526" s="296"/>
      <c r="AD526" s="297"/>
      <c r="AE526" s="297"/>
      <c r="AF526" s="297"/>
      <c r="AG526" s="297"/>
      <c r="AH526" s="295"/>
      <c r="AI526" s="293"/>
      <c r="AJ526" s="293"/>
      <c r="AK526" s="297"/>
      <c r="AL526" s="297"/>
      <c r="AM526" s="297"/>
      <c r="AN526" s="297"/>
      <c r="AO526" s="295"/>
    </row>
    <row r="527" spans="2:41" ht="13">
      <c r="B527" s="294"/>
      <c r="C527" s="295"/>
      <c r="D527" s="295"/>
      <c r="E527" s="294"/>
      <c r="F527" s="294"/>
      <c r="G527" s="295"/>
      <c r="H527" s="295"/>
      <c r="I527" s="295"/>
      <c r="J527" s="295"/>
      <c r="K527" s="295"/>
      <c r="L527" s="295"/>
      <c r="N527" s="296"/>
      <c r="O527" s="296"/>
      <c r="P527" s="297"/>
      <c r="Q527" s="297"/>
      <c r="R527" s="297"/>
      <c r="S527" s="297"/>
      <c r="T527" s="298"/>
      <c r="U527" s="296"/>
      <c r="V527" s="296"/>
      <c r="W527" s="297"/>
      <c r="X527" s="297"/>
      <c r="Y527" s="297"/>
      <c r="Z527" s="297"/>
      <c r="AA527" s="299"/>
      <c r="AB527" s="296"/>
      <c r="AC527" s="296"/>
      <c r="AD527" s="297"/>
      <c r="AE527" s="297"/>
      <c r="AF527" s="297"/>
      <c r="AG527" s="297"/>
      <c r="AH527" s="295"/>
      <c r="AI527" s="293"/>
      <c r="AJ527" s="293"/>
      <c r="AK527" s="297"/>
      <c r="AL527" s="297"/>
      <c r="AM527" s="297"/>
      <c r="AN527" s="297"/>
      <c r="AO527" s="295"/>
    </row>
    <row r="528" spans="2:41" ht="13">
      <c r="B528" s="294"/>
      <c r="C528" s="295"/>
      <c r="D528" s="295"/>
      <c r="E528" s="294"/>
      <c r="F528" s="294"/>
      <c r="G528" s="295"/>
      <c r="H528" s="295"/>
      <c r="I528" s="295"/>
      <c r="J528" s="295"/>
      <c r="K528" s="295"/>
      <c r="L528" s="295"/>
      <c r="N528" s="296"/>
      <c r="O528" s="296"/>
      <c r="P528" s="297"/>
      <c r="Q528" s="297"/>
      <c r="R528" s="297"/>
      <c r="S528" s="297"/>
      <c r="T528" s="298"/>
      <c r="U528" s="296"/>
      <c r="V528" s="296"/>
      <c r="W528" s="297"/>
      <c r="X528" s="297"/>
      <c r="Y528" s="297"/>
      <c r="Z528" s="297"/>
      <c r="AA528" s="299"/>
      <c r="AB528" s="296"/>
      <c r="AC528" s="296"/>
      <c r="AD528" s="297"/>
      <c r="AE528" s="297"/>
      <c r="AF528" s="297"/>
      <c r="AG528" s="297"/>
      <c r="AH528" s="295"/>
      <c r="AI528" s="293"/>
      <c r="AJ528" s="293"/>
      <c r="AK528" s="297"/>
      <c r="AL528" s="297"/>
      <c r="AM528" s="297"/>
      <c r="AN528" s="297"/>
      <c r="AO528" s="295"/>
    </row>
    <row r="529" spans="2:41" ht="13">
      <c r="B529" s="294"/>
      <c r="C529" s="295"/>
      <c r="D529" s="295"/>
      <c r="E529" s="294"/>
      <c r="F529" s="294"/>
      <c r="G529" s="295"/>
      <c r="H529" s="295"/>
      <c r="I529" s="295"/>
      <c r="J529" s="295"/>
      <c r="K529" s="295"/>
      <c r="L529" s="295"/>
      <c r="N529" s="296"/>
      <c r="O529" s="296"/>
      <c r="P529" s="297"/>
      <c r="Q529" s="297"/>
      <c r="R529" s="297"/>
      <c r="S529" s="297"/>
      <c r="T529" s="298"/>
      <c r="U529" s="296"/>
      <c r="V529" s="296"/>
      <c r="W529" s="297"/>
      <c r="X529" s="297"/>
      <c r="Y529" s="297"/>
      <c r="Z529" s="297"/>
      <c r="AA529" s="299"/>
      <c r="AB529" s="296"/>
      <c r="AC529" s="296"/>
      <c r="AD529" s="297"/>
      <c r="AE529" s="297"/>
      <c r="AF529" s="297"/>
      <c r="AG529" s="297"/>
      <c r="AH529" s="295"/>
      <c r="AI529" s="293"/>
      <c r="AJ529" s="293"/>
      <c r="AK529" s="297"/>
      <c r="AL529" s="297"/>
      <c r="AM529" s="297"/>
      <c r="AN529" s="297"/>
      <c r="AO529" s="295"/>
    </row>
    <row r="530" spans="2:41" ht="13">
      <c r="B530" s="294"/>
      <c r="C530" s="295"/>
      <c r="D530" s="295"/>
      <c r="E530" s="294"/>
      <c r="F530" s="294"/>
      <c r="G530" s="295"/>
      <c r="H530" s="295"/>
      <c r="I530" s="295"/>
      <c r="J530" s="295"/>
      <c r="K530" s="295"/>
      <c r="L530" s="295"/>
      <c r="N530" s="296"/>
      <c r="O530" s="296"/>
      <c r="P530" s="297"/>
      <c r="Q530" s="297"/>
      <c r="R530" s="297"/>
      <c r="S530" s="297"/>
      <c r="T530" s="298"/>
      <c r="U530" s="296"/>
      <c r="V530" s="296"/>
      <c r="W530" s="297"/>
      <c r="X530" s="297"/>
      <c r="Y530" s="297"/>
      <c r="Z530" s="297"/>
      <c r="AA530" s="299"/>
      <c r="AB530" s="296"/>
      <c r="AC530" s="296"/>
      <c r="AD530" s="297"/>
      <c r="AE530" s="297"/>
      <c r="AF530" s="297"/>
      <c r="AG530" s="297"/>
      <c r="AH530" s="295"/>
      <c r="AI530" s="293"/>
      <c r="AJ530" s="293"/>
      <c r="AK530" s="297"/>
      <c r="AL530" s="297"/>
      <c r="AM530" s="297"/>
      <c r="AN530" s="297"/>
      <c r="AO530" s="295"/>
    </row>
    <row r="531" spans="2:41" ht="13">
      <c r="B531" s="294"/>
      <c r="C531" s="295"/>
      <c r="D531" s="295"/>
      <c r="E531" s="294"/>
      <c r="F531" s="294"/>
      <c r="G531" s="295"/>
      <c r="H531" s="295"/>
      <c r="I531" s="295"/>
      <c r="J531" s="295"/>
      <c r="K531" s="295"/>
      <c r="L531" s="295"/>
      <c r="N531" s="296"/>
      <c r="O531" s="296"/>
      <c r="P531" s="297"/>
      <c r="Q531" s="297"/>
      <c r="R531" s="297"/>
      <c r="S531" s="297"/>
      <c r="T531" s="298"/>
      <c r="U531" s="296"/>
      <c r="V531" s="296"/>
      <c r="W531" s="297"/>
      <c r="X531" s="297"/>
      <c r="Y531" s="297"/>
      <c r="Z531" s="297"/>
      <c r="AA531" s="299"/>
      <c r="AB531" s="296"/>
      <c r="AC531" s="296"/>
      <c r="AD531" s="297"/>
      <c r="AE531" s="297"/>
      <c r="AF531" s="297"/>
      <c r="AG531" s="297"/>
      <c r="AH531" s="295"/>
      <c r="AI531" s="293"/>
      <c r="AJ531" s="293"/>
      <c r="AK531" s="297"/>
      <c r="AL531" s="297"/>
      <c r="AM531" s="297"/>
      <c r="AN531" s="297"/>
      <c r="AO531" s="295"/>
    </row>
    <row r="532" spans="2:41" ht="13">
      <c r="B532" s="294"/>
      <c r="C532" s="295"/>
      <c r="D532" s="295"/>
      <c r="E532" s="294"/>
      <c r="F532" s="294"/>
      <c r="G532" s="295"/>
      <c r="H532" s="295"/>
      <c r="I532" s="295"/>
      <c r="J532" s="295"/>
      <c r="K532" s="295"/>
      <c r="L532" s="295"/>
      <c r="N532" s="296"/>
      <c r="O532" s="296"/>
      <c r="P532" s="297"/>
      <c r="Q532" s="297"/>
      <c r="R532" s="297"/>
      <c r="S532" s="297"/>
      <c r="T532" s="298"/>
      <c r="U532" s="296"/>
      <c r="V532" s="296"/>
      <c r="W532" s="297"/>
      <c r="X532" s="297"/>
      <c r="Y532" s="297"/>
      <c r="Z532" s="297"/>
      <c r="AA532" s="299"/>
      <c r="AB532" s="296"/>
      <c r="AC532" s="296"/>
      <c r="AD532" s="297"/>
      <c r="AE532" s="297"/>
      <c r="AF532" s="297"/>
      <c r="AG532" s="297"/>
      <c r="AH532" s="295"/>
      <c r="AI532" s="293"/>
      <c r="AJ532" s="293"/>
      <c r="AK532" s="297"/>
      <c r="AL532" s="297"/>
      <c r="AM532" s="297"/>
      <c r="AN532" s="297"/>
      <c r="AO532" s="295"/>
    </row>
    <row r="533" spans="2:41" ht="13">
      <c r="B533" s="294"/>
      <c r="C533" s="295"/>
      <c r="D533" s="295"/>
      <c r="E533" s="294"/>
      <c r="F533" s="294"/>
      <c r="G533" s="295"/>
      <c r="H533" s="295"/>
      <c r="I533" s="295"/>
      <c r="J533" s="295"/>
      <c r="K533" s="295"/>
      <c r="L533" s="295"/>
      <c r="N533" s="296"/>
      <c r="O533" s="296"/>
      <c r="P533" s="297"/>
      <c r="Q533" s="297"/>
      <c r="R533" s="297"/>
      <c r="S533" s="297"/>
      <c r="T533" s="298"/>
      <c r="U533" s="296"/>
      <c r="V533" s="296"/>
      <c r="W533" s="297"/>
      <c r="X533" s="297"/>
      <c r="Y533" s="297"/>
      <c r="Z533" s="297"/>
      <c r="AA533" s="299"/>
      <c r="AB533" s="296"/>
      <c r="AC533" s="296"/>
      <c r="AD533" s="297"/>
      <c r="AE533" s="297"/>
      <c r="AF533" s="297"/>
      <c r="AG533" s="297"/>
      <c r="AH533" s="295"/>
      <c r="AI533" s="293"/>
      <c r="AJ533" s="293"/>
      <c r="AK533" s="297"/>
      <c r="AL533" s="297"/>
      <c r="AM533" s="297"/>
      <c r="AN533" s="297"/>
      <c r="AO533" s="295"/>
    </row>
    <row r="534" spans="2:41" ht="13">
      <c r="B534" s="294"/>
      <c r="C534" s="295"/>
      <c r="D534" s="295"/>
      <c r="E534" s="294"/>
      <c r="F534" s="294"/>
      <c r="G534" s="295"/>
      <c r="H534" s="295"/>
      <c r="I534" s="295"/>
      <c r="J534" s="295"/>
      <c r="K534" s="295"/>
      <c r="L534" s="295"/>
      <c r="N534" s="296"/>
      <c r="O534" s="296"/>
      <c r="P534" s="297"/>
      <c r="Q534" s="297"/>
      <c r="R534" s="297"/>
      <c r="S534" s="297"/>
      <c r="T534" s="298"/>
      <c r="U534" s="296"/>
      <c r="V534" s="296"/>
      <c r="W534" s="297"/>
      <c r="X534" s="297"/>
      <c r="Y534" s="297"/>
      <c r="Z534" s="297"/>
      <c r="AA534" s="299"/>
      <c r="AB534" s="296"/>
      <c r="AC534" s="296"/>
      <c r="AD534" s="297"/>
      <c r="AE534" s="297"/>
      <c r="AF534" s="297"/>
      <c r="AG534" s="297"/>
      <c r="AH534" s="295"/>
      <c r="AI534" s="293"/>
      <c r="AJ534" s="293"/>
      <c r="AK534" s="297"/>
      <c r="AL534" s="297"/>
      <c r="AM534" s="297"/>
      <c r="AN534" s="297"/>
      <c r="AO534" s="295"/>
    </row>
    <row r="535" spans="2:41" ht="13">
      <c r="B535" s="294"/>
      <c r="C535" s="295"/>
      <c r="D535" s="295"/>
      <c r="E535" s="294"/>
      <c r="F535" s="294"/>
      <c r="G535" s="295"/>
      <c r="H535" s="295"/>
      <c r="I535" s="295"/>
      <c r="J535" s="295"/>
      <c r="K535" s="295"/>
      <c r="L535" s="295"/>
      <c r="N535" s="296"/>
      <c r="O535" s="296"/>
      <c r="P535" s="297"/>
      <c r="Q535" s="297"/>
      <c r="R535" s="297"/>
      <c r="S535" s="297"/>
      <c r="T535" s="298"/>
      <c r="U535" s="296"/>
      <c r="V535" s="296"/>
      <c r="W535" s="297"/>
      <c r="X535" s="297"/>
      <c r="Y535" s="297"/>
      <c r="Z535" s="297"/>
      <c r="AA535" s="299"/>
      <c r="AB535" s="296"/>
      <c r="AC535" s="296"/>
      <c r="AD535" s="297"/>
      <c r="AE535" s="297"/>
      <c r="AF535" s="297"/>
      <c r="AG535" s="297"/>
      <c r="AH535" s="295"/>
      <c r="AI535" s="293"/>
      <c r="AJ535" s="293"/>
      <c r="AK535" s="297"/>
      <c r="AL535" s="297"/>
      <c r="AM535" s="297"/>
      <c r="AN535" s="297"/>
      <c r="AO535" s="295"/>
    </row>
    <row r="536" spans="2:41" ht="13">
      <c r="B536" s="294"/>
      <c r="C536" s="295"/>
      <c r="D536" s="295"/>
      <c r="E536" s="294"/>
      <c r="F536" s="294"/>
      <c r="G536" s="295"/>
      <c r="H536" s="295"/>
      <c r="I536" s="295"/>
      <c r="J536" s="295"/>
      <c r="K536" s="295"/>
      <c r="L536" s="295"/>
      <c r="N536" s="296"/>
      <c r="O536" s="296"/>
      <c r="P536" s="297"/>
      <c r="Q536" s="297"/>
      <c r="R536" s="297"/>
      <c r="S536" s="297"/>
      <c r="T536" s="298"/>
      <c r="U536" s="296"/>
      <c r="V536" s="296"/>
      <c r="W536" s="297"/>
      <c r="X536" s="297"/>
      <c r="Y536" s="297"/>
      <c r="Z536" s="297"/>
      <c r="AA536" s="299"/>
      <c r="AB536" s="296"/>
      <c r="AC536" s="296"/>
      <c r="AD536" s="297"/>
      <c r="AE536" s="297"/>
      <c r="AF536" s="297"/>
      <c r="AG536" s="297"/>
      <c r="AH536" s="295"/>
      <c r="AI536" s="293"/>
      <c r="AJ536" s="293"/>
      <c r="AK536" s="297"/>
      <c r="AL536" s="297"/>
      <c r="AM536" s="297"/>
      <c r="AN536" s="297"/>
      <c r="AO536" s="295"/>
    </row>
    <row r="537" spans="2:41" ht="13">
      <c r="B537" s="294"/>
      <c r="C537" s="295"/>
      <c r="D537" s="295"/>
      <c r="E537" s="294"/>
      <c r="F537" s="294"/>
      <c r="G537" s="295"/>
      <c r="H537" s="295"/>
      <c r="I537" s="295"/>
      <c r="J537" s="295"/>
      <c r="K537" s="295"/>
      <c r="L537" s="295"/>
      <c r="N537" s="296"/>
      <c r="O537" s="296"/>
      <c r="P537" s="297"/>
      <c r="Q537" s="297"/>
      <c r="R537" s="297"/>
      <c r="S537" s="297"/>
      <c r="T537" s="298"/>
      <c r="U537" s="296"/>
      <c r="V537" s="296"/>
      <c r="W537" s="297"/>
      <c r="X537" s="297"/>
      <c r="Y537" s="297"/>
      <c r="Z537" s="297"/>
      <c r="AA537" s="299"/>
      <c r="AB537" s="296"/>
      <c r="AC537" s="296"/>
      <c r="AD537" s="297"/>
      <c r="AE537" s="297"/>
      <c r="AF537" s="297"/>
      <c r="AG537" s="297"/>
      <c r="AH537" s="295"/>
      <c r="AI537" s="293"/>
      <c r="AJ537" s="293"/>
      <c r="AK537" s="297"/>
      <c r="AL537" s="297"/>
      <c r="AM537" s="297"/>
      <c r="AN537" s="297"/>
      <c r="AO537" s="295"/>
    </row>
    <row r="538" spans="2:41" ht="13">
      <c r="B538" s="294"/>
      <c r="C538" s="295"/>
      <c r="D538" s="295"/>
      <c r="E538" s="294"/>
      <c r="F538" s="294"/>
      <c r="G538" s="295"/>
      <c r="H538" s="295"/>
      <c r="I538" s="295"/>
      <c r="J538" s="295"/>
      <c r="K538" s="295"/>
      <c r="L538" s="295"/>
      <c r="N538" s="296"/>
      <c r="O538" s="296"/>
      <c r="P538" s="297"/>
      <c r="Q538" s="297"/>
      <c r="R538" s="297"/>
      <c r="S538" s="297"/>
      <c r="T538" s="298"/>
      <c r="U538" s="296"/>
      <c r="V538" s="296"/>
      <c r="W538" s="297"/>
      <c r="X538" s="297"/>
      <c r="Y538" s="297"/>
      <c r="Z538" s="297"/>
      <c r="AA538" s="299"/>
      <c r="AB538" s="296"/>
      <c r="AC538" s="296"/>
      <c r="AD538" s="297"/>
      <c r="AE538" s="297"/>
      <c r="AF538" s="297"/>
      <c r="AG538" s="297"/>
      <c r="AH538" s="295"/>
      <c r="AI538" s="293"/>
      <c r="AJ538" s="293"/>
      <c r="AK538" s="297"/>
      <c r="AL538" s="297"/>
      <c r="AM538" s="297"/>
      <c r="AN538" s="297"/>
      <c r="AO538" s="295"/>
    </row>
    <row r="539" spans="2:41" ht="13">
      <c r="B539" s="294"/>
      <c r="C539" s="295"/>
      <c r="D539" s="295"/>
      <c r="E539" s="294"/>
      <c r="F539" s="294"/>
      <c r="G539" s="295"/>
      <c r="H539" s="295"/>
      <c r="I539" s="295"/>
      <c r="J539" s="295"/>
      <c r="K539" s="295"/>
      <c r="L539" s="295"/>
      <c r="N539" s="296"/>
      <c r="O539" s="296"/>
      <c r="P539" s="297"/>
      <c r="Q539" s="297"/>
      <c r="R539" s="297"/>
      <c r="S539" s="297"/>
      <c r="T539" s="298"/>
      <c r="U539" s="296"/>
      <c r="V539" s="296"/>
      <c r="W539" s="297"/>
      <c r="X539" s="297"/>
      <c r="Y539" s="297"/>
      <c r="Z539" s="297"/>
      <c r="AA539" s="299"/>
      <c r="AB539" s="296"/>
      <c r="AC539" s="296"/>
      <c r="AD539" s="297"/>
      <c r="AE539" s="297"/>
      <c r="AF539" s="297"/>
      <c r="AG539" s="297"/>
      <c r="AH539" s="295"/>
      <c r="AI539" s="293"/>
      <c r="AJ539" s="293"/>
      <c r="AK539" s="297"/>
      <c r="AL539" s="297"/>
      <c r="AM539" s="297"/>
      <c r="AN539" s="297"/>
      <c r="AO539" s="295"/>
    </row>
    <row r="540" spans="2:41" ht="13">
      <c r="B540" s="294"/>
      <c r="C540" s="295"/>
      <c r="D540" s="295"/>
      <c r="E540" s="294"/>
      <c r="F540" s="294"/>
      <c r="G540" s="295"/>
      <c r="H540" s="295"/>
      <c r="I540" s="295"/>
      <c r="J540" s="295"/>
      <c r="K540" s="295"/>
      <c r="L540" s="295"/>
      <c r="N540" s="296"/>
      <c r="O540" s="296"/>
      <c r="P540" s="297"/>
      <c r="Q540" s="297"/>
      <c r="R540" s="297"/>
      <c r="S540" s="297"/>
      <c r="T540" s="298"/>
      <c r="U540" s="296"/>
      <c r="V540" s="296"/>
      <c r="W540" s="297"/>
      <c r="X540" s="297"/>
      <c r="Y540" s="297"/>
      <c r="Z540" s="297"/>
      <c r="AA540" s="299"/>
      <c r="AB540" s="296"/>
      <c r="AC540" s="296"/>
      <c r="AD540" s="297"/>
      <c r="AE540" s="297"/>
      <c r="AF540" s="297"/>
      <c r="AG540" s="297"/>
      <c r="AH540" s="295"/>
      <c r="AI540" s="293"/>
      <c r="AJ540" s="293"/>
      <c r="AK540" s="297"/>
      <c r="AL540" s="297"/>
      <c r="AM540" s="297"/>
      <c r="AN540" s="297"/>
      <c r="AO540" s="295"/>
    </row>
    <row r="541" spans="2:41" ht="13">
      <c r="B541" s="294"/>
      <c r="C541" s="295"/>
      <c r="D541" s="295"/>
      <c r="E541" s="294"/>
      <c r="F541" s="294"/>
      <c r="G541" s="295"/>
      <c r="H541" s="295"/>
      <c r="I541" s="295"/>
      <c r="J541" s="295"/>
      <c r="K541" s="295"/>
      <c r="L541" s="295"/>
      <c r="N541" s="296"/>
      <c r="O541" s="296"/>
      <c r="P541" s="297"/>
      <c r="Q541" s="297"/>
      <c r="R541" s="297"/>
      <c r="S541" s="297"/>
      <c r="T541" s="298"/>
      <c r="U541" s="296"/>
      <c r="V541" s="296"/>
      <c r="W541" s="297"/>
      <c r="X541" s="297"/>
      <c r="Y541" s="297"/>
      <c r="Z541" s="297"/>
      <c r="AA541" s="299"/>
      <c r="AB541" s="296"/>
      <c r="AC541" s="296"/>
      <c r="AD541" s="297"/>
      <c r="AE541" s="297"/>
      <c r="AF541" s="297"/>
      <c r="AG541" s="297"/>
      <c r="AH541" s="295"/>
      <c r="AI541" s="293"/>
      <c r="AJ541" s="293"/>
      <c r="AK541" s="297"/>
      <c r="AL541" s="297"/>
      <c r="AM541" s="297"/>
      <c r="AN541" s="297"/>
      <c r="AO541" s="295"/>
    </row>
    <row r="542" spans="2:41" ht="13">
      <c r="B542" s="294"/>
      <c r="C542" s="295"/>
      <c r="D542" s="295"/>
      <c r="E542" s="294"/>
      <c r="F542" s="294"/>
      <c r="G542" s="295"/>
      <c r="H542" s="295"/>
      <c r="I542" s="295"/>
      <c r="J542" s="295"/>
      <c r="K542" s="295"/>
      <c r="L542" s="295"/>
      <c r="N542" s="296"/>
      <c r="O542" s="296"/>
      <c r="P542" s="297"/>
      <c r="Q542" s="297"/>
      <c r="R542" s="297"/>
      <c r="S542" s="297"/>
      <c r="T542" s="298"/>
      <c r="U542" s="296"/>
      <c r="V542" s="296"/>
      <c r="W542" s="297"/>
      <c r="X542" s="297"/>
      <c r="Y542" s="297"/>
      <c r="Z542" s="297"/>
      <c r="AA542" s="299"/>
      <c r="AB542" s="296"/>
      <c r="AC542" s="296"/>
      <c r="AD542" s="297"/>
      <c r="AE542" s="297"/>
      <c r="AF542" s="297"/>
      <c r="AG542" s="297"/>
      <c r="AH542" s="295"/>
      <c r="AI542" s="293"/>
      <c r="AJ542" s="293"/>
      <c r="AK542" s="297"/>
      <c r="AL542" s="297"/>
      <c r="AM542" s="297"/>
      <c r="AN542" s="297"/>
      <c r="AO542" s="295"/>
    </row>
    <row r="543" spans="2:41" ht="13">
      <c r="B543" s="294"/>
      <c r="C543" s="295"/>
      <c r="D543" s="295"/>
      <c r="E543" s="294"/>
      <c r="F543" s="294"/>
      <c r="G543" s="295"/>
      <c r="H543" s="295"/>
      <c r="I543" s="295"/>
      <c r="J543" s="295"/>
      <c r="K543" s="295"/>
      <c r="L543" s="295"/>
      <c r="N543" s="296"/>
      <c r="O543" s="296"/>
      <c r="P543" s="297"/>
      <c r="Q543" s="297"/>
      <c r="R543" s="297"/>
      <c r="S543" s="297"/>
      <c r="T543" s="298"/>
      <c r="U543" s="296"/>
      <c r="V543" s="296"/>
      <c r="W543" s="297"/>
      <c r="X543" s="297"/>
      <c r="Y543" s="297"/>
      <c r="Z543" s="297"/>
      <c r="AA543" s="299"/>
      <c r="AB543" s="296"/>
      <c r="AC543" s="296"/>
      <c r="AD543" s="297"/>
      <c r="AE543" s="297"/>
      <c r="AF543" s="297"/>
      <c r="AG543" s="297"/>
      <c r="AH543" s="295"/>
      <c r="AI543" s="293"/>
      <c r="AJ543" s="293"/>
      <c r="AK543" s="297"/>
      <c r="AL543" s="297"/>
      <c r="AM543" s="297"/>
      <c r="AN543" s="297"/>
      <c r="AO543" s="295"/>
    </row>
    <row r="544" spans="2:41" ht="13">
      <c r="B544" s="294"/>
      <c r="C544" s="295"/>
      <c r="D544" s="295"/>
      <c r="E544" s="294"/>
      <c r="F544" s="294"/>
      <c r="G544" s="295"/>
      <c r="H544" s="295"/>
      <c r="I544" s="295"/>
      <c r="J544" s="295"/>
      <c r="K544" s="295"/>
      <c r="L544" s="295"/>
      <c r="N544" s="296"/>
      <c r="O544" s="296"/>
      <c r="P544" s="297"/>
      <c r="Q544" s="297"/>
      <c r="R544" s="297"/>
      <c r="S544" s="297"/>
      <c r="T544" s="298"/>
      <c r="U544" s="296"/>
      <c r="V544" s="296"/>
      <c r="W544" s="297"/>
      <c r="X544" s="297"/>
      <c r="Y544" s="297"/>
      <c r="Z544" s="297"/>
      <c r="AA544" s="299"/>
      <c r="AB544" s="296"/>
      <c r="AC544" s="296"/>
      <c r="AD544" s="297"/>
      <c r="AE544" s="297"/>
      <c r="AF544" s="297"/>
      <c r="AG544" s="297"/>
      <c r="AH544" s="295"/>
      <c r="AI544" s="293"/>
      <c r="AJ544" s="293"/>
      <c r="AK544" s="297"/>
      <c r="AL544" s="297"/>
      <c r="AM544" s="297"/>
      <c r="AN544" s="297"/>
      <c r="AO544" s="295"/>
    </row>
    <row r="545" spans="2:41" ht="13">
      <c r="B545" s="294"/>
      <c r="C545" s="295"/>
      <c r="D545" s="295"/>
      <c r="E545" s="294"/>
      <c r="F545" s="294"/>
      <c r="G545" s="295"/>
      <c r="H545" s="295"/>
      <c r="I545" s="295"/>
      <c r="J545" s="295"/>
      <c r="K545" s="295"/>
      <c r="L545" s="295"/>
      <c r="N545" s="296"/>
      <c r="O545" s="296"/>
      <c r="P545" s="297"/>
      <c r="Q545" s="297"/>
      <c r="R545" s="297"/>
      <c r="S545" s="297"/>
      <c r="T545" s="298"/>
      <c r="U545" s="296"/>
      <c r="V545" s="296"/>
      <c r="W545" s="297"/>
      <c r="X545" s="297"/>
      <c r="Y545" s="297"/>
      <c r="Z545" s="297"/>
      <c r="AA545" s="299"/>
      <c r="AB545" s="296"/>
      <c r="AC545" s="296"/>
      <c r="AD545" s="297"/>
      <c r="AE545" s="297"/>
      <c r="AF545" s="297"/>
      <c r="AG545" s="297"/>
      <c r="AH545" s="295"/>
      <c r="AI545" s="293"/>
      <c r="AJ545" s="293"/>
      <c r="AK545" s="297"/>
      <c r="AL545" s="297"/>
      <c r="AM545" s="297"/>
      <c r="AN545" s="297"/>
      <c r="AO545" s="295"/>
    </row>
    <row r="546" spans="2:41" ht="13">
      <c r="B546" s="294"/>
      <c r="C546" s="295"/>
      <c r="D546" s="295"/>
      <c r="E546" s="294"/>
      <c r="F546" s="294"/>
      <c r="G546" s="295"/>
      <c r="H546" s="295"/>
      <c r="I546" s="295"/>
      <c r="J546" s="295"/>
      <c r="K546" s="295"/>
      <c r="L546" s="295"/>
      <c r="N546" s="296"/>
      <c r="O546" s="296"/>
      <c r="P546" s="297"/>
      <c r="Q546" s="297"/>
      <c r="R546" s="297"/>
      <c r="S546" s="297"/>
      <c r="T546" s="298"/>
      <c r="U546" s="296"/>
      <c r="V546" s="296"/>
      <c r="W546" s="297"/>
      <c r="X546" s="297"/>
      <c r="Y546" s="297"/>
      <c r="Z546" s="297"/>
      <c r="AA546" s="299"/>
      <c r="AB546" s="296"/>
      <c r="AC546" s="296"/>
      <c r="AD546" s="297"/>
      <c r="AE546" s="297"/>
      <c r="AF546" s="297"/>
      <c r="AG546" s="297"/>
      <c r="AH546" s="295"/>
      <c r="AI546" s="293"/>
      <c r="AJ546" s="293"/>
      <c r="AK546" s="297"/>
      <c r="AL546" s="297"/>
      <c r="AM546" s="297"/>
      <c r="AN546" s="297"/>
      <c r="AO546" s="295"/>
    </row>
    <row r="547" spans="2:41" ht="13">
      <c r="B547" s="294"/>
      <c r="C547" s="295"/>
      <c r="D547" s="295"/>
      <c r="E547" s="294"/>
      <c r="F547" s="294"/>
      <c r="G547" s="295"/>
      <c r="H547" s="295"/>
      <c r="I547" s="295"/>
      <c r="J547" s="295"/>
      <c r="K547" s="295"/>
      <c r="L547" s="295"/>
      <c r="N547" s="296"/>
      <c r="O547" s="296"/>
      <c r="P547" s="297"/>
      <c r="Q547" s="297"/>
      <c r="R547" s="297"/>
      <c r="S547" s="297"/>
      <c r="T547" s="298"/>
      <c r="U547" s="296"/>
      <c r="V547" s="296"/>
      <c r="W547" s="297"/>
      <c r="X547" s="297"/>
      <c r="Y547" s="297"/>
      <c r="Z547" s="297"/>
      <c r="AA547" s="299"/>
      <c r="AB547" s="296"/>
      <c r="AC547" s="296"/>
      <c r="AD547" s="297"/>
      <c r="AE547" s="297"/>
      <c r="AF547" s="297"/>
      <c r="AG547" s="297"/>
      <c r="AH547" s="295"/>
      <c r="AI547" s="293"/>
      <c r="AJ547" s="293"/>
      <c r="AK547" s="297"/>
      <c r="AL547" s="297"/>
      <c r="AM547" s="297"/>
      <c r="AN547" s="297"/>
      <c r="AO547" s="295"/>
    </row>
    <row r="548" spans="2:41" ht="13">
      <c r="B548" s="294"/>
      <c r="C548" s="295"/>
      <c r="D548" s="295"/>
      <c r="E548" s="294"/>
      <c r="F548" s="294"/>
      <c r="G548" s="295"/>
      <c r="H548" s="295"/>
      <c r="I548" s="295"/>
      <c r="J548" s="295"/>
      <c r="K548" s="295"/>
      <c r="L548" s="295"/>
      <c r="N548" s="296"/>
      <c r="O548" s="296"/>
      <c r="P548" s="297"/>
      <c r="Q548" s="297"/>
      <c r="R548" s="297"/>
      <c r="S548" s="297"/>
      <c r="T548" s="298"/>
      <c r="U548" s="296"/>
      <c r="V548" s="296"/>
      <c r="W548" s="297"/>
      <c r="X548" s="297"/>
      <c r="Y548" s="297"/>
      <c r="Z548" s="297"/>
      <c r="AA548" s="299"/>
      <c r="AB548" s="296"/>
      <c r="AC548" s="296"/>
      <c r="AD548" s="297"/>
      <c r="AE548" s="297"/>
      <c r="AF548" s="297"/>
      <c r="AG548" s="297"/>
      <c r="AH548" s="295"/>
      <c r="AI548" s="293"/>
      <c r="AJ548" s="293"/>
      <c r="AK548" s="297"/>
      <c r="AL548" s="297"/>
      <c r="AM548" s="297"/>
      <c r="AN548" s="297"/>
      <c r="AO548" s="295"/>
    </row>
    <row r="549" spans="2:41" ht="13">
      <c r="B549" s="294"/>
      <c r="C549" s="295"/>
      <c r="D549" s="295"/>
      <c r="E549" s="294"/>
      <c r="F549" s="294"/>
      <c r="G549" s="295"/>
      <c r="H549" s="295"/>
      <c r="I549" s="295"/>
      <c r="J549" s="295"/>
      <c r="K549" s="295"/>
      <c r="L549" s="295"/>
      <c r="N549" s="296"/>
      <c r="O549" s="296"/>
      <c r="P549" s="297"/>
      <c r="Q549" s="297"/>
      <c r="R549" s="297"/>
      <c r="S549" s="297"/>
      <c r="T549" s="298"/>
      <c r="U549" s="296"/>
      <c r="V549" s="296"/>
      <c r="W549" s="297"/>
      <c r="X549" s="297"/>
      <c r="Y549" s="297"/>
      <c r="Z549" s="297"/>
      <c r="AA549" s="299"/>
      <c r="AB549" s="296"/>
      <c r="AC549" s="296"/>
      <c r="AD549" s="297"/>
      <c r="AE549" s="297"/>
      <c r="AF549" s="297"/>
      <c r="AG549" s="297"/>
      <c r="AH549" s="295"/>
      <c r="AI549" s="293"/>
      <c r="AJ549" s="293"/>
      <c r="AK549" s="297"/>
      <c r="AL549" s="297"/>
      <c r="AM549" s="297"/>
      <c r="AN549" s="297"/>
      <c r="AO549" s="295"/>
    </row>
    <row r="550" spans="2:41" ht="13">
      <c r="B550" s="294"/>
      <c r="C550" s="295"/>
      <c r="D550" s="295"/>
      <c r="E550" s="294"/>
      <c r="F550" s="294"/>
      <c r="G550" s="295"/>
      <c r="H550" s="295"/>
      <c r="I550" s="295"/>
      <c r="J550" s="295"/>
      <c r="K550" s="295"/>
      <c r="L550" s="295"/>
      <c r="N550" s="296"/>
      <c r="O550" s="296"/>
      <c r="P550" s="297"/>
      <c r="Q550" s="297"/>
      <c r="R550" s="297"/>
      <c r="S550" s="297"/>
      <c r="T550" s="298"/>
      <c r="U550" s="296"/>
      <c r="V550" s="296"/>
      <c r="W550" s="297"/>
      <c r="X550" s="297"/>
      <c r="Y550" s="297"/>
      <c r="Z550" s="297"/>
      <c r="AA550" s="299"/>
      <c r="AB550" s="296"/>
      <c r="AC550" s="296"/>
      <c r="AD550" s="297"/>
      <c r="AE550" s="297"/>
      <c r="AF550" s="297"/>
      <c r="AG550" s="297"/>
      <c r="AH550" s="295"/>
      <c r="AI550" s="293"/>
      <c r="AJ550" s="293"/>
      <c r="AK550" s="297"/>
      <c r="AL550" s="297"/>
      <c r="AM550" s="297"/>
      <c r="AN550" s="297"/>
      <c r="AO550" s="295"/>
    </row>
    <row r="551" spans="2:41" ht="13">
      <c r="B551" s="294"/>
      <c r="C551" s="295"/>
      <c r="D551" s="295"/>
      <c r="E551" s="294"/>
      <c r="F551" s="294"/>
      <c r="G551" s="295"/>
      <c r="H551" s="295"/>
      <c r="I551" s="295"/>
      <c r="J551" s="295"/>
      <c r="K551" s="295"/>
      <c r="L551" s="295"/>
      <c r="N551" s="296"/>
      <c r="O551" s="296"/>
      <c r="P551" s="297"/>
      <c r="Q551" s="297"/>
      <c r="R551" s="297"/>
      <c r="S551" s="297"/>
      <c r="T551" s="298"/>
      <c r="U551" s="296"/>
      <c r="V551" s="296"/>
      <c r="W551" s="297"/>
      <c r="X551" s="297"/>
      <c r="Y551" s="297"/>
      <c r="Z551" s="297"/>
      <c r="AA551" s="299"/>
      <c r="AB551" s="296"/>
      <c r="AC551" s="296"/>
      <c r="AD551" s="297"/>
      <c r="AE551" s="297"/>
      <c r="AF551" s="297"/>
      <c r="AG551" s="297"/>
      <c r="AH551" s="295"/>
      <c r="AI551" s="293"/>
      <c r="AJ551" s="293"/>
      <c r="AK551" s="297"/>
      <c r="AL551" s="297"/>
      <c r="AM551" s="297"/>
      <c r="AN551" s="297"/>
      <c r="AO551" s="295"/>
    </row>
    <row r="552" spans="2:41" ht="13">
      <c r="B552" s="294"/>
      <c r="C552" s="295"/>
      <c r="D552" s="295"/>
      <c r="E552" s="294"/>
      <c r="F552" s="294"/>
      <c r="G552" s="295"/>
      <c r="H552" s="295"/>
      <c r="I552" s="295"/>
      <c r="J552" s="295"/>
      <c r="K552" s="295"/>
      <c r="L552" s="295"/>
      <c r="N552" s="296"/>
      <c r="O552" s="296"/>
      <c r="P552" s="297"/>
      <c r="Q552" s="297"/>
      <c r="R552" s="297"/>
      <c r="S552" s="297"/>
      <c r="T552" s="298"/>
      <c r="U552" s="296"/>
      <c r="V552" s="296"/>
      <c r="W552" s="297"/>
      <c r="X552" s="297"/>
      <c r="Y552" s="297"/>
      <c r="Z552" s="297"/>
      <c r="AA552" s="299"/>
      <c r="AB552" s="296"/>
      <c r="AC552" s="296"/>
      <c r="AD552" s="297"/>
      <c r="AE552" s="297"/>
      <c r="AF552" s="297"/>
      <c r="AG552" s="297"/>
      <c r="AH552" s="295"/>
      <c r="AI552" s="293"/>
      <c r="AJ552" s="293"/>
      <c r="AK552" s="297"/>
      <c r="AL552" s="297"/>
      <c r="AM552" s="297"/>
      <c r="AN552" s="297"/>
      <c r="AO552" s="295"/>
    </row>
    <row r="553" spans="2:41" ht="13">
      <c r="B553" s="294"/>
      <c r="C553" s="295"/>
      <c r="D553" s="295"/>
      <c r="E553" s="294"/>
      <c r="F553" s="294"/>
      <c r="G553" s="295"/>
      <c r="H553" s="295"/>
      <c r="I553" s="295"/>
      <c r="J553" s="295"/>
      <c r="K553" s="295"/>
      <c r="L553" s="295"/>
      <c r="N553" s="296"/>
      <c r="O553" s="296"/>
      <c r="P553" s="297"/>
      <c r="Q553" s="297"/>
      <c r="R553" s="297"/>
      <c r="S553" s="297"/>
      <c r="T553" s="298"/>
      <c r="U553" s="296"/>
      <c r="V553" s="296"/>
      <c r="W553" s="297"/>
      <c r="X553" s="297"/>
      <c r="Y553" s="297"/>
      <c r="Z553" s="297"/>
      <c r="AA553" s="299"/>
      <c r="AB553" s="296"/>
      <c r="AC553" s="296"/>
      <c r="AD553" s="297"/>
      <c r="AE553" s="297"/>
      <c r="AF553" s="297"/>
      <c r="AG553" s="297"/>
      <c r="AH553" s="295"/>
      <c r="AI553" s="293"/>
      <c r="AJ553" s="293"/>
      <c r="AK553" s="297"/>
      <c r="AL553" s="297"/>
      <c r="AM553" s="297"/>
      <c r="AN553" s="297"/>
      <c r="AO553" s="295"/>
    </row>
    <row r="554" spans="2:41" ht="13">
      <c r="B554" s="294"/>
      <c r="C554" s="295"/>
      <c r="D554" s="295"/>
      <c r="E554" s="294"/>
      <c r="F554" s="294"/>
      <c r="G554" s="295"/>
      <c r="H554" s="295"/>
      <c r="I554" s="295"/>
      <c r="J554" s="295"/>
      <c r="K554" s="295"/>
      <c r="L554" s="295"/>
      <c r="N554" s="296"/>
      <c r="O554" s="296"/>
      <c r="P554" s="297"/>
      <c r="Q554" s="297"/>
      <c r="R554" s="297"/>
      <c r="S554" s="297"/>
      <c r="T554" s="298"/>
      <c r="U554" s="296"/>
      <c r="V554" s="296"/>
      <c r="W554" s="297"/>
      <c r="X554" s="297"/>
      <c r="Y554" s="297"/>
      <c r="Z554" s="297"/>
      <c r="AA554" s="299"/>
      <c r="AB554" s="296"/>
      <c r="AC554" s="296"/>
      <c r="AD554" s="297"/>
      <c r="AE554" s="297"/>
      <c r="AF554" s="297"/>
      <c r="AG554" s="297"/>
      <c r="AH554" s="295"/>
      <c r="AI554" s="293"/>
      <c r="AJ554" s="293"/>
      <c r="AK554" s="297"/>
      <c r="AL554" s="297"/>
      <c r="AM554" s="297"/>
      <c r="AN554" s="297"/>
      <c r="AO554" s="295"/>
    </row>
    <row r="555" spans="2:41" ht="13">
      <c r="B555" s="294"/>
      <c r="C555" s="295"/>
      <c r="D555" s="295"/>
      <c r="E555" s="294"/>
      <c r="F555" s="294"/>
      <c r="G555" s="295"/>
      <c r="H555" s="295"/>
      <c r="I555" s="295"/>
      <c r="J555" s="295"/>
      <c r="K555" s="295"/>
      <c r="L555" s="295"/>
      <c r="N555" s="296"/>
      <c r="O555" s="296"/>
      <c r="P555" s="297"/>
      <c r="Q555" s="297"/>
      <c r="R555" s="297"/>
      <c r="S555" s="297"/>
      <c r="T555" s="298"/>
      <c r="U555" s="296"/>
      <c r="V555" s="296"/>
      <c r="W555" s="297"/>
      <c r="X555" s="297"/>
      <c r="Y555" s="297"/>
      <c r="Z555" s="297"/>
      <c r="AA555" s="299"/>
      <c r="AB555" s="296"/>
      <c r="AC555" s="296"/>
      <c r="AD555" s="297"/>
      <c r="AE555" s="297"/>
      <c r="AF555" s="297"/>
      <c r="AG555" s="297"/>
      <c r="AH555" s="295"/>
      <c r="AI555" s="293"/>
      <c r="AJ555" s="293"/>
      <c r="AK555" s="297"/>
      <c r="AL555" s="297"/>
      <c r="AM555" s="297"/>
      <c r="AN555" s="297"/>
      <c r="AO555" s="295"/>
    </row>
    <row r="556" spans="2:41" ht="13">
      <c r="B556" s="294"/>
      <c r="C556" s="295"/>
      <c r="D556" s="295"/>
      <c r="E556" s="294"/>
      <c r="F556" s="294"/>
      <c r="G556" s="295"/>
      <c r="H556" s="295"/>
      <c r="I556" s="295"/>
      <c r="J556" s="295"/>
      <c r="K556" s="295"/>
      <c r="L556" s="295"/>
      <c r="N556" s="296"/>
      <c r="O556" s="296"/>
      <c r="P556" s="297"/>
      <c r="Q556" s="297"/>
      <c r="R556" s="297"/>
      <c r="S556" s="297"/>
      <c r="T556" s="298"/>
      <c r="U556" s="296"/>
      <c r="V556" s="296"/>
      <c r="W556" s="297"/>
      <c r="X556" s="297"/>
      <c r="Y556" s="297"/>
      <c r="Z556" s="297"/>
      <c r="AA556" s="299"/>
      <c r="AB556" s="296"/>
      <c r="AC556" s="296"/>
      <c r="AD556" s="297"/>
      <c r="AE556" s="297"/>
      <c r="AF556" s="297"/>
      <c r="AG556" s="297"/>
      <c r="AH556" s="295"/>
      <c r="AI556" s="293"/>
      <c r="AJ556" s="293"/>
      <c r="AK556" s="297"/>
      <c r="AL556" s="297"/>
      <c r="AM556" s="297"/>
      <c r="AN556" s="297"/>
      <c r="AO556" s="295"/>
    </row>
    <row r="557" spans="2:41" ht="13">
      <c r="B557" s="294"/>
      <c r="C557" s="295"/>
      <c r="D557" s="295"/>
      <c r="E557" s="294"/>
      <c r="F557" s="294"/>
      <c r="G557" s="295"/>
      <c r="H557" s="295"/>
      <c r="I557" s="295"/>
      <c r="J557" s="295"/>
      <c r="K557" s="295"/>
      <c r="L557" s="295"/>
      <c r="N557" s="296"/>
      <c r="O557" s="296"/>
      <c r="P557" s="297"/>
      <c r="Q557" s="297"/>
      <c r="R557" s="297"/>
      <c r="S557" s="297"/>
      <c r="T557" s="298"/>
      <c r="U557" s="296"/>
      <c r="V557" s="296"/>
      <c r="W557" s="297"/>
      <c r="X557" s="297"/>
      <c r="Y557" s="297"/>
      <c r="Z557" s="297"/>
      <c r="AA557" s="299"/>
      <c r="AB557" s="296"/>
      <c r="AC557" s="296"/>
      <c r="AD557" s="297"/>
      <c r="AE557" s="297"/>
      <c r="AF557" s="297"/>
      <c r="AG557" s="297"/>
      <c r="AH557" s="295"/>
      <c r="AI557" s="293"/>
      <c r="AJ557" s="293"/>
      <c r="AK557" s="297"/>
      <c r="AL557" s="297"/>
      <c r="AM557" s="297"/>
      <c r="AN557" s="297"/>
      <c r="AO557" s="295"/>
    </row>
    <row r="558" spans="2:41" ht="13">
      <c r="B558" s="294"/>
      <c r="C558" s="295"/>
      <c r="D558" s="295"/>
      <c r="E558" s="294"/>
      <c r="F558" s="294"/>
      <c r="G558" s="295"/>
      <c r="H558" s="295"/>
      <c r="I558" s="295"/>
      <c r="J558" s="295"/>
      <c r="K558" s="295"/>
      <c r="L558" s="295"/>
      <c r="N558" s="296"/>
      <c r="O558" s="296"/>
      <c r="P558" s="297"/>
      <c r="Q558" s="297"/>
      <c r="R558" s="297"/>
      <c r="S558" s="297"/>
      <c r="T558" s="298"/>
      <c r="U558" s="296"/>
      <c r="V558" s="296"/>
      <c r="W558" s="297"/>
      <c r="X558" s="297"/>
      <c r="Y558" s="297"/>
      <c r="Z558" s="297"/>
      <c r="AA558" s="299"/>
      <c r="AB558" s="296"/>
      <c r="AC558" s="296"/>
      <c r="AD558" s="297"/>
      <c r="AE558" s="297"/>
      <c r="AF558" s="297"/>
      <c r="AG558" s="297"/>
      <c r="AH558" s="295"/>
      <c r="AI558" s="293"/>
      <c r="AJ558" s="293"/>
      <c r="AK558" s="297"/>
      <c r="AL558" s="297"/>
      <c r="AM558" s="297"/>
      <c r="AN558" s="297"/>
      <c r="AO558" s="295"/>
    </row>
    <row r="559" spans="2:41" ht="13">
      <c r="B559" s="294"/>
      <c r="C559" s="295"/>
      <c r="D559" s="295"/>
      <c r="E559" s="294"/>
      <c r="F559" s="294"/>
      <c r="G559" s="295"/>
      <c r="H559" s="295"/>
      <c r="I559" s="295"/>
      <c r="J559" s="295"/>
      <c r="K559" s="295"/>
      <c r="L559" s="295"/>
      <c r="N559" s="296"/>
      <c r="O559" s="296"/>
      <c r="P559" s="297"/>
      <c r="Q559" s="297"/>
      <c r="R559" s="297"/>
      <c r="S559" s="297"/>
      <c r="T559" s="298"/>
      <c r="U559" s="296"/>
      <c r="V559" s="296"/>
      <c r="W559" s="297"/>
      <c r="X559" s="297"/>
      <c r="Y559" s="297"/>
      <c r="Z559" s="297"/>
      <c r="AA559" s="299"/>
      <c r="AB559" s="296"/>
      <c r="AC559" s="296"/>
      <c r="AD559" s="297"/>
      <c r="AE559" s="297"/>
      <c r="AF559" s="297"/>
      <c r="AG559" s="297"/>
      <c r="AH559" s="295"/>
      <c r="AI559" s="293"/>
      <c r="AJ559" s="293"/>
      <c r="AK559" s="297"/>
      <c r="AL559" s="297"/>
      <c r="AM559" s="297"/>
      <c r="AN559" s="297"/>
      <c r="AO559" s="295"/>
    </row>
    <row r="560" spans="2:41" ht="13">
      <c r="B560" s="294"/>
      <c r="C560" s="295"/>
      <c r="D560" s="295"/>
      <c r="E560" s="294"/>
      <c r="F560" s="294"/>
      <c r="G560" s="295"/>
      <c r="H560" s="295"/>
      <c r="I560" s="295"/>
      <c r="J560" s="295"/>
      <c r="K560" s="295"/>
      <c r="L560" s="295"/>
      <c r="N560" s="296"/>
      <c r="O560" s="296"/>
      <c r="P560" s="297"/>
      <c r="Q560" s="297"/>
      <c r="R560" s="297"/>
      <c r="S560" s="297"/>
      <c r="T560" s="298"/>
      <c r="U560" s="296"/>
      <c r="V560" s="296"/>
      <c r="W560" s="297"/>
      <c r="X560" s="297"/>
      <c r="Y560" s="297"/>
      <c r="Z560" s="297"/>
      <c r="AA560" s="299"/>
      <c r="AB560" s="296"/>
      <c r="AC560" s="296"/>
      <c r="AD560" s="297"/>
      <c r="AE560" s="297"/>
      <c r="AF560" s="297"/>
      <c r="AG560" s="297"/>
      <c r="AH560" s="295"/>
      <c r="AI560" s="293"/>
      <c r="AJ560" s="293"/>
      <c r="AK560" s="297"/>
      <c r="AL560" s="297"/>
      <c r="AM560" s="297"/>
      <c r="AN560" s="297"/>
      <c r="AO560" s="295"/>
    </row>
    <row r="561" spans="2:41" ht="13">
      <c r="B561" s="294"/>
      <c r="C561" s="295"/>
      <c r="D561" s="295"/>
      <c r="E561" s="294"/>
      <c r="F561" s="294"/>
      <c r="G561" s="295"/>
      <c r="H561" s="295"/>
      <c r="I561" s="295"/>
      <c r="J561" s="295"/>
      <c r="K561" s="295"/>
      <c r="L561" s="295"/>
      <c r="N561" s="296"/>
      <c r="O561" s="296"/>
      <c r="P561" s="297"/>
      <c r="Q561" s="297"/>
      <c r="R561" s="297"/>
      <c r="S561" s="297"/>
      <c r="T561" s="298"/>
      <c r="U561" s="296"/>
      <c r="V561" s="296"/>
      <c r="W561" s="297"/>
      <c r="X561" s="297"/>
      <c r="Y561" s="297"/>
      <c r="Z561" s="297"/>
      <c r="AA561" s="299"/>
      <c r="AB561" s="296"/>
      <c r="AC561" s="296"/>
      <c r="AD561" s="297"/>
      <c r="AE561" s="297"/>
      <c r="AF561" s="297"/>
      <c r="AG561" s="297"/>
      <c r="AH561" s="295"/>
      <c r="AI561" s="293"/>
      <c r="AJ561" s="293"/>
      <c r="AK561" s="297"/>
      <c r="AL561" s="297"/>
      <c r="AM561" s="297"/>
      <c r="AN561" s="297"/>
      <c r="AO561" s="295"/>
    </row>
    <row r="562" spans="2:41" ht="13">
      <c r="B562" s="294"/>
      <c r="C562" s="295"/>
      <c r="D562" s="295"/>
      <c r="E562" s="294"/>
      <c r="F562" s="294"/>
      <c r="G562" s="295"/>
      <c r="H562" s="295"/>
      <c r="I562" s="295"/>
      <c r="J562" s="295"/>
      <c r="K562" s="295"/>
      <c r="L562" s="295"/>
      <c r="N562" s="296"/>
      <c r="O562" s="296"/>
      <c r="P562" s="297"/>
      <c r="Q562" s="297"/>
      <c r="R562" s="297"/>
      <c r="S562" s="297"/>
      <c r="T562" s="298"/>
      <c r="U562" s="296"/>
      <c r="V562" s="296"/>
      <c r="W562" s="297"/>
      <c r="X562" s="297"/>
      <c r="Y562" s="297"/>
      <c r="Z562" s="297"/>
      <c r="AA562" s="299"/>
      <c r="AB562" s="296"/>
      <c r="AC562" s="296"/>
      <c r="AD562" s="297"/>
      <c r="AE562" s="297"/>
      <c r="AF562" s="297"/>
      <c r="AG562" s="297"/>
      <c r="AH562" s="295"/>
      <c r="AI562" s="293"/>
      <c r="AJ562" s="293"/>
      <c r="AK562" s="297"/>
      <c r="AL562" s="297"/>
      <c r="AM562" s="297"/>
      <c r="AN562" s="297"/>
      <c r="AO562" s="295"/>
    </row>
    <row r="563" spans="2:41" ht="13">
      <c r="B563" s="294"/>
      <c r="C563" s="295"/>
      <c r="D563" s="295"/>
      <c r="E563" s="294"/>
      <c r="F563" s="294"/>
      <c r="G563" s="295"/>
      <c r="H563" s="295"/>
      <c r="I563" s="295"/>
      <c r="J563" s="295"/>
      <c r="K563" s="295"/>
      <c r="L563" s="295"/>
      <c r="N563" s="296"/>
      <c r="O563" s="296"/>
      <c r="P563" s="297"/>
      <c r="Q563" s="297"/>
      <c r="R563" s="297"/>
      <c r="S563" s="297"/>
      <c r="T563" s="298"/>
      <c r="U563" s="296"/>
      <c r="V563" s="296"/>
      <c r="W563" s="297"/>
      <c r="X563" s="297"/>
      <c r="Y563" s="297"/>
      <c r="Z563" s="297"/>
      <c r="AA563" s="299"/>
      <c r="AB563" s="296"/>
      <c r="AC563" s="296"/>
      <c r="AD563" s="297"/>
      <c r="AE563" s="297"/>
      <c r="AF563" s="297"/>
      <c r="AG563" s="297"/>
      <c r="AH563" s="295"/>
      <c r="AI563" s="293"/>
      <c r="AJ563" s="293"/>
      <c r="AK563" s="297"/>
      <c r="AL563" s="297"/>
      <c r="AM563" s="297"/>
      <c r="AN563" s="297"/>
      <c r="AO563" s="295"/>
    </row>
    <row r="564" spans="2:41" ht="13">
      <c r="B564" s="294"/>
      <c r="C564" s="295"/>
      <c r="D564" s="295"/>
      <c r="E564" s="294"/>
      <c r="F564" s="294"/>
      <c r="G564" s="295"/>
      <c r="H564" s="295"/>
      <c r="I564" s="295"/>
      <c r="J564" s="295"/>
      <c r="K564" s="295"/>
      <c r="L564" s="295"/>
      <c r="N564" s="296"/>
      <c r="O564" s="296"/>
      <c r="P564" s="297"/>
      <c r="Q564" s="297"/>
      <c r="R564" s="297"/>
      <c r="S564" s="297"/>
      <c r="T564" s="298"/>
      <c r="U564" s="296"/>
      <c r="V564" s="296"/>
      <c r="W564" s="297"/>
      <c r="X564" s="297"/>
      <c r="Y564" s="297"/>
      <c r="Z564" s="297"/>
      <c r="AA564" s="299"/>
      <c r="AB564" s="296"/>
      <c r="AC564" s="296"/>
      <c r="AD564" s="297"/>
      <c r="AE564" s="297"/>
      <c r="AF564" s="297"/>
      <c r="AG564" s="297"/>
      <c r="AH564" s="295"/>
      <c r="AI564" s="293"/>
      <c r="AJ564" s="293"/>
      <c r="AK564" s="297"/>
      <c r="AL564" s="297"/>
      <c r="AM564" s="297"/>
      <c r="AN564" s="297"/>
      <c r="AO564" s="295"/>
    </row>
    <row r="565" spans="2:41" ht="13">
      <c r="B565" s="294"/>
      <c r="C565" s="295"/>
      <c r="D565" s="295"/>
      <c r="E565" s="294"/>
      <c r="F565" s="294"/>
      <c r="G565" s="295"/>
      <c r="H565" s="295"/>
      <c r="I565" s="295"/>
      <c r="J565" s="295"/>
      <c r="K565" s="295"/>
      <c r="L565" s="295"/>
      <c r="N565" s="296"/>
      <c r="O565" s="296"/>
      <c r="P565" s="297"/>
      <c r="Q565" s="297"/>
      <c r="R565" s="297"/>
      <c r="S565" s="297"/>
      <c r="T565" s="298"/>
      <c r="U565" s="296"/>
      <c r="V565" s="296"/>
      <c r="W565" s="297"/>
      <c r="X565" s="297"/>
      <c r="Y565" s="297"/>
      <c r="Z565" s="297"/>
      <c r="AA565" s="299"/>
      <c r="AB565" s="296"/>
      <c r="AC565" s="296"/>
      <c r="AD565" s="297"/>
      <c r="AE565" s="297"/>
      <c r="AF565" s="297"/>
      <c r="AG565" s="297"/>
      <c r="AH565" s="295"/>
      <c r="AI565" s="293"/>
      <c r="AJ565" s="293"/>
      <c r="AK565" s="297"/>
      <c r="AL565" s="297"/>
      <c r="AM565" s="297"/>
      <c r="AN565" s="297"/>
      <c r="AO565" s="295"/>
    </row>
    <row r="566" spans="2:41" ht="13">
      <c r="B566" s="294"/>
      <c r="C566" s="295"/>
      <c r="D566" s="295"/>
      <c r="E566" s="294"/>
      <c r="F566" s="294"/>
      <c r="G566" s="295"/>
      <c r="H566" s="295"/>
      <c r="I566" s="295"/>
      <c r="J566" s="295"/>
      <c r="K566" s="295"/>
      <c r="L566" s="295"/>
      <c r="N566" s="296"/>
      <c r="O566" s="296"/>
      <c r="P566" s="297"/>
      <c r="Q566" s="297"/>
      <c r="R566" s="297"/>
      <c r="S566" s="297"/>
      <c r="T566" s="298"/>
      <c r="U566" s="296"/>
      <c r="V566" s="296"/>
      <c r="W566" s="297"/>
      <c r="X566" s="297"/>
      <c r="Y566" s="297"/>
      <c r="Z566" s="297"/>
      <c r="AA566" s="299"/>
      <c r="AB566" s="296"/>
      <c r="AC566" s="296"/>
      <c r="AD566" s="297"/>
      <c r="AE566" s="297"/>
      <c r="AF566" s="297"/>
      <c r="AG566" s="297"/>
      <c r="AH566" s="295"/>
      <c r="AI566" s="293"/>
      <c r="AJ566" s="293"/>
      <c r="AK566" s="297"/>
      <c r="AL566" s="297"/>
      <c r="AM566" s="297"/>
      <c r="AN566" s="297"/>
      <c r="AO566" s="295"/>
    </row>
    <row r="567" spans="2:41" ht="13">
      <c r="B567" s="294"/>
      <c r="C567" s="295"/>
      <c r="D567" s="295"/>
      <c r="E567" s="294"/>
      <c r="F567" s="294"/>
      <c r="G567" s="295"/>
      <c r="H567" s="295"/>
      <c r="I567" s="295"/>
      <c r="J567" s="295"/>
      <c r="K567" s="295"/>
      <c r="L567" s="295"/>
      <c r="N567" s="296"/>
      <c r="O567" s="296"/>
      <c r="P567" s="297"/>
      <c r="Q567" s="297"/>
      <c r="R567" s="297"/>
      <c r="S567" s="297"/>
      <c r="T567" s="298"/>
      <c r="U567" s="296"/>
      <c r="V567" s="296"/>
      <c r="W567" s="297"/>
      <c r="X567" s="297"/>
      <c r="Y567" s="297"/>
      <c r="Z567" s="297"/>
      <c r="AA567" s="299"/>
      <c r="AB567" s="296"/>
      <c r="AC567" s="296"/>
      <c r="AD567" s="297"/>
      <c r="AE567" s="297"/>
      <c r="AF567" s="297"/>
      <c r="AG567" s="297"/>
      <c r="AH567" s="295"/>
      <c r="AI567" s="293"/>
      <c r="AJ567" s="293"/>
      <c r="AK567" s="297"/>
      <c r="AL567" s="297"/>
      <c r="AM567" s="297"/>
      <c r="AN567" s="297"/>
      <c r="AO567" s="295"/>
    </row>
    <row r="568" spans="2:41" ht="13">
      <c r="B568" s="294"/>
      <c r="C568" s="295"/>
      <c r="D568" s="295"/>
      <c r="E568" s="294"/>
      <c r="F568" s="294"/>
      <c r="G568" s="295"/>
      <c r="H568" s="295"/>
      <c r="I568" s="295"/>
      <c r="J568" s="295"/>
      <c r="K568" s="295"/>
      <c r="L568" s="295"/>
      <c r="N568" s="296"/>
      <c r="O568" s="296"/>
      <c r="P568" s="297"/>
      <c r="Q568" s="297"/>
      <c r="R568" s="297"/>
      <c r="S568" s="297"/>
      <c r="T568" s="298"/>
      <c r="U568" s="296"/>
      <c r="V568" s="296"/>
      <c r="W568" s="297"/>
      <c r="X568" s="297"/>
      <c r="Y568" s="297"/>
      <c r="Z568" s="297"/>
      <c r="AA568" s="299"/>
      <c r="AB568" s="296"/>
      <c r="AC568" s="296"/>
      <c r="AD568" s="297"/>
      <c r="AE568" s="297"/>
      <c r="AF568" s="297"/>
      <c r="AG568" s="297"/>
      <c r="AH568" s="295"/>
      <c r="AI568" s="293"/>
      <c r="AJ568" s="293"/>
      <c r="AK568" s="297"/>
      <c r="AL568" s="297"/>
      <c r="AM568" s="297"/>
      <c r="AN568" s="297"/>
      <c r="AO568" s="295"/>
    </row>
    <row r="569" spans="2:41" ht="13">
      <c r="B569" s="294"/>
      <c r="C569" s="295"/>
      <c r="D569" s="295"/>
      <c r="E569" s="294"/>
      <c r="F569" s="294"/>
      <c r="G569" s="295"/>
      <c r="H569" s="295"/>
      <c r="I569" s="295"/>
      <c r="J569" s="295"/>
      <c r="K569" s="295"/>
      <c r="L569" s="295"/>
      <c r="N569" s="296"/>
      <c r="O569" s="296"/>
      <c r="P569" s="297"/>
      <c r="Q569" s="297"/>
      <c r="R569" s="297"/>
      <c r="S569" s="297"/>
      <c r="T569" s="298"/>
      <c r="U569" s="296"/>
      <c r="V569" s="296"/>
      <c r="W569" s="297"/>
      <c r="X569" s="297"/>
      <c r="Y569" s="297"/>
      <c r="Z569" s="297"/>
      <c r="AA569" s="299"/>
      <c r="AB569" s="296"/>
      <c r="AC569" s="296"/>
      <c r="AD569" s="297"/>
      <c r="AE569" s="297"/>
      <c r="AF569" s="297"/>
      <c r="AG569" s="297"/>
      <c r="AH569" s="295"/>
      <c r="AI569" s="293"/>
      <c r="AJ569" s="293"/>
      <c r="AK569" s="297"/>
      <c r="AL569" s="297"/>
      <c r="AM569" s="297"/>
      <c r="AN569" s="297"/>
      <c r="AO569" s="295"/>
    </row>
    <row r="570" spans="2:41" ht="13">
      <c r="B570" s="294"/>
      <c r="C570" s="295"/>
      <c r="D570" s="295"/>
      <c r="E570" s="294"/>
      <c r="F570" s="294"/>
      <c r="G570" s="295"/>
      <c r="H570" s="295"/>
      <c r="I570" s="295"/>
      <c r="J570" s="295"/>
      <c r="K570" s="295"/>
      <c r="L570" s="295"/>
      <c r="N570" s="296"/>
      <c r="O570" s="296"/>
      <c r="P570" s="297"/>
      <c r="Q570" s="297"/>
      <c r="R570" s="297"/>
      <c r="S570" s="297"/>
      <c r="T570" s="298"/>
      <c r="U570" s="296"/>
      <c r="V570" s="296"/>
      <c r="W570" s="297"/>
      <c r="X570" s="297"/>
      <c r="Y570" s="297"/>
      <c r="Z570" s="297"/>
      <c r="AA570" s="299"/>
      <c r="AB570" s="296"/>
      <c r="AC570" s="296"/>
      <c r="AD570" s="297"/>
      <c r="AE570" s="297"/>
      <c r="AF570" s="297"/>
      <c r="AG570" s="297"/>
      <c r="AH570" s="295"/>
      <c r="AI570" s="293"/>
      <c r="AJ570" s="293"/>
      <c r="AK570" s="297"/>
      <c r="AL570" s="297"/>
      <c r="AM570" s="297"/>
      <c r="AN570" s="297"/>
      <c r="AO570" s="295"/>
    </row>
    <row r="571" spans="2:41" ht="13">
      <c r="B571" s="294"/>
      <c r="C571" s="295"/>
      <c r="D571" s="295"/>
      <c r="E571" s="294"/>
      <c r="F571" s="294"/>
      <c r="G571" s="295"/>
      <c r="H571" s="295"/>
      <c r="I571" s="295"/>
      <c r="J571" s="295"/>
      <c r="K571" s="295"/>
      <c r="L571" s="295"/>
      <c r="N571" s="296"/>
      <c r="O571" s="296"/>
      <c r="P571" s="297"/>
      <c r="Q571" s="297"/>
      <c r="R571" s="297"/>
      <c r="S571" s="297"/>
      <c r="T571" s="298"/>
      <c r="U571" s="296"/>
      <c r="V571" s="296"/>
      <c r="W571" s="297"/>
      <c r="X571" s="297"/>
      <c r="Y571" s="297"/>
      <c r="Z571" s="297"/>
      <c r="AA571" s="299"/>
      <c r="AB571" s="296"/>
      <c r="AC571" s="296"/>
      <c r="AD571" s="297"/>
      <c r="AE571" s="297"/>
      <c r="AF571" s="297"/>
      <c r="AG571" s="297"/>
      <c r="AH571" s="295"/>
      <c r="AI571" s="293"/>
      <c r="AJ571" s="293"/>
      <c r="AK571" s="297"/>
      <c r="AL571" s="297"/>
      <c r="AM571" s="297"/>
      <c r="AN571" s="297"/>
      <c r="AO571" s="295"/>
    </row>
    <row r="572" spans="2:41" ht="13">
      <c r="B572" s="294"/>
      <c r="C572" s="295"/>
      <c r="D572" s="295"/>
      <c r="E572" s="294"/>
      <c r="F572" s="294"/>
      <c r="G572" s="295"/>
      <c r="H572" s="295"/>
      <c r="I572" s="295"/>
      <c r="J572" s="295"/>
      <c r="K572" s="295"/>
      <c r="L572" s="295"/>
      <c r="N572" s="296"/>
      <c r="O572" s="296"/>
      <c r="P572" s="297"/>
      <c r="Q572" s="297"/>
      <c r="R572" s="297"/>
      <c r="S572" s="297"/>
      <c r="T572" s="298"/>
      <c r="U572" s="296"/>
      <c r="V572" s="296"/>
      <c r="W572" s="297"/>
      <c r="X572" s="297"/>
      <c r="Y572" s="297"/>
      <c r="Z572" s="297"/>
      <c r="AA572" s="299"/>
      <c r="AB572" s="296"/>
      <c r="AC572" s="296"/>
      <c r="AD572" s="297"/>
      <c r="AE572" s="297"/>
      <c r="AF572" s="297"/>
      <c r="AG572" s="297"/>
      <c r="AH572" s="295"/>
      <c r="AI572" s="293"/>
      <c r="AJ572" s="293"/>
      <c r="AK572" s="297"/>
      <c r="AL572" s="297"/>
      <c r="AM572" s="297"/>
      <c r="AN572" s="297"/>
      <c r="AO572" s="295"/>
    </row>
    <row r="573" spans="2:41" ht="13">
      <c r="B573" s="294"/>
      <c r="C573" s="295"/>
      <c r="D573" s="295"/>
      <c r="E573" s="294"/>
      <c r="F573" s="294"/>
      <c r="G573" s="295"/>
      <c r="H573" s="295"/>
      <c r="I573" s="295"/>
      <c r="J573" s="295"/>
      <c r="K573" s="295"/>
      <c r="L573" s="295"/>
      <c r="N573" s="296"/>
      <c r="O573" s="296"/>
      <c r="P573" s="297"/>
      <c r="Q573" s="297"/>
      <c r="R573" s="297"/>
      <c r="S573" s="297"/>
      <c r="T573" s="298"/>
      <c r="U573" s="296"/>
      <c r="V573" s="296"/>
      <c r="W573" s="297"/>
      <c r="X573" s="297"/>
      <c r="Y573" s="297"/>
      <c r="Z573" s="297"/>
      <c r="AA573" s="299"/>
      <c r="AB573" s="296"/>
      <c r="AC573" s="296"/>
      <c r="AD573" s="297"/>
      <c r="AE573" s="297"/>
      <c r="AF573" s="297"/>
      <c r="AG573" s="297"/>
      <c r="AH573" s="295"/>
      <c r="AI573" s="293"/>
      <c r="AJ573" s="293"/>
      <c r="AK573" s="297"/>
      <c r="AL573" s="297"/>
      <c r="AM573" s="297"/>
      <c r="AN573" s="297"/>
      <c r="AO573" s="295"/>
    </row>
    <row r="574" spans="2:41" ht="13">
      <c r="B574" s="294"/>
      <c r="C574" s="295"/>
      <c r="D574" s="295"/>
      <c r="E574" s="294"/>
      <c r="F574" s="294"/>
      <c r="G574" s="295"/>
      <c r="H574" s="295"/>
      <c r="I574" s="295"/>
      <c r="J574" s="295"/>
      <c r="K574" s="295"/>
      <c r="L574" s="295"/>
      <c r="N574" s="296"/>
      <c r="O574" s="296"/>
      <c r="P574" s="297"/>
      <c r="Q574" s="297"/>
      <c r="R574" s="297"/>
      <c r="S574" s="297"/>
      <c r="T574" s="298"/>
      <c r="U574" s="296"/>
      <c r="V574" s="296"/>
      <c r="W574" s="297"/>
      <c r="X574" s="297"/>
      <c r="Y574" s="297"/>
      <c r="Z574" s="297"/>
      <c r="AA574" s="299"/>
      <c r="AB574" s="296"/>
      <c r="AC574" s="296"/>
      <c r="AD574" s="297"/>
      <c r="AE574" s="297"/>
      <c r="AF574" s="297"/>
      <c r="AG574" s="297"/>
      <c r="AH574" s="295"/>
      <c r="AI574" s="293"/>
      <c r="AJ574" s="293"/>
      <c r="AK574" s="297"/>
      <c r="AL574" s="297"/>
      <c r="AM574" s="297"/>
      <c r="AN574" s="297"/>
      <c r="AO574" s="295"/>
    </row>
    <row r="575" spans="2:41" ht="13">
      <c r="B575" s="294"/>
      <c r="C575" s="295"/>
      <c r="D575" s="295"/>
      <c r="E575" s="294"/>
      <c r="F575" s="294"/>
      <c r="G575" s="295"/>
      <c r="H575" s="295"/>
      <c r="I575" s="295"/>
      <c r="J575" s="295"/>
      <c r="K575" s="295"/>
      <c r="L575" s="295"/>
      <c r="N575" s="296"/>
      <c r="O575" s="296"/>
      <c r="P575" s="297"/>
      <c r="Q575" s="297"/>
      <c r="R575" s="297"/>
      <c r="S575" s="297"/>
      <c r="T575" s="298"/>
      <c r="U575" s="296"/>
      <c r="V575" s="296"/>
      <c r="W575" s="297"/>
      <c r="X575" s="297"/>
      <c r="Y575" s="297"/>
      <c r="Z575" s="297"/>
      <c r="AA575" s="299"/>
      <c r="AB575" s="296"/>
      <c r="AC575" s="296"/>
      <c r="AD575" s="297"/>
      <c r="AE575" s="297"/>
      <c r="AF575" s="297"/>
      <c r="AG575" s="297"/>
      <c r="AH575" s="295"/>
      <c r="AI575" s="293"/>
      <c r="AJ575" s="293"/>
      <c r="AK575" s="297"/>
      <c r="AL575" s="297"/>
      <c r="AM575" s="297"/>
      <c r="AN575" s="297"/>
      <c r="AO575" s="295"/>
    </row>
    <row r="576" spans="2:41" ht="13">
      <c r="B576" s="294"/>
      <c r="C576" s="295"/>
      <c r="D576" s="295"/>
      <c r="E576" s="294"/>
      <c r="F576" s="294"/>
      <c r="G576" s="295"/>
      <c r="H576" s="295"/>
      <c r="I576" s="295"/>
      <c r="J576" s="295"/>
      <c r="K576" s="295"/>
      <c r="L576" s="295"/>
      <c r="N576" s="296"/>
      <c r="O576" s="296"/>
      <c r="P576" s="297"/>
      <c r="Q576" s="297"/>
      <c r="R576" s="297"/>
      <c r="S576" s="297"/>
      <c r="T576" s="298"/>
      <c r="U576" s="296"/>
      <c r="V576" s="296"/>
      <c r="W576" s="297"/>
      <c r="X576" s="297"/>
      <c r="Y576" s="297"/>
      <c r="Z576" s="297"/>
      <c r="AA576" s="299"/>
      <c r="AB576" s="296"/>
      <c r="AC576" s="296"/>
      <c r="AD576" s="297"/>
      <c r="AE576" s="297"/>
      <c r="AF576" s="297"/>
      <c r="AG576" s="297"/>
      <c r="AH576" s="295"/>
      <c r="AI576" s="293"/>
      <c r="AJ576" s="293"/>
      <c r="AK576" s="297"/>
      <c r="AL576" s="297"/>
      <c r="AM576" s="297"/>
      <c r="AN576" s="297"/>
      <c r="AO576" s="295"/>
    </row>
    <row r="577" spans="2:41" ht="13">
      <c r="B577" s="294"/>
      <c r="C577" s="295"/>
      <c r="D577" s="295"/>
      <c r="E577" s="294"/>
      <c r="F577" s="294"/>
      <c r="G577" s="295"/>
      <c r="H577" s="295"/>
      <c r="I577" s="295"/>
      <c r="J577" s="295"/>
      <c r="K577" s="295"/>
      <c r="L577" s="295"/>
      <c r="N577" s="296"/>
      <c r="O577" s="296"/>
      <c r="P577" s="297"/>
      <c r="Q577" s="297"/>
      <c r="R577" s="297"/>
      <c r="S577" s="297"/>
      <c r="T577" s="298"/>
      <c r="U577" s="296"/>
      <c r="V577" s="296"/>
      <c r="W577" s="297"/>
      <c r="X577" s="297"/>
      <c r="Y577" s="297"/>
      <c r="Z577" s="297"/>
      <c r="AA577" s="299"/>
      <c r="AB577" s="296"/>
      <c r="AC577" s="296"/>
      <c r="AD577" s="297"/>
      <c r="AE577" s="297"/>
      <c r="AF577" s="297"/>
      <c r="AG577" s="297"/>
      <c r="AH577" s="295"/>
      <c r="AI577" s="293"/>
      <c r="AJ577" s="293"/>
      <c r="AK577" s="297"/>
      <c r="AL577" s="297"/>
      <c r="AM577" s="297"/>
      <c r="AN577" s="297"/>
      <c r="AO577" s="295"/>
    </row>
    <row r="578" spans="2:41" ht="13">
      <c r="B578" s="294"/>
      <c r="C578" s="295"/>
      <c r="D578" s="295"/>
      <c r="E578" s="294"/>
      <c r="F578" s="294"/>
      <c r="G578" s="295"/>
      <c r="H578" s="295"/>
      <c r="I578" s="295"/>
      <c r="J578" s="295"/>
      <c r="K578" s="295"/>
      <c r="L578" s="295"/>
      <c r="N578" s="296"/>
      <c r="O578" s="296"/>
      <c r="P578" s="297"/>
      <c r="Q578" s="297"/>
      <c r="R578" s="297"/>
      <c r="S578" s="297"/>
      <c r="T578" s="298"/>
      <c r="U578" s="296"/>
      <c r="V578" s="296"/>
      <c r="W578" s="297"/>
      <c r="X578" s="297"/>
      <c r="Y578" s="297"/>
      <c r="Z578" s="297"/>
      <c r="AA578" s="299"/>
      <c r="AB578" s="296"/>
      <c r="AC578" s="296"/>
      <c r="AD578" s="297"/>
      <c r="AE578" s="297"/>
      <c r="AF578" s="297"/>
      <c r="AG578" s="297"/>
      <c r="AH578" s="295"/>
      <c r="AI578" s="293"/>
      <c r="AJ578" s="293"/>
      <c r="AK578" s="297"/>
      <c r="AL578" s="297"/>
      <c r="AM578" s="297"/>
      <c r="AN578" s="297"/>
      <c r="AO578" s="295"/>
    </row>
    <row r="579" spans="2:41" ht="13">
      <c r="B579" s="294"/>
      <c r="C579" s="295"/>
      <c r="D579" s="295"/>
      <c r="E579" s="294"/>
      <c r="F579" s="294"/>
      <c r="G579" s="295"/>
      <c r="H579" s="295"/>
      <c r="I579" s="295"/>
      <c r="J579" s="295"/>
      <c r="K579" s="295"/>
      <c r="L579" s="295"/>
      <c r="N579" s="296"/>
      <c r="O579" s="296"/>
      <c r="P579" s="297"/>
      <c r="Q579" s="297"/>
      <c r="R579" s="297"/>
      <c r="S579" s="297"/>
      <c r="T579" s="298"/>
      <c r="U579" s="296"/>
      <c r="V579" s="296"/>
      <c r="W579" s="297"/>
      <c r="X579" s="297"/>
      <c r="Y579" s="297"/>
      <c r="Z579" s="297"/>
      <c r="AA579" s="299"/>
      <c r="AB579" s="296"/>
      <c r="AC579" s="296"/>
      <c r="AD579" s="297"/>
      <c r="AE579" s="297"/>
      <c r="AF579" s="297"/>
      <c r="AG579" s="297"/>
      <c r="AH579" s="295"/>
      <c r="AI579" s="293"/>
      <c r="AJ579" s="293"/>
      <c r="AK579" s="297"/>
      <c r="AL579" s="297"/>
      <c r="AM579" s="297"/>
      <c r="AN579" s="297"/>
      <c r="AO579" s="295"/>
    </row>
    <row r="580" spans="2:41" ht="13">
      <c r="B580" s="294"/>
      <c r="C580" s="295"/>
      <c r="D580" s="295"/>
      <c r="E580" s="294"/>
      <c r="F580" s="294"/>
      <c r="G580" s="295"/>
      <c r="H580" s="295"/>
      <c r="I580" s="295"/>
      <c r="J580" s="295"/>
      <c r="K580" s="295"/>
      <c r="L580" s="295"/>
      <c r="N580" s="296"/>
      <c r="O580" s="296"/>
      <c r="P580" s="297"/>
      <c r="Q580" s="297"/>
      <c r="R580" s="297"/>
      <c r="S580" s="297"/>
      <c r="T580" s="298"/>
      <c r="U580" s="296"/>
      <c r="V580" s="296"/>
      <c r="W580" s="297"/>
      <c r="X580" s="297"/>
      <c r="Y580" s="297"/>
      <c r="Z580" s="297"/>
      <c r="AA580" s="299"/>
      <c r="AB580" s="296"/>
      <c r="AC580" s="296"/>
      <c r="AD580" s="297"/>
      <c r="AE580" s="297"/>
      <c r="AF580" s="297"/>
      <c r="AG580" s="297"/>
      <c r="AH580" s="295"/>
      <c r="AI580" s="293"/>
      <c r="AJ580" s="293"/>
      <c r="AK580" s="297"/>
      <c r="AL580" s="297"/>
      <c r="AM580" s="297"/>
      <c r="AN580" s="297"/>
      <c r="AO580" s="295"/>
    </row>
    <row r="581" spans="2:41" ht="13">
      <c r="B581" s="294"/>
      <c r="C581" s="295"/>
      <c r="D581" s="295"/>
      <c r="E581" s="294"/>
      <c r="F581" s="294"/>
      <c r="G581" s="295"/>
      <c r="H581" s="295"/>
      <c r="I581" s="295"/>
      <c r="J581" s="295"/>
      <c r="K581" s="295"/>
      <c r="L581" s="295"/>
      <c r="N581" s="296"/>
      <c r="O581" s="296"/>
      <c r="P581" s="297"/>
      <c r="Q581" s="297"/>
      <c r="R581" s="297"/>
      <c r="S581" s="297"/>
      <c r="T581" s="298"/>
      <c r="U581" s="296"/>
      <c r="V581" s="296"/>
      <c r="W581" s="297"/>
      <c r="X581" s="297"/>
      <c r="Y581" s="297"/>
      <c r="Z581" s="297"/>
      <c r="AA581" s="299"/>
      <c r="AB581" s="296"/>
      <c r="AC581" s="296"/>
      <c r="AD581" s="297"/>
      <c r="AE581" s="297"/>
      <c r="AF581" s="297"/>
      <c r="AG581" s="297"/>
      <c r="AH581" s="295"/>
      <c r="AI581" s="293"/>
      <c r="AJ581" s="293"/>
      <c r="AK581" s="297"/>
      <c r="AL581" s="297"/>
      <c r="AM581" s="297"/>
      <c r="AN581" s="297"/>
      <c r="AO581" s="295"/>
    </row>
    <row r="582" spans="2:41" ht="13">
      <c r="B582" s="294"/>
      <c r="C582" s="295"/>
      <c r="D582" s="295"/>
      <c r="E582" s="294"/>
      <c r="F582" s="294"/>
      <c r="G582" s="295"/>
      <c r="H582" s="295"/>
      <c r="I582" s="295"/>
      <c r="J582" s="295"/>
      <c r="K582" s="295"/>
      <c r="L582" s="295"/>
      <c r="N582" s="296"/>
      <c r="O582" s="296"/>
      <c r="P582" s="297"/>
      <c r="Q582" s="297"/>
      <c r="R582" s="297"/>
      <c r="S582" s="297"/>
      <c r="T582" s="298"/>
      <c r="U582" s="296"/>
      <c r="V582" s="296"/>
      <c r="W582" s="297"/>
      <c r="X582" s="297"/>
      <c r="Y582" s="297"/>
      <c r="Z582" s="297"/>
      <c r="AA582" s="299"/>
      <c r="AB582" s="296"/>
      <c r="AC582" s="296"/>
      <c r="AD582" s="297"/>
      <c r="AE582" s="297"/>
      <c r="AF582" s="297"/>
      <c r="AG582" s="297"/>
      <c r="AH582" s="295"/>
      <c r="AI582" s="293"/>
      <c r="AJ582" s="293"/>
      <c r="AK582" s="297"/>
      <c r="AL582" s="297"/>
      <c r="AM582" s="297"/>
      <c r="AN582" s="297"/>
      <c r="AO582" s="295"/>
    </row>
    <row r="583" spans="2:41" ht="13">
      <c r="B583" s="294"/>
      <c r="C583" s="295"/>
      <c r="D583" s="295"/>
      <c r="E583" s="294"/>
      <c r="F583" s="294"/>
      <c r="G583" s="295"/>
      <c r="H583" s="295"/>
      <c r="I583" s="295"/>
      <c r="J583" s="295"/>
      <c r="K583" s="295"/>
      <c r="L583" s="295"/>
      <c r="N583" s="296"/>
      <c r="O583" s="296"/>
      <c r="P583" s="297"/>
      <c r="Q583" s="297"/>
      <c r="R583" s="297"/>
      <c r="S583" s="297"/>
      <c r="T583" s="298"/>
      <c r="U583" s="296"/>
      <c r="V583" s="296"/>
      <c r="W583" s="297"/>
      <c r="X583" s="297"/>
      <c r="Y583" s="297"/>
      <c r="Z583" s="297"/>
      <c r="AA583" s="299"/>
      <c r="AB583" s="296"/>
      <c r="AC583" s="296"/>
      <c r="AD583" s="297"/>
      <c r="AE583" s="297"/>
      <c r="AF583" s="297"/>
      <c r="AG583" s="297"/>
      <c r="AH583" s="295"/>
      <c r="AI583" s="293"/>
      <c r="AJ583" s="293"/>
      <c r="AK583" s="297"/>
      <c r="AL583" s="297"/>
      <c r="AM583" s="297"/>
      <c r="AN583" s="297"/>
      <c r="AO583" s="295"/>
    </row>
    <row r="584" spans="2:41" ht="13">
      <c r="B584" s="294"/>
      <c r="C584" s="295"/>
      <c r="D584" s="295"/>
      <c r="E584" s="294"/>
      <c r="F584" s="294"/>
      <c r="G584" s="295"/>
      <c r="H584" s="295"/>
      <c r="I584" s="295"/>
      <c r="J584" s="295"/>
      <c r="K584" s="295"/>
      <c r="L584" s="295"/>
      <c r="N584" s="296"/>
      <c r="O584" s="296"/>
      <c r="P584" s="297"/>
      <c r="Q584" s="297"/>
      <c r="R584" s="297"/>
      <c r="S584" s="297"/>
      <c r="T584" s="298"/>
      <c r="U584" s="296"/>
      <c r="V584" s="296"/>
      <c r="W584" s="297"/>
      <c r="X584" s="297"/>
      <c r="Y584" s="297"/>
      <c r="Z584" s="297"/>
      <c r="AA584" s="299"/>
      <c r="AB584" s="296"/>
      <c r="AC584" s="296"/>
      <c r="AD584" s="297"/>
      <c r="AE584" s="297"/>
      <c r="AF584" s="297"/>
      <c r="AG584" s="297"/>
      <c r="AH584" s="295"/>
      <c r="AI584" s="293"/>
      <c r="AJ584" s="293"/>
      <c r="AK584" s="297"/>
      <c r="AL584" s="297"/>
      <c r="AM584" s="297"/>
      <c r="AN584" s="297"/>
      <c r="AO584" s="295"/>
    </row>
    <row r="585" spans="2:41" ht="13">
      <c r="B585" s="294"/>
      <c r="C585" s="295"/>
      <c r="D585" s="295"/>
      <c r="E585" s="294"/>
      <c r="F585" s="294"/>
      <c r="G585" s="295"/>
      <c r="H585" s="295"/>
      <c r="I585" s="295"/>
      <c r="J585" s="295"/>
      <c r="K585" s="295"/>
      <c r="L585" s="295"/>
      <c r="N585" s="296"/>
      <c r="O585" s="296"/>
      <c r="P585" s="297"/>
      <c r="Q585" s="297"/>
      <c r="R585" s="297"/>
      <c r="S585" s="297"/>
      <c r="T585" s="298"/>
      <c r="U585" s="296"/>
      <c r="V585" s="296"/>
      <c r="W585" s="297"/>
      <c r="X585" s="297"/>
      <c r="Y585" s="297"/>
      <c r="Z585" s="297"/>
      <c r="AA585" s="299"/>
      <c r="AB585" s="296"/>
      <c r="AC585" s="296"/>
      <c r="AD585" s="297"/>
      <c r="AE585" s="297"/>
      <c r="AF585" s="297"/>
      <c r="AG585" s="297"/>
      <c r="AH585" s="295"/>
      <c r="AI585" s="293"/>
      <c r="AJ585" s="293"/>
      <c r="AK585" s="297"/>
      <c r="AL585" s="297"/>
      <c r="AM585" s="297"/>
      <c r="AN585" s="297"/>
      <c r="AO585" s="295"/>
    </row>
    <row r="586" spans="2:41" ht="13">
      <c r="B586" s="294"/>
      <c r="C586" s="295"/>
      <c r="D586" s="295"/>
      <c r="E586" s="294"/>
      <c r="F586" s="294"/>
      <c r="G586" s="295"/>
      <c r="H586" s="295"/>
      <c r="I586" s="295"/>
      <c r="J586" s="295"/>
      <c r="K586" s="295"/>
      <c r="L586" s="295"/>
      <c r="N586" s="296"/>
      <c r="O586" s="296"/>
      <c r="P586" s="297"/>
      <c r="Q586" s="297"/>
      <c r="R586" s="297"/>
      <c r="S586" s="297"/>
      <c r="T586" s="298"/>
      <c r="U586" s="296"/>
      <c r="V586" s="296"/>
      <c r="W586" s="297"/>
      <c r="X586" s="297"/>
      <c r="Y586" s="297"/>
      <c r="Z586" s="297"/>
      <c r="AA586" s="299"/>
      <c r="AB586" s="296"/>
      <c r="AC586" s="296"/>
      <c r="AD586" s="297"/>
      <c r="AE586" s="297"/>
      <c r="AF586" s="297"/>
      <c r="AG586" s="297"/>
      <c r="AH586" s="295"/>
      <c r="AI586" s="293"/>
      <c r="AJ586" s="293"/>
      <c r="AK586" s="297"/>
      <c r="AL586" s="297"/>
      <c r="AM586" s="297"/>
      <c r="AN586" s="297"/>
      <c r="AO586" s="295"/>
    </row>
    <row r="587" spans="2:41" ht="13">
      <c r="B587" s="294"/>
      <c r="C587" s="295"/>
      <c r="D587" s="295"/>
      <c r="E587" s="294"/>
      <c r="F587" s="294"/>
      <c r="G587" s="295"/>
      <c r="H587" s="295"/>
      <c r="I587" s="295"/>
      <c r="J587" s="295"/>
      <c r="K587" s="295"/>
      <c r="L587" s="295"/>
      <c r="N587" s="296"/>
      <c r="O587" s="296"/>
      <c r="P587" s="297"/>
      <c r="Q587" s="297"/>
      <c r="R587" s="297"/>
      <c r="S587" s="297"/>
      <c r="T587" s="298"/>
      <c r="U587" s="296"/>
      <c r="V587" s="296"/>
      <c r="W587" s="297"/>
      <c r="X587" s="297"/>
      <c r="Y587" s="297"/>
      <c r="Z587" s="297"/>
      <c r="AA587" s="299"/>
      <c r="AB587" s="296"/>
      <c r="AC587" s="296"/>
      <c r="AD587" s="297"/>
      <c r="AE587" s="297"/>
      <c r="AF587" s="297"/>
      <c r="AG587" s="297"/>
      <c r="AH587" s="295"/>
      <c r="AI587" s="293"/>
      <c r="AJ587" s="293"/>
      <c r="AK587" s="297"/>
      <c r="AL587" s="297"/>
      <c r="AM587" s="297"/>
      <c r="AN587" s="297"/>
      <c r="AO587" s="295"/>
    </row>
    <row r="588" spans="2:41" ht="13">
      <c r="B588" s="294"/>
      <c r="C588" s="295"/>
      <c r="D588" s="295"/>
      <c r="E588" s="294"/>
      <c r="F588" s="294"/>
      <c r="G588" s="295"/>
      <c r="H588" s="295"/>
      <c r="I588" s="295"/>
      <c r="J588" s="295"/>
      <c r="K588" s="295"/>
      <c r="L588" s="295"/>
      <c r="N588" s="296"/>
      <c r="O588" s="296"/>
      <c r="P588" s="297"/>
      <c r="Q588" s="297"/>
      <c r="R588" s="297"/>
      <c r="S588" s="297"/>
      <c r="T588" s="298"/>
      <c r="U588" s="296"/>
      <c r="V588" s="296"/>
      <c r="W588" s="297"/>
      <c r="X588" s="297"/>
      <c r="Y588" s="297"/>
      <c r="Z588" s="297"/>
      <c r="AA588" s="299"/>
      <c r="AB588" s="296"/>
      <c r="AC588" s="296"/>
      <c r="AD588" s="297"/>
      <c r="AE588" s="297"/>
      <c r="AF588" s="297"/>
      <c r="AG588" s="297"/>
      <c r="AH588" s="295"/>
      <c r="AI588" s="293"/>
      <c r="AJ588" s="293"/>
      <c r="AK588" s="297"/>
      <c r="AL588" s="297"/>
      <c r="AM588" s="297"/>
      <c r="AN588" s="297"/>
      <c r="AO588" s="295"/>
    </row>
    <row r="589" spans="2:41" ht="13">
      <c r="B589" s="294"/>
      <c r="C589" s="295"/>
      <c r="D589" s="295"/>
      <c r="E589" s="294"/>
      <c r="F589" s="294"/>
      <c r="G589" s="295"/>
      <c r="H589" s="295"/>
      <c r="I589" s="295"/>
      <c r="J589" s="295"/>
      <c r="K589" s="295"/>
      <c r="L589" s="295"/>
      <c r="N589" s="296"/>
      <c r="O589" s="296"/>
      <c r="P589" s="297"/>
      <c r="Q589" s="297"/>
      <c r="R589" s="297"/>
      <c r="S589" s="297"/>
      <c r="T589" s="298"/>
      <c r="U589" s="296"/>
      <c r="V589" s="296"/>
      <c r="W589" s="297"/>
      <c r="X589" s="297"/>
      <c r="Y589" s="297"/>
      <c r="Z589" s="297"/>
      <c r="AA589" s="299"/>
      <c r="AB589" s="296"/>
      <c r="AC589" s="296"/>
      <c r="AD589" s="297"/>
      <c r="AE589" s="297"/>
      <c r="AF589" s="297"/>
      <c r="AG589" s="297"/>
      <c r="AH589" s="295"/>
      <c r="AI589" s="293"/>
      <c r="AJ589" s="293"/>
      <c r="AK589" s="297"/>
      <c r="AL589" s="297"/>
      <c r="AM589" s="297"/>
      <c r="AN589" s="297"/>
      <c r="AO589" s="295"/>
    </row>
    <row r="590" spans="2:41" ht="13">
      <c r="B590" s="294"/>
      <c r="C590" s="295"/>
      <c r="D590" s="295"/>
      <c r="E590" s="294"/>
      <c r="F590" s="294"/>
      <c r="G590" s="295"/>
      <c r="H590" s="295"/>
      <c r="I590" s="295"/>
      <c r="J590" s="295"/>
      <c r="K590" s="295"/>
      <c r="L590" s="295"/>
      <c r="N590" s="296"/>
      <c r="O590" s="296"/>
      <c r="P590" s="297"/>
      <c r="Q590" s="297"/>
      <c r="R590" s="297"/>
      <c r="S590" s="297"/>
      <c r="T590" s="298"/>
      <c r="U590" s="296"/>
      <c r="V590" s="296"/>
      <c r="W590" s="297"/>
      <c r="X590" s="297"/>
      <c r="Y590" s="297"/>
      <c r="Z590" s="297"/>
      <c r="AA590" s="299"/>
      <c r="AB590" s="296"/>
      <c r="AC590" s="296"/>
      <c r="AD590" s="297"/>
      <c r="AE590" s="297"/>
      <c r="AF590" s="297"/>
      <c r="AG590" s="297"/>
      <c r="AH590" s="295"/>
      <c r="AI590" s="293"/>
      <c r="AJ590" s="293"/>
      <c r="AK590" s="297"/>
      <c r="AL590" s="297"/>
      <c r="AM590" s="297"/>
      <c r="AN590" s="297"/>
      <c r="AO590" s="295"/>
    </row>
    <row r="591" spans="2:41" ht="13">
      <c r="B591" s="294"/>
      <c r="C591" s="295"/>
      <c r="D591" s="295"/>
      <c r="E591" s="294"/>
      <c r="F591" s="294"/>
      <c r="G591" s="295"/>
      <c r="H591" s="295"/>
      <c r="I591" s="295"/>
      <c r="J591" s="295"/>
      <c r="K591" s="295"/>
      <c r="L591" s="295"/>
      <c r="N591" s="296"/>
      <c r="O591" s="296"/>
      <c r="P591" s="297"/>
      <c r="Q591" s="297"/>
      <c r="R591" s="297"/>
      <c r="S591" s="297"/>
      <c r="T591" s="298"/>
      <c r="U591" s="296"/>
      <c r="V591" s="296"/>
      <c r="W591" s="297"/>
      <c r="X591" s="297"/>
      <c r="Y591" s="297"/>
      <c r="Z591" s="297"/>
      <c r="AA591" s="299"/>
      <c r="AB591" s="296"/>
      <c r="AC591" s="296"/>
      <c r="AD591" s="297"/>
      <c r="AE591" s="297"/>
      <c r="AF591" s="297"/>
      <c r="AG591" s="297"/>
      <c r="AH591" s="295"/>
      <c r="AI591" s="293"/>
      <c r="AJ591" s="293"/>
      <c r="AK591" s="297"/>
      <c r="AL591" s="297"/>
      <c r="AM591" s="297"/>
      <c r="AN591" s="297"/>
      <c r="AO591" s="295"/>
    </row>
    <row r="592" spans="2:41" ht="13">
      <c r="B592" s="294"/>
      <c r="C592" s="295"/>
      <c r="D592" s="295"/>
      <c r="E592" s="294"/>
      <c r="F592" s="294"/>
      <c r="G592" s="295"/>
      <c r="H592" s="295"/>
      <c r="I592" s="295"/>
      <c r="J592" s="295"/>
      <c r="K592" s="295"/>
      <c r="L592" s="295"/>
      <c r="N592" s="296"/>
      <c r="O592" s="296"/>
      <c r="P592" s="297"/>
      <c r="Q592" s="297"/>
      <c r="R592" s="297"/>
      <c r="S592" s="297"/>
      <c r="T592" s="298"/>
      <c r="U592" s="296"/>
      <c r="V592" s="296"/>
      <c r="W592" s="297"/>
      <c r="X592" s="297"/>
      <c r="Y592" s="297"/>
      <c r="Z592" s="297"/>
      <c r="AA592" s="299"/>
      <c r="AB592" s="296"/>
      <c r="AC592" s="296"/>
      <c r="AD592" s="297"/>
      <c r="AE592" s="297"/>
      <c r="AF592" s="297"/>
      <c r="AG592" s="297"/>
      <c r="AH592" s="295"/>
      <c r="AI592" s="293"/>
      <c r="AJ592" s="293"/>
      <c r="AK592" s="297"/>
      <c r="AL592" s="297"/>
      <c r="AM592" s="297"/>
      <c r="AN592" s="297"/>
      <c r="AO592" s="295"/>
    </row>
    <row r="593" spans="2:41" ht="13">
      <c r="B593" s="294"/>
      <c r="C593" s="295"/>
      <c r="D593" s="295"/>
      <c r="E593" s="294"/>
      <c r="F593" s="294"/>
      <c r="G593" s="295"/>
      <c r="H593" s="295"/>
      <c r="I593" s="295"/>
      <c r="J593" s="295"/>
      <c r="K593" s="295"/>
      <c r="L593" s="295"/>
      <c r="N593" s="296"/>
      <c r="O593" s="296"/>
      <c r="P593" s="297"/>
      <c r="Q593" s="297"/>
      <c r="R593" s="297"/>
      <c r="S593" s="297"/>
      <c r="T593" s="298"/>
      <c r="U593" s="296"/>
      <c r="V593" s="296"/>
      <c r="W593" s="297"/>
      <c r="X593" s="297"/>
      <c r="Y593" s="297"/>
      <c r="Z593" s="297"/>
      <c r="AA593" s="299"/>
      <c r="AB593" s="296"/>
      <c r="AC593" s="296"/>
      <c r="AD593" s="297"/>
      <c r="AE593" s="297"/>
      <c r="AF593" s="297"/>
      <c r="AG593" s="297"/>
      <c r="AH593" s="295"/>
      <c r="AI593" s="293"/>
      <c r="AJ593" s="293"/>
      <c r="AK593" s="297"/>
      <c r="AL593" s="297"/>
      <c r="AM593" s="297"/>
      <c r="AN593" s="297"/>
      <c r="AO593" s="295"/>
    </row>
    <row r="594" spans="2:41" ht="13">
      <c r="B594" s="294"/>
      <c r="C594" s="295"/>
      <c r="D594" s="295"/>
      <c r="E594" s="294"/>
      <c r="F594" s="294"/>
      <c r="G594" s="295"/>
      <c r="H594" s="295"/>
      <c r="I594" s="295"/>
      <c r="J594" s="295"/>
      <c r="K594" s="295"/>
      <c r="L594" s="295"/>
      <c r="N594" s="296"/>
      <c r="O594" s="296"/>
      <c r="P594" s="297"/>
      <c r="Q594" s="297"/>
      <c r="R594" s="297"/>
      <c r="S594" s="297"/>
      <c r="T594" s="298"/>
      <c r="U594" s="296"/>
      <c r="V594" s="296"/>
      <c r="W594" s="297"/>
      <c r="X594" s="297"/>
      <c r="Y594" s="297"/>
      <c r="Z594" s="297"/>
      <c r="AA594" s="299"/>
      <c r="AB594" s="296"/>
      <c r="AC594" s="296"/>
      <c r="AD594" s="297"/>
      <c r="AE594" s="297"/>
      <c r="AF594" s="297"/>
      <c r="AG594" s="297"/>
      <c r="AH594" s="295"/>
      <c r="AI594" s="293"/>
      <c r="AJ594" s="293"/>
      <c r="AK594" s="297"/>
      <c r="AL594" s="297"/>
      <c r="AM594" s="297"/>
      <c r="AN594" s="297"/>
      <c r="AO594" s="295"/>
    </row>
    <row r="595" spans="2:41" ht="13">
      <c r="B595" s="294"/>
      <c r="C595" s="295"/>
      <c r="D595" s="295"/>
      <c r="E595" s="294"/>
      <c r="F595" s="294"/>
      <c r="G595" s="295"/>
      <c r="H595" s="295"/>
      <c r="I595" s="295"/>
      <c r="J595" s="295"/>
      <c r="K595" s="295"/>
      <c r="L595" s="295"/>
      <c r="N595" s="296"/>
      <c r="O595" s="296"/>
      <c r="P595" s="297"/>
      <c r="Q595" s="297"/>
      <c r="R595" s="297"/>
      <c r="S595" s="297"/>
      <c r="T595" s="298"/>
      <c r="U595" s="296"/>
      <c r="V595" s="296"/>
      <c r="W595" s="297"/>
      <c r="X595" s="297"/>
      <c r="Y595" s="297"/>
      <c r="Z595" s="297"/>
      <c r="AA595" s="299"/>
      <c r="AB595" s="296"/>
      <c r="AC595" s="296"/>
      <c r="AD595" s="297"/>
      <c r="AE595" s="297"/>
      <c r="AF595" s="297"/>
      <c r="AG595" s="297"/>
      <c r="AH595" s="295"/>
      <c r="AI595" s="293"/>
      <c r="AJ595" s="293"/>
      <c r="AK595" s="297"/>
      <c r="AL595" s="297"/>
      <c r="AM595" s="297"/>
      <c r="AN595" s="297"/>
      <c r="AO595" s="295"/>
    </row>
    <row r="596" spans="2:41" ht="13">
      <c r="B596" s="294"/>
      <c r="C596" s="295"/>
      <c r="D596" s="295"/>
      <c r="E596" s="294"/>
      <c r="F596" s="294"/>
      <c r="G596" s="295"/>
      <c r="H596" s="295"/>
      <c r="I596" s="295"/>
      <c r="J596" s="295"/>
      <c r="K596" s="295"/>
      <c r="L596" s="295"/>
      <c r="N596" s="296"/>
      <c r="O596" s="296"/>
      <c r="P596" s="297"/>
      <c r="Q596" s="297"/>
      <c r="R596" s="297"/>
      <c r="S596" s="297"/>
      <c r="T596" s="298"/>
      <c r="U596" s="296"/>
      <c r="V596" s="296"/>
      <c r="W596" s="297"/>
      <c r="X596" s="297"/>
      <c r="Y596" s="297"/>
      <c r="Z596" s="297"/>
      <c r="AA596" s="299"/>
      <c r="AB596" s="296"/>
      <c r="AC596" s="296"/>
      <c r="AD596" s="297"/>
      <c r="AE596" s="297"/>
      <c r="AF596" s="297"/>
      <c r="AG596" s="297"/>
      <c r="AH596" s="295"/>
      <c r="AI596" s="293"/>
      <c r="AJ596" s="293"/>
      <c r="AK596" s="297"/>
      <c r="AL596" s="297"/>
      <c r="AM596" s="297"/>
      <c r="AN596" s="297"/>
      <c r="AO596" s="295"/>
    </row>
    <row r="597" spans="2:41" ht="13">
      <c r="B597" s="294"/>
      <c r="C597" s="295"/>
      <c r="D597" s="295"/>
      <c r="E597" s="294"/>
      <c r="F597" s="294"/>
      <c r="G597" s="295"/>
      <c r="H597" s="295"/>
      <c r="I597" s="295"/>
      <c r="J597" s="295"/>
      <c r="K597" s="295"/>
      <c r="L597" s="295"/>
      <c r="N597" s="296"/>
      <c r="O597" s="296"/>
      <c r="P597" s="297"/>
      <c r="Q597" s="297"/>
      <c r="R597" s="297"/>
      <c r="S597" s="297"/>
      <c r="T597" s="298"/>
      <c r="U597" s="296"/>
      <c r="V597" s="296"/>
      <c r="W597" s="297"/>
      <c r="X597" s="297"/>
      <c r="Y597" s="297"/>
      <c r="Z597" s="297"/>
      <c r="AA597" s="299"/>
      <c r="AB597" s="296"/>
      <c r="AC597" s="296"/>
      <c r="AD597" s="297"/>
      <c r="AE597" s="297"/>
      <c r="AF597" s="297"/>
      <c r="AG597" s="297"/>
      <c r="AH597" s="295"/>
      <c r="AI597" s="293"/>
      <c r="AJ597" s="293"/>
      <c r="AK597" s="297"/>
      <c r="AL597" s="297"/>
      <c r="AM597" s="297"/>
      <c r="AN597" s="297"/>
      <c r="AO597" s="295"/>
    </row>
    <row r="598" spans="2:41" ht="13">
      <c r="B598" s="294"/>
      <c r="C598" s="295"/>
      <c r="D598" s="295"/>
      <c r="E598" s="294"/>
      <c r="F598" s="294"/>
      <c r="G598" s="295"/>
      <c r="H598" s="295"/>
      <c r="I598" s="295"/>
      <c r="J598" s="295"/>
      <c r="K598" s="295"/>
      <c r="L598" s="295"/>
      <c r="N598" s="296"/>
      <c r="O598" s="296"/>
      <c r="P598" s="297"/>
      <c r="Q598" s="297"/>
      <c r="R598" s="297"/>
      <c r="S598" s="297"/>
      <c r="T598" s="298"/>
      <c r="U598" s="296"/>
      <c r="V598" s="296"/>
      <c r="W598" s="297"/>
      <c r="X598" s="297"/>
      <c r="Y598" s="297"/>
      <c r="Z598" s="297"/>
      <c r="AA598" s="299"/>
      <c r="AB598" s="296"/>
      <c r="AC598" s="296"/>
      <c r="AD598" s="297"/>
      <c r="AE598" s="297"/>
      <c r="AF598" s="297"/>
      <c r="AG598" s="297"/>
      <c r="AH598" s="295"/>
      <c r="AI598" s="293"/>
      <c r="AJ598" s="293"/>
      <c r="AK598" s="297"/>
      <c r="AL598" s="297"/>
      <c r="AM598" s="297"/>
      <c r="AN598" s="297"/>
      <c r="AO598" s="295"/>
    </row>
    <row r="599" spans="2:41" ht="13">
      <c r="B599" s="294"/>
      <c r="C599" s="295"/>
      <c r="D599" s="295"/>
      <c r="E599" s="294"/>
      <c r="F599" s="294"/>
      <c r="G599" s="295"/>
      <c r="H599" s="295"/>
      <c r="I599" s="295"/>
      <c r="J599" s="295"/>
      <c r="K599" s="295"/>
      <c r="L599" s="295"/>
      <c r="N599" s="296"/>
      <c r="O599" s="296"/>
      <c r="P599" s="297"/>
      <c r="Q599" s="297"/>
      <c r="R599" s="297"/>
      <c r="S599" s="297"/>
      <c r="T599" s="298"/>
      <c r="U599" s="296"/>
      <c r="V599" s="296"/>
      <c r="W599" s="297"/>
      <c r="X599" s="297"/>
      <c r="Y599" s="297"/>
      <c r="Z599" s="297"/>
      <c r="AA599" s="299"/>
      <c r="AB599" s="296"/>
      <c r="AC599" s="296"/>
      <c r="AD599" s="297"/>
      <c r="AE599" s="297"/>
      <c r="AF599" s="297"/>
      <c r="AG599" s="297"/>
      <c r="AH599" s="295"/>
      <c r="AI599" s="293"/>
      <c r="AJ599" s="293"/>
      <c r="AK599" s="297"/>
      <c r="AL599" s="297"/>
      <c r="AM599" s="297"/>
      <c r="AN599" s="297"/>
      <c r="AO599" s="295"/>
    </row>
    <row r="600" spans="2:41" ht="13">
      <c r="B600" s="294"/>
      <c r="C600" s="295"/>
      <c r="D600" s="295"/>
      <c r="E600" s="294"/>
      <c r="F600" s="294"/>
      <c r="G600" s="295"/>
      <c r="H600" s="295"/>
      <c r="I600" s="295"/>
      <c r="J600" s="295"/>
      <c r="K600" s="295"/>
      <c r="L600" s="295"/>
      <c r="N600" s="296"/>
      <c r="O600" s="296"/>
      <c r="P600" s="297"/>
      <c r="Q600" s="297"/>
      <c r="R600" s="297"/>
      <c r="S600" s="297"/>
      <c r="T600" s="298"/>
      <c r="U600" s="296"/>
      <c r="V600" s="296"/>
      <c r="W600" s="297"/>
      <c r="X600" s="297"/>
      <c r="Y600" s="297"/>
      <c r="Z600" s="297"/>
      <c r="AA600" s="299"/>
      <c r="AB600" s="296"/>
      <c r="AC600" s="296"/>
      <c r="AD600" s="297"/>
      <c r="AE600" s="297"/>
      <c r="AF600" s="297"/>
      <c r="AG600" s="297"/>
      <c r="AH600" s="295"/>
      <c r="AI600" s="293"/>
      <c r="AJ600" s="293"/>
      <c r="AK600" s="297"/>
      <c r="AL600" s="297"/>
      <c r="AM600" s="297"/>
      <c r="AN600" s="297"/>
      <c r="AO600" s="295"/>
    </row>
    <row r="601" spans="2:41" ht="13">
      <c r="B601" s="294"/>
      <c r="C601" s="295"/>
      <c r="D601" s="295"/>
      <c r="E601" s="294"/>
      <c r="F601" s="294"/>
      <c r="G601" s="295"/>
      <c r="H601" s="295"/>
      <c r="I601" s="295"/>
      <c r="J601" s="295"/>
      <c r="K601" s="295"/>
      <c r="L601" s="295"/>
      <c r="N601" s="296"/>
      <c r="O601" s="296"/>
      <c r="P601" s="297"/>
      <c r="Q601" s="297"/>
      <c r="R601" s="297"/>
      <c r="S601" s="297"/>
      <c r="T601" s="298"/>
      <c r="U601" s="296"/>
      <c r="V601" s="296"/>
      <c r="W601" s="297"/>
      <c r="X601" s="297"/>
      <c r="Y601" s="297"/>
      <c r="Z601" s="297"/>
      <c r="AA601" s="299"/>
      <c r="AB601" s="296"/>
      <c r="AC601" s="296"/>
      <c r="AD601" s="297"/>
      <c r="AE601" s="297"/>
      <c r="AF601" s="297"/>
      <c r="AG601" s="297"/>
      <c r="AH601" s="295"/>
      <c r="AI601" s="293"/>
      <c r="AJ601" s="293"/>
      <c r="AK601" s="297"/>
      <c r="AL601" s="297"/>
      <c r="AM601" s="297"/>
      <c r="AN601" s="297"/>
      <c r="AO601" s="295"/>
    </row>
    <row r="602" spans="2:41" ht="13">
      <c r="B602" s="294"/>
      <c r="C602" s="295"/>
      <c r="D602" s="295"/>
      <c r="E602" s="294"/>
      <c r="F602" s="294"/>
      <c r="G602" s="295"/>
      <c r="H602" s="295"/>
      <c r="I602" s="295"/>
      <c r="J602" s="295"/>
      <c r="K602" s="295"/>
      <c r="L602" s="295"/>
      <c r="N602" s="296"/>
      <c r="O602" s="296"/>
      <c r="P602" s="297"/>
      <c r="Q602" s="297"/>
      <c r="R602" s="297"/>
      <c r="S602" s="297"/>
      <c r="T602" s="298"/>
      <c r="U602" s="296"/>
      <c r="V602" s="296"/>
      <c r="W602" s="297"/>
      <c r="X602" s="297"/>
      <c r="Y602" s="297"/>
      <c r="Z602" s="297"/>
      <c r="AA602" s="299"/>
      <c r="AB602" s="296"/>
      <c r="AC602" s="296"/>
      <c r="AD602" s="297"/>
      <c r="AE602" s="297"/>
      <c r="AF602" s="297"/>
      <c r="AG602" s="297"/>
      <c r="AH602" s="295"/>
      <c r="AI602" s="293"/>
      <c r="AJ602" s="293"/>
      <c r="AK602" s="297"/>
      <c r="AL602" s="297"/>
      <c r="AM602" s="297"/>
      <c r="AN602" s="297"/>
      <c r="AO602" s="295"/>
    </row>
    <row r="603" spans="2:41" ht="13">
      <c r="B603" s="294"/>
      <c r="C603" s="295"/>
      <c r="D603" s="295"/>
      <c r="E603" s="294"/>
      <c r="F603" s="294"/>
      <c r="G603" s="295"/>
      <c r="H603" s="295"/>
      <c r="I603" s="295"/>
      <c r="J603" s="295"/>
      <c r="K603" s="295"/>
      <c r="L603" s="295"/>
      <c r="N603" s="296"/>
      <c r="O603" s="296"/>
      <c r="P603" s="297"/>
      <c r="Q603" s="297"/>
      <c r="R603" s="297"/>
      <c r="S603" s="297"/>
      <c r="T603" s="298"/>
      <c r="U603" s="296"/>
      <c r="V603" s="296"/>
      <c r="W603" s="297"/>
      <c r="X603" s="297"/>
      <c r="Y603" s="297"/>
      <c r="Z603" s="297"/>
      <c r="AA603" s="299"/>
      <c r="AB603" s="296"/>
      <c r="AC603" s="296"/>
      <c r="AD603" s="297"/>
      <c r="AE603" s="297"/>
      <c r="AF603" s="297"/>
      <c r="AG603" s="297"/>
      <c r="AH603" s="295"/>
      <c r="AI603" s="293"/>
      <c r="AJ603" s="293"/>
      <c r="AK603" s="297"/>
      <c r="AL603" s="297"/>
      <c r="AM603" s="297"/>
      <c r="AN603" s="297"/>
      <c r="AO603" s="295"/>
    </row>
    <row r="604" spans="2:41" ht="13">
      <c r="B604" s="294"/>
      <c r="C604" s="295"/>
      <c r="D604" s="295"/>
      <c r="E604" s="294"/>
      <c r="F604" s="294"/>
      <c r="G604" s="295"/>
      <c r="H604" s="295"/>
      <c r="I604" s="295"/>
      <c r="J604" s="295"/>
      <c r="K604" s="295"/>
      <c r="L604" s="295"/>
      <c r="N604" s="296"/>
      <c r="O604" s="296"/>
      <c r="P604" s="297"/>
      <c r="Q604" s="297"/>
      <c r="R604" s="297"/>
      <c r="S604" s="297"/>
      <c r="T604" s="298"/>
      <c r="U604" s="296"/>
      <c r="V604" s="296"/>
      <c r="W604" s="297"/>
      <c r="X604" s="297"/>
      <c r="Y604" s="297"/>
      <c r="Z604" s="297"/>
      <c r="AA604" s="299"/>
      <c r="AB604" s="296"/>
      <c r="AC604" s="296"/>
      <c r="AD604" s="297"/>
      <c r="AE604" s="297"/>
      <c r="AF604" s="297"/>
      <c r="AG604" s="297"/>
      <c r="AH604" s="295"/>
      <c r="AI604" s="293"/>
      <c r="AJ604" s="293"/>
      <c r="AK604" s="297"/>
      <c r="AL604" s="297"/>
      <c r="AM604" s="297"/>
      <c r="AN604" s="297"/>
      <c r="AO604" s="295"/>
    </row>
    <row r="605" spans="2:41" ht="13">
      <c r="B605" s="294"/>
      <c r="C605" s="295"/>
      <c r="D605" s="295"/>
      <c r="E605" s="294"/>
      <c r="F605" s="294"/>
      <c r="G605" s="295"/>
      <c r="H605" s="295"/>
      <c r="I605" s="295"/>
      <c r="J605" s="295"/>
      <c r="K605" s="295"/>
      <c r="L605" s="295"/>
      <c r="N605" s="296"/>
      <c r="O605" s="296"/>
      <c r="P605" s="297"/>
      <c r="Q605" s="297"/>
      <c r="R605" s="297"/>
      <c r="S605" s="297"/>
      <c r="T605" s="298"/>
      <c r="U605" s="296"/>
      <c r="V605" s="296"/>
      <c r="W605" s="297"/>
      <c r="X605" s="297"/>
      <c r="Y605" s="297"/>
      <c r="Z605" s="297"/>
      <c r="AA605" s="299"/>
      <c r="AB605" s="296"/>
      <c r="AC605" s="296"/>
      <c r="AD605" s="297"/>
      <c r="AE605" s="297"/>
      <c r="AF605" s="297"/>
      <c r="AG605" s="297"/>
      <c r="AH605" s="295"/>
      <c r="AI605" s="293"/>
      <c r="AJ605" s="293"/>
      <c r="AK605" s="297"/>
      <c r="AL605" s="297"/>
      <c r="AM605" s="297"/>
      <c r="AN605" s="297"/>
      <c r="AO605" s="295"/>
    </row>
    <row r="606" spans="2:41" ht="13">
      <c r="B606" s="294"/>
      <c r="C606" s="295"/>
      <c r="D606" s="295"/>
      <c r="E606" s="294"/>
      <c r="F606" s="294"/>
      <c r="G606" s="295"/>
      <c r="H606" s="295"/>
      <c r="I606" s="295"/>
      <c r="J606" s="295"/>
      <c r="K606" s="295"/>
      <c r="L606" s="295"/>
      <c r="N606" s="296"/>
      <c r="O606" s="296"/>
      <c r="P606" s="297"/>
      <c r="Q606" s="297"/>
      <c r="R606" s="297"/>
      <c r="S606" s="297"/>
      <c r="T606" s="298"/>
      <c r="U606" s="296"/>
      <c r="V606" s="296"/>
      <c r="W606" s="297"/>
      <c r="X606" s="297"/>
      <c r="Y606" s="297"/>
      <c r="Z606" s="297"/>
      <c r="AA606" s="299"/>
      <c r="AB606" s="296"/>
      <c r="AC606" s="296"/>
      <c r="AD606" s="297"/>
      <c r="AE606" s="297"/>
      <c r="AF606" s="297"/>
      <c r="AG606" s="297"/>
      <c r="AH606" s="295"/>
      <c r="AI606" s="293"/>
      <c r="AJ606" s="293"/>
      <c r="AK606" s="297"/>
      <c r="AL606" s="297"/>
      <c r="AM606" s="297"/>
      <c r="AN606" s="297"/>
      <c r="AO606" s="295"/>
    </row>
    <row r="607" spans="2:41" ht="13">
      <c r="B607" s="294"/>
      <c r="C607" s="295"/>
      <c r="D607" s="295"/>
      <c r="E607" s="294"/>
      <c r="F607" s="294"/>
      <c r="G607" s="295"/>
      <c r="H607" s="295"/>
      <c r="I607" s="295"/>
      <c r="J607" s="295"/>
      <c r="K607" s="295"/>
      <c r="L607" s="295"/>
      <c r="N607" s="296"/>
      <c r="O607" s="296"/>
      <c r="P607" s="297"/>
      <c r="Q607" s="297"/>
      <c r="R607" s="297"/>
      <c r="S607" s="297"/>
      <c r="T607" s="298"/>
      <c r="U607" s="296"/>
      <c r="V607" s="296"/>
      <c r="W607" s="297"/>
      <c r="X607" s="297"/>
      <c r="Y607" s="297"/>
      <c r="Z607" s="297"/>
      <c r="AA607" s="299"/>
      <c r="AB607" s="296"/>
      <c r="AC607" s="296"/>
      <c r="AD607" s="297"/>
      <c r="AE607" s="297"/>
      <c r="AF607" s="297"/>
      <c r="AG607" s="297"/>
      <c r="AH607" s="295"/>
      <c r="AI607" s="293"/>
      <c r="AJ607" s="293"/>
      <c r="AK607" s="297"/>
      <c r="AL607" s="297"/>
      <c r="AM607" s="297"/>
      <c r="AN607" s="297"/>
      <c r="AO607" s="295"/>
    </row>
    <row r="608" spans="2:41" ht="13">
      <c r="B608" s="294"/>
      <c r="C608" s="295"/>
      <c r="D608" s="295"/>
      <c r="E608" s="294"/>
      <c r="F608" s="294"/>
      <c r="G608" s="295"/>
      <c r="H608" s="295"/>
      <c r="I608" s="295"/>
      <c r="J608" s="295"/>
      <c r="K608" s="295"/>
      <c r="L608" s="295"/>
      <c r="N608" s="296"/>
      <c r="O608" s="296"/>
      <c r="P608" s="297"/>
      <c r="Q608" s="297"/>
      <c r="R608" s="297"/>
      <c r="S608" s="297"/>
      <c r="T608" s="298"/>
      <c r="U608" s="296"/>
      <c r="V608" s="296"/>
      <c r="W608" s="297"/>
      <c r="X608" s="297"/>
      <c r="Y608" s="297"/>
      <c r="Z608" s="297"/>
      <c r="AA608" s="299"/>
      <c r="AB608" s="296"/>
      <c r="AC608" s="296"/>
      <c r="AD608" s="297"/>
      <c r="AE608" s="297"/>
      <c r="AF608" s="297"/>
      <c r="AG608" s="297"/>
      <c r="AH608" s="295"/>
      <c r="AI608" s="293"/>
      <c r="AJ608" s="293"/>
      <c r="AK608" s="297"/>
      <c r="AL608" s="297"/>
      <c r="AM608" s="297"/>
      <c r="AN608" s="297"/>
      <c r="AO608" s="295"/>
    </row>
    <row r="609" spans="2:41" ht="13">
      <c r="B609" s="294"/>
      <c r="C609" s="295"/>
      <c r="D609" s="295"/>
      <c r="E609" s="294"/>
      <c r="F609" s="294"/>
      <c r="G609" s="295"/>
      <c r="H609" s="295"/>
      <c r="I609" s="295"/>
      <c r="J609" s="295"/>
      <c r="K609" s="295"/>
      <c r="L609" s="295"/>
      <c r="N609" s="296"/>
      <c r="O609" s="296"/>
      <c r="P609" s="297"/>
      <c r="Q609" s="297"/>
      <c r="R609" s="297"/>
      <c r="S609" s="297"/>
      <c r="T609" s="298"/>
      <c r="U609" s="296"/>
      <c r="V609" s="296"/>
      <c r="W609" s="297"/>
      <c r="X609" s="297"/>
      <c r="Y609" s="297"/>
      <c r="Z609" s="297"/>
      <c r="AA609" s="299"/>
      <c r="AB609" s="296"/>
      <c r="AC609" s="296"/>
      <c r="AD609" s="297"/>
      <c r="AE609" s="297"/>
      <c r="AF609" s="297"/>
      <c r="AG609" s="297"/>
      <c r="AH609" s="295"/>
      <c r="AI609" s="293"/>
      <c r="AJ609" s="293"/>
      <c r="AK609" s="297"/>
      <c r="AL609" s="297"/>
      <c r="AM609" s="297"/>
      <c r="AN609" s="297"/>
      <c r="AO609" s="295"/>
    </row>
    <row r="610" spans="2:41" ht="13">
      <c r="B610" s="294"/>
      <c r="C610" s="295"/>
      <c r="D610" s="295"/>
      <c r="E610" s="294"/>
      <c r="F610" s="294"/>
      <c r="G610" s="295"/>
      <c r="H610" s="295"/>
      <c r="I610" s="295"/>
      <c r="J610" s="295"/>
      <c r="K610" s="295"/>
      <c r="L610" s="295"/>
      <c r="N610" s="296"/>
      <c r="O610" s="296"/>
      <c r="P610" s="297"/>
      <c r="Q610" s="297"/>
      <c r="R610" s="297"/>
      <c r="S610" s="297"/>
      <c r="T610" s="298"/>
      <c r="U610" s="296"/>
      <c r="V610" s="296"/>
      <c r="W610" s="297"/>
      <c r="X610" s="297"/>
      <c r="Y610" s="297"/>
      <c r="Z610" s="297"/>
      <c r="AA610" s="299"/>
      <c r="AB610" s="296"/>
      <c r="AC610" s="296"/>
      <c r="AD610" s="297"/>
      <c r="AE610" s="297"/>
      <c r="AF610" s="297"/>
      <c r="AG610" s="297"/>
      <c r="AH610" s="295"/>
      <c r="AI610" s="293"/>
      <c r="AJ610" s="293"/>
      <c r="AK610" s="297"/>
      <c r="AL610" s="297"/>
      <c r="AM610" s="297"/>
      <c r="AN610" s="297"/>
      <c r="AO610" s="295"/>
    </row>
    <row r="611" spans="2:41" ht="13">
      <c r="B611" s="294"/>
      <c r="C611" s="295"/>
      <c r="D611" s="295"/>
      <c r="E611" s="294"/>
      <c r="F611" s="294"/>
      <c r="G611" s="295"/>
      <c r="H611" s="295"/>
      <c r="I611" s="295"/>
      <c r="J611" s="295"/>
      <c r="K611" s="295"/>
      <c r="L611" s="295"/>
      <c r="N611" s="296"/>
      <c r="O611" s="296"/>
      <c r="P611" s="297"/>
      <c r="Q611" s="297"/>
      <c r="R611" s="297"/>
      <c r="S611" s="297"/>
      <c r="T611" s="298"/>
      <c r="U611" s="296"/>
      <c r="V611" s="296"/>
      <c r="W611" s="297"/>
      <c r="X611" s="297"/>
      <c r="Y611" s="297"/>
      <c r="Z611" s="297"/>
      <c r="AA611" s="299"/>
      <c r="AB611" s="296"/>
      <c r="AC611" s="296"/>
      <c r="AD611" s="297"/>
      <c r="AE611" s="297"/>
      <c r="AF611" s="297"/>
      <c r="AG611" s="297"/>
      <c r="AH611" s="295"/>
      <c r="AI611" s="293"/>
      <c r="AJ611" s="293"/>
      <c r="AK611" s="297"/>
      <c r="AL611" s="297"/>
      <c r="AM611" s="297"/>
      <c r="AN611" s="297"/>
      <c r="AO611" s="295"/>
    </row>
    <row r="612" spans="2:41" ht="13">
      <c r="B612" s="294"/>
      <c r="C612" s="295"/>
      <c r="D612" s="295"/>
      <c r="E612" s="294"/>
      <c r="F612" s="294"/>
      <c r="G612" s="295"/>
      <c r="H612" s="295"/>
      <c r="I612" s="295"/>
      <c r="J612" s="295"/>
      <c r="K612" s="295"/>
      <c r="L612" s="295"/>
      <c r="N612" s="296"/>
      <c r="O612" s="296"/>
      <c r="P612" s="297"/>
      <c r="Q612" s="297"/>
      <c r="R612" s="297"/>
      <c r="S612" s="297"/>
      <c r="T612" s="298"/>
      <c r="U612" s="296"/>
      <c r="V612" s="296"/>
      <c r="W612" s="297"/>
      <c r="X612" s="297"/>
      <c r="Y612" s="297"/>
      <c r="Z612" s="297"/>
      <c r="AA612" s="299"/>
      <c r="AB612" s="296"/>
      <c r="AC612" s="296"/>
      <c r="AD612" s="297"/>
      <c r="AE612" s="297"/>
      <c r="AF612" s="297"/>
      <c r="AG612" s="297"/>
      <c r="AH612" s="295"/>
      <c r="AI612" s="293"/>
      <c r="AJ612" s="293"/>
      <c r="AK612" s="297"/>
      <c r="AL612" s="297"/>
      <c r="AM612" s="297"/>
      <c r="AN612" s="297"/>
      <c r="AO612" s="295"/>
    </row>
    <row r="613" spans="2:41" ht="13">
      <c r="B613" s="294"/>
      <c r="C613" s="295"/>
      <c r="D613" s="295"/>
      <c r="E613" s="294"/>
      <c r="F613" s="294"/>
      <c r="G613" s="295"/>
      <c r="H613" s="295"/>
      <c r="I613" s="295"/>
      <c r="J613" s="295"/>
      <c r="K613" s="295"/>
      <c r="L613" s="295"/>
      <c r="N613" s="296"/>
      <c r="O613" s="296"/>
      <c r="P613" s="297"/>
      <c r="Q613" s="297"/>
      <c r="R613" s="297"/>
      <c r="S613" s="297"/>
      <c r="T613" s="298"/>
      <c r="U613" s="296"/>
      <c r="V613" s="296"/>
      <c r="W613" s="297"/>
      <c r="X613" s="297"/>
      <c r="Y613" s="297"/>
      <c r="Z613" s="297"/>
      <c r="AA613" s="299"/>
      <c r="AB613" s="296"/>
      <c r="AC613" s="296"/>
      <c r="AD613" s="297"/>
      <c r="AE613" s="297"/>
      <c r="AF613" s="297"/>
      <c r="AG613" s="297"/>
      <c r="AH613" s="295"/>
      <c r="AI613" s="293"/>
      <c r="AJ613" s="293"/>
      <c r="AK613" s="297"/>
      <c r="AL613" s="297"/>
      <c r="AM613" s="297"/>
      <c r="AN613" s="297"/>
      <c r="AO613" s="295"/>
    </row>
    <row r="614" spans="2:41" ht="13">
      <c r="B614" s="294"/>
      <c r="C614" s="295"/>
      <c r="D614" s="295"/>
      <c r="E614" s="294"/>
      <c r="F614" s="294"/>
      <c r="G614" s="295"/>
      <c r="H614" s="295"/>
      <c r="I614" s="295"/>
      <c r="J614" s="295"/>
      <c r="K614" s="295"/>
      <c r="L614" s="295"/>
      <c r="N614" s="296"/>
      <c r="O614" s="296"/>
      <c r="P614" s="297"/>
      <c r="Q614" s="297"/>
      <c r="R614" s="297"/>
      <c r="S614" s="297"/>
      <c r="T614" s="298"/>
      <c r="U614" s="296"/>
      <c r="V614" s="296"/>
      <c r="W614" s="297"/>
      <c r="X614" s="297"/>
      <c r="Y614" s="297"/>
      <c r="Z614" s="297"/>
      <c r="AA614" s="299"/>
      <c r="AB614" s="296"/>
      <c r="AC614" s="296"/>
      <c r="AD614" s="297"/>
      <c r="AE614" s="297"/>
      <c r="AF614" s="297"/>
      <c r="AG614" s="297"/>
      <c r="AH614" s="295"/>
      <c r="AI614" s="293"/>
      <c r="AJ614" s="293"/>
      <c r="AK614" s="297"/>
      <c r="AL614" s="297"/>
      <c r="AM614" s="297"/>
      <c r="AN614" s="297"/>
      <c r="AO614" s="295"/>
    </row>
    <row r="615" spans="2:41" ht="13">
      <c r="B615" s="294"/>
      <c r="C615" s="295"/>
      <c r="D615" s="295"/>
      <c r="E615" s="294"/>
      <c r="F615" s="294"/>
      <c r="G615" s="295"/>
      <c r="H615" s="295"/>
      <c r="I615" s="295"/>
      <c r="J615" s="295"/>
      <c r="K615" s="295"/>
      <c r="L615" s="295"/>
      <c r="N615" s="296"/>
      <c r="O615" s="296"/>
      <c r="P615" s="297"/>
      <c r="Q615" s="297"/>
      <c r="R615" s="297"/>
      <c r="S615" s="297"/>
      <c r="T615" s="298"/>
      <c r="U615" s="296"/>
      <c r="V615" s="296"/>
      <c r="W615" s="297"/>
      <c r="X615" s="297"/>
      <c r="Y615" s="297"/>
      <c r="Z615" s="297"/>
      <c r="AA615" s="299"/>
      <c r="AB615" s="296"/>
      <c r="AC615" s="296"/>
      <c r="AD615" s="297"/>
      <c r="AE615" s="297"/>
      <c r="AF615" s="297"/>
      <c r="AG615" s="297"/>
      <c r="AH615" s="295"/>
      <c r="AI615" s="293"/>
      <c r="AJ615" s="293"/>
      <c r="AK615" s="297"/>
      <c r="AL615" s="297"/>
      <c r="AM615" s="297"/>
      <c r="AN615" s="297"/>
      <c r="AO615" s="295"/>
    </row>
    <row r="616" spans="2:41" ht="13">
      <c r="B616" s="294"/>
      <c r="C616" s="295"/>
      <c r="D616" s="295"/>
      <c r="E616" s="294"/>
      <c r="F616" s="294"/>
      <c r="G616" s="295"/>
      <c r="H616" s="295"/>
      <c r="I616" s="295"/>
      <c r="J616" s="295"/>
      <c r="K616" s="295"/>
      <c r="L616" s="295"/>
      <c r="N616" s="296"/>
      <c r="O616" s="296"/>
      <c r="P616" s="297"/>
      <c r="Q616" s="297"/>
      <c r="R616" s="297"/>
      <c r="S616" s="297"/>
      <c r="T616" s="298"/>
      <c r="U616" s="296"/>
      <c r="V616" s="296"/>
      <c r="W616" s="297"/>
      <c r="X616" s="297"/>
      <c r="Y616" s="297"/>
      <c r="Z616" s="297"/>
      <c r="AA616" s="299"/>
      <c r="AB616" s="296"/>
      <c r="AC616" s="296"/>
      <c r="AD616" s="297"/>
      <c r="AE616" s="297"/>
      <c r="AF616" s="297"/>
      <c r="AG616" s="297"/>
      <c r="AH616" s="295"/>
      <c r="AI616" s="293"/>
      <c r="AJ616" s="293"/>
      <c r="AK616" s="297"/>
      <c r="AL616" s="297"/>
      <c r="AM616" s="297"/>
      <c r="AN616" s="297"/>
      <c r="AO616" s="295"/>
    </row>
    <row r="617" spans="2:41" ht="13">
      <c r="B617" s="294"/>
      <c r="C617" s="295"/>
      <c r="D617" s="295"/>
      <c r="E617" s="294"/>
      <c r="F617" s="294"/>
      <c r="G617" s="295"/>
      <c r="H617" s="295"/>
      <c r="I617" s="295"/>
      <c r="J617" s="295"/>
      <c r="K617" s="295"/>
      <c r="L617" s="295"/>
      <c r="N617" s="296"/>
      <c r="O617" s="296"/>
      <c r="P617" s="297"/>
      <c r="Q617" s="297"/>
      <c r="R617" s="297"/>
      <c r="S617" s="297"/>
      <c r="T617" s="298"/>
      <c r="U617" s="296"/>
      <c r="V617" s="296"/>
      <c r="W617" s="297"/>
      <c r="X617" s="297"/>
      <c r="Y617" s="297"/>
      <c r="Z617" s="297"/>
      <c r="AA617" s="299"/>
      <c r="AB617" s="296"/>
      <c r="AC617" s="296"/>
      <c r="AD617" s="297"/>
      <c r="AE617" s="297"/>
      <c r="AF617" s="297"/>
      <c r="AG617" s="297"/>
      <c r="AH617" s="295"/>
      <c r="AI617" s="293"/>
      <c r="AJ617" s="293"/>
      <c r="AK617" s="297"/>
      <c r="AL617" s="297"/>
      <c r="AM617" s="297"/>
      <c r="AN617" s="297"/>
      <c r="AO617" s="295"/>
    </row>
    <row r="618" spans="2:41" ht="13">
      <c r="B618" s="294"/>
      <c r="C618" s="295"/>
      <c r="D618" s="295"/>
      <c r="E618" s="294"/>
      <c r="F618" s="294"/>
      <c r="G618" s="295"/>
      <c r="H618" s="295"/>
      <c r="I618" s="295"/>
      <c r="J618" s="295"/>
      <c r="K618" s="295"/>
      <c r="L618" s="295"/>
      <c r="N618" s="296"/>
      <c r="O618" s="296"/>
      <c r="P618" s="297"/>
      <c r="Q618" s="297"/>
      <c r="R618" s="297"/>
      <c r="S618" s="297"/>
      <c r="T618" s="298"/>
      <c r="U618" s="296"/>
      <c r="V618" s="296"/>
      <c r="W618" s="297"/>
      <c r="X618" s="297"/>
      <c r="Y618" s="297"/>
      <c r="Z618" s="297"/>
      <c r="AA618" s="299"/>
      <c r="AB618" s="296"/>
      <c r="AC618" s="296"/>
      <c r="AD618" s="297"/>
      <c r="AE618" s="297"/>
      <c r="AF618" s="297"/>
      <c r="AG618" s="297"/>
      <c r="AH618" s="295"/>
      <c r="AI618" s="293"/>
      <c r="AJ618" s="293"/>
      <c r="AK618" s="297"/>
      <c r="AL618" s="297"/>
      <c r="AM618" s="297"/>
      <c r="AN618" s="297"/>
      <c r="AO618" s="295"/>
    </row>
    <row r="619" spans="2:41" ht="13">
      <c r="B619" s="294"/>
      <c r="C619" s="295"/>
      <c r="D619" s="295"/>
      <c r="E619" s="294"/>
      <c r="F619" s="294"/>
      <c r="G619" s="295"/>
      <c r="H619" s="295"/>
      <c r="I619" s="295"/>
      <c r="J619" s="295"/>
      <c r="K619" s="295"/>
      <c r="L619" s="295"/>
      <c r="N619" s="296"/>
      <c r="O619" s="296"/>
      <c r="P619" s="297"/>
      <c r="Q619" s="297"/>
      <c r="R619" s="297"/>
      <c r="S619" s="297"/>
      <c r="T619" s="298"/>
      <c r="U619" s="296"/>
      <c r="V619" s="296"/>
      <c r="W619" s="297"/>
      <c r="X619" s="297"/>
      <c r="Y619" s="297"/>
      <c r="Z619" s="297"/>
      <c r="AA619" s="299"/>
      <c r="AB619" s="296"/>
      <c r="AC619" s="296"/>
      <c r="AD619" s="297"/>
      <c r="AE619" s="297"/>
      <c r="AF619" s="297"/>
      <c r="AG619" s="297"/>
      <c r="AH619" s="295"/>
      <c r="AI619" s="293"/>
      <c r="AJ619" s="293"/>
      <c r="AK619" s="297"/>
      <c r="AL619" s="297"/>
      <c r="AM619" s="297"/>
      <c r="AN619" s="297"/>
      <c r="AO619" s="295"/>
    </row>
    <row r="620" spans="2:41" ht="13">
      <c r="B620" s="294"/>
      <c r="C620" s="295"/>
      <c r="D620" s="295"/>
      <c r="E620" s="294"/>
      <c r="F620" s="294"/>
      <c r="G620" s="295"/>
      <c r="H620" s="295"/>
      <c r="I620" s="295"/>
      <c r="J620" s="295"/>
      <c r="K620" s="295"/>
      <c r="L620" s="295"/>
      <c r="N620" s="296"/>
      <c r="O620" s="296"/>
      <c r="P620" s="297"/>
      <c r="Q620" s="297"/>
      <c r="R620" s="297"/>
      <c r="S620" s="297"/>
      <c r="T620" s="298"/>
      <c r="U620" s="296"/>
      <c r="V620" s="296"/>
      <c r="W620" s="297"/>
      <c r="X620" s="297"/>
      <c r="Y620" s="297"/>
      <c r="Z620" s="297"/>
      <c r="AA620" s="299"/>
      <c r="AB620" s="296"/>
      <c r="AC620" s="296"/>
      <c r="AD620" s="297"/>
      <c r="AE620" s="297"/>
      <c r="AF620" s="297"/>
      <c r="AG620" s="297"/>
      <c r="AH620" s="295"/>
      <c r="AI620" s="293"/>
      <c r="AJ620" s="293"/>
      <c r="AK620" s="297"/>
      <c r="AL620" s="297"/>
      <c r="AM620" s="297"/>
      <c r="AN620" s="297"/>
      <c r="AO620" s="295"/>
    </row>
    <row r="621" spans="2:41" ht="13">
      <c r="B621" s="294"/>
      <c r="C621" s="295"/>
      <c r="D621" s="295"/>
      <c r="E621" s="294"/>
      <c r="F621" s="294"/>
      <c r="G621" s="295"/>
      <c r="H621" s="295"/>
      <c r="I621" s="295"/>
      <c r="J621" s="295"/>
      <c r="K621" s="295"/>
      <c r="L621" s="295"/>
      <c r="N621" s="296"/>
      <c r="O621" s="296"/>
      <c r="P621" s="297"/>
      <c r="Q621" s="297"/>
      <c r="R621" s="297"/>
      <c r="S621" s="297"/>
      <c r="T621" s="298"/>
      <c r="U621" s="296"/>
      <c r="V621" s="296"/>
      <c r="W621" s="297"/>
      <c r="X621" s="297"/>
      <c r="Y621" s="297"/>
      <c r="Z621" s="297"/>
      <c r="AA621" s="299"/>
      <c r="AB621" s="296"/>
      <c r="AC621" s="296"/>
      <c r="AD621" s="297"/>
      <c r="AE621" s="297"/>
      <c r="AF621" s="297"/>
      <c r="AG621" s="297"/>
      <c r="AH621" s="295"/>
      <c r="AI621" s="293"/>
      <c r="AJ621" s="293"/>
      <c r="AK621" s="297"/>
      <c r="AL621" s="297"/>
      <c r="AM621" s="297"/>
      <c r="AN621" s="297"/>
      <c r="AO621" s="295"/>
    </row>
    <row r="622" spans="2:41" ht="13">
      <c r="B622" s="294"/>
      <c r="C622" s="295"/>
      <c r="D622" s="295"/>
      <c r="E622" s="294"/>
      <c r="F622" s="294"/>
      <c r="G622" s="295"/>
      <c r="H622" s="295"/>
      <c r="I622" s="295"/>
      <c r="J622" s="295"/>
      <c r="K622" s="295"/>
      <c r="L622" s="295"/>
      <c r="N622" s="296"/>
      <c r="O622" s="296"/>
      <c r="P622" s="297"/>
      <c r="Q622" s="297"/>
      <c r="R622" s="297"/>
      <c r="S622" s="297"/>
      <c r="T622" s="298"/>
      <c r="U622" s="296"/>
      <c r="V622" s="296"/>
      <c r="W622" s="297"/>
      <c r="X622" s="297"/>
      <c r="Y622" s="297"/>
      <c r="Z622" s="297"/>
      <c r="AA622" s="299"/>
      <c r="AB622" s="296"/>
      <c r="AC622" s="296"/>
      <c r="AD622" s="297"/>
      <c r="AE622" s="297"/>
      <c r="AF622" s="297"/>
      <c r="AG622" s="297"/>
      <c r="AH622" s="295"/>
      <c r="AI622" s="293"/>
      <c r="AJ622" s="293"/>
      <c r="AK622" s="297"/>
      <c r="AL622" s="297"/>
      <c r="AM622" s="297"/>
      <c r="AN622" s="297"/>
      <c r="AO622" s="295"/>
    </row>
    <row r="623" spans="2:41" ht="13">
      <c r="B623" s="294"/>
      <c r="C623" s="295"/>
      <c r="D623" s="295"/>
      <c r="E623" s="294"/>
      <c r="F623" s="294"/>
      <c r="G623" s="295"/>
      <c r="H623" s="295"/>
      <c r="I623" s="295"/>
      <c r="J623" s="295"/>
      <c r="K623" s="295"/>
      <c r="L623" s="295"/>
      <c r="N623" s="296"/>
      <c r="O623" s="296"/>
      <c r="P623" s="297"/>
      <c r="Q623" s="297"/>
      <c r="R623" s="297"/>
      <c r="S623" s="297"/>
      <c r="T623" s="298"/>
      <c r="U623" s="296"/>
      <c r="V623" s="296"/>
      <c r="W623" s="297"/>
      <c r="X623" s="297"/>
      <c r="Y623" s="297"/>
      <c r="Z623" s="297"/>
      <c r="AA623" s="299"/>
      <c r="AB623" s="296"/>
      <c r="AC623" s="296"/>
      <c r="AD623" s="297"/>
      <c r="AE623" s="297"/>
      <c r="AF623" s="297"/>
      <c r="AG623" s="297"/>
      <c r="AH623" s="295"/>
      <c r="AI623" s="293"/>
      <c r="AJ623" s="293"/>
      <c r="AK623" s="297"/>
      <c r="AL623" s="297"/>
      <c r="AM623" s="297"/>
      <c r="AN623" s="297"/>
      <c r="AO623" s="295"/>
    </row>
    <row r="624" spans="2:41" ht="13">
      <c r="B624" s="294"/>
      <c r="C624" s="295"/>
      <c r="D624" s="295"/>
      <c r="E624" s="294"/>
      <c r="F624" s="294"/>
      <c r="G624" s="295"/>
      <c r="H624" s="295"/>
      <c r="I624" s="295"/>
      <c r="J624" s="295"/>
      <c r="K624" s="295"/>
      <c r="L624" s="295"/>
      <c r="N624" s="296"/>
      <c r="O624" s="296"/>
      <c r="P624" s="297"/>
      <c r="Q624" s="297"/>
      <c r="R624" s="297"/>
      <c r="S624" s="297"/>
      <c r="T624" s="298"/>
      <c r="U624" s="296"/>
      <c r="V624" s="296"/>
      <c r="W624" s="297"/>
      <c r="X624" s="297"/>
      <c r="Y624" s="297"/>
      <c r="Z624" s="297"/>
      <c r="AA624" s="299"/>
      <c r="AB624" s="296"/>
      <c r="AC624" s="296"/>
      <c r="AD624" s="297"/>
      <c r="AE624" s="297"/>
      <c r="AF624" s="297"/>
      <c r="AG624" s="297"/>
      <c r="AH624" s="295"/>
      <c r="AI624" s="293"/>
      <c r="AJ624" s="293"/>
      <c r="AK624" s="297"/>
      <c r="AL624" s="297"/>
      <c r="AM624" s="297"/>
      <c r="AN624" s="297"/>
      <c r="AO624" s="295"/>
    </row>
    <row r="625" spans="2:41" ht="13">
      <c r="B625" s="294"/>
      <c r="C625" s="295"/>
      <c r="D625" s="295"/>
      <c r="E625" s="294"/>
      <c r="F625" s="294"/>
      <c r="G625" s="295"/>
      <c r="H625" s="295"/>
      <c r="I625" s="295"/>
      <c r="J625" s="295"/>
      <c r="K625" s="295"/>
      <c r="L625" s="295"/>
      <c r="N625" s="296"/>
      <c r="O625" s="296"/>
      <c r="P625" s="297"/>
      <c r="Q625" s="297"/>
      <c r="R625" s="297"/>
      <c r="S625" s="297"/>
      <c r="T625" s="298"/>
      <c r="U625" s="296"/>
      <c r="V625" s="296"/>
      <c r="W625" s="297"/>
      <c r="X625" s="297"/>
      <c r="Y625" s="297"/>
      <c r="Z625" s="297"/>
      <c r="AA625" s="299"/>
      <c r="AB625" s="296"/>
      <c r="AC625" s="296"/>
      <c r="AD625" s="297"/>
      <c r="AE625" s="297"/>
      <c r="AF625" s="297"/>
      <c r="AG625" s="297"/>
      <c r="AH625" s="295"/>
      <c r="AI625" s="293"/>
      <c r="AJ625" s="293"/>
      <c r="AK625" s="297"/>
      <c r="AL625" s="297"/>
      <c r="AM625" s="297"/>
      <c r="AN625" s="297"/>
      <c r="AO625" s="295"/>
    </row>
    <row r="626" spans="2:41" ht="13">
      <c r="B626" s="294"/>
      <c r="C626" s="295"/>
      <c r="D626" s="295"/>
      <c r="E626" s="294"/>
      <c r="F626" s="294"/>
      <c r="G626" s="295"/>
      <c r="H626" s="295"/>
      <c r="I626" s="295"/>
      <c r="J626" s="295"/>
      <c r="K626" s="295"/>
      <c r="L626" s="295"/>
      <c r="N626" s="296"/>
      <c r="O626" s="296"/>
      <c r="P626" s="297"/>
      <c r="Q626" s="297"/>
      <c r="R626" s="297"/>
      <c r="S626" s="297"/>
      <c r="T626" s="298"/>
      <c r="U626" s="296"/>
      <c r="V626" s="296"/>
      <c r="W626" s="297"/>
      <c r="X626" s="297"/>
      <c r="Y626" s="297"/>
      <c r="Z626" s="297"/>
      <c r="AA626" s="299"/>
      <c r="AB626" s="296"/>
      <c r="AC626" s="296"/>
      <c r="AD626" s="297"/>
      <c r="AE626" s="297"/>
      <c r="AF626" s="297"/>
      <c r="AG626" s="297"/>
      <c r="AH626" s="295"/>
      <c r="AI626" s="293"/>
      <c r="AJ626" s="293"/>
      <c r="AK626" s="297"/>
      <c r="AL626" s="297"/>
      <c r="AM626" s="297"/>
      <c r="AN626" s="297"/>
      <c r="AO626" s="295"/>
    </row>
    <row r="627" spans="2:41" ht="13">
      <c r="B627" s="294"/>
      <c r="C627" s="295"/>
      <c r="D627" s="295"/>
      <c r="E627" s="294"/>
      <c r="F627" s="294"/>
      <c r="G627" s="295"/>
      <c r="H627" s="295"/>
      <c r="I627" s="295"/>
      <c r="J627" s="295"/>
      <c r="K627" s="295"/>
      <c r="L627" s="295"/>
      <c r="N627" s="296"/>
      <c r="O627" s="296"/>
      <c r="P627" s="297"/>
      <c r="Q627" s="297"/>
      <c r="R627" s="297"/>
      <c r="S627" s="297"/>
      <c r="T627" s="298"/>
      <c r="U627" s="296"/>
      <c r="V627" s="296"/>
      <c r="W627" s="297"/>
      <c r="X627" s="297"/>
      <c r="Y627" s="297"/>
      <c r="Z627" s="297"/>
      <c r="AA627" s="299"/>
      <c r="AB627" s="296"/>
      <c r="AC627" s="296"/>
      <c r="AD627" s="297"/>
      <c r="AE627" s="297"/>
      <c r="AF627" s="297"/>
      <c r="AG627" s="297"/>
      <c r="AH627" s="295"/>
      <c r="AI627" s="293"/>
      <c r="AJ627" s="293"/>
      <c r="AK627" s="297"/>
      <c r="AL627" s="297"/>
      <c r="AM627" s="297"/>
      <c r="AN627" s="297"/>
      <c r="AO627" s="295"/>
    </row>
    <row r="628" spans="2:41" ht="13">
      <c r="B628" s="294"/>
      <c r="C628" s="295"/>
      <c r="D628" s="295"/>
      <c r="E628" s="294"/>
      <c r="F628" s="294"/>
      <c r="G628" s="295"/>
      <c r="H628" s="295"/>
      <c r="I628" s="295"/>
      <c r="J628" s="295"/>
      <c r="K628" s="295"/>
      <c r="L628" s="295"/>
      <c r="N628" s="296"/>
      <c r="O628" s="296"/>
      <c r="P628" s="297"/>
      <c r="Q628" s="297"/>
      <c r="R628" s="297"/>
      <c r="S628" s="297"/>
      <c r="T628" s="298"/>
      <c r="U628" s="296"/>
      <c r="V628" s="296"/>
      <c r="W628" s="297"/>
      <c r="X628" s="297"/>
      <c r="Y628" s="297"/>
      <c r="Z628" s="297"/>
      <c r="AA628" s="299"/>
      <c r="AB628" s="296"/>
      <c r="AC628" s="296"/>
      <c r="AD628" s="297"/>
      <c r="AE628" s="297"/>
      <c r="AF628" s="297"/>
      <c r="AG628" s="297"/>
      <c r="AH628" s="295"/>
      <c r="AI628" s="293"/>
      <c r="AJ628" s="293"/>
      <c r="AK628" s="297"/>
      <c r="AL628" s="297"/>
      <c r="AM628" s="297"/>
      <c r="AN628" s="297"/>
      <c r="AO628" s="295"/>
    </row>
    <row r="629" spans="2:41" ht="13">
      <c r="B629" s="294"/>
      <c r="C629" s="295"/>
      <c r="D629" s="295"/>
      <c r="E629" s="294"/>
      <c r="F629" s="294"/>
      <c r="G629" s="295"/>
      <c r="H629" s="295"/>
      <c r="I629" s="295"/>
      <c r="J629" s="295"/>
      <c r="K629" s="295"/>
      <c r="L629" s="295"/>
      <c r="N629" s="296"/>
      <c r="O629" s="296"/>
      <c r="P629" s="297"/>
      <c r="Q629" s="297"/>
      <c r="R629" s="297"/>
      <c r="S629" s="297"/>
      <c r="T629" s="298"/>
      <c r="U629" s="296"/>
      <c r="V629" s="296"/>
      <c r="W629" s="297"/>
      <c r="X629" s="297"/>
      <c r="Y629" s="297"/>
      <c r="Z629" s="297"/>
      <c r="AA629" s="299"/>
      <c r="AB629" s="296"/>
      <c r="AC629" s="296"/>
      <c r="AD629" s="297"/>
      <c r="AE629" s="297"/>
      <c r="AF629" s="297"/>
      <c r="AG629" s="297"/>
      <c r="AH629" s="295"/>
      <c r="AI629" s="293"/>
      <c r="AJ629" s="293"/>
      <c r="AK629" s="297"/>
      <c r="AL629" s="297"/>
      <c r="AM629" s="297"/>
      <c r="AN629" s="297"/>
      <c r="AO629" s="295"/>
    </row>
    <row r="630" spans="2:41" ht="13">
      <c r="B630" s="294"/>
      <c r="C630" s="295"/>
      <c r="D630" s="295"/>
      <c r="E630" s="294"/>
      <c r="F630" s="294"/>
      <c r="G630" s="295"/>
      <c r="H630" s="295"/>
      <c r="I630" s="295"/>
      <c r="J630" s="295"/>
      <c r="K630" s="295"/>
      <c r="L630" s="295"/>
      <c r="N630" s="296"/>
      <c r="O630" s="296"/>
      <c r="P630" s="297"/>
      <c r="Q630" s="297"/>
      <c r="R630" s="297"/>
      <c r="S630" s="297"/>
      <c r="T630" s="298"/>
      <c r="U630" s="296"/>
      <c r="V630" s="296"/>
      <c r="W630" s="297"/>
      <c r="X630" s="297"/>
      <c r="Y630" s="297"/>
      <c r="Z630" s="297"/>
      <c r="AA630" s="299"/>
      <c r="AB630" s="296"/>
      <c r="AC630" s="296"/>
      <c r="AD630" s="297"/>
      <c r="AE630" s="297"/>
      <c r="AF630" s="297"/>
      <c r="AG630" s="297"/>
      <c r="AH630" s="295"/>
      <c r="AI630" s="293"/>
      <c r="AJ630" s="293"/>
      <c r="AK630" s="297"/>
      <c r="AL630" s="297"/>
      <c r="AM630" s="297"/>
      <c r="AN630" s="297"/>
      <c r="AO630" s="295"/>
    </row>
    <row r="631" spans="2:41" ht="13">
      <c r="B631" s="294"/>
      <c r="C631" s="295"/>
      <c r="D631" s="295"/>
      <c r="E631" s="294"/>
      <c r="F631" s="294"/>
      <c r="G631" s="295"/>
      <c r="H631" s="295"/>
      <c r="I631" s="295"/>
      <c r="J631" s="295"/>
      <c r="K631" s="295"/>
      <c r="L631" s="295"/>
      <c r="N631" s="296"/>
      <c r="O631" s="296"/>
      <c r="P631" s="297"/>
      <c r="Q631" s="297"/>
      <c r="R631" s="297"/>
      <c r="S631" s="297"/>
      <c r="T631" s="298"/>
      <c r="U631" s="296"/>
      <c r="V631" s="296"/>
      <c r="W631" s="297"/>
      <c r="X631" s="297"/>
      <c r="Y631" s="297"/>
      <c r="Z631" s="297"/>
      <c r="AA631" s="299"/>
      <c r="AB631" s="296"/>
      <c r="AC631" s="296"/>
      <c r="AD631" s="297"/>
      <c r="AE631" s="297"/>
      <c r="AF631" s="297"/>
      <c r="AG631" s="297"/>
      <c r="AH631" s="295"/>
      <c r="AI631" s="293"/>
      <c r="AJ631" s="293"/>
      <c r="AK631" s="297"/>
      <c r="AL631" s="297"/>
      <c r="AM631" s="297"/>
      <c r="AN631" s="297"/>
      <c r="AO631" s="295"/>
    </row>
    <row r="632" spans="2:41" ht="13">
      <c r="B632" s="294"/>
      <c r="C632" s="295"/>
      <c r="D632" s="295"/>
      <c r="E632" s="294"/>
      <c r="F632" s="294"/>
      <c r="G632" s="295"/>
      <c r="H632" s="295"/>
      <c r="I632" s="295"/>
      <c r="J632" s="295"/>
      <c r="K632" s="295"/>
      <c r="L632" s="295"/>
      <c r="N632" s="296"/>
      <c r="O632" s="296"/>
      <c r="P632" s="297"/>
      <c r="Q632" s="297"/>
      <c r="R632" s="297"/>
      <c r="S632" s="297"/>
      <c r="T632" s="298"/>
      <c r="U632" s="296"/>
      <c r="V632" s="296"/>
      <c r="W632" s="297"/>
      <c r="X632" s="297"/>
      <c r="Y632" s="297"/>
      <c r="Z632" s="297"/>
      <c r="AA632" s="299"/>
      <c r="AB632" s="296"/>
      <c r="AC632" s="296"/>
      <c r="AD632" s="297"/>
      <c r="AE632" s="297"/>
      <c r="AF632" s="297"/>
      <c r="AG632" s="297"/>
      <c r="AH632" s="295"/>
      <c r="AI632" s="293"/>
      <c r="AJ632" s="293"/>
      <c r="AK632" s="297"/>
      <c r="AL632" s="297"/>
      <c r="AM632" s="297"/>
      <c r="AN632" s="297"/>
      <c r="AO632" s="295"/>
    </row>
    <row r="633" spans="2:41" ht="13">
      <c r="B633" s="294"/>
      <c r="C633" s="295"/>
      <c r="D633" s="295"/>
      <c r="E633" s="294"/>
      <c r="F633" s="294"/>
      <c r="G633" s="295"/>
      <c r="H633" s="295"/>
      <c r="I633" s="295"/>
      <c r="J633" s="295"/>
      <c r="K633" s="295"/>
      <c r="L633" s="295"/>
      <c r="N633" s="296"/>
      <c r="O633" s="296"/>
      <c r="P633" s="297"/>
      <c r="Q633" s="297"/>
      <c r="R633" s="297"/>
      <c r="S633" s="297"/>
      <c r="T633" s="298"/>
      <c r="U633" s="296"/>
      <c r="V633" s="296"/>
      <c r="W633" s="297"/>
      <c r="X633" s="297"/>
      <c r="Y633" s="297"/>
      <c r="Z633" s="297"/>
      <c r="AA633" s="299"/>
      <c r="AB633" s="296"/>
      <c r="AC633" s="296"/>
      <c r="AD633" s="297"/>
      <c r="AE633" s="297"/>
      <c r="AF633" s="297"/>
      <c r="AG633" s="297"/>
      <c r="AH633" s="295"/>
      <c r="AI633" s="293"/>
      <c r="AJ633" s="293"/>
      <c r="AK633" s="297"/>
      <c r="AL633" s="297"/>
      <c r="AM633" s="297"/>
      <c r="AN633" s="297"/>
      <c r="AO633" s="295"/>
    </row>
    <row r="634" spans="2:41" ht="13">
      <c r="B634" s="294"/>
      <c r="C634" s="295"/>
      <c r="D634" s="295"/>
      <c r="E634" s="294"/>
      <c r="F634" s="294"/>
      <c r="G634" s="295"/>
      <c r="H634" s="295"/>
      <c r="I634" s="295"/>
      <c r="J634" s="295"/>
      <c r="K634" s="295"/>
      <c r="L634" s="295"/>
      <c r="N634" s="296"/>
      <c r="O634" s="296"/>
      <c r="P634" s="297"/>
      <c r="Q634" s="297"/>
      <c r="R634" s="297"/>
      <c r="S634" s="297"/>
      <c r="T634" s="298"/>
      <c r="U634" s="296"/>
      <c r="V634" s="296"/>
      <c r="W634" s="297"/>
      <c r="X634" s="297"/>
      <c r="Y634" s="297"/>
      <c r="Z634" s="297"/>
      <c r="AA634" s="299"/>
      <c r="AB634" s="296"/>
      <c r="AC634" s="296"/>
      <c r="AD634" s="297"/>
      <c r="AE634" s="297"/>
      <c r="AF634" s="297"/>
      <c r="AG634" s="297"/>
      <c r="AH634" s="295"/>
      <c r="AI634" s="293"/>
      <c r="AJ634" s="293"/>
      <c r="AK634" s="297"/>
      <c r="AL634" s="297"/>
      <c r="AM634" s="297"/>
      <c r="AN634" s="297"/>
      <c r="AO634" s="295"/>
    </row>
    <row r="635" spans="2:41" ht="13">
      <c r="B635" s="294"/>
      <c r="C635" s="295"/>
      <c r="D635" s="295"/>
      <c r="E635" s="294"/>
      <c r="F635" s="294"/>
      <c r="G635" s="295"/>
      <c r="H635" s="295"/>
      <c r="I635" s="295"/>
      <c r="J635" s="295"/>
      <c r="K635" s="295"/>
      <c r="L635" s="295"/>
      <c r="N635" s="296"/>
      <c r="O635" s="296"/>
      <c r="P635" s="297"/>
      <c r="Q635" s="297"/>
      <c r="R635" s="297"/>
      <c r="S635" s="297"/>
      <c r="T635" s="298"/>
      <c r="U635" s="296"/>
      <c r="V635" s="296"/>
      <c r="W635" s="297"/>
      <c r="X635" s="297"/>
      <c r="Y635" s="297"/>
      <c r="Z635" s="297"/>
      <c r="AA635" s="299"/>
      <c r="AB635" s="296"/>
      <c r="AC635" s="296"/>
      <c r="AD635" s="297"/>
      <c r="AE635" s="297"/>
      <c r="AF635" s="297"/>
      <c r="AG635" s="297"/>
      <c r="AH635" s="295"/>
      <c r="AI635" s="293"/>
      <c r="AJ635" s="293"/>
      <c r="AK635" s="297"/>
      <c r="AL635" s="297"/>
      <c r="AM635" s="297"/>
      <c r="AN635" s="297"/>
      <c r="AO635" s="295"/>
    </row>
    <row r="636" spans="2:41" ht="13">
      <c r="B636" s="294"/>
      <c r="C636" s="295"/>
      <c r="D636" s="295"/>
      <c r="E636" s="294"/>
      <c r="F636" s="294"/>
      <c r="G636" s="295"/>
      <c r="H636" s="295"/>
      <c r="I636" s="295"/>
      <c r="J636" s="295"/>
      <c r="K636" s="295"/>
      <c r="L636" s="295"/>
      <c r="N636" s="296"/>
      <c r="O636" s="296"/>
      <c r="P636" s="297"/>
      <c r="Q636" s="297"/>
      <c r="R636" s="297"/>
      <c r="S636" s="297"/>
      <c r="T636" s="298"/>
      <c r="U636" s="296"/>
      <c r="V636" s="296"/>
      <c r="W636" s="297"/>
      <c r="X636" s="297"/>
      <c r="Y636" s="297"/>
      <c r="Z636" s="297"/>
      <c r="AA636" s="299"/>
      <c r="AB636" s="296"/>
      <c r="AC636" s="296"/>
      <c r="AD636" s="297"/>
      <c r="AE636" s="297"/>
      <c r="AF636" s="297"/>
      <c r="AG636" s="297"/>
      <c r="AH636" s="295"/>
      <c r="AI636" s="293"/>
      <c r="AJ636" s="293"/>
      <c r="AK636" s="297"/>
      <c r="AL636" s="297"/>
      <c r="AM636" s="297"/>
      <c r="AN636" s="297"/>
      <c r="AO636" s="295"/>
    </row>
    <row r="637" spans="2:41" ht="13">
      <c r="B637" s="294"/>
      <c r="C637" s="295"/>
      <c r="D637" s="295"/>
      <c r="E637" s="294"/>
      <c r="F637" s="294"/>
      <c r="G637" s="295"/>
      <c r="H637" s="295"/>
      <c r="I637" s="295"/>
      <c r="J637" s="295"/>
      <c r="K637" s="295"/>
      <c r="L637" s="295"/>
      <c r="N637" s="296"/>
      <c r="O637" s="296"/>
      <c r="P637" s="297"/>
      <c r="Q637" s="297"/>
      <c r="R637" s="297"/>
      <c r="S637" s="297"/>
      <c r="T637" s="298"/>
      <c r="U637" s="296"/>
      <c r="V637" s="296"/>
      <c r="W637" s="297"/>
      <c r="X637" s="297"/>
      <c r="Y637" s="297"/>
      <c r="Z637" s="297"/>
      <c r="AA637" s="299"/>
      <c r="AB637" s="296"/>
      <c r="AC637" s="296"/>
      <c r="AD637" s="297"/>
      <c r="AE637" s="297"/>
      <c r="AF637" s="297"/>
      <c r="AG637" s="297"/>
      <c r="AH637" s="295"/>
      <c r="AI637" s="293"/>
      <c r="AJ637" s="293"/>
      <c r="AK637" s="297"/>
      <c r="AL637" s="297"/>
      <c r="AM637" s="297"/>
      <c r="AN637" s="297"/>
      <c r="AO637" s="295"/>
    </row>
    <row r="638" spans="2:41" ht="13">
      <c r="B638" s="294"/>
      <c r="C638" s="295"/>
      <c r="D638" s="295"/>
      <c r="E638" s="294"/>
      <c r="F638" s="294"/>
      <c r="G638" s="295"/>
      <c r="H638" s="295"/>
      <c r="I638" s="295"/>
      <c r="J638" s="295"/>
      <c r="K638" s="295"/>
      <c r="L638" s="295"/>
      <c r="N638" s="296"/>
      <c r="O638" s="296"/>
      <c r="P638" s="297"/>
      <c r="Q638" s="297"/>
      <c r="R638" s="297"/>
      <c r="S638" s="297"/>
      <c r="T638" s="298"/>
      <c r="U638" s="296"/>
      <c r="V638" s="296"/>
      <c r="W638" s="297"/>
      <c r="X638" s="297"/>
      <c r="Y638" s="297"/>
      <c r="Z638" s="297"/>
      <c r="AA638" s="299"/>
      <c r="AB638" s="296"/>
      <c r="AC638" s="296"/>
      <c r="AD638" s="297"/>
      <c r="AE638" s="297"/>
      <c r="AF638" s="297"/>
      <c r="AG638" s="297"/>
      <c r="AH638" s="295"/>
      <c r="AI638" s="293"/>
      <c r="AJ638" s="293"/>
      <c r="AK638" s="297"/>
      <c r="AL638" s="297"/>
      <c r="AM638" s="297"/>
      <c r="AN638" s="297"/>
      <c r="AO638" s="295"/>
    </row>
    <row r="639" spans="2:41" ht="13">
      <c r="B639" s="294"/>
      <c r="C639" s="295"/>
      <c r="D639" s="295"/>
      <c r="E639" s="294"/>
      <c r="F639" s="294"/>
      <c r="G639" s="295"/>
      <c r="H639" s="295"/>
      <c r="I639" s="295"/>
      <c r="J639" s="295"/>
      <c r="K639" s="295"/>
      <c r="L639" s="295"/>
      <c r="N639" s="296"/>
      <c r="O639" s="296"/>
      <c r="P639" s="297"/>
      <c r="Q639" s="297"/>
      <c r="R639" s="297"/>
      <c r="S639" s="297"/>
      <c r="T639" s="298"/>
      <c r="U639" s="296"/>
      <c r="V639" s="296"/>
      <c r="W639" s="297"/>
      <c r="X639" s="297"/>
      <c r="Y639" s="297"/>
      <c r="Z639" s="297"/>
      <c r="AA639" s="299"/>
      <c r="AB639" s="296"/>
      <c r="AC639" s="296"/>
      <c r="AD639" s="297"/>
      <c r="AE639" s="297"/>
      <c r="AF639" s="297"/>
      <c r="AG639" s="297"/>
      <c r="AH639" s="295"/>
      <c r="AI639" s="293"/>
      <c r="AJ639" s="293"/>
      <c r="AK639" s="297"/>
      <c r="AL639" s="297"/>
      <c r="AM639" s="297"/>
      <c r="AN639" s="297"/>
      <c r="AO639" s="295"/>
    </row>
    <row r="640" spans="2:41" ht="13">
      <c r="B640" s="294"/>
      <c r="C640" s="295"/>
      <c r="D640" s="295"/>
      <c r="E640" s="294"/>
      <c r="F640" s="294"/>
      <c r="G640" s="295"/>
      <c r="H640" s="295"/>
      <c r="I640" s="295"/>
      <c r="J640" s="295"/>
      <c r="K640" s="295"/>
      <c r="L640" s="295"/>
      <c r="N640" s="296"/>
      <c r="O640" s="296"/>
      <c r="P640" s="297"/>
      <c r="Q640" s="297"/>
      <c r="R640" s="297"/>
      <c r="S640" s="297"/>
      <c r="T640" s="298"/>
      <c r="U640" s="296"/>
      <c r="V640" s="296"/>
      <c r="W640" s="297"/>
      <c r="X640" s="297"/>
      <c r="Y640" s="297"/>
      <c r="Z640" s="297"/>
      <c r="AA640" s="299"/>
      <c r="AB640" s="296"/>
      <c r="AC640" s="296"/>
      <c r="AD640" s="297"/>
      <c r="AE640" s="297"/>
      <c r="AF640" s="297"/>
      <c r="AG640" s="297"/>
      <c r="AH640" s="295"/>
      <c r="AI640" s="293"/>
      <c r="AJ640" s="293"/>
      <c r="AK640" s="297"/>
      <c r="AL640" s="297"/>
      <c r="AM640" s="297"/>
      <c r="AN640" s="297"/>
      <c r="AO640" s="295"/>
    </row>
    <row r="641" spans="2:41" ht="13">
      <c r="B641" s="294"/>
      <c r="C641" s="295"/>
      <c r="D641" s="295"/>
      <c r="E641" s="294"/>
      <c r="F641" s="294"/>
      <c r="G641" s="295"/>
      <c r="H641" s="295"/>
      <c r="I641" s="295"/>
      <c r="J641" s="295"/>
      <c r="K641" s="295"/>
      <c r="L641" s="295"/>
      <c r="N641" s="296"/>
      <c r="O641" s="296"/>
      <c r="P641" s="297"/>
      <c r="Q641" s="297"/>
      <c r="R641" s="297"/>
      <c r="S641" s="297"/>
      <c r="T641" s="298"/>
      <c r="U641" s="296"/>
      <c r="V641" s="296"/>
      <c r="W641" s="297"/>
      <c r="X641" s="297"/>
      <c r="Y641" s="297"/>
      <c r="Z641" s="297"/>
      <c r="AA641" s="299"/>
      <c r="AB641" s="296"/>
      <c r="AC641" s="296"/>
      <c r="AD641" s="297"/>
      <c r="AE641" s="297"/>
      <c r="AF641" s="297"/>
      <c r="AG641" s="297"/>
      <c r="AH641" s="295"/>
      <c r="AI641" s="293"/>
      <c r="AJ641" s="293"/>
      <c r="AK641" s="297"/>
      <c r="AL641" s="297"/>
      <c r="AM641" s="297"/>
      <c r="AN641" s="297"/>
      <c r="AO641" s="295"/>
    </row>
    <row r="642" spans="2:41" ht="13">
      <c r="B642" s="294"/>
      <c r="C642" s="295"/>
      <c r="D642" s="295"/>
      <c r="E642" s="294"/>
      <c r="F642" s="294"/>
      <c r="G642" s="295"/>
      <c r="H642" s="295"/>
      <c r="I642" s="295"/>
      <c r="J642" s="295"/>
      <c r="K642" s="295"/>
      <c r="L642" s="295"/>
      <c r="N642" s="296"/>
      <c r="O642" s="296"/>
      <c r="P642" s="297"/>
      <c r="Q642" s="297"/>
      <c r="R642" s="297"/>
      <c r="S642" s="297"/>
      <c r="T642" s="298"/>
      <c r="U642" s="296"/>
      <c r="V642" s="296"/>
      <c r="W642" s="297"/>
      <c r="X642" s="297"/>
      <c r="Y642" s="297"/>
      <c r="Z642" s="297"/>
      <c r="AA642" s="299"/>
      <c r="AB642" s="296"/>
      <c r="AC642" s="296"/>
      <c r="AD642" s="297"/>
      <c r="AE642" s="297"/>
      <c r="AF642" s="297"/>
      <c r="AG642" s="297"/>
      <c r="AH642" s="295"/>
      <c r="AI642" s="293"/>
      <c r="AJ642" s="293"/>
      <c r="AK642" s="297"/>
      <c r="AL642" s="297"/>
      <c r="AM642" s="297"/>
      <c r="AN642" s="297"/>
      <c r="AO642" s="295"/>
    </row>
    <row r="643" spans="2:41" ht="13">
      <c r="B643" s="294"/>
      <c r="C643" s="295"/>
      <c r="D643" s="295"/>
      <c r="E643" s="294"/>
      <c r="F643" s="294"/>
      <c r="G643" s="295"/>
      <c r="H643" s="295"/>
      <c r="I643" s="295"/>
      <c r="J643" s="295"/>
      <c r="K643" s="295"/>
      <c r="L643" s="295"/>
      <c r="N643" s="296"/>
      <c r="O643" s="296"/>
      <c r="P643" s="297"/>
      <c r="Q643" s="297"/>
      <c r="R643" s="297"/>
      <c r="S643" s="297"/>
      <c r="T643" s="298"/>
      <c r="U643" s="296"/>
      <c r="V643" s="296"/>
      <c r="W643" s="297"/>
      <c r="X643" s="297"/>
      <c r="Y643" s="297"/>
      <c r="Z643" s="297"/>
      <c r="AA643" s="299"/>
      <c r="AB643" s="296"/>
      <c r="AC643" s="296"/>
      <c r="AD643" s="297"/>
      <c r="AE643" s="297"/>
      <c r="AF643" s="297"/>
      <c r="AG643" s="297"/>
      <c r="AH643" s="295"/>
      <c r="AI643" s="293"/>
      <c r="AJ643" s="293"/>
      <c r="AK643" s="297"/>
      <c r="AL643" s="297"/>
      <c r="AM643" s="297"/>
      <c r="AN643" s="297"/>
      <c r="AO643" s="295"/>
    </row>
    <row r="644" spans="2:41" ht="13">
      <c r="B644" s="294"/>
      <c r="C644" s="295"/>
      <c r="D644" s="295"/>
      <c r="E644" s="294"/>
      <c r="F644" s="294"/>
      <c r="G644" s="295"/>
      <c r="H644" s="295"/>
      <c r="I644" s="295"/>
      <c r="J644" s="295"/>
      <c r="K644" s="295"/>
      <c r="L644" s="295"/>
      <c r="N644" s="296"/>
      <c r="O644" s="296"/>
      <c r="P644" s="297"/>
      <c r="Q644" s="297"/>
      <c r="R644" s="297"/>
      <c r="S644" s="297"/>
      <c r="T644" s="298"/>
      <c r="U644" s="296"/>
      <c r="V644" s="296"/>
      <c r="W644" s="297"/>
      <c r="X644" s="297"/>
      <c r="Y644" s="297"/>
      <c r="Z644" s="297"/>
      <c r="AA644" s="299"/>
      <c r="AB644" s="296"/>
      <c r="AC644" s="296"/>
      <c r="AD644" s="297"/>
      <c r="AE644" s="297"/>
      <c r="AF644" s="297"/>
      <c r="AG644" s="297"/>
      <c r="AH644" s="295"/>
      <c r="AI644" s="293"/>
      <c r="AJ644" s="293"/>
      <c r="AK644" s="297"/>
      <c r="AL644" s="297"/>
      <c r="AM644" s="297"/>
      <c r="AN644" s="297"/>
      <c r="AO644" s="295"/>
    </row>
    <row r="645" spans="2:41" ht="13">
      <c r="B645" s="294"/>
      <c r="C645" s="295"/>
      <c r="D645" s="295"/>
      <c r="E645" s="294"/>
      <c r="F645" s="294"/>
      <c r="G645" s="295"/>
      <c r="H645" s="295"/>
      <c r="I645" s="295"/>
      <c r="J645" s="295"/>
      <c r="K645" s="295"/>
      <c r="L645" s="295"/>
      <c r="N645" s="296"/>
      <c r="O645" s="296"/>
      <c r="P645" s="297"/>
      <c r="Q645" s="297"/>
      <c r="R645" s="297"/>
      <c r="S645" s="297"/>
      <c r="T645" s="298"/>
      <c r="U645" s="296"/>
      <c r="V645" s="296"/>
      <c r="W645" s="297"/>
      <c r="X645" s="297"/>
      <c r="Y645" s="297"/>
      <c r="Z645" s="297"/>
      <c r="AA645" s="299"/>
      <c r="AB645" s="296"/>
      <c r="AC645" s="296"/>
      <c r="AD645" s="297"/>
      <c r="AE645" s="297"/>
      <c r="AF645" s="297"/>
      <c r="AG645" s="297"/>
      <c r="AH645" s="295"/>
      <c r="AI645" s="293"/>
      <c r="AJ645" s="293"/>
      <c r="AK645" s="297"/>
      <c r="AL645" s="297"/>
      <c r="AM645" s="297"/>
      <c r="AN645" s="297"/>
      <c r="AO645" s="295"/>
    </row>
    <row r="646" spans="2:41" ht="13">
      <c r="B646" s="294"/>
      <c r="C646" s="295"/>
      <c r="D646" s="295"/>
      <c r="E646" s="294"/>
      <c r="F646" s="294"/>
      <c r="G646" s="295"/>
      <c r="H646" s="295"/>
      <c r="I646" s="295"/>
      <c r="J646" s="295"/>
      <c r="K646" s="295"/>
      <c r="L646" s="295"/>
      <c r="N646" s="296"/>
      <c r="O646" s="296"/>
      <c r="P646" s="297"/>
      <c r="Q646" s="297"/>
      <c r="R646" s="297"/>
      <c r="S646" s="297"/>
      <c r="T646" s="298"/>
      <c r="U646" s="296"/>
      <c r="V646" s="296"/>
      <c r="W646" s="297"/>
      <c r="X646" s="297"/>
      <c r="Y646" s="297"/>
      <c r="Z646" s="297"/>
      <c r="AA646" s="299"/>
      <c r="AB646" s="296"/>
      <c r="AC646" s="296"/>
      <c r="AD646" s="297"/>
      <c r="AE646" s="297"/>
      <c r="AF646" s="297"/>
      <c r="AG646" s="297"/>
      <c r="AH646" s="295"/>
      <c r="AI646" s="293"/>
      <c r="AJ646" s="293"/>
      <c r="AK646" s="297"/>
      <c r="AL646" s="297"/>
      <c r="AM646" s="297"/>
      <c r="AN646" s="297"/>
      <c r="AO646" s="295"/>
    </row>
    <row r="647" spans="2:41" ht="13">
      <c r="B647" s="294"/>
      <c r="C647" s="295"/>
      <c r="D647" s="295"/>
      <c r="E647" s="294"/>
      <c r="F647" s="294"/>
      <c r="G647" s="295"/>
      <c r="H647" s="295"/>
      <c r="I647" s="295"/>
      <c r="J647" s="295"/>
      <c r="K647" s="295"/>
      <c r="L647" s="295"/>
      <c r="N647" s="296"/>
      <c r="O647" s="296"/>
      <c r="P647" s="297"/>
      <c r="Q647" s="297"/>
      <c r="R647" s="297"/>
      <c r="S647" s="297"/>
      <c r="T647" s="298"/>
      <c r="U647" s="296"/>
      <c r="V647" s="296"/>
      <c r="W647" s="297"/>
      <c r="X647" s="297"/>
      <c r="Y647" s="297"/>
      <c r="Z647" s="297"/>
      <c r="AA647" s="299"/>
      <c r="AB647" s="296"/>
      <c r="AC647" s="296"/>
      <c r="AD647" s="297"/>
      <c r="AE647" s="297"/>
      <c r="AF647" s="297"/>
      <c r="AG647" s="297"/>
      <c r="AH647" s="295"/>
      <c r="AI647" s="293"/>
      <c r="AJ647" s="293"/>
      <c r="AK647" s="297"/>
      <c r="AL647" s="297"/>
      <c r="AM647" s="297"/>
      <c r="AN647" s="297"/>
      <c r="AO647" s="295"/>
    </row>
    <row r="648" spans="2:41" ht="13">
      <c r="B648" s="294"/>
      <c r="C648" s="295"/>
      <c r="D648" s="295"/>
      <c r="E648" s="294"/>
      <c r="F648" s="294"/>
      <c r="G648" s="295"/>
      <c r="H648" s="295"/>
      <c r="I648" s="295"/>
      <c r="J648" s="295"/>
      <c r="K648" s="295"/>
      <c r="L648" s="295"/>
      <c r="N648" s="296"/>
      <c r="O648" s="296"/>
      <c r="P648" s="297"/>
      <c r="Q648" s="297"/>
      <c r="R648" s="297"/>
      <c r="S648" s="297"/>
      <c r="T648" s="298"/>
      <c r="U648" s="296"/>
      <c r="V648" s="296"/>
      <c r="W648" s="297"/>
      <c r="X648" s="297"/>
      <c r="Y648" s="297"/>
      <c r="Z648" s="297"/>
      <c r="AA648" s="299"/>
      <c r="AB648" s="296"/>
      <c r="AC648" s="296"/>
      <c r="AD648" s="297"/>
      <c r="AE648" s="297"/>
      <c r="AF648" s="297"/>
      <c r="AG648" s="297"/>
      <c r="AH648" s="295"/>
      <c r="AI648" s="293"/>
      <c r="AJ648" s="293"/>
      <c r="AK648" s="297"/>
      <c r="AL648" s="297"/>
      <c r="AM648" s="297"/>
      <c r="AN648" s="297"/>
      <c r="AO648" s="295"/>
    </row>
    <row r="649" spans="2:41" ht="13">
      <c r="B649" s="294"/>
      <c r="C649" s="295"/>
      <c r="D649" s="295"/>
      <c r="E649" s="294"/>
      <c r="F649" s="294"/>
      <c r="G649" s="295"/>
      <c r="H649" s="295"/>
      <c r="I649" s="295"/>
      <c r="J649" s="295"/>
      <c r="K649" s="295"/>
      <c r="L649" s="295"/>
      <c r="N649" s="296"/>
      <c r="O649" s="296"/>
      <c r="P649" s="297"/>
      <c r="Q649" s="297"/>
      <c r="R649" s="297"/>
      <c r="S649" s="297"/>
      <c r="T649" s="298"/>
      <c r="U649" s="296"/>
      <c r="V649" s="296"/>
      <c r="W649" s="297"/>
      <c r="X649" s="297"/>
      <c r="Y649" s="297"/>
      <c r="Z649" s="297"/>
      <c r="AA649" s="299"/>
      <c r="AB649" s="296"/>
      <c r="AC649" s="296"/>
      <c r="AD649" s="297"/>
      <c r="AE649" s="297"/>
      <c r="AF649" s="297"/>
      <c r="AG649" s="297"/>
      <c r="AH649" s="295"/>
      <c r="AI649" s="293"/>
      <c r="AJ649" s="293"/>
      <c r="AK649" s="297"/>
      <c r="AL649" s="297"/>
      <c r="AM649" s="297"/>
      <c r="AN649" s="297"/>
      <c r="AO649" s="295"/>
    </row>
    <row r="650" spans="2:41" ht="13">
      <c r="B650" s="294"/>
      <c r="C650" s="295"/>
      <c r="D650" s="295"/>
      <c r="E650" s="294"/>
      <c r="F650" s="294"/>
      <c r="G650" s="295"/>
      <c r="H650" s="295"/>
      <c r="I650" s="295"/>
      <c r="J650" s="295"/>
      <c r="K650" s="295"/>
      <c r="L650" s="295"/>
      <c r="N650" s="296"/>
      <c r="O650" s="296"/>
      <c r="P650" s="297"/>
      <c r="Q650" s="297"/>
      <c r="R650" s="297"/>
      <c r="S650" s="297"/>
      <c r="T650" s="298"/>
      <c r="U650" s="296"/>
      <c r="V650" s="296"/>
      <c r="W650" s="297"/>
      <c r="X650" s="297"/>
      <c r="Y650" s="297"/>
      <c r="Z650" s="297"/>
      <c r="AA650" s="299"/>
      <c r="AB650" s="296"/>
      <c r="AC650" s="296"/>
      <c r="AD650" s="297"/>
      <c r="AE650" s="297"/>
      <c r="AF650" s="297"/>
      <c r="AG650" s="297"/>
      <c r="AH650" s="295"/>
      <c r="AI650" s="293"/>
      <c r="AJ650" s="293"/>
      <c r="AK650" s="297"/>
      <c r="AL650" s="297"/>
      <c r="AM650" s="297"/>
      <c r="AN650" s="297"/>
      <c r="AO650" s="295"/>
    </row>
    <row r="651" spans="2:41" ht="13">
      <c r="B651" s="294"/>
      <c r="C651" s="295"/>
      <c r="D651" s="295"/>
      <c r="E651" s="294"/>
      <c r="F651" s="294"/>
      <c r="G651" s="295"/>
      <c r="H651" s="295"/>
      <c r="I651" s="295"/>
      <c r="J651" s="295"/>
      <c r="K651" s="295"/>
      <c r="L651" s="295"/>
      <c r="N651" s="296"/>
      <c r="O651" s="296"/>
      <c r="P651" s="297"/>
      <c r="Q651" s="297"/>
      <c r="R651" s="297"/>
      <c r="S651" s="297"/>
      <c r="T651" s="298"/>
      <c r="U651" s="296"/>
      <c r="V651" s="296"/>
      <c r="W651" s="297"/>
      <c r="X651" s="297"/>
      <c r="Y651" s="297"/>
      <c r="Z651" s="297"/>
      <c r="AA651" s="299"/>
      <c r="AB651" s="296"/>
      <c r="AC651" s="296"/>
      <c r="AD651" s="297"/>
      <c r="AE651" s="297"/>
      <c r="AF651" s="297"/>
      <c r="AG651" s="297"/>
      <c r="AH651" s="295"/>
      <c r="AI651" s="293"/>
      <c r="AJ651" s="293"/>
      <c r="AK651" s="297"/>
      <c r="AL651" s="297"/>
      <c r="AM651" s="297"/>
      <c r="AN651" s="297"/>
      <c r="AO651" s="295"/>
    </row>
    <row r="652" spans="2:41" ht="13">
      <c r="B652" s="294"/>
      <c r="C652" s="295"/>
      <c r="D652" s="295"/>
      <c r="E652" s="294"/>
      <c r="F652" s="294"/>
      <c r="G652" s="295"/>
      <c r="H652" s="295"/>
      <c r="I652" s="295"/>
      <c r="J652" s="295"/>
      <c r="K652" s="295"/>
      <c r="L652" s="295"/>
      <c r="N652" s="296"/>
      <c r="O652" s="296"/>
      <c r="P652" s="297"/>
      <c r="Q652" s="297"/>
      <c r="R652" s="297"/>
      <c r="S652" s="297"/>
      <c r="T652" s="298"/>
      <c r="U652" s="296"/>
      <c r="V652" s="296"/>
      <c r="W652" s="297"/>
      <c r="X652" s="297"/>
      <c r="Y652" s="297"/>
      <c r="Z652" s="297"/>
      <c r="AA652" s="299"/>
      <c r="AB652" s="296"/>
      <c r="AC652" s="296"/>
      <c r="AD652" s="297"/>
      <c r="AE652" s="297"/>
      <c r="AF652" s="297"/>
      <c r="AG652" s="297"/>
      <c r="AH652" s="295"/>
      <c r="AI652" s="293"/>
      <c r="AJ652" s="293"/>
      <c r="AK652" s="297"/>
      <c r="AL652" s="297"/>
      <c r="AM652" s="297"/>
      <c r="AN652" s="297"/>
      <c r="AO652" s="295"/>
    </row>
    <row r="653" spans="2:41" ht="13">
      <c r="B653" s="294"/>
      <c r="C653" s="295"/>
      <c r="D653" s="295"/>
      <c r="E653" s="294"/>
      <c r="F653" s="294"/>
      <c r="G653" s="295"/>
      <c r="H653" s="295"/>
      <c r="I653" s="295"/>
      <c r="J653" s="295"/>
      <c r="K653" s="295"/>
      <c r="L653" s="295"/>
      <c r="N653" s="296"/>
      <c r="O653" s="296"/>
      <c r="P653" s="297"/>
      <c r="Q653" s="297"/>
      <c r="R653" s="297"/>
      <c r="S653" s="297"/>
      <c r="T653" s="298"/>
      <c r="U653" s="296"/>
      <c r="V653" s="296"/>
      <c r="W653" s="297"/>
      <c r="X653" s="297"/>
      <c r="Y653" s="297"/>
      <c r="Z653" s="297"/>
      <c r="AA653" s="299"/>
      <c r="AB653" s="296"/>
      <c r="AC653" s="296"/>
      <c r="AD653" s="297"/>
      <c r="AE653" s="297"/>
      <c r="AF653" s="297"/>
      <c r="AG653" s="297"/>
      <c r="AH653" s="295"/>
      <c r="AI653" s="293"/>
      <c r="AJ653" s="293"/>
      <c r="AK653" s="297"/>
      <c r="AL653" s="297"/>
      <c r="AM653" s="297"/>
      <c r="AN653" s="297"/>
      <c r="AO653" s="295"/>
    </row>
    <row r="654" spans="2:41" ht="13">
      <c r="B654" s="294"/>
      <c r="C654" s="295"/>
      <c r="D654" s="295"/>
      <c r="E654" s="294"/>
      <c r="F654" s="294"/>
      <c r="G654" s="295"/>
      <c r="H654" s="295"/>
      <c r="I654" s="295"/>
      <c r="J654" s="295"/>
      <c r="K654" s="295"/>
      <c r="L654" s="295"/>
      <c r="N654" s="296"/>
      <c r="O654" s="296"/>
      <c r="P654" s="297"/>
      <c r="Q654" s="297"/>
      <c r="R654" s="297"/>
      <c r="S654" s="297"/>
      <c r="T654" s="298"/>
      <c r="U654" s="296"/>
      <c r="V654" s="296"/>
      <c r="W654" s="297"/>
      <c r="X654" s="297"/>
      <c r="Y654" s="297"/>
      <c r="Z654" s="297"/>
      <c r="AA654" s="299"/>
      <c r="AB654" s="296"/>
      <c r="AC654" s="296"/>
      <c r="AD654" s="297"/>
      <c r="AE654" s="297"/>
      <c r="AF654" s="297"/>
      <c r="AG654" s="297"/>
      <c r="AH654" s="295"/>
      <c r="AI654" s="293"/>
      <c r="AJ654" s="293"/>
      <c r="AK654" s="297"/>
      <c r="AL654" s="297"/>
      <c r="AM654" s="297"/>
      <c r="AN654" s="297"/>
      <c r="AO654" s="295"/>
    </row>
    <row r="655" spans="2:41" ht="13">
      <c r="B655" s="294"/>
      <c r="C655" s="295"/>
      <c r="D655" s="295"/>
      <c r="E655" s="294"/>
      <c r="F655" s="294"/>
      <c r="G655" s="295"/>
      <c r="H655" s="295"/>
      <c r="I655" s="295"/>
      <c r="J655" s="295"/>
      <c r="K655" s="295"/>
      <c r="L655" s="295"/>
      <c r="N655" s="296"/>
      <c r="O655" s="296"/>
      <c r="P655" s="297"/>
      <c r="Q655" s="297"/>
      <c r="R655" s="297"/>
      <c r="S655" s="297"/>
      <c r="T655" s="298"/>
      <c r="U655" s="296"/>
      <c r="V655" s="296"/>
      <c r="W655" s="297"/>
      <c r="X655" s="297"/>
      <c r="Y655" s="297"/>
      <c r="Z655" s="297"/>
      <c r="AA655" s="299"/>
      <c r="AB655" s="296"/>
      <c r="AC655" s="296"/>
      <c r="AD655" s="297"/>
      <c r="AE655" s="297"/>
      <c r="AF655" s="297"/>
      <c r="AG655" s="297"/>
      <c r="AH655" s="295"/>
      <c r="AI655" s="293"/>
      <c r="AJ655" s="293"/>
      <c r="AK655" s="297"/>
      <c r="AL655" s="297"/>
      <c r="AM655" s="297"/>
      <c r="AN655" s="297"/>
      <c r="AO655" s="295"/>
    </row>
    <row r="656" spans="2:41" ht="13">
      <c r="B656" s="294"/>
      <c r="C656" s="295"/>
      <c r="D656" s="295"/>
      <c r="E656" s="294"/>
      <c r="F656" s="294"/>
      <c r="G656" s="295"/>
      <c r="H656" s="295"/>
      <c r="I656" s="295"/>
      <c r="J656" s="295"/>
      <c r="K656" s="295"/>
      <c r="L656" s="295"/>
      <c r="N656" s="296"/>
      <c r="O656" s="296"/>
      <c r="P656" s="297"/>
      <c r="Q656" s="297"/>
      <c r="R656" s="297"/>
      <c r="S656" s="297"/>
      <c r="T656" s="298"/>
      <c r="U656" s="296"/>
      <c r="V656" s="296"/>
      <c r="W656" s="297"/>
      <c r="X656" s="297"/>
      <c r="Y656" s="297"/>
      <c r="Z656" s="297"/>
      <c r="AA656" s="299"/>
      <c r="AB656" s="296"/>
      <c r="AC656" s="296"/>
      <c r="AD656" s="297"/>
      <c r="AE656" s="297"/>
      <c r="AF656" s="297"/>
      <c r="AG656" s="297"/>
      <c r="AH656" s="295"/>
      <c r="AI656" s="293"/>
      <c r="AJ656" s="293"/>
      <c r="AK656" s="297"/>
      <c r="AL656" s="297"/>
      <c r="AM656" s="297"/>
      <c r="AN656" s="297"/>
      <c r="AO656" s="295"/>
    </row>
    <row r="657" spans="2:41" ht="13">
      <c r="B657" s="294"/>
      <c r="C657" s="295"/>
      <c r="D657" s="295"/>
      <c r="E657" s="294"/>
      <c r="F657" s="294"/>
      <c r="G657" s="295"/>
      <c r="H657" s="295"/>
      <c r="I657" s="295"/>
      <c r="J657" s="295"/>
      <c r="K657" s="295"/>
      <c r="L657" s="295"/>
      <c r="N657" s="296"/>
      <c r="O657" s="296"/>
      <c r="P657" s="297"/>
      <c r="Q657" s="297"/>
      <c r="R657" s="297"/>
      <c r="S657" s="297"/>
      <c r="T657" s="298"/>
      <c r="U657" s="296"/>
      <c r="V657" s="296"/>
      <c r="W657" s="297"/>
      <c r="X657" s="297"/>
      <c r="Y657" s="297"/>
      <c r="Z657" s="297"/>
      <c r="AA657" s="299"/>
      <c r="AB657" s="296"/>
      <c r="AC657" s="296"/>
      <c r="AD657" s="297"/>
      <c r="AE657" s="297"/>
      <c r="AF657" s="297"/>
      <c r="AG657" s="297"/>
      <c r="AH657" s="295"/>
      <c r="AI657" s="293"/>
      <c r="AJ657" s="293"/>
      <c r="AK657" s="297"/>
      <c r="AL657" s="297"/>
      <c r="AM657" s="297"/>
      <c r="AN657" s="297"/>
      <c r="AO657" s="295"/>
    </row>
    <row r="658" spans="2:41" ht="13">
      <c r="B658" s="294"/>
      <c r="C658" s="295"/>
      <c r="D658" s="295"/>
      <c r="E658" s="294"/>
      <c r="F658" s="294"/>
      <c r="G658" s="295"/>
      <c r="H658" s="295"/>
      <c r="I658" s="295"/>
      <c r="J658" s="295"/>
      <c r="K658" s="295"/>
      <c r="L658" s="295"/>
      <c r="N658" s="296"/>
      <c r="O658" s="296"/>
      <c r="P658" s="297"/>
      <c r="Q658" s="297"/>
      <c r="R658" s="297"/>
      <c r="S658" s="297"/>
      <c r="T658" s="298"/>
      <c r="U658" s="296"/>
      <c r="V658" s="296"/>
      <c r="W658" s="297"/>
      <c r="X658" s="297"/>
      <c r="Y658" s="297"/>
      <c r="Z658" s="297"/>
      <c r="AA658" s="299"/>
      <c r="AB658" s="296"/>
      <c r="AC658" s="296"/>
      <c r="AD658" s="297"/>
      <c r="AE658" s="297"/>
      <c r="AF658" s="297"/>
      <c r="AG658" s="297"/>
      <c r="AH658" s="295"/>
      <c r="AI658" s="293"/>
      <c r="AJ658" s="293"/>
      <c r="AK658" s="297"/>
      <c r="AL658" s="297"/>
      <c r="AM658" s="297"/>
      <c r="AN658" s="297"/>
      <c r="AO658" s="295"/>
    </row>
    <row r="659" spans="2:41" ht="13">
      <c r="B659" s="294"/>
      <c r="C659" s="295"/>
      <c r="D659" s="295"/>
      <c r="E659" s="294"/>
      <c r="F659" s="294"/>
      <c r="G659" s="295"/>
      <c r="H659" s="295"/>
      <c r="I659" s="295"/>
      <c r="J659" s="295"/>
      <c r="K659" s="295"/>
      <c r="L659" s="295"/>
      <c r="N659" s="296"/>
      <c r="O659" s="296"/>
      <c r="P659" s="297"/>
      <c r="Q659" s="297"/>
      <c r="R659" s="297"/>
      <c r="S659" s="297"/>
      <c r="T659" s="298"/>
      <c r="U659" s="296"/>
      <c r="V659" s="296"/>
      <c r="W659" s="297"/>
      <c r="X659" s="297"/>
      <c r="Y659" s="297"/>
      <c r="Z659" s="297"/>
      <c r="AA659" s="299"/>
      <c r="AB659" s="296"/>
      <c r="AC659" s="296"/>
      <c r="AD659" s="297"/>
      <c r="AE659" s="297"/>
      <c r="AF659" s="297"/>
      <c r="AG659" s="297"/>
      <c r="AH659" s="295"/>
      <c r="AI659" s="293"/>
      <c r="AJ659" s="293"/>
      <c r="AK659" s="297"/>
      <c r="AL659" s="297"/>
      <c r="AM659" s="297"/>
      <c r="AN659" s="297"/>
      <c r="AO659" s="295"/>
    </row>
    <row r="660" spans="2:41" ht="13">
      <c r="B660" s="294"/>
      <c r="C660" s="295"/>
      <c r="D660" s="295"/>
      <c r="E660" s="294"/>
      <c r="F660" s="294"/>
      <c r="G660" s="295"/>
      <c r="H660" s="295"/>
      <c r="I660" s="295"/>
      <c r="J660" s="295"/>
      <c r="K660" s="295"/>
      <c r="L660" s="295"/>
      <c r="N660" s="296"/>
      <c r="O660" s="296"/>
      <c r="P660" s="297"/>
      <c r="Q660" s="297"/>
      <c r="R660" s="297"/>
      <c r="S660" s="297"/>
      <c r="T660" s="298"/>
      <c r="U660" s="296"/>
      <c r="V660" s="296"/>
      <c r="W660" s="297"/>
      <c r="X660" s="297"/>
      <c r="Y660" s="297"/>
      <c r="Z660" s="297"/>
      <c r="AA660" s="299"/>
      <c r="AB660" s="296"/>
      <c r="AC660" s="296"/>
      <c r="AD660" s="297"/>
      <c r="AE660" s="297"/>
      <c r="AF660" s="297"/>
      <c r="AG660" s="297"/>
      <c r="AH660" s="295"/>
      <c r="AI660" s="293"/>
      <c r="AJ660" s="293"/>
      <c r="AK660" s="297"/>
      <c r="AL660" s="297"/>
      <c r="AM660" s="297"/>
      <c r="AN660" s="297"/>
      <c r="AO660" s="295"/>
    </row>
    <row r="661" spans="2:41" ht="13">
      <c r="B661" s="294"/>
      <c r="C661" s="295"/>
      <c r="D661" s="295"/>
      <c r="E661" s="294"/>
      <c r="F661" s="294"/>
      <c r="G661" s="295"/>
      <c r="H661" s="295"/>
      <c r="I661" s="295"/>
      <c r="J661" s="295"/>
      <c r="K661" s="295"/>
      <c r="L661" s="295"/>
      <c r="N661" s="296"/>
      <c r="O661" s="296"/>
      <c r="P661" s="297"/>
      <c r="Q661" s="297"/>
      <c r="R661" s="297"/>
      <c r="S661" s="297"/>
      <c r="T661" s="298"/>
      <c r="U661" s="296"/>
      <c r="V661" s="296"/>
      <c r="W661" s="297"/>
      <c r="X661" s="297"/>
      <c r="Y661" s="297"/>
      <c r="Z661" s="297"/>
      <c r="AA661" s="299"/>
      <c r="AB661" s="296"/>
      <c r="AC661" s="296"/>
      <c r="AD661" s="297"/>
      <c r="AE661" s="297"/>
      <c r="AF661" s="297"/>
      <c r="AG661" s="297"/>
      <c r="AH661" s="295"/>
      <c r="AI661" s="293"/>
      <c r="AJ661" s="293"/>
      <c r="AK661" s="297"/>
      <c r="AL661" s="297"/>
      <c r="AM661" s="297"/>
      <c r="AN661" s="297"/>
      <c r="AO661" s="295"/>
    </row>
    <row r="662" spans="2:41" ht="13">
      <c r="B662" s="294"/>
      <c r="C662" s="295"/>
      <c r="D662" s="295"/>
      <c r="E662" s="294"/>
      <c r="F662" s="294"/>
      <c r="G662" s="295"/>
      <c r="H662" s="295"/>
      <c r="I662" s="295"/>
      <c r="J662" s="295"/>
      <c r="K662" s="295"/>
      <c r="L662" s="295"/>
      <c r="N662" s="296"/>
      <c r="O662" s="296"/>
      <c r="P662" s="297"/>
      <c r="Q662" s="297"/>
      <c r="R662" s="297"/>
      <c r="S662" s="297"/>
      <c r="T662" s="298"/>
      <c r="U662" s="296"/>
      <c r="V662" s="296"/>
      <c r="W662" s="297"/>
      <c r="X662" s="297"/>
      <c r="Y662" s="297"/>
      <c r="Z662" s="297"/>
      <c r="AA662" s="299"/>
      <c r="AB662" s="296"/>
      <c r="AC662" s="296"/>
      <c r="AD662" s="297"/>
      <c r="AE662" s="297"/>
      <c r="AF662" s="297"/>
      <c r="AG662" s="297"/>
      <c r="AH662" s="295"/>
      <c r="AI662" s="293"/>
      <c r="AJ662" s="293"/>
      <c r="AK662" s="297"/>
      <c r="AL662" s="297"/>
      <c r="AM662" s="297"/>
      <c r="AN662" s="297"/>
      <c r="AO662" s="295"/>
    </row>
    <row r="663" spans="2:41" ht="13">
      <c r="B663" s="294"/>
      <c r="C663" s="295"/>
      <c r="D663" s="295"/>
      <c r="E663" s="294"/>
      <c r="F663" s="294"/>
      <c r="G663" s="295"/>
      <c r="H663" s="295"/>
      <c r="I663" s="295"/>
      <c r="J663" s="295"/>
      <c r="K663" s="295"/>
      <c r="L663" s="295"/>
      <c r="N663" s="296"/>
      <c r="O663" s="296"/>
      <c r="P663" s="297"/>
      <c r="Q663" s="297"/>
      <c r="R663" s="297"/>
      <c r="S663" s="297"/>
      <c r="T663" s="298"/>
      <c r="U663" s="296"/>
      <c r="V663" s="296"/>
      <c r="W663" s="297"/>
      <c r="X663" s="297"/>
      <c r="Y663" s="297"/>
      <c r="Z663" s="297"/>
      <c r="AA663" s="299"/>
      <c r="AB663" s="296"/>
      <c r="AC663" s="296"/>
      <c r="AD663" s="297"/>
      <c r="AE663" s="297"/>
      <c r="AF663" s="297"/>
      <c r="AG663" s="297"/>
      <c r="AH663" s="295"/>
      <c r="AI663" s="293"/>
      <c r="AJ663" s="293"/>
      <c r="AK663" s="297"/>
      <c r="AL663" s="297"/>
      <c r="AM663" s="297"/>
      <c r="AN663" s="297"/>
      <c r="AO663" s="295"/>
    </row>
    <row r="664" spans="2:41" ht="13">
      <c r="B664" s="294"/>
      <c r="C664" s="295"/>
      <c r="D664" s="295"/>
      <c r="E664" s="294"/>
      <c r="F664" s="294"/>
      <c r="G664" s="295"/>
      <c r="H664" s="295"/>
      <c r="I664" s="295"/>
      <c r="J664" s="295"/>
      <c r="K664" s="295"/>
      <c r="L664" s="295"/>
      <c r="N664" s="296"/>
      <c r="O664" s="296"/>
      <c r="P664" s="297"/>
      <c r="Q664" s="297"/>
      <c r="R664" s="297"/>
      <c r="S664" s="297"/>
      <c r="T664" s="298"/>
      <c r="U664" s="296"/>
      <c r="V664" s="296"/>
      <c r="W664" s="297"/>
      <c r="X664" s="297"/>
      <c r="Y664" s="297"/>
      <c r="Z664" s="297"/>
      <c r="AA664" s="299"/>
      <c r="AB664" s="296"/>
      <c r="AC664" s="296"/>
      <c r="AD664" s="297"/>
      <c r="AE664" s="297"/>
      <c r="AF664" s="297"/>
      <c r="AG664" s="297"/>
      <c r="AH664" s="295"/>
      <c r="AI664" s="293"/>
      <c r="AJ664" s="293"/>
      <c r="AK664" s="297"/>
      <c r="AL664" s="297"/>
      <c r="AM664" s="297"/>
      <c r="AN664" s="297"/>
      <c r="AO664" s="295"/>
    </row>
    <row r="665" spans="2:41" ht="13">
      <c r="B665" s="294"/>
      <c r="C665" s="295"/>
      <c r="D665" s="295"/>
      <c r="E665" s="294"/>
      <c r="F665" s="294"/>
      <c r="G665" s="295"/>
      <c r="H665" s="295"/>
      <c r="I665" s="295"/>
      <c r="J665" s="295"/>
      <c r="K665" s="295"/>
      <c r="L665" s="295"/>
      <c r="N665" s="296"/>
      <c r="O665" s="296"/>
      <c r="P665" s="297"/>
      <c r="Q665" s="297"/>
      <c r="R665" s="297"/>
      <c r="S665" s="297"/>
      <c r="T665" s="298"/>
      <c r="U665" s="296"/>
      <c r="V665" s="296"/>
      <c r="W665" s="297"/>
      <c r="X665" s="297"/>
      <c r="Y665" s="297"/>
      <c r="Z665" s="297"/>
      <c r="AA665" s="299"/>
      <c r="AB665" s="296"/>
      <c r="AC665" s="296"/>
      <c r="AD665" s="297"/>
      <c r="AE665" s="297"/>
      <c r="AF665" s="297"/>
      <c r="AG665" s="297"/>
      <c r="AH665" s="295"/>
      <c r="AI665" s="293"/>
      <c r="AJ665" s="293"/>
      <c r="AK665" s="297"/>
      <c r="AL665" s="297"/>
      <c r="AM665" s="297"/>
      <c r="AN665" s="297"/>
      <c r="AO665" s="295"/>
    </row>
    <row r="666" spans="2:41" ht="13">
      <c r="B666" s="294"/>
      <c r="C666" s="295"/>
      <c r="D666" s="295"/>
      <c r="E666" s="294"/>
      <c r="F666" s="294"/>
      <c r="G666" s="295"/>
      <c r="H666" s="295"/>
      <c r="I666" s="295"/>
      <c r="J666" s="295"/>
      <c r="K666" s="295"/>
      <c r="L666" s="295"/>
      <c r="N666" s="296"/>
      <c r="O666" s="296"/>
      <c r="P666" s="297"/>
      <c r="Q666" s="297"/>
      <c r="R666" s="297"/>
      <c r="S666" s="297"/>
      <c r="T666" s="298"/>
      <c r="U666" s="296"/>
      <c r="V666" s="296"/>
      <c r="W666" s="297"/>
      <c r="X666" s="297"/>
      <c r="Y666" s="297"/>
      <c r="Z666" s="297"/>
      <c r="AA666" s="299"/>
      <c r="AB666" s="296"/>
      <c r="AC666" s="296"/>
      <c r="AD666" s="297"/>
      <c r="AE666" s="297"/>
      <c r="AF666" s="297"/>
      <c r="AG666" s="297"/>
      <c r="AH666" s="295"/>
      <c r="AI666" s="293"/>
      <c r="AJ666" s="293"/>
      <c r="AK666" s="297"/>
      <c r="AL666" s="297"/>
      <c r="AM666" s="297"/>
      <c r="AN666" s="297"/>
      <c r="AO666" s="295"/>
    </row>
    <row r="667" spans="2:41" ht="13">
      <c r="B667" s="294"/>
      <c r="C667" s="295"/>
      <c r="D667" s="295"/>
      <c r="E667" s="294"/>
      <c r="F667" s="294"/>
      <c r="G667" s="295"/>
      <c r="H667" s="295"/>
      <c r="I667" s="295"/>
      <c r="J667" s="295"/>
      <c r="K667" s="295"/>
      <c r="L667" s="295"/>
      <c r="N667" s="296"/>
      <c r="O667" s="296"/>
      <c r="P667" s="297"/>
      <c r="Q667" s="297"/>
      <c r="R667" s="297"/>
      <c r="S667" s="297"/>
      <c r="T667" s="298"/>
      <c r="U667" s="296"/>
      <c r="V667" s="296"/>
      <c r="W667" s="297"/>
      <c r="X667" s="297"/>
      <c r="Y667" s="297"/>
      <c r="Z667" s="297"/>
      <c r="AA667" s="299"/>
      <c r="AB667" s="296"/>
      <c r="AC667" s="296"/>
      <c r="AD667" s="297"/>
      <c r="AE667" s="297"/>
      <c r="AF667" s="297"/>
      <c r="AG667" s="297"/>
      <c r="AH667" s="295"/>
      <c r="AI667" s="293"/>
      <c r="AJ667" s="293"/>
      <c r="AK667" s="297"/>
      <c r="AL667" s="297"/>
      <c r="AM667" s="297"/>
      <c r="AN667" s="297"/>
      <c r="AO667" s="295"/>
    </row>
    <row r="668" spans="2:41" ht="13">
      <c r="B668" s="294"/>
      <c r="C668" s="295"/>
      <c r="D668" s="295"/>
      <c r="E668" s="294"/>
      <c r="F668" s="294"/>
      <c r="G668" s="295"/>
      <c r="H668" s="295"/>
      <c r="I668" s="295"/>
      <c r="J668" s="295"/>
      <c r="K668" s="295"/>
      <c r="L668" s="295"/>
      <c r="N668" s="296"/>
      <c r="O668" s="296"/>
      <c r="P668" s="297"/>
      <c r="Q668" s="297"/>
      <c r="R668" s="297"/>
      <c r="S668" s="297"/>
      <c r="T668" s="298"/>
      <c r="U668" s="296"/>
      <c r="V668" s="296"/>
      <c r="W668" s="297"/>
      <c r="X668" s="297"/>
      <c r="Y668" s="297"/>
      <c r="Z668" s="297"/>
      <c r="AA668" s="299"/>
      <c r="AB668" s="296"/>
      <c r="AC668" s="296"/>
      <c r="AD668" s="297"/>
      <c r="AE668" s="297"/>
      <c r="AF668" s="297"/>
      <c r="AG668" s="297"/>
      <c r="AH668" s="295"/>
      <c r="AI668" s="293"/>
      <c r="AJ668" s="293"/>
      <c r="AK668" s="297"/>
      <c r="AL668" s="297"/>
      <c r="AM668" s="297"/>
      <c r="AN668" s="297"/>
      <c r="AO668" s="295"/>
    </row>
    <row r="669" spans="2:41" ht="13">
      <c r="B669" s="294"/>
      <c r="C669" s="295"/>
      <c r="D669" s="295"/>
      <c r="E669" s="294"/>
      <c r="F669" s="294"/>
      <c r="G669" s="295"/>
      <c r="H669" s="295"/>
      <c r="I669" s="295"/>
      <c r="J669" s="295"/>
      <c r="K669" s="295"/>
      <c r="L669" s="295"/>
      <c r="N669" s="296"/>
      <c r="O669" s="296"/>
      <c r="P669" s="297"/>
      <c r="Q669" s="297"/>
      <c r="R669" s="297"/>
      <c r="S669" s="297"/>
      <c r="T669" s="298"/>
      <c r="U669" s="296"/>
      <c r="V669" s="296"/>
      <c r="W669" s="297"/>
      <c r="X669" s="297"/>
      <c r="Y669" s="297"/>
      <c r="Z669" s="297"/>
      <c r="AA669" s="299"/>
      <c r="AB669" s="296"/>
      <c r="AC669" s="296"/>
      <c r="AD669" s="297"/>
      <c r="AE669" s="297"/>
      <c r="AF669" s="297"/>
      <c r="AG669" s="297"/>
      <c r="AH669" s="295"/>
      <c r="AI669" s="293"/>
      <c r="AJ669" s="293"/>
      <c r="AK669" s="297"/>
      <c r="AL669" s="297"/>
      <c r="AM669" s="297"/>
      <c r="AN669" s="297"/>
      <c r="AO669" s="295"/>
    </row>
    <row r="670" spans="2:41" ht="13">
      <c r="B670" s="294"/>
      <c r="C670" s="295"/>
      <c r="D670" s="295"/>
      <c r="E670" s="294"/>
      <c r="F670" s="294"/>
      <c r="G670" s="295"/>
      <c r="H670" s="295"/>
      <c r="I670" s="295"/>
      <c r="J670" s="295"/>
      <c r="K670" s="295"/>
      <c r="L670" s="295"/>
      <c r="N670" s="296"/>
      <c r="O670" s="296"/>
      <c r="P670" s="297"/>
      <c r="Q670" s="297"/>
      <c r="R670" s="297"/>
      <c r="S670" s="297"/>
      <c r="T670" s="298"/>
      <c r="U670" s="296"/>
      <c r="V670" s="296"/>
      <c r="W670" s="297"/>
      <c r="X670" s="297"/>
      <c r="Y670" s="297"/>
      <c r="Z670" s="297"/>
      <c r="AA670" s="299"/>
      <c r="AB670" s="296"/>
      <c r="AC670" s="296"/>
      <c r="AD670" s="297"/>
      <c r="AE670" s="297"/>
      <c r="AF670" s="297"/>
      <c r="AG670" s="297"/>
      <c r="AH670" s="295"/>
      <c r="AI670" s="293"/>
      <c r="AJ670" s="293"/>
      <c r="AK670" s="297"/>
      <c r="AL670" s="297"/>
      <c r="AM670" s="297"/>
      <c r="AN670" s="297"/>
      <c r="AO670" s="295"/>
    </row>
    <row r="671" spans="2:41" ht="13">
      <c r="B671" s="294"/>
      <c r="C671" s="295"/>
      <c r="D671" s="295"/>
      <c r="E671" s="294"/>
      <c r="F671" s="294"/>
      <c r="G671" s="295"/>
      <c r="H671" s="295"/>
      <c r="I671" s="295"/>
      <c r="J671" s="295"/>
      <c r="K671" s="295"/>
      <c r="L671" s="295"/>
      <c r="N671" s="296"/>
      <c r="O671" s="296"/>
      <c r="P671" s="297"/>
      <c r="Q671" s="297"/>
      <c r="R671" s="297"/>
      <c r="S671" s="297"/>
      <c r="T671" s="298"/>
      <c r="U671" s="296"/>
      <c r="V671" s="296"/>
      <c r="W671" s="297"/>
      <c r="X671" s="297"/>
      <c r="Y671" s="297"/>
      <c r="Z671" s="297"/>
      <c r="AA671" s="299"/>
      <c r="AB671" s="296"/>
      <c r="AC671" s="296"/>
      <c r="AD671" s="297"/>
      <c r="AE671" s="297"/>
      <c r="AF671" s="297"/>
      <c r="AG671" s="297"/>
      <c r="AH671" s="295"/>
      <c r="AI671" s="293"/>
      <c r="AJ671" s="293"/>
      <c r="AK671" s="297"/>
      <c r="AL671" s="297"/>
      <c r="AM671" s="297"/>
      <c r="AN671" s="297"/>
      <c r="AO671" s="295"/>
    </row>
    <row r="672" spans="2:41" ht="13">
      <c r="B672" s="294"/>
      <c r="C672" s="295"/>
      <c r="D672" s="295"/>
      <c r="E672" s="294"/>
      <c r="F672" s="294"/>
      <c r="G672" s="295"/>
      <c r="H672" s="295"/>
      <c r="I672" s="295"/>
      <c r="J672" s="295"/>
      <c r="K672" s="295"/>
      <c r="L672" s="295"/>
      <c r="N672" s="296"/>
      <c r="O672" s="296"/>
      <c r="P672" s="297"/>
      <c r="Q672" s="297"/>
      <c r="R672" s="297"/>
      <c r="S672" s="297"/>
      <c r="T672" s="298"/>
      <c r="U672" s="296"/>
      <c r="V672" s="296"/>
      <c r="W672" s="297"/>
      <c r="X672" s="297"/>
      <c r="Y672" s="297"/>
      <c r="Z672" s="297"/>
      <c r="AA672" s="299"/>
      <c r="AB672" s="296"/>
      <c r="AC672" s="296"/>
      <c r="AD672" s="297"/>
      <c r="AE672" s="297"/>
      <c r="AF672" s="297"/>
      <c r="AG672" s="297"/>
      <c r="AH672" s="295"/>
      <c r="AI672" s="293"/>
      <c r="AJ672" s="293"/>
      <c r="AK672" s="297"/>
      <c r="AL672" s="297"/>
      <c r="AM672" s="297"/>
      <c r="AN672" s="297"/>
      <c r="AO672" s="295"/>
    </row>
    <row r="673" spans="2:41" ht="13">
      <c r="B673" s="294"/>
      <c r="C673" s="295"/>
      <c r="D673" s="295"/>
      <c r="E673" s="294"/>
      <c r="F673" s="294"/>
      <c r="G673" s="295"/>
      <c r="H673" s="295"/>
      <c r="I673" s="295"/>
      <c r="J673" s="295"/>
      <c r="K673" s="295"/>
      <c r="L673" s="295"/>
      <c r="N673" s="296"/>
      <c r="O673" s="296"/>
      <c r="P673" s="297"/>
      <c r="Q673" s="297"/>
      <c r="R673" s="297"/>
      <c r="S673" s="297"/>
      <c r="T673" s="298"/>
      <c r="U673" s="296"/>
      <c r="V673" s="296"/>
      <c r="W673" s="297"/>
      <c r="X673" s="297"/>
      <c r="Y673" s="297"/>
      <c r="Z673" s="297"/>
      <c r="AA673" s="299"/>
      <c r="AB673" s="296"/>
      <c r="AC673" s="296"/>
      <c r="AD673" s="297"/>
      <c r="AE673" s="297"/>
      <c r="AF673" s="297"/>
      <c r="AG673" s="297"/>
      <c r="AH673" s="295"/>
      <c r="AI673" s="293"/>
      <c r="AJ673" s="293"/>
      <c r="AK673" s="297"/>
      <c r="AL673" s="297"/>
      <c r="AM673" s="297"/>
      <c r="AN673" s="297"/>
      <c r="AO673" s="295"/>
    </row>
    <row r="674" spans="2:41" ht="13">
      <c r="B674" s="294"/>
      <c r="C674" s="295"/>
      <c r="D674" s="295"/>
      <c r="E674" s="294"/>
      <c r="F674" s="294"/>
      <c r="G674" s="295"/>
      <c r="H674" s="295"/>
      <c r="I674" s="295"/>
      <c r="J674" s="295"/>
      <c r="K674" s="295"/>
      <c r="L674" s="295"/>
      <c r="N674" s="296"/>
      <c r="O674" s="296"/>
      <c r="P674" s="297"/>
      <c r="Q674" s="297"/>
      <c r="R674" s="297"/>
      <c r="S674" s="297"/>
      <c r="T674" s="298"/>
      <c r="U674" s="296"/>
      <c r="V674" s="296"/>
      <c r="W674" s="297"/>
      <c r="X674" s="297"/>
      <c r="Y674" s="297"/>
      <c r="Z674" s="297"/>
      <c r="AA674" s="299"/>
      <c r="AB674" s="296"/>
      <c r="AC674" s="296"/>
      <c r="AD674" s="297"/>
      <c r="AE674" s="297"/>
      <c r="AF674" s="297"/>
      <c r="AG674" s="297"/>
      <c r="AH674" s="295"/>
      <c r="AI674" s="293"/>
      <c r="AJ674" s="293"/>
      <c r="AK674" s="297"/>
      <c r="AL674" s="297"/>
      <c r="AM674" s="297"/>
      <c r="AN674" s="297"/>
      <c r="AO674" s="295"/>
    </row>
    <row r="675" spans="2:41" ht="13">
      <c r="B675" s="294"/>
      <c r="C675" s="295"/>
      <c r="D675" s="295"/>
      <c r="E675" s="294"/>
      <c r="F675" s="294"/>
      <c r="G675" s="295"/>
      <c r="H675" s="295"/>
      <c r="I675" s="295"/>
      <c r="J675" s="295"/>
      <c r="K675" s="295"/>
      <c r="L675" s="295"/>
      <c r="N675" s="296"/>
      <c r="O675" s="296"/>
      <c r="P675" s="297"/>
      <c r="Q675" s="297"/>
      <c r="R675" s="297"/>
      <c r="S675" s="297"/>
      <c r="T675" s="298"/>
      <c r="U675" s="296"/>
      <c r="V675" s="296"/>
      <c r="W675" s="297"/>
      <c r="X675" s="297"/>
      <c r="Y675" s="297"/>
      <c r="Z675" s="297"/>
      <c r="AA675" s="299"/>
      <c r="AB675" s="296"/>
      <c r="AC675" s="296"/>
      <c r="AD675" s="297"/>
      <c r="AE675" s="297"/>
      <c r="AF675" s="297"/>
      <c r="AG675" s="297"/>
      <c r="AH675" s="295"/>
      <c r="AI675" s="293"/>
      <c r="AJ675" s="293"/>
      <c r="AK675" s="297"/>
      <c r="AL675" s="297"/>
      <c r="AM675" s="297"/>
      <c r="AN675" s="297"/>
      <c r="AO675" s="295"/>
    </row>
    <row r="676" spans="2:41" ht="13">
      <c r="B676" s="294"/>
      <c r="C676" s="295"/>
      <c r="D676" s="295"/>
      <c r="E676" s="294"/>
      <c r="F676" s="294"/>
      <c r="G676" s="295"/>
      <c r="H676" s="295"/>
      <c r="I676" s="295"/>
      <c r="J676" s="295"/>
      <c r="K676" s="295"/>
      <c r="L676" s="295"/>
      <c r="N676" s="296"/>
      <c r="O676" s="296"/>
      <c r="P676" s="297"/>
      <c r="Q676" s="297"/>
      <c r="R676" s="297"/>
      <c r="S676" s="297"/>
      <c r="T676" s="298"/>
      <c r="U676" s="296"/>
      <c r="V676" s="296"/>
      <c r="W676" s="297"/>
      <c r="X676" s="297"/>
      <c r="Y676" s="297"/>
      <c r="Z676" s="297"/>
      <c r="AA676" s="299"/>
      <c r="AB676" s="296"/>
      <c r="AC676" s="296"/>
      <c r="AD676" s="297"/>
      <c r="AE676" s="297"/>
      <c r="AF676" s="297"/>
      <c r="AG676" s="297"/>
      <c r="AH676" s="295"/>
      <c r="AI676" s="293"/>
      <c r="AJ676" s="293"/>
      <c r="AK676" s="297"/>
      <c r="AL676" s="297"/>
      <c r="AM676" s="297"/>
      <c r="AN676" s="297"/>
      <c r="AO676" s="295"/>
    </row>
    <row r="677" spans="2:41" ht="13">
      <c r="B677" s="294"/>
      <c r="C677" s="295"/>
      <c r="D677" s="295"/>
      <c r="E677" s="294"/>
      <c r="F677" s="294"/>
      <c r="G677" s="295"/>
      <c r="H677" s="295"/>
      <c r="I677" s="295"/>
      <c r="J677" s="295"/>
      <c r="K677" s="295"/>
      <c r="L677" s="295"/>
      <c r="N677" s="296"/>
      <c r="O677" s="296"/>
      <c r="P677" s="297"/>
      <c r="Q677" s="297"/>
      <c r="R677" s="297"/>
      <c r="S677" s="297"/>
      <c r="T677" s="298"/>
      <c r="U677" s="296"/>
      <c r="V677" s="296"/>
      <c r="W677" s="297"/>
      <c r="X677" s="297"/>
      <c r="Y677" s="297"/>
      <c r="Z677" s="297"/>
      <c r="AA677" s="299"/>
      <c r="AB677" s="296"/>
      <c r="AC677" s="296"/>
      <c r="AD677" s="297"/>
      <c r="AE677" s="297"/>
      <c r="AF677" s="297"/>
      <c r="AG677" s="297"/>
      <c r="AH677" s="295"/>
      <c r="AI677" s="293"/>
      <c r="AJ677" s="293"/>
      <c r="AK677" s="297"/>
      <c r="AL677" s="297"/>
      <c r="AM677" s="297"/>
      <c r="AN677" s="297"/>
      <c r="AO677" s="295"/>
    </row>
    <row r="678" spans="2:41" ht="13">
      <c r="B678" s="294"/>
      <c r="C678" s="295"/>
      <c r="D678" s="295"/>
      <c r="E678" s="294"/>
      <c r="F678" s="294"/>
      <c r="G678" s="295"/>
      <c r="H678" s="295"/>
      <c r="I678" s="295"/>
      <c r="J678" s="295"/>
      <c r="K678" s="295"/>
      <c r="L678" s="295"/>
      <c r="N678" s="296"/>
      <c r="O678" s="296"/>
      <c r="P678" s="297"/>
      <c r="Q678" s="297"/>
      <c r="R678" s="297"/>
      <c r="S678" s="297"/>
      <c r="T678" s="298"/>
      <c r="U678" s="296"/>
      <c r="V678" s="296"/>
      <c r="W678" s="297"/>
      <c r="X678" s="297"/>
      <c r="Y678" s="297"/>
      <c r="Z678" s="297"/>
      <c r="AA678" s="299"/>
      <c r="AB678" s="296"/>
      <c r="AC678" s="296"/>
      <c r="AD678" s="297"/>
      <c r="AE678" s="297"/>
      <c r="AF678" s="297"/>
      <c r="AG678" s="297"/>
      <c r="AH678" s="295"/>
      <c r="AI678" s="293"/>
      <c r="AJ678" s="293"/>
      <c r="AK678" s="297"/>
      <c r="AL678" s="297"/>
      <c r="AM678" s="297"/>
      <c r="AN678" s="297"/>
      <c r="AO678" s="295"/>
    </row>
    <row r="679" spans="2:41" ht="13">
      <c r="B679" s="294"/>
      <c r="C679" s="295"/>
      <c r="D679" s="295"/>
      <c r="E679" s="294"/>
      <c r="F679" s="294"/>
      <c r="G679" s="295"/>
      <c r="H679" s="295"/>
      <c r="I679" s="295"/>
      <c r="J679" s="295"/>
      <c r="K679" s="295"/>
      <c r="L679" s="295"/>
      <c r="N679" s="296"/>
      <c r="O679" s="296"/>
      <c r="P679" s="297"/>
      <c r="Q679" s="297"/>
      <c r="R679" s="297"/>
      <c r="S679" s="297"/>
      <c r="T679" s="298"/>
      <c r="U679" s="296"/>
      <c r="V679" s="296"/>
      <c r="W679" s="297"/>
      <c r="X679" s="297"/>
      <c r="Y679" s="297"/>
      <c r="Z679" s="297"/>
      <c r="AA679" s="299"/>
      <c r="AB679" s="296"/>
      <c r="AC679" s="296"/>
      <c r="AD679" s="297"/>
      <c r="AE679" s="297"/>
      <c r="AF679" s="297"/>
      <c r="AG679" s="297"/>
      <c r="AH679" s="295"/>
      <c r="AI679" s="293"/>
      <c r="AJ679" s="293"/>
      <c r="AK679" s="297"/>
      <c r="AL679" s="297"/>
      <c r="AM679" s="297"/>
      <c r="AN679" s="297"/>
      <c r="AO679" s="295"/>
    </row>
    <row r="680" spans="2:41" ht="13">
      <c r="B680" s="294"/>
      <c r="C680" s="295"/>
      <c r="D680" s="295"/>
      <c r="E680" s="294"/>
      <c r="F680" s="294"/>
      <c r="G680" s="295"/>
      <c r="H680" s="295"/>
      <c r="I680" s="295"/>
      <c r="J680" s="295"/>
      <c r="K680" s="295"/>
      <c r="L680" s="295"/>
      <c r="N680" s="296"/>
      <c r="O680" s="296"/>
      <c r="P680" s="297"/>
      <c r="Q680" s="297"/>
      <c r="R680" s="297"/>
      <c r="S680" s="297"/>
      <c r="T680" s="298"/>
      <c r="U680" s="296"/>
      <c r="V680" s="296"/>
      <c r="W680" s="297"/>
      <c r="X680" s="297"/>
      <c r="Y680" s="297"/>
      <c r="Z680" s="297"/>
      <c r="AA680" s="299"/>
      <c r="AB680" s="296"/>
      <c r="AC680" s="296"/>
      <c r="AD680" s="297"/>
      <c r="AE680" s="297"/>
      <c r="AF680" s="297"/>
      <c r="AG680" s="297"/>
      <c r="AH680" s="295"/>
      <c r="AI680" s="293"/>
      <c r="AJ680" s="293"/>
      <c r="AK680" s="297"/>
      <c r="AL680" s="297"/>
      <c r="AM680" s="297"/>
      <c r="AN680" s="297"/>
      <c r="AO680" s="295"/>
    </row>
    <row r="681" spans="2:41" ht="13">
      <c r="B681" s="294"/>
      <c r="C681" s="295"/>
      <c r="D681" s="295"/>
      <c r="E681" s="294"/>
      <c r="F681" s="294"/>
      <c r="G681" s="295"/>
      <c r="H681" s="295"/>
      <c r="I681" s="295"/>
      <c r="J681" s="295"/>
      <c r="K681" s="295"/>
      <c r="L681" s="295"/>
      <c r="N681" s="296"/>
      <c r="O681" s="296"/>
      <c r="P681" s="297"/>
      <c r="Q681" s="297"/>
      <c r="R681" s="297"/>
      <c r="S681" s="297"/>
      <c r="T681" s="298"/>
      <c r="U681" s="296"/>
      <c r="V681" s="296"/>
      <c r="W681" s="297"/>
      <c r="X681" s="297"/>
      <c r="Y681" s="297"/>
      <c r="Z681" s="297"/>
      <c r="AA681" s="299"/>
      <c r="AB681" s="296"/>
      <c r="AC681" s="296"/>
      <c r="AD681" s="297"/>
      <c r="AE681" s="297"/>
      <c r="AF681" s="297"/>
      <c r="AG681" s="297"/>
      <c r="AH681" s="295"/>
      <c r="AI681" s="293"/>
      <c r="AJ681" s="293"/>
      <c r="AK681" s="297"/>
      <c r="AL681" s="297"/>
      <c r="AM681" s="297"/>
      <c r="AN681" s="297"/>
      <c r="AO681" s="295"/>
    </row>
    <row r="682" spans="2:41" ht="13">
      <c r="B682" s="294"/>
      <c r="C682" s="295"/>
      <c r="D682" s="295"/>
      <c r="E682" s="294"/>
      <c r="F682" s="294"/>
      <c r="G682" s="295"/>
      <c r="H682" s="295"/>
      <c r="I682" s="295"/>
      <c r="J682" s="295"/>
      <c r="K682" s="295"/>
      <c r="L682" s="295"/>
      <c r="N682" s="296"/>
      <c r="O682" s="296"/>
      <c r="P682" s="297"/>
      <c r="Q682" s="297"/>
      <c r="R682" s="297"/>
      <c r="S682" s="297"/>
      <c r="T682" s="298"/>
      <c r="U682" s="296"/>
      <c r="V682" s="296"/>
      <c r="W682" s="297"/>
      <c r="X682" s="297"/>
      <c r="Y682" s="297"/>
      <c r="Z682" s="297"/>
      <c r="AA682" s="299"/>
      <c r="AB682" s="296"/>
      <c r="AC682" s="296"/>
      <c r="AD682" s="297"/>
      <c r="AE682" s="297"/>
      <c r="AF682" s="297"/>
      <c r="AG682" s="297"/>
      <c r="AH682" s="295"/>
      <c r="AI682" s="293"/>
      <c r="AJ682" s="293"/>
      <c r="AK682" s="297"/>
      <c r="AL682" s="297"/>
      <c r="AM682" s="297"/>
      <c r="AN682" s="297"/>
      <c r="AO682" s="295"/>
    </row>
    <row r="683" spans="2:41" ht="13">
      <c r="B683" s="294"/>
      <c r="C683" s="295"/>
      <c r="D683" s="295"/>
      <c r="E683" s="294"/>
      <c r="F683" s="294"/>
      <c r="G683" s="295"/>
      <c r="H683" s="295"/>
      <c r="I683" s="295"/>
      <c r="J683" s="295"/>
      <c r="K683" s="295"/>
      <c r="L683" s="295"/>
      <c r="N683" s="296"/>
      <c r="O683" s="296"/>
      <c r="P683" s="297"/>
      <c r="Q683" s="297"/>
      <c r="R683" s="297"/>
      <c r="S683" s="297"/>
      <c r="T683" s="298"/>
      <c r="U683" s="296"/>
      <c r="V683" s="296"/>
      <c r="W683" s="297"/>
      <c r="X683" s="297"/>
      <c r="Y683" s="297"/>
      <c r="Z683" s="297"/>
      <c r="AA683" s="299"/>
      <c r="AB683" s="296"/>
      <c r="AC683" s="296"/>
      <c r="AD683" s="297"/>
      <c r="AE683" s="297"/>
      <c r="AF683" s="297"/>
      <c r="AG683" s="297"/>
      <c r="AH683" s="295"/>
      <c r="AI683" s="293"/>
      <c r="AJ683" s="293"/>
      <c r="AK683" s="297"/>
      <c r="AL683" s="297"/>
      <c r="AM683" s="297"/>
      <c r="AN683" s="297"/>
      <c r="AO683" s="295"/>
    </row>
    <row r="684" spans="2:41" ht="13">
      <c r="B684" s="294"/>
      <c r="C684" s="295"/>
      <c r="D684" s="295"/>
      <c r="E684" s="294"/>
      <c r="F684" s="294"/>
      <c r="G684" s="295"/>
      <c r="H684" s="295"/>
      <c r="I684" s="295"/>
      <c r="J684" s="295"/>
      <c r="K684" s="295"/>
      <c r="L684" s="295"/>
      <c r="N684" s="296"/>
      <c r="O684" s="296"/>
      <c r="P684" s="297"/>
      <c r="Q684" s="297"/>
      <c r="R684" s="297"/>
      <c r="S684" s="297"/>
      <c r="T684" s="298"/>
      <c r="U684" s="296"/>
      <c r="V684" s="296"/>
      <c r="W684" s="297"/>
      <c r="X684" s="297"/>
      <c r="Y684" s="297"/>
      <c r="Z684" s="297"/>
      <c r="AA684" s="299"/>
      <c r="AB684" s="296"/>
      <c r="AC684" s="296"/>
      <c r="AD684" s="297"/>
      <c r="AE684" s="297"/>
      <c r="AF684" s="297"/>
      <c r="AG684" s="297"/>
      <c r="AH684" s="295"/>
      <c r="AI684" s="293"/>
      <c r="AJ684" s="293"/>
      <c r="AK684" s="297"/>
      <c r="AL684" s="297"/>
      <c r="AM684" s="297"/>
      <c r="AN684" s="297"/>
      <c r="AO684" s="295"/>
    </row>
    <row r="685" spans="2:41" ht="13">
      <c r="B685" s="294"/>
      <c r="C685" s="295"/>
      <c r="D685" s="295"/>
      <c r="E685" s="294"/>
      <c r="F685" s="294"/>
      <c r="G685" s="295"/>
      <c r="H685" s="295"/>
      <c r="I685" s="295"/>
      <c r="J685" s="295"/>
      <c r="K685" s="295"/>
      <c r="L685" s="295"/>
      <c r="N685" s="296"/>
      <c r="O685" s="296"/>
      <c r="P685" s="297"/>
      <c r="Q685" s="297"/>
      <c r="R685" s="297"/>
      <c r="S685" s="297"/>
      <c r="T685" s="298"/>
      <c r="U685" s="296"/>
      <c r="V685" s="296"/>
      <c r="W685" s="297"/>
      <c r="X685" s="297"/>
      <c r="Y685" s="297"/>
      <c r="Z685" s="297"/>
      <c r="AA685" s="299"/>
      <c r="AB685" s="296"/>
      <c r="AC685" s="296"/>
      <c r="AD685" s="297"/>
      <c r="AE685" s="297"/>
      <c r="AF685" s="297"/>
      <c r="AG685" s="297"/>
      <c r="AH685" s="295"/>
      <c r="AI685" s="293"/>
      <c r="AJ685" s="293"/>
      <c r="AK685" s="297"/>
      <c r="AL685" s="297"/>
      <c r="AM685" s="297"/>
      <c r="AN685" s="297"/>
      <c r="AO685" s="295"/>
    </row>
    <row r="686" spans="2:41" ht="13">
      <c r="B686" s="294"/>
      <c r="C686" s="295"/>
      <c r="D686" s="295"/>
      <c r="E686" s="294"/>
      <c r="F686" s="294"/>
      <c r="G686" s="295"/>
      <c r="H686" s="295"/>
      <c r="I686" s="295"/>
      <c r="J686" s="295"/>
      <c r="K686" s="295"/>
      <c r="L686" s="295"/>
      <c r="N686" s="296"/>
      <c r="O686" s="296"/>
      <c r="P686" s="297"/>
      <c r="Q686" s="297"/>
      <c r="R686" s="297"/>
      <c r="S686" s="297"/>
      <c r="T686" s="298"/>
      <c r="U686" s="296"/>
      <c r="V686" s="296"/>
      <c r="W686" s="297"/>
      <c r="X686" s="297"/>
      <c r="Y686" s="297"/>
      <c r="Z686" s="297"/>
      <c r="AA686" s="299"/>
      <c r="AB686" s="296"/>
      <c r="AC686" s="296"/>
      <c r="AD686" s="297"/>
      <c r="AE686" s="297"/>
      <c r="AF686" s="297"/>
      <c r="AG686" s="297"/>
      <c r="AH686" s="295"/>
      <c r="AI686" s="293"/>
      <c r="AJ686" s="293"/>
      <c r="AK686" s="297"/>
      <c r="AL686" s="297"/>
      <c r="AM686" s="297"/>
      <c r="AN686" s="297"/>
      <c r="AO686" s="295"/>
    </row>
    <row r="687" spans="2:41" ht="13">
      <c r="B687" s="294"/>
      <c r="C687" s="295"/>
      <c r="D687" s="295"/>
      <c r="E687" s="294"/>
      <c r="F687" s="294"/>
      <c r="G687" s="295"/>
      <c r="H687" s="295"/>
      <c r="I687" s="295"/>
      <c r="J687" s="295"/>
      <c r="K687" s="295"/>
      <c r="L687" s="295"/>
      <c r="N687" s="296"/>
      <c r="O687" s="296"/>
      <c r="P687" s="297"/>
      <c r="Q687" s="297"/>
      <c r="R687" s="297"/>
      <c r="S687" s="297"/>
      <c r="T687" s="298"/>
      <c r="U687" s="296"/>
      <c r="V687" s="296"/>
      <c r="W687" s="297"/>
      <c r="X687" s="297"/>
      <c r="Y687" s="297"/>
      <c r="Z687" s="297"/>
      <c r="AA687" s="299"/>
      <c r="AB687" s="296"/>
      <c r="AC687" s="296"/>
      <c r="AD687" s="297"/>
      <c r="AE687" s="297"/>
      <c r="AF687" s="297"/>
      <c r="AG687" s="297"/>
      <c r="AH687" s="295"/>
      <c r="AI687" s="293"/>
      <c r="AJ687" s="293"/>
      <c r="AK687" s="297"/>
      <c r="AL687" s="297"/>
      <c r="AM687" s="297"/>
      <c r="AN687" s="297"/>
      <c r="AO687" s="295"/>
    </row>
    <row r="688" spans="2:41" ht="13">
      <c r="B688" s="294"/>
      <c r="C688" s="295"/>
      <c r="D688" s="295"/>
      <c r="E688" s="294"/>
      <c r="F688" s="294"/>
      <c r="G688" s="295"/>
      <c r="H688" s="295"/>
      <c r="I688" s="295"/>
      <c r="J688" s="295"/>
      <c r="K688" s="295"/>
      <c r="L688" s="295"/>
      <c r="N688" s="296"/>
      <c r="O688" s="296"/>
      <c r="P688" s="297"/>
      <c r="Q688" s="297"/>
      <c r="R688" s="297"/>
      <c r="S688" s="297"/>
      <c r="T688" s="298"/>
      <c r="U688" s="296"/>
      <c r="V688" s="296"/>
      <c r="W688" s="297"/>
      <c r="X688" s="297"/>
      <c r="Y688" s="297"/>
      <c r="Z688" s="297"/>
      <c r="AA688" s="299"/>
      <c r="AB688" s="296"/>
      <c r="AC688" s="296"/>
      <c r="AD688" s="297"/>
      <c r="AE688" s="297"/>
      <c r="AF688" s="297"/>
      <c r="AG688" s="297"/>
      <c r="AH688" s="295"/>
      <c r="AI688" s="293"/>
      <c r="AJ688" s="293"/>
      <c r="AK688" s="297"/>
      <c r="AL688" s="297"/>
      <c r="AM688" s="297"/>
      <c r="AN688" s="297"/>
      <c r="AO688" s="295"/>
    </row>
    <row r="689" spans="2:41" ht="13">
      <c r="B689" s="294"/>
      <c r="C689" s="295"/>
      <c r="D689" s="295"/>
      <c r="E689" s="294"/>
      <c r="F689" s="294"/>
      <c r="G689" s="295"/>
      <c r="H689" s="295"/>
      <c r="I689" s="295"/>
      <c r="J689" s="295"/>
      <c r="K689" s="295"/>
      <c r="L689" s="295"/>
      <c r="N689" s="296"/>
      <c r="O689" s="296"/>
      <c r="P689" s="297"/>
      <c r="Q689" s="297"/>
      <c r="R689" s="297"/>
      <c r="S689" s="297"/>
      <c r="T689" s="298"/>
      <c r="U689" s="296"/>
      <c r="V689" s="296"/>
      <c r="W689" s="297"/>
      <c r="X689" s="297"/>
      <c r="Y689" s="297"/>
      <c r="Z689" s="297"/>
      <c r="AA689" s="299"/>
      <c r="AB689" s="296"/>
      <c r="AC689" s="296"/>
      <c r="AD689" s="297"/>
      <c r="AE689" s="297"/>
      <c r="AF689" s="297"/>
      <c r="AG689" s="297"/>
      <c r="AH689" s="295"/>
      <c r="AI689" s="293"/>
      <c r="AJ689" s="293"/>
      <c r="AK689" s="297"/>
      <c r="AL689" s="297"/>
      <c r="AM689" s="297"/>
      <c r="AN689" s="297"/>
      <c r="AO689" s="295"/>
    </row>
    <row r="690" spans="2:41" ht="13">
      <c r="B690" s="294"/>
      <c r="C690" s="295"/>
      <c r="D690" s="295"/>
      <c r="E690" s="294"/>
      <c r="F690" s="294"/>
      <c r="G690" s="295"/>
      <c r="H690" s="295"/>
      <c r="I690" s="295"/>
      <c r="J690" s="295"/>
      <c r="K690" s="295"/>
      <c r="L690" s="295"/>
      <c r="N690" s="296"/>
      <c r="O690" s="296"/>
      <c r="P690" s="297"/>
      <c r="Q690" s="297"/>
      <c r="R690" s="297"/>
      <c r="S690" s="297"/>
      <c r="T690" s="298"/>
      <c r="U690" s="296"/>
      <c r="V690" s="296"/>
      <c r="W690" s="297"/>
      <c r="X690" s="297"/>
      <c r="Y690" s="297"/>
      <c r="Z690" s="297"/>
      <c r="AA690" s="299"/>
      <c r="AB690" s="296"/>
      <c r="AC690" s="296"/>
      <c r="AD690" s="297"/>
      <c r="AE690" s="297"/>
      <c r="AF690" s="297"/>
      <c r="AG690" s="297"/>
      <c r="AH690" s="295"/>
      <c r="AI690" s="293"/>
      <c r="AJ690" s="293"/>
      <c r="AK690" s="297"/>
      <c r="AL690" s="297"/>
      <c r="AM690" s="297"/>
      <c r="AN690" s="297"/>
      <c r="AO690" s="295"/>
    </row>
    <row r="691" spans="2:41" ht="13">
      <c r="B691" s="294"/>
      <c r="C691" s="295"/>
      <c r="D691" s="295"/>
      <c r="E691" s="294"/>
      <c r="F691" s="294"/>
      <c r="G691" s="295"/>
      <c r="H691" s="295"/>
      <c r="I691" s="295"/>
      <c r="J691" s="295"/>
      <c r="K691" s="295"/>
      <c r="L691" s="295"/>
      <c r="N691" s="296"/>
      <c r="O691" s="296"/>
      <c r="P691" s="297"/>
      <c r="Q691" s="297"/>
      <c r="R691" s="297"/>
      <c r="S691" s="297"/>
      <c r="T691" s="298"/>
      <c r="U691" s="296"/>
      <c r="V691" s="296"/>
      <c r="W691" s="297"/>
      <c r="X691" s="297"/>
      <c r="Y691" s="297"/>
      <c r="Z691" s="297"/>
      <c r="AA691" s="299"/>
      <c r="AB691" s="296"/>
      <c r="AC691" s="296"/>
      <c r="AD691" s="297"/>
      <c r="AE691" s="297"/>
      <c r="AF691" s="297"/>
      <c r="AG691" s="297"/>
      <c r="AH691" s="295"/>
      <c r="AI691" s="293"/>
      <c r="AJ691" s="293"/>
      <c r="AK691" s="297"/>
      <c r="AL691" s="297"/>
      <c r="AM691" s="297"/>
      <c r="AN691" s="297"/>
      <c r="AO691" s="295"/>
    </row>
    <row r="692" spans="2:41" ht="13">
      <c r="B692" s="294"/>
      <c r="C692" s="295"/>
      <c r="D692" s="295"/>
      <c r="E692" s="294"/>
      <c r="F692" s="294"/>
      <c r="G692" s="295"/>
      <c r="H692" s="295"/>
      <c r="I692" s="295"/>
      <c r="J692" s="295"/>
      <c r="K692" s="295"/>
      <c r="L692" s="295"/>
      <c r="N692" s="296"/>
      <c r="O692" s="296"/>
      <c r="P692" s="297"/>
      <c r="Q692" s="297"/>
      <c r="R692" s="297"/>
      <c r="S692" s="297"/>
      <c r="T692" s="298"/>
      <c r="U692" s="296"/>
      <c r="V692" s="296"/>
      <c r="W692" s="297"/>
      <c r="X692" s="297"/>
      <c r="Y692" s="297"/>
      <c r="Z692" s="297"/>
      <c r="AA692" s="299"/>
      <c r="AB692" s="296"/>
      <c r="AC692" s="296"/>
      <c r="AD692" s="297"/>
      <c r="AE692" s="297"/>
      <c r="AF692" s="297"/>
      <c r="AG692" s="297"/>
      <c r="AH692" s="295"/>
      <c r="AI692" s="293"/>
      <c r="AJ692" s="293"/>
      <c r="AK692" s="297"/>
      <c r="AL692" s="297"/>
      <c r="AM692" s="297"/>
      <c r="AN692" s="297"/>
      <c r="AO692" s="295"/>
    </row>
    <row r="693" spans="2:41" ht="13">
      <c r="B693" s="294"/>
      <c r="C693" s="295"/>
      <c r="D693" s="295"/>
      <c r="E693" s="294"/>
      <c r="F693" s="294"/>
      <c r="G693" s="295"/>
      <c r="H693" s="295"/>
      <c r="I693" s="295"/>
      <c r="J693" s="295"/>
      <c r="K693" s="295"/>
      <c r="L693" s="295"/>
      <c r="N693" s="296"/>
      <c r="O693" s="296"/>
      <c r="P693" s="297"/>
      <c r="Q693" s="297"/>
      <c r="R693" s="297"/>
      <c r="S693" s="297"/>
      <c r="T693" s="298"/>
      <c r="U693" s="296"/>
      <c r="V693" s="296"/>
      <c r="W693" s="297"/>
      <c r="X693" s="297"/>
      <c r="Y693" s="297"/>
      <c r="Z693" s="297"/>
      <c r="AA693" s="299"/>
      <c r="AB693" s="296"/>
      <c r="AC693" s="296"/>
      <c r="AD693" s="297"/>
      <c r="AE693" s="297"/>
      <c r="AF693" s="297"/>
      <c r="AG693" s="297"/>
      <c r="AH693" s="295"/>
      <c r="AI693" s="293"/>
      <c r="AJ693" s="293"/>
      <c r="AK693" s="297"/>
      <c r="AL693" s="297"/>
      <c r="AM693" s="297"/>
      <c r="AN693" s="297"/>
      <c r="AO693" s="295"/>
    </row>
    <row r="694" spans="2:41" ht="13">
      <c r="B694" s="294"/>
      <c r="C694" s="295"/>
      <c r="D694" s="295"/>
      <c r="E694" s="294"/>
      <c r="F694" s="294"/>
      <c r="G694" s="295"/>
      <c r="H694" s="295"/>
      <c r="I694" s="295"/>
      <c r="J694" s="295"/>
      <c r="K694" s="295"/>
      <c r="L694" s="295"/>
      <c r="N694" s="296"/>
      <c r="O694" s="296"/>
      <c r="P694" s="297"/>
      <c r="Q694" s="297"/>
      <c r="R694" s="297"/>
      <c r="S694" s="297"/>
      <c r="T694" s="298"/>
      <c r="U694" s="296"/>
      <c r="V694" s="296"/>
      <c r="W694" s="297"/>
      <c r="X694" s="297"/>
      <c r="Y694" s="297"/>
      <c r="Z694" s="297"/>
      <c r="AA694" s="299"/>
      <c r="AB694" s="296"/>
      <c r="AC694" s="296"/>
      <c r="AD694" s="297"/>
      <c r="AE694" s="297"/>
      <c r="AF694" s="297"/>
      <c r="AG694" s="297"/>
      <c r="AH694" s="295"/>
      <c r="AI694" s="293"/>
      <c r="AJ694" s="293"/>
      <c r="AK694" s="297"/>
      <c r="AL694" s="297"/>
      <c r="AM694" s="297"/>
      <c r="AN694" s="297"/>
      <c r="AO694" s="295"/>
    </row>
    <row r="695" spans="2:41" ht="13">
      <c r="B695" s="294"/>
      <c r="C695" s="295"/>
      <c r="D695" s="295"/>
      <c r="E695" s="294"/>
      <c r="F695" s="294"/>
      <c r="G695" s="295"/>
      <c r="H695" s="295"/>
      <c r="I695" s="295"/>
      <c r="J695" s="295"/>
      <c r="K695" s="295"/>
      <c r="L695" s="295"/>
      <c r="N695" s="296"/>
      <c r="O695" s="296"/>
      <c r="P695" s="297"/>
      <c r="Q695" s="297"/>
      <c r="R695" s="297"/>
      <c r="S695" s="297"/>
      <c r="T695" s="298"/>
      <c r="U695" s="296"/>
      <c r="V695" s="296"/>
      <c r="W695" s="297"/>
      <c r="X695" s="297"/>
      <c r="Y695" s="297"/>
      <c r="Z695" s="297"/>
      <c r="AA695" s="299"/>
      <c r="AB695" s="296"/>
      <c r="AC695" s="296"/>
      <c r="AD695" s="297"/>
      <c r="AE695" s="297"/>
      <c r="AF695" s="297"/>
      <c r="AG695" s="297"/>
      <c r="AH695" s="295"/>
      <c r="AI695" s="293"/>
      <c r="AJ695" s="293"/>
      <c r="AK695" s="297"/>
      <c r="AL695" s="297"/>
      <c r="AM695" s="297"/>
      <c r="AN695" s="297"/>
      <c r="AO695" s="295"/>
    </row>
    <row r="696" spans="2:41" ht="13">
      <c r="B696" s="294"/>
      <c r="C696" s="295"/>
      <c r="D696" s="295"/>
      <c r="E696" s="294"/>
      <c r="F696" s="294"/>
      <c r="G696" s="295"/>
      <c r="H696" s="295"/>
      <c r="I696" s="295"/>
      <c r="J696" s="295"/>
      <c r="K696" s="295"/>
      <c r="L696" s="295"/>
      <c r="N696" s="296"/>
      <c r="O696" s="296"/>
      <c r="P696" s="297"/>
      <c r="Q696" s="297"/>
      <c r="R696" s="297"/>
      <c r="S696" s="297"/>
      <c r="T696" s="298"/>
      <c r="U696" s="296"/>
      <c r="V696" s="296"/>
      <c r="W696" s="297"/>
      <c r="X696" s="297"/>
      <c r="Y696" s="297"/>
      <c r="Z696" s="297"/>
      <c r="AA696" s="299"/>
      <c r="AB696" s="296"/>
      <c r="AC696" s="296"/>
      <c r="AD696" s="297"/>
      <c r="AE696" s="297"/>
      <c r="AF696" s="297"/>
      <c r="AG696" s="297"/>
      <c r="AH696" s="295"/>
      <c r="AI696" s="293"/>
      <c r="AJ696" s="293"/>
      <c r="AK696" s="297"/>
      <c r="AL696" s="297"/>
      <c r="AM696" s="297"/>
      <c r="AN696" s="297"/>
      <c r="AO696" s="295"/>
    </row>
    <row r="697" spans="2:41" ht="13">
      <c r="B697" s="294"/>
      <c r="C697" s="295"/>
      <c r="D697" s="295"/>
      <c r="E697" s="294"/>
      <c r="F697" s="294"/>
      <c r="G697" s="295"/>
      <c r="H697" s="295"/>
      <c r="I697" s="295"/>
      <c r="J697" s="295"/>
      <c r="K697" s="295"/>
      <c r="L697" s="295"/>
      <c r="N697" s="296"/>
      <c r="O697" s="296"/>
      <c r="P697" s="297"/>
      <c r="Q697" s="297"/>
      <c r="R697" s="297"/>
      <c r="S697" s="297"/>
      <c r="T697" s="298"/>
      <c r="U697" s="296"/>
      <c r="V697" s="296"/>
      <c r="W697" s="297"/>
      <c r="X697" s="297"/>
      <c r="Y697" s="297"/>
      <c r="Z697" s="297"/>
      <c r="AA697" s="299"/>
      <c r="AB697" s="296"/>
      <c r="AC697" s="296"/>
      <c r="AD697" s="297"/>
      <c r="AE697" s="297"/>
      <c r="AF697" s="297"/>
      <c r="AG697" s="297"/>
      <c r="AH697" s="295"/>
      <c r="AI697" s="293"/>
      <c r="AJ697" s="293"/>
      <c r="AK697" s="297"/>
      <c r="AL697" s="297"/>
      <c r="AM697" s="297"/>
      <c r="AN697" s="297"/>
      <c r="AO697" s="295"/>
    </row>
    <row r="698" spans="2:41" ht="13">
      <c r="B698" s="294"/>
      <c r="C698" s="295"/>
      <c r="D698" s="295"/>
      <c r="E698" s="294"/>
      <c r="F698" s="294"/>
      <c r="G698" s="295"/>
      <c r="H698" s="295"/>
      <c r="I698" s="295"/>
      <c r="J698" s="295"/>
      <c r="K698" s="295"/>
      <c r="L698" s="295"/>
      <c r="N698" s="296"/>
      <c r="O698" s="296"/>
      <c r="P698" s="297"/>
      <c r="Q698" s="297"/>
      <c r="R698" s="297"/>
      <c r="S698" s="297"/>
      <c r="T698" s="298"/>
      <c r="U698" s="296"/>
      <c r="V698" s="296"/>
      <c r="W698" s="297"/>
      <c r="X698" s="297"/>
      <c r="Y698" s="297"/>
      <c r="Z698" s="297"/>
      <c r="AA698" s="299"/>
      <c r="AB698" s="296"/>
      <c r="AC698" s="296"/>
      <c r="AD698" s="297"/>
      <c r="AE698" s="297"/>
      <c r="AF698" s="297"/>
      <c r="AG698" s="297"/>
      <c r="AH698" s="295"/>
      <c r="AI698" s="293"/>
      <c r="AJ698" s="293"/>
      <c r="AK698" s="297"/>
      <c r="AL698" s="297"/>
      <c r="AM698" s="297"/>
      <c r="AN698" s="297"/>
      <c r="AO698" s="295"/>
    </row>
    <row r="699" spans="2:41" ht="13">
      <c r="B699" s="294"/>
      <c r="C699" s="295"/>
      <c r="D699" s="295"/>
      <c r="E699" s="294"/>
      <c r="F699" s="294"/>
      <c r="G699" s="295"/>
      <c r="H699" s="295"/>
      <c r="I699" s="295"/>
      <c r="J699" s="295"/>
      <c r="K699" s="295"/>
      <c r="L699" s="295"/>
      <c r="N699" s="296"/>
      <c r="O699" s="296"/>
      <c r="P699" s="297"/>
      <c r="Q699" s="297"/>
      <c r="R699" s="297"/>
      <c r="S699" s="297"/>
      <c r="T699" s="298"/>
      <c r="U699" s="296"/>
      <c r="V699" s="296"/>
      <c r="W699" s="297"/>
      <c r="X699" s="297"/>
      <c r="Y699" s="297"/>
      <c r="Z699" s="297"/>
      <c r="AA699" s="299"/>
      <c r="AB699" s="296"/>
      <c r="AC699" s="296"/>
      <c r="AD699" s="297"/>
      <c r="AE699" s="297"/>
      <c r="AF699" s="297"/>
      <c r="AG699" s="297"/>
      <c r="AH699" s="295"/>
      <c r="AI699" s="293"/>
      <c r="AJ699" s="293"/>
      <c r="AK699" s="297"/>
      <c r="AL699" s="297"/>
      <c r="AM699" s="297"/>
      <c r="AN699" s="297"/>
      <c r="AO699" s="295"/>
    </row>
    <row r="700" spans="2:41" ht="13">
      <c r="B700" s="294"/>
      <c r="C700" s="295"/>
      <c r="D700" s="295"/>
      <c r="E700" s="294"/>
      <c r="F700" s="294"/>
      <c r="G700" s="295"/>
      <c r="H700" s="295"/>
      <c r="I700" s="295"/>
      <c r="J700" s="295"/>
      <c r="K700" s="295"/>
      <c r="L700" s="295"/>
      <c r="N700" s="296"/>
      <c r="O700" s="296"/>
      <c r="P700" s="297"/>
      <c r="Q700" s="297"/>
      <c r="R700" s="297"/>
      <c r="S700" s="297"/>
      <c r="T700" s="298"/>
      <c r="U700" s="296"/>
      <c r="V700" s="296"/>
      <c r="W700" s="297"/>
      <c r="X700" s="297"/>
      <c r="Y700" s="297"/>
      <c r="Z700" s="297"/>
      <c r="AA700" s="299"/>
      <c r="AB700" s="296"/>
      <c r="AC700" s="296"/>
      <c r="AD700" s="297"/>
      <c r="AE700" s="297"/>
      <c r="AF700" s="297"/>
      <c r="AG700" s="297"/>
      <c r="AH700" s="295"/>
      <c r="AI700" s="293"/>
      <c r="AJ700" s="293"/>
      <c r="AK700" s="297"/>
      <c r="AL700" s="297"/>
      <c r="AM700" s="297"/>
      <c r="AN700" s="297"/>
      <c r="AO700" s="295"/>
    </row>
    <row r="701" spans="2:41" ht="13">
      <c r="B701" s="294"/>
      <c r="C701" s="295"/>
      <c r="D701" s="295"/>
      <c r="E701" s="294"/>
      <c r="F701" s="294"/>
      <c r="G701" s="295"/>
      <c r="H701" s="295"/>
      <c r="I701" s="295"/>
      <c r="J701" s="295"/>
      <c r="K701" s="295"/>
      <c r="L701" s="295"/>
      <c r="N701" s="296"/>
      <c r="O701" s="296"/>
      <c r="P701" s="297"/>
      <c r="Q701" s="297"/>
      <c r="R701" s="297"/>
      <c r="S701" s="297"/>
      <c r="T701" s="298"/>
      <c r="U701" s="296"/>
      <c r="V701" s="296"/>
      <c r="W701" s="297"/>
      <c r="X701" s="297"/>
      <c r="Y701" s="297"/>
      <c r="Z701" s="297"/>
      <c r="AA701" s="299"/>
      <c r="AB701" s="296"/>
      <c r="AC701" s="296"/>
      <c r="AD701" s="297"/>
      <c r="AE701" s="297"/>
      <c r="AF701" s="297"/>
      <c r="AG701" s="297"/>
      <c r="AH701" s="295"/>
      <c r="AI701" s="293"/>
      <c r="AJ701" s="293"/>
      <c r="AK701" s="297"/>
      <c r="AL701" s="297"/>
      <c r="AM701" s="297"/>
      <c r="AN701" s="297"/>
      <c r="AO701" s="295"/>
    </row>
    <row r="702" spans="2:41" ht="13">
      <c r="B702" s="294"/>
      <c r="C702" s="295"/>
      <c r="D702" s="295"/>
      <c r="E702" s="294"/>
      <c r="F702" s="294"/>
      <c r="G702" s="295"/>
      <c r="H702" s="295"/>
      <c r="I702" s="295"/>
      <c r="J702" s="295"/>
      <c r="K702" s="295"/>
      <c r="L702" s="295"/>
      <c r="N702" s="296"/>
      <c r="O702" s="296"/>
      <c r="P702" s="297"/>
      <c r="Q702" s="297"/>
      <c r="R702" s="297"/>
      <c r="S702" s="297"/>
      <c r="T702" s="298"/>
      <c r="U702" s="296"/>
      <c r="V702" s="296"/>
      <c r="W702" s="297"/>
      <c r="X702" s="297"/>
      <c r="Y702" s="297"/>
      <c r="Z702" s="297"/>
      <c r="AA702" s="299"/>
      <c r="AB702" s="296"/>
      <c r="AC702" s="296"/>
      <c r="AD702" s="297"/>
      <c r="AE702" s="297"/>
      <c r="AF702" s="297"/>
      <c r="AG702" s="297"/>
      <c r="AH702" s="295"/>
      <c r="AI702" s="293"/>
      <c r="AJ702" s="293"/>
      <c r="AK702" s="297"/>
      <c r="AL702" s="297"/>
      <c r="AM702" s="297"/>
      <c r="AN702" s="297"/>
      <c r="AO702" s="295"/>
    </row>
    <row r="703" spans="2:41" ht="13">
      <c r="B703" s="294"/>
      <c r="C703" s="295"/>
      <c r="D703" s="295"/>
      <c r="E703" s="294"/>
      <c r="F703" s="294"/>
      <c r="G703" s="295"/>
      <c r="H703" s="295"/>
      <c r="I703" s="295"/>
      <c r="J703" s="295"/>
      <c r="K703" s="295"/>
      <c r="L703" s="295"/>
      <c r="N703" s="296"/>
      <c r="O703" s="296"/>
      <c r="P703" s="297"/>
      <c r="Q703" s="297"/>
      <c r="R703" s="297"/>
      <c r="S703" s="297"/>
      <c r="T703" s="298"/>
      <c r="U703" s="296"/>
      <c r="V703" s="296"/>
      <c r="W703" s="297"/>
      <c r="X703" s="297"/>
      <c r="Y703" s="297"/>
      <c r="Z703" s="297"/>
      <c r="AA703" s="299"/>
      <c r="AB703" s="296"/>
      <c r="AC703" s="296"/>
      <c r="AD703" s="297"/>
      <c r="AE703" s="297"/>
      <c r="AF703" s="297"/>
      <c r="AG703" s="297"/>
      <c r="AH703" s="295"/>
      <c r="AI703" s="293"/>
      <c r="AJ703" s="293"/>
      <c r="AK703" s="297"/>
      <c r="AL703" s="297"/>
      <c r="AM703" s="297"/>
      <c r="AN703" s="297"/>
      <c r="AO703" s="295"/>
    </row>
    <row r="704" spans="2:41" ht="13">
      <c r="B704" s="294"/>
      <c r="C704" s="295"/>
      <c r="D704" s="295"/>
      <c r="E704" s="294"/>
      <c r="F704" s="294"/>
      <c r="G704" s="295"/>
      <c r="H704" s="295"/>
      <c r="I704" s="295"/>
      <c r="J704" s="295"/>
      <c r="K704" s="295"/>
      <c r="L704" s="295"/>
      <c r="N704" s="296"/>
      <c r="O704" s="296"/>
      <c r="P704" s="297"/>
      <c r="Q704" s="297"/>
      <c r="R704" s="297"/>
      <c r="S704" s="297"/>
      <c r="T704" s="298"/>
      <c r="U704" s="296"/>
      <c r="V704" s="296"/>
      <c r="W704" s="297"/>
      <c r="X704" s="297"/>
      <c r="Y704" s="297"/>
      <c r="Z704" s="297"/>
      <c r="AA704" s="299"/>
      <c r="AB704" s="296"/>
      <c r="AC704" s="296"/>
      <c r="AD704" s="297"/>
      <c r="AE704" s="297"/>
      <c r="AF704" s="297"/>
      <c r="AG704" s="297"/>
      <c r="AH704" s="295"/>
      <c r="AI704" s="293"/>
      <c r="AJ704" s="293"/>
      <c r="AK704" s="297"/>
      <c r="AL704" s="297"/>
      <c r="AM704" s="297"/>
      <c r="AN704" s="297"/>
      <c r="AO704" s="295"/>
    </row>
    <row r="705" spans="2:41" ht="13">
      <c r="B705" s="294"/>
      <c r="C705" s="295"/>
      <c r="D705" s="295"/>
      <c r="E705" s="294"/>
      <c r="F705" s="294"/>
      <c r="G705" s="295"/>
      <c r="H705" s="295"/>
      <c r="I705" s="295"/>
      <c r="J705" s="295"/>
      <c r="K705" s="295"/>
      <c r="L705" s="295"/>
      <c r="N705" s="296"/>
      <c r="O705" s="296"/>
      <c r="P705" s="297"/>
      <c r="Q705" s="297"/>
      <c r="R705" s="297"/>
      <c r="S705" s="297"/>
      <c r="T705" s="298"/>
      <c r="U705" s="296"/>
      <c r="V705" s="296"/>
      <c r="W705" s="297"/>
      <c r="X705" s="297"/>
      <c r="Y705" s="297"/>
      <c r="Z705" s="297"/>
      <c r="AA705" s="299"/>
      <c r="AB705" s="296"/>
      <c r="AC705" s="296"/>
      <c r="AD705" s="297"/>
      <c r="AE705" s="297"/>
      <c r="AF705" s="297"/>
      <c r="AG705" s="297"/>
      <c r="AH705" s="295"/>
      <c r="AI705" s="293"/>
      <c r="AJ705" s="293"/>
      <c r="AK705" s="297"/>
      <c r="AL705" s="297"/>
      <c r="AM705" s="297"/>
      <c r="AN705" s="297"/>
      <c r="AO705" s="295"/>
    </row>
    <row r="706" spans="2:41" ht="13">
      <c r="B706" s="294"/>
      <c r="C706" s="295"/>
      <c r="D706" s="295"/>
      <c r="E706" s="294"/>
      <c r="F706" s="294"/>
      <c r="G706" s="295"/>
      <c r="H706" s="295"/>
      <c r="I706" s="295"/>
      <c r="J706" s="295"/>
      <c r="K706" s="295"/>
      <c r="L706" s="295"/>
      <c r="N706" s="296"/>
      <c r="O706" s="296"/>
      <c r="P706" s="297"/>
      <c r="Q706" s="297"/>
      <c r="R706" s="297"/>
      <c r="S706" s="297"/>
      <c r="T706" s="298"/>
      <c r="U706" s="296"/>
      <c r="V706" s="296"/>
      <c r="W706" s="297"/>
      <c r="X706" s="297"/>
      <c r="Y706" s="297"/>
      <c r="Z706" s="297"/>
      <c r="AA706" s="299"/>
      <c r="AB706" s="296"/>
      <c r="AC706" s="296"/>
      <c r="AD706" s="297"/>
      <c r="AE706" s="297"/>
      <c r="AF706" s="297"/>
      <c r="AG706" s="297"/>
      <c r="AH706" s="295"/>
      <c r="AI706" s="293"/>
      <c r="AJ706" s="293"/>
      <c r="AK706" s="297"/>
      <c r="AL706" s="297"/>
      <c r="AM706" s="297"/>
      <c r="AN706" s="297"/>
      <c r="AO706" s="295"/>
    </row>
    <row r="707" spans="2:41" ht="13">
      <c r="B707" s="294"/>
      <c r="C707" s="295"/>
      <c r="D707" s="295"/>
      <c r="E707" s="294"/>
      <c r="F707" s="294"/>
      <c r="G707" s="295"/>
      <c r="H707" s="295"/>
      <c r="I707" s="295"/>
      <c r="J707" s="295"/>
      <c r="K707" s="295"/>
      <c r="L707" s="295"/>
      <c r="N707" s="296"/>
      <c r="O707" s="296"/>
      <c r="P707" s="297"/>
      <c r="Q707" s="297"/>
      <c r="R707" s="297"/>
      <c r="S707" s="297"/>
      <c r="T707" s="298"/>
      <c r="U707" s="296"/>
      <c r="V707" s="296"/>
      <c r="W707" s="297"/>
      <c r="X707" s="297"/>
      <c r="Y707" s="297"/>
      <c r="Z707" s="297"/>
      <c r="AA707" s="299"/>
      <c r="AB707" s="296"/>
      <c r="AC707" s="296"/>
      <c r="AD707" s="297"/>
      <c r="AE707" s="297"/>
      <c r="AF707" s="297"/>
      <c r="AG707" s="297"/>
      <c r="AH707" s="295"/>
      <c r="AI707" s="293"/>
      <c r="AJ707" s="293"/>
      <c r="AK707" s="297"/>
      <c r="AL707" s="297"/>
      <c r="AM707" s="297"/>
      <c r="AN707" s="297"/>
      <c r="AO707" s="295"/>
    </row>
    <row r="708" spans="2:41" ht="13">
      <c r="B708" s="294"/>
      <c r="C708" s="295"/>
      <c r="D708" s="295"/>
      <c r="E708" s="294"/>
      <c r="F708" s="294"/>
      <c r="G708" s="295"/>
      <c r="H708" s="295"/>
      <c r="I708" s="295"/>
      <c r="J708" s="295"/>
      <c r="K708" s="295"/>
      <c r="L708" s="295"/>
      <c r="N708" s="296"/>
      <c r="O708" s="296"/>
      <c r="P708" s="297"/>
      <c r="Q708" s="297"/>
      <c r="R708" s="297"/>
      <c r="S708" s="297"/>
      <c r="T708" s="298"/>
      <c r="U708" s="296"/>
      <c r="V708" s="296"/>
      <c r="W708" s="297"/>
      <c r="X708" s="297"/>
      <c r="Y708" s="297"/>
      <c r="Z708" s="297"/>
      <c r="AA708" s="299"/>
      <c r="AB708" s="296"/>
      <c r="AC708" s="296"/>
      <c r="AD708" s="297"/>
      <c r="AE708" s="297"/>
      <c r="AF708" s="297"/>
      <c r="AG708" s="297"/>
      <c r="AH708" s="295"/>
      <c r="AI708" s="293"/>
      <c r="AJ708" s="293"/>
      <c r="AK708" s="297"/>
      <c r="AL708" s="297"/>
      <c r="AM708" s="297"/>
      <c r="AN708" s="297"/>
      <c r="AO708" s="295"/>
    </row>
    <row r="709" spans="2:41" ht="13">
      <c r="B709" s="294"/>
      <c r="C709" s="295"/>
      <c r="D709" s="295"/>
      <c r="E709" s="294"/>
      <c r="F709" s="294"/>
      <c r="G709" s="295"/>
      <c r="H709" s="295"/>
      <c r="I709" s="295"/>
      <c r="J709" s="295"/>
      <c r="K709" s="295"/>
      <c r="L709" s="295"/>
      <c r="N709" s="296"/>
      <c r="O709" s="296"/>
      <c r="P709" s="297"/>
      <c r="Q709" s="297"/>
      <c r="R709" s="297"/>
      <c r="S709" s="297"/>
      <c r="T709" s="298"/>
      <c r="U709" s="296"/>
      <c r="V709" s="296"/>
      <c r="W709" s="297"/>
      <c r="X709" s="297"/>
      <c r="Y709" s="297"/>
      <c r="Z709" s="297"/>
      <c r="AA709" s="299"/>
      <c r="AB709" s="296"/>
      <c r="AC709" s="296"/>
      <c r="AD709" s="297"/>
      <c r="AE709" s="297"/>
      <c r="AF709" s="297"/>
      <c r="AG709" s="297"/>
      <c r="AH709" s="295"/>
      <c r="AI709" s="293"/>
      <c r="AJ709" s="293"/>
      <c r="AK709" s="297"/>
      <c r="AL709" s="297"/>
      <c r="AM709" s="297"/>
      <c r="AN709" s="297"/>
      <c r="AO709" s="295"/>
    </row>
    <row r="710" spans="2:41" ht="13">
      <c r="B710" s="294"/>
      <c r="C710" s="295"/>
      <c r="D710" s="295"/>
      <c r="E710" s="294"/>
      <c r="F710" s="294"/>
      <c r="G710" s="295"/>
      <c r="H710" s="295"/>
      <c r="I710" s="295"/>
      <c r="J710" s="295"/>
      <c r="K710" s="295"/>
      <c r="L710" s="295"/>
      <c r="N710" s="296"/>
      <c r="O710" s="296"/>
      <c r="P710" s="297"/>
      <c r="Q710" s="297"/>
      <c r="R710" s="297"/>
      <c r="S710" s="297"/>
      <c r="T710" s="298"/>
      <c r="U710" s="296"/>
      <c r="V710" s="296"/>
      <c r="W710" s="297"/>
      <c r="X710" s="297"/>
      <c r="Y710" s="297"/>
      <c r="Z710" s="297"/>
      <c r="AA710" s="299"/>
      <c r="AB710" s="296"/>
      <c r="AC710" s="296"/>
      <c r="AD710" s="297"/>
      <c r="AE710" s="297"/>
      <c r="AF710" s="297"/>
      <c r="AG710" s="297"/>
      <c r="AH710" s="295"/>
      <c r="AI710" s="293"/>
      <c r="AJ710" s="293"/>
      <c r="AK710" s="297"/>
      <c r="AL710" s="297"/>
      <c r="AM710" s="297"/>
      <c r="AN710" s="297"/>
      <c r="AO710" s="295"/>
    </row>
    <row r="711" spans="2:41" ht="13">
      <c r="B711" s="294"/>
      <c r="C711" s="295"/>
      <c r="D711" s="295"/>
      <c r="E711" s="294"/>
      <c r="F711" s="294"/>
      <c r="G711" s="295"/>
      <c r="H711" s="295"/>
      <c r="I711" s="295"/>
      <c r="J711" s="295"/>
      <c r="K711" s="295"/>
      <c r="L711" s="295"/>
      <c r="N711" s="296"/>
      <c r="O711" s="296"/>
      <c r="P711" s="297"/>
      <c r="Q711" s="297"/>
      <c r="R711" s="297"/>
      <c r="S711" s="297"/>
      <c r="T711" s="298"/>
      <c r="U711" s="296"/>
      <c r="V711" s="296"/>
      <c r="W711" s="297"/>
      <c r="X711" s="297"/>
      <c r="Y711" s="297"/>
      <c r="Z711" s="297"/>
      <c r="AA711" s="299"/>
      <c r="AB711" s="296"/>
      <c r="AC711" s="296"/>
      <c r="AD711" s="297"/>
      <c r="AE711" s="297"/>
      <c r="AF711" s="297"/>
      <c r="AG711" s="297"/>
      <c r="AH711" s="295"/>
      <c r="AI711" s="293"/>
      <c r="AJ711" s="293"/>
      <c r="AK711" s="297"/>
      <c r="AL711" s="297"/>
      <c r="AM711" s="297"/>
      <c r="AN711" s="297"/>
      <c r="AO711" s="295"/>
    </row>
    <row r="712" spans="2:41" ht="13">
      <c r="B712" s="294"/>
      <c r="C712" s="295"/>
      <c r="D712" s="295"/>
      <c r="E712" s="294"/>
      <c r="F712" s="294"/>
      <c r="G712" s="295"/>
      <c r="H712" s="295"/>
      <c r="I712" s="295"/>
      <c r="J712" s="295"/>
      <c r="K712" s="295"/>
      <c r="L712" s="295"/>
      <c r="N712" s="296"/>
      <c r="O712" s="296"/>
      <c r="P712" s="297"/>
      <c r="Q712" s="297"/>
      <c r="R712" s="297"/>
      <c r="S712" s="297"/>
      <c r="T712" s="298"/>
      <c r="U712" s="296"/>
      <c r="V712" s="296"/>
      <c r="W712" s="297"/>
      <c r="X712" s="297"/>
      <c r="Y712" s="297"/>
      <c r="Z712" s="297"/>
      <c r="AA712" s="299"/>
      <c r="AB712" s="296"/>
      <c r="AC712" s="296"/>
      <c r="AD712" s="297"/>
      <c r="AE712" s="297"/>
      <c r="AF712" s="297"/>
      <c r="AG712" s="297"/>
      <c r="AH712" s="295"/>
      <c r="AI712" s="293"/>
      <c r="AJ712" s="293"/>
      <c r="AK712" s="297"/>
      <c r="AL712" s="297"/>
      <c r="AM712" s="297"/>
      <c r="AN712" s="297"/>
      <c r="AO712" s="295"/>
    </row>
    <row r="713" spans="2:41" ht="13">
      <c r="B713" s="294"/>
      <c r="C713" s="295"/>
      <c r="D713" s="295"/>
      <c r="E713" s="294"/>
      <c r="F713" s="294"/>
      <c r="G713" s="295"/>
      <c r="H713" s="295"/>
      <c r="I713" s="295"/>
      <c r="J713" s="295"/>
      <c r="K713" s="295"/>
      <c r="L713" s="295"/>
      <c r="N713" s="296"/>
      <c r="O713" s="296"/>
      <c r="P713" s="297"/>
      <c r="Q713" s="297"/>
      <c r="R713" s="297"/>
      <c r="S713" s="297"/>
      <c r="T713" s="298"/>
      <c r="U713" s="296"/>
      <c r="V713" s="296"/>
      <c r="W713" s="297"/>
      <c r="X713" s="297"/>
      <c r="Y713" s="297"/>
      <c r="Z713" s="297"/>
      <c r="AA713" s="299"/>
      <c r="AB713" s="296"/>
      <c r="AC713" s="296"/>
      <c r="AD713" s="297"/>
      <c r="AE713" s="297"/>
      <c r="AF713" s="297"/>
      <c r="AG713" s="297"/>
      <c r="AH713" s="295"/>
      <c r="AI713" s="293"/>
      <c r="AJ713" s="293"/>
      <c r="AK713" s="297"/>
      <c r="AL713" s="297"/>
      <c r="AM713" s="297"/>
      <c r="AN713" s="297"/>
      <c r="AO713" s="295"/>
    </row>
    <row r="714" spans="2:41" ht="13">
      <c r="B714" s="294"/>
      <c r="C714" s="295"/>
      <c r="D714" s="295"/>
      <c r="E714" s="294"/>
      <c r="F714" s="294"/>
      <c r="G714" s="295"/>
      <c r="H714" s="295"/>
      <c r="I714" s="295"/>
      <c r="J714" s="295"/>
      <c r="K714" s="295"/>
      <c r="L714" s="295"/>
      <c r="N714" s="296"/>
      <c r="O714" s="296"/>
      <c r="P714" s="297"/>
      <c r="Q714" s="297"/>
      <c r="R714" s="297"/>
      <c r="S714" s="297"/>
      <c r="T714" s="298"/>
      <c r="U714" s="296"/>
      <c r="V714" s="296"/>
      <c r="W714" s="297"/>
      <c r="X714" s="297"/>
      <c r="Y714" s="297"/>
      <c r="Z714" s="297"/>
      <c r="AA714" s="299"/>
      <c r="AB714" s="296"/>
      <c r="AC714" s="296"/>
      <c r="AD714" s="297"/>
      <c r="AE714" s="297"/>
      <c r="AF714" s="297"/>
      <c r="AG714" s="297"/>
      <c r="AH714" s="295"/>
      <c r="AI714" s="293"/>
      <c r="AJ714" s="293"/>
      <c r="AK714" s="297"/>
      <c r="AL714" s="297"/>
      <c r="AM714" s="297"/>
      <c r="AN714" s="297"/>
      <c r="AO714" s="295"/>
    </row>
    <row r="715" spans="2:41" ht="13">
      <c r="B715" s="294"/>
      <c r="C715" s="295"/>
      <c r="D715" s="295"/>
      <c r="E715" s="294"/>
      <c r="F715" s="294"/>
      <c r="G715" s="295"/>
      <c r="H715" s="295"/>
      <c r="I715" s="295"/>
      <c r="J715" s="295"/>
      <c r="K715" s="295"/>
      <c r="L715" s="295"/>
      <c r="N715" s="296"/>
      <c r="O715" s="296"/>
      <c r="P715" s="297"/>
      <c r="Q715" s="297"/>
      <c r="R715" s="297"/>
      <c r="S715" s="297"/>
      <c r="T715" s="298"/>
      <c r="U715" s="296"/>
      <c r="V715" s="296"/>
      <c r="W715" s="297"/>
      <c r="X715" s="297"/>
      <c r="Y715" s="297"/>
      <c r="Z715" s="297"/>
      <c r="AA715" s="299"/>
      <c r="AB715" s="296"/>
      <c r="AC715" s="296"/>
      <c r="AD715" s="297"/>
      <c r="AE715" s="297"/>
      <c r="AF715" s="297"/>
      <c r="AG715" s="297"/>
      <c r="AH715" s="295"/>
      <c r="AI715" s="293"/>
      <c r="AJ715" s="293"/>
      <c r="AK715" s="297"/>
      <c r="AL715" s="297"/>
      <c r="AM715" s="297"/>
      <c r="AN715" s="297"/>
      <c r="AO715" s="295"/>
    </row>
    <row r="716" spans="2:41" ht="13">
      <c r="B716" s="294"/>
      <c r="C716" s="295"/>
      <c r="D716" s="295"/>
      <c r="E716" s="294"/>
      <c r="F716" s="294"/>
      <c r="G716" s="295"/>
      <c r="H716" s="295"/>
      <c r="I716" s="295"/>
      <c r="J716" s="295"/>
      <c r="K716" s="295"/>
      <c r="L716" s="295"/>
      <c r="N716" s="296"/>
      <c r="O716" s="296"/>
      <c r="P716" s="297"/>
      <c r="Q716" s="297"/>
      <c r="R716" s="297"/>
      <c r="S716" s="297"/>
      <c r="T716" s="298"/>
      <c r="U716" s="296"/>
      <c r="V716" s="296"/>
      <c r="W716" s="297"/>
      <c r="X716" s="297"/>
      <c r="Y716" s="297"/>
      <c r="Z716" s="297"/>
      <c r="AA716" s="299"/>
      <c r="AB716" s="296"/>
      <c r="AC716" s="296"/>
      <c r="AD716" s="297"/>
      <c r="AE716" s="297"/>
      <c r="AF716" s="297"/>
      <c r="AG716" s="297"/>
      <c r="AH716" s="295"/>
      <c r="AI716" s="293"/>
      <c r="AJ716" s="293"/>
      <c r="AK716" s="297"/>
      <c r="AL716" s="297"/>
      <c r="AM716" s="297"/>
      <c r="AN716" s="297"/>
      <c r="AO716" s="295"/>
    </row>
    <row r="717" spans="2:41" ht="13">
      <c r="B717" s="294"/>
      <c r="C717" s="295"/>
      <c r="D717" s="295"/>
      <c r="E717" s="294"/>
      <c r="F717" s="294"/>
      <c r="G717" s="295"/>
      <c r="H717" s="295"/>
      <c r="I717" s="295"/>
      <c r="J717" s="295"/>
      <c r="K717" s="295"/>
      <c r="L717" s="295"/>
      <c r="N717" s="296"/>
      <c r="O717" s="296"/>
      <c r="P717" s="297"/>
      <c r="Q717" s="297"/>
      <c r="R717" s="297"/>
      <c r="S717" s="297"/>
      <c r="T717" s="298"/>
      <c r="U717" s="296"/>
      <c r="V717" s="296"/>
      <c r="W717" s="297"/>
      <c r="X717" s="297"/>
      <c r="Y717" s="297"/>
      <c r="Z717" s="297"/>
      <c r="AA717" s="299"/>
      <c r="AB717" s="296"/>
      <c r="AC717" s="296"/>
      <c r="AD717" s="297"/>
      <c r="AE717" s="297"/>
      <c r="AF717" s="297"/>
      <c r="AG717" s="297"/>
      <c r="AH717" s="295"/>
      <c r="AI717" s="293"/>
      <c r="AJ717" s="293"/>
      <c r="AK717" s="297"/>
      <c r="AL717" s="297"/>
      <c r="AM717" s="297"/>
      <c r="AN717" s="297"/>
      <c r="AO717" s="295"/>
    </row>
    <row r="718" spans="2:41" ht="13">
      <c r="B718" s="294"/>
      <c r="C718" s="295"/>
      <c r="D718" s="295"/>
      <c r="E718" s="294"/>
      <c r="F718" s="294"/>
      <c r="G718" s="295"/>
      <c r="H718" s="295"/>
      <c r="I718" s="295"/>
      <c r="J718" s="295"/>
      <c r="K718" s="295"/>
      <c r="L718" s="295"/>
      <c r="N718" s="296"/>
      <c r="O718" s="296"/>
      <c r="P718" s="297"/>
      <c r="Q718" s="297"/>
      <c r="R718" s="297"/>
      <c r="S718" s="297"/>
      <c r="T718" s="298"/>
      <c r="U718" s="296"/>
      <c r="V718" s="296"/>
      <c r="W718" s="297"/>
      <c r="X718" s="297"/>
      <c r="Y718" s="297"/>
      <c r="Z718" s="297"/>
      <c r="AA718" s="299"/>
      <c r="AB718" s="296"/>
      <c r="AC718" s="296"/>
      <c r="AD718" s="297"/>
      <c r="AE718" s="297"/>
      <c r="AF718" s="297"/>
      <c r="AG718" s="297"/>
      <c r="AH718" s="295"/>
      <c r="AI718" s="293"/>
      <c r="AJ718" s="293"/>
      <c r="AK718" s="297"/>
      <c r="AL718" s="297"/>
      <c r="AM718" s="297"/>
      <c r="AN718" s="297"/>
      <c r="AO718" s="295"/>
    </row>
    <row r="719" spans="2:41" ht="13">
      <c r="B719" s="294"/>
      <c r="C719" s="295"/>
      <c r="D719" s="295"/>
      <c r="E719" s="294"/>
      <c r="F719" s="294"/>
      <c r="G719" s="295"/>
      <c r="H719" s="295"/>
      <c r="I719" s="295"/>
      <c r="J719" s="295"/>
      <c r="K719" s="295"/>
      <c r="L719" s="295"/>
      <c r="N719" s="296"/>
      <c r="O719" s="296"/>
      <c r="P719" s="297"/>
      <c r="Q719" s="297"/>
      <c r="R719" s="297"/>
      <c r="S719" s="297"/>
      <c r="T719" s="298"/>
      <c r="U719" s="296"/>
      <c r="V719" s="296"/>
      <c r="W719" s="297"/>
      <c r="X719" s="297"/>
      <c r="Y719" s="297"/>
      <c r="Z719" s="297"/>
      <c r="AA719" s="299"/>
      <c r="AB719" s="296"/>
      <c r="AC719" s="296"/>
      <c r="AD719" s="297"/>
      <c r="AE719" s="297"/>
      <c r="AF719" s="297"/>
      <c r="AG719" s="297"/>
      <c r="AH719" s="295"/>
      <c r="AI719" s="293"/>
      <c r="AJ719" s="293"/>
      <c r="AK719" s="297"/>
      <c r="AL719" s="297"/>
      <c r="AM719" s="297"/>
      <c r="AN719" s="297"/>
      <c r="AO719" s="295"/>
    </row>
    <row r="720" spans="2:41" ht="13">
      <c r="B720" s="294"/>
      <c r="C720" s="295"/>
      <c r="D720" s="295"/>
      <c r="E720" s="294"/>
      <c r="F720" s="294"/>
      <c r="G720" s="295"/>
      <c r="H720" s="295"/>
      <c r="I720" s="295"/>
      <c r="J720" s="295"/>
      <c r="K720" s="295"/>
      <c r="L720" s="295"/>
      <c r="N720" s="296"/>
      <c r="O720" s="296"/>
      <c r="P720" s="297"/>
      <c r="Q720" s="297"/>
      <c r="R720" s="297"/>
      <c r="S720" s="297"/>
      <c r="T720" s="298"/>
      <c r="U720" s="296"/>
      <c r="V720" s="296"/>
      <c r="W720" s="297"/>
      <c r="X720" s="297"/>
      <c r="Y720" s="297"/>
      <c r="Z720" s="297"/>
      <c r="AA720" s="299"/>
      <c r="AB720" s="296"/>
      <c r="AC720" s="296"/>
      <c r="AD720" s="297"/>
      <c r="AE720" s="297"/>
      <c r="AF720" s="297"/>
      <c r="AG720" s="297"/>
      <c r="AH720" s="295"/>
      <c r="AI720" s="293"/>
      <c r="AJ720" s="293"/>
      <c r="AK720" s="297"/>
      <c r="AL720" s="297"/>
      <c r="AM720" s="297"/>
      <c r="AN720" s="297"/>
      <c r="AO720" s="295"/>
    </row>
    <row r="721" spans="2:41" ht="13">
      <c r="B721" s="294"/>
      <c r="C721" s="295"/>
      <c r="D721" s="295"/>
      <c r="E721" s="294"/>
      <c r="F721" s="294"/>
      <c r="G721" s="295"/>
      <c r="H721" s="295"/>
      <c r="I721" s="295"/>
      <c r="J721" s="295"/>
      <c r="K721" s="295"/>
      <c r="L721" s="295"/>
      <c r="N721" s="296"/>
      <c r="O721" s="296"/>
      <c r="P721" s="297"/>
      <c r="Q721" s="297"/>
      <c r="R721" s="297"/>
      <c r="S721" s="297"/>
      <c r="T721" s="298"/>
      <c r="U721" s="296"/>
      <c r="V721" s="296"/>
      <c r="W721" s="297"/>
      <c r="X721" s="297"/>
      <c r="Y721" s="297"/>
      <c r="Z721" s="297"/>
      <c r="AA721" s="299"/>
      <c r="AB721" s="296"/>
      <c r="AC721" s="296"/>
      <c r="AD721" s="297"/>
      <c r="AE721" s="297"/>
      <c r="AF721" s="297"/>
      <c r="AG721" s="297"/>
      <c r="AH721" s="295"/>
      <c r="AI721" s="293"/>
      <c r="AJ721" s="293"/>
      <c r="AK721" s="297"/>
      <c r="AL721" s="297"/>
      <c r="AM721" s="297"/>
      <c r="AN721" s="297"/>
      <c r="AO721" s="295"/>
    </row>
    <row r="722" spans="2:41" ht="13">
      <c r="B722" s="294"/>
      <c r="C722" s="295"/>
      <c r="D722" s="295"/>
      <c r="E722" s="294"/>
      <c r="F722" s="294"/>
      <c r="G722" s="295"/>
      <c r="H722" s="295"/>
      <c r="I722" s="295"/>
      <c r="J722" s="295"/>
      <c r="K722" s="295"/>
      <c r="L722" s="295"/>
      <c r="N722" s="296"/>
      <c r="O722" s="296"/>
      <c r="P722" s="297"/>
      <c r="Q722" s="297"/>
      <c r="R722" s="297"/>
      <c r="S722" s="297"/>
      <c r="T722" s="298"/>
      <c r="U722" s="296"/>
      <c r="V722" s="296"/>
      <c r="W722" s="297"/>
      <c r="X722" s="297"/>
      <c r="Y722" s="297"/>
      <c r="Z722" s="297"/>
      <c r="AA722" s="299"/>
      <c r="AB722" s="296"/>
      <c r="AC722" s="296"/>
      <c r="AD722" s="297"/>
      <c r="AE722" s="297"/>
      <c r="AF722" s="297"/>
      <c r="AG722" s="297"/>
      <c r="AH722" s="295"/>
      <c r="AI722" s="293"/>
      <c r="AJ722" s="293"/>
      <c r="AK722" s="297"/>
      <c r="AL722" s="297"/>
      <c r="AM722" s="297"/>
      <c r="AN722" s="297"/>
      <c r="AO722" s="295"/>
    </row>
    <row r="723" spans="2:41" ht="13">
      <c r="B723" s="294"/>
      <c r="C723" s="295"/>
      <c r="D723" s="295"/>
      <c r="E723" s="294"/>
      <c r="F723" s="294"/>
      <c r="G723" s="295"/>
      <c r="H723" s="295"/>
      <c r="I723" s="295"/>
      <c r="J723" s="295"/>
      <c r="K723" s="295"/>
      <c r="L723" s="295"/>
      <c r="N723" s="296"/>
      <c r="O723" s="296"/>
      <c r="P723" s="297"/>
      <c r="Q723" s="297"/>
      <c r="R723" s="297"/>
      <c r="S723" s="297"/>
      <c r="T723" s="298"/>
      <c r="U723" s="296"/>
      <c r="V723" s="296"/>
      <c r="W723" s="297"/>
      <c r="X723" s="297"/>
      <c r="Y723" s="297"/>
      <c r="Z723" s="297"/>
      <c r="AA723" s="299"/>
      <c r="AB723" s="296"/>
      <c r="AC723" s="296"/>
      <c r="AD723" s="297"/>
      <c r="AE723" s="297"/>
      <c r="AF723" s="297"/>
      <c r="AG723" s="297"/>
      <c r="AH723" s="295"/>
      <c r="AI723" s="293"/>
      <c r="AJ723" s="293"/>
      <c r="AK723" s="297"/>
      <c r="AL723" s="297"/>
      <c r="AM723" s="297"/>
      <c r="AN723" s="297"/>
      <c r="AO723" s="295"/>
    </row>
    <row r="724" spans="2:41" ht="13">
      <c r="B724" s="294"/>
      <c r="C724" s="295"/>
      <c r="D724" s="295"/>
      <c r="E724" s="294"/>
      <c r="F724" s="294"/>
      <c r="G724" s="295"/>
      <c r="H724" s="295"/>
      <c r="I724" s="295"/>
      <c r="J724" s="295"/>
      <c r="K724" s="295"/>
      <c r="L724" s="295"/>
      <c r="N724" s="296"/>
      <c r="O724" s="296"/>
      <c r="P724" s="297"/>
      <c r="Q724" s="297"/>
      <c r="R724" s="297"/>
      <c r="S724" s="297"/>
      <c r="T724" s="298"/>
      <c r="U724" s="296"/>
      <c r="V724" s="296"/>
      <c r="W724" s="297"/>
      <c r="X724" s="297"/>
      <c r="Y724" s="297"/>
      <c r="Z724" s="297"/>
      <c r="AA724" s="299"/>
      <c r="AB724" s="296"/>
      <c r="AC724" s="296"/>
      <c r="AD724" s="297"/>
      <c r="AE724" s="297"/>
      <c r="AF724" s="297"/>
      <c r="AG724" s="297"/>
      <c r="AH724" s="295"/>
      <c r="AI724" s="293"/>
      <c r="AJ724" s="293"/>
      <c r="AK724" s="297"/>
      <c r="AL724" s="297"/>
      <c r="AM724" s="297"/>
      <c r="AN724" s="297"/>
      <c r="AO724" s="295"/>
    </row>
    <row r="725" spans="2:41" ht="13">
      <c r="B725" s="294"/>
      <c r="C725" s="295"/>
      <c r="D725" s="295"/>
      <c r="E725" s="294"/>
      <c r="F725" s="294"/>
      <c r="G725" s="295"/>
      <c r="H725" s="295"/>
      <c r="I725" s="295"/>
      <c r="J725" s="295"/>
      <c r="K725" s="295"/>
      <c r="L725" s="295"/>
      <c r="N725" s="296"/>
      <c r="O725" s="296"/>
      <c r="P725" s="297"/>
      <c r="Q725" s="297"/>
      <c r="R725" s="297"/>
      <c r="S725" s="297"/>
      <c r="T725" s="298"/>
      <c r="U725" s="296"/>
      <c r="V725" s="296"/>
      <c r="W725" s="297"/>
      <c r="X725" s="297"/>
      <c r="Y725" s="297"/>
      <c r="Z725" s="297"/>
      <c r="AA725" s="299"/>
      <c r="AB725" s="296"/>
      <c r="AC725" s="296"/>
      <c r="AD725" s="297"/>
      <c r="AE725" s="297"/>
      <c r="AF725" s="297"/>
      <c r="AG725" s="297"/>
      <c r="AH725" s="295"/>
      <c r="AI725" s="293"/>
      <c r="AJ725" s="293"/>
      <c r="AK725" s="297"/>
      <c r="AL725" s="297"/>
      <c r="AM725" s="297"/>
      <c r="AN725" s="297"/>
      <c r="AO725" s="295"/>
    </row>
    <row r="726" spans="2:41" ht="13">
      <c r="B726" s="294"/>
      <c r="C726" s="295"/>
      <c r="D726" s="295"/>
      <c r="E726" s="294"/>
      <c r="F726" s="294"/>
      <c r="G726" s="295"/>
      <c r="H726" s="295"/>
      <c r="I726" s="295"/>
      <c r="J726" s="295"/>
      <c r="K726" s="295"/>
      <c r="L726" s="295"/>
      <c r="N726" s="296"/>
      <c r="O726" s="296"/>
      <c r="P726" s="297"/>
      <c r="Q726" s="297"/>
      <c r="R726" s="297"/>
      <c r="S726" s="297"/>
      <c r="T726" s="298"/>
      <c r="U726" s="296"/>
      <c r="V726" s="296"/>
      <c r="W726" s="297"/>
      <c r="X726" s="297"/>
      <c r="Y726" s="297"/>
      <c r="Z726" s="297"/>
      <c r="AA726" s="299"/>
      <c r="AB726" s="296"/>
      <c r="AC726" s="296"/>
      <c r="AD726" s="297"/>
      <c r="AE726" s="297"/>
      <c r="AF726" s="297"/>
      <c r="AG726" s="297"/>
      <c r="AH726" s="295"/>
      <c r="AI726" s="293"/>
      <c r="AJ726" s="293"/>
      <c r="AK726" s="297"/>
      <c r="AL726" s="297"/>
      <c r="AM726" s="297"/>
      <c r="AN726" s="297"/>
      <c r="AO726" s="295"/>
    </row>
    <row r="727" spans="2:41" ht="13">
      <c r="B727" s="294"/>
      <c r="C727" s="295"/>
      <c r="D727" s="295"/>
      <c r="E727" s="294"/>
      <c r="F727" s="294"/>
      <c r="G727" s="295"/>
      <c r="H727" s="295"/>
      <c r="I727" s="295"/>
      <c r="J727" s="295"/>
      <c r="K727" s="295"/>
      <c r="L727" s="295"/>
      <c r="N727" s="296"/>
      <c r="O727" s="296"/>
      <c r="P727" s="297"/>
      <c r="Q727" s="297"/>
      <c r="R727" s="297"/>
      <c r="S727" s="297"/>
      <c r="T727" s="298"/>
      <c r="U727" s="296"/>
      <c r="V727" s="296"/>
      <c r="W727" s="297"/>
      <c r="X727" s="297"/>
      <c r="Y727" s="297"/>
      <c r="Z727" s="297"/>
      <c r="AA727" s="299"/>
      <c r="AB727" s="296"/>
      <c r="AC727" s="296"/>
      <c r="AD727" s="297"/>
      <c r="AE727" s="297"/>
      <c r="AF727" s="297"/>
      <c r="AG727" s="297"/>
      <c r="AH727" s="295"/>
      <c r="AI727" s="293"/>
      <c r="AJ727" s="293"/>
      <c r="AK727" s="297"/>
      <c r="AL727" s="297"/>
      <c r="AM727" s="297"/>
      <c r="AN727" s="297"/>
      <c r="AO727" s="295"/>
    </row>
    <row r="728" spans="2:41" ht="13">
      <c r="B728" s="294"/>
      <c r="C728" s="295"/>
      <c r="D728" s="295"/>
      <c r="E728" s="294"/>
      <c r="F728" s="294"/>
      <c r="G728" s="295"/>
      <c r="H728" s="295"/>
      <c r="I728" s="295"/>
      <c r="J728" s="295"/>
      <c r="K728" s="295"/>
      <c r="L728" s="295"/>
      <c r="N728" s="296"/>
      <c r="O728" s="296"/>
      <c r="P728" s="297"/>
      <c r="Q728" s="297"/>
      <c r="R728" s="297"/>
      <c r="S728" s="297"/>
      <c r="T728" s="298"/>
      <c r="U728" s="296"/>
      <c r="V728" s="296"/>
      <c r="W728" s="297"/>
      <c r="X728" s="297"/>
      <c r="Y728" s="297"/>
      <c r="Z728" s="297"/>
      <c r="AA728" s="299"/>
      <c r="AB728" s="296"/>
      <c r="AC728" s="296"/>
      <c r="AD728" s="297"/>
      <c r="AE728" s="297"/>
      <c r="AF728" s="297"/>
      <c r="AG728" s="297"/>
      <c r="AH728" s="295"/>
      <c r="AI728" s="293"/>
      <c r="AJ728" s="293"/>
      <c r="AK728" s="297"/>
      <c r="AL728" s="297"/>
      <c r="AM728" s="297"/>
      <c r="AN728" s="297"/>
      <c r="AO728" s="295"/>
    </row>
    <row r="729" spans="2:41" ht="13">
      <c r="B729" s="294"/>
      <c r="C729" s="295"/>
      <c r="D729" s="295"/>
      <c r="E729" s="294"/>
      <c r="F729" s="294"/>
      <c r="G729" s="295"/>
      <c r="H729" s="295"/>
      <c r="I729" s="295"/>
      <c r="J729" s="295"/>
      <c r="K729" s="295"/>
      <c r="L729" s="295"/>
      <c r="N729" s="296"/>
      <c r="O729" s="296"/>
      <c r="P729" s="297"/>
      <c r="Q729" s="297"/>
      <c r="R729" s="297"/>
      <c r="S729" s="297"/>
      <c r="T729" s="298"/>
      <c r="U729" s="296"/>
      <c r="V729" s="296"/>
      <c r="W729" s="297"/>
      <c r="X729" s="297"/>
      <c r="Y729" s="297"/>
      <c r="Z729" s="297"/>
      <c r="AA729" s="299"/>
      <c r="AB729" s="296"/>
      <c r="AC729" s="296"/>
      <c r="AD729" s="297"/>
      <c r="AE729" s="297"/>
      <c r="AF729" s="297"/>
      <c r="AG729" s="297"/>
      <c r="AH729" s="295"/>
      <c r="AI729" s="293"/>
      <c r="AJ729" s="293"/>
      <c r="AK729" s="297"/>
      <c r="AL729" s="297"/>
      <c r="AM729" s="297"/>
      <c r="AN729" s="297"/>
      <c r="AO729" s="295"/>
    </row>
    <row r="730" spans="2:41" ht="13">
      <c r="B730" s="294"/>
      <c r="C730" s="295"/>
      <c r="D730" s="295"/>
      <c r="E730" s="294"/>
      <c r="F730" s="294"/>
      <c r="G730" s="295"/>
      <c r="H730" s="295"/>
      <c r="I730" s="295"/>
      <c r="J730" s="295"/>
      <c r="K730" s="295"/>
      <c r="L730" s="295"/>
      <c r="N730" s="296"/>
      <c r="O730" s="296"/>
      <c r="P730" s="297"/>
      <c r="Q730" s="297"/>
      <c r="R730" s="297"/>
      <c r="S730" s="297"/>
      <c r="T730" s="298"/>
      <c r="U730" s="296"/>
      <c r="V730" s="296"/>
      <c r="W730" s="297"/>
      <c r="X730" s="297"/>
      <c r="Y730" s="297"/>
      <c r="Z730" s="297"/>
      <c r="AA730" s="299"/>
      <c r="AB730" s="296"/>
      <c r="AC730" s="296"/>
      <c r="AD730" s="297"/>
      <c r="AE730" s="297"/>
      <c r="AF730" s="297"/>
      <c r="AG730" s="297"/>
      <c r="AH730" s="295"/>
      <c r="AI730" s="293"/>
      <c r="AJ730" s="293"/>
      <c r="AK730" s="297"/>
      <c r="AL730" s="297"/>
      <c r="AM730" s="297"/>
      <c r="AN730" s="297"/>
      <c r="AO730" s="295"/>
    </row>
    <row r="731" spans="2:41" ht="13">
      <c r="B731" s="294"/>
      <c r="C731" s="295"/>
      <c r="D731" s="295"/>
      <c r="E731" s="294"/>
      <c r="F731" s="294"/>
      <c r="G731" s="295"/>
      <c r="H731" s="295"/>
      <c r="I731" s="295"/>
      <c r="J731" s="295"/>
      <c r="K731" s="295"/>
      <c r="L731" s="295"/>
      <c r="N731" s="296"/>
      <c r="O731" s="296"/>
      <c r="P731" s="297"/>
      <c r="Q731" s="297"/>
      <c r="R731" s="297"/>
      <c r="S731" s="297"/>
      <c r="T731" s="298"/>
      <c r="U731" s="296"/>
      <c r="V731" s="296"/>
      <c r="W731" s="297"/>
      <c r="X731" s="297"/>
      <c r="Y731" s="297"/>
      <c r="Z731" s="297"/>
      <c r="AA731" s="299"/>
      <c r="AB731" s="296"/>
      <c r="AC731" s="296"/>
      <c r="AD731" s="297"/>
      <c r="AE731" s="297"/>
      <c r="AF731" s="297"/>
      <c r="AG731" s="297"/>
      <c r="AH731" s="295"/>
      <c r="AI731" s="293"/>
      <c r="AJ731" s="293"/>
      <c r="AK731" s="297"/>
      <c r="AL731" s="297"/>
      <c r="AM731" s="297"/>
      <c r="AN731" s="297"/>
      <c r="AO731" s="295"/>
    </row>
    <row r="732" spans="2:41" ht="13">
      <c r="B732" s="294"/>
      <c r="C732" s="295"/>
      <c r="D732" s="295"/>
      <c r="E732" s="294"/>
      <c r="F732" s="294"/>
      <c r="G732" s="295"/>
      <c r="H732" s="295"/>
      <c r="I732" s="295"/>
      <c r="J732" s="295"/>
      <c r="K732" s="295"/>
      <c r="L732" s="295"/>
      <c r="N732" s="296"/>
      <c r="O732" s="296"/>
      <c r="P732" s="297"/>
      <c r="Q732" s="297"/>
      <c r="R732" s="297"/>
      <c r="S732" s="297"/>
      <c r="T732" s="298"/>
      <c r="U732" s="296"/>
      <c r="V732" s="296"/>
      <c r="W732" s="297"/>
      <c r="X732" s="297"/>
      <c r="Y732" s="297"/>
      <c r="Z732" s="297"/>
      <c r="AA732" s="299"/>
      <c r="AB732" s="296"/>
      <c r="AC732" s="296"/>
      <c r="AD732" s="297"/>
      <c r="AE732" s="297"/>
      <c r="AF732" s="297"/>
      <c r="AG732" s="297"/>
      <c r="AH732" s="295"/>
      <c r="AI732" s="293"/>
      <c r="AJ732" s="293"/>
      <c r="AK732" s="297"/>
      <c r="AL732" s="297"/>
      <c r="AM732" s="297"/>
      <c r="AN732" s="297"/>
      <c r="AO732" s="295"/>
    </row>
    <row r="733" spans="2:41" ht="13">
      <c r="B733" s="294"/>
      <c r="C733" s="295"/>
      <c r="D733" s="295"/>
      <c r="E733" s="294"/>
      <c r="F733" s="294"/>
      <c r="G733" s="295"/>
      <c r="H733" s="295"/>
      <c r="I733" s="295"/>
      <c r="J733" s="295"/>
      <c r="K733" s="295"/>
      <c r="L733" s="295"/>
      <c r="N733" s="296"/>
      <c r="O733" s="296"/>
      <c r="P733" s="297"/>
      <c r="Q733" s="297"/>
      <c r="R733" s="297"/>
      <c r="S733" s="297"/>
      <c r="T733" s="298"/>
      <c r="U733" s="296"/>
      <c r="V733" s="296"/>
      <c r="W733" s="297"/>
      <c r="X733" s="297"/>
      <c r="Y733" s="297"/>
      <c r="Z733" s="297"/>
      <c r="AA733" s="299"/>
      <c r="AB733" s="296"/>
      <c r="AC733" s="296"/>
      <c r="AD733" s="297"/>
      <c r="AE733" s="297"/>
      <c r="AF733" s="297"/>
      <c r="AG733" s="297"/>
      <c r="AH733" s="295"/>
      <c r="AI733" s="293"/>
      <c r="AJ733" s="293"/>
      <c r="AK733" s="297"/>
      <c r="AL733" s="297"/>
      <c r="AM733" s="297"/>
      <c r="AN733" s="297"/>
      <c r="AO733" s="295"/>
    </row>
    <row r="734" spans="2:41" ht="13">
      <c r="B734" s="294"/>
      <c r="C734" s="295"/>
      <c r="D734" s="295"/>
      <c r="E734" s="294"/>
      <c r="F734" s="294"/>
      <c r="G734" s="295"/>
      <c r="H734" s="295"/>
      <c r="I734" s="295"/>
      <c r="J734" s="295"/>
      <c r="K734" s="295"/>
      <c r="L734" s="295"/>
      <c r="N734" s="296"/>
      <c r="O734" s="296"/>
      <c r="P734" s="297"/>
      <c r="Q734" s="297"/>
      <c r="R734" s="297"/>
      <c r="S734" s="297"/>
      <c r="T734" s="298"/>
      <c r="U734" s="296"/>
      <c r="V734" s="296"/>
      <c r="W734" s="297"/>
      <c r="X734" s="297"/>
      <c r="Y734" s="297"/>
      <c r="Z734" s="297"/>
      <c r="AA734" s="299"/>
      <c r="AB734" s="296"/>
      <c r="AC734" s="296"/>
      <c r="AD734" s="297"/>
      <c r="AE734" s="297"/>
      <c r="AF734" s="297"/>
      <c r="AG734" s="297"/>
      <c r="AH734" s="295"/>
      <c r="AI734" s="293"/>
      <c r="AJ734" s="293"/>
      <c r="AK734" s="297"/>
      <c r="AL734" s="297"/>
      <c r="AM734" s="297"/>
      <c r="AN734" s="297"/>
      <c r="AO734" s="295"/>
    </row>
    <row r="735" spans="2:41" ht="13">
      <c r="B735" s="294"/>
      <c r="C735" s="295"/>
      <c r="D735" s="295"/>
      <c r="E735" s="294"/>
      <c r="F735" s="294"/>
      <c r="G735" s="295"/>
      <c r="H735" s="295"/>
      <c r="I735" s="295"/>
      <c r="J735" s="295"/>
      <c r="K735" s="295"/>
      <c r="L735" s="295"/>
      <c r="N735" s="296"/>
      <c r="O735" s="296"/>
      <c r="P735" s="297"/>
      <c r="Q735" s="297"/>
      <c r="R735" s="297"/>
      <c r="S735" s="297"/>
      <c r="T735" s="298"/>
      <c r="U735" s="296"/>
      <c r="V735" s="296"/>
      <c r="W735" s="297"/>
      <c r="X735" s="297"/>
      <c r="Y735" s="297"/>
      <c r="Z735" s="297"/>
      <c r="AA735" s="299"/>
      <c r="AB735" s="296"/>
      <c r="AC735" s="296"/>
      <c r="AD735" s="297"/>
      <c r="AE735" s="297"/>
      <c r="AF735" s="297"/>
      <c r="AG735" s="297"/>
      <c r="AH735" s="295"/>
      <c r="AI735" s="293"/>
      <c r="AJ735" s="293"/>
      <c r="AK735" s="297"/>
      <c r="AL735" s="297"/>
      <c r="AM735" s="297"/>
      <c r="AN735" s="297"/>
      <c r="AO735" s="295"/>
    </row>
    <row r="736" spans="2:41" ht="13">
      <c r="B736" s="294"/>
      <c r="C736" s="295"/>
      <c r="D736" s="295"/>
      <c r="E736" s="294"/>
      <c r="F736" s="294"/>
      <c r="G736" s="295"/>
      <c r="H736" s="295"/>
      <c r="I736" s="295"/>
      <c r="J736" s="295"/>
      <c r="K736" s="295"/>
      <c r="L736" s="295"/>
      <c r="N736" s="296"/>
      <c r="O736" s="296"/>
      <c r="P736" s="297"/>
      <c r="Q736" s="297"/>
      <c r="R736" s="297"/>
      <c r="S736" s="297"/>
      <c r="T736" s="298"/>
      <c r="U736" s="296"/>
      <c r="V736" s="296"/>
      <c r="W736" s="297"/>
      <c r="X736" s="297"/>
      <c r="Y736" s="297"/>
      <c r="Z736" s="297"/>
      <c r="AA736" s="299"/>
      <c r="AB736" s="296"/>
      <c r="AC736" s="296"/>
      <c r="AD736" s="297"/>
      <c r="AE736" s="297"/>
      <c r="AF736" s="297"/>
      <c r="AG736" s="297"/>
      <c r="AH736" s="295"/>
      <c r="AI736" s="293"/>
      <c r="AJ736" s="293"/>
      <c r="AK736" s="297"/>
      <c r="AL736" s="297"/>
      <c r="AM736" s="297"/>
      <c r="AN736" s="297"/>
      <c r="AO736" s="295"/>
    </row>
    <row r="737" spans="2:41" ht="13">
      <c r="B737" s="294"/>
      <c r="C737" s="295"/>
      <c r="D737" s="295"/>
      <c r="E737" s="294"/>
      <c r="F737" s="294"/>
      <c r="G737" s="295"/>
      <c r="H737" s="295"/>
      <c r="I737" s="295"/>
      <c r="J737" s="295"/>
      <c r="K737" s="295"/>
      <c r="L737" s="295"/>
      <c r="N737" s="296"/>
      <c r="O737" s="296"/>
      <c r="P737" s="297"/>
      <c r="Q737" s="297"/>
      <c r="R737" s="297"/>
      <c r="S737" s="297"/>
      <c r="T737" s="298"/>
      <c r="U737" s="296"/>
      <c r="V737" s="296"/>
      <c r="W737" s="297"/>
      <c r="X737" s="297"/>
      <c r="Y737" s="297"/>
      <c r="Z737" s="297"/>
      <c r="AA737" s="299"/>
      <c r="AB737" s="296"/>
      <c r="AC737" s="296"/>
      <c r="AD737" s="297"/>
      <c r="AE737" s="297"/>
      <c r="AF737" s="297"/>
      <c r="AG737" s="297"/>
      <c r="AH737" s="295"/>
      <c r="AI737" s="293"/>
      <c r="AJ737" s="293"/>
      <c r="AK737" s="297"/>
      <c r="AL737" s="297"/>
      <c r="AM737" s="297"/>
      <c r="AN737" s="297"/>
      <c r="AO737" s="295"/>
    </row>
    <row r="738" spans="2:41" ht="13">
      <c r="B738" s="294"/>
      <c r="C738" s="295"/>
      <c r="D738" s="295"/>
      <c r="E738" s="294"/>
      <c r="F738" s="294"/>
      <c r="G738" s="295"/>
      <c r="H738" s="295"/>
      <c r="I738" s="295"/>
      <c r="J738" s="295"/>
      <c r="K738" s="295"/>
      <c r="L738" s="295"/>
      <c r="N738" s="296"/>
      <c r="O738" s="296"/>
      <c r="P738" s="297"/>
      <c r="Q738" s="297"/>
      <c r="R738" s="297"/>
      <c r="S738" s="297"/>
      <c r="T738" s="298"/>
      <c r="U738" s="296"/>
      <c r="V738" s="296"/>
      <c r="W738" s="297"/>
      <c r="X738" s="297"/>
      <c r="Y738" s="297"/>
      <c r="Z738" s="297"/>
      <c r="AA738" s="299"/>
      <c r="AB738" s="296"/>
      <c r="AC738" s="296"/>
      <c r="AD738" s="297"/>
      <c r="AE738" s="297"/>
      <c r="AF738" s="297"/>
      <c r="AG738" s="297"/>
      <c r="AH738" s="295"/>
      <c r="AI738" s="293"/>
      <c r="AJ738" s="293"/>
      <c r="AK738" s="297"/>
      <c r="AL738" s="297"/>
      <c r="AM738" s="297"/>
      <c r="AN738" s="297"/>
      <c r="AO738" s="295"/>
    </row>
    <row r="739" spans="2:41" ht="13">
      <c r="B739" s="294"/>
      <c r="C739" s="295"/>
      <c r="D739" s="295"/>
      <c r="E739" s="294"/>
      <c r="F739" s="294"/>
      <c r="G739" s="295"/>
      <c r="H739" s="295"/>
      <c r="I739" s="295"/>
      <c r="J739" s="295"/>
      <c r="K739" s="295"/>
      <c r="L739" s="295"/>
      <c r="N739" s="296"/>
      <c r="O739" s="296"/>
      <c r="P739" s="297"/>
      <c r="Q739" s="297"/>
      <c r="R739" s="297"/>
      <c r="S739" s="297"/>
      <c r="T739" s="298"/>
      <c r="U739" s="296"/>
      <c r="V739" s="296"/>
      <c r="W739" s="297"/>
      <c r="X739" s="297"/>
      <c r="Y739" s="297"/>
      <c r="Z739" s="297"/>
      <c r="AA739" s="299"/>
      <c r="AB739" s="296"/>
      <c r="AC739" s="296"/>
      <c r="AD739" s="297"/>
      <c r="AE739" s="297"/>
      <c r="AF739" s="297"/>
      <c r="AG739" s="297"/>
      <c r="AH739" s="295"/>
      <c r="AI739" s="293"/>
      <c r="AJ739" s="293"/>
      <c r="AK739" s="297"/>
      <c r="AL739" s="297"/>
      <c r="AM739" s="297"/>
      <c r="AN739" s="297"/>
      <c r="AO739" s="295"/>
    </row>
    <row r="740" spans="2:41" ht="13">
      <c r="B740" s="294"/>
      <c r="C740" s="295"/>
      <c r="D740" s="295"/>
      <c r="E740" s="294"/>
      <c r="F740" s="294"/>
      <c r="G740" s="295"/>
      <c r="H740" s="295"/>
      <c r="I740" s="295"/>
      <c r="J740" s="295"/>
      <c r="K740" s="295"/>
      <c r="L740" s="295"/>
      <c r="N740" s="296"/>
      <c r="O740" s="296"/>
      <c r="P740" s="297"/>
      <c r="Q740" s="297"/>
      <c r="R740" s="297"/>
      <c r="S740" s="297"/>
      <c r="T740" s="298"/>
      <c r="U740" s="296"/>
      <c r="V740" s="296"/>
      <c r="W740" s="297"/>
      <c r="X740" s="297"/>
      <c r="Y740" s="297"/>
      <c r="Z740" s="297"/>
      <c r="AA740" s="299"/>
      <c r="AB740" s="296"/>
      <c r="AC740" s="296"/>
      <c r="AD740" s="297"/>
      <c r="AE740" s="297"/>
      <c r="AF740" s="297"/>
      <c r="AG740" s="297"/>
      <c r="AH740" s="295"/>
      <c r="AI740" s="293"/>
      <c r="AJ740" s="293"/>
      <c r="AK740" s="297"/>
      <c r="AL740" s="297"/>
      <c r="AM740" s="297"/>
      <c r="AN740" s="297"/>
      <c r="AO740" s="295"/>
    </row>
    <row r="741" spans="2:41" ht="13">
      <c r="B741" s="294"/>
      <c r="C741" s="295"/>
      <c r="D741" s="295"/>
      <c r="E741" s="294"/>
      <c r="F741" s="294"/>
      <c r="G741" s="295"/>
      <c r="H741" s="295"/>
      <c r="I741" s="295"/>
      <c r="J741" s="295"/>
      <c r="K741" s="295"/>
      <c r="L741" s="295"/>
      <c r="N741" s="296"/>
      <c r="O741" s="296"/>
      <c r="P741" s="297"/>
      <c r="Q741" s="297"/>
      <c r="R741" s="297"/>
      <c r="S741" s="297"/>
      <c r="T741" s="298"/>
      <c r="U741" s="296"/>
      <c r="V741" s="296"/>
      <c r="W741" s="297"/>
      <c r="X741" s="297"/>
      <c r="Y741" s="297"/>
      <c r="Z741" s="297"/>
      <c r="AA741" s="299"/>
      <c r="AB741" s="296"/>
      <c r="AC741" s="296"/>
      <c r="AD741" s="297"/>
      <c r="AE741" s="297"/>
      <c r="AF741" s="297"/>
      <c r="AG741" s="297"/>
      <c r="AH741" s="295"/>
      <c r="AI741" s="293"/>
      <c r="AJ741" s="293"/>
      <c r="AK741" s="297"/>
      <c r="AL741" s="297"/>
      <c r="AM741" s="297"/>
      <c r="AN741" s="297"/>
      <c r="AO741" s="295"/>
    </row>
    <row r="742" spans="2:41" ht="13">
      <c r="B742" s="294"/>
      <c r="C742" s="295"/>
      <c r="D742" s="295"/>
      <c r="E742" s="294"/>
      <c r="F742" s="294"/>
      <c r="G742" s="295"/>
      <c r="H742" s="295"/>
      <c r="I742" s="295"/>
      <c r="J742" s="295"/>
      <c r="K742" s="295"/>
      <c r="L742" s="295"/>
      <c r="N742" s="296"/>
      <c r="O742" s="296"/>
      <c r="P742" s="297"/>
      <c r="Q742" s="297"/>
      <c r="R742" s="297"/>
      <c r="S742" s="297"/>
      <c r="T742" s="298"/>
      <c r="U742" s="296"/>
      <c r="V742" s="296"/>
      <c r="W742" s="297"/>
      <c r="X742" s="297"/>
      <c r="Y742" s="297"/>
      <c r="Z742" s="297"/>
      <c r="AA742" s="299"/>
      <c r="AB742" s="296"/>
      <c r="AC742" s="296"/>
      <c r="AD742" s="297"/>
      <c r="AE742" s="297"/>
      <c r="AF742" s="297"/>
      <c r="AG742" s="297"/>
      <c r="AH742" s="295"/>
      <c r="AI742" s="293"/>
      <c r="AJ742" s="293"/>
      <c r="AK742" s="297"/>
      <c r="AL742" s="297"/>
      <c r="AM742" s="297"/>
      <c r="AN742" s="297"/>
      <c r="AO742" s="295"/>
    </row>
    <row r="743" spans="2:41" ht="13">
      <c r="B743" s="294"/>
      <c r="C743" s="295"/>
      <c r="D743" s="295"/>
      <c r="E743" s="294"/>
      <c r="F743" s="294"/>
      <c r="G743" s="295"/>
      <c r="H743" s="295"/>
      <c r="I743" s="295"/>
      <c r="J743" s="295"/>
      <c r="K743" s="295"/>
      <c r="L743" s="295"/>
      <c r="N743" s="296"/>
      <c r="O743" s="296"/>
      <c r="P743" s="297"/>
      <c r="Q743" s="297"/>
      <c r="R743" s="297"/>
      <c r="S743" s="297"/>
      <c r="T743" s="298"/>
      <c r="U743" s="296"/>
      <c r="V743" s="296"/>
      <c r="W743" s="297"/>
      <c r="X743" s="297"/>
      <c r="Y743" s="297"/>
      <c r="Z743" s="297"/>
      <c r="AA743" s="299"/>
      <c r="AB743" s="296"/>
      <c r="AC743" s="296"/>
      <c r="AD743" s="297"/>
      <c r="AE743" s="297"/>
      <c r="AF743" s="297"/>
      <c r="AG743" s="297"/>
      <c r="AH743" s="295"/>
      <c r="AI743" s="293"/>
      <c r="AJ743" s="293"/>
      <c r="AK743" s="297"/>
      <c r="AL743" s="297"/>
      <c r="AM743" s="297"/>
      <c r="AN743" s="297"/>
      <c r="AO743" s="295"/>
    </row>
    <row r="744" spans="2:41" ht="13">
      <c r="B744" s="294"/>
      <c r="C744" s="295"/>
      <c r="D744" s="295"/>
      <c r="E744" s="294"/>
      <c r="F744" s="294"/>
      <c r="G744" s="295"/>
      <c r="H744" s="295"/>
      <c r="I744" s="295"/>
      <c r="J744" s="295"/>
      <c r="K744" s="295"/>
      <c r="L744" s="295"/>
      <c r="N744" s="296"/>
      <c r="O744" s="296"/>
      <c r="P744" s="297"/>
      <c r="Q744" s="297"/>
      <c r="R744" s="297"/>
      <c r="S744" s="297"/>
      <c r="T744" s="298"/>
      <c r="U744" s="296"/>
      <c r="V744" s="296"/>
      <c r="W744" s="297"/>
      <c r="X744" s="297"/>
      <c r="Y744" s="297"/>
      <c r="Z744" s="297"/>
      <c r="AA744" s="299"/>
      <c r="AB744" s="296"/>
      <c r="AC744" s="296"/>
      <c r="AD744" s="297"/>
      <c r="AE744" s="297"/>
      <c r="AF744" s="297"/>
      <c r="AG744" s="297"/>
      <c r="AH744" s="295"/>
      <c r="AI744" s="293"/>
      <c r="AJ744" s="293"/>
      <c r="AK744" s="297"/>
      <c r="AL744" s="297"/>
      <c r="AM744" s="297"/>
      <c r="AN744" s="297"/>
      <c r="AO744" s="295"/>
    </row>
    <row r="745" spans="2:41" ht="13">
      <c r="B745" s="294"/>
      <c r="C745" s="295"/>
      <c r="D745" s="295"/>
      <c r="E745" s="294"/>
      <c r="F745" s="294"/>
      <c r="G745" s="295"/>
      <c r="H745" s="295"/>
      <c r="I745" s="295"/>
      <c r="J745" s="295"/>
      <c r="K745" s="295"/>
      <c r="L745" s="295"/>
      <c r="N745" s="296"/>
      <c r="O745" s="296"/>
      <c r="P745" s="297"/>
      <c r="Q745" s="297"/>
      <c r="R745" s="297"/>
      <c r="S745" s="297"/>
      <c r="T745" s="298"/>
      <c r="U745" s="296"/>
      <c r="V745" s="296"/>
      <c r="W745" s="297"/>
      <c r="X745" s="297"/>
      <c r="Y745" s="297"/>
      <c r="Z745" s="297"/>
      <c r="AA745" s="299"/>
      <c r="AB745" s="296"/>
      <c r="AC745" s="296"/>
      <c r="AD745" s="297"/>
      <c r="AE745" s="297"/>
      <c r="AF745" s="297"/>
      <c r="AG745" s="297"/>
      <c r="AH745" s="295"/>
      <c r="AI745" s="293"/>
      <c r="AJ745" s="293"/>
      <c r="AK745" s="297"/>
      <c r="AL745" s="297"/>
      <c r="AM745" s="297"/>
      <c r="AN745" s="297"/>
      <c r="AO745" s="295"/>
    </row>
    <row r="746" spans="2:41" ht="13">
      <c r="B746" s="294"/>
      <c r="C746" s="295"/>
      <c r="D746" s="295"/>
      <c r="E746" s="294"/>
      <c r="F746" s="294"/>
      <c r="G746" s="295"/>
      <c r="H746" s="295"/>
      <c r="I746" s="295"/>
      <c r="J746" s="295"/>
      <c r="K746" s="295"/>
      <c r="L746" s="295"/>
      <c r="N746" s="296"/>
      <c r="O746" s="296"/>
      <c r="P746" s="297"/>
      <c r="Q746" s="297"/>
      <c r="R746" s="297"/>
      <c r="S746" s="297"/>
      <c r="T746" s="298"/>
      <c r="U746" s="296"/>
      <c r="V746" s="296"/>
      <c r="W746" s="297"/>
      <c r="X746" s="297"/>
      <c r="Y746" s="297"/>
      <c r="Z746" s="297"/>
      <c r="AA746" s="299"/>
      <c r="AB746" s="296"/>
      <c r="AC746" s="296"/>
      <c r="AD746" s="297"/>
      <c r="AE746" s="297"/>
      <c r="AF746" s="297"/>
      <c r="AG746" s="297"/>
      <c r="AH746" s="295"/>
      <c r="AI746" s="293"/>
      <c r="AJ746" s="293"/>
      <c r="AK746" s="297"/>
      <c r="AL746" s="297"/>
      <c r="AM746" s="297"/>
      <c r="AN746" s="297"/>
      <c r="AO746" s="295"/>
    </row>
    <row r="747" spans="2:41" ht="13">
      <c r="B747" s="294"/>
      <c r="C747" s="295"/>
      <c r="D747" s="295"/>
      <c r="E747" s="294"/>
      <c r="F747" s="294"/>
      <c r="G747" s="295"/>
      <c r="H747" s="295"/>
      <c r="I747" s="295"/>
      <c r="J747" s="295"/>
      <c r="K747" s="295"/>
      <c r="L747" s="295"/>
      <c r="N747" s="296"/>
      <c r="O747" s="296"/>
      <c r="P747" s="297"/>
      <c r="Q747" s="297"/>
      <c r="R747" s="297"/>
      <c r="S747" s="297"/>
      <c r="T747" s="298"/>
      <c r="U747" s="296"/>
      <c r="V747" s="296"/>
      <c r="W747" s="297"/>
      <c r="X747" s="297"/>
      <c r="Y747" s="297"/>
      <c r="Z747" s="297"/>
      <c r="AA747" s="299"/>
      <c r="AB747" s="296"/>
      <c r="AC747" s="296"/>
      <c r="AD747" s="297"/>
      <c r="AE747" s="297"/>
      <c r="AF747" s="297"/>
      <c r="AG747" s="297"/>
      <c r="AH747" s="295"/>
      <c r="AI747" s="293"/>
      <c r="AJ747" s="293"/>
      <c r="AK747" s="297"/>
      <c r="AL747" s="297"/>
      <c r="AM747" s="297"/>
      <c r="AN747" s="297"/>
      <c r="AO747" s="295"/>
    </row>
    <row r="748" spans="2:41" ht="13">
      <c r="B748" s="294"/>
      <c r="C748" s="295"/>
      <c r="D748" s="295"/>
      <c r="E748" s="294"/>
      <c r="F748" s="294"/>
      <c r="G748" s="295"/>
      <c r="H748" s="295"/>
      <c r="I748" s="295"/>
      <c r="J748" s="295"/>
      <c r="K748" s="295"/>
      <c r="L748" s="295"/>
      <c r="N748" s="296"/>
      <c r="O748" s="296"/>
      <c r="P748" s="297"/>
      <c r="Q748" s="297"/>
      <c r="R748" s="297"/>
      <c r="S748" s="297"/>
      <c r="T748" s="298"/>
      <c r="U748" s="296"/>
      <c r="V748" s="296"/>
      <c r="W748" s="297"/>
      <c r="X748" s="297"/>
      <c r="Y748" s="297"/>
      <c r="Z748" s="297"/>
      <c r="AA748" s="299"/>
      <c r="AB748" s="296"/>
      <c r="AC748" s="296"/>
      <c r="AD748" s="297"/>
      <c r="AE748" s="297"/>
      <c r="AF748" s="297"/>
      <c r="AG748" s="297"/>
      <c r="AH748" s="295"/>
      <c r="AI748" s="293"/>
      <c r="AJ748" s="293"/>
      <c r="AK748" s="297"/>
      <c r="AL748" s="297"/>
      <c r="AM748" s="297"/>
      <c r="AN748" s="297"/>
      <c r="AO748" s="295"/>
    </row>
    <row r="749" spans="2:41" ht="13">
      <c r="B749" s="294"/>
      <c r="C749" s="295"/>
      <c r="D749" s="295"/>
      <c r="E749" s="294"/>
      <c r="F749" s="294"/>
      <c r="G749" s="295"/>
      <c r="H749" s="295"/>
      <c r="I749" s="295"/>
      <c r="J749" s="295"/>
      <c r="K749" s="295"/>
      <c r="L749" s="295"/>
      <c r="N749" s="296"/>
      <c r="O749" s="296"/>
      <c r="P749" s="297"/>
      <c r="Q749" s="297"/>
      <c r="R749" s="297"/>
      <c r="S749" s="297"/>
      <c r="T749" s="298"/>
      <c r="U749" s="296"/>
      <c r="V749" s="296"/>
      <c r="W749" s="297"/>
      <c r="X749" s="297"/>
      <c r="Y749" s="297"/>
      <c r="Z749" s="297"/>
      <c r="AA749" s="299"/>
      <c r="AB749" s="296"/>
      <c r="AC749" s="296"/>
      <c r="AD749" s="297"/>
      <c r="AE749" s="297"/>
      <c r="AF749" s="297"/>
      <c r="AG749" s="297"/>
      <c r="AH749" s="295"/>
      <c r="AI749" s="293"/>
      <c r="AJ749" s="293"/>
      <c r="AK749" s="297"/>
      <c r="AL749" s="297"/>
      <c r="AM749" s="297"/>
      <c r="AN749" s="297"/>
      <c r="AO749" s="295"/>
    </row>
    <row r="750" spans="2:41" ht="13">
      <c r="B750" s="294"/>
      <c r="C750" s="295"/>
      <c r="D750" s="295"/>
      <c r="E750" s="294"/>
      <c r="F750" s="294"/>
      <c r="G750" s="295"/>
      <c r="H750" s="295"/>
      <c r="I750" s="295"/>
      <c r="J750" s="295"/>
      <c r="K750" s="295"/>
      <c r="L750" s="295"/>
      <c r="N750" s="296"/>
      <c r="O750" s="296"/>
      <c r="P750" s="297"/>
      <c r="Q750" s="297"/>
      <c r="R750" s="297"/>
      <c r="S750" s="297"/>
      <c r="T750" s="298"/>
      <c r="U750" s="296"/>
      <c r="V750" s="296"/>
      <c r="W750" s="297"/>
      <c r="X750" s="297"/>
      <c r="Y750" s="297"/>
      <c r="Z750" s="297"/>
      <c r="AA750" s="299"/>
      <c r="AB750" s="296"/>
      <c r="AC750" s="296"/>
      <c r="AD750" s="297"/>
      <c r="AE750" s="297"/>
      <c r="AF750" s="297"/>
      <c r="AG750" s="297"/>
      <c r="AH750" s="295"/>
      <c r="AI750" s="293"/>
      <c r="AJ750" s="293"/>
      <c r="AK750" s="297"/>
      <c r="AL750" s="297"/>
      <c r="AM750" s="297"/>
      <c r="AN750" s="297"/>
      <c r="AO750" s="295"/>
    </row>
    <row r="751" spans="2:41" ht="13">
      <c r="B751" s="294"/>
      <c r="C751" s="295"/>
      <c r="D751" s="295"/>
      <c r="E751" s="294"/>
      <c r="F751" s="294"/>
      <c r="G751" s="295"/>
      <c r="H751" s="295"/>
      <c r="I751" s="295"/>
      <c r="J751" s="295"/>
      <c r="K751" s="295"/>
      <c r="L751" s="295"/>
      <c r="N751" s="296"/>
      <c r="O751" s="296"/>
      <c r="P751" s="297"/>
      <c r="Q751" s="297"/>
      <c r="R751" s="297"/>
      <c r="S751" s="297"/>
      <c r="T751" s="298"/>
      <c r="U751" s="296"/>
      <c r="V751" s="296"/>
      <c r="W751" s="297"/>
      <c r="X751" s="297"/>
      <c r="Y751" s="297"/>
      <c r="Z751" s="297"/>
      <c r="AA751" s="299"/>
      <c r="AB751" s="296"/>
      <c r="AC751" s="296"/>
      <c r="AD751" s="297"/>
      <c r="AE751" s="297"/>
      <c r="AF751" s="297"/>
      <c r="AG751" s="297"/>
      <c r="AH751" s="295"/>
      <c r="AI751" s="293"/>
      <c r="AJ751" s="293"/>
      <c r="AK751" s="297"/>
      <c r="AL751" s="297"/>
      <c r="AM751" s="297"/>
      <c r="AN751" s="297"/>
      <c r="AO751" s="295"/>
    </row>
    <row r="752" spans="2:41" ht="13">
      <c r="B752" s="294"/>
      <c r="C752" s="295"/>
      <c r="D752" s="295"/>
      <c r="E752" s="294"/>
      <c r="F752" s="294"/>
      <c r="G752" s="295"/>
      <c r="H752" s="295"/>
      <c r="I752" s="295"/>
      <c r="J752" s="295"/>
      <c r="K752" s="295"/>
      <c r="L752" s="295"/>
      <c r="N752" s="296"/>
      <c r="O752" s="296"/>
      <c r="P752" s="297"/>
      <c r="Q752" s="297"/>
      <c r="R752" s="297"/>
      <c r="S752" s="297"/>
      <c r="T752" s="298"/>
      <c r="U752" s="296"/>
      <c r="V752" s="296"/>
      <c r="W752" s="297"/>
      <c r="X752" s="297"/>
      <c r="Y752" s="297"/>
      <c r="Z752" s="297"/>
      <c r="AA752" s="299"/>
      <c r="AB752" s="296"/>
      <c r="AC752" s="296"/>
      <c r="AD752" s="297"/>
      <c r="AE752" s="297"/>
      <c r="AF752" s="297"/>
      <c r="AG752" s="297"/>
      <c r="AH752" s="295"/>
      <c r="AI752" s="293"/>
      <c r="AJ752" s="293"/>
      <c r="AK752" s="297"/>
      <c r="AL752" s="297"/>
      <c r="AM752" s="297"/>
      <c r="AN752" s="297"/>
      <c r="AO752" s="295"/>
    </row>
    <row r="753" spans="2:41" ht="13">
      <c r="B753" s="294"/>
      <c r="C753" s="295"/>
      <c r="D753" s="295"/>
      <c r="E753" s="294"/>
      <c r="F753" s="294"/>
      <c r="G753" s="295"/>
      <c r="H753" s="295"/>
      <c r="I753" s="295"/>
      <c r="J753" s="295"/>
      <c r="K753" s="295"/>
      <c r="L753" s="295"/>
      <c r="N753" s="296"/>
      <c r="O753" s="296"/>
      <c r="P753" s="297"/>
      <c r="Q753" s="297"/>
      <c r="R753" s="297"/>
      <c r="S753" s="297"/>
      <c r="T753" s="298"/>
      <c r="U753" s="296"/>
      <c r="V753" s="296"/>
      <c r="W753" s="297"/>
      <c r="X753" s="297"/>
      <c r="Y753" s="297"/>
      <c r="Z753" s="297"/>
      <c r="AA753" s="299"/>
      <c r="AB753" s="296"/>
      <c r="AC753" s="296"/>
      <c r="AD753" s="297"/>
      <c r="AE753" s="297"/>
      <c r="AF753" s="297"/>
      <c r="AG753" s="297"/>
      <c r="AH753" s="295"/>
      <c r="AI753" s="293"/>
      <c r="AJ753" s="293"/>
      <c r="AK753" s="297"/>
      <c r="AL753" s="297"/>
      <c r="AM753" s="297"/>
      <c r="AN753" s="297"/>
      <c r="AO753" s="295"/>
    </row>
    <row r="754" spans="2:41" ht="13">
      <c r="B754" s="294"/>
      <c r="C754" s="295"/>
      <c r="D754" s="295"/>
      <c r="E754" s="294"/>
      <c r="F754" s="294"/>
      <c r="G754" s="295"/>
      <c r="H754" s="295"/>
      <c r="I754" s="295"/>
      <c r="J754" s="295"/>
      <c r="K754" s="295"/>
      <c r="L754" s="295"/>
      <c r="N754" s="296"/>
      <c r="O754" s="296"/>
      <c r="P754" s="297"/>
      <c r="Q754" s="297"/>
      <c r="R754" s="297"/>
      <c r="S754" s="297"/>
      <c r="T754" s="298"/>
      <c r="U754" s="296"/>
      <c r="V754" s="296"/>
      <c r="W754" s="297"/>
      <c r="X754" s="297"/>
      <c r="Y754" s="297"/>
      <c r="Z754" s="297"/>
      <c r="AA754" s="299"/>
      <c r="AB754" s="296"/>
      <c r="AC754" s="296"/>
      <c r="AD754" s="297"/>
      <c r="AE754" s="297"/>
      <c r="AF754" s="297"/>
      <c r="AG754" s="297"/>
      <c r="AH754" s="295"/>
      <c r="AI754" s="293"/>
      <c r="AJ754" s="293"/>
      <c r="AK754" s="297"/>
      <c r="AL754" s="297"/>
      <c r="AM754" s="297"/>
      <c r="AN754" s="297"/>
      <c r="AO754" s="295"/>
    </row>
    <row r="755" spans="2:41" ht="13">
      <c r="B755" s="294"/>
      <c r="C755" s="295"/>
      <c r="D755" s="295"/>
      <c r="E755" s="294"/>
      <c r="F755" s="294"/>
      <c r="G755" s="295"/>
      <c r="H755" s="295"/>
      <c r="I755" s="295"/>
      <c r="J755" s="295"/>
      <c r="K755" s="295"/>
      <c r="L755" s="295"/>
      <c r="N755" s="296"/>
      <c r="O755" s="296"/>
      <c r="P755" s="297"/>
      <c r="Q755" s="297"/>
      <c r="R755" s="297"/>
      <c r="S755" s="297"/>
      <c r="T755" s="298"/>
      <c r="U755" s="296"/>
      <c r="V755" s="296"/>
      <c r="W755" s="297"/>
      <c r="X755" s="297"/>
      <c r="Y755" s="297"/>
      <c r="Z755" s="297"/>
      <c r="AA755" s="299"/>
      <c r="AB755" s="296"/>
      <c r="AC755" s="296"/>
      <c r="AD755" s="297"/>
      <c r="AE755" s="297"/>
      <c r="AF755" s="297"/>
      <c r="AG755" s="297"/>
      <c r="AH755" s="295"/>
      <c r="AI755" s="293"/>
      <c r="AJ755" s="293"/>
      <c r="AK755" s="297"/>
      <c r="AL755" s="297"/>
      <c r="AM755" s="297"/>
      <c r="AN755" s="297"/>
      <c r="AO755" s="295"/>
    </row>
    <row r="756" spans="2:41" ht="13">
      <c r="B756" s="294"/>
      <c r="C756" s="295"/>
      <c r="D756" s="295"/>
      <c r="E756" s="294"/>
      <c r="F756" s="294"/>
      <c r="G756" s="295"/>
      <c r="H756" s="295"/>
      <c r="I756" s="295"/>
      <c r="J756" s="295"/>
      <c r="K756" s="295"/>
      <c r="L756" s="295"/>
      <c r="N756" s="296"/>
      <c r="O756" s="296"/>
      <c r="P756" s="297"/>
      <c r="Q756" s="297"/>
      <c r="R756" s="297"/>
      <c r="S756" s="297"/>
      <c r="T756" s="298"/>
      <c r="U756" s="296"/>
      <c r="V756" s="296"/>
      <c r="W756" s="297"/>
      <c r="X756" s="297"/>
      <c r="Y756" s="297"/>
      <c r="Z756" s="297"/>
      <c r="AA756" s="299"/>
      <c r="AB756" s="296"/>
      <c r="AC756" s="296"/>
      <c r="AD756" s="297"/>
      <c r="AE756" s="297"/>
      <c r="AF756" s="297"/>
      <c r="AG756" s="297"/>
      <c r="AH756" s="295"/>
      <c r="AI756" s="293"/>
      <c r="AJ756" s="293"/>
      <c r="AK756" s="297"/>
      <c r="AL756" s="297"/>
      <c r="AM756" s="297"/>
      <c r="AN756" s="297"/>
      <c r="AO756" s="295"/>
    </row>
    <row r="757" spans="2:41" ht="13">
      <c r="B757" s="294"/>
      <c r="C757" s="295"/>
      <c r="D757" s="295"/>
      <c r="E757" s="294"/>
      <c r="F757" s="294"/>
      <c r="G757" s="295"/>
      <c r="H757" s="295"/>
      <c r="I757" s="295"/>
      <c r="J757" s="295"/>
      <c r="K757" s="295"/>
      <c r="L757" s="295"/>
      <c r="N757" s="296"/>
      <c r="O757" s="296"/>
      <c r="P757" s="297"/>
      <c r="Q757" s="297"/>
      <c r="R757" s="297"/>
      <c r="S757" s="297"/>
      <c r="T757" s="298"/>
      <c r="U757" s="296"/>
      <c r="V757" s="296"/>
      <c r="W757" s="297"/>
      <c r="X757" s="297"/>
      <c r="Y757" s="297"/>
      <c r="Z757" s="297"/>
      <c r="AA757" s="299"/>
      <c r="AB757" s="296"/>
      <c r="AC757" s="296"/>
      <c r="AD757" s="297"/>
      <c r="AE757" s="297"/>
      <c r="AF757" s="297"/>
      <c r="AG757" s="297"/>
      <c r="AH757" s="295"/>
      <c r="AI757" s="293"/>
      <c r="AJ757" s="293"/>
      <c r="AK757" s="297"/>
      <c r="AL757" s="297"/>
      <c r="AM757" s="297"/>
      <c r="AN757" s="297"/>
      <c r="AO757" s="295"/>
    </row>
    <row r="758" spans="2:41" ht="13">
      <c r="B758" s="294"/>
      <c r="C758" s="295"/>
      <c r="D758" s="295"/>
      <c r="E758" s="294"/>
      <c r="F758" s="294"/>
      <c r="G758" s="295"/>
      <c r="H758" s="295"/>
      <c r="I758" s="295"/>
      <c r="J758" s="295"/>
      <c r="K758" s="295"/>
      <c r="L758" s="295"/>
      <c r="N758" s="296"/>
      <c r="O758" s="296"/>
      <c r="P758" s="297"/>
      <c r="Q758" s="297"/>
      <c r="R758" s="297"/>
      <c r="S758" s="297"/>
      <c r="T758" s="298"/>
      <c r="U758" s="296"/>
      <c r="V758" s="296"/>
      <c r="W758" s="297"/>
      <c r="X758" s="297"/>
      <c r="Y758" s="297"/>
      <c r="Z758" s="297"/>
      <c r="AA758" s="299"/>
      <c r="AB758" s="296"/>
      <c r="AC758" s="296"/>
      <c r="AD758" s="297"/>
      <c r="AE758" s="297"/>
      <c r="AF758" s="297"/>
      <c r="AG758" s="297"/>
      <c r="AH758" s="295"/>
      <c r="AI758" s="293"/>
      <c r="AJ758" s="293"/>
      <c r="AK758" s="297"/>
      <c r="AL758" s="297"/>
      <c r="AM758" s="297"/>
      <c r="AN758" s="297"/>
      <c r="AO758" s="295"/>
    </row>
    <row r="759" spans="2:41" ht="13">
      <c r="B759" s="294"/>
      <c r="C759" s="295"/>
      <c r="D759" s="295"/>
      <c r="E759" s="294"/>
      <c r="F759" s="294"/>
      <c r="G759" s="295"/>
      <c r="H759" s="295"/>
      <c r="I759" s="295"/>
      <c r="J759" s="295"/>
      <c r="K759" s="295"/>
      <c r="L759" s="295"/>
      <c r="N759" s="296"/>
      <c r="O759" s="296"/>
      <c r="P759" s="297"/>
      <c r="Q759" s="297"/>
      <c r="R759" s="297"/>
      <c r="S759" s="297"/>
      <c r="T759" s="298"/>
      <c r="U759" s="296"/>
      <c r="V759" s="296"/>
      <c r="W759" s="297"/>
      <c r="X759" s="297"/>
      <c r="Y759" s="297"/>
      <c r="Z759" s="297"/>
      <c r="AA759" s="299"/>
      <c r="AB759" s="296"/>
      <c r="AC759" s="296"/>
      <c r="AD759" s="297"/>
      <c r="AE759" s="297"/>
      <c r="AF759" s="297"/>
      <c r="AG759" s="297"/>
      <c r="AH759" s="295"/>
      <c r="AI759" s="293"/>
      <c r="AJ759" s="293"/>
      <c r="AK759" s="297"/>
      <c r="AL759" s="297"/>
      <c r="AM759" s="297"/>
      <c r="AN759" s="297"/>
      <c r="AO759" s="295"/>
    </row>
    <row r="760" spans="2:41" ht="13">
      <c r="B760" s="294"/>
      <c r="C760" s="295"/>
      <c r="D760" s="295"/>
      <c r="E760" s="294"/>
      <c r="F760" s="294"/>
      <c r="G760" s="295"/>
      <c r="H760" s="295"/>
      <c r="I760" s="295"/>
      <c r="J760" s="295"/>
      <c r="K760" s="295"/>
      <c r="L760" s="295"/>
      <c r="N760" s="296"/>
      <c r="O760" s="296"/>
      <c r="P760" s="297"/>
      <c r="Q760" s="297"/>
      <c r="R760" s="297"/>
      <c r="S760" s="297"/>
      <c r="T760" s="298"/>
      <c r="U760" s="296"/>
      <c r="V760" s="296"/>
      <c r="W760" s="297"/>
      <c r="X760" s="297"/>
      <c r="Y760" s="297"/>
      <c r="Z760" s="297"/>
      <c r="AA760" s="299"/>
      <c r="AB760" s="296"/>
      <c r="AC760" s="296"/>
      <c r="AD760" s="297"/>
      <c r="AE760" s="297"/>
      <c r="AF760" s="297"/>
      <c r="AG760" s="297"/>
      <c r="AH760" s="295"/>
      <c r="AI760" s="293"/>
      <c r="AJ760" s="293"/>
      <c r="AK760" s="297"/>
      <c r="AL760" s="297"/>
      <c r="AM760" s="297"/>
      <c r="AN760" s="297"/>
      <c r="AO760" s="295"/>
    </row>
    <row r="761" spans="2:41" ht="13">
      <c r="B761" s="294"/>
      <c r="C761" s="295"/>
      <c r="D761" s="295"/>
      <c r="E761" s="294"/>
      <c r="F761" s="294"/>
      <c r="G761" s="295"/>
      <c r="H761" s="295"/>
      <c r="I761" s="295"/>
      <c r="J761" s="295"/>
      <c r="K761" s="295"/>
      <c r="L761" s="295"/>
      <c r="N761" s="296"/>
      <c r="O761" s="296"/>
      <c r="P761" s="297"/>
      <c r="Q761" s="297"/>
      <c r="R761" s="297"/>
      <c r="S761" s="297"/>
      <c r="T761" s="298"/>
      <c r="U761" s="296"/>
      <c r="V761" s="296"/>
      <c r="W761" s="297"/>
      <c r="X761" s="297"/>
      <c r="Y761" s="297"/>
      <c r="Z761" s="297"/>
      <c r="AA761" s="299"/>
      <c r="AB761" s="296"/>
      <c r="AC761" s="296"/>
      <c r="AD761" s="297"/>
      <c r="AE761" s="297"/>
      <c r="AF761" s="297"/>
      <c r="AG761" s="297"/>
      <c r="AH761" s="295"/>
      <c r="AI761" s="293"/>
      <c r="AJ761" s="293"/>
      <c r="AK761" s="297"/>
      <c r="AL761" s="297"/>
      <c r="AM761" s="297"/>
      <c r="AN761" s="297"/>
      <c r="AO761" s="295"/>
    </row>
    <row r="762" spans="2:41" ht="13">
      <c r="B762" s="294"/>
      <c r="C762" s="295"/>
      <c r="D762" s="295"/>
      <c r="E762" s="294"/>
      <c r="F762" s="294"/>
      <c r="G762" s="295"/>
      <c r="H762" s="295"/>
      <c r="I762" s="295"/>
      <c r="J762" s="295"/>
      <c r="K762" s="295"/>
      <c r="L762" s="295"/>
      <c r="N762" s="296"/>
      <c r="O762" s="296"/>
      <c r="P762" s="297"/>
      <c r="Q762" s="297"/>
      <c r="R762" s="297"/>
      <c r="S762" s="297"/>
      <c r="T762" s="298"/>
      <c r="U762" s="296"/>
      <c r="V762" s="296"/>
      <c r="W762" s="297"/>
      <c r="X762" s="297"/>
      <c r="Y762" s="297"/>
      <c r="Z762" s="297"/>
      <c r="AA762" s="299"/>
      <c r="AB762" s="296"/>
      <c r="AC762" s="296"/>
      <c r="AD762" s="297"/>
      <c r="AE762" s="297"/>
      <c r="AF762" s="297"/>
      <c r="AG762" s="297"/>
      <c r="AH762" s="295"/>
      <c r="AI762" s="293"/>
      <c r="AJ762" s="293"/>
      <c r="AK762" s="297"/>
      <c r="AL762" s="297"/>
      <c r="AM762" s="297"/>
      <c r="AN762" s="297"/>
      <c r="AO762" s="295"/>
    </row>
    <row r="763" spans="2:41" ht="13">
      <c r="B763" s="294"/>
      <c r="C763" s="295"/>
      <c r="D763" s="295"/>
      <c r="E763" s="294"/>
      <c r="F763" s="294"/>
      <c r="G763" s="295"/>
      <c r="H763" s="295"/>
      <c r="I763" s="295"/>
      <c r="J763" s="295"/>
      <c r="K763" s="295"/>
      <c r="L763" s="295"/>
      <c r="N763" s="296"/>
      <c r="O763" s="296"/>
      <c r="P763" s="297"/>
      <c r="Q763" s="297"/>
      <c r="R763" s="297"/>
      <c r="S763" s="297"/>
      <c r="T763" s="298"/>
      <c r="U763" s="296"/>
      <c r="V763" s="296"/>
      <c r="W763" s="297"/>
      <c r="X763" s="297"/>
      <c r="Y763" s="297"/>
      <c r="Z763" s="297"/>
      <c r="AA763" s="299"/>
      <c r="AB763" s="296"/>
      <c r="AC763" s="296"/>
      <c r="AD763" s="297"/>
      <c r="AE763" s="297"/>
      <c r="AF763" s="297"/>
      <c r="AG763" s="297"/>
      <c r="AH763" s="295"/>
      <c r="AI763" s="293"/>
      <c r="AJ763" s="293"/>
      <c r="AK763" s="297"/>
      <c r="AL763" s="297"/>
      <c r="AM763" s="297"/>
      <c r="AN763" s="297"/>
      <c r="AO763" s="295"/>
    </row>
    <row r="764" spans="2:41" ht="13">
      <c r="B764" s="294"/>
      <c r="C764" s="295"/>
      <c r="D764" s="295"/>
      <c r="E764" s="294"/>
      <c r="F764" s="294"/>
      <c r="G764" s="295"/>
      <c r="H764" s="295"/>
      <c r="I764" s="295"/>
      <c r="J764" s="295"/>
      <c r="K764" s="295"/>
      <c r="L764" s="295"/>
      <c r="N764" s="296"/>
      <c r="O764" s="296"/>
      <c r="P764" s="297"/>
      <c r="Q764" s="297"/>
      <c r="R764" s="297"/>
      <c r="S764" s="297"/>
      <c r="T764" s="298"/>
      <c r="U764" s="296"/>
      <c r="V764" s="296"/>
      <c r="W764" s="297"/>
      <c r="X764" s="297"/>
      <c r="Y764" s="297"/>
      <c r="Z764" s="297"/>
      <c r="AA764" s="299"/>
      <c r="AB764" s="296"/>
      <c r="AC764" s="296"/>
      <c r="AD764" s="297"/>
      <c r="AE764" s="297"/>
      <c r="AF764" s="297"/>
      <c r="AG764" s="297"/>
      <c r="AH764" s="295"/>
      <c r="AI764" s="293"/>
      <c r="AJ764" s="293"/>
      <c r="AK764" s="297"/>
      <c r="AL764" s="297"/>
      <c r="AM764" s="297"/>
      <c r="AN764" s="297"/>
      <c r="AO764" s="295"/>
    </row>
    <row r="765" spans="2:41" ht="13">
      <c r="B765" s="294"/>
      <c r="C765" s="295"/>
      <c r="D765" s="295"/>
      <c r="E765" s="294"/>
      <c r="F765" s="294"/>
      <c r="G765" s="295"/>
      <c r="H765" s="295"/>
      <c r="I765" s="295"/>
      <c r="J765" s="295"/>
      <c r="K765" s="295"/>
      <c r="L765" s="295"/>
      <c r="N765" s="296"/>
      <c r="O765" s="296"/>
      <c r="P765" s="297"/>
      <c r="Q765" s="297"/>
      <c r="R765" s="297"/>
      <c r="S765" s="297"/>
      <c r="T765" s="298"/>
      <c r="U765" s="296"/>
      <c r="V765" s="296"/>
      <c r="W765" s="297"/>
      <c r="X765" s="297"/>
      <c r="Y765" s="297"/>
      <c r="Z765" s="297"/>
      <c r="AA765" s="299"/>
      <c r="AB765" s="296"/>
      <c r="AC765" s="296"/>
      <c r="AD765" s="297"/>
      <c r="AE765" s="297"/>
      <c r="AF765" s="297"/>
      <c r="AG765" s="297"/>
      <c r="AH765" s="295"/>
      <c r="AI765" s="293"/>
      <c r="AJ765" s="293"/>
      <c r="AK765" s="297"/>
      <c r="AL765" s="297"/>
      <c r="AM765" s="297"/>
      <c r="AN765" s="297"/>
      <c r="AO765" s="295"/>
    </row>
    <row r="766" spans="2:41" ht="13">
      <c r="B766" s="294"/>
      <c r="C766" s="295"/>
      <c r="D766" s="295"/>
      <c r="E766" s="294"/>
      <c r="F766" s="294"/>
      <c r="G766" s="295"/>
      <c r="H766" s="295"/>
      <c r="I766" s="295"/>
      <c r="J766" s="295"/>
      <c r="K766" s="295"/>
      <c r="L766" s="295"/>
      <c r="N766" s="296"/>
      <c r="O766" s="296"/>
      <c r="P766" s="297"/>
      <c r="Q766" s="297"/>
      <c r="R766" s="297"/>
      <c r="S766" s="297"/>
      <c r="T766" s="298"/>
      <c r="U766" s="296"/>
      <c r="V766" s="296"/>
      <c r="W766" s="297"/>
      <c r="X766" s="297"/>
      <c r="Y766" s="297"/>
      <c r="Z766" s="297"/>
      <c r="AA766" s="299"/>
      <c r="AB766" s="296"/>
      <c r="AC766" s="296"/>
      <c r="AD766" s="297"/>
      <c r="AE766" s="297"/>
      <c r="AF766" s="297"/>
      <c r="AG766" s="297"/>
      <c r="AH766" s="295"/>
      <c r="AI766" s="293"/>
      <c r="AJ766" s="293"/>
      <c r="AK766" s="297"/>
      <c r="AL766" s="297"/>
      <c r="AM766" s="297"/>
      <c r="AN766" s="297"/>
      <c r="AO766" s="295"/>
    </row>
    <row r="767" spans="2:41" ht="13">
      <c r="B767" s="294"/>
      <c r="C767" s="295"/>
      <c r="D767" s="295"/>
      <c r="E767" s="294"/>
      <c r="F767" s="294"/>
      <c r="G767" s="295"/>
      <c r="H767" s="295"/>
      <c r="I767" s="295"/>
      <c r="J767" s="295"/>
      <c r="K767" s="295"/>
      <c r="L767" s="295"/>
      <c r="N767" s="296"/>
      <c r="O767" s="296"/>
      <c r="P767" s="297"/>
      <c r="Q767" s="297"/>
      <c r="R767" s="297"/>
      <c r="S767" s="297"/>
      <c r="T767" s="298"/>
      <c r="U767" s="296"/>
      <c r="V767" s="296"/>
      <c r="W767" s="297"/>
      <c r="X767" s="297"/>
      <c r="Y767" s="297"/>
      <c r="Z767" s="297"/>
      <c r="AA767" s="299"/>
      <c r="AB767" s="296"/>
      <c r="AC767" s="296"/>
      <c r="AD767" s="297"/>
      <c r="AE767" s="297"/>
      <c r="AF767" s="297"/>
      <c r="AG767" s="297"/>
      <c r="AH767" s="295"/>
      <c r="AI767" s="293"/>
      <c r="AJ767" s="293"/>
      <c r="AK767" s="297"/>
      <c r="AL767" s="297"/>
      <c r="AM767" s="297"/>
      <c r="AN767" s="297"/>
      <c r="AO767" s="295"/>
    </row>
    <row r="768" spans="2:41" ht="13">
      <c r="B768" s="294"/>
      <c r="C768" s="295"/>
      <c r="D768" s="295"/>
      <c r="E768" s="294"/>
      <c r="F768" s="294"/>
      <c r="G768" s="295"/>
      <c r="H768" s="295"/>
      <c r="I768" s="295"/>
      <c r="J768" s="295"/>
      <c r="K768" s="295"/>
      <c r="L768" s="295"/>
      <c r="N768" s="296"/>
      <c r="O768" s="296"/>
      <c r="P768" s="297"/>
      <c r="Q768" s="297"/>
      <c r="R768" s="297"/>
      <c r="S768" s="297"/>
      <c r="T768" s="298"/>
      <c r="U768" s="296"/>
      <c r="V768" s="296"/>
      <c r="W768" s="297"/>
      <c r="X768" s="297"/>
      <c r="Y768" s="297"/>
      <c r="Z768" s="297"/>
      <c r="AA768" s="299"/>
      <c r="AB768" s="296"/>
      <c r="AC768" s="296"/>
      <c r="AD768" s="297"/>
      <c r="AE768" s="297"/>
      <c r="AF768" s="297"/>
      <c r="AG768" s="297"/>
      <c r="AH768" s="295"/>
      <c r="AI768" s="293"/>
      <c r="AJ768" s="293"/>
      <c r="AK768" s="297"/>
      <c r="AL768" s="297"/>
      <c r="AM768" s="297"/>
      <c r="AN768" s="297"/>
      <c r="AO768" s="295"/>
    </row>
    <row r="769" spans="2:41" ht="13">
      <c r="B769" s="294"/>
      <c r="C769" s="295"/>
      <c r="D769" s="295"/>
      <c r="E769" s="294"/>
      <c r="F769" s="294"/>
      <c r="G769" s="295"/>
      <c r="H769" s="295"/>
      <c r="I769" s="295"/>
      <c r="J769" s="295"/>
      <c r="K769" s="295"/>
      <c r="L769" s="295"/>
      <c r="N769" s="296"/>
      <c r="O769" s="296"/>
      <c r="P769" s="297"/>
      <c r="Q769" s="297"/>
      <c r="R769" s="297"/>
      <c r="S769" s="297"/>
      <c r="T769" s="298"/>
      <c r="U769" s="296"/>
      <c r="V769" s="296"/>
      <c r="W769" s="297"/>
      <c r="X769" s="297"/>
      <c r="Y769" s="297"/>
      <c r="Z769" s="297"/>
      <c r="AA769" s="299"/>
      <c r="AB769" s="296"/>
      <c r="AC769" s="296"/>
      <c r="AD769" s="297"/>
      <c r="AE769" s="297"/>
      <c r="AF769" s="297"/>
      <c r="AG769" s="297"/>
      <c r="AH769" s="295"/>
      <c r="AI769" s="293"/>
      <c r="AJ769" s="293"/>
      <c r="AK769" s="297"/>
      <c r="AL769" s="297"/>
      <c r="AM769" s="297"/>
      <c r="AN769" s="297"/>
      <c r="AO769" s="295"/>
    </row>
    <row r="770" spans="2:41" ht="13">
      <c r="B770" s="294"/>
      <c r="C770" s="295"/>
      <c r="D770" s="295"/>
      <c r="E770" s="294"/>
      <c r="F770" s="294"/>
      <c r="G770" s="295"/>
      <c r="H770" s="295"/>
      <c r="I770" s="295"/>
      <c r="J770" s="295"/>
      <c r="K770" s="295"/>
      <c r="L770" s="295"/>
      <c r="N770" s="296"/>
      <c r="O770" s="296"/>
      <c r="P770" s="297"/>
      <c r="Q770" s="297"/>
      <c r="R770" s="297"/>
      <c r="S770" s="297"/>
      <c r="T770" s="298"/>
      <c r="U770" s="296"/>
      <c r="V770" s="296"/>
      <c r="W770" s="297"/>
      <c r="X770" s="297"/>
      <c r="Y770" s="297"/>
      <c r="Z770" s="297"/>
      <c r="AA770" s="299"/>
      <c r="AB770" s="296"/>
      <c r="AC770" s="296"/>
      <c r="AD770" s="297"/>
      <c r="AE770" s="297"/>
      <c r="AF770" s="297"/>
      <c r="AG770" s="297"/>
      <c r="AH770" s="295"/>
      <c r="AI770" s="293"/>
      <c r="AJ770" s="293"/>
      <c r="AK770" s="297"/>
      <c r="AL770" s="297"/>
      <c r="AM770" s="297"/>
      <c r="AN770" s="297"/>
      <c r="AO770" s="295"/>
    </row>
    <row r="771" spans="2:41" ht="13">
      <c r="B771" s="294"/>
      <c r="C771" s="295"/>
      <c r="D771" s="295"/>
      <c r="E771" s="294"/>
      <c r="F771" s="294"/>
      <c r="G771" s="295"/>
      <c r="H771" s="295"/>
      <c r="I771" s="295"/>
      <c r="J771" s="295"/>
      <c r="K771" s="295"/>
      <c r="L771" s="295"/>
      <c r="N771" s="296"/>
      <c r="O771" s="296"/>
      <c r="P771" s="297"/>
      <c r="Q771" s="297"/>
      <c r="R771" s="297"/>
      <c r="S771" s="297"/>
      <c r="T771" s="298"/>
      <c r="U771" s="296"/>
      <c r="V771" s="296"/>
      <c r="W771" s="297"/>
      <c r="X771" s="297"/>
      <c r="Y771" s="297"/>
      <c r="Z771" s="297"/>
      <c r="AA771" s="299"/>
      <c r="AB771" s="296"/>
      <c r="AC771" s="296"/>
      <c r="AD771" s="297"/>
      <c r="AE771" s="297"/>
      <c r="AF771" s="297"/>
      <c r="AG771" s="297"/>
      <c r="AH771" s="295"/>
      <c r="AI771" s="293"/>
      <c r="AJ771" s="293"/>
      <c r="AK771" s="297"/>
      <c r="AL771" s="297"/>
      <c r="AM771" s="297"/>
      <c r="AN771" s="297"/>
      <c r="AO771" s="295"/>
    </row>
    <row r="772" spans="2:41" ht="13">
      <c r="B772" s="294"/>
      <c r="C772" s="295"/>
      <c r="D772" s="295"/>
      <c r="E772" s="294"/>
      <c r="F772" s="294"/>
      <c r="G772" s="295"/>
      <c r="H772" s="295"/>
      <c r="I772" s="295"/>
      <c r="J772" s="295"/>
      <c r="K772" s="295"/>
      <c r="L772" s="295"/>
      <c r="N772" s="296"/>
      <c r="O772" s="296"/>
      <c r="P772" s="297"/>
      <c r="Q772" s="297"/>
      <c r="R772" s="297"/>
      <c r="S772" s="297"/>
      <c r="T772" s="298"/>
      <c r="U772" s="296"/>
      <c r="V772" s="296"/>
      <c r="W772" s="297"/>
      <c r="X772" s="297"/>
      <c r="Y772" s="297"/>
      <c r="Z772" s="297"/>
      <c r="AA772" s="299"/>
      <c r="AB772" s="296"/>
      <c r="AC772" s="296"/>
      <c r="AD772" s="297"/>
      <c r="AE772" s="297"/>
      <c r="AF772" s="297"/>
      <c r="AG772" s="297"/>
      <c r="AH772" s="295"/>
      <c r="AI772" s="293"/>
      <c r="AJ772" s="293"/>
      <c r="AK772" s="297"/>
      <c r="AL772" s="297"/>
      <c r="AM772" s="297"/>
      <c r="AN772" s="297"/>
      <c r="AO772" s="295"/>
    </row>
    <row r="773" spans="2:41" ht="13">
      <c r="B773" s="294"/>
      <c r="C773" s="295"/>
      <c r="D773" s="295"/>
      <c r="E773" s="294"/>
      <c r="F773" s="294"/>
      <c r="G773" s="295"/>
      <c r="H773" s="295"/>
      <c r="I773" s="295"/>
      <c r="J773" s="295"/>
      <c r="K773" s="295"/>
      <c r="L773" s="295"/>
      <c r="N773" s="296"/>
      <c r="O773" s="296"/>
      <c r="P773" s="297"/>
      <c r="Q773" s="297"/>
      <c r="R773" s="297"/>
      <c r="S773" s="297"/>
      <c r="T773" s="298"/>
      <c r="U773" s="296"/>
      <c r="V773" s="296"/>
      <c r="W773" s="297"/>
      <c r="X773" s="297"/>
      <c r="Y773" s="297"/>
      <c r="Z773" s="297"/>
      <c r="AA773" s="299"/>
      <c r="AB773" s="296"/>
      <c r="AC773" s="296"/>
      <c r="AD773" s="297"/>
      <c r="AE773" s="297"/>
      <c r="AF773" s="297"/>
      <c r="AG773" s="297"/>
      <c r="AH773" s="295"/>
      <c r="AI773" s="293"/>
      <c r="AJ773" s="293"/>
      <c r="AK773" s="297"/>
      <c r="AL773" s="297"/>
      <c r="AM773" s="297"/>
      <c r="AN773" s="297"/>
      <c r="AO773" s="295"/>
    </row>
    <row r="774" spans="2:41" ht="13">
      <c r="B774" s="294"/>
      <c r="C774" s="295"/>
      <c r="D774" s="295"/>
      <c r="E774" s="294"/>
      <c r="F774" s="294"/>
      <c r="G774" s="295"/>
      <c r="H774" s="295"/>
      <c r="I774" s="295"/>
      <c r="J774" s="295"/>
      <c r="K774" s="295"/>
      <c r="L774" s="295"/>
      <c r="N774" s="296"/>
      <c r="O774" s="296"/>
      <c r="P774" s="297"/>
      <c r="Q774" s="297"/>
      <c r="R774" s="297"/>
      <c r="S774" s="297"/>
      <c r="T774" s="298"/>
      <c r="U774" s="296"/>
      <c r="V774" s="296"/>
      <c r="W774" s="297"/>
      <c r="X774" s="297"/>
      <c r="Y774" s="297"/>
      <c r="Z774" s="297"/>
      <c r="AA774" s="299"/>
      <c r="AB774" s="296"/>
      <c r="AC774" s="296"/>
      <c r="AD774" s="297"/>
      <c r="AE774" s="297"/>
      <c r="AF774" s="297"/>
      <c r="AG774" s="297"/>
      <c r="AH774" s="295"/>
      <c r="AI774" s="293"/>
      <c r="AJ774" s="293"/>
      <c r="AK774" s="297"/>
      <c r="AL774" s="297"/>
      <c r="AM774" s="297"/>
      <c r="AN774" s="297"/>
      <c r="AO774" s="295"/>
    </row>
    <row r="775" spans="2:41" ht="13">
      <c r="B775" s="294"/>
      <c r="C775" s="295"/>
      <c r="D775" s="295"/>
      <c r="E775" s="294"/>
      <c r="F775" s="294"/>
      <c r="G775" s="295"/>
      <c r="H775" s="295"/>
      <c r="I775" s="295"/>
      <c r="J775" s="295"/>
      <c r="K775" s="295"/>
      <c r="L775" s="295"/>
      <c r="N775" s="296"/>
      <c r="O775" s="296"/>
      <c r="P775" s="297"/>
      <c r="Q775" s="297"/>
      <c r="R775" s="297"/>
      <c r="S775" s="297"/>
      <c r="T775" s="298"/>
      <c r="U775" s="296"/>
      <c r="V775" s="296"/>
      <c r="W775" s="297"/>
      <c r="X775" s="297"/>
      <c r="Y775" s="297"/>
      <c r="Z775" s="297"/>
      <c r="AA775" s="299"/>
      <c r="AB775" s="296"/>
      <c r="AC775" s="296"/>
      <c r="AD775" s="297"/>
      <c r="AE775" s="297"/>
      <c r="AF775" s="297"/>
      <c r="AG775" s="297"/>
      <c r="AH775" s="295"/>
      <c r="AI775" s="293"/>
      <c r="AJ775" s="293"/>
      <c r="AK775" s="297"/>
      <c r="AL775" s="297"/>
      <c r="AM775" s="297"/>
      <c r="AN775" s="297"/>
      <c r="AO775" s="295"/>
    </row>
    <row r="776" spans="2:41" ht="13">
      <c r="B776" s="294"/>
      <c r="C776" s="295"/>
      <c r="D776" s="295"/>
      <c r="E776" s="294"/>
      <c r="F776" s="294"/>
      <c r="G776" s="295"/>
      <c r="H776" s="295"/>
      <c r="I776" s="295"/>
      <c r="J776" s="295"/>
      <c r="K776" s="295"/>
      <c r="L776" s="295"/>
      <c r="N776" s="296"/>
      <c r="O776" s="296"/>
      <c r="P776" s="297"/>
      <c r="Q776" s="297"/>
      <c r="R776" s="297"/>
      <c r="S776" s="297"/>
      <c r="T776" s="298"/>
      <c r="U776" s="296"/>
      <c r="V776" s="296"/>
      <c r="W776" s="297"/>
      <c r="X776" s="297"/>
      <c r="Y776" s="297"/>
      <c r="Z776" s="297"/>
      <c r="AA776" s="299"/>
      <c r="AB776" s="296"/>
      <c r="AC776" s="296"/>
      <c r="AD776" s="297"/>
      <c r="AE776" s="297"/>
      <c r="AF776" s="297"/>
      <c r="AG776" s="297"/>
      <c r="AH776" s="295"/>
      <c r="AI776" s="293"/>
      <c r="AJ776" s="293"/>
      <c r="AK776" s="297"/>
      <c r="AL776" s="297"/>
      <c r="AM776" s="297"/>
      <c r="AN776" s="297"/>
      <c r="AO776" s="295"/>
    </row>
    <row r="777" spans="2:41" ht="13">
      <c r="B777" s="294"/>
      <c r="C777" s="295"/>
      <c r="D777" s="295"/>
      <c r="E777" s="294"/>
      <c r="F777" s="294"/>
      <c r="G777" s="295"/>
      <c r="H777" s="295"/>
      <c r="I777" s="295"/>
      <c r="J777" s="295"/>
      <c r="K777" s="295"/>
      <c r="L777" s="295"/>
      <c r="N777" s="296"/>
      <c r="O777" s="296"/>
      <c r="P777" s="297"/>
      <c r="Q777" s="297"/>
      <c r="R777" s="297"/>
      <c r="S777" s="297"/>
      <c r="T777" s="298"/>
      <c r="U777" s="296"/>
      <c r="V777" s="296"/>
      <c r="W777" s="297"/>
      <c r="X777" s="297"/>
      <c r="Y777" s="297"/>
      <c r="Z777" s="297"/>
      <c r="AA777" s="299"/>
      <c r="AB777" s="296"/>
      <c r="AC777" s="296"/>
      <c r="AD777" s="297"/>
      <c r="AE777" s="297"/>
      <c r="AF777" s="297"/>
      <c r="AG777" s="297"/>
      <c r="AH777" s="295"/>
      <c r="AI777" s="293"/>
      <c r="AJ777" s="293"/>
      <c r="AK777" s="297"/>
      <c r="AL777" s="297"/>
      <c r="AM777" s="297"/>
      <c r="AN777" s="297"/>
      <c r="AO777" s="295"/>
    </row>
    <row r="778" spans="2:41" ht="13">
      <c r="B778" s="294"/>
      <c r="C778" s="295"/>
      <c r="D778" s="295"/>
      <c r="E778" s="294"/>
      <c r="F778" s="294"/>
      <c r="G778" s="295"/>
      <c r="H778" s="295"/>
      <c r="I778" s="295"/>
      <c r="J778" s="295"/>
      <c r="K778" s="295"/>
      <c r="L778" s="295"/>
      <c r="N778" s="296"/>
      <c r="O778" s="296"/>
      <c r="P778" s="297"/>
      <c r="Q778" s="297"/>
      <c r="R778" s="297"/>
      <c r="S778" s="297"/>
      <c r="T778" s="298"/>
      <c r="U778" s="296"/>
      <c r="V778" s="296"/>
      <c r="W778" s="297"/>
      <c r="X778" s="297"/>
      <c r="Y778" s="297"/>
      <c r="Z778" s="297"/>
      <c r="AA778" s="299"/>
      <c r="AB778" s="296"/>
      <c r="AC778" s="296"/>
      <c r="AD778" s="297"/>
      <c r="AE778" s="297"/>
      <c r="AF778" s="297"/>
      <c r="AG778" s="297"/>
      <c r="AH778" s="295"/>
      <c r="AI778" s="293"/>
      <c r="AJ778" s="293"/>
      <c r="AK778" s="297"/>
      <c r="AL778" s="297"/>
      <c r="AM778" s="297"/>
      <c r="AN778" s="297"/>
      <c r="AO778" s="295"/>
    </row>
    <row r="779" spans="2:41" ht="13">
      <c r="B779" s="294"/>
      <c r="C779" s="295"/>
      <c r="D779" s="295"/>
      <c r="E779" s="294"/>
      <c r="F779" s="294"/>
      <c r="G779" s="295"/>
      <c r="H779" s="295"/>
      <c r="I779" s="295"/>
      <c r="J779" s="295"/>
      <c r="K779" s="295"/>
      <c r="L779" s="295"/>
      <c r="N779" s="296"/>
      <c r="O779" s="296"/>
      <c r="P779" s="297"/>
      <c r="Q779" s="297"/>
      <c r="R779" s="297"/>
      <c r="S779" s="297"/>
      <c r="T779" s="298"/>
      <c r="U779" s="296"/>
      <c r="V779" s="296"/>
      <c r="W779" s="297"/>
      <c r="X779" s="297"/>
      <c r="Y779" s="297"/>
      <c r="Z779" s="297"/>
      <c r="AA779" s="299"/>
      <c r="AB779" s="296"/>
      <c r="AC779" s="296"/>
      <c r="AD779" s="297"/>
      <c r="AE779" s="297"/>
      <c r="AF779" s="297"/>
      <c r="AG779" s="297"/>
      <c r="AH779" s="295"/>
      <c r="AI779" s="293"/>
      <c r="AJ779" s="293"/>
      <c r="AK779" s="297"/>
      <c r="AL779" s="297"/>
      <c r="AM779" s="297"/>
      <c r="AN779" s="297"/>
      <c r="AO779" s="295"/>
    </row>
    <row r="780" spans="2:41" ht="13">
      <c r="B780" s="294"/>
      <c r="C780" s="295"/>
      <c r="D780" s="295"/>
      <c r="E780" s="294"/>
      <c r="F780" s="294"/>
      <c r="G780" s="295"/>
      <c r="H780" s="295"/>
      <c r="I780" s="295"/>
      <c r="J780" s="295"/>
      <c r="K780" s="295"/>
      <c r="L780" s="295"/>
      <c r="N780" s="296"/>
      <c r="O780" s="296"/>
      <c r="P780" s="297"/>
      <c r="Q780" s="297"/>
      <c r="R780" s="297"/>
      <c r="S780" s="297"/>
      <c r="T780" s="298"/>
      <c r="U780" s="296"/>
      <c r="V780" s="296"/>
      <c r="W780" s="297"/>
      <c r="X780" s="297"/>
      <c r="Y780" s="297"/>
      <c r="Z780" s="297"/>
      <c r="AA780" s="299"/>
      <c r="AB780" s="296"/>
      <c r="AC780" s="296"/>
      <c r="AD780" s="297"/>
      <c r="AE780" s="297"/>
      <c r="AF780" s="297"/>
      <c r="AG780" s="297"/>
      <c r="AH780" s="295"/>
      <c r="AI780" s="293"/>
      <c r="AJ780" s="293"/>
      <c r="AK780" s="297"/>
      <c r="AL780" s="297"/>
      <c r="AM780" s="297"/>
      <c r="AN780" s="297"/>
      <c r="AO780" s="295"/>
    </row>
    <row r="781" spans="2:41" ht="13">
      <c r="B781" s="294"/>
      <c r="C781" s="295"/>
      <c r="D781" s="295"/>
      <c r="E781" s="294"/>
      <c r="F781" s="294"/>
      <c r="G781" s="295"/>
      <c r="H781" s="295"/>
      <c r="I781" s="295"/>
      <c r="J781" s="295"/>
      <c r="K781" s="295"/>
      <c r="L781" s="295"/>
      <c r="N781" s="296"/>
      <c r="O781" s="296"/>
      <c r="P781" s="297"/>
      <c r="Q781" s="297"/>
      <c r="R781" s="297"/>
      <c r="S781" s="297"/>
      <c r="T781" s="298"/>
      <c r="U781" s="296"/>
      <c r="V781" s="296"/>
      <c r="W781" s="297"/>
      <c r="X781" s="297"/>
      <c r="Y781" s="297"/>
      <c r="Z781" s="297"/>
      <c r="AA781" s="299"/>
      <c r="AB781" s="296"/>
      <c r="AC781" s="296"/>
      <c r="AD781" s="297"/>
      <c r="AE781" s="297"/>
      <c r="AF781" s="297"/>
      <c r="AG781" s="297"/>
      <c r="AH781" s="295"/>
      <c r="AI781" s="293"/>
      <c r="AJ781" s="293"/>
      <c r="AK781" s="297"/>
      <c r="AL781" s="297"/>
      <c r="AM781" s="297"/>
      <c r="AN781" s="297"/>
      <c r="AO781" s="295"/>
    </row>
    <row r="782" spans="2:41" ht="13">
      <c r="B782" s="294"/>
      <c r="C782" s="295"/>
      <c r="D782" s="295"/>
      <c r="E782" s="294"/>
      <c r="F782" s="294"/>
      <c r="G782" s="295"/>
      <c r="H782" s="295"/>
      <c r="I782" s="295"/>
      <c r="J782" s="295"/>
      <c r="K782" s="295"/>
      <c r="L782" s="295"/>
      <c r="N782" s="296"/>
      <c r="O782" s="296"/>
      <c r="P782" s="297"/>
      <c r="Q782" s="297"/>
      <c r="R782" s="297"/>
      <c r="S782" s="297"/>
      <c r="T782" s="298"/>
      <c r="U782" s="296"/>
      <c r="V782" s="296"/>
      <c r="W782" s="297"/>
      <c r="X782" s="297"/>
      <c r="Y782" s="297"/>
      <c r="Z782" s="297"/>
      <c r="AA782" s="299"/>
      <c r="AB782" s="296"/>
      <c r="AC782" s="296"/>
      <c r="AD782" s="297"/>
      <c r="AE782" s="297"/>
      <c r="AF782" s="297"/>
      <c r="AG782" s="297"/>
      <c r="AH782" s="295"/>
      <c r="AI782" s="293"/>
      <c r="AJ782" s="293"/>
      <c r="AK782" s="297"/>
      <c r="AL782" s="297"/>
      <c r="AM782" s="297"/>
      <c r="AN782" s="297"/>
      <c r="AO782" s="295"/>
    </row>
    <row r="783" spans="2:41" ht="13">
      <c r="B783" s="294"/>
      <c r="C783" s="295"/>
      <c r="D783" s="295"/>
      <c r="E783" s="294"/>
      <c r="F783" s="294"/>
      <c r="G783" s="295"/>
      <c r="H783" s="295"/>
      <c r="I783" s="295"/>
      <c r="J783" s="295"/>
      <c r="K783" s="295"/>
      <c r="L783" s="295"/>
      <c r="N783" s="296"/>
      <c r="O783" s="296"/>
      <c r="P783" s="297"/>
      <c r="Q783" s="297"/>
      <c r="R783" s="297"/>
      <c r="S783" s="297"/>
      <c r="T783" s="298"/>
      <c r="U783" s="296"/>
      <c r="V783" s="296"/>
      <c r="W783" s="297"/>
      <c r="X783" s="297"/>
      <c r="Y783" s="297"/>
      <c r="Z783" s="297"/>
      <c r="AA783" s="299"/>
      <c r="AB783" s="296"/>
      <c r="AC783" s="296"/>
      <c r="AD783" s="297"/>
      <c r="AE783" s="297"/>
      <c r="AF783" s="297"/>
      <c r="AG783" s="297"/>
      <c r="AH783" s="295"/>
      <c r="AI783" s="293"/>
      <c r="AJ783" s="293"/>
      <c r="AK783" s="297"/>
      <c r="AL783" s="297"/>
      <c r="AM783" s="297"/>
      <c r="AN783" s="297"/>
      <c r="AO783" s="295"/>
    </row>
    <row r="784" spans="2:41" ht="13">
      <c r="B784" s="294"/>
      <c r="C784" s="295"/>
      <c r="D784" s="295"/>
      <c r="E784" s="294"/>
      <c r="F784" s="294"/>
      <c r="G784" s="295"/>
      <c r="H784" s="295"/>
      <c r="I784" s="295"/>
      <c r="J784" s="295"/>
      <c r="K784" s="295"/>
      <c r="L784" s="295"/>
      <c r="N784" s="296"/>
      <c r="O784" s="296"/>
      <c r="P784" s="297"/>
      <c r="Q784" s="297"/>
      <c r="R784" s="297"/>
      <c r="S784" s="297"/>
      <c r="T784" s="298"/>
      <c r="U784" s="296"/>
      <c r="V784" s="296"/>
      <c r="W784" s="297"/>
      <c r="X784" s="297"/>
      <c r="Y784" s="297"/>
      <c r="Z784" s="297"/>
      <c r="AA784" s="299"/>
      <c r="AB784" s="296"/>
      <c r="AC784" s="296"/>
      <c r="AD784" s="297"/>
      <c r="AE784" s="297"/>
      <c r="AF784" s="297"/>
      <c r="AG784" s="297"/>
      <c r="AH784" s="295"/>
      <c r="AI784" s="293"/>
      <c r="AJ784" s="293"/>
      <c r="AK784" s="297"/>
      <c r="AL784" s="297"/>
      <c r="AM784" s="297"/>
      <c r="AN784" s="297"/>
      <c r="AO784" s="295"/>
    </row>
    <row r="785" spans="2:41" ht="13">
      <c r="B785" s="294"/>
      <c r="C785" s="295"/>
      <c r="D785" s="295"/>
      <c r="E785" s="294"/>
      <c r="F785" s="294"/>
      <c r="G785" s="295"/>
      <c r="H785" s="295"/>
      <c r="I785" s="295"/>
      <c r="J785" s="295"/>
      <c r="K785" s="295"/>
      <c r="L785" s="295"/>
      <c r="N785" s="296"/>
      <c r="O785" s="296"/>
      <c r="P785" s="297"/>
      <c r="Q785" s="297"/>
      <c r="R785" s="297"/>
      <c r="S785" s="297"/>
      <c r="T785" s="298"/>
      <c r="U785" s="296"/>
      <c r="V785" s="296"/>
      <c r="W785" s="297"/>
      <c r="X785" s="297"/>
      <c r="Y785" s="297"/>
      <c r="Z785" s="297"/>
      <c r="AA785" s="299"/>
      <c r="AB785" s="296"/>
      <c r="AC785" s="296"/>
      <c r="AD785" s="297"/>
      <c r="AE785" s="297"/>
      <c r="AF785" s="297"/>
      <c r="AG785" s="297"/>
      <c r="AH785" s="295"/>
      <c r="AI785" s="293"/>
      <c r="AJ785" s="293"/>
      <c r="AK785" s="297"/>
      <c r="AL785" s="297"/>
      <c r="AM785" s="297"/>
      <c r="AN785" s="297"/>
      <c r="AO785" s="295"/>
    </row>
    <row r="786" spans="2:41" ht="13">
      <c r="B786" s="294"/>
      <c r="C786" s="295"/>
      <c r="D786" s="295"/>
      <c r="E786" s="294"/>
      <c r="F786" s="294"/>
      <c r="G786" s="295"/>
      <c r="H786" s="295"/>
      <c r="I786" s="295"/>
      <c r="J786" s="295"/>
      <c r="K786" s="295"/>
      <c r="L786" s="295"/>
      <c r="N786" s="296"/>
      <c r="O786" s="296"/>
      <c r="P786" s="297"/>
      <c r="Q786" s="297"/>
      <c r="R786" s="297"/>
      <c r="S786" s="297"/>
      <c r="T786" s="298"/>
      <c r="U786" s="296"/>
      <c r="V786" s="296"/>
      <c r="W786" s="297"/>
      <c r="X786" s="297"/>
      <c r="Y786" s="297"/>
      <c r="Z786" s="297"/>
      <c r="AA786" s="299"/>
      <c r="AB786" s="296"/>
      <c r="AC786" s="296"/>
      <c r="AD786" s="297"/>
      <c r="AE786" s="297"/>
      <c r="AF786" s="297"/>
      <c r="AG786" s="297"/>
      <c r="AH786" s="295"/>
      <c r="AI786" s="293"/>
      <c r="AJ786" s="293"/>
      <c r="AK786" s="297"/>
      <c r="AL786" s="297"/>
      <c r="AM786" s="297"/>
      <c r="AN786" s="297"/>
      <c r="AO786" s="295"/>
    </row>
    <row r="787" spans="2:41" ht="13">
      <c r="B787" s="294"/>
      <c r="C787" s="295"/>
      <c r="D787" s="295"/>
      <c r="E787" s="294"/>
      <c r="F787" s="294"/>
      <c r="G787" s="295"/>
      <c r="H787" s="295"/>
      <c r="I787" s="295"/>
      <c r="J787" s="295"/>
      <c r="K787" s="295"/>
      <c r="L787" s="295"/>
      <c r="N787" s="296"/>
      <c r="O787" s="296"/>
      <c r="P787" s="297"/>
      <c r="Q787" s="297"/>
      <c r="R787" s="297"/>
      <c r="S787" s="297"/>
      <c r="T787" s="298"/>
      <c r="U787" s="296"/>
      <c r="V787" s="296"/>
      <c r="W787" s="297"/>
      <c r="X787" s="297"/>
      <c r="Y787" s="297"/>
      <c r="Z787" s="297"/>
      <c r="AA787" s="299"/>
      <c r="AB787" s="296"/>
      <c r="AC787" s="296"/>
      <c r="AD787" s="297"/>
      <c r="AE787" s="297"/>
      <c r="AF787" s="297"/>
      <c r="AG787" s="297"/>
      <c r="AH787" s="295"/>
      <c r="AI787" s="293"/>
      <c r="AJ787" s="293"/>
      <c r="AK787" s="297"/>
      <c r="AL787" s="297"/>
      <c r="AM787" s="297"/>
      <c r="AN787" s="297"/>
      <c r="AO787" s="295"/>
    </row>
    <row r="788" spans="2:41" ht="13">
      <c r="B788" s="294"/>
      <c r="C788" s="295"/>
      <c r="D788" s="295"/>
      <c r="E788" s="294"/>
      <c r="F788" s="294"/>
      <c r="G788" s="295"/>
      <c r="H788" s="295"/>
      <c r="I788" s="295"/>
      <c r="J788" s="295"/>
      <c r="K788" s="295"/>
      <c r="L788" s="295"/>
      <c r="N788" s="296"/>
      <c r="O788" s="296"/>
      <c r="P788" s="297"/>
      <c r="Q788" s="297"/>
      <c r="R788" s="297"/>
      <c r="S788" s="297"/>
      <c r="T788" s="298"/>
      <c r="U788" s="296"/>
      <c r="V788" s="296"/>
      <c r="W788" s="297"/>
      <c r="X788" s="297"/>
      <c r="Y788" s="297"/>
      <c r="Z788" s="297"/>
      <c r="AA788" s="299"/>
      <c r="AB788" s="296"/>
      <c r="AC788" s="296"/>
      <c r="AD788" s="297"/>
      <c r="AE788" s="297"/>
      <c r="AF788" s="297"/>
      <c r="AG788" s="297"/>
      <c r="AH788" s="295"/>
      <c r="AI788" s="293"/>
      <c r="AJ788" s="293"/>
      <c r="AK788" s="297"/>
      <c r="AL788" s="297"/>
      <c r="AM788" s="297"/>
      <c r="AN788" s="297"/>
      <c r="AO788" s="295"/>
    </row>
    <row r="789" spans="2:41" ht="13">
      <c r="B789" s="294"/>
      <c r="C789" s="295"/>
      <c r="D789" s="295"/>
      <c r="E789" s="294"/>
      <c r="F789" s="294"/>
      <c r="G789" s="295"/>
      <c r="H789" s="295"/>
      <c r="I789" s="295"/>
      <c r="J789" s="295"/>
      <c r="K789" s="295"/>
      <c r="L789" s="295"/>
      <c r="N789" s="296"/>
      <c r="O789" s="296"/>
      <c r="P789" s="297"/>
      <c r="Q789" s="297"/>
      <c r="R789" s="297"/>
      <c r="S789" s="297"/>
      <c r="T789" s="298"/>
      <c r="U789" s="296"/>
      <c r="V789" s="296"/>
      <c r="W789" s="297"/>
      <c r="X789" s="297"/>
      <c r="Y789" s="297"/>
      <c r="Z789" s="297"/>
      <c r="AA789" s="299"/>
      <c r="AB789" s="296"/>
      <c r="AC789" s="296"/>
      <c r="AD789" s="297"/>
      <c r="AE789" s="297"/>
      <c r="AF789" s="297"/>
      <c r="AG789" s="297"/>
      <c r="AH789" s="295"/>
      <c r="AI789" s="293"/>
      <c r="AJ789" s="293"/>
      <c r="AK789" s="297"/>
      <c r="AL789" s="297"/>
      <c r="AM789" s="297"/>
      <c r="AN789" s="297"/>
      <c r="AO789" s="295"/>
    </row>
    <row r="790" spans="2:41" ht="13">
      <c r="B790" s="294"/>
      <c r="C790" s="295"/>
      <c r="D790" s="295"/>
      <c r="E790" s="294"/>
      <c r="F790" s="294"/>
      <c r="G790" s="295"/>
      <c r="H790" s="295"/>
      <c r="I790" s="295"/>
      <c r="J790" s="295"/>
      <c r="K790" s="295"/>
      <c r="L790" s="295"/>
      <c r="N790" s="296"/>
      <c r="O790" s="296"/>
      <c r="P790" s="297"/>
      <c r="Q790" s="297"/>
      <c r="R790" s="297"/>
      <c r="S790" s="297"/>
      <c r="T790" s="298"/>
      <c r="U790" s="296"/>
      <c r="V790" s="296"/>
      <c r="W790" s="297"/>
      <c r="X790" s="297"/>
      <c r="Y790" s="297"/>
      <c r="Z790" s="297"/>
      <c r="AA790" s="299"/>
      <c r="AB790" s="296"/>
      <c r="AC790" s="296"/>
      <c r="AD790" s="297"/>
      <c r="AE790" s="297"/>
      <c r="AF790" s="297"/>
      <c r="AG790" s="297"/>
      <c r="AH790" s="295"/>
      <c r="AI790" s="293"/>
      <c r="AJ790" s="293"/>
      <c r="AK790" s="297"/>
      <c r="AL790" s="297"/>
      <c r="AM790" s="297"/>
      <c r="AN790" s="297"/>
      <c r="AO790" s="295"/>
    </row>
    <row r="791" spans="2:41" ht="13">
      <c r="B791" s="294"/>
      <c r="C791" s="295"/>
      <c r="D791" s="295"/>
      <c r="E791" s="294"/>
      <c r="F791" s="294"/>
      <c r="G791" s="295"/>
      <c r="H791" s="295"/>
      <c r="I791" s="295"/>
      <c r="J791" s="295"/>
      <c r="K791" s="295"/>
      <c r="L791" s="295"/>
      <c r="N791" s="296"/>
      <c r="O791" s="296"/>
      <c r="P791" s="297"/>
      <c r="Q791" s="297"/>
      <c r="R791" s="297"/>
      <c r="S791" s="297"/>
      <c r="T791" s="298"/>
      <c r="U791" s="296"/>
      <c r="V791" s="296"/>
      <c r="W791" s="297"/>
      <c r="X791" s="297"/>
      <c r="Y791" s="297"/>
      <c r="Z791" s="297"/>
      <c r="AA791" s="299"/>
      <c r="AB791" s="296"/>
      <c r="AC791" s="296"/>
      <c r="AD791" s="297"/>
      <c r="AE791" s="297"/>
      <c r="AF791" s="297"/>
      <c r="AG791" s="297"/>
      <c r="AH791" s="295"/>
      <c r="AI791" s="293"/>
      <c r="AJ791" s="293"/>
      <c r="AK791" s="297"/>
      <c r="AL791" s="297"/>
      <c r="AM791" s="297"/>
      <c r="AN791" s="297"/>
      <c r="AO791" s="295"/>
    </row>
    <row r="792" spans="2:41" ht="13">
      <c r="B792" s="294"/>
      <c r="C792" s="295"/>
      <c r="D792" s="295"/>
      <c r="E792" s="294"/>
      <c r="F792" s="294"/>
      <c r="G792" s="295"/>
      <c r="H792" s="295"/>
      <c r="I792" s="295"/>
      <c r="J792" s="295"/>
      <c r="K792" s="295"/>
      <c r="L792" s="295"/>
      <c r="N792" s="296"/>
      <c r="O792" s="296"/>
      <c r="P792" s="297"/>
      <c r="Q792" s="297"/>
      <c r="R792" s="297"/>
      <c r="S792" s="297"/>
      <c r="T792" s="298"/>
      <c r="U792" s="296"/>
      <c r="V792" s="296"/>
      <c r="W792" s="297"/>
      <c r="X792" s="297"/>
      <c r="Y792" s="297"/>
      <c r="Z792" s="297"/>
      <c r="AA792" s="299"/>
      <c r="AB792" s="296"/>
      <c r="AC792" s="296"/>
      <c r="AD792" s="297"/>
      <c r="AE792" s="297"/>
      <c r="AF792" s="297"/>
      <c r="AG792" s="297"/>
      <c r="AH792" s="295"/>
      <c r="AI792" s="293"/>
      <c r="AJ792" s="293"/>
      <c r="AK792" s="297"/>
      <c r="AL792" s="297"/>
      <c r="AM792" s="297"/>
      <c r="AN792" s="297"/>
      <c r="AO792" s="295"/>
    </row>
    <row r="793" spans="2:41" ht="13">
      <c r="B793" s="294"/>
      <c r="C793" s="295"/>
      <c r="D793" s="295"/>
      <c r="E793" s="294"/>
      <c r="F793" s="294"/>
      <c r="G793" s="295"/>
      <c r="H793" s="295"/>
      <c r="I793" s="295"/>
      <c r="J793" s="295"/>
      <c r="K793" s="295"/>
      <c r="L793" s="295"/>
      <c r="N793" s="296"/>
      <c r="O793" s="296"/>
      <c r="P793" s="297"/>
      <c r="Q793" s="297"/>
      <c r="R793" s="297"/>
      <c r="S793" s="297"/>
      <c r="T793" s="298"/>
      <c r="U793" s="296"/>
      <c r="V793" s="296"/>
      <c r="W793" s="297"/>
      <c r="X793" s="297"/>
      <c r="Y793" s="297"/>
      <c r="Z793" s="297"/>
      <c r="AA793" s="299"/>
      <c r="AB793" s="296"/>
      <c r="AC793" s="296"/>
      <c r="AD793" s="297"/>
      <c r="AE793" s="297"/>
      <c r="AF793" s="297"/>
      <c r="AG793" s="297"/>
      <c r="AH793" s="295"/>
      <c r="AI793" s="293"/>
      <c r="AJ793" s="293"/>
      <c r="AK793" s="297"/>
      <c r="AL793" s="297"/>
      <c r="AM793" s="297"/>
      <c r="AN793" s="297"/>
      <c r="AO793" s="295"/>
    </row>
    <row r="794" spans="2:41" ht="13">
      <c r="B794" s="294"/>
      <c r="C794" s="295"/>
      <c r="D794" s="295"/>
      <c r="E794" s="294"/>
      <c r="F794" s="294"/>
      <c r="G794" s="295"/>
      <c r="H794" s="295"/>
      <c r="I794" s="295"/>
      <c r="J794" s="295"/>
      <c r="K794" s="295"/>
      <c r="L794" s="295"/>
      <c r="N794" s="296"/>
      <c r="O794" s="296"/>
      <c r="P794" s="297"/>
      <c r="Q794" s="297"/>
      <c r="R794" s="297"/>
      <c r="S794" s="297"/>
      <c r="T794" s="298"/>
      <c r="U794" s="296"/>
      <c r="V794" s="296"/>
      <c r="W794" s="297"/>
      <c r="X794" s="297"/>
      <c r="Y794" s="297"/>
      <c r="Z794" s="297"/>
      <c r="AA794" s="299"/>
      <c r="AB794" s="296"/>
      <c r="AC794" s="296"/>
      <c r="AD794" s="297"/>
      <c r="AE794" s="297"/>
      <c r="AF794" s="297"/>
      <c r="AG794" s="297"/>
      <c r="AH794" s="295"/>
      <c r="AI794" s="293"/>
      <c r="AJ794" s="293"/>
      <c r="AK794" s="297"/>
      <c r="AL794" s="297"/>
      <c r="AM794" s="297"/>
      <c r="AN794" s="297"/>
      <c r="AO794" s="295"/>
    </row>
    <row r="795" spans="2:41" ht="13">
      <c r="B795" s="294"/>
      <c r="C795" s="295"/>
      <c r="D795" s="295"/>
      <c r="E795" s="294"/>
      <c r="F795" s="294"/>
      <c r="G795" s="295"/>
      <c r="H795" s="295"/>
      <c r="I795" s="295"/>
      <c r="J795" s="295"/>
      <c r="K795" s="295"/>
      <c r="L795" s="295"/>
      <c r="N795" s="296"/>
      <c r="O795" s="296"/>
      <c r="P795" s="297"/>
      <c r="Q795" s="297"/>
      <c r="R795" s="297"/>
      <c r="S795" s="297"/>
      <c r="T795" s="298"/>
      <c r="U795" s="296"/>
      <c r="V795" s="296"/>
      <c r="W795" s="297"/>
      <c r="X795" s="297"/>
      <c r="Y795" s="297"/>
      <c r="Z795" s="297"/>
      <c r="AA795" s="299"/>
      <c r="AB795" s="296"/>
      <c r="AC795" s="296"/>
      <c r="AD795" s="297"/>
      <c r="AE795" s="297"/>
      <c r="AF795" s="297"/>
      <c r="AG795" s="297"/>
      <c r="AH795" s="295"/>
      <c r="AI795" s="293"/>
      <c r="AJ795" s="293"/>
      <c r="AK795" s="297"/>
      <c r="AL795" s="297"/>
      <c r="AM795" s="297"/>
      <c r="AN795" s="297"/>
      <c r="AO795" s="295"/>
    </row>
    <row r="796" spans="2:41" ht="13">
      <c r="B796" s="294"/>
      <c r="C796" s="295"/>
      <c r="D796" s="295"/>
      <c r="E796" s="294"/>
      <c r="F796" s="294"/>
      <c r="G796" s="295"/>
      <c r="H796" s="295"/>
      <c r="I796" s="295"/>
      <c r="J796" s="295"/>
      <c r="K796" s="295"/>
      <c r="L796" s="295"/>
      <c r="N796" s="296"/>
      <c r="O796" s="296"/>
      <c r="P796" s="297"/>
      <c r="Q796" s="297"/>
      <c r="R796" s="297"/>
      <c r="S796" s="297"/>
      <c r="T796" s="298"/>
      <c r="U796" s="296"/>
      <c r="V796" s="296"/>
      <c r="W796" s="297"/>
      <c r="X796" s="297"/>
      <c r="Y796" s="297"/>
      <c r="Z796" s="297"/>
      <c r="AA796" s="299"/>
      <c r="AB796" s="296"/>
      <c r="AC796" s="296"/>
      <c r="AD796" s="297"/>
      <c r="AE796" s="297"/>
      <c r="AF796" s="297"/>
      <c r="AG796" s="297"/>
      <c r="AH796" s="295"/>
      <c r="AI796" s="293"/>
      <c r="AJ796" s="293"/>
      <c r="AK796" s="297"/>
      <c r="AL796" s="297"/>
      <c r="AM796" s="297"/>
      <c r="AN796" s="297"/>
      <c r="AO796" s="295"/>
    </row>
    <row r="797" spans="2:41" ht="13">
      <c r="B797" s="294"/>
      <c r="C797" s="295"/>
      <c r="D797" s="295"/>
      <c r="E797" s="294"/>
      <c r="F797" s="294"/>
      <c r="G797" s="295"/>
      <c r="H797" s="295"/>
      <c r="I797" s="295"/>
      <c r="J797" s="295"/>
      <c r="K797" s="295"/>
      <c r="L797" s="295"/>
      <c r="N797" s="296"/>
      <c r="O797" s="296"/>
      <c r="P797" s="297"/>
      <c r="Q797" s="297"/>
      <c r="R797" s="297"/>
      <c r="S797" s="297"/>
      <c r="T797" s="298"/>
      <c r="U797" s="296"/>
      <c r="V797" s="296"/>
      <c r="W797" s="297"/>
      <c r="X797" s="297"/>
      <c r="Y797" s="297"/>
      <c r="Z797" s="297"/>
      <c r="AA797" s="299"/>
      <c r="AB797" s="296"/>
      <c r="AC797" s="296"/>
      <c r="AD797" s="297"/>
      <c r="AE797" s="297"/>
      <c r="AF797" s="297"/>
      <c r="AG797" s="297"/>
      <c r="AH797" s="295"/>
      <c r="AI797" s="293"/>
      <c r="AJ797" s="293"/>
      <c r="AK797" s="297"/>
      <c r="AL797" s="297"/>
      <c r="AM797" s="297"/>
      <c r="AN797" s="297"/>
      <c r="AO797" s="295"/>
    </row>
    <row r="798" spans="2:41" ht="13">
      <c r="B798" s="294"/>
      <c r="C798" s="295"/>
      <c r="D798" s="295"/>
      <c r="E798" s="294"/>
      <c r="F798" s="294"/>
      <c r="G798" s="295"/>
      <c r="H798" s="295"/>
      <c r="I798" s="295"/>
      <c r="J798" s="295"/>
      <c r="K798" s="295"/>
      <c r="L798" s="295"/>
      <c r="N798" s="296"/>
      <c r="O798" s="296"/>
      <c r="P798" s="297"/>
      <c r="Q798" s="297"/>
      <c r="R798" s="297"/>
      <c r="S798" s="297"/>
      <c r="T798" s="298"/>
      <c r="U798" s="296"/>
      <c r="V798" s="296"/>
      <c r="W798" s="297"/>
      <c r="X798" s="297"/>
      <c r="Y798" s="297"/>
      <c r="Z798" s="297"/>
      <c r="AA798" s="299"/>
      <c r="AB798" s="296"/>
      <c r="AC798" s="296"/>
      <c r="AD798" s="297"/>
      <c r="AE798" s="297"/>
      <c r="AF798" s="297"/>
      <c r="AG798" s="297"/>
      <c r="AH798" s="295"/>
      <c r="AI798" s="293"/>
      <c r="AJ798" s="293"/>
      <c r="AK798" s="297"/>
      <c r="AL798" s="297"/>
      <c r="AM798" s="297"/>
      <c r="AN798" s="297"/>
      <c r="AO798" s="295"/>
    </row>
    <row r="799" spans="2:41" ht="13">
      <c r="B799" s="294"/>
      <c r="C799" s="295"/>
      <c r="D799" s="295"/>
      <c r="E799" s="294"/>
      <c r="F799" s="294"/>
      <c r="G799" s="295"/>
      <c r="H799" s="295"/>
      <c r="I799" s="295"/>
      <c r="J799" s="295"/>
      <c r="K799" s="295"/>
      <c r="L799" s="295"/>
      <c r="N799" s="296"/>
      <c r="O799" s="296"/>
      <c r="P799" s="297"/>
      <c r="Q799" s="297"/>
      <c r="R799" s="297"/>
      <c r="S799" s="297"/>
      <c r="T799" s="298"/>
      <c r="U799" s="296"/>
      <c r="V799" s="296"/>
      <c r="W799" s="297"/>
      <c r="X799" s="297"/>
      <c r="Y799" s="297"/>
      <c r="Z799" s="297"/>
      <c r="AA799" s="299"/>
      <c r="AB799" s="296"/>
      <c r="AC799" s="296"/>
      <c r="AD799" s="297"/>
      <c r="AE799" s="297"/>
      <c r="AF799" s="297"/>
      <c r="AG799" s="297"/>
      <c r="AH799" s="295"/>
      <c r="AI799" s="293"/>
      <c r="AJ799" s="293"/>
      <c r="AK799" s="297"/>
      <c r="AL799" s="297"/>
      <c r="AM799" s="297"/>
      <c r="AN799" s="297"/>
      <c r="AO799" s="295"/>
    </row>
    <row r="800" spans="2:41" ht="13">
      <c r="B800" s="294"/>
      <c r="C800" s="295"/>
      <c r="D800" s="295"/>
      <c r="E800" s="294"/>
      <c r="F800" s="294"/>
      <c r="G800" s="295"/>
      <c r="H800" s="295"/>
      <c r="I800" s="295"/>
      <c r="J800" s="295"/>
      <c r="K800" s="295"/>
      <c r="L800" s="295"/>
      <c r="N800" s="296"/>
      <c r="O800" s="296"/>
      <c r="P800" s="297"/>
      <c r="Q800" s="297"/>
      <c r="R800" s="297"/>
      <c r="S800" s="297"/>
      <c r="T800" s="298"/>
      <c r="U800" s="296"/>
      <c r="V800" s="296"/>
      <c r="W800" s="297"/>
      <c r="X800" s="297"/>
      <c r="Y800" s="297"/>
      <c r="Z800" s="297"/>
      <c r="AA800" s="299"/>
      <c r="AB800" s="296"/>
      <c r="AC800" s="296"/>
      <c r="AD800" s="297"/>
      <c r="AE800" s="297"/>
      <c r="AF800" s="297"/>
      <c r="AG800" s="297"/>
      <c r="AH800" s="295"/>
      <c r="AI800" s="293"/>
      <c r="AJ800" s="293"/>
      <c r="AK800" s="297"/>
      <c r="AL800" s="297"/>
      <c r="AM800" s="297"/>
      <c r="AN800" s="297"/>
      <c r="AO800" s="295"/>
    </row>
    <row r="801" spans="2:41" ht="13">
      <c r="B801" s="294"/>
      <c r="C801" s="295"/>
      <c r="D801" s="295"/>
      <c r="E801" s="294"/>
      <c r="F801" s="294"/>
      <c r="G801" s="295"/>
      <c r="H801" s="295"/>
      <c r="I801" s="295"/>
      <c r="J801" s="295"/>
      <c r="K801" s="295"/>
      <c r="L801" s="295"/>
      <c r="N801" s="296"/>
      <c r="O801" s="296"/>
      <c r="P801" s="297"/>
      <c r="Q801" s="297"/>
      <c r="R801" s="297"/>
      <c r="S801" s="297"/>
      <c r="T801" s="298"/>
      <c r="U801" s="296"/>
      <c r="V801" s="296"/>
      <c r="W801" s="297"/>
      <c r="X801" s="297"/>
      <c r="Y801" s="297"/>
      <c r="Z801" s="297"/>
      <c r="AA801" s="299"/>
      <c r="AB801" s="296"/>
      <c r="AC801" s="296"/>
      <c r="AD801" s="297"/>
      <c r="AE801" s="297"/>
      <c r="AF801" s="297"/>
      <c r="AG801" s="297"/>
      <c r="AH801" s="295"/>
      <c r="AI801" s="293"/>
      <c r="AJ801" s="293"/>
      <c r="AK801" s="297"/>
      <c r="AL801" s="297"/>
      <c r="AM801" s="297"/>
      <c r="AN801" s="297"/>
      <c r="AO801" s="295"/>
    </row>
    <row r="802" spans="2:41" ht="13">
      <c r="B802" s="294"/>
      <c r="C802" s="295"/>
      <c r="D802" s="295"/>
      <c r="E802" s="294"/>
      <c r="F802" s="294"/>
      <c r="G802" s="295"/>
      <c r="H802" s="295"/>
      <c r="I802" s="295"/>
      <c r="J802" s="295"/>
      <c r="K802" s="295"/>
      <c r="L802" s="295"/>
      <c r="N802" s="296"/>
      <c r="O802" s="296"/>
      <c r="P802" s="297"/>
      <c r="Q802" s="297"/>
      <c r="R802" s="297"/>
      <c r="S802" s="297"/>
      <c r="T802" s="298"/>
      <c r="U802" s="296"/>
      <c r="V802" s="296"/>
      <c r="W802" s="297"/>
      <c r="X802" s="297"/>
      <c r="Y802" s="297"/>
      <c r="Z802" s="297"/>
      <c r="AA802" s="299"/>
      <c r="AB802" s="296"/>
      <c r="AC802" s="296"/>
      <c r="AD802" s="297"/>
      <c r="AE802" s="297"/>
      <c r="AF802" s="297"/>
      <c r="AG802" s="297"/>
      <c r="AH802" s="295"/>
      <c r="AI802" s="293"/>
      <c r="AJ802" s="293"/>
      <c r="AK802" s="297"/>
      <c r="AL802" s="297"/>
      <c r="AM802" s="297"/>
      <c r="AN802" s="297"/>
      <c r="AO802" s="295"/>
    </row>
    <row r="803" spans="2:41" ht="13">
      <c r="B803" s="294"/>
      <c r="C803" s="295"/>
      <c r="D803" s="295"/>
      <c r="E803" s="294"/>
      <c r="F803" s="294"/>
      <c r="G803" s="295"/>
      <c r="H803" s="295"/>
      <c r="I803" s="295"/>
      <c r="J803" s="295"/>
      <c r="K803" s="295"/>
      <c r="L803" s="295"/>
      <c r="N803" s="296"/>
      <c r="O803" s="296"/>
      <c r="P803" s="297"/>
      <c r="Q803" s="297"/>
      <c r="R803" s="297"/>
      <c r="S803" s="297"/>
      <c r="T803" s="298"/>
      <c r="U803" s="296"/>
      <c r="V803" s="296"/>
      <c r="W803" s="297"/>
      <c r="X803" s="297"/>
      <c r="Y803" s="297"/>
      <c r="Z803" s="297"/>
      <c r="AA803" s="299"/>
      <c r="AB803" s="296"/>
      <c r="AC803" s="296"/>
      <c r="AD803" s="297"/>
      <c r="AE803" s="297"/>
      <c r="AF803" s="297"/>
      <c r="AG803" s="297"/>
      <c r="AH803" s="295"/>
      <c r="AI803" s="293"/>
      <c r="AJ803" s="293"/>
      <c r="AK803" s="297"/>
      <c r="AL803" s="297"/>
      <c r="AM803" s="297"/>
      <c r="AN803" s="297"/>
      <c r="AO803" s="295"/>
    </row>
    <row r="804" spans="2:41" ht="13">
      <c r="B804" s="294"/>
      <c r="C804" s="295"/>
      <c r="D804" s="295"/>
      <c r="E804" s="294"/>
      <c r="F804" s="294"/>
      <c r="G804" s="295"/>
      <c r="H804" s="295"/>
      <c r="I804" s="295"/>
      <c r="J804" s="295"/>
      <c r="K804" s="295"/>
      <c r="L804" s="295"/>
      <c r="N804" s="296"/>
      <c r="O804" s="296"/>
      <c r="P804" s="297"/>
      <c r="Q804" s="297"/>
      <c r="R804" s="297"/>
      <c r="S804" s="297"/>
      <c r="T804" s="298"/>
      <c r="U804" s="296"/>
      <c r="V804" s="296"/>
      <c r="W804" s="297"/>
      <c r="X804" s="297"/>
      <c r="Y804" s="297"/>
      <c r="Z804" s="297"/>
      <c r="AA804" s="299"/>
      <c r="AB804" s="296"/>
      <c r="AC804" s="296"/>
      <c r="AD804" s="297"/>
      <c r="AE804" s="297"/>
      <c r="AF804" s="297"/>
      <c r="AG804" s="297"/>
      <c r="AH804" s="295"/>
      <c r="AI804" s="293"/>
      <c r="AJ804" s="293"/>
      <c r="AK804" s="297"/>
      <c r="AL804" s="297"/>
      <c r="AM804" s="297"/>
      <c r="AN804" s="297"/>
      <c r="AO804" s="295"/>
    </row>
    <row r="805" spans="2:41" ht="13">
      <c r="B805" s="294"/>
      <c r="C805" s="295"/>
      <c r="D805" s="295"/>
      <c r="E805" s="294"/>
      <c r="F805" s="294"/>
      <c r="G805" s="295"/>
      <c r="H805" s="295"/>
      <c r="I805" s="295"/>
      <c r="J805" s="295"/>
      <c r="K805" s="295"/>
      <c r="L805" s="295"/>
      <c r="N805" s="296"/>
      <c r="O805" s="296"/>
      <c r="P805" s="297"/>
      <c r="Q805" s="297"/>
      <c r="R805" s="297"/>
      <c r="S805" s="297"/>
      <c r="T805" s="298"/>
      <c r="U805" s="296"/>
      <c r="V805" s="296"/>
      <c r="W805" s="297"/>
      <c r="X805" s="297"/>
      <c r="Y805" s="297"/>
      <c r="Z805" s="297"/>
      <c r="AA805" s="299"/>
      <c r="AB805" s="296"/>
      <c r="AC805" s="296"/>
      <c r="AD805" s="297"/>
      <c r="AE805" s="297"/>
      <c r="AF805" s="297"/>
      <c r="AG805" s="297"/>
      <c r="AH805" s="295"/>
      <c r="AI805" s="293"/>
      <c r="AJ805" s="293"/>
      <c r="AK805" s="297"/>
      <c r="AL805" s="297"/>
      <c r="AM805" s="297"/>
      <c r="AN805" s="297"/>
      <c r="AO805" s="295"/>
    </row>
    <row r="806" spans="2:41" ht="13">
      <c r="B806" s="294"/>
      <c r="C806" s="295"/>
      <c r="D806" s="295"/>
      <c r="E806" s="294"/>
      <c r="F806" s="294"/>
      <c r="G806" s="295"/>
      <c r="H806" s="295"/>
      <c r="I806" s="295"/>
      <c r="J806" s="295"/>
      <c r="K806" s="295"/>
      <c r="L806" s="295"/>
      <c r="N806" s="296"/>
      <c r="O806" s="296"/>
      <c r="P806" s="297"/>
      <c r="Q806" s="297"/>
      <c r="R806" s="297"/>
      <c r="S806" s="297"/>
      <c r="T806" s="298"/>
      <c r="U806" s="296"/>
      <c r="V806" s="296"/>
      <c r="W806" s="297"/>
      <c r="X806" s="297"/>
      <c r="Y806" s="297"/>
      <c r="Z806" s="297"/>
      <c r="AA806" s="299"/>
      <c r="AB806" s="296"/>
      <c r="AC806" s="296"/>
      <c r="AD806" s="297"/>
      <c r="AE806" s="297"/>
      <c r="AF806" s="297"/>
      <c r="AG806" s="297"/>
      <c r="AH806" s="295"/>
      <c r="AI806" s="293"/>
      <c r="AJ806" s="293"/>
      <c r="AK806" s="297"/>
      <c r="AL806" s="297"/>
      <c r="AM806" s="297"/>
      <c r="AN806" s="297"/>
      <c r="AO806" s="295"/>
    </row>
    <row r="807" spans="2:41" ht="13">
      <c r="B807" s="294"/>
      <c r="C807" s="295"/>
      <c r="D807" s="295"/>
      <c r="E807" s="294"/>
      <c r="F807" s="294"/>
      <c r="G807" s="295"/>
      <c r="H807" s="295"/>
      <c r="I807" s="295"/>
      <c r="J807" s="295"/>
      <c r="K807" s="295"/>
      <c r="L807" s="295"/>
      <c r="N807" s="296"/>
      <c r="O807" s="296"/>
      <c r="P807" s="297"/>
      <c r="Q807" s="297"/>
      <c r="R807" s="297"/>
      <c r="S807" s="297"/>
      <c r="T807" s="298"/>
      <c r="U807" s="296"/>
      <c r="V807" s="296"/>
      <c r="W807" s="297"/>
      <c r="X807" s="297"/>
      <c r="Y807" s="297"/>
      <c r="Z807" s="297"/>
      <c r="AA807" s="299"/>
      <c r="AB807" s="296"/>
      <c r="AC807" s="296"/>
      <c r="AD807" s="297"/>
      <c r="AE807" s="297"/>
      <c r="AF807" s="297"/>
      <c r="AG807" s="297"/>
      <c r="AH807" s="295"/>
      <c r="AI807" s="293"/>
      <c r="AJ807" s="293"/>
      <c r="AK807" s="297"/>
      <c r="AL807" s="297"/>
      <c r="AM807" s="297"/>
      <c r="AN807" s="297"/>
      <c r="AO807" s="295"/>
    </row>
    <row r="808" spans="2:41" ht="13">
      <c r="B808" s="294"/>
      <c r="C808" s="295"/>
      <c r="D808" s="295"/>
      <c r="E808" s="294"/>
      <c r="F808" s="294"/>
      <c r="G808" s="295"/>
      <c r="H808" s="295"/>
      <c r="I808" s="295"/>
      <c r="J808" s="295"/>
      <c r="K808" s="295"/>
      <c r="L808" s="295"/>
      <c r="N808" s="296"/>
      <c r="O808" s="296"/>
      <c r="P808" s="297"/>
      <c r="Q808" s="297"/>
      <c r="R808" s="297"/>
      <c r="S808" s="297"/>
      <c r="T808" s="298"/>
      <c r="U808" s="296"/>
      <c r="V808" s="296"/>
      <c r="W808" s="297"/>
      <c r="X808" s="297"/>
      <c r="Y808" s="297"/>
      <c r="Z808" s="297"/>
      <c r="AA808" s="299"/>
      <c r="AB808" s="296"/>
      <c r="AC808" s="296"/>
      <c r="AD808" s="297"/>
      <c r="AE808" s="297"/>
      <c r="AF808" s="297"/>
      <c r="AG808" s="297"/>
      <c r="AH808" s="295"/>
      <c r="AI808" s="293"/>
      <c r="AJ808" s="293"/>
      <c r="AK808" s="297"/>
      <c r="AL808" s="297"/>
      <c r="AM808" s="297"/>
      <c r="AN808" s="297"/>
      <c r="AO808" s="295"/>
    </row>
    <row r="809" spans="2:41" ht="13">
      <c r="B809" s="294"/>
      <c r="C809" s="295"/>
      <c r="D809" s="295"/>
      <c r="E809" s="294"/>
      <c r="F809" s="294"/>
      <c r="G809" s="295"/>
      <c r="H809" s="295"/>
      <c r="I809" s="295"/>
      <c r="J809" s="295"/>
      <c r="K809" s="295"/>
      <c r="L809" s="295"/>
      <c r="N809" s="296"/>
      <c r="O809" s="296"/>
      <c r="P809" s="297"/>
      <c r="Q809" s="297"/>
      <c r="R809" s="297"/>
      <c r="S809" s="297"/>
      <c r="T809" s="298"/>
      <c r="U809" s="296"/>
      <c r="V809" s="296"/>
      <c r="W809" s="297"/>
      <c r="X809" s="297"/>
      <c r="Y809" s="297"/>
      <c r="Z809" s="297"/>
      <c r="AA809" s="299"/>
      <c r="AB809" s="296"/>
      <c r="AC809" s="296"/>
      <c r="AD809" s="297"/>
      <c r="AE809" s="297"/>
      <c r="AF809" s="297"/>
      <c r="AG809" s="297"/>
      <c r="AH809" s="295"/>
      <c r="AI809" s="293"/>
      <c r="AJ809" s="293"/>
      <c r="AK809" s="297"/>
      <c r="AL809" s="297"/>
      <c r="AM809" s="297"/>
      <c r="AN809" s="297"/>
      <c r="AO809" s="295"/>
    </row>
    <row r="810" spans="2:41" ht="13">
      <c r="B810" s="294"/>
      <c r="C810" s="295"/>
      <c r="D810" s="295"/>
      <c r="E810" s="294"/>
      <c r="F810" s="294"/>
      <c r="G810" s="295"/>
      <c r="H810" s="295"/>
      <c r="I810" s="295"/>
      <c r="J810" s="295"/>
      <c r="K810" s="295"/>
      <c r="L810" s="295"/>
      <c r="N810" s="296"/>
      <c r="O810" s="296"/>
      <c r="P810" s="297"/>
      <c r="Q810" s="297"/>
      <c r="R810" s="297"/>
      <c r="S810" s="297"/>
      <c r="T810" s="298"/>
      <c r="U810" s="296"/>
      <c r="V810" s="296"/>
      <c r="W810" s="297"/>
      <c r="X810" s="297"/>
      <c r="Y810" s="297"/>
      <c r="Z810" s="297"/>
      <c r="AA810" s="299"/>
      <c r="AB810" s="296"/>
      <c r="AC810" s="296"/>
      <c r="AD810" s="297"/>
      <c r="AE810" s="297"/>
      <c r="AF810" s="297"/>
      <c r="AG810" s="297"/>
      <c r="AH810" s="295"/>
      <c r="AI810" s="293"/>
      <c r="AJ810" s="293"/>
      <c r="AK810" s="297"/>
      <c r="AL810" s="297"/>
      <c r="AM810" s="297"/>
      <c r="AN810" s="297"/>
      <c r="AO810" s="295"/>
    </row>
    <row r="811" spans="2:41" ht="13">
      <c r="B811" s="294"/>
      <c r="C811" s="295"/>
      <c r="D811" s="295"/>
      <c r="E811" s="294"/>
      <c r="F811" s="294"/>
      <c r="G811" s="295"/>
      <c r="H811" s="295"/>
      <c r="I811" s="295"/>
      <c r="J811" s="295"/>
      <c r="K811" s="295"/>
      <c r="L811" s="295"/>
      <c r="N811" s="296"/>
      <c r="O811" s="296"/>
      <c r="P811" s="297"/>
      <c r="Q811" s="297"/>
      <c r="R811" s="297"/>
      <c r="S811" s="297"/>
      <c r="T811" s="298"/>
      <c r="U811" s="296"/>
      <c r="V811" s="296"/>
      <c r="W811" s="297"/>
      <c r="X811" s="297"/>
      <c r="Y811" s="297"/>
      <c r="Z811" s="297"/>
      <c r="AA811" s="299"/>
      <c r="AB811" s="296"/>
      <c r="AC811" s="296"/>
      <c r="AD811" s="297"/>
      <c r="AE811" s="297"/>
      <c r="AF811" s="297"/>
      <c r="AG811" s="297"/>
      <c r="AH811" s="295"/>
      <c r="AI811" s="293"/>
      <c r="AJ811" s="293"/>
      <c r="AK811" s="297"/>
      <c r="AL811" s="297"/>
      <c r="AM811" s="297"/>
      <c r="AN811" s="297"/>
      <c r="AO811" s="295"/>
    </row>
    <row r="812" spans="2:41" ht="13">
      <c r="B812" s="294"/>
      <c r="C812" s="295"/>
      <c r="D812" s="295"/>
      <c r="E812" s="294"/>
      <c r="F812" s="294"/>
      <c r="G812" s="295"/>
      <c r="H812" s="295"/>
      <c r="I812" s="295"/>
      <c r="J812" s="295"/>
      <c r="K812" s="295"/>
      <c r="L812" s="295"/>
      <c r="N812" s="296"/>
      <c r="O812" s="296"/>
      <c r="P812" s="297"/>
      <c r="Q812" s="297"/>
      <c r="R812" s="297"/>
      <c r="S812" s="297"/>
      <c r="T812" s="298"/>
      <c r="U812" s="296"/>
      <c r="V812" s="296"/>
      <c r="W812" s="297"/>
      <c r="X812" s="297"/>
      <c r="Y812" s="297"/>
      <c r="Z812" s="297"/>
      <c r="AA812" s="299"/>
      <c r="AB812" s="296"/>
      <c r="AC812" s="296"/>
      <c r="AD812" s="297"/>
      <c r="AE812" s="297"/>
      <c r="AF812" s="297"/>
      <c r="AG812" s="297"/>
      <c r="AH812" s="295"/>
      <c r="AI812" s="293"/>
      <c r="AJ812" s="293"/>
      <c r="AK812" s="297"/>
      <c r="AL812" s="297"/>
      <c r="AM812" s="297"/>
      <c r="AN812" s="297"/>
      <c r="AO812" s="295"/>
    </row>
    <row r="813" spans="2:41" ht="13">
      <c r="B813" s="294"/>
      <c r="C813" s="295"/>
      <c r="D813" s="295"/>
      <c r="E813" s="294"/>
      <c r="F813" s="294"/>
      <c r="G813" s="295"/>
      <c r="H813" s="295"/>
      <c r="I813" s="295"/>
      <c r="J813" s="295"/>
      <c r="K813" s="295"/>
      <c r="L813" s="295"/>
      <c r="N813" s="296"/>
      <c r="O813" s="296"/>
      <c r="P813" s="297"/>
      <c r="Q813" s="297"/>
      <c r="R813" s="297"/>
      <c r="S813" s="297"/>
      <c r="T813" s="298"/>
      <c r="U813" s="296"/>
      <c r="V813" s="296"/>
      <c r="W813" s="297"/>
      <c r="X813" s="297"/>
      <c r="Y813" s="297"/>
      <c r="Z813" s="297"/>
      <c r="AA813" s="299"/>
      <c r="AB813" s="296"/>
      <c r="AC813" s="296"/>
      <c r="AD813" s="297"/>
      <c r="AE813" s="297"/>
      <c r="AF813" s="297"/>
      <c r="AG813" s="297"/>
      <c r="AH813" s="295"/>
      <c r="AI813" s="293"/>
      <c r="AJ813" s="293"/>
      <c r="AK813" s="297"/>
      <c r="AL813" s="297"/>
      <c r="AM813" s="297"/>
      <c r="AN813" s="297"/>
      <c r="AO813" s="295"/>
    </row>
    <row r="814" spans="2:41" ht="13">
      <c r="B814" s="294"/>
      <c r="C814" s="295"/>
      <c r="D814" s="295"/>
      <c r="E814" s="294"/>
      <c r="F814" s="294"/>
      <c r="G814" s="295"/>
      <c r="H814" s="295"/>
      <c r="I814" s="295"/>
      <c r="J814" s="295"/>
      <c r="K814" s="295"/>
      <c r="L814" s="295"/>
      <c r="N814" s="296"/>
      <c r="O814" s="296"/>
      <c r="P814" s="297"/>
      <c r="Q814" s="297"/>
      <c r="R814" s="297"/>
      <c r="S814" s="297"/>
      <c r="T814" s="298"/>
      <c r="U814" s="296"/>
      <c r="V814" s="296"/>
      <c r="W814" s="297"/>
      <c r="X814" s="297"/>
      <c r="Y814" s="297"/>
      <c r="Z814" s="297"/>
      <c r="AA814" s="299"/>
      <c r="AB814" s="296"/>
      <c r="AC814" s="296"/>
      <c r="AD814" s="297"/>
      <c r="AE814" s="297"/>
      <c r="AF814" s="297"/>
      <c r="AG814" s="297"/>
      <c r="AH814" s="295"/>
      <c r="AI814" s="293"/>
      <c r="AJ814" s="293"/>
      <c r="AK814" s="297"/>
      <c r="AL814" s="297"/>
      <c r="AM814" s="297"/>
      <c r="AN814" s="297"/>
      <c r="AO814" s="295"/>
    </row>
    <row r="815" spans="2:41" ht="13">
      <c r="B815" s="294"/>
      <c r="C815" s="295"/>
      <c r="D815" s="295"/>
      <c r="E815" s="294"/>
      <c r="F815" s="294"/>
      <c r="G815" s="295"/>
      <c r="H815" s="295"/>
      <c r="I815" s="295"/>
      <c r="J815" s="295"/>
      <c r="K815" s="295"/>
      <c r="L815" s="295"/>
      <c r="N815" s="296"/>
      <c r="O815" s="296"/>
      <c r="P815" s="297"/>
      <c r="Q815" s="297"/>
      <c r="R815" s="297"/>
      <c r="S815" s="297"/>
      <c r="T815" s="298"/>
      <c r="U815" s="296"/>
      <c r="V815" s="296"/>
      <c r="W815" s="297"/>
      <c r="X815" s="297"/>
      <c r="Y815" s="297"/>
      <c r="Z815" s="297"/>
      <c r="AA815" s="299"/>
      <c r="AB815" s="296"/>
      <c r="AC815" s="296"/>
      <c r="AD815" s="297"/>
      <c r="AE815" s="297"/>
      <c r="AF815" s="297"/>
      <c r="AG815" s="297"/>
      <c r="AH815" s="295"/>
      <c r="AI815" s="293"/>
      <c r="AJ815" s="293"/>
      <c r="AK815" s="297"/>
      <c r="AL815" s="297"/>
      <c r="AM815" s="297"/>
      <c r="AN815" s="297"/>
      <c r="AO815" s="295"/>
    </row>
    <row r="816" spans="2:41" ht="13">
      <c r="B816" s="294"/>
      <c r="C816" s="295"/>
      <c r="D816" s="295"/>
      <c r="E816" s="294"/>
      <c r="F816" s="294"/>
      <c r="G816" s="295"/>
      <c r="H816" s="295"/>
      <c r="I816" s="295"/>
      <c r="J816" s="295"/>
      <c r="K816" s="295"/>
      <c r="L816" s="295"/>
      <c r="N816" s="296"/>
      <c r="O816" s="296"/>
      <c r="P816" s="297"/>
      <c r="Q816" s="297"/>
      <c r="R816" s="297"/>
      <c r="S816" s="297"/>
      <c r="T816" s="298"/>
      <c r="U816" s="296"/>
      <c r="V816" s="296"/>
      <c r="W816" s="297"/>
      <c r="X816" s="297"/>
      <c r="Y816" s="297"/>
      <c r="Z816" s="297"/>
      <c r="AA816" s="299"/>
      <c r="AB816" s="296"/>
      <c r="AC816" s="296"/>
      <c r="AD816" s="297"/>
      <c r="AE816" s="297"/>
      <c r="AF816" s="297"/>
      <c r="AG816" s="297"/>
      <c r="AH816" s="295"/>
      <c r="AI816" s="293"/>
      <c r="AJ816" s="293"/>
      <c r="AK816" s="297"/>
      <c r="AL816" s="297"/>
      <c r="AM816" s="297"/>
      <c r="AN816" s="297"/>
      <c r="AO816" s="295"/>
    </row>
    <row r="817" spans="2:41" ht="13">
      <c r="B817" s="294"/>
      <c r="C817" s="295"/>
      <c r="D817" s="295"/>
      <c r="E817" s="294"/>
      <c r="F817" s="294"/>
      <c r="G817" s="295"/>
      <c r="H817" s="295"/>
      <c r="I817" s="295"/>
      <c r="J817" s="295"/>
      <c r="K817" s="295"/>
      <c r="L817" s="295"/>
      <c r="N817" s="296"/>
      <c r="O817" s="296"/>
      <c r="P817" s="297"/>
      <c r="Q817" s="297"/>
      <c r="R817" s="297"/>
      <c r="S817" s="297"/>
      <c r="T817" s="298"/>
      <c r="U817" s="296"/>
      <c r="V817" s="296"/>
      <c r="W817" s="297"/>
      <c r="X817" s="297"/>
      <c r="Y817" s="297"/>
      <c r="Z817" s="297"/>
      <c r="AA817" s="299"/>
      <c r="AB817" s="296"/>
      <c r="AC817" s="296"/>
      <c r="AD817" s="297"/>
      <c r="AE817" s="297"/>
      <c r="AF817" s="297"/>
      <c r="AG817" s="297"/>
      <c r="AH817" s="295"/>
      <c r="AI817" s="293"/>
      <c r="AJ817" s="293"/>
      <c r="AK817" s="297"/>
      <c r="AL817" s="297"/>
      <c r="AM817" s="297"/>
      <c r="AN817" s="297"/>
      <c r="AO817" s="295"/>
    </row>
    <row r="818" spans="2:41" ht="13">
      <c r="B818" s="294"/>
      <c r="C818" s="295"/>
      <c r="D818" s="295"/>
      <c r="E818" s="294"/>
      <c r="F818" s="294"/>
      <c r="G818" s="295"/>
      <c r="H818" s="295"/>
      <c r="I818" s="295"/>
      <c r="J818" s="295"/>
      <c r="K818" s="295"/>
      <c r="L818" s="295"/>
      <c r="N818" s="296"/>
      <c r="O818" s="296"/>
      <c r="P818" s="297"/>
      <c r="Q818" s="297"/>
      <c r="R818" s="297"/>
      <c r="S818" s="297"/>
      <c r="T818" s="298"/>
      <c r="U818" s="296"/>
      <c r="V818" s="296"/>
      <c r="W818" s="297"/>
      <c r="X818" s="297"/>
      <c r="Y818" s="297"/>
      <c r="Z818" s="297"/>
      <c r="AA818" s="299"/>
      <c r="AB818" s="296"/>
      <c r="AC818" s="296"/>
      <c r="AD818" s="297"/>
      <c r="AE818" s="297"/>
      <c r="AF818" s="297"/>
      <c r="AG818" s="297"/>
      <c r="AH818" s="295"/>
      <c r="AI818" s="293"/>
      <c r="AJ818" s="293"/>
      <c r="AK818" s="297"/>
      <c r="AL818" s="297"/>
      <c r="AM818" s="297"/>
      <c r="AN818" s="297"/>
      <c r="AO818" s="295"/>
    </row>
    <row r="819" spans="2:41" ht="13">
      <c r="B819" s="294"/>
      <c r="C819" s="295"/>
      <c r="D819" s="295"/>
      <c r="E819" s="294"/>
      <c r="F819" s="294"/>
      <c r="G819" s="295"/>
      <c r="H819" s="295"/>
      <c r="I819" s="295"/>
      <c r="J819" s="295"/>
      <c r="K819" s="295"/>
      <c r="L819" s="295"/>
      <c r="N819" s="296"/>
      <c r="O819" s="296"/>
      <c r="P819" s="297"/>
      <c r="Q819" s="297"/>
      <c r="R819" s="297"/>
      <c r="S819" s="297"/>
      <c r="T819" s="298"/>
      <c r="U819" s="296"/>
      <c r="V819" s="296"/>
      <c r="W819" s="297"/>
      <c r="X819" s="297"/>
      <c r="Y819" s="297"/>
      <c r="Z819" s="297"/>
      <c r="AA819" s="299"/>
      <c r="AB819" s="296"/>
      <c r="AC819" s="296"/>
      <c r="AD819" s="297"/>
      <c r="AE819" s="297"/>
      <c r="AF819" s="297"/>
      <c r="AG819" s="297"/>
      <c r="AH819" s="295"/>
      <c r="AI819" s="293"/>
      <c r="AJ819" s="293"/>
      <c r="AK819" s="297"/>
      <c r="AL819" s="297"/>
      <c r="AM819" s="297"/>
      <c r="AN819" s="297"/>
      <c r="AO819" s="295"/>
    </row>
    <row r="820" spans="2:41" ht="13">
      <c r="B820" s="294"/>
      <c r="C820" s="295"/>
      <c r="D820" s="295"/>
      <c r="E820" s="294"/>
      <c r="F820" s="294"/>
      <c r="G820" s="295"/>
      <c r="H820" s="295"/>
      <c r="I820" s="295"/>
      <c r="J820" s="295"/>
      <c r="K820" s="295"/>
      <c r="L820" s="295"/>
      <c r="N820" s="296"/>
      <c r="O820" s="296"/>
      <c r="P820" s="297"/>
      <c r="Q820" s="297"/>
      <c r="R820" s="297"/>
      <c r="S820" s="297"/>
      <c r="T820" s="298"/>
      <c r="U820" s="296"/>
      <c r="V820" s="296"/>
      <c r="W820" s="297"/>
      <c r="X820" s="297"/>
      <c r="Y820" s="297"/>
      <c r="Z820" s="297"/>
      <c r="AA820" s="299"/>
      <c r="AB820" s="296"/>
      <c r="AC820" s="296"/>
      <c r="AD820" s="297"/>
      <c r="AE820" s="297"/>
      <c r="AF820" s="297"/>
      <c r="AG820" s="297"/>
      <c r="AH820" s="295"/>
      <c r="AI820" s="293"/>
      <c r="AJ820" s="293"/>
      <c r="AK820" s="297"/>
      <c r="AL820" s="297"/>
      <c r="AM820" s="297"/>
      <c r="AN820" s="297"/>
      <c r="AO820" s="295"/>
    </row>
    <row r="821" spans="2:41" ht="13">
      <c r="B821" s="294"/>
      <c r="C821" s="295"/>
      <c r="D821" s="295"/>
      <c r="E821" s="294"/>
      <c r="F821" s="294"/>
      <c r="G821" s="295"/>
      <c r="H821" s="295"/>
      <c r="I821" s="295"/>
      <c r="J821" s="295"/>
      <c r="K821" s="295"/>
      <c r="L821" s="295"/>
      <c r="N821" s="296"/>
      <c r="O821" s="296"/>
      <c r="P821" s="297"/>
      <c r="Q821" s="297"/>
      <c r="R821" s="297"/>
      <c r="S821" s="297"/>
      <c r="T821" s="298"/>
      <c r="U821" s="296"/>
      <c r="V821" s="296"/>
      <c r="W821" s="297"/>
      <c r="X821" s="297"/>
      <c r="Y821" s="297"/>
      <c r="Z821" s="297"/>
      <c r="AA821" s="299"/>
      <c r="AB821" s="296"/>
      <c r="AC821" s="296"/>
      <c r="AD821" s="297"/>
      <c r="AE821" s="297"/>
      <c r="AF821" s="297"/>
      <c r="AG821" s="297"/>
      <c r="AH821" s="295"/>
      <c r="AI821" s="293"/>
      <c r="AJ821" s="293"/>
      <c r="AK821" s="297"/>
      <c r="AL821" s="297"/>
      <c r="AM821" s="297"/>
      <c r="AN821" s="297"/>
      <c r="AO821" s="295"/>
    </row>
    <row r="822" spans="2:41" ht="13">
      <c r="B822" s="294"/>
      <c r="C822" s="295"/>
      <c r="D822" s="295"/>
      <c r="E822" s="294"/>
      <c r="F822" s="294"/>
      <c r="G822" s="295"/>
      <c r="H822" s="295"/>
      <c r="I822" s="295"/>
      <c r="J822" s="295"/>
      <c r="K822" s="295"/>
      <c r="L822" s="295"/>
      <c r="N822" s="296"/>
      <c r="O822" s="296"/>
      <c r="P822" s="297"/>
      <c r="Q822" s="297"/>
      <c r="R822" s="297"/>
      <c r="S822" s="297"/>
      <c r="T822" s="298"/>
      <c r="U822" s="296"/>
      <c r="V822" s="296"/>
      <c r="W822" s="297"/>
      <c r="X822" s="297"/>
      <c r="Y822" s="297"/>
      <c r="Z822" s="297"/>
      <c r="AA822" s="299"/>
      <c r="AB822" s="296"/>
      <c r="AC822" s="296"/>
      <c r="AD822" s="297"/>
      <c r="AE822" s="297"/>
      <c r="AF822" s="297"/>
      <c r="AG822" s="297"/>
      <c r="AH822" s="295"/>
      <c r="AI822" s="293"/>
      <c r="AJ822" s="293"/>
      <c r="AK822" s="297"/>
      <c r="AL822" s="297"/>
      <c r="AM822" s="297"/>
      <c r="AN822" s="297"/>
      <c r="AO822" s="295"/>
    </row>
    <row r="823" spans="2:41" ht="13">
      <c r="B823" s="294"/>
      <c r="C823" s="295"/>
      <c r="D823" s="295"/>
      <c r="E823" s="294"/>
      <c r="F823" s="294"/>
      <c r="G823" s="295"/>
      <c r="H823" s="295"/>
      <c r="I823" s="295"/>
      <c r="J823" s="295"/>
      <c r="K823" s="295"/>
      <c r="L823" s="295"/>
      <c r="N823" s="296"/>
      <c r="O823" s="296"/>
      <c r="P823" s="297"/>
      <c r="Q823" s="297"/>
      <c r="R823" s="297"/>
      <c r="S823" s="297"/>
      <c r="T823" s="298"/>
      <c r="U823" s="296"/>
      <c r="V823" s="296"/>
      <c r="W823" s="297"/>
      <c r="X823" s="297"/>
      <c r="Y823" s="297"/>
      <c r="Z823" s="297"/>
      <c r="AA823" s="299"/>
      <c r="AB823" s="296"/>
      <c r="AC823" s="296"/>
      <c r="AD823" s="297"/>
      <c r="AE823" s="297"/>
      <c r="AF823" s="297"/>
      <c r="AG823" s="297"/>
      <c r="AH823" s="295"/>
      <c r="AI823" s="293"/>
      <c r="AJ823" s="293"/>
      <c r="AK823" s="297"/>
      <c r="AL823" s="297"/>
      <c r="AM823" s="297"/>
      <c r="AN823" s="297"/>
      <c r="AO823" s="295"/>
    </row>
    <row r="824" spans="2:41" ht="13">
      <c r="B824" s="294"/>
      <c r="C824" s="295"/>
      <c r="D824" s="295"/>
      <c r="E824" s="294"/>
      <c r="F824" s="294"/>
      <c r="G824" s="295"/>
      <c r="H824" s="295"/>
      <c r="I824" s="295"/>
      <c r="J824" s="295"/>
      <c r="K824" s="295"/>
      <c r="L824" s="295"/>
      <c r="N824" s="296"/>
      <c r="O824" s="296"/>
      <c r="P824" s="297"/>
      <c r="Q824" s="297"/>
      <c r="R824" s="297"/>
      <c r="S824" s="297"/>
      <c r="T824" s="298"/>
      <c r="U824" s="296"/>
      <c r="V824" s="296"/>
      <c r="W824" s="297"/>
      <c r="X824" s="297"/>
      <c r="Y824" s="297"/>
      <c r="Z824" s="297"/>
      <c r="AA824" s="299"/>
      <c r="AB824" s="296"/>
      <c r="AC824" s="296"/>
      <c r="AD824" s="297"/>
      <c r="AE824" s="297"/>
      <c r="AF824" s="297"/>
      <c r="AG824" s="297"/>
      <c r="AH824" s="295"/>
      <c r="AI824" s="293"/>
      <c r="AJ824" s="293"/>
      <c r="AK824" s="297"/>
      <c r="AL824" s="297"/>
      <c r="AM824" s="297"/>
      <c r="AN824" s="297"/>
      <c r="AO824" s="295"/>
    </row>
    <row r="825" spans="2:41" ht="13">
      <c r="B825" s="294"/>
      <c r="C825" s="295"/>
      <c r="D825" s="295"/>
      <c r="E825" s="294"/>
      <c r="F825" s="294"/>
      <c r="G825" s="295"/>
      <c r="H825" s="295"/>
      <c r="I825" s="295"/>
      <c r="J825" s="295"/>
      <c r="K825" s="295"/>
      <c r="L825" s="295"/>
      <c r="N825" s="296"/>
      <c r="O825" s="296"/>
      <c r="P825" s="297"/>
      <c r="Q825" s="297"/>
      <c r="R825" s="297"/>
      <c r="S825" s="297"/>
      <c r="T825" s="298"/>
      <c r="U825" s="296"/>
      <c r="V825" s="296"/>
      <c r="W825" s="297"/>
      <c r="X825" s="297"/>
      <c r="Y825" s="297"/>
      <c r="Z825" s="297"/>
      <c r="AA825" s="299"/>
      <c r="AB825" s="296"/>
      <c r="AC825" s="296"/>
      <c r="AD825" s="297"/>
      <c r="AE825" s="297"/>
      <c r="AF825" s="297"/>
      <c r="AG825" s="297"/>
      <c r="AH825" s="295"/>
      <c r="AI825" s="293"/>
      <c r="AJ825" s="293"/>
      <c r="AK825" s="297"/>
      <c r="AL825" s="297"/>
      <c r="AM825" s="297"/>
      <c r="AN825" s="297"/>
      <c r="AO825" s="295"/>
    </row>
    <row r="826" spans="2:41" ht="13">
      <c r="B826" s="294"/>
      <c r="C826" s="295"/>
      <c r="D826" s="295"/>
      <c r="E826" s="294"/>
      <c r="F826" s="294"/>
      <c r="G826" s="295"/>
      <c r="H826" s="295"/>
      <c r="I826" s="295"/>
      <c r="J826" s="295"/>
      <c r="K826" s="295"/>
      <c r="L826" s="295"/>
      <c r="N826" s="296"/>
      <c r="O826" s="296"/>
      <c r="P826" s="297"/>
      <c r="Q826" s="297"/>
      <c r="R826" s="297"/>
      <c r="S826" s="297"/>
      <c r="T826" s="298"/>
      <c r="U826" s="296"/>
      <c r="V826" s="296"/>
      <c r="W826" s="297"/>
      <c r="X826" s="297"/>
      <c r="Y826" s="297"/>
      <c r="Z826" s="297"/>
      <c r="AA826" s="299"/>
      <c r="AB826" s="296"/>
      <c r="AC826" s="296"/>
      <c r="AD826" s="297"/>
      <c r="AE826" s="297"/>
      <c r="AF826" s="297"/>
      <c r="AG826" s="297"/>
      <c r="AH826" s="295"/>
      <c r="AI826" s="293"/>
      <c r="AJ826" s="293"/>
      <c r="AK826" s="297"/>
      <c r="AL826" s="297"/>
      <c r="AM826" s="297"/>
      <c r="AN826" s="297"/>
      <c r="AO826" s="295"/>
    </row>
    <row r="827" spans="2:41" ht="13">
      <c r="B827" s="294"/>
      <c r="C827" s="295"/>
      <c r="D827" s="295"/>
      <c r="E827" s="294"/>
      <c r="F827" s="294"/>
      <c r="G827" s="295"/>
      <c r="H827" s="295"/>
      <c r="I827" s="295"/>
      <c r="J827" s="295"/>
      <c r="K827" s="295"/>
      <c r="L827" s="295"/>
      <c r="N827" s="296"/>
      <c r="O827" s="296"/>
      <c r="P827" s="297"/>
      <c r="Q827" s="297"/>
      <c r="R827" s="297"/>
      <c r="S827" s="297"/>
      <c r="T827" s="298"/>
      <c r="U827" s="296"/>
      <c r="V827" s="296"/>
      <c r="W827" s="297"/>
      <c r="X827" s="297"/>
      <c r="Y827" s="297"/>
      <c r="Z827" s="297"/>
      <c r="AA827" s="299"/>
      <c r="AB827" s="296"/>
      <c r="AC827" s="296"/>
      <c r="AD827" s="297"/>
      <c r="AE827" s="297"/>
      <c r="AF827" s="297"/>
      <c r="AG827" s="297"/>
      <c r="AH827" s="295"/>
      <c r="AI827" s="293"/>
      <c r="AJ827" s="293"/>
      <c r="AK827" s="297"/>
      <c r="AL827" s="297"/>
      <c r="AM827" s="297"/>
      <c r="AN827" s="297"/>
      <c r="AO827" s="295"/>
    </row>
    <row r="828" spans="2:41" ht="13">
      <c r="B828" s="294"/>
      <c r="C828" s="295"/>
      <c r="D828" s="295"/>
      <c r="E828" s="294"/>
      <c r="F828" s="294"/>
      <c r="G828" s="295"/>
      <c r="H828" s="295"/>
      <c r="I828" s="295"/>
      <c r="J828" s="295"/>
      <c r="K828" s="295"/>
      <c r="L828" s="295"/>
      <c r="N828" s="296"/>
      <c r="O828" s="296"/>
      <c r="P828" s="297"/>
      <c r="Q828" s="297"/>
      <c r="R828" s="297"/>
      <c r="S828" s="297"/>
      <c r="T828" s="298"/>
      <c r="U828" s="296"/>
      <c r="V828" s="296"/>
      <c r="W828" s="297"/>
      <c r="X828" s="297"/>
      <c r="Y828" s="297"/>
      <c r="Z828" s="297"/>
      <c r="AA828" s="299"/>
      <c r="AB828" s="296"/>
      <c r="AC828" s="296"/>
      <c r="AD828" s="297"/>
      <c r="AE828" s="297"/>
      <c r="AF828" s="297"/>
      <c r="AG828" s="297"/>
      <c r="AH828" s="295"/>
      <c r="AI828" s="293"/>
      <c r="AJ828" s="293"/>
      <c r="AK828" s="297"/>
      <c r="AL828" s="297"/>
      <c r="AM828" s="297"/>
      <c r="AN828" s="297"/>
      <c r="AO828" s="295"/>
    </row>
    <row r="829" spans="2:41" ht="13">
      <c r="B829" s="294"/>
      <c r="C829" s="295"/>
      <c r="D829" s="295"/>
      <c r="E829" s="294"/>
      <c r="F829" s="294"/>
      <c r="G829" s="295"/>
      <c r="H829" s="295"/>
      <c r="I829" s="295"/>
      <c r="J829" s="295"/>
      <c r="K829" s="295"/>
      <c r="L829" s="295"/>
      <c r="N829" s="296"/>
      <c r="O829" s="296"/>
      <c r="P829" s="297"/>
      <c r="Q829" s="297"/>
      <c r="R829" s="297"/>
      <c r="S829" s="297"/>
      <c r="T829" s="298"/>
      <c r="U829" s="296"/>
      <c r="V829" s="296"/>
      <c r="W829" s="297"/>
      <c r="X829" s="297"/>
      <c r="Y829" s="297"/>
      <c r="Z829" s="297"/>
      <c r="AA829" s="299"/>
      <c r="AB829" s="296"/>
      <c r="AC829" s="296"/>
      <c r="AD829" s="297"/>
      <c r="AE829" s="297"/>
      <c r="AF829" s="297"/>
      <c r="AG829" s="297"/>
      <c r="AH829" s="295"/>
      <c r="AI829" s="293"/>
      <c r="AJ829" s="293"/>
      <c r="AK829" s="297"/>
      <c r="AL829" s="297"/>
      <c r="AM829" s="297"/>
      <c r="AN829" s="297"/>
      <c r="AO829" s="295"/>
    </row>
    <row r="830" spans="2:41" ht="13">
      <c r="B830" s="294"/>
      <c r="C830" s="295"/>
      <c r="D830" s="295"/>
      <c r="E830" s="294"/>
      <c r="F830" s="294"/>
      <c r="G830" s="295"/>
      <c r="H830" s="295"/>
      <c r="I830" s="295"/>
      <c r="J830" s="295"/>
      <c r="K830" s="295"/>
      <c r="L830" s="295"/>
      <c r="N830" s="296"/>
      <c r="O830" s="296"/>
      <c r="P830" s="297"/>
      <c r="Q830" s="297"/>
      <c r="R830" s="297"/>
      <c r="S830" s="297"/>
      <c r="T830" s="298"/>
      <c r="U830" s="296"/>
      <c r="V830" s="296"/>
      <c r="W830" s="297"/>
      <c r="X830" s="297"/>
      <c r="Y830" s="297"/>
      <c r="Z830" s="297"/>
      <c r="AA830" s="299"/>
      <c r="AB830" s="296"/>
      <c r="AC830" s="296"/>
      <c r="AD830" s="297"/>
      <c r="AE830" s="297"/>
      <c r="AF830" s="297"/>
      <c r="AG830" s="297"/>
      <c r="AH830" s="295"/>
      <c r="AI830" s="293"/>
      <c r="AJ830" s="293"/>
      <c r="AK830" s="297"/>
      <c r="AL830" s="297"/>
      <c r="AM830" s="297"/>
      <c r="AN830" s="297"/>
      <c r="AO830" s="295"/>
    </row>
    <row r="831" spans="2:41" ht="13">
      <c r="B831" s="294"/>
      <c r="C831" s="295"/>
      <c r="D831" s="295"/>
      <c r="E831" s="294"/>
      <c r="F831" s="294"/>
      <c r="G831" s="295"/>
      <c r="H831" s="295"/>
      <c r="I831" s="295"/>
      <c r="J831" s="295"/>
      <c r="K831" s="295"/>
      <c r="L831" s="295"/>
      <c r="N831" s="296"/>
      <c r="O831" s="296"/>
      <c r="P831" s="297"/>
      <c r="Q831" s="297"/>
      <c r="R831" s="297"/>
      <c r="S831" s="297"/>
      <c r="T831" s="298"/>
      <c r="U831" s="296"/>
      <c r="V831" s="296"/>
      <c r="W831" s="297"/>
      <c r="X831" s="297"/>
      <c r="Y831" s="297"/>
      <c r="Z831" s="297"/>
      <c r="AA831" s="299"/>
      <c r="AB831" s="296"/>
      <c r="AC831" s="296"/>
      <c r="AD831" s="297"/>
      <c r="AE831" s="297"/>
      <c r="AF831" s="297"/>
      <c r="AG831" s="297"/>
      <c r="AH831" s="295"/>
      <c r="AI831" s="293"/>
      <c r="AJ831" s="293"/>
      <c r="AK831" s="297"/>
      <c r="AL831" s="297"/>
      <c r="AM831" s="297"/>
      <c r="AN831" s="297"/>
      <c r="AO831" s="295"/>
    </row>
    <row r="832" spans="2:41" ht="13">
      <c r="B832" s="294"/>
      <c r="C832" s="295"/>
      <c r="D832" s="295"/>
      <c r="E832" s="294"/>
      <c r="F832" s="294"/>
      <c r="G832" s="295"/>
      <c r="H832" s="295"/>
      <c r="I832" s="295"/>
      <c r="J832" s="295"/>
      <c r="K832" s="295"/>
      <c r="L832" s="295"/>
      <c r="N832" s="296"/>
      <c r="O832" s="296"/>
      <c r="P832" s="297"/>
      <c r="Q832" s="297"/>
      <c r="R832" s="297"/>
      <c r="S832" s="297"/>
      <c r="T832" s="298"/>
      <c r="U832" s="296"/>
      <c r="V832" s="296"/>
      <c r="W832" s="297"/>
      <c r="X832" s="297"/>
      <c r="Y832" s="297"/>
      <c r="Z832" s="297"/>
      <c r="AA832" s="299"/>
      <c r="AB832" s="296"/>
      <c r="AC832" s="296"/>
      <c r="AD832" s="297"/>
      <c r="AE832" s="297"/>
      <c r="AF832" s="297"/>
      <c r="AG832" s="297"/>
      <c r="AH832" s="295"/>
      <c r="AI832" s="293"/>
      <c r="AJ832" s="293"/>
      <c r="AK832" s="297"/>
      <c r="AL832" s="297"/>
      <c r="AM832" s="297"/>
      <c r="AN832" s="297"/>
      <c r="AO832" s="295"/>
    </row>
    <row r="833" spans="2:41" ht="13">
      <c r="B833" s="294"/>
      <c r="C833" s="295"/>
      <c r="D833" s="295"/>
      <c r="E833" s="294"/>
      <c r="F833" s="294"/>
      <c r="G833" s="295"/>
      <c r="H833" s="295"/>
      <c r="I833" s="295"/>
      <c r="J833" s="295"/>
      <c r="K833" s="295"/>
      <c r="L833" s="295"/>
      <c r="N833" s="296"/>
      <c r="O833" s="296"/>
      <c r="P833" s="297"/>
      <c r="Q833" s="297"/>
      <c r="R833" s="297"/>
      <c r="S833" s="297"/>
      <c r="T833" s="298"/>
      <c r="U833" s="296"/>
      <c r="V833" s="296"/>
      <c r="W833" s="297"/>
      <c r="X833" s="297"/>
      <c r="Y833" s="297"/>
      <c r="Z833" s="297"/>
      <c r="AA833" s="299"/>
      <c r="AB833" s="296"/>
      <c r="AC833" s="296"/>
      <c r="AD833" s="297"/>
      <c r="AE833" s="297"/>
      <c r="AF833" s="297"/>
      <c r="AG833" s="297"/>
      <c r="AH833" s="295"/>
      <c r="AI833" s="293"/>
      <c r="AJ833" s="293"/>
      <c r="AK833" s="297"/>
      <c r="AL833" s="297"/>
      <c r="AM833" s="297"/>
      <c r="AN833" s="297"/>
      <c r="AO833" s="295"/>
    </row>
    <row r="834" spans="2:41" ht="13">
      <c r="B834" s="294"/>
      <c r="C834" s="295"/>
      <c r="D834" s="295"/>
      <c r="E834" s="294"/>
      <c r="F834" s="294"/>
      <c r="G834" s="295"/>
      <c r="H834" s="295"/>
      <c r="I834" s="295"/>
      <c r="J834" s="295"/>
      <c r="K834" s="295"/>
      <c r="L834" s="295"/>
      <c r="N834" s="296"/>
      <c r="O834" s="296"/>
      <c r="P834" s="297"/>
      <c r="Q834" s="297"/>
      <c r="R834" s="297"/>
      <c r="S834" s="297"/>
      <c r="T834" s="298"/>
      <c r="U834" s="296"/>
      <c r="V834" s="296"/>
      <c r="W834" s="297"/>
      <c r="X834" s="297"/>
      <c r="Y834" s="297"/>
      <c r="Z834" s="297"/>
      <c r="AA834" s="299"/>
      <c r="AB834" s="296"/>
      <c r="AC834" s="296"/>
      <c r="AD834" s="297"/>
      <c r="AE834" s="297"/>
      <c r="AF834" s="297"/>
      <c r="AG834" s="297"/>
      <c r="AH834" s="295"/>
      <c r="AI834" s="293"/>
      <c r="AJ834" s="293"/>
      <c r="AK834" s="297"/>
      <c r="AL834" s="297"/>
      <c r="AM834" s="297"/>
      <c r="AN834" s="297"/>
      <c r="AO834" s="295"/>
    </row>
    <row r="835" spans="2:41" ht="13">
      <c r="B835" s="294"/>
      <c r="C835" s="295"/>
      <c r="D835" s="295"/>
      <c r="E835" s="294"/>
      <c r="F835" s="294"/>
      <c r="G835" s="295"/>
      <c r="H835" s="295"/>
      <c r="I835" s="295"/>
      <c r="J835" s="295"/>
      <c r="K835" s="295"/>
      <c r="L835" s="295"/>
      <c r="N835" s="296"/>
      <c r="O835" s="296"/>
      <c r="P835" s="297"/>
      <c r="Q835" s="297"/>
      <c r="R835" s="297"/>
      <c r="S835" s="297"/>
      <c r="T835" s="298"/>
      <c r="U835" s="296"/>
      <c r="V835" s="296"/>
      <c r="W835" s="297"/>
      <c r="X835" s="297"/>
      <c r="Y835" s="297"/>
      <c r="Z835" s="297"/>
      <c r="AA835" s="299"/>
      <c r="AB835" s="296"/>
      <c r="AC835" s="296"/>
      <c r="AD835" s="297"/>
      <c r="AE835" s="297"/>
      <c r="AF835" s="297"/>
      <c r="AG835" s="297"/>
      <c r="AH835" s="295"/>
      <c r="AI835" s="293"/>
      <c r="AJ835" s="293"/>
      <c r="AK835" s="297"/>
      <c r="AL835" s="297"/>
      <c r="AM835" s="297"/>
      <c r="AN835" s="297"/>
      <c r="AO835" s="295"/>
    </row>
    <row r="836" spans="2:41" ht="13">
      <c r="B836" s="294"/>
      <c r="C836" s="295"/>
      <c r="D836" s="295"/>
      <c r="E836" s="294"/>
      <c r="F836" s="294"/>
      <c r="G836" s="295"/>
      <c r="H836" s="295"/>
      <c r="I836" s="295"/>
      <c r="J836" s="295"/>
      <c r="K836" s="295"/>
      <c r="L836" s="295"/>
      <c r="N836" s="296"/>
      <c r="O836" s="296"/>
      <c r="P836" s="297"/>
      <c r="Q836" s="297"/>
      <c r="R836" s="297"/>
      <c r="S836" s="297"/>
      <c r="T836" s="298"/>
      <c r="U836" s="296"/>
      <c r="V836" s="296"/>
      <c r="W836" s="297"/>
      <c r="X836" s="297"/>
      <c r="Y836" s="297"/>
      <c r="Z836" s="297"/>
      <c r="AA836" s="299"/>
      <c r="AB836" s="296"/>
      <c r="AC836" s="296"/>
      <c r="AD836" s="297"/>
      <c r="AE836" s="297"/>
      <c r="AF836" s="297"/>
      <c r="AG836" s="297"/>
      <c r="AH836" s="295"/>
      <c r="AI836" s="293"/>
      <c r="AJ836" s="293"/>
      <c r="AK836" s="297"/>
      <c r="AL836" s="297"/>
      <c r="AM836" s="297"/>
      <c r="AN836" s="297"/>
      <c r="AO836" s="295"/>
    </row>
    <row r="837" spans="2:41" ht="13">
      <c r="B837" s="294"/>
      <c r="C837" s="295"/>
      <c r="D837" s="295"/>
      <c r="E837" s="294"/>
      <c r="F837" s="294"/>
      <c r="G837" s="295"/>
      <c r="H837" s="295"/>
      <c r="I837" s="295"/>
      <c r="J837" s="295"/>
      <c r="K837" s="295"/>
      <c r="L837" s="295"/>
      <c r="N837" s="296"/>
      <c r="O837" s="296"/>
      <c r="P837" s="297"/>
      <c r="Q837" s="297"/>
      <c r="R837" s="297"/>
      <c r="S837" s="297"/>
      <c r="T837" s="298"/>
      <c r="U837" s="296"/>
      <c r="V837" s="296"/>
      <c r="W837" s="297"/>
      <c r="X837" s="297"/>
      <c r="Y837" s="297"/>
      <c r="Z837" s="297"/>
      <c r="AA837" s="299"/>
      <c r="AB837" s="296"/>
      <c r="AC837" s="296"/>
      <c r="AD837" s="297"/>
      <c r="AE837" s="297"/>
      <c r="AF837" s="297"/>
      <c r="AG837" s="297"/>
      <c r="AH837" s="295"/>
      <c r="AI837" s="293"/>
      <c r="AJ837" s="293"/>
      <c r="AK837" s="297"/>
      <c r="AL837" s="297"/>
      <c r="AM837" s="297"/>
      <c r="AN837" s="297"/>
      <c r="AO837" s="295"/>
    </row>
    <row r="838" spans="2:41" ht="13">
      <c r="B838" s="294"/>
      <c r="C838" s="295"/>
      <c r="D838" s="295"/>
      <c r="E838" s="294"/>
      <c r="F838" s="294"/>
      <c r="G838" s="295"/>
      <c r="H838" s="295"/>
      <c r="I838" s="295"/>
      <c r="J838" s="295"/>
      <c r="K838" s="295"/>
      <c r="L838" s="295"/>
      <c r="N838" s="296"/>
      <c r="O838" s="296"/>
      <c r="P838" s="297"/>
      <c r="Q838" s="297"/>
      <c r="R838" s="297"/>
      <c r="S838" s="297"/>
      <c r="T838" s="298"/>
      <c r="U838" s="296"/>
      <c r="V838" s="296"/>
      <c r="W838" s="297"/>
      <c r="X838" s="297"/>
      <c r="Y838" s="297"/>
      <c r="Z838" s="297"/>
      <c r="AA838" s="299"/>
      <c r="AB838" s="296"/>
      <c r="AC838" s="296"/>
      <c r="AD838" s="297"/>
      <c r="AE838" s="297"/>
      <c r="AF838" s="297"/>
      <c r="AG838" s="297"/>
      <c r="AH838" s="295"/>
      <c r="AI838" s="293"/>
      <c r="AJ838" s="293"/>
      <c r="AK838" s="297"/>
      <c r="AL838" s="297"/>
      <c r="AM838" s="297"/>
      <c r="AN838" s="297"/>
      <c r="AO838" s="295"/>
    </row>
    <row r="839" spans="2:41" ht="13">
      <c r="B839" s="294"/>
      <c r="C839" s="295"/>
      <c r="D839" s="295"/>
      <c r="E839" s="294"/>
      <c r="F839" s="294"/>
      <c r="G839" s="295"/>
      <c r="H839" s="295"/>
      <c r="I839" s="295"/>
      <c r="J839" s="295"/>
      <c r="K839" s="295"/>
      <c r="L839" s="295"/>
      <c r="N839" s="296"/>
      <c r="O839" s="296"/>
      <c r="P839" s="297"/>
      <c r="Q839" s="297"/>
      <c r="R839" s="297"/>
      <c r="S839" s="297"/>
      <c r="T839" s="298"/>
      <c r="U839" s="296"/>
      <c r="V839" s="296"/>
      <c r="W839" s="297"/>
      <c r="X839" s="297"/>
      <c r="Y839" s="297"/>
      <c r="Z839" s="297"/>
      <c r="AA839" s="299"/>
      <c r="AB839" s="296"/>
      <c r="AC839" s="296"/>
      <c r="AD839" s="297"/>
      <c r="AE839" s="297"/>
      <c r="AF839" s="297"/>
      <c r="AG839" s="297"/>
      <c r="AH839" s="295"/>
      <c r="AI839" s="293"/>
      <c r="AJ839" s="293"/>
      <c r="AK839" s="297"/>
      <c r="AL839" s="297"/>
      <c r="AM839" s="297"/>
      <c r="AN839" s="297"/>
      <c r="AO839" s="295"/>
    </row>
    <row r="840" spans="2:41" ht="13">
      <c r="B840" s="294"/>
      <c r="C840" s="295"/>
      <c r="D840" s="295"/>
      <c r="E840" s="294"/>
      <c r="F840" s="294"/>
      <c r="G840" s="295"/>
      <c r="H840" s="295"/>
      <c r="I840" s="295"/>
      <c r="J840" s="295"/>
      <c r="K840" s="295"/>
      <c r="L840" s="295"/>
      <c r="N840" s="296"/>
      <c r="O840" s="296"/>
      <c r="P840" s="297"/>
      <c r="Q840" s="297"/>
      <c r="R840" s="297"/>
      <c r="S840" s="297"/>
      <c r="T840" s="298"/>
      <c r="U840" s="296"/>
      <c r="V840" s="296"/>
      <c r="W840" s="297"/>
      <c r="X840" s="297"/>
      <c r="Y840" s="297"/>
      <c r="Z840" s="297"/>
      <c r="AA840" s="299"/>
      <c r="AB840" s="296"/>
      <c r="AC840" s="296"/>
      <c r="AD840" s="297"/>
      <c r="AE840" s="297"/>
      <c r="AF840" s="297"/>
      <c r="AG840" s="297"/>
      <c r="AH840" s="295"/>
      <c r="AI840" s="293"/>
      <c r="AJ840" s="293"/>
      <c r="AK840" s="297"/>
      <c r="AL840" s="297"/>
      <c r="AM840" s="297"/>
      <c r="AN840" s="297"/>
      <c r="AO840" s="295"/>
    </row>
    <row r="841" spans="2:41" ht="13">
      <c r="B841" s="294"/>
      <c r="C841" s="295"/>
      <c r="D841" s="295"/>
      <c r="E841" s="294"/>
      <c r="F841" s="294"/>
      <c r="G841" s="295"/>
      <c r="H841" s="295"/>
      <c r="I841" s="295"/>
      <c r="J841" s="295"/>
      <c r="K841" s="295"/>
      <c r="L841" s="295"/>
      <c r="N841" s="296"/>
      <c r="O841" s="296"/>
      <c r="P841" s="297"/>
      <c r="Q841" s="297"/>
      <c r="R841" s="297"/>
      <c r="S841" s="297"/>
      <c r="T841" s="298"/>
      <c r="U841" s="296"/>
      <c r="V841" s="296"/>
      <c r="W841" s="297"/>
      <c r="X841" s="297"/>
      <c r="Y841" s="297"/>
      <c r="Z841" s="297"/>
      <c r="AA841" s="299"/>
      <c r="AB841" s="296"/>
      <c r="AC841" s="296"/>
      <c r="AD841" s="297"/>
      <c r="AE841" s="297"/>
      <c r="AF841" s="297"/>
      <c r="AG841" s="297"/>
      <c r="AH841" s="295"/>
      <c r="AI841" s="293"/>
      <c r="AJ841" s="293"/>
      <c r="AK841" s="297"/>
      <c r="AL841" s="297"/>
      <c r="AM841" s="297"/>
      <c r="AN841" s="297"/>
      <c r="AO841" s="295"/>
    </row>
    <row r="842" spans="2:41" ht="13">
      <c r="B842" s="294"/>
      <c r="C842" s="295"/>
      <c r="D842" s="295"/>
      <c r="E842" s="294"/>
      <c r="F842" s="294"/>
      <c r="G842" s="295"/>
      <c r="H842" s="295"/>
      <c r="I842" s="295"/>
      <c r="J842" s="295"/>
      <c r="K842" s="295"/>
      <c r="L842" s="295"/>
      <c r="N842" s="296"/>
      <c r="O842" s="296"/>
      <c r="P842" s="297"/>
      <c r="Q842" s="297"/>
      <c r="R842" s="297"/>
      <c r="S842" s="297"/>
      <c r="T842" s="298"/>
      <c r="U842" s="296"/>
      <c r="V842" s="296"/>
      <c r="W842" s="297"/>
      <c r="X842" s="297"/>
      <c r="Y842" s="297"/>
      <c r="Z842" s="297"/>
      <c r="AA842" s="299"/>
      <c r="AB842" s="296"/>
      <c r="AC842" s="296"/>
      <c r="AD842" s="297"/>
      <c r="AE842" s="297"/>
      <c r="AF842" s="297"/>
      <c r="AG842" s="297"/>
      <c r="AH842" s="295"/>
      <c r="AI842" s="293"/>
      <c r="AJ842" s="293"/>
      <c r="AK842" s="297"/>
      <c r="AL842" s="297"/>
      <c r="AM842" s="297"/>
      <c r="AN842" s="297"/>
      <c r="AO842" s="295"/>
    </row>
    <row r="843" spans="2:41" ht="13">
      <c r="B843" s="294"/>
      <c r="C843" s="295"/>
      <c r="D843" s="295"/>
      <c r="E843" s="294"/>
      <c r="F843" s="294"/>
      <c r="G843" s="295"/>
      <c r="H843" s="295"/>
      <c r="I843" s="295"/>
      <c r="J843" s="295"/>
      <c r="K843" s="295"/>
      <c r="L843" s="295"/>
      <c r="N843" s="296"/>
      <c r="O843" s="296"/>
      <c r="P843" s="297"/>
      <c r="Q843" s="297"/>
      <c r="R843" s="297"/>
      <c r="S843" s="297"/>
      <c r="T843" s="298"/>
      <c r="U843" s="296"/>
      <c r="V843" s="296"/>
      <c r="W843" s="297"/>
      <c r="X843" s="297"/>
      <c r="Y843" s="297"/>
      <c r="Z843" s="297"/>
      <c r="AA843" s="299"/>
      <c r="AB843" s="296"/>
      <c r="AC843" s="296"/>
      <c r="AD843" s="297"/>
      <c r="AE843" s="297"/>
      <c r="AF843" s="297"/>
      <c r="AG843" s="297"/>
      <c r="AH843" s="295"/>
      <c r="AI843" s="293"/>
      <c r="AJ843" s="293"/>
      <c r="AK843" s="297"/>
      <c r="AL843" s="297"/>
      <c r="AM843" s="297"/>
      <c r="AN843" s="297"/>
      <c r="AO843" s="295"/>
    </row>
    <row r="844" spans="2:41" ht="13">
      <c r="B844" s="294"/>
      <c r="C844" s="295"/>
      <c r="D844" s="295"/>
      <c r="E844" s="294"/>
      <c r="F844" s="294"/>
      <c r="G844" s="295"/>
      <c r="H844" s="295"/>
      <c r="I844" s="295"/>
      <c r="J844" s="295"/>
      <c r="K844" s="295"/>
      <c r="L844" s="295"/>
      <c r="N844" s="296"/>
      <c r="O844" s="296"/>
      <c r="P844" s="297"/>
      <c r="Q844" s="297"/>
      <c r="R844" s="297"/>
      <c r="S844" s="297"/>
      <c r="T844" s="298"/>
      <c r="U844" s="296"/>
      <c r="V844" s="296"/>
      <c r="W844" s="297"/>
      <c r="X844" s="297"/>
      <c r="Y844" s="297"/>
      <c r="Z844" s="297"/>
      <c r="AA844" s="299"/>
      <c r="AB844" s="296"/>
      <c r="AC844" s="296"/>
      <c r="AD844" s="297"/>
      <c r="AE844" s="297"/>
      <c r="AF844" s="297"/>
      <c r="AG844" s="297"/>
      <c r="AH844" s="295"/>
      <c r="AI844" s="293"/>
      <c r="AJ844" s="293"/>
      <c r="AK844" s="297"/>
      <c r="AL844" s="297"/>
      <c r="AM844" s="297"/>
      <c r="AN844" s="297"/>
      <c r="AO844" s="295"/>
    </row>
    <row r="845" spans="2:41" ht="13">
      <c r="B845" s="294"/>
      <c r="C845" s="295"/>
      <c r="D845" s="295"/>
      <c r="E845" s="294"/>
      <c r="F845" s="294"/>
      <c r="G845" s="295"/>
      <c r="H845" s="295"/>
      <c r="I845" s="295"/>
      <c r="J845" s="295"/>
      <c r="K845" s="295"/>
      <c r="L845" s="295"/>
      <c r="N845" s="296"/>
      <c r="O845" s="296"/>
      <c r="P845" s="297"/>
      <c r="Q845" s="297"/>
      <c r="R845" s="297"/>
      <c r="S845" s="297"/>
      <c r="T845" s="298"/>
      <c r="U845" s="296"/>
      <c r="V845" s="296"/>
      <c r="W845" s="297"/>
      <c r="X845" s="297"/>
      <c r="Y845" s="297"/>
      <c r="Z845" s="297"/>
      <c r="AA845" s="299"/>
      <c r="AB845" s="296"/>
      <c r="AC845" s="296"/>
      <c r="AD845" s="297"/>
      <c r="AE845" s="297"/>
      <c r="AF845" s="297"/>
      <c r="AG845" s="297"/>
      <c r="AH845" s="295"/>
      <c r="AI845" s="293"/>
      <c r="AJ845" s="293"/>
      <c r="AK845" s="297"/>
      <c r="AL845" s="297"/>
      <c r="AM845" s="297"/>
      <c r="AN845" s="297"/>
      <c r="AO845" s="295"/>
    </row>
    <row r="846" spans="2:41" ht="13">
      <c r="B846" s="294"/>
      <c r="C846" s="295"/>
      <c r="D846" s="295"/>
      <c r="E846" s="294"/>
      <c r="F846" s="294"/>
      <c r="G846" s="295"/>
      <c r="H846" s="295"/>
      <c r="I846" s="295"/>
      <c r="J846" s="295"/>
      <c r="K846" s="295"/>
      <c r="L846" s="295"/>
      <c r="N846" s="296"/>
      <c r="O846" s="296"/>
      <c r="P846" s="297"/>
      <c r="Q846" s="297"/>
      <c r="R846" s="297"/>
      <c r="S846" s="297"/>
      <c r="T846" s="298"/>
      <c r="U846" s="296"/>
      <c r="V846" s="296"/>
      <c r="W846" s="297"/>
      <c r="X846" s="297"/>
      <c r="Y846" s="297"/>
      <c r="Z846" s="297"/>
      <c r="AA846" s="299"/>
      <c r="AB846" s="296"/>
      <c r="AC846" s="296"/>
      <c r="AD846" s="297"/>
      <c r="AE846" s="297"/>
      <c r="AF846" s="297"/>
      <c r="AG846" s="297"/>
      <c r="AH846" s="295"/>
      <c r="AI846" s="293"/>
      <c r="AJ846" s="293"/>
      <c r="AK846" s="297"/>
      <c r="AL846" s="297"/>
      <c r="AM846" s="297"/>
      <c r="AN846" s="297"/>
      <c r="AO846" s="295"/>
    </row>
    <row r="847" spans="2:41" ht="13">
      <c r="B847" s="294"/>
      <c r="C847" s="295"/>
      <c r="D847" s="295"/>
      <c r="E847" s="294"/>
      <c r="F847" s="294"/>
      <c r="G847" s="295"/>
      <c r="H847" s="295"/>
      <c r="I847" s="295"/>
      <c r="J847" s="295"/>
      <c r="K847" s="295"/>
      <c r="L847" s="295"/>
      <c r="N847" s="296"/>
      <c r="O847" s="296"/>
      <c r="P847" s="297"/>
      <c r="Q847" s="297"/>
      <c r="R847" s="297"/>
      <c r="S847" s="297"/>
      <c r="T847" s="298"/>
      <c r="U847" s="296"/>
      <c r="V847" s="296"/>
      <c r="W847" s="297"/>
      <c r="X847" s="297"/>
      <c r="Y847" s="297"/>
      <c r="Z847" s="297"/>
      <c r="AA847" s="299"/>
      <c r="AB847" s="296"/>
      <c r="AC847" s="296"/>
      <c r="AD847" s="297"/>
      <c r="AE847" s="297"/>
      <c r="AF847" s="297"/>
      <c r="AG847" s="297"/>
      <c r="AH847" s="295"/>
      <c r="AI847" s="293"/>
      <c r="AJ847" s="293"/>
      <c r="AK847" s="297"/>
      <c r="AL847" s="297"/>
      <c r="AM847" s="297"/>
      <c r="AN847" s="297"/>
      <c r="AO847" s="295"/>
    </row>
    <row r="848" spans="2:41" ht="13">
      <c r="B848" s="294"/>
      <c r="C848" s="295"/>
      <c r="D848" s="295"/>
      <c r="E848" s="294"/>
      <c r="F848" s="294"/>
      <c r="G848" s="295"/>
      <c r="H848" s="295"/>
      <c r="I848" s="295"/>
      <c r="J848" s="295"/>
      <c r="K848" s="295"/>
      <c r="L848" s="295"/>
      <c r="N848" s="296"/>
      <c r="O848" s="296"/>
      <c r="P848" s="297"/>
      <c r="Q848" s="297"/>
      <c r="R848" s="297"/>
      <c r="S848" s="297"/>
      <c r="T848" s="298"/>
      <c r="U848" s="296"/>
      <c r="V848" s="296"/>
      <c r="W848" s="297"/>
      <c r="X848" s="297"/>
      <c r="Y848" s="297"/>
      <c r="Z848" s="297"/>
      <c r="AA848" s="299"/>
      <c r="AB848" s="296"/>
      <c r="AC848" s="296"/>
      <c r="AD848" s="297"/>
      <c r="AE848" s="297"/>
      <c r="AF848" s="297"/>
      <c r="AG848" s="297"/>
      <c r="AH848" s="295"/>
      <c r="AI848" s="293"/>
      <c r="AJ848" s="293"/>
      <c r="AK848" s="297"/>
      <c r="AL848" s="297"/>
      <c r="AM848" s="297"/>
      <c r="AN848" s="297"/>
      <c r="AO848" s="295"/>
    </row>
    <row r="849" spans="2:41" ht="13">
      <c r="B849" s="294"/>
      <c r="C849" s="295"/>
      <c r="D849" s="295"/>
      <c r="E849" s="294"/>
      <c r="F849" s="294"/>
      <c r="G849" s="295"/>
      <c r="H849" s="295"/>
      <c r="I849" s="295"/>
      <c r="J849" s="295"/>
      <c r="K849" s="295"/>
      <c r="L849" s="295"/>
      <c r="N849" s="296"/>
      <c r="O849" s="296"/>
      <c r="P849" s="297"/>
      <c r="Q849" s="297"/>
      <c r="R849" s="297"/>
      <c r="S849" s="297"/>
      <c r="T849" s="298"/>
      <c r="U849" s="296"/>
      <c r="V849" s="296"/>
      <c r="W849" s="297"/>
      <c r="X849" s="297"/>
      <c r="Y849" s="297"/>
      <c r="Z849" s="297"/>
      <c r="AA849" s="299"/>
      <c r="AB849" s="296"/>
      <c r="AC849" s="296"/>
      <c r="AD849" s="297"/>
      <c r="AE849" s="297"/>
      <c r="AF849" s="297"/>
      <c r="AG849" s="297"/>
      <c r="AH849" s="295"/>
      <c r="AI849" s="293"/>
      <c r="AJ849" s="293"/>
      <c r="AK849" s="297"/>
      <c r="AL849" s="297"/>
      <c r="AM849" s="297"/>
      <c r="AN849" s="297"/>
      <c r="AO849" s="295"/>
    </row>
    <row r="850" spans="2:41" ht="13">
      <c r="B850" s="294"/>
      <c r="C850" s="295"/>
      <c r="D850" s="295"/>
      <c r="E850" s="294"/>
      <c r="F850" s="294"/>
      <c r="G850" s="295"/>
      <c r="H850" s="295"/>
      <c r="I850" s="295"/>
      <c r="J850" s="295"/>
      <c r="K850" s="295"/>
      <c r="L850" s="295"/>
      <c r="N850" s="296"/>
      <c r="O850" s="296"/>
      <c r="P850" s="297"/>
      <c r="Q850" s="297"/>
      <c r="R850" s="297"/>
      <c r="S850" s="297"/>
      <c r="T850" s="298"/>
      <c r="U850" s="296"/>
      <c r="V850" s="296"/>
      <c r="W850" s="297"/>
      <c r="X850" s="297"/>
      <c r="Y850" s="297"/>
      <c r="Z850" s="297"/>
      <c r="AA850" s="299"/>
      <c r="AB850" s="296"/>
      <c r="AC850" s="296"/>
      <c r="AD850" s="297"/>
      <c r="AE850" s="297"/>
      <c r="AF850" s="297"/>
      <c r="AG850" s="297"/>
      <c r="AH850" s="295"/>
      <c r="AI850" s="293"/>
      <c r="AJ850" s="293"/>
      <c r="AK850" s="297"/>
      <c r="AL850" s="297"/>
      <c r="AM850" s="297"/>
      <c r="AN850" s="297"/>
      <c r="AO850" s="295"/>
    </row>
    <row r="851" spans="2:41" ht="13">
      <c r="B851" s="294"/>
      <c r="C851" s="295"/>
      <c r="D851" s="295"/>
      <c r="E851" s="294"/>
      <c r="F851" s="294"/>
      <c r="G851" s="295"/>
      <c r="H851" s="295"/>
      <c r="I851" s="295"/>
      <c r="J851" s="295"/>
      <c r="K851" s="295"/>
      <c r="L851" s="295"/>
      <c r="N851" s="296"/>
      <c r="O851" s="296"/>
      <c r="P851" s="297"/>
      <c r="Q851" s="297"/>
      <c r="R851" s="297"/>
      <c r="S851" s="297"/>
      <c r="T851" s="298"/>
      <c r="U851" s="296"/>
      <c r="V851" s="296"/>
      <c r="W851" s="297"/>
      <c r="X851" s="297"/>
      <c r="Y851" s="297"/>
      <c r="Z851" s="297"/>
      <c r="AA851" s="299"/>
      <c r="AB851" s="296"/>
      <c r="AC851" s="296"/>
      <c r="AD851" s="297"/>
      <c r="AE851" s="297"/>
      <c r="AF851" s="297"/>
      <c r="AG851" s="297"/>
      <c r="AH851" s="295"/>
      <c r="AI851" s="293"/>
      <c r="AJ851" s="293"/>
      <c r="AK851" s="297"/>
      <c r="AL851" s="297"/>
      <c r="AM851" s="297"/>
      <c r="AN851" s="297"/>
      <c r="AO851" s="295"/>
    </row>
    <row r="852" spans="2:41" ht="13">
      <c r="B852" s="294"/>
      <c r="C852" s="295"/>
      <c r="D852" s="295"/>
      <c r="E852" s="294"/>
      <c r="F852" s="294"/>
      <c r="G852" s="295"/>
      <c r="H852" s="295"/>
      <c r="I852" s="295"/>
      <c r="J852" s="295"/>
      <c r="K852" s="295"/>
      <c r="L852" s="295"/>
      <c r="N852" s="296"/>
      <c r="O852" s="296"/>
      <c r="P852" s="297"/>
      <c r="Q852" s="297"/>
      <c r="R852" s="297"/>
      <c r="S852" s="297"/>
      <c r="T852" s="298"/>
      <c r="U852" s="296"/>
      <c r="V852" s="296"/>
      <c r="W852" s="297"/>
      <c r="X852" s="297"/>
      <c r="Y852" s="297"/>
      <c r="Z852" s="297"/>
      <c r="AA852" s="299"/>
      <c r="AB852" s="296"/>
      <c r="AC852" s="296"/>
      <c r="AD852" s="297"/>
      <c r="AE852" s="297"/>
      <c r="AF852" s="297"/>
      <c r="AG852" s="297"/>
      <c r="AH852" s="295"/>
      <c r="AI852" s="293"/>
      <c r="AJ852" s="293"/>
      <c r="AK852" s="297"/>
      <c r="AL852" s="297"/>
      <c r="AM852" s="297"/>
      <c r="AN852" s="297"/>
      <c r="AO852" s="295"/>
    </row>
    <row r="853" spans="2:41" ht="13">
      <c r="B853" s="294"/>
      <c r="C853" s="295"/>
      <c r="D853" s="295"/>
      <c r="E853" s="294"/>
      <c r="F853" s="294"/>
      <c r="G853" s="295"/>
      <c r="H853" s="295"/>
      <c r="I853" s="295"/>
      <c r="J853" s="295"/>
      <c r="K853" s="295"/>
      <c r="L853" s="295"/>
      <c r="N853" s="296"/>
      <c r="O853" s="296"/>
      <c r="P853" s="297"/>
      <c r="Q853" s="297"/>
      <c r="R853" s="297"/>
      <c r="S853" s="297"/>
      <c r="T853" s="298"/>
      <c r="U853" s="296"/>
      <c r="V853" s="296"/>
      <c r="W853" s="297"/>
      <c r="X853" s="297"/>
      <c r="Y853" s="297"/>
      <c r="Z853" s="297"/>
      <c r="AA853" s="299"/>
      <c r="AB853" s="296"/>
      <c r="AC853" s="296"/>
      <c r="AD853" s="297"/>
      <c r="AE853" s="297"/>
      <c r="AF853" s="297"/>
      <c r="AG853" s="297"/>
      <c r="AH853" s="295"/>
      <c r="AI853" s="293"/>
      <c r="AJ853" s="293"/>
      <c r="AK853" s="297"/>
      <c r="AL853" s="297"/>
      <c r="AM853" s="297"/>
      <c r="AN853" s="297"/>
      <c r="AO853" s="295"/>
    </row>
    <row r="854" spans="2:41" ht="13">
      <c r="B854" s="294"/>
      <c r="C854" s="295"/>
      <c r="D854" s="295"/>
      <c r="E854" s="294"/>
      <c r="F854" s="294"/>
      <c r="G854" s="295"/>
      <c r="H854" s="295"/>
      <c r="I854" s="295"/>
      <c r="J854" s="295"/>
      <c r="K854" s="295"/>
      <c r="L854" s="295"/>
      <c r="N854" s="296"/>
      <c r="O854" s="296"/>
      <c r="P854" s="297"/>
      <c r="Q854" s="297"/>
      <c r="R854" s="297"/>
      <c r="S854" s="297"/>
      <c r="T854" s="298"/>
      <c r="U854" s="296"/>
      <c r="V854" s="296"/>
      <c r="W854" s="297"/>
      <c r="X854" s="297"/>
      <c r="Y854" s="297"/>
      <c r="Z854" s="297"/>
      <c r="AA854" s="299"/>
      <c r="AB854" s="296"/>
      <c r="AC854" s="296"/>
      <c r="AD854" s="297"/>
      <c r="AE854" s="297"/>
      <c r="AF854" s="297"/>
      <c r="AG854" s="297"/>
      <c r="AH854" s="295"/>
      <c r="AI854" s="293"/>
      <c r="AJ854" s="293"/>
      <c r="AK854" s="297"/>
      <c r="AL854" s="297"/>
      <c r="AM854" s="297"/>
      <c r="AN854" s="297"/>
      <c r="AO854" s="295"/>
    </row>
    <row r="855" spans="2:41" ht="13">
      <c r="B855" s="294"/>
      <c r="C855" s="295"/>
      <c r="D855" s="295"/>
      <c r="E855" s="294"/>
      <c r="F855" s="294"/>
      <c r="G855" s="295"/>
      <c r="H855" s="295"/>
      <c r="I855" s="295"/>
      <c r="J855" s="295"/>
      <c r="K855" s="295"/>
      <c r="L855" s="295"/>
      <c r="N855" s="296"/>
      <c r="O855" s="296"/>
      <c r="P855" s="297"/>
      <c r="Q855" s="297"/>
      <c r="R855" s="297"/>
      <c r="S855" s="297"/>
      <c r="T855" s="298"/>
      <c r="U855" s="296"/>
      <c r="V855" s="296"/>
      <c r="W855" s="297"/>
      <c r="X855" s="297"/>
      <c r="Y855" s="297"/>
      <c r="Z855" s="297"/>
      <c r="AA855" s="299"/>
      <c r="AB855" s="296"/>
      <c r="AC855" s="296"/>
      <c r="AD855" s="297"/>
      <c r="AE855" s="297"/>
      <c r="AF855" s="297"/>
      <c r="AG855" s="297"/>
      <c r="AH855" s="295"/>
      <c r="AI855" s="293"/>
      <c r="AJ855" s="293"/>
      <c r="AK855" s="297"/>
      <c r="AL855" s="297"/>
      <c r="AM855" s="297"/>
      <c r="AN855" s="297"/>
      <c r="AO855" s="295"/>
    </row>
    <row r="856" spans="2:41" ht="13">
      <c r="B856" s="294"/>
      <c r="C856" s="295"/>
      <c r="D856" s="295"/>
      <c r="E856" s="294"/>
      <c r="F856" s="294"/>
      <c r="G856" s="295"/>
      <c r="H856" s="295"/>
      <c r="I856" s="295"/>
      <c r="J856" s="295"/>
      <c r="K856" s="295"/>
      <c r="L856" s="295"/>
      <c r="N856" s="296"/>
      <c r="O856" s="296"/>
      <c r="P856" s="297"/>
      <c r="Q856" s="297"/>
      <c r="R856" s="297"/>
      <c r="S856" s="297"/>
      <c r="T856" s="298"/>
      <c r="U856" s="296"/>
      <c r="V856" s="296"/>
      <c r="W856" s="297"/>
      <c r="X856" s="297"/>
      <c r="Y856" s="297"/>
      <c r="Z856" s="297"/>
      <c r="AA856" s="299"/>
      <c r="AB856" s="296"/>
      <c r="AC856" s="296"/>
      <c r="AD856" s="297"/>
      <c r="AE856" s="297"/>
      <c r="AF856" s="297"/>
      <c r="AG856" s="297"/>
      <c r="AH856" s="295"/>
      <c r="AI856" s="293"/>
      <c r="AJ856" s="293"/>
      <c r="AK856" s="297"/>
      <c r="AL856" s="297"/>
      <c r="AM856" s="297"/>
      <c r="AN856" s="297"/>
      <c r="AO856" s="295"/>
    </row>
    <row r="857" spans="2:41" ht="13">
      <c r="B857" s="294"/>
      <c r="C857" s="295"/>
      <c r="D857" s="295"/>
      <c r="E857" s="294"/>
      <c r="F857" s="294"/>
      <c r="G857" s="295"/>
      <c r="H857" s="295"/>
      <c r="I857" s="295"/>
      <c r="J857" s="295"/>
      <c r="K857" s="295"/>
      <c r="L857" s="295"/>
      <c r="N857" s="296"/>
      <c r="O857" s="296"/>
      <c r="P857" s="297"/>
      <c r="Q857" s="297"/>
      <c r="R857" s="297"/>
      <c r="S857" s="297"/>
      <c r="T857" s="298"/>
      <c r="U857" s="296"/>
      <c r="V857" s="296"/>
      <c r="W857" s="297"/>
      <c r="X857" s="297"/>
      <c r="Y857" s="297"/>
      <c r="Z857" s="297"/>
      <c r="AA857" s="299"/>
      <c r="AB857" s="296"/>
      <c r="AC857" s="296"/>
      <c r="AD857" s="297"/>
      <c r="AE857" s="297"/>
      <c r="AF857" s="297"/>
      <c r="AG857" s="297"/>
      <c r="AH857" s="295"/>
      <c r="AI857" s="293"/>
      <c r="AJ857" s="293"/>
      <c r="AK857" s="297"/>
      <c r="AL857" s="297"/>
      <c r="AM857" s="297"/>
      <c r="AN857" s="297"/>
      <c r="AO857" s="295"/>
    </row>
    <row r="858" spans="2:41" ht="13">
      <c r="B858" s="294"/>
      <c r="C858" s="295"/>
      <c r="D858" s="295"/>
      <c r="E858" s="294"/>
      <c r="F858" s="294"/>
      <c r="G858" s="295"/>
      <c r="H858" s="295"/>
      <c r="I858" s="295"/>
      <c r="J858" s="295"/>
      <c r="K858" s="295"/>
      <c r="L858" s="295"/>
      <c r="N858" s="296"/>
      <c r="O858" s="296"/>
      <c r="P858" s="297"/>
      <c r="Q858" s="297"/>
      <c r="R858" s="297"/>
      <c r="S858" s="297"/>
      <c r="T858" s="298"/>
      <c r="U858" s="296"/>
      <c r="V858" s="296"/>
      <c r="W858" s="297"/>
      <c r="X858" s="297"/>
      <c r="Y858" s="297"/>
      <c r="Z858" s="297"/>
      <c r="AA858" s="299"/>
      <c r="AB858" s="296"/>
      <c r="AC858" s="296"/>
      <c r="AD858" s="297"/>
      <c r="AE858" s="297"/>
      <c r="AF858" s="297"/>
      <c r="AG858" s="297"/>
      <c r="AH858" s="295"/>
      <c r="AI858" s="293"/>
      <c r="AJ858" s="293"/>
      <c r="AK858" s="297"/>
      <c r="AL858" s="297"/>
      <c r="AM858" s="297"/>
      <c r="AN858" s="297"/>
      <c r="AO858" s="295"/>
    </row>
    <row r="859" spans="2:41" ht="13">
      <c r="B859" s="294"/>
      <c r="C859" s="295"/>
      <c r="D859" s="295"/>
      <c r="E859" s="294"/>
      <c r="F859" s="294"/>
      <c r="G859" s="295"/>
      <c r="H859" s="295"/>
      <c r="I859" s="295"/>
      <c r="J859" s="295"/>
      <c r="K859" s="295"/>
      <c r="L859" s="295"/>
      <c r="N859" s="296"/>
      <c r="O859" s="296"/>
      <c r="P859" s="297"/>
      <c r="Q859" s="297"/>
      <c r="R859" s="297"/>
      <c r="S859" s="297"/>
      <c r="T859" s="298"/>
      <c r="U859" s="296"/>
      <c r="V859" s="296"/>
      <c r="W859" s="297"/>
      <c r="X859" s="297"/>
      <c r="Y859" s="297"/>
      <c r="Z859" s="297"/>
      <c r="AA859" s="299"/>
      <c r="AB859" s="296"/>
      <c r="AC859" s="296"/>
      <c r="AD859" s="297"/>
      <c r="AE859" s="297"/>
      <c r="AF859" s="297"/>
      <c r="AG859" s="297"/>
      <c r="AH859" s="295"/>
      <c r="AI859" s="293"/>
      <c r="AJ859" s="293"/>
      <c r="AK859" s="297"/>
      <c r="AL859" s="297"/>
      <c r="AM859" s="297"/>
      <c r="AN859" s="297"/>
      <c r="AO859" s="295"/>
    </row>
    <row r="860" spans="2:41" ht="13">
      <c r="B860" s="294"/>
      <c r="C860" s="295"/>
      <c r="D860" s="295"/>
      <c r="E860" s="294"/>
      <c r="F860" s="294"/>
      <c r="G860" s="295"/>
      <c r="H860" s="295"/>
      <c r="I860" s="295"/>
      <c r="J860" s="295"/>
      <c r="K860" s="295"/>
      <c r="L860" s="295"/>
      <c r="N860" s="296"/>
      <c r="O860" s="296"/>
      <c r="P860" s="297"/>
      <c r="Q860" s="297"/>
      <c r="R860" s="297"/>
      <c r="S860" s="297"/>
      <c r="T860" s="298"/>
      <c r="U860" s="296"/>
      <c r="V860" s="296"/>
      <c r="W860" s="297"/>
      <c r="X860" s="297"/>
      <c r="Y860" s="297"/>
      <c r="Z860" s="297"/>
      <c r="AA860" s="299"/>
      <c r="AB860" s="296"/>
      <c r="AC860" s="296"/>
      <c r="AD860" s="297"/>
      <c r="AE860" s="297"/>
      <c r="AF860" s="297"/>
      <c r="AG860" s="297"/>
      <c r="AH860" s="295"/>
      <c r="AI860" s="293"/>
      <c r="AJ860" s="293"/>
      <c r="AK860" s="297"/>
      <c r="AL860" s="297"/>
      <c r="AM860" s="297"/>
      <c r="AN860" s="297"/>
      <c r="AO860" s="295"/>
    </row>
    <row r="861" spans="2:41" ht="13">
      <c r="B861" s="294"/>
      <c r="C861" s="295"/>
      <c r="D861" s="295"/>
      <c r="E861" s="294"/>
      <c r="F861" s="294"/>
      <c r="G861" s="295"/>
      <c r="H861" s="295"/>
      <c r="I861" s="295"/>
      <c r="J861" s="295"/>
      <c r="K861" s="295"/>
      <c r="L861" s="295"/>
      <c r="N861" s="296"/>
      <c r="O861" s="296"/>
      <c r="P861" s="297"/>
      <c r="Q861" s="297"/>
      <c r="R861" s="297"/>
      <c r="S861" s="297"/>
      <c r="T861" s="298"/>
      <c r="U861" s="296"/>
      <c r="V861" s="296"/>
      <c r="W861" s="297"/>
      <c r="X861" s="297"/>
      <c r="Y861" s="297"/>
      <c r="Z861" s="297"/>
      <c r="AA861" s="299"/>
      <c r="AB861" s="296"/>
      <c r="AC861" s="296"/>
      <c r="AD861" s="297"/>
      <c r="AE861" s="297"/>
      <c r="AF861" s="297"/>
      <c r="AG861" s="297"/>
      <c r="AH861" s="295"/>
      <c r="AI861" s="293"/>
      <c r="AJ861" s="293"/>
      <c r="AK861" s="297"/>
      <c r="AL861" s="297"/>
      <c r="AM861" s="297"/>
      <c r="AN861" s="297"/>
      <c r="AO861" s="295"/>
    </row>
    <row r="862" spans="2:41" ht="13">
      <c r="B862" s="294"/>
      <c r="C862" s="295"/>
      <c r="D862" s="295"/>
      <c r="E862" s="294"/>
      <c r="F862" s="294"/>
      <c r="G862" s="295"/>
      <c r="H862" s="295"/>
      <c r="I862" s="295"/>
      <c r="J862" s="295"/>
      <c r="K862" s="295"/>
      <c r="L862" s="295"/>
      <c r="N862" s="296"/>
      <c r="O862" s="296"/>
      <c r="P862" s="297"/>
      <c r="Q862" s="297"/>
      <c r="R862" s="297"/>
      <c r="S862" s="297"/>
      <c r="T862" s="298"/>
      <c r="U862" s="296"/>
      <c r="V862" s="296"/>
      <c r="W862" s="297"/>
      <c r="X862" s="297"/>
      <c r="Y862" s="297"/>
      <c r="Z862" s="297"/>
      <c r="AA862" s="299"/>
      <c r="AB862" s="296"/>
      <c r="AC862" s="296"/>
      <c r="AD862" s="297"/>
      <c r="AE862" s="297"/>
      <c r="AF862" s="297"/>
      <c r="AG862" s="297"/>
      <c r="AH862" s="295"/>
      <c r="AI862" s="293"/>
      <c r="AJ862" s="293"/>
      <c r="AK862" s="297"/>
      <c r="AL862" s="297"/>
      <c r="AM862" s="297"/>
      <c r="AN862" s="297"/>
      <c r="AO862" s="295"/>
    </row>
    <row r="863" spans="2:41" ht="13">
      <c r="B863" s="294"/>
      <c r="C863" s="295"/>
      <c r="D863" s="295"/>
      <c r="E863" s="294"/>
      <c r="F863" s="294"/>
      <c r="G863" s="295"/>
      <c r="H863" s="295"/>
      <c r="I863" s="295"/>
      <c r="J863" s="295"/>
      <c r="K863" s="295"/>
      <c r="L863" s="295"/>
      <c r="N863" s="296"/>
      <c r="O863" s="296"/>
      <c r="P863" s="297"/>
      <c r="Q863" s="297"/>
      <c r="R863" s="297"/>
      <c r="S863" s="297"/>
      <c r="T863" s="298"/>
      <c r="U863" s="296"/>
      <c r="V863" s="296"/>
      <c r="W863" s="297"/>
      <c r="X863" s="297"/>
      <c r="Y863" s="297"/>
      <c r="Z863" s="297"/>
      <c r="AA863" s="299"/>
      <c r="AB863" s="296"/>
      <c r="AC863" s="296"/>
      <c r="AD863" s="297"/>
      <c r="AE863" s="297"/>
      <c r="AF863" s="297"/>
      <c r="AG863" s="297"/>
      <c r="AH863" s="295"/>
      <c r="AI863" s="293"/>
      <c r="AJ863" s="293"/>
      <c r="AK863" s="297"/>
      <c r="AL863" s="297"/>
      <c r="AM863" s="297"/>
      <c r="AN863" s="297"/>
      <c r="AO863" s="295"/>
    </row>
    <row r="864" spans="2:41" ht="13">
      <c r="B864" s="294"/>
      <c r="C864" s="295"/>
      <c r="D864" s="295"/>
      <c r="E864" s="294"/>
      <c r="F864" s="294"/>
      <c r="G864" s="295"/>
      <c r="H864" s="295"/>
      <c r="I864" s="295"/>
      <c r="J864" s="295"/>
      <c r="K864" s="295"/>
      <c r="L864" s="295"/>
      <c r="N864" s="296"/>
      <c r="O864" s="296"/>
      <c r="P864" s="297"/>
      <c r="Q864" s="297"/>
      <c r="R864" s="297"/>
      <c r="S864" s="297"/>
      <c r="T864" s="298"/>
      <c r="U864" s="296"/>
      <c r="V864" s="296"/>
      <c r="W864" s="297"/>
      <c r="X864" s="297"/>
      <c r="Y864" s="297"/>
      <c r="Z864" s="297"/>
      <c r="AA864" s="299"/>
      <c r="AB864" s="296"/>
      <c r="AC864" s="296"/>
      <c r="AD864" s="297"/>
      <c r="AE864" s="297"/>
      <c r="AF864" s="297"/>
      <c r="AG864" s="297"/>
      <c r="AH864" s="295"/>
      <c r="AI864" s="293"/>
      <c r="AJ864" s="293"/>
      <c r="AK864" s="297"/>
      <c r="AL864" s="297"/>
      <c r="AM864" s="297"/>
      <c r="AN864" s="297"/>
      <c r="AO864" s="295"/>
    </row>
    <row r="865" spans="2:41" ht="13">
      <c r="B865" s="294"/>
      <c r="C865" s="295"/>
      <c r="D865" s="295"/>
      <c r="E865" s="294"/>
      <c r="F865" s="294"/>
      <c r="G865" s="295"/>
      <c r="H865" s="295"/>
      <c r="I865" s="295"/>
      <c r="J865" s="295"/>
      <c r="K865" s="295"/>
      <c r="L865" s="295"/>
      <c r="N865" s="296"/>
      <c r="O865" s="296"/>
      <c r="P865" s="297"/>
      <c r="Q865" s="297"/>
      <c r="R865" s="297"/>
      <c r="S865" s="297"/>
      <c r="T865" s="298"/>
      <c r="U865" s="296"/>
      <c r="V865" s="296"/>
      <c r="W865" s="297"/>
      <c r="X865" s="297"/>
      <c r="Y865" s="297"/>
      <c r="Z865" s="297"/>
      <c r="AA865" s="299"/>
      <c r="AB865" s="296"/>
      <c r="AC865" s="296"/>
      <c r="AD865" s="297"/>
      <c r="AE865" s="297"/>
      <c r="AF865" s="297"/>
      <c r="AG865" s="297"/>
      <c r="AH865" s="295"/>
      <c r="AI865" s="293"/>
      <c r="AJ865" s="293"/>
      <c r="AK865" s="297"/>
      <c r="AL865" s="297"/>
      <c r="AM865" s="297"/>
      <c r="AN865" s="297"/>
      <c r="AO865" s="295"/>
    </row>
    <row r="866" spans="2:41" ht="13">
      <c r="B866" s="294"/>
      <c r="C866" s="295"/>
      <c r="D866" s="295"/>
      <c r="E866" s="294"/>
      <c r="F866" s="294"/>
      <c r="G866" s="295"/>
      <c r="H866" s="295"/>
      <c r="I866" s="295"/>
      <c r="J866" s="295"/>
      <c r="K866" s="295"/>
      <c r="L866" s="295"/>
      <c r="N866" s="296"/>
      <c r="O866" s="296"/>
      <c r="P866" s="297"/>
      <c r="Q866" s="297"/>
      <c r="R866" s="297"/>
      <c r="S866" s="297"/>
      <c r="T866" s="298"/>
      <c r="U866" s="296"/>
      <c r="V866" s="296"/>
      <c r="W866" s="297"/>
      <c r="X866" s="297"/>
      <c r="Y866" s="297"/>
      <c r="Z866" s="297"/>
      <c r="AA866" s="299"/>
      <c r="AB866" s="296"/>
      <c r="AC866" s="296"/>
      <c r="AD866" s="297"/>
      <c r="AE866" s="297"/>
      <c r="AF866" s="297"/>
      <c r="AG866" s="297"/>
      <c r="AH866" s="295"/>
      <c r="AI866" s="293"/>
      <c r="AJ866" s="293"/>
      <c r="AK866" s="297"/>
      <c r="AL866" s="297"/>
      <c r="AM866" s="297"/>
      <c r="AN866" s="297"/>
      <c r="AO866" s="295"/>
    </row>
    <row r="867" spans="2:41" ht="13">
      <c r="B867" s="294"/>
      <c r="C867" s="295"/>
      <c r="D867" s="295"/>
      <c r="E867" s="294"/>
      <c r="F867" s="294"/>
      <c r="G867" s="295"/>
      <c r="H867" s="295"/>
      <c r="I867" s="295"/>
      <c r="J867" s="295"/>
      <c r="K867" s="295"/>
      <c r="L867" s="295"/>
      <c r="N867" s="296"/>
      <c r="O867" s="296"/>
      <c r="P867" s="297"/>
      <c r="Q867" s="297"/>
      <c r="R867" s="297"/>
      <c r="S867" s="297"/>
      <c r="T867" s="298"/>
      <c r="U867" s="296"/>
      <c r="V867" s="296"/>
      <c r="W867" s="297"/>
      <c r="X867" s="297"/>
      <c r="Y867" s="297"/>
      <c r="Z867" s="297"/>
      <c r="AA867" s="299"/>
      <c r="AB867" s="296"/>
      <c r="AC867" s="296"/>
      <c r="AD867" s="297"/>
      <c r="AE867" s="297"/>
      <c r="AF867" s="297"/>
      <c r="AG867" s="297"/>
      <c r="AH867" s="295"/>
      <c r="AI867" s="293"/>
      <c r="AJ867" s="293"/>
      <c r="AK867" s="297"/>
      <c r="AL867" s="297"/>
      <c r="AM867" s="297"/>
      <c r="AN867" s="297"/>
      <c r="AO867" s="295"/>
    </row>
    <row r="868" spans="2:41" ht="13">
      <c r="B868" s="294"/>
      <c r="C868" s="295"/>
      <c r="D868" s="295"/>
      <c r="E868" s="294"/>
      <c r="F868" s="294"/>
      <c r="G868" s="295"/>
      <c r="H868" s="295"/>
      <c r="I868" s="295"/>
      <c r="J868" s="295"/>
      <c r="K868" s="295"/>
      <c r="L868" s="295"/>
      <c r="N868" s="296"/>
      <c r="O868" s="296"/>
      <c r="P868" s="297"/>
      <c r="Q868" s="297"/>
      <c r="R868" s="297"/>
      <c r="S868" s="297"/>
      <c r="T868" s="298"/>
      <c r="U868" s="296"/>
      <c r="V868" s="296"/>
      <c r="W868" s="297"/>
      <c r="X868" s="297"/>
      <c r="Y868" s="297"/>
      <c r="Z868" s="297"/>
      <c r="AA868" s="299"/>
      <c r="AB868" s="296"/>
      <c r="AC868" s="296"/>
      <c r="AD868" s="297"/>
      <c r="AE868" s="297"/>
      <c r="AF868" s="297"/>
      <c r="AG868" s="297"/>
      <c r="AH868" s="295"/>
      <c r="AI868" s="293"/>
      <c r="AJ868" s="293"/>
      <c r="AK868" s="297"/>
      <c r="AL868" s="297"/>
      <c r="AM868" s="297"/>
      <c r="AN868" s="297"/>
      <c r="AO868" s="295"/>
    </row>
    <row r="869" spans="2:41" ht="13">
      <c r="B869" s="294"/>
      <c r="C869" s="295"/>
      <c r="D869" s="295"/>
      <c r="E869" s="294"/>
      <c r="F869" s="294"/>
      <c r="G869" s="295"/>
      <c r="H869" s="295"/>
      <c r="I869" s="295"/>
      <c r="J869" s="295"/>
      <c r="K869" s="295"/>
      <c r="L869" s="295"/>
      <c r="N869" s="296"/>
      <c r="O869" s="296"/>
      <c r="P869" s="297"/>
      <c r="Q869" s="297"/>
      <c r="R869" s="297"/>
      <c r="S869" s="297"/>
      <c r="T869" s="298"/>
      <c r="U869" s="296"/>
      <c r="V869" s="296"/>
      <c r="W869" s="297"/>
      <c r="X869" s="297"/>
      <c r="Y869" s="297"/>
      <c r="Z869" s="297"/>
      <c r="AA869" s="299"/>
      <c r="AB869" s="296"/>
      <c r="AC869" s="296"/>
      <c r="AD869" s="297"/>
      <c r="AE869" s="297"/>
      <c r="AF869" s="297"/>
      <c r="AG869" s="297"/>
      <c r="AH869" s="295"/>
      <c r="AI869" s="293"/>
      <c r="AJ869" s="293"/>
      <c r="AK869" s="297"/>
      <c r="AL869" s="297"/>
      <c r="AM869" s="297"/>
      <c r="AN869" s="297"/>
      <c r="AO869" s="295"/>
    </row>
    <row r="870" spans="2:41" ht="13">
      <c r="B870" s="294"/>
      <c r="C870" s="295"/>
      <c r="D870" s="295"/>
      <c r="E870" s="294"/>
      <c r="F870" s="294"/>
      <c r="G870" s="295"/>
      <c r="H870" s="295"/>
      <c r="I870" s="295"/>
      <c r="J870" s="295"/>
      <c r="K870" s="295"/>
      <c r="L870" s="295"/>
      <c r="N870" s="296"/>
      <c r="O870" s="296"/>
      <c r="P870" s="297"/>
      <c r="Q870" s="297"/>
      <c r="R870" s="297"/>
      <c r="S870" s="297"/>
      <c r="T870" s="298"/>
      <c r="U870" s="296"/>
      <c r="V870" s="296"/>
      <c r="W870" s="297"/>
      <c r="X870" s="297"/>
      <c r="Y870" s="297"/>
      <c r="Z870" s="297"/>
      <c r="AA870" s="299"/>
      <c r="AB870" s="296"/>
      <c r="AC870" s="296"/>
      <c r="AD870" s="297"/>
      <c r="AE870" s="297"/>
      <c r="AF870" s="297"/>
      <c r="AG870" s="297"/>
      <c r="AH870" s="295"/>
      <c r="AI870" s="293"/>
      <c r="AJ870" s="293"/>
      <c r="AK870" s="297"/>
      <c r="AL870" s="297"/>
      <c r="AM870" s="297"/>
      <c r="AN870" s="297"/>
      <c r="AO870" s="295"/>
    </row>
    <row r="871" spans="2:41" ht="13">
      <c r="B871" s="294"/>
      <c r="C871" s="295"/>
      <c r="D871" s="295"/>
      <c r="E871" s="294"/>
      <c r="F871" s="294"/>
      <c r="G871" s="295"/>
      <c r="H871" s="295"/>
      <c r="I871" s="295"/>
      <c r="J871" s="295"/>
      <c r="K871" s="295"/>
      <c r="L871" s="295"/>
      <c r="N871" s="296"/>
      <c r="O871" s="296"/>
      <c r="P871" s="297"/>
      <c r="Q871" s="297"/>
      <c r="R871" s="297"/>
      <c r="S871" s="297"/>
      <c r="T871" s="298"/>
      <c r="U871" s="296"/>
      <c r="V871" s="296"/>
      <c r="W871" s="297"/>
      <c r="X871" s="297"/>
      <c r="Y871" s="297"/>
      <c r="Z871" s="297"/>
      <c r="AA871" s="299"/>
      <c r="AB871" s="296"/>
      <c r="AC871" s="296"/>
      <c r="AD871" s="297"/>
      <c r="AE871" s="297"/>
      <c r="AF871" s="297"/>
      <c r="AG871" s="297"/>
      <c r="AH871" s="295"/>
      <c r="AI871" s="293"/>
      <c r="AJ871" s="293"/>
      <c r="AK871" s="297"/>
      <c r="AL871" s="297"/>
      <c r="AM871" s="297"/>
      <c r="AN871" s="297"/>
      <c r="AO871" s="295"/>
    </row>
    <row r="872" spans="2:41" ht="13">
      <c r="B872" s="294"/>
      <c r="C872" s="295"/>
      <c r="D872" s="295"/>
      <c r="E872" s="294"/>
      <c r="F872" s="294"/>
      <c r="G872" s="295"/>
      <c r="H872" s="295"/>
      <c r="I872" s="295"/>
      <c r="J872" s="295"/>
      <c r="K872" s="295"/>
      <c r="L872" s="295"/>
      <c r="N872" s="296"/>
      <c r="O872" s="296"/>
      <c r="P872" s="297"/>
      <c r="Q872" s="297"/>
      <c r="R872" s="297"/>
      <c r="S872" s="297"/>
      <c r="T872" s="298"/>
      <c r="U872" s="296"/>
      <c r="V872" s="296"/>
      <c r="W872" s="297"/>
      <c r="X872" s="297"/>
      <c r="Y872" s="297"/>
      <c r="Z872" s="297"/>
      <c r="AA872" s="299"/>
      <c r="AB872" s="296"/>
      <c r="AC872" s="296"/>
      <c r="AD872" s="297"/>
      <c r="AE872" s="297"/>
      <c r="AF872" s="297"/>
      <c r="AG872" s="297"/>
      <c r="AH872" s="295"/>
      <c r="AI872" s="293"/>
      <c r="AJ872" s="293"/>
      <c r="AK872" s="297"/>
      <c r="AL872" s="297"/>
      <c r="AM872" s="297"/>
      <c r="AN872" s="297"/>
      <c r="AO872" s="295"/>
    </row>
    <row r="873" spans="2:41" ht="13">
      <c r="B873" s="294"/>
      <c r="C873" s="295"/>
      <c r="D873" s="295"/>
      <c r="E873" s="294"/>
      <c r="F873" s="294"/>
      <c r="G873" s="295"/>
      <c r="H873" s="295"/>
      <c r="I873" s="295"/>
      <c r="J873" s="295"/>
      <c r="K873" s="295"/>
      <c r="L873" s="295"/>
      <c r="N873" s="296"/>
      <c r="O873" s="296"/>
      <c r="P873" s="297"/>
      <c r="Q873" s="297"/>
      <c r="R873" s="297"/>
      <c r="S873" s="297"/>
      <c r="T873" s="298"/>
      <c r="U873" s="296"/>
      <c r="V873" s="296"/>
      <c r="W873" s="297"/>
      <c r="X873" s="297"/>
      <c r="Y873" s="297"/>
      <c r="Z873" s="297"/>
      <c r="AA873" s="299"/>
      <c r="AB873" s="296"/>
      <c r="AC873" s="296"/>
      <c r="AD873" s="297"/>
      <c r="AE873" s="297"/>
      <c r="AF873" s="297"/>
      <c r="AG873" s="297"/>
      <c r="AH873" s="295"/>
      <c r="AI873" s="293"/>
      <c r="AJ873" s="293"/>
      <c r="AK873" s="297"/>
      <c r="AL873" s="297"/>
      <c r="AM873" s="297"/>
      <c r="AN873" s="297"/>
      <c r="AO873" s="295"/>
    </row>
    <row r="874" spans="2:41" ht="13">
      <c r="B874" s="294"/>
      <c r="C874" s="295"/>
      <c r="D874" s="295"/>
      <c r="E874" s="294"/>
      <c r="F874" s="294"/>
      <c r="G874" s="295"/>
      <c r="H874" s="295"/>
      <c r="I874" s="295"/>
      <c r="J874" s="295"/>
      <c r="K874" s="295"/>
      <c r="L874" s="295"/>
      <c r="N874" s="296"/>
      <c r="O874" s="296"/>
      <c r="P874" s="297"/>
      <c r="Q874" s="297"/>
      <c r="R874" s="297"/>
      <c r="S874" s="297"/>
      <c r="T874" s="298"/>
      <c r="U874" s="296"/>
      <c r="V874" s="296"/>
      <c r="W874" s="297"/>
      <c r="X874" s="297"/>
      <c r="Y874" s="297"/>
      <c r="Z874" s="297"/>
      <c r="AA874" s="299"/>
      <c r="AB874" s="296"/>
      <c r="AC874" s="296"/>
      <c r="AD874" s="297"/>
      <c r="AE874" s="297"/>
      <c r="AF874" s="297"/>
      <c r="AG874" s="297"/>
      <c r="AH874" s="295"/>
      <c r="AI874" s="293"/>
      <c r="AJ874" s="293"/>
      <c r="AK874" s="297"/>
      <c r="AL874" s="297"/>
      <c r="AM874" s="297"/>
      <c r="AN874" s="297"/>
      <c r="AO874" s="295"/>
    </row>
    <row r="875" spans="2:41" ht="13">
      <c r="B875" s="294"/>
      <c r="C875" s="295"/>
      <c r="D875" s="295"/>
      <c r="E875" s="294"/>
      <c r="F875" s="294"/>
      <c r="G875" s="295"/>
      <c r="H875" s="295"/>
      <c r="I875" s="295"/>
      <c r="J875" s="295"/>
      <c r="K875" s="295"/>
      <c r="L875" s="295"/>
      <c r="N875" s="296"/>
      <c r="O875" s="296"/>
      <c r="P875" s="297"/>
      <c r="Q875" s="297"/>
      <c r="R875" s="297"/>
      <c r="S875" s="297"/>
      <c r="T875" s="298"/>
      <c r="U875" s="296"/>
      <c r="V875" s="296"/>
      <c r="W875" s="297"/>
      <c r="X875" s="297"/>
      <c r="Y875" s="297"/>
      <c r="Z875" s="297"/>
      <c r="AA875" s="299"/>
      <c r="AB875" s="296"/>
      <c r="AC875" s="296"/>
      <c r="AD875" s="297"/>
      <c r="AE875" s="297"/>
      <c r="AF875" s="297"/>
      <c r="AG875" s="297"/>
      <c r="AH875" s="295"/>
      <c r="AI875" s="293"/>
      <c r="AJ875" s="293"/>
      <c r="AK875" s="297"/>
      <c r="AL875" s="297"/>
      <c r="AM875" s="297"/>
      <c r="AN875" s="297"/>
      <c r="AO875" s="295"/>
    </row>
    <row r="876" spans="2:41" ht="13">
      <c r="B876" s="294"/>
      <c r="C876" s="295"/>
      <c r="D876" s="295"/>
      <c r="E876" s="294"/>
      <c r="F876" s="294"/>
      <c r="G876" s="295"/>
      <c r="H876" s="295"/>
      <c r="I876" s="295"/>
      <c r="J876" s="295"/>
      <c r="K876" s="295"/>
      <c r="L876" s="295"/>
      <c r="N876" s="296"/>
      <c r="O876" s="296"/>
      <c r="P876" s="297"/>
      <c r="Q876" s="297"/>
      <c r="R876" s="297"/>
      <c r="S876" s="297"/>
      <c r="T876" s="298"/>
      <c r="U876" s="296"/>
      <c r="V876" s="296"/>
      <c r="W876" s="297"/>
      <c r="X876" s="297"/>
      <c r="Y876" s="297"/>
      <c r="Z876" s="297"/>
      <c r="AA876" s="299"/>
      <c r="AB876" s="296"/>
      <c r="AC876" s="296"/>
      <c r="AD876" s="297"/>
      <c r="AE876" s="297"/>
      <c r="AF876" s="297"/>
      <c r="AG876" s="297"/>
      <c r="AH876" s="295"/>
      <c r="AI876" s="293"/>
      <c r="AJ876" s="293"/>
      <c r="AK876" s="297"/>
      <c r="AL876" s="297"/>
      <c r="AM876" s="297"/>
      <c r="AN876" s="297"/>
      <c r="AO876" s="295"/>
    </row>
    <row r="877" spans="2:41" ht="13">
      <c r="B877" s="294"/>
      <c r="C877" s="295"/>
      <c r="D877" s="295"/>
      <c r="E877" s="294"/>
      <c r="F877" s="294"/>
      <c r="G877" s="295"/>
      <c r="H877" s="295"/>
      <c r="I877" s="295"/>
      <c r="J877" s="295"/>
      <c r="K877" s="295"/>
      <c r="L877" s="295"/>
      <c r="N877" s="296"/>
      <c r="O877" s="296"/>
      <c r="P877" s="297"/>
      <c r="Q877" s="297"/>
      <c r="R877" s="297"/>
      <c r="S877" s="297"/>
      <c r="T877" s="298"/>
      <c r="U877" s="296"/>
      <c r="V877" s="296"/>
      <c r="W877" s="297"/>
      <c r="X877" s="297"/>
      <c r="Y877" s="297"/>
      <c r="Z877" s="297"/>
      <c r="AA877" s="299"/>
      <c r="AB877" s="296"/>
      <c r="AC877" s="296"/>
      <c r="AD877" s="297"/>
      <c r="AE877" s="297"/>
      <c r="AF877" s="297"/>
      <c r="AG877" s="297"/>
      <c r="AH877" s="295"/>
      <c r="AI877" s="293"/>
      <c r="AJ877" s="293"/>
      <c r="AK877" s="297"/>
      <c r="AL877" s="297"/>
      <c r="AM877" s="297"/>
      <c r="AN877" s="297"/>
      <c r="AO877" s="295"/>
    </row>
    <row r="878" spans="2:41" ht="13">
      <c r="B878" s="294"/>
      <c r="C878" s="295"/>
      <c r="D878" s="295"/>
      <c r="E878" s="294"/>
      <c r="F878" s="294"/>
      <c r="G878" s="295"/>
      <c r="H878" s="295"/>
      <c r="I878" s="295"/>
      <c r="J878" s="295"/>
      <c r="K878" s="295"/>
      <c r="L878" s="295"/>
      <c r="N878" s="296"/>
      <c r="O878" s="296"/>
      <c r="P878" s="297"/>
      <c r="Q878" s="297"/>
      <c r="R878" s="297"/>
      <c r="S878" s="297"/>
      <c r="T878" s="298"/>
      <c r="U878" s="296"/>
      <c r="V878" s="296"/>
      <c r="W878" s="297"/>
      <c r="X878" s="297"/>
      <c r="Y878" s="297"/>
      <c r="Z878" s="297"/>
      <c r="AA878" s="299"/>
      <c r="AB878" s="296"/>
      <c r="AC878" s="296"/>
      <c r="AD878" s="297"/>
      <c r="AE878" s="297"/>
      <c r="AF878" s="297"/>
      <c r="AG878" s="297"/>
      <c r="AH878" s="295"/>
      <c r="AI878" s="293"/>
      <c r="AJ878" s="293"/>
      <c r="AK878" s="297"/>
      <c r="AL878" s="297"/>
      <c r="AM878" s="297"/>
      <c r="AN878" s="297"/>
      <c r="AO878" s="295"/>
    </row>
    <row r="879" spans="2:41" ht="13">
      <c r="B879" s="294"/>
      <c r="C879" s="295"/>
      <c r="D879" s="295"/>
      <c r="E879" s="294"/>
      <c r="F879" s="294"/>
      <c r="G879" s="295"/>
      <c r="H879" s="295"/>
      <c r="I879" s="295"/>
      <c r="J879" s="295"/>
      <c r="K879" s="295"/>
      <c r="L879" s="295"/>
      <c r="N879" s="296"/>
      <c r="O879" s="296"/>
      <c r="P879" s="297"/>
      <c r="Q879" s="297"/>
      <c r="R879" s="297"/>
      <c r="S879" s="297"/>
      <c r="T879" s="298"/>
      <c r="U879" s="296"/>
      <c r="V879" s="296"/>
      <c r="W879" s="297"/>
      <c r="X879" s="297"/>
      <c r="Y879" s="297"/>
      <c r="Z879" s="297"/>
      <c r="AA879" s="299"/>
      <c r="AB879" s="296"/>
      <c r="AC879" s="296"/>
      <c r="AD879" s="297"/>
      <c r="AE879" s="297"/>
      <c r="AF879" s="297"/>
      <c r="AG879" s="297"/>
      <c r="AH879" s="295"/>
      <c r="AI879" s="293"/>
      <c r="AJ879" s="293"/>
      <c r="AK879" s="297"/>
      <c r="AL879" s="297"/>
      <c r="AM879" s="297"/>
      <c r="AN879" s="297"/>
      <c r="AO879" s="295"/>
    </row>
    <row r="880" spans="2:41" ht="13">
      <c r="B880" s="294"/>
      <c r="C880" s="295"/>
      <c r="D880" s="295"/>
      <c r="E880" s="294"/>
      <c r="F880" s="294"/>
      <c r="G880" s="295"/>
      <c r="H880" s="295"/>
      <c r="I880" s="295"/>
      <c r="J880" s="295"/>
      <c r="K880" s="295"/>
      <c r="L880" s="295"/>
      <c r="N880" s="296"/>
      <c r="O880" s="296"/>
      <c r="P880" s="297"/>
      <c r="Q880" s="297"/>
      <c r="R880" s="297"/>
      <c r="S880" s="297"/>
      <c r="T880" s="298"/>
      <c r="U880" s="296"/>
      <c r="V880" s="296"/>
      <c r="W880" s="297"/>
      <c r="X880" s="297"/>
      <c r="Y880" s="297"/>
      <c r="Z880" s="297"/>
      <c r="AA880" s="299"/>
      <c r="AB880" s="296"/>
      <c r="AC880" s="296"/>
      <c r="AD880" s="297"/>
      <c r="AE880" s="297"/>
      <c r="AF880" s="297"/>
      <c r="AG880" s="297"/>
      <c r="AH880" s="295"/>
      <c r="AI880" s="293"/>
      <c r="AJ880" s="293"/>
      <c r="AK880" s="297"/>
      <c r="AL880" s="297"/>
      <c r="AM880" s="297"/>
      <c r="AN880" s="297"/>
      <c r="AO880" s="295"/>
    </row>
    <row r="881" spans="2:41" ht="13">
      <c r="B881" s="294"/>
      <c r="C881" s="295"/>
      <c r="D881" s="295"/>
      <c r="E881" s="294"/>
      <c r="F881" s="294"/>
      <c r="G881" s="295"/>
      <c r="H881" s="295"/>
      <c r="I881" s="295"/>
      <c r="J881" s="295"/>
      <c r="K881" s="295"/>
      <c r="L881" s="295"/>
      <c r="N881" s="296"/>
      <c r="O881" s="296"/>
      <c r="P881" s="297"/>
      <c r="Q881" s="297"/>
      <c r="R881" s="297"/>
      <c r="S881" s="297"/>
      <c r="T881" s="298"/>
      <c r="U881" s="296"/>
      <c r="V881" s="296"/>
      <c r="W881" s="297"/>
      <c r="X881" s="297"/>
      <c r="Y881" s="297"/>
      <c r="Z881" s="297"/>
      <c r="AA881" s="299"/>
      <c r="AB881" s="296"/>
      <c r="AC881" s="296"/>
      <c r="AD881" s="297"/>
      <c r="AE881" s="297"/>
      <c r="AF881" s="297"/>
      <c r="AG881" s="297"/>
      <c r="AH881" s="295"/>
      <c r="AI881" s="293"/>
      <c r="AJ881" s="293"/>
      <c r="AK881" s="297"/>
      <c r="AL881" s="297"/>
      <c r="AM881" s="297"/>
      <c r="AN881" s="297"/>
      <c r="AO881" s="295"/>
    </row>
    <row r="882" spans="2:41" ht="13">
      <c r="B882" s="294"/>
      <c r="C882" s="295"/>
      <c r="D882" s="295"/>
      <c r="E882" s="294"/>
      <c r="F882" s="294"/>
      <c r="G882" s="295"/>
      <c r="H882" s="295"/>
      <c r="I882" s="295"/>
      <c r="J882" s="295"/>
      <c r="K882" s="295"/>
      <c r="L882" s="295"/>
      <c r="N882" s="296"/>
      <c r="O882" s="296"/>
      <c r="P882" s="297"/>
      <c r="Q882" s="297"/>
      <c r="R882" s="297"/>
      <c r="S882" s="297"/>
      <c r="T882" s="298"/>
      <c r="U882" s="296"/>
      <c r="V882" s="296"/>
      <c r="W882" s="297"/>
      <c r="X882" s="297"/>
      <c r="Y882" s="297"/>
      <c r="Z882" s="297"/>
      <c r="AA882" s="299"/>
      <c r="AB882" s="296"/>
      <c r="AC882" s="296"/>
      <c r="AD882" s="297"/>
      <c r="AE882" s="297"/>
      <c r="AF882" s="297"/>
      <c r="AG882" s="297"/>
      <c r="AH882" s="295"/>
      <c r="AI882" s="293"/>
      <c r="AJ882" s="293"/>
      <c r="AK882" s="297"/>
      <c r="AL882" s="297"/>
      <c r="AM882" s="297"/>
      <c r="AN882" s="297"/>
      <c r="AO882" s="295"/>
    </row>
    <row r="883" spans="2:41" ht="13">
      <c r="B883" s="294"/>
      <c r="C883" s="295"/>
      <c r="D883" s="295"/>
      <c r="E883" s="294"/>
      <c r="F883" s="294"/>
      <c r="G883" s="295"/>
      <c r="H883" s="295"/>
      <c r="I883" s="295"/>
      <c r="J883" s="295"/>
      <c r="K883" s="295"/>
      <c r="L883" s="295"/>
      <c r="N883" s="296"/>
      <c r="O883" s="296"/>
      <c r="P883" s="297"/>
      <c r="Q883" s="297"/>
      <c r="R883" s="297"/>
      <c r="S883" s="297"/>
      <c r="T883" s="298"/>
      <c r="U883" s="296"/>
      <c r="V883" s="296"/>
      <c r="W883" s="297"/>
      <c r="X883" s="297"/>
      <c r="Y883" s="297"/>
      <c r="Z883" s="297"/>
      <c r="AA883" s="299"/>
      <c r="AB883" s="296"/>
      <c r="AC883" s="296"/>
      <c r="AD883" s="297"/>
      <c r="AE883" s="297"/>
      <c r="AF883" s="297"/>
      <c r="AG883" s="297"/>
      <c r="AH883" s="295"/>
      <c r="AI883" s="293"/>
      <c r="AJ883" s="293"/>
      <c r="AK883" s="297"/>
      <c r="AL883" s="297"/>
      <c r="AM883" s="297"/>
      <c r="AN883" s="297"/>
      <c r="AO883" s="295"/>
    </row>
    <row r="884" spans="2:41" ht="13">
      <c r="B884" s="294"/>
      <c r="C884" s="295"/>
      <c r="D884" s="295"/>
      <c r="E884" s="294"/>
      <c r="F884" s="294"/>
      <c r="G884" s="295"/>
      <c r="H884" s="295"/>
      <c r="I884" s="295"/>
      <c r="J884" s="295"/>
      <c r="K884" s="295"/>
      <c r="L884" s="295"/>
      <c r="N884" s="296"/>
      <c r="O884" s="296"/>
      <c r="P884" s="297"/>
      <c r="Q884" s="297"/>
      <c r="R884" s="297"/>
      <c r="S884" s="297"/>
      <c r="T884" s="298"/>
      <c r="U884" s="296"/>
      <c r="V884" s="296"/>
      <c r="W884" s="297"/>
      <c r="X884" s="297"/>
      <c r="Y884" s="297"/>
      <c r="Z884" s="297"/>
      <c r="AA884" s="299"/>
      <c r="AB884" s="296"/>
      <c r="AC884" s="296"/>
      <c r="AD884" s="297"/>
      <c r="AE884" s="297"/>
      <c r="AF884" s="297"/>
      <c r="AG884" s="297"/>
      <c r="AH884" s="295"/>
      <c r="AI884" s="293"/>
      <c r="AJ884" s="293"/>
      <c r="AK884" s="297"/>
      <c r="AL884" s="297"/>
      <c r="AM884" s="297"/>
      <c r="AN884" s="297"/>
      <c r="AO884" s="295"/>
    </row>
    <row r="885" spans="2:41" ht="13">
      <c r="B885" s="294"/>
      <c r="C885" s="295"/>
      <c r="D885" s="295"/>
      <c r="E885" s="294"/>
      <c r="F885" s="294"/>
      <c r="G885" s="295"/>
      <c r="H885" s="295"/>
      <c r="I885" s="295"/>
      <c r="J885" s="295"/>
      <c r="K885" s="295"/>
      <c r="L885" s="295"/>
      <c r="N885" s="296"/>
      <c r="O885" s="296"/>
      <c r="P885" s="297"/>
      <c r="Q885" s="297"/>
      <c r="R885" s="297"/>
      <c r="S885" s="297"/>
      <c r="T885" s="298"/>
      <c r="U885" s="296"/>
      <c r="V885" s="296"/>
      <c r="W885" s="297"/>
      <c r="X885" s="297"/>
      <c r="Y885" s="297"/>
      <c r="Z885" s="297"/>
      <c r="AA885" s="299"/>
      <c r="AB885" s="296"/>
      <c r="AC885" s="296"/>
      <c r="AD885" s="297"/>
      <c r="AE885" s="297"/>
      <c r="AF885" s="297"/>
      <c r="AG885" s="297"/>
      <c r="AH885" s="295"/>
      <c r="AI885" s="293"/>
      <c r="AJ885" s="293"/>
      <c r="AK885" s="297"/>
      <c r="AL885" s="297"/>
      <c r="AM885" s="297"/>
      <c r="AN885" s="297"/>
      <c r="AO885" s="295"/>
    </row>
    <row r="886" spans="2:41" ht="13">
      <c r="B886" s="294"/>
      <c r="C886" s="295"/>
      <c r="D886" s="295"/>
      <c r="E886" s="294"/>
      <c r="F886" s="294"/>
      <c r="G886" s="295"/>
      <c r="H886" s="295"/>
      <c r="I886" s="295"/>
      <c r="J886" s="295"/>
      <c r="K886" s="295"/>
      <c r="L886" s="295"/>
      <c r="N886" s="296"/>
      <c r="O886" s="296"/>
      <c r="P886" s="297"/>
      <c r="Q886" s="297"/>
      <c r="R886" s="297"/>
      <c r="S886" s="297"/>
      <c r="T886" s="298"/>
      <c r="U886" s="296"/>
      <c r="V886" s="296"/>
      <c r="W886" s="297"/>
      <c r="X886" s="297"/>
      <c r="Y886" s="297"/>
      <c r="Z886" s="297"/>
      <c r="AA886" s="299"/>
      <c r="AB886" s="296"/>
      <c r="AC886" s="296"/>
      <c r="AD886" s="297"/>
      <c r="AE886" s="297"/>
      <c r="AF886" s="297"/>
      <c r="AG886" s="297"/>
      <c r="AH886" s="295"/>
      <c r="AI886" s="293"/>
      <c r="AJ886" s="293"/>
      <c r="AK886" s="297"/>
      <c r="AL886" s="297"/>
      <c r="AM886" s="297"/>
      <c r="AN886" s="297"/>
      <c r="AO886" s="295"/>
    </row>
    <row r="887" spans="2:41" ht="13">
      <c r="B887" s="294"/>
      <c r="C887" s="295"/>
      <c r="D887" s="295"/>
      <c r="E887" s="294"/>
      <c r="F887" s="294"/>
      <c r="G887" s="295"/>
      <c r="H887" s="295"/>
      <c r="I887" s="295"/>
      <c r="J887" s="295"/>
      <c r="K887" s="295"/>
      <c r="L887" s="295"/>
      <c r="N887" s="296"/>
      <c r="O887" s="296"/>
      <c r="P887" s="297"/>
      <c r="Q887" s="297"/>
      <c r="R887" s="297"/>
      <c r="S887" s="297"/>
      <c r="T887" s="298"/>
      <c r="U887" s="296"/>
      <c r="V887" s="296"/>
      <c r="W887" s="297"/>
      <c r="X887" s="297"/>
      <c r="Y887" s="297"/>
      <c r="Z887" s="297"/>
      <c r="AA887" s="299"/>
      <c r="AB887" s="296"/>
      <c r="AC887" s="296"/>
      <c r="AD887" s="297"/>
      <c r="AE887" s="297"/>
      <c r="AF887" s="297"/>
      <c r="AG887" s="297"/>
      <c r="AH887" s="295"/>
      <c r="AI887" s="293"/>
      <c r="AJ887" s="293"/>
      <c r="AK887" s="297"/>
      <c r="AL887" s="297"/>
      <c r="AM887" s="297"/>
      <c r="AN887" s="297"/>
      <c r="AO887" s="295"/>
    </row>
    <row r="888" spans="2:41" ht="13">
      <c r="B888" s="294"/>
      <c r="C888" s="295"/>
      <c r="D888" s="295"/>
      <c r="E888" s="294"/>
      <c r="F888" s="294"/>
      <c r="G888" s="295"/>
      <c r="H888" s="295"/>
      <c r="I888" s="295"/>
      <c r="J888" s="295"/>
      <c r="K888" s="295"/>
      <c r="L888" s="295"/>
      <c r="N888" s="296"/>
      <c r="O888" s="296"/>
      <c r="P888" s="297"/>
      <c r="Q888" s="297"/>
      <c r="R888" s="297"/>
      <c r="S888" s="297"/>
      <c r="T888" s="298"/>
      <c r="U888" s="296"/>
      <c r="V888" s="296"/>
      <c r="W888" s="297"/>
      <c r="X888" s="297"/>
      <c r="Y888" s="297"/>
      <c r="Z888" s="297"/>
      <c r="AA888" s="299"/>
      <c r="AB888" s="296"/>
      <c r="AC888" s="296"/>
      <c r="AD888" s="297"/>
      <c r="AE888" s="297"/>
      <c r="AF888" s="297"/>
      <c r="AG888" s="297"/>
      <c r="AH888" s="295"/>
      <c r="AI888" s="293"/>
      <c r="AJ888" s="293"/>
      <c r="AK888" s="297"/>
      <c r="AL888" s="297"/>
      <c r="AM888" s="297"/>
      <c r="AN888" s="297"/>
      <c r="AO888" s="295"/>
    </row>
    <row r="889" spans="2:41" ht="13">
      <c r="B889" s="294"/>
      <c r="C889" s="295"/>
      <c r="D889" s="295"/>
      <c r="E889" s="294"/>
      <c r="F889" s="294"/>
      <c r="G889" s="295"/>
      <c r="H889" s="295"/>
      <c r="I889" s="295"/>
      <c r="J889" s="295"/>
      <c r="K889" s="295"/>
      <c r="L889" s="295"/>
      <c r="N889" s="296"/>
      <c r="O889" s="296"/>
      <c r="P889" s="297"/>
      <c r="Q889" s="297"/>
      <c r="R889" s="297"/>
      <c r="S889" s="297"/>
      <c r="T889" s="298"/>
      <c r="U889" s="296"/>
      <c r="V889" s="296"/>
      <c r="W889" s="297"/>
      <c r="X889" s="297"/>
      <c r="Y889" s="297"/>
      <c r="Z889" s="297"/>
      <c r="AA889" s="299"/>
      <c r="AB889" s="296"/>
      <c r="AC889" s="296"/>
      <c r="AD889" s="297"/>
      <c r="AE889" s="297"/>
      <c r="AF889" s="297"/>
      <c r="AG889" s="297"/>
      <c r="AH889" s="295"/>
      <c r="AI889" s="293"/>
      <c r="AJ889" s="293"/>
      <c r="AK889" s="297"/>
      <c r="AL889" s="297"/>
      <c r="AM889" s="297"/>
      <c r="AN889" s="297"/>
      <c r="AO889" s="295"/>
    </row>
    <row r="890" spans="2:41" ht="13">
      <c r="B890" s="294"/>
      <c r="C890" s="295"/>
      <c r="D890" s="295"/>
      <c r="E890" s="294"/>
      <c r="F890" s="294"/>
      <c r="G890" s="295"/>
      <c r="H890" s="295"/>
      <c r="I890" s="295"/>
      <c r="J890" s="295"/>
      <c r="K890" s="295"/>
      <c r="L890" s="295"/>
      <c r="N890" s="296"/>
      <c r="O890" s="296"/>
      <c r="P890" s="297"/>
      <c r="Q890" s="297"/>
      <c r="R890" s="297"/>
      <c r="S890" s="297"/>
      <c r="T890" s="298"/>
      <c r="U890" s="296"/>
      <c r="V890" s="296"/>
      <c r="W890" s="297"/>
      <c r="X890" s="297"/>
      <c r="Y890" s="297"/>
      <c r="Z890" s="297"/>
      <c r="AA890" s="299"/>
      <c r="AB890" s="296"/>
      <c r="AC890" s="296"/>
      <c r="AD890" s="297"/>
      <c r="AE890" s="297"/>
      <c r="AF890" s="297"/>
      <c r="AG890" s="297"/>
      <c r="AH890" s="295"/>
      <c r="AI890" s="293"/>
      <c r="AJ890" s="293"/>
      <c r="AK890" s="297"/>
      <c r="AL890" s="297"/>
      <c r="AM890" s="297"/>
      <c r="AN890" s="297"/>
      <c r="AO890" s="295"/>
    </row>
    <row r="891" spans="2:41" ht="13">
      <c r="B891" s="294"/>
      <c r="C891" s="295"/>
      <c r="D891" s="295"/>
      <c r="E891" s="294"/>
      <c r="F891" s="294"/>
      <c r="G891" s="295"/>
      <c r="H891" s="295"/>
      <c r="I891" s="295"/>
      <c r="J891" s="295"/>
      <c r="K891" s="295"/>
      <c r="L891" s="295"/>
      <c r="N891" s="296"/>
      <c r="O891" s="296"/>
      <c r="P891" s="297"/>
      <c r="Q891" s="297"/>
      <c r="R891" s="297"/>
      <c r="S891" s="297"/>
      <c r="T891" s="298"/>
      <c r="U891" s="296"/>
      <c r="V891" s="296"/>
      <c r="W891" s="297"/>
      <c r="X891" s="297"/>
      <c r="Y891" s="297"/>
      <c r="Z891" s="297"/>
      <c r="AA891" s="299"/>
      <c r="AB891" s="296"/>
      <c r="AC891" s="296"/>
      <c r="AD891" s="297"/>
      <c r="AE891" s="297"/>
      <c r="AF891" s="297"/>
      <c r="AG891" s="297"/>
      <c r="AH891" s="295"/>
      <c r="AI891" s="293"/>
      <c r="AJ891" s="293"/>
      <c r="AK891" s="297"/>
      <c r="AL891" s="297"/>
      <c r="AM891" s="297"/>
      <c r="AN891" s="297"/>
      <c r="AO891" s="295"/>
    </row>
    <row r="892" spans="2:41" ht="13">
      <c r="B892" s="294"/>
      <c r="C892" s="295"/>
      <c r="D892" s="295"/>
      <c r="E892" s="294"/>
      <c r="F892" s="294"/>
      <c r="G892" s="295"/>
      <c r="H892" s="295"/>
      <c r="I892" s="295"/>
      <c r="J892" s="295"/>
      <c r="K892" s="295"/>
      <c r="L892" s="295"/>
      <c r="N892" s="296"/>
      <c r="O892" s="296"/>
      <c r="P892" s="297"/>
      <c r="Q892" s="297"/>
      <c r="R892" s="297"/>
      <c r="S892" s="297"/>
      <c r="T892" s="298"/>
      <c r="U892" s="296"/>
      <c r="V892" s="296"/>
      <c r="W892" s="297"/>
      <c r="X892" s="297"/>
      <c r="Y892" s="297"/>
      <c r="Z892" s="297"/>
      <c r="AA892" s="299"/>
      <c r="AB892" s="296"/>
      <c r="AC892" s="296"/>
      <c r="AD892" s="297"/>
      <c r="AE892" s="297"/>
      <c r="AF892" s="297"/>
      <c r="AG892" s="297"/>
      <c r="AH892" s="295"/>
      <c r="AI892" s="293"/>
      <c r="AJ892" s="293"/>
      <c r="AK892" s="297"/>
      <c r="AL892" s="297"/>
      <c r="AM892" s="297"/>
      <c r="AN892" s="297"/>
      <c r="AO892" s="295"/>
    </row>
    <row r="893" spans="2:41" ht="13">
      <c r="B893" s="294"/>
      <c r="C893" s="295"/>
      <c r="D893" s="295"/>
      <c r="E893" s="294"/>
      <c r="F893" s="294"/>
      <c r="G893" s="295"/>
      <c r="H893" s="295"/>
      <c r="I893" s="295"/>
      <c r="J893" s="295"/>
      <c r="K893" s="295"/>
      <c r="L893" s="295"/>
      <c r="N893" s="296"/>
      <c r="O893" s="296"/>
      <c r="P893" s="297"/>
      <c r="Q893" s="297"/>
      <c r="R893" s="297"/>
      <c r="S893" s="297"/>
      <c r="T893" s="298"/>
      <c r="U893" s="296"/>
      <c r="V893" s="296"/>
      <c r="W893" s="297"/>
      <c r="X893" s="297"/>
      <c r="Y893" s="297"/>
      <c r="Z893" s="297"/>
      <c r="AA893" s="299"/>
      <c r="AB893" s="296"/>
      <c r="AC893" s="296"/>
      <c r="AD893" s="297"/>
      <c r="AE893" s="297"/>
      <c r="AF893" s="297"/>
      <c r="AG893" s="297"/>
      <c r="AH893" s="295"/>
      <c r="AI893" s="293"/>
      <c r="AJ893" s="293"/>
      <c r="AK893" s="297"/>
      <c r="AL893" s="297"/>
      <c r="AM893" s="297"/>
      <c r="AN893" s="297"/>
      <c r="AO893" s="295"/>
    </row>
    <row r="894" spans="2:41" ht="13">
      <c r="B894" s="294"/>
      <c r="C894" s="295"/>
      <c r="D894" s="295"/>
      <c r="E894" s="294"/>
      <c r="F894" s="294"/>
      <c r="G894" s="295"/>
      <c r="H894" s="295"/>
      <c r="I894" s="295"/>
      <c r="J894" s="295"/>
      <c r="K894" s="295"/>
      <c r="L894" s="295"/>
      <c r="N894" s="296"/>
      <c r="O894" s="296"/>
      <c r="P894" s="297"/>
      <c r="Q894" s="297"/>
      <c r="R894" s="297"/>
      <c r="S894" s="297"/>
      <c r="T894" s="298"/>
      <c r="U894" s="296"/>
      <c r="V894" s="296"/>
      <c r="W894" s="297"/>
      <c r="X894" s="297"/>
      <c r="Y894" s="297"/>
      <c r="Z894" s="297"/>
      <c r="AA894" s="299"/>
      <c r="AB894" s="296"/>
      <c r="AC894" s="296"/>
      <c r="AD894" s="297"/>
      <c r="AE894" s="297"/>
      <c r="AF894" s="297"/>
      <c r="AG894" s="297"/>
      <c r="AH894" s="295"/>
      <c r="AI894" s="293"/>
      <c r="AJ894" s="293"/>
      <c r="AK894" s="297"/>
      <c r="AL894" s="297"/>
      <c r="AM894" s="297"/>
      <c r="AN894" s="297"/>
      <c r="AO894" s="295"/>
    </row>
    <row r="895" spans="2:41" ht="13">
      <c r="B895" s="294"/>
      <c r="C895" s="295"/>
      <c r="D895" s="295"/>
      <c r="E895" s="294"/>
      <c r="F895" s="294"/>
      <c r="G895" s="295"/>
      <c r="H895" s="295"/>
      <c r="I895" s="295"/>
      <c r="J895" s="295"/>
      <c r="K895" s="295"/>
      <c r="L895" s="295"/>
      <c r="N895" s="296"/>
      <c r="O895" s="296"/>
      <c r="P895" s="297"/>
      <c r="Q895" s="297"/>
      <c r="R895" s="297"/>
      <c r="S895" s="297"/>
      <c r="T895" s="298"/>
      <c r="U895" s="296"/>
      <c r="V895" s="296"/>
      <c r="W895" s="297"/>
      <c r="X895" s="297"/>
      <c r="Y895" s="297"/>
      <c r="Z895" s="297"/>
      <c r="AA895" s="299"/>
      <c r="AB895" s="296"/>
      <c r="AC895" s="296"/>
      <c r="AD895" s="297"/>
      <c r="AE895" s="297"/>
      <c r="AF895" s="297"/>
      <c r="AG895" s="297"/>
      <c r="AH895" s="295"/>
      <c r="AI895" s="293"/>
      <c r="AJ895" s="293"/>
      <c r="AK895" s="297"/>
      <c r="AL895" s="297"/>
      <c r="AM895" s="297"/>
      <c r="AN895" s="297"/>
      <c r="AO895" s="295"/>
    </row>
    <row r="896" spans="2:41" ht="13">
      <c r="B896" s="294"/>
      <c r="C896" s="295"/>
      <c r="D896" s="295"/>
      <c r="E896" s="294"/>
      <c r="F896" s="294"/>
      <c r="G896" s="295"/>
      <c r="H896" s="295"/>
      <c r="I896" s="295"/>
      <c r="J896" s="295"/>
      <c r="K896" s="295"/>
      <c r="L896" s="295"/>
      <c r="N896" s="296"/>
      <c r="O896" s="296"/>
      <c r="P896" s="297"/>
      <c r="Q896" s="297"/>
      <c r="R896" s="297"/>
      <c r="S896" s="297"/>
      <c r="T896" s="298"/>
      <c r="U896" s="296"/>
      <c r="V896" s="296"/>
      <c r="W896" s="297"/>
      <c r="X896" s="297"/>
      <c r="Y896" s="297"/>
      <c r="Z896" s="297"/>
      <c r="AA896" s="299"/>
      <c r="AB896" s="296"/>
      <c r="AC896" s="296"/>
      <c r="AD896" s="297"/>
      <c r="AE896" s="297"/>
      <c r="AF896" s="297"/>
      <c r="AG896" s="297"/>
      <c r="AH896" s="295"/>
      <c r="AI896" s="293"/>
      <c r="AJ896" s="293"/>
      <c r="AK896" s="297"/>
      <c r="AL896" s="297"/>
      <c r="AM896" s="297"/>
      <c r="AN896" s="297"/>
      <c r="AO896" s="295"/>
    </row>
    <row r="897" spans="2:41" ht="13">
      <c r="B897" s="294"/>
      <c r="C897" s="295"/>
      <c r="D897" s="295"/>
      <c r="E897" s="294"/>
      <c r="F897" s="294"/>
      <c r="G897" s="295"/>
      <c r="H897" s="295"/>
      <c r="I897" s="295"/>
      <c r="J897" s="295"/>
      <c r="K897" s="295"/>
      <c r="L897" s="295"/>
      <c r="N897" s="296"/>
      <c r="O897" s="296"/>
      <c r="P897" s="297"/>
      <c r="Q897" s="297"/>
      <c r="R897" s="297"/>
      <c r="S897" s="297"/>
      <c r="T897" s="298"/>
      <c r="U897" s="296"/>
      <c r="V897" s="296"/>
      <c r="W897" s="297"/>
      <c r="X897" s="297"/>
      <c r="Y897" s="297"/>
      <c r="Z897" s="297"/>
      <c r="AA897" s="299"/>
      <c r="AB897" s="296"/>
      <c r="AC897" s="296"/>
      <c r="AD897" s="297"/>
      <c r="AE897" s="297"/>
      <c r="AF897" s="297"/>
      <c r="AG897" s="297"/>
      <c r="AH897" s="295"/>
      <c r="AI897" s="293"/>
      <c r="AJ897" s="293"/>
      <c r="AK897" s="297"/>
      <c r="AL897" s="297"/>
      <c r="AM897" s="297"/>
      <c r="AN897" s="297"/>
      <c r="AO897" s="295"/>
    </row>
    <row r="898" spans="2:41" ht="13">
      <c r="B898" s="294"/>
      <c r="C898" s="295"/>
      <c r="D898" s="295"/>
      <c r="E898" s="294"/>
      <c r="F898" s="294"/>
      <c r="G898" s="295"/>
      <c r="H898" s="295"/>
      <c r="I898" s="295"/>
      <c r="J898" s="295"/>
      <c r="K898" s="295"/>
      <c r="L898" s="295"/>
      <c r="N898" s="296"/>
      <c r="O898" s="296"/>
      <c r="P898" s="297"/>
      <c r="Q898" s="297"/>
      <c r="R898" s="297"/>
      <c r="S898" s="297"/>
      <c r="T898" s="298"/>
      <c r="U898" s="296"/>
      <c r="V898" s="296"/>
      <c r="W898" s="297"/>
      <c r="X898" s="297"/>
      <c r="Y898" s="297"/>
      <c r="Z898" s="297"/>
      <c r="AA898" s="299"/>
      <c r="AB898" s="296"/>
      <c r="AC898" s="296"/>
      <c r="AD898" s="297"/>
      <c r="AE898" s="297"/>
      <c r="AF898" s="297"/>
      <c r="AG898" s="297"/>
      <c r="AH898" s="295"/>
      <c r="AI898" s="293"/>
      <c r="AJ898" s="293"/>
      <c r="AK898" s="297"/>
      <c r="AL898" s="297"/>
      <c r="AM898" s="297"/>
      <c r="AN898" s="297"/>
      <c r="AO898" s="295"/>
    </row>
    <row r="899" spans="2:41" ht="13">
      <c r="B899" s="294"/>
      <c r="C899" s="295"/>
      <c r="D899" s="295"/>
      <c r="E899" s="294"/>
      <c r="F899" s="294"/>
      <c r="G899" s="295"/>
      <c r="H899" s="295"/>
      <c r="I899" s="295"/>
      <c r="J899" s="295"/>
      <c r="K899" s="295"/>
      <c r="L899" s="295"/>
      <c r="N899" s="296"/>
      <c r="O899" s="296"/>
      <c r="P899" s="297"/>
      <c r="Q899" s="297"/>
      <c r="R899" s="297"/>
      <c r="S899" s="297"/>
      <c r="T899" s="298"/>
      <c r="U899" s="296"/>
      <c r="V899" s="296"/>
      <c r="W899" s="297"/>
      <c r="X899" s="297"/>
      <c r="Y899" s="297"/>
      <c r="Z899" s="297"/>
      <c r="AA899" s="299"/>
      <c r="AB899" s="296"/>
      <c r="AC899" s="296"/>
      <c r="AD899" s="297"/>
      <c r="AE899" s="297"/>
      <c r="AF899" s="297"/>
      <c r="AG899" s="297"/>
      <c r="AH899" s="295"/>
      <c r="AI899" s="293"/>
      <c r="AJ899" s="293"/>
      <c r="AK899" s="297"/>
      <c r="AL899" s="297"/>
      <c r="AM899" s="297"/>
      <c r="AN899" s="297"/>
      <c r="AO899" s="295"/>
    </row>
    <row r="900" spans="2:41" ht="13">
      <c r="B900" s="294"/>
      <c r="C900" s="295"/>
      <c r="D900" s="295"/>
      <c r="E900" s="294"/>
      <c r="F900" s="294"/>
      <c r="G900" s="295"/>
      <c r="H900" s="295"/>
      <c r="I900" s="295"/>
      <c r="J900" s="295"/>
      <c r="K900" s="295"/>
      <c r="L900" s="295"/>
      <c r="N900" s="296"/>
      <c r="O900" s="296"/>
      <c r="P900" s="297"/>
      <c r="Q900" s="297"/>
      <c r="R900" s="297"/>
      <c r="S900" s="297"/>
      <c r="T900" s="298"/>
      <c r="U900" s="296"/>
      <c r="V900" s="296"/>
      <c r="W900" s="297"/>
      <c r="X900" s="297"/>
      <c r="Y900" s="297"/>
      <c r="Z900" s="297"/>
      <c r="AA900" s="299"/>
      <c r="AB900" s="296"/>
      <c r="AC900" s="296"/>
      <c r="AD900" s="297"/>
      <c r="AE900" s="297"/>
      <c r="AF900" s="297"/>
      <c r="AG900" s="297"/>
      <c r="AH900" s="295"/>
      <c r="AI900" s="293"/>
      <c r="AJ900" s="293"/>
      <c r="AK900" s="297"/>
      <c r="AL900" s="297"/>
      <c r="AM900" s="297"/>
      <c r="AN900" s="297"/>
      <c r="AO900" s="295"/>
    </row>
    <row r="901" spans="2:41" ht="13">
      <c r="B901" s="294"/>
      <c r="C901" s="295"/>
      <c r="D901" s="295"/>
      <c r="E901" s="294"/>
      <c r="F901" s="294"/>
      <c r="G901" s="295"/>
      <c r="H901" s="295"/>
      <c r="I901" s="295"/>
      <c r="J901" s="295"/>
      <c r="K901" s="295"/>
      <c r="L901" s="295"/>
      <c r="N901" s="296"/>
      <c r="O901" s="296"/>
      <c r="P901" s="297"/>
      <c r="Q901" s="297"/>
      <c r="R901" s="297"/>
      <c r="S901" s="297"/>
      <c r="T901" s="298"/>
      <c r="U901" s="296"/>
      <c r="V901" s="296"/>
      <c r="W901" s="297"/>
      <c r="X901" s="297"/>
      <c r="Y901" s="297"/>
      <c r="Z901" s="297"/>
      <c r="AA901" s="299"/>
      <c r="AB901" s="296"/>
      <c r="AC901" s="296"/>
      <c r="AD901" s="297"/>
      <c r="AE901" s="297"/>
      <c r="AF901" s="297"/>
      <c r="AG901" s="297"/>
      <c r="AH901" s="295"/>
      <c r="AI901" s="293"/>
      <c r="AJ901" s="293"/>
      <c r="AK901" s="297"/>
      <c r="AL901" s="297"/>
      <c r="AM901" s="297"/>
      <c r="AN901" s="297"/>
      <c r="AO901" s="295"/>
    </row>
    <row r="902" spans="2:41" ht="13">
      <c r="B902" s="294"/>
      <c r="C902" s="295"/>
      <c r="D902" s="295"/>
      <c r="E902" s="294"/>
      <c r="F902" s="294"/>
      <c r="G902" s="295"/>
      <c r="H902" s="295"/>
      <c r="I902" s="295"/>
      <c r="J902" s="295"/>
      <c r="K902" s="295"/>
      <c r="L902" s="295"/>
      <c r="N902" s="296"/>
      <c r="O902" s="296"/>
      <c r="P902" s="297"/>
      <c r="Q902" s="297"/>
      <c r="R902" s="297"/>
      <c r="S902" s="297"/>
      <c r="T902" s="298"/>
      <c r="U902" s="296"/>
      <c r="V902" s="296"/>
      <c r="W902" s="297"/>
      <c r="X902" s="297"/>
      <c r="Y902" s="297"/>
      <c r="Z902" s="297"/>
      <c r="AA902" s="299"/>
      <c r="AB902" s="296"/>
      <c r="AC902" s="296"/>
      <c r="AD902" s="297"/>
      <c r="AE902" s="297"/>
      <c r="AF902" s="297"/>
      <c r="AG902" s="297"/>
      <c r="AH902" s="295"/>
      <c r="AI902" s="293"/>
      <c r="AJ902" s="293"/>
      <c r="AK902" s="297"/>
      <c r="AL902" s="297"/>
      <c r="AM902" s="297"/>
      <c r="AN902" s="297"/>
      <c r="AO902" s="295"/>
    </row>
    <row r="903" spans="2:41" ht="13">
      <c r="B903" s="294"/>
      <c r="C903" s="295"/>
      <c r="D903" s="295"/>
      <c r="E903" s="294"/>
      <c r="F903" s="294"/>
      <c r="G903" s="295"/>
      <c r="H903" s="295"/>
      <c r="I903" s="295"/>
      <c r="J903" s="295"/>
      <c r="K903" s="295"/>
      <c r="L903" s="295"/>
      <c r="N903" s="296"/>
      <c r="O903" s="296"/>
      <c r="P903" s="297"/>
      <c r="Q903" s="297"/>
      <c r="R903" s="297"/>
      <c r="S903" s="297"/>
      <c r="T903" s="298"/>
      <c r="U903" s="296"/>
      <c r="V903" s="296"/>
      <c r="W903" s="297"/>
      <c r="X903" s="297"/>
      <c r="Y903" s="297"/>
      <c r="Z903" s="297"/>
      <c r="AA903" s="299"/>
      <c r="AB903" s="296"/>
      <c r="AC903" s="296"/>
      <c r="AD903" s="297"/>
      <c r="AE903" s="297"/>
      <c r="AF903" s="297"/>
      <c r="AG903" s="297"/>
      <c r="AH903" s="295"/>
      <c r="AI903" s="293"/>
      <c r="AJ903" s="293"/>
      <c r="AK903" s="297"/>
      <c r="AL903" s="297"/>
      <c r="AM903" s="297"/>
      <c r="AN903" s="297"/>
      <c r="AO903" s="295"/>
    </row>
    <row r="904" spans="2:41" ht="13">
      <c r="B904" s="294"/>
      <c r="C904" s="295"/>
      <c r="D904" s="295"/>
      <c r="E904" s="294"/>
      <c r="F904" s="294"/>
      <c r="G904" s="295"/>
      <c r="H904" s="295"/>
      <c r="I904" s="295"/>
      <c r="J904" s="295"/>
      <c r="K904" s="295"/>
      <c r="L904" s="295"/>
      <c r="N904" s="296"/>
      <c r="O904" s="296"/>
      <c r="P904" s="297"/>
      <c r="Q904" s="297"/>
      <c r="R904" s="297"/>
      <c r="S904" s="297"/>
      <c r="T904" s="298"/>
      <c r="U904" s="296"/>
      <c r="V904" s="296"/>
      <c r="W904" s="297"/>
      <c r="X904" s="297"/>
      <c r="Y904" s="297"/>
      <c r="Z904" s="297"/>
      <c r="AA904" s="299"/>
      <c r="AB904" s="296"/>
      <c r="AC904" s="296"/>
      <c r="AD904" s="297"/>
      <c r="AE904" s="297"/>
      <c r="AF904" s="297"/>
      <c r="AG904" s="297"/>
      <c r="AH904" s="295"/>
      <c r="AI904" s="293"/>
      <c r="AJ904" s="293"/>
      <c r="AK904" s="297"/>
      <c r="AL904" s="297"/>
      <c r="AM904" s="297"/>
      <c r="AN904" s="297"/>
      <c r="AO904" s="295"/>
    </row>
    <row r="905" spans="2:41" ht="13">
      <c r="B905" s="294"/>
      <c r="C905" s="295"/>
      <c r="D905" s="295"/>
      <c r="E905" s="294"/>
      <c r="F905" s="294"/>
      <c r="G905" s="295"/>
      <c r="H905" s="295"/>
      <c r="I905" s="295"/>
      <c r="J905" s="295"/>
      <c r="K905" s="295"/>
      <c r="L905" s="295"/>
      <c r="N905" s="296"/>
      <c r="O905" s="296"/>
      <c r="P905" s="297"/>
      <c r="Q905" s="297"/>
      <c r="R905" s="297"/>
      <c r="S905" s="297"/>
      <c r="T905" s="298"/>
      <c r="U905" s="296"/>
      <c r="V905" s="296"/>
      <c r="W905" s="297"/>
      <c r="X905" s="297"/>
      <c r="Y905" s="297"/>
      <c r="Z905" s="297"/>
      <c r="AA905" s="299"/>
      <c r="AB905" s="296"/>
      <c r="AC905" s="296"/>
      <c r="AD905" s="297"/>
      <c r="AE905" s="297"/>
      <c r="AF905" s="297"/>
      <c r="AG905" s="297"/>
      <c r="AH905" s="295"/>
      <c r="AI905" s="293"/>
      <c r="AJ905" s="293"/>
      <c r="AK905" s="297"/>
      <c r="AL905" s="297"/>
      <c r="AM905" s="297"/>
      <c r="AN905" s="297"/>
      <c r="AO905" s="295"/>
    </row>
    <row r="906" spans="2:41" ht="13">
      <c r="B906" s="294"/>
      <c r="C906" s="295"/>
      <c r="D906" s="295"/>
      <c r="E906" s="294"/>
      <c r="F906" s="294"/>
      <c r="G906" s="295"/>
      <c r="H906" s="295"/>
      <c r="I906" s="295"/>
      <c r="J906" s="295"/>
      <c r="K906" s="295"/>
      <c r="L906" s="295"/>
      <c r="N906" s="296"/>
      <c r="O906" s="296"/>
      <c r="P906" s="297"/>
      <c r="Q906" s="297"/>
      <c r="R906" s="297"/>
      <c r="S906" s="297"/>
      <c r="T906" s="298"/>
      <c r="U906" s="296"/>
      <c r="V906" s="296"/>
      <c r="W906" s="297"/>
      <c r="X906" s="297"/>
      <c r="Y906" s="297"/>
      <c r="Z906" s="297"/>
      <c r="AA906" s="299"/>
      <c r="AB906" s="296"/>
      <c r="AC906" s="296"/>
      <c r="AD906" s="297"/>
      <c r="AE906" s="297"/>
      <c r="AF906" s="297"/>
      <c r="AG906" s="297"/>
      <c r="AH906" s="295"/>
      <c r="AI906" s="293"/>
      <c r="AJ906" s="293"/>
      <c r="AK906" s="297"/>
      <c r="AL906" s="297"/>
      <c r="AM906" s="297"/>
      <c r="AN906" s="297"/>
      <c r="AO906" s="295"/>
    </row>
    <row r="907" spans="2:41" ht="13">
      <c r="B907" s="294"/>
      <c r="C907" s="295"/>
      <c r="D907" s="295"/>
      <c r="E907" s="294"/>
      <c r="F907" s="294"/>
      <c r="G907" s="295"/>
      <c r="H907" s="295"/>
      <c r="I907" s="295"/>
      <c r="J907" s="295"/>
      <c r="K907" s="295"/>
      <c r="L907" s="295"/>
      <c r="N907" s="296"/>
      <c r="O907" s="296"/>
      <c r="P907" s="297"/>
      <c r="Q907" s="297"/>
      <c r="R907" s="297"/>
      <c r="S907" s="297"/>
      <c r="T907" s="298"/>
      <c r="U907" s="296"/>
      <c r="V907" s="296"/>
      <c r="W907" s="297"/>
      <c r="X907" s="297"/>
      <c r="Y907" s="297"/>
      <c r="Z907" s="297"/>
      <c r="AA907" s="299"/>
      <c r="AB907" s="296"/>
      <c r="AC907" s="296"/>
      <c r="AD907" s="297"/>
      <c r="AE907" s="297"/>
      <c r="AF907" s="297"/>
      <c r="AG907" s="297"/>
      <c r="AH907" s="295"/>
      <c r="AI907" s="293"/>
      <c r="AJ907" s="293"/>
      <c r="AK907" s="297"/>
      <c r="AL907" s="297"/>
      <c r="AM907" s="297"/>
      <c r="AN907" s="297"/>
      <c r="AO907" s="295"/>
    </row>
    <row r="908" spans="2:41" ht="13">
      <c r="B908" s="294"/>
      <c r="C908" s="295"/>
      <c r="D908" s="295"/>
      <c r="E908" s="294"/>
      <c r="F908" s="294"/>
      <c r="G908" s="295"/>
      <c r="H908" s="295"/>
      <c r="I908" s="295"/>
      <c r="J908" s="295"/>
      <c r="K908" s="295"/>
      <c r="L908" s="295"/>
      <c r="N908" s="296"/>
      <c r="O908" s="296"/>
      <c r="P908" s="297"/>
      <c r="Q908" s="297"/>
      <c r="R908" s="297"/>
      <c r="S908" s="297"/>
      <c r="T908" s="298"/>
      <c r="U908" s="296"/>
      <c r="V908" s="296"/>
      <c r="W908" s="297"/>
      <c r="X908" s="297"/>
      <c r="Y908" s="297"/>
      <c r="Z908" s="297"/>
      <c r="AA908" s="299"/>
      <c r="AB908" s="296"/>
      <c r="AC908" s="296"/>
      <c r="AD908" s="297"/>
      <c r="AE908" s="297"/>
      <c r="AF908" s="297"/>
      <c r="AG908" s="297"/>
      <c r="AH908" s="295"/>
      <c r="AI908" s="293"/>
      <c r="AJ908" s="293"/>
      <c r="AK908" s="297"/>
      <c r="AL908" s="297"/>
      <c r="AM908" s="297"/>
      <c r="AN908" s="297"/>
      <c r="AO908" s="295"/>
    </row>
    <row r="909" spans="2:41" ht="13">
      <c r="B909" s="294"/>
      <c r="C909" s="295"/>
      <c r="D909" s="295"/>
      <c r="E909" s="294"/>
      <c r="F909" s="294"/>
      <c r="G909" s="295"/>
      <c r="H909" s="295"/>
      <c r="I909" s="295"/>
      <c r="J909" s="295"/>
      <c r="K909" s="295"/>
      <c r="L909" s="295"/>
      <c r="N909" s="296"/>
      <c r="O909" s="296"/>
      <c r="P909" s="297"/>
      <c r="Q909" s="297"/>
      <c r="R909" s="297"/>
      <c r="S909" s="297"/>
      <c r="T909" s="298"/>
      <c r="U909" s="296"/>
      <c r="V909" s="296"/>
      <c r="W909" s="297"/>
      <c r="X909" s="297"/>
      <c r="Y909" s="297"/>
      <c r="Z909" s="297"/>
      <c r="AA909" s="299"/>
      <c r="AB909" s="296"/>
      <c r="AC909" s="296"/>
      <c r="AD909" s="297"/>
      <c r="AE909" s="297"/>
      <c r="AF909" s="297"/>
      <c r="AG909" s="297"/>
      <c r="AH909" s="295"/>
      <c r="AI909" s="293"/>
      <c r="AJ909" s="293"/>
      <c r="AK909" s="297"/>
      <c r="AL909" s="297"/>
      <c r="AM909" s="297"/>
      <c r="AN909" s="297"/>
      <c r="AO909" s="295"/>
    </row>
    <row r="910" spans="2:41" ht="13">
      <c r="B910" s="294"/>
      <c r="C910" s="295"/>
      <c r="D910" s="295"/>
      <c r="E910" s="294"/>
      <c r="F910" s="294"/>
      <c r="G910" s="295"/>
      <c r="H910" s="295"/>
      <c r="I910" s="295"/>
      <c r="J910" s="295"/>
      <c r="K910" s="295"/>
      <c r="L910" s="295"/>
      <c r="N910" s="296"/>
      <c r="O910" s="296"/>
      <c r="P910" s="297"/>
      <c r="Q910" s="297"/>
      <c r="R910" s="297"/>
      <c r="S910" s="297"/>
      <c r="T910" s="298"/>
      <c r="U910" s="296"/>
      <c r="V910" s="296"/>
      <c r="W910" s="297"/>
      <c r="X910" s="297"/>
      <c r="Y910" s="297"/>
      <c r="Z910" s="297"/>
      <c r="AA910" s="299"/>
      <c r="AB910" s="296"/>
      <c r="AC910" s="296"/>
      <c r="AD910" s="297"/>
      <c r="AE910" s="297"/>
      <c r="AF910" s="297"/>
      <c r="AG910" s="297"/>
      <c r="AH910" s="295"/>
      <c r="AI910" s="293"/>
      <c r="AJ910" s="293"/>
      <c r="AK910" s="297"/>
      <c r="AL910" s="297"/>
      <c r="AM910" s="297"/>
      <c r="AN910" s="297"/>
      <c r="AO910" s="295"/>
    </row>
    <row r="911" spans="2:41" ht="13">
      <c r="B911" s="294"/>
      <c r="C911" s="295"/>
      <c r="D911" s="295"/>
      <c r="E911" s="294"/>
      <c r="F911" s="294"/>
      <c r="G911" s="295"/>
      <c r="H911" s="295"/>
      <c r="I911" s="295"/>
      <c r="J911" s="295"/>
      <c r="K911" s="295"/>
      <c r="L911" s="295"/>
      <c r="N911" s="296"/>
      <c r="O911" s="296"/>
      <c r="P911" s="297"/>
      <c r="Q911" s="297"/>
      <c r="R911" s="297"/>
      <c r="S911" s="297"/>
      <c r="T911" s="298"/>
      <c r="U911" s="296"/>
      <c r="V911" s="296"/>
      <c r="W911" s="297"/>
      <c r="X911" s="297"/>
      <c r="Y911" s="297"/>
      <c r="Z911" s="297"/>
      <c r="AA911" s="299"/>
      <c r="AB911" s="296"/>
      <c r="AC911" s="296"/>
      <c r="AD911" s="297"/>
      <c r="AE911" s="297"/>
      <c r="AF911" s="297"/>
      <c r="AG911" s="297"/>
      <c r="AH911" s="295"/>
      <c r="AI911" s="293"/>
      <c r="AJ911" s="293"/>
      <c r="AK911" s="297"/>
      <c r="AL911" s="297"/>
      <c r="AM911" s="297"/>
      <c r="AN911" s="297"/>
      <c r="AO911" s="295"/>
    </row>
    <row r="912" spans="2:41" ht="13">
      <c r="B912" s="294"/>
      <c r="C912" s="295"/>
      <c r="D912" s="295"/>
      <c r="E912" s="294"/>
      <c r="F912" s="294"/>
      <c r="G912" s="295"/>
      <c r="H912" s="295"/>
      <c r="I912" s="295"/>
      <c r="J912" s="295"/>
      <c r="K912" s="295"/>
      <c r="L912" s="295"/>
      <c r="N912" s="296"/>
      <c r="O912" s="296"/>
      <c r="P912" s="297"/>
      <c r="Q912" s="297"/>
      <c r="R912" s="297"/>
      <c r="S912" s="297"/>
      <c r="T912" s="298"/>
      <c r="U912" s="296"/>
      <c r="V912" s="296"/>
      <c r="W912" s="297"/>
      <c r="X912" s="297"/>
      <c r="Y912" s="297"/>
      <c r="Z912" s="297"/>
      <c r="AA912" s="299"/>
      <c r="AB912" s="296"/>
      <c r="AC912" s="296"/>
      <c r="AD912" s="297"/>
      <c r="AE912" s="297"/>
      <c r="AF912" s="297"/>
      <c r="AG912" s="297"/>
      <c r="AH912" s="295"/>
      <c r="AI912" s="293"/>
      <c r="AJ912" s="293"/>
      <c r="AK912" s="297"/>
      <c r="AL912" s="297"/>
      <c r="AM912" s="297"/>
      <c r="AN912" s="297"/>
      <c r="AO912" s="295"/>
    </row>
    <row r="913" spans="2:41" ht="13">
      <c r="B913" s="294"/>
      <c r="C913" s="295"/>
      <c r="D913" s="295"/>
      <c r="E913" s="294"/>
      <c r="F913" s="294"/>
      <c r="G913" s="295"/>
      <c r="H913" s="295"/>
      <c r="I913" s="295"/>
      <c r="J913" s="295"/>
      <c r="K913" s="295"/>
      <c r="L913" s="295"/>
      <c r="N913" s="296"/>
      <c r="O913" s="296"/>
      <c r="P913" s="297"/>
      <c r="Q913" s="297"/>
      <c r="R913" s="297"/>
      <c r="S913" s="297"/>
      <c r="T913" s="298"/>
      <c r="U913" s="296"/>
      <c r="V913" s="296"/>
      <c r="W913" s="297"/>
      <c r="X913" s="297"/>
      <c r="Y913" s="297"/>
      <c r="Z913" s="297"/>
      <c r="AA913" s="299"/>
      <c r="AB913" s="296"/>
      <c r="AC913" s="296"/>
      <c r="AD913" s="297"/>
      <c r="AE913" s="297"/>
      <c r="AF913" s="297"/>
      <c r="AG913" s="297"/>
      <c r="AH913" s="295"/>
      <c r="AI913" s="293"/>
      <c r="AJ913" s="293"/>
      <c r="AK913" s="297"/>
      <c r="AL913" s="297"/>
      <c r="AM913" s="297"/>
      <c r="AN913" s="297"/>
      <c r="AO913" s="295"/>
    </row>
    <row r="914" spans="2:41" ht="13">
      <c r="B914" s="294"/>
      <c r="C914" s="295"/>
      <c r="D914" s="295"/>
      <c r="E914" s="294"/>
      <c r="F914" s="294"/>
      <c r="G914" s="295"/>
      <c r="H914" s="295"/>
      <c r="I914" s="295"/>
      <c r="J914" s="295"/>
      <c r="K914" s="295"/>
      <c r="L914" s="295"/>
      <c r="N914" s="296"/>
      <c r="O914" s="296"/>
      <c r="P914" s="297"/>
      <c r="Q914" s="297"/>
      <c r="R914" s="297"/>
      <c r="S914" s="297"/>
      <c r="T914" s="298"/>
      <c r="U914" s="296"/>
      <c r="V914" s="296"/>
      <c r="W914" s="297"/>
      <c r="X914" s="297"/>
      <c r="Y914" s="297"/>
      <c r="Z914" s="297"/>
      <c r="AA914" s="299"/>
      <c r="AB914" s="296"/>
      <c r="AC914" s="296"/>
      <c r="AD914" s="297"/>
      <c r="AE914" s="297"/>
      <c r="AF914" s="297"/>
      <c r="AG914" s="297"/>
      <c r="AH914" s="295"/>
      <c r="AI914" s="293"/>
      <c r="AJ914" s="293"/>
      <c r="AK914" s="297"/>
      <c r="AL914" s="297"/>
      <c r="AM914" s="297"/>
      <c r="AN914" s="297"/>
      <c r="AO914" s="295"/>
    </row>
    <row r="915" spans="2:41" ht="13">
      <c r="B915" s="294"/>
      <c r="C915" s="295"/>
      <c r="D915" s="295"/>
      <c r="E915" s="294"/>
      <c r="F915" s="294"/>
      <c r="G915" s="295"/>
      <c r="H915" s="295"/>
      <c r="I915" s="295"/>
      <c r="J915" s="295"/>
      <c r="K915" s="295"/>
      <c r="L915" s="295"/>
      <c r="N915" s="296"/>
      <c r="O915" s="296"/>
      <c r="P915" s="297"/>
      <c r="Q915" s="297"/>
      <c r="R915" s="297"/>
      <c r="S915" s="297"/>
      <c r="T915" s="298"/>
      <c r="U915" s="296"/>
      <c r="V915" s="296"/>
      <c r="W915" s="297"/>
      <c r="X915" s="297"/>
      <c r="Y915" s="297"/>
      <c r="Z915" s="297"/>
      <c r="AA915" s="299"/>
      <c r="AB915" s="296"/>
      <c r="AC915" s="296"/>
      <c r="AD915" s="297"/>
      <c r="AE915" s="297"/>
      <c r="AF915" s="297"/>
      <c r="AG915" s="297"/>
      <c r="AH915" s="295"/>
      <c r="AI915" s="293"/>
      <c r="AJ915" s="293"/>
      <c r="AK915" s="297"/>
      <c r="AL915" s="297"/>
      <c r="AM915" s="297"/>
      <c r="AN915" s="297"/>
      <c r="AO915" s="295"/>
    </row>
    <row r="916" spans="2:41" ht="13">
      <c r="B916" s="294"/>
      <c r="C916" s="295"/>
      <c r="D916" s="295"/>
      <c r="E916" s="294"/>
      <c r="F916" s="294"/>
      <c r="G916" s="295"/>
      <c r="H916" s="295"/>
      <c r="I916" s="295"/>
      <c r="J916" s="295"/>
      <c r="K916" s="295"/>
      <c r="L916" s="295"/>
      <c r="N916" s="296"/>
      <c r="O916" s="296"/>
      <c r="P916" s="297"/>
      <c r="Q916" s="297"/>
      <c r="R916" s="297"/>
      <c r="S916" s="297"/>
      <c r="T916" s="298"/>
      <c r="U916" s="296"/>
      <c r="V916" s="296"/>
      <c r="W916" s="297"/>
      <c r="X916" s="297"/>
      <c r="Y916" s="297"/>
      <c r="Z916" s="297"/>
      <c r="AA916" s="299"/>
      <c r="AB916" s="296"/>
      <c r="AC916" s="296"/>
      <c r="AD916" s="297"/>
      <c r="AE916" s="297"/>
      <c r="AF916" s="297"/>
      <c r="AG916" s="297"/>
      <c r="AH916" s="295"/>
      <c r="AI916" s="293"/>
      <c r="AJ916" s="293"/>
      <c r="AK916" s="297"/>
      <c r="AL916" s="297"/>
      <c r="AM916" s="297"/>
      <c r="AN916" s="297"/>
      <c r="AO916" s="295"/>
    </row>
    <row r="917" spans="2:41" ht="13">
      <c r="B917" s="294"/>
      <c r="C917" s="295"/>
      <c r="D917" s="295"/>
      <c r="E917" s="294"/>
      <c r="F917" s="294"/>
      <c r="G917" s="295"/>
      <c r="H917" s="295"/>
      <c r="I917" s="295"/>
      <c r="J917" s="295"/>
      <c r="K917" s="295"/>
      <c r="L917" s="295"/>
      <c r="N917" s="296"/>
      <c r="O917" s="296"/>
      <c r="P917" s="297"/>
      <c r="Q917" s="297"/>
      <c r="R917" s="297"/>
      <c r="S917" s="297"/>
      <c r="T917" s="298"/>
      <c r="U917" s="296"/>
      <c r="V917" s="296"/>
      <c r="W917" s="297"/>
      <c r="X917" s="297"/>
      <c r="Y917" s="297"/>
      <c r="Z917" s="297"/>
      <c r="AA917" s="299"/>
      <c r="AB917" s="296"/>
      <c r="AC917" s="296"/>
      <c r="AD917" s="297"/>
      <c r="AE917" s="297"/>
      <c r="AF917" s="297"/>
      <c r="AG917" s="297"/>
      <c r="AH917" s="295"/>
      <c r="AI917" s="293"/>
      <c r="AJ917" s="293"/>
      <c r="AK917" s="297"/>
      <c r="AL917" s="297"/>
      <c r="AM917" s="297"/>
      <c r="AN917" s="297"/>
      <c r="AO917" s="295"/>
    </row>
    <row r="918" spans="2:41" ht="13">
      <c r="B918" s="294"/>
      <c r="C918" s="295"/>
      <c r="D918" s="295"/>
      <c r="E918" s="294"/>
      <c r="F918" s="294"/>
      <c r="G918" s="295"/>
      <c r="H918" s="295"/>
      <c r="I918" s="295"/>
      <c r="J918" s="295"/>
      <c r="K918" s="295"/>
      <c r="L918" s="295"/>
      <c r="N918" s="296"/>
      <c r="O918" s="296"/>
      <c r="P918" s="297"/>
      <c r="Q918" s="297"/>
      <c r="R918" s="297"/>
      <c r="S918" s="297"/>
      <c r="T918" s="298"/>
      <c r="U918" s="296"/>
      <c r="V918" s="296"/>
      <c r="W918" s="297"/>
      <c r="X918" s="297"/>
      <c r="Y918" s="297"/>
      <c r="Z918" s="297"/>
      <c r="AA918" s="299"/>
      <c r="AB918" s="296"/>
      <c r="AC918" s="296"/>
      <c r="AD918" s="297"/>
      <c r="AE918" s="297"/>
      <c r="AF918" s="297"/>
      <c r="AG918" s="297"/>
      <c r="AH918" s="295"/>
      <c r="AI918" s="293"/>
      <c r="AJ918" s="293"/>
      <c r="AK918" s="297"/>
      <c r="AL918" s="297"/>
      <c r="AM918" s="297"/>
      <c r="AN918" s="297"/>
      <c r="AO918" s="295"/>
    </row>
    <row r="919" spans="2:41" ht="13">
      <c r="B919" s="294"/>
      <c r="C919" s="295"/>
      <c r="D919" s="295"/>
      <c r="E919" s="294"/>
      <c r="F919" s="294"/>
      <c r="G919" s="295"/>
      <c r="H919" s="295"/>
      <c r="I919" s="295"/>
      <c r="J919" s="295"/>
      <c r="K919" s="295"/>
      <c r="L919" s="295"/>
      <c r="N919" s="296"/>
      <c r="O919" s="296"/>
      <c r="P919" s="297"/>
      <c r="Q919" s="297"/>
      <c r="R919" s="297"/>
      <c r="S919" s="297"/>
      <c r="T919" s="298"/>
      <c r="U919" s="296"/>
      <c r="V919" s="296"/>
      <c r="W919" s="297"/>
      <c r="X919" s="297"/>
      <c r="Y919" s="297"/>
      <c r="Z919" s="297"/>
      <c r="AA919" s="299"/>
      <c r="AB919" s="296"/>
      <c r="AC919" s="296"/>
      <c r="AD919" s="297"/>
      <c r="AE919" s="297"/>
      <c r="AF919" s="297"/>
      <c r="AG919" s="297"/>
      <c r="AH919" s="295"/>
      <c r="AI919" s="293"/>
      <c r="AJ919" s="293"/>
      <c r="AK919" s="297"/>
      <c r="AL919" s="297"/>
      <c r="AM919" s="297"/>
      <c r="AN919" s="297"/>
      <c r="AO919" s="295"/>
    </row>
    <row r="920" spans="2:41" ht="13">
      <c r="B920" s="294"/>
      <c r="C920" s="295"/>
      <c r="D920" s="295"/>
      <c r="E920" s="294"/>
      <c r="F920" s="294"/>
      <c r="G920" s="295"/>
      <c r="H920" s="295"/>
      <c r="I920" s="295"/>
      <c r="J920" s="295"/>
      <c r="K920" s="295"/>
      <c r="L920" s="295"/>
      <c r="N920" s="296"/>
      <c r="O920" s="296"/>
      <c r="P920" s="297"/>
      <c r="Q920" s="297"/>
      <c r="R920" s="297"/>
      <c r="S920" s="297"/>
      <c r="T920" s="298"/>
      <c r="U920" s="296"/>
      <c r="V920" s="296"/>
      <c r="W920" s="297"/>
      <c r="X920" s="297"/>
      <c r="Y920" s="297"/>
      <c r="Z920" s="297"/>
      <c r="AA920" s="299"/>
      <c r="AB920" s="296"/>
      <c r="AC920" s="296"/>
      <c r="AD920" s="297"/>
      <c r="AE920" s="297"/>
      <c r="AF920" s="297"/>
      <c r="AG920" s="297"/>
      <c r="AH920" s="295"/>
      <c r="AI920" s="293"/>
      <c r="AJ920" s="293"/>
      <c r="AK920" s="297"/>
      <c r="AL920" s="297"/>
      <c r="AM920" s="297"/>
      <c r="AN920" s="297"/>
      <c r="AO920" s="295"/>
    </row>
    <row r="921" spans="2:41" ht="13">
      <c r="B921" s="294"/>
      <c r="C921" s="295"/>
      <c r="D921" s="295"/>
      <c r="E921" s="294"/>
      <c r="F921" s="294"/>
      <c r="G921" s="295"/>
      <c r="H921" s="295"/>
      <c r="I921" s="295"/>
      <c r="J921" s="295"/>
      <c r="K921" s="295"/>
      <c r="L921" s="295"/>
      <c r="N921" s="296"/>
      <c r="O921" s="296"/>
      <c r="P921" s="297"/>
      <c r="Q921" s="297"/>
      <c r="R921" s="297"/>
      <c r="S921" s="297"/>
      <c r="T921" s="298"/>
      <c r="U921" s="296"/>
      <c r="V921" s="296"/>
      <c r="W921" s="297"/>
      <c r="X921" s="297"/>
      <c r="Y921" s="297"/>
      <c r="Z921" s="297"/>
      <c r="AA921" s="299"/>
      <c r="AB921" s="296"/>
      <c r="AC921" s="296"/>
      <c r="AD921" s="297"/>
      <c r="AE921" s="297"/>
      <c r="AF921" s="297"/>
      <c r="AG921" s="297"/>
      <c r="AH921" s="295"/>
      <c r="AI921" s="293"/>
      <c r="AJ921" s="293"/>
      <c r="AK921" s="297"/>
      <c r="AL921" s="297"/>
      <c r="AM921" s="297"/>
      <c r="AN921" s="297"/>
      <c r="AO921" s="295"/>
    </row>
    <row r="922" spans="2:41" ht="13">
      <c r="B922" s="294"/>
      <c r="C922" s="295"/>
      <c r="D922" s="295"/>
      <c r="E922" s="294"/>
      <c r="F922" s="294"/>
      <c r="G922" s="295"/>
      <c r="H922" s="295"/>
      <c r="I922" s="295"/>
      <c r="J922" s="295"/>
      <c r="K922" s="295"/>
      <c r="L922" s="295"/>
      <c r="N922" s="296"/>
      <c r="O922" s="296"/>
      <c r="P922" s="297"/>
      <c r="Q922" s="297"/>
      <c r="R922" s="297"/>
      <c r="S922" s="297"/>
      <c r="T922" s="298"/>
      <c r="U922" s="296"/>
      <c r="V922" s="296"/>
      <c r="W922" s="297"/>
      <c r="X922" s="297"/>
      <c r="Y922" s="297"/>
      <c r="Z922" s="297"/>
      <c r="AA922" s="299"/>
      <c r="AB922" s="296"/>
      <c r="AC922" s="296"/>
      <c r="AD922" s="297"/>
      <c r="AE922" s="297"/>
      <c r="AF922" s="297"/>
      <c r="AG922" s="297"/>
      <c r="AH922" s="295"/>
      <c r="AI922" s="293"/>
      <c r="AJ922" s="293"/>
      <c r="AK922" s="297"/>
      <c r="AL922" s="297"/>
      <c r="AM922" s="297"/>
      <c r="AN922" s="297"/>
      <c r="AO922" s="295"/>
    </row>
    <row r="923" spans="2:41" ht="13">
      <c r="B923" s="294"/>
      <c r="C923" s="295"/>
      <c r="D923" s="295"/>
      <c r="E923" s="294"/>
      <c r="F923" s="294"/>
      <c r="G923" s="295"/>
      <c r="H923" s="295"/>
      <c r="I923" s="295"/>
      <c r="J923" s="295"/>
      <c r="K923" s="295"/>
      <c r="L923" s="295"/>
      <c r="N923" s="296"/>
      <c r="O923" s="296"/>
      <c r="P923" s="297"/>
      <c r="Q923" s="297"/>
      <c r="R923" s="297"/>
      <c r="S923" s="297"/>
      <c r="T923" s="298"/>
      <c r="U923" s="296"/>
      <c r="V923" s="296"/>
      <c r="W923" s="297"/>
      <c r="X923" s="297"/>
      <c r="Y923" s="297"/>
      <c r="Z923" s="297"/>
      <c r="AA923" s="299"/>
      <c r="AB923" s="296"/>
      <c r="AC923" s="296"/>
      <c r="AD923" s="297"/>
      <c r="AE923" s="297"/>
      <c r="AF923" s="297"/>
      <c r="AG923" s="297"/>
      <c r="AH923" s="295"/>
      <c r="AI923" s="293"/>
      <c r="AJ923" s="293"/>
      <c r="AK923" s="297"/>
      <c r="AL923" s="297"/>
      <c r="AM923" s="297"/>
      <c r="AN923" s="297"/>
      <c r="AO923" s="295"/>
    </row>
    <row r="924" spans="2:41" ht="13">
      <c r="B924" s="294"/>
      <c r="C924" s="295"/>
      <c r="D924" s="295"/>
      <c r="E924" s="294"/>
      <c r="F924" s="294"/>
      <c r="G924" s="295"/>
      <c r="H924" s="295"/>
      <c r="I924" s="295"/>
      <c r="J924" s="295"/>
      <c r="K924" s="295"/>
      <c r="L924" s="295"/>
      <c r="N924" s="296"/>
      <c r="O924" s="296"/>
      <c r="P924" s="297"/>
      <c r="Q924" s="297"/>
      <c r="R924" s="297"/>
      <c r="S924" s="297"/>
      <c r="T924" s="298"/>
      <c r="U924" s="296"/>
      <c r="V924" s="296"/>
      <c r="W924" s="297"/>
      <c r="X924" s="297"/>
      <c r="Y924" s="297"/>
      <c r="Z924" s="297"/>
      <c r="AA924" s="299"/>
      <c r="AB924" s="296"/>
      <c r="AC924" s="296"/>
      <c r="AD924" s="297"/>
      <c r="AE924" s="297"/>
      <c r="AF924" s="297"/>
      <c r="AG924" s="297"/>
      <c r="AH924" s="295"/>
      <c r="AI924" s="293"/>
      <c r="AJ924" s="293"/>
      <c r="AK924" s="297"/>
      <c r="AL924" s="297"/>
      <c r="AM924" s="297"/>
      <c r="AN924" s="297"/>
      <c r="AO924" s="295"/>
    </row>
    <row r="925" spans="2:41" ht="13">
      <c r="B925" s="294"/>
      <c r="C925" s="295"/>
      <c r="D925" s="295"/>
      <c r="E925" s="294"/>
      <c r="F925" s="294"/>
      <c r="G925" s="295"/>
      <c r="H925" s="295"/>
      <c r="I925" s="295"/>
      <c r="J925" s="295"/>
      <c r="K925" s="295"/>
      <c r="L925" s="295"/>
      <c r="N925" s="296"/>
      <c r="O925" s="296"/>
      <c r="P925" s="297"/>
      <c r="Q925" s="297"/>
      <c r="R925" s="297"/>
      <c r="S925" s="297"/>
      <c r="T925" s="298"/>
      <c r="U925" s="296"/>
      <c r="V925" s="296"/>
      <c r="W925" s="297"/>
      <c r="X925" s="297"/>
      <c r="Y925" s="297"/>
      <c r="Z925" s="297"/>
      <c r="AA925" s="299"/>
      <c r="AB925" s="296"/>
      <c r="AC925" s="296"/>
      <c r="AD925" s="297"/>
      <c r="AE925" s="297"/>
      <c r="AF925" s="297"/>
      <c r="AG925" s="297"/>
      <c r="AH925" s="295"/>
      <c r="AI925" s="293"/>
      <c r="AJ925" s="293"/>
      <c r="AK925" s="297"/>
      <c r="AL925" s="297"/>
      <c r="AM925" s="297"/>
      <c r="AN925" s="297"/>
      <c r="AO925" s="295"/>
    </row>
    <row r="926" spans="2:41" ht="13">
      <c r="B926" s="294"/>
      <c r="C926" s="295"/>
      <c r="D926" s="295"/>
      <c r="E926" s="294"/>
      <c r="F926" s="294"/>
      <c r="G926" s="295"/>
      <c r="H926" s="295"/>
      <c r="I926" s="295"/>
      <c r="J926" s="295"/>
      <c r="K926" s="295"/>
      <c r="L926" s="295"/>
      <c r="N926" s="296"/>
      <c r="O926" s="296"/>
      <c r="P926" s="297"/>
      <c r="Q926" s="297"/>
      <c r="R926" s="297"/>
      <c r="S926" s="297"/>
      <c r="T926" s="298"/>
      <c r="U926" s="296"/>
      <c r="V926" s="296"/>
      <c r="W926" s="297"/>
      <c r="X926" s="297"/>
      <c r="Y926" s="297"/>
      <c r="Z926" s="297"/>
      <c r="AA926" s="299"/>
      <c r="AB926" s="296"/>
      <c r="AC926" s="296"/>
      <c r="AD926" s="297"/>
      <c r="AE926" s="297"/>
      <c r="AF926" s="297"/>
      <c r="AG926" s="297"/>
      <c r="AH926" s="295"/>
      <c r="AI926" s="293"/>
      <c r="AJ926" s="293"/>
      <c r="AK926" s="297"/>
      <c r="AL926" s="297"/>
      <c r="AM926" s="297"/>
      <c r="AN926" s="297"/>
      <c r="AO926" s="295"/>
    </row>
    <row r="927" spans="2:41" ht="13">
      <c r="B927" s="294"/>
      <c r="C927" s="295"/>
      <c r="D927" s="295"/>
      <c r="E927" s="294"/>
      <c r="F927" s="294"/>
      <c r="G927" s="295"/>
      <c r="H927" s="295"/>
      <c r="I927" s="295"/>
      <c r="J927" s="295"/>
      <c r="K927" s="295"/>
      <c r="L927" s="295"/>
      <c r="N927" s="296"/>
      <c r="O927" s="296"/>
      <c r="P927" s="297"/>
      <c r="Q927" s="297"/>
      <c r="R927" s="297"/>
      <c r="S927" s="297"/>
      <c r="T927" s="298"/>
      <c r="U927" s="296"/>
      <c r="V927" s="296"/>
      <c r="W927" s="297"/>
      <c r="X927" s="297"/>
      <c r="Y927" s="297"/>
      <c r="Z927" s="297"/>
      <c r="AA927" s="299"/>
      <c r="AB927" s="296"/>
      <c r="AC927" s="296"/>
      <c r="AD927" s="297"/>
      <c r="AE927" s="297"/>
      <c r="AF927" s="297"/>
      <c r="AG927" s="297"/>
      <c r="AH927" s="295"/>
      <c r="AI927" s="293"/>
      <c r="AJ927" s="293"/>
      <c r="AK927" s="297"/>
      <c r="AL927" s="297"/>
      <c r="AM927" s="297"/>
      <c r="AN927" s="297"/>
      <c r="AO927" s="295"/>
    </row>
    <row r="928" spans="2:41" ht="13">
      <c r="B928" s="294"/>
      <c r="C928" s="295"/>
      <c r="D928" s="295"/>
      <c r="E928" s="294"/>
      <c r="F928" s="294"/>
      <c r="G928" s="295"/>
      <c r="H928" s="295"/>
      <c r="I928" s="295"/>
      <c r="J928" s="295"/>
      <c r="K928" s="295"/>
      <c r="L928" s="295"/>
      <c r="N928" s="296"/>
      <c r="O928" s="296"/>
      <c r="P928" s="297"/>
      <c r="Q928" s="297"/>
      <c r="R928" s="297"/>
      <c r="S928" s="297"/>
      <c r="T928" s="298"/>
      <c r="U928" s="296"/>
      <c r="V928" s="296"/>
      <c r="W928" s="297"/>
      <c r="X928" s="297"/>
      <c r="Y928" s="297"/>
      <c r="Z928" s="297"/>
      <c r="AA928" s="299"/>
      <c r="AB928" s="296"/>
      <c r="AC928" s="296"/>
      <c r="AD928" s="297"/>
      <c r="AE928" s="297"/>
      <c r="AF928" s="297"/>
      <c r="AG928" s="297"/>
      <c r="AH928" s="295"/>
      <c r="AI928" s="293"/>
      <c r="AJ928" s="293"/>
      <c r="AK928" s="297"/>
      <c r="AL928" s="297"/>
      <c r="AM928" s="297"/>
      <c r="AN928" s="297"/>
      <c r="AO928" s="295"/>
    </row>
    <row r="929" spans="2:41" ht="13">
      <c r="B929" s="294"/>
      <c r="C929" s="295"/>
      <c r="D929" s="295"/>
      <c r="E929" s="294"/>
      <c r="F929" s="294"/>
      <c r="G929" s="295"/>
      <c r="H929" s="295"/>
      <c r="I929" s="295"/>
      <c r="J929" s="295"/>
      <c r="K929" s="295"/>
      <c r="L929" s="295"/>
      <c r="N929" s="296"/>
      <c r="O929" s="296"/>
      <c r="P929" s="297"/>
      <c r="Q929" s="297"/>
      <c r="R929" s="297"/>
      <c r="S929" s="297"/>
      <c r="T929" s="298"/>
      <c r="U929" s="296"/>
      <c r="V929" s="296"/>
      <c r="W929" s="297"/>
      <c r="X929" s="297"/>
      <c r="Y929" s="297"/>
      <c r="Z929" s="297"/>
      <c r="AA929" s="299"/>
      <c r="AB929" s="296"/>
      <c r="AC929" s="296"/>
      <c r="AD929" s="297"/>
      <c r="AE929" s="297"/>
      <c r="AF929" s="297"/>
      <c r="AG929" s="297"/>
      <c r="AH929" s="295"/>
      <c r="AI929" s="293"/>
      <c r="AJ929" s="293"/>
      <c r="AK929" s="297"/>
      <c r="AL929" s="297"/>
      <c r="AM929" s="297"/>
      <c r="AN929" s="297"/>
      <c r="AO929" s="295"/>
    </row>
    <row r="930" spans="2:41" ht="13">
      <c r="B930" s="294"/>
      <c r="C930" s="295"/>
      <c r="D930" s="295"/>
      <c r="E930" s="294"/>
      <c r="F930" s="294"/>
      <c r="G930" s="295"/>
      <c r="H930" s="295"/>
      <c r="I930" s="295"/>
      <c r="J930" s="295"/>
      <c r="K930" s="295"/>
      <c r="L930" s="295"/>
      <c r="N930" s="296"/>
      <c r="O930" s="296"/>
      <c r="P930" s="297"/>
      <c r="Q930" s="297"/>
      <c r="R930" s="297"/>
      <c r="S930" s="297"/>
      <c r="T930" s="298"/>
      <c r="U930" s="296"/>
      <c r="V930" s="296"/>
      <c r="W930" s="297"/>
      <c r="X930" s="297"/>
      <c r="Y930" s="297"/>
      <c r="Z930" s="297"/>
      <c r="AA930" s="299"/>
      <c r="AB930" s="296"/>
      <c r="AC930" s="296"/>
      <c r="AD930" s="297"/>
      <c r="AE930" s="297"/>
      <c r="AF930" s="297"/>
      <c r="AG930" s="297"/>
      <c r="AH930" s="295"/>
      <c r="AI930" s="293"/>
      <c r="AJ930" s="293"/>
      <c r="AK930" s="297"/>
      <c r="AL930" s="297"/>
      <c r="AM930" s="297"/>
      <c r="AN930" s="297"/>
      <c r="AO930" s="295"/>
    </row>
    <row r="931" spans="2:41" ht="13">
      <c r="B931" s="294"/>
      <c r="C931" s="295"/>
      <c r="D931" s="295"/>
      <c r="E931" s="294"/>
      <c r="F931" s="294"/>
      <c r="G931" s="295"/>
      <c r="H931" s="295"/>
      <c r="I931" s="295"/>
      <c r="J931" s="295"/>
      <c r="K931" s="295"/>
      <c r="L931" s="295"/>
      <c r="N931" s="296"/>
      <c r="O931" s="296"/>
      <c r="P931" s="297"/>
      <c r="Q931" s="297"/>
      <c r="R931" s="297"/>
      <c r="S931" s="297"/>
      <c r="T931" s="298"/>
      <c r="U931" s="296"/>
      <c r="V931" s="296"/>
      <c r="W931" s="297"/>
      <c r="X931" s="297"/>
      <c r="Y931" s="297"/>
      <c r="Z931" s="297"/>
      <c r="AA931" s="299"/>
      <c r="AB931" s="296"/>
      <c r="AC931" s="296"/>
      <c r="AD931" s="297"/>
      <c r="AE931" s="297"/>
      <c r="AF931" s="297"/>
      <c r="AG931" s="297"/>
      <c r="AH931" s="295"/>
      <c r="AI931" s="293"/>
      <c r="AJ931" s="293"/>
      <c r="AK931" s="297"/>
      <c r="AL931" s="297"/>
      <c r="AM931" s="297"/>
      <c r="AN931" s="297"/>
      <c r="AO931" s="295"/>
    </row>
    <row r="932" spans="2:41" ht="13">
      <c r="B932" s="294"/>
      <c r="C932" s="295"/>
      <c r="D932" s="295"/>
      <c r="E932" s="294"/>
      <c r="F932" s="294"/>
      <c r="G932" s="295"/>
      <c r="H932" s="295"/>
      <c r="I932" s="295"/>
      <c r="J932" s="295"/>
      <c r="K932" s="295"/>
      <c r="L932" s="295"/>
      <c r="N932" s="296"/>
      <c r="O932" s="296"/>
      <c r="P932" s="297"/>
      <c r="Q932" s="297"/>
      <c r="R932" s="297"/>
      <c r="S932" s="297"/>
      <c r="T932" s="298"/>
      <c r="U932" s="296"/>
      <c r="V932" s="296"/>
      <c r="W932" s="297"/>
      <c r="X932" s="297"/>
      <c r="Y932" s="297"/>
      <c r="Z932" s="297"/>
      <c r="AA932" s="299"/>
      <c r="AB932" s="296"/>
      <c r="AC932" s="296"/>
      <c r="AD932" s="297"/>
      <c r="AE932" s="297"/>
      <c r="AF932" s="297"/>
      <c r="AG932" s="297"/>
      <c r="AH932" s="295"/>
      <c r="AI932" s="293"/>
      <c r="AJ932" s="293"/>
      <c r="AK932" s="297"/>
      <c r="AL932" s="297"/>
      <c r="AM932" s="297"/>
      <c r="AN932" s="297"/>
      <c r="AO932" s="295"/>
    </row>
    <row r="933" spans="2:41" ht="13">
      <c r="B933" s="294"/>
      <c r="C933" s="295"/>
      <c r="D933" s="295"/>
      <c r="E933" s="294"/>
      <c r="F933" s="294"/>
      <c r="G933" s="295"/>
      <c r="H933" s="295"/>
      <c r="I933" s="295"/>
      <c r="J933" s="295"/>
      <c r="K933" s="295"/>
      <c r="L933" s="295"/>
      <c r="N933" s="296"/>
      <c r="O933" s="296"/>
      <c r="P933" s="297"/>
      <c r="Q933" s="297"/>
      <c r="R933" s="297"/>
      <c r="S933" s="297"/>
      <c r="T933" s="298"/>
      <c r="U933" s="296"/>
      <c r="V933" s="296"/>
      <c r="W933" s="297"/>
      <c r="X933" s="297"/>
      <c r="Y933" s="297"/>
      <c r="Z933" s="297"/>
      <c r="AA933" s="299"/>
      <c r="AB933" s="296"/>
      <c r="AC933" s="296"/>
      <c r="AD933" s="297"/>
      <c r="AE933" s="297"/>
      <c r="AF933" s="297"/>
      <c r="AG933" s="297"/>
      <c r="AH933" s="295"/>
      <c r="AI933" s="293"/>
      <c r="AJ933" s="293"/>
      <c r="AK933" s="297"/>
      <c r="AL933" s="297"/>
      <c r="AM933" s="297"/>
      <c r="AN933" s="297"/>
      <c r="AO933" s="295"/>
    </row>
    <row r="934" spans="2:41" ht="13">
      <c r="B934" s="294"/>
      <c r="C934" s="295"/>
      <c r="D934" s="295"/>
      <c r="E934" s="294"/>
      <c r="F934" s="294"/>
      <c r="G934" s="295"/>
      <c r="H934" s="295"/>
      <c r="I934" s="295"/>
      <c r="J934" s="295"/>
      <c r="K934" s="295"/>
      <c r="L934" s="295"/>
      <c r="N934" s="296"/>
      <c r="O934" s="296"/>
      <c r="P934" s="297"/>
      <c r="Q934" s="297"/>
      <c r="R934" s="297"/>
      <c r="S934" s="297"/>
      <c r="T934" s="298"/>
      <c r="U934" s="296"/>
      <c r="V934" s="296"/>
      <c r="W934" s="297"/>
      <c r="X934" s="297"/>
      <c r="Y934" s="297"/>
      <c r="Z934" s="297"/>
      <c r="AA934" s="299"/>
      <c r="AB934" s="296"/>
      <c r="AC934" s="296"/>
      <c r="AD934" s="297"/>
      <c r="AE934" s="297"/>
      <c r="AF934" s="297"/>
      <c r="AG934" s="297"/>
      <c r="AH934" s="295"/>
      <c r="AI934" s="293"/>
      <c r="AJ934" s="293"/>
      <c r="AK934" s="297"/>
      <c r="AL934" s="297"/>
      <c r="AM934" s="297"/>
      <c r="AN934" s="297"/>
      <c r="AO934" s="295"/>
    </row>
    <row r="935" spans="2:41" ht="13">
      <c r="B935" s="294"/>
      <c r="C935" s="295"/>
      <c r="D935" s="295"/>
      <c r="E935" s="294"/>
      <c r="F935" s="294"/>
      <c r="G935" s="295"/>
      <c r="H935" s="295"/>
      <c r="I935" s="295"/>
      <c r="J935" s="295"/>
      <c r="K935" s="295"/>
      <c r="L935" s="295"/>
      <c r="N935" s="296"/>
      <c r="O935" s="296"/>
      <c r="P935" s="297"/>
      <c r="Q935" s="297"/>
      <c r="R935" s="297"/>
      <c r="S935" s="297"/>
      <c r="T935" s="298"/>
      <c r="U935" s="296"/>
      <c r="V935" s="296"/>
      <c r="W935" s="297"/>
      <c r="X935" s="297"/>
      <c r="Y935" s="297"/>
      <c r="Z935" s="297"/>
      <c r="AA935" s="299"/>
      <c r="AB935" s="296"/>
      <c r="AC935" s="296"/>
      <c r="AD935" s="297"/>
      <c r="AE935" s="297"/>
      <c r="AF935" s="297"/>
      <c r="AG935" s="297"/>
      <c r="AH935" s="295"/>
      <c r="AI935" s="293"/>
      <c r="AJ935" s="293"/>
      <c r="AK935" s="297"/>
      <c r="AL935" s="297"/>
      <c r="AM935" s="297"/>
      <c r="AN935" s="297"/>
      <c r="AO935" s="295"/>
    </row>
    <row r="936" spans="2:41" ht="13">
      <c r="B936" s="294"/>
      <c r="C936" s="295"/>
      <c r="D936" s="295"/>
      <c r="E936" s="294"/>
      <c r="F936" s="294"/>
      <c r="G936" s="295"/>
      <c r="H936" s="295"/>
      <c r="I936" s="295"/>
      <c r="J936" s="295"/>
      <c r="K936" s="295"/>
      <c r="L936" s="295"/>
      <c r="N936" s="296"/>
      <c r="O936" s="296"/>
      <c r="P936" s="297"/>
      <c r="Q936" s="297"/>
      <c r="R936" s="297"/>
      <c r="S936" s="297"/>
      <c r="T936" s="298"/>
      <c r="U936" s="296"/>
      <c r="V936" s="296"/>
      <c r="W936" s="297"/>
      <c r="X936" s="297"/>
      <c r="Y936" s="297"/>
      <c r="Z936" s="297"/>
      <c r="AA936" s="299"/>
      <c r="AB936" s="296"/>
      <c r="AC936" s="296"/>
      <c r="AD936" s="297"/>
      <c r="AE936" s="297"/>
      <c r="AF936" s="297"/>
      <c r="AG936" s="297"/>
      <c r="AH936" s="295"/>
      <c r="AI936" s="293"/>
      <c r="AJ936" s="293"/>
      <c r="AK936" s="297"/>
      <c r="AL936" s="297"/>
      <c r="AM936" s="297"/>
      <c r="AN936" s="297"/>
      <c r="AO936" s="295"/>
    </row>
    <row r="937" spans="2:41" ht="13">
      <c r="B937" s="294"/>
      <c r="C937" s="295"/>
      <c r="D937" s="295"/>
      <c r="E937" s="294"/>
      <c r="F937" s="294"/>
      <c r="G937" s="295"/>
      <c r="H937" s="295"/>
      <c r="I937" s="295"/>
      <c r="J937" s="295"/>
      <c r="K937" s="295"/>
      <c r="L937" s="295"/>
      <c r="N937" s="296"/>
      <c r="O937" s="296"/>
      <c r="P937" s="297"/>
      <c r="Q937" s="297"/>
      <c r="R937" s="297"/>
      <c r="S937" s="297"/>
      <c r="T937" s="298"/>
      <c r="U937" s="296"/>
      <c r="V937" s="296"/>
      <c r="W937" s="297"/>
      <c r="X937" s="297"/>
      <c r="Y937" s="297"/>
      <c r="Z937" s="297"/>
      <c r="AA937" s="299"/>
      <c r="AB937" s="296"/>
      <c r="AC937" s="296"/>
      <c r="AD937" s="297"/>
      <c r="AE937" s="297"/>
      <c r="AF937" s="297"/>
      <c r="AG937" s="297"/>
      <c r="AH937" s="295"/>
      <c r="AI937" s="293"/>
      <c r="AJ937" s="293"/>
      <c r="AK937" s="297"/>
      <c r="AL937" s="297"/>
      <c r="AM937" s="297"/>
      <c r="AN937" s="297"/>
      <c r="AO937" s="295"/>
    </row>
    <row r="938" spans="2:41" ht="13">
      <c r="B938" s="294"/>
      <c r="C938" s="295"/>
      <c r="D938" s="295"/>
      <c r="E938" s="294"/>
      <c r="F938" s="294"/>
      <c r="G938" s="295"/>
      <c r="H938" s="295"/>
      <c r="I938" s="295"/>
      <c r="J938" s="295"/>
      <c r="K938" s="295"/>
      <c r="L938" s="295"/>
      <c r="N938" s="296"/>
      <c r="O938" s="296"/>
      <c r="P938" s="297"/>
      <c r="Q938" s="297"/>
      <c r="R938" s="297"/>
      <c r="S938" s="297"/>
      <c r="T938" s="298"/>
      <c r="U938" s="296"/>
      <c r="V938" s="296"/>
      <c r="W938" s="297"/>
      <c r="X938" s="297"/>
      <c r="Y938" s="297"/>
      <c r="Z938" s="297"/>
      <c r="AA938" s="299"/>
      <c r="AB938" s="296"/>
      <c r="AC938" s="296"/>
      <c r="AD938" s="297"/>
      <c r="AE938" s="297"/>
      <c r="AF938" s="297"/>
      <c r="AG938" s="297"/>
      <c r="AH938" s="295"/>
      <c r="AI938" s="293"/>
      <c r="AJ938" s="293"/>
      <c r="AK938" s="297"/>
      <c r="AL938" s="297"/>
      <c r="AM938" s="297"/>
      <c r="AN938" s="297"/>
      <c r="AO938" s="295"/>
    </row>
    <row r="939" spans="2:41" ht="13">
      <c r="B939" s="294"/>
      <c r="C939" s="295"/>
      <c r="D939" s="295"/>
      <c r="E939" s="294"/>
      <c r="F939" s="294"/>
      <c r="G939" s="295"/>
      <c r="H939" s="295"/>
      <c r="I939" s="295"/>
      <c r="J939" s="295"/>
      <c r="K939" s="295"/>
      <c r="L939" s="295"/>
      <c r="N939" s="296"/>
      <c r="O939" s="296"/>
      <c r="P939" s="297"/>
      <c r="Q939" s="297"/>
      <c r="R939" s="297"/>
      <c r="S939" s="297"/>
      <c r="T939" s="298"/>
      <c r="U939" s="296"/>
      <c r="V939" s="296"/>
      <c r="W939" s="297"/>
      <c r="X939" s="297"/>
      <c r="Y939" s="297"/>
      <c r="Z939" s="297"/>
      <c r="AA939" s="299"/>
      <c r="AB939" s="296"/>
      <c r="AC939" s="296"/>
      <c r="AD939" s="297"/>
      <c r="AE939" s="297"/>
      <c r="AF939" s="297"/>
      <c r="AG939" s="297"/>
      <c r="AH939" s="295"/>
      <c r="AI939" s="293"/>
      <c r="AJ939" s="293"/>
      <c r="AK939" s="297"/>
      <c r="AL939" s="297"/>
      <c r="AM939" s="297"/>
      <c r="AN939" s="297"/>
      <c r="AO939" s="295"/>
    </row>
    <row r="940" spans="2:41" ht="13">
      <c r="B940" s="294"/>
      <c r="C940" s="295"/>
      <c r="D940" s="295"/>
      <c r="E940" s="294"/>
      <c r="F940" s="294"/>
      <c r="G940" s="295"/>
      <c r="H940" s="295"/>
      <c r="I940" s="295"/>
      <c r="J940" s="295"/>
      <c r="K940" s="295"/>
      <c r="L940" s="295"/>
      <c r="N940" s="296"/>
      <c r="O940" s="296"/>
      <c r="P940" s="297"/>
      <c r="Q940" s="297"/>
      <c r="R940" s="297"/>
      <c r="S940" s="297"/>
      <c r="T940" s="298"/>
      <c r="U940" s="296"/>
      <c r="V940" s="296"/>
      <c r="W940" s="297"/>
      <c r="X940" s="297"/>
      <c r="Y940" s="297"/>
      <c r="Z940" s="297"/>
      <c r="AA940" s="299"/>
      <c r="AB940" s="296"/>
      <c r="AC940" s="296"/>
      <c r="AD940" s="297"/>
      <c r="AE940" s="297"/>
      <c r="AF940" s="297"/>
      <c r="AG940" s="297"/>
      <c r="AH940" s="295"/>
      <c r="AI940" s="293"/>
      <c r="AJ940" s="293"/>
      <c r="AK940" s="297"/>
      <c r="AL940" s="297"/>
      <c r="AM940" s="297"/>
      <c r="AN940" s="297"/>
      <c r="AO940" s="295"/>
    </row>
    <row r="941" spans="2:41" ht="13">
      <c r="B941" s="294"/>
      <c r="C941" s="295"/>
      <c r="D941" s="295"/>
      <c r="E941" s="294"/>
      <c r="F941" s="294"/>
      <c r="G941" s="295"/>
      <c r="H941" s="295"/>
      <c r="I941" s="295"/>
      <c r="J941" s="295"/>
      <c r="K941" s="295"/>
      <c r="L941" s="295"/>
      <c r="N941" s="296"/>
      <c r="O941" s="296"/>
      <c r="P941" s="297"/>
      <c r="Q941" s="297"/>
      <c r="R941" s="297"/>
      <c r="S941" s="297"/>
      <c r="T941" s="298"/>
      <c r="U941" s="296"/>
      <c r="V941" s="296"/>
      <c r="W941" s="297"/>
      <c r="X941" s="297"/>
      <c r="Y941" s="297"/>
      <c r="Z941" s="297"/>
      <c r="AA941" s="299"/>
      <c r="AB941" s="296"/>
      <c r="AC941" s="296"/>
      <c r="AD941" s="297"/>
      <c r="AE941" s="297"/>
      <c r="AF941" s="297"/>
      <c r="AG941" s="297"/>
      <c r="AH941" s="295"/>
      <c r="AI941" s="293"/>
      <c r="AJ941" s="293"/>
      <c r="AK941" s="297"/>
      <c r="AL941" s="297"/>
      <c r="AM941" s="297"/>
      <c r="AN941" s="297"/>
      <c r="AO941" s="295"/>
    </row>
    <row r="942" spans="2:41" ht="13">
      <c r="B942" s="294"/>
      <c r="C942" s="295"/>
      <c r="D942" s="295"/>
      <c r="E942" s="294"/>
      <c r="F942" s="294"/>
      <c r="G942" s="295"/>
      <c r="H942" s="295"/>
      <c r="I942" s="295"/>
      <c r="J942" s="295"/>
      <c r="K942" s="295"/>
      <c r="L942" s="295"/>
      <c r="N942" s="296"/>
      <c r="O942" s="296"/>
      <c r="P942" s="297"/>
      <c r="Q942" s="297"/>
      <c r="R942" s="297"/>
      <c r="S942" s="297"/>
      <c r="T942" s="298"/>
      <c r="U942" s="296"/>
      <c r="V942" s="296"/>
      <c r="W942" s="297"/>
      <c r="X942" s="297"/>
      <c r="Y942" s="297"/>
      <c r="Z942" s="297"/>
      <c r="AA942" s="299"/>
      <c r="AB942" s="296"/>
      <c r="AC942" s="296"/>
      <c r="AD942" s="297"/>
      <c r="AE942" s="297"/>
      <c r="AF942" s="297"/>
      <c r="AG942" s="297"/>
      <c r="AH942" s="295"/>
      <c r="AI942" s="293"/>
      <c r="AJ942" s="293"/>
      <c r="AK942" s="297"/>
      <c r="AL942" s="297"/>
      <c r="AM942" s="297"/>
      <c r="AN942" s="297"/>
      <c r="AO942" s="295"/>
    </row>
    <row r="943" spans="2:41" ht="13">
      <c r="B943" s="294"/>
      <c r="C943" s="295"/>
      <c r="D943" s="295"/>
      <c r="E943" s="294"/>
      <c r="F943" s="294"/>
      <c r="G943" s="295"/>
      <c r="H943" s="295"/>
      <c r="I943" s="295"/>
      <c r="J943" s="295"/>
      <c r="K943" s="295"/>
      <c r="L943" s="295"/>
      <c r="N943" s="296"/>
      <c r="O943" s="296"/>
      <c r="P943" s="297"/>
      <c r="Q943" s="297"/>
      <c r="R943" s="297"/>
      <c r="S943" s="297"/>
      <c r="T943" s="298"/>
      <c r="U943" s="296"/>
      <c r="V943" s="296"/>
      <c r="W943" s="297"/>
      <c r="X943" s="297"/>
      <c r="Y943" s="297"/>
      <c r="Z943" s="297"/>
      <c r="AA943" s="299"/>
      <c r="AB943" s="296"/>
      <c r="AC943" s="296"/>
      <c r="AD943" s="297"/>
      <c r="AE943" s="297"/>
      <c r="AF943" s="297"/>
      <c r="AG943" s="297"/>
      <c r="AH943" s="295"/>
      <c r="AI943" s="293"/>
      <c r="AJ943" s="293"/>
      <c r="AK943" s="297"/>
      <c r="AL943" s="297"/>
      <c r="AM943" s="297"/>
      <c r="AN943" s="297"/>
      <c r="AO943" s="295"/>
    </row>
    <row r="944" spans="2:41" ht="13">
      <c r="B944" s="294"/>
      <c r="C944" s="295"/>
      <c r="D944" s="295"/>
      <c r="E944" s="294"/>
      <c r="F944" s="294"/>
      <c r="G944" s="295"/>
      <c r="H944" s="295"/>
      <c r="I944" s="295"/>
      <c r="J944" s="295"/>
      <c r="K944" s="295"/>
      <c r="L944" s="295"/>
      <c r="N944" s="296"/>
      <c r="O944" s="296"/>
      <c r="P944" s="297"/>
      <c r="Q944" s="297"/>
      <c r="R944" s="297"/>
      <c r="S944" s="297"/>
      <c r="T944" s="298"/>
      <c r="U944" s="296"/>
      <c r="V944" s="296"/>
      <c r="W944" s="297"/>
      <c r="X944" s="297"/>
      <c r="Y944" s="297"/>
      <c r="Z944" s="297"/>
      <c r="AA944" s="299"/>
      <c r="AB944" s="296"/>
      <c r="AC944" s="296"/>
      <c r="AD944" s="297"/>
      <c r="AE944" s="297"/>
      <c r="AF944" s="297"/>
      <c r="AG944" s="297"/>
      <c r="AH944" s="295"/>
      <c r="AI944" s="293"/>
      <c r="AJ944" s="293"/>
      <c r="AK944" s="297"/>
      <c r="AL944" s="297"/>
      <c r="AM944" s="297"/>
      <c r="AN944" s="297"/>
      <c r="AO944" s="295"/>
    </row>
    <row r="945" spans="2:41" ht="13">
      <c r="B945" s="294"/>
      <c r="C945" s="295"/>
      <c r="D945" s="295"/>
      <c r="E945" s="294"/>
      <c r="F945" s="294"/>
      <c r="G945" s="295"/>
      <c r="H945" s="295"/>
      <c r="I945" s="295"/>
      <c r="J945" s="295"/>
      <c r="K945" s="295"/>
      <c r="L945" s="295"/>
      <c r="N945" s="296"/>
      <c r="O945" s="296"/>
      <c r="P945" s="297"/>
      <c r="Q945" s="297"/>
      <c r="R945" s="297"/>
      <c r="S945" s="297"/>
      <c r="T945" s="298"/>
      <c r="U945" s="296"/>
      <c r="V945" s="296"/>
      <c r="W945" s="297"/>
      <c r="X945" s="297"/>
      <c r="Y945" s="297"/>
      <c r="Z945" s="297"/>
      <c r="AA945" s="299"/>
      <c r="AB945" s="296"/>
      <c r="AC945" s="296"/>
      <c r="AD945" s="297"/>
      <c r="AE945" s="297"/>
      <c r="AF945" s="297"/>
      <c r="AG945" s="297"/>
      <c r="AH945" s="295"/>
      <c r="AI945" s="293"/>
      <c r="AJ945" s="293"/>
      <c r="AK945" s="297"/>
      <c r="AL945" s="297"/>
      <c r="AM945" s="297"/>
      <c r="AN945" s="297"/>
      <c r="AO945" s="295"/>
    </row>
    <row r="946" spans="2:41" ht="13">
      <c r="B946" s="294"/>
      <c r="C946" s="295"/>
      <c r="D946" s="295"/>
      <c r="E946" s="294"/>
      <c r="F946" s="294"/>
      <c r="G946" s="295"/>
      <c r="H946" s="295"/>
      <c r="I946" s="295"/>
      <c r="J946" s="295"/>
      <c r="K946" s="295"/>
      <c r="L946" s="295"/>
      <c r="N946" s="296"/>
      <c r="O946" s="296"/>
      <c r="P946" s="297"/>
      <c r="Q946" s="297"/>
      <c r="R946" s="297"/>
      <c r="S946" s="297"/>
      <c r="T946" s="298"/>
      <c r="U946" s="296"/>
      <c r="V946" s="296"/>
      <c r="W946" s="297"/>
      <c r="X946" s="297"/>
      <c r="Y946" s="297"/>
      <c r="Z946" s="297"/>
      <c r="AA946" s="299"/>
      <c r="AB946" s="296"/>
      <c r="AC946" s="296"/>
      <c r="AD946" s="297"/>
      <c r="AE946" s="297"/>
      <c r="AF946" s="297"/>
      <c r="AG946" s="297"/>
      <c r="AH946" s="295"/>
      <c r="AI946" s="293"/>
      <c r="AJ946" s="293"/>
      <c r="AK946" s="297"/>
      <c r="AL946" s="297"/>
      <c r="AM946" s="297"/>
      <c r="AN946" s="297"/>
      <c r="AO946" s="295"/>
    </row>
    <row r="947" spans="2:41" ht="13">
      <c r="B947" s="294"/>
      <c r="C947" s="295"/>
      <c r="D947" s="295"/>
      <c r="E947" s="294"/>
      <c r="F947" s="294"/>
      <c r="G947" s="295"/>
      <c r="H947" s="295"/>
      <c r="I947" s="295"/>
      <c r="J947" s="295"/>
      <c r="K947" s="295"/>
      <c r="L947" s="295"/>
      <c r="N947" s="296"/>
      <c r="O947" s="296"/>
      <c r="P947" s="297"/>
      <c r="Q947" s="297"/>
      <c r="R947" s="297"/>
      <c r="S947" s="297"/>
      <c r="T947" s="298"/>
      <c r="U947" s="296"/>
      <c r="V947" s="296"/>
      <c r="W947" s="297"/>
      <c r="X947" s="297"/>
      <c r="Y947" s="297"/>
      <c r="Z947" s="297"/>
      <c r="AA947" s="299"/>
      <c r="AB947" s="296"/>
      <c r="AC947" s="296"/>
      <c r="AD947" s="297"/>
      <c r="AE947" s="297"/>
      <c r="AF947" s="297"/>
      <c r="AG947" s="297"/>
      <c r="AH947" s="295"/>
      <c r="AI947" s="293"/>
      <c r="AJ947" s="293"/>
      <c r="AK947" s="297"/>
      <c r="AL947" s="297"/>
      <c r="AM947" s="297"/>
      <c r="AN947" s="297"/>
      <c r="AO947" s="295"/>
    </row>
    <row r="948" spans="2:41" ht="13">
      <c r="B948" s="294"/>
      <c r="C948" s="295"/>
      <c r="D948" s="295"/>
      <c r="E948" s="294"/>
      <c r="F948" s="294"/>
      <c r="G948" s="295"/>
      <c r="H948" s="295"/>
      <c r="I948" s="295"/>
      <c r="J948" s="295"/>
      <c r="K948" s="295"/>
      <c r="L948" s="295"/>
      <c r="N948" s="296"/>
      <c r="O948" s="296"/>
      <c r="P948" s="297"/>
      <c r="Q948" s="297"/>
      <c r="R948" s="297"/>
      <c r="S948" s="297"/>
      <c r="T948" s="298"/>
      <c r="U948" s="296"/>
      <c r="V948" s="296"/>
      <c r="W948" s="297"/>
      <c r="X948" s="297"/>
      <c r="Y948" s="297"/>
      <c r="Z948" s="297"/>
      <c r="AA948" s="299"/>
      <c r="AB948" s="296"/>
      <c r="AC948" s="296"/>
      <c r="AD948" s="297"/>
      <c r="AE948" s="297"/>
      <c r="AF948" s="297"/>
      <c r="AG948" s="297"/>
      <c r="AH948" s="295"/>
      <c r="AI948" s="293"/>
      <c r="AJ948" s="293"/>
      <c r="AK948" s="297"/>
      <c r="AL948" s="297"/>
      <c r="AM948" s="297"/>
      <c r="AN948" s="297"/>
      <c r="AO948" s="295"/>
    </row>
    <row r="949" spans="2:41" ht="13">
      <c r="B949" s="294"/>
      <c r="C949" s="295"/>
      <c r="D949" s="295"/>
      <c r="E949" s="294"/>
      <c r="F949" s="294"/>
      <c r="G949" s="295"/>
      <c r="H949" s="295"/>
      <c r="I949" s="295"/>
      <c r="J949" s="295"/>
      <c r="K949" s="295"/>
      <c r="L949" s="295"/>
      <c r="N949" s="296"/>
      <c r="O949" s="296"/>
      <c r="P949" s="297"/>
      <c r="Q949" s="297"/>
      <c r="R949" s="297"/>
      <c r="S949" s="297"/>
      <c r="T949" s="298"/>
      <c r="U949" s="296"/>
      <c r="V949" s="296"/>
      <c r="W949" s="297"/>
      <c r="X949" s="297"/>
      <c r="Y949" s="297"/>
      <c r="Z949" s="297"/>
      <c r="AA949" s="299"/>
      <c r="AB949" s="296"/>
      <c r="AC949" s="296"/>
      <c r="AD949" s="297"/>
      <c r="AE949" s="297"/>
      <c r="AF949" s="297"/>
      <c r="AG949" s="297"/>
      <c r="AH949" s="295"/>
      <c r="AI949" s="293"/>
      <c r="AJ949" s="293"/>
      <c r="AK949" s="297"/>
      <c r="AL949" s="297"/>
      <c r="AM949" s="297"/>
      <c r="AN949" s="297"/>
      <c r="AO949" s="295"/>
    </row>
    <row r="950" spans="2:41" ht="13">
      <c r="B950" s="294"/>
      <c r="C950" s="295"/>
      <c r="D950" s="295"/>
      <c r="E950" s="294"/>
      <c r="F950" s="294"/>
      <c r="G950" s="295"/>
      <c r="H950" s="295"/>
      <c r="I950" s="295"/>
      <c r="J950" s="295"/>
      <c r="K950" s="295"/>
      <c r="L950" s="295"/>
      <c r="N950" s="296"/>
      <c r="O950" s="296"/>
      <c r="P950" s="297"/>
      <c r="Q950" s="297"/>
      <c r="R950" s="297"/>
      <c r="S950" s="297"/>
      <c r="T950" s="298"/>
      <c r="U950" s="296"/>
      <c r="V950" s="296"/>
      <c r="W950" s="297"/>
      <c r="X950" s="297"/>
      <c r="Y950" s="297"/>
      <c r="Z950" s="297"/>
      <c r="AA950" s="299"/>
      <c r="AB950" s="296"/>
      <c r="AC950" s="296"/>
      <c r="AD950" s="297"/>
      <c r="AE950" s="297"/>
      <c r="AF950" s="297"/>
      <c r="AG950" s="297"/>
      <c r="AH950" s="295"/>
      <c r="AI950" s="293"/>
      <c r="AJ950" s="293"/>
      <c r="AK950" s="297"/>
      <c r="AL950" s="297"/>
      <c r="AM950" s="297"/>
      <c r="AN950" s="297"/>
      <c r="AO950" s="295"/>
    </row>
    <row r="951" spans="2:41" ht="13">
      <c r="B951" s="294"/>
      <c r="C951" s="295"/>
      <c r="D951" s="295"/>
      <c r="E951" s="294"/>
      <c r="F951" s="294"/>
      <c r="G951" s="295"/>
      <c r="H951" s="295"/>
      <c r="I951" s="295"/>
      <c r="J951" s="295"/>
      <c r="K951" s="295"/>
      <c r="L951" s="295"/>
      <c r="N951" s="296"/>
      <c r="O951" s="296"/>
      <c r="P951" s="297"/>
      <c r="Q951" s="297"/>
      <c r="R951" s="297"/>
      <c r="S951" s="297"/>
      <c r="T951" s="298"/>
      <c r="U951" s="296"/>
      <c r="V951" s="296"/>
      <c r="W951" s="297"/>
      <c r="X951" s="297"/>
      <c r="Y951" s="297"/>
      <c r="Z951" s="297"/>
      <c r="AA951" s="299"/>
      <c r="AB951" s="296"/>
      <c r="AC951" s="296"/>
      <c r="AD951" s="297"/>
      <c r="AE951" s="297"/>
      <c r="AF951" s="297"/>
      <c r="AG951" s="297"/>
      <c r="AH951" s="295"/>
      <c r="AI951" s="293"/>
      <c r="AJ951" s="293"/>
      <c r="AK951" s="297"/>
      <c r="AL951" s="297"/>
      <c r="AM951" s="297"/>
      <c r="AN951" s="297"/>
      <c r="AO951" s="295"/>
    </row>
    <row r="952" spans="2:41" ht="13">
      <c r="B952" s="294"/>
      <c r="C952" s="295"/>
      <c r="D952" s="295"/>
      <c r="E952" s="294"/>
      <c r="F952" s="294"/>
      <c r="G952" s="295"/>
      <c r="H952" s="295"/>
      <c r="I952" s="295"/>
      <c r="J952" s="295"/>
      <c r="K952" s="295"/>
      <c r="L952" s="295"/>
      <c r="N952" s="296"/>
      <c r="O952" s="296"/>
      <c r="P952" s="297"/>
      <c r="Q952" s="297"/>
      <c r="R952" s="297"/>
      <c r="S952" s="297"/>
      <c r="T952" s="298"/>
      <c r="U952" s="296"/>
      <c r="V952" s="296"/>
      <c r="W952" s="297"/>
      <c r="X952" s="297"/>
      <c r="Y952" s="297"/>
      <c r="Z952" s="297"/>
      <c r="AA952" s="299"/>
      <c r="AB952" s="296"/>
      <c r="AC952" s="296"/>
      <c r="AD952" s="297"/>
      <c r="AE952" s="297"/>
      <c r="AF952" s="297"/>
      <c r="AG952" s="297"/>
      <c r="AH952" s="295"/>
      <c r="AI952" s="293"/>
      <c r="AJ952" s="293"/>
      <c r="AK952" s="297"/>
      <c r="AL952" s="297"/>
      <c r="AM952" s="297"/>
      <c r="AN952" s="297"/>
      <c r="AO952" s="295"/>
    </row>
    <row r="953" spans="2:41" ht="13">
      <c r="B953" s="294"/>
      <c r="C953" s="295"/>
      <c r="D953" s="295"/>
      <c r="E953" s="294"/>
      <c r="F953" s="294"/>
      <c r="G953" s="295"/>
      <c r="H953" s="295"/>
      <c r="I953" s="295"/>
      <c r="J953" s="295"/>
      <c r="K953" s="295"/>
      <c r="L953" s="295"/>
      <c r="N953" s="296"/>
      <c r="O953" s="296"/>
      <c r="P953" s="297"/>
      <c r="Q953" s="297"/>
      <c r="R953" s="297"/>
      <c r="S953" s="297"/>
      <c r="T953" s="298"/>
      <c r="U953" s="296"/>
      <c r="V953" s="296"/>
      <c r="W953" s="297"/>
      <c r="X953" s="297"/>
      <c r="Y953" s="297"/>
      <c r="Z953" s="297"/>
      <c r="AA953" s="299"/>
      <c r="AB953" s="296"/>
      <c r="AC953" s="296"/>
      <c r="AD953" s="297"/>
      <c r="AE953" s="297"/>
      <c r="AF953" s="297"/>
      <c r="AG953" s="297"/>
      <c r="AH953" s="295"/>
      <c r="AI953" s="293"/>
      <c r="AJ953" s="293"/>
      <c r="AK953" s="297"/>
      <c r="AL953" s="297"/>
      <c r="AM953" s="297"/>
      <c r="AN953" s="297"/>
      <c r="AO953" s="295"/>
    </row>
    <row r="954" spans="2:41" ht="13">
      <c r="B954" s="294"/>
      <c r="C954" s="295"/>
      <c r="D954" s="295"/>
      <c r="E954" s="294"/>
      <c r="F954" s="294"/>
      <c r="G954" s="295"/>
      <c r="H954" s="295"/>
      <c r="I954" s="295"/>
      <c r="J954" s="295"/>
      <c r="K954" s="295"/>
      <c r="L954" s="295"/>
      <c r="N954" s="296"/>
      <c r="O954" s="296"/>
      <c r="P954" s="297"/>
      <c r="Q954" s="297"/>
      <c r="R954" s="297"/>
      <c r="S954" s="297"/>
      <c r="T954" s="298"/>
      <c r="U954" s="296"/>
      <c r="V954" s="296"/>
      <c r="W954" s="297"/>
      <c r="X954" s="297"/>
      <c r="Y954" s="297"/>
      <c r="Z954" s="297"/>
      <c r="AA954" s="299"/>
      <c r="AB954" s="296"/>
      <c r="AC954" s="296"/>
      <c r="AD954" s="297"/>
      <c r="AE954" s="297"/>
      <c r="AF954" s="297"/>
      <c r="AG954" s="297"/>
      <c r="AH954" s="295"/>
      <c r="AI954" s="293"/>
      <c r="AJ954" s="293"/>
      <c r="AK954" s="297"/>
      <c r="AL954" s="297"/>
      <c r="AM954" s="297"/>
      <c r="AN954" s="297"/>
      <c r="AO954" s="295"/>
    </row>
    <row r="955" spans="2:41" ht="13">
      <c r="B955" s="294"/>
      <c r="C955" s="295"/>
      <c r="D955" s="295"/>
      <c r="E955" s="294"/>
      <c r="F955" s="294"/>
      <c r="G955" s="295"/>
      <c r="H955" s="295"/>
      <c r="I955" s="295"/>
      <c r="J955" s="295"/>
      <c r="K955" s="295"/>
      <c r="L955" s="295"/>
      <c r="N955" s="296"/>
      <c r="O955" s="296"/>
      <c r="P955" s="297"/>
      <c r="Q955" s="297"/>
      <c r="R955" s="297"/>
      <c r="S955" s="297"/>
      <c r="T955" s="298"/>
      <c r="U955" s="296"/>
      <c r="V955" s="296"/>
      <c r="W955" s="297"/>
      <c r="X955" s="297"/>
      <c r="Y955" s="297"/>
      <c r="Z955" s="297"/>
      <c r="AA955" s="299"/>
      <c r="AB955" s="296"/>
      <c r="AC955" s="296"/>
      <c r="AD955" s="297"/>
      <c r="AE955" s="297"/>
      <c r="AF955" s="297"/>
      <c r="AG955" s="297"/>
      <c r="AH955" s="295"/>
      <c r="AI955" s="293"/>
      <c r="AJ955" s="293"/>
      <c r="AK955" s="297"/>
      <c r="AL955" s="297"/>
      <c r="AM955" s="297"/>
      <c r="AN955" s="297"/>
      <c r="AO955" s="295"/>
    </row>
    <row r="956" spans="2:41" ht="13">
      <c r="B956" s="294"/>
      <c r="C956" s="295"/>
      <c r="D956" s="295"/>
      <c r="E956" s="294"/>
      <c r="F956" s="294"/>
      <c r="G956" s="295"/>
      <c r="H956" s="295"/>
      <c r="I956" s="295"/>
      <c r="J956" s="295"/>
      <c r="K956" s="295"/>
      <c r="L956" s="295"/>
      <c r="N956" s="296"/>
      <c r="O956" s="296"/>
      <c r="P956" s="297"/>
      <c r="Q956" s="297"/>
      <c r="R956" s="297"/>
      <c r="S956" s="297"/>
      <c r="T956" s="298"/>
      <c r="U956" s="296"/>
      <c r="V956" s="296"/>
      <c r="W956" s="297"/>
      <c r="X956" s="297"/>
      <c r="Y956" s="297"/>
      <c r="Z956" s="297"/>
      <c r="AA956" s="299"/>
      <c r="AB956" s="296"/>
      <c r="AC956" s="296"/>
      <c r="AD956" s="297"/>
      <c r="AE956" s="297"/>
      <c r="AF956" s="297"/>
      <c r="AG956" s="297"/>
      <c r="AH956" s="295"/>
      <c r="AI956" s="293"/>
      <c r="AJ956" s="293"/>
      <c r="AK956" s="297"/>
      <c r="AL956" s="297"/>
      <c r="AM956" s="297"/>
      <c r="AN956" s="297"/>
      <c r="AO956" s="295"/>
    </row>
    <row r="957" spans="2:41" ht="13">
      <c r="B957" s="294"/>
      <c r="C957" s="295"/>
      <c r="D957" s="295"/>
      <c r="E957" s="294"/>
      <c r="F957" s="294"/>
      <c r="G957" s="295"/>
      <c r="H957" s="295"/>
      <c r="I957" s="295"/>
      <c r="J957" s="295"/>
      <c r="K957" s="295"/>
      <c r="L957" s="295"/>
      <c r="N957" s="296"/>
      <c r="O957" s="296"/>
      <c r="P957" s="297"/>
      <c r="Q957" s="297"/>
      <c r="R957" s="297"/>
      <c r="S957" s="297"/>
      <c r="T957" s="298"/>
      <c r="U957" s="296"/>
      <c r="V957" s="296"/>
      <c r="W957" s="297"/>
      <c r="X957" s="297"/>
      <c r="Y957" s="297"/>
      <c r="Z957" s="297"/>
      <c r="AA957" s="299"/>
      <c r="AB957" s="296"/>
      <c r="AC957" s="296"/>
      <c r="AD957" s="297"/>
      <c r="AE957" s="297"/>
      <c r="AF957" s="297"/>
      <c r="AG957" s="297"/>
      <c r="AH957" s="295"/>
      <c r="AI957" s="293"/>
      <c r="AJ957" s="293"/>
      <c r="AK957" s="297"/>
      <c r="AL957" s="297"/>
      <c r="AM957" s="297"/>
      <c r="AN957" s="297"/>
      <c r="AO957" s="295"/>
    </row>
    <row r="958" spans="2:41" ht="13">
      <c r="B958" s="294"/>
      <c r="C958" s="295"/>
      <c r="D958" s="295"/>
      <c r="E958" s="294"/>
      <c r="F958" s="294"/>
      <c r="G958" s="295"/>
      <c r="H958" s="295"/>
      <c r="I958" s="295"/>
      <c r="J958" s="295"/>
      <c r="K958" s="295"/>
      <c r="L958" s="295"/>
      <c r="N958" s="296"/>
      <c r="O958" s="296"/>
      <c r="P958" s="297"/>
      <c r="Q958" s="297"/>
      <c r="R958" s="297"/>
      <c r="S958" s="297"/>
      <c r="T958" s="298"/>
      <c r="U958" s="296"/>
      <c r="V958" s="296"/>
      <c r="W958" s="297"/>
      <c r="X958" s="297"/>
      <c r="Y958" s="297"/>
      <c r="Z958" s="297"/>
      <c r="AA958" s="299"/>
      <c r="AB958" s="296"/>
      <c r="AC958" s="296"/>
      <c r="AD958" s="297"/>
      <c r="AE958" s="297"/>
      <c r="AF958" s="297"/>
      <c r="AG958" s="297"/>
      <c r="AH958" s="295"/>
      <c r="AI958" s="293"/>
      <c r="AJ958" s="293"/>
      <c r="AK958" s="297"/>
      <c r="AL958" s="297"/>
      <c r="AM958" s="297"/>
      <c r="AN958" s="297"/>
      <c r="AO958" s="295"/>
    </row>
    <row r="959" spans="2:41" ht="13">
      <c r="B959" s="294"/>
      <c r="C959" s="295"/>
      <c r="D959" s="295"/>
      <c r="E959" s="294"/>
      <c r="F959" s="294"/>
      <c r="G959" s="295"/>
      <c r="H959" s="295"/>
      <c r="I959" s="295"/>
      <c r="J959" s="295"/>
      <c r="K959" s="295"/>
      <c r="L959" s="295"/>
      <c r="N959" s="296"/>
      <c r="O959" s="296"/>
      <c r="P959" s="297"/>
      <c r="Q959" s="297"/>
      <c r="R959" s="297"/>
      <c r="S959" s="297"/>
      <c r="T959" s="298"/>
      <c r="U959" s="296"/>
      <c r="V959" s="296"/>
      <c r="W959" s="297"/>
      <c r="X959" s="297"/>
      <c r="Y959" s="297"/>
      <c r="Z959" s="297"/>
      <c r="AA959" s="299"/>
      <c r="AB959" s="296"/>
      <c r="AC959" s="296"/>
      <c r="AD959" s="297"/>
      <c r="AE959" s="297"/>
      <c r="AF959" s="297"/>
      <c r="AG959" s="297"/>
      <c r="AH959" s="295"/>
      <c r="AI959" s="293"/>
      <c r="AJ959" s="293"/>
      <c r="AK959" s="297"/>
      <c r="AL959" s="297"/>
      <c r="AM959" s="297"/>
      <c r="AN959" s="297"/>
      <c r="AO959" s="295"/>
    </row>
    <row r="960" spans="2:41" ht="13">
      <c r="B960" s="294"/>
      <c r="C960" s="295"/>
      <c r="D960" s="295"/>
      <c r="E960" s="294"/>
      <c r="F960" s="294"/>
      <c r="G960" s="295"/>
      <c r="H960" s="295"/>
      <c r="I960" s="295"/>
      <c r="J960" s="295"/>
      <c r="K960" s="295"/>
      <c r="L960" s="295"/>
      <c r="N960" s="296"/>
      <c r="O960" s="296"/>
      <c r="P960" s="297"/>
      <c r="Q960" s="297"/>
      <c r="R960" s="297"/>
      <c r="S960" s="297"/>
      <c r="T960" s="298"/>
      <c r="U960" s="296"/>
      <c r="V960" s="296"/>
      <c r="W960" s="297"/>
      <c r="X960" s="297"/>
      <c r="Y960" s="297"/>
      <c r="Z960" s="297"/>
      <c r="AA960" s="299"/>
      <c r="AB960" s="296"/>
      <c r="AC960" s="296"/>
      <c r="AD960" s="297"/>
      <c r="AE960" s="297"/>
      <c r="AF960" s="297"/>
      <c r="AG960" s="297"/>
      <c r="AH960" s="295"/>
      <c r="AI960" s="293"/>
      <c r="AJ960" s="293"/>
      <c r="AK960" s="297"/>
      <c r="AL960" s="297"/>
      <c r="AM960" s="297"/>
      <c r="AN960" s="297"/>
      <c r="AO960" s="295"/>
    </row>
    <row r="961" spans="2:41" ht="13">
      <c r="B961" s="294"/>
      <c r="C961" s="295"/>
      <c r="D961" s="295"/>
      <c r="E961" s="294"/>
      <c r="F961" s="294"/>
      <c r="G961" s="295"/>
      <c r="H961" s="295"/>
      <c r="I961" s="295"/>
      <c r="J961" s="295"/>
      <c r="K961" s="295"/>
      <c r="L961" s="295"/>
      <c r="N961" s="296"/>
      <c r="O961" s="296"/>
      <c r="P961" s="297"/>
      <c r="Q961" s="297"/>
      <c r="R961" s="297"/>
      <c r="S961" s="297"/>
      <c r="T961" s="298"/>
      <c r="U961" s="296"/>
      <c r="V961" s="296"/>
      <c r="W961" s="297"/>
      <c r="X961" s="297"/>
      <c r="Y961" s="297"/>
      <c r="Z961" s="297"/>
      <c r="AA961" s="299"/>
      <c r="AB961" s="296"/>
      <c r="AC961" s="296"/>
      <c r="AD961" s="297"/>
      <c r="AE961" s="297"/>
      <c r="AF961" s="297"/>
      <c r="AG961" s="297"/>
      <c r="AH961" s="295"/>
      <c r="AI961" s="293"/>
      <c r="AJ961" s="293"/>
      <c r="AK961" s="297"/>
      <c r="AL961" s="297"/>
      <c r="AM961" s="297"/>
      <c r="AN961" s="297"/>
      <c r="AO961" s="295"/>
    </row>
    <row r="962" spans="2:41" ht="13">
      <c r="B962" s="294"/>
      <c r="C962" s="295"/>
      <c r="D962" s="295"/>
      <c r="E962" s="294"/>
      <c r="F962" s="294"/>
      <c r="G962" s="295"/>
      <c r="H962" s="295"/>
      <c r="I962" s="295"/>
      <c r="J962" s="295"/>
      <c r="K962" s="295"/>
      <c r="L962" s="295"/>
      <c r="N962" s="296"/>
      <c r="O962" s="296"/>
      <c r="P962" s="297"/>
      <c r="Q962" s="297"/>
      <c r="R962" s="297"/>
      <c r="S962" s="297"/>
      <c r="T962" s="298"/>
      <c r="U962" s="296"/>
      <c r="V962" s="296"/>
      <c r="W962" s="297"/>
      <c r="X962" s="297"/>
      <c r="Y962" s="297"/>
      <c r="Z962" s="297"/>
      <c r="AA962" s="299"/>
      <c r="AB962" s="296"/>
      <c r="AC962" s="296"/>
      <c r="AD962" s="297"/>
      <c r="AE962" s="297"/>
      <c r="AF962" s="297"/>
      <c r="AG962" s="297"/>
      <c r="AH962" s="295"/>
      <c r="AI962" s="293"/>
      <c r="AJ962" s="293"/>
      <c r="AK962" s="297"/>
      <c r="AL962" s="297"/>
      <c r="AM962" s="297"/>
      <c r="AN962" s="297"/>
      <c r="AO962" s="295"/>
    </row>
    <row r="963" spans="2:41" ht="13">
      <c r="B963" s="294"/>
      <c r="C963" s="295"/>
      <c r="D963" s="295"/>
      <c r="E963" s="294"/>
      <c r="F963" s="294"/>
      <c r="G963" s="295"/>
      <c r="H963" s="295"/>
      <c r="I963" s="295"/>
      <c r="J963" s="295"/>
      <c r="K963" s="295"/>
      <c r="L963" s="295"/>
      <c r="N963" s="296"/>
      <c r="O963" s="296"/>
      <c r="P963" s="297"/>
      <c r="Q963" s="297"/>
      <c r="R963" s="297"/>
      <c r="S963" s="297"/>
      <c r="T963" s="298"/>
      <c r="U963" s="296"/>
      <c r="V963" s="296"/>
      <c r="W963" s="297"/>
      <c r="X963" s="297"/>
      <c r="Y963" s="297"/>
      <c r="Z963" s="297"/>
      <c r="AA963" s="299"/>
      <c r="AB963" s="296"/>
      <c r="AC963" s="296"/>
      <c r="AD963" s="297"/>
      <c r="AE963" s="297"/>
      <c r="AF963" s="297"/>
      <c r="AG963" s="297"/>
      <c r="AH963" s="295"/>
      <c r="AI963" s="293"/>
      <c r="AJ963" s="293"/>
      <c r="AK963" s="297"/>
      <c r="AL963" s="297"/>
      <c r="AM963" s="297"/>
      <c r="AN963" s="297"/>
      <c r="AO963" s="295"/>
    </row>
    <row r="964" spans="2:41" ht="13">
      <c r="B964" s="294"/>
      <c r="C964" s="295"/>
      <c r="D964" s="295"/>
      <c r="E964" s="294"/>
      <c r="F964" s="294"/>
      <c r="G964" s="295"/>
      <c r="H964" s="295"/>
      <c r="I964" s="295"/>
      <c r="J964" s="295"/>
      <c r="K964" s="295"/>
      <c r="L964" s="295"/>
      <c r="N964" s="296"/>
      <c r="O964" s="296"/>
      <c r="P964" s="297"/>
      <c r="Q964" s="297"/>
      <c r="R964" s="297"/>
      <c r="S964" s="297"/>
      <c r="T964" s="298"/>
      <c r="U964" s="296"/>
      <c r="V964" s="296"/>
      <c r="W964" s="297"/>
      <c r="X964" s="297"/>
      <c r="Y964" s="297"/>
      <c r="Z964" s="297"/>
      <c r="AA964" s="299"/>
      <c r="AB964" s="296"/>
      <c r="AC964" s="296"/>
      <c r="AD964" s="297"/>
      <c r="AE964" s="297"/>
      <c r="AF964" s="297"/>
      <c r="AG964" s="297"/>
      <c r="AH964" s="295"/>
      <c r="AI964" s="293"/>
      <c r="AJ964" s="293"/>
      <c r="AK964" s="297"/>
      <c r="AL964" s="297"/>
      <c r="AM964" s="297"/>
      <c r="AN964" s="297"/>
      <c r="AO964" s="295"/>
    </row>
    <row r="965" spans="2:41" ht="13">
      <c r="B965" s="294"/>
      <c r="C965" s="295"/>
      <c r="D965" s="295"/>
      <c r="E965" s="294"/>
      <c r="F965" s="294"/>
      <c r="G965" s="295"/>
      <c r="H965" s="295"/>
      <c r="I965" s="295"/>
      <c r="J965" s="295"/>
      <c r="K965" s="295"/>
      <c r="L965" s="295"/>
      <c r="N965" s="296"/>
      <c r="O965" s="296"/>
      <c r="P965" s="297"/>
      <c r="Q965" s="297"/>
      <c r="R965" s="297"/>
      <c r="S965" s="297"/>
      <c r="T965" s="298"/>
      <c r="U965" s="296"/>
      <c r="V965" s="296"/>
      <c r="W965" s="297"/>
      <c r="X965" s="297"/>
      <c r="Y965" s="297"/>
      <c r="Z965" s="297"/>
      <c r="AA965" s="299"/>
      <c r="AB965" s="296"/>
      <c r="AC965" s="296"/>
      <c r="AD965" s="297"/>
      <c r="AE965" s="297"/>
      <c r="AF965" s="297"/>
      <c r="AG965" s="297"/>
      <c r="AH965" s="295"/>
      <c r="AI965" s="293"/>
      <c r="AJ965" s="293"/>
      <c r="AK965" s="297"/>
      <c r="AL965" s="297"/>
      <c r="AM965" s="297"/>
      <c r="AN965" s="297"/>
      <c r="AO965" s="295"/>
    </row>
    <row r="966" spans="2:41" ht="13">
      <c r="B966" s="294"/>
      <c r="C966" s="295"/>
      <c r="D966" s="295"/>
      <c r="E966" s="294"/>
      <c r="F966" s="294"/>
      <c r="G966" s="295"/>
      <c r="H966" s="295"/>
      <c r="I966" s="295"/>
      <c r="J966" s="295"/>
      <c r="K966" s="295"/>
      <c r="L966" s="295"/>
      <c r="N966" s="296"/>
      <c r="O966" s="296"/>
      <c r="P966" s="297"/>
      <c r="Q966" s="297"/>
      <c r="R966" s="297"/>
      <c r="S966" s="297"/>
      <c r="T966" s="298"/>
      <c r="U966" s="296"/>
      <c r="V966" s="296"/>
      <c r="W966" s="297"/>
      <c r="X966" s="297"/>
      <c r="Y966" s="297"/>
      <c r="Z966" s="297"/>
      <c r="AA966" s="299"/>
      <c r="AB966" s="296"/>
      <c r="AC966" s="296"/>
      <c r="AD966" s="297"/>
      <c r="AE966" s="297"/>
      <c r="AF966" s="297"/>
      <c r="AG966" s="297"/>
      <c r="AH966" s="295"/>
      <c r="AI966" s="293"/>
      <c r="AJ966" s="293"/>
      <c r="AK966" s="297"/>
      <c r="AL966" s="297"/>
      <c r="AM966" s="297"/>
      <c r="AN966" s="297"/>
      <c r="AO966" s="295"/>
    </row>
    <row r="967" spans="2:41" ht="13">
      <c r="B967" s="294"/>
      <c r="C967" s="295"/>
      <c r="D967" s="295"/>
      <c r="E967" s="294"/>
      <c r="F967" s="294"/>
      <c r="G967" s="295"/>
      <c r="H967" s="295"/>
      <c r="I967" s="295"/>
      <c r="J967" s="295"/>
      <c r="K967" s="295"/>
      <c r="L967" s="295"/>
      <c r="N967" s="296"/>
      <c r="O967" s="296"/>
      <c r="P967" s="297"/>
      <c r="Q967" s="297"/>
      <c r="R967" s="297"/>
      <c r="S967" s="297"/>
      <c r="T967" s="298"/>
      <c r="U967" s="296"/>
      <c r="V967" s="296"/>
      <c r="W967" s="297"/>
      <c r="X967" s="297"/>
      <c r="Y967" s="297"/>
      <c r="Z967" s="297"/>
      <c r="AA967" s="299"/>
      <c r="AB967" s="296"/>
      <c r="AC967" s="296"/>
      <c r="AD967" s="297"/>
      <c r="AE967" s="297"/>
      <c r="AF967" s="297"/>
      <c r="AG967" s="297"/>
      <c r="AH967" s="295"/>
      <c r="AI967" s="293"/>
      <c r="AJ967" s="293"/>
      <c r="AK967" s="297"/>
      <c r="AL967" s="297"/>
      <c r="AM967" s="297"/>
      <c r="AN967" s="297"/>
      <c r="AO967" s="295"/>
    </row>
    <row r="968" spans="2:41" ht="13">
      <c r="B968" s="294"/>
      <c r="C968" s="295"/>
      <c r="D968" s="295"/>
      <c r="E968" s="294"/>
      <c r="F968" s="294"/>
      <c r="G968" s="295"/>
      <c r="H968" s="295"/>
      <c r="I968" s="295"/>
      <c r="J968" s="295"/>
      <c r="K968" s="295"/>
      <c r="L968" s="295"/>
      <c r="N968" s="296"/>
      <c r="O968" s="296"/>
      <c r="P968" s="297"/>
      <c r="Q968" s="297"/>
      <c r="R968" s="297"/>
      <c r="S968" s="297"/>
      <c r="T968" s="298"/>
      <c r="U968" s="296"/>
      <c r="V968" s="296"/>
      <c r="W968" s="297"/>
      <c r="X968" s="297"/>
      <c r="Y968" s="297"/>
      <c r="Z968" s="297"/>
      <c r="AA968" s="299"/>
      <c r="AB968" s="296"/>
      <c r="AC968" s="296"/>
      <c r="AD968" s="297"/>
      <c r="AE968" s="297"/>
      <c r="AF968" s="297"/>
      <c r="AG968" s="297"/>
      <c r="AH968" s="295"/>
      <c r="AI968" s="293"/>
      <c r="AJ968" s="293"/>
      <c r="AK968" s="297"/>
      <c r="AL968" s="297"/>
      <c r="AM968" s="297"/>
      <c r="AN968" s="297"/>
      <c r="AO968" s="295"/>
    </row>
    <row r="969" spans="2:41" ht="13">
      <c r="B969" s="294"/>
      <c r="C969" s="295"/>
      <c r="D969" s="295"/>
      <c r="E969" s="294"/>
      <c r="F969" s="294"/>
      <c r="G969" s="295"/>
      <c r="H969" s="295"/>
      <c r="I969" s="295"/>
      <c r="J969" s="295"/>
      <c r="K969" s="295"/>
      <c r="L969" s="295"/>
      <c r="N969" s="296"/>
      <c r="O969" s="296"/>
      <c r="P969" s="297"/>
      <c r="Q969" s="297"/>
      <c r="R969" s="297"/>
      <c r="S969" s="297"/>
      <c r="T969" s="298"/>
      <c r="U969" s="296"/>
      <c r="V969" s="296"/>
      <c r="W969" s="297"/>
      <c r="X969" s="297"/>
      <c r="Y969" s="297"/>
      <c r="Z969" s="297"/>
      <c r="AA969" s="299"/>
      <c r="AB969" s="296"/>
      <c r="AC969" s="296"/>
      <c r="AD969" s="297"/>
      <c r="AE969" s="297"/>
      <c r="AF969" s="297"/>
      <c r="AG969" s="297"/>
      <c r="AH969" s="295"/>
      <c r="AI969" s="293"/>
      <c r="AJ969" s="293"/>
      <c r="AK969" s="297"/>
      <c r="AL969" s="297"/>
      <c r="AM969" s="297"/>
      <c r="AN969" s="297"/>
      <c r="AO969" s="295"/>
    </row>
    <row r="970" spans="2:41" ht="13">
      <c r="B970" s="294"/>
      <c r="C970" s="295"/>
      <c r="D970" s="295"/>
      <c r="E970" s="294"/>
      <c r="F970" s="294"/>
      <c r="G970" s="295"/>
      <c r="H970" s="295"/>
      <c r="I970" s="295"/>
      <c r="J970" s="295"/>
      <c r="K970" s="295"/>
      <c r="L970" s="295"/>
      <c r="N970" s="296"/>
      <c r="O970" s="296"/>
      <c r="P970" s="297"/>
      <c r="Q970" s="297"/>
      <c r="R970" s="297"/>
      <c r="S970" s="297"/>
      <c r="T970" s="298"/>
      <c r="U970" s="296"/>
      <c r="V970" s="296"/>
      <c r="W970" s="297"/>
      <c r="X970" s="297"/>
      <c r="Y970" s="297"/>
      <c r="Z970" s="297"/>
      <c r="AA970" s="299"/>
      <c r="AB970" s="296"/>
      <c r="AC970" s="296"/>
      <c r="AD970" s="297"/>
      <c r="AE970" s="297"/>
      <c r="AF970" s="297"/>
      <c r="AG970" s="297"/>
      <c r="AH970" s="295"/>
      <c r="AI970" s="293"/>
      <c r="AJ970" s="293"/>
      <c r="AK970" s="297"/>
      <c r="AL970" s="297"/>
      <c r="AM970" s="297"/>
      <c r="AN970" s="297"/>
      <c r="AO970" s="295"/>
    </row>
    <row r="971" spans="2:41" ht="13">
      <c r="B971" s="294"/>
      <c r="C971" s="295"/>
      <c r="D971" s="295"/>
      <c r="E971" s="294"/>
      <c r="F971" s="294"/>
      <c r="G971" s="295"/>
      <c r="H971" s="295"/>
      <c r="I971" s="295"/>
      <c r="J971" s="295"/>
      <c r="K971" s="295"/>
      <c r="L971" s="295"/>
      <c r="N971" s="296"/>
      <c r="O971" s="296"/>
      <c r="P971" s="297"/>
      <c r="Q971" s="297"/>
      <c r="R971" s="297"/>
      <c r="S971" s="297"/>
      <c r="T971" s="298"/>
      <c r="U971" s="296"/>
      <c r="V971" s="296"/>
      <c r="W971" s="297"/>
      <c r="X971" s="297"/>
      <c r="Y971" s="297"/>
      <c r="Z971" s="297"/>
      <c r="AA971" s="299"/>
      <c r="AB971" s="296"/>
      <c r="AC971" s="296"/>
      <c r="AD971" s="297"/>
      <c r="AE971" s="297"/>
      <c r="AF971" s="297"/>
      <c r="AG971" s="297"/>
      <c r="AH971" s="295"/>
      <c r="AI971" s="293"/>
      <c r="AJ971" s="293"/>
      <c r="AK971" s="297"/>
      <c r="AL971" s="297"/>
      <c r="AM971" s="297"/>
      <c r="AN971" s="297"/>
      <c r="AO971" s="295"/>
    </row>
    <row r="972" spans="2:41" ht="13">
      <c r="B972" s="294"/>
      <c r="C972" s="295"/>
      <c r="D972" s="295"/>
      <c r="E972" s="294"/>
      <c r="F972" s="294"/>
      <c r="G972" s="295"/>
      <c r="H972" s="295"/>
      <c r="I972" s="295"/>
      <c r="J972" s="295"/>
      <c r="K972" s="295"/>
      <c r="L972" s="295"/>
      <c r="N972" s="296"/>
      <c r="O972" s="296"/>
      <c r="P972" s="297"/>
      <c r="Q972" s="297"/>
      <c r="R972" s="297"/>
      <c r="S972" s="297"/>
      <c r="T972" s="298"/>
      <c r="U972" s="296"/>
      <c r="V972" s="296"/>
      <c r="W972" s="297"/>
      <c r="X972" s="297"/>
      <c r="Y972" s="297"/>
      <c r="Z972" s="297"/>
      <c r="AA972" s="299"/>
      <c r="AB972" s="296"/>
      <c r="AC972" s="296"/>
      <c r="AD972" s="297"/>
      <c r="AE972" s="297"/>
      <c r="AF972" s="297"/>
      <c r="AG972" s="297"/>
      <c r="AH972" s="295"/>
      <c r="AI972" s="293"/>
      <c r="AJ972" s="293"/>
      <c r="AK972" s="297"/>
      <c r="AL972" s="297"/>
      <c r="AM972" s="297"/>
      <c r="AN972" s="297"/>
      <c r="AO972" s="295"/>
    </row>
    <row r="973" spans="2:41" ht="13">
      <c r="B973" s="294"/>
      <c r="C973" s="295"/>
      <c r="D973" s="295"/>
      <c r="E973" s="294"/>
      <c r="F973" s="294"/>
      <c r="G973" s="295"/>
      <c r="H973" s="295"/>
      <c r="I973" s="295"/>
      <c r="J973" s="295"/>
      <c r="K973" s="295"/>
      <c r="L973" s="295"/>
      <c r="N973" s="296"/>
      <c r="O973" s="296"/>
      <c r="P973" s="297"/>
      <c r="Q973" s="297"/>
      <c r="R973" s="297"/>
      <c r="S973" s="297"/>
      <c r="T973" s="298"/>
      <c r="U973" s="296"/>
      <c r="V973" s="296"/>
      <c r="W973" s="297"/>
      <c r="X973" s="297"/>
      <c r="Y973" s="297"/>
      <c r="Z973" s="297"/>
      <c r="AA973" s="299"/>
      <c r="AB973" s="296"/>
      <c r="AC973" s="296"/>
      <c r="AD973" s="297"/>
      <c r="AE973" s="297"/>
      <c r="AF973" s="297"/>
      <c r="AG973" s="297"/>
      <c r="AH973" s="295"/>
      <c r="AI973" s="293"/>
      <c r="AJ973" s="293"/>
      <c r="AK973" s="297"/>
      <c r="AL973" s="297"/>
      <c r="AM973" s="297"/>
      <c r="AN973" s="297"/>
      <c r="AO973" s="295"/>
    </row>
    <row r="974" spans="2:41" ht="13">
      <c r="B974" s="294"/>
      <c r="C974" s="295"/>
      <c r="D974" s="295"/>
      <c r="E974" s="294"/>
      <c r="F974" s="294"/>
      <c r="G974" s="295"/>
      <c r="H974" s="295"/>
      <c r="I974" s="295"/>
      <c r="J974" s="295"/>
      <c r="K974" s="295"/>
      <c r="L974" s="295"/>
      <c r="N974" s="296"/>
      <c r="O974" s="296"/>
      <c r="P974" s="297"/>
      <c r="Q974" s="297"/>
      <c r="R974" s="297"/>
      <c r="S974" s="297"/>
      <c r="T974" s="298"/>
      <c r="U974" s="296"/>
      <c r="V974" s="296"/>
      <c r="W974" s="297"/>
      <c r="X974" s="297"/>
      <c r="Y974" s="297"/>
      <c r="Z974" s="297"/>
      <c r="AA974" s="299"/>
      <c r="AB974" s="296"/>
      <c r="AC974" s="296"/>
      <c r="AD974" s="297"/>
      <c r="AE974" s="297"/>
      <c r="AF974" s="297"/>
      <c r="AG974" s="297"/>
      <c r="AH974" s="295"/>
      <c r="AI974" s="293"/>
      <c r="AJ974" s="293"/>
      <c r="AK974" s="297"/>
      <c r="AL974" s="297"/>
      <c r="AM974" s="297"/>
      <c r="AN974" s="297"/>
      <c r="AO974" s="295"/>
    </row>
    <row r="975" spans="2:41" ht="13">
      <c r="B975" s="294"/>
      <c r="C975" s="295"/>
      <c r="D975" s="295"/>
      <c r="E975" s="294"/>
      <c r="F975" s="294"/>
      <c r="G975" s="295"/>
      <c r="H975" s="295"/>
      <c r="I975" s="295"/>
      <c r="J975" s="295"/>
      <c r="K975" s="295"/>
      <c r="L975" s="295"/>
      <c r="N975" s="296"/>
      <c r="O975" s="296"/>
      <c r="P975" s="297"/>
      <c r="Q975" s="297"/>
      <c r="R975" s="297"/>
      <c r="S975" s="297"/>
      <c r="T975" s="298"/>
      <c r="U975" s="296"/>
      <c r="V975" s="296"/>
      <c r="W975" s="297"/>
      <c r="X975" s="297"/>
      <c r="Y975" s="297"/>
      <c r="Z975" s="297"/>
      <c r="AA975" s="299"/>
      <c r="AB975" s="296"/>
      <c r="AC975" s="296"/>
      <c r="AD975" s="297"/>
      <c r="AE975" s="297"/>
      <c r="AF975" s="297"/>
      <c r="AG975" s="297"/>
      <c r="AH975" s="295"/>
      <c r="AI975" s="293"/>
      <c r="AJ975" s="293"/>
      <c r="AK975" s="297"/>
      <c r="AL975" s="297"/>
      <c r="AM975" s="297"/>
      <c r="AN975" s="297"/>
      <c r="AO975" s="295"/>
    </row>
  </sheetData>
  <mergeCells count="1">
    <mergeCell ref="J151:L151"/>
  </mergeCells>
  <conditionalFormatting sqref="C1:C150 C152:C975">
    <cfRule type="cellIs" dxfId="487" priority="2" operator="equal">
      <formula>"18%"</formula>
    </cfRule>
    <cfRule type="cellIs" dxfId="486" priority="3" operator="equal">
      <formula>"15%"</formula>
    </cfRule>
    <cfRule type="cellIs" dxfId="485" priority="4" operator="equal">
      <formula>"12%"</formula>
    </cfRule>
    <cfRule type="cellIs" dxfId="484" priority="5" operator="equal">
      <formula>"5%"</formula>
    </cfRule>
    <cfRule type="cellIs" dxfId="483" priority="6" operator="equal">
      <formula>"10%"</formula>
    </cfRule>
  </conditionalFormatting>
  <conditionalFormatting sqref="D1:D975">
    <cfRule type="containsText" dxfId="482" priority="14" operator="containsText" text="26">
      <formula>NOT(ISERROR(SEARCH(("26"),(D1))))</formula>
    </cfRule>
  </conditionalFormatting>
  <conditionalFormatting sqref="K1:K901 G1:G975">
    <cfRule type="cellIs" dxfId="481" priority="37" operator="equal">
      <formula>"5%"</formula>
    </cfRule>
    <cfRule type="cellIs" dxfId="480" priority="36" operator="equal">
      <formula>"10%"</formula>
    </cfRule>
    <cfRule type="cellIs" dxfId="479" priority="35" operator="equal">
      <formula>"12%"</formula>
    </cfRule>
    <cfRule type="cellIs" dxfId="478" priority="34" operator="equal">
      <formula>"15%"</formula>
    </cfRule>
  </conditionalFormatting>
  <conditionalFormatting sqref="K1:K975">
    <cfRule type="cellIs" dxfId="477" priority="52" operator="greaterThan">
      <formula>"15%"</formula>
    </cfRule>
  </conditionalFormatting>
  <conditionalFormatting sqref="P2:S150 W2:AA150 AD2:AH150 P157:S162 W157:AA162 AD157:AH162">
    <cfRule type="cellIs" dxfId="476" priority="8" operator="lessThanOrEqual">
      <formula>0</formula>
    </cfRule>
  </conditionalFormatting>
  <conditionalFormatting sqref="T1:T150 AA1:AA150 AH1:AH150 AO1:AO150 T152:T975 AA152:AA975 AH152:AH975 AO152:AO975">
    <cfRule type="cellIs" dxfId="475" priority="11" operator="lessThan">
      <formula>"90%"</formula>
    </cfRule>
    <cfRule type="cellIs" dxfId="474" priority="12" operator="lessThan">
      <formula>"100%"</formula>
    </cfRule>
  </conditionalFormatting>
  <conditionalFormatting sqref="AM1:AM150 AM152:AM975">
    <cfRule type="cellIs" dxfId="473" priority="13" operator="equal">
      <formula>0</formula>
    </cfRule>
  </conditionalFormatting>
  <conditionalFormatting sqref="AN2:AO150 AP150 AT150 AX150 BK150 BO150 BV150 BZ150:CE150 AN157:AO162">
    <cfRule type="cellIs" dxfId="472" priority="9" operator="lessThanOrEqual">
      <formula>0</formula>
    </cfRule>
  </conditionalFormatting>
  <conditionalFormatting sqref="AO1:AO150 AO152:AO975 AA1:AA150 AH1:AH150 AA152:AA975 AH152:AH975 T1:T150 T152:T975">
    <cfRule type="cellIs" dxfId="471" priority="10" operator="greaterThanOrEqual">
      <formula>"100%"</formula>
    </cfRule>
  </conditionalFormatting>
  <conditionalFormatting sqref="AQ2:AQ150 AU2:AU150 AY2:AY150 BH2:BH150 BH157:BH162 AQ158:AQ162 AU158:AU162 AY158:AY162">
    <cfRule type="cellIs" dxfId="470" priority="21" operator="greaterThanOrEqual">
      <formula>5000000</formula>
    </cfRule>
    <cfRule type="cellIs" dxfId="469" priority="19" operator="lessThan">
      <formula>4000000</formula>
    </cfRule>
    <cfRule type="cellIs" dxfId="468" priority="20" operator="lessThan">
      <formula>5000000</formula>
    </cfRule>
  </conditionalFormatting>
  <conditionalFormatting sqref="AQ15:AQ47 AU15:AU47 AY15:AY47 AQ159:AQ161 AU159:AU161 AY159:AY161 BH159:BH162 BH15:BH47 AQ59:AQ68 AU59:AU68 AY59:AY68 AQ82:AQ90 AU82:AU90 AY82:AY90 AQ104:AQ116 AU104:AU116 AY104:AY116 AQ130:AQ137 AU130:AU137 AY130:AY137">
    <cfRule type="cellIs" dxfId="467" priority="27" operator="greaterThanOrEqual">
      <formula>1500000</formula>
    </cfRule>
    <cfRule type="cellIs" dxfId="466" priority="25" operator="lessThan">
      <formula>1200000</formula>
    </cfRule>
  </conditionalFormatting>
  <conditionalFormatting sqref="AQ15:AQ47 AU15:AU47 AY15:AY47 BH15:BH47 AQ59:AQ68 AU59:AU68 AY59:AY68 AQ82:AQ90 AU82:AU90 AY82:AY90 AQ104:AQ116 AU104:AU116 AY104:AY116 AQ130:AQ137 AU130:AU137 AY130:AY137 AQ159:AQ161 AU159:AU161 AY159:AY161 BH159:BH162">
    <cfRule type="cellIs" dxfId="465" priority="26" operator="lessThan">
      <formula>1500000</formula>
    </cfRule>
  </conditionalFormatting>
  <conditionalFormatting sqref="AQ42 AU42 AY42 AQ58 AU58 AY58 AQ81 AU81 AY81 AQ103 AU103 AY103 AQ129 AU129 AY129 AQ161 AU161 AY161 BH161:BH162">
    <cfRule type="cellIs" dxfId="464" priority="23" operator="lessThan">
      <formula>2600000</formula>
    </cfRule>
    <cfRule type="cellIs" dxfId="463" priority="24" operator="greaterThanOrEqual">
      <formula>2600000</formula>
    </cfRule>
    <cfRule type="cellIs" dxfId="462" priority="22" operator="lessThan">
      <formula>2080000</formula>
    </cfRule>
  </conditionalFormatting>
  <conditionalFormatting sqref="AQ1:BG150 BN1 BR1 BU1 BY1 CC1 BJ1:BJ150 BZ151:CD151 AQ152:BG975 BJ152:BJ975">
    <cfRule type="cellIs" dxfId="461" priority="17" operator="equal">
      <formula>0</formula>
    </cfRule>
  </conditionalFormatting>
  <conditionalFormatting sqref="BB2:BB150 BB158:BB162">
    <cfRule type="cellIs" dxfId="460" priority="28" operator="lessThan">
      <formula>7200000</formula>
    </cfRule>
    <cfRule type="cellIs" dxfId="459" priority="29" operator="lessThan">
      <formula>9000000</formula>
    </cfRule>
    <cfRule type="cellIs" dxfId="458" priority="30" operator="greaterThanOrEqual">
      <formula>9000000</formula>
    </cfRule>
  </conditionalFormatting>
  <conditionalFormatting sqref="BB15:BB47 BB49:BB54 BB67:BB73 BB87:BB120 BB122:BB127 BB143:BB149 BB159:BB161">
    <cfRule type="cellIs" dxfId="457" priority="31" operator="lessThan">
      <formula>12000000</formula>
    </cfRule>
    <cfRule type="cellIs" dxfId="456" priority="32" operator="lessThan">
      <formula>15000000</formula>
    </cfRule>
    <cfRule type="cellIs" dxfId="455" priority="33" operator="greaterThanOrEqual">
      <formula>15000000</formula>
    </cfRule>
  </conditionalFormatting>
  <conditionalFormatting sqref="BB2:BG150 BJ2:BJ150 BJ157:BJ162 BB158:BG162">
    <cfRule type="containsBlanks" dxfId="454" priority="18">
      <formula>LEN(TRIM(BB2))=0</formula>
    </cfRule>
  </conditionalFormatting>
  <conditionalFormatting sqref="BH2:BH150 BH157:BH162">
    <cfRule type="containsBlanks" dxfId="453" priority="40">
      <formula>LEN(TRIM(BH2))=0</formula>
    </cfRule>
    <cfRule type="cellIs" dxfId="452" priority="41" operator="equal">
      <formula>0</formula>
    </cfRule>
  </conditionalFormatting>
  <conditionalFormatting sqref="BL2:BN150 BL157:BN162">
    <cfRule type="cellIs" dxfId="451" priority="38" operator="equal">
      <formula>0</formula>
    </cfRule>
    <cfRule type="containsBlanks" dxfId="450" priority="39">
      <formula>LEN(TRIM(BL2))=0</formula>
    </cfRule>
  </conditionalFormatting>
  <conditionalFormatting sqref="BP2:BU150 BP157:BU162">
    <cfRule type="containsBlanks" dxfId="449" priority="43">
      <formula>LEN(TRIM(BP2))=0</formula>
    </cfRule>
    <cfRule type="cellIs" dxfId="448" priority="42" operator="equal">
      <formula>0</formula>
    </cfRule>
  </conditionalFormatting>
  <conditionalFormatting sqref="BR2:BR13 BR140:BR141">
    <cfRule type="cellIs" dxfId="447" priority="45" operator="lessThan">
      <formula>5000000</formula>
    </cfRule>
    <cfRule type="cellIs" dxfId="446" priority="44" operator="greaterThanOrEqual">
      <formula>5000000</formula>
    </cfRule>
  </conditionalFormatting>
  <conditionalFormatting sqref="BR14:BR36 BR161:BR162">
    <cfRule type="cellIs" dxfId="445" priority="48" operator="greaterThanOrEqual">
      <formula>1500000</formula>
    </cfRule>
    <cfRule type="cellIs" dxfId="444" priority="49" operator="lessThan">
      <formula>1500000</formula>
    </cfRule>
  </conditionalFormatting>
  <conditionalFormatting sqref="BU2:BU13 BU140:BU141">
    <cfRule type="cellIs" dxfId="443" priority="46" operator="greaterThanOrEqual">
      <formula>15000000</formula>
    </cfRule>
    <cfRule type="cellIs" dxfId="442" priority="47" operator="lessThan">
      <formula>15000000</formula>
    </cfRule>
  </conditionalFormatting>
  <conditionalFormatting sqref="BU14:BU36 BU161:BU162">
    <cfRule type="cellIs" dxfId="441" priority="50" operator="greaterThanOrEqual">
      <formula>4500000</formula>
    </cfRule>
    <cfRule type="cellIs" dxfId="440" priority="51" operator="lessThan">
      <formula>4500000</formula>
    </cfRule>
  </conditionalFormatting>
  <conditionalFormatting sqref="CF1:CF975">
    <cfRule type="notContainsBlanks" dxfId="439" priority="7">
      <formula>LEN(TRIM(CF1))&gt;0</formula>
    </cfRule>
  </conditionalFormatting>
  <conditionalFormatting sqref="CT9:CT975 M162">
    <cfRule type="containsText" dxfId="438" priority="16" operator="containsText" text="/">
      <formula>NOT(ISERROR(SEARCH(("/"),(CT9))))</formula>
    </cfRule>
  </conditionalFormatting>
  <conditionalFormatting sqref="CT188">
    <cfRule type="containsText" dxfId="437" priority="1" operator="containsText" text="/">
      <formula>NOT(ISERROR(SEARCH(("/"),(CT188))))</formula>
    </cfRule>
  </conditionalFormatting>
  <conditionalFormatting sqref="CT264">
    <cfRule type="containsText" dxfId="436" priority="15" operator="containsText" text="tognola">
      <formula>NOT(ISERROR(SEARCH(("tognola"),(CT264))))</formula>
    </cfRule>
  </conditionalFormatting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DJ997"/>
  <sheetViews>
    <sheetView showGridLines="0" workbookViewId="0">
      <pane ySplit="1" topLeftCell="A2" activePane="bottomLeft" state="frozen"/>
      <selection pane="bottomLeft" activeCell="D1" sqref="D1"/>
    </sheetView>
  </sheetViews>
  <sheetFormatPr baseColWidth="10" defaultColWidth="12.6640625" defaultRowHeight="15.75" customHeight="1"/>
  <cols>
    <col min="1" max="1" width="10.83203125" customWidth="1"/>
    <col min="2" max="8" width="5.6640625" customWidth="1"/>
    <col min="9" max="9" width="37.1640625" customWidth="1"/>
    <col min="10" max="10" width="12.6640625" hidden="1"/>
    <col min="11" max="56" width="10.6640625" hidden="1" customWidth="1"/>
    <col min="57" max="57" width="10.6640625" customWidth="1"/>
    <col min="58" max="58" width="10.6640625" hidden="1" customWidth="1"/>
    <col min="59" max="59" width="10.6640625" customWidth="1"/>
    <col min="60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2.6640625" hidden="1"/>
    <col min="65" max="65" width="10.6640625" customWidth="1"/>
    <col min="66" max="66" width="10.6640625" hidden="1" customWidth="1"/>
    <col min="67" max="68" width="10.6640625" customWidth="1"/>
    <col min="69" max="69" width="10.6640625" hidden="1" customWidth="1"/>
    <col min="70" max="70" width="10.6640625" customWidth="1"/>
    <col min="71" max="71" width="12.6640625" hidden="1"/>
    <col min="73" max="73" width="12.6640625" hidden="1"/>
    <col min="75" max="76" width="12.6640625" hidden="1"/>
    <col min="80" max="88" width="10.6640625" customWidth="1"/>
    <col min="99" max="99" width="35.1640625" customWidth="1"/>
  </cols>
  <sheetData>
    <row r="1" spans="1:114" ht="15.75" customHeight="1">
      <c r="A1" s="39" t="s">
        <v>19</v>
      </c>
      <c r="B1" s="384" t="s">
        <v>20</v>
      </c>
      <c r="C1" s="385" t="s">
        <v>21</v>
      </c>
      <c r="D1" s="385" t="s">
        <v>22</v>
      </c>
      <c r="E1" s="386" t="s">
        <v>23</v>
      </c>
      <c r="F1" s="384" t="s">
        <v>20</v>
      </c>
      <c r="G1" s="385" t="s">
        <v>21</v>
      </c>
      <c r="H1" s="385" t="s">
        <v>22</v>
      </c>
      <c r="I1" s="387" t="s">
        <v>24</v>
      </c>
      <c r="J1" s="388">
        <v>45681</v>
      </c>
      <c r="K1" s="56" t="s">
        <v>243</v>
      </c>
      <c r="L1" s="57" t="s">
        <v>26</v>
      </c>
      <c r="M1" s="52" t="s">
        <v>27</v>
      </c>
      <c r="N1" s="389" t="s">
        <v>28</v>
      </c>
      <c r="O1" s="59" t="s">
        <v>29</v>
      </c>
      <c r="P1" s="60" t="s">
        <v>30</v>
      </c>
      <c r="Q1" s="49">
        <v>45712</v>
      </c>
      <c r="R1" s="56" t="s">
        <v>244</v>
      </c>
      <c r="S1" s="57" t="s">
        <v>26</v>
      </c>
      <c r="T1" s="52" t="s">
        <v>27</v>
      </c>
      <c r="U1" s="389" t="s">
        <v>32</v>
      </c>
      <c r="V1" s="59" t="s">
        <v>29</v>
      </c>
      <c r="W1" s="60" t="s">
        <v>30</v>
      </c>
      <c r="X1" s="390">
        <v>45740</v>
      </c>
      <c r="Y1" s="391" t="s">
        <v>245</v>
      </c>
      <c r="Z1" s="51" t="s">
        <v>26</v>
      </c>
      <c r="AA1" s="52" t="s">
        <v>27</v>
      </c>
      <c r="AB1" s="66" t="s">
        <v>34</v>
      </c>
      <c r="AC1" s="54" t="s">
        <v>29</v>
      </c>
      <c r="AD1" s="392" t="s">
        <v>30</v>
      </c>
      <c r="AE1" s="64" t="s">
        <v>35</v>
      </c>
      <c r="AF1" s="65" t="s">
        <v>36</v>
      </c>
      <c r="AG1" s="51" t="s">
        <v>26</v>
      </c>
      <c r="AH1" s="52" t="s">
        <v>27</v>
      </c>
      <c r="AI1" s="66" t="s">
        <v>41</v>
      </c>
      <c r="AJ1" s="54" t="s">
        <v>29</v>
      </c>
      <c r="AK1" s="393" t="s">
        <v>30</v>
      </c>
      <c r="AL1" s="49">
        <v>45771</v>
      </c>
      <c r="AM1" s="57" t="s">
        <v>26</v>
      </c>
      <c r="AN1" s="52" t="s">
        <v>27</v>
      </c>
      <c r="AO1" s="389" t="s">
        <v>38</v>
      </c>
      <c r="AP1" s="49">
        <v>45801</v>
      </c>
      <c r="AQ1" s="57" t="s">
        <v>26</v>
      </c>
      <c r="AR1" s="52" t="s">
        <v>27</v>
      </c>
      <c r="AS1" s="389" t="s">
        <v>39</v>
      </c>
      <c r="AT1" s="49">
        <v>45832</v>
      </c>
      <c r="AU1" s="57" t="s">
        <v>26</v>
      </c>
      <c r="AV1" s="52" t="s">
        <v>27</v>
      </c>
      <c r="AW1" s="394" t="s">
        <v>246</v>
      </c>
      <c r="AX1" s="69" t="s">
        <v>26</v>
      </c>
      <c r="AY1" s="52" t="s">
        <v>27</v>
      </c>
      <c r="AZ1" s="389" t="s">
        <v>41</v>
      </c>
      <c r="BA1" s="75" t="s">
        <v>26</v>
      </c>
      <c r="BB1" s="72" t="s">
        <v>27</v>
      </c>
      <c r="BC1" s="76" t="s">
        <v>42</v>
      </c>
      <c r="BD1" s="49">
        <v>45862</v>
      </c>
      <c r="BE1" s="78" t="s">
        <v>26</v>
      </c>
      <c r="BF1" s="79" t="s">
        <v>27</v>
      </c>
      <c r="BG1" s="395" t="s">
        <v>247</v>
      </c>
      <c r="BH1" s="396">
        <v>45893</v>
      </c>
      <c r="BI1" s="78" t="s">
        <v>26</v>
      </c>
      <c r="BJ1" s="79" t="s">
        <v>27</v>
      </c>
      <c r="BK1" s="397" t="s">
        <v>44</v>
      </c>
      <c r="BL1" s="398">
        <v>45924</v>
      </c>
      <c r="BM1" s="78" t="s">
        <v>26</v>
      </c>
      <c r="BN1" s="79" t="s">
        <v>27</v>
      </c>
      <c r="BO1" s="399" t="s">
        <v>45</v>
      </c>
      <c r="BP1" s="400" t="s">
        <v>248</v>
      </c>
      <c r="BQ1" s="401" t="s">
        <v>27</v>
      </c>
      <c r="BR1" s="402" t="s">
        <v>41</v>
      </c>
      <c r="BS1" s="403">
        <v>45954</v>
      </c>
      <c r="BT1" s="78" t="s">
        <v>26</v>
      </c>
      <c r="BU1" s="79" t="s">
        <v>27</v>
      </c>
      <c r="BV1" s="399" t="s">
        <v>249</v>
      </c>
      <c r="BW1" s="404">
        <v>45985</v>
      </c>
      <c r="BX1" s="405">
        <v>46015</v>
      </c>
      <c r="BY1" s="82"/>
      <c r="BZ1" s="82"/>
      <c r="CA1" s="406" t="s">
        <v>250</v>
      </c>
      <c r="CB1" s="407" t="s">
        <v>51</v>
      </c>
      <c r="CC1" s="408" t="s">
        <v>52</v>
      </c>
      <c r="CD1" s="409" t="s">
        <v>54</v>
      </c>
      <c r="CE1" s="409" t="s">
        <v>251</v>
      </c>
      <c r="CF1" s="409" t="s">
        <v>252</v>
      </c>
      <c r="CG1" s="409" t="s">
        <v>58</v>
      </c>
      <c r="CH1" s="410" t="s">
        <v>253</v>
      </c>
      <c r="CI1" s="411" t="s">
        <v>61</v>
      </c>
      <c r="CJ1" s="411" t="s">
        <v>254</v>
      </c>
      <c r="CK1" s="412" t="s">
        <v>255</v>
      </c>
      <c r="CT1" s="294"/>
    </row>
    <row r="2" spans="1:114" ht="15.75" customHeight="1">
      <c r="A2" s="92">
        <f t="shared" ref="A2:A33" si="0">VLOOKUP(I2,CALOCART4,3,FALSE)</f>
        <v>112013280</v>
      </c>
      <c r="B2" s="93">
        <f t="shared" ref="B2:B33" si="1">VLOOKUP(I2,CALOCARTERA,2,FALSE)</f>
        <v>38</v>
      </c>
      <c r="C2" s="94">
        <f t="shared" ref="C2:C7" si="2">IFERROR(VLOOKUP(B2,DES,2,FALSE),"")</f>
        <v>0.15</v>
      </c>
      <c r="D2" s="94">
        <f t="shared" ref="D2:D7" si="3">IFERROR(VLOOKUP(B2,DES,3,FALSE),"")</f>
        <v>0.26</v>
      </c>
      <c r="E2" s="413">
        <f t="shared" ref="E2:E7" si="4">IFERROR(VLOOKUP(B2,DES,4,FALSE),"")</f>
        <v>0</v>
      </c>
      <c r="F2" s="414">
        <f t="shared" ref="F2:F33" si="5">VLOOKUP(I2,CALOCART4,2,FALSE)</f>
        <v>52</v>
      </c>
      <c r="G2" s="94">
        <f t="shared" ref="G2:G33" si="6">IFERROR(VLOOKUP(F2,A458DC1025,2,FALSE),"")</f>
        <v>0.15</v>
      </c>
      <c r="H2" s="415">
        <f t="shared" ref="H2:H33" si="7">IFERROR(VLOOKUP(F2,A458DC1025,3,FALSE),"")</f>
        <v>0.17</v>
      </c>
      <c r="I2" s="99" t="s">
        <v>256</v>
      </c>
      <c r="J2" s="100">
        <f t="shared" ref="J2:J10" si="8">IFERROR(VLOOKUP(I2,CALO24,3,FALSE),"")</f>
        <v>4141401.77</v>
      </c>
      <c r="K2" s="416">
        <f>(J2*1.601)*1.05</f>
        <v>6961903.4454584997</v>
      </c>
      <c r="L2" s="113">
        <f t="shared" ref="L2:L99" si="9">N2-M2</f>
        <v>2158631.1099999994</v>
      </c>
      <c r="M2" s="116">
        <f t="shared" ref="M2:M33" si="10">IFERROR(VLOOKUP(I2,CALOALIM,3,FALSE),"")</f>
        <v>4009068.16</v>
      </c>
      <c r="N2" s="117">
        <f t="shared" ref="N2:N33" si="11">IFERROR(VLOOKUP(I2,CALOFC,3,FALSE),"")</f>
        <v>6167699.2699999996</v>
      </c>
      <c r="O2" s="114">
        <f t="shared" ref="O2:O10" si="12">N2-K2</f>
        <v>-794204.17545850016</v>
      </c>
      <c r="P2" s="413">
        <f t="shared" ref="P2:P10" si="13">N2/K2</f>
        <v>0.88592140329429758</v>
      </c>
      <c r="Q2" s="100">
        <f>IFERROR(VLOOKUP(I2,CALO24,4,FALSE),"")</f>
        <v>2353303.0099999998</v>
      </c>
      <c r="R2" s="113">
        <f>(Q2*1.7245)*1.03</f>
        <v>4180019.1719673495</v>
      </c>
      <c r="S2" s="116">
        <f t="shared" ref="S2:S99" si="14">U2-T2</f>
        <v>582867.40000000037</v>
      </c>
      <c r="T2" s="116">
        <f t="shared" ref="T2:T33" si="15">IFERROR(VLOOKUP(I2,CALOALIM,4,FALSE),"")</f>
        <v>3931304.13</v>
      </c>
      <c r="U2" s="116">
        <f t="shared" ref="U2:U33" si="16">IFERROR(VLOOKUP(I2,CALOFC,4,FALSE),"")</f>
        <v>4514171.53</v>
      </c>
      <c r="V2" s="116">
        <f t="shared" ref="V2:V77" si="17">U2-R2</f>
        <v>334152.35803265078</v>
      </c>
      <c r="W2" s="413">
        <f t="shared" ref="W2:W10" si="18">U2/R2</f>
        <v>1.0799403888560108</v>
      </c>
      <c r="X2" s="114">
        <f>IFERROR(VLOOKUP(I2,CALO24,5,FALSE),"")</f>
        <v>3054385.34</v>
      </c>
      <c r="Y2" s="121">
        <f>(X2*1.5955)*1.03</f>
        <v>5019469.9642690998</v>
      </c>
      <c r="Z2" s="113">
        <f t="shared" ref="Z2:Z99" si="19">AB2-AA2</f>
        <v>3734176.71</v>
      </c>
      <c r="AA2" s="116">
        <f t="shared" ref="AA2:AA33" si="20">IFERROR(VLOOKUP(I2,CALOALIM,5,FALSE),"")</f>
        <v>1920878.96</v>
      </c>
      <c r="AB2" s="117">
        <f t="shared" ref="AB2:AB33" si="21">IFERROR(VLOOKUP(I2,CALOFC,5,FALSE),"")</f>
        <v>5655055.6699999999</v>
      </c>
      <c r="AC2" s="114">
        <f t="shared" ref="AC2:AC77" si="22">AB2-Y2</f>
        <v>635585.70573090017</v>
      </c>
      <c r="AD2" s="97">
        <f t="shared" ref="AD2:AD10" si="23">AB2/Y2</f>
        <v>1.1266240679305368</v>
      </c>
      <c r="AE2" s="417">
        <f t="shared" ref="AE2:AE77" si="24">SUM(K2,R2,Y2)</f>
        <v>16161392.581694949</v>
      </c>
      <c r="AF2" s="118">
        <f t="shared" ref="AF2:AF33" si="25">IFERROR(VLOOKUP(I2,trim2024,2,FALSE),"0")</f>
        <v>24083404.890000001</v>
      </c>
      <c r="AG2" s="116">
        <f t="shared" ref="AG2:AG77" si="26">AI2-AH2</f>
        <v>2544371.09</v>
      </c>
      <c r="AH2" s="116">
        <f t="shared" ref="AH2:AH77" si="27">SUM(AA2,T2,T2,M2)</f>
        <v>13792555.379999999</v>
      </c>
      <c r="AI2" s="116">
        <f t="shared" ref="AI2:AI77" si="28">SUM(AB2,U2,N2)</f>
        <v>16336926.469999999</v>
      </c>
      <c r="AJ2" s="116">
        <f t="shared" ref="AJ2:AJ99" si="29">AI2-AF2</f>
        <v>-7746478.4200000018</v>
      </c>
      <c r="AK2" s="418">
        <f t="shared" ref="AK2:AK4" si="30">AI2/AF2</f>
        <v>0.67834787251297168</v>
      </c>
      <c r="AL2" s="419">
        <f t="shared" ref="AL2:AL10" si="31">IFERROR(VLOOKUP(I2,CALO24,6,FALSE),"")</f>
        <v>5751488.6900000004</v>
      </c>
      <c r="AM2" s="113">
        <f t="shared" ref="AM2:AM99" si="32">AO2-AN2</f>
        <v>880773.14999999991</v>
      </c>
      <c r="AN2" s="116">
        <f t="shared" ref="AN2:AN33" si="33">IFERROR(VLOOKUP(I2,CALOALIM,6,FALSE),"")</f>
        <v>1845182.77</v>
      </c>
      <c r="AO2" s="117">
        <f t="shared" ref="AO2:AO33" si="34">IFERROR(VLOOKUP(I2,CALOFC,6,FALSE),"")</f>
        <v>2725955.92</v>
      </c>
      <c r="AP2" s="100">
        <f t="shared" ref="AP2:AP10" si="35">IFERROR(VLOOKUP(I2,CALO24,7,FALSE),"")</f>
        <v>3970025.9</v>
      </c>
      <c r="AQ2" s="113">
        <f t="shared" ref="AQ2:AQ26" si="36">AS2-AR2</f>
        <v>2067229.0500000007</v>
      </c>
      <c r="AR2" s="116">
        <f t="shared" ref="AR2:AR26" si="37">IFERROR(VLOOKUP(I2,CALOALIM,7,FALSE),"")</f>
        <v>5505097.0199999996</v>
      </c>
      <c r="AS2" s="117">
        <f t="shared" ref="AS2:AS26" si="38">IFERROR(VLOOKUP(I2,CALOFC,7,FALSE),"")</f>
        <v>7572326.0700000003</v>
      </c>
      <c r="AT2" s="100">
        <f t="shared" ref="AT2:AT10" si="39">IFERROR(VLOOKUP(I2,CALO24,8,FALSE),"")</f>
        <v>3320364.71</v>
      </c>
      <c r="AU2" s="113">
        <f t="shared" ref="AU2:AU99" si="40">AW2-AV2</f>
        <v>696744.60000000009</v>
      </c>
      <c r="AV2" s="116">
        <f t="shared" ref="AV2:AV33" si="41">IFERROR(VLOOKUP(I2,CALOALIM,8,FALSE),"")</f>
        <v>2274481.02</v>
      </c>
      <c r="AW2" s="121">
        <f t="shared" ref="AW2:AW33" si="42">IFERROR(VLOOKUP(I2,CALOFC,8,FALSE),"")</f>
        <v>2971225.62</v>
      </c>
      <c r="AX2" s="118">
        <f t="shared" ref="AX2:AX99" si="43">AU2+AQ2+AM2</f>
        <v>3644746.8000000007</v>
      </c>
      <c r="AY2" s="116">
        <f t="shared" ref="AY2:AZ2" si="44">AN2+AR2+AV2</f>
        <v>9624760.8099999987</v>
      </c>
      <c r="AZ2" s="117">
        <f t="shared" si="44"/>
        <v>13269507.609999999</v>
      </c>
      <c r="BA2" s="113">
        <f t="shared" ref="BA2:BB2" si="45">AX2+AG2</f>
        <v>6189117.8900000006</v>
      </c>
      <c r="BB2" s="116">
        <f t="shared" si="45"/>
        <v>23417316.189999998</v>
      </c>
      <c r="BC2" s="119">
        <f t="shared" ref="BC2:BC99" si="46">AI2+AZ2</f>
        <v>29606434.079999998</v>
      </c>
      <c r="BD2" s="419">
        <f t="shared" ref="BD2:BD10" si="47">IFERROR(VLOOKUP(I2,CALO24,9,FALSE),"")</f>
        <v>5863199.8399999999</v>
      </c>
      <c r="BE2" s="113">
        <f t="shared" ref="BE2:BE99" si="48">BG2-BF2</f>
        <v>1044888.209999999</v>
      </c>
      <c r="BF2" s="114">
        <f t="shared" ref="BF2:BF33" si="49">IFERROR(VLOOKUP(I2,CALOALIM,9,FALSE),"")</f>
        <v>7564130.1600000001</v>
      </c>
      <c r="BG2" s="115">
        <f t="shared" ref="BG2:BG33" si="50">IFERROR(VLOOKUP(I2,CALOFC,9,FALSE),"")</f>
        <v>8609018.3699999992</v>
      </c>
      <c r="BH2" s="100">
        <f t="shared" ref="BH2:BH10" si="51">IFERROR(VLOOKUP(I2,CALO24,10,FALSE),"")</f>
        <v>7663994.8700000001</v>
      </c>
      <c r="BI2" s="113">
        <f t="shared" ref="BI2:BI99" si="52">BK2-BJ2</f>
        <v>1032087.3900000001</v>
      </c>
      <c r="BJ2" s="114">
        <f t="shared" ref="BJ2:BJ33" si="53">IFERROR(VLOOKUP(I2,CALOALIM,10,FALSE),"")</f>
        <v>1066661.8500000001</v>
      </c>
      <c r="BK2" s="100">
        <f t="shared" ref="BK2:BK33" si="54">IFERROR(VLOOKUP(I2,CALOFC,10,FALSE),"")</f>
        <v>2098749.2400000002</v>
      </c>
      <c r="BL2" s="420">
        <f t="shared" ref="BL2:BL10" si="55">IFERROR(VLOOKUP(I2,CALO24,11,FALSE),"")</f>
        <v>3268310.1</v>
      </c>
      <c r="BM2" s="113">
        <f t="shared" ref="BM2:BM99" si="56">BO2-BN2</f>
        <v>3499071.5799999996</v>
      </c>
      <c r="BN2" s="116">
        <f t="shared" ref="BN2:BN33" si="57">IFERROR(VLOOKUP(I2,CALOALIM,11,FALSE),"")</f>
        <v>1621074.19</v>
      </c>
      <c r="BO2" s="117">
        <f t="shared" ref="BO2:BO33" si="58">IFERROR(VLOOKUP(I2,CALOFC,11,FALSE),"")</f>
        <v>5120145.7699999996</v>
      </c>
      <c r="BP2" s="113">
        <f t="shared" ref="BP2:BR2" si="59">SUM(BE2,BI2,BM2)</f>
        <v>5576047.1799999988</v>
      </c>
      <c r="BQ2" s="416">
        <f t="shared" si="59"/>
        <v>10251866.199999999</v>
      </c>
      <c r="BR2" s="421">
        <f t="shared" si="59"/>
        <v>15827913.379999999</v>
      </c>
      <c r="BS2" s="422">
        <f t="shared" ref="BS2:BS10" si="60">IFERROR(VLOOKUP(I2,CALO24,12,FALSE),"")</f>
        <v>7465151.6399999997</v>
      </c>
      <c r="BT2" s="140">
        <f t="shared" ref="BT2:BT99" si="61">BV2-BU2</f>
        <v>1003657.1500000001</v>
      </c>
      <c r="BU2" s="123">
        <f t="shared" ref="BU2:BU33" si="62">IFERROR(VLOOKUP(I2,CALOALIM,12,FALSE),"")</f>
        <v>372647.22</v>
      </c>
      <c r="BV2" s="148">
        <f t="shared" ref="BV2:BV33" si="63">IFERROR(VLOOKUP(I2,CALOFC,12,FALSE),"")</f>
        <v>1376304.37</v>
      </c>
      <c r="BW2" s="423">
        <f t="shared" ref="BW2:BW10" si="64">IFERROR(VLOOKUP(I2,CALO24,13,FALSE),"")</f>
        <v>8403318.0299999993</v>
      </c>
      <c r="BX2" s="424">
        <f t="shared" ref="BX2:BX10" si="65">IFERROR(VLOOKUP(I2,CALO24,14,FALSE),"")</f>
        <v>8214935.2199999997</v>
      </c>
      <c r="CA2" s="425"/>
      <c r="CB2" s="426"/>
      <c r="CC2" s="427"/>
      <c r="CD2" s="428"/>
      <c r="CE2" s="428"/>
      <c r="CF2" s="428"/>
      <c r="CG2" s="428"/>
      <c r="CH2" s="429"/>
      <c r="CI2" s="132"/>
      <c r="CJ2" s="132"/>
      <c r="CK2" s="430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</row>
    <row r="3" spans="1:114" ht="15.75" customHeight="1">
      <c r="A3" s="92">
        <f t="shared" si="0"/>
        <v>112013670</v>
      </c>
      <c r="B3" s="93">
        <f t="shared" si="1"/>
        <v>10</v>
      </c>
      <c r="C3" s="137">
        <f t="shared" si="2"/>
        <v>0.15</v>
      </c>
      <c r="D3" s="137">
        <f t="shared" si="3"/>
        <v>0.23</v>
      </c>
      <c r="E3" s="98">
        <f t="shared" si="4"/>
        <v>0</v>
      </c>
      <c r="F3" s="414">
        <f t="shared" si="5"/>
        <v>52</v>
      </c>
      <c r="G3" s="94">
        <f t="shared" si="6"/>
        <v>0.15</v>
      </c>
      <c r="H3" s="415">
        <f t="shared" si="7"/>
        <v>0.17</v>
      </c>
      <c r="I3" s="139" t="s">
        <v>257</v>
      </c>
      <c r="J3" s="125">
        <f t="shared" si="8"/>
        <v>366892.57</v>
      </c>
      <c r="K3" s="174">
        <v>3000000</v>
      </c>
      <c r="L3" s="113">
        <f t="shared" si="9"/>
        <v>51844.55</v>
      </c>
      <c r="M3" s="116">
        <f t="shared" si="10"/>
        <v>53579.42</v>
      </c>
      <c r="N3" s="117">
        <f t="shared" si="11"/>
        <v>105423.97</v>
      </c>
      <c r="O3" s="114">
        <f t="shared" si="12"/>
        <v>-2894576.03</v>
      </c>
      <c r="P3" s="413">
        <f t="shared" si="13"/>
        <v>3.5141323333333335E-2</v>
      </c>
      <c r="Q3" s="125">
        <f>IFERROR(VLOOKUP(I3,CALO24,4,FALSE),"")</f>
        <v>288013.18</v>
      </c>
      <c r="R3" s="173">
        <v>3000000</v>
      </c>
      <c r="S3" s="116">
        <f t="shared" si="14"/>
        <v>214405.71999999997</v>
      </c>
      <c r="T3" s="116">
        <f t="shared" si="15"/>
        <v>78620.94</v>
      </c>
      <c r="U3" s="116">
        <f t="shared" si="16"/>
        <v>293026.65999999997</v>
      </c>
      <c r="V3" s="116">
        <f t="shared" si="17"/>
        <v>-2706973.34</v>
      </c>
      <c r="W3" s="413">
        <f t="shared" si="18"/>
        <v>9.7675553333333331E-2</v>
      </c>
      <c r="X3" s="431">
        <v>3000000</v>
      </c>
      <c r="Y3" s="432">
        <v>3000000</v>
      </c>
      <c r="Z3" s="113">
        <f t="shared" si="19"/>
        <v>0</v>
      </c>
      <c r="AA3" s="116">
        <f t="shared" si="20"/>
        <v>84811.03</v>
      </c>
      <c r="AB3" s="117">
        <f t="shared" si="21"/>
        <v>84811.03</v>
      </c>
      <c r="AC3" s="114">
        <f t="shared" si="22"/>
        <v>-2915188.97</v>
      </c>
      <c r="AD3" s="97">
        <f t="shared" si="23"/>
        <v>2.8270343333333333E-2</v>
      </c>
      <c r="AE3" s="433">
        <f t="shared" si="24"/>
        <v>9000000</v>
      </c>
      <c r="AF3" s="118">
        <f t="shared" si="25"/>
        <v>1315738.25</v>
      </c>
      <c r="AG3" s="116">
        <f t="shared" si="26"/>
        <v>187629.3299999999</v>
      </c>
      <c r="AH3" s="116">
        <f t="shared" si="27"/>
        <v>295632.33</v>
      </c>
      <c r="AI3" s="116">
        <f t="shared" si="28"/>
        <v>483261.65999999992</v>
      </c>
      <c r="AJ3" s="116">
        <f t="shared" si="29"/>
        <v>-832476.59000000008</v>
      </c>
      <c r="AK3" s="418">
        <f t="shared" si="30"/>
        <v>0.36729316032273129</v>
      </c>
      <c r="AL3" s="434">
        <f t="shared" si="31"/>
        <v>361133.41</v>
      </c>
      <c r="AM3" s="140">
        <f t="shared" si="32"/>
        <v>134726.97</v>
      </c>
      <c r="AN3" s="326">
        <f t="shared" si="33"/>
        <v>0</v>
      </c>
      <c r="AO3" s="333">
        <f t="shared" si="34"/>
        <v>134726.97</v>
      </c>
      <c r="AP3" s="125">
        <f t="shared" si="35"/>
        <v>347574.73</v>
      </c>
      <c r="AQ3" s="140">
        <f t="shared" si="36"/>
        <v>136204.19999999998</v>
      </c>
      <c r="AR3" s="326">
        <f t="shared" si="37"/>
        <v>45038.07</v>
      </c>
      <c r="AS3" s="333">
        <f t="shared" si="38"/>
        <v>181242.27</v>
      </c>
      <c r="AT3" s="125">
        <f t="shared" si="39"/>
        <v>70322.2</v>
      </c>
      <c r="AU3" s="140">
        <f t="shared" si="40"/>
        <v>206324.58000000002</v>
      </c>
      <c r="AV3" s="326">
        <f t="shared" si="41"/>
        <v>173346.43</v>
      </c>
      <c r="AW3" s="332">
        <f t="shared" si="42"/>
        <v>379671.01</v>
      </c>
      <c r="AX3" s="122">
        <f t="shared" si="43"/>
        <v>477255.75</v>
      </c>
      <c r="AY3" s="326">
        <f t="shared" ref="AY3:AZ3" si="66">AN3+AR3+AV3</f>
        <v>218384.5</v>
      </c>
      <c r="AZ3" s="333">
        <f t="shared" si="66"/>
        <v>695640.25</v>
      </c>
      <c r="BA3" s="140">
        <f t="shared" ref="BA3:BB3" si="67">AX3+AG3</f>
        <v>664885.07999999984</v>
      </c>
      <c r="BB3" s="326">
        <f t="shared" si="67"/>
        <v>514016.83</v>
      </c>
      <c r="BC3" s="435">
        <f t="shared" si="46"/>
        <v>1178901.9099999999</v>
      </c>
      <c r="BD3" s="434">
        <f t="shared" si="47"/>
        <v>372710.5</v>
      </c>
      <c r="BE3" s="140">
        <f t="shared" si="48"/>
        <v>181755.1</v>
      </c>
      <c r="BF3" s="123">
        <f t="shared" si="49"/>
        <v>0</v>
      </c>
      <c r="BG3" s="148">
        <f t="shared" si="50"/>
        <v>181755.1</v>
      </c>
      <c r="BH3" s="125">
        <f t="shared" si="51"/>
        <v>387393.04</v>
      </c>
      <c r="BI3" s="140">
        <f t="shared" si="52"/>
        <v>63581.98</v>
      </c>
      <c r="BJ3" s="123">
        <f t="shared" si="53"/>
        <v>0</v>
      </c>
      <c r="BK3" s="125">
        <f t="shared" si="54"/>
        <v>63581.98</v>
      </c>
      <c r="BL3" s="436">
        <f t="shared" si="55"/>
        <v>519390.47</v>
      </c>
      <c r="BM3" s="140">
        <f t="shared" si="56"/>
        <v>207131.01</v>
      </c>
      <c r="BN3" s="326">
        <f t="shared" si="57"/>
        <v>0</v>
      </c>
      <c r="BO3" s="333">
        <f t="shared" si="58"/>
        <v>207131.01</v>
      </c>
      <c r="BP3" s="140">
        <f t="shared" ref="BP3:BR3" si="68">SUM(BE3,BI3,BM3)</f>
        <v>452468.09</v>
      </c>
      <c r="BQ3" s="141">
        <f t="shared" si="68"/>
        <v>0</v>
      </c>
      <c r="BR3" s="437">
        <f t="shared" si="68"/>
        <v>452468.09</v>
      </c>
      <c r="BS3" s="422">
        <f t="shared" si="60"/>
        <v>364559.17</v>
      </c>
      <c r="BT3" s="140">
        <f t="shared" si="61"/>
        <v>478501.33</v>
      </c>
      <c r="BU3" s="123">
        <f t="shared" si="62"/>
        <v>0</v>
      </c>
      <c r="BV3" s="148">
        <f t="shared" si="63"/>
        <v>478501.33</v>
      </c>
      <c r="BW3" s="423">
        <f t="shared" si="64"/>
        <v>503921.55</v>
      </c>
      <c r="BX3" s="424">
        <f t="shared" si="65"/>
        <v>447257.54</v>
      </c>
      <c r="CA3" s="438">
        <v>0.15</v>
      </c>
      <c r="CB3" s="439">
        <v>9</v>
      </c>
      <c r="CC3" s="440">
        <v>13</v>
      </c>
      <c r="CD3" s="441">
        <v>10</v>
      </c>
      <c r="CE3" s="441">
        <v>10</v>
      </c>
      <c r="CF3" s="441">
        <v>9</v>
      </c>
      <c r="CG3" s="441">
        <v>9</v>
      </c>
      <c r="CH3" s="442">
        <v>9</v>
      </c>
      <c r="CI3" s="153">
        <v>9</v>
      </c>
      <c r="CJ3" s="153">
        <v>9</v>
      </c>
      <c r="CK3" s="443">
        <v>9</v>
      </c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</row>
    <row r="4" spans="1:114" ht="15.75" customHeight="1">
      <c r="A4" s="92">
        <f t="shared" si="0"/>
        <v>112013671</v>
      </c>
      <c r="B4" s="93">
        <f t="shared" si="1"/>
        <v>10</v>
      </c>
      <c r="C4" s="137">
        <f t="shared" si="2"/>
        <v>0.15</v>
      </c>
      <c r="D4" s="137">
        <f t="shared" si="3"/>
        <v>0.23</v>
      </c>
      <c r="E4" s="98">
        <f t="shared" si="4"/>
        <v>0</v>
      </c>
      <c r="F4" s="414">
        <f t="shared" si="5"/>
        <v>52</v>
      </c>
      <c r="G4" s="94">
        <f t="shared" si="6"/>
        <v>0.15</v>
      </c>
      <c r="H4" s="415">
        <f t="shared" si="7"/>
        <v>0.17</v>
      </c>
      <c r="I4" s="139" t="s">
        <v>258</v>
      </c>
      <c r="J4" s="125">
        <f t="shared" si="8"/>
        <v>289957.57</v>
      </c>
      <c r="K4" s="174">
        <v>3000000</v>
      </c>
      <c r="L4" s="113">
        <f t="shared" si="9"/>
        <v>114476.66999999998</v>
      </c>
      <c r="M4" s="116">
        <f t="shared" si="10"/>
        <v>283362.12</v>
      </c>
      <c r="N4" s="117">
        <f t="shared" si="11"/>
        <v>397838.79</v>
      </c>
      <c r="O4" s="114">
        <f t="shared" si="12"/>
        <v>-2602161.21</v>
      </c>
      <c r="P4" s="413">
        <f t="shared" si="13"/>
        <v>0.13261292999999999</v>
      </c>
      <c r="Q4" s="444">
        <v>3000000</v>
      </c>
      <c r="R4" s="173">
        <v>3000000</v>
      </c>
      <c r="S4" s="116">
        <f t="shared" si="14"/>
        <v>1096272.68</v>
      </c>
      <c r="T4" s="116">
        <f t="shared" si="15"/>
        <v>0</v>
      </c>
      <c r="U4" s="116">
        <f t="shared" si="16"/>
        <v>1096272.68</v>
      </c>
      <c r="V4" s="116">
        <f t="shared" si="17"/>
        <v>-1903727.32</v>
      </c>
      <c r="W4" s="413">
        <f t="shared" si="18"/>
        <v>0.36542422666666663</v>
      </c>
      <c r="X4" s="123">
        <f t="shared" ref="X4:X37" si="69">IFERROR(VLOOKUP(I4,CALO24,5,FALSE),"")</f>
        <v>1939247.44</v>
      </c>
      <c r="Y4" s="332">
        <f t="shared" ref="Y4:Y9" si="70">(X4*1.5955)*1.03</f>
        <v>3186891.3692355999</v>
      </c>
      <c r="Z4" s="113">
        <f t="shared" si="19"/>
        <v>295364.49</v>
      </c>
      <c r="AA4" s="116">
        <f t="shared" si="20"/>
        <v>91146.13</v>
      </c>
      <c r="AB4" s="117">
        <f t="shared" si="21"/>
        <v>386510.62</v>
      </c>
      <c r="AC4" s="114">
        <f t="shared" si="22"/>
        <v>-2800380.7492355998</v>
      </c>
      <c r="AD4" s="97">
        <f t="shared" si="23"/>
        <v>0.12128139155640799</v>
      </c>
      <c r="AE4" s="433">
        <f t="shared" si="24"/>
        <v>9186891.3692355994</v>
      </c>
      <c r="AF4" s="118">
        <f t="shared" si="25"/>
        <v>5124490.01</v>
      </c>
      <c r="AG4" s="116">
        <f t="shared" si="26"/>
        <v>1506113.8399999999</v>
      </c>
      <c r="AH4" s="116">
        <f t="shared" si="27"/>
        <v>374508.25</v>
      </c>
      <c r="AI4" s="116">
        <f t="shared" si="28"/>
        <v>1880622.0899999999</v>
      </c>
      <c r="AJ4" s="116">
        <f t="shared" si="29"/>
        <v>-3243867.92</v>
      </c>
      <c r="AK4" s="418">
        <f t="shared" si="30"/>
        <v>0.3669871706901815</v>
      </c>
      <c r="AL4" s="434">
        <f t="shared" si="31"/>
        <v>2867502.42</v>
      </c>
      <c r="AM4" s="140">
        <f t="shared" si="32"/>
        <v>2160807.0299999998</v>
      </c>
      <c r="AN4" s="326">
        <f t="shared" si="33"/>
        <v>0</v>
      </c>
      <c r="AO4" s="333">
        <f t="shared" si="34"/>
        <v>2160807.0299999998</v>
      </c>
      <c r="AP4" s="125">
        <f t="shared" si="35"/>
        <v>514186.9</v>
      </c>
      <c r="AQ4" s="140">
        <f t="shared" si="36"/>
        <v>21847.819999999978</v>
      </c>
      <c r="AR4" s="326">
        <f t="shared" si="37"/>
        <v>239258.64</v>
      </c>
      <c r="AS4" s="333">
        <f t="shared" si="38"/>
        <v>261106.46</v>
      </c>
      <c r="AT4" s="125">
        <f t="shared" si="39"/>
        <v>38307.5</v>
      </c>
      <c r="AU4" s="140">
        <f t="shared" si="40"/>
        <v>952501.74</v>
      </c>
      <c r="AV4" s="326">
        <f t="shared" si="41"/>
        <v>57784.75</v>
      </c>
      <c r="AW4" s="332">
        <f t="shared" si="42"/>
        <v>1010286.49</v>
      </c>
      <c r="AX4" s="122">
        <f t="shared" si="43"/>
        <v>3135156.59</v>
      </c>
      <c r="AY4" s="326">
        <f t="shared" ref="AY4:AZ4" si="71">AN4+AR4+AV4</f>
        <v>297043.39</v>
      </c>
      <c r="AZ4" s="333">
        <f t="shared" si="71"/>
        <v>3432199.9799999995</v>
      </c>
      <c r="BA4" s="140">
        <f t="shared" ref="BA4:BB4" si="72">AX4+AG4</f>
        <v>4641270.43</v>
      </c>
      <c r="BB4" s="326">
        <f t="shared" si="72"/>
        <v>671551.64</v>
      </c>
      <c r="BC4" s="435">
        <f t="shared" si="46"/>
        <v>5312822.0699999994</v>
      </c>
      <c r="BD4" s="434">
        <f t="shared" si="47"/>
        <v>2580101.1200000001</v>
      </c>
      <c r="BE4" s="140">
        <f t="shared" si="48"/>
        <v>70937.139999999985</v>
      </c>
      <c r="BF4" s="123">
        <f t="shared" si="49"/>
        <v>165969.51</v>
      </c>
      <c r="BG4" s="148">
        <f t="shared" si="50"/>
        <v>236906.65</v>
      </c>
      <c r="BH4" s="125">
        <f t="shared" si="51"/>
        <v>2099250.2599999998</v>
      </c>
      <c r="BI4" s="140">
        <f t="shared" si="52"/>
        <v>30387.459999999963</v>
      </c>
      <c r="BJ4" s="123">
        <f t="shared" si="53"/>
        <v>362520.15</v>
      </c>
      <c r="BK4" s="125">
        <f t="shared" si="54"/>
        <v>392907.61</v>
      </c>
      <c r="BL4" s="436">
        <f t="shared" si="55"/>
        <v>271159.5</v>
      </c>
      <c r="BM4" s="140">
        <f t="shared" si="56"/>
        <v>0</v>
      </c>
      <c r="BN4" s="326">
        <f t="shared" si="57"/>
        <v>1146685.6299999999</v>
      </c>
      <c r="BO4" s="333">
        <f t="shared" si="58"/>
        <v>1146685.6299999999</v>
      </c>
      <c r="BP4" s="140">
        <f t="shared" ref="BP4:BR4" si="73">SUM(BE4,BI4,BM4)</f>
        <v>101324.59999999995</v>
      </c>
      <c r="BQ4" s="141">
        <f t="shared" si="73"/>
        <v>1675175.29</v>
      </c>
      <c r="BR4" s="437">
        <f t="shared" si="73"/>
        <v>1776499.89</v>
      </c>
      <c r="BS4" s="422">
        <f t="shared" si="60"/>
        <v>419268.22</v>
      </c>
      <c r="BT4" s="140">
        <f t="shared" si="61"/>
        <v>3999675.83</v>
      </c>
      <c r="BU4" s="123">
        <f t="shared" si="62"/>
        <v>0</v>
      </c>
      <c r="BV4" s="148">
        <f t="shared" si="63"/>
        <v>3999675.83</v>
      </c>
      <c r="BW4" s="423">
        <f t="shared" si="64"/>
        <v>755792.97</v>
      </c>
      <c r="BX4" s="424">
        <f t="shared" si="65"/>
        <v>3949428.82</v>
      </c>
      <c r="CA4" s="445">
        <v>0.12</v>
      </c>
      <c r="CB4" s="439"/>
      <c r="CC4" s="440"/>
      <c r="CD4" s="441">
        <v>0</v>
      </c>
      <c r="CE4" s="441">
        <v>0</v>
      </c>
      <c r="CF4" s="441"/>
      <c r="CG4" s="441"/>
      <c r="CH4" s="442"/>
      <c r="CI4" s="153"/>
      <c r="CJ4" s="153"/>
      <c r="CK4" s="443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</row>
    <row r="5" spans="1:114" ht="15.75" customHeight="1">
      <c r="A5" s="92">
        <f t="shared" si="0"/>
        <v>11201268801</v>
      </c>
      <c r="B5" s="93">
        <f t="shared" si="1"/>
        <v>38</v>
      </c>
      <c r="C5" s="137">
        <f t="shared" si="2"/>
        <v>0.15</v>
      </c>
      <c r="D5" s="137">
        <f t="shared" si="3"/>
        <v>0.26</v>
      </c>
      <c r="E5" s="98">
        <f t="shared" si="4"/>
        <v>0</v>
      </c>
      <c r="F5" s="414">
        <f t="shared" si="5"/>
        <v>52</v>
      </c>
      <c r="G5" s="94">
        <f t="shared" si="6"/>
        <v>0.15</v>
      </c>
      <c r="H5" s="415">
        <f t="shared" si="7"/>
        <v>0.17</v>
      </c>
      <c r="I5" s="139" t="s">
        <v>259</v>
      </c>
      <c r="J5" s="125" t="str">
        <f t="shared" si="8"/>
        <v/>
      </c>
      <c r="K5" s="141" t="e">
        <f t="shared" ref="K5:K9" si="74">(J5*1.601)*1.05</f>
        <v>#VALUE!</v>
      </c>
      <c r="L5" s="113">
        <f t="shared" si="9"/>
        <v>14148069.83</v>
      </c>
      <c r="M5" s="116">
        <f t="shared" si="10"/>
        <v>5189070.99</v>
      </c>
      <c r="N5" s="117">
        <f t="shared" si="11"/>
        <v>19337140.82</v>
      </c>
      <c r="O5" s="114" t="e">
        <f t="shared" si="12"/>
        <v>#VALUE!</v>
      </c>
      <c r="P5" s="413" t="e">
        <f t="shared" si="13"/>
        <v>#VALUE!</v>
      </c>
      <c r="Q5" s="125" t="str">
        <f t="shared" ref="Q5:Q10" si="75">IFERROR(VLOOKUP(I5,CALO24,4,FALSE),"")</f>
        <v/>
      </c>
      <c r="R5" s="140" t="e">
        <f t="shared" ref="R5:R14" si="76">(Q5*1.7245)*1.03</f>
        <v>#VALUE!</v>
      </c>
      <c r="S5" s="116">
        <f t="shared" si="14"/>
        <v>9473514.2599999998</v>
      </c>
      <c r="T5" s="116">
        <f t="shared" si="15"/>
        <v>3005536.77</v>
      </c>
      <c r="U5" s="116">
        <f t="shared" si="16"/>
        <v>12479051.029999999</v>
      </c>
      <c r="V5" s="116" t="e">
        <f t="shared" si="17"/>
        <v>#VALUE!</v>
      </c>
      <c r="W5" s="413" t="e">
        <f t="shared" si="18"/>
        <v>#VALUE!</v>
      </c>
      <c r="X5" s="123" t="str">
        <f t="shared" si="69"/>
        <v/>
      </c>
      <c r="Y5" s="332" t="e">
        <f t="shared" si="70"/>
        <v>#VALUE!</v>
      </c>
      <c r="Z5" s="113">
        <f t="shared" si="19"/>
        <v>10363878.960000001</v>
      </c>
      <c r="AA5" s="116">
        <f t="shared" si="20"/>
        <v>562848.52</v>
      </c>
      <c r="AB5" s="117">
        <f t="shared" si="21"/>
        <v>10926727.48</v>
      </c>
      <c r="AC5" s="114" t="e">
        <f t="shared" si="22"/>
        <v>#VALUE!</v>
      </c>
      <c r="AD5" s="97" t="e">
        <f t="shared" si="23"/>
        <v>#VALUE!</v>
      </c>
      <c r="AE5" s="433" t="e">
        <f t="shared" si="24"/>
        <v>#VALUE!</v>
      </c>
      <c r="AF5" s="118" t="str">
        <f t="shared" si="25"/>
        <v>0</v>
      </c>
      <c r="AG5" s="116">
        <f t="shared" si="26"/>
        <v>30979926.279999997</v>
      </c>
      <c r="AH5" s="116">
        <f t="shared" si="27"/>
        <v>11762993.050000001</v>
      </c>
      <c r="AI5" s="116">
        <f t="shared" si="28"/>
        <v>42742919.329999998</v>
      </c>
      <c r="AJ5" s="116">
        <f t="shared" si="29"/>
        <v>42742919.329999998</v>
      </c>
      <c r="AK5" s="418" t="str">
        <f>IFERROR(AI5/AF5,"")</f>
        <v/>
      </c>
      <c r="AL5" s="434" t="str">
        <f t="shared" si="31"/>
        <v/>
      </c>
      <c r="AM5" s="140">
        <f t="shared" si="32"/>
        <v>12582092.74</v>
      </c>
      <c r="AN5" s="326">
        <f t="shared" si="33"/>
        <v>2582699.66</v>
      </c>
      <c r="AO5" s="333">
        <f t="shared" si="34"/>
        <v>15164792.4</v>
      </c>
      <c r="AP5" s="125" t="str">
        <f t="shared" si="35"/>
        <v/>
      </c>
      <c r="AQ5" s="140">
        <f t="shared" si="36"/>
        <v>3015236.5999999996</v>
      </c>
      <c r="AR5" s="326">
        <f t="shared" si="37"/>
        <v>1295767.17</v>
      </c>
      <c r="AS5" s="333">
        <f t="shared" si="38"/>
        <v>4311003.7699999996</v>
      </c>
      <c r="AT5" s="125" t="str">
        <f t="shared" si="39"/>
        <v/>
      </c>
      <c r="AU5" s="140">
        <f t="shared" si="40"/>
        <v>4809492.92</v>
      </c>
      <c r="AV5" s="326">
        <f t="shared" si="41"/>
        <v>10440140.16</v>
      </c>
      <c r="AW5" s="332">
        <f t="shared" si="42"/>
        <v>15249633.08</v>
      </c>
      <c r="AX5" s="122">
        <f t="shared" si="43"/>
        <v>20406822.259999998</v>
      </c>
      <c r="AY5" s="326">
        <f t="shared" ref="AY5:AZ5" si="77">AN5+AR5+AV5</f>
        <v>14318606.99</v>
      </c>
      <c r="AZ5" s="333">
        <f t="shared" si="77"/>
        <v>34725429.25</v>
      </c>
      <c r="BA5" s="140">
        <f t="shared" ref="BA5:BB5" si="78">AX5+AG5</f>
        <v>51386748.539999992</v>
      </c>
      <c r="BB5" s="326">
        <f t="shared" si="78"/>
        <v>26081600.039999999</v>
      </c>
      <c r="BC5" s="435">
        <f t="shared" si="46"/>
        <v>77468348.579999998</v>
      </c>
      <c r="BD5" s="434" t="str">
        <f t="shared" si="47"/>
        <v/>
      </c>
      <c r="BE5" s="140">
        <f t="shared" si="48"/>
        <v>3783914.08</v>
      </c>
      <c r="BF5" s="123">
        <f t="shared" si="49"/>
        <v>6395215.4199999999</v>
      </c>
      <c r="BG5" s="148">
        <f t="shared" si="50"/>
        <v>10179129.5</v>
      </c>
      <c r="BH5" s="125" t="str">
        <f t="shared" si="51"/>
        <v/>
      </c>
      <c r="BI5" s="140">
        <f t="shared" si="52"/>
        <v>2513401.1900000013</v>
      </c>
      <c r="BJ5" s="123">
        <f t="shared" si="53"/>
        <v>15601257.199999999</v>
      </c>
      <c r="BK5" s="125">
        <f t="shared" si="54"/>
        <v>18114658.390000001</v>
      </c>
      <c r="BL5" s="436" t="str">
        <f t="shared" si="55"/>
        <v/>
      </c>
      <c r="BM5" s="140">
        <f t="shared" si="56"/>
        <v>3955071.6099999994</v>
      </c>
      <c r="BN5" s="326">
        <f t="shared" si="57"/>
        <v>6288266.1799999997</v>
      </c>
      <c r="BO5" s="333">
        <f t="shared" si="58"/>
        <v>10243337.789999999</v>
      </c>
      <c r="BP5" s="140">
        <f t="shared" ref="BP5:BR5" si="79">SUM(BE5,BI5,BM5)</f>
        <v>10252386.880000001</v>
      </c>
      <c r="BQ5" s="141">
        <f t="shared" si="79"/>
        <v>28284738.799999997</v>
      </c>
      <c r="BR5" s="437">
        <f t="shared" si="79"/>
        <v>38537125.68</v>
      </c>
      <c r="BS5" s="422" t="str">
        <f t="shared" si="60"/>
        <v/>
      </c>
      <c r="BT5" s="140">
        <f t="shared" si="61"/>
        <v>16647004.399999999</v>
      </c>
      <c r="BU5" s="123">
        <f t="shared" si="62"/>
        <v>4443053.16</v>
      </c>
      <c r="BV5" s="148">
        <f t="shared" si="63"/>
        <v>21090057.559999999</v>
      </c>
      <c r="BW5" s="423" t="str">
        <f t="shared" si="64"/>
        <v/>
      </c>
      <c r="BX5" s="424" t="str">
        <f t="shared" si="65"/>
        <v/>
      </c>
      <c r="CA5" s="446">
        <v>0.1</v>
      </c>
      <c r="CB5" s="439">
        <v>18</v>
      </c>
      <c r="CC5" s="440">
        <v>19</v>
      </c>
      <c r="CD5" s="441">
        <v>17</v>
      </c>
      <c r="CE5" s="441">
        <v>17</v>
      </c>
      <c r="CF5" s="441">
        <v>18</v>
      </c>
      <c r="CG5" s="441">
        <v>18</v>
      </c>
      <c r="CH5" s="442">
        <v>18</v>
      </c>
      <c r="CI5" s="153">
        <v>18</v>
      </c>
      <c r="CJ5" s="153">
        <v>18</v>
      </c>
      <c r="CK5" s="443">
        <v>18</v>
      </c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</row>
    <row r="6" spans="1:114" ht="15.75" customHeight="1">
      <c r="A6" s="92">
        <f t="shared" si="0"/>
        <v>112013905</v>
      </c>
      <c r="B6" s="93">
        <f t="shared" si="1"/>
        <v>10</v>
      </c>
      <c r="C6" s="137">
        <f t="shared" si="2"/>
        <v>0.15</v>
      </c>
      <c r="D6" s="137">
        <f t="shared" si="3"/>
        <v>0.23</v>
      </c>
      <c r="E6" s="98">
        <f t="shared" si="4"/>
        <v>0</v>
      </c>
      <c r="F6" s="414">
        <f t="shared" si="5"/>
        <v>52</v>
      </c>
      <c r="G6" s="94">
        <f t="shared" si="6"/>
        <v>0.15</v>
      </c>
      <c r="H6" s="415">
        <f t="shared" si="7"/>
        <v>0.17</v>
      </c>
      <c r="I6" s="139" t="s">
        <v>260</v>
      </c>
      <c r="J6" s="125">
        <f t="shared" si="8"/>
        <v>3953337.56</v>
      </c>
      <c r="K6" s="141">
        <f t="shared" si="74"/>
        <v>6645758.1052379999</v>
      </c>
      <c r="L6" s="113">
        <f t="shared" si="9"/>
        <v>1999960.2599999998</v>
      </c>
      <c r="M6" s="116">
        <f t="shared" si="10"/>
        <v>1891846.31</v>
      </c>
      <c r="N6" s="117">
        <f t="shared" si="11"/>
        <v>3891806.57</v>
      </c>
      <c r="O6" s="114">
        <f t="shared" si="12"/>
        <v>-2753951.5352380001</v>
      </c>
      <c r="P6" s="413">
        <f t="shared" si="13"/>
        <v>0.58560761742630796</v>
      </c>
      <c r="Q6" s="125">
        <f t="shared" si="75"/>
        <v>3106789.23</v>
      </c>
      <c r="R6" s="140">
        <f t="shared" si="76"/>
        <v>5518387.7679490494</v>
      </c>
      <c r="S6" s="116">
        <f t="shared" si="14"/>
        <v>4833561.0599999996</v>
      </c>
      <c r="T6" s="116">
        <f t="shared" si="15"/>
        <v>5541695.6200000001</v>
      </c>
      <c r="U6" s="116">
        <f t="shared" si="16"/>
        <v>10375256.68</v>
      </c>
      <c r="V6" s="116">
        <f t="shared" si="17"/>
        <v>4856868.9120509503</v>
      </c>
      <c r="W6" s="413">
        <f t="shared" si="18"/>
        <v>1.8801246154284013</v>
      </c>
      <c r="X6" s="123">
        <f t="shared" si="69"/>
        <v>3219113.11</v>
      </c>
      <c r="Y6" s="332">
        <f t="shared" si="70"/>
        <v>5290177.8160151495</v>
      </c>
      <c r="Z6" s="113">
        <f t="shared" si="19"/>
        <v>4444226.12</v>
      </c>
      <c r="AA6" s="116">
        <f t="shared" si="20"/>
        <v>160849.92000000001</v>
      </c>
      <c r="AB6" s="117">
        <f t="shared" si="21"/>
        <v>4605076.04</v>
      </c>
      <c r="AC6" s="114">
        <f t="shared" si="22"/>
        <v>-685101.77601514943</v>
      </c>
      <c r="AD6" s="97">
        <f t="shared" si="23"/>
        <v>0.87049551076693199</v>
      </c>
      <c r="AE6" s="433">
        <f t="shared" si="24"/>
        <v>17454323.689202201</v>
      </c>
      <c r="AF6" s="118">
        <f t="shared" si="25"/>
        <v>18940200.219999999</v>
      </c>
      <c r="AG6" s="116">
        <f t="shared" si="26"/>
        <v>5736051.8199999984</v>
      </c>
      <c r="AH6" s="116">
        <f t="shared" si="27"/>
        <v>13136087.470000001</v>
      </c>
      <c r="AI6" s="116">
        <f t="shared" si="28"/>
        <v>18872139.289999999</v>
      </c>
      <c r="AJ6" s="116">
        <f t="shared" si="29"/>
        <v>-68060.929999999702</v>
      </c>
      <c r="AK6" s="418">
        <f t="shared" ref="AK6:AK10" si="80">AI6/AF6</f>
        <v>0.99640653587557482</v>
      </c>
      <c r="AL6" s="434">
        <f t="shared" si="31"/>
        <v>3428638.86</v>
      </c>
      <c r="AM6" s="140">
        <f t="shared" si="32"/>
        <v>1731792.0000000002</v>
      </c>
      <c r="AN6" s="326">
        <f t="shared" si="33"/>
        <v>1196483.7</v>
      </c>
      <c r="AO6" s="333">
        <f t="shared" si="34"/>
        <v>2928275.7</v>
      </c>
      <c r="AP6" s="125">
        <f t="shared" si="35"/>
        <v>4241732.01</v>
      </c>
      <c r="AQ6" s="140">
        <f t="shared" si="36"/>
        <v>2837126.38</v>
      </c>
      <c r="AR6" s="326">
        <f t="shared" si="37"/>
        <v>968465.75</v>
      </c>
      <c r="AS6" s="333">
        <f t="shared" si="38"/>
        <v>3805592.13</v>
      </c>
      <c r="AT6" s="125">
        <f t="shared" si="39"/>
        <v>1786452.86</v>
      </c>
      <c r="AU6" s="140">
        <f t="shared" si="40"/>
        <v>4067839.92</v>
      </c>
      <c r="AV6" s="326">
        <f t="shared" si="41"/>
        <v>2128508.7999999998</v>
      </c>
      <c r="AW6" s="332">
        <f t="shared" si="42"/>
        <v>6196348.7199999997</v>
      </c>
      <c r="AX6" s="122">
        <f t="shared" si="43"/>
        <v>8636758.3000000007</v>
      </c>
      <c r="AY6" s="326">
        <f t="shared" ref="AY6:AZ6" si="81">AN6+AR6+AV6</f>
        <v>4293458.25</v>
      </c>
      <c r="AZ6" s="333">
        <f t="shared" si="81"/>
        <v>12930216.550000001</v>
      </c>
      <c r="BA6" s="140">
        <f t="shared" ref="BA6:BB6" si="82">AX6+AG6</f>
        <v>14372810.119999999</v>
      </c>
      <c r="BB6" s="326">
        <f t="shared" si="82"/>
        <v>17429545.719999999</v>
      </c>
      <c r="BC6" s="435">
        <f t="shared" si="46"/>
        <v>31802355.84</v>
      </c>
      <c r="BD6" s="434">
        <f t="shared" si="47"/>
        <v>4720895.5199999996</v>
      </c>
      <c r="BE6" s="140">
        <f t="shared" si="48"/>
        <v>3818781.4699999997</v>
      </c>
      <c r="BF6" s="123">
        <f t="shared" si="49"/>
        <v>1606477.29</v>
      </c>
      <c r="BG6" s="148">
        <f t="shared" si="50"/>
        <v>5425258.7599999998</v>
      </c>
      <c r="BH6" s="125">
        <f t="shared" si="51"/>
        <v>3389800.71</v>
      </c>
      <c r="BI6" s="140">
        <f t="shared" si="52"/>
        <v>1270746.23</v>
      </c>
      <c r="BJ6" s="123">
        <f t="shared" si="53"/>
        <v>3322486.81</v>
      </c>
      <c r="BK6" s="125">
        <f t="shared" si="54"/>
        <v>4593233.04</v>
      </c>
      <c r="BL6" s="436">
        <f t="shared" si="55"/>
        <v>4725090.7699999996</v>
      </c>
      <c r="BM6" s="140">
        <f t="shared" si="56"/>
        <v>1348685.5400000003</v>
      </c>
      <c r="BN6" s="326">
        <f t="shared" si="57"/>
        <v>1203224.2</v>
      </c>
      <c r="BO6" s="333">
        <f t="shared" si="58"/>
        <v>2551909.7400000002</v>
      </c>
      <c r="BP6" s="140">
        <f t="shared" ref="BP6:BR6" si="83">SUM(BE6,BI6,BM6)</f>
        <v>6438213.2399999993</v>
      </c>
      <c r="BQ6" s="141">
        <f t="shared" si="83"/>
        <v>6132188.2999999998</v>
      </c>
      <c r="BR6" s="437">
        <f t="shared" si="83"/>
        <v>12570401.540000001</v>
      </c>
      <c r="BS6" s="422">
        <f t="shared" si="60"/>
        <v>6603558.3200000003</v>
      </c>
      <c r="BT6" s="140">
        <f t="shared" si="61"/>
        <v>4461443.37</v>
      </c>
      <c r="BU6" s="123">
        <f t="shared" si="62"/>
        <v>2342238.17</v>
      </c>
      <c r="BV6" s="148">
        <f t="shared" si="63"/>
        <v>6803681.54</v>
      </c>
      <c r="BW6" s="423">
        <f t="shared" si="64"/>
        <v>7628761.9000000004</v>
      </c>
      <c r="BX6" s="424">
        <f t="shared" si="65"/>
        <v>4707880</v>
      </c>
      <c r="CA6" s="447">
        <v>0.05</v>
      </c>
      <c r="CB6" s="448">
        <v>8</v>
      </c>
      <c r="CC6" s="449">
        <v>9</v>
      </c>
      <c r="CD6" s="169">
        <v>7</v>
      </c>
      <c r="CE6" s="169">
        <v>8</v>
      </c>
      <c r="CF6" s="169">
        <v>8</v>
      </c>
      <c r="CG6" s="169">
        <v>8</v>
      </c>
      <c r="CH6" s="449">
        <v>8</v>
      </c>
      <c r="CI6" s="169">
        <v>8</v>
      </c>
      <c r="CJ6" s="169">
        <v>8</v>
      </c>
      <c r="CK6" s="450">
        <v>8</v>
      </c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</row>
    <row r="7" spans="1:114" ht="15.75" customHeight="1">
      <c r="A7" s="92">
        <f t="shared" si="0"/>
        <v>112014066</v>
      </c>
      <c r="B7" s="93">
        <f t="shared" si="1"/>
        <v>10</v>
      </c>
      <c r="C7" s="137">
        <f t="shared" si="2"/>
        <v>0.15</v>
      </c>
      <c r="D7" s="137">
        <f t="shared" si="3"/>
        <v>0.23</v>
      </c>
      <c r="E7" s="98">
        <f t="shared" si="4"/>
        <v>0</v>
      </c>
      <c r="F7" s="414">
        <f t="shared" si="5"/>
        <v>52</v>
      </c>
      <c r="G7" s="94">
        <f t="shared" si="6"/>
        <v>0.15</v>
      </c>
      <c r="H7" s="415">
        <f t="shared" si="7"/>
        <v>0.17</v>
      </c>
      <c r="I7" s="139" t="s">
        <v>261</v>
      </c>
      <c r="J7" s="125">
        <f t="shared" si="8"/>
        <v>5797902.0800000001</v>
      </c>
      <c r="K7" s="141">
        <f t="shared" si="74"/>
        <v>9746563.291584</v>
      </c>
      <c r="L7" s="113">
        <f t="shared" si="9"/>
        <v>4229352.37</v>
      </c>
      <c r="M7" s="116">
        <f t="shared" si="10"/>
        <v>1096985.42</v>
      </c>
      <c r="N7" s="117">
        <f t="shared" si="11"/>
        <v>5326337.79</v>
      </c>
      <c r="O7" s="114">
        <f t="shared" si="12"/>
        <v>-4420225.501584</v>
      </c>
      <c r="P7" s="413">
        <f t="shared" si="13"/>
        <v>0.54648368154539217</v>
      </c>
      <c r="Q7" s="125">
        <f t="shared" si="75"/>
        <v>5653394.3099999996</v>
      </c>
      <c r="R7" s="140">
        <f t="shared" si="76"/>
        <v>10041756.842222849</v>
      </c>
      <c r="S7" s="116">
        <f t="shared" si="14"/>
        <v>4745567.1400000006</v>
      </c>
      <c r="T7" s="116">
        <f t="shared" si="15"/>
        <v>1962659.39</v>
      </c>
      <c r="U7" s="116">
        <f t="shared" si="16"/>
        <v>6708226.5300000003</v>
      </c>
      <c r="V7" s="116">
        <f t="shared" si="17"/>
        <v>-3333530.3122228486</v>
      </c>
      <c r="W7" s="413">
        <f t="shared" si="18"/>
        <v>0.66803315748432957</v>
      </c>
      <c r="X7" s="123">
        <f t="shared" si="69"/>
        <v>2336937.04</v>
      </c>
      <c r="Y7" s="332">
        <f t="shared" si="70"/>
        <v>3840440.5387396002</v>
      </c>
      <c r="Z7" s="113">
        <f t="shared" si="19"/>
        <v>4061697.02</v>
      </c>
      <c r="AA7" s="116">
        <f t="shared" si="20"/>
        <v>1641513.23</v>
      </c>
      <c r="AB7" s="117">
        <f t="shared" si="21"/>
        <v>5703210.25</v>
      </c>
      <c r="AC7" s="114">
        <f t="shared" si="22"/>
        <v>1862769.7112603998</v>
      </c>
      <c r="AD7" s="97">
        <f t="shared" si="23"/>
        <v>1.4850406333518562</v>
      </c>
      <c r="AE7" s="433">
        <f t="shared" si="24"/>
        <v>23628760.672546446</v>
      </c>
      <c r="AF7" s="118">
        <f t="shared" si="25"/>
        <v>30636626.870000001</v>
      </c>
      <c r="AG7" s="116">
        <f t="shared" si="26"/>
        <v>11073957.140000001</v>
      </c>
      <c r="AH7" s="116">
        <f t="shared" si="27"/>
        <v>6663817.4299999997</v>
      </c>
      <c r="AI7" s="116">
        <f t="shared" si="28"/>
        <v>17737774.57</v>
      </c>
      <c r="AJ7" s="116">
        <f t="shared" si="29"/>
        <v>-12898852.300000001</v>
      </c>
      <c r="AK7" s="418">
        <f t="shared" si="80"/>
        <v>0.57897283030754232</v>
      </c>
      <c r="AL7" s="434">
        <f t="shared" si="31"/>
        <v>7085752.5499999998</v>
      </c>
      <c r="AM7" s="140">
        <f t="shared" si="32"/>
        <v>2215828.5499999998</v>
      </c>
      <c r="AN7" s="326">
        <f t="shared" si="33"/>
        <v>1630738.03</v>
      </c>
      <c r="AO7" s="333">
        <f t="shared" si="34"/>
        <v>3846566.58</v>
      </c>
      <c r="AP7" s="125">
        <f t="shared" si="35"/>
        <v>2566976.2799999998</v>
      </c>
      <c r="AQ7" s="140">
        <f t="shared" si="36"/>
        <v>2917087.5700000003</v>
      </c>
      <c r="AR7" s="326">
        <f t="shared" si="37"/>
        <v>2860664.88</v>
      </c>
      <c r="AS7" s="333">
        <f t="shared" si="38"/>
        <v>5777752.4500000002</v>
      </c>
      <c r="AT7" s="125">
        <f t="shared" si="39"/>
        <v>977888.01</v>
      </c>
      <c r="AU7" s="140">
        <f t="shared" si="40"/>
        <v>4072312.2600000002</v>
      </c>
      <c r="AV7" s="326">
        <f t="shared" si="41"/>
        <v>2101886.86</v>
      </c>
      <c r="AW7" s="332">
        <f t="shared" si="42"/>
        <v>6174199.1200000001</v>
      </c>
      <c r="AX7" s="122">
        <f t="shared" si="43"/>
        <v>9205228.379999999</v>
      </c>
      <c r="AY7" s="326">
        <f t="shared" ref="AY7:AZ7" si="84">AN7+AR7+AV7</f>
        <v>6593289.7699999996</v>
      </c>
      <c r="AZ7" s="333">
        <f t="shared" si="84"/>
        <v>15798518.150000002</v>
      </c>
      <c r="BA7" s="140">
        <f t="shared" ref="BA7:BB7" si="85">AX7+AG7</f>
        <v>20279185.52</v>
      </c>
      <c r="BB7" s="326">
        <f t="shared" si="85"/>
        <v>13257107.199999999</v>
      </c>
      <c r="BC7" s="435">
        <f t="shared" si="46"/>
        <v>33536292.720000003</v>
      </c>
      <c r="BD7" s="434">
        <f t="shared" si="47"/>
        <v>9180414.2400000002</v>
      </c>
      <c r="BE7" s="140">
        <f t="shared" si="48"/>
        <v>4041186.3100000005</v>
      </c>
      <c r="BF7" s="123">
        <f t="shared" si="49"/>
        <v>3206333.42</v>
      </c>
      <c r="BG7" s="148">
        <f t="shared" si="50"/>
        <v>7247519.7300000004</v>
      </c>
      <c r="BH7" s="125">
        <f t="shared" si="51"/>
        <v>7799027.7300000004</v>
      </c>
      <c r="BI7" s="140">
        <f t="shared" si="52"/>
        <v>1862069.81</v>
      </c>
      <c r="BJ7" s="123">
        <f t="shared" si="53"/>
        <v>2144716.77</v>
      </c>
      <c r="BK7" s="125">
        <f t="shared" si="54"/>
        <v>4006786.58</v>
      </c>
      <c r="BL7" s="436">
        <f t="shared" si="55"/>
        <v>3075854.79</v>
      </c>
      <c r="BM7" s="140">
        <f t="shared" si="56"/>
        <v>1792364.1000000006</v>
      </c>
      <c r="BN7" s="326">
        <f t="shared" si="57"/>
        <v>3330689.59</v>
      </c>
      <c r="BO7" s="333">
        <f t="shared" si="58"/>
        <v>5123053.6900000004</v>
      </c>
      <c r="BP7" s="140">
        <f t="shared" ref="BP7:BR7" si="86">SUM(BE7,BI7,BM7)</f>
        <v>7695620.2200000016</v>
      </c>
      <c r="BQ7" s="141">
        <f t="shared" si="86"/>
        <v>8681739.7799999993</v>
      </c>
      <c r="BR7" s="437">
        <f t="shared" si="86"/>
        <v>16377360</v>
      </c>
      <c r="BS7" s="422">
        <f t="shared" si="60"/>
        <v>10891489.48</v>
      </c>
      <c r="BT7" s="140">
        <f t="shared" si="61"/>
        <v>9486505.870000001</v>
      </c>
      <c r="BU7" s="123">
        <f t="shared" si="62"/>
        <v>3431710.78</v>
      </c>
      <c r="BV7" s="148">
        <f t="shared" si="63"/>
        <v>12918216.65</v>
      </c>
      <c r="BW7" s="423">
        <f t="shared" si="64"/>
        <v>5305187.05</v>
      </c>
      <c r="BX7" s="424">
        <f t="shared" si="65"/>
        <v>14439950.34</v>
      </c>
      <c r="CA7" s="451" t="s">
        <v>4</v>
      </c>
      <c r="CB7" s="452">
        <v>63</v>
      </c>
      <c r="CC7" s="453">
        <v>58</v>
      </c>
      <c r="CD7" s="178">
        <v>66</v>
      </c>
      <c r="CE7" s="178">
        <v>67</v>
      </c>
      <c r="CF7" s="178">
        <v>63</v>
      </c>
      <c r="CG7" s="178">
        <v>65</v>
      </c>
      <c r="CH7" s="453">
        <v>64</v>
      </c>
      <c r="CI7" s="178">
        <v>64</v>
      </c>
      <c r="CJ7" s="178">
        <v>64</v>
      </c>
      <c r="CK7" s="450">
        <v>63</v>
      </c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</row>
    <row r="8" spans="1:114" ht="15.75" customHeight="1">
      <c r="A8" s="92">
        <f t="shared" si="0"/>
        <v>112014295</v>
      </c>
      <c r="B8" s="93">
        <f t="shared" si="1"/>
        <v>38</v>
      </c>
      <c r="C8" s="137">
        <f>VLOOKUP(B8,DES,2,FALSE)</f>
        <v>0.15</v>
      </c>
      <c r="D8" s="137">
        <f>VLOOKUP(B8,DES,3,FALSE)</f>
        <v>0.26</v>
      </c>
      <c r="E8" s="98">
        <f>VLOOKUP(B8,DES,4,FALSE)</f>
        <v>0</v>
      </c>
      <c r="F8" s="414">
        <f t="shared" si="5"/>
        <v>52</v>
      </c>
      <c r="G8" s="94">
        <f t="shared" si="6"/>
        <v>0.15</v>
      </c>
      <c r="H8" s="415">
        <f t="shared" si="7"/>
        <v>0.17</v>
      </c>
      <c r="I8" s="139" t="s">
        <v>262</v>
      </c>
      <c r="J8" s="125">
        <f t="shared" si="8"/>
        <v>12565326.119999999</v>
      </c>
      <c r="K8" s="141">
        <f t="shared" si="74"/>
        <v>21122941.474026002</v>
      </c>
      <c r="L8" s="113">
        <f t="shared" si="9"/>
        <v>19429793.600000001</v>
      </c>
      <c r="M8" s="116">
        <f t="shared" si="10"/>
        <v>13298534.560000001</v>
      </c>
      <c r="N8" s="117">
        <f t="shared" si="11"/>
        <v>32728328.16</v>
      </c>
      <c r="O8" s="114">
        <f t="shared" si="12"/>
        <v>11605386.685973998</v>
      </c>
      <c r="P8" s="413">
        <f t="shared" si="13"/>
        <v>1.5494209554216043</v>
      </c>
      <c r="Q8" s="125">
        <f t="shared" si="75"/>
        <v>15505524.92</v>
      </c>
      <c r="R8" s="140">
        <f t="shared" si="76"/>
        <v>27541456.056276198</v>
      </c>
      <c r="S8" s="116">
        <f t="shared" si="14"/>
        <v>19666319.140000001</v>
      </c>
      <c r="T8" s="116">
        <f t="shared" si="15"/>
        <v>13623824.59</v>
      </c>
      <c r="U8" s="116">
        <f t="shared" si="16"/>
        <v>33290143.73</v>
      </c>
      <c r="V8" s="116">
        <f t="shared" si="17"/>
        <v>5748687.673723802</v>
      </c>
      <c r="W8" s="413">
        <f t="shared" si="18"/>
        <v>1.2087285313447973</v>
      </c>
      <c r="X8" s="123">
        <f t="shared" si="69"/>
        <v>26391318.969999999</v>
      </c>
      <c r="Y8" s="332">
        <f t="shared" si="70"/>
        <v>43370569.899134047</v>
      </c>
      <c r="Z8" s="113">
        <f t="shared" si="19"/>
        <v>23361776.32</v>
      </c>
      <c r="AA8" s="116">
        <f t="shared" si="20"/>
        <v>10207176.970000001</v>
      </c>
      <c r="AB8" s="117">
        <f t="shared" si="21"/>
        <v>33568953.289999999</v>
      </c>
      <c r="AC8" s="114">
        <f t="shared" si="22"/>
        <v>-9801616.6091340482</v>
      </c>
      <c r="AD8" s="97">
        <f t="shared" si="23"/>
        <v>0.77400304787487351</v>
      </c>
      <c r="AE8" s="433">
        <f t="shared" si="24"/>
        <v>92034967.429436237</v>
      </c>
      <c r="AF8" s="118">
        <f t="shared" si="25"/>
        <v>83357702.030000001</v>
      </c>
      <c r="AG8" s="116">
        <f t="shared" si="26"/>
        <v>48834064.469999984</v>
      </c>
      <c r="AH8" s="116">
        <f t="shared" si="27"/>
        <v>50753360.710000008</v>
      </c>
      <c r="AI8" s="116">
        <f t="shared" si="28"/>
        <v>99587425.179999992</v>
      </c>
      <c r="AJ8" s="116">
        <f t="shared" si="29"/>
        <v>16229723.149999991</v>
      </c>
      <c r="AK8" s="418">
        <f t="shared" si="80"/>
        <v>1.1946997428523041</v>
      </c>
      <c r="AL8" s="434">
        <f t="shared" si="31"/>
        <v>12832285.550000001</v>
      </c>
      <c r="AM8" s="140">
        <f t="shared" si="32"/>
        <v>20022380.350000001</v>
      </c>
      <c r="AN8" s="326">
        <f t="shared" si="33"/>
        <v>12929356.869999999</v>
      </c>
      <c r="AO8" s="333">
        <f t="shared" si="34"/>
        <v>32951737.219999999</v>
      </c>
      <c r="AP8" s="125">
        <f t="shared" si="35"/>
        <v>17326608.960000001</v>
      </c>
      <c r="AQ8" s="140">
        <f t="shared" si="36"/>
        <v>25867210.140000001</v>
      </c>
      <c r="AR8" s="326">
        <f t="shared" si="37"/>
        <v>7925040.9299999997</v>
      </c>
      <c r="AS8" s="333">
        <f t="shared" si="38"/>
        <v>33792251.07</v>
      </c>
      <c r="AT8" s="125">
        <f t="shared" si="39"/>
        <v>16234173.949999999</v>
      </c>
      <c r="AU8" s="140">
        <f t="shared" si="40"/>
        <v>6590426.6799999997</v>
      </c>
      <c r="AV8" s="326">
        <f t="shared" si="41"/>
        <v>18958059.109999999</v>
      </c>
      <c r="AW8" s="332">
        <f t="shared" si="42"/>
        <v>25548485.789999999</v>
      </c>
      <c r="AX8" s="122">
        <f t="shared" si="43"/>
        <v>52480017.170000002</v>
      </c>
      <c r="AY8" s="326">
        <f t="shared" ref="AY8:AZ8" si="87">AN8+AR8+AV8</f>
        <v>39812456.909999996</v>
      </c>
      <c r="AZ8" s="333">
        <f t="shared" si="87"/>
        <v>92292474.079999998</v>
      </c>
      <c r="BA8" s="140">
        <f t="shared" ref="BA8:BB8" si="88">AX8+AG8</f>
        <v>101314081.63999999</v>
      </c>
      <c r="BB8" s="326">
        <f t="shared" si="88"/>
        <v>90565817.620000005</v>
      </c>
      <c r="BC8" s="435">
        <f t="shared" si="46"/>
        <v>191879899.25999999</v>
      </c>
      <c r="BD8" s="434">
        <f t="shared" si="47"/>
        <v>18861332.879999999</v>
      </c>
      <c r="BE8" s="140">
        <f t="shared" si="48"/>
        <v>17718798.329999998</v>
      </c>
      <c r="BF8" s="123">
        <f t="shared" si="49"/>
        <v>17793850.710000001</v>
      </c>
      <c r="BG8" s="148">
        <f t="shared" si="50"/>
        <v>35512649.039999999</v>
      </c>
      <c r="BH8" s="125">
        <f t="shared" si="51"/>
        <v>14656666.74</v>
      </c>
      <c r="BI8" s="140">
        <f t="shared" si="52"/>
        <v>3424705.8099999987</v>
      </c>
      <c r="BJ8" s="123">
        <f t="shared" si="53"/>
        <v>22452268.890000001</v>
      </c>
      <c r="BK8" s="125">
        <f t="shared" si="54"/>
        <v>25876974.699999999</v>
      </c>
      <c r="BL8" s="436">
        <f t="shared" si="55"/>
        <v>25646221.780000001</v>
      </c>
      <c r="BM8" s="140">
        <f t="shared" si="56"/>
        <v>10335358.33</v>
      </c>
      <c r="BN8" s="326">
        <f t="shared" si="57"/>
        <v>15486861.779999999</v>
      </c>
      <c r="BO8" s="333">
        <f t="shared" si="58"/>
        <v>25822220.109999999</v>
      </c>
      <c r="BP8" s="140">
        <f t="shared" ref="BP8:BR8" si="89">SUM(BE8,BI8,BM8)</f>
        <v>31478862.469999999</v>
      </c>
      <c r="BQ8" s="141">
        <f t="shared" si="89"/>
        <v>55732981.380000003</v>
      </c>
      <c r="BR8" s="437">
        <f t="shared" si="89"/>
        <v>87211843.849999994</v>
      </c>
      <c r="BS8" s="422">
        <f t="shared" si="60"/>
        <v>26731973.899999999</v>
      </c>
      <c r="BT8" s="140">
        <f t="shared" si="61"/>
        <v>49753750.050000004</v>
      </c>
      <c r="BU8" s="123">
        <f t="shared" si="62"/>
        <v>14138149.220000001</v>
      </c>
      <c r="BV8" s="148">
        <f t="shared" si="63"/>
        <v>63891899.270000003</v>
      </c>
      <c r="BW8" s="423">
        <f t="shared" si="64"/>
        <v>33299777.920000002</v>
      </c>
      <c r="BX8" s="424">
        <f t="shared" si="65"/>
        <v>23325950.210000001</v>
      </c>
      <c r="CA8" s="277" t="s">
        <v>17</v>
      </c>
      <c r="CB8" s="454">
        <f t="shared" ref="CB8:CK8" si="90">SUM(CB2:CB7)</f>
        <v>98</v>
      </c>
      <c r="CC8" s="183">
        <f t="shared" si="90"/>
        <v>99</v>
      </c>
      <c r="CD8" s="185">
        <f t="shared" si="90"/>
        <v>100</v>
      </c>
      <c r="CE8" s="185">
        <f t="shared" si="90"/>
        <v>102</v>
      </c>
      <c r="CF8" s="185">
        <f t="shared" si="90"/>
        <v>98</v>
      </c>
      <c r="CG8" s="186">
        <f t="shared" si="90"/>
        <v>100</v>
      </c>
      <c r="CH8" s="183">
        <f t="shared" si="90"/>
        <v>99</v>
      </c>
      <c r="CI8" s="185">
        <f t="shared" si="90"/>
        <v>99</v>
      </c>
      <c r="CJ8" s="185">
        <f t="shared" si="90"/>
        <v>99</v>
      </c>
      <c r="CK8" s="184">
        <f t="shared" si="90"/>
        <v>98</v>
      </c>
      <c r="CL8" s="455"/>
      <c r="CM8" s="455"/>
      <c r="CN8" s="455"/>
      <c r="CO8" s="455"/>
      <c r="CP8" s="455"/>
      <c r="CQ8" s="455"/>
      <c r="CR8" s="455"/>
      <c r="CS8" s="455"/>
      <c r="CT8" s="455"/>
      <c r="CU8" s="455"/>
      <c r="CV8" s="455"/>
      <c r="CW8" s="455"/>
      <c r="CX8" s="455"/>
      <c r="CY8" s="455"/>
      <c r="CZ8" s="455"/>
      <c r="DA8" s="455"/>
      <c r="DB8" s="455"/>
      <c r="DC8" s="455"/>
      <c r="DD8" s="455"/>
      <c r="DE8" s="455"/>
      <c r="DF8" s="455"/>
      <c r="DG8" s="455"/>
      <c r="DH8" s="455"/>
      <c r="DI8" s="455"/>
      <c r="DJ8" s="455"/>
    </row>
    <row r="9" spans="1:114" ht="15.75" customHeight="1">
      <c r="A9" s="92">
        <f t="shared" si="0"/>
        <v>112014193</v>
      </c>
      <c r="B9" s="93">
        <f t="shared" si="1"/>
        <v>11</v>
      </c>
      <c r="C9" s="137">
        <f>VLOOKUP(B9,DES,2,FALSE)</f>
        <v>0.15</v>
      </c>
      <c r="D9" s="137">
        <f>VLOOKUP(B9,DES,3,FALSE)</f>
        <v>0.2</v>
      </c>
      <c r="E9" s="98">
        <f>VLOOKUP(B9,DES,4,FALSE)</f>
        <v>0</v>
      </c>
      <c r="F9" s="414">
        <f t="shared" si="5"/>
        <v>54</v>
      </c>
      <c r="G9" s="94">
        <f t="shared" si="6"/>
        <v>0.15</v>
      </c>
      <c r="H9" s="415">
        <f t="shared" si="7"/>
        <v>0.11</v>
      </c>
      <c r="I9" s="139" t="s">
        <v>263</v>
      </c>
      <c r="J9" s="125">
        <f t="shared" si="8"/>
        <v>8649842.2899999991</v>
      </c>
      <c r="K9" s="141">
        <f t="shared" si="74"/>
        <v>14540817.381604498</v>
      </c>
      <c r="L9" s="113">
        <f t="shared" si="9"/>
        <v>0</v>
      </c>
      <c r="M9" s="116">
        <f t="shared" si="10"/>
        <v>4331444.82</v>
      </c>
      <c r="N9" s="117">
        <f t="shared" si="11"/>
        <v>4331444.82</v>
      </c>
      <c r="O9" s="114">
        <f t="shared" si="12"/>
        <v>-10209372.561604498</v>
      </c>
      <c r="P9" s="413">
        <f t="shared" si="13"/>
        <v>0.29788179758585548</v>
      </c>
      <c r="Q9" s="125">
        <f t="shared" si="75"/>
        <v>3662666.44</v>
      </c>
      <c r="R9" s="140">
        <f t="shared" si="76"/>
        <v>6505756.3240534002</v>
      </c>
      <c r="S9" s="116">
        <f t="shared" si="14"/>
        <v>1690619.4000000004</v>
      </c>
      <c r="T9" s="116">
        <f t="shared" si="15"/>
        <v>4327146.96</v>
      </c>
      <c r="U9" s="116">
        <f t="shared" si="16"/>
        <v>6017766.3600000003</v>
      </c>
      <c r="V9" s="116">
        <f t="shared" si="17"/>
        <v>-487989.96405339986</v>
      </c>
      <c r="W9" s="413">
        <f t="shared" si="18"/>
        <v>0.92499104796637099</v>
      </c>
      <c r="X9" s="123">
        <f t="shared" si="69"/>
        <v>4098389.3</v>
      </c>
      <c r="Y9" s="332">
        <f t="shared" si="70"/>
        <v>6735149.5319944993</v>
      </c>
      <c r="Z9" s="113">
        <f t="shared" si="19"/>
        <v>0</v>
      </c>
      <c r="AA9" s="116">
        <f t="shared" si="20"/>
        <v>0</v>
      </c>
      <c r="AB9" s="117">
        <f t="shared" si="21"/>
        <v>0</v>
      </c>
      <c r="AC9" s="114">
        <f t="shared" si="22"/>
        <v>-6735149.5319944993</v>
      </c>
      <c r="AD9" s="97">
        <f t="shared" si="23"/>
        <v>0</v>
      </c>
      <c r="AE9" s="433">
        <f t="shared" si="24"/>
        <v>27781723.237652399</v>
      </c>
      <c r="AF9" s="118">
        <f t="shared" si="25"/>
        <v>20990537.27</v>
      </c>
      <c r="AG9" s="116">
        <f t="shared" si="26"/>
        <v>-2636527.5600000005</v>
      </c>
      <c r="AH9" s="116">
        <f t="shared" si="27"/>
        <v>12985738.74</v>
      </c>
      <c r="AI9" s="116">
        <f t="shared" si="28"/>
        <v>10349211.18</v>
      </c>
      <c r="AJ9" s="116">
        <f t="shared" si="29"/>
        <v>-10641326.09</v>
      </c>
      <c r="AK9" s="418">
        <f t="shared" si="80"/>
        <v>0.49304174766366043</v>
      </c>
      <c r="AL9" s="434">
        <f t="shared" si="31"/>
        <v>3249150.33</v>
      </c>
      <c r="AM9" s="140">
        <f t="shared" si="32"/>
        <v>983191.9299999997</v>
      </c>
      <c r="AN9" s="326">
        <f t="shared" si="33"/>
        <v>4196210.4000000004</v>
      </c>
      <c r="AO9" s="333">
        <f t="shared" si="34"/>
        <v>5179402.33</v>
      </c>
      <c r="AP9" s="125">
        <f t="shared" si="35"/>
        <v>14504644.18</v>
      </c>
      <c r="AQ9" s="140">
        <f t="shared" si="36"/>
        <v>802078.62999999989</v>
      </c>
      <c r="AR9" s="326">
        <f t="shared" si="37"/>
        <v>5395949.54</v>
      </c>
      <c r="AS9" s="333">
        <f t="shared" si="38"/>
        <v>6198028.1699999999</v>
      </c>
      <c r="AT9" s="125">
        <f t="shared" si="39"/>
        <v>4533752.9400000004</v>
      </c>
      <c r="AU9" s="140">
        <f t="shared" si="40"/>
        <v>1525204.73</v>
      </c>
      <c r="AV9" s="326">
        <f t="shared" si="41"/>
        <v>2534915.44</v>
      </c>
      <c r="AW9" s="332">
        <f t="shared" si="42"/>
        <v>4060120.17</v>
      </c>
      <c r="AX9" s="122">
        <f t="shared" si="43"/>
        <v>3310475.2899999996</v>
      </c>
      <c r="AY9" s="326">
        <f t="shared" ref="AY9:AZ9" si="91">AN9+AR9+AV9</f>
        <v>12127075.380000001</v>
      </c>
      <c r="AZ9" s="333">
        <f t="shared" si="91"/>
        <v>15437550.67</v>
      </c>
      <c r="BA9" s="140">
        <f t="shared" ref="BA9:BB9" si="92">AX9+AG9</f>
        <v>673947.72999999905</v>
      </c>
      <c r="BB9" s="326">
        <f t="shared" si="92"/>
        <v>25112814.120000001</v>
      </c>
      <c r="BC9" s="435">
        <f t="shared" si="46"/>
        <v>25786761.850000001</v>
      </c>
      <c r="BD9" s="434">
        <f t="shared" si="47"/>
        <v>9129780.7100000009</v>
      </c>
      <c r="BE9" s="140">
        <f t="shared" si="48"/>
        <v>1895854.57</v>
      </c>
      <c r="BF9" s="123">
        <f t="shared" si="49"/>
        <v>0</v>
      </c>
      <c r="BG9" s="148">
        <f t="shared" si="50"/>
        <v>1895854.57</v>
      </c>
      <c r="BH9" s="125">
        <f t="shared" si="51"/>
        <v>3974417.28</v>
      </c>
      <c r="BI9" s="140">
        <f t="shared" si="52"/>
        <v>4954089.32</v>
      </c>
      <c r="BJ9" s="123">
        <f t="shared" si="53"/>
        <v>3582547.41</v>
      </c>
      <c r="BK9" s="125">
        <f t="shared" si="54"/>
        <v>8536636.7300000004</v>
      </c>
      <c r="BL9" s="436">
        <f t="shared" si="55"/>
        <v>5864198</v>
      </c>
      <c r="BM9" s="140">
        <f t="shared" si="56"/>
        <v>355404.85</v>
      </c>
      <c r="BN9" s="326">
        <f t="shared" si="57"/>
        <v>0</v>
      </c>
      <c r="BO9" s="333">
        <f t="shared" si="58"/>
        <v>355404.85</v>
      </c>
      <c r="BP9" s="140">
        <f t="shared" ref="BP9:BR9" si="93">SUM(BE9,BI9,BM9)</f>
        <v>7205348.7400000002</v>
      </c>
      <c r="BQ9" s="141">
        <f t="shared" si="93"/>
        <v>3582547.41</v>
      </c>
      <c r="BR9" s="437">
        <f t="shared" si="93"/>
        <v>10787896.15</v>
      </c>
      <c r="BS9" s="422">
        <f t="shared" si="60"/>
        <v>3569193.91</v>
      </c>
      <c r="BT9" s="140">
        <f t="shared" si="61"/>
        <v>408854.26999999955</v>
      </c>
      <c r="BU9" s="123">
        <f t="shared" si="62"/>
        <v>6673557.2000000002</v>
      </c>
      <c r="BV9" s="148">
        <f t="shared" si="63"/>
        <v>7082411.4699999997</v>
      </c>
      <c r="BW9" s="423">
        <f t="shared" si="64"/>
        <v>14998435.83</v>
      </c>
      <c r="BX9" s="424">
        <f t="shared" si="65"/>
        <v>2422907.5299999998</v>
      </c>
    </row>
    <row r="10" spans="1:114" ht="15.75" customHeight="1">
      <c r="A10" s="92">
        <f t="shared" si="0"/>
        <v>112012511</v>
      </c>
      <c r="B10" s="93">
        <f t="shared" si="1"/>
        <v>12</v>
      </c>
      <c r="C10" s="137">
        <f>VLOOKUP(B10,DES,2,FALSE)</f>
        <v>0.15</v>
      </c>
      <c r="D10" s="137">
        <f>VLOOKUP(B10,DES,3,FALSE)</f>
        <v>0.09</v>
      </c>
      <c r="E10" s="98">
        <f>VLOOKUP(B10,DES,4,FALSE)</f>
        <v>0</v>
      </c>
      <c r="F10" s="414">
        <f t="shared" si="5"/>
        <v>55</v>
      </c>
      <c r="G10" s="94">
        <f t="shared" si="6"/>
        <v>0.15</v>
      </c>
      <c r="H10" s="415">
        <f t="shared" si="7"/>
        <v>0.05</v>
      </c>
      <c r="I10" s="139" t="s">
        <v>264</v>
      </c>
      <c r="J10" s="125">
        <f t="shared" si="8"/>
        <v>0</v>
      </c>
      <c r="K10" s="174">
        <v>3000000</v>
      </c>
      <c r="L10" s="113" t="e">
        <f t="shared" si="9"/>
        <v>#VALUE!</v>
      </c>
      <c r="M10" s="116" t="str">
        <f t="shared" si="10"/>
        <v/>
      </c>
      <c r="N10" s="117">
        <f t="shared" si="11"/>
        <v>7220885.3899999997</v>
      </c>
      <c r="O10" s="114">
        <f t="shared" si="12"/>
        <v>4220885.3899999997</v>
      </c>
      <c r="P10" s="413">
        <f t="shared" si="13"/>
        <v>2.4069617966666668</v>
      </c>
      <c r="Q10" s="125">
        <f t="shared" si="75"/>
        <v>1897524.87</v>
      </c>
      <c r="R10" s="140">
        <f t="shared" si="76"/>
        <v>3370450.0874644504</v>
      </c>
      <c r="S10" s="116" t="e">
        <f t="shared" si="14"/>
        <v>#VALUE!</v>
      </c>
      <c r="T10" s="116" t="str">
        <f t="shared" si="15"/>
        <v/>
      </c>
      <c r="U10" s="116">
        <f t="shared" si="16"/>
        <v>6109913.04</v>
      </c>
      <c r="V10" s="116">
        <f t="shared" si="17"/>
        <v>2739462.9525355496</v>
      </c>
      <c r="W10" s="413">
        <f t="shared" si="18"/>
        <v>1.8127884648772281</v>
      </c>
      <c r="X10" s="123">
        <f t="shared" si="69"/>
        <v>0</v>
      </c>
      <c r="Y10" s="432">
        <v>3000000</v>
      </c>
      <c r="Z10" s="113" t="e">
        <f t="shared" si="19"/>
        <v>#VALUE!</v>
      </c>
      <c r="AA10" s="116" t="str">
        <f t="shared" si="20"/>
        <v/>
      </c>
      <c r="AB10" s="117">
        <f t="shared" si="21"/>
        <v>6470783.3600000003</v>
      </c>
      <c r="AC10" s="114">
        <f t="shared" si="22"/>
        <v>3470783.3600000003</v>
      </c>
      <c r="AD10" s="97">
        <f t="shared" si="23"/>
        <v>2.156927786666667</v>
      </c>
      <c r="AE10" s="433">
        <f t="shared" si="24"/>
        <v>9370450.0874644499</v>
      </c>
      <c r="AF10" s="118">
        <f t="shared" si="25"/>
        <v>11847160.960000001</v>
      </c>
      <c r="AG10" s="116">
        <f t="shared" si="26"/>
        <v>19801581.789999999</v>
      </c>
      <c r="AH10" s="116">
        <f t="shared" si="27"/>
        <v>0</v>
      </c>
      <c r="AI10" s="116">
        <f t="shared" si="28"/>
        <v>19801581.789999999</v>
      </c>
      <c r="AJ10" s="116">
        <f t="shared" si="29"/>
        <v>7954420.8299999982</v>
      </c>
      <c r="AK10" s="418">
        <f t="shared" si="80"/>
        <v>1.671420001539339</v>
      </c>
      <c r="AL10" s="434">
        <f t="shared" si="31"/>
        <v>0</v>
      </c>
      <c r="AM10" s="140" t="e">
        <f t="shared" si="32"/>
        <v>#VALUE!</v>
      </c>
      <c r="AN10" s="326" t="str">
        <f t="shared" si="33"/>
        <v/>
      </c>
      <c r="AO10" s="333">
        <f t="shared" si="34"/>
        <v>0</v>
      </c>
      <c r="AP10" s="125">
        <f t="shared" si="35"/>
        <v>2429407.36</v>
      </c>
      <c r="AQ10" s="140" t="e">
        <f t="shared" si="36"/>
        <v>#VALUE!</v>
      </c>
      <c r="AR10" s="326" t="str">
        <f t="shared" si="37"/>
        <v/>
      </c>
      <c r="AS10" s="333">
        <f t="shared" si="38"/>
        <v>2481203.58</v>
      </c>
      <c r="AT10" s="125">
        <f t="shared" si="39"/>
        <v>1.19</v>
      </c>
      <c r="AU10" s="140" t="e">
        <f t="shared" si="40"/>
        <v>#VALUE!</v>
      </c>
      <c r="AV10" s="326" t="str">
        <f t="shared" si="41"/>
        <v/>
      </c>
      <c r="AW10" s="332">
        <f t="shared" si="42"/>
        <v>0</v>
      </c>
      <c r="AX10" s="122" t="e">
        <f t="shared" si="43"/>
        <v>#VALUE!</v>
      </c>
      <c r="AY10" s="326" t="e">
        <f t="shared" ref="AY10:AZ10" si="94">AN10+AR10+AV10</f>
        <v>#VALUE!</v>
      </c>
      <c r="AZ10" s="333">
        <f t="shared" si="94"/>
        <v>2481203.58</v>
      </c>
      <c r="BA10" s="140" t="e">
        <f t="shared" ref="BA10:BB10" si="95">AX10+AG10</f>
        <v>#VALUE!</v>
      </c>
      <c r="BB10" s="326" t="e">
        <f t="shared" si="95"/>
        <v>#VALUE!</v>
      </c>
      <c r="BC10" s="435">
        <f t="shared" si="46"/>
        <v>22282785.369999997</v>
      </c>
      <c r="BD10" s="434">
        <f t="shared" si="47"/>
        <v>0</v>
      </c>
      <c r="BE10" s="140" t="e">
        <f t="shared" si="48"/>
        <v>#VALUE!</v>
      </c>
      <c r="BF10" s="123" t="str">
        <f t="shared" si="49"/>
        <v/>
      </c>
      <c r="BG10" s="148">
        <f t="shared" si="50"/>
        <v>0</v>
      </c>
      <c r="BH10" s="125">
        <f t="shared" si="51"/>
        <v>0</v>
      </c>
      <c r="BI10" s="140" t="e">
        <f t="shared" si="52"/>
        <v>#VALUE!</v>
      </c>
      <c r="BJ10" s="123" t="str">
        <f t="shared" si="53"/>
        <v/>
      </c>
      <c r="BK10" s="125">
        <f t="shared" si="54"/>
        <v>0</v>
      </c>
      <c r="BL10" s="436">
        <f t="shared" si="55"/>
        <v>2677162.04</v>
      </c>
      <c r="BM10" s="140" t="e">
        <f t="shared" si="56"/>
        <v>#VALUE!</v>
      </c>
      <c r="BN10" s="326" t="str">
        <f t="shared" si="57"/>
        <v/>
      </c>
      <c r="BO10" s="333">
        <f t="shared" si="58"/>
        <v>8573640.8000000007</v>
      </c>
      <c r="BP10" s="140" t="e">
        <f t="shared" ref="BP10:BR10" si="96">SUM(BE10,BI10,BM10)</f>
        <v>#VALUE!</v>
      </c>
      <c r="BQ10" s="141">
        <f t="shared" si="96"/>
        <v>0</v>
      </c>
      <c r="BR10" s="437">
        <f t="shared" si="96"/>
        <v>8573640.8000000007</v>
      </c>
      <c r="BS10" s="422">
        <f t="shared" si="60"/>
        <v>3521699.45</v>
      </c>
      <c r="BT10" s="140" t="e">
        <f t="shared" si="61"/>
        <v>#VALUE!</v>
      </c>
      <c r="BU10" s="123" t="str">
        <f t="shared" si="62"/>
        <v/>
      </c>
      <c r="BV10" s="148">
        <f t="shared" si="63"/>
        <v>15997141.84</v>
      </c>
      <c r="BW10" s="423">
        <f t="shared" si="64"/>
        <v>5546050.7300000004</v>
      </c>
      <c r="BX10" s="424">
        <f t="shared" si="65"/>
        <v>2779410.78</v>
      </c>
      <c r="CA10" s="231" t="s">
        <v>78</v>
      </c>
      <c r="CB10" s="232"/>
      <c r="CC10" s="232"/>
    </row>
    <row r="11" spans="1:114" ht="15.75" customHeight="1">
      <c r="A11" s="92">
        <f t="shared" si="0"/>
        <v>112014664</v>
      </c>
      <c r="B11" s="93">
        <f t="shared" si="1"/>
        <v>30</v>
      </c>
      <c r="C11" s="137">
        <f>IFERROR(VLOOKUP(B11,DES,2,FALSE),"")</f>
        <v>0.1</v>
      </c>
      <c r="D11" s="137">
        <f>IFERROR(VLOOKUP(B11,DES,3,FALSE),"")</f>
        <v>0.15</v>
      </c>
      <c r="E11" s="98"/>
      <c r="F11" s="414">
        <f t="shared" si="5"/>
        <v>62</v>
      </c>
      <c r="G11" s="94">
        <f t="shared" si="6"/>
        <v>0.1</v>
      </c>
      <c r="H11" s="415">
        <f t="shared" si="7"/>
        <v>0.11</v>
      </c>
      <c r="I11" s="139" t="s">
        <v>265</v>
      </c>
      <c r="J11" s="125"/>
      <c r="K11" s="141"/>
      <c r="L11" s="113">
        <f t="shared" si="9"/>
        <v>0</v>
      </c>
      <c r="M11" s="116">
        <f t="shared" si="10"/>
        <v>0</v>
      </c>
      <c r="N11" s="117">
        <f t="shared" si="11"/>
        <v>0</v>
      </c>
      <c r="O11" s="114"/>
      <c r="P11" s="413"/>
      <c r="Q11" s="125"/>
      <c r="R11" s="140">
        <f t="shared" si="76"/>
        <v>0</v>
      </c>
      <c r="S11" s="116">
        <f t="shared" si="14"/>
        <v>75287.12</v>
      </c>
      <c r="T11" s="116">
        <f t="shared" si="15"/>
        <v>0</v>
      </c>
      <c r="U11" s="116">
        <f t="shared" si="16"/>
        <v>75287.12</v>
      </c>
      <c r="V11" s="116">
        <f t="shared" si="17"/>
        <v>75287.12</v>
      </c>
      <c r="W11" s="413" t="str">
        <f>IFERROR(U11/R11,"")</f>
        <v/>
      </c>
      <c r="X11" s="123" t="str">
        <f t="shared" si="69"/>
        <v/>
      </c>
      <c r="Y11" s="332" t="e">
        <f>(X11*1.5955)*1.03</f>
        <v>#VALUE!</v>
      </c>
      <c r="Z11" s="113">
        <f t="shared" si="19"/>
        <v>1292718.03</v>
      </c>
      <c r="AA11" s="116">
        <f t="shared" si="20"/>
        <v>0</v>
      </c>
      <c r="AB11" s="117">
        <f t="shared" si="21"/>
        <v>1292718.03</v>
      </c>
      <c r="AC11" s="114" t="e">
        <f t="shared" si="22"/>
        <v>#VALUE!</v>
      </c>
      <c r="AD11" s="97" t="str">
        <f>IFERROR(AB11/Y11,"")</f>
        <v/>
      </c>
      <c r="AE11" s="433" t="e">
        <f t="shared" si="24"/>
        <v>#VALUE!</v>
      </c>
      <c r="AF11" s="118" t="str">
        <f t="shared" si="25"/>
        <v>0</v>
      </c>
      <c r="AG11" s="116">
        <f t="shared" si="26"/>
        <v>1368005.15</v>
      </c>
      <c r="AH11" s="116">
        <f t="shared" si="27"/>
        <v>0</v>
      </c>
      <c r="AI11" s="116">
        <f t="shared" si="28"/>
        <v>1368005.15</v>
      </c>
      <c r="AJ11" s="116">
        <f t="shared" si="29"/>
        <v>1368005.15</v>
      </c>
      <c r="AK11" s="418" t="str">
        <f>IFERROR(AI11/AF11,"")</f>
        <v/>
      </c>
      <c r="AL11" s="434"/>
      <c r="AM11" s="140">
        <f t="shared" si="32"/>
        <v>526070.43999999994</v>
      </c>
      <c r="AN11" s="326">
        <f t="shared" si="33"/>
        <v>0</v>
      </c>
      <c r="AO11" s="333">
        <f t="shared" si="34"/>
        <v>526070.43999999994</v>
      </c>
      <c r="AP11" s="125"/>
      <c r="AQ11" s="140">
        <f t="shared" si="36"/>
        <v>448780.22</v>
      </c>
      <c r="AR11" s="326">
        <f t="shared" si="37"/>
        <v>0</v>
      </c>
      <c r="AS11" s="333">
        <f t="shared" si="38"/>
        <v>448780.22</v>
      </c>
      <c r="AT11" s="125"/>
      <c r="AU11" s="140">
        <f t="shared" si="40"/>
        <v>373482.58</v>
      </c>
      <c r="AV11" s="326">
        <f t="shared" si="41"/>
        <v>31057.599999999999</v>
      </c>
      <c r="AW11" s="332">
        <f t="shared" si="42"/>
        <v>404540.18</v>
      </c>
      <c r="AX11" s="122">
        <f t="shared" si="43"/>
        <v>1348333.24</v>
      </c>
      <c r="AY11" s="326">
        <f t="shared" ref="AY11:AZ11" si="97">AN11+AR11+AV11</f>
        <v>31057.599999999999</v>
      </c>
      <c r="AZ11" s="333">
        <f t="shared" si="97"/>
        <v>1379390.8399999999</v>
      </c>
      <c r="BA11" s="140">
        <f t="shared" ref="BA11:BB11" si="98">AX11+AG11</f>
        <v>2716338.3899999997</v>
      </c>
      <c r="BB11" s="326">
        <f t="shared" si="98"/>
        <v>31057.599999999999</v>
      </c>
      <c r="BC11" s="435">
        <f t="shared" si="46"/>
        <v>2747395.9899999998</v>
      </c>
      <c r="BD11" s="434"/>
      <c r="BE11" s="140">
        <f t="shared" si="48"/>
        <v>887304.43</v>
      </c>
      <c r="BF11" s="123">
        <f t="shared" si="49"/>
        <v>0</v>
      </c>
      <c r="BG11" s="148">
        <f t="shared" si="50"/>
        <v>887304.43</v>
      </c>
      <c r="BH11" s="125"/>
      <c r="BI11" s="140">
        <f t="shared" si="52"/>
        <v>667280.99</v>
      </c>
      <c r="BJ11" s="123">
        <f t="shared" si="53"/>
        <v>0</v>
      </c>
      <c r="BK11" s="125">
        <f t="shared" si="54"/>
        <v>667280.99</v>
      </c>
      <c r="BL11" s="436"/>
      <c r="BM11" s="140">
        <f t="shared" si="56"/>
        <v>3622557.37</v>
      </c>
      <c r="BN11" s="326">
        <f t="shared" si="57"/>
        <v>0</v>
      </c>
      <c r="BO11" s="333">
        <f t="shared" si="58"/>
        <v>3622557.37</v>
      </c>
      <c r="BP11" s="140">
        <f t="shared" ref="BP11:BR11" si="99">SUM(BE11,BI11,BM11)</f>
        <v>5177142.79</v>
      </c>
      <c r="BQ11" s="141">
        <f t="shared" si="99"/>
        <v>0</v>
      </c>
      <c r="BR11" s="437">
        <f t="shared" si="99"/>
        <v>5177142.79</v>
      </c>
      <c r="BS11" s="422"/>
      <c r="BT11" s="140">
        <f t="shared" si="61"/>
        <v>1704148.84</v>
      </c>
      <c r="BU11" s="123">
        <f t="shared" si="62"/>
        <v>0</v>
      </c>
      <c r="BV11" s="148">
        <f t="shared" si="63"/>
        <v>1704148.84</v>
      </c>
      <c r="BW11" s="423"/>
      <c r="BX11" s="424"/>
      <c r="CA11" s="231" t="s">
        <v>80</v>
      </c>
      <c r="CB11" s="231"/>
      <c r="CC11" s="231"/>
    </row>
    <row r="12" spans="1:114" ht="15.75" customHeight="1">
      <c r="A12" s="92">
        <f t="shared" si="0"/>
        <v>112012489</v>
      </c>
      <c r="B12" s="93">
        <f t="shared" si="1"/>
        <v>22</v>
      </c>
      <c r="C12" s="137">
        <f>VLOOKUP(B12,DES,2,FALSE)</f>
        <v>0.1</v>
      </c>
      <c r="D12" s="137">
        <f>VLOOKUP(B12,DES,3,FALSE)</f>
        <v>0.09</v>
      </c>
      <c r="E12" s="98">
        <f>VLOOKUP(B12,DES,4,FALSE)</f>
        <v>0</v>
      </c>
      <c r="F12" s="414">
        <f t="shared" si="5"/>
        <v>63</v>
      </c>
      <c r="G12" s="94">
        <f t="shared" si="6"/>
        <v>0.1</v>
      </c>
      <c r="H12" s="415">
        <f t="shared" si="7"/>
        <v>0.05</v>
      </c>
      <c r="I12" s="139" t="s">
        <v>266</v>
      </c>
      <c r="J12" s="125">
        <f t="shared" ref="J12:J26" si="100">IFERROR(VLOOKUP(I12,CALO24,3,FALSE),"")</f>
        <v>1441159.37</v>
      </c>
      <c r="K12" s="174">
        <v>3000000</v>
      </c>
      <c r="L12" s="113">
        <f t="shared" si="9"/>
        <v>3385917.57</v>
      </c>
      <c r="M12" s="116">
        <f t="shared" si="10"/>
        <v>79200</v>
      </c>
      <c r="N12" s="117">
        <f t="shared" si="11"/>
        <v>3465117.57</v>
      </c>
      <c r="O12" s="114">
        <f t="shared" ref="O12:O77" si="101">N12-K12</f>
        <v>465117.56999999983</v>
      </c>
      <c r="P12" s="413">
        <f t="shared" ref="P12:P25" si="102">N12/K12</f>
        <v>1.1550391899999999</v>
      </c>
      <c r="Q12" s="125">
        <f t="shared" ref="Q12:Q36" si="103">IFERROR(VLOOKUP(I12,CALO24,4,FALSE),"")</f>
        <v>3509978.66</v>
      </c>
      <c r="R12" s="140">
        <f t="shared" si="76"/>
        <v>6234546.9451451004</v>
      </c>
      <c r="S12" s="116">
        <f t="shared" si="14"/>
        <v>2668614.48</v>
      </c>
      <c r="T12" s="116">
        <f t="shared" si="15"/>
        <v>0</v>
      </c>
      <c r="U12" s="116">
        <f t="shared" si="16"/>
        <v>2668614.48</v>
      </c>
      <c r="V12" s="116">
        <f t="shared" si="17"/>
        <v>-3565932.4651451004</v>
      </c>
      <c r="W12" s="413">
        <f t="shared" ref="W12:W25" si="104">U12/R12</f>
        <v>0.4280366325700819</v>
      </c>
      <c r="X12" s="123">
        <f t="shared" si="69"/>
        <v>1729690.15</v>
      </c>
      <c r="Y12" s="432">
        <v>3000000</v>
      </c>
      <c r="Z12" s="113">
        <f t="shared" si="19"/>
        <v>3204166.15</v>
      </c>
      <c r="AA12" s="116">
        <f t="shared" si="20"/>
        <v>0</v>
      </c>
      <c r="AB12" s="117">
        <f t="shared" si="21"/>
        <v>3204166.15</v>
      </c>
      <c r="AC12" s="114">
        <f t="shared" si="22"/>
        <v>204166.14999999991</v>
      </c>
      <c r="AD12" s="97">
        <f t="shared" ref="AD12:AD41" si="105">AB12/Y12</f>
        <v>1.0680553833333333</v>
      </c>
      <c r="AE12" s="433">
        <f t="shared" si="24"/>
        <v>12234546.9451451</v>
      </c>
      <c r="AF12" s="118">
        <f t="shared" si="25"/>
        <v>8069711.0300000003</v>
      </c>
      <c r="AG12" s="116">
        <f t="shared" si="26"/>
        <v>9258698.1999999993</v>
      </c>
      <c r="AH12" s="116">
        <f t="shared" si="27"/>
        <v>79200</v>
      </c>
      <c r="AI12" s="116">
        <f t="shared" si="28"/>
        <v>9337898.1999999993</v>
      </c>
      <c r="AJ12" s="116">
        <f t="shared" si="29"/>
        <v>1268187.169999999</v>
      </c>
      <c r="AK12" s="418">
        <f t="shared" ref="AK12:AK17" si="106">AI12/AF12</f>
        <v>1.1571539755618732</v>
      </c>
      <c r="AL12" s="434">
        <f t="shared" ref="AL12:AL43" si="107">IFERROR(VLOOKUP(I12,CALO24,6,FALSE),"")</f>
        <v>6106511.3099999996</v>
      </c>
      <c r="AM12" s="140">
        <f t="shared" si="32"/>
        <v>3601863.2</v>
      </c>
      <c r="AN12" s="326">
        <f t="shared" si="33"/>
        <v>0</v>
      </c>
      <c r="AO12" s="333">
        <f t="shared" si="34"/>
        <v>3601863.2</v>
      </c>
      <c r="AP12" s="125">
        <f t="shared" ref="AP12:AP26" si="108">IFERROR(VLOOKUP(I12,CALO24,7,FALSE),"")</f>
        <v>6392855.2199999997</v>
      </c>
      <c r="AQ12" s="140">
        <f t="shared" si="36"/>
        <v>5400346.3899999997</v>
      </c>
      <c r="AR12" s="326">
        <f t="shared" si="37"/>
        <v>48875.7</v>
      </c>
      <c r="AS12" s="333">
        <f t="shared" si="38"/>
        <v>5449222.0899999999</v>
      </c>
      <c r="AT12" s="125">
        <f t="shared" ref="AT12:AT26" si="109">IFERROR(VLOOKUP(I12,CALO24,8,FALSE),"")</f>
        <v>6690288.2000000002</v>
      </c>
      <c r="AU12" s="140">
        <f t="shared" si="40"/>
        <v>3428094.23</v>
      </c>
      <c r="AV12" s="326">
        <f t="shared" si="41"/>
        <v>0</v>
      </c>
      <c r="AW12" s="332">
        <f t="shared" si="42"/>
        <v>3428094.23</v>
      </c>
      <c r="AX12" s="122">
        <f t="shared" si="43"/>
        <v>12430303.82</v>
      </c>
      <c r="AY12" s="326">
        <f t="shared" ref="AY12:AZ12" si="110">AN12+AR12+AV12</f>
        <v>48875.7</v>
      </c>
      <c r="AZ12" s="333">
        <f t="shared" si="110"/>
        <v>12479179.52</v>
      </c>
      <c r="BA12" s="140">
        <f t="shared" ref="BA12:BB12" si="111">AX12+AG12</f>
        <v>21689002.02</v>
      </c>
      <c r="BB12" s="326">
        <f t="shared" si="111"/>
        <v>128075.7</v>
      </c>
      <c r="BC12" s="435">
        <f t="shared" si="46"/>
        <v>21817077.719999999</v>
      </c>
      <c r="BD12" s="434">
        <f t="shared" ref="BD12:BD26" si="112">IFERROR(VLOOKUP(I12,CALO24,9,FALSE),"")</f>
        <v>8085094.9400000004</v>
      </c>
      <c r="BE12" s="140">
        <f t="shared" si="48"/>
        <v>969070.03</v>
      </c>
      <c r="BF12" s="123">
        <f t="shared" si="49"/>
        <v>0</v>
      </c>
      <c r="BG12" s="148">
        <f t="shared" si="50"/>
        <v>969070.03</v>
      </c>
      <c r="BH12" s="125">
        <f t="shared" ref="BH12:BH26" si="113">IFERROR(VLOOKUP(I12,CALO24,10,FALSE),"")</f>
        <v>2332170.75</v>
      </c>
      <c r="BI12" s="140">
        <f t="shared" si="52"/>
        <v>2206512.65</v>
      </c>
      <c r="BJ12" s="123">
        <f t="shared" si="53"/>
        <v>0</v>
      </c>
      <c r="BK12" s="125">
        <f t="shared" si="54"/>
        <v>2206512.65</v>
      </c>
      <c r="BL12" s="436">
        <f t="shared" ref="BL12:BL26" si="114">IFERROR(VLOOKUP(I12,CALO24,11,FALSE),"")</f>
        <v>6663774.9000000004</v>
      </c>
      <c r="BM12" s="140">
        <f t="shared" si="56"/>
        <v>2610724.25</v>
      </c>
      <c r="BN12" s="326">
        <f t="shared" si="57"/>
        <v>0</v>
      </c>
      <c r="BO12" s="333">
        <f t="shared" si="58"/>
        <v>2610724.25</v>
      </c>
      <c r="BP12" s="140">
        <f t="shared" ref="BP12:BR12" si="115">SUM(BE12,BI12,BM12)</f>
        <v>5786306.9299999997</v>
      </c>
      <c r="BQ12" s="141">
        <f t="shared" si="115"/>
        <v>0</v>
      </c>
      <c r="BR12" s="437">
        <f t="shared" si="115"/>
        <v>5786306.9299999997</v>
      </c>
      <c r="BS12" s="422">
        <f t="shared" ref="BS12:BS26" si="116">IFERROR(VLOOKUP(I12,CALO24,12,FALSE),"")</f>
        <v>2484854.16</v>
      </c>
      <c r="BT12" s="140">
        <f t="shared" si="61"/>
        <v>2391827.7400000002</v>
      </c>
      <c r="BU12" s="123">
        <f t="shared" si="62"/>
        <v>0</v>
      </c>
      <c r="BV12" s="148">
        <f t="shared" si="63"/>
        <v>2391827.7400000002</v>
      </c>
      <c r="BW12" s="423">
        <f t="shared" ref="BW12:BW26" si="117">IFERROR(VLOOKUP(I12,CALO24,13,FALSE),"")</f>
        <v>3130166.29</v>
      </c>
      <c r="BX12" s="424">
        <f t="shared" ref="BX12:BX26" si="118">IFERROR(VLOOKUP(I12,CALO24,14,FALSE),"")</f>
        <v>2454690.58</v>
      </c>
      <c r="CA12" s="231" t="s">
        <v>82</v>
      </c>
      <c r="CB12" s="232"/>
      <c r="CC12" s="232"/>
    </row>
    <row r="13" spans="1:114" ht="15.75" customHeight="1">
      <c r="A13" s="92">
        <f t="shared" si="0"/>
        <v>112014379</v>
      </c>
      <c r="B13" s="93">
        <f t="shared" si="1"/>
        <v>31</v>
      </c>
      <c r="C13" s="137">
        <f t="shared" ref="C13:C18" si="119">IFERROR(VLOOKUP(B13,DES,2,FALSE),"")</f>
        <v>0.1</v>
      </c>
      <c r="D13" s="137">
        <f t="shared" ref="D13:D18" si="120">IFERROR(VLOOKUP(B13,DES,3,FALSE),"")</f>
        <v>0.23</v>
      </c>
      <c r="E13" s="98">
        <f t="shared" ref="E13:E18" si="121">IFERROR(VLOOKUP(B13,DES,4,FALSE),"")</f>
        <v>0</v>
      </c>
      <c r="F13" s="414">
        <f t="shared" si="5"/>
        <v>61</v>
      </c>
      <c r="G13" s="94">
        <f t="shared" si="6"/>
        <v>0.1</v>
      </c>
      <c r="H13" s="415">
        <f t="shared" si="7"/>
        <v>0.14000000000000001</v>
      </c>
      <c r="I13" s="139" t="s">
        <v>267</v>
      </c>
      <c r="J13" s="125">
        <f t="shared" si="100"/>
        <v>0</v>
      </c>
      <c r="K13" s="237">
        <v>1800000</v>
      </c>
      <c r="L13" s="113">
        <f t="shared" si="9"/>
        <v>188972.2</v>
      </c>
      <c r="M13" s="116">
        <f t="shared" si="10"/>
        <v>38330.519999999997</v>
      </c>
      <c r="N13" s="117">
        <f t="shared" si="11"/>
        <v>227302.72</v>
      </c>
      <c r="O13" s="114">
        <f t="shared" si="101"/>
        <v>-1572697.28</v>
      </c>
      <c r="P13" s="413">
        <f t="shared" si="102"/>
        <v>0.1262792888888889</v>
      </c>
      <c r="Q13" s="125">
        <f t="shared" si="103"/>
        <v>1414406.6</v>
      </c>
      <c r="R13" s="140">
        <f t="shared" si="76"/>
        <v>2512318.5071510002</v>
      </c>
      <c r="S13" s="116">
        <f t="shared" si="14"/>
        <v>3313149.47</v>
      </c>
      <c r="T13" s="116">
        <f t="shared" si="15"/>
        <v>997404.1</v>
      </c>
      <c r="U13" s="116">
        <f t="shared" si="16"/>
        <v>4310553.57</v>
      </c>
      <c r="V13" s="116">
        <f t="shared" si="17"/>
        <v>1798235.0628490001</v>
      </c>
      <c r="W13" s="413">
        <f t="shared" si="104"/>
        <v>1.7157671520273201</v>
      </c>
      <c r="X13" s="123">
        <f t="shared" si="69"/>
        <v>507609.53</v>
      </c>
      <c r="Y13" s="456">
        <v>1800000</v>
      </c>
      <c r="Z13" s="113">
        <f t="shared" si="19"/>
        <v>2197964.0099999998</v>
      </c>
      <c r="AA13" s="116">
        <f t="shared" si="20"/>
        <v>0</v>
      </c>
      <c r="AB13" s="117">
        <f t="shared" si="21"/>
        <v>2197964.0099999998</v>
      </c>
      <c r="AC13" s="114">
        <f t="shared" si="22"/>
        <v>397964.00999999978</v>
      </c>
      <c r="AD13" s="97">
        <f t="shared" si="105"/>
        <v>1.2210911166666665</v>
      </c>
      <c r="AE13" s="433">
        <f t="shared" si="24"/>
        <v>6112318.5071510002</v>
      </c>
      <c r="AF13" s="118">
        <f t="shared" si="25"/>
        <v>16166318.58</v>
      </c>
      <c r="AG13" s="116">
        <f t="shared" si="26"/>
        <v>4702681.58</v>
      </c>
      <c r="AH13" s="116">
        <f t="shared" si="27"/>
        <v>2033138.72</v>
      </c>
      <c r="AI13" s="116">
        <f t="shared" si="28"/>
        <v>6735820.2999999998</v>
      </c>
      <c r="AJ13" s="116">
        <f t="shared" si="29"/>
        <v>-9430498.2800000012</v>
      </c>
      <c r="AK13" s="418">
        <f t="shared" si="106"/>
        <v>0.41665764946220674</v>
      </c>
      <c r="AL13" s="434">
        <f t="shared" si="107"/>
        <v>3178725.19</v>
      </c>
      <c r="AM13" s="140">
        <f t="shared" si="32"/>
        <v>188494.68000000017</v>
      </c>
      <c r="AN13" s="326">
        <f t="shared" si="33"/>
        <v>1878778.92</v>
      </c>
      <c r="AO13" s="333">
        <f t="shared" si="34"/>
        <v>2067273.6</v>
      </c>
      <c r="AP13" s="125">
        <f t="shared" si="108"/>
        <v>575182.69999999995</v>
      </c>
      <c r="AQ13" s="140">
        <f t="shared" si="36"/>
        <v>384335.82000000007</v>
      </c>
      <c r="AR13" s="326">
        <f t="shared" si="37"/>
        <v>1263957.03</v>
      </c>
      <c r="AS13" s="333">
        <f t="shared" si="38"/>
        <v>1648292.85</v>
      </c>
      <c r="AT13" s="125">
        <f t="shared" si="109"/>
        <v>173142</v>
      </c>
      <c r="AU13" s="140">
        <f t="shared" si="40"/>
        <v>1060628.5699999998</v>
      </c>
      <c r="AV13" s="326">
        <f t="shared" si="41"/>
        <v>1116421.8500000001</v>
      </c>
      <c r="AW13" s="332">
        <f t="shared" si="42"/>
        <v>2177050.42</v>
      </c>
      <c r="AX13" s="122">
        <f t="shared" si="43"/>
        <v>1633459.07</v>
      </c>
      <c r="AY13" s="326">
        <f t="shared" ref="AY13:AZ13" si="122">AN13+AR13+AV13</f>
        <v>4259157.8000000007</v>
      </c>
      <c r="AZ13" s="333">
        <f t="shared" si="122"/>
        <v>5892616.8700000001</v>
      </c>
      <c r="BA13" s="140">
        <f t="shared" ref="BA13:BB13" si="123">AX13+AG13</f>
        <v>6336140.6500000004</v>
      </c>
      <c r="BB13" s="326">
        <f t="shared" si="123"/>
        <v>6292296.5200000005</v>
      </c>
      <c r="BC13" s="435">
        <f t="shared" si="46"/>
        <v>12628437.17</v>
      </c>
      <c r="BD13" s="434">
        <f t="shared" si="112"/>
        <v>697222.12</v>
      </c>
      <c r="BE13" s="140">
        <f t="shared" si="48"/>
        <v>92990.419999999925</v>
      </c>
      <c r="BF13" s="123">
        <f t="shared" si="49"/>
        <v>3399845.06</v>
      </c>
      <c r="BG13" s="148">
        <f t="shared" si="50"/>
        <v>3492835.48</v>
      </c>
      <c r="BH13" s="125">
        <f t="shared" si="113"/>
        <v>2757314.78</v>
      </c>
      <c r="BI13" s="140">
        <f t="shared" si="52"/>
        <v>1571954.43</v>
      </c>
      <c r="BJ13" s="123">
        <f t="shared" si="53"/>
        <v>297781.33</v>
      </c>
      <c r="BK13" s="125">
        <f t="shared" si="54"/>
        <v>1869735.76</v>
      </c>
      <c r="BL13" s="436">
        <f t="shared" si="114"/>
        <v>150470.28</v>
      </c>
      <c r="BM13" s="140">
        <f t="shared" si="56"/>
        <v>2891475.58</v>
      </c>
      <c r="BN13" s="326">
        <f t="shared" si="57"/>
        <v>1893587.16</v>
      </c>
      <c r="BO13" s="333">
        <f t="shared" si="58"/>
        <v>4785062.74</v>
      </c>
      <c r="BP13" s="140">
        <f t="shared" ref="BP13:BR13" si="124">SUM(BE13,BI13,BM13)</f>
        <v>4556420.43</v>
      </c>
      <c r="BQ13" s="141">
        <f t="shared" si="124"/>
        <v>5591213.5499999998</v>
      </c>
      <c r="BR13" s="437">
        <f t="shared" si="124"/>
        <v>10147633.98</v>
      </c>
      <c r="BS13" s="422">
        <f t="shared" si="116"/>
        <v>6092325.8600000003</v>
      </c>
      <c r="BT13" s="140">
        <f t="shared" si="61"/>
        <v>6423243</v>
      </c>
      <c r="BU13" s="123">
        <f t="shared" si="62"/>
        <v>1803587.17</v>
      </c>
      <c r="BV13" s="148">
        <f t="shared" si="63"/>
        <v>8226830.1699999999</v>
      </c>
      <c r="BW13" s="423">
        <f t="shared" si="117"/>
        <v>7257106.0099999998</v>
      </c>
      <c r="BX13" s="424">
        <f t="shared" si="118"/>
        <v>2816886.71</v>
      </c>
      <c r="CA13" s="231" t="s">
        <v>84</v>
      </c>
      <c r="CB13" s="231"/>
      <c r="CC13" s="231"/>
    </row>
    <row r="14" spans="1:114" ht="15.75" customHeight="1">
      <c r="A14" s="92">
        <f t="shared" si="0"/>
        <v>112013803</v>
      </c>
      <c r="B14" s="93">
        <f t="shared" si="1"/>
        <v>8</v>
      </c>
      <c r="C14" s="94">
        <f t="shared" si="119"/>
        <v>0.1</v>
      </c>
      <c r="D14" s="94">
        <f t="shared" si="120"/>
        <v>0.2</v>
      </c>
      <c r="E14" s="413">
        <f t="shared" si="121"/>
        <v>0.23</v>
      </c>
      <c r="F14" s="414">
        <f t="shared" si="5"/>
        <v>62</v>
      </c>
      <c r="G14" s="94">
        <f t="shared" si="6"/>
        <v>0.1</v>
      </c>
      <c r="H14" s="415">
        <f t="shared" si="7"/>
        <v>0.11</v>
      </c>
      <c r="I14" s="99" t="s">
        <v>268</v>
      </c>
      <c r="J14" s="100">
        <f t="shared" si="100"/>
        <v>2253947.5099999998</v>
      </c>
      <c r="K14" s="416">
        <f>(J14*1.601)*1.05</f>
        <v>3788998.4616854996</v>
      </c>
      <c r="L14" s="113">
        <f t="shared" si="9"/>
        <v>3168321.47</v>
      </c>
      <c r="M14" s="116">
        <f t="shared" si="10"/>
        <v>2213789.85</v>
      </c>
      <c r="N14" s="117">
        <f t="shared" si="11"/>
        <v>5382111.3200000003</v>
      </c>
      <c r="O14" s="114">
        <f t="shared" si="101"/>
        <v>1593112.8583145007</v>
      </c>
      <c r="P14" s="413">
        <f t="shared" si="102"/>
        <v>1.4204575099262036</v>
      </c>
      <c r="Q14" s="100">
        <f t="shared" si="103"/>
        <v>5929672.4199999999</v>
      </c>
      <c r="R14" s="113">
        <f t="shared" si="76"/>
        <v>10532491.6909387</v>
      </c>
      <c r="S14" s="116">
        <f t="shared" si="14"/>
        <v>1106397.8799999999</v>
      </c>
      <c r="T14" s="116">
        <f t="shared" si="15"/>
        <v>923672.62</v>
      </c>
      <c r="U14" s="116">
        <f t="shared" si="16"/>
        <v>2030070.5</v>
      </c>
      <c r="V14" s="116">
        <f t="shared" si="17"/>
        <v>-8502421.1909387</v>
      </c>
      <c r="W14" s="413">
        <f t="shared" si="104"/>
        <v>0.1927436127717535</v>
      </c>
      <c r="X14" s="114">
        <f t="shared" si="69"/>
        <v>1356091.35</v>
      </c>
      <c r="Y14" s="121">
        <f>(X14*1.5955)*1.03</f>
        <v>2228553.0613927501</v>
      </c>
      <c r="Z14" s="113">
        <f t="shared" si="19"/>
        <v>2519626.1800000002</v>
      </c>
      <c r="AA14" s="116">
        <f t="shared" si="20"/>
        <v>2434190.98</v>
      </c>
      <c r="AB14" s="117">
        <f t="shared" si="21"/>
        <v>4953817.16</v>
      </c>
      <c r="AC14" s="114">
        <f t="shared" si="22"/>
        <v>2725264.09860725</v>
      </c>
      <c r="AD14" s="97">
        <f t="shared" si="105"/>
        <v>2.222884994671869</v>
      </c>
      <c r="AE14" s="417">
        <f t="shared" si="24"/>
        <v>16550043.21401695</v>
      </c>
      <c r="AF14" s="118">
        <f t="shared" si="25"/>
        <v>8189635.6699999999</v>
      </c>
      <c r="AG14" s="116">
        <f t="shared" si="26"/>
        <v>5870672.9100000001</v>
      </c>
      <c r="AH14" s="116">
        <f t="shared" si="27"/>
        <v>6495326.0700000003</v>
      </c>
      <c r="AI14" s="116">
        <f t="shared" si="28"/>
        <v>12365998.98</v>
      </c>
      <c r="AJ14" s="116">
        <f t="shared" si="29"/>
        <v>4176363.3100000005</v>
      </c>
      <c r="AK14" s="418">
        <f t="shared" si="106"/>
        <v>1.5099571553956563</v>
      </c>
      <c r="AL14" s="434">
        <f t="shared" si="107"/>
        <v>2326610.6</v>
      </c>
      <c r="AM14" s="140">
        <f t="shared" si="32"/>
        <v>393669.01</v>
      </c>
      <c r="AN14" s="326">
        <f t="shared" si="33"/>
        <v>1236301.27</v>
      </c>
      <c r="AO14" s="333">
        <f t="shared" si="34"/>
        <v>1629970.28</v>
      </c>
      <c r="AP14" s="125">
        <f t="shared" si="108"/>
        <v>1938448.39</v>
      </c>
      <c r="AQ14" s="140">
        <f t="shared" si="36"/>
        <v>0</v>
      </c>
      <c r="AR14" s="326">
        <f t="shared" si="37"/>
        <v>938170.21</v>
      </c>
      <c r="AS14" s="333">
        <f t="shared" si="38"/>
        <v>938170.21</v>
      </c>
      <c r="AT14" s="125">
        <f t="shared" si="109"/>
        <v>2237414.2999999998</v>
      </c>
      <c r="AU14" s="140">
        <f t="shared" si="40"/>
        <v>1862221.98</v>
      </c>
      <c r="AV14" s="326">
        <f t="shared" si="41"/>
        <v>2039630.52</v>
      </c>
      <c r="AW14" s="332">
        <f t="shared" si="42"/>
        <v>3901852.5</v>
      </c>
      <c r="AX14" s="122">
        <f t="shared" si="43"/>
        <v>2255890.9900000002</v>
      </c>
      <c r="AY14" s="326">
        <f t="shared" ref="AY14:AZ14" si="125">AN14+AR14+AV14</f>
        <v>4214102</v>
      </c>
      <c r="AZ14" s="333">
        <f t="shared" si="125"/>
        <v>6469992.9900000002</v>
      </c>
      <c r="BA14" s="140">
        <f t="shared" ref="BA14:BB14" si="126">AX14+AG14</f>
        <v>8126563.9000000004</v>
      </c>
      <c r="BB14" s="326">
        <f t="shared" si="126"/>
        <v>10709428.07</v>
      </c>
      <c r="BC14" s="435">
        <f t="shared" si="46"/>
        <v>18835991.969999999</v>
      </c>
      <c r="BD14" s="434">
        <f t="shared" si="112"/>
        <v>1573086.17</v>
      </c>
      <c r="BE14" s="140">
        <f t="shared" si="48"/>
        <v>0</v>
      </c>
      <c r="BF14" s="123">
        <f t="shared" si="49"/>
        <v>0</v>
      </c>
      <c r="BG14" s="148">
        <f t="shared" si="50"/>
        <v>0</v>
      </c>
      <c r="BH14" s="125">
        <f t="shared" si="113"/>
        <v>1215524.47</v>
      </c>
      <c r="BI14" s="140">
        <f t="shared" si="52"/>
        <v>0</v>
      </c>
      <c r="BJ14" s="123">
        <f t="shared" si="53"/>
        <v>286004.59000000003</v>
      </c>
      <c r="BK14" s="125">
        <f t="shared" si="54"/>
        <v>286004.59000000003</v>
      </c>
      <c r="BL14" s="436">
        <f t="shared" si="114"/>
        <v>4174211.85</v>
      </c>
      <c r="BM14" s="140">
        <f t="shared" si="56"/>
        <v>0</v>
      </c>
      <c r="BN14" s="326">
        <f t="shared" si="57"/>
        <v>0</v>
      </c>
      <c r="BO14" s="333">
        <f t="shared" si="58"/>
        <v>0</v>
      </c>
      <c r="BP14" s="140">
        <f t="shared" ref="BP14:BR14" si="127">SUM(BE14,BI14,BM14)</f>
        <v>0</v>
      </c>
      <c r="BQ14" s="141">
        <f t="shared" si="127"/>
        <v>286004.59000000003</v>
      </c>
      <c r="BR14" s="437">
        <f t="shared" si="127"/>
        <v>286004.59000000003</v>
      </c>
      <c r="BS14" s="422">
        <f t="shared" si="116"/>
        <v>2524802.73</v>
      </c>
      <c r="BT14" s="140">
        <f t="shared" si="61"/>
        <v>0</v>
      </c>
      <c r="BU14" s="123">
        <f t="shared" si="62"/>
        <v>0</v>
      </c>
      <c r="BV14" s="148">
        <f t="shared" si="63"/>
        <v>0</v>
      </c>
      <c r="BW14" s="423">
        <f t="shared" si="117"/>
        <v>2670879.16</v>
      </c>
      <c r="BX14" s="424">
        <f t="shared" si="118"/>
        <v>2993953.78</v>
      </c>
      <c r="CA14" s="231" t="s">
        <v>86</v>
      </c>
      <c r="CB14" s="232"/>
      <c r="CC14" s="232"/>
    </row>
    <row r="15" spans="1:114" ht="15.75" customHeight="1">
      <c r="A15" s="92">
        <f t="shared" si="0"/>
        <v>112014606</v>
      </c>
      <c r="B15" s="93">
        <f t="shared" si="1"/>
        <v>22</v>
      </c>
      <c r="C15" s="94">
        <f t="shared" si="119"/>
        <v>0.1</v>
      </c>
      <c r="D15" s="94">
        <f t="shared" si="120"/>
        <v>0.09</v>
      </c>
      <c r="E15" s="413">
        <f t="shared" si="121"/>
        <v>0</v>
      </c>
      <c r="F15" s="414">
        <f t="shared" si="5"/>
        <v>63</v>
      </c>
      <c r="G15" s="94">
        <f t="shared" si="6"/>
        <v>0.1</v>
      </c>
      <c r="H15" s="415">
        <f t="shared" si="7"/>
        <v>0.05</v>
      </c>
      <c r="I15" s="99" t="s">
        <v>269</v>
      </c>
      <c r="J15" s="125">
        <f t="shared" si="100"/>
        <v>0</v>
      </c>
      <c r="K15" s="237">
        <v>1800000</v>
      </c>
      <c r="L15" s="113">
        <f t="shared" si="9"/>
        <v>699271.56</v>
      </c>
      <c r="M15" s="116">
        <f t="shared" si="10"/>
        <v>0</v>
      </c>
      <c r="N15" s="117">
        <f t="shared" si="11"/>
        <v>699271.56</v>
      </c>
      <c r="O15" s="114">
        <f t="shared" si="101"/>
        <v>-1100728.44</v>
      </c>
      <c r="P15" s="413">
        <f t="shared" si="102"/>
        <v>0.38848420000000006</v>
      </c>
      <c r="Q15" s="125">
        <f t="shared" si="103"/>
        <v>0</v>
      </c>
      <c r="R15" s="236">
        <v>1800000</v>
      </c>
      <c r="S15" s="116">
        <f t="shared" si="14"/>
        <v>470862.63</v>
      </c>
      <c r="T15" s="116">
        <f t="shared" si="15"/>
        <v>0</v>
      </c>
      <c r="U15" s="116">
        <f t="shared" si="16"/>
        <v>470862.63</v>
      </c>
      <c r="V15" s="116">
        <f t="shared" si="17"/>
        <v>-1329137.3700000001</v>
      </c>
      <c r="W15" s="413">
        <f t="shared" si="104"/>
        <v>0.26159035000000003</v>
      </c>
      <c r="X15" s="123">
        <f t="shared" si="69"/>
        <v>0</v>
      </c>
      <c r="Y15" s="457">
        <v>1800000</v>
      </c>
      <c r="Z15" s="113">
        <f t="shared" si="19"/>
        <v>327724.51</v>
      </c>
      <c r="AA15" s="116">
        <f t="shared" si="20"/>
        <v>0</v>
      </c>
      <c r="AB15" s="117">
        <f t="shared" si="21"/>
        <v>327724.51</v>
      </c>
      <c r="AC15" s="114">
        <f t="shared" si="22"/>
        <v>-1472275.49</v>
      </c>
      <c r="AD15" s="97">
        <f t="shared" si="105"/>
        <v>0.18206917222222221</v>
      </c>
      <c r="AE15" s="433">
        <f t="shared" si="24"/>
        <v>5400000</v>
      </c>
      <c r="AF15" s="118">
        <f t="shared" si="25"/>
        <v>1295040.49</v>
      </c>
      <c r="AG15" s="116">
        <f t="shared" si="26"/>
        <v>1497858.7000000002</v>
      </c>
      <c r="AH15" s="116">
        <f t="shared" si="27"/>
        <v>0</v>
      </c>
      <c r="AI15" s="116">
        <f t="shared" si="28"/>
        <v>1497858.7000000002</v>
      </c>
      <c r="AJ15" s="116">
        <f t="shared" si="29"/>
        <v>202818.2100000002</v>
      </c>
      <c r="AK15" s="418">
        <f t="shared" si="106"/>
        <v>1.156611481699696</v>
      </c>
      <c r="AL15" s="434">
        <f t="shared" si="107"/>
        <v>0</v>
      </c>
      <c r="AM15" s="140">
        <f t="shared" si="32"/>
        <v>921051.42</v>
      </c>
      <c r="AN15" s="326">
        <f t="shared" si="33"/>
        <v>62115.199999999997</v>
      </c>
      <c r="AO15" s="333">
        <f t="shared" si="34"/>
        <v>983166.62</v>
      </c>
      <c r="AP15" s="125">
        <f t="shared" si="108"/>
        <v>0</v>
      </c>
      <c r="AQ15" s="140">
        <f t="shared" si="36"/>
        <v>189142.81999999998</v>
      </c>
      <c r="AR15" s="326">
        <f t="shared" si="37"/>
        <v>112254.03</v>
      </c>
      <c r="AS15" s="333">
        <f t="shared" si="38"/>
        <v>301396.84999999998</v>
      </c>
      <c r="AT15" s="125">
        <f t="shared" si="109"/>
        <v>0</v>
      </c>
      <c r="AU15" s="140">
        <f t="shared" si="40"/>
        <v>367010.01</v>
      </c>
      <c r="AV15" s="326">
        <f t="shared" si="41"/>
        <v>0</v>
      </c>
      <c r="AW15" s="332">
        <f t="shared" si="42"/>
        <v>367010.01</v>
      </c>
      <c r="AX15" s="122">
        <f t="shared" si="43"/>
        <v>1477204.25</v>
      </c>
      <c r="AY15" s="326">
        <f t="shared" ref="AY15:AZ15" si="128">AN15+AR15+AV15</f>
        <v>174369.22999999998</v>
      </c>
      <c r="AZ15" s="333">
        <f t="shared" si="128"/>
        <v>1651573.48</v>
      </c>
      <c r="BA15" s="140">
        <f t="shared" ref="BA15:BB15" si="129">AX15+AG15</f>
        <v>2975062.95</v>
      </c>
      <c r="BB15" s="326">
        <f t="shared" si="129"/>
        <v>174369.22999999998</v>
      </c>
      <c r="BC15" s="435">
        <f t="shared" si="46"/>
        <v>3149432.18</v>
      </c>
      <c r="BD15" s="434">
        <f t="shared" si="112"/>
        <v>0</v>
      </c>
      <c r="BE15" s="140">
        <f t="shared" si="48"/>
        <v>304381.38</v>
      </c>
      <c r="BF15" s="123">
        <f t="shared" si="49"/>
        <v>0</v>
      </c>
      <c r="BG15" s="148">
        <f t="shared" si="50"/>
        <v>304381.38</v>
      </c>
      <c r="BH15" s="125">
        <f t="shared" si="113"/>
        <v>0</v>
      </c>
      <c r="BI15" s="140">
        <f t="shared" si="52"/>
        <v>1008448.17</v>
      </c>
      <c r="BJ15" s="123">
        <f t="shared" si="53"/>
        <v>0</v>
      </c>
      <c r="BK15" s="125">
        <f t="shared" si="54"/>
        <v>1008448.17</v>
      </c>
      <c r="BL15" s="436">
        <f t="shared" si="114"/>
        <v>0</v>
      </c>
      <c r="BM15" s="140">
        <f t="shared" si="56"/>
        <v>569964.57999999996</v>
      </c>
      <c r="BN15" s="326">
        <f t="shared" si="57"/>
        <v>0</v>
      </c>
      <c r="BO15" s="333">
        <f t="shared" si="58"/>
        <v>569964.57999999996</v>
      </c>
      <c r="BP15" s="140">
        <f t="shared" ref="BP15:BR15" si="130">SUM(BE15,BI15,BM15)</f>
        <v>1882794.13</v>
      </c>
      <c r="BQ15" s="141">
        <f t="shared" si="130"/>
        <v>0</v>
      </c>
      <c r="BR15" s="437">
        <f t="shared" si="130"/>
        <v>1882794.13</v>
      </c>
      <c r="BS15" s="422">
        <f t="shared" si="116"/>
        <v>0</v>
      </c>
      <c r="BT15" s="140">
        <f t="shared" si="61"/>
        <v>1859419.42</v>
      </c>
      <c r="BU15" s="123">
        <f t="shared" si="62"/>
        <v>0</v>
      </c>
      <c r="BV15" s="148">
        <f t="shared" si="63"/>
        <v>1859419.42</v>
      </c>
      <c r="BW15" s="423">
        <f t="shared" si="117"/>
        <v>404074.97</v>
      </c>
      <c r="BX15" s="424">
        <f t="shared" si="118"/>
        <v>890965.52</v>
      </c>
      <c r="CA15" s="231" t="s">
        <v>88</v>
      </c>
      <c r="CB15" s="231"/>
      <c r="CC15" s="231"/>
    </row>
    <row r="16" spans="1:114" ht="15.75" customHeight="1">
      <c r="A16" s="92">
        <f t="shared" si="0"/>
        <v>112014184</v>
      </c>
      <c r="B16" s="93">
        <f t="shared" si="1"/>
        <v>22</v>
      </c>
      <c r="C16" s="137">
        <f t="shared" si="119"/>
        <v>0.1</v>
      </c>
      <c r="D16" s="137">
        <f t="shared" si="120"/>
        <v>0.09</v>
      </c>
      <c r="E16" s="98">
        <f t="shared" si="121"/>
        <v>0</v>
      </c>
      <c r="F16" s="414">
        <f t="shared" si="5"/>
        <v>63</v>
      </c>
      <c r="G16" s="94">
        <f t="shared" si="6"/>
        <v>0.1</v>
      </c>
      <c r="H16" s="415">
        <f t="shared" si="7"/>
        <v>0.05</v>
      </c>
      <c r="I16" s="139" t="s">
        <v>270</v>
      </c>
      <c r="J16" s="125">
        <f t="shared" si="100"/>
        <v>489855.39</v>
      </c>
      <c r="K16" s="244">
        <v>1800000</v>
      </c>
      <c r="L16" s="113">
        <f t="shared" si="9"/>
        <v>1542628.89</v>
      </c>
      <c r="M16" s="116">
        <f t="shared" si="10"/>
        <v>0</v>
      </c>
      <c r="N16" s="117">
        <f t="shared" si="11"/>
        <v>1542628.89</v>
      </c>
      <c r="O16" s="114">
        <f t="shared" si="101"/>
        <v>-257371.1100000001</v>
      </c>
      <c r="P16" s="413">
        <f t="shared" si="102"/>
        <v>0.85701604999999992</v>
      </c>
      <c r="Q16" s="125">
        <f t="shared" si="103"/>
        <v>365964.36</v>
      </c>
      <c r="R16" s="458">
        <v>1800000</v>
      </c>
      <c r="S16" s="116">
        <f t="shared" si="14"/>
        <v>1030461.14</v>
      </c>
      <c r="T16" s="116">
        <f t="shared" si="15"/>
        <v>0</v>
      </c>
      <c r="U16" s="116">
        <f t="shared" si="16"/>
        <v>1030461.14</v>
      </c>
      <c r="V16" s="116">
        <f t="shared" si="17"/>
        <v>-769538.86</v>
      </c>
      <c r="W16" s="413">
        <f t="shared" si="104"/>
        <v>0.57247841111111109</v>
      </c>
      <c r="X16" s="123">
        <f t="shared" si="69"/>
        <v>442840.25</v>
      </c>
      <c r="Y16" s="457">
        <v>1800000</v>
      </c>
      <c r="Z16" s="113">
        <f t="shared" si="19"/>
        <v>774113.98</v>
      </c>
      <c r="AA16" s="116">
        <f t="shared" si="20"/>
        <v>0</v>
      </c>
      <c r="AB16" s="117">
        <f t="shared" si="21"/>
        <v>774113.98</v>
      </c>
      <c r="AC16" s="114">
        <f t="shared" si="22"/>
        <v>-1025886.02</v>
      </c>
      <c r="AD16" s="97">
        <f t="shared" si="105"/>
        <v>0.43006332222222221</v>
      </c>
      <c r="AE16" s="433">
        <f t="shared" si="24"/>
        <v>5400000</v>
      </c>
      <c r="AF16" s="118">
        <f t="shared" si="25"/>
        <v>3779036.72</v>
      </c>
      <c r="AG16" s="116">
        <f t="shared" si="26"/>
        <v>3347204.01</v>
      </c>
      <c r="AH16" s="116">
        <f t="shared" si="27"/>
        <v>0</v>
      </c>
      <c r="AI16" s="116">
        <f t="shared" si="28"/>
        <v>3347204.01</v>
      </c>
      <c r="AJ16" s="116">
        <f t="shared" si="29"/>
        <v>-431832.71000000043</v>
      </c>
      <c r="AK16" s="418">
        <f t="shared" si="106"/>
        <v>0.88572942207346417</v>
      </c>
      <c r="AL16" s="434">
        <f t="shared" si="107"/>
        <v>165464.19</v>
      </c>
      <c r="AM16" s="140">
        <f t="shared" si="32"/>
        <v>100522.59</v>
      </c>
      <c r="AN16" s="326">
        <f t="shared" si="33"/>
        <v>0</v>
      </c>
      <c r="AO16" s="333">
        <f t="shared" si="34"/>
        <v>100522.59</v>
      </c>
      <c r="AP16" s="125">
        <f t="shared" si="108"/>
        <v>619613.38</v>
      </c>
      <c r="AQ16" s="140">
        <f t="shared" si="36"/>
        <v>568073.93000000005</v>
      </c>
      <c r="AR16" s="326">
        <f t="shared" si="37"/>
        <v>7127.24</v>
      </c>
      <c r="AS16" s="333">
        <f t="shared" si="38"/>
        <v>575201.17000000004</v>
      </c>
      <c r="AT16" s="125">
        <f t="shared" si="109"/>
        <v>493241.35</v>
      </c>
      <c r="AU16" s="140">
        <f t="shared" si="40"/>
        <v>493146.86</v>
      </c>
      <c r="AV16" s="326">
        <f t="shared" si="41"/>
        <v>0</v>
      </c>
      <c r="AW16" s="332">
        <f t="shared" si="42"/>
        <v>493146.86</v>
      </c>
      <c r="AX16" s="122">
        <f t="shared" si="43"/>
        <v>1161743.3800000001</v>
      </c>
      <c r="AY16" s="326">
        <f t="shared" ref="AY16:AZ16" si="131">AN16+AR16+AV16</f>
        <v>7127.24</v>
      </c>
      <c r="AZ16" s="333">
        <f t="shared" si="131"/>
        <v>1168870.6200000001</v>
      </c>
      <c r="BA16" s="140">
        <f t="shared" ref="BA16:BB16" si="132">AX16+AG16</f>
        <v>4508947.3899999997</v>
      </c>
      <c r="BB16" s="326">
        <f t="shared" si="132"/>
        <v>7127.24</v>
      </c>
      <c r="BC16" s="435">
        <f t="shared" si="46"/>
        <v>4516074.63</v>
      </c>
      <c r="BD16" s="434">
        <f t="shared" si="112"/>
        <v>1241768.74</v>
      </c>
      <c r="BE16" s="140">
        <f t="shared" si="48"/>
        <v>1307954.54</v>
      </c>
      <c r="BF16" s="123">
        <f t="shared" si="49"/>
        <v>0</v>
      </c>
      <c r="BG16" s="148">
        <f t="shared" si="50"/>
        <v>1307954.54</v>
      </c>
      <c r="BH16" s="125">
        <f t="shared" si="113"/>
        <v>359025.52</v>
      </c>
      <c r="BI16" s="140">
        <f t="shared" si="52"/>
        <v>0</v>
      </c>
      <c r="BJ16" s="123">
        <f t="shared" si="53"/>
        <v>0</v>
      </c>
      <c r="BK16" s="125">
        <f t="shared" si="54"/>
        <v>0</v>
      </c>
      <c r="BL16" s="436">
        <f t="shared" si="114"/>
        <v>755988.03</v>
      </c>
      <c r="BM16" s="140">
        <f t="shared" si="56"/>
        <v>809035.72</v>
      </c>
      <c r="BN16" s="326">
        <f t="shared" si="57"/>
        <v>0</v>
      </c>
      <c r="BO16" s="333">
        <f t="shared" si="58"/>
        <v>809035.72</v>
      </c>
      <c r="BP16" s="140">
        <f t="shared" ref="BP16:BR16" si="133">SUM(BE16,BI16,BM16)</f>
        <v>2116990.2599999998</v>
      </c>
      <c r="BQ16" s="141">
        <f t="shared" si="133"/>
        <v>0</v>
      </c>
      <c r="BR16" s="437">
        <f t="shared" si="133"/>
        <v>2116990.2599999998</v>
      </c>
      <c r="BS16" s="422">
        <f t="shared" si="116"/>
        <v>1675427.8</v>
      </c>
      <c r="BT16" s="140">
        <f t="shared" si="61"/>
        <v>0</v>
      </c>
      <c r="BU16" s="123">
        <f t="shared" si="62"/>
        <v>0</v>
      </c>
      <c r="BV16" s="148">
        <f t="shared" si="63"/>
        <v>0</v>
      </c>
      <c r="BW16" s="423">
        <f t="shared" si="117"/>
        <v>1053848.1499999999</v>
      </c>
      <c r="BX16" s="424">
        <f t="shared" si="118"/>
        <v>1049760.77</v>
      </c>
      <c r="CA16" s="231" t="s">
        <v>90</v>
      </c>
      <c r="CB16" s="231"/>
      <c r="CC16" s="231"/>
    </row>
    <row r="17" spans="1:81" ht="15.75" customHeight="1">
      <c r="A17" s="92">
        <f t="shared" si="0"/>
        <v>112012906</v>
      </c>
      <c r="B17" s="93">
        <f t="shared" si="1"/>
        <v>22</v>
      </c>
      <c r="C17" s="137">
        <f t="shared" si="119"/>
        <v>0.1</v>
      </c>
      <c r="D17" s="137">
        <f t="shared" si="120"/>
        <v>0.09</v>
      </c>
      <c r="E17" s="98">
        <f t="shared" si="121"/>
        <v>0</v>
      </c>
      <c r="F17" s="414">
        <f t="shared" si="5"/>
        <v>63</v>
      </c>
      <c r="G17" s="94">
        <f t="shared" si="6"/>
        <v>0.1</v>
      </c>
      <c r="H17" s="415">
        <f t="shared" si="7"/>
        <v>0.05</v>
      </c>
      <c r="I17" s="139" t="s">
        <v>271</v>
      </c>
      <c r="J17" s="125">
        <f t="shared" si="100"/>
        <v>1285107.33</v>
      </c>
      <c r="K17" s="141">
        <f>(J17*1.601)*1.05</f>
        <v>2160329.6770965001</v>
      </c>
      <c r="L17" s="113" t="e">
        <f t="shared" si="9"/>
        <v>#VALUE!</v>
      </c>
      <c r="M17" s="116" t="str">
        <f t="shared" si="10"/>
        <v/>
      </c>
      <c r="N17" s="117">
        <f t="shared" si="11"/>
        <v>1579829.05</v>
      </c>
      <c r="O17" s="114">
        <f t="shared" si="101"/>
        <v>-580500.62709650001</v>
      </c>
      <c r="P17" s="413">
        <f t="shared" si="102"/>
        <v>0.73129072231387504</v>
      </c>
      <c r="Q17" s="125">
        <f t="shared" si="103"/>
        <v>255524.23</v>
      </c>
      <c r="R17" s="236">
        <v>1800000</v>
      </c>
      <c r="S17" s="116" t="e">
        <f t="shared" si="14"/>
        <v>#VALUE!</v>
      </c>
      <c r="T17" s="116" t="str">
        <f t="shared" si="15"/>
        <v/>
      </c>
      <c r="U17" s="116">
        <f t="shared" si="16"/>
        <v>1164914.45</v>
      </c>
      <c r="V17" s="116">
        <f t="shared" si="17"/>
        <v>-635085.55000000005</v>
      </c>
      <c r="W17" s="413">
        <f t="shared" si="104"/>
        <v>0.64717469444444442</v>
      </c>
      <c r="X17" s="123">
        <f t="shared" si="69"/>
        <v>746419</v>
      </c>
      <c r="Y17" s="456">
        <v>1800000</v>
      </c>
      <c r="Z17" s="113" t="e">
        <f t="shared" si="19"/>
        <v>#VALUE!</v>
      </c>
      <c r="AA17" s="116" t="str">
        <f t="shared" si="20"/>
        <v/>
      </c>
      <c r="AB17" s="117">
        <f t="shared" si="21"/>
        <v>770961.5</v>
      </c>
      <c r="AC17" s="114">
        <f t="shared" si="22"/>
        <v>-1029038.5</v>
      </c>
      <c r="AD17" s="97">
        <f t="shared" si="105"/>
        <v>0.42831194444444443</v>
      </c>
      <c r="AE17" s="433">
        <f t="shared" si="24"/>
        <v>5760329.6770965001</v>
      </c>
      <c r="AF17" s="118">
        <f t="shared" si="25"/>
        <v>3628630.61</v>
      </c>
      <c r="AG17" s="116">
        <f t="shared" si="26"/>
        <v>3515705</v>
      </c>
      <c r="AH17" s="116">
        <f t="shared" si="27"/>
        <v>0</v>
      </c>
      <c r="AI17" s="116">
        <f t="shared" si="28"/>
        <v>3515705</v>
      </c>
      <c r="AJ17" s="116">
        <f t="shared" si="29"/>
        <v>-112925.60999999987</v>
      </c>
      <c r="AK17" s="418">
        <f t="shared" si="106"/>
        <v>0.96887927647173766</v>
      </c>
      <c r="AL17" s="434">
        <f t="shared" si="107"/>
        <v>904632.6</v>
      </c>
      <c r="AM17" s="140" t="e">
        <f t="shared" si="32"/>
        <v>#VALUE!</v>
      </c>
      <c r="AN17" s="326" t="str">
        <f t="shared" si="33"/>
        <v/>
      </c>
      <c r="AO17" s="333">
        <f t="shared" si="34"/>
        <v>1045527.16</v>
      </c>
      <c r="AP17" s="125">
        <f t="shared" si="108"/>
        <v>565997.30000000005</v>
      </c>
      <c r="AQ17" s="140" t="e">
        <f t="shared" si="36"/>
        <v>#VALUE!</v>
      </c>
      <c r="AR17" s="326" t="str">
        <f t="shared" si="37"/>
        <v/>
      </c>
      <c r="AS17" s="333">
        <f t="shared" si="38"/>
        <v>660141.48</v>
      </c>
      <c r="AT17" s="125">
        <f t="shared" si="109"/>
        <v>344685.72</v>
      </c>
      <c r="AU17" s="140" t="e">
        <f t="shared" si="40"/>
        <v>#VALUE!</v>
      </c>
      <c r="AV17" s="326" t="str">
        <f t="shared" si="41"/>
        <v/>
      </c>
      <c r="AW17" s="332">
        <f t="shared" si="42"/>
        <v>852191</v>
      </c>
      <c r="AX17" s="122" t="e">
        <f t="shared" si="43"/>
        <v>#VALUE!</v>
      </c>
      <c r="AY17" s="326" t="e">
        <f t="shared" ref="AY17:AZ17" si="134">AN17+AR17+AV17</f>
        <v>#VALUE!</v>
      </c>
      <c r="AZ17" s="333">
        <f t="shared" si="134"/>
        <v>2557859.64</v>
      </c>
      <c r="BA17" s="140" t="e">
        <f t="shared" ref="BA17:BB17" si="135">AX17+AG17</f>
        <v>#VALUE!</v>
      </c>
      <c r="BB17" s="326" t="e">
        <f t="shared" si="135"/>
        <v>#VALUE!</v>
      </c>
      <c r="BC17" s="435">
        <f t="shared" si="46"/>
        <v>6073564.6400000006</v>
      </c>
      <c r="BD17" s="434">
        <f t="shared" si="112"/>
        <v>542159.03</v>
      </c>
      <c r="BE17" s="140" t="e">
        <f t="shared" si="48"/>
        <v>#VALUE!</v>
      </c>
      <c r="BF17" s="123" t="str">
        <f t="shared" si="49"/>
        <v/>
      </c>
      <c r="BG17" s="148">
        <f t="shared" si="50"/>
        <v>553151.4</v>
      </c>
      <c r="BH17" s="125">
        <f t="shared" si="113"/>
        <v>1141408.32</v>
      </c>
      <c r="BI17" s="140" t="e">
        <f t="shared" si="52"/>
        <v>#VALUE!</v>
      </c>
      <c r="BJ17" s="123" t="str">
        <f t="shared" si="53"/>
        <v/>
      </c>
      <c r="BK17" s="125">
        <f t="shared" si="54"/>
        <v>1109871.3999999999</v>
      </c>
      <c r="BL17" s="436">
        <f t="shared" si="114"/>
        <v>648979.41</v>
      </c>
      <c r="BM17" s="140" t="e">
        <f t="shared" si="56"/>
        <v>#VALUE!</v>
      </c>
      <c r="BN17" s="326" t="str">
        <f t="shared" si="57"/>
        <v/>
      </c>
      <c r="BO17" s="333">
        <f t="shared" si="58"/>
        <v>1148966.3899999999</v>
      </c>
      <c r="BP17" s="140" t="e">
        <f t="shared" ref="BP17:BR17" si="136">SUM(BE17,BI17,BM17)</f>
        <v>#VALUE!</v>
      </c>
      <c r="BQ17" s="141">
        <f t="shared" si="136"/>
        <v>0</v>
      </c>
      <c r="BR17" s="437">
        <f t="shared" si="136"/>
        <v>2811989.1899999995</v>
      </c>
      <c r="BS17" s="422">
        <f t="shared" si="116"/>
        <v>1168567.25</v>
      </c>
      <c r="BT17" s="140" t="e">
        <f t="shared" si="61"/>
        <v>#VALUE!</v>
      </c>
      <c r="BU17" s="123" t="str">
        <f t="shared" si="62"/>
        <v/>
      </c>
      <c r="BV17" s="148">
        <f t="shared" si="63"/>
        <v>759733.25</v>
      </c>
      <c r="BW17" s="423">
        <f t="shared" si="117"/>
        <v>1202408.4099999999</v>
      </c>
      <c r="BX17" s="424">
        <f t="shared" si="118"/>
        <v>1257654.95</v>
      </c>
      <c r="CA17" s="231" t="s">
        <v>92</v>
      </c>
      <c r="CB17" s="232"/>
      <c r="CC17" s="232"/>
    </row>
    <row r="18" spans="1:81" ht="15.75" customHeight="1">
      <c r="A18" s="92">
        <f t="shared" si="0"/>
        <v>112013274</v>
      </c>
      <c r="B18" s="93">
        <f t="shared" si="1"/>
        <v>22</v>
      </c>
      <c r="C18" s="137">
        <f t="shared" si="119"/>
        <v>0.1</v>
      </c>
      <c r="D18" s="137">
        <f t="shared" si="120"/>
        <v>0.09</v>
      </c>
      <c r="E18" s="98">
        <f t="shared" si="121"/>
        <v>0</v>
      </c>
      <c r="F18" s="414">
        <f t="shared" si="5"/>
        <v>63</v>
      </c>
      <c r="G18" s="94">
        <f t="shared" si="6"/>
        <v>0.1</v>
      </c>
      <c r="H18" s="415">
        <f t="shared" si="7"/>
        <v>0.05</v>
      </c>
      <c r="I18" s="139" t="s">
        <v>272</v>
      </c>
      <c r="J18" s="125" t="str">
        <f t="shared" si="100"/>
        <v/>
      </c>
      <c r="K18" s="244">
        <v>1800000</v>
      </c>
      <c r="L18" s="113" t="e">
        <f t="shared" si="9"/>
        <v>#VALUE!</v>
      </c>
      <c r="M18" s="116" t="str">
        <f t="shared" si="10"/>
        <v/>
      </c>
      <c r="N18" s="117" t="str">
        <f t="shared" si="11"/>
        <v/>
      </c>
      <c r="O18" s="114" t="e">
        <f t="shared" si="101"/>
        <v>#VALUE!</v>
      </c>
      <c r="P18" s="413" t="e">
        <f t="shared" si="102"/>
        <v>#VALUE!</v>
      </c>
      <c r="Q18" s="125" t="str">
        <f t="shared" si="103"/>
        <v/>
      </c>
      <c r="R18" s="458">
        <v>1800000</v>
      </c>
      <c r="S18" s="116" t="e">
        <f t="shared" si="14"/>
        <v>#VALUE!</v>
      </c>
      <c r="T18" s="116" t="str">
        <f t="shared" si="15"/>
        <v/>
      </c>
      <c r="U18" s="116" t="str">
        <f t="shared" si="16"/>
        <v/>
      </c>
      <c r="V18" s="116" t="e">
        <f t="shared" si="17"/>
        <v>#VALUE!</v>
      </c>
      <c r="W18" s="413" t="e">
        <f t="shared" si="104"/>
        <v>#VALUE!</v>
      </c>
      <c r="X18" s="123" t="str">
        <f t="shared" si="69"/>
        <v/>
      </c>
      <c r="Y18" s="457">
        <v>1800000</v>
      </c>
      <c r="Z18" s="113" t="e">
        <f t="shared" si="19"/>
        <v>#VALUE!</v>
      </c>
      <c r="AA18" s="116" t="str">
        <f t="shared" si="20"/>
        <v/>
      </c>
      <c r="AB18" s="117" t="str">
        <f t="shared" si="21"/>
        <v/>
      </c>
      <c r="AC18" s="114" t="e">
        <f t="shared" si="22"/>
        <v>#VALUE!</v>
      </c>
      <c r="AD18" s="97" t="e">
        <f t="shared" si="105"/>
        <v>#VALUE!</v>
      </c>
      <c r="AE18" s="433">
        <f t="shared" si="24"/>
        <v>5400000</v>
      </c>
      <c r="AF18" s="118" t="str">
        <f t="shared" si="25"/>
        <v>0</v>
      </c>
      <c r="AG18" s="116">
        <f t="shared" si="26"/>
        <v>0</v>
      </c>
      <c r="AH18" s="116">
        <f t="shared" si="27"/>
        <v>0</v>
      </c>
      <c r="AI18" s="116">
        <f t="shared" si="28"/>
        <v>0</v>
      </c>
      <c r="AJ18" s="116">
        <f t="shared" si="29"/>
        <v>0</v>
      </c>
      <c r="AK18" s="418" t="str">
        <f t="shared" ref="AK18:AK27" si="137">IFERROR(AI18/AF18,"")</f>
        <v/>
      </c>
      <c r="AL18" s="434" t="str">
        <f t="shared" si="107"/>
        <v/>
      </c>
      <c r="AM18" s="140" t="e">
        <f t="shared" si="32"/>
        <v>#VALUE!</v>
      </c>
      <c r="AN18" s="326" t="str">
        <f t="shared" si="33"/>
        <v/>
      </c>
      <c r="AO18" s="333" t="str">
        <f t="shared" si="34"/>
        <v/>
      </c>
      <c r="AP18" s="125" t="str">
        <f t="shared" si="108"/>
        <v/>
      </c>
      <c r="AQ18" s="140" t="e">
        <f t="shared" si="36"/>
        <v>#VALUE!</v>
      </c>
      <c r="AR18" s="326" t="str">
        <f t="shared" si="37"/>
        <v/>
      </c>
      <c r="AS18" s="333" t="str">
        <f t="shared" si="38"/>
        <v/>
      </c>
      <c r="AT18" s="125" t="str">
        <f t="shared" si="109"/>
        <v/>
      </c>
      <c r="AU18" s="140" t="e">
        <f t="shared" si="40"/>
        <v>#VALUE!</v>
      </c>
      <c r="AV18" s="326" t="str">
        <f t="shared" si="41"/>
        <v/>
      </c>
      <c r="AW18" s="332" t="str">
        <f t="shared" si="42"/>
        <v/>
      </c>
      <c r="AX18" s="122" t="e">
        <f t="shared" si="43"/>
        <v>#VALUE!</v>
      </c>
      <c r="AY18" s="326" t="e">
        <f t="shared" ref="AY18:AZ18" si="138">AN18+AR18+AV18</f>
        <v>#VALUE!</v>
      </c>
      <c r="AZ18" s="333" t="e">
        <f t="shared" si="138"/>
        <v>#VALUE!</v>
      </c>
      <c r="BA18" s="140" t="e">
        <f t="shared" ref="BA18:BB18" si="139">AX18+AG18</f>
        <v>#VALUE!</v>
      </c>
      <c r="BB18" s="326" t="e">
        <f t="shared" si="139"/>
        <v>#VALUE!</v>
      </c>
      <c r="BC18" s="435" t="e">
        <f t="shared" si="46"/>
        <v>#VALUE!</v>
      </c>
      <c r="BD18" s="434" t="str">
        <f t="shared" si="112"/>
        <v/>
      </c>
      <c r="BE18" s="140" t="e">
        <f t="shared" si="48"/>
        <v>#VALUE!</v>
      </c>
      <c r="BF18" s="123" t="str">
        <f t="shared" si="49"/>
        <v/>
      </c>
      <c r="BG18" s="148" t="str">
        <f t="shared" si="50"/>
        <v/>
      </c>
      <c r="BH18" s="125" t="str">
        <f t="shared" si="113"/>
        <v/>
      </c>
      <c r="BI18" s="140" t="e">
        <f t="shared" si="52"/>
        <v>#VALUE!</v>
      </c>
      <c r="BJ18" s="123" t="str">
        <f t="shared" si="53"/>
        <v/>
      </c>
      <c r="BK18" s="125" t="str">
        <f t="shared" si="54"/>
        <v/>
      </c>
      <c r="BL18" s="436" t="str">
        <f t="shared" si="114"/>
        <v/>
      </c>
      <c r="BM18" s="140" t="e">
        <f t="shared" si="56"/>
        <v>#VALUE!</v>
      </c>
      <c r="BN18" s="326" t="str">
        <f t="shared" si="57"/>
        <v/>
      </c>
      <c r="BO18" s="333" t="str">
        <f t="shared" si="58"/>
        <v/>
      </c>
      <c r="BP18" s="140" t="e">
        <f t="shared" ref="BP18:BR18" si="140">SUM(BE18,BI18,BM18)</f>
        <v>#VALUE!</v>
      </c>
      <c r="BQ18" s="141">
        <f t="shared" si="140"/>
        <v>0</v>
      </c>
      <c r="BR18" s="437">
        <f t="shared" si="140"/>
        <v>0</v>
      </c>
      <c r="BS18" s="422" t="str">
        <f t="shared" si="116"/>
        <v/>
      </c>
      <c r="BT18" s="140" t="e">
        <f t="shared" si="61"/>
        <v>#VALUE!</v>
      </c>
      <c r="BU18" s="123" t="str">
        <f t="shared" si="62"/>
        <v/>
      </c>
      <c r="BV18" s="148" t="str">
        <f t="shared" si="63"/>
        <v/>
      </c>
      <c r="BW18" s="423" t="str">
        <f t="shared" si="117"/>
        <v/>
      </c>
      <c r="BX18" s="424" t="str">
        <f t="shared" si="118"/>
        <v/>
      </c>
      <c r="CA18" s="231" t="s">
        <v>94</v>
      </c>
      <c r="CB18" s="231"/>
      <c r="CC18" s="231"/>
    </row>
    <row r="19" spans="1:81" ht="15.75" customHeight="1">
      <c r="A19" s="92">
        <f t="shared" si="0"/>
        <v>112012351</v>
      </c>
      <c r="B19" s="93">
        <f t="shared" si="1"/>
        <v>22</v>
      </c>
      <c r="C19" s="137">
        <f>VLOOKUP(B19,DES,2,FALSE)</f>
        <v>0.1</v>
      </c>
      <c r="D19" s="137">
        <f>VLOOKUP(B19,DES,3,FALSE)</f>
        <v>0.09</v>
      </c>
      <c r="E19" s="98">
        <f>VLOOKUP(B19,DES,4,FALSE)</f>
        <v>0</v>
      </c>
      <c r="F19" s="414">
        <f t="shared" si="5"/>
        <v>63</v>
      </c>
      <c r="G19" s="94">
        <f t="shared" si="6"/>
        <v>0.1</v>
      </c>
      <c r="H19" s="415">
        <f t="shared" si="7"/>
        <v>0.05</v>
      </c>
      <c r="I19" s="139" t="s">
        <v>273</v>
      </c>
      <c r="J19" s="125">
        <f t="shared" si="100"/>
        <v>157865.46</v>
      </c>
      <c r="K19" s="244">
        <v>1800000</v>
      </c>
      <c r="L19" s="113" t="e">
        <f t="shared" si="9"/>
        <v>#VALUE!</v>
      </c>
      <c r="M19" s="116" t="str">
        <f t="shared" si="10"/>
        <v/>
      </c>
      <c r="N19" s="117">
        <f t="shared" si="11"/>
        <v>441328.43</v>
      </c>
      <c r="O19" s="114">
        <f t="shared" si="101"/>
        <v>-1358671.57</v>
      </c>
      <c r="P19" s="413">
        <f t="shared" si="102"/>
        <v>0.24518246111111111</v>
      </c>
      <c r="Q19" s="125">
        <f t="shared" si="103"/>
        <v>185753.53</v>
      </c>
      <c r="R19" s="458">
        <v>1800000</v>
      </c>
      <c r="S19" s="116" t="e">
        <f t="shared" si="14"/>
        <v>#VALUE!</v>
      </c>
      <c r="T19" s="116" t="str">
        <f t="shared" si="15"/>
        <v/>
      </c>
      <c r="U19" s="116">
        <f t="shared" si="16"/>
        <v>467678.95</v>
      </c>
      <c r="V19" s="116">
        <f t="shared" si="17"/>
        <v>-1332321.05</v>
      </c>
      <c r="W19" s="413">
        <f t="shared" si="104"/>
        <v>0.25982163888888887</v>
      </c>
      <c r="X19" s="123">
        <f t="shared" si="69"/>
        <v>796013.6</v>
      </c>
      <c r="Y19" s="457">
        <v>1800000</v>
      </c>
      <c r="Z19" s="113" t="e">
        <f t="shared" si="19"/>
        <v>#VALUE!</v>
      </c>
      <c r="AA19" s="116" t="str">
        <f t="shared" si="20"/>
        <v/>
      </c>
      <c r="AB19" s="117">
        <f t="shared" si="21"/>
        <v>1093841.5900000001</v>
      </c>
      <c r="AC19" s="114">
        <f t="shared" si="22"/>
        <v>-706158.40999999992</v>
      </c>
      <c r="AD19" s="97">
        <f t="shared" si="105"/>
        <v>0.60768977222222231</v>
      </c>
      <c r="AE19" s="433">
        <f t="shared" si="24"/>
        <v>5400000</v>
      </c>
      <c r="AF19" s="118">
        <f t="shared" si="25"/>
        <v>3216107.64</v>
      </c>
      <c r="AG19" s="116">
        <f t="shared" si="26"/>
        <v>2002848.97</v>
      </c>
      <c r="AH19" s="116">
        <f t="shared" si="27"/>
        <v>0</v>
      </c>
      <c r="AI19" s="116">
        <f t="shared" si="28"/>
        <v>2002848.97</v>
      </c>
      <c r="AJ19" s="116">
        <f t="shared" si="29"/>
        <v>-1213258.6700000002</v>
      </c>
      <c r="AK19" s="418">
        <f t="shared" si="137"/>
        <v>0.62275557729777975</v>
      </c>
      <c r="AL19" s="434">
        <f t="shared" si="107"/>
        <v>635921.9</v>
      </c>
      <c r="AM19" s="140" t="e">
        <f t="shared" si="32"/>
        <v>#VALUE!</v>
      </c>
      <c r="AN19" s="326" t="str">
        <f t="shared" si="33"/>
        <v/>
      </c>
      <c r="AO19" s="333">
        <f t="shared" si="34"/>
        <v>481916.09</v>
      </c>
      <c r="AP19" s="125">
        <f t="shared" si="108"/>
        <v>392911.96</v>
      </c>
      <c r="AQ19" s="140" t="e">
        <f t="shared" si="36"/>
        <v>#VALUE!</v>
      </c>
      <c r="AR19" s="326" t="str">
        <f t="shared" si="37"/>
        <v/>
      </c>
      <c r="AS19" s="333">
        <f t="shared" si="38"/>
        <v>386945.76</v>
      </c>
      <c r="AT19" s="125">
        <f t="shared" si="109"/>
        <v>318215.15000000002</v>
      </c>
      <c r="AU19" s="140" t="e">
        <f t="shared" si="40"/>
        <v>#VALUE!</v>
      </c>
      <c r="AV19" s="326" t="str">
        <f t="shared" si="41"/>
        <v/>
      </c>
      <c r="AW19" s="332">
        <f t="shared" si="42"/>
        <v>276396.53999999998</v>
      </c>
      <c r="AX19" s="122" t="e">
        <f t="shared" si="43"/>
        <v>#VALUE!</v>
      </c>
      <c r="AY19" s="326" t="e">
        <f t="shared" ref="AY19:AZ19" si="141">AN19+AR19+AV19</f>
        <v>#VALUE!</v>
      </c>
      <c r="AZ19" s="333">
        <f t="shared" si="141"/>
        <v>1145258.3900000001</v>
      </c>
      <c r="BA19" s="140" t="e">
        <f t="shared" ref="BA19:BB19" si="142">AX19+AG19</f>
        <v>#VALUE!</v>
      </c>
      <c r="BB19" s="326" t="e">
        <f t="shared" si="142"/>
        <v>#VALUE!</v>
      </c>
      <c r="BC19" s="435">
        <f t="shared" si="46"/>
        <v>3148107.3600000003</v>
      </c>
      <c r="BD19" s="434">
        <f t="shared" si="112"/>
        <v>559420.84</v>
      </c>
      <c r="BE19" s="140" t="e">
        <f t="shared" si="48"/>
        <v>#VALUE!</v>
      </c>
      <c r="BF19" s="123" t="str">
        <f t="shared" si="49"/>
        <v/>
      </c>
      <c r="BG19" s="148">
        <f t="shared" si="50"/>
        <v>193868.97</v>
      </c>
      <c r="BH19" s="125">
        <f t="shared" si="113"/>
        <v>687686.82</v>
      </c>
      <c r="BI19" s="140" t="e">
        <f t="shared" si="52"/>
        <v>#VALUE!</v>
      </c>
      <c r="BJ19" s="123" t="str">
        <f t="shared" si="53"/>
        <v/>
      </c>
      <c r="BK19" s="125">
        <f t="shared" si="54"/>
        <v>498785.48</v>
      </c>
      <c r="BL19" s="436">
        <f t="shared" si="114"/>
        <v>1180385.78</v>
      </c>
      <c r="BM19" s="140" t="e">
        <f t="shared" si="56"/>
        <v>#VALUE!</v>
      </c>
      <c r="BN19" s="326" t="str">
        <f t="shared" si="57"/>
        <v/>
      </c>
      <c r="BO19" s="333">
        <f t="shared" si="58"/>
        <v>1350091.54</v>
      </c>
      <c r="BP19" s="140" t="e">
        <f t="shared" ref="BP19:BR19" si="143">SUM(BE19,BI19,BM19)</f>
        <v>#VALUE!</v>
      </c>
      <c r="BQ19" s="141">
        <f t="shared" si="143"/>
        <v>0</v>
      </c>
      <c r="BR19" s="437">
        <f t="shared" si="143"/>
        <v>2042745.99</v>
      </c>
      <c r="BS19" s="422">
        <f t="shared" si="116"/>
        <v>1186208.3999999999</v>
      </c>
      <c r="BT19" s="140" t="e">
        <f t="shared" si="61"/>
        <v>#VALUE!</v>
      </c>
      <c r="BU19" s="123" t="str">
        <f t="shared" si="62"/>
        <v/>
      </c>
      <c r="BV19" s="148">
        <f t="shared" si="63"/>
        <v>1707003.06</v>
      </c>
      <c r="BW19" s="423">
        <f t="shared" si="117"/>
        <v>1547616.96</v>
      </c>
      <c r="BX19" s="424">
        <f t="shared" si="118"/>
        <v>482282.28</v>
      </c>
      <c r="CA19" s="231" t="s">
        <v>96</v>
      </c>
      <c r="CB19" s="231"/>
      <c r="CC19" s="231"/>
    </row>
    <row r="20" spans="1:81" ht="15.75" customHeight="1">
      <c r="A20" s="92">
        <f t="shared" si="0"/>
        <v>112012897</v>
      </c>
      <c r="B20" s="93">
        <f t="shared" si="1"/>
        <v>22</v>
      </c>
      <c r="C20" s="137">
        <f>IFERROR(VLOOKUP(B20,DES,2,FALSE),"")</f>
        <v>0.1</v>
      </c>
      <c r="D20" s="137">
        <f>IFERROR(VLOOKUP(B20,DES,3,FALSE),"")</f>
        <v>0.09</v>
      </c>
      <c r="E20" s="98">
        <f>IFERROR(VLOOKUP(B20,DES,4,FALSE),"")</f>
        <v>0</v>
      </c>
      <c r="F20" s="414">
        <f t="shared" si="5"/>
        <v>63</v>
      </c>
      <c r="G20" s="94">
        <f t="shared" si="6"/>
        <v>0.1</v>
      </c>
      <c r="H20" s="415">
        <f t="shared" si="7"/>
        <v>0.05</v>
      </c>
      <c r="I20" s="139" t="s">
        <v>274</v>
      </c>
      <c r="J20" s="125">
        <f t="shared" si="100"/>
        <v>226300.64</v>
      </c>
      <c r="K20" s="244">
        <v>1800000</v>
      </c>
      <c r="L20" s="113" t="e">
        <f t="shared" si="9"/>
        <v>#VALUE!</v>
      </c>
      <c r="M20" s="116" t="str">
        <f t="shared" si="10"/>
        <v/>
      </c>
      <c r="N20" s="117">
        <f t="shared" si="11"/>
        <v>69164.929999999993</v>
      </c>
      <c r="O20" s="114">
        <f t="shared" si="101"/>
        <v>-1730835.07</v>
      </c>
      <c r="P20" s="413">
        <f t="shared" si="102"/>
        <v>3.8424961111111107E-2</v>
      </c>
      <c r="Q20" s="125">
        <f t="shared" si="103"/>
        <v>48587.85</v>
      </c>
      <c r="R20" s="458">
        <v>1800000</v>
      </c>
      <c r="S20" s="116" t="e">
        <f t="shared" si="14"/>
        <v>#VALUE!</v>
      </c>
      <c r="T20" s="116" t="str">
        <f t="shared" si="15"/>
        <v/>
      </c>
      <c r="U20" s="116">
        <f t="shared" si="16"/>
        <v>108545.49</v>
      </c>
      <c r="V20" s="116">
        <f t="shared" si="17"/>
        <v>-1691454.51</v>
      </c>
      <c r="W20" s="413">
        <f t="shared" si="104"/>
        <v>6.0303050000000004E-2</v>
      </c>
      <c r="X20" s="123">
        <f t="shared" si="69"/>
        <v>156985.82999999999</v>
      </c>
      <c r="Y20" s="457">
        <v>1800000</v>
      </c>
      <c r="Z20" s="113" t="e">
        <f t="shared" si="19"/>
        <v>#VALUE!</v>
      </c>
      <c r="AA20" s="116" t="str">
        <f t="shared" si="20"/>
        <v/>
      </c>
      <c r="AB20" s="117">
        <f t="shared" si="21"/>
        <v>128025.44</v>
      </c>
      <c r="AC20" s="114">
        <f t="shared" si="22"/>
        <v>-1671974.56</v>
      </c>
      <c r="AD20" s="97">
        <f t="shared" si="105"/>
        <v>7.1125244444444444E-2</v>
      </c>
      <c r="AE20" s="433">
        <f t="shared" si="24"/>
        <v>5400000</v>
      </c>
      <c r="AF20" s="118">
        <f t="shared" si="25"/>
        <v>718189.5</v>
      </c>
      <c r="AG20" s="116">
        <f t="shared" si="26"/>
        <v>305735.86</v>
      </c>
      <c r="AH20" s="116">
        <f t="shared" si="27"/>
        <v>0</v>
      </c>
      <c r="AI20" s="116">
        <f t="shared" si="28"/>
        <v>305735.86</v>
      </c>
      <c r="AJ20" s="116">
        <f t="shared" si="29"/>
        <v>-412453.64</v>
      </c>
      <c r="AK20" s="418">
        <f t="shared" si="137"/>
        <v>0.42570360608168178</v>
      </c>
      <c r="AL20" s="434">
        <f t="shared" si="107"/>
        <v>0</v>
      </c>
      <c r="AM20" s="140" t="e">
        <f t="shared" si="32"/>
        <v>#VALUE!</v>
      </c>
      <c r="AN20" s="326" t="str">
        <f t="shared" si="33"/>
        <v/>
      </c>
      <c r="AO20" s="333">
        <f t="shared" si="34"/>
        <v>609442.25</v>
      </c>
      <c r="AP20" s="125">
        <f t="shared" si="108"/>
        <v>242218.29</v>
      </c>
      <c r="AQ20" s="140" t="e">
        <f t="shared" si="36"/>
        <v>#VALUE!</v>
      </c>
      <c r="AR20" s="326" t="str">
        <f t="shared" si="37"/>
        <v/>
      </c>
      <c r="AS20" s="333">
        <f t="shared" si="38"/>
        <v>556403.44999999995</v>
      </c>
      <c r="AT20" s="125">
        <f t="shared" si="109"/>
        <v>53457.03</v>
      </c>
      <c r="AU20" s="140" t="e">
        <f t="shared" si="40"/>
        <v>#VALUE!</v>
      </c>
      <c r="AV20" s="326" t="str">
        <f t="shared" si="41"/>
        <v/>
      </c>
      <c r="AW20" s="332">
        <f t="shared" si="42"/>
        <v>346271.91</v>
      </c>
      <c r="AX20" s="122" t="e">
        <f t="shared" si="43"/>
        <v>#VALUE!</v>
      </c>
      <c r="AY20" s="326" t="e">
        <f t="shared" ref="AY20:AZ20" si="144">AN20+AR20+AV20</f>
        <v>#VALUE!</v>
      </c>
      <c r="AZ20" s="333">
        <f t="shared" si="144"/>
        <v>1512117.6099999999</v>
      </c>
      <c r="BA20" s="140" t="e">
        <f t="shared" ref="BA20:BB20" si="145">AX20+AG20</f>
        <v>#VALUE!</v>
      </c>
      <c r="BB20" s="326" t="e">
        <f t="shared" si="145"/>
        <v>#VALUE!</v>
      </c>
      <c r="BC20" s="435">
        <f t="shared" si="46"/>
        <v>1817853.4699999997</v>
      </c>
      <c r="BD20" s="434">
        <f t="shared" si="112"/>
        <v>314480.90999999997</v>
      </c>
      <c r="BE20" s="140" t="e">
        <f t="shared" si="48"/>
        <v>#VALUE!</v>
      </c>
      <c r="BF20" s="123" t="str">
        <f t="shared" si="49"/>
        <v/>
      </c>
      <c r="BG20" s="148">
        <f t="shared" si="50"/>
        <v>362736.92</v>
      </c>
      <c r="BH20" s="125">
        <f t="shared" si="113"/>
        <v>576620.01</v>
      </c>
      <c r="BI20" s="140" t="e">
        <f t="shared" si="52"/>
        <v>#VALUE!</v>
      </c>
      <c r="BJ20" s="123" t="str">
        <f t="shared" si="53"/>
        <v/>
      </c>
      <c r="BK20" s="125">
        <f t="shared" si="54"/>
        <v>522550.82</v>
      </c>
      <c r="BL20" s="436">
        <f t="shared" si="114"/>
        <v>216000.03</v>
      </c>
      <c r="BM20" s="140" t="e">
        <f t="shared" si="56"/>
        <v>#VALUE!</v>
      </c>
      <c r="BN20" s="326" t="str">
        <f t="shared" si="57"/>
        <v/>
      </c>
      <c r="BO20" s="333">
        <f t="shared" si="58"/>
        <v>111028.5</v>
      </c>
      <c r="BP20" s="140" t="e">
        <f t="shared" ref="BP20:BR20" si="146">SUM(BE20,BI20,BM20)</f>
        <v>#VALUE!</v>
      </c>
      <c r="BQ20" s="141">
        <f t="shared" si="146"/>
        <v>0</v>
      </c>
      <c r="BR20" s="437">
        <f t="shared" si="146"/>
        <v>996316.24</v>
      </c>
      <c r="BS20" s="422">
        <f t="shared" si="116"/>
        <v>162091.69</v>
      </c>
      <c r="BT20" s="140" t="e">
        <f t="shared" si="61"/>
        <v>#VALUE!</v>
      </c>
      <c r="BU20" s="123" t="str">
        <f t="shared" si="62"/>
        <v/>
      </c>
      <c r="BV20" s="148">
        <f t="shared" si="63"/>
        <v>734690.58</v>
      </c>
      <c r="BW20" s="423">
        <f t="shared" si="117"/>
        <v>492601.91</v>
      </c>
      <c r="BX20" s="424">
        <f t="shared" si="118"/>
        <v>63495.9</v>
      </c>
      <c r="CA20" s="231" t="s">
        <v>98</v>
      </c>
      <c r="CB20" s="231"/>
      <c r="CC20" s="231"/>
    </row>
    <row r="21" spans="1:81" ht="15.75" customHeight="1">
      <c r="A21" s="92">
        <f t="shared" si="0"/>
        <v>112011438</v>
      </c>
      <c r="B21" s="93">
        <f t="shared" si="1"/>
        <v>22</v>
      </c>
      <c r="C21" s="137">
        <f>VLOOKUP(B21,DES,2,FALSE)</f>
        <v>0.1</v>
      </c>
      <c r="D21" s="137">
        <f>VLOOKUP(B21,DES,3,FALSE)</f>
        <v>0.09</v>
      </c>
      <c r="E21" s="98">
        <f>VLOOKUP(B21,DES,4,FALSE)</f>
        <v>0</v>
      </c>
      <c r="F21" s="414">
        <f t="shared" si="5"/>
        <v>63</v>
      </c>
      <c r="G21" s="94">
        <f t="shared" si="6"/>
        <v>0.1</v>
      </c>
      <c r="H21" s="415">
        <f t="shared" si="7"/>
        <v>0.05</v>
      </c>
      <c r="I21" s="139" t="s">
        <v>275</v>
      </c>
      <c r="J21" s="125">
        <f t="shared" si="100"/>
        <v>839508.84</v>
      </c>
      <c r="K21" s="244">
        <v>1800000</v>
      </c>
      <c r="L21" s="113">
        <f t="shared" si="9"/>
        <v>1859877.8399999999</v>
      </c>
      <c r="M21" s="116">
        <f t="shared" si="10"/>
        <v>161301.34</v>
      </c>
      <c r="N21" s="117">
        <f t="shared" si="11"/>
        <v>2021179.18</v>
      </c>
      <c r="O21" s="114">
        <f t="shared" si="101"/>
        <v>221179.17999999993</v>
      </c>
      <c r="P21" s="413">
        <f t="shared" si="102"/>
        <v>1.1228773222222221</v>
      </c>
      <c r="Q21" s="125">
        <f t="shared" si="103"/>
        <v>607395.56000000006</v>
      </c>
      <c r="R21" s="458">
        <v>1800000</v>
      </c>
      <c r="S21" s="116">
        <f t="shared" si="14"/>
        <v>968526.75000000012</v>
      </c>
      <c r="T21" s="116">
        <f t="shared" si="15"/>
        <v>104499.86</v>
      </c>
      <c r="U21" s="116">
        <f t="shared" si="16"/>
        <v>1073026.6100000001</v>
      </c>
      <c r="V21" s="116">
        <f t="shared" si="17"/>
        <v>-726973.3899999999</v>
      </c>
      <c r="W21" s="413">
        <f t="shared" si="104"/>
        <v>0.59612589444444453</v>
      </c>
      <c r="X21" s="123">
        <f t="shared" si="69"/>
        <v>777219.01</v>
      </c>
      <c r="Y21" s="457">
        <v>1800000</v>
      </c>
      <c r="Z21" s="113">
        <f t="shared" si="19"/>
        <v>1871816.3</v>
      </c>
      <c r="AA21" s="116">
        <f t="shared" si="20"/>
        <v>0</v>
      </c>
      <c r="AB21" s="117">
        <f t="shared" si="21"/>
        <v>1871816.3</v>
      </c>
      <c r="AC21" s="114">
        <f t="shared" si="22"/>
        <v>71816.300000000047</v>
      </c>
      <c r="AD21" s="97">
        <f t="shared" si="105"/>
        <v>1.0398979444444445</v>
      </c>
      <c r="AE21" s="433">
        <f t="shared" si="24"/>
        <v>5400000</v>
      </c>
      <c r="AF21" s="118">
        <f t="shared" si="25"/>
        <v>5382014.3899999997</v>
      </c>
      <c r="AG21" s="116">
        <f t="shared" si="26"/>
        <v>4595721.03</v>
      </c>
      <c r="AH21" s="116">
        <f t="shared" si="27"/>
        <v>370301.06</v>
      </c>
      <c r="AI21" s="116">
        <f t="shared" si="28"/>
        <v>4966022.09</v>
      </c>
      <c r="AJ21" s="116">
        <f t="shared" si="29"/>
        <v>-415992.29999999981</v>
      </c>
      <c r="AK21" s="418">
        <f t="shared" si="137"/>
        <v>0.92270695136510039</v>
      </c>
      <c r="AL21" s="434">
        <f t="shared" si="107"/>
        <v>1748424.19</v>
      </c>
      <c r="AM21" s="140">
        <f t="shared" si="32"/>
        <v>2097697.2600000002</v>
      </c>
      <c r="AN21" s="326">
        <f t="shared" si="33"/>
        <v>101602.11</v>
      </c>
      <c r="AO21" s="333">
        <f t="shared" si="34"/>
        <v>2199299.37</v>
      </c>
      <c r="AP21" s="125">
        <f t="shared" si="108"/>
        <v>1049760.82</v>
      </c>
      <c r="AQ21" s="140">
        <f t="shared" si="36"/>
        <v>1230714.51</v>
      </c>
      <c r="AR21" s="326">
        <f t="shared" si="37"/>
        <v>38330.519999999997</v>
      </c>
      <c r="AS21" s="333">
        <f t="shared" si="38"/>
        <v>1269045.03</v>
      </c>
      <c r="AT21" s="125">
        <f t="shared" si="109"/>
        <v>663778.31000000006</v>
      </c>
      <c r="AU21" s="140">
        <f t="shared" si="40"/>
        <v>1142905.05</v>
      </c>
      <c r="AV21" s="326">
        <f t="shared" si="41"/>
        <v>62821.06</v>
      </c>
      <c r="AW21" s="332">
        <f t="shared" si="42"/>
        <v>1205726.1100000001</v>
      </c>
      <c r="AX21" s="122">
        <f t="shared" si="43"/>
        <v>4471316.82</v>
      </c>
      <c r="AY21" s="326">
        <f t="shared" ref="AY21:AZ21" si="147">AN21+AR21+AV21</f>
        <v>202753.69</v>
      </c>
      <c r="AZ21" s="333">
        <f t="shared" si="147"/>
        <v>4674070.5100000007</v>
      </c>
      <c r="BA21" s="140">
        <f t="shared" ref="BA21:BB21" si="148">AX21+AG21</f>
        <v>9067037.8500000015</v>
      </c>
      <c r="BB21" s="326">
        <f t="shared" si="148"/>
        <v>573054.75</v>
      </c>
      <c r="BC21" s="435">
        <f t="shared" si="46"/>
        <v>9640092.6000000015</v>
      </c>
      <c r="BD21" s="434">
        <f t="shared" si="112"/>
        <v>976281.08</v>
      </c>
      <c r="BE21" s="140">
        <f t="shared" si="48"/>
        <v>1527516.48</v>
      </c>
      <c r="BF21" s="123">
        <f t="shared" si="49"/>
        <v>0</v>
      </c>
      <c r="BG21" s="148">
        <f t="shared" si="50"/>
        <v>1527516.48</v>
      </c>
      <c r="BH21" s="125">
        <f t="shared" si="113"/>
        <v>1634429.75</v>
      </c>
      <c r="BI21" s="140">
        <f t="shared" si="52"/>
        <v>2640729.31</v>
      </c>
      <c r="BJ21" s="123">
        <f t="shared" si="53"/>
        <v>139108.28</v>
      </c>
      <c r="BK21" s="125">
        <f t="shared" si="54"/>
        <v>2779837.59</v>
      </c>
      <c r="BL21" s="436">
        <f t="shared" si="114"/>
        <v>654915.64</v>
      </c>
      <c r="BM21" s="140">
        <f t="shared" si="56"/>
        <v>682033.49</v>
      </c>
      <c r="BN21" s="326">
        <f t="shared" si="57"/>
        <v>63990.64</v>
      </c>
      <c r="BO21" s="333">
        <f t="shared" si="58"/>
        <v>746024.13</v>
      </c>
      <c r="BP21" s="140">
        <f t="shared" ref="BP21:BR21" si="149">SUM(BE21,BI21,BM21)</f>
        <v>4850279.28</v>
      </c>
      <c r="BQ21" s="141">
        <f t="shared" si="149"/>
        <v>203098.91999999998</v>
      </c>
      <c r="BR21" s="437">
        <f t="shared" si="149"/>
        <v>5053378.2</v>
      </c>
      <c r="BS21" s="422">
        <f t="shared" si="116"/>
        <v>1589100.61</v>
      </c>
      <c r="BT21" s="140">
        <f t="shared" si="61"/>
        <v>1208244.0699999998</v>
      </c>
      <c r="BU21" s="123">
        <f t="shared" si="62"/>
        <v>138687.82999999999</v>
      </c>
      <c r="BV21" s="148">
        <f t="shared" si="63"/>
        <v>1346931.9</v>
      </c>
      <c r="BW21" s="423">
        <f t="shared" si="117"/>
        <v>1695037.93</v>
      </c>
      <c r="BX21" s="424">
        <f t="shared" si="118"/>
        <v>2097875.85</v>
      </c>
      <c r="CA21" s="245" t="s">
        <v>100</v>
      </c>
      <c r="CB21" s="245"/>
      <c r="CC21" s="245"/>
    </row>
    <row r="22" spans="1:81" ht="15.75" customHeight="1">
      <c r="A22" s="92">
        <f t="shared" si="0"/>
        <v>112012598</v>
      </c>
      <c r="B22" s="93">
        <f t="shared" si="1"/>
        <v>22</v>
      </c>
      <c r="C22" s="137">
        <f>VLOOKUP(B22,DES,2,FALSE)</f>
        <v>0.1</v>
      </c>
      <c r="D22" s="137">
        <f>VLOOKUP(B22,DES,3,FALSE)</f>
        <v>0.09</v>
      </c>
      <c r="E22" s="98">
        <f>VLOOKUP(B22,DES,4,FALSE)</f>
        <v>0</v>
      </c>
      <c r="F22" s="414">
        <f t="shared" si="5"/>
        <v>63</v>
      </c>
      <c r="G22" s="94">
        <f t="shared" si="6"/>
        <v>0.1</v>
      </c>
      <c r="H22" s="415">
        <f t="shared" si="7"/>
        <v>0.05</v>
      </c>
      <c r="I22" s="139" t="s">
        <v>276</v>
      </c>
      <c r="J22" s="125">
        <f t="shared" si="100"/>
        <v>690502.35</v>
      </c>
      <c r="K22" s="237">
        <v>1800000</v>
      </c>
      <c r="L22" s="113" t="e">
        <f t="shared" si="9"/>
        <v>#VALUE!</v>
      </c>
      <c r="M22" s="116" t="str">
        <f t="shared" si="10"/>
        <v/>
      </c>
      <c r="N22" s="117">
        <f t="shared" si="11"/>
        <v>1313739.23</v>
      </c>
      <c r="O22" s="114">
        <f t="shared" si="101"/>
        <v>-486260.77</v>
      </c>
      <c r="P22" s="413">
        <f t="shared" si="102"/>
        <v>0.72985512777777772</v>
      </c>
      <c r="Q22" s="125">
        <f t="shared" si="103"/>
        <v>305941.55</v>
      </c>
      <c r="R22" s="458">
        <v>1800000</v>
      </c>
      <c r="S22" s="116" t="e">
        <f t="shared" si="14"/>
        <v>#VALUE!</v>
      </c>
      <c r="T22" s="116" t="str">
        <f t="shared" si="15"/>
        <v/>
      </c>
      <c r="U22" s="116">
        <f t="shared" si="16"/>
        <v>367295.83</v>
      </c>
      <c r="V22" s="116">
        <f t="shared" si="17"/>
        <v>-1432704.17</v>
      </c>
      <c r="W22" s="413">
        <f t="shared" si="104"/>
        <v>0.2040532388888889</v>
      </c>
      <c r="X22" s="123">
        <f t="shared" si="69"/>
        <v>652487.96</v>
      </c>
      <c r="Y22" s="457">
        <v>1800000</v>
      </c>
      <c r="Z22" s="113" t="e">
        <f t="shared" si="19"/>
        <v>#VALUE!</v>
      </c>
      <c r="AA22" s="116" t="str">
        <f t="shared" si="20"/>
        <v/>
      </c>
      <c r="AB22" s="117">
        <f t="shared" si="21"/>
        <v>487248.16</v>
      </c>
      <c r="AC22" s="114">
        <f t="shared" si="22"/>
        <v>-1312751.8400000001</v>
      </c>
      <c r="AD22" s="97">
        <f t="shared" si="105"/>
        <v>0.2706934222222222</v>
      </c>
      <c r="AE22" s="433">
        <f t="shared" si="24"/>
        <v>5400000</v>
      </c>
      <c r="AF22" s="118">
        <f t="shared" si="25"/>
        <v>2156489.67</v>
      </c>
      <c r="AG22" s="116">
        <f t="shared" si="26"/>
        <v>2168283.2199999997</v>
      </c>
      <c r="AH22" s="116">
        <f t="shared" si="27"/>
        <v>0</v>
      </c>
      <c r="AI22" s="116">
        <f t="shared" si="28"/>
        <v>2168283.2199999997</v>
      </c>
      <c r="AJ22" s="116">
        <f t="shared" si="29"/>
        <v>11793.549999999814</v>
      </c>
      <c r="AK22" s="418">
        <f t="shared" si="137"/>
        <v>1.0054688645923353</v>
      </c>
      <c r="AL22" s="434">
        <f t="shared" si="107"/>
        <v>438147.62</v>
      </c>
      <c r="AM22" s="140" t="e">
        <f t="shared" si="32"/>
        <v>#VALUE!</v>
      </c>
      <c r="AN22" s="326" t="str">
        <f t="shared" si="33"/>
        <v/>
      </c>
      <c r="AO22" s="333">
        <f t="shared" si="34"/>
        <v>504326.51</v>
      </c>
      <c r="AP22" s="125">
        <f t="shared" si="108"/>
        <v>557693.41</v>
      </c>
      <c r="AQ22" s="140" t="e">
        <f t="shared" si="36"/>
        <v>#VALUE!</v>
      </c>
      <c r="AR22" s="326" t="str">
        <f t="shared" si="37"/>
        <v/>
      </c>
      <c r="AS22" s="333">
        <f t="shared" si="38"/>
        <v>593320.97</v>
      </c>
      <c r="AT22" s="125">
        <f t="shared" si="109"/>
        <v>230535.88</v>
      </c>
      <c r="AU22" s="140" t="e">
        <f t="shared" si="40"/>
        <v>#VALUE!</v>
      </c>
      <c r="AV22" s="326" t="str">
        <f t="shared" si="41"/>
        <v/>
      </c>
      <c r="AW22" s="332">
        <f t="shared" si="42"/>
        <v>376892.41</v>
      </c>
      <c r="AX22" s="122" t="e">
        <f t="shared" si="43"/>
        <v>#VALUE!</v>
      </c>
      <c r="AY22" s="326" t="e">
        <f t="shared" ref="AY22:AZ22" si="150">AN22+AR22+AV22</f>
        <v>#VALUE!</v>
      </c>
      <c r="AZ22" s="333">
        <f t="shared" si="150"/>
        <v>1474539.89</v>
      </c>
      <c r="BA22" s="140" t="e">
        <f t="shared" ref="BA22:BB22" si="151">AX22+AG22</f>
        <v>#VALUE!</v>
      </c>
      <c r="BB22" s="326" t="e">
        <f t="shared" si="151"/>
        <v>#VALUE!</v>
      </c>
      <c r="BC22" s="435">
        <f t="shared" si="46"/>
        <v>3642823.1099999994</v>
      </c>
      <c r="BD22" s="434">
        <f t="shared" si="112"/>
        <v>510405.01</v>
      </c>
      <c r="BE22" s="140" t="e">
        <f t="shared" si="48"/>
        <v>#VALUE!</v>
      </c>
      <c r="BF22" s="123" t="str">
        <f t="shared" si="49"/>
        <v/>
      </c>
      <c r="BG22" s="148">
        <f t="shared" si="50"/>
        <v>466446.9</v>
      </c>
      <c r="BH22" s="125">
        <f t="shared" si="113"/>
        <v>882281.59</v>
      </c>
      <c r="BI22" s="140" t="e">
        <f t="shared" si="52"/>
        <v>#VALUE!</v>
      </c>
      <c r="BJ22" s="123" t="str">
        <f t="shared" si="53"/>
        <v/>
      </c>
      <c r="BK22" s="125">
        <f t="shared" si="54"/>
        <v>703717.65</v>
      </c>
      <c r="BL22" s="436">
        <f t="shared" si="114"/>
        <v>341615.72</v>
      </c>
      <c r="BM22" s="140" t="e">
        <f t="shared" si="56"/>
        <v>#VALUE!</v>
      </c>
      <c r="BN22" s="326" t="str">
        <f t="shared" si="57"/>
        <v/>
      </c>
      <c r="BO22" s="333">
        <f t="shared" si="58"/>
        <v>671948.54</v>
      </c>
      <c r="BP22" s="140" t="e">
        <f t="shared" ref="BP22:BR22" si="152">SUM(BE22,BI22,BM22)</f>
        <v>#VALUE!</v>
      </c>
      <c r="BQ22" s="141">
        <f t="shared" si="152"/>
        <v>0</v>
      </c>
      <c r="BR22" s="437">
        <f t="shared" si="152"/>
        <v>1842113.09</v>
      </c>
      <c r="BS22" s="422">
        <f t="shared" si="116"/>
        <v>660117.78</v>
      </c>
      <c r="BT22" s="140" t="e">
        <f t="shared" si="61"/>
        <v>#VALUE!</v>
      </c>
      <c r="BU22" s="123" t="str">
        <f t="shared" si="62"/>
        <v/>
      </c>
      <c r="BV22" s="148">
        <f t="shared" si="63"/>
        <v>1741012.14</v>
      </c>
      <c r="BW22" s="423">
        <f t="shared" si="117"/>
        <v>690944.56</v>
      </c>
      <c r="BX22" s="424">
        <f t="shared" si="118"/>
        <v>805427.32</v>
      </c>
    </row>
    <row r="23" spans="1:81" ht="15.75" customHeight="1">
      <c r="A23" s="92">
        <f t="shared" si="0"/>
        <v>112014563</v>
      </c>
      <c r="B23" s="93">
        <f t="shared" si="1"/>
        <v>22</v>
      </c>
      <c r="C23" s="137">
        <f>VLOOKUP(B23,DES,2,FALSE)</f>
        <v>0.1</v>
      </c>
      <c r="D23" s="137">
        <f>VLOOKUP(B23,DES,3,FALSE)</f>
        <v>0.09</v>
      </c>
      <c r="E23" s="98">
        <f>VLOOKUP(B23,DES,4,FALSE)</f>
        <v>0</v>
      </c>
      <c r="F23" s="414">
        <f t="shared" si="5"/>
        <v>63</v>
      </c>
      <c r="G23" s="94">
        <f t="shared" si="6"/>
        <v>0.1</v>
      </c>
      <c r="H23" s="415">
        <f t="shared" si="7"/>
        <v>0.05</v>
      </c>
      <c r="I23" s="139" t="s">
        <v>277</v>
      </c>
      <c r="J23" s="125">
        <f t="shared" si="100"/>
        <v>0</v>
      </c>
      <c r="K23" s="237">
        <v>1800000</v>
      </c>
      <c r="L23" s="113" t="e">
        <f t="shared" si="9"/>
        <v>#VALUE!</v>
      </c>
      <c r="M23" s="116" t="str">
        <f t="shared" si="10"/>
        <v/>
      </c>
      <c r="N23" s="117">
        <f t="shared" si="11"/>
        <v>874136.81</v>
      </c>
      <c r="O23" s="114">
        <f t="shared" si="101"/>
        <v>-925863.19</v>
      </c>
      <c r="P23" s="413">
        <f t="shared" si="102"/>
        <v>0.48563156111111117</v>
      </c>
      <c r="Q23" s="125">
        <f t="shared" si="103"/>
        <v>0</v>
      </c>
      <c r="R23" s="236">
        <v>1800000</v>
      </c>
      <c r="S23" s="116" t="e">
        <f t="shared" si="14"/>
        <v>#VALUE!</v>
      </c>
      <c r="T23" s="116" t="str">
        <f t="shared" si="15"/>
        <v/>
      </c>
      <c r="U23" s="116">
        <f t="shared" si="16"/>
        <v>380233.4</v>
      </c>
      <c r="V23" s="116">
        <f t="shared" si="17"/>
        <v>-1419766.6</v>
      </c>
      <c r="W23" s="413">
        <f t="shared" si="104"/>
        <v>0.21124077777777778</v>
      </c>
      <c r="X23" s="123">
        <f t="shared" si="69"/>
        <v>0</v>
      </c>
      <c r="Y23" s="457">
        <v>1800000</v>
      </c>
      <c r="Z23" s="113" t="e">
        <f t="shared" si="19"/>
        <v>#VALUE!</v>
      </c>
      <c r="AA23" s="116" t="str">
        <f t="shared" si="20"/>
        <v/>
      </c>
      <c r="AB23" s="117">
        <f t="shared" si="21"/>
        <v>476174.18</v>
      </c>
      <c r="AC23" s="114">
        <f t="shared" si="22"/>
        <v>-1323825.82</v>
      </c>
      <c r="AD23" s="97">
        <f t="shared" si="105"/>
        <v>0.26454121111111112</v>
      </c>
      <c r="AE23" s="433">
        <f t="shared" si="24"/>
        <v>5400000</v>
      </c>
      <c r="AF23" s="118">
        <f t="shared" si="25"/>
        <v>1394432.9</v>
      </c>
      <c r="AG23" s="116">
        <f t="shared" si="26"/>
        <v>1730544.3900000001</v>
      </c>
      <c r="AH23" s="116">
        <f t="shared" si="27"/>
        <v>0</v>
      </c>
      <c r="AI23" s="116">
        <f t="shared" si="28"/>
        <v>1730544.3900000001</v>
      </c>
      <c r="AJ23" s="116">
        <f t="shared" si="29"/>
        <v>336111.49000000022</v>
      </c>
      <c r="AK23" s="418">
        <f t="shared" si="137"/>
        <v>1.2410381238136308</v>
      </c>
      <c r="AL23" s="434">
        <f t="shared" si="107"/>
        <v>0</v>
      </c>
      <c r="AM23" s="140" t="e">
        <f t="shared" si="32"/>
        <v>#VALUE!</v>
      </c>
      <c r="AN23" s="326" t="str">
        <f t="shared" si="33"/>
        <v/>
      </c>
      <c r="AO23" s="333">
        <f t="shared" si="34"/>
        <v>314536.95</v>
      </c>
      <c r="AP23" s="125">
        <f t="shared" si="108"/>
        <v>0</v>
      </c>
      <c r="AQ23" s="140" t="e">
        <f t="shared" si="36"/>
        <v>#VALUE!</v>
      </c>
      <c r="AR23" s="326" t="str">
        <f t="shared" si="37"/>
        <v/>
      </c>
      <c r="AS23" s="333">
        <f t="shared" si="38"/>
        <v>223732.89</v>
      </c>
      <c r="AT23" s="125">
        <f t="shared" si="109"/>
        <v>0</v>
      </c>
      <c r="AU23" s="140" t="e">
        <f t="shared" si="40"/>
        <v>#VALUE!</v>
      </c>
      <c r="AV23" s="326" t="str">
        <f t="shared" si="41"/>
        <v/>
      </c>
      <c r="AW23" s="332">
        <f t="shared" si="42"/>
        <v>162174.14000000001</v>
      </c>
      <c r="AX23" s="122" t="e">
        <f t="shared" si="43"/>
        <v>#VALUE!</v>
      </c>
      <c r="AY23" s="326" t="e">
        <f t="shared" ref="AY23:AZ23" si="153">AN23+AR23+AV23</f>
        <v>#VALUE!</v>
      </c>
      <c r="AZ23" s="333">
        <f t="shared" si="153"/>
        <v>700443.9800000001</v>
      </c>
      <c r="BA23" s="140" t="e">
        <f t="shared" ref="BA23:BB23" si="154">AX23+AG23</f>
        <v>#VALUE!</v>
      </c>
      <c r="BB23" s="326" t="e">
        <f t="shared" si="154"/>
        <v>#VALUE!</v>
      </c>
      <c r="BC23" s="435">
        <f t="shared" si="46"/>
        <v>2430988.37</v>
      </c>
      <c r="BD23" s="434">
        <f t="shared" si="112"/>
        <v>143959.22</v>
      </c>
      <c r="BE23" s="140" t="e">
        <f t="shared" si="48"/>
        <v>#VALUE!</v>
      </c>
      <c r="BF23" s="123" t="str">
        <f t="shared" si="49"/>
        <v/>
      </c>
      <c r="BG23" s="148">
        <f t="shared" si="50"/>
        <v>392103.59</v>
      </c>
      <c r="BH23" s="125">
        <f t="shared" si="113"/>
        <v>869944.06</v>
      </c>
      <c r="BI23" s="140" t="e">
        <f t="shared" si="52"/>
        <v>#VALUE!</v>
      </c>
      <c r="BJ23" s="123" t="str">
        <f t="shared" si="53"/>
        <v/>
      </c>
      <c r="BK23" s="125">
        <f t="shared" si="54"/>
        <v>583230.31000000006</v>
      </c>
      <c r="BL23" s="436">
        <f t="shared" si="114"/>
        <v>617618.37</v>
      </c>
      <c r="BM23" s="140" t="e">
        <f t="shared" si="56"/>
        <v>#VALUE!</v>
      </c>
      <c r="BN23" s="326" t="str">
        <f t="shared" si="57"/>
        <v/>
      </c>
      <c r="BO23" s="333">
        <f t="shared" si="58"/>
        <v>321672.93</v>
      </c>
      <c r="BP23" s="140" t="e">
        <f t="shared" ref="BP23:BR23" si="155">SUM(BE23,BI23,BM23)</f>
        <v>#VALUE!</v>
      </c>
      <c r="BQ23" s="141">
        <f t="shared" si="155"/>
        <v>0</v>
      </c>
      <c r="BR23" s="437">
        <f t="shared" si="155"/>
        <v>1297006.83</v>
      </c>
      <c r="BS23" s="422">
        <f t="shared" si="116"/>
        <v>573943.6</v>
      </c>
      <c r="BT23" s="140" t="e">
        <f t="shared" si="61"/>
        <v>#VALUE!</v>
      </c>
      <c r="BU23" s="123" t="str">
        <f t="shared" si="62"/>
        <v/>
      </c>
      <c r="BV23" s="148">
        <f t="shared" si="63"/>
        <v>717851.76</v>
      </c>
      <c r="BW23" s="423">
        <f t="shared" si="117"/>
        <v>525506.36</v>
      </c>
      <c r="BX23" s="424">
        <f t="shared" si="118"/>
        <v>294982.95</v>
      </c>
    </row>
    <row r="24" spans="1:81" ht="15.75" customHeight="1">
      <c r="A24" s="92">
        <f t="shared" si="0"/>
        <v>112014061</v>
      </c>
      <c r="B24" s="93">
        <f t="shared" si="1"/>
        <v>22</v>
      </c>
      <c r="C24" s="137">
        <f>VLOOKUP(B24,DES,2,FALSE)</f>
        <v>0.1</v>
      </c>
      <c r="D24" s="137">
        <f>VLOOKUP(B24,DES,3,FALSE)</f>
        <v>0.09</v>
      </c>
      <c r="E24" s="98">
        <f>VLOOKUP(B24,DES,4,FALSE)</f>
        <v>0</v>
      </c>
      <c r="F24" s="414">
        <f t="shared" si="5"/>
        <v>63</v>
      </c>
      <c r="G24" s="94">
        <f t="shared" si="6"/>
        <v>0.1</v>
      </c>
      <c r="H24" s="415">
        <f t="shared" si="7"/>
        <v>0.05</v>
      </c>
      <c r="I24" s="139" t="s">
        <v>278</v>
      </c>
      <c r="J24" s="125">
        <f t="shared" si="100"/>
        <v>0</v>
      </c>
      <c r="K24" s="244">
        <v>1800000</v>
      </c>
      <c r="L24" s="113">
        <f t="shared" si="9"/>
        <v>97857</v>
      </c>
      <c r="M24" s="116">
        <f t="shared" si="10"/>
        <v>0</v>
      </c>
      <c r="N24" s="117">
        <f t="shared" si="11"/>
        <v>97857</v>
      </c>
      <c r="O24" s="114">
        <f t="shared" si="101"/>
        <v>-1702143</v>
      </c>
      <c r="P24" s="413">
        <f t="shared" si="102"/>
        <v>5.4364999999999997E-2</v>
      </c>
      <c r="Q24" s="125">
        <f t="shared" si="103"/>
        <v>499561.2</v>
      </c>
      <c r="R24" s="458">
        <v>1800000</v>
      </c>
      <c r="S24" s="116">
        <f t="shared" si="14"/>
        <v>0</v>
      </c>
      <c r="T24" s="116">
        <f t="shared" si="15"/>
        <v>0</v>
      </c>
      <c r="U24" s="116">
        <f t="shared" si="16"/>
        <v>0</v>
      </c>
      <c r="V24" s="116">
        <f t="shared" si="17"/>
        <v>-1800000</v>
      </c>
      <c r="W24" s="413">
        <f t="shared" si="104"/>
        <v>0</v>
      </c>
      <c r="X24" s="123">
        <f t="shared" si="69"/>
        <v>0</v>
      </c>
      <c r="Y24" s="457">
        <v>1800000</v>
      </c>
      <c r="Z24" s="113">
        <f t="shared" si="19"/>
        <v>0</v>
      </c>
      <c r="AA24" s="116">
        <f t="shared" si="20"/>
        <v>0</v>
      </c>
      <c r="AB24" s="117">
        <f t="shared" si="21"/>
        <v>0</v>
      </c>
      <c r="AC24" s="114">
        <f t="shared" si="22"/>
        <v>-1800000</v>
      </c>
      <c r="AD24" s="97">
        <f t="shared" si="105"/>
        <v>0</v>
      </c>
      <c r="AE24" s="433">
        <f t="shared" si="24"/>
        <v>5400000</v>
      </c>
      <c r="AF24" s="118">
        <f t="shared" si="25"/>
        <v>1286335.27</v>
      </c>
      <c r="AG24" s="116">
        <f t="shared" si="26"/>
        <v>97857</v>
      </c>
      <c r="AH24" s="116">
        <f t="shared" si="27"/>
        <v>0</v>
      </c>
      <c r="AI24" s="116">
        <f t="shared" si="28"/>
        <v>97857</v>
      </c>
      <c r="AJ24" s="116">
        <f t="shared" si="29"/>
        <v>-1188478.27</v>
      </c>
      <c r="AK24" s="418">
        <f t="shared" si="137"/>
        <v>7.6074257063634743E-2</v>
      </c>
      <c r="AL24" s="434">
        <f t="shared" si="107"/>
        <v>0</v>
      </c>
      <c r="AM24" s="140">
        <f t="shared" si="32"/>
        <v>44433</v>
      </c>
      <c r="AN24" s="326">
        <f t="shared" si="33"/>
        <v>0</v>
      </c>
      <c r="AO24" s="333">
        <f t="shared" si="34"/>
        <v>44433</v>
      </c>
      <c r="AP24" s="125">
        <f t="shared" si="108"/>
        <v>547571.52</v>
      </c>
      <c r="AQ24" s="140">
        <f t="shared" si="36"/>
        <v>0</v>
      </c>
      <c r="AR24" s="326">
        <f t="shared" si="37"/>
        <v>0</v>
      </c>
      <c r="AS24" s="333">
        <f t="shared" si="38"/>
        <v>0</v>
      </c>
      <c r="AT24" s="125">
        <f t="shared" si="109"/>
        <v>320119.8</v>
      </c>
      <c r="AU24" s="140">
        <f t="shared" si="40"/>
        <v>0</v>
      </c>
      <c r="AV24" s="326">
        <f t="shared" si="41"/>
        <v>0</v>
      </c>
      <c r="AW24" s="332">
        <f t="shared" si="42"/>
        <v>0</v>
      </c>
      <c r="AX24" s="122">
        <f t="shared" si="43"/>
        <v>44433</v>
      </c>
      <c r="AY24" s="326">
        <f t="shared" ref="AY24:AZ24" si="156">AN24+AR24+AV24</f>
        <v>0</v>
      </c>
      <c r="AZ24" s="333">
        <f t="shared" si="156"/>
        <v>44433</v>
      </c>
      <c r="BA24" s="140">
        <f t="shared" ref="BA24:BB24" si="157">AX24+AG24</f>
        <v>142290</v>
      </c>
      <c r="BB24" s="326">
        <f t="shared" si="157"/>
        <v>0</v>
      </c>
      <c r="BC24" s="435">
        <f t="shared" si="46"/>
        <v>142290</v>
      </c>
      <c r="BD24" s="434">
        <f t="shared" si="112"/>
        <v>414097.18</v>
      </c>
      <c r="BE24" s="140">
        <f t="shared" si="48"/>
        <v>0</v>
      </c>
      <c r="BF24" s="123">
        <f t="shared" si="49"/>
        <v>0</v>
      </c>
      <c r="BG24" s="148">
        <f t="shared" si="50"/>
        <v>0</v>
      </c>
      <c r="BH24" s="125">
        <f t="shared" si="113"/>
        <v>193440.81</v>
      </c>
      <c r="BI24" s="140">
        <f t="shared" si="52"/>
        <v>118064.7</v>
      </c>
      <c r="BJ24" s="123">
        <f t="shared" si="53"/>
        <v>0</v>
      </c>
      <c r="BK24" s="125">
        <f t="shared" si="54"/>
        <v>118064.7</v>
      </c>
      <c r="BL24" s="436">
        <f t="shared" si="114"/>
        <v>0</v>
      </c>
      <c r="BM24" s="140">
        <f t="shared" si="56"/>
        <v>842404.98</v>
      </c>
      <c r="BN24" s="326">
        <f t="shared" si="57"/>
        <v>0</v>
      </c>
      <c r="BO24" s="333">
        <f t="shared" si="58"/>
        <v>842404.98</v>
      </c>
      <c r="BP24" s="140">
        <f t="shared" ref="BP24:BR24" si="158">SUM(BE24,BI24,BM24)</f>
        <v>960469.67999999993</v>
      </c>
      <c r="BQ24" s="141">
        <f t="shared" si="158"/>
        <v>0</v>
      </c>
      <c r="BR24" s="437">
        <f t="shared" si="158"/>
        <v>960469.67999999993</v>
      </c>
      <c r="BS24" s="422">
        <f t="shared" si="116"/>
        <v>252076.46</v>
      </c>
      <c r="BT24" s="140">
        <f t="shared" si="61"/>
        <v>0</v>
      </c>
      <c r="BU24" s="123">
        <f t="shared" si="62"/>
        <v>54607</v>
      </c>
      <c r="BV24" s="148">
        <f t="shared" si="63"/>
        <v>54607</v>
      </c>
      <c r="BW24" s="423">
        <f t="shared" si="117"/>
        <v>0</v>
      </c>
      <c r="BX24" s="424">
        <f t="shared" si="118"/>
        <v>1034258.81</v>
      </c>
    </row>
    <row r="25" spans="1:81" ht="15.75" customHeight="1">
      <c r="A25" s="92">
        <f t="shared" si="0"/>
        <v>112014187</v>
      </c>
      <c r="B25" s="93">
        <f t="shared" si="1"/>
        <v>22</v>
      </c>
      <c r="C25" s="137">
        <f>IFERROR(VLOOKUP(B25,DES,2,FALSE),"")</f>
        <v>0.1</v>
      </c>
      <c r="D25" s="137">
        <f>IFERROR(VLOOKUP(B25,DES,3,FALSE),"")</f>
        <v>0.09</v>
      </c>
      <c r="E25" s="98">
        <f>IFERROR(VLOOKUP(B25,DES,4,FALSE),"")</f>
        <v>0</v>
      </c>
      <c r="F25" s="414">
        <f t="shared" si="5"/>
        <v>63</v>
      </c>
      <c r="G25" s="94">
        <f t="shared" si="6"/>
        <v>0.1</v>
      </c>
      <c r="H25" s="415">
        <f t="shared" si="7"/>
        <v>0.05</v>
      </c>
      <c r="I25" s="139" t="s">
        <v>279</v>
      </c>
      <c r="J25" s="125">
        <f t="shared" si="100"/>
        <v>1253986.6000000001</v>
      </c>
      <c r="K25" s="416">
        <f t="shared" ref="K25:K26" si="159">(J25*1.601)*1.05</f>
        <v>2108014.1739300005</v>
      </c>
      <c r="L25" s="113">
        <f t="shared" si="9"/>
        <v>1986268.51</v>
      </c>
      <c r="M25" s="116">
        <f t="shared" si="10"/>
        <v>76661.039999999994</v>
      </c>
      <c r="N25" s="117">
        <f t="shared" si="11"/>
        <v>2062929.55</v>
      </c>
      <c r="O25" s="114">
        <f t="shared" si="101"/>
        <v>-45084.623930000467</v>
      </c>
      <c r="P25" s="413">
        <f t="shared" si="102"/>
        <v>0.97861275104903656</v>
      </c>
      <c r="Q25" s="125">
        <f t="shared" si="103"/>
        <v>1445120.45</v>
      </c>
      <c r="R25" s="113">
        <f t="shared" ref="R25:R27" si="160">(Q25*1.7245)*1.03</f>
        <v>2566873.5225057499</v>
      </c>
      <c r="S25" s="116">
        <f t="shared" si="14"/>
        <v>3304945.94</v>
      </c>
      <c r="T25" s="116">
        <f t="shared" si="15"/>
        <v>0</v>
      </c>
      <c r="U25" s="116">
        <f t="shared" si="16"/>
        <v>3304945.94</v>
      </c>
      <c r="V25" s="116">
        <f t="shared" si="17"/>
        <v>738072.41749425</v>
      </c>
      <c r="W25" s="413">
        <f t="shared" si="104"/>
        <v>1.2875375085772645</v>
      </c>
      <c r="X25" s="123">
        <f t="shared" si="69"/>
        <v>2441702.66</v>
      </c>
      <c r="Y25" s="121">
        <f t="shared" ref="Y25:Y27" si="161">(X25*1.5955)*1.03</f>
        <v>4012608.6918509002</v>
      </c>
      <c r="Z25" s="113">
        <f t="shared" si="19"/>
        <v>1898504.65</v>
      </c>
      <c r="AA25" s="116">
        <f t="shared" si="20"/>
        <v>0</v>
      </c>
      <c r="AB25" s="117">
        <f t="shared" si="21"/>
        <v>1898504.65</v>
      </c>
      <c r="AC25" s="114">
        <f t="shared" si="22"/>
        <v>-2114104.0418509003</v>
      </c>
      <c r="AD25" s="97">
        <f t="shared" si="105"/>
        <v>0.47313475990211112</v>
      </c>
      <c r="AE25" s="433">
        <f t="shared" si="24"/>
        <v>8687496.3882866502</v>
      </c>
      <c r="AF25" s="118">
        <f t="shared" si="25"/>
        <v>8443206.4000000004</v>
      </c>
      <c r="AG25" s="116">
        <f t="shared" si="26"/>
        <v>7189719.0999999996</v>
      </c>
      <c r="AH25" s="116">
        <f t="shared" si="27"/>
        <v>76661.039999999994</v>
      </c>
      <c r="AI25" s="116">
        <f t="shared" si="28"/>
        <v>7266380.1399999997</v>
      </c>
      <c r="AJ25" s="116">
        <f t="shared" si="29"/>
        <v>-1176826.2600000007</v>
      </c>
      <c r="AK25" s="418">
        <f t="shared" si="137"/>
        <v>0.8606185607401472</v>
      </c>
      <c r="AL25" s="434">
        <f t="shared" si="107"/>
        <v>2161987.66</v>
      </c>
      <c r="AM25" s="140">
        <f t="shared" si="32"/>
        <v>3345892.65</v>
      </c>
      <c r="AN25" s="326">
        <f t="shared" si="33"/>
        <v>0</v>
      </c>
      <c r="AO25" s="333">
        <f t="shared" si="34"/>
        <v>3345892.65</v>
      </c>
      <c r="AP25" s="125">
        <f t="shared" si="108"/>
        <v>1092052.6000000001</v>
      </c>
      <c r="AQ25" s="140">
        <f t="shared" si="36"/>
        <v>7716861.1499999994</v>
      </c>
      <c r="AR25" s="326">
        <f t="shared" si="37"/>
        <v>84511.9</v>
      </c>
      <c r="AS25" s="333">
        <f t="shared" si="38"/>
        <v>7801373.0499999998</v>
      </c>
      <c r="AT25" s="125">
        <f t="shared" si="109"/>
        <v>879295.79</v>
      </c>
      <c r="AU25" s="140">
        <f t="shared" si="40"/>
        <v>2000995.98</v>
      </c>
      <c r="AV25" s="326">
        <f t="shared" si="41"/>
        <v>146627.1</v>
      </c>
      <c r="AW25" s="332">
        <f t="shared" si="42"/>
        <v>2147623.08</v>
      </c>
      <c r="AX25" s="122">
        <f t="shared" si="43"/>
        <v>13063749.779999999</v>
      </c>
      <c r="AY25" s="326">
        <f t="shared" ref="AY25:AZ25" si="162">AN25+AR25+AV25</f>
        <v>231139</v>
      </c>
      <c r="AZ25" s="333">
        <f t="shared" si="162"/>
        <v>13294888.779999999</v>
      </c>
      <c r="BA25" s="140">
        <f t="shared" ref="BA25:BB25" si="163">AX25+AG25</f>
        <v>20253468.879999999</v>
      </c>
      <c r="BB25" s="326">
        <f t="shared" si="163"/>
        <v>307800.03999999998</v>
      </c>
      <c r="BC25" s="435">
        <f t="shared" si="46"/>
        <v>20561268.919999998</v>
      </c>
      <c r="BD25" s="434">
        <f t="shared" si="112"/>
        <v>7996791.2300000004</v>
      </c>
      <c r="BE25" s="140">
        <f t="shared" si="48"/>
        <v>984833.86</v>
      </c>
      <c r="BF25" s="123">
        <f t="shared" si="49"/>
        <v>0</v>
      </c>
      <c r="BG25" s="148">
        <f t="shared" si="50"/>
        <v>984833.86</v>
      </c>
      <c r="BH25" s="125">
        <f t="shared" si="113"/>
        <v>1803188.89</v>
      </c>
      <c r="BI25" s="140">
        <f t="shared" si="52"/>
        <v>1948947.53</v>
      </c>
      <c r="BJ25" s="123">
        <f t="shared" si="53"/>
        <v>0</v>
      </c>
      <c r="BK25" s="125">
        <f t="shared" si="54"/>
        <v>1948947.53</v>
      </c>
      <c r="BL25" s="436">
        <f t="shared" si="114"/>
        <v>3021800.68</v>
      </c>
      <c r="BM25" s="140">
        <f t="shared" si="56"/>
        <v>2229576.88</v>
      </c>
      <c r="BN25" s="326">
        <f t="shared" si="57"/>
        <v>0</v>
      </c>
      <c r="BO25" s="333">
        <f t="shared" si="58"/>
        <v>2229576.88</v>
      </c>
      <c r="BP25" s="140">
        <f t="shared" ref="BP25:BR25" si="164">SUM(BE25,BI25,BM25)</f>
        <v>5163358.2699999996</v>
      </c>
      <c r="BQ25" s="141">
        <f t="shared" si="164"/>
        <v>0</v>
      </c>
      <c r="BR25" s="437">
        <f t="shared" si="164"/>
        <v>5163358.2699999996</v>
      </c>
      <c r="BS25" s="422">
        <f t="shared" si="116"/>
        <v>2971294.8</v>
      </c>
      <c r="BT25" s="140">
        <f t="shared" si="61"/>
        <v>2368748.36</v>
      </c>
      <c r="BU25" s="123">
        <f t="shared" si="62"/>
        <v>62115.199999999997</v>
      </c>
      <c r="BV25" s="148">
        <f t="shared" si="63"/>
        <v>2430863.56</v>
      </c>
      <c r="BW25" s="423">
        <f t="shared" si="117"/>
        <v>2919008.1</v>
      </c>
      <c r="BX25" s="424">
        <f t="shared" si="118"/>
        <v>2552903.5</v>
      </c>
    </row>
    <row r="26" spans="1:81" ht="15.75" customHeight="1">
      <c r="A26" s="92">
        <f t="shared" si="0"/>
        <v>112012087</v>
      </c>
      <c r="B26" s="93">
        <f t="shared" si="1"/>
        <v>22</v>
      </c>
      <c r="C26" s="137">
        <f>VLOOKUP(B26,DES,2,FALSE)</f>
        <v>0.1</v>
      </c>
      <c r="D26" s="137">
        <f>VLOOKUP(B26,DES,3,FALSE)</f>
        <v>0.09</v>
      </c>
      <c r="E26" s="98">
        <f>VLOOKUP(B26,DES,4,FALSE)</f>
        <v>0</v>
      </c>
      <c r="F26" s="414">
        <f t="shared" si="5"/>
        <v>63</v>
      </c>
      <c r="G26" s="94">
        <f t="shared" si="6"/>
        <v>0.1</v>
      </c>
      <c r="H26" s="415">
        <f t="shared" si="7"/>
        <v>0.05</v>
      </c>
      <c r="I26" s="139" t="s">
        <v>280</v>
      </c>
      <c r="J26" s="125">
        <f t="shared" si="100"/>
        <v>622116.32999999996</v>
      </c>
      <c r="K26" s="416">
        <f t="shared" si="159"/>
        <v>1045808.6565464999</v>
      </c>
      <c r="L26" s="113">
        <f t="shared" si="9"/>
        <v>0</v>
      </c>
      <c r="M26" s="116">
        <f t="shared" si="10"/>
        <v>68105.59</v>
      </c>
      <c r="N26" s="117">
        <f t="shared" si="11"/>
        <v>68105.59</v>
      </c>
      <c r="O26" s="114">
        <f t="shared" si="101"/>
        <v>-977703.06654649996</v>
      </c>
      <c r="P26" s="413">
        <f t="shared" ref="P26:P27" si="165">IFERROR(N26/K26,"")</f>
        <v>6.5122419453765359E-2</v>
      </c>
      <c r="Q26" s="125">
        <f t="shared" si="103"/>
        <v>228956.4</v>
      </c>
      <c r="R26" s="113">
        <f t="shared" si="160"/>
        <v>406680.37115399999</v>
      </c>
      <c r="S26" s="116">
        <f t="shared" si="14"/>
        <v>0</v>
      </c>
      <c r="T26" s="116">
        <f t="shared" si="15"/>
        <v>0</v>
      </c>
      <c r="U26" s="116">
        <f t="shared" si="16"/>
        <v>0</v>
      </c>
      <c r="V26" s="116">
        <f t="shared" si="17"/>
        <v>-406680.37115399999</v>
      </c>
      <c r="W26" s="413">
        <f t="shared" ref="W26:W27" si="166">IFERROR(U26/R26,"")</f>
        <v>0</v>
      </c>
      <c r="X26" s="123">
        <f t="shared" si="69"/>
        <v>114883.69</v>
      </c>
      <c r="Y26" s="121">
        <f t="shared" si="161"/>
        <v>188795.83521685001</v>
      </c>
      <c r="Z26" s="113">
        <f t="shared" si="19"/>
        <v>5614.67</v>
      </c>
      <c r="AA26" s="116">
        <f t="shared" si="20"/>
        <v>0</v>
      </c>
      <c r="AB26" s="117">
        <f t="shared" si="21"/>
        <v>5614.67</v>
      </c>
      <c r="AC26" s="114">
        <f t="shared" si="22"/>
        <v>-183181.16521685</v>
      </c>
      <c r="AD26" s="97">
        <f t="shared" si="105"/>
        <v>2.9739374248118431E-2</v>
      </c>
      <c r="AE26" s="433">
        <f t="shared" si="24"/>
        <v>1641284.8629173499</v>
      </c>
      <c r="AF26" s="118">
        <f t="shared" si="25"/>
        <v>1693686.1</v>
      </c>
      <c r="AG26" s="116">
        <f t="shared" si="26"/>
        <v>5614.6699999999983</v>
      </c>
      <c r="AH26" s="116">
        <f t="shared" si="27"/>
        <v>68105.59</v>
      </c>
      <c r="AI26" s="116">
        <f t="shared" si="28"/>
        <v>73720.259999999995</v>
      </c>
      <c r="AJ26" s="116">
        <f t="shared" si="29"/>
        <v>-1619965.84</v>
      </c>
      <c r="AK26" s="418">
        <f t="shared" si="137"/>
        <v>4.3526518875014672E-2</v>
      </c>
      <c r="AL26" s="434">
        <f t="shared" si="107"/>
        <v>77623.59</v>
      </c>
      <c r="AM26" s="140">
        <f t="shared" si="32"/>
        <v>81702.899999999994</v>
      </c>
      <c r="AN26" s="326">
        <f t="shared" si="33"/>
        <v>0</v>
      </c>
      <c r="AO26" s="333">
        <f t="shared" si="34"/>
        <v>81702.899999999994</v>
      </c>
      <c r="AP26" s="125">
        <f t="shared" si="108"/>
        <v>0</v>
      </c>
      <c r="AQ26" s="140">
        <f t="shared" si="36"/>
        <v>0</v>
      </c>
      <c r="AR26" s="326">
        <f t="shared" si="37"/>
        <v>0</v>
      </c>
      <c r="AS26" s="333">
        <f t="shared" si="38"/>
        <v>0</v>
      </c>
      <c r="AT26" s="125">
        <f t="shared" si="109"/>
        <v>366027.74</v>
      </c>
      <c r="AU26" s="140">
        <f t="shared" si="40"/>
        <v>0</v>
      </c>
      <c r="AV26" s="326">
        <f t="shared" si="41"/>
        <v>0</v>
      </c>
      <c r="AW26" s="332">
        <f t="shared" si="42"/>
        <v>0</v>
      </c>
      <c r="AX26" s="122">
        <f t="shared" si="43"/>
        <v>81702.899999999994</v>
      </c>
      <c r="AY26" s="326">
        <f t="shared" ref="AY26:AZ26" si="167">AN26+AR26+AV26</f>
        <v>0</v>
      </c>
      <c r="AZ26" s="333">
        <f t="shared" si="167"/>
        <v>81702.899999999994</v>
      </c>
      <c r="BA26" s="140">
        <f t="shared" ref="BA26:BB26" si="168">AX26+AG26</f>
        <v>87317.569999999992</v>
      </c>
      <c r="BB26" s="326">
        <f t="shared" si="168"/>
        <v>68105.59</v>
      </c>
      <c r="BC26" s="435">
        <f t="shared" si="46"/>
        <v>155423.15999999997</v>
      </c>
      <c r="BD26" s="434">
        <f t="shared" si="112"/>
        <v>1386455.64</v>
      </c>
      <c r="BE26" s="140">
        <f t="shared" si="48"/>
        <v>25795.26</v>
      </c>
      <c r="BF26" s="123">
        <f t="shared" si="49"/>
        <v>0</v>
      </c>
      <c r="BG26" s="148">
        <f t="shared" si="50"/>
        <v>25795.26</v>
      </c>
      <c r="BH26" s="125">
        <f t="shared" si="113"/>
        <v>185416.22</v>
      </c>
      <c r="BI26" s="140">
        <f t="shared" si="52"/>
        <v>0</v>
      </c>
      <c r="BJ26" s="123">
        <f t="shared" si="53"/>
        <v>15761.69</v>
      </c>
      <c r="BK26" s="125">
        <f t="shared" si="54"/>
        <v>15761.69</v>
      </c>
      <c r="BL26" s="436">
        <f t="shared" si="114"/>
        <v>59551.16</v>
      </c>
      <c r="BM26" s="140">
        <f t="shared" si="56"/>
        <v>73882.329999999987</v>
      </c>
      <c r="BN26" s="326">
        <f t="shared" si="57"/>
        <v>101124.1</v>
      </c>
      <c r="BO26" s="333">
        <f t="shared" si="58"/>
        <v>175006.43</v>
      </c>
      <c r="BP26" s="140">
        <f t="shared" ref="BP26:BR26" si="169">SUM(BE26,BI26,BM26)</f>
        <v>99677.589999999982</v>
      </c>
      <c r="BQ26" s="141">
        <f t="shared" si="169"/>
        <v>116885.79000000001</v>
      </c>
      <c r="BR26" s="437">
        <f t="shared" si="169"/>
        <v>216563.38</v>
      </c>
      <c r="BS26" s="422">
        <f t="shared" si="116"/>
        <v>732689.65</v>
      </c>
      <c r="BT26" s="140">
        <f t="shared" si="61"/>
        <v>277080.18</v>
      </c>
      <c r="BU26" s="123">
        <f t="shared" si="62"/>
        <v>20003.96</v>
      </c>
      <c r="BV26" s="148">
        <f t="shared" si="63"/>
        <v>297084.14</v>
      </c>
      <c r="BW26" s="423">
        <f t="shared" si="117"/>
        <v>782289.5</v>
      </c>
      <c r="BX26" s="424">
        <f t="shared" si="118"/>
        <v>178706.95</v>
      </c>
    </row>
    <row r="27" spans="1:81" ht="15.75" customHeight="1">
      <c r="A27" s="92">
        <f t="shared" si="0"/>
        <v>112013447</v>
      </c>
      <c r="B27" s="93">
        <f t="shared" si="1"/>
        <v>22</v>
      </c>
      <c r="C27" s="137">
        <f>VLOOKUP(B27,DES,2,FALSE)</f>
        <v>0.1</v>
      </c>
      <c r="D27" s="137">
        <f>VLOOKUP(B27,DES,3,FALSE)</f>
        <v>0.09</v>
      </c>
      <c r="E27" s="98">
        <f>VLOOKUP(B27,DES,4,FALSE)</f>
        <v>0</v>
      </c>
      <c r="F27" s="414">
        <f t="shared" si="5"/>
        <v>63</v>
      </c>
      <c r="G27" s="94">
        <f t="shared" si="6"/>
        <v>0.1</v>
      </c>
      <c r="H27" s="415">
        <f t="shared" si="7"/>
        <v>0.05</v>
      </c>
      <c r="I27" s="139" t="s">
        <v>281</v>
      </c>
      <c r="J27" s="125"/>
      <c r="K27" s="416"/>
      <c r="L27" s="113" t="e">
        <f t="shared" si="9"/>
        <v>#VALUE!</v>
      </c>
      <c r="M27" s="116" t="str">
        <f t="shared" si="10"/>
        <v/>
      </c>
      <c r="N27" s="117">
        <f t="shared" si="11"/>
        <v>0</v>
      </c>
      <c r="O27" s="114">
        <f t="shared" si="101"/>
        <v>0</v>
      </c>
      <c r="P27" s="413" t="str">
        <f t="shared" si="165"/>
        <v/>
      </c>
      <c r="Q27" s="125" t="str">
        <f t="shared" si="103"/>
        <v/>
      </c>
      <c r="R27" s="113" t="e">
        <f t="shared" si="160"/>
        <v>#VALUE!</v>
      </c>
      <c r="S27" s="116" t="e">
        <f t="shared" si="14"/>
        <v>#VALUE!</v>
      </c>
      <c r="T27" s="116" t="str">
        <f t="shared" si="15"/>
        <v/>
      </c>
      <c r="U27" s="116">
        <f t="shared" si="16"/>
        <v>0</v>
      </c>
      <c r="V27" s="116" t="e">
        <f t="shared" si="17"/>
        <v>#VALUE!</v>
      </c>
      <c r="W27" s="413" t="str">
        <f t="shared" si="166"/>
        <v/>
      </c>
      <c r="X27" s="123" t="str">
        <f t="shared" si="69"/>
        <v/>
      </c>
      <c r="Y27" s="121" t="e">
        <f t="shared" si="161"/>
        <v>#VALUE!</v>
      </c>
      <c r="Z27" s="113" t="e">
        <f t="shared" si="19"/>
        <v>#VALUE!</v>
      </c>
      <c r="AA27" s="116" t="str">
        <f t="shared" si="20"/>
        <v/>
      </c>
      <c r="AB27" s="117">
        <f t="shared" si="21"/>
        <v>0</v>
      </c>
      <c r="AC27" s="114" t="e">
        <f t="shared" si="22"/>
        <v>#VALUE!</v>
      </c>
      <c r="AD27" s="97" t="e">
        <f t="shared" si="105"/>
        <v>#VALUE!</v>
      </c>
      <c r="AE27" s="433" t="e">
        <f t="shared" si="24"/>
        <v>#VALUE!</v>
      </c>
      <c r="AF27" s="118" t="str">
        <f t="shared" si="25"/>
        <v>0</v>
      </c>
      <c r="AG27" s="116">
        <f t="shared" si="26"/>
        <v>0</v>
      </c>
      <c r="AH27" s="116">
        <f t="shared" si="27"/>
        <v>0</v>
      </c>
      <c r="AI27" s="116">
        <f t="shared" si="28"/>
        <v>0</v>
      </c>
      <c r="AJ27" s="116">
        <f t="shared" si="29"/>
        <v>0</v>
      </c>
      <c r="AK27" s="418" t="str">
        <f t="shared" si="137"/>
        <v/>
      </c>
      <c r="AL27" s="434" t="str">
        <f t="shared" si="107"/>
        <v/>
      </c>
      <c r="AM27" s="140" t="e">
        <f t="shared" si="32"/>
        <v>#VALUE!</v>
      </c>
      <c r="AN27" s="326" t="str">
        <f t="shared" si="33"/>
        <v/>
      </c>
      <c r="AO27" s="333">
        <f t="shared" si="34"/>
        <v>0</v>
      </c>
      <c r="AP27" s="125"/>
      <c r="AQ27" s="140"/>
      <c r="AR27" s="326"/>
      <c r="AS27" s="333"/>
      <c r="AT27" s="125"/>
      <c r="AU27" s="140" t="e">
        <f t="shared" si="40"/>
        <v>#VALUE!</v>
      </c>
      <c r="AV27" s="326" t="str">
        <f t="shared" si="41"/>
        <v/>
      </c>
      <c r="AW27" s="332">
        <f t="shared" si="42"/>
        <v>430920.06</v>
      </c>
      <c r="AX27" s="122" t="e">
        <f t="shared" si="43"/>
        <v>#VALUE!</v>
      </c>
      <c r="AY27" s="326" t="e">
        <f t="shared" ref="AY27:AZ27" si="170">AN27+AR27+AV27</f>
        <v>#VALUE!</v>
      </c>
      <c r="AZ27" s="333">
        <f t="shared" si="170"/>
        <v>430920.06</v>
      </c>
      <c r="BA27" s="140" t="e">
        <f t="shared" ref="BA27:BB27" si="171">AX27+AG27</f>
        <v>#VALUE!</v>
      </c>
      <c r="BB27" s="326" t="e">
        <f t="shared" si="171"/>
        <v>#VALUE!</v>
      </c>
      <c r="BC27" s="435">
        <f t="shared" si="46"/>
        <v>430920.06</v>
      </c>
      <c r="BD27" s="434"/>
      <c r="BE27" s="140" t="e">
        <f t="shared" si="48"/>
        <v>#VALUE!</v>
      </c>
      <c r="BF27" s="123" t="str">
        <f t="shared" si="49"/>
        <v/>
      </c>
      <c r="BG27" s="148">
        <f t="shared" si="50"/>
        <v>220522.39</v>
      </c>
      <c r="BH27" s="125"/>
      <c r="BI27" s="140" t="e">
        <f t="shared" si="52"/>
        <v>#VALUE!</v>
      </c>
      <c r="BJ27" s="123" t="str">
        <f t="shared" si="53"/>
        <v/>
      </c>
      <c r="BK27" s="125">
        <f t="shared" si="54"/>
        <v>287280</v>
      </c>
      <c r="BL27" s="436"/>
      <c r="BM27" s="140" t="e">
        <f t="shared" si="56"/>
        <v>#VALUE!</v>
      </c>
      <c r="BN27" s="326" t="str">
        <f t="shared" si="57"/>
        <v/>
      </c>
      <c r="BO27" s="333">
        <f t="shared" si="58"/>
        <v>215460</v>
      </c>
      <c r="BP27" s="140" t="e">
        <f t="shared" ref="BP27:BR27" si="172">SUM(BE27,BI27,BM27)</f>
        <v>#VALUE!</v>
      </c>
      <c r="BQ27" s="141">
        <f t="shared" si="172"/>
        <v>0</v>
      </c>
      <c r="BR27" s="437">
        <f t="shared" si="172"/>
        <v>723262.39</v>
      </c>
      <c r="BS27" s="422"/>
      <c r="BT27" s="140" t="e">
        <f t="shared" si="61"/>
        <v>#VALUE!</v>
      </c>
      <c r="BU27" s="123" t="str">
        <f t="shared" si="62"/>
        <v/>
      </c>
      <c r="BV27" s="148">
        <f t="shared" si="63"/>
        <v>0</v>
      </c>
      <c r="BW27" s="423"/>
      <c r="BX27" s="424"/>
    </row>
    <row r="28" spans="1:81" ht="15.75" customHeight="1">
      <c r="A28" s="92">
        <f t="shared" si="0"/>
        <v>112014701</v>
      </c>
      <c r="B28" s="93">
        <f t="shared" si="1"/>
        <v>22</v>
      </c>
      <c r="C28" s="137">
        <f>IFERROR(VLOOKUP(B28,DES,2,FALSE),"")</f>
        <v>0.1</v>
      </c>
      <c r="D28" s="137">
        <f>IFERROR(VLOOKUP(B28,DES,3,FALSE),"")</f>
        <v>0.09</v>
      </c>
      <c r="E28" s="98">
        <f>IFERROR(VLOOKUP(B28,DES,4,FALSE),"")</f>
        <v>0</v>
      </c>
      <c r="F28" s="414">
        <f t="shared" si="5"/>
        <v>63</v>
      </c>
      <c r="G28" s="94">
        <f t="shared" si="6"/>
        <v>0.1</v>
      </c>
      <c r="H28" s="415">
        <f t="shared" si="7"/>
        <v>0.05</v>
      </c>
      <c r="I28" s="139" t="s">
        <v>282</v>
      </c>
      <c r="J28" s="125" t="str">
        <f t="shared" ref="J28:J48" si="173">IFERROR(VLOOKUP(I28,CALO24,3,FALSE),"")</f>
        <v/>
      </c>
      <c r="K28" s="237">
        <v>1800000</v>
      </c>
      <c r="L28" s="113">
        <f t="shared" si="9"/>
        <v>2504095.7400000002</v>
      </c>
      <c r="M28" s="116">
        <f t="shared" si="10"/>
        <v>0</v>
      </c>
      <c r="N28" s="117">
        <f t="shared" si="11"/>
        <v>2504095.7400000002</v>
      </c>
      <c r="O28" s="114">
        <f t="shared" si="101"/>
        <v>704095.74000000022</v>
      </c>
      <c r="P28" s="413">
        <f t="shared" ref="P28:P43" si="174">N28/K28</f>
        <v>1.3911643</v>
      </c>
      <c r="Q28" s="125" t="str">
        <f t="shared" si="103"/>
        <v/>
      </c>
      <c r="R28" s="236">
        <v>1800000</v>
      </c>
      <c r="S28" s="116">
        <f t="shared" si="14"/>
        <v>865161.03</v>
      </c>
      <c r="T28" s="116">
        <f t="shared" si="15"/>
        <v>0</v>
      </c>
      <c r="U28" s="116">
        <f t="shared" si="16"/>
        <v>865161.03</v>
      </c>
      <c r="V28" s="116">
        <f t="shared" si="17"/>
        <v>-934838.97</v>
      </c>
      <c r="W28" s="413">
        <f t="shared" ref="W28:W42" si="175">U28/R28</f>
        <v>0.4806450166666667</v>
      </c>
      <c r="X28" s="123" t="str">
        <f t="shared" si="69"/>
        <v/>
      </c>
      <c r="Y28" s="456">
        <v>1800000</v>
      </c>
      <c r="Z28" s="113">
        <f t="shared" si="19"/>
        <v>2399699.31</v>
      </c>
      <c r="AA28" s="116">
        <f t="shared" si="20"/>
        <v>0</v>
      </c>
      <c r="AB28" s="117">
        <f t="shared" si="21"/>
        <v>2399699.31</v>
      </c>
      <c r="AC28" s="114">
        <f t="shared" si="22"/>
        <v>599699.31000000006</v>
      </c>
      <c r="AD28" s="97">
        <f t="shared" si="105"/>
        <v>1.3331662833333333</v>
      </c>
      <c r="AE28" s="433">
        <f t="shared" si="24"/>
        <v>5400000</v>
      </c>
      <c r="AF28" s="118" t="str">
        <f t="shared" si="25"/>
        <v>0</v>
      </c>
      <c r="AG28" s="116">
        <f t="shared" si="26"/>
        <v>5768956.0800000001</v>
      </c>
      <c r="AH28" s="116">
        <f t="shared" si="27"/>
        <v>0</v>
      </c>
      <c r="AI28" s="116">
        <f t="shared" si="28"/>
        <v>5768956.0800000001</v>
      </c>
      <c r="AJ28" s="116">
        <f t="shared" si="29"/>
        <v>5768956.0800000001</v>
      </c>
      <c r="AK28" s="418" t="e">
        <f>AI28/AF28</f>
        <v>#DIV/0!</v>
      </c>
      <c r="AL28" s="434" t="str">
        <f t="shared" si="107"/>
        <v/>
      </c>
      <c r="AM28" s="140">
        <f t="shared" si="32"/>
        <v>2995321.76</v>
      </c>
      <c r="AN28" s="326">
        <f t="shared" si="33"/>
        <v>0</v>
      </c>
      <c r="AO28" s="333">
        <f t="shared" si="34"/>
        <v>2995321.76</v>
      </c>
      <c r="AP28" s="125" t="str">
        <f t="shared" ref="AP28:AP59" si="176">IFERROR(VLOOKUP(I28,CALO24,7,FALSE),"")</f>
        <v/>
      </c>
      <c r="AQ28" s="140">
        <f t="shared" ref="AQ28:AQ99" si="177">AS28-AR28</f>
        <v>794354.43</v>
      </c>
      <c r="AR28" s="326">
        <f t="shared" ref="AR28:AR59" si="178">IFERROR(VLOOKUP(I28,CALOALIM,7,FALSE),"")</f>
        <v>0</v>
      </c>
      <c r="AS28" s="333">
        <f t="shared" ref="AS28:AS59" si="179">IFERROR(VLOOKUP(I28,CALOFC,7,FALSE),"")</f>
        <v>794354.43</v>
      </c>
      <c r="AT28" s="125" t="str">
        <f t="shared" ref="AT28:AT59" si="180">IFERROR(VLOOKUP(I28,CALO24,8,FALSE),"")</f>
        <v/>
      </c>
      <c r="AU28" s="140">
        <f t="shared" si="40"/>
        <v>3701786.2</v>
      </c>
      <c r="AV28" s="326">
        <f t="shared" si="41"/>
        <v>0</v>
      </c>
      <c r="AW28" s="332">
        <f t="shared" si="42"/>
        <v>3701786.2</v>
      </c>
      <c r="AX28" s="122">
        <f t="shared" si="43"/>
        <v>7491462.3899999997</v>
      </c>
      <c r="AY28" s="326">
        <f t="shared" ref="AY28:AZ28" si="181">AN28+AR28+AV28</f>
        <v>0</v>
      </c>
      <c r="AZ28" s="333">
        <f t="shared" si="181"/>
        <v>7491462.3900000006</v>
      </c>
      <c r="BA28" s="140">
        <f t="shared" ref="BA28:BB28" si="182">AX28+AG28</f>
        <v>13260418.469999999</v>
      </c>
      <c r="BB28" s="326">
        <f t="shared" si="182"/>
        <v>0</v>
      </c>
      <c r="BC28" s="435">
        <f t="shared" si="46"/>
        <v>13260418.470000001</v>
      </c>
      <c r="BD28" s="434" t="str">
        <f t="shared" ref="BD28:BD59" si="183">IFERROR(VLOOKUP(I28,CALO24,9,FALSE),"")</f>
        <v/>
      </c>
      <c r="BE28" s="140">
        <f t="shared" si="48"/>
        <v>1959943.8599999999</v>
      </c>
      <c r="BF28" s="123">
        <f t="shared" si="49"/>
        <v>31057.599999999999</v>
      </c>
      <c r="BG28" s="148">
        <f t="shared" si="50"/>
        <v>1991001.46</v>
      </c>
      <c r="BH28" s="125" t="str">
        <f t="shared" ref="BH28:BH48" si="184">IFERROR(VLOOKUP(I28,CALO24,10,FALSE),"")</f>
        <v/>
      </c>
      <c r="BI28" s="140">
        <f t="shared" si="52"/>
        <v>2683660.62</v>
      </c>
      <c r="BJ28" s="123">
        <f t="shared" si="53"/>
        <v>0</v>
      </c>
      <c r="BK28" s="125">
        <f t="shared" si="54"/>
        <v>2683660.62</v>
      </c>
      <c r="BL28" s="436" t="str">
        <f t="shared" ref="BL28:BL48" si="185">IFERROR(VLOOKUP(I28,CALO24,11,FALSE),"")</f>
        <v/>
      </c>
      <c r="BM28" s="140">
        <f t="shared" si="56"/>
        <v>4426096.46</v>
      </c>
      <c r="BN28" s="326">
        <f t="shared" si="57"/>
        <v>0</v>
      </c>
      <c r="BO28" s="333">
        <f t="shared" si="58"/>
        <v>4426096.46</v>
      </c>
      <c r="BP28" s="140">
        <f t="shared" ref="BP28:BR28" si="186">SUM(BE28,BI28,BM28)</f>
        <v>9069700.9400000013</v>
      </c>
      <c r="BQ28" s="141">
        <f t="shared" si="186"/>
        <v>31057.599999999999</v>
      </c>
      <c r="BR28" s="437">
        <f t="shared" si="186"/>
        <v>9100758.5399999991</v>
      </c>
      <c r="BS28" s="422" t="str">
        <f t="shared" ref="BS28:BS48" si="187">IFERROR(VLOOKUP(I28,CALO24,12,FALSE),"")</f>
        <v/>
      </c>
      <c r="BT28" s="140">
        <f t="shared" si="61"/>
        <v>2504804.64</v>
      </c>
      <c r="BU28" s="123">
        <f t="shared" si="62"/>
        <v>0</v>
      </c>
      <c r="BV28" s="148">
        <f t="shared" si="63"/>
        <v>2504804.64</v>
      </c>
      <c r="BW28" s="423" t="str">
        <f t="shared" ref="BW28:BW48" si="188">IFERROR(VLOOKUP(I28,CALO24,13,FALSE),"")</f>
        <v/>
      </c>
      <c r="BX28" s="424" t="str">
        <f t="shared" ref="BX28:BX48" si="189">IFERROR(VLOOKUP(I28,CALO24,14,FALSE),"")</f>
        <v/>
      </c>
    </row>
    <row r="29" spans="1:81" ht="15.75" customHeight="1">
      <c r="A29" s="92">
        <f t="shared" si="0"/>
        <v>112014237</v>
      </c>
      <c r="B29" s="93">
        <f t="shared" si="1"/>
        <v>29</v>
      </c>
      <c r="C29" s="137">
        <f>VLOOKUP(B29,DES,2,FALSE)</f>
        <v>0.05</v>
      </c>
      <c r="D29" s="137">
        <f>VLOOKUP(B29,DES,3,FALSE)</f>
        <v>0.2</v>
      </c>
      <c r="E29" s="98">
        <f>VLOOKUP(B29,DES,4,FALSE)</f>
        <v>0</v>
      </c>
      <c r="F29" s="414">
        <f t="shared" si="5"/>
        <v>66</v>
      </c>
      <c r="G29" s="94">
        <f t="shared" si="6"/>
        <v>0.05</v>
      </c>
      <c r="H29" s="415">
        <f t="shared" si="7"/>
        <v>0.11</v>
      </c>
      <c r="I29" s="139" t="s">
        <v>283</v>
      </c>
      <c r="J29" s="125">
        <f t="shared" si="173"/>
        <v>1598728.48</v>
      </c>
      <c r="K29" s="141">
        <f>(J29*1.601)*1.05</f>
        <v>2687542.5113039999</v>
      </c>
      <c r="L29" s="113">
        <f t="shared" si="9"/>
        <v>1541142.46</v>
      </c>
      <c r="M29" s="116">
        <f t="shared" si="10"/>
        <v>503976.32</v>
      </c>
      <c r="N29" s="117">
        <f t="shared" si="11"/>
        <v>2045118.78</v>
      </c>
      <c r="O29" s="114">
        <f t="shared" si="101"/>
        <v>-642423.7313039999</v>
      </c>
      <c r="P29" s="413">
        <f t="shared" si="174"/>
        <v>0.76096239274284261</v>
      </c>
      <c r="Q29" s="125">
        <f t="shared" si="103"/>
        <v>2057429.89</v>
      </c>
      <c r="R29" s="140">
        <f>(Q29*1.7245)*1.03</f>
        <v>3654478.9806641494</v>
      </c>
      <c r="S29" s="116">
        <f t="shared" si="14"/>
        <v>941194.3200000003</v>
      </c>
      <c r="T29" s="116">
        <f t="shared" si="15"/>
        <v>2083625.92</v>
      </c>
      <c r="U29" s="116">
        <f t="shared" si="16"/>
        <v>3024820.24</v>
      </c>
      <c r="V29" s="116">
        <f t="shared" si="17"/>
        <v>-629658.74066414917</v>
      </c>
      <c r="W29" s="413">
        <f t="shared" si="175"/>
        <v>0.827702185729984</v>
      </c>
      <c r="X29" s="459">
        <f t="shared" si="69"/>
        <v>857971.28</v>
      </c>
      <c r="Y29" s="456">
        <v>1800000</v>
      </c>
      <c r="Z29" s="113">
        <f t="shared" si="19"/>
        <v>307891.69999999972</v>
      </c>
      <c r="AA29" s="116">
        <f t="shared" si="20"/>
        <v>2207596.87</v>
      </c>
      <c r="AB29" s="117">
        <f t="shared" si="21"/>
        <v>2515488.5699999998</v>
      </c>
      <c r="AC29" s="114">
        <f t="shared" si="22"/>
        <v>715488.56999999983</v>
      </c>
      <c r="AD29" s="97">
        <f t="shared" si="105"/>
        <v>1.3974936499999999</v>
      </c>
      <c r="AE29" s="433">
        <f t="shared" si="24"/>
        <v>8142021.4919681493</v>
      </c>
      <c r="AF29" s="118">
        <f t="shared" si="25"/>
        <v>6279300.9400000004</v>
      </c>
      <c r="AG29" s="116">
        <f t="shared" si="26"/>
        <v>706602.56000000052</v>
      </c>
      <c r="AH29" s="116">
        <f t="shared" si="27"/>
        <v>6878825.0300000003</v>
      </c>
      <c r="AI29" s="116">
        <f t="shared" si="28"/>
        <v>7585427.5900000008</v>
      </c>
      <c r="AJ29" s="116">
        <f t="shared" si="29"/>
        <v>1306126.6500000004</v>
      </c>
      <c r="AK29" s="418">
        <f t="shared" ref="AK29:AK52" si="190">IFERROR(AI29/AF29,"")</f>
        <v>1.2080051047848011</v>
      </c>
      <c r="AL29" s="434">
        <f t="shared" si="107"/>
        <v>1406051.29</v>
      </c>
      <c r="AM29" s="140">
        <f t="shared" si="32"/>
        <v>525700.34999999986</v>
      </c>
      <c r="AN29" s="326">
        <f t="shared" si="33"/>
        <v>1473778.56</v>
      </c>
      <c r="AO29" s="333">
        <f t="shared" si="34"/>
        <v>1999478.91</v>
      </c>
      <c r="AP29" s="125">
        <f t="shared" si="176"/>
        <v>1640770.3</v>
      </c>
      <c r="AQ29" s="140">
        <f t="shared" si="177"/>
        <v>656886.26</v>
      </c>
      <c r="AR29" s="326">
        <f t="shared" si="178"/>
        <v>1168210.32</v>
      </c>
      <c r="AS29" s="333">
        <f t="shared" si="179"/>
        <v>1825096.58</v>
      </c>
      <c r="AT29" s="125">
        <f t="shared" si="180"/>
        <v>1411241.74</v>
      </c>
      <c r="AU29" s="140">
        <f t="shared" si="40"/>
        <v>1808878.19</v>
      </c>
      <c r="AV29" s="326">
        <f t="shared" si="41"/>
        <v>808743.44</v>
      </c>
      <c r="AW29" s="332">
        <f t="shared" si="42"/>
        <v>2617621.63</v>
      </c>
      <c r="AX29" s="122">
        <f t="shared" si="43"/>
        <v>2991464.8</v>
      </c>
      <c r="AY29" s="326">
        <f t="shared" ref="AY29:AZ29" si="191">AN29+AR29+AV29</f>
        <v>3450732.32</v>
      </c>
      <c r="AZ29" s="333">
        <f t="shared" si="191"/>
        <v>6442197.1200000001</v>
      </c>
      <c r="BA29" s="140">
        <f t="shared" ref="BA29:BB29" si="192">AX29+AG29</f>
        <v>3698067.3600000003</v>
      </c>
      <c r="BB29" s="326">
        <f t="shared" si="192"/>
        <v>10329557.35</v>
      </c>
      <c r="BC29" s="435">
        <f t="shared" si="46"/>
        <v>14027624.710000001</v>
      </c>
      <c r="BD29" s="434">
        <f t="shared" si="183"/>
        <v>3470677.37</v>
      </c>
      <c r="BE29" s="140">
        <f t="shared" si="48"/>
        <v>763945.48</v>
      </c>
      <c r="BF29" s="123">
        <f t="shared" si="49"/>
        <v>4059596.72</v>
      </c>
      <c r="BG29" s="148">
        <f t="shared" si="50"/>
        <v>4823542.2</v>
      </c>
      <c r="BH29" s="125">
        <f t="shared" si="184"/>
        <v>3673125.19</v>
      </c>
      <c r="BI29" s="140">
        <f t="shared" si="52"/>
        <v>785290.85</v>
      </c>
      <c r="BJ29" s="123">
        <f t="shared" si="53"/>
        <v>720069.12</v>
      </c>
      <c r="BK29" s="125">
        <f t="shared" si="54"/>
        <v>1505359.97</v>
      </c>
      <c r="BL29" s="436">
        <f t="shared" si="185"/>
        <v>3066595.15</v>
      </c>
      <c r="BM29" s="140">
        <f t="shared" si="56"/>
        <v>796055.69999999972</v>
      </c>
      <c r="BN29" s="326">
        <f t="shared" si="57"/>
        <v>3018950.49</v>
      </c>
      <c r="BO29" s="333">
        <f t="shared" si="58"/>
        <v>3815006.19</v>
      </c>
      <c r="BP29" s="140">
        <f t="shared" ref="BP29:BR29" si="193">SUM(BE29,BI29,BM29)</f>
        <v>2345292.0299999998</v>
      </c>
      <c r="BQ29" s="141">
        <f t="shared" si="193"/>
        <v>7798616.3300000001</v>
      </c>
      <c r="BR29" s="437">
        <f t="shared" si="193"/>
        <v>10143908.359999999</v>
      </c>
      <c r="BS29" s="422">
        <f t="shared" si="187"/>
        <v>1716796.8</v>
      </c>
      <c r="BT29" s="140">
        <f t="shared" si="61"/>
        <v>984742.98</v>
      </c>
      <c r="BU29" s="123">
        <f t="shared" si="62"/>
        <v>3607472.36</v>
      </c>
      <c r="BV29" s="148">
        <f t="shared" si="63"/>
        <v>4592215.34</v>
      </c>
      <c r="BW29" s="423">
        <f t="shared" si="188"/>
        <v>2721971.26</v>
      </c>
      <c r="BX29" s="424">
        <f t="shared" si="189"/>
        <v>1840532.88</v>
      </c>
    </row>
    <row r="30" spans="1:81" ht="15.75" customHeight="1">
      <c r="A30" s="92">
        <f t="shared" si="0"/>
        <v>112014421</v>
      </c>
      <c r="B30" s="93">
        <f t="shared" si="1"/>
        <v>29</v>
      </c>
      <c r="C30" s="137">
        <f>IFERROR(VLOOKUP(B30,DES,2,FALSE),"")</f>
        <v>0.05</v>
      </c>
      <c r="D30" s="137">
        <f>IFERROR(VLOOKUP(B30,DES,3,FALSE),"")</f>
        <v>0.2</v>
      </c>
      <c r="E30" s="98">
        <f>IFERROR(VLOOKUP(B30,DES,4,FALSE),"")</f>
        <v>0</v>
      </c>
      <c r="F30" s="414">
        <f t="shared" si="5"/>
        <v>66</v>
      </c>
      <c r="G30" s="94">
        <f t="shared" si="6"/>
        <v>0.05</v>
      </c>
      <c r="H30" s="415">
        <f t="shared" si="7"/>
        <v>0.11</v>
      </c>
      <c r="I30" s="139" t="s">
        <v>284</v>
      </c>
      <c r="J30" s="125">
        <f t="shared" si="173"/>
        <v>0</v>
      </c>
      <c r="K30" s="244">
        <v>1800000</v>
      </c>
      <c r="L30" s="113">
        <f t="shared" si="9"/>
        <v>82219.600000000006</v>
      </c>
      <c r="M30" s="116">
        <f t="shared" si="10"/>
        <v>19800</v>
      </c>
      <c r="N30" s="117">
        <f t="shared" si="11"/>
        <v>102019.6</v>
      </c>
      <c r="O30" s="114">
        <f t="shared" si="101"/>
        <v>-1697980.4</v>
      </c>
      <c r="P30" s="413">
        <f t="shared" si="174"/>
        <v>5.6677555555555557E-2</v>
      </c>
      <c r="Q30" s="125">
        <f t="shared" si="103"/>
        <v>0</v>
      </c>
      <c r="R30" s="458">
        <v>1800000</v>
      </c>
      <c r="S30" s="116">
        <f t="shared" si="14"/>
        <v>94460.93</v>
      </c>
      <c r="T30" s="116">
        <f t="shared" si="15"/>
        <v>0</v>
      </c>
      <c r="U30" s="116">
        <f t="shared" si="16"/>
        <v>94460.93</v>
      </c>
      <c r="V30" s="116">
        <f t="shared" si="17"/>
        <v>-1705539.07</v>
      </c>
      <c r="W30" s="413">
        <f t="shared" si="175"/>
        <v>5.2478294444444441E-2</v>
      </c>
      <c r="X30" s="123">
        <f t="shared" si="69"/>
        <v>0</v>
      </c>
      <c r="Y30" s="457">
        <v>1800000</v>
      </c>
      <c r="Z30" s="113">
        <f t="shared" si="19"/>
        <v>19796.669999999998</v>
      </c>
      <c r="AA30" s="116">
        <f t="shared" si="20"/>
        <v>0</v>
      </c>
      <c r="AB30" s="117">
        <f t="shared" si="21"/>
        <v>19796.669999999998</v>
      </c>
      <c r="AC30" s="114">
        <f t="shared" si="22"/>
        <v>-1780203.33</v>
      </c>
      <c r="AD30" s="97">
        <f t="shared" si="105"/>
        <v>1.0998149999999998E-2</v>
      </c>
      <c r="AE30" s="433">
        <f t="shared" si="24"/>
        <v>5400000</v>
      </c>
      <c r="AF30" s="118">
        <f t="shared" si="25"/>
        <v>789418.69</v>
      </c>
      <c r="AG30" s="116">
        <f t="shared" si="26"/>
        <v>196477.2</v>
      </c>
      <c r="AH30" s="116">
        <f t="shared" si="27"/>
        <v>19800</v>
      </c>
      <c r="AI30" s="116">
        <f t="shared" si="28"/>
        <v>216277.2</v>
      </c>
      <c r="AJ30" s="116">
        <f t="shared" si="29"/>
        <v>-573141.49</v>
      </c>
      <c r="AK30" s="418">
        <f t="shared" si="190"/>
        <v>0.27397020458180438</v>
      </c>
      <c r="AL30" s="434">
        <f t="shared" si="107"/>
        <v>0</v>
      </c>
      <c r="AM30" s="140">
        <f t="shared" si="32"/>
        <v>91009.67</v>
      </c>
      <c r="AN30" s="326">
        <f t="shared" si="33"/>
        <v>39953.279999999999</v>
      </c>
      <c r="AO30" s="333">
        <f t="shared" si="34"/>
        <v>130962.95</v>
      </c>
      <c r="AP30" s="125">
        <f t="shared" si="176"/>
        <v>990979.28</v>
      </c>
      <c r="AQ30" s="140">
        <f t="shared" si="177"/>
        <v>36370.400000000001</v>
      </c>
      <c r="AR30" s="326">
        <f t="shared" si="178"/>
        <v>41950.96</v>
      </c>
      <c r="AS30" s="333">
        <f t="shared" si="179"/>
        <v>78321.36</v>
      </c>
      <c r="AT30" s="125">
        <f t="shared" si="180"/>
        <v>0.03</v>
      </c>
      <c r="AU30" s="140">
        <f t="shared" si="40"/>
        <v>95219.920000000013</v>
      </c>
      <c r="AV30" s="326">
        <f t="shared" si="41"/>
        <v>31057.599999999999</v>
      </c>
      <c r="AW30" s="332">
        <f t="shared" si="42"/>
        <v>126277.52</v>
      </c>
      <c r="AX30" s="122">
        <f t="shared" si="43"/>
        <v>222599.99</v>
      </c>
      <c r="AY30" s="326">
        <f t="shared" ref="AY30:AZ30" si="194">AN30+AR30+AV30</f>
        <v>112961.84</v>
      </c>
      <c r="AZ30" s="333">
        <f t="shared" si="194"/>
        <v>335561.83</v>
      </c>
      <c r="BA30" s="140">
        <f t="shared" ref="BA30:BB30" si="195">AX30+AG30</f>
        <v>419077.19</v>
      </c>
      <c r="BB30" s="326">
        <f t="shared" si="195"/>
        <v>132761.84</v>
      </c>
      <c r="BC30" s="435">
        <f t="shared" si="46"/>
        <v>551839.03</v>
      </c>
      <c r="BD30" s="434">
        <f t="shared" si="183"/>
        <v>514962.96</v>
      </c>
      <c r="BE30" s="140">
        <f t="shared" si="48"/>
        <v>86483.3</v>
      </c>
      <c r="BF30" s="123">
        <f t="shared" si="49"/>
        <v>0</v>
      </c>
      <c r="BG30" s="148">
        <f t="shared" si="50"/>
        <v>86483.3</v>
      </c>
      <c r="BH30" s="125">
        <f t="shared" si="184"/>
        <v>213063.98</v>
      </c>
      <c r="BI30" s="140">
        <f t="shared" si="52"/>
        <v>55314.53</v>
      </c>
      <c r="BJ30" s="123">
        <f t="shared" si="53"/>
        <v>0</v>
      </c>
      <c r="BK30" s="125">
        <f t="shared" si="54"/>
        <v>55314.53</v>
      </c>
      <c r="BL30" s="436">
        <f t="shared" si="185"/>
        <v>366796.32</v>
      </c>
      <c r="BM30" s="140">
        <f t="shared" si="56"/>
        <v>194268.15</v>
      </c>
      <c r="BN30" s="326">
        <f t="shared" si="57"/>
        <v>0</v>
      </c>
      <c r="BO30" s="333">
        <f t="shared" si="58"/>
        <v>194268.15</v>
      </c>
      <c r="BP30" s="140">
        <f t="shared" ref="BP30:BR30" si="196">SUM(BE30,BI30,BM30)</f>
        <v>336065.98</v>
      </c>
      <c r="BQ30" s="141">
        <f t="shared" si="196"/>
        <v>0</v>
      </c>
      <c r="BR30" s="437">
        <f t="shared" si="196"/>
        <v>336065.98</v>
      </c>
      <c r="BS30" s="422">
        <f t="shared" si="187"/>
        <v>130710.32</v>
      </c>
      <c r="BT30" s="140">
        <f t="shared" si="61"/>
        <v>571140.65999999992</v>
      </c>
      <c r="BU30" s="123">
        <f t="shared" si="62"/>
        <v>202028.05</v>
      </c>
      <c r="BV30" s="148">
        <f t="shared" si="63"/>
        <v>773168.71</v>
      </c>
      <c r="BW30" s="423">
        <f t="shared" si="188"/>
        <v>392391.98</v>
      </c>
      <c r="BX30" s="424">
        <f t="shared" si="189"/>
        <v>266316.38</v>
      </c>
    </row>
    <row r="31" spans="1:81" ht="15.75" customHeight="1">
      <c r="A31" s="92">
        <f t="shared" si="0"/>
        <v>112011467</v>
      </c>
      <c r="B31" s="93">
        <f t="shared" si="1"/>
        <v>29</v>
      </c>
      <c r="C31" s="137">
        <f>VLOOKUP(B31,DES,2,FALSE)</f>
        <v>0.05</v>
      </c>
      <c r="D31" s="137">
        <f>VLOOKUP(B31,DES,3,FALSE)</f>
        <v>0.2</v>
      </c>
      <c r="E31" s="98">
        <f>VLOOKUP(B31,DES,4,FALSE)</f>
        <v>0</v>
      </c>
      <c r="F31" s="414">
        <f t="shared" si="5"/>
        <v>66</v>
      </c>
      <c r="G31" s="94">
        <f t="shared" si="6"/>
        <v>0.05</v>
      </c>
      <c r="H31" s="415">
        <f t="shared" si="7"/>
        <v>0.11</v>
      </c>
      <c r="I31" s="139" t="s">
        <v>285</v>
      </c>
      <c r="J31" s="125">
        <f t="shared" si="173"/>
        <v>2733644.08</v>
      </c>
      <c r="K31" s="416">
        <f>(J31*1.601)*1.05</f>
        <v>4595392.3806840004</v>
      </c>
      <c r="L31" s="113">
        <f t="shared" si="9"/>
        <v>1335778</v>
      </c>
      <c r="M31" s="116">
        <f t="shared" si="10"/>
        <v>8415069.5299999993</v>
      </c>
      <c r="N31" s="117">
        <f t="shared" si="11"/>
        <v>9750847.5299999993</v>
      </c>
      <c r="O31" s="114">
        <f t="shared" si="101"/>
        <v>5155455.1493159989</v>
      </c>
      <c r="P31" s="413">
        <f t="shared" si="174"/>
        <v>2.1218748525122977</v>
      </c>
      <c r="Q31" s="125">
        <f t="shared" si="103"/>
        <v>6742201.3499999996</v>
      </c>
      <c r="R31" s="113">
        <f>(Q31*1.7245)*1.03</f>
        <v>11975734.014917251</v>
      </c>
      <c r="S31" s="116">
        <f t="shared" si="14"/>
        <v>1297847.21</v>
      </c>
      <c r="T31" s="116">
        <f t="shared" si="15"/>
        <v>6299944.7599999998</v>
      </c>
      <c r="U31" s="116">
        <f t="shared" si="16"/>
        <v>7597791.9699999997</v>
      </c>
      <c r="V31" s="116">
        <f t="shared" si="17"/>
        <v>-4377942.044917251</v>
      </c>
      <c r="W31" s="413">
        <f t="shared" si="175"/>
        <v>0.63443225780866663</v>
      </c>
      <c r="X31" s="123">
        <f t="shared" si="69"/>
        <v>5703320.2800000003</v>
      </c>
      <c r="Y31" s="121">
        <f>(X31*1.5955)*1.03</f>
        <v>9372636.9319422003</v>
      </c>
      <c r="Z31" s="113">
        <f t="shared" si="19"/>
        <v>1420655.69</v>
      </c>
      <c r="AA31" s="116">
        <f t="shared" si="20"/>
        <v>321918.24</v>
      </c>
      <c r="AB31" s="117">
        <f t="shared" si="21"/>
        <v>1742573.93</v>
      </c>
      <c r="AC31" s="114">
        <f t="shared" si="22"/>
        <v>-7630063.0019422006</v>
      </c>
      <c r="AD31" s="97">
        <f t="shared" si="105"/>
        <v>0.18592141599566936</v>
      </c>
      <c r="AE31" s="433">
        <f t="shared" si="24"/>
        <v>25943763.327543452</v>
      </c>
      <c r="AF31" s="118">
        <f t="shared" si="25"/>
        <v>10662122.18</v>
      </c>
      <c r="AG31" s="116">
        <f t="shared" si="26"/>
        <v>-2245663.8599999994</v>
      </c>
      <c r="AH31" s="116">
        <f t="shared" si="27"/>
        <v>21336877.289999999</v>
      </c>
      <c r="AI31" s="116">
        <f t="shared" si="28"/>
        <v>19091213.43</v>
      </c>
      <c r="AJ31" s="116">
        <f t="shared" si="29"/>
        <v>8429091.25</v>
      </c>
      <c r="AK31" s="418">
        <f t="shared" si="190"/>
        <v>1.7905641210725649</v>
      </c>
      <c r="AL31" s="434">
        <f t="shared" si="107"/>
        <v>6780864.4400000004</v>
      </c>
      <c r="AM31" s="140">
        <f t="shared" si="32"/>
        <v>679287.20999999903</v>
      </c>
      <c r="AN31" s="326">
        <f t="shared" si="33"/>
        <v>9857912.3800000008</v>
      </c>
      <c r="AO31" s="333">
        <f t="shared" si="34"/>
        <v>10537199.59</v>
      </c>
      <c r="AP31" s="125">
        <f t="shared" si="176"/>
        <v>658468.78</v>
      </c>
      <c r="AQ31" s="140">
        <f t="shared" si="177"/>
        <v>1058618.5600000005</v>
      </c>
      <c r="AR31" s="326">
        <f t="shared" si="178"/>
        <v>5155707.0599999996</v>
      </c>
      <c r="AS31" s="333">
        <f t="shared" si="179"/>
        <v>6214325.6200000001</v>
      </c>
      <c r="AT31" s="125">
        <f t="shared" si="180"/>
        <v>6480004.3200000003</v>
      </c>
      <c r="AU31" s="140">
        <f t="shared" si="40"/>
        <v>1887139.24</v>
      </c>
      <c r="AV31" s="326">
        <f t="shared" si="41"/>
        <v>56645.42</v>
      </c>
      <c r="AW31" s="332">
        <f t="shared" si="42"/>
        <v>1943784.66</v>
      </c>
      <c r="AX31" s="122">
        <f t="shared" si="43"/>
        <v>3625045.01</v>
      </c>
      <c r="AY31" s="326">
        <f t="shared" ref="AY31:AZ31" si="197">AN31+AR31+AV31</f>
        <v>15070264.860000001</v>
      </c>
      <c r="AZ31" s="333">
        <f t="shared" si="197"/>
        <v>18695309.870000001</v>
      </c>
      <c r="BA31" s="140">
        <f t="shared" ref="BA31:BB31" si="198">AX31+AG31</f>
        <v>1379381.1500000004</v>
      </c>
      <c r="BB31" s="326">
        <f t="shared" si="198"/>
        <v>36407142.149999999</v>
      </c>
      <c r="BC31" s="435">
        <f t="shared" si="46"/>
        <v>37786523.299999997</v>
      </c>
      <c r="BD31" s="434">
        <f t="shared" si="183"/>
        <v>4034731.71</v>
      </c>
      <c r="BE31" s="140">
        <f t="shared" si="48"/>
        <v>4339835.0399999991</v>
      </c>
      <c r="BF31" s="123">
        <f t="shared" si="49"/>
        <v>5436108.1500000004</v>
      </c>
      <c r="BG31" s="148">
        <f t="shared" si="50"/>
        <v>9775943.1899999995</v>
      </c>
      <c r="BH31" s="125">
        <f t="shared" si="184"/>
        <v>1012171.91</v>
      </c>
      <c r="BI31" s="140">
        <f t="shared" si="52"/>
        <v>1504853.3100000005</v>
      </c>
      <c r="BJ31" s="123">
        <f t="shared" si="53"/>
        <v>2900651.8</v>
      </c>
      <c r="BK31" s="125">
        <f t="shared" si="54"/>
        <v>4405505.1100000003</v>
      </c>
      <c r="BL31" s="436">
        <f t="shared" si="185"/>
        <v>6456950.6200000001</v>
      </c>
      <c r="BM31" s="140">
        <f t="shared" si="56"/>
        <v>496097.74000000022</v>
      </c>
      <c r="BN31" s="326">
        <f t="shared" si="57"/>
        <v>4835456.88</v>
      </c>
      <c r="BO31" s="333">
        <f t="shared" si="58"/>
        <v>5331554.62</v>
      </c>
      <c r="BP31" s="140">
        <f t="shared" ref="BP31:BR31" si="199">SUM(BE31,BI31,BM31)</f>
        <v>6340786.0899999999</v>
      </c>
      <c r="BQ31" s="141">
        <f t="shared" si="199"/>
        <v>13172216.83</v>
      </c>
      <c r="BR31" s="437">
        <f t="shared" si="199"/>
        <v>19513002.920000002</v>
      </c>
      <c r="BS31" s="422">
        <f t="shared" si="187"/>
        <v>4704293.1500000004</v>
      </c>
      <c r="BT31" s="140">
        <f t="shared" si="61"/>
        <v>1487294.11</v>
      </c>
      <c r="BU31" s="123">
        <f t="shared" si="62"/>
        <v>1761079.66</v>
      </c>
      <c r="BV31" s="148">
        <f t="shared" si="63"/>
        <v>3248373.77</v>
      </c>
      <c r="BW31" s="423">
        <f t="shared" si="188"/>
        <v>4350956.54</v>
      </c>
      <c r="BX31" s="424">
        <f t="shared" si="189"/>
        <v>1606872.49</v>
      </c>
    </row>
    <row r="32" spans="1:81" ht="15.75" customHeight="1">
      <c r="A32" s="92">
        <f t="shared" si="0"/>
        <v>112014491</v>
      </c>
      <c r="B32" s="93">
        <f t="shared" si="1"/>
        <v>29</v>
      </c>
      <c r="C32" s="137">
        <f>IFERROR(VLOOKUP(B32,DES,2,FALSE),"")</f>
        <v>0.05</v>
      </c>
      <c r="D32" s="137">
        <f>IFERROR(VLOOKUP(B32,DES,3,FALSE),"")</f>
        <v>0.2</v>
      </c>
      <c r="E32" s="98">
        <f>IFERROR(VLOOKUP(B32,DES,4,FALSE),"")</f>
        <v>0</v>
      </c>
      <c r="F32" s="414">
        <f t="shared" si="5"/>
        <v>66</v>
      </c>
      <c r="G32" s="94">
        <f t="shared" si="6"/>
        <v>0.05</v>
      </c>
      <c r="H32" s="415">
        <f t="shared" si="7"/>
        <v>0.11</v>
      </c>
      <c r="I32" s="139" t="s">
        <v>286</v>
      </c>
      <c r="J32" s="125">
        <f t="shared" si="173"/>
        <v>0</v>
      </c>
      <c r="K32" s="244">
        <v>1800000</v>
      </c>
      <c r="L32" s="113" t="e">
        <f t="shared" si="9"/>
        <v>#VALUE!</v>
      </c>
      <c r="M32" s="116" t="str">
        <f t="shared" si="10"/>
        <v/>
      </c>
      <c r="N32" s="117">
        <f t="shared" si="11"/>
        <v>0</v>
      </c>
      <c r="O32" s="114">
        <f t="shared" si="101"/>
        <v>-1800000</v>
      </c>
      <c r="P32" s="413">
        <f t="shared" si="174"/>
        <v>0</v>
      </c>
      <c r="Q32" s="125">
        <f t="shared" si="103"/>
        <v>0</v>
      </c>
      <c r="R32" s="458">
        <v>1800000</v>
      </c>
      <c r="S32" s="116" t="e">
        <f t="shared" si="14"/>
        <v>#VALUE!</v>
      </c>
      <c r="T32" s="116" t="str">
        <f t="shared" si="15"/>
        <v/>
      </c>
      <c r="U32" s="116">
        <f t="shared" si="16"/>
        <v>18407.43</v>
      </c>
      <c r="V32" s="116">
        <f t="shared" si="17"/>
        <v>-1781592.57</v>
      </c>
      <c r="W32" s="413">
        <f t="shared" si="175"/>
        <v>1.022635E-2</v>
      </c>
      <c r="X32" s="123">
        <f t="shared" si="69"/>
        <v>0</v>
      </c>
      <c r="Y32" s="457">
        <v>1800000</v>
      </c>
      <c r="Z32" s="113" t="e">
        <f t="shared" si="19"/>
        <v>#VALUE!</v>
      </c>
      <c r="AA32" s="116" t="str">
        <f t="shared" si="20"/>
        <v/>
      </c>
      <c r="AB32" s="117">
        <f t="shared" si="21"/>
        <v>0</v>
      </c>
      <c r="AC32" s="114">
        <f t="shared" si="22"/>
        <v>-1800000</v>
      </c>
      <c r="AD32" s="97">
        <f t="shared" si="105"/>
        <v>0</v>
      </c>
      <c r="AE32" s="433">
        <f t="shared" si="24"/>
        <v>5400000</v>
      </c>
      <c r="AF32" s="118">
        <f t="shared" si="25"/>
        <v>384390.9</v>
      </c>
      <c r="AG32" s="116">
        <f t="shared" si="26"/>
        <v>18407.43</v>
      </c>
      <c r="AH32" s="116">
        <f t="shared" si="27"/>
        <v>0</v>
      </c>
      <c r="AI32" s="116">
        <f t="shared" si="28"/>
        <v>18407.43</v>
      </c>
      <c r="AJ32" s="116">
        <f t="shared" si="29"/>
        <v>-365983.47000000003</v>
      </c>
      <c r="AK32" s="418">
        <f t="shared" si="190"/>
        <v>4.7887267882772457E-2</v>
      </c>
      <c r="AL32" s="434">
        <f t="shared" si="107"/>
        <v>0</v>
      </c>
      <c r="AM32" s="140" t="e">
        <f t="shared" si="32"/>
        <v>#VALUE!</v>
      </c>
      <c r="AN32" s="326" t="str">
        <f t="shared" si="33"/>
        <v/>
      </c>
      <c r="AO32" s="333">
        <f t="shared" si="34"/>
        <v>343911.4</v>
      </c>
      <c r="AP32" s="125">
        <f t="shared" si="176"/>
        <v>0</v>
      </c>
      <c r="AQ32" s="140" t="e">
        <f t="shared" si="177"/>
        <v>#VALUE!</v>
      </c>
      <c r="AR32" s="326" t="str">
        <f t="shared" si="178"/>
        <v/>
      </c>
      <c r="AS32" s="333">
        <f t="shared" si="179"/>
        <v>133234.75</v>
      </c>
      <c r="AT32" s="125">
        <f t="shared" si="180"/>
        <v>0</v>
      </c>
      <c r="AU32" s="140" t="e">
        <f t="shared" si="40"/>
        <v>#VALUE!</v>
      </c>
      <c r="AV32" s="326" t="str">
        <f t="shared" si="41"/>
        <v/>
      </c>
      <c r="AW32" s="332">
        <f t="shared" si="42"/>
        <v>207769.85</v>
      </c>
      <c r="AX32" s="122" t="e">
        <f t="shared" si="43"/>
        <v>#VALUE!</v>
      </c>
      <c r="AY32" s="326" t="e">
        <f t="shared" ref="AY32:AZ32" si="200">AN32+AR32+AV32</f>
        <v>#VALUE!</v>
      </c>
      <c r="AZ32" s="333">
        <f t="shared" si="200"/>
        <v>684916</v>
      </c>
      <c r="BA32" s="140" t="e">
        <f t="shared" ref="BA32:BB32" si="201">AX32+AG32</f>
        <v>#VALUE!</v>
      </c>
      <c r="BB32" s="326" t="e">
        <f t="shared" si="201"/>
        <v>#VALUE!</v>
      </c>
      <c r="BC32" s="435">
        <f t="shared" si="46"/>
        <v>703323.43</v>
      </c>
      <c r="BD32" s="434">
        <f t="shared" si="183"/>
        <v>379478.55</v>
      </c>
      <c r="BE32" s="140" t="e">
        <f t="shared" si="48"/>
        <v>#VALUE!</v>
      </c>
      <c r="BF32" s="123" t="str">
        <f t="shared" si="49"/>
        <v/>
      </c>
      <c r="BG32" s="148">
        <f t="shared" si="50"/>
        <v>0</v>
      </c>
      <c r="BH32" s="125">
        <f t="shared" si="184"/>
        <v>382816.8</v>
      </c>
      <c r="BI32" s="140" t="e">
        <f t="shared" si="52"/>
        <v>#VALUE!</v>
      </c>
      <c r="BJ32" s="123" t="str">
        <f t="shared" si="53"/>
        <v/>
      </c>
      <c r="BK32" s="125">
        <f t="shared" si="54"/>
        <v>394762.71</v>
      </c>
      <c r="BL32" s="436">
        <f t="shared" si="185"/>
        <v>442550.88</v>
      </c>
      <c r="BM32" s="140" t="e">
        <f t="shared" si="56"/>
        <v>#VALUE!</v>
      </c>
      <c r="BN32" s="326" t="str">
        <f t="shared" si="57"/>
        <v/>
      </c>
      <c r="BO32" s="333">
        <f t="shared" si="58"/>
        <v>0</v>
      </c>
      <c r="BP32" s="140" t="e">
        <f t="shared" ref="BP32:BR32" si="202">SUM(BE32,BI32,BM32)</f>
        <v>#VALUE!</v>
      </c>
      <c r="BQ32" s="141">
        <f t="shared" si="202"/>
        <v>0</v>
      </c>
      <c r="BR32" s="437">
        <f t="shared" si="202"/>
        <v>394762.71</v>
      </c>
      <c r="BS32" s="422">
        <f t="shared" si="187"/>
        <v>0</v>
      </c>
      <c r="BT32" s="140" t="e">
        <f t="shared" si="61"/>
        <v>#VALUE!</v>
      </c>
      <c r="BU32" s="123" t="str">
        <f t="shared" si="62"/>
        <v/>
      </c>
      <c r="BV32" s="148">
        <f t="shared" si="63"/>
        <v>0</v>
      </c>
      <c r="BW32" s="423">
        <f t="shared" si="188"/>
        <v>165685.5</v>
      </c>
      <c r="BX32" s="424">
        <f t="shared" si="189"/>
        <v>218705.4</v>
      </c>
    </row>
    <row r="33" spans="1:76" ht="15.75" customHeight="1">
      <c r="A33" s="92">
        <f t="shared" si="0"/>
        <v>112014149</v>
      </c>
      <c r="B33" s="93">
        <f t="shared" si="1"/>
        <v>20</v>
      </c>
      <c r="C33" s="137">
        <f>IFERROR(VLOOKUP(B33,DES,2,FALSE),"")</f>
        <v>0.05</v>
      </c>
      <c r="D33" s="137">
        <f>IFERROR(VLOOKUP(B33,DES,3,FALSE),"")</f>
        <v>0.09</v>
      </c>
      <c r="E33" s="98">
        <f>IFERROR(VLOOKUP(B33,DES,4,FALSE),"")</f>
        <v>0</v>
      </c>
      <c r="F33" s="414">
        <f t="shared" si="5"/>
        <v>67</v>
      </c>
      <c r="G33" s="94">
        <f t="shared" si="6"/>
        <v>0.05</v>
      </c>
      <c r="H33" s="415">
        <f t="shared" si="7"/>
        <v>0.05</v>
      </c>
      <c r="I33" s="139" t="s">
        <v>287</v>
      </c>
      <c r="J33" s="125">
        <f t="shared" si="173"/>
        <v>1130682.79</v>
      </c>
      <c r="K33" s="416">
        <f t="shared" ref="K33:K35" si="203">(J33*1.601)*1.05</f>
        <v>1900734.3041295002</v>
      </c>
      <c r="L33" s="113">
        <f t="shared" si="9"/>
        <v>914174.61999999988</v>
      </c>
      <c r="M33" s="116">
        <f t="shared" si="10"/>
        <v>358395.8</v>
      </c>
      <c r="N33" s="117">
        <f t="shared" si="11"/>
        <v>1272570.42</v>
      </c>
      <c r="O33" s="114">
        <f t="shared" si="101"/>
        <v>-628163.88412950025</v>
      </c>
      <c r="P33" s="413">
        <f t="shared" si="174"/>
        <v>0.66951515381988791</v>
      </c>
      <c r="Q33" s="125">
        <f t="shared" si="103"/>
        <v>1022462.49</v>
      </c>
      <c r="R33" s="113">
        <f t="shared" ref="R33:R34" si="204">(Q33*1.7245)*1.03</f>
        <v>1816133.6609251499</v>
      </c>
      <c r="S33" s="116">
        <f t="shared" si="14"/>
        <v>648122.34000000008</v>
      </c>
      <c r="T33" s="116">
        <f t="shared" si="15"/>
        <v>382375.67</v>
      </c>
      <c r="U33" s="116">
        <f t="shared" si="16"/>
        <v>1030498.01</v>
      </c>
      <c r="V33" s="116">
        <f t="shared" si="17"/>
        <v>-785635.65092514991</v>
      </c>
      <c r="W33" s="413">
        <f t="shared" si="175"/>
        <v>0.56741308867930895</v>
      </c>
      <c r="X33" s="123">
        <f t="shared" si="69"/>
        <v>495803.08</v>
      </c>
      <c r="Y33" s="457">
        <v>1800000</v>
      </c>
      <c r="Z33" s="113">
        <f t="shared" si="19"/>
        <v>1200647.06</v>
      </c>
      <c r="AA33" s="116">
        <f t="shared" si="20"/>
        <v>234188.89</v>
      </c>
      <c r="AB33" s="117">
        <f t="shared" si="21"/>
        <v>1434835.95</v>
      </c>
      <c r="AC33" s="114">
        <f t="shared" si="22"/>
        <v>-365164.05000000005</v>
      </c>
      <c r="AD33" s="97">
        <f t="shared" si="105"/>
        <v>0.79713108333333327</v>
      </c>
      <c r="AE33" s="433">
        <f t="shared" si="24"/>
        <v>5516867.9650546499</v>
      </c>
      <c r="AF33" s="118">
        <f t="shared" si="25"/>
        <v>2764985</v>
      </c>
      <c r="AG33" s="116">
        <f t="shared" si="26"/>
        <v>2380568.3499999996</v>
      </c>
      <c r="AH33" s="116">
        <f t="shared" si="27"/>
        <v>1357336.03</v>
      </c>
      <c r="AI33" s="116">
        <f t="shared" si="28"/>
        <v>3737904.38</v>
      </c>
      <c r="AJ33" s="116">
        <f t="shared" si="29"/>
        <v>972919.37999999989</v>
      </c>
      <c r="AK33" s="418">
        <f t="shared" si="190"/>
        <v>1.351871485740429</v>
      </c>
      <c r="AL33" s="434">
        <f t="shared" si="107"/>
        <v>1040511.49</v>
      </c>
      <c r="AM33" s="140">
        <f t="shared" si="32"/>
        <v>276956.94</v>
      </c>
      <c r="AN33" s="326">
        <f t="shared" si="33"/>
        <v>38330.519999999997</v>
      </c>
      <c r="AO33" s="333">
        <f t="shared" si="34"/>
        <v>315287.46000000002</v>
      </c>
      <c r="AP33" s="125">
        <f t="shared" si="176"/>
        <v>1538097.55</v>
      </c>
      <c r="AQ33" s="140">
        <f t="shared" si="177"/>
        <v>358009.37</v>
      </c>
      <c r="AR33" s="326">
        <f t="shared" si="178"/>
        <v>329983.03000000003</v>
      </c>
      <c r="AS33" s="333">
        <f t="shared" si="179"/>
        <v>687992.4</v>
      </c>
      <c r="AT33" s="125">
        <f t="shared" si="180"/>
        <v>3664665.52</v>
      </c>
      <c r="AU33" s="140">
        <f t="shared" si="40"/>
        <v>103475.56</v>
      </c>
      <c r="AV33" s="326">
        <f t="shared" si="41"/>
        <v>0</v>
      </c>
      <c r="AW33" s="332">
        <f t="shared" si="42"/>
        <v>103475.56</v>
      </c>
      <c r="AX33" s="122">
        <f t="shared" si="43"/>
        <v>738441.87</v>
      </c>
      <c r="AY33" s="326">
        <f t="shared" ref="AY33:AZ33" si="205">AN33+AR33+AV33</f>
        <v>368313.55000000005</v>
      </c>
      <c r="AZ33" s="333">
        <f t="shared" si="205"/>
        <v>1106755.4200000002</v>
      </c>
      <c r="BA33" s="140">
        <f t="shared" ref="BA33:BB33" si="206">AX33+AG33</f>
        <v>3119010.2199999997</v>
      </c>
      <c r="BB33" s="326">
        <f t="shared" si="206"/>
        <v>1725649.58</v>
      </c>
      <c r="BC33" s="435">
        <f t="shared" si="46"/>
        <v>4844659.8</v>
      </c>
      <c r="BD33" s="434">
        <f t="shared" si="183"/>
        <v>214528.9</v>
      </c>
      <c r="BE33" s="140">
        <f t="shared" si="48"/>
        <v>356493.57000000007</v>
      </c>
      <c r="BF33" s="123">
        <f t="shared" si="49"/>
        <v>211154.11</v>
      </c>
      <c r="BG33" s="148">
        <f t="shared" si="50"/>
        <v>567647.68000000005</v>
      </c>
      <c r="BH33" s="125">
        <f t="shared" si="184"/>
        <v>614593.92000000004</v>
      </c>
      <c r="BI33" s="140">
        <f t="shared" si="52"/>
        <v>198723.23</v>
      </c>
      <c r="BJ33" s="123">
        <f t="shared" si="53"/>
        <v>176123.03</v>
      </c>
      <c r="BK33" s="125">
        <f t="shared" si="54"/>
        <v>374846.26</v>
      </c>
      <c r="BL33" s="436">
        <f t="shared" si="185"/>
        <v>267901.71999999997</v>
      </c>
      <c r="BM33" s="140">
        <f t="shared" si="56"/>
        <v>302770.03999999998</v>
      </c>
      <c r="BN33" s="326">
        <f t="shared" si="57"/>
        <v>63432.63</v>
      </c>
      <c r="BO33" s="333">
        <f t="shared" si="58"/>
        <v>366202.67</v>
      </c>
      <c r="BP33" s="140">
        <f t="shared" ref="BP33:BR33" si="207">SUM(BE33,BI33,BM33)</f>
        <v>857986.84000000008</v>
      </c>
      <c r="BQ33" s="141">
        <f t="shared" si="207"/>
        <v>450709.77</v>
      </c>
      <c r="BR33" s="437">
        <f t="shared" si="207"/>
        <v>1308696.6100000001</v>
      </c>
      <c r="BS33" s="422">
        <f t="shared" si="187"/>
        <v>898143.62</v>
      </c>
      <c r="BT33" s="140">
        <f t="shared" si="61"/>
        <v>1779331.31</v>
      </c>
      <c r="BU33" s="123">
        <f t="shared" si="62"/>
        <v>384274.04</v>
      </c>
      <c r="BV33" s="148">
        <f t="shared" si="63"/>
        <v>2163605.35</v>
      </c>
      <c r="BW33" s="423">
        <f t="shared" si="188"/>
        <v>470422.16</v>
      </c>
      <c r="BX33" s="424">
        <f t="shared" si="189"/>
        <v>1396419.22</v>
      </c>
    </row>
    <row r="34" spans="1:76" ht="15.75" customHeight="1">
      <c r="A34" s="92">
        <f t="shared" ref="A34:A65" si="208">VLOOKUP(I34,CALOCART4,3,FALSE)</f>
        <v>112010671</v>
      </c>
      <c r="B34" s="93">
        <f t="shared" ref="B34:B65" si="209">VLOOKUP(I34,CALOCARTERA,2,FALSE)</f>
        <v>20</v>
      </c>
      <c r="C34" s="137">
        <f>VLOOKUP(B34,DES,2,FALSE)</f>
        <v>0.05</v>
      </c>
      <c r="D34" s="137">
        <f>VLOOKUP(B34,DES,3,FALSE)</f>
        <v>0.09</v>
      </c>
      <c r="E34" s="98">
        <f>VLOOKUP(B34,DES,4,FALSE)</f>
        <v>0</v>
      </c>
      <c r="F34" s="414">
        <f t="shared" ref="F34:F65" si="210">VLOOKUP(I34,CALOCART4,2,FALSE)</f>
        <v>67</v>
      </c>
      <c r="G34" s="94">
        <f t="shared" ref="G34:G65" si="211">IFERROR(VLOOKUP(F34,A458DC1025,2,FALSE),"")</f>
        <v>0.05</v>
      </c>
      <c r="H34" s="415">
        <f t="shared" ref="H34:H65" si="212">IFERROR(VLOOKUP(F34,A458DC1025,3,FALSE),"")</f>
        <v>0.05</v>
      </c>
      <c r="I34" s="139" t="s">
        <v>288</v>
      </c>
      <c r="J34" s="125">
        <f t="shared" si="173"/>
        <v>1886660.25</v>
      </c>
      <c r="K34" s="141">
        <f t="shared" si="203"/>
        <v>3171570.2132625002</v>
      </c>
      <c r="L34" s="113">
        <f t="shared" si="9"/>
        <v>2895237.26</v>
      </c>
      <c r="M34" s="116">
        <f t="shared" ref="M34:M65" si="213">IFERROR(VLOOKUP(I34,CALOALIM,3,FALSE),"")</f>
        <v>0</v>
      </c>
      <c r="N34" s="117">
        <f t="shared" ref="N34:N65" si="214">IFERROR(VLOOKUP(I34,CALOFC,3,FALSE),"")</f>
        <v>2895237.26</v>
      </c>
      <c r="O34" s="114">
        <f t="shared" si="101"/>
        <v>-276332.95326250046</v>
      </c>
      <c r="P34" s="413">
        <f t="shared" si="174"/>
        <v>0.91287187901218025</v>
      </c>
      <c r="Q34" s="125">
        <f t="shared" si="103"/>
        <v>1133116.74</v>
      </c>
      <c r="R34" s="140">
        <f t="shared" si="204"/>
        <v>2012681.6126738999</v>
      </c>
      <c r="S34" s="116">
        <f t="shared" si="14"/>
        <v>3166076.68</v>
      </c>
      <c r="T34" s="116">
        <f t="shared" ref="T34:T65" si="215">IFERROR(VLOOKUP(I34,CALOALIM,4,FALSE),"")</f>
        <v>76661.039999999994</v>
      </c>
      <c r="U34" s="116">
        <f t="shared" ref="U34:U65" si="216">IFERROR(VLOOKUP(I34,CALOFC,4,FALSE),"")</f>
        <v>3242737.72</v>
      </c>
      <c r="V34" s="116">
        <f t="shared" si="17"/>
        <v>1230056.1073261003</v>
      </c>
      <c r="W34" s="413">
        <f t="shared" si="175"/>
        <v>1.6111528517875904</v>
      </c>
      <c r="X34" s="123">
        <f t="shared" si="69"/>
        <v>1151224.94</v>
      </c>
      <c r="Y34" s="332">
        <f t="shared" ref="Y34:Y35" si="217">(X34*1.5955)*1.03</f>
        <v>1891882.7735231</v>
      </c>
      <c r="Z34" s="113">
        <f t="shared" si="19"/>
        <v>2041676.6</v>
      </c>
      <c r="AA34" s="116">
        <f t="shared" ref="AA34:AA65" si="218">IFERROR(VLOOKUP(I34,CALOALIM,5,FALSE),"")</f>
        <v>0</v>
      </c>
      <c r="AB34" s="117">
        <f t="shared" ref="AB34:AB65" si="219">IFERROR(VLOOKUP(I34,CALOFC,5,FALSE),"")</f>
        <v>2041676.6</v>
      </c>
      <c r="AC34" s="114">
        <f t="shared" si="22"/>
        <v>149793.82647690014</v>
      </c>
      <c r="AD34" s="97">
        <f t="shared" si="105"/>
        <v>1.0791771184627637</v>
      </c>
      <c r="AE34" s="433">
        <f t="shared" si="24"/>
        <v>7076134.5994595001</v>
      </c>
      <c r="AF34" s="118">
        <f t="shared" ref="AF34:AF65" si="220">IFERROR(VLOOKUP(I34,trim2024,2,FALSE),"0")</f>
        <v>9417952.2100000009</v>
      </c>
      <c r="AG34" s="116">
        <f t="shared" si="26"/>
        <v>8026329.5</v>
      </c>
      <c r="AH34" s="116">
        <f t="shared" si="27"/>
        <v>153322.07999999999</v>
      </c>
      <c r="AI34" s="116">
        <f t="shared" si="28"/>
        <v>8179651.5800000001</v>
      </c>
      <c r="AJ34" s="116">
        <f t="shared" si="29"/>
        <v>-1238300.6300000008</v>
      </c>
      <c r="AK34" s="418">
        <f t="shared" si="190"/>
        <v>0.86851699792178061</v>
      </c>
      <c r="AL34" s="434">
        <f t="shared" si="107"/>
        <v>1215851.01</v>
      </c>
      <c r="AM34" s="140">
        <f t="shared" si="32"/>
        <v>1932149.37</v>
      </c>
      <c r="AN34" s="326">
        <f t="shared" ref="AN34:AN65" si="221">IFERROR(VLOOKUP(I34,CALOALIM,6,FALSE),"")</f>
        <v>0</v>
      </c>
      <c r="AO34" s="333">
        <f t="shared" ref="AO34:AO65" si="222">IFERROR(VLOOKUP(I34,CALOFC,6,FALSE),"")</f>
        <v>1932149.37</v>
      </c>
      <c r="AP34" s="125">
        <f t="shared" si="176"/>
        <v>1233868.17</v>
      </c>
      <c r="AQ34" s="140">
        <f t="shared" si="177"/>
        <v>1816520.65</v>
      </c>
      <c r="AR34" s="326">
        <f t="shared" si="178"/>
        <v>0</v>
      </c>
      <c r="AS34" s="333">
        <f t="shared" si="179"/>
        <v>1816520.65</v>
      </c>
      <c r="AT34" s="125">
        <f t="shared" si="180"/>
        <v>1498838.75</v>
      </c>
      <c r="AU34" s="140">
        <f t="shared" si="40"/>
        <v>1579083.77</v>
      </c>
      <c r="AV34" s="326">
        <f t="shared" ref="AV34:AV65" si="223">IFERROR(VLOOKUP(I34,CALOALIM,8,FALSE),"")</f>
        <v>0</v>
      </c>
      <c r="AW34" s="332">
        <f t="shared" ref="AW34:AW65" si="224">IFERROR(VLOOKUP(I34,CALOFC,8,FALSE),"")</f>
        <v>1579083.77</v>
      </c>
      <c r="AX34" s="122">
        <f t="shared" si="43"/>
        <v>5327753.79</v>
      </c>
      <c r="AY34" s="326">
        <f t="shared" ref="AY34:AZ34" si="225">AN34+AR34+AV34</f>
        <v>0</v>
      </c>
      <c r="AZ34" s="333">
        <f t="shared" si="225"/>
        <v>5327753.79</v>
      </c>
      <c r="BA34" s="140">
        <f t="shared" ref="BA34:BB34" si="226">AX34+AG34</f>
        <v>13354083.289999999</v>
      </c>
      <c r="BB34" s="326">
        <f t="shared" si="226"/>
        <v>153322.07999999999</v>
      </c>
      <c r="BC34" s="435">
        <f t="shared" si="46"/>
        <v>13507405.370000001</v>
      </c>
      <c r="BD34" s="434">
        <f t="shared" si="183"/>
        <v>1398943.71</v>
      </c>
      <c r="BE34" s="140">
        <f t="shared" si="48"/>
        <v>2117369</v>
      </c>
      <c r="BF34" s="123">
        <f t="shared" ref="BF34:BF65" si="227">IFERROR(VLOOKUP(I34,CALOALIM,9,FALSE),"")</f>
        <v>0</v>
      </c>
      <c r="BG34" s="148">
        <f t="shared" ref="BG34:BG65" si="228">IFERROR(VLOOKUP(I34,CALOFC,9,FALSE),"")</f>
        <v>2117369</v>
      </c>
      <c r="BH34" s="125">
        <f t="shared" si="184"/>
        <v>1842725.85</v>
      </c>
      <c r="BI34" s="140">
        <f t="shared" si="52"/>
        <v>2459385.98</v>
      </c>
      <c r="BJ34" s="123">
        <f t="shared" ref="BJ34:BJ65" si="229">IFERROR(VLOOKUP(I34,CALOALIM,10,FALSE),"")</f>
        <v>0</v>
      </c>
      <c r="BK34" s="125">
        <f t="shared" ref="BK34:BK65" si="230">IFERROR(VLOOKUP(I34,CALOFC,10,FALSE),"")</f>
        <v>2459385.98</v>
      </c>
      <c r="BL34" s="436">
        <f t="shared" si="185"/>
        <v>2154340.54</v>
      </c>
      <c r="BM34" s="140">
        <f t="shared" si="56"/>
        <v>2486768.19</v>
      </c>
      <c r="BN34" s="326">
        <f t="shared" ref="BN34:BN65" si="231">IFERROR(VLOOKUP(I34,CALOALIM,11,FALSE),"")</f>
        <v>0</v>
      </c>
      <c r="BO34" s="333">
        <f t="shared" ref="BO34:BO65" si="232">IFERROR(VLOOKUP(I34,CALOFC,11,FALSE),"")</f>
        <v>2486768.19</v>
      </c>
      <c r="BP34" s="140">
        <f t="shared" ref="BP34:BR34" si="233">SUM(BE34,BI34,BM34)</f>
        <v>7063523.1699999999</v>
      </c>
      <c r="BQ34" s="141">
        <f t="shared" si="233"/>
        <v>0</v>
      </c>
      <c r="BR34" s="437">
        <f t="shared" si="233"/>
        <v>7063523.1699999999</v>
      </c>
      <c r="BS34" s="422">
        <f t="shared" si="187"/>
        <v>2629635.0699999998</v>
      </c>
      <c r="BT34" s="140">
        <f t="shared" si="61"/>
        <v>4966912.3600000003</v>
      </c>
      <c r="BU34" s="123">
        <f t="shared" ref="BU34:BU65" si="234">IFERROR(VLOOKUP(I34,CALOALIM,12,FALSE),"")</f>
        <v>0</v>
      </c>
      <c r="BV34" s="148">
        <f t="shared" ref="BV34:BV65" si="235">IFERROR(VLOOKUP(I34,CALOFC,12,FALSE),"")</f>
        <v>4966912.3600000003</v>
      </c>
      <c r="BW34" s="423">
        <f t="shared" si="188"/>
        <v>3212770.41</v>
      </c>
      <c r="BX34" s="424">
        <f t="shared" si="189"/>
        <v>3575546.73</v>
      </c>
    </row>
    <row r="35" spans="1:76" ht="15.75" customHeight="1">
      <c r="A35" s="92">
        <f t="shared" si="208"/>
        <v>112010719</v>
      </c>
      <c r="B35" s="93">
        <f t="shared" si="209"/>
        <v>20</v>
      </c>
      <c r="C35" s="94">
        <f>VLOOKUP(B35,DES,2,FALSE)</f>
        <v>0.05</v>
      </c>
      <c r="D35" s="94">
        <f>VLOOKUP(B35,DES,3,FALSE)</f>
        <v>0.09</v>
      </c>
      <c r="E35" s="413">
        <f>VLOOKUP(B35,DES,4,FALSE)</f>
        <v>0</v>
      </c>
      <c r="F35" s="414">
        <f t="shared" si="210"/>
        <v>67</v>
      </c>
      <c r="G35" s="94">
        <f t="shared" si="211"/>
        <v>0.05</v>
      </c>
      <c r="H35" s="415">
        <f t="shared" si="212"/>
        <v>0.05</v>
      </c>
      <c r="I35" s="99" t="s">
        <v>289</v>
      </c>
      <c r="J35" s="100">
        <f t="shared" si="173"/>
        <v>1759632.86</v>
      </c>
      <c r="K35" s="416">
        <f t="shared" si="203"/>
        <v>2958030.8193030003</v>
      </c>
      <c r="L35" s="113" t="e">
        <f t="shared" si="9"/>
        <v>#VALUE!</v>
      </c>
      <c r="M35" s="116" t="str">
        <f t="shared" si="213"/>
        <v/>
      </c>
      <c r="N35" s="117">
        <f t="shared" si="214"/>
        <v>2101288.9500000002</v>
      </c>
      <c r="O35" s="114">
        <f t="shared" si="101"/>
        <v>-856741.86930300016</v>
      </c>
      <c r="P35" s="413">
        <f t="shared" si="174"/>
        <v>0.71036749728494242</v>
      </c>
      <c r="Q35" s="100">
        <f t="shared" si="103"/>
        <v>757850.29</v>
      </c>
      <c r="R35" s="460">
        <v>1500000</v>
      </c>
      <c r="S35" s="116" t="e">
        <f t="shared" si="14"/>
        <v>#VALUE!</v>
      </c>
      <c r="T35" s="116" t="str">
        <f t="shared" si="215"/>
        <v/>
      </c>
      <c r="U35" s="116">
        <f t="shared" si="216"/>
        <v>953532.88</v>
      </c>
      <c r="V35" s="116">
        <f t="shared" si="17"/>
        <v>-546467.12</v>
      </c>
      <c r="W35" s="413">
        <f t="shared" si="175"/>
        <v>0.63568858666666672</v>
      </c>
      <c r="X35" s="114">
        <f t="shared" si="69"/>
        <v>981782.43</v>
      </c>
      <c r="Y35" s="121">
        <f t="shared" si="217"/>
        <v>1613426.8830769502</v>
      </c>
      <c r="Z35" s="113" t="e">
        <f t="shared" si="19"/>
        <v>#VALUE!</v>
      </c>
      <c r="AA35" s="116" t="str">
        <f t="shared" si="218"/>
        <v/>
      </c>
      <c r="AB35" s="117">
        <f t="shared" si="219"/>
        <v>2313116.52</v>
      </c>
      <c r="AC35" s="114">
        <f t="shared" si="22"/>
        <v>699689.63692304981</v>
      </c>
      <c r="AD35" s="97">
        <f t="shared" si="105"/>
        <v>1.4336667773805025</v>
      </c>
      <c r="AE35" s="417">
        <f t="shared" si="24"/>
        <v>6071457.7023799503</v>
      </c>
      <c r="AF35" s="118">
        <f t="shared" si="220"/>
        <v>5063998.9800000004</v>
      </c>
      <c r="AG35" s="116">
        <f t="shared" si="26"/>
        <v>5367938.3499999996</v>
      </c>
      <c r="AH35" s="116">
        <f t="shared" si="27"/>
        <v>0</v>
      </c>
      <c r="AI35" s="116">
        <f t="shared" si="28"/>
        <v>5367938.3499999996</v>
      </c>
      <c r="AJ35" s="116">
        <f t="shared" si="29"/>
        <v>303939.36999999918</v>
      </c>
      <c r="AK35" s="418">
        <f t="shared" si="190"/>
        <v>1.060019634917067</v>
      </c>
      <c r="AL35" s="434">
        <f t="shared" si="107"/>
        <v>709266.94</v>
      </c>
      <c r="AM35" s="140" t="e">
        <f t="shared" si="32"/>
        <v>#VALUE!</v>
      </c>
      <c r="AN35" s="326" t="str">
        <f t="shared" si="221"/>
        <v/>
      </c>
      <c r="AO35" s="333">
        <f t="shared" si="222"/>
        <v>983150.77</v>
      </c>
      <c r="AP35" s="125">
        <f t="shared" si="176"/>
        <v>739299.67</v>
      </c>
      <c r="AQ35" s="140" t="e">
        <f t="shared" si="177"/>
        <v>#VALUE!</v>
      </c>
      <c r="AR35" s="326" t="str">
        <f t="shared" si="178"/>
        <v/>
      </c>
      <c r="AS35" s="333">
        <f t="shared" si="179"/>
        <v>1036976.92</v>
      </c>
      <c r="AT35" s="125">
        <f t="shared" si="180"/>
        <v>477246.31</v>
      </c>
      <c r="AU35" s="140" t="e">
        <f t="shared" si="40"/>
        <v>#VALUE!</v>
      </c>
      <c r="AV35" s="326" t="str">
        <f t="shared" si="223"/>
        <v/>
      </c>
      <c r="AW35" s="332">
        <f t="shared" si="224"/>
        <v>1055826.8799999999</v>
      </c>
      <c r="AX35" s="122" t="e">
        <f t="shared" si="43"/>
        <v>#VALUE!</v>
      </c>
      <c r="AY35" s="326" t="e">
        <f t="shared" ref="AY35:AZ35" si="236">AN35+AR35+AV35</f>
        <v>#VALUE!</v>
      </c>
      <c r="AZ35" s="333">
        <f t="shared" si="236"/>
        <v>3075954.57</v>
      </c>
      <c r="BA35" s="140" t="e">
        <f t="shared" ref="BA35:BB35" si="237">AX35+AG35</f>
        <v>#VALUE!</v>
      </c>
      <c r="BB35" s="326" t="e">
        <f t="shared" si="237"/>
        <v>#VALUE!</v>
      </c>
      <c r="BC35" s="435">
        <f t="shared" si="46"/>
        <v>8443892.9199999999</v>
      </c>
      <c r="BD35" s="434">
        <f t="shared" si="183"/>
        <v>736092.41</v>
      </c>
      <c r="BE35" s="140" t="e">
        <f t="shared" si="48"/>
        <v>#VALUE!</v>
      </c>
      <c r="BF35" s="123" t="str">
        <f t="shared" si="227"/>
        <v/>
      </c>
      <c r="BG35" s="148">
        <f t="shared" si="228"/>
        <v>952181.59</v>
      </c>
      <c r="BH35" s="125">
        <f t="shared" si="184"/>
        <v>1149601.58</v>
      </c>
      <c r="BI35" s="140" t="e">
        <f t="shared" si="52"/>
        <v>#VALUE!</v>
      </c>
      <c r="BJ35" s="123" t="str">
        <f t="shared" si="229"/>
        <v/>
      </c>
      <c r="BK35" s="125">
        <f t="shared" si="230"/>
        <v>1127596.24</v>
      </c>
      <c r="BL35" s="436">
        <f t="shared" si="185"/>
        <v>1425910.02</v>
      </c>
      <c r="BM35" s="140" t="e">
        <f t="shared" si="56"/>
        <v>#VALUE!</v>
      </c>
      <c r="BN35" s="326" t="str">
        <f t="shared" si="231"/>
        <v/>
      </c>
      <c r="BO35" s="333">
        <f t="shared" si="232"/>
        <v>1390594.91</v>
      </c>
      <c r="BP35" s="140" t="e">
        <f t="shared" ref="BP35:BR35" si="238">SUM(BE35,BI35,BM35)</f>
        <v>#VALUE!</v>
      </c>
      <c r="BQ35" s="141">
        <f t="shared" si="238"/>
        <v>0</v>
      </c>
      <c r="BR35" s="437">
        <f t="shared" si="238"/>
        <v>3470372.74</v>
      </c>
      <c r="BS35" s="422">
        <f t="shared" si="187"/>
        <v>1591278.83</v>
      </c>
      <c r="BT35" s="140" t="e">
        <f t="shared" si="61"/>
        <v>#VALUE!</v>
      </c>
      <c r="BU35" s="123" t="str">
        <f t="shared" si="234"/>
        <v/>
      </c>
      <c r="BV35" s="148">
        <f t="shared" si="235"/>
        <v>3042450.64</v>
      </c>
      <c r="BW35" s="423">
        <f t="shared" si="188"/>
        <v>1687083.97</v>
      </c>
      <c r="BX35" s="424">
        <f t="shared" si="189"/>
        <v>1785636.19</v>
      </c>
    </row>
    <row r="36" spans="1:76" ht="15.75" customHeight="1">
      <c r="A36" s="92">
        <f t="shared" si="208"/>
        <v>112011454</v>
      </c>
      <c r="B36" s="93">
        <f t="shared" si="209"/>
        <v>20</v>
      </c>
      <c r="C36" s="137">
        <f>VLOOKUP(B36,DES,2,FALSE)</f>
        <v>0.05</v>
      </c>
      <c r="D36" s="137">
        <f>VLOOKUP(B36,DES,3,FALSE)</f>
        <v>0.09</v>
      </c>
      <c r="E36" s="98">
        <f>VLOOKUP(B36,DES,4,FALSE)</f>
        <v>0</v>
      </c>
      <c r="F36" s="414">
        <f t="shared" si="210"/>
        <v>67</v>
      </c>
      <c r="G36" s="94">
        <f t="shared" si="211"/>
        <v>0.05</v>
      </c>
      <c r="H36" s="415">
        <f t="shared" si="212"/>
        <v>0.05</v>
      </c>
      <c r="I36" s="139" t="s">
        <v>290</v>
      </c>
      <c r="J36" s="125">
        <f t="shared" si="173"/>
        <v>478577.99</v>
      </c>
      <c r="K36" s="248">
        <v>1500000</v>
      </c>
      <c r="L36" s="113">
        <f t="shared" si="9"/>
        <v>480104.81</v>
      </c>
      <c r="M36" s="116">
        <f t="shared" si="213"/>
        <v>39894.400000000001</v>
      </c>
      <c r="N36" s="117">
        <f t="shared" si="214"/>
        <v>519999.21</v>
      </c>
      <c r="O36" s="114">
        <f t="shared" si="101"/>
        <v>-980000.79</v>
      </c>
      <c r="P36" s="413">
        <f t="shared" si="174"/>
        <v>0.34666614000000001</v>
      </c>
      <c r="Q36" s="125">
        <f t="shared" si="103"/>
        <v>382079.88</v>
      </c>
      <c r="R36" s="247">
        <v>1500000</v>
      </c>
      <c r="S36" s="116">
        <f t="shared" si="14"/>
        <v>403351.95</v>
      </c>
      <c r="T36" s="116">
        <f t="shared" si="215"/>
        <v>0</v>
      </c>
      <c r="U36" s="116">
        <f t="shared" si="216"/>
        <v>403351.95</v>
      </c>
      <c r="V36" s="116">
        <f t="shared" si="17"/>
        <v>-1096648.05</v>
      </c>
      <c r="W36" s="413">
        <f t="shared" si="175"/>
        <v>0.26890130000000001</v>
      </c>
      <c r="X36" s="123">
        <f t="shared" si="69"/>
        <v>669853.6</v>
      </c>
      <c r="Y36" s="461">
        <v>1500000</v>
      </c>
      <c r="Z36" s="113">
        <f t="shared" si="19"/>
        <v>57231.8</v>
      </c>
      <c r="AA36" s="116">
        <f t="shared" si="218"/>
        <v>42288.06</v>
      </c>
      <c r="AB36" s="117">
        <f t="shared" si="219"/>
        <v>99519.86</v>
      </c>
      <c r="AC36" s="114">
        <f t="shared" si="22"/>
        <v>-1400480.14</v>
      </c>
      <c r="AD36" s="97">
        <f t="shared" si="105"/>
        <v>6.6346573333333339E-2</v>
      </c>
      <c r="AE36" s="433">
        <f t="shared" si="24"/>
        <v>4500000</v>
      </c>
      <c r="AF36" s="118">
        <f t="shared" si="220"/>
        <v>754720.58</v>
      </c>
      <c r="AG36" s="116">
        <f t="shared" si="26"/>
        <v>940688.56</v>
      </c>
      <c r="AH36" s="116">
        <f t="shared" si="27"/>
        <v>82182.459999999992</v>
      </c>
      <c r="AI36" s="116">
        <f t="shared" si="28"/>
        <v>1022871.02</v>
      </c>
      <c r="AJ36" s="116">
        <f t="shared" si="29"/>
        <v>268150.44000000006</v>
      </c>
      <c r="AK36" s="418">
        <f t="shared" si="190"/>
        <v>1.3552976387632096</v>
      </c>
      <c r="AL36" s="434">
        <f t="shared" si="107"/>
        <v>193508.5</v>
      </c>
      <c r="AM36" s="140">
        <f t="shared" si="32"/>
        <v>412292.2</v>
      </c>
      <c r="AN36" s="326">
        <f t="shared" si="221"/>
        <v>53967.63</v>
      </c>
      <c r="AO36" s="333">
        <f t="shared" si="222"/>
        <v>466259.83</v>
      </c>
      <c r="AP36" s="125">
        <f t="shared" si="176"/>
        <v>192821.39</v>
      </c>
      <c r="AQ36" s="140">
        <f t="shared" si="177"/>
        <v>535740.95000000007</v>
      </c>
      <c r="AR36" s="326">
        <f t="shared" si="178"/>
        <v>23258.23</v>
      </c>
      <c r="AS36" s="333">
        <f t="shared" si="179"/>
        <v>558999.18000000005</v>
      </c>
      <c r="AT36" s="125">
        <f t="shared" si="180"/>
        <v>297266.28999999998</v>
      </c>
      <c r="AU36" s="140">
        <f t="shared" si="40"/>
        <v>54340</v>
      </c>
      <c r="AV36" s="326">
        <f t="shared" si="223"/>
        <v>65546.66</v>
      </c>
      <c r="AW36" s="332">
        <f t="shared" si="224"/>
        <v>119886.66</v>
      </c>
      <c r="AX36" s="122">
        <f t="shared" si="43"/>
        <v>1002373.1500000001</v>
      </c>
      <c r="AY36" s="326">
        <f t="shared" ref="AY36:AZ36" si="239">AN36+AR36+AV36</f>
        <v>142772.52000000002</v>
      </c>
      <c r="AZ36" s="333">
        <f t="shared" si="239"/>
        <v>1145145.67</v>
      </c>
      <c r="BA36" s="140">
        <f t="shared" ref="BA36:BB36" si="240">AX36+AG36</f>
        <v>1943061.7100000002</v>
      </c>
      <c r="BB36" s="326">
        <f t="shared" si="240"/>
        <v>224954.98</v>
      </c>
      <c r="BC36" s="435">
        <f t="shared" si="46"/>
        <v>2168016.69</v>
      </c>
      <c r="BD36" s="434">
        <f t="shared" si="183"/>
        <v>95364.29</v>
      </c>
      <c r="BE36" s="140">
        <f t="shared" si="48"/>
        <v>228308.81</v>
      </c>
      <c r="BF36" s="123">
        <f t="shared" si="227"/>
        <v>84803.45</v>
      </c>
      <c r="BG36" s="148">
        <f t="shared" si="228"/>
        <v>313112.26</v>
      </c>
      <c r="BH36" s="125">
        <f t="shared" si="184"/>
        <v>493821.27</v>
      </c>
      <c r="BI36" s="140">
        <f t="shared" si="52"/>
        <v>60505.500000000007</v>
      </c>
      <c r="BJ36" s="123">
        <f t="shared" si="229"/>
        <v>6115.46</v>
      </c>
      <c r="BK36" s="125">
        <f t="shared" si="230"/>
        <v>66620.960000000006</v>
      </c>
      <c r="BL36" s="436">
        <f t="shared" si="185"/>
        <v>405136.51</v>
      </c>
      <c r="BM36" s="140">
        <f t="shared" si="56"/>
        <v>572481.39999999991</v>
      </c>
      <c r="BN36" s="326">
        <f t="shared" si="231"/>
        <v>25118.799999999999</v>
      </c>
      <c r="BO36" s="333">
        <f t="shared" si="232"/>
        <v>597600.19999999995</v>
      </c>
      <c r="BP36" s="140">
        <f t="shared" ref="BP36:BR36" si="241">SUM(BE36,BI36,BM36)</f>
        <v>861295.71</v>
      </c>
      <c r="BQ36" s="141">
        <f t="shared" si="241"/>
        <v>116037.71</v>
      </c>
      <c r="BR36" s="437">
        <f t="shared" si="241"/>
        <v>977333.41999999993</v>
      </c>
      <c r="BS36" s="422">
        <f t="shared" si="187"/>
        <v>191095.84</v>
      </c>
      <c r="BT36" s="140">
        <f t="shared" si="61"/>
        <v>699328.88</v>
      </c>
      <c r="BU36" s="123">
        <f t="shared" si="234"/>
        <v>36987.49</v>
      </c>
      <c r="BV36" s="148">
        <f t="shared" si="235"/>
        <v>736316.37</v>
      </c>
      <c r="BW36" s="423">
        <f t="shared" si="188"/>
        <v>532062.69999999995</v>
      </c>
      <c r="BX36" s="424">
        <f t="shared" si="189"/>
        <v>31562.04</v>
      </c>
    </row>
    <row r="37" spans="1:76" ht="15.75" customHeight="1">
      <c r="A37" s="92">
        <f t="shared" si="208"/>
        <v>112012462</v>
      </c>
      <c r="B37" s="93">
        <f t="shared" si="209"/>
        <v>18</v>
      </c>
      <c r="C37" s="137" t="str">
        <f>VLOOKUP(B37,DES,2,FALSE)</f>
        <v>Lista</v>
      </c>
      <c r="D37" s="137">
        <f>VLOOKUP(B37,DES,3,FALSE)</f>
        <v>0.23</v>
      </c>
      <c r="E37" s="98">
        <f>VLOOKUP(B37,DES,4,FALSE)</f>
        <v>0</v>
      </c>
      <c r="F37" s="414">
        <f t="shared" si="210"/>
        <v>68</v>
      </c>
      <c r="G37" s="94" t="str">
        <f t="shared" si="211"/>
        <v>Lista</v>
      </c>
      <c r="H37" s="415">
        <f t="shared" si="212"/>
        <v>0.17</v>
      </c>
      <c r="I37" s="139" t="s">
        <v>291</v>
      </c>
      <c r="J37" s="125">
        <f t="shared" si="173"/>
        <v>1370180.31</v>
      </c>
      <c r="K37" s="174">
        <v>3000000</v>
      </c>
      <c r="L37" s="113">
        <f t="shared" si="9"/>
        <v>0</v>
      </c>
      <c r="M37" s="116">
        <f t="shared" si="213"/>
        <v>4697479.8600000003</v>
      </c>
      <c r="N37" s="117">
        <f t="shared" si="214"/>
        <v>4697479.8600000003</v>
      </c>
      <c r="O37" s="114">
        <f t="shared" si="101"/>
        <v>1697479.8600000003</v>
      </c>
      <c r="P37" s="413">
        <f t="shared" si="174"/>
        <v>1.5658266200000002</v>
      </c>
      <c r="Q37" s="444">
        <v>3000000</v>
      </c>
      <c r="R37" s="173">
        <v>3000000</v>
      </c>
      <c r="S37" s="116">
        <f t="shared" si="14"/>
        <v>0</v>
      </c>
      <c r="T37" s="116">
        <f t="shared" si="215"/>
        <v>4959810.12</v>
      </c>
      <c r="U37" s="116">
        <f t="shared" si="216"/>
        <v>4959810.12</v>
      </c>
      <c r="V37" s="116">
        <f t="shared" si="17"/>
        <v>1959810.12</v>
      </c>
      <c r="W37" s="413">
        <f t="shared" si="175"/>
        <v>1.65327004</v>
      </c>
      <c r="X37" s="123">
        <f t="shared" si="69"/>
        <v>3015235.9</v>
      </c>
      <c r="Y37" s="332">
        <f>(X37*1.5955)*1.03</f>
        <v>4955133.1448034998</v>
      </c>
      <c r="Z37" s="113">
        <f t="shared" si="19"/>
        <v>0</v>
      </c>
      <c r="AA37" s="116">
        <f t="shared" si="218"/>
        <v>11030388.75</v>
      </c>
      <c r="AB37" s="117">
        <f t="shared" si="219"/>
        <v>11030388.75</v>
      </c>
      <c r="AC37" s="114">
        <f t="shared" si="22"/>
        <v>6075255.6051965002</v>
      </c>
      <c r="AD37" s="97">
        <f t="shared" si="105"/>
        <v>2.2260529490650893</v>
      </c>
      <c r="AE37" s="433">
        <f t="shared" si="24"/>
        <v>10955133.1448035</v>
      </c>
      <c r="AF37" s="118">
        <f t="shared" si="220"/>
        <v>7413136.79</v>
      </c>
      <c r="AG37" s="116">
        <f t="shared" si="26"/>
        <v>-4959810.120000001</v>
      </c>
      <c r="AH37" s="116">
        <f t="shared" si="27"/>
        <v>25647488.850000001</v>
      </c>
      <c r="AI37" s="116">
        <f t="shared" si="28"/>
        <v>20687678.73</v>
      </c>
      <c r="AJ37" s="116">
        <f t="shared" si="29"/>
        <v>13274541.940000001</v>
      </c>
      <c r="AK37" s="418">
        <f t="shared" si="190"/>
        <v>2.7906781320839489</v>
      </c>
      <c r="AL37" s="434">
        <f t="shared" si="107"/>
        <v>7976738.5499999998</v>
      </c>
      <c r="AM37" s="140">
        <f t="shared" si="32"/>
        <v>0</v>
      </c>
      <c r="AN37" s="326">
        <f t="shared" si="221"/>
        <v>3237999.12</v>
      </c>
      <c r="AO37" s="333">
        <f t="shared" si="222"/>
        <v>3237999.12</v>
      </c>
      <c r="AP37" s="125">
        <f t="shared" si="176"/>
        <v>1014706.64</v>
      </c>
      <c r="AQ37" s="140">
        <f t="shared" si="177"/>
        <v>0</v>
      </c>
      <c r="AR37" s="326">
        <f t="shared" si="178"/>
        <v>6629311.6100000003</v>
      </c>
      <c r="AS37" s="333">
        <f t="shared" si="179"/>
        <v>6629311.6100000003</v>
      </c>
      <c r="AT37" s="125">
        <f t="shared" si="180"/>
        <v>462414.83</v>
      </c>
      <c r="AU37" s="140">
        <f t="shared" si="40"/>
        <v>0</v>
      </c>
      <c r="AV37" s="326">
        <f t="shared" si="223"/>
        <v>6987600.54</v>
      </c>
      <c r="AW37" s="332">
        <f t="shared" si="224"/>
        <v>6987600.54</v>
      </c>
      <c r="AX37" s="122">
        <f t="shared" si="43"/>
        <v>0</v>
      </c>
      <c r="AY37" s="326">
        <f t="shared" ref="AY37:AZ37" si="242">AN37+AR37+AV37</f>
        <v>16854911.27</v>
      </c>
      <c r="AZ37" s="333">
        <f t="shared" si="242"/>
        <v>16854911.27</v>
      </c>
      <c r="BA37" s="140">
        <f t="shared" ref="BA37:BB37" si="243">AX37+AG37</f>
        <v>-4959810.120000001</v>
      </c>
      <c r="BB37" s="326">
        <f t="shared" si="243"/>
        <v>42502400.120000005</v>
      </c>
      <c r="BC37" s="435">
        <f t="shared" si="46"/>
        <v>37542590</v>
      </c>
      <c r="BD37" s="434">
        <f t="shared" si="183"/>
        <v>1599594.32</v>
      </c>
      <c r="BE37" s="140">
        <f t="shared" si="48"/>
        <v>0</v>
      </c>
      <c r="BF37" s="123">
        <f t="shared" si="227"/>
        <v>12354744.33</v>
      </c>
      <c r="BG37" s="148">
        <f t="shared" si="228"/>
        <v>12354744.33</v>
      </c>
      <c r="BH37" s="125">
        <f t="shared" si="184"/>
        <v>4631632.55</v>
      </c>
      <c r="BI37" s="140">
        <f t="shared" si="52"/>
        <v>0</v>
      </c>
      <c r="BJ37" s="123">
        <f t="shared" si="229"/>
        <v>5137849.5</v>
      </c>
      <c r="BK37" s="125">
        <f t="shared" si="230"/>
        <v>5137849.5</v>
      </c>
      <c r="BL37" s="436">
        <f t="shared" si="185"/>
        <v>3346617.08</v>
      </c>
      <c r="BM37" s="140">
        <f t="shared" si="56"/>
        <v>0</v>
      </c>
      <c r="BN37" s="326">
        <f t="shared" si="231"/>
        <v>10469742.109999999</v>
      </c>
      <c r="BO37" s="333">
        <f t="shared" si="232"/>
        <v>10469742.109999999</v>
      </c>
      <c r="BP37" s="140">
        <f t="shared" ref="BP37:BR37" si="244">SUM(BE37,BI37,BM37)</f>
        <v>0</v>
      </c>
      <c r="BQ37" s="141">
        <f t="shared" si="244"/>
        <v>27962335.939999998</v>
      </c>
      <c r="BR37" s="437">
        <f t="shared" si="244"/>
        <v>27962335.939999998</v>
      </c>
      <c r="BS37" s="422">
        <f t="shared" si="187"/>
        <v>919279.88</v>
      </c>
      <c r="BT37" s="140">
        <f t="shared" si="61"/>
        <v>0</v>
      </c>
      <c r="BU37" s="123">
        <f t="shared" si="234"/>
        <v>8020305.5800000001</v>
      </c>
      <c r="BV37" s="148">
        <f t="shared" si="235"/>
        <v>8020305.5800000001</v>
      </c>
      <c r="BW37" s="423">
        <f t="shared" si="188"/>
        <v>1015906.8</v>
      </c>
      <c r="BX37" s="424">
        <f t="shared" si="189"/>
        <v>5477950.1100000003</v>
      </c>
    </row>
    <row r="38" spans="1:76" ht="15.75" customHeight="1">
      <c r="A38" s="92">
        <f t="shared" si="208"/>
        <v>112014630</v>
      </c>
      <c r="B38" s="93">
        <f t="shared" si="209"/>
        <v>18</v>
      </c>
      <c r="C38" s="137" t="str">
        <f>IFERROR(VLOOKUP(B38,DES,2,FALSE),"")</f>
        <v>Lista</v>
      </c>
      <c r="D38" s="137">
        <f>IFERROR(VLOOKUP(B38,DES,3,FALSE),"")</f>
        <v>0.23</v>
      </c>
      <c r="E38" s="98">
        <f>IFERROR(VLOOKUP(B38,DES,4,FALSE),"")</f>
        <v>0</v>
      </c>
      <c r="F38" s="414">
        <f t="shared" si="210"/>
        <v>69</v>
      </c>
      <c r="G38" s="94" t="str">
        <f t="shared" si="211"/>
        <v>Lista</v>
      </c>
      <c r="H38" s="415">
        <f t="shared" si="212"/>
        <v>0.14000000000000001</v>
      </c>
      <c r="I38" s="139" t="s">
        <v>292</v>
      </c>
      <c r="J38" s="125">
        <f t="shared" si="173"/>
        <v>0</v>
      </c>
      <c r="K38" s="174">
        <v>3000000</v>
      </c>
      <c r="L38" s="113">
        <f t="shared" si="9"/>
        <v>0</v>
      </c>
      <c r="M38" s="116">
        <f t="shared" si="213"/>
        <v>6628640.9400000004</v>
      </c>
      <c r="N38" s="117">
        <f t="shared" si="214"/>
        <v>6628640.9400000004</v>
      </c>
      <c r="O38" s="114">
        <f t="shared" si="101"/>
        <v>3628640.9400000004</v>
      </c>
      <c r="P38" s="413">
        <f t="shared" si="174"/>
        <v>2.2095469800000003</v>
      </c>
      <c r="Q38" s="444">
        <v>3000000</v>
      </c>
      <c r="R38" s="173">
        <v>3000000</v>
      </c>
      <c r="S38" s="116">
        <f t="shared" si="14"/>
        <v>0</v>
      </c>
      <c r="T38" s="116">
        <f t="shared" si="215"/>
        <v>4288083.34</v>
      </c>
      <c r="U38" s="116">
        <f t="shared" si="216"/>
        <v>4288083.34</v>
      </c>
      <c r="V38" s="116">
        <f t="shared" si="17"/>
        <v>1288083.3399999999</v>
      </c>
      <c r="W38" s="413">
        <f t="shared" si="175"/>
        <v>1.4293611133333333</v>
      </c>
      <c r="X38" s="431">
        <v>3000000</v>
      </c>
      <c r="Y38" s="432">
        <v>3000000</v>
      </c>
      <c r="Z38" s="113">
        <f t="shared" si="19"/>
        <v>0</v>
      </c>
      <c r="AA38" s="116">
        <f t="shared" si="218"/>
        <v>1861585.34</v>
      </c>
      <c r="AB38" s="117">
        <f t="shared" si="219"/>
        <v>1861585.34</v>
      </c>
      <c r="AC38" s="114">
        <f t="shared" si="22"/>
        <v>-1138414.6599999999</v>
      </c>
      <c r="AD38" s="97">
        <f t="shared" si="105"/>
        <v>0.62052844666666673</v>
      </c>
      <c r="AE38" s="433">
        <f t="shared" si="24"/>
        <v>9000000</v>
      </c>
      <c r="AF38" s="118">
        <f t="shared" si="220"/>
        <v>2445982.88</v>
      </c>
      <c r="AG38" s="116">
        <f t="shared" si="26"/>
        <v>-4288083.34</v>
      </c>
      <c r="AH38" s="116">
        <f t="shared" si="27"/>
        <v>17066392.960000001</v>
      </c>
      <c r="AI38" s="116">
        <f t="shared" si="28"/>
        <v>12778309.620000001</v>
      </c>
      <c r="AJ38" s="116">
        <f t="shared" si="29"/>
        <v>10332326.740000002</v>
      </c>
      <c r="AK38" s="418">
        <f t="shared" si="190"/>
        <v>5.2242023950715479</v>
      </c>
      <c r="AL38" s="434">
        <f t="shared" si="107"/>
        <v>0</v>
      </c>
      <c r="AM38" s="140">
        <f t="shared" si="32"/>
        <v>0</v>
      </c>
      <c r="AN38" s="326">
        <f t="shared" si="221"/>
        <v>1031517.95</v>
      </c>
      <c r="AO38" s="333">
        <f t="shared" si="222"/>
        <v>1031517.95</v>
      </c>
      <c r="AP38" s="125">
        <f t="shared" si="176"/>
        <v>0</v>
      </c>
      <c r="AQ38" s="140">
        <f t="shared" si="177"/>
        <v>0</v>
      </c>
      <c r="AR38" s="326">
        <f t="shared" si="178"/>
        <v>3038296.08</v>
      </c>
      <c r="AS38" s="333">
        <f t="shared" si="179"/>
        <v>3038296.08</v>
      </c>
      <c r="AT38" s="125">
        <f t="shared" si="180"/>
        <v>0</v>
      </c>
      <c r="AU38" s="140">
        <f t="shared" si="40"/>
        <v>0</v>
      </c>
      <c r="AV38" s="326">
        <f t="shared" si="223"/>
        <v>1188565.6100000001</v>
      </c>
      <c r="AW38" s="332">
        <f t="shared" si="224"/>
        <v>1188565.6100000001</v>
      </c>
      <c r="AX38" s="122">
        <f t="shared" si="43"/>
        <v>0</v>
      </c>
      <c r="AY38" s="326">
        <f t="shared" ref="AY38:AZ38" si="245">AN38+AR38+AV38</f>
        <v>5258379.6400000006</v>
      </c>
      <c r="AZ38" s="333">
        <f t="shared" si="245"/>
        <v>5258379.6400000006</v>
      </c>
      <c r="BA38" s="140">
        <f t="shared" ref="BA38:BB38" si="246">AX38+AG38</f>
        <v>-4288083.34</v>
      </c>
      <c r="BB38" s="326">
        <f t="shared" si="246"/>
        <v>22324772.600000001</v>
      </c>
      <c r="BC38" s="435">
        <f t="shared" si="46"/>
        <v>18036689.260000002</v>
      </c>
      <c r="BD38" s="434">
        <f t="shared" si="183"/>
        <v>0</v>
      </c>
      <c r="BE38" s="140">
        <f t="shared" si="48"/>
        <v>0</v>
      </c>
      <c r="BF38" s="123">
        <f t="shared" si="227"/>
        <v>2712869.54</v>
      </c>
      <c r="BG38" s="148">
        <f t="shared" si="228"/>
        <v>2712869.54</v>
      </c>
      <c r="BH38" s="125">
        <f t="shared" si="184"/>
        <v>0</v>
      </c>
      <c r="BI38" s="140">
        <f t="shared" si="52"/>
        <v>0</v>
      </c>
      <c r="BJ38" s="123">
        <f t="shared" si="229"/>
        <v>0</v>
      </c>
      <c r="BK38" s="125">
        <f t="shared" si="230"/>
        <v>0</v>
      </c>
      <c r="BL38" s="436">
        <f t="shared" si="185"/>
        <v>0</v>
      </c>
      <c r="BM38" s="140">
        <f t="shared" si="56"/>
        <v>0</v>
      </c>
      <c r="BN38" s="326">
        <f t="shared" si="231"/>
        <v>0</v>
      </c>
      <c r="BO38" s="333">
        <f t="shared" si="232"/>
        <v>0</v>
      </c>
      <c r="BP38" s="140">
        <f t="shared" ref="BP38:BR38" si="247">SUM(BE38,BI38,BM38)</f>
        <v>0</v>
      </c>
      <c r="BQ38" s="141">
        <f t="shared" si="247"/>
        <v>2712869.54</v>
      </c>
      <c r="BR38" s="437">
        <f t="shared" si="247"/>
        <v>2712869.54</v>
      </c>
      <c r="BS38" s="422">
        <f t="shared" si="187"/>
        <v>0</v>
      </c>
      <c r="BT38" s="140">
        <f t="shared" si="61"/>
        <v>0</v>
      </c>
      <c r="BU38" s="123">
        <f t="shared" si="234"/>
        <v>4962783.5999999996</v>
      </c>
      <c r="BV38" s="148">
        <f t="shared" si="235"/>
        <v>4962783.5999999996</v>
      </c>
      <c r="BW38" s="423">
        <f t="shared" si="188"/>
        <v>0</v>
      </c>
      <c r="BX38" s="424">
        <f t="shared" si="189"/>
        <v>2445982.88</v>
      </c>
    </row>
    <row r="39" spans="1:76" ht="15.75" customHeight="1">
      <c r="A39" s="92">
        <f t="shared" si="208"/>
        <v>112011814</v>
      </c>
      <c r="B39" s="93">
        <f t="shared" si="209"/>
        <v>4</v>
      </c>
      <c r="C39" s="137" t="str">
        <f>VLOOKUP(B39,DES,2,FALSE)</f>
        <v>Lista</v>
      </c>
      <c r="D39" s="137">
        <f>VLOOKUP(B39,DES,3,FALSE)</f>
        <v>0.2</v>
      </c>
      <c r="E39" s="98">
        <f>VLOOKUP(B39,DES,4,FALSE)</f>
        <v>0</v>
      </c>
      <c r="F39" s="414">
        <f t="shared" si="210"/>
        <v>70</v>
      </c>
      <c r="G39" s="94" t="str">
        <f t="shared" si="211"/>
        <v>Lista</v>
      </c>
      <c r="H39" s="415">
        <f t="shared" si="212"/>
        <v>0.11</v>
      </c>
      <c r="I39" s="139" t="s">
        <v>293</v>
      </c>
      <c r="J39" s="125">
        <f t="shared" si="173"/>
        <v>1458494.97</v>
      </c>
      <c r="K39" s="141">
        <f>(J39*1.601)*1.05</f>
        <v>2451802.9693185003</v>
      </c>
      <c r="L39" s="113">
        <f t="shared" si="9"/>
        <v>2138300.5299999998</v>
      </c>
      <c r="M39" s="116">
        <f t="shared" si="213"/>
        <v>38330.519999999997</v>
      </c>
      <c r="N39" s="117">
        <f t="shared" si="214"/>
        <v>2176631.0499999998</v>
      </c>
      <c r="O39" s="114">
        <f t="shared" si="101"/>
        <v>-275171.91931850044</v>
      </c>
      <c r="P39" s="413">
        <f t="shared" si="174"/>
        <v>0.88776752342583753</v>
      </c>
      <c r="Q39" s="125">
        <f t="shared" ref="Q39:Q77" si="248">IFERROR(VLOOKUP(I39,CALO24,4,FALSE),"")</f>
        <v>911424.06</v>
      </c>
      <c r="R39" s="140">
        <f>(Q39*1.7245)*1.03</f>
        <v>1618903.3152141001</v>
      </c>
      <c r="S39" s="116">
        <f t="shared" si="14"/>
        <v>3368259.78</v>
      </c>
      <c r="T39" s="116">
        <f t="shared" si="215"/>
        <v>153322.07999999999</v>
      </c>
      <c r="U39" s="116">
        <f t="shared" si="216"/>
        <v>3521581.86</v>
      </c>
      <c r="V39" s="116">
        <f t="shared" si="17"/>
        <v>1902678.5447858998</v>
      </c>
      <c r="W39" s="413">
        <f t="shared" si="175"/>
        <v>2.1752885591776496</v>
      </c>
      <c r="X39" s="123">
        <f t="shared" ref="X39:X77" si="249">IFERROR(VLOOKUP(I39,CALO24,5,FALSE),"")</f>
        <v>646155.43000000005</v>
      </c>
      <c r="Y39" s="461">
        <v>1500000</v>
      </c>
      <c r="Z39" s="113">
        <f t="shared" si="19"/>
        <v>1753155.83</v>
      </c>
      <c r="AA39" s="116">
        <f t="shared" si="218"/>
        <v>119036.4</v>
      </c>
      <c r="AB39" s="117">
        <f t="shared" si="219"/>
        <v>1872192.23</v>
      </c>
      <c r="AC39" s="114">
        <f t="shared" si="22"/>
        <v>372192.23</v>
      </c>
      <c r="AD39" s="97">
        <f t="shared" si="105"/>
        <v>1.2481281533333333</v>
      </c>
      <c r="AE39" s="433">
        <f t="shared" si="24"/>
        <v>5570706.2845326001</v>
      </c>
      <c r="AF39" s="118">
        <f t="shared" si="220"/>
        <v>6505702.0800000001</v>
      </c>
      <c r="AG39" s="116">
        <f t="shared" si="26"/>
        <v>7106394.0599999996</v>
      </c>
      <c r="AH39" s="116">
        <f t="shared" si="27"/>
        <v>464011.07999999996</v>
      </c>
      <c r="AI39" s="116">
        <f t="shared" si="28"/>
        <v>7570405.1399999997</v>
      </c>
      <c r="AJ39" s="116">
        <f t="shared" si="29"/>
        <v>1064703.0599999996</v>
      </c>
      <c r="AK39" s="418">
        <f t="shared" si="190"/>
        <v>1.1636569038833084</v>
      </c>
      <c r="AL39" s="434">
        <f t="shared" si="107"/>
        <v>1808204.16</v>
      </c>
      <c r="AM39" s="140">
        <f t="shared" si="32"/>
        <v>1376822.7799999998</v>
      </c>
      <c r="AN39" s="326">
        <f t="shared" si="221"/>
        <v>117025.60000000001</v>
      </c>
      <c r="AO39" s="333">
        <f t="shared" si="222"/>
        <v>1493848.38</v>
      </c>
      <c r="AP39" s="125">
        <f t="shared" si="176"/>
        <v>673241.91</v>
      </c>
      <c r="AQ39" s="140">
        <f t="shared" si="177"/>
        <v>1670427.74</v>
      </c>
      <c r="AR39" s="326">
        <f t="shared" si="178"/>
        <v>147848.79999999999</v>
      </c>
      <c r="AS39" s="333">
        <f t="shared" si="179"/>
        <v>1818276.54</v>
      </c>
      <c r="AT39" s="125">
        <f t="shared" si="180"/>
        <v>509215.37</v>
      </c>
      <c r="AU39" s="140">
        <f t="shared" si="40"/>
        <v>2182986.3199999998</v>
      </c>
      <c r="AV39" s="326">
        <f t="shared" si="223"/>
        <v>209449.66</v>
      </c>
      <c r="AW39" s="332">
        <f t="shared" si="224"/>
        <v>2392435.98</v>
      </c>
      <c r="AX39" s="122">
        <f t="shared" si="43"/>
        <v>5230236.84</v>
      </c>
      <c r="AY39" s="326">
        <f t="shared" ref="AY39:AZ39" si="250">AN39+AR39+AV39</f>
        <v>474324.06000000006</v>
      </c>
      <c r="AZ39" s="333">
        <f t="shared" si="250"/>
        <v>5704560.9000000004</v>
      </c>
      <c r="BA39" s="140">
        <f t="shared" ref="BA39:BB39" si="251">AX39+AG39</f>
        <v>12336630.899999999</v>
      </c>
      <c r="BB39" s="326">
        <f t="shared" si="251"/>
        <v>938335.14</v>
      </c>
      <c r="BC39" s="435">
        <f t="shared" si="46"/>
        <v>13274966.039999999</v>
      </c>
      <c r="BD39" s="434">
        <f t="shared" si="183"/>
        <v>904132.61</v>
      </c>
      <c r="BE39" s="140">
        <f t="shared" si="48"/>
        <v>2523887.69</v>
      </c>
      <c r="BF39" s="123">
        <f t="shared" si="227"/>
        <v>213938.04</v>
      </c>
      <c r="BG39" s="148">
        <f t="shared" si="228"/>
        <v>2737825.73</v>
      </c>
      <c r="BH39" s="125">
        <f t="shared" si="184"/>
        <v>915351.71</v>
      </c>
      <c r="BI39" s="140">
        <f t="shared" si="52"/>
        <v>3014744.98</v>
      </c>
      <c r="BJ39" s="123">
        <f t="shared" si="229"/>
        <v>72698.45</v>
      </c>
      <c r="BK39" s="125">
        <f t="shared" si="230"/>
        <v>3087443.43</v>
      </c>
      <c r="BL39" s="436">
        <f t="shared" si="185"/>
        <v>2266695.3199999998</v>
      </c>
      <c r="BM39" s="140">
        <f t="shared" si="56"/>
        <v>1597233.93</v>
      </c>
      <c r="BN39" s="326">
        <f t="shared" si="231"/>
        <v>152607.76</v>
      </c>
      <c r="BO39" s="333">
        <f t="shared" si="232"/>
        <v>1749841.69</v>
      </c>
      <c r="BP39" s="140">
        <f t="shared" ref="BP39:BR39" si="252">SUM(BE39,BI39,BM39)</f>
        <v>7135866.5999999996</v>
      </c>
      <c r="BQ39" s="141">
        <f t="shared" si="252"/>
        <v>439244.25</v>
      </c>
      <c r="BR39" s="437">
        <f t="shared" si="252"/>
        <v>7575110.8499999996</v>
      </c>
      <c r="BS39" s="422">
        <f t="shared" si="187"/>
        <v>1526609.38</v>
      </c>
      <c r="BT39" s="140">
        <f t="shared" si="61"/>
        <v>5140405.51</v>
      </c>
      <c r="BU39" s="123">
        <f t="shared" si="234"/>
        <v>162863.87</v>
      </c>
      <c r="BV39" s="148">
        <f t="shared" si="235"/>
        <v>5303269.38</v>
      </c>
      <c r="BW39" s="423">
        <f t="shared" si="188"/>
        <v>2779402.59</v>
      </c>
      <c r="BX39" s="424">
        <f t="shared" si="189"/>
        <v>2199690.1</v>
      </c>
    </row>
    <row r="40" spans="1:76" ht="15.75" customHeight="1">
      <c r="A40" s="92">
        <f t="shared" si="208"/>
        <v>112014441</v>
      </c>
      <c r="B40" s="93">
        <f t="shared" si="209"/>
        <v>4</v>
      </c>
      <c r="C40" s="137" t="str">
        <f>IFERROR(VLOOKUP(B40,DES,2,FALSE),"")</f>
        <v>Lista</v>
      </c>
      <c r="D40" s="137">
        <f>IFERROR(VLOOKUP(B40,DES,3,FALSE),"")</f>
        <v>0.2</v>
      </c>
      <c r="E40" s="98">
        <f>IFERROR(VLOOKUP(B40,DES,4,FALSE),"")</f>
        <v>0</v>
      </c>
      <c r="F40" s="414">
        <f t="shared" si="210"/>
        <v>70</v>
      </c>
      <c r="G40" s="94" t="str">
        <f t="shared" si="211"/>
        <v>Lista</v>
      </c>
      <c r="H40" s="415">
        <f t="shared" si="212"/>
        <v>0.11</v>
      </c>
      <c r="I40" s="139" t="s">
        <v>294</v>
      </c>
      <c r="J40" s="125">
        <f t="shared" si="173"/>
        <v>0</v>
      </c>
      <c r="K40" s="248">
        <v>1500000</v>
      </c>
      <c r="L40" s="113">
        <f t="shared" si="9"/>
        <v>216691.82</v>
      </c>
      <c r="M40" s="116">
        <f t="shared" si="213"/>
        <v>0</v>
      </c>
      <c r="N40" s="117">
        <f t="shared" si="214"/>
        <v>216691.82</v>
      </c>
      <c r="O40" s="114">
        <f t="shared" si="101"/>
        <v>-1283308.18</v>
      </c>
      <c r="P40" s="413">
        <f t="shared" si="174"/>
        <v>0.14446121333333334</v>
      </c>
      <c r="Q40" s="125">
        <f t="shared" si="248"/>
        <v>0</v>
      </c>
      <c r="R40" s="247">
        <v>1500000</v>
      </c>
      <c r="S40" s="116">
        <f t="shared" si="14"/>
        <v>0</v>
      </c>
      <c r="T40" s="116">
        <f t="shared" si="215"/>
        <v>0</v>
      </c>
      <c r="U40" s="116">
        <f t="shared" si="216"/>
        <v>0</v>
      </c>
      <c r="V40" s="116">
        <f t="shared" si="17"/>
        <v>-1500000</v>
      </c>
      <c r="W40" s="413">
        <f t="shared" si="175"/>
        <v>0</v>
      </c>
      <c r="X40" s="123">
        <f t="shared" si="249"/>
        <v>0</v>
      </c>
      <c r="Y40" s="461">
        <v>1500000</v>
      </c>
      <c r="Z40" s="113">
        <f t="shared" si="19"/>
        <v>310754.09999999998</v>
      </c>
      <c r="AA40" s="116">
        <f t="shared" si="218"/>
        <v>0</v>
      </c>
      <c r="AB40" s="117">
        <f t="shared" si="219"/>
        <v>310754.09999999998</v>
      </c>
      <c r="AC40" s="114">
        <f t="shared" si="22"/>
        <v>-1189245.8999999999</v>
      </c>
      <c r="AD40" s="97">
        <f t="shared" si="105"/>
        <v>0.20716939999999998</v>
      </c>
      <c r="AE40" s="433">
        <f t="shared" si="24"/>
        <v>4500000</v>
      </c>
      <c r="AF40" s="118">
        <f t="shared" si="220"/>
        <v>416951.06</v>
      </c>
      <c r="AG40" s="116">
        <f t="shared" si="26"/>
        <v>527445.91999999993</v>
      </c>
      <c r="AH40" s="116">
        <f t="shared" si="27"/>
        <v>0</v>
      </c>
      <c r="AI40" s="116">
        <f t="shared" si="28"/>
        <v>527445.91999999993</v>
      </c>
      <c r="AJ40" s="116">
        <f t="shared" si="29"/>
        <v>110494.85999999993</v>
      </c>
      <c r="AK40" s="418">
        <f t="shared" si="190"/>
        <v>1.2650067852087963</v>
      </c>
      <c r="AL40" s="434">
        <f t="shared" si="107"/>
        <v>0</v>
      </c>
      <c r="AM40" s="140">
        <f t="shared" si="32"/>
        <v>333122</v>
      </c>
      <c r="AN40" s="326">
        <f t="shared" si="221"/>
        <v>0</v>
      </c>
      <c r="AO40" s="333">
        <f t="shared" si="222"/>
        <v>333122</v>
      </c>
      <c r="AP40" s="125">
        <f t="shared" si="176"/>
        <v>886594.72</v>
      </c>
      <c r="AQ40" s="140">
        <f t="shared" si="177"/>
        <v>390705.74</v>
      </c>
      <c r="AR40" s="326">
        <f t="shared" si="178"/>
        <v>0</v>
      </c>
      <c r="AS40" s="333">
        <f t="shared" si="179"/>
        <v>390705.74</v>
      </c>
      <c r="AT40" s="125">
        <f t="shared" si="180"/>
        <v>0</v>
      </c>
      <c r="AU40" s="140">
        <f t="shared" si="40"/>
        <v>0</v>
      </c>
      <c r="AV40" s="326">
        <f t="shared" si="223"/>
        <v>10690.86</v>
      </c>
      <c r="AW40" s="332">
        <f t="shared" si="224"/>
        <v>10690.86</v>
      </c>
      <c r="AX40" s="122">
        <f t="shared" si="43"/>
        <v>723827.74</v>
      </c>
      <c r="AY40" s="326">
        <f t="shared" ref="AY40:AZ40" si="253">AN40+AR40+AV40</f>
        <v>10690.86</v>
      </c>
      <c r="AZ40" s="333">
        <f t="shared" si="253"/>
        <v>734518.6</v>
      </c>
      <c r="BA40" s="140">
        <f t="shared" ref="BA40:BB40" si="254">AX40+AG40</f>
        <v>1251273.6599999999</v>
      </c>
      <c r="BB40" s="326">
        <f t="shared" si="254"/>
        <v>10690.86</v>
      </c>
      <c r="BC40" s="435">
        <f t="shared" si="46"/>
        <v>1261964.52</v>
      </c>
      <c r="BD40" s="434">
        <f t="shared" si="183"/>
        <v>217089.91</v>
      </c>
      <c r="BE40" s="140">
        <f t="shared" si="48"/>
        <v>0</v>
      </c>
      <c r="BF40" s="123">
        <f t="shared" si="227"/>
        <v>0</v>
      </c>
      <c r="BG40" s="148">
        <f t="shared" si="228"/>
        <v>0</v>
      </c>
      <c r="BH40" s="125">
        <f t="shared" si="184"/>
        <v>0</v>
      </c>
      <c r="BI40" s="140">
        <f t="shared" si="52"/>
        <v>294461.7</v>
      </c>
      <c r="BJ40" s="123">
        <f t="shared" si="229"/>
        <v>0</v>
      </c>
      <c r="BK40" s="125">
        <f t="shared" si="230"/>
        <v>294461.7</v>
      </c>
      <c r="BL40" s="436">
        <f t="shared" si="185"/>
        <v>0</v>
      </c>
      <c r="BM40" s="140">
        <f t="shared" si="56"/>
        <v>196263.32</v>
      </c>
      <c r="BN40" s="326">
        <f t="shared" si="231"/>
        <v>0</v>
      </c>
      <c r="BO40" s="333">
        <f t="shared" si="232"/>
        <v>196263.32</v>
      </c>
      <c r="BP40" s="140">
        <f t="shared" ref="BP40:BR40" si="255">SUM(BE40,BI40,BM40)</f>
        <v>490725.02</v>
      </c>
      <c r="BQ40" s="141">
        <f t="shared" si="255"/>
        <v>0</v>
      </c>
      <c r="BR40" s="437">
        <f t="shared" si="255"/>
        <v>490725.02</v>
      </c>
      <c r="BS40" s="422">
        <f t="shared" si="187"/>
        <v>0</v>
      </c>
      <c r="BT40" s="140">
        <f t="shared" si="61"/>
        <v>991973.06</v>
      </c>
      <c r="BU40" s="123">
        <f t="shared" si="234"/>
        <v>0</v>
      </c>
      <c r="BV40" s="148">
        <f t="shared" si="235"/>
        <v>991973.06</v>
      </c>
      <c r="BW40" s="423">
        <f t="shared" si="188"/>
        <v>416951.06</v>
      </c>
      <c r="BX40" s="424">
        <f t="shared" si="189"/>
        <v>0</v>
      </c>
    </row>
    <row r="41" spans="1:76" ht="15.75" customHeight="1">
      <c r="A41" s="92">
        <f t="shared" si="208"/>
        <v>112014634</v>
      </c>
      <c r="B41" s="93">
        <f t="shared" si="209"/>
        <v>4</v>
      </c>
      <c r="C41" s="137" t="str">
        <f>IFERROR(VLOOKUP(B41,DES,2,FALSE),"")</f>
        <v>Lista</v>
      </c>
      <c r="D41" s="137">
        <f>IFERROR(VLOOKUP(B41,DES,3,FALSE),"")</f>
        <v>0.2</v>
      </c>
      <c r="E41" s="98">
        <f>IFERROR(VLOOKUP(B41,DES,4,FALSE),"")</f>
        <v>0</v>
      </c>
      <c r="F41" s="414">
        <f t="shared" si="210"/>
        <v>70</v>
      </c>
      <c r="G41" s="94" t="str">
        <f t="shared" si="211"/>
        <v>Lista</v>
      </c>
      <c r="H41" s="415">
        <f t="shared" si="212"/>
        <v>0.11</v>
      </c>
      <c r="I41" s="139" t="s">
        <v>295</v>
      </c>
      <c r="J41" s="125">
        <f t="shared" si="173"/>
        <v>0</v>
      </c>
      <c r="K41" s="248">
        <v>1500000</v>
      </c>
      <c r="L41" s="113" t="e">
        <f t="shared" si="9"/>
        <v>#VALUE!</v>
      </c>
      <c r="M41" s="116" t="str">
        <f t="shared" si="213"/>
        <v/>
      </c>
      <c r="N41" s="117">
        <f t="shared" si="214"/>
        <v>139872.78</v>
      </c>
      <c r="O41" s="114">
        <f t="shared" si="101"/>
        <v>-1360127.22</v>
      </c>
      <c r="P41" s="413">
        <f t="shared" si="174"/>
        <v>9.3248520000000001E-2</v>
      </c>
      <c r="Q41" s="125">
        <f t="shared" si="248"/>
        <v>0</v>
      </c>
      <c r="R41" s="247">
        <v>1500000</v>
      </c>
      <c r="S41" s="116" t="e">
        <f t="shared" si="14"/>
        <v>#VALUE!</v>
      </c>
      <c r="T41" s="116" t="str">
        <f t="shared" si="215"/>
        <v/>
      </c>
      <c r="U41" s="116">
        <f t="shared" si="216"/>
        <v>0</v>
      </c>
      <c r="V41" s="116">
        <f t="shared" si="17"/>
        <v>-1500000</v>
      </c>
      <c r="W41" s="413">
        <f t="shared" si="175"/>
        <v>0</v>
      </c>
      <c r="X41" s="123">
        <f t="shared" si="249"/>
        <v>0</v>
      </c>
      <c r="Y41" s="461">
        <v>1500000</v>
      </c>
      <c r="Z41" s="113" t="e">
        <f t="shared" si="19"/>
        <v>#VALUE!</v>
      </c>
      <c r="AA41" s="116" t="str">
        <f t="shared" si="218"/>
        <v/>
      </c>
      <c r="AB41" s="117">
        <f t="shared" si="219"/>
        <v>0</v>
      </c>
      <c r="AC41" s="114">
        <f t="shared" si="22"/>
        <v>-1500000</v>
      </c>
      <c r="AD41" s="97">
        <f t="shared" si="105"/>
        <v>0</v>
      </c>
      <c r="AE41" s="433">
        <f t="shared" si="24"/>
        <v>4500000</v>
      </c>
      <c r="AF41" s="118">
        <f t="shared" si="220"/>
        <v>326037.15000000002</v>
      </c>
      <c r="AG41" s="116">
        <f t="shared" si="26"/>
        <v>139872.78</v>
      </c>
      <c r="AH41" s="116">
        <f t="shared" si="27"/>
        <v>0</v>
      </c>
      <c r="AI41" s="116">
        <f t="shared" si="28"/>
        <v>139872.78</v>
      </c>
      <c r="AJ41" s="116">
        <f t="shared" si="29"/>
        <v>-186164.37000000002</v>
      </c>
      <c r="AK41" s="418">
        <f t="shared" si="190"/>
        <v>0.42900871879170821</v>
      </c>
      <c r="AL41" s="434">
        <f t="shared" si="107"/>
        <v>0</v>
      </c>
      <c r="AM41" s="140" t="e">
        <f t="shared" si="32"/>
        <v>#VALUE!</v>
      </c>
      <c r="AN41" s="326" t="str">
        <f t="shared" si="221"/>
        <v/>
      </c>
      <c r="AO41" s="333">
        <f t="shared" si="222"/>
        <v>0</v>
      </c>
      <c r="AP41" s="125">
        <f t="shared" si="176"/>
        <v>0</v>
      </c>
      <c r="AQ41" s="140" t="e">
        <f t="shared" si="177"/>
        <v>#VALUE!</v>
      </c>
      <c r="AR41" s="326" t="str">
        <f t="shared" si="178"/>
        <v/>
      </c>
      <c r="AS41" s="333">
        <f t="shared" si="179"/>
        <v>157645</v>
      </c>
      <c r="AT41" s="125">
        <f t="shared" si="180"/>
        <v>0</v>
      </c>
      <c r="AU41" s="140" t="e">
        <f t="shared" si="40"/>
        <v>#VALUE!</v>
      </c>
      <c r="AV41" s="326" t="str">
        <f t="shared" si="223"/>
        <v/>
      </c>
      <c r="AW41" s="332">
        <f t="shared" si="224"/>
        <v>176148</v>
      </c>
      <c r="AX41" s="122" t="e">
        <f t="shared" si="43"/>
        <v>#VALUE!</v>
      </c>
      <c r="AY41" s="326" t="e">
        <f t="shared" ref="AY41:AZ41" si="256">AN41+AR41+AV41</f>
        <v>#VALUE!</v>
      </c>
      <c r="AZ41" s="333">
        <f t="shared" si="256"/>
        <v>333793</v>
      </c>
      <c r="BA41" s="140" t="e">
        <f t="shared" ref="BA41:BB41" si="257">AX41+AG41</f>
        <v>#VALUE!</v>
      </c>
      <c r="BB41" s="326" t="e">
        <f t="shared" si="257"/>
        <v>#VALUE!</v>
      </c>
      <c r="BC41" s="435">
        <f t="shared" si="46"/>
        <v>473665.78</v>
      </c>
      <c r="BD41" s="434">
        <f t="shared" si="183"/>
        <v>0</v>
      </c>
      <c r="BE41" s="140" t="e">
        <f t="shared" si="48"/>
        <v>#VALUE!</v>
      </c>
      <c r="BF41" s="123" t="str">
        <f t="shared" si="227"/>
        <v/>
      </c>
      <c r="BG41" s="148">
        <f t="shared" si="228"/>
        <v>208233</v>
      </c>
      <c r="BH41" s="125">
        <f t="shared" si="184"/>
        <v>0</v>
      </c>
      <c r="BI41" s="140" t="e">
        <f t="shared" si="52"/>
        <v>#VALUE!</v>
      </c>
      <c r="BJ41" s="123" t="str">
        <f t="shared" si="229"/>
        <v/>
      </c>
      <c r="BK41" s="125">
        <f t="shared" si="230"/>
        <v>0</v>
      </c>
      <c r="BL41" s="436">
        <f t="shared" si="185"/>
        <v>0</v>
      </c>
      <c r="BM41" s="140" t="e">
        <f t="shared" si="56"/>
        <v>#VALUE!</v>
      </c>
      <c r="BN41" s="326" t="str">
        <f t="shared" si="231"/>
        <v/>
      </c>
      <c r="BO41" s="333">
        <f t="shared" si="232"/>
        <v>516068</v>
      </c>
      <c r="BP41" s="140" t="e">
        <f t="shared" ref="BP41:BR41" si="258">SUM(BE41,BI41,BM41)</f>
        <v>#VALUE!</v>
      </c>
      <c r="BQ41" s="141">
        <f t="shared" si="258"/>
        <v>0</v>
      </c>
      <c r="BR41" s="437">
        <f t="shared" si="258"/>
        <v>724301</v>
      </c>
      <c r="BS41" s="422">
        <f t="shared" si="187"/>
        <v>0</v>
      </c>
      <c r="BT41" s="140" t="e">
        <f t="shared" si="61"/>
        <v>#VALUE!</v>
      </c>
      <c r="BU41" s="123" t="str">
        <f t="shared" si="234"/>
        <v/>
      </c>
      <c r="BV41" s="148">
        <f t="shared" si="235"/>
        <v>0</v>
      </c>
      <c r="BW41" s="423">
        <f t="shared" si="188"/>
        <v>0</v>
      </c>
      <c r="BX41" s="424">
        <f t="shared" si="189"/>
        <v>326037.15000000002</v>
      </c>
    </row>
    <row r="42" spans="1:76" ht="15.75" customHeight="1">
      <c r="A42" s="92">
        <f t="shared" si="208"/>
        <v>112011860</v>
      </c>
      <c r="B42" s="93">
        <f t="shared" si="209"/>
        <v>4</v>
      </c>
      <c r="C42" s="137" t="str">
        <f>VLOOKUP(B42,DES,2,FALSE)</f>
        <v>Lista</v>
      </c>
      <c r="D42" s="137">
        <f>VLOOKUP(B42,DES,3,FALSE)</f>
        <v>0.2</v>
      </c>
      <c r="E42" s="98">
        <f>VLOOKUP(B42,DES,4,FALSE)</f>
        <v>0</v>
      </c>
      <c r="F42" s="414">
        <f t="shared" si="210"/>
        <v>70</v>
      </c>
      <c r="G42" s="94" t="str">
        <f t="shared" si="211"/>
        <v>Lista</v>
      </c>
      <c r="H42" s="415">
        <f t="shared" si="212"/>
        <v>0.11</v>
      </c>
      <c r="I42" s="139" t="s">
        <v>296</v>
      </c>
      <c r="J42" s="125">
        <f t="shared" si="173"/>
        <v>144665.35999999999</v>
      </c>
      <c r="K42" s="141">
        <f t="shared" ref="K42:K48" si="259">(J42*1.601)*1.05</f>
        <v>243189.70342800001</v>
      </c>
      <c r="L42" s="113">
        <f t="shared" si="9"/>
        <v>29662.399999999994</v>
      </c>
      <c r="M42" s="116">
        <f t="shared" si="213"/>
        <v>202398.56</v>
      </c>
      <c r="N42" s="117">
        <f t="shared" si="214"/>
        <v>232060.96</v>
      </c>
      <c r="O42" s="114">
        <f t="shared" si="101"/>
        <v>-11128.743428000016</v>
      </c>
      <c r="P42" s="413">
        <f t="shared" si="174"/>
        <v>0.95423842674616011</v>
      </c>
      <c r="Q42" s="125">
        <f t="shared" si="248"/>
        <v>44537.120000000003</v>
      </c>
      <c r="R42" s="140">
        <f t="shared" ref="R42:R53" si="260">(Q42*1.7245)*1.03</f>
        <v>79108.391343199997</v>
      </c>
      <c r="S42" s="116">
        <f t="shared" si="14"/>
        <v>0</v>
      </c>
      <c r="T42" s="116">
        <f t="shared" si="215"/>
        <v>0</v>
      </c>
      <c r="U42" s="116">
        <f t="shared" si="216"/>
        <v>0</v>
      </c>
      <c r="V42" s="116">
        <f t="shared" si="17"/>
        <v>-79108.391343199997</v>
      </c>
      <c r="W42" s="413">
        <f t="shared" si="175"/>
        <v>0</v>
      </c>
      <c r="X42" s="123">
        <f t="shared" si="249"/>
        <v>0</v>
      </c>
      <c r="Y42" s="332">
        <f t="shared" ref="Y42:Y53" si="261">(X42*1.5955)*1.03</f>
        <v>0</v>
      </c>
      <c r="Z42" s="113">
        <f t="shared" si="19"/>
        <v>0</v>
      </c>
      <c r="AA42" s="116">
        <f t="shared" si="218"/>
        <v>98785.919999999998</v>
      </c>
      <c r="AB42" s="117">
        <f t="shared" si="219"/>
        <v>98785.919999999998</v>
      </c>
      <c r="AC42" s="114">
        <f t="shared" si="22"/>
        <v>98785.919999999998</v>
      </c>
      <c r="AD42" s="97" t="str">
        <f t="shared" ref="AD42:AD52" si="262">IFERROR(AB42/Y42,"")</f>
        <v/>
      </c>
      <c r="AE42" s="433">
        <f t="shared" si="24"/>
        <v>322298.09477119998</v>
      </c>
      <c r="AF42" s="118">
        <f t="shared" si="220"/>
        <v>285899.96000000002</v>
      </c>
      <c r="AG42" s="116">
        <f t="shared" si="26"/>
        <v>29662.400000000023</v>
      </c>
      <c r="AH42" s="116">
        <f t="shared" si="27"/>
        <v>301184.48</v>
      </c>
      <c r="AI42" s="116">
        <f t="shared" si="28"/>
        <v>330846.88</v>
      </c>
      <c r="AJ42" s="116">
        <f t="shared" si="29"/>
        <v>44946.919999999984</v>
      </c>
      <c r="AK42" s="418">
        <f t="shared" si="190"/>
        <v>1.1572120541744741</v>
      </c>
      <c r="AL42" s="434">
        <f t="shared" si="107"/>
        <v>0</v>
      </c>
      <c r="AM42" s="140">
        <f t="shared" si="32"/>
        <v>0</v>
      </c>
      <c r="AN42" s="326">
        <f t="shared" si="221"/>
        <v>144240</v>
      </c>
      <c r="AO42" s="333">
        <f t="shared" si="222"/>
        <v>144240</v>
      </c>
      <c r="AP42" s="125">
        <f t="shared" si="176"/>
        <v>83910</v>
      </c>
      <c r="AQ42" s="140">
        <f t="shared" si="177"/>
        <v>0</v>
      </c>
      <c r="AR42" s="326">
        <f t="shared" si="178"/>
        <v>117574.08</v>
      </c>
      <c r="AS42" s="333">
        <f t="shared" si="179"/>
        <v>117574.08</v>
      </c>
      <c r="AT42" s="125">
        <f t="shared" si="180"/>
        <v>64831.199999999997</v>
      </c>
      <c r="AU42" s="140">
        <f t="shared" si="40"/>
        <v>0</v>
      </c>
      <c r="AV42" s="326">
        <f t="shared" si="223"/>
        <v>0</v>
      </c>
      <c r="AW42" s="332">
        <f t="shared" si="224"/>
        <v>0</v>
      </c>
      <c r="AX42" s="122">
        <f t="shared" si="43"/>
        <v>0</v>
      </c>
      <c r="AY42" s="326">
        <f t="shared" ref="AY42:AZ42" si="263">AN42+AR42+AV42</f>
        <v>261814.08000000002</v>
      </c>
      <c r="AZ42" s="333">
        <f t="shared" si="263"/>
        <v>261814.08000000002</v>
      </c>
      <c r="BA42" s="140">
        <f t="shared" ref="BA42:BB42" si="264">AX42+AG42</f>
        <v>29662.400000000023</v>
      </c>
      <c r="BB42" s="326">
        <f t="shared" si="264"/>
        <v>562998.56000000006</v>
      </c>
      <c r="BC42" s="435">
        <f t="shared" si="46"/>
        <v>592660.96</v>
      </c>
      <c r="BD42" s="434">
        <f t="shared" si="183"/>
        <v>166736.4</v>
      </c>
      <c r="BE42" s="140">
        <f t="shared" si="48"/>
        <v>0</v>
      </c>
      <c r="BF42" s="123">
        <f t="shared" si="227"/>
        <v>0</v>
      </c>
      <c r="BG42" s="148">
        <f t="shared" si="228"/>
        <v>0</v>
      </c>
      <c r="BH42" s="125">
        <f t="shared" si="184"/>
        <v>155860</v>
      </c>
      <c r="BI42" s="140">
        <f t="shared" si="52"/>
        <v>0</v>
      </c>
      <c r="BJ42" s="123">
        <f t="shared" si="229"/>
        <v>0</v>
      </c>
      <c r="BK42" s="125">
        <f t="shared" si="230"/>
        <v>0</v>
      </c>
      <c r="BL42" s="436">
        <f t="shared" si="185"/>
        <v>96036</v>
      </c>
      <c r="BM42" s="140">
        <f t="shared" si="56"/>
        <v>0</v>
      </c>
      <c r="BN42" s="326">
        <f t="shared" si="231"/>
        <v>345751.2</v>
      </c>
      <c r="BO42" s="333">
        <f t="shared" si="232"/>
        <v>345751.2</v>
      </c>
      <c r="BP42" s="140">
        <f t="shared" ref="BP42:BR42" si="265">SUM(BE42,BI42,BM42)</f>
        <v>0</v>
      </c>
      <c r="BQ42" s="141">
        <f t="shared" si="265"/>
        <v>345751.2</v>
      </c>
      <c r="BR42" s="437">
        <f t="shared" si="265"/>
        <v>345751.2</v>
      </c>
      <c r="BS42" s="422">
        <f t="shared" si="187"/>
        <v>285899.96000000002</v>
      </c>
      <c r="BT42" s="140">
        <f t="shared" si="61"/>
        <v>0</v>
      </c>
      <c r="BU42" s="123">
        <f t="shared" si="234"/>
        <v>262387.58</v>
      </c>
      <c r="BV42" s="148">
        <f t="shared" si="235"/>
        <v>262387.58</v>
      </c>
      <c r="BW42" s="423">
        <f t="shared" si="188"/>
        <v>0</v>
      </c>
      <c r="BX42" s="424">
        <f t="shared" si="189"/>
        <v>0</v>
      </c>
    </row>
    <row r="43" spans="1:76" ht="15.75" customHeight="1">
      <c r="A43" s="92">
        <f t="shared" si="208"/>
        <v>112014262</v>
      </c>
      <c r="B43" s="93">
        <f t="shared" si="209"/>
        <v>4</v>
      </c>
      <c r="C43" s="94" t="str">
        <f>IFERROR(VLOOKUP(B43,DES,2,FALSE),"")</f>
        <v>Lista</v>
      </c>
      <c r="D43" s="94">
        <f>IFERROR(VLOOKUP(B43,DES,3,FALSE),"")</f>
        <v>0.2</v>
      </c>
      <c r="E43" s="413">
        <f>IFERROR(VLOOKUP(B43,DES,4,FALSE),"")</f>
        <v>0</v>
      </c>
      <c r="F43" s="414">
        <f t="shared" si="210"/>
        <v>70</v>
      </c>
      <c r="G43" s="94" t="str">
        <f t="shared" si="211"/>
        <v>Lista</v>
      </c>
      <c r="H43" s="415">
        <f t="shared" si="212"/>
        <v>0.11</v>
      </c>
      <c r="I43" s="99" t="s">
        <v>297</v>
      </c>
      <c r="J43" s="100">
        <f t="shared" si="173"/>
        <v>42949.120000000003</v>
      </c>
      <c r="K43" s="416">
        <f t="shared" si="259"/>
        <v>72199.618176000018</v>
      </c>
      <c r="L43" s="113">
        <f t="shared" si="9"/>
        <v>125188.79999999999</v>
      </c>
      <c r="M43" s="116">
        <f t="shared" si="213"/>
        <v>275773.44</v>
      </c>
      <c r="N43" s="117">
        <f t="shared" si="214"/>
        <v>400962.24</v>
      </c>
      <c r="O43" s="114">
        <f t="shared" si="101"/>
        <v>328762.62182399997</v>
      </c>
      <c r="P43" s="413">
        <f t="shared" si="174"/>
        <v>5.5535229981768026</v>
      </c>
      <c r="Q43" s="100">
        <f t="shared" si="248"/>
        <v>0</v>
      </c>
      <c r="R43" s="113">
        <f t="shared" si="260"/>
        <v>0</v>
      </c>
      <c r="S43" s="116">
        <f t="shared" si="14"/>
        <v>0</v>
      </c>
      <c r="T43" s="116">
        <f t="shared" si="215"/>
        <v>0</v>
      </c>
      <c r="U43" s="116">
        <f t="shared" si="216"/>
        <v>0</v>
      </c>
      <c r="V43" s="116">
        <f t="shared" si="17"/>
        <v>0</v>
      </c>
      <c r="W43" s="413" t="str">
        <f t="shared" ref="W43:W52" si="266">IFERROR(U43/R43,"")</f>
        <v/>
      </c>
      <c r="X43" s="114">
        <f t="shared" si="249"/>
        <v>50312.160000000003</v>
      </c>
      <c r="Y43" s="121">
        <f t="shared" si="261"/>
        <v>82681.242818400002</v>
      </c>
      <c r="Z43" s="113">
        <f t="shared" si="19"/>
        <v>0</v>
      </c>
      <c r="AA43" s="116">
        <f t="shared" si="218"/>
        <v>132156.32</v>
      </c>
      <c r="AB43" s="117">
        <f t="shared" si="219"/>
        <v>132156.32</v>
      </c>
      <c r="AC43" s="114">
        <f t="shared" si="22"/>
        <v>49475.077181600005</v>
      </c>
      <c r="AD43" s="97">
        <f t="shared" si="262"/>
        <v>1.5983833272833889</v>
      </c>
      <c r="AE43" s="417">
        <f t="shared" si="24"/>
        <v>154880.86099440002</v>
      </c>
      <c r="AF43" s="118">
        <f t="shared" si="220"/>
        <v>993560.75</v>
      </c>
      <c r="AG43" s="116">
        <f t="shared" si="26"/>
        <v>125188.80000000005</v>
      </c>
      <c r="AH43" s="116">
        <f t="shared" si="27"/>
        <v>407929.76</v>
      </c>
      <c r="AI43" s="116">
        <f t="shared" si="28"/>
        <v>533118.56000000006</v>
      </c>
      <c r="AJ43" s="116">
        <f t="shared" si="29"/>
        <v>-460442.18999999994</v>
      </c>
      <c r="AK43" s="418">
        <f t="shared" si="190"/>
        <v>0.53657369214715867</v>
      </c>
      <c r="AL43" s="434">
        <f t="shared" si="107"/>
        <v>0</v>
      </c>
      <c r="AM43" s="140">
        <f t="shared" si="32"/>
        <v>0</v>
      </c>
      <c r="AN43" s="326">
        <f t="shared" si="221"/>
        <v>266690.8</v>
      </c>
      <c r="AO43" s="333">
        <f t="shared" si="222"/>
        <v>266690.8</v>
      </c>
      <c r="AP43" s="125">
        <f t="shared" si="176"/>
        <v>131871.81</v>
      </c>
      <c r="AQ43" s="140">
        <f t="shared" si="177"/>
        <v>0</v>
      </c>
      <c r="AR43" s="326">
        <f t="shared" si="178"/>
        <v>68683.679999999993</v>
      </c>
      <c r="AS43" s="333">
        <f t="shared" si="179"/>
        <v>68683.679999999993</v>
      </c>
      <c r="AT43" s="125">
        <f t="shared" si="180"/>
        <v>127720.4</v>
      </c>
      <c r="AU43" s="140">
        <f t="shared" si="40"/>
        <v>0</v>
      </c>
      <c r="AV43" s="326">
        <f t="shared" si="223"/>
        <v>127357.52</v>
      </c>
      <c r="AW43" s="332">
        <f t="shared" si="224"/>
        <v>127357.52</v>
      </c>
      <c r="AX43" s="122">
        <f t="shared" si="43"/>
        <v>0</v>
      </c>
      <c r="AY43" s="326">
        <f t="shared" ref="AY43:AZ43" si="267">AN43+AR43+AV43</f>
        <v>462732</v>
      </c>
      <c r="AZ43" s="333">
        <f t="shared" si="267"/>
        <v>462732</v>
      </c>
      <c r="BA43" s="140">
        <f t="shared" ref="BA43:BB43" si="268">AX43+AG43</f>
        <v>125188.80000000005</v>
      </c>
      <c r="BB43" s="326">
        <f t="shared" si="268"/>
        <v>870661.76</v>
      </c>
      <c r="BC43" s="435">
        <f t="shared" si="46"/>
        <v>995850.56</v>
      </c>
      <c r="BD43" s="434">
        <f t="shared" si="183"/>
        <v>176062.7</v>
      </c>
      <c r="BE43" s="140">
        <f t="shared" si="48"/>
        <v>111289.87</v>
      </c>
      <c r="BF43" s="123">
        <f t="shared" si="227"/>
        <v>334339.32</v>
      </c>
      <c r="BG43" s="148">
        <f t="shared" si="228"/>
        <v>445629.19</v>
      </c>
      <c r="BH43" s="125">
        <f t="shared" si="184"/>
        <v>239265.5</v>
      </c>
      <c r="BI43" s="140">
        <f t="shared" si="52"/>
        <v>0</v>
      </c>
      <c r="BJ43" s="123">
        <f t="shared" si="229"/>
        <v>0</v>
      </c>
      <c r="BK43" s="125">
        <f t="shared" si="230"/>
        <v>0</v>
      </c>
      <c r="BL43" s="436">
        <f t="shared" si="185"/>
        <v>39983.519999999997</v>
      </c>
      <c r="BM43" s="140">
        <f t="shared" si="56"/>
        <v>166431.5</v>
      </c>
      <c r="BN43" s="326">
        <f t="shared" si="231"/>
        <v>169883.76</v>
      </c>
      <c r="BO43" s="333">
        <f t="shared" si="232"/>
        <v>336315.26</v>
      </c>
      <c r="BP43" s="140">
        <f t="shared" ref="BP43:BR43" si="269">SUM(BE43,BI43,BM43)</f>
        <v>277721.37</v>
      </c>
      <c r="BQ43" s="141">
        <f t="shared" si="269"/>
        <v>504223.08</v>
      </c>
      <c r="BR43" s="437">
        <f t="shared" si="269"/>
        <v>781944.45</v>
      </c>
      <c r="BS43" s="422">
        <f t="shared" si="187"/>
        <v>462196.71</v>
      </c>
      <c r="BT43" s="140">
        <f t="shared" si="61"/>
        <v>383924.13</v>
      </c>
      <c r="BU43" s="123">
        <f t="shared" si="234"/>
        <v>245144.63</v>
      </c>
      <c r="BV43" s="148">
        <f t="shared" si="235"/>
        <v>629068.76</v>
      </c>
      <c r="BW43" s="423">
        <f t="shared" si="188"/>
        <v>411035.84</v>
      </c>
      <c r="BX43" s="424">
        <f t="shared" si="189"/>
        <v>120328.19</v>
      </c>
    </row>
    <row r="44" spans="1:76" ht="15.75" customHeight="1">
      <c r="A44" s="92">
        <f t="shared" si="208"/>
        <v>112014297</v>
      </c>
      <c r="B44" s="93">
        <f t="shared" si="209"/>
        <v>4</v>
      </c>
      <c r="C44" s="137" t="str">
        <f>IFERROR(VLOOKUP(B44,DES,2,FALSE),"")</f>
        <v>Lista</v>
      </c>
      <c r="D44" s="137">
        <f>IFERROR(VLOOKUP(B44,DES,3,FALSE),"")</f>
        <v>0.2</v>
      </c>
      <c r="E44" s="98">
        <f>IFERROR(VLOOKUP(B44,DES,4,FALSE),"")</f>
        <v>0</v>
      </c>
      <c r="F44" s="414">
        <f t="shared" si="210"/>
        <v>70</v>
      </c>
      <c r="G44" s="94" t="str">
        <f t="shared" si="211"/>
        <v>Lista</v>
      </c>
      <c r="H44" s="415">
        <f t="shared" si="212"/>
        <v>0.11</v>
      </c>
      <c r="I44" s="139" t="s">
        <v>298</v>
      </c>
      <c r="J44" s="125">
        <f t="shared" si="173"/>
        <v>0</v>
      </c>
      <c r="K44" s="141">
        <f t="shared" si="259"/>
        <v>0</v>
      </c>
      <c r="L44" s="113">
        <f t="shared" si="9"/>
        <v>21000</v>
      </c>
      <c r="M44" s="116">
        <f t="shared" si="213"/>
        <v>925321.68</v>
      </c>
      <c r="N44" s="117">
        <f t="shared" si="214"/>
        <v>946321.68</v>
      </c>
      <c r="O44" s="114">
        <f t="shared" si="101"/>
        <v>946321.68</v>
      </c>
      <c r="P44" s="413" t="str">
        <f>IFERROR(N44/K44,"")</f>
        <v/>
      </c>
      <c r="Q44" s="125">
        <f t="shared" si="248"/>
        <v>0</v>
      </c>
      <c r="R44" s="140">
        <f t="shared" si="260"/>
        <v>0</v>
      </c>
      <c r="S44" s="116">
        <f t="shared" si="14"/>
        <v>40958.640000000014</v>
      </c>
      <c r="T44" s="116">
        <f t="shared" si="215"/>
        <v>765736.72</v>
      </c>
      <c r="U44" s="116">
        <f t="shared" si="216"/>
        <v>806695.36</v>
      </c>
      <c r="V44" s="116">
        <f t="shared" si="17"/>
        <v>806695.36</v>
      </c>
      <c r="W44" s="413" t="str">
        <f t="shared" si="266"/>
        <v/>
      </c>
      <c r="X44" s="123">
        <f t="shared" si="249"/>
        <v>0</v>
      </c>
      <c r="Y44" s="332">
        <f t="shared" si="261"/>
        <v>0</v>
      </c>
      <c r="Z44" s="113">
        <f t="shared" si="19"/>
        <v>144366.35999999999</v>
      </c>
      <c r="AA44" s="116">
        <f t="shared" si="218"/>
        <v>560072.17000000004</v>
      </c>
      <c r="AB44" s="117">
        <f t="shared" si="219"/>
        <v>704438.53</v>
      </c>
      <c r="AC44" s="114">
        <f t="shared" si="22"/>
        <v>704438.53</v>
      </c>
      <c r="AD44" s="97" t="str">
        <f t="shared" si="262"/>
        <v/>
      </c>
      <c r="AE44" s="433">
        <f t="shared" si="24"/>
        <v>0</v>
      </c>
      <c r="AF44" s="118">
        <f t="shared" si="220"/>
        <v>2748611.65</v>
      </c>
      <c r="AG44" s="116">
        <f t="shared" si="26"/>
        <v>-559411.71999999974</v>
      </c>
      <c r="AH44" s="116">
        <f t="shared" si="27"/>
        <v>3016867.29</v>
      </c>
      <c r="AI44" s="116">
        <f t="shared" si="28"/>
        <v>2457455.5700000003</v>
      </c>
      <c r="AJ44" s="116">
        <f t="shared" si="29"/>
        <v>-291156.07999999961</v>
      </c>
      <c r="AK44" s="418">
        <f t="shared" si="190"/>
        <v>0.89407158337555626</v>
      </c>
      <c r="AL44" s="434">
        <f t="shared" ref="AL44:AL77" si="270">IFERROR(VLOOKUP(I44,CALO24,6,FALSE),"")</f>
        <v>570897.53</v>
      </c>
      <c r="AM44" s="140">
        <f t="shared" si="32"/>
        <v>94614.54999999993</v>
      </c>
      <c r="AN44" s="326">
        <f t="shared" si="221"/>
        <v>918829.28</v>
      </c>
      <c r="AO44" s="333">
        <f t="shared" si="222"/>
        <v>1013443.83</v>
      </c>
      <c r="AP44" s="125">
        <f t="shared" si="176"/>
        <v>539561.88</v>
      </c>
      <c r="AQ44" s="140">
        <f t="shared" si="177"/>
        <v>0</v>
      </c>
      <c r="AR44" s="326">
        <f t="shared" si="178"/>
        <v>418239.56</v>
      </c>
      <c r="AS44" s="333">
        <f t="shared" si="179"/>
        <v>418239.56</v>
      </c>
      <c r="AT44" s="125">
        <f t="shared" si="180"/>
        <v>672319.49</v>
      </c>
      <c r="AU44" s="140">
        <f t="shared" si="40"/>
        <v>47906.080000000075</v>
      </c>
      <c r="AV44" s="326">
        <f t="shared" si="223"/>
        <v>1890199.02</v>
      </c>
      <c r="AW44" s="332">
        <f t="shared" si="224"/>
        <v>1938105.1</v>
      </c>
      <c r="AX44" s="122">
        <f t="shared" si="43"/>
        <v>142520.63</v>
      </c>
      <c r="AY44" s="326">
        <f t="shared" ref="AY44:AZ44" si="271">AN44+AR44+AV44</f>
        <v>3227267.8600000003</v>
      </c>
      <c r="AZ44" s="333">
        <f t="shared" si="271"/>
        <v>3369788.49</v>
      </c>
      <c r="BA44" s="140">
        <f t="shared" ref="BA44:BB44" si="272">AX44+AG44</f>
        <v>-416891.08999999973</v>
      </c>
      <c r="BB44" s="326">
        <f t="shared" si="272"/>
        <v>6244135.1500000004</v>
      </c>
      <c r="BC44" s="435">
        <f t="shared" si="46"/>
        <v>5827244.0600000005</v>
      </c>
      <c r="BD44" s="434">
        <f t="shared" si="183"/>
        <v>802458.84</v>
      </c>
      <c r="BE44" s="140">
        <f t="shared" si="48"/>
        <v>53636</v>
      </c>
      <c r="BF44" s="123">
        <f t="shared" si="227"/>
        <v>789228.35</v>
      </c>
      <c r="BG44" s="148">
        <f t="shared" si="228"/>
        <v>842864.35</v>
      </c>
      <c r="BH44" s="125">
        <f t="shared" si="184"/>
        <v>1301482.47</v>
      </c>
      <c r="BI44" s="140">
        <f t="shared" si="52"/>
        <v>140902.43000000005</v>
      </c>
      <c r="BJ44" s="123">
        <f t="shared" si="229"/>
        <v>386679.24</v>
      </c>
      <c r="BK44" s="125">
        <f t="shared" si="230"/>
        <v>527581.67000000004</v>
      </c>
      <c r="BL44" s="436">
        <f t="shared" si="185"/>
        <v>621787.29</v>
      </c>
      <c r="BM44" s="140">
        <f t="shared" si="56"/>
        <v>101188.06000000006</v>
      </c>
      <c r="BN44" s="326">
        <f t="shared" si="231"/>
        <v>498384.72</v>
      </c>
      <c r="BO44" s="333">
        <f t="shared" si="232"/>
        <v>599572.78</v>
      </c>
      <c r="BP44" s="140">
        <f t="shared" ref="BP44:BR44" si="273">SUM(BE44,BI44,BM44)</f>
        <v>295726.49000000011</v>
      </c>
      <c r="BQ44" s="141">
        <f t="shared" si="273"/>
        <v>1674292.3099999998</v>
      </c>
      <c r="BR44" s="437">
        <f t="shared" si="273"/>
        <v>1970018.8</v>
      </c>
      <c r="BS44" s="422">
        <f t="shared" si="187"/>
        <v>1013526.52</v>
      </c>
      <c r="BT44" s="140">
        <f t="shared" si="61"/>
        <v>70535.599999999977</v>
      </c>
      <c r="BU44" s="123">
        <f t="shared" si="234"/>
        <v>395050.32</v>
      </c>
      <c r="BV44" s="148">
        <f t="shared" si="235"/>
        <v>465585.91999999998</v>
      </c>
      <c r="BW44" s="423">
        <f t="shared" si="188"/>
        <v>558743.84</v>
      </c>
      <c r="BX44" s="424">
        <f t="shared" si="189"/>
        <v>1176341.3</v>
      </c>
    </row>
    <row r="45" spans="1:76" ht="13">
      <c r="A45" s="92">
        <f t="shared" si="208"/>
        <v>112012245</v>
      </c>
      <c r="B45" s="93">
        <f t="shared" si="209"/>
        <v>4</v>
      </c>
      <c r="C45" s="137" t="str">
        <f>VLOOKUP(B45,DES,2,FALSE)</f>
        <v>Lista</v>
      </c>
      <c r="D45" s="137">
        <f>VLOOKUP(B45,DES,3,FALSE)</f>
        <v>0.2</v>
      </c>
      <c r="E45" s="98">
        <f>VLOOKUP(B45,DES,4,FALSE)</f>
        <v>0</v>
      </c>
      <c r="F45" s="414">
        <f t="shared" si="210"/>
        <v>70</v>
      </c>
      <c r="G45" s="94" t="str">
        <f t="shared" si="211"/>
        <v>Lista</v>
      </c>
      <c r="H45" s="415">
        <f t="shared" si="212"/>
        <v>0.11</v>
      </c>
      <c r="I45" s="139" t="s">
        <v>299</v>
      </c>
      <c r="J45" s="125">
        <f t="shared" si="173"/>
        <v>1293448.8799999999</v>
      </c>
      <c r="K45" s="141">
        <f t="shared" si="259"/>
        <v>2174352.239724</v>
      </c>
      <c r="L45" s="113">
        <f t="shared" si="9"/>
        <v>345125.35</v>
      </c>
      <c r="M45" s="116">
        <f t="shared" si="213"/>
        <v>672761.92</v>
      </c>
      <c r="N45" s="117">
        <f t="shared" si="214"/>
        <v>1017887.27</v>
      </c>
      <c r="O45" s="114">
        <f t="shared" si="101"/>
        <v>-1156464.969724</v>
      </c>
      <c r="P45" s="413">
        <f t="shared" ref="P45:P48" si="274">N45/K45</f>
        <v>0.46813356704763021</v>
      </c>
      <c r="Q45" s="125">
        <f t="shared" si="248"/>
        <v>1246998.1499999999</v>
      </c>
      <c r="R45" s="140">
        <f t="shared" si="260"/>
        <v>2214961.7589652496</v>
      </c>
      <c r="S45" s="116">
        <f t="shared" si="14"/>
        <v>331671.57999999996</v>
      </c>
      <c r="T45" s="116">
        <f t="shared" si="215"/>
        <v>570347.36</v>
      </c>
      <c r="U45" s="116">
        <f t="shared" si="216"/>
        <v>902018.94</v>
      </c>
      <c r="V45" s="116">
        <f t="shared" si="17"/>
        <v>-1312942.8189652497</v>
      </c>
      <c r="W45" s="413">
        <f t="shared" si="266"/>
        <v>0.40723905789750098</v>
      </c>
      <c r="X45" s="123">
        <f t="shared" si="249"/>
        <v>1173842.1000000001</v>
      </c>
      <c r="Y45" s="332">
        <f t="shared" si="261"/>
        <v>1929051.0226665002</v>
      </c>
      <c r="Z45" s="113">
        <f t="shared" si="19"/>
        <v>112472.12</v>
      </c>
      <c r="AA45" s="116">
        <f t="shared" si="218"/>
        <v>476702.88</v>
      </c>
      <c r="AB45" s="117">
        <f t="shared" si="219"/>
        <v>589175</v>
      </c>
      <c r="AC45" s="114">
        <f t="shared" si="22"/>
        <v>-1339876.0226665002</v>
      </c>
      <c r="AD45" s="97">
        <f t="shared" si="262"/>
        <v>0.30542219623905625</v>
      </c>
      <c r="AE45" s="433">
        <f t="shared" si="24"/>
        <v>6318365.0213557491</v>
      </c>
      <c r="AF45" s="118">
        <f t="shared" si="220"/>
        <v>2794939.05</v>
      </c>
      <c r="AG45" s="116">
        <f t="shared" si="26"/>
        <v>218921.68999999994</v>
      </c>
      <c r="AH45" s="116">
        <f t="shared" si="27"/>
        <v>2290159.52</v>
      </c>
      <c r="AI45" s="116">
        <f t="shared" si="28"/>
        <v>2509081.21</v>
      </c>
      <c r="AJ45" s="116">
        <f t="shared" si="29"/>
        <v>-285857.83999999985</v>
      </c>
      <c r="AK45" s="418">
        <f t="shared" si="190"/>
        <v>0.89772305052591406</v>
      </c>
      <c r="AL45" s="434">
        <f t="shared" si="270"/>
        <v>549666.12</v>
      </c>
      <c r="AM45" s="140">
        <f t="shared" si="32"/>
        <v>381283.19999999995</v>
      </c>
      <c r="AN45" s="326">
        <f t="shared" si="221"/>
        <v>552217.92000000004</v>
      </c>
      <c r="AO45" s="333">
        <f t="shared" si="222"/>
        <v>933501.12</v>
      </c>
      <c r="AP45" s="125">
        <f t="shared" si="176"/>
        <v>840665.87</v>
      </c>
      <c r="AQ45" s="140">
        <f t="shared" si="177"/>
        <v>266496.32999999996</v>
      </c>
      <c r="AR45" s="326">
        <f t="shared" si="178"/>
        <v>672555.04</v>
      </c>
      <c r="AS45" s="333">
        <f t="shared" si="179"/>
        <v>939051.37</v>
      </c>
      <c r="AT45" s="125">
        <f t="shared" si="180"/>
        <v>675972.24</v>
      </c>
      <c r="AU45" s="140">
        <f t="shared" si="40"/>
        <v>365672.99000000011</v>
      </c>
      <c r="AV45" s="326">
        <f t="shared" si="223"/>
        <v>975918.13</v>
      </c>
      <c r="AW45" s="332">
        <f t="shared" si="224"/>
        <v>1341591.1200000001</v>
      </c>
      <c r="AX45" s="122">
        <f t="shared" si="43"/>
        <v>1013452.52</v>
      </c>
      <c r="AY45" s="326">
        <f t="shared" ref="AY45:AZ45" si="275">AN45+AR45+AV45</f>
        <v>2200691.09</v>
      </c>
      <c r="AZ45" s="333">
        <f t="shared" si="275"/>
        <v>3214143.6100000003</v>
      </c>
      <c r="BA45" s="140">
        <f t="shared" ref="BA45:BB45" si="276">AX45+AG45</f>
        <v>1232374.21</v>
      </c>
      <c r="BB45" s="326">
        <f t="shared" si="276"/>
        <v>4490850.6099999994</v>
      </c>
      <c r="BC45" s="435">
        <f t="shared" si="46"/>
        <v>5723224.8200000003</v>
      </c>
      <c r="BD45" s="434">
        <f t="shared" si="183"/>
        <v>506424.28</v>
      </c>
      <c r="BE45" s="140">
        <f t="shared" si="48"/>
        <v>327356.90000000002</v>
      </c>
      <c r="BF45" s="123">
        <f t="shared" si="227"/>
        <v>667217.48</v>
      </c>
      <c r="BG45" s="148">
        <f t="shared" si="228"/>
        <v>994574.38</v>
      </c>
      <c r="BH45" s="125">
        <f t="shared" si="184"/>
        <v>1738244</v>
      </c>
      <c r="BI45" s="140">
        <f t="shared" si="52"/>
        <v>421030.74</v>
      </c>
      <c r="BJ45" s="123">
        <f t="shared" si="229"/>
        <v>909830.96</v>
      </c>
      <c r="BK45" s="125">
        <f t="shared" si="230"/>
        <v>1330861.7</v>
      </c>
      <c r="BL45" s="436">
        <f t="shared" si="185"/>
        <v>1135626.26</v>
      </c>
      <c r="BM45" s="140">
        <f t="shared" si="56"/>
        <v>396516.9800000001</v>
      </c>
      <c r="BN45" s="326">
        <f t="shared" si="231"/>
        <v>800825.12</v>
      </c>
      <c r="BO45" s="333">
        <f t="shared" si="232"/>
        <v>1197342.1000000001</v>
      </c>
      <c r="BP45" s="140">
        <f t="shared" ref="BP45:BR45" si="277">SUM(BE45,BI45,BM45)</f>
        <v>1144904.6200000001</v>
      </c>
      <c r="BQ45" s="141">
        <f t="shared" si="277"/>
        <v>2377873.56</v>
      </c>
      <c r="BR45" s="437">
        <f t="shared" si="277"/>
        <v>3522778.18</v>
      </c>
      <c r="BS45" s="422">
        <f t="shared" si="187"/>
        <v>329904.14</v>
      </c>
      <c r="BT45" s="140">
        <f t="shared" si="61"/>
        <v>834029.91999999993</v>
      </c>
      <c r="BU45" s="123">
        <f t="shared" si="234"/>
        <v>408174.27</v>
      </c>
      <c r="BV45" s="148">
        <f t="shared" si="235"/>
        <v>1242204.19</v>
      </c>
      <c r="BW45" s="423">
        <f t="shared" si="188"/>
        <v>1439024.16</v>
      </c>
      <c r="BX45" s="424">
        <f t="shared" si="189"/>
        <v>1026010.75</v>
      </c>
    </row>
    <row r="46" spans="1:76" ht="13">
      <c r="A46" s="92">
        <f t="shared" si="208"/>
        <v>112013422</v>
      </c>
      <c r="B46" s="93">
        <f t="shared" si="209"/>
        <v>4</v>
      </c>
      <c r="C46" s="137" t="str">
        <f t="shared" ref="C46:C57" si="278">IFERROR(VLOOKUP(B46,DES,2,FALSE),"")</f>
        <v>Lista</v>
      </c>
      <c r="D46" s="137">
        <f t="shared" ref="D46:D57" si="279">IFERROR(VLOOKUP(B46,DES,3,FALSE),"")</f>
        <v>0.2</v>
      </c>
      <c r="E46" s="98">
        <f t="shared" ref="E46:E55" si="280">IFERROR(VLOOKUP(B46,DES,4,FALSE),"")</f>
        <v>0</v>
      </c>
      <c r="F46" s="414">
        <f t="shared" si="210"/>
        <v>70</v>
      </c>
      <c r="G46" s="94" t="str">
        <f t="shared" si="211"/>
        <v>Lista</v>
      </c>
      <c r="H46" s="415">
        <f t="shared" si="212"/>
        <v>0.11</v>
      </c>
      <c r="I46" s="139" t="s">
        <v>300</v>
      </c>
      <c r="J46" s="125">
        <f t="shared" si="173"/>
        <v>64076.4</v>
      </c>
      <c r="K46" s="141">
        <f t="shared" si="259"/>
        <v>107715.63222</v>
      </c>
      <c r="L46" s="113">
        <f t="shared" si="9"/>
        <v>0</v>
      </c>
      <c r="M46" s="116">
        <f t="shared" si="213"/>
        <v>0</v>
      </c>
      <c r="N46" s="117">
        <f t="shared" si="214"/>
        <v>0</v>
      </c>
      <c r="O46" s="114">
        <f t="shared" si="101"/>
        <v>-107715.63222</v>
      </c>
      <c r="P46" s="413">
        <f t="shared" si="274"/>
        <v>0</v>
      </c>
      <c r="Q46" s="125">
        <f t="shared" si="248"/>
        <v>427830.09</v>
      </c>
      <c r="R46" s="140">
        <f t="shared" si="260"/>
        <v>759926.77991115011</v>
      </c>
      <c r="S46" s="116">
        <f t="shared" si="14"/>
        <v>0</v>
      </c>
      <c r="T46" s="116">
        <f t="shared" si="215"/>
        <v>0</v>
      </c>
      <c r="U46" s="116">
        <f t="shared" si="216"/>
        <v>0</v>
      </c>
      <c r="V46" s="116">
        <f t="shared" si="17"/>
        <v>-759926.77991115011</v>
      </c>
      <c r="W46" s="413">
        <f t="shared" si="266"/>
        <v>0</v>
      </c>
      <c r="X46" s="123">
        <f t="shared" si="249"/>
        <v>83597.59</v>
      </c>
      <c r="Y46" s="332">
        <f t="shared" si="261"/>
        <v>137381.35349035001</v>
      </c>
      <c r="Z46" s="113">
        <f t="shared" si="19"/>
        <v>0</v>
      </c>
      <c r="AA46" s="116">
        <f t="shared" si="218"/>
        <v>0</v>
      </c>
      <c r="AB46" s="117">
        <f t="shared" si="219"/>
        <v>0</v>
      </c>
      <c r="AC46" s="114">
        <f t="shared" si="22"/>
        <v>-137381.35349035001</v>
      </c>
      <c r="AD46" s="97">
        <f t="shared" si="262"/>
        <v>0</v>
      </c>
      <c r="AE46" s="433">
        <f t="shared" si="24"/>
        <v>1005023.7656215001</v>
      </c>
      <c r="AF46" s="118">
        <f t="shared" si="220"/>
        <v>28197.52</v>
      </c>
      <c r="AG46" s="116">
        <f t="shared" si="26"/>
        <v>0</v>
      </c>
      <c r="AH46" s="116">
        <f t="shared" si="27"/>
        <v>0</v>
      </c>
      <c r="AI46" s="116">
        <f t="shared" si="28"/>
        <v>0</v>
      </c>
      <c r="AJ46" s="116">
        <f t="shared" si="29"/>
        <v>-28197.52</v>
      </c>
      <c r="AK46" s="418">
        <f t="shared" si="190"/>
        <v>0</v>
      </c>
      <c r="AL46" s="434">
        <f t="shared" si="270"/>
        <v>65654.81</v>
      </c>
      <c r="AM46" s="140">
        <f t="shared" si="32"/>
        <v>0</v>
      </c>
      <c r="AN46" s="326">
        <f t="shared" si="221"/>
        <v>67496.479999999996</v>
      </c>
      <c r="AO46" s="333">
        <f t="shared" si="222"/>
        <v>67496.479999999996</v>
      </c>
      <c r="AP46" s="125">
        <f t="shared" si="176"/>
        <v>0</v>
      </c>
      <c r="AQ46" s="140">
        <f t="shared" si="177"/>
        <v>0</v>
      </c>
      <c r="AR46" s="326">
        <f t="shared" si="178"/>
        <v>78382.720000000001</v>
      </c>
      <c r="AS46" s="333">
        <f t="shared" si="179"/>
        <v>78382.720000000001</v>
      </c>
      <c r="AT46" s="125">
        <f t="shared" si="180"/>
        <v>79836.160000000003</v>
      </c>
      <c r="AU46" s="140">
        <f t="shared" si="40"/>
        <v>0</v>
      </c>
      <c r="AV46" s="326">
        <f t="shared" si="223"/>
        <v>0</v>
      </c>
      <c r="AW46" s="332">
        <f t="shared" si="224"/>
        <v>0</v>
      </c>
      <c r="AX46" s="122">
        <f t="shared" si="43"/>
        <v>0</v>
      </c>
      <c r="AY46" s="326">
        <f t="shared" ref="AY46:AZ46" si="281">AN46+AR46+AV46</f>
        <v>145879.20000000001</v>
      </c>
      <c r="AZ46" s="333">
        <f t="shared" si="281"/>
        <v>145879.20000000001</v>
      </c>
      <c r="BA46" s="140">
        <f t="shared" ref="BA46:BB46" si="282">AX46+AG46</f>
        <v>0</v>
      </c>
      <c r="BB46" s="326">
        <f t="shared" si="282"/>
        <v>145879.20000000001</v>
      </c>
      <c r="BC46" s="435">
        <f t="shared" si="46"/>
        <v>145879.20000000001</v>
      </c>
      <c r="BD46" s="434">
        <f t="shared" si="183"/>
        <v>139873.75</v>
      </c>
      <c r="BE46" s="140">
        <f t="shared" si="48"/>
        <v>0</v>
      </c>
      <c r="BF46" s="123">
        <f t="shared" si="227"/>
        <v>0</v>
      </c>
      <c r="BG46" s="148">
        <f t="shared" si="228"/>
        <v>0</v>
      </c>
      <c r="BH46" s="125">
        <f t="shared" si="184"/>
        <v>0</v>
      </c>
      <c r="BI46" s="140">
        <f t="shared" si="52"/>
        <v>0</v>
      </c>
      <c r="BJ46" s="123">
        <f t="shared" si="229"/>
        <v>63359.839999999997</v>
      </c>
      <c r="BK46" s="125">
        <f t="shared" si="230"/>
        <v>63359.839999999997</v>
      </c>
      <c r="BL46" s="436">
        <f t="shared" si="185"/>
        <v>0</v>
      </c>
      <c r="BM46" s="140">
        <f t="shared" si="56"/>
        <v>0</v>
      </c>
      <c r="BN46" s="326">
        <f t="shared" si="231"/>
        <v>0</v>
      </c>
      <c r="BO46" s="333">
        <f t="shared" si="232"/>
        <v>0</v>
      </c>
      <c r="BP46" s="140">
        <f t="shared" ref="BP46:BR46" si="283">SUM(BE46,BI46,BM46)</f>
        <v>0</v>
      </c>
      <c r="BQ46" s="141">
        <f t="shared" si="283"/>
        <v>63359.839999999997</v>
      </c>
      <c r="BR46" s="437">
        <f t="shared" si="283"/>
        <v>63359.839999999997</v>
      </c>
      <c r="BS46" s="422">
        <f t="shared" si="187"/>
        <v>0</v>
      </c>
      <c r="BT46" s="140">
        <f t="shared" si="61"/>
        <v>0</v>
      </c>
      <c r="BU46" s="123">
        <f t="shared" si="234"/>
        <v>0</v>
      </c>
      <c r="BV46" s="148">
        <f t="shared" si="235"/>
        <v>0</v>
      </c>
      <c r="BW46" s="423">
        <f t="shared" si="188"/>
        <v>28197.52</v>
      </c>
      <c r="BX46" s="424">
        <f t="shared" si="189"/>
        <v>0</v>
      </c>
    </row>
    <row r="47" spans="1:76" ht="13">
      <c r="A47" s="92">
        <f t="shared" si="208"/>
        <v>112013107</v>
      </c>
      <c r="B47" s="93">
        <f t="shared" si="209"/>
        <v>4</v>
      </c>
      <c r="C47" s="137" t="str">
        <f t="shared" si="278"/>
        <v>Lista</v>
      </c>
      <c r="D47" s="137">
        <f t="shared" si="279"/>
        <v>0.2</v>
      </c>
      <c r="E47" s="98">
        <f t="shared" si="280"/>
        <v>0</v>
      </c>
      <c r="F47" s="414">
        <f t="shared" si="210"/>
        <v>70</v>
      </c>
      <c r="G47" s="94" t="str">
        <f t="shared" si="211"/>
        <v>Lista</v>
      </c>
      <c r="H47" s="415">
        <f t="shared" si="212"/>
        <v>0.11</v>
      </c>
      <c r="I47" s="139" t="s">
        <v>301</v>
      </c>
      <c r="J47" s="125">
        <f t="shared" si="173"/>
        <v>682201.67</v>
      </c>
      <c r="K47" s="141">
        <f t="shared" si="259"/>
        <v>1146815.1173535001</v>
      </c>
      <c r="L47" s="113">
        <f t="shared" si="9"/>
        <v>775259.13</v>
      </c>
      <c r="M47" s="116">
        <f t="shared" si="213"/>
        <v>563600.31999999995</v>
      </c>
      <c r="N47" s="117">
        <f t="shared" si="214"/>
        <v>1338859.45</v>
      </c>
      <c r="O47" s="114">
        <f t="shared" si="101"/>
        <v>192044.33264649985</v>
      </c>
      <c r="P47" s="413">
        <f t="shared" si="274"/>
        <v>1.167458842964749</v>
      </c>
      <c r="Q47" s="125">
        <f t="shared" si="248"/>
        <v>856334.79</v>
      </c>
      <c r="R47" s="140">
        <f t="shared" si="260"/>
        <v>1521051.8257156499</v>
      </c>
      <c r="S47" s="116">
        <f t="shared" si="14"/>
        <v>245054.64</v>
      </c>
      <c r="T47" s="116">
        <f t="shared" si="215"/>
        <v>890959.12</v>
      </c>
      <c r="U47" s="116">
        <f t="shared" si="216"/>
        <v>1136013.76</v>
      </c>
      <c r="V47" s="116">
        <f t="shared" si="17"/>
        <v>-385038.06571564986</v>
      </c>
      <c r="W47" s="413">
        <f t="shared" si="266"/>
        <v>0.74686065313094063</v>
      </c>
      <c r="X47" s="123">
        <f t="shared" si="249"/>
        <v>677143.6</v>
      </c>
      <c r="Y47" s="332">
        <f t="shared" si="261"/>
        <v>1112794.0922139999</v>
      </c>
      <c r="Z47" s="113">
        <f t="shared" si="19"/>
        <v>0</v>
      </c>
      <c r="AA47" s="116">
        <f t="shared" si="218"/>
        <v>0</v>
      </c>
      <c r="AB47" s="117">
        <f t="shared" si="219"/>
        <v>0</v>
      </c>
      <c r="AC47" s="114">
        <f t="shared" si="22"/>
        <v>-1112794.0922139999</v>
      </c>
      <c r="AD47" s="97">
        <f t="shared" si="262"/>
        <v>0</v>
      </c>
      <c r="AE47" s="433">
        <f t="shared" si="24"/>
        <v>3780661.0352831497</v>
      </c>
      <c r="AF47" s="118">
        <f t="shared" si="220"/>
        <v>2085218.78</v>
      </c>
      <c r="AG47" s="116">
        <f t="shared" si="26"/>
        <v>129354.64999999991</v>
      </c>
      <c r="AH47" s="116">
        <f t="shared" si="27"/>
        <v>2345518.56</v>
      </c>
      <c r="AI47" s="116">
        <f t="shared" si="28"/>
        <v>2474873.21</v>
      </c>
      <c r="AJ47" s="116">
        <f t="shared" si="29"/>
        <v>389654.42999999993</v>
      </c>
      <c r="AK47" s="418">
        <f t="shared" si="190"/>
        <v>1.1868650108743026</v>
      </c>
      <c r="AL47" s="434">
        <f t="shared" si="270"/>
        <v>210449.57</v>
      </c>
      <c r="AM47" s="140">
        <f t="shared" si="32"/>
        <v>0</v>
      </c>
      <c r="AN47" s="326">
        <f t="shared" si="221"/>
        <v>0</v>
      </c>
      <c r="AO47" s="333">
        <f t="shared" si="222"/>
        <v>0</v>
      </c>
      <c r="AP47" s="125">
        <f t="shared" si="176"/>
        <v>281564.32</v>
      </c>
      <c r="AQ47" s="140">
        <f t="shared" si="177"/>
        <v>200525.88</v>
      </c>
      <c r="AR47" s="326">
        <f t="shared" si="178"/>
        <v>577671.5</v>
      </c>
      <c r="AS47" s="333">
        <f t="shared" si="179"/>
        <v>778197.38</v>
      </c>
      <c r="AT47" s="125">
        <f t="shared" si="180"/>
        <v>431588.32</v>
      </c>
      <c r="AU47" s="140">
        <f t="shared" si="40"/>
        <v>468560.98</v>
      </c>
      <c r="AV47" s="326">
        <f t="shared" si="223"/>
        <v>129560.24</v>
      </c>
      <c r="AW47" s="332">
        <f t="shared" si="224"/>
        <v>598121.22</v>
      </c>
      <c r="AX47" s="122">
        <f t="shared" si="43"/>
        <v>669086.86</v>
      </c>
      <c r="AY47" s="326">
        <f t="shared" ref="AY47:AZ47" si="284">AN47+AR47+AV47</f>
        <v>707231.74</v>
      </c>
      <c r="AZ47" s="333">
        <f t="shared" si="284"/>
        <v>1376318.6</v>
      </c>
      <c r="BA47" s="140">
        <f t="shared" ref="BA47:BB47" si="285">AX47+AG47</f>
        <v>798441.50999999989</v>
      </c>
      <c r="BB47" s="326">
        <f t="shared" si="285"/>
        <v>3052750.3</v>
      </c>
      <c r="BC47" s="435">
        <f t="shared" si="46"/>
        <v>3851191.81</v>
      </c>
      <c r="BD47" s="434">
        <f t="shared" si="183"/>
        <v>90003.22</v>
      </c>
      <c r="BE47" s="140">
        <f t="shared" si="48"/>
        <v>71961.560000000056</v>
      </c>
      <c r="BF47" s="123">
        <f t="shared" si="227"/>
        <v>542813.36</v>
      </c>
      <c r="BG47" s="148">
        <f t="shared" si="228"/>
        <v>614774.92000000004</v>
      </c>
      <c r="BH47" s="125">
        <f t="shared" si="184"/>
        <v>849707.87</v>
      </c>
      <c r="BI47" s="140">
        <f t="shared" si="52"/>
        <v>94380</v>
      </c>
      <c r="BJ47" s="123">
        <f t="shared" si="229"/>
        <v>107493.44</v>
      </c>
      <c r="BK47" s="125">
        <f t="shared" si="230"/>
        <v>201873.44</v>
      </c>
      <c r="BL47" s="436">
        <f t="shared" si="185"/>
        <v>845473.95</v>
      </c>
      <c r="BM47" s="140">
        <f t="shared" si="56"/>
        <v>266707.29999999993</v>
      </c>
      <c r="BN47" s="326">
        <f t="shared" si="231"/>
        <v>283208.64</v>
      </c>
      <c r="BO47" s="333">
        <f t="shared" si="232"/>
        <v>549915.93999999994</v>
      </c>
      <c r="BP47" s="140">
        <f t="shared" ref="BP47:BR47" si="286">SUM(BE47,BI47,BM47)</f>
        <v>433048.86</v>
      </c>
      <c r="BQ47" s="141">
        <f t="shared" si="286"/>
        <v>933515.44000000006</v>
      </c>
      <c r="BR47" s="437">
        <f t="shared" si="286"/>
        <v>1366564.3</v>
      </c>
      <c r="BS47" s="422">
        <f t="shared" si="187"/>
        <v>980566.55</v>
      </c>
      <c r="BT47" s="140">
        <f t="shared" si="61"/>
        <v>737460.82</v>
      </c>
      <c r="BU47" s="123">
        <f t="shared" si="234"/>
        <v>189825.76</v>
      </c>
      <c r="BV47" s="148">
        <f t="shared" si="235"/>
        <v>927286.58</v>
      </c>
      <c r="BW47" s="423">
        <f t="shared" si="188"/>
        <v>1104652.23</v>
      </c>
      <c r="BX47" s="424">
        <f t="shared" si="189"/>
        <v>0</v>
      </c>
    </row>
    <row r="48" spans="1:76" ht="13">
      <c r="A48" s="92">
        <f t="shared" si="208"/>
        <v>112013559</v>
      </c>
      <c r="B48" s="93">
        <f t="shared" si="209"/>
        <v>4</v>
      </c>
      <c r="C48" s="137" t="str">
        <f t="shared" si="278"/>
        <v>Lista</v>
      </c>
      <c r="D48" s="137">
        <f t="shared" si="279"/>
        <v>0.2</v>
      </c>
      <c r="E48" s="98">
        <f t="shared" si="280"/>
        <v>0</v>
      </c>
      <c r="F48" s="414">
        <f t="shared" si="210"/>
        <v>70</v>
      </c>
      <c r="G48" s="94" t="str">
        <f t="shared" si="211"/>
        <v>Lista</v>
      </c>
      <c r="H48" s="415">
        <f t="shared" si="212"/>
        <v>0.11</v>
      </c>
      <c r="I48" s="139" t="s">
        <v>302</v>
      </c>
      <c r="J48" s="125">
        <f t="shared" si="173"/>
        <v>2431937.4900000002</v>
      </c>
      <c r="K48" s="141">
        <f t="shared" si="259"/>
        <v>4088208.5175645002</v>
      </c>
      <c r="L48" s="113">
        <f t="shared" si="9"/>
        <v>2629248.0599999996</v>
      </c>
      <c r="M48" s="116">
        <f t="shared" si="213"/>
        <v>759536.45</v>
      </c>
      <c r="N48" s="117">
        <f t="shared" si="214"/>
        <v>3388784.51</v>
      </c>
      <c r="O48" s="114">
        <f t="shared" si="101"/>
        <v>-699424.00756450044</v>
      </c>
      <c r="P48" s="413">
        <f t="shared" si="274"/>
        <v>0.82891674811607363</v>
      </c>
      <c r="Q48" s="125">
        <f t="shared" si="248"/>
        <v>2841206.4</v>
      </c>
      <c r="R48" s="140">
        <f t="shared" si="260"/>
        <v>5046650.2499039993</v>
      </c>
      <c r="S48" s="116">
        <f t="shared" si="14"/>
        <v>2604202.04</v>
      </c>
      <c r="T48" s="116">
        <f t="shared" si="215"/>
        <v>757791.17</v>
      </c>
      <c r="U48" s="116">
        <f t="shared" si="216"/>
        <v>3361993.21</v>
      </c>
      <c r="V48" s="116">
        <f t="shared" si="17"/>
        <v>-1684657.0399039993</v>
      </c>
      <c r="W48" s="413">
        <f t="shared" si="266"/>
        <v>0.66618312019224124</v>
      </c>
      <c r="X48" s="123">
        <f t="shared" si="249"/>
        <v>1162467.96</v>
      </c>
      <c r="Y48" s="332">
        <f t="shared" si="261"/>
        <v>1910359.1590853999</v>
      </c>
      <c r="Z48" s="113">
        <f t="shared" si="19"/>
        <v>2076326.3900000001</v>
      </c>
      <c r="AA48" s="116">
        <f t="shared" si="218"/>
        <v>1040045.36</v>
      </c>
      <c r="AB48" s="117">
        <f t="shared" si="219"/>
        <v>3116371.75</v>
      </c>
      <c r="AC48" s="114">
        <f t="shared" si="22"/>
        <v>1206012.5909146001</v>
      </c>
      <c r="AD48" s="97">
        <f t="shared" si="262"/>
        <v>1.6313014938468369</v>
      </c>
      <c r="AE48" s="433">
        <f t="shared" si="24"/>
        <v>11045217.926553899</v>
      </c>
      <c r="AF48" s="118">
        <f t="shared" si="220"/>
        <v>10556976.949999999</v>
      </c>
      <c r="AG48" s="116">
        <f t="shared" si="26"/>
        <v>6551985.3199999984</v>
      </c>
      <c r="AH48" s="116">
        <f t="shared" si="27"/>
        <v>3315164.1500000004</v>
      </c>
      <c r="AI48" s="116">
        <f t="shared" si="28"/>
        <v>9867149.4699999988</v>
      </c>
      <c r="AJ48" s="116">
        <f t="shared" si="29"/>
        <v>-689827.48000000045</v>
      </c>
      <c r="AK48" s="418">
        <f t="shared" si="190"/>
        <v>0.93465672197001426</v>
      </c>
      <c r="AL48" s="434">
        <f t="shared" si="270"/>
        <v>2425000.85</v>
      </c>
      <c r="AM48" s="140">
        <f t="shared" si="32"/>
        <v>1890829.3399999999</v>
      </c>
      <c r="AN48" s="326">
        <f t="shared" si="221"/>
        <v>1734113.94</v>
      </c>
      <c r="AO48" s="333">
        <f t="shared" si="222"/>
        <v>3624943.28</v>
      </c>
      <c r="AP48" s="125">
        <f t="shared" si="176"/>
        <v>2378030.66</v>
      </c>
      <c r="AQ48" s="140">
        <f t="shared" si="177"/>
        <v>1936524.3900000001</v>
      </c>
      <c r="AR48" s="326">
        <f t="shared" si="178"/>
        <v>1848326.6</v>
      </c>
      <c r="AS48" s="333">
        <f t="shared" si="179"/>
        <v>3784850.99</v>
      </c>
      <c r="AT48" s="125">
        <f t="shared" si="180"/>
        <v>2014644.69</v>
      </c>
      <c r="AU48" s="140">
        <f t="shared" si="40"/>
        <v>573739.5</v>
      </c>
      <c r="AV48" s="326">
        <f t="shared" si="223"/>
        <v>1531444.69</v>
      </c>
      <c r="AW48" s="332">
        <f t="shared" si="224"/>
        <v>2105184.19</v>
      </c>
      <c r="AX48" s="122">
        <f t="shared" si="43"/>
        <v>4401093.2300000004</v>
      </c>
      <c r="AY48" s="326">
        <f t="shared" ref="AY48:AZ48" si="287">AN48+AR48+AV48</f>
        <v>5113885.2300000004</v>
      </c>
      <c r="AZ48" s="333">
        <f t="shared" si="287"/>
        <v>9514978.459999999</v>
      </c>
      <c r="BA48" s="140">
        <f t="shared" ref="BA48:BB48" si="288">AX48+AG48</f>
        <v>10953078.549999999</v>
      </c>
      <c r="BB48" s="326">
        <f t="shared" si="288"/>
        <v>8429049.3800000008</v>
      </c>
      <c r="BC48" s="435">
        <f t="shared" si="46"/>
        <v>19382127.93</v>
      </c>
      <c r="BD48" s="434">
        <f t="shared" si="183"/>
        <v>3211505.62</v>
      </c>
      <c r="BE48" s="140">
        <f t="shared" si="48"/>
        <v>1754287.8399999999</v>
      </c>
      <c r="BF48" s="123">
        <f t="shared" si="227"/>
        <v>1238211.58</v>
      </c>
      <c r="BG48" s="148">
        <f t="shared" si="228"/>
        <v>2992499.42</v>
      </c>
      <c r="BH48" s="125">
        <f t="shared" si="184"/>
        <v>2580923.17</v>
      </c>
      <c r="BI48" s="140">
        <f t="shared" si="52"/>
        <v>1576082.42</v>
      </c>
      <c r="BJ48" s="123">
        <f t="shared" si="229"/>
        <v>2157164.64</v>
      </c>
      <c r="BK48" s="125">
        <f t="shared" si="230"/>
        <v>3733247.06</v>
      </c>
      <c r="BL48" s="436">
        <f t="shared" si="185"/>
        <v>1893038.13</v>
      </c>
      <c r="BM48" s="140">
        <f t="shared" si="56"/>
        <v>1726725.08</v>
      </c>
      <c r="BN48" s="326">
        <f t="shared" si="231"/>
        <v>1149938.02</v>
      </c>
      <c r="BO48" s="333">
        <f t="shared" si="232"/>
        <v>2876663.1</v>
      </c>
      <c r="BP48" s="140">
        <f t="shared" ref="BP48:BR48" si="289">SUM(BE48,BI48,BM48)</f>
        <v>5057095.34</v>
      </c>
      <c r="BQ48" s="141">
        <f t="shared" si="289"/>
        <v>4545314.24</v>
      </c>
      <c r="BR48" s="437">
        <f t="shared" si="289"/>
        <v>9602409.5800000001</v>
      </c>
      <c r="BS48" s="422">
        <f t="shared" si="187"/>
        <v>1834367.17</v>
      </c>
      <c r="BT48" s="140">
        <f t="shared" si="61"/>
        <v>4594914.37</v>
      </c>
      <c r="BU48" s="123">
        <f t="shared" si="234"/>
        <v>2796326.99</v>
      </c>
      <c r="BV48" s="148">
        <f t="shared" si="235"/>
        <v>7391241.3600000003</v>
      </c>
      <c r="BW48" s="423">
        <f t="shared" si="188"/>
        <v>3988182.73</v>
      </c>
      <c r="BX48" s="424">
        <f t="shared" si="189"/>
        <v>4734427.0599999996</v>
      </c>
    </row>
    <row r="49" spans="1:77" ht="13">
      <c r="A49" s="92">
        <f t="shared" si="208"/>
        <v>112014725</v>
      </c>
      <c r="B49" s="93">
        <f t="shared" si="209"/>
        <v>4</v>
      </c>
      <c r="C49" s="137" t="str">
        <f t="shared" si="278"/>
        <v>Lista</v>
      </c>
      <c r="D49" s="137">
        <f t="shared" si="279"/>
        <v>0.2</v>
      </c>
      <c r="E49" s="98">
        <f t="shared" si="280"/>
        <v>0</v>
      </c>
      <c r="F49" s="414">
        <f t="shared" si="210"/>
        <v>70</v>
      </c>
      <c r="G49" s="94" t="str">
        <f t="shared" si="211"/>
        <v>Lista</v>
      </c>
      <c r="H49" s="415">
        <f t="shared" si="212"/>
        <v>0.11</v>
      </c>
      <c r="I49" s="189" t="s">
        <v>303</v>
      </c>
      <c r="J49" s="125"/>
      <c r="K49" s="141"/>
      <c r="L49" s="113">
        <f t="shared" si="9"/>
        <v>0</v>
      </c>
      <c r="M49" s="116">
        <f t="shared" si="213"/>
        <v>0</v>
      </c>
      <c r="N49" s="117">
        <f t="shared" si="214"/>
        <v>0</v>
      </c>
      <c r="O49" s="114">
        <f t="shared" si="101"/>
        <v>0</v>
      </c>
      <c r="P49" s="413" t="str">
        <f>IFERROR(N49/K49,"")</f>
        <v/>
      </c>
      <c r="Q49" s="125" t="str">
        <f t="shared" si="248"/>
        <v/>
      </c>
      <c r="R49" s="140" t="e">
        <f t="shared" si="260"/>
        <v>#VALUE!</v>
      </c>
      <c r="S49" s="116">
        <f t="shared" si="14"/>
        <v>0</v>
      </c>
      <c r="T49" s="116">
        <f t="shared" si="215"/>
        <v>0</v>
      </c>
      <c r="U49" s="116">
        <f t="shared" si="216"/>
        <v>0</v>
      </c>
      <c r="V49" s="116" t="e">
        <f t="shared" si="17"/>
        <v>#VALUE!</v>
      </c>
      <c r="W49" s="413" t="str">
        <f t="shared" si="266"/>
        <v/>
      </c>
      <c r="X49" s="123" t="str">
        <f t="shared" si="249"/>
        <v/>
      </c>
      <c r="Y49" s="332" t="e">
        <f t="shared" si="261"/>
        <v>#VALUE!</v>
      </c>
      <c r="Z49" s="113">
        <f t="shared" si="19"/>
        <v>0</v>
      </c>
      <c r="AA49" s="116">
        <f t="shared" si="218"/>
        <v>0</v>
      </c>
      <c r="AB49" s="117">
        <f t="shared" si="219"/>
        <v>0</v>
      </c>
      <c r="AC49" s="114" t="e">
        <f t="shared" si="22"/>
        <v>#VALUE!</v>
      </c>
      <c r="AD49" s="97" t="str">
        <f t="shared" si="262"/>
        <v/>
      </c>
      <c r="AE49" s="433" t="e">
        <f t="shared" si="24"/>
        <v>#VALUE!</v>
      </c>
      <c r="AF49" s="118" t="str">
        <f t="shared" si="220"/>
        <v>0</v>
      </c>
      <c r="AG49" s="116">
        <f t="shared" si="26"/>
        <v>0</v>
      </c>
      <c r="AH49" s="116">
        <f t="shared" si="27"/>
        <v>0</v>
      </c>
      <c r="AI49" s="116">
        <f t="shared" si="28"/>
        <v>0</v>
      </c>
      <c r="AJ49" s="116">
        <f t="shared" si="29"/>
        <v>0</v>
      </c>
      <c r="AK49" s="418" t="str">
        <f t="shared" si="190"/>
        <v/>
      </c>
      <c r="AL49" s="434" t="str">
        <f t="shared" si="270"/>
        <v/>
      </c>
      <c r="AM49" s="140">
        <f t="shared" si="32"/>
        <v>0</v>
      </c>
      <c r="AN49" s="326">
        <f t="shared" si="221"/>
        <v>0</v>
      </c>
      <c r="AO49" s="333">
        <f t="shared" si="222"/>
        <v>0</v>
      </c>
      <c r="AP49" s="125" t="str">
        <f t="shared" si="176"/>
        <v/>
      </c>
      <c r="AQ49" s="140">
        <f t="shared" si="177"/>
        <v>0</v>
      </c>
      <c r="AR49" s="326">
        <f t="shared" si="178"/>
        <v>0</v>
      </c>
      <c r="AS49" s="333">
        <f t="shared" si="179"/>
        <v>0</v>
      </c>
      <c r="AT49" s="125" t="str">
        <f t="shared" si="180"/>
        <v/>
      </c>
      <c r="AU49" s="140">
        <f t="shared" si="40"/>
        <v>0</v>
      </c>
      <c r="AV49" s="326">
        <f t="shared" si="223"/>
        <v>0</v>
      </c>
      <c r="AW49" s="332">
        <f t="shared" si="224"/>
        <v>0</v>
      </c>
      <c r="AX49" s="122">
        <f t="shared" si="43"/>
        <v>0</v>
      </c>
      <c r="AY49" s="326">
        <f t="shared" ref="AY49:AZ49" si="290">AN49+AR49+AV49</f>
        <v>0</v>
      </c>
      <c r="AZ49" s="333">
        <f t="shared" si="290"/>
        <v>0</v>
      </c>
      <c r="BA49" s="140">
        <f t="shared" ref="BA49:BB49" si="291">AX49+AG49</f>
        <v>0</v>
      </c>
      <c r="BB49" s="326">
        <f t="shared" si="291"/>
        <v>0</v>
      </c>
      <c r="BC49" s="435">
        <f t="shared" si="46"/>
        <v>0</v>
      </c>
      <c r="BD49" s="434" t="str">
        <f t="shared" si="183"/>
        <v/>
      </c>
      <c r="BE49" s="140">
        <f t="shared" si="48"/>
        <v>0</v>
      </c>
      <c r="BF49" s="123">
        <f t="shared" si="227"/>
        <v>73766.48</v>
      </c>
      <c r="BG49" s="148">
        <f t="shared" si="228"/>
        <v>73766.48</v>
      </c>
      <c r="BH49" s="141" t="e">
        <f>BS49-BL49</f>
        <v>#VALUE!</v>
      </c>
      <c r="BI49" s="140">
        <f t="shared" si="52"/>
        <v>36487.599999999991</v>
      </c>
      <c r="BJ49" s="123">
        <f t="shared" si="229"/>
        <v>110504.8</v>
      </c>
      <c r="BK49" s="125">
        <f t="shared" si="230"/>
        <v>146992.4</v>
      </c>
      <c r="BL49" s="332" t="str">
        <f>IFERROR(VLOOKUP(X49,CALOALIM,6,FALSE),"")</f>
        <v/>
      </c>
      <c r="BM49" s="140">
        <f t="shared" si="56"/>
        <v>0</v>
      </c>
      <c r="BN49" s="326">
        <f t="shared" si="231"/>
        <v>161265.28</v>
      </c>
      <c r="BO49" s="333">
        <f t="shared" si="232"/>
        <v>161265.28</v>
      </c>
      <c r="BP49" s="140">
        <f t="shared" ref="BP49:BR49" si="292">SUM(BE49,BI49,BM49)</f>
        <v>36487.599999999991</v>
      </c>
      <c r="BQ49" s="141">
        <f t="shared" si="292"/>
        <v>345536.56</v>
      </c>
      <c r="BR49" s="437">
        <f t="shared" si="292"/>
        <v>382024.16000000003</v>
      </c>
      <c r="BS49" s="141" t="str">
        <f>IFERROR(VLOOKUP(X49,CALOFC,6,FALSE),"")</f>
        <v/>
      </c>
      <c r="BT49" s="140">
        <f t="shared" si="61"/>
        <v>11385</v>
      </c>
      <c r="BU49" s="123">
        <f t="shared" si="234"/>
        <v>179062.39</v>
      </c>
      <c r="BV49" s="148">
        <f t="shared" si="235"/>
        <v>190447.39</v>
      </c>
      <c r="BW49" s="123" t="str">
        <f>IFERROR(VLOOKUP(X49,CALO24,7,FALSE),"")</f>
        <v/>
      </c>
      <c r="BX49" s="333" t="e">
        <f>BZ49-BY49</f>
        <v>#VALUE!</v>
      </c>
      <c r="BY49" s="296" t="str">
        <f>IFERROR(VLOOKUP(X49,CALOALIM,7,FALSE),"")</f>
        <v/>
      </c>
    </row>
    <row r="50" spans="1:77" ht="13">
      <c r="A50" s="92">
        <f t="shared" si="208"/>
        <v>112014163</v>
      </c>
      <c r="B50" s="93">
        <f t="shared" si="209"/>
        <v>6</v>
      </c>
      <c r="C50" s="137" t="str">
        <f t="shared" si="278"/>
        <v>Lista</v>
      </c>
      <c r="D50" s="137">
        <f t="shared" si="279"/>
        <v>0.15</v>
      </c>
      <c r="E50" s="98">
        <f t="shared" si="280"/>
        <v>0</v>
      </c>
      <c r="F50" s="414">
        <f t="shared" si="210"/>
        <v>70</v>
      </c>
      <c r="G50" s="94" t="str">
        <f t="shared" si="211"/>
        <v>Lista</v>
      </c>
      <c r="H50" s="415">
        <f t="shared" si="212"/>
        <v>0.11</v>
      </c>
      <c r="I50" s="139" t="s">
        <v>304</v>
      </c>
      <c r="J50" s="125">
        <f t="shared" ref="J50:J77" si="293">IFERROR(VLOOKUP(I50,CALO24,3,FALSE),"")</f>
        <v>62778.11</v>
      </c>
      <c r="K50" s="141">
        <f t="shared" ref="K50:K53" si="294">(J50*1.601)*1.05</f>
        <v>105533.1418155</v>
      </c>
      <c r="L50" s="113">
        <f t="shared" si="9"/>
        <v>0</v>
      </c>
      <c r="M50" s="116">
        <f t="shared" si="213"/>
        <v>139866.74</v>
      </c>
      <c r="N50" s="117">
        <f t="shared" si="214"/>
        <v>139866.74</v>
      </c>
      <c r="O50" s="114">
        <f t="shared" si="101"/>
        <v>34333.598184499991</v>
      </c>
      <c r="P50" s="413">
        <f t="shared" ref="P50:P56" si="295">N50/K50</f>
        <v>1.3253347488178098</v>
      </c>
      <c r="Q50" s="125">
        <f t="shared" si="248"/>
        <v>313305.24</v>
      </c>
      <c r="R50" s="140">
        <f t="shared" si="260"/>
        <v>556503.73297139991</v>
      </c>
      <c r="S50" s="116">
        <f t="shared" si="14"/>
        <v>0</v>
      </c>
      <c r="T50" s="116">
        <f t="shared" si="215"/>
        <v>149668</v>
      </c>
      <c r="U50" s="116">
        <f t="shared" si="216"/>
        <v>149668</v>
      </c>
      <c r="V50" s="116">
        <f t="shared" si="17"/>
        <v>-406835.73297139991</v>
      </c>
      <c r="W50" s="413">
        <f t="shared" si="266"/>
        <v>0.26894338911414239</v>
      </c>
      <c r="X50" s="123">
        <f t="shared" si="249"/>
        <v>321878.43</v>
      </c>
      <c r="Y50" s="332">
        <f t="shared" si="261"/>
        <v>528963.74611694994</v>
      </c>
      <c r="Z50" s="113">
        <f t="shared" si="19"/>
        <v>0</v>
      </c>
      <c r="AA50" s="116">
        <f t="shared" si="218"/>
        <v>0</v>
      </c>
      <c r="AB50" s="117">
        <f t="shared" si="219"/>
        <v>0</v>
      </c>
      <c r="AC50" s="114">
        <f t="shared" si="22"/>
        <v>-528963.74611694994</v>
      </c>
      <c r="AD50" s="97">
        <f t="shared" si="262"/>
        <v>0</v>
      </c>
      <c r="AE50" s="433">
        <f t="shared" si="24"/>
        <v>1191000.6209038498</v>
      </c>
      <c r="AF50" s="118">
        <f t="shared" si="220"/>
        <v>689271.67</v>
      </c>
      <c r="AG50" s="116">
        <f t="shared" si="26"/>
        <v>-149668</v>
      </c>
      <c r="AH50" s="116">
        <f t="shared" si="27"/>
        <v>439202.74</v>
      </c>
      <c r="AI50" s="116">
        <f t="shared" si="28"/>
        <v>289534.74</v>
      </c>
      <c r="AJ50" s="116">
        <f t="shared" si="29"/>
        <v>-399736.93000000005</v>
      </c>
      <c r="AK50" s="418">
        <f t="shared" si="190"/>
        <v>0.42005895875569638</v>
      </c>
      <c r="AL50" s="434">
        <f t="shared" si="270"/>
        <v>411742.98</v>
      </c>
      <c r="AM50" s="140">
        <f t="shared" si="32"/>
        <v>0</v>
      </c>
      <c r="AN50" s="326">
        <f t="shared" si="221"/>
        <v>141825.14000000001</v>
      </c>
      <c r="AO50" s="333">
        <f t="shared" si="222"/>
        <v>141825.14000000001</v>
      </c>
      <c r="AP50" s="125">
        <f t="shared" si="176"/>
        <v>99159.47</v>
      </c>
      <c r="AQ50" s="140">
        <f t="shared" si="177"/>
        <v>0</v>
      </c>
      <c r="AR50" s="326">
        <f t="shared" si="178"/>
        <v>249342.83</v>
      </c>
      <c r="AS50" s="333">
        <f t="shared" si="179"/>
        <v>249342.83</v>
      </c>
      <c r="AT50" s="125">
        <f t="shared" si="180"/>
        <v>246500.55</v>
      </c>
      <c r="AU50" s="140">
        <f t="shared" si="40"/>
        <v>0</v>
      </c>
      <c r="AV50" s="326">
        <f t="shared" si="223"/>
        <v>173370.93</v>
      </c>
      <c r="AW50" s="332">
        <f t="shared" si="224"/>
        <v>173370.93</v>
      </c>
      <c r="AX50" s="122">
        <f t="shared" si="43"/>
        <v>0</v>
      </c>
      <c r="AY50" s="326">
        <f t="shared" ref="AY50:AZ50" si="296">AN50+AR50+AV50</f>
        <v>564538.89999999991</v>
      </c>
      <c r="AZ50" s="333">
        <f t="shared" si="296"/>
        <v>564538.89999999991</v>
      </c>
      <c r="BA50" s="140">
        <f t="shared" ref="BA50:BB50" si="297">AX50+AG50</f>
        <v>-149668</v>
      </c>
      <c r="BB50" s="326">
        <f t="shared" si="297"/>
        <v>1003741.6399999999</v>
      </c>
      <c r="BC50" s="435">
        <f t="shared" si="46"/>
        <v>854073.6399999999</v>
      </c>
      <c r="BD50" s="434">
        <f t="shared" si="183"/>
        <v>413079.9</v>
      </c>
      <c r="BE50" s="140">
        <f t="shared" si="48"/>
        <v>0</v>
      </c>
      <c r="BF50" s="123">
        <f t="shared" si="227"/>
        <v>399170.2</v>
      </c>
      <c r="BG50" s="148">
        <f t="shared" si="228"/>
        <v>399170.2</v>
      </c>
      <c r="BH50" s="125">
        <f t="shared" ref="BH50:BH77" si="298">IFERROR(VLOOKUP(I50,CALO24,10,FALSE),"")</f>
        <v>283033.26</v>
      </c>
      <c r="BI50" s="140">
        <f t="shared" si="52"/>
        <v>0</v>
      </c>
      <c r="BJ50" s="123">
        <f t="shared" si="229"/>
        <v>409215.93</v>
      </c>
      <c r="BK50" s="125">
        <f t="shared" si="230"/>
        <v>409215.93</v>
      </c>
      <c r="BL50" s="436">
        <f t="shared" ref="BL50:BL77" si="299">IFERROR(VLOOKUP(I50,CALO24,11,FALSE),"")</f>
        <v>553247.51</v>
      </c>
      <c r="BM50" s="140">
        <f t="shared" si="56"/>
        <v>0</v>
      </c>
      <c r="BN50" s="326">
        <f t="shared" si="231"/>
        <v>210815.22</v>
      </c>
      <c r="BO50" s="333">
        <f t="shared" si="232"/>
        <v>210815.22</v>
      </c>
      <c r="BP50" s="140">
        <f t="shared" ref="BP50:BR50" si="300">SUM(BE50,BI50,BM50)</f>
        <v>0</v>
      </c>
      <c r="BQ50" s="141">
        <f t="shared" si="300"/>
        <v>1019201.35</v>
      </c>
      <c r="BR50" s="437">
        <f t="shared" si="300"/>
        <v>1019201.35</v>
      </c>
      <c r="BS50" s="422">
        <f t="shared" ref="BS50:BS77" si="301">IFERROR(VLOOKUP(I50,CALO24,12,FALSE),"")</f>
        <v>179297.07</v>
      </c>
      <c r="BT50" s="140">
        <f t="shared" si="61"/>
        <v>0</v>
      </c>
      <c r="BU50" s="123">
        <f t="shared" si="234"/>
        <v>307309.77</v>
      </c>
      <c r="BV50" s="148">
        <f t="shared" si="235"/>
        <v>307309.77</v>
      </c>
      <c r="BW50" s="423">
        <f t="shared" ref="BW50:BW77" si="302">IFERROR(VLOOKUP(I50,CALO24,13,FALSE),"")</f>
        <v>146608</v>
      </c>
      <c r="BX50" s="424">
        <f t="shared" ref="BX50:BX77" si="303">IFERROR(VLOOKUP(I50,CALO24,14,FALSE),"")</f>
        <v>363366.6</v>
      </c>
    </row>
    <row r="51" spans="1:77" ht="13">
      <c r="A51" s="92">
        <f t="shared" si="208"/>
        <v>112012926</v>
      </c>
      <c r="B51" s="93">
        <f t="shared" si="209"/>
        <v>6</v>
      </c>
      <c r="C51" s="137" t="str">
        <f t="shared" si="278"/>
        <v>Lista</v>
      </c>
      <c r="D51" s="137">
        <f t="shared" si="279"/>
        <v>0.15</v>
      </c>
      <c r="E51" s="98">
        <f t="shared" si="280"/>
        <v>0</v>
      </c>
      <c r="F51" s="414">
        <f t="shared" si="210"/>
        <v>70</v>
      </c>
      <c r="G51" s="94" t="str">
        <f t="shared" si="211"/>
        <v>Lista</v>
      </c>
      <c r="H51" s="415">
        <f t="shared" si="212"/>
        <v>0.11</v>
      </c>
      <c r="I51" s="139" t="s">
        <v>305</v>
      </c>
      <c r="J51" s="125">
        <f t="shared" si="293"/>
        <v>185312.9</v>
      </c>
      <c r="K51" s="141">
        <f t="shared" si="294"/>
        <v>311520.25054499996</v>
      </c>
      <c r="L51" s="113">
        <f t="shared" si="9"/>
        <v>0</v>
      </c>
      <c r="M51" s="116">
        <f t="shared" si="213"/>
        <v>123013.65</v>
      </c>
      <c r="N51" s="117">
        <f t="shared" si="214"/>
        <v>123013.65</v>
      </c>
      <c r="O51" s="114">
        <f t="shared" si="101"/>
        <v>-188506.60054499996</v>
      </c>
      <c r="P51" s="413">
        <f t="shared" si="295"/>
        <v>0.39488171245621906</v>
      </c>
      <c r="Q51" s="125">
        <f t="shared" si="248"/>
        <v>219725.72</v>
      </c>
      <c r="R51" s="140">
        <f t="shared" si="260"/>
        <v>390284.5142642</v>
      </c>
      <c r="S51" s="116">
        <f t="shared" si="14"/>
        <v>0</v>
      </c>
      <c r="T51" s="116">
        <f t="shared" si="215"/>
        <v>31839.05</v>
      </c>
      <c r="U51" s="116">
        <f t="shared" si="216"/>
        <v>31839.05</v>
      </c>
      <c r="V51" s="116">
        <f t="shared" si="17"/>
        <v>-358445.46426420001</v>
      </c>
      <c r="W51" s="413">
        <f t="shared" si="266"/>
        <v>8.1579075869884013E-2</v>
      </c>
      <c r="X51" s="123">
        <f t="shared" si="249"/>
        <v>298796.13</v>
      </c>
      <c r="Y51" s="332">
        <f t="shared" si="261"/>
        <v>491031.10217745003</v>
      </c>
      <c r="Z51" s="113">
        <f t="shared" si="19"/>
        <v>0</v>
      </c>
      <c r="AA51" s="116">
        <f t="shared" si="218"/>
        <v>139327.57999999999</v>
      </c>
      <c r="AB51" s="117">
        <f t="shared" si="219"/>
        <v>139327.57999999999</v>
      </c>
      <c r="AC51" s="114">
        <f t="shared" si="22"/>
        <v>-351703.52217745001</v>
      </c>
      <c r="AD51" s="97">
        <f t="shared" si="262"/>
        <v>0.28374491836089327</v>
      </c>
      <c r="AE51" s="433">
        <f t="shared" si="24"/>
        <v>1192835.86698665</v>
      </c>
      <c r="AF51" s="118">
        <f t="shared" si="220"/>
        <v>1236677.83</v>
      </c>
      <c r="AG51" s="116">
        <f t="shared" si="26"/>
        <v>-31839.049999999988</v>
      </c>
      <c r="AH51" s="116">
        <f t="shared" si="27"/>
        <v>326019.32999999996</v>
      </c>
      <c r="AI51" s="116">
        <f t="shared" si="28"/>
        <v>294180.27999999997</v>
      </c>
      <c r="AJ51" s="116">
        <f t="shared" si="29"/>
        <v>-942497.55</v>
      </c>
      <c r="AK51" s="418">
        <f t="shared" si="190"/>
        <v>0.23787948070517279</v>
      </c>
      <c r="AL51" s="434">
        <f t="shared" si="270"/>
        <v>793094.19</v>
      </c>
      <c r="AM51" s="140">
        <f t="shared" si="32"/>
        <v>218704.99999999997</v>
      </c>
      <c r="AN51" s="326">
        <f t="shared" si="221"/>
        <v>211069.79</v>
      </c>
      <c r="AO51" s="333">
        <f t="shared" si="222"/>
        <v>429774.79</v>
      </c>
      <c r="AP51" s="125">
        <f t="shared" si="176"/>
        <v>567496.53</v>
      </c>
      <c r="AQ51" s="140">
        <f t="shared" si="177"/>
        <v>0</v>
      </c>
      <c r="AR51" s="326">
        <f t="shared" si="178"/>
        <v>117950.42</v>
      </c>
      <c r="AS51" s="333">
        <f t="shared" si="179"/>
        <v>117950.42</v>
      </c>
      <c r="AT51" s="125">
        <f t="shared" si="180"/>
        <v>81593.88</v>
      </c>
      <c r="AU51" s="140">
        <f t="shared" si="40"/>
        <v>0</v>
      </c>
      <c r="AV51" s="326">
        <f t="shared" si="223"/>
        <v>124547.61</v>
      </c>
      <c r="AW51" s="332">
        <f t="shared" si="224"/>
        <v>124547.61</v>
      </c>
      <c r="AX51" s="122">
        <f t="shared" si="43"/>
        <v>218704.99999999997</v>
      </c>
      <c r="AY51" s="326">
        <f t="shared" ref="AY51:AZ51" si="304">AN51+AR51+AV51</f>
        <v>453567.82</v>
      </c>
      <c r="AZ51" s="333">
        <f t="shared" si="304"/>
        <v>672272.82</v>
      </c>
      <c r="BA51" s="140">
        <f t="shared" ref="BA51:BB51" si="305">AX51+AG51</f>
        <v>186865.94999999998</v>
      </c>
      <c r="BB51" s="326">
        <f t="shared" si="305"/>
        <v>779587.14999999991</v>
      </c>
      <c r="BC51" s="435">
        <f t="shared" si="46"/>
        <v>966453.09999999986</v>
      </c>
      <c r="BD51" s="434">
        <f t="shared" si="183"/>
        <v>262104.13</v>
      </c>
      <c r="BE51" s="140">
        <f t="shared" si="48"/>
        <v>177591.73</v>
      </c>
      <c r="BF51" s="123">
        <f t="shared" si="227"/>
        <v>261174.46</v>
      </c>
      <c r="BG51" s="148">
        <f t="shared" si="228"/>
        <v>438766.19</v>
      </c>
      <c r="BH51" s="125">
        <f t="shared" si="298"/>
        <v>525788.48</v>
      </c>
      <c r="BI51" s="140">
        <f t="shared" si="52"/>
        <v>0</v>
      </c>
      <c r="BJ51" s="123">
        <f t="shared" si="229"/>
        <v>471556.93</v>
      </c>
      <c r="BK51" s="125">
        <f t="shared" si="230"/>
        <v>471556.93</v>
      </c>
      <c r="BL51" s="436">
        <f t="shared" si="299"/>
        <v>259341.61</v>
      </c>
      <c r="BM51" s="140">
        <f t="shared" si="56"/>
        <v>0</v>
      </c>
      <c r="BN51" s="326">
        <f t="shared" si="231"/>
        <v>59308.92</v>
      </c>
      <c r="BO51" s="333">
        <f t="shared" si="232"/>
        <v>59308.92</v>
      </c>
      <c r="BP51" s="140">
        <f t="shared" ref="BP51:BR51" si="306">SUM(BE51,BI51,BM51)</f>
        <v>177591.73</v>
      </c>
      <c r="BQ51" s="141">
        <f t="shared" si="306"/>
        <v>792040.31</v>
      </c>
      <c r="BR51" s="437">
        <f t="shared" si="306"/>
        <v>969632.04</v>
      </c>
      <c r="BS51" s="422">
        <f t="shared" si="301"/>
        <v>312687.59999999998</v>
      </c>
      <c r="BT51" s="140">
        <f t="shared" si="61"/>
        <v>0</v>
      </c>
      <c r="BU51" s="123">
        <f t="shared" si="234"/>
        <v>117525.66</v>
      </c>
      <c r="BV51" s="148">
        <f t="shared" si="235"/>
        <v>117525.66</v>
      </c>
      <c r="BW51" s="423">
        <f t="shared" si="302"/>
        <v>494295.44</v>
      </c>
      <c r="BX51" s="424">
        <f t="shared" si="303"/>
        <v>429694.8</v>
      </c>
    </row>
    <row r="52" spans="1:77" ht="13">
      <c r="A52" s="92">
        <f t="shared" si="208"/>
        <v>112014291</v>
      </c>
      <c r="B52" s="93">
        <f t="shared" si="209"/>
        <v>6</v>
      </c>
      <c r="C52" s="137" t="str">
        <f t="shared" si="278"/>
        <v>Lista</v>
      </c>
      <c r="D52" s="137">
        <f t="shared" si="279"/>
        <v>0.15</v>
      </c>
      <c r="E52" s="98">
        <f t="shared" si="280"/>
        <v>0</v>
      </c>
      <c r="F52" s="414">
        <f t="shared" si="210"/>
        <v>70</v>
      </c>
      <c r="G52" s="94" t="str">
        <f t="shared" si="211"/>
        <v>Lista</v>
      </c>
      <c r="H52" s="415">
        <f t="shared" si="212"/>
        <v>0.11</v>
      </c>
      <c r="I52" s="139" t="s">
        <v>306</v>
      </c>
      <c r="J52" s="125">
        <f t="shared" si="293"/>
        <v>53814.99</v>
      </c>
      <c r="K52" s="141">
        <f t="shared" si="294"/>
        <v>90465.688939500003</v>
      </c>
      <c r="L52" s="113" t="e">
        <f t="shared" si="9"/>
        <v>#VALUE!</v>
      </c>
      <c r="M52" s="116" t="str">
        <f t="shared" si="213"/>
        <v/>
      </c>
      <c r="N52" s="117">
        <f t="shared" si="214"/>
        <v>39104.1</v>
      </c>
      <c r="O52" s="114">
        <f t="shared" si="101"/>
        <v>-51361.588939500005</v>
      </c>
      <c r="P52" s="413">
        <f t="shared" si="295"/>
        <v>0.43225338201040314</v>
      </c>
      <c r="Q52" s="125">
        <f t="shared" si="248"/>
        <v>0</v>
      </c>
      <c r="R52" s="140">
        <f t="shared" si="260"/>
        <v>0</v>
      </c>
      <c r="S52" s="116" t="e">
        <f t="shared" si="14"/>
        <v>#VALUE!</v>
      </c>
      <c r="T52" s="116" t="str">
        <f t="shared" si="215"/>
        <v/>
      </c>
      <c r="U52" s="116">
        <f t="shared" si="216"/>
        <v>49856</v>
      </c>
      <c r="V52" s="116">
        <f t="shared" si="17"/>
        <v>49856</v>
      </c>
      <c r="W52" s="413" t="str">
        <f t="shared" si="266"/>
        <v/>
      </c>
      <c r="X52" s="123">
        <f t="shared" si="249"/>
        <v>0</v>
      </c>
      <c r="Y52" s="332">
        <f t="shared" si="261"/>
        <v>0</v>
      </c>
      <c r="Z52" s="113" t="e">
        <f t="shared" si="19"/>
        <v>#VALUE!</v>
      </c>
      <c r="AA52" s="116" t="str">
        <f t="shared" si="218"/>
        <v/>
      </c>
      <c r="AB52" s="117">
        <f t="shared" si="219"/>
        <v>0</v>
      </c>
      <c r="AC52" s="114">
        <f t="shared" si="22"/>
        <v>0</v>
      </c>
      <c r="AD52" s="97" t="str">
        <f t="shared" si="262"/>
        <v/>
      </c>
      <c r="AE52" s="433">
        <f t="shared" si="24"/>
        <v>90465.688939500003</v>
      </c>
      <c r="AF52" s="118">
        <f t="shared" si="220"/>
        <v>69696</v>
      </c>
      <c r="AG52" s="116">
        <f t="shared" si="26"/>
        <v>88960.1</v>
      </c>
      <c r="AH52" s="116">
        <f t="shared" si="27"/>
        <v>0</v>
      </c>
      <c r="AI52" s="116">
        <f t="shared" si="28"/>
        <v>88960.1</v>
      </c>
      <c r="AJ52" s="116">
        <f t="shared" si="29"/>
        <v>19264.100000000006</v>
      </c>
      <c r="AK52" s="418">
        <f t="shared" si="190"/>
        <v>1.2764018021120294</v>
      </c>
      <c r="AL52" s="434">
        <f t="shared" si="270"/>
        <v>0</v>
      </c>
      <c r="AM52" s="140" t="e">
        <f t="shared" si="32"/>
        <v>#VALUE!</v>
      </c>
      <c r="AN52" s="326" t="str">
        <f t="shared" si="221"/>
        <v/>
      </c>
      <c r="AO52" s="333">
        <f t="shared" si="222"/>
        <v>98814</v>
      </c>
      <c r="AP52" s="125">
        <f t="shared" si="176"/>
        <v>0</v>
      </c>
      <c r="AQ52" s="140" t="e">
        <f t="shared" si="177"/>
        <v>#VALUE!</v>
      </c>
      <c r="AR52" s="326" t="str">
        <f t="shared" si="178"/>
        <v/>
      </c>
      <c r="AS52" s="333">
        <f t="shared" si="179"/>
        <v>58840</v>
      </c>
      <c r="AT52" s="125">
        <f t="shared" si="180"/>
        <v>51531.8</v>
      </c>
      <c r="AU52" s="140" t="e">
        <f t="shared" si="40"/>
        <v>#VALUE!</v>
      </c>
      <c r="AV52" s="326" t="str">
        <f t="shared" si="223"/>
        <v/>
      </c>
      <c r="AW52" s="332">
        <f t="shared" si="224"/>
        <v>49856</v>
      </c>
      <c r="AX52" s="122" t="e">
        <f t="shared" si="43"/>
        <v>#VALUE!</v>
      </c>
      <c r="AY52" s="326" t="e">
        <f t="shared" ref="AY52:AZ52" si="307">AN52+AR52+AV52</f>
        <v>#VALUE!</v>
      </c>
      <c r="AZ52" s="333">
        <f t="shared" si="307"/>
        <v>207510</v>
      </c>
      <c r="BA52" s="140" t="e">
        <f t="shared" ref="BA52:BB52" si="308">AX52+AG52</f>
        <v>#VALUE!</v>
      </c>
      <c r="BB52" s="326" t="e">
        <f t="shared" si="308"/>
        <v>#VALUE!</v>
      </c>
      <c r="BC52" s="435">
        <f t="shared" si="46"/>
        <v>296470.09999999998</v>
      </c>
      <c r="BD52" s="434">
        <f t="shared" si="183"/>
        <v>0</v>
      </c>
      <c r="BE52" s="140" t="e">
        <f t="shared" si="48"/>
        <v>#VALUE!</v>
      </c>
      <c r="BF52" s="123" t="str">
        <f t="shared" si="227"/>
        <v/>
      </c>
      <c r="BG52" s="148">
        <f t="shared" si="228"/>
        <v>0</v>
      </c>
      <c r="BH52" s="125">
        <f t="shared" si="298"/>
        <v>0</v>
      </c>
      <c r="BI52" s="140" t="e">
        <f t="shared" si="52"/>
        <v>#VALUE!</v>
      </c>
      <c r="BJ52" s="123" t="str">
        <f t="shared" si="229"/>
        <v/>
      </c>
      <c r="BK52" s="125">
        <f t="shared" si="230"/>
        <v>0</v>
      </c>
      <c r="BL52" s="436">
        <f t="shared" si="299"/>
        <v>34643.79</v>
      </c>
      <c r="BM52" s="140" t="e">
        <f t="shared" si="56"/>
        <v>#VALUE!</v>
      </c>
      <c r="BN52" s="326" t="str">
        <f t="shared" si="231"/>
        <v/>
      </c>
      <c r="BO52" s="333">
        <f t="shared" si="232"/>
        <v>0</v>
      </c>
      <c r="BP52" s="140" t="e">
        <f t="shared" ref="BP52:BR52" si="309">SUM(BE52,BI52,BM52)</f>
        <v>#VALUE!</v>
      </c>
      <c r="BQ52" s="141">
        <f t="shared" si="309"/>
        <v>0</v>
      </c>
      <c r="BR52" s="437">
        <f t="shared" si="309"/>
        <v>0</v>
      </c>
      <c r="BS52" s="422">
        <f t="shared" si="301"/>
        <v>69696</v>
      </c>
      <c r="BT52" s="140" t="e">
        <f t="shared" si="61"/>
        <v>#VALUE!</v>
      </c>
      <c r="BU52" s="123" t="str">
        <f t="shared" si="234"/>
        <v/>
      </c>
      <c r="BV52" s="148">
        <f t="shared" si="235"/>
        <v>0</v>
      </c>
      <c r="BW52" s="423">
        <f t="shared" si="302"/>
        <v>0</v>
      </c>
      <c r="BX52" s="424">
        <f t="shared" si="303"/>
        <v>0</v>
      </c>
    </row>
    <row r="53" spans="1:77" ht="13">
      <c r="A53" s="92">
        <f t="shared" si="208"/>
        <v>112014708</v>
      </c>
      <c r="B53" s="93">
        <f t="shared" si="209"/>
        <v>6</v>
      </c>
      <c r="C53" s="137" t="str">
        <f t="shared" si="278"/>
        <v>Lista</v>
      </c>
      <c r="D53" s="137">
        <f t="shared" si="279"/>
        <v>0.15</v>
      </c>
      <c r="E53" s="98">
        <f t="shared" si="280"/>
        <v>0</v>
      </c>
      <c r="F53" s="414">
        <f t="shared" si="210"/>
        <v>70</v>
      </c>
      <c r="G53" s="94" t="str">
        <f t="shared" si="211"/>
        <v>Lista</v>
      </c>
      <c r="H53" s="415">
        <f t="shared" si="212"/>
        <v>0.11</v>
      </c>
      <c r="I53" s="233" t="s">
        <v>307</v>
      </c>
      <c r="J53" s="125" t="str">
        <f t="shared" si="293"/>
        <v/>
      </c>
      <c r="K53" s="141" t="e">
        <f t="shared" si="294"/>
        <v>#VALUE!</v>
      </c>
      <c r="L53" s="113" t="e">
        <f t="shared" si="9"/>
        <v>#VALUE!</v>
      </c>
      <c r="M53" s="116" t="str">
        <f t="shared" si="213"/>
        <v/>
      </c>
      <c r="N53" s="117" t="str">
        <f t="shared" si="214"/>
        <v/>
      </c>
      <c r="O53" s="114" t="e">
        <f t="shared" si="101"/>
        <v>#VALUE!</v>
      </c>
      <c r="P53" s="413" t="e">
        <f t="shared" si="295"/>
        <v>#VALUE!</v>
      </c>
      <c r="Q53" s="125" t="str">
        <f t="shared" si="248"/>
        <v/>
      </c>
      <c r="R53" s="140" t="e">
        <f t="shared" si="260"/>
        <v>#VALUE!</v>
      </c>
      <c r="S53" s="116" t="e">
        <f t="shared" si="14"/>
        <v>#VALUE!</v>
      </c>
      <c r="T53" s="116" t="str">
        <f t="shared" si="215"/>
        <v/>
      </c>
      <c r="U53" s="116" t="str">
        <f t="shared" si="216"/>
        <v/>
      </c>
      <c r="V53" s="116" t="e">
        <f t="shared" si="17"/>
        <v>#VALUE!</v>
      </c>
      <c r="W53" s="413" t="e">
        <f t="shared" ref="W53:W55" si="310">U53/R53</f>
        <v>#VALUE!</v>
      </c>
      <c r="X53" s="123" t="str">
        <f t="shared" si="249"/>
        <v/>
      </c>
      <c r="Y53" s="332" t="e">
        <f t="shared" si="261"/>
        <v>#VALUE!</v>
      </c>
      <c r="Z53" s="113" t="e">
        <f t="shared" si="19"/>
        <v>#VALUE!</v>
      </c>
      <c r="AA53" s="116" t="str">
        <f t="shared" si="218"/>
        <v/>
      </c>
      <c r="AB53" s="117" t="str">
        <f t="shared" si="219"/>
        <v/>
      </c>
      <c r="AC53" s="114" t="e">
        <f t="shared" si="22"/>
        <v>#VALUE!</v>
      </c>
      <c r="AD53" s="97" t="e">
        <f>AB53/Y53</f>
        <v>#VALUE!</v>
      </c>
      <c r="AE53" s="433" t="e">
        <f t="shared" si="24"/>
        <v>#VALUE!</v>
      </c>
      <c r="AF53" s="118" t="str">
        <f t="shared" si="220"/>
        <v>0</v>
      </c>
      <c r="AG53" s="116">
        <f t="shared" si="26"/>
        <v>0</v>
      </c>
      <c r="AH53" s="116">
        <f t="shared" si="27"/>
        <v>0</v>
      </c>
      <c r="AI53" s="116">
        <f t="shared" si="28"/>
        <v>0</v>
      </c>
      <c r="AJ53" s="116">
        <f t="shared" si="29"/>
        <v>0</v>
      </c>
      <c r="AK53" s="418" t="e">
        <f>AI53/AF53</f>
        <v>#DIV/0!</v>
      </c>
      <c r="AL53" s="434" t="str">
        <f t="shared" si="270"/>
        <v/>
      </c>
      <c r="AM53" s="140" t="e">
        <f t="shared" si="32"/>
        <v>#VALUE!</v>
      </c>
      <c r="AN53" s="326" t="str">
        <f t="shared" si="221"/>
        <v/>
      </c>
      <c r="AO53" s="333" t="str">
        <f t="shared" si="222"/>
        <v/>
      </c>
      <c r="AP53" s="125" t="str">
        <f t="shared" si="176"/>
        <v/>
      </c>
      <c r="AQ53" s="140" t="e">
        <f t="shared" si="177"/>
        <v>#VALUE!</v>
      </c>
      <c r="AR53" s="326" t="str">
        <f t="shared" si="178"/>
        <v/>
      </c>
      <c r="AS53" s="333" t="str">
        <f t="shared" si="179"/>
        <v/>
      </c>
      <c r="AT53" s="125" t="str">
        <f t="shared" si="180"/>
        <v/>
      </c>
      <c r="AU53" s="140" t="e">
        <f t="shared" si="40"/>
        <v>#VALUE!</v>
      </c>
      <c r="AV53" s="326" t="str">
        <f t="shared" si="223"/>
        <v/>
      </c>
      <c r="AW53" s="332" t="str">
        <f t="shared" si="224"/>
        <v/>
      </c>
      <c r="AX53" s="122" t="e">
        <f t="shared" si="43"/>
        <v>#VALUE!</v>
      </c>
      <c r="AY53" s="326" t="e">
        <f t="shared" ref="AY53:AZ53" si="311">AN53+AR53+AV53</f>
        <v>#VALUE!</v>
      </c>
      <c r="AZ53" s="333" t="e">
        <f t="shared" si="311"/>
        <v>#VALUE!</v>
      </c>
      <c r="BA53" s="140" t="e">
        <f t="shared" ref="BA53:BB53" si="312">AX53+AG53</f>
        <v>#VALUE!</v>
      </c>
      <c r="BB53" s="326" t="e">
        <f t="shared" si="312"/>
        <v>#VALUE!</v>
      </c>
      <c r="BC53" s="435" t="e">
        <f t="shared" si="46"/>
        <v>#VALUE!</v>
      </c>
      <c r="BD53" s="434" t="str">
        <f t="shared" si="183"/>
        <v/>
      </c>
      <c r="BE53" s="140" t="e">
        <f t="shared" si="48"/>
        <v>#VALUE!</v>
      </c>
      <c r="BF53" s="123" t="str">
        <f t="shared" si="227"/>
        <v/>
      </c>
      <c r="BG53" s="148" t="str">
        <f t="shared" si="228"/>
        <v/>
      </c>
      <c r="BH53" s="125" t="str">
        <f t="shared" si="298"/>
        <v/>
      </c>
      <c r="BI53" s="140" t="e">
        <f t="shared" si="52"/>
        <v>#VALUE!</v>
      </c>
      <c r="BJ53" s="123" t="str">
        <f t="shared" si="229"/>
        <v/>
      </c>
      <c r="BK53" s="125" t="str">
        <f t="shared" si="230"/>
        <v/>
      </c>
      <c r="BL53" s="436" t="str">
        <f t="shared" si="299"/>
        <v/>
      </c>
      <c r="BM53" s="140" t="e">
        <f t="shared" si="56"/>
        <v>#VALUE!</v>
      </c>
      <c r="BN53" s="326" t="str">
        <f t="shared" si="231"/>
        <v/>
      </c>
      <c r="BO53" s="333" t="str">
        <f t="shared" si="232"/>
        <v/>
      </c>
      <c r="BP53" s="140" t="e">
        <f t="shared" ref="BP53:BR53" si="313">SUM(BE53,BI53,BM53)</f>
        <v>#VALUE!</v>
      </c>
      <c r="BQ53" s="141">
        <f t="shared" si="313"/>
        <v>0</v>
      </c>
      <c r="BR53" s="437">
        <f t="shared" si="313"/>
        <v>0</v>
      </c>
      <c r="BS53" s="422" t="str">
        <f t="shared" si="301"/>
        <v/>
      </c>
      <c r="BT53" s="140" t="e">
        <f t="shared" si="61"/>
        <v>#VALUE!</v>
      </c>
      <c r="BU53" s="123" t="str">
        <f t="shared" si="234"/>
        <v/>
      </c>
      <c r="BV53" s="148" t="str">
        <f t="shared" si="235"/>
        <v/>
      </c>
      <c r="BW53" s="423" t="str">
        <f t="shared" si="302"/>
        <v/>
      </c>
      <c r="BX53" s="424" t="str">
        <f t="shared" si="303"/>
        <v/>
      </c>
    </row>
    <row r="54" spans="1:77" ht="13">
      <c r="A54" s="92">
        <f t="shared" si="208"/>
        <v>112014393</v>
      </c>
      <c r="B54" s="93">
        <f t="shared" si="209"/>
        <v>1</v>
      </c>
      <c r="C54" s="137" t="str">
        <f t="shared" si="278"/>
        <v>Lista</v>
      </c>
      <c r="D54" s="137">
        <f t="shared" si="279"/>
        <v>0.09</v>
      </c>
      <c r="E54" s="98">
        <f t="shared" si="280"/>
        <v>0</v>
      </c>
      <c r="F54" s="414">
        <f t="shared" si="210"/>
        <v>71</v>
      </c>
      <c r="G54" s="94" t="str">
        <f t="shared" si="211"/>
        <v>Lista</v>
      </c>
      <c r="H54" s="415">
        <f t="shared" si="212"/>
        <v>0.05</v>
      </c>
      <c r="I54" s="462" t="s">
        <v>308</v>
      </c>
      <c r="J54" s="125">
        <f t="shared" si="293"/>
        <v>0</v>
      </c>
      <c r="K54" s="248">
        <v>1500000</v>
      </c>
      <c r="L54" s="113" t="e">
        <f t="shared" si="9"/>
        <v>#VALUE!</v>
      </c>
      <c r="M54" s="116" t="str">
        <f t="shared" si="213"/>
        <v/>
      </c>
      <c r="N54" s="117">
        <f t="shared" si="214"/>
        <v>884850.8</v>
      </c>
      <c r="O54" s="114">
        <f t="shared" si="101"/>
        <v>-615149.19999999995</v>
      </c>
      <c r="P54" s="413">
        <f t="shared" si="295"/>
        <v>0.58990053333333337</v>
      </c>
      <c r="Q54" s="125">
        <f t="shared" si="248"/>
        <v>0</v>
      </c>
      <c r="R54" s="247">
        <v>1500000</v>
      </c>
      <c r="S54" s="116" t="e">
        <f t="shared" si="14"/>
        <v>#VALUE!</v>
      </c>
      <c r="T54" s="116" t="str">
        <f t="shared" si="215"/>
        <v/>
      </c>
      <c r="U54" s="116">
        <f t="shared" si="216"/>
        <v>206487.21</v>
      </c>
      <c r="V54" s="116">
        <f t="shared" si="17"/>
        <v>-1293512.79</v>
      </c>
      <c r="W54" s="413">
        <f t="shared" si="310"/>
        <v>0.13765813999999998</v>
      </c>
      <c r="X54" s="123">
        <f t="shared" si="249"/>
        <v>421917.23</v>
      </c>
      <c r="Y54" s="461">
        <v>1500000</v>
      </c>
      <c r="Z54" s="113" t="e">
        <f t="shared" si="19"/>
        <v>#VALUE!</v>
      </c>
      <c r="AA54" s="116" t="str">
        <f t="shared" si="218"/>
        <v/>
      </c>
      <c r="AB54" s="117">
        <f t="shared" si="219"/>
        <v>377205</v>
      </c>
      <c r="AC54" s="114">
        <f t="shared" si="22"/>
        <v>-1122795</v>
      </c>
      <c r="AD54" s="97">
        <f t="shared" ref="AD54:AD77" si="314">IFERROR(AB54/Y54,"")</f>
        <v>0.25147000000000003</v>
      </c>
      <c r="AE54" s="433">
        <f t="shared" si="24"/>
        <v>4500000</v>
      </c>
      <c r="AF54" s="118">
        <f t="shared" si="220"/>
        <v>840681.63</v>
      </c>
      <c r="AG54" s="116">
        <f t="shared" si="26"/>
        <v>1468543.01</v>
      </c>
      <c r="AH54" s="116">
        <f t="shared" si="27"/>
        <v>0</v>
      </c>
      <c r="AI54" s="116">
        <f t="shared" si="28"/>
        <v>1468543.01</v>
      </c>
      <c r="AJ54" s="116">
        <f t="shared" si="29"/>
        <v>627861.38</v>
      </c>
      <c r="AK54" s="418">
        <f t="shared" ref="AK54:AK99" si="315">IFERROR(AI54/AF54,"")</f>
        <v>1.7468479833441823</v>
      </c>
      <c r="AL54" s="434">
        <f t="shared" si="270"/>
        <v>458266.82</v>
      </c>
      <c r="AM54" s="140" t="e">
        <f t="shared" si="32"/>
        <v>#VALUE!</v>
      </c>
      <c r="AN54" s="326" t="str">
        <f t="shared" si="221"/>
        <v/>
      </c>
      <c r="AO54" s="333">
        <f t="shared" si="222"/>
        <v>0</v>
      </c>
      <c r="AP54" s="125">
        <f t="shared" si="176"/>
        <v>520713.7</v>
      </c>
      <c r="AQ54" s="140" t="e">
        <f t="shared" si="177"/>
        <v>#VALUE!</v>
      </c>
      <c r="AR54" s="326" t="str">
        <f t="shared" si="178"/>
        <v/>
      </c>
      <c r="AS54" s="333">
        <f t="shared" si="179"/>
        <v>0</v>
      </c>
      <c r="AT54" s="125">
        <f t="shared" si="180"/>
        <v>685582.88</v>
      </c>
      <c r="AU54" s="140" t="e">
        <f t="shared" si="40"/>
        <v>#VALUE!</v>
      </c>
      <c r="AV54" s="326" t="str">
        <f t="shared" si="223"/>
        <v/>
      </c>
      <c r="AW54" s="332">
        <f t="shared" si="224"/>
        <v>0</v>
      </c>
      <c r="AX54" s="122" t="e">
        <f t="shared" si="43"/>
        <v>#VALUE!</v>
      </c>
      <c r="AY54" s="326" t="e">
        <f t="shared" ref="AY54:AZ54" si="316">AN54+AR54+AV54</f>
        <v>#VALUE!</v>
      </c>
      <c r="AZ54" s="333">
        <f t="shared" si="316"/>
        <v>0</v>
      </c>
      <c r="BA54" s="140" t="e">
        <f t="shared" ref="BA54:BB54" si="317">AX54+AG54</f>
        <v>#VALUE!</v>
      </c>
      <c r="BB54" s="326" t="e">
        <f t="shared" si="317"/>
        <v>#VALUE!</v>
      </c>
      <c r="BC54" s="435">
        <f t="shared" si="46"/>
        <v>1468543.01</v>
      </c>
      <c r="BD54" s="434">
        <f t="shared" si="183"/>
        <v>653005.41</v>
      </c>
      <c r="BE54" s="140" t="e">
        <f t="shared" si="48"/>
        <v>#VALUE!</v>
      </c>
      <c r="BF54" s="123" t="str">
        <f t="shared" si="227"/>
        <v/>
      </c>
      <c r="BG54" s="148">
        <f t="shared" si="228"/>
        <v>0</v>
      </c>
      <c r="BH54" s="125">
        <f t="shared" si="298"/>
        <v>40526.6</v>
      </c>
      <c r="BI54" s="140" t="e">
        <f t="shared" si="52"/>
        <v>#VALUE!</v>
      </c>
      <c r="BJ54" s="123" t="str">
        <f t="shared" si="229"/>
        <v/>
      </c>
      <c r="BK54" s="125">
        <f t="shared" si="230"/>
        <v>310757.42</v>
      </c>
      <c r="BL54" s="436">
        <f t="shared" si="299"/>
        <v>597118.94999999995</v>
      </c>
      <c r="BM54" s="140" t="e">
        <f t="shared" si="56"/>
        <v>#VALUE!</v>
      </c>
      <c r="BN54" s="326" t="str">
        <f t="shared" si="231"/>
        <v/>
      </c>
      <c r="BO54" s="333">
        <f t="shared" si="232"/>
        <v>0</v>
      </c>
      <c r="BP54" s="140" t="e">
        <f t="shared" ref="BP54:BR54" si="318">SUM(BE54,BI54,BM54)</f>
        <v>#VALUE!</v>
      </c>
      <c r="BQ54" s="141">
        <f t="shared" si="318"/>
        <v>0</v>
      </c>
      <c r="BR54" s="437">
        <f t="shared" si="318"/>
        <v>310757.42</v>
      </c>
      <c r="BS54" s="422">
        <f t="shared" si="301"/>
        <v>311138.19</v>
      </c>
      <c r="BT54" s="140" t="e">
        <f t="shared" si="61"/>
        <v>#VALUE!</v>
      </c>
      <c r="BU54" s="123" t="str">
        <f t="shared" si="234"/>
        <v/>
      </c>
      <c r="BV54" s="148">
        <f t="shared" si="235"/>
        <v>356646.8</v>
      </c>
      <c r="BW54" s="423">
        <f t="shared" si="302"/>
        <v>305010.53999999998</v>
      </c>
      <c r="BX54" s="424">
        <f t="shared" si="303"/>
        <v>224532.9</v>
      </c>
    </row>
    <row r="55" spans="1:77" ht="13">
      <c r="A55" s="92">
        <f t="shared" si="208"/>
        <v>112014435</v>
      </c>
      <c r="B55" s="93">
        <f t="shared" si="209"/>
        <v>1</v>
      </c>
      <c r="C55" s="137" t="str">
        <f t="shared" si="278"/>
        <v>Lista</v>
      </c>
      <c r="D55" s="137">
        <f t="shared" si="279"/>
        <v>0.09</v>
      </c>
      <c r="E55" s="98">
        <f t="shared" si="280"/>
        <v>0</v>
      </c>
      <c r="F55" s="414">
        <f t="shared" si="210"/>
        <v>71</v>
      </c>
      <c r="G55" s="94" t="str">
        <f t="shared" si="211"/>
        <v>Lista</v>
      </c>
      <c r="H55" s="415">
        <f t="shared" si="212"/>
        <v>0.05</v>
      </c>
      <c r="I55" s="139" t="s">
        <v>309</v>
      </c>
      <c r="J55" s="125">
        <f t="shared" si="293"/>
        <v>0</v>
      </c>
      <c r="K55" s="248">
        <v>1500000</v>
      </c>
      <c r="L55" s="113" t="e">
        <f t="shared" si="9"/>
        <v>#VALUE!</v>
      </c>
      <c r="M55" s="116" t="str">
        <f t="shared" si="213"/>
        <v/>
      </c>
      <c r="N55" s="117" t="str">
        <f t="shared" si="214"/>
        <v/>
      </c>
      <c r="O55" s="114" t="e">
        <f t="shared" si="101"/>
        <v>#VALUE!</v>
      </c>
      <c r="P55" s="413" t="e">
        <f t="shared" si="295"/>
        <v>#VALUE!</v>
      </c>
      <c r="Q55" s="125">
        <f t="shared" si="248"/>
        <v>0</v>
      </c>
      <c r="R55" s="247">
        <v>1500000</v>
      </c>
      <c r="S55" s="116" t="e">
        <f t="shared" si="14"/>
        <v>#VALUE!</v>
      </c>
      <c r="T55" s="116" t="str">
        <f t="shared" si="215"/>
        <v/>
      </c>
      <c r="U55" s="116" t="str">
        <f t="shared" si="216"/>
        <v/>
      </c>
      <c r="V55" s="116" t="e">
        <f t="shared" si="17"/>
        <v>#VALUE!</v>
      </c>
      <c r="W55" s="413" t="e">
        <f t="shared" si="310"/>
        <v>#VALUE!</v>
      </c>
      <c r="X55" s="123">
        <f t="shared" si="249"/>
        <v>0</v>
      </c>
      <c r="Y55" s="461">
        <v>1500000</v>
      </c>
      <c r="Z55" s="113" t="e">
        <f t="shared" si="19"/>
        <v>#VALUE!</v>
      </c>
      <c r="AA55" s="116" t="str">
        <f t="shared" si="218"/>
        <v/>
      </c>
      <c r="AB55" s="117" t="str">
        <f t="shared" si="219"/>
        <v/>
      </c>
      <c r="AC55" s="114" t="e">
        <f t="shared" si="22"/>
        <v>#VALUE!</v>
      </c>
      <c r="AD55" s="97" t="str">
        <f t="shared" si="314"/>
        <v/>
      </c>
      <c r="AE55" s="433">
        <f t="shared" si="24"/>
        <v>4500000</v>
      </c>
      <c r="AF55" s="118" t="str">
        <f t="shared" si="220"/>
        <v>0</v>
      </c>
      <c r="AG55" s="116">
        <f t="shared" si="26"/>
        <v>0</v>
      </c>
      <c r="AH55" s="116">
        <f t="shared" si="27"/>
        <v>0</v>
      </c>
      <c r="AI55" s="116">
        <f t="shared" si="28"/>
        <v>0</v>
      </c>
      <c r="AJ55" s="116">
        <f t="shared" si="29"/>
        <v>0</v>
      </c>
      <c r="AK55" s="418" t="str">
        <f t="shared" si="315"/>
        <v/>
      </c>
      <c r="AL55" s="434">
        <f t="shared" si="270"/>
        <v>0</v>
      </c>
      <c r="AM55" s="140" t="e">
        <f t="shared" si="32"/>
        <v>#VALUE!</v>
      </c>
      <c r="AN55" s="326" t="str">
        <f t="shared" si="221"/>
        <v/>
      </c>
      <c r="AO55" s="333" t="str">
        <f t="shared" si="222"/>
        <v/>
      </c>
      <c r="AP55" s="125">
        <f t="shared" si="176"/>
        <v>0</v>
      </c>
      <c r="AQ55" s="140" t="e">
        <f t="shared" si="177"/>
        <v>#VALUE!</v>
      </c>
      <c r="AR55" s="326" t="str">
        <f t="shared" si="178"/>
        <v/>
      </c>
      <c r="AS55" s="333" t="str">
        <f t="shared" si="179"/>
        <v/>
      </c>
      <c r="AT55" s="125">
        <f t="shared" si="180"/>
        <v>0</v>
      </c>
      <c r="AU55" s="140" t="e">
        <f t="shared" si="40"/>
        <v>#VALUE!</v>
      </c>
      <c r="AV55" s="326" t="str">
        <f t="shared" si="223"/>
        <v/>
      </c>
      <c r="AW55" s="332" t="str">
        <f t="shared" si="224"/>
        <v/>
      </c>
      <c r="AX55" s="122" t="e">
        <f t="shared" si="43"/>
        <v>#VALUE!</v>
      </c>
      <c r="AY55" s="326" t="e">
        <f t="shared" ref="AY55:AZ55" si="319">AN55+AR55+AV55</f>
        <v>#VALUE!</v>
      </c>
      <c r="AZ55" s="333" t="e">
        <f t="shared" si="319"/>
        <v>#VALUE!</v>
      </c>
      <c r="BA55" s="140" t="e">
        <f t="shared" ref="BA55:BB55" si="320">AX55+AG55</f>
        <v>#VALUE!</v>
      </c>
      <c r="BB55" s="326" t="e">
        <f t="shared" si="320"/>
        <v>#VALUE!</v>
      </c>
      <c r="BC55" s="435" t="e">
        <f t="shared" si="46"/>
        <v>#VALUE!</v>
      </c>
      <c r="BD55" s="434">
        <f t="shared" si="183"/>
        <v>0</v>
      </c>
      <c r="BE55" s="140" t="e">
        <f t="shared" si="48"/>
        <v>#VALUE!</v>
      </c>
      <c r="BF55" s="123" t="str">
        <f t="shared" si="227"/>
        <v/>
      </c>
      <c r="BG55" s="148" t="str">
        <f t="shared" si="228"/>
        <v/>
      </c>
      <c r="BH55" s="125">
        <f t="shared" si="298"/>
        <v>298240.8</v>
      </c>
      <c r="BI55" s="140" t="e">
        <f t="shared" si="52"/>
        <v>#VALUE!</v>
      </c>
      <c r="BJ55" s="123" t="str">
        <f t="shared" si="229"/>
        <v/>
      </c>
      <c r="BK55" s="125" t="str">
        <f t="shared" si="230"/>
        <v/>
      </c>
      <c r="BL55" s="436">
        <f t="shared" si="299"/>
        <v>124374.1</v>
      </c>
      <c r="BM55" s="140" t="e">
        <f t="shared" si="56"/>
        <v>#VALUE!</v>
      </c>
      <c r="BN55" s="326" t="str">
        <f t="shared" si="231"/>
        <v/>
      </c>
      <c r="BO55" s="333" t="str">
        <f t="shared" si="232"/>
        <v/>
      </c>
      <c r="BP55" s="140" t="e">
        <f t="shared" ref="BP55:BR55" si="321">SUM(BE55,BI55,BM55)</f>
        <v>#VALUE!</v>
      </c>
      <c r="BQ55" s="141">
        <f t="shared" si="321"/>
        <v>0</v>
      </c>
      <c r="BR55" s="437">
        <f t="shared" si="321"/>
        <v>0</v>
      </c>
      <c r="BS55" s="422">
        <f t="shared" si="301"/>
        <v>0</v>
      </c>
      <c r="BT55" s="140" t="e">
        <f t="shared" si="61"/>
        <v>#VALUE!</v>
      </c>
      <c r="BU55" s="123" t="str">
        <f t="shared" si="234"/>
        <v/>
      </c>
      <c r="BV55" s="148" t="str">
        <f t="shared" si="235"/>
        <v/>
      </c>
      <c r="BW55" s="423">
        <f t="shared" si="302"/>
        <v>0</v>
      </c>
      <c r="BX55" s="424">
        <f t="shared" si="303"/>
        <v>0</v>
      </c>
    </row>
    <row r="56" spans="1:77" ht="13">
      <c r="A56" s="92">
        <f t="shared" si="208"/>
        <v>112012734</v>
      </c>
      <c r="B56" s="93">
        <f t="shared" si="209"/>
        <v>1</v>
      </c>
      <c r="C56" s="137" t="str">
        <f t="shared" si="278"/>
        <v>Lista</v>
      </c>
      <c r="D56" s="137">
        <f t="shared" si="279"/>
        <v>0.09</v>
      </c>
      <c r="E56" s="98"/>
      <c r="F56" s="414">
        <f t="shared" si="210"/>
        <v>71</v>
      </c>
      <c r="G56" s="94" t="str">
        <f t="shared" si="211"/>
        <v>Lista</v>
      </c>
      <c r="H56" s="415">
        <f t="shared" si="212"/>
        <v>0.05</v>
      </c>
      <c r="I56" s="139" t="s">
        <v>310</v>
      </c>
      <c r="J56" s="125">
        <f t="shared" si="293"/>
        <v>81056.98</v>
      </c>
      <c r="K56" s="141">
        <f t="shared" ref="K56:K77" si="322">(J56*1.601)*1.05</f>
        <v>136260.83622899998</v>
      </c>
      <c r="L56" s="113" t="e">
        <f t="shared" si="9"/>
        <v>#VALUE!</v>
      </c>
      <c r="M56" s="116" t="str">
        <f t="shared" si="213"/>
        <v/>
      </c>
      <c r="N56" s="117">
        <f t="shared" si="214"/>
        <v>160229.68</v>
      </c>
      <c r="O56" s="114">
        <f t="shared" si="101"/>
        <v>23968.843771000014</v>
      </c>
      <c r="P56" s="413">
        <f t="shared" si="295"/>
        <v>1.1759041294207089</v>
      </c>
      <c r="Q56" s="125">
        <f t="shared" si="248"/>
        <v>155851.85</v>
      </c>
      <c r="R56" s="140">
        <f t="shared" ref="R56:R77" si="323">(Q56*1.7245)*1.03</f>
        <v>276829.51078474999</v>
      </c>
      <c r="S56" s="116" t="e">
        <f t="shared" si="14"/>
        <v>#VALUE!</v>
      </c>
      <c r="T56" s="116" t="str">
        <f t="shared" si="215"/>
        <v/>
      </c>
      <c r="U56" s="116">
        <f t="shared" si="216"/>
        <v>118321.34</v>
      </c>
      <c r="V56" s="116">
        <f t="shared" si="17"/>
        <v>-158508.17078474999</v>
      </c>
      <c r="W56" s="413">
        <f t="shared" ref="W56:W77" si="324">IFERROR(U56/R56,"")</f>
        <v>0.42741591987279592</v>
      </c>
      <c r="X56" s="123">
        <f t="shared" si="249"/>
        <v>84243.97</v>
      </c>
      <c r="Y56" s="332">
        <f t="shared" ref="Y56:Y77" si="325">(X56*1.5955)*1.03</f>
        <v>138443.59175905</v>
      </c>
      <c r="Z56" s="113" t="e">
        <f t="shared" si="19"/>
        <v>#VALUE!</v>
      </c>
      <c r="AA56" s="116" t="str">
        <f t="shared" si="218"/>
        <v/>
      </c>
      <c r="AB56" s="117">
        <f t="shared" si="219"/>
        <v>56220.3</v>
      </c>
      <c r="AC56" s="114">
        <f t="shared" si="22"/>
        <v>-82223.29175905</v>
      </c>
      <c r="AD56" s="97">
        <f t="shared" si="314"/>
        <v>0.4060881351434954</v>
      </c>
      <c r="AE56" s="433">
        <f t="shared" si="24"/>
        <v>551533.93877280003</v>
      </c>
      <c r="AF56" s="118">
        <f t="shared" si="220"/>
        <v>135800.66</v>
      </c>
      <c r="AG56" s="116">
        <f t="shared" si="26"/>
        <v>334771.32</v>
      </c>
      <c r="AH56" s="116">
        <f t="shared" si="27"/>
        <v>0</v>
      </c>
      <c r="AI56" s="116">
        <f t="shared" si="28"/>
        <v>334771.32</v>
      </c>
      <c r="AJ56" s="116">
        <f t="shared" si="29"/>
        <v>198970.66</v>
      </c>
      <c r="AK56" s="418">
        <f t="shared" si="315"/>
        <v>2.4651671059625189</v>
      </c>
      <c r="AL56" s="434">
        <f t="shared" si="270"/>
        <v>109380.36</v>
      </c>
      <c r="AM56" s="140" t="e">
        <f t="shared" si="32"/>
        <v>#VALUE!</v>
      </c>
      <c r="AN56" s="326" t="str">
        <f t="shared" si="221"/>
        <v/>
      </c>
      <c r="AO56" s="333">
        <f t="shared" si="222"/>
        <v>58495.91</v>
      </c>
      <c r="AP56" s="125">
        <f t="shared" si="176"/>
        <v>68369.67</v>
      </c>
      <c r="AQ56" s="140" t="e">
        <f t="shared" si="177"/>
        <v>#VALUE!</v>
      </c>
      <c r="AR56" s="326" t="str">
        <f t="shared" si="178"/>
        <v/>
      </c>
      <c r="AS56" s="333">
        <f t="shared" si="179"/>
        <v>128610.43</v>
      </c>
      <c r="AT56" s="125">
        <f t="shared" si="180"/>
        <v>63480.37</v>
      </c>
      <c r="AU56" s="140" t="e">
        <f t="shared" si="40"/>
        <v>#VALUE!</v>
      </c>
      <c r="AV56" s="326" t="str">
        <f t="shared" si="223"/>
        <v/>
      </c>
      <c r="AW56" s="332">
        <f t="shared" si="224"/>
        <v>0</v>
      </c>
      <c r="AX56" s="122" t="e">
        <f t="shared" si="43"/>
        <v>#VALUE!</v>
      </c>
      <c r="AY56" s="326" t="e">
        <f t="shared" ref="AY56:AZ56" si="326">AN56+AR56+AV56</f>
        <v>#VALUE!</v>
      </c>
      <c r="AZ56" s="333">
        <f t="shared" si="326"/>
        <v>187106.34</v>
      </c>
      <c r="BA56" s="140" t="e">
        <f t="shared" ref="BA56:BB56" si="327">AX56+AG56</f>
        <v>#VALUE!</v>
      </c>
      <c r="BB56" s="326" t="e">
        <f t="shared" si="327"/>
        <v>#VALUE!</v>
      </c>
      <c r="BC56" s="435">
        <f t="shared" si="46"/>
        <v>521877.66000000003</v>
      </c>
      <c r="BD56" s="434">
        <f t="shared" si="183"/>
        <v>77263.83</v>
      </c>
      <c r="BE56" s="140" t="e">
        <f t="shared" si="48"/>
        <v>#VALUE!</v>
      </c>
      <c r="BF56" s="123" t="str">
        <f t="shared" si="227"/>
        <v/>
      </c>
      <c r="BG56" s="148">
        <f t="shared" si="228"/>
        <v>203219.29</v>
      </c>
      <c r="BH56" s="125">
        <f t="shared" si="298"/>
        <v>39339.949999999997</v>
      </c>
      <c r="BI56" s="140" t="e">
        <f t="shared" si="52"/>
        <v>#VALUE!</v>
      </c>
      <c r="BJ56" s="123" t="str">
        <f t="shared" si="229"/>
        <v/>
      </c>
      <c r="BK56" s="125">
        <f t="shared" si="230"/>
        <v>61589.97</v>
      </c>
      <c r="BL56" s="436">
        <f t="shared" si="299"/>
        <v>88126.53</v>
      </c>
      <c r="BM56" s="140" t="e">
        <f t="shared" si="56"/>
        <v>#VALUE!</v>
      </c>
      <c r="BN56" s="326" t="str">
        <f t="shared" si="231"/>
        <v/>
      </c>
      <c r="BO56" s="333">
        <f t="shared" si="232"/>
        <v>103921.1</v>
      </c>
      <c r="BP56" s="140" t="e">
        <f t="shared" ref="BP56:BR56" si="328">SUM(BE56,BI56,BM56)</f>
        <v>#VALUE!</v>
      </c>
      <c r="BQ56" s="141">
        <f t="shared" si="328"/>
        <v>0</v>
      </c>
      <c r="BR56" s="437">
        <f t="shared" si="328"/>
        <v>368730.36</v>
      </c>
      <c r="BS56" s="422">
        <f t="shared" si="301"/>
        <v>27675.65</v>
      </c>
      <c r="BT56" s="140" t="e">
        <f t="shared" si="61"/>
        <v>#VALUE!</v>
      </c>
      <c r="BU56" s="123" t="str">
        <f t="shared" si="234"/>
        <v/>
      </c>
      <c r="BV56" s="148">
        <f t="shared" si="235"/>
        <v>79254.210000000006</v>
      </c>
      <c r="BW56" s="423">
        <f t="shared" si="302"/>
        <v>101013.78</v>
      </c>
      <c r="BX56" s="424">
        <f t="shared" si="303"/>
        <v>7111.23</v>
      </c>
    </row>
    <row r="57" spans="1:77" ht="13">
      <c r="A57" s="92">
        <f t="shared" si="208"/>
        <v>112014391</v>
      </c>
      <c r="B57" s="93">
        <f t="shared" si="209"/>
        <v>1</v>
      </c>
      <c r="C57" s="137" t="str">
        <f t="shared" si="278"/>
        <v>Lista</v>
      </c>
      <c r="D57" s="137">
        <f t="shared" si="279"/>
        <v>0.09</v>
      </c>
      <c r="E57" s="98"/>
      <c r="F57" s="414">
        <f t="shared" si="210"/>
        <v>71</v>
      </c>
      <c r="G57" s="94" t="str">
        <f t="shared" si="211"/>
        <v>Lista</v>
      </c>
      <c r="H57" s="415">
        <f t="shared" si="212"/>
        <v>0.05</v>
      </c>
      <c r="I57" s="139" t="s">
        <v>311</v>
      </c>
      <c r="J57" s="125">
        <f t="shared" si="293"/>
        <v>0</v>
      </c>
      <c r="K57" s="141">
        <f t="shared" si="322"/>
        <v>0</v>
      </c>
      <c r="L57" s="113">
        <f t="shared" si="9"/>
        <v>0</v>
      </c>
      <c r="M57" s="116">
        <f t="shared" si="213"/>
        <v>0</v>
      </c>
      <c r="N57" s="117">
        <f t="shared" si="214"/>
        <v>0</v>
      </c>
      <c r="O57" s="114">
        <f t="shared" si="101"/>
        <v>0</v>
      </c>
      <c r="P57" s="413" t="str">
        <f t="shared" ref="P57:P77" si="329">IFERROR(N57/K57,"")</f>
        <v/>
      </c>
      <c r="Q57" s="125">
        <f t="shared" si="248"/>
        <v>0</v>
      </c>
      <c r="R57" s="140">
        <f t="shared" si="323"/>
        <v>0</v>
      </c>
      <c r="S57" s="116">
        <f t="shared" si="14"/>
        <v>263162.26</v>
      </c>
      <c r="T57" s="116">
        <f t="shared" si="215"/>
        <v>0</v>
      </c>
      <c r="U57" s="116">
        <f t="shared" si="216"/>
        <v>263162.26</v>
      </c>
      <c r="V57" s="116">
        <f t="shared" si="17"/>
        <v>263162.26</v>
      </c>
      <c r="W57" s="413" t="str">
        <f t="shared" si="324"/>
        <v/>
      </c>
      <c r="X57" s="123">
        <f t="shared" si="249"/>
        <v>203463.77</v>
      </c>
      <c r="Y57" s="332">
        <f t="shared" si="325"/>
        <v>334365.23838604998</v>
      </c>
      <c r="Z57" s="113">
        <f t="shared" si="19"/>
        <v>0</v>
      </c>
      <c r="AA57" s="116">
        <f t="shared" si="218"/>
        <v>0</v>
      </c>
      <c r="AB57" s="117">
        <f t="shared" si="219"/>
        <v>0</v>
      </c>
      <c r="AC57" s="114">
        <f t="shared" si="22"/>
        <v>-334365.23838604998</v>
      </c>
      <c r="AD57" s="97">
        <f t="shared" si="314"/>
        <v>0</v>
      </c>
      <c r="AE57" s="433">
        <f t="shared" si="24"/>
        <v>334365.23838604998</v>
      </c>
      <c r="AF57" s="118">
        <f t="shared" si="220"/>
        <v>217103.62</v>
      </c>
      <c r="AG57" s="116">
        <f t="shared" si="26"/>
        <v>263162.26</v>
      </c>
      <c r="AH57" s="116">
        <f t="shared" si="27"/>
        <v>0</v>
      </c>
      <c r="AI57" s="116">
        <f t="shared" si="28"/>
        <v>263162.26</v>
      </c>
      <c r="AJ57" s="116">
        <f t="shared" si="29"/>
        <v>46058.640000000014</v>
      </c>
      <c r="AK57" s="418">
        <f t="shared" si="315"/>
        <v>1.2121504929305187</v>
      </c>
      <c r="AL57" s="434">
        <f t="shared" si="270"/>
        <v>0</v>
      </c>
      <c r="AM57" s="140">
        <f t="shared" si="32"/>
        <v>229677.9</v>
      </c>
      <c r="AN57" s="326">
        <f t="shared" si="221"/>
        <v>0</v>
      </c>
      <c r="AO57" s="333">
        <f t="shared" si="222"/>
        <v>229677.9</v>
      </c>
      <c r="AP57" s="125">
        <f t="shared" si="176"/>
        <v>0</v>
      </c>
      <c r="AQ57" s="140">
        <f t="shared" si="177"/>
        <v>0</v>
      </c>
      <c r="AR57" s="326">
        <f t="shared" si="178"/>
        <v>321207.12</v>
      </c>
      <c r="AS57" s="333">
        <f t="shared" si="179"/>
        <v>321207.12</v>
      </c>
      <c r="AT57" s="125">
        <f t="shared" si="180"/>
        <v>0</v>
      </c>
      <c r="AU57" s="140">
        <f t="shared" si="40"/>
        <v>0</v>
      </c>
      <c r="AV57" s="326">
        <f t="shared" si="223"/>
        <v>0</v>
      </c>
      <c r="AW57" s="332">
        <f t="shared" si="224"/>
        <v>0</v>
      </c>
      <c r="AX57" s="122">
        <f t="shared" si="43"/>
        <v>229677.9</v>
      </c>
      <c r="AY57" s="326">
        <f t="shared" ref="AY57:AZ57" si="330">AN57+AR57+AV57</f>
        <v>321207.12</v>
      </c>
      <c r="AZ57" s="333">
        <f t="shared" si="330"/>
        <v>550885.02</v>
      </c>
      <c r="BA57" s="140">
        <f t="shared" ref="BA57:BB57" si="331">AX57+AG57</f>
        <v>492840.16000000003</v>
      </c>
      <c r="BB57" s="326">
        <f t="shared" si="331"/>
        <v>321207.12</v>
      </c>
      <c r="BC57" s="435">
        <f t="shared" si="46"/>
        <v>814047.28</v>
      </c>
      <c r="BD57" s="434">
        <f t="shared" si="183"/>
        <v>155337.76</v>
      </c>
      <c r="BE57" s="140">
        <f t="shared" si="48"/>
        <v>0</v>
      </c>
      <c r="BF57" s="123">
        <f t="shared" si="227"/>
        <v>0</v>
      </c>
      <c r="BG57" s="148">
        <f t="shared" si="228"/>
        <v>0</v>
      </c>
      <c r="BH57" s="125">
        <f t="shared" si="298"/>
        <v>0</v>
      </c>
      <c r="BI57" s="140">
        <f t="shared" si="52"/>
        <v>300442</v>
      </c>
      <c r="BJ57" s="123">
        <f t="shared" si="229"/>
        <v>0</v>
      </c>
      <c r="BK57" s="125">
        <f t="shared" si="230"/>
        <v>300442</v>
      </c>
      <c r="BL57" s="436">
        <f t="shared" si="299"/>
        <v>97547.48</v>
      </c>
      <c r="BM57" s="140">
        <f t="shared" si="56"/>
        <v>0</v>
      </c>
      <c r="BN57" s="326">
        <f t="shared" si="231"/>
        <v>0</v>
      </c>
      <c r="BO57" s="333">
        <f t="shared" si="232"/>
        <v>0</v>
      </c>
      <c r="BP57" s="140">
        <f t="shared" ref="BP57:BR57" si="332">SUM(BE57,BI57,BM57)</f>
        <v>300442</v>
      </c>
      <c r="BQ57" s="141">
        <f t="shared" si="332"/>
        <v>0</v>
      </c>
      <c r="BR57" s="437">
        <f t="shared" si="332"/>
        <v>300442</v>
      </c>
      <c r="BS57" s="422">
        <f t="shared" si="301"/>
        <v>144959.70000000001</v>
      </c>
      <c r="BT57" s="140">
        <f t="shared" si="61"/>
        <v>0</v>
      </c>
      <c r="BU57" s="123">
        <f t="shared" si="234"/>
        <v>0</v>
      </c>
      <c r="BV57" s="148">
        <f t="shared" si="235"/>
        <v>0</v>
      </c>
      <c r="BW57" s="423">
        <f t="shared" si="302"/>
        <v>72143.92</v>
      </c>
      <c r="BX57" s="424">
        <f t="shared" si="303"/>
        <v>0</v>
      </c>
    </row>
    <row r="58" spans="1:77" ht="13">
      <c r="A58" s="92">
        <f t="shared" si="208"/>
        <v>112012159</v>
      </c>
      <c r="B58" s="93">
        <f t="shared" si="209"/>
        <v>1</v>
      </c>
      <c r="C58" s="137" t="str">
        <f>VLOOKUP(B58,DES,2,FALSE)</f>
        <v>Lista</v>
      </c>
      <c r="D58" s="137">
        <f>VLOOKUP(B58,DES,3,FALSE)</f>
        <v>0.09</v>
      </c>
      <c r="E58" s="98">
        <f>VLOOKUP(B58,DES,4,FALSE)</f>
        <v>0</v>
      </c>
      <c r="F58" s="414">
        <f t="shared" si="210"/>
        <v>71</v>
      </c>
      <c r="G58" s="94" t="str">
        <f t="shared" si="211"/>
        <v>Lista</v>
      </c>
      <c r="H58" s="415">
        <f t="shared" si="212"/>
        <v>0.05</v>
      </c>
      <c r="I58" s="139" t="s">
        <v>312</v>
      </c>
      <c r="J58" s="125">
        <f t="shared" si="293"/>
        <v>412690.65</v>
      </c>
      <c r="K58" s="141">
        <f t="shared" si="322"/>
        <v>693753.61718250008</v>
      </c>
      <c r="L58" s="113">
        <f t="shared" si="9"/>
        <v>338818.70999999996</v>
      </c>
      <c r="M58" s="116">
        <f t="shared" si="213"/>
        <v>114682.4</v>
      </c>
      <c r="N58" s="117">
        <f t="shared" si="214"/>
        <v>453501.11</v>
      </c>
      <c r="O58" s="114">
        <f t="shared" si="101"/>
        <v>-240252.50718250009</v>
      </c>
      <c r="P58" s="413">
        <f t="shared" si="329"/>
        <v>0.65369188537247103</v>
      </c>
      <c r="Q58" s="125">
        <f t="shared" si="248"/>
        <v>132854.94</v>
      </c>
      <c r="R58" s="140">
        <f t="shared" si="323"/>
        <v>235981.59435090001</v>
      </c>
      <c r="S58" s="116">
        <f t="shared" si="14"/>
        <v>428157.37</v>
      </c>
      <c r="T58" s="116">
        <f t="shared" si="215"/>
        <v>76744.679999999993</v>
      </c>
      <c r="U58" s="116">
        <f t="shared" si="216"/>
        <v>504902.05</v>
      </c>
      <c r="V58" s="116">
        <f t="shared" si="17"/>
        <v>268920.45564910001</v>
      </c>
      <c r="W58" s="413">
        <f t="shared" si="324"/>
        <v>2.1395823322102849</v>
      </c>
      <c r="X58" s="123">
        <f t="shared" si="249"/>
        <v>153219.84</v>
      </c>
      <c r="Y58" s="332">
        <f t="shared" si="325"/>
        <v>251796.12236159996</v>
      </c>
      <c r="Z58" s="113">
        <f t="shared" si="19"/>
        <v>165915.35999999999</v>
      </c>
      <c r="AA58" s="116">
        <f t="shared" si="218"/>
        <v>81254.19</v>
      </c>
      <c r="AB58" s="117">
        <f t="shared" si="219"/>
        <v>247169.55</v>
      </c>
      <c r="AC58" s="114">
        <f t="shared" si="22"/>
        <v>-4626.5723615999741</v>
      </c>
      <c r="AD58" s="97">
        <f t="shared" si="314"/>
        <v>0.98162572037167506</v>
      </c>
      <c r="AE58" s="433">
        <f t="shared" si="24"/>
        <v>1181531.3338950002</v>
      </c>
      <c r="AF58" s="118">
        <f t="shared" si="220"/>
        <v>2161347.91</v>
      </c>
      <c r="AG58" s="116">
        <f t="shared" si="26"/>
        <v>856146.76</v>
      </c>
      <c r="AH58" s="116">
        <f t="shared" si="27"/>
        <v>349425.94999999995</v>
      </c>
      <c r="AI58" s="116">
        <f t="shared" si="28"/>
        <v>1205572.71</v>
      </c>
      <c r="AJ58" s="116">
        <f t="shared" si="29"/>
        <v>-955775.20000000019</v>
      </c>
      <c r="AK58" s="418">
        <f t="shared" si="315"/>
        <v>0.55778743645209805</v>
      </c>
      <c r="AL58" s="434">
        <f t="shared" si="270"/>
        <v>454788.47</v>
      </c>
      <c r="AM58" s="140">
        <f t="shared" si="32"/>
        <v>321190.42000000004</v>
      </c>
      <c r="AN58" s="326">
        <f t="shared" si="221"/>
        <v>101975.34</v>
      </c>
      <c r="AO58" s="333">
        <f t="shared" si="222"/>
        <v>423165.76</v>
      </c>
      <c r="AP58" s="125">
        <f t="shared" si="176"/>
        <v>360489.28</v>
      </c>
      <c r="AQ58" s="140">
        <f t="shared" si="177"/>
        <v>354352.36</v>
      </c>
      <c r="AR58" s="326">
        <f t="shared" si="178"/>
        <v>32168.14</v>
      </c>
      <c r="AS58" s="333">
        <f t="shared" si="179"/>
        <v>386520.5</v>
      </c>
      <c r="AT58" s="125">
        <f t="shared" si="180"/>
        <v>341335.05</v>
      </c>
      <c r="AU58" s="140">
        <f t="shared" si="40"/>
        <v>525566.44999999995</v>
      </c>
      <c r="AV58" s="326">
        <f t="shared" si="223"/>
        <v>0</v>
      </c>
      <c r="AW58" s="332">
        <f t="shared" si="224"/>
        <v>525566.44999999995</v>
      </c>
      <c r="AX58" s="122">
        <f t="shared" si="43"/>
        <v>1201109.23</v>
      </c>
      <c r="AY58" s="326">
        <f t="shared" ref="AY58:AZ58" si="333">AN58+AR58+AV58</f>
        <v>134143.47999999998</v>
      </c>
      <c r="AZ58" s="333">
        <f t="shared" si="333"/>
        <v>1335252.71</v>
      </c>
      <c r="BA58" s="140">
        <f t="shared" ref="BA58:BB58" si="334">AX58+AG58</f>
        <v>2057255.99</v>
      </c>
      <c r="BB58" s="326">
        <f t="shared" si="334"/>
        <v>483569.42999999993</v>
      </c>
      <c r="BC58" s="435">
        <f t="shared" si="46"/>
        <v>2540825.42</v>
      </c>
      <c r="BD58" s="434">
        <f t="shared" si="183"/>
        <v>364126.1</v>
      </c>
      <c r="BE58" s="140">
        <f t="shared" si="48"/>
        <v>417044.77</v>
      </c>
      <c r="BF58" s="123">
        <f t="shared" si="227"/>
        <v>109114.36</v>
      </c>
      <c r="BG58" s="148">
        <f t="shared" si="228"/>
        <v>526159.13</v>
      </c>
      <c r="BH58" s="125">
        <f t="shared" si="298"/>
        <v>630960.01</v>
      </c>
      <c r="BI58" s="140">
        <f t="shared" si="52"/>
        <v>628009.83000000007</v>
      </c>
      <c r="BJ58" s="123">
        <f t="shared" si="229"/>
        <v>105677.6</v>
      </c>
      <c r="BK58" s="125">
        <f t="shared" si="230"/>
        <v>733687.43</v>
      </c>
      <c r="BL58" s="436">
        <f t="shared" si="299"/>
        <v>822875.51</v>
      </c>
      <c r="BM58" s="140">
        <f t="shared" si="56"/>
        <v>675043.51</v>
      </c>
      <c r="BN58" s="326">
        <f t="shared" si="231"/>
        <v>30639.49</v>
      </c>
      <c r="BO58" s="333">
        <f t="shared" si="232"/>
        <v>705683</v>
      </c>
      <c r="BP58" s="140">
        <f t="shared" ref="BP58:BR58" si="335">SUM(BE58,BI58,BM58)</f>
        <v>1720098.11</v>
      </c>
      <c r="BQ58" s="141">
        <f t="shared" si="335"/>
        <v>245431.45</v>
      </c>
      <c r="BR58" s="437">
        <f t="shared" si="335"/>
        <v>1965529.56</v>
      </c>
      <c r="BS58" s="422">
        <f t="shared" si="301"/>
        <v>794738.37</v>
      </c>
      <c r="BT58" s="140">
        <f t="shared" si="61"/>
        <v>532746.07000000007</v>
      </c>
      <c r="BU58" s="123">
        <f t="shared" si="234"/>
        <v>54806.36</v>
      </c>
      <c r="BV58" s="148">
        <f t="shared" si="235"/>
        <v>587552.43000000005</v>
      </c>
      <c r="BW58" s="423">
        <f t="shared" si="302"/>
        <v>631762.31000000006</v>
      </c>
      <c r="BX58" s="424">
        <f t="shared" si="303"/>
        <v>734847.23</v>
      </c>
    </row>
    <row r="59" spans="1:77" ht="13">
      <c r="A59" s="92">
        <f t="shared" si="208"/>
        <v>112012865</v>
      </c>
      <c r="B59" s="93">
        <f t="shared" si="209"/>
        <v>1</v>
      </c>
      <c r="C59" s="137" t="str">
        <f>IFERROR(VLOOKUP(B59,DES,2,FALSE),"")</f>
        <v>Lista</v>
      </c>
      <c r="D59" s="137">
        <f>IFERROR(VLOOKUP(B59,DES,3,FALSE),"")</f>
        <v>0.09</v>
      </c>
      <c r="E59" s="98">
        <f>IFERROR(VLOOKUP(B59,DES,4,FALSE),"")</f>
        <v>0</v>
      </c>
      <c r="F59" s="414">
        <f t="shared" si="210"/>
        <v>71</v>
      </c>
      <c r="G59" s="94" t="str">
        <f t="shared" si="211"/>
        <v>Lista</v>
      </c>
      <c r="H59" s="415">
        <f t="shared" si="212"/>
        <v>0.05</v>
      </c>
      <c r="I59" s="139" t="s">
        <v>313</v>
      </c>
      <c r="J59" s="125">
        <f t="shared" si="293"/>
        <v>112104.34</v>
      </c>
      <c r="K59" s="141">
        <f t="shared" si="322"/>
        <v>188453.00075699997</v>
      </c>
      <c r="L59" s="113">
        <f t="shared" si="9"/>
        <v>787508.38</v>
      </c>
      <c r="M59" s="116">
        <f t="shared" si="213"/>
        <v>76661.039999999994</v>
      </c>
      <c r="N59" s="117">
        <f t="shared" si="214"/>
        <v>864169.42</v>
      </c>
      <c r="O59" s="114">
        <f t="shared" si="101"/>
        <v>675716.4192430001</v>
      </c>
      <c r="P59" s="413">
        <f t="shared" si="329"/>
        <v>4.5855964963609157</v>
      </c>
      <c r="Q59" s="125">
        <f t="shared" si="248"/>
        <v>394541</v>
      </c>
      <c r="R59" s="140">
        <f t="shared" si="323"/>
        <v>700797.53313500003</v>
      </c>
      <c r="S59" s="116">
        <f t="shared" si="14"/>
        <v>654371.19999999995</v>
      </c>
      <c r="T59" s="116">
        <f t="shared" si="215"/>
        <v>76661.039999999994</v>
      </c>
      <c r="U59" s="116">
        <f t="shared" si="216"/>
        <v>731032.24</v>
      </c>
      <c r="V59" s="116">
        <f t="shared" si="17"/>
        <v>30234.706864999956</v>
      </c>
      <c r="W59" s="413">
        <f t="shared" si="324"/>
        <v>1.0431432838094417</v>
      </c>
      <c r="X59" s="123">
        <f t="shared" si="249"/>
        <v>517409.77</v>
      </c>
      <c r="Y59" s="332">
        <f t="shared" si="325"/>
        <v>850293.10667605</v>
      </c>
      <c r="Z59" s="113">
        <f t="shared" si="19"/>
        <v>43853.26</v>
      </c>
      <c r="AA59" s="116">
        <f t="shared" si="218"/>
        <v>0</v>
      </c>
      <c r="AB59" s="117">
        <f t="shared" si="219"/>
        <v>43853.26</v>
      </c>
      <c r="AC59" s="114">
        <f t="shared" si="22"/>
        <v>-806439.84667604999</v>
      </c>
      <c r="AD59" s="97">
        <f t="shared" si="314"/>
        <v>5.157428615578262E-2</v>
      </c>
      <c r="AE59" s="433">
        <f t="shared" si="24"/>
        <v>1739543.6405680501</v>
      </c>
      <c r="AF59" s="118">
        <f t="shared" si="220"/>
        <v>2279626.39</v>
      </c>
      <c r="AG59" s="116">
        <f t="shared" si="26"/>
        <v>1409071.7999999998</v>
      </c>
      <c r="AH59" s="116">
        <f t="shared" si="27"/>
        <v>229983.12</v>
      </c>
      <c r="AI59" s="116">
        <f t="shared" si="28"/>
        <v>1639054.92</v>
      </c>
      <c r="AJ59" s="116">
        <f t="shared" si="29"/>
        <v>-640571.4700000002</v>
      </c>
      <c r="AK59" s="418">
        <f t="shared" si="315"/>
        <v>0.71900155533819721</v>
      </c>
      <c r="AL59" s="434">
        <f t="shared" si="270"/>
        <v>187319.72</v>
      </c>
      <c r="AM59" s="140">
        <f t="shared" si="32"/>
        <v>431375.08999999997</v>
      </c>
      <c r="AN59" s="326">
        <f t="shared" si="221"/>
        <v>38330.519999999997</v>
      </c>
      <c r="AO59" s="333">
        <f t="shared" si="222"/>
        <v>469705.61</v>
      </c>
      <c r="AP59" s="125">
        <f t="shared" si="176"/>
        <v>164784.71</v>
      </c>
      <c r="AQ59" s="140">
        <f t="shared" si="177"/>
        <v>193778.59</v>
      </c>
      <c r="AR59" s="326">
        <f t="shared" si="178"/>
        <v>38330.519999999997</v>
      </c>
      <c r="AS59" s="333">
        <f t="shared" si="179"/>
        <v>232109.11</v>
      </c>
      <c r="AT59" s="125">
        <f t="shared" si="180"/>
        <v>514248.05</v>
      </c>
      <c r="AU59" s="140">
        <f t="shared" si="40"/>
        <v>367588.13</v>
      </c>
      <c r="AV59" s="326">
        <f t="shared" si="223"/>
        <v>31057.599999999999</v>
      </c>
      <c r="AW59" s="332">
        <f t="shared" si="224"/>
        <v>398645.73</v>
      </c>
      <c r="AX59" s="122">
        <f t="shared" si="43"/>
        <v>992741.80999999994</v>
      </c>
      <c r="AY59" s="326">
        <f t="shared" ref="AY59:AZ59" si="336">AN59+AR59+AV59</f>
        <v>107718.63999999998</v>
      </c>
      <c r="AZ59" s="333">
        <f t="shared" si="336"/>
        <v>1100460.45</v>
      </c>
      <c r="BA59" s="140">
        <f t="shared" ref="BA59:BB59" si="337">AX59+AG59</f>
        <v>2401813.61</v>
      </c>
      <c r="BB59" s="326">
        <f t="shared" si="337"/>
        <v>337701.76</v>
      </c>
      <c r="BC59" s="435">
        <f t="shared" si="46"/>
        <v>2739515.37</v>
      </c>
      <c r="BD59" s="434">
        <f t="shared" si="183"/>
        <v>438096.73</v>
      </c>
      <c r="BE59" s="140">
        <f t="shared" si="48"/>
        <v>305802.51</v>
      </c>
      <c r="BF59" s="123">
        <f t="shared" si="227"/>
        <v>130802.3</v>
      </c>
      <c r="BG59" s="148">
        <f t="shared" si="228"/>
        <v>436604.81</v>
      </c>
      <c r="BH59" s="125">
        <f t="shared" si="298"/>
        <v>719283.74</v>
      </c>
      <c r="BI59" s="140">
        <f t="shared" si="52"/>
        <v>877851.81</v>
      </c>
      <c r="BJ59" s="123">
        <f t="shared" si="229"/>
        <v>68687.100000000006</v>
      </c>
      <c r="BK59" s="125">
        <f t="shared" si="230"/>
        <v>946538.91</v>
      </c>
      <c r="BL59" s="436">
        <f t="shared" si="299"/>
        <v>742872.7</v>
      </c>
      <c r="BM59" s="140">
        <f t="shared" si="56"/>
        <v>583331.05000000005</v>
      </c>
      <c r="BN59" s="326">
        <f t="shared" si="231"/>
        <v>0</v>
      </c>
      <c r="BO59" s="333">
        <f t="shared" si="232"/>
        <v>583331.05000000005</v>
      </c>
      <c r="BP59" s="140">
        <f t="shared" ref="BP59:BR59" si="338">SUM(BE59,BI59,BM59)</f>
        <v>1766985.37</v>
      </c>
      <c r="BQ59" s="141">
        <f t="shared" si="338"/>
        <v>199489.40000000002</v>
      </c>
      <c r="BR59" s="437">
        <f t="shared" si="338"/>
        <v>1966474.77</v>
      </c>
      <c r="BS59" s="422">
        <f t="shared" si="301"/>
        <v>957980.85</v>
      </c>
      <c r="BT59" s="140">
        <f t="shared" si="61"/>
        <v>798782.41</v>
      </c>
      <c r="BU59" s="123">
        <f t="shared" si="234"/>
        <v>71803</v>
      </c>
      <c r="BV59" s="148">
        <f t="shared" si="235"/>
        <v>870585.41</v>
      </c>
      <c r="BW59" s="423">
        <f t="shared" si="302"/>
        <v>775582.9</v>
      </c>
      <c r="BX59" s="424">
        <f t="shared" si="303"/>
        <v>546062.64</v>
      </c>
    </row>
    <row r="60" spans="1:77" ht="13">
      <c r="A60" s="92">
        <f t="shared" si="208"/>
        <v>112012285</v>
      </c>
      <c r="B60" s="93">
        <f t="shared" si="209"/>
        <v>1</v>
      </c>
      <c r="C60" s="137" t="str">
        <f>VLOOKUP(B60,DES,2,FALSE)</f>
        <v>Lista</v>
      </c>
      <c r="D60" s="137">
        <f>VLOOKUP(B60,DES,3,FALSE)</f>
        <v>0.09</v>
      </c>
      <c r="E60" s="98">
        <f>VLOOKUP(B60,DES,4,FALSE)</f>
        <v>0</v>
      </c>
      <c r="F60" s="414">
        <f t="shared" si="210"/>
        <v>71</v>
      </c>
      <c r="G60" s="94" t="str">
        <f t="shared" si="211"/>
        <v>Lista</v>
      </c>
      <c r="H60" s="415">
        <f t="shared" si="212"/>
        <v>0.05</v>
      </c>
      <c r="I60" s="139" t="s">
        <v>314</v>
      </c>
      <c r="J60" s="125">
        <f t="shared" si="293"/>
        <v>30672.78</v>
      </c>
      <c r="K60" s="141">
        <f t="shared" si="322"/>
        <v>51562.476818999996</v>
      </c>
      <c r="L60" s="113" t="e">
        <f t="shared" si="9"/>
        <v>#VALUE!</v>
      </c>
      <c r="M60" s="116" t="str">
        <f t="shared" si="213"/>
        <v/>
      </c>
      <c r="N60" s="117">
        <f t="shared" si="214"/>
        <v>0</v>
      </c>
      <c r="O60" s="114">
        <f t="shared" si="101"/>
        <v>-51562.476818999996</v>
      </c>
      <c r="P60" s="413">
        <f t="shared" si="329"/>
        <v>0</v>
      </c>
      <c r="Q60" s="125">
        <f t="shared" si="248"/>
        <v>0</v>
      </c>
      <c r="R60" s="140">
        <f t="shared" si="323"/>
        <v>0</v>
      </c>
      <c r="S60" s="116" t="e">
        <f t="shared" si="14"/>
        <v>#VALUE!</v>
      </c>
      <c r="T60" s="116" t="str">
        <f t="shared" si="215"/>
        <v/>
      </c>
      <c r="U60" s="116">
        <f t="shared" si="216"/>
        <v>163301.29999999999</v>
      </c>
      <c r="V60" s="116">
        <f t="shared" si="17"/>
        <v>163301.29999999999</v>
      </c>
      <c r="W60" s="413" t="str">
        <f t="shared" si="324"/>
        <v/>
      </c>
      <c r="X60" s="123">
        <f t="shared" si="249"/>
        <v>62940.55</v>
      </c>
      <c r="Y60" s="332">
        <f t="shared" si="325"/>
        <v>103434.29695074999</v>
      </c>
      <c r="Z60" s="113" t="e">
        <f t="shared" si="19"/>
        <v>#VALUE!</v>
      </c>
      <c r="AA60" s="116" t="str">
        <f t="shared" si="218"/>
        <v/>
      </c>
      <c r="AB60" s="117">
        <f t="shared" si="219"/>
        <v>172560.71</v>
      </c>
      <c r="AC60" s="114">
        <f t="shared" si="22"/>
        <v>69126.413049249997</v>
      </c>
      <c r="AD60" s="97">
        <f t="shared" si="314"/>
        <v>1.6683123015005785</v>
      </c>
      <c r="AE60" s="433">
        <f t="shared" si="24"/>
        <v>154996.77376975</v>
      </c>
      <c r="AF60" s="118">
        <f t="shared" si="220"/>
        <v>42764.35</v>
      </c>
      <c r="AG60" s="116">
        <f t="shared" si="26"/>
        <v>335862.01</v>
      </c>
      <c r="AH60" s="116">
        <f t="shared" si="27"/>
        <v>0</v>
      </c>
      <c r="AI60" s="116">
        <f t="shared" si="28"/>
        <v>335862.01</v>
      </c>
      <c r="AJ60" s="116">
        <f t="shared" si="29"/>
        <v>293097.66000000003</v>
      </c>
      <c r="AK60" s="418">
        <f t="shared" si="315"/>
        <v>7.8537849867939071</v>
      </c>
      <c r="AL60" s="434">
        <f t="shared" si="270"/>
        <v>0</v>
      </c>
      <c r="AM60" s="140" t="e">
        <f t="shared" si="32"/>
        <v>#VALUE!</v>
      </c>
      <c r="AN60" s="326" t="str">
        <f t="shared" si="221"/>
        <v/>
      </c>
      <c r="AO60" s="333">
        <f t="shared" si="222"/>
        <v>51123.5</v>
      </c>
      <c r="AP60" s="125">
        <f t="shared" ref="AP60:AP77" si="339">IFERROR(VLOOKUP(I60,CALO24,7,FALSE),"")</f>
        <v>0</v>
      </c>
      <c r="AQ60" s="140" t="e">
        <f t="shared" si="177"/>
        <v>#VALUE!</v>
      </c>
      <c r="AR60" s="326" t="str">
        <f t="shared" ref="AR60:AR91" si="340">IFERROR(VLOOKUP(I60,CALOALIM,7,FALSE),"")</f>
        <v/>
      </c>
      <c r="AS60" s="333">
        <f t="shared" ref="AS60:AS91" si="341">IFERROR(VLOOKUP(I60,CALOFC,7,FALSE),"")</f>
        <v>45924.14</v>
      </c>
      <c r="AT60" s="125">
        <f t="shared" ref="AT60:AT77" si="342">IFERROR(VLOOKUP(I60,CALO24,8,FALSE),"")</f>
        <v>0</v>
      </c>
      <c r="AU60" s="140" t="e">
        <f t="shared" si="40"/>
        <v>#VALUE!</v>
      </c>
      <c r="AV60" s="326" t="str">
        <f t="shared" si="223"/>
        <v/>
      </c>
      <c r="AW60" s="332">
        <f t="shared" si="224"/>
        <v>37333.81</v>
      </c>
      <c r="AX60" s="122" t="e">
        <f t="shared" si="43"/>
        <v>#VALUE!</v>
      </c>
      <c r="AY60" s="326" t="e">
        <f t="shared" ref="AY60:AZ60" si="343">AN60+AR60+AV60</f>
        <v>#VALUE!</v>
      </c>
      <c r="AZ60" s="333">
        <f t="shared" si="343"/>
        <v>134381.45000000001</v>
      </c>
      <c r="BA60" s="140" t="e">
        <f t="shared" ref="BA60:BB60" si="344">AX60+AG60</f>
        <v>#VALUE!</v>
      </c>
      <c r="BB60" s="326" t="e">
        <f t="shared" si="344"/>
        <v>#VALUE!</v>
      </c>
      <c r="BC60" s="435">
        <f t="shared" si="46"/>
        <v>470243.46</v>
      </c>
      <c r="BD60" s="434">
        <f t="shared" ref="BD60:BD77" si="345">IFERROR(VLOOKUP(I60,CALO24,9,FALSE),"")</f>
        <v>0</v>
      </c>
      <c r="BE60" s="140" t="e">
        <f t="shared" si="48"/>
        <v>#VALUE!</v>
      </c>
      <c r="BF60" s="123" t="str">
        <f t="shared" si="227"/>
        <v/>
      </c>
      <c r="BG60" s="148">
        <f t="shared" si="228"/>
        <v>0</v>
      </c>
      <c r="BH60" s="125">
        <f t="shared" si="298"/>
        <v>151248.09</v>
      </c>
      <c r="BI60" s="140" t="e">
        <f t="shared" si="52"/>
        <v>#VALUE!</v>
      </c>
      <c r="BJ60" s="123" t="str">
        <f t="shared" si="229"/>
        <v/>
      </c>
      <c r="BK60" s="125">
        <f t="shared" si="230"/>
        <v>0</v>
      </c>
      <c r="BL60" s="436">
        <f t="shared" si="299"/>
        <v>117940.33</v>
      </c>
      <c r="BM60" s="140" t="e">
        <f t="shared" si="56"/>
        <v>#VALUE!</v>
      </c>
      <c r="BN60" s="326" t="str">
        <f t="shared" si="231"/>
        <v/>
      </c>
      <c r="BO60" s="333">
        <f t="shared" si="232"/>
        <v>82496.3</v>
      </c>
      <c r="BP60" s="140" t="e">
        <f t="shared" ref="BP60:BR60" si="346">SUM(BE60,BI60,BM60)</f>
        <v>#VALUE!</v>
      </c>
      <c r="BQ60" s="141">
        <f t="shared" si="346"/>
        <v>0</v>
      </c>
      <c r="BR60" s="437">
        <f t="shared" si="346"/>
        <v>82496.3</v>
      </c>
      <c r="BS60" s="422">
        <f t="shared" si="301"/>
        <v>42764.35</v>
      </c>
      <c r="BT60" s="140" t="e">
        <f t="shared" si="61"/>
        <v>#VALUE!</v>
      </c>
      <c r="BU60" s="123" t="str">
        <f t="shared" si="234"/>
        <v/>
      </c>
      <c r="BV60" s="148">
        <f t="shared" si="235"/>
        <v>98365.92</v>
      </c>
      <c r="BW60" s="423">
        <f t="shared" si="302"/>
        <v>0</v>
      </c>
      <c r="BX60" s="424">
        <f t="shared" si="303"/>
        <v>0</v>
      </c>
    </row>
    <row r="61" spans="1:77" ht="13">
      <c r="A61" s="92">
        <f t="shared" si="208"/>
        <v>112011737</v>
      </c>
      <c r="B61" s="93">
        <f t="shared" si="209"/>
        <v>1</v>
      </c>
      <c r="C61" s="137" t="str">
        <f>VLOOKUP(B61,DES,2,FALSE)</f>
        <v>Lista</v>
      </c>
      <c r="D61" s="137">
        <f>VLOOKUP(B61,DES,3,FALSE)</f>
        <v>0.09</v>
      </c>
      <c r="E61" s="98">
        <f>VLOOKUP(B61,DES,4,FALSE)</f>
        <v>0</v>
      </c>
      <c r="F61" s="414">
        <f t="shared" si="210"/>
        <v>71</v>
      </c>
      <c r="G61" s="94" t="str">
        <f t="shared" si="211"/>
        <v>Lista</v>
      </c>
      <c r="H61" s="415">
        <f t="shared" si="212"/>
        <v>0.05</v>
      </c>
      <c r="I61" s="139" t="s">
        <v>315</v>
      </c>
      <c r="J61" s="125">
        <f t="shared" si="293"/>
        <v>0</v>
      </c>
      <c r="K61" s="141">
        <f t="shared" si="322"/>
        <v>0</v>
      </c>
      <c r="L61" s="113" t="e">
        <f t="shared" si="9"/>
        <v>#VALUE!</v>
      </c>
      <c r="M61" s="116" t="str">
        <f t="shared" si="213"/>
        <v/>
      </c>
      <c r="N61" s="117">
        <f t="shared" si="214"/>
        <v>230979.97</v>
      </c>
      <c r="O61" s="114">
        <f t="shared" si="101"/>
        <v>230979.97</v>
      </c>
      <c r="P61" s="413" t="str">
        <f t="shared" si="329"/>
        <v/>
      </c>
      <c r="Q61" s="125">
        <f t="shared" si="248"/>
        <v>112494.9</v>
      </c>
      <c r="R61" s="140">
        <f t="shared" si="323"/>
        <v>199817.37870149998</v>
      </c>
      <c r="S61" s="116" t="e">
        <f t="shared" si="14"/>
        <v>#VALUE!</v>
      </c>
      <c r="T61" s="116" t="str">
        <f t="shared" si="215"/>
        <v/>
      </c>
      <c r="U61" s="116">
        <f t="shared" si="216"/>
        <v>0</v>
      </c>
      <c r="V61" s="116">
        <f t="shared" si="17"/>
        <v>-199817.37870149998</v>
      </c>
      <c r="W61" s="413">
        <f t="shared" si="324"/>
        <v>0</v>
      </c>
      <c r="X61" s="123">
        <f t="shared" si="249"/>
        <v>0</v>
      </c>
      <c r="Y61" s="332">
        <f t="shared" si="325"/>
        <v>0</v>
      </c>
      <c r="Z61" s="113" t="e">
        <f t="shared" si="19"/>
        <v>#VALUE!</v>
      </c>
      <c r="AA61" s="116" t="str">
        <f t="shared" si="218"/>
        <v/>
      </c>
      <c r="AB61" s="117">
        <f t="shared" si="219"/>
        <v>53272.32</v>
      </c>
      <c r="AC61" s="114">
        <f t="shared" si="22"/>
        <v>53272.32</v>
      </c>
      <c r="AD61" s="97" t="str">
        <f t="shared" si="314"/>
        <v/>
      </c>
      <c r="AE61" s="433">
        <f t="shared" si="24"/>
        <v>199817.37870149998</v>
      </c>
      <c r="AF61" s="118">
        <f t="shared" si="220"/>
        <v>400460.37</v>
      </c>
      <c r="AG61" s="116">
        <f t="shared" si="26"/>
        <v>284252.28999999998</v>
      </c>
      <c r="AH61" s="116">
        <f t="shared" si="27"/>
        <v>0</v>
      </c>
      <c r="AI61" s="116">
        <f t="shared" si="28"/>
        <v>284252.28999999998</v>
      </c>
      <c r="AJ61" s="116">
        <f t="shared" si="29"/>
        <v>-116208.08000000002</v>
      </c>
      <c r="AK61" s="418">
        <f t="shared" si="315"/>
        <v>0.70981378257229299</v>
      </c>
      <c r="AL61" s="434">
        <f t="shared" si="270"/>
        <v>17040</v>
      </c>
      <c r="AM61" s="140" t="e">
        <f t="shared" si="32"/>
        <v>#VALUE!</v>
      </c>
      <c r="AN61" s="326" t="str">
        <f t="shared" si="221"/>
        <v/>
      </c>
      <c r="AO61" s="333">
        <f t="shared" si="222"/>
        <v>41295</v>
      </c>
      <c r="AP61" s="125">
        <f t="shared" si="339"/>
        <v>82278.42</v>
      </c>
      <c r="AQ61" s="140" t="e">
        <f t="shared" si="177"/>
        <v>#VALUE!</v>
      </c>
      <c r="AR61" s="326" t="str">
        <f t="shared" si="340"/>
        <v/>
      </c>
      <c r="AS61" s="333">
        <f t="shared" si="341"/>
        <v>89950</v>
      </c>
      <c r="AT61" s="125">
        <f t="shared" si="342"/>
        <v>28260</v>
      </c>
      <c r="AU61" s="140" t="e">
        <f t="shared" si="40"/>
        <v>#VALUE!</v>
      </c>
      <c r="AV61" s="326" t="str">
        <f t="shared" si="223"/>
        <v/>
      </c>
      <c r="AW61" s="332">
        <f t="shared" si="224"/>
        <v>43695</v>
      </c>
      <c r="AX61" s="122" t="e">
        <f t="shared" si="43"/>
        <v>#VALUE!</v>
      </c>
      <c r="AY61" s="326" t="e">
        <f t="shared" ref="AY61:AZ61" si="347">AN61+AR61+AV61</f>
        <v>#VALUE!</v>
      </c>
      <c r="AZ61" s="333">
        <f t="shared" si="347"/>
        <v>174940</v>
      </c>
      <c r="BA61" s="140" t="e">
        <f t="shared" ref="BA61:BB61" si="348">AX61+AG61</f>
        <v>#VALUE!</v>
      </c>
      <c r="BB61" s="326" t="e">
        <f t="shared" si="348"/>
        <v>#VALUE!</v>
      </c>
      <c r="BC61" s="435">
        <f t="shared" si="46"/>
        <v>459192.29</v>
      </c>
      <c r="BD61" s="434">
        <f t="shared" si="345"/>
        <v>0</v>
      </c>
      <c r="BE61" s="140" t="e">
        <f t="shared" si="48"/>
        <v>#VALUE!</v>
      </c>
      <c r="BF61" s="123" t="str">
        <f t="shared" si="227"/>
        <v/>
      </c>
      <c r="BG61" s="148">
        <f t="shared" si="228"/>
        <v>86229.1</v>
      </c>
      <c r="BH61" s="125">
        <f t="shared" si="298"/>
        <v>70297.39</v>
      </c>
      <c r="BI61" s="140" t="e">
        <f t="shared" si="52"/>
        <v>#VALUE!</v>
      </c>
      <c r="BJ61" s="123" t="str">
        <f t="shared" si="229"/>
        <v/>
      </c>
      <c r="BK61" s="125">
        <f t="shared" si="230"/>
        <v>126009.34</v>
      </c>
      <c r="BL61" s="436">
        <f t="shared" si="299"/>
        <v>0</v>
      </c>
      <c r="BM61" s="140" t="e">
        <f t="shared" si="56"/>
        <v>#VALUE!</v>
      </c>
      <c r="BN61" s="326" t="str">
        <f t="shared" si="231"/>
        <v/>
      </c>
      <c r="BO61" s="333">
        <f t="shared" si="232"/>
        <v>199628.91</v>
      </c>
      <c r="BP61" s="140" t="e">
        <f t="shared" ref="BP61:BR61" si="349">SUM(BE61,BI61,BM61)</f>
        <v>#VALUE!</v>
      </c>
      <c r="BQ61" s="141">
        <f t="shared" si="349"/>
        <v>0</v>
      </c>
      <c r="BR61" s="437">
        <f t="shared" si="349"/>
        <v>411867.35</v>
      </c>
      <c r="BS61" s="422">
        <f t="shared" si="301"/>
        <v>59600.42</v>
      </c>
      <c r="BT61" s="140" t="e">
        <f t="shared" si="61"/>
        <v>#VALUE!</v>
      </c>
      <c r="BU61" s="123" t="str">
        <f t="shared" si="234"/>
        <v/>
      </c>
      <c r="BV61" s="148">
        <f t="shared" si="235"/>
        <v>25874</v>
      </c>
      <c r="BW61" s="423">
        <f t="shared" si="302"/>
        <v>234381.32</v>
      </c>
      <c r="BX61" s="424">
        <f t="shared" si="303"/>
        <v>106478.64</v>
      </c>
    </row>
    <row r="62" spans="1:77" ht="13">
      <c r="A62" s="92">
        <f t="shared" si="208"/>
        <v>112013256</v>
      </c>
      <c r="B62" s="93">
        <f t="shared" si="209"/>
        <v>1</v>
      </c>
      <c r="C62" s="137" t="str">
        <f>IFERROR(VLOOKUP(B62,DES,2,FALSE),"")</f>
        <v>Lista</v>
      </c>
      <c r="D62" s="137">
        <f>IFERROR(VLOOKUP(B62,DES,3,FALSE),"")</f>
        <v>0.09</v>
      </c>
      <c r="E62" s="98">
        <f>IFERROR(VLOOKUP(B62,DES,4,FALSE),"")</f>
        <v>0</v>
      </c>
      <c r="F62" s="414">
        <f t="shared" si="210"/>
        <v>71</v>
      </c>
      <c r="G62" s="94" t="str">
        <f t="shared" si="211"/>
        <v>Lista</v>
      </c>
      <c r="H62" s="415">
        <f t="shared" si="212"/>
        <v>0.05</v>
      </c>
      <c r="I62" s="139" t="s">
        <v>316</v>
      </c>
      <c r="J62" s="125" t="str">
        <f t="shared" si="293"/>
        <v/>
      </c>
      <c r="K62" s="141" t="e">
        <f t="shared" si="322"/>
        <v>#VALUE!</v>
      </c>
      <c r="L62" s="113" t="e">
        <f t="shared" si="9"/>
        <v>#VALUE!</v>
      </c>
      <c r="M62" s="116" t="str">
        <f t="shared" si="213"/>
        <v/>
      </c>
      <c r="N62" s="117" t="str">
        <f t="shared" si="214"/>
        <v/>
      </c>
      <c r="O62" s="114" t="e">
        <f t="shared" si="101"/>
        <v>#VALUE!</v>
      </c>
      <c r="P62" s="413" t="str">
        <f t="shared" si="329"/>
        <v/>
      </c>
      <c r="Q62" s="125" t="str">
        <f t="shared" si="248"/>
        <v/>
      </c>
      <c r="R62" s="140" t="e">
        <f t="shared" si="323"/>
        <v>#VALUE!</v>
      </c>
      <c r="S62" s="116" t="e">
        <f t="shared" si="14"/>
        <v>#VALUE!</v>
      </c>
      <c r="T62" s="116" t="str">
        <f t="shared" si="215"/>
        <v/>
      </c>
      <c r="U62" s="116" t="str">
        <f t="shared" si="216"/>
        <v/>
      </c>
      <c r="V62" s="116" t="e">
        <f t="shared" si="17"/>
        <v>#VALUE!</v>
      </c>
      <c r="W62" s="413" t="str">
        <f t="shared" si="324"/>
        <v/>
      </c>
      <c r="X62" s="123" t="str">
        <f t="shared" si="249"/>
        <v/>
      </c>
      <c r="Y62" s="332" t="e">
        <f t="shared" si="325"/>
        <v>#VALUE!</v>
      </c>
      <c r="Z62" s="113" t="e">
        <f t="shared" si="19"/>
        <v>#VALUE!</v>
      </c>
      <c r="AA62" s="116" t="str">
        <f t="shared" si="218"/>
        <v/>
      </c>
      <c r="AB62" s="117" t="str">
        <f t="shared" si="219"/>
        <v/>
      </c>
      <c r="AC62" s="114" t="e">
        <f t="shared" si="22"/>
        <v>#VALUE!</v>
      </c>
      <c r="AD62" s="97" t="str">
        <f t="shared" si="314"/>
        <v/>
      </c>
      <c r="AE62" s="433" t="e">
        <f t="shared" si="24"/>
        <v>#VALUE!</v>
      </c>
      <c r="AF62" s="118" t="str">
        <f t="shared" si="220"/>
        <v>0</v>
      </c>
      <c r="AG62" s="116">
        <f t="shared" si="26"/>
        <v>0</v>
      </c>
      <c r="AH62" s="116">
        <f t="shared" si="27"/>
        <v>0</v>
      </c>
      <c r="AI62" s="116">
        <f t="shared" si="28"/>
        <v>0</v>
      </c>
      <c r="AJ62" s="116">
        <f t="shared" si="29"/>
        <v>0</v>
      </c>
      <c r="AK62" s="418" t="str">
        <f t="shared" si="315"/>
        <v/>
      </c>
      <c r="AL62" s="434" t="str">
        <f t="shared" si="270"/>
        <v/>
      </c>
      <c r="AM62" s="140" t="e">
        <f t="shared" si="32"/>
        <v>#VALUE!</v>
      </c>
      <c r="AN62" s="326" t="str">
        <f t="shared" si="221"/>
        <v/>
      </c>
      <c r="AO62" s="333" t="str">
        <f t="shared" si="222"/>
        <v/>
      </c>
      <c r="AP62" s="125" t="str">
        <f t="shared" si="339"/>
        <v/>
      </c>
      <c r="AQ62" s="140" t="e">
        <f t="shared" si="177"/>
        <v>#VALUE!</v>
      </c>
      <c r="AR62" s="326" t="str">
        <f t="shared" si="340"/>
        <v/>
      </c>
      <c r="AS62" s="333" t="str">
        <f t="shared" si="341"/>
        <v/>
      </c>
      <c r="AT62" s="125" t="str">
        <f t="shared" si="342"/>
        <v/>
      </c>
      <c r="AU62" s="140" t="e">
        <f t="shared" si="40"/>
        <v>#VALUE!</v>
      </c>
      <c r="AV62" s="326" t="str">
        <f t="shared" si="223"/>
        <v/>
      </c>
      <c r="AW62" s="332" t="str">
        <f t="shared" si="224"/>
        <v/>
      </c>
      <c r="AX62" s="122" t="e">
        <f t="shared" si="43"/>
        <v>#VALUE!</v>
      </c>
      <c r="AY62" s="326" t="e">
        <f t="shared" ref="AY62:AZ62" si="350">AN62+AR62+AV62</f>
        <v>#VALUE!</v>
      </c>
      <c r="AZ62" s="333" t="e">
        <f t="shared" si="350"/>
        <v>#VALUE!</v>
      </c>
      <c r="BA62" s="140" t="e">
        <f t="shared" ref="BA62:BB62" si="351">AX62+AG62</f>
        <v>#VALUE!</v>
      </c>
      <c r="BB62" s="326" t="e">
        <f t="shared" si="351"/>
        <v>#VALUE!</v>
      </c>
      <c r="BC62" s="435" t="e">
        <f t="shared" si="46"/>
        <v>#VALUE!</v>
      </c>
      <c r="BD62" s="434" t="str">
        <f t="shared" si="345"/>
        <v/>
      </c>
      <c r="BE62" s="140" t="e">
        <f t="shared" si="48"/>
        <v>#VALUE!</v>
      </c>
      <c r="BF62" s="123" t="str">
        <f t="shared" si="227"/>
        <v/>
      </c>
      <c r="BG62" s="148" t="str">
        <f t="shared" si="228"/>
        <v/>
      </c>
      <c r="BH62" s="125" t="str">
        <f t="shared" si="298"/>
        <v/>
      </c>
      <c r="BI62" s="140" t="e">
        <f t="shared" si="52"/>
        <v>#VALUE!</v>
      </c>
      <c r="BJ62" s="123" t="str">
        <f t="shared" si="229"/>
        <v/>
      </c>
      <c r="BK62" s="125" t="str">
        <f t="shared" si="230"/>
        <v/>
      </c>
      <c r="BL62" s="436" t="str">
        <f t="shared" si="299"/>
        <v/>
      </c>
      <c r="BM62" s="140" t="e">
        <f t="shared" si="56"/>
        <v>#VALUE!</v>
      </c>
      <c r="BN62" s="326" t="str">
        <f t="shared" si="231"/>
        <v/>
      </c>
      <c r="BO62" s="333" t="str">
        <f t="shared" si="232"/>
        <v/>
      </c>
      <c r="BP62" s="140" t="e">
        <f t="shared" ref="BP62:BR62" si="352">SUM(BE62,BI62,BM62)</f>
        <v>#VALUE!</v>
      </c>
      <c r="BQ62" s="141">
        <f t="shared" si="352"/>
        <v>0</v>
      </c>
      <c r="BR62" s="437">
        <f t="shared" si="352"/>
        <v>0</v>
      </c>
      <c r="BS62" s="422" t="str">
        <f t="shared" si="301"/>
        <v/>
      </c>
      <c r="BT62" s="140" t="e">
        <f t="shared" si="61"/>
        <v>#VALUE!</v>
      </c>
      <c r="BU62" s="123" t="str">
        <f t="shared" si="234"/>
        <v/>
      </c>
      <c r="BV62" s="148" t="str">
        <f t="shared" si="235"/>
        <v/>
      </c>
      <c r="BW62" s="423" t="str">
        <f t="shared" si="302"/>
        <v/>
      </c>
      <c r="BX62" s="424" t="str">
        <f t="shared" si="303"/>
        <v/>
      </c>
    </row>
    <row r="63" spans="1:77" ht="13">
      <c r="A63" s="92">
        <f t="shared" si="208"/>
        <v>112010937</v>
      </c>
      <c r="B63" s="93">
        <f t="shared" si="209"/>
        <v>1</v>
      </c>
      <c r="C63" s="137" t="str">
        <f>VLOOKUP(B63,DES,2,FALSE)</f>
        <v>Lista</v>
      </c>
      <c r="D63" s="137">
        <f>VLOOKUP(B63,DES,3,FALSE)</f>
        <v>0.09</v>
      </c>
      <c r="E63" s="98">
        <f>VLOOKUP(B63,DES,4,FALSE)</f>
        <v>0</v>
      </c>
      <c r="F63" s="414">
        <f t="shared" si="210"/>
        <v>71</v>
      </c>
      <c r="G63" s="94" t="str">
        <f t="shared" si="211"/>
        <v>Lista</v>
      </c>
      <c r="H63" s="415">
        <f t="shared" si="212"/>
        <v>0.05</v>
      </c>
      <c r="I63" s="139" t="s">
        <v>317</v>
      </c>
      <c r="J63" s="125">
        <f t="shared" si="293"/>
        <v>204602.27</v>
      </c>
      <c r="K63" s="141">
        <f t="shared" si="322"/>
        <v>343946.64598349994</v>
      </c>
      <c r="L63" s="113">
        <f t="shared" si="9"/>
        <v>309459.17</v>
      </c>
      <c r="M63" s="116">
        <f t="shared" si="213"/>
        <v>53431.9</v>
      </c>
      <c r="N63" s="117">
        <f t="shared" si="214"/>
        <v>362891.07</v>
      </c>
      <c r="O63" s="114">
        <f t="shared" si="101"/>
        <v>18944.424016500067</v>
      </c>
      <c r="P63" s="413">
        <f t="shared" si="329"/>
        <v>1.0550795428236532</v>
      </c>
      <c r="Q63" s="125">
        <f t="shared" si="248"/>
        <v>150687.85999999999</v>
      </c>
      <c r="R63" s="140">
        <f t="shared" si="323"/>
        <v>267657.05100709997</v>
      </c>
      <c r="S63" s="116">
        <f t="shared" si="14"/>
        <v>160715.94</v>
      </c>
      <c r="T63" s="116">
        <f t="shared" si="215"/>
        <v>0</v>
      </c>
      <c r="U63" s="116">
        <f t="shared" si="216"/>
        <v>160715.94</v>
      </c>
      <c r="V63" s="116">
        <f t="shared" si="17"/>
        <v>-106941.11100709997</v>
      </c>
      <c r="W63" s="413">
        <f t="shared" si="324"/>
        <v>0.60045472142535405</v>
      </c>
      <c r="X63" s="123">
        <f t="shared" si="249"/>
        <v>76694.52</v>
      </c>
      <c r="Y63" s="332">
        <f t="shared" si="325"/>
        <v>126037.08985980001</v>
      </c>
      <c r="Z63" s="113">
        <f t="shared" si="19"/>
        <v>244078.22</v>
      </c>
      <c r="AA63" s="116">
        <f t="shared" si="218"/>
        <v>84397.03</v>
      </c>
      <c r="AB63" s="117">
        <f t="shared" si="219"/>
        <v>328475.25</v>
      </c>
      <c r="AC63" s="114">
        <f t="shared" si="22"/>
        <v>202438.16014019999</v>
      </c>
      <c r="AD63" s="97">
        <f t="shared" si="314"/>
        <v>2.6061792633056373</v>
      </c>
      <c r="AE63" s="433">
        <f t="shared" si="24"/>
        <v>737640.7868503998</v>
      </c>
      <c r="AF63" s="118">
        <f t="shared" si="220"/>
        <v>978063.61</v>
      </c>
      <c r="AG63" s="116">
        <f t="shared" si="26"/>
        <v>714253.33000000007</v>
      </c>
      <c r="AH63" s="116">
        <f t="shared" si="27"/>
        <v>137828.93</v>
      </c>
      <c r="AI63" s="116">
        <f t="shared" si="28"/>
        <v>852082.26</v>
      </c>
      <c r="AJ63" s="116">
        <f t="shared" si="29"/>
        <v>-125981.34999999998</v>
      </c>
      <c r="AK63" s="418">
        <f t="shared" si="315"/>
        <v>0.87119309141866552</v>
      </c>
      <c r="AL63" s="434">
        <f t="shared" si="270"/>
        <v>205520.68</v>
      </c>
      <c r="AM63" s="140">
        <f t="shared" si="32"/>
        <v>235094.87</v>
      </c>
      <c r="AN63" s="326">
        <f t="shared" si="221"/>
        <v>63148.45</v>
      </c>
      <c r="AO63" s="333">
        <f t="shared" si="222"/>
        <v>298243.32</v>
      </c>
      <c r="AP63" s="125">
        <f t="shared" si="339"/>
        <v>232466.82</v>
      </c>
      <c r="AQ63" s="140">
        <f t="shared" si="177"/>
        <v>158954.68</v>
      </c>
      <c r="AR63" s="326">
        <f t="shared" si="340"/>
        <v>88616.8</v>
      </c>
      <c r="AS63" s="333">
        <f t="shared" si="341"/>
        <v>247571.48</v>
      </c>
      <c r="AT63" s="125">
        <f t="shared" si="342"/>
        <v>234827.12</v>
      </c>
      <c r="AU63" s="140">
        <f t="shared" si="40"/>
        <v>257138.30000000002</v>
      </c>
      <c r="AV63" s="326">
        <f t="shared" si="223"/>
        <v>78998.97</v>
      </c>
      <c r="AW63" s="332">
        <f t="shared" si="224"/>
        <v>336137.27</v>
      </c>
      <c r="AX63" s="122">
        <f t="shared" si="43"/>
        <v>651187.85</v>
      </c>
      <c r="AY63" s="326">
        <f t="shared" ref="AY63:AZ63" si="353">AN63+AR63+AV63</f>
        <v>230764.22</v>
      </c>
      <c r="AZ63" s="333">
        <f t="shared" si="353"/>
        <v>881952.07000000007</v>
      </c>
      <c r="BA63" s="140">
        <f t="shared" ref="BA63:BB63" si="354">AX63+AG63</f>
        <v>1365441.1800000002</v>
      </c>
      <c r="BB63" s="326">
        <f t="shared" si="354"/>
        <v>368593.15</v>
      </c>
      <c r="BC63" s="435">
        <f t="shared" si="46"/>
        <v>1734034.33</v>
      </c>
      <c r="BD63" s="434">
        <f t="shared" si="345"/>
        <v>304332.96000000002</v>
      </c>
      <c r="BE63" s="140">
        <f t="shared" si="48"/>
        <v>345442.61000000004</v>
      </c>
      <c r="BF63" s="123">
        <f t="shared" si="227"/>
        <v>80227.98</v>
      </c>
      <c r="BG63" s="148">
        <f t="shared" si="228"/>
        <v>425670.59</v>
      </c>
      <c r="BH63" s="125">
        <f t="shared" si="298"/>
        <v>472150.71</v>
      </c>
      <c r="BI63" s="140">
        <f t="shared" si="52"/>
        <v>96943.689999999988</v>
      </c>
      <c r="BJ63" s="123">
        <f t="shared" si="229"/>
        <v>88616.8</v>
      </c>
      <c r="BK63" s="125">
        <f t="shared" si="230"/>
        <v>185560.49</v>
      </c>
      <c r="BL63" s="436">
        <f t="shared" si="299"/>
        <v>40242.18</v>
      </c>
      <c r="BM63" s="140">
        <f t="shared" si="56"/>
        <v>40010.25</v>
      </c>
      <c r="BN63" s="326">
        <f t="shared" si="231"/>
        <v>81855.8</v>
      </c>
      <c r="BO63" s="333">
        <f t="shared" si="232"/>
        <v>121866.05</v>
      </c>
      <c r="BP63" s="140">
        <f t="shared" ref="BP63:BR63" si="355">SUM(BE63,BI63,BM63)</f>
        <v>482396.55000000005</v>
      </c>
      <c r="BQ63" s="141">
        <f t="shared" si="355"/>
        <v>250700.58000000002</v>
      </c>
      <c r="BR63" s="437">
        <f t="shared" si="355"/>
        <v>733097.13000000012</v>
      </c>
      <c r="BS63" s="422">
        <f t="shared" si="301"/>
        <v>392666.59</v>
      </c>
      <c r="BT63" s="140">
        <f t="shared" si="61"/>
        <v>330015.38</v>
      </c>
      <c r="BU63" s="123">
        <f t="shared" si="234"/>
        <v>0</v>
      </c>
      <c r="BV63" s="148">
        <f t="shared" si="235"/>
        <v>330015.38</v>
      </c>
      <c r="BW63" s="423">
        <f t="shared" si="302"/>
        <v>357981.75</v>
      </c>
      <c r="BX63" s="424">
        <f t="shared" si="303"/>
        <v>227415.28</v>
      </c>
    </row>
    <row r="64" spans="1:77" ht="13">
      <c r="A64" s="92">
        <f t="shared" si="208"/>
        <v>112012218</v>
      </c>
      <c r="B64" s="93">
        <f t="shared" si="209"/>
        <v>1</v>
      </c>
      <c r="C64" s="137" t="str">
        <f>VLOOKUP(B64,DES,2,FALSE)</f>
        <v>Lista</v>
      </c>
      <c r="D64" s="137">
        <f>VLOOKUP(B64,DES,3,FALSE)</f>
        <v>0.09</v>
      </c>
      <c r="E64" s="98">
        <f>VLOOKUP(B64,DES,4,FALSE)</f>
        <v>0</v>
      </c>
      <c r="F64" s="414">
        <f t="shared" si="210"/>
        <v>71</v>
      </c>
      <c r="G64" s="94" t="str">
        <f t="shared" si="211"/>
        <v>Lista</v>
      </c>
      <c r="H64" s="415">
        <f t="shared" si="212"/>
        <v>0.05</v>
      </c>
      <c r="I64" s="139" t="s">
        <v>318</v>
      </c>
      <c r="J64" s="125">
        <f t="shared" si="293"/>
        <v>1433584.6</v>
      </c>
      <c r="K64" s="141">
        <f t="shared" si="322"/>
        <v>2409927.3918300001</v>
      </c>
      <c r="L64" s="113">
        <f t="shared" si="9"/>
        <v>67240.3</v>
      </c>
      <c r="M64" s="116">
        <f t="shared" si="213"/>
        <v>0</v>
      </c>
      <c r="N64" s="117">
        <f t="shared" si="214"/>
        <v>67240.3</v>
      </c>
      <c r="O64" s="114">
        <f t="shared" si="101"/>
        <v>-2342687.0918300003</v>
      </c>
      <c r="P64" s="413">
        <f t="shared" si="329"/>
        <v>2.7901380028275656E-2</v>
      </c>
      <c r="Q64" s="125">
        <f t="shared" si="248"/>
        <v>483844.6</v>
      </c>
      <c r="R64" s="140">
        <f t="shared" si="323"/>
        <v>859421.71308100002</v>
      </c>
      <c r="S64" s="116">
        <f t="shared" si="14"/>
        <v>278152.98000000004</v>
      </c>
      <c r="T64" s="116">
        <f t="shared" si="215"/>
        <v>76661.039999999994</v>
      </c>
      <c r="U64" s="116">
        <f t="shared" si="216"/>
        <v>354814.02</v>
      </c>
      <c r="V64" s="116">
        <f t="shared" si="17"/>
        <v>-504607.693081</v>
      </c>
      <c r="W64" s="413">
        <f t="shared" si="324"/>
        <v>0.41285205458447499</v>
      </c>
      <c r="X64" s="123">
        <f t="shared" si="249"/>
        <v>533639.76</v>
      </c>
      <c r="Y64" s="332">
        <f t="shared" si="325"/>
        <v>876964.90419240005</v>
      </c>
      <c r="Z64" s="113">
        <f t="shared" si="19"/>
        <v>1828336.3</v>
      </c>
      <c r="AA64" s="116">
        <f t="shared" si="218"/>
        <v>0</v>
      </c>
      <c r="AB64" s="117">
        <f t="shared" si="219"/>
        <v>1828336.3</v>
      </c>
      <c r="AC64" s="114">
        <f t="shared" si="22"/>
        <v>951371.3958076</v>
      </c>
      <c r="AD64" s="97">
        <f t="shared" si="314"/>
        <v>2.0848454610435305</v>
      </c>
      <c r="AE64" s="433">
        <f t="shared" si="24"/>
        <v>4146314.0091034002</v>
      </c>
      <c r="AF64" s="118">
        <f t="shared" si="220"/>
        <v>4661955.97</v>
      </c>
      <c r="AG64" s="116">
        <f t="shared" si="26"/>
        <v>2097068.54</v>
      </c>
      <c r="AH64" s="116">
        <f t="shared" si="27"/>
        <v>153322.07999999999</v>
      </c>
      <c r="AI64" s="116">
        <f t="shared" si="28"/>
        <v>2250390.62</v>
      </c>
      <c r="AJ64" s="116">
        <f t="shared" si="29"/>
        <v>-2411565.3499999996</v>
      </c>
      <c r="AK64" s="418">
        <f t="shared" si="315"/>
        <v>0.48271382966321758</v>
      </c>
      <c r="AL64" s="434">
        <f t="shared" si="270"/>
        <v>1200935</v>
      </c>
      <c r="AM64" s="140">
        <f t="shared" si="32"/>
        <v>3108461.59</v>
      </c>
      <c r="AN64" s="326">
        <f t="shared" si="221"/>
        <v>105472.6</v>
      </c>
      <c r="AO64" s="333">
        <f t="shared" si="222"/>
        <v>3213934.19</v>
      </c>
      <c r="AP64" s="125">
        <f t="shared" si="339"/>
        <v>1523155.9</v>
      </c>
      <c r="AQ64" s="140">
        <f t="shared" si="177"/>
        <v>769067.45</v>
      </c>
      <c r="AR64" s="326">
        <f t="shared" si="340"/>
        <v>64145.16</v>
      </c>
      <c r="AS64" s="333">
        <f t="shared" si="341"/>
        <v>833212.61</v>
      </c>
      <c r="AT64" s="125">
        <f t="shared" si="342"/>
        <v>3972470.47</v>
      </c>
      <c r="AU64" s="140">
        <f t="shared" si="40"/>
        <v>1015261.12</v>
      </c>
      <c r="AV64" s="326">
        <f t="shared" si="223"/>
        <v>0</v>
      </c>
      <c r="AW64" s="332">
        <f t="shared" si="224"/>
        <v>1015261.12</v>
      </c>
      <c r="AX64" s="122">
        <f t="shared" si="43"/>
        <v>4892790.16</v>
      </c>
      <c r="AY64" s="326">
        <f t="shared" ref="AY64:AZ64" si="356">AN64+AR64+AV64</f>
        <v>169617.76</v>
      </c>
      <c r="AZ64" s="333">
        <f t="shared" si="356"/>
        <v>5062407.92</v>
      </c>
      <c r="BA64" s="140">
        <f t="shared" ref="BA64:BB64" si="357">AX64+AG64</f>
        <v>6989858.7000000002</v>
      </c>
      <c r="BB64" s="326">
        <f t="shared" si="357"/>
        <v>322939.83999999997</v>
      </c>
      <c r="BC64" s="435">
        <f t="shared" si="46"/>
        <v>7312798.54</v>
      </c>
      <c r="BD64" s="434">
        <f t="shared" si="345"/>
        <v>231073.74</v>
      </c>
      <c r="BE64" s="140">
        <f t="shared" si="48"/>
        <v>684879.55</v>
      </c>
      <c r="BF64" s="123">
        <f t="shared" si="227"/>
        <v>75259</v>
      </c>
      <c r="BG64" s="148">
        <f t="shared" si="228"/>
        <v>760138.55</v>
      </c>
      <c r="BH64" s="125">
        <f t="shared" si="298"/>
        <v>1063880.7</v>
      </c>
      <c r="BI64" s="140">
        <f t="shared" si="52"/>
        <v>3174592.71</v>
      </c>
      <c r="BJ64" s="123">
        <f t="shared" si="229"/>
        <v>0</v>
      </c>
      <c r="BK64" s="125">
        <f t="shared" si="230"/>
        <v>3174592.71</v>
      </c>
      <c r="BL64" s="436">
        <f t="shared" si="299"/>
        <v>937175.19</v>
      </c>
      <c r="BM64" s="140">
        <f t="shared" si="56"/>
        <v>3918353.11</v>
      </c>
      <c r="BN64" s="326">
        <f t="shared" si="231"/>
        <v>0</v>
      </c>
      <c r="BO64" s="333">
        <f t="shared" si="232"/>
        <v>3918353.11</v>
      </c>
      <c r="BP64" s="140">
        <f t="shared" ref="BP64:BR64" si="358">SUM(BE64,BI64,BM64)</f>
        <v>7777825.3699999992</v>
      </c>
      <c r="BQ64" s="141">
        <f t="shared" si="358"/>
        <v>75259</v>
      </c>
      <c r="BR64" s="437">
        <f t="shared" si="358"/>
        <v>7853084.3699999992</v>
      </c>
      <c r="BS64" s="422">
        <f t="shared" si="301"/>
        <v>580499.5</v>
      </c>
      <c r="BT64" s="140">
        <f t="shared" si="61"/>
        <v>3592247.87</v>
      </c>
      <c r="BU64" s="123">
        <f t="shared" si="234"/>
        <v>0</v>
      </c>
      <c r="BV64" s="148">
        <f t="shared" si="235"/>
        <v>3592247.87</v>
      </c>
      <c r="BW64" s="423">
        <f t="shared" si="302"/>
        <v>2605151.89</v>
      </c>
      <c r="BX64" s="424">
        <f t="shared" si="303"/>
        <v>1476304.58</v>
      </c>
    </row>
    <row r="65" spans="1:76" ht="13">
      <c r="A65" s="92">
        <f t="shared" si="208"/>
        <v>112011931</v>
      </c>
      <c r="B65" s="93">
        <f t="shared" si="209"/>
        <v>1</v>
      </c>
      <c r="C65" s="137" t="str">
        <f>VLOOKUP(B65,DES,2,FALSE)</f>
        <v>Lista</v>
      </c>
      <c r="D65" s="137">
        <f>VLOOKUP(B65,DES,3,FALSE)</f>
        <v>0.09</v>
      </c>
      <c r="E65" s="98">
        <f>VLOOKUP(B65,DES,4,FALSE)</f>
        <v>0</v>
      </c>
      <c r="F65" s="414">
        <f t="shared" si="210"/>
        <v>71</v>
      </c>
      <c r="G65" s="94" t="str">
        <f t="shared" si="211"/>
        <v>Lista</v>
      </c>
      <c r="H65" s="415">
        <f t="shared" si="212"/>
        <v>0.05</v>
      </c>
      <c r="I65" s="139" t="s">
        <v>319</v>
      </c>
      <c r="J65" s="125">
        <f t="shared" si="293"/>
        <v>529881.59999999998</v>
      </c>
      <c r="K65" s="141">
        <f t="shared" si="322"/>
        <v>890757.46367999993</v>
      </c>
      <c r="L65" s="113">
        <f t="shared" si="9"/>
        <v>938604.4</v>
      </c>
      <c r="M65" s="116">
        <f t="shared" si="213"/>
        <v>0</v>
      </c>
      <c r="N65" s="117">
        <f t="shared" si="214"/>
        <v>938604.4</v>
      </c>
      <c r="O65" s="114">
        <f t="shared" si="101"/>
        <v>47846.936320000095</v>
      </c>
      <c r="P65" s="413">
        <f t="shared" si="329"/>
        <v>1.0537148867912141</v>
      </c>
      <c r="Q65" s="125">
        <f t="shared" si="248"/>
        <v>437301.1</v>
      </c>
      <c r="R65" s="140">
        <f t="shared" si="323"/>
        <v>776749.51935849991</v>
      </c>
      <c r="S65" s="116">
        <f t="shared" si="14"/>
        <v>1386338.82</v>
      </c>
      <c r="T65" s="116">
        <f t="shared" si="215"/>
        <v>0</v>
      </c>
      <c r="U65" s="116">
        <f t="shared" si="216"/>
        <v>1386338.82</v>
      </c>
      <c r="V65" s="116">
        <f t="shared" si="17"/>
        <v>609589.30064150016</v>
      </c>
      <c r="W65" s="413">
        <f t="shared" si="324"/>
        <v>1.7847952080420293</v>
      </c>
      <c r="X65" s="123">
        <f t="shared" si="249"/>
        <v>552274.91</v>
      </c>
      <c r="Y65" s="332">
        <f t="shared" si="325"/>
        <v>907589.25747215003</v>
      </c>
      <c r="Z65" s="113">
        <f t="shared" si="19"/>
        <v>727782.69</v>
      </c>
      <c r="AA65" s="116">
        <f t="shared" si="218"/>
        <v>0</v>
      </c>
      <c r="AB65" s="117">
        <f t="shared" si="219"/>
        <v>727782.69</v>
      </c>
      <c r="AC65" s="114">
        <f t="shared" si="22"/>
        <v>-179806.56747215008</v>
      </c>
      <c r="AD65" s="97">
        <f t="shared" si="314"/>
        <v>0.80188552696959658</v>
      </c>
      <c r="AE65" s="433">
        <f t="shared" si="24"/>
        <v>2575096.24051065</v>
      </c>
      <c r="AF65" s="118">
        <f t="shared" si="220"/>
        <v>2110930.84</v>
      </c>
      <c r="AG65" s="116">
        <f t="shared" si="26"/>
        <v>3052725.9099999997</v>
      </c>
      <c r="AH65" s="116">
        <f t="shared" si="27"/>
        <v>0</v>
      </c>
      <c r="AI65" s="116">
        <f t="shared" si="28"/>
        <v>3052725.9099999997</v>
      </c>
      <c r="AJ65" s="116">
        <f t="shared" si="29"/>
        <v>941795.06999999983</v>
      </c>
      <c r="AK65" s="418">
        <f t="shared" si="315"/>
        <v>1.446151551795984</v>
      </c>
      <c r="AL65" s="434">
        <f t="shared" si="270"/>
        <v>-78794.95</v>
      </c>
      <c r="AM65" s="140">
        <f t="shared" si="32"/>
        <v>928224.26</v>
      </c>
      <c r="AN65" s="326">
        <f t="shared" si="221"/>
        <v>0</v>
      </c>
      <c r="AO65" s="333">
        <f t="shared" si="222"/>
        <v>928224.26</v>
      </c>
      <c r="AP65" s="125">
        <f t="shared" si="339"/>
        <v>464892.08</v>
      </c>
      <c r="AQ65" s="140">
        <f t="shared" si="177"/>
        <v>720132.18</v>
      </c>
      <c r="AR65" s="326">
        <f t="shared" si="340"/>
        <v>3563.62</v>
      </c>
      <c r="AS65" s="333">
        <f t="shared" si="341"/>
        <v>723695.8</v>
      </c>
      <c r="AT65" s="125">
        <f t="shared" si="342"/>
        <v>360322.13</v>
      </c>
      <c r="AU65" s="140">
        <f t="shared" si="40"/>
        <v>662911.88</v>
      </c>
      <c r="AV65" s="326">
        <f t="shared" si="223"/>
        <v>0</v>
      </c>
      <c r="AW65" s="332">
        <f t="shared" si="224"/>
        <v>662911.88</v>
      </c>
      <c r="AX65" s="122">
        <f t="shared" si="43"/>
        <v>2311268.3200000003</v>
      </c>
      <c r="AY65" s="326">
        <f t="shared" ref="AY65:AZ65" si="359">AN65+AR65+AV65</f>
        <v>3563.62</v>
      </c>
      <c r="AZ65" s="333">
        <f t="shared" si="359"/>
        <v>2314831.94</v>
      </c>
      <c r="BA65" s="140">
        <f t="shared" ref="BA65:BB65" si="360">AX65+AG65</f>
        <v>5363994.2300000004</v>
      </c>
      <c r="BB65" s="326">
        <f t="shared" si="360"/>
        <v>3563.62</v>
      </c>
      <c r="BC65" s="435">
        <f t="shared" si="46"/>
        <v>5367557.8499999996</v>
      </c>
      <c r="BD65" s="434">
        <f t="shared" si="345"/>
        <v>748502.91</v>
      </c>
      <c r="BE65" s="140">
        <f t="shared" si="48"/>
        <v>811637.55</v>
      </c>
      <c r="BF65" s="123">
        <f t="shared" si="227"/>
        <v>0</v>
      </c>
      <c r="BG65" s="148">
        <f t="shared" si="228"/>
        <v>811637.55</v>
      </c>
      <c r="BH65" s="125">
        <f t="shared" si="298"/>
        <v>290873.58</v>
      </c>
      <c r="BI65" s="140">
        <f t="shared" si="52"/>
        <v>859581.83</v>
      </c>
      <c r="BJ65" s="123">
        <f t="shared" si="229"/>
        <v>0</v>
      </c>
      <c r="BK65" s="125">
        <f t="shared" si="230"/>
        <v>859581.83</v>
      </c>
      <c r="BL65" s="436">
        <f t="shared" si="299"/>
        <v>373142.73</v>
      </c>
      <c r="BM65" s="140">
        <f t="shared" si="56"/>
        <v>1217938.53</v>
      </c>
      <c r="BN65" s="326">
        <f t="shared" si="231"/>
        <v>0</v>
      </c>
      <c r="BO65" s="333">
        <f t="shared" si="232"/>
        <v>1217938.53</v>
      </c>
      <c r="BP65" s="140">
        <f t="shared" ref="BP65:BR65" si="361">SUM(BE65,BI65,BM65)</f>
        <v>2889157.91</v>
      </c>
      <c r="BQ65" s="141">
        <f t="shared" si="361"/>
        <v>0</v>
      </c>
      <c r="BR65" s="437">
        <f t="shared" si="361"/>
        <v>2889157.91</v>
      </c>
      <c r="BS65" s="422">
        <f t="shared" si="301"/>
        <v>690245.01</v>
      </c>
      <c r="BT65" s="140">
        <f t="shared" si="61"/>
        <v>1737479.06</v>
      </c>
      <c r="BU65" s="123">
        <f t="shared" si="234"/>
        <v>0</v>
      </c>
      <c r="BV65" s="148">
        <f t="shared" si="235"/>
        <v>1737479.06</v>
      </c>
      <c r="BW65" s="423">
        <f t="shared" si="302"/>
        <v>761093.47</v>
      </c>
      <c r="BX65" s="424">
        <f t="shared" si="303"/>
        <v>659592.37</v>
      </c>
    </row>
    <row r="66" spans="1:76" ht="13">
      <c r="A66" s="92">
        <f t="shared" ref="A66:A99" si="362">VLOOKUP(I66,CALOCART4,3,FALSE)</f>
        <v>112012657</v>
      </c>
      <c r="B66" s="93">
        <f t="shared" ref="B66:B99" si="363">VLOOKUP(I66,CALOCARTERA,2,FALSE)</f>
        <v>1</v>
      </c>
      <c r="C66" s="137" t="str">
        <f>IFERROR(VLOOKUP(B66,DES,2,FALSE),"")</f>
        <v>Lista</v>
      </c>
      <c r="D66" s="137">
        <f>IFERROR(VLOOKUP(B66,DES,3,FALSE),"")</f>
        <v>0.09</v>
      </c>
      <c r="E66" s="98">
        <f>IFERROR(VLOOKUP(B66,DES,4,FALSE),"")</f>
        <v>0</v>
      </c>
      <c r="F66" s="414">
        <f t="shared" ref="F66:F99" si="364">VLOOKUP(I66,CALOCART4,2,FALSE)</f>
        <v>71</v>
      </c>
      <c r="G66" s="94" t="str">
        <f t="shared" ref="G66:G97" si="365">IFERROR(VLOOKUP(F66,A458DC1025,2,FALSE),"")</f>
        <v>Lista</v>
      </c>
      <c r="H66" s="415">
        <f t="shared" ref="H66:H99" si="366">IFERROR(VLOOKUP(F66,A458DC1025,3,FALSE),"")</f>
        <v>0.05</v>
      </c>
      <c r="I66" s="139" t="s">
        <v>320</v>
      </c>
      <c r="J66" s="125">
        <f t="shared" si="293"/>
        <v>398497.12</v>
      </c>
      <c r="K66" s="141">
        <f t="shared" si="322"/>
        <v>669893.58357599995</v>
      </c>
      <c r="L66" s="113" t="e">
        <f t="shared" si="9"/>
        <v>#VALUE!</v>
      </c>
      <c r="M66" s="116" t="str">
        <f t="shared" ref="M66:M99" si="367">IFERROR(VLOOKUP(I66,CALOALIM,3,FALSE),"")</f>
        <v/>
      </c>
      <c r="N66" s="117">
        <f t="shared" ref="N66:N99" si="368">IFERROR(VLOOKUP(I66,CALOFC,3,FALSE),"")</f>
        <v>560829.1</v>
      </c>
      <c r="O66" s="114">
        <f t="shared" si="101"/>
        <v>-109064.48357599997</v>
      </c>
      <c r="P66" s="413">
        <f t="shared" si="329"/>
        <v>0.83719132971270427</v>
      </c>
      <c r="Q66" s="125">
        <f t="shared" si="248"/>
        <v>154837.48000000001</v>
      </c>
      <c r="R66" s="140">
        <f t="shared" si="323"/>
        <v>275027.75128780003</v>
      </c>
      <c r="S66" s="116" t="e">
        <f t="shared" si="14"/>
        <v>#VALUE!</v>
      </c>
      <c r="T66" s="116" t="str">
        <f t="shared" ref="T66:T99" si="369">IFERROR(VLOOKUP(I66,CALOALIM,4,FALSE),"")</f>
        <v/>
      </c>
      <c r="U66" s="116">
        <f t="shared" ref="U66:U99" si="370">IFERROR(VLOOKUP(I66,CALOFC,4,FALSE),"")</f>
        <v>327378.8</v>
      </c>
      <c r="V66" s="116">
        <f t="shared" si="17"/>
        <v>52351.048712199961</v>
      </c>
      <c r="W66" s="413">
        <f t="shared" si="324"/>
        <v>1.1903482411031958</v>
      </c>
      <c r="X66" s="123">
        <f t="shared" si="249"/>
        <v>199653.86</v>
      </c>
      <c r="Y66" s="332">
        <f t="shared" si="325"/>
        <v>328104.16563889995</v>
      </c>
      <c r="Z66" s="113" t="e">
        <f t="shared" si="19"/>
        <v>#VALUE!</v>
      </c>
      <c r="AA66" s="116" t="str">
        <f t="shared" ref="AA66:AA99" si="371">IFERROR(VLOOKUP(I66,CALOALIM,5,FALSE),"")</f>
        <v/>
      </c>
      <c r="AB66" s="117">
        <f t="shared" ref="AB66:AB99" si="372">IFERROR(VLOOKUP(I66,CALOFC,5,FALSE),"")</f>
        <v>198144.8</v>
      </c>
      <c r="AC66" s="114">
        <f t="shared" si="22"/>
        <v>-129959.36563889997</v>
      </c>
      <c r="AD66" s="97">
        <f t="shared" si="314"/>
        <v>0.60390821193678856</v>
      </c>
      <c r="AE66" s="433">
        <f t="shared" si="24"/>
        <v>1273025.5005027</v>
      </c>
      <c r="AF66" s="118">
        <f t="shared" ref="AF66:AF99" si="373">IFERROR(VLOOKUP(I66,trim2024,2,FALSE),"0")</f>
        <v>1065332.6000000001</v>
      </c>
      <c r="AG66" s="116">
        <f t="shared" si="26"/>
        <v>1086352.7</v>
      </c>
      <c r="AH66" s="116">
        <f t="shared" si="27"/>
        <v>0</v>
      </c>
      <c r="AI66" s="116">
        <f t="shared" si="28"/>
        <v>1086352.7</v>
      </c>
      <c r="AJ66" s="116">
        <f t="shared" si="29"/>
        <v>21020.09999999986</v>
      </c>
      <c r="AK66" s="418">
        <f t="shared" si="315"/>
        <v>1.0197310210914412</v>
      </c>
      <c r="AL66" s="434">
        <f t="shared" si="270"/>
        <v>261735.2</v>
      </c>
      <c r="AM66" s="140" t="e">
        <f t="shared" si="32"/>
        <v>#VALUE!</v>
      </c>
      <c r="AN66" s="326" t="str">
        <f t="shared" ref="AN66:AN99" si="374">IFERROR(VLOOKUP(I66,CALOALIM,6,FALSE),"")</f>
        <v/>
      </c>
      <c r="AO66" s="333">
        <f t="shared" ref="AO66:AO99" si="375">IFERROR(VLOOKUP(I66,CALOFC,6,FALSE),"")</f>
        <v>309589.40999999997</v>
      </c>
      <c r="AP66" s="125">
        <f t="shared" si="339"/>
        <v>73207.41</v>
      </c>
      <c r="AQ66" s="140" t="e">
        <f t="shared" si="177"/>
        <v>#VALUE!</v>
      </c>
      <c r="AR66" s="326" t="str">
        <f t="shared" si="340"/>
        <v/>
      </c>
      <c r="AS66" s="333">
        <f t="shared" si="341"/>
        <v>211068.45</v>
      </c>
      <c r="AT66" s="125">
        <f t="shared" si="342"/>
        <v>235225.35</v>
      </c>
      <c r="AU66" s="140" t="e">
        <f t="shared" si="40"/>
        <v>#VALUE!</v>
      </c>
      <c r="AV66" s="326" t="str">
        <f t="shared" ref="AV66:AV99" si="376">IFERROR(VLOOKUP(I66,CALOALIM,8,FALSE),"")</f>
        <v/>
      </c>
      <c r="AW66" s="332">
        <f t="shared" ref="AW66:AW99" si="377">IFERROR(VLOOKUP(I66,CALOFC,8,FALSE),"")</f>
        <v>479142.32</v>
      </c>
      <c r="AX66" s="122" t="e">
        <f t="shared" si="43"/>
        <v>#VALUE!</v>
      </c>
      <c r="AY66" s="326" t="e">
        <f t="shared" ref="AY66:AZ66" si="378">AN66+AR66+AV66</f>
        <v>#VALUE!</v>
      </c>
      <c r="AZ66" s="333">
        <f t="shared" si="378"/>
        <v>999800.17999999993</v>
      </c>
      <c r="BA66" s="140" t="e">
        <f t="shared" ref="BA66:BB66" si="379">AX66+AG66</f>
        <v>#VALUE!</v>
      </c>
      <c r="BB66" s="326" t="e">
        <f t="shared" si="379"/>
        <v>#VALUE!</v>
      </c>
      <c r="BC66" s="435">
        <f t="shared" si="46"/>
        <v>2086152.88</v>
      </c>
      <c r="BD66" s="434">
        <f t="shared" si="345"/>
        <v>272882.93</v>
      </c>
      <c r="BE66" s="140" t="e">
        <f t="shared" si="48"/>
        <v>#VALUE!</v>
      </c>
      <c r="BF66" s="123" t="str">
        <f t="shared" ref="BF66:BF99" si="380">IFERROR(VLOOKUP(I66,CALOALIM,9,FALSE),"")</f>
        <v/>
      </c>
      <c r="BG66" s="148">
        <f t="shared" ref="BG66:BG99" si="381">IFERROR(VLOOKUP(I66,CALOFC,9,FALSE),"")</f>
        <v>319419.19</v>
      </c>
      <c r="BH66" s="125">
        <f t="shared" si="298"/>
        <v>128206.26</v>
      </c>
      <c r="BI66" s="140" t="e">
        <f t="shared" si="52"/>
        <v>#VALUE!</v>
      </c>
      <c r="BJ66" s="123" t="str">
        <f t="shared" ref="BJ66:BJ99" si="382">IFERROR(VLOOKUP(I66,CALOALIM,10,FALSE),"")</f>
        <v/>
      </c>
      <c r="BK66" s="125">
        <f t="shared" ref="BK66:BK99" si="383">IFERROR(VLOOKUP(I66,CALOFC,10,FALSE),"")</f>
        <v>235016.53</v>
      </c>
      <c r="BL66" s="436">
        <f t="shared" si="299"/>
        <v>437456.53</v>
      </c>
      <c r="BM66" s="140" t="e">
        <f t="shared" si="56"/>
        <v>#VALUE!</v>
      </c>
      <c r="BN66" s="326" t="str">
        <f t="shared" ref="BN66:BN99" si="384">IFERROR(VLOOKUP(I66,CALOALIM,11,FALSE),"")</f>
        <v/>
      </c>
      <c r="BO66" s="333">
        <f t="shared" ref="BO66:BO99" si="385">IFERROR(VLOOKUP(I66,CALOFC,11,FALSE),"")</f>
        <v>268971.49</v>
      </c>
      <c r="BP66" s="140" t="e">
        <f t="shared" ref="BP66:BR66" si="386">SUM(BE66,BI66,BM66)</f>
        <v>#VALUE!</v>
      </c>
      <c r="BQ66" s="141">
        <f t="shared" si="386"/>
        <v>0</v>
      </c>
      <c r="BR66" s="437">
        <f t="shared" si="386"/>
        <v>823407.21</v>
      </c>
      <c r="BS66" s="422">
        <f t="shared" si="301"/>
        <v>453623.22</v>
      </c>
      <c r="BT66" s="140" t="e">
        <f t="shared" si="61"/>
        <v>#VALUE!</v>
      </c>
      <c r="BU66" s="123" t="str">
        <f t="shared" ref="BU66:BU99" si="387">IFERROR(VLOOKUP(I66,CALOALIM,12,FALSE),"")</f>
        <v/>
      </c>
      <c r="BV66" s="148">
        <f t="shared" ref="BV66:BV99" si="388">IFERROR(VLOOKUP(I66,CALOFC,12,FALSE),"")</f>
        <v>405651.3</v>
      </c>
      <c r="BW66" s="423">
        <f t="shared" si="302"/>
        <v>357236.27</v>
      </c>
      <c r="BX66" s="424">
        <f t="shared" si="303"/>
        <v>254473.1</v>
      </c>
    </row>
    <row r="67" spans="1:76" ht="13">
      <c r="A67" s="92">
        <f t="shared" si="362"/>
        <v>112013214</v>
      </c>
      <c r="B67" s="93">
        <f t="shared" si="363"/>
        <v>1</v>
      </c>
      <c r="C67" s="137" t="str">
        <f>IFERROR(VLOOKUP(B67,DES,2,FALSE),"")</f>
        <v>Lista</v>
      </c>
      <c r="D67" s="137">
        <f>IFERROR(VLOOKUP(B67,DES,3,FALSE),"")</f>
        <v>0.09</v>
      </c>
      <c r="E67" s="98">
        <f>IFERROR(VLOOKUP(B67,DES,4,FALSE),"")</f>
        <v>0</v>
      </c>
      <c r="F67" s="414">
        <f t="shared" si="364"/>
        <v>71</v>
      </c>
      <c r="G67" s="94" t="str">
        <f t="shared" si="365"/>
        <v>Lista</v>
      </c>
      <c r="H67" s="415">
        <f t="shared" si="366"/>
        <v>0.05</v>
      </c>
      <c r="I67" s="139" t="s">
        <v>321</v>
      </c>
      <c r="J67" s="125">
        <f t="shared" si="293"/>
        <v>0</v>
      </c>
      <c r="K67" s="141">
        <f t="shared" si="322"/>
        <v>0</v>
      </c>
      <c r="L67" s="113" t="e">
        <f t="shared" si="9"/>
        <v>#VALUE!</v>
      </c>
      <c r="M67" s="116" t="str">
        <f t="shared" si="367"/>
        <v/>
      </c>
      <c r="N67" s="117">
        <f t="shared" si="368"/>
        <v>0</v>
      </c>
      <c r="O67" s="114">
        <f t="shared" si="101"/>
        <v>0</v>
      </c>
      <c r="P67" s="413" t="str">
        <f t="shared" si="329"/>
        <v/>
      </c>
      <c r="Q67" s="125">
        <f t="shared" si="248"/>
        <v>0</v>
      </c>
      <c r="R67" s="140">
        <f t="shared" si="323"/>
        <v>0</v>
      </c>
      <c r="S67" s="116" t="e">
        <f t="shared" si="14"/>
        <v>#VALUE!</v>
      </c>
      <c r="T67" s="116" t="str">
        <f t="shared" si="369"/>
        <v/>
      </c>
      <c r="U67" s="116">
        <f t="shared" si="370"/>
        <v>0</v>
      </c>
      <c r="V67" s="116">
        <f t="shared" si="17"/>
        <v>0</v>
      </c>
      <c r="W67" s="413" t="str">
        <f t="shared" si="324"/>
        <v/>
      </c>
      <c r="X67" s="123">
        <f t="shared" si="249"/>
        <v>0</v>
      </c>
      <c r="Y67" s="332">
        <f t="shared" si="325"/>
        <v>0</v>
      </c>
      <c r="Z67" s="113" t="e">
        <f t="shared" si="19"/>
        <v>#VALUE!</v>
      </c>
      <c r="AA67" s="116" t="str">
        <f t="shared" si="371"/>
        <v/>
      </c>
      <c r="AB67" s="117">
        <f t="shared" si="372"/>
        <v>0</v>
      </c>
      <c r="AC67" s="114">
        <f t="shared" si="22"/>
        <v>0</v>
      </c>
      <c r="AD67" s="97" t="str">
        <f t="shared" si="314"/>
        <v/>
      </c>
      <c r="AE67" s="433">
        <f t="shared" si="24"/>
        <v>0</v>
      </c>
      <c r="AF67" s="118">
        <f t="shared" si="373"/>
        <v>7973</v>
      </c>
      <c r="AG67" s="116">
        <f t="shared" si="26"/>
        <v>0</v>
      </c>
      <c r="AH67" s="116">
        <f t="shared" si="27"/>
        <v>0</v>
      </c>
      <c r="AI67" s="116">
        <f t="shared" si="28"/>
        <v>0</v>
      </c>
      <c r="AJ67" s="116">
        <f t="shared" si="29"/>
        <v>-7973</v>
      </c>
      <c r="AK67" s="418">
        <f t="shared" si="315"/>
        <v>0</v>
      </c>
      <c r="AL67" s="434">
        <f t="shared" si="270"/>
        <v>0</v>
      </c>
      <c r="AM67" s="140" t="e">
        <f t="shared" si="32"/>
        <v>#VALUE!</v>
      </c>
      <c r="AN67" s="326" t="str">
        <f t="shared" si="374"/>
        <v/>
      </c>
      <c r="AO67" s="333">
        <f t="shared" si="375"/>
        <v>0</v>
      </c>
      <c r="AP67" s="125">
        <f t="shared" si="339"/>
        <v>0</v>
      </c>
      <c r="AQ67" s="140" t="e">
        <f t="shared" si="177"/>
        <v>#VALUE!</v>
      </c>
      <c r="AR67" s="326" t="str">
        <f t="shared" si="340"/>
        <v/>
      </c>
      <c r="AS67" s="333">
        <f t="shared" si="341"/>
        <v>0</v>
      </c>
      <c r="AT67" s="125">
        <f t="shared" si="342"/>
        <v>0</v>
      </c>
      <c r="AU67" s="140" t="e">
        <f t="shared" si="40"/>
        <v>#VALUE!</v>
      </c>
      <c r="AV67" s="326" t="str">
        <f t="shared" si="376"/>
        <v/>
      </c>
      <c r="AW67" s="332">
        <f t="shared" si="377"/>
        <v>0</v>
      </c>
      <c r="AX67" s="122" t="e">
        <f t="shared" si="43"/>
        <v>#VALUE!</v>
      </c>
      <c r="AY67" s="326" t="e">
        <f t="shared" ref="AY67:AZ67" si="389">AN67+AR67+AV67</f>
        <v>#VALUE!</v>
      </c>
      <c r="AZ67" s="333">
        <f t="shared" si="389"/>
        <v>0</v>
      </c>
      <c r="BA67" s="140" t="e">
        <f t="shared" ref="BA67:BB67" si="390">AX67+AG67</f>
        <v>#VALUE!</v>
      </c>
      <c r="BB67" s="326" t="e">
        <f t="shared" si="390"/>
        <v>#VALUE!</v>
      </c>
      <c r="BC67" s="435">
        <f t="shared" si="46"/>
        <v>0</v>
      </c>
      <c r="BD67" s="434">
        <f t="shared" si="345"/>
        <v>0</v>
      </c>
      <c r="BE67" s="140" t="e">
        <f t="shared" si="48"/>
        <v>#VALUE!</v>
      </c>
      <c r="BF67" s="123" t="str">
        <f t="shared" si="380"/>
        <v/>
      </c>
      <c r="BG67" s="148">
        <f t="shared" si="381"/>
        <v>55794</v>
      </c>
      <c r="BH67" s="125">
        <f t="shared" si="298"/>
        <v>0</v>
      </c>
      <c r="BI67" s="140" t="e">
        <f t="shared" si="52"/>
        <v>#VALUE!</v>
      </c>
      <c r="BJ67" s="123" t="str">
        <f t="shared" si="382"/>
        <v/>
      </c>
      <c r="BK67" s="125">
        <f t="shared" si="383"/>
        <v>0</v>
      </c>
      <c r="BL67" s="436">
        <f t="shared" si="299"/>
        <v>0</v>
      </c>
      <c r="BM67" s="140" t="e">
        <f t="shared" si="56"/>
        <v>#VALUE!</v>
      </c>
      <c r="BN67" s="326" t="str">
        <f t="shared" si="384"/>
        <v/>
      </c>
      <c r="BO67" s="333">
        <f t="shared" si="385"/>
        <v>0</v>
      </c>
      <c r="BP67" s="140" t="e">
        <f t="shared" ref="BP67:BR67" si="391">SUM(BE67,BI67,BM67)</f>
        <v>#VALUE!</v>
      </c>
      <c r="BQ67" s="141">
        <f t="shared" si="391"/>
        <v>0</v>
      </c>
      <c r="BR67" s="437">
        <f t="shared" si="391"/>
        <v>55794</v>
      </c>
      <c r="BS67" s="422">
        <f t="shared" si="301"/>
        <v>7973</v>
      </c>
      <c r="BT67" s="140" t="e">
        <f t="shared" si="61"/>
        <v>#VALUE!</v>
      </c>
      <c r="BU67" s="123" t="str">
        <f t="shared" si="387"/>
        <v/>
      </c>
      <c r="BV67" s="148">
        <f t="shared" si="388"/>
        <v>0</v>
      </c>
      <c r="BW67" s="423">
        <f t="shared" si="302"/>
        <v>0</v>
      </c>
      <c r="BX67" s="424">
        <f t="shared" si="303"/>
        <v>0</v>
      </c>
    </row>
    <row r="68" spans="1:76" ht="13">
      <c r="A68" s="92">
        <f t="shared" si="362"/>
        <v>112011662</v>
      </c>
      <c r="B68" s="93">
        <f t="shared" si="363"/>
        <v>1</v>
      </c>
      <c r="C68" s="137" t="str">
        <f>VLOOKUP(B68,DES,2,FALSE)</f>
        <v>Lista</v>
      </c>
      <c r="D68" s="137">
        <f>VLOOKUP(B68,DES,3,FALSE)</f>
        <v>0.09</v>
      </c>
      <c r="E68" s="98">
        <f>VLOOKUP(B68,DES,4,FALSE)</f>
        <v>0</v>
      </c>
      <c r="F68" s="414">
        <f t="shared" si="364"/>
        <v>71</v>
      </c>
      <c r="G68" s="94" t="str">
        <f t="shared" si="365"/>
        <v>Lista</v>
      </c>
      <c r="H68" s="415">
        <f t="shared" si="366"/>
        <v>0.05</v>
      </c>
      <c r="I68" s="139" t="s">
        <v>322</v>
      </c>
      <c r="J68" s="125">
        <f t="shared" si="293"/>
        <v>886750.86</v>
      </c>
      <c r="K68" s="141">
        <f t="shared" si="322"/>
        <v>1490672.533203</v>
      </c>
      <c r="L68" s="113">
        <f t="shared" si="9"/>
        <v>1538653.32</v>
      </c>
      <c r="M68" s="116">
        <f t="shared" si="367"/>
        <v>0</v>
      </c>
      <c r="N68" s="117">
        <f t="shared" si="368"/>
        <v>1538653.32</v>
      </c>
      <c r="O68" s="114">
        <f t="shared" si="101"/>
        <v>47980.786797000095</v>
      </c>
      <c r="P68" s="413">
        <f t="shared" si="329"/>
        <v>1.0321873421078633</v>
      </c>
      <c r="Q68" s="125">
        <f t="shared" si="248"/>
        <v>977045.3</v>
      </c>
      <c r="R68" s="140">
        <f t="shared" si="323"/>
        <v>1735462.0584455</v>
      </c>
      <c r="S68" s="116">
        <f t="shared" si="14"/>
        <v>1430440.8</v>
      </c>
      <c r="T68" s="116">
        <f t="shared" si="369"/>
        <v>0</v>
      </c>
      <c r="U68" s="116">
        <f t="shared" si="370"/>
        <v>1430440.8</v>
      </c>
      <c r="V68" s="116">
        <f t="shared" si="17"/>
        <v>-305021.25844549993</v>
      </c>
      <c r="W68" s="413">
        <f t="shared" si="324"/>
        <v>0.82424204726278161</v>
      </c>
      <c r="X68" s="123">
        <f t="shared" si="249"/>
        <v>669123.86</v>
      </c>
      <c r="Y68" s="332">
        <f t="shared" si="325"/>
        <v>1099614.7321889</v>
      </c>
      <c r="Z68" s="113">
        <f t="shared" si="19"/>
        <v>751617.34</v>
      </c>
      <c r="AA68" s="116">
        <f t="shared" si="371"/>
        <v>0</v>
      </c>
      <c r="AB68" s="117">
        <f t="shared" si="372"/>
        <v>751617.34</v>
      </c>
      <c r="AC68" s="114">
        <f t="shared" si="22"/>
        <v>-347997.39218890003</v>
      </c>
      <c r="AD68" s="97">
        <f t="shared" si="314"/>
        <v>0.68352789208619069</v>
      </c>
      <c r="AE68" s="433">
        <f t="shared" si="24"/>
        <v>4325749.3238373995</v>
      </c>
      <c r="AF68" s="118">
        <f t="shared" si="373"/>
        <v>3947806.32</v>
      </c>
      <c r="AG68" s="116">
        <f t="shared" si="26"/>
        <v>3720711.46</v>
      </c>
      <c r="AH68" s="116">
        <f t="shared" si="27"/>
        <v>0</v>
      </c>
      <c r="AI68" s="116">
        <f t="shared" si="28"/>
        <v>3720711.46</v>
      </c>
      <c r="AJ68" s="116">
        <f t="shared" si="29"/>
        <v>-227094.85999999987</v>
      </c>
      <c r="AK68" s="418">
        <f t="shared" si="315"/>
        <v>0.94247568355886313</v>
      </c>
      <c r="AL68" s="434">
        <f t="shared" si="270"/>
        <v>792454.6</v>
      </c>
      <c r="AM68" s="140">
        <f t="shared" si="32"/>
        <v>1845176.94</v>
      </c>
      <c r="AN68" s="326">
        <f t="shared" si="374"/>
        <v>0</v>
      </c>
      <c r="AO68" s="333">
        <f t="shared" si="375"/>
        <v>1845176.94</v>
      </c>
      <c r="AP68" s="125">
        <f t="shared" si="339"/>
        <v>837438.2</v>
      </c>
      <c r="AQ68" s="140">
        <f t="shared" si="177"/>
        <v>1274487.1300000001</v>
      </c>
      <c r="AR68" s="326">
        <f t="shared" si="340"/>
        <v>21381.72</v>
      </c>
      <c r="AS68" s="333">
        <f t="shared" si="341"/>
        <v>1295868.8500000001</v>
      </c>
      <c r="AT68" s="125">
        <f t="shared" si="342"/>
        <v>586267.43999999994</v>
      </c>
      <c r="AU68" s="140">
        <f t="shared" si="40"/>
        <v>721973.02</v>
      </c>
      <c r="AV68" s="326">
        <f t="shared" si="376"/>
        <v>0</v>
      </c>
      <c r="AW68" s="332">
        <f t="shared" si="377"/>
        <v>721973.02</v>
      </c>
      <c r="AX68" s="122">
        <f t="shared" si="43"/>
        <v>3841637.09</v>
      </c>
      <c r="AY68" s="326">
        <f t="shared" ref="AY68:AZ68" si="392">AN68+AR68+AV68</f>
        <v>21381.72</v>
      </c>
      <c r="AZ68" s="333">
        <f t="shared" si="392"/>
        <v>3863018.81</v>
      </c>
      <c r="BA68" s="140">
        <f t="shared" ref="BA68:BB68" si="393">AX68+AG68</f>
        <v>7562348.5499999998</v>
      </c>
      <c r="BB68" s="326">
        <f t="shared" si="393"/>
        <v>21381.72</v>
      </c>
      <c r="BC68" s="435">
        <f t="shared" si="46"/>
        <v>7583730.2699999996</v>
      </c>
      <c r="BD68" s="434">
        <f t="shared" si="345"/>
        <v>1515083.83</v>
      </c>
      <c r="BE68" s="140">
        <f t="shared" si="48"/>
        <v>926788.93</v>
      </c>
      <c r="BF68" s="123">
        <f t="shared" si="380"/>
        <v>0</v>
      </c>
      <c r="BG68" s="148">
        <f t="shared" si="381"/>
        <v>926788.93</v>
      </c>
      <c r="BH68" s="125">
        <f t="shared" si="298"/>
        <v>631406.56999999995</v>
      </c>
      <c r="BI68" s="140">
        <f t="shared" si="52"/>
        <v>750834.91</v>
      </c>
      <c r="BJ68" s="123">
        <f t="shared" si="382"/>
        <v>0</v>
      </c>
      <c r="BK68" s="125">
        <f t="shared" si="383"/>
        <v>750834.91</v>
      </c>
      <c r="BL68" s="436">
        <f t="shared" si="299"/>
        <v>842137</v>
      </c>
      <c r="BM68" s="140">
        <f t="shared" si="56"/>
        <v>932199.2</v>
      </c>
      <c r="BN68" s="326">
        <f t="shared" si="384"/>
        <v>0</v>
      </c>
      <c r="BO68" s="333">
        <f t="shared" si="385"/>
        <v>932199.2</v>
      </c>
      <c r="BP68" s="140">
        <f t="shared" ref="BP68:BR68" si="394">SUM(BE68,BI68,BM68)</f>
        <v>2609823.04</v>
      </c>
      <c r="BQ68" s="141">
        <f t="shared" si="394"/>
        <v>0</v>
      </c>
      <c r="BR68" s="437">
        <f t="shared" si="394"/>
        <v>2609823.04</v>
      </c>
      <c r="BS68" s="422">
        <f t="shared" si="301"/>
        <v>1167723.74</v>
      </c>
      <c r="BT68" s="140">
        <f t="shared" si="61"/>
        <v>1205692.3600000001</v>
      </c>
      <c r="BU68" s="123">
        <f t="shared" si="387"/>
        <v>0</v>
      </c>
      <c r="BV68" s="148">
        <f t="shared" si="388"/>
        <v>1205692.3600000001</v>
      </c>
      <c r="BW68" s="423">
        <f t="shared" si="302"/>
        <v>1424754.2</v>
      </c>
      <c r="BX68" s="424">
        <f t="shared" si="303"/>
        <v>1355328.38</v>
      </c>
    </row>
    <row r="69" spans="1:76" ht="13">
      <c r="A69" s="92">
        <f t="shared" si="362"/>
        <v>112013692</v>
      </c>
      <c r="B69" s="93">
        <f t="shared" si="363"/>
        <v>1</v>
      </c>
      <c r="C69" s="137" t="str">
        <f>VLOOKUP(B69,DES,2,FALSE)</f>
        <v>Lista</v>
      </c>
      <c r="D69" s="137">
        <f>VLOOKUP(B69,DES,3,FALSE)</f>
        <v>0.09</v>
      </c>
      <c r="E69" s="98">
        <f>VLOOKUP(B69,DES,4,FALSE)</f>
        <v>0</v>
      </c>
      <c r="F69" s="414">
        <f t="shared" si="364"/>
        <v>71</v>
      </c>
      <c r="G69" s="94" t="str">
        <f t="shared" si="365"/>
        <v>Lista</v>
      </c>
      <c r="H69" s="415">
        <f t="shared" si="366"/>
        <v>0.05</v>
      </c>
      <c r="I69" s="139" t="s">
        <v>323</v>
      </c>
      <c r="J69" s="125">
        <f t="shared" si="293"/>
        <v>1571076.62</v>
      </c>
      <c r="K69" s="141">
        <f t="shared" si="322"/>
        <v>2641058.3520510001</v>
      </c>
      <c r="L69" s="113" t="e">
        <f t="shared" si="9"/>
        <v>#VALUE!</v>
      </c>
      <c r="M69" s="116" t="str">
        <f t="shared" si="367"/>
        <v/>
      </c>
      <c r="N69" s="117">
        <f t="shared" si="368"/>
        <v>542421.72</v>
      </c>
      <c r="O69" s="114">
        <f t="shared" si="101"/>
        <v>-2098636.6320510004</v>
      </c>
      <c r="P69" s="413">
        <f t="shared" si="329"/>
        <v>0.205380437572977</v>
      </c>
      <c r="Q69" s="125">
        <f t="shared" si="248"/>
        <v>255463.15</v>
      </c>
      <c r="R69" s="140">
        <f t="shared" si="323"/>
        <v>453762.58824025001</v>
      </c>
      <c r="S69" s="116" t="e">
        <f t="shared" si="14"/>
        <v>#VALUE!</v>
      </c>
      <c r="T69" s="116" t="str">
        <f t="shared" si="369"/>
        <v/>
      </c>
      <c r="U69" s="116">
        <f t="shared" si="370"/>
        <v>581817.05000000005</v>
      </c>
      <c r="V69" s="116">
        <f t="shared" si="17"/>
        <v>128054.46175975003</v>
      </c>
      <c r="W69" s="413">
        <f t="shared" si="324"/>
        <v>1.2822058606822606</v>
      </c>
      <c r="X69" s="123">
        <f t="shared" si="249"/>
        <v>591730.6</v>
      </c>
      <c r="Y69" s="332">
        <f t="shared" si="325"/>
        <v>972429.35746899992</v>
      </c>
      <c r="Z69" s="113" t="e">
        <f t="shared" si="19"/>
        <v>#VALUE!</v>
      </c>
      <c r="AA69" s="116" t="str">
        <f t="shared" si="371"/>
        <v/>
      </c>
      <c r="AB69" s="117">
        <f t="shared" si="372"/>
        <v>334683.62</v>
      </c>
      <c r="AC69" s="114">
        <f t="shared" si="22"/>
        <v>-637745.73746899993</v>
      </c>
      <c r="AD69" s="97">
        <f t="shared" si="314"/>
        <v>0.34417268198391404</v>
      </c>
      <c r="AE69" s="433">
        <f t="shared" si="24"/>
        <v>4067250.29776025</v>
      </c>
      <c r="AF69" s="118">
        <f t="shared" si="373"/>
        <v>2179834.42</v>
      </c>
      <c r="AG69" s="116">
        <f t="shared" si="26"/>
        <v>1458922.3900000001</v>
      </c>
      <c r="AH69" s="116">
        <f t="shared" si="27"/>
        <v>0</v>
      </c>
      <c r="AI69" s="116">
        <f t="shared" si="28"/>
        <v>1458922.3900000001</v>
      </c>
      <c r="AJ69" s="116">
        <f t="shared" si="29"/>
        <v>-720912.0299999998</v>
      </c>
      <c r="AK69" s="418">
        <f t="shared" si="315"/>
        <v>0.66928128880541315</v>
      </c>
      <c r="AL69" s="434">
        <f t="shared" si="270"/>
        <v>183444.58</v>
      </c>
      <c r="AM69" s="140" t="e">
        <f t="shared" si="32"/>
        <v>#VALUE!</v>
      </c>
      <c r="AN69" s="326" t="str">
        <f t="shared" si="374"/>
        <v/>
      </c>
      <c r="AO69" s="333">
        <f t="shared" si="375"/>
        <v>463362.62</v>
      </c>
      <c r="AP69" s="125">
        <f t="shared" si="339"/>
        <v>283897.5</v>
      </c>
      <c r="AQ69" s="140" t="e">
        <f t="shared" si="177"/>
        <v>#VALUE!</v>
      </c>
      <c r="AR69" s="326" t="str">
        <f t="shared" si="340"/>
        <v/>
      </c>
      <c r="AS69" s="333">
        <f t="shared" si="341"/>
        <v>821840.41</v>
      </c>
      <c r="AT69" s="125">
        <f t="shared" si="342"/>
        <v>431988.06</v>
      </c>
      <c r="AU69" s="140" t="e">
        <f t="shared" si="40"/>
        <v>#VALUE!</v>
      </c>
      <c r="AV69" s="326" t="str">
        <f t="shared" si="376"/>
        <v/>
      </c>
      <c r="AW69" s="332">
        <f t="shared" si="377"/>
        <v>589609.12</v>
      </c>
      <c r="AX69" s="122" t="e">
        <f t="shared" si="43"/>
        <v>#VALUE!</v>
      </c>
      <c r="AY69" s="326" t="e">
        <f t="shared" ref="AY69:AZ69" si="395">AN69+AR69+AV69</f>
        <v>#VALUE!</v>
      </c>
      <c r="AZ69" s="333">
        <f t="shared" si="395"/>
        <v>1874812.15</v>
      </c>
      <c r="BA69" s="140" t="e">
        <f t="shared" ref="BA69:BB69" si="396">AX69+AG69</f>
        <v>#VALUE!</v>
      </c>
      <c r="BB69" s="326" t="e">
        <f t="shared" si="396"/>
        <v>#VALUE!</v>
      </c>
      <c r="BC69" s="435">
        <f t="shared" si="46"/>
        <v>3333734.54</v>
      </c>
      <c r="BD69" s="434">
        <f t="shared" si="345"/>
        <v>3156825.91</v>
      </c>
      <c r="BE69" s="140" t="e">
        <f t="shared" si="48"/>
        <v>#VALUE!</v>
      </c>
      <c r="BF69" s="123" t="str">
        <f t="shared" si="380"/>
        <v/>
      </c>
      <c r="BG69" s="148">
        <f t="shared" si="381"/>
        <v>855982.88</v>
      </c>
      <c r="BH69" s="125">
        <f t="shared" si="298"/>
        <v>186266.42</v>
      </c>
      <c r="BI69" s="140" t="e">
        <f t="shared" si="52"/>
        <v>#VALUE!</v>
      </c>
      <c r="BJ69" s="123" t="str">
        <f t="shared" si="382"/>
        <v/>
      </c>
      <c r="BK69" s="125">
        <f t="shared" si="383"/>
        <v>463388.81</v>
      </c>
      <c r="BL69" s="436">
        <f t="shared" si="299"/>
        <v>2627346.44</v>
      </c>
      <c r="BM69" s="140" t="e">
        <f t="shared" si="56"/>
        <v>#VALUE!</v>
      </c>
      <c r="BN69" s="326" t="str">
        <f t="shared" si="384"/>
        <v/>
      </c>
      <c r="BO69" s="333">
        <f t="shared" si="385"/>
        <v>489600.35</v>
      </c>
      <c r="BP69" s="140" t="e">
        <f t="shared" ref="BP69:BR69" si="397">SUM(BE69,BI69,BM69)</f>
        <v>#VALUE!</v>
      </c>
      <c r="BQ69" s="141">
        <f t="shared" si="397"/>
        <v>0</v>
      </c>
      <c r="BR69" s="437">
        <f t="shared" si="397"/>
        <v>1808972.04</v>
      </c>
      <c r="BS69" s="422">
        <f t="shared" si="301"/>
        <v>778497.29</v>
      </c>
      <c r="BT69" s="140" t="e">
        <f t="shared" si="61"/>
        <v>#VALUE!</v>
      </c>
      <c r="BU69" s="123" t="str">
        <f t="shared" si="387"/>
        <v/>
      </c>
      <c r="BV69" s="148">
        <f t="shared" si="388"/>
        <v>769480.03</v>
      </c>
      <c r="BW69" s="423">
        <f t="shared" si="302"/>
        <v>543929.25</v>
      </c>
      <c r="BX69" s="424">
        <f t="shared" si="303"/>
        <v>857407.88</v>
      </c>
    </row>
    <row r="70" spans="1:76" ht="13">
      <c r="A70" s="92">
        <f t="shared" si="362"/>
        <v>112010675</v>
      </c>
      <c r="B70" s="93">
        <f t="shared" si="363"/>
        <v>1</v>
      </c>
      <c r="C70" s="137" t="str">
        <f>VLOOKUP(B70,DES,2,FALSE)</f>
        <v>Lista</v>
      </c>
      <c r="D70" s="137">
        <f>VLOOKUP(B70,DES,3,FALSE)</f>
        <v>0.09</v>
      </c>
      <c r="E70" s="98">
        <f>VLOOKUP(B70,DES,4,FALSE)</f>
        <v>0</v>
      </c>
      <c r="F70" s="414">
        <f t="shared" si="364"/>
        <v>71</v>
      </c>
      <c r="G70" s="94" t="str">
        <f t="shared" si="365"/>
        <v>Lista</v>
      </c>
      <c r="H70" s="415">
        <f t="shared" si="366"/>
        <v>0.05</v>
      </c>
      <c r="I70" s="139" t="s">
        <v>324</v>
      </c>
      <c r="J70" s="125">
        <f t="shared" si="293"/>
        <v>517114.07</v>
      </c>
      <c r="K70" s="141">
        <f t="shared" si="322"/>
        <v>869294.60737350001</v>
      </c>
      <c r="L70" s="113">
        <f t="shared" si="9"/>
        <v>173727.46</v>
      </c>
      <c r="M70" s="116">
        <f t="shared" si="367"/>
        <v>0</v>
      </c>
      <c r="N70" s="117">
        <f t="shared" si="368"/>
        <v>173727.46</v>
      </c>
      <c r="O70" s="114">
        <f t="shared" si="101"/>
        <v>-695567.14737350005</v>
      </c>
      <c r="P70" s="413">
        <f t="shared" si="329"/>
        <v>0.19984877224178668</v>
      </c>
      <c r="Q70" s="125">
        <f t="shared" si="248"/>
        <v>415976.1</v>
      </c>
      <c r="R70" s="140">
        <f t="shared" si="323"/>
        <v>738871.30798349995</v>
      </c>
      <c r="S70" s="116">
        <f t="shared" si="14"/>
        <v>126858.5</v>
      </c>
      <c r="T70" s="116">
        <f t="shared" si="369"/>
        <v>38330.519999999997</v>
      </c>
      <c r="U70" s="116">
        <f t="shared" si="370"/>
        <v>165189.01999999999</v>
      </c>
      <c r="V70" s="116">
        <f t="shared" si="17"/>
        <v>-573682.28798349993</v>
      </c>
      <c r="W70" s="413">
        <f t="shared" si="324"/>
        <v>0.22356940676290124</v>
      </c>
      <c r="X70" s="123">
        <f t="shared" si="249"/>
        <v>323174.58</v>
      </c>
      <c r="Y70" s="332">
        <f t="shared" si="325"/>
        <v>531093.79366169998</v>
      </c>
      <c r="Z70" s="113">
        <f t="shared" si="19"/>
        <v>205776.15</v>
      </c>
      <c r="AA70" s="116">
        <f t="shared" si="371"/>
        <v>0</v>
      </c>
      <c r="AB70" s="117">
        <f t="shared" si="372"/>
        <v>205776.15</v>
      </c>
      <c r="AC70" s="114">
        <f t="shared" si="22"/>
        <v>-325317.64366169996</v>
      </c>
      <c r="AD70" s="97">
        <f t="shared" si="314"/>
        <v>0.38745726735243452</v>
      </c>
      <c r="AE70" s="433">
        <f t="shared" si="24"/>
        <v>2139259.7090186998</v>
      </c>
      <c r="AF70" s="118">
        <f t="shared" si="373"/>
        <v>1705061.03</v>
      </c>
      <c r="AG70" s="116">
        <f t="shared" si="26"/>
        <v>468031.59</v>
      </c>
      <c r="AH70" s="116">
        <f t="shared" si="27"/>
        <v>76661.039999999994</v>
      </c>
      <c r="AI70" s="116">
        <f t="shared" si="28"/>
        <v>544692.63</v>
      </c>
      <c r="AJ70" s="116">
        <f t="shared" si="29"/>
        <v>-1160368.3999999999</v>
      </c>
      <c r="AK70" s="418">
        <f t="shared" si="315"/>
        <v>0.31945638332957499</v>
      </c>
      <c r="AL70" s="434">
        <f t="shared" si="270"/>
        <v>1035046.94</v>
      </c>
      <c r="AM70" s="140">
        <f t="shared" si="32"/>
        <v>973954.97</v>
      </c>
      <c r="AN70" s="326">
        <f t="shared" si="374"/>
        <v>0</v>
      </c>
      <c r="AO70" s="333">
        <f t="shared" si="375"/>
        <v>973954.97</v>
      </c>
      <c r="AP70" s="125">
        <f t="shared" si="339"/>
        <v>222455.23</v>
      </c>
      <c r="AQ70" s="140">
        <f t="shared" si="177"/>
        <v>0</v>
      </c>
      <c r="AR70" s="326">
        <f t="shared" si="340"/>
        <v>45602.91</v>
      </c>
      <c r="AS70" s="333">
        <f t="shared" si="341"/>
        <v>45602.91</v>
      </c>
      <c r="AT70" s="125">
        <f t="shared" si="342"/>
        <v>105037.63</v>
      </c>
      <c r="AU70" s="140">
        <f t="shared" si="40"/>
        <v>0</v>
      </c>
      <c r="AV70" s="326">
        <f t="shared" si="376"/>
        <v>0</v>
      </c>
      <c r="AW70" s="332">
        <f t="shared" si="377"/>
        <v>0</v>
      </c>
      <c r="AX70" s="122">
        <f t="shared" si="43"/>
        <v>973954.97</v>
      </c>
      <c r="AY70" s="326">
        <f t="shared" ref="AY70:AZ70" si="398">AN70+AR70+AV70</f>
        <v>45602.91</v>
      </c>
      <c r="AZ70" s="333">
        <f t="shared" si="398"/>
        <v>1019557.88</v>
      </c>
      <c r="BA70" s="140">
        <f t="shared" ref="BA70:BB70" si="399">AX70+AG70</f>
        <v>1441986.5600000001</v>
      </c>
      <c r="BB70" s="326">
        <f t="shared" si="399"/>
        <v>122263.95</v>
      </c>
      <c r="BC70" s="435">
        <f t="shared" si="46"/>
        <v>1564250.51</v>
      </c>
      <c r="BD70" s="434">
        <f t="shared" si="345"/>
        <v>250106.41</v>
      </c>
      <c r="BE70" s="140">
        <f t="shared" si="48"/>
        <v>584453.92000000004</v>
      </c>
      <c r="BF70" s="123">
        <f t="shared" si="380"/>
        <v>0</v>
      </c>
      <c r="BG70" s="148">
        <f t="shared" si="381"/>
        <v>584453.92000000004</v>
      </c>
      <c r="BH70" s="125">
        <f t="shared" si="298"/>
        <v>0.41</v>
      </c>
      <c r="BI70" s="140">
        <f t="shared" si="52"/>
        <v>1051343.25</v>
      </c>
      <c r="BJ70" s="123">
        <f t="shared" si="382"/>
        <v>40085.03</v>
      </c>
      <c r="BK70" s="125">
        <f t="shared" si="383"/>
        <v>1091428.28</v>
      </c>
      <c r="BL70" s="436">
        <f t="shared" si="299"/>
        <v>1084266.1399999999</v>
      </c>
      <c r="BM70" s="140">
        <f t="shared" si="56"/>
        <v>554169.37</v>
      </c>
      <c r="BN70" s="326">
        <f t="shared" si="384"/>
        <v>0</v>
      </c>
      <c r="BO70" s="333">
        <f t="shared" si="385"/>
        <v>554169.37</v>
      </c>
      <c r="BP70" s="140">
        <f t="shared" ref="BP70:BR70" si="400">SUM(BE70,BI70,BM70)</f>
        <v>2189966.54</v>
      </c>
      <c r="BQ70" s="141">
        <f t="shared" si="400"/>
        <v>40085.03</v>
      </c>
      <c r="BR70" s="437">
        <f t="shared" si="400"/>
        <v>2230051.5700000003</v>
      </c>
      <c r="BS70" s="422">
        <f t="shared" si="301"/>
        <v>554910.75</v>
      </c>
      <c r="BT70" s="140">
        <f t="shared" si="61"/>
        <v>125911.28</v>
      </c>
      <c r="BU70" s="123">
        <f t="shared" si="387"/>
        <v>0</v>
      </c>
      <c r="BV70" s="148">
        <f t="shared" si="388"/>
        <v>125911.28</v>
      </c>
      <c r="BW70" s="423">
        <f t="shared" si="302"/>
        <v>408712.28</v>
      </c>
      <c r="BX70" s="424">
        <f t="shared" si="303"/>
        <v>741438</v>
      </c>
    </row>
    <row r="71" spans="1:76" ht="13">
      <c r="A71" s="92">
        <f t="shared" si="362"/>
        <v>112011827</v>
      </c>
      <c r="B71" s="93">
        <f t="shared" si="363"/>
        <v>1</v>
      </c>
      <c r="C71" s="137" t="str">
        <f>VLOOKUP(B71,DES,2,FALSE)</f>
        <v>Lista</v>
      </c>
      <c r="D71" s="137">
        <f>VLOOKUP(B71,DES,3,FALSE)</f>
        <v>0.09</v>
      </c>
      <c r="E71" s="98">
        <f>VLOOKUP(B71,DES,4,FALSE)</f>
        <v>0</v>
      </c>
      <c r="F71" s="414">
        <f t="shared" si="364"/>
        <v>71</v>
      </c>
      <c r="G71" s="94" t="str">
        <f t="shared" si="365"/>
        <v>Lista</v>
      </c>
      <c r="H71" s="415">
        <f t="shared" si="366"/>
        <v>0.05</v>
      </c>
      <c r="I71" s="139" t="s">
        <v>325</v>
      </c>
      <c r="J71" s="125">
        <f t="shared" si="293"/>
        <v>0</v>
      </c>
      <c r="K71" s="141">
        <f t="shared" si="322"/>
        <v>0</v>
      </c>
      <c r="L71" s="113" t="e">
        <f t="shared" si="9"/>
        <v>#VALUE!</v>
      </c>
      <c r="M71" s="116" t="str">
        <f t="shared" si="367"/>
        <v/>
      </c>
      <c r="N71" s="117">
        <f t="shared" si="368"/>
        <v>0</v>
      </c>
      <c r="O71" s="114">
        <f t="shared" si="101"/>
        <v>0</v>
      </c>
      <c r="P71" s="413" t="str">
        <f t="shared" si="329"/>
        <v/>
      </c>
      <c r="Q71" s="125">
        <f t="shared" si="248"/>
        <v>73264.399999999994</v>
      </c>
      <c r="R71" s="140">
        <f t="shared" si="323"/>
        <v>130134.79153399999</v>
      </c>
      <c r="S71" s="116" t="e">
        <f t="shared" si="14"/>
        <v>#VALUE!</v>
      </c>
      <c r="T71" s="116" t="str">
        <f t="shared" si="369"/>
        <v/>
      </c>
      <c r="U71" s="116">
        <f t="shared" si="370"/>
        <v>106941.2</v>
      </c>
      <c r="V71" s="116">
        <f t="shared" si="17"/>
        <v>-23193.591533999992</v>
      </c>
      <c r="W71" s="413">
        <f t="shared" si="324"/>
        <v>0.8217725539757732</v>
      </c>
      <c r="X71" s="123">
        <f t="shared" si="249"/>
        <v>0</v>
      </c>
      <c r="Y71" s="332">
        <f t="shared" si="325"/>
        <v>0</v>
      </c>
      <c r="Z71" s="113" t="e">
        <f t="shared" si="19"/>
        <v>#VALUE!</v>
      </c>
      <c r="AA71" s="116" t="str">
        <f t="shared" si="371"/>
        <v/>
      </c>
      <c r="AB71" s="117">
        <f t="shared" si="372"/>
        <v>0</v>
      </c>
      <c r="AC71" s="114">
        <f t="shared" si="22"/>
        <v>0</v>
      </c>
      <c r="AD71" s="97" t="str">
        <f t="shared" si="314"/>
        <v/>
      </c>
      <c r="AE71" s="433">
        <f t="shared" si="24"/>
        <v>130134.79153399999</v>
      </c>
      <c r="AF71" s="118" t="str">
        <f t="shared" si="373"/>
        <v>0</v>
      </c>
      <c r="AG71" s="116">
        <f t="shared" si="26"/>
        <v>106941.2</v>
      </c>
      <c r="AH71" s="116">
        <f t="shared" si="27"/>
        <v>0</v>
      </c>
      <c r="AI71" s="116">
        <f t="shared" si="28"/>
        <v>106941.2</v>
      </c>
      <c r="AJ71" s="116">
        <f t="shared" si="29"/>
        <v>106941.2</v>
      </c>
      <c r="AK71" s="418" t="str">
        <f t="shared" si="315"/>
        <v/>
      </c>
      <c r="AL71" s="434">
        <f t="shared" si="270"/>
        <v>0</v>
      </c>
      <c r="AM71" s="140" t="e">
        <f t="shared" si="32"/>
        <v>#VALUE!</v>
      </c>
      <c r="AN71" s="326" t="str">
        <f t="shared" si="374"/>
        <v/>
      </c>
      <c r="AO71" s="333">
        <f t="shared" si="375"/>
        <v>0</v>
      </c>
      <c r="AP71" s="125">
        <f t="shared" si="339"/>
        <v>0</v>
      </c>
      <c r="AQ71" s="140" t="e">
        <f t="shared" si="177"/>
        <v>#VALUE!</v>
      </c>
      <c r="AR71" s="326" t="str">
        <f t="shared" si="340"/>
        <v/>
      </c>
      <c r="AS71" s="333">
        <f t="shared" si="341"/>
        <v>0</v>
      </c>
      <c r="AT71" s="125">
        <f t="shared" si="342"/>
        <v>0</v>
      </c>
      <c r="AU71" s="140" t="e">
        <f t="shared" si="40"/>
        <v>#VALUE!</v>
      </c>
      <c r="AV71" s="326" t="str">
        <f t="shared" si="376"/>
        <v/>
      </c>
      <c r="AW71" s="332">
        <f t="shared" si="377"/>
        <v>0</v>
      </c>
      <c r="AX71" s="122" t="e">
        <f t="shared" si="43"/>
        <v>#VALUE!</v>
      </c>
      <c r="AY71" s="326" t="e">
        <f t="shared" ref="AY71:AZ71" si="401">AN71+AR71+AV71</f>
        <v>#VALUE!</v>
      </c>
      <c r="AZ71" s="333">
        <f t="shared" si="401"/>
        <v>0</v>
      </c>
      <c r="BA71" s="140" t="e">
        <f t="shared" ref="BA71:BB71" si="402">AX71+AG71</f>
        <v>#VALUE!</v>
      </c>
      <c r="BB71" s="326" t="e">
        <f t="shared" si="402"/>
        <v>#VALUE!</v>
      </c>
      <c r="BC71" s="435">
        <f t="shared" si="46"/>
        <v>106941.2</v>
      </c>
      <c r="BD71" s="434">
        <f t="shared" si="345"/>
        <v>0</v>
      </c>
      <c r="BE71" s="140" t="e">
        <f t="shared" si="48"/>
        <v>#VALUE!</v>
      </c>
      <c r="BF71" s="123" t="str">
        <f t="shared" si="380"/>
        <v/>
      </c>
      <c r="BG71" s="148">
        <f t="shared" si="381"/>
        <v>0</v>
      </c>
      <c r="BH71" s="125">
        <f t="shared" si="298"/>
        <v>0</v>
      </c>
      <c r="BI71" s="140" t="e">
        <f t="shared" si="52"/>
        <v>#VALUE!</v>
      </c>
      <c r="BJ71" s="123" t="str">
        <f t="shared" si="382"/>
        <v/>
      </c>
      <c r="BK71" s="125">
        <f t="shared" si="383"/>
        <v>0</v>
      </c>
      <c r="BL71" s="436">
        <f t="shared" si="299"/>
        <v>0</v>
      </c>
      <c r="BM71" s="140" t="e">
        <f t="shared" si="56"/>
        <v>#VALUE!</v>
      </c>
      <c r="BN71" s="326" t="str">
        <f t="shared" si="384"/>
        <v/>
      </c>
      <c r="BO71" s="333">
        <f t="shared" si="385"/>
        <v>0</v>
      </c>
      <c r="BP71" s="140" t="e">
        <f t="shared" ref="BP71:BR71" si="403">SUM(BE71,BI71,BM71)</f>
        <v>#VALUE!</v>
      </c>
      <c r="BQ71" s="141">
        <f t="shared" si="403"/>
        <v>0</v>
      </c>
      <c r="BR71" s="437">
        <f t="shared" si="403"/>
        <v>0</v>
      </c>
      <c r="BS71" s="422">
        <f t="shared" si="301"/>
        <v>0</v>
      </c>
      <c r="BT71" s="140" t="e">
        <f t="shared" si="61"/>
        <v>#VALUE!</v>
      </c>
      <c r="BU71" s="123" t="str">
        <f t="shared" si="387"/>
        <v/>
      </c>
      <c r="BV71" s="148">
        <f t="shared" si="388"/>
        <v>0</v>
      </c>
      <c r="BW71" s="423">
        <f t="shared" si="302"/>
        <v>0</v>
      </c>
      <c r="BX71" s="424">
        <f t="shared" si="303"/>
        <v>0</v>
      </c>
    </row>
    <row r="72" spans="1:76" ht="13">
      <c r="A72" s="92">
        <f t="shared" si="362"/>
        <v>112012077</v>
      </c>
      <c r="B72" s="93">
        <f t="shared" si="363"/>
        <v>1</v>
      </c>
      <c r="C72" s="137" t="str">
        <f>VLOOKUP(B72,DES,2,FALSE)</f>
        <v>Lista</v>
      </c>
      <c r="D72" s="137">
        <f>VLOOKUP(B72,DES,3,FALSE)</f>
        <v>0.09</v>
      </c>
      <c r="E72" s="98">
        <f>VLOOKUP(B72,DES,4,FALSE)</f>
        <v>0</v>
      </c>
      <c r="F72" s="414">
        <f t="shared" si="364"/>
        <v>71</v>
      </c>
      <c r="G72" s="94" t="str">
        <f t="shared" si="365"/>
        <v>Lista</v>
      </c>
      <c r="H72" s="415">
        <f t="shared" si="366"/>
        <v>0.05</v>
      </c>
      <c r="I72" s="139" t="s">
        <v>326</v>
      </c>
      <c r="J72" s="125">
        <f t="shared" si="293"/>
        <v>233706.88</v>
      </c>
      <c r="K72" s="141">
        <f t="shared" si="322"/>
        <v>392872.95062399999</v>
      </c>
      <c r="L72" s="113" t="e">
        <f t="shared" si="9"/>
        <v>#VALUE!</v>
      </c>
      <c r="M72" s="116" t="str">
        <f t="shared" si="367"/>
        <v/>
      </c>
      <c r="N72" s="117">
        <f t="shared" si="368"/>
        <v>436303.68</v>
      </c>
      <c r="O72" s="114">
        <f t="shared" si="101"/>
        <v>43430.729376000003</v>
      </c>
      <c r="P72" s="413">
        <f t="shared" si="329"/>
        <v>1.1105464993378114</v>
      </c>
      <c r="Q72" s="125">
        <f t="shared" si="248"/>
        <v>0</v>
      </c>
      <c r="R72" s="140">
        <f t="shared" si="323"/>
        <v>0</v>
      </c>
      <c r="S72" s="116" t="e">
        <f t="shared" si="14"/>
        <v>#VALUE!</v>
      </c>
      <c r="T72" s="116" t="str">
        <f t="shared" si="369"/>
        <v/>
      </c>
      <c r="U72" s="116">
        <f t="shared" si="370"/>
        <v>268016.68</v>
      </c>
      <c r="V72" s="116">
        <f t="shared" si="17"/>
        <v>268016.68</v>
      </c>
      <c r="W72" s="413" t="str">
        <f t="shared" si="324"/>
        <v/>
      </c>
      <c r="X72" s="123">
        <f t="shared" si="249"/>
        <v>107619.06</v>
      </c>
      <c r="Y72" s="332">
        <f t="shared" si="325"/>
        <v>176857.39653689999</v>
      </c>
      <c r="Z72" s="113" t="e">
        <f t="shared" si="19"/>
        <v>#VALUE!</v>
      </c>
      <c r="AA72" s="116" t="str">
        <f t="shared" si="371"/>
        <v/>
      </c>
      <c r="AB72" s="117">
        <f t="shared" si="372"/>
        <v>0</v>
      </c>
      <c r="AC72" s="114">
        <f t="shared" si="22"/>
        <v>-176857.39653689999</v>
      </c>
      <c r="AD72" s="97">
        <f t="shared" si="314"/>
        <v>0</v>
      </c>
      <c r="AE72" s="433">
        <f t="shared" si="24"/>
        <v>569730.34716090001</v>
      </c>
      <c r="AF72" s="118">
        <f t="shared" si="373"/>
        <v>607740.42000000004</v>
      </c>
      <c r="AG72" s="116">
        <f t="shared" si="26"/>
        <v>704320.36</v>
      </c>
      <c r="AH72" s="116">
        <f t="shared" si="27"/>
        <v>0</v>
      </c>
      <c r="AI72" s="116">
        <f t="shared" si="28"/>
        <v>704320.36</v>
      </c>
      <c r="AJ72" s="116">
        <f t="shared" si="29"/>
        <v>96579.939999999944</v>
      </c>
      <c r="AK72" s="418">
        <f t="shared" si="315"/>
        <v>1.1589164334338662</v>
      </c>
      <c r="AL72" s="434">
        <f t="shared" si="270"/>
        <v>65513.32</v>
      </c>
      <c r="AM72" s="140" t="e">
        <f t="shared" si="32"/>
        <v>#VALUE!</v>
      </c>
      <c r="AN72" s="326" t="str">
        <f t="shared" si="374"/>
        <v/>
      </c>
      <c r="AO72" s="333">
        <f t="shared" si="375"/>
        <v>224320.37</v>
      </c>
      <c r="AP72" s="125">
        <f t="shared" si="339"/>
        <v>0</v>
      </c>
      <c r="AQ72" s="140" t="e">
        <f t="shared" si="177"/>
        <v>#VALUE!</v>
      </c>
      <c r="AR72" s="326" t="str">
        <f t="shared" si="340"/>
        <v/>
      </c>
      <c r="AS72" s="333">
        <f t="shared" si="341"/>
        <v>242040.43</v>
      </c>
      <c r="AT72" s="125">
        <f t="shared" si="342"/>
        <v>0</v>
      </c>
      <c r="AU72" s="140" t="e">
        <f t="shared" si="40"/>
        <v>#VALUE!</v>
      </c>
      <c r="AV72" s="326" t="str">
        <f t="shared" si="376"/>
        <v/>
      </c>
      <c r="AW72" s="332">
        <f t="shared" si="377"/>
        <v>0</v>
      </c>
      <c r="AX72" s="122" t="e">
        <f t="shared" si="43"/>
        <v>#VALUE!</v>
      </c>
      <c r="AY72" s="326" t="e">
        <f t="shared" ref="AY72:AZ72" si="404">AN72+AR72+AV72</f>
        <v>#VALUE!</v>
      </c>
      <c r="AZ72" s="333">
        <f t="shared" si="404"/>
        <v>466360.8</v>
      </c>
      <c r="BA72" s="140" t="e">
        <f t="shared" ref="BA72:BB72" si="405">AX72+AG72</f>
        <v>#VALUE!</v>
      </c>
      <c r="BB72" s="326" t="e">
        <f t="shared" si="405"/>
        <v>#VALUE!</v>
      </c>
      <c r="BC72" s="435">
        <f t="shared" si="46"/>
        <v>1170681.1599999999</v>
      </c>
      <c r="BD72" s="434">
        <f t="shared" si="345"/>
        <v>113701.75999999999</v>
      </c>
      <c r="BE72" s="140" t="e">
        <f t="shared" si="48"/>
        <v>#VALUE!</v>
      </c>
      <c r="BF72" s="123" t="str">
        <f t="shared" si="380"/>
        <v/>
      </c>
      <c r="BG72" s="148">
        <f t="shared" si="381"/>
        <v>0</v>
      </c>
      <c r="BH72" s="125">
        <f t="shared" si="298"/>
        <v>99805.06</v>
      </c>
      <c r="BI72" s="140" t="e">
        <f t="shared" si="52"/>
        <v>#VALUE!</v>
      </c>
      <c r="BJ72" s="123" t="str">
        <f t="shared" si="382"/>
        <v/>
      </c>
      <c r="BK72" s="125">
        <f t="shared" si="383"/>
        <v>346394.27</v>
      </c>
      <c r="BL72" s="436">
        <f t="shared" si="299"/>
        <v>163926.70000000001</v>
      </c>
      <c r="BM72" s="140" t="e">
        <f t="shared" si="56"/>
        <v>#VALUE!</v>
      </c>
      <c r="BN72" s="326" t="str">
        <f t="shared" si="384"/>
        <v/>
      </c>
      <c r="BO72" s="333">
        <f t="shared" si="385"/>
        <v>0</v>
      </c>
      <c r="BP72" s="140" t="e">
        <f t="shared" ref="BP72:BR72" si="406">SUM(BE72,BI72,BM72)</f>
        <v>#VALUE!</v>
      </c>
      <c r="BQ72" s="141">
        <f t="shared" si="406"/>
        <v>0</v>
      </c>
      <c r="BR72" s="437">
        <f t="shared" si="406"/>
        <v>346394.27</v>
      </c>
      <c r="BS72" s="422">
        <f t="shared" si="301"/>
        <v>545022.48</v>
      </c>
      <c r="BT72" s="140" t="e">
        <f t="shared" si="61"/>
        <v>#VALUE!</v>
      </c>
      <c r="BU72" s="123" t="str">
        <f t="shared" si="387"/>
        <v/>
      </c>
      <c r="BV72" s="148">
        <f t="shared" si="388"/>
        <v>0</v>
      </c>
      <c r="BW72" s="423">
        <f t="shared" si="302"/>
        <v>62717.94</v>
      </c>
      <c r="BX72" s="424">
        <f t="shared" si="303"/>
        <v>0</v>
      </c>
    </row>
    <row r="73" spans="1:76" ht="13">
      <c r="A73" s="92">
        <f t="shared" si="362"/>
        <v>112013109</v>
      </c>
      <c r="B73" s="93">
        <f t="shared" si="363"/>
        <v>1</v>
      </c>
      <c r="C73" s="137" t="str">
        <f>IFERROR(VLOOKUP(B73,DES,2,FALSE),"")</f>
        <v>Lista</v>
      </c>
      <c r="D73" s="137">
        <f>IFERROR(VLOOKUP(B73,DES,3,FALSE),"")</f>
        <v>0.09</v>
      </c>
      <c r="E73" s="98">
        <f>IFERROR(VLOOKUP(B73,DES,4,FALSE),"")</f>
        <v>0</v>
      </c>
      <c r="F73" s="414">
        <f t="shared" si="364"/>
        <v>71</v>
      </c>
      <c r="G73" s="94" t="str">
        <f t="shared" si="365"/>
        <v>Lista</v>
      </c>
      <c r="H73" s="415">
        <f t="shared" si="366"/>
        <v>0.05</v>
      </c>
      <c r="I73" s="139" t="s">
        <v>327</v>
      </c>
      <c r="J73" s="125" t="str">
        <f t="shared" si="293"/>
        <v/>
      </c>
      <c r="K73" s="141" t="e">
        <f t="shared" si="322"/>
        <v>#VALUE!</v>
      </c>
      <c r="L73" s="113" t="e">
        <f t="shared" si="9"/>
        <v>#VALUE!</v>
      </c>
      <c r="M73" s="116" t="str">
        <f t="shared" si="367"/>
        <v/>
      </c>
      <c r="N73" s="117">
        <f t="shared" si="368"/>
        <v>0</v>
      </c>
      <c r="O73" s="114" t="e">
        <f t="shared" si="101"/>
        <v>#VALUE!</v>
      </c>
      <c r="P73" s="413" t="str">
        <f t="shared" si="329"/>
        <v/>
      </c>
      <c r="Q73" s="125" t="str">
        <f t="shared" si="248"/>
        <v/>
      </c>
      <c r="R73" s="140" t="e">
        <f t="shared" si="323"/>
        <v>#VALUE!</v>
      </c>
      <c r="S73" s="116" t="e">
        <f t="shared" si="14"/>
        <v>#VALUE!</v>
      </c>
      <c r="T73" s="116" t="str">
        <f t="shared" si="369"/>
        <v/>
      </c>
      <c r="U73" s="116">
        <f t="shared" si="370"/>
        <v>131971.13</v>
      </c>
      <c r="V73" s="116" t="e">
        <f t="shared" si="17"/>
        <v>#VALUE!</v>
      </c>
      <c r="W73" s="413" t="str">
        <f t="shared" si="324"/>
        <v/>
      </c>
      <c r="X73" s="123" t="str">
        <f t="shared" si="249"/>
        <v/>
      </c>
      <c r="Y73" s="332" t="e">
        <f t="shared" si="325"/>
        <v>#VALUE!</v>
      </c>
      <c r="Z73" s="113" t="e">
        <f t="shared" si="19"/>
        <v>#VALUE!</v>
      </c>
      <c r="AA73" s="116" t="str">
        <f t="shared" si="371"/>
        <v/>
      </c>
      <c r="AB73" s="117">
        <f t="shared" si="372"/>
        <v>14990.47</v>
      </c>
      <c r="AC73" s="114" t="e">
        <f t="shared" si="22"/>
        <v>#VALUE!</v>
      </c>
      <c r="AD73" s="97" t="str">
        <f t="shared" si="314"/>
        <v/>
      </c>
      <c r="AE73" s="433" t="e">
        <f t="shared" si="24"/>
        <v>#VALUE!</v>
      </c>
      <c r="AF73" s="118" t="str">
        <f t="shared" si="373"/>
        <v>0</v>
      </c>
      <c r="AG73" s="116">
        <f t="shared" si="26"/>
        <v>146961.60000000001</v>
      </c>
      <c r="AH73" s="116">
        <f t="shared" si="27"/>
        <v>0</v>
      </c>
      <c r="AI73" s="116">
        <f t="shared" si="28"/>
        <v>146961.60000000001</v>
      </c>
      <c r="AJ73" s="116">
        <f t="shared" si="29"/>
        <v>146961.60000000001</v>
      </c>
      <c r="AK73" s="418" t="str">
        <f t="shared" si="315"/>
        <v/>
      </c>
      <c r="AL73" s="434" t="str">
        <f t="shared" si="270"/>
        <v/>
      </c>
      <c r="AM73" s="140" t="e">
        <f t="shared" si="32"/>
        <v>#VALUE!</v>
      </c>
      <c r="AN73" s="326" t="str">
        <f t="shared" si="374"/>
        <v/>
      </c>
      <c r="AO73" s="333">
        <f t="shared" si="375"/>
        <v>0</v>
      </c>
      <c r="AP73" s="125" t="str">
        <f t="shared" si="339"/>
        <v/>
      </c>
      <c r="AQ73" s="140" t="e">
        <f t="shared" si="177"/>
        <v>#VALUE!</v>
      </c>
      <c r="AR73" s="326" t="str">
        <f t="shared" si="340"/>
        <v/>
      </c>
      <c r="AS73" s="333">
        <f t="shared" si="341"/>
        <v>0</v>
      </c>
      <c r="AT73" s="125" t="str">
        <f t="shared" si="342"/>
        <v/>
      </c>
      <c r="AU73" s="140" t="e">
        <f t="shared" si="40"/>
        <v>#VALUE!</v>
      </c>
      <c r="AV73" s="326" t="str">
        <f t="shared" si="376"/>
        <v/>
      </c>
      <c r="AW73" s="332">
        <f t="shared" si="377"/>
        <v>0</v>
      </c>
      <c r="AX73" s="122" t="e">
        <f t="shared" si="43"/>
        <v>#VALUE!</v>
      </c>
      <c r="AY73" s="326" t="e">
        <f t="shared" ref="AY73:AZ73" si="407">AN73+AR73+AV73</f>
        <v>#VALUE!</v>
      </c>
      <c r="AZ73" s="333">
        <f t="shared" si="407"/>
        <v>0</v>
      </c>
      <c r="BA73" s="140" t="e">
        <f t="shared" ref="BA73:BB73" si="408">AX73+AG73</f>
        <v>#VALUE!</v>
      </c>
      <c r="BB73" s="326" t="e">
        <f t="shared" si="408"/>
        <v>#VALUE!</v>
      </c>
      <c r="BC73" s="435">
        <f t="shared" si="46"/>
        <v>146961.60000000001</v>
      </c>
      <c r="BD73" s="434" t="str">
        <f t="shared" si="345"/>
        <v/>
      </c>
      <c r="BE73" s="140" t="e">
        <f t="shared" si="48"/>
        <v>#VALUE!</v>
      </c>
      <c r="BF73" s="123" t="str">
        <f t="shared" si="380"/>
        <v/>
      </c>
      <c r="BG73" s="148">
        <f t="shared" si="381"/>
        <v>153795.06</v>
      </c>
      <c r="BH73" s="125" t="str">
        <f t="shared" si="298"/>
        <v/>
      </c>
      <c r="BI73" s="140" t="e">
        <f t="shared" si="52"/>
        <v>#VALUE!</v>
      </c>
      <c r="BJ73" s="123" t="str">
        <f t="shared" si="382"/>
        <v/>
      </c>
      <c r="BK73" s="125">
        <f t="shared" si="383"/>
        <v>0</v>
      </c>
      <c r="BL73" s="436" t="str">
        <f t="shared" si="299"/>
        <v/>
      </c>
      <c r="BM73" s="140" t="e">
        <f t="shared" si="56"/>
        <v>#VALUE!</v>
      </c>
      <c r="BN73" s="326" t="str">
        <f t="shared" si="384"/>
        <v/>
      </c>
      <c r="BO73" s="333">
        <f t="shared" si="385"/>
        <v>0</v>
      </c>
      <c r="BP73" s="140" t="e">
        <f t="shared" ref="BP73:BR73" si="409">SUM(BE73,BI73,BM73)</f>
        <v>#VALUE!</v>
      </c>
      <c r="BQ73" s="141">
        <f t="shared" si="409"/>
        <v>0</v>
      </c>
      <c r="BR73" s="437">
        <f t="shared" si="409"/>
        <v>153795.06</v>
      </c>
      <c r="BS73" s="422" t="str">
        <f t="shared" si="301"/>
        <v/>
      </c>
      <c r="BT73" s="140" t="e">
        <f t="shared" si="61"/>
        <v>#VALUE!</v>
      </c>
      <c r="BU73" s="123" t="str">
        <f t="shared" si="387"/>
        <v/>
      </c>
      <c r="BV73" s="148">
        <f t="shared" si="388"/>
        <v>0</v>
      </c>
      <c r="BW73" s="423" t="str">
        <f t="shared" si="302"/>
        <v/>
      </c>
      <c r="BX73" s="424" t="str">
        <f t="shared" si="303"/>
        <v/>
      </c>
    </row>
    <row r="74" spans="1:76" ht="13">
      <c r="A74" s="92">
        <f t="shared" si="362"/>
        <v>112014616</v>
      </c>
      <c r="B74" s="93">
        <f t="shared" si="363"/>
        <v>1</v>
      </c>
      <c r="C74" s="137" t="str">
        <f>IFERROR(VLOOKUP(B74,DES,2,FALSE),"")</f>
        <v>Lista</v>
      </c>
      <c r="D74" s="137">
        <f>IFERROR(VLOOKUP(B74,DES,3,FALSE),"")</f>
        <v>0.09</v>
      </c>
      <c r="E74" s="98">
        <f>IFERROR(VLOOKUP(B74,DES,4,FALSE),"")</f>
        <v>0</v>
      </c>
      <c r="F74" s="414">
        <f t="shared" si="364"/>
        <v>71</v>
      </c>
      <c r="G74" s="94" t="str">
        <f t="shared" si="365"/>
        <v>Lista</v>
      </c>
      <c r="H74" s="415">
        <f t="shared" si="366"/>
        <v>0.05</v>
      </c>
      <c r="I74" s="139" t="s">
        <v>328</v>
      </c>
      <c r="J74" s="125">
        <f t="shared" si="293"/>
        <v>0</v>
      </c>
      <c r="K74" s="141">
        <f t="shared" si="322"/>
        <v>0</v>
      </c>
      <c r="L74" s="113">
        <f t="shared" si="9"/>
        <v>0</v>
      </c>
      <c r="M74" s="116">
        <f t="shared" si="367"/>
        <v>56992.39</v>
      </c>
      <c r="N74" s="117">
        <f t="shared" si="368"/>
        <v>56992.39</v>
      </c>
      <c r="O74" s="114">
        <f t="shared" si="101"/>
        <v>56992.39</v>
      </c>
      <c r="P74" s="413" t="str">
        <f t="shared" si="329"/>
        <v/>
      </c>
      <c r="Q74" s="125">
        <f t="shared" si="248"/>
        <v>0</v>
      </c>
      <c r="R74" s="140">
        <f t="shared" si="323"/>
        <v>0</v>
      </c>
      <c r="S74" s="116">
        <f t="shared" si="14"/>
        <v>0</v>
      </c>
      <c r="T74" s="116">
        <f t="shared" si="369"/>
        <v>0</v>
      </c>
      <c r="U74" s="116">
        <f t="shared" si="370"/>
        <v>0</v>
      </c>
      <c r="V74" s="116">
        <f t="shared" si="17"/>
        <v>0</v>
      </c>
      <c r="W74" s="413" t="str">
        <f t="shared" si="324"/>
        <v/>
      </c>
      <c r="X74" s="123">
        <f t="shared" si="249"/>
        <v>0</v>
      </c>
      <c r="Y74" s="332">
        <f t="shared" si="325"/>
        <v>0</v>
      </c>
      <c r="Z74" s="113">
        <f t="shared" si="19"/>
        <v>0</v>
      </c>
      <c r="AA74" s="116">
        <f t="shared" si="371"/>
        <v>0</v>
      </c>
      <c r="AB74" s="117">
        <f t="shared" si="372"/>
        <v>0</v>
      </c>
      <c r="AC74" s="114">
        <f t="shared" si="22"/>
        <v>0</v>
      </c>
      <c r="AD74" s="97" t="str">
        <f t="shared" si="314"/>
        <v/>
      </c>
      <c r="AE74" s="433">
        <f t="shared" si="24"/>
        <v>0</v>
      </c>
      <c r="AF74" s="118">
        <f t="shared" si="373"/>
        <v>30846</v>
      </c>
      <c r="AG74" s="116">
        <f t="shared" si="26"/>
        <v>0</v>
      </c>
      <c r="AH74" s="116">
        <f t="shared" si="27"/>
        <v>56992.39</v>
      </c>
      <c r="AI74" s="116">
        <f t="shared" si="28"/>
        <v>56992.39</v>
      </c>
      <c r="AJ74" s="116">
        <f t="shared" si="29"/>
        <v>26146.39</v>
      </c>
      <c r="AK74" s="418">
        <f t="shared" si="315"/>
        <v>1.8476428061985346</v>
      </c>
      <c r="AL74" s="434">
        <f t="shared" si="270"/>
        <v>0</v>
      </c>
      <c r="AM74" s="140">
        <f t="shared" si="32"/>
        <v>0</v>
      </c>
      <c r="AN74" s="326">
        <f t="shared" si="374"/>
        <v>0</v>
      </c>
      <c r="AO74" s="333">
        <f t="shared" si="375"/>
        <v>0</v>
      </c>
      <c r="AP74" s="125">
        <f t="shared" si="339"/>
        <v>0</v>
      </c>
      <c r="AQ74" s="140">
        <f t="shared" si="177"/>
        <v>30902.46</v>
      </c>
      <c r="AR74" s="326">
        <f t="shared" si="340"/>
        <v>0</v>
      </c>
      <c r="AS74" s="333">
        <f t="shared" si="341"/>
        <v>30902.46</v>
      </c>
      <c r="AT74" s="125">
        <f t="shared" si="342"/>
        <v>0</v>
      </c>
      <c r="AU74" s="140">
        <f t="shared" si="40"/>
        <v>0</v>
      </c>
      <c r="AV74" s="326">
        <f t="shared" si="376"/>
        <v>98485.13</v>
      </c>
      <c r="AW74" s="332">
        <f t="shared" si="377"/>
        <v>98485.13</v>
      </c>
      <c r="AX74" s="122">
        <f t="shared" si="43"/>
        <v>30902.46</v>
      </c>
      <c r="AY74" s="326">
        <f t="shared" ref="AY74:AZ74" si="410">AN74+AR74+AV74</f>
        <v>98485.13</v>
      </c>
      <c r="AZ74" s="333">
        <f t="shared" si="410"/>
        <v>129387.59</v>
      </c>
      <c r="BA74" s="140">
        <f t="shared" ref="BA74:BB74" si="411">AX74+AG74</f>
        <v>30902.46</v>
      </c>
      <c r="BB74" s="326">
        <f t="shared" si="411"/>
        <v>155477.52000000002</v>
      </c>
      <c r="BC74" s="435">
        <f t="shared" si="46"/>
        <v>186379.97999999998</v>
      </c>
      <c r="BD74" s="434">
        <f t="shared" si="345"/>
        <v>0</v>
      </c>
      <c r="BE74" s="140">
        <f t="shared" si="48"/>
        <v>0</v>
      </c>
      <c r="BF74" s="123">
        <f t="shared" si="380"/>
        <v>0</v>
      </c>
      <c r="BG74" s="148">
        <f t="shared" si="381"/>
        <v>0</v>
      </c>
      <c r="BH74" s="125">
        <f t="shared" si="298"/>
        <v>0</v>
      </c>
      <c r="BI74" s="140">
        <f t="shared" si="52"/>
        <v>0</v>
      </c>
      <c r="BJ74" s="123">
        <f t="shared" si="382"/>
        <v>0</v>
      </c>
      <c r="BK74" s="125">
        <f t="shared" si="383"/>
        <v>0</v>
      </c>
      <c r="BL74" s="436">
        <f t="shared" si="299"/>
        <v>0</v>
      </c>
      <c r="BM74" s="140">
        <f t="shared" si="56"/>
        <v>177685.5</v>
      </c>
      <c r="BN74" s="326">
        <f t="shared" si="384"/>
        <v>28371.01</v>
      </c>
      <c r="BO74" s="333">
        <f t="shared" si="385"/>
        <v>206056.51</v>
      </c>
      <c r="BP74" s="140">
        <f t="shared" ref="BP74:BR74" si="412">SUM(BE74,BI74,BM74)</f>
        <v>177685.5</v>
      </c>
      <c r="BQ74" s="141">
        <f t="shared" si="412"/>
        <v>28371.01</v>
      </c>
      <c r="BR74" s="437">
        <f t="shared" si="412"/>
        <v>206056.51</v>
      </c>
      <c r="BS74" s="422">
        <f t="shared" si="301"/>
        <v>0</v>
      </c>
      <c r="BT74" s="140">
        <f t="shared" si="61"/>
        <v>99859</v>
      </c>
      <c r="BU74" s="123">
        <f t="shared" si="387"/>
        <v>5929.48</v>
      </c>
      <c r="BV74" s="148">
        <f t="shared" si="388"/>
        <v>105788.48</v>
      </c>
      <c r="BW74" s="423">
        <f t="shared" si="302"/>
        <v>0</v>
      </c>
      <c r="BX74" s="424">
        <f t="shared" si="303"/>
        <v>30846</v>
      </c>
    </row>
    <row r="75" spans="1:76" ht="13">
      <c r="A75" s="92">
        <f t="shared" si="362"/>
        <v>112014320</v>
      </c>
      <c r="B75" s="93">
        <f t="shared" si="363"/>
        <v>1</v>
      </c>
      <c r="C75" s="137" t="str">
        <f>IFERROR(VLOOKUP(B75,DES,2,FALSE),"")</f>
        <v>Lista</v>
      </c>
      <c r="D75" s="137">
        <f>IFERROR(VLOOKUP(B75,DES,3,FALSE),"")</f>
        <v>0.09</v>
      </c>
      <c r="E75" s="98">
        <f>IFERROR(VLOOKUP(B75,DES,4,FALSE),"")</f>
        <v>0</v>
      </c>
      <c r="F75" s="414">
        <f t="shared" si="364"/>
        <v>71</v>
      </c>
      <c r="G75" s="94" t="str">
        <f t="shared" si="365"/>
        <v>Lista</v>
      </c>
      <c r="H75" s="415">
        <f t="shared" si="366"/>
        <v>0.05</v>
      </c>
      <c r="I75" s="139" t="s">
        <v>329</v>
      </c>
      <c r="J75" s="125">
        <f t="shared" si="293"/>
        <v>352936.53</v>
      </c>
      <c r="K75" s="141">
        <f t="shared" si="322"/>
        <v>593303.95375650004</v>
      </c>
      <c r="L75" s="113" t="e">
        <f t="shared" si="9"/>
        <v>#VALUE!</v>
      </c>
      <c r="M75" s="116" t="str">
        <f t="shared" si="367"/>
        <v/>
      </c>
      <c r="N75" s="117">
        <f t="shared" si="368"/>
        <v>467936.1</v>
      </c>
      <c r="O75" s="114">
        <f t="shared" si="101"/>
        <v>-125367.85375650006</v>
      </c>
      <c r="P75" s="413">
        <f t="shared" si="329"/>
        <v>0.78869540146709904</v>
      </c>
      <c r="Q75" s="125">
        <f t="shared" si="248"/>
        <v>440383.59</v>
      </c>
      <c r="R75" s="140">
        <f t="shared" si="323"/>
        <v>782224.74598365009</v>
      </c>
      <c r="S75" s="116" t="e">
        <f t="shared" si="14"/>
        <v>#VALUE!</v>
      </c>
      <c r="T75" s="116" t="str">
        <f t="shared" si="369"/>
        <v/>
      </c>
      <c r="U75" s="116">
        <f t="shared" si="370"/>
        <v>342725.61</v>
      </c>
      <c r="V75" s="116">
        <f t="shared" si="17"/>
        <v>-439499.13598365011</v>
      </c>
      <c r="W75" s="413">
        <f t="shared" si="324"/>
        <v>0.43814212188981755</v>
      </c>
      <c r="X75" s="123">
        <f t="shared" si="249"/>
        <v>252590.14</v>
      </c>
      <c r="Y75" s="332">
        <f t="shared" si="325"/>
        <v>415097.79542109999</v>
      </c>
      <c r="Z75" s="113" t="e">
        <f t="shared" si="19"/>
        <v>#VALUE!</v>
      </c>
      <c r="AA75" s="116" t="str">
        <f t="shared" si="371"/>
        <v/>
      </c>
      <c r="AB75" s="117">
        <f t="shared" si="372"/>
        <v>292962.24</v>
      </c>
      <c r="AC75" s="114">
        <f t="shared" si="22"/>
        <v>-122135.5554211</v>
      </c>
      <c r="AD75" s="97">
        <f t="shared" si="314"/>
        <v>0.70576679334758119</v>
      </c>
      <c r="AE75" s="433">
        <f t="shared" si="24"/>
        <v>1790626.49516125</v>
      </c>
      <c r="AF75" s="118">
        <f t="shared" si="373"/>
        <v>908473.14</v>
      </c>
      <c r="AG75" s="116">
        <f t="shared" si="26"/>
        <v>1103623.95</v>
      </c>
      <c r="AH75" s="116">
        <f t="shared" si="27"/>
        <v>0</v>
      </c>
      <c r="AI75" s="116">
        <f t="shared" si="28"/>
        <v>1103623.95</v>
      </c>
      <c r="AJ75" s="116">
        <f t="shared" si="29"/>
        <v>195150.80999999994</v>
      </c>
      <c r="AK75" s="418">
        <f t="shared" si="315"/>
        <v>1.2148118655439828</v>
      </c>
      <c r="AL75" s="434">
        <f t="shared" si="270"/>
        <v>37337.32</v>
      </c>
      <c r="AM75" s="140" t="e">
        <f t="shared" si="32"/>
        <v>#VALUE!</v>
      </c>
      <c r="AN75" s="326" t="str">
        <f t="shared" si="374"/>
        <v/>
      </c>
      <c r="AO75" s="333">
        <f t="shared" si="375"/>
        <v>140875.07</v>
      </c>
      <c r="AP75" s="125">
        <f t="shared" si="339"/>
        <v>347010.88</v>
      </c>
      <c r="AQ75" s="140" t="e">
        <f t="shared" si="177"/>
        <v>#VALUE!</v>
      </c>
      <c r="AR75" s="326" t="str">
        <f t="shared" si="340"/>
        <v/>
      </c>
      <c r="AS75" s="333">
        <f t="shared" si="341"/>
        <v>0</v>
      </c>
      <c r="AT75" s="125">
        <f t="shared" si="342"/>
        <v>138633.04</v>
      </c>
      <c r="AU75" s="140" t="e">
        <f t="shared" si="40"/>
        <v>#VALUE!</v>
      </c>
      <c r="AV75" s="326" t="str">
        <f t="shared" si="376"/>
        <v/>
      </c>
      <c r="AW75" s="332">
        <f t="shared" si="377"/>
        <v>76626.81</v>
      </c>
      <c r="AX75" s="122" t="e">
        <f t="shared" si="43"/>
        <v>#VALUE!</v>
      </c>
      <c r="AY75" s="326" t="e">
        <f t="shared" ref="AY75:AZ75" si="413">AN75+AR75+AV75</f>
        <v>#VALUE!</v>
      </c>
      <c r="AZ75" s="333">
        <f t="shared" si="413"/>
        <v>217501.88</v>
      </c>
      <c r="BA75" s="140" t="e">
        <f t="shared" ref="BA75:BB75" si="414">AX75+AG75</f>
        <v>#VALUE!</v>
      </c>
      <c r="BB75" s="326" t="e">
        <f t="shared" si="414"/>
        <v>#VALUE!</v>
      </c>
      <c r="BC75" s="435">
        <f t="shared" si="46"/>
        <v>1321125.83</v>
      </c>
      <c r="BD75" s="434">
        <f t="shared" si="345"/>
        <v>906238.2</v>
      </c>
      <c r="BE75" s="140" t="e">
        <f t="shared" si="48"/>
        <v>#VALUE!</v>
      </c>
      <c r="BF75" s="123" t="str">
        <f t="shared" si="380"/>
        <v/>
      </c>
      <c r="BG75" s="148">
        <f t="shared" si="381"/>
        <v>0</v>
      </c>
      <c r="BH75" s="125">
        <f t="shared" si="298"/>
        <v>190576.28</v>
      </c>
      <c r="BI75" s="140" t="e">
        <f t="shared" si="52"/>
        <v>#VALUE!</v>
      </c>
      <c r="BJ75" s="123" t="str">
        <f t="shared" si="382"/>
        <v/>
      </c>
      <c r="BK75" s="125">
        <f t="shared" si="383"/>
        <v>13300</v>
      </c>
      <c r="BL75" s="436">
        <f t="shared" si="299"/>
        <v>132228.78</v>
      </c>
      <c r="BM75" s="140" t="e">
        <f t="shared" si="56"/>
        <v>#VALUE!</v>
      </c>
      <c r="BN75" s="326" t="str">
        <f t="shared" si="384"/>
        <v/>
      </c>
      <c r="BO75" s="333">
        <f t="shared" si="385"/>
        <v>0</v>
      </c>
      <c r="BP75" s="140" t="e">
        <f t="shared" ref="BP75:BR75" si="415">SUM(BE75,BI75,BM75)</f>
        <v>#VALUE!</v>
      </c>
      <c r="BQ75" s="141">
        <f t="shared" si="415"/>
        <v>0</v>
      </c>
      <c r="BR75" s="437">
        <f t="shared" si="415"/>
        <v>13300</v>
      </c>
      <c r="BS75" s="422">
        <f t="shared" si="301"/>
        <v>283274.18</v>
      </c>
      <c r="BT75" s="140" t="e">
        <f t="shared" si="61"/>
        <v>#VALUE!</v>
      </c>
      <c r="BU75" s="123" t="str">
        <f t="shared" si="387"/>
        <v/>
      </c>
      <c r="BV75" s="148">
        <f t="shared" si="388"/>
        <v>58357.26</v>
      </c>
      <c r="BW75" s="423">
        <f t="shared" si="302"/>
        <v>0</v>
      </c>
      <c r="BX75" s="424">
        <f t="shared" si="303"/>
        <v>625198.96</v>
      </c>
    </row>
    <row r="76" spans="1:76" ht="13">
      <c r="A76" s="92">
        <f t="shared" si="362"/>
        <v>112013171</v>
      </c>
      <c r="B76" s="93">
        <f t="shared" si="363"/>
        <v>1</v>
      </c>
      <c r="C76" s="137" t="str">
        <f>IFERROR(VLOOKUP(B76,DES,2,FALSE),"")</f>
        <v>Lista</v>
      </c>
      <c r="D76" s="137">
        <f>IFERROR(VLOOKUP(B76,DES,3,FALSE),"")</f>
        <v>0.09</v>
      </c>
      <c r="E76" s="98">
        <f>IFERROR(VLOOKUP(B76,DES,4,FALSE),"")</f>
        <v>0</v>
      </c>
      <c r="F76" s="414">
        <f t="shared" si="364"/>
        <v>71</v>
      </c>
      <c r="G76" s="94" t="str">
        <f t="shared" si="365"/>
        <v>Lista</v>
      </c>
      <c r="H76" s="415">
        <f t="shared" si="366"/>
        <v>0.05</v>
      </c>
      <c r="I76" s="139" t="s">
        <v>330</v>
      </c>
      <c r="J76" s="125">
        <f t="shared" si="293"/>
        <v>362680.42</v>
      </c>
      <c r="K76" s="141">
        <f t="shared" si="322"/>
        <v>609683.920041</v>
      </c>
      <c r="L76" s="113" t="e">
        <f t="shared" si="9"/>
        <v>#VALUE!</v>
      </c>
      <c r="M76" s="116" t="str">
        <f t="shared" si="367"/>
        <v/>
      </c>
      <c r="N76" s="117">
        <f t="shared" si="368"/>
        <v>382423</v>
      </c>
      <c r="O76" s="114">
        <f t="shared" si="101"/>
        <v>-227260.920041</v>
      </c>
      <c r="P76" s="413">
        <f t="shared" si="329"/>
        <v>0.62724796805249983</v>
      </c>
      <c r="Q76" s="125">
        <f t="shared" si="248"/>
        <v>290499.11</v>
      </c>
      <c r="R76" s="140">
        <f t="shared" si="323"/>
        <v>515994.68665084994</v>
      </c>
      <c r="S76" s="116" t="e">
        <f t="shared" si="14"/>
        <v>#VALUE!</v>
      </c>
      <c r="T76" s="116" t="str">
        <f t="shared" si="369"/>
        <v/>
      </c>
      <c r="U76" s="116">
        <f t="shared" si="370"/>
        <v>257806.8</v>
      </c>
      <c r="V76" s="116">
        <f t="shared" si="17"/>
        <v>-258187.88665084995</v>
      </c>
      <c r="W76" s="413">
        <f t="shared" si="324"/>
        <v>0.49963072618700449</v>
      </c>
      <c r="X76" s="123">
        <f t="shared" si="249"/>
        <v>98029.51</v>
      </c>
      <c r="Y76" s="332">
        <f t="shared" si="325"/>
        <v>161098.26570114997</v>
      </c>
      <c r="Z76" s="113" t="e">
        <f t="shared" si="19"/>
        <v>#VALUE!</v>
      </c>
      <c r="AA76" s="116" t="str">
        <f t="shared" si="371"/>
        <v/>
      </c>
      <c r="AB76" s="117">
        <f t="shared" si="372"/>
        <v>355347.44</v>
      </c>
      <c r="AC76" s="114">
        <f t="shared" si="22"/>
        <v>194249.17429885003</v>
      </c>
      <c r="AD76" s="97">
        <f t="shared" si="314"/>
        <v>2.2057806671810956</v>
      </c>
      <c r="AE76" s="433">
        <f t="shared" si="24"/>
        <v>1286776.8723929999</v>
      </c>
      <c r="AF76" s="118">
        <f t="shared" si="373"/>
        <v>601695.74</v>
      </c>
      <c r="AG76" s="116">
        <f t="shared" si="26"/>
        <v>995577.24</v>
      </c>
      <c r="AH76" s="116">
        <f t="shared" si="27"/>
        <v>0</v>
      </c>
      <c r="AI76" s="116">
        <f t="shared" si="28"/>
        <v>995577.24</v>
      </c>
      <c r="AJ76" s="116">
        <f t="shared" si="29"/>
        <v>393881.5</v>
      </c>
      <c r="AK76" s="418">
        <f t="shared" si="315"/>
        <v>1.6546190604573667</v>
      </c>
      <c r="AL76" s="434">
        <f t="shared" si="270"/>
        <v>261514.75</v>
      </c>
      <c r="AM76" s="140" t="e">
        <f t="shared" si="32"/>
        <v>#VALUE!</v>
      </c>
      <c r="AN76" s="326" t="str">
        <f t="shared" si="374"/>
        <v/>
      </c>
      <c r="AO76" s="333">
        <f t="shared" si="375"/>
        <v>37134.5</v>
      </c>
      <c r="AP76" s="125">
        <f t="shared" si="339"/>
        <v>96808.93</v>
      </c>
      <c r="AQ76" s="140" t="e">
        <f t="shared" si="177"/>
        <v>#VALUE!</v>
      </c>
      <c r="AR76" s="326" t="str">
        <f t="shared" si="340"/>
        <v/>
      </c>
      <c r="AS76" s="333">
        <f t="shared" si="341"/>
        <v>187834.23</v>
      </c>
      <c r="AT76" s="125">
        <f t="shared" si="342"/>
        <v>67173.009999999995</v>
      </c>
      <c r="AU76" s="140" t="e">
        <f t="shared" si="40"/>
        <v>#VALUE!</v>
      </c>
      <c r="AV76" s="326" t="str">
        <f t="shared" si="376"/>
        <v/>
      </c>
      <c r="AW76" s="332">
        <f t="shared" si="377"/>
        <v>60884.97</v>
      </c>
      <c r="AX76" s="122" t="e">
        <f t="shared" si="43"/>
        <v>#VALUE!</v>
      </c>
      <c r="AY76" s="326" t="e">
        <f t="shared" ref="AY76:AZ76" si="416">AN76+AR76+AV76</f>
        <v>#VALUE!</v>
      </c>
      <c r="AZ76" s="333">
        <f t="shared" si="416"/>
        <v>285853.7</v>
      </c>
      <c r="BA76" s="140" t="e">
        <f t="shared" ref="BA76:BB76" si="417">AX76+AG76</f>
        <v>#VALUE!</v>
      </c>
      <c r="BB76" s="326" t="e">
        <f t="shared" si="417"/>
        <v>#VALUE!</v>
      </c>
      <c r="BC76" s="435">
        <f t="shared" si="46"/>
        <v>1281430.94</v>
      </c>
      <c r="BD76" s="434">
        <f t="shared" si="345"/>
        <v>99561.62</v>
      </c>
      <c r="BE76" s="140" t="e">
        <f t="shared" si="48"/>
        <v>#VALUE!</v>
      </c>
      <c r="BF76" s="123" t="str">
        <f t="shared" si="380"/>
        <v/>
      </c>
      <c r="BG76" s="148">
        <f t="shared" si="381"/>
        <v>271124.63</v>
      </c>
      <c r="BH76" s="125">
        <f t="shared" si="298"/>
        <v>219150.06</v>
      </c>
      <c r="BI76" s="140" t="e">
        <f t="shared" si="52"/>
        <v>#VALUE!</v>
      </c>
      <c r="BJ76" s="123" t="str">
        <f t="shared" si="382"/>
        <v/>
      </c>
      <c r="BK76" s="125">
        <f t="shared" si="383"/>
        <v>75256.320000000007</v>
      </c>
      <c r="BL76" s="436">
        <f t="shared" si="299"/>
        <v>280491.8</v>
      </c>
      <c r="BM76" s="140" t="e">
        <f t="shared" si="56"/>
        <v>#VALUE!</v>
      </c>
      <c r="BN76" s="326" t="str">
        <f t="shared" si="384"/>
        <v/>
      </c>
      <c r="BO76" s="333">
        <f t="shared" si="385"/>
        <v>339433.3</v>
      </c>
      <c r="BP76" s="140" t="e">
        <f t="shared" ref="BP76:BR76" si="418">SUM(BE76,BI76,BM76)</f>
        <v>#VALUE!</v>
      </c>
      <c r="BQ76" s="141">
        <f t="shared" si="418"/>
        <v>0</v>
      </c>
      <c r="BR76" s="437">
        <f t="shared" si="418"/>
        <v>685814.25</v>
      </c>
      <c r="BS76" s="422">
        <f t="shared" si="301"/>
        <v>101650</v>
      </c>
      <c r="BT76" s="140" t="e">
        <f t="shared" si="61"/>
        <v>#VALUE!</v>
      </c>
      <c r="BU76" s="123" t="str">
        <f t="shared" si="387"/>
        <v/>
      </c>
      <c r="BV76" s="148">
        <f t="shared" si="388"/>
        <v>230973.6</v>
      </c>
      <c r="BW76" s="423">
        <f t="shared" si="302"/>
        <v>312882.74</v>
      </c>
      <c r="BX76" s="424">
        <f t="shared" si="303"/>
        <v>187163</v>
      </c>
    </row>
    <row r="77" spans="1:76" ht="13">
      <c r="A77" s="92">
        <f t="shared" si="362"/>
        <v>112012433</v>
      </c>
      <c r="B77" s="93">
        <f t="shared" si="363"/>
        <v>1</v>
      </c>
      <c r="C77" s="137" t="str">
        <f>VLOOKUP(B77,DES,2,FALSE)</f>
        <v>Lista</v>
      </c>
      <c r="D77" s="137">
        <f>VLOOKUP(B77,DES,3,FALSE)</f>
        <v>0.09</v>
      </c>
      <c r="E77" s="98">
        <f>VLOOKUP(B77,DES,4,FALSE)</f>
        <v>0</v>
      </c>
      <c r="F77" s="414">
        <f t="shared" si="364"/>
        <v>71</v>
      </c>
      <c r="G77" s="94" t="str">
        <f t="shared" si="365"/>
        <v>Lista</v>
      </c>
      <c r="H77" s="415">
        <f t="shared" si="366"/>
        <v>0.05</v>
      </c>
      <c r="I77" s="139" t="s">
        <v>331</v>
      </c>
      <c r="J77" s="125">
        <f t="shared" si="293"/>
        <v>365387.82</v>
      </c>
      <c r="K77" s="141">
        <f t="shared" si="322"/>
        <v>614235.19481100002</v>
      </c>
      <c r="L77" s="113" t="e">
        <f t="shared" si="9"/>
        <v>#VALUE!</v>
      </c>
      <c r="M77" s="116" t="str">
        <f t="shared" si="367"/>
        <v/>
      </c>
      <c r="N77" s="117">
        <f t="shared" si="368"/>
        <v>0</v>
      </c>
      <c r="O77" s="114">
        <f t="shared" si="101"/>
        <v>-614235.19481100002</v>
      </c>
      <c r="P77" s="413">
        <f t="shared" si="329"/>
        <v>0</v>
      </c>
      <c r="Q77" s="125">
        <f t="shared" si="248"/>
        <v>29896.12</v>
      </c>
      <c r="R77" s="140">
        <f t="shared" si="323"/>
        <v>53102.534708200001</v>
      </c>
      <c r="S77" s="116" t="e">
        <f t="shared" si="14"/>
        <v>#VALUE!</v>
      </c>
      <c r="T77" s="116" t="str">
        <f t="shared" si="369"/>
        <v/>
      </c>
      <c r="U77" s="116">
        <f t="shared" si="370"/>
        <v>0</v>
      </c>
      <c r="V77" s="116">
        <f t="shared" si="17"/>
        <v>-53102.534708200001</v>
      </c>
      <c r="W77" s="413">
        <f t="shared" si="324"/>
        <v>0</v>
      </c>
      <c r="X77" s="123">
        <f t="shared" si="249"/>
        <v>0</v>
      </c>
      <c r="Y77" s="332">
        <f t="shared" si="325"/>
        <v>0</v>
      </c>
      <c r="Z77" s="113" t="e">
        <f t="shared" si="19"/>
        <v>#VALUE!</v>
      </c>
      <c r="AA77" s="116" t="str">
        <f t="shared" si="371"/>
        <v/>
      </c>
      <c r="AB77" s="117">
        <f t="shared" si="372"/>
        <v>0</v>
      </c>
      <c r="AC77" s="114">
        <f t="shared" si="22"/>
        <v>0</v>
      </c>
      <c r="AD77" s="97" t="str">
        <f t="shared" si="314"/>
        <v/>
      </c>
      <c r="AE77" s="433">
        <f t="shared" si="24"/>
        <v>667337.72951920005</v>
      </c>
      <c r="AF77" s="118" t="str">
        <f t="shared" si="373"/>
        <v>0</v>
      </c>
      <c r="AG77" s="116">
        <f t="shared" si="26"/>
        <v>0</v>
      </c>
      <c r="AH77" s="116">
        <f t="shared" si="27"/>
        <v>0</v>
      </c>
      <c r="AI77" s="116">
        <f t="shared" si="28"/>
        <v>0</v>
      </c>
      <c r="AJ77" s="116">
        <f t="shared" si="29"/>
        <v>0</v>
      </c>
      <c r="AK77" s="418" t="str">
        <f t="shared" si="315"/>
        <v/>
      </c>
      <c r="AL77" s="434">
        <f t="shared" si="270"/>
        <v>0</v>
      </c>
      <c r="AM77" s="140" t="e">
        <f t="shared" si="32"/>
        <v>#VALUE!</v>
      </c>
      <c r="AN77" s="326" t="str">
        <f t="shared" si="374"/>
        <v/>
      </c>
      <c r="AO77" s="333">
        <f t="shared" si="375"/>
        <v>0</v>
      </c>
      <c r="AP77" s="125">
        <f t="shared" si="339"/>
        <v>0</v>
      </c>
      <c r="AQ77" s="140" t="e">
        <f t="shared" si="177"/>
        <v>#VALUE!</v>
      </c>
      <c r="AR77" s="326" t="str">
        <f t="shared" si="340"/>
        <v/>
      </c>
      <c r="AS77" s="333">
        <f t="shared" si="341"/>
        <v>0</v>
      </c>
      <c r="AT77" s="125">
        <f t="shared" si="342"/>
        <v>0</v>
      </c>
      <c r="AU77" s="140" t="e">
        <f t="shared" si="40"/>
        <v>#VALUE!</v>
      </c>
      <c r="AV77" s="326" t="str">
        <f t="shared" si="376"/>
        <v/>
      </c>
      <c r="AW77" s="332">
        <f t="shared" si="377"/>
        <v>289384.62</v>
      </c>
      <c r="AX77" s="122" t="e">
        <f t="shared" si="43"/>
        <v>#VALUE!</v>
      </c>
      <c r="AY77" s="326" t="e">
        <f t="shared" ref="AY77:AZ77" si="419">AN77+AR77+AV77</f>
        <v>#VALUE!</v>
      </c>
      <c r="AZ77" s="333">
        <f t="shared" si="419"/>
        <v>289384.62</v>
      </c>
      <c r="BA77" s="140" t="e">
        <f t="shared" ref="BA77:BB77" si="420">AX77+AG77</f>
        <v>#VALUE!</v>
      </c>
      <c r="BB77" s="326" t="e">
        <f t="shared" si="420"/>
        <v>#VALUE!</v>
      </c>
      <c r="BC77" s="435">
        <f t="shared" si="46"/>
        <v>289384.62</v>
      </c>
      <c r="BD77" s="434">
        <f t="shared" si="345"/>
        <v>0</v>
      </c>
      <c r="BE77" s="140" t="e">
        <f t="shared" si="48"/>
        <v>#VALUE!</v>
      </c>
      <c r="BF77" s="123" t="str">
        <f t="shared" si="380"/>
        <v/>
      </c>
      <c r="BG77" s="148">
        <f t="shared" si="381"/>
        <v>0</v>
      </c>
      <c r="BH77" s="125">
        <f t="shared" si="298"/>
        <v>0</v>
      </c>
      <c r="BI77" s="140" t="e">
        <f t="shared" si="52"/>
        <v>#VALUE!</v>
      </c>
      <c r="BJ77" s="123" t="str">
        <f t="shared" si="382"/>
        <v/>
      </c>
      <c r="BK77" s="125">
        <f t="shared" si="383"/>
        <v>0</v>
      </c>
      <c r="BL77" s="436">
        <f t="shared" si="299"/>
        <v>0</v>
      </c>
      <c r="BM77" s="140" t="e">
        <f t="shared" si="56"/>
        <v>#VALUE!</v>
      </c>
      <c r="BN77" s="326" t="str">
        <f t="shared" si="384"/>
        <v/>
      </c>
      <c r="BO77" s="333">
        <f t="shared" si="385"/>
        <v>105512</v>
      </c>
      <c r="BP77" s="140" t="e">
        <f t="shared" ref="BP77:BR77" si="421">SUM(BE77,BI77,BM77)</f>
        <v>#VALUE!</v>
      </c>
      <c r="BQ77" s="141">
        <f t="shared" si="421"/>
        <v>0</v>
      </c>
      <c r="BR77" s="437">
        <f t="shared" si="421"/>
        <v>105512</v>
      </c>
      <c r="BS77" s="422">
        <f t="shared" si="301"/>
        <v>0</v>
      </c>
      <c r="BT77" s="140" t="e">
        <f t="shared" si="61"/>
        <v>#VALUE!</v>
      </c>
      <c r="BU77" s="123" t="str">
        <f t="shared" si="387"/>
        <v/>
      </c>
      <c r="BV77" s="148">
        <f t="shared" si="388"/>
        <v>0</v>
      </c>
      <c r="BW77" s="423">
        <f t="shared" si="302"/>
        <v>0</v>
      </c>
      <c r="BX77" s="424">
        <f t="shared" si="303"/>
        <v>0</v>
      </c>
    </row>
    <row r="78" spans="1:76" ht="13">
      <c r="A78" s="92">
        <f t="shared" si="362"/>
        <v>112014676</v>
      </c>
      <c r="B78" s="93">
        <f t="shared" si="363"/>
        <v>1</v>
      </c>
      <c r="C78" s="137" t="str">
        <f>IFERROR(VLOOKUP(B78,DES,2,FALSE),"")</f>
        <v>Lista</v>
      </c>
      <c r="D78" s="137">
        <f>IFERROR(VLOOKUP(B78,DES,3,FALSE),"")</f>
        <v>0.09</v>
      </c>
      <c r="E78" s="98">
        <f>IFERROR(VLOOKUP(B78,DES,4,FALSE),"")</f>
        <v>0</v>
      </c>
      <c r="F78" s="414">
        <f t="shared" si="364"/>
        <v>71</v>
      </c>
      <c r="G78" s="94" t="str">
        <f t="shared" si="365"/>
        <v>Lista</v>
      </c>
      <c r="H78" s="415">
        <f t="shared" si="366"/>
        <v>0.05</v>
      </c>
      <c r="I78" s="233" t="s">
        <v>332</v>
      </c>
      <c r="J78" s="125"/>
      <c r="K78" s="141"/>
      <c r="L78" s="113" t="e">
        <f t="shared" si="9"/>
        <v>#VALUE!</v>
      </c>
      <c r="M78" s="116" t="str">
        <f t="shared" si="367"/>
        <v/>
      </c>
      <c r="N78" s="117">
        <f t="shared" si="368"/>
        <v>0</v>
      </c>
      <c r="O78" s="114"/>
      <c r="P78" s="413"/>
      <c r="Q78" s="125"/>
      <c r="R78" s="140"/>
      <c r="S78" s="116" t="e">
        <f t="shared" si="14"/>
        <v>#VALUE!</v>
      </c>
      <c r="T78" s="116" t="str">
        <f t="shared" si="369"/>
        <v/>
      </c>
      <c r="U78" s="116">
        <f t="shared" si="370"/>
        <v>0</v>
      </c>
      <c r="V78" s="116"/>
      <c r="W78" s="413"/>
      <c r="X78" s="123"/>
      <c r="Y78" s="332"/>
      <c r="Z78" s="113" t="e">
        <f t="shared" si="19"/>
        <v>#VALUE!</v>
      </c>
      <c r="AA78" s="116" t="str">
        <f t="shared" si="371"/>
        <v/>
      </c>
      <c r="AB78" s="117">
        <f t="shared" si="372"/>
        <v>0</v>
      </c>
      <c r="AC78" s="114"/>
      <c r="AD78" s="97"/>
      <c r="AE78" s="433"/>
      <c r="AF78" s="118" t="str">
        <f t="shared" si="373"/>
        <v>0</v>
      </c>
      <c r="AG78" s="463"/>
      <c r="AH78" s="463"/>
      <c r="AI78" s="463"/>
      <c r="AJ78" s="116">
        <f t="shared" si="29"/>
        <v>0</v>
      </c>
      <c r="AK78" s="418" t="str">
        <f t="shared" si="315"/>
        <v/>
      </c>
      <c r="AL78" s="434"/>
      <c r="AM78" s="140" t="e">
        <f t="shared" si="32"/>
        <v>#VALUE!</v>
      </c>
      <c r="AN78" s="326" t="str">
        <f t="shared" si="374"/>
        <v/>
      </c>
      <c r="AO78" s="333">
        <f t="shared" si="375"/>
        <v>11672.63</v>
      </c>
      <c r="AP78" s="125"/>
      <c r="AQ78" s="140" t="e">
        <f t="shared" si="177"/>
        <v>#VALUE!</v>
      </c>
      <c r="AR78" s="326" t="str">
        <f t="shared" si="340"/>
        <v/>
      </c>
      <c r="AS78" s="333">
        <f t="shared" si="341"/>
        <v>336984.7</v>
      </c>
      <c r="AT78" s="125"/>
      <c r="AU78" s="140" t="e">
        <f t="shared" si="40"/>
        <v>#VALUE!</v>
      </c>
      <c r="AV78" s="326" t="str">
        <f t="shared" si="376"/>
        <v/>
      </c>
      <c r="AW78" s="332">
        <f t="shared" si="377"/>
        <v>0</v>
      </c>
      <c r="AX78" s="122" t="e">
        <f t="shared" si="43"/>
        <v>#VALUE!</v>
      </c>
      <c r="AY78" s="326" t="e">
        <f t="shared" ref="AY78:AZ78" si="422">AN78+AR78+AV78</f>
        <v>#VALUE!</v>
      </c>
      <c r="AZ78" s="333">
        <f t="shared" si="422"/>
        <v>348657.33</v>
      </c>
      <c r="BA78" s="140" t="e">
        <f t="shared" ref="BA78:BB78" si="423">AX78+AG78</f>
        <v>#VALUE!</v>
      </c>
      <c r="BB78" s="326" t="e">
        <f t="shared" si="423"/>
        <v>#VALUE!</v>
      </c>
      <c r="BC78" s="435">
        <f t="shared" si="46"/>
        <v>348657.33</v>
      </c>
      <c r="BD78" s="434"/>
      <c r="BE78" s="140" t="e">
        <f t="shared" si="48"/>
        <v>#VALUE!</v>
      </c>
      <c r="BF78" s="123" t="str">
        <f t="shared" si="380"/>
        <v/>
      </c>
      <c r="BG78" s="148">
        <f t="shared" si="381"/>
        <v>0</v>
      </c>
      <c r="BH78" s="125"/>
      <c r="BI78" s="140" t="e">
        <f t="shared" si="52"/>
        <v>#VALUE!</v>
      </c>
      <c r="BJ78" s="123" t="str">
        <f t="shared" si="382"/>
        <v/>
      </c>
      <c r="BK78" s="125">
        <f t="shared" si="383"/>
        <v>95215.81</v>
      </c>
      <c r="BL78" s="436"/>
      <c r="BM78" s="140" t="e">
        <f t="shared" si="56"/>
        <v>#VALUE!</v>
      </c>
      <c r="BN78" s="326" t="str">
        <f t="shared" si="384"/>
        <v/>
      </c>
      <c r="BO78" s="333">
        <f t="shared" si="385"/>
        <v>0</v>
      </c>
      <c r="BP78" s="140" t="e">
        <f t="shared" ref="BP78:BR78" si="424">SUM(BE78,BI78,BM78)</f>
        <v>#VALUE!</v>
      </c>
      <c r="BQ78" s="141">
        <f t="shared" si="424"/>
        <v>0</v>
      </c>
      <c r="BR78" s="437">
        <f t="shared" si="424"/>
        <v>95215.81</v>
      </c>
      <c r="BS78" s="422"/>
      <c r="BT78" s="140" t="e">
        <f t="shared" si="61"/>
        <v>#VALUE!</v>
      </c>
      <c r="BU78" s="123" t="str">
        <f t="shared" si="387"/>
        <v/>
      </c>
      <c r="BV78" s="148">
        <f t="shared" si="388"/>
        <v>238452</v>
      </c>
      <c r="BW78" s="423"/>
      <c r="BX78" s="424"/>
    </row>
    <row r="79" spans="1:76" ht="13">
      <c r="A79" s="92">
        <f t="shared" si="362"/>
        <v>112012828</v>
      </c>
      <c r="B79" s="93">
        <f t="shared" si="363"/>
        <v>1</v>
      </c>
      <c r="C79" s="137" t="str">
        <f>IFERROR(VLOOKUP(B79,DES,2,FALSE),"")</f>
        <v>Lista</v>
      </c>
      <c r="D79" s="137">
        <f>IFERROR(VLOOKUP(B79,DES,3,FALSE),"")</f>
        <v>0.09</v>
      </c>
      <c r="E79" s="98">
        <f>IFERROR(VLOOKUP(B79,DES,4,FALSE),"")</f>
        <v>0</v>
      </c>
      <c r="F79" s="414">
        <f t="shared" si="364"/>
        <v>71</v>
      </c>
      <c r="G79" s="94" t="str">
        <f t="shared" si="365"/>
        <v>Lista</v>
      </c>
      <c r="H79" s="415">
        <f t="shared" si="366"/>
        <v>0.05</v>
      </c>
      <c r="I79" s="139" t="s">
        <v>333</v>
      </c>
      <c r="J79" s="125">
        <f t="shared" ref="J79:J92" si="425">IFERROR(VLOOKUP(I79,CALO24,3,FALSE),"")</f>
        <v>0</v>
      </c>
      <c r="K79" s="141">
        <f t="shared" ref="K79:K92" si="426">(J79*1.601)*1.05</f>
        <v>0</v>
      </c>
      <c r="L79" s="113" t="e">
        <f t="shared" si="9"/>
        <v>#VALUE!</v>
      </c>
      <c r="M79" s="116" t="str">
        <f t="shared" si="367"/>
        <v/>
      </c>
      <c r="N79" s="117">
        <f t="shared" si="368"/>
        <v>0</v>
      </c>
      <c r="O79" s="114">
        <f t="shared" ref="O79:O99" si="427">N79-K79</f>
        <v>0</v>
      </c>
      <c r="P79" s="413" t="str">
        <f t="shared" ref="P79:P99" si="428">IFERROR(N79/K79,"")</f>
        <v/>
      </c>
      <c r="Q79" s="125">
        <f t="shared" ref="Q79:Q99" si="429">IFERROR(VLOOKUP(I79,CALO24,4,FALSE),"")</f>
        <v>91120.66</v>
      </c>
      <c r="R79" s="140">
        <f t="shared" ref="R79:R99" si="430">(Q79*1.7245)*1.03</f>
        <v>161851.70551510001</v>
      </c>
      <c r="S79" s="116" t="e">
        <f t="shared" si="14"/>
        <v>#VALUE!</v>
      </c>
      <c r="T79" s="116" t="str">
        <f t="shared" si="369"/>
        <v/>
      </c>
      <c r="U79" s="116">
        <f t="shared" si="370"/>
        <v>576715.69999999995</v>
      </c>
      <c r="V79" s="116">
        <f t="shared" ref="V79:V99" si="431">U79-R79</f>
        <v>414863.99448489991</v>
      </c>
      <c r="W79" s="413">
        <f t="shared" ref="W79:W99" si="432">IFERROR(U79/R79,"")</f>
        <v>3.5632352353938899</v>
      </c>
      <c r="X79" s="123">
        <f t="shared" ref="X79:X99" si="433">IFERROR(VLOOKUP(I79,CALO24,5,FALSE),"")</f>
        <v>154165.29</v>
      </c>
      <c r="Y79" s="332">
        <f t="shared" ref="Y79:Y99" si="434">(X79*1.5955)*1.03</f>
        <v>253349.84180085</v>
      </c>
      <c r="Z79" s="113" t="e">
        <f t="shared" si="19"/>
        <v>#VALUE!</v>
      </c>
      <c r="AA79" s="116" t="str">
        <f t="shared" si="371"/>
        <v/>
      </c>
      <c r="AB79" s="117">
        <f t="shared" si="372"/>
        <v>0</v>
      </c>
      <c r="AC79" s="114">
        <f t="shared" ref="AC79:AC99" si="435">AB79-Y79</f>
        <v>-253349.84180085</v>
      </c>
      <c r="AD79" s="97">
        <f t="shared" ref="AD79:AD99" si="436">IFERROR(AB79/Y79,"")</f>
        <v>0</v>
      </c>
      <c r="AE79" s="433">
        <f t="shared" ref="AE79:AE99" si="437">SUM(K79,R79,Y79)</f>
        <v>415201.54731595004</v>
      </c>
      <c r="AF79" s="118">
        <f t="shared" si="373"/>
        <v>516776.03</v>
      </c>
      <c r="AG79" s="116">
        <f t="shared" ref="AG79:AG99" si="438">AI79-AH79</f>
        <v>576715.69999999995</v>
      </c>
      <c r="AH79" s="116">
        <f t="shared" ref="AH79:AH99" si="439">SUM(AA79,T79,T79,M79)</f>
        <v>0</v>
      </c>
      <c r="AI79" s="116">
        <f t="shared" ref="AI79:AI99" si="440">SUM(AB79,U79,N79)</f>
        <v>576715.69999999995</v>
      </c>
      <c r="AJ79" s="116">
        <f t="shared" si="29"/>
        <v>59939.669999999925</v>
      </c>
      <c r="AK79" s="418">
        <f t="shared" si="315"/>
        <v>1.1159877132846117</v>
      </c>
      <c r="AL79" s="434">
        <f t="shared" ref="AL79:AL99" si="441">IFERROR(VLOOKUP(I79,CALO24,6,FALSE),"")</f>
        <v>249866.94</v>
      </c>
      <c r="AM79" s="140" t="e">
        <f t="shared" si="32"/>
        <v>#VALUE!</v>
      </c>
      <c r="AN79" s="326" t="str">
        <f t="shared" si="374"/>
        <v/>
      </c>
      <c r="AO79" s="333">
        <f t="shared" si="375"/>
        <v>392363.64</v>
      </c>
      <c r="AP79" s="125">
        <f t="shared" ref="AP79:AP99" si="442">IFERROR(VLOOKUP(I79,CALO24,7,FALSE),"")</f>
        <v>0</v>
      </c>
      <c r="AQ79" s="140" t="e">
        <f t="shared" si="177"/>
        <v>#VALUE!</v>
      </c>
      <c r="AR79" s="326" t="str">
        <f t="shared" si="340"/>
        <v/>
      </c>
      <c r="AS79" s="333">
        <f t="shared" si="341"/>
        <v>0</v>
      </c>
      <c r="AT79" s="125">
        <f t="shared" ref="AT79:AT99" si="443">IFERROR(VLOOKUP(I79,CALO24,8,FALSE),"")</f>
        <v>247642.98</v>
      </c>
      <c r="AU79" s="140" t="e">
        <f t="shared" si="40"/>
        <v>#VALUE!</v>
      </c>
      <c r="AV79" s="326" t="str">
        <f t="shared" si="376"/>
        <v/>
      </c>
      <c r="AW79" s="332">
        <f t="shared" si="377"/>
        <v>0</v>
      </c>
      <c r="AX79" s="122" t="e">
        <f t="shared" si="43"/>
        <v>#VALUE!</v>
      </c>
      <c r="AY79" s="326" t="e">
        <f t="shared" ref="AY79:AZ79" si="444">AN79+AR79+AV79</f>
        <v>#VALUE!</v>
      </c>
      <c r="AZ79" s="333">
        <f t="shared" si="444"/>
        <v>392363.64</v>
      </c>
      <c r="BA79" s="140" t="e">
        <f t="shared" ref="BA79:BB79" si="445">AX79+AG79</f>
        <v>#VALUE!</v>
      </c>
      <c r="BB79" s="326" t="e">
        <f t="shared" si="445"/>
        <v>#VALUE!</v>
      </c>
      <c r="BC79" s="435">
        <f t="shared" si="46"/>
        <v>969079.34</v>
      </c>
      <c r="BD79" s="434">
        <f t="shared" ref="BD79:BD99" si="446">IFERROR(VLOOKUP(I79,CALO24,9,FALSE),"")</f>
        <v>0</v>
      </c>
      <c r="BE79" s="140" t="e">
        <f t="shared" si="48"/>
        <v>#VALUE!</v>
      </c>
      <c r="BF79" s="123" t="str">
        <f t="shared" si="380"/>
        <v/>
      </c>
      <c r="BG79" s="148">
        <f t="shared" si="381"/>
        <v>0</v>
      </c>
      <c r="BH79" s="125">
        <f t="shared" ref="BH79:BH93" si="447">IFERROR(VLOOKUP(I79,CALO24,10,FALSE),"")</f>
        <v>0</v>
      </c>
      <c r="BI79" s="140" t="e">
        <f t="shared" si="52"/>
        <v>#VALUE!</v>
      </c>
      <c r="BJ79" s="123" t="str">
        <f t="shared" si="382"/>
        <v/>
      </c>
      <c r="BK79" s="125">
        <f t="shared" si="383"/>
        <v>0</v>
      </c>
      <c r="BL79" s="436">
        <f t="shared" ref="BL79:BL93" si="448">IFERROR(VLOOKUP(I79,CALO24,11,FALSE),"")</f>
        <v>368261.98</v>
      </c>
      <c r="BM79" s="140" t="e">
        <f t="shared" si="56"/>
        <v>#VALUE!</v>
      </c>
      <c r="BN79" s="326" t="str">
        <f t="shared" si="384"/>
        <v/>
      </c>
      <c r="BO79" s="333">
        <f t="shared" si="385"/>
        <v>0</v>
      </c>
      <c r="BP79" s="140" t="e">
        <f t="shared" ref="BP79:BR79" si="449">SUM(BE79,BI79,BM79)</f>
        <v>#VALUE!</v>
      </c>
      <c r="BQ79" s="141">
        <f t="shared" si="449"/>
        <v>0</v>
      </c>
      <c r="BR79" s="437">
        <f t="shared" si="449"/>
        <v>0</v>
      </c>
      <c r="BS79" s="422">
        <f t="shared" ref="BS79:BS93" si="450">IFERROR(VLOOKUP(I79,CALO24,12,FALSE),"")</f>
        <v>199177.69</v>
      </c>
      <c r="BT79" s="140" t="e">
        <f t="shared" si="61"/>
        <v>#VALUE!</v>
      </c>
      <c r="BU79" s="123" t="str">
        <f t="shared" si="387"/>
        <v/>
      </c>
      <c r="BV79" s="148">
        <f t="shared" si="388"/>
        <v>0</v>
      </c>
      <c r="BW79" s="423">
        <f t="shared" ref="BW79:BW93" si="451">IFERROR(VLOOKUP(I79,CALO24,13,FALSE),"")</f>
        <v>0</v>
      </c>
      <c r="BX79" s="424">
        <f t="shared" ref="BX79:BX93" si="452">IFERROR(VLOOKUP(I79,CALO24,14,FALSE),"")</f>
        <v>317598.34999999998</v>
      </c>
    </row>
    <row r="80" spans="1:76" ht="13">
      <c r="A80" s="92">
        <f t="shared" si="362"/>
        <v>112010142</v>
      </c>
      <c r="B80" s="93">
        <f t="shared" si="363"/>
        <v>1</v>
      </c>
      <c r="C80" s="137" t="str">
        <f t="shared" ref="C80:C85" si="453">VLOOKUP(B80,DES,2,FALSE)</f>
        <v>Lista</v>
      </c>
      <c r="D80" s="137">
        <f t="shared" ref="D80:D85" si="454">VLOOKUP(B80,DES,3,FALSE)</f>
        <v>0.09</v>
      </c>
      <c r="E80" s="98">
        <f t="shared" ref="E80:E85" si="455">VLOOKUP(B80,DES,4,FALSE)</f>
        <v>0</v>
      </c>
      <c r="F80" s="414">
        <f t="shared" si="364"/>
        <v>71</v>
      </c>
      <c r="G80" s="94" t="str">
        <f t="shared" si="365"/>
        <v>Lista</v>
      </c>
      <c r="H80" s="415">
        <f t="shared" si="366"/>
        <v>0.05</v>
      </c>
      <c r="I80" s="139" t="s">
        <v>334</v>
      </c>
      <c r="J80" s="125">
        <f t="shared" si="425"/>
        <v>1304062</v>
      </c>
      <c r="K80" s="141">
        <f t="shared" si="426"/>
        <v>2192193.4251000001</v>
      </c>
      <c r="L80" s="113" t="e">
        <f t="shared" si="9"/>
        <v>#VALUE!</v>
      </c>
      <c r="M80" s="116" t="str">
        <f t="shared" si="367"/>
        <v/>
      </c>
      <c r="N80" s="117">
        <f t="shared" si="368"/>
        <v>2667962.96</v>
      </c>
      <c r="O80" s="114">
        <f t="shared" si="427"/>
        <v>475769.53489999985</v>
      </c>
      <c r="P80" s="413">
        <f t="shared" si="428"/>
        <v>1.2170289945460888</v>
      </c>
      <c r="Q80" s="125">
        <f t="shared" si="429"/>
        <v>1284281.08</v>
      </c>
      <c r="R80" s="140">
        <f t="shared" si="430"/>
        <v>2281185.0041338</v>
      </c>
      <c r="S80" s="116" t="e">
        <f t="shared" si="14"/>
        <v>#VALUE!</v>
      </c>
      <c r="T80" s="116" t="str">
        <f t="shared" si="369"/>
        <v/>
      </c>
      <c r="U80" s="116">
        <f t="shared" si="370"/>
        <v>1598960.69</v>
      </c>
      <c r="V80" s="116">
        <f t="shared" si="431"/>
        <v>-682224.3141338001</v>
      </c>
      <c r="W80" s="413">
        <f t="shared" si="432"/>
        <v>0.70093424562342732</v>
      </c>
      <c r="X80" s="123">
        <f t="shared" si="433"/>
        <v>2878017.13</v>
      </c>
      <c r="Y80" s="332">
        <f t="shared" si="434"/>
        <v>4729632.6208424494</v>
      </c>
      <c r="Z80" s="113" t="e">
        <f t="shared" si="19"/>
        <v>#VALUE!</v>
      </c>
      <c r="AA80" s="116" t="str">
        <f t="shared" si="371"/>
        <v/>
      </c>
      <c r="AB80" s="117">
        <f t="shared" si="372"/>
        <v>1665879.14</v>
      </c>
      <c r="AC80" s="114">
        <f t="shared" si="435"/>
        <v>-3063753.4808424497</v>
      </c>
      <c r="AD80" s="97">
        <f t="shared" si="436"/>
        <v>0.35222167841511354</v>
      </c>
      <c r="AE80" s="433">
        <f t="shared" si="437"/>
        <v>9203011.05007625</v>
      </c>
      <c r="AF80" s="118">
        <f t="shared" si="373"/>
        <v>6735927.7999999998</v>
      </c>
      <c r="AG80" s="116">
        <f t="shared" si="438"/>
        <v>5932802.79</v>
      </c>
      <c r="AH80" s="116">
        <f t="shared" si="439"/>
        <v>0</v>
      </c>
      <c r="AI80" s="116">
        <f t="shared" si="440"/>
        <v>5932802.79</v>
      </c>
      <c r="AJ80" s="116">
        <f t="shared" si="29"/>
        <v>-803125.00999999978</v>
      </c>
      <c r="AK80" s="418">
        <f t="shared" si="315"/>
        <v>0.88076994976104106</v>
      </c>
      <c r="AL80" s="434">
        <f t="shared" si="441"/>
        <v>857508.74</v>
      </c>
      <c r="AM80" s="140" t="e">
        <f t="shared" si="32"/>
        <v>#VALUE!</v>
      </c>
      <c r="AN80" s="326" t="str">
        <f t="shared" si="374"/>
        <v/>
      </c>
      <c r="AO80" s="333">
        <f t="shared" si="375"/>
        <v>2545722.4500000002</v>
      </c>
      <c r="AP80" s="125">
        <f t="shared" si="442"/>
        <v>2900257.12</v>
      </c>
      <c r="AQ80" s="140" t="e">
        <f t="shared" si="177"/>
        <v>#VALUE!</v>
      </c>
      <c r="AR80" s="326" t="str">
        <f t="shared" si="340"/>
        <v/>
      </c>
      <c r="AS80" s="333">
        <f t="shared" si="341"/>
        <v>2905513.14</v>
      </c>
      <c r="AT80" s="125">
        <f t="shared" si="443"/>
        <v>3312018.15</v>
      </c>
      <c r="AU80" s="140" t="e">
        <f t="shared" si="40"/>
        <v>#VALUE!</v>
      </c>
      <c r="AV80" s="326" t="str">
        <f t="shared" si="376"/>
        <v/>
      </c>
      <c r="AW80" s="332">
        <f t="shared" si="377"/>
        <v>7277787.4699999997</v>
      </c>
      <c r="AX80" s="122" t="e">
        <f t="shared" si="43"/>
        <v>#VALUE!</v>
      </c>
      <c r="AY80" s="326" t="e">
        <f t="shared" ref="AY80:AZ80" si="456">AN80+AR80+AV80</f>
        <v>#VALUE!</v>
      </c>
      <c r="AZ80" s="333">
        <f t="shared" si="456"/>
        <v>12729023.059999999</v>
      </c>
      <c r="BA80" s="140" t="e">
        <f t="shared" ref="BA80:BB80" si="457">AX80+AG80</f>
        <v>#VALUE!</v>
      </c>
      <c r="BB80" s="326" t="e">
        <f t="shared" si="457"/>
        <v>#VALUE!</v>
      </c>
      <c r="BC80" s="435">
        <f t="shared" si="46"/>
        <v>18661825.849999998</v>
      </c>
      <c r="BD80" s="434">
        <f t="shared" si="446"/>
        <v>3010923.11</v>
      </c>
      <c r="BE80" s="140" t="e">
        <f t="shared" si="48"/>
        <v>#VALUE!</v>
      </c>
      <c r="BF80" s="123" t="str">
        <f t="shared" si="380"/>
        <v/>
      </c>
      <c r="BG80" s="148">
        <f t="shared" si="381"/>
        <v>2651545.3199999998</v>
      </c>
      <c r="BH80" s="125">
        <f t="shared" si="447"/>
        <v>303551.31</v>
      </c>
      <c r="BI80" s="140" t="e">
        <f t="shared" si="52"/>
        <v>#VALUE!</v>
      </c>
      <c r="BJ80" s="123" t="str">
        <f t="shared" si="382"/>
        <v/>
      </c>
      <c r="BK80" s="125">
        <f t="shared" si="383"/>
        <v>2161354.4300000002</v>
      </c>
      <c r="BL80" s="436">
        <f t="shared" si="448"/>
        <v>3041369.08</v>
      </c>
      <c r="BM80" s="140" t="e">
        <f t="shared" si="56"/>
        <v>#VALUE!</v>
      </c>
      <c r="BN80" s="326" t="str">
        <f t="shared" si="384"/>
        <v/>
      </c>
      <c r="BO80" s="333">
        <f t="shared" si="385"/>
        <v>655628.4</v>
      </c>
      <c r="BP80" s="140" t="e">
        <f t="shared" ref="BP80:BR80" si="458">SUM(BE80,BI80,BM80)</f>
        <v>#VALUE!</v>
      </c>
      <c r="BQ80" s="141">
        <f t="shared" si="458"/>
        <v>0</v>
      </c>
      <c r="BR80" s="437">
        <f t="shared" si="458"/>
        <v>5468528.1500000004</v>
      </c>
      <c r="BS80" s="422">
        <f t="shared" si="450"/>
        <v>2516600.67</v>
      </c>
      <c r="BT80" s="140" t="e">
        <f t="shared" si="61"/>
        <v>#VALUE!</v>
      </c>
      <c r="BU80" s="123" t="str">
        <f t="shared" si="387"/>
        <v/>
      </c>
      <c r="BV80" s="148">
        <f t="shared" si="388"/>
        <v>3387081.13</v>
      </c>
      <c r="BW80" s="423">
        <f t="shared" si="451"/>
        <v>1263236.74</v>
      </c>
      <c r="BX80" s="424">
        <f t="shared" si="452"/>
        <v>2956090.4</v>
      </c>
    </row>
    <row r="81" spans="1:77" ht="13">
      <c r="A81" s="92">
        <f t="shared" si="362"/>
        <v>112011956</v>
      </c>
      <c r="B81" s="93">
        <f t="shared" si="363"/>
        <v>1</v>
      </c>
      <c r="C81" s="137" t="str">
        <f t="shared" si="453"/>
        <v>Lista</v>
      </c>
      <c r="D81" s="137">
        <f t="shared" si="454"/>
        <v>0.09</v>
      </c>
      <c r="E81" s="98">
        <f t="shared" si="455"/>
        <v>0</v>
      </c>
      <c r="F81" s="414">
        <f t="shared" si="364"/>
        <v>71</v>
      </c>
      <c r="G81" s="94" t="str">
        <f t="shared" si="365"/>
        <v>Lista</v>
      </c>
      <c r="H81" s="415">
        <f t="shared" si="366"/>
        <v>0.05</v>
      </c>
      <c r="I81" s="139" t="s">
        <v>335</v>
      </c>
      <c r="J81" s="125">
        <f t="shared" si="425"/>
        <v>53261.98</v>
      </c>
      <c r="K81" s="141">
        <f t="shared" si="426"/>
        <v>89536.051479000002</v>
      </c>
      <c r="L81" s="113" t="e">
        <f t="shared" si="9"/>
        <v>#VALUE!</v>
      </c>
      <c r="M81" s="116" t="str">
        <f t="shared" si="367"/>
        <v/>
      </c>
      <c r="N81" s="117">
        <f t="shared" si="368"/>
        <v>0</v>
      </c>
      <c r="O81" s="114">
        <f t="shared" si="427"/>
        <v>-89536.051479000002</v>
      </c>
      <c r="P81" s="413">
        <f t="shared" si="428"/>
        <v>0</v>
      </c>
      <c r="Q81" s="125">
        <f t="shared" si="429"/>
        <v>116951.27</v>
      </c>
      <c r="R81" s="140">
        <f t="shared" si="430"/>
        <v>207732.93906845001</v>
      </c>
      <c r="S81" s="116" t="e">
        <f t="shared" si="14"/>
        <v>#VALUE!</v>
      </c>
      <c r="T81" s="116" t="str">
        <f t="shared" si="369"/>
        <v/>
      </c>
      <c r="U81" s="116">
        <f t="shared" si="370"/>
        <v>0</v>
      </c>
      <c r="V81" s="116">
        <f t="shared" si="431"/>
        <v>-207732.93906845001</v>
      </c>
      <c r="W81" s="413">
        <f t="shared" si="432"/>
        <v>0</v>
      </c>
      <c r="X81" s="123">
        <f t="shared" si="433"/>
        <v>0</v>
      </c>
      <c r="Y81" s="332">
        <f t="shared" si="434"/>
        <v>0</v>
      </c>
      <c r="Z81" s="113" t="e">
        <f t="shared" si="19"/>
        <v>#VALUE!</v>
      </c>
      <c r="AA81" s="116" t="str">
        <f t="shared" si="371"/>
        <v/>
      </c>
      <c r="AB81" s="117">
        <f t="shared" si="372"/>
        <v>189154.17</v>
      </c>
      <c r="AC81" s="114">
        <f t="shared" si="435"/>
        <v>189154.17</v>
      </c>
      <c r="AD81" s="97" t="str">
        <f t="shared" si="436"/>
        <v/>
      </c>
      <c r="AE81" s="433">
        <f t="shared" si="437"/>
        <v>297268.99054745003</v>
      </c>
      <c r="AF81" s="118">
        <f t="shared" si="373"/>
        <v>95441.93</v>
      </c>
      <c r="AG81" s="116">
        <f t="shared" si="438"/>
        <v>189154.17</v>
      </c>
      <c r="AH81" s="116">
        <f t="shared" si="439"/>
        <v>0</v>
      </c>
      <c r="AI81" s="116">
        <f t="shared" si="440"/>
        <v>189154.17</v>
      </c>
      <c r="AJ81" s="116">
        <f t="shared" si="29"/>
        <v>93712.24000000002</v>
      </c>
      <c r="AK81" s="418">
        <f t="shared" si="315"/>
        <v>1.9818770429307122</v>
      </c>
      <c r="AL81" s="434">
        <f t="shared" si="441"/>
        <v>0</v>
      </c>
      <c r="AM81" s="140" t="e">
        <f t="shared" si="32"/>
        <v>#VALUE!</v>
      </c>
      <c r="AN81" s="326" t="str">
        <f t="shared" si="374"/>
        <v/>
      </c>
      <c r="AO81" s="333">
        <f t="shared" si="375"/>
        <v>20560</v>
      </c>
      <c r="AP81" s="125">
        <f t="shared" si="442"/>
        <v>0</v>
      </c>
      <c r="AQ81" s="140" t="e">
        <f t="shared" si="177"/>
        <v>#VALUE!</v>
      </c>
      <c r="AR81" s="326" t="str">
        <f t="shared" si="340"/>
        <v/>
      </c>
      <c r="AS81" s="333">
        <f t="shared" si="341"/>
        <v>61943.1</v>
      </c>
      <c r="AT81" s="125">
        <f t="shared" si="443"/>
        <v>63992.959999999999</v>
      </c>
      <c r="AU81" s="140" t="e">
        <f t="shared" si="40"/>
        <v>#VALUE!</v>
      </c>
      <c r="AV81" s="326" t="str">
        <f t="shared" si="376"/>
        <v/>
      </c>
      <c r="AW81" s="332">
        <f t="shared" si="377"/>
        <v>23130</v>
      </c>
      <c r="AX81" s="122" t="e">
        <f t="shared" si="43"/>
        <v>#VALUE!</v>
      </c>
      <c r="AY81" s="326" t="e">
        <f t="shared" ref="AY81:AZ81" si="459">AN81+AR81+AV81</f>
        <v>#VALUE!</v>
      </c>
      <c r="AZ81" s="333">
        <f t="shared" si="459"/>
        <v>105633.1</v>
      </c>
      <c r="BA81" s="140" t="e">
        <f t="shared" ref="BA81:BB81" si="460">AX81+AG81</f>
        <v>#VALUE!</v>
      </c>
      <c r="BB81" s="326" t="e">
        <f t="shared" si="460"/>
        <v>#VALUE!</v>
      </c>
      <c r="BC81" s="435">
        <f t="shared" si="46"/>
        <v>294787.27</v>
      </c>
      <c r="BD81" s="434">
        <f t="shared" si="446"/>
        <v>0</v>
      </c>
      <c r="BE81" s="140" t="e">
        <f t="shared" si="48"/>
        <v>#VALUE!</v>
      </c>
      <c r="BF81" s="123" t="str">
        <f t="shared" si="380"/>
        <v/>
      </c>
      <c r="BG81" s="148">
        <f t="shared" si="381"/>
        <v>0</v>
      </c>
      <c r="BH81" s="125">
        <f t="shared" si="447"/>
        <v>35780.720000000001</v>
      </c>
      <c r="BI81" s="140" t="e">
        <f t="shared" si="52"/>
        <v>#VALUE!</v>
      </c>
      <c r="BJ81" s="123" t="str">
        <f t="shared" si="382"/>
        <v/>
      </c>
      <c r="BK81" s="125">
        <f t="shared" si="383"/>
        <v>61848</v>
      </c>
      <c r="BL81" s="436">
        <f t="shared" si="448"/>
        <v>0</v>
      </c>
      <c r="BM81" s="140" t="e">
        <f t="shared" si="56"/>
        <v>#VALUE!</v>
      </c>
      <c r="BN81" s="326" t="str">
        <f t="shared" si="384"/>
        <v/>
      </c>
      <c r="BO81" s="333">
        <f t="shared" si="385"/>
        <v>89005.28</v>
      </c>
      <c r="BP81" s="140" t="e">
        <f t="shared" ref="BP81:BR81" si="461">SUM(BE81,BI81,BM81)</f>
        <v>#VALUE!</v>
      </c>
      <c r="BQ81" s="141">
        <f t="shared" si="461"/>
        <v>0</v>
      </c>
      <c r="BR81" s="437">
        <f t="shared" si="461"/>
        <v>150853.28</v>
      </c>
      <c r="BS81" s="422">
        <f t="shared" si="450"/>
        <v>0</v>
      </c>
      <c r="BT81" s="140" t="e">
        <f t="shared" si="61"/>
        <v>#VALUE!</v>
      </c>
      <c r="BU81" s="123" t="str">
        <f t="shared" si="387"/>
        <v/>
      </c>
      <c r="BV81" s="148">
        <f t="shared" si="388"/>
        <v>69471.06</v>
      </c>
      <c r="BW81" s="423">
        <f t="shared" si="451"/>
        <v>71924.929999999993</v>
      </c>
      <c r="BX81" s="424">
        <f t="shared" si="452"/>
        <v>23517</v>
      </c>
    </row>
    <row r="82" spans="1:77" ht="13">
      <c r="A82" s="92">
        <f t="shared" si="362"/>
        <v>112011442</v>
      </c>
      <c r="B82" s="93">
        <f t="shared" si="363"/>
        <v>1</v>
      </c>
      <c r="C82" s="137" t="str">
        <f t="shared" si="453"/>
        <v>Lista</v>
      </c>
      <c r="D82" s="137">
        <f t="shared" si="454"/>
        <v>0.09</v>
      </c>
      <c r="E82" s="98">
        <f t="shared" si="455"/>
        <v>0</v>
      </c>
      <c r="F82" s="414">
        <f t="shared" si="364"/>
        <v>71</v>
      </c>
      <c r="G82" s="94" t="str">
        <f t="shared" si="365"/>
        <v>Lista</v>
      </c>
      <c r="H82" s="415">
        <f t="shared" si="366"/>
        <v>0.05</v>
      </c>
      <c r="I82" s="139" t="s">
        <v>336</v>
      </c>
      <c r="J82" s="125">
        <f t="shared" si="425"/>
        <v>129757.12</v>
      </c>
      <c r="K82" s="141">
        <f t="shared" si="426"/>
        <v>218128.206576</v>
      </c>
      <c r="L82" s="113">
        <f t="shared" si="9"/>
        <v>0</v>
      </c>
      <c r="M82" s="116">
        <f t="shared" si="367"/>
        <v>0</v>
      </c>
      <c r="N82" s="117">
        <f t="shared" si="368"/>
        <v>0</v>
      </c>
      <c r="O82" s="114">
        <f t="shared" si="427"/>
        <v>-218128.206576</v>
      </c>
      <c r="P82" s="413">
        <f t="shared" si="428"/>
        <v>0</v>
      </c>
      <c r="Q82" s="125">
        <f t="shared" si="429"/>
        <v>128812.66</v>
      </c>
      <c r="R82" s="140">
        <f t="shared" si="430"/>
        <v>228801.5551351</v>
      </c>
      <c r="S82" s="116">
        <f t="shared" si="14"/>
        <v>235125.07</v>
      </c>
      <c r="T82" s="116">
        <f t="shared" si="369"/>
        <v>57247.89</v>
      </c>
      <c r="U82" s="116">
        <f t="shared" si="370"/>
        <v>292372.96000000002</v>
      </c>
      <c r="V82" s="116">
        <f t="shared" si="431"/>
        <v>63571.404864900018</v>
      </c>
      <c r="W82" s="413">
        <f t="shared" si="432"/>
        <v>1.277845160743611</v>
      </c>
      <c r="X82" s="123">
        <f t="shared" si="433"/>
        <v>53430.75</v>
      </c>
      <c r="Y82" s="332">
        <f t="shared" si="434"/>
        <v>87806.22447375</v>
      </c>
      <c r="Z82" s="113">
        <f t="shared" si="19"/>
        <v>0</v>
      </c>
      <c r="AA82" s="116">
        <f t="shared" si="371"/>
        <v>0</v>
      </c>
      <c r="AB82" s="117">
        <f t="shared" si="372"/>
        <v>0</v>
      </c>
      <c r="AC82" s="114">
        <f t="shared" si="435"/>
        <v>-87806.22447375</v>
      </c>
      <c r="AD82" s="97">
        <f t="shared" si="436"/>
        <v>0</v>
      </c>
      <c r="AE82" s="433">
        <f t="shared" si="437"/>
        <v>534735.98618484999</v>
      </c>
      <c r="AF82" s="118">
        <f t="shared" si="373"/>
        <v>677013.03</v>
      </c>
      <c r="AG82" s="116">
        <f t="shared" si="438"/>
        <v>177877.18000000002</v>
      </c>
      <c r="AH82" s="116">
        <f t="shared" si="439"/>
        <v>114495.78</v>
      </c>
      <c r="AI82" s="116">
        <f t="shared" si="440"/>
        <v>292372.96000000002</v>
      </c>
      <c r="AJ82" s="116">
        <f t="shared" si="29"/>
        <v>-384640.07</v>
      </c>
      <c r="AK82" s="418">
        <f t="shared" si="315"/>
        <v>0.43185721255616011</v>
      </c>
      <c r="AL82" s="434">
        <f t="shared" si="441"/>
        <v>79692.539999999994</v>
      </c>
      <c r="AM82" s="140">
        <f t="shared" si="32"/>
        <v>0</v>
      </c>
      <c r="AN82" s="326">
        <f t="shared" si="374"/>
        <v>0</v>
      </c>
      <c r="AO82" s="333">
        <f t="shared" si="375"/>
        <v>0</v>
      </c>
      <c r="AP82" s="125">
        <f t="shared" si="442"/>
        <v>64660.38</v>
      </c>
      <c r="AQ82" s="140">
        <f t="shared" si="177"/>
        <v>441767.62</v>
      </c>
      <c r="AR82" s="326">
        <f t="shared" si="340"/>
        <v>3563.62</v>
      </c>
      <c r="AS82" s="333">
        <f t="shared" si="341"/>
        <v>445331.24</v>
      </c>
      <c r="AT82" s="125">
        <f t="shared" si="443"/>
        <v>50371.77</v>
      </c>
      <c r="AU82" s="140">
        <f t="shared" si="40"/>
        <v>0</v>
      </c>
      <c r="AV82" s="326">
        <f t="shared" si="376"/>
        <v>0</v>
      </c>
      <c r="AW82" s="332">
        <f t="shared" si="377"/>
        <v>0</v>
      </c>
      <c r="AX82" s="122">
        <f t="shared" si="43"/>
        <v>441767.62</v>
      </c>
      <c r="AY82" s="326">
        <f t="shared" ref="AY82:AZ82" si="462">AN82+AR82+AV82</f>
        <v>3563.62</v>
      </c>
      <c r="AZ82" s="333">
        <f t="shared" si="462"/>
        <v>445331.24</v>
      </c>
      <c r="BA82" s="140">
        <f t="shared" ref="BA82:BB82" si="463">AX82+AG82</f>
        <v>619644.80000000005</v>
      </c>
      <c r="BB82" s="326">
        <f t="shared" si="463"/>
        <v>118059.4</v>
      </c>
      <c r="BC82" s="435">
        <f t="shared" si="46"/>
        <v>737704.2</v>
      </c>
      <c r="BD82" s="434">
        <f t="shared" si="446"/>
        <v>39934.199999999997</v>
      </c>
      <c r="BE82" s="140">
        <f t="shared" si="48"/>
        <v>69032.539999999994</v>
      </c>
      <c r="BF82" s="123">
        <f t="shared" si="380"/>
        <v>0</v>
      </c>
      <c r="BG82" s="148">
        <f t="shared" si="381"/>
        <v>69032.539999999994</v>
      </c>
      <c r="BH82" s="125">
        <f t="shared" si="447"/>
        <v>180518.36</v>
      </c>
      <c r="BI82" s="140">
        <f t="shared" si="52"/>
        <v>334960.39</v>
      </c>
      <c r="BJ82" s="123">
        <f t="shared" si="382"/>
        <v>0</v>
      </c>
      <c r="BK82" s="125">
        <f t="shared" si="383"/>
        <v>334960.39</v>
      </c>
      <c r="BL82" s="436">
        <f t="shared" si="448"/>
        <v>463368.55</v>
      </c>
      <c r="BM82" s="140">
        <f t="shared" si="56"/>
        <v>96243.77</v>
      </c>
      <c r="BN82" s="326">
        <f t="shared" si="384"/>
        <v>0</v>
      </c>
      <c r="BO82" s="333">
        <f t="shared" si="385"/>
        <v>96243.77</v>
      </c>
      <c r="BP82" s="140">
        <f t="shared" ref="BP82:BR82" si="464">SUM(BE82,BI82,BM82)</f>
        <v>500236.7</v>
      </c>
      <c r="BQ82" s="141">
        <f t="shared" si="464"/>
        <v>0</v>
      </c>
      <c r="BR82" s="437">
        <f t="shared" si="464"/>
        <v>500236.7</v>
      </c>
      <c r="BS82" s="422">
        <f t="shared" si="450"/>
        <v>50308.95</v>
      </c>
      <c r="BT82" s="140">
        <f t="shared" si="61"/>
        <v>492818.87</v>
      </c>
      <c r="BU82" s="123">
        <f t="shared" si="387"/>
        <v>0</v>
      </c>
      <c r="BV82" s="148">
        <f t="shared" si="388"/>
        <v>492818.87</v>
      </c>
      <c r="BW82" s="423">
        <f t="shared" si="451"/>
        <v>328859.23</v>
      </c>
      <c r="BX82" s="424">
        <f t="shared" si="452"/>
        <v>297844.84999999998</v>
      </c>
    </row>
    <row r="83" spans="1:77" ht="13">
      <c r="A83" s="92">
        <f t="shared" si="362"/>
        <v>112011733</v>
      </c>
      <c r="B83" s="93">
        <f t="shared" si="363"/>
        <v>1</v>
      </c>
      <c r="C83" s="137" t="str">
        <f t="shared" si="453"/>
        <v>Lista</v>
      </c>
      <c r="D83" s="137">
        <f t="shared" si="454"/>
        <v>0.09</v>
      </c>
      <c r="E83" s="98">
        <f t="shared" si="455"/>
        <v>0</v>
      </c>
      <c r="F83" s="414">
        <f t="shared" si="364"/>
        <v>71</v>
      </c>
      <c r="G83" s="94" t="str">
        <f t="shared" si="365"/>
        <v>Lista</v>
      </c>
      <c r="H83" s="415">
        <f t="shared" si="366"/>
        <v>0.05</v>
      </c>
      <c r="I83" s="139" t="s">
        <v>337</v>
      </c>
      <c r="J83" s="125">
        <f t="shared" si="425"/>
        <v>493492.18</v>
      </c>
      <c r="K83" s="141">
        <f t="shared" si="426"/>
        <v>829585.02918900002</v>
      </c>
      <c r="L83" s="113">
        <f t="shared" si="9"/>
        <v>1060446.92</v>
      </c>
      <c r="M83" s="116">
        <f t="shared" si="367"/>
        <v>79200</v>
      </c>
      <c r="N83" s="117">
        <f t="shared" si="368"/>
        <v>1139646.92</v>
      </c>
      <c r="O83" s="114">
        <f t="shared" si="427"/>
        <v>310061.8908109999</v>
      </c>
      <c r="P83" s="413">
        <f t="shared" si="428"/>
        <v>1.3737554077056038</v>
      </c>
      <c r="Q83" s="125">
        <f t="shared" si="429"/>
        <v>860774.31</v>
      </c>
      <c r="R83" s="140">
        <f t="shared" si="430"/>
        <v>1528937.4565228501</v>
      </c>
      <c r="S83" s="116">
        <f t="shared" si="14"/>
        <v>621165.53</v>
      </c>
      <c r="T83" s="116">
        <f t="shared" si="369"/>
        <v>0</v>
      </c>
      <c r="U83" s="116">
        <f t="shared" si="370"/>
        <v>621165.53</v>
      </c>
      <c r="V83" s="116">
        <f t="shared" si="431"/>
        <v>-907771.92652285006</v>
      </c>
      <c r="W83" s="413">
        <f t="shared" si="432"/>
        <v>0.40627268783948239</v>
      </c>
      <c r="X83" s="123">
        <f t="shared" si="433"/>
        <v>540904.5</v>
      </c>
      <c r="Y83" s="332">
        <f t="shared" si="434"/>
        <v>888903.52364249993</v>
      </c>
      <c r="Z83" s="113">
        <f t="shared" si="19"/>
        <v>607175.89</v>
      </c>
      <c r="AA83" s="116">
        <f t="shared" si="371"/>
        <v>0</v>
      </c>
      <c r="AB83" s="117">
        <f t="shared" si="372"/>
        <v>607175.89</v>
      </c>
      <c r="AC83" s="114">
        <f t="shared" si="435"/>
        <v>-281727.63364249992</v>
      </c>
      <c r="AD83" s="97">
        <f t="shared" si="436"/>
        <v>0.68306163025650757</v>
      </c>
      <c r="AE83" s="433">
        <f t="shared" si="437"/>
        <v>3247426.0093543502</v>
      </c>
      <c r="AF83" s="118">
        <f t="shared" si="373"/>
        <v>2128507.2599999998</v>
      </c>
      <c r="AG83" s="116">
        <f t="shared" si="438"/>
        <v>2288788.34</v>
      </c>
      <c r="AH83" s="116">
        <f t="shared" si="439"/>
        <v>79200</v>
      </c>
      <c r="AI83" s="116">
        <f t="shared" si="440"/>
        <v>2367988.34</v>
      </c>
      <c r="AJ83" s="116">
        <f t="shared" si="29"/>
        <v>239481.08000000007</v>
      </c>
      <c r="AK83" s="418">
        <f t="shared" si="315"/>
        <v>1.1125112817327201</v>
      </c>
      <c r="AL83" s="434">
        <f t="shared" si="441"/>
        <v>83900.7</v>
      </c>
      <c r="AM83" s="140">
        <f t="shared" si="32"/>
        <v>0</v>
      </c>
      <c r="AN83" s="326">
        <f t="shared" si="374"/>
        <v>0</v>
      </c>
      <c r="AO83" s="333">
        <f t="shared" si="375"/>
        <v>0</v>
      </c>
      <c r="AP83" s="125">
        <f t="shared" si="442"/>
        <v>75450.03</v>
      </c>
      <c r="AQ83" s="140">
        <f t="shared" si="177"/>
        <v>74784</v>
      </c>
      <c r="AR83" s="326">
        <f t="shared" si="340"/>
        <v>31057.599999999999</v>
      </c>
      <c r="AS83" s="333">
        <f t="shared" si="341"/>
        <v>105841.60000000001</v>
      </c>
      <c r="AT83" s="125">
        <f t="shared" si="443"/>
        <v>387019.93</v>
      </c>
      <c r="AU83" s="140">
        <f t="shared" si="40"/>
        <v>717500.39</v>
      </c>
      <c r="AV83" s="326">
        <f t="shared" si="376"/>
        <v>0</v>
      </c>
      <c r="AW83" s="332">
        <f t="shared" si="377"/>
        <v>717500.39</v>
      </c>
      <c r="AX83" s="122">
        <f t="shared" si="43"/>
        <v>792284.39</v>
      </c>
      <c r="AY83" s="326">
        <f t="shared" ref="AY83:AZ83" si="465">AN83+AR83+AV83</f>
        <v>31057.599999999999</v>
      </c>
      <c r="AZ83" s="333">
        <f t="shared" si="465"/>
        <v>823341.99</v>
      </c>
      <c r="BA83" s="140">
        <f t="shared" ref="BA83:BB83" si="466">AX83+AG83</f>
        <v>3081072.73</v>
      </c>
      <c r="BB83" s="326">
        <f t="shared" si="466"/>
        <v>110257.60000000001</v>
      </c>
      <c r="BC83" s="435">
        <f t="shared" si="46"/>
        <v>3191330.33</v>
      </c>
      <c r="BD83" s="434">
        <f t="shared" si="446"/>
        <v>203285.98</v>
      </c>
      <c r="BE83" s="140">
        <f t="shared" si="48"/>
        <v>82263</v>
      </c>
      <c r="BF83" s="123">
        <f t="shared" si="380"/>
        <v>0</v>
      </c>
      <c r="BG83" s="148">
        <f t="shared" si="381"/>
        <v>82263</v>
      </c>
      <c r="BH83" s="125">
        <f t="shared" si="447"/>
        <v>1140035</v>
      </c>
      <c r="BI83" s="140">
        <f t="shared" si="52"/>
        <v>1084743.92</v>
      </c>
      <c r="BJ83" s="123">
        <f t="shared" si="382"/>
        <v>0</v>
      </c>
      <c r="BK83" s="125">
        <f t="shared" si="383"/>
        <v>1084743.92</v>
      </c>
      <c r="BL83" s="436">
        <f t="shared" si="448"/>
        <v>473390.24</v>
      </c>
      <c r="BM83" s="140">
        <f t="shared" si="56"/>
        <v>203586.3</v>
      </c>
      <c r="BN83" s="326">
        <f t="shared" si="384"/>
        <v>0</v>
      </c>
      <c r="BO83" s="333">
        <f t="shared" si="385"/>
        <v>203586.3</v>
      </c>
      <c r="BP83" s="140">
        <f t="shared" ref="BP83:BR83" si="467">SUM(BE83,BI83,BM83)</f>
        <v>1370593.22</v>
      </c>
      <c r="BQ83" s="141">
        <f t="shared" si="467"/>
        <v>0</v>
      </c>
      <c r="BR83" s="437">
        <f t="shared" si="467"/>
        <v>1370593.22</v>
      </c>
      <c r="BS83" s="422">
        <f t="shared" si="450"/>
        <v>998341.78</v>
      </c>
      <c r="BT83" s="140">
        <f t="shared" si="61"/>
        <v>651061.26</v>
      </c>
      <c r="BU83" s="123">
        <f t="shared" si="387"/>
        <v>0</v>
      </c>
      <c r="BV83" s="148">
        <f t="shared" si="388"/>
        <v>651061.26</v>
      </c>
      <c r="BW83" s="423">
        <f t="shared" si="451"/>
        <v>562801.4</v>
      </c>
      <c r="BX83" s="424">
        <f t="shared" si="452"/>
        <v>567364.07999999996</v>
      </c>
    </row>
    <row r="84" spans="1:77" ht="13">
      <c r="A84" s="92">
        <f t="shared" si="362"/>
        <v>112010542</v>
      </c>
      <c r="B84" s="93">
        <f t="shared" si="363"/>
        <v>1</v>
      </c>
      <c r="C84" s="137" t="str">
        <f t="shared" si="453"/>
        <v>Lista</v>
      </c>
      <c r="D84" s="137">
        <f t="shared" si="454"/>
        <v>0.09</v>
      </c>
      <c r="E84" s="98">
        <f t="shared" si="455"/>
        <v>0</v>
      </c>
      <c r="F84" s="414">
        <f t="shared" si="364"/>
        <v>71</v>
      </c>
      <c r="G84" s="94" t="str">
        <f t="shared" si="365"/>
        <v>Lista</v>
      </c>
      <c r="H84" s="415">
        <f t="shared" si="366"/>
        <v>0.05</v>
      </c>
      <c r="I84" s="139" t="s">
        <v>338</v>
      </c>
      <c r="J84" s="125">
        <f t="shared" si="425"/>
        <v>299733.94</v>
      </c>
      <c r="K84" s="141">
        <f t="shared" si="426"/>
        <v>503867.73983700003</v>
      </c>
      <c r="L84" s="113">
        <f t="shared" si="9"/>
        <v>748654.1</v>
      </c>
      <c r="M84" s="116">
        <f t="shared" si="367"/>
        <v>0</v>
      </c>
      <c r="N84" s="117">
        <f t="shared" si="368"/>
        <v>748654.1</v>
      </c>
      <c r="O84" s="114">
        <f t="shared" si="427"/>
        <v>244786.36016299995</v>
      </c>
      <c r="P84" s="413">
        <f t="shared" si="428"/>
        <v>1.4858147105075385</v>
      </c>
      <c r="Q84" s="125">
        <f t="shared" si="429"/>
        <v>644724.71</v>
      </c>
      <c r="R84" s="140">
        <f t="shared" si="430"/>
        <v>1145182.59526685</v>
      </c>
      <c r="S84" s="116">
        <f t="shared" si="14"/>
        <v>652026.92999999993</v>
      </c>
      <c r="T84" s="116">
        <f t="shared" si="369"/>
        <v>19165.259999999998</v>
      </c>
      <c r="U84" s="116">
        <f t="shared" si="370"/>
        <v>671192.19</v>
      </c>
      <c r="V84" s="116">
        <f t="shared" si="431"/>
        <v>-473990.40526685002</v>
      </c>
      <c r="W84" s="413">
        <f t="shared" si="432"/>
        <v>0.58610058585775049</v>
      </c>
      <c r="X84" s="123">
        <f t="shared" si="433"/>
        <v>199086.1</v>
      </c>
      <c r="Y84" s="332">
        <f t="shared" si="434"/>
        <v>327171.12872649997</v>
      </c>
      <c r="Z84" s="113">
        <f t="shared" si="19"/>
        <v>353214.37</v>
      </c>
      <c r="AA84" s="116">
        <f t="shared" si="371"/>
        <v>0</v>
      </c>
      <c r="AB84" s="117">
        <f t="shared" si="372"/>
        <v>353214.37</v>
      </c>
      <c r="AC84" s="114">
        <f t="shared" si="435"/>
        <v>26043.241273500025</v>
      </c>
      <c r="AD84" s="97">
        <f t="shared" si="436"/>
        <v>1.0796012819800826</v>
      </c>
      <c r="AE84" s="433">
        <f t="shared" si="437"/>
        <v>1976221.46383035</v>
      </c>
      <c r="AF84" s="118">
        <f t="shared" si="373"/>
        <v>905708.82</v>
      </c>
      <c r="AG84" s="116">
        <f t="shared" si="438"/>
        <v>1734730.14</v>
      </c>
      <c r="AH84" s="116">
        <f t="shared" si="439"/>
        <v>38330.519999999997</v>
      </c>
      <c r="AI84" s="116">
        <f t="shared" si="440"/>
        <v>1773060.66</v>
      </c>
      <c r="AJ84" s="116">
        <f t="shared" si="29"/>
        <v>867351.84</v>
      </c>
      <c r="AK84" s="418">
        <f t="shared" si="315"/>
        <v>1.9576497665110515</v>
      </c>
      <c r="AL84" s="434">
        <f t="shared" si="441"/>
        <v>92021.34</v>
      </c>
      <c r="AM84" s="140">
        <f t="shared" si="32"/>
        <v>0</v>
      </c>
      <c r="AN84" s="326">
        <f t="shared" si="374"/>
        <v>0</v>
      </c>
      <c r="AO84" s="333">
        <f t="shared" si="375"/>
        <v>0</v>
      </c>
      <c r="AP84" s="125">
        <f t="shared" si="442"/>
        <v>122200.14</v>
      </c>
      <c r="AQ84" s="140">
        <f t="shared" si="177"/>
        <v>498724.14</v>
      </c>
      <c r="AR84" s="326">
        <f t="shared" si="340"/>
        <v>3563.62</v>
      </c>
      <c r="AS84" s="333">
        <f t="shared" si="341"/>
        <v>502287.76</v>
      </c>
      <c r="AT84" s="125">
        <f t="shared" si="443"/>
        <v>197805.93</v>
      </c>
      <c r="AU84" s="140">
        <f t="shared" si="40"/>
        <v>227789.54</v>
      </c>
      <c r="AV84" s="326">
        <f t="shared" si="376"/>
        <v>0</v>
      </c>
      <c r="AW84" s="332">
        <f t="shared" si="377"/>
        <v>227789.54</v>
      </c>
      <c r="AX84" s="122">
        <f t="shared" si="43"/>
        <v>726513.68</v>
      </c>
      <c r="AY84" s="326">
        <f t="shared" ref="AY84:AZ84" si="468">AN84+AR84+AV84</f>
        <v>3563.62</v>
      </c>
      <c r="AZ84" s="333">
        <f t="shared" si="468"/>
        <v>730077.3</v>
      </c>
      <c r="BA84" s="140">
        <f t="shared" ref="BA84:BB84" si="469">AX84+AG84</f>
        <v>2461243.8199999998</v>
      </c>
      <c r="BB84" s="326">
        <f t="shared" si="469"/>
        <v>41894.14</v>
      </c>
      <c r="BC84" s="435">
        <f t="shared" si="46"/>
        <v>2503137.96</v>
      </c>
      <c r="BD84" s="434">
        <f t="shared" si="446"/>
        <v>22315.65</v>
      </c>
      <c r="BE84" s="140">
        <f t="shared" si="48"/>
        <v>56966.92</v>
      </c>
      <c r="BF84" s="123">
        <f t="shared" si="380"/>
        <v>0</v>
      </c>
      <c r="BG84" s="148">
        <f t="shared" si="381"/>
        <v>56966.92</v>
      </c>
      <c r="BH84" s="125">
        <f t="shared" si="447"/>
        <v>183465.16</v>
      </c>
      <c r="BI84" s="140">
        <f t="shared" si="52"/>
        <v>294772.64</v>
      </c>
      <c r="BJ84" s="123">
        <f t="shared" si="382"/>
        <v>0</v>
      </c>
      <c r="BK84" s="125">
        <f t="shared" si="383"/>
        <v>294772.64</v>
      </c>
      <c r="BL84" s="436">
        <f t="shared" si="448"/>
        <v>213793.02</v>
      </c>
      <c r="BM84" s="140">
        <f t="shared" si="56"/>
        <v>466975</v>
      </c>
      <c r="BN84" s="326">
        <f t="shared" si="384"/>
        <v>0</v>
      </c>
      <c r="BO84" s="333">
        <f t="shared" si="385"/>
        <v>466975</v>
      </c>
      <c r="BP84" s="140">
        <f t="shared" ref="BP84:BR84" si="470">SUM(BE84,BI84,BM84)</f>
        <v>818714.56</v>
      </c>
      <c r="BQ84" s="141">
        <f t="shared" si="470"/>
        <v>0</v>
      </c>
      <c r="BR84" s="437">
        <f t="shared" si="470"/>
        <v>818714.56</v>
      </c>
      <c r="BS84" s="422">
        <f t="shared" si="450"/>
        <v>221336.19</v>
      </c>
      <c r="BT84" s="140">
        <f t="shared" si="61"/>
        <v>950817.64</v>
      </c>
      <c r="BU84" s="123">
        <f t="shared" si="387"/>
        <v>0</v>
      </c>
      <c r="BV84" s="148">
        <f t="shared" si="388"/>
        <v>950817.64</v>
      </c>
      <c r="BW84" s="423">
        <f t="shared" si="451"/>
        <v>389079.18</v>
      </c>
      <c r="BX84" s="424">
        <f t="shared" si="452"/>
        <v>295293.45</v>
      </c>
    </row>
    <row r="85" spans="1:77" ht="13">
      <c r="A85" s="92">
        <f t="shared" si="362"/>
        <v>112012258</v>
      </c>
      <c r="B85" s="93">
        <f t="shared" si="363"/>
        <v>1</v>
      </c>
      <c r="C85" s="137" t="str">
        <f t="shared" si="453"/>
        <v>Lista</v>
      </c>
      <c r="D85" s="137">
        <f t="shared" si="454"/>
        <v>0.09</v>
      </c>
      <c r="E85" s="98">
        <f t="shared" si="455"/>
        <v>0</v>
      </c>
      <c r="F85" s="414">
        <f t="shared" si="364"/>
        <v>71</v>
      </c>
      <c r="G85" s="94" t="str">
        <f t="shared" si="365"/>
        <v>Lista</v>
      </c>
      <c r="H85" s="415">
        <f t="shared" si="366"/>
        <v>0.05</v>
      </c>
      <c r="I85" s="139" t="s">
        <v>339</v>
      </c>
      <c r="J85" s="125">
        <f t="shared" si="425"/>
        <v>0</v>
      </c>
      <c r="K85" s="141">
        <f t="shared" si="426"/>
        <v>0</v>
      </c>
      <c r="L85" s="113" t="e">
        <f t="shared" si="9"/>
        <v>#VALUE!</v>
      </c>
      <c r="M85" s="116" t="str">
        <f t="shared" si="367"/>
        <v/>
      </c>
      <c r="N85" s="117" t="str">
        <f t="shared" si="368"/>
        <v/>
      </c>
      <c r="O85" s="114" t="e">
        <f t="shared" si="427"/>
        <v>#VALUE!</v>
      </c>
      <c r="P85" s="413" t="str">
        <f t="shared" si="428"/>
        <v/>
      </c>
      <c r="Q85" s="125">
        <f t="shared" si="429"/>
        <v>36541.300000000003</v>
      </c>
      <c r="R85" s="140">
        <f t="shared" si="430"/>
        <v>64905.936005500007</v>
      </c>
      <c r="S85" s="116" t="e">
        <f t="shared" si="14"/>
        <v>#VALUE!</v>
      </c>
      <c r="T85" s="116" t="str">
        <f t="shared" si="369"/>
        <v/>
      </c>
      <c r="U85" s="116" t="str">
        <f t="shared" si="370"/>
        <v/>
      </c>
      <c r="V85" s="116" t="e">
        <f t="shared" si="431"/>
        <v>#VALUE!</v>
      </c>
      <c r="W85" s="413" t="str">
        <f t="shared" si="432"/>
        <v/>
      </c>
      <c r="X85" s="123">
        <f t="shared" si="433"/>
        <v>35283.699999999997</v>
      </c>
      <c r="Y85" s="332">
        <f t="shared" si="434"/>
        <v>57983.997650499994</v>
      </c>
      <c r="Z85" s="113" t="e">
        <f t="shared" si="19"/>
        <v>#VALUE!</v>
      </c>
      <c r="AA85" s="116" t="str">
        <f t="shared" si="371"/>
        <v/>
      </c>
      <c r="AB85" s="117" t="str">
        <f t="shared" si="372"/>
        <v/>
      </c>
      <c r="AC85" s="114" t="e">
        <f t="shared" si="435"/>
        <v>#VALUE!</v>
      </c>
      <c r="AD85" s="97" t="str">
        <f t="shared" si="436"/>
        <v/>
      </c>
      <c r="AE85" s="433">
        <f t="shared" si="437"/>
        <v>122889.93365600001</v>
      </c>
      <c r="AF85" s="118">
        <f t="shared" si="373"/>
        <v>42452.82</v>
      </c>
      <c r="AG85" s="116">
        <f t="shared" si="438"/>
        <v>0</v>
      </c>
      <c r="AH85" s="116">
        <f t="shared" si="439"/>
        <v>0</v>
      </c>
      <c r="AI85" s="116">
        <f t="shared" si="440"/>
        <v>0</v>
      </c>
      <c r="AJ85" s="116">
        <f t="shared" si="29"/>
        <v>-42452.82</v>
      </c>
      <c r="AK85" s="418">
        <f t="shared" si="315"/>
        <v>0</v>
      </c>
      <c r="AL85" s="434">
        <f t="shared" si="441"/>
        <v>113618.21</v>
      </c>
      <c r="AM85" s="140" t="e">
        <f t="shared" si="32"/>
        <v>#VALUE!</v>
      </c>
      <c r="AN85" s="326" t="str">
        <f t="shared" si="374"/>
        <v/>
      </c>
      <c r="AO85" s="333" t="str">
        <f t="shared" si="375"/>
        <v/>
      </c>
      <c r="AP85" s="125">
        <f t="shared" si="442"/>
        <v>0</v>
      </c>
      <c r="AQ85" s="140" t="e">
        <f t="shared" si="177"/>
        <v>#VALUE!</v>
      </c>
      <c r="AR85" s="326" t="str">
        <f t="shared" si="340"/>
        <v/>
      </c>
      <c r="AS85" s="333" t="str">
        <f t="shared" si="341"/>
        <v/>
      </c>
      <c r="AT85" s="125">
        <f t="shared" si="443"/>
        <v>0</v>
      </c>
      <c r="AU85" s="140" t="e">
        <f t="shared" si="40"/>
        <v>#VALUE!</v>
      </c>
      <c r="AV85" s="326" t="str">
        <f t="shared" si="376"/>
        <v/>
      </c>
      <c r="AW85" s="332" t="str">
        <f t="shared" si="377"/>
        <v/>
      </c>
      <c r="AX85" s="122" t="e">
        <f t="shared" si="43"/>
        <v>#VALUE!</v>
      </c>
      <c r="AY85" s="326" t="e">
        <f t="shared" ref="AY85:AZ85" si="471">AN85+AR85+AV85</f>
        <v>#VALUE!</v>
      </c>
      <c r="AZ85" s="333" t="e">
        <f t="shared" si="471"/>
        <v>#VALUE!</v>
      </c>
      <c r="BA85" s="140" t="e">
        <f t="shared" ref="BA85:BB85" si="472">AX85+AG85</f>
        <v>#VALUE!</v>
      </c>
      <c r="BB85" s="326" t="e">
        <f t="shared" si="472"/>
        <v>#VALUE!</v>
      </c>
      <c r="BC85" s="435" t="e">
        <f t="shared" si="46"/>
        <v>#VALUE!</v>
      </c>
      <c r="BD85" s="434">
        <f t="shared" si="446"/>
        <v>0</v>
      </c>
      <c r="BE85" s="140" t="e">
        <f t="shared" si="48"/>
        <v>#VALUE!</v>
      </c>
      <c r="BF85" s="123" t="str">
        <f t="shared" si="380"/>
        <v/>
      </c>
      <c r="BG85" s="148" t="str">
        <f t="shared" si="381"/>
        <v/>
      </c>
      <c r="BH85" s="125">
        <f t="shared" si="447"/>
        <v>0</v>
      </c>
      <c r="BI85" s="140" t="e">
        <f t="shared" si="52"/>
        <v>#VALUE!</v>
      </c>
      <c r="BJ85" s="123" t="str">
        <f t="shared" si="382"/>
        <v/>
      </c>
      <c r="BK85" s="125" t="str">
        <f t="shared" si="383"/>
        <v/>
      </c>
      <c r="BL85" s="436">
        <f t="shared" si="448"/>
        <v>0</v>
      </c>
      <c r="BM85" s="140" t="e">
        <f t="shared" si="56"/>
        <v>#VALUE!</v>
      </c>
      <c r="BN85" s="326" t="str">
        <f t="shared" si="384"/>
        <v/>
      </c>
      <c r="BO85" s="333" t="str">
        <f t="shared" si="385"/>
        <v/>
      </c>
      <c r="BP85" s="140" t="e">
        <f t="shared" ref="BP85:BR85" si="473">SUM(BE85,BI85,BM85)</f>
        <v>#VALUE!</v>
      </c>
      <c r="BQ85" s="141">
        <f t="shared" si="473"/>
        <v>0</v>
      </c>
      <c r="BR85" s="437">
        <f t="shared" si="473"/>
        <v>0</v>
      </c>
      <c r="BS85" s="422">
        <f t="shared" si="450"/>
        <v>0</v>
      </c>
      <c r="BT85" s="140" t="e">
        <f t="shared" si="61"/>
        <v>#VALUE!</v>
      </c>
      <c r="BU85" s="123" t="str">
        <f t="shared" si="387"/>
        <v/>
      </c>
      <c r="BV85" s="148" t="str">
        <f t="shared" si="388"/>
        <v/>
      </c>
      <c r="BW85" s="423">
        <f t="shared" si="451"/>
        <v>0</v>
      </c>
      <c r="BX85" s="424">
        <f t="shared" si="452"/>
        <v>42452.82</v>
      </c>
    </row>
    <row r="86" spans="1:77" ht="13">
      <c r="A86" s="92">
        <f t="shared" si="362"/>
        <v>112013733</v>
      </c>
      <c r="B86" s="93">
        <f t="shared" si="363"/>
        <v>6</v>
      </c>
      <c r="C86" s="137" t="str">
        <f>IFERROR(VLOOKUP(B86,DES,2,FALSE),"")</f>
        <v>Lista</v>
      </c>
      <c r="D86" s="137">
        <f>IFERROR(VLOOKUP(B86,DES,3,FALSE),"")</f>
        <v>0.15</v>
      </c>
      <c r="E86" s="98">
        <f>IFERROR(VLOOKUP(B86,DES,4,FALSE),"")</f>
        <v>0</v>
      </c>
      <c r="F86" s="414">
        <f t="shared" si="364"/>
        <v>70</v>
      </c>
      <c r="G86" s="94" t="str">
        <f t="shared" si="365"/>
        <v>Lista</v>
      </c>
      <c r="H86" s="415">
        <f t="shared" si="366"/>
        <v>0.11</v>
      </c>
      <c r="I86" s="139" t="s">
        <v>340</v>
      </c>
      <c r="J86" s="125">
        <f t="shared" si="425"/>
        <v>709253.17</v>
      </c>
      <c r="K86" s="141">
        <f t="shared" si="426"/>
        <v>1192290.0414285001</v>
      </c>
      <c r="L86" s="113">
        <f t="shared" si="9"/>
        <v>522204.1</v>
      </c>
      <c r="M86" s="116">
        <f t="shared" si="367"/>
        <v>221314.25</v>
      </c>
      <c r="N86" s="117">
        <f t="shared" si="368"/>
        <v>743518.35</v>
      </c>
      <c r="O86" s="114">
        <f t="shared" si="427"/>
        <v>-448771.69142850011</v>
      </c>
      <c r="P86" s="413">
        <f t="shared" si="428"/>
        <v>0.62360526731329546</v>
      </c>
      <c r="Q86" s="125">
        <f t="shared" si="429"/>
        <v>173872.1</v>
      </c>
      <c r="R86" s="140">
        <f t="shared" si="430"/>
        <v>308837.70954349998</v>
      </c>
      <c r="S86" s="116">
        <f t="shared" si="14"/>
        <v>405010</v>
      </c>
      <c r="T86" s="116">
        <f t="shared" si="369"/>
        <v>348890.13</v>
      </c>
      <c r="U86" s="116">
        <f t="shared" si="370"/>
        <v>753900.13</v>
      </c>
      <c r="V86" s="116">
        <f t="shared" si="431"/>
        <v>445062.42045650003</v>
      </c>
      <c r="W86" s="413">
        <f t="shared" si="432"/>
        <v>2.4410883344341494</v>
      </c>
      <c r="X86" s="123">
        <f t="shared" si="433"/>
        <v>375042.37</v>
      </c>
      <c r="Y86" s="332">
        <f t="shared" si="434"/>
        <v>616331.50437505008</v>
      </c>
      <c r="Z86" s="113">
        <f t="shared" si="19"/>
        <v>607515</v>
      </c>
      <c r="AA86" s="116">
        <f t="shared" si="371"/>
        <v>0</v>
      </c>
      <c r="AB86" s="117">
        <f t="shared" si="372"/>
        <v>607515</v>
      </c>
      <c r="AC86" s="114">
        <f t="shared" si="435"/>
        <v>-8816.5043750500772</v>
      </c>
      <c r="AD86" s="97">
        <f t="shared" si="436"/>
        <v>0.9856951911228522</v>
      </c>
      <c r="AE86" s="433">
        <f t="shared" si="437"/>
        <v>2117459.2553470498</v>
      </c>
      <c r="AF86" s="118">
        <f t="shared" si="373"/>
        <v>2270224.58</v>
      </c>
      <c r="AG86" s="116">
        <f t="shared" si="438"/>
        <v>1185838.97</v>
      </c>
      <c r="AH86" s="116">
        <f t="shared" si="439"/>
        <v>919094.51</v>
      </c>
      <c r="AI86" s="116">
        <f t="shared" si="440"/>
        <v>2104933.48</v>
      </c>
      <c r="AJ86" s="116">
        <f t="shared" si="29"/>
        <v>-165291.10000000009</v>
      </c>
      <c r="AK86" s="418">
        <f t="shared" si="315"/>
        <v>0.9271917406514909</v>
      </c>
      <c r="AL86" s="434">
        <f t="shared" si="441"/>
        <v>113267.77</v>
      </c>
      <c r="AM86" s="140">
        <f t="shared" si="32"/>
        <v>1214994.71</v>
      </c>
      <c r="AN86" s="326">
        <f t="shared" si="374"/>
        <v>297915.07</v>
      </c>
      <c r="AO86" s="333">
        <f t="shared" si="375"/>
        <v>1512909.78</v>
      </c>
      <c r="AP86" s="125">
        <f t="shared" si="442"/>
        <v>720802.61</v>
      </c>
      <c r="AQ86" s="140">
        <f t="shared" si="177"/>
        <v>0</v>
      </c>
      <c r="AR86" s="326">
        <f t="shared" si="340"/>
        <v>0</v>
      </c>
      <c r="AS86" s="333">
        <f t="shared" si="341"/>
        <v>0</v>
      </c>
      <c r="AT86" s="125">
        <f t="shared" si="443"/>
        <v>961622.91</v>
      </c>
      <c r="AU86" s="140">
        <f t="shared" si="40"/>
        <v>0</v>
      </c>
      <c r="AV86" s="326">
        <f t="shared" si="376"/>
        <v>166644.46</v>
      </c>
      <c r="AW86" s="332">
        <f t="shared" si="377"/>
        <v>166644.46</v>
      </c>
      <c r="AX86" s="122">
        <f t="shared" si="43"/>
        <v>1214994.71</v>
      </c>
      <c r="AY86" s="326">
        <f t="shared" ref="AY86:AZ86" si="474">AN86+AR86+AV86</f>
        <v>464559.53</v>
      </c>
      <c r="AZ86" s="333">
        <f t="shared" si="474"/>
        <v>1679554.24</v>
      </c>
      <c r="BA86" s="140">
        <f t="shared" ref="BA86:BB86" si="475">AX86+AG86</f>
        <v>2400833.6799999997</v>
      </c>
      <c r="BB86" s="326">
        <f t="shared" si="475"/>
        <v>1383654.04</v>
      </c>
      <c r="BC86" s="435">
        <f t="shared" si="46"/>
        <v>3784487.7199999997</v>
      </c>
      <c r="BD86" s="434">
        <f t="shared" si="446"/>
        <v>1100193.1299999999</v>
      </c>
      <c r="BE86" s="140">
        <f t="shared" si="48"/>
        <v>952711.04</v>
      </c>
      <c r="BF86" s="123">
        <f t="shared" si="380"/>
        <v>94550.09</v>
      </c>
      <c r="BG86" s="148">
        <f t="shared" si="381"/>
        <v>1047261.13</v>
      </c>
      <c r="BH86" s="125">
        <f t="shared" si="447"/>
        <v>1219887.3600000001</v>
      </c>
      <c r="BI86" s="140">
        <f t="shared" si="52"/>
        <v>130991.52999999997</v>
      </c>
      <c r="BJ86" s="123">
        <f t="shared" si="382"/>
        <v>141825.14000000001</v>
      </c>
      <c r="BK86" s="125">
        <f t="shared" si="383"/>
        <v>272816.67</v>
      </c>
      <c r="BL86" s="436">
        <f t="shared" si="448"/>
        <v>0</v>
      </c>
      <c r="BM86" s="140">
        <f t="shared" si="56"/>
        <v>88842.75</v>
      </c>
      <c r="BN86" s="326">
        <f t="shared" si="384"/>
        <v>88849.82</v>
      </c>
      <c r="BO86" s="333">
        <f t="shared" si="385"/>
        <v>177692.57</v>
      </c>
      <c r="BP86" s="140">
        <f t="shared" ref="BP86:BR86" si="476">SUM(BE86,BI86,BM86)</f>
        <v>1172545.32</v>
      </c>
      <c r="BQ86" s="141">
        <f t="shared" si="476"/>
        <v>325225.05000000005</v>
      </c>
      <c r="BR86" s="437">
        <f t="shared" si="476"/>
        <v>1497770.37</v>
      </c>
      <c r="BS86" s="422">
        <f t="shared" si="450"/>
        <v>1488049.84</v>
      </c>
      <c r="BT86" s="140">
        <f t="shared" si="61"/>
        <v>273464.52</v>
      </c>
      <c r="BU86" s="123">
        <f t="shared" si="387"/>
        <v>322766.03000000003</v>
      </c>
      <c r="BV86" s="148">
        <f t="shared" si="388"/>
        <v>596230.55000000005</v>
      </c>
      <c r="BW86" s="423">
        <f t="shared" si="451"/>
        <v>443384.1</v>
      </c>
      <c r="BX86" s="424">
        <f t="shared" si="452"/>
        <v>338790.64</v>
      </c>
    </row>
    <row r="87" spans="1:77" ht="13">
      <c r="A87" s="92">
        <f t="shared" si="362"/>
        <v>112011542</v>
      </c>
      <c r="B87" s="93">
        <f t="shared" si="363"/>
        <v>1</v>
      </c>
      <c r="C87" s="137" t="str">
        <f>VLOOKUP(B87,DES,2,FALSE)</f>
        <v>Lista</v>
      </c>
      <c r="D87" s="137">
        <f>VLOOKUP(B87,DES,3,FALSE)</f>
        <v>0.09</v>
      </c>
      <c r="E87" s="98">
        <f>VLOOKUP(B87,DES,4,FALSE)</f>
        <v>0</v>
      </c>
      <c r="F87" s="414">
        <f t="shared" si="364"/>
        <v>71</v>
      </c>
      <c r="G87" s="94" t="str">
        <f t="shared" si="365"/>
        <v>Lista</v>
      </c>
      <c r="H87" s="415">
        <f t="shared" si="366"/>
        <v>0.05</v>
      </c>
      <c r="I87" s="139" t="s">
        <v>341</v>
      </c>
      <c r="J87" s="125">
        <f t="shared" si="425"/>
        <v>104333.74</v>
      </c>
      <c r="K87" s="141">
        <f t="shared" si="426"/>
        <v>175390.23362700001</v>
      </c>
      <c r="L87" s="113">
        <f t="shared" si="9"/>
        <v>112113.85</v>
      </c>
      <c r="M87" s="116">
        <f t="shared" si="367"/>
        <v>6600</v>
      </c>
      <c r="N87" s="117">
        <f t="shared" si="368"/>
        <v>118713.85</v>
      </c>
      <c r="O87" s="114">
        <f t="shared" si="427"/>
        <v>-56676.383627000003</v>
      </c>
      <c r="P87" s="413">
        <f t="shared" si="428"/>
        <v>0.67685553263169207</v>
      </c>
      <c r="Q87" s="125">
        <f t="shared" si="429"/>
        <v>114504.36</v>
      </c>
      <c r="R87" s="140">
        <f t="shared" si="430"/>
        <v>203386.6518846</v>
      </c>
      <c r="S87" s="116">
        <f t="shared" si="14"/>
        <v>178834.71</v>
      </c>
      <c r="T87" s="116">
        <f t="shared" si="369"/>
        <v>0</v>
      </c>
      <c r="U87" s="116">
        <f t="shared" si="370"/>
        <v>178834.71</v>
      </c>
      <c r="V87" s="116">
        <f t="shared" si="431"/>
        <v>-24551.941884600004</v>
      </c>
      <c r="W87" s="413">
        <f t="shared" si="432"/>
        <v>0.87928439916238665</v>
      </c>
      <c r="X87" s="123">
        <f t="shared" si="433"/>
        <v>47665.09</v>
      </c>
      <c r="Y87" s="332">
        <f t="shared" si="434"/>
        <v>78331.140627849993</v>
      </c>
      <c r="Z87" s="113">
        <f t="shared" si="19"/>
        <v>121346.23</v>
      </c>
      <c r="AA87" s="116">
        <f t="shared" si="371"/>
        <v>0</v>
      </c>
      <c r="AB87" s="117">
        <f t="shared" si="372"/>
        <v>121346.23</v>
      </c>
      <c r="AC87" s="114">
        <f t="shared" si="435"/>
        <v>43015.089372150003</v>
      </c>
      <c r="AD87" s="97">
        <f t="shared" si="436"/>
        <v>1.5491441721309027</v>
      </c>
      <c r="AE87" s="433">
        <f t="shared" si="437"/>
        <v>457108.02613945003</v>
      </c>
      <c r="AF87" s="118">
        <f t="shared" si="373"/>
        <v>544692.63</v>
      </c>
      <c r="AG87" s="116">
        <f t="shared" si="438"/>
        <v>412294.79000000004</v>
      </c>
      <c r="AH87" s="116">
        <f t="shared" si="439"/>
        <v>6600</v>
      </c>
      <c r="AI87" s="116">
        <f t="shared" si="440"/>
        <v>418894.79000000004</v>
      </c>
      <c r="AJ87" s="116">
        <f t="shared" si="29"/>
        <v>-125797.83999999997</v>
      </c>
      <c r="AK87" s="418">
        <f t="shared" si="315"/>
        <v>0.76904802255172799</v>
      </c>
      <c r="AL87" s="434">
        <f t="shared" si="441"/>
        <v>117084.38</v>
      </c>
      <c r="AM87" s="140">
        <f t="shared" si="32"/>
        <v>251412.06</v>
      </c>
      <c r="AN87" s="326">
        <f t="shared" si="374"/>
        <v>0</v>
      </c>
      <c r="AO87" s="333">
        <f t="shared" si="375"/>
        <v>251412.06</v>
      </c>
      <c r="AP87" s="125">
        <f t="shared" si="442"/>
        <v>128054.28</v>
      </c>
      <c r="AQ87" s="140">
        <f t="shared" si="177"/>
        <v>169561.72</v>
      </c>
      <c r="AR87" s="326">
        <f t="shared" si="340"/>
        <v>0</v>
      </c>
      <c r="AS87" s="333">
        <f t="shared" si="341"/>
        <v>169561.72</v>
      </c>
      <c r="AT87" s="125">
        <f t="shared" si="443"/>
        <v>162888.13</v>
      </c>
      <c r="AU87" s="140">
        <f t="shared" si="40"/>
        <v>103182.72</v>
      </c>
      <c r="AV87" s="326">
        <f t="shared" si="376"/>
        <v>0</v>
      </c>
      <c r="AW87" s="332">
        <f t="shared" si="377"/>
        <v>103182.72</v>
      </c>
      <c r="AX87" s="122">
        <f t="shared" si="43"/>
        <v>524156.5</v>
      </c>
      <c r="AY87" s="326">
        <f t="shared" ref="AY87:AZ87" si="477">AN87+AR87+AV87</f>
        <v>0</v>
      </c>
      <c r="AZ87" s="333">
        <f t="shared" si="477"/>
        <v>524156.5</v>
      </c>
      <c r="BA87" s="140">
        <f t="shared" ref="BA87:BB87" si="478">AX87+AG87</f>
        <v>936451.29</v>
      </c>
      <c r="BB87" s="326">
        <f t="shared" si="478"/>
        <v>6600</v>
      </c>
      <c r="BC87" s="435">
        <f t="shared" si="46"/>
        <v>943051.29</v>
      </c>
      <c r="BD87" s="434">
        <f t="shared" si="446"/>
        <v>112985.84</v>
      </c>
      <c r="BE87" s="140">
        <f t="shared" si="48"/>
        <v>146993.1</v>
      </c>
      <c r="BF87" s="123">
        <f t="shared" si="380"/>
        <v>0</v>
      </c>
      <c r="BG87" s="148">
        <f t="shared" si="381"/>
        <v>146993.1</v>
      </c>
      <c r="BH87" s="125">
        <f t="shared" si="447"/>
        <v>113974.61</v>
      </c>
      <c r="BI87" s="140">
        <f t="shared" si="52"/>
        <v>99625.16</v>
      </c>
      <c r="BJ87" s="123">
        <f t="shared" si="382"/>
        <v>0</v>
      </c>
      <c r="BK87" s="125">
        <f t="shared" si="383"/>
        <v>99625.16</v>
      </c>
      <c r="BL87" s="436">
        <f t="shared" si="448"/>
        <v>73756.69</v>
      </c>
      <c r="BM87" s="140">
        <f t="shared" si="56"/>
        <v>292514.05</v>
      </c>
      <c r="BN87" s="326">
        <f t="shared" si="384"/>
        <v>0</v>
      </c>
      <c r="BO87" s="333">
        <f t="shared" si="385"/>
        <v>292514.05</v>
      </c>
      <c r="BP87" s="140">
        <f t="shared" ref="BP87:BR87" si="479">SUM(BE87,BI87,BM87)</f>
        <v>539132.31000000006</v>
      </c>
      <c r="BQ87" s="141">
        <f t="shared" si="479"/>
        <v>0</v>
      </c>
      <c r="BR87" s="437">
        <f t="shared" si="479"/>
        <v>539132.31000000006</v>
      </c>
      <c r="BS87" s="422">
        <f t="shared" si="450"/>
        <v>94445.28</v>
      </c>
      <c r="BT87" s="140">
        <f t="shared" si="61"/>
        <v>0</v>
      </c>
      <c r="BU87" s="123">
        <f t="shared" si="387"/>
        <v>0</v>
      </c>
      <c r="BV87" s="148">
        <f t="shared" si="388"/>
        <v>0</v>
      </c>
      <c r="BW87" s="423">
        <f t="shared" si="451"/>
        <v>276436.12</v>
      </c>
      <c r="BX87" s="424">
        <f t="shared" si="452"/>
        <v>173811.23</v>
      </c>
    </row>
    <row r="88" spans="1:77" ht="13">
      <c r="A88" s="92">
        <f t="shared" si="362"/>
        <v>112012936</v>
      </c>
      <c r="B88" s="93">
        <f t="shared" si="363"/>
        <v>1</v>
      </c>
      <c r="C88" s="137" t="str">
        <f>IFERROR(VLOOKUP(B88,DES,2,FALSE),"")</f>
        <v>Lista</v>
      </c>
      <c r="D88" s="137">
        <f>IFERROR(VLOOKUP(B88,DES,3,FALSE),"")</f>
        <v>0.09</v>
      </c>
      <c r="E88" s="98">
        <f>IFERROR(VLOOKUP(B88,DES,4,FALSE),"")</f>
        <v>0</v>
      </c>
      <c r="F88" s="414">
        <f t="shared" si="364"/>
        <v>71</v>
      </c>
      <c r="G88" s="94" t="str">
        <f t="shared" si="365"/>
        <v>Lista</v>
      </c>
      <c r="H88" s="415">
        <f t="shared" si="366"/>
        <v>0.05</v>
      </c>
      <c r="I88" s="139" t="s">
        <v>342</v>
      </c>
      <c r="J88" s="125">
        <f t="shared" si="425"/>
        <v>103265.34</v>
      </c>
      <c r="K88" s="141">
        <f t="shared" si="426"/>
        <v>173594.199807</v>
      </c>
      <c r="L88" s="113">
        <f t="shared" si="9"/>
        <v>398163.98</v>
      </c>
      <c r="M88" s="116">
        <f t="shared" si="367"/>
        <v>38753.68</v>
      </c>
      <c r="N88" s="117">
        <f t="shared" si="368"/>
        <v>436917.66</v>
      </c>
      <c r="O88" s="114">
        <f t="shared" si="427"/>
        <v>263323.46019299998</v>
      </c>
      <c r="P88" s="413">
        <f t="shared" si="428"/>
        <v>2.5168908897057616</v>
      </c>
      <c r="Q88" s="125">
        <f t="shared" si="429"/>
        <v>73358.64</v>
      </c>
      <c r="R88" s="140">
        <f t="shared" si="430"/>
        <v>130302.1839204</v>
      </c>
      <c r="S88" s="116">
        <f t="shared" si="14"/>
        <v>375344.78</v>
      </c>
      <c r="T88" s="116">
        <f t="shared" si="369"/>
        <v>15971.05</v>
      </c>
      <c r="U88" s="116">
        <f t="shared" si="370"/>
        <v>391315.83</v>
      </c>
      <c r="V88" s="116">
        <f t="shared" si="431"/>
        <v>261013.64607960003</v>
      </c>
      <c r="W88" s="413">
        <f t="shared" si="432"/>
        <v>3.0031409929326283</v>
      </c>
      <c r="X88" s="123">
        <f t="shared" si="433"/>
        <v>35705.339999999997</v>
      </c>
      <c r="Y88" s="332">
        <f t="shared" si="434"/>
        <v>58676.90606909999</v>
      </c>
      <c r="Z88" s="113">
        <f t="shared" si="19"/>
        <v>127103.82</v>
      </c>
      <c r="AA88" s="116">
        <f t="shared" si="371"/>
        <v>0</v>
      </c>
      <c r="AB88" s="117">
        <f t="shared" si="372"/>
        <v>127103.82</v>
      </c>
      <c r="AC88" s="114">
        <f t="shared" si="435"/>
        <v>68426.913930900017</v>
      </c>
      <c r="AD88" s="97">
        <f t="shared" si="436"/>
        <v>2.1661643142928853</v>
      </c>
      <c r="AE88" s="433">
        <f t="shared" si="437"/>
        <v>362573.2897965</v>
      </c>
      <c r="AF88" s="118">
        <f t="shared" si="373"/>
        <v>1858515.83</v>
      </c>
      <c r="AG88" s="116">
        <f t="shared" si="438"/>
        <v>884641.53</v>
      </c>
      <c r="AH88" s="116">
        <f t="shared" si="439"/>
        <v>70695.78</v>
      </c>
      <c r="AI88" s="116">
        <f t="shared" si="440"/>
        <v>955337.31</v>
      </c>
      <c r="AJ88" s="116">
        <f t="shared" si="29"/>
        <v>-903178.52</v>
      </c>
      <c r="AK88" s="418">
        <f t="shared" si="315"/>
        <v>0.5140323771145926</v>
      </c>
      <c r="AL88" s="434">
        <f t="shared" si="441"/>
        <v>59751.14</v>
      </c>
      <c r="AM88" s="140">
        <f t="shared" si="32"/>
        <v>365743.35000000003</v>
      </c>
      <c r="AN88" s="326">
        <f t="shared" si="374"/>
        <v>25553.68</v>
      </c>
      <c r="AO88" s="333">
        <f t="shared" si="375"/>
        <v>391297.03</v>
      </c>
      <c r="AP88" s="125">
        <f t="shared" si="442"/>
        <v>242379.9</v>
      </c>
      <c r="AQ88" s="140">
        <f t="shared" si="177"/>
        <v>1381334.82</v>
      </c>
      <c r="AR88" s="326">
        <f t="shared" si="340"/>
        <v>38330.519999999997</v>
      </c>
      <c r="AS88" s="333">
        <f t="shared" si="341"/>
        <v>1419665.34</v>
      </c>
      <c r="AT88" s="125">
        <f t="shared" si="443"/>
        <v>19070.330000000002</v>
      </c>
      <c r="AU88" s="140">
        <f t="shared" si="40"/>
        <v>329509.11</v>
      </c>
      <c r="AV88" s="326">
        <f t="shared" si="376"/>
        <v>0</v>
      </c>
      <c r="AW88" s="332">
        <f t="shared" si="377"/>
        <v>329509.11</v>
      </c>
      <c r="AX88" s="122">
        <f t="shared" si="43"/>
        <v>2076587.2800000003</v>
      </c>
      <c r="AY88" s="326">
        <f t="shared" ref="AY88:AZ88" si="480">AN88+AR88+AV88</f>
        <v>63884.2</v>
      </c>
      <c r="AZ88" s="333">
        <f t="shared" si="480"/>
        <v>2140471.48</v>
      </c>
      <c r="BA88" s="140">
        <f t="shared" ref="BA88:BB88" si="481">AX88+AG88</f>
        <v>2961228.8100000005</v>
      </c>
      <c r="BB88" s="326">
        <f t="shared" si="481"/>
        <v>134579.97999999998</v>
      </c>
      <c r="BC88" s="435">
        <f t="shared" si="46"/>
        <v>3095808.79</v>
      </c>
      <c r="BD88" s="434">
        <f t="shared" si="446"/>
        <v>282613.58</v>
      </c>
      <c r="BE88" s="140">
        <f t="shared" si="48"/>
        <v>262650.89</v>
      </c>
      <c r="BF88" s="123">
        <f t="shared" si="380"/>
        <v>41008.199999999997</v>
      </c>
      <c r="BG88" s="148">
        <f t="shared" si="381"/>
        <v>303659.09000000003</v>
      </c>
      <c r="BH88" s="125">
        <f t="shared" si="447"/>
        <v>732026.56</v>
      </c>
      <c r="BI88" s="140">
        <f t="shared" si="52"/>
        <v>906483.41</v>
      </c>
      <c r="BJ88" s="123">
        <f t="shared" si="382"/>
        <v>34173.5</v>
      </c>
      <c r="BK88" s="125">
        <f t="shared" si="383"/>
        <v>940656.91</v>
      </c>
      <c r="BL88" s="436">
        <f t="shared" si="448"/>
        <v>342230.76</v>
      </c>
      <c r="BM88" s="140">
        <f t="shared" si="56"/>
        <v>168326.39999999999</v>
      </c>
      <c r="BN88" s="326">
        <f t="shared" si="384"/>
        <v>0</v>
      </c>
      <c r="BO88" s="333">
        <f t="shared" si="385"/>
        <v>168326.39999999999</v>
      </c>
      <c r="BP88" s="140">
        <f t="shared" ref="BP88:BR88" si="482">SUM(BE88,BI88,BM88)</f>
        <v>1337460.7</v>
      </c>
      <c r="BQ88" s="141">
        <f t="shared" si="482"/>
        <v>75181.7</v>
      </c>
      <c r="BR88" s="437">
        <f t="shared" si="482"/>
        <v>1412642.4</v>
      </c>
      <c r="BS88" s="422">
        <f t="shared" si="450"/>
        <v>664822.54</v>
      </c>
      <c r="BT88" s="140">
        <f t="shared" si="61"/>
        <v>471856.14</v>
      </c>
      <c r="BU88" s="123">
        <f t="shared" si="387"/>
        <v>0</v>
      </c>
      <c r="BV88" s="148">
        <f t="shared" si="388"/>
        <v>471856.14</v>
      </c>
      <c r="BW88" s="423">
        <f t="shared" si="451"/>
        <v>1071014</v>
      </c>
      <c r="BX88" s="424">
        <f t="shared" si="452"/>
        <v>122679.29</v>
      </c>
    </row>
    <row r="89" spans="1:77" ht="13">
      <c r="A89" s="92">
        <f t="shared" si="362"/>
        <v>112012283</v>
      </c>
      <c r="B89" s="93">
        <f t="shared" si="363"/>
        <v>1</v>
      </c>
      <c r="C89" s="137" t="str">
        <f>VLOOKUP(B89,DES,2,FALSE)</f>
        <v>Lista</v>
      </c>
      <c r="D89" s="137">
        <f>VLOOKUP(B89,DES,3,FALSE)</f>
        <v>0.09</v>
      </c>
      <c r="E89" s="98">
        <f>VLOOKUP(B89,DES,4,FALSE)</f>
        <v>0</v>
      </c>
      <c r="F89" s="414">
        <f t="shared" si="364"/>
        <v>71</v>
      </c>
      <c r="G89" s="94" t="str">
        <f t="shared" si="365"/>
        <v>Lista</v>
      </c>
      <c r="H89" s="415">
        <f t="shared" si="366"/>
        <v>0.05</v>
      </c>
      <c r="I89" s="139" t="s">
        <v>343</v>
      </c>
      <c r="J89" s="125">
        <f t="shared" si="425"/>
        <v>581622.72</v>
      </c>
      <c r="K89" s="141">
        <f t="shared" si="426"/>
        <v>977736.873456</v>
      </c>
      <c r="L89" s="113">
        <f t="shared" si="9"/>
        <v>588626.16999999993</v>
      </c>
      <c r="M89" s="116">
        <f t="shared" si="367"/>
        <v>536992.76</v>
      </c>
      <c r="N89" s="117">
        <f t="shared" si="368"/>
        <v>1125618.93</v>
      </c>
      <c r="O89" s="114">
        <f t="shared" si="427"/>
        <v>147882.05654399993</v>
      </c>
      <c r="P89" s="413">
        <f t="shared" si="428"/>
        <v>1.1512493397341987</v>
      </c>
      <c r="Q89" s="125">
        <f t="shared" si="429"/>
        <v>708344.8</v>
      </c>
      <c r="R89" s="140">
        <f t="shared" si="430"/>
        <v>1258186.825828</v>
      </c>
      <c r="S89" s="116">
        <f t="shared" si="14"/>
        <v>640123.30000000005</v>
      </c>
      <c r="T89" s="116">
        <f t="shared" si="369"/>
        <v>246784.83</v>
      </c>
      <c r="U89" s="116">
        <f t="shared" si="370"/>
        <v>886908.13</v>
      </c>
      <c r="V89" s="116">
        <f t="shared" si="431"/>
        <v>-371278.69582799997</v>
      </c>
      <c r="W89" s="413">
        <f t="shared" si="432"/>
        <v>0.70490972548240982</v>
      </c>
      <c r="X89" s="123">
        <f t="shared" si="433"/>
        <v>513310.53</v>
      </c>
      <c r="Y89" s="332">
        <f t="shared" si="434"/>
        <v>843556.55913345004</v>
      </c>
      <c r="Z89" s="113">
        <f t="shared" si="19"/>
        <v>752817.83</v>
      </c>
      <c r="AA89" s="116">
        <f t="shared" si="371"/>
        <v>101284.29</v>
      </c>
      <c r="AB89" s="117">
        <f t="shared" si="372"/>
        <v>854102.12</v>
      </c>
      <c r="AC89" s="114">
        <f t="shared" si="435"/>
        <v>10545.56086654996</v>
      </c>
      <c r="AD89" s="97">
        <f t="shared" si="436"/>
        <v>1.012501308599133</v>
      </c>
      <c r="AE89" s="433">
        <f t="shared" si="437"/>
        <v>3079480.2584174499</v>
      </c>
      <c r="AF89" s="118">
        <f t="shared" si="373"/>
        <v>1421362.23</v>
      </c>
      <c r="AG89" s="116">
        <f t="shared" si="438"/>
        <v>1734782.4699999997</v>
      </c>
      <c r="AH89" s="116">
        <f t="shared" si="439"/>
        <v>1131846.71</v>
      </c>
      <c r="AI89" s="116">
        <f t="shared" si="440"/>
        <v>2866629.1799999997</v>
      </c>
      <c r="AJ89" s="116">
        <f t="shared" si="29"/>
        <v>1445266.9499999997</v>
      </c>
      <c r="AK89" s="418">
        <f t="shared" si="315"/>
        <v>2.0168181758987642</v>
      </c>
      <c r="AL89" s="434">
        <f t="shared" si="441"/>
        <v>1039364.9</v>
      </c>
      <c r="AM89" s="140">
        <f t="shared" si="32"/>
        <v>142512.44</v>
      </c>
      <c r="AN89" s="326">
        <f t="shared" si="374"/>
        <v>0</v>
      </c>
      <c r="AO89" s="333">
        <f t="shared" si="375"/>
        <v>142512.44</v>
      </c>
      <c r="AP89" s="125">
        <f t="shared" si="442"/>
        <v>368595.52</v>
      </c>
      <c r="AQ89" s="140">
        <f t="shared" si="177"/>
        <v>416847.05000000005</v>
      </c>
      <c r="AR89" s="326">
        <f t="shared" si="340"/>
        <v>573951.38</v>
      </c>
      <c r="AS89" s="333">
        <f t="shared" si="341"/>
        <v>990798.43</v>
      </c>
      <c r="AT89" s="125">
        <f t="shared" si="443"/>
        <v>187104.29</v>
      </c>
      <c r="AU89" s="140">
        <f t="shared" si="40"/>
        <v>458676.42</v>
      </c>
      <c r="AV89" s="326">
        <f t="shared" si="376"/>
        <v>52480.71</v>
      </c>
      <c r="AW89" s="332">
        <f t="shared" si="377"/>
        <v>511157.13</v>
      </c>
      <c r="AX89" s="122">
        <f t="shared" si="43"/>
        <v>1018035.9099999999</v>
      </c>
      <c r="AY89" s="326">
        <f t="shared" ref="AY89:AZ89" si="483">AN89+AR89+AV89</f>
        <v>626432.09</v>
      </c>
      <c r="AZ89" s="333">
        <f t="shared" si="483"/>
        <v>1644468</v>
      </c>
      <c r="BA89" s="140">
        <f t="shared" ref="BA89:BB89" si="484">AX89+AG89</f>
        <v>2752818.38</v>
      </c>
      <c r="BB89" s="326">
        <f t="shared" si="484"/>
        <v>1758278.7999999998</v>
      </c>
      <c r="BC89" s="435">
        <f t="shared" si="46"/>
        <v>4511097.18</v>
      </c>
      <c r="BD89" s="434">
        <f t="shared" si="446"/>
        <v>45252.77</v>
      </c>
      <c r="BE89" s="140">
        <f t="shared" si="48"/>
        <v>140328.26</v>
      </c>
      <c r="BF89" s="123">
        <f t="shared" si="380"/>
        <v>35157.53</v>
      </c>
      <c r="BG89" s="148">
        <f t="shared" si="381"/>
        <v>175485.79</v>
      </c>
      <c r="BH89" s="125">
        <f t="shared" si="447"/>
        <v>454945.72</v>
      </c>
      <c r="BI89" s="140">
        <f t="shared" si="52"/>
        <v>312314.45</v>
      </c>
      <c r="BJ89" s="123">
        <f t="shared" si="382"/>
        <v>179587.26</v>
      </c>
      <c r="BK89" s="125">
        <f t="shared" si="383"/>
        <v>491901.71</v>
      </c>
      <c r="BL89" s="436">
        <f t="shared" si="448"/>
        <v>1360551.63</v>
      </c>
      <c r="BM89" s="140">
        <f t="shared" si="56"/>
        <v>153833.84000000003</v>
      </c>
      <c r="BN89" s="326">
        <f t="shared" si="384"/>
        <v>270275.61</v>
      </c>
      <c r="BO89" s="333">
        <f t="shared" si="385"/>
        <v>424109.45</v>
      </c>
      <c r="BP89" s="140">
        <f t="shared" ref="BP89:BR89" si="485">SUM(BE89,BI89,BM89)</f>
        <v>606476.55000000005</v>
      </c>
      <c r="BQ89" s="141">
        <f t="shared" si="485"/>
        <v>485020.4</v>
      </c>
      <c r="BR89" s="437">
        <f t="shared" si="485"/>
        <v>1091496.95</v>
      </c>
      <c r="BS89" s="422">
        <f t="shared" si="450"/>
        <v>225039.78</v>
      </c>
      <c r="BT89" s="140">
        <f t="shared" si="61"/>
        <v>233009.01</v>
      </c>
      <c r="BU89" s="123">
        <f t="shared" si="387"/>
        <v>50470.94</v>
      </c>
      <c r="BV89" s="148">
        <f t="shared" si="388"/>
        <v>283479.95</v>
      </c>
      <c r="BW89" s="423">
        <f t="shared" si="451"/>
        <v>791504.53</v>
      </c>
      <c r="BX89" s="424">
        <f t="shared" si="452"/>
        <v>404817.91999999998</v>
      </c>
    </row>
    <row r="90" spans="1:77" ht="13">
      <c r="A90" s="92">
        <f t="shared" si="362"/>
        <v>112012051</v>
      </c>
      <c r="B90" s="93">
        <f t="shared" si="363"/>
        <v>1</v>
      </c>
      <c r="C90" s="137" t="str">
        <f>VLOOKUP(B90,DES,2,FALSE)</f>
        <v>Lista</v>
      </c>
      <c r="D90" s="137">
        <f>VLOOKUP(B90,DES,3,FALSE)</f>
        <v>0.09</v>
      </c>
      <c r="E90" s="98">
        <f>VLOOKUP(B90,DES,4,FALSE)</f>
        <v>0</v>
      </c>
      <c r="F90" s="414">
        <f t="shared" si="364"/>
        <v>71</v>
      </c>
      <c r="G90" s="94" t="str">
        <f t="shared" si="365"/>
        <v>Lista</v>
      </c>
      <c r="H90" s="415">
        <f t="shared" si="366"/>
        <v>0.05</v>
      </c>
      <c r="I90" s="139" t="s">
        <v>344</v>
      </c>
      <c r="J90" s="125">
        <f t="shared" si="425"/>
        <v>626875.18000000005</v>
      </c>
      <c r="K90" s="141">
        <f t="shared" si="426"/>
        <v>1053808.521339</v>
      </c>
      <c r="L90" s="113">
        <f t="shared" si="9"/>
        <v>995581.43</v>
      </c>
      <c r="M90" s="116">
        <f t="shared" si="367"/>
        <v>0</v>
      </c>
      <c r="N90" s="117">
        <f t="shared" si="368"/>
        <v>995581.43</v>
      </c>
      <c r="O90" s="114">
        <f t="shared" si="427"/>
        <v>-58227.091338999919</v>
      </c>
      <c r="P90" s="413">
        <f t="shared" si="428"/>
        <v>0.94474604241668603</v>
      </c>
      <c r="Q90" s="125">
        <f t="shared" si="429"/>
        <v>1041816.34</v>
      </c>
      <c r="R90" s="140">
        <f t="shared" si="430"/>
        <v>1850510.6466798999</v>
      </c>
      <c r="S90" s="116">
        <f t="shared" si="14"/>
        <v>1267623.74</v>
      </c>
      <c r="T90" s="116">
        <f t="shared" si="369"/>
        <v>0</v>
      </c>
      <c r="U90" s="116">
        <f t="shared" si="370"/>
        <v>1267623.74</v>
      </c>
      <c r="V90" s="116">
        <f t="shared" si="431"/>
        <v>-582886.9066798999</v>
      </c>
      <c r="W90" s="413">
        <f t="shared" si="432"/>
        <v>0.68501294076546471</v>
      </c>
      <c r="X90" s="123">
        <f t="shared" si="433"/>
        <v>195787.92</v>
      </c>
      <c r="Y90" s="332">
        <f t="shared" si="434"/>
        <v>321751.0151508</v>
      </c>
      <c r="Z90" s="113">
        <f t="shared" si="19"/>
        <v>226295.72</v>
      </c>
      <c r="AA90" s="116">
        <f t="shared" si="371"/>
        <v>0</v>
      </c>
      <c r="AB90" s="117">
        <f t="shared" si="372"/>
        <v>226295.72</v>
      </c>
      <c r="AC90" s="114">
        <f t="shared" si="435"/>
        <v>-95455.295150799997</v>
      </c>
      <c r="AD90" s="97">
        <f t="shared" si="436"/>
        <v>0.70332558203099527</v>
      </c>
      <c r="AE90" s="433">
        <f t="shared" si="437"/>
        <v>3226070.1831696997</v>
      </c>
      <c r="AF90" s="118">
        <f t="shared" si="373"/>
        <v>2353197.4700000002</v>
      </c>
      <c r="AG90" s="116">
        <f t="shared" si="438"/>
        <v>2489500.89</v>
      </c>
      <c r="AH90" s="116">
        <f t="shared" si="439"/>
        <v>0</v>
      </c>
      <c r="AI90" s="116">
        <f t="shared" si="440"/>
        <v>2489500.89</v>
      </c>
      <c r="AJ90" s="116">
        <f t="shared" si="29"/>
        <v>136303.41999999993</v>
      </c>
      <c r="AK90" s="418">
        <f t="shared" si="315"/>
        <v>1.0579226442904512</v>
      </c>
      <c r="AL90" s="434">
        <f t="shared" si="441"/>
        <v>1324717.7</v>
      </c>
      <c r="AM90" s="140">
        <f t="shared" si="32"/>
        <v>612827.96</v>
      </c>
      <c r="AN90" s="326">
        <f t="shared" si="374"/>
        <v>0</v>
      </c>
      <c r="AO90" s="333">
        <f t="shared" si="375"/>
        <v>612827.96</v>
      </c>
      <c r="AP90" s="125">
        <f t="shared" si="442"/>
        <v>484507.9</v>
      </c>
      <c r="AQ90" s="140">
        <f t="shared" si="177"/>
        <v>245115.81000000003</v>
      </c>
      <c r="AR90" s="326">
        <f t="shared" si="340"/>
        <v>38330.519999999997</v>
      </c>
      <c r="AS90" s="333">
        <f t="shared" si="341"/>
        <v>283446.33</v>
      </c>
      <c r="AT90" s="125">
        <f t="shared" si="443"/>
        <v>270490.07</v>
      </c>
      <c r="AU90" s="140">
        <f t="shared" si="40"/>
        <v>355332.16</v>
      </c>
      <c r="AV90" s="326">
        <f t="shared" si="376"/>
        <v>0</v>
      </c>
      <c r="AW90" s="332">
        <f t="shared" si="377"/>
        <v>355332.16</v>
      </c>
      <c r="AX90" s="122">
        <f t="shared" si="43"/>
        <v>1213275.93</v>
      </c>
      <c r="AY90" s="326">
        <f t="shared" ref="AY90:AZ90" si="486">AN90+AR90+AV90</f>
        <v>38330.519999999997</v>
      </c>
      <c r="AZ90" s="333">
        <f t="shared" si="486"/>
        <v>1251606.45</v>
      </c>
      <c r="BA90" s="140">
        <f t="shared" ref="BA90:BB90" si="487">AX90+AG90</f>
        <v>3702776.8200000003</v>
      </c>
      <c r="BB90" s="326">
        <f t="shared" si="487"/>
        <v>38330.519999999997</v>
      </c>
      <c r="BC90" s="435">
        <f t="shared" si="46"/>
        <v>3741107.34</v>
      </c>
      <c r="BD90" s="434">
        <f t="shared" si="446"/>
        <v>305792.8</v>
      </c>
      <c r="BE90" s="140">
        <f t="shared" si="48"/>
        <v>202862.45</v>
      </c>
      <c r="BF90" s="123">
        <f t="shared" si="380"/>
        <v>0</v>
      </c>
      <c r="BG90" s="148">
        <f t="shared" si="381"/>
        <v>202862.45</v>
      </c>
      <c r="BH90" s="125">
        <f t="shared" si="447"/>
        <v>777776.06</v>
      </c>
      <c r="BI90" s="140">
        <f t="shared" si="52"/>
        <v>756979.1</v>
      </c>
      <c r="BJ90" s="123">
        <f t="shared" si="382"/>
        <v>0</v>
      </c>
      <c r="BK90" s="125">
        <f t="shared" si="383"/>
        <v>756979.1</v>
      </c>
      <c r="BL90" s="436">
        <f t="shared" si="448"/>
        <v>406668.26</v>
      </c>
      <c r="BM90" s="140">
        <f t="shared" si="56"/>
        <v>502185.95</v>
      </c>
      <c r="BN90" s="326">
        <f t="shared" si="384"/>
        <v>0</v>
      </c>
      <c r="BO90" s="333">
        <f t="shared" si="385"/>
        <v>502185.95</v>
      </c>
      <c r="BP90" s="140">
        <f t="shared" ref="BP90:BR90" si="488">SUM(BE90,BI90,BM90)</f>
        <v>1462027.5</v>
      </c>
      <c r="BQ90" s="141">
        <f t="shared" si="488"/>
        <v>0</v>
      </c>
      <c r="BR90" s="437">
        <f t="shared" si="488"/>
        <v>1462027.5</v>
      </c>
      <c r="BS90" s="422">
        <f t="shared" si="450"/>
        <v>363193.52</v>
      </c>
      <c r="BT90" s="140">
        <f t="shared" si="61"/>
        <v>755829.64</v>
      </c>
      <c r="BU90" s="123">
        <f t="shared" si="387"/>
        <v>0</v>
      </c>
      <c r="BV90" s="148">
        <f t="shared" si="388"/>
        <v>755829.64</v>
      </c>
      <c r="BW90" s="423">
        <f t="shared" si="451"/>
        <v>1067033.72</v>
      </c>
      <c r="BX90" s="424">
        <f t="shared" si="452"/>
        <v>922970.23</v>
      </c>
    </row>
    <row r="91" spans="1:77" ht="13">
      <c r="A91" s="92">
        <f t="shared" si="362"/>
        <v>112013645</v>
      </c>
      <c r="B91" s="93">
        <f t="shared" si="363"/>
        <v>1</v>
      </c>
      <c r="C91" s="137" t="str">
        <f t="shared" ref="C91:C99" si="489">IFERROR(VLOOKUP(B91,DES,2,FALSE),"")</f>
        <v>Lista</v>
      </c>
      <c r="D91" s="137">
        <f t="shared" ref="D91:D99" si="490">IFERROR(VLOOKUP(B91,DES,3,FALSE),"")</f>
        <v>0.09</v>
      </c>
      <c r="E91" s="98">
        <f t="shared" ref="E91:E99" si="491">IFERROR(VLOOKUP(B91,DES,4,FALSE),"")</f>
        <v>0</v>
      </c>
      <c r="F91" s="414">
        <f t="shared" si="364"/>
        <v>71</v>
      </c>
      <c r="G91" s="94" t="str">
        <f t="shared" si="365"/>
        <v>Lista</v>
      </c>
      <c r="H91" s="415">
        <f t="shared" si="366"/>
        <v>0.05</v>
      </c>
      <c r="I91" s="139" t="s">
        <v>345</v>
      </c>
      <c r="J91" s="125">
        <f t="shared" si="425"/>
        <v>12308</v>
      </c>
      <c r="K91" s="141">
        <f t="shared" si="426"/>
        <v>20690.363400000002</v>
      </c>
      <c r="L91" s="113" t="e">
        <f t="shared" si="9"/>
        <v>#VALUE!</v>
      </c>
      <c r="M91" s="116" t="str">
        <f t="shared" si="367"/>
        <v/>
      </c>
      <c r="N91" s="117" t="str">
        <f t="shared" si="368"/>
        <v/>
      </c>
      <c r="O91" s="114" t="e">
        <f t="shared" si="427"/>
        <v>#VALUE!</v>
      </c>
      <c r="P91" s="413" t="str">
        <f t="shared" si="428"/>
        <v/>
      </c>
      <c r="Q91" s="125">
        <f t="shared" si="429"/>
        <v>0</v>
      </c>
      <c r="R91" s="140">
        <f t="shared" si="430"/>
        <v>0</v>
      </c>
      <c r="S91" s="116" t="e">
        <f t="shared" si="14"/>
        <v>#VALUE!</v>
      </c>
      <c r="T91" s="116" t="str">
        <f t="shared" si="369"/>
        <v/>
      </c>
      <c r="U91" s="116" t="str">
        <f t="shared" si="370"/>
        <v/>
      </c>
      <c r="V91" s="116" t="e">
        <f t="shared" si="431"/>
        <v>#VALUE!</v>
      </c>
      <c r="W91" s="413" t="str">
        <f t="shared" si="432"/>
        <v/>
      </c>
      <c r="X91" s="123">
        <f t="shared" si="433"/>
        <v>0</v>
      </c>
      <c r="Y91" s="332">
        <f t="shared" si="434"/>
        <v>0</v>
      </c>
      <c r="Z91" s="113" t="e">
        <f t="shared" si="19"/>
        <v>#VALUE!</v>
      </c>
      <c r="AA91" s="116" t="str">
        <f t="shared" si="371"/>
        <v/>
      </c>
      <c r="AB91" s="117" t="str">
        <f t="shared" si="372"/>
        <v/>
      </c>
      <c r="AC91" s="114" t="e">
        <f t="shared" si="435"/>
        <v>#VALUE!</v>
      </c>
      <c r="AD91" s="97" t="str">
        <f t="shared" si="436"/>
        <v/>
      </c>
      <c r="AE91" s="433">
        <f t="shared" si="437"/>
        <v>20690.363400000002</v>
      </c>
      <c r="AF91" s="118" t="str">
        <f t="shared" si="373"/>
        <v>0</v>
      </c>
      <c r="AG91" s="116">
        <f t="shared" si="438"/>
        <v>0</v>
      </c>
      <c r="AH91" s="116">
        <f t="shared" si="439"/>
        <v>0</v>
      </c>
      <c r="AI91" s="116">
        <f t="shared" si="440"/>
        <v>0</v>
      </c>
      <c r="AJ91" s="116">
        <f t="shared" si="29"/>
        <v>0</v>
      </c>
      <c r="AK91" s="418" t="str">
        <f t="shared" si="315"/>
        <v/>
      </c>
      <c r="AL91" s="434">
        <f t="shared" si="441"/>
        <v>0</v>
      </c>
      <c r="AM91" s="140" t="e">
        <f t="shared" si="32"/>
        <v>#VALUE!</v>
      </c>
      <c r="AN91" s="326" t="str">
        <f t="shared" si="374"/>
        <v/>
      </c>
      <c r="AO91" s="333" t="str">
        <f t="shared" si="375"/>
        <v/>
      </c>
      <c r="AP91" s="125">
        <f t="shared" si="442"/>
        <v>0</v>
      </c>
      <c r="AQ91" s="140" t="e">
        <f t="shared" si="177"/>
        <v>#VALUE!</v>
      </c>
      <c r="AR91" s="326" t="str">
        <f t="shared" si="340"/>
        <v/>
      </c>
      <c r="AS91" s="333" t="str">
        <f t="shared" si="341"/>
        <v/>
      </c>
      <c r="AT91" s="125">
        <f t="shared" si="443"/>
        <v>0</v>
      </c>
      <c r="AU91" s="140" t="e">
        <f t="shared" si="40"/>
        <v>#VALUE!</v>
      </c>
      <c r="AV91" s="326" t="str">
        <f t="shared" si="376"/>
        <v/>
      </c>
      <c r="AW91" s="332" t="str">
        <f t="shared" si="377"/>
        <v/>
      </c>
      <c r="AX91" s="122" t="e">
        <f t="shared" si="43"/>
        <v>#VALUE!</v>
      </c>
      <c r="AY91" s="326" t="e">
        <f t="shared" ref="AY91:AZ91" si="492">AN91+AR91+AV91</f>
        <v>#VALUE!</v>
      </c>
      <c r="AZ91" s="333" t="e">
        <f t="shared" si="492"/>
        <v>#VALUE!</v>
      </c>
      <c r="BA91" s="140" t="e">
        <f t="shared" ref="BA91:BB91" si="493">AX91+AG91</f>
        <v>#VALUE!</v>
      </c>
      <c r="BB91" s="326" t="e">
        <f t="shared" si="493"/>
        <v>#VALUE!</v>
      </c>
      <c r="BC91" s="435" t="e">
        <f t="shared" si="46"/>
        <v>#VALUE!</v>
      </c>
      <c r="BD91" s="434">
        <f t="shared" si="446"/>
        <v>0</v>
      </c>
      <c r="BE91" s="140" t="e">
        <f t="shared" si="48"/>
        <v>#VALUE!</v>
      </c>
      <c r="BF91" s="123" t="str">
        <f t="shared" si="380"/>
        <v/>
      </c>
      <c r="BG91" s="148" t="str">
        <f t="shared" si="381"/>
        <v/>
      </c>
      <c r="BH91" s="125">
        <f t="shared" si="447"/>
        <v>0</v>
      </c>
      <c r="BI91" s="140" t="e">
        <f t="shared" si="52"/>
        <v>#VALUE!</v>
      </c>
      <c r="BJ91" s="123" t="str">
        <f t="shared" si="382"/>
        <v/>
      </c>
      <c r="BK91" s="125" t="str">
        <f t="shared" si="383"/>
        <v/>
      </c>
      <c r="BL91" s="436">
        <f t="shared" si="448"/>
        <v>0</v>
      </c>
      <c r="BM91" s="140" t="e">
        <f t="shared" si="56"/>
        <v>#VALUE!</v>
      </c>
      <c r="BN91" s="326" t="str">
        <f t="shared" si="384"/>
        <v/>
      </c>
      <c r="BO91" s="333" t="str">
        <f t="shared" si="385"/>
        <v/>
      </c>
      <c r="BP91" s="140" t="e">
        <f t="shared" ref="BP91:BR91" si="494">SUM(BE91,BI91,BM91)</f>
        <v>#VALUE!</v>
      </c>
      <c r="BQ91" s="141">
        <f t="shared" si="494"/>
        <v>0</v>
      </c>
      <c r="BR91" s="437">
        <f t="shared" si="494"/>
        <v>0</v>
      </c>
      <c r="BS91" s="422">
        <f t="shared" si="450"/>
        <v>0</v>
      </c>
      <c r="BT91" s="140" t="e">
        <f t="shared" si="61"/>
        <v>#VALUE!</v>
      </c>
      <c r="BU91" s="123" t="str">
        <f t="shared" si="387"/>
        <v/>
      </c>
      <c r="BV91" s="148" t="str">
        <f t="shared" si="388"/>
        <v/>
      </c>
      <c r="BW91" s="423">
        <f t="shared" si="451"/>
        <v>0</v>
      </c>
      <c r="BX91" s="424">
        <f t="shared" si="452"/>
        <v>0</v>
      </c>
    </row>
    <row r="92" spans="1:77" ht="13">
      <c r="A92" s="92">
        <f t="shared" si="362"/>
        <v>112013893</v>
      </c>
      <c r="B92" s="93">
        <f t="shared" si="363"/>
        <v>0</v>
      </c>
      <c r="C92" s="137" t="str">
        <f t="shared" si="489"/>
        <v/>
      </c>
      <c r="D92" s="137" t="str">
        <f t="shared" si="490"/>
        <v/>
      </c>
      <c r="E92" s="98" t="str">
        <f t="shared" si="491"/>
        <v/>
      </c>
      <c r="F92" s="414">
        <f t="shared" si="364"/>
        <v>0</v>
      </c>
      <c r="G92" s="94" t="str">
        <f t="shared" si="365"/>
        <v/>
      </c>
      <c r="H92" s="415" t="str">
        <f t="shared" si="366"/>
        <v/>
      </c>
      <c r="I92" s="139" t="s">
        <v>346</v>
      </c>
      <c r="J92" s="125">
        <f t="shared" si="425"/>
        <v>0</v>
      </c>
      <c r="K92" s="141">
        <f t="shared" si="426"/>
        <v>0</v>
      </c>
      <c r="L92" s="113" t="e">
        <f t="shared" si="9"/>
        <v>#VALUE!</v>
      </c>
      <c r="M92" s="116" t="str">
        <f t="shared" si="367"/>
        <v/>
      </c>
      <c r="N92" s="117">
        <f t="shared" si="368"/>
        <v>327356.28999999998</v>
      </c>
      <c r="O92" s="114">
        <f t="shared" si="427"/>
        <v>327356.28999999998</v>
      </c>
      <c r="P92" s="413" t="str">
        <f t="shared" si="428"/>
        <v/>
      </c>
      <c r="Q92" s="125">
        <f t="shared" si="429"/>
        <v>0</v>
      </c>
      <c r="R92" s="140">
        <f t="shared" si="430"/>
        <v>0</v>
      </c>
      <c r="S92" s="116" t="e">
        <f t="shared" si="14"/>
        <v>#VALUE!</v>
      </c>
      <c r="T92" s="116" t="str">
        <f t="shared" si="369"/>
        <v/>
      </c>
      <c r="U92" s="116">
        <f t="shared" si="370"/>
        <v>112023.41</v>
      </c>
      <c r="V92" s="116">
        <f t="shared" si="431"/>
        <v>112023.41</v>
      </c>
      <c r="W92" s="413" t="str">
        <f t="shared" si="432"/>
        <v/>
      </c>
      <c r="X92" s="123">
        <f t="shared" si="433"/>
        <v>92431.07</v>
      </c>
      <c r="Y92" s="332">
        <f t="shared" si="434"/>
        <v>151897.98535055001</v>
      </c>
      <c r="Z92" s="113" t="e">
        <f t="shared" si="19"/>
        <v>#VALUE!</v>
      </c>
      <c r="AA92" s="116" t="str">
        <f t="shared" si="371"/>
        <v/>
      </c>
      <c r="AB92" s="117">
        <f t="shared" si="372"/>
        <v>285688.45</v>
      </c>
      <c r="AC92" s="114">
        <f t="shared" si="435"/>
        <v>133790.46464945</v>
      </c>
      <c r="AD92" s="97">
        <f t="shared" si="436"/>
        <v>1.8807915677136107</v>
      </c>
      <c r="AE92" s="433">
        <f t="shared" si="437"/>
        <v>151897.98535055001</v>
      </c>
      <c r="AF92" s="118">
        <f t="shared" si="373"/>
        <v>350010.42</v>
      </c>
      <c r="AG92" s="116">
        <f t="shared" si="438"/>
        <v>725068.14999999991</v>
      </c>
      <c r="AH92" s="116">
        <f t="shared" si="439"/>
        <v>0</v>
      </c>
      <c r="AI92" s="116">
        <f t="shared" si="440"/>
        <v>725068.14999999991</v>
      </c>
      <c r="AJ92" s="116">
        <f t="shared" si="29"/>
        <v>375057.72999999992</v>
      </c>
      <c r="AK92" s="418">
        <f t="shared" si="315"/>
        <v>2.0715616123657119</v>
      </c>
      <c r="AL92" s="434">
        <f t="shared" si="441"/>
        <v>96453.55</v>
      </c>
      <c r="AM92" s="140" t="e">
        <f t="shared" si="32"/>
        <v>#VALUE!</v>
      </c>
      <c r="AN92" s="326" t="str">
        <f t="shared" si="374"/>
        <v/>
      </c>
      <c r="AO92" s="333">
        <f t="shared" si="375"/>
        <v>92599.03</v>
      </c>
      <c r="AP92" s="125">
        <f t="shared" si="442"/>
        <v>58033.24</v>
      </c>
      <c r="AQ92" s="140" t="e">
        <f t="shared" si="177"/>
        <v>#VALUE!</v>
      </c>
      <c r="AR92" s="326" t="str">
        <f t="shared" ref="AR92:AR99" si="495">IFERROR(VLOOKUP(I92,CALOALIM,7,FALSE),"")</f>
        <v/>
      </c>
      <c r="AS92" s="333">
        <f t="shared" ref="AS92:AS99" si="496">IFERROR(VLOOKUP(I92,CALOFC,7,FALSE),"")</f>
        <v>304636.2</v>
      </c>
      <c r="AT92" s="125">
        <f t="shared" si="443"/>
        <v>83524.95</v>
      </c>
      <c r="AU92" s="140" t="e">
        <f t="shared" si="40"/>
        <v>#VALUE!</v>
      </c>
      <c r="AV92" s="326" t="str">
        <f t="shared" si="376"/>
        <v/>
      </c>
      <c r="AW92" s="332">
        <f t="shared" si="377"/>
        <v>294074.59999999998</v>
      </c>
      <c r="AX92" s="122" t="e">
        <f t="shared" si="43"/>
        <v>#VALUE!</v>
      </c>
      <c r="AY92" s="326" t="e">
        <f t="shared" ref="AY92:AZ92" si="497">AN92+AR92+AV92</f>
        <v>#VALUE!</v>
      </c>
      <c r="AZ92" s="333">
        <f t="shared" si="497"/>
        <v>691309.83</v>
      </c>
      <c r="BA92" s="140" t="e">
        <f t="shared" ref="BA92:BB92" si="498">AX92+AG92</f>
        <v>#VALUE!</v>
      </c>
      <c r="BB92" s="326" t="e">
        <f t="shared" si="498"/>
        <v>#VALUE!</v>
      </c>
      <c r="BC92" s="435">
        <f t="shared" si="46"/>
        <v>1416377.98</v>
      </c>
      <c r="BD92" s="434">
        <f t="shared" si="446"/>
        <v>0</v>
      </c>
      <c r="BE92" s="140" t="e">
        <f t="shared" si="48"/>
        <v>#VALUE!</v>
      </c>
      <c r="BF92" s="123" t="str">
        <f t="shared" si="380"/>
        <v/>
      </c>
      <c r="BG92" s="148">
        <f t="shared" si="381"/>
        <v>480823.46</v>
      </c>
      <c r="BH92" s="125">
        <f t="shared" si="447"/>
        <v>46418.7</v>
      </c>
      <c r="BI92" s="140" t="e">
        <f t="shared" si="52"/>
        <v>#VALUE!</v>
      </c>
      <c r="BJ92" s="123" t="str">
        <f t="shared" si="382"/>
        <v/>
      </c>
      <c r="BK92" s="125">
        <f t="shared" si="383"/>
        <v>447401.1</v>
      </c>
      <c r="BL92" s="436">
        <f t="shared" si="448"/>
        <v>165290.01</v>
      </c>
      <c r="BM92" s="140" t="e">
        <f t="shared" si="56"/>
        <v>#VALUE!</v>
      </c>
      <c r="BN92" s="326" t="str">
        <f t="shared" si="384"/>
        <v/>
      </c>
      <c r="BO92" s="333">
        <f t="shared" si="385"/>
        <v>312083.59000000003</v>
      </c>
      <c r="BP92" s="140" t="e">
        <f t="shared" ref="BP92:BR92" si="499">SUM(BE92,BI92,BM92)</f>
        <v>#VALUE!</v>
      </c>
      <c r="BQ92" s="141">
        <f t="shared" si="499"/>
        <v>0</v>
      </c>
      <c r="BR92" s="437">
        <f t="shared" si="499"/>
        <v>1240308.1500000001</v>
      </c>
      <c r="BS92" s="422">
        <f t="shared" si="450"/>
        <v>202509.03</v>
      </c>
      <c r="BT92" s="140" t="e">
        <f t="shared" si="61"/>
        <v>#VALUE!</v>
      </c>
      <c r="BU92" s="123" t="str">
        <f t="shared" si="387"/>
        <v/>
      </c>
      <c r="BV92" s="148">
        <f t="shared" si="388"/>
        <v>189578.41</v>
      </c>
      <c r="BW92" s="423">
        <f t="shared" si="451"/>
        <v>147501.39000000001</v>
      </c>
      <c r="BX92" s="424">
        <f t="shared" si="452"/>
        <v>0</v>
      </c>
    </row>
    <row r="93" spans="1:77" ht="13">
      <c r="A93" s="92">
        <f t="shared" si="362"/>
        <v>112014150</v>
      </c>
      <c r="B93" s="93">
        <f t="shared" si="363"/>
        <v>0</v>
      </c>
      <c r="C93" s="137" t="str">
        <f t="shared" si="489"/>
        <v/>
      </c>
      <c r="D93" s="137" t="str">
        <f t="shared" si="490"/>
        <v/>
      </c>
      <c r="E93" s="98" t="str">
        <f t="shared" si="491"/>
        <v/>
      </c>
      <c r="F93" s="414">
        <f t="shared" si="364"/>
        <v>0</v>
      </c>
      <c r="G93" s="94" t="str">
        <f t="shared" si="365"/>
        <v/>
      </c>
      <c r="H93" s="415" t="str">
        <f t="shared" si="366"/>
        <v/>
      </c>
      <c r="I93" s="139" t="s">
        <v>347</v>
      </c>
      <c r="J93" s="125"/>
      <c r="K93" s="141"/>
      <c r="L93" s="113">
        <f t="shared" si="9"/>
        <v>0</v>
      </c>
      <c r="M93" s="116">
        <f t="shared" si="367"/>
        <v>0</v>
      </c>
      <c r="N93" s="117">
        <f t="shared" si="368"/>
        <v>0</v>
      </c>
      <c r="O93" s="114">
        <f t="shared" si="427"/>
        <v>0</v>
      </c>
      <c r="P93" s="413" t="str">
        <f t="shared" si="428"/>
        <v/>
      </c>
      <c r="Q93" s="125" t="str">
        <f t="shared" si="429"/>
        <v/>
      </c>
      <c r="R93" s="140" t="e">
        <f t="shared" si="430"/>
        <v>#VALUE!</v>
      </c>
      <c r="S93" s="116">
        <f t="shared" si="14"/>
        <v>0</v>
      </c>
      <c r="T93" s="116">
        <f t="shared" si="369"/>
        <v>0</v>
      </c>
      <c r="U93" s="116">
        <f t="shared" si="370"/>
        <v>0</v>
      </c>
      <c r="V93" s="116" t="e">
        <f t="shared" si="431"/>
        <v>#VALUE!</v>
      </c>
      <c r="W93" s="413" t="str">
        <f t="shared" si="432"/>
        <v/>
      </c>
      <c r="X93" s="123" t="str">
        <f t="shared" si="433"/>
        <v/>
      </c>
      <c r="Y93" s="332" t="e">
        <f t="shared" si="434"/>
        <v>#VALUE!</v>
      </c>
      <c r="Z93" s="113">
        <f t="shared" si="19"/>
        <v>0</v>
      </c>
      <c r="AA93" s="116">
        <f t="shared" si="371"/>
        <v>0</v>
      </c>
      <c r="AB93" s="117">
        <f t="shared" si="372"/>
        <v>0</v>
      </c>
      <c r="AC93" s="114" t="e">
        <f t="shared" si="435"/>
        <v>#VALUE!</v>
      </c>
      <c r="AD93" s="97" t="str">
        <f t="shared" si="436"/>
        <v/>
      </c>
      <c r="AE93" s="433" t="e">
        <f t="shared" si="437"/>
        <v>#VALUE!</v>
      </c>
      <c r="AF93" s="118" t="str">
        <f t="shared" si="373"/>
        <v>0</v>
      </c>
      <c r="AG93" s="116">
        <f t="shared" si="438"/>
        <v>0</v>
      </c>
      <c r="AH93" s="116">
        <f t="shared" si="439"/>
        <v>0</v>
      </c>
      <c r="AI93" s="116">
        <f t="shared" si="440"/>
        <v>0</v>
      </c>
      <c r="AJ93" s="116">
        <f t="shared" si="29"/>
        <v>0</v>
      </c>
      <c r="AK93" s="418" t="str">
        <f t="shared" si="315"/>
        <v/>
      </c>
      <c r="AL93" s="434" t="str">
        <f t="shared" si="441"/>
        <v/>
      </c>
      <c r="AM93" s="140">
        <f t="shared" si="32"/>
        <v>0</v>
      </c>
      <c r="AN93" s="326">
        <f t="shared" si="374"/>
        <v>0</v>
      </c>
      <c r="AO93" s="333">
        <f t="shared" si="375"/>
        <v>0</v>
      </c>
      <c r="AP93" s="125" t="str">
        <f t="shared" si="442"/>
        <v/>
      </c>
      <c r="AQ93" s="140">
        <f t="shared" si="177"/>
        <v>0</v>
      </c>
      <c r="AR93" s="326">
        <f t="shared" si="495"/>
        <v>0</v>
      </c>
      <c r="AS93" s="333">
        <f t="shared" si="496"/>
        <v>0</v>
      </c>
      <c r="AT93" s="125" t="str">
        <f t="shared" si="443"/>
        <v/>
      </c>
      <c r="AU93" s="140">
        <f t="shared" si="40"/>
        <v>0</v>
      </c>
      <c r="AV93" s="326">
        <f t="shared" si="376"/>
        <v>0</v>
      </c>
      <c r="AW93" s="332">
        <f t="shared" si="377"/>
        <v>0</v>
      </c>
      <c r="AX93" s="122">
        <f t="shared" si="43"/>
        <v>0</v>
      </c>
      <c r="AY93" s="326">
        <f t="shared" ref="AY93:AZ93" si="500">AN93+AR93+AV93</f>
        <v>0</v>
      </c>
      <c r="AZ93" s="333">
        <f t="shared" si="500"/>
        <v>0</v>
      </c>
      <c r="BA93" s="140">
        <f t="shared" ref="BA93:BB93" si="501">AX93+AG93</f>
        <v>0</v>
      </c>
      <c r="BB93" s="326">
        <f t="shared" si="501"/>
        <v>0</v>
      </c>
      <c r="BC93" s="435">
        <f t="shared" si="46"/>
        <v>0</v>
      </c>
      <c r="BD93" s="434" t="str">
        <f t="shared" si="446"/>
        <v/>
      </c>
      <c r="BE93" s="140">
        <f t="shared" si="48"/>
        <v>0</v>
      </c>
      <c r="BF93" s="123">
        <f t="shared" si="380"/>
        <v>0</v>
      </c>
      <c r="BG93" s="148">
        <f t="shared" si="381"/>
        <v>0</v>
      </c>
      <c r="BH93" s="125" t="str">
        <f t="shared" si="447"/>
        <v/>
      </c>
      <c r="BI93" s="140">
        <f t="shared" si="52"/>
        <v>0</v>
      </c>
      <c r="BJ93" s="123">
        <f t="shared" si="382"/>
        <v>0</v>
      </c>
      <c r="BK93" s="125">
        <f t="shared" si="383"/>
        <v>0</v>
      </c>
      <c r="BL93" s="436" t="str">
        <f t="shared" si="448"/>
        <v/>
      </c>
      <c r="BM93" s="140">
        <f t="shared" si="56"/>
        <v>0</v>
      </c>
      <c r="BN93" s="326">
        <f t="shared" si="384"/>
        <v>0</v>
      </c>
      <c r="BO93" s="333">
        <f t="shared" si="385"/>
        <v>0</v>
      </c>
      <c r="BP93" s="140">
        <f t="shared" ref="BP93:BR93" si="502">SUM(BE93,BI93,BM93)</f>
        <v>0</v>
      </c>
      <c r="BQ93" s="141">
        <f t="shared" si="502"/>
        <v>0</v>
      </c>
      <c r="BR93" s="437">
        <f t="shared" si="502"/>
        <v>0</v>
      </c>
      <c r="BS93" s="422" t="str">
        <f t="shared" si="450"/>
        <v/>
      </c>
      <c r="BT93" s="140">
        <f t="shared" si="61"/>
        <v>0</v>
      </c>
      <c r="BU93" s="123">
        <f t="shared" si="387"/>
        <v>0</v>
      </c>
      <c r="BV93" s="148">
        <f t="shared" si="388"/>
        <v>0</v>
      </c>
      <c r="BW93" s="423" t="str">
        <f t="shared" si="451"/>
        <v/>
      </c>
      <c r="BX93" s="424" t="str">
        <f t="shared" si="452"/>
        <v/>
      </c>
    </row>
    <row r="94" spans="1:77" ht="13">
      <c r="A94" s="92">
        <f t="shared" si="362"/>
        <v>112014294</v>
      </c>
      <c r="B94" s="93">
        <f t="shared" si="363"/>
        <v>0</v>
      </c>
      <c r="C94" s="137" t="str">
        <f t="shared" si="489"/>
        <v/>
      </c>
      <c r="D94" s="137" t="str">
        <f t="shared" si="490"/>
        <v/>
      </c>
      <c r="E94" s="98" t="str">
        <f t="shared" si="491"/>
        <v/>
      </c>
      <c r="F94" s="414">
        <f t="shared" si="364"/>
        <v>0</v>
      </c>
      <c r="G94" s="94" t="str">
        <f t="shared" si="365"/>
        <v/>
      </c>
      <c r="H94" s="415" t="str">
        <f t="shared" si="366"/>
        <v/>
      </c>
      <c r="I94" s="139" t="s">
        <v>348</v>
      </c>
      <c r="J94" s="125" t="str">
        <f t="shared" ref="J94:J99" si="503">IFERROR(VLOOKUP(I94,CALO24,3,FALSE),"")</f>
        <v/>
      </c>
      <c r="K94" s="141" t="e">
        <f t="shared" ref="K94:K99" si="504">(J94*1.601)*1.05</f>
        <v>#VALUE!</v>
      </c>
      <c r="L94" s="113" t="e">
        <f t="shared" si="9"/>
        <v>#VALUE!</v>
      </c>
      <c r="M94" s="116" t="str">
        <f t="shared" si="367"/>
        <v/>
      </c>
      <c r="N94" s="117" t="str">
        <f t="shared" si="368"/>
        <v/>
      </c>
      <c r="O94" s="114" t="e">
        <f t="shared" si="427"/>
        <v>#VALUE!</v>
      </c>
      <c r="P94" s="413" t="str">
        <f t="shared" si="428"/>
        <v/>
      </c>
      <c r="Q94" s="125" t="str">
        <f t="shared" si="429"/>
        <v/>
      </c>
      <c r="R94" s="140" t="e">
        <f t="shared" si="430"/>
        <v>#VALUE!</v>
      </c>
      <c r="S94" s="116" t="e">
        <f t="shared" si="14"/>
        <v>#VALUE!</v>
      </c>
      <c r="T94" s="116" t="str">
        <f t="shared" si="369"/>
        <v/>
      </c>
      <c r="U94" s="116" t="str">
        <f t="shared" si="370"/>
        <v/>
      </c>
      <c r="V94" s="116" t="e">
        <f t="shared" si="431"/>
        <v>#VALUE!</v>
      </c>
      <c r="W94" s="413" t="str">
        <f t="shared" si="432"/>
        <v/>
      </c>
      <c r="X94" s="123" t="str">
        <f t="shared" si="433"/>
        <v/>
      </c>
      <c r="Y94" s="332" t="e">
        <f t="shared" si="434"/>
        <v>#VALUE!</v>
      </c>
      <c r="Z94" s="113" t="e">
        <f t="shared" si="19"/>
        <v>#VALUE!</v>
      </c>
      <c r="AA94" s="116" t="str">
        <f t="shared" si="371"/>
        <v/>
      </c>
      <c r="AB94" s="117" t="str">
        <f t="shared" si="372"/>
        <v/>
      </c>
      <c r="AC94" s="114" t="e">
        <f t="shared" si="435"/>
        <v>#VALUE!</v>
      </c>
      <c r="AD94" s="97" t="str">
        <f t="shared" si="436"/>
        <v/>
      </c>
      <c r="AE94" s="433" t="e">
        <f t="shared" si="437"/>
        <v>#VALUE!</v>
      </c>
      <c r="AF94" s="118" t="str">
        <f t="shared" si="373"/>
        <v>0</v>
      </c>
      <c r="AG94" s="116">
        <f t="shared" si="438"/>
        <v>0</v>
      </c>
      <c r="AH94" s="116">
        <f t="shared" si="439"/>
        <v>0</v>
      </c>
      <c r="AI94" s="116">
        <f t="shared" si="440"/>
        <v>0</v>
      </c>
      <c r="AJ94" s="116">
        <f t="shared" si="29"/>
        <v>0</v>
      </c>
      <c r="AK94" s="418" t="str">
        <f t="shared" si="315"/>
        <v/>
      </c>
      <c r="AL94" s="434" t="str">
        <f t="shared" si="441"/>
        <v/>
      </c>
      <c r="AM94" s="140" t="e">
        <f t="shared" si="32"/>
        <v>#VALUE!</v>
      </c>
      <c r="AN94" s="326" t="str">
        <f t="shared" si="374"/>
        <v/>
      </c>
      <c r="AO94" s="333" t="str">
        <f t="shared" si="375"/>
        <v/>
      </c>
      <c r="AP94" s="125" t="str">
        <f t="shared" si="442"/>
        <v/>
      </c>
      <c r="AQ94" s="140" t="e">
        <f t="shared" si="177"/>
        <v>#VALUE!</v>
      </c>
      <c r="AR94" s="326" t="str">
        <f t="shared" si="495"/>
        <v/>
      </c>
      <c r="AS94" s="333" t="str">
        <f t="shared" si="496"/>
        <v/>
      </c>
      <c r="AT94" s="125" t="str">
        <f t="shared" si="443"/>
        <v/>
      </c>
      <c r="AU94" s="140" t="e">
        <f t="shared" si="40"/>
        <v>#VALUE!</v>
      </c>
      <c r="AV94" s="326" t="str">
        <f t="shared" si="376"/>
        <v/>
      </c>
      <c r="AW94" s="332" t="str">
        <f t="shared" si="377"/>
        <v/>
      </c>
      <c r="AX94" s="122" t="e">
        <f t="shared" si="43"/>
        <v>#VALUE!</v>
      </c>
      <c r="AY94" s="326" t="e">
        <f t="shared" ref="AY94:AZ94" si="505">AN94+AR94+AV94</f>
        <v>#VALUE!</v>
      </c>
      <c r="AZ94" s="333" t="e">
        <f t="shared" si="505"/>
        <v>#VALUE!</v>
      </c>
      <c r="BA94" s="140" t="e">
        <f t="shared" ref="BA94:BB94" si="506">AX94+AG94</f>
        <v>#VALUE!</v>
      </c>
      <c r="BB94" s="326" t="e">
        <f t="shared" si="506"/>
        <v>#VALUE!</v>
      </c>
      <c r="BC94" s="435" t="e">
        <f t="shared" si="46"/>
        <v>#VALUE!</v>
      </c>
      <c r="BD94" s="434" t="str">
        <f t="shared" si="446"/>
        <v/>
      </c>
      <c r="BE94" s="140" t="e">
        <f t="shared" si="48"/>
        <v>#VALUE!</v>
      </c>
      <c r="BF94" s="123" t="str">
        <f t="shared" si="380"/>
        <v/>
      </c>
      <c r="BG94" s="148" t="str">
        <f t="shared" si="381"/>
        <v/>
      </c>
      <c r="BH94" s="141" t="e">
        <f t="shared" ref="BH94:BH97" si="507">BS94-BL94</f>
        <v>#VALUE!</v>
      </c>
      <c r="BI94" s="140" t="e">
        <f t="shared" si="52"/>
        <v>#VALUE!</v>
      </c>
      <c r="BJ94" s="123" t="str">
        <f t="shared" si="382"/>
        <v/>
      </c>
      <c r="BK94" s="125" t="str">
        <f t="shared" si="383"/>
        <v/>
      </c>
      <c r="BL94" s="332" t="str">
        <f>IFERROR(VLOOKUP(X94,CALOALIM,6,FALSE),"")</f>
        <v/>
      </c>
      <c r="BM94" s="140" t="e">
        <f t="shared" si="56"/>
        <v>#VALUE!</v>
      </c>
      <c r="BN94" s="326" t="str">
        <f t="shared" si="384"/>
        <v/>
      </c>
      <c r="BO94" s="333" t="str">
        <f t="shared" si="385"/>
        <v/>
      </c>
      <c r="BP94" s="140" t="e">
        <f t="shared" ref="BP94:BR94" si="508">SUM(BE94,BI94,BM94)</f>
        <v>#VALUE!</v>
      </c>
      <c r="BQ94" s="141">
        <f t="shared" si="508"/>
        <v>0</v>
      </c>
      <c r="BR94" s="437">
        <f t="shared" si="508"/>
        <v>0</v>
      </c>
      <c r="BS94" s="141" t="str">
        <f>IFERROR(VLOOKUP(X94,CALOFC,6,FALSE),"")</f>
        <v/>
      </c>
      <c r="BT94" s="140" t="e">
        <f t="shared" si="61"/>
        <v>#VALUE!</v>
      </c>
      <c r="BU94" s="123" t="str">
        <f t="shared" si="387"/>
        <v/>
      </c>
      <c r="BV94" s="148" t="str">
        <f t="shared" si="388"/>
        <v/>
      </c>
      <c r="BW94" s="123" t="str">
        <f>IFERROR(VLOOKUP(X94,CALO24,7,FALSE),"")</f>
        <v/>
      </c>
      <c r="BX94" s="333" t="e">
        <f t="shared" ref="BX94:BX97" si="509">BZ94-BY94</f>
        <v>#VALUE!</v>
      </c>
      <c r="BY94" s="296" t="str">
        <f>IFERROR(VLOOKUP(X94,CALOALIM,7,FALSE),"")</f>
        <v/>
      </c>
    </row>
    <row r="95" spans="1:77" ht="13">
      <c r="A95" s="92">
        <f t="shared" si="362"/>
        <v>112014346</v>
      </c>
      <c r="B95" s="93">
        <f t="shared" si="363"/>
        <v>0</v>
      </c>
      <c r="C95" s="137" t="str">
        <f t="shared" si="489"/>
        <v/>
      </c>
      <c r="D95" s="137" t="str">
        <f t="shared" si="490"/>
        <v/>
      </c>
      <c r="E95" s="98" t="str">
        <f t="shared" si="491"/>
        <v/>
      </c>
      <c r="F95" s="414">
        <f t="shared" si="364"/>
        <v>0</v>
      </c>
      <c r="G95" s="94" t="str">
        <f t="shared" si="365"/>
        <v/>
      </c>
      <c r="H95" s="415" t="str">
        <f t="shared" si="366"/>
        <v/>
      </c>
      <c r="I95" s="139" t="s">
        <v>349</v>
      </c>
      <c r="J95" s="125">
        <f t="shared" si="503"/>
        <v>0</v>
      </c>
      <c r="K95" s="141">
        <f t="shared" si="504"/>
        <v>0</v>
      </c>
      <c r="L95" s="113" t="e">
        <f t="shared" si="9"/>
        <v>#VALUE!</v>
      </c>
      <c r="M95" s="116" t="str">
        <f t="shared" si="367"/>
        <v/>
      </c>
      <c r="N95" s="117" t="str">
        <f t="shared" si="368"/>
        <v/>
      </c>
      <c r="O95" s="114" t="e">
        <f t="shared" si="427"/>
        <v>#VALUE!</v>
      </c>
      <c r="P95" s="413" t="str">
        <f t="shared" si="428"/>
        <v/>
      </c>
      <c r="Q95" s="125">
        <f t="shared" si="429"/>
        <v>0</v>
      </c>
      <c r="R95" s="140">
        <f t="shared" si="430"/>
        <v>0</v>
      </c>
      <c r="S95" s="116" t="e">
        <f t="shared" si="14"/>
        <v>#VALUE!</v>
      </c>
      <c r="T95" s="116" t="str">
        <f t="shared" si="369"/>
        <v/>
      </c>
      <c r="U95" s="116" t="str">
        <f t="shared" si="370"/>
        <v/>
      </c>
      <c r="V95" s="116" t="e">
        <f t="shared" si="431"/>
        <v>#VALUE!</v>
      </c>
      <c r="W95" s="413" t="str">
        <f t="shared" si="432"/>
        <v/>
      </c>
      <c r="X95" s="123">
        <f t="shared" si="433"/>
        <v>0</v>
      </c>
      <c r="Y95" s="332">
        <f t="shared" si="434"/>
        <v>0</v>
      </c>
      <c r="Z95" s="113" t="e">
        <f t="shared" si="19"/>
        <v>#VALUE!</v>
      </c>
      <c r="AA95" s="116" t="str">
        <f t="shared" si="371"/>
        <v/>
      </c>
      <c r="AB95" s="117" t="str">
        <f t="shared" si="372"/>
        <v/>
      </c>
      <c r="AC95" s="114" t="e">
        <f t="shared" si="435"/>
        <v>#VALUE!</v>
      </c>
      <c r="AD95" s="97" t="str">
        <f t="shared" si="436"/>
        <v/>
      </c>
      <c r="AE95" s="433">
        <f t="shared" si="437"/>
        <v>0</v>
      </c>
      <c r="AF95" s="118" t="str">
        <f t="shared" si="373"/>
        <v>0</v>
      </c>
      <c r="AG95" s="116">
        <f t="shared" si="438"/>
        <v>0</v>
      </c>
      <c r="AH95" s="116">
        <f t="shared" si="439"/>
        <v>0</v>
      </c>
      <c r="AI95" s="116">
        <f t="shared" si="440"/>
        <v>0</v>
      </c>
      <c r="AJ95" s="116">
        <f t="shared" si="29"/>
        <v>0</v>
      </c>
      <c r="AK95" s="418" t="str">
        <f t="shared" si="315"/>
        <v/>
      </c>
      <c r="AL95" s="434">
        <f t="shared" si="441"/>
        <v>0</v>
      </c>
      <c r="AM95" s="140" t="e">
        <f t="shared" si="32"/>
        <v>#VALUE!</v>
      </c>
      <c r="AN95" s="326" t="str">
        <f t="shared" si="374"/>
        <v/>
      </c>
      <c r="AO95" s="333" t="str">
        <f t="shared" si="375"/>
        <v/>
      </c>
      <c r="AP95" s="125">
        <f t="shared" si="442"/>
        <v>0</v>
      </c>
      <c r="AQ95" s="140" t="e">
        <f t="shared" si="177"/>
        <v>#VALUE!</v>
      </c>
      <c r="AR95" s="326" t="str">
        <f t="shared" si="495"/>
        <v/>
      </c>
      <c r="AS95" s="333" t="str">
        <f t="shared" si="496"/>
        <v/>
      </c>
      <c r="AT95" s="125">
        <f t="shared" si="443"/>
        <v>357708.88</v>
      </c>
      <c r="AU95" s="140" t="e">
        <f t="shared" si="40"/>
        <v>#VALUE!</v>
      </c>
      <c r="AV95" s="326" t="str">
        <f t="shared" si="376"/>
        <v/>
      </c>
      <c r="AW95" s="332" t="str">
        <f t="shared" si="377"/>
        <v/>
      </c>
      <c r="AX95" s="122" t="e">
        <f t="shared" si="43"/>
        <v>#VALUE!</v>
      </c>
      <c r="AY95" s="326" t="e">
        <f t="shared" ref="AY95:AZ95" si="510">AN95+AR95+AV95</f>
        <v>#VALUE!</v>
      </c>
      <c r="AZ95" s="333" t="e">
        <f t="shared" si="510"/>
        <v>#VALUE!</v>
      </c>
      <c r="BA95" s="140" t="e">
        <f t="shared" ref="BA95:BB95" si="511">AX95+AG95</f>
        <v>#VALUE!</v>
      </c>
      <c r="BB95" s="326" t="e">
        <f t="shared" si="511"/>
        <v>#VALUE!</v>
      </c>
      <c r="BC95" s="435" t="e">
        <f t="shared" si="46"/>
        <v>#VALUE!</v>
      </c>
      <c r="BD95" s="434">
        <f t="shared" si="446"/>
        <v>0</v>
      </c>
      <c r="BE95" s="140" t="e">
        <f t="shared" si="48"/>
        <v>#VALUE!</v>
      </c>
      <c r="BF95" s="123" t="str">
        <f t="shared" si="380"/>
        <v/>
      </c>
      <c r="BG95" s="148" t="str">
        <f t="shared" si="381"/>
        <v/>
      </c>
      <c r="BH95" s="141" t="e">
        <f t="shared" si="507"/>
        <v>#VALUE!</v>
      </c>
      <c r="BI95" s="140" t="e">
        <f t="shared" si="52"/>
        <v>#VALUE!</v>
      </c>
      <c r="BJ95" s="123" t="str">
        <f t="shared" si="382"/>
        <v/>
      </c>
      <c r="BK95" s="125" t="str">
        <f t="shared" si="383"/>
        <v/>
      </c>
      <c r="BL95" s="332" t="str">
        <f>IFERROR(VLOOKUP(X95,CALOALIM,6,FALSE),"")</f>
        <v/>
      </c>
      <c r="BM95" s="140" t="e">
        <f t="shared" si="56"/>
        <v>#VALUE!</v>
      </c>
      <c r="BN95" s="326" t="str">
        <f t="shared" si="384"/>
        <v/>
      </c>
      <c r="BO95" s="333" t="str">
        <f t="shared" si="385"/>
        <v/>
      </c>
      <c r="BP95" s="140" t="e">
        <f t="shared" ref="BP95:BR95" si="512">SUM(BE95,BI95,BM95)</f>
        <v>#VALUE!</v>
      </c>
      <c r="BQ95" s="141">
        <f t="shared" si="512"/>
        <v>0</v>
      </c>
      <c r="BR95" s="437">
        <f t="shared" si="512"/>
        <v>0</v>
      </c>
      <c r="BS95" s="141" t="str">
        <f>IFERROR(VLOOKUP(X95,CALOFC,6,FALSE),"")</f>
        <v/>
      </c>
      <c r="BT95" s="140" t="e">
        <f t="shared" si="61"/>
        <v>#VALUE!</v>
      </c>
      <c r="BU95" s="123" t="str">
        <f t="shared" si="387"/>
        <v/>
      </c>
      <c r="BV95" s="148" t="str">
        <f t="shared" si="388"/>
        <v/>
      </c>
      <c r="BW95" s="123" t="str">
        <f>IFERROR(VLOOKUP(X95,CALO24,7,FALSE),"")</f>
        <v/>
      </c>
      <c r="BX95" s="333" t="e">
        <f t="shared" si="509"/>
        <v>#VALUE!</v>
      </c>
      <c r="BY95" s="296" t="str">
        <f>IFERROR(VLOOKUP(X95,CALOALIM,7,FALSE),"")</f>
        <v/>
      </c>
    </row>
    <row r="96" spans="1:77" ht="13">
      <c r="A96" s="92">
        <f t="shared" si="362"/>
        <v>112013404</v>
      </c>
      <c r="B96" s="93">
        <f t="shared" si="363"/>
        <v>0</v>
      </c>
      <c r="C96" s="137" t="str">
        <f t="shared" si="489"/>
        <v/>
      </c>
      <c r="D96" s="137" t="str">
        <f t="shared" si="490"/>
        <v/>
      </c>
      <c r="E96" s="98" t="str">
        <f t="shared" si="491"/>
        <v/>
      </c>
      <c r="F96" s="414">
        <f t="shared" si="364"/>
        <v>0</v>
      </c>
      <c r="G96" s="94" t="str">
        <f t="shared" si="365"/>
        <v/>
      </c>
      <c r="H96" s="415" t="str">
        <f t="shared" si="366"/>
        <v/>
      </c>
      <c r="I96" s="139" t="s">
        <v>350</v>
      </c>
      <c r="J96" s="125" t="str">
        <f t="shared" si="503"/>
        <v/>
      </c>
      <c r="K96" s="141" t="e">
        <f t="shared" si="504"/>
        <v>#VALUE!</v>
      </c>
      <c r="L96" s="113" t="e">
        <f t="shared" si="9"/>
        <v>#VALUE!</v>
      </c>
      <c r="M96" s="116" t="str">
        <f t="shared" si="367"/>
        <v/>
      </c>
      <c r="N96" s="117" t="str">
        <f t="shared" si="368"/>
        <v/>
      </c>
      <c r="O96" s="114" t="e">
        <f t="shared" si="427"/>
        <v>#VALUE!</v>
      </c>
      <c r="P96" s="413" t="str">
        <f t="shared" si="428"/>
        <v/>
      </c>
      <c r="Q96" s="125" t="str">
        <f t="shared" si="429"/>
        <v/>
      </c>
      <c r="R96" s="140" t="e">
        <f t="shared" si="430"/>
        <v>#VALUE!</v>
      </c>
      <c r="S96" s="116" t="e">
        <f t="shared" si="14"/>
        <v>#VALUE!</v>
      </c>
      <c r="T96" s="116" t="str">
        <f t="shared" si="369"/>
        <v/>
      </c>
      <c r="U96" s="116" t="str">
        <f t="shared" si="370"/>
        <v/>
      </c>
      <c r="V96" s="116" t="e">
        <f t="shared" si="431"/>
        <v>#VALUE!</v>
      </c>
      <c r="W96" s="413" t="str">
        <f t="shared" si="432"/>
        <v/>
      </c>
      <c r="X96" s="123" t="str">
        <f t="shared" si="433"/>
        <v/>
      </c>
      <c r="Y96" s="332" t="e">
        <f t="shared" si="434"/>
        <v>#VALUE!</v>
      </c>
      <c r="Z96" s="113" t="e">
        <f t="shared" si="19"/>
        <v>#VALUE!</v>
      </c>
      <c r="AA96" s="116" t="str">
        <f t="shared" si="371"/>
        <v/>
      </c>
      <c r="AB96" s="117" t="str">
        <f t="shared" si="372"/>
        <v/>
      </c>
      <c r="AC96" s="114" t="e">
        <f t="shared" si="435"/>
        <v>#VALUE!</v>
      </c>
      <c r="AD96" s="97" t="str">
        <f t="shared" si="436"/>
        <v/>
      </c>
      <c r="AE96" s="433" t="e">
        <f t="shared" si="437"/>
        <v>#VALUE!</v>
      </c>
      <c r="AF96" s="118" t="str">
        <f t="shared" si="373"/>
        <v>0</v>
      </c>
      <c r="AG96" s="116">
        <f t="shared" si="438"/>
        <v>0</v>
      </c>
      <c r="AH96" s="116">
        <f t="shared" si="439"/>
        <v>0</v>
      </c>
      <c r="AI96" s="116">
        <f t="shared" si="440"/>
        <v>0</v>
      </c>
      <c r="AJ96" s="116">
        <f t="shared" si="29"/>
        <v>0</v>
      </c>
      <c r="AK96" s="418" t="str">
        <f t="shared" si="315"/>
        <v/>
      </c>
      <c r="AL96" s="434" t="str">
        <f t="shared" si="441"/>
        <v/>
      </c>
      <c r="AM96" s="140" t="e">
        <f t="shared" si="32"/>
        <v>#VALUE!</v>
      </c>
      <c r="AN96" s="326" t="str">
        <f t="shared" si="374"/>
        <v/>
      </c>
      <c r="AO96" s="333" t="str">
        <f t="shared" si="375"/>
        <v/>
      </c>
      <c r="AP96" s="125" t="str">
        <f t="shared" si="442"/>
        <v/>
      </c>
      <c r="AQ96" s="140" t="e">
        <f t="shared" si="177"/>
        <v>#VALUE!</v>
      </c>
      <c r="AR96" s="326" t="str">
        <f t="shared" si="495"/>
        <v/>
      </c>
      <c r="AS96" s="333" t="str">
        <f t="shared" si="496"/>
        <v/>
      </c>
      <c r="AT96" s="125" t="str">
        <f t="shared" si="443"/>
        <v/>
      </c>
      <c r="AU96" s="140" t="e">
        <f t="shared" si="40"/>
        <v>#VALUE!</v>
      </c>
      <c r="AV96" s="326" t="str">
        <f t="shared" si="376"/>
        <v/>
      </c>
      <c r="AW96" s="332" t="str">
        <f t="shared" si="377"/>
        <v/>
      </c>
      <c r="AX96" s="122" t="e">
        <f t="shared" si="43"/>
        <v>#VALUE!</v>
      </c>
      <c r="AY96" s="326" t="e">
        <f t="shared" ref="AY96:AZ96" si="513">AN96+AR96+AV96</f>
        <v>#VALUE!</v>
      </c>
      <c r="AZ96" s="333" t="e">
        <f t="shared" si="513"/>
        <v>#VALUE!</v>
      </c>
      <c r="BA96" s="140" t="e">
        <f t="shared" ref="BA96:BB96" si="514">AX96+AG96</f>
        <v>#VALUE!</v>
      </c>
      <c r="BB96" s="326" t="e">
        <f t="shared" si="514"/>
        <v>#VALUE!</v>
      </c>
      <c r="BC96" s="435" t="e">
        <f t="shared" si="46"/>
        <v>#VALUE!</v>
      </c>
      <c r="BD96" s="434" t="str">
        <f t="shared" si="446"/>
        <v/>
      </c>
      <c r="BE96" s="140" t="e">
        <f t="shared" si="48"/>
        <v>#VALUE!</v>
      </c>
      <c r="BF96" s="123" t="str">
        <f t="shared" si="380"/>
        <v/>
      </c>
      <c r="BG96" s="148" t="str">
        <f t="shared" si="381"/>
        <v/>
      </c>
      <c r="BH96" s="141" t="e">
        <f t="shared" si="507"/>
        <v>#VALUE!</v>
      </c>
      <c r="BI96" s="140" t="e">
        <f t="shared" si="52"/>
        <v>#VALUE!</v>
      </c>
      <c r="BJ96" s="123" t="str">
        <f t="shared" si="382"/>
        <v/>
      </c>
      <c r="BK96" s="125" t="str">
        <f t="shared" si="383"/>
        <v/>
      </c>
      <c r="BL96" s="332" t="str">
        <f>IFERROR(VLOOKUP(X96,CALOALIM,6,FALSE),"")</f>
        <v/>
      </c>
      <c r="BM96" s="140" t="e">
        <f t="shared" si="56"/>
        <v>#VALUE!</v>
      </c>
      <c r="BN96" s="326" t="str">
        <f t="shared" si="384"/>
        <v/>
      </c>
      <c r="BO96" s="333" t="str">
        <f t="shared" si="385"/>
        <v/>
      </c>
      <c r="BP96" s="140" t="e">
        <f t="shared" ref="BP96:BR96" si="515">SUM(BE96,BI96,BM96)</f>
        <v>#VALUE!</v>
      </c>
      <c r="BQ96" s="141">
        <f t="shared" si="515"/>
        <v>0</v>
      </c>
      <c r="BR96" s="437">
        <f t="shared" si="515"/>
        <v>0</v>
      </c>
      <c r="BS96" s="141" t="str">
        <f>IFERROR(VLOOKUP(X96,CALOFC,6,FALSE),"")</f>
        <v/>
      </c>
      <c r="BT96" s="140" t="e">
        <f t="shared" si="61"/>
        <v>#VALUE!</v>
      </c>
      <c r="BU96" s="123" t="str">
        <f t="shared" si="387"/>
        <v/>
      </c>
      <c r="BV96" s="148" t="str">
        <f t="shared" si="388"/>
        <v/>
      </c>
      <c r="BW96" s="123" t="str">
        <f>IFERROR(VLOOKUP(X96,CALO24,7,FALSE),"")</f>
        <v/>
      </c>
      <c r="BX96" s="333" t="e">
        <f t="shared" si="509"/>
        <v>#VALUE!</v>
      </c>
      <c r="BY96" s="296" t="str">
        <f>IFERROR(VLOOKUP(X96,CALOALIM,7,FALSE),"")</f>
        <v/>
      </c>
    </row>
    <row r="97" spans="1:114" ht="13">
      <c r="A97" s="92">
        <f t="shared" si="362"/>
        <v>112012618</v>
      </c>
      <c r="B97" s="93">
        <f t="shared" si="363"/>
        <v>0</v>
      </c>
      <c r="C97" s="137" t="str">
        <f t="shared" si="489"/>
        <v/>
      </c>
      <c r="D97" s="137" t="str">
        <f t="shared" si="490"/>
        <v/>
      </c>
      <c r="E97" s="98" t="str">
        <f t="shared" si="491"/>
        <v/>
      </c>
      <c r="F97" s="414">
        <f t="shared" si="364"/>
        <v>0</v>
      </c>
      <c r="G97" s="94" t="str">
        <f t="shared" si="365"/>
        <v/>
      </c>
      <c r="H97" s="415" t="str">
        <f t="shared" si="366"/>
        <v/>
      </c>
      <c r="I97" s="139" t="s">
        <v>351</v>
      </c>
      <c r="J97" s="125" t="str">
        <f t="shared" si="503"/>
        <v/>
      </c>
      <c r="K97" s="141" t="e">
        <f t="shared" si="504"/>
        <v>#VALUE!</v>
      </c>
      <c r="L97" s="113" t="e">
        <f t="shared" si="9"/>
        <v>#VALUE!</v>
      </c>
      <c r="M97" s="116" t="str">
        <f t="shared" si="367"/>
        <v/>
      </c>
      <c r="N97" s="117" t="str">
        <f t="shared" si="368"/>
        <v/>
      </c>
      <c r="O97" s="114" t="e">
        <f t="shared" si="427"/>
        <v>#VALUE!</v>
      </c>
      <c r="P97" s="413" t="str">
        <f t="shared" si="428"/>
        <v/>
      </c>
      <c r="Q97" s="125" t="str">
        <f t="shared" si="429"/>
        <v/>
      </c>
      <c r="R97" s="140" t="e">
        <f t="shared" si="430"/>
        <v>#VALUE!</v>
      </c>
      <c r="S97" s="116" t="e">
        <f t="shared" si="14"/>
        <v>#VALUE!</v>
      </c>
      <c r="T97" s="116" t="str">
        <f t="shared" si="369"/>
        <v/>
      </c>
      <c r="U97" s="116" t="str">
        <f t="shared" si="370"/>
        <v/>
      </c>
      <c r="V97" s="116" t="e">
        <f t="shared" si="431"/>
        <v>#VALUE!</v>
      </c>
      <c r="W97" s="413" t="str">
        <f t="shared" si="432"/>
        <v/>
      </c>
      <c r="X97" s="123" t="str">
        <f t="shared" si="433"/>
        <v/>
      </c>
      <c r="Y97" s="332" t="e">
        <f t="shared" si="434"/>
        <v>#VALUE!</v>
      </c>
      <c r="Z97" s="113" t="e">
        <f t="shared" si="19"/>
        <v>#VALUE!</v>
      </c>
      <c r="AA97" s="116" t="str">
        <f t="shared" si="371"/>
        <v/>
      </c>
      <c r="AB97" s="117" t="str">
        <f t="shared" si="372"/>
        <v/>
      </c>
      <c r="AC97" s="114" t="e">
        <f t="shared" si="435"/>
        <v>#VALUE!</v>
      </c>
      <c r="AD97" s="97" t="str">
        <f t="shared" si="436"/>
        <v/>
      </c>
      <c r="AE97" s="433" t="e">
        <f t="shared" si="437"/>
        <v>#VALUE!</v>
      </c>
      <c r="AF97" s="118" t="str">
        <f t="shared" si="373"/>
        <v>0</v>
      </c>
      <c r="AG97" s="116">
        <f t="shared" si="438"/>
        <v>0</v>
      </c>
      <c r="AH97" s="116">
        <f t="shared" si="439"/>
        <v>0</v>
      </c>
      <c r="AI97" s="116">
        <f t="shared" si="440"/>
        <v>0</v>
      </c>
      <c r="AJ97" s="116">
        <f t="shared" si="29"/>
        <v>0</v>
      </c>
      <c r="AK97" s="418" t="str">
        <f t="shared" si="315"/>
        <v/>
      </c>
      <c r="AL97" s="434" t="str">
        <f t="shared" si="441"/>
        <v/>
      </c>
      <c r="AM97" s="140" t="e">
        <f t="shared" si="32"/>
        <v>#VALUE!</v>
      </c>
      <c r="AN97" s="326" t="str">
        <f t="shared" si="374"/>
        <v/>
      </c>
      <c r="AO97" s="333" t="str">
        <f t="shared" si="375"/>
        <v/>
      </c>
      <c r="AP97" s="125" t="str">
        <f t="shared" si="442"/>
        <v/>
      </c>
      <c r="AQ97" s="140" t="e">
        <f t="shared" si="177"/>
        <v>#VALUE!</v>
      </c>
      <c r="AR97" s="326" t="str">
        <f t="shared" si="495"/>
        <v/>
      </c>
      <c r="AS97" s="333" t="str">
        <f t="shared" si="496"/>
        <v/>
      </c>
      <c r="AT97" s="125" t="str">
        <f t="shared" si="443"/>
        <v/>
      </c>
      <c r="AU97" s="140" t="e">
        <f t="shared" si="40"/>
        <v>#VALUE!</v>
      </c>
      <c r="AV97" s="326" t="str">
        <f t="shared" si="376"/>
        <v/>
      </c>
      <c r="AW97" s="332" t="str">
        <f t="shared" si="377"/>
        <v/>
      </c>
      <c r="AX97" s="122" t="e">
        <f t="shared" si="43"/>
        <v>#VALUE!</v>
      </c>
      <c r="AY97" s="326" t="e">
        <f t="shared" ref="AY97:AZ97" si="516">AN97+AR97+AV97</f>
        <v>#VALUE!</v>
      </c>
      <c r="AZ97" s="333" t="e">
        <f t="shared" si="516"/>
        <v>#VALUE!</v>
      </c>
      <c r="BA97" s="140" t="e">
        <f t="shared" ref="BA97:BB97" si="517">AX97+AG97</f>
        <v>#VALUE!</v>
      </c>
      <c r="BB97" s="326" t="e">
        <f t="shared" si="517"/>
        <v>#VALUE!</v>
      </c>
      <c r="BC97" s="435" t="e">
        <f t="shared" si="46"/>
        <v>#VALUE!</v>
      </c>
      <c r="BD97" s="434" t="str">
        <f t="shared" si="446"/>
        <v/>
      </c>
      <c r="BE97" s="140" t="e">
        <f t="shared" si="48"/>
        <v>#VALUE!</v>
      </c>
      <c r="BF97" s="123" t="str">
        <f t="shared" si="380"/>
        <v/>
      </c>
      <c r="BG97" s="148" t="str">
        <f t="shared" si="381"/>
        <v/>
      </c>
      <c r="BH97" s="141" t="e">
        <f t="shared" si="507"/>
        <v>#VALUE!</v>
      </c>
      <c r="BI97" s="140" t="e">
        <f t="shared" si="52"/>
        <v>#VALUE!</v>
      </c>
      <c r="BJ97" s="123" t="str">
        <f t="shared" si="382"/>
        <v/>
      </c>
      <c r="BK97" s="125" t="str">
        <f t="shared" si="383"/>
        <v/>
      </c>
      <c r="BL97" s="332" t="str">
        <f>IFERROR(VLOOKUP(X97,CALOALIM,6,FALSE),"")</f>
        <v/>
      </c>
      <c r="BM97" s="140" t="e">
        <f t="shared" si="56"/>
        <v>#VALUE!</v>
      </c>
      <c r="BN97" s="326" t="str">
        <f t="shared" si="384"/>
        <v/>
      </c>
      <c r="BO97" s="333" t="str">
        <f t="shared" si="385"/>
        <v/>
      </c>
      <c r="BP97" s="140" t="e">
        <f t="shared" ref="BP97:BR97" si="518">SUM(BE97,BI97,BM97)</f>
        <v>#VALUE!</v>
      </c>
      <c r="BQ97" s="141">
        <f t="shared" si="518"/>
        <v>0</v>
      </c>
      <c r="BR97" s="437">
        <f t="shared" si="518"/>
        <v>0</v>
      </c>
      <c r="BS97" s="141" t="str">
        <f>IFERROR(VLOOKUP(X97,CALOFC,6,FALSE),"")</f>
        <v/>
      </c>
      <c r="BT97" s="140" t="e">
        <f t="shared" si="61"/>
        <v>#VALUE!</v>
      </c>
      <c r="BU97" s="123" t="str">
        <f t="shared" si="387"/>
        <v/>
      </c>
      <c r="BV97" s="148" t="str">
        <f t="shared" si="388"/>
        <v/>
      </c>
      <c r="BW97" s="123" t="str">
        <f>IFERROR(VLOOKUP(X97,CALO24,7,FALSE),"")</f>
        <v/>
      </c>
      <c r="BX97" s="333" t="e">
        <f t="shared" si="509"/>
        <v>#VALUE!</v>
      </c>
      <c r="BY97" s="296" t="str">
        <f>IFERROR(VLOOKUP(X97,CALOALIM,7,FALSE),"")</f>
        <v/>
      </c>
    </row>
    <row r="98" spans="1:114" ht="13">
      <c r="A98" s="92">
        <f t="shared" si="362"/>
        <v>112013258</v>
      </c>
      <c r="B98" s="93">
        <f t="shared" si="363"/>
        <v>0</v>
      </c>
      <c r="C98" s="137" t="str">
        <f t="shared" si="489"/>
        <v/>
      </c>
      <c r="D98" s="137" t="str">
        <f t="shared" si="490"/>
        <v/>
      </c>
      <c r="E98" s="98" t="str">
        <f t="shared" si="491"/>
        <v/>
      </c>
      <c r="F98" s="414">
        <f t="shared" si="364"/>
        <v>0</v>
      </c>
      <c r="G98" s="94" t="str">
        <f t="shared" ref="G98:G129" si="519">IFERROR(VLOOKUP(F98,A458DC1025,2,FALSE),"")</f>
        <v/>
      </c>
      <c r="H98" s="415" t="str">
        <f t="shared" si="366"/>
        <v/>
      </c>
      <c r="I98" s="139" t="s">
        <v>352</v>
      </c>
      <c r="J98" s="125">
        <f t="shared" si="503"/>
        <v>205893.79</v>
      </c>
      <c r="K98" s="141">
        <f t="shared" si="504"/>
        <v>346117.75567950006</v>
      </c>
      <c r="L98" s="113">
        <f t="shared" si="9"/>
        <v>30196.61</v>
      </c>
      <c r="M98" s="116">
        <f t="shared" si="367"/>
        <v>13200</v>
      </c>
      <c r="N98" s="117">
        <f t="shared" si="368"/>
        <v>43396.61</v>
      </c>
      <c r="O98" s="114">
        <f t="shared" si="427"/>
        <v>-302721.14567950007</v>
      </c>
      <c r="P98" s="413">
        <f t="shared" si="428"/>
        <v>0.12538105684524495</v>
      </c>
      <c r="Q98" s="125">
        <f t="shared" si="429"/>
        <v>148654.5</v>
      </c>
      <c r="R98" s="140">
        <f t="shared" si="430"/>
        <v>264045.32580749999</v>
      </c>
      <c r="S98" s="116">
        <f t="shared" si="14"/>
        <v>19530.900000000001</v>
      </c>
      <c r="T98" s="116">
        <f t="shared" si="369"/>
        <v>0</v>
      </c>
      <c r="U98" s="116">
        <f t="shared" si="370"/>
        <v>19530.900000000001</v>
      </c>
      <c r="V98" s="116">
        <f t="shared" si="431"/>
        <v>-244514.4258075</v>
      </c>
      <c r="W98" s="413">
        <f t="shared" si="432"/>
        <v>7.3967982354055523E-2</v>
      </c>
      <c r="X98" s="123">
        <f t="shared" si="433"/>
        <v>12725.2</v>
      </c>
      <c r="Y98" s="332">
        <f t="shared" si="434"/>
        <v>20912.148298</v>
      </c>
      <c r="Z98" s="113">
        <f t="shared" si="19"/>
        <v>83549.31</v>
      </c>
      <c r="AA98" s="116">
        <f t="shared" si="371"/>
        <v>0</v>
      </c>
      <c r="AB98" s="117">
        <f t="shared" si="372"/>
        <v>83549.31</v>
      </c>
      <c r="AC98" s="114">
        <f t="shared" si="435"/>
        <v>62637.161701999998</v>
      </c>
      <c r="AD98" s="97">
        <f t="shared" si="436"/>
        <v>3.9952523676388858</v>
      </c>
      <c r="AE98" s="433">
        <f t="shared" si="437"/>
        <v>631075.22978499997</v>
      </c>
      <c r="AF98" s="118">
        <f t="shared" si="373"/>
        <v>631771.06000000006</v>
      </c>
      <c r="AG98" s="116">
        <f t="shared" si="438"/>
        <v>133276.82</v>
      </c>
      <c r="AH98" s="116">
        <f t="shared" si="439"/>
        <v>13200</v>
      </c>
      <c r="AI98" s="116">
        <f t="shared" si="440"/>
        <v>146476.82</v>
      </c>
      <c r="AJ98" s="116">
        <f t="shared" si="29"/>
        <v>-485294.24000000005</v>
      </c>
      <c r="AK98" s="418">
        <f t="shared" si="315"/>
        <v>0.2318511075831805</v>
      </c>
      <c r="AL98" s="434">
        <f t="shared" si="441"/>
        <v>0</v>
      </c>
      <c r="AM98" s="140">
        <f t="shared" si="32"/>
        <v>269454.03000000003</v>
      </c>
      <c r="AN98" s="326">
        <f t="shared" si="374"/>
        <v>0</v>
      </c>
      <c r="AO98" s="333">
        <f t="shared" si="375"/>
        <v>269454.03000000003</v>
      </c>
      <c r="AP98" s="125">
        <f t="shared" si="442"/>
        <v>0</v>
      </c>
      <c r="AQ98" s="140">
        <f t="shared" si="177"/>
        <v>155676.4</v>
      </c>
      <c r="AR98" s="326">
        <f t="shared" si="495"/>
        <v>0</v>
      </c>
      <c r="AS98" s="333">
        <f t="shared" si="496"/>
        <v>155676.4</v>
      </c>
      <c r="AT98" s="125">
        <f t="shared" si="443"/>
        <v>113325.38</v>
      </c>
      <c r="AU98" s="140">
        <f t="shared" si="40"/>
        <v>0</v>
      </c>
      <c r="AV98" s="326">
        <f t="shared" si="376"/>
        <v>0</v>
      </c>
      <c r="AW98" s="332">
        <f t="shared" si="377"/>
        <v>0</v>
      </c>
      <c r="AX98" s="122">
        <f t="shared" si="43"/>
        <v>425130.43000000005</v>
      </c>
      <c r="AY98" s="326">
        <f t="shared" ref="AY98:AZ98" si="520">AN98+AR98+AV98</f>
        <v>0</v>
      </c>
      <c r="AZ98" s="333">
        <f t="shared" si="520"/>
        <v>425130.43000000005</v>
      </c>
      <c r="BA98" s="140">
        <f t="shared" ref="BA98:BB98" si="521">AX98+AG98</f>
        <v>558407.25</v>
      </c>
      <c r="BB98" s="326">
        <f t="shared" si="521"/>
        <v>13200</v>
      </c>
      <c r="BC98" s="435">
        <f t="shared" si="46"/>
        <v>571607.25</v>
      </c>
      <c r="BD98" s="434">
        <f t="shared" si="446"/>
        <v>73870</v>
      </c>
      <c r="BE98" s="140">
        <f t="shared" si="48"/>
        <v>163097.54</v>
      </c>
      <c r="BF98" s="123">
        <f t="shared" si="380"/>
        <v>0</v>
      </c>
      <c r="BG98" s="148">
        <f t="shared" si="381"/>
        <v>163097.54</v>
      </c>
      <c r="BH98" s="125">
        <f>IFERROR(VLOOKUP(I98,CALO24,10,FALSE),"")</f>
        <v>116513.82</v>
      </c>
      <c r="BI98" s="140">
        <f t="shared" si="52"/>
        <v>36487.600000000006</v>
      </c>
      <c r="BJ98" s="123">
        <f t="shared" si="382"/>
        <v>34173.5</v>
      </c>
      <c r="BK98" s="125">
        <f t="shared" si="383"/>
        <v>70661.100000000006</v>
      </c>
      <c r="BL98" s="436">
        <f>IFERROR(VLOOKUP(I98,CALO24,11,FALSE),"")</f>
        <v>173453.17</v>
      </c>
      <c r="BM98" s="140">
        <f t="shared" si="56"/>
        <v>488171.99</v>
      </c>
      <c r="BN98" s="326">
        <f t="shared" si="384"/>
        <v>0</v>
      </c>
      <c r="BO98" s="333">
        <f t="shared" si="385"/>
        <v>488171.99</v>
      </c>
      <c r="BP98" s="140">
        <f t="shared" ref="BP98:BR98" si="522">SUM(BE98,BI98,BM98)</f>
        <v>687757.13</v>
      </c>
      <c r="BQ98" s="141">
        <f t="shared" si="522"/>
        <v>34173.5</v>
      </c>
      <c r="BR98" s="437">
        <f t="shared" si="522"/>
        <v>721930.63</v>
      </c>
      <c r="BS98" s="422">
        <f>IFERROR(VLOOKUP(I98,CALO24,12,FALSE),"")</f>
        <v>205444.73</v>
      </c>
      <c r="BT98" s="140">
        <f t="shared" si="61"/>
        <v>104089.7</v>
      </c>
      <c r="BU98" s="123">
        <f t="shared" si="387"/>
        <v>0</v>
      </c>
      <c r="BV98" s="148">
        <f t="shared" si="388"/>
        <v>104089.7</v>
      </c>
      <c r="BW98" s="423">
        <f>IFERROR(VLOOKUP(I98,CALO24,13,FALSE),"")</f>
        <v>189160</v>
      </c>
      <c r="BX98" s="424">
        <f>IFERROR(VLOOKUP(I98,CALO24,14,FALSE),"")</f>
        <v>237166.33</v>
      </c>
    </row>
    <row r="99" spans="1:114" ht="13">
      <c r="A99" s="92">
        <f t="shared" si="362"/>
        <v>112013358</v>
      </c>
      <c r="B99" s="464">
        <f t="shared" si="363"/>
        <v>0</v>
      </c>
      <c r="C99" s="338" t="str">
        <f t="shared" si="489"/>
        <v/>
      </c>
      <c r="D99" s="338" t="str">
        <f t="shared" si="490"/>
        <v/>
      </c>
      <c r="E99" s="465" t="str">
        <f t="shared" si="491"/>
        <v/>
      </c>
      <c r="F99" s="414">
        <f t="shared" si="364"/>
        <v>0</v>
      </c>
      <c r="G99" s="94" t="str">
        <f t="shared" si="519"/>
        <v/>
      </c>
      <c r="H99" s="415" t="str">
        <f t="shared" si="366"/>
        <v/>
      </c>
      <c r="I99" s="258" t="s">
        <v>353</v>
      </c>
      <c r="J99" s="271" t="str">
        <f t="shared" si="503"/>
        <v/>
      </c>
      <c r="K99" s="260" t="e">
        <f t="shared" si="504"/>
        <v>#VALUE!</v>
      </c>
      <c r="L99" s="113" t="e">
        <f t="shared" si="9"/>
        <v>#VALUE!</v>
      </c>
      <c r="M99" s="116" t="str">
        <f t="shared" si="367"/>
        <v/>
      </c>
      <c r="N99" s="117" t="str">
        <f t="shared" si="368"/>
        <v/>
      </c>
      <c r="O99" s="269" t="e">
        <f t="shared" si="427"/>
        <v>#VALUE!</v>
      </c>
      <c r="P99" s="466" t="str">
        <f t="shared" si="428"/>
        <v/>
      </c>
      <c r="Q99" s="271" t="str">
        <f t="shared" si="429"/>
        <v/>
      </c>
      <c r="R99" s="164" t="e">
        <f t="shared" si="430"/>
        <v>#VALUE!</v>
      </c>
      <c r="S99" s="116" t="e">
        <f t="shared" si="14"/>
        <v>#VALUE!</v>
      </c>
      <c r="T99" s="116" t="str">
        <f t="shared" si="369"/>
        <v/>
      </c>
      <c r="U99" s="116" t="str">
        <f t="shared" si="370"/>
        <v/>
      </c>
      <c r="V99" s="267" t="e">
        <f t="shared" si="431"/>
        <v>#VALUE!</v>
      </c>
      <c r="W99" s="466" t="str">
        <f t="shared" si="432"/>
        <v/>
      </c>
      <c r="X99" s="274" t="str">
        <f t="shared" si="433"/>
        <v/>
      </c>
      <c r="Y99" s="467" t="e">
        <f t="shared" si="434"/>
        <v>#VALUE!</v>
      </c>
      <c r="Z99" s="113" t="e">
        <f t="shared" si="19"/>
        <v>#VALUE!</v>
      </c>
      <c r="AA99" s="116" t="str">
        <f t="shared" si="371"/>
        <v/>
      </c>
      <c r="AB99" s="117" t="str">
        <f t="shared" si="372"/>
        <v/>
      </c>
      <c r="AC99" s="269" t="e">
        <f t="shared" si="435"/>
        <v>#VALUE!</v>
      </c>
      <c r="AD99" s="468" t="str">
        <f t="shared" si="436"/>
        <v/>
      </c>
      <c r="AE99" s="469" t="e">
        <f t="shared" si="437"/>
        <v>#VALUE!</v>
      </c>
      <c r="AF99" s="266" t="str">
        <f t="shared" si="373"/>
        <v>0</v>
      </c>
      <c r="AG99" s="267">
        <f t="shared" si="438"/>
        <v>0</v>
      </c>
      <c r="AH99" s="267">
        <f t="shared" si="439"/>
        <v>0</v>
      </c>
      <c r="AI99" s="267">
        <f t="shared" si="440"/>
        <v>0</v>
      </c>
      <c r="AJ99" s="267">
        <f t="shared" si="29"/>
        <v>0</v>
      </c>
      <c r="AK99" s="470" t="str">
        <f t="shared" si="315"/>
        <v/>
      </c>
      <c r="AL99" s="434" t="str">
        <f t="shared" si="441"/>
        <v/>
      </c>
      <c r="AM99" s="164" t="e">
        <f t="shared" si="32"/>
        <v>#VALUE!</v>
      </c>
      <c r="AN99" s="471" t="str">
        <f t="shared" si="374"/>
        <v/>
      </c>
      <c r="AO99" s="472" t="str">
        <f t="shared" si="375"/>
        <v/>
      </c>
      <c r="AP99" s="125" t="str">
        <f t="shared" si="442"/>
        <v/>
      </c>
      <c r="AQ99" s="164" t="e">
        <f t="shared" si="177"/>
        <v>#VALUE!</v>
      </c>
      <c r="AR99" s="471" t="str">
        <f t="shared" si="495"/>
        <v/>
      </c>
      <c r="AS99" s="472" t="str">
        <f t="shared" si="496"/>
        <v/>
      </c>
      <c r="AT99" s="271" t="str">
        <f t="shared" si="443"/>
        <v/>
      </c>
      <c r="AU99" s="164" t="e">
        <f t="shared" si="40"/>
        <v>#VALUE!</v>
      </c>
      <c r="AV99" s="471" t="str">
        <f t="shared" si="376"/>
        <v/>
      </c>
      <c r="AW99" s="467" t="str">
        <f t="shared" si="377"/>
        <v/>
      </c>
      <c r="AX99" s="122" t="e">
        <f t="shared" si="43"/>
        <v>#VALUE!</v>
      </c>
      <c r="AY99" s="326" t="e">
        <f t="shared" ref="AY99:AZ99" si="523">AN99+AR99+AV99</f>
        <v>#VALUE!</v>
      </c>
      <c r="AZ99" s="333" t="e">
        <f t="shared" si="523"/>
        <v>#VALUE!</v>
      </c>
      <c r="BA99" s="140" t="e">
        <f t="shared" ref="BA99:BB99" si="524">AX99+AG99</f>
        <v>#VALUE!</v>
      </c>
      <c r="BB99" s="326" t="e">
        <f t="shared" si="524"/>
        <v>#VALUE!</v>
      </c>
      <c r="BC99" s="435" t="e">
        <f t="shared" si="46"/>
        <v>#VALUE!</v>
      </c>
      <c r="BD99" s="473" t="str">
        <f t="shared" si="446"/>
        <v/>
      </c>
      <c r="BE99" s="474" t="e">
        <f t="shared" si="48"/>
        <v>#VALUE!</v>
      </c>
      <c r="BF99" s="475" t="str">
        <f t="shared" si="380"/>
        <v/>
      </c>
      <c r="BG99" s="163" t="str">
        <f t="shared" si="381"/>
        <v/>
      </c>
      <c r="BH99" s="271" t="str">
        <f>IFERROR(VLOOKUP(I99,CALO24,10,FALSE),"")</f>
        <v/>
      </c>
      <c r="BI99" s="164" t="e">
        <f t="shared" si="52"/>
        <v>#VALUE!</v>
      </c>
      <c r="BJ99" s="274" t="str">
        <f t="shared" si="382"/>
        <v/>
      </c>
      <c r="BK99" s="271" t="str">
        <f t="shared" si="383"/>
        <v/>
      </c>
      <c r="BL99" s="476" t="str">
        <f>IFERROR(VLOOKUP(I99,CALO24,11,FALSE),"")</f>
        <v/>
      </c>
      <c r="BM99" s="164" t="e">
        <f t="shared" si="56"/>
        <v>#VALUE!</v>
      </c>
      <c r="BN99" s="471" t="str">
        <f t="shared" si="384"/>
        <v/>
      </c>
      <c r="BO99" s="472" t="str">
        <f t="shared" si="385"/>
        <v/>
      </c>
      <c r="BP99" s="474" t="e">
        <f t="shared" ref="BP99:BR99" si="525">SUM(BE99,BI99,BM99)</f>
        <v>#VALUE!</v>
      </c>
      <c r="BQ99" s="477">
        <f t="shared" si="525"/>
        <v>0</v>
      </c>
      <c r="BR99" s="478">
        <f t="shared" si="525"/>
        <v>0</v>
      </c>
      <c r="BS99" s="422" t="str">
        <f>IFERROR(VLOOKUP(I99,CALO24,12,FALSE),"")</f>
        <v/>
      </c>
      <c r="BT99" s="140" t="e">
        <f t="shared" si="61"/>
        <v>#VALUE!</v>
      </c>
      <c r="BU99" s="123" t="str">
        <f t="shared" si="387"/>
        <v/>
      </c>
      <c r="BV99" s="148" t="str">
        <f t="shared" si="388"/>
        <v/>
      </c>
      <c r="BW99" s="423" t="str">
        <f>IFERROR(VLOOKUP(I99,CALO24,13,FALSE),"")</f>
        <v/>
      </c>
      <c r="BX99" s="424" t="str">
        <f>IFERROR(VLOOKUP(I99,CALO24,14,FALSE),"")</f>
        <v/>
      </c>
    </row>
    <row r="100" spans="1:114" ht="13">
      <c r="A100" s="479"/>
      <c r="B100" s="480"/>
      <c r="C100" s="480"/>
      <c r="D100" s="480"/>
      <c r="E100" s="481"/>
      <c r="F100" s="480"/>
      <c r="G100" s="481"/>
      <c r="H100" s="481"/>
      <c r="I100" s="278" t="s">
        <v>17</v>
      </c>
      <c r="J100" s="482">
        <f t="shared" ref="J100:BX100" si="526">SUM(J2:J99,J104:J110)</f>
        <v>75035409.870000005</v>
      </c>
      <c r="K100" s="482" t="e">
        <f t="shared" si="526"/>
        <v>#VALUE!</v>
      </c>
      <c r="L100" s="482" t="e">
        <f t="shared" si="526"/>
        <v>#VALUE!</v>
      </c>
      <c r="M100" s="482">
        <f t="shared" si="526"/>
        <v>58407589.419999994</v>
      </c>
      <c r="N100" s="482">
        <f t="shared" si="526"/>
        <v>158787612.92000005</v>
      </c>
      <c r="O100" s="482" t="e">
        <f t="shared" si="526"/>
        <v>#VALUE!</v>
      </c>
      <c r="P100" s="482" t="e">
        <f t="shared" si="526"/>
        <v>#VALUE!</v>
      </c>
      <c r="Q100" s="482">
        <f t="shared" si="526"/>
        <v>85585267.519999981</v>
      </c>
      <c r="R100" s="482" t="e">
        <f t="shared" si="526"/>
        <v>#VALUE!</v>
      </c>
      <c r="S100" s="482" t="e">
        <f t="shared" si="526"/>
        <v>#VALUE!</v>
      </c>
      <c r="T100" s="482">
        <f t="shared" si="526"/>
        <v>56947310.849999987</v>
      </c>
      <c r="U100" s="482">
        <f t="shared" si="526"/>
        <v>150040924.32000017</v>
      </c>
      <c r="V100" s="482" t="e">
        <f t="shared" si="526"/>
        <v>#VALUE!</v>
      </c>
      <c r="W100" s="482" t="e">
        <f t="shared" si="526"/>
        <v>#VALUE!</v>
      </c>
      <c r="X100" s="482">
        <f t="shared" si="526"/>
        <v>84594503.879999965</v>
      </c>
      <c r="Y100" s="482" t="e">
        <f t="shared" si="526"/>
        <v>#VALUE!</v>
      </c>
      <c r="Z100" s="482" t="e">
        <f t="shared" si="526"/>
        <v>#VALUE!</v>
      </c>
      <c r="AA100" s="482">
        <f t="shared" si="526"/>
        <v>35634444.030000001</v>
      </c>
      <c r="AB100" s="482">
        <f t="shared" si="526"/>
        <v>130619230.06000002</v>
      </c>
      <c r="AC100" s="482" t="e">
        <f t="shared" si="526"/>
        <v>#VALUE!</v>
      </c>
      <c r="AD100" s="482" t="e">
        <f t="shared" si="526"/>
        <v>#VALUE!</v>
      </c>
      <c r="AE100" s="482" t="e">
        <f t="shared" si="526"/>
        <v>#VALUE!</v>
      </c>
      <c r="AF100" s="482">
        <f t="shared" si="526"/>
        <v>382452656.36999995</v>
      </c>
      <c r="AG100" s="482">
        <f t="shared" si="526"/>
        <v>231511112.14999983</v>
      </c>
      <c r="AH100" s="482">
        <f t="shared" si="526"/>
        <v>207936655.15000007</v>
      </c>
      <c r="AI100" s="482">
        <f t="shared" si="526"/>
        <v>439447767.29999977</v>
      </c>
      <c r="AJ100" s="482">
        <f t="shared" si="526"/>
        <v>56995110.93</v>
      </c>
      <c r="AK100" s="482" t="e">
        <f t="shared" si="526"/>
        <v>#DIV/0!</v>
      </c>
      <c r="AL100" s="482">
        <f t="shared" si="526"/>
        <v>90128742.469999969</v>
      </c>
      <c r="AM100" s="482" t="e">
        <f t="shared" si="526"/>
        <v>#VALUE!</v>
      </c>
      <c r="AN100" s="482">
        <f t="shared" si="526"/>
        <v>48178832.980000012</v>
      </c>
      <c r="AO100" s="482">
        <f t="shared" si="526"/>
        <v>131100757.07000004</v>
      </c>
      <c r="AP100" s="482">
        <f t="shared" si="526"/>
        <v>84918588.499999985</v>
      </c>
      <c r="AQ100" s="482" t="e">
        <f t="shared" si="526"/>
        <v>#VALUE!</v>
      </c>
      <c r="AR100" s="482">
        <f t="shared" si="526"/>
        <v>48715614.399999991</v>
      </c>
      <c r="AS100" s="482">
        <f t="shared" si="526"/>
        <v>130592910.32000004</v>
      </c>
      <c r="AT100" s="482">
        <f t="shared" si="526"/>
        <v>73798899.489999995</v>
      </c>
      <c r="AU100" s="482" t="e">
        <f t="shared" si="526"/>
        <v>#VALUE!</v>
      </c>
      <c r="AV100" s="482">
        <f t="shared" si="526"/>
        <v>56804045.500000007</v>
      </c>
      <c r="AW100" s="482">
        <f t="shared" si="526"/>
        <v>122220614.38999997</v>
      </c>
      <c r="AX100" s="482" t="e">
        <f t="shared" si="526"/>
        <v>#VALUE!</v>
      </c>
      <c r="AY100" s="482" t="e">
        <f t="shared" si="526"/>
        <v>#VALUE!</v>
      </c>
      <c r="AZ100" s="482" t="e">
        <f t="shared" si="526"/>
        <v>#VALUE!</v>
      </c>
      <c r="BA100" s="482" t="e">
        <f t="shared" si="526"/>
        <v>#VALUE!</v>
      </c>
      <c r="BB100" s="482" t="e">
        <f t="shared" si="526"/>
        <v>#VALUE!</v>
      </c>
      <c r="BC100" s="482" t="e">
        <f t="shared" si="526"/>
        <v>#VALUE!</v>
      </c>
      <c r="BD100" s="482">
        <f t="shared" si="526"/>
        <v>109552879.66999997</v>
      </c>
      <c r="BE100" s="483" t="e">
        <f t="shared" si="526"/>
        <v>#VALUE!</v>
      </c>
      <c r="BF100" s="483">
        <f t="shared" si="526"/>
        <v>70108134.200000003</v>
      </c>
      <c r="BG100" s="483">
        <f t="shared" si="526"/>
        <v>138216619.72999999</v>
      </c>
      <c r="BH100" s="483" t="e">
        <f t="shared" si="526"/>
        <v>#VALUE!</v>
      </c>
      <c r="BI100" s="483" t="e">
        <f t="shared" si="526"/>
        <v>#VALUE!</v>
      </c>
      <c r="BJ100" s="483">
        <f t="shared" si="526"/>
        <v>63593254.039999999</v>
      </c>
      <c r="BK100" s="483">
        <f t="shared" si="526"/>
        <v>123657468.87000002</v>
      </c>
      <c r="BL100" s="483">
        <f t="shared" si="526"/>
        <v>107417416.62000002</v>
      </c>
      <c r="BM100" s="483" t="e">
        <f t="shared" si="526"/>
        <v>#VALUE!</v>
      </c>
      <c r="BN100" s="483">
        <f t="shared" si="526"/>
        <v>53880184.75</v>
      </c>
      <c r="BO100" s="292">
        <f t="shared" si="526"/>
        <v>130935693.69999999</v>
      </c>
      <c r="BP100" s="483" t="e">
        <f t="shared" si="526"/>
        <v>#VALUE!</v>
      </c>
      <c r="BQ100" s="483">
        <f t="shared" si="526"/>
        <v>187581572.99000004</v>
      </c>
      <c r="BR100" s="292">
        <f t="shared" si="526"/>
        <v>392809782.30000007</v>
      </c>
      <c r="BS100" s="292">
        <f t="shared" si="526"/>
        <v>116971357.45999999</v>
      </c>
      <c r="BT100" s="292" t="e">
        <f t="shared" si="526"/>
        <v>#VALUE!</v>
      </c>
      <c r="BU100" s="292">
        <f t="shared" si="526"/>
        <v>58024734.739999995</v>
      </c>
      <c r="BV100" s="292">
        <f t="shared" si="526"/>
        <v>229219771.16999996</v>
      </c>
      <c r="BW100" s="483">
        <f t="shared" si="526"/>
        <v>142371070.88000005</v>
      </c>
      <c r="BX100" s="292" t="e">
        <f t="shared" si="526"/>
        <v>#VALUE!</v>
      </c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  <c r="CM100" s="188"/>
      <c r="CN100" s="188"/>
      <c r="CO100" s="188"/>
      <c r="CP100" s="188"/>
      <c r="CQ100" s="188"/>
      <c r="CR100" s="188"/>
      <c r="CS100" s="188"/>
      <c r="CT100" s="188"/>
      <c r="CU100" s="188"/>
      <c r="CV100" s="188"/>
      <c r="CW100" s="188"/>
      <c r="CX100" s="188"/>
      <c r="CY100" s="188"/>
      <c r="CZ100" s="188"/>
      <c r="DA100" s="188"/>
      <c r="DB100" s="188"/>
      <c r="DC100" s="188"/>
      <c r="DD100" s="188"/>
      <c r="DE100" s="188"/>
      <c r="DF100" s="188"/>
      <c r="DG100" s="188"/>
      <c r="DH100" s="188"/>
      <c r="DI100" s="188"/>
      <c r="DJ100" s="188"/>
    </row>
    <row r="101" spans="1:114" ht="13">
      <c r="B101" s="294"/>
      <c r="C101" s="294"/>
      <c r="D101" s="294"/>
      <c r="E101" s="295"/>
      <c r="F101" s="294"/>
      <c r="G101" s="295"/>
      <c r="H101" s="295"/>
      <c r="P101" s="295"/>
      <c r="W101" s="295"/>
      <c r="AD101" s="295"/>
      <c r="AK101" s="295"/>
      <c r="BE101" s="302"/>
      <c r="BF101" s="302"/>
      <c r="BG101" s="302"/>
      <c r="BH101" s="296"/>
      <c r="BI101" s="296"/>
      <c r="BJ101" s="296"/>
      <c r="BK101" s="296"/>
      <c r="BL101" s="302"/>
      <c r="BM101" s="296"/>
      <c r="BN101" s="296"/>
      <c r="BO101" s="296"/>
      <c r="BP101" s="302"/>
      <c r="BQ101" s="302"/>
      <c r="BR101" s="188"/>
      <c r="BS101" s="302"/>
      <c r="BT101" s="296"/>
      <c r="BU101" s="296"/>
      <c r="BV101" s="296"/>
      <c r="BW101" s="302" t="str">
        <f>IFERROR(VLOOKUP(I101,CALO24,13,FALSE),"")</f>
        <v/>
      </c>
      <c r="BX101" s="302" t="str">
        <f>IFERROR(VLOOKUP(I101,CALO24,14,FALSE),"")</f>
        <v/>
      </c>
    </row>
    <row r="102" spans="1:114" ht="13">
      <c r="B102" s="294"/>
      <c r="C102" s="294"/>
      <c r="D102" s="294"/>
      <c r="E102" s="295"/>
      <c r="F102" s="294"/>
      <c r="G102" s="295"/>
      <c r="H102" s="295"/>
      <c r="I102" s="484" t="s">
        <v>354</v>
      </c>
      <c r="P102" s="295"/>
      <c r="W102" s="295"/>
      <c r="AD102" s="295"/>
      <c r="AK102" s="295"/>
      <c r="BE102" s="302"/>
      <c r="BF102" s="302"/>
      <c r="BG102" s="302"/>
      <c r="BH102" s="296"/>
      <c r="BI102" s="296"/>
      <c r="BJ102" s="296"/>
      <c r="BK102" s="296"/>
      <c r="BL102" s="302"/>
      <c r="BM102" s="296"/>
      <c r="BN102" s="296"/>
      <c r="BO102" s="296"/>
      <c r="BP102" s="302"/>
      <c r="BQ102" s="302"/>
      <c r="BR102" s="188"/>
      <c r="BS102" s="302"/>
      <c r="BT102" s="296"/>
      <c r="BU102" s="296"/>
      <c r="BV102" s="296"/>
      <c r="BW102" s="302" t="str">
        <f>IFERROR(VLOOKUP(I102,CALO24,13,FALSE),"")</f>
        <v/>
      </c>
      <c r="BX102" s="302" t="str">
        <f>IFERROR(VLOOKUP(I102,CALO24,14,FALSE),"")</f>
        <v/>
      </c>
    </row>
    <row r="103" spans="1:114" ht="13">
      <c r="B103" s="294"/>
      <c r="C103" s="294"/>
      <c r="D103" s="294"/>
      <c r="E103" s="295"/>
      <c r="F103" s="294"/>
      <c r="G103" s="295"/>
      <c r="H103" s="295"/>
      <c r="I103" s="485" t="s">
        <v>355</v>
      </c>
      <c r="P103" s="295"/>
      <c r="W103" s="295"/>
      <c r="AD103" s="295"/>
      <c r="AK103" s="295"/>
      <c r="BR103" s="188"/>
      <c r="BT103" s="296"/>
      <c r="BU103" s="296"/>
      <c r="BV103" s="296"/>
    </row>
    <row r="104" spans="1:114" ht="13">
      <c r="A104" s="486" t="s">
        <v>230</v>
      </c>
      <c r="B104" s="309" t="str">
        <f t="shared" ref="B104:B110" si="527">IFERROR(VLOOKUP(I104,CALOCARTERA,2,FALSE),"")</f>
        <v/>
      </c>
      <c r="C104" s="310" t="str">
        <f t="shared" ref="C104:C110" si="528">IFERROR(VLOOKUP(B104,DES,2,FALSE),"")</f>
        <v/>
      </c>
      <c r="D104" s="310" t="str">
        <f t="shared" ref="D104:D110" si="529">IFERROR(VLOOKUP(B104,DES,3,FALSE),"")</f>
        <v/>
      </c>
      <c r="E104" s="487" t="str">
        <f>IFERROR(VLOOKUP(B104,DES,4,FALSE),"")</f>
        <v/>
      </c>
      <c r="F104" s="486"/>
      <c r="G104" s="310"/>
      <c r="H104" s="487"/>
      <c r="I104" s="488" t="s">
        <v>356</v>
      </c>
      <c r="J104" s="321">
        <f>IFERROR(VLOOKUP(I104,CALO24,3,FALSE),"")</f>
        <v>0</v>
      </c>
      <c r="K104" s="489">
        <v>1500000</v>
      </c>
      <c r="L104" s="312" t="e">
        <f t="shared" ref="L104:L109" si="530">N104-M104</f>
        <v>#VALUE!</v>
      </c>
      <c r="M104" s="312" t="str">
        <f t="shared" ref="M104:M109" si="531">IFERROR(VLOOKUP(I104,CALOALIM,3,FALSE),"")</f>
        <v/>
      </c>
      <c r="N104" s="312" t="str">
        <f t="shared" ref="N104:N109" si="532">IFERROR(VLOOKUP(I104,CALOFC,3,FALSE),"")</f>
        <v/>
      </c>
      <c r="O104" s="312" t="e">
        <f t="shared" ref="O104:O108" si="533">N104-K104</f>
        <v>#VALUE!</v>
      </c>
      <c r="P104" s="310" t="e">
        <f>N104/K104</f>
        <v>#VALUE!</v>
      </c>
      <c r="Q104" s="312">
        <f>IFERROR(VLOOKUP(I104,CALO24,4,FALSE),"")</f>
        <v>0</v>
      </c>
      <c r="R104" s="489">
        <v>1500000</v>
      </c>
      <c r="S104" s="312" t="e">
        <f t="shared" ref="S104:S109" si="534">U104-T104</f>
        <v>#VALUE!</v>
      </c>
      <c r="T104" s="312" t="str">
        <f t="shared" ref="T104:T109" si="535">IFERROR(VLOOKUP(I104,CALOALIM,4,FALSE),"")</f>
        <v/>
      </c>
      <c r="U104" s="312" t="str">
        <f t="shared" ref="U104:U109" si="536">IFERROR(VLOOKUP(I104,CALOFC,4,FALSE),"")</f>
        <v/>
      </c>
      <c r="V104" s="312" t="e">
        <f t="shared" ref="V104:V109" si="537">U104-R104</f>
        <v>#VALUE!</v>
      </c>
      <c r="W104" s="310" t="e">
        <f>U104/R104</f>
        <v>#VALUE!</v>
      </c>
      <c r="X104" s="312">
        <f t="shared" ref="X104:X109" si="538">IFERROR(VLOOKUP(I104,CALO24,5,FALSE),"")</f>
        <v>0</v>
      </c>
      <c r="Y104" s="489">
        <v>1500000</v>
      </c>
      <c r="Z104" s="312" t="e">
        <f t="shared" ref="Z104:Z109" si="539">AB104-AA104</f>
        <v>#VALUE!</v>
      </c>
      <c r="AA104" s="312" t="str">
        <f t="shared" ref="AA104:AA109" si="540">IFERROR(VLOOKUP(I104,CALOALIM,5,FALSE),"")</f>
        <v/>
      </c>
      <c r="AB104" s="312" t="str">
        <f t="shared" ref="AB104:AB109" si="541">IFERROR(VLOOKUP(I104,CALOFC,5,FALSE),"")</f>
        <v/>
      </c>
      <c r="AC104" s="312" t="e">
        <f t="shared" ref="AC104:AC109" si="542">AB104-Y104</f>
        <v>#VALUE!</v>
      </c>
      <c r="AD104" s="310" t="e">
        <f>AB104/Y104</f>
        <v>#VALUE!</v>
      </c>
      <c r="AE104" s="490">
        <f t="shared" ref="AE104:AE109" si="543">SUM(K104,R104,Y104)</f>
        <v>4500000</v>
      </c>
      <c r="AF104" s="312">
        <f t="shared" ref="AF104:AF109" si="544">IFERROR(VLOOKUP(I104,trim2024,2,FALSE),"0")</f>
        <v>430764.68</v>
      </c>
      <c r="AG104" s="312">
        <f t="shared" ref="AG104:AG109" si="545">AI104-AH104</f>
        <v>0</v>
      </c>
      <c r="AH104" s="312">
        <f t="shared" ref="AH104:AH109" si="546">SUM(AA104,T104,T104,M104)</f>
        <v>0</v>
      </c>
      <c r="AI104" s="312">
        <f t="shared" ref="AI104:AI109" si="547">SUM(AB104,U104,N104)</f>
        <v>0</v>
      </c>
      <c r="AJ104" s="312">
        <f t="shared" ref="AJ104:AJ109" si="548">AI104-AF104</f>
        <v>-430764.68</v>
      </c>
      <c r="AK104" s="310">
        <f t="shared" ref="AK104:AK109" si="549">IFERROR(AI104/AF104,"")</f>
        <v>0</v>
      </c>
      <c r="AL104" s="491">
        <f>IFERROR(VLOOKUP(I104,CALO24,6,FALSE),"")</f>
        <v>0</v>
      </c>
      <c r="AM104" s="312" t="e">
        <f t="shared" ref="AM104:AM109" si="550">AO104-AN104</f>
        <v>#VALUE!</v>
      </c>
      <c r="AN104" s="312" t="str">
        <f t="shared" ref="AN104:AN109" si="551">IFERROR(VLOOKUP(I104,CALOALIM,6,FALSE),"")</f>
        <v/>
      </c>
      <c r="AO104" s="312" t="str">
        <f t="shared" ref="AO104:AO109" si="552">IFERROR(VLOOKUP(I104,CALOFC,6,FALSE),"")</f>
        <v/>
      </c>
      <c r="AP104" s="491">
        <f>IFERROR(VLOOKUP(I104,CALO24,7,FALSE),"")</f>
        <v>0</v>
      </c>
      <c r="AQ104" s="491" t="e">
        <f t="shared" ref="AQ104:AQ109" si="553">AS104-AR104</f>
        <v>#VALUE!</v>
      </c>
      <c r="AR104" s="491" t="str">
        <f t="shared" ref="AR104:AR109" si="554">IFERROR(VLOOKUP(I104,CALOALIM,7,FALSE),"")</f>
        <v/>
      </c>
      <c r="AS104" s="491" t="str">
        <f t="shared" ref="AS104:AS109" si="555">IFERROR(VLOOKUP(I104,CALOFC,7,FALSE),"")</f>
        <v/>
      </c>
      <c r="AT104" s="491">
        <f>IFERROR(VLOOKUP(I104,CALO24,8,FALSE),"")</f>
        <v>0</v>
      </c>
      <c r="AU104" s="312" t="e">
        <f t="shared" ref="AU104:AU110" si="556">AW104-AV104</f>
        <v>#VALUE!</v>
      </c>
      <c r="AV104" s="312" t="str">
        <f t="shared" ref="AV104:AV110" si="557">IFERROR(VLOOKUP(I104,CALOALIM,8,FALSE),"")</f>
        <v/>
      </c>
      <c r="AW104" s="312" t="str">
        <f t="shared" ref="AW104:AW110" si="558">IFERROR(VLOOKUP(I104,CALOFC,8,FALSE),"")</f>
        <v/>
      </c>
      <c r="AX104" s="312" t="e">
        <f t="shared" ref="AX104:AX110" si="559">AU104+AQ104+AM104</f>
        <v>#VALUE!</v>
      </c>
      <c r="AY104" s="312" t="e">
        <f t="shared" ref="AY104:AZ104" si="560">AN104+AR104+AV104</f>
        <v>#VALUE!</v>
      </c>
      <c r="AZ104" s="312" t="e">
        <f t="shared" si="560"/>
        <v>#VALUE!</v>
      </c>
      <c r="BA104" s="312" t="e">
        <f t="shared" ref="BA104:BB104" si="561">AX104+AG104</f>
        <v>#VALUE!</v>
      </c>
      <c r="BB104" s="312" t="e">
        <f t="shared" si="561"/>
        <v>#VALUE!</v>
      </c>
      <c r="BC104" s="312" t="e">
        <f t="shared" ref="BC104:BC110" si="562">AI104+AZ104</f>
        <v>#VALUE!</v>
      </c>
      <c r="BD104" s="491">
        <f>IFERROR(VLOOKUP(I104,CALO24,9,FALSE),"")</f>
        <v>0</v>
      </c>
      <c r="BE104" s="491" t="e">
        <f t="shared" ref="BE104:BE110" si="563">BG104-BF104</f>
        <v>#VALUE!</v>
      </c>
      <c r="BF104" s="491" t="str">
        <f t="shared" ref="BF104:BF110" si="564">IFERROR(VLOOKUP(I104,CALOALIM,9,FALSE),"")</f>
        <v/>
      </c>
      <c r="BG104" s="491" t="str">
        <f t="shared" ref="BG104:BG110" si="565">IFERROR(VLOOKUP(I104,CALOFC,9,FALSE),"")</f>
        <v/>
      </c>
      <c r="BH104" s="318">
        <f>IFERROR(VLOOKUP(I104,CALO24,10,FALSE),"")</f>
        <v>0</v>
      </c>
      <c r="BI104" s="319" t="e">
        <f t="shared" ref="BI104:BI110" si="566">BK104-BJ104</f>
        <v>#VALUE!</v>
      </c>
      <c r="BJ104" s="312" t="str">
        <f t="shared" ref="BJ104:BJ110" si="567">IFERROR(VLOOKUP(I104,CALOALIM,10,FALSE),"")</f>
        <v/>
      </c>
      <c r="BK104" s="320" t="str">
        <f t="shared" ref="BK104:BK110" si="568">IFERROR(VLOOKUP(I104,CALOFC,10,FALSE),"")</f>
        <v/>
      </c>
      <c r="BL104" s="492">
        <f>IFERROR(VLOOKUP(I104,CALO24,11,FALSE),"")</f>
        <v>0</v>
      </c>
      <c r="BM104" s="312" t="e">
        <f t="shared" ref="BM104:BM110" si="569">BO104-BN104</f>
        <v>#VALUE!</v>
      </c>
      <c r="BN104" s="312" t="str">
        <f t="shared" ref="BN104:BN110" si="570">IFERROR(VLOOKUP(I104,CALOALIM,11,FALSE),"")</f>
        <v/>
      </c>
      <c r="BO104" s="318" t="str">
        <f t="shared" ref="BO104:BO110" si="571">IFERROR(VLOOKUP(I104,CALOFC,11,FALSE),"")</f>
        <v/>
      </c>
      <c r="BP104" s="308" t="e">
        <f t="shared" ref="BP104:BR104" si="572">SUM(BE104,BI104,BM104)</f>
        <v>#VALUE!</v>
      </c>
      <c r="BQ104" s="491">
        <f t="shared" si="572"/>
        <v>0</v>
      </c>
      <c r="BR104" s="493">
        <f t="shared" si="572"/>
        <v>0</v>
      </c>
      <c r="BS104" s="492">
        <f>IFERROR(VLOOKUP(I104,CALO24,12,FALSE),"")</f>
        <v>430764.68</v>
      </c>
      <c r="BT104" s="312"/>
      <c r="BU104" s="312"/>
      <c r="BV104" s="320"/>
      <c r="BW104" s="423">
        <f>IFERROR(VLOOKUP(I104,CALO24,13,FALSE),"")</f>
        <v>0</v>
      </c>
      <c r="BX104" s="325">
        <f>IFERROR(VLOOKUP(I104,CALO24,14,FALSE),"")</f>
        <v>0</v>
      </c>
    </row>
    <row r="105" spans="1:114" ht="13">
      <c r="A105" s="172" t="s">
        <v>230</v>
      </c>
      <c r="B105" s="324" t="str">
        <f t="shared" si="527"/>
        <v/>
      </c>
      <c r="C105" s="137" t="str">
        <f t="shared" si="528"/>
        <v/>
      </c>
      <c r="D105" s="137" t="str">
        <f t="shared" si="529"/>
        <v/>
      </c>
      <c r="E105" s="494" t="str">
        <f>IFERROR(VLOOKUP(B105,DES,4,FALSE),"")</f>
        <v/>
      </c>
      <c r="F105" s="172"/>
      <c r="G105" s="137"/>
      <c r="H105" s="494"/>
      <c r="I105" s="495" t="s">
        <v>357</v>
      </c>
      <c r="J105" s="123">
        <f>IFERROR(VLOOKUP(I105,CALO24,3,FALSE),"")</f>
        <v>0</v>
      </c>
      <c r="K105" s="326">
        <f t="shared" ref="K105:K108" si="573">(J105*1.601)*1.05</f>
        <v>0</v>
      </c>
      <c r="L105" s="326" t="e">
        <f t="shared" si="530"/>
        <v>#VALUE!</v>
      </c>
      <c r="M105" s="326" t="str">
        <f t="shared" si="531"/>
        <v/>
      </c>
      <c r="N105" s="326" t="str">
        <f t="shared" si="532"/>
        <v/>
      </c>
      <c r="O105" s="326" t="e">
        <f t="shared" si="533"/>
        <v>#VALUE!</v>
      </c>
      <c r="P105" s="137" t="str">
        <f t="shared" ref="P105:P108" si="574">IFERROR(N105/K105,"")</f>
        <v/>
      </c>
      <c r="Q105" s="326">
        <f>IFERROR(VLOOKUP(I105,CALO24,4,FALSE),"")</f>
        <v>0</v>
      </c>
      <c r="R105" s="326">
        <f t="shared" ref="R105:R109" si="575">(Q105*1.7245)*1.03</f>
        <v>0</v>
      </c>
      <c r="S105" s="326" t="e">
        <f t="shared" si="534"/>
        <v>#VALUE!</v>
      </c>
      <c r="T105" s="326" t="str">
        <f t="shared" si="535"/>
        <v/>
      </c>
      <c r="U105" s="326" t="str">
        <f t="shared" si="536"/>
        <v/>
      </c>
      <c r="V105" s="326" t="e">
        <f t="shared" si="537"/>
        <v>#VALUE!</v>
      </c>
      <c r="W105" s="137" t="str">
        <f t="shared" ref="W105:W109" si="576">IFERROR(U105/R105,"")</f>
        <v/>
      </c>
      <c r="X105" s="326">
        <f t="shared" si="538"/>
        <v>107948.82</v>
      </c>
      <c r="Y105" s="326">
        <f t="shared" ref="Y105:Y109" si="577">(X105*1.5955)*1.03</f>
        <v>177399.31257930002</v>
      </c>
      <c r="Z105" s="326" t="e">
        <f t="shared" si="539"/>
        <v>#VALUE!</v>
      </c>
      <c r="AA105" s="326" t="str">
        <f t="shared" si="540"/>
        <v/>
      </c>
      <c r="AB105" s="326" t="str">
        <f t="shared" si="541"/>
        <v/>
      </c>
      <c r="AC105" s="326" t="e">
        <f t="shared" si="542"/>
        <v>#VALUE!</v>
      </c>
      <c r="AD105" s="137" t="str">
        <f t="shared" ref="AD105:AD109" si="578">IFERROR(AB105/Y105,"")</f>
        <v/>
      </c>
      <c r="AE105" s="496">
        <f t="shared" si="543"/>
        <v>177399.31257930002</v>
      </c>
      <c r="AF105" s="326" t="str">
        <f t="shared" si="544"/>
        <v>0</v>
      </c>
      <c r="AG105" s="326">
        <f t="shared" si="545"/>
        <v>0</v>
      </c>
      <c r="AH105" s="326">
        <f t="shared" si="546"/>
        <v>0</v>
      </c>
      <c r="AI105" s="326">
        <f t="shared" si="547"/>
        <v>0</v>
      </c>
      <c r="AJ105" s="326">
        <f t="shared" si="548"/>
        <v>0</v>
      </c>
      <c r="AK105" s="137" t="str">
        <f t="shared" si="549"/>
        <v/>
      </c>
      <c r="AL105" s="325">
        <f>IFERROR(VLOOKUP(I105,CALO24,6,FALSE),"")</f>
        <v>0</v>
      </c>
      <c r="AM105" s="326" t="e">
        <f t="shared" si="550"/>
        <v>#VALUE!</v>
      </c>
      <c r="AN105" s="326" t="str">
        <f t="shared" si="551"/>
        <v/>
      </c>
      <c r="AO105" s="326" t="str">
        <f t="shared" si="552"/>
        <v/>
      </c>
      <c r="AP105" s="325">
        <f>IFERROR(VLOOKUP(I105,CALO24,7,FALSE),"")</f>
        <v>0</v>
      </c>
      <c r="AQ105" s="325" t="e">
        <f t="shared" si="553"/>
        <v>#VALUE!</v>
      </c>
      <c r="AR105" s="325" t="str">
        <f t="shared" si="554"/>
        <v/>
      </c>
      <c r="AS105" s="325" t="str">
        <f t="shared" si="555"/>
        <v/>
      </c>
      <c r="AT105" s="325">
        <f>IFERROR(VLOOKUP(I105,CALO24,8,FALSE),"")</f>
        <v>0</v>
      </c>
      <c r="AU105" s="326" t="e">
        <f t="shared" si="556"/>
        <v>#VALUE!</v>
      </c>
      <c r="AV105" s="326" t="str">
        <f t="shared" si="557"/>
        <v/>
      </c>
      <c r="AW105" s="326" t="str">
        <f t="shared" si="558"/>
        <v/>
      </c>
      <c r="AX105" s="326" t="e">
        <f t="shared" si="559"/>
        <v>#VALUE!</v>
      </c>
      <c r="AY105" s="326" t="e">
        <f t="shared" ref="AY105:AZ105" si="579">AN105+AR105+AV105</f>
        <v>#VALUE!</v>
      </c>
      <c r="AZ105" s="326" t="e">
        <f t="shared" si="579"/>
        <v>#VALUE!</v>
      </c>
      <c r="BA105" s="326" t="e">
        <f t="shared" ref="BA105:BB105" si="580">AX105+AG105</f>
        <v>#VALUE!</v>
      </c>
      <c r="BB105" s="326" t="e">
        <f t="shared" si="580"/>
        <v>#VALUE!</v>
      </c>
      <c r="BC105" s="326" t="e">
        <f t="shared" si="562"/>
        <v>#VALUE!</v>
      </c>
      <c r="BD105" s="325">
        <f>IFERROR(VLOOKUP(I105,CALO24,9,FALSE),"")</f>
        <v>16039.77</v>
      </c>
      <c r="BE105" s="325" t="e">
        <f t="shared" si="563"/>
        <v>#VALUE!</v>
      </c>
      <c r="BF105" s="325" t="str">
        <f t="shared" si="564"/>
        <v/>
      </c>
      <c r="BG105" s="325" t="str">
        <f t="shared" si="565"/>
        <v/>
      </c>
      <c r="BH105" s="332">
        <f>IFERROR(VLOOKUP(I105,CALO24,10,FALSE),"")</f>
        <v>3598</v>
      </c>
      <c r="BI105" s="140" t="e">
        <f t="shared" si="566"/>
        <v>#VALUE!</v>
      </c>
      <c r="BJ105" s="326" t="str">
        <f t="shared" si="567"/>
        <v/>
      </c>
      <c r="BK105" s="333" t="str">
        <f t="shared" si="568"/>
        <v/>
      </c>
      <c r="BL105" s="423">
        <f>IFERROR(VLOOKUP(I105,CALO24,11,FALSE),"")</f>
        <v>0</v>
      </c>
      <c r="BM105" s="326" t="e">
        <f t="shared" si="569"/>
        <v>#VALUE!</v>
      </c>
      <c r="BN105" s="326" t="str">
        <f t="shared" si="570"/>
        <v/>
      </c>
      <c r="BO105" s="332" t="str">
        <f t="shared" si="571"/>
        <v/>
      </c>
      <c r="BP105" s="323" t="e">
        <f t="shared" ref="BP105:BR105" si="581">SUM(BE105,BI105,BM105)</f>
        <v>#VALUE!</v>
      </c>
      <c r="BQ105" s="325">
        <f t="shared" si="581"/>
        <v>0</v>
      </c>
      <c r="BR105" s="497">
        <f t="shared" si="581"/>
        <v>0</v>
      </c>
      <c r="BS105" s="423">
        <f>IFERROR(VLOOKUP(I105,CALO24,12,FALSE),"")</f>
        <v>0</v>
      </c>
      <c r="BT105" s="326"/>
      <c r="BU105" s="326"/>
      <c r="BV105" s="333"/>
      <c r="BW105" s="423">
        <f>IFERROR(VLOOKUP(I105,CALO24,13,FALSE),"")</f>
        <v>0</v>
      </c>
      <c r="BX105" s="325">
        <f>IFERROR(VLOOKUP(I105,CALO24,14,FALSE),"")</f>
        <v>0</v>
      </c>
    </row>
    <row r="106" spans="1:114" ht="13">
      <c r="A106" s="172" t="s">
        <v>230</v>
      </c>
      <c r="B106" s="324">
        <f t="shared" si="527"/>
        <v>1</v>
      </c>
      <c r="C106" s="137" t="str">
        <f t="shared" si="528"/>
        <v>Lista</v>
      </c>
      <c r="D106" s="137">
        <f t="shared" si="529"/>
        <v>0.09</v>
      </c>
      <c r="E106" s="494">
        <f>IFERROR(VLOOKUP(B106,DES,4,FALSE),"")</f>
        <v>0</v>
      </c>
      <c r="F106" s="172"/>
      <c r="G106" s="137"/>
      <c r="H106" s="494"/>
      <c r="I106" s="498" t="s">
        <v>358</v>
      </c>
      <c r="J106" s="123">
        <f>IFERROR(VLOOKUP(I106,CALO24,3,FALSE),"")</f>
        <v>386057.49</v>
      </c>
      <c r="K106" s="326">
        <f t="shared" si="573"/>
        <v>648981.94356449996</v>
      </c>
      <c r="L106" s="326">
        <f t="shared" si="530"/>
        <v>234909.61999999997</v>
      </c>
      <c r="M106" s="326">
        <f t="shared" si="531"/>
        <v>54620.73</v>
      </c>
      <c r="N106" s="326">
        <f t="shared" si="532"/>
        <v>289530.34999999998</v>
      </c>
      <c r="O106" s="326">
        <f t="shared" si="533"/>
        <v>-359451.59356449998</v>
      </c>
      <c r="P106" s="137">
        <f t="shared" si="574"/>
        <v>0.44613005472813222</v>
      </c>
      <c r="Q106" s="326">
        <f>IFERROR(VLOOKUP(I106,CALO24,4,FALSE),"")</f>
        <v>352570.85</v>
      </c>
      <c r="R106" s="326">
        <f t="shared" si="575"/>
        <v>626248.68374974991</v>
      </c>
      <c r="S106" s="326">
        <f t="shared" si="534"/>
        <v>310052.90000000002</v>
      </c>
      <c r="T106" s="326">
        <f t="shared" si="535"/>
        <v>9498.73</v>
      </c>
      <c r="U106" s="326">
        <f t="shared" si="536"/>
        <v>319551.63</v>
      </c>
      <c r="V106" s="326">
        <f t="shared" si="537"/>
        <v>-306697.0537497499</v>
      </c>
      <c r="W106" s="137">
        <f t="shared" si="576"/>
        <v>0.51026315630180774</v>
      </c>
      <c r="X106" s="326">
        <f t="shared" si="538"/>
        <v>354014.07</v>
      </c>
      <c r="Y106" s="326">
        <f t="shared" si="577"/>
        <v>581774.33214554994</v>
      </c>
      <c r="Z106" s="326">
        <f t="shared" si="539"/>
        <v>126414</v>
      </c>
      <c r="AA106" s="326">
        <f t="shared" si="540"/>
        <v>0</v>
      </c>
      <c r="AB106" s="326">
        <f t="shared" si="541"/>
        <v>126414</v>
      </c>
      <c r="AC106" s="326">
        <f t="shared" si="542"/>
        <v>-455360.33214554994</v>
      </c>
      <c r="AD106" s="137">
        <f t="shared" si="578"/>
        <v>0.21729043894699257</v>
      </c>
      <c r="AE106" s="496">
        <f t="shared" si="543"/>
        <v>1857004.9594597998</v>
      </c>
      <c r="AF106" s="326">
        <f t="shared" si="544"/>
        <v>178346.69</v>
      </c>
      <c r="AG106" s="326">
        <f t="shared" si="545"/>
        <v>661877.79</v>
      </c>
      <c r="AH106" s="326">
        <f t="shared" si="546"/>
        <v>73618.19</v>
      </c>
      <c r="AI106" s="326">
        <f t="shared" si="547"/>
        <v>735495.98</v>
      </c>
      <c r="AJ106" s="326">
        <f t="shared" si="548"/>
        <v>557149.29</v>
      </c>
      <c r="AK106" s="137">
        <f t="shared" si="549"/>
        <v>4.1239676497500453</v>
      </c>
      <c r="AL106" s="325">
        <f>IFERROR(VLOOKUP(I106,CALO24,6,FALSE),"")</f>
        <v>1205187.18</v>
      </c>
      <c r="AM106" s="326">
        <f t="shared" si="550"/>
        <v>0</v>
      </c>
      <c r="AN106" s="326">
        <f t="shared" si="551"/>
        <v>0</v>
      </c>
      <c r="AO106" s="326">
        <f t="shared" si="552"/>
        <v>0</v>
      </c>
      <c r="AP106" s="326">
        <f>IFERROR(VLOOKUP(I106,CALO24,7,FALSE),"")</f>
        <v>95412.41</v>
      </c>
      <c r="AQ106" s="326">
        <f t="shared" si="553"/>
        <v>0</v>
      </c>
      <c r="AR106" s="326">
        <f t="shared" si="554"/>
        <v>0</v>
      </c>
      <c r="AS106" s="326">
        <f t="shared" si="555"/>
        <v>0</v>
      </c>
      <c r="AT106" s="326">
        <f>IFERROR(VLOOKUP(I106,CALO24,8,FALSE),"")</f>
        <v>341570.56</v>
      </c>
      <c r="AU106" s="326">
        <f t="shared" si="556"/>
        <v>0</v>
      </c>
      <c r="AV106" s="326">
        <f t="shared" si="557"/>
        <v>0</v>
      </c>
      <c r="AW106" s="326">
        <f t="shared" si="558"/>
        <v>0</v>
      </c>
      <c r="AX106" s="326">
        <f t="shared" si="559"/>
        <v>0</v>
      </c>
      <c r="AY106" s="326">
        <f t="shared" ref="AY106:AZ106" si="582">AN106+AR106+AV106</f>
        <v>0</v>
      </c>
      <c r="AZ106" s="326">
        <f t="shared" si="582"/>
        <v>0</v>
      </c>
      <c r="BA106" s="326">
        <f t="shared" ref="BA106:BB106" si="583">AX106+AG106</f>
        <v>661877.79</v>
      </c>
      <c r="BB106" s="326">
        <f t="shared" si="583"/>
        <v>73618.19</v>
      </c>
      <c r="BC106" s="326">
        <f t="shared" si="562"/>
        <v>735495.98</v>
      </c>
      <c r="BD106" s="325">
        <f>IFERROR(VLOOKUP(I106,CALO24,9,FALSE),"")</f>
        <v>202725.82</v>
      </c>
      <c r="BE106" s="325">
        <f t="shared" si="563"/>
        <v>0</v>
      </c>
      <c r="BF106" s="325">
        <f t="shared" si="564"/>
        <v>0</v>
      </c>
      <c r="BG106" s="325">
        <f t="shared" si="565"/>
        <v>0</v>
      </c>
      <c r="BH106" s="332">
        <f>IFERROR(VLOOKUP(I106,CALO24,10,FALSE),"")</f>
        <v>570015.64</v>
      </c>
      <c r="BI106" s="140">
        <f t="shared" si="566"/>
        <v>0</v>
      </c>
      <c r="BJ106" s="326">
        <f t="shared" si="567"/>
        <v>0</v>
      </c>
      <c r="BK106" s="333">
        <f t="shared" si="568"/>
        <v>0</v>
      </c>
      <c r="BL106" s="423">
        <f>IFERROR(VLOOKUP(I106,CALO24,11,FALSE),"")</f>
        <v>434660.37</v>
      </c>
      <c r="BM106" s="326">
        <f t="shared" si="569"/>
        <v>0</v>
      </c>
      <c r="BN106" s="326">
        <f t="shared" si="570"/>
        <v>0</v>
      </c>
      <c r="BO106" s="332">
        <f t="shared" si="571"/>
        <v>0</v>
      </c>
      <c r="BP106" s="323">
        <f t="shared" ref="BP106:BR106" si="584">SUM(BE106,BI106,BM106)</f>
        <v>0</v>
      </c>
      <c r="BQ106" s="325">
        <f t="shared" si="584"/>
        <v>0</v>
      </c>
      <c r="BR106" s="497">
        <f t="shared" si="584"/>
        <v>0</v>
      </c>
      <c r="BS106" s="423">
        <f>IFERROR(VLOOKUP(I106,CALO24,12,FALSE),"")</f>
        <v>0</v>
      </c>
      <c r="BT106" s="326"/>
      <c r="BU106" s="326"/>
      <c r="BV106" s="333"/>
      <c r="BW106" s="423">
        <f>IFERROR(VLOOKUP(I106,CALO24,13,FALSE),"")</f>
        <v>85701.96</v>
      </c>
      <c r="BX106" s="325">
        <f>IFERROR(VLOOKUP(I106,CALO24,14,FALSE),"")</f>
        <v>92644.73</v>
      </c>
    </row>
    <row r="107" spans="1:114" ht="13">
      <c r="A107" s="172" t="s">
        <v>359</v>
      </c>
      <c r="B107" s="324" t="str">
        <f t="shared" si="527"/>
        <v/>
      </c>
      <c r="C107" s="137" t="str">
        <f t="shared" si="528"/>
        <v/>
      </c>
      <c r="D107" s="137" t="str">
        <f t="shared" si="529"/>
        <v/>
      </c>
      <c r="E107" s="494" t="str">
        <f>IFERROR(VLOOKUP(B107,DES,4,FALSE),"")</f>
        <v/>
      </c>
      <c r="F107" s="172"/>
      <c r="G107" s="137"/>
      <c r="H107" s="494"/>
      <c r="I107" s="499" t="s">
        <v>360</v>
      </c>
      <c r="J107" s="123">
        <f>IFERROR(VLOOKUP(I107,CALO24,3,FALSE),"")</f>
        <v>129953.25</v>
      </c>
      <c r="K107" s="326">
        <f t="shared" si="573"/>
        <v>218457.91091250003</v>
      </c>
      <c r="L107" s="326" t="e">
        <f t="shared" si="530"/>
        <v>#VALUE!</v>
      </c>
      <c r="M107" s="326" t="str">
        <f t="shared" si="531"/>
        <v/>
      </c>
      <c r="N107" s="326" t="str">
        <f t="shared" si="532"/>
        <v/>
      </c>
      <c r="O107" s="326" t="e">
        <f t="shared" si="533"/>
        <v>#VALUE!</v>
      </c>
      <c r="P107" s="137" t="str">
        <f t="shared" si="574"/>
        <v/>
      </c>
      <c r="Q107" s="326">
        <f>IFERROR(VLOOKUP(I107,CALO24,4,FALSE),"")</f>
        <v>83417.460000000006</v>
      </c>
      <c r="R107" s="326">
        <f t="shared" si="575"/>
        <v>148169.0120631</v>
      </c>
      <c r="S107" s="326" t="e">
        <f t="shared" si="534"/>
        <v>#VALUE!</v>
      </c>
      <c r="T107" s="326" t="str">
        <f t="shared" si="535"/>
        <v/>
      </c>
      <c r="U107" s="326" t="str">
        <f t="shared" si="536"/>
        <v/>
      </c>
      <c r="V107" s="326" t="e">
        <f t="shared" si="537"/>
        <v>#VALUE!</v>
      </c>
      <c r="W107" s="137" t="str">
        <f t="shared" si="576"/>
        <v/>
      </c>
      <c r="X107" s="326">
        <f t="shared" si="538"/>
        <v>100540.93</v>
      </c>
      <c r="Y107" s="326">
        <f t="shared" si="577"/>
        <v>165225.44542944999</v>
      </c>
      <c r="Z107" s="326" t="e">
        <f t="shared" si="539"/>
        <v>#VALUE!</v>
      </c>
      <c r="AA107" s="326" t="str">
        <f t="shared" si="540"/>
        <v/>
      </c>
      <c r="AB107" s="326" t="str">
        <f t="shared" si="541"/>
        <v/>
      </c>
      <c r="AC107" s="326" t="e">
        <f t="shared" si="542"/>
        <v>#VALUE!</v>
      </c>
      <c r="AD107" s="137" t="str">
        <f t="shared" si="578"/>
        <v/>
      </c>
      <c r="AE107" s="496">
        <f t="shared" si="543"/>
        <v>531852.36840505002</v>
      </c>
      <c r="AF107" s="326" t="str">
        <f t="shared" si="544"/>
        <v>0</v>
      </c>
      <c r="AG107" s="326">
        <f t="shared" si="545"/>
        <v>0</v>
      </c>
      <c r="AH107" s="326">
        <f t="shared" si="546"/>
        <v>0</v>
      </c>
      <c r="AI107" s="326">
        <f t="shared" si="547"/>
        <v>0</v>
      </c>
      <c r="AJ107" s="326">
        <f t="shared" si="548"/>
        <v>0</v>
      </c>
      <c r="AK107" s="137" t="str">
        <f t="shared" si="549"/>
        <v/>
      </c>
      <c r="AL107" s="325">
        <f>IFERROR(VLOOKUP(I107,CALO24,6,FALSE),"")</f>
        <v>27301.48</v>
      </c>
      <c r="AM107" s="326" t="e">
        <f t="shared" si="550"/>
        <v>#VALUE!</v>
      </c>
      <c r="AN107" s="326" t="str">
        <f t="shared" si="551"/>
        <v/>
      </c>
      <c r="AO107" s="326" t="str">
        <f t="shared" si="552"/>
        <v/>
      </c>
      <c r="AP107" s="325">
        <f>IFERROR(VLOOKUP(I107,CALO24,7,FALSE),"")</f>
        <v>13695.38</v>
      </c>
      <c r="AQ107" s="325" t="e">
        <f t="shared" si="553"/>
        <v>#VALUE!</v>
      </c>
      <c r="AR107" s="325" t="str">
        <f t="shared" si="554"/>
        <v/>
      </c>
      <c r="AS107" s="325" t="str">
        <f t="shared" si="555"/>
        <v/>
      </c>
      <c r="AT107" s="325">
        <f>IFERROR(VLOOKUP(I107,CALO24,8,FALSE),"")</f>
        <v>298995.15000000002</v>
      </c>
      <c r="AU107" s="326" t="e">
        <f t="shared" si="556"/>
        <v>#VALUE!</v>
      </c>
      <c r="AV107" s="326" t="str">
        <f t="shared" si="557"/>
        <v/>
      </c>
      <c r="AW107" s="326" t="str">
        <f t="shared" si="558"/>
        <v/>
      </c>
      <c r="AX107" s="326" t="e">
        <f t="shared" si="559"/>
        <v>#VALUE!</v>
      </c>
      <c r="AY107" s="326" t="e">
        <f t="shared" ref="AY107:AZ107" si="585">AN107+AR107+AV107</f>
        <v>#VALUE!</v>
      </c>
      <c r="AZ107" s="326" t="e">
        <f t="shared" si="585"/>
        <v>#VALUE!</v>
      </c>
      <c r="BA107" s="326" t="e">
        <f t="shared" ref="BA107:BB107" si="586">AX107+AG107</f>
        <v>#VALUE!</v>
      </c>
      <c r="BB107" s="326" t="e">
        <f t="shared" si="586"/>
        <v>#VALUE!</v>
      </c>
      <c r="BC107" s="326" t="e">
        <f t="shared" si="562"/>
        <v>#VALUE!</v>
      </c>
      <c r="BD107" s="325">
        <f>IFERROR(VLOOKUP(I107,CALO24,9,FALSE),"")</f>
        <v>367304.42</v>
      </c>
      <c r="BE107" s="325" t="e">
        <f t="shared" si="563"/>
        <v>#VALUE!</v>
      </c>
      <c r="BF107" s="325" t="str">
        <f t="shared" si="564"/>
        <v/>
      </c>
      <c r="BG107" s="325" t="str">
        <f t="shared" si="565"/>
        <v/>
      </c>
      <c r="BH107" s="332">
        <f>IFERROR(VLOOKUP(I107,CALO24,10,FALSE),"")</f>
        <v>83497.600000000006</v>
      </c>
      <c r="BI107" s="140" t="e">
        <f t="shared" si="566"/>
        <v>#VALUE!</v>
      </c>
      <c r="BJ107" s="326" t="str">
        <f t="shared" si="567"/>
        <v/>
      </c>
      <c r="BK107" s="333" t="str">
        <f t="shared" si="568"/>
        <v/>
      </c>
      <c r="BL107" s="423">
        <f>IFERROR(VLOOKUP(I107,CALO24,11,FALSE),"")</f>
        <v>179982.25</v>
      </c>
      <c r="BM107" s="326" t="e">
        <f t="shared" si="569"/>
        <v>#VALUE!</v>
      </c>
      <c r="BN107" s="326" t="str">
        <f t="shared" si="570"/>
        <v/>
      </c>
      <c r="BO107" s="332" t="str">
        <f t="shared" si="571"/>
        <v/>
      </c>
      <c r="BP107" s="323" t="e">
        <f t="shared" ref="BP107:BR107" si="587">SUM(BE107,BI107,BM107)</f>
        <v>#VALUE!</v>
      </c>
      <c r="BQ107" s="325">
        <f t="shared" si="587"/>
        <v>0</v>
      </c>
      <c r="BR107" s="497">
        <f t="shared" si="587"/>
        <v>0</v>
      </c>
      <c r="BS107" s="423">
        <f>IFERROR(VLOOKUP(I107,CALO24,12,FALSE),"")</f>
        <v>0</v>
      </c>
      <c r="BT107" s="326"/>
      <c r="BU107" s="326"/>
      <c r="BV107" s="333"/>
      <c r="BW107" s="423">
        <f>IFERROR(VLOOKUP(I107,CALO24,13,FALSE),"")</f>
        <v>0</v>
      </c>
      <c r="BX107" s="325">
        <f>IFERROR(VLOOKUP(I107,CALO24,14,FALSE),"")</f>
        <v>0</v>
      </c>
    </row>
    <row r="108" spans="1:114" ht="13">
      <c r="A108" s="172" t="s">
        <v>361</v>
      </c>
      <c r="B108" s="324" t="str">
        <f t="shared" si="527"/>
        <v/>
      </c>
      <c r="C108" s="137" t="str">
        <f t="shared" si="528"/>
        <v/>
      </c>
      <c r="D108" s="137" t="str">
        <f t="shared" si="529"/>
        <v/>
      </c>
      <c r="E108" s="494" t="str">
        <f>IFERROR(VLOOKUP(B108,DES,4,FALSE),"")</f>
        <v/>
      </c>
      <c r="F108" s="172"/>
      <c r="G108" s="137"/>
      <c r="H108" s="494"/>
      <c r="I108" s="500" t="s">
        <v>362</v>
      </c>
      <c r="J108" s="123" t="str">
        <f>IFERROR(VLOOKUP(I108,CALO24,3,FALSE),"")</f>
        <v/>
      </c>
      <c r="K108" s="326" t="e">
        <f t="shared" si="573"/>
        <v>#VALUE!</v>
      </c>
      <c r="L108" s="326" t="e">
        <f t="shared" si="530"/>
        <v>#VALUE!</v>
      </c>
      <c r="M108" s="326" t="str">
        <f t="shared" si="531"/>
        <v/>
      </c>
      <c r="N108" s="326" t="str">
        <f t="shared" si="532"/>
        <v/>
      </c>
      <c r="O108" s="326" t="e">
        <f t="shared" si="533"/>
        <v>#VALUE!</v>
      </c>
      <c r="P108" s="137" t="str">
        <f t="shared" si="574"/>
        <v/>
      </c>
      <c r="Q108" s="326" t="str">
        <f>IFERROR(VLOOKUP(I108,CALO24,4,FALSE),"")</f>
        <v/>
      </c>
      <c r="R108" s="326" t="e">
        <f t="shared" si="575"/>
        <v>#VALUE!</v>
      </c>
      <c r="S108" s="326" t="e">
        <f t="shared" si="534"/>
        <v>#VALUE!</v>
      </c>
      <c r="T108" s="326" t="str">
        <f t="shared" si="535"/>
        <v/>
      </c>
      <c r="U108" s="326" t="str">
        <f t="shared" si="536"/>
        <v/>
      </c>
      <c r="V108" s="326" t="e">
        <f t="shared" si="537"/>
        <v>#VALUE!</v>
      </c>
      <c r="W108" s="137" t="str">
        <f t="shared" si="576"/>
        <v/>
      </c>
      <c r="X108" s="326" t="str">
        <f t="shared" si="538"/>
        <v/>
      </c>
      <c r="Y108" s="326" t="e">
        <f t="shared" si="577"/>
        <v>#VALUE!</v>
      </c>
      <c r="Z108" s="326" t="e">
        <f t="shared" si="539"/>
        <v>#VALUE!</v>
      </c>
      <c r="AA108" s="326" t="str">
        <f t="shared" si="540"/>
        <v/>
      </c>
      <c r="AB108" s="326" t="str">
        <f t="shared" si="541"/>
        <v/>
      </c>
      <c r="AC108" s="326" t="e">
        <f t="shared" si="542"/>
        <v>#VALUE!</v>
      </c>
      <c r="AD108" s="137" t="str">
        <f t="shared" si="578"/>
        <v/>
      </c>
      <c r="AE108" s="496" t="e">
        <f t="shared" si="543"/>
        <v>#VALUE!</v>
      </c>
      <c r="AF108" s="326" t="str">
        <f t="shared" si="544"/>
        <v>0</v>
      </c>
      <c r="AG108" s="326">
        <f t="shared" si="545"/>
        <v>0</v>
      </c>
      <c r="AH108" s="326">
        <f t="shared" si="546"/>
        <v>0</v>
      </c>
      <c r="AI108" s="326">
        <f t="shared" si="547"/>
        <v>0</v>
      </c>
      <c r="AJ108" s="326">
        <f t="shared" si="548"/>
        <v>0</v>
      </c>
      <c r="AK108" s="137" t="str">
        <f t="shared" si="549"/>
        <v/>
      </c>
      <c r="AL108" s="325" t="str">
        <f>IFERROR(VLOOKUP(I108,CALO24,6,FALSE),"")</f>
        <v/>
      </c>
      <c r="AM108" s="326" t="e">
        <f t="shared" si="550"/>
        <v>#VALUE!</v>
      </c>
      <c r="AN108" s="326" t="str">
        <f t="shared" si="551"/>
        <v/>
      </c>
      <c r="AO108" s="326" t="str">
        <f t="shared" si="552"/>
        <v/>
      </c>
      <c r="AP108" s="325" t="str">
        <f>IFERROR(VLOOKUP(I108,CALO24,7,FALSE),"")</f>
        <v/>
      </c>
      <c r="AQ108" s="325" t="e">
        <f t="shared" si="553"/>
        <v>#VALUE!</v>
      </c>
      <c r="AR108" s="325" t="str">
        <f t="shared" si="554"/>
        <v/>
      </c>
      <c r="AS108" s="325" t="str">
        <f t="shared" si="555"/>
        <v/>
      </c>
      <c r="AT108" s="325" t="str">
        <f>IFERROR(VLOOKUP(I108,CALO24,8,FALSE),"")</f>
        <v/>
      </c>
      <c r="AU108" s="326" t="e">
        <f t="shared" si="556"/>
        <v>#VALUE!</v>
      </c>
      <c r="AV108" s="326" t="str">
        <f t="shared" si="557"/>
        <v/>
      </c>
      <c r="AW108" s="326" t="str">
        <f t="shared" si="558"/>
        <v/>
      </c>
      <c r="AX108" s="326" t="e">
        <f t="shared" si="559"/>
        <v>#VALUE!</v>
      </c>
      <c r="AY108" s="326" t="e">
        <f t="shared" ref="AY108:AZ108" si="588">AN108+AR108+AV108</f>
        <v>#VALUE!</v>
      </c>
      <c r="AZ108" s="326" t="e">
        <f t="shared" si="588"/>
        <v>#VALUE!</v>
      </c>
      <c r="BA108" s="326" t="e">
        <f t="shared" ref="BA108:BB108" si="589">AX108+AG108</f>
        <v>#VALUE!</v>
      </c>
      <c r="BB108" s="326" t="e">
        <f t="shared" si="589"/>
        <v>#VALUE!</v>
      </c>
      <c r="BC108" s="326" t="e">
        <f t="shared" si="562"/>
        <v>#VALUE!</v>
      </c>
      <c r="BD108" s="325" t="str">
        <f>IFERROR(VLOOKUP(I108,CALO24,9,FALSE),"")</f>
        <v/>
      </c>
      <c r="BE108" s="325" t="e">
        <f t="shared" si="563"/>
        <v>#VALUE!</v>
      </c>
      <c r="BF108" s="325" t="str">
        <f t="shared" si="564"/>
        <v/>
      </c>
      <c r="BG108" s="325" t="str">
        <f t="shared" si="565"/>
        <v/>
      </c>
      <c r="BH108" s="332" t="str">
        <f>IFERROR(VLOOKUP(I108,CALO24,10,FALSE),"")</f>
        <v/>
      </c>
      <c r="BI108" s="140" t="e">
        <f t="shared" si="566"/>
        <v>#VALUE!</v>
      </c>
      <c r="BJ108" s="326" t="str">
        <f t="shared" si="567"/>
        <v/>
      </c>
      <c r="BK108" s="333" t="str">
        <f t="shared" si="568"/>
        <v/>
      </c>
      <c r="BL108" s="423" t="str">
        <f>IFERROR(VLOOKUP(I108,CALO24,11,FALSE),"")</f>
        <v/>
      </c>
      <c r="BM108" s="326" t="e">
        <f t="shared" si="569"/>
        <v>#VALUE!</v>
      </c>
      <c r="BN108" s="326" t="str">
        <f t="shared" si="570"/>
        <v/>
      </c>
      <c r="BO108" s="332" t="str">
        <f t="shared" si="571"/>
        <v/>
      </c>
      <c r="BP108" s="323" t="e">
        <f t="shared" ref="BP108:BR108" si="590">SUM(BE108,BI108,BM108)</f>
        <v>#VALUE!</v>
      </c>
      <c r="BQ108" s="325">
        <f t="shared" si="590"/>
        <v>0</v>
      </c>
      <c r="BR108" s="497">
        <f t="shared" si="590"/>
        <v>0</v>
      </c>
      <c r="BS108" s="423" t="str">
        <f>IFERROR(VLOOKUP(I108,CALO24,12,FALSE),"")</f>
        <v/>
      </c>
      <c r="BT108" s="326"/>
      <c r="BU108" s="326"/>
      <c r="BV108" s="333"/>
      <c r="BW108" s="423" t="str">
        <f>IFERROR(VLOOKUP(I108,CALO24,13,FALSE),"")</f>
        <v/>
      </c>
      <c r="BX108" s="325" t="str">
        <f>IFERROR(VLOOKUP(I108,CALO24,14,FALSE),"")</f>
        <v/>
      </c>
    </row>
    <row r="109" spans="1:114" ht="13">
      <c r="A109" s="172" t="s">
        <v>359</v>
      </c>
      <c r="B109" s="324">
        <f t="shared" si="527"/>
        <v>6</v>
      </c>
      <c r="C109" s="137" t="str">
        <f t="shared" si="528"/>
        <v>Lista</v>
      </c>
      <c r="D109" s="137">
        <f t="shared" si="529"/>
        <v>0.15</v>
      </c>
      <c r="E109" s="494"/>
      <c r="F109" s="172" t="str">
        <f>IFERROR(VLOOKUP(I109,CALOCART4,2,FALSE),"")</f>
        <v/>
      </c>
      <c r="G109" s="137" t="str">
        <f>IFERROR(VLOOKUP(F109,A458DC1025,2,FALSE),"")</f>
        <v/>
      </c>
      <c r="H109" s="494" t="str">
        <f>IFERROR(VLOOKUP(F109,A458DC1025,3,FALSE),"")</f>
        <v/>
      </c>
      <c r="I109" s="498" t="s">
        <v>363</v>
      </c>
      <c r="J109" s="123"/>
      <c r="K109" s="331"/>
      <c r="L109" s="326">
        <f t="shared" si="530"/>
        <v>0</v>
      </c>
      <c r="M109" s="326">
        <f t="shared" si="531"/>
        <v>0</v>
      </c>
      <c r="N109" s="326">
        <f t="shared" si="532"/>
        <v>0</v>
      </c>
      <c r="O109" s="331"/>
      <c r="P109" s="234"/>
      <c r="Q109" s="326"/>
      <c r="R109" s="326">
        <f t="shared" si="575"/>
        <v>0</v>
      </c>
      <c r="S109" s="326">
        <f t="shared" si="534"/>
        <v>0</v>
      </c>
      <c r="T109" s="326">
        <f t="shared" si="535"/>
        <v>74826.350000000006</v>
      </c>
      <c r="U109" s="326">
        <f t="shared" si="536"/>
        <v>74826.350000000006</v>
      </c>
      <c r="V109" s="326">
        <f t="shared" si="537"/>
        <v>74826.350000000006</v>
      </c>
      <c r="W109" s="137" t="str">
        <f t="shared" si="576"/>
        <v/>
      </c>
      <c r="X109" s="326" t="str">
        <f t="shared" si="538"/>
        <v/>
      </c>
      <c r="Y109" s="326" t="e">
        <f t="shared" si="577"/>
        <v>#VALUE!</v>
      </c>
      <c r="Z109" s="326">
        <f t="shared" si="539"/>
        <v>77693.399999999994</v>
      </c>
      <c r="AA109" s="326">
        <f t="shared" si="540"/>
        <v>0</v>
      </c>
      <c r="AB109" s="326">
        <f t="shared" si="541"/>
        <v>77693.399999999994</v>
      </c>
      <c r="AC109" s="326" t="e">
        <f t="shared" si="542"/>
        <v>#VALUE!</v>
      </c>
      <c r="AD109" s="137" t="str">
        <f t="shared" si="578"/>
        <v/>
      </c>
      <c r="AE109" s="496" t="e">
        <f t="shared" si="543"/>
        <v>#VALUE!</v>
      </c>
      <c r="AF109" s="326" t="str">
        <f t="shared" si="544"/>
        <v>0</v>
      </c>
      <c r="AG109" s="326">
        <f t="shared" si="545"/>
        <v>2867.0499999999884</v>
      </c>
      <c r="AH109" s="326">
        <f t="shared" si="546"/>
        <v>149652.70000000001</v>
      </c>
      <c r="AI109" s="326">
        <f t="shared" si="547"/>
        <v>152519.75</v>
      </c>
      <c r="AJ109" s="326">
        <f t="shared" si="548"/>
        <v>152519.75</v>
      </c>
      <c r="AK109" s="137" t="str">
        <f t="shared" si="549"/>
        <v/>
      </c>
      <c r="AL109" s="325"/>
      <c r="AM109" s="326">
        <f t="shared" si="550"/>
        <v>0</v>
      </c>
      <c r="AN109" s="326">
        <f t="shared" si="551"/>
        <v>0</v>
      </c>
      <c r="AO109" s="326">
        <f t="shared" si="552"/>
        <v>0</v>
      </c>
      <c r="AP109" s="326"/>
      <c r="AQ109" s="326">
        <f t="shared" si="553"/>
        <v>43563.55</v>
      </c>
      <c r="AR109" s="326">
        <f t="shared" si="554"/>
        <v>0</v>
      </c>
      <c r="AS109" s="326">
        <f t="shared" si="555"/>
        <v>43563.55</v>
      </c>
      <c r="AT109" s="326"/>
      <c r="AU109" s="326">
        <f t="shared" si="556"/>
        <v>49902.7</v>
      </c>
      <c r="AV109" s="326">
        <f t="shared" si="557"/>
        <v>0</v>
      </c>
      <c r="AW109" s="326">
        <f t="shared" si="558"/>
        <v>49902.7</v>
      </c>
      <c r="AX109" s="326">
        <f t="shared" si="559"/>
        <v>93466.25</v>
      </c>
      <c r="AY109" s="326">
        <f t="shared" ref="AY109:AZ109" si="591">AN109+AR109+AV109</f>
        <v>0</v>
      </c>
      <c r="AZ109" s="326">
        <f t="shared" si="591"/>
        <v>93466.25</v>
      </c>
      <c r="BA109" s="326">
        <f t="shared" ref="BA109:BB109" si="592">AX109+AG109</f>
        <v>96333.299999999988</v>
      </c>
      <c r="BB109" s="326">
        <f t="shared" si="592"/>
        <v>149652.70000000001</v>
      </c>
      <c r="BC109" s="326">
        <f t="shared" si="562"/>
        <v>245986</v>
      </c>
      <c r="BD109" s="325"/>
      <c r="BE109" s="326">
        <f t="shared" si="563"/>
        <v>0</v>
      </c>
      <c r="BF109" s="326">
        <f t="shared" si="564"/>
        <v>0</v>
      </c>
      <c r="BG109" s="326">
        <f t="shared" si="565"/>
        <v>0</v>
      </c>
      <c r="BH109" s="332"/>
      <c r="BI109" s="140">
        <f t="shared" si="566"/>
        <v>103099.13</v>
      </c>
      <c r="BJ109" s="326">
        <f t="shared" si="567"/>
        <v>0</v>
      </c>
      <c r="BK109" s="333">
        <f t="shared" si="568"/>
        <v>103099.13</v>
      </c>
      <c r="BL109" s="423"/>
      <c r="BM109" s="326">
        <f t="shared" si="569"/>
        <v>0</v>
      </c>
      <c r="BN109" s="326">
        <f t="shared" si="570"/>
        <v>0</v>
      </c>
      <c r="BO109" s="332">
        <f t="shared" si="571"/>
        <v>0</v>
      </c>
      <c r="BP109" s="140">
        <f t="shared" ref="BP109:BR109" si="593">SUM(BE109,BI109,BM109)</f>
        <v>103099.13</v>
      </c>
      <c r="BQ109" s="326">
        <f t="shared" si="593"/>
        <v>0</v>
      </c>
      <c r="BR109" s="437">
        <f t="shared" si="593"/>
        <v>103099.13</v>
      </c>
      <c r="BS109" s="423"/>
      <c r="BT109" s="326">
        <f>BV109-BU109</f>
        <v>0</v>
      </c>
      <c r="BU109" s="326">
        <f>IFERROR(VLOOKUP(I109,CALOALIM,12,FALSE),"")</f>
        <v>0</v>
      </c>
      <c r="BV109" s="333">
        <f>IFERROR(VLOOKUP(I109,CALOFC,12,FALSE),"")</f>
        <v>0</v>
      </c>
      <c r="BW109" s="423"/>
      <c r="BX109" s="424"/>
    </row>
    <row r="110" spans="1:114" ht="13">
      <c r="A110" s="336" t="e">
        <f>VLOOKUP(I110,CALOCARTERA,3,FALSE)</f>
        <v>#N/A</v>
      </c>
      <c r="B110" s="501" t="str">
        <f t="shared" si="527"/>
        <v/>
      </c>
      <c r="C110" s="338" t="str">
        <f t="shared" si="528"/>
        <v/>
      </c>
      <c r="D110" s="338" t="str">
        <f t="shared" si="529"/>
        <v/>
      </c>
      <c r="E110" s="502" t="str">
        <f>IFERROR(VLOOKUP(B110,DES,4,FALSE),"")</f>
        <v/>
      </c>
      <c r="F110" s="503"/>
      <c r="G110" s="338"/>
      <c r="H110" s="502"/>
      <c r="I110" s="504"/>
      <c r="J110" s="349"/>
      <c r="K110" s="340"/>
      <c r="L110" s="340"/>
      <c r="M110" s="340"/>
      <c r="N110" s="340"/>
      <c r="O110" s="340"/>
      <c r="P110" s="338"/>
      <c r="Q110" s="340"/>
      <c r="R110" s="340"/>
      <c r="S110" s="340"/>
      <c r="T110" s="340"/>
      <c r="U110" s="340"/>
      <c r="V110" s="340"/>
      <c r="W110" s="338"/>
      <c r="X110" s="340"/>
      <c r="Y110" s="340"/>
      <c r="Z110" s="340"/>
      <c r="AA110" s="340"/>
      <c r="AB110" s="340"/>
      <c r="AC110" s="340"/>
      <c r="AD110" s="338"/>
      <c r="AE110" s="505"/>
      <c r="AF110" s="340"/>
      <c r="AG110" s="506"/>
      <c r="AH110" s="506"/>
      <c r="AI110" s="506"/>
      <c r="AJ110" s="506"/>
      <c r="AK110" s="338"/>
      <c r="AL110" s="506"/>
      <c r="AM110" s="340"/>
      <c r="AN110" s="340"/>
      <c r="AO110" s="340"/>
      <c r="AP110" s="506"/>
      <c r="AQ110" s="506"/>
      <c r="AR110" s="506"/>
      <c r="AS110" s="506"/>
      <c r="AT110" s="506"/>
      <c r="AU110" s="340" t="e">
        <f t="shared" si="556"/>
        <v>#VALUE!</v>
      </c>
      <c r="AV110" s="340" t="str">
        <f t="shared" si="557"/>
        <v/>
      </c>
      <c r="AW110" s="340" t="str">
        <f t="shared" si="558"/>
        <v/>
      </c>
      <c r="AX110" s="340" t="e">
        <f t="shared" si="559"/>
        <v>#VALUE!</v>
      </c>
      <c r="AY110" s="340" t="e">
        <f t="shared" ref="AY110:AZ110" si="594">AN110+AR110+AV110</f>
        <v>#VALUE!</v>
      </c>
      <c r="AZ110" s="340" t="e">
        <f t="shared" si="594"/>
        <v>#VALUE!</v>
      </c>
      <c r="BA110" s="340" t="e">
        <f t="shared" ref="BA110:BB110" si="595">AX110+AG110</f>
        <v>#VALUE!</v>
      </c>
      <c r="BB110" s="340" t="e">
        <f t="shared" si="595"/>
        <v>#VALUE!</v>
      </c>
      <c r="BC110" s="340" t="e">
        <f t="shared" si="562"/>
        <v>#VALUE!</v>
      </c>
      <c r="BD110" s="506"/>
      <c r="BE110" s="506" t="e">
        <f t="shared" si="563"/>
        <v>#VALUE!</v>
      </c>
      <c r="BF110" s="506" t="str">
        <f t="shared" si="564"/>
        <v/>
      </c>
      <c r="BG110" s="506" t="str">
        <f t="shared" si="565"/>
        <v/>
      </c>
      <c r="BH110" s="347" t="str">
        <f>IFERROR(VLOOKUP(I110,CALO24,10,FALSE),"")</f>
        <v/>
      </c>
      <c r="BI110" s="259" t="e">
        <f t="shared" si="566"/>
        <v>#VALUE!</v>
      </c>
      <c r="BJ110" s="340" t="str">
        <f t="shared" si="567"/>
        <v/>
      </c>
      <c r="BK110" s="348" t="str">
        <f t="shared" si="568"/>
        <v/>
      </c>
      <c r="BL110" s="507" t="str">
        <f>IFERROR(VLOOKUP(I110,CALO24,11,FALSE),"")</f>
        <v/>
      </c>
      <c r="BM110" s="340" t="e">
        <f t="shared" si="569"/>
        <v>#VALUE!</v>
      </c>
      <c r="BN110" s="340" t="str">
        <f t="shared" si="570"/>
        <v/>
      </c>
      <c r="BO110" s="347" t="str">
        <f t="shared" si="571"/>
        <v/>
      </c>
      <c r="BP110" s="336" t="e">
        <f t="shared" ref="BP110:BR110" si="596">SUM(BE110,BI110,BM110)</f>
        <v>#VALUE!</v>
      </c>
      <c r="BQ110" s="506">
        <f t="shared" si="596"/>
        <v>0</v>
      </c>
      <c r="BR110" s="508">
        <f t="shared" si="596"/>
        <v>0</v>
      </c>
      <c r="BS110" s="507" t="str">
        <f>IFERROR(VLOOKUP(I110,CALO24,12,FALSE),"")</f>
        <v/>
      </c>
      <c r="BT110" s="340"/>
      <c r="BU110" s="340"/>
      <c r="BV110" s="348"/>
      <c r="BW110" s="423" t="str">
        <f>IFERROR(VLOOKUP(I110,CALO24,13,FALSE),"")</f>
        <v/>
      </c>
      <c r="BX110" s="325" t="str">
        <f>IFERROR(VLOOKUP(I110,CALO24,14,FALSE),"")</f>
        <v/>
      </c>
    </row>
    <row r="111" spans="1:114" ht="13">
      <c r="B111" s="294"/>
      <c r="C111" s="294"/>
      <c r="D111" s="294"/>
      <c r="E111" s="295"/>
      <c r="F111" s="294"/>
      <c r="G111" s="295"/>
      <c r="H111" s="295"/>
      <c r="P111" s="295"/>
      <c r="W111" s="295"/>
      <c r="AD111" s="295"/>
      <c r="AK111" s="295"/>
      <c r="BR111" s="188"/>
      <c r="BT111" s="296"/>
      <c r="BU111" s="296"/>
      <c r="BV111" s="296"/>
    </row>
    <row r="112" spans="1:114" ht="13">
      <c r="B112" s="294"/>
      <c r="C112" s="294"/>
      <c r="D112" s="294"/>
      <c r="E112" s="295"/>
      <c r="F112" s="294"/>
      <c r="G112" s="295"/>
      <c r="H112" s="295"/>
      <c r="P112" s="295"/>
      <c r="W112" s="295"/>
      <c r="AD112" s="295"/>
      <c r="AK112" s="295"/>
      <c r="BR112" s="188"/>
      <c r="BT112" s="296"/>
      <c r="BU112" s="296"/>
      <c r="BV112" s="296"/>
    </row>
    <row r="113" spans="2:74" ht="13">
      <c r="B113" s="294"/>
      <c r="C113" s="294"/>
      <c r="D113" s="294"/>
      <c r="E113" s="295"/>
      <c r="F113" s="294"/>
      <c r="G113" s="295"/>
      <c r="H113" s="295"/>
      <c r="P113" s="295"/>
      <c r="W113" s="295"/>
      <c r="AD113" s="295"/>
      <c r="AK113" s="295"/>
      <c r="BR113" s="188"/>
      <c r="BT113" s="296"/>
      <c r="BU113" s="296"/>
      <c r="BV113" s="296"/>
    </row>
    <row r="114" spans="2:74" ht="13">
      <c r="B114" s="294"/>
      <c r="C114" s="294"/>
      <c r="D114" s="294"/>
      <c r="E114" s="295"/>
      <c r="F114" s="294"/>
      <c r="G114" s="295"/>
      <c r="H114" s="295"/>
      <c r="P114" s="295"/>
      <c r="W114" s="295"/>
      <c r="AD114" s="295"/>
      <c r="AK114" s="295"/>
      <c r="BR114" s="188"/>
      <c r="BT114" s="296"/>
      <c r="BU114" s="296"/>
      <c r="BV114" s="296"/>
    </row>
    <row r="115" spans="2:74" ht="13">
      <c r="B115" s="294"/>
      <c r="C115" s="294"/>
      <c r="D115" s="294"/>
      <c r="E115" s="295"/>
      <c r="F115" s="294"/>
      <c r="G115" s="295"/>
      <c r="H115" s="295"/>
      <c r="P115" s="295"/>
      <c r="W115" s="295"/>
      <c r="AD115" s="295"/>
      <c r="AK115" s="295"/>
      <c r="BR115" s="188"/>
      <c r="BT115" s="296"/>
      <c r="BU115" s="296"/>
      <c r="BV115" s="296"/>
    </row>
    <row r="116" spans="2:74" ht="13">
      <c r="B116" s="294"/>
      <c r="C116" s="294"/>
      <c r="D116" s="294"/>
      <c r="E116" s="295"/>
      <c r="F116" s="294"/>
      <c r="G116" s="295"/>
      <c r="H116" s="295"/>
      <c r="P116" s="295"/>
      <c r="W116" s="295"/>
      <c r="AD116" s="295"/>
      <c r="AK116" s="295"/>
      <c r="BR116" s="188"/>
      <c r="BT116" s="296"/>
      <c r="BU116" s="296"/>
      <c r="BV116" s="296"/>
    </row>
    <row r="117" spans="2:74" ht="13">
      <c r="B117" s="294"/>
      <c r="C117" s="294"/>
      <c r="D117" s="294"/>
      <c r="E117" s="295"/>
      <c r="F117" s="294"/>
      <c r="G117" s="295"/>
      <c r="H117" s="295"/>
      <c r="P117" s="295"/>
      <c r="W117" s="295"/>
      <c r="AD117" s="295"/>
      <c r="AK117" s="295"/>
      <c r="BR117" s="188"/>
      <c r="BT117" s="296"/>
      <c r="BU117" s="296"/>
      <c r="BV117" s="296"/>
    </row>
    <row r="118" spans="2:74" ht="13">
      <c r="B118" s="294"/>
      <c r="C118" s="294"/>
      <c r="D118" s="294"/>
      <c r="E118" s="295"/>
      <c r="F118" s="294"/>
      <c r="G118" s="295"/>
      <c r="H118" s="295"/>
      <c r="P118" s="295"/>
      <c r="W118" s="295"/>
      <c r="AD118" s="295"/>
      <c r="AK118" s="295"/>
      <c r="BR118" s="188"/>
      <c r="BT118" s="296"/>
      <c r="BU118" s="296"/>
      <c r="BV118" s="296"/>
    </row>
    <row r="119" spans="2:74" ht="13">
      <c r="B119" s="294"/>
      <c r="C119" s="294"/>
      <c r="D119" s="294"/>
      <c r="E119" s="295"/>
      <c r="F119" s="294"/>
      <c r="G119" s="295"/>
      <c r="H119" s="295"/>
      <c r="P119" s="295"/>
      <c r="W119" s="295"/>
      <c r="AD119" s="295"/>
      <c r="AK119" s="295"/>
      <c r="BR119" s="188"/>
      <c r="BT119" s="296"/>
      <c r="BU119" s="296"/>
      <c r="BV119" s="296"/>
    </row>
    <row r="120" spans="2:74" ht="13">
      <c r="B120" s="294"/>
      <c r="C120" s="294"/>
      <c r="D120" s="294"/>
      <c r="E120" s="295"/>
      <c r="F120" s="294"/>
      <c r="G120" s="295"/>
      <c r="H120" s="295"/>
      <c r="P120" s="295"/>
      <c r="W120" s="295"/>
      <c r="AD120" s="295"/>
      <c r="AK120" s="295"/>
      <c r="BR120" s="188"/>
      <c r="BT120" s="296"/>
      <c r="BU120" s="296"/>
      <c r="BV120" s="296"/>
    </row>
    <row r="121" spans="2:74" ht="13">
      <c r="B121" s="294"/>
      <c r="C121" s="294"/>
      <c r="D121" s="294"/>
      <c r="E121" s="295"/>
      <c r="F121" s="294"/>
      <c r="G121" s="295"/>
      <c r="H121" s="295"/>
      <c r="P121" s="295"/>
      <c r="W121" s="295"/>
      <c r="AD121" s="295"/>
      <c r="AK121" s="295"/>
      <c r="BR121" s="188"/>
      <c r="BT121" s="296"/>
      <c r="BU121" s="296"/>
      <c r="BV121" s="296"/>
    </row>
    <row r="122" spans="2:74" ht="13">
      <c r="B122" s="294"/>
      <c r="C122" s="294"/>
      <c r="D122" s="294"/>
      <c r="E122" s="295"/>
      <c r="F122" s="294"/>
      <c r="G122" s="295"/>
      <c r="H122" s="295"/>
      <c r="P122" s="295"/>
      <c r="W122" s="295"/>
      <c r="AD122" s="295"/>
      <c r="AK122" s="295"/>
      <c r="BR122" s="188"/>
      <c r="BT122" s="296"/>
      <c r="BU122" s="296"/>
      <c r="BV122" s="296"/>
    </row>
    <row r="123" spans="2:74" ht="13">
      <c r="B123" s="294"/>
      <c r="C123" s="294"/>
      <c r="D123" s="294"/>
      <c r="E123" s="295"/>
      <c r="F123" s="294"/>
      <c r="G123" s="295"/>
      <c r="H123" s="295"/>
      <c r="P123" s="295"/>
      <c r="W123" s="295"/>
      <c r="AD123" s="295"/>
      <c r="AK123" s="295"/>
      <c r="BR123" s="188"/>
      <c r="BT123" s="296"/>
      <c r="BU123" s="296"/>
      <c r="BV123" s="296"/>
    </row>
    <row r="124" spans="2:74" ht="13">
      <c r="B124" s="294"/>
      <c r="C124" s="294"/>
      <c r="D124" s="294"/>
      <c r="E124" s="295"/>
      <c r="F124" s="294"/>
      <c r="G124" s="295"/>
      <c r="H124" s="295"/>
      <c r="P124" s="295"/>
      <c r="W124" s="295"/>
      <c r="AD124" s="295"/>
      <c r="AK124" s="295"/>
      <c r="BR124" s="188"/>
      <c r="BT124" s="296"/>
      <c r="BU124" s="296"/>
      <c r="BV124" s="296"/>
    </row>
    <row r="125" spans="2:74" ht="13">
      <c r="B125" s="294"/>
      <c r="C125" s="294"/>
      <c r="D125" s="294"/>
      <c r="E125" s="295"/>
      <c r="F125" s="294"/>
      <c r="G125" s="295"/>
      <c r="H125" s="295"/>
      <c r="P125" s="295"/>
      <c r="W125" s="295"/>
      <c r="AD125" s="295"/>
      <c r="AK125" s="295"/>
      <c r="BR125" s="188"/>
      <c r="BT125" s="296"/>
      <c r="BU125" s="296"/>
      <c r="BV125" s="296"/>
    </row>
    <row r="126" spans="2:74" ht="13">
      <c r="B126" s="294"/>
      <c r="C126" s="294"/>
      <c r="D126" s="294"/>
      <c r="E126" s="295"/>
      <c r="F126" s="294"/>
      <c r="G126" s="295"/>
      <c r="H126" s="295"/>
      <c r="P126" s="295"/>
      <c r="W126" s="295"/>
      <c r="AD126" s="295"/>
      <c r="AK126" s="295"/>
      <c r="BR126" s="188"/>
      <c r="BT126" s="296"/>
      <c r="BU126" s="296"/>
      <c r="BV126" s="296"/>
    </row>
    <row r="127" spans="2:74" ht="13">
      <c r="B127" s="294"/>
      <c r="C127" s="294"/>
      <c r="D127" s="294"/>
      <c r="E127" s="295"/>
      <c r="F127" s="294"/>
      <c r="G127" s="295"/>
      <c r="H127" s="295"/>
      <c r="P127" s="295"/>
      <c r="W127" s="295"/>
      <c r="AD127" s="295"/>
      <c r="AK127" s="295"/>
      <c r="BR127" s="188"/>
      <c r="BT127" s="296"/>
      <c r="BU127" s="296"/>
      <c r="BV127" s="296"/>
    </row>
    <row r="128" spans="2:74" ht="13">
      <c r="B128" s="294"/>
      <c r="C128" s="294"/>
      <c r="D128" s="294"/>
      <c r="E128" s="295"/>
      <c r="F128" s="294"/>
      <c r="G128" s="295"/>
      <c r="H128" s="295"/>
      <c r="P128" s="295"/>
      <c r="W128" s="295"/>
      <c r="AD128" s="295"/>
      <c r="AK128" s="295"/>
      <c r="BR128" s="188"/>
      <c r="BT128" s="296"/>
      <c r="BU128" s="296"/>
      <c r="BV128" s="296"/>
    </row>
    <row r="129" spans="2:74" ht="13">
      <c r="B129" s="294"/>
      <c r="C129" s="294"/>
      <c r="D129" s="294"/>
      <c r="E129" s="295"/>
      <c r="F129" s="294"/>
      <c r="G129" s="295"/>
      <c r="H129" s="295"/>
      <c r="P129" s="295"/>
      <c r="W129" s="295"/>
      <c r="AD129" s="295"/>
      <c r="AK129" s="295"/>
      <c r="BR129" s="188"/>
      <c r="BT129" s="296"/>
      <c r="BU129" s="296"/>
      <c r="BV129" s="296"/>
    </row>
    <row r="130" spans="2:74" ht="13">
      <c r="B130" s="294"/>
      <c r="C130" s="294"/>
      <c r="D130" s="294"/>
      <c r="E130" s="295"/>
      <c r="F130" s="294"/>
      <c r="G130" s="295"/>
      <c r="H130" s="295"/>
      <c r="P130" s="295"/>
      <c r="W130" s="295"/>
      <c r="AD130" s="295"/>
      <c r="AK130" s="295"/>
      <c r="BR130" s="188"/>
      <c r="BT130" s="296"/>
      <c r="BU130" s="296"/>
      <c r="BV130" s="296"/>
    </row>
    <row r="131" spans="2:74" ht="13">
      <c r="B131" s="294"/>
      <c r="C131" s="294"/>
      <c r="D131" s="294"/>
      <c r="E131" s="295"/>
      <c r="F131" s="294"/>
      <c r="G131" s="295"/>
      <c r="H131" s="295"/>
      <c r="P131" s="295"/>
      <c r="W131" s="295"/>
      <c r="AD131" s="295"/>
      <c r="AK131" s="295"/>
      <c r="BR131" s="188"/>
      <c r="BT131" s="296"/>
      <c r="BU131" s="296"/>
      <c r="BV131" s="296"/>
    </row>
    <row r="132" spans="2:74" ht="13">
      <c r="B132" s="294"/>
      <c r="C132" s="294"/>
      <c r="D132" s="294"/>
      <c r="E132" s="295"/>
      <c r="F132" s="294"/>
      <c r="G132" s="295"/>
      <c r="H132" s="295"/>
      <c r="P132" s="295"/>
      <c r="W132" s="295"/>
      <c r="AD132" s="295"/>
      <c r="AK132" s="295"/>
      <c r="BR132" s="188"/>
      <c r="BT132" s="296"/>
      <c r="BU132" s="296"/>
      <c r="BV132" s="296"/>
    </row>
    <row r="133" spans="2:74" ht="13">
      <c r="B133" s="294"/>
      <c r="C133" s="294"/>
      <c r="D133" s="294"/>
      <c r="E133" s="295"/>
      <c r="F133" s="294"/>
      <c r="G133" s="295"/>
      <c r="H133" s="295"/>
      <c r="P133" s="295"/>
      <c r="W133" s="295"/>
      <c r="AD133" s="295"/>
      <c r="AK133" s="295"/>
      <c r="BR133" s="188"/>
      <c r="BT133" s="296"/>
      <c r="BU133" s="296"/>
      <c r="BV133" s="296"/>
    </row>
    <row r="134" spans="2:74" ht="13">
      <c r="B134" s="294"/>
      <c r="C134" s="294"/>
      <c r="D134" s="294"/>
      <c r="E134" s="295"/>
      <c r="F134" s="294"/>
      <c r="G134" s="295"/>
      <c r="H134" s="295"/>
      <c r="P134" s="295"/>
      <c r="W134" s="295"/>
      <c r="AD134" s="295"/>
      <c r="AK134" s="295"/>
      <c r="BR134" s="188"/>
      <c r="BT134" s="296"/>
      <c r="BU134" s="296"/>
      <c r="BV134" s="296"/>
    </row>
    <row r="135" spans="2:74" ht="13">
      <c r="B135" s="294"/>
      <c r="C135" s="294"/>
      <c r="D135" s="294"/>
      <c r="E135" s="295"/>
      <c r="F135" s="294"/>
      <c r="G135" s="295"/>
      <c r="H135" s="295"/>
      <c r="P135" s="295"/>
      <c r="W135" s="295"/>
      <c r="AD135" s="295"/>
      <c r="AK135" s="295"/>
      <c r="BR135" s="188"/>
      <c r="BT135" s="296"/>
      <c r="BU135" s="296"/>
      <c r="BV135" s="296"/>
    </row>
    <row r="136" spans="2:74" ht="13">
      <c r="B136" s="294"/>
      <c r="C136" s="294"/>
      <c r="D136" s="294"/>
      <c r="E136" s="295"/>
      <c r="F136" s="294"/>
      <c r="G136" s="295"/>
      <c r="H136" s="295"/>
      <c r="P136" s="295"/>
      <c r="W136" s="295"/>
      <c r="AD136" s="295"/>
      <c r="AK136" s="295"/>
      <c r="BR136" s="188"/>
      <c r="BT136" s="296"/>
      <c r="BU136" s="296"/>
      <c r="BV136" s="296"/>
    </row>
    <row r="137" spans="2:74" ht="13">
      <c r="B137" s="294"/>
      <c r="C137" s="294"/>
      <c r="D137" s="294"/>
      <c r="E137" s="295"/>
      <c r="F137" s="294"/>
      <c r="G137" s="295"/>
      <c r="H137" s="295"/>
      <c r="P137" s="295"/>
      <c r="W137" s="295"/>
      <c r="AD137" s="295"/>
      <c r="AK137" s="295"/>
      <c r="BR137" s="188"/>
      <c r="BT137" s="296"/>
      <c r="BU137" s="296"/>
      <c r="BV137" s="296"/>
    </row>
    <row r="138" spans="2:74" ht="13">
      <c r="B138" s="294"/>
      <c r="C138" s="294"/>
      <c r="D138" s="294"/>
      <c r="E138" s="295"/>
      <c r="F138" s="294"/>
      <c r="G138" s="295"/>
      <c r="H138" s="295"/>
      <c r="P138" s="295"/>
      <c r="W138" s="295"/>
      <c r="AD138" s="295"/>
      <c r="AK138" s="295"/>
      <c r="BR138" s="188"/>
      <c r="BT138" s="296"/>
      <c r="BU138" s="296"/>
      <c r="BV138" s="296"/>
    </row>
    <row r="139" spans="2:74" ht="13">
      <c r="B139" s="294"/>
      <c r="C139" s="294"/>
      <c r="D139" s="294"/>
      <c r="E139" s="295"/>
      <c r="F139" s="294"/>
      <c r="G139" s="295"/>
      <c r="H139" s="295"/>
      <c r="P139" s="295"/>
      <c r="W139" s="295"/>
      <c r="AD139" s="295"/>
      <c r="AK139" s="295"/>
      <c r="BR139" s="188"/>
      <c r="BT139" s="296"/>
      <c r="BU139" s="296"/>
      <c r="BV139" s="296"/>
    </row>
    <row r="140" spans="2:74" ht="13">
      <c r="B140" s="294"/>
      <c r="C140" s="294"/>
      <c r="D140" s="294"/>
      <c r="E140" s="295"/>
      <c r="F140" s="294"/>
      <c r="G140" s="295"/>
      <c r="H140" s="295"/>
      <c r="P140" s="295"/>
      <c r="W140" s="295"/>
      <c r="AD140" s="295"/>
      <c r="AK140" s="295"/>
      <c r="BR140" s="188"/>
      <c r="BT140" s="296"/>
      <c r="BU140" s="296"/>
      <c r="BV140" s="296"/>
    </row>
    <row r="141" spans="2:74" ht="13">
      <c r="B141" s="294"/>
      <c r="C141" s="294"/>
      <c r="D141" s="294"/>
      <c r="E141" s="295"/>
      <c r="F141" s="294"/>
      <c r="G141" s="295"/>
      <c r="H141" s="295"/>
      <c r="P141" s="295"/>
      <c r="W141" s="295"/>
      <c r="AD141" s="295"/>
      <c r="AK141" s="295"/>
      <c r="BR141" s="188"/>
      <c r="BT141" s="296"/>
      <c r="BU141" s="296"/>
      <c r="BV141" s="296"/>
    </row>
    <row r="142" spans="2:74" ht="13">
      <c r="B142" s="294"/>
      <c r="C142" s="294"/>
      <c r="D142" s="294"/>
      <c r="E142" s="295"/>
      <c r="F142" s="294"/>
      <c r="G142" s="295"/>
      <c r="H142" s="295"/>
      <c r="P142" s="295"/>
      <c r="W142" s="295"/>
      <c r="AD142" s="295"/>
      <c r="AK142" s="295"/>
      <c r="BR142" s="188"/>
      <c r="BT142" s="296"/>
      <c r="BU142" s="296"/>
      <c r="BV142" s="296"/>
    </row>
    <row r="143" spans="2:74" ht="13">
      <c r="B143" s="294"/>
      <c r="C143" s="294"/>
      <c r="D143" s="294"/>
      <c r="E143" s="295"/>
      <c r="F143" s="294"/>
      <c r="G143" s="295"/>
      <c r="H143" s="295"/>
      <c r="P143" s="295"/>
      <c r="W143" s="295"/>
      <c r="AD143" s="295"/>
      <c r="AK143" s="295"/>
      <c r="BR143" s="188"/>
      <c r="BT143" s="296"/>
      <c r="BU143" s="296"/>
      <c r="BV143" s="296"/>
    </row>
    <row r="144" spans="2:74" ht="13">
      <c r="B144" s="294"/>
      <c r="C144" s="294"/>
      <c r="D144" s="294"/>
      <c r="E144" s="295"/>
      <c r="F144" s="294"/>
      <c r="G144" s="295"/>
      <c r="H144" s="295"/>
      <c r="P144" s="295"/>
      <c r="W144" s="295"/>
      <c r="AD144" s="295"/>
      <c r="AK144" s="295"/>
      <c r="BR144" s="188"/>
      <c r="BT144" s="296"/>
      <c r="BU144" s="296"/>
      <c r="BV144" s="296"/>
    </row>
    <row r="145" spans="2:114" ht="13">
      <c r="B145" s="294"/>
      <c r="C145" s="294"/>
      <c r="D145" s="294"/>
      <c r="E145" s="295"/>
      <c r="F145" s="294"/>
      <c r="G145" s="295"/>
      <c r="H145" s="295"/>
      <c r="P145" s="295"/>
      <c r="W145" s="295"/>
      <c r="AD145" s="295"/>
      <c r="AK145" s="295"/>
      <c r="BR145" s="188"/>
      <c r="BT145" s="296"/>
      <c r="BU145" s="296"/>
      <c r="BV145" s="296"/>
    </row>
    <row r="146" spans="2:114" ht="13">
      <c r="B146" s="294"/>
      <c r="C146" s="294"/>
      <c r="D146" s="294"/>
      <c r="E146" s="295"/>
      <c r="F146" s="294"/>
      <c r="G146" s="295"/>
      <c r="H146" s="295"/>
      <c r="P146" s="295"/>
      <c r="W146" s="295"/>
      <c r="AD146" s="295"/>
      <c r="AK146" s="295"/>
      <c r="BR146" s="188"/>
      <c r="BT146" s="296"/>
      <c r="BU146" s="296"/>
      <c r="BV146" s="296"/>
    </row>
    <row r="147" spans="2:114" ht="13">
      <c r="B147" s="294"/>
      <c r="C147" s="294"/>
      <c r="D147" s="294"/>
      <c r="E147" s="295"/>
      <c r="F147" s="294"/>
      <c r="G147" s="295"/>
      <c r="H147" s="295"/>
      <c r="P147" s="295"/>
      <c r="W147" s="295"/>
      <c r="AD147" s="295"/>
      <c r="AK147" s="295"/>
      <c r="BR147" s="188"/>
      <c r="BT147" s="296"/>
      <c r="BU147" s="296"/>
      <c r="BV147" s="296"/>
    </row>
    <row r="148" spans="2:114" ht="13">
      <c r="B148" s="294"/>
      <c r="C148" s="294"/>
      <c r="D148" s="294"/>
      <c r="E148" s="295"/>
      <c r="F148" s="294"/>
      <c r="G148" s="295"/>
      <c r="H148" s="295"/>
      <c r="P148" s="295"/>
      <c r="W148" s="295"/>
      <c r="AD148" s="295"/>
      <c r="AK148" s="295"/>
      <c r="BR148" s="188"/>
      <c r="BT148" s="296"/>
      <c r="BU148" s="296"/>
      <c r="BV148" s="296"/>
    </row>
    <row r="149" spans="2:114" ht="13">
      <c r="B149" s="294"/>
      <c r="C149" s="294"/>
      <c r="D149" s="294"/>
      <c r="E149" s="295"/>
      <c r="F149" s="294"/>
      <c r="G149" s="295"/>
      <c r="H149" s="295"/>
      <c r="P149" s="295"/>
      <c r="W149" s="295"/>
      <c r="AD149" s="295"/>
      <c r="AK149" s="295"/>
      <c r="BR149" s="188"/>
      <c r="BT149" s="296"/>
      <c r="BU149" s="296"/>
      <c r="BV149" s="296"/>
    </row>
    <row r="150" spans="2:114" ht="13">
      <c r="B150" s="294"/>
      <c r="C150" s="294"/>
      <c r="D150" s="294"/>
      <c r="E150" s="295"/>
      <c r="F150" s="294"/>
      <c r="G150" s="295"/>
      <c r="H150" s="295"/>
      <c r="P150" s="295"/>
      <c r="W150" s="295"/>
      <c r="AD150" s="295"/>
      <c r="AK150" s="295"/>
      <c r="BR150" s="188"/>
      <c r="BT150" s="296"/>
      <c r="BU150" s="296"/>
      <c r="BV150" s="296"/>
    </row>
    <row r="151" spans="2:114" ht="13">
      <c r="B151" s="294"/>
      <c r="C151" s="294"/>
      <c r="D151" s="294"/>
      <c r="E151" s="295"/>
      <c r="F151" s="294"/>
      <c r="G151" s="295"/>
      <c r="H151" s="295"/>
      <c r="P151" s="295"/>
      <c r="W151" s="295"/>
      <c r="AD151" s="295"/>
      <c r="AK151" s="295"/>
      <c r="BR151" s="188"/>
      <c r="BT151" s="296"/>
      <c r="BU151" s="296"/>
      <c r="BV151" s="296"/>
    </row>
    <row r="152" spans="2:114" ht="13">
      <c r="B152" s="294"/>
      <c r="C152" s="294"/>
      <c r="D152" s="294"/>
      <c r="E152" s="295"/>
      <c r="F152" s="294"/>
      <c r="G152" s="295"/>
      <c r="H152" s="295"/>
      <c r="P152" s="295"/>
      <c r="W152" s="295"/>
      <c r="AD152" s="295"/>
      <c r="AK152" s="295"/>
      <c r="BR152" s="188"/>
      <c r="BT152" s="296"/>
      <c r="BU152" s="296"/>
      <c r="BV152" s="296"/>
    </row>
    <row r="153" spans="2:114" ht="13">
      <c r="B153" s="294"/>
      <c r="C153" s="294"/>
      <c r="D153" s="294"/>
      <c r="E153" s="295"/>
      <c r="F153" s="294"/>
      <c r="G153" s="295"/>
      <c r="H153" s="295"/>
      <c r="P153" s="295"/>
      <c r="W153" s="295"/>
      <c r="AD153" s="295"/>
      <c r="AK153" s="295"/>
      <c r="BR153" s="188"/>
      <c r="BT153" s="296"/>
      <c r="BU153" s="296"/>
      <c r="BV153" s="296"/>
    </row>
    <row r="154" spans="2:114" ht="13">
      <c r="B154" s="294"/>
      <c r="C154" s="294"/>
      <c r="D154" s="294"/>
      <c r="E154" s="295"/>
      <c r="F154" s="294"/>
      <c r="G154" s="295"/>
      <c r="H154" s="295"/>
      <c r="P154" s="295"/>
      <c r="W154" s="295"/>
      <c r="AD154" s="295"/>
      <c r="AK154" s="295"/>
      <c r="BR154" s="188"/>
      <c r="BT154" s="296"/>
      <c r="BU154" s="296"/>
      <c r="BV154" s="296"/>
    </row>
    <row r="155" spans="2:114" ht="13">
      <c r="B155" s="294"/>
      <c r="C155" s="294"/>
      <c r="D155" s="294"/>
      <c r="E155" s="295"/>
      <c r="F155" s="294"/>
      <c r="G155" s="295"/>
      <c r="H155" s="295"/>
      <c r="P155" s="295"/>
      <c r="W155" s="295"/>
      <c r="AD155" s="295"/>
      <c r="AK155" s="295"/>
      <c r="BR155" s="188"/>
      <c r="BT155" s="296"/>
      <c r="BU155" s="296"/>
      <c r="BV155" s="296"/>
      <c r="CY155" s="352">
        <f>CY159-AB100</f>
        <v>0</v>
      </c>
      <c r="CZ155" s="352">
        <f>CZ159-AO100</f>
        <v>-3.0000030994415283E-2</v>
      </c>
      <c r="DA155" s="352">
        <f>DA159-AS100</f>
        <v>-2.0000040531158447E-2</v>
      </c>
      <c r="DB155" s="352">
        <f>DB159-AW100</f>
        <v>-5.9999972581863403E-2</v>
      </c>
      <c r="DC155" s="352">
        <f>DC159-BG100</f>
        <v>3.0000001192092896E-2</v>
      </c>
      <c r="DD155" s="352">
        <f>DD159-BK100</f>
        <v>-2.0000025629997253E-2</v>
      </c>
      <c r="DE155" s="352">
        <f>DE159-BO100</f>
        <v>0</v>
      </c>
      <c r="DF155" s="352">
        <f>DF159-BV100</f>
        <v>-1.9999951124191284E-2</v>
      </c>
    </row>
    <row r="156" spans="2:114" ht="13">
      <c r="B156" s="294"/>
      <c r="C156" s="294"/>
      <c r="D156" s="294"/>
      <c r="E156" s="295"/>
      <c r="F156" s="294"/>
      <c r="G156" s="295"/>
      <c r="H156" s="295"/>
      <c r="P156" s="295"/>
      <c r="W156" s="295"/>
      <c r="AD156" s="295"/>
      <c r="AK156" s="295"/>
      <c r="BR156" s="188"/>
      <c r="BT156" s="296"/>
      <c r="BU156" s="296"/>
      <c r="BV156" s="296"/>
      <c r="CT156" s="509">
        <v>0</v>
      </c>
      <c r="CU156" s="354">
        <v>1</v>
      </c>
      <c r="CV156" s="354">
        <v>2</v>
      </c>
      <c r="CW156" s="354">
        <v>3</v>
      </c>
      <c r="CX156" s="354">
        <v>4</v>
      </c>
      <c r="CY156" s="354">
        <v>5</v>
      </c>
      <c r="CZ156" s="354">
        <v>6</v>
      </c>
      <c r="DA156" s="354">
        <v>7</v>
      </c>
      <c r="DB156" s="354">
        <v>8</v>
      </c>
      <c r="DC156" s="354">
        <v>9</v>
      </c>
      <c r="DD156" s="354">
        <v>10</v>
      </c>
      <c r="DE156" s="354">
        <v>11</v>
      </c>
      <c r="DF156" s="354">
        <v>12</v>
      </c>
      <c r="DG156" s="354">
        <v>13</v>
      </c>
      <c r="DH156" s="354">
        <v>14</v>
      </c>
      <c r="DI156" s="354">
        <v>15</v>
      </c>
      <c r="DJ156" s="355">
        <v>16</v>
      </c>
    </row>
    <row r="157" spans="2:114" ht="13">
      <c r="B157" s="294"/>
      <c r="C157" s="294"/>
      <c r="D157" s="294"/>
      <c r="E157" s="295"/>
      <c r="F157" s="294"/>
      <c r="G157" s="295"/>
      <c r="H157" s="295"/>
      <c r="P157" s="295"/>
      <c r="W157" s="295"/>
      <c r="AD157" s="295"/>
      <c r="AK157" s="295"/>
      <c r="BR157" s="188"/>
      <c r="BT157" s="296"/>
      <c r="BU157" s="296"/>
      <c r="BV157" s="296"/>
      <c r="CT157" s="510"/>
      <c r="CW157" s="357">
        <v>45658</v>
      </c>
      <c r="CX157" s="357">
        <v>45689</v>
      </c>
      <c r="CY157" s="357">
        <v>45717</v>
      </c>
      <c r="CZ157" s="357">
        <v>45748</v>
      </c>
      <c r="DA157" s="357">
        <v>45778</v>
      </c>
      <c r="DB157" s="357">
        <v>45809</v>
      </c>
      <c r="DC157" s="357">
        <v>45839</v>
      </c>
      <c r="DD157" s="357">
        <v>45870</v>
      </c>
      <c r="DE157" s="357">
        <v>45901</v>
      </c>
      <c r="DF157" s="357">
        <v>45931</v>
      </c>
      <c r="DG157" s="357">
        <v>45962</v>
      </c>
      <c r="DH157" s="357">
        <v>45992</v>
      </c>
      <c r="DI157" s="357"/>
      <c r="DJ157" s="358"/>
    </row>
    <row r="158" spans="2:114" ht="13">
      <c r="B158" s="294"/>
      <c r="C158" s="294"/>
      <c r="D158" s="294"/>
      <c r="E158" s="295"/>
      <c r="F158" s="294"/>
      <c r="G158" s="295"/>
      <c r="H158" s="295"/>
      <c r="P158" s="295"/>
      <c r="W158" s="295"/>
      <c r="AD158" s="295"/>
      <c r="AK158" s="295"/>
      <c r="BR158" s="188"/>
      <c r="BT158" s="296"/>
      <c r="BU158" s="296"/>
      <c r="BV158" s="296"/>
      <c r="CT158" s="510"/>
      <c r="CU158" s="511"/>
      <c r="CV158" s="377" t="s">
        <v>241</v>
      </c>
      <c r="CW158" s="360">
        <v>45658</v>
      </c>
      <c r="CX158" s="360">
        <v>45689</v>
      </c>
      <c r="CY158" s="360">
        <v>45717</v>
      </c>
      <c r="CZ158" s="360">
        <v>45748</v>
      </c>
      <c r="DA158" s="360">
        <v>45778</v>
      </c>
      <c r="DB158" s="360">
        <v>45809</v>
      </c>
      <c r="DC158" s="360">
        <v>45839</v>
      </c>
      <c r="DD158" s="360">
        <v>45870</v>
      </c>
      <c r="DE158" s="360">
        <v>45901</v>
      </c>
      <c r="DF158" s="360">
        <v>45931</v>
      </c>
      <c r="DG158" s="360"/>
      <c r="DH158" s="360"/>
      <c r="DI158" s="357"/>
      <c r="DJ158" s="358"/>
    </row>
    <row r="159" spans="2:114" ht="13">
      <c r="B159" s="294"/>
      <c r="C159" s="294"/>
      <c r="D159" s="294"/>
      <c r="E159" s="295"/>
      <c r="F159" s="294"/>
      <c r="G159" s="295"/>
      <c r="H159" s="295"/>
      <c r="P159" s="295"/>
      <c r="W159" s="295"/>
      <c r="AD159" s="295"/>
      <c r="AK159" s="295"/>
      <c r="BR159" s="188"/>
      <c r="BT159" s="296"/>
      <c r="BU159" s="296"/>
      <c r="BV159" s="296"/>
      <c r="CT159" s="510"/>
      <c r="CU159" s="359" t="s">
        <v>241</v>
      </c>
      <c r="CV159" s="361">
        <v>1445391602.4000001</v>
      </c>
      <c r="CW159" s="361">
        <v>158787612.91</v>
      </c>
      <c r="CX159" s="361">
        <v>150040924.30000001</v>
      </c>
      <c r="CY159" s="361">
        <v>130619230.06</v>
      </c>
      <c r="CZ159" s="361">
        <v>131100757.04000001</v>
      </c>
      <c r="DA159" s="361">
        <v>130592910.3</v>
      </c>
      <c r="DB159" s="361">
        <v>122220614.33</v>
      </c>
      <c r="DC159" s="361">
        <v>138216619.75999999</v>
      </c>
      <c r="DD159" s="361">
        <v>123657468.84999999</v>
      </c>
      <c r="DE159" s="361">
        <v>130935693.7</v>
      </c>
      <c r="DF159" s="361">
        <v>229219771.15000001</v>
      </c>
      <c r="DG159" s="361"/>
      <c r="DH159" s="361"/>
      <c r="DI159" s="361"/>
      <c r="DJ159" s="362"/>
    </row>
    <row r="160" spans="2:114" ht="13">
      <c r="B160" s="294"/>
      <c r="C160" s="294"/>
      <c r="D160" s="294"/>
      <c r="E160" s="295"/>
      <c r="F160" s="294"/>
      <c r="G160" s="295"/>
      <c r="H160" s="295"/>
      <c r="P160" s="295"/>
      <c r="W160" s="295"/>
      <c r="AD160" s="295"/>
      <c r="AK160" s="295"/>
      <c r="BR160" s="188"/>
      <c r="BT160" s="296"/>
      <c r="BU160" s="296"/>
      <c r="BV160" s="296"/>
      <c r="CT160" s="510">
        <v>1</v>
      </c>
      <c r="CU160" s="359" t="s">
        <v>262</v>
      </c>
      <c r="CV160" s="361">
        <v>342983642.38999999</v>
      </c>
      <c r="CW160" s="361">
        <v>32728328.16</v>
      </c>
      <c r="CX160" s="361">
        <v>33290143.73</v>
      </c>
      <c r="CY160" s="361">
        <v>33568953.289999999</v>
      </c>
      <c r="CZ160" s="361">
        <v>32951737.219999999</v>
      </c>
      <c r="DA160" s="361">
        <v>33792251.07</v>
      </c>
      <c r="DB160" s="361">
        <v>25548485.789999999</v>
      </c>
      <c r="DC160" s="361">
        <v>35512649.039999999</v>
      </c>
      <c r="DD160" s="361">
        <v>25876974.699999999</v>
      </c>
      <c r="DE160" s="361">
        <v>25822220.109999999</v>
      </c>
      <c r="DF160" s="361">
        <v>63891899.270000003</v>
      </c>
      <c r="DG160" s="361"/>
      <c r="DH160" s="361"/>
      <c r="DI160" s="361"/>
      <c r="DJ160" s="362"/>
    </row>
    <row r="161" spans="2:114" ht="13">
      <c r="B161" s="294"/>
      <c r="C161" s="294"/>
      <c r="D161" s="294"/>
      <c r="E161" s="295"/>
      <c r="F161" s="294"/>
      <c r="G161" s="295"/>
      <c r="H161" s="295"/>
      <c r="P161" s="295"/>
      <c r="W161" s="295"/>
      <c r="AD161" s="295"/>
      <c r="AK161" s="295"/>
      <c r="BR161" s="188"/>
      <c r="BT161" s="296"/>
      <c r="BU161" s="296"/>
      <c r="BV161" s="296"/>
      <c r="CT161" s="510">
        <v>2</v>
      </c>
      <c r="CU161" s="359" t="s">
        <v>259</v>
      </c>
      <c r="CV161" s="361">
        <v>137095531.81</v>
      </c>
      <c r="CW161" s="361">
        <v>19337140.82</v>
      </c>
      <c r="CX161" s="361">
        <v>12479051.029999999</v>
      </c>
      <c r="CY161" s="361">
        <v>10926727.48</v>
      </c>
      <c r="CZ161" s="361">
        <v>15164792.4</v>
      </c>
      <c r="DA161" s="361">
        <v>4311003.7699999996</v>
      </c>
      <c r="DB161" s="361">
        <v>15249633.08</v>
      </c>
      <c r="DC161" s="361">
        <v>10179129.5</v>
      </c>
      <c r="DD161" s="361">
        <v>18114658.390000001</v>
      </c>
      <c r="DE161" s="361">
        <v>10243337.789999999</v>
      </c>
      <c r="DF161" s="361">
        <v>21090057.559999999</v>
      </c>
      <c r="DG161" s="361"/>
      <c r="DH161" s="361"/>
      <c r="DI161" s="361"/>
      <c r="DJ161" s="362"/>
    </row>
    <row r="162" spans="2:114" ht="13">
      <c r="B162" s="294"/>
      <c r="C162" s="294"/>
      <c r="D162" s="294"/>
      <c r="E162" s="295"/>
      <c r="F162" s="294"/>
      <c r="G162" s="295"/>
      <c r="H162" s="295"/>
      <c r="P162" s="295"/>
      <c r="W162" s="295"/>
      <c r="AD162" s="295"/>
      <c r="AK162" s="295"/>
      <c r="BR162" s="188"/>
      <c r="BT162" s="296"/>
      <c r="BU162" s="296"/>
      <c r="BV162" s="296"/>
      <c r="CT162" s="510">
        <v>3</v>
      </c>
      <c r="CU162" s="359" t="s">
        <v>264</v>
      </c>
      <c r="CV162" s="361">
        <v>46853568.009999998</v>
      </c>
      <c r="CW162" s="361">
        <v>7220885.3899999997</v>
      </c>
      <c r="CX162" s="361">
        <v>6109913.04</v>
      </c>
      <c r="CY162" s="361">
        <v>6470783.3600000003</v>
      </c>
      <c r="CZ162" s="361">
        <v>0</v>
      </c>
      <c r="DA162" s="361">
        <v>2481203.58</v>
      </c>
      <c r="DB162" s="361">
        <v>0</v>
      </c>
      <c r="DC162" s="361">
        <v>0</v>
      </c>
      <c r="DD162" s="361">
        <v>0</v>
      </c>
      <c r="DE162" s="361">
        <v>8573640.8000000007</v>
      </c>
      <c r="DF162" s="361">
        <v>15997141.84</v>
      </c>
      <c r="DG162" s="361"/>
      <c r="DH162" s="361"/>
      <c r="DI162" s="361"/>
      <c r="DJ162" s="362"/>
    </row>
    <row r="163" spans="2:114" ht="13">
      <c r="B163" s="294"/>
      <c r="C163" s="294"/>
      <c r="D163" s="294"/>
      <c r="E163" s="295"/>
      <c r="F163" s="294"/>
      <c r="G163" s="295"/>
      <c r="H163" s="295"/>
      <c r="P163" s="295"/>
      <c r="W163" s="295"/>
      <c r="AD163" s="295"/>
      <c r="AK163" s="295"/>
      <c r="BR163" s="188"/>
      <c r="BT163" s="296"/>
      <c r="BU163" s="296"/>
      <c r="BV163" s="296"/>
      <c r="CT163" s="510">
        <v>4</v>
      </c>
      <c r="CU163" s="359" t="s">
        <v>261</v>
      </c>
      <c r="CV163" s="361">
        <v>62831869.359999999</v>
      </c>
      <c r="CW163" s="361">
        <v>5326337.79</v>
      </c>
      <c r="CX163" s="361">
        <v>6708226.5300000003</v>
      </c>
      <c r="CY163" s="361">
        <v>5703210.25</v>
      </c>
      <c r="CZ163" s="361">
        <v>3846566.58</v>
      </c>
      <c r="DA163" s="361">
        <v>5777752.4500000002</v>
      </c>
      <c r="DB163" s="361">
        <v>6174199.1200000001</v>
      </c>
      <c r="DC163" s="361">
        <v>7247519.7300000004</v>
      </c>
      <c r="DD163" s="361">
        <v>4006786.58</v>
      </c>
      <c r="DE163" s="361">
        <v>5123053.6900000004</v>
      </c>
      <c r="DF163" s="361">
        <v>12918216.65</v>
      </c>
      <c r="DG163" s="361"/>
      <c r="DH163" s="361"/>
      <c r="DI163" s="361"/>
      <c r="DJ163" s="362"/>
    </row>
    <row r="164" spans="2:114" ht="13">
      <c r="B164" s="294"/>
      <c r="C164" s="294"/>
      <c r="D164" s="294"/>
      <c r="E164" s="295"/>
      <c r="F164" s="294"/>
      <c r="G164" s="295"/>
      <c r="H164" s="295"/>
      <c r="P164" s="295"/>
      <c r="W164" s="295"/>
      <c r="AD164" s="295"/>
      <c r="AK164" s="295"/>
      <c r="BR164" s="188"/>
      <c r="BT164" s="296"/>
      <c r="BU164" s="296"/>
      <c r="BV164" s="296"/>
      <c r="CT164" s="510">
        <v>5</v>
      </c>
      <c r="CU164" s="359" t="s">
        <v>267</v>
      </c>
      <c r="CV164" s="361">
        <v>31002901.32</v>
      </c>
      <c r="CW164" s="361">
        <v>227302.72</v>
      </c>
      <c r="CX164" s="361">
        <v>4310553.57</v>
      </c>
      <c r="CY164" s="361">
        <v>2197964.0099999998</v>
      </c>
      <c r="CZ164" s="361">
        <v>2067273.6</v>
      </c>
      <c r="DA164" s="361">
        <v>1648292.85</v>
      </c>
      <c r="DB164" s="361">
        <v>2177050.42</v>
      </c>
      <c r="DC164" s="361">
        <v>3492835.48</v>
      </c>
      <c r="DD164" s="361">
        <v>1869735.76</v>
      </c>
      <c r="DE164" s="361">
        <v>4785062.74</v>
      </c>
      <c r="DF164" s="361">
        <v>8226830.1699999999</v>
      </c>
      <c r="DG164" s="361"/>
      <c r="DH164" s="361"/>
      <c r="DI164" s="361"/>
      <c r="DJ164" s="362"/>
    </row>
    <row r="165" spans="2:114" ht="13">
      <c r="B165" s="294"/>
      <c r="C165" s="294"/>
      <c r="D165" s="294"/>
      <c r="E165" s="295"/>
      <c r="F165" s="294"/>
      <c r="G165" s="295"/>
      <c r="H165" s="295"/>
      <c r="P165" s="295"/>
      <c r="W165" s="295"/>
      <c r="AD165" s="295"/>
      <c r="AK165" s="295"/>
      <c r="BR165" s="188"/>
      <c r="BT165" s="296"/>
      <c r="BU165" s="296"/>
      <c r="BV165" s="296"/>
      <c r="CT165" s="510">
        <v>6</v>
      </c>
      <c r="CU165" s="359" t="s">
        <v>291</v>
      </c>
      <c r="CV165" s="361">
        <v>73525231.530000001</v>
      </c>
      <c r="CW165" s="361">
        <v>4697479.8600000003</v>
      </c>
      <c r="CX165" s="361">
        <v>4959810.12</v>
      </c>
      <c r="CY165" s="361">
        <v>11030388.75</v>
      </c>
      <c r="CZ165" s="361">
        <v>3237999.12</v>
      </c>
      <c r="DA165" s="361">
        <v>6629311.6100000003</v>
      </c>
      <c r="DB165" s="361">
        <v>6987600.54</v>
      </c>
      <c r="DC165" s="361">
        <v>12354744.33</v>
      </c>
      <c r="DD165" s="361">
        <v>5137849.5</v>
      </c>
      <c r="DE165" s="361">
        <v>10469742.109999999</v>
      </c>
      <c r="DF165" s="361">
        <v>8020305.5800000001</v>
      </c>
      <c r="DG165" s="361"/>
      <c r="DH165" s="361"/>
      <c r="DI165" s="361"/>
      <c r="DJ165" s="362"/>
    </row>
    <row r="166" spans="2:114" ht="13">
      <c r="B166" s="294"/>
      <c r="C166" s="294"/>
      <c r="D166" s="294"/>
      <c r="E166" s="295"/>
      <c r="F166" s="294"/>
      <c r="G166" s="295"/>
      <c r="H166" s="295"/>
      <c r="P166" s="295"/>
      <c r="W166" s="295"/>
      <c r="AD166" s="295"/>
      <c r="AK166" s="295"/>
      <c r="BR166" s="188"/>
      <c r="BT166" s="296"/>
      <c r="BU166" s="296"/>
      <c r="BV166" s="296"/>
      <c r="CT166" s="510">
        <v>7</v>
      </c>
      <c r="CU166" s="359" t="s">
        <v>302</v>
      </c>
      <c r="CV166" s="361">
        <v>36375778.869999997</v>
      </c>
      <c r="CW166" s="361">
        <v>3388784.51</v>
      </c>
      <c r="CX166" s="361">
        <v>3361993.21</v>
      </c>
      <c r="CY166" s="361">
        <v>3116371.75</v>
      </c>
      <c r="CZ166" s="361">
        <v>3624943.28</v>
      </c>
      <c r="DA166" s="361">
        <v>3784850.99</v>
      </c>
      <c r="DB166" s="361">
        <v>2105184.19</v>
      </c>
      <c r="DC166" s="361">
        <v>2992499.42</v>
      </c>
      <c r="DD166" s="361">
        <v>3733247.06</v>
      </c>
      <c r="DE166" s="361">
        <v>2876663.1</v>
      </c>
      <c r="DF166" s="361">
        <v>7391241.3600000003</v>
      </c>
      <c r="DG166" s="361"/>
      <c r="DH166" s="361"/>
      <c r="DI166" s="361"/>
      <c r="DJ166" s="362"/>
    </row>
    <row r="167" spans="2:114" ht="13">
      <c r="B167" s="294"/>
      <c r="C167" s="294"/>
      <c r="D167" s="294"/>
      <c r="E167" s="295"/>
      <c r="F167" s="294"/>
      <c r="G167" s="295"/>
      <c r="H167" s="295"/>
      <c r="P167" s="295"/>
      <c r="W167" s="295"/>
      <c r="AD167" s="295"/>
      <c r="AK167" s="295"/>
      <c r="BR167" s="188"/>
      <c r="BT167" s="296"/>
      <c r="BU167" s="296"/>
      <c r="BV167" s="296"/>
      <c r="CT167" s="510">
        <v>8</v>
      </c>
      <c r="CU167" s="359" t="s">
        <v>263</v>
      </c>
      <c r="CV167" s="361">
        <v>43657069.460000001</v>
      </c>
      <c r="CW167" s="361">
        <v>4331444.82</v>
      </c>
      <c r="CX167" s="361">
        <v>6017766.3600000003</v>
      </c>
      <c r="CY167" s="361">
        <v>0</v>
      </c>
      <c r="CZ167" s="361">
        <v>5179402.33</v>
      </c>
      <c r="DA167" s="361">
        <v>6198028.1699999999</v>
      </c>
      <c r="DB167" s="361">
        <v>4060120.17</v>
      </c>
      <c r="DC167" s="361">
        <v>1895854.57</v>
      </c>
      <c r="DD167" s="361">
        <v>8536636.7300000004</v>
      </c>
      <c r="DE167" s="361">
        <v>355404.85</v>
      </c>
      <c r="DF167" s="361">
        <v>7082411.4699999997</v>
      </c>
      <c r="DG167" s="361"/>
      <c r="DH167" s="361"/>
      <c r="DI167" s="361"/>
      <c r="DJ167" s="362"/>
    </row>
    <row r="168" spans="2:114" ht="13">
      <c r="B168" s="294"/>
      <c r="C168" s="294"/>
      <c r="D168" s="294"/>
      <c r="E168" s="295"/>
      <c r="F168" s="294"/>
      <c r="G168" s="295"/>
      <c r="H168" s="295"/>
      <c r="P168" s="295"/>
      <c r="W168" s="295"/>
      <c r="AD168" s="295"/>
      <c r="AK168" s="295"/>
      <c r="BR168" s="188"/>
      <c r="BT168" s="296"/>
      <c r="BU168" s="296"/>
      <c r="BV168" s="296"/>
      <c r="CT168" s="510">
        <v>9</v>
      </c>
      <c r="CU168" s="359" t="s">
        <v>260</v>
      </c>
      <c r="CV168" s="361">
        <v>51176438.93</v>
      </c>
      <c r="CW168" s="361">
        <v>3891806.57</v>
      </c>
      <c r="CX168" s="361">
        <v>10375256.68</v>
      </c>
      <c r="CY168" s="361">
        <v>4605076.04</v>
      </c>
      <c r="CZ168" s="361">
        <v>2928275.7</v>
      </c>
      <c r="DA168" s="361">
        <v>3805592.13</v>
      </c>
      <c r="DB168" s="361">
        <v>6196348.7199999997</v>
      </c>
      <c r="DC168" s="361">
        <v>5425258.7599999998</v>
      </c>
      <c r="DD168" s="361">
        <v>4593233.04</v>
      </c>
      <c r="DE168" s="361">
        <v>2551909.7400000002</v>
      </c>
      <c r="DF168" s="361">
        <v>6803681.54</v>
      </c>
      <c r="DG168" s="361"/>
      <c r="DH168" s="361"/>
      <c r="DI168" s="361"/>
      <c r="DJ168" s="362"/>
    </row>
    <row r="169" spans="2:114" ht="13">
      <c r="B169" s="294"/>
      <c r="C169" s="294"/>
      <c r="D169" s="294"/>
      <c r="E169" s="295"/>
      <c r="F169" s="294"/>
      <c r="G169" s="295"/>
      <c r="H169" s="295"/>
      <c r="P169" s="295"/>
      <c r="W169" s="295"/>
      <c r="AD169" s="295"/>
      <c r="AK169" s="295"/>
      <c r="BR169" s="188"/>
      <c r="BT169" s="296"/>
      <c r="BU169" s="296"/>
      <c r="BV169" s="296"/>
      <c r="CT169" s="510">
        <v>10</v>
      </c>
      <c r="CU169" s="359" t="s">
        <v>293</v>
      </c>
      <c r="CV169" s="361">
        <v>26153346.280000001</v>
      </c>
      <c r="CW169" s="361">
        <v>2176631.0499999998</v>
      </c>
      <c r="CX169" s="361">
        <v>3521581.86</v>
      </c>
      <c r="CY169" s="361">
        <v>1872192.23</v>
      </c>
      <c r="CZ169" s="361">
        <v>1493848.38</v>
      </c>
      <c r="DA169" s="361">
        <v>1818276.54</v>
      </c>
      <c r="DB169" s="361">
        <v>2392435.98</v>
      </c>
      <c r="DC169" s="361">
        <v>2737825.73</v>
      </c>
      <c r="DD169" s="361">
        <v>3087443.43</v>
      </c>
      <c r="DE169" s="361">
        <v>1749841.69</v>
      </c>
      <c r="DF169" s="361">
        <v>5303269.38</v>
      </c>
      <c r="DG169" s="361"/>
      <c r="DH169" s="361"/>
      <c r="DI169" s="361"/>
      <c r="DJ169" s="362"/>
    </row>
    <row r="170" spans="2:114" ht="13">
      <c r="B170" s="294"/>
      <c r="C170" s="294"/>
      <c r="D170" s="294"/>
      <c r="E170" s="295"/>
      <c r="F170" s="294"/>
      <c r="G170" s="295"/>
      <c r="H170" s="295"/>
      <c r="P170" s="295"/>
      <c r="W170" s="295"/>
      <c r="AD170" s="295"/>
      <c r="AK170" s="295"/>
      <c r="BR170" s="188"/>
      <c r="BT170" s="296"/>
      <c r="BU170" s="296"/>
      <c r="BV170" s="296"/>
      <c r="CT170" s="510">
        <v>11</v>
      </c>
      <c r="CU170" s="359" t="s">
        <v>288</v>
      </c>
      <c r="CV170" s="361">
        <v>25537840.890000001</v>
      </c>
      <c r="CW170" s="361">
        <v>2895237.26</v>
      </c>
      <c r="CX170" s="361">
        <v>3242737.72</v>
      </c>
      <c r="CY170" s="361">
        <v>2041676.6</v>
      </c>
      <c r="CZ170" s="361">
        <v>1932149.37</v>
      </c>
      <c r="DA170" s="361">
        <v>1816520.65</v>
      </c>
      <c r="DB170" s="361">
        <v>1579083.77</v>
      </c>
      <c r="DC170" s="361">
        <v>2117369</v>
      </c>
      <c r="DD170" s="361">
        <v>2459385.98</v>
      </c>
      <c r="DE170" s="361">
        <v>2486768.19</v>
      </c>
      <c r="DF170" s="361">
        <v>4966912.3600000003</v>
      </c>
      <c r="DG170" s="361"/>
      <c r="DH170" s="361"/>
      <c r="DI170" s="361"/>
      <c r="DJ170" s="362"/>
    </row>
    <row r="171" spans="2:114" ht="13">
      <c r="B171" s="294"/>
      <c r="C171" s="294"/>
      <c r="D171" s="294"/>
      <c r="E171" s="295"/>
      <c r="F171" s="294"/>
      <c r="G171" s="295"/>
      <c r="H171" s="295"/>
      <c r="P171" s="295"/>
      <c r="W171" s="295"/>
      <c r="AD171" s="295"/>
      <c r="AK171" s="295"/>
      <c r="BR171" s="188"/>
      <c r="BT171" s="296"/>
      <c r="BU171" s="296"/>
      <c r="BV171" s="296"/>
      <c r="CT171" s="510">
        <v>12</v>
      </c>
      <c r="CU171" s="359" t="s">
        <v>292</v>
      </c>
      <c r="CV171" s="361">
        <v>25712342.399999999</v>
      </c>
      <c r="CW171" s="361">
        <v>6628640.9400000004</v>
      </c>
      <c r="CX171" s="361">
        <v>4288083.34</v>
      </c>
      <c r="CY171" s="361">
        <v>1861585.34</v>
      </c>
      <c r="CZ171" s="361">
        <v>1031517.95</v>
      </c>
      <c r="DA171" s="361">
        <v>3038296.08</v>
      </c>
      <c r="DB171" s="361">
        <v>1188565.6100000001</v>
      </c>
      <c r="DC171" s="361">
        <v>2712869.54</v>
      </c>
      <c r="DD171" s="361">
        <v>0</v>
      </c>
      <c r="DE171" s="361">
        <v>0</v>
      </c>
      <c r="DF171" s="361">
        <v>4962783.5999999996</v>
      </c>
      <c r="DG171" s="361"/>
      <c r="DH171" s="361"/>
      <c r="DI171" s="361"/>
      <c r="DJ171" s="362"/>
    </row>
    <row r="172" spans="2:114" ht="13">
      <c r="B172" s="294"/>
      <c r="C172" s="294"/>
      <c r="D172" s="294"/>
      <c r="E172" s="295"/>
      <c r="F172" s="294"/>
      <c r="G172" s="295"/>
      <c r="H172" s="295"/>
      <c r="P172" s="295"/>
      <c r="W172" s="295"/>
      <c r="AD172" s="295"/>
      <c r="AK172" s="295"/>
      <c r="BR172" s="188"/>
      <c r="BT172" s="296"/>
      <c r="BU172" s="296"/>
      <c r="BV172" s="296"/>
      <c r="CT172" s="510">
        <v>13</v>
      </c>
      <c r="CU172" s="359" t="s">
        <v>283</v>
      </c>
      <c r="CV172" s="361">
        <v>28763748.41</v>
      </c>
      <c r="CW172" s="361">
        <v>2045118.78</v>
      </c>
      <c r="CX172" s="361">
        <v>3024820.24</v>
      </c>
      <c r="CY172" s="361">
        <v>2515488.5699999998</v>
      </c>
      <c r="CZ172" s="361">
        <v>1999478.91</v>
      </c>
      <c r="DA172" s="361">
        <v>1825096.58</v>
      </c>
      <c r="DB172" s="361">
        <v>2617621.63</v>
      </c>
      <c r="DC172" s="361">
        <v>4823542.2</v>
      </c>
      <c r="DD172" s="361">
        <v>1505359.97</v>
      </c>
      <c r="DE172" s="361">
        <v>3815006.19</v>
      </c>
      <c r="DF172" s="361">
        <v>4592215.34</v>
      </c>
      <c r="DG172" s="361"/>
      <c r="DH172" s="361"/>
      <c r="DI172" s="361"/>
      <c r="DJ172" s="362"/>
    </row>
    <row r="173" spans="2:114" ht="13">
      <c r="B173" s="294"/>
      <c r="C173" s="294"/>
      <c r="D173" s="294"/>
      <c r="E173" s="295"/>
      <c r="F173" s="294"/>
      <c r="G173" s="295"/>
      <c r="H173" s="295"/>
      <c r="P173" s="295"/>
      <c r="W173" s="295"/>
      <c r="AD173" s="295"/>
      <c r="AK173" s="295"/>
      <c r="BR173" s="188"/>
      <c r="BT173" s="296"/>
      <c r="BU173" s="296"/>
      <c r="BV173" s="296"/>
      <c r="CT173" s="510">
        <v>14</v>
      </c>
      <c r="CU173" s="359" t="s">
        <v>258</v>
      </c>
      <c r="CV173" s="361">
        <v>11088997.779999999</v>
      </c>
      <c r="CW173" s="361">
        <v>397838.79</v>
      </c>
      <c r="CX173" s="361">
        <v>1096272.68</v>
      </c>
      <c r="CY173" s="361">
        <v>386510.62</v>
      </c>
      <c r="CZ173" s="361">
        <v>2160807.0299999998</v>
      </c>
      <c r="DA173" s="361">
        <v>261106.46</v>
      </c>
      <c r="DB173" s="361">
        <v>1010286.49</v>
      </c>
      <c r="DC173" s="361">
        <v>236906.65</v>
      </c>
      <c r="DD173" s="361">
        <v>392907.61</v>
      </c>
      <c r="DE173" s="361">
        <v>1146685.6299999999</v>
      </c>
      <c r="DF173" s="361">
        <v>3999675.83</v>
      </c>
      <c r="DG173" s="361"/>
      <c r="DH173" s="361"/>
      <c r="DI173" s="361"/>
      <c r="DJ173" s="362"/>
    </row>
    <row r="174" spans="2:114" ht="13">
      <c r="B174" s="294"/>
      <c r="C174" s="294"/>
      <c r="D174" s="294"/>
      <c r="E174" s="295"/>
      <c r="F174" s="294"/>
      <c r="G174" s="295"/>
      <c r="H174" s="295"/>
      <c r="P174" s="295"/>
      <c r="W174" s="295"/>
      <c r="AD174" s="295"/>
      <c r="AK174" s="295"/>
      <c r="BR174" s="188"/>
      <c r="BT174" s="296"/>
      <c r="BU174" s="296"/>
      <c r="BV174" s="296"/>
      <c r="CT174" s="510">
        <v>15</v>
      </c>
      <c r="CU174" s="359" t="s">
        <v>318</v>
      </c>
      <c r="CV174" s="361">
        <v>18758130.780000001</v>
      </c>
      <c r="CW174" s="361">
        <v>67240.3</v>
      </c>
      <c r="CX174" s="361">
        <v>354814.02</v>
      </c>
      <c r="CY174" s="361">
        <v>1828336.3</v>
      </c>
      <c r="CZ174" s="361">
        <v>3213934.19</v>
      </c>
      <c r="DA174" s="361">
        <v>833212.61</v>
      </c>
      <c r="DB174" s="361">
        <v>1015261.12</v>
      </c>
      <c r="DC174" s="361">
        <v>760138.55</v>
      </c>
      <c r="DD174" s="361">
        <v>3174592.71</v>
      </c>
      <c r="DE174" s="361">
        <v>3918353.11</v>
      </c>
      <c r="DF174" s="361">
        <v>3592247.87</v>
      </c>
      <c r="DG174" s="365"/>
      <c r="DH174" s="365"/>
      <c r="DI174" s="365"/>
      <c r="DJ174" s="366"/>
    </row>
    <row r="175" spans="2:114" ht="13">
      <c r="B175" s="294"/>
      <c r="C175" s="294"/>
      <c r="D175" s="294"/>
      <c r="E175" s="295"/>
      <c r="F175" s="294"/>
      <c r="G175" s="295"/>
      <c r="H175" s="295"/>
      <c r="P175" s="295"/>
      <c r="W175" s="295"/>
      <c r="AD175" s="295"/>
      <c r="AK175" s="295"/>
      <c r="BR175" s="188"/>
      <c r="BT175" s="296"/>
      <c r="BU175" s="296"/>
      <c r="BV175" s="296"/>
      <c r="CT175" s="510">
        <v>16</v>
      </c>
      <c r="CU175" s="359" t="s">
        <v>334</v>
      </c>
      <c r="CV175" s="361">
        <v>27517435.140000001</v>
      </c>
      <c r="CW175" s="361">
        <v>2667962.96</v>
      </c>
      <c r="CX175" s="361">
        <v>1598960.69</v>
      </c>
      <c r="CY175" s="361">
        <v>1665879.14</v>
      </c>
      <c r="CZ175" s="361">
        <v>2545722.4500000002</v>
      </c>
      <c r="DA175" s="361">
        <v>2905513.14</v>
      </c>
      <c r="DB175" s="361">
        <v>7277787.4699999997</v>
      </c>
      <c r="DC175" s="361">
        <v>2651545.3199999998</v>
      </c>
      <c r="DD175" s="361">
        <v>2161354.4300000002</v>
      </c>
      <c r="DE175" s="361">
        <v>655628.4</v>
      </c>
      <c r="DF175" s="361">
        <v>3387081.13</v>
      </c>
      <c r="DG175" s="361"/>
      <c r="DH175" s="361"/>
      <c r="DI175" s="361"/>
      <c r="DJ175" s="362"/>
    </row>
    <row r="176" spans="2:114" ht="13">
      <c r="B176" s="294"/>
      <c r="C176" s="294"/>
      <c r="D176" s="294"/>
      <c r="E176" s="295"/>
      <c r="F176" s="294"/>
      <c r="G176" s="295"/>
      <c r="H176" s="295"/>
      <c r="P176" s="295"/>
      <c r="W176" s="295"/>
      <c r="AD176" s="295"/>
      <c r="AK176" s="295"/>
      <c r="BR176" s="188"/>
      <c r="BT176" s="296"/>
      <c r="BU176" s="296"/>
      <c r="BV176" s="296"/>
      <c r="CT176" s="510">
        <v>17</v>
      </c>
      <c r="CU176" s="359" t="s">
        <v>285</v>
      </c>
      <c r="CV176" s="361">
        <v>60547899.990000002</v>
      </c>
      <c r="CW176" s="361">
        <v>9750847.5299999993</v>
      </c>
      <c r="CX176" s="361">
        <v>7597791.9699999997</v>
      </c>
      <c r="CY176" s="361">
        <v>1742573.93</v>
      </c>
      <c r="CZ176" s="361">
        <v>10537199.59</v>
      </c>
      <c r="DA176" s="361">
        <v>6214325.6200000001</v>
      </c>
      <c r="DB176" s="361">
        <v>1943784.66</v>
      </c>
      <c r="DC176" s="361">
        <v>9775943.1899999995</v>
      </c>
      <c r="DD176" s="361">
        <v>4405505.1100000003</v>
      </c>
      <c r="DE176" s="361">
        <v>5331554.62</v>
      </c>
      <c r="DF176" s="361">
        <v>3248373.77</v>
      </c>
      <c r="DG176" s="361"/>
      <c r="DH176" s="361"/>
      <c r="DI176" s="361"/>
      <c r="DJ176" s="362"/>
    </row>
    <row r="177" spans="2:114" ht="13">
      <c r="B177" s="294"/>
      <c r="C177" s="294"/>
      <c r="D177" s="294"/>
      <c r="E177" s="295"/>
      <c r="F177" s="294"/>
      <c r="G177" s="295"/>
      <c r="H177" s="295"/>
      <c r="P177" s="295"/>
      <c r="W177" s="295"/>
      <c r="AD177" s="295"/>
      <c r="AK177" s="295"/>
      <c r="BR177" s="188"/>
      <c r="BT177" s="296"/>
      <c r="BU177" s="296"/>
      <c r="BV177" s="296"/>
      <c r="CT177" s="510">
        <v>18</v>
      </c>
      <c r="CU177" s="359" t="s">
        <v>289</v>
      </c>
      <c r="CV177" s="361">
        <v>14956716.300000001</v>
      </c>
      <c r="CW177" s="361">
        <v>2101288.9500000002</v>
      </c>
      <c r="CX177" s="361">
        <v>953532.88</v>
      </c>
      <c r="CY177" s="361">
        <v>2313116.52</v>
      </c>
      <c r="CZ177" s="361">
        <v>983150.77</v>
      </c>
      <c r="DA177" s="361">
        <v>1036976.92</v>
      </c>
      <c r="DB177" s="361">
        <v>1055826.8799999999</v>
      </c>
      <c r="DC177" s="361">
        <v>952181.59</v>
      </c>
      <c r="DD177" s="361">
        <v>1127596.24</v>
      </c>
      <c r="DE177" s="361">
        <v>1390594.91</v>
      </c>
      <c r="DF177" s="361">
        <v>3042450.64</v>
      </c>
      <c r="DG177" s="361"/>
      <c r="DH177" s="361"/>
      <c r="DI177" s="361"/>
      <c r="DJ177" s="362"/>
    </row>
    <row r="178" spans="2:114" ht="13">
      <c r="B178" s="294"/>
      <c r="C178" s="294"/>
      <c r="D178" s="294"/>
      <c r="E178" s="295"/>
      <c r="F178" s="294"/>
      <c r="G178" s="295"/>
      <c r="H178" s="295"/>
      <c r="P178" s="295"/>
      <c r="W178" s="295"/>
      <c r="AD178" s="295"/>
      <c r="AK178" s="295"/>
      <c r="BR178" s="188"/>
      <c r="BT178" s="296"/>
      <c r="BU178" s="296"/>
      <c r="BV178" s="296"/>
      <c r="CT178" s="510">
        <v>19</v>
      </c>
      <c r="CU178" s="359" t="s">
        <v>282</v>
      </c>
      <c r="CV178" s="361">
        <v>24865981.640000001</v>
      </c>
      <c r="CW178" s="361">
        <v>2504095.7400000002</v>
      </c>
      <c r="CX178" s="361">
        <v>865161.03</v>
      </c>
      <c r="CY178" s="361">
        <v>2399699.31</v>
      </c>
      <c r="CZ178" s="361">
        <v>2995321.76</v>
      </c>
      <c r="DA178" s="361">
        <v>794354.43</v>
      </c>
      <c r="DB178" s="361">
        <v>3701786.2</v>
      </c>
      <c r="DC178" s="361">
        <v>1991001.46</v>
      </c>
      <c r="DD178" s="361">
        <v>2683660.62</v>
      </c>
      <c r="DE178" s="361">
        <v>4426096.46</v>
      </c>
      <c r="DF178" s="361">
        <v>2504804.64</v>
      </c>
      <c r="DG178" s="361"/>
      <c r="DH178" s="361"/>
      <c r="DI178" s="361"/>
      <c r="DJ178" s="362"/>
    </row>
    <row r="179" spans="2:114" ht="13">
      <c r="B179" s="294"/>
      <c r="C179" s="294"/>
      <c r="D179" s="294"/>
      <c r="E179" s="295"/>
      <c r="F179" s="294"/>
      <c r="G179" s="295"/>
      <c r="H179" s="295"/>
      <c r="P179" s="295"/>
      <c r="W179" s="295"/>
      <c r="AD179" s="295"/>
      <c r="AK179" s="295"/>
      <c r="BR179" s="188"/>
      <c r="BT179" s="296"/>
      <c r="BU179" s="296"/>
      <c r="BV179" s="296"/>
      <c r="CT179" s="510">
        <v>20</v>
      </c>
      <c r="CU179" s="359" t="s">
        <v>279</v>
      </c>
      <c r="CV179" s="361">
        <v>28155490.739999998</v>
      </c>
      <c r="CW179" s="361">
        <v>2062929.55</v>
      </c>
      <c r="CX179" s="361">
        <v>3304945.94</v>
      </c>
      <c r="CY179" s="361">
        <v>1898504.65</v>
      </c>
      <c r="CZ179" s="361">
        <v>3345892.65</v>
      </c>
      <c r="DA179" s="361">
        <v>7801373.0499999998</v>
      </c>
      <c r="DB179" s="361">
        <v>2147623.08</v>
      </c>
      <c r="DC179" s="361">
        <v>984833.86</v>
      </c>
      <c r="DD179" s="361">
        <v>1948947.53</v>
      </c>
      <c r="DE179" s="361">
        <v>2229576.88</v>
      </c>
      <c r="DF179" s="361">
        <v>2430863.56</v>
      </c>
      <c r="DG179" s="361"/>
      <c r="DH179" s="361"/>
      <c r="DI179" s="361"/>
      <c r="DJ179" s="362"/>
    </row>
    <row r="180" spans="2:114" ht="13">
      <c r="B180" s="294"/>
      <c r="C180" s="294"/>
      <c r="D180" s="294"/>
      <c r="E180" s="295"/>
      <c r="F180" s="294"/>
      <c r="G180" s="295"/>
      <c r="H180" s="295"/>
      <c r="P180" s="295"/>
      <c r="W180" s="295"/>
      <c r="AD180" s="295"/>
      <c r="AK180" s="295"/>
      <c r="BR180" s="188"/>
      <c r="BT180" s="296"/>
      <c r="BU180" s="296"/>
      <c r="BV180" s="296"/>
      <c r="CT180" s="510">
        <v>21</v>
      </c>
      <c r="CU180" s="359" t="s">
        <v>266</v>
      </c>
      <c r="CV180" s="361">
        <v>29995212.399999999</v>
      </c>
      <c r="CW180" s="361">
        <v>3465117.57</v>
      </c>
      <c r="CX180" s="361">
        <v>2668614.48</v>
      </c>
      <c r="CY180" s="361">
        <v>3204166.15</v>
      </c>
      <c r="CZ180" s="361">
        <v>3601863.2</v>
      </c>
      <c r="DA180" s="361">
        <v>5449222.0899999999</v>
      </c>
      <c r="DB180" s="361">
        <v>3428094.23</v>
      </c>
      <c r="DC180" s="361">
        <v>969070.03</v>
      </c>
      <c r="DD180" s="361">
        <v>2206512.65</v>
      </c>
      <c r="DE180" s="361">
        <v>2610724.25</v>
      </c>
      <c r="DF180" s="361">
        <v>2391827.7400000002</v>
      </c>
      <c r="DG180" s="361"/>
      <c r="DH180" s="361"/>
      <c r="DI180" s="361"/>
      <c r="DJ180" s="362"/>
    </row>
    <row r="181" spans="2:114" ht="13">
      <c r="B181" s="294"/>
      <c r="C181" s="294"/>
      <c r="D181" s="294"/>
      <c r="E181" s="295"/>
      <c r="F181" s="294"/>
      <c r="G181" s="295"/>
      <c r="H181" s="295"/>
      <c r="P181" s="295"/>
      <c r="W181" s="295"/>
      <c r="AD181" s="295"/>
      <c r="AK181" s="295"/>
      <c r="BR181" s="188"/>
      <c r="BT181" s="296"/>
      <c r="BU181" s="296"/>
      <c r="BV181" s="296"/>
      <c r="CT181" s="510">
        <v>22</v>
      </c>
      <c r="CU181" s="359" t="s">
        <v>287</v>
      </c>
      <c r="CV181" s="361">
        <v>8316961.75</v>
      </c>
      <c r="CW181" s="361">
        <v>1272570.42</v>
      </c>
      <c r="CX181" s="361">
        <v>1030498.01</v>
      </c>
      <c r="CY181" s="361">
        <v>1434835.95</v>
      </c>
      <c r="CZ181" s="361">
        <v>315287.46000000002</v>
      </c>
      <c r="DA181" s="361">
        <v>687992.4</v>
      </c>
      <c r="DB181" s="361">
        <v>103475.56</v>
      </c>
      <c r="DC181" s="361">
        <v>567647.68000000005</v>
      </c>
      <c r="DD181" s="361">
        <v>374846.26</v>
      </c>
      <c r="DE181" s="361">
        <v>366202.67</v>
      </c>
      <c r="DF181" s="361">
        <v>2163605.35</v>
      </c>
      <c r="DG181" s="361"/>
      <c r="DH181" s="361"/>
      <c r="DI181" s="361"/>
      <c r="DJ181" s="362"/>
    </row>
    <row r="182" spans="2:114" ht="13">
      <c r="B182" s="294"/>
      <c r="C182" s="294"/>
      <c r="D182" s="294"/>
      <c r="E182" s="295"/>
      <c r="F182" s="294"/>
      <c r="G182" s="295"/>
      <c r="H182" s="295"/>
      <c r="P182" s="295"/>
      <c r="W182" s="295"/>
      <c r="AD182" s="295"/>
      <c r="AK182" s="295"/>
      <c r="BR182" s="188"/>
      <c r="BT182" s="296"/>
      <c r="BU182" s="296"/>
      <c r="BV182" s="296"/>
      <c r="CT182" s="510">
        <v>23</v>
      </c>
      <c r="CU182" s="359" t="s">
        <v>269</v>
      </c>
      <c r="CV182" s="361">
        <v>6891645.7300000004</v>
      </c>
      <c r="CW182" s="361">
        <v>699271.56</v>
      </c>
      <c r="CX182" s="361">
        <v>470862.63</v>
      </c>
      <c r="CY182" s="361">
        <v>327724.51</v>
      </c>
      <c r="CZ182" s="361">
        <v>983166.62</v>
      </c>
      <c r="DA182" s="361">
        <v>301396.84999999998</v>
      </c>
      <c r="DB182" s="361">
        <v>367010.01</v>
      </c>
      <c r="DC182" s="361">
        <v>304381.38</v>
      </c>
      <c r="DD182" s="361">
        <v>1008448.17</v>
      </c>
      <c r="DE182" s="361">
        <v>569964.57999999996</v>
      </c>
      <c r="DF182" s="361">
        <v>1859419.42</v>
      </c>
      <c r="DG182" s="361"/>
      <c r="DH182" s="361"/>
      <c r="DI182" s="361"/>
      <c r="DJ182" s="362"/>
    </row>
    <row r="183" spans="2:114" ht="13">
      <c r="B183" s="294"/>
      <c r="C183" s="294"/>
      <c r="D183" s="294"/>
      <c r="E183" s="295"/>
      <c r="F183" s="294"/>
      <c r="G183" s="295"/>
      <c r="H183" s="295"/>
      <c r="P183" s="295"/>
      <c r="W183" s="295"/>
      <c r="AD183" s="295"/>
      <c r="AK183" s="295"/>
      <c r="BR183" s="188"/>
      <c r="BT183" s="296"/>
      <c r="BU183" s="296"/>
      <c r="BV183" s="296"/>
      <c r="CT183" s="510">
        <v>24</v>
      </c>
      <c r="CU183" s="359" t="s">
        <v>276</v>
      </c>
      <c r="CV183" s="361">
        <v>7225948.3300000001</v>
      </c>
      <c r="CW183" s="361">
        <v>1313739.23</v>
      </c>
      <c r="CX183" s="361">
        <v>367295.83</v>
      </c>
      <c r="CY183" s="361">
        <v>487248.16</v>
      </c>
      <c r="CZ183" s="361">
        <v>504326.51</v>
      </c>
      <c r="DA183" s="361">
        <v>593320.97</v>
      </c>
      <c r="DB183" s="361">
        <v>376892.41</v>
      </c>
      <c r="DC183" s="361">
        <v>466446.9</v>
      </c>
      <c r="DD183" s="361">
        <v>703717.65</v>
      </c>
      <c r="DE183" s="361">
        <v>671948.54</v>
      </c>
      <c r="DF183" s="361">
        <v>1741012.14</v>
      </c>
      <c r="DG183" s="361"/>
      <c r="DH183" s="361"/>
      <c r="DI183" s="361"/>
      <c r="DJ183" s="362"/>
    </row>
    <row r="184" spans="2:114" ht="13">
      <c r="B184" s="294"/>
      <c r="C184" s="294"/>
      <c r="D184" s="294"/>
      <c r="E184" s="295"/>
      <c r="F184" s="294"/>
      <c r="G184" s="295"/>
      <c r="H184" s="295"/>
      <c r="P184" s="295"/>
      <c r="W184" s="295"/>
      <c r="AD184" s="295"/>
      <c r="AK184" s="295"/>
      <c r="BR184" s="188"/>
      <c r="BT184" s="296"/>
      <c r="BU184" s="296"/>
      <c r="BV184" s="296"/>
      <c r="CT184" s="510">
        <v>25</v>
      </c>
      <c r="CU184" s="359" t="s">
        <v>319</v>
      </c>
      <c r="CV184" s="361">
        <v>9994194.8300000001</v>
      </c>
      <c r="CW184" s="361">
        <v>938604.4</v>
      </c>
      <c r="CX184" s="361">
        <v>1386338.82</v>
      </c>
      <c r="CY184" s="361">
        <v>727782.69</v>
      </c>
      <c r="CZ184" s="361">
        <v>928224.26</v>
      </c>
      <c r="DA184" s="361">
        <v>723695.8</v>
      </c>
      <c r="DB184" s="361">
        <v>662911.88</v>
      </c>
      <c r="DC184" s="361">
        <v>811637.55</v>
      </c>
      <c r="DD184" s="361">
        <v>859581.83</v>
      </c>
      <c r="DE184" s="361">
        <v>1217938.53</v>
      </c>
      <c r="DF184" s="361">
        <v>1737479.06</v>
      </c>
      <c r="DG184" s="365"/>
      <c r="DH184" s="365"/>
      <c r="DI184" s="365"/>
      <c r="DJ184" s="366"/>
    </row>
    <row r="185" spans="2:114" ht="13">
      <c r="B185" s="294"/>
      <c r="C185" s="294"/>
      <c r="D185" s="294"/>
      <c r="E185" s="295"/>
      <c r="F185" s="294"/>
      <c r="G185" s="295"/>
      <c r="H185" s="295"/>
      <c r="P185" s="295"/>
      <c r="W185" s="295"/>
      <c r="AD185" s="295"/>
      <c r="AK185" s="295"/>
      <c r="BR185" s="188"/>
      <c r="BT185" s="296"/>
      <c r="BU185" s="296"/>
      <c r="BV185" s="296"/>
      <c r="CT185" s="510">
        <v>26</v>
      </c>
      <c r="CU185" s="359" t="s">
        <v>273</v>
      </c>
      <c r="CV185" s="361">
        <v>6897856.4000000004</v>
      </c>
      <c r="CW185" s="361">
        <v>441328.43</v>
      </c>
      <c r="CX185" s="361">
        <v>467678.95</v>
      </c>
      <c r="CY185" s="361">
        <v>1093841.5900000001</v>
      </c>
      <c r="CZ185" s="361">
        <v>481916.09</v>
      </c>
      <c r="DA185" s="361">
        <v>386945.76</v>
      </c>
      <c r="DB185" s="361">
        <v>276396.53999999998</v>
      </c>
      <c r="DC185" s="361">
        <v>193868.97</v>
      </c>
      <c r="DD185" s="361">
        <v>498785.48</v>
      </c>
      <c r="DE185" s="361">
        <v>1350091.54</v>
      </c>
      <c r="DF185" s="361">
        <v>1707003.06</v>
      </c>
      <c r="DG185" s="361"/>
      <c r="DH185" s="361"/>
      <c r="DI185" s="361"/>
      <c r="DJ185" s="362"/>
    </row>
    <row r="186" spans="2:114" ht="13">
      <c r="B186" s="294"/>
      <c r="C186" s="294"/>
      <c r="D186" s="294"/>
      <c r="E186" s="295"/>
      <c r="F186" s="294"/>
      <c r="G186" s="295"/>
      <c r="H186" s="295"/>
      <c r="P186" s="295"/>
      <c r="W186" s="295"/>
      <c r="AD186" s="295"/>
      <c r="AK186" s="295"/>
      <c r="BR186" s="188"/>
      <c r="BT186" s="296"/>
      <c r="BU186" s="296"/>
      <c r="BV186" s="296"/>
      <c r="CT186" s="510">
        <v>27</v>
      </c>
      <c r="CU186" s="359" t="s">
        <v>265</v>
      </c>
      <c r="CV186" s="361">
        <v>9628687.6400000006</v>
      </c>
      <c r="CW186" s="361">
        <v>0</v>
      </c>
      <c r="CX186" s="361">
        <v>75287.12</v>
      </c>
      <c r="CY186" s="361">
        <v>1292718.03</v>
      </c>
      <c r="CZ186" s="361">
        <v>526070.43999999994</v>
      </c>
      <c r="DA186" s="361">
        <v>448780.22</v>
      </c>
      <c r="DB186" s="361">
        <v>404540.18</v>
      </c>
      <c r="DC186" s="361">
        <v>887304.43</v>
      </c>
      <c r="DD186" s="361">
        <v>667280.99</v>
      </c>
      <c r="DE186" s="361">
        <v>3622557.37</v>
      </c>
      <c r="DF186" s="361">
        <v>1704148.84</v>
      </c>
      <c r="DG186" s="361"/>
      <c r="DH186" s="361"/>
      <c r="DI186" s="361"/>
      <c r="DJ186" s="362"/>
    </row>
    <row r="187" spans="2:114" ht="13">
      <c r="B187" s="294"/>
      <c r="C187" s="294"/>
      <c r="D187" s="294"/>
      <c r="E187" s="295"/>
      <c r="F187" s="294"/>
      <c r="G187" s="295"/>
      <c r="H187" s="295"/>
      <c r="P187" s="295"/>
      <c r="W187" s="295"/>
      <c r="AD187" s="295"/>
      <c r="AK187" s="295"/>
      <c r="BR187" s="188"/>
      <c r="BT187" s="296"/>
      <c r="BU187" s="296"/>
      <c r="BV187" s="296"/>
      <c r="CT187" s="510">
        <v>28</v>
      </c>
      <c r="CU187" s="359" t="s">
        <v>256</v>
      </c>
      <c r="CV187" s="361">
        <v>46810651.829999998</v>
      </c>
      <c r="CW187" s="361">
        <v>6167699.2699999996</v>
      </c>
      <c r="CX187" s="361">
        <v>4514171.53</v>
      </c>
      <c r="CY187" s="361">
        <v>5655055.6699999999</v>
      </c>
      <c r="CZ187" s="361">
        <v>2725955.92</v>
      </c>
      <c r="DA187" s="361">
        <v>7572326.0700000003</v>
      </c>
      <c r="DB187" s="361">
        <v>2971225.62</v>
      </c>
      <c r="DC187" s="361">
        <v>8609018.3699999992</v>
      </c>
      <c r="DD187" s="361">
        <v>2098749.2400000002</v>
      </c>
      <c r="DE187" s="361">
        <v>5120145.7699999996</v>
      </c>
      <c r="DF187" s="361">
        <v>1376304.37</v>
      </c>
      <c r="DG187" s="361"/>
      <c r="DH187" s="361"/>
      <c r="DI187" s="361"/>
      <c r="DJ187" s="362"/>
    </row>
    <row r="188" spans="2:114" ht="13">
      <c r="B188" s="294"/>
      <c r="C188" s="294"/>
      <c r="D188" s="294"/>
      <c r="E188" s="295"/>
      <c r="F188" s="294"/>
      <c r="G188" s="295"/>
      <c r="H188" s="295"/>
      <c r="P188" s="295"/>
      <c r="W188" s="295"/>
      <c r="AD188" s="295"/>
      <c r="AK188" s="295"/>
      <c r="BR188" s="188"/>
      <c r="BT188" s="296"/>
      <c r="BU188" s="296"/>
      <c r="BV188" s="296"/>
      <c r="CT188" s="510">
        <v>29</v>
      </c>
      <c r="CU188" s="359" t="s">
        <v>275</v>
      </c>
      <c r="CV188" s="361">
        <v>16040402.710000001</v>
      </c>
      <c r="CW188" s="361">
        <v>2021179.18</v>
      </c>
      <c r="CX188" s="361">
        <v>1073026.6100000001</v>
      </c>
      <c r="CY188" s="361">
        <v>1871816.3</v>
      </c>
      <c r="CZ188" s="361">
        <v>2199299.37</v>
      </c>
      <c r="DA188" s="361">
        <v>1269045.03</v>
      </c>
      <c r="DB188" s="361">
        <v>1205726.1100000001</v>
      </c>
      <c r="DC188" s="361">
        <v>1527516.48</v>
      </c>
      <c r="DD188" s="361">
        <v>2779837.59</v>
      </c>
      <c r="DE188" s="361">
        <v>746024.13</v>
      </c>
      <c r="DF188" s="361">
        <v>1346931.9</v>
      </c>
      <c r="DG188" s="365"/>
      <c r="DH188" s="365"/>
      <c r="DI188" s="365"/>
      <c r="DJ188" s="366"/>
    </row>
    <row r="189" spans="2:114" ht="13">
      <c r="B189" s="294"/>
      <c r="C189" s="294"/>
      <c r="D189" s="294"/>
      <c r="E189" s="295"/>
      <c r="F189" s="294"/>
      <c r="G189" s="295"/>
      <c r="H189" s="295"/>
      <c r="P189" s="295"/>
      <c r="W189" s="295"/>
      <c r="AD189" s="295"/>
      <c r="AK189" s="295"/>
      <c r="BR189" s="188"/>
      <c r="BT189" s="296"/>
      <c r="BU189" s="296"/>
      <c r="BV189" s="296"/>
      <c r="CT189" s="510">
        <v>30</v>
      </c>
      <c r="CU189" s="359" t="s">
        <v>299</v>
      </c>
      <c r="CV189" s="361">
        <v>10488207.18</v>
      </c>
      <c r="CW189" s="361">
        <v>1017887.27</v>
      </c>
      <c r="CX189" s="361">
        <v>902018.94</v>
      </c>
      <c r="CY189" s="361">
        <v>589175</v>
      </c>
      <c r="CZ189" s="361">
        <v>933501.12</v>
      </c>
      <c r="DA189" s="361">
        <v>939051.37</v>
      </c>
      <c r="DB189" s="361">
        <v>1341591.1200000001</v>
      </c>
      <c r="DC189" s="361">
        <v>994574.38</v>
      </c>
      <c r="DD189" s="361">
        <v>1330861.7</v>
      </c>
      <c r="DE189" s="361">
        <v>1197342.1000000001</v>
      </c>
      <c r="DF189" s="361">
        <v>1242204.19</v>
      </c>
      <c r="DG189" s="361"/>
      <c r="DH189" s="361"/>
      <c r="DI189" s="361"/>
      <c r="DJ189" s="362"/>
    </row>
    <row r="190" spans="2:114" ht="13">
      <c r="B190" s="294"/>
      <c r="C190" s="294"/>
      <c r="D190" s="294"/>
      <c r="E190" s="295"/>
      <c r="F190" s="294"/>
      <c r="G190" s="295"/>
      <c r="H190" s="295"/>
      <c r="P190" s="295"/>
      <c r="W190" s="295"/>
      <c r="AD190" s="295"/>
      <c r="AK190" s="295"/>
      <c r="BR190" s="188"/>
      <c r="BT190" s="296"/>
      <c r="BU190" s="296"/>
      <c r="BV190" s="296"/>
      <c r="CT190" s="510">
        <v>31</v>
      </c>
      <c r="CU190" s="359" t="s">
        <v>322</v>
      </c>
      <c r="CV190" s="361">
        <v>11399245.66</v>
      </c>
      <c r="CW190" s="361">
        <v>1538653.32</v>
      </c>
      <c r="CX190" s="361">
        <v>1430440.8</v>
      </c>
      <c r="CY190" s="361">
        <v>751617.34</v>
      </c>
      <c r="CZ190" s="361">
        <v>1845176.94</v>
      </c>
      <c r="DA190" s="361">
        <v>1295868.8500000001</v>
      </c>
      <c r="DB190" s="361">
        <v>721973.02</v>
      </c>
      <c r="DC190" s="361">
        <v>926788.93</v>
      </c>
      <c r="DD190" s="361">
        <v>750834.91</v>
      </c>
      <c r="DE190" s="361">
        <v>932199.2</v>
      </c>
      <c r="DF190" s="361">
        <v>1205692.3600000001</v>
      </c>
      <c r="DG190" s="361"/>
      <c r="DH190" s="361"/>
      <c r="DI190" s="361"/>
      <c r="DJ190" s="362"/>
    </row>
    <row r="191" spans="2:114" ht="13">
      <c r="B191" s="294"/>
      <c r="C191" s="294"/>
      <c r="D191" s="294"/>
      <c r="E191" s="295"/>
      <c r="F191" s="294"/>
      <c r="G191" s="295"/>
      <c r="H191" s="295"/>
      <c r="P191" s="295"/>
      <c r="W191" s="295"/>
      <c r="AD191" s="295"/>
      <c r="AK191" s="295"/>
      <c r="BR191" s="188"/>
      <c r="BT191" s="296"/>
      <c r="BU191" s="296"/>
      <c r="BV191" s="296"/>
      <c r="CT191" s="510">
        <v>32</v>
      </c>
      <c r="CU191" s="359" t="s">
        <v>294</v>
      </c>
      <c r="CV191" s="361">
        <v>2744662.6</v>
      </c>
      <c r="CW191" s="361">
        <v>216691.82</v>
      </c>
      <c r="CX191" s="361">
        <v>0</v>
      </c>
      <c r="CY191" s="361">
        <v>310754.09999999998</v>
      </c>
      <c r="CZ191" s="361">
        <v>333122</v>
      </c>
      <c r="DA191" s="361">
        <v>390705.74</v>
      </c>
      <c r="DB191" s="361">
        <v>10690.86</v>
      </c>
      <c r="DC191" s="361">
        <v>0</v>
      </c>
      <c r="DD191" s="361">
        <v>294461.7</v>
      </c>
      <c r="DE191" s="361">
        <v>196263.32</v>
      </c>
      <c r="DF191" s="361">
        <v>991973.06</v>
      </c>
      <c r="DG191" s="361"/>
      <c r="DH191" s="361"/>
      <c r="DI191" s="361"/>
      <c r="DJ191" s="362"/>
    </row>
    <row r="192" spans="2:114" ht="13">
      <c r="B192" s="294"/>
      <c r="C192" s="294"/>
      <c r="D192" s="294"/>
      <c r="E192" s="295"/>
      <c r="F192" s="294"/>
      <c r="G192" s="295"/>
      <c r="H192" s="295"/>
      <c r="P192" s="295"/>
      <c r="W192" s="295"/>
      <c r="AD192" s="295"/>
      <c r="AK192" s="295"/>
      <c r="BR192" s="188"/>
      <c r="BT192" s="296"/>
      <c r="BU192" s="296"/>
      <c r="BV192" s="296"/>
      <c r="CT192" s="510">
        <v>33</v>
      </c>
      <c r="CU192" s="359" t="s">
        <v>338</v>
      </c>
      <c r="CV192" s="361">
        <v>4272670.1500000004</v>
      </c>
      <c r="CW192" s="361">
        <v>748654.1</v>
      </c>
      <c r="CX192" s="361">
        <v>671192.19</v>
      </c>
      <c r="CY192" s="361">
        <v>353214.37</v>
      </c>
      <c r="CZ192" s="361">
        <v>0</v>
      </c>
      <c r="DA192" s="361">
        <v>502287.76</v>
      </c>
      <c r="DB192" s="361">
        <v>227789.54</v>
      </c>
      <c r="DC192" s="361">
        <v>56966.92</v>
      </c>
      <c r="DD192" s="361">
        <v>294772.64</v>
      </c>
      <c r="DE192" s="361">
        <v>466975</v>
      </c>
      <c r="DF192" s="361">
        <v>950817.64</v>
      </c>
      <c r="DG192" s="365"/>
      <c r="DH192" s="365"/>
      <c r="DI192" s="365"/>
      <c r="DJ192" s="366"/>
    </row>
    <row r="193" spans="2:114" ht="13">
      <c r="B193" s="294"/>
      <c r="C193" s="294"/>
      <c r="D193" s="294"/>
      <c r="E193" s="295"/>
      <c r="F193" s="294"/>
      <c r="G193" s="295"/>
      <c r="H193" s="295"/>
      <c r="P193" s="295"/>
      <c r="W193" s="295"/>
      <c r="AD193" s="295"/>
      <c r="AK193" s="295"/>
      <c r="BR193" s="188"/>
      <c r="BT193" s="296"/>
      <c r="BU193" s="296"/>
      <c r="BV193" s="296"/>
      <c r="CT193" s="510">
        <v>34</v>
      </c>
      <c r="CU193" s="359" t="s">
        <v>301</v>
      </c>
      <c r="CV193" s="361">
        <v>6145042.6900000004</v>
      </c>
      <c r="CW193" s="361">
        <v>1338859.45</v>
      </c>
      <c r="CX193" s="361">
        <v>1136013.76</v>
      </c>
      <c r="CY193" s="361">
        <v>0</v>
      </c>
      <c r="CZ193" s="361">
        <v>0</v>
      </c>
      <c r="DA193" s="361">
        <v>778197.38</v>
      </c>
      <c r="DB193" s="361">
        <v>598121.22</v>
      </c>
      <c r="DC193" s="361">
        <v>614774.92000000004</v>
      </c>
      <c r="DD193" s="361">
        <v>201873.44</v>
      </c>
      <c r="DE193" s="361">
        <v>549915.93999999994</v>
      </c>
      <c r="DF193" s="361">
        <v>927286.58</v>
      </c>
      <c r="DG193" s="361"/>
      <c r="DH193" s="361"/>
      <c r="DI193" s="361"/>
      <c r="DJ193" s="362"/>
    </row>
    <row r="194" spans="2:114" ht="13">
      <c r="B194" s="294"/>
      <c r="C194" s="294"/>
      <c r="D194" s="294"/>
      <c r="E194" s="295"/>
      <c r="F194" s="294"/>
      <c r="G194" s="295"/>
      <c r="H194" s="295"/>
      <c r="P194" s="295"/>
      <c r="W194" s="295"/>
      <c r="AD194" s="295"/>
      <c r="AK194" s="295"/>
      <c r="BR194" s="188"/>
      <c r="BT194" s="296"/>
      <c r="BU194" s="296"/>
      <c r="BV194" s="296"/>
      <c r="CT194" s="510">
        <v>35</v>
      </c>
      <c r="CU194" s="359" t="s">
        <v>313</v>
      </c>
      <c r="CV194" s="361">
        <v>5576575.5499999998</v>
      </c>
      <c r="CW194" s="361">
        <v>864169.42</v>
      </c>
      <c r="CX194" s="361">
        <v>731032.24</v>
      </c>
      <c r="CY194" s="361">
        <v>43853.26</v>
      </c>
      <c r="CZ194" s="361">
        <v>469705.61</v>
      </c>
      <c r="DA194" s="361">
        <v>232109.11</v>
      </c>
      <c r="DB194" s="361">
        <v>398645.73</v>
      </c>
      <c r="DC194" s="361">
        <v>436604.81</v>
      </c>
      <c r="DD194" s="361">
        <v>946538.91</v>
      </c>
      <c r="DE194" s="361">
        <v>583331.05000000005</v>
      </c>
      <c r="DF194" s="361">
        <v>870585.41</v>
      </c>
      <c r="DG194" s="361"/>
      <c r="DH194" s="361"/>
      <c r="DI194" s="361"/>
      <c r="DJ194" s="362"/>
    </row>
    <row r="195" spans="2:114" ht="13">
      <c r="B195" s="294"/>
      <c r="C195" s="294"/>
      <c r="D195" s="294"/>
      <c r="E195" s="295"/>
      <c r="F195" s="294"/>
      <c r="G195" s="295"/>
      <c r="H195" s="295"/>
      <c r="P195" s="295"/>
      <c r="W195" s="295"/>
      <c r="AD195" s="295"/>
      <c r="AK195" s="295"/>
      <c r="BR195" s="188"/>
      <c r="BT195" s="296"/>
      <c r="BU195" s="296"/>
      <c r="BV195" s="296"/>
      <c r="CT195" s="510">
        <v>36</v>
      </c>
      <c r="CU195" s="359" t="s">
        <v>284</v>
      </c>
      <c r="CV195" s="361">
        <v>1661073.72</v>
      </c>
      <c r="CW195" s="361">
        <v>102019.6</v>
      </c>
      <c r="CX195" s="361">
        <v>94460.93</v>
      </c>
      <c r="CY195" s="361">
        <v>19796.669999999998</v>
      </c>
      <c r="CZ195" s="361">
        <v>130962.95</v>
      </c>
      <c r="DA195" s="361">
        <v>78321.36</v>
      </c>
      <c r="DB195" s="361">
        <v>126277.52</v>
      </c>
      <c r="DC195" s="361">
        <v>86483.3</v>
      </c>
      <c r="DD195" s="361">
        <v>55314.53</v>
      </c>
      <c r="DE195" s="361">
        <v>194268.15</v>
      </c>
      <c r="DF195" s="361">
        <v>773168.71</v>
      </c>
      <c r="DG195" s="361"/>
      <c r="DH195" s="361"/>
      <c r="DI195" s="361"/>
      <c r="DJ195" s="362"/>
    </row>
    <row r="196" spans="2:114" ht="13">
      <c r="B196" s="294"/>
      <c r="C196" s="294"/>
      <c r="D196" s="294"/>
      <c r="E196" s="295"/>
      <c r="F196" s="294"/>
      <c r="G196" s="295"/>
      <c r="H196" s="295"/>
      <c r="P196" s="295"/>
      <c r="W196" s="295"/>
      <c r="AD196" s="295"/>
      <c r="AK196" s="295"/>
      <c r="BR196" s="188"/>
      <c r="BT196" s="296"/>
      <c r="BU196" s="296"/>
      <c r="BV196" s="296"/>
      <c r="CT196" s="510">
        <v>37</v>
      </c>
      <c r="CU196" s="359" t="s">
        <v>323</v>
      </c>
      <c r="CV196" s="361">
        <v>5912186.5999999996</v>
      </c>
      <c r="CW196" s="361">
        <v>542421.72</v>
      </c>
      <c r="CX196" s="361">
        <v>581817.05000000005</v>
      </c>
      <c r="CY196" s="361">
        <v>334683.62</v>
      </c>
      <c r="CZ196" s="361">
        <v>463362.62</v>
      </c>
      <c r="DA196" s="361">
        <v>821840.41</v>
      </c>
      <c r="DB196" s="361">
        <v>589609.12</v>
      </c>
      <c r="DC196" s="361">
        <v>855982.88</v>
      </c>
      <c r="DD196" s="361">
        <v>463388.81</v>
      </c>
      <c r="DE196" s="361">
        <v>489600.35</v>
      </c>
      <c r="DF196" s="361">
        <v>769480.03</v>
      </c>
      <c r="DG196" s="361"/>
      <c r="DH196" s="361"/>
      <c r="DI196" s="361"/>
      <c r="DJ196" s="362"/>
    </row>
    <row r="197" spans="2:114" ht="13">
      <c r="B197" s="294"/>
      <c r="C197" s="294"/>
      <c r="D197" s="294"/>
      <c r="E197" s="295"/>
      <c r="F197" s="294"/>
      <c r="G197" s="295"/>
      <c r="H197" s="295"/>
      <c r="P197" s="295"/>
      <c r="W197" s="295"/>
      <c r="AD197" s="295"/>
      <c r="AK197" s="295"/>
      <c r="BR197" s="188"/>
      <c r="BT197" s="296"/>
      <c r="BU197" s="296"/>
      <c r="BV197" s="296"/>
      <c r="CT197" s="510">
        <v>38</v>
      </c>
      <c r="CU197" s="359" t="s">
        <v>271</v>
      </c>
      <c r="CV197" s="361">
        <v>9645287.0800000001</v>
      </c>
      <c r="CW197" s="361">
        <v>1579829.05</v>
      </c>
      <c r="CX197" s="361">
        <v>1164914.45</v>
      </c>
      <c r="CY197" s="361">
        <v>770961.5</v>
      </c>
      <c r="CZ197" s="361">
        <v>1045527.16</v>
      </c>
      <c r="DA197" s="361">
        <v>660141.48</v>
      </c>
      <c r="DB197" s="361">
        <v>852191</v>
      </c>
      <c r="DC197" s="361">
        <v>553151.4</v>
      </c>
      <c r="DD197" s="361">
        <v>1109871.3999999999</v>
      </c>
      <c r="DE197" s="361">
        <v>1148966.3899999999</v>
      </c>
      <c r="DF197" s="361">
        <v>759733.25</v>
      </c>
      <c r="DG197" s="361"/>
      <c r="DH197" s="361"/>
      <c r="DI197" s="361"/>
      <c r="DJ197" s="362"/>
    </row>
    <row r="198" spans="2:114" ht="13">
      <c r="B198" s="294"/>
      <c r="C198" s="294"/>
      <c r="D198" s="294"/>
      <c r="E198" s="295"/>
      <c r="F198" s="294"/>
      <c r="G198" s="295"/>
      <c r="H198" s="295"/>
      <c r="P198" s="295"/>
      <c r="W198" s="295"/>
      <c r="AD198" s="295"/>
      <c r="AK198" s="295"/>
      <c r="BR198" s="188"/>
      <c r="BT198" s="296"/>
      <c r="BU198" s="296"/>
      <c r="BV198" s="296"/>
      <c r="CT198" s="510">
        <v>39</v>
      </c>
      <c r="CU198" s="359" t="s">
        <v>344</v>
      </c>
      <c r="CV198" s="361">
        <v>5958964.4800000004</v>
      </c>
      <c r="CW198" s="361">
        <v>995581.43</v>
      </c>
      <c r="CX198" s="361">
        <v>1267623.74</v>
      </c>
      <c r="CY198" s="361">
        <v>226295.72</v>
      </c>
      <c r="CZ198" s="361">
        <v>612827.96</v>
      </c>
      <c r="DA198" s="361">
        <v>283446.33</v>
      </c>
      <c r="DB198" s="361">
        <v>355332.16</v>
      </c>
      <c r="DC198" s="361">
        <v>202862.45</v>
      </c>
      <c r="DD198" s="361">
        <v>756979.1</v>
      </c>
      <c r="DE198" s="361">
        <v>502185.95</v>
      </c>
      <c r="DF198" s="361">
        <v>755829.64</v>
      </c>
      <c r="DG198" s="361"/>
      <c r="DH198" s="361"/>
      <c r="DI198" s="361"/>
      <c r="DJ198" s="362"/>
    </row>
    <row r="199" spans="2:114" ht="13">
      <c r="B199" s="294"/>
      <c r="C199" s="294"/>
      <c r="D199" s="294"/>
      <c r="E199" s="295"/>
      <c r="F199" s="294"/>
      <c r="G199" s="295"/>
      <c r="H199" s="295"/>
      <c r="P199" s="295"/>
      <c r="W199" s="295"/>
      <c r="AD199" s="295"/>
      <c r="AK199" s="295"/>
      <c r="BR199" s="188"/>
      <c r="BT199" s="296"/>
      <c r="BU199" s="296"/>
      <c r="BV199" s="296"/>
      <c r="CT199" s="510">
        <v>40</v>
      </c>
      <c r="CU199" s="359" t="s">
        <v>290</v>
      </c>
      <c r="CV199" s="361">
        <v>3881666.47</v>
      </c>
      <c r="CW199" s="361">
        <v>519999.21</v>
      </c>
      <c r="CX199" s="361">
        <v>403351.95</v>
      </c>
      <c r="CY199" s="361">
        <v>99519.86</v>
      </c>
      <c r="CZ199" s="361">
        <v>466259.83</v>
      </c>
      <c r="DA199" s="361">
        <v>558999.18000000005</v>
      </c>
      <c r="DB199" s="361">
        <v>119886.66</v>
      </c>
      <c r="DC199" s="361">
        <v>313112.26</v>
      </c>
      <c r="DD199" s="361">
        <v>66620.960000000006</v>
      </c>
      <c r="DE199" s="361">
        <v>597600.19999999995</v>
      </c>
      <c r="DF199" s="361">
        <v>736316.37</v>
      </c>
      <c r="DG199" s="361"/>
      <c r="DH199" s="361"/>
      <c r="DI199" s="361"/>
      <c r="DJ199" s="362"/>
    </row>
    <row r="200" spans="2:114" ht="13">
      <c r="B200" s="294"/>
      <c r="C200" s="294"/>
      <c r="D200" s="294"/>
      <c r="E200" s="295"/>
      <c r="F200" s="294"/>
      <c r="G200" s="295"/>
      <c r="H200" s="295"/>
      <c r="P200" s="295"/>
      <c r="W200" s="295"/>
      <c r="AD200" s="295"/>
      <c r="AK200" s="295"/>
      <c r="BR200" s="188"/>
      <c r="BT200" s="296"/>
      <c r="BU200" s="296"/>
      <c r="BV200" s="296"/>
      <c r="CT200" s="510">
        <v>41</v>
      </c>
      <c r="CU200" s="359" t="s">
        <v>274</v>
      </c>
      <c r="CV200" s="361">
        <v>3548860.29</v>
      </c>
      <c r="CW200" s="361">
        <v>69164.929999999993</v>
      </c>
      <c r="CX200" s="361">
        <v>108545.49</v>
      </c>
      <c r="CY200" s="361">
        <v>128025.44</v>
      </c>
      <c r="CZ200" s="361">
        <v>609442.25</v>
      </c>
      <c r="DA200" s="361">
        <v>556403.44999999995</v>
      </c>
      <c r="DB200" s="361">
        <v>346271.91</v>
      </c>
      <c r="DC200" s="361">
        <v>362736.92</v>
      </c>
      <c r="DD200" s="361">
        <v>522550.82</v>
      </c>
      <c r="DE200" s="361">
        <v>111028.5</v>
      </c>
      <c r="DF200" s="361">
        <v>734690.58</v>
      </c>
      <c r="DG200" s="361"/>
      <c r="DH200" s="361"/>
      <c r="DI200" s="361"/>
      <c r="DJ200" s="362"/>
    </row>
    <row r="201" spans="2:114" ht="13">
      <c r="B201" s="294"/>
      <c r="C201" s="294"/>
      <c r="D201" s="294"/>
      <c r="E201" s="295"/>
      <c r="F201" s="294"/>
      <c r="G201" s="295"/>
      <c r="H201" s="295"/>
      <c r="P201" s="295"/>
      <c r="W201" s="295"/>
      <c r="AD201" s="295"/>
      <c r="AK201" s="295"/>
      <c r="BR201" s="188"/>
      <c r="BT201" s="296"/>
      <c r="BU201" s="296"/>
      <c r="BV201" s="296"/>
      <c r="CT201" s="510">
        <v>42</v>
      </c>
      <c r="CU201" s="359" t="s">
        <v>277</v>
      </c>
      <c r="CV201" s="361">
        <v>4445846.96</v>
      </c>
      <c r="CW201" s="361">
        <v>874136.81</v>
      </c>
      <c r="CX201" s="361">
        <v>380233.4</v>
      </c>
      <c r="CY201" s="361">
        <v>476174.18</v>
      </c>
      <c r="CZ201" s="361">
        <v>314536.95</v>
      </c>
      <c r="DA201" s="361">
        <v>223732.89</v>
      </c>
      <c r="DB201" s="361">
        <v>162174.14000000001</v>
      </c>
      <c r="DC201" s="361">
        <v>392103.59</v>
      </c>
      <c r="DD201" s="361">
        <v>583230.31000000006</v>
      </c>
      <c r="DE201" s="361">
        <v>321672.93</v>
      </c>
      <c r="DF201" s="361">
        <v>717851.76</v>
      </c>
      <c r="DG201" s="361"/>
      <c r="DH201" s="361"/>
      <c r="DI201" s="361"/>
      <c r="DJ201" s="362"/>
    </row>
    <row r="202" spans="2:114" ht="13">
      <c r="B202" s="294"/>
      <c r="C202" s="294"/>
      <c r="D202" s="294"/>
      <c r="E202" s="295"/>
      <c r="F202" s="294"/>
      <c r="G202" s="295"/>
      <c r="H202" s="295"/>
      <c r="P202" s="295"/>
      <c r="W202" s="295"/>
      <c r="AD202" s="295"/>
      <c r="AK202" s="295"/>
      <c r="BR202" s="188"/>
      <c r="BT202" s="296"/>
      <c r="BU202" s="296"/>
      <c r="BV202" s="296"/>
      <c r="CT202" s="510">
        <v>43</v>
      </c>
      <c r="CU202" s="359" t="s">
        <v>337</v>
      </c>
      <c r="CV202" s="361">
        <v>5212984.8099999996</v>
      </c>
      <c r="CW202" s="361">
        <v>1139646.92</v>
      </c>
      <c r="CX202" s="361">
        <v>621165.53</v>
      </c>
      <c r="CY202" s="361">
        <v>607175.89</v>
      </c>
      <c r="CZ202" s="361">
        <v>0</v>
      </c>
      <c r="DA202" s="361">
        <v>105841.60000000001</v>
      </c>
      <c r="DB202" s="361">
        <v>717500.39</v>
      </c>
      <c r="DC202" s="361">
        <v>82263</v>
      </c>
      <c r="DD202" s="361">
        <v>1084743.92</v>
      </c>
      <c r="DE202" s="361">
        <v>203586.3</v>
      </c>
      <c r="DF202" s="361">
        <v>651061.26</v>
      </c>
      <c r="DG202" s="365"/>
      <c r="DH202" s="365"/>
      <c r="DI202" s="365"/>
      <c r="DJ202" s="366"/>
    </row>
    <row r="203" spans="2:114" ht="13">
      <c r="B203" s="294"/>
      <c r="C203" s="294"/>
      <c r="D203" s="294"/>
      <c r="E203" s="295"/>
      <c r="F203" s="294"/>
      <c r="G203" s="295"/>
      <c r="H203" s="295"/>
      <c r="P203" s="295"/>
      <c r="W203" s="295"/>
      <c r="AD203" s="295"/>
      <c r="AK203" s="295"/>
      <c r="BR203" s="188"/>
      <c r="BT203" s="296"/>
      <c r="BU203" s="296"/>
      <c r="BV203" s="296"/>
      <c r="CT203" s="510">
        <v>44</v>
      </c>
      <c r="CU203" s="359" t="s">
        <v>297</v>
      </c>
      <c r="CV203" s="361">
        <v>2406863.77</v>
      </c>
      <c r="CW203" s="361">
        <v>400962.24</v>
      </c>
      <c r="CX203" s="361">
        <v>0</v>
      </c>
      <c r="CY203" s="361">
        <v>132156.32</v>
      </c>
      <c r="CZ203" s="361">
        <v>266690.8</v>
      </c>
      <c r="DA203" s="361">
        <v>68683.679999999993</v>
      </c>
      <c r="DB203" s="361">
        <v>127357.52</v>
      </c>
      <c r="DC203" s="361">
        <v>445629.19</v>
      </c>
      <c r="DD203" s="361">
        <v>0</v>
      </c>
      <c r="DE203" s="361">
        <v>336315.26</v>
      </c>
      <c r="DF203" s="361">
        <v>629068.76</v>
      </c>
      <c r="DG203" s="361"/>
      <c r="DH203" s="361"/>
      <c r="DI203" s="361"/>
      <c r="DJ203" s="362"/>
    </row>
    <row r="204" spans="2:114" ht="13">
      <c r="B204" s="294"/>
      <c r="C204" s="294"/>
      <c r="D204" s="294"/>
      <c r="E204" s="295"/>
      <c r="F204" s="294"/>
      <c r="G204" s="295"/>
      <c r="H204" s="295"/>
      <c r="P204" s="295"/>
      <c r="W204" s="295"/>
      <c r="AD204" s="295"/>
      <c r="AK204" s="295"/>
      <c r="BR204" s="188"/>
      <c r="BT204" s="296"/>
      <c r="BU204" s="296"/>
      <c r="BV204" s="296"/>
      <c r="CT204" s="510">
        <v>45</v>
      </c>
      <c r="CU204" s="359" t="s">
        <v>340</v>
      </c>
      <c r="CV204" s="361">
        <v>5878488.6299999999</v>
      </c>
      <c r="CW204" s="361">
        <v>743518.35</v>
      </c>
      <c r="CX204" s="361">
        <v>753900.13</v>
      </c>
      <c r="CY204" s="361">
        <v>607515</v>
      </c>
      <c r="CZ204" s="361">
        <v>1512909.78</v>
      </c>
      <c r="DA204" s="361">
        <v>0</v>
      </c>
      <c r="DB204" s="361">
        <v>166644.46</v>
      </c>
      <c r="DC204" s="361">
        <v>1047261.13</v>
      </c>
      <c r="DD204" s="361">
        <v>272816.67</v>
      </c>
      <c r="DE204" s="361">
        <v>177692.57</v>
      </c>
      <c r="DF204" s="361">
        <v>596230.55000000005</v>
      </c>
      <c r="DG204" s="365"/>
      <c r="DH204" s="365"/>
      <c r="DI204" s="365"/>
      <c r="DJ204" s="366"/>
    </row>
    <row r="205" spans="2:114" ht="13">
      <c r="B205" s="294"/>
      <c r="C205" s="294"/>
      <c r="D205" s="294"/>
      <c r="E205" s="295"/>
      <c r="F205" s="294"/>
      <c r="G205" s="295"/>
      <c r="H205" s="295"/>
      <c r="P205" s="295"/>
      <c r="W205" s="295"/>
      <c r="AD205" s="295"/>
      <c r="AK205" s="295"/>
      <c r="BR205" s="188"/>
      <c r="BT205" s="296"/>
      <c r="BU205" s="296"/>
      <c r="BV205" s="296"/>
      <c r="CT205" s="510">
        <v>46</v>
      </c>
      <c r="CU205" s="359" t="s">
        <v>312</v>
      </c>
      <c r="CV205" s="361">
        <v>5093907.4000000004</v>
      </c>
      <c r="CW205" s="361">
        <v>453501.11</v>
      </c>
      <c r="CX205" s="361">
        <v>504902.05</v>
      </c>
      <c r="CY205" s="361">
        <v>247169.55</v>
      </c>
      <c r="CZ205" s="361">
        <v>423165.76</v>
      </c>
      <c r="DA205" s="361">
        <v>386520.5</v>
      </c>
      <c r="DB205" s="361">
        <v>525566.44999999995</v>
      </c>
      <c r="DC205" s="361">
        <v>526159.13</v>
      </c>
      <c r="DD205" s="361">
        <v>733687.43</v>
      </c>
      <c r="DE205" s="361">
        <v>705683</v>
      </c>
      <c r="DF205" s="361">
        <v>587552.43000000005</v>
      </c>
      <c r="DG205" s="361"/>
      <c r="DH205" s="361"/>
      <c r="DI205" s="361"/>
      <c r="DJ205" s="362"/>
    </row>
    <row r="206" spans="2:114" ht="13">
      <c r="B206" s="294"/>
      <c r="C206" s="294"/>
      <c r="D206" s="294"/>
      <c r="E206" s="295"/>
      <c r="F206" s="294"/>
      <c r="G206" s="295"/>
      <c r="H206" s="295"/>
      <c r="P206" s="295"/>
      <c r="W206" s="295"/>
      <c r="AD206" s="295"/>
      <c r="AK206" s="295"/>
      <c r="BR206" s="188"/>
      <c r="BT206" s="296"/>
      <c r="BU206" s="296"/>
      <c r="BV206" s="296"/>
      <c r="CT206" s="510">
        <v>47</v>
      </c>
      <c r="CU206" s="359" t="s">
        <v>336</v>
      </c>
      <c r="CV206" s="361">
        <v>1730759.77</v>
      </c>
      <c r="CW206" s="361">
        <v>0</v>
      </c>
      <c r="CX206" s="361">
        <v>292372.96000000002</v>
      </c>
      <c r="CY206" s="361">
        <v>0</v>
      </c>
      <c r="CZ206" s="361">
        <v>0</v>
      </c>
      <c r="DA206" s="361">
        <v>445331.24</v>
      </c>
      <c r="DB206" s="361">
        <v>0</v>
      </c>
      <c r="DC206" s="361">
        <v>69032.539999999994</v>
      </c>
      <c r="DD206" s="361">
        <v>334960.39</v>
      </c>
      <c r="DE206" s="361">
        <v>96243.77</v>
      </c>
      <c r="DF206" s="361">
        <v>492818.87</v>
      </c>
      <c r="DG206" s="361"/>
      <c r="DH206" s="361"/>
      <c r="DI206" s="361"/>
      <c r="DJ206" s="362"/>
    </row>
    <row r="207" spans="2:114" ht="13">
      <c r="B207" s="294"/>
      <c r="C207" s="294"/>
      <c r="D207" s="294"/>
      <c r="E207" s="295"/>
      <c r="F207" s="294"/>
      <c r="G207" s="295"/>
      <c r="H207" s="295"/>
      <c r="P207" s="295"/>
      <c r="W207" s="295"/>
      <c r="AD207" s="295"/>
      <c r="AK207" s="295"/>
      <c r="BR207" s="188"/>
      <c r="BT207" s="296"/>
      <c r="BU207" s="296"/>
      <c r="BV207" s="296"/>
      <c r="CT207" s="510">
        <v>48</v>
      </c>
      <c r="CU207" s="359" t="s">
        <v>257</v>
      </c>
      <c r="CV207" s="361">
        <v>2109871.33</v>
      </c>
      <c r="CW207" s="361">
        <v>105423.97</v>
      </c>
      <c r="CX207" s="361">
        <v>293026.65999999997</v>
      </c>
      <c r="CY207" s="361">
        <v>84811.03</v>
      </c>
      <c r="CZ207" s="361">
        <v>134726.97</v>
      </c>
      <c r="DA207" s="361">
        <v>181242.27</v>
      </c>
      <c r="DB207" s="361">
        <v>379671.01</v>
      </c>
      <c r="DC207" s="361">
        <v>181755.1</v>
      </c>
      <c r="DD207" s="361">
        <v>63581.98</v>
      </c>
      <c r="DE207" s="361">
        <v>207131.01</v>
      </c>
      <c r="DF207" s="361">
        <v>478501.33</v>
      </c>
      <c r="DG207" s="361"/>
      <c r="DH207" s="361"/>
      <c r="DI207" s="361"/>
      <c r="DJ207" s="362"/>
    </row>
    <row r="208" spans="2:114" ht="13">
      <c r="B208" s="294"/>
      <c r="C208" s="294"/>
      <c r="D208" s="294"/>
      <c r="E208" s="295"/>
      <c r="F208" s="294"/>
      <c r="G208" s="295"/>
      <c r="H208" s="295"/>
      <c r="P208" s="295"/>
      <c r="W208" s="295"/>
      <c r="AD208" s="295"/>
      <c r="AK208" s="295"/>
      <c r="BR208" s="188"/>
      <c r="BT208" s="296"/>
      <c r="BU208" s="296"/>
      <c r="BV208" s="296"/>
      <c r="CT208" s="510">
        <v>49</v>
      </c>
      <c r="CU208" s="359" t="s">
        <v>342</v>
      </c>
      <c r="CV208" s="361">
        <v>4980307.33</v>
      </c>
      <c r="CW208" s="361">
        <v>436917.66</v>
      </c>
      <c r="CX208" s="361">
        <v>391315.83</v>
      </c>
      <c r="CY208" s="361">
        <v>127103.82</v>
      </c>
      <c r="CZ208" s="361">
        <v>391297.03</v>
      </c>
      <c r="DA208" s="361">
        <v>1419665.34</v>
      </c>
      <c r="DB208" s="361">
        <v>329509.11</v>
      </c>
      <c r="DC208" s="361">
        <v>303659.09000000003</v>
      </c>
      <c r="DD208" s="361">
        <v>940656.91</v>
      </c>
      <c r="DE208" s="361">
        <v>168326.39999999999</v>
      </c>
      <c r="DF208" s="361">
        <v>471856.14</v>
      </c>
      <c r="DG208" s="361"/>
      <c r="DH208" s="361"/>
      <c r="DI208" s="361"/>
      <c r="DJ208" s="362"/>
    </row>
    <row r="209" spans="2:114" ht="13">
      <c r="B209" s="294"/>
      <c r="C209" s="294"/>
      <c r="D209" s="294"/>
      <c r="E209" s="295"/>
      <c r="F209" s="294"/>
      <c r="G209" s="295"/>
      <c r="H209" s="295"/>
      <c r="P209" s="295"/>
      <c r="W209" s="295"/>
      <c r="AD209" s="295"/>
      <c r="AK209" s="295"/>
      <c r="BR209" s="188"/>
      <c r="BT209" s="296"/>
      <c r="BU209" s="296"/>
      <c r="BV209" s="296"/>
      <c r="CT209" s="510">
        <v>50</v>
      </c>
      <c r="CU209" s="359" t="s">
        <v>298</v>
      </c>
      <c r="CV209" s="361">
        <v>8262848.7699999996</v>
      </c>
      <c r="CW209" s="361">
        <v>946321.68</v>
      </c>
      <c r="CX209" s="361">
        <v>806695.36</v>
      </c>
      <c r="CY209" s="361">
        <v>704438.53</v>
      </c>
      <c r="CZ209" s="361">
        <v>1013443.83</v>
      </c>
      <c r="DA209" s="361">
        <v>418239.56</v>
      </c>
      <c r="DB209" s="361">
        <v>1938105.1</v>
      </c>
      <c r="DC209" s="361">
        <v>842864.35</v>
      </c>
      <c r="DD209" s="361">
        <v>527581.67000000004</v>
      </c>
      <c r="DE209" s="361">
        <v>599572.78</v>
      </c>
      <c r="DF209" s="361">
        <v>465585.91999999998</v>
      </c>
      <c r="DG209" s="361"/>
      <c r="DH209" s="361"/>
      <c r="DI209" s="361"/>
      <c r="DJ209" s="362"/>
    </row>
    <row r="210" spans="2:114" ht="13">
      <c r="B210" s="294"/>
      <c r="C210" s="294"/>
      <c r="D210" s="294"/>
      <c r="E210" s="295"/>
      <c r="F210" s="294"/>
      <c r="G210" s="295"/>
      <c r="H210" s="295"/>
      <c r="P210" s="295"/>
      <c r="W210" s="295"/>
      <c r="AD210" s="295"/>
      <c r="AK210" s="295"/>
      <c r="BR210" s="188"/>
      <c r="BT210" s="296"/>
      <c r="BU210" s="296"/>
      <c r="BV210" s="296"/>
      <c r="CT210" s="510">
        <v>51</v>
      </c>
      <c r="CU210" s="359" t="s">
        <v>320</v>
      </c>
      <c r="CV210" s="361">
        <v>3315211.39</v>
      </c>
      <c r="CW210" s="361">
        <v>560829.1</v>
      </c>
      <c r="CX210" s="361">
        <v>327378.8</v>
      </c>
      <c r="CY210" s="361">
        <v>198144.8</v>
      </c>
      <c r="CZ210" s="361">
        <v>309589.40999999997</v>
      </c>
      <c r="DA210" s="361">
        <v>211068.45</v>
      </c>
      <c r="DB210" s="361">
        <v>479142.32</v>
      </c>
      <c r="DC210" s="361">
        <v>319419.19</v>
      </c>
      <c r="DD210" s="361">
        <v>235016.53</v>
      </c>
      <c r="DE210" s="361">
        <v>268971.49</v>
      </c>
      <c r="DF210" s="361">
        <v>405651.3</v>
      </c>
      <c r="DG210" s="365"/>
      <c r="DH210" s="365"/>
      <c r="DI210" s="365"/>
      <c r="DJ210" s="366"/>
    </row>
    <row r="211" spans="2:114" ht="13">
      <c r="B211" s="294"/>
      <c r="C211" s="294"/>
      <c r="D211" s="294"/>
      <c r="E211" s="295"/>
      <c r="F211" s="294"/>
      <c r="G211" s="295"/>
      <c r="H211" s="295"/>
      <c r="P211" s="295"/>
      <c r="W211" s="295"/>
      <c r="AD211" s="295"/>
      <c r="AK211" s="295"/>
      <c r="BR211" s="188"/>
      <c r="BT211" s="296"/>
      <c r="BU211" s="296"/>
      <c r="BV211" s="296"/>
      <c r="CT211" s="510">
        <v>52</v>
      </c>
      <c r="CU211" s="359" t="s">
        <v>308</v>
      </c>
      <c r="CV211" s="361">
        <v>2135947.23</v>
      </c>
      <c r="CW211" s="361">
        <v>884850.8</v>
      </c>
      <c r="CX211" s="361">
        <v>206487.21</v>
      </c>
      <c r="CY211" s="361">
        <v>377205</v>
      </c>
      <c r="CZ211" s="361">
        <v>0</v>
      </c>
      <c r="DA211" s="361">
        <v>0</v>
      </c>
      <c r="DB211" s="361">
        <v>0</v>
      </c>
      <c r="DC211" s="361">
        <v>0</v>
      </c>
      <c r="DD211" s="361">
        <v>310757.42</v>
      </c>
      <c r="DE211" s="361">
        <v>0</v>
      </c>
      <c r="DF211" s="361">
        <v>356646.8</v>
      </c>
      <c r="DG211" s="361"/>
      <c r="DH211" s="361"/>
      <c r="DI211" s="361"/>
      <c r="DJ211" s="362"/>
    </row>
    <row r="212" spans="2:114" ht="13">
      <c r="B212" s="294"/>
      <c r="C212" s="294"/>
      <c r="D212" s="294"/>
      <c r="E212" s="295"/>
      <c r="F212" s="294"/>
      <c r="G212" s="295"/>
      <c r="H212" s="295"/>
      <c r="P212" s="295"/>
      <c r="W212" s="295"/>
      <c r="AD212" s="295"/>
      <c r="AK212" s="295"/>
      <c r="BR212" s="188"/>
      <c r="BT212" s="296"/>
      <c r="BU212" s="296"/>
      <c r="BV212" s="296"/>
      <c r="CT212" s="510">
        <v>53</v>
      </c>
      <c r="CU212" s="359" t="s">
        <v>317</v>
      </c>
      <c r="CV212" s="361">
        <v>2797146.85</v>
      </c>
      <c r="CW212" s="361">
        <v>362891.07</v>
      </c>
      <c r="CX212" s="361">
        <v>160715.94</v>
      </c>
      <c r="CY212" s="361">
        <v>328475.25</v>
      </c>
      <c r="CZ212" s="361">
        <v>298243.32</v>
      </c>
      <c r="DA212" s="361">
        <v>247571.48</v>
      </c>
      <c r="DB212" s="361">
        <v>336137.27</v>
      </c>
      <c r="DC212" s="361">
        <v>425670.59</v>
      </c>
      <c r="DD212" s="361">
        <v>185560.49</v>
      </c>
      <c r="DE212" s="361">
        <v>121866.05</v>
      </c>
      <c r="DF212" s="361">
        <v>330015.38</v>
      </c>
      <c r="DG212" s="361"/>
      <c r="DH212" s="361"/>
      <c r="DI212" s="361"/>
      <c r="DJ212" s="362"/>
    </row>
    <row r="213" spans="2:114" ht="13">
      <c r="B213" s="294"/>
      <c r="C213" s="294"/>
      <c r="D213" s="294"/>
      <c r="E213" s="295"/>
      <c r="F213" s="294"/>
      <c r="G213" s="295"/>
      <c r="H213" s="295"/>
      <c r="P213" s="295"/>
      <c r="W213" s="295"/>
      <c r="AD213" s="295"/>
      <c r="AK213" s="295"/>
      <c r="BR213" s="188"/>
      <c r="BT213" s="296"/>
      <c r="BU213" s="296"/>
      <c r="BV213" s="296"/>
      <c r="CT213" s="510">
        <v>54</v>
      </c>
      <c r="CU213" s="359" t="s">
        <v>304</v>
      </c>
      <c r="CV213" s="361">
        <v>2180584.7400000002</v>
      </c>
      <c r="CW213" s="361">
        <v>139866.74</v>
      </c>
      <c r="CX213" s="361">
        <v>149668</v>
      </c>
      <c r="CY213" s="361">
        <v>0</v>
      </c>
      <c r="CZ213" s="361">
        <v>141825.14000000001</v>
      </c>
      <c r="DA213" s="361">
        <v>249342.83</v>
      </c>
      <c r="DB213" s="361">
        <v>173370.93</v>
      </c>
      <c r="DC213" s="361">
        <v>399170.2</v>
      </c>
      <c r="DD213" s="361">
        <v>409215.93</v>
      </c>
      <c r="DE213" s="361">
        <v>210815.22</v>
      </c>
      <c r="DF213" s="361">
        <v>307309.77</v>
      </c>
      <c r="DG213" s="361"/>
      <c r="DH213" s="361"/>
      <c r="DI213" s="361"/>
      <c r="DJ213" s="362"/>
    </row>
    <row r="214" spans="2:114" ht="13">
      <c r="B214" s="294"/>
      <c r="C214" s="294"/>
      <c r="D214" s="294"/>
      <c r="E214" s="295"/>
      <c r="F214" s="294"/>
      <c r="G214" s="295"/>
      <c r="H214" s="295"/>
      <c r="P214" s="295"/>
      <c r="W214" s="295"/>
      <c r="AD214" s="295"/>
      <c r="AK214" s="295"/>
      <c r="BR214" s="188"/>
      <c r="BT214" s="296"/>
      <c r="BU214" s="296"/>
      <c r="BV214" s="296"/>
      <c r="CT214" s="510">
        <v>55</v>
      </c>
      <c r="CU214" s="359" t="s">
        <v>280</v>
      </c>
      <c r="CV214" s="361">
        <v>669070.68999999994</v>
      </c>
      <c r="CW214" s="361">
        <v>68105.59</v>
      </c>
      <c r="CX214" s="361">
        <v>0</v>
      </c>
      <c r="CY214" s="361">
        <v>5614.67</v>
      </c>
      <c r="CZ214" s="361">
        <v>81702.899999999994</v>
      </c>
      <c r="DA214" s="361">
        <v>0</v>
      </c>
      <c r="DB214" s="361">
        <v>0</v>
      </c>
      <c r="DC214" s="361">
        <v>25795.26</v>
      </c>
      <c r="DD214" s="361">
        <v>15761.69</v>
      </c>
      <c r="DE214" s="361">
        <v>175006.43</v>
      </c>
      <c r="DF214" s="361">
        <v>297084.14</v>
      </c>
      <c r="DG214" s="365"/>
      <c r="DH214" s="365"/>
      <c r="DI214" s="365"/>
      <c r="DJ214" s="366"/>
    </row>
    <row r="215" spans="2:114" ht="13">
      <c r="B215" s="294"/>
      <c r="C215" s="294"/>
      <c r="D215" s="294"/>
      <c r="E215" s="295"/>
      <c r="F215" s="294"/>
      <c r="G215" s="295"/>
      <c r="H215" s="295"/>
      <c r="P215" s="295"/>
      <c r="W215" s="295"/>
      <c r="AD215" s="295"/>
      <c r="AK215" s="295"/>
      <c r="BR215" s="188"/>
      <c r="BT215" s="296"/>
      <c r="BU215" s="296"/>
      <c r="BV215" s="296"/>
      <c r="CT215" s="510">
        <v>56</v>
      </c>
      <c r="CU215" s="359" t="s">
        <v>343</v>
      </c>
      <c r="CV215" s="361">
        <v>5886074.0800000001</v>
      </c>
      <c r="CW215" s="361">
        <v>1125618.93</v>
      </c>
      <c r="CX215" s="361">
        <v>886908.13</v>
      </c>
      <c r="CY215" s="361">
        <v>854102.12</v>
      </c>
      <c r="CZ215" s="361">
        <v>142512.44</v>
      </c>
      <c r="DA215" s="361">
        <v>990798.43</v>
      </c>
      <c r="DB215" s="361">
        <v>511157.13</v>
      </c>
      <c r="DC215" s="361">
        <v>175485.79</v>
      </c>
      <c r="DD215" s="361">
        <v>491901.71</v>
      </c>
      <c r="DE215" s="361">
        <v>424109.45</v>
      </c>
      <c r="DF215" s="361">
        <v>283479.95</v>
      </c>
      <c r="DG215" s="365"/>
      <c r="DH215" s="365"/>
      <c r="DI215" s="365"/>
      <c r="DJ215" s="366"/>
    </row>
    <row r="216" spans="2:114" ht="13">
      <c r="B216" s="294"/>
      <c r="C216" s="294"/>
      <c r="D216" s="294"/>
      <c r="E216" s="295"/>
      <c r="F216" s="294"/>
      <c r="G216" s="295"/>
      <c r="H216" s="295"/>
      <c r="P216" s="295"/>
      <c r="W216" s="295"/>
      <c r="AD216" s="295"/>
      <c r="AK216" s="295"/>
      <c r="BR216" s="188"/>
      <c r="BT216" s="296"/>
      <c r="BU216" s="296"/>
      <c r="BV216" s="296"/>
      <c r="CT216" s="510">
        <v>57</v>
      </c>
      <c r="CU216" s="359" t="s">
        <v>296</v>
      </c>
      <c r="CV216" s="361">
        <v>1200799.74</v>
      </c>
      <c r="CW216" s="361">
        <v>232060.96</v>
      </c>
      <c r="CX216" s="361">
        <v>0</v>
      </c>
      <c r="CY216" s="361">
        <v>98785.919999999998</v>
      </c>
      <c r="CZ216" s="361">
        <v>144240</v>
      </c>
      <c r="DA216" s="361">
        <v>117574.08</v>
      </c>
      <c r="DB216" s="361">
        <v>0</v>
      </c>
      <c r="DC216" s="361">
        <v>0</v>
      </c>
      <c r="DD216" s="361">
        <v>0</v>
      </c>
      <c r="DE216" s="361">
        <v>345751.2</v>
      </c>
      <c r="DF216" s="361">
        <v>262387.58</v>
      </c>
      <c r="DG216" s="361"/>
      <c r="DH216" s="361"/>
      <c r="DI216" s="361"/>
      <c r="DJ216" s="362"/>
    </row>
    <row r="217" spans="2:114" ht="13">
      <c r="B217" s="294"/>
      <c r="C217" s="294"/>
      <c r="D217" s="294"/>
      <c r="E217" s="295"/>
      <c r="F217" s="294"/>
      <c r="G217" s="295"/>
      <c r="H217" s="295"/>
      <c r="P217" s="295"/>
      <c r="W217" s="295"/>
      <c r="AD217" s="295"/>
      <c r="AK217" s="295"/>
      <c r="BR217" s="188"/>
      <c r="BT217" s="296"/>
      <c r="BU217" s="296"/>
      <c r="BV217" s="296"/>
      <c r="CT217" s="510">
        <v>58</v>
      </c>
      <c r="CU217" s="359" t="s">
        <v>332</v>
      </c>
      <c r="CV217" s="361">
        <v>682325.14</v>
      </c>
      <c r="CW217" s="361">
        <v>0</v>
      </c>
      <c r="CX217" s="361">
        <v>0</v>
      </c>
      <c r="CY217" s="361">
        <v>0</v>
      </c>
      <c r="CZ217" s="361">
        <v>11672.63</v>
      </c>
      <c r="DA217" s="361">
        <v>336984.7</v>
      </c>
      <c r="DB217" s="361">
        <v>0</v>
      </c>
      <c r="DC217" s="361">
        <v>0</v>
      </c>
      <c r="DD217" s="361">
        <v>95215.81</v>
      </c>
      <c r="DE217" s="361">
        <v>0</v>
      </c>
      <c r="DF217" s="361">
        <v>238452</v>
      </c>
      <c r="DG217" s="361"/>
      <c r="DH217" s="361"/>
      <c r="DI217" s="361"/>
      <c r="DJ217" s="362"/>
    </row>
    <row r="218" spans="2:114" ht="13">
      <c r="B218" s="294"/>
      <c r="C218" s="294"/>
      <c r="D218" s="294"/>
      <c r="E218" s="295"/>
      <c r="F218" s="294"/>
      <c r="G218" s="295"/>
      <c r="H218" s="295"/>
      <c r="P218" s="295"/>
      <c r="W218" s="295"/>
      <c r="AD218" s="295"/>
      <c r="AK218" s="295"/>
      <c r="BR218" s="188"/>
      <c r="BT218" s="296"/>
      <c r="BU218" s="296"/>
      <c r="BV218" s="296"/>
      <c r="CT218" s="510">
        <v>59</v>
      </c>
      <c r="CU218" s="359" t="s">
        <v>330</v>
      </c>
      <c r="CV218" s="361">
        <v>2198218.7799999998</v>
      </c>
      <c r="CW218" s="361">
        <v>382423</v>
      </c>
      <c r="CX218" s="361">
        <v>257806.8</v>
      </c>
      <c r="CY218" s="361">
        <v>355347.44</v>
      </c>
      <c r="CZ218" s="361">
        <v>37134.5</v>
      </c>
      <c r="DA218" s="361">
        <v>187834.23</v>
      </c>
      <c r="DB218" s="361">
        <v>60884.97</v>
      </c>
      <c r="DC218" s="361">
        <v>271124.63</v>
      </c>
      <c r="DD218" s="361">
        <v>75256.320000000007</v>
      </c>
      <c r="DE218" s="361">
        <v>339433.3</v>
      </c>
      <c r="DF218" s="361">
        <v>230973.6</v>
      </c>
      <c r="DG218" s="361"/>
      <c r="DH218" s="361"/>
      <c r="DI218" s="361"/>
      <c r="DJ218" s="362"/>
    </row>
    <row r="219" spans="2:114" ht="13">
      <c r="B219" s="294"/>
      <c r="C219" s="294"/>
      <c r="D219" s="294"/>
      <c r="E219" s="295"/>
      <c r="F219" s="294"/>
      <c r="G219" s="295"/>
      <c r="H219" s="295"/>
      <c r="P219" s="295"/>
      <c r="W219" s="295"/>
      <c r="AD219" s="295"/>
      <c r="AK219" s="295"/>
      <c r="BR219" s="188"/>
      <c r="BT219" s="296"/>
      <c r="BU219" s="296"/>
      <c r="BV219" s="296"/>
      <c r="CT219" s="510">
        <v>60</v>
      </c>
      <c r="CU219" s="359" t="s">
        <v>303</v>
      </c>
      <c r="CV219" s="361">
        <v>572471.55000000005</v>
      </c>
      <c r="CW219" s="361">
        <v>0</v>
      </c>
      <c r="CX219" s="361">
        <v>0</v>
      </c>
      <c r="CY219" s="361">
        <v>0</v>
      </c>
      <c r="CZ219" s="361">
        <v>0</v>
      </c>
      <c r="DA219" s="361">
        <v>0</v>
      </c>
      <c r="DB219" s="361">
        <v>0</v>
      </c>
      <c r="DC219" s="361">
        <v>73766.48</v>
      </c>
      <c r="DD219" s="361">
        <v>146992.4</v>
      </c>
      <c r="DE219" s="361">
        <v>161265.28</v>
      </c>
      <c r="DF219" s="361">
        <v>190447.39</v>
      </c>
      <c r="DG219" s="361"/>
      <c r="DH219" s="361"/>
      <c r="DI219" s="361"/>
      <c r="DJ219" s="362"/>
    </row>
    <row r="220" spans="2:114" ht="13">
      <c r="B220" s="294"/>
      <c r="C220" s="294"/>
      <c r="D220" s="294"/>
      <c r="E220" s="295"/>
      <c r="F220" s="294"/>
      <c r="G220" s="295"/>
      <c r="H220" s="295"/>
      <c r="P220" s="295"/>
      <c r="W220" s="295"/>
      <c r="AD220" s="295"/>
      <c r="AK220" s="295"/>
      <c r="BR220" s="188"/>
      <c r="BT220" s="296"/>
      <c r="BU220" s="296"/>
      <c r="BV220" s="296"/>
      <c r="CT220" s="510">
        <v>61</v>
      </c>
      <c r="CU220" s="359" t="s">
        <v>346</v>
      </c>
      <c r="CV220" s="361">
        <v>2846264.54</v>
      </c>
      <c r="CW220" s="361">
        <v>327356.28999999998</v>
      </c>
      <c r="CX220" s="361">
        <v>112023.41</v>
      </c>
      <c r="CY220" s="361">
        <v>285688.45</v>
      </c>
      <c r="CZ220" s="361">
        <v>92599.03</v>
      </c>
      <c r="DA220" s="361">
        <v>304636.2</v>
      </c>
      <c r="DB220" s="361">
        <v>294074.59999999998</v>
      </c>
      <c r="DC220" s="361">
        <v>480823.46</v>
      </c>
      <c r="DD220" s="361">
        <v>447401.1</v>
      </c>
      <c r="DE220" s="361">
        <v>312083.59000000003</v>
      </c>
      <c r="DF220" s="361">
        <v>189578.41</v>
      </c>
      <c r="DG220" s="361"/>
      <c r="DH220" s="361"/>
      <c r="DI220" s="361"/>
      <c r="DJ220" s="362"/>
    </row>
    <row r="221" spans="2:114" ht="13">
      <c r="B221" s="294"/>
      <c r="C221" s="294"/>
      <c r="D221" s="294"/>
      <c r="E221" s="295"/>
      <c r="F221" s="294"/>
      <c r="G221" s="295"/>
      <c r="H221" s="295"/>
      <c r="P221" s="295"/>
      <c r="W221" s="295"/>
      <c r="AD221" s="295"/>
      <c r="AK221" s="295"/>
      <c r="BR221" s="188"/>
      <c r="BT221" s="296"/>
      <c r="BU221" s="296"/>
      <c r="BV221" s="296"/>
      <c r="CT221" s="510">
        <v>62</v>
      </c>
      <c r="CU221" s="359" t="s">
        <v>324</v>
      </c>
      <c r="CV221" s="361">
        <v>3920213.35</v>
      </c>
      <c r="CW221" s="361">
        <v>173727.46</v>
      </c>
      <c r="CX221" s="361">
        <v>165189.01999999999</v>
      </c>
      <c r="CY221" s="361">
        <v>205776.15</v>
      </c>
      <c r="CZ221" s="361">
        <v>973954.97</v>
      </c>
      <c r="DA221" s="361">
        <v>45602.91</v>
      </c>
      <c r="DB221" s="361">
        <v>0</v>
      </c>
      <c r="DC221" s="361">
        <v>584453.92000000004</v>
      </c>
      <c r="DD221" s="361">
        <v>1091428.28</v>
      </c>
      <c r="DE221" s="361">
        <v>554169.37</v>
      </c>
      <c r="DF221" s="361">
        <v>125911.28</v>
      </c>
      <c r="DG221" s="361"/>
      <c r="DH221" s="361"/>
      <c r="DI221" s="361"/>
      <c r="DJ221" s="362"/>
    </row>
    <row r="222" spans="2:114" ht="13">
      <c r="B222" s="294"/>
      <c r="C222" s="294"/>
      <c r="D222" s="294"/>
      <c r="E222" s="295"/>
      <c r="F222" s="294"/>
      <c r="G222" s="295"/>
      <c r="H222" s="295"/>
      <c r="P222" s="295"/>
      <c r="W222" s="295"/>
      <c r="AD222" s="295"/>
      <c r="AK222" s="295"/>
      <c r="BR222" s="188"/>
      <c r="BT222" s="296"/>
      <c r="BU222" s="296"/>
      <c r="BV222" s="296"/>
      <c r="CT222" s="510">
        <v>63</v>
      </c>
      <c r="CU222" s="359" t="s">
        <v>305</v>
      </c>
      <c r="CV222" s="361">
        <v>2053610.78</v>
      </c>
      <c r="CW222" s="361">
        <v>123013.65</v>
      </c>
      <c r="CX222" s="361">
        <v>31839.05</v>
      </c>
      <c r="CY222" s="361">
        <v>139327.57999999999</v>
      </c>
      <c r="CZ222" s="361">
        <v>429774.79</v>
      </c>
      <c r="DA222" s="361">
        <v>117950.42</v>
      </c>
      <c r="DB222" s="361">
        <v>124547.61</v>
      </c>
      <c r="DC222" s="361">
        <v>438766.19</v>
      </c>
      <c r="DD222" s="361">
        <v>471556.93</v>
      </c>
      <c r="DE222" s="361">
        <v>59308.92</v>
      </c>
      <c r="DF222" s="361">
        <v>117525.66</v>
      </c>
      <c r="DG222" s="361"/>
      <c r="DH222" s="361"/>
      <c r="DI222" s="361"/>
      <c r="DJ222" s="362"/>
    </row>
    <row r="223" spans="2:114" ht="13">
      <c r="B223" s="294"/>
      <c r="C223" s="294"/>
      <c r="D223" s="294"/>
      <c r="E223" s="295"/>
      <c r="F223" s="294"/>
      <c r="G223" s="295"/>
      <c r="H223" s="295"/>
      <c r="P223" s="295"/>
      <c r="W223" s="295"/>
      <c r="AD223" s="295"/>
      <c r="AK223" s="295"/>
      <c r="BR223" s="188"/>
      <c r="BT223" s="296"/>
      <c r="BU223" s="296"/>
      <c r="BV223" s="296"/>
      <c r="CT223" s="510">
        <v>64</v>
      </c>
      <c r="CU223" s="359" t="s">
        <v>328</v>
      </c>
      <c r="CV223" s="361">
        <v>498224.97</v>
      </c>
      <c r="CW223" s="361">
        <v>56992.39</v>
      </c>
      <c r="CX223" s="361">
        <v>0</v>
      </c>
      <c r="CY223" s="361">
        <v>0</v>
      </c>
      <c r="CZ223" s="361">
        <v>0</v>
      </c>
      <c r="DA223" s="361">
        <v>30902.46</v>
      </c>
      <c r="DB223" s="361">
        <v>98485.13</v>
      </c>
      <c r="DC223" s="361">
        <v>0</v>
      </c>
      <c r="DD223" s="361">
        <v>0</v>
      </c>
      <c r="DE223" s="361">
        <v>206056.51</v>
      </c>
      <c r="DF223" s="361">
        <v>105788.48</v>
      </c>
      <c r="DG223" s="365"/>
      <c r="DH223" s="365"/>
      <c r="DI223" s="365"/>
      <c r="DJ223" s="366"/>
    </row>
    <row r="224" spans="2:114" ht="13">
      <c r="B224" s="294"/>
      <c r="C224" s="294"/>
      <c r="D224" s="294"/>
      <c r="E224" s="295"/>
      <c r="F224" s="294"/>
      <c r="G224" s="295"/>
      <c r="H224" s="295"/>
      <c r="P224" s="295"/>
      <c r="W224" s="295"/>
      <c r="AD224" s="295"/>
      <c r="AK224" s="295"/>
      <c r="BR224" s="188"/>
      <c r="BT224" s="296"/>
      <c r="BU224" s="296"/>
      <c r="BV224" s="296"/>
      <c r="CT224" s="510">
        <v>65</v>
      </c>
      <c r="CU224" s="359" t="s">
        <v>352</v>
      </c>
      <c r="CV224" s="361">
        <v>1397627.58</v>
      </c>
      <c r="CW224" s="361">
        <v>43396.61</v>
      </c>
      <c r="CX224" s="361">
        <v>19530.900000000001</v>
      </c>
      <c r="CY224" s="361">
        <v>83549.31</v>
      </c>
      <c r="CZ224" s="361">
        <v>269454.03000000003</v>
      </c>
      <c r="DA224" s="361">
        <v>155676.4</v>
      </c>
      <c r="DB224" s="365">
        <v>0</v>
      </c>
      <c r="DC224" s="361">
        <v>163097.54</v>
      </c>
      <c r="DD224" s="361">
        <v>70661.100000000006</v>
      </c>
      <c r="DE224" s="361">
        <v>488171.99</v>
      </c>
      <c r="DF224" s="361">
        <v>104089.7</v>
      </c>
      <c r="DG224" s="361"/>
      <c r="DH224" s="361"/>
      <c r="DI224" s="361"/>
      <c r="DJ224" s="362"/>
    </row>
    <row r="225" spans="2:114" ht="13">
      <c r="B225" s="294"/>
      <c r="C225" s="294"/>
      <c r="D225" s="294"/>
      <c r="E225" s="295"/>
      <c r="F225" s="294"/>
      <c r="G225" s="295"/>
      <c r="H225" s="295"/>
      <c r="P225" s="295"/>
      <c r="W225" s="295"/>
      <c r="AD225" s="295"/>
      <c r="AK225" s="295"/>
      <c r="BR225" s="188"/>
      <c r="BT225" s="296"/>
      <c r="BU225" s="296"/>
      <c r="BV225" s="296"/>
      <c r="CT225" s="510">
        <v>66</v>
      </c>
      <c r="CU225" s="359" t="s">
        <v>314</v>
      </c>
      <c r="CV225" s="361">
        <v>651105.68999999994</v>
      </c>
      <c r="CW225" s="361">
        <v>0</v>
      </c>
      <c r="CX225" s="361">
        <v>163301.29999999999</v>
      </c>
      <c r="CY225" s="361">
        <v>172560.71</v>
      </c>
      <c r="CZ225" s="361">
        <v>51123.5</v>
      </c>
      <c r="DA225" s="361">
        <v>45924.14</v>
      </c>
      <c r="DB225" s="361">
        <v>37333.81</v>
      </c>
      <c r="DC225" s="361">
        <v>0</v>
      </c>
      <c r="DD225" s="361">
        <v>0</v>
      </c>
      <c r="DE225" s="361">
        <v>82496.3</v>
      </c>
      <c r="DF225" s="361">
        <v>98365.92</v>
      </c>
      <c r="DG225" s="361"/>
      <c r="DH225" s="361"/>
      <c r="DI225" s="361"/>
      <c r="DJ225" s="362"/>
    </row>
    <row r="226" spans="2:114" ht="13">
      <c r="B226" s="294"/>
      <c r="C226" s="294"/>
      <c r="D226" s="294"/>
      <c r="E226" s="295"/>
      <c r="F226" s="294"/>
      <c r="G226" s="295"/>
      <c r="H226" s="295"/>
      <c r="P226" s="295"/>
      <c r="W226" s="295"/>
      <c r="AD226" s="295"/>
      <c r="AK226" s="295"/>
      <c r="BR226" s="188"/>
      <c r="BT226" s="296"/>
      <c r="BU226" s="296"/>
      <c r="BV226" s="296"/>
      <c r="CT226" s="510">
        <v>67</v>
      </c>
      <c r="CU226" s="359" t="s">
        <v>310</v>
      </c>
      <c r="CV226" s="361">
        <v>969862.21</v>
      </c>
      <c r="CW226" s="361">
        <v>160229.68</v>
      </c>
      <c r="CX226" s="361">
        <v>118321.34</v>
      </c>
      <c r="CY226" s="361">
        <v>56220.3</v>
      </c>
      <c r="CZ226" s="361">
        <v>58495.91</v>
      </c>
      <c r="DA226" s="361">
        <v>128610.43</v>
      </c>
      <c r="DB226" s="361">
        <v>0</v>
      </c>
      <c r="DC226" s="361">
        <v>203219.29</v>
      </c>
      <c r="DD226" s="361">
        <v>61589.97</v>
      </c>
      <c r="DE226" s="361">
        <v>103921.1</v>
      </c>
      <c r="DF226" s="361">
        <v>79254.210000000006</v>
      </c>
      <c r="DG226" s="361"/>
      <c r="DH226" s="361"/>
      <c r="DI226" s="361"/>
      <c r="DJ226" s="362"/>
    </row>
    <row r="227" spans="2:114" ht="13">
      <c r="B227" s="294"/>
      <c r="C227" s="294"/>
      <c r="D227" s="294"/>
      <c r="E227" s="295"/>
      <c r="F227" s="294"/>
      <c r="G227" s="295"/>
      <c r="H227" s="295"/>
      <c r="P227" s="295"/>
      <c r="W227" s="295"/>
      <c r="AD227" s="295"/>
      <c r="AK227" s="295"/>
      <c r="BR227" s="188"/>
      <c r="BT227" s="296"/>
      <c r="BU227" s="296"/>
      <c r="BV227" s="296"/>
      <c r="CT227" s="510">
        <v>68</v>
      </c>
      <c r="CU227" s="359" t="s">
        <v>335</v>
      </c>
      <c r="CV227" s="361">
        <v>515111.61</v>
      </c>
      <c r="CW227" s="361">
        <v>0</v>
      </c>
      <c r="CX227" s="361">
        <v>0</v>
      </c>
      <c r="CY227" s="361">
        <v>189154.17</v>
      </c>
      <c r="CZ227" s="361">
        <v>20560</v>
      </c>
      <c r="DA227" s="361">
        <v>61943.1</v>
      </c>
      <c r="DB227" s="361">
        <v>23130</v>
      </c>
      <c r="DC227" s="361">
        <v>0</v>
      </c>
      <c r="DD227" s="361">
        <v>61848</v>
      </c>
      <c r="DE227" s="361">
        <v>89005.28</v>
      </c>
      <c r="DF227" s="361">
        <v>69471.06</v>
      </c>
      <c r="DG227" s="365"/>
      <c r="DH227" s="365"/>
      <c r="DI227" s="365"/>
      <c r="DJ227" s="366"/>
    </row>
    <row r="228" spans="2:114" ht="13">
      <c r="B228" s="294"/>
      <c r="C228" s="294"/>
      <c r="D228" s="294"/>
      <c r="E228" s="295"/>
      <c r="F228" s="294"/>
      <c r="G228" s="295"/>
      <c r="H228" s="295"/>
      <c r="P228" s="295"/>
      <c r="W228" s="295"/>
      <c r="AD228" s="295"/>
      <c r="AK228" s="295"/>
      <c r="BR228" s="188"/>
      <c r="BT228" s="296"/>
      <c r="BU228" s="296"/>
      <c r="BV228" s="296"/>
      <c r="CT228" s="510">
        <v>69</v>
      </c>
      <c r="CU228" s="359" t="s">
        <v>329</v>
      </c>
      <c r="CV228" s="361">
        <v>1392783.08</v>
      </c>
      <c r="CW228" s="361">
        <v>467936.1</v>
      </c>
      <c r="CX228" s="361">
        <v>342725.61</v>
      </c>
      <c r="CY228" s="361">
        <v>292962.24</v>
      </c>
      <c r="CZ228" s="361">
        <v>140875.07</v>
      </c>
      <c r="DA228" s="361">
        <v>0</v>
      </c>
      <c r="DB228" s="361">
        <v>76626.81</v>
      </c>
      <c r="DC228" s="361">
        <v>0</v>
      </c>
      <c r="DD228" s="361">
        <v>13300</v>
      </c>
      <c r="DE228" s="361">
        <v>0</v>
      </c>
      <c r="DF228" s="361">
        <v>58357.26</v>
      </c>
      <c r="DG228" s="361"/>
      <c r="DH228" s="361"/>
      <c r="DI228" s="361"/>
      <c r="DJ228" s="362"/>
    </row>
    <row r="229" spans="2:114" ht="13">
      <c r="B229" s="294"/>
      <c r="C229" s="294"/>
      <c r="D229" s="294"/>
      <c r="E229" s="295"/>
      <c r="F229" s="294"/>
      <c r="G229" s="295"/>
      <c r="H229" s="295"/>
      <c r="P229" s="295"/>
      <c r="W229" s="295"/>
      <c r="AD229" s="295"/>
      <c r="AK229" s="295"/>
      <c r="BR229" s="188"/>
      <c r="BT229" s="296"/>
      <c r="BU229" s="296"/>
      <c r="BV229" s="296"/>
      <c r="CT229" s="510">
        <v>70</v>
      </c>
      <c r="CU229" s="359" t="s">
        <v>278</v>
      </c>
      <c r="CV229" s="361">
        <v>1157366.68</v>
      </c>
      <c r="CW229" s="361">
        <v>97857</v>
      </c>
      <c r="CX229" s="361">
        <v>0</v>
      </c>
      <c r="CY229" s="361">
        <v>0</v>
      </c>
      <c r="CZ229" s="361">
        <v>44433</v>
      </c>
      <c r="DA229" s="361">
        <v>0</v>
      </c>
      <c r="DB229" s="361">
        <v>0</v>
      </c>
      <c r="DC229" s="361">
        <v>0</v>
      </c>
      <c r="DD229" s="361">
        <v>118064.7</v>
      </c>
      <c r="DE229" s="361">
        <v>842404.98</v>
      </c>
      <c r="DF229" s="361">
        <v>54607</v>
      </c>
      <c r="DG229" s="361"/>
      <c r="DH229" s="361"/>
      <c r="DI229" s="361"/>
      <c r="DJ229" s="362"/>
    </row>
    <row r="230" spans="2:114" ht="13">
      <c r="B230" s="294"/>
      <c r="C230" s="294"/>
      <c r="D230" s="294"/>
      <c r="E230" s="295"/>
      <c r="F230" s="294"/>
      <c r="G230" s="295"/>
      <c r="H230" s="295"/>
      <c r="P230" s="295"/>
      <c r="W230" s="295"/>
      <c r="AD230" s="295"/>
      <c r="AK230" s="295"/>
      <c r="BR230" s="188"/>
      <c r="BT230" s="296"/>
      <c r="BU230" s="296"/>
      <c r="BV230" s="296"/>
      <c r="CT230" s="510">
        <v>71</v>
      </c>
      <c r="CU230" s="359" t="s">
        <v>315</v>
      </c>
      <c r="CV230" s="361">
        <v>896933.64</v>
      </c>
      <c r="CW230" s="361">
        <v>230979.97</v>
      </c>
      <c r="CX230" s="361">
        <v>0</v>
      </c>
      <c r="CY230" s="361">
        <v>53272.32</v>
      </c>
      <c r="CZ230" s="361">
        <v>41295</v>
      </c>
      <c r="DA230" s="361">
        <v>89950</v>
      </c>
      <c r="DB230" s="361">
        <v>43695</v>
      </c>
      <c r="DC230" s="361">
        <v>86229.1</v>
      </c>
      <c r="DD230" s="361">
        <v>126009.34</v>
      </c>
      <c r="DE230" s="361">
        <v>199628.91</v>
      </c>
      <c r="DF230" s="361">
        <v>25874</v>
      </c>
      <c r="DG230" s="361"/>
      <c r="DH230" s="361"/>
      <c r="DI230" s="361"/>
      <c r="DJ230" s="362"/>
    </row>
    <row r="231" spans="2:114" ht="13">
      <c r="B231" s="294"/>
      <c r="C231" s="294"/>
      <c r="D231" s="294"/>
      <c r="E231" s="295"/>
      <c r="F231" s="294"/>
      <c r="G231" s="295"/>
      <c r="H231" s="295"/>
      <c r="P231" s="295"/>
      <c r="W231" s="295"/>
      <c r="AD231" s="295"/>
      <c r="AK231" s="295"/>
      <c r="BR231" s="188"/>
      <c r="BT231" s="296"/>
      <c r="BU231" s="296"/>
      <c r="BV231" s="296"/>
      <c r="CT231" s="510">
        <v>72</v>
      </c>
      <c r="CU231" s="359" t="s">
        <v>268</v>
      </c>
      <c r="CV231" s="361">
        <v>19121996.559999999</v>
      </c>
      <c r="CW231" s="361">
        <v>5382111.3200000003</v>
      </c>
      <c r="CX231" s="361">
        <v>2030070.5</v>
      </c>
      <c r="CY231" s="361">
        <v>4953817.16</v>
      </c>
      <c r="CZ231" s="361">
        <v>1629970.28</v>
      </c>
      <c r="DA231" s="361">
        <v>938170.21</v>
      </c>
      <c r="DB231" s="361">
        <v>3901852.5</v>
      </c>
      <c r="DC231" s="361">
        <v>0</v>
      </c>
      <c r="DD231" s="361">
        <v>286004.59000000003</v>
      </c>
      <c r="DE231" s="361">
        <v>0</v>
      </c>
      <c r="DF231" s="361">
        <v>0</v>
      </c>
      <c r="DG231" s="361"/>
      <c r="DH231" s="361"/>
      <c r="DI231" s="361"/>
      <c r="DJ231" s="362"/>
    </row>
    <row r="232" spans="2:114" ht="13">
      <c r="B232" s="294"/>
      <c r="C232" s="294"/>
      <c r="D232" s="294"/>
      <c r="E232" s="295"/>
      <c r="F232" s="294"/>
      <c r="G232" s="295"/>
      <c r="H232" s="295"/>
      <c r="P232" s="295"/>
      <c r="W232" s="295"/>
      <c r="AD232" s="295"/>
      <c r="AK232" s="295"/>
      <c r="BR232" s="188"/>
      <c r="BT232" s="296"/>
      <c r="BU232" s="296"/>
      <c r="BV232" s="296"/>
      <c r="CT232" s="510">
        <v>73</v>
      </c>
      <c r="CU232" s="359" t="s">
        <v>270</v>
      </c>
      <c r="CV232" s="361">
        <v>6633064.8899999997</v>
      </c>
      <c r="CW232" s="361">
        <v>1542628.89</v>
      </c>
      <c r="CX232" s="361">
        <v>1030461.14</v>
      </c>
      <c r="CY232" s="361">
        <v>774113.98</v>
      </c>
      <c r="CZ232" s="361">
        <v>100522.59</v>
      </c>
      <c r="DA232" s="361">
        <v>575201.17000000004</v>
      </c>
      <c r="DB232" s="361">
        <v>493146.86</v>
      </c>
      <c r="DC232" s="361">
        <v>1307954.54</v>
      </c>
      <c r="DD232" s="361">
        <v>0</v>
      </c>
      <c r="DE232" s="361">
        <v>809035.72</v>
      </c>
      <c r="DF232" s="361">
        <v>0</v>
      </c>
      <c r="DG232" s="361"/>
      <c r="DH232" s="361"/>
      <c r="DI232" s="361"/>
      <c r="DJ232" s="362"/>
    </row>
    <row r="233" spans="2:114" ht="13">
      <c r="B233" s="294"/>
      <c r="C233" s="294"/>
      <c r="D233" s="294"/>
      <c r="E233" s="295"/>
      <c r="F233" s="294"/>
      <c r="G233" s="295"/>
      <c r="H233" s="295"/>
      <c r="P233" s="295"/>
      <c r="W233" s="295"/>
      <c r="AD233" s="295"/>
      <c r="AK233" s="295"/>
      <c r="BR233" s="188"/>
      <c r="BT233" s="296"/>
      <c r="BU233" s="296"/>
      <c r="BV233" s="296"/>
      <c r="CT233" s="510">
        <v>74</v>
      </c>
      <c r="CU233" s="359" t="s">
        <v>326</v>
      </c>
      <c r="CV233" s="361">
        <v>1517075.42</v>
      </c>
      <c r="CW233" s="361">
        <v>436303.68</v>
      </c>
      <c r="CX233" s="361">
        <v>268016.68</v>
      </c>
      <c r="CY233" s="361">
        <v>0</v>
      </c>
      <c r="CZ233" s="361">
        <v>224320.37</v>
      </c>
      <c r="DA233" s="361">
        <v>242040.43</v>
      </c>
      <c r="DB233" s="361">
        <v>0</v>
      </c>
      <c r="DC233" s="361">
        <v>0</v>
      </c>
      <c r="DD233" s="361">
        <v>346394.27</v>
      </c>
      <c r="DE233" s="361">
        <v>0</v>
      </c>
      <c r="DF233" s="361">
        <v>0</v>
      </c>
      <c r="DG233" s="365"/>
      <c r="DH233" s="365"/>
      <c r="DI233" s="365"/>
      <c r="DJ233" s="366"/>
    </row>
    <row r="234" spans="2:114" ht="13">
      <c r="B234" s="294"/>
      <c r="C234" s="294"/>
      <c r="D234" s="294"/>
      <c r="E234" s="295"/>
      <c r="F234" s="294"/>
      <c r="G234" s="295"/>
      <c r="H234" s="295"/>
      <c r="P234" s="295"/>
      <c r="W234" s="295"/>
      <c r="AD234" s="295"/>
      <c r="AK234" s="295"/>
      <c r="BR234" s="188"/>
      <c r="BT234" s="296"/>
      <c r="BU234" s="296"/>
      <c r="BV234" s="296"/>
      <c r="CT234" s="510">
        <v>75</v>
      </c>
      <c r="CU234" s="359" t="s">
        <v>341</v>
      </c>
      <c r="CV234" s="361">
        <v>1482183.6</v>
      </c>
      <c r="CW234" s="361">
        <v>118713.85</v>
      </c>
      <c r="CX234" s="361">
        <v>178834.71</v>
      </c>
      <c r="CY234" s="361">
        <v>121346.23</v>
      </c>
      <c r="CZ234" s="361">
        <v>251412.06</v>
      </c>
      <c r="DA234" s="361">
        <v>169561.72</v>
      </c>
      <c r="DB234" s="361">
        <v>103182.72</v>
      </c>
      <c r="DC234" s="361">
        <v>146993.1</v>
      </c>
      <c r="DD234" s="361">
        <v>99625.16</v>
      </c>
      <c r="DE234" s="361">
        <v>292514.05</v>
      </c>
      <c r="DF234" s="361">
        <v>0</v>
      </c>
      <c r="DG234" s="361"/>
      <c r="DH234" s="361"/>
      <c r="DI234" s="361"/>
      <c r="DJ234" s="362"/>
    </row>
    <row r="235" spans="2:114" ht="13">
      <c r="B235" s="294"/>
      <c r="C235" s="294"/>
      <c r="D235" s="294"/>
      <c r="E235" s="295"/>
      <c r="F235" s="294"/>
      <c r="G235" s="295"/>
      <c r="H235" s="295"/>
      <c r="P235" s="295"/>
      <c r="W235" s="295"/>
      <c r="AD235" s="295"/>
      <c r="AK235" s="295"/>
      <c r="BR235" s="188"/>
      <c r="BT235" s="296"/>
      <c r="BU235" s="296"/>
      <c r="BV235" s="296"/>
      <c r="CT235" s="510">
        <v>76</v>
      </c>
      <c r="CU235" s="359" t="s">
        <v>295</v>
      </c>
      <c r="CV235" s="361">
        <v>1197966.78</v>
      </c>
      <c r="CW235" s="361">
        <v>139872.78</v>
      </c>
      <c r="CX235" s="361">
        <v>0</v>
      </c>
      <c r="CY235" s="361">
        <v>0</v>
      </c>
      <c r="CZ235" s="361">
        <v>0</v>
      </c>
      <c r="DA235" s="361">
        <v>157645</v>
      </c>
      <c r="DB235" s="361">
        <v>176148</v>
      </c>
      <c r="DC235" s="361">
        <v>208233</v>
      </c>
      <c r="DD235" s="361">
        <v>0</v>
      </c>
      <c r="DE235" s="361">
        <v>516068</v>
      </c>
      <c r="DF235" s="361">
        <v>0</v>
      </c>
      <c r="DG235" s="361"/>
      <c r="DH235" s="361"/>
      <c r="DI235" s="361"/>
      <c r="DJ235" s="362"/>
    </row>
    <row r="236" spans="2:114" ht="13">
      <c r="B236" s="294"/>
      <c r="C236" s="294"/>
      <c r="D236" s="294"/>
      <c r="E236" s="295"/>
      <c r="F236" s="294"/>
      <c r="G236" s="295"/>
      <c r="H236" s="295"/>
      <c r="P236" s="295"/>
      <c r="W236" s="295"/>
      <c r="AD236" s="295"/>
      <c r="AK236" s="295"/>
      <c r="BR236" s="188"/>
      <c r="BT236" s="296"/>
      <c r="BU236" s="296"/>
      <c r="BV236" s="296"/>
      <c r="CT236" s="510">
        <v>77</v>
      </c>
      <c r="CU236" s="359" t="s">
        <v>281</v>
      </c>
      <c r="CV236" s="361">
        <v>1154182.45</v>
      </c>
      <c r="CW236" s="361">
        <v>0</v>
      </c>
      <c r="CX236" s="361">
        <v>0</v>
      </c>
      <c r="CY236" s="361">
        <v>0</v>
      </c>
      <c r="CZ236" s="361">
        <v>0</v>
      </c>
      <c r="DA236" s="361">
        <v>0</v>
      </c>
      <c r="DB236" s="361">
        <v>430920.06</v>
      </c>
      <c r="DC236" s="361">
        <v>220522.39</v>
      </c>
      <c r="DD236" s="361">
        <v>287280</v>
      </c>
      <c r="DE236" s="361">
        <v>215460</v>
      </c>
      <c r="DF236" s="361">
        <v>0</v>
      </c>
      <c r="DG236" s="361"/>
      <c r="DH236" s="361"/>
      <c r="DI236" s="361"/>
      <c r="DJ236" s="362"/>
    </row>
    <row r="237" spans="2:114" ht="13">
      <c r="B237" s="294"/>
      <c r="C237" s="294"/>
      <c r="D237" s="294"/>
      <c r="E237" s="295"/>
      <c r="F237" s="294"/>
      <c r="G237" s="295"/>
      <c r="H237" s="295"/>
      <c r="P237" s="295"/>
      <c r="W237" s="295"/>
      <c r="AD237" s="295"/>
      <c r="AK237" s="295"/>
      <c r="BR237" s="188"/>
      <c r="BT237" s="296"/>
      <c r="BU237" s="296"/>
      <c r="BV237" s="296"/>
      <c r="CT237" s="510">
        <v>78</v>
      </c>
      <c r="CU237" s="359" t="s">
        <v>311</v>
      </c>
      <c r="CV237" s="361">
        <v>1114489.28</v>
      </c>
      <c r="CW237" s="361">
        <v>0</v>
      </c>
      <c r="CX237" s="361">
        <v>263162.26</v>
      </c>
      <c r="CY237" s="361">
        <v>0</v>
      </c>
      <c r="CZ237" s="361">
        <v>229677.9</v>
      </c>
      <c r="DA237" s="361">
        <v>321207.12</v>
      </c>
      <c r="DB237" s="361">
        <v>0</v>
      </c>
      <c r="DC237" s="361">
        <v>0</v>
      </c>
      <c r="DD237" s="361">
        <v>300442</v>
      </c>
      <c r="DE237" s="361">
        <v>0</v>
      </c>
      <c r="DF237" s="361">
        <v>0</v>
      </c>
      <c r="DG237" s="361"/>
      <c r="DH237" s="361"/>
      <c r="DI237" s="361"/>
      <c r="DJ237" s="362"/>
    </row>
    <row r="238" spans="2:114" ht="13">
      <c r="B238" s="294"/>
      <c r="C238" s="294"/>
      <c r="D238" s="294"/>
      <c r="E238" s="295"/>
      <c r="F238" s="294"/>
      <c r="G238" s="295"/>
      <c r="H238" s="295"/>
      <c r="P238" s="295"/>
      <c r="W238" s="295"/>
      <c r="AD238" s="295"/>
      <c r="AK238" s="295"/>
      <c r="BR238" s="188"/>
      <c r="BT238" s="296"/>
      <c r="BU238" s="296"/>
      <c r="BV238" s="296"/>
      <c r="CT238" s="510">
        <v>79</v>
      </c>
      <c r="CU238" s="359" t="s">
        <v>286</v>
      </c>
      <c r="CV238" s="361">
        <v>1098086.1299999999</v>
      </c>
      <c r="CW238" s="361">
        <v>0</v>
      </c>
      <c r="CX238" s="361">
        <v>18407.43</v>
      </c>
      <c r="CY238" s="361">
        <v>0</v>
      </c>
      <c r="CZ238" s="361">
        <v>343911.4</v>
      </c>
      <c r="DA238" s="361">
        <v>133234.75</v>
      </c>
      <c r="DB238" s="361">
        <v>207769.85</v>
      </c>
      <c r="DC238" s="361">
        <v>0</v>
      </c>
      <c r="DD238" s="361">
        <v>394762.71</v>
      </c>
      <c r="DE238" s="361">
        <v>0</v>
      </c>
      <c r="DF238" s="361">
        <v>0</v>
      </c>
      <c r="DG238" s="365"/>
      <c r="DH238" s="365"/>
      <c r="DI238" s="365"/>
      <c r="DJ238" s="366"/>
    </row>
    <row r="239" spans="2:114" ht="13">
      <c r="B239" s="294"/>
      <c r="C239" s="294"/>
      <c r="D239" s="294"/>
      <c r="E239" s="295"/>
      <c r="F239" s="294"/>
      <c r="G239" s="295"/>
      <c r="H239" s="295"/>
      <c r="P239" s="295"/>
      <c r="W239" s="295"/>
      <c r="AD239" s="295"/>
      <c r="AK239" s="295"/>
      <c r="BR239" s="188"/>
      <c r="BT239" s="296"/>
      <c r="BU239" s="296"/>
      <c r="BV239" s="296"/>
      <c r="CT239" s="510">
        <v>80</v>
      </c>
      <c r="CU239" s="359" t="s">
        <v>333</v>
      </c>
      <c r="CV239" s="361">
        <v>969079.34</v>
      </c>
      <c r="CW239" s="361">
        <v>0</v>
      </c>
      <c r="CX239" s="361">
        <v>576715.69999999995</v>
      </c>
      <c r="CY239" s="361">
        <v>0</v>
      </c>
      <c r="CZ239" s="361">
        <v>392363.64</v>
      </c>
      <c r="DA239" s="361">
        <v>0</v>
      </c>
      <c r="DB239" s="361">
        <v>0</v>
      </c>
      <c r="DC239" s="361">
        <v>0</v>
      </c>
      <c r="DD239" s="361">
        <v>0</v>
      </c>
      <c r="DE239" s="361">
        <v>0</v>
      </c>
      <c r="DF239" s="361">
        <v>0</v>
      </c>
      <c r="DG239" s="361"/>
      <c r="DH239" s="361"/>
      <c r="DI239" s="361"/>
      <c r="DJ239" s="362"/>
    </row>
    <row r="240" spans="2:114" ht="13">
      <c r="B240" s="294"/>
      <c r="C240" s="294"/>
      <c r="D240" s="294"/>
      <c r="E240" s="295"/>
      <c r="F240" s="294"/>
      <c r="G240" s="295"/>
      <c r="H240" s="295"/>
      <c r="P240" s="295"/>
      <c r="W240" s="295"/>
      <c r="AD240" s="295"/>
      <c r="AK240" s="295"/>
      <c r="BR240" s="188"/>
      <c r="BT240" s="296"/>
      <c r="BU240" s="296"/>
      <c r="BV240" s="296"/>
      <c r="CT240" s="510">
        <v>81</v>
      </c>
      <c r="CU240" s="359" t="s">
        <v>358</v>
      </c>
      <c r="CV240" s="361">
        <v>735495.98</v>
      </c>
      <c r="CW240" s="361">
        <v>289530.34999999998</v>
      </c>
      <c r="CX240" s="361">
        <v>319551.63</v>
      </c>
      <c r="CY240" s="361">
        <v>126414</v>
      </c>
      <c r="CZ240" s="361">
        <v>0</v>
      </c>
      <c r="DA240" s="361">
        <v>0</v>
      </c>
      <c r="DB240" s="361">
        <v>0</v>
      </c>
      <c r="DC240" s="361">
        <v>0</v>
      </c>
      <c r="DD240" s="361">
        <v>0</v>
      </c>
      <c r="DE240" s="361">
        <v>0</v>
      </c>
      <c r="DF240" s="361">
        <v>0</v>
      </c>
      <c r="DG240" s="361"/>
      <c r="DH240" s="361"/>
      <c r="DI240" s="361"/>
      <c r="DJ240" s="362"/>
    </row>
    <row r="241" spans="2:114" ht="13">
      <c r="B241" s="294"/>
      <c r="C241" s="294"/>
      <c r="D241" s="294"/>
      <c r="E241" s="295"/>
      <c r="F241" s="294"/>
      <c r="G241" s="295"/>
      <c r="H241" s="295"/>
      <c r="P241" s="295"/>
      <c r="W241" s="295"/>
      <c r="AD241" s="295"/>
      <c r="AK241" s="295"/>
      <c r="BR241" s="188"/>
      <c r="BT241" s="296"/>
      <c r="BU241" s="296"/>
      <c r="BV241" s="296"/>
      <c r="CT241" s="510">
        <v>82</v>
      </c>
      <c r="CU241" s="359" t="s">
        <v>331</v>
      </c>
      <c r="CV241" s="361">
        <v>394896.62</v>
      </c>
      <c r="CW241" s="361">
        <v>0</v>
      </c>
      <c r="CX241" s="361">
        <v>0</v>
      </c>
      <c r="CY241" s="361">
        <v>0</v>
      </c>
      <c r="CZ241" s="361">
        <v>0</v>
      </c>
      <c r="DA241" s="361">
        <v>0</v>
      </c>
      <c r="DB241" s="361">
        <v>289384.62</v>
      </c>
      <c r="DC241" s="361">
        <v>0</v>
      </c>
      <c r="DD241" s="361">
        <v>0</v>
      </c>
      <c r="DE241" s="361">
        <v>105512</v>
      </c>
      <c r="DF241" s="365">
        <v>0</v>
      </c>
      <c r="DG241" s="365"/>
      <c r="DH241" s="365"/>
      <c r="DI241" s="365"/>
      <c r="DJ241" s="366"/>
    </row>
    <row r="242" spans="2:114" ht="13">
      <c r="B242" s="294"/>
      <c r="C242" s="294"/>
      <c r="D242" s="294"/>
      <c r="E242" s="295"/>
      <c r="F242" s="294"/>
      <c r="G242" s="295"/>
      <c r="H242" s="295"/>
      <c r="P242" s="295"/>
      <c r="W242" s="295"/>
      <c r="AD242" s="295"/>
      <c r="AK242" s="295"/>
      <c r="BR242" s="188"/>
      <c r="BT242" s="296"/>
      <c r="BU242" s="296"/>
      <c r="BV242" s="296"/>
      <c r="CT242" s="510">
        <v>83</v>
      </c>
      <c r="CU242" s="359" t="s">
        <v>363</v>
      </c>
      <c r="CV242" s="361">
        <v>349085.12</v>
      </c>
      <c r="CW242" s="361">
        <v>0</v>
      </c>
      <c r="CX242" s="361">
        <v>74826.350000000006</v>
      </c>
      <c r="CY242" s="361">
        <v>77693.399999999994</v>
      </c>
      <c r="CZ242" s="361">
        <v>0</v>
      </c>
      <c r="DA242" s="361">
        <v>43563.55</v>
      </c>
      <c r="DB242" s="361">
        <v>49902.7</v>
      </c>
      <c r="DC242" s="361">
        <v>0</v>
      </c>
      <c r="DD242" s="361">
        <v>103099.13</v>
      </c>
      <c r="DE242" s="361">
        <v>0</v>
      </c>
      <c r="DF242" s="361">
        <v>0</v>
      </c>
      <c r="DG242" s="361"/>
      <c r="DH242" s="361"/>
      <c r="DI242" s="361"/>
      <c r="DJ242" s="362"/>
    </row>
    <row r="243" spans="2:114" ht="13">
      <c r="B243" s="294"/>
      <c r="C243" s="294"/>
      <c r="D243" s="294"/>
      <c r="E243" s="295"/>
      <c r="F243" s="294"/>
      <c r="G243" s="295"/>
      <c r="H243" s="295"/>
      <c r="P243" s="295"/>
      <c r="W243" s="295"/>
      <c r="AD243" s="295"/>
      <c r="AK243" s="295"/>
      <c r="BR243" s="188"/>
      <c r="BT243" s="296"/>
      <c r="BU243" s="296"/>
      <c r="BV243" s="296"/>
      <c r="CT243" s="510">
        <v>84</v>
      </c>
      <c r="CU243" s="359" t="s">
        <v>327</v>
      </c>
      <c r="CV243" s="361">
        <v>300756.65999999997</v>
      </c>
      <c r="CW243" s="361">
        <v>0</v>
      </c>
      <c r="CX243" s="361">
        <v>131971.13</v>
      </c>
      <c r="CY243" s="361">
        <v>14990.47</v>
      </c>
      <c r="CZ243" s="361">
        <v>0</v>
      </c>
      <c r="DA243" s="361">
        <v>0</v>
      </c>
      <c r="DB243" s="365">
        <v>0</v>
      </c>
      <c r="DC243" s="361">
        <v>153795.06</v>
      </c>
      <c r="DD243" s="361">
        <v>0</v>
      </c>
      <c r="DE243" s="365">
        <v>0</v>
      </c>
      <c r="DF243" s="365">
        <v>0</v>
      </c>
      <c r="DG243" s="365"/>
      <c r="DH243" s="365"/>
      <c r="DI243" s="365"/>
      <c r="DJ243" s="366"/>
    </row>
    <row r="244" spans="2:114" ht="13">
      <c r="B244" s="294"/>
      <c r="C244" s="294"/>
      <c r="D244" s="294"/>
      <c r="E244" s="295"/>
      <c r="F244" s="294"/>
      <c r="G244" s="295"/>
      <c r="H244" s="295"/>
      <c r="P244" s="295"/>
      <c r="W244" s="295"/>
      <c r="AD244" s="295"/>
      <c r="AK244" s="295"/>
      <c r="BR244" s="188"/>
      <c r="BT244" s="296"/>
      <c r="BU244" s="296"/>
      <c r="BV244" s="296"/>
      <c r="CT244" s="510">
        <v>85</v>
      </c>
      <c r="CU244" s="359" t="s">
        <v>306</v>
      </c>
      <c r="CV244" s="361">
        <v>296470.09999999998</v>
      </c>
      <c r="CW244" s="361">
        <v>39104.1</v>
      </c>
      <c r="CX244" s="361">
        <v>49856</v>
      </c>
      <c r="CY244" s="365">
        <v>0</v>
      </c>
      <c r="CZ244" s="361">
        <v>98814</v>
      </c>
      <c r="DA244" s="361">
        <v>58840</v>
      </c>
      <c r="DB244" s="361">
        <v>49856</v>
      </c>
      <c r="DC244" s="365">
        <v>0</v>
      </c>
      <c r="DD244" s="365">
        <v>0</v>
      </c>
      <c r="DE244" s="365">
        <v>0</v>
      </c>
      <c r="DF244" s="365">
        <v>0</v>
      </c>
      <c r="DG244" s="365"/>
      <c r="DH244" s="365"/>
      <c r="DI244" s="365"/>
      <c r="DJ244" s="366"/>
    </row>
    <row r="245" spans="2:114" ht="13">
      <c r="B245" s="294"/>
      <c r="C245" s="294"/>
      <c r="D245" s="294"/>
      <c r="E245" s="295"/>
      <c r="F245" s="294"/>
      <c r="G245" s="295"/>
      <c r="H245" s="295"/>
      <c r="P245" s="295"/>
      <c r="W245" s="295"/>
      <c r="AD245" s="295"/>
      <c r="AK245" s="295"/>
      <c r="BR245" s="188"/>
      <c r="BT245" s="296"/>
      <c r="BU245" s="296"/>
      <c r="BV245" s="296"/>
      <c r="CT245" s="510">
        <v>86</v>
      </c>
      <c r="CU245" s="359" t="s">
        <v>300</v>
      </c>
      <c r="CV245" s="361">
        <v>209239.04000000001</v>
      </c>
      <c r="CW245" s="361">
        <v>0</v>
      </c>
      <c r="CX245" s="361">
        <v>0</v>
      </c>
      <c r="CY245" s="365">
        <v>0</v>
      </c>
      <c r="CZ245" s="361">
        <v>67496.479999999996</v>
      </c>
      <c r="DA245" s="361">
        <v>78382.720000000001</v>
      </c>
      <c r="DB245" s="365">
        <v>0</v>
      </c>
      <c r="DC245" s="361">
        <v>0</v>
      </c>
      <c r="DD245" s="361">
        <v>63359.839999999997</v>
      </c>
      <c r="DE245" s="365">
        <v>0</v>
      </c>
      <c r="DF245" s="365">
        <v>0</v>
      </c>
      <c r="DG245" s="365"/>
      <c r="DH245" s="365"/>
      <c r="DI245" s="365"/>
      <c r="DJ245" s="366"/>
    </row>
    <row r="246" spans="2:114" ht="13">
      <c r="B246" s="294"/>
      <c r="C246" s="294"/>
      <c r="D246" s="294"/>
      <c r="E246" s="295"/>
      <c r="F246" s="294"/>
      <c r="G246" s="295"/>
      <c r="H246" s="295"/>
      <c r="P246" s="295"/>
      <c r="W246" s="295"/>
      <c r="AD246" s="295"/>
      <c r="AK246" s="295"/>
      <c r="BR246" s="188"/>
      <c r="BT246" s="296"/>
      <c r="BU246" s="296"/>
      <c r="BV246" s="296"/>
      <c r="CT246" s="510">
        <v>87</v>
      </c>
      <c r="CU246" s="359" t="s">
        <v>325</v>
      </c>
      <c r="CV246" s="361">
        <v>106941.2</v>
      </c>
      <c r="CW246" s="361">
        <v>0</v>
      </c>
      <c r="CX246" s="361">
        <v>106941.2</v>
      </c>
      <c r="CY246" s="365">
        <v>0</v>
      </c>
      <c r="CZ246" s="365">
        <v>0</v>
      </c>
      <c r="DA246" s="365">
        <v>0</v>
      </c>
      <c r="DB246" s="365">
        <v>0</v>
      </c>
      <c r="DC246" s="365">
        <v>0</v>
      </c>
      <c r="DD246" s="365">
        <v>0</v>
      </c>
      <c r="DE246" s="365">
        <v>0</v>
      </c>
      <c r="DF246" s="365">
        <v>0</v>
      </c>
      <c r="DG246" s="365"/>
      <c r="DH246" s="365"/>
      <c r="DI246" s="365"/>
      <c r="DJ246" s="366"/>
    </row>
    <row r="247" spans="2:114" ht="13">
      <c r="B247" s="294"/>
      <c r="C247" s="294"/>
      <c r="D247" s="294"/>
      <c r="E247" s="295"/>
      <c r="F247" s="294"/>
      <c r="G247" s="295"/>
      <c r="H247" s="295"/>
      <c r="P247" s="295"/>
      <c r="W247" s="295"/>
      <c r="AD247" s="295"/>
      <c r="AK247" s="295"/>
      <c r="BR247" s="188"/>
      <c r="BT247" s="296"/>
      <c r="BU247" s="296"/>
      <c r="BV247" s="296"/>
      <c r="CT247" s="510">
        <v>88</v>
      </c>
      <c r="CU247" s="359" t="s">
        <v>321</v>
      </c>
      <c r="CV247" s="361">
        <v>55794</v>
      </c>
      <c r="CW247" s="365">
        <v>0</v>
      </c>
      <c r="CX247" s="361">
        <v>0</v>
      </c>
      <c r="CY247" s="361">
        <v>0</v>
      </c>
      <c r="CZ247" s="361">
        <v>0</v>
      </c>
      <c r="DA247" s="361">
        <v>0</v>
      </c>
      <c r="DB247" s="361">
        <v>0</v>
      </c>
      <c r="DC247" s="361">
        <v>55794</v>
      </c>
      <c r="DD247" s="361">
        <v>0</v>
      </c>
      <c r="DE247" s="361">
        <v>0</v>
      </c>
      <c r="DF247" s="361">
        <v>0</v>
      </c>
      <c r="DG247" s="361"/>
      <c r="DH247" s="361"/>
      <c r="DI247" s="361"/>
      <c r="DJ247" s="362"/>
    </row>
    <row r="248" spans="2:114" ht="13">
      <c r="B248" s="294"/>
      <c r="C248" s="294"/>
      <c r="D248" s="294"/>
      <c r="E248" s="295"/>
      <c r="F248" s="294"/>
      <c r="G248" s="295"/>
      <c r="H248" s="295"/>
      <c r="P248" s="295"/>
      <c r="W248" s="295"/>
      <c r="AD248" s="295"/>
      <c r="AK248" s="295"/>
      <c r="BR248" s="188"/>
      <c r="BT248" s="296"/>
      <c r="BU248" s="296"/>
      <c r="BV248" s="296"/>
      <c r="CT248" s="510">
        <v>89</v>
      </c>
      <c r="CU248" s="302" t="s">
        <v>347</v>
      </c>
      <c r="CV248" s="302">
        <v>0</v>
      </c>
      <c r="CW248" s="302">
        <v>0</v>
      </c>
      <c r="CX248" s="302">
        <v>0</v>
      </c>
      <c r="CY248" s="302">
        <v>0</v>
      </c>
      <c r="CZ248" s="302">
        <v>0</v>
      </c>
      <c r="DA248" s="302">
        <v>0</v>
      </c>
      <c r="DB248" s="302">
        <v>0</v>
      </c>
      <c r="DC248" s="302">
        <v>0</v>
      </c>
      <c r="DD248" s="302">
        <v>0</v>
      </c>
      <c r="DE248" s="302">
        <v>0</v>
      </c>
      <c r="DF248" s="302">
        <v>0</v>
      </c>
      <c r="DJ248" s="367"/>
    </row>
    <row r="249" spans="2:114" ht="13">
      <c r="B249" s="294"/>
      <c r="C249" s="294"/>
      <c r="D249" s="294"/>
      <c r="E249" s="295"/>
      <c r="F249" s="294"/>
      <c r="G249" s="295"/>
      <c r="H249" s="295"/>
      <c r="P249" s="295"/>
      <c r="W249" s="295"/>
      <c r="AD249" s="295"/>
      <c r="AK249" s="295"/>
      <c r="BR249" s="188"/>
      <c r="BT249" s="296"/>
      <c r="BU249" s="296"/>
      <c r="BV249" s="296"/>
      <c r="CT249" s="510">
        <v>90</v>
      </c>
      <c r="DJ249" s="367"/>
    </row>
    <row r="250" spans="2:114" ht="13">
      <c r="B250" s="294"/>
      <c r="C250" s="294"/>
      <c r="D250" s="294"/>
      <c r="E250" s="295"/>
      <c r="F250" s="294"/>
      <c r="G250" s="295"/>
      <c r="H250" s="295"/>
      <c r="P250" s="295"/>
      <c r="W250" s="295"/>
      <c r="AD250" s="295"/>
      <c r="AK250" s="295"/>
      <c r="BR250" s="188"/>
      <c r="BT250" s="296"/>
      <c r="BU250" s="296"/>
      <c r="BV250" s="296"/>
      <c r="CT250" s="510">
        <v>91</v>
      </c>
      <c r="DJ250" s="367"/>
    </row>
    <row r="251" spans="2:114" ht="13">
      <c r="B251" s="294"/>
      <c r="C251" s="294"/>
      <c r="D251" s="294"/>
      <c r="E251" s="295"/>
      <c r="F251" s="294"/>
      <c r="G251" s="295"/>
      <c r="H251" s="295"/>
      <c r="P251" s="295"/>
      <c r="W251" s="295"/>
      <c r="AD251" s="295"/>
      <c r="AK251" s="295"/>
      <c r="BR251" s="188"/>
      <c r="BT251" s="296"/>
      <c r="BU251" s="296"/>
      <c r="BV251" s="296"/>
      <c r="CT251" s="510">
        <v>92</v>
      </c>
      <c r="DJ251" s="367"/>
    </row>
    <row r="252" spans="2:114" ht="13">
      <c r="B252" s="294"/>
      <c r="C252" s="294"/>
      <c r="D252" s="294"/>
      <c r="E252" s="295"/>
      <c r="F252" s="294"/>
      <c r="G252" s="295"/>
      <c r="H252" s="295"/>
      <c r="P252" s="295"/>
      <c r="W252" s="295"/>
      <c r="AD252" s="295"/>
      <c r="AK252" s="295"/>
      <c r="BR252" s="188"/>
      <c r="BT252" s="296"/>
      <c r="BU252" s="296"/>
      <c r="BV252" s="296"/>
      <c r="CT252" s="510">
        <v>93</v>
      </c>
      <c r="DJ252" s="367"/>
    </row>
    <row r="253" spans="2:114" ht="13">
      <c r="B253" s="294"/>
      <c r="C253" s="294"/>
      <c r="D253" s="294"/>
      <c r="E253" s="295"/>
      <c r="F253" s="294"/>
      <c r="G253" s="295"/>
      <c r="H253" s="295"/>
      <c r="P253" s="295"/>
      <c r="W253" s="295"/>
      <c r="AD253" s="295"/>
      <c r="AK253" s="295"/>
      <c r="BR253" s="188"/>
      <c r="BT253" s="296"/>
      <c r="BU253" s="296"/>
      <c r="BV253" s="296"/>
      <c r="CT253" s="510">
        <v>94</v>
      </c>
      <c r="DJ253" s="367"/>
    </row>
    <row r="254" spans="2:114" ht="13">
      <c r="B254" s="294"/>
      <c r="C254" s="294"/>
      <c r="D254" s="294"/>
      <c r="E254" s="295"/>
      <c r="F254" s="294"/>
      <c r="G254" s="295"/>
      <c r="H254" s="295"/>
      <c r="P254" s="295"/>
      <c r="W254" s="295"/>
      <c r="AD254" s="295"/>
      <c r="AK254" s="295"/>
      <c r="BR254" s="188"/>
      <c r="BT254" s="296"/>
      <c r="BU254" s="296"/>
      <c r="BV254" s="296"/>
      <c r="CT254" s="510">
        <v>95</v>
      </c>
      <c r="DJ254" s="367"/>
    </row>
    <row r="255" spans="2:114" ht="13">
      <c r="B255" s="294"/>
      <c r="C255" s="294"/>
      <c r="D255" s="294"/>
      <c r="E255" s="295"/>
      <c r="F255" s="294"/>
      <c r="G255" s="295"/>
      <c r="H255" s="295"/>
      <c r="P255" s="295"/>
      <c r="W255" s="295"/>
      <c r="AD255" s="295"/>
      <c r="AK255" s="295"/>
      <c r="BR255" s="188"/>
      <c r="BT255" s="296"/>
      <c r="BU255" s="296"/>
      <c r="BV255" s="296"/>
      <c r="CT255" s="510">
        <v>96</v>
      </c>
      <c r="DJ255" s="367"/>
    </row>
    <row r="256" spans="2:114" ht="13">
      <c r="B256" s="294"/>
      <c r="C256" s="294"/>
      <c r="D256" s="294"/>
      <c r="E256" s="295"/>
      <c r="F256" s="294"/>
      <c r="G256" s="295"/>
      <c r="H256" s="295"/>
      <c r="P256" s="295"/>
      <c r="W256" s="295"/>
      <c r="AD256" s="295"/>
      <c r="AK256" s="295"/>
      <c r="BR256" s="188"/>
      <c r="BT256" s="296"/>
      <c r="BU256" s="296"/>
      <c r="BV256" s="296"/>
      <c r="CT256" s="510">
        <v>97</v>
      </c>
      <c r="DJ256" s="367"/>
    </row>
    <row r="257" spans="2:114" ht="13">
      <c r="B257" s="294"/>
      <c r="C257" s="294"/>
      <c r="D257" s="294"/>
      <c r="E257" s="295"/>
      <c r="F257" s="294"/>
      <c r="G257" s="295"/>
      <c r="H257" s="295"/>
      <c r="P257" s="295"/>
      <c r="W257" s="295"/>
      <c r="AD257" s="295"/>
      <c r="AK257" s="295"/>
      <c r="BR257" s="188"/>
      <c r="BT257" s="296"/>
      <c r="BU257" s="296"/>
      <c r="BV257" s="296"/>
      <c r="CT257" s="510">
        <v>98</v>
      </c>
      <c r="DJ257" s="367"/>
    </row>
    <row r="258" spans="2:114" ht="13">
      <c r="B258" s="294"/>
      <c r="C258" s="294"/>
      <c r="D258" s="294"/>
      <c r="E258" s="295"/>
      <c r="F258" s="294"/>
      <c r="G258" s="295"/>
      <c r="H258" s="295"/>
      <c r="P258" s="295"/>
      <c r="W258" s="295"/>
      <c r="AD258" s="295"/>
      <c r="AK258" s="295"/>
      <c r="BR258" s="188"/>
      <c r="BT258" s="296"/>
      <c r="BU258" s="296"/>
      <c r="BV258" s="296"/>
      <c r="CT258" s="510">
        <v>99</v>
      </c>
      <c r="DJ258" s="367"/>
    </row>
    <row r="259" spans="2:114" ht="13">
      <c r="B259" s="294"/>
      <c r="C259" s="294"/>
      <c r="D259" s="294"/>
      <c r="E259" s="295"/>
      <c r="F259" s="294"/>
      <c r="G259" s="295"/>
      <c r="H259" s="295"/>
      <c r="P259" s="295"/>
      <c r="W259" s="295"/>
      <c r="AD259" s="295"/>
      <c r="AK259" s="295"/>
      <c r="BR259" s="188"/>
      <c r="BT259" s="296"/>
      <c r="BU259" s="296"/>
      <c r="BV259" s="296"/>
      <c r="CT259" s="510">
        <v>100</v>
      </c>
      <c r="DJ259" s="367"/>
    </row>
    <row r="260" spans="2:114" ht="13">
      <c r="B260" s="294"/>
      <c r="C260" s="294"/>
      <c r="D260" s="294"/>
      <c r="E260" s="295"/>
      <c r="F260" s="294"/>
      <c r="G260" s="295"/>
      <c r="H260" s="295"/>
      <c r="P260" s="295"/>
      <c r="W260" s="295"/>
      <c r="AD260" s="295"/>
      <c r="AK260" s="295"/>
      <c r="BR260" s="188"/>
      <c r="BT260" s="296"/>
      <c r="BU260" s="296"/>
      <c r="BV260" s="296"/>
      <c r="CT260" s="510">
        <v>101</v>
      </c>
      <c r="DJ260" s="367"/>
    </row>
    <row r="261" spans="2:114" ht="13">
      <c r="B261" s="294"/>
      <c r="C261" s="294"/>
      <c r="D261" s="294"/>
      <c r="E261" s="295"/>
      <c r="F261" s="294"/>
      <c r="G261" s="295"/>
      <c r="H261" s="295"/>
      <c r="P261" s="295"/>
      <c r="W261" s="295"/>
      <c r="AD261" s="295"/>
      <c r="AK261" s="295"/>
      <c r="BR261" s="188"/>
      <c r="BT261" s="296"/>
      <c r="BU261" s="296"/>
      <c r="BV261" s="296"/>
      <c r="CT261" s="510">
        <v>102</v>
      </c>
      <c r="DJ261" s="367"/>
    </row>
    <row r="262" spans="2:114" ht="13">
      <c r="B262" s="294"/>
      <c r="C262" s="294"/>
      <c r="D262" s="294"/>
      <c r="E262" s="295"/>
      <c r="F262" s="294"/>
      <c r="G262" s="295"/>
      <c r="H262" s="295"/>
      <c r="P262" s="295"/>
      <c r="W262" s="295"/>
      <c r="AD262" s="295"/>
      <c r="AK262" s="295"/>
      <c r="BR262" s="188"/>
      <c r="BT262" s="296"/>
      <c r="BU262" s="296"/>
      <c r="BV262" s="296"/>
      <c r="CT262" s="510">
        <v>103</v>
      </c>
      <c r="DJ262" s="367"/>
    </row>
    <row r="263" spans="2:114" ht="13">
      <c r="B263" s="294"/>
      <c r="C263" s="294"/>
      <c r="D263" s="294"/>
      <c r="E263" s="295"/>
      <c r="F263" s="294"/>
      <c r="G263" s="295"/>
      <c r="H263" s="295"/>
      <c r="P263" s="295"/>
      <c r="W263" s="295"/>
      <c r="AD263" s="295"/>
      <c r="AK263" s="295"/>
      <c r="BR263" s="188"/>
      <c r="BT263" s="296"/>
      <c r="BU263" s="296"/>
      <c r="BV263" s="296"/>
      <c r="CT263" s="510">
        <v>104</v>
      </c>
      <c r="DJ263" s="367"/>
    </row>
    <row r="264" spans="2:114" ht="13">
      <c r="B264" s="294"/>
      <c r="C264" s="294"/>
      <c r="D264" s="294"/>
      <c r="E264" s="295"/>
      <c r="F264" s="294"/>
      <c r="G264" s="295"/>
      <c r="H264" s="295"/>
      <c r="P264" s="295"/>
      <c r="W264" s="295"/>
      <c r="AD264" s="295"/>
      <c r="AK264" s="295"/>
      <c r="BR264" s="188"/>
      <c r="BT264" s="296"/>
      <c r="BU264" s="296"/>
      <c r="BV264" s="296"/>
      <c r="CT264" s="510">
        <v>105</v>
      </c>
      <c r="DJ264" s="367"/>
    </row>
    <row r="265" spans="2:114" ht="13">
      <c r="B265" s="294"/>
      <c r="C265" s="294"/>
      <c r="D265" s="294"/>
      <c r="E265" s="295"/>
      <c r="F265" s="294"/>
      <c r="G265" s="295"/>
      <c r="H265" s="295"/>
      <c r="P265" s="295"/>
      <c r="W265" s="295"/>
      <c r="AD265" s="295"/>
      <c r="AK265" s="295"/>
      <c r="BR265" s="188"/>
      <c r="BT265" s="296"/>
      <c r="BU265" s="296"/>
      <c r="BV265" s="296"/>
      <c r="CT265" s="510">
        <v>106</v>
      </c>
      <c r="DJ265" s="367"/>
    </row>
    <row r="266" spans="2:114" ht="13">
      <c r="B266" s="294"/>
      <c r="C266" s="294"/>
      <c r="D266" s="294"/>
      <c r="E266" s="295"/>
      <c r="F266" s="294"/>
      <c r="G266" s="295"/>
      <c r="H266" s="295"/>
      <c r="P266" s="295"/>
      <c r="W266" s="295"/>
      <c r="AD266" s="295"/>
      <c r="AK266" s="295"/>
      <c r="BR266" s="188"/>
      <c r="BT266" s="296"/>
      <c r="BU266" s="296"/>
      <c r="BV266" s="296"/>
      <c r="CT266" s="510">
        <v>107</v>
      </c>
      <c r="DJ266" s="367"/>
    </row>
    <row r="267" spans="2:114" ht="13">
      <c r="B267" s="294"/>
      <c r="C267" s="294"/>
      <c r="D267" s="294"/>
      <c r="E267" s="295"/>
      <c r="F267" s="294"/>
      <c r="G267" s="295"/>
      <c r="H267" s="295"/>
      <c r="P267" s="295"/>
      <c r="W267" s="295"/>
      <c r="AD267" s="295"/>
      <c r="AK267" s="295"/>
      <c r="BR267" s="188"/>
      <c r="BT267" s="296"/>
      <c r="BU267" s="296"/>
      <c r="BV267" s="296"/>
      <c r="CT267" s="510">
        <v>108</v>
      </c>
      <c r="DJ267" s="367"/>
    </row>
    <row r="268" spans="2:114" ht="13">
      <c r="B268" s="294"/>
      <c r="C268" s="294"/>
      <c r="D268" s="294"/>
      <c r="E268" s="295"/>
      <c r="F268" s="294"/>
      <c r="G268" s="295"/>
      <c r="H268" s="295"/>
      <c r="P268" s="295"/>
      <c r="W268" s="295"/>
      <c r="AD268" s="295"/>
      <c r="AK268" s="295"/>
      <c r="BR268" s="188"/>
      <c r="BT268" s="296"/>
      <c r="BU268" s="296"/>
      <c r="BV268" s="296"/>
      <c r="CT268" s="510">
        <v>109</v>
      </c>
      <c r="DJ268" s="367"/>
    </row>
    <row r="269" spans="2:114" ht="13">
      <c r="B269" s="294"/>
      <c r="C269" s="294"/>
      <c r="D269" s="294"/>
      <c r="E269" s="295"/>
      <c r="F269" s="294"/>
      <c r="G269" s="295"/>
      <c r="H269" s="295"/>
      <c r="P269" s="295"/>
      <c r="W269" s="295"/>
      <c r="AD269" s="295"/>
      <c r="AK269" s="295"/>
      <c r="BR269" s="188"/>
      <c r="BT269" s="296"/>
      <c r="BU269" s="296"/>
      <c r="BV269" s="296"/>
      <c r="CT269" s="510">
        <v>110</v>
      </c>
      <c r="DJ269" s="367"/>
    </row>
    <row r="270" spans="2:114" ht="13">
      <c r="B270" s="294"/>
      <c r="C270" s="294"/>
      <c r="D270" s="294"/>
      <c r="E270" s="295"/>
      <c r="F270" s="294"/>
      <c r="G270" s="295"/>
      <c r="H270" s="295"/>
      <c r="P270" s="295"/>
      <c r="W270" s="295"/>
      <c r="AD270" s="295"/>
      <c r="AK270" s="295"/>
      <c r="BR270" s="188"/>
      <c r="BT270" s="296"/>
      <c r="BU270" s="296"/>
      <c r="BV270" s="296"/>
      <c r="CT270" s="510">
        <v>111</v>
      </c>
      <c r="DJ270" s="367"/>
    </row>
    <row r="271" spans="2:114" ht="13">
      <c r="B271" s="294"/>
      <c r="C271" s="294"/>
      <c r="D271" s="294"/>
      <c r="E271" s="295"/>
      <c r="F271" s="294"/>
      <c r="G271" s="295"/>
      <c r="H271" s="295"/>
      <c r="P271" s="295"/>
      <c r="W271" s="295"/>
      <c r="AD271" s="295"/>
      <c r="AK271" s="295"/>
      <c r="BR271" s="188"/>
      <c r="BT271" s="296"/>
      <c r="BU271" s="296"/>
      <c r="BV271" s="296"/>
      <c r="CT271" s="510">
        <v>112</v>
      </c>
      <c r="DJ271" s="367"/>
    </row>
    <row r="272" spans="2:114" ht="13">
      <c r="B272" s="294"/>
      <c r="C272" s="294"/>
      <c r="D272" s="294"/>
      <c r="E272" s="295"/>
      <c r="F272" s="294"/>
      <c r="G272" s="295"/>
      <c r="H272" s="295"/>
      <c r="P272" s="295"/>
      <c r="W272" s="295"/>
      <c r="AD272" s="295"/>
      <c r="AK272" s="295"/>
      <c r="BR272" s="188"/>
      <c r="BT272" s="296"/>
      <c r="BU272" s="296"/>
      <c r="BV272" s="296"/>
      <c r="CT272" s="510">
        <v>113</v>
      </c>
      <c r="DJ272" s="367"/>
    </row>
    <row r="273" spans="2:114" ht="13">
      <c r="B273" s="294"/>
      <c r="C273" s="294"/>
      <c r="D273" s="294"/>
      <c r="E273" s="295"/>
      <c r="F273" s="294"/>
      <c r="G273" s="295"/>
      <c r="H273" s="295"/>
      <c r="P273" s="295"/>
      <c r="W273" s="295"/>
      <c r="AD273" s="295"/>
      <c r="AK273" s="295"/>
      <c r="BR273" s="188"/>
      <c r="BT273" s="296"/>
      <c r="BU273" s="296"/>
      <c r="BV273" s="296"/>
      <c r="CT273" s="510">
        <v>114</v>
      </c>
      <c r="DJ273" s="367"/>
    </row>
    <row r="274" spans="2:114" ht="13">
      <c r="B274" s="294"/>
      <c r="C274" s="294"/>
      <c r="D274" s="294"/>
      <c r="E274" s="295"/>
      <c r="F274" s="294"/>
      <c r="G274" s="295"/>
      <c r="H274" s="295"/>
      <c r="P274" s="295"/>
      <c r="W274" s="295"/>
      <c r="AD274" s="295"/>
      <c r="AK274" s="295"/>
      <c r="BR274" s="188"/>
      <c r="BT274" s="296"/>
      <c r="BU274" s="296"/>
      <c r="BV274" s="296"/>
      <c r="CT274" s="510">
        <v>115</v>
      </c>
      <c r="DJ274" s="367"/>
    </row>
    <row r="275" spans="2:114" ht="13">
      <c r="B275" s="294"/>
      <c r="C275" s="294"/>
      <c r="D275" s="294"/>
      <c r="E275" s="295"/>
      <c r="F275" s="294"/>
      <c r="G275" s="295"/>
      <c r="H275" s="295"/>
      <c r="P275" s="295"/>
      <c r="W275" s="295"/>
      <c r="AD275" s="295"/>
      <c r="AK275" s="295"/>
      <c r="BR275" s="188"/>
      <c r="BT275" s="296"/>
      <c r="BU275" s="296"/>
      <c r="BV275" s="296"/>
      <c r="CT275" s="510">
        <v>116</v>
      </c>
      <c r="DJ275" s="367"/>
    </row>
    <row r="276" spans="2:114" ht="13">
      <c r="B276" s="294"/>
      <c r="C276" s="294"/>
      <c r="D276" s="294"/>
      <c r="E276" s="295"/>
      <c r="F276" s="294"/>
      <c r="G276" s="295"/>
      <c r="H276" s="295"/>
      <c r="P276" s="295"/>
      <c r="W276" s="295"/>
      <c r="AD276" s="295"/>
      <c r="AK276" s="295"/>
      <c r="BR276" s="188"/>
      <c r="BT276" s="296"/>
      <c r="BU276" s="296"/>
      <c r="BV276" s="296"/>
      <c r="CT276" s="510">
        <v>117</v>
      </c>
      <c r="DJ276" s="367"/>
    </row>
    <row r="277" spans="2:114" ht="13">
      <c r="B277" s="294"/>
      <c r="C277" s="294"/>
      <c r="D277" s="294"/>
      <c r="E277" s="295"/>
      <c r="F277" s="294"/>
      <c r="G277" s="295"/>
      <c r="H277" s="295"/>
      <c r="P277" s="295"/>
      <c r="W277" s="295"/>
      <c r="AD277" s="295"/>
      <c r="AK277" s="295"/>
      <c r="BR277" s="188"/>
      <c r="BT277" s="296"/>
      <c r="BU277" s="296"/>
      <c r="BV277" s="296"/>
      <c r="CT277" s="510">
        <v>118</v>
      </c>
      <c r="DJ277" s="367"/>
    </row>
    <row r="278" spans="2:114" ht="13">
      <c r="B278" s="294"/>
      <c r="C278" s="294"/>
      <c r="D278" s="294"/>
      <c r="E278" s="295"/>
      <c r="F278" s="294"/>
      <c r="G278" s="295"/>
      <c r="H278" s="295"/>
      <c r="P278" s="295"/>
      <c r="W278" s="295"/>
      <c r="AD278" s="295"/>
      <c r="AK278" s="295"/>
      <c r="BR278" s="188"/>
      <c r="BT278" s="296"/>
      <c r="BU278" s="296"/>
      <c r="BV278" s="296"/>
      <c r="CT278" s="510">
        <v>119</v>
      </c>
      <c r="DJ278" s="367"/>
    </row>
    <row r="279" spans="2:114" ht="13">
      <c r="B279" s="294"/>
      <c r="C279" s="294"/>
      <c r="D279" s="294"/>
      <c r="E279" s="295"/>
      <c r="F279" s="294"/>
      <c r="G279" s="295"/>
      <c r="H279" s="295"/>
      <c r="P279" s="295"/>
      <c r="W279" s="295"/>
      <c r="AD279" s="295"/>
      <c r="AK279" s="295"/>
      <c r="BR279" s="188"/>
      <c r="BT279" s="296"/>
      <c r="BU279" s="296"/>
      <c r="BV279" s="296"/>
      <c r="CT279" s="510">
        <v>120</v>
      </c>
      <c r="DJ279" s="367"/>
    </row>
    <row r="280" spans="2:114" ht="13">
      <c r="B280" s="294"/>
      <c r="C280" s="294"/>
      <c r="D280" s="294"/>
      <c r="E280" s="295"/>
      <c r="F280" s="294"/>
      <c r="G280" s="295"/>
      <c r="H280" s="295"/>
      <c r="P280" s="295"/>
      <c r="W280" s="295"/>
      <c r="AD280" s="295"/>
      <c r="AK280" s="295"/>
      <c r="BR280" s="188"/>
      <c r="BT280" s="296"/>
      <c r="BU280" s="296"/>
      <c r="BV280" s="296"/>
      <c r="CT280" s="510">
        <v>121</v>
      </c>
      <c r="DJ280" s="367"/>
    </row>
    <row r="281" spans="2:114" ht="13">
      <c r="B281" s="294"/>
      <c r="C281" s="294"/>
      <c r="D281" s="294"/>
      <c r="E281" s="295"/>
      <c r="F281" s="294"/>
      <c r="G281" s="295"/>
      <c r="H281" s="295"/>
      <c r="P281" s="295"/>
      <c r="W281" s="295"/>
      <c r="AD281" s="295"/>
      <c r="AK281" s="295"/>
      <c r="BR281" s="188"/>
      <c r="BT281" s="296"/>
      <c r="BU281" s="296"/>
      <c r="BV281" s="296"/>
      <c r="CT281" s="510">
        <v>122</v>
      </c>
      <c r="DJ281" s="367"/>
    </row>
    <row r="282" spans="2:114" ht="13">
      <c r="B282" s="294"/>
      <c r="C282" s="294"/>
      <c r="D282" s="294"/>
      <c r="E282" s="295"/>
      <c r="F282" s="294"/>
      <c r="G282" s="295"/>
      <c r="H282" s="295"/>
      <c r="P282" s="295"/>
      <c r="W282" s="295"/>
      <c r="AD282" s="295"/>
      <c r="AK282" s="295"/>
      <c r="BR282" s="188"/>
      <c r="BT282" s="296"/>
      <c r="BU282" s="296"/>
      <c r="BV282" s="296"/>
      <c r="CT282" s="510">
        <v>123</v>
      </c>
      <c r="DJ282" s="367"/>
    </row>
    <row r="283" spans="2:114" ht="13">
      <c r="B283" s="294"/>
      <c r="C283" s="294"/>
      <c r="D283" s="294"/>
      <c r="E283" s="295"/>
      <c r="F283" s="294"/>
      <c r="G283" s="295"/>
      <c r="H283" s="295"/>
      <c r="P283" s="295"/>
      <c r="W283" s="295"/>
      <c r="AD283" s="295"/>
      <c r="AK283" s="295"/>
      <c r="BR283" s="188"/>
      <c r="BT283" s="296"/>
      <c r="BU283" s="296"/>
      <c r="BV283" s="296"/>
      <c r="CT283" s="510">
        <v>124</v>
      </c>
      <c r="DJ283" s="367"/>
    </row>
    <row r="284" spans="2:114" ht="13">
      <c r="B284" s="294"/>
      <c r="C284" s="294"/>
      <c r="D284" s="294"/>
      <c r="E284" s="295"/>
      <c r="F284" s="294"/>
      <c r="G284" s="295"/>
      <c r="H284" s="295"/>
      <c r="P284" s="295"/>
      <c r="W284" s="295"/>
      <c r="AD284" s="295"/>
      <c r="AK284" s="295"/>
      <c r="BR284" s="188"/>
      <c r="BT284" s="296"/>
      <c r="BU284" s="296"/>
      <c r="BV284" s="296"/>
      <c r="CT284" s="510">
        <v>125</v>
      </c>
      <c r="DJ284" s="367"/>
    </row>
    <row r="285" spans="2:114" ht="13">
      <c r="B285" s="294"/>
      <c r="C285" s="294"/>
      <c r="D285" s="294"/>
      <c r="E285" s="295"/>
      <c r="F285" s="294"/>
      <c r="G285" s="295"/>
      <c r="H285" s="295"/>
      <c r="P285" s="295"/>
      <c r="W285" s="295"/>
      <c r="AD285" s="295"/>
      <c r="AK285" s="295"/>
      <c r="BR285" s="188"/>
      <c r="BT285" s="296"/>
      <c r="BU285" s="296"/>
      <c r="BV285" s="296"/>
      <c r="CT285" s="510">
        <v>126</v>
      </c>
      <c r="DJ285" s="367"/>
    </row>
    <row r="286" spans="2:114" ht="13">
      <c r="B286" s="294"/>
      <c r="C286" s="294"/>
      <c r="D286" s="294"/>
      <c r="E286" s="295"/>
      <c r="F286" s="294"/>
      <c r="G286" s="295"/>
      <c r="H286" s="295"/>
      <c r="P286" s="295"/>
      <c r="W286" s="295"/>
      <c r="AD286" s="295"/>
      <c r="AK286" s="295"/>
      <c r="BR286" s="188"/>
      <c r="BT286" s="296"/>
      <c r="BU286" s="296"/>
      <c r="BV286" s="296"/>
      <c r="CT286" s="510">
        <v>127</v>
      </c>
      <c r="DJ286" s="367"/>
    </row>
    <row r="287" spans="2:114" ht="13">
      <c r="B287" s="294"/>
      <c r="C287" s="294"/>
      <c r="D287" s="294"/>
      <c r="E287" s="295"/>
      <c r="F287" s="294"/>
      <c r="G287" s="295"/>
      <c r="H287" s="295"/>
      <c r="P287" s="295"/>
      <c r="W287" s="295"/>
      <c r="AD287" s="295"/>
      <c r="AK287" s="295"/>
      <c r="BR287" s="188"/>
      <c r="BT287" s="296"/>
      <c r="BU287" s="296"/>
      <c r="BV287" s="296"/>
      <c r="CT287" s="510">
        <v>128</v>
      </c>
      <c r="DJ287" s="367"/>
    </row>
    <row r="288" spans="2:114" ht="13">
      <c r="B288" s="294"/>
      <c r="C288" s="294"/>
      <c r="D288" s="294"/>
      <c r="E288" s="295"/>
      <c r="F288" s="294"/>
      <c r="G288" s="295"/>
      <c r="H288" s="295"/>
      <c r="P288" s="295"/>
      <c r="W288" s="295"/>
      <c r="AD288" s="295"/>
      <c r="AK288" s="295"/>
      <c r="BR288" s="188"/>
      <c r="BT288" s="296"/>
      <c r="BU288" s="296"/>
      <c r="BV288" s="296"/>
      <c r="CT288" s="510">
        <v>129</v>
      </c>
      <c r="DJ288" s="367"/>
    </row>
    <row r="289" spans="2:114" ht="13">
      <c r="B289" s="294"/>
      <c r="C289" s="294"/>
      <c r="D289" s="294"/>
      <c r="E289" s="295"/>
      <c r="F289" s="294"/>
      <c r="G289" s="295"/>
      <c r="H289" s="295"/>
      <c r="P289" s="295"/>
      <c r="W289" s="295"/>
      <c r="AD289" s="295"/>
      <c r="AK289" s="295"/>
      <c r="BR289" s="188"/>
      <c r="BT289" s="296"/>
      <c r="BU289" s="296"/>
      <c r="BV289" s="296"/>
      <c r="CT289" s="510">
        <v>130</v>
      </c>
      <c r="DJ289" s="367"/>
    </row>
    <row r="290" spans="2:114" ht="13">
      <c r="B290" s="294"/>
      <c r="C290" s="294"/>
      <c r="D290" s="294"/>
      <c r="E290" s="295"/>
      <c r="F290" s="294"/>
      <c r="G290" s="295"/>
      <c r="H290" s="295"/>
      <c r="P290" s="295"/>
      <c r="W290" s="295"/>
      <c r="AD290" s="295"/>
      <c r="AK290" s="295"/>
      <c r="BR290" s="188"/>
      <c r="BT290" s="296"/>
      <c r="BU290" s="296"/>
      <c r="BV290" s="296"/>
      <c r="CT290" s="510">
        <v>131</v>
      </c>
      <c r="DJ290" s="367"/>
    </row>
    <row r="291" spans="2:114" ht="13">
      <c r="B291" s="294"/>
      <c r="C291" s="294"/>
      <c r="D291" s="294"/>
      <c r="E291" s="295"/>
      <c r="F291" s="294"/>
      <c r="G291" s="295"/>
      <c r="H291" s="295"/>
      <c r="P291" s="295"/>
      <c r="W291" s="295"/>
      <c r="AD291" s="295"/>
      <c r="AK291" s="295"/>
      <c r="BR291" s="188"/>
      <c r="BT291" s="296"/>
      <c r="BU291" s="296"/>
      <c r="BV291" s="296"/>
      <c r="CT291" s="510">
        <v>132</v>
      </c>
      <c r="DJ291" s="367"/>
    </row>
    <row r="292" spans="2:114" ht="13">
      <c r="B292" s="294"/>
      <c r="C292" s="294"/>
      <c r="D292" s="294"/>
      <c r="E292" s="295"/>
      <c r="F292" s="294"/>
      <c r="G292" s="295"/>
      <c r="H292" s="295"/>
      <c r="P292" s="295"/>
      <c r="W292" s="295"/>
      <c r="AD292" s="295"/>
      <c r="AK292" s="295"/>
      <c r="BR292" s="188"/>
      <c r="BT292" s="296"/>
      <c r="BU292" s="296"/>
      <c r="BV292" s="296"/>
      <c r="CT292" s="510">
        <v>133</v>
      </c>
      <c r="DJ292" s="367"/>
    </row>
    <row r="293" spans="2:114" ht="13">
      <c r="B293" s="294"/>
      <c r="C293" s="294"/>
      <c r="D293" s="294"/>
      <c r="E293" s="295"/>
      <c r="F293" s="294"/>
      <c r="G293" s="295"/>
      <c r="H293" s="295"/>
      <c r="P293" s="295"/>
      <c r="W293" s="295"/>
      <c r="AD293" s="295"/>
      <c r="AK293" s="295"/>
      <c r="BR293" s="188"/>
      <c r="BT293" s="296"/>
      <c r="BU293" s="296"/>
      <c r="BV293" s="296"/>
      <c r="CT293" s="510">
        <v>134</v>
      </c>
      <c r="DJ293" s="367"/>
    </row>
    <row r="294" spans="2:114" ht="13">
      <c r="B294" s="294"/>
      <c r="C294" s="294"/>
      <c r="D294" s="294"/>
      <c r="E294" s="295"/>
      <c r="F294" s="294"/>
      <c r="G294" s="295"/>
      <c r="H294" s="295"/>
      <c r="P294" s="295"/>
      <c r="W294" s="295"/>
      <c r="AD294" s="295"/>
      <c r="AK294" s="295"/>
      <c r="BR294" s="188"/>
      <c r="BT294" s="296"/>
      <c r="BU294" s="296"/>
      <c r="BV294" s="296"/>
      <c r="CT294" s="510">
        <v>135</v>
      </c>
      <c r="DJ294" s="367"/>
    </row>
    <row r="295" spans="2:114" ht="13">
      <c r="B295" s="294"/>
      <c r="C295" s="294"/>
      <c r="D295" s="294"/>
      <c r="E295" s="295"/>
      <c r="F295" s="294"/>
      <c r="G295" s="295"/>
      <c r="H295" s="295"/>
      <c r="P295" s="295"/>
      <c r="W295" s="295"/>
      <c r="AD295" s="295"/>
      <c r="AK295" s="295"/>
      <c r="BR295" s="188"/>
      <c r="BT295" s="296"/>
      <c r="BU295" s="296"/>
      <c r="BV295" s="296"/>
      <c r="CT295" s="510">
        <v>136</v>
      </c>
      <c r="DJ295" s="367"/>
    </row>
    <row r="296" spans="2:114" ht="13">
      <c r="B296" s="294"/>
      <c r="C296" s="294"/>
      <c r="D296" s="294"/>
      <c r="E296" s="295"/>
      <c r="F296" s="294"/>
      <c r="G296" s="295"/>
      <c r="H296" s="295"/>
      <c r="P296" s="295"/>
      <c r="W296" s="295"/>
      <c r="AD296" s="295"/>
      <c r="AK296" s="295"/>
      <c r="BR296" s="188"/>
      <c r="BT296" s="296"/>
      <c r="BU296" s="296"/>
      <c r="BV296" s="296"/>
      <c r="CT296" s="510">
        <v>137</v>
      </c>
      <c r="DJ296" s="367"/>
    </row>
    <row r="297" spans="2:114" ht="13">
      <c r="B297" s="294"/>
      <c r="C297" s="294"/>
      <c r="D297" s="294"/>
      <c r="E297" s="295"/>
      <c r="F297" s="294"/>
      <c r="G297" s="295"/>
      <c r="H297" s="295"/>
      <c r="P297" s="295"/>
      <c r="W297" s="295"/>
      <c r="AD297" s="295"/>
      <c r="AK297" s="295"/>
      <c r="BR297" s="188"/>
      <c r="BT297" s="296"/>
      <c r="BU297" s="296"/>
      <c r="BV297" s="296"/>
      <c r="CT297" s="510">
        <v>138</v>
      </c>
      <c r="DJ297" s="367"/>
    </row>
    <row r="298" spans="2:114" ht="13">
      <c r="B298" s="294"/>
      <c r="C298" s="294"/>
      <c r="D298" s="294"/>
      <c r="E298" s="295"/>
      <c r="F298" s="294"/>
      <c r="G298" s="295"/>
      <c r="H298" s="295"/>
      <c r="P298" s="295"/>
      <c r="W298" s="295"/>
      <c r="AD298" s="295"/>
      <c r="AK298" s="295"/>
      <c r="BR298" s="188"/>
      <c r="BT298" s="296"/>
      <c r="BU298" s="296"/>
      <c r="BV298" s="296"/>
      <c r="CT298" s="510">
        <v>139</v>
      </c>
      <c r="DJ298" s="367"/>
    </row>
    <row r="299" spans="2:114" ht="13">
      <c r="B299" s="294"/>
      <c r="C299" s="294"/>
      <c r="D299" s="294"/>
      <c r="E299" s="295"/>
      <c r="F299" s="294"/>
      <c r="G299" s="295"/>
      <c r="H299" s="295"/>
      <c r="P299" s="295"/>
      <c r="W299" s="295"/>
      <c r="AD299" s="295"/>
      <c r="AK299" s="295"/>
      <c r="BR299" s="188"/>
      <c r="BT299" s="296"/>
      <c r="BU299" s="296"/>
      <c r="BV299" s="296"/>
      <c r="CT299" s="510">
        <v>140</v>
      </c>
      <c r="DJ299" s="367"/>
    </row>
    <row r="300" spans="2:114" ht="13">
      <c r="B300" s="294"/>
      <c r="C300" s="294"/>
      <c r="D300" s="294"/>
      <c r="E300" s="295"/>
      <c r="F300" s="294"/>
      <c r="G300" s="295"/>
      <c r="H300" s="295"/>
      <c r="P300" s="295"/>
      <c r="W300" s="295"/>
      <c r="AD300" s="295"/>
      <c r="AK300" s="295"/>
      <c r="BR300" s="188"/>
      <c r="BT300" s="296"/>
      <c r="BU300" s="296"/>
      <c r="BV300" s="296"/>
      <c r="CT300" s="512">
        <v>141</v>
      </c>
      <c r="CU300" s="369"/>
      <c r="CV300" s="369"/>
      <c r="CW300" s="369"/>
      <c r="CX300" s="369"/>
      <c r="CY300" s="369"/>
      <c r="CZ300" s="369"/>
      <c r="DA300" s="369"/>
      <c r="DB300" s="369"/>
      <c r="DC300" s="369"/>
      <c r="DD300" s="369"/>
      <c r="DE300" s="369"/>
      <c r="DF300" s="369"/>
      <c r="DG300" s="369"/>
      <c r="DH300" s="369"/>
      <c r="DI300" s="369"/>
      <c r="DJ300" s="370"/>
    </row>
    <row r="301" spans="2:114" ht="13">
      <c r="B301" s="294"/>
      <c r="C301" s="294"/>
      <c r="D301" s="294"/>
      <c r="E301" s="295"/>
      <c r="F301" s="294"/>
      <c r="G301" s="295"/>
      <c r="H301" s="295"/>
      <c r="P301" s="295"/>
      <c r="W301" s="295"/>
      <c r="AD301" s="295"/>
      <c r="AK301" s="295"/>
      <c r="BR301" s="188"/>
      <c r="BT301" s="296"/>
      <c r="BU301" s="296"/>
      <c r="BV301" s="296"/>
    </row>
    <row r="302" spans="2:114" ht="13">
      <c r="B302" s="294"/>
      <c r="C302" s="294"/>
      <c r="D302" s="294"/>
      <c r="E302" s="295"/>
      <c r="F302" s="294"/>
      <c r="G302" s="295"/>
      <c r="H302" s="295"/>
      <c r="P302" s="295"/>
      <c r="W302" s="295"/>
      <c r="AD302" s="295"/>
      <c r="AK302" s="295"/>
      <c r="BR302" s="188"/>
      <c r="BT302" s="296"/>
      <c r="BU302" s="296"/>
      <c r="BV302" s="296"/>
      <c r="CZ302" s="352">
        <f>CZ306-AN100</f>
        <v>-1.0000012814998627E-2</v>
      </c>
      <c r="DA302" s="352">
        <f>DA306-AR100</f>
        <v>0</v>
      </c>
      <c r="DB302" s="352">
        <f>DB306-AV100</f>
        <v>-2.000001072883606E-2</v>
      </c>
      <c r="DC302" s="352">
        <f>DC306-BF100</f>
        <v>1.9999995827674866E-2</v>
      </c>
      <c r="DD302" s="352">
        <f>DD306-BJ100</f>
        <v>0</v>
      </c>
      <c r="DE302" s="352">
        <f>DE306-BN100</f>
        <v>0</v>
      </c>
      <c r="DF302" s="352">
        <f>DF306-BU100</f>
        <v>-9.9999979138374329E-3</v>
      </c>
    </row>
    <row r="303" spans="2:114" ht="13">
      <c r="B303" s="294"/>
      <c r="C303" s="294"/>
      <c r="D303" s="294"/>
      <c r="E303" s="295"/>
      <c r="F303" s="294"/>
      <c r="G303" s="295"/>
      <c r="H303" s="295"/>
      <c r="P303" s="295"/>
      <c r="W303" s="295"/>
      <c r="AD303" s="295"/>
      <c r="AK303" s="295"/>
      <c r="BR303" s="188"/>
      <c r="BT303" s="296"/>
      <c r="BU303" s="296"/>
      <c r="BV303" s="296"/>
      <c r="CT303" s="371"/>
      <c r="CU303" s="372">
        <v>1</v>
      </c>
      <c r="CV303" s="372">
        <v>2</v>
      </c>
      <c r="CW303" s="372">
        <v>3</v>
      </c>
      <c r="CX303" s="372">
        <v>4</v>
      </c>
      <c r="CY303" s="372">
        <v>5</v>
      </c>
      <c r="CZ303" s="372">
        <v>6</v>
      </c>
      <c r="DA303" s="372">
        <v>7</v>
      </c>
      <c r="DB303" s="372">
        <v>8</v>
      </c>
      <c r="DC303" s="372">
        <v>9</v>
      </c>
      <c r="DD303" s="372">
        <v>10</v>
      </c>
      <c r="DE303" s="372">
        <v>11</v>
      </c>
      <c r="DF303" s="372">
        <v>12</v>
      </c>
      <c r="DG303" s="372">
        <v>13</v>
      </c>
      <c r="DH303" s="372">
        <v>14</v>
      </c>
      <c r="DI303" s="372">
        <v>15</v>
      </c>
      <c r="DJ303" s="373">
        <v>16</v>
      </c>
    </row>
    <row r="304" spans="2:114" ht="13">
      <c r="B304" s="294"/>
      <c r="C304" s="294"/>
      <c r="D304" s="294"/>
      <c r="E304" s="295"/>
      <c r="F304" s="294"/>
      <c r="G304" s="295"/>
      <c r="H304" s="295"/>
      <c r="P304" s="295"/>
      <c r="W304" s="295"/>
      <c r="AD304" s="295"/>
      <c r="AK304" s="295"/>
      <c r="BR304" s="188"/>
      <c r="BT304" s="296"/>
      <c r="BU304" s="296"/>
      <c r="BV304" s="296"/>
      <c r="CT304" s="374"/>
      <c r="CW304" s="357">
        <v>45658</v>
      </c>
      <c r="CX304" s="357">
        <v>45689</v>
      </c>
      <c r="CY304" s="357">
        <v>45717</v>
      </c>
      <c r="CZ304" s="357">
        <v>45748</v>
      </c>
      <c r="DA304" s="357">
        <v>45778</v>
      </c>
      <c r="DB304" s="357">
        <v>45809</v>
      </c>
      <c r="DC304" s="357">
        <v>45839</v>
      </c>
      <c r="DD304" s="357">
        <v>45870</v>
      </c>
      <c r="DE304" s="357">
        <v>45901</v>
      </c>
      <c r="DF304" s="357">
        <v>45931</v>
      </c>
      <c r="DG304" s="357">
        <v>45962</v>
      </c>
      <c r="DH304" s="357">
        <v>45992</v>
      </c>
      <c r="DI304" s="357"/>
      <c r="DJ304" s="375"/>
    </row>
    <row r="305" spans="2:114" ht="13">
      <c r="B305" s="294"/>
      <c r="C305" s="294"/>
      <c r="D305" s="294"/>
      <c r="E305" s="295"/>
      <c r="F305" s="294"/>
      <c r="G305" s="295"/>
      <c r="H305" s="295"/>
      <c r="P305" s="295"/>
      <c r="W305" s="295"/>
      <c r="AD305" s="295"/>
      <c r="AK305" s="295"/>
      <c r="BR305" s="188"/>
      <c r="BT305" s="296"/>
      <c r="BU305" s="296"/>
      <c r="BV305" s="296"/>
      <c r="CT305" s="374"/>
      <c r="CU305" s="376"/>
      <c r="CV305" s="377" t="s">
        <v>241</v>
      </c>
      <c r="CW305" s="360">
        <v>45658</v>
      </c>
      <c r="CX305" s="360">
        <v>45689</v>
      </c>
      <c r="CY305" s="360">
        <v>45717</v>
      </c>
      <c r="CZ305" s="360">
        <v>45748</v>
      </c>
      <c r="DA305" s="360">
        <v>45778</v>
      </c>
      <c r="DB305" s="360">
        <v>45809</v>
      </c>
      <c r="DC305" s="360">
        <v>45839</v>
      </c>
      <c r="DD305" s="360">
        <v>45870</v>
      </c>
      <c r="DE305" s="360">
        <v>45901</v>
      </c>
      <c r="DF305" s="360">
        <v>45931</v>
      </c>
      <c r="DG305" s="360"/>
      <c r="DH305" s="360"/>
      <c r="DI305" s="357"/>
      <c r="DJ305" s="375"/>
    </row>
    <row r="306" spans="2:114" ht="13">
      <c r="B306" s="294"/>
      <c r="C306" s="294"/>
      <c r="D306" s="294"/>
      <c r="E306" s="295"/>
      <c r="F306" s="294"/>
      <c r="G306" s="295"/>
      <c r="H306" s="295"/>
      <c r="P306" s="295"/>
      <c r="W306" s="295"/>
      <c r="AD306" s="295"/>
      <c r="AK306" s="295"/>
      <c r="BR306" s="188"/>
      <c r="BT306" s="296"/>
      <c r="BU306" s="296"/>
      <c r="BV306" s="296"/>
      <c r="CT306" s="374"/>
      <c r="CU306" s="359" t="s">
        <v>241</v>
      </c>
      <c r="CV306" s="361">
        <v>550294144.85000002</v>
      </c>
      <c r="CW306" s="361">
        <v>58407589.409999996</v>
      </c>
      <c r="CX306" s="361">
        <v>56947310.829999998</v>
      </c>
      <c r="CY306" s="361">
        <v>35634444.020000003</v>
      </c>
      <c r="CZ306" s="361">
        <v>48178832.969999999</v>
      </c>
      <c r="DA306" s="361">
        <v>48715614.399999999</v>
      </c>
      <c r="DB306" s="361">
        <v>56804045.479999997</v>
      </c>
      <c r="DC306" s="361">
        <v>70108134.219999999</v>
      </c>
      <c r="DD306" s="361">
        <v>63593254.039999999</v>
      </c>
      <c r="DE306" s="361">
        <v>53880184.75</v>
      </c>
      <c r="DF306" s="361">
        <v>58024734.729999997</v>
      </c>
      <c r="DG306" s="361"/>
      <c r="DH306" s="361"/>
      <c r="DI306" s="361"/>
      <c r="DJ306" s="378"/>
    </row>
    <row r="307" spans="2:114" ht="13">
      <c r="B307" s="294"/>
      <c r="C307" s="294"/>
      <c r="D307" s="294"/>
      <c r="E307" s="295"/>
      <c r="F307" s="294"/>
      <c r="G307" s="295"/>
      <c r="H307" s="295"/>
      <c r="P307" s="295"/>
      <c r="W307" s="295"/>
      <c r="AD307" s="295"/>
      <c r="AK307" s="295"/>
      <c r="BR307" s="188"/>
      <c r="BT307" s="296"/>
      <c r="BU307" s="296"/>
      <c r="BV307" s="296"/>
      <c r="CT307" s="374">
        <v>1</v>
      </c>
      <c r="CU307" s="359" t="s">
        <v>262</v>
      </c>
      <c r="CV307" s="361">
        <v>146813123.62</v>
      </c>
      <c r="CW307" s="361">
        <v>13298534.560000001</v>
      </c>
      <c r="CX307" s="361">
        <v>13623824.59</v>
      </c>
      <c r="CY307" s="361">
        <v>10207176.970000001</v>
      </c>
      <c r="CZ307" s="361">
        <v>12929356.869999999</v>
      </c>
      <c r="DA307" s="361">
        <v>7925040.9299999997</v>
      </c>
      <c r="DB307" s="361">
        <v>18958059.109999999</v>
      </c>
      <c r="DC307" s="361">
        <v>17793850.710000001</v>
      </c>
      <c r="DD307" s="361">
        <v>22452268.890000001</v>
      </c>
      <c r="DE307" s="361">
        <v>15486861.779999999</v>
      </c>
      <c r="DF307" s="361">
        <v>14138149.220000001</v>
      </c>
      <c r="DG307" s="361"/>
      <c r="DH307" s="361"/>
      <c r="DI307" s="361"/>
      <c r="DJ307" s="378"/>
    </row>
    <row r="308" spans="2:114" ht="13">
      <c r="B308" s="294"/>
      <c r="C308" s="294"/>
      <c r="D308" s="294"/>
      <c r="E308" s="295"/>
      <c r="F308" s="294"/>
      <c r="G308" s="295"/>
      <c r="H308" s="295"/>
      <c r="P308" s="295"/>
      <c r="W308" s="295"/>
      <c r="AD308" s="295"/>
      <c r="AK308" s="295"/>
      <c r="BR308" s="188"/>
      <c r="BT308" s="296"/>
      <c r="BU308" s="296"/>
      <c r="BV308" s="296"/>
      <c r="CT308" s="374">
        <v>2</v>
      </c>
      <c r="CU308" s="359" t="s">
        <v>291</v>
      </c>
      <c r="CV308" s="361">
        <v>73525231.530000001</v>
      </c>
      <c r="CW308" s="361">
        <v>4697479.8600000003</v>
      </c>
      <c r="CX308" s="361">
        <v>4959810.12</v>
      </c>
      <c r="CY308" s="361">
        <v>11030388.75</v>
      </c>
      <c r="CZ308" s="361">
        <v>3237999.12</v>
      </c>
      <c r="DA308" s="361">
        <v>6629311.6100000003</v>
      </c>
      <c r="DB308" s="361">
        <v>6987600.54</v>
      </c>
      <c r="DC308" s="361">
        <v>12354744.33</v>
      </c>
      <c r="DD308" s="361">
        <v>5137849.5</v>
      </c>
      <c r="DE308" s="361">
        <v>10469742.109999999</v>
      </c>
      <c r="DF308" s="361">
        <v>8020305.5800000001</v>
      </c>
      <c r="DG308" s="361"/>
      <c r="DH308" s="361"/>
      <c r="DI308" s="361"/>
      <c r="DJ308" s="378"/>
    </row>
    <row r="309" spans="2:114" ht="13">
      <c r="B309" s="294"/>
      <c r="C309" s="294"/>
      <c r="D309" s="294"/>
      <c r="E309" s="295"/>
      <c r="F309" s="294"/>
      <c r="G309" s="295"/>
      <c r="H309" s="295"/>
      <c r="P309" s="295"/>
      <c r="W309" s="295"/>
      <c r="AD309" s="295"/>
      <c r="AK309" s="295"/>
      <c r="BR309" s="188"/>
      <c r="BT309" s="296"/>
      <c r="BU309" s="296"/>
      <c r="BV309" s="296"/>
      <c r="CT309" s="374">
        <v>3</v>
      </c>
      <c r="CU309" s="359" t="s">
        <v>259</v>
      </c>
      <c r="CV309" s="361">
        <v>55803855.210000001</v>
      </c>
      <c r="CW309" s="361">
        <v>5189070.99</v>
      </c>
      <c r="CX309" s="361">
        <v>3005536.77</v>
      </c>
      <c r="CY309" s="361">
        <v>562848.52</v>
      </c>
      <c r="CZ309" s="361">
        <v>2582699.66</v>
      </c>
      <c r="DA309" s="361">
        <v>1295767.17</v>
      </c>
      <c r="DB309" s="361">
        <v>10440140.16</v>
      </c>
      <c r="DC309" s="361">
        <v>6395215.4199999999</v>
      </c>
      <c r="DD309" s="361">
        <v>15601257.199999999</v>
      </c>
      <c r="DE309" s="361">
        <v>6288266.1799999997</v>
      </c>
      <c r="DF309" s="361">
        <v>4443053.16</v>
      </c>
      <c r="DG309" s="361"/>
      <c r="DH309" s="361"/>
      <c r="DI309" s="361"/>
      <c r="DJ309" s="378"/>
    </row>
    <row r="310" spans="2:114" ht="13">
      <c r="B310" s="294"/>
      <c r="C310" s="294"/>
      <c r="D310" s="294"/>
      <c r="E310" s="295"/>
      <c r="F310" s="294"/>
      <c r="G310" s="295"/>
      <c r="H310" s="295"/>
      <c r="P310" s="295"/>
      <c r="W310" s="295"/>
      <c r="AD310" s="295"/>
      <c r="AK310" s="295"/>
      <c r="BR310" s="188"/>
      <c r="BT310" s="296"/>
      <c r="BU310" s="296"/>
      <c r="BV310" s="296"/>
      <c r="CT310" s="374">
        <v>4</v>
      </c>
      <c r="CU310" s="359" t="s">
        <v>285</v>
      </c>
      <c r="CV310" s="361">
        <v>45040493.880000003</v>
      </c>
      <c r="CW310" s="361">
        <v>8415069.5299999993</v>
      </c>
      <c r="CX310" s="361">
        <v>6299944.7599999998</v>
      </c>
      <c r="CY310" s="361">
        <v>321918.24</v>
      </c>
      <c r="CZ310" s="361">
        <v>9857912.3800000008</v>
      </c>
      <c r="DA310" s="361">
        <v>5155707.0599999996</v>
      </c>
      <c r="DB310" s="361">
        <v>56645.42</v>
      </c>
      <c r="DC310" s="361">
        <v>5436108.1500000004</v>
      </c>
      <c r="DD310" s="361">
        <v>2900651.8</v>
      </c>
      <c r="DE310" s="361">
        <v>4835456.88</v>
      </c>
      <c r="DF310" s="361">
        <v>1761079.66</v>
      </c>
      <c r="DG310" s="361"/>
      <c r="DH310" s="361"/>
      <c r="DI310" s="361"/>
      <c r="DJ310" s="378"/>
    </row>
    <row r="311" spans="2:114" ht="13">
      <c r="B311" s="294"/>
      <c r="C311" s="294"/>
      <c r="D311" s="294"/>
      <c r="E311" s="295"/>
      <c r="F311" s="294"/>
      <c r="G311" s="295"/>
      <c r="H311" s="295"/>
      <c r="P311" s="295"/>
      <c r="W311" s="295"/>
      <c r="AD311" s="295"/>
      <c r="AK311" s="295"/>
      <c r="BR311" s="188"/>
      <c r="BT311" s="296"/>
      <c r="BU311" s="296"/>
      <c r="BV311" s="296"/>
      <c r="CT311" s="374">
        <v>5</v>
      </c>
      <c r="CU311" s="359" t="s">
        <v>263</v>
      </c>
      <c r="CV311" s="361">
        <v>31041771.77</v>
      </c>
      <c r="CW311" s="361">
        <v>4331444.82</v>
      </c>
      <c r="CX311" s="361">
        <v>4327146.96</v>
      </c>
      <c r="CY311" s="361">
        <v>0</v>
      </c>
      <c r="CZ311" s="361">
        <v>4196210.4000000004</v>
      </c>
      <c r="DA311" s="361">
        <v>5395949.54</v>
      </c>
      <c r="DB311" s="361">
        <v>2534915.44</v>
      </c>
      <c r="DC311" s="361">
        <v>0</v>
      </c>
      <c r="DD311" s="361">
        <v>3582547.41</v>
      </c>
      <c r="DE311" s="361">
        <v>0</v>
      </c>
      <c r="DF311" s="361">
        <v>6673557.2000000002</v>
      </c>
      <c r="DG311" s="361"/>
      <c r="DH311" s="361"/>
      <c r="DI311" s="361"/>
      <c r="DJ311" s="378"/>
    </row>
    <row r="312" spans="2:114" ht="13">
      <c r="B312" s="294"/>
      <c r="C312" s="294"/>
      <c r="D312" s="294"/>
      <c r="E312" s="295"/>
      <c r="F312" s="294"/>
      <c r="G312" s="295"/>
      <c r="H312" s="295"/>
      <c r="P312" s="295"/>
      <c r="W312" s="295"/>
      <c r="AD312" s="295"/>
      <c r="AK312" s="295"/>
      <c r="BR312" s="188"/>
      <c r="BT312" s="296"/>
      <c r="BU312" s="296"/>
      <c r="BV312" s="296"/>
      <c r="CT312" s="374">
        <v>6</v>
      </c>
      <c r="CU312" s="359" t="s">
        <v>256</v>
      </c>
      <c r="CV312" s="361">
        <v>30110525.48</v>
      </c>
      <c r="CW312" s="361">
        <v>4009068.16</v>
      </c>
      <c r="CX312" s="361">
        <v>3931304.13</v>
      </c>
      <c r="CY312" s="361">
        <v>1920878.96</v>
      </c>
      <c r="CZ312" s="361">
        <v>1845182.77</v>
      </c>
      <c r="DA312" s="361">
        <v>5505097.0199999996</v>
      </c>
      <c r="DB312" s="361">
        <v>2274481.02</v>
      </c>
      <c r="DC312" s="361">
        <v>7564130.1600000001</v>
      </c>
      <c r="DD312" s="361">
        <v>1066661.8500000001</v>
      </c>
      <c r="DE312" s="361">
        <v>1621074.19</v>
      </c>
      <c r="DF312" s="361">
        <v>372647.22</v>
      </c>
      <c r="DG312" s="361"/>
      <c r="DH312" s="361"/>
      <c r="DI312" s="361"/>
      <c r="DJ312" s="378"/>
    </row>
    <row r="313" spans="2:114" ht="13">
      <c r="B313" s="294"/>
      <c r="C313" s="294"/>
      <c r="D313" s="294"/>
      <c r="E313" s="295"/>
      <c r="F313" s="294"/>
      <c r="G313" s="295"/>
      <c r="H313" s="295"/>
      <c r="P313" s="295"/>
      <c r="W313" s="295"/>
      <c r="AD313" s="295"/>
      <c r="AK313" s="295"/>
      <c r="BR313" s="188"/>
      <c r="BT313" s="296"/>
      <c r="BU313" s="296"/>
      <c r="BV313" s="296"/>
      <c r="CT313" s="374">
        <v>7</v>
      </c>
      <c r="CU313" s="359" t="s">
        <v>292</v>
      </c>
      <c r="CV313" s="361">
        <v>25712342.399999999</v>
      </c>
      <c r="CW313" s="361">
        <v>6628640.9400000004</v>
      </c>
      <c r="CX313" s="361">
        <v>4288083.34</v>
      </c>
      <c r="CY313" s="361">
        <v>1861585.34</v>
      </c>
      <c r="CZ313" s="361">
        <v>1031517.95</v>
      </c>
      <c r="DA313" s="361">
        <v>3038296.08</v>
      </c>
      <c r="DB313" s="361">
        <v>1188565.6100000001</v>
      </c>
      <c r="DC313" s="361">
        <v>2712869.54</v>
      </c>
      <c r="DD313" s="361">
        <v>0</v>
      </c>
      <c r="DE313" s="361">
        <v>0</v>
      </c>
      <c r="DF313" s="361">
        <v>4962783.5999999996</v>
      </c>
      <c r="DG313" s="361"/>
      <c r="DH313" s="361"/>
      <c r="DI313" s="361"/>
      <c r="DJ313" s="378"/>
    </row>
    <row r="314" spans="2:114" ht="13">
      <c r="B314" s="294"/>
      <c r="C314" s="294"/>
      <c r="D314" s="294"/>
      <c r="E314" s="295"/>
      <c r="F314" s="294"/>
      <c r="G314" s="295"/>
      <c r="H314" s="295"/>
      <c r="P314" s="295"/>
      <c r="W314" s="295"/>
      <c r="AD314" s="295"/>
      <c r="AK314" s="295"/>
      <c r="BR314" s="188"/>
      <c r="BT314" s="296"/>
      <c r="BU314" s="296"/>
      <c r="BV314" s="296"/>
      <c r="CT314" s="374">
        <v>8</v>
      </c>
      <c r="CU314" s="359" t="s">
        <v>261</v>
      </c>
      <c r="CV314" s="361">
        <v>23407898.390000001</v>
      </c>
      <c r="CW314" s="361">
        <v>1096985.42</v>
      </c>
      <c r="CX314" s="361">
        <v>1962659.39</v>
      </c>
      <c r="CY314" s="361">
        <v>1641513.23</v>
      </c>
      <c r="CZ314" s="361">
        <v>1630738.03</v>
      </c>
      <c r="DA314" s="361">
        <v>2860664.88</v>
      </c>
      <c r="DB314" s="361">
        <v>2101886.86</v>
      </c>
      <c r="DC314" s="361">
        <v>3206333.42</v>
      </c>
      <c r="DD314" s="361">
        <v>2144716.77</v>
      </c>
      <c r="DE314" s="361">
        <v>3330689.59</v>
      </c>
      <c r="DF314" s="361">
        <v>3431710.78</v>
      </c>
      <c r="DG314" s="361"/>
      <c r="DH314" s="361"/>
      <c r="DI314" s="361"/>
      <c r="DJ314" s="378"/>
    </row>
    <row r="315" spans="2:114" ht="13">
      <c r="B315" s="294"/>
      <c r="C315" s="294"/>
      <c r="D315" s="294"/>
      <c r="E315" s="295"/>
      <c r="F315" s="294"/>
      <c r="G315" s="295"/>
      <c r="H315" s="295"/>
      <c r="P315" s="295"/>
      <c r="W315" s="295"/>
      <c r="AD315" s="295"/>
      <c r="AK315" s="295"/>
      <c r="BR315" s="188"/>
      <c r="BT315" s="296"/>
      <c r="BU315" s="296"/>
      <c r="BV315" s="296"/>
      <c r="CT315" s="374">
        <v>9</v>
      </c>
      <c r="CU315" s="359" t="s">
        <v>260</v>
      </c>
      <c r="CV315" s="361">
        <v>20362276.57</v>
      </c>
      <c r="CW315" s="361">
        <v>1891846.31</v>
      </c>
      <c r="CX315" s="361">
        <v>5541695.6200000001</v>
      </c>
      <c r="CY315" s="361">
        <v>160849.92000000001</v>
      </c>
      <c r="CZ315" s="361">
        <v>1196483.7</v>
      </c>
      <c r="DA315" s="361">
        <v>968465.75</v>
      </c>
      <c r="DB315" s="361">
        <v>2128508.7999999998</v>
      </c>
      <c r="DC315" s="361">
        <v>1606477.29</v>
      </c>
      <c r="DD315" s="361">
        <v>3322486.81</v>
      </c>
      <c r="DE315" s="361">
        <v>1203224.2</v>
      </c>
      <c r="DF315" s="361">
        <v>2342238.17</v>
      </c>
      <c r="DG315" s="361"/>
      <c r="DH315" s="361"/>
      <c r="DI315" s="361"/>
      <c r="DJ315" s="378"/>
    </row>
    <row r="316" spans="2:114" ht="13">
      <c r="B316" s="294"/>
      <c r="C316" s="294"/>
      <c r="D316" s="294"/>
      <c r="E316" s="295"/>
      <c r="F316" s="294"/>
      <c r="G316" s="295"/>
      <c r="H316" s="295"/>
      <c r="P316" s="295"/>
      <c r="W316" s="295"/>
      <c r="AD316" s="295"/>
      <c r="AK316" s="295"/>
      <c r="BR316" s="188"/>
      <c r="BT316" s="296"/>
      <c r="BU316" s="296"/>
      <c r="BV316" s="296"/>
      <c r="CT316" s="374">
        <v>10</v>
      </c>
      <c r="CU316" s="359" t="s">
        <v>283</v>
      </c>
      <c r="CV316" s="361">
        <v>19652020.120000001</v>
      </c>
      <c r="CW316" s="361">
        <v>503976.32</v>
      </c>
      <c r="CX316" s="361">
        <v>2083625.92</v>
      </c>
      <c r="CY316" s="361">
        <v>2207596.87</v>
      </c>
      <c r="CZ316" s="361">
        <v>1473778.56</v>
      </c>
      <c r="DA316" s="361">
        <v>1168210.32</v>
      </c>
      <c r="DB316" s="361">
        <v>808743.44</v>
      </c>
      <c r="DC316" s="361">
        <v>4059596.72</v>
      </c>
      <c r="DD316" s="361">
        <v>720069.12</v>
      </c>
      <c r="DE316" s="361">
        <v>3018950.49</v>
      </c>
      <c r="DF316" s="361">
        <v>3607472.36</v>
      </c>
      <c r="DG316" s="361"/>
      <c r="DH316" s="361"/>
      <c r="DI316" s="361"/>
      <c r="DJ316" s="378"/>
    </row>
    <row r="317" spans="2:114" ht="13">
      <c r="B317" s="294"/>
      <c r="C317" s="294"/>
      <c r="D317" s="294"/>
      <c r="E317" s="295"/>
      <c r="F317" s="294"/>
      <c r="G317" s="295"/>
      <c r="H317" s="295"/>
      <c r="P317" s="295"/>
      <c r="W317" s="295"/>
      <c r="AD317" s="295"/>
      <c r="AK317" s="295"/>
      <c r="BR317" s="188"/>
      <c r="BT317" s="296"/>
      <c r="BU317" s="296"/>
      <c r="BV317" s="296"/>
      <c r="CT317" s="374">
        <v>11</v>
      </c>
      <c r="CU317" s="359" t="s">
        <v>302</v>
      </c>
      <c r="CV317" s="361">
        <v>15012899.42</v>
      </c>
      <c r="CW317" s="361">
        <v>759536.45</v>
      </c>
      <c r="CX317" s="361">
        <v>757791.17</v>
      </c>
      <c r="CY317" s="361">
        <v>1040045.36</v>
      </c>
      <c r="CZ317" s="361">
        <v>1734113.94</v>
      </c>
      <c r="DA317" s="361">
        <v>1848326.6</v>
      </c>
      <c r="DB317" s="361">
        <v>1531444.69</v>
      </c>
      <c r="DC317" s="361">
        <v>1238211.58</v>
      </c>
      <c r="DD317" s="361">
        <v>2157164.64</v>
      </c>
      <c r="DE317" s="361">
        <v>1149938.02</v>
      </c>
      <c r="DF317" s="361">
        <v>2796326.99</v>
      </c>
      <c r="DG317" s="361"/>
      <c r="DH317" s="361"/>
      <c r="DI317" s="361"/>
      <c r="DJ317" s="378"/>
    </row>
    <row r="318" spans="2:114" ht="13">
      <c r="B318" s="294"/>
      <c r="C318" s="294"/>
      <c r="D318" s="294"/>
      <c r="E318" s="295"/>
      <c r="F318" s="294"/>
      <c r="G318" s="295"/>
      <c r="H318" s="295"/>
      <c r="P318" s="295"/>
      <c r="W318" s="295"/>
      <c r="AD318" s="295"/>
      <c r="AK318" s="295"/>
      <c r="BR318" s="188"/>
      <c r="BT318" s="296"/>
      <c r="BU318" s="296"/>
      <c r="BV318" s="296"/>
      <c r="CT318" s="374">
        <v>12</v>
      </c>
      <c r="CU318" s="359" t="s">
        <v>267</v>
      </c>
      <c r="CV318" s="361">
        <v>12689693.140000001</v>
      </c>
      <c r="CW318" s="361">
        <v>38330.519999999997</v>
      </c>
      <c r="CX318" s="361">
        <v>997404.1</v>
      </c>
      <c r="CY318" s="361">
        <v>0</v>
      </c>
      <c r="CZ318" s="361">
        <v>1878778.92</v>
      </c>
      <c r="DA318" s="361">
        <v>1263957.03</v>
      </c>
      <c r="DB318" s="361">
        <v>1116421.8500000001</v>
      </c>
      <c r="DC318" s="361">
        <v>3399845.06</v>
      </c>
      <c r="DD318" s="361">
        <v>297781.33</v>
      </c>
      <c r="DE318" s="361">
        <v>1893587.16</v>
      </c>
      <c r="DF318" s="361">
        <v>1803587.17</v>
      </c>
      <c r="DG318" s="361"/>
      <c r="DH318" s="361"/>
      <c r="DI318" s="361"/>
      <c r="DJ318" s="378"/>
    </row>
    <row r="319" spans="2:114" ht="13">
      <c r="B319" s="294"/>
      <c r="C319" s="294"/>
      <c r="D319" s="294"/>
      <c r="E319" s="295"/>
      <c r="F319" s="294"/>
      <c r="G319" s="295"/>
      <c r="H319" s="295"/>
      <c r="P319" s="295"/>
      <c r="W319" s="295"/>
      <c r="AD319" s="295"/>
      <c r="AK319" s="295"/>
      <c r="BR319" s="188"/>
      <c r="BT319" s="296"/>
      <c r="BU319" s="296"/>
      <c r="BV319" s="296"/>
      <c r="CT319" s="374">
        <v>13</v>
      </c>
      <c r="CU319" s="359" t="s">
        <v>268</v>
      </c>
      <c r="CV319" s="361">
        <v>10071760.029999999</v>
      </c>
      <c r="CW319" s="361">
        <v>2213789.85</v>
      </c>
      <c r="CX319" s="361">
        <v>923672.62</v>
      </c>
      <c r="CY319" s="361">
        <v>2434190.98</v>
      </c>
      <c r="CZ319" s="361">
        <v>1236301.27</v>
      </c>
      <c r="DA319" s="361">
        <v>938170.21</v>
      </c>
      <c r="DB319" s="361">
        <v>2039630.52</v>
      </c>
      <c r="DC319" s="361">
        <v>0</v>
      </c>
      <c r="DD319" s="361">
        <v>286004.59000000003</v>
      </c>
      <c r="DE319" s="361">
        <v>0</v>
      </c>
      <c r="DF319" s="361">
        <v>0</v>
      </c>
      <c r="DG319" s="361"/>
      <c r="DH319" s="361"/>
      <c r="DI319" s="361"/>
      <c r="DJ319" s="378"/>
    </row>
    <row r="320" spans="2:114" ht="13">
      <c r="B320" s="294"/>
      <c r="C320" s="294"/>
      <c r="D320" s="294"/>
      <c r="E320" s="295"/>
      <c r="F320" s="294"/>
      <c r="G320" s="295"/>
      <c r="H320" s="295"/>
      <c r="P320" s="295"/>
      <c r="W320" s="295"/>
      <c r="AD320" s="295"/>
      <c r="AK320" s="295"/>
      <c r="BR320" s="188"/>
      <c r="BT320" s="296"/>
      <c r="BU320" s="296"/>
      <c r="BV320" s="296"/>
      <c r="CT320" s="374">
        <v>14</v>
      </c>
      <c r="CU320" s="359" t="s">
        <v>298</v>
      </c>
      <c r="CV320" s="361">
        <v>7547741.0599999996</v>
      </c>
      <c r="CW320" s="361">
        <v>925321.68</v>
      </c>
      <c r="CX320" s="361">
        <v>765736.72</v>
      </c>
      <c r="CY320" s="361">
        <v>560072.17000000004</v>
      </c>
      <c r="CZ320" s="361">
        <v>918829.28</v>
      </c>
      <c r="DA320" s="361">
        <v>418239.56</v>
      </c>
      <c r="DB320" s="361">
        <v>1890199.02</v>
      </c>
      <c r="DC320" s="361">
        <v>789228.35</v>
      </c>
      <c r="DD320" s="361">
        <v>386679.24</v>
      </c>
      <c r="DE320" s="361">
        <v>498384.72</v>
      </c>
      <c r="DF320" s="361">
        <v>395050.32</v>
      </c>
      <c r="DG320" s="361"/>
      <c r="DH320" s="361"/>
      <c r="DI320" s="361"/>
      <c r="DJ320" s="378"/>
    </row>
    <row r="321" spans="2:114" ht="13">
      <c r="B321" s="294"/>
      <c r="C321" s="294"/>
      <c r="D321" s="294"/>
      <c r="E321" s="295"/>
      <c r="F321" s="294"/>
      <c r="G321" s="295"/>
      <c r="H321" s="295"/>
      <c r="P321" s="295"/>
      <c r="W321" s="295"/>
      <c r="AD321" s="295"/>
      <c r="AK321" s="295"/>
      <c r="BR321" s="188"/>
      <c r="BT321" s="296"/>
      <c r="BU321" s="296"/>
      <c r="BV321" s="296"/>
      <c r="CT321" s="374">
        <v>15</v>
      </c>
      <c r="CU321" s="359" t="s">
        <v>299</v>
      </c>
      <c r="CV321" s="361">
        <v>6706551.0700000003</v>
      </c>
      <c r="CW321" s="361">
        <v>672761.92</v>
      </c>
      <c r="CX321" s="361">
        <v>570347.36</v>
      </c>
      <c r="CY321" s="361">
        <v>476702.88</v>
      </c>
      <c r="CZ321" s="361">
        <v>552217.92000000004</v>
      </c>
      <c r="DA321" s="361">
        <v>672555.04</v>
      </c>
      <c r="DB321" s="361">
        <v>975918.13</v>
      </c>
      <c r="DC321" s="361">
        <v>667217.48</v>
      </c>
      <c r="DD321" s="361">
        <v>909830.96</v>
      </c>
      <c r="DE321" s="361">
        <v>800825.12</v>
      </c>
      <c r="DF321" s="361">
        <v>408174.27</v>
      </c>
      <c r="DG321" s="365"/>
      <c r="DH321" s="365"/>
      <c r="DI321" s="365"/>
      <c r="DJ321" s="379"/>
    </row>
    <row r="322" spans="2:114" ht="13">
      <c r="B322" s="294"/>
      <c r="C322" s="294"/>
      <c r="D322" s="294"/>
      <c r="E322" s="295"/>
      <c r="F322" s="294"/>
      <c r="G322" s="295"/>
      <c r="H322" s="295"/>
      <c r="P322" s="295"/>
      <c r="W322" s="295"/>
      <c r="AD322" s="295"/>
      <c r="AK322" s="295"/>
      <c r="BR322" s="188"/>
      <c r="BT322" s="296"/>
      <c r="BU322" s="296"/>
      <c r="BV322" s="296"/>
      <c r="CT322" s="374">
        <v>16</v>
      </c>
      <c r="CU322" s="359" t="s">
        <v>301</v>
      </c>
      <c r="CV322" s="361">
        <v>3285132.38</v>
      </c>
      <c r="CW322" s="361">
        <v>563600.31999999995</v>
      </c>
      <c r="CX322" s="361">
        <v>890959.12</v>
      </c>
      <c r="CY322" s="361">
        <v>0</v>
      </c>
      <c r="CZ322" s="361">
        <v>0</v>
      </c>
      <c r="DA322" s="361">
        <v>577671.5</v>
      </c>
      <c r="DB322" s="361">
        <v>129560.24</v>
      </c>
      <c r="DC322" s="361">
        <v>542813.36</v>
      </c>
      <c r="DD322" s="361">
        <v>107493.44</v>
      </c>
      <c r="DE322" s="361">
        <v>283208.64</v>
      </c>
      <c r="DF322" s="361">
        <v>189825.76</v>
      </c>
      <c r="DG322" s="361"/>
      <c r="DH322" s="361"/>
      <c r="DI322" s="361"/>
      <c r="DJ322" s="378"/>
    </row>
    <row r="323" spans="2:114" ht="13">
      <c r="B323" s="294"/>
      <c r="C323" s="294"/>
      <c r="D323" s="294"/>
      <c r="E323" s="295"/>
      <c r="F323" s="294"/>
      <c r="G323" s="295"/>
      <c r="H323" s="295"/>
      <c r="P323" s="295"/>
      <c r="W323" s="295"/>
      <c r="AD323" s="295"/>
      <c r="AK323" s="295"/>
      <c r="BR323" s="188"/>
      <c r="BT323" s="296"/>
      <c r="BU323" s="296"/>
      <c r="BV323" s="296"/>
      <c r="CT323" s="374">
        <v>17</v>
      </c>
      <c r="CU323" s="359" t="s">
        <v>258</v>
      </c>
      <c r="CV323" s="361">
        <v>2346726.9300000002</v>
      </c>
      <c r="CW323" s="361">
        <v>283362.12</v>
      </c>
      <c r="CX323" s="361">
        <v>0</v>
      </c>
      <c r="CY323" s="361">
        <v>91146.13</v>
      </c>
      <c r="CZ323" s="361">
        <v>0</v>
      </c>
      <c r="DA323" s="361">
        <v>239258.64</v>
      </c>
      <c r="DB323" s="361">
        <v>57784.75</v>
      </c>
      <c r="DC323" s="361">
        <v>165969.51</v>
      </c>
      <c r="DD323" s="361">
        <v>362520.15</v>
      </c>
      <c r="DE323" s="361">
        <v>1146685.6299999999</v>
      </c>
      <c r="DF323" s="361">
        <v>0</v>
      </c>
      <c r="DG323" s="361"/>
      <c r="DH323" s="361"/>
      <c r="DI323" s="361"/>
      <c r="DJ323" s="378"/>
    </row>
    <row r="324" spans="2:114" ht="13">
      <c r="B324" s="294"/>
      <c r="C324" s="294"/>
      <c r="D324" s="294"/>
      <c r="E324" s="295"/>
      <c r="F324" s="294"/>
      <c r="G324" s="295"/>
      <c r="H324" s="295"/>
      <c r="P324" s="295"/>
      <c r="W324" s="295"/>
      <c r="AD324" s="295"/>
      <c r="AK324" s="295"/>
      <c r="BR324" s="188"/>
      <c r="BT324" s="296"/>
      <c r="BU324" s="296"/>
      <c r="BV324" s="296"/>
      <c r="CT324" s="374">
        <v>18</v>
      </c>
      <c r="CU324" s="359" t="s">
        <v>304</v>
      </c>
      <c r="CV324" s="361">
        <v>2180584.7400000002</v>
      </c>
      <c r="CW324" s="361">
        <v>139866.74</v>
      </c>
      <c r="CX324" s="361">
        <v>149668</v>
      </c>
      <c r="CY324" s="361">
        <v>0</v>
      </c>
      <c r="CZ324" s="361">
        <v>141825.14000000001</v>
      </c>
      <c r="DA324" s="361">
        <v>249342.83</v>
      </c>
      <c r="DB324" s="361">
        <v>173370.93</v>
      </c>
      <c r="DC324" s="361">
        <v>399170.2</v>
      </c>
      <c r="DD324" s="361">
        <v>409215.93</v>
      </c>
      <c r="DE324" s="361">
        <v>210815.22</v>
      </c>
      <c r="DF324" s="361">
        <v>307309.77</v>
      </c>
      <c r="DG324" s="361"/>
      <c r="DH324" s="361"/>
      <c r="DI324" s="361"/>
      <c r="DJ324" s="378"/>
    </row>
    <row r="325" spans="2:114" ht="13">
      <c r="B325" s="294"/>
      <c r="C325" s="294"/>
      <c r="D325" s="294"/>
      <c r="E325" s="295"/>
      <c r="F325" s="294"/>
      <c r="G325" s="295"/>
      <c r="H325" s="295"/>
      <c r="P325" s="295"/>
      <c r="W325" s="295"/>
      <c r="AD325" s="295"/>
      <c r="AK325" s="295"/>
      <c r="BR325" s="188"/>
      <c r="BT325" s="296"/>
      <c r="BU325" s="296"/>
      <c r="BV325" s="296"/>
      <c r="CT325" s="374">
        <v>19</v>
      </c>
      <c r="CU325" s="359" t="s">
        <v>287</v>
      </c>
      <c r="CV325" s="361">
        <v>2178257.7200000002</v>
      </c>
      <c r="CW325" s="361">
        <v>358395.8</v>
      </c>
      <c r="CX325" s="361">
        <v>382375.67</v>
      </c>
      <c r="CY325" s="361">
        <v>234188.89</v>
      </c>
      <c r="CZ325" s="361">
        <v>38330.519999999997</v>
      </c>
      <c r="DA325" s="361">
        <v>329983.03000000003</v>
      </c>
      <c r="DB325" s="361">
        <v>0</v>
      </c>
      <c r="DC325" s="361">
        <v>211154.11</v>
      </c>
      <c r="DD325" s="361">
        <v>176123.03</v>
      </c>
      <c r="DE325" s="361">
        <v>63432.63</v>
      </c>
      <c r="DF325" s="361">
        <v>384274.04</v>
      </c>
      <c r="DG325" s="361"/>
      <c r="DH325" s="361"/>
      <c r="DI325" s="361"/>
      <c r="DJ325" s="378"/>
    </row>
    <row r="326" spans="2:114" ht="13">
      <c r="B326" s="294"/>
      <c r="C326" s="294"/>
      <c r="D326" s="294"/>
      <c r="E326" s="295"/>
      <c r="F326" s="294"/>
      <c r="G326" s="295"/>
      <c r="H326" s="295"/>
      <c r="P326" s="295"/>
      <c r="W326" s="295"/>
      <c r="AD326" s="295"/>
      <c r="AK326" s="295"/>
      <c r="BR326" s="188"/>
      <c r="BT326" s="296"/>
      <c r="BU326" s="296"/>
      <c r="BV326" s="296"/>
      <c r="CT326" s="374">
        <v>20</v>
      </c>
      <c r="CU326" s="359" t="s">
        <v>343</v>
      </c>
      <c r="CV326" s="361">
        <v>2046985.31</v>
      </c>
      <c r="CW326" s="361">
        <v>536992.76</v>
      </c>
      <c r="CX326" s="361">
        <v>246784.83</v>
      </c>
      <c r="CY326" s="361">
        <v>101284.29</v>
      </c>
      <c r="CZ326" s="361">
        <v>0</v>
      </c>
      <c r="DA326" s="361">
        <v>573951.38</v>
      </c>
      <c r="DB326" s="361">
        <v>52480.71</v>
      </c>
      <c r="DC326" s="361">
        <v>35157.53</v>
      </c>
      <c r="DD326" s="361">
        <v>179587.26</v>
      </c>
      <c r="DE326" s="361">
        <v>270275.61</v>
      </c>
      <c r="DF326" s="361">
        <v>50470.94</v>
      </c>
      <c r="DG326" s="361"/>
      <c r="DH326" s="361"/>
      <c r="DI326" s="361"/>
      <c r="DJ326" s="378"/>
    </row>
    <row r="327" spans="2:114" ht="13">
      <c r="B327" s="294"/>
      <c r="C327" s="294"/>
      <c r="D327" s="294"/>
      <c r="E327" s="295"/>
      <c r="F327" s="294"/>
      <c r="G327" s="295"/>
      <c r="H327" s="295"/>
      <c r="P327" s="295"/>
      <c r="W327" s="295"/>
      <c r="AD327" s="295"/>
      <c r="AK327" s="295"/>
      <c r="BR327" s="188"/>
      <c r="BT327" s="296"/>
      <c r="BU327" s="296"/>
      <c r="BV327" s="296"/>
      <c r="CT327" s="374">
        <v>21</v>
      </c>
      <c r="CU327" s="359" t="s">
        <v>340</v>
      </c>
      <c r="CV327" s="361">
        <v>1682754.98</v>
      </c>
      <c r="CW327" s="361">
        <v>221314.25</v>
      </c>
      <c r="CX327" s="361">
        <v>348890.13</v>
      </c>
      <c r="CY327" s="361">
        <v>0</v>
      </c>
      <c r="CZ327" s="361">
        <v>297915.07</v>
      </c>
      <c r="DA327" s="361">
        <v>0</v>
      </c>
      <c r="DB327" s="361">
        <v>166644.46</v>
      </c>
      <c r="DC327" s="361">
        <v>94550.09</v>
      </c>
      <c r="DD327" s="361">
        <v>141825.14000000001</v>
      </c>
      <c r="DE327" s="361">
        <v>88849.82</v>
      </c>
      <c r="DF327" s="361">
        <v>322766.03000000003</v>
      </c>
      <c r="DG327" s="361"/>
      <c r="DH327" s="361"/>
      <c r="DI327" s="361"/>
      <c r="DJ327" s="378"/>
    </row>
    <row r="328" spans="2:114" ht="13">
      <c r="B328" s="294"/>
      <c r="C328" s="294"/>
      <c r="D328" s="294"/>
      <c r="E328" s="295"/>
      <c r="F328" s="294"/>
      <c r="G328" s="295"/>
      <c r="H328" s="295"/>
      <c r="P328" s="295"/>
      <c r="W328" s="295"/>
      <c r="AD328" s="295"/>
      <c r="AK328" s="295"/>
      <c r="BR328" s="188"/>
      <c r="BT328" s="296"/>
      <c r="BU328" s="296"/>
      <c r="BV328" s="296"/>
      <c r="CT328" s="374">
        <v>22</v>
      </c>
      <c r="CU328" s="359" t="s">
        <v>305</v>
      </c>
      <c r="CV328" s="361">
        <v>1657314.05</v>
      </c>
      <c r="CW328" s="361">
        <v>123013.65</v>
      </c>
      <c r="CX328" s="361">
        <v>31839.05</v>
      </c>
      <c r="CY328" s="361">
        <v>139327.57999999999</v>
      </c>
      <c r="CZ328" s="361">
        <v>211069.79</v>
      </c>
      <c r="DA328" s="361">
        <v>117950.42</v>
      </c>
      <c r="DB328" s="361">
        <v>124547.61</v>
      </c>
      <c r="DC328" s="361">
        <v>261174.46</v>
      </c>
      <c r="DD328" s="361">
        <v>471556.93</v>
      </c>
      <c r="DE328" s="361">
        <v>59308.92</v>
      </c>
      <c r="DF328" s="361">
        <v>117525.66</v>
      </c>
      <c r="DG328" s="361"/>
      <c r="DH328" s="361"/>
      <c r="DI328" s="361"/>
      <c r="DJ328" s="378"/>
    </row>
    <row r="329" spans="2:114" ht="13">
      <c r="B329" s="294"/>
      <c r="C329" s="294"/>
      <c r="D329" s="294"/>
      <c r="E329" s="295"/>
      <c r="F329" s="294"/>
      <c r="G329" s="295"/>
      <c r="H329" s="295"/>
      <c r="P329" s="295"/>
      <c r="W329" s="295"/>
      <c r="AD329" s="295"/>
      <c r="AK329" s="295"/>
      <c r="BR329" s="188"/>
      <c r="BT329" s="296"/>
      <c r="BU329" s="296"/>
      <c r="BV329" s="296"/>
      <c r="CT329" s="374">
        <v>23</v>
      </c>
      <c r="CU329" s="359" t="s">
        <v>297</v>
      </c>
      <c r="CV329" s="361">
        <v>1620029.47</v>
      </c>
      <c r="CW329" s="361">
        <v>275773.44</v>
      </c>
      <c r="CX329" s="361">
        <v>0</v>
      </c>
      <c r="CY329" s="361">
        <v>132156.32</v>
      </c>
      <c r="CZ329" s="361">
        <v>266690.8</v>
      </c>
      <c r="DA329" s="361">
        <v>68683.679999999993</v>
      </c>
      <c r="DB329" s="361">
        <v>127357.52</v>
      </c>
      <c r="DC329" s="361">
        <v>334339.32</v>
      </c>
      <c r="DD329" s="361">
        <v>0</v>
      </c>
      <c r="DE329" s="361">
        <v>169883.76</v>
      </c>
      <c r="DF329" s="361">
        <v>245144.63</v>
      </c>
      <c r="DG329" s="361"/>
      <c r="DH329" s="361"/>
      <c r="DI329" s="361"/>
      <c r="DJ329" s="378"/>
    </row>
    <row r="330" spans="2:114" ht="13">
      <c r="B330" s="294"/>
      <c r="C330" s="294"/>
      <c r="D330" s="294"/>
      <c r="E330" s="295"/>
      <c r="F330" s="294"/>
      <c r="G330" s="295"/>
      <c r="H330" s="295"/>
      <c r="P330" s="295"/>
      <c r="W330" s="295"/>
      <c r="AD330" s="295"/>
      <c r="AK330" s="295"/>
      <c r="BR330" s="188"/>
      <c r="BT330" s="296"/>
      <c r="BU330" s="296"/>
      <c r="BV330" s="296"/>
      <c r="CT330" s="374">
        <v>24</v>
      </c>
      <c r="CU330" s="359" t="s">
        <v>293</v>
      </c>
      <c r="CV330" s="361">
        <v>1387121.19</v>
      </c>
      <c r="CW330" s="361">
        <v>38330.519999999997</v>
      </c>
      <c r="CX330" s="361">
        <v>153322.07999999999</v>
      </c>
      <c r="CY330" s="361">
        <v>119036.4</v>
      </c>
      <c r="CZ330" s="361">
        <v>117025.60000000001</v>
      </c>
      <c r="DA330" s="361">
        <v>147848.79999999999</v>
      </c>
      <c r="DB330" s="361">
        <v>209449.66</v>
      </c>
      <c r="DC330" s="361">
        <v>213938.04</v>
      </c>
      <c r="DD330" s="361">
        <v>72698.45</v>
      </c>
      <c r="DE330" s="361">
        <v>152607.76</v>
      </c>
      <c r="DF330" s="361">
        <v>162863.87</v>
      </c>
      <c r="DG330" s="361"/>
      <c r="DH330" s="361"/>
      <c r="DI330" s="361"/>
      <c r="DJ330" s="378"/>
    </row>
    <row r="331" spans="2:114" ht="13">
      <c r="B331" s="294"/>
      <c r="C331" s="294"/>
      <c r="D331" s="294"/>
      <c r="E331" s="295"/>
      <c r="F331" s="294"/>
      <c r="G331" s="295"/>
      <c r="H331" s="295"/>
      <c r="P331" s="295"/>
      <c r="W331" s="295"/>
      <c r="AD331" s="295"/>
      <c r="AK331" s="295"/>
      <c r="BR331" s="188"/>
      <c r="BT331" s="296"/>
      <c r="BU331" s="296"/>
      <c r="BV331" s="296"/>
      <c r="CT331" s="374">
        <v>25</v>
      </c>
      <c r="CU331" s="359" t="s">
        <v>296</v>
      </c>
      <c r="CV331" s="361">
        <v>1171137.3400000001</v>
      </c>
      <c r="CW331" s="361">
        <v>202398.56</v>
      </c>
      <c r="CX331" s="361">
        <v>0</v>
      </c>
      <c r="CY331" s="361">
        <v>98785.919999999998</v>
      </c>
      <c r="CZ331" s="361">
        <v>144240</v>
      </c>
      <c r="DA331" s="361">
        <v>117574.08</v>
      </c>
      <c r="DB331" s="361">
        <v>0</v>
      </c>
      <c r="DC331" s="361">
        <v>0</v>
      </c>
      <c r="DD331" s="361">
        <v>0</v>
      </c>
      <c r="DE331" s="361">
        <v>345751.2</v>
      </c>
      <c r="DF331" s="361">
        <v>262387.58</v>
      </c>
      <c r="DG331" s="365"/>
      <c r="DH331" s="365"/>
      <c r="DI331" s="365"/>
      <c r="DJ331" s="379"/>
    </row>
    <row r="332" spans="2:114" ht="13">
      <c r="B332" s="294"/>
      <c r="C332" s="294"/>
      <c r="D332" s="294"/>
      <c r="E332" s="295"/>
      <c r="F332" s="294"/>
      <c r="G332" s="295"/>
      <c r="H332" s="295"/>
      <c r="P332" s="295"/>
      <c r="W332" s="295"/>
      <c r="AD332" s="295"/>
      <c r="AK332" s="295"/>
      <c r="BR332" s="188"/>
      <c r="BT332" s="296"/>
      <c r="BU332" s="296"/>
      <c r="BV332" s="296"/>
      <c r="CT332" s="374">
        <v>26</v>
      </c>
      <c r="CU332" s="359" t="s">
        <v>275</v>
      </c>
      <c r="CV332" s="361">
        <v>810341.64</v>
      </c>
      <c r="CW332" s="361">
        <v>161301.34</v>
      </c>
      <c r="CX332" s="361">
        <v>104499.86</v>
      </c>
      <c r="CY332" s="361">
        <v>0</v>
      </c>
      <c r="CZ332" s="361">
        <v>101602.11</v>
      </c>
      <c r="DA332" s="361">
        <v>38330.519999999997</v>
      </c>
      <c r="DB332" s="361">
        <v>62821.06</v>
      </c>
      <c r="DC332" s="361">
        <v>0</v>
      </c>
      <c r="DD332" s="361">
        <v>139108.28</v>
      </c>
      <c r="DE332" s="361">
        <v>63990.64</v>
      </c>
      <c r="DF332" s="361">
        <v>138687.82999999999</v>
      </c>
      <c r="DG332" s="361"/>
      <c r="DH332" s="361"/>
      <c r="DI332" s="361"/>
      <c r="DJ332" s="378"/>
    </row>
    <row r="333" spans="2:114" ht="13">
      <c r="B333" s="294"/>
      <c r="C333" s="294"/>
      <c r="D333" s="294"/>
      <c r="E333" s="295"/>
      <c r="F333" s="294"/>
      <c r="G333" s="295"/>
      <c r="H333" s="295"/>
      <c r="P333" s="295"/>
      <c r="W333" s="295"/>
      <c r="AD333" s="295"/>
      <c r="AK333" s="295"/>
      <c r="BR333" s="188"/>
      <c r="BT333" s="296"/>
      <c r="BU333" s="296"/>
      <c r="BV333" s="296"/>
      <c r="CT333" s="374">
        <v>27</v>
      </c>
      <c r="CU333" s="359" t="s">
        <v>312</v>
      </c>
      <c r="CV333" s="361">
        <v>707062.57</v>
      </c>
      <c r="CW333" s="361">
        <v>114682.4</v>
      </c>
      <c r="CX333" s="361">
        <v>76744.679999999993</v>
      </c>
      <c r="CY333" s="361">
        <v>81254.19</v>
      </c>
      <c r="CZ333" s="361">
        <v>101975.34</v>
      </c>
      <c r="DA333" s="361">
        <v>32168.14</v>
      </c>
      <c r="DB333" s="361">
        <v>0</v>
      </c>
      <c r="DC333" s="361">
        <v>109114.36</v>
      </c>
      <c r="DD333" s="361">
        <v>105677.6</v>
      </c>
      <c r="DE333" s="361">
        <v>30639.49</v>
      </c>
      <c r="DF333" s="361">
        <v>54806.36</v>
      </c>
      <c r="DG333" s="361"/>
      <c r="DH333" s="361"/>
      <c r="DI333" s="361"/>
      <c r="DJ333" s="378"/>
    </row>
    <row r="334" spans="2:114" ht="13">
      <c r="B334" s="294"/>
      <c r="C334" s="294"/>
      <c r="D334" s="294"/>
      <c r="E334" s="295"/>
      <c r="F334" s="294"/>
      <c r="G334" s="295"/>
      <c r="H334" s="295"/>
      <c r="P334" s="295"/>
      <c r="W334" s="295"/>
      <c r="AD334" s="295"/>
      <c r="AK334" s="295"/>
      <c r="BR334" s="188"/>
      <c r="BT334" s="296"/>
      <c r="BU334" s="296"/>
      <c r="BV334" s="296"/>
      <c r="CT334" s="374">
        <v>28</v>
      </c>
      <c r="CU334" s="359" t="s">
        <v>317</v>
      </c>
      <c r="CV334" s="361">
        <v>619293.72</v>
      </c>
      <c r="CW334" s="361">
        <v>53431.9</v>
      </c>
      <c r="CX334" s="361">
        <v>0</v>
      </c>
      <c r="CY334" s="361">
        <v>84397.03</v>
      </c>
      <c r="CZ334" s="361">
        <v>63148.45</v>
      </c>
      <c r="DA334" s="361">
        <v>88616.8</v>
      </c>
      <c r="DB334" s="361">
        <v>78998.97</v>
      </c>
      <c r="DC334" s="361">
        <v>80227.98</v>
      </c>
      <c r="DD334" s="361">
        <v>88616.8</v>
      </c>
      <c r="DE334" s="361">
        <v>81855.8</v>
      </c>
      <c r="DF334" s="361">
        <v>0</v>
      </c>
      <c r="DG334" s="361"/>
      <c r="DH334" s="361"/>
      <c r="DI334" s="361"/>
      <c r="DJ334" s="378"/>
    </row>
    <row r="335" spans="2:114" ht="13">
      <c r="B335" s="294"/>
      <c r="C335" s="294"/>
      <c r="D335" s="294"/>
      <c r="E335" s="295"/>
      <c r="F335" s="294"/>
      <c r="G335" s="295"/>
      <c r="H335" s="295"/>
      <c r="P335" s="295"/>
      <c r="W335" s="295"/>
      <c r="AD335" s="295"/>
      <c r="AK335" s="295"/>
      <c r="BR335" s="188"/>
      <c r="BT335" s="296"/>
      <c r="BU335" s="296"/>
      <c r="BV335" s="296"/>
      <c r="CT335" s="374">
        <v>29</v>
      </c>
      <c r="CU335" s="359" t="s">
        <v>313</v>
      </c>
      <c r="CV335" s="361">
        <v>532333.12</v>
      </c>
      <c r="CW335" s="361">
        <v>76661.039999999994</v>
      </c>
      <c r="CX335" s="361">
        <v>76661.039999999994</v>
      </c>
      <c r="CY335" s="361">
        <v>0</v>
      </c>
      <c r="CZ335" s="361">
        <v>38330.519999999997</v>
      </c>
      <c r="DA335" s="361">
        <v>38330.519999999997</v>
      </c>
      <c r="DB335" s="361">
        <v>31057.599999999999</v>
      </c>
      <c r="DC335" s="361">
        <v>130802.3</v>
      </c>
      <c r="DD335" s="361">
        <v>68687.100000000006</v>
      </c>
      <c r="DE335" s="365">
        <v>0</v>
      </c>
      <c r="DF335" s="361">
        <v>71803</v>
      </c>
      <c r="DG335" s="365"/>
      <c r="DH335" s="365"/>
      <c r="DI335" s="365"/>
      <c r="DJ335" s="379"/>
    </row>
    <row r="336" spans="2:114" ht="13">
      <c r="B336" s="294"/>
      <c r="C336" s="294"/>
      <c r="D336" s="294"/>
      <c r="E336" s="295"/>
      <c r="F336" s="294"/>
      <c r="G336" s="295"/>
      <c r="H336" s="295"/>
      <c r="P336" s="295"/>
      <c r="W336" s="295"/>
      <c r="AD336" s="295"/>
      <c r="AK336" s="295"/>
      <c r="BR336" s="188"/>
      <c r="BT336" s="296"/>
      <c r="BU336" s="296"/>
      <c r="BV336" s="296"/>
      <c r="CT336" s="374">
        <v>30</v>
      </c>
      <c r="CU336" s="359" t="s">
        <v>303</v>
      </c>
      <c r="CV336" s="361">
        <v>524598.94999999995</v>
      </c>
      <c r="CW336" s="361">
        <v>0</v>
      </c>
      <c r="CX336" s="361">
        <v>0</v>
      </c>
      <c r="CY336" s="361">
        <v>0</v>
      </c>
      <c r="CZ336" s="361">
        <v>0</v>
      </c>
      <c r="DA336" s="361">
        <v>0</v>
      </c>
      <c r="DB336" s="361">
        <v>0</v>
      </c>
      <c r="DC336" s="361">
        <v>73766.48</v>
      </c>
      <c r="DD336" s="361">
        <v>110504.8</v>
      </c>
      <c r="DE336" s="361">
        <v>161265.28</v>
      </c>
      <c r="DF336" s="361">
        <v>179062.39</v>
      </c>
      <c r="DG336" s="361"/>
      <c r="DH336" s="361"/>
      <c r="DI336" s="361"/>
      <c r="DJ336" s="378"/>
    </row>
    <row r="337" spans="2:114" ht="13">
      <c r="B337" s="294"/>
      <c r="C337" s="294"/>
      <c r="D337" s="294"/>
      <c r="E337" s="295"/>
      <c r="F337" s="294"/>
      <c r="G337" s="295"/>
      <c r="H337" s="295"/>
      <c r="P337" s="295"/>
      <c r="W337" s="295"/>
      <c r="AD337" s="295"/>
      <c r="AK337" s="295"/>
      <c r="BR337" s="188"/>
      <c r="BT337" s="296"/>
      <c r="BU337" s="296"/>
      <c r="BV337" s="296"/>
      <c r="CT337" s="374">
        <v>31</v>
      </c>
      <c r="CU337" s="359" t="s">
        <v>257</v>
      </c>
      <c r="CV337" s="361">
        <v>435395.89</v>
      </c>
      <c r="CW337" s="361">
        <v>53579.42</v>
      </c>
      <c r="CX337" s="361">
        <v>78620.94</v>
      </c>
      <c r="CY337" s="361">
        <v>84811.03</v>
      </c>
      <c r="CZ337" s="361">
        <v>0</v>
      </c>
      <c r="DA337" s="361">
        <v>45038.07</v>
      </c>
      <c r="DB337" s="361">
        <v>173346.43</v>
      </c>
      <c r="DC337" s="361">
        <v>0</v>
      </c>
      <c r="DD337" s="361">
        <v>0</v>
      </c>
      <c r="DE337" s="361">
        <v>0</v>
      </c>
      <c r="DF337" s="361">
        <v>0</v>
      </c>
      <c r="DG337" s="361"/>
      <c r="DH337" s="361"/>
      <c r="DI337" s="361"/>
      <c r="DJ337" s="378"/>
    </row>
    <row r="338" spans="2:114" ht="13">
      <c r="B338" s="294"/>
      <c r="C338" s="294"/>
      <c r="D338" s="294"/>
      <c r="E338" s="295"/>
      <c r="F338" s="294"/>
      <c r="G338" s="295"/>
      <c r="H338" s="295"/>
      <c r="P338" s="295"/>
      <c r="W338" s="295"/>
      <c r="AD338" s="295"/>
      <c r="AK338" s="295"/>
      <c r="BR338" s="188"/>
      <c r="BT338" s="296"/>
      <c r="BU338" s="296"/>
      <c r="BV338" s="296"/>
      <c r="CT338" s="374">
        <v>32</v>
      </c>
      <c r="CU338" s="359" t="s">
        <v>290</v>
      </c>
      <c r="CV338" s="361">
        <v>377980.17</v>
      </c>
      <c r="CW338" s="361">
        <v>39894.400000000001</v>
      </c>
      <c r="CX338" s="361">
        <v>0</v>
      </c>
      <c r="CY338" s="361">
        <v>42288.06</v>
      </c>
      <c r="CZ338" s="361">
        <v>53967.63</v>
      </c>
      <c r="DA338" s="361">
        <v>23258.23</v>
      </c>
      <c r="DB338" s="361">
        <v>65546.66</v>
      </c>
      <c r="DC338" s="361">
        <v>84803.45</v>
      </c>
      <c r="DD338" s="361">
        <v>6115.46</v>
      </c>
      <c r="DE338" s="361">
        <v>25118.799999999999</v>
      </c>
      <c r="DF338" s="361">
        <v>36987.49</v>
      </c>
      <c r="DG338" s="361"/>
      <c r="DH338" s="361"/>
      <c r="DI338" s="361"/>
      <c r="DJ338" s="378"/>
    </row>
    <row r="339" spans="2:114" ht="13">
      <c r="B339" s="294"/>
      <c r="C339" s="294"/>
      <c r="D339" s="294"/>
      <c r="E339" s="295"/>
      <c r="F339" s="294"/>
      <c r="G339" s="295"/>
      <c r="H339" s="295"/>
      <c r="P339" s="295"/>
      <c r="W339" s="295"/>
      <c r="AD339" s="295"/>
      <c r="AK339" s="295"/>
      <c r="BR339" s="188"/>
      <c r="BT339" s="296"/>
      <c r="BU339" s="296"/>
      <c r="BV339" s="296"/>
      <c r="CT339" s="374">
        <v>33</v>
      </c>
      <c r="CU339" s="359" t="s">
        <v>279</v>
      </c>
      <c r="CV339" s="361">
        <v>369915.24</v>
      </c>
      <c r="CW339" s="361">
        <v>76661.039999999994</v>
      </c>
      <c r="CX339" s="361">
        <v>0</v>
      </c>
      <c r="CY339" s="361">
        <v>0</v>
      </c>
      <c r="CZ339" s="361">
        <v>0</v>
      </c>
      <c r="DA339" s="361">
        <v>84511.9</v>
      </c>
      <c r="DB339" s="361">
        <v>146627.1</v>
      </c>
      <c r="DC339" s="361">
        <v>0</v>
      </c>
      <c r="DD339" s="361">
        <v>0</v>
      </c>
      <c r="DE339" s="361">
        <v>0</v>
      </c>
      <c r="DF339" s="361">
        <v>62115.199999999997</v>
      </c>
      <c r="DG339" s="365"/>
      <c r="DH339" s="365"/>
      <c r="DI339" s="365"/>
      <c r="DJ339" s="379"/>
    </row>
    <row r="340" spans="2:114" ht="13">
      <c r="B340" s="294"/>
      <c r="C340" s="294"/>
      <c r="D340" s="294"/>
      <c r="E340" s="295"/>
      <c r="F340" s="294"/>
      <c r="G340" s="295"/>
      <c r="H340" s="295"/>
      <c r="P340" s="295"/>
      <c r="W340" s="295"/>
      <c r="AD340" s="295"/>
      <c r="AK340" s="295"/>
      <c r="BR340" s="188"/>
      <c r="BT340" s="296"/>
      <c r="BU340" s="296"/>
      <c r="BV340" s="296"/>
      <c r="CT340" s="374">
        <v>34</v>
      </c>
      <c r="CU340" s="359" t="s">
        <v>284</v>
      </c>
      <c r="CV340" s="361">
        <v>334789.89</v>
      </c>
      <c r="CW340" s="361">
        <v>19800</v>
      </c>
      <c r="CX340" s="361">
        <v>0</v>
      </c>
      <c r="CY340" s="361">
        <v>0</v>
      </c>
      <c r="CZ340" s="361">
        <v>39953.279999999999</v>
      </c>
      <c r="DA340" s="361">
        <v>41950.96</v>
      </c>
      <c r="DB340" s="361">
        <v>31057.599999999999</v>
      </c>
      <c r="DC340" s="361">
        <v>0</v>
      </c>
      <c r="DD340" s="361">
        <v>0</v>
      </c>
      <c r="DE340" s="361">
        <v>0</v>
      </c>
      <c r="DF340" s="361">
        <v>202028.05</v>
      </c>
      <c r="DG340" s="361"/>
      <c r="DH340" s="361"/>
      <c r="DI340" s="361"/>
      <c r="DJ340" s="378"/>
    </row>
    <row r="341" spans="2:114" ht="13">
      <c r="B341" s="294"/>
      <c r="C341" s="294"/>
      <c r="D341" s="294"/>
      <c r="E341" s="295"/>
      <c r="F341" s="294"/>
      <c r="G341" s="295"/>
      <c r="H341" s="295"/>
      <c r="P341" s="295"/>
      <c r="W341" s="295"/>
      <c r="AD341" s="295"/>
      <c r="AK341" s="295"/>
      <c r="BR341" s="188"/>
      <c r="BT341" s="296"/>
      <c r="BU341" s="296"/>
      <c r="BV341" s="296"/>
      <c r="CT341" s="374">
        <v>35</v>
      </c>
      <c r="CU341" s="359" t="s">
        <v>318</v>
      </c>
      <c r="CV341" s="361">
        <v>321537.8</v>
      </c>
      <c r="CW341" s="361">
        <v>0</v>
      </c>
      <c r="CX341" s="361">
        <v>76661.039999999994</v>
      </c>
      <c r="CY341" s="361">
        <v>0</v>
      </c>
      <c r="CZ341" s="361">
        <v>105472.6</v>
      </c>
      <c r="DA341" s="361">
        <v>64145.16</v>
      </c>
      <c r="DB341" s="361">
        <v>0</v>
      </c>
      <c r="DC341" s="361">
        <v>75259</v>
      </c>
      <c r="DD341" s="361">
        <v>0</v>
      </c>
      <c r="DE341" s="361">
        <v>0</v>
      </c>
      <c r="DF341" s="361">
        <v>0</v>
      </c>
      <c r="DG341" s="361"/>
      <c r="DH341" s="361"/>
      <c r="DI341" s="361"/>
      <c r="DJ341" s="378"/>
    </row>
    <row r="342" spans="2:114" ht="13">
      <c r="B342" s="294"/>
      <c r="C342" s="294"/>
      <c r="D342" s="294"/>
      <c r="E342" s="295"/>
      <c r="F342" s="294"/>
      <c r="G342" s="295"/>
      <c r="H342" s="295"/>
      <c r="P342" s="295"/>
      <c r="W342" s="295"/>
      <c r="AD342" s="295"/>
      <c r="AK342" s="295"/>
      <c r="BR342" s="188"/>
      <c r="BT342" s="296"/>
      <c r="BU342" s="296"/>
      <c r="BV342" s="296"/>
      <c r="CT342" s="374">
        <v>36</v>
      </c>
      <c r="CU342" s="359" t="s">
        <v>311</v>
      </c>
      <c r="CV342" s="361">
        <v>321207.12</v>
      </c>
      <c r="CW342" s="361">
        <v>0</v>
      </c>
      <c r="CX342" s="361">
        <v>0</v>
      </c>
      <c r="CY342" s="361">
        <v>0</v>
      </c>
      <c r="CZ342" s="361">
        <v>0</v>
      </c>
      <c r="DA342" s="361">
        <v>321207.12</v>
      </c>
      <c r="DB342" s="361">
        <v>0</v>
      </c>
      <c r="DC342" s="361">
        <v>0</v>
      </c>
      <c r="DD342" s="361">
        <v>0</v>
      </c>
      <c r="DE342" s="361">
        <v>0</v>
      </c>
      <c r="DF342" s="361">
        <v>0</v>
      </c>
      <c r="DG342" s="361"/>
      <c r="DH342" s="361"/>
      <c r="DI342" s="361"/>
      <c r="DJ342" s="378"/>
    </row>
    <row r="343" spans="2:114" ht="13">
      <c r="B343" s="294"/>
      <c r="C343" s="294"/>
      <c r="D343" s="294"/>
      <c r="E343" s="295"/>
      <c r="F343" s="294"/>
      <c r="G343" s="295"/>
      <c r="H343" s="295"/>
      <c r="P343" s="295"/>
      <c r="W343" s="295"/>
      <c r="AD343" s="295"/>
      <c r="AK343" s="295"/>
      <c r="BR343" s="188"/>
      <c r="BT343" s="296"/>
      <c r="BU343" s="296"/>
      <c r="BV343" s="296"/>
      <c r="CT343" s="374">
        <v>37</v>
      </c>
      <c r="CU343" s="359" t="s">
        <v>300</v>
      </c>
      <c r="CV343" s="361">
        <v>209239.04000000001</v>
      </c>
      <c r="CW343" s="361">
        <v>0</v>
      </c>
      <c r="CX343" s="361">
        <v>0</v>
      </c>
      <c r="CY343" s="361">
        <v>0</v>
      </c>
      <c r="CZ343" s="361">
        <v>67496.479999999996</v>
      </c>
      <c r="DA343" s="361">
        <v>78382.720000000001</v>
      </c>
      <c r="DB343" s="361">
        <v>0</v>
      </c>
      <c r="DC343" s="361">
        <v>0</v>
      </c>
      <c r="DD343" s="361">
        <v>63359.839999999997</v>
      </c>
      <c r="DE343" s="361">
        <v>0</v>
      </c>
      <c r="DF343" s="361">
        <v>0</v>
      </c>
      <c r="DG343" s="361"/>
      <c r="DH343" s="361"/>
      <c r="DI343" s="361"/>
      <c r="DJ343" s="378"/>
    </row>
    <row r="344" spans="2:114" ht="13">
      <c r="B344" s="294"/>
      <c r="C344" s="294"/>
      <c r="D344" s="294"/>
      <c r="E344" s="295"/>
      <c r="F344" s="294"/>
      <c r="G344" s="295"/>
      <c r="H344" s="295"/>
      <c r="P344" s="295"/>
      <c r="W344" s="295"/>
      <c r="AD344" s="295"/>
      <c r="AK344" s="295"/>
      <c r="BR344" s="188"/>
      <c r="BT344" s="296"/>
      <c r="BU344" s="296"/>
      <c r="BV344" s="296"/>
      <c r="CT344" s="374">
        <v>38</v>
      </c>
      <c r="CU344" s="359" t="s">
        <v>280</v>
      </c>
      <c r="CV344" s="361">
        <v>204995.35</v>
      </c>
      <c r="CW344" s="361">
        <v>68105.59</v>
      </c>
      <c r="CX344" s="361">
        <v>0</v>
      </c>
      <c r="CY344" s="361">
        <v>0</v>
      </c>
      <c r="CZ344" s="361">
        <v>0</v>
      </c>
      <c r="DA344" s="361">
        <v>0</v>
      </c>
      <c r="DB344" s="361">
        <v>0</v>
      </c>
      <c r="DC344" s="361">
        <v>0</v>
      </c>
      <c r="DD344" s="361">
        <v>15761.69</v>
      </c>
      <c r="DE344" s="361">
        <v>101124.1</v>
      </c>
      <c r="DF344" s="361">
        <v>20003.96</v>
      </c>
      <c r="DG344" s="361"/>
      <c r="DH344" s="361"/>
      <c r="DI344" s="361"/>
      <c r="DJ344" s="378"/>
    </row>
    <row r="345" spans="2:114" ht="13">
      <c r="B345" s="294"/>
      <c r="C345" s="294"/>
      <c r="D345" s="294"/>
      <c r="E345" s="295"/>
      <c r="F345" s="294"/>
      <c r="G345" s="295"/>
      <c r="H345" s="295"/>
      <c r="P345" s="295"/>
      <c r="W345" s="295"/>
      <c r="AD345" s="295"/>
      <c r="AK345" s="295"/>
      <c r="BR345" s="188"/>
      <c r="BT345" s="296"/>
      <c r="BU345" s="296"/>
      <c r="BV345" s="296"/>
      <c r="CT345" s="374">
        <v>39</v>
      </c>
      <c r="CU345" s="359" t="s">
        <v>342</v>
      </c>
      <c r="CV345" s="361">
        <v>193790.63</v>
      </c>
      <c r="CW345" s="361">
        <v>38753.68</v>
      </c>
      <c r="CX345" s="361">
        <v>15971.05</v>
      </c>
      <c r="CY345" s="361">
        <v>0</v>
      </c>
      <c r="CZ345" s="361">
        <v>25553.68</v>
      </c>
      <c r="DA345" s="361">
        <v>38330.519999999997</v>
      </c>
      <c r="DB345" s="361">
        <v>0</v>
      </c>
      <c r="DC345" s="361">
        <v>41008.199999999997</v>
      </c>
      <c r="DD345" s="361">
        <v>34173.5</v>
      </c>
      <c r="DE345" s="361">
        <v>0</v>
      </c>
      <c r="DF345" s="361">
        <v>0</v>
      </c>
      <c r="DG345" s="361"/>
      <c r="DH345" s="361"/>
      <c r="DI345" s="361"/>
      <c r="DJ345" s="378"/>
    </row>
    <row r="346" spans="2:114" ht="13">
      <c r="B346" s="294"/>
      <c r="C346" s="294"/>
      <c r="D346" s="294"/>
      <c r="E346" s="295"/>
      <c r="F346" s="294"/>
      <c r="G346" s="295"/>
      <c r="H346" s="295"/>
      <c r="P346" s="295"/>
      <c r="W346" s="295"/>
      <c r="AD346" s="295"/>
      <c r="AK346" s="295"/>
      <c r="BR346" s="188"/>
      <c r="BT346" s="296"/>
      <c r="BU346" s="296"/>
      <c r="BV346" s="296"/>
      <c r="CT346" s="374">
        <v>40</v>
      </c>
      <c r="CU346" s="359" t="s">
        <v>328</v>
      </c>
      <c r="CV346" s="361">
        <v>189778.01</v>
      </c>
      <c r="CW346" s="361">
        <v>56992.39</v>
      </c>
      <c r="CX346" s="361">
        <v>0</v>
      </c>
      <c r="CY346" s="361">
        <v>0</v>
      </c>
      <c r="CZ346" s="361">
        <v>0</v>
      </c>
      <c r="DA346" s="361">
        <v>0</v>
      </c>
      <c r="DB346" s="361">
        <v>98485.13</v>
      </c>
      <c r="DC346" s="361">
        <v>0</v>
      </c>
      <c r="DD346" s="361">
        <v>0</v>
      </c>
      <c r="DE346" s="361">
        <v>28371.01</v>
      </c>
      <c r="DF346" s="361">
        <v>5929.48</v>
      </c>
      <c r="DG346" s="361"/>
      <c r="DH346" s="361"/>
      <c r="DI346" s="361"/>
      <c r="DJ346" s="378"/>
    </row>
    <row r="347" spans="2:114" ht="13">
      <c r="B347" s="294"/>
      <c r="C347" s="294"/>
      <c r="D347" s="294"/>
      <c r="E347" s="295"/>
      <c r="F347" s="294"/>
      <c r="G347" s="295"/>
      <c r="H347" s="295"/>
      <c r="P347" s="295"/>
      <c r="W347" s="295"/>
      <c r="AD347" s="295"/>
      <c r="AK347" s="295"/>
      <c r="BR347" s="188"/>
      <c r="BT347" s="296"/>
      <c r="BU347" s="296"/>
      <c r="BV347" s="296"/>
      <c r="CT347" s="374">
        <v>41</v>
      </c>
      <c r="CU347" s="359" t="s">
        <v>269</v>
      </c>
      <c r="CV347" s="361">
        <v>174369.23</v>
      </c>
      <c r="CW347" s="361">
        <v>0</v>
      </c>
      <c r="CX347" s="361">
        <v>0</v>
      </c>
      <c r="CY347" s="361">
        <v>0</v>
      </c>
      <c r="CZ347" s="361">
        <v>62115.199999999997</v>
      </c>
      <c r="DA347" s="361">
        <v>112254.03</v>
      </c>
      <c r="DB347" s="361">
        <v>0</v>
      </c>
      <c r="DC347" s="361">
        <v>0</v>
      </c>
      <c r="DD347" s="361">
        <v>0</v>
      </c>
      <c r="DE347" s="361">
        <v>0</v>
      </c>
      <c r="DF347" s="361">
        <v>0</v>
      </c>
      <c r="DG347" s="361"/>
      <c r="DH347" s="361"/>
      <c r="DI347" s="361"/>
      <c r="DJ347" s="378"/>
    </row>
    <row r="348" spans="2:114" ht="13">
      <c r="B348" s="294"/>
      <c r="C348" s="294"/>
      <c r="D348" s="294"/>
      <c r="E348" s="295"/>
      <c r="F348" s="294"/>
      <c r="G348" s="295"/>
      <c r="H348" s="295"/>
      <c r="P348" s="295"/>
      <c r="W348" s="295"/>
      <c r="AD348" s="295"/>
      <c r="AK348" s="295"/>
      <c r="BR348" s="188"/>
      <c r="BT348" s="296"/>
      <c r="BU348" s="296"/>
      <c r="BV348" s="296"/>
      <c r="CT348" s="374">
        <v>42</v>
      </c>
      <c r="CU348" s="359" t="s">
        <v>266</v>
      </c>
      <c r="CV348" s="361">
        <v>128075.7</v>
      </c>
      <c r="CW348" s="361">
        <v>79200</v>
      </c>
      <c r="CX348" s="361">
        <v>0</v>
      </c>
      <c r="CY348" s="361">
        <v>0</v>
      </c>
      <c r="CZ348" s="361">
        <v>0</v>
      </c>
      <c r="DA348" s="361">
        <v>48875.7</v>
      </c>
      <c r="DB348" s="361">
        <v>0</v>
      </c>
      <c r="DC348" s="361">
        <v>0</v>
      </c>
      <c r="DD348" s="361">
        <v>0</v>
      </c>
      <c r="DE348" s="361">
        <v>0</v>
      </c>
      <c r="DF348" s="361">
        <v>0</v>
      </c>
      <c r="DG348" s="361"/>
      <c r="DH348" s="361"/>
      <c r="DI348" s="361"/>
      <c r="DJ348" s="378"/>
    </row>
    <row r="349" spans="2:114" ht="13">
      <c r="B349" s="294"/>
      <c r="C349" s="294"/>
      <c r="D349" s="294"/>
      <c r="E349" s="295"/>
      <c r="F349" s="294"/>
      <c r="G349" s="295"/>
      <c r="H349" s="295"/>
      <c r="P349" s="295"/>
      <c r="W349" s="295"/>
      <c r="AD349" s="295"/>
      <c r="AK349" s="295"/>
      <c r="BR349" s="188"/>
      <c r="BT349" s="296"/>
      <c r="BU349" s="296"/>
      <c r="BV349" s="296"/>
      <c r="CT349" s="374">
        <v>43</v>
      </c>
      <c r="CU349" s="359" t="s">
        <v>324</v>
      </c>
      <c r="CV349" s="361">
        <v>124018.46</v>
      </c>
      <c r="CW349" s="361">
        <v>0</v>
      </c>
      <c r="CX349" s="361">
        <v>38330.519999999997</v>
      </c>
      <c r="CY349" s="365">
        <v>0</v>
      </c>
      <c r="CZ349" s="365">
        <v>0</v>
      </c>
      <c r="DA349" s="361">
        <v>45602.91</v>
      </c>
      <c r="DB349" s="365">
        <v>0</v>
      </c>
      <c r="DC349" s="365">
        <v>0</v>
      </c>
      <c r="DD349" s="361">
        <v>40085.03</v>
      </c>
      <c r="DE349" s="365">
        <v>0</v>
      </c>
      <c r="DF349" s="365">
        <v>0</v>
      </c>
      <c r="DG349" s="365"/>
      <c r="DH349" s="365"/>
      <c r="DI349" s="365"/>
      <c r="DJ349" s="379"/>
    </row>
    <row r="350" spans="2:114" ht="13">
      <c r="B350" s="294"/>
      <c r="C350" s="294"/>
      <c r="D350" s="294"/>
      <c r="E350" s="295"/>
      <c r="F350" s="294"/>
      <c r="G350" s="295"/>
      <c r="H350" s="295"/>
      <c r="P350" s="295"/>
      <c r="W350" s="295"/>
      <c r="AD350" s="295"/>
      <c r="AK350" s="295"/>
      <c r="BR350" s="188"/>
      <c r="BT350" s="296"/>
      <c r="BU350" s="296"/>
      <c r="BV350" s="296"/>
      <c r="CT350" s="374">
        <v>44</v>
      </c>
      <c r="CU350" s="359" t="s">
        <v>337</v>
      </c>
      <c r="CV350" s="361">
        <v>110257.60000000001</v>
      </c>
      <c r="CW350" s="361">
        <v>79200</v>
      </c>
      <c r="CX350" s="361">
        <v>0</v>
      </c>
      <c r="CY350" s="361">
        <v>0</v>
      </c>
      <c r="CZ350" s="361">
        <v>0</v>
      </c>
      <c r="DA350" s="361">
        <v>31057.599999999999</v>
      </c>
      <c r="DB350" s="361">
        <v>0</v>
      </c>
      <c r="DC350" s="361">
        <v>0</v>
      </c>
      <c r="DD350" s="361">
        <v>0</v>
      </c>
      <c r="DE350" s="361">
        <v>0</v>
      </c>
      <c r="DF350" s="361">
        <v>0</v>
      </c>
      <c r="DG350" s="361"/>
      <c r="DH350" s="361"/>
      <c r="DI350" s="361"/>
      <c r="DJ350" s="378"/>
    </row>
    <row r="351" spans="2:114" ht="13">
      <c r="B351" s="294"/>
      <c r="C351" s="294"/>
      <c r="D351" s="294"/>
      <c r="E351" s="295"/>
      <c r="F351" s="294"/>
      <c r="G351" s="295"/>
      <c r="H351" s="295"/>
      <c r="P351" s="295"/>
      <c r="W351" s="295"/>
      <c r="AD351" s="295"/>
      <c r="AK351" s="295"/>
      <c r="BR351" s="188"/>
      <c r="BT351" s="296"/>
      <c r="BU351" s="296"/>
      <c r="BV351" s="296"/>
      <c r="CT351" s="374">
        <v>45</v>
      </c>
      <c r="CU351" s="359" t="s">
        <v>288</v>
      </c>
      <c r="CV351" s="361">
        <v>76661.039999999994</v>
      </c>
      <c r="CW351" s="361">
        <v>0</v>
      </c>
      <c r="CX351" s="361">
        <v>76661.039999999994</v>
      </c>
      <c r="CY351" s="365">
        <v>0</v>
      </c>
      <c r="CZ351" s="365">
        <v>0</v>
      </c>
      <c r="DA351" s="365">
        <v>0</v>
      </c>
      <c r="DB351" s="365">
        <v>0</v>
      </c>
      <c r="DC351" s="361">
        <v>0</v>
      </c>
      <c r="DD351" s="365">
        <v>0</v>
      </c>
      <c r="DE351" s="365">
        <v>0</v>
      </c>
      <c r="DF351" s="365">
        <v>0</v>
      </c>
      <c r="DG351" s="365"/>
      <c r="DH351" s="365"/>
      <c r="DI351" s="365"/>
      <c r="DJ351" s="379"/>
    </row>
    <row r="352" spans="2:114" ht="13">
      <c r="B352" s="294"/>
      <c r="C352" s="294"/>
      <c r="D352" s="294"/>
      <c r="E352" s="295"/>
      <c r="F352" s="294"/>
      <c r="G352" s="295"/>
      <c r="H352" s="295"/>
      <c r="P352" s="295"/>
      <c r="W352" s="295"/>
      <c r="AD352" s="295"/>
      <c r="AK352" s="295"/>
      <c r="BR352" s="188"/>
      <c r="BT352" s="296"/>
      <c r="BU352" s="296"/>
      <c r="BV352" s="296"/>
      <c r="CT352" s="374">
        <v>46</v>
      </c>
      <c r="CU352" s="359" t="s">
        <v>363</v>
      </c>
      <c r="CV352" s="361">
        <v>74826.350000000006</v>
      </c>
      <c r="CW352" s="361">
        <v>0</v>
      </c>
      <c r="CX352" s="361">
        <v>74826.350000000006</v>
      </c>
      <c r="CY352" s="361">
        <v>0</v>
      </c>
      <c r="CZ352" s="361">
        <v>0</v>
      </c>
      <c r="DA352" s="361">
        <v>0</v>
      </c>
      <c r="DB352" s="361">
        <v>0</v>
      </c>
      <c r="DC352" s="361">
        <v>0</v>
      </c>
      <c r="DD352" s="361">
        <v>0</v>
      </c>
      <c r="DE352" s="361">
        <v>0</v>
      </c>
      <c r="DF352" s="361">
        <v>0</v>
      </c>
      <c r="DG352" s="361"/>
      <c r="DH352" s="361"/>
      <c r="DI352" s="361"/>
      <c r="DJ352" s="378"/>
    </row>
    <row r="353" spans="2:114" ht="13">
      <c r="B353" s="294"/>
      <c r="C353" s="294"/>
      <c r="D353" s="294"/>
      <c r="E353" s="295"/>
      <c r="F353" s="294"/>
      <c r="G353" s="295"/>
      <c r="H353" s="295"/>
      <c r="P353" s="295"/>
      <c r="W353" s="295"/>
      <c r="AD353" s="295"/>
      <c r="AK353" s="295"/>
      <c r="BR353" s="188"/>
      <c r="BT353" s="296"/>
      <c r="BU353" s="296"/>
      <c r="BV353" s="296"/>
      <c r="CT353" s="374">
        <v>47</v>
      </c>
      <c r="CU353" s="359" t="s">
        <v>358</v>
      </c>
      <c r="CV353" s="361">
        <v>64119.46</v>
      </c>
      <c r="CW353" s="361">
        <v>54620.73</v>
      </c>
      <c r="CX353" s="361">
        <v>9498.73</v>
      </c>
      <c r="CY353" s="361">
        <v>0</v>
      </c>
      <c r="CZ353" s="361">
        <v>0</v>
      </c>
      <c r="DA353" s="361">
        <v>0</v>
      </c>
      <c r="DB353" s="361">
        <v>0</v>
      </c>
      <c r="DC353" s="361">
        <v>0</v>
      </c>
      <c r="DD353" s="361">
        <v>0</v>
      </c>
      <c r="DE353" s="361">
        <v>0</v>
      </c>
      <c r="DF353" s="361">
        <v>0</v>
      </c>
      <c r="DG353" s="361"/>
      <c r="DH353" s="361"/>
      <c r="DI353" s="361"/>
      <c r="DJ353" s="378"/>
    </row>
    <row r="354" spans="2:114" ht="13">
      <c r="B354" s="294"/>
      <c r="C354" s="294"/>
      <c r="D354" s="294"/>
      <c r="E354" s="295"/>
      <c r="F354" s="294"/>
      <c r="G354" s="295"/>
      <c r="H354" s="295"/>
      <c r="P354" s="295"/>
      <c r="W354" s="295"/>
      <c r="AD354" s="295"/>
      <c r="AK354" s="295"/>
      <c r="BR354" s="188"/>
      <c r="BT354" s="296"/>
      <c r="BU354" s="296"/>
      <c r="BV354" s="296"/>
      <c r="CT354" s="374">
        <v>48</v>
      </c>
      <c r="CU354" s="359" t="s">
        <v>336</v>
      </c>
      <c r="CV354" s="361">
        <v>60811.51</v>
      </c>
      <c r="CW354" s="361">
        <v>0</v>
      </c>
      <c r="CX354" s="361">
        <v>57247.89</v>
      </c>
      <c r="CY354" s="361">
        <v>0</v>
      </c>
      <c r="CZ354" s="361">
        <v>0</v>
      </c>
      <c r="DA354" s="361">
        <v>3563.62</v>
      </c>
      <c r="DB354" s="361">
        <v>0</v>
      </c>
      <c r="DC354" s="361">
        <v>0</v>
      </c>
      <c r="DD354" s="361">
        <v>0</v>
      </c>
      <c r="DE354" s="361">
        <v>0</v>
      </c>
      <c r="DF354" s="361">
        <v>0</v>
      </c>
      <c r="DG354" s="361"/>
      <c r="DH354" s="361"/>
      <c r="DI354" s="361"/>
      <c r="DJ354" s="378"/>
    </row>
    <row r="355" spans="2:114" ht="13">
      <c r="B355" s="294"/>
      <c r="C355" s="294"/>
      <c r="D355" s="294"/>
      <c r="E355" s="295"/>
      <c r="F355" s="294"/>
      <c r="G355" s="295"/>
      <c r="H355" s="295"/>
      <c r="P355" s="295"/>
      <c r="W355" s="295"/>
      <c r="AD355" s="295"/>
      <c r="AK355" s="295"/>
      <c r="BR355" s="188"/>
      <c r="BT355" s="296"/>
      <c r="BU355" s="296"/>
      <c r="BV355" s="296"/>
      <c r="CT355" s="374">
        <v>49</v>
      </c>
      <c r="CU355" s="359" t="s">
        <v>278</v>
      </c>
      <c r="CV355" s="361">
        <v>54607</v>
      </c>
      <c r="CW355" s="361">
        <v>0</v>
      </c>
      <c r="CX355" s="361">
        <v>0</v>
      </c>
      <c r="CY355" s="361">
        <v>0</v>
      </c>
      <c r="CZ355" s="361">
        <v>0</v>
      </c>
      <c r="DA355" s="361">
        <v>0</v>
      </c>
      <c r="DB355" s="361">
        <v>0</v>
      </c>
      <c r="DC355" s="361">
        <v>0</v>
      </c>
      <c r="DD355" s="361">
        <v>0</v>
      </c>
      <c r="DE355" s="361">
        <v>0</v>
      </c>
      <c r="DF355" s="361">
        <v>54607</v>
      </c>
      <c r="DG355" s="361"/>
      <c r="DH355" s="361"/>
      <c r="DI355" s="361"/>
      <c r="DJ355" s="378"/>
    </row>
    <row r="356" spans="2:114" ht="13">
      <c r="B356" s="294"/>
      <c r="C356" s="294"/>
      <c r="D356" s="294"/>
      <c r="E356" s="295"/>
      <c r="F356" s="294"/>
      <c r="G356" s="295"/>
      <c r="H356" s="295"/>
      <c r="P356" s="295"/>
      <c r="W356" s="295"/>
      <c r="AD356" s="295"/>
      <c r="AK356" s="295"/>
      <c r="BR356" s="188"/>
      <c r="BT356" s="296"/>
      <c r="BU356" s="296"/>
      <c r="BV356" s="296"/>
      <c r="CT356" s="374">
        <v>50</v>
      </c>
      <c r="CU356" s="359" t="s">
        <v>352</v>
      </c>
      <c r="CV356" s="361">
        <v>47373.5</v>
      </c>
      <c r="CW356" s="361">
        <v>13200</v>
      </c>
      <c r="CX356" s="361">
        <v>0</v>
      </c>
      <c r="CY356" s="361">
        <v>0</v>
      </c>
      <c r="CZ356" s="361">
        <v>0</v>
      </c>
      <c r="DA356" s="361">
        <v>0</v>
      </c>
      <c r="DB356" s="361">
        <v>0</v>
      </c>
      <c r="DC356" s="361">
        <v>0</v>
      </c>
      <c r="DD356" s="361">
        <v>34173.5</v>
      </c>
      <c r="DE356" s="361">
        <v>0</v>
      </c>
      <c r="DF356" s="361">
        <v>0</v>
      </c>
      <c r="DG356" s="361"/>
      <c r="DH356" s="361"/>
      <c r="DI356" s="361"/>
      <c r="DJ356" s="378"/>
    </row>
    <row r="357" spans="2:114" ht="13">
      <c r="B357" s="294"/>
      <c r="C357" s="294"/>
      <c r="D357" s="294"/>
      <c r="E357" s="295"/>
      <c r="F357" s="294"/>
      <c r="G357" s="295"/>
      <c r="H357" s="295"/>
      <c r="P357" s="295"/>
      <c r="W357" s="295"/>
      <c r="AD357" s="295"/>
      <c r="AK357" s="295"/>
      <c r="BR357" s="188"/>
      <c r="BT357" s="296"/>
      <c r="BU357" s="296"/>
      <c r="BV357" s="296"/>
      <c r="CT357" s="374">
        <v>51</v>
      </c>
      <c r="CU357" s="359" t="s">
        <v>344</v>
      </c>
      <c r="CV357" s="361">
        <v>38330.519999999997</v>
      </c>
      <c r="CW357" s="361">
        <v>0</v>
      </c>
      <c r="CX357" s="361">
        <v>0</v>
      </c>
      <c r="CY357" s="365">
        <v>0</v>
      </c>
      <c r="CZ357" s="365">
        <v>0</v>
      </c>
      <c r="DA357" s="361">
        <v>38330.519999999997</v>
      </c>
      <c r="DB357" s="361">
        <v>0</v>
      </c>
      <c r="DC357" s="361">
        <v>0</v>
      </c>
      <c r="DD357" s="365">
        <v>0</v>
      </c>
      <c r="DE357" s="365">
        <v>0</v>
      </c>
      <c r="DF357" s="365">
        <v>0</v>
      </c>
      <c r="DG357" s="365"/>
      <c r="DH357" s="365"/>
      <c r="DI357" s="365"/>
      <c r="DJ357" s="379"/>
    </row>
    <row r="358" spans="2:114" ht="13">
      <c r="B358" s="294"/>
      <c r="C358" s="294"/>
      <c r="D358" s="294"/>
      <c r="E358" s="295"/>
      <c r="F358" s="294"/>
      <c r="G358" s="295"/>
      <c r="H358" s="295"/>
      <c r="P358" s="295"/>
      <c r="W358" s="295"/>
      <c r="AD358" s="295"/>
      <c r="AK358" s="295"/>
      <c r="BR358" s="188"/>
      <c r="BT358" s="296"/>
      <c r="BU358" s="296"/>
      <c r="BV358" s="296"/>
      <c r="CT358" s="374">
        <v>52</v>
      </c>
      <c r="CU358" s="359" t="s">
        <v>282</v>
      </c>
      <c r="CV358" s="361">
        <v>31057.599999999999</v>
      </c>
      <c r="CW358" s="361">
        <v>0</v>
      </c>
      <c r="CX358" s="361">
        <v>0</v>
      </c>
      <c r="CY358" s="361">
        <v>0</v>
      </c>
      <c r="CZ358" s="361">
        <v>0</v>
      </c>
      <c r="DA358" s="361">
        <v>0</v>
      </c>
      <c r="DB358" s="361">
        <v>0</v>
      </c>
      <c r="DC358" s="361">
        <v>31057.599999999999</v>
      </c>
      <c r="DD358" s="361">
        <v>0</v>
      </c>
      <c r="DE358" s="361">
        <v>0</v>
      </c>
      <c r="DF358" s="361">
        <v>0</v>
      </c>
      <c r="DG358" s="361"/>
      <c r="DH358" s="361"/>
      <c r="DI358" s="361"/>
      <c r="DJ358" s="378"/>
    </row>
    <row r="359" spans="2:114" ht="13">
      <c r="B359" s="294"/>
      <c r="C359" s="294"/>
      <c r="D359" s="294"/>
      <c r="E359" s="295"/>
      <c r="F359" s="294"/>
      <c r="G359" s="295"/>
      <c r="H359" s="295"/>
      <c r="P359" s="295"/>
      <c r="W359" s="295"/>
      <c r="AD359" s="295"/>
      <c r="AK359" s="295"/>
      <c r="BR359" s="188"/>
      <c r="BT359" s="296"/>
      <c r="BU359" s="296"/>
      <c r="BV359" s="296"/>
      <c r="CT359" s="374">
        <v>53</v>
      </c>
      <c r="CU359" s="359" t="s">
        <v>265</v>
      </c>
      <c r="CV359" s="361">
        <v>31057.599999999999</v>
      </c>
      <c r="CW359" s="361">
        <v>0</v>
      </c>
      <c r="CX359" s="361">
        <v>0</v>
      </c>
      <c r="CY359" s="361">
        <v>0</v>
      </c>
      <c r="CZ359" s="361">
        <v>0</v>
      </c>
      <c r="DA359" s="361">
        <v>0</v>
      </c>
      <c r="DB359" s="361">
        <v>31057.599999999999</v>
      </c>
      <c r="DC359" s="361">
        <v>0</v>
      </c>
      <c r="DD359" s="361">
        <v>0</v>
      </c>
      <c r="DE359" s="361">
        <v>0</v>
      </c>
      <c r="DF359" s="361">
        <v>0</v>
      </c>
      <c r="DG359" s="361"/>
      <c r="DH359" s="361"/>
      <c r="DI359" s="361"/>
      <c r="DJ359" s="378"/>
    </row>
    <row r="360" spans="2:114" ht="13">
      <c r="B360" s="294"/>
      <c r="C360" s="294"/>
      <c r="D360" s="294"/>
      <c r="E360" s="295"/>
      <c r="F360" s="294"/>
      <c r="G360" s="295"/>
      <c r="H360" s="295"/>
      <c r="P360" s="295"/>
      <c r="W360" s="295"/>
      <c r="AD360" s="295"/>
      <c r="AK360" s="295"/>
      <c r="BR360" s="188"/>
      <c r="BT360" s="296"/>
      <c r="BU360" s="296"/>
      <c r="BV360" s="296"/>
      <c r="CT360" s="374">
        <v>54</v>
      </c>
      <c r="CU360" s="359" t="s">
        <v>338</v>
      </c>
      <c r="CV360" s="361">
        <v>22728.880000000001</v>
      </c>
      <c r="CW360" s="361">
        <v>0</v>
      </c>
      <c r="CX360" s="361">
        <v>19165.259999999998</v>
      </c>
      <c r="CY360" s="361">
        <v>0</v>
      </c>
      <c r="CZ360" s="361">
        <v>0</v>
      </c>
      <c r="DA360" s="361">
        <v>3563.62</v>
      </c>
      <c r="DB360" s="361">
        <v>0</v>
      </c>
      <c r="DC360" s="361">
        <v>0</v>
      </c>
      <c r="DD360" s="361">
        <v>0</v>
      </c>
      <c r="DE360" s="361">
        <v>0</v>
      </c>
      <c r="DF360" s="361">
        <v>0</v>
      </c>
      <c r="DG360" s="361"/>
      <c r="DH360" s="361"/>
      <c r="DI360" s="361"/>
      <c r="DJ360" s="378"/>
    </row>
    <row r="361" spans="2:114" ht="13">
      <c r="B361" s="294"/>
      <c r="C361" s="294"/>
      <c r="D361" s="294"/>
      <c r="E361" s="295"/>
      <c r="F361" s="294"/>
      <c r="G361" s="295"/>
      <c r="H361" s="295"/>
      <c r="P361" s="295"/>
      <c r="W361" s="295"/>
      <c r="AD361" s="295"/>
      <c r="AK361" s="295"/>
      <c r="BR361" s="188"/>
      <c r="BT361" s="296"/>
      <c r="BU361" s="296"/>
      <c r="BV361" s="296"/>
      <c r="CT361" s="374">
        <v>55</v>
      </c>
      <c r="CU361" s="359" t="s">
        <v>322</v>
      </c>
      <c r="CV361" s="361">
        <v>21381.72</v>
      </c>
      <c r="CW361" s="361">
        <v>0</v>
      </c>
      <c r="CX361" s="361">
        <v>0</v>
      </c>
      <c r="CY361" s="365">
        <v>0</v>
      </c>
      <c r="CZ361" s="365">
        <v>0</v>
      </c>
      <c r="DA361" s="361">
        <v>21381.72</v>
      </c>
      <c r="DB361" s="361">
        <v>0</v>
      </c>
      <c r="DC361" s="365">
        <v>0</v>
      </c>
      <c r="DD361" s="365">
        <v>0</v>
      </c>
      <c r="DE361" s="365">
        <v>0</v>
      </c>
      <c r="DF361" s="365">
        <v>0</v>
      </c>
      <c r="DG361" s="365"/>
      <c r="DH361" s="365"/>
      <c r="DI361" s="365"/>
      <c r="DJ361" s="379"/>
    </row>
    <row r="362" spans="2:114" ht="13">
      <c r="B362" s="294"/>
      <c r="C362" s="294"/>
      <c r="D362" s="294"/>
      <c r="E362" s="295"/>
      <c r="F362" s="294"/>
      <c r="G362" s="295"/>
      <c r="H362" s="295"/>
      <c r="P362" s="295"/>
      <c r="W362" s="295"/>
      <c r="AD362" s="295"/>
      <c r="AK362" s="295"/>
      <c r="BR362" s="188"/>
      <c r="BT362" s="296"/>
      <c r="BU362" s="296"/>
      <c r="BV362" s="296"/>
      <c r="CT362" s="374">
        <v>56</v>
      </c>
      <c r="CU362" s="359" t="s">
        <v>294</v>
      </c>
      <c r="CV362" s="361">
        <v>10690.86</v>
      </c>
      <c r="CW362" s="361">
        <v>0</v>
      </c>
      <c r="CX362" s="361">
        <v>0</v>
      </c>
      <c r="CY362" s="365">
        <v>0</v>
      </c>
      <c r="CZ362" s="365">
        <v>0</v>
      </c>
      <c r="DA362" s="361">
        <v>0</v>
      </c>
      <c r="DB362" s="361">
        <v>10690.86</v>
      </c>
      <c r="DC362" s="365">
        <v>0</v>
      </c>
      <c r="DD362" s="365">
        <v>0</v>
      </c>
      <c r="DE362" s="365">
        <v>0</v>
      </c>
      <c r="DF362" s="365">
        <v>0</v>
      </c>
      <c r="DG362" s="365"/>
      <c r="DH362" s="365"/>
      <c r="DI362" s="365"/>
      <c r="DJ362" s="379"/>
    </row>
    <row r="363" spans="2:114" ht="13">
      <c r="B363" s="294"/>
      <c r="C363" s="294"/>
      <c r="D363" s="294"/>
      <c r="E363" s="295"/>
      <c r="F363" s="294"/>
      <c r="G363" s="295"/>
      <c r="H363" s="295"/>
      <c r="P363" s="295"/>
      <c r="W363" s="295"/>
      <c r="AD363" s="295"/>
      <c r="AK363" s="295"/>
      <c r="BR363" s="188"/>
      <c r="BT363" s="296"/>
      <c r="BU363" s="296"/>
      <c r="BV363" s="296"/>
      <c r="CT363" s="374">
        <v>57</v>
      </c>
      <c r="CU363" s="359" t="s">
        <v>270</v>
      </c>
      <c r="CV363" s="361">
        <v>7127.24</v>
      </c>
      <c r="CW363" s="361">
        <v>0</v>
      </c>
      <c r="CX363" s="361">
        <v>0</v>
      </c>
      <c r="CY363" s="361">
        <v>0</v>
      </c>
      <c r="CZ363" s="361">
        <v>0</v>
      </c>
      <c r="DA363" s="361">
        <v>7127.24</v>
      </c>
      <c r="DB363" s="361">
        <v>0</v>
      </c>
      <c r="DC363" s="361">
        <v>0</v>
      </c>
      <c r="DD363" s="361">
        <v>0</v>
      </c>
      <c r="DE363" s="361">
        <v>0</v>
      </c>
      <c r="DF363" s="361">
        <v>0</v>
      </c>
      <c r="DG363" s="361"/>
      <c r="DH363" s="361"/>
      <c r="DI363" s="361"/>
      <c r="DJ363" s="378"/>
    </row>
    <row r="364" spans="2:114" ht="13">
      <c r="B364" s="294"/>
      <c r="C364" s="294"/>
      <c r="D364" s="294"/>
      <c r="E364" s="295"/>
      <c r="F364" s="294"/>
      <c r="G364" s="295"/>
      <c r="H364" s="295"/>
      <c r="P364" s="295"/>
      <c r="W364" s="295"/>
      <c r="AD364" s="295"/>
      <c r="AK364" s="295"/>
      <c r="BR364" s="188"/>
      <c r="BT364" s="296"/>
      <c r="BU364" s="296"/>
      <c r="BV364" s="296"/>
      <c r="CT364" s="374">
        <v>58</v>
      </c>
      <c r="CU364" s="359" t="s">
        <v>341</v>
      </c>
      <c r="CV364" s="361">
        <v>6600</v>
      </c>
      <c r="CW364" s="361">
        <v>6600</v>
      </c>
      <c r="CX364" s="361">
        <v>0</v>
      </c>
      <c r="CY364" s="361">
        <v>0</v>
      </c>
      <c r="CZ364" s="361">
        <v>0</v>
      </c>
      <c r="DA364" s="361">
        <v>0</v>
      </c>
      <c r="DB364" s="361">
        <v>0</v>
      </c>
      <c r="DC364" s="361">
        <v>0</v>
      </c>
      <c r="DD364" s="361">
        <v>0</v>
      </c>
      <c r="DE364" s="361">
        <v>0</v>
      </c>
      <c r="DF364" s="361">
        <v>0</v>
      </c>
      <c r="DG364" s="361"/>
      <c r="DH364" s="361"/>
      <c r="DI364" s="361"/>
      <c r="DJ364" s="378"/>
    </row>
    <row r="365" spans="2:114" ht="13">
      <c r="B365" s="294"/>
      <c r="C365" s="294"/>
      <c r="D365" s="294"/>
      <c r="E365" s="295"/>
      <c r="F365" s="294"/>
      <c r="G365" s="295"/>
      <c r="H365" s="295"/>
      <c r="P365" s="295"/>
      <c r="W365" s="295"/>
      <c r="AD365" s="295"/>
      <c r="AK365" s="295"/>
      <c r="BR365" s="188"/>
      <c r="BT365" s="296"/>
      <c r="BU365" s="296"/>
      <c r="BV365" s="296"/>
      <c r="CT365" s="374">
        <v>59</v>
      </c>
      <c r="CU365" s="359" t="s">
        <v>319</v>
      </c>
      <c r="CV365" s="361">
        <v>3563.62</v>
      </c>
      <c r="CW365" s="361">
        <v>0</v>
      </c>
      <c r="CX365" s="361">
        <v>0</v>
      </c>
      <c r="CY365" s="361">
        <v>0</v>
      </c>
      <c r="CZ365" s="361">
        <v>0</v>
      </c>
      <c r="DA365" s="361">
        <v>3563.62</v>
      </c>
      <c r="DB365" s="361">
        <v>0</v>
      </c>
      <c r="DC365" s="361">
        <v>0</v>
      </c>
      <c r="DD365" s="361">
        <v>0</v>
      </c>
      <c r="DE365" s="361">
        <v>0</v>
      </c>
      <c r="DF365" s="361">
        <v>0</v>
      </c>
      <c r="DG365" s="361"/>
      <c r="DH365" s="361"/>
      <c r="DI365" s="361"/>
      <c r="DJ365" s="378"/>
    </row>
    <row r="366" spans="2:114" ht="13">
      <c r="B366" s="294"/>
      <c r="C366" s="294"/>
      <c r="D366" s="294"/>
      <c r="E366" s="295"/>
      <c r="F366" s="294"/>
      <c r="G366" s="295"/>
      <c r="H366" s="295"/>
      <c r="P366" s="295"/>
      <c r="W366" s="295"/>
      <c r="AD366" s="295"/>
      <c r="AK366" s="295"/>
      <c r="BR366" s="188"/>
      <c r="BT366" s="296"/>
      <c r="BU366" s="296"/>
      <c r="BV366" s="296"/>
      <c r="CT366" s="374">
        <v>60</v>
      </c>
      <c r="CU366" s="359" t="s">
        <v>347</v>
      </c>
      <c r="CV366" s="361">
        <v>0</v>
      </c>
      <c r="CW366" s="361">
        <v>0</v>
      </c>
      <c r="CX366" s="361">
        <v>0</v>
      </c>
      <c r="CY366" s="361">
        <v>0</v>
      </c>
      <c r="CZ366" s="361">
        <v>0</v>
      </c>
      <c r="DA366" s="361">
        <v>0</v>
      </c>
      <c r="DB366" s="361">
        <v>0</v>
      </c>
      <c r="DC366" s="361">
        <v>0</v>
      </c>
      <c r="DD366" s="361">
        <v>0</v>
      </c>
      <c r="DE366" s="361">
        <v>0</v>
      </c>
      <c r="DF366" s="361">
        <v>0</v>
      </c>
      <c r="DG366" s="361"/>
      <c r="DH366" s="361"/>
      <c r="DI366" s="361"/>
      <c r="DJ366" s="378"/>
    </row>
    <row r="367" spans="2:114" ht="13">
      <c r="B367" s="294"/>
      <c r="C367" s="294"/>
      <c r="D367" s="294"/>
      <c r="E367" s="295"/>
      <c r="F367" s="294"/>
      <c r="G367" s="295"/>
      <c r="H367" s="295"/>
      <c r="P367" s="295"/>
      <c r="W367" s="295"/>
      <c r="AD367" s="295"/>
      <c r="AK367" s="295"/>
      <c r="BR367" s="188"/>
      <c r="BT367" s="296"/>
      <c r="BU367" s="296"/>
      <c r="BV367" s="296"/>
      <c r="CT367" s="374">
        <v>61</v>
      </c>
      <c r="CU367" s="359"/>
      <c r="CV367" s="361"/>
      <c r="CW367" s="361"/>
      <c r="CX367" s="361"/>
      <c r="CY367" s="361"/>
      <c r="CZ367" s="361"/>
      <c r="DA367" s="361"/>
      <c r="DB367" s="361"/>
      <c r="DC367" s="361"/>
      <c r="DD367" s="361"/>
      <c r="DE367" s="361"/>
      <c r="DF367" s="361"/>
      <c r="DG367" s="361"/>
      <c r="DH367" s="361"/>
      <c r="DI367" s="361"/>
      <c r="DJ367" s="378"/>
    </row>
    <row r="368" spans="2:114" ht="13">
      <c r="B368" s="294"/>
      <c r="C368" s="294"/>
      <c r="D368" s="294"/>
      <c r="E368" s="295"/>
      <c r="F368" s="294"/>
      <c r="G368" s="295"/>
      <c r="H368" s="295"/>
      <c r="P368" s="295"/>
      <c r="W368" s="295"/>
      <c r="AD368" s="295"/>
      <c r="AK368" s="295"/>
      <c r="BR368" s="188"/>
      <c r="BT368" s="296"/>
      <c r="BU368" s="296"/>
      <c r="BV368" s="296"/>
      <c r="CT368" s="374">
        <v>62</v>
      </c>
      <c r="CU368" s="359"/>
      <c r="CV368" s="361"/>
      <c r="CW368" s="361"/>
      <c r="CX368" s="361"/>
      <c r="CY368" s="361"/>
      <c r="CZ368" s="361"/>
      <c r="DA368" s="361"/>
      <c r="DB368" s="361"/>
      <c r="DC368" s="361"/>
      <c r="DD368" s="361"/>
      <c r="DE368" s="361"/>
      <c r="DF368" s="361"/>
      <c r="DG368" s="361"/>
      <c r="DH368" s="361"/>
      <c r="DI368" s="361"/>
      <c r="DJ368" s="378"/>
    </row>
    <row r="369" spans="2:114" ht="13">
      <c r="B369" s="294"/>
      <c r="C369" s="294"/>
      <c r="D369" s="294"/>
      <c r="E369" s="295"/>
      <c r="F369" s="294"/>
      <c r="G369" s="295"/>
      <c r="H369" s="295"/>
      <c r="P369" s="295"/>
      <c r="W369" s="295"/>
      <c r="AD369" s="295"/>
      <c r="AK369" s="295"/>
      <c r="BR369" s="188"/>
      <c r="BT369" s="296"/>
      <c r="BU369" s="296"/>
      <c r="BV369" s="296"/>
      <c r="CT369" s="374">
        <v>63</v>
      </c>
      <c r="CU369" s="359"/>
      <c r="CV369" s="361"/>
      <c r="CW369" s="361"/>
      <c r="CX369" s="361"/>
      <c r="CY369" s="361"/>
      <c r="CZ369" s="361"/>
      <c r="DA369" s="361"/>
      <c r="DB369" s="361"/>
      <c r="DC369" s="361"/>
      <c r="DD369" s="361"/>
      <c r="DE369" s="361"/>
      <c r="DF369" s="361"/>
      <c r="DG369" s="361"/>
      <c r="DH369" s="361"/>
      <c r="DI369" s="361"/>
      <c r="DJ369" s="378"/>
    </row>
    <row r="370" spans="2:114" ht="13">
      <c r="B370" s="294"/>
      <c r="C370" s="294"/>
      <c r="D370" s="294"/>
      <c r="E370" s="295"/>
      <c r="F370" s="294"/>
      <c r="G370" s="295"/>
      <c r="H370" s="295"/>
      <c r="P370" s="295"/>
      <c r="W370" s="295"/>
      <c r="AD370" s="295"/>
      <c r="AK370" s="295"/>
      <c r="BR370" s="188"/>
      <c r="BT370" s="296"/>
      <c r="BU370" s="296"/>
      <c r="BV370" s="296"/>
      <c r="CT370" s="374">
        <v>64</v>
      </c>
      <c r="CU370" s="359"/>
      <c r="CV370" s="361"/>
      <c r="CW370" s="361"/>
      <c r="CX370" s="365"/>
      <c r="CY370" s="365"/>
      <c r="CZ370" s="365"/>
      <c r="DA370" s="365"/>
      <c r="DB370" s="365"/>
      <c r="DC370" s="365"/>
      <c r="DD370" s="365"/>
      <c r="DE370" s="365"/>
      <c r="DF370" s="365"/>
      <c r="DG370" s="365"/>
      <c r="DH370" s="365"/>
      <c r="DI370" s="365"/>
      <c r="DJ370" s="379"/>
    </row>
    <row r="371" spans="2:114" ht="13">
      <c r="B371" s="294"/>
      <c r="C371" s="294"/>
      <c r="D371" s="294"/>
      <c r="E371" s="295"/>
      <c r="F371" s="294"/>
      <c r="G371" s="295"/>
      <c r="H371" s="295"/>
      <c r="P371" s="295"/>
      <c r="W371" s="295"/>
      <c r="AD371" s="295"/>
      <c r="AK371" s="295"/>
      <c r="BR371" s="188"/>
      <c r="BT371" s="296"/>
      <c r="BU371" s="296"/>
      <c r="BV371" s="296"/>
      <c r="CT371" s="374">
        <v>65</v>
      </c>
      <c r="CU371" s="359"/>
      <c r="CV371" s="361"/>
      <c r="CW371" s="361"/>
      <c r="CX371" s="361"/>
      <c r="CY371" s="361"/>
      <c r="CZ371" s="361"/>
      <c r="DA371" s="361"/>
      <c r="DB371" s="361"/>
      <c r="DC371" s="361"/>
      <c r="DD371" s="361"/>
      <c r="DE371" s="361"/>
      <c r="DF371" s="361"/>
      <c r="DG371" s="361"/>
      <c r="DH371" s="361"/>
      <c r="DI371" s="361"/>
      <c r="DJ371" s="378"/>
    </row>
    <row r="372" spans="2:114" ht="13">
      <c r="B372" s="294"/>
      <c r="C372" s="294"/>
      <c r="D372" s="294"/>
      <c r="E372" s="295"/>
      <c r="F372" s="294"/>
      <c r="G372" s="295"/>
      <c r="H372" s="295"/>
      <c r="P372" s="295"/>
      <c r="W372" s="295"/>
      <c r="AD372" s="295"/>
      <c r="AK372" s="295"/>
      <c r="BR372" s="188"/>
      <c r="BT372" s="296"/>
      <c r="BU372" s="296"/>
      <c r="BV372" s="296"/>
      <c r="CT372" s="374">
        <v>66</v>
      </c>
      <c r="CU372" s="359"/>
      <c r="CV372" s="361"/>
      <c r="CW372" s="361"/>
      <c r="CX372" s="361"/>
      <c r="CY372" s="361"/>
      <c r="CZ372" s="361"/>
      <c r="DA372" s="361"/>
      <c r="DB372" s="361"/>
      <c r="DC372" s="361"/>
      <c r="DD372" s="361"/>
      <c r="DE372" s="361"/>
      <c r="DF372" s="361"/>
      <c r="DG372" s="361"/>
      <c r="DH372" s="361"/>
      <c r="DI372" s="361"/>
      <c r="DJ372" s="378"/>
    </row>
    <row r="373" spans="2:114" ht="13">
      <c r="B373" s="294"/>
      <c r="C373" s="294"/>
      <c r="D373" s="294"/>
      <c r="E373" s="295"/>
      <c r="F373" s="294"/>
      <c r="G373" s="295"/>
      <c r="H373" s="295"/>
      <c r="P373" s="295"/>
      <c r="W373" s="295"/>
      <c r="AD373" s="295"/>
      <c r="AK373" s="295"/>
      <c r="BR373" s="188"/>
      <c r="BT373" s="296"/>
      <c r="BU373" s="296"/>
      <c r="BV373" s="296"/>
      <c r="CT373" s="374">
        <v>67</v>
      </c>
      <c r="CU373" s="359"/>
      <c r="CV373" s="361"/>
      <c r="CW373" s="361"/>
      <c r="CX373" s="361"/>
      <c r="CY373" s="361"/>
      <c r="CZ373" s="361"/>
      <c r="DA373" s="361"/>
      <c r="DB373" s="361"/>
      <c r="DC373" s="361"/>
      <c r="DD373" s="361"/>
      <c r="DE373" s="361"/>
      <c r="DF373" s="361"/>
      <c r="DG373" s="361"/>
      <c r="DH373" s="361"/>
      <c r="DI373" s="361"/>
      <c r="DJ373" s="378"/>
    </row>
    <row r="374" spans="2:114" ht="13">
      <c r="B374" s="294"/>
      <c r="C374" s="294"/>
      <c r="D374" s="294"/>
      <c r="E374" s="295"/>
      <c r="F374" s="294"/>
      <c r="G374" s="295"/>
      <c r="H374" s="295"/>
      <c r="P374" s="295"/>
      <c r="W374" s="295"/>
      <c r="AD374" s="295"/>
      <c r="AK374" s="295"/>
      <c r="BR374" s="188"/>
      <c r="BT374" s="296"/>
      <c r="BU374" s="296"/>
      <c r="BV374" s="296"/>
      <c r="CT374" s="374">
        <v>68</v>
      </c>
      <c r="CU374" s="359"/>
      <c r="CV374" s="361"/>
      <c r="CW374" s="361"/>
      <c r="CX374" s="361"/>
      <c r="CY374" s="365"/>
      <c r="CZ374" s="365"/>
      <c r="DA374" s="365"/>
      <c r="DB374" s="365"/>
      <c r="DC374" s="365"/>
      <c r="DD374" s="365"/>
      <c r="DE374" s="365"/>
      <c r="DF374" s="365"/>
      <c r="DG374" s="365"/>
      <c r="DH374" s="365"/>
      <c r="DI374" s="365"/>
      <c r="DJ374" s="379"/>
    </row>
    <row r="375" spans="2:114" ht="13">
      <c r="B375" s="294"/>
      <c r="C375" s="294"/>
      <c r="D375" s="294"/>
      <c r="E375" s="295"/>
      <c r="F375" s="294"/>
      <c r="G375" s="295"/>
      <c r="H375" s="295"/>
      <c r="P375" s="295"/>
      <c r="W375" s="295"/>
      <c r="AD375" s="295"/>
      <c r="AK375" s="295"/>
      <c r="BR375" s="188"/>
      <c r="BT375" s="296"/>
      <c r="BU375" s="296"/>
      <c r="BV375" s="296"/>
      <c r="CT375" s="374">
        <v>69</v>
      </c>
      <c r="CU375" s="359"/>
      <c r="CV375" s="361"/>
      <c r="CW375" s="361"/>
      <c r="CX375" s="361"/>
      <c r="CY375" s="361"/>
      <c r="CZ375" s="361"/>
      <c r="DA375" s="361"/>
      <c r="DB375" s="361"/>
      <c r="DC375" s="361"/>
      <c r="DD375" s="361"/>
      <c r="DE375" s="361"/>
      <c r="DF375" s="361"/>
      <c r="DG375" s="361"/>
      <c r="DH375" s="361"/>
      <c r="DI375" s="361"/>
      <c r="DJ375" s="378"/>
    </row>
    <row r="376" spans="2:114" ht="13">
      <c r="B376" s="294"/>
      <c r="C376" s="294"/>
      <c r="D376" s="294"/>
      <c r="E376" s="295"/>
      <c r="F376" s="294"/>
      <c r="G376" s="295"/>
      <c r="H376" s="295"/>
      <c r="P376" s="295"/>
      <c r="W376" s="295"/>
      <c r="AD376" s="295"/>
      <c r="AK376" s="295"/>
      <c r="BR376" s="188"/>
      <c r="BT376" s="296"/>
      <c r="BU376" s="296"/>
      <c r="BV376" s="296"/>
      <c r="CT376" s="374">
        <v>70</v>
      </c>
      <c r="CU376" s="359"/>
      <c r="CV376" s="361"/>
      <c r="CW376" s="361"/>
      <c r="CX376" s="361"/>
      <c r="CY376" s="361"/>
      <c r="CZ376" s="361"/>
      <c r="DA376" s="361"/>
      <c r="DB376" s="361"/>
      <c r="DC376" s="361"/>
      <c r="DD376" s="361"/>
      <c r="DE376" s="361"/>
      <c r="DF376" s="361"/>
      <c r="DG376" s="361"/>
      <c r="DH376" s="361"/>
      <c r="DI376" s="361"/>
      <c r="DJ376" s="378"/>
    </row>
    <row r="377" spans="2:114" ht="13">
      <c r="B377" s="294"/>
      <c r="C377" s="294"/>
      <c r="D377" s="294"/>
      <c r="E377" s="295"/>
      <c r="F377" s="294"/>
      <c r="G377" s="295"/>
      <c r="H377" s="295"/>
      <c r="P377" s="295"/>
      <c r="W377" s="295"/>
      <c r="AD377" s="295"/>
      <c r="AK377" s="295"/>
      <c r="BR377" s="188"/>
      <c r="BT377" s="296"/>
      <c r="BU377" s="296"/>
      <c r="BV377" s="296"/>
      <c r="CT377" s="374">
        <v>71</v>
      </c>
      <c r="CU377" s="359"/>
      <c r="CV377" s="361"/>
      <c r="CW377" s="365"/>
      <c r="CX377" s="361"/>
      <c r="CY377" s="361"/>
      <c r="CZ377" s="361"/>
      <c r="DA377" s="361"/>
      <c r="DB377" s="361"/>
      <c r="DC377" s="361"/>
      <c r="DD377" s="361"/>
      <c r="DE377" s="361"/>
      <c r="DF377" s="361"/>
      <c r="DG377" s="361"/>
      <c r="DH377" s="361"/>
      <c r="DI377" s="361"/>
      <c r="DJ377" s="378"/>
    </row>
    <row r="378" spans="2:114" ht="13">
      <c r="B378" s="294"/>
      <c r="C378" s="294"/>
      <c r="D378" s="294"/>
      <c r="E378" s="295"/>
      <c r="F378" s="294"/>
      <c r="G378" s="295"/>
      <c r="H378" s="295"/>
      <c r="P378" s="295"/>
      <c r="W378" s="295"/>
      <c r="AD378" s="295"/>
      <c r="AK378" s="295"/>
      <c r="BR378" s="188"/>
      <c r="BT378" s="296"/>
      <c r="BU378" s="296"/>
      <c r="BV378" s="296"/>
      <c r="CT378" s="374">
        <v>72</v>
      </c>
      <c r="CU378" s="359"/>
      <c r="CV378" s="361"/>
      <c r="CW378" s="361"/>
      <c r="CX378" s="361"/>
      <c r="CY378" s="361"/>
      <c r="CZ378" s="361"/>
      <c r="DA378" s="361"/>
      <c r="DB378" s="361"/>
      <c r="DC378" s="361"/>
      <c r="DD378" s="361"/>
      <c r="DE378" s="361"/>
      <c r="DF378" s="361"/>
      <c r="DG378" s="361"/>
      <c r="DH378" s="361"/>
      <c r="DI378" s="361"/>
      <c r="DJ378" s="378"/>
    </row>
    <row r="379" spans="2:114" ht="13">
      <c r="B379" s="294"/>
      <c r="C379" s="294"/>
      <c r="D379" s="294"/>
      <c r="E379" s="295"/>
      <c r="F379" s="294"/>
      <c r="G379" s="295"/>
      <c r="H379" s="295"/>
      <c r="P379" s="295"/>
      <c r="W379" s="295"/>
      <c r="AD379" s="295"/>
      <c r="AK379" s="295"/>
      <c r="BR379" s="188"/>
      <c r="BT379" s="296"/>
      <c r="BU379" s="296"/>
      <c r="BV379" s="296"/>
      <c r="CT379" s="374">
        <v>73</v>
      </c>
      <c r="CU379" s="359"/>
      <c r="CV379" s="361"/>
      <c r="CW379" s="361"/>
      <c r="CX379" s="361"/>
      <c r="CY379" s="361"/>
      <c r="CZ379" s="361"/>
      <c r="DA379" s="361"/>
      <c r="DB379" s="361"/>
      <c r="DC379" s="361"/>
      <c r="DD379" s="361"/>
      <c r="DE379" s="361"/>
      <c r="DF379" s="361"/>
      <c r="DG379" s="361"/>
      <c r="DH379" s="361"/>
      <c r="DI379" s="361"/>
      <c r="DJ379" s="378"/>
    </row>
    <row r="380" spans="2:114" ht="13">
      <c r="B380" s="294"/>
      <c r="C380" s="294"/>
      <c r="D380" s="294"/>
      <c r="E380" s="295"/>
      <c r="F380" s="294"/>
      <c r="G380" s="295"/>
      <c r="H380" s="295"/>
      <c r="P380" s="295"/>
      <c r="W380" s="295"/>
      <c r="AD380" s="295"/>
      <c r="AK380" s="295"/>
      <c r="BR380" s="188"/>
      <c r="BT380" s="296"/>
      <c r="BU380" s="296"/>
      <c r="BV380" s="296"/>
      <c r="CT380" s="374">
        <v>74</v>
      </c>
      <c r="CU380" s="359"/>
      <c r="CV380" s="361"/>
      <c r="CW380" s="361"/>
      <c r="CX380" s="361"/>
      <c r="CY380" s="365"/>
      <c r="CZ380" s="365"/>
      <c r="DA380" s="365"/>
      <c r="DB380" s="365"/>
      <c r="DC380" s="365"/>
      <c r="DD380" s="365"/>
      <c r="DE380" s="365"/>
      <c r="DF380" s="365"/>
      <c r="DG380" s="365"/>
      <c r="DH380" s="365"/>
      <c r="DI380" s="365"/>
      <c r="DJ380" s="379"/>
    </row>
    <row r="381" spans="2:114" ht="13">
      <c r="B381" s="294"/>
      <c r="C381" s="294"/>
      <c r="D381" s="294"/>
      <c r="E381" s="295"/>
      <c r="F381" s="294"/>
      <c r="G381" s="295"/>
      <c r="H381" s="295"/>
      <c r="P381" s="295"/>
      <c r="W381" s="295"/>
      <c r="AD381" s="295"/>
      <c r="AK381" s="295"/>
      <c r="BR381" s="188"/>
      <c r="BT381" s="296"/>
      <c r="BU381" s="296"/>
      <c r="BV381" s="296"/>
      <c r="CT381" s="374">
        <v>75</v>
      </c>
      <c r="CU381" s="359"/>
      <c r="CV381" s="361"/>
      <c r="CW381" s="361"/>
      <c r="CX381" s="361"/>
      <c r="CY381" s="361"/>
      <c r="CZ381" s="361"/>
      <c r="DA381" s="361"/>
      <c r="DB381" s="361"/>
      <c r="DC381" s="361"/>
      <c r="DD381" s="361"/>
      <c r="DE381" s="361"/>
      <c r="DF381" s="361"/>
      <c r="DG381" s="361"/>
      <c r="DH381" s="361"/>
      <c r="DI381" s="361"/>
      <c r="DJ381" s="378"/>
    </row>
    <row r="382" spans="2:114" ht="13">
      <c r="B382" s="294"/>
      <c r="C382" s="294"/>
      <c r="D382" s="294"/>
      <c r="E382" s="295"/>
      <c r="F382" s="294"/>
      <c r="G382" s="295"/>
      <c r="H382" s="295"/>
      <c r="P382" s="295"/>
      <c r="W382" s="295"/>
      <c r="AD382" s="295"/>
      <c r="AK382" s="295"/>
      <c r="BR382" s="188"/>
      <c r="BT382" s="296"/>
      <c r="BU382" s="296"/>
      <c r="BV382" s="296"/>
      <c r="CT382" s="374">
        <v>76</v>
      </c>
      <c r="CU382" s="359"/>
      <c r="CV382" s="361"/>
      <c r="CW382" s="361"/>
      <c r="CX382" s="361"/>
      <c r="CY382" s="361"/>
      <c r="CZ382" s="361"/>
      <c r="DA382" s="361"/>
      <c r="DB382" s="361"/>
      <c r="DC382" s="361"/>
      <c r="DD382" s="361"/>
      <c r="DE382" s="361"/>
      <c r="DF382" s="361"/>
      <c r="DG382" s="361"/>
      <c r="DH382" s="361"/>
      <c r="DI382" s="361"/>
      <c r="DJ382" s="378"/>
    </row>
    <row r="383" spans="2:114" ht="13">
      <c r="B383" s="294"/>
      <c r="C383" s="294"/>
      <c r="D383" s="294"/>
      <c r="E383" s="295"/>
      <c r="F383" s="294"/>
      <c r="G383" s="295"/>
      <c r="H383" s="295"/>
      <c r="P383" s="295"/>
      <c r="W383" s="295"/>
      <c r="AD383" s="295"/>
      <c r="AK383" s="295"/>
      <c r="BR383" s="188"/>
      <c r="BT383" s="296"/>
      <c r="BU383" s="296"/>
      <c r="BV383" s="296"/>
      <c r="CT383" s="374">
        <v>77</v>
      </c>
      <c r="CU383" s="359"/>
      <c r="CV383" s="361"/>
      <c r="CW383" s="361"/>
      <c r="CX383" s="361"/>
      <c r="CY383" s="361"/>
      <c r="CZ383" s="361"/>
      <c r="DA383" s="361"/>
      <c r="DB383" s="361"/>
      <c r="DC383" s="361"/>
      <c r="DD383" s="361"/>
      <c r="DE383" s="361"/>
      <c r="DF383" s="361"/>
      <c r="DG383" s="361"/>
      <c r="DH383" s="361"/>
      <c r="DI383" s="361"/>
      <c r="DJ383" s="378"/>
    </row>
    <row r="384" spans="2:114" ht="13">
      <c r="B384" s="294"/>
      <c r="C384" s="294"/>
      <c r="D384" s="294"/>
      <c r="E384" s="295"/>
      <c r="F384" s="294"/>
      <c r="G384" s="295"/>
      <c r="H384" s="295"/>
      <c r="P384" s="295"/>
      <c r="W384" s="295"/>
      <c r="AD384" s="295"/>
      <c r="AK384" s="295"/>
      <c r="BR384" s="188"/>
      <c r="BT384" s="296"/>
      <c r="BU384" s="296"/>
      <c r="BV384" s="296"/>
      <c r="CT384" s="374">
        <v>78</v>
      </c>
      <c r="CU384" s="359"/>
      <c r="CV384" s="361"/>
      <c r="CW384" s="361"/>
      <c r="CX384" s="361"/>
      <c r="CY384" s="361"/>
      <c r="CZ384" s="361"/>
      <c r="DA384" s="361"/>
      <c r="DB384" s="361"/>
      <c r="DC384" s="361"/>
      <c r="DD384" s="361"/>
      <c r="DE384" s="361"/>
      <c r="DF384" s="361"/>
      <c r="DG384" s="361"/>
      <c r="DH384" s="361"/>
      <c r="DI384" s="361"/>
      <c r="DJ384" s="378"/>
    </row>
    <row r="385" spans="2:114" ht="13">
      <c r="B385" s="294"/>
      <c r="C385" s="294"/>
      <c r="D385" s="294"/>
      <c r="E385" s="295"/>
      <c r="F385" s="294"/>
      <c r="G385" s="295"/>
      <c r="H385" s="295"/>
      <c r="P385" s="295"/>
      <c r="W385" s="295"/>
      <c r="AD385" s="295"/>
      <c r="AK385" s="295"/>
      <c r="BR385" s="188"/>
      <c r="BT385" s="296"/>
      <c r="BU385" s="296"/>
      <c r="BV385" s="296"/>
      <c r="CT385" s="374">
        <v>79</v>
      </c>
      <c r="CU385" s="359"/>
      <c r="CV385" s="361"/>
      <c r="CW385" s="361"/>
      <c r="CX385" s="365"/>
      <c r="CY385" s="365"/>
      <c r="CZ385" s="365"/>
      <c r="DA385" s="365"/>
      <c r="DB385" s="365"/>
      <c r="DC385" s="365"/>
      <c r="DD385" s="365"/>
      <c r="DE385" s="365"/>
      <c r="DF385" s="365"/>
      <c r="DG385" s="365"/>
      <c r="DH385" s="365"/>
      <c r="DI385" s="365"/>
      <c r="DJ385" s="379"/>
    </row>
    <row r="386" spans="2:114" ht="13">
      <c r="B386" s="294"/>
      <c r="C386" s="294"/>
      <c r="D386" s="294"/>
      <c r="E386" s="295"/>
      <c r="F386" s="294"/>
      <c r="G386" s="295"/>
      <c r="H386" s="295"/>
      <c r="P386" s="295"/>
      <c r="W386" s="295"/>
      <c r="AD386" s="295"/>
      <c r="AK386" s="295"/>
      <c r="BR386" s="188"/>
      <c r="BT386" s="296"/>
      <c r="BU386" s="296"/>
      <c r="BV386" s="296"/>
      <c r="CT386" s="374">
        <v>80</v>
      </c>
      <c r="CU386" s="359"/>
      <c r="CV386" s="361"/>
      <c r="CW386" s="361"/>
      <c r="CX386" s="361"/>
      <c r="CY386" s="361"/>
      <c r="CZ386" s="361"/>
      <c r="DA386" s="361"/>
      <c r="DB386" s="361"/>
      <c r="DC386" s="361"/>
      <c r="DD386" s="361"/>
      <c r="DE386" s="361"/>
      <c r="DF386" s="361"/>
      <c r="DG386" s="361"/>
      <c r="DH386" s="361"/>
      <c r="DI386" s="361"/>
      <c r="DJ386" s="378"/>
    </row>
    <row r="387" spans="2:114" ht="13">
      <c r="B387" s="294"/>
      <c r="C387" s="294"/>
      <c r="D387" s="294"/>
      <c r="E387" s="295"/>
      <c r="F387" s="294"/>
      <c r="G387" s="295"/>
      <c r="H387" s="295"/>
      <c r="P387" s="295"/>
      <c r="W387" s="295"/>
      <c r="AD387" s="295"/>
      <c r="AK387" s="295"/>
      <c r="BR387" s="188"/>
      <c r="BT387" s="296"/>
      <c r="BU387" s="296"/>
      <c r="BV387" s="296"/>
      <c r="CT387" s="374">
        <v>81</v>
      </c>
      <c r="CU387" s="359"/>
      <c r="CV387" s="361"/>
      <c r="CW387" s="361"/>
      <c r="CX387" s="361"/>
      <c r="CY387" s="361"/>
      <c r="CZ387" s="361"/>
      <c r="DA387" s="361"/>
      <c r="DB387" s="361"/>
      <c r="DC387" s="361"/>
      <c r="DD387" s="361"/>
      <c r="DE387" s="361"/>
      <c r="DF387" s="361"/>
      <c r="DG387" s="361"/>
      <c r="DH387" s="361"/>
      <c r="DI387" s="361"/>
      <c r="DJ387" s="378"/>
    </row>
    <row r="388" spans="2:114" ht="13">
      <c r="B388" s="294"/>
      <c r="C388" s="294"/>
      <c r="D388" s="294"/>
      <c r="E388" s="295"/>
      <c r="F388" s="294"/>
      <c r="G388" s="295"/>
      <c r="H388" s="295"/>
      <c r="P388" s="295"/>
      <c r="W388" s="295"/>
      <c r="AD388" s="295"/>
      <c r="AK388" s="295"/>
      <c r="BR388" s="188"/>
      <c r="BT388" s="296"/>
      <c r="BU388" s="296"/>
      <c r="BV388" s="296"/>
      <c r="CT388" s="374">
        <v>82</v>
      </c>
      <c r="CU388" s="359"/>
      <c r="CV388" s="361"/>
      <c r="CW388" s="361"/>
      <c r="CX388" s="365"/>
      <c r="CY388" s="365"/>
      <c r="CZ388" s="365"/>
      <c r="DA388" s="365"/>
      <c r="DB388" s="365"/>
      <c r="DC388" s="365"/>
      <c r="DD388" s="365"/>
      <c r="DE388" s="365"/>
      <c r="DF388" s="365"/>
      <c r="DG388" s="365"/>
      <c r="DH388" s="365"/>
      <c r="DI388" s="365"/>
      <c r="DJ388" s="379"/>
    </row>
    <row r="389" spans="2:114" ht="13">
      <c r="B389" s="294"/>
      <c r="C389" s="294"/>
      <c r="D389" s="294"/>
      <c r="E389" s="295"/>
      <c r="F389" s="294"/>
      <c r="G389" s="295"/>
      <c r="H389" s="295"/>
      <c r="P389" s="295"/>
      <c r="W389" s="295"/>
      <c r="AD389" s="295"/>
      <c r="AK389" s="295"/>
      <c r="BR389" s="188"/>
      <c r="BT389" s="296"/>
      <c r="BU389" s="296"/>
      <c r="BV389" s="296"/>
      <c r="CT389" s="374">
        <v>83</v>
      </c>
      <c r="CU389" s="359"/>
      <c r="CV389" s="361"/>
      <c r="CW389" s="361"/>
      <c r="CX389" s="361"/>
      <c r="CY389" s="361"/>
      <c r="CZ389" s="361"/>
      <c r="DA389" s="361"/>
      <c r="DB389" s="361"/>
      <c r="DC389" s="361"/>
      <c r="DD389" s="361"/>
      <c r="DE389" s="361"/>
      <c r="DF389" s="361"/>
      <c r="DG389" s="361"/>
      <c r="DH389" s="361"/>
      <c r="DI389" s="361"/>
      <c r="DJ389" s="378"/>
    </row>
    <row r="390" spans="2:114" ht="13">
      <c r="B390" s="294"/>
      <c r="C390" s="294"/>
      <c r="D390" s="294"/>
      <c r="E390" s="295"/>
      <c r="F390" s="294"/>
      <c r="G390" s="295"/>
      <c r="H390" s="295"/>
      <c r="P390" s="295"/>
      <c r="W390" s="295"/>
      <c r="AD390" s="295"/>
      <c r="AK390" s="295"/>
      <c r="BR390" s="188"/>
      <c r="BT390" s="296"/>
      <c r="BU390" s="296"/>
      <c r="BV390" s="296"/>
      <c r="CT390" s="374">
        <v>84</v>
      </c>
      <c r="CU390" s="359"/>
      <c r="CV390" s="361"/>
      <c r="CW390" s="361"/>
      <c r="CX390" s="361"/>
      <c r="CY390" s="365"/>
      <c r="CZ390" s="365"/>
      <c r="DA390" s="365"/>
      <c r="DB390" s="365"/>
      <c r="DC390" s="365"/>
      <c r="DD390" s="365"/>
      <c r="DE390" s="365"/>
      <c r="DF390" s="365"/>
      <c r="DG390" s="365"/>
      <c r="DH390" s="365"/>
      <c r="DI390" s="365"/>
      <c r="DJ390" s="379"/>
    </row>
    <row r="391" spans="2:114" ht="13">
      <c r="B391" s="294"/>
      <c r="C391" s="294"/>
      <c r="D391" s="294"/>
      <c r="E391" s="295"/>
      <c r="F391" s="294"/>
      <c r="G391" s="295"/>
      <c r="H391" s="295"/>
      <c r="P391" s="295"/>
      <c r="W391" s="295"/>
      <c r="AD391" s="295"/>
      <c r="AK391" s="295"/>
      <c r="BR391" s="188"/>
      <c r="BT391" s="296"/>
      <c r="BU391" s="296"/>
      <c r="BV391" s="296"/>
      <c r="CT391" s="374">
        <v>85</v>
      </c>
      <c r="CU391" s="359"/>
      <c r="CV391" s="361"/>
      <c r="CW391" s="361"/>
      <c r="CX391" s="365"/>
      <c r="CY391" s="365"/>
      <c r="CZ391" s="365"/>
      <c r="DA391" s="365"/>
      <c r="DB391" s="365"/>
      <c r="DC391" s="365"/>
      <c r="DD391" s="365"/>
      <c r="DE391" s="365"/>
      <c r="DF391" s="365"/>
      <c r="DG391" s="365"/>
      <c r="DH391" s="365"/>
      <c r="DI391" s="365"/>
      <c r="DJ391" s="379"/>
    </row>
    <row r="392" spans="2:114" ht="13">
      <c r="B392" s="294"/>
      <c r="C392" s="294"/>
      <c r="D392" s="294"/>
      <c r="E392" s="295"/>
      <c r="F392" s="294"/>
      <c r="G392" s="295"/>
      <c r="H392" s="295"/>
      <c r="P392" s="295"/>
      <c r="W392" s="295"/>
      <c r="AD392" s="295"/>
      <c r="AK392" s="295"/>
      <c r="BR392" s="188"/>
      <c r="BT392" s="296"/>
      <c r="BU392" s="296"/>
      <c r="BV392" s="296"/>
      <c r="CT392" s="374">
        <v>86</v>
      </c>
      <c r="CU392" s="359"/>
      <c r="CV392" s="361"/>
      <c r="CW392" s="361"/>
      <c r="CX392" s="365"/>
      <c r="CY392" s="365"/>
      <c r="CZ392" s="365"/>
      <c r="DA392" s="365"/>
      <c r="DB392" s="365"/>
      <c r="DC392" s="365"/>
      <c r="DD392" s="365"/>
      <c r="DE392" s="365"/>
      <c r="DF392" s="365"/>
      <c r="DG392" s="365"/>
      <c r="DH392" s="365"/>
      <c r="DI392" s="365"/>
      <c r="DJ392" s="379"/>
    </row>
    <row r="393" spans="2:114" ht="13">
      <c r="B393" s="294"/>
      <c r="C393" s="294"/>
      <c r="D393" s="294"/>
      <c r="E393" s="295"/>
      <c r="F393" s="294"/>
      <c r="G393" s="295"/>
      <c r="H393" s="295"/>
      <c r="P393" s="295"/>
      <c r="W393" s="295"/>
      <c r="AD393" s="295"/>
      <c r="AK393" s="295"/>
      <c r="BR393" s="188"/>
      <c r="BT393" s="296"/>
      <c r="BU393" s="296"/>
      <c r="BV393" s="296"/>
      <c r="CT393" s="374">
        <v>87</v>
      </c>
      <c r="CU393" s="359"/>
      <c r="CV393" s="361"/>
      <c r="CW393" s="361"/>
      <c r="CX393" s="365"/>
      <c r="CY393" s="365"/>
      <c r="CZ393" s="365"/>
      <c r="DA393" s="365"/>
      <c r="DB393" s="365"/>
      <c r="DC393" s="365"/>
      <c r="DD393" s="365"/>
      <c r="DE393" s="365"/>
      <c r="DF393" s="365"/>
      <c r="DG393" s="365"/>
      <c r="DH393" s="365"/>
      <c r="DI393" s="365"/>
      <c r="DJ393" s="379"/>
    </row>
    <row r="394" spans="2:114" ht="13">
      <c r="B394" s="294"/>
      <c r="C394" s="294"/>
      <c r="D394" s="294"/>
      <c r="E394" s="295"/>
      <c r="F394" s="294"/>
      <c r="G394" s="295"/>
      <c r="H394" s="295"/>
      <c r="P394" s="295"/>
      <c r="W394" s="295"/>
      <c r="AD394" s="295"/>
      <c r="AK394" s="295"/>
      <c r="BR394" s="188"/>
      <c r="BT394" s="296"/>
      <c r="BU394" s="296"/>
      <c r="BV394" s="296"/>
      <c r="CT394" s="374">
        <v>88</v>
      </c>
      <c r="CU394" s="359"/>
      <c r="CV394" s="361"/>
      <c r="CW394" s="365"/>
      <c r="CX394" s="361"/>
      <c r="CY394" s="361"/>
      <c r="CZ394" s="361"/>
      <c r="DA394" s="361"/>
      <c r="DB394" s="361"/>
      <c r="DC394" s="361"/>
      <c r="DD394" s="361"/>
      <c r="DE394" s="361"/>
      <c r="DF394" s="361"/>
      <c r="DG394" s="361"/>
      <c r="DH394" s="361"/>
      <c r="DI394" s="361"/>
      <c r="DJ394" s="378"/>
    </row>
    <row r="395" spans="2:114" ht="13">
      <c r="B395" s="294"/>
      <c r="C395" s="294"/>
      <c r="D395" s="294"/>
      <c r="E395" s="295"/>
      <c r="F395" s="294"/>
      <c r="G395" s="295"/>
      <c r="H395" s="295"/>
      <c r="P395" s="295"/>
      <c r="W395" s="295"/>
      <c r="AD395" s="295"/>
      <c r="AK395" s="295"/>
      <c r="BR395" s="188"/>
      <c r="BT395" s="296"/>
      <c r="BU395" s="296"/>
      <c r="BV395" s="296"/>
      <c r="CT395" s="374">
        <v>89</v>
      </c>
      <c r="DJ395" s="380"/>
    </row>
    <row r="396" spans="2:114" ht="13">
      <c r="B396" s="294"/>
      <c r="C396" s="294"/>
      <c r="D396" s="294"/>
      <c r="E396" s="295"/>
      <c r="F396" s="294"/>
      <c r="G396" s="295"/>
      <c r="H396" s="295"/>
      <c r="P396" s="295"/>
      <c r="W396" s="295"/>
      <c r="AD396" s="295"/>
      <c r="AK396" s="295"/>
      <c r="BR396" s="188"/>
      <c r="BT396" s="296"/>
      <c r="BU396" s="296"/>
      <c r="BV396" s="296"/>
      <c r="CT396" s="374">
        <v>90</v>
      </c>
      <c r="DJ396" s="380"/>
    </row>
    <row r="397" spans="2:114" ht="13">
      <c r="B397" s="294"/>
      <c r="C397" s="294"/>
      <c r="D397" s="294"/>
      <c r="E397" s="295"/>
      <c r="F397" s="294"/>
      <c r="G397" s="295"/>
      <c r="H397" s="295"/>
      <c r="P397" s="295"/>
      <c r="W397" s="295"/>
      <c r="AD397" s="295"/>
      <c r="AK397" s="295"/>
      <c r="BR397" s="188"/>
      <c r="BT397" s="296"/>
      <c r="BU397" s="296"/>
      <c r="BV397" s="296"/>
      <c r="CT397" s="374">
        <v>91</v>
      </c>
      <c r="DJ397" s="380"/>
    </row>
    <row r="398" spans="2:114" ht="13">
      <c r="B398" s="294"/>
      <c r="C398" s="294"/>
      <c r="D398" s="294"/>
      <c r="E398" s="295"/>
      <c r="F398" s="294"/>
      <c r="G398" s="295"/>
      <c r="H398" s="295"/>
      <c r="P398" s="295"/>
      <c r="W398" s="295"/>
      <c r="AD398" s="295"/>
      <c r="AK398" s="295"/>
      <c r="BR398" s="188"/>
      <c r="BT398" s="296"/>
      <c r="BU398" s="296"/>
      <c r="BV398" s="296"/>
      <c r="CT398" s="374">
        <v>92</v>
      </c>
      <c r="DJ398" s="380"/>
    </row>
    <row r="399" spans="2:114" ht="13">
      <c r="B399" s="294"/>
      <c r="C399" s="294"/>
      <c r="D399" s="294"/>
      <c r="E399" s="295"/>
      <c r="F399" s="294"/>
      <c r="G399" s="295"/>
      <c r="H399" s="295"/>
      <c r="P399" s="295"/>
      <c r="W399" s="295"/>
      <c r="AD399" s="295"/>
      <c r="AK399" s="295"/>
      <c r="BR399" s="188"/>
      <c r="BT399" s="296"/>
      <c r="BU399" s="296"/>
      <c r="BV399" s="296"/>
      <c r="CT399" s="374">
        <v>93</v>
      </c>
      <c r="DJ399" s="380"/>
    </row>
    <row r="400" spans="2:114" ht="13">
      <c r="B400" s="294"/>
      <c r="C400" s="294"/>
      <c r="D400" s="294"/>
      <c r="E400" s="295"/>
      <c r="F400" s="294"/>
      <c r="G400" s="295"/>
      <c r="H400" s="295"/>
      <c r="P400" s="295"/>
      <c r="W400" s="295"/>
      <c r="AD400" s="295"/>
      <c r="AK400" s="295"/>
      <c r="BR400" s="188"/>
      <c r="BT400" s="296"/>
      <c r="BU400" s="296"/>
      <c r="BV400" s="296"/>
      <c r="CT400" s="374">
        <v>94</v>
      </c>
      <c r="DJ400" s="380"/>
    </row>
    <row r="401" spans="2:114" ht="13">
      <c r="B401" s="294"/>
      <c r="C401" s="294"/>
      <c r="D401" s="294"/>
      <c r="E401" s="295"/>
      <c r="F401" s="294"/>
      <c r="G401" s="295"/>
      <c r="H401" s="295"/>
      <c r="P401" s="295"/>
      <c r="W401" s="295"/>
      <c r="AD401" s="295"/>
      <c r="AK401" s="295"/>
      <c r="BR401" s="188"/>
      <c r="BT401" s="296"/>
      <c r="BU401" s="296"/>
      <c r="BV401" s="296"/>
      <c r="CT401" s="374">
        <v>95</v>
      </c>
      <c r="DJ401" s="380"/>
    </row>
    <row r="402" spans="2:114" ht="13">
      <c r="B402" s="294"/>
      <c r="C402" s="294"/>
      <c r="D402" s="294"/>
      <c r="E402" s="295"/>
      <c r="F402" s="294"/>
      <c r="G402" s="295"/>
      <c r="H402" s="295"/>
      <c r="P402" s="295"/>
      <c r="W402" s="295"/>
      <c r="AD402" s="295"/>
      <c r="AK402" s="295"/>
      <c r="BR402" s="188"/>
      <c r="BT402" s="296"/>
      <c r="BU402" s="296"/>
      <c r="BV402" s="296"/>
      <c r="CT402" s="374">
        <v>96</v>
      </c>
      <c r="DJ402" s="380"/>
    </row>
    <row r="403" spans="2:114" ht="13">
      <c r="B403" s="294"/>
      <c r="C403" s="294"/>
      <c r="D403" s="294"/>
      <c r="E403" s="295"/>
      <c r="F403" s="294"/>
      <c r="G403" s="295"/>
      <c r="H403" s="295"/>
      <c r="P403" s="295"/>
      <c r="W403" s="295"/>
      <c r="AD403" s="295"/>
      <c r="AK403" s="295"/>
      <c r="BR403" s="188"/>
      <c r="BT403" s="296"/>
      <c r="BU403" s="296"/>
      <c r="BV403" s="296"/>
      <c r="CT403" s="374">
        <v>97</v>
      </c>
      <c r="DJ403" s="380"/>
    </row>
    <row r="404" spans="2:114" ht="13">
      <c r="B404" s="294"/>
      <c r="C404" s="294"/>
      <c r="D404" s="294"/>
      <c r="E404" s="295"/>
      <c r="F404" s="294"/>
      <c r="G404" s="295"/>
      <c r="H404" s="295"/>
      <c r="P404" s="295"/>
      <c r="W404" s="295"/>
      <c r="AD404" s="295"/>
      <c r="AK404" s="295"/>
      <c r="BR404" s="188"/>
      <c r="BT404" s="296"/>
      <c r="BU404" s="296"/>
      <c r="BV404" s="296"/>
      <c r="CT404" s="374">
        <v>98</v>
      </c>
      <c r="DJ404" s="380"/>
    </row>
    <row r="405" spans="2:114" ht="13">
      <c r="B405" s="294"/>
      <c r="C405" s="294"/>
      <c r="D405" s="294"/>
      <c r="E405" s="295"/>
      <c r="F405" s="294"/>
      <c r="G405" s="295"/>
      <c r="H405" s="295"/>
      <c r="P405" s="295"/>
      <c r="W405" s="295"/>
      <c r="AD405" s="295"/>
      <c r="AK405" s="295"/>
      <c r="BR405" s="188"/>
      <c r="BT405" s="296"/>
      <c r="BU405" s="296"/>
      <c r="BV405" s="296"/>
      <c r="CT405" s="374">
        <v>99</v>
      </c>
      <c r="DJ405" s="380"/>
    </row>
    <row r="406" spans="2:114" ht="13">
      <c r="B406" s="294"/>
      <c r="C406" s="294"/>
      <c r="D406" s="294"/>
      <c r="E406" s="295"/>
      <c r="F406" s="294"/>
      <c r="G406" s="295"/>
      <c r="H406" s="295"/>
      <c r="P406" s="295"/>
      <c r="W406" s="295"/>
      <c r="AD406" s="295"/>
      <c r="AK406" s="295"/>
      <c r="BR406" s="188"/>
      <c r="BT406" s="296"/>
      <c r="BU406" s="296"/>
      <c r="BV406" s="296"/>
      <c r="CT406" s="374">
        <v>100</v>
      </c>
      <c r="DJ406" s="380"/>
    </row>
    <row r="407" spans="2:114" ht="13">
      <c r="B407" s="294"/>
      <c r="C407" s="294"/>
      <c r="D407" s="294"/>
      <c r="E407" s="295"/>
      <c r="F407" s="294"/>
      <c r="G407" s="295"/>
      <c r="H407" s="295"/>
      <c r="P407" s="295"/>
      <c r="W407" s="295"/>
      <c r="AD407" s="295"/>
      <c r="AK407" s="295"/>
      <c r="BR407" s="188"/>
      <c r="BT407" s="296"/>
      <c r="BU407" s="296"/>
      <c r="BV407" s="296"/>
      <c r="CT407" s="374">
        <v>101</v>
      </c>
      <c r="DJ407" s="380"/>
    </row>
    <row r="408" spans="2:114" ht="13">
      <c r="B408" s="294"/>
      <c r="C408" s="294"/>
      <c r="D408" s="294"/>
      <c r="E408" s="295"/>
      <c r="F408" s="294"/>
      <c r="G408" s="295"/>
      <c r="H408" s="295"/>
      <c r="P408" s="295"/>
      <c r="W408" s="295"/>
      <c r="AD408" s="295"/>
      <c r="AK408" s="295"/>
      <c r="BR408" s="188"/>
      <c r="BT408" s="296"/>
      <c r="BU408" s="296"/>
      <c r="BV408" s="296"/>
      <c r="CT408" s="374">
        <v>102</v>
      </c>
      <c r="DJ408" s="380"/>
    </row>
    <row r="409" spans="2:114" ht="13">
      <c r="B409" s="294"/>
      <c r="C409" s="294"/>
      <c r="D409" s="294"/>
      <c r="E409" s="295"/>
      <c r="F409" s="294"/>
      <c r="G409" s="295"/>
      <c r="H409" s="295"/>
      <c r="P409" s="295"/>
      <c r="W409" s="295"/>
      <c r="AD409" s="295"/>
      <c r="AK409" s="295"/>
      <c r="BR409" s="188"/>
      <c r="BT409" s="296"/>
      <c r="BU409" s="296"/>
      <c r="BV409" s="296"/>
      <c r="CT409" s="374">
        <v>103</v>
      </c>
      <c r="DJ409" s="380"/>
    </row>
    <row r="410" spans="2:114" ht="13">
      <c r="B410" s="294"/>
      <c r="C410" s="294"/>
      <c r="D410" s="294"/>
      <c r="E410" s="295"/>
      <c r="F410" s="294"/>
      <c r="G410" s="295"/>
      <c r="H410" s="295"/>
      <c r="P410" s="295"/>
      <c r="W410" s="295"/>
      <c r="AD410" s="295"/>
      <c r="AK410" s="295"/>
      <c r="BR410" s="188"/>
      <c r="BT410" s="296"/>
      <c r="BU410" s="296"/>
      <c r="BV410" s="296"/>
      <c r="CT410" s="374">
        <v>104</v>
      </c>
      <c r="DJ410" s="380"/>
    </row>
    <row r="411" spans="2:114" ht="13">
      <c r="B411" s="294"/>
      <c r="C411" s="294"/>
      <c r="D411" s="294"/>
      <c r="E411" s="295"/>
      <c r="F411" s="294"/>
      <c r="G411" s="295"/>
      <c r="H411" s="295"/>
      <c r="P411" s="295"/>
      <c r="W411" s="295"/>
      <c r="AD411" s="295"/>
      <c r="AK411" s="295"/>
      <c r="BR411" s="188"/>
      <c r="BT411" s="296"/>
      <c r="BU411" s="296"/>
      <c r="BV411" s="296"/>
      <c r="CT411" s="374">
        <v>105</v>
      </c>
      <c r="DJ411" s="380"/>
    </row>
    <row r="412" spans="2:114" ht="13">
      <c r="B412" s="294"/>
      <c r="C412" s="294"/>
      <c r="D412" s="294"/>
      <c r="E412" s="295"/>
      <c r="F412" s="294"/>
      <c r="G412" s="295"/>
      <c r="H412" s="295"/>
      <c r="P412" s="295"/>
      <c r="W412" s="295"/>
      <c r="AD412" s="295"/>
      <c r="AK412" s="295"/>
      <c r="BR412" s="188"/>
      <c r="BT412" s="296"/>
      <c r="BU412" s="296"/>
      <c r="BV412" s="296"/>
      <c r="CT412" s="374">
        <v>106</v>
      </c>
      <c r="DJ412" s="380"/>
    </row>
    <row r="413" spans="2:114" ht="13">
      <c r="B413" s="294"/>
      <c r="C413" s="294"/>
      <c r="D413" s="294"/>
      <c r="E413" s="295"/>
      <c r="F413" s="294"/>
      <c r="G413" s="295"/>
      <c r="H413" s="295"/>
      <c r="P413" s="295"/>
      <c r="W413" s="295"/>
      <c r="AD413" s="295"/>
      <c r="AK413" s="295"/>
      <c r="BR413" s="188"/>
      <c r="BT413" s="296"/>
      <c r="BU413" s="296"/>
      <c r="BV413" s="296"/>
      <c r="CT413" s="374">
        <v>107</v>
      </c>
      <c r="DJ413" s="380"/>
    </row>
    <row r="414" spans="2:114" ht="13">
      <c r="B414" s="294"/>
      <c r="C414" s="294"/>
      <c r="D414" s="294"/>
      <c r="E414" s="295"/>
      <c r="F414" s="294"/>
      <c r="G414" s="295"/>
      <c r="H414" s="295"/>
      <c r="P414" s="295"/>
      <c r="W414" s="295"/>
      <c r="AD414" s="295"/>
      <c r="AK414" s="295"/>
      <c r="BR414" s="188"/>
      <c r="BT414" s="296"/>
      <c r="BU414" s="296"/>
      <c r="BV414" s="296"/>
      <c r="CT414" s="374">
        <v>108</v>
      </c>
      <c r="DJ414" s="380"/>
    </row>
    <row r="415" spans="2:114" ht="13">
      <c r="B415" s="294"/>
      <c r="C415" s="294"/>
      <c r="D415" s="294"/>
      <c r="E415" s="295"/>
      <c r="F415" s="294"/>
      <c r="G415" s="295"/>
      <c r="H415" s="295"/>
      <c r="P415" s="295"/>
      <c r="W415" s="295"/>
      <c r="AD415" s="295"/>
      <c r="AK415" s="295"/>
      <c r="BR415" s="188"/>
      <c r="BT415" s="296"/>
      <c r="BU415" s="296"/>
      <c r="BV415" s="296"/>
      <c r="CT415" s="374">
        <v>109</v>
      </c>
      <c r="DJ415" s="380"/>
    </row>
    <row r="416" spans="2:114" ht="13">
      <c r="B416" s="294"/>
      <c r="C416" s="294"/>
      <c r="D416" s="294"/>
      <c r="E416" s="295"/>
      <c r="F416" s="294"/>
      <c r="G416" s="295"/>
      <c r="H416" s="295"/>
      <c r="P416" s="295"/>
      <c r="W416" s="295"/>
      <c r="AD416" s="295"/>
      <c r="AK416" s="295"/>
      <c r="BR416" s="188"/>
      <c r="BT416" s="296"/>
      <c r="BU416" s="296"/>
      <c r="BV416" s="296"/>
      <c r="CT416" s="374">
        <v>110</v>
      </c>
      <c r="DJ416" s="380"/>
    </row>
    <row r="417" spans="2:114" ht="13">
      <c r="B417" s="294"/>
      <c r="C417" s="294"/>
      <c r="D417" s="294"/>
      <c r="E417" s="295"/>
      <c r="F417" s="294"/>
      <c r="G417" s="295"/>
      <c r="H417" s="295"/>
      <c r="P417" s="295"/>
      <c r="W417" s="295"/>
      <c r="AD417" s="295"/>
      <c r="AK417" s="295"/>
      <c r="BR417" s="188"/>
      <c r="BT417" s="296"/>
      <c r="BU417" s="296"/>
      <c r="BV417" s="296"/>
      <c r="CT417" s="374">
        <v>111</v>
      </c>
      <c r="DJ417" s="380"/>
    </row>
    <row r="418" spans="2:114" ht="13">
      <c r="B418" s="294"/>
      <c r="C418" s="294"/>
      <c r="D418" s="294"/>
      <c r="E418" s="295"/>
      <c r="F418" s="294"/>
      <c r="G418" s="295"/>
      <c r="H418" s="295"/>
      <c r="P418" s="295"/>
      <c r="W418" s="295"/>
      <c r="AD418" s="295"/>
      <c r="AK418" s="295"/>
      <c r="BR418" s="188"/>
      <c r="BT418" s="296"/>
      <c r="BU418" s="296"/>
      <c r="BV418" s="296"/>
      <c r="CT418" s="374">
        <v>112</v>
      </c>
      <c r="DJ418" s="380"/>
    </row>
    <row r="419" spans="2:114" ht="13">
      <c r="B419" s="294"/>
      <c r="C419" s="294"/>
      <c r="D419" s="294"/>
      <c r="E419" s="295"/>
      <c r="F419" s="294"/>
      <c r="G419" s="295"/>
      <c r="H419" s="295"/>
      <c r="P419" s="295"/>
      <c r="W419" s="295"/>
      <c r="AD419" s="295"/>
      <c r="AK419" s="295"/>
      <c r="BR419" s="188"/>
      <c r="BT419" s="296"/>
      <c r="BU419" s="296"/>
      <c r="BV419" s="296"/>
      <c r="CT419" s="374">
        <v>113</v>
      </c>
      <c r="DJ419" s="380"/>
    </row>
    <row r="420" spans="2:114" ht="13">
      <c r="B420" s="294"/>
      <c r="C420" s="294"/>
      <c r="D420" s="294"/>
      <c r="E420" s="295"/>
      <c r="F420" s="294"/>
      <c r="G420" s="295"/>
      <c r="H420" s="295"/>
      <c r="P420" s="295"/>
      <c r="W420" s="295"/>
      <c r="AD420" s="295"/>
      <c r="AK420" s="295"/>
      <c r="BR420" s="188"/>
      <c r="BT420" s="296"/>
      <c r="BU420" s="296"/>
      <c r="BV420" s="296"/>
      <c r="CT420" s="374">
        <v>114</v>
      </c>
      <c r="DJ420" s="380"/>
    </row>
    <row r="421" spans="2:114" ht="13">
      <c r="B421" s="294"/>
      <c r="C421" s="294"/>
      <c r="D421" s="294"/>
      <c r="E421" s="295"/>
      <c r="F421" s="294"/>
      <c r="G421" s="295"/>
      <c r="H421" s="295"/>
      <c r="P421" s="295"/>
      <c r="W421" s="295"/>
      <c r="AD421" s="295"/>
      <c r="AK421" s="295"/>
      <c r="BR421" s="188"/>
      <c r="BT421" s="296"/>
      <c r="BU421" s="296"/>
      <c r="BV421" s="296"/>
      <c r="CT421" s="374">
        <v>115</v>
      </c>
      <c r="DJ421" s="380"/>
    </row>
    <row r="422" spans="2:114" ht="13">
      <c r="B422" s="294"/>
      <c r="C422" s="294"/>
      <c r="D422" s="294"/>
      <c r="E422" s="295"/>
      <c r="F422" s="294"/>
      <c r="G422" s="295"/>
      <c r="H422" s="295"/>
      <c r="P422" s="295"/>
      <c r="W422" s="295"/>
      <c r="AD422" s="295"/>
      <c r="AK422" s="295"/>
      <c r="BR422" s="188"/>
      <c r="BT422" s="296"/>
      <c r="BU422" s="296"/>
      <c r="BV422" s="296"/>
      <c r="CT422" s="374">
        <v>116</v>
      </c>
      <c r="DJ422" s="380"/>
    </row>
    <row r="423" spans="2:114" ht="13">
      <c r="B423" s="294"/>
      <c r="C423" s="294"/>
      <c r="D423" s="294"/>
      <c r="E423" s="295"/>
      <c r="F423" s="294"/>
      <c r="G423" s="295"/>
      <c r="H423" s="295"/>
      <c r="P423" s="295"/>
      <c r="W423" s="295"/>
      <c r="AD423" s="295"/>
      <c r="AK423" s="295"/>
      <c r="BR423" s="188"/>
      <c r="BT423" s="296"/>
      <c r="BU423" s="296"/>
      <c r="BV423" s="296"/>
      <c r="CT423" s="374">
        <v>117</v>
      </c>
      <c r="DJ423" s="380"/>
    </row>
    <row r="424" spans="2:114" ht="13">
      <c r="B424" s="294"/>
      <c r="C424" s="294"/>
      <c r="D424" s="294"/>
      <c r="E424" s="295"/>
      <c r="F424" s="294"/>
      <c r="G424" s="295"/>
      <c r="H424" s="295"/>
      <c r="P424" s="295"/>
      <c r="W424" s="295"/>
      <c r="AD424" s="295"/>
      <c r="AK424" s="295"/>
      <c r="BR424" s="188"/>
      <c r="BT424" s="296"/>
      <c r="BU424" s="296"/>
      <c r="BV424" s="296"/>
      <c r="CT424" s="374">
        <v>118</v>
      </c>
      <c r="DJ424" s="380"/>
    </row>
    <row r="425" spans="2:114" ht="13">
      <c r="B425" s="294"/>
      <c r="C425" s="294"/>
      <c r="D425" s="294"/>
      <c r="E425" s="295"/>
      <c r="F425" s="294"/>
      <c r="G425" s="295"/>
      <c r="H425" s="295"/>
      <c r="P425" s="295"/>
      <c r="W425" s="295"/>
      <c r="AD425" s="295"/>
      <c r="AK425" s="295"/>
      <c r="BR425" s="188"/>
      <c r="BT425" s="296"/>
      <c r="BU425" s="296"/>
      <c r="BV425" s="296"/>
      <c r="CT425" s="374">
        <v>119</v>
      </c>
      <c r="DJ425" s="380"/>
    </row>
    <row r="426" spans="2:114" ht="13">
      <c r="B426" s="294"/>
      <c r="C426" s="294"/>
      <c r="D426" s="294"/>
      <c r="E426" s="295"/>
      <c r="F426" s="294"/>
      <c r="G426" s="295"/>
      <c r="H426" s="295"/>
      <c r="P426" s="295"/>
      <c r="W426" s="295"/>
      <c r="AD426" s="295"/>
      <c r="AK426" s="295"/>
      <c r="BR426" s="188"/>
      <c r="BT426" s="296"/>
      <c r="BU426" s="296"/>
      <c r="BV426" s="296"/>
      <c r="CT426" s="374">
        <v>120</v>
      </c>
      <c r="DJ426" s="380"/>
    </row>
    <row r="427" spans="2:114" ht="13">
      <c r="B427" s="294"/>
      <c r="C427" s="294"/>
      <c r="D427" s="294"/>
      <c r="E427" s="295"/>
      <c r="F427" s="294"/>
      <c r="G427" s="295"/>
      <c r="H427" s="295"/>
      <c r="P427" s="295"/>
      <c r="W427" s="295"/>
      <c r="AD427" s="295"/>
      <c r="AK427" s="295"/>
      <c r="BR427" s="188"/>
      <c r="BT427" s="296"/>
      <c r="BU427" s="296"/>
      <c r="BV427" s="296"/>
      <c r="CT427" s="374">
        <v>121</v>
      </c>
      <c r="DJ427" s="380"/>
    </row>
    <row r="428" spans="2:114" ht="13">
      <c r="B428" s="294"/>
      <c r="C428" s="294"/>
      <c r="D428" s="294"/>
      <c r="E428" s="295"/>
      <c r="F428" s="294"/>
      <c r="G428" s="295"/>
      <c r="H428" s="295"/>
      <c r="P428" s="295"/>
      <c r="W428" s="295"/>
      <c r="AD428" s="295"/>
      <c r="AK428" s="295"/>
      <c r="BR428" s="188"/>
      <c r="BT428" s="296"/>
      <c r="BU428" s="296"/>
      <c r="BV428" s="296"/>
      <c r="CT428" s="374">
        <v>122</v>
      </c>
      <c r="DJ428" s="380"/>
    </row>
    <row r="429" spans="2:114" ht="13">
      <c r="B429" s="294"/>
      <c r="C429" s="294"/>
      <c r="D429" s="294"/>
      <c r="E429" s="295"/>
      <c r="F429" s="294"/>
      <c r="G429" s="295"/>
      <c r="H429" s="295"/>
      <c r="P429" s="295"/>
      <c r="W429" s="295"/>
      <c r="AD429" s="295"/>
      <c r="AK429" s="295"/>
      <c r="BR429" s="188"/>
      <c r="BT429" s="296"/>
      <c r="BU429" s="296"/>
      <c r="BV429" s="296"/>
      <c r="CT429" s="374">
        <v>123</v>
      </c>
      <c r="DJ429" s="380"/>
    </row>
    <row r="430" spans="2:114" ht="13">
      <c r="B430" s="294"/>
      <c r="C430" s="294"/>
      <c r="D430" s="294"/>
      <c r="E430" s="295"/>
      <c r="F430" s="294"/>
      <c r="G430" s="295"/>
      <c r="H430" s="295"/>
      <c r="P430" s="295"/>
      <c r="W430" s="295"/>
      <c r="AD430" s="295"/>
      <c r="AK430" s="295"/>
      <c r="BR430" s="188"/>
      <c r="BT430" s="296"/>
      <c r="BU430" s="296"/>
      <c r="BV430" s="296"/>
      <c r="CT430" s="374">
        <v>124</v>
      </c>
      <c r="DJ430" s="380"/>
    </row>
    <row r="431" spans="2:114" ht="13">
      <c r="B431" s="294"/>
      <c r="C431" s="294"/>
      <c r="D431" s="294"/>
      <c r="E431" s="295"/>
      <c r="F431" s="294"/>
      <c r="G431" s="295"/>
      <c r="H431" s="295"/>
      <c r="P431" s="295"/>
      <c r="W431" s="295"/>
      <c r="AD431" s="295"/>
      <c r="AK431" s="295"/>
      <c r="BR431" s="188"/>
      <c r="BT431" s="296"/>
      <c r="BU431" s="296"/>
      <c r="BV431" s="296"/>
      <c r="CT431" s="374">
        <v>125</v>
      </c>
      <c r="DJ431" s="380"/>
    </row>
    <row r="432" spans="2:114" ht="13">
      <c r="B432" s="294"/>
      <c r="C432" s="294"/>
      <c r="D432" s="294"/>
      <c r="E432" s="295"/>
      <c r="F432" s="294"/>
      <c r="G432" s="295"/>
      <c r="H432" s="295"/>
      <c r="P432" s="295"/>
      <c r="W432" s="295"/>
      <c r="AD432" s="295"/>
      <c r="AK432" s="295"/>
      <c r="BR432" s="188"/>
      <c r="BT432" s="296"/>
      <c r="BU432" s="296"/>
      <c r="BV432" s="296"/>
      <c r="CT432" s="374">
        <v>126</v>
      </c>
      <c r="DJ432" s="380"/>
    </row>
    <row r="433" spans="2:114" ht="13">
      <c r="B433" s="294"/>
      <c r="C433" s="294"/>
      <c r="D433" s="294"/>
      <c r="E433" s="295"/>
      <c r="F433" s="294"/>
      <c r="G433" s="295"/>
      <c r="H433" s="295"/>
      <c r="P433" s="295"/>
      <c r="W433" s="295"/>
      <c r="AD433" s="295"/>
      <c r="AK433" s="295"/>
      <c r="BR433" s="188"/>
      <c r="BT433" s="296"/>
      <c r="BU433" s="296"/>
      <c r="BV433" s="296"/>
      <c r="CT433" s="374">
        <v>127</v>
      </c>
      <c r="DJ433" s="380"/>
    </row>
    <row r="434" spans="2:114" ht="13">
      <c r="B434" s="294"/>
      <c r="C434" s="294"/>
      <c r="D434" s="294"/>
      <c r="E434" s="295"/>
      <c r="F434" s="294"/>
      <c r="G434" s="295"/>
      <c r="H434" s="295"/>
      <c r="P434" s="295"/>
      <c r="W434" s="295"/>
      <c r="AD434" s="295"/>
      <c r="AK434" s="295"/>
      <c r="BR434" s="188"/>
      <c r="BT434" s="296"/>
      <c r="BU434" s="296"/>
      <c r="BV434" s="296"/>
      <c r="CT434" s="374">
        <v>128</v>
      </c>
      <c r="DJ434" s="380"/>
    </row>
    <row r="435" spans="2:114" ht="13">
      <c r="B435" s="294"/>
      <c r="C435" s="294"/>
      <c r="D435" s="294"/>
      <c r="E435" s="295"/>
      <c r="F435" s="294"/>
      <c r="G435" s="295"/>
      <c r="H435" s="295"/>
      <c r="P435" s="295"/>
      <c r="W435" s="295"/>
      <c r="AD435" s="295"/>
      <c r="AK435" s="295"/>
      <c r="BR435" s="188"/>
      <c r="BT435" s="296"/>
      <c r="BU435" s="296"/>
      <c r="BV435" s="296"/>
      <c r="CT435" s="374">
        <v>129</v>
      </c>
      <c r="DJ435" s="380"/>
    </row>
    <row r="436" spans="2:114" ht="13">
      <c r="B436" s="294"/>
      <c r="C436" s="294"/>
      <c r="D436" s="294"/>
      <c r="E436" s="295"/>
      <c r="F436" s="294"/>
      <c r="G436" s="295"/>
      <c r="H436" s="295"/>
      <c r="P436" s="295"/>
      <c r="W436" s="295"/>
      <c r="AD436" s="295"/>
      <c r="AK436" s="295"/>
      <c r="BR436" s="188"/>
      <c r="BT436" s="296"/>
      <c r="BU436" s="296"/>
      <c r="BV436" s="296"/>
      <c r="CT436" s="374">
        <v>130</v>
      </c>
      <c r="DJ436" s="380"/>
    </row>
    <row r="437" spans="2:114" ht="13">
      <c r="B437" s="294"/>
      <c r="C437" s="294"/>
      <c r="D437" s="294"/>
      <c r="E437" s="295"/>
      <c r="F437" s="294"/>
      <c r="G437" s="295"/>
      <c r="H437" s="295"/>
      <c r="P437" s="295"/>
      <c r="W437" s="295"/>
      <c r="AD437" s="295"/>
      <c r="AK437" s="295"/>
      <c r="BR437" s="188"/>
      <c r="BT437" s="296"/>
      <c r="BU437" s="296"/>
      <c r="BV437" s="296"/>
      <c r="CT437" s="374">
        <v>131</v>
      </c>
      <c r="DJ437" s="380"/>
    </row>
    <row r="438" spans="2:114" ht="13">
      <c r="B438" s="294"/>
      <c r="C438" s="294"/>
      <c r="D438" s="294"/>
      <c r="E438" s="295"/>
      <c r="F438" s="294"/>
      <c r="G438" s="295"/>
      <c r="H438" s="295"/>
      <c r="P438" s="295"/>
      <c r="W438" s="295"/>
      <c r="AD438" s="295"/>
      <c r="AK438" s="295"/>
      <c r="BR438" s="188"/>
      <c r="BT438" s="296"/>
      <c r="BU438" s="296"/>
      <c r="BV438" s="296"/>
      <c r="CT438" s="374">
        <v>132</v>
      </c>
      <c r="DJ438" s="380"/>
    </row>
    <row r="439" spans="2:114" ht="13">
      <c r="B439" s="294"/>
      <c r="C439" s="294"/>
      <c r="D439" s="294"/>
      <c r="E439" s="295"/>
      <c r="F439" s="294"/>
      <c r="G439" s="295"/>
      <c r="H439" s="295"/>
      <c r="P439" s="295"/>
      <c r="W439" s="295"/>
      <c r="AD439" s="295"/>
      <c r="AK439" s="295"/>
      <c r="BR439" s="188"/>
      <c r="BT439" s="296"/>
      <c r="BU439" s="296"/>
      <c r="BV439" s="296"/>
      <c r="CT439" s="374">
        <v>133</v>
      </c>
      <c r="DJ439" s="380"/>
    </row>
    <row r="440" spans="2:114" ht="13">
      <c r="B440" s="294"/>
      <c r="C440" s="294"/>
      <c r="D440" s="294"/>
      <c r="E440" s="295"/>
      <c r="F440" s="294"/>
      <c r="G440" s="295"/>
      <c r="H440" s="295"/>
      <c r="P440" s="295"/>
      <c r="W440" s="295"/>
      <c r="AD440" s="295"/>
      <c r="AK440" s="295"/>
      <c r="BR440" s="188"/>
      <c r="BT440" s="296"/>
      <c r="BU440" s="296"/>
      <c r="BV440" s="296"/>
      <c r="CT440" s="374">
        <v>134</v>
      </c>
      <c r="DJ440" s="380"/>
    </row>
    <row r="441" spans="2:114" ht="13">
      <c r="B441" s="294"/>
      <c r="C441" s="294"/>
      <c r="D441" s="294"/>
      <c r="E441" s="295"/>
      <c r="F441" s="294"/>
      <c r="G441" s="295"/>
      <c r="H441" s="295"/>
      <c r="P441" s="295"/>
      <c r="W441" s="295"/>
      <c r="AD441" s="295"/>
      <c r="AK441" s="295"/>
      <c r="BR441" s="188"/>
      <c r="BT441" s="296"/>
      <c r="BU441" s="296"/>
      <c r="BV441" s="296"/>
      <c r="CT441" s="374">
        <v>135</v>
      </c>
      <c r="DJ441" s="380"/>
    </row>
    <row r="442" spans="2:114" ht="13">
      <c r="B442" s="294"/>
      <c r="C442" s="294"/>
      <c r="D442" s="294"/>
      <c r="E442" s="295"/>
      <c r="F442" s="294"/>
      <c r="G442" s="295"/>
      <c r="H442" s="295"/>
      <c r="P442" s="295"/>
      <c r="W442" s="295"/>
      <c r="AD442" s="295"/>
      <c r="AK442" s="295"/>
      <c r="BR442" s="188"/>
      <c r="BT442" s="296"/>
      <c r="BU442" s="296"/>
      <c r="BV442" s="296"/>
      <c r="CT442" s="374">
        <v>136</v>
      </c>
      <c r="DJ442" s="380"/>
    </row>
    <row r="443" spans="2:114" ht="13">
      <c r="B443" s="294"/>
      <c r="C443" s="294"/>
      <c r="D443" s="294"/>
      <c r="E443" s="295"/>
      <c r="F443" s="294"/>
      <c r="G443" s="295"/>
      <c r="H443" s="295"/>
      <c r="P443" s="295"/>
      <c r="W443" s="295"/>
      <c r="AD443" s="295"/>
      <c r="AK443" s="295"/>
      <c r="BR443" s="188"/>
      <c r="BT443" s="296"/>
      <c r="BU443" s="296"/>
      <c r="BV443" s="296"/>
      <c r="CT443" s="374">
        <v>137</v>
      </c>
      <c r="DJ443" s="380"/>
    </row>
    <row r="444" spans="2:114" ht="13">
      <c r="B444" s="294"/>
      <c r="C444" s="294"/>
      <c r="D444" s="294"/>
      <c r="E444" s="295"/>
      <c r="F444" s="294"/>
      <c r="G444" s="295"/>
      <c r="H444" s="295"/>
      <c r="P444" s="295"/>
      <c r="W444" s="295"/>
      <c r="AD444" s="295"/>
      <c r="AK444" s="295"/>
      <c r="BR444" s="188"/>
      <c r="BT444" s="296"/>
      <c r="BU444" s="296"/>
      <c r="BV444" s="296"/>
      <c r="CT444" s="374">
        <v>138</v>
      </c>
      <c r="DJ444" s="380"/>
    </row>
    <row r="445" spans="2:114" ht="13">
      <c r="B445" s="294"/>
      <c r="C445" s="294"/>
      <c r="D445" s="294"/>
      <c r="E445" s="295"/>
      <c r="F445" s="294"/>
      <c r="G445" s="295"/>
      <c r="H445" s="295"/>
      <c r="P445" s="295"/>
      <c r="W445" s="295"/>
      <c r="AD445" s="295"/>
      <c r="AK445" s="295"/>
      <c r="BR445" s="188"/>
      <c r="BT445" s="296"/>
      <c r="BU445" s="296"/>
      <c r="BV445" s="296"/>
      <c r="CT445" s="374">
        <v>139</v>
      </c>
      <c r="DJ445" s="380"/>
    </row>
    <row r="446" spans="2:114" ht="13">
      <c r="B446" s="294"/>
      <c r="C446" s="294"/>
      <c r="D446" s="294"/>
      <c r="E446" s="295"/>
      <c r="F446" s="294"/>
      <c r="G446" s="295"/>
      <c r="H446" s="295"/>
      <c r="P446" s="295"/>
      <c r="W446" s="295"/>
      <c r="AD446" s="295"/>
      <c r="AK446" s="295"/>
      <c r="BR446" s="188"/>
      <c r="BT446" s="296"/>
      <c r="BU446" s="296"/>
      <c r="BV446" s="296"/>
      <c r="CT446" s="381">
        <v>140</v>
      </c>
      <c r="CU446" s="382"/>
      <c r="CV446" s="382"/>
      <c r="CW446" s="382"/>
      <c r="CX446" s="382"/>
      <c r="CY446" s="382"/>
      <c r="CZ446" s="382"/>
      <c r="DA446" s="382"/>
      <c r="DB446" s="382"/>
      <c r="DC446" s="382"/>
      <c r="DD446" s="382"/>
      <c r="DE446" s="382"/>
      <c r="DF446" s="382"/>
      <c r="DG446" s="382"/>
      <c r="DH446" s="382"/>
      <c r="DI446" s="382"/>
      <c r="DJ446" s="383"/>
    </row>
    <row r="447" spans="2:114" ht="13">
      <c r="B447" s="294"/>
      <c r="C447" s="294"/>
      <c r="D447" s="294"/>
      <c r="E447" s="295"/>
      <c r="F447" s="294"/>
      <c r="G447" s="295"/>
      <c r="H447" s="295"/>
      <c r="P447" s="295"/>
      <c r="W447" s="295"/>
      <c r="AD447" s="295"/>
      <c r="AK447" s="295"/>
      <c r="BR447" s="188"/>
      <c r="BT447" s="296"/>
      <c r="BU447" s="296"/>
      <c r="BV447" s="296"/>
    </row>
    <row r="448" spans="2:114" ht="13">
      <c r="B448" s="294"/>
      <c r="C448" s="294"/>
      <c r="D448" s="294"/>
      <c r="E448" s="295"/>
      <c r="F448" s="294"/>
      <c r="G448" s="295"/>
      <c r="H448" s="295"/>
      <c r="P448" s="295"/>
      <c r="W448" s="295"/>
      <c r="AD448" s="295"/>
      <c r="AK448" s="295"/>
      <c r="BR448" s="188"/>
      <c r="BT448" s="296"/>
      <c r="BU448" s="296"/>
      <c r="BV448" s="296"/>
    </row>
    <row r="449" spans="2:74" ht="13">
      <c r="B449" s="294"/>
      <c r="C449" s="294"/>
      <c r="D449" s="294"/>
      <c r="E449" s="295"/>
      <c r="F449" s="294"/>
      <c r="G449" s="295"/>
      <c r="H449" s="295"/>
      <c r="P449" s="295"/>
      <c r="W449" s="295"/>
      <c r="AD449" s="295"/>
      <c r="AK449" s="295"/>
      <c r="BR449" s="188"/>
      <c r="BT449" s="296"/>
      <c r="BU449" s="296"/>
      <c r="BV449" s="296"/>
    </row>
    <row r="450" spans="2:74" ht="13">
      <c r="B450" s="294"/>
      <c r="C450" s="294"/>
      <c r="D450" s="294"/>
      <c r="E450" s="295"/>
      <c r="F450" s="294"/>
      <c r="G450" s="295"/>
      <c r="H450" s="295"/>
      <c r="P450" s="295"/>
      <c r="W450" s="295"/>
      <c r="AD450" s="295"/>
      <c r="AK450" s="295"/>
      <c r="BR450" s="188"/>
      <c r="BT450" s="296"/>
      <c r="BU450" s="296"/>
      <c r="BV450" s="296"/>
    </row>
    <row r="451" spans="2:74" ht="13">
      <c r="B451" s="294"/>
      <c r="C451" s="294"/>
      <c r="D451" s="294"/>
      <c r="E451" s="295"/>
      <c r="F451" s="294"/>
      <c r="G451" s="295"/>
      <c r="H451" s="295"/>
      <c r="P451" s="295"/>
      <c r="W451" s="295"/>
      <c r="AD451" s="295"/>
      <c r="AK451" s="295"/>
      <c r="BR451" s="188"/>
      <c r="BT451" s="296"/>
      <c r="BU451" s="296"/>
      <c r="BV451" s="296"/>
    </row>
    <row r="452" spans="2:74" ht="13">
      <c r="B452" s="294"/>
      <c r="C452" s="294"/>
      <c r="D452" s="294"/>
      <c r="E452" s="295"/>
      <c r="F452" s="294"/>
      <c r="G452" s="295"/>
      <c r="H452" s="295"/>
      <c r="P452" s="295"/>
      <c r="W452" s="295"/>
      <c r="AD452" s="295"/>
      <c r="AK452" s="295"/>
      <c r="BR452" s="188"/>
      <c r="BT452" s="296"/>
      <c r="BU452" s="296"/>
      <c r="BV452" s="296"/>
    </row>
    <row r="453" spans="2:74" ht="13">
      <c r="B453" s="294"/>
      <c r="C453" s="294"/>
      <c r="D453" s="294"/>
      <c r="E453" s="295"/>
      <c r="F453" s="294"/>
      <c r="G453" s="295"/>
      <c r="H453" s="295"/>
      <c r="P453" s="295"/>
      <c r="W453" s="295"/>
      <c r="AD453" s="295"/>
      <c r="AK453" s="295"/>
      <c r="BR453" s="188"/>
      <c r="BT453" s="296"/>
      <c r="BU453" s="296"/>
      <c r="BV453" s="296"/>
    </row>
    <row r="454" spans="2:74" ht="13">
      <c r="B454" s="294"/>
      <c r="C454" s="294"/>
      <c r="D454" s="294"/>
      <c r="E454" s="295"/>
      <c r="F454" s="294"/>
      <c r="G454" s="295"/>
      <c r="H454" s="295"/>
      <c r="P454" s="295"/>
      <c r="W454" s="295"/>
      <c r="AD454" s="295"/>
      <c r="AK454" s="295"/>
      <c r="BR454" s="188"/>
      <c r="BT454" s="296"/>
      <c r="BU454" s="296"/>
      <c r="BV454" s="296"/>
    </row>
    <row r="455" spans="2:74" ht="13">
      <c r="B455" s="294"/>
      <c r="C455" s="294"/>
      <c r="D455" s="294"/>
      <c r="E455" s="295"/>
      <c r="F455" s="294"/>
      <c r="G455" s="295"/>
      <c r="H455" s="295"/>
      <c r="P455" s="295"/>
      <c r="W455" s="295"/>
      <c r="AD455" s="295"/>
      <c r="AK455" s="295"/>
      <c r="BR455" s="188"/>
      <c r="BT455" s="296"/>
      <c r="BU455" s="296"/>
      <c r="BV455" s="296"/>
    </row>
    <row r="456" spans="2:74" ht="13">
      <c r="B456" s="294"/>
      <c r="C456" s="294"/>
      <c r="D456" s="294"/>
      <c r="E456" s="295"/>
      <c r="F456" s="294"/>
      <c r="G456" s="295"/>
      <c r="H456" s="295"/>
      <c r="P456" s="295"/>
      <c r="W456" s="295"/>
      <c r="AD456" s="295"/>
      <c r="AK456" s="295"/>
      <c r="BR456" s="188"/>
      <c r="BT456" s="296"/>
      <c r="BU456" s="296"/>
      <c r="BV456" s="296"/>
    </row>
    <row r="457" spans="2:74" ht="13">
      <c r="B457" s="294"/>
      <c r="C457" s="294"/>
      <c r="D457" s="294"/>
      <c r="E457" s="295"/>
      <c r="F457" s="294"/>
      <c r="G457" s="295"/>
      <c r="H457" s="295"/>
      <c r="P457" s="295"/>
      <c r="W457" s="295"/>
      <c r="AD457" s="295"/>
      <c r="AK457" s="295"/>
      <c r="BR457" s="188"/>
      <c r="BT457" s="296"/>
      <c r="BU457" s="296"/>
      <c r="BV457" s="296"/>
    </row>
    <row r="458" spans="2:74" ht="13">
      <c r="B458" s="294"/>
      <c r="C458" s="294"/>
      <c r="D458" s="294"/>
      <c r="E458" s="295"/>
      <c r="F458" s="294"/>
      <c r="G458" s="295"/>
      <c r="H458" s="295"/>
      <c r="P458" s="295"/>
      <c r="W458" s="295"/>
      <c r="AD458" s="295"/>
      <c r="AK458" s="295"/>
      <c r="BR458" s="188"/>
      <c r="BT458" s="296"/>
      <c r="BU458" s="296"/>
      <c r="BV458" s="296"/>
    </row>
    <row r="459" spans="2:74" ht="13">
      <c r="B459" s="294"/>
      <c r="C459" s="294"/>
      <c r="D459" s="294"/>
      <c r="E459" s="295"/>
      <c r="F459" s="294"/>
      <c r="G459" s="295"/>
      <c r="H459" s="295"/>
      <c r="P459" s="295"/>
      <c r="W459" s="295"/>
      <c r="AD459" s="295"/>
      <c r="AK459" s="295"/>
      <c r="BR459" s="188"/>
      <c r="BT459" s="296"/>
      <c r="BU459" s="296"/>
      <c r="BV459" s="296"/>
    </row>
    <row r="460" spans="2:74" ht="13">
      <c r="B460" s="294"/>
      <c r="C460" s="294"/>
      <c r="D460" s="294"/>
      <c r="E460" s="295"/>
      <c r="F460" s="294"/>
      <c r="G460" s="295"/>
      <c r="H460" s="295"/>
      <c r="P460" s="295"/>
      <c r="W460" s="295"/>
      <c r="AD460" s="295"/>
      <c r="AK460" s="295"/>
      <c r="BR460" s="188"/>
      <c r="BT460" s="296"/>
      <c r="BU460" s="296"/>
      <c r="BV460" s="296"/>
    </row>
    <row r="461" spans="2:74" ht="13">
      <c r="B461" s="294"/>
      <c r="C461" s="294"/>
      <c r="D461" s="294"/>
      <c r="E461" s="295"/>
      <c r="F461" s="294"/>
      <c r="G461" s="295"/>
      <c r="H461" s="295"/>
      <c r="P461" s="295"/>
      <c r="W461" s="295"/>
      <c r="AD461" s="295"/>
      <c r="AK461" s="295"/>
      <c r="BR461" s="188"/>
      <c r="BT461" s="296"/>
      <c r="BU461" s="296"/>
      <c r="BV461" s="296"/>
    </row>
    <row r="462" spans="2:74" ht="13">
      <c r="B462" s="294"/>
      <c r="C462" s="294"/>
      <c r="D462" s="294"/>
      <c r="E462" s="295"/>
      <c r="F462" s="294"/>
      <c r="G462" s="295"/>
      <c r="H462" s="295"/>
      <c r="P462" s="295"/>
      <c r="W462" s="295"/>
      <c r="AD462" s="295"/>
      <c r="AK462" s="295"/>
      <c r="BR462" s="188"/>
      <c r="BT462" s="296"/>
      <c r="BU462" s="296"/>
      <c r="BV462" s="296"/>
    </row>
    <row r="463" spans="2:74" ht="13">
      <c r="B463" s="294"/>
      <c r="C463" s="294"/>
      <c r="D463" s="294"/>
      <c r="E463" s="295"/>
      <c r="F463" s="294"/>
      <c r="G463" s="295"/>
      <c r="H463" s="295"/>
      <c r="P463" s="295"/>
      <c r="W463" s="295"/>
      <c r="AD463" s="295"/>
      <c r="AK463" s="295"/>
      <c r="BR463" s="188"/>
      <c r="BT463" s="296"/>
      <c r="BU463" s="296"/>
      <c r="BV463" s="296"/>
    </row>
    <row r="464" spans="2:74" ht="13">
      <c r="B464" s="294"/>
      <c r="C464" s="294"/>
      <c r="D464" s="294"/>
      <c r="E464" s="295"/>
      <c r="F464" s="294"/>
      <c r="G464" s="295"/>
      <c r="H464" s="295"/>
      <c r="P464" s="295"/>
      <c r="W464" s="295"/>
      <c r="AD464" s="295"/>
      <c r="AK464" s="295"/>
      <c r="BR464" s="188"/>
      <c r="BT464" s="296"/>
      <c r="BU464" s="296"/>
      <c r="BV464" s="296"/>
    </row>
    <row r="465" spans="2:74" ht="13">
      <c r="B465" s="294"/>
      <c r="C465" s="294"/>
      <c r="D465" s="294"/>
      <c r="E465" s="295"/>
      <c r="F465" s="294"/>
      <c r="G465" s="295"/>
      <c r="H465" s="295"/>
      <c r="P465" s="295"/>
      <c r="W465" s="295"/>
      <c r="AD465" s="295"/>
      <c r="AK465" s="295"/>
      <c r="BR465" s="188"/>
      <c r="BT465" s="296"/>
      <c r="BU465" s="296"/>
      <c r="BV465" s="296"/>
    </row>
    <row r="466" spans="2:74" ht="13">
      <c r="B466" s="294"/>
      <c r="C466" s="294"/>
      <c r="D466" s="294"/>
      <c r="E466" s="295"/>
      <c r="F466" s="294"/>
      <c r="G466" s="295"/>
      <c r="H466" s="295"/>
      <c r="P466" s="295"/>
      <c r="W466" s="295"/>
      <c r="AD466" s="295"/>
      <c r="AK466" s="295"/>
      <c r="BR466" s="188"/>
      <c r="BT466" s="296"/>
      <c r="BU466" s="296"/>
      <c r="BV466" s="296"/>
    </row>
    <row r="467" spans="2:74" ht="13">
      <c r="B467" s="294"/>
      <c r="C467" s="294"/>
      <c r="D467" s="294"/>
      <c r="E467" s="295"/>
      <c r="F467" s="294"/>
      <c r="G467" s="295"/>
      <c r="H467" s="295"/>
      <c r="P467" s="295"/>
      <c r="W467" s="295"/>
      <c r="AD467" s="295"/>
      <c r="AK467" s="295"/>
      <c r="BR467" s="188"/>
      <c r="BT467" s="296"/>
      <c r="BU467" s="296"/>
      <c r="BV467" s="296"/>
    </row>
    <row r="468" spans="2:74" ht="13">
      <c r="B468" s="294"/>
      <c r="C468" s="294"/>
      <c r="D468" s="294"/>
      <c r="E468" s="295"/>
      <c r="F468" s="294"/>
      <c r="G468" s="295"/>
      <c r="H468" s="295"/>
      <c r="P468" s="295"/>
      <c r="W468" s="295"/>
      <c r="AD468" s="295"/>
      <c r="AK468" s="295"/>
      <c r="BR468" s="188"/>
      <c r="BT468" s="296"/>
      <c r="BU468" s="296"/>
      <c r="BV468" s="296"/>
    </row>
    <row r="469" spans="2:74" ht="13">
      <c r="B469" s="294"/>
      <c r="C469" s="294"/>
      <c r="D469" s="294"/>
      <c r="E469" s="295"/>
      <c r="F469" s="294"/>
      <c r="G469" s="295"/>
      <c r="H469" s="295"/>
      <c r="P469" s="295"/>
      <c r="W469" s="295"/>
      <c r="AD469" s="295"/>
      <c r="AK469" s="295"/>
      <c r="BR469" s="188"/>
      <c r="BT469" s="296"/>
      <c r="BU469" s="296"/>
      <c r="BV469" s="296"/>
    </row>
    <row r="470" spans="2:74" ht="13">
      <c r="B470" s="294"/>
      <c r="C470" s="294"/>
      <c r="D470" s="294"/>
      <c r="E470" s="295"/>
      <c r="F470" s="294"/>
      <c r="G470" s="295"/>
      <c r="H470" s="295"/>
      <c r="P470" s="295"/>
      <c r="W470" s="295"/>
      <c r="AD470" s="295"/>
      <c r="AK470" s="295"/>
      <c r="BR470" s="188"/>
      <c r="BT470" s="296"/>
      <c r="BU470" s="296"/>
      <c r="BV470" s="296"/>
    </row>
    <row r="471" spans="2:74" ht="13">
      <c r="B471" s="294"/>
      <c r="C471" s="294"/>
      <c r="D471" s="294"/>
      <c r="E471" s="295"/>
      <c r="F471" s="294"/>
      <c r="G471" s="295"/>
      <c r="H471" s="295"/>
      <c r="P471" s="295"/>
      <c r="W471" s="295"/>
      <c r="AD471" s="295"/>
      <c r="AK471" s="295"/>
      <c r="BR471" s="188"/>
      <c r="BT471" s="296"/>
      <c r="BU471" s="296"/>
      <c r="BV471" s="296"/>
    </row>
    <row r="472" spans="2:74" ht="13">
      <c r="B472" s="294"/>
      <c r="C472" s="294"/>
      <c r="D472" s="294"/>
      <c r="E472" s="295"/>
      <c r="F472" s="294"/>
      <c r="G472" s="295"/>
      <c r="H472" s="295"/>
      <c r="P472" s="295"/>
      <c r="W472" s="295"/>
      <c r="AD472" s="295"/>
      <c r="AK472" s="295"/>
      <c r="BR472" s="188"/>
      <c r="BT472" s="296"/>
      <c r="BU472" s="296"/>
      <c r="BV472" s="296"/>
    </row>
    <row r="473" spans="2:74" ht="13">
      <c r="B473" s="294"/>
      <c r="C473" s="294"/>
      <c r="D473" s="294"/>
      <c r="E473" s="295"/>
      <c r="F473" s="294"/>
      <c r="G473" s="295"/>
      <c r="H473" s="295"/>
      <c r="P473" s="295"/>
      <c r="W473" s="295"/>
      <c r="AD473" s="295"/>
      <c r="AK473" s="295"/>
      <c r="BR473" s="188"/>
      <c r="BT473" s="296"/>
      <c r="BU473" s="296"/>
      <c r="BV473" s="296"/>
    </row>
    <row r="474" spans="2:74" ht="13">
      <c r="B474" s="294"/>
      <c r="C474" s="294"/>
      <c r="D474" s="294"/>
      <c r="E474" s="295"/>
      <c r="F474" s="294"/>
      <c r="G474" s="295"/>
      <c r="H474" s="295"/>
      <c r="P474" s="295"/>
      <c r="W474" s="295"/>
      <c r="AD474" s="295"/>
      <c r="AK474" s="295"/>
      <c r="BR474" s="188"/>
      <c r="BT474" s="296"/>
      <c r="BU474" s="296"/>
      <c r="BV474" s="296"/>
    </row>
    <row r="475" spans="2:74" ht="13">
      <c r="B475" s="294"/>
      <c r="C475" s="294"/>
      <c r="D475" s="294"/>
      <c r="E475" s="295"/>
      <c r="F475" s="294"/>
      <c r="G475" s="295"/>
      <c r="H475" s="295"/>
      <c r="P475" s="295"/>
      <c r="W475" s="295"/>
      <c r="AD475" s="295"/>
      <c r="AK475" s="295"/>
      <c r="BR475" s="188"/>
      <c r="BT475" s="296"/>
      <c r="BU475" s="296"/>
      <c r="BV475" s="296"/>
    </row>
    <row r="476" spans="2:74" ht="13">
      <c r="B476" s="294"/>
      <c r="C476" s="294"/>
      <c r="D476" s="294"/>
      <c r="E476" s="295"/>
      <c r="F476" s="294"/>
      <c r="G476" s="295"/>
      <c r="H476" s="295"/>
      <c r="P476" s="295"/>
      <c r="W476" s="295"/>
      <c r="AD476" s="295"/>
      <c r="AK476" s="295"/>
      <c r="BR476" s="188"/>
      <c r="BT476" s="296"/>
      <c r="BU476" s="296"/>
      <c r="BV476" s="296"/>
    </row>
    <row r="477" spans="2:74" ht="13">
      <c r="B477" s="294"/>
      <c r="C477" s="294"/>
      <c r="D477" s="294"/>
      <c r="E477" s="295"/>
      <c r="F477" s="294"/>
      <c r="G477" s="295"/>
      <c r="H477" s="295"/>
      <c r="P477" s="295"/>
      <c r="W477" s="295"/>
      <c r="AD477" s="295"/>
      <c r="AK477" s="295"/>
      <c r="BR477" s="188"/>
      <c r="BT477" s="296"/>
      <c r="BU477" s="296"/>
      <c r="BV477" s="296"/>
    </row>
    <row r="478" spans="2:74" ht="13">
      <c r="B478" s="294"/>
      <c r="C478" s="294"/>
      <c r="D478" s="294"/>
      <c r="E478" s="295"/>
      <c r="F478" s="294"/>
      <c r="G478" s="295"/>
      <c r="H478" s="295"/>
      <c r="P478" s="295"/>
      <c r="W478" s="295"/>
      <c r="AD478" s="295"/>
      <c r="AK478" s="295"/>
      <c r="BR478" s="188"/>
      <c r="BT478" s="296"/>
      <c r="BU478" s="296"/>
      <c r="BV478" s="296"/>
    </row>
    <row r="479" spans="2:74" ht="13">
      <c r="B479" s="294"/>
      <c r="C479" s="294"/>
      <c r="D479" s="294"/>
      <c r="E479" s="295"/>
      <c r="F479" s="294"/>
      <c r="G479" s="295"/>
      <c r="H479" s="295"/>
      <c r="P479" s="295"/>
      <c r="W479" s="295"/>
      <c r="AD479" s="295"/>
      <c r="AK479" s="295"/>
      <c r="BR479" s="188"/>
      <c r="BT479" s="296"/>
      <c r="BU479" s="296"/>
      <c r="BV479" s="296"/>
    </row>
    <row r="480" spans="2:74" ht="13">
      <c r="B480" s="294"/>
      <c r="C480" s="294"/>
      <c r="D480" s="294"/>
      <c r="E480" s="295"/>
      <c r="F480" s="294"/>
      <c r="G480" s="295"/>
      <c r="H480" s="295"/>
      <c r="P480" s="295"/>
      <c r="W480" s="295"/>
      <c r="AD480" s="295"/>
      <c r="AK480" s="295"/>
      <c r="BR480" s="188"/>
      <c r="BT480" s="296"/>
      <c r="BU480" s="296"/>
      <c r="BV480" s="296"/>
    </row>
    <row r="481" spans="2:74" ht="13">
      <c r="B481" s="294"/>
      <c r="C481" s="294"/>
      <c r="D481" s="294"/>
      <c r="E481" s="295"/>
      <c r="F481" s="294"/>
      <c r="G481" s="295"/>
      <c r="H481" s="295"/>
      <c r="P481" s="295"/>
      <c r="W481" s="295"/>
      <c r="AD481" s="295"/>
      <c r="AK481" s="295"/>
      <c r="BR481" s="188"/>
      <c r="BT481" s="296"/>
      <c r="BU481" s="296"/>
      <c r="BV481" s="296"/>
    </row>
    <row r="482" spans="2:74" ht="13">
      <c r="B482" s="294"/>
      <c r="C482" s="294"/>
      <c r="D482" s="294"/>
      <c r="E482" s="295"/>
      <c r="F482" s="294"/>
      <c r="G482" s="295"/>
      <c r="H482" s="295"/>
      <c r="P482" s="295"/>
      <c r="W482" s="295"/>
      <c r="AD482" s="295"/>
      <c r="AK482" s="295"/>
      <c r="BR482" s="188"/>
      <c r="BT482" s="296"/>
      <c r="BU482" s="296"/>
      <c r="BV482" s="296"/>
    </row>
    <row r="483" spans="2:74" ht="13">
      <c r="B483" s="294"/>
      <c r="C483" s="294"/>
      <c r="D483" s="294"/>
      <c r="E483" s="295"/>
      <c r="F483" s="294"/>
      <c r="G483" s="295"/>
      <c r="H483" s="295"/>
      <c r="P483" s="295"/>
      <c r="W483" s="295"/>
      <c r="AD483" s="295"/>
      <c r="AK483" s="295"/>
      <c r="BR483" s="188"/>
      <c r="BT483" s="296"/>
      <c r="BU483" s="296"/>
      <c r="BV483" s="296"/>
    </row>
    <row r="484" spans="2:74" ht="13">
      <c r="B484" s="294"/>
      <c r="C484" s="294"/>
      <c r="D484" s="294"/>
      <c r="E484" s="295"/>
      <c r="F484" s="294"/>
      <c r="G484" s="295"/>
      <c r="H484" s="295"/>
      <c r="P484" s="295"/>
      <c r="W484" s="295"/>
      <c r="AD484" s="295"/>
      <c r="AK484" s="295"/>
      <c r="BR484" s="188"/>
      <c r="BT484" s="296"/>
      <c r="BU484" s="296"/>
      <c r="BV484" s="296"/>
    </row>
    <row r="485" spans="2:74" ht="13">
      <c r="B485" s="294"/>
      <c r="C485" s="294"/>
      <c r="D485" s="294"/>
      <c r="E485" s="295"/>
      <c r="F485" s="294"/>
      <c r="G485" s="295"/>
      <c r="H485" s="295"/>
      <c r="P485" s="295"/>
      <c r="W485" s="295"/>
      <c r="AD485" s="295"/>
      <c r="AK485" s="295"/>
      <c r="BR485" s="188"/>
      <c r="BT485" s="296"/>
      <c r="BU485" s="296"/>
      <c r="BV485" s="296"/>
    </row>
    <row r="486" spans="2:74" ht="13">
      <c r="B486" s="294"/>
      <c r="C486" s="294"/>
      <c r="D486" s="294"/>
      <c r="E486" s="295"/>
      <c r="F486" s="294"/>
      <c r="G486" s="295"/>
      <c r="H486" s="295"/>
      <c r="P486" s="295"/>
      <c r="W486" s="295"/>
      <c r="AD486" s="295"/>
      <c r="AK486" s="295"/>
      <c r="BR486" s="188"/>
      <c r="BT486" s="296"/>
      <c r="BU486" s="296"/>
      <c r="BV486" s="296"/>
    </row>
    <row r="487" spans="2:74" ht="13">
      <c r="B487" s="294"/>
      <c r="C487" s="294"/>
      <c r="D487" s="294"/>
      <c r="E487" s="295"/>
      <c r="F487" s="294"/>
      <c r="G487" s="295"/>
      <c r="H487" s="295"/>
      <c r="P487" s="295"/>
      <c r="W487" s="295"/>
      <c r="AD487" s="295"/>
      <c r="AK487" s="295"/>
      <c r="BR487" s="188"/>
      <c r="BT487" s="296"/>
      <c r="BU487" s="296"/>
      <c r="BV487" s="296"/>
    </row>
    <row r="488" spans="2:74" ht="13">
      <c r="B488" s="294"/>
      <c r="C488" s="294"/>
      <c r="D488" s="294"/>
      <c r="E488" s="295"/>
      <c r="F488" s="294"/>
      <c r="G488" s="295"/>
      <c r="H488" s="295"/>
      <c r="P488" s="295"/>
      <c r="W488" s="295"/>
      <c r="AD488" s="295"/>
      <c r="AK488" s="295"/>
      <c r="BR488" s="188"/>
      <c r="BT488" s="296"/>
      <c r="BU488" s="296"/>
      <c r="BV488" s="296"/>
    </row>
    <row r="489" spans="2:74" ht="13">
      <c r="B489" s="294"/>
      <c r="C489" s="294"/>
      <c r="D489" s="294"/>
      <c r="E489" s="295"/>
      <c r="F489" s="294"/>
      <c r="G489" s="295"/>
      <c r="H489" s="295"/>
      <c r="P489" s="295"/>
      <c r="W489" s="295"/>
      <c r="AD489" s="295"/>
      <c r="AK489" s="295"/>
      <c r="BR489" s="188"/>
      <c r="BT489" s="296"/>
      <c r="BU489" s="296"/>
      <c r="BV489" s="296"/>
    </row>
    <row r="490" spans="2:74" ht="13">
      <c r="B490" s="294"/>
      <c r="C490" s="294"/>
      <c r="D490" s="294"/>
      <c r="E490" s="295"/>
      <c r="F490" s="294"/>
      <c r="G490" s="295"/>
      <c r="H490" s="295"/>
      <c r="P490" s="295"/>
      <c r="W490" s="295"/>
      <c r="AD490" s="295"/>
      <c r="AK490" s="295"/>
      <c r="BR490" s="188"/>
      <c r="BT490" s="296"/>
      <c r="BU490" s="296"/>
      <c r="BV490" s="296"/>
    </row>
    <row r="491" spans="2:74" ht="13">
      <c r="B491" s="294"/>
      <c r="C491" s="294"/>
      <c r="D491" s="294"/>
      <c r="E491" s="295"/>
      <c r="F491" s="294"/>
      <c r="G491" s="295"/>
      <c r="H491" s="295"/>
      <c r="P491" s="295"/>
      <c r="W491" s="295"/>
      <c r="AD491" s="295"/>
      <c r="AK491" s="295"/>
      <c r="BR491" s="188"/>
      <c r="BT491" s="296"/>
      <c r="BU491" s="296"/>
      <c r="BV491" s="296"/>
    </row>
    <row r="492" spans="2:74" ht="13">
      <c r="B492" s="294"/>
      <c r="C492" s="294"/>
      <c r="D492" s="294"/>
      <c r="E492" s="295"/>
      <c r="F492" s="294"/>
      <c r="G492" s="295"/>
      <c r="H492" s="295"/>
      <c r="P492" s="295"/>
      <c r="W492" s="295"/>
      <c r="AD492" s="295"/>
      <c r="AK492" s="295"/>
      <c r="BR492" s="188"/>
      <c r="BT492" s="296"/>
      <c r="BU492" s="296"/>
      <c r="BV492" s="296"/>
    </row>
    <row r="493" spans="2:74" ht="13">
      <c r="B493" s="294"/>
      <c r="C493" s="294"/>
      <c r="D493" s="294"/>
      <c r="E493" s="295"/>
      <c r="F493" s="294"/>
      <c r="G493" s="295"/>
      <c r="H493" s="295"/>
      <c r="P493" s="295"/>
      <c r="W493" s="295"/>
      <c r="AD493" s="295"/>
      <c r="AK493" s="295"/>
      <c r="BR493" s="188"/>
      <c r="BT493" s="296"/>
      <c r="BU493" s="296"/>
      <c r="BV493" s="296"/>
    </row>
    <row r="494" spans="2:74" ht="13">
      <c r="B494" s="294"/>
      <c r="C494" s="294"/>
      <c r="D494" s="294"/>
      <c r="E494" s="295"/>
      <c r="F494" s="294"/>
      <c r="G494" s="295"/>
      <c r="H494" s="295"/>
      <c r="P494" s="295"/>
      <c r="W494" s="295"/>
      <c r="AD494" s="295"/>
      <c r="AK494" s="295"/>
      <c r="BR494" s="188"/>
      <c r="BT494" s="296"/>
      <c r="BU494" s="296"/>
      <c r="BV494" s="296"/>
    </row>
    <row r="495" spans="2:74" ht="13">
      <c r="B495" s="294"/>
      <c r="C495" s="294"/>
      <c r="D495" s="294"/>
      <c r="E495" s="295"/>
      <c r="F495" s="294"/>
      <c r="G495" s="295"/>
      <c r="H495" s="295"/>
      <c r="P495" s="295"/>
      <c r="W495" s="295"/>
      <c r="AD495" s="295"/>
      <c r="AK495" s="295"/>
      <c r="BR495" s="188"/>
      <c r="BT495" s="296"/>
      <c r="BU495" s="296"/>
      <c r="BV495" s="296"/>
    </row>
    <row r="496" spans="2:74" ht="13">
      <c r="B496" s="294"/>
      <c r="C496" s="294"/>
      <c r="D496" s="294"/>
      <c r="E496" s="295"/>
      <c r="F496" s="294"/>
      <c r="G496" s="295"/>
      <c r="H496" s="295"/>
      <c r="P496" s="295"/>
      <c r="W496" s="295"/>
      <c r="AD496" s="295"/>
      <c r="AK496" s="295"/>
      <c r="BR496" s="188"/>
      <c r="BT496" s="296"/>
      <c r="BU496" s="296"/>
      <c r="BV496" s="296"/>
    </row>
    <row r="497" spans="2:74" ht="13">
      <c r="B497" s="294"/>
      <c r="C497" s="294"/>
      <c r="D497" s="294"/>
      <c r="E497" s="295"/>
      <c r="F497" s="294"/>
      <c r="G497" s="295"/>
      <c r="H497" s="295"/>
      <c r="P497" s="295"/>
      <c r="W497" s="295"/>
      <c r="AD497" s="295"/>
      <c r="AK497" s="295"/>
      <c r="BR497" s="188"/>
      <c r="BT497" s="296"/>
      <c r="BU497" s="296"/>
      <c r="BV497" s="296"/>
    </row>
    <row r="498" spans="2:74" ht="13">
      <c r="B498" s="294"/>
      <c r="C498" s="294"/>
      <c r="D498" s="294"/>
      <c r="E498" s="295"/>
      <c r="F498" s="294"/>
      <c r="G498" s="295"/>
      <c r="H498" s="295"/>
      <c r="P498" s="295"/>
      <c r="W498" s="295"/>
      <c r="AD498" s="295"/>
      <c r="AK498" s="295"/>
      <c r="BR498" s="188"/>
      <c r="BT498" s="296"/>
      <c r="BU498" s="296"/>
      <c r="BV498" s="296"/>
    </row>
    <row r="499" spans="2:74" ht="13">
      <c r="B499" s="294"/>
      <c r="C499" s="294"/>
      <c r="D499" s="294"/>
      <c r="E499" s="295"/>
      <c r="F499" s="294"/>
      <c r="G499" s="295"/>
      <c r="H499" s="295"/>
      <c r="P499" s="295"/>
      <c r="W499" s="295"/>
      <c r="AD499" s="295"/>
      <c r="AK499" s="295"/>
      <c r="BR499" s="188"/>
      <c r="BT499" s="296"/>
      <c r="BU499" s="296"/>
      <c r="BV499" s="296"/>
    </row>
    <row r="500" spans="2:74" ht="13">
      <c r="B500" s="294"/>
      <c r="C500" s="294"/>
      <c r="D500" s="294"/>
      <c r="E500" s="295"/>
      <c r="F500" s="294"/>
      <c r="G500" s="295"/>
      <c r="H500" s="295"/>
      <c r="P500" s="295"/>
      <c r="W500" s="295"/>
      <c r="AD500" s="295"/>
      <c r="AK500" s="295"/>
      <c r="BR500" s="188"/>
      <c r="BT500" s="296"/>
      <c r="BU500" s="296"/>
      <c r="BV500" s="296"/>
    </row>
    <row r="501" spans="2:74" ht="13">
      <c r="B501" s="294"/>
      <c r="C501" s="294"/>
      <c r="D501" s="294"/>
      <c r="E501" s="295"/>
      <c r="F501" s="294"/>
      <c r="G501" s="295"/>
      <c r="H501" s="295"/>
      <c r="P501" s="295"/>
      <c r="W501" s="295"/>
      <c r="AD501" s="295"/>
      <c r="AK501" s="295"/>
      <c r="BR501" s="188"/>
      <c r="BT501" s="296"/>
      <c r="BU501" s="296"/>
      <c r="BV501" s="296"/>
    </row>
    <row r="502" spans="2:74" ht="13">
      <c r="B502" s="294"/>
      <c r="C502" s="294"/>
      <c r="D502" s="294"/>
      <c r="E502" s="295"/>
      <c r="F502" s="294"/>
      <c r="G502" s="295"/>
      <c r="H502" s="295"/>
      <c r="P502" s="295"/>
      <c r="W502" s="295"/>
      <c r="AD502" s="295"/>
      <c r="AK502" s="295"/>
      <c r="BR502" s="188"/>
      <c r="BT502" s="296"/>
      <c r="BU502" s="296"/>
      <c r="BV502" s="296"/>
    </row>
    <row r="503" spans="2:74" ht="13">
      <c r="B503" s="294"/>
      <c r="C503" s="294"/>
      <c r="D503" s="294"/>
      <c r="E503" s="295"/>
      <c r="F503" s="294"/>
      <c r="G503" s="295"/>
      <c r="H503" s="295"/>
      <c r="P503" s="295"/>
      <c r="W503" s="295"/>
      <c r="AD503" s="295"/>
      <c r="AK503" s="295"/>
      <c r="BR503" s="188"/>
      <c r="BT503" s="296"/>
      <c r="BU503" s="296"/>
      <c r="BV503" s="296"/>
    </row>
    <row r="504" spans="2:74" ht="13">
      <c r="B504" s="294"/>
      <c r="C504" s="294"/>
      <c r="D504" s="294"/>
      <c r="E504" s="295"/>
      <c r="F504" s="294"/>
      <c r="G504" s="295"/>
      <c r="H504" s="295"/>
      <c r="P504" s="295"/>
      <c r="W504" s="295"/>
      <c r="AD504" s="295"/>
      <c r="AK504" s="295"/>
      <c r="BR504" s="188"/>
      <c r="BT504" s="296"/>
      <c r="BU504" s="296"/>
      <c r="BV504" s="296"/>
    </row>
    <row r="505" spans="2:74" ht="13">
      <c r="B505" s="294"/>
      <c r="C505" s="294"/>
      <c r="D505" s="294"/>
      <c r="E505" s="295"/>
      <c r="F505" s="294"/>
      <c r="G505" s="295"/>
      <c r="H505" s="295"/>
      <c r="P505" s="295"/>
      <c r="W505" s="295"/>
      <c r="AD505" s="295"/>
      <c r="AK505" s="295"/>
      <c r="BR505" s="188"/>
      <c r="BT505" s="296"/>
      <c r="BU505" s="296"/>
      <c r="BV505" s="296"/>
    </row>
    <row r="506" spans="2:74" ht="13">
      <c r="B506" s="294"/>
      <c r="C506" s="294"/>
      <c r="D506" s="294"/>
      <c r="E506" s="295"/>
      <c r="F506" s="294"/>
      <c r="G506" s="295"/>
      <c r="H506" s="295"/>
      <c r="P506" s="295"/>
      <c r="W506" s="295"/>
      <c r="AD506" s="295"/>
      <c r="AK506" s="295"/>
      <c r="BR506" s="188"/>
      <c r="BT506" s="296"/>
      <c r="BU506" s="296"/>
      <c r="BV506" s="296"/>
    </row>
    <row r="507" spans="2:74" ht="13">
      <c r="B507" s="294"/>
      <c r="C507" s="294"/>
      <c r="D507" s="294"/>
      <c r="E507" s="295"/>
      <c r="F507" s="294"/>
      <c r="G507" s="295"/>
      <c r="H507" s="295"/>
      <c r="P507" s="295"/>
      <c r="W507" s="295"/>
      <c r="AD507" s="295"/>
      <c r="AK507" s="295"/>
      <c r="BR507" s="188"/>
      <c r="BT507" s="296"/>
      <c r="BU507" s="296"/>
      <c r="BV507" s="296"/>
    </row>
    <row r="508" spans="2:74" ht="13">
      <c r="B508" s="294"/>
      <c r="C508" s="294"/>
      <c r="D508" s="294"/>
      <c r="E508" s="295"/>
      <c r="F508" s="294"/>
      <c r="G508" s="295"/>
      <c r="H508" s="295"/>
      <c r="P508" s="295"/>
      <c r="W508" s="295"/>
      <c r="AD508" s="295"/>
      <c r="AK508" s="295"/>
      <c r="BR508" s="188"/>
      <c r="BT508" s="296"/>
      <c r="BU508" s="296"/>
      <c r="BV508" s="296"/>
    </row>
    <row r="509" spans="2:74" ht="13">
      <c r="B509" s="294"/>
      <c r="C509" s="294"/>
      <c r="D509" s="294"/>
      <c r="E509" s="295"/>
      <c r="F509" s="294"/>
      <c r="G509" s="295"/>
      <c r="H509" s="295"/>
      <c r="P509" s="295"/>
      <c r="W509" s="295"/>
      <c r="AD509" s="295"/>
      <c r="AK509" s="295"/>
      <c r="BR509" s="188"/>
      <c r="BT509" s="296"/>
      <c r="BU509" s="296"/>
      <c r="BV509" s="296"/>
    </row>
    <row r="510" spans="2:74" ht="13">
      <c r="B510" s="294"/>
      <c r="C510" s="294"/>
      <c r="D510" s="294"/>
      <c r="E510" s="295"/>
      <c r="F510" s="294"/>
      <c r="G510" s="295"/>
      <c r="H510" s="295"/>
      <c r="P510" s="295"/>
      <c r="W510" s="295"/>
      <c r="AD510" s="295"/>
      <c r="AK510" s="295"/>
      <c r="BR510" s="188"/>
      <c r="BT510" s="296"/>
      <c r="BU510" s="296"/>
      <c r="BV510" s="296"/>
    </row>
    <row r="511" spans="2:74" ht="13">
      <c r="B511" s="294"/>
      <c r="C511" s="294"/>
      <c r="D511" s="294"/>
      <c r="E511" s="295"/>
      <c r="F511" s="294"/>
      <c r="G511" s="295"/>
      <c r="H511" s="295"/>
      <c r="P511" s="295"/>
      <c r="W511" s="295"/>
      <c r="AD511" s="295"/>
      <c r="AK511" s="295"/>
      <c r="BR511" s="188"/>
      <c r="BT511" s="296"/>
      <c r="BU511" s="296"/>
      <c r="BV511" s="296"/>
    </row>
    <row r="512" spans="2:74" ht="13">
      <c r="B512" s="294"/>
      <c r="C512" s="294"/>
      <c r="D512" s="294"/>
      <c r="E512" s="295"/>
      <c r="F512" s="294"/>
      <c r="G512" s="295"/>
      <c r="H512" s="295"/>
      <c r="P512" s="295"/>
      <c r="W512" s="295"/>
      <c r="AD512" s="295"/>
      <c r="AK512" s="295"/>
      <c r="BR512" s="188"/>
      <c r="BT512" s="296"/>
      <c r="BU512" s="296"/>
      <c r="BV512" s="296"/>
    </row>
    <row r="513" spans="2:74" ht="13">
      <c r="B513" s="294"/>
      <c r="C513" s="294"/>
      <c r="D513" s="294"/>
      <c r="E513" s="295"/>
      <c r="F513" s="294"/>
      <c r="G513" s="295"/>
      <c r="H513" s="295"/>
      <c r="P513" s="295"/>
      <c r="W513" s="295"/>
      <c r="AD513" s="295"/>
      <c r="AK513" s="295"/>
      <c r="BR513" s="188"/>
      <c r="BT513" s="296"/>
      <c r="BU513" s="296"/>
      <c r="BV513" s="296"/>
    </row>
    <row r="514" spans="2:74" ht="13">
      <c r="B514" s="294"/>
      <c r="C514" s="294"/>
      <c r="D514" s="294"/>
      <c r="E514" s="295"/>
      <c r="F514" s="294"/>
      <c r="G514" s="295"/>
      <c r="H514" s="295"/>
      <c r="P514" s="295"/>
      <c r="W514" s="295"/>
      <c r="AD514" s="295"/>
      <c r="AK514" s="295"/>
      <c r="BR514" s="188"/>
      <c r="BT514" s="296"/>
      <c r="BU514" s="296"/>
      <c r="BV514" s="296"/>
    </row>
    <row r="515" spans="2:74" ht="13">
      <c r="B515" s="294"/>
      <c r="C515" s="294"/>
      <c r="D515" s="294"/>
      <c r="E515" s="295"/>
      <c r="F515" s="294"/>
      <c r="G515" s="295"/>
      <c r="H515" s="295"/>
      <c r="P515" s="295"/>
      <c r="W515" s="295"/>
      <c r="AD515" s="295"/>
      <c r="AK515" s="295"/>
      <c r="BR515" s="188"/>
      <c r="BT515" s="296"/>
      <c r="BU515" s="296"/>
      <c r="BV515" s="296"/>
    </row>
    <row r="516" spans="2:74" ht="13">
      <c r="B516" s="294"/>
      <c r="C516" s="294"/>
      <c r="D516" s="294"/>
      <c r="E516" s="295"/>
      <c r="F516" s="294"/>
      <c r="G516" s="295"/>
      <c r="H516" s="295"/>
      <c r="P516" s="295"/>
      <c r="W516" s="295"/>
      <c r="AD516" s="295"/>
      <c r="AK516" s="295"/>
      <c r="BR516" s="188"/>
      <c r="BT516" s="296"/>
      <c r="BU516" s="296"/>
      <c r="BV516" s="296"/>
    </row>
    <row r="517" spans="2:74" ht="13">
      <c r="B517" s="294"/>
      <c r="C517" s="294"/>
      <c r="D517" s="294"/>
      <c r="E517" s="295"/>
      <c r="F517" s="294"/>
      <c r="G517" s="295"/>
      <c r="H517" s="295"/>
      <c r="P517" s="295"/>
      <c r="W517" s="295"/>
      <c r="AD517" s="295"/>
      <c r="AK517" s="295"/>
      <c r="BR517" s="188"/>
      <c r="BT517" s="296"/>
      <c r="BU517" s="296"/>
      <c r="BV517" s="296"/>
    </row>
    <row r="518" spans="2:74" ht="13">
      <c r="B518" s="294"/>
      <c r="C518" s="294"/>
      <c r="D518" s="294"/>
      <c r="E518" s="295"/>
      <c r="F518" s="294"/>
      <c r="G518" s="295"/>
      <c r="H518" s="295"/>
      <c r="P518" s="295"/>
      <c r="W518" s="295"/>
      <c r="AD518" s="295"/>
      <c r="AK518" s="295"/>
      <c r="BR518" s="188"/>
      <c r="BT518" s="296"/>
      <c r="BU518" s="296"/>
      <c r="BV518" s="296"/>
    </row>
    <row r="519" spans="2:74" ht="13">
      <c r="B519" s="294"/>
      <c r="C519" s="294"/>
      <c r="D519" s="294"/>
      <c r="E519" s="295"/>
      <c r="F519" s="294"/>
      <c r="G519" s="295"/>
      <c r="H519" s="295"/>
      <c r="P519" s="295"/>
      <c r="W519" s="295"/>
      <c r="AD519" s="295"/>
      <c r="AK519" s="295"/>
      <c r="BR519" s="188"/>
      <c r="BT519" s="296"/>
      <c r="BU519" s="296"/>
      <c r="BV519" s="296"/>
    </row>
    <row r="520" spans="2:74" ht="13">
      <c r="B520" s="294"/>
      <c r="C520" s="294"/>
      <c r="D520" s="294"/>
      <c r="E520" s="295"/>
      <c r="F520" s="294"/>
      <c r="G520" s="295"/>
      <c r="H520" s="295"/>
      <c r="P520" s="295"/>
      <c r="W520" s="295"/>
      <c r="AD520" s="295"/>
      <c r="AK520" s="295"/>
      <c r="BR520" s="188"/>
      <c r="BT520" s="296"/>
      <c r="BU520" s="296"/>
      <c r="BV520" s="296"/>
    </row>
    <row r="521" spans="2:74" ht="13">
      <c r="B521" s="294"/>
      <c r="C521" s="294"/>
      <c r="D521" s="294"/>
      <c r="E521" s="295"/>
      <c r="F521" s="294"/>
      <c r="G521" s="295"/>
      <c r="H521" s="295"/>
      <c r="P521" s="295"/>
      <c r="W521" s="295"/>
      <c r="AD521" s="295"/>
      <c r="AK521" s="295"/>
      <c r="BR521" s="188"/>
      <c r="BT521" s="296"/>
      <c r="BU521" s="296"/>
      <c r="BV521" s="296"/>
    </row>
    <row r="522" spans="2:74" ht="13">
      <c r="B522" s="294"/>
      <c r="C522" s="294"/>
      <c r="D522" s="294"/>
      <c r="E522" s="295"/>
      <c r="F522" s="294"/>
      <c r="G522" s="295"/>
      <c r="H522" s="295"/>
      <c r="P522" s="295"/>
      <c r="W522" s="295"/>
      <c r="AD522" s="295"/>
      <c r="AK522" s="295"/>
      <c r="BR522" s="188"/>
      <c r="BT522" s="296"/>
      <c r="BU522" s="296"/>
      <c r="BV522" s="296"/>
    </row>
    <row r="523" spans="2:74" ht="13">
      <c r="B523" s="294"/>
      <c r="C523" s="294"/>
      <c r="D523" s="294"/>
      <c r="E523" s="295"/>
      <c r="F523" s="294"/>
      <c r="G523" s="295"/>
      <c r="H523" s="295"/>
      <c r="P523" s="295"/>
      <c r="W523" s="295"/>
      <c r="AD523" s="295"/>
      <c r="AK523" s="295"/>
      <c r="BR523" s="188"/>
      <c r="BT523" s="296"/>
      <c r="BU523" s="296"/>
      <c r="BV523" s="296"/>
    </row>
    <row r="524" spans="2:74" ht="13">
      <c r="B524" s="294"/>
      <c r="C524" s="294"/>
      <c r="D524" s="294"/>
      <c r="E524" s="295"/>
      <c r="F524" s="294"/>
      <c r="G524" s="295"/>
      <c r="H524" s="295"/>
      <c r="P524" s="295"/>
      <c r="W524" s="295"/>
      <c r="AD524" s="295"/>
      <c r="AK524" s="295"/>
      <c r="BR524" s="188"/>
      <c r="BT524" s="296"/>
      <c r="BU524" s="296"/>
      <c r="BV524" s="296"/>
    </row>
    <row r="525" spans="2:74" ht="13">
      <c r="B525" s="294"/>
      <c r="C525" s="294"/>
      <c r="D525" s="294"/>
      <c r="E525" s="295"/>
      <c r="F525" s="294"/>
      <c r="G525" s="295"/>
      <c r="H525" s="295"/>
      <c r="P525" s="295"/>
      <c r="W525" s="295"/>
      <c r="AD525" s="295"/>
      <c r="AK525" s="295"/>
      <c r="BR525" s="188"/>
      <c r="BT525" s="296"/>
      <c r="BU525" s="296"/>
      <c r="BV525" s="296"/>
    </row>
    <row r="526" spans="2:74" ht="13">
      <c r="B526" s="294"/>
      <c r="C526" s="294"/>
      <c r="D526" s="294"/>
      <c r="E526" s="295"/>
      <c r="F526" s="294"/>
      <c r="G526" s="295"/>
      <c r="H526" s="295"/>
      <c r="P526" s="295"/>
      <c r="W526" s="295"/>
      <c r="AD526" s="295"/>
      <c r="AK526" s="295"/>
      <c r="BR526" s="188"/>
      <c r="BT526" s="296"/>
      <c r="BU526" s="296"/>
      <c r="BV526" s="296"/>
    </row>
    <row r="527" spans="2:74" ht="13">
      <c r="B527" s="294"/>
      <c r="C527" s="294"/>
      <c r="D527" s="294"/>
      <c r="E527" s="295"/>
      <c r="F527" s="294"/>
      <c r="G527" s="295"/>
      <c r="H527" s="295"/>
      <c r="P527" s="295"/>
      <c r="W527" s="295"/>
      <c r="AD527" s="295"/>
      <c r="AK527" s="295"/>
      <c r="BR527" s="188"/>
      <c r="BT527" s="296"/>
      <c r="BU527" s="296"/>
      <c r="BV527" s="296"/>
    </row>
    <row r="528" spans="2:74" ht="13">
      <c r="B528" s="294"/>
      <c r="C528" s="294"/>
      <c r="D528" s="294"/>
      <c r="E528" s="295"/>
      <c r="F528" s="294"/>
      <c r="G528" s="295"/>
      <c r="H528" s="295"/>
      <c r="P528" s="295"/>
      <c r="W528" s="295"/>
      <c r="AD528" s="295"/>
      <c r="AK528" s="295"/>
      <c r="BR528" s="188"/>
      <c r="BT528" s="296"/>
      <c r="BU528" s="296"/>
      <c r="BV528" s="296"/>
    </row>
    <row r="529" spans="2:74" ht="13">
      <c r="B529" s="294"/>
      <c r="C529" s="294"/>
      <c r="D529" s="294"/>
      <c r="E529" s="295"/>
      <c r="F529" s="294"/>
      <c r="G529" s="295"/>
      <c r="H529" s="295"/>
      <c r="P529" s="295"/>
      <c r="W529" s="295"/>
      <c r="AD529" s="295"/>
      <c r="AK529" s="295"/>
      <c r="BR529" s="188"/>
      <c r="BT529" s="296"/>
      <c r="BU529" s="296"/>
      <c r="BV529" s="296"/>
    </row>
    <row r="530" spans="2:74" ht="13">
      <c r="B530" s="294"/>
      <c r="C530" s="294"/>
      <c r="D530" s="294"/>
      <c r="E530" s="295"/>
      <c r="F530" s="294"/>
      <c r="G530" s="295"/>
      <c r="H530" s="295"/>
      <c r="P530" s="295"/>
      <c r="W530" s="295"/>
      <c r="AD530" s="295"/>
      <c r="AK530" s="295"/>
      <c r="BR530" s="188"/>
      <c r="BT530" s="296"/>
      <c r="BU530" s="296"/>
      <c r="BV530" s="296"/>
    </row>
    <row r="531" spans="2:74" ht="13">
      <c r="B531" s="294"/>
      <c r="C531" s="294"/>
      <c r="D531" s="294"/>
      <c r="E531" s="295"/>
      <c r="F531" s="294"/>
      <c r="G531" s="295"/>
      <c r="H531" s="295"/>
      <c r="P531" s="295"/>
      <c r="W531" s="295"/>
      <c r="AD531" s="295"/>
      <c r="AK531" s="295"/>
      <c r="BR531" s="188"/>
      <c r="BT531" s="296"/>
      <c r="BU531" s="296"/>
      <c r="BV531" s="296"/>
    </row>
    <row r="532" spans="2:74" ht="13">
      <c r="B532" s="294"/>
      <c r="C532" s="294"/>
      <c r="D532" s="294"/>
      <c r="E532" s="295"/>
      <c r="F532" s="294"/>
      <c r="G532" s="295"/>
      <c r="H532" s="295"/>
      <c r="P532" s="295"/>
      <c r="W532" s="295"/>
      <c r="AD532" s="295"/>
      <c r="AK532" s="295"/>
      <c r="BR532" s="188"/>
      <c r="BT532" s="296"/>
      <c r="BU532" s="296"/>
      <c r="BV532" s="296"/>
    </row>
    <row r="533" spans="2:74" ht="13">
      <c r="B533" s="294"/>
      <c r="C533" s="294"/>
      <c r="D533" s="294"/>
      <c r="E533" s="295"/>
      <c r="F533" s="294"/>
      <c r="G533" s="295"/>
      <c r="H533" s="295"/>
      <c r="P533" s="295"/>
      <c r="W533" s="295"/>
      <c r="AD533" s="295"/>
      <c r="AK533" s="295"/>
      <c r="BR533" s="188"/>
      <c r="BT533" s="296"/>
      <c r="BU533" s="296"/>
      <c r="BV533" s="296"/>
    </row>
    <row r="534" spans="2:74" ht="13">
      <c r="B534" s="294"/>
      <c r="C534" s="294"/>
      <c r="D534" s="294"/>
      <c r="E534" s="295"/>
      <c r="F534" s="294"/>
      <c r="G534" s="295"/>
      <c r="H534" s="295"/>
      <c r="P534" s="295"/>
      <c r="W534" s="295"/>
      <c r="AD534" s="295"/>
      <c r="AK534" s="295"/>
      <c r="BR534" s="188"/>
      <c r="BT534" s="296"/>
      <c r="BU534" s="296"/>
      <c r="BV534" s="296"/>
    </row>
    <row r="535" spans="2:74" ht="13">
      <c r="B535" s="294"/>
      <c r="C535" s="294"/>
      <c r="D535" s="294"/>
      <c r="E535" s="295"/>
      <c r="F535" s="294"/>
      <c r="G535" s="295"/>
      <c r="H535" s="295"/>
      <c r="P535" s="295"/>
      <c r="W535" s="295"/>
      <c r="AD535" s="295"/>
      <c r="AK535" s="295"/>
      <c r="BR535" s="188"/>
      <c r="BT535" s="296"/>
      <c r="BU535" s="296"/>
      <c r="BV535" s="296"/>
    </row>
    <row r="536" spans="2:74" ht="13">
      <c r="B536" s="294"/>
      <c r="C536" s="294"/>
      <c r="D536" s="294"/>
      <c r="E536" s="295"/>
      <c r="F536" s="294"/>
      <c r="G536" s="295"/>
      <c r="H536" s="295"/>
      <c r="P536" s="295"/>
      <c r="W536" s="295"/>
      <c r="AD536" s="295"/>
      <c r="AK536" s="295"/>
      <c r="BR536" s="188"/>
      <c r="BT536" s="296"/>
      <c r="BU536" s="296"/>
      <c r="BV536" s="296"/>
    </row>
    <row r="537" spans="2:74" ht="13">
      <c r="B537" s="294"/>
      <c r="C537" s="294"/>
      <c r="D537" s="294"/>
      <c r="E537" s="295"/>
      <c r="F537" s="294"/>
      <c r="G537" s="295"/>
      <c r="H537" s="295"/>
      <c r="P537" s="295"/>
      <c r="W537" s="295"/>
      <c r="AD537" s="295"/>
      <c r="AK537" s="295"/>
      <c r="BR537" s="188"/>
      <c r="BT537" s="296"/>
      <c r="BU537" s="296"/>
      <c r="BV537" s="296"/>
    </row>
    <row r="538" spans="2:74" ht="13">
      <c r="B538" s="294"/>
      <c r="C538" s="294"/>
      <c r="D538" s="294"/>
      <c r="E538" s="295"/>
      <c r="F538" s="294"/>
      <c r="G538" s="295"/>
      <c r="H538" s="295"/>
      <c r="P538" s="295"/>
      <c r="W538" s="295"/>
      <c r="AD538" s="295"/>
      <c r="AK538" s="295"/>
      <c r="BR538" s="188"/>
      <c r="BT538" s="296"/>
      <c r="BU538" s="296"/>
      <c r="BV538" s="296"/>
    </row>
    <row r="539" spans="2:74" ht="13">
      <c r="B539" s="294"/>
      <c r="C539" s="294"/>
      <c r="D539" s="294"/>
      <c r="E539" s="295"/>
      <c r="F539" s="294"/>
      <c r="G539" s="295"/>
      <c r="H539" s="295"/>
      <c r="P539" s="295"/>
      <c r="W539" s="295"/>
      <c r="AD539" s="295"/>
      <c r="AK539" s="295"/>
      <c r="BR539" s="188"/>
      <c r="BT539" s="296"/>
      <c r="BU539" s="296"/>
      <c r="BV539" s="296"/>
    </row>
    <row r="540" spans="2:74" ht="13">
      <c r="B540" s="294"/>
      <c r="C540" s="294"/>
      <c r="D540" s="294"/>
      <c r="E540" s="295"/>
      <c r="F540" s="294"/>
      <c r="G540" s="295"/>
      <c r="H540" s="295"/>
      <c r="P540" s="295"/>
      <c r="W540" s="295"/>
      <c r="AD540" s="295"/>
      <c r="AK540" s="295"/>
      <c r="BR540" s="188"/>
      <c r="BT540" s="296"/>
      <c r="BU540" s="296"/>
      <c r="BV540" s="296"/>
    </row>
    <row r="541" spans="2:74" ht="13">
      <c r="B541" s="294"/>
      <c r="C541" s="294"/>
      <c r="D541" s="294"/>
      <c r="E541" s="295"/>
      <c r="F541" s="294"/>
      <c r="G541" s="295"/>
      <c r="H541" s="295"/>
      <c r="P541" s="295"/>
      <c r="W541" s="295"/>
      <c r="AD541" s="295"/>
      <c r="AK541" s="295"/>
      <c r="BR541" s="188"/>
      <c r="BT541" s="296"/>
      <c r="BU541" s="296"/>
      <c r="BV541" s="296"/>
    </row>
    <row r="542" spans="2:74" ht="13">
      <c r="B542" s="294"/>
      <c r="C542" s="294"/>
      <c r="D542" s="294"/>
      <c r="E542" s="295"/>
      <c r="F542" s="294"/>
      <c r="G542" s="295"/>
      <c r="H542" s="295"/>
      <c r="P542" s="295"/>
      <c r="W542" s="295"/>
      <c r="AD542" s="295"/>
      <c r="AK542" s="295"/>
      <c r="BR542" s="188"/>
      <c r="BT542" s="296"/>
      <c r="BU542" s="296"/>
      <c r="BV542" s="296"/>
    </row>
    <row r="543" spans="2:74" ht="13">
      <c r="B543" s="294"/>
      <c r="C543" s="294"/>
      <c r="D543" s="294"/>
      <c r="E543" s="295"/>
      <c r="F543" s="294"/>
      <c r="G543" s="295"/>
      <c r="H543" s="295"/>
      <c r="P543" s="295"/>
      <c r="W543" s="295"/>
      <c r="AD543" s="295"/>
      <c r="AK543" s="295"/>
      <c r="BR543" s="188"/>
      <c r="BT543" s="296"/>
      <c r="BU543" s="296"/>
      <c r="BV543" s="296"/>
    </row>
    <row r="544" spans="2:74" ht="13">
      <c r="B544" s="294"/>
      <c r="C544" s="294"/>
      <c r="D544" s="294"/>
      <c r="E544" s="295"/>
      <c r="F544" s="294"/>
      <c r="G544" s="295"/>
      <c r="H544" s="295"/>
      <c r="P544" s="295"/>
      <c r="W544" s="295"/>
      <c r="AD544" s="295"/>
      <c r="AK544" s="295"/>
      <c r="BR544" s="188"/>
      <c r="BT544" s="296"/>
      <c r="BU544" s="296"/>
      <c r="BV544" s="296"/>
    </row>
    <row r="545" spans="2:74" ht="13">
      <c r="B545" s="294"/>
      <c r="C545" s="294"/>
      <c r="D545" s="294"/>
      <c r="E545" s="295"/>
      <c r="F545" s="294"/>
      <c r="G545" s="295"/>
      <c r="H545" s="295"/>
      <c r="P545" s="295"/>
      <c r="W545" s="295"/>
      <c r="AD545" s="295"/>
      <c r="AK545" s="295"/>
      <c r="BR545" s="188"/>
      <c r="BT545" s="296"/>
      <c r="BU545" s="296"/>
      <c r="BV545" s="296"/>
    </row>
    <row r="546" spans="2:74" ht="13">
      <c r="B546" s="294"/>
      <c r="C546" s="294"/>
      <c r="D546" s="294"/>
      <c r="E546" s="295"/>
      <c r="F546" s="294"/>
      <c r="G546" s="295"/>
      <c r="H546" s="295"/>
      <c r="P546" s="295"/>
      <c r="W546" s="295"/>
      <c r="AD546" s="295"/>
      <c r="AK546" s="295"/>
      <c r="BR546" s="188"/>
      <c r="BT546" s="296"/>
      <c r="BU546" s="296"/>
      <c r="BV546" s="296"/>
    </row>
    <row r="547" spans="2:74" ht="13">
      <c r="B547" s="294"/>
      <c r="C547" s="294"/>
      <c r="D547" s="294"/>
      <c r="E547" s="295"/>
      <c r="F547" s="294"/>
      <c r="G547" s="295"/>
      <c r="H547" s="295"/>
      <c r="P547" s="295"/>
      <c r="W547" s="295"/>
      <c r="AD547" s="295"/>
      <c r="AK547" s="295"/>
      <c r="BR547" s="188"/>
      <c r="BT547" s="296"/>
      <c r="BU547" s="296"/>
      <c r="BV547" s="296"/>
    </row>
    <row r="548" spans="2:74" ht="13">
      <c r="B548" s="294"/>
      <c r="C548" s="294"/>
      <c r="D548" s="294"/>
      <c r="E548" s="295"/>
      <c r="F548" s="294"/>
      <c r="G548" s="295"/>
      <c r="H548" s="295"/>
      <c r="P548" s="295"/>
      <c r="W548" s="295"/>
      <c r="AD548" s="295"/>
      <c r="AK548" s="295"/>
      <c r="BR548" s="188"/>
      <c r="BT548" s="296"/>
      <c r="BU548" s="296"/>
      <c r="BV548" s="296"/>
    </row>
    <row r="549" spans="2:74" ht="13">
      <c r="B549" s="294"/>
      <c r="C549" s="294"/>
      <c r="D549" s="294"/>
      <c r="E549" s="295"/>
      <c r="F549" s="294"/>
      <c r="G549" s="295"/>
      <c r="H549" s="295"/>
      <c r="P549" s="295"/>
      <c r="W549" s="295"/>
      <c r="AD549" s="295"/>
      <c r="AK549" s="295"/>
      <c r="BR549" s="188"/>
      <c r="BT549" s="296"/>
      <c r="BU549" s="296"/>
      <c r="BV549" s="296"/>
    </row>
    <row r="550" spans="2:74" ht="13">
      <c r="B550" s="294"/>
      <c r="C550" s="294"/>
      <c r="D550" s="294"/>
      <c r="E550" s="295"/>
      <c r="F550" s="294"/>
      <c r="G550" s="295"/>
      <c r="H550" s="295"/>
      <c r="P550" s="295"/>
      <c r="W550" s="295"/>
      <c r="AD550" s="295"/>
      <c r="AK550" s="295"/>
      <c r="BR550" s="188"/>
      <c r="BT550" s="296"/>
      <c r="BU550" s="296"/>
      <c r="BV550" s="296"/>
    </row>
    <row r="551" spans="2:74" ht="13">
      <c r="B551" s="294"/>
      <c r="C551" s="294"/>
      <c r="D551" s="294"/>
      <c r="E551" s="295"/>
      <c r="F551" s="294"/>
      <c r="G551" s="295"/>
      <c r="H551" s="295"/>
      <c r="P551" s="295"/>
      <c r="W551" s="295"/>
      <c r="AD551" s="295"/>
      <c r="AK551" s="295"/>
      <c r="BR551" s="188"/>
      <c r="BT551" s="296"/>
      <c r="BU551" s="296"/>
      <c r="BV551" s="296"/>
    </row>
    <row r="552" spans="2:74" ht="13">
      <c r="B552" s="294"/>
      <c r="C552" s="294"/>
      <c r="D552" s="294"/>
      <c r="E552" s="295"/>
      <c r="F552" s="294"/>
      <c r="G552" s="295"/>
      <c r="H552" s="295"/>
      <c r="P552" s="295"/>
      <c r="W552" s="295"/>
      <c r="AD552" s="295"/>
      <c r="AK552" s="295"/>
      <c r="BR552" s="188"/>
      <c r="BT552" s="296"/>
      <c r="BU552" s="296"/>
      <c r="BV552" s="296"/>
    </row>
    <row r="553" spans="2:74" ht="13">
      <c r="B553" s="294"/>
      <c r="C553" s="294"/>
      <c r="D553" s="294"/>
      <c r="E553" s="295"/>
      <c r="F553" s="294"/>
      <c r="G553" s="295"/>
      <c r="H553" s="295"/>
      <c r="P553" s="295"/>
      <c r="W553" s="295"/>
      <c r="AD553" s="295"/>
      <c r="AK553" s="295"/>
      <c r="BR553" s="188"/>
      <c r="BT553" s="296"/>
      <c r="BU553" s="296"/>
      <c r="BV553" s="296"/>
    </row>
    <row r="554" spans="2:74" ht="13">
      <c r="B554" s="294"/>
      <c r="C554" s="294"/>
      <c r="D554" s="294"/>
      <c r="E554" s="295"/>
      <c r="F554" s="294"/>
      <c r="G554" s="295"/>
      <c r="H554" s="295"/>
      <c r="P554" s="295"/>
      <c r="W554" s="295"/>
      <c r="AD554" s="295"/>
      <c r="AK554" s="295"/>
      <c r="BR554" s="188"/>
      <c r="BT554" s="296"/>
      <c r="BU554" s="296"/>
      <c r="BV554" s="296"/>
    </row>
    <row r="555" spans="2:74" ht="13">
      <c r="B555" s="294"/>
      <c r="C555" s="294"/>
      <c r="D555" s="294"/>
      <c r="E555" s="295"/>
      <c r="F555" s="294"/>
      <c r="G555" s="295"/>
      <c r="H555" s="295"/>
      <c r="P555" s="295"/>
      <c r="W555" s="295"/>
      <c r="AD555" s="295"/>
      <c r="AK555" s="295"/>
      <c r="BR555" s="188"/>
      <c r="BT555" s="296"/>
      <c r="BU555" s="296"/>
      <c r="BV555" s="296"/>
    </row>
    <row r="556" spans="2:74" ht="13">
      <c r="B556" s="294"/>
      <c r="C556" s="294"/>
      <c r="D556" s="294"/>
      <c r="E556" s="295"/>
      <c r="F556" s="294"/>
      <c r="G556" s="295"/>
      <c r="H556" s="295"/>
      <c r="P556" s="295"/>
      <c r="W556" s="295"/>
      <c r="AD556" s="295"/>
      <c r="AK556" s="295"/>
      <c r="BR556" s="188"/>
      <c r="BT556" s="296"/>
      <c r="BU556" s="296"/>
      <c r="BV556" s="296"/>
    </row>
    <row r="557" spans="2:74" ht="13">
      <c r="B557" s="294"/>
      <c r="C557" s="294"/>
      <c r="D557" s="294"/>
      <c r="E557" s="295"/>
      <c r="F557" s="294"/>
      <c r="G557" s="295"/>
      <c r="H557" s="295"/>
      <c r="P557" s="295"/>
      <c r="W557" s="295"/>
      <c r="AD557" s="295"/>
      <c r="AK557" s="295"/>
      <c r="BR557" s="188"/>
      <c r="BT557" s="296"/>
      <c r="BU557" s="296"/>
      <c r="BV557" s="296"/>
    </row>
    <row r="558" spans="2:74" ht="13">
      <c r="B558" s="294"/>
      <c r="C558" s="294"/>
      <c r="D558" s="294"/>
      <c r="E558" s="295"/>
      <c r="F558" s="294"/>
      <c r="G558" s="295"/>
      <c r="H558" s="295"/>
      <c r="P558" s="295"/>
      <c r="W558" s="295"/>
      <c r="AD558" s="295"/>
      <c r="AK558" s="295"/>
      <c r="BR558" s="188"/>
      <c r="BT558" s="296"/>
      <c r="BU558" s="296"/>
      <c r="BV558" s="296"/>
    </row>
    <row r="559" spans="2:74" ht="13">
      <c r="B559" s="294"/>
      <c r="C559" s="294"/>
      <c r="D559" s="294"/>
      <c r="E559" s="295"/>
      <c r="F559" s="294"/>
      <c r="G559" s="295"/>
      <c r="H559" s="295"/>
      <c r="P559" s="295"/>
      <c r="W559" s="295"/>
      <c r="AD559" s="295"/>
      <c r="AK559" s="295"/>
      <c r="BR559" s="188"/>
      <c r="BT559" s="296"/>
      <c r="BU559" s="296"/>
      <c r="BV559" s="296"/>
    </row>
    <row r="560" spans="2:74" ht="13">
      <c r="B560" s="294"/>
      <c r="C560" s="294"/>
      <c r="D560" s="294"/>
      <c r="E560" s="295"/>
      <c r="F560" s="294"/>
      <c r="G560" s="295"/>
      <c r="H560" s="295"/>
      <c r="P560" s="295"/>
      <c r="W560" s="295"/>
      <c r="AD560" s="295"/>
      <c r="AK560" s="295"/>
      <c r="BR560" s="188"/>
      <c r="BT560" s="296"/>
      <c r="BU560" s="296"/>
      <c r="BV560" s="296"/>
    </row>
    <row r="561" spans="2:74" ht="13">
      <c r="B561" s="294"/>
      <c r="C561" s="294"/>
      <c r="D561" s="294"/>
      <c r="E561" s="295"/>
      <c r="F561" s="294"/>
      <c r="G561" s="295"/>
      <c r="H561" s="295"/>
      <c r="P561" s="295"/>
      <c r="W561" s="295"/>
      <c r="AD561" s="295"/>
      <c r="AK561" s="295"/>
      <c r="BR561" s="188"/>
      <c r="BT561" s="296"/>
      <c r="BU561" s="296"/>
      <c r="BV561" s="296"/>
    </row>
    <row r="562" spans="2:74" ht="13">
      <c r="B562" s="294"/>
      <c r="C562" s="294"/>
      <c r="D562" s="294"/>
      <c r="E562" s="295"/>
      <c r="F562" s="294"/>
      <c r="G562" s="295"/>
      <c r="H562" s="295"/>
      <c r="P562" s="295"/>
      <c r="W562" s="295"/>
      <c r="AD562" s="295"/>
      <c r="AK562" s="295"/>
      <c r="BR562" s="188"/>
      <c r="BT562" s="296"/>
      <c r="BU562" s="296"/>
      <c r="BV562" s="296"/>
    </row>
    <row r="563" spans="2:74" ht="13">
      <c r="B563" s="294"/>
      <c r="C563" s="294"/>
      <c r="D563" s="294"/>
      <c r="E563" s="295"/>
      <c r="F563" s="294"/>
      <c r="G563" s="295"/>
      <c r="H563" s="295"/>
      <c r="P563" s="295"/>
      <c r="W563" s="295"/>
      <c r="AD563" s="295"/>
      <c r="AK563" s="295"/>
      <c r="BR563" s="188"/>
      <c r="BT563" s="296"/>
      <c r="BU563" s="296"/>
      <c r="BV563" s="296"/>
    </row>
    <row r="564" spans="2:74" ht="13">
      <c r="B564" s="294"/>
      <c r="C564" s="294"/>
      <c r="D564" s="294"/>
      <c r="E564" s="295"/>
      <c r="F564" s="294"/>
      <c r="G564" s="295"/>
      <c r="H564" s="295"/>
      <c r="P564" s="295"/>
      <c r="W564" s="295"/>
      <c r="AD564" s="295"/>
      <c r="AK564" s="295"/>
      <c r="BR564" s="188"/>
      <c r="BT564" s="296"/>
      <c r="BU564" s="296"/>
      <c r="BV564" s="296"/>
    </row>
    <row r="565" spans="2:74" ht="13">
      <c r="B565" s="294"/>
      <c r="C565" s="294"/>
      <c r="D565" s="294"/>
      <c r="E565" s="295"/>
      <c r="F565" s="294"/>
      <c r="G565" s="295"/>
      <c r="H565" s="295"/>
      <c r="P565" s="295"/>
      <c r="W565" s="295"/>
      <c r="AD565" s="295"/>
      <c r="AK565" s="295"/>
      <c r="BR565" s="188"/>
      <c r="BT565" s="296"/>
      <c r="BU565" s="296"/>
      <c r="BV565" s="296"/>
    </row>
    <row r="566" spans="2:74" ht="13">
      <c r="B566" s="294"/>
      <c r="C566" s="294"/>
      <c r="D566" s="294"/>
      <c r="E566" s="295"/>
      <c r="F566" s="294"/>
      <c r="G566" s="295"/>
      <c r="H566" s="295"/>
      <c r="P566" s="295"/>
      <c r="W566" s="295"/>
      <c r="AD566" s="295"/>
      <c r="AK566" s="295"/>
      <c r="BR566" s="188"/>
      <c r="BT566" s="296"/>
      <c r="BU566" s="296"/>
      <c r="BV566" s="296"/>
    </row>
    <row r="567" spans="2:74" ht="13">
      <c r="B567" s="294"/>
      <c r="C567" s="294"/>
      <c r="D567" s="294"/>
      <c r="E567" s="295"/>
      <c r="F567" s="294"/>
      <c r="G567" s="295"/>
      <c r="H567" s="295"/>
      <c r="P567" s="295"/>
      <c r="W567" s="295"/>
      <c r="AD567" s="295"/>
      <c r="AK567" s="295"/>
      <c r="BR567" s="188"/>
      <c r="BT567" s="296"/>
      <c r="BU567" s="296"/>
      <c r="BV567" s="296"/>
    </row>
    <row r="568" spans="2:74" ht="13">
      <c r="B568" s="294"/>
      <c r="C568" s="294"/>
      <c r="D568" s="294"/>
      <c r="E568" s="295"/>
      <c r="F568" s="294"/>
      <c r="G568" s="295"/>
      <c r="H568" s="295"/>
      <c r="P568" s="295"/>
      <c r="W568" s="295"/>
      <c r="AD568" s="295"/>
      <c r="AK568" s="295"/>
      <c r="BR568" s="188"/>
      <c r="BT568" s="296"/>
      <c r="BU568" s="296"/>
      <c r="BV568" s="296"/>
    </row>
    <row r="569" spans="2:74" ht="13">
      <c r="B569" s="294"/>
      <c r="C569" s="294"/>
      <c r="D569" s="294"/>
      <c r="E569" s="295"/>
      <c r="F569" s="294"/>
      <c r="G569" s="295"/>
      <c r="H569" s="295"/>
      <c r="P569" s="295"/>
      <c r="W569" s="295"/>
      <c r="AD569" s="295"/>
      <c r="AK569" s="295"/>
      <c r="BR569" s="188"/>
      <c r="BT569" s="296"/>
      <c r="BU569" s="296"/>
      <c r="BV569" s="296"/>
    </row>
    <row r="570" spans="2:74" ht="13">
      <c r="B570" s="294"/>
      <c r="C570" s="294"/>
      <c r="D570" s="294"/>
      <c r="E570" s="295"/>
      <c r="F570" s="294"/>
      <c r="G570" s="295"/>
      <c r="H570" s="295"/>
      <c r="P570" s="295"/>
      <c r="W570" s="295"/>
      <c r="AD570" s="295"/>
      <c r="AK570" s="295"/>
      <c r="BR570" s="188"/>
      <c r="BT570" s="296"/>
      <c r="BU570" s="296"/>
      <c r="BV570" s="296"/>
    </row>
    <row r="571" spans="2:74" ht="13">
      <c r="B571" s="294"/>
      <c r="C571" s="294"/>
      <c r="D571" s="294"/>
      <c r="E571" s="295"/>
      <c r="F571" s="294"/>
      <c r="G571" s="295"/>
      <c r="H571" s="295"/>
      <c r="P571" s="295"/>
      <c r="W571" s="295"/>
      <c r="AD571" s="295"/>
      <c r="AK571" s="295"/>
      <c r="BR571" s="188"/>
      <c r="BT571" s="296"/>
      <c r="BU571" s="296"/>
      <c r="BV571" s="296"/>
    </row>
    <row r="572" spans="2:74" ht="13">
      <c r="B572" s="294"/>
      <c r="C572" s="294"/>
      <c r="D572" s="294"/>
      <c r="E572" s="295"/>
      <c r="F572" s="294"/>
      <c r="G572" s="295"/>
      <c r="H572" s="295"/>
      <c r="P572" s="295"/>
      <c r="W572" s="295"/>
      <c r="AD572" s="295"/>
      <c r="AK572" s="295"/>
      <c r="BR572" s="188"/>
      <c r="BT572" s="296"/>
      <c r="BU572" s="296"/>
      <c r="BV572" s="296"/>
    </row>
    <row r="573" spans="2:74" ht="13">
      <c r="B573" s="294"/>
      <c r="C573" s="294"/>
      <c r="D573" s="294"/>
      <c r="E573" s="295"/>
      <c r="F573" s="294"/>
      <c r="G573" s="295"/>
      <c r="H573" s="295"/>
      <c r="P573" s="295"/>
      <c r="W573" s="295"/>
      <c r="AD573" s="295"/>
      <c r="AK573" s="295"/>
      <c r="BR573" s="188"/>
      <c r="BT573" s="296"/>
      <c r="BU573" s="296"/>
      <c r="BV573" s="296"/>
    </row>
    <row r="574" spans="2:74" ht="13">
      <c r="B574" s="294"/>
      <c r="C574" s="294"/>
      <c r="D574" s="294"/>
      <c r="E574" s="295"/>
      <c r="F574" s="294"/>
      <c r="G574" s="295"/>
      <c r="H574" s="295"/>
      <c r="P574" s="295"/>
      <c r="W574" s="295"/>
      <c r="AD574" s="295"/>
      <c r="AK574" s="295"/>
      <c r="BR574" s="188"/>
      <c r="BT574" s="296"/>
      <c r="BU574" s="296"/>
      <c r="BV574" s="296"/>
    </row>
    <row r="575" spans="2:74" ht="13">
      <c r="B575" s="294"/>
      <c r="C575" s="294"/>
      <c r="D575" s="294"/>
      <c r="E575" s="295"/>
      <c r="F575" s="294"/>
      <c r="G575" s="295"/>
      <c r="H575" s="295"/>
      <c r="P575" s="295"/>
      <c r="W575" s="295"/>
      <c r="AD575" s="295"/>
      <c r="AK575" s="295"/>
      <c r="BR575" s="188"/>
      <c r="BT575" s="296"/>
      <c r="BU575" s="296"/>
      <c r="BV575" s="296"/>
    </row>
    <row r="576" spans="2:74" ht="13">
      <c r="B576" s="294"/>
      <c r="C576" s="294"/>
      <c r="D576" s="294"/>
      <c r="E576" s="295"/>
      <c r="F576" s="294"/>
      <c r="G576" s="295"/>
      <c r="H576" s="295"/>
      <c r="P576" s="295"/>
      <c r="W576" s="295"/>
      <c r="AD576" s="295"/>
      <c r="AK576" s="295"/>
      <c r="BR576" s="188"/>
      <c r="BT576" s="296"/>
      <c r="BU576" s="296"/>
      <c r="BV576" s="296"/>
    </row>
    <row r="577" spans="2:74" ht="13">
      <c r="B577" s="294"/>
      <c r="C577" s="294"/>
      <c r="D577" s="294"/>
      <c r="E577" s="295"/>
      <c r="F577" s="294"/>
      <c r="G577" s="295"/>
      <c r="H577" s="295"/>
      <c r="P577" s="295"/>
      <c r="W577" s="295"/>
      <c r="AD577" s="295"/>
      <c r="AK577" s="295"/>
      <c r="BR577" s="188"/>
      <c r="BT577" s="296"/>
      <c r="BU577" s="296"/>
      <c r="BV577" s="296"/>
    </row>
    <row r="578" spans="2:74" ht="13">
      <c r="B578" s="294"/>
      <c r="C578" s="294"/>
      <c r="D578" s="294"/>
      <c r="E578" s="295"/>
      <c r="F578" s="294"/>
      <c r="G578" s="295"/>
      <c r="H578" s="295"/>
      <c r="P578" s="295"/>
      <c r="W578" s="295"/>
      <c r="AD578" s="295"/>
      <c r="AK578" s="295"/>
      <c r="BR578" s="188"/>
      <c r="BT578" s="296"/>
      <c r="BU578" s="296"/>
      <c r="BV578" s="296"/>
    </row>
    <row r="579" spans="2:74" ht="13">
      <c r="B579" s="294"/>
      <c r="C579" s="294"/>
      <c r="D579" s="294"/>
      <c r="E579" s="295"/>
      <c r="F579" s="294"/>
      <c r="G579" s="295"/>
      <c r="H579" s="295"/>
      <c r="P579" s="295"/>
      <c r="W579" s="295"/>
      <c r="AD579" s="295"/>
      <c r="AK579" s="295"/>
      <c r="BR579" s="188"/>
      <c r="BT579" s="296"/>
      <c r="BU579" s="296"/>
      <c r="BV579" s="296"/>
    </row>
    <row r="580" spans="2:74" ht="13">
      <c r="B580" s="294"/>
      <c r="C580" s="294"/>
      <c r="D580" s="294"/>
      <c r="E580" s="295"/>
      <c r="F580" s="294"/>
      <c r="G580" s="295"/>
      <c r="H580" s="295"/>
      <c r="P580" s="295"/>
      <c r="W580" s="295"/>
      <c r="AD580" s="295"/>
      <c r="AK580" s="295"/>
      <c r="BR580" s="188"/>
      <c r="BT580" s="296"/>
      <c r="BU580" s="296"/>
      <c r="BV580" s="296"/>
    </row>
    <row r="581" spans="2:74" ht="13">
      <c r="B581" s="294"/>
      <c r="C581" s="294"/>
      <c r="D581" s="294"/>
      <c r="E581" s="295"/>
      <c r="F581" s="294"/>
      <c r="G581" s="295"/>
      <c r="H581" s="295"/>
      <c r="P581" s="295"/>
      <c r="W581" s="295"/>
      <c r="AD581" s="295"/>
      <c r="AK581" s="295"/>
      <c r="BR581" s="188"/>
      <c r="BT581" s="296"/>
      <c r="BU581" s="296"/>
      <c r="BV581" s="296"/>
    </row>
    <row r="582" spans="2:74" ht="13">
      <c r="B582" s="294"/>
      <c r="C582" s="294"/>
      <c r="D582" s="294"/>
      <c r="E582" s="295"/>
      <c r="F582" s="294"/>
      <c r="G582" s="295"/>
      <c r="H582" s="295"/>
      <c r="P582" s="295"/>
      <c r="W582" s="295"/>
      <c r="AD582" s="295"/>
      <c r="AK582" s="295"/>
      <c r="BR582" s="188"/>
      <c r="BT582" s="296"/>
      <c r="BU582" s="296"/>
      <c r="BV582" s="296"/>
    </row>
    <row r="583" spans="2:74" ht="13">
      <c r="B583" s="294"/>
      <c r="C583" s="294"/>
      <c r="D583" s="294"/>
      <c r="E583" s="295"/>
      <c r="F583" s="294"/>
      <c r="G583" s="295"/>
      <c r="H583" s="295"/>
      <c r="P583" s="295"/>
      <c r="W583" s="295"/>
      <c r="AD583" s="295"/>
      <c r="AK583" s="295"/>
      <c r="BR583" s="188"/>
      <c r="BT583" s="296"/>
      <c r="BU583" s="296"/>
      <c r="BV583" s="296"/>
    </row>
    <row r="584" spans="2:74" ht="13">
      <c r="B584" s="294"/>
      <c r="C584" s="294"/>
      <c r="D584" s="294"/>
      <c r="E584" s="295"/>
      <c r="F584" s="294"/>
      <c r="G584" s="295"/>
      <c r="H584" s="295"/>
      <c r="P584" s="295"/>
      <c r="W584" s="295"/>
      <c r="AD584" s="295"/>
      <c r="AK584" s="295"/>
      <c r="BR584" s="188"/>
      <c r="BT584" s="296"/>
      <c r="BU584" s="296"/>
      <c r="BV584" s="296"/>
    </row>
    <row r="585" spans="2:74" ht="13">
      <c r="B585" s="294"/>
      <c r="C585" s="294"/>
      <c r="D585" s="294"/>
      <c r="E585" s="295"/>
      <c r="F585" s="294"/>
      <c r="G585" s="295"/>
      <c r="H585" s="295"/>
      <c r="P585" s="295"/>
      <c r="W585" s="295"/>
      <c r="AD585" s="295"/>
      <c r="AK585" s="295"/>
      <c r="BR585" s="188"/>
      <c r="BT585" s="296"/>
      <c r="BU585" s="296"/>
      <c r="BV585" s="296"/>
    </row>
    <row r="586" spans="2:74" ht="13">
      <c r="B586" s="294"/>
      <c r="C586" s="294"/>
      <c r="D586" s="294"/>
      <c r="E586" s="295"/>
      <c r="F586" s="294"/>
      <c r="G586" s="295"/>
      <c r="H586" s="295"/>
      <c r="P586" s="295"/>
      <c r="W586" s="295"/>
      <c r="AD586" s="295"/>
      <c r="AK586" s="295"/>
      <c r="BR586" s="188"/>
      <c r="BT586" s="296"/>
      <c r="BU586" s="296"/>
      <c r="BV586" s="296"/>
    </row>
    <row r="587" spans="2:74" ht="13">
      <c r="B587" s="294"/>
      <c r="C587" s="294"/>
      <c r="D587" s="294"/>
      <c r="E587" s="295"/>
      <c r="F587" s="294"/>
      <c r="G587" s="295"/>
      <c r="H587" s="295"/>
      <c r="P587" s="295"/>
      <c r="W587" s="295"/>
      <c r="AD587" s="295"/>
      <c r="AK587" s="295"/>
      <c r="BR587" s="188"/>
      <c r="BT587" s="296"/>
      <c r="BU587" s="296"/>
      <c r="BV587" s="296"/>
    </row>
    <row r="588" spans="2:74" ht="13">
      <c r="B588" s="294"/>
      <c r="C588" s="294"/>
      <c r="D588" s="294"/>
      <c r="E588" s="295"/>
      <c r="F588" s="294"/>
      <c r="G588" s="295"/>
      <c r="H588" s="295"/>
      <c r="P588" s="295"/>
      <c r="W588" s="295"/>
      <c r="AD588" s="295"/>
      <c r="AK588" s="295"/>
      <c r="BR588" s="188"/>
      <c r="BT588" s="296"/>
      <c r="BU588" s="296"/>
      <c r="BV588" s="296"/>
    </row>
    <row r="589" spans="2:74" ht="13">
      <c r="B589" s="294"/>
      <c r="C589" s="294"/>
      <c r="D589" s="294"/>
      <c r="E589" s="295"/>
      <c r="F589" s="294"/>
      <c r="G589" s="295"/>
      <c r="H589" s="295"/>
      <c r="P589" s="295"/>
      <c r="W589" s="295"/>
      <c r="AD589" s="295"/>
      <c r="AK589" s="295"/>
      <c r="BR589" s="188"/>
      <c r="BT589" s="296"/>
      <c r="BU589" s="296"/>
      <c r="BV589" s="296"/>
    </row>
    <row r="590" spans="2:74" ht="13">
      <c r="B590" s="294"/>
      <c r="C590" s="294"/>
      <c r="D590" s="294"/>
      <c r="E590" s="295"/>
      <c r="F590" s="294"/>
      <c r="G590" s="295"/>
      <c r="H590" s="295"/>
      <c r="P590" s="295"/>
      <c r="W590" s="295"/>
      <c r="AD590" s="295"/>
      <c r="AK590" s="295"/>
      <c r="BR590" s="188"/>
      <c r="BT590" s="296"/>
      <c r="BU590" s="296"/>
      <c r="BV590" s="296"/>
    </row>
    <row r="591" spans="2:74" ht="13">
      <c r="B591" s="294"/>
      <c r="C591" s="294"/>
      <c r="D591" s="294"/>
      <c r="E591" s="295"/>
      <c r="F591" s="294"/>
      <c r="G591" s="295"/>
      <c r="H591" s="295"/>
      <c r="P591" s="295"/>
      <c r="W591" s="295"/>
      <c r="AD591" s="295"/>
      <c r="AK591" s="295"/>
      <c r="BR591" s="188"/>
      <c r="BT591" s="296"/>
      <c r="BU591" s="296"/>
      <c r="BV591" s="296"/>
    </row>
    <row r="592" spans="2:74" ht="13">
      <c r="B592" s="294"/>
      <c r="C592" s="294"/>
      <c r="D592" s="294"/>
      <c r="E592" s="295"/>
      <c r="F592" s="294"/>
      <c r="G592" s="295"/>
      <c r="H592" s="295"/>
      <c r="P592" s="295"/>
      <c r="W592" s="295"/>
      <c r="AD592" s="295"/>
      <c r="AK592" s="295"/>
      <c r="BR592" s="188"/>
      <c r="BT592" s="296"/>
      <c r="BU592" s="296"/>
      <c r="BV592" s="296"/>
    </row>
    <row r="593" spans="2:74" ht="13">
      <c r="B593" s="294"/>
      <c r="C593" s="294"/>
      <c r="D593" s="294"/>
      <c r="E593" s="295"/>
      <c r="F593" s="294"/>
      <c r="G593" s="295"/>
      <c r="H593" s="295"/>
      <c r="P593" s="295"/>
      <c r="W593" s="295"/>
      <c r="AD593" s="295"/>
      <c r="AK593" s="295"/>
      <c r="BR593" s="188"/>
      <c r="BT593" s="296"/>
      <c r="BU593" s="296"/>
      <c r="BV593" s="296"/>
    </row>
    <row r="594" spans="2:74" ht="13">
      <c r="B594" s="294"/>
      <c r="C594" s="294"/>
      <c r="D594" s="294"/>
      <c r="E594" s="295"/>
      <c r="F594" s="294"/>
      <c r="G594" s="295"/>
      <c r="H594" s="295"/>
      <c r="P594" s="295"/>
      <c r="W594" s="295"/>
      <c r="AD594" s="295"/>
      <c r="AK594" s="295"/>
      <c r="BR594" s="188"/>
      <c r="BT594" s="296"/>
      <c r="BU594" s="296"/>
      <c r="BV594" s="296"/>
    </row>
    <row r="595" spans="2:74" ht="13">
      <c r="B595" s="294"/>
      <c r="C595" s="294"/>
      <c r="D595" s="294"/>
      <c r="E595" s="295"/>
      <c r="F595" s="294"/>
      <c r="G595" s="295"/>
      <c r="H595" s="295"/>
      <c r="P595" s="295"/>
      <c r="W595" s="295"/>
      <c r="AD595" s="295"/>
      <c r="AK595" s="295"/>
      <c r="BR595" s="188"/>
      <c r="BT595" s="296"/>
      <c r="BU595" s="296"/>
      <c r="BV595" s="296"/>
    </row>
    <row r="596" spans="2:74" ht="13">
      <c r="B596" s="294"/>
      <c r="C596" s="294"/>
      <c r="D596" s="294"/>
      <c r="E596" s="295"/>
      <c r="F596" s="294"/>
      <c r="G596" s="295"/>
      <c r="H596" s="295"/>
      <c r="P596" s="295"/>
      <c r="W596" s="295"/>
      <c r="AD596" s="295"/>
      <c r="AK596" s="295"/>
      <c r="BR596" s="188"/>
      <c r="BT596" s="296"/>
      <c r="BU596" s="296"/>
      <c r="BV596" s="296"/>
    </row>
    <row r="597" spans="2:74" ht="13">
      <c r="B597" s="294"/>
      <c r="C597" s="294"/>
      <c r="D597" s="294"/>
      <c r="E597" s="295"/>
      <c r="F597" s="294"/>
      <c r="G597" s="295"/>
      <c r="H597" s="295"/>
      <c r="P597" s="295"/>
      <c r="W597" s="295"/>
      <c r="AD597" s="295"/>
      <c r="AK597" s="295"/>
      <c r="BR597" s="188"/>
      <c r="BT597" s="296"/>
      <c r="BU597" s="296"/>
      <c r="BV597" s="296"/>
    </row>
    <row r="598" spans="2:74" ht="13">
      <c r="B598" s="294"/>
      <c r="C598" s="294"/>
      <c r="D598" s="294"/>
      <c r="E598" s="295"/>
      <c r="F598" s="294"/>
      <c r="G598" s="295"/>
      <c r="H598" s="295"/>
      <c r="P598" s="295"/>
      <c r="W598" s="295"/>
      <c r="AD598" s="295"/>
      <c r="AK598" s="295"/>
      <c r="BR598" s="188"/>
      <c r="BT598" s="296"/>
      <c r="BU598" s="296"/>
      <c r="BV598" s="296"/>
    </row>
    <row r="599" spans="2:74" ht="13">
      <c r="B599" s="294"/>
      <c r="C599" s="294"/>
      <c r="D599" s="294"/>
      <c r="E599" s="295"/>
      <c r="F599" s="294"/>
      <c r="G599" s="295"/>
      <c r="H599" s="295"/>
      <c r="P599" s="295"/>
      <c r="W599" s="295"/>
      <c r="AD599" s="295"/>
      <c r="AK599" s="295"/>
      <c r="BR599" s="188"/>
      <c r="BT599" s="296"/>
      <c r="BU599" s="296"/>
      <c r="BV599" s="296"/>
    </row>
    <row r="600" spans="2:74" ht="13">
      <c r="B600" s="294"/>
      <c r="C600" s="294"/>
      <c r="D600" s="294"/>
      <c r="E600" s="295"/>
      <c r="F600" s="294"/>
      <c r="G600" s="295"/>
      <c r="H600" s="295"/>
      <c r="P600" s="295"/>
      <c r="W600" s="295"/>
      <c r="AD600" s="295"/>
      <c r="AK600" s="295"/>
      <c r="BR600" s="188"/>
      <c r="BT600" s="296"/>
      <c r="BU600" s="296"/>
      <c r="BV600" s="296"/>
    </row>
    <row r="601" spans="2:74" ht="13">
      <c r="B601" s="294"/>
      <c r="C601" s="294"/>
      <c r="D601" s="294"/>
      <c r="E601" s="295"/>
      <c r="F601" s="294"/>
      <c r="G601" s="295"/>
      <c r="H601" s="295"/>
      <c r="P601" s="295"/>
      <c r="W601" s="295"/>
      <c r="AD601" s="295"/>
      <c r="AK601" s="295"/>
      <c r="BR601" s="188"/>
      <c r="BT601" s="296"/>
      <c r="BU601" s="296"/>
      <c r="BV601" s="296"/>
    </row>
    <row r="602" spans="2:74" ht="13">
      <c r="B602" s="294"/>
      <c r="C602" s="294"/>
      <c r="D602" s="294"/>
      <c r="E602" s="295"/>
      <c r="F602" s="294"/>
      <c r="G602" s="295"/>
      <c r="H602" s="295"/>
      <c r="P602" s="295"/>
      <c r="W602" s="295"/>
      <c r="AD602" s="295"/>
      <c r="AK602" s="295"/>
      <c r="BR602" s="188"/>
      <c r="BT602" s="296"/>
      <c r="BU602" s="296"/>
      <c r="BV602" s="296"/>
    </row>
    <row r="603" spans="2:74" ht="13">
      <c r="B603" s="294"/>
      <c r="C603" s="294"/>
      <c r="D603" s="294"/>
      <c r="E603" s="295"/>
      <c r="F603" s="294"/>
      <c r="G603" s="295"/>
      <c r="H603" s="295"/>
      <c r="P603" s="295"/>
      <c r="W603" s="295"/>
      <c r="AD603" s="295"/>
      <c r="AK603" s="295"/>
      <c r="BR603" s="188"/>
      <c r="BT603" s="296"/>
      <c r="BU603" s="296"/>
      <c r="BV603" s="296"/>
    </row>
    <row r="604" spans="2:74" ht="13">
      <c r="B604" s="294"/>
      <c r="C604" s="294"/>
      <c r="D604" s="294"/>
      <c r="E604" s="295"/>
      <c r="F604" s="294"/>
      <c r="G604" s="295"/>
      <c r="H604" s="295"/>
      <c r="P604" s="295"/>
      <c r="W604" s="295"/>
      <c r="AD604" s="295"/>
      <c r="AK604" s="295"/>
      <c r="BR604" s="188"/>
      <c r="BT604" s="296"/>
      <c r="BU604" s="296"/>
      <c r="BV604" s="296"/>
    </row>
    <row r="605" spans="2:74" ht="13">
      <c r="B605" s="294"/>
      <c r="C605" s="294"/>
      <c r="D605" s="294"/>
      <c r="E605" s="295"/>
      <c r="F605" s="294"/>
      <c r="G605" s="295"/>
      <c r="H605" s="295"/>
      <c r="P605" s="295"/>
      <c r="W605" s="295"/>
      <c r="AD605" s="295"/>
      <c r="AK605" s="295"/>
      <c r="BR605" s="188"/>
      <c r="BT605" s="296"/>
      <c r="BU605" s="296"/>
      <c r="BV605" s="296"/>
    </row>
    <row r="606" spans="2:74" ht="13">
      <c r="B606" s="294"/>
      <c r="C606" s="294"/>
      <c r="D606" s="294"/>
      <c r="E606" s="295"/>
      <c r="F606" s="294"/>
      <c r="G606" s="295"/>
      <c r="H606" s="295"/>
      <c r="P606" s="295"/>
      <c r="W606" s="295"/>
      <c r="AD606" s="295"/>
      <c r="AK606" s="295"/>
      <c r="BR606" s="188"/>
      <c r="BT606" s="296"/>
      <c r="BU606" s="296"/>
      <c r="BV606" s="296"/>
    </row>
    <row r="607" spans="2:74" ht="13">
      <c r="B607" s="294"/>
      <c r="C607" s="294"/>
      <c r="D607" s="294"/>
      <c r="E607" s="295"/>
      <c r="F607" s="294"/>
      <c r="G607" s="295"/>
      <c r="H607" s="295"/>
      <c r="P607" s="295"/>
      <c r="W607" s="295"/>
      <c r="AD607" s="295"/>
      <c r="AK607" s="295"/>
      <c r="BR607" s="188"/>
      <c r="BT607" s="296"/>
      <c r="BU607" s="296"/>
      <c r="BV607" s="296"/>
    </row>
    <row r="608" spans="2:74" ht="13">
      <c r="B608" s="294"/>
      <c r="C608" s="294"/>
      <c r="D608" s="294"/>
      <c r="E608" s="295"/>
      <c r="F608" s="294"/>
      <c r="G608" s="295"/>
      <c r="H608" s="295"/>
      <c r="P608" s="295"/>
      <c r="W608" s="295"/>
      <c r="AD608" s="295"/>
      <c r="AK608" s="295"/>
      <c r="BR608" s="188"/>
      <c r="BT608" s="296"/>
      <c r="BU608" s="296"/>
      <c r="BV608" s="296"/>
    </row>
    <row r="609" spans="2:74" ht="13">
      <c r="B609" s="294"/>
      <c r="C609" s="294"/>
      <c r="D609" s="294"/>
      <c r="E609" s="295"/>
      <c r="F609" s="294"/>
      <c r="G609" s="295"/>
      <c r="H609" s="295"/>
      <c r="P609" s="295"/>
      <c r="W609" s="295"/>
      <c r="AD609" s="295"/>
      <c r="AK609" s="295"/>
      <c r="BR609" s="188"/>
      <c r="BT609" s="296"/>
      <c r="BU609" s="296"/>
      <c r="BV609" s="296"/>
    </row>
    <row r="610" spans="2:74" ht="13">
      <c r="B610" s="294"/>
      <c r="C610" s="294"/>
      <c r="D610" s="294"/>
      <c r="E610" s="295"/>
      <c r="F610" s="294"/>
      <c r="G610" s="295"/>
      <c r="H610" s="295"/>
      <c r="P610" s="295"/>
      <c r="W610" s="295"/>
      <c r="AD610" s="295"/>
      <c r="AK610" s="295"/>
      <c r="BR610" s="188"/>
      <c r="BT610" s="296"/>
      <c r="BU610" s="296"/>
      <c r="BV610" s="296"/>
    </row>
    <row r="611" spans="2:74" ht="13">
      <c r="B611" s="294"/>
      <c r="C611" s="294"/>
      <c r="D611" s="294"/>
      <c r="E611" s="295"/>
      <c r="F611" s="294"/>
      <c r="G611" s="295"/>
      <c r="H611" s="295"/>
      <c r="P611" s="295"/>
      <c r="W611" s="295"/>
      <c r="AD611" s="295"/>
      <c r="AK611" s="295"/>
      <c r="BR611" s="188"/>
      <c r="BT611" s="296"/>
      <c r="BU611" s="296"/>
      <c r="BV611" s="296"/>
    </row>
    <row r="612" spans="2:74" ht="13">
      <c r="B612" s="294"/>
      <c r="C612" s="294"/>
      <c r="D612" s="294"/>
      <c r="E612" s="295"/>
      <c r="F612" s="294"/>
      <c r="G612" s="295"/>
      <c r="H612" s="295"/>
      <c r="P612" s="295"/>
      <c r="W612" s="295"/>
      <c r="AD612" s="295"/>
      <c r="AK612" s="295"/>
      <c r="BR612" s="188"/>
      <c r="BT612" s="296"/>
      <c r="BU612" s="296"/>
      <c r="BV612" s="296"/>
    </row>
    <row r="613" spans="2:74" ht="13">
      <c r="B613" s="294"/>
      <c r="C613" s="294"/>
      <c r="D613" s="294"/>
      <c r="E613" s="295"/>
      <c r="F613" s="294"/>
      <c r="G613" s="295"/>
      <c r="H613" s="295"/>
      <c r="P613" s="295"/>
      <c r="W613" s="295"/>
      <c r="AD613" s="295"/>
      <c r="AK613" s="295"/>
      <c r="BR613" s="188"/>
      <c r="BT613" s="296"/>
      <c r="BU613" s="296"/>
      <c r="BV613" s="296"/>
    </row>
    <row r="614" spans="2:74" ht="13">
      <c r="B614" s="294"/>
      <c r="C614" s="294"/>
      <c r="D614" s="294"/>
      <c r="E614" s="295"/>
      <c r="F614" s="294"/>
      <c r="G614" s="295"/>
      <c r="H614" s="295"/>
      <c r="P614" s="295"/>
      <c r="W614" s="295"/>
      <c r="AD614" s="295"/>
      <c r="AK614" s="295"/>
      <c r="BR614" s="188"/>
      <c r="BT614" s="296"/>
      <c r="BU614" s="296"/>
      <c r="BV614" s="296"/>
    </row>
    <row r="615" spans="2:74" ht="13">
      <c r="B615" s="294"/>
      <c r="C615" s="294"/>
      <c r="D615" s="294"/>
      <c r="E615" s="295"/>
      <c r="F615" s="294"/>
      <c r="G615" s="295"/>
      <c r="H615" s="295"/>
      <c r="P615" s="295"/>
      <c r="W615" s="295"/>
      <c r="AD615" s="295"/>
      <c r="AK615" s="295"/>
      <c r="BR615" s="188"/>
      <c r="BT615" s="296"/>
      <c r="BU615" s="296"/>
      <c r="BV615" s="296"/>
    </row>
    <row r="616" spans="2:74" ht="13">
      <c r="B616" s="294"/>
      <c r="C616" s="294"/>
      <c r="D616" s="294"/>
      <c r="E616" s="295"/>
      <c r="F616" s="294"/>
      <c r="G616" s="295"/>
      <c r="H616" s="295"/>
      <c r="P616" s="295"/>
      <c r="W616" s="295"/>
      <c r="AD616" s="295"/>
      <c r="AK616" s="295"/>
      <c r="BR616" s="188"/>
      <c r="BT616" s="296"/>
      <c r="BU616" s="296"/>
      <c r="BV616" s="296"/>
    </row>
    <row r="617" spans="2:74" ht="13">
      <c r="B617" s="294"/>
      <c r="C617" s="294"/>
      <c r="D617" s="294"/>
      <c r="E617" s="295"/>
      <c r="F617" s="294"/>
      <c r="G617" s="295"/>
      <c r="H617" s="295"/>
      <c r="P617" s="295"/>
      <c r="W617" s="295"/>
      <c r="AD617" s="295"/>
      <c r="AK617" s="295"/>
      <c r="BR617" s="188"/>
      <c r="BT617" s="296"/>
      <c r="BU617" s="296"/>
      <c r="BV617" s="296"/>
    </row>
    <row r="618" spans="2:74" ht="13">
      <c r="B618" s="294"/>
      <c r="C618" s="294"/>
      <c r="D618" s="294"/>
      <c r="E618" s="295"/>
      <c r="F618" s="294"/>
      <c r="G618" s="295"/>
      <c r="H618" s="295"/>
      <c r="P618" s="295"/>
      <c r="W618" s="295"/>
      <c r="AD618" s="295"/>
      <c r="AK618" s="295"/>
      <c r="BR618" s="188"/>
      <c r="BT618" s="296"/>
      <c r="BU618" s="296"/>
      <c r="BV618" s="296"/>
    </row>
    <row r="619" spans="2:74" ht="13">
      <c r="B619" s="294"/>
      <c r="C619" s="294"/>
      <c r="D619" s="294"/>
      <c r="E619" s="295"/>
      <c r="F619" s="294"/>
      <c r="G619" s="295"/>
      <c r="H619" s="295"/>
      <c r="P619" s="295"/>
      <c r="W619" s="295"/>
      <c r="AD619" s="295"/>
      <c r="AK619" s="295"/>
      <c r="BR619" s="188"/>
      <c r="BT619" s="296"/>
      <c r="BU619" s="296"/>
      <c r="BV619" s="296"/>
    </row>
    <row r="620" spans="2:74" ht="13">
      <c r="B620" s="294"/>
      <c r="C620" s="294"/>
      <c r="D620" s="294"/>
      <c r="E620" s="295"/>
      <c r="F620" s="294"/>
      <c r="G620" s="295"/>
      <c r="H620" s="295"/>
      <c r="P620" s="295"/>
      <c r="W620" s="295"/>
      <c r="AD620" s="295"/>
      <c r="AK620" s="295"/>
      <c r="BR620" s="188"/>
      <c r="BT620" s="296"/>
      <c r="BU620" s="296"/>
      <c r="BV620" s="296"/>
    </row>
    <row r="621" spans="2:74" ht="13">
      <c r="B621" s="294"/>
      <c r="C621" s="294"/>
      <c r="D621" s="294"/>
      <c r="E621" s="295"/>
      <c r="F621" s="294"/>
      <c r="G621" s="295"/>
      <c r="H621" s="295"/>
      <c r="P621" s="295"/>
      <c r="W621" s="295"/>
      <c r="AD621" s="295"/>
      <c r="AK621" s="295"/>
      <c r="BR621" s="188"/>
      <c r="BT621" s="296"/>
      <c r="BU621" s="296"/>
      <c r="BV621" s="296"/>
    </row>
    <row r="622" spans="2:74" ht="13">
      <c r="B622" s="294"/>
      <c r="C622" s="294"/>
      <c r="D622" s="294"/>
      <c r="E622" s="295"/>
      <c r="F622" s="294"/>
      <c r="G622" s="295"/>
      <c r="H622" s="295"/>
      <c r="P622" s="295"/>
      <c r="W622" s="295"/>
      <c r="AD622" s="295"/>
      <c r="AK622" s="295"/>
      <c r="BR622" s="188"/>
      <c r="BT622" s="296"/>
      <c r="BU622" s="296"/>
      <c r="BV622" s="296"/>
    </row>
    <row r="623" spans="2:74" ht="13">
      <c r="B623" s="294"/>
      <c r="C623" s="294"/>
      <c r="D623" s="294"/>
      <c r="E623" s="295"/>
      <c r="F623" s="294"/>
      <c r="G623" s="295"/>
      <c r="H623" s="295"/>
      <c r="P623" s="295"/>
      <c r="W623" s="295"/>
      <c r="AD623" s="295"/>
      <c r="AK623" s="295"/>
      <c r="BR623" s="188"/>
      <c r="BT623" s="296"/>
      <c r="BU623" s="296"/>
      <c r="BV623" s="296"/>
    </row>
    <row r="624" spans="2:74" ht="13">
      <c r="B624" s="294"/>
      <c r="C624" s="294"/>
      <c r="D624" s="294"/>
      <c r="E624" s="295"/>
      <c r="F624" s="294"/>
      <c r="G624" s="295"/>
      <c r="H624" s="295"/>
      <c r="P624" s="295"/>
      <c r="W624" s="295"/>
      <c r="AD624" s="295"/>
      <c r="AK624" s="295"/>
      <c r="BR624" s="188"/>
      <c r="BT624" s="296"/>
      <c r="BU624" s="296"/>
      <c r="BV624" s="296"/>
    </row>
    <row r="625" spans="2:74" ht="13">
      <c r="B625" s="294"/>
      <c r="C625" s="294"/>
      <c r="D625" s="294"/>
      <c r="E625" s="295"/>
      <c r="F625" s="294"/>
      <c r="G625" s="295"/>
      <c r="H625" s="295"/>
      <c r="P625" s="295"/>
      <c r="W625" s="295"/>
      <c r="AD625" s="295"/>
      <c r="AK625" s="295"/>
      <c r="BR625" s="188"/>
      <c r="BT625" s="296"/>
      <c r="BU625" s="296"/>
      <c r="BV625" s="296"/>
    </row>
    <row r="626" spans="2:74" ht="13">
      <c r="B626" s="294"/>
      <c r="C626" s="294"/>
      <c r="D626" s="294"/>
      <c r="E626" s="295"/>
      <c r="F626" s="294"/>
      <c r="G626" s="295"/>
      <c r="H626" s="295"/>
      <c r="P626" s="295"/>
      <c r="W626" s="295"/>
      <c r="AD626" s="295"/>
      <c r="AK626" s="295"/>
      <c r="BR626" s="188"/>
      <c r="BT626" s="296"/>
      <c r="BU626" s="296"/>
      <c r="BV626" s="296"/>
    </row>
    <row r="627" spans="2:74" ht="13">
      <c r="B627" s="294"/>
      <c r="C627" s="294"/>
      <c r="D627" s="294"/>
      <c r="E627" s="295"/>
      <c r="F627" s="294"/>
      <c r="G627" s="295"/>
      <c r="H627" s="295"/>
      <c r="P627" s="295"/>
      <c r="W627" s="295"/>
      <c r="AD627" s="295"/>
      <c r="AK627" s="295"/>
      <c r="BR627" s="188"/>
      <c r="BT627" s="296"/>
      <c r="BU627" s="296"/>
      <c r="BV627" s="296"/>
    </row>
    <row r="628" spans="2:74" ht="13">
      <c r="B628" s="294"/>
      <c r="C628" s="294"/>
      <c r="D628" s="294"/>
      <c r="E628" s="295"/>
      <c r="F628" s="294"/>
      <c r="G628" s="295"/>
      <c r="H628" s="295"/>
      <c r="P628" s="295"/>
      <c r="W628" s="295"/>
      <c r="AD628" s="295"/>
      <c r="AK628" s="295"/>
      <c r="BR628" s="188"/>
      <c r="BT628" s="296"/>
      <c r="BU628" s="296"/>
      <c r="BV628" s="296"/>
    </row>
    <row r="629" spans="2:74" ht="13">
      <c r="B629" s="294"/>
      <c r="C629" s="294"/>
      <c r="D629" s="294"/>
      <c r="E629" s="295"/>
      <c r="F629" s="294"/>
      <c r="G629" s="295"/>
      <c r="H629" s="295"/>
      <c r="P629" s="295"/>
      <c r="W629" s="295"/>
      <c r="AD629" s="295"/>
      <c r="AK629" s="295"/>
      <c r="BR629" s="188"/>
      <c r="BT629" s="296"/>
      <c r="BU629" s="296"/>
      <c r="BV629" s="296"/>
    </row>
    <row r="630" spans="2:74" ht="13">
      <c r="B630" s="294"/>
      <c r="C630" s="294"/>
      <c r="D630" s="294"/>
      <c r="E630" s="295"/>
      <c r="F630" s="294"/>
      <c r="G630" s="295"/>
      <c r="H630" s="295"/>
      <c r="P630" s="295"/>
      <c r="W630" s="295"/>
      <c r="AD630" s="295"/>
      <c r="AK630" s="295"/>
      <c r="BR630" s="188"/>
      <c r="BT630" s="296"/>
      <c r="BU630" s="296"/>
      <c r="BV630" s="296"/>
    </row>
    <row r="631" spans="2:74" ht="13">
      <c r="B631" s="294"/>
      <c r="C631" s="294"/>
      <c r="D631" s="294"/>
      <c r="E631" s="295"/>
      <c r="F631" s="294"/>
      <c r="G631" s="295"/>
      <c r="H631" s="295"/>
      <c r="P631" s="295"/>
      <c r="W631" s="295"/>
      <c r="AD631" s="295"/>
      <c r="AK631" s="295"/>
      <c r="BR631" s="188"/>
      <c r="BT631" s="296"/>
      <c r="BU631" s="296"/>
      <c r="BV631" s="296"/>
    </row>
    <row r="632" spans="2:74" ht="13">
      <c r="B632" s="294"/>
      <c r="C632" s="294"/>
      <c r="D632" s="294"/>
      <c r="E632" s="295"/>
      <c r="F632" s="294"/>
      <c r="G632" s="295"/>
      <c r="H632" s="295"/>
      <c r="P632" s="295"/>
      <c r="W632" s="295"/>
      <c r="AD632" s="295"/>
      <c r="AK632" s="295"/>
      <c r="BR632" s="188"/>
      <c r="BT632" s="296"/>
      <c r="BU632" s="296"/>
      <c r="BV632" s="296"/>
    </row>
    <row r="633" spans="2:74" ht="13">
      <c r="B633" s="294"/>
      <c r="C633" s="294"/>
      <c r="D633" s="294"/>
      <c r="E633" s="295"/>
      <c r="F633" s="294"/>
      <c r="G633" s="295"/>
      <c r="H633" s="295"/>
      <c r="P633" s="295"/>
      <c r="W633" s="295"/>
      <c r="AD633" s="295"/>
      <c r="AK633" s="295"/>
      <c r="BR633" s="188"/>
      <c r="BT633" s="296"/>
      <c r="BU633" s="296"/>
      <c r="BV633" s="296"/>
    </row>
    <row r="634" spans="2:74" ht="13">
      <c r="B634" s="294"/>
      <c r="C634" s="294"/>
      <c r="D634" s="294"/>
      <c r="E634" s="295"/>
      <c r="F634" s="294"/>
      <c r="G634" s="295"/>
      <c r="H634" s="295"/>
      <c r="P634" s="295"/>
      <c r="W634" s="295"/>
      <c r="AD634" s="295"/>
      <c r="AK634" s="295"/>
      <c r="BR634" s="188"/>
      <c r="BT634" s="296"/>
      <c r="BU634" s="296"/>
      <c r="BV634" s="296"/>
    </row>
    <row r="635" spans="2:74" ht="13">
      <c r="B635" s="294"/>
      <c r="C635" s="294"/>
      <c r="D635" s="294"/>
      <c r="E635" s="295"/>
      <c r="F635" s="294"/>
      <c r="G635" s="295"/>
      <c r="H635" s="295"/>
      <c r="P635" s="295"/>
      <c r="W635" s="295"/>
      <c r="AD635" s="295"/>
      <c r="AK635" s="295"/>
      <c r="BR635" s="188"/>
      <c r="BT635" s="296"/>
      <c r="BU635" s="296"/>
      <c r="BV635" s="296"/>
    </row>
    <row r="636" spans="2:74" ht="13">
      <c r="B636" s="294"/>
      <c r="C636" s="294"/>
      <c r="D636" s="294"/>
      <c r="E636" s="295"/>
      <c r="F636" s="294"/>
      <c r="G636" s="295"/>
      <c r="H636" s="295"/>
      <c r="P636" s="295"/>
      <c r="W636" s="295"/>
      <c r="AD636" s="295"/>
      <c r="AK636" s="295"/>
      <c r="BR636" s="188"/>
      <c r="BT636" s="296"/>
      <c r="BU636" s="296"/>
      <c r="BV636" s="296"/>
    </row>
    <row r="637" spans="2:74" ht="13">
      <c r="B637" s="294"/>
      <c r="C637" s="294"/>
      <c r="D637" s="294"/>
      <c r="E637" s="295"/>
      <c r="F637" s="294"/>
      <c r="G637" s="295"/>
      <c r="H637" s="295"/>
      <c r="P637" s="295"/>
      <c r="W637" s="295"/>
      <c r="AD637" s="295"/>
      <c r="AK637" s="295"/>
      <c r="BR637" s="188"/>
      <c r="BT637" s="296"/>
      <c r="BU637" s="296"/>
      <c r="BV637" s="296"/>
    </row>
    <row r="638" spans="2:74" ht="13">
      <c r="B638" s="294"/>
      <c r="C638" s="294"/>
      <c r="D638" s="294"/>
      <c r="E638" s="295"/>
      <c r="F638" s="294"/>
      <c r="G638" s="295"/>
      <c r="H638" s="295"/>
      <c r="P638" s="295"/>
      <c r="W638" s="295"/>
      <c r="AD638" s="295"/>
      <c r="AK638" s="295"/>
      <c r="BR638" s="188"/>
      <c r="BT638" s="296"/>
      <c r="BU638" s="296"/>
      <c r="BV638" s="296"/>
    </row>
    <row r="639" spans="2:74" ht="13">
      <c r="B639" s="294"/>
      <c r="C639" s="294"/>
      <c r="D639" s="294"/>
      <c r="E639" s="295"/>
      <c r="F639" s="294"/>
      <c r="G639" s="295"/>
      <c r="H639" s="295"/>
      <c r="P639" s="295"/>
      <c r="W639" s="295"/>
      <c r="AD639" s="295"/>
      <c r="AK639" s="295"/>
      <c r="BR639" s="188"/>
      <c r="BT639" s="296"/>
      <c r="BU639" s="296"/>
      <c r="BV639" s="296"/>
    </row>
    <row r="640" spans="2:74" ht="13">
      <c r="B640" s="294"/>
      <c r="C640" s="294"/>
      <c r="D640" s="294"/>
      <c r="E640" s="295"/>
      <c r="F640" s="294"/>
      <c r="G640" s="295"/>
      <c r="H640" s="295"/>
      <c r="P640" s="295"/>
      <c r="W640" s="295"/>
      <c r="AD640" s="295"/>
      <c r="AK640" s="295"/>
      <c r="BR640" s="188"/>
      <c r="BT640" s="296"/>
      <c r="BU640" s="296"/>
      <c r="BV640" s="296"/>
    </row>
    <row r="641" spans="2:74" ht="13">
      <c r="B641" s="294"/>
      <c r="C641" s="294"/>
      <c r="D641" s="294"/>
      <c r="E641" s="295"/>
      <c r="F641" s="294"/>
      <c r="G641" s="295"/>
      <c r="H641" s="295"/>
      <c r="P641" s="295"/>
      <c r="W641" s="295"/>
      <c r="AD641" s="295"/>
      <c r="AK641" s="295"/>
      <c r="BR641" s="188"/>
      <c r="BT641" s="296"/>
      <c r="BU641" s="296"/>
      <c r="BV641" s="296"/>
    </row>
    <row r="642" spans="2:74" ht="13">
      <c r="B642" s="294"/>
      <c r="C642" s="294"/>
      <c r="D642" s="294"/>
      <c r="E642" s="295"/>
      <c r="F642" s="294"/>
      <c r="G642" s="295"/>
      <c r="H642" s="295"/>
      <c r="P642" s="295"/>
      <c r="W642" s="295"/>
      <c r="AD642" s="295"/>
      <c r="AK642" s="295"/>
      <c r="BR642" s="188"/>
      <c r="BT642" s="296"/>
      <c r="BU642" s="296"/>
      <c r="BV642" s="296"/>
    </row>
    <row r="643" spans="2:74" ht="13">
      <c r="B643" s="294"/>
      <c r="C643" s="294"/>
      <c r="D643" s="294"/>
      <c r="E643" s="295"/>
      <c r="F643" s="294"/>
      <c r="G643" s="295"/>
      <c r="H643" s="295"/>
      <c r="P643" s="295"/>
      <c r="W643" s="295"/>
      <c r="AD643" s="295"/>
      <c r="AK643" s="295"/>
      <c r="BR643" s="188"/>
      <c r="BT643" s="296"/>
      <c r="BU643" s="296"/>
      <c r="BV643" s="296"/>
    </row>
    <row r="644" spans="2:74" ht="13">
      <c r="B644" s="294"/>
      <c r="C644" s="294"/>
      <c r="D644" s="294"/>
      <c r="E644" s="295"/>
      <c r="F644" s="294"/>
      <c r="G644" s="295"/>
      <c r="H644" s="295"/>
      <c r="P644" s="295"/>
      <c r="W644" s="295"/>
      <c r="AD644" s="295"/>
      <c r="AK644" s="295"/>
      <c r="BR644" s="188"/>
      <c r="BT644" s="296"/>
      <c r="BU644" s="296"/>
      <c r="BV644" s="296"/>
    </row>
    <row r="645" spans="2:74" ht="13">
      <c r="B645" s="294"/>
      <c r="C645" s="294"/>
      <c r="D645" s="294"/>
      <c r="E645" s="295"/>
      <c r="F645" s="294"/>
      <c r="G645" s="295"/>
      <c r="H645" s="295"/>
      <c r="P645" s="295"/>
      <c r="W645" s="295"/>
      <c r="AD645" s="295"/>
      <c r="AK645" s="295"/>
      <c r="BR645" s="188"/>
      <c r="BT645" s="296"/>
      <c r="BU645" s="296"/>
      <c r="BV645" s="296"/>
    </row>
    <row r="646" spans="2:74" ht="13">
      <c r="B646" s="294"/>
      <c r="C646" s="294"/>
      <c r="D646" s="294"/>
      <c r="E646" s="295"/>
      <c r="F646" s="294"/>
      <c r="G646" s="295"/>
      <c r="H646" s="295"/>
      <c r="P646" s="295"/>
      <c r="W646" s="295"/>
      <c r="AD646" s="295"/>
      <c r="AK646" s="295"/>
      <c r="BR646" s="188"/>
      <c r="BT646" s="296"/>
      <c r="BU646" s="296"/>
      <c r="BV646" s="296"/>
    </row>
    <row r="647" spans="2:74" ht="13">
      <c r="B647" s="294"/>
      <c r="C647" s="294"/>
      <c r="D647" s="294"/>
      <c r="E647" s="295"/>
      <c r="F647" s="294"/>
      <c r="G647" s="295"/>
      <c r="H647" s="295"/>
      <c r="P647" s="295"/>
      <c r="W647" s="295"/>
      <c r="AD647" s="295"/>
      <c r="AK647" s="295"/>
      <c r="BR647" s="188"/>
      <c r="BT647" s="296"/>
      <c r="BU647" s="296"/>
      <c r="BV647" s="296"/>
    </row>
    <row r="648" spans="2:74" ht="13">
      <c r="B648" s="294"/>
      <c r="C648" s="294"/>
      <c r="D648" s="294"/>
      <c r="E648" s="295"/>
      <c r="F648" s="294"/>
      <c r="G648" s="295"/>
      <c r="H648" s="295"/>
      <c r="P648" s="295"/>
      <c r="W648" s="295"/>
      <c r="AD648" s="295"/>
      <c r="AK648" s="295"/>
      <c r="BR648" s="188"/>
      <c r="BT648" s="296"/>
      <c r="BU648" s="296"/>
      <c r="BV648" s="296"/>
    </row>
    <row r="649" spans="2:74" ht="13">
      <c r="B649" s="294"/>
      <c r="C649" s="294"/>
      <c r="D649" s="294"/>
      <c r="E649" s="295"/>
      <c r="F649" s="294"/>
      <c r="G649" s="295"/>
      <c r="H649" s="295"/>
      <c r="P649" s="295"/>
      <c r="W649" s="295"/>
      <c r="AD649" s="295"/>
      <c r="AK649" s="295"/>
      <c r="BR649" s="188"/>
      <c r="BT649" s="296"/>
      <c r="BU649" s="296"/>
      <c r="BV649" s="296"/>
    </row>
    <row r="650" spans="2:74" ht="13">
      <c r="B650" s="294"/>
      <c r="C650" s="294"/>
      <c r="D650" s="294"/>
      <c r="E650" s="295"/>
      <c r="F650" s="294"/>
      <c r="G650" s="295"/>
      <c r="H650" s="295"/>
      <c r="P650" s="295"/>
      <c r="W650" s="295"/>
      <c r="AD650" s="295"/>
      <c r="AK650" s="295"/>
      <c r="BR650" s="188"/>
      <c r="BT650" s="296"/>
      <c r="BU650" s="296"/>
      <c r="BV650" s="296"/>
    </row>
    <row r="651" spans="2:74" ht="13">
      <c r="B651" s="294"/>
      <c r="C651" s="294"/>
      <c r="D651" s="294"/>
      <c r="E651" s="295"/>
      <c r="F651" s="294"/>
      <c r="G651" s="295"/>
      <c r="H651" s="295"/>
      <c r="P651" s="295"/>
      <c r="W651" s="295"/>
      <c r="AD651" s="295"/>
      <c r="AK651" s="295"/>
      <c r="BR651" s="188"/>
      <c r="BT651" s="296"/>
      <c r="BU651" s="296"/>
      <c r="BV651" s="296"/>
    </row>
    <row r="652" spans="2:74" ht="13">
      <c r="B652" s="294"/>
      <c r="C652" s="294"/>
      <c r="D652" s="294"/>
      <c r="E652" s="295"/>
      <c r="F652" s="294"/>
      <c r="G652" s="295"/>
      <c r="H652" s="295"/>
      <c r="P652" s="295"/>
      <c r="W652" s="295"/>
      <c r="AD652" s="295"/>
      <c r="AK652" s="295"/>
      <c r="BR652" s="188"/>
      <c r="BT652" s="296"/>
      <c r="BU652" s="296"/>
      <c r="BV652" s="296"/>
    </row>
    <row r="653" spans="2:74" ht="13">
      <c r="B653" s="294"/>
      <c r="C653" s="294"/>
      <c r="D653" s="294"/>
      <c r="E653" s="295"/>
      <c r="F653" s="294"/>
      <c r="G653" s="295"/>
      <c r="H653" s="295"/>
      <c r="P653" s="295"/>
      <c r="W653" s="295"/>
      <c r="AD653" s="295"/>
      <c r="AK653" s="295"/>
      <c r="BR653" s="188"/>
      <c r="BT653" s="296"/>
      <c r="BU653" s="296"/>
      <c r="BV653" s="296"/>
    </row>
    <row r="654" spans="2:74" ht="13">
      <c r="B654" s="294"/>
      <c r="C654" s="294"/>
      <c r="D654" s="294"/>
      <c r="E654" s="295"/>
      <c r="F654" s="294"/>
      <c r="G654" s="295"/>
      <c r="H654" s="295"/>
      <c r="P654" s="295"/>
      <c r="W654" s="295"/>
      <c r="AD654" s="295"/>
      <c r="AK654" s="295"/>
      <c r="BR654" s="188"/>
      <c r="BT654" s="296"/>
      <c r="BU654" s="296"/>
      <c r="BV654" s="296"/>
    </row>
    <row r="655" spans="2:74" ht="13">
      <c r="B655" s="294"/>
      <c r="C655" s="294"/>
      <c r="D655" s="294"/>
      <c r="E655" s="295"/>
      <c r="F655" s="294"/>
      <c r="G655" s="295"/>
      <c r="H655" s="295"/>
      <c r="P655" s="295"/>
      <c r="W655" s="295"/>
      <c r="AD655" s="295"/>
      <c r="AK655" s="295"/>
      <c r="BR655" s="188"/>
      <c r="BT655" s="296"/>
      <c r="BU655" s="296"/>
      <c r="BV655" s="296"/>
    </row>
    <row r="656" spans="2:74" ht="13">
      <c r="B656" s="294"/>
      <c r="C656" s="294"/>
      <c r="D656" s="294"/>
      <c r="E656" s="295"/>
      <c r="F656" s="294"/>
      <c r="G656" s="295"/>
      <c r="H656" s="295"/>
      <c r="P656" s="295"/>
      <c r="W656" s="295"/>
      <c r="AD656" s="295"/>
      <c r="AK656" s="295"/>
      <c r="BR656" s="188"/>
      <c r="BT656" s="296"/>
      <c r="BU656" s="296"/>
      <c r="BV656" s="296"/>
    </row>
    <row r="657" spans="2:74" ht="13">
      <c r="B657" s="294"/>
      <c r="C657" s="294"/>
      <c r="D657" s="294"/>
      <c r="E657" s="295"/>
      <c r="F657" s="294"/>
      <c r="G657" s="295"/>
      <c r="H657" s="295"/>
      <c r="P657" s="295"/>
      <c r="W657" s="295"/>
      <c r="AD657" s="295"/>
      <c r="AK657" s="295"/>
      <c r="BR657" s="188"/>
      <c r="BT657" s="296"/>
      <c r="BU657" s="296"/>
      <c r="BV657" s="296"/>
    </row>
    <row r="658" spans="2:74" ht="13">
      <c r="B658" s="294"/>
      <c r="C658" s="294"/>
      <c r="D658" s="294"/>
      <c r="E658" s="295"/>
      <c r="F658" s="294"/>
      <c r="G658" s="295"/>
      <c r="H658" s="295"/>
      <c r="P658" s="295"/>
      <c r="W658" s="295"/>
      <c r="AD658" s="295"/>
      <c r="AK658" s="295"/>
      <c r="BR658" s="188"/>
      <c r="BT658" s="296"/>
      <c r="BU658" s="296"/>
      <c r="BV658" s="296"/>
    </row>
    <row r="659" spans="2:74" ht="13">
      <c r="B659" s="294"/>
      <c r="C659" s="294"/>
      <c r="D659" s="294"/>
      <c r="E659" s="295"/>
      <c r="F659" s="294"/>
      <c r="G659" s="295"/>
      <c r="H659" s="295"/>
      <c r="P659" s="295"/>
      <c r="W659" s="295"/>
      <c r="AD659" s="295"/>
      <c r="AK659" s="295"/>
      <c r="BR659" s="188"/>
      <c r="BT659" s="296"/>
      <c r="BU659" s="296"/>
      <c r="BV659" s="296"/>
    </row>
    <row r="660" spans="2:74" ht="13">
      <c r="B660" s="294"/>
      <c r="C660" s="294"/>
      <c r="D660" s="294"/>
      <c r="E660" s="295"/>
      <c r="F660" s="294"/>
      <c r="G660" s="295"/>
      <c r="H660" s="295"/>
      <c r="P660" s="295"/>
      <c r="W660" s="295"/>
      <c r="AD660" s="295"/>
      <c r="AK660" s="295"/>
      <c r="BR660" s="188"/>
      <c r="BT660" s="296"/>
      <c r="BU660" s="296"/>
      <c r="BV660" s="296"/>
    </row>
    <row r="661" spans="2:74" ht="13">
      <c r="B661" s="294"/>
      <c r="C661" s="294"/>
      <c r="D661" s="294"/>
      <c r="E661" s="295"/>
      <c r="F661" s="294"/>
      <c r="G661" s="295"/>
      <c r="H661" s="295"/>
      <c r="P661" s="295"/>
      <c r="W661" s="295"/>
      <c r="AD661" s="295"/>
      <c r="AK661" s="295"/>
      <c r="BR661" s="188"/>
      <c r="BT661" s="296"/>
      <c r="BU661" s="296"/>
      <c r="BV661" s="296"/>
    </row>
    <row r="662" spans="2:74" ht="13">
      <c r="B662" s="294"/>
      <c r="C662" s="294"/>
      <c r="D662" s="294"/>
      <c r="E662" s="295"/>
      <c r="F662" s="294"/>
      <c r="G662" s="295"/>
      <c r="H662" s="295"/>
      <c r="P662" s="295"/>
      <c r="W662" s="295"/>
      <c r="AD662" s="295"/>
      <c r="AK662" s="295"/>
      <c r="BR662" s="188"/>
      <c r="BT662" s="296"/>
      <c r="BU662" s="296"/>
      <c r="BV662" s="296"/>
    </row>
    <row r="663" spans="2:74" ht="13">
      <c r="B663" s="294"/>
      <c r="C663" s="294"/>
      <c r="D663" s="294"/>
      <c r="E663" s="295"/>
      <c r="F663" s="294"/>
      <c r="G663" s="295"/>
      <c r="H663" s="295"/>
      <c r="P663" s="295"/>
      <c r="W663" s="295"/>
      <c r="AD663" s="295"/>
      <c r="AK663" s="295"/>
      <c r="BR663" s="188"/>
      <c r="BT663" s="296"/>
      <c r="BU663" s="296"/>
      <c r="BV663" s="296"/>
    </row>
    <row r="664" spans="2:74" ht="13">
      <c r="B664" s="294"/>
      <c r="C664" s="294"/>
      <c r="D664" s="294"/>
      <c r="E664" s="295"/>
      <c r="F664" s="294"/>
      <c r="G664" s="295"/>
      <c r="H664" s="295"/>
      <c r="P664" s="295"/>
      <c r="W664" s="295"/>
      <c r="AD664" s="295"/>
      <c r="AK664" s="295"/>
      <c r="BR664" s="188"/>
      <c r="BT664" s="296"/>
      <c r="BU664" s="296"/>
      <c r="BV664" s="296"/>
    </row>
    <row r="665" spans="2:74" ht="13">
      <c r="B665" s="294"/>
      <c r="C665" s="294"/>
      <c r="D665" s="294"/>
      <c r="E665" s="295"/>
      <c r="F665" s="294"/>
      <c r="G665" s="295"/>
      <c r="H665" s="295"/>
      <c r="P665" s="295"/>
      <c r="W665" s="295"/>
      <c r="AD665" s="295"/>
      <c r="AK665" s="295"/>
      <c r="BR665" s="188"/>
      <c r="BT665" s="296"/>
      <c r="BU665" s="296"/>
      <c r="BV665" s="296"/>
    </row>
    <row r="666" spans="2:74" ht="13">
      <c r="B666" s="294"/>
      <c r="C666" s="294"/>
      <c r="D666" s="294"/>
      <c r="E666" s="295"/>
      <c r="F666" s="294"/>
      <c r="G666" s="295"/>
      <c r="H666" s="295"/>
      <c r="P666" s="295"/>
      <c r="W666" s="295"/>
      <c r="AD666" s="295"/>
      <c r="AK666" s="295"/>
      <c r="BR666" s="188"/>
      <c r="BT666" s="296"/>
      <c r="BU666" s="296"/>
      <c r="BV666" s="296"/>
    </row>
    <row r="667" spans="2:74" ht="13">
      <c r="B667" s="294"/>
      <c r="C667" s="294"/>
      <c r="D667" s="294"/>
      <c r="E667" s="295"/>
      <c r="F667" s="294"/>
      <c r="G667" s="295"/>
      <c r="H667" s="295"/>
      <c r="P667" s="295"/>
      <c r="W667" s="295"/>
      <c r="AD667" s="295"/>
      <c r="AK667" s="295"/>
      <c r="BR667" s="188"/>
      <c r="BT667" s="296"/>
      <c r="BU667" s="296"/>
      <c r="BV667" s="296"/>
    </row>
    <row r="668" spans="2:74" ht="13">
      <c r="B668" s="294"/>
      <c r="C668" s="294"/>
      <c r="D668" s="294"/>
      <c r="E668" s="295"/>
      <c r="F668" s="294"/>
      <c r="G668" s="295"/>
      <c r="H668" s="295"/>
      <c r="P668" s="295"/>
      <c r="W668" s="295"/>
      <c r="AD668" s="295"/>
      <c r="AK668" s="295"/>
      <c r="BR668" s="188"/>
      <c r="BT668" s="296"/>
      <c r="BU668" s="296"/>
      <c r="BV668" s="296"/>
    </row>
    <row r="669" spans="2:74" ht="13">
      <c r="B669" s="294"/>
      <c r="C669" s="294"/>
      <c r="D669" s="294"/>
      <c r="E669" s="295"/>
      <c r="F669" s="294"/>
      <c r="G669" s="295"/>
      <c r="H669" s="295"/>
      <c r="P669" s="295"/>
      <c r="W669" s="295"/>
      <c r="AD669" s="295"/>
      <c r="AK669" s="295"/>
      <c r="BR669" s="188"/>
      <c r="BT669" s="296"/>
      <c r="BU669" s="296"/>
      <c r="BV669" s="296"/>
    </row>
    <row r="670" spans="2:74" ht="13">
      <c r="B670" s="294"/>
      <c r="C670" s="294"/>
      <c r="D670" s="294"/>
      <c r="E670" s="295"/>
      <c r="F670" s="294"/>
      <c r="G670" s="295"/>
      <c r="H670" s="295"/>
      <c r="P670" s="295"/>
      <c r="W670" s="295"/>
      <c r="AD670" s="295"/>
      <c r="AK670" s="295"/>
      <c r="BR670" s="188"/>
      <c r="BT670" s="296"/>
      <c r="BU670" s="296"/>
      <c r="BV670" s="296"/>
    </row>
    <row r="671" spans="2:74" ht="13">
      <c r="B671" s="294"/>
      <c r="C671" s="294"/>
      <c r="D671" s="294"/>
      <c r="E671" s="295"/>
      <c r="F671" s="294"/>
      <c r="G671" s="295"/>
      <c r="H671" s="295"/>
      <c r="P671" s="295"/>
      <c r="W671" s="295"/>
      <c r="AD671" s="295"/>
      <c r="AK671" s="295"/>
      <c r="BR671" s="188"/>
      <c r="BT671" s="296"/>
      <c r="BU671" s="296"/>
      <c r="BV671" s="296"/>
    </row>
    <row r="672" spans="2:74" ht="13">
      <c r="B672" s="294"/>
      <c r="C672" s="294"/>
      <c r="D672" s="294"/>
      <c r="E672" s="295"/>
      <c r="F672" s="294"/>
      <c r="G672" s="295"/>
      <c r="H672" s="295"/>
      <c r="P672" s="295"/>
      <c r="W672" s="295"/>
      <c r="AD672" s="295"/>
      <c r="AK672" s="295"/>
      <c r="BR672" s="188"/>
      <c r="BT672" s="296"/>
      <c r="BU672" s="296"/>
      <c r="BV672" s="296"/>
    </row>
    <row r="673" spans="2:74" ht="13">
      <c r="B673" s="294"/>
      <c r="C673" s="294"/>
      <c r="D673" s="294"/>
      <c r="E673" s="295"/>
      <c r="F673" s="294"/>
      <c r="G673" s="295"/>
      <c r="H673" s="295"/>
      <c r="P673" s="295"/>
      <c r="W673" s="295"/>
      <c r="AD673" s="295"/>
      <c r="AK673" s="295"/>
      <c r="BR673" s="188"/>
      <c r="BT673" s="296"/>
      <c r="BU673" s="296"/>
      <c r="BV673" s="296"/>
    </row>
    <row r="674" spans="2:74" ht="13">
      <c r="B674" s="294"/>
      <c r="C674" s="294"/>
      <c r="D674" s="294"/>
      <c r="E674" s="295"/>
      <c r="F674" s="294"/>
      <c r="G674" s="295"/>
      <c r="H674" s="295"/>
      <c r="P674" s="295"/>
      <c r="W674" s="295"/>
      <c r="AD674" s="295"/>
      <c r="AK674" s="295"/>
      <c r="BR674" s="188"/>
      <c r="BT674" s="296"/>
      <c r="BU674" s="296"/>
      <c r="BV674" s="296"/>
    </row>
    <row r="675" spans="2:74" ht="13">
      <c r="B675" s="294"/>
      <c r="C675" s="294"/>
      <c r="D675" s="294"/>
      <c r="E675" s="295"/>
      <c r="F675" s="294"/>
      <c r="G675" s="295"/>
      <c r="H675" s="295"/>
      <c r="P675" s="295"/>
      <c r="W675" s="295"/>
      <c r="AD675" s="295"/>
      <c r="AK675" s="295"/>
      <c r="BR675" s="188"/>
      <c r="BT675" s="296"/>
      <c r="BU675" s="296"/>
      <c r="BV675" s="296"/>
    </row>
    <row r="676" spans="2:74" ht="13">
      <c r="B676" s="294"/>
      <c r="C676" s="294"/>
      <c r="D676" s="294"/>
      <c r="E676" s="295"/>
      <c r="F676" s="294"/>
      <c r="G676" s="295"/>
      <c r="H676" s="295"/>
      <c r="P676" s="295"/>
      <c r="W676" s="295"/>
      <c r="AD676" s="295"/>
      <c r="AK676" s="295"/>
      <c r="BR676" s="188"/>
      <c r="BT676" s="296"/>
      <c r="BU676" s="296"/>
      <c r="BV676" s="296"/>
    </row>
    <row r="677" spans="2:74" ht="13">
      <c r="B677" s="294"/>
      <c r="C677" s="294"/>
      <c r="D677" s="294"/>
      <c r="E677" s="295"/>
      <c r="F677" s="294"/>
      <c r="G677" s="295"/>
      <c r="H677" s="295"/>
      <c r="P677" s="295"/>
      <c r="W677" s="295"/>
      <c r="AD677" s="295"/>
      <c r="AK677" s="295"/>
      <c r="BR677" s="188"/>
      <c r="BT677" s="296"/>
      <c r="BU677" s="296"/>
      <c r="BV677" s="296"/>
    </row>
    <row r="678" spans="2:74" ht="13">
      <c r="B678" s="294"/>
      <c r="C678" s="294"/>
      <c r="D678" s="294"/>
      <c r="E678" s="295"/>
      <c r="F678" s="294"/>
      <c r="G678" s="295"/>
      <c r="H678" s="295"/>
      <c r="P678" s="295"/>
      <c r="W678" s="295"/>
      <c r="AD678" s="295"/>
      <c r="AK678" s="295"/>
      <c r="BR678" s="188"/>
      <c r="BT678" s="296"/>
      <c r="BU678" s="296"/>
      <c r="BV678" s="296"/>
    </row>
    <row r="679" spans="2:74" ht="13">
      <c r="B679" s="294"/>
      <c r="C679" s="294"/>
      <c r="D679" s="294"/>
      <c r="E679" s="295"/>
      <c r="F679" s="294"/>
      <c r="G679" s="295"/>
      <c r="H679" s="295"/>
      <c r="P679" s="295"/>
      <c r="W679" s="295"/>
      <c r="AD679" s="295"/>
      <c r="AK679" s="295"/>
      <c r="BR679" s="188"/>
      <c r="BT679" s="296"/>
      <c r="BU679" s="296"/>
      <c r="BV679" s="296"/>
    </row>
    <row r="680" spans="2:74" ht="13">
      <c r="B680" s="294"/>
      <c r="C680" s="294"/>
      <c r="D680" s="294"/>
      <c r="E680" s="295"/>
      <c r="F680" s="294"/>
      <c r="G680" s="295"/>
      <c r="H680" s="295"/>
      <c r="P680" s="295"/>
      <c r="W680" s="295"/>
      <c r="AD680" s="295"/>
      <c r="AK680" s="295"/>
      <c r="BR680" s="188"/>
      <c r="BT680" s="296"/>
      <c r="BU680" s="296"/>
      <c r="BV680" s="296"/>
    </row>
    <row r="681" spans="2:74" ht="13">
      <c r="B681" s="294"/>
      <c r="C681" s="294"/>
      <c r="D681" s="294"/>
      <c r="E681" s="295"/>
      <c r="F681" s="294"/>
      <c r="G681" s="295"/>
      <c r="H681" s="295"/>
      <c r="P681" s="295"/>
      <c r="W681" s="295"/>
      <c r="AD681" s="295"/>
      <c r="AK681" s="295"/>
      <c r="BR681" s="188"/>
      <c r="BT681" s="296"/>
      <c r="BU681" s="296"/>
      <c r="BV681" s="296"/>
    </row>
    <row r="682" spans="2:74" ht="13">
      <c r="B682" s="294"/>
      <c r="C682" s="294"/>
      <c r="D682" s="294"/>
      <c r="E682" s="295"/>
      <c r="F682" s="294"/>
      <c r="G682" s="295"/>
      <c r="H682" s="295"/>
      <c r="P682" s="295"/>
      <c r="W682" s="295"/>
      <c r="AD682" s="295"/>
      <c r="AK682" s="295"/>
      <c r="BR682" s="188"/>
      <c r="BT682" s="296"/>
      <c r="BU682" s="296"/>
      <c r="BV682" s="296"/>
    </row>
    <row r="683" spans="2:74" ht="13">
      <c r="B683" s="294"/>
      <c r="C683" s="294"/>
      <c r="D683" s="294"/>
      <c r="E683" s="295"/>
      <c r="F683" s="294"/>
      <c r="G683" s="295"/>
      <c r="H683" s="295"/>
      <c r="P683" s="295"/>
      <c r="W683" s="295"/>
      <c r="AD683" s="295"/>
      <c r="AK683" s="295"/>
      <c r="BR683" s="188"/>
      <c r="BT683" s="296"/>
      <c r="BU683" s="296"/>
      <c r="BV683" s="296"/>
    </row>
    <row r="684" spans="2:74" ht="13">
      <c r="B684" s="294"/>
      <c r="C684" s="294"/>
      <c r="D684" s="294"/>
      <c r="E684" s="295"/>
      <c r="F684" s="294"/>
      <c r="G684" s="295"/>
      <c r="H684" s="295"/>
      <c r="P684" s="295"/>
      <c r="W684" s="295"/>
      <c r="AD684" s="295"/>
      <c r="AK684" s="295"/>
      <c r="BR684" s="188"/>
      <c r="BT684" s="296"/>
      <c r="BU684" s="296"/>
      <c r="BV684" s="296"/>
    </row>
    <row r="685" spans="2:74" ht="13">
      <c r="B685" s="294"/>
      <c r="C685" s="294"/>
      <c r="D685" s="294"/>
      <c r="E685" s="295"/>
      <c r="F685" s="294"/>
      <c r="G685" s="295"/>
      <c r="H685" s="295"/>
      <c r="P685" s="295"/>
      <c r="W685" s="295"/>
      <c r="AD685" s="295"/>
      <c r="AK685" s="295"/>
      <c r="BR685" s="188"/>
      <c r="BT685" s="296"/>
      <c r="BU685" s="296"/>
      <c r="BV685" s="296"/>
    </row>
    <row r="686" spans="2:74" ht="13">
      <c r="B686" s="294"/>
      <c r="C686" s="294"/>
      <c r="D686" s="294"/>
      <c r="E686" s="295"/>
      <c r="F686" s="294"/>
      <c r="G686" s="295"/>
      <c r="H686" s="295"/>
      <c r="P686" s="295"/>
      <c r="W686" s="295"/>
      <c r="AD686" s="295"/>
      <c r="AK686" s="295"/>
      <c r="BR686" s="188"/>
      <c r="BT686" s="296"/>
      <c r="BU686" s="296"/>
      <c r="BV686" s="296"/>
    </row>
    <row r="687" spans="2:74" ht="13">
      <c r="B687" s="294"/>
      <c r="C687" s="294"/>
      <c r="D687" s="294"/>
      <c r="E687" s="295"/>
      <c r="F687" s="294"/>
      <c r="G687" s="295"/>
      <c r="H687" s="295"/>
      <c r="P687" s="295"/>
      <c r="W687" s="295"/>
      <c r="AD687" s="295"/>
      <c r="AK687" s="295"/>
      <c r="BR687" s="188"/>
      <c r="BT687" s="296"/>
      <c r="BU687" s="296"/>
      <c r="BV687" s="296"/>
    </row>
    <row r="688" spans="2:74" ht="13">
      <c r="B688" s="294"/>
      <c r="C688" s="294"/>
      <c r="D688" s="294"/>
      <c r="E688" s="295"/>
      <c r="F688" s="294"/>
      <c r="G688" s="295"/>
      <c r="H688" s="295"/>
      <c r="P688" s="295"/>
      <c r="W688" s="295"/>
      <c r="AD688" s="295"/>
      <c r="AK688" s="295"/>
      <c r="BR688" s="188"/>
      <c r="BT688" s="296"/>
      <c r="BU688" s="296"/>
      <c r="BV688" s="296"/>
    </row>
    <row r="689" spans="2:74" ht="13">
      <c r="B689" s="294"/>
      <c r="C689" s="294"/>
      <c r="D689" s="294"/>
      <c r="E689" s="295"/>
      <c r="F689" s="294"/>
      <c r="G689" s="295"/>
      <c r="H689" s="295"/>
      <c r="P689" s="295"/>
      <c r="W689" s="295"/>
      <c r="AD689" s="295"/>
      <c r="AK689" s="295"/>
      <c r="BR689" s="188"/>
      <c r="BT689" s="296"/>
      <c r="BU689" s="296"/>
      <c r="BV689" s="296"/>
    </row>
    <row r="690" spans="2:74" ht="13">
      <c r="B690" s="294"/>
      <c r="C690" s="294"/>
      <c r="D690" s="294"/>
      <c r="E690" s="295"/>
      <c r="F690" s="294"/>
      <c r="G690" s="295"/>
      <c r="H690" s="295"/>
      <c r="P690" s="295"/>
      <c r="W690" s="295"/>
      <c r="AD690" s="295"/>
      <c r="AK690" s="295"/>
      <c r="BR690" s="188"/>
      <c r="BT690" s="296"/>
      <c r="BU690" s="296"/>
      <c r="BV690" s="296"/>
    </row>
    <row r="691" spans="2:74" ht="13">
      <c r="B691" s="294"/>
      <c r="C691" s="294"/>
      <c r="D691" s="294"/>
      <c r="E691" s="295"/>
      <c r="F691" s="294"/>
      <c r="G691" s="295"/>
      <c r="H691" s="295"/>
      <c r="P691" s="295"/>
      <c r="W691" s="295"/>
      <c r="AD691" s="295"/>
      <c r="AK691" s="295"/>
      <c r="BR691" s="188"/>
      <c r="BT691" s="296"/>
      <c r="BU691" s="296"/>
      <c r="BV691" s="296"/>
    </row>
    <row r="692" spans="2:74" ht="13">
      <c r="B692" s="294"/>
      <c r="C692" s="294"/>
      <c r="D692" s="294"/>
      <c r="E692" s="295"/>
      <c r="F692" s="294"/>
      <c r="G692" s="295"/>
      <c r="H692" s="295"/>
      <c r="P692" s="295"/>
      <c r="W692" s="295"/>
      <c r="AD692" s="295"/>
      <c r="AK692" s="295"/>
      <c r="BR692" s="188"/>
      <c r="BT692" s="296"/>
      <c r="BU692" s="296"/>
      <c r="BV692" s="296"/>
    </row>
    <row r="693" spans="2:74" ht="13">
      <c r="B693" s="294"/>
      <c r="C693" s="294"/>
      <c r="D693" s="294"/>
      <c r="E693" s="295"/>
      <c r="F693" s="294"/>
      <c r="G693" s="295"/>
      <c r="H693" s="295"/>
      <c r="P693" s="295"/>
      <c r="W693" s="295"/>
      <c r="AD693" s="295"/>
      <c r="AK693" s="295"/>
      <c r="BR693" s="188"/>
      <c r="BT693" s="296"/>
      <c r="BU693" s="296"/>
      <c r="BV693" s="296"/>
    </row>
    <row r="694" spans="2:74" ht="13">
      <c r="B694" s="294"/>
      <c r="C694" s="294"/>
      <c r="D694" s="294"/>
      <c r="E694" s="295"/>
      <c r="F694" s="294"/>
      <c r="G694" s="295"/>
      <c r="H694" s="295"/>
      <c r="P694" s="295"/>
      <c r="W694" s="295"/>
      <c r="AD694" s="295"/>
      <c r="AK694" s="295"/>
      <c r="BR694" s="188"/>
      <c r="BT694" s="296"/>
      <c r="BU694" s="296"/>
      <c r="BV694" s="296"/>
    </row>
    <row r="695" spans="2:74" ht="13">
      <c r="B695" s="294"/>
      <c r="C695" s="294"/>
      <c r="D695" s="294"/>
      <c r="E695" s="295"/>
      <c r="F695" s="294"/>
      <c r="G695" s="295"/>
      <c r="H695" s="295"/>
      <c r="P695" s="295"/>
      <c r="W695" s="295"/>
      <c r="AD695" s="295"/>
      <c r="AK695" s="295"/>
      <c r="BR695" s="188"/>
      <c r="BT695" s="296"/>
      <c r="BU695" s="296"/>
      <c r="BV695" s="296"/>
    </row>
    <row r="696" spans="2:74" ht="13">
      <c r="B696" s="294"/>
      <c r="C696" s="294"/>
      <c r="D696" s="294"/>
      <c r="E696" s="295"/>
      <c r="F696" s="294"/>
      <c r="G696" s="295"/>
      <c r="H696" s="295"/>
      <c r="P696" s="295"/>
      <c r="W696" s="295"/>
      <c r="AD696" s="295"/>
      <c r="AK696" s="295"/>
      <c r="BR696" s="188"/>
      <c r="BT696" s="296"/>
      <c r="BU696" s="296"/>
      <c r="BV696" s="296"/>
    </row>
    <row r="697" spans="2:74" ht="13">
      <c r="B697" s="294"/>
      <c r="C697" s="294"/>
      <c r="D697" s="294"/>
      <c r="E697" s="295"/>
      <c r="F697" s="294"/>
      <c r="G697" s="295"/>
      <c r="H697" s="295"/>
      <c r="P697" s="295"/>
      <c r="W697" s="295"/>
      <c r="AD697" s="295"/>
      <c r="AK697" s="295"/>
      <c r="BR697" s="188"/>
      <c r="BT697" s="296"/>
      <c r="BU697" s="296"/>
      <c r="BV697" s="296"/>
    </row>
    <row r="698" spans="2:74" ht="13">
      <c r="B698" s="294"/>
      <c r="C698" s="294"/>
      <c r="D698" s="294"/>
      <c r="E698" s="295"/>
      <c r="F698" s="294"/>
      <c r="G698" s="295"/>
      <c r="H698" s="295"/>
      <c r="P698" s="295"/>
      <c r="W698" s="295"/>
      <c r="AD698" s="295"/>
      <c r="AK698" s="295"/>
      <c r="BR698" s="188"/>
      <c r="BT698" s="296"/>
      <c r="BU698" s="296"/>
      <c r="BV698" s="296"/>
    </row>
    <row r="699" spans="2:74" ht="13">
      <c r="B699" s="294"/>
      <c r="C699" s="294"/>
      <c r="D699" s="294"/>
      <c r="E699" s="295"/>
      <c r="F699" s="294"/>
      <c r="G699" s="295"/>
      <c r="H699" s="295"/>
      <c r="P699" s="295"/>
      <c r="W699" s="295"/>
      <c r="AD699" s="295"/>
      <c r="AK699" s="295"/>
      <c r="BR699" s="188"/>
      <c r="BT699" s="296"/>
      <c r="BU699" s="296"/>
      <c r="BV699" s="296"/>
    </row>
    <row r="700" spans="2:74" ht="13">
      <c r="B700" s="294"/>
      <c r="C700" s="294"/>
      <c r="D700" s="294"/>
      <c r="E700" s="295"/>
      <c r="F700" s="294"/>
      <c r="G700" s="295"/>
      <c r="H700" s="295"/>
      <c r="P700" s="295"/>
      <c r="W700" s="295"/>
      <c r="AD700" s="295"/>
      <c r="AK700" s="295"/>
      <c r="BR700" s="188"/>
      <c r="BT700" s="296"/>
      <c r="BU700" s="296"/>
      <c r="BV700" s="296"/>
    </row>
    <row r="701" spans="2:74" ht="13">
      <c r="B701" s="294"/>
      <c r="C701" s="294"/>
      <c r="D701" s="294"/>
      <c r="E701" s="295"/>
      <c r="F701" s="294"/>
      <c r="G701" s="295"/>
      <c r="H701" s="295"/>
      <c r="P701" s="295"/>
      <c r="W701" s="295"/>
      <c r="AD701" s="295"/>
      <c r="AK701" s="295"/>
      <c r="BR701" s="188"/>
      <c r="BT701" s="296"/>
      <c r="BU701" s="296"/>
      <c r="BV701" s="296"/>
    </row>
    <row r="702" spans="2:74" ht="13">
      <c r="B702" s="294"/>
      <c r="C702" s="294"/>
      <c r="D702" s="294"/>
      <c r="E702" s="295"/>
      <c r="F702" s="294"/>
      <c r="G702" s="295"/>
      <c r="H702" s="295"/>
      <c r="P702" s="295"/>
      <c r="W702" s="295"/>
      <c r="AD702" s="295"/>
      <c r="AK702" s="295"/>
      <c r="BR702" s="188"/>
      <c r="BT702" s="296"/>
      <c r="BU702" s="296"/>
      <c r="BV702" s="296"/>
    </row>
    <row r="703" spans="2:74" ht="13">
      <c r="B703" s="294"/>
      <c r="C703" s="294"/>
      <c r="D703" s="294"/>
      <c r="E703" s="295"/>
      <c r="F703" s="294"/>
      <c r="G703" s="295"/>
      <c r="H703" s="295"/>
      <c r="P703" s="295"/>
      <c r="W703" s="295"/>
      <c r="AD703" s="295"/>
      <c r="AK703" s="295"/>
      <c r="BR703" s="188"/>
      <c r="BT703" s="296"/>
      <c r="BU703" s="296"/>
      <c r="BV703" s="296"/>
    </row>
    <row r="704" spans="2:74" ht="13">
      <c r="B704" s="294"/>
      <c r="C704" s="294"/>
      <c r="D704" s="294"/>
      <c r="E704" s="295"/>
      <c r="F704" s="294"/>
      <c r="G704" s="295"/>
      <c r="H704" s="295"/>
      <c r="P704" s="295"/>
      <c r="W704" s="295"/>
      <c r="AD704" s="295"/>
      <c r="AK704" s="295"/>
      <c r="BR704" s="188"/>
      <c r="BT704" s="296"/>
      <c r="BU704" s="296"/>
      <c r="BV704" s="296"/>
    </row>
    <row r="705" spans="2:74" ht="13">
      <c r="B705" s="294"/>
      <c r="C705" s="294"/>
      <c r="D705" s="294"/>
      <c r="E705" s="295"/>
      <c r="F705" s="294"/>
      <c r="G705" s="295"/>
      <c r="H705" s="295"/>
      <c r="P705" s="295"/>
      <c r="W705" s="295"/>
      <c r="AD705" s="295"/>
      <c r="AK705" s="295"/>
      <c r="BR705" s="188"/>
      <c r="BT705" s="296"/>
      <c r="BU705" s="296"/>
      <c r="BV705" s="296"/>
    </row>
    <row r="706" spans="2:74" ht="13">
      <c r="B706" s="294"/>
      <c r="C706" s="294"/>
      <c r="D706" s="294"/>
      <c r="E706" s="295"/>
      <c r="F706" s="294"/>
      <c r="G706" s="295"/>
      <c r="H706" s="295"/>
      <c r="P706" s="295"/>
      <c r="W706" s="295"/>
      <c r="AD706" s="295"/>
      <c r="AK706" s="295"/>
      <c r="BR706" s="188"/>
      <c r="BT706" s="296"/>
      <c r="BU706" s="296"/>
      <c r="BV706" s="296"/>
    </row>
    <row r="707" spans="2:74" ht="13">
      <c r="B707" s="294"/>
      <c r="C707" s="294"/>
      <c r="D707" s="294"/>
      <c r="E707" s="295"/>
      <c r="F707" s="294"/>
      <c r="G707" s="295"/>
      <c r="H707" s="295"/>
      <c r="P707" s="295"/>
      <c r="W707" s="295"/>
      <c r="AD707" s="295"/>
      <c r="AK707" s="295"/>
      <c r="BR707" s="188"/>
      <c r="BT707" s="296"/>
      <c r="BU707" s="296"/>
      <c r="BV707" s="296"/>
    </row>
    <row r="708" spans="2:74" ht="13">
      <c r="B708" s="294"/>
      <c r="C708" s="294"/>
      <c r="D708" s="294"/>
      <c r="E708" s="295"/>
      <c r="F708" s="294"/>
      <c r="G708" s="295"/>
      <c r="H708" s="295"/>
      <c r="P708" s="295"/>
      <c r="W708" s="295"/>
      <c r="AD708" s="295"/>
      <c r="AK708" s="295"/>
      <c r="BR708" s="188"/>
      <c r="BT708" s="296"/>
      <c r="BU708" s="296"/>
      <c r="BV708" s="296"/>
    </row>
    <row r="709" spans="2:74" ht="13">
      <c r="B709" s="294"/>
      <c r="C709" s="294"/>
      <c r="D709" s="294"/>
      <c r="E709" s="295"/>
      <c r="F709" s="294"/>
      <c r="G709" s="295"/>
      <c r="H709" s="295"/>
      <c r="P709" s="295"/>
      <c r="W709" s="295"/>
      <c r="AD709" s="295"/>
      <c r="AK709" s="295"/>
      <c r="BR709" s="188"/>
      <c r="BT709" s="296"/>
      <c r="BU709" s="296"/>
      <c r="BV709" s="296"/>
    </row>
    <row r="710" spans="2:74" ht="13">
      <c r="B710" s="294"/>
      <c r="C710" s="294"/>
      <c r="D710" s="294"/>
      <c r="E710" s="295"/>
      <c r="F710" s="294"/>
      <c r="G710" s="295"/>
      <c r="H710" s="295"/>
      <c r="P710" s="295"/>
      <c r="W710" s="295"/>
      <c r="AD710" s="295"/>
      <c r="AK710" s="295"/>
      <c r="BR710" s="188"/>
      <c r="BT710" s="296"/>
      <c r="BU710" s="296"/>
      <c r="BV710" s="296"/>
    </row>
    <row r="711" spans="2:74" ht="13">
      <c r="B711" s="294"/>
      <c r="C711" s="294"/>
      <c r="D711" s="294"/>
      <c r="E711" s="295"/>
      <c r="F711" s="294"/>
      <c r="G711" s="295"/>
      <c r="H711" s="295"/>
      <c r="P711" s="295"/>
      <c r="W711" s="295"/>
      <c r="AD711" s="295"/>
      <c r="AK711" s="295"/>
      <c r="BR711" s="188"/>
      <c r="BT711" s="296"/>
      <c r="BU711" s="296"/>
      <c r="BV711" s="296"/>
    </row>
    <row r="712" spans="2:74" ht="13">
      <c r="B712" s="294"/>
      <c r="C712" s="294"/>
      <c r="D712" s="294"/>
      <c r="E712" s="295"/>
      <c r="F712" s="294"/>
      <c r="G712" s="295"/>
      <c r="H712" s="295"/>
      <c r="P712" s="295"/>
      <c r="W712" s="295"/>
      <c r="AD712" s="295"/>
      <c r="AK712" s="295"/>
      <c r="BR712" s="188"/>
      <c r="BT712" s="296"/>
      <c r="BU712" s="296"/>
      <c r="BV712" s="296"/>
    </row>
    <row r="713" spans="2:74" ht="13">
      <c r="B713" s="294"/>
      <c r="C713" s="294"/>
      <c r="D713" s="294"/>
      <c r="E713" s="295"/>
      <c r="F713" s="294"/>
      <c r="G713" s="295"/>
      <c r="H713" s="295"/>
      <c r="P713" s="295"/>
      <c r="W713" s="295"/>
      <c r="AD713" s="295"/>
      <c r="AK713" s="295"/>
      <c r="BR713" s="188"/>
      <c r="BT713" s="296"/>
      <c r="BU713" s="296"/>
      <c r="BV713" s="296"/>
    </row>
    <row r="714" spans="2:74" ht="13">
      <c r="B714" s="294"/>
      <c r="C714" s="294"/>
      <c r="D714" s="294"/>
      <c r="E714" s="295"/>
      <c r="F714" s="294"/>
      <c r="G714" s="295"/>
      <c r="H714" s="295"/>
      <c r="P714" s="295"/>
      <c r="W714" s="295"/>
      <c r="AD714" s="295"/>
      <c r="AK714" s="295"/>
      <c r="BR714" s="188"/>
      <c r="BT714" s="296"/>
      <c r="BU714" s="296"/>
      <c r="BV714" s="296"/>
    </row>
    <row r="715" spans="2:74" ht="13">
      <c r="B715" s="294"/>
      <c r="C715" s="294"/>
      <c r="D715" s="294"/>
      <c r="E715" s="295"/>
      <c r="F715" s="294"/>
      <c r="G715" s="295"/>
      <c r="H715" s="295"/>
      <c r="P715" s="295"/>
      <c r="W715" s="295"/>
      <c r="AD715" s="295"/>
      <c r="AK715" s="295"/>
      <c r="BR715" s="188"/>
      <c r="BT715" s="296"/>
      <c r="BU715" s="296"/>
      <c r="BV715" s="296"/>
    </row>
    <row r="716" spans="2:74" ht="13">
      <c r="B716" s="294"/>
      <c r="C716" s="294"/>
      <c r="D716" s="294"/>
      <c r="E716" s="295"/>
      <c r="F716" s="294"/>
      <c r="G716" s="295"/>
      <c r="H716" s="295"/>
      <c r="P716" s="295"/>
      <c r="W716" s="295"/>
      <c r="AD716" s="295"/>
      <c r="AK716" s="295"/>
      <c r="BR716" s="188"/>
      <c r="BT716" s="296"/>
      <c r="BU716" s="296"/>
      <c r="BV716" s="296"/>
    </row>
    <row r="717" spans="2:74" ht="13">
      <c r="B717" s="294"/>
      <c r="C717" s="294"/>
      <c r="D717" s="294"/>
      <c r="E717" s="295"/>
      <c r="F717" s="294"/>
      <c r="G717" s="295"/>
      <c r="H717" s="295"/>
      <c r="P717" s="295"/>
      <c r="W717" s="295"/>
      <c r="AD717" s="295"/>
      <c r="AK717" s="295"/>
      <c r="BR717" s="188"/>
      <c r="BT717" s="296"/>
      <c r="BU717" s="296"/>
      <c r="BV717" s="296"/>
    </row>
    <row r="718" spans="2:74" ht="13">
      <c r="B718" s="294"/>
      <c r="C718" s="294"/>
      <c r="D718" s="294"/>
      <c r="E718" s="295"/>
      <c r="F718" s="294"/>
      <c r="G718" s="295"/>
      <c r="H718" s="295"/>
      <c r="P718" s="295"/>
      <c r="W718" s="295"/>
      <c r="AD718" s="295"/>
      <c r="AK718" s="295"/>
      <c r="BR718" s="188"/>
      <c r="BT718" s="296"/>
      <c r="BU718" s="296"/>
      <c r="BV718" s="296"/>
    </row>
    <row r="719" spans="2:74" ht="13">
      <c r="B719" s="294"/>
      <c r="C719" s="294"/>
      <c r="D719" s="294"/>
      <c r="E719" s="295"/>
      <c r="F719" s="294"/>
      <c r="G719" s="295"/>
      <c r="H719" s="295"/>
      <c r="P719" s="295"/>
      <c r="W719" s="295"/>
      <c r="AD719" s="295"/>
      <c r="AK719" s="295"/>
      <c r="BR719" s="188"/>
      <c r="BT719" s="296"/>
      <c r="BU719" s="296"/>
      <c r="BV719" s="296"/>
    </row>
    <row r="720" spans="2:74" ht="13">
      <c r="B720" s="294"/>
      <c r="C720" s="294"/>
      <c r="D720" s="294"/>
      <c r="E720" s="295"/>
      <c r="F720" s="294"/>
      <c r="G720" s="295"/>
      <c r="H720" s="295"/>
      <c r="P720" s="295"/>
      <c r="W720" s="295"/>
      <c r="AD720" s="295"/>
      <c r="AK720" s="295"/>
      <c r="BR720" s="188"/>
      <c r="BT720" s="296"/>
      <c r="BU720" s="296"/>
      <c r="BV720" s="296"/>
    </row>
    <row r="721" spans="2:74" ht="13">
      <c r="B721" s="294"/>
      <c r="C721" s="294"/>
      <c r="D721" s="294"/>
      <c r="E721" s="295"/>
      <c r="F721" s="294"/>
      <c r="G721" s="295"/>
      <c r="H721" s="295"/>
      <c r="P721" s="295"/>
      <c r="W721" s="295"/>
      <c r="AD721" s="295"/>
      <c r="AK721" s="295"/>
      <c r="BR721" s="188"/>
      <c r="BT721" s="296"/>
      <c r="BU721" s="296"/>
      <c r="BV721" s="296"/>
    </row>
    <row r="722" spans="2:74" ht="13">
      <c r="B722" s="294"/>
      <c r="C722" s="294"/>
      <c r="D722" s="294"/>
      <c r="E722" s="295"/>
      <c r="F722" s="294"/>
      <c r="G722" s="295"/>
      <c r="H722" s="295"/>
      <c r="P722" s="295"/>
      <c r="W722" s="295"/>
      <c r="AD722" s="295"/>
      <c r="AK722" s="295"/>
      <c r="BR722" s="188"/>
      <c r="BT722" s="296"/>
      <c r="BU722" s="296"/>
      <c r="BV722" s="296"/>
    </row>
    <row r="723" spans="2:74" ht="13">
      <c r="B723" s="294"/>
      <c r="C723" s="294"/>
      <c r="D723" s="294"/>
      <c r="E723" s="295"/>
      <c r="F723" s="294"/>
      <c r="G723" s="295"/>
      <c r="H723" s="295"/>
      <c r="P723" s="295"/>
      <c r="W723" s="295"/>
      <c r="AD723" s="295"/>
      <c r="AK723" s="295"/>
      <c r="BR723" s="188"/>
      <c r="BT723" s="296"/>
      <c r="BU723" s="296"/>
      <c r="BV723" s="296"/>
    </row>
    <row r="724" spans="2:74" ht="13">
      <c r="B724" s="294"/>
      <c r="C724" s="294"/>
      <c r="D724" s="294"/>
      <c r="E724" s="295"/>
      <c r="F724" s="294"/>
      <c r="G724" s="295"/>
      <c r="H724" s="295"/>
      <c r="P724" s="295"/>
      <c r="W724" s="295"/>
      <c r="AD724" s="295"/>
      <c r="AK724" s="295"/>
      <c r="BR724" s="188"/>
      <c r="BT724" s="296"/>
      <c r="BU724" s="296"/>
      <c r="BV724" s="296"/>
    </row>
    <row r="725" spans="2:74" ht="13">
      <c r="B725" s="294"/>
      <c r="C725" s="294"/>
      <c r="D725" s="294"/>
      <c r="E725" s="295"/>
      <c r="F725" s="294"/>
      <c r="G725" s="295"/>
      <c r="H725" s="295"/>
      <c r="P725" s="295"/>
      <c r="W725" s="295"/>
      <c r="AD725" s="295"/>
      <c r="AK725" s="295"/>
      <c r="BR725" s="188"/>
      <c r="BT725" s="296"/>
      <c r="BU725" s="296"/>
      <c r="BV725" s="296"/>
    </row>
    <row r="726" spans="2:74" ht="13">
      <c r="B726" s="294"/>
      <c r="C726" s="294"/>
      <c r="D726" s="294"/>
      <c r="E726" s="295"/>
      <c r="F726" s="294"/>
      <c r="G726" s="295"/>
      <c r="H726" s="295"/>
      <c r="P726" s="295"/>
      <c r="W726" s="295"/>
      <c r="AD726" s="295"/>
      <c r="AK726" s="295"/>
      <c r="BR726" s="188"/>
      <c r="BT726" s="296"/>
      <c r="BU726" s="296"/>
      <c r="BV726" s="296"/>
    </row>
    <row r="727" spans="2:74" ht="13">
      <c r="B727" s="294"/>
      <c r="C727" s="294"/>
      <c r="D727" s="294"/>
      <c r="E727" s="295"/>
      <c r="F727" s="294"/>
      <c r="G727" s="295"/>
      <c r="H727" s="295"/>
      <c r="P727" s="295"/>
      <c r="W727" s="295"/>
      <c r="AD727" s="295"/>
      <c r="AK727" s="295"/>
      <c r="BR727" s="188"/>
      <c r="BT727" s="296"/>
      <c r="BU727" s="296"/>
      <c r="BV727" s="296"/>
    </row>
    <row r="728" spans="2:74" ht="13">
      <c r="B728" s="294"/>
      <c r="C728" s="294"/>
      <c r="D728" s="294"/>
      <c r="E728" s="295"/>
      <c r="F728" s="294"/>
      <c r="G728" s="295"/>
      <c r="H728" s="295"/>
      <c r="P728" s="295"/>
      <c r="W728" s="295"/>
      <c r="AD728" s="295"/>
      <c r="AK728" s="295"/>
      <c r="BR728" s="188"/>
      <c r="BT728" s="296"/>
      <c r="BU728" s="296"/>
      <c r="BV728" s="296"/>
    </row>
    <row r="729" spans="2:74" ht="13">
      <c r="B729" s="294"/>
      <c r="C729" s="294"/>
      <c r="D729" s="294"/>
      <c r="E729" s="295"/>
      <c r="F729" s="294"/>
      <c r="G729" s="295"/>
      <c r="H729" s="295"/>
      <c r="P729" s="295"/>
      <c r="W729" s="295"/>
      <c r="AD729" s="295"/>
      <c r="AK729" s="295"/>
      <c r="BR729" s="188"/>
      <c r="BT729" s="296"/>
      <c r="BU729" s="296"/>
      <c r="BV729" s="296"/>
    </row>
    <row r="730" spans="2:74" ht="13">
      <c r="B730" s="294"/>
      <c r="C730" s="294"/>
      <c r="D730" s="294"/>
      <c r="E730" s="295"/>
      <c r="F730" s="294"/>
      <c r="G730" s="295"/>
      <c r="H730" s="295"/>
      <c r="P730" s="295"/>
      <c r="W730" s="295"/>
      <c r="AD730" s="295"/>
      <c r="AK730" s="295"/>
      <c r="BR730" s="188"/>
      <c r="BT730" s="296"/>
      <c r="BU730" s="296"/>
      <c r="BV730" s="296"/>
    </row>
    <row r="731" spans="2:74" ht="13">
      <c r="B731" s="294"/>
      <c r="C731" s="294"/>
      <c r="D731" s="294"/>
      <c r="E731" s="295"/>
      <c r="F731" s="294"/>
      <c r="G731" s="295"/>
      <c r="H731" s="295"/>
      <c r="P731" s="295"/>
      <c r="W731" s="295"/>
      <c r="AD731" s="295"/>
      <c r="AK731" s="295"/>
      <c r="BR731" s="188"/>
      <c r="BT731" s="296"/>
      <c r="BU731" s="296"/>
      <c r="BV731" s="296"/>
    </row>
    <row r="732" spans="2:74" ht="13">
      <c r="B732" s="294"/>
      <c r="C732" s="294"/>
      <c r="D732" s="294"/>
      <c r="E732" s="295"/>
      <c r="F732" s="294"/>
      <c r="G732" s="295"/>
      <c r="H732" s="295"/>
      <c r="P732" s="295"/>
      <c r="W732" s="295"/>
      <c r="AD732" s="295"/>
      <c r="AK732" s="295"/>
      <c r="BR732" s="188"/>
      <c r="BT732" s="296"/>
      <c r="BU732" s="296"/>
      <c r="BV732" s="296"/>
    </row>
    <row r="733" spans="2:74" ht="13">
      <c r="B733" s="294"/>
      <c r="C733" s="294"/>
      <c r="D733" s="294"/>
      <c r="E733" s="295"/>
      <c r="F733" s="294"/>
      <c r="G733" s="295"/>
      <c r="H733" s="295"/>
      <c r="P733" s="295"/>
      <c r="W733" s="295"/>
      <c r="AD733" s="295"/>
      <c r="AK733" s="295"/>
      <c r="BR733" s="188"/>
      <c r="BT733" s="296"/>
      <c r="BU733" s="296"/>
      <c r="BV733" s="296"/>
    </row>
    <row r="734" spans="2:74" ht="13">
      <c r="B734" s="294"/>
      <c r="C734" s="294"/>
      <c r="D734" s="294"/>
      <c r="E734" s="295"/>
      <c r="F734" s="294"/>
      <c r="G734" s="295"/>
      <c r="H734" s="295"/>
      <c r="P734" s="295"/>
      <c r="W734" s="295"/>
      <c r="AD734" s="295"/>
      <c r="AK734" s="295"/>
      <c r="BR734" s="188"/>
      <c r="BT734" s="296"/>
      <c r="BU734" s="296"/>
      <c r="BV734" s="296"/>
    </row>
    <row r="735" spans="2:74" ht="13">
      <c r="B735" s="294"/>
      <c r="C735" s="294"/>
      <c r="D735" s="294"/>
      <c r="E735" s="295"/>
      <c r="F735" s="294"/>
      <c r="G735" s="295"/>
      <c r="H735" s="295"/>
      <c r="P735" s="295"/>
      <c r="W735" s="295"/>
      <c r="AD735" s="295"/>
      <c r="AK735" s="295"/>
      <c r="BR735" s="188"/>
      <c r="BT735" s="296"/>
      <c r="BU735" s="296"/>
      <c r="BV735" s="296"/>
    </row>
    <row r="736" spans="2:74" ht="13">
      <c r="B736" s="294"/>
      <c r="C736" s="294"/>
      <c r="D736" s="294"/>
      <c r="E736" s="295"/>
      <c r="F736" s="294"/>
      <c r="G736" s="295"/>
      <c r="H736" s="295"/>
      <c r="P736" s="295"/>
      <c r="W736" s="295"/>
      <c r="AD736" s="295"/>
      <c r="AK736" s="295"/>
      <c r="BR736" s="188"/>
      <c r="BT736" s="296"/>
      <c r="BU736" s="296"/>
      <c r="BV736" s="296"/>
    </row>
    <row r="737" spans="2:74" ht="13">
      <c r="B737" s="294"/>
      <c r="C737" s="294"/>
      <c r="D737" s="294"/>
      <c r="E737" s="295"/>
      <c r="F737" s="294"/>
      <c r="G737" s="295"/>
      <c r="H737" s="295"/>
      <c r="P737" s="295"/>
      <c r="W737" s="295"/>
      <c r="AD737" s="295"/>
      <c r="AK737" s="295"/>
      <c r="BR737" s="188"/>
      <c r="BT737" s="296"/>
      <c r="BU737" s="296"/>
      <c r="BV737" s="296"/>
    </row>
    <row r="738" spans="2:74" ht="13">
      <c r="B738" s="294"/>
      <c r="C738" s="294"/>
      <c r="D738" s="294"/>
      <c r="E738" s="295"/>
      <c r="F738" s="294"/>
      <c r="G738" s="295"/>
      <c r="H738" s="295"/>
      <c r="P738" s="295"/>
      <c r="W738" s="295"/>
      <c r="AD738" s="295"/>
      <c r="AK738" s="295"/>
      <c r="BR738" s="188"/>
      <c r="BT738" s="296"/>
      <c r="BU738" s="296"/>
      <c r="BV738" s="296"/>
    </row>
    <row r="739" spans="2:74" ht="13">
      <c r="B739" s="294"/>
      <c r="C739" s="294"/>
      <c r="D739" s="294"/>
      <c r="E739" s="295"/>
      <c r="F739" s="294"/>
      <c r="G739" s="295"/>
      <c r="H739" s="295"/>
      <c r="P739" s="295"/>
      <c r="W739" s="295"/>
      <c r="AD739" s="295"/>
      <c r="AK739" s="295"/>
      <c r="BR739" s="188"/>
      <c r="BT739" s="296"/>
      <c r="BU739" s="296"/>
      <c r="BV739" s="296"/>
    </row>
    <row r="740" spans="2:74" ht="13">
      <c r="B740" s="294"/>
      <c r="C740" s="294"/>
      <c r="D740" s="294"/>
      <c r="E740" s="295"/>
      <c r="F740" s="294"/>
      <c r="G740" s="295"/>
      <c r="H740" s="295"/>
      <c r="P740" s="295"/>
      <c r="W740" s="295"/>
      <c r="AD740" s="295"/>
      <c r="AK740" s="295"/>
      <c r="BR740" s="188"/>
      <c r="BT740" s="296"/>
      <c r="BU740" s="296"/>
      <c r="BV740" s="296"/>
    </row>
    <row r="741" spans="2:74" ht="13">
      <c r="B741" s="294"/>
      <c r="C741" s="294"/>
      <c r="D741" s="294"/>
      <c r="E741" s="295"/>
      <c r="F741" s="294"/>
      <c r="G741" s="295"/>
      <c r="H741" s="295"/>
      <c r="P741" s="295"/>
      <c r="W741" s="295"/>
      <c r="AD741" s="295"/>
      <c r="AK741" s="295"/>
      <c r="BR741" s="188"/>
      <c r="BT741" s="296"/>
      <c r="BU741" s="296"/>
      <c r="BV741" s="296"/>
    </row>
    <row r="742" spans="2:74" ht="13">
      <c r="B742" s="294"/>
      <c r="C742" s="294"/>
      <c r="D742" s="294"/>
      <c r="E742" s="295"/>
      <c r="F742" s="294"/>
      <c r="G742" s="295"/>
      <c r="H742" s="295"/>
      <c r="P742" s="295"/>
      <c r="W742" s="295"/>
      <c r="AD742" s="295"/>
      <c r="AK742" s="295"/>
      <c r="BR742" s="188"/>
      <c r="BT742" s="296"/>
      <c r="BU742" s="296"/>
      <c r="BV742" s="296"/>
    </row>
    <row r="743" spans="2:74" ht="13">
      <c r="B743" s="294"/>
      <c r="C743" s="294"/>
      <c r="D743" s="294"/>
      <c r="E743" s="295"/>
      <c r="F743" s="294"/>
      <c r="G743" s="295"/>
      <c r="H743" s="295"/>
      <c r="P743" s="295"/>
      <c r="W743" s="295"/>
      <c r="AD743" s="295"/>
      <c r="AK743" s="295"/>
      <c r="BR743" s="188"/>
      <c r="BT743" s="296"/>
      <c r="BU743" s="296"/>
      <c r="BV743" s="296"/>
    </row>
    <row r="744" spans="2:74" ht="13">
      <c r="B744" s="294"/>
      <c r="C744" s="294"/>
      <c r="D744" s="294"/>
      <c r="E744" s="295"/>
      <c r="F744" s="294"/>
      <c r="G744" s="295"/>
      <c r="H744" s="295"/>
      <c r="P744" s="295"/>
      <c r="W744" s="295"/>
      <c r="AD744" s="295"/>
      <c r="AK744" s="295"/>
      <c r="BR744" s="188"/>
      <c r="BT744" s="296"/>
      <c r="BU744" s="296"/>
      <c r="BV744" s="296"/>
    </row>
    <row r="745" spans="2:74" ht="13">
      <c r="B745" s="294"/>
      <c r="C745" s="294"/>
      <c r="D745" s="294"/>
      <c r="E745" s="295"/>
      <c r="F745" s="294"/>
      <c r="G745" s="295"/>
      <c r="H745" s="295"/>
      <c r="P745" s="295"/>
      <c r="W745" s="295"/>
      <c r="AD745" s="295"/>
      <c r="AK745" s="295"/>
      <c r="BR745" s="188"/>
      <c r="BT745" s="296"/>
      <c r="BU745" s="296"/>
      <c r="BV745" s="296"/>
    </row>
    <row r="746" spans="2:74" ht="13">
      <c r="B746" s="294"/>
      <c r="C746" s="294"/>
      <c r="D746" s="294"/>
      <c r="E746" s="295"/>
      <c r="F746" s="294"/>
      <c r="G746" s="295"/>
      <c r="H746" s="295"/>
      <c r="P746" s="295"/>
      <c r="W746" s="295"/>
      <c r="AD746" s="295"/>
      <c r="AK746" s="295"/>
      <c r="BR746" s="188"/>
      <c r="BT746" s="296"/>
      <c r="BU746" s="296"/>
      <c r="BV746" s="296"/>
    </row>
    <row r="747" spans="2:74" ht="13">
      <c r="B747" s="294"/>
      <c r="C747" s="294"/>
      <c r="D747" s="294"/>
      <c r="E747" s="295"/>
      <c r="F747" s="294"/>
      <c r="G747" s="295"/>
      <c r="H747" s="295"/>
      <c r="P747" s="295"/>
      <c r="W747" s="295"/>
      <c r="AD747" s="295"/>
      <c r="AK747" s="295"/>
      <c r="BR747" s="188"/>
      <c r="BT747" s="296"/>
      <c r="BU747" s="296"/>
      <c r="BV747" s="296"/>
    </row>
    <row r="748" spans="2:74" ht="13">
      <c r="B748" s="294"/>
      <c r="C748" s="294"/>
      <c r="D748" s="294"/>
      <c r="E748" s="295"/>
      <c r="F748" s="294"/>
      <c r="G748" s="295"/>
      <c r="H748" s="295"/>
      <c r="P748" s="295"/>
      <c r="W748" s="295"/>
      <c r="AD748" s="295"/>
      <c r="AK748" s="295"/>
      <c r="BR748" s="188"/>
      <c r="BT748" s="296"/>
      <c r="BU748" s="296"/>
      <c r="BV748" s="296"/>
    </row>
    <row r="749" spans="2:74" ht="13">
      <c r="B749" s="294"/>
      <c r="C749" s="294"/>
      <c r="D749" s="294"/>
      <c r="E749" s="295"/>
      <c r="F749" s="294"/>
      <c r="G749" s="295"/>
      <c r="H749" s="295"/>
      <c r="P749" s="295"/>
      <c r="W749" s="295"/>
      <c r="AD749" s="295"/>
      <c r="AK749" s="295"/>
      <c r="BR749" s="188"/>
      <c r="BT749" s="296"/>
      <c r="BU749" s="296"/>
      <c r="BV749" s="296"/>
    </row>
    <row r="750" spans="2:74" ht="13">
      <c r="B750" s="294"/>
      <c r="C750" s="294"/>
      <c r="D750" s="294"/>
      <c r="E750" s="295"/>
      <c r="F750" s="294"/>
      <c r="G750" s="295"/>
      <c r="H750" s="295"/>
      <c r="P750" s="295"/>
      <c r="W750" s="295"/>
      <c r="AD750" s="295"/>
      <c r="AK750" s="295"/>
      <c r="BR750" s="188"/>
      <c r="BT750" s="296"/>
      <c r="BU750" s="296"/>
      <c r="BV750" s="296"/>
    </row>
    <row r="751" spans="2:74" ht="13">
      <c r="B751" s="294"/>
      <c r="C751" s="294"/>
      <c r="D751" s="294"/>
      <c r="E751" s="295"/>
      <c r="F751" s="294"/>
      <c r="G751" s="295"/>
      <c r="H751" s="295"/>
      <c r="P751" s="295"/>
      <c r="W751" s="295"/>
      <c r="AD751" s="295"/>
      <c r="AK751" s="295"/>
      <c r="BR751" s="188"/>
      <c r="BT751" s="296"/>
      <c r="BU751" s="296"/>
      <c r="BV751" s="296"/>
    </row>
    <row r="752" spans="2:74" ht="13">
      <c r="B752" s="294"/>
      <c r="C752" s="294"/>
      <c r="D752" s="294"/>
      <c r="E752" s="295"/>
      <c r="F752" s="294"/>
      <c r="G752" s="295"/>
      <c r="H752" s="295"/>
      <c r="P752" s="295"/>
      <c r="W752" s="295"/>
      <c r="AD752" s="295"/>
      <c r="AK752" s="295"/>
      <c r="BR752" s="188"/>
      <c r="BT752" s="296"/>
      <c r="BU752" s="296"/>
      <c r="BV752" s="296"/>
    </row>
    <row r="753" spans="2:74" ht="13">
      <c r="B753" s="294"/>
      <c r="C753" s="294"/>
      <c r="D753" s="294"/>
      <c r="E753" s="295"/>
      <c r="F753" s="294"/>
      <c r="G753" s="295"/>
      <c r="H753" s="295"/>
      <c r="P753" s="295"/>
      <c r="W753" s="295"/>
      <c r="AD753" s="295"/>
      <c r="AK753" s="295"/>
      <c r="BR753" s="188"/>
      <c r="BT753" s="296"/>
      <c r="BU753" s="296"/>
      <c r="BV753" s="296"/>
    </row>
    <row r="754" spans="2:74" ht="13">
      <c r="B754" s="294"/>
      <c r="C754" s="294"/>
      <c r="D754" s="294"/>
      <c r="E754" s="295"/>
      <c r="F754" s="294"/>
      <c r="G754" s="295"/>
      <c r="H754" s="295"/>
      <c r="P754" s="295"/>
      <c r="W754" s="295"/>
      <c r="AD754" s="295"/>
      <c r="AK754" s="295"/>
      <c r="BR754" s="188"/>
      <c r="BT754" s="296"/>
      <c r="BU754" s="296"/>
      <c r="BV754" s="296"/>
    </row>
    <row r="755" spans="2:74" ht="13">
      <c r="B755" s="294"/>
      <c r="C755" s="294"/>
      <c r="D755" s="294"/>
      <c r="E755" s="295"/>
      <c r="F755" s="294"/>
      <c r="G755" s="295"/>
      <c r="H755" s="295"/>
      <c r="P755" s="295"/>
      <c r="W755" s="295"/>
      <c r="AD755" s="295"/>
      <c r="AK755" s="295"/>
      <c r="BR755" s="188"/>
      <c r="BT755" s="296"/>
      <c r="BU755" s="296"/>
      <c r="BV755" s="296"/>
    </row>
    <row r="756" spans="2:74" ht="13">
      <c r="B756" s="294"/>
      <c r="C756" s="294"/>
      <c r="D756" s="294"/>
      <c r="E756" s="295"/>
      <c r="F756" s="294"/>
      <c r="G756" s="295"/>
      <c r="H756" s="295"/>
      <c r="P756" s="295"/>
      <c r="W756" s="295"/>
      <c r="AD756" s="295"/>
      <c r="AK756" s="295"/>
      <c r="BR756" s="188"/>
      <c r="BT756" s="296"/>
      <c r="BU756" s="296"/>
      <c r="BV756" s="296"/>
    </row>
    <row r="757" spans="2:74" ht="13">
      <c r="B757" s="294"/>
      <c r="C757" s="294"/>
      <c r="D757" s="294"/>
      <c r="E757" s="295"/>
      <c r="F757" s="294"/>
      <c r="G757" s="295"/>
      <c r="H757" s="295"/>
      <c r="P757" s="295"/>
      <c r="W757" s="295"/>
      <c r="AD757" s="295"/>
      <c r="AK757" s="295"/>
      <c r="BR757" s="188"/>
      <c r="BT757" s="296"/>
      <c r="BU757" s="296"/>
      <c r="BV757" s="296"/>
    </row>
    <row r="758" spans="2:74" ht="13">
      <c r="B758" s="294"/>
      <c r="C758" s="294"/>
      <c r="D758" s="294"/>
      <c r="E758" s="295"/>
      <c r="F758" s="294"/>
      <c r="G758" s="295"/>
      <c r="H758" s="295"/>
      <c r="P758" s="295"/>
      <c r="W758" s="295"/>
      <c r="AD758" s="295"/>
      <c r="AK758" s="295"/>
      <c r="BR758" s="188"/>
      <c r="BT758" s="296"/>
      <c r="BU758" s="296"/>
      <c r="BV758" s="296"/>
    </row>
    <row r="759" spans="2:74" ht="13">
      <c r="B759" s="294"/>
      <c r="C759" s="294"/>
      <c r="D759" s="294"/>
      <c r="E759" s="295"/>
      <c r="F759" s="294"/>
      <c r="G759" s="295"/>
      <c r="H759" s="295"/>
      <c r="P759" s="295"/>
      <c r="W759" s="295"/>
      <c r="AD759" s="295"/>
      <c r="AK759" s="295"/>
      <c r="BR759" s="188"/>
      <c r="BT759" s="296"/>
      <c r="BU759" s="296"/>
      <c r="BV759" s="296"/>
    </row>
    <row r="760" spans="2:74" ht="13">
      <c r="B760" s="294"/>
      <c r="C760" s="294"/>
      <c r="D760" s="294"/>
      <c r="E760" s="295"/>
      <c r="F760" s="294"/>
      <c r="G760" s="295"/>
      <c r="H760" s="295"/>
      <c r="P760" s="295"/>
      <c r="W760" s="295"/>
      <c r="AD760" s="295"/>
      <c r="AK760" s="295"/>
      <c r="BR760" s="188"/>
      <c r="BT760" s="296"/>
      <c r="BU760" s="296"/>
      <c r="BV760" s="296"/>
    </row>
    <row r="761" spans="2:74" ht="13">
      <c r="B761" s="294"/>
      <c r="C761" s="294"/>
      <c r="D761" s="294"/>
      <c r="E761" s="295"/>
      <c r="F761" s="294"/>
      <c r="G761" s="295"/>
      <c r="H761" s="295"/>
      <c r="P761" s="295"/>
      <c r="W761" s="295"/>
      <c r="AD761" s="295"/>
      <c r="AK761" s="295"/>
      <c r="BR761" s="188"/>
      <c r="BT761" s="296"/>
      <c r="BU761" s="296"/>
      <c r="BV761" s="296"/>
    </row>
    <row r="762" spans="2:74" ht="13">
      <c r="B762" s="294"/>
      <c r="C762" s="294"/>
      <c r="D762" s="294"/>
      <c r="E762" s="295"/>
      <c r="F762" s="294"/>
      <c r="G762" s="295"/>
      <c r="H762" s="295"/>
      <c r="P762" s="295"/>
      <c r="W762" s="295"/>
      <c r="AD762" s="295"/>
      <c r="AK762" s="295"/>
      <c r="BR762" s="188"/>
      <c r="BT762" s="296"/>
      <c r="BU762" s="296"/>
      <c r="BV762" s="296"/>
    </row>
    <row r="763" spans="2:74" ht="13">
      <c r="B763" s="294"/>
      <c r="C763" s="294"/>
      <c r="D763" s="294"/>
      <c r="E763" s="295"/>
      <c r="F763" s="294"/>
      <c r="G763" s="295"/>
      <c r="H763" s="295"/>
      <c r="P763" s="295"/>
      <c r="W763" s="295"/>
      <c r="AD763" s="295"/>
      <c r="AK763" s="295"/>
      <c r="BR763" s="188"/>
      <c r="BT763" s="296"/>
      <c r="BU763" s="296"/>
      <c r="BV763" s="296"/>
    </row>
    <row r="764" spans="2:74" ht="13">
      <c r="B764" s="294"/>
      <c r="C764" s="294"/>
      <c r="D764" s="294"/>
      <c r="E764" s="295"/>
      <c r="F764" s="294"/>
      <c r="G764" s="295"/>
      <c r="H764" s="295"/>
      <c r="P764" s="295"/>
      <c r="W764" s="295"/>
      <c r="AD764" s="295"/>
      <c r="AK764" s="295"/>
      <c r="BR764" s="188"/>
      <c r="BT764" s="296"/>
      <c r="BU764" s="296"/>
      <c r="BV764" s="296"/>
    </row>
    <row r="765" spans="2:74" ht="13">
      <c r="B765" s="294"/>
      <c r="C765" s="294"/>
      <c r="D765" s="294"/>
      <c r="E765" s="295"/>
      <c r="F765" s="294"/>
      <c r="G765" s="295"/>
      <c r="H765" s="295"/>
      <c r="P765" s="295"/>
      <c r="W765" s="295"/>
      <c r="AD765" s="295"/>
      <c r="AK765" s="295"/>
      <c r="BR765" s="188"/>
      <c r="BT765" s="296"/>
      <c r="BU765" s="296"/>
      <c r="BV765" s="296"/>
    </row>
    <row r="766" spans="2:74" ht="13">
      <c r="B766" s="294"/>
      <c r="C766" s="294"/>
      <c r="D766" s="294"/>
      <c r="E766" s="295"/>
      <c r="F766" s="294"/>
      <c r="G766" s="295"/>
      <c r="H766" s="295"/>
      <c r="P766" s="295"/>
      <c r="W766" s="295"/>
      <c r="AD766" s="295"/>
      <c r="AK766" s="295"/>
      <c r="BR766" s="188"/>
      <c r="BT766" s="296"/>
      <c r="BU766" s="296"/>
      <c r="BV766" s="296"/>
    </row>
    <row r="767" spans="2:74" ht="13">
      <c r="B767" s="294"/>
      <c r="C767" s="294"/>
      <c r="D767" s="294"/>
      <c r="E767" s="295"/>
      <c r="F767" s="294"/>
      <c r="G767" s="295"/>
      <c r="H767" s="295"/>
      <c r="P767" s="295"/>
      <c r="W767" s="295"/>
      <c r="AD767" s="295"/>
      <c r="AK767" s="295"/>
      <c r="BR767" s="188"/>
      <c r="BT767" s="296"/>
      <c r="BU767" s="296"/>
      <c r="BV767" s="296"/>
    </row>
    <row r="768" spans="2:74" ht="13">
      <c r="B768" s="294"/>
      <c r="C768" s="294"/>
      <c r="D768" s="294"/>
      <c r="E768" s="295"/>
      <c r="F768" s="294"/>
      <c r="G768" s="295"/>
      <c r="H768" s="295"/>
      <c r="P768" s="295"/>
      <c r="W768" s="295"/>
      <c r="AD768" s="295"/>
      <c r="AK768" s="295"/>
      <c r="BR768" s="188"/>
      <c r="BT768" s="296"/>
      <c r="BU768" s="296"/>
      <c r="BV768" s="296"/>
    </row>
    <row r="769" spans="2:74" ht="13">
      <c r="B769" s="294"/>
      <c r="C769" s="294"/>
      <c r="D769" s="294"/>
      <c r="E769" s="295"/>
      <c r="F769" s="294"/>
      <c r="G769" s="295"/>
      <c r="H769" s="295"/>
      <c r="P769" s="295"/>
      <c r="W769" s="295"/>
      <c r="AD769" s="295"/>
      <c r="AK769" s="295"/>
      <c r="BR769" s="188"/>
      <c r="BT769" s="296"/>
      <c r="BU769" s="296"/>
      <c r="BV769" s="296"/>
    </row>
    <row r="770" spans="2:74" ht="13">
      <c r="B770" s="294"/>
      <c r="C770" s="294"/>
      <c r="D770" s="294"/>
      <c r="E770" s="295"/>
      <c r="F770" s="294"/>
      <c r="G770" s="295"/>
      <c r="H770" s="295"/>
      <c r="P770" s="295"/>
      <c r="W770" s="295"/>
      <c r="AD770" s="295"/>
      <c r="AK770" s="295"/>
      <c r="BR770" s="188"/>
      <c r="BT770" s="296"/>
      <c r="BU770" s="296"/>
      <c r="BV770" s="296"/>
    </row>
    <row r="771" spans="2:74" ht="13">
      <c r="B771" s="294"/>
      <c r="C771" s="294"/>
      <c r="D771" s="294"/>
      <c r="E771" s="295"/>
      <c r="F771" s="294"/>
      <c r="G771" s="295"/>
      <c r="H771" s="295"/>
      <c r="P771" s="295"/>
      <c r="W771" s="295"/>
      <c r="AD771" s="295"/>
      <c r="AK771" s="295"/>
      <c r="BR771" s="188"/>
      <c r="BT771" s="296"/>
      <c r="BU771" s="296"/>
      <c r="BV771" s="296"/>
    </row>
    <row r="772" spans="2:74" ht="13">
      <c r="B772" s="294"/>
      <c r="C772" s="294"/>
      <c r="D772" s="294"/>
      <c r="E772" s="295"/>
      <c r="F772" s="294"/>
      <c r="G772" s="295"/>
      <c r="H772" s="295"/>
      <c r="P772" s="295"/>
      <c r="W772" s="295"/>
      <c r="AD772" s="295"/>
      <c r="AK772" s="295"/>
      <c r="BR772" s="188"/>
      <c r="BT772" s="296"/>
      <c r="BU772" s="296"/>
      <c r="BV772" s="296"/>
    </row>
    <row r="773" spans="2:74" ht="13">
      <c r="B773" s="294"/>
      <c r="C773" s="294"/>
      <c r="D773" s="294"/>
      <c r="E773" s="295"/>
      <c r="F773" s="294"/>
      <c r="G773" s="295"/>
      <c r="H773" s="295"/>
      <c r="P773" s="295"/>
      <c r="W773" s="295"/>
      <c r="AD773" s="295"/>
      <c r="AK773" s="295"/>
      <c r="BR773" s="188"/>
      <c r="BT773" s="296"/>
      <c r="BU773" s="296"/>
      <c r="BV773" s="296"/>
    </row>
    <row r="774" spans="2:74" ht="13">
      <c r="B774" s="294"/>
      <c r="C774" s="294"/>
      <c r="D774" s="294"/>
      <c r="E774" s="295"/>
      <c r="F774" s="294"/>
      <c r="G774" s="295"/>
      <c r="H774" s="295"/>
      <c r="P774" s="295"/>
      <c r="W774" s="295"/>
      <c r="AD774" s="295"/>
      <c r="AK774" s="295"/>
      <c r="BR774" s="188"/>
      <c r="BT774" s="296"/>
      <c r="BU774" s="296"/>
      <c r="BV774" s="296"/>
    </row>
    <row r="775" spans="2:74" ht="13">
      <c r="B775" s="294"/>
      <c r="C775" s="294"/>
      <c r="D775" s="294"/>
      <c r="E775" s="295"/>
      <c r="F775" s="294"/>
      <c r="G775" s="295"/>
      <c r="H775" s="295"/>
      <c r="P775" s="295"/>
      <c r="W775" s="295"/>
      <c r="AD775" s="295"/>
      <c r="AK775" s="295"/>
      <c r="BR775" s="188"/>
      <c r="BT775" s="296"/>
      <c r="BU775" s="296"/>
      <c r="BV775" s="296"/>
    </row>
    <row r="776" spans="2:74" ht="13">
      <c r="B776" s="294"/>
      <c r="C776" s="294"/>
      <c r="D776" s="294"/>
      <c r="E776" s="295"/>
      <c r="F776" s="294"/>
      <c r="G776" s="295"/>
      <c r="H776" s="295"/>
      <c r="P776" s="295"/>
      <c r="W776" s="295"/>
      <c r="AD776" s="295"/>
      <c r="AK776" s="295"/>
      <c r="BR776" s="188"/>
      <c r="BT776" s="296"/>
      <c r="BU776" s="296"/>
      <c r="BV776" s="296"/>
    </row>
    <row r="777" spans="2:74" ht="13">
      <c r="B777" s="294"/>
      <c r="C777" s="294"/>
      <c r="D777" s="294"/>
      <c r="E777" s="295"/>
      <c r="F777" s="294"/>
      <c r="G777" s="295"/>
      <c r="H777" s="295"/>
      <c r="P777" s="295"/>
      <c r="W777" s="295"/>
      <c r="AD777" s="295"/>
      <c r="AK777" s="295"/>
      <c r="BR777" s="188"/>
      <c r="BT777" s="296"/>
      <c r="BU777" s="296"/>
      <c r="BV777" s="296"/>
    </row>
    <row r="778" spans="2:74" ht="13">
      <c r="B778" s="294"/>
      <c r="C778" s="294"/>
      <c r="D778" s="294"/>
      <c r="E778" s="295"/>
      <c r="F778" s="294"/>
      <c r="G778" s="295"/>
      <c r="H778" s="295"/>
      <c r="P778" s="295"/>
      <c r="W778" s="295"/>
      <c r="AD778" s="295"/>
      <c r="AK778" s="295"/>
      <c r="BR778" s="188"/>
      <c r="BT778" s="296"/>
      <c r="BU778" s="296"/>
      <c r="BV778" s="296"/>
    </row>
    <row r="779" spans="2:74" ht="13">
      <c r="B779" s="294"/>
      <c r="C779" s="294"/>
      <c r="D779" s="294"/>
      <c r="E779" s="295"/>
      <c r="F779" s="294"/>
      <c r="G779" s="295"/>
      <c r="H779" s="295"/>
      <c r="P779" s="295"/>
      <c r="W779" s="295"/>
      <c r="AD779" s="295"/>
      <c r="AK779" s="295"/>
      <c r="BR779" s="188"/>
      <c r="BT779" s="296"/>
      <c r="BU779" s="296"/>
      <c r="BV779" s="296"/>
    </row>
    <row r="780" spans="2:74" ht="13">
      <c r="B780" s="294"/>
      <c r="C780" s="294"/>
      <c r="D780" s="294"/>
      <c r="E780" s="295"/>
      <c r="F780" s="294"/>
      <c r="G780" s="295"/>
      <c r="H780" s="295"/>
      <c r="P780" s="295"/>
      <c r="W780" s="295"/>
      <c r="AD780" s="295"/>
      <c r="AK780" s="295"/>
      <c r="BR780" s="188"/>
      <c r="BT780" s="296"/>
      <c r="BU780" s="296"/>
      <c r="BV780" s="296"/>
    </row>
    <row r="781" spans="2:74" ht="13">
      <c r="B781" s="294"/>
      <c r="C781" s="294"/>
      <c r="D781" s="294"/>
      <c r="E781" s="295"/>
      <c r="F781" s="294"/>
      <c r="G781" s="295"/>
      <c r="H781" s="295"/>
      <c r="P781" s="295"/>
      <c r="W781" s="295"/>
      <c r="AD781" s="295"/>
      <c r="AK781" s="295"/>
      <c r="BR781" s="188"/>
      <c r="BT781" s="296"/>
      <c r="BU781" s="296"/>
      <c r="BV781" s="296"/>
    </row>
    <row r="782" spans="2:74" ht="13">
      <c r="B782" s="294"/>
      <c r="C782" s="294"/>
      <c r="D782" s="294"/>
      <c r="E782" s="295"/>
      <c r="F782" s="294"/>
      <c r="G782" s="295"/>
      <c r="H782" s="295"/>
      <c r="P782" s="295"/>
      <c r="W782" s="295"/>
      <c r="AD782" s="295"/>
      <c r="AK782" s="295"/>
      <c r="BR782" s="188"/>
      <c r="BT782" s="296"/>
      <c r="BU782" s="296"/>
      <c r="BV782" s="296"/>
    </row>
    <row r="783" spans="2:74" ht="13">
      <c r="B783" s="294"/>
      <c r="C783" s="294"/>
      <c r="D783" s="294"/>
      <c r="E783" s="295"/>
      <c r="F783" s="294"/>
      <c r="G783" s="295"/>
      <c r="H783" s="295"/>
      <c r="P783" s="295"/>
      <c r="W783" s="295"/>
      <c r="AD783" s="295"/>
      <c r="AK783" s="295"/>
      <c r="BR783" s="188"/>
      <c r="BT783" s="296"/>
      <c r="BU783" s="296"/>
      <c r="BV783" s="296"/>
    </row>
    <row r="784" spans="2:74" ht="13">
      <c r="B784" s="294"/>
      <c r="C784" s="294"/>
      <c r="D784" s="294"/>
      <c r="E784" s="295"/>
      <c r="F784" s="294"/>
      <c r="G784" s="295"/>
      <c r="H784" s="295"/>
      <c r="P784" s="295"/>
      <c r="W784" s="295"/>
      <c r="AD784" s="295"/>
      <c r="AK784" s="295"/>
      <c r="BR784" s="188"/>
      <c r="BT784" s="296"/>
      <c r="BU784" s="296"/>
      <c r="BV784" s="296"/>
    </row>
    <row r="785" spans="2:74" ht="13">
      <c r="B785" s="294"/>
      <c r="C785" s="294"/>
      <c r="D785" s="294"/>
      <c r="E785" s="295"/>
      <c r="F785" s="294"/>
      <c r="G785" s="295"/>
      <c r="H785" s="295"/>
      <c r="P785" s="295"/>
      <c r="W785" s="295"/>
      <c r="AD785" s="295"/>
      <c r="AK785" s="295"/>
      <c r="BR785" s="188"/>
      <c r="BT785" s="296"/>
      <c r="BU785" s="296"/>
      <c r="BV785" s="296"/>
    </row>
    <row r="786" spans="2:74" ht="13">
      <c r="B786" s="294"/>
      <c r="C786" s="294"/>
      <c r="D786" s="294"/>
      <c r="E786" s="295"/>
      <c r="F786" s="294"/>
      <c r="G786" s="295"/>
      <c r="H786" s="295"/>
      <c r="P786" s="295"/>
      <c r="W786" s="295"/>
      <c r="AD786" s="295"/>
      <c r="AK786" s="295"/>
      <c r="BR786" s="188"/>
      <c r="BT786" s="296"/>
      <c r="BU786" s="296"/>
      <c r="BV786" s="296"/>
    </row>
    <row r="787" spans="2:74" ht="13">
      <c r="B787" s="294"/>
      <c r="C787" s="294"/>
      <c r="D787" s="294"/>
      <c r="E787" s="295"/>
      <c r="F787" s="294"/>
      <c r="G787" s="295"/>
      <c r="H787" s="295"/>
      <c r="P787" s="295"/>
      <c r="W787" s="295"/>
      <c r="AD787" s="295"/>
      <c r="AK787" s="295"/>
      <c r="BR787" s="188"/>
      <c r="BT787" s="296"/>
      <c r="BU787" s="296"/>
      <c r="BV787" s="296"/>
    </row>
    <row r="788" spans="2:74" ht="13">
      <c r="B788" s="294"/>
      <c r="C788" s="294"/>
      <c r="D788" s="294"/>
      <c r="E788" s="295"/>
      <c r="F788" s="294"/>
      <c r="G788" s="295"/>
      <c r="H788" s="295"/>
      <c r="P788" s="295"/>
      <c r="W788" s="295"/>
      <c r="AD788" s="295"/>
      <c r="AK788" s="295"/>
      <c r="BR788" s="188"/>
      <c r="BT788" s="296"/>
      <c r="BU788" s="296"/>
      <c r="BV788" s="296"/>
    </row>
    <row r="789" spans="2:74" ht="13">
      <c r="B789" s="294"/>
      <c r="C789" s="294"/>
      <c r="D789" s="294"/>
      <c r="E789" s="295"/>
      <c r="F789" s="294"/>
      <c r="G789" s="295"/>
      <c r="H789" s="295"/>
      <c r="P789" s="295"/>
      <c r="W789" s="295"/>
      <c r="AD789" s="295"/>
      <c r="AK789" s="295"/>
      <c r="BR789" s="188"/>
      <c r="BT789" s="296"/>
      <c r="BU789" s="296"/>
      <c r="BV789" s="296"/>
    </row>
    <row r="790" spans="2:74" ht="13">
      <c r="B790" s="294"/>
      <c r="C790" s="294"/>
      <c r="D790" s="294"/>
      <c r="E790" s="295"/>
      <c r="F790" s="294"/>
      <c r="G790" s="295"/>
      <c r="H790" s="295"/>
      <c r="P790" s="295"/>
      <c r="W790" s="295"/>
      <c r="AD790" s="295"/>
      <c r="AK790" s="295"/>
      <c r="BR790" s="188"/>
      <c r="BT790" s="296"/>
      <c r="BU790" s="296"/>
      <c r="BV790" s="296"/>
    </row>
    <row r="791" spans="2:74" ht="13">
      <c r="B791" s="294"/>
      <c r="C791" s="294"/>
      <c r="D791" s="294"/>
      <c r="E791" s="295"/>
      <c r="F791" s="294"/>
      <c r="G791" s="295"/>
      <c r="H791" s="295"/>
      <c r="P791" s="295"/>
      <c r="W791" s="295"/>
      <c r="AD791" s="295"/>
      <c r="AK791" s="295"/>
      <c r="BR791" s="188"/>
      <c r="BT791" s="296"/>
      <c r="BU791" s="296"/>
      <c r="BV791" s="296"/>
    </row>
    <row r="792" spans="2:74" ht="13">
      <c r="B792" s="294"/>
      <c r="C792" s="294"/>
      <c r="D792" s="294"/>
      <c r="E792" s="295"/>
      <c r="F792" s="294"/>
      <c r="G792" s="295"/>
      <c r="H792" s="295"/>
      <c r="P792" s="295"/>
      <c r="W792" s="295"/>
      <c r="AD792" s="295"/>
      <c r="AK792" s="295"/>
      <c r="BR792" s="188"/>
      <c r="BT792" s="296"/>
      <c r="BU792" s="296"/>
      <c r="BV792" s="296"/>
    </row>
    <row r="793" spans="2:74" ht="13">
      <c r="B793" s="294"/>
      <c r="C793" s="294"/>
      <c r="D793" s="294"/>
      <c r="E793" s="295"/>
      <c r="F793" s="294"/>
      <c r="G793" s="295"/>
      <c r="H793" s="295"/>
      <c r="P793" s="295"/>
      <c r="W793" s="295"/>
      <c r="AD793" s="295"/>
      <c r="AK793" s="295"/>
      <c r="BR793" s="188"/>
      <c r="BT793" s="296"/>
      <c r="BU793" s="296"/>
      <c r="BV793" s="296"/>
    </row>
    <row r="794" spans="2:74" ht="13">
      <c r="B794" s="294"/>
      <c r="C794" s="294"/>
      <c r="D794" s="294"/>
      <c r="E794" s="295"/>
      <c r="F794" s="294"/>
      <c r="G794" s="295"/>
      <c r="H794" s="295"/>
      <c r="P794" s="295"/>
      <c r="W794" s="295"/>
      <c r="AD794" s="295"/>
      <c r="AK794" s="295"/>
      <c r="BR794" s="188"/>
      <c r="BT794" s="296"/>
      <c r="BU794" s="296"/>
      <c r="BV794" s="296"/>
    </row>
    <row r="795" spans="2:74" ht="13">
      <c r="B795" s="294"/>
      <c r="C795" s="294"/>
      <c r="D795" s="294"/>
      <c r="E795" s="295"/>
      <c r="F795" s="294"/>
      <c r="G795" s="295"/>
      <c r="H795" s="295"/>
      <c r="P795" s="295"/>
      <c r="W795" s="295"/>
      <c r="AD795" s="295"/>
      <c r="AK795" s="295"/>
      <c r="BR795" s="188"/>
      <c r="BT795" s="296"/>
      <c r="BU795" s="296"/>
      <c r="BV795" s="296"/>
    </row>
    <row r="796" spans="2:74" ht="13">
      <c r="B796" s="294"/>
      <c r="C796" s="294"/>
      <c r="D796" s="294"/>
      <c r="E796" s="295"/>
      <c r="F796" s="294"/>
      <c r="G796" s="295"/>
      <c r="H796" s="295"/>
      <c r="P796" s="295"/>
      <c r="W796" s="295"/>
      <c r="AD796" s="295"/>
      <c r="AK796" s="295"/>
      <c r="BR796" s="188"/>
      <c r="BT796" s="296"/>
      <c r="BU796" s="296"/>
      <c r="BV796" s="296"/>
    </row>
    <row r="797" spans="2:74" ht="13">
      <c r="B797" s="294"/>
      <c r="C797" s="294"/>
      <c r="D797" s="294"/>
      <c r="E797" s="295"/>
      <c r="F797" s="294"/>
      <c r="G797" s="295"/>
      <c r="H797" s="295"/>
      <c r="P797" s="295"/>
      <c r="W797" s="295"/>
      <c r="AD797" s="295"/>
      <c r="AK797" s="295"/>
      <c r="BR797" s="188"/>
      <c r="BT797" s="296"/>
      <c r="BU797" s="296"/>
      <c r="BV797" s="296"/>
    </row>
    <row r="798" spans="2:74" ht="13">
      <c r="B798" s="294"/>
      <c r="C798" s="294"/>
      <c r="D798" s="294"/>
      <c r="E798" s="295"/>
      <c r="F798" s="294"/>
      <c r="G798" s="295"/>
      <c r="H798" s="295"/>
      <c r="P798" s="295"/>
      <c r="W798" s="295"/>
      <c r="AD798" s="295"/>
      <c r="AK798" s="295"/>
      <c r="BR798" s="188"/>
      <c r="BT798" s="296"/>
      <c r="BU798" s="296"/>
      <c r="BV798" s="296"/>
    </row>
    <row r="799" spans="2:74" ht="13">
      <c r="B799" s="294"/>
      <c r="C799" s="294"/>
      <c r="D799" s="294"/>
      <c r="E799" s="295"/>
      <c r="F799" s="294"/>
      <c r="G799" s="295"/>
      <c r="H799" s="295"/>
      <c r="P799" s="295"/>
      <c r="W799" s="295"/>
      <c r="AD799" s="295"/>
      <c r="AK799" s="295"/>
      <c r="BR799" s="188"/>
      <c r="BT799" s="296"/>
      <c r="BU799" s="296"/>
      <c r="BV799" s="296"/>
    </row>
    <row r="800" spans="2:74" ht="13">
      <c r="B800" s="294"/>
      <c r="C800" s="294"/>
      <c r="D800" s="294"/>
      <c r="E800" s="295"/>
      <c r="F800" s="294"/>
      <c r="G800" s="295"/>
      <c r="H800" s="295"/>
      <c r="P800" s="295"/>
      <c r="W800" s="295"/>
      <c r="AD800" s="295"/>
      <c r="AK800" s="295"/>
      <c r="BR800" s="188"/>
      <c r="BT800" s="296"/>
      <c r="BU800" s="296"/>
      <c r="BV800" s="296"/>
    </row>
    <row r="801" spans="2:74" ht="13">
      <c r="B801" s="294"/>
      <c r="C801" s="294"/>
      <c r="D801" s="294"/>
      <c r="E801" s="295"/>
      <c r="F801" s="294"/>
      <c r="G801" s="295"/>
      <c r="H801" s="295"/>
      <c r="P801" s="295"/>
      <c r="W801" s="295"/>
      <c r="AD801" s="295"/>
      <c r="AK801" s="295"/>
      <c r="BR801" s="188"/>
      <c r="BT801" s="296"/>
      <c r="BU801" s="296"/>
      <c r="BV801" s="296"/>
    </row>
    <row r="802" spans="2:74" ht="13">
      <c r="B802" s="294"/>
      <c r="C802" s="294"/>
      <c r="D802" s="294"/>
      <c r="E802" s="295"/>
      <c r="F802" s="294"/>
      <c r="G802" s="295"/>
      <c r="H802" s="295"/>
      <c r="P802" s="295"/>
      <c r="W802" s="295"/>
      <c r="AD802" s="295"/>
      <c r="AK802" s="295"/>
      <c r="BR802" s="188"/>
      <c r="BT802" s="296"/>
      <c r="BU802" s="296"/>
      <c r="BV802" s="296"/>
    </row>
    <row r="803" spans="2:74" ht="13">
      <c r="B803" s="294"/>
      <c r="C803" s="294"/>
      <c r="D803" s="294"/>
      <c r="E803" s="295"/>
      <c r="F803" s="294"/>
      <c r="G803" s="295"/>
      <c r="H803" s="295"/>
      <c r="P803" s="295"/>
      <c r="W803" s="295"/>
      <c r="AD803" s="295"/>
      <c r="AK803" s="295"/>
      <c r="BR803" s="188"/>
      <c r="BT803" s="296"/>
      <c r="BU803" s="296"/>
      <c r="BV803" s="296"/>
    </row>
    <row r="804" spans="2:74" ht="13">
      <c r="B804" s="294"/>
      <c r="C804" s="294"/>
      <c r="D804" s="294"/>
      <c r="E804" s="295"/>
      <c r="F804" s="294"/>
      <c r="G804" s="295"/>
      <c r="H804" s="295"/>
      <c r="P804" s="295"/>
      <c r="W804" s="295"/>
      <c r="AD804" s="295"/>
      <c r="AK804" s="295"/>
      <c r="BR804" s="188"/>
      <c r="BT804" s="296"/>
      <c r="BU804" s="296"/>
      <c r="BV804" s="296"/>
    </row>
    <row r="805" spans="2:74" ht="13">
      <c r="B805" s="294"/>
      <c r="C805" s="294"/>
      <c r="D805" s="294"/>
      <c r="E805" s="295"/>
      <c r="F805" s="294"/>
      <c r="G805" s="295"/>
      <c r="H805" s="295"/>
      <c r="P805" s="295"/>
      <c r="W805" s="295"/>
      <c r="AD805" s="295"/>
      <c r="AK805" s="295"/>
      <c r="BR805" s="188"/>
      <c r="BT805" s="296"/>
      <c r="BU805" s="296"/>
      <c r="BV805" s="296"/>
    </row>
    <row r="806" spans="2:74" ht="13">
      <c r="B806" s="294"/>
      <c r="C806" s="294"/>
      <c r="D806" s="294"/>
      <c r="E806" s="295"/>
      <c r="F806" s="294"/>
      <c r="G806" s="295"/>
      <c r="H806" s="295"/>
      <c r="P806" s="295"/>
      <c r="W806" s="295"/>
      <c r="AD806" s="295"/>
      <c r="AK806" s="295"/>
      <c r="BR806" s="188"/>
      <c r="BT806" s="296"/>
      <c r="BU806" s="296"/>
      <c r="BV806" s="296"/>
    </row>
    <row r="807" spans="2:74" ht="13">
      <c r="B807" s="294"/>
      <c r="C807" s="294"/>
      <c r="D807" s="294"/>
      <c r="E807" s="295"/>
      <c r="F807" s="294"/>
      <c r="G807" s="295"/>
      <c r="H807" s="295"/>
      <c r="P807" s="295"/>
      <c r="W807" s="295"/>
      <c r="AD807" s="295"/>
      <c r="AK807" s="295"/>
      <c r="BR807" s="188"/>
      <c r="BT807" s="296"/>
      <c r="BU807" s="296"/>
      <c r="BV807" s="296"/>
    </row>
    <row r="808" spans="2:74" ht="13">
      <c r="B808" s="294"/>
      <c r="C808" s="294"/>
      <c r="D808" s="294"/>
      <c r="E808" s="295"/>
      <c r="F808" s="294"/>
      <c r="G808" s="295"/>
      <c r="H808" s="295"/>
      <c r="P808" s="295"/>
      <c r="W808" s="295"/>
      <c r="AD808" s="295"/>
      <c r="AK808" s="295"/>
      <c r="BR808" s="188"/>
      <c r="BT808" s="296"/>
      <c r="BU808" s="296"/>
      <c r="BV808" s="296"/>
    </row>
    <row r="809" spans="2:74" ht="13">
      <c r="B809" s="294"/>
      <c r="C809" s="294"/>
      <c r="D809" s="294"/>
      <c r="E809" s="295"/>
      <c r="F809" s="294"/>
      <c r="G809" s="295"/>
      <c r="H809" s="295"/>
      <c r="P809" s="295"/>
      <c r="W809" s="295"/>
      <c r="AD809" s="295"/>
      <c r="AK809" s="295"/>
      <c r="BR809" s="188"/>
      <c r="BT809" s="296"/>
      <c r="BU809" s="296"/>
      <c r="BV809" s="296"/>
    </row>
    <row r="810" spans="2:74" ht="13">
      <c r="B810" s="294"/>
      <c r="C810" s="294"/>
      <c r="D810" s="294"/>
      <c r="E810" s="295"/>
      <c r="F810" s="294"/>
      <c r="G810" s="295"/>
      <c r="H810" s="295"/>
      <c r="P810" s="295"/>
      <c r="W810" s="295"/>
      <c r="AD810" s="295"/>
      <c r="AK810" s="295"/>
      <c r="BR810" s="188"/>
      <c r="BT810" s="296"/>
      <c r="BU810" s="296"/>
      <c r="BV810" s="296"/>
    </row>
    <row r="811" spans="2:74" ht="13">
      <c r="B811" s="294"/>
      <c r="C811" s="294"/>
      <c r="D811" s="294"/>
      <c r="E811" s="295"/>
      <c r="F811" s="294"/>
      <c r="G811" s="295"/>
      <c r="H811" s="295"/>
      <c r="P811" s="295"/>
      <c r="W811" s="295"/>
      <c r="AD811" s="295"/>
      <c r="AK811" s="295"/>
      <c r="BR811" s="188"/>
      <c r="BT811" s="296"/>
      <c r="BU811" s="296"/>
      <c r="BV811" s="296"/>
    </row>
    <row r="812" spans="2:74" ht="13">
      <c r="B812" s="294"/>
      <c r="C812" s="294"/>
      <c r="D812" s="294"/>
      <c r="E812" s="295"/>
      <c r="F812" s="294"/>
      <c r="G812" s="295"/>
      <c r="H812" s="295"/>
      <c r="P812" s="295"/>
      <c r="W812" s="295"/>
      <c r="AD812" s="295"/>
      <c r="AK812" s="295"/>
      <c r="BR812" s="188"/>
      <c r="BT812" s="296"/>
      <c r="BU812" s="296"/>
      <c r="BV812" s="296"/>
    </row>
    <row r="813" spans="2:74" ht="13">
      <c r="B813" s="294"/>
      <c r="C813" s="294"/>
      <c r="D813" s="294"/>
      <c r="E813" s="295"/>
      <c r="F813" s="294"/>
      <c r="G813" s="295"/>
      <c r="H813" s="295"/>
      <c r="P813" s="295"/>
      <c r="W813" s="295"/>
      <c r="AD813" s="295"/>
      <c r="AK813" s="295"/>
      <c r="BR813" s="188"/>
      <c r="BT813" s="296"/>
      <c r="BU813" s="296"/>
      <c r="BV813" s="296"/>
    </row>
    <row r="814" spans="2:74" ht="13">
      <c r="B814" s="294"/>
      <c r="C814" s="294"/>
      <c r="D814" s="294"/>
      <c r="E814" s="295"/>
      <c r="F814" s="294"/>
      <c r="G814" s="295"/>
      <c r="H814" s="295"/>
      <c r="P814" s="295"/>
      <c r="W814" s="295"/>
      <c r="AD814" s="295"/>
      <c r="AK814" s="295"/>
      <c r="BR814" s="188"/>
      <c r="BT814" s="296"/>
      <c r="BU814" s="296"/>
      <c r="BV814" s="296"/>
    </row>
    <row r="815" spans="2:74" ht="13">
      <c r="B815" s="294"/>
      <c r="C815" s="294"/>
      <c r="D815" s="294"/>
      <c r="E815" s="295"/>
      <c r="F815" s="294"/>
      <c r="G815" s="295"/>
      <c r="H815" s="295"/>
      <c r="P815" s="295"/>
      <c r="W815" s="295"/>
      <c r="AD815" s="295"/>
      <c r="AK815" s="295"/>
      <c r="BR815" s="188"/>
      <c r="BT815" s="296"/>
      <c r="BU815" s="296"/>
      <c r="BV815" s="296"/>
    </row>
    <row r="816" spans="2:74" ht="13">
      <c r="B816" s="294"/>
      <c r="C816" s="294"/>
      <c r="D816" s="294"/>
      <c r="E816" s="295"/>
      <c r="F816" s="294"/>
      <c r="G816" s="295"/>
      <c r="H816" s="295"/>
      <c r="P816" s="295"/>
      <c r="W816" s="295"/>
      <c r="AD816" s="295"/>
      <c r="AK816" s="295"/>
      <c r="BR816" s="188"/>
      <c r="BT816" s="296"/>
      <c r="BU816" s="296"/>
      <c r="BV816" s="296"/>
    </row>
    <row r="817" spans="2:74" ht="13">
      <c r="B817" s="294"/>
      <c r="C817" s="294"/>
      <c r="D817" s="294"/>
      <c r="E817" s="295"/>
      <c r="F817" s="294"/>
      <c r="G817" s="295"/>
      <c r="H817" s="295"/>
      <c r="P817" s="295"/>
      <c r="W817" s="295"/>
      <c r="AD817" s="295"/>
      <c r="AK817" s="295"/>
      <c r="BR817" s="188"/>
      <c r="BT817" s="296"/>
      <c r="BU817" s="296"/>
      <c r="BV817" s="296"/>
    </row>
    <row r="818" spans="2:74" ht="13">
      <c r="B818" s="294"/>
      <c r="C818" s="294"/>
      <c r="D818" s="294"/>
      <c r="E818" s="295"/>
      <c r="F818" s="294"/>
      <c r="G818" s="295"/>
      <c r="H818" s="295"/>
      <c r="P818" s="295"/>
      <c r="W818" s="295"/>
      <c r="AD818" s="295"/>
      <c r="AK818" s="295"/>
      <c r="BR818" s="188"/>
      <c r="BT818" s="296"/>
      <c r="BU818" s="296"/>
      <c r="BV818" s="296"/>
    </row>
    <row r="819" spans="2:74" ht="13">
      <c r="B819" s="294"/>
      <c r="C819" s="294"/>
      <c r="D819" s="294"/>
      <c r="E819" s="295"/>
      <c r="F819" s="294"/>
      <c r="G819" s="295"/>
      <c r="H819" s="295"/>
      <c r="P819" s="295"/>
      <c r="W819" s="295"/>
      <c r="AD819" s="295"/>
      <c r="AK819" s="295"/>
      <c r="BR819" s="188"/>
      <c r="BT819" s="296"/>
      <c r="BU819" s="296"/>
      <c r="BV819" s="296"/>
    </row>
    <row r="820" spans="2:74" ht="13">
      <c r="B820" s="294"/>
      <c r="C820" s="294"/>
      <c r="D820" s="294"/>
      <c r="E820" s="295"/>
      <c r="F820" s="294"/>
      <c r="G820" s="295"/>
      <c r="H820" s="295"/>
      <c r="P820" s="295"/>
      <c r="W820" s="295"/>
      <c r="AD820" s="295"/>
      <c r="AK820" s="295"/>
      <c r="BR820" s="188"/>
      <c r="BT820" s="296"/>
      <c r="BU820" s="296"/>
      <c r="BV820" s="296"/>
    </row>
    <row r="821" spans="2:74" ht="13">
      <c r="B821" s="294"/>
      <c r="C821" s="294"/>
      <c r="D821" s="294"/>
      <c r="E821" s="295"/>
      <c r="F821" s="294"/>
      <c r="G821" s="295"/>
      <c r="H821" s="295"/>
      <c r="P821" s="295"/>
      <c r="W821" s="295"/>
      <c r="AD821" s="295"/>
      <c r="AK821" s="295"/>
      <c r="BR821" s="188"/>
      <c r="BT821" s="296"/>
      <c r="BU821" s="296"/>
      <c r="BV821" s="296"/>
    </row>
    <row r="822" spans="2:74" ht="13">
      <c r="B822" s="294"/>
      <c r="C822" s="294"/>
      <c r="D822" s="294"/>
      <c r="E822" s="295"/>
      <c r="F822" s="294"/>
      <c r="G822" s="295"/>
      <c r="H822" s="295"/>
      <c r="P822" s="295"/>
      <c r="W822" s="295"/>
      <c r="AD822" s="295"/>
      <c r="AK822" s="295"/>
      <c r="BR822" s="188"/>
      <c r="BT822" s="296"/>
      <c r="BU822" s="296"/>
      <c r="BV822" s="296"/>
    </row>
    <row r="823" spans="2:74" ht="13">
      <c r="B823" s="294"/>
      <c r="C823" s="294"/>
      <c r="D823" s="294"/>
      <c r="E823" s="295"/>
      <c r="F823" s="294"/>
      <c r="G823" s="295"/>
      <c r="H823" s="295"/>
      <c r="P823" s="295"/>
      <c r="W823" s="295"/>
      <c r="AD823" s="295"/>
      <c r="AK823" s="295"/>
      <c r="BR823" s="188"/>
      <c r="BT823" s="296"/>
      <c r="BU823" s="296"/>
      <c r="BV823" s="296"/>
    </row>
    <row r="824" spans="2:74" ht="13">
      <c r="B824" s="294"/>
      <c r="C824" s="294"/>
      <c r="D824" s="294"/>
      <c r="E824" s="295"/>
      <c r="F824" s="294"/>
      <c r="G824" s="295"/>
      <c r="H824" s="295"/>
      <c r="P824" s="295"/>
      <c r="W824" s="295"/>
      <c r="AD824" s="295"/>
      <c r="AK824" s="295"/>
      <c r="BR824" s="188"/>
      <c r="BT824" s="296"/>
      <c r="BU824" s="296"/>
      <c r="BV824" s="296"/>
    </row>
    <row r="825" spans="2:74" ht="13">
      <c r="B825" s="294"/>
      <c r="C825" s="294"/>
      <c r="D825" s="294"/>
      <c r="E825" s="295"/>
      <c r="F825" s="294"/>
      <c r="G825" s="295"/>
      <c r="H825" s="295"/>
      <c r="P825" s="295"/>
      <c r="W825" s="295"/>
      <c r="AD825" s="295"/>
      <c r="AK825" s="295"/>
      <c r="BR825" s="188"/>
      <c r="BT825" s="296"/>
      <c r="BU825" s="296"/>
      <c r="BV825" s="296"/>
    </row>
    <row r="826" spans="2:74" ht="13">
      <c r="B826" s="294"/>
      <c r="C826" s="294"/>
      <c r="D826" s="294"/>
      <c r="E826" s="295"/>
      <c r="F826" s="294"/>
      <c r="G826" s="295"/>
      <c r="H826" s="295"/>
      <c r="P826" s="295"/>
      <c r="W826" s="295"/>
      <c r="AD826" s="295"/>
      <c r="AK826" s="295"/>
      <c r="BR826" s="188"/>
      <c r="BT826" s="296"/>
      <c r="BU826" s="296"/>
      <c r="BV826" s="296"/>
    </row>
    <row r="827" spans="2:74" ht="13">
      <c r="B827" s="294"/>
      <c r="C827" s="294"/>
      <c r="D827" s="294"/>
      <c r="E827" s="295"/>
      <c r="F827" s="294"/>
      <c r="G827" s="295"/>
      <c r="H827" s="295"/>
      <c r="P827" s="295"/>
      <c r="W827" s="295"/>
      <c r="AD827" s="295"/>
      <c r="AK827" s="295"/>
      <c r="BR827" s="188"/>
      <c r="BT827" s="296"/>
      <c r="BU827" s="296"/>
      <c r="BV827" s="296"/>
    </row>
    <row r="828" spans="2:74" ht="13">
      <c r="B828" s="294"/>
      <c r="C828" s="294"/>
      <c r="D828" s="294"/>
      <c r="E828" s="295"/>
      <c r="F828" s="294"/>
      <c r="G828" s="295"/>
      <c r="H828" s="295"/>
      <c r="P828" s="295"/>
      <c r="W828" s="295"/>
      <c r="AD828" s="295"/>
      <c r="AK828" s="295"/>
      <c r="BR828" s="188"/>
      <c r="BT828" s="296"/>
      <c r="BU828" s="296"/>
      <c r="BV828" s="296"/>
    </row>
    <row r="829" spans="2:74" ht="13">
      <c r="B829" s="294"/>
      <c r="C829" s="294"/>
      <c r="D829" s="294"/>
      <c r="E829" s="295"/>
      <c r="F829" s="294"/>
      <c r="G829" s="295"/>
      <c r="H829" s="295"/>
      <c r="P829" s="295"/>
      <c r="W829" s="295"/>
      <c r="AD829" s="295"/>
      <c r="AK829" s="295"/>
      <c r="BR829" s="188"/>
      <c r="BT829" s="296"/>
      <c r="BU829" s="296"/>
      <c r="BV829" s="296"/>
    </row>
    <row r="830" spans="2:74" ht="13">
      <c r="B830" s="294"/>
      <c r="C830" s="294"/>
      <c r="D830" s="294"/>
      <c r="E830" s="295"/>
      <c r="F830" s="294"/>
      <c r="G830" s="295"/>
      <c r="H830" s="295"/>
      <c r="P830" s="295"/>
      <c r="W830" s="295"/>
      <c r="AD830" s="295"/>
      <c r="AK830" s="295"/>
      <c r="BR830" s="188"/>
      <c r="BT830" s="296"/>
      <c r="BU830" s="296"/>
      <c r="BV830" s="296"/>
    </row>
    <row r="831" spans="2:74" ht="13">
      <c r="B831" s="294"/>
      <c r="C831" s="294"/>
      <c r="D831" s="294"/>
      <c r="E831" s="295"/>
      <c r="F831" s="294"/>
      <c r="G831" s="295"/>
      <c r="H831" s="295"/>
      <c r="P831" s="295"/>
      <c r="W831" s="295"/>
      <c r="AD831" s="295"/>
      <c r="AK831" s="295"/>
      <c r="BR831" s="188"/>
      <c r="BT831" s="296"/>
      <c r="BU831" s="296"/>
      <c r="BV831" s="296"/>
    </row>
    <row r="832" spans="2:74" ht="13">
      <c r="B832" s="294"/>
      <c r="C832" s="294"/>
      <c r="D832" s="294"/>
      <c r="E832" s="295"/>
      <c r="F832" s="294"/>
      <c r="G832" s="295"/>
      <c r="H832" s="295"/>
      <c r="P832" s="295"/>
      <c r="W832" s="295"/>
      <c r="AD832" s="295"/>
      <c r="AK832" s="295"/>
      <c r="BR832" s="188"/>
      <c r="BT832" s="296"/>
      <c r="BU832" s="296"/>
      <c r="BV832" s="296"/>
    </row>
    <row r="833" spans="2:74" ht="13">
      <c r="B833" s="294"/>
      <c r="C833" s="294"/>
      <c r="D833" s="294"/>
      <c r="E833" s="295"/>
      <c r="F833" s="294"/>
      <c r="G833" s="295"/>
      <c r="H833" s="295"/>
      <c r="P833" s="295"/>
      <c r="W833" s="295"/>
      <c r="AD833" s="295"/>
      <c r="AK833" s="295"/>
      <c r="BR833" s="188"/>
      <c r="BT833" s="296"/>
      <c r="BU833" s="296"/>
      <c r="BV833" s="296"/>
    </row>
    <row r="834" spans="2:74" ht="13">
      <c r="B834" s="294"/>
      <c r="C834" s="294"/>
      <c r="D834" s="294"/>
      <c r="E834" s="295"/>
      <c r="F834" s="294"/>
      <c r="G834" s="295"/>
      <c r="H834" s="295"/>
      <c r="P834" s="295"/>
      <c r="W834" s="295"/>
      <c r="AD834" s="295"/>
      <c r="AK834" s="295"/>
      <c r="BR834" s="188"/>
      <c r="BT834" s="296"/>
      <c r="BU834" s="296"/>
      <c r="BV834" s="296"/>
    </row>
    <row r="835" spans="2:74" ht="13">
      <c r="B835" s="294"/>
      <c r="C835" s="294"/>
      <c r="D835" s="294"/>
      <c r="E835" s="295"/>
      <c r="F835" s="294"/>
      <c r="G835" s="295"/>
      <c r="H835" s="295"/>
      <c r="P835" s="295"/>
      <c r="W835" s="295"/>
      <c r="AD835" s="295"/>
      <c r="AK835" s="295"/>
      <c r="BR835" s="188"/>
      <c r="BT835" s="296"/>
      <c r="BU835" s="296"/>
      <c r="BV835" s="296"/>
    </row>
    <row r="836" spans="2:74" ht="13">
      <c r="B836" s="294"/>
      <c r="C836" s="294"/>
      <c r="D836" s="294"/>
      <c r="E836" s="295"/>
      <c r="F836" s="294"/>
      <c r="G836" s="295"/>
      <c r="H836" s="295"/>
      <c r="P836" s="295"/>
      <c r="W836" s="295"/>
      <c r="AD836" s="295"/>
      <c r="AK836" s="295"/>
      <c r="BR836" s="188"/>
      <c r="BT836" s="296"/>
      <c r="BU836" s="296"/>
      <c r="BV836" s="296"/>
    </row>
    <row r="837" spans="2:74" ht="13">
      <c r="B837" s="294"/>
      <c r="C837" s="294"/>
      <c r="D837" s="294"/>
      <c r="E837" s="295"/>
      <c r="F837" s="294"/>
      <c r="G837" s="295"/>
      <c r="H837" s="295"/>
      <c r="P837" s="295"/>
      <c r="W837" s="295"/>
      <c r="AD837" s="295"/>
      <c r="AK837" s="295"/>
      <c r="BR837" s="188"/>
      <c r="BT837" s="296"/>
      <c r="BU837" s="296"/>
      <c r="BV837" s="296"/>
    </row>
    <row r="838" spans="2:74" ht="13">
      <c r="B838" s="294"/>
      <c r="C838" s="294"/>
      <c r="D838" s="294"/>
      <c r="E838" s="295"/>
      <c r="F838" s="294"/>
      <c r="G838" s="295"/>
      <c r="H838" s="295"/>
      <c r="P838" s="295"/>
      <c r="W838" s="295"/>
      <c r="AD838" s="295"/>
      <c r="AK838" s="295"/>
      <c r="BR838" s="188"/>
      <c r="BT838" s="296"/>
      <c r="BU838" s="296"/>
      <c r="BV838" s="296"/>
    </row>
    <row r="839" spans="2:74" ht="13">
      <c r="B839" s="294"/>
      <c r="C839" s="294"/>
      <c r="D839" s="294"/>
      <c r="E839" s="295"/>
      <c r="F839" s="294"/>
      <c r="G839" s="295"/>
      <c r="H839" s="295"/>
      <c r="P839" s="295"/>
      <c r="W839" s="295"/>
      <c r="AD839" s="295"/>
      <c r="AK839" s="295"/>
      <c r="BR839" s="188"/>
      <c r="BT839" s="296"/>
      <c r="BU839" s="296"/>
      <c r="BV839" s="296"/>
    </row>
    <row r="840" spans="2:74" ht="13">
      <c r="B840" s="294"/>
      <c r="C840" s="294"/>
      <c r="D840" s="294"/>
      <c r="E840" s="295"/>
      <c r="F840" s="294"/>
      <c r="G840" s="295"/>
      <c r="H840" s="295"/>
      <c r="P840" s="295"/>
      <c r="W840" s="295"/>
      <c r="AD840" s="295"/>
      <c r="AK840" s="295"/>
      <c r="BR840" s="188"/>
      <c r="BT840" s="296"/>
      <c r="BU840" s="296"/>
      <c r="BV840" s="296"/>
    </row>
    <row r="841" spans="2:74" ht="13">
      <c r="B841" s="294"/>
      <c r="C841" s="294"/>
      <c r="D841" s="294"/>
      <c r="E841" s="295"/>
      <c r="F841" s="294"/>
      <c r="G841" s="295"/>
      <c r="H841" s="295"/>
      <c r="P841" s="295"/>
      <c r="W841" s="295"/>
      <c r="AD841" s="295"/>
      <c r="AK841" s="295"/>
      <c r="BR841" s="188"/>
      <c r="BT841" s="296"/>
      <c r="BU841" s="296"/>
      <c r="BV841" s="296"/>
    </row>
    <row r="842" spans="2:74" ht="13">
      <c r="B842" s="294"/>
      <c r="C842" s="294"/>
      <c r="D842" s="294"/>
      <c r="E842" s="295"/>
      <c r="F842" s="294"/>
      <c r="G842" s="295"/>
      <c r="H842" s="295"/>
      <c r="P842" s="295"/>
      <c r="W842" s="295"/>
      <c r="AD842" s="295"/>
      <c r="AK842" s="295"/>
      <c r="BR842" s="188"/>
      <c r="BT842" s="296"/>
      <c r="BU842" s="296"/>
      <c r="BV842" s="296"/>
    </row>
    <row r="843" spans="2:74" ht="13">
      <c r="B843" s="294"/>
      <c r="C843" s="294"/>
      <c r="D843" s="294"/>
      <c r="E843" s="295"/>
      <c r="F843" s="294"/>
      <c r="G843" s="295"/>
      <c r="H843" s="295"/>
      <c r="P843" s="295"/>
      <c r="W843" s="295"/>
      <c r="AD843" s="295"/>
      <c r="AK843" s="295"/>
      <c r="BR843" s="188"/>
      <c r="BT843" s="296"/>
      <c r="BU843" s="296"/>
      <c r="BV843" s="296"/>
    </row>
    <row r="844" spans="2:74" ht="13">
      <c r="B844" s="294"/>
      <c r="C844" s="294"/>
      <c r="D844" s="294"/>
      <c r="E844" s="295"/>
      <c r="F844" s="294"/>
      <c r="G844" s="295"/>
      <c r="H844" s="295"/>
      <c r="P844" s="295"/>
      <c r="W844" s="295"/>
      <c r="AD844" s="295"/>
      <c r="AK844" s="295"/>
      <c r="BR844" s="188"/>
      <c r="BT844" s="296"/>
      <c r="BU844" s="296"/>
      <c r="BV844" s="296"/>
    </row>
    <row r="845" spans="2:74" ht="13">
      <c r="B845" s="294"/>
      <c r="C845" s="294"/>
      <c r="D845" s="294"/>
      <c r="E845" s="295"/>
      <c r="F845" s="294"/>
      <c r="G845" s="295"/>
      <c r="H845" s="295"/>
      <c r="P845" s="295"/>
      <c r="W845" s="295"/>
      <c r="AD845" s="295"/>
      <c r="AK845" s="295"/>
      <c r="BR845" s="188"/>
      <c r="BT845" s="296"/>
      <c r="BU845" s="296"/>
      <c r="BV845" s="296"/>
    </row>
    <row r="846" spans="2:74" ht="13">
      <c r="B846" s="294"/>
      <c r="C846" s="294"/>
      <c r="D846" s="294"/>
      <c r="E846" s="295"/>
      <c r="F846" s="294"/>
      <c r="G846" s="295"/>
      <c r="H846" s="295"/>
      <c r="P846" s="295"/>
      <c r="W846" s="295"/>
      <c r="AD846" s="295"/>
      <c r="AK846" s="295"/>
      <c r="BR846" s="188"/>
      <c r="BT846" s="296"/>
      <c r="BU846" s="296"/>
      <c r="BV846" s="296"/>
    </row>
    <row r="847" spans="2:74" ht="13">
      <c r="B847" s="294"/>
      <c r="C847" s="294"/>
      <c r="D847" s="294"/>
      <c r="E847" s="295"/>
      <c r="F847" s="294"/>
      <c r="G847" s="295"/>
      <c r="H847" s="295"/>
      <c r="P847" s="295"/>
      <c r="W847" s="295"/>
      <c r="AD847" s="295"/>
      <c r="AK847" s="295"/>
      <c r="BR847" s="188"/>
      <c r="BT847" s="296"/>
      <c r="BU847" s="296"/>
      <c r="BV847" s="296"/>
    </row>
    <row r="848" spans="2:74" ht="13">
      <c r="B848" s="294"/>
      <c r="C848" s="294"/>
      <c r="D848" s="294"/>
      <c r="E848" s="295"/>
      <c r="F848" s="294"/>
      <c r="G848" s="295"/>
      <c r="H848" s="295"/>
      <c r="P848" s="295"/>
      <c r="W848" s="295"/>
      <c r="AD848" s="295"/>
      <c r="AK848" s="295"/>
      <c r="BR848" s="188"/>
      <c r="BT848" s="296"/>
      <c r="BU848" s="296"/>
      <c r="BV848" s="296"/>
    </row>
    <row r="849" spans="2:74" ht="13">
      <c r="B849" s="294"/>
      <c r="C849" s="294"/>
      <c r="D849" s="294"/>
      <c r="E849" s="295"/>
      <c r="F849" s="294"/>
      <c r="G849" s="295"/>
      <c r="H849" s="295"/>
      <c r="P849" s="295"/>
      <c r="W849" s="295"/>
      <c r="AD849" s="295"/>
      <c r="AK849" s="295"/>
      <c r="BR849" s="188"/>
      <c r="BT849" s="296"/>
      <c r="BU849" s="296"/>
      <c r="BV849" s="296"/>
    </row>
    <row r="850" spans="2:74" ht="13">
      <c r="B850" s="294"/>
      <c r="C850" s="294"/>
      <c r="D850" s="294"/>
      <c r="E850" s="295"/>
      <c r="F850" s="294"/>
      <c r="G850" s="295"/>
      <c r="H850" s="295"/>
      <c r="P850" s="295"/>
      <c r="W850" s="295"/>
      <c r="AD850" s="295"/>
      <c r="AK850" s="295"/>
      <c r="BR850" s="188"/>
      <c r="BT850" s="296"/>
      <c r="BU850" s="296"/>
      <c r="BV850" s="296"/>
    </row>
    <row r="851" spans="2:74" ht="13">
      <c r="B851" s="294"/>
      <c r="C851" s="294"/>
      <c r="D851" s="294"/>
      <c r="E851" s="295"/>
      <c r="F851" s="294"/>
      <c r="G851" s="295"/>
      <c r="H851" s="295"/>
      <c r="P851" s="295"/>
      <c r="W851" s="295"/>
      <c r="AD851" s="295"/>
      <c r="AK851" s="295"/>
      <c r="BR851" s="188"/>
      <c r="BT851" s="296"/>
      <c r="BU851" s="296"/>
      <c r="BV851" s="296"/>
    </row>
    <row r="852" spans="2:74" ht="13">
      <c r="B852" s="294"/>
      <c r="C852" s="294"/>
      <c r="D852" s="294"/>
      <c r="E852" s="295"/>
      <c r="F852" s="294"/>
      <c r="G852" s="295"/>
      <c r="H852" s="295"/>
      <c r="P852" s="295"/>
      <c r="W852" s="295"/>
      <c r="AD852" s="295"/>
      <c r="AK852" s="295"/>
      <c r="BR852" s="188"/>
      <c r="BT852" s="296"/>
      <c r="BU852" s="296"/>
      <c r="BV852" s="296"/>
    </row>
    <row r="853" spans="2:74" ht="13">
      <c r="B853" s="294"/>
      <c r="C853" s="294"/>
      <c r="D853" s="294"/>
      <c r="E853" s="295"/>
      <c r="F853" s="294"/>
      <c r="G853" s="295"/>
      <c r="H853" s="295"/>
      <c r="P853" s="295"/>
      <c r="W853" s="295"/>
      <c r="AD853" s="295"/>
      <c r="AK853" s="295"/>
      <c r="BR853" s="188"/>
      <c r="BT853" s="296"/>
      <c r="BU853" s="296"/>
      <c r="BV853" s="296"/>
    </row>
    <row r="854" spans="2:74" ht="13">
      <c r="B854" s="294"/>
      <c r="C854" s="294"/>
      <c r="D854" s="294"/>
      <c r="E854" s="295"/>
      <c r="F854" s="294"/>
      <c r="G854" s="295"/>
      <c r="H854" s="295"/>
      <c r="P854" s="295"/>
      <c r="W854" s="295"/>
      <c r="AD854" s="295"/>
      <c r="AK854" s="295"/>
      <c r="BR854" s="188"/>
      <c r="BT854" s="296"/>
      <c r="BU854" s="296"/>
      <c r="BV854" s="296"/>
    </row>
    <row r="855" spans="2:74" ht="13">
      <c r="B855" s="294"/>
      <c r="C855" s="294"/>
      <c r="D855" s="294"/>
      <c r="E855" s="295"/>
      <c r="F855" s="294"/>
      <c r="G855" s="295"/>
      <c r="H855" s="295"/>
      <c r="P855" s="295"/>
      <c r="W855" s="295"/>
      <c r="AD855" s="295"/>
      <c r="AK855" s="295"/>
      <c r="BR855" s="188"/>
      <c r="BT855" s="296"/>
      <c r="BU855" s="296"/>
      <c r="BV855" s="296"/>
    </row>
    <row r="856" spans="2:74" ht="13">
      <c r="B856" s="294"/>
      <c r="C856" s="294"/>
      <c r="D856" s="294"/>
      <c r="E856" s="295"/>
      <c r="F856" s="294"/>
      <c r="G856" s="295"/>
      <c r="H856" s="295"/>
      <c r="P856" s="295"/>
      <c r="W856" s="295"/>
      <c r="AD856" s="295"/>
      <c r="AK856" s="295"/>
      <c r="BR856" s="188"/>
      <c r="BT856" s="296"/>
      <c r="BU856" s="296"/>
      <c r="BV856" s="296"/>
    </row>
    <row r="857" spans="2:74" ht="13">
      <c r="B857" s="294"/>
      <c r="C857" s="294"/>
      <c r="D857" s="294"/>
      <c r="E857" s="295"/>
      <c r="F857" s="294"/>
      <c r="G857" s="295"/>
      <c r="H857" s="295"/>
      <c r="P857" s="295"/>
      <c r="W857" s="295"/>
      <c r="AD857" s="295"/>
      <c r="AK857" s="295"/>
      <c r="BR857" s="188"/>
      <c r="BT857" s="296"/>
      <c r="BU857" s="296"/>
      <c r="BV857" s="296"/>
    </row>
    <row r="858" spans="2:74" ht="13">
      <c r="B858" s="294"/>
      <c r="C858" s="294"/>
      <c r="D858" s="294"/>
      <c r="E858" s="295"/>
      <c r="F858" s="294"/>
      <c r="G858" s="295"/>
      <c r="H858" s="295"/>
      <c r="P858" s="295"/>
      <c r="W858" s="295"/>
      <c r="AD858" s="295"/>
      <c r="AK858" s="295"/>
      <c r="BR858" s="188"/>
      <c r="BT858" s="296"/>
      <c r="BU858" s="296"/>
      <c r="BV858" s="296"/>
    </row>
    <row r="859" spans="2:74" ht="13">
      <c r="B859" s="294"/>
      <c r="C859" s="294"/>
      <c r="D859" s="294"/>
      <c r="E859" s="295"/>
      <c r="F859" s="294"/>
      <c r="G859" s="295"/>
      <c r="H859" s="295"/>
      <c r="P859" s="295"/>
      <c r="W859" s="295"/>
      <c r="AD859" s="295"/>
      <c r="AK859" s="295"/>
      <c r="BR859" s="188"/>
      <c r="BT859" s="296"/>
      <c r="BU859" s="296"/>
      <c r="BV859" s="296"/>
    </row>
    <row r="860" spans="2:74" ht="13">
      <c r="B860" s="294"/>
      <c r="C860" s="294"/>
      <c r="D860" s="294"/>
      <c r="E860" s="295"/>
      <c r="F860" s="294"/>
      <c r="G860" s="295"/>
      <c r="H860" s="295"/>
      <c r="P860" s="295"/>
      <c r="W860" s="295"/>
      <c r="AD860" s="295"/>
      <c r="AK860" s="295"/>
      <c r="BR860" s="188"/>
      <c r="BT860" s="296"/>
      <c r="BU860" s="296"/>
      <c r="BV860" s="296"/>
    </row>
    <row r="861" spans="2:74" ht="13">
      <c r="B861" s="294"/>
      <c r="C861" s="294"/>
      <c r="D861" s="294"/>
      <c r="E861" s="295"/>
      <c r="F861" s="294"/>
      <c r="G861" s="295"/>
      <c r="H861" s="295"/>
      <c r="P861" s="295"/>
      <c r="W861" s="295"/>
      <c r="AD861" s="295"/>
      <c r="AK861" s="295"/>
      <c r="BR861" s="188"/>
      <c r="BT861" s="296"/>
      <c r="BU861" s="296"/>
      <c r="BV861" s="296"/>
    </row>
    <row r="862" spans="2:74" ht="13">
      <c r="B862" s="294"/>
      <c r="C862" s="294"/>
      <c r="D862" s="294"/>
      <c r="E862" s="295"/>
      <c r="F862" s="294"/>
      <c r="G862" s="295"/>
      <c r="H862" s="295"/>
      <c r="P862" s="295"/>
      <c r="W862" s="295"/>
      <c r="AD862" s="295"/>
      <c r="AK862" s="295"/>
      <c r="BR862" s="188"/>
      <c r="BT862" s="296"/>
      <c r="BU862" s="296"/>
      <c r="BV862" s="296"/>
    </row>
    <row r="863" spans="2:74" ht="13">
      <c r="B863" s="294"/>
      <c r="C863" s="294"/>
      <c r="D863" s="294"/>
      <c r="E863" s="295"/>
      <c r="F863" s="294"/>
      <c r="G863" s="295"/>
      <c r="H863" s="295"/>
      <c r="P863" s="295"/>
      <c r="W863" s="295"/>
      <c r="AD863" s="295"/>
      <c r="AK863" s="295"/>
      <c r="BR863" s="188"/>
      <c r="BT863" s="296"/>
      <c r="BU863" s="296"/>
      <c r="BV863" s="296"/>
    </row>
    <row r="864" spans="2:74" ht="13">
      <c r="B864" s="294"/>
      <c r="C864" s="294"/>
      <c r="D864" s="294"/>
      <c r="E864" s="295"/>
      <c r="F864" s="294"/>
      <c r="G864" s="295"/>
      <c r="H864" s="295"/>
      <c r="P864" s="295"/>
      <c r="W864" s="295"/>
      <c r="AD864" s="295"/>
      <c r="AK864" s="295"/>
      <c r="BR864" s="188"/>
      <c r="BT864" s="296"/>
      <c r="BU864" s="296"/>
      <c r="BV864" s="296"/>
    </row>
    <row r="865" spans="2:74" ht="13">
      <c r="B865" s="294"/>
      <c r="C865" s="294"/>
      <c r="D865" s="294"/>
      <c r="E865" s="295"/>
      <c r="F865" s="294"/>
      <c r="G865" s="295"/>
      <c r="H865" s="295"/>
      <c r="P865" s="295"/>
      <c r="W865" s="295"/>
      <c r="AD865" s="295"/>
      <c r="AK865" s="295"/>
      <c r="BR865" s="188"/>
      <c r="BT865" s="296"/>
      <c r="BU865" s="296"/>
      <c r="BV865" s="296"/>
    </row>
    <row r="866" spans="2:74" ht="13">
      <c r="B866" s="294"/>
      <c r="C866" s="294"/>
      <c r="D866" s="294"/>
      <c r="E866" s="295"/>
      <c r="F866" s="294"/>
      <c r="G866" s="295"/>
      <c r="H866" s="295"/>
      <c r="P866" s="295"/>
      <c r="W866" s="295"/>
      <c r="AD866" s="295"/>
      <c r="AK866" s="295"/>
      <c r="BR866" s="188"/>
      <c r="BT866" s="296"/>
      <c r="BU866" s="296"/>
      <c r="BV866" s="296"/>
    </row>
    <row r="867" spans="2:74" ht="13">
      <c r="B867" s="294"/>
      <c r="C867" s="294"/>
      <c r="D867" s="294"/>
      <c r="E867" s="295"/>
      <c r="F867" s="294"/>
      <c r="G867" s="295"/>
      <c r="H867" s="295"/>
      <c r="P867" s="295"/>
      <c r="W867" s="295"/>
      <c r="AD867" s="295"/>
      <c r="AK867" s="295"/>
      <c r="BR867" s="188"/>
      <c r="BT867" s="296"/>
      <c r="BU867" s="296"/>
      <c r="BV867" s="296"/>
    </row>
    <row r="868" spans="2:74" ht="13">
      <c r="B868" s="294"/>
      <c r="C868" s="294"/>
      <c r="D868" s="294"/>
      <c r="E868" s="295"/>
      <c r="F868" s="294"/>
      <c r="G868" s="295"/>
      <c r="H868" s="295"/>
      <c r="P868" s="295"/>
      <c r="W868" s="295"/>
      <c r="AD868" s="295"/>
      <c r="AK868" s="295"/>
      <c r="BR868" s="188"/>
      <c r="BT868" s="296"/>
      <c r="BU868" s="296"/>
      <c r="BV868" s="296"/>
    </row>
    <row r="869" spans="2:74" ht="13">
      <c r="B869" s="294"/>
      <c r="C869" s="294"/>
      <c r="D869" s="294"/>
      <c r="E869" s="295"/>
      <c r="F869" s="294"/>
      <c r="G869" s="295"/>
      <c r="H869" s="295"/>
      <c r="P869" s="295"/>
      <c r="W869" s="295"/>
      <c r="AD869" s="295"/>
      <c r="AK869" s="295"/>
      <c r="BR869" s="188"/>
      <c r="BT869" s="296"/>
      <c r="BU869" s="296"/>
      <c r="BV869" s="296"/>
    </row>
    <row r="870" spans="2:74" ht="13">
      <c r="B870" s="294"/>
      <c r="C870" s="294"/>
      <c r="D870" s="294"/>
      <c r="E870" s="295"/>
      <c r="F870" s="294"/>
      <c r="G870" s="295"/>
      <c r="H870" s="295"/>
      <c r="P870" s="295"/>
      <c r="W870" s="295"/>
      <c r="AD870" s="295"/>
      <c r="AK870" s="295"/>
      <c r="BR870" s="188"/>
      <c r="BT870" s="296"/>
      <c r="BU870" s="296"/>
      <c r="BV870" s="296"/>
    </row>
    <row r="871" spans="2:74" ht="13">
      <c r="B871" s="294"/>
      <c r="C871" s="294"/>
      <c r="D871" s="294"/>
      <c r="E871" s="295"/>
      <c r="F871" s="294"/>
      <c r="G871" s="295"/>
      <c r="H871" s="295"/>
      <c r="P871" s="295"/>
      <c r="W871" s="295"/>
      <c r="AD871" s="295"/>
      <c r="AK871" s="295"/>
      <c r="BR871" s="188"/>
      <c r="BT871" s="296"/>
      <c r="BU871" s="296"/>
      <c r="BV871" s="296"/>
    </row>
    <row r="872" spans="2:74" ht="13">
      <c r="B872" s="294"/>
      <c r="C872" s="294"/>
      <c r="D872" s="294"/>
      <c r="E872" s="295"/>
      <c r="F872" s="294"/>
      <c r="G872" s="295"/>
      <c r="H872" s="295"/>
      <c r="P872" s="295"/>
      <c r="W872" s="295"/>
      <c r="AD872" s="295"/>
      <c r="AK872" s="295"/>
      <c r="BR872" s="188"/>
      <c r="BT872" s="296"/>
      <c r="BU872" s="296"/>
      <c r="BV872" s="296"/>
    </row>
    <row r="873" spans="2:74" ht="13">
      <c r="B873" s="294"/>
      <c r="C873" s="294"/>
      <c r="D873" s="294"/>
      <c r="E873" s="295"/>
      <c r="F873" s="294"/>
      <c r="G873" s="295"/>
      <c r="H873" s="295"/>
      <c r="P873" s="295"/>
      <c r="W873" s="295"/>
      <c r="AD873" s="295"/>
      <c r="AK873" s="295"/>
      <c r="BR873" s="188"/>
      <c r="BT873" s="296"/>
      <c r="BU873" s="296"/>
      <c r="BV873" s="296"/>
    </row>
    <row r="874" spans="2:74" ht="13">
      <c r="B874" s="294"/>
      <c r="C874" s="294"/>
      <c r="D874" s="294"/>
      <c r="E874" s="295"/>
      <c r="F874" s="294"/>
      <c r="G874" s="295"/>
      <c r="H874" s="295"/>
      <c r="P874" s="295"/>
      <c r="W874" s="295"/>
      <c r="AD874" s="295"/>
      <c r="AK874" s="295"/>
      <c r="BR874" s="188"/>
      <c r="BT874" s="296"/>
      <c r="BU874" s="296"/>
      <c r="BV874" s="296"/>
    </row>
    <row r="875" spans="2:74" ht="13">
      <c r="B875" s="294"/>
      <c r="C875" s="294"/>
      <c r="D875" s="294"/>
      <c r="E875" s="295"/>
      <c r="F875" s="294"/>
      <c r="G875" s="295"/>
      <c r="H875" s="295"/>
      <c r="P875" s="295"/>
      <c r="W875" s="295"/>
      <c r="AD875" s="295"/>
      <c r="AK875" s="295"/>
      <c r="BR875" s="188"/>
      <c r="BT875" s="296"/>
      <c r="BU875" s="296"/>
      <c r="BV875" s="296"/>
    </row>
    <row r="876" spans="2:74" ht="13">
      <c r="B876" s="294"/>
      <c r="C876" s="294"/>
      <c r="D876" s="294"/>
      <c r="E876" s="295"/>
      <c r="F876" s="294"/>
      <c r="G876" s="295"/>
      <c r="H876" s="295"/>
      <c r="P876" s="295"/>
      <c r="W876" s="295"/>
      <c r="AD876" s="295"/>
      <c r="AK876" s="295"/>
      <c r="BR876" s="188"/>
      <c r="BT876" s="296"/>
      <c r="BU876" s="296"/>
      <c r="BV876" s="296"/>
    </row>
    <row r="877" spans="2:74" ht="13">
      <c r="B877" s="294"/>
      <c r="C877" s="294"/>
      <c r="D877" s="294"/>
      <c r="E877" s="295"/>
      <c r="F877" s="294"/>
      <c r="G877" s="295"/>
      <c r="H877" s="295"/>
      <c r="P877" s="295"/>
      <c r="W877" s="295"/>
      <c r="AD877" s="295"/>
      <c r="AK877" s="295"/>
      <c r="BR877" s="188"/>
      <c r="BT877" s="296"/>
      <c r="BU877" s="296"/>
      <c r="BV877" s="296"/>
    </row>
    <row r="878" spans="2:74" ht="13">
      <c r="B878" s="294"/>
      <c r="C878" s="294"/>
      <c r="D878" s="294"/>
      <c r="E878" s="295"/>
      <c r="F878" s="294"/>
      <c r="G878" s="295"/>
      <c r="H878" s="295"/>
      <c r="P878" s="295"/>
      <c r="W878" s="295"/>
      <c r="AD878" s="295"/>
      <c r="AK878" s="295"/>
      <c r="BR878" s="188"/>
      <c r="BT878" s="296"/>
      <c r="BU878" s="296"/>
      <c r="BV878" s="296"/>
    </row>
    <row r="879" spans="2:74" ht="13">
      <c r="B879" s="294"/>
      <c r="C879" s="294"/>
      <c r="D879" s="294"/>
      <c r="E879" s="295"/>
      <c r="F879" s="294"/>
      <c r="G879" s="295"/>
      <c r="H879" s="295"/>
      <c r="P879" s="295"/>
      <c r="W879" s="295"/>
      <c r="AD879" s="295"/>
      <c r="AK879" s="295"/>
      <c r="BR879" s="188"/>
      <c r="BT879" s="296"/>
      <c r="BU879" s="296"/>
      <c r="BV879" s="296"/>
    </row>
    <row r="880" spans="2:74" ht="13">
      <c r="B880" s="294"/>
      <c r="C880" s="294"/>
      <c r="D880" s="294"/>
      <c r="E880" s="295"/>
      <c r="F880" s="294"/>
      <c r="G880" s="295"/>
      <c r="H880" s="295"/>
      <c r="P880" s="295"/>
      <c r="W880" s="295"/>
      <c r="AD880" s="295"/>
      <c r="AK880" s="295"/>
      <c r="BR880" s="188"/>
      <c r="BT880" s="296"/>
      <c r="BU880" s="296"/>
      <c r="BV880" s="296"/>
    </row>
    <row r="881" spans="2:74" ht="13">
      <c r="B881" s="294"/>
      <c r="C881" s="294"/>
      <c r="D881" s="294"/>
      <c r="E881" s="295"/>
      <c r="F881" s="294"/>
      <c r="G881" s="295"/>
      <c r="H881" s="295"/>
      <c r="P881" s="295"/>
      <c r="W881" s="295"/>
      <c r="AD881" s="295"/>
      <c r="AK881" s="295"/>
      <c r="BR881" s="188"/>
      <c r="BT881" s="296"/>
      <c r="BU881" s="296"/>
      <c r="BV881" s="296"/>
    </row>
    <row r="882" spans="2:74" ht="13">
      <c r="B882" s="294"/>
      <c r="C882" s="294"/>
      <c r="D882" s="294"/>
      <c r="E882" s="295"/>
      <c r="F882" s="294"/>
      <c r="G882" s="295"/>
      <c r="H882" s="295"/>
      <c r="P882" s="295"/>
      <c r="W882" s="295"/>
      <c r="AD882" s="295"/>
      <c r="AK882" s="295"/>
      <c r="BR882" s="188"/>
      <c r="BT882" s="296"/>
      <c r="BU882" s="296"/>
      <c r="BV882" s="296"/>
    </row>
    <row r="883" spans="2:74" ht="13">
      <c r="B883" s="294"/>
      <c r="C883" s="294"/>
      <c r="D883" s="294"/>
      <c r="E883" s="295"/>
      <c r="F883" s="294"/>
      <c r="G883" s="295"/>
      <c r="H883" s="295"/>
      <c r="P883" s="295"/>
      <c r="W883" s="295"/>
      <c r="AD883" s="295"/>
      <c r="AK883" s="295"/>
      <c r="BR883" s="188"/>
      <c r="BT883" s="296"/>
      <c r="BU883" s="296"/>
      <c r="BV883" s="296"/>
    </row>
    <row r="884" spans="2:74" ht="13">
      <c r="B884" s="294"/>
      <c r="C884" s="294"/>
      <c r="D884" s="294"/>
      <c r="E884" s="295"/>
      <c r="F884" s="294"/>
      <c r="G884" s="295"/>
      <c r="H884" s="295"/>
      <c r="P884" s="295"/>
      <c r="W884" s="295"/>
      <c r="AD884" s="295"/>
      <c r="AK884" s="295"/>
      <c r="BR884" s="188"/>
      <c r="BT884" s="296"/>
      <c r="BU884" s="296"/>
      <c r="BV884" s="296"/>
    </row>
    <row r="885" spans="2:74" ht="13">
      <c r="B885" s="294"/>
      <c r="C885" s="294"/>
      <c r="D885" s="294"/>
      <c r="E885" s="295"/>
      <c r="F885" s="294"/>
      <c r="G885" s="295"/>
      <c r="H885" s="295"/>
      <c r="P885" s="295"/>
      <c r="W885" s="295"/>
      <c r="AD885" s="295"/>
      <c r="AK885" s="295"/>
      <c r="BR885" s="188"/>
      <c r="BT885" s="296"/>
      <c r="BU885" s="296"/>
      <c r="BV885" s="296"/>
    </row>
    <row r="886" spans="2:74" ht="13">
      <c r="B886" s="294"/>
      <c r="C886" s="294"/>
      <c r="D886" s="294"/>
      <c r="E886" s="295"/>
      <c r="F886" s="294"/>
      <c r="G886" s="295"/>
      <c r="H886" s="295"/>
      <c r="P886" s="295"/>
      <c r="W886" s="295"/>
      <c r="AD886" s="295"/>
      <c r="AK886" s="295"/>
      <c r="BR886" s="188"/>
      <c r="BT886" s="296"/>
      <c r="BU886" s="296"/>
      <c r="BV886" s="296"/>
    </row>
    <row r="887" spans="2:74" ht="13">
      <c r="B887" s="294"/>
      <c r="C887" s="294"/>
      <c r="D887" s="294"/>
      <c r="E887" s="295"/>
      <c r="F887" s="294"/>
      <c r="G887" s="295"/>
      <c r="H887" s="295"/>
      <c r="P887" s="295"/>
      <c r="W887" s="295"/>
      <c r="AD887" s="295"/>
      <c r="AK887" s="295"/>
      <c r="BR887" s="188"/>
      <c r="BT887" s="296"/>
      <c r="BU887" s="296"/>
      <c r="BV887" s="296"/>
    </row>
    <row r="888" spans="2:74" ht="13">
      <c r="B888" s="294"/>
      <c r="C888" s="294"/>
      <c r="D888" s="294"/>
      <c r="E888" s="295"/>
      <c r="F888" s="294"/>
      <c r="G888" s="295"/>
      <c r="H888" s="295"/>
      <c r="P888" s="295"/>
      <c r="W888" s="295"/>
      <c r="AD888" s="295"/>
      <c r="AK888" s="295"/>
      <c r="BR888" s="188"/>
      <c r="BT888" s="296"/>
      <c r="BU888" s="296"/>
      <c r="BV888" s="296"/>
    </row>
    <row r="889" spans="2:74" ht="13">
      <c r="B889" s="294"/>
      <c r="C889" s="294"/>
      <c r="D889" s="294"/>
      <c r="E889" s="295"/>
      <c r="F889" s="294"/>
      <c r="G889" s="295"/>
      <c r="H889" s="295"/>
      <c r="P889" s="295"/>
      <c r="W889" s="295"/>
      <c r="AD889" s="295"/>
      <c r="AK889" s="295"/>
      <c r="BR889" s="188"/>
      <c r="BT889" s="296"/>
      <c r="BU889" s="296"/>
      <c r="BV889" s="296"/>
    </row>
    <row r="890" spans="2:74" ht="13">
      <c r="B890" s="294"/>
      <c r="C890" s="294"/>
      <c r="D890" s="294"/>
      <c r="E890" s="295"/>
      <c r="F890" s="294"/>
      <c r="G890" s="295"/>
      <c r="H890" s="295"/>
      <c r="P890" s="295"/>
      <c r="W890" s="295"/>
      <c r="AD890" s="295"/>
      <c r="AK890" s="295"/>
      <c r="BR890" s="188"/>
      <c r="BT890" s="296"/>
      <c r="BU890" s="296"/>
      <c r="BV890" s="296"/>
    </row>
    <row r="891" spans="2:74" ht="13">
      <c r="B891" s="294"/>
      <c r="C891" s="294"/>
      <c r="D891" s="294"/>
      <c r="E891" s="295"/>
      <c r="F891" s="294"/>
      <c r="G891" s="295"/>
      <c r="H891" s="295"/>
      <c r="P891" s="295"/>
      <c r="W891" s="295"/>
      <c r="AD891" s="295"/>
      <c r="AK891" s="295"/>
      <c r="BR891" s="188"/>
      <c r="BT891" s="296"/>
      <c r="BU891" s="296"/>
      <c r="BV891" s="296"/>
    </row>
    <row r="892" spans="2:74" ht="13">
      <c r="B892" s="294"/>
      <c r="C892" s="294"/>
      <c r="D892" s="294"/>
      <c r="E892" s="295"/>
      <c r="F892" s="294"/>
      <c r="G892" s="295"/>
      <c r="H892" s="295"/>
      <c r="P892" s="295"/>
      <c r="W892" s="295"/>
      <c r="AD892" s="295"/>
      <c r="AK892" s="295"/>
      <c r="BR892" s="188"/>
      <c r="BT892" s="296"/>
      <c r="BU892" s="296"/>
      <c r="BV892" s="296"/>
    </row>
    <row r="893" spans="2:74" ht="13">
      <c r="B893" s="294"/>
      <c r="C893" s="294"/>
      <c r="D893" s="294"/>
      <c r="E893" s="295"/>
      <c r="F893" s="294"/>
      <c r="G893" s="295"/>
      <c r="H893" s="295"/>
      <c r="P893" s="295"/>
      <c r="W893" s="295"/>
      <c r="AD893" s="295"/>
      <c r="AK893" s="295"/>
      <c r="BR893" s="188"/>
      <c r="BT893" s="296"/>
      <c r="BU893" s="296"/>
      <c r="BV893" s="296"/>
    </row>
    <row r="894" spans="2:74" ht="13">
      <c r="B894" s="294"/>
      <c r="C894" s="294"/>
      <c r="D894" s="294"/>
      <c r="E894" s="295"/>
      <c r="F894" s="294"/>
      <c r="G894" s="295"/>
      <c r="H894" s="295"/>
      <c r="P894" s="295"/>
      <c r="W894" s="295"/>
      <c r="AD894" s="295"/>
      <c r="AK894" s="295"/>
      <c r="BR894" s="188"/>
      <c r="BT894" s="296"/>
      <c r="BU894" s="296"/>
      <c r="BV894" s="296"/>
    </row>
    <row r="895" spans="2:74" ht="13">
      <c r="B895" s="294"/>
      <c r="C895" s="294"/>
      <c r="D895" s="294"/>
      <c r="E895" s="295"/>
      <c r="F895" s="294"/>
      <c r="G895" s="295"/>
      <c r="H895" s="295"/>
      <c r="P895" s="295"/>
      <c r="W895" s="295"/>
      <c r="AD895" s="295"/>
      <c r="AK895" s="295"/>
      <c r="BR895" s="188"/>
      <c r="BT895" s="296"/>
      <c r="BU895" s="296"/>
      <c r="BV895" s="296"/>
    </row>
    <row r="896" spans="2:74" ht="13">
      <c r="B896" s="294"/>
      <c r="C896" s="294"/>
      <c r="D896" s="294"/>
      <c r="E896" s="295"/>
      <c r="F896" s="294"/>
      <c r="G896" s="295"/>
      <c r="H896" s="295"/>
      <c r="P896" s="295"/>
      <c r="W896" s="295"/>
      <c r="AD896" s="295"/>
      <c r="AK896" s="295"/>
      <c r="BR896" s="188"/>
      <c r="BT896" s="296"/>
      <c r="BU896" s="296"/>
      <c r="BV896" s="296"/>
    </row>
    <row r="897" spans="2:74" ht="13">
      <c r="B897" s="294"/>
      <c r="C897" s="294"/>
      <c r="D897" s="294"/>
      <c r="E897" s="295"/>
      <c r="F897" s="294"/>
      <c r="G897" s="295"/>
      <c r="H897" s="295"/>
      <c r="P897" s="295"/>
      <c r="W897" s="295"/>
      <c r="AD897" s="295"/>
      <c r="AK897" s="295"/>
      <c r="BR897" s="188"/>
      <c r="BT897" s="296"/>
      <c r="BU897" s="296"/>
      <c r="BV897" s="296"/>
    </row>
    <row r="898" spans="2:74" ht="13">
      <c r="B898" s="294"/>
      <c r="C898" s="294"/>
      <c r="D898" s="294"/>
      <c r="E898" s="295"/>
      <c r="F898" s="294"/>
      <c r="G898" s="295"/>
      <c r="H898" s="295"/>
      <c r="P898" s="295"/>
      <c r="W898" s="295"/>
      <c r="AD898" s="295"/>
      <c r="AK898" s="295"/>
      <c r="BR898" s="188"/>
      <c r="BT898" s="296"/>
      <c r="BU898" s="296"/>
      <c r="BV898" s="296"/>
    </row>
    <row r="899" spans="2:74" ht="13">
      <c r="B899" s="294"/>
      <c r="C899" s="294"/>
      <c r="D899" s="294"/>
      <c r="E899" s="295"/>
      <c r="F899" s="294"/>
      <c r="G899" s="295"/>
      <c r="H899" s="295"/>
      <c r="P899" s="295"/>
      <c r="W899" s="295"/>
      <c r="AD899" s="295"/>
      <c r="AK899" s="295"/>
      <c r="BR899" s="188"/>
      <c r="BT899" s="296"/>
      <c r="BU899" s="296"/>
      <c r="BV899" s="296"/>
    </row>
    <row r="900" spans="2:74" ht="13">
      <c r="B900" s="294"/>
      <c r="C900" s="294"/>
      <c r="D900" s="294"/>
      <c r="E900" s="295"/>
      <c r="F900" s="294"/>
      <c r="G900" s="295"/>
      <c r="H900" s="295"/>
      <c r="P900" s="295"/>
      <c r="W900" s="295"/>
      <c r="AD900" s="295"/>
      <c r="AK900" s="295"/>
      <c r="BR900" s="188"/>
      <c r="BT900" s="296"/>
      <c r="BU900" s="296"/>
      <c r="BV900" s="296"/>
    </row>
    <row r="901" spans="2:74" ht="13">
      <c r="B901" s="294"/>
      <c r="C901" s="294"/>
      <c r="D901" s="294"/>
      <c r="E901" s="295"/>
      <c r="F901" s="294"/>
      <c r="G901" s="295"/>
      <c r="H901" s="295"/>
      <c r="P901" s="295"/>
      <c r="W901" s="295"/>
      <c r="AD901" s="295"/>
      <c r="AK901" s="295"/>
      <c r="BR901" s="188"/>
      <c r="BT901" s="296"/>
      <c r="BU901" s="296"/>
      <c r="BV901" s="296"/>
    </row>
    <row r="902" spans="2:74" ht="13">
      <c r="B902" s="294"/>
      <c r="C902" s="294"/>
      <c r="D902" s="294"/>
      <c r="E902" s="295"/>
      <c r="F902" s="294"/>
      <c r="G902" s="295"/>
      <c r="H902" s="295"/>
      <c r="P902" s="295"/>
      <c r="W902" s="295"/>
      <c r="AD902" s="295"/>
      <c r="AK902" s="295"/>
      <c r="BR902" s="188"/>
      <c r="BT902" s="296"/>
      <c r="BU902" s="296"/>
      <c r="BV902" s="296"/>
    </row>
    <row r="903" spans="2:74" ht="13">
      <c r="B903" s="294"/>
      <c r="C903" s="294"/>
      <c r="D903" s="294"/>
      <c r="E903" s="295"/>
      <c r="F903" s="294"/>
      <c r="G903" s="295"/>
      <c r="H903" s="295"/>
      <c r="P903" s="295"/>
      <c r="W903" s="295"/>
      <c r="AD903" s="295"/>
      <c r="AK903" s="295"/>
      <c r="BR903" s="188"/>
      <c r="BT903" s="296"/>
      <c r="BU903" s="296"/>
      <c r="BV903" s="296"/>
    </row>
    <row r="904" spans="2:74" ht="13">
      <c r="B904" s="294"/>
      <c r="C904" s="294"/>
      <c r="D904" s="294"/>
      <c r="E904" s="295"/>
      <c r="F904" s="294"/>
      <c r="G904" s="295"/>
      <c r="H904" s="295"/>
      <c r="P904" s="295"/>
      <c r="W904" s="295"/>
      <c r="AD904" s="295"/>
      <c r="AK904" s="295"/>
      <c r="BR904" s="188"/>
      <c r="BT904" s="296"/>
      <c r="BU904" s="296"/>
      <c r="BV904" s="296"/>
    </row>
    <row r="905" spans="2:74" ht="13">
      <c r="B905" s="294"/>
      <c r="C905" s="294"/>
      <c r="D905" s="294"/>
      <c r="E905" s="295"/>
      <c r="F905" s="294"/>
      <c r="G905" s="295"/>
      <c r="H905" s="295"/>
      <c r="P905" s="295"/>
      <c r="W905" s="295"/>
      <c r="AD905" s="295"/>
      <c r="AK905" s="295"/>
      <c r="BR905" s="188"/>
      <c r="BT905" s="296"/>
      <c r="BU905" s="296"/>
      <c r="BV905" s="296"/>
    </row>
    <row r="906" spans="2:74" ht="13">
      <c r="B906" s="294"/>
      <c r="C906" s="294"/>
      <c r="D906" s="294"/>
      <c r="E906" s="295"/>
      <c r="F906" s="294"/>
      <c r="G906" s="295"/>
      <c r="H906" s="295"/>
      <c r="P906" s="295"/>
      <c r="W906" s="295"/>
      <c r="AD906" s="295"/>
      <c r="AK906" s="295"/>
      <c r="BR906" s="188"/>
      <c r="BT906" s="296"/>
      <c r="BU906" s="296"/>
      <c r="BV906" s="296"/>
    </row>
    <row r="907" spans="2:74" ht="13">
      <c r="B907" s="294"/>
      <c r="C907" s="294"/>
      <c r="D907" s="294"/>
      <c r="E907" s="295"/>
      <c r="F907" s="294"/>
      <c r="G907" s="295"/>
      <c r="H907" s="295"/>
      <c r="P907" s="295"/>
      <c r="W907" s="295"/>
      <c r="AD907" s="295"/>
      <c r="AK907" s="295"/>
      <c r="BR907" s="188"/>
      <c r="BT907" s="296"/>
      <c r="BU907" s="296"/>
      <c r="BV907" s="296"/>
    </row>
    <row r="908" spans="2:74" ht="13">
      <c r="B908" s="294"/>
      <c r="C908" s="294"/>
      <c r="D908" s="294"/>
      <c r="E908" s="295"/>
      <c r="F908" s="294"/>
      <c r="G908" s="295"/>
      <c r="H908" s="295"/>
      <c r="P908" s="295"/>
      <c r="W908" s="295"/>
      <c r="AD908" s="295"/>
      <c r="AK908" s="295"/>
      <c r="BR908" s="188"/>
      <c r="BT908" s="296"/>
      <c r="BU908" s="296"/>
      <c r="BV908" s="296"/>
    </row>
    <row r="909" spans="2:74" ht="13">
      <c r="B909" s="294"/>
      <c r="C909" s="294"/>
      <c r="D909" s="294"/>
      <c r="E909" s="295"/>
      <c r="F909" s="294"/>
      <c r="G909" s="295"/>
      <c r="H909" s="295"/>
      <c r="P909" s="295"/>
      <c r="W909" s="295"/>
      <c r="AD909" s="295"/>
      <c r="AK909" s="295"/>
      <c r="BR909" s="188"/>
      <c r="BT909" s="296"/>
      <c r="BU909" s="296"/>
      <c r="BV909" s="296"/>
    </row>
    <row r="910" spans="2:74" ht="13">
      <c r="B910" s="294"/>
      <c r="C910" s="294"/>
      <c r="D910" s="294"/>
      <c r="E910" s="295"/>
      <c r="F910" s="294"/>
      <c r="G910" s="295"/>
      <c r="H910" s="295"/>
      <c r="P910" s="295"/>
      <c r="W910" s="295"/>
      <c r="AD910" s="295"/>
      <c r="AK910" s="295"/>
      <c r="BR910" s="188"/>
      <c r="BT910" s="296"/>
      <c r="BU910" s="296"/>
      <c r="BV910" s="296"/>
    </row>
    <row r="911" spans="2:74" ht="13">
      <c r="B911" s="294"/>
      <c r="C911" s="294"/>
      <c r="D911" s="294"/>
      <c r="E911" s="295"/>
      <c r="F911" s="294"/>
      <c r="G911" s="295"/>
      <c r="H911" s="295"/>
      <c r="P911" s="295"/>
      <c r="W911" s="295"/>
      <c r="AD911" s="295"/>
      <c r="AK911" s="295"/>
      <c r="BR911" s="188"/>
      <c r="BT911" s="296"/>
      <c r="BU911" s="296"/>
      <c r="BV911" s="296"/>
    </row>
    <row r="912" spans="2:74" ht="13">
      <c r="B912" s="294"/>
      <c r="C912" s="294"/>
      <c r="D912" s="294"/>
      <c r="E912" s="295"/>
      <c r="F912" s="294"/>
      <c r="G912" s="295"/>
      <c r="H912" s="295"/>
      <c r="P912" s="295"/>
      <c r="W912" s="295"/>
      <c r="AD912" s="295"/>
      <c r="AK912" s="295"/>
      <c r="BR912" s="188"/>
      <c r="BT912" s="296"/>
      <c r="BU912" s="296"/>
      <c r="BV912" s="296"/>
    </row>
    <row r="913" spans="2:74" ht="13">
      <c r="B913" s="294"/>
      <c r="C913" s="294"/>
      <c r="D913" s="294"/>
      <c r="E913" s="295"/>
      <c r="F913" s="294"/>
      <c r="G913" s="295"/>
      <c r="H913" s="295"/>
      <c r="P913" s="295"/>
      <c r="W913" s="295"/>
      <c r="AD913" s="295"/>
      <c r="AK913" s="295"/>
      <c r="BR913" s="188"/>
      <c r="BT913" s="296"/>
      <c r="BU913" s="296"/>
      <c r="BV913" s="296"/>
    </row>
    <row r="914" spans="2:74" ht="13">
      <c r="B914" s="294"/>
      <c r="C914" s="294"/>
      <c r="D914" s="294"/>
      <c r="E914" s="295"/>
      <c r="F914" s="294"/>
      <c r="G914" s="295"/>
      <c r="H914" s="295"/>
      <c r="P914" s="295"/>
      <c r="W914" s="295"/>
      <c r="AD914" s="295"/>
      <c r="AK914" s="295"/>
      <c r="BR914" s="188"/>
      <c r="BT914" s="296"/>
      <c r="BU914" s="296"/>
      <c r="BV914" s="296"/>
    </row>
    <row r="915" spans="2:74" ht="13">
      <c r="B915" s="294"/>
      <c r="C915" s="294"/>
      <c r="D915" s="294"/>
      <c r="E915" s="295"/>
      <c r="F915" s="294"/>
      <c r="G915" s="295"/>
      <c r="H915" s="295"/>
      <c r="P915" s="295"/>
      <c r="W915" s="295"/>
      <c r="AD915" s="295"/>
      <c r="AK915" s="295"/>
      <c r="BR915" s="188"/>
      <c r="BT915" s="296"/>
      <c r="BU915" s="296"/>
      <c r="BV915" s="296"/>
    </row>
    <row r="916" spans="2:74" ht="13">
      <c r="B916" s="294"/>
      <c r="C916" s="294"/>
      <c r="D916" s="294"/>
      <c r="E916" s="295"/>
      <c r="F916" s="294"/>
      <c r="G916" s="295"/>
      <c r="H916" s="295"/>
      <c r="P916" s="295"/>
      <c r="W916" s="295"/>
      <c r="AD916" s="295"/>
      <c r="AK916" s="295"/>
      <c r="BR916" s="188"/>
      <c r="BT916" s="296"/>
      <c r="BU916" s="296"/>
      <c r="BV916" s="296"/>
    </row>
    <row r="917" spans="2:74" ht="13">
      <c r="B917" s="294"/>
      <c r="C917" s="294"/>
      <c r="D917" s="294"/>
      <c r="E917" s="295"/>
      <c r="F917" s="294"/>
      <c r="G917" s="295"/>
      <c r="H917" s="295"/>
      <c r="P917" s="295"/>
      <c r="W917" s="295"/>
      <c r="AD917" s="295"/>
      <c r="AK917" s="295"/>
      <c r="BR917" s="188"/>
      <c r="BT917" s="296"/>
      <c r="BU917" s="296"/>
      <c r="BV917" s="296"/>
    </row>
    <row r="918" spans="2:74" ht="13">
      <c r="B918" s="294"/>
      <c r="C918" s="294"/>
      <c r="D918" s="294"/>
      <c r="E918" s="295"/>
      <c r="F918" s="294"/>
      <c r="G918" s="295"/>
      <c r="H918" s="295"/>
      <c r="P918" s="295"/>
      <c r="W918" s="295"/>
      <c r="AD918" s="295"/>
      <c r="AK918" s="295"/>
      <c r="BR918" s="188"/>
      <c r="BT918" s="296"/>
      <c r="BU918" s="296"/>
      <c r="BV918" s="296"/>
    </row>
    <row r="919" spans="2:74" ht="13">
      <c r="B919" s="294"/>
      <c r="C919" s="294"/>
      <c r="D919" s="294"/>
      <c r="E919" s="295"/>
      <c r="F919" s="294"/>
      <c r="G919" s="295"/>
      <c r="H919" s="295"/>
      <c r="P919" s="295"/>
      <c r="W919" s="295"/>
      <c r="AD919" s="295"/>
      <c r="AK919" s="295"/>
      <c r="BR919" s="188"/>
      <c r="BT919" s="296"/>
      <c r="BU919" s="296"/>
      <c r="BV919" s="296"/>
    </row>
    <row r="920" spans="2:74" ht="13">
      <c r="B920" s="294"/>
      <c r="C920" s="294"/>
      <c r="D920" s="294"/>
      <c r="E920" s="295"/>
      <c r="F920" s="294"/>
      <c r="G920" s="295"/>
      <c r="H920" s="295"/>
      <c r="P920" s="295"/>
      <c r="W920" s="295"/>
      <c r="AD920" s="295"/>
      <c r="AK920" s="295"/>
      <c r="BR920" s="188"/>
      <c r="BT920" s="296"/>
      <c r="BU920" s="296"/>
      <c r="BV920" s="296"/>
    </row>
    <row r="921" spans="2:74" ht="13">
      <c r="B921" s="294"/>
      <c r="C921" s="294"/>
      <c r="D921" s="294"/>
      <c r="E921" s="295"/>
      <c r="F921" s="294"/>
      <c r="G921" s="295"/>
      <c r="H921" s="295"/>
      <c r="P921" s="295"/>
      <c r="W921" s="295"/>
      <c r="AD921" s="295"/>
      <c r="AK921" s="295"/>
      <c r="BR921" s="188"/>
      <c r="BT921" s="296"/>
      <c r="BU921" s="296"/>
      <c r="BV921" s="296"/>
    </row>
    <row r="922" spans="2:74" ht="13">
      <c r="B922" s="294"/>
      <c r="C922" s="294"/>
      <c r="D922" s="294"/>
      <c r="E922" s="295"/>
      <c r="F922" s="294"/>
      <c r="G922" s="295"/>
      <c r="H922" s="295"/>
      <c r="P922" s="295"/>
      <c r="W922" s="295"/>
      <c r="AD922" s="295"/>
      <c r="AK922" s="295"/>
      <c r="BR922" s="188"/>
      <c r="BT922" s="296"/>
      <c r="BU922" s="296"/>
      <c r="BV922" s="296"/>
    </row>
    <row r="923" spans="2:74" ht="13">
      <c r="B923" s="294"/>
      <c r="C923" s="294"/>
      <c r="D923" s="294"/>
      <c r="E923" s="295"/>
      <c r="F923" s="294"/>
      <c r="G923" s="295"/>
      <c r="H923" s="295"/>
      <c r="P923" s="295"/>
      <c r="W923" s="295"/>
      <c r="AD923" s="295"/>
      <c r="AK923" s="295"/>
      <c r="BR923" s="188"/>
      <c r="BT923" s="296"/>
      <c r="BU923" s="296"/>
      <c r="BV923" s="296"/>
    </row>
    <row r="924" spans="2:74" ht="13">
      <c r="B924" s="294"/>
      <c r="C924" s="294"/>
      <c r="D924" s="294"/>
      <c r="E924" s="295"/>
      <c r="F924" s="294"/>
      <c r="G924" s="295"/>
      <c r="H924" s="295"/>
      <c r="P924" s="295"/>
      <c r="W924" s="295"/>
      <c r="AD924" s="295"/>
      <c r="AK924" s="295"/>
      <c r="BR924" s="188"/>
      <c r="BT924" s="296"/>
      <c r="BU924" s="296"/>
      <c r="BV924" s="296"/>
    </row>
    <row r="925" spans="2:74" ht="13">
      <c r="B925" s="294"/>
      <c r="C925" s="294"/>
      <c r="D925" s="294"/>
      <c r="E925" s="295"/>
      <c r="F925" s="294"/>
      <c r="G925" s="295"/>
      <c r="H925" s="295"/>
      <c r="P925" s="295"/>
      <c r="W925" s="295"/>
      <c r="AD925" s="295"/>
      <c r="AK925" s="295"/>
      <c r="BR925" s="188"/>
      <c r="BT925" s="296"/>
      <c r="BU925" s="296"/>
      <c r="BV925" s="296"/>
    </row>
    <row r="926" spans="2:74" ht="13">
      <c r="B926" s="294"/>
      <c r="C926" s="294"/>
      <c r="D926" s="294"/>
      <c r="E926" s="295"/>
      <c r="F926" s="294"/>
      <c r="G926" s="295"/>
      <c r="H926" s="295"/>
      <c r="P926" s="295"/>
      <c r="W926" s="295"/>
      <c r="AD926" s="295"/>
      <c r="AK926" s="295"/>
      <c r="BR926" s="188"/>
      <c r="BT926" s="296"/>
      <c r="BU926" s="296"/>
      <c r="BV926" s="296"/>
    </row>
    <row r="927" spans="2:74" ht="13">
      <c r="B927" s="294"/>
      <c r="C927" s="294"/>
      <c r="D927" s="294"/>
      <c r="E927" s="295"/>
      <c r="F927" s="294"/>
      <c r="G927" s="295"/>
      <c r="H927" s="295"/>
      <c r="P927" s="295"/>
      <c r="W927" s="295"/>
      <c r="AD927" s="295"/>
      <c r="AK927" s="295"/>
      <c r="BR927" s="188"/>
      <c r="BT927" s="296"/>
      <c r="BU927" s="296"/>
      <c r="BV927" s="296"/>
    </row>
    <row r="928" spans="2:74" ht="13">
      <c r="B928" s="294"/>
      <c r="C928" s="294"/>
      <c r="D928" s="294"/>
      <c r="E928" s="295"/>
      <c r="F928" s="294"/>
      <c r="G928" s="295"/>
      <c r="H928" s="295"/>
      <c r="P928" s="295"/>
      <c r="W928" s="295"/>
      <c r="AD928" s="295"/>
      <c r="AK928" s="295"/>
      <c r="BR928" s="188"/>
      <c r="BT928" s="296"/>
      <c r="BU928" s="296"/>
      <c r="BV928" s="296"/>
    </row>
    <row r="929" spans="2:74" ht="13">
      <c r="B929" s="294"/>
      <c r="C929" s="294"/>
      <c r="D929" s="294"/>
      <c r="E929" s="295"/>
      <c r="F929" s="294"/>
      <c r="G929" s="295"/>
      <c r="H929" s="295"/>
      <c r="P929" s="295"/>
      <c r="W929" s="295"/>
      <c r="AD929" s="295"/>
      <c r="AK929" s="295"/>
      <c r="BR929" s="188"/>
      <c r="BT929" s="296"/>
      <c r="BU929" s="296"/>
      <c r="BV929" s="296"/>
    </row>
    <row r="930" spans="2:74" ht="13">
      <c r="B930" s="294"/>
      <c r="C930" s="294"/>
      <c r="D930" s="294"/>
      <c r="E930" s="295"/>
      <c r="F930" s="294"/>
      <c r="G930" s="295"/>
      <c r="H930" s="295"/>
      <c r="P930" s="295"/>
      <c r="W930" s="295"/>
      <c r="AD930" s="295"/>
      <c r="AK930" s="295"/>
      <c r="BR930" s="188"/>
      <c r="BT930" s="296"/>
      <c r="BU930" s="296"/>
      <c r="BV930" s="296"/>
    </row>
    <row r="931" spans="2:74" ht="13">
      <c r="B931" s="294"/>
      <c r="C931" s="294"/>
      <c r="D931" s="294"/>
      <c r="E931" s="295"/>
      <c r="F931" s="294"/>
      <c r="G931" s="295"/>
      <c r="H931" s="295"/>
      <c r="P931" s="295"/>
      <c r="W931" s="295"/>
      <c r="AD931" s="295"/>
      <c r="AK931" s="295"/>
      <c r="BR931" s="188"/>
      <c r="BT931" s="296"/>
      <c r="BU931" s="296"/>
      <c r="BV931" s="296"/>
    </row>
    <row r="932" spans="2:74" ht="13">
      <c r="B932" s="294"/>
      <c r="C932" s="294"/>
      <c r="D932" s="294"/>
      <c r="E932" s="295"/>
      <c r="F932" s="294"/>
      <c r="G932" s="295"/>
      <c r="H932" s="295"/>
      <c r="P932" s="295"/>
      <c r="W932" s="295"/>
      <c r="AD932" s="295"/>
      <c r="AK932" s="295"/>
      <c r="BR932" s="188"/>
      <c r="BT932" s="296"/>
      <c r="BU932" s="296"/>
      <c r="BV932" s="296"/>
    </row>
    <row r="933" spans="2:74" ht="13">
      <c r="B933" s="294"/>
      <c r="C933" s="294"/>
      <c r="D933" s="294"/>
      <c r="E933" s="295"/>
      <c r="F933" s="294"/>
      <c r="G933" s="295"/>
      <c r="H933" s="295"/>
      <c r="P933" s="295"/>
      <c r="W933" s="295"/>
      <c r="AD933" s="295"/>
      <c r="AK933" s="295"/>
      <c r="BR933" s="188"/>
      <c r="BT933" s="296"/>
      <c r="BU933" s="296"/>
      <c r="BV933" s="296"/>
    </row>
    <row r="934" spans="2:74" ht="13">
      <c r="B934" s="294"/>
      <c r="C934" s="294"/>
      <c r="D934" s="294"/>
      <c r="E934" s="295"/>
      <c r="F934" s="294"/>
      <c r="G934" s="295"/>
      <c r="H934" s="295"/>
      <c r="P934" s="295"/>
      <c r="W934" s="295"/>
      <c r="AD934" s="295"/>
      <c r="AK934" s="295"/>
      <c r="BR934" s="188"/>
      <c r="BT934" s="296"/>
      <c r="BU934" s="296"/>
      <c r="BV934" s="296"/>
    </row>
    <row r="935" spans="2:74" ht="13">
      <c r="B935" s="294"/>
      <c r="C935" s="294"/>
      <c r="D935" s="294"/>
      <c r="E935" s="295"/>
      <c r="F935" s="294"/>
      <c r="G935" s="295"/>
      <c r="H935" s="295"/>
      <c r="P935" s="295"/>
      <c r="W935" s="295"/>
      <c r="AD935" s="295"/>
      <c r="AK935" s="295"/>
      <c r="BR935" s="188"/>
      <c r="BT935" s="296"/>
      <c r="BU935" s="296"/>
      <c r="BV935" s="296"/>
    </row>
    <row r="936" spans="2:74" ht="13">
      <c r="B936" s="294"/>
      <c r="C936" s="294"/>
      <c r="D936" s="294"/>
      <c r="E936" s="295"/>
      <c r="F936" s="294"/>
      <c r="G936" s="295"/>
      <c r="H936" s="295"/>
      <c r="P936" s="295"/>
      <c r="W936" s="295"/>
      <c r="AD936" s="295"/>
      <c r="AK936" s="295"/>
      <c r="BR936" s="188"/>
      <c r="BT936" s="296"/>
      <c r="BU936" s="296"/>
      <c r="BV936" s="296"/>
    </row>
    <row r="937" spans="2:74" ht="13">
      <c r="B937" s="294"/>
      <c r="C937" s="294"/>
      <c r="D937" s="294"/>
      <c r="E937" s="295"/>
      <c r="F937" s="294"/>
      <c r="G937" s="295"/>
      <c r="H937" s="295"/>
      <c r="P937" s="295"/>
      <c r="W937" s="295"/>
      <c r="AD937" s="295"/>
      <c r="AK937" s="295"/>
      <c r="BR937" s="188"/>
      <c r="BT937" s="296"/>
      <c r="BU937" s="296"/>
      <c r="BV937" s="296"/>
    </row>
    <row r="938" spans="2:74" ht="13">
      <c r="B938" s="294"/>
      <c r="C938" s="294"/>
      <c r="D938" s="294"/>
      <c r="E938" s="295"/>
      <c r="F938" s="294"/>
      <c r="G938" s="295"/>
      <c r="H938" s="295"/>
      <c r="P938" s="295"/>
      <c r="W938" s="295"/>
      <c r="AD938" s="295"/>
      <c r="AK938" s="295"/>
      <c r="BR938" s="188"/>
      <c r="BT938" s="296"/>
      <c r="BU938" s="296"/>
      <c r="BV938" s="296"/>
    </row>
    <row r="939" spans="2:74" ht="13">
      <c r="B939" s="294"/>
      <c r="C939" s="294"/>
      <c r="D939" s="294"/>
      <c r="E939" s="295"/>
      <c r="F939" s="294"/>
      <c r="G939" s="295"/>
      <c r="H939" s="295"/>
      <c r="P939" s="295"/>
      <c r="W939" s="295"/>
      <c r="AD939" s="295"/>
      <c r="AK939" s="295"/>
      <c r="BR939" s="188"/>
      <c r="BT939" s="296"/>
      <c r="BU939" s="296"/>
      <c r="BV939" s="296"/>
    </row>
    <row r="940" spans="2:74" ht="13">
      <c r="B940" s="294"/>
      <c r="C940" s="294"/>
      <c r="D940" s="294"/>
      <c r="E940" s="295"/>
      <c r="F940" s="294"/>
      <c r="G940" s="295"/>
      <c r="H940" s="295"/>
      <c r="P940" s="295"/>
      <c r="W940" s="295"/>
      <c r="AD940" s="295"/>
      <c r="AK940" s="295"/>
      <c r="BR940" s="188"/>
      <c r="BT940" s="296"/>
      <c r="BU940" s="296"/>
      <c r="BV940" s="296"/>
    </row>
    <row r="941" spans="2:74" ht="13">
      <c r="B941" s="294"/>
      <c r="C941" s="294"/>
      <c r="D941" s="294"/>
      <c r="E941" s="295"/>
      <c r="F941" s="294"/>
      <c r="G941" s="295"/>
      <c r="H941" s="295"/>
      <c r="P941" s="295"/>
      <c r="W941" s="295"/>
      <c r="AD941" s="295"/>
      <c r="AK941" s="295"/>
      <c r="BR941" s="188"/>
      <c r="BT941" s="296"/>
      <c r="BU941" s="296"/>
      <c r="BV941" s="296"/>
    </row>
    <row r="942" spans="2:74" ht="13">
      <c r="B942" s="294"/>
      <c r="C942" s="294"/>
      <c r="D942" s="294"/>
      <c r="E942" s="295"/>
      <c r="F942" s="294"/>
      <c r="G942" s="295"/>
      <c r="H942" s="295"/>
      <c r="P942" s="295"/>
      <c r="W942" s="295"/>
      <c r="AD942" s="295"/>
      <c r="AK942" s="295"/>
      <c r="BR942" s="188"/>
      <c r="BT942" s="296"/>
      <c r="BU942" s="296"/>
      <c r="BV942" s="296"/>
    </row>
    <row r="943" spans="2:74" ht="13">
      <c r="B943" s="294"/>
      <c r="C943" s="294"/>
      <c r="D943" s="294"/>
      <c r="E943" s="295"/>
      <c r="F943" s="294"/>
      <c r="G943" s="295"/>
      <c r="H943" s="295"/>
      <c r="P943" s="295"/>
      <c r="W943" s="295"/>
      <c r="AD943" s="295"/>
      <c r="AK943" s="295"/>
      <c r="BR943" s="188"/>
      <c r="BT943" s="296"/>
      <c r="BU943" s="296"/>
      <c r="BV943" s="296"/>
    </row>
    <row r="944" spans="2:74" ht="13">
      <c r="B944" s="294"/>
      <c r="C944" s="294"/>
      <c r="D944" s="294"/>
      <c r="E944" s="295"/>
      <c r="F944" s="294"/>
      <c r="G944" s="295"/>
      <c r="H944" s="295"/>
      <c r="P944" s="295"/>
      <c r="W944" s="295"/>
      <c r="AD944" s="295"/>
      <c r="AK944" s="295"/>
      <c r="BR944" s="188"/>
      <c r="BT944" s="296"/>
      <c r="BU944" s="296"/>
      <c r="BV944" s="296"/>
    </row>
    <row r="945" spans="2:74" ht="13">
      <c r="B945" s="294"/>
      <c r="C945" s="294"/>
      <c r="D945" s="294"/>
      <c r="E945" s="295"/>
      <c r="F945" s="294"/>
      <c r="G945" s="295"/>
      <c r="H945" s="295"/>
      <c r="P945" s="295"/>
      <c r="W945" s="295"/>
      <c r="AD945" s="295"/>
      <c r="AK945" s="295"/>
      <c r="BR945" s="188"/>
      <c r="BT945" s="296"/>
      <c r="BU945" s="296"/>
      <c r="BV945" s="296"/>
    </row>
    <row r="946" spans="2:74" ht="13">
      <c r="B946" s="294"/>
      <c r="C946" s="294"/>
      <c r="D946" s="294"/>
      <c r="E946" s="295"/>
      <c r="F946" s="294"/>
      <c r="G946" s="295"/>
      <c r="H946" s="295"/>
      <c r="P946" s="295"/>
      <c r="W946" s="295"/>
      <c r="AD946" s="295"/>
      <c r="AK946" s="295"/>
      <c r="BR946" s="188"/>
      <c r="BT946" s="296"/>
      <c r="BU946" s="296"/>
      <c r="BV946" s="296"/>
    </row>
    <row r="947" spans="2:74" ht="13">
      <c r="B947" s="294"/>
      <c r="C947" s="294"/>
      <c r="D947" s="294"/>
      <c r="E947" s="295"/>
      <c r="F947" s="294"/>
      <c r="G947" s="295"/>
      <c r="H947" s="295"/>
      <c r="P947" s="295"/>
      <c r="W947" s="295"/>
      <c r="AD947" s="295"/>
      <c r="AK947" s="295"/>
      <c r="BR947" s="188"/>
      <c r="BT947" s="296"/>
      <c r="BU947" s="296"/>
      <c r="BV947" s="296"/>
    </row>
    <row r="948" spans="2:74" ht="13">
      <c r="B948" s="294"/>
      <c r="C948" s="294"/>
      <c r="D948" s="294"/>
      <c r="E948" s="295"/>
      <c r="F948" s="294"/>
      <c r="G948" s="295"/>
      <c r="H948" s="295"/>
      <c r="P948" s="295"/>
      <c r="W948" s="295"/>
      <c r="AD948" s="295"/>
      <c r="AK948" s="295"/>
      <c r="BR948" s="188"/>
      <c r="BT948" s="296"/>
      <c r="BU948" s="296"/>
      <c r="BV948" s="296"/>
    </row>
    <row r="949" spans="2:74" ht="13">
      <c r="B949" s="294"/>
      <c r="C949" s="294"/>
      <c r="D949" s="294"/>
      <c r="E949" s="295"/>
      <c r="F949" s="294"/>
      <c r="G949" s="295"/>
      <c r="H949" s="295"/>
      <c r="P949" s="295"/>
      <c r="W949" s="295"/>
      <c r="AD949" s="295"/>
      <c r="AK949" s="295"/>
      <c r="BR949" s="188"/>
      <c r="BT949" s="296"/>
      <c r="BU949" s="296"/>
      <c r="BV949" s="296"/>
    </row>
    <row r="950" spans="2:74" ht="13">
      <c r="B950" s="294"/>
      <c r="C950" s="294"/>
      <c r="D950" s="294"/>
      <c r="E950" s="295"/>
      <c r="F950" s="294"/>
      <c r="G950" s="295"/>
      <c r="H950" s="295"/>
      <c r="P950" s="295"/>
      <c r="W950" s="295"/>
      <c r="AD950" s="295"/>
      <c r="AK950" s="295"/>
      <c r="BR950" s="188"/>
      <c r="BT950" s="296"/>
      <c r="BU950" s="296"/>
      <c r="BV950" s="296"/>
    </row>
    <row r="951" spans="2:74" ht="13">
      <c r="B951" s="294"/>
      <c r="C951" s="294"/>
      <c r="D951" s="294"/>
      <c r="E951" s="295"/>
      <c r="F951" s="294"/>
      <c r="G951" s="295"/>
      <c r="H951" s="295"/>
      <c r="P951" s="295"/>
      <c r="W951" s="295"/>
      <c r="AD951" s="295"/>
      <c r="AK951" s="295"/>
      <c r="BR951" s="188"/>
      <c r="BT951" s="296"/>
      <c r="BU951" s="296"/>
      <c r="BV951" s="296"/>
    </row>
    <row r="952" spans="2:74" ht="13">
      <c r="B952" s="294"/>
      <c r="C952" s="294"/>
      <c r="D952" s="294"/>
      <c r="E952" s="295"/>
      <c r="F952" s="294"/>
      <c r="G952" s="295"/>
      <c r="H952" s="295"/>
      <c r="P952" s="295"/>
      <c r="W952" s="295"/>
      <c r="AD952" s="295"/>
      <c r="AK952" s="295"/>
      <c r="BR952" s="188"/>
      <c r="BT952" s="296"/>
      <c r="BU952" s="296"/>
      <c r="BV952" s="296"/>
    </row>
    <row r="953" spans="2:74" ht="13">
      <c r="B953" s="294"/>
      <c r="C953" s="294"/>
      <c r="D953" s="294"/>
      <c r="E953" s="295"/>
      <c r="F953" s="294"/>
      <c r="G953" s="295"/>
      <c r="H953" s="295"/>
      <c r="P953" s="295"/>
      <c r="W953" s="295"/>
      <c r="AD953" s="295"/>
      <c r="AK953" s="295"/>
      <c r="BR953" s="188"/>
      <c r="BT953" s="296"/>
      <c r="BU953" s="296"/>
      <c r="BV953" s="296"/>
    </row>
    <row r="954" spans="2:74" ht="13">
      <c r="B954" s="294"/>
      <c r="C954" s="294"/>
      <c r="D954" s="294"/>
      <c r="E954" s="295"/>
      <c r="F954" s="294"/>
      <c r="G954" s="295"/>
      <c r="H954" s="295"/>
      <c r="P954" s="295"/>
      <c r="W954" s="295"/>
      <c r="AD954" s="295"/>
      <c r="AK954" s="295"/>
      <c r="BR954" s="188"/>
      <c r="BT954" s="296"/>
      <c r="BU954" s="296"/>
      <c r="BV954" s="296"/>
    </row>
    <row r="955" spans="2:74" ht="13">
      <c r="B955" s="294"/>
      <c r="C955" s="294"/>
      <c r="D955" s="294"/>
      <c r="E955" s="295"/>
      <c r="F955" s="294"/>
      <c r="G955" s="295"/>
      <c r="H955" s="295"/>
      <c r="P955" s="295"/>
      <c r="W955" s="295"/>
      <c r="AD955" s="295"/>
      <c r="AK955" s="295"/>
      <c r="BR955" s="188"/>
      <c r="BT955" s="296"/>
      <c r="BU955" s="296"/>
      <c r="BV955" s="296"/>
    </row>
    <row r="956" spans="2:74" ht="13">
      <c r="B956" s="294"/>
      <c r="C956" s="294"/>
      <c r="D956" s="294"/>
      <c r="E956" s="295"/>
      <c r="F956" s="294"/>
      <c r="G956" s="295"/>
      <c r="H956" s="295"/>
      <c r="P956" s="295"/>
      <c r="W956" s="295"/>
      <c r="AD956" s="295"/>
      <c r="AK956" s="295"/>
      <c r="BR956" s="188"/>
      <c r="BT956" s="296"/>
      <c r="BU956" s="296"/>
      <c r="BV956" s="296"/>
    </row>
    <row r="957" spans="2:74" ht="13">
      <c r="B957" s="294"/>
      <c r="C957" s="294"/>
      <c r="D957" s="294"/>
      <c r="E957" s="295"/>
      <c r="F957" s="294"/>
      <c r="G957" s="295"/>
      <c r="H957" s="295"/>
      <c r="P957" s="295"/>
      <c r="W957" s="295"/>
      <c r="AD957" s="295"/>
      <c r="AK957" s="295"/>
      <c r="BR957" s="188"/>
      <c r="BT957" s="296"/>
      <c r="BU957" s="296"/>
      <c r="BV957" s="296"/>
    </row>
    <row r="958" spans="2:74" ht="13">
      <c r="B958" s="294"/>
      <c r="C958" s="294"/>
      <c r="D958" s="294"/>
      <c r="E958" s="295"/>
      <c r="F958" s="294"/>
      <c r="G958" s="295"/>
      <c r="H958" s="295"/>
      <c r="P958" s="295"/>
      <c r="W958" s="295"/>
      <c r="AD958" s="295"/>
      <c r="AK958" s="295"/>
      <c r="BR958" s="188"/>
      <c r="BT958" s="296"/>
      <c r="BU958" s="296"/>
      <c r="BV958" s="296"/>
    </row>
    <row r="959" spans="2:74" ht="13">
      <c r="B959" s="294"/>
      <c r="C959" s="294"/>
      <c r="D959" s="294"/>
      <c r="E959" s="295"/>
      <c r="F959" s="294"/>
      <c r="G959" s="295"/>
      <c r="H959" s="295"/>
      <c r="P959" s="295"/>
      <c r="W959" s="295"/>
      <c r="AD959" s="295"/>
      <c r="AK959" s="295"/>
      <c r="BR959" s="188"/>
      <c r="BT959" s="296"/>
      <c r="BU959" s="296"/>
      <c r="BV959" s="296"/>
    </row>
    <row r="960" spans="2:74" ht="13">
      <c r="B960" s="294"/>
      <c r="C960" s="294"/>
      <c r="D960" s="294"/>
      <c r="E960" s="295"/>
      <c r="F960" s="294"/>
      <c r="G960" s="295"/>
      <c r="H960" s="295"/>
      <c r="P960" s="295"/>
      <c r="W960" s="295"/>
      <c r="AD960" s="295"/>
      <c r="AK960" s="295"/>
      <c r="BR960" s="188"/>
      <c r="BT960" s="296"/>
      <c r="BU960" s="296"/>
      <c r="BV960" s="296"/>
    </row>
    <row r="961" spans="2:74" ht="13">
      <c r="B961" s="294"/>
      <c r="C961" s="294"/>
      <c r="D961" s="294"/>
      <c r="E961" s="295"/>
      <c r="F961" s="294"/>
      <c r="G961" s="295"/>
      <c r="H961" s="295"/>
      <c r="P961" s="295"/>
      <c r="W961" s="295"/>
      <c r="AD961" s="295"/>
      <c r="AK961" s="295"/>
      <c r="BR961" s="188"/>
      <c r="BT961" s="296"/>
      <c r="BU961" s="296"/>
      <c r="BV961" s="296"/>
    </row>
    <row r="962" spans="2:74" ht="13">
      <c r="B962" s="294"/>
      <c r="C962" s="294"/>
      <c r="D962" s="294"/>
      <c r="E962" s="295"/>
      <c r="F962" s="294"/>
      <c r="G962" s="295"/>
      <c r="H962" s="295"/>
      <c r="P962" s="295"/>
      <c r="W962" s="295"/>
      <c r="AD962" s="295"/>
      <c r="AK962" s="295"/>
      <c r="BR962" s="188"/>
      <c r="BT962" s="296"/>
      <c r="BU962" s="296"/>
      <c r="BV962" s="296"/>
    </row>
    <row r="963" spans="2:74" ht="13">
      <c r="B963" s="294"/>
      <c r="C963" s="294"/>
      <c r="D963" s="294"/>
      <c r="E963" s="295"/>
      <c r="F963" s="294"/>
      <c r="G963" s="295"/>
      <c r="H963" s="295"/>
      <c r="P963" s="295"/>
      <c r="W963" s="295"/>
      <c r="AD963" s="295"/>
      <c r="AK963" s="295"/>
      <c r="BR963" s="188"/>
      <c r="BT963" s="296"/>
      <c r="BU963" s="296"/>
      <c r="BV963" s="296"/>
    </row>
    <row r="964" spans="2:74" ht="13">
      <c r="B964" s="294"/>
      <c r="C964" s="294"/>
      <c r="D964" s="294"/>
      <c r="E964" s="295"/>
      <c r="F964" s="294"/>
      <c r="G964" s="295"/>
      <c r="H964" s="295"/>
      <c r="P964" s="295"/>
      <c r="W964" s="295"/>
      <c r="AD964" s="295"/>
      <c r="AK964" s="295"/>
      <c r="BR964" s="188"/>
      <c r="BT964" s="296"/>
      <c r="BU964" s="296"/>
      <c r="BV964" s="296"/>
    </row>
    <row r="965" spans="2:74" ht="13">
      <c r="B965" s="294"/>
      <c r="C965" s="294"/>
      <c r="D965" s="294"/>
      <c r="E965" s="295"/>
      <c r="F965" s="294"/>
      <c r="G965" s="295"/>
      <c r="H965" s="295"/>
      <c r="P965" s="295"/>
      <c r="W965" s="295"/>
      <c r="AD965" s="295"/>
      <c r="AK965" s="295"/>
      <c r="BR965" s="188"/>
      <c r="BT965" s="296"/>
      <c r="BU965" s="296"/>
      <c r="BV965" s="296"/>
    </row>
    <row r="966" spans="2:74" ht="13">
      <c r="B966" s="294"/>
      <c r="C966" s="294"/>
      <c r="D966" s="294"/>
      <c r="E966" s="295"/>
      <c r="F966" s="294"/>
      <c r="G966" s="295"/>
      <c r="H966" s="295"/>
      <c r="P966" s="295"/>
      <c r="W966" s="295"/>
      <c r="AD966" s="295"/>
      <c r="AK966" s="295"/>
      <c r="BR966" s="188"/>
      <c r="BT966" s="296"/>
      <c r="BU966" s="296"/>
      <c r="BV966" s="296"/>
    </row>
    <row r="967" spans="2:74" ht="13">
      <c r="B967" s="294"/>
      <c r="C967" s="294"/>
      <c r="D967" s="294"/>
      <c r="E967" s="295"/>
      <c r="F967" s="294"/>
      <c r="G967" s="295"/>
      <c r="H967" s="295"/>
      <c r="P967" s="295"/>
      <c r="W967" s="295"/>
      <c r="AD967" s="295"/>
      <c r="AK967" s="295"/>
      <c r="BR967" s="188"/>
      <c r="BT967" s="296"/>
      <c r="BU967" s="296"/>
      <c r="BV967" s="296"/>
    </row>
    <row r="968" spans="2:74" ht="13">
      <c r="B968" s="294"/>
      <c r="C968" s="294"/>
      <c r="D968" s="294"/>
      <c r="E968" s="295"/>
      <c r="F968" s="294"/>
      <c r="G968" s="295"/>
      <c r="H968" s="295"/>
      <c r="P968" s="295"/>
      <c r="W968" s="295"/>
      <c r="AD968" s="295"/>
      <c r="AK968" s="295"/>
      <c r="BR968" s="188"/>
      <c r="BT968" s="296"/>
      <c r="BU968" s="296"/>
      <c r="BV968" s="296"/>
    </row>
    <row r="969" spans="2:74" ht="13">
      <c r="B969" s="294"/>
      <c r="C969" s="294"/>
      <c r="D969" s="294"/>
      <c r="E969" s="295"/>
      <c r="F969" s="294"/>
      <c r="G969" s="295"/>
      <c r="H969" s="295"/>
      <c r="P969" s="295"/>
      <c r="W969" s="295"/>
      <c r="AD969" s="295"/>
      <c r="AK969" s="295"/>
      <c r="BR969" s="188"/>
      <c r="BT969" s="296"/>
      <c r="BU969" s="296"/>
      <c r="BV969" s="296"/>
    </row>
    <row r="970" spans="2:74" ht="13">
      <c r="B970" s="294"/>
      <c r="C970" s="294"/>
      <c r="D970" s="294"/>
      <c r="E970" s="295"/>
      <c r="F970" s="294"/>
      <c r="G970" s="295"/>
      <c r="H970" s="295"/>
      <c r="P970" s="295"/>
      <c r="W970" s="295"/>
      <c r="AD970" s="295"/>
      <c r="AK970" s="295"/>
      <c r="BR970" s="188"/>
      <c r="BT970" s="296"/>
      <c r="BU970" s="296"/>
      <c r="BV970" s="296"/>
    </row>
    <row r="971" spans="2:74" ht="13">
      <c r="B971" s="294"/>
      <c r="C971" s="294"/>
      <c r="D971" s="294"/>
      <c r="E971" s="295"/>
      <c r="F971" s="294"/>
      <c r="G971" s="295"/>
      <c r="H971" s="295"/>
      <c r="P971" s="295"/>
      <c r="W971" s="295"/>
      <c r="AD971" s="295"/>
      <c r="AK971" s="295"/>
      <c r="BR971" s="188"/>
      <c r="BT971" s="296"/>
      <c r="BU971" s="296"/>
      <c r="BV971" s="296"/>
    </row>
    <row r="972" spans="2:74" ht="13">
      <c r="B972" s="294"/>
      <c r="C972" s="294"/>
      <c r="D972" s="294"/>
      <c r="E972" s="295"/>
      <c r="F972" s="294"/>
      <c r="G972" s="295"/>
      <c r="H972" s="295"/>
      <c r="P972" s="295"/>
      <c r="W972" s="295"/>
      <c r="AD972" s="295"/>
      <c r="AK972" s="295"/>
      <c r="BR972" s="188"/>
      <c r="BT972" s="296"/>
      <c r="BU972" s="296"/>
      <c r="BV972" s="296"/>
    </row>
    <row r="973" spans="2:74" ht="13">
      <c r="B973" s="294"/>
      <c r="C973" s="294"/>
      <c r="D973" s="294"/>
      <c r="E973" s="295"/>
      <c r="F973" s="294"/>
      <c r="G973" s="295"/>
      <c r="H973" s="295"/>
      <c r="P973" s="295"/>
      <c r="W973" s="295"/>
      <c r="AD973" s="295"/>
      <c r="AK973" s="295"/>
      <c r="BR973" s="188"/>
      <c r="BT973" s="296"/>
      <c r="BU973" s="296"/>
      <c r="BV973" s="296"/>
    </row>
    <row r="974" spans="2:74" ht="13">
      <c r="B974" s="294"/>
      <c r="C974" s="294"/>
      <c r="D974" s="294"/>
      <c r="E974" s="295"/>
      <c r="F974" s="294"/>
      <c r="G974" s="295"/>
      <c r="H974" s="295"/>
      <c r="P974" s="295"/>
      <c r="W974" s="295"/>
      <c r="AD974" s="295"/>
      <c r="AK974" s="295"/>
      <c r="BR974" s="188"/>
      <c r="BT974" s="296"/>
      <c r="BU974" s="296"/>
      <c r="BV974" s="296"/>
    </row>
    <row r="975" spans="2:74" ht="13">
      <c r="B975" s="294"/>
      <c r="C975" s="294"/>
      <c r="D975" s="294"/>
      <c r="E975" s="295"/>
      <c r="F975" s="294"/>
      <c r="G975" s="295"/>
      <c r="H975" s="295"/>
      <c r="P975" s="295"/>
      <c r="W975" s="295"/>
      <c r="AD975" s="295"/>
      <c r="AK975" s="295"/>
      <c r="BR975" s="188"/>
      <c r="BT975" s="296"/>
      <c r="BU975" s="296"/>
      <c r="BV975" s="296"/>
    </row>
    <row r="976" spans="2:74" ht="13">
      <c r="B976" s="294"/>
      <c r="C976" s="294"/>
      <c r="D976" s="294"/>
      <c r="E976" s="295"/>
      <c r="F976" s="294"/>
      <c r="G976" s="295"/>
      <c r="H976" s="295"/>
      <c r="P976" s="295"/>
      <c r="W976" s="295"/>
      <c r="AD976" s="295"/>
      <c r="AK976" s="295"/>
      <c r="BR976" s="188"/>
      <c r="BT976" s="296"/>
      <c r="BU976" s="296"/>
      <c r="BV976" s="296"/>
    </row>
    <row r="977" spans="2:74" ht="13">
      <c r="B977" s="294"/>
      <c r="C977" s="294"/>
      <c r="D977" s="294"/>
      <c r="E977" s="295"/>
      <c r="F977" s="294"/>
      <c r="G977" s="295"/>
      <c r="H977" s="295"/>
      <c r="P977" s="295"/>
      <c r="W977" s="295"/>
      <c r="AD977" s="295"/>
      <c r="AK977" s="295"/>
      <c r="BR977" s="188"/>
      <c r="BT977" s="296"/>
      <c r="BU977" s="296"/>
      <c r="BV977" s="296"/>
    </row>
    <row r="978" spans="2:74" ht="13">
      <c r="B978" s="294"/>
      <c r="C978" s="294"/>
      <c r="D978" s="294"/>
      <c r="E978" s="295"/>
      <c r="F978" s="294"/>
      <c r="G978" s="295"/>
      <c r="H978" s="295"/>
      <c r="P978" s="295"/>
      <c r="W978" s="295"/>
      <c r="AD978" s="295"/>
      <c r="AK978" s="295"/>
      <c r="BR978" s="188"/>
      <c r="BT978" s="296"/>
      <c r="BU978" s="296"/>
      <c r="BV978" s="296"/>
    </row>
    <row r="979" spans="2:74" ht="13">
      <c r="B979" s="294"/>
      <c r="C979" s="294"/>
      <c r="D979" s="294"/>
      <c r="E979" s="295"/>
      <c r="F979" s="294"/>
      <c r="G979" s="295"/>
      <c r="H979" s="295"/>
      <c r="P979" s="295"/>
      <c r="W979" s="295"/>
      <c r="AD979" s="295"/>
      <c r="AK979" s="295"/>
      <c r="BR979" s="188"/>
      <c r="BT979" s="296"/>
      <c r="BU979" s="296"/>
      <c r="BV979" s="296"/>
    </row>
    <row r="980" spans="2:74" ht="13">
      <c r="B980" s="294"/>
      <c r="C980" s="294"/>
      <c r="D980" s="294"/>
      <c r="E980" s="295"/>
      <c r="F980" s="294"/>
      <c r="G980" s="295"/>
      <c r="H980" s="295"/>
      <c r="P980" s="295"/>
      <c r="W980" s="295"/>
      <c r="AD980" s="295"/>
      <c r="AK980" s="295"/>
      <c r="BR980" s="188"/>
      <c r="BT980" s="296"/>
      <c r="BU980" s="296"/>
      <c r="BV980" s="296"/>
    </row>
    <row r="981" spans="2:74" ht="13">
      <c r="B981" s="294"/>
      <c r="C981" s="294"/>
      <c r="D981" s="294"/>
      <c r="E981" s="295"/>
      <c r="F981" s="294"/>
      <c r="G981" s="295"/>
      <c r="H981" s="295"/>
      <c r="P981" s="295"/>
      <c r="W981" s="295"/>
      <c r="AD981" s="295"/>
      <c r="AK981" s="295"/>
      <c r="BR981" s="188"/>
      <c r="BT981" s="296"/>
      <c r="BU981" s="296"/>
      <c r="BV981" s="296"/>
    </row>
    <row r="982" spans="2:74" ht="13">
      <c r="B982" s="294"/>
      <c r="C982" s="294"/>
      <c r="D982" s="294"/>
      <c r="E982" s="295"/>
      <c r="F982" s="294"/>
      <c r="G982" s="295"/>
      <c r="H982" s="295"/>
      <c r="P982" s="295"/>
      <c r="W982" s="295"/>
      <c r="AD982" s="295"/>
      <c r="AK982" s="295"/>
      <c r="BR982" s="188"/>
      <c r="BT982" s="296"/>
      <c r="BU982" s="296"/>
      <c r="BV982" s="296"/>
    </row>
    <row r="983" spans="2:74" ht="13">
      <c r="B983" s="294"/>
      <c r="C983" s="294"/>
      <c r="D983" s="294"/>
      <c r="E983" s="295"/>
      <c r="F983" s="294"/>
      <c r="G983" s="295"/>
      <c r="H983" s="295"/>
      <c r="P983" s="295"/>
      <c r="W983" s="295"/>
      <c r="AD983" s="295"/>
      <c r="AK983" s="295"/>
      <c r="BR983" s="188"/>
      <c r="BT983" s="296"/>
      <c r="BU983" s="296"/>
      <c r="BV983" s="296"/>
    </row>
    <row r="984" spans="2:74" ht="13">
      <c r="B984" s="294"/>
      <c r="C984" s="294"/>
      <c r="D984" s="294"/>
      <c r="E984" s="295"/>
      <c r="F984" s="294"/>
      <c r="G984" s="295"/>
      <c r="H984" s="295"/>
      <c r="P984" s="295"/>
      <c r="W984" s="295"/>
      <c r="AD984" s="295"/>
      <c r="AK984" s="295"/>
      <c r="BR984" s="188"/>
      <c r="BT984" s="296"/>
      <c r="BU984" s="296"/>
      <c r="BV984" s="296"/>
    </row>
    <row r="985" spans="2:74" ht="13">
      <c r="B985" s="294"/>
      <c r="C985" s="294"/>
      <c r="D985" s="294"/>
      <c r="E985" s="295"/>
      <c r="F985" s="294"/>
      <c r="G985" s="295"/>
      <c r="H985" s="295"/>
      <c r="P985" s="295"/>
      <c r="W985" s="295"/>
      <c r="AD985" s="295"/>
      <c r="AK985" s="295"/>
      <c r="BR985" s="188"/>
      <c r="BT985" s="296"/>
      <c r="BU985" s="296"/>
      <c r="BV985" s="296"/>
    </row>
    <row r="986" spans="2:74" ht="13">
      <c r="B986" s="294"/>
      <c r="C986" s="294"/>
      <c r="D986" s="294"/>
      <c r="E986" s="295"/>
      <c r="F986" s="294"/>
      <c r="G986" s="295"/>
      <c r="H986" s="295"/>
      <c r="P986" s="295"/>
      <c r="W986" s="295"/>
      <c r="AD986" s="295"/>
      <c r="AK986" s="295"/>
      <c r="BR986" s="188"/>
      <c r="BT986" s="296"/>
      <c r="BU986" s="296"/>
      <c r="BV986" s="296"/>
    </row>
    <row r="987" spans="2:74" ht="13">
      <c r="B987" s="294"/>
      <c r="C987" s="294"/>
      <c r="D987" s="294"/>
      <c r="E987" s="295"/>
      <c r="F987" s="294"/>
      <c r="G987" s="295"/>
      <c r="H987" s="295"/>
      <c r="P987" s="295"/>
      <c r="W987" s="295"/>
      <c r="AD987" s="295"/>
      <c r="AK987" s="295"/>
      <c r="BR987" s="188"/>
      <c r="BT987" s="296"/>
      <c r="BU987" s="296"/>
      <c r="BV987" s="296"/>
    </row>
    <row r="988" spans="2:74" ht="13">
      <c r="B988" s="294"/>
      <c r="C988" s="294"/>
      <c r="D988" s="294"/>
      <c r="E988" s="295"/>
      <c r="F988" s="294"/>
      <c r="G988" s="295"/>
      <c r="H988" s="295"/>
      <c r="P988" s="295"/>
      <c r="W988" s="295"/>
      <c r="AD988" s="295"/>
      <c r="AK988" s="295"/>
      <c r="BR988" s="188"/>
      <c r="BT988" s="296"/>
      <c r="BU988" s="296"/>
      <c r="BV988" s="296"/>
    </row>
    <row r="989" spans="2:74" ht="13">
      <c r="B989" s="294"/>
      <c r="C989" s="294"/>
      <c r="D989" s="294"/>
      <c r="E989" s="295"/>
      <c r="F989" s="294"/>
      <c r="G989" s="295"/>
      <c r="H989" s="295"/>
      <c r="P989" s="295"/>
      <c r="W989" s="295"/>
      <c r="AD989" s="295"/>
      <c r="AK989" s="295"/>
      <c r="BR989" s="188"/>
      <c r="BT989" s="296"/>
      <c r="BU989" s="296"/>
      <c r="BV989" s="296"/>
    </row>
    <row r="990" spans="2:74" ht="13">
      <c r="B990" s="294"/>
      <c r="C990" s="294"/>
      <c r="D990" s="294"/>
      <c r="E990" s="295"/>
      <c r="F990" s="294"/>
      <c r="G990" s="295"/>
      <c r="H990" s="295"/>
      <c r="P990" s="295"/>
      <c r="W990" s="295"/>
      <c r="AD990" s="295"/>
      <c r="AK990" s="295"/>
      <c r="BR990" s="188"/>
      <c r="BT990" s="296"/>
      <c r="BU990" s="296"/>
      <c r="BV990" s="296"/>
    </row>
    <row r="991" spans="2:74" ht="13">
      <c r="B991" s="294"/>
      <c r="C991" s="294"/>
      <c r="D991" s="294"/>
      <c r="E991" s="295"/>
      <c r="F991" s="294"/>
      <c r="G991" s="295"/>
      <c r="H991" s="295"/>
      <c r="P991" s="295"/>
      <c r="W991" s="295"/>
      <c r="AD991" s="295"/>
      <c r="AK991" s="295"/>
      <c r="BR991" s="188"/>
      <c r="BT991" s="296"/>
      <c r="BU991" s="296"/>
      <c r="BV991" s="296"/>
    </row>
    <row r="992" spans="2:74" ht="13">
      <c r="B992" s="294"/>
      <c r="C992" s="294"/>
      <c r="D992" s="294"/>
      <c r="E992" s="295"/>
      <c r="F992" s="294"/>
      <c r="G992" s="295"/>
      <c r="H992" s="295"/>
      <c r="P992" s="295"/>
      <c r="W992" s="295"/>
      <c r="AD992" s="295"/>
      <c r="AK992" s="295"/>
      <c r="BR992" s="188"/>
      <c r="BT992" s="296"/>
      <c r="BU992" s="296"/>
      <c r="BV992" s="296"/>
    </row>
    <row r="993" spans="2:74" ht="13">
      <c r="B993" s="294"/>
      <c r="C993" s="294"/>
      <c r="D993" s="294"/>
      <c r="E993" s="295"/>
      <c r="F993" s="294"/>
      <c r="G993" s="295"/>
      <c r="H993" s="295"/>
      <c r="P993" s="295"/>
      <c r="W993" s="295"/>
      <c r="AD993" s="295"/>
      <c r="AK993" s="295"/>
      <c r="BR993" s="188"/>
      <c r="BT993" s="296"/>
      <c r="BU993" s="296"/>
      <c r="BV993" s="296"/>
    </row>
    <row r="994" spans="2:74" ht="13">
      <c r="B994" s="294"/>
      <c r="C994" s="294"/>
      <c r="D994" s="294"/>
      <c r="E994" s="295"/>
      <c r="F994" s="294"/>
      <c r="G994" s="295"/>
      <c r="H994" s="295"/>
      <c r="P994" s="295"/>
      <c r="W994" s="295"/>
      <c r="AD994" s="295"/>
      <c r="AK994" s="295"/>
      <c r="BR994" s="188"/>
      <c r="BT994" s="296"/>
      <c r="BU994" s="296"/>
      <c r="BV994" s="296"/>
    </row>
    <row r="995" spans="2:74" ht="13">
      <c r="B995" s="294"/>
      <c r="C995" s="294"/>
      <c r="D995" s="294"/>
      <c r="E995" s="295"/>
      <c r="F995" s="294"/>
      <c r="G995" s="295"/>
      <c r="H995" s="295"/>
      <c r="P995" s="295"/>
      <c r="W995" s="295"/>
      <c r="AD995" s="295"/>
      <c r="AK995" s="295"/>
      <c r="BR995" s="188"/>
      <c r="BT995" s="296"/>
      <c r="BU995" s="296"/>
      <c r="BV995" s="296"/>
    </row>
    <row r="996" spans="2:74" ht="13">
      <c r="B996" s="294"/>
      <c r="C996" s="294"/>
      <c r="D996" s="294"/>
      <c r="E996" s="295"/>
      <c r="F996" s="294"/>
      <c r="G996" s="295"/>
      <c r="H996" s="295"/>
      <c r="P996" s="295"/>
      <c r="W996" s="295"/>
      <c r="AD996" s="295"/>
      <c r="AK996" s="295"/>
      <c r="BR996" s="188"/>
      <c r="BT996" s="296"/>
      <c r="BU996" s="296"/>
      <c r="BV996" s="296"/>
    </row>
    <row r="997" spans="2:74" ht="13">
      <c r="B997" s="414"/>
      <c r="C997" s="294"/>
      <c r="D997" s="294"/>
      <c r="E997" s="295"/>
      <c r="F997" s="294"/>
      <c r="G997" s="295"/>
      <c r="H997" s="295"/>
      <c r="P997" s="295"/>
      <c r="W997" s="295"/>
      <c r="AD997" s="295"/>
      <c r="AK997" s="295"/>
      <c r="BR997" s="188"/>
      <c r="BT997" s="296"/>
      <c r="BU997" s="296"/>
      <c r="BV997" s="296"/>
    </row>
  </sheetData>
  <conditionalFormatting sqref="C1:C99 G1:G200 C104:C110">
    <cfRule type="cellIs" dxfId="435" priority="4" operator="equal">
      <formula>"15%"</formula>
    </cfRule>
    <cfRule type="cellIs" dxfId="434" priority="6" operator="equal">
      <formula>"5%"</formula>
    </cfRule>
    <cfRule type="cellIs" dxfId="433" priority="7" operator="equal">
      <formula>"10%"</formula>
    </cfRule>
  </conditionalFormatting>
  <conditionalFormatting sqref="G1 C1:C99 C104:C110">
    <cfRule type="cellIs" dxfId="432" priority="3" operator="equal">
      <formula>"18%"</formula>
    </cfRule>
    <cfRule type="cellIs" dxfId="431" priority="5" operator="equal">
      <formula>"12%"</formula>
    </cfRule>
  </conditionalFormatting>
  <conditionalFormatting sqref="J100:AL100 AM2:BC100 BE2:BX102 BD100 AU104:BC110 BE104:BX110 AM106:AT106 AM109:AT109">
    <cfRule type="cellIs" dxfId="430" priority="13" operator="equal">
      <formula>0</formula>
    </cfRule>
  </conditionalFormatting>
  <conditionalFormatting sqref="J100:AY100 AZ2:BC100 BG2:BG100 BD100:BF100 BH100:BX100 AZ104:BC110 BG109">
    <cfRule type="containsBlanks" dxfId="429" priority="12">
      <formula>LEN(TRIM(AZ2))=0</formula>
    </cfRule>
  </conditionalFormatting>
  <conditionalFormatting sqref="O1 V1 AJ1">
    <cfRule type="cellIs" dxfId="428" priority="1" operator="lessThan">
      <formula>0</formula>
    </cfRule>
  </conditionalFormatting>
  <conditionalFormatting sqref="AC1">
    <cfRule type="cellIs" dxfId="427" priority="2" operator="lessThan">
      <formula>0</formula>
    </cfRule>
  </conditionalFormatting>
  <conditionalFormatting sqref="AC1:AC997 O1:O997 V1:V997 AJ1:AJ997 I34">
    <cfRule type="cellIs" dxfId="426" priority="8" operator="lessThan">
      <formula>0</formula>
    </cfRule>
  </conditionalFormatting>
  <conditionalFormatting sqref="AK1:AK997">
    <cfRule type="cellIs" dxfId="425" priority="9" operator="greaterThanOrEqual">
      <formula>"100%"</formula>
    </cfRule>
    <cfRule type="cellIs" dxfId="424" priority="10" operator="lessThan">
      <formula>"90%"</formula>
    </cfRule>
    <cfRule type="cellIs" dxfId="423" priority="11" operator="lessThan">
      <formula>"100%"</formula>
    </cfRule>
  </conditionalFormatting>
  <conditionalFormatting sqref="AM2:AM10 AQ2:AQ10 AU2:AU10 BE2:BE10">
    <cfRule type="cellIs" dxfId="422" priority="17" operator="lessThan">
      <formula>4000000</formula>
    </cfRule>
    <cfRule type="cellIs" dxfId="421" priority="18" operator="lessThan">
      <formula>5000000</formula>
    </cfRule>
    <cfRule type="cellIs" dxfId="420" priority="19" operator="greaterThanOrEqual">
      <formula>5000000</formula>
    </cfRule>
  </conditionalFormatting>
  <conditionalFormatting sqref="AM11:AM28 AQ11:AQ28 AU11:AU28 BE11:BE28">
    <cfRule type="cellIs" dxfId="419" priority="14" operator="lessThan">
      <formula>1200000</formula>
    </cfRule>
    <cfRule type="cellIs" dxfId="418" priority="15" operator="lessThan">
      <formula>1500000</formula>
    </cfRule>
    <cfRule type="cellIs" dxfId="417" priority="16" operator="greaterThanOrEqual">
      <formula>1500000</formula>
    </cfRule>
  </conditionalFormatting>
  <conditionalFormatting sqref="AX2:AX10">
    <cfRule type="cellIs" dxfId="416" priority="20" operator="lessThan">
      <formula>12000000</formula>
    </cfRule>
    <cfRule type="cellIs" dxfId="415" priority="21" operator="lessThan">
      <formula>15000000</formula>
    </cfRule>
    <cfRule type="cellIs" dxfId="414" priority="22" operator="greaterThanOrEqual">
      <formula>15000000</formula>
    </cfRule>
  </conditionalFormatting>
  <conditionalFormatting sqref="AX11:AX28">
    <cfRule type="cellIs" dxfId="413" priority="23" operator="lessThan">
      <formula>3600000</formula>
    </cfRule>
    <cfRule type="cellIs" dxfId="412" priority="24" operator="lessThan">
      <formula>4500000</formula>
    </cfRule>
    <cfRule type="cellIs" dxfId="411" priority="25" operator="greaterThanOrEqual">
      <formula>4500000</formula>
    </cfRule>
  </conditionalFormatting>
  <conditionalFormatting sqref="BE2:BK99 BE109:BK109">
    <cfRule type="containsBlanks" dxfId="410" priority="26">
      <formula>LEN(TRIM(BE2))=0</formula>
    </cfRule>
  </conditionalFormatting>
  <conditionalFormatting sqref="BI2:BI10">
    <cfRule type="cellIs" dxfId="409" priority="27" operator="greaterThanOrEqual">
      <formula>5000000</formula>
    </cfRule>
    <cfRule type="cellIs" dxfId="408" priority="28" operator="lessThan">
      <formula>4000000</formula>
    </cfRule>
    <cfRule type="cellIs" dxfId="407" priority="29" operator="lessThan">
      <formula>5000000</formula>
    </cfRule>
  </conditionalFormatting>
  <conditionalFormatting sqref="BI11:BI28">
    <cfRule type="cellIs" dxfId="406" priority="30" operator="greaterThanOrEqual">
      <formula>1500000</formula>
    </cfRule>
    <cfRule type="cellIs" dxfId="405" priority="31" operator="lessThan">
      <formula>1200000</formula>
    </cfRule>
    <cfRule type="cellIs" dxfId="404" priority="32" operator="lessThan">
      <formula>1500000</formula>
    </cfRule>
  </conditionalFormatting>
  <conditionalFormatting sqref="BM2:BO10">
    <cfRule type="cellIs" dxfId="403" priority="33" operator="greaterThanOrEqual">
      <formula>5000000</formula>
    </cfRule>
    <cfRule type="cellIs" dxfId="402" priority="34" operator="lessThan">
      <formula>5000000</formula>
    </cfRule>
  </conditionalFormatting>
  <conditionalFormatting sqref="BM11:BO28">
    <cfRule type="cellIs" dxfId="401" priority="36" operator="lessThan">
      <formula>1500000</formula>
    </cfRule>
  </conditionalFormatting>
  <conditionalFormatting sqref="BM29:BO36">
    <cfRule type="cellIs" dxfId="400" priority="41" operator="greaterThanOrEqual">
      <formula>1200000</formula>
    </cfRule>
    <cfRule type="cellIs" dxfId="399" priority="42" operator="lessThan">
      <formula>1200000</formula>
    </cfRule>
  </conditionalFormatting>
  <conditionalFormatting sqref="BM7:BR99 BM109:BR109">
    <cfRule type="containsBlanks" dxfId="398" priority="40">
      <formula>LEN(TRIM(BM7))=0</formula>
    </cfRule>
  </conditionalFormatting>
  <conditionalFormatting sqref="BO11:BO28">
    <cfRule type="cellIs" dxfId="397" priority="35" operator="greaterThanOrEqual">
      <formula>1500000</formula>
    </cfRule>
  </conditionalFormatting>
  <conditionalFormatting sqref="BP2:BR10">
    <cfRule type="cellIs" dxfId="396" priority="37" operator="greaterThanOrEqual">
      <formula>15000000</formula>
    </cfRule>
    <cfRule type="cellIs" dxfId="395" priority="45" operator="lessThan">
      <formula>15000000</formula>
    </cfRule>
  </conditionalFormatting>
  <conditionalFormatting sqref="BP11:BR28">
    <cfRule type="cellIs" dxfId="394" priority="38" operator="greaterThanOrEqual">
      <formula>4500000</formula>
    </cfRule>
    <cfRule type="cellIs" dxfId="393" priority="39" operator="lessThan">
      <formula>4500000</formula>
    </cfRule>
  </conditionalFormatting>
  <conditionalFormatting sqref="BP29:BR36">
    <cfRule type="cellIs" dxfId="392" priority="43" operator="greaterThanOrEqual">
      <formula>3600000</formula>
    </cfRule>
    <cfRule type="cellIs" dxfId="391" priority="44" operator="lessThan">
      <formula>3600000</formula>
    </cfRule>
  </conditionalFormatting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  <pageSetUpPr fitToPage="1"/>
  </sheetPr>
  <dimension ref="A1:DH1006"/>
  <sheetViews>
    <sheetView showGridLines="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baseColWidth="10" defaultColWidth="12.6640625" defaultRowHeight="15.75" customHeight="1"/>
  <cols>
    <col min="1" max="1" width="10.1640625" customWidth="1"/>
    <col min="2" max="8" width="5.1640625" customWidth="1"/>
    <col min="9" max="9" width="41.33203125" customWidth="1"/>
    <col min="10" max="10" width="12.6640625" hidden="1"/>
    <col min="11" max="56" width="10.6640625" hidden="1" customWidth="1"/>
    <col min="57" max="57" width="10.6640625" customWidth="1"/>
    <col min="58" max="58" width="10.6640625" hidden="1" customWidth="1"/>
    <col min="59" max="59" width="10.6640625" customWidth="1"/>
    <col min="60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0.6640625" hidden="1" customWidth="1"/>
    <col min="65" max="65" width="10.6640625" customWidth="1"/>
    <col min="66" max="66" width="10.6640625" hidden="1" customWidth="1"/>
    <col min="67" max="68" width="10.6640625" customWidth="1"/>
    <col min="69" max="69" width="10.6640625" hidden="1" customWidth="1"/>
    <col min="70" max="70" width="10.6640625" customWidth="1"/>
    <col min="71" max="71" width="10.6640625" hidden="1" customWidth="1"/>
    <col min="72" max="72" width="10.6640625" customWidth="1"/>
    <col min="73" max="73" width="10.6640625" hidden="1" customWidth="1"/>
    <col min="74" max="74" width="10.6640625" customWidth="1"/>
    <col min="75" max="76" width="10.6640625" hidden="1" customWidth="1"/>
    <col min="77" max="78" width="10.6640625" customWidth="1"/>
    <col min="79" max="80" width="11.5" customWidth="1"/>
    <col min="81" max="93" width="10.1640625" customWidth="1"/>
    <col min="94" max="94" width="10.6640625" customWidth="1"/>
    <col min="95" max="97" width="10.6640625" hidden="1" customWidth="1"/>
    <col min="98" max="112" width="12.6640625" hidden="1"/>
  </cols>
  <sheetData>
    <row r="1" spans="1:96" ht="15.75" customHeight="1">
      <c r="A1" s="39" t="s">
        <v>19</v>
      </c>
      <c r="B1" s="513" t="s">
        <v>20</v>
      </c>
      <c r="C1" s="514" t="s">
        <v>21</v>
      </c>
      <c r="D1" s="514" t="s">
        <v>22</v>
      </c>
      <c r="E1" s="515" t="s">
        <v>23</v>
      </c>
      <c r="F1" s="513" t="s">
        <v>20</v>
      </c>
      <c r="G1" s="514" t="s">
        <v>21</v>
      </c>
      <c r="H1" s="514" t="s">
        <v>22</v>
      </c>
      <c r="I1" s="516" t="s">
        <v>24</v>
      </c>
      <c r="J1" s="398">
        <v>45681</v>
      </c>
      <c r="K1" s="517" t="s">
        <v>25</v>
      </c>
      <c r="L1" s="78" t="s">
        <v>26</v>
      </c>
      <c r="M1" s="79" t="s">
        <v>27</v>
      </c>
      <c r="N1" s="518" t="s">
        <v>28</v>
      </c>
      <c r="O1" s="519" t="s">
        <v>29</v>
      </c>
      <c r="P1" s="520" t="s">
        <v>30</v>
      </c>
      <c r="Q1" s="396">
        <v>45712</v>
      </c>
      <c r="R1" s="517" t="s">
        <v>31</v>
      </c>
      <c r="S1" s="78" t="s">
        <v>26</v>
      </c>
      <c r="T1" s="79" t="s">
        <v>27</v>
      </c>
      <c r="U1" s="518" t="s">
        <v>32</v>
      </c>
      <c r="V1" s="519" t="s">
        <v>29</v>
      </c>
      <c r="W1" s="520" t="s">
        <v>30</v>
      </c>
      <c r="X1" s="521">
        <v>45740</v>
      </c>
      <c r="Y1" s="522" t="s">
        <v>33</v>
      </c>
      <c r="Z1" s="523" t="s">
        <v>26</v>
      </c>
      <c r="AA1" s="79" t="s">
        <v>27</v>
      </c>
      <c r="AB1" s="524" t="s">
        <v>34</v>
      </c>
      <c r="AC1" s="525" t="s">
        <v>29</v>
      </c>
      <c r="AD1" s="526" t="s">
        <v>30</v>
      </c>
      <c r="AE1" s="527" t="s">
        <v>35</v>
      </c>
      <c r="AF1" s="528" t="s">
        <v>36</v>
      </c>
      <c r="AG1" s="523" t="s">
        <v>26</v>
      </c>
      <c r="AH1" s="79" t="s">
        <v>27</v>
      </c>
      <c r="AI1" s="524" t="s">
        <v>41</v>
      </c>
      <c r="AJ1" s="525" t="s">
        <v>29</v>
      </c>
      <c r="AK1" s="520" t="s">
        <v>30</v>
      </c>
      <c r="AL1" s="77">
        <v>45771</v>
      </c>
      <c r="AM1" s="78" t="s">
        <v>26</v>
      </c>
      <c r="AN1" s="79" t="s">
        <v>27</v>
      </c>
      <c r="AO1" s="518" t="s">
        <v>38</v>
      </c>
      <c r="AP1" s="77">
        <v>45801</v>
      </c>
      <c r="AQ1" s="78" t="s">
        <v>26</v>
      </c>
      <c r="AR1" s="79" t="s">
        <v>27</v>
      </c>
      <c r="AS1" s="518" t="s">
        <v>39</v>
      </c>
      <c r="AT1" s="77">
        <v>45832</v>
      </c>
      <c r="AU1" s="78" t="s">
        <v>26</v>
      </c>
      <c r="AV1" s="79" t="s">
        <v>27</v>
      </c>
      <c r="AW1" s="529" t="s">
        <v>40</v>
      </c>
      <c r="AX1" s="530" t="s">
        <v>26</v>
      </c>
      <c r="AY1" s="531" t="s">
        <v>27</v>
      </c>
      <c r="AZ1" s="532" t="s">
        <v>41</v>
      </c>
      <c r="BA1" s="533" t="s">
        <v>26</v>
      </c>
      <c r="BB1" s="531" t="s">
        <v>27</v>
      </c>
      <c r="BC1" s="534" t="s">
        <v>42</v>
      </c>
      <c r="BD1" s="535">
        <v>45862</v>
      </c>
      <c r="BE1" s="78" t="s">
        <v>26</v>
      </c>
      <c r="BF1" s="79" t="s">
        <v>27</v>
      </c>
      <c r="BG1" s="399" t="s">
        <v>43</v>
      </c>
      <c r="BH1" s="81">
        <v>45893</v>
      </c>
      <c r="BI1" s="78" t="s">
        <v>26</v>
      </c>
      <c r="BJ1" s="401" t="s">
        <v>27</v>
      </c>
      <c r="BK1" s="399" t="s">
        <v>44</v>
      </c>
      <c r="BL1" s="536">
        <v>45924</v>
      </c>
      <c r="BM1" s="78" t="s">
        <v>26</v>
      </c>
      <c r="BN1" s="401" t="s">
        <v>27</v>
      </c>
      <c r="BO1" s="399" t="s">
        <v>45</v>
      </c>
      <c r="BP1" s="400" t="s">
        <v>26</v>
      </c>
      <c r="BQ1" s="401" t="s">
        <v>27</v>
      </c>
      <c r="BR1" s="402" t="s">
        <v>41</v>
      </c>
      <c r="BS1" s="77">
        <v>45954</v>
      </c>
      <c r="BT1" s="78" t="s">
        <v>26</v>
      </c>
      <c r="BU1" s="401" t="s">
        <v>27</v>
      </c>
      <c r="BV1" s="399" t="s">
        <v>249</v>
      </c>
      <c r="BW1" s="81">
        <v>45985</v>
      </c>
      <c r="BX1" s="536">
        <v>46015</v>
      </c>
      <c r="BY1" s="537"/>
      <c r="BZ1" s="538"/>
      <c r="CA1" s="83"/>
      <c r="CB1" s="539" t="s">
        <v>250</v>
      </c>
      <c r="CC1" s="540" t="s">
        <v>51</v>
      </c>
      <c r="CD1" s="541" t="s">
        <v>52</v>
      </c>
      <c r="CE1" s="542" t="s">
        <v>54</v>
      </c>
      <c r="CF1" s="542" t="s">
        <v>364</v>
      </c>
      <c r="CG1" s="543" t="s">
        <v>365</v>
      </c>
      <c r="CH1" s="543" t="s">
        <v>366</v>
      </c>
      <c r="CI1" s="543" t="s">
        <v>58</v>
      </c>
      <c r="CJ1" s="543" t="s">
        <v>367</v>
      </c>
      <c r="CK1" s="542" t="s">
        <v>368</v>
      </c>
      <c r="CL1" s="544" t="s">
        <v>369</v>
      </c>
      <c r="CM1" s="90" t="s">
        <v>370</v>
      </c>
      <c r="CN1" s="90" t="s">
        <v>371</v>
      </c>
      <c r="CO1" s="545" t="s">
        <v>372</v>
      </c>
      <c r="CR1" s="294"/>
    </row>
    <row r="2" spans="1:96" ht="15.75" customHeight="1">
      <c r="A2" s="546">
        <f t="shared" ref="A2:A33" si="0">VLOOKUP(I2,RETCAR4,3,FALSE)</f>
        <v>112013768</v>
      </c>
      <c r="B2" s="547">
        <f t="shared" ref="B2:B33" si="1">VLOOKUP(I2,RETAMCART2,2,FALSE)</f>
        <v>40</v>
      </c>
      <c r="C2" s="94">
        <f t="shared" ref="C2:C33" si="2">IFERROR(VLOOKUP(B2,DES,2,FALSE),"")</f>
        <v>0.1</v>
      </c>
      <c r="D2" s="94">
        <f t="shared" ref="D2:D33" si="3">IFERROR(VLOOKUP(B2,DES,3,FALSE),"")</f>
        <v>0.26</v>
      </c>
      <c r="E2" s="413">
        <f t="shared" ref="E2:E33" si="4">IFERROR(VLOOKUP(B2,DES,4,FALSE),"")</f>
        <v>0</v>
      </c>
      <c r="F2" s="414">
        <f t="shared" ref="F2:F33" si="5">VLOOKUP(I2,RETCAR4,2,FALSE)</f>
        <v>60</v>
      </c>
      <c r="G2" s="94">
        <f t="shared" ref="G2:G33" si="6">IFERROR(VLOOKUP(F2,A458DC1025,2,FALSE),"")</f>
        <v>0.1</v>
      </c>
      <c r="H2" s="415">
        <f t="shared" ref="H2:H33" si="7">IFERROR(VLOOKUP(F2,A458DC1025,3,FALSE),"")</f>
        <v>0.17</v>
      </c>
      <c r="I2" s="548" t="s">
        <v>373</v>
      </c>
      <c r="J2" s="420">
        <f t="shared" ref="J2:J21" si="8">IFERROR(VLOOKUP(I2,RETAMAR24,3,FALSE),"")</f>
        <v>6746816.2199999997</v>
      </c>
      <c r="K2" s="416">
        <f t="shared" ref="K2:K21" si="9">(J2*1.601)*1.05</f>
        <v>11341735.406631</v>
      </c>
      <c r="L2" s="113">
        <f t="shared" ref="L2:L37" si="10">N2-M2</f>
        <v>8135780.9999999981</v>
      </c>
      <c r="M2" s="116">
        <f t="shared" ref="M2:M33" si="11">IFERROR(VLOOKUP(I2,RETAALIM,3,FALSE),"")</f>
        <v>10048692.33</v>
      </c>
      <c r="N2" s="117">
        <f t="shared" ref="N2:N37" si="12">IFERROR(VLOOKUP(I2,RETFC,3,FALSE),"")</f>
        <v>18184473.329999998</v>
      </c>
      <c r="O2" s="114">
        <f t="shared" ref="O2:O37" si="13">N2-K2</f>
        <v>6842737.9233689979</v>
      </c>
      <c r="P2" s="413">
        <f t="shared" ref="P2:P37" si="14">IFERROR(N2/K2,"")</f>
        <v>1.6033237135269756</v>
      </c>
      <c r="Q2" s="100">
        <f t="shared" ref="Q2:Q37" si="15">IFERROR(VLOOKUP(I2,RETAMAR24,4,FALSE),"")</f>
        <v>10124274.779999999</v>
      </c>
      <c r="R2" s="416">
        <f t="shared" ref="R2:R5" si="16">(Q2*1.7245)*1.05</f>
        <v>18332277.451015498</v>
      </c>
      <c r="S2" s="113">
        <f t="shared" ref="S2:S37" si="17">U2-T2</f>
        <v>6272547.8900000006</v>
      </c>
      <c r="T2" s="116">
        <f t="shared" ref="T2:T37" si="18">IFERROR(VLOOKUP(I2,RETAALIM,4,FALSE),"")</f>
        <v>22624721.579999998</v>
      </c>
      <c r="U2" s="117">
        <f t="shared" ref="U2:U37" si="19">IFERROR(VLOOKUP(I2,RETFC,4,FALSE),"")</f>
        <v>28897269.469999999</v>
      </c>
      <c r="V2" s="114">
        <f t="shared" ref="V2:V37" si="20">U2-R2</f>
        <v>10564992.0189845</v>
      </c>
      <c r="W2" s="413">
        <f t="shared" ref="W2:W13" si="21">U2/R2</f>
        <v>1.5763054834411347</v>
      </c>
      <c r="X2" s="114">
        <f t="shared" ref="X2:X16" si="22">IFERROR(VLOOKUP(I2,RETAMAR24,5,FALSE),"")</f>
        <v>9894248.6699999999</v>
      </c>
      <c r="Y2" s="116">
        <f>(X2*1.5955)*1.05</f>
        <v>16575587.440634249</v>
      </c>
      <c r="Z2" s="116">
        <f t="shared" ref="Z2:Z37" si="23">AB2-AA2</f>
        <v>0</v>
      </c>
      <c r="AA2" s="549">
        <f t="shared" ref="AA2:AA37" si="24">IFERROR(VLOOKUP(I2,RETAALIM,5,FALSE),"")</f>
        <v>7757295.2000000002</v>
      </c>
      <c r="AB2" s="549">
        <f t="shared" ref="AB2:AB37" si="25">IFERROR(VLOOKUP(I2,RETFC,5,FALSE),"")</f>
        <v>7757295.2000000002</v>
      </c>
      <c r="AC2" s="116">
        <f t="shared" ref="AC2:AC37" si="26">AB2-Y2</f>
        <v>-8818292.2406342477</v>
      </c>
      <c r="AD2" s="97">
        <f t="shared" ref="AD2:AD37" si="27">AB2/Y2</f>
        <v>0.46799519038362208</v>
      </c>
      <c r="AE2" s="417">
        <f t="shared" ref="AE2:AE37" si="28">SUM(K2,R2,Y2)</f>
        <v>46249600.298280746</v>
      </c>
      <c r="AF2" s="550">
        <f t="shared" ref="AF2:AF33" si="29">IFERROR(VLOOKUP(I2,trim2024,2,FALSE),"0")</f>
        <v>62736974.030000001</v>
      </c>
      <c r="AG2" s="551">
        <f t="shared" ref="AG2:AI2" si="30">SUM(Z2,S2,S2,L2)</f>
        <v>20680876.780000001</v>
      </c>
      <c r="AH2" s="551">
        <f t="shared" si="30"/>
        <v>63055430.689999998</v>
      </c>
      <c r="AI2" s="551">
        <f t="shared" si="30"/>
        <v>83736307.469999999</v>
      </c>
      <c r="AJ2" s="551">
        <f t="shared" ref="AJ2:AJ53" si="31">AI2-AF2</f>
        <v>20999333.439999998</v>
      </c>
      <c r="AK2" s="552">
        <f t="shared" ref="AK2:AK3" si="32">AI2/AF2</f>
        <v>1.334720215067408</v>
      </c>
      <c r="AL2" s="434">
        <f t="shared" ref="AL2:AL37" si="33">IFERROR(VLOOKUP(I2,RETAMAR24,6,FALSE),"")</f>
        <v>12056771.5</v>
      </c>
      <c r="AM2" s="140">
        <f t="shared" ref="AM2:AM53" si="34">AO2-AN2</f>
        <v>119722.5</v>
      </c>
      <c r="AN2" s="123">
        <f t="shared" ref="AN2:AN33" si="35">IFERROR(VLOOKUP(I2,RETAALIM,6,FALSE),"")</f>
        <v>9914134.8399999999</v>
      </c>
      <c r="AO2" s="148">
        <f t="shared" ref="AO2:AO33" si="36">IFERROR(VLOOKUP(I2,RETFC,6,FALSE),"")</f>
        <v>10033857.34</v>
      </c>
      <c r="AP2" s="434">
        <f t="shared" ref="AP2:AP37" si="37">IFERROR(VLOOKUP(I2,RETAMAR24,7,FALSE),"")</f>
        <v>6570822.4900000002</v>
      </c>
      <c r="AQ2" s="140">
        <f t="shared" ref="AQ2:AQ53" si="38">AS2-AR2</f>
        <v>1095477.4500000002</v>
      </c>
      <c r="AR2" s="326">
        <f t="shared" ref="AR2:AR33" si="39">IFERROR(VLOOKUP(I2,RETAALIM,7,FALSE),"")</f>
        <v>5930274.0899999999</v>
      </c>
      <c r="AS2" s="333">
        <f t="shared" ref="AS2:AS33" si="40">IFERROR(VLOOKUP(I2,RETFC,7,FALSE),"")</f>
        <v>7025751.54</v>
      </c>
      <c r="AT2" s="125">
        <f t="shared" ref="AT2:AT37" si="41">IFERROR(VLOOKUP(I2,RETAMAR24,8,FALSE),"")</f>
        <v>6426690.4400000004</v>
      </c>
      <c r="AU2" s="113">
        <f t="shared" ref="AU2:AU96" si="42">AW2-AV2</f>
        <v>0</v>
      </c>
      <c r="AV2" s="114">
        <f t="shared" ref="AV2:AV33" si="43">IFERROR(VLOOKUP(I2,RETAALIM,8,FALSE),"")</f>
        <v>12541344.66</v>
      </c>
      <c r="AW2" s="100">
        <f t="shared" ref="AW2:AW33" si="44">IFERROR(VLOOKUP(I2,RETFC,8,FALSE),"")</f>
        <v>12541344.66</v>
      </c>
      <c r="AX2" s="118">
        <f t="shared" ref="AX2:AZ2" si="45">AU2+AQ2+AM2</f>
        <v>1215199.9500000002</v>
      </c>
      <c r="AY2" s="116">
        <f t="shared" si="45"/>
        <v>28385753.59</v>
      </c>
      <c r="AZ2" s="121">
        <f t="shared" si="45"/>
        <v>29600953.539999999</v>
      </c>
      <c r="BA2" s="113">
        <f t="shared" ref="BA2:BC2" si="46">AX2+AG2</f>
        <v>21896076.73</v>
      </c>
      <c r="BB2" s="116">
        <f t="shared" si="46"/>
        <v>91441184.280000001</v>
      </c>
      <c r="BC2" s="119">
        <f t="shared" si="46"/>
        <v>113337261.00999999</v>
      </c>
      <c r="BD2" s="114">
        <f t="shared" ref="BD2:BD37" si="47">IFERROR(VLOOKUP(I2,RETAMAR24,9,FALSE),"")</f>
        <v>15150703.470000001</v>
      </c>
      <c r="BE2" s="114">
        <f t="shared" ref="BE2:BE96" si="48">BG2-BF2</f>
        <v>98007.029999999329</v>
      </c>
      <c r="BF2" s="114">
        <f t="shared" ref="BF2:BF33" si="49">IFERROR(VLOOKUP(I2,RETAALIM,9,FALSE),"")</f>
        <v>16766014.83</v>
      </c>
      <c r="BG2" s="148">
        <f t="shared" ref="BG2:BG33" si="50">IFERROR(VLOOKUP(I2,RETFC,9,FALSE),"")</f>
        <v>16864021.859999999</v>
      </c>
      <c r="BH2" s="123">
        <f t="shared" ref="BH2:BH33" si="51">IFERROR(VLOOKUP(I2,RETAMAR24,10,FALSE),"")</f>
        <v>22929537.289999999</v>
      </c>
      <c r="BI2" s="141">
        <f t="shared" ref="BI2:BI96" si="52">BK2-BJ2</f>
        <v>5438634.3200000003</v>
      </c>
      <c r="BJ2" s="332">
        <f t="shared" ref="BJ2:BJ33" si="53">IFERROR(VLOOKUP(I2,RETAALIM,10,FALSE),"")</f>
        <v>15484889.09</v>
      </c>
      <c r="BK2" s="333">
        <f t="shared" ref="BK2:BK33" si="54">IFERROR(VLOOKUP(I2,RETFC,10,FALSE),"")</f>
        <v>20923523.41</v>
      </c>
      <c r="BL2" s="326">
        <f t="shared" ref="BL2:BL33" si="55">IFERROR(VLOOKUP(I2,RETAMAR24,11,FALSE),"")</f>
        <v>4581621</v>
      </c>
      <c r="BM2" s="326">
        <f t="shared" ref="BM2:BM96" si="56">BO2-BN2</f>
        <v>0</v>
      </c>
      <c r="BN2" s="326">
        <f t="shared" ref="BN2:BN33" si="57">IFERROR(VLOOKUP(I2,RETAALIM,11,FALSE),"")</f>
        <v>9030550.6300000008</v>
      </c>
      <c r="BO2" s="332">
        <f t="shared" ref="BO2:BO33" si="58">IFERROR(VLOOKUP(I2,RETFC,11,FALSE),"")</f>
        <v>9030550.6300000008</v>
      </c>
      <c r="BP2" s="140">
        <f t="shared" ref="BP2:BR2" si="59">SUM(BM2,BI2,BE2)</f>
        <v>5536641.3499999996</v>
      </c>
      <c r="BQ2" s="326">
        <f t="shared" si="59"/>
        <v>41281454.549999997</v>
      </c>
      <c r="BR2" s="333">
        <f t="shared" si="59"/>
        <v>46818095.899999999</v>
      </c>
      <c r="BS2" s="125">
        <f t="shared" ref="BS2:BS33" si="60">IFERROR(VLOOKUP(I2,RETAMAR24,12,FALSE),"")</f>
        <v>21927677.670000002</v>
      </c>
      <c r="BT2" s="140">
        <f t="shared" ref="BT2:BT96" si="61">BV2-BU2</f>
        <v>6258878.8000000007</v>
      </c>
      <c r="BU2" s="123">
        <f t="shared" ref="BU2:BU33" si="62">IFERROR(VLOOKUP(I2,RETAALIM,12,FALSE),"")</f>
        <v>3461868.58</v>
      </c>
      <c r="BV2" s="148">
        <f t="shared" ref="BV2:BV33" si="63">IFERROR(VLOOKUP(I2,RETFC,12,FALSE),"")</f>
        <v>9720747.3800000008</v>
      </c>
      <c r="BW2" s="123">
        <f t="shared" ref="BW2:BW33" si="64">IFERROR(VLOOKUP(I2,RETAMAR24,13,FALSE),"")</f>
        <v>14386715.279999999</v>
      </c>
      <c r="BX2" s="326">
        <f t="shared" ref="BX2:BX33" si="65">IFERROR(VLOOKUP(I2,RETAMAR24,14,FALSE),"")</f>
        <v>26422581.079999998</v>
      </c>
      <c r="BY2" s="297" t="s">
        <v>374</v>
      </c>
      <c r="BZ2" s="553"/>
      <c r="CA2" s="127"/>
      <c r="CB2" s="554"/>
      <c r="CC2" s="555"/>
      <c r="CD2" s="427"/>
      <c r="CE2" s="428"/>
      <c r="CF2" s="95"/>
      <c r="CG2" s="556"/>
      <c r="CH2" s="556"/>
      <c r="CI2" s="556"/>
      <c r="CJ2" s="556"/>
      <c r="CK2" s="95"/>
      <c r="CL2" s="96"/>
      <c r="CM2" s="546"/>
      <c r="CN2" s="96"/>
      <c r="CO2" s="557"/>
      <c r="CR2" s="294"/>
    </row>
    <row r="3" spans="1:96" ht="15.75" customHeight="1">
      <c r="A3" s="546">
        <f t="shared" si="0"/>
        <v>112014382</v>
      </c>
      <c r="B3" s="547">
        <f t="shared" si="1"/>
        <v>10</v>
      </c>
      <c r="C3" s="558">
        <f t="shared" si="2"/>
        <v>0.15</v>
      </c>
      <c r="D3" s="558">
        <f t="shared" si="3"/>
        <v>0.23</v>
      </c>
      <c r="E3" s="559">
        <f t="shared" si="4"/>
        <v>0</v>
      </c>
      <c r="F3" s="414">
        <f t="shared" si="5"/>
        <v>53</v>
      </c>
      <c r="G3" s="94">
        <f t="shared" si="6"/>
        <v>0.15</v>
      </c>
      <c r="H3" s="415">
        <f t="shared" si="7"/>
        <v>0.14000000000000001</v>
      </c>
      <c r="I3" s="560" t="s">
        <v>375</v>
      </c>
      <c r="J3" s="436">
        <f t="shared" si="8"/>
        <v>0</v>
      </c>
      <c r="K3" s="141">
        <f t="shared" si="9"/>
        <v>0</v>
      </c>
      <c r="L3" s="140">
        <f t="shared" si="10"/>
        <v>2528185.19</v>
      </c>
      <c r="M3" s="116">
        <f t="shared" si="11"/>
        <v>0</v>
      </c>
      <c r="N3" s="333">
        <f t="shared" si="12"/>
        <v>2528185.19</v>
      </c>
      <c r="O3" s="123">
        <f t="shared" si="13"/>
        <v>2528185.19</v>
      </c>
      <c r="P3" s="98" t="str">
        <f t="shared" si="14"/>
        <v/>
      </c>
      <c r="Q3" s="125">
        <f t="shared" si="15"/>
        <v>3004305.32</v>
      </c>
      <c r="R3" s="141">
        <f t="shared" si="16"/>
        <v>5439970.7505569989</v>
      </c>
      <c r="S3" s="140">
        <f t="shared" si="17"/>
        <v>2268383.79</v>
      </c>
      <c r="T3" s="326">
        <f t="shared" si="18"/>
        <v>0</v>
      </c>
      <c r="U3" s="333">
        <f t="shared" si="19"/>
        <v>2268383.79</v>
      </c>
      <c r="V3" s="123">
        <f t="shared" si="20"/>
        <v>-3171586.9605569988</v>
      </c>
      <c r="W3" s="98">
        <f t="shared" si="21"/>
        <v>0.41698455635404658</v>
      </c>
      <c r="X3" s="123">
        <f t="shared" si="22"/>
        <v>1320276.6299999999</v>
      </c>
      <c r="Y3" s="561">
        <v>3000000</v>
      </c>
      <c r="Z3" s="116">
        <f t="shared" si="23"/>
        <v>951788.44</v>
      </c>
      <c r="AA3" s="561">
        <f t="shared" si="24"/>
        <v>0</v>
      </c>
      <c r="AB3" s="561">
        <f t="shared" si="25"/>
        <v>951788.44</v>
      </c>
      <c r="AC3" s="116">
        <f t="shared" si="26"/>
        <v>-2048211.56</v>
      </c>
      <c r="AD3" s="97">
        <f t="shared" si="27"/>
        <v>0.31726281333333334</v>
      </c>
      <c r="AE3" s="433">
        <f t="shared" si="28"/>
        <v>8439970.750556998</v>
      </c>
      <c r="AF3" s="550">
        <f t="shared" si="29"/>
        <v>4686385.75</v>
      </c>
      <c r="AG3" s="496">
        <f t="shared" ref="AG3:AI3" si="66">SUM(Z3,S3,S3,L3)</f>
        <v>8016741.209999999</v>
      </c>
      <c r="AH3" s="496">
        <f t="shared" si="66"/>
        <v>0</v>
      </c>
      <c r="AI3" s="496">
        <f t="shared" si="66"/>
        <v>8016741.209999999</v>
      </c>
      <c r="AJ3" s="551">
        <f t="shared" si="31"/>
        <v>3330355.459999999</v>
      </c>
      <c r="AK3" s="552">
        <f t="shared" si="32"/>
        <v>1.7106447564629095</v>
      </c>
      <c r="AL3" s="434">
        <f t="shared" si="33"/>
        <v>104029.77</v>
      </c>
      <c r="AM3" s="140">
        <f t="shared" si="34"/>
        <v>857625.29</v>
      </c>
      <c r="AN3" s="123">
        <f t="shared" si="35"/>
        <v>0</v>
      </c>
      <c r="AO3" s="148">
        <f t="shared" si="36"/>
        <v>857625.29</v>
      </c>
      <c r="AP3" s="434">
        <f t="shared" si="37"/>
        <v>1977615.86</v>
      </c>
      <c r="AQ3" s="140">
        <f t="shared" si="38"/>
        <v>4224426.6499999994</v>
      </c>
      <c r="AR3" s="326">
        <f t="shared" si="39"/>
        <v>88489.32</v>
      </c>
      <c r="AS3" s="333">
        <f t="shared" si="40"/>
        <v>4312915.97</v>
      </c>
      <c r="AT3" s="125">
        <f t="shared" si="41"/>
        <v>32000.799999999999</v>
      </c>
      <c r="AU3" s="140">
        <f t="shared" si="42"/>
        <v>380367.99</v>
      </c>
      <c r="AV3" s="123">
        <f t="shared" si="43"/>
        <v>0</v>
      </c>
      <c r="AW3" s="125">
        <f t="shared" si="44"/>
        <v>380367.99</v>
      </c>
      <c r="AX3" s="122">
        <f t="shared" ref="AX3:AZ3" si="67">AU3+AQ3+AM3</f>
        <v>5462419.9299999997</v>
      </c>
      <c r="AY3" s="326">
        <f t="shared" si="67"/>
        <v>88489.32</v>
      </c>
      <c r="AZ3" s="332">
        <f t="shared" si="67"/>
        <v>5550909.25</v>
      </c>
      <c r="BA3" s="140">
        <f t="shared" ref="BA3:BC3" si="68">AX3+AG3</f>
        <v>13479161.139999999</v>
      </c>
      <c r="BB3" s="326">
        <f t="shared" si="68"/>
        <v>88489.32</v>
      </c>
      <c r="BC3" s="435">
        <f t="shared" si="68"/>
        <v>13567650.459999999</v>
      </c>
      <c r="BD3" s="123">
        <f t="shared" si="47"/>
        <v>4066555.78</v>
      </c>
      <c r="BE3" s="123">
        <f t="shared" si="48"/>
        <v>813666.2799999998</v>
      </c>
      <c r="BF3" s="123">
        <f t="shared" si="49"/>
        <v>2419110.48</v>
      </c>
      <c r="BG3" s="148">
        <f t="shared" si="50"/>
        <v>3232776.76</v>
      </c>
      <c r="BH3" s="123">
        <f t="shared" si="51"/>
        <v>48545.49</v>
      </c>
      <c r="BI3" s="141">
        <f t="shared" si="52"/>
        <v>2312707.38</v>
      </c>
      <c r="BJ3" s="332">
        <f t="shared" si="53"/>
        <v>0</v>
      </c>
      <c r="BK3" s="333">
        <f t="shared" si="54"/>
        <v>2312707.38</v>
      </c>
      <c r="BL3" s="326">
        <f t="shared" si="55"/>
        <v>3358958.97</v>
      </c>
      <c r="BM3" s="326">
        <f t="shared" si="56"/>
        <v>3735978.98</v>
      </c>
      <c r="BN3" s="326">
        <f t="shared" si="57"/>
        <v>104921.60000000001</v>
      </c>
      <c r="BO3" s="332">
        <f t="shared" si="58"/>
        <v>3840900.58</v>
      </c>
      <c r="BP3" s="140">
        <f t="shared" ref="BP3:BR3" si="69">SUM(BM3,BI3,BE3)</f>
        <v>6862352.6399999987</v>
      </c>
      <c r="BQ3" s="326">
        <f t="shared" si="69"/>
        <v>2524032.08</v>
      </c>
      <c r="BR3" s="333">
        <f t="shared" si="69"/>
        <v>9386384.7199999988</v>
      </c>
      <c r="BS3" s="125">
        <f t="shared" si="60"/>
        <v>2127120.84</v>
      </c>
      <c r="BT3" s="140">
        <f t="shared" si="61"/>
        <v>480327.90000000014</v>
      </c>
      <c r="BU3" s="123">
        <f t="shared" si="62"/>
        <v>877912.96</v>
      </c>
      <c r="BV3" s="148">
        <f t="shared" si="63"/>
        <v>1358240.86</v>
      </c>
      <c r="BW3" s="123">
        <f t="shared" si="64"/>
        <v>2196519.56</v>
      </c>
      <c r="BX3" s="326">
        <f t="shared" si="65"/>
        <v>362745.35</v>
      </c>
      <c r="BY3" s="297" t="s">
        <v>374</v>
      </c>
      <c r="BZ3" s="553"/>
      <c r="CA3" s="127"/>
      <c r="CB3" s="562">
        <v>0.15</v>
      </c>
      <c r="CC3" s="563">
        <v>8</v>
      </c>
      <c r="CD3" s="440">
        <v>7</v>
      </c>
      <c r="CE3" s="441">
        <v>9</v>
      </c>
      <c r="CF3" s="138">
        <v>9</v>
      </c>
      <c r="CG3" s="564">
        <v>9</v>
      </c>
      <c r="CH3" s="564">
        <v>9</v>
      </c>
      <c r="CI3" s="564">
        <v>9</v>
      </c>
      <c r="CJ3" s="564">
        <v>10</v>
      </c>
      <c r="CK3" s="138">
        <v>10</v>
      </c>
      <c r="CL3" s="565">
        <v>10</v>
      </c>
      <c r="CM3" s="566">
        <v>10</v>
      </c>
      <c r="CN3" s="565">
        <v>9</v>
      </c>
      <c r="CO3" s="567">
        <v>8</v>
      </c>
      <c r="CR3" s="294"/>
    </row>
    <row r="4" spans="1:96" ht="15.75" customHeight="1">
      <c r="A4" s="546">
        <f t="shared" si="0"/>
        <v>112013553</v>
      </c>
      <c r="B4" s="547">
        <f t="shared" si="1"/>
        <v>38</v>
      </c>
      <c r="C4" s="137">
        <f t="shared" si="2"/>
        <v>0.15</v>
      </c>
      <c r="D4" s="137">
        <f t="shared" si="3"/>
        <v>0.26</v>
      </c>
      <c r="E4" s="98">
        <f t="shared" si="4"/>
        <v>0</v>
      </c>
      <c r="F4" s="414">
        <f t="shared" si="5"/>
        <v>52</v>
      </c>
      <c r="G4" s="94">
        <f t="shared" si="6"/>
        <v>0.15</v>
      </c>
      <c r="H4" s="415">
        <f t="shared" si="7"/>
        <v>0.17</v>
      </c>
      <c r="I4" s="568" t="s">
        <v>376</v>
      </c>
      <c r="J4" s="436" t="str">
        <f t="shared" si="8"/>
        <v/>
      </c>
      <c r="K4" s="141" t="e">
        <f t="shared" si="9"/>
        <v>#VALUE!</v>
      </c>
      <c r="L4" s="140">
        <f t="shared" si="10"/>
        <v>3419936.87</v>
      </c>
      <c r="M4" s="116">
        <f t="shared" si="11"/>
        <v>392760.83</v>
      </c>
      <c r="N4" s="333">
        <f t="shared" si="12"/>
        <v>3812697.7</v>
      </c>
      <c r="O4" s="123" t="e">
        <f t="shared" si="13"/>
        <v>#VALUE!</v>
      </c>
      <c r="P4" s="98" t="str">
        <f t="shared" si="14"/>
        <v/>
      </c>
      <c r="Q4" s="125" t="str">
        <f t="shared" si="15"/>
        <v/>
      </c>
      <c r="R4" s="141" t="e">
        <f t="shared" si="16"/>
        <v>#VALUE!</v>
      </c>
      <c r="S4" s="140">
        <f t="shared" si="17"/>
        <v>2438658.5</v>
      </c>
      <c r="T4" s="326">
        <f t="shared" si="18"/>
        <v>2023355.95</v>
      </c>
      <c r="U4" s="333">
        <f t="shared" si="19"/>
        <v>4462014.45</v>
      </c>
      <c r="V4" s="123" t="e">
        <f t="shared" si="20"/>
        <v>#VALUE!</v>
      </c>
      <c r="W4" s="98" t="e">
        <f t="shared" si="21"/>
        <v>#VALUE!</v>
      </c>
      <c r="X4" s="123" t="str">
        <f t="shared" si="22"/>
        <v/>
      </c>
      <c r="Y4" s="326" t="e">
        <f t="shared" ref="Y4:Y5" si="70">(X4*1.5955)*1.05</f>
        <v>#VALUE!</v>
      </c>
      <c r="Z4" s="116">
        <f t="shared" si="23"/>
        <v>774768.23999999929</v>
      </c>
      <c r="AA4" s="561">
        <f t="shared" si="24"/>
        <v>6317829.5700000003</v>
      </c>
      <c r="AB4" s="561">
        <f t="shared" si="25"/>
        <v>7092597.8099999996</v>
      </c>
      <c r="AC4" s="116" t="e">
        <f t="shared" si="26"/>
        <v>#VALUE!</v>
      </c>
      <c r="AD4" s="97" t="e">
        <f t="shared" si="27"/>
        <v>#VALUE!</v>
      </c>
      <c r="AE4" s="433" t="e">
        <f t="shared" si="28"/>
        <v>#VALUE!</v>
      </c>
      <c r="AF4" s="550" t="str">
        <f t="shared" si="29"/>
        <v>0</v>
      </c>
      <c r="AG4" s="496">
        <f t="shared" ref="AG4:AI4" si="71">SUM(Z4,S4,S4,L4)</f>
        <v>9072022.1099999994</v>
      </c>
      <c r="AH4" s="496">
        <f t="shared" si="71"/>
        <v>10757302.300000001</v>
      </c>
      <c r="AI4" s="496">
        <f t="shared" si="71"/>
        <v>19829324.41</v>
      </c>
      <c r="AJ4" s="551">
        <f t="shared" si="31"/>
        <v>19829324.41</v>
      </c>
      <c r="AK4" s="552" t="str">
        <f t="shared" ref="AK4:AK53" si="72">IFERROR(AI4/AF4,"")</f>
        <v/>
      </c>
      <c r="AL4" s="434" t="str">
        <f t="shared" si="33"/>
        <v/>
      </c>
      <c r="AM4" s="140">
        <f t="shared" si="34"/>
        <v>6845536.1700000009</v>
      </c>
      <c r="AN4" s="123">
        <f t="shared" si="35"/>
        <v>4748416.29</v>
      </c>
      <c r="AO4" s="148">
        <f t="shared" si="36"/>
        <v>11593952.460000001</v>
      </c>
      <c r="AP4" s="434" t="str">
        <f t="shared" si="37"/>
        <v/>
      </c>
      <c r="AQ4" s="140">
        <f t="shared" si="38"/>
        <v>10540758.17</v>
      </c>
      <c r="AR4" s="326">
        <f t="shared" si="39"/>
        <v>1473268.89</v>
      </c>
      <c r="AS4" s="333">
        <f t="shared" si="40"/>
        <v>12014027.060000001</v>
      </c>
      <c r="AT4" s="125" t="str">
        <f t="shared" si="41"/>
        <v/>
      </c>
      <c r="AU4" s="140">
        <f t="shared" si="42"/>
        <v>0</v>
      </c>
      <c r="AV4" s="123">
        <f t="shared" si="43"/>
        <v>6543235.3399999999</v>
      </c>
      <c r="AW4" s="125">
        <f t="shared" si="44"/>
        <v>6543235.3399999999</v>
      </c>
      <c r="AX4" s="122">
        <f t="shared" ref="AX4:AZ4" si="73">AU4+AQ4+AM4</f>
        <v>17386294.34</v>
      </c>
      <c r="AY4" s="326">
        <f t="shared" si="73"/>
        <v>12764920.52</v>
      </c>
      <c r="AZ4" s="332">
        <f t="shared" si="73"/>
        <v>30151214.859999999</v>
      </c>
      <c r="BA4" s="140">
        <f t="shared" ref="BA4:BC4" si="74">AX4+AG4</f>
        <v>26458316.449999999</v>
      </c>
      <c r="BB4" s="326">
        <f t="shared" si="74"/>
        <v>23522222.82</v>
      </c>
      <c r="BC4" s="435">
        <f t="shared" si="74"/>
        <v>49980539.269999996</v>
      </c>
      <c r="BD4" s="123" t="str">
        <f t="shared" si="47"/>
        <v/>
      </c>
      <c r="BE4" s="123">
        <f t="shared" si="48"/>
        <v>0</v>
      </c>
      <c r="BF4" s="123">
        <f t="shared" si="49"/>
        <v>5053882.53</v>
      </c>
      <c r="BG4" s="148">
        <f t="shared" si="50"/>
        <v>5053882.53</v>
      </c>
      <c r="BH4" s="123" t="str">
        <f t="shared" si="51"/>
        <v/>
      </c>
      <c r="BI4" s="141">
        <f t="shared" si="52"/>
        <v>2116664.9099999992</v>
      </c>
      <c r="BJ4" s="332">
        <f t="shared" si="53"/>
        <v>6630298.6200000001</v>
      </c>
      <c r="BK4" s="333">
        <f t="shared" si="54"/>
        <v>8746963.5299999993</v>
      </c>
      <c r="BL4" s="326" t="str">
        <f t="shared" si="55"/>
        <v/>
      </c>
      <c r="BM4" s="326">
        <f t="shared" si="56"/>
        <v>200771.73999999836</v>
      </c>
      <c r="BN4" s="326">
        <f t="shared" si="57"/>
        <v>9632955.8800000008</v>
      </c>
      <c r="BO4" s="332">
        <f t="shared" si="58"/>
        <v>9833727.6199999992</v>
      </c>
      <c r="BP4" s="140">
        <f t="shared" ref="BP4:BR4" si="75">SUM(BM4,BI4,BE4)</f>
        <v>2317436.6499999976</v>
      </c>
      <c r="BQ4" s="326">
        <f t="shared" si="75"/>
        <v>21317137.030000001</v>
      </c>
      <c r="BR4" s="333">
        <f t="shared" si="75"/>
        <v>23634573.68</v>
      </c>
      <c r="BS4" s="125" t="str">
        <f t="shared" si="60"/>
        <v/>
      </c>
      <c r="BT4" s="140">
        <f t="shared" si="61"/>
        <v>4914175.83</v>
      </c>
      <c r="BU4" s="123">
        <f t="shared" si="62"/>
        <v>6882427.6699999999</v>
      </c>
      <c r="BV4" s="148">
        <f t="shared" si="63"/>
        <v>11796603.5</v>
      </c>
      <c r="BW4" s="123" t="str">
        <f t="shared" si="64"/>
        <v/>
      </c>
      <c r="BX4" s="326" t="str">
        <f t="shared" si="65"/>
        <v/>
      </c>
      <c r="BY4" s="297" t="s">
        <v>377</v>
      </c>
      <c r="BZ4" s="553"/>
      <c r="CA4" s="127"/>
      <c r="CB4" s="569">
        <v>0.12</v>
      </c>
      <c r="CC4" s="563">
        <v>2</v>
      </c>
      <c r="CD4" s="440">
        <v>3</v>
      </c>
      <c r="CE4" s="441">
        <v>2</v>
      </c>
      <c r="CF4" s="138">
        <v>2</v>
      </c>
      <c r="CG4" s="564">
        <v>2</v>
      </c>
      <c r="CH4" s="564">
        <v>2</v>
      </c>
      <c r="CI4" s="564">
        <v>2</v>
      </c>
      <c r="CJ4" s="564">
        <v>2</v>
      </c>
      <c r="CK4" s="138">
        <v>2</v>
      </c>
      <c r="CL4" s="565">
        <v>2</v>
      </c>
      <c r="CM4" s="566">
        <v>2</v>
      </c>
      <c r="CN4" s="565">
        <v>2</v>
      </c>
      <c r="CO4" s="567">
        <v>2</v>
      </c>
      <c r="CR4" s="294"/>
    </row>
    <row r="5" spans="1:96" ht="15.75" customHeight="1">
      <c r="A5" s="546">
        <f t="shared" si="0"/>
        <v>112013045</v>
      </c>
      <c r="B5" s="547">
        <f t="shared" si="1"/>
        <v>10</v>
      </c>
      <c r="C5" s="137">
        <f t="shared" si="2"/>
        <v>0.15</v>
      </c>
      <c r="D5" s="137">
        <f t="shared" si="3"/>
        <v>0.23</v>
      </c>
      <c r="E5" s="98">
        <f t="shared" si="4"/>
        <v>0</v>
      </c>
      <c r="F5" s="414">
        <f t="shared" si="5"/>
        <v>53</v>
      </c>
      <c r="G5" s="94">
        <f t="shared" si="6"/>
        <v>0.15</v>
      </c>
      <c r="H5" s="415">
        <f t="shared" si="7"/>
        <v>0.14000000000000001</v>
      </c>
      <c r="I5" s="568" t="s">
        <v>378</v>
      </c>
      <c r="J5" s="436">
        <f t="shared" si="8"/>
        <v>2218120.87</v>
      </c>
      <c r="K5" s="141">
        <f t="shared" si="9"/>
        <v>3728772.0885135005</v>
      </c>
      <c r="L5" s="140">
        <f t="shared" si="10"/>
        <v>1281631.5</v>
      </c>
      <c r="M5" s="116">
        <f t="shared" si="11"/>
        <v>3639702.51</v>
      </c>
      <c r="N5" s="333">
        <f t="shared" si="12"/>
        <v>4921334.01</v>
      </c>
      <c r="O5" s="123">
        <f t="shared" si="13"/>
        <v>1192561.9214864993</v>
      </c>
      <c r="P5" s="98">
        <f t="shared" si="14"/>
        <v>1.3198269814237753</v>
      </c>
      <c r="Q5" s="125">
        <f t="shared" si="15"/>
        <v>2589868</v>
      </c>
      <c r="R5" s="141">
        <f t="shared" si="16"/>
        <v>4689538.7342999997</v>
      </c>
      <c r="S5" s="140">
        <f t="shared" si="17"/>
        <v>63546.780000000261</v>
      </c>
      <c r="T5" s="326">
        <f t="shared" si="18"/>
        <v>4475922.84</v>
      </c>
      <c r="U5" s="333">
        <f t="shared" si="19"/>
        <v>4539469.62</v>
      </c>
      <c r="V5" s="123">
        <f t="shared" si="20"/>
        <v>-150069.11429999955</v>
      </c>
      <c r="W5" s="98">
        <f t="shared" si="21"/>
        <v>0.96799917373485556</v>
      </c>
      <c r="X5" s="123">
        <f t="shared" si="22"/>
        <v>2588753.71</v>
      </c>
      <c r="Y5" s="326">
        <f t="shared" si="70"/>
        <v>4336874.3715202501</v>
      </c>
      <c r="Z5" s="116">
        <f t="shared" si="23"/>
        <v>155221.14000000013</v>
      </c>
      <c r="AA5" s="561">
        <f t="shared" si="24"/>
        <v>2601598.5299999998</v>
      </c>
      <c r="AB5" s="561">
        <f t="shared" si="25"/>
        <v>2756819.67</v>
      </c>
      <c r="AC5" s="116">
        <f t="shared" si="26"/>
        <v>-1580054.7015202502</v>
      </c>
      <c r="AD5" s="97">
        <f t="shared" si="27"/>
        <v>0.63566970906598408</v>
      </c>
      <c r="AE5" s="433">
        <f t="shared" si="28"/>
        <v>12755185.194333751</v>
      </c>
      <c r="AF5" s="550">
        <f t="shared" si="29"/>
        <v>10735214.98</v>
      </c>
      <c r="AG5" s="496">
        <f t="shared" ref="AG5:AI5" si="76">SUM(Z5,S5,S5,L5)</f>
        <v>1563946.2000000007</v>
      </c>
      <c r="AH5" s="496">
        <f t="shared" si="76"/>
        <v>15193146.719999999</v>
      </c>
      <c r="AI5" s="496">
        <f t="shared" si="76"/>
        <v>16757092.92</v>
      </c>
      <c r="AJ5" s="551">
        <f t="shared" si="31"/>
        <v>6021877.9399999995</v>
      </c>
      <c r="AK5" s="552">
        <f t="shared" si="72"/>
        <v>1.5609461898265589</v>
      </c>
      <c r="AL5" s="434">
        <f t="shared" si="33"/>
        <v>3117607.08</v>
      </c>
      <c r="AM5" s="140">
        <f t="shared" si="34"/>
        <v>97130.659999999683</v>
      </c>
      <c r="AN5" s="123">
        <f t="shared" si="35"/>
        <v>3454296.85</v>
      </c>
      <c r="AO5" s="148">
        <f t="shared" si="36"/>
        <v>3551427.51</v>
      </c>
      <c r="AP5" s="434">
        <f t="shared" si="37"/>
        <v>1617874.16</v>
      </c>
      <c r="AQ5" s="140">
        <f t="shared" si="38"/>
        <v>1230967.9500000002</v>
      </c>
      <c r="AR5" s="326">
        <f t="shared" si="39"/>
        <v>7022622.5</v>
      </c>
      <c r="AS5" s="333">
        <f t="shared" si="40"/>
        <v>8253590.4500000002</v>
      </c>
      <c r="AT5" s="125">
        <f t="shared" si="41"/>
        <v>2127716.46</v>
      </c>
      <c r="AU5" s="140">
        <f t="shared" si="42"/>
        <v>1215777.4299999997</v>
      </c>
      <c r="AV5" s="123">
        <f t="shared" si="43"/>
        <v>4707216.28</v>
      </c>
      <c r="AW5" s="125">
        <f t="shared" si="44"/>
        <v>5922993.71</v>
      </c>
      <c r="AX5" s="122">
        <f t="shared" ref="AX5:AZ5" si="77">AU5+AQ5+AM5</f>
        <v>2543876.0399999996</v>
      </c>
      <c r="AY5" s="326">
        <f t="shared" si="77"/>
        <v>15184135.630000001</v>
      </c>
      <c r="AZ5" s="332">
        <f t="shared" si="77"/>
        <v>17728011.670000002</v>
      </c>
      <c r="BA5" s="140">
        <f t="shared" ref="BA5:BC5" si="78">AX5+AG5</f>
        <v>4107822.24</v>
      </c>
      <c r="BB5" s="326">
        <f t="shared" si="78"/>
        <v>30377282.350000001</v>
      </c>
      <c r="BC5" s="435">
        <f t="shared" si="78"/>
        <v>34485104.590000004</v>
      </c>
      <c r="BD5" s="123">
        <f t="shared" si="47"/>
        <v>3172578.75</v>
      </c>
      <c r="BE5" s="123">
        <f t="shared" si="48"/>
        <v>1393934.1600000001</v>
      </c>
      <c r="BF5" s="123">
        <f t="shared" si="49"/>
        <v>8348465.7400000002</v>
      </c>
      <c r="BG5" s="148">
        <f t="shared" si="50"/>
        <v>9742399.9000000004</v>
      </c>
      <c r="BH5" s="123">
        <f t="shared" si="51"/>
        <v>3718387.97</v>
      </c>
      <c r="BI5" s="141">
        <f t="shared" si="52"/>
        <v>775155.86999999918</v>
      </c>
      <c r="BJ5" s="332">
        <f t="shared" si="53"/>
        <v>4382281.9000000004</v>
      </c>
      <c r="BK5" s="333">
        <f t="shared" si="54"/>
        <v>5157437.7699999996</v>
      </c>
      <c r="BL5" s="326">
        <f t="shared" si="55"/>
        <v>2432102.77</v>
      </c>
      <c r="BM5" s="326">
        <f t="shared" si="56"/>
        <v>4325221.21</v>
      </c>
      <c r="BN5" s="326">
        <f t="shared" si="57"/>
        <v>7939823.2800000003</v>
      </c>
      <c r="BO5" s="332">
        <f t="shared" si="58"/>
        <v>12265044.49</v>
      </c>
      <c r="BP5" s="140">
        <f t="shared" ref="BP5:BR5" si="79">SUM(BM5,BI5,BE5)</f>
        <v>6494311.2399999993</v>
      </c>
      <c r="BQ5" s="326">
        <f t="shared" si="79"/>
        <v>20670570.920000002</v>
      </c>
      <c r="BR5" s="333">
        <f t="shared" si="79"/>
        <v>27164882.159999996</v>
      </c>
      <c r="BS5" s="125">
        <f t="shared" si="60"/>
        <v>3411620.77</v>
      </c>
      <c r="BT5" s="140">
        <f t="shared" si="61"/>
        <v>956330.98000000045</v>
      </c>
      <c r="BU5" s="123">
        <f t="shared" si="62"/>
        <v>5552487.2699999996</v>
      </c>
      <c r="BV5" s="148">
        <f t="shared" si="63"/>
        <v>6508818.25</v>
      </c>
      <c r="BW5" s="123">
        <f t="shared" si="64"/>
        <v>3397401.74</v>
      </c>
      <c r="BX5" s="326">
        <f t="shared" si="65"/>
        <v>3926192.48</v>
      </c>
      <c r="BY5" s="297"/>
      <c r="BZ5" s="553" t="s">
        <v>379</v>
      </c>
      <c r="CA5" s="127"/>
      <c r="CB5" s="570">
        <v>0.1</v>
      </c>
      <c r="CC5" s="563">
        <v>45</v>
      </c>
      <c r="CD5" s="440">
        <v>43</v>
      </c>
      <c r="CE5" s="441">
        <v>43</v>
      </c>
      <c r="CF5" s="138">
        <v>44</v>
      </c>
      <c r="CG5" s="564">
        <v>45</v>
      </c>
      <c r="CH5" s="564">
        <v>45</v>
      </c>
      <c r="CI5" s="564">
        <v>46</v>
      </c>
      <c r="CJ5" s="564">
        <v>46</v>
      </c>
      <c r="CK5" s="138">
        <v>48</v>
      </c>
      <c r="CL5" s="565">
        <v>48</v>
      </c>
      <c r="CM5" s="566">
        <v>48</v>
      </c>
      <c r="CN5" s="565">
        <v>49</v>
      </c>
      <c r="CO5" s="567">
        <v>45</v>
      </c>
      <c r="CR5" s="294"/>
    </row>
    <row r="6" spans="1:96" ht="15.75" customHeight="1">
      <c r="A6" s="546">
        <f t="shared" si="0"/>
        <v>112012965</v>
      </c>
      <c r="B6" s="547">
        <f t="shared" si="1"/>
        <v>10</v>
      </c>
      <c r="C6" s="137">
        <f t="shared" si="2"/>
        <v>0.15</v>
      </c>
      <c r="D6" s="137">
        <f t="shared" si="3"/>
        <v>0.23</v>
      </c>
      <c r="E6" s="98">
        <f t="shared" si="4"/>
        <v>0</v>
      </c>
      <c r="F6" s="414">
        <f t="shared" si="5"/>
        <v>53</v>
      </c>
      <c r="G6" s="94">
        <f t="shared" si="6"/>
        <v>0.15</v>
      </c>
      <c r="H6" s="415">
        <f t="shared" si="7"/>
        <v>0.14000000000000001</v>
      </c>
      <c r="I6" s="568" t="s">
        <v>380</v>
      </c>
      <c r="J6" s="436">
        <f t="shared" si="8"/>
        <v>2288965.13</v>
      </c>
      <c r="K6" s="141">
        <f t="shared" si="9"/>
        <v>3847864.8317864998</v>
      </c>
      <c r="L6" s="140">
        <f t="shared" si="10"/>
        <v>93446.049999999988</v>
      </c>
      <c r="M6" s="116">
        <f t="shared" si="11"/>
        <v>240529.01</v>
      </c>
      <c r="N6" s="333">
        <f t="shared" si="12"/>
        <v>333975.06</v>
      </c>
      <c r="O6" s="123">
        <f t="shared" si="13"/>
        <v>-3513889.7717864998</v>
      </c>
      <c r="P6" s="98">
        <f t="shared" si="14"/>
        <v>8.679490434307717E-2</v>
      </c>
      <c r="Q6" s="125">
        <f t="shared" si="15"/>
        <v>446263.4</v>
      </c>
      <c r="R6" s="174">
        <v>3000000</v>
      </c>
      <c r="S6" s="140">
        <f t="shared" si="17"/>
        <v>129328.2699999999</v>
      </c>
      <c r="T6" s="326">
        <f t="shared" si="18"/>
        <v>915435.8</v>
      </c>
      <c r="U6" s="333">
        <f t="shared" si="19"/>
        <v>1044764.07</v>
      </c>
      <c r="V6" s="123">
        <f t="shared" si="20"/>
        <v>-1955235.9300000002</v>
      </c>
      <c r="W6" s="98">
        <f t="shared" si="21"/>
        <v>0.34825468999999998</v>
      </c>
      <c r="X6" s="123">
        <f t="shared" si="22"/>
        <v>338612.79</v>
      </c>
      <c r="Y6" s="561">
        <v>3000000</v>
      </c>
      <c r="Z6" s="116">
        <f t="shared" si="23"/>
        <v>40958.640000000072</v>
      </c>
      <c r="AA6" s="561">
        <f t="shared" si="24"/>
        <v>515319.91</v>
      </c>
      <c r="AB6" s="561">
        <f t="shared" si="25"/>
        <v>556278.55000000005</v>
      </c>
      <c r="AC6" s="116">
        <f t="shared" si="26"/>
        <v>-2443721.4500000002</v>
      </c>
      <c r="AD6" s="97">
        <f t="shared" si="27"/>
        <v>0.18542618333333336</v>
      </c>
      <c r="AE6" s="433">
        <f t="shared" si="28"/>
        <v>9847864.8317865003</v>
      </c>
      <c r="AF6" s="550">
        <f t="shared" si="29"/>
        <v>1564875.08</v>
      </c>
      <c r="AG6" s="496">
        <f t="shared" ref="AG6:AI6" si="80">SUM(Z6,S6,S6,L6)</f>
        <v>393061.22999999986</v>
      </c>
      <c r="AH6" s="496">
        <f t="shared" si="80"/>
        <v>2586720.5199999996</v>
      </c>
      <c r="AI6" s="496">
        <f t="shared" si="80"/>
        <v>2979781.75</v>
      </c>
      <c r="AJ6" s="551">
        <f t="shared" si="31"/>
        <v>1414906.67</v>
      </c>
      <c r="AK6" s="552">
        <f t="shared" si="72"/>
        <v>1.9041658903533691</v>
      </c>
      <c r="AL6" s="434">
        <f t="shared" si="33"/>
        <v>469809</v>
      </c>
      <c r="AM6" s="140">
        <f t="shared" si="34"/>
        <v>0</v>
      </c>
      <c r="AN6" s="123">
        <f t="shared" si="35"/>
        <v>1030218.46</v>
      </c>
      <c r="AO6" s="148">
        <f t="shared" si="36"/>
        <v>1030218.46</v>
      </c>
      <c r="AP6" s="434">
        <f t="shared" si="37"/>
        <v>1446670.54</v>
      </c>
      <c r="AQ6" s="140">
        <f t="shared" si="38"/>
        <v>67553.170000000042</v>
      </c>
      <c r="AR6" s="326">
        <f t="shared" si="39"/>
        <v>477186.47</v>
      </c>
      <c r="AS6" s="333">
        <f t="shared" si="40"/>
        <v>544739.64</v>
      </c>
      <c r="AT6" s="125">
        <f t="shared" si="41"/>
        <v>2151174.7599999998</v>
      </c>
      <c r="AU6" s="140">
        <f t="shared" si="42"/>
        <v>60617.339999999967</v>
      </c>
      <c r="AV6" s="123">
        <f t="shared" si="43"/>
        <v>403909.21</v>
      </c>
      <c r="AW6" s="125">
        <f t="shared" si="44"/>
        <v>464526.55</v>
      </c>
      <c r="AX6" s="122">
        <f t="shared" ref="AX6:AZ6" si="81">AU6+AQ6+AM6</f>
        <v>128170.51000000001</v>
      </c>
      <c r="AY6" s="326">
        <f t="shared" si="81"/>
        <v>1911314.14</v>
      </c>
      <c r="AZ6" s="332">
        <f t="shared" si="81"/>
        <v>2039484.65</v>
      </c>
      <c r="BA6" s="140">
        <f t="shared" ref="BA6:BC6" si="82">AX6+AG6</f>
        <v>521231.73999999987</v>
      </c>
      <c r="BB6" s="326">
        <f t="shared" si="82"/>
        <v>4498034.6599999992</v>
      </c>
      <c r="BC6" s="435">
        <f t="shared" si="82"/>
        <v>5019266.4000000004</v>
      </c>
      <c r="BD6" s="123">
        <f t="shared" si="47"/>
        <v>180854.95</v>
      </c>
      <c r="BE6" s="123">
        <f t="shared" si="48"/>
        <v>249490.65999999992</v>
      </c>
      <c r="BF6" s="123">
        <f t="shared" si="49"/>
        <v>1096409.76</v>
      </c>
      <c r="BG6" s="148">
        <f t="shared" si="50"/>
        <v>1345900.42</v>
      </c>
      <c r="BH6" s="123">
        <f t="shared" si="51"/>
        <v>1965202.72</v>
      </c>
      <c r="BI6" s="141">
        <f t="shared" si="52"/>
        <v>0</v>
      </c>
      <c r="BJ6" s="332">
        <f t="shared" si="53"/>
        <v>661611.61</v>
      </c>
      <c r="BK6" s="333">
        <f t="shared" si="54"/>
        <v>661611.61</v>
      </c>
      <c r="BL6" s="326">
        <f t="shared" si="55"/>
        <v>1858283.04</v>
      </c>
      <c r="BM6" s="326">
        <f t="shared" si="56"/>
        <v>157557.35999999987</v>
      </c>
      <c r="BN6" s="326">
        <f t="shared" si="57"/>
        <v>959434.56</v>
      </c>
      <c r="BO6" s="332">
        <f t="shared" si="58"/>
        <v>1116991.92</v>
      </c>
      <c r="BP6" s="140">
        <f t="shared" ref="BP6:BR6" si="83">SUM(BM6,BI6,BE6)</f>
        <v>407048.01999999979</v>
      </c>
      <c r="BQ6" s="326">
        <f t="shared" si="83"/>
        <v>2717455.9299999997</v>
      </c>
      <c r="BR6" s="333">
        <f t="shared" si="83"/>
        <v>3124503.9499999997</v>
      </c>
      <c r="BS6" s="125">
        <f t="shared" si="60"/>
        <v>43284.33</v>
      </c>
      <c r="BT6" s="140">
        <f t="shared" si="61"/>
        <v>0</v>
      </c>
      <c r="BU6" s="123">
        <f t="shared" si="62"/>
        <v>1256837.07</v>
      </c>
      <c r="BV6" s="148">
        <f t="shared" si="63"/>
        <v>1256837.07</v>
      </c>
      <c r="BW6" s="123">
        <f t="shared" si="64"/>
        <v>1208759.1299999999</v>
      </c>
      <c r="BX6" s="326">
        <f t="shared" si="65"/>
        <v>312831.62</v>
      </c>
      <c r="BY6" s="297"/>
      <c r="BZ6" s="553" t="s">
        <v>379</v>
      </c>
      <c r="CA6" s="127"/>
      <c r="CB6" s="571">
        <v>0.05</v>
      </c>
      <c r="CC6" s="324">
        <v>7</v>
      </c>
      <c r="CD6" s="449">
        <v>6</v>
      </c>
      <c r="CE6" s="169">
        <v>7</v>
      </c>
      <c r="CF6" s="138">
        <v>8</v>
      </c>
      <c r="CG6" s="564">
        <v>8</v>
      </c>
      <c r="CH6" s="564">
        <v>8</v>
      </c>
      <c r="CI6" s="564">
        <v>8</v>
      </c>
      <c r="CJ6" s="564">
        <v>8</v>
      </c>
      <c r="CK6" s="138">
        <v>8</v>
      </c>
      <c r="CL6" s="565">
        <v>8</v>
      </c>
      <c r="CM6" s="566">
        <v>8</v>
      </c>
      <c r="CN6" s="565">
        <v>8</v>
      </c>
      <c r="CO6" s="567">
        <v>7</v>
      </c>
      <c r="CR6" s="294"/>
    </row>
    <row r="7" spans="1:96" ht="15.75" customHeight="1">
      <c r="A7" s="546">
        <f t="shared" si="0"/>
        <v>112012590</v>
      </c>
      <c r="B7" s="547">
        <f t="shared" si="1"/>
        <v>11</v>
      </c>
      <c r="C7" s="137">
        <f t="shared" si="2"/>
        <v>0.15</v>
      </c>
      <c r="D7" s="137">
        <f t="shared" si="3"/>
        <v>0.2</v>
      </c>
      <c r="E7" s="98">
        <f t="shared" si="4"/>
        <v>0</v>
      </c>
      <c r="F7" s="414">
        <f t="shared" si="5"/>
        <v>54</v>
      </c>
      <c r="G7" s="94">
        <f t="shared" si="6"/>
        <v>0.15</v>
      </c>
      <c r="H7" s="415">
        <f t="shared" si="7"/>
        <v>0.11</v>
      </c>
      <c r="I7" s="568" t="s">
        <v>381</v>
      </c>
      <c r="J7" s="436">
        <f t="shared" si="8"/>
        <v>567042.77</v>
      </c>
      <c r="K7" s="141">
        <f t="shared" si="9"/>
        <v>953227.24850850005</v>
      </c>
      <c r="L7" s="140">
        <f t="shared" si="10"/>
        <v>601573.28</v>
      </c>
      <c r="M7" s="116">
        <f t="shared" si="11"/>
        <v>342558</v>
      </c>
      <c r="N7" s="333">
        <f t="shared" si="12"/>
        <v>944131.28</v>
      </c>
      <c r="O7" s="123">
        <f t="shared" si="13"/>
        <v>-9095.9685085000237</v>
      </c>
      <c r="P7" s="98">
        <f t="shared" si="14"/>
        <v>0.9904577124471291</v>
      </c>
      <c r="Q7" s="125">
        <f t="shared" si="15"/>
        <v>1825204.89</v>
      </c>
      <c r="R7" s="141">
        <f t="shared" ref="R7:R10" si="84">(Q7*1.7245)*1.05</f>
        <v>3304944.1244452498</v>
      </c>
      <c r="S7" s="140">
        <f t="shared" si="17"/>
        <v>482572.04999999993</v>
      </c>
      <c r="T7" s="326">
        <f t="shared" si="18"/>
        <v>601087.12</v>
      </c>
      <c r="U7" s="333">
        <f t="shared" si="19"/>
        <v>1083659.17</v>
      </c>
      <c r="V7" s="123">
        <f t="shared" si="20"/>
        <v>-2221284.9544452499</v>
      </c>
      <c r="W7" s="98">
        <f t="shared" si="21"/>
        <v>0.32789031499341825</v>
      </c>
      <c r="X7" s="123">
        <f t="shared" si="22"/>
        <v>1089311.53</v>
      </c>
      <c r="Y7" s="561">
        <v>3000000</v>
      </c>
      <c r="Z7" s="116">
        <f t="shared" si="23"/>
        <v>1902216.58</v>
      </c>
      <c r="AA7" s="561">
        <f t="shared" si="24"/>
        <v>1273716.04</v>
      </c>
      <c r="AB7" s="561">
        <f t="shared" si="25"/>
        <v>3175932.62</v>
      </c>
      <c r="AC7" s="116">
        <f t="shared" si="26"/>
        <v>175932.62000000011</v>
      </c>
      <c r="AD7" s="97">
        <f t="shared" si="27"/>
        <v>1.0586442066666668</v>
      </c>
      <c r="AE7" s="433">
        <f t="shared" si="28"/>
        <v>7258171.3729537502</v>
      </c>
      <c r="AF7" s="550">
        <f t="shared" si="29"/>
        <v>10926969.810000001</v>
      </c>
      <c r="AG7" s="496">
        <f t="shared" ref="AG7:AI7" si="85">SUM(Z7,S7,S7,L7)</f>
        <v>3468933.96</v>
      </c>
      <c r="AH7" s="496">
        <f t="shared" si="85"/>
        <v>2818448.2800000003</v>
      </c>
      <c r="AI7" s="496">
        <f t="shared" si="85"/>
        <v>6287382.2400000002</v>
      </c>
      <c r="AJ7" s="551">
        <f t="shared" si="31"/>
        <v>-4639587.57</v>
      </c>
      <c r="AK7" s="552">
        <f t="shared" si="72"/>
        <v>0.57540034879990209</v>
      </c>
      <c r="AL7" s="434">
        <f t="shared" si="33"/>
        <v>989750.34</v>
      </c>
      <c r="AM7" s="140">
        <f t="shared" si="34"/>
        <v>500874.5</v>
      </c>
      <c r="AN7" s="123">
        <f t="shared" si="35"/>
        <v>222447.76</v>
      </c>
      <c r="AO7" s="148">
        <f t="shared" si="36"/>
        <v>723322.26</v>
      </c>
      <c r="AP7" s="434">
        <f t="shared" si="37"/>
        <v>817152.57</v>
      </c>
      <c r="AQ7" s="140">
        <f t="shared" si="38"/>
        <v>953513.89999999991</v>
      </c>
      <c r="AR7" s="326">
        <f t="shared" si="39"/>
        <v>1418987.44</v>
      </c>
      <c r="AS7" s="333">
        <f t="shared" si="40"/>
        <v>2372501.34</v>
      </c>
      <c r="AT7" s="125">
        <f t="shared" si="41"/>
        <v>1987832.05</v>
      </c>
      <c r="AU7" s="140">
        <f t="shared" si="42"/>
        <v>1584264.9</v>
      </c>
      <c r="AV7" s="123">
        <f t="shared" si="43"/>
        <v>669257.1</v>
      </c>
      <c r="AW7" s="125">
        <f t="shared" si="44"/>
        <v>2253522</v>
      </c>
      <c r="AX7" s="122">
        <f t="shared" ref="AX7:AZ7" si="86">AU7+AQ7+AM7</f>
        <v>3038653.3</v>
      </c>
      <c r="AY7" s="326">
        <f t="shared" si="86"/>
        <v>2310692.2999999998</v>
      </c>
      <c r="AZ7" s="332">
        <f t="shared" si="86"/>
        <v>5349345.5999999996</v>
      </c>
      <c r="BA7" s="140">
        <f t="shared" ref="BA7:BC7" si="87">AX7+AG7</f>
        <v>6507587.2599999998</v>
      </c>
      <c r="BB7" s="326">
        <f t="shared" si="87"/>
        <v>5129140.58</v>
      </c>
      <c r="BC7" s="435">
        <f t="shared" si="87"/>
        <v>11636727.84</v>
      </c>
      <c r="BD7" s="123">
        <f t="shared" si="47"/>
        <v>1022077.12</v>
      </c>
      <c r="BE7" s="123">
        <f t="shared" si="48"/>
        <v>1064695.46</v>
      </c>
      <c r="BF7" s="123">
        <f t="shared" si="49"/>
        <v>891541.12</v>
      </c>
      <c r="BG7" s="148">
        <f t="shared" si="50"/>
        <v>1956236.58</v>
      </c>
      <c r="BH7" s="123">
        <f t="shared" si="51"/>
        <v>1640944.37</v>
      </c>
      <c r="BI7" s="141">
        <f t="shared" si="52"/>
        <v>615441.44999999995</v>
      </c>
      <c r="BJ7" s="332">
        <f t="shared" si="53"/>
        <v>1213442.24</v>
      </c>
      <c r="BK7" s="333">
        <f t="shared" si="54"/>
        <v>1828883.69</v>
      </c>
      <c r="BL7" s="326">
        <f t="shared" si="55"/>
        <v>343145.7</v>
      </c>
      <c r="BM7" s="326">
        <f t="shared" si="56"/>
        <v>0</v>
      </c>
      <c r="BN7" s="326">
        <f t="shared" si="57"/>
        <v>257372.48</v>
      </c>
      <c r="BO7" s="332">
        <f t="shared" si="58"/>
        <v>257372.48</v>
      </c>
      <c r="BP7" s="140">
        <f t="shared" ref="BP7:BR7" si="88">SUM(BM7,BI7,BE7)</f>
        <v>1680136.91</v>
      </c>
      <c r="BQ7" s="326">
        <f t="shared" si="88"/>
        <v>2362355.84</v>
      </c>
      <c r="BR7" s="333">
        <f t="shared" si="88"/>
        <v>4042492.75</v>
      </c>
      <c r="BS7" s="125">
        <f t="shared" si="60"/>
        <v>3105987.21</v>
      </c>
      <c r="BT7" s="140">
        <f t="shared" si="61"/>
        <v>825791.25000000023</v>
      </c>
      <c r="BU7" s="123">
        <f t="shared" si="62"/>
        <v>1303151.6599999999</v>
      </c>
      <c r="BV7" s="148">
        <f t="shared" si="63"/>
        <v>2128942.91</v>
      </c>
      <c r="BW7" s="123">
        <f t="shared" si="64"/>
        <v>4706171.8899999997</v>
      </c>
      <c r="BX7" s="326">
        <f t="shared" si="65"/>
        <v>3114810.71</v>
      </c>
      <c r="BY7" s="297"/>
      <c r="BZ7" s="553" t="s">
        <v>382</v>
      </c>
      <c r="CA7" s="572"/>
      <c r="CB7" s="573" t="s">
        <v>4</v>
      </c>
      <c r="CC7" s="574">
        <v>33</v>
      </c>
      <c r="CD7" s="453">
        <v>33</v>
      </c>
      <c r="CE7" s="178">
        <v>32</v>
      </c>
      <c r="CF7" s="162">
        <v>34</v>
      </c>
      <c r="CG7" s="575">
        <v>34</v>
      </c>
      <c r="CH7" s="575">
        <v>34</v>
      </c>
      <c r="CI7" s="575">
        <v>35</v>
      </c>
      <c r="CJ7" s="575">
        <v>35</v>
      </c>
      <c r="CK7" s="162">
        <v>34</v>
      </c>
      <c r="CL7" s="576">
        <v>34</v>
      </c>
      <c r="CM7" s="577">
        <v>35</v>
      </c>
      <c r="CN7" s="576">
        <v>34</v>
      </c>
      <c r="CO7" s="578">
        <v>33</v>
      </c>
      <c r="CR7" s="294"/>
    </row>
    <row r="8" spans="1:96" ht="15.75" customHeight="1">
      <c r="A8" s="546">
        <f t="shared" si="0"/>
        <v>112013812</v>
      </c>
      <c r="B8" s="547">
        <f t="shared" si="1"/>
        <v>14</v>
      </c>
      <c r="C8" s="94">
        <f t="shared" si="2"/>
        <v>0.15</v>
      </c>
      <c r="D8" s="94">
        <f t="shared" si="3"/>
        <v>0.2</v>
      </c>
      <c r="E8" s="413">
        <f t="shared" si="4"/>
        <v>0.23</v>
      </c>
      <c r="F8" s="414">
        <f t="shared" si="5"/>
        <v>54</v>
      </c>
      <c r="G8" s="94">
        <f t="shared" si="6"/>
        <v>0.15</v>
      </c>
      <c r="H8" s="415">
        <f t="shared" si="7"/>
        <v>0.11</v>
      </c>
      <c r="I8" s="548" t="s">
        <v>383</v>
      </c>
      <c r="J8" s="420">
        <f t="shared" si="8"/>
        <v>2313254.12</v>
      </c>
      <c r="K8" s="416">
        <f t="shared" si="9"/>
        <v>3888695.8384260004</v>
      </c>
      <c r="L8" s="113">
        <f t="shared" si="10"/>
        <v>3271466.18</v>
      </c>
      <c r="M8" s="116">
        <f t="shared" si="11"/>
        <v>449984</v>
      </c>
      <c r="N8" s="117">
        <f t="shared" si="12"/>
        <v>3721450.18</v>
      </c>
      <c r="O8" s="114">
        <f t="shared" si="13"/>
        <v>-167245.65842600027</v>
      </c>
      <c r="P8" s="413">
        <f t="shared" si="14"/>
        <v>0.95699183855590642</v>
      </c>
      <c r="Q8" s="100">
        <f t="shared" si="15"/>
        <v>3779589.63</v>
      </c>
      <c r="R8" s="416">
        <f t="shared" si="84"/>
        <v>6843797.4327817494</v>
      </c>
      <c r="S8" s="113">
        <f t="shared" si="17"/>
        <v>2999684.6399999997</v>
      </c>
      <c r="T8" s="116">
        <f t="shared" si="18"/>
        <v>1003530.18</v>
      </c>
      <c r="U8" s="117">
        <f t="shared" si="19"/>
        <v>4003214.82</v>
      </c>
      <c r="V8" s="114">
        <f t="shared" si="20"/>
        <v>-2840582.6127817496</v>
      </c>
      <c r="W8" s="413">
        <f t="shared" si="21"/>
        <v>0.58494057711653247</v>
      </c>
      <c r="X8" s="114">
        <f t="shared" si="22"/>
        <v>2499616.2999999998</v>
      </c>
      <c r="Y8" s="116">
        <f t="shared" ref="Y8:Y10" si="89">(X8*1.5955)*1.05</f>
        <v>4187544.6969824997</v>
      </c>
      <c r="Z8" s="116">
        <f t="shared" si="23"/>
        <v>6442593.6900000004</v>
      </c>
      <c r="AA8" s="549">
        <f t="shared" si="24"/>
        <v>89650.22</v>
      </c>
      <c r="AB8" s="549">
        <f t="shared" si="25"/>
        <v>6532243.9100000001</v>
      </c>
      <c r="AC8" s="116">
        <f t="shared" si="26"/>
        <v>2344699.2130175005</v>
      </c>
      <c r="AD8" s="97">
        <f t="shared" si="27"/>
        <v>1.5599221937158225</v>
      </c>
      <c r="AE8" s="417">
        <f t="shared" si="28"/>
        <v>14920037.968190249</v>
      </c>
      <c r="AF8" s="550">
        <f t="shared" si="29"/>
        <v>11029021.189999999</v>
      </c>
      <c r="AG8" s="551">
        <f t="shared" ref="AG8:AI8" si="90">SUM(Z8,S8,S8,L8)</f>
        <v>15713429.149999999</v>
      </c>
      <c r="AH8" s="551">
        <f t="shared" si="90"/>
        <v>2546694.58</v>
      </c>
      <c r="AI8" s="551">
        <f t="shared" si="90"/>
        <v>18260123.73</v>
      </c>
      <c r="AJ8" s="551">
        <f t="shared" si="31"/>
        <v>7231102.540000001</v>
      </c>
      <c r="AK8" s="552">
        <f t="shared" si="72"/>
        <v>1.6556431813329395</v>
      </c>
      <c r="AL8" s="434">
        <f t="shared" si="33"/>
        <v>4700482.29</v>
      </c>
      <c r="AM8" s="140">
        <f t="shared" si="34"/>
        <v>4199186.4399999995</v>
      </c>
      <c r="AN8" s="123">
        <f t="shared" si="35"/>
        <v>876726.49</v>
      </c>
      <c r="AO8" s="148">
        <f t="shared" si="36"/>
        <v>5075912.93</v>
      </c>
      <c r="AP8" s="434">
        <f t="shared" si="37"/>
        <v>6124727.2599999998</v>
      </c>
      <c r="AQ8" s="140">
        <f t="shared" si="38"/>
        <v>3396821.9400000004</v>
      </c>
      <c r="AR8" s="326">
        <f t="shared" si="39"/>
        <v>904378.26</v>
      </c>
      <c r="AS8" s="333">
        <f t="shared" si="40"/>
        <v>4301200.2</v>
      </c>
      <c r="AT8" s="125">
        <f t="shared" si="41"/>
        <v>3026683.02</v>
      </c>
      <c r="AU8" s="140">
        <f t="shared" si="42"/>
        <v>5383301.8899999997</v>
      </c>
      <c r="AV8" s="123">
        <f t="shared" si="43"/>
        <v>796175.32</v>
      </c>
      <c r="AW8" s="125">
        <f t="shared" si="44"/>
        <v>6179477.21</v>
      </c>
      <c r="AX8" s="122">
        <f t="shared" ref="AX8:AZ8" si="91">AU8+AQ8+AM8</f>
        <v>12979310.27</v>
      </c>
      <c r="AY8" s="326">
        <f t="shared" si="91"/>
        <v>2577280.0700000003</v>
      </c>
      <c r="AZ8" s="332">
        <f t="shared" si="91"/>
        <v>15556590.34</v>
      </c>
      <c r="BA8" s="140">
        <f t="shared" ref="BA8:BC8" si="92">AX8+AG8</f>
        <v>28692739.419999998</v>
      </c>
      <c r="BB8" s="326">
        <f t="shared" si="92"/>
        <v>5123974.6500000004</v>
      </c>
      <c r="BC8" s="435">
        <f t="shared" si="92"/>
        <v>33816714.07</v>
      </c>
      <c r="BD8" s="123">
        <f t="shared" si="47"/>
        <v>2781992.59</v>
      </c>
      <c r="BE8" s="123">
        <f t="shared" si="48"/>
        <v>4337421.92</v>
      </c>
      <c r="BF8" s="123">
        <f t="shared" si="49"/>
        <v>510688.13</v>
      </c>
      <c r="BG8" s="148">
        <f t="shared" si="50"/>
        <v>4848110.05</v>
      </c>
      <c r="BH8" s="123">
        <f t="shared" si="51"/>
        <v>2730548.25</v>
      </c>
      <c r="BI8" s="141">
        <f t="shared" si="52"/>
        <v>6143094.2400000002</v>
      </c>
      <c r="BJ8" s="332">
        <f t="shared" si="53"/>
        <v>685526.12</v>
      </c>
      <c r="BK8" s="333">
        <f t="shared" si="54"/>
        <v>6828620.3600000003</v>
      </c>
      <c r="BL8" s="326">
        <f t="shared" si="55"/>
        <v>1974632.28</v>
      </c>
      <c r="BM8" s="326">
        <f t="shared" si="56"/>
        <v>1839557.98</v>
      </c>
      <c r="BN8" s="326">
        <f t="shared" si="57"/>
        <v>695192.73</v>
      </c>
      <c r="BO8" s="332">
        <f t="shared" si="58"/>
        <v>2534750.71</v>
      </c>
      <c r="BP8" s="140">
        <f t="shared" ref="BP8:BR8" si="93">SUM(BM8,BI8,BE8)</f>
        <v>12320074.140000001</v>
      </c>
      <c r="BQ8" s="326">
        <f t="shared" si="93"/>
        <v>1891406.98</v>
      </c>
      <c r="BR8" s="333">
        <f t="shared" si="93"/>
        <v>14211481.120000001</v>
      </c>
      <c r="BS8" s="125">
        <f t="shared" si="60"/>
        <v>6129775.7000000002</v>
      </c>
      <c r="BT8" s="140">
        <f t="shared" si="61"/>
        <v>4185884.06</v>
      </c>
      <c r="BU8" s="123">
        <f t="shared" si="62"/>
        <v>1476162.4</v>
      </c>
      <c r="BV8" s="148">
        <f t="shared" si="63"/>
        <v>5662046.46</v>
      </c>
      <c r="BW8" s="123">
        <f t="shared" si="64"/>
        <v>2955417.35</v>
      </c>
      <c r="BX8" s="326">
        <f t="shared" si="65"/>
        <v>1943828.13</v>
      </c>
      <c r="BY8" s="297" t="s">
        <v>377</v>
      </c>
      <c r="BZ8" s="553" t="s">
        <v>384</v>
      </c>
      <c r="CB8" s="579" t="s">
        <v>17</v>
      </c>
      <c r="CC8" s="183">
        <f t="shared" ref="CC8:CO8" si="94">SUM(CC2:CC7)</f>
        <v>95</v>
      </c>
      <c r="CD8" s="183">
        <f t="shared" si="94"/>
        <v>92</v>
      </c>
      <c r="CE8" s="185">
        <f t="shared" si="94"/>
        <v>93</v>
      </c>
      <c r="CF8" s="185">
        <f t="shared" si="94"/>
        <v>97</v>
      </c>
      <c r="CG8" s="580">
        <f t="shared" si="94"/>
        <v>98</v>
      </c>
      <c r="CH8" s="580">
        <f t="shared" si="94"/>
        <v>98</v>
      </c>
      <c r="CI8" s="580">
        <f t="shared" si="94"/>
        <v>100</v>
      </c>
      <c r="CJ8" s="580">
        <f t="shared" si="94"/>
        <v>101</v>
      </c>
      <c r="CK8" s="581">
        <f t="shared" si="94"/>
        <v>102</v>
      </c>
      <c r="CL8" s="582">
        <f t="shared" si="94"/>
        <v>102</v>
      </c>
      <c r="CM8" s="582">
        <f t="shared" si="94"/>
        <v>103</v>
      </c>
      <c r="CN8" s="582">
        <f t="shared" si="94"/>
        <v>102</v>
      </c>
      <c r="CO8" s="583">
        <f t="shared" si="94"/>
        <v>95</v>
      </c>
      <c r="CR8" s="294"/>
    </row>
    <row r="9" spans="1:96" ht="15.75" customHeight="1">
      <c r="A9" s="546">
        <f t="shared" si="0"/>
        <v>112014733</v>
      </c>
      <c r="B9" s="547">
        <f t="shared" si="1"/>
        <v>38</v>
      </c>
      <c r="C9" s="94">
        <f t="shared" si="2"/>
        <v>0.15</v>
      </c>
      <c r="D9" s="94">
        <f t="shared" si="3"/>
        <v>0.26</v>
      </c>
      <c r="E9" s="413">
        <f t="shared" si="4"/>
        <v>0</v>
      </c>
      <c r="F9" s="414">
        <f t="shared" si="5"/>
        <v>52</v>
      </c>
      <c r="G9" s="94">
        <f t="shared" si="6"/>
        <v>0.15</v>
      </c>
      <c r="H9" s="415">
        <f t="shared" si="7"/>
        <v>0.17</v>
      </c>
      <c r="I9" s="584" t="s">
        <v>385</v>
      </c>
      <c r="J9" s="420" t="str">
        <f t="shared" si="8"/>
        <v/>
      </c>
      <c r="K9" s="416" t="e">
        <f t="shared" si="9"/>
        <v>#VALUE!</v>
      </c>
      <c r="L9" s="113">
        <f t="shared" si="10"/>
        <v>0</v>
      </c>
      <c r="M9" s="116">
        <f t="shared" si="11"/>
        <v>0</v>
      </c>
      <c r="N9" s="117">
        <f t="shared" si="12"/>
        <v>0</v>
      </c>
      <c r="O9" s="114" t="e">
        <f t="shared" si="13"/>
        <v>#VALUE!</v>
      </c>
      <c r="P9" s="413" t="str">
        <f t="shared" si="14"/>
        <v/>
      </c>
      <c r="Q9" s="100" t="str">
        <f t="shared" si="15"/>
        <v/>
      </c>
      <c r="R9" s="416" t="e">
        <f t="shared" si="84"/>
        <v>#VALUE!</v>
      </c>
      <c r="S9" s="113">
        <f t="shared" si="17"/>
        <v>0</v>
      </c>
      <c r="T9" s="116">
        <f t="shared" si="18"/>
        <v>0</v>
      </c>
      <c r="U9" s="117">
        <f t="shared" si="19"/>
        <v>0</v>
      </c>
      <c r="V9" s="114" t="e">
        <f t="shared" si="20"/>
        <v>#VALUE!</v>
      </c>
      <c r="W9" s="413" t="e">
        <f t="shared" si="21"/>
        <v>#VALUE!</v>
      </c>
      <c r="X9" s="114" t="str">
        <f t="shared" si="22"/>
        <v/>
      </c>
      <c r="Y9" s="116" t="e">
        <f t="shared" si="89"/>
        <v>#VALUE!</v>
      </c>
      <c r="Z9" s="116">
        <f t="shared" si="23"/>
        <v>0</v>
      </c>
      <c r="AA9" s="549">
        <f t="shared" si="24"/>
        <v>0</v>
      </c>
      <c r="AB9" s="549">
        <f t="shared" si="25"/>
        <v>0</v>
      </c>
      <c r="AC9" s="116" t="e">
        <f t="shared" si="26"/>
        <v>#VALUE!</v>
      </c>
      <c r="AD9" s="97" t="e">
        <f t="shared" si="27"/>
        <v>#VALUE!</v>
      </c>
      <c r="AE9" s="417" t="e">
        <f t="shared" si="28"/>
        <v>#VALUE!</v>
      </c>
      <c r="AF9" s="550" t="str">
        <f t="shared" si="29"/>
        <v>0</v>
      </c>
      <c r="AG9" s="551">
        <f t="shared" ref="AG9:AI9" si="95">SUM(Z9,S9,S9,L9)</f>
        <v>0</v>
      </c>
      <c r="AH9" s="551">
        <f t="shared" si="95"/>
        <v>0</v>
      </c>
      <c r="AI9" s="551">
        <f t="shared" si="95"/>
        <v>0</v>
      </c>
      <c r="AJ9" s="551">
        <f t="shared" si="31"/>
        <v>0</v>
      </c>
      <c r="AK9" s="552" t="str">
        <f t="shared" si="72"/>
        <v/>
      </c>
      <c r="AL9" s="434" t="str">
        <f t="shared" si="33"/>
        <v/>
      </c>
      <c r="AM9" s="140">
        <f t="shared" si="34"/>
        <v>0</v>
      </c>
      <c r="AN9" s="123">
        <f t="shared" si="35"/>
        <v>0</v>
      </c>
      <c r="AO9" s="148">
        <f t="shared" si="36"/>
        <v>0</v>
      </c>
      <c r="AP9" s="434" t="str">
        <f t="shared" si="37"/>
        <v/>
      </c>
      <c r="AQ9" s="140">
        <f t="shared" si="38"/>
        <v>0</v>
      </c>
      <c r="AR9" s="326">
        <f t="shared" si="39"/>
        <v>0</v>
      </c>
      <c r="AS9" s="333">
        <f t="shared" si="40"/>
        <v>0</v>
      </c>
      <c r="AT9" s="125" t="str">
        <f t="shared" si="41"/>
        <v/>
      </c>
      <c r="AU9" s="140">
        <f t="shared" si="42"/>
        <v>0</v>
      </c>
      <c r="AV9" s="123">
        <f t="shared" si="43"/>
        <v>0</v>
      </c>
      <c r="AW9" s="125">
        <f t="shared" si="44"/>
        <v>0</v>
      </c>
      <c r="AX9" s="122">
        <f t="shared" ref="AX9:AZ9" si="96">AU9+AQ9+AM9</f>
        <v>0</v>
      </c>
      <c r="AY9" s="326">
        <f t="shared" si="96"/>
        <v>0</v>
      </c>
      <c r="AZ9" s="332">
        <f t="shared" si="96"/>
        <v>0</v>
      </c>
      <c r="BA9" s="140">
        <f t="shared" ref="BA9:BC9" si="97">AX9+AG9</f>
        <v>0</v>
      </c>
      <c r="BB9" s="326">
        <f t="shared" si="97"/>
        <v>0</v>
      </c>
      <c r="BC9" s="435">
        <f t="shared" si="97"/>
        <v>0</v>
      </c>
      <c r="BD9" s="123" t="str">
        <f t="shared" si="47"/>
        <v/>
      </c>
      <c r="BE9" s="123">
        <f t="shared" si="48"/>
        <v>0</v>
      </c>
      <c r="BF9" s="123">
        <f t="shared" si="49"/>
        <v>4935060.74</v>
      </c>
      <c r="BG9" s="148">
        <f t="shared" si="50"/>
        <v>4935060.74</v>
      </c>
      <c r="BH9" s="123" t="str">
        <f t="shared" si="51"/>
        <v/>
      </c>
      <c r="BI9" s="141">
        <f t="shared" si="52"/>
        <v>0</v>
      </c>
      <c r="BJ9" s="332">
        <f t="shared" si="53"/>
        <v>8531124.3699999992</v>
      </c>
      <c r="BK9" s="333">
        <f t="shared" si="54"/>
        <v>8531124.3699999992</v>
      </c>
      <c r="BL9" s="326" t="str">
        <f t="shared" si="55"/>
        <v/>
      </c>
      <c r="BM9" s="326">
        <f t="shared" si="56"/>
        <v>0</v>
      </c>
      <c r="BN9" s="326">
        <f t="shared" si="57"/>
        <v>3104735.68</v>
      </c>
      <c r="BO9" s="332">
        <f t="shared" si="58"/>
        <v>3104735.68</v>
      </c>
      <c r="BP9" s="140">
        <f t="shared" ref="BP9:BR9" si="98">SUM(BM9,BI9,BE9)</f>
        <v>0</v>
      </c>
      <c r="BQ9" s="326">
        <f t="shared" si="98"/>
        <v>16570920.789999999</v>
      </c>
      <c r="BR9" s="333">
        <f t="shared" si="98"/>
        <v>16570920.789999999</v>
      </c>
      <c r="BS9" s="125" t="str">
        <f t="shared" si="60"/>
        <v/>
      </c>
      <c r="BT9" s="140">
        <f t="shared" si="61"/>
        <v>0</v>
      </c>
      <c r="BU9" s="123">
        <f t="shared" si="62"/>
        <v>0</v>
      </c>
      <c r="BV9" s="148">
        <f t="shared" si="63"/>
        <v>0</v>
      </c>
      <c r="BW9" s="123" t="str">
        <f t="shared" si="64"/>
        <v/>
      </c>
      <c r="BX9" s="326" t="str">
        <f t="shared" si="65"/>
        <v/>
      </c>
      <c r="BY9" s="297"/>
      <c r="BZ9" s="553" t="s">
        <v>386</v>
      </c>
      <c r="CF9" s="294"/>
      <c r="CG9" s="294"/>
      <c r="CR9" s="294"/>
    </row>
    <row r="10" spans="1:96" ht="15.75" customHeight="1">
      <c r="A10" s="546">
        <f t="shared" si="0"/>
        <v>112013179</v>
      </c>
      <c r="B10" s="547">
        <f t="shared" si="1"/>
        <v>12</v>
      </c>
      <c r="C10" s="137">
        <f t="shared" si="2"/>
        <v>0.15</v>
      </c>
      <c r="D10" s="137">
        <f t="shared" si="3"/>
        <v>0.09</v>
      </c>
      <c r="E10" s="98">
        <f t="shared" si="4"/>
        <v>0</v>
      </c>
      <c r="F10" s="414">
        <f t="shared" si="5"/>
        <v>55</v>
      </c>
      <c r="G10" s="94">
        <f t="shared" si="6"/>
        <v>0.15</v>
      </c>
      <c r="H10" s="415">
        <f t="shared" si="7"/>
        <v>0.05</v>
      </c>
      <c r="I10" s="568" t="s">
        <v>387</v>
      </c>
      <c r="J10" s="436">
        <f t="shared" si="8"/>
        <v>2034530.1</v>
      </c>
      <c r="K10" s="141">
        <f t="shared" si="9"/>
        <v>3420146.8246050002</v>
      </c>
      <c r="L10" s="140">
        <f t="shared" si="10"/>
        <v>4084694.11</v>
      </c>
      <c r="M10" s="116">
        <f t="shared" si="11"/>
        <v>0</v>
      </c>
      <c r="N10" s="333">
        <f t="shared" si="12"/>
        <v>4084694.11</v>
      </c>
      <c r="O10" s="123">
        <f t="shared" si="13"/>
        <v>664547.28539499966</v>
      </c>
      <c r="P10" s="98">
        <f t="shared" si="14"/>
        <v>1.1943037300662522</v>
      </c>
      <c r="Q10" s="125">
        <f t="shared" si="15"/>
        <v>2609458.89</v>
      </c>
      <c r="R10" s="141">
        <f t="shared" si="84"/>
        <v>4725012.448595251</v>
      </c>
      <c r="S10" s="140">
        <f t="shared" si="17"/>
        <v>1486366.29</v>
      </c>
      <c r="T10" s="326">
        <f t="shared" si="18"/>
        <v>0</v>
      </c>
      <c r="U10" s="333">
        <f t="shared" si="19"/>
        <v>1486366.29</v>
      </c>
      <c r="V10" s="123">
        <f t="shared" si="20"/>
        <v>-3238646.1585952509</v>
      </c>
      <c r="W10" s="98">
        <f t="shared" si="21"/>
        <v>0.31457404740635075</v>
      </c>
      <c r="X10" s="123">
        <f t="shared" si="22"/>
        <v>1907442.37</v>
      </c>
      <c r="Y10" s="326">
        <f t="shared" si="89"/>
        <v>3195490.51640175</v>
      </c>
      <c r="Z10" s="116">
        <f t="shared" si="23"/>
        <v>4368466.5599999996</v>
      </c>
      <c r="AA10" s="561">
        <f t="shared" si="24"/>
        <v>0</v>
      </c>
      <c r="AB10" s="561">
        <f t="shared" si="25"/>
        <v>4368466.5599999996</v>
      </c>
      <c r="AC10" s="116">
        <f t="shared" si="26"/>
        <v>1172976.0435982496</v>
      </c>
      <c r="AD10" s="97">
        <f t="shared" si="27"/>
        <v>1.3670722969064129</v>
      </c>
      <c r="AE10" s="433">
        <f t="shared" si="28"/>
        <v>11340649.789602</v>
      </c>
      <c r="AF10" s="550">
        <f t="shared" si="29"/>
        <v>8485003.6999999993</v>
      </c>
      <c r="AG10" s="496">
        <f t="shared" ref="AG10:AI10" si="99">SUM(Z10,S10,S10,L10)</f>
        <v>11425893.25</v>
      </c>
      <c r="AH10" s="496">
        <f t="shared" si="99"/>
        <v>0</v>
      </c>
      <c r="AI10" s="496">
        <f t="shared" si="99"/>
        <v>11425893.25</v>
      </c>
      <c r="AJ10" s="551">
        <f t="shared" si="31"/>
        <v>2940889.5500000007</v>
      </c>
      <c r="AK10" s="552">
        <f t="shared" si="72"/>
        <v>1.3465984994208078</v>
      </c>
      <c r="AL10" s="434">
        <f t="shared" si="33"/>
        <v>2163914.6</v>
      </c>
      <c r="AM10" s="140">
        <f t="shared" si="34"/>
        <v>3595438.22</v>
      </c>
      <c r="AN10" s="123">
        <f t="shared" si="35"/>
        <v>0</v>
      </c>
      <c r="AO10" s="148">
        <f t="shared" si="36"/>
        <v>3595438.22</v>
      </c>
      <c r="AP10" s="434">
        <f t="shared" si="37"/>
        <v>2175270.54</v>
      </c>
      <c r="AQ10" s="140">
        <f t="shared" si="38"/>
        <v>2195131.8000000003</v>
      </c>
      <c r="AR10" s="326">
        <f t="shared" si="39"/>
        <v>8909.0499999999993</v>
      </c>
      <c r="AS10" s="333">
        <f t="shared" si="40"/>
        <v>2204040.85</v>
      </c>
      <c r="AT10" s="125">
        <f t="shared" si="41"/>
        <v>1850343.47</v>
      </c>
      <c r="AU10" s="140">
        <f t="shared" si="42"/>
        <v>2125910.2999999998</v>
      </c>
      <c r="AV10" s="123">
        <f t="shared" si="43"/>
        <v>0</v>
      </c>
      <c r="AW10" s="125">
        <f t="shared" si="44"/>
        <v>2125910.2999999998</v>
      </c>
      <c r="AX10" s="122">
        <f t="shared" ref="AX10:AZ10" si="100">AU10+AQ10+AM10</f>
        <v>7916480.3200000003</v>
      </c>
      <c r="AY10" s="326">
        <f t="shared" si="100"/>
        <v>8909.0499999999993</v>
      </c>
      <c r="AZ10" s="332">
        <f t="shared" si="100"/>
        <v>7925389.370000001</v>
      </c>
      <c r="BA10" s="140">
        <f t="shared" ref="BA10:BC10" si="101">AX10+AG10</f>
        <v>19342373.57</v>
      </c>
      <c r="BB10" s="326">
        <f t="shared" si="101"/>
        <v>8909.0499999999993</v>
      </c>
      <c r="BC10" s="435">
        <f t="shared" si="101"/>
        <v>19351282.620000001</v>
      </c>
      <c r="BD10" s="123">
        <f t="shared" si="47"/>
        <v>2118658.35</v>
      </c>
      <c r="BE10" s="123">
        <f t="shared" si="48"/>
        <v>2906098.18</v>
      </c>
      <c r="BF10" s="123">
        <f t="shared" si="49"/>
        <v>0</v>
      </c>
      <c r="BG10" s="148">
        <f t="shared" si="50"/>
        <v>2906098.18</v>
      </c>
      <c r="BH10" s="123">
        <f t="shared" si="51"/>
        <v>2216687.83</v>
      </c>
      <c r="BI10" s="141">
        <f t="shared" si="52"/>
        <v>2765660.68</v>
      </c>
      <c r="BJ10" s="332">
        <f t="shared" si="53"/>
        <v>0</v>
      </c>
      <c r="BK10" s="333">
        <f t="shared" si="54"/>
        <v>2765660.68</v>
      </c>
      <c r="BL10" s="326">
        <f t="shared" si="55"/>
        <v>2436871.66</v>
      </c>
      <c r="BM10" s="326">
        <f t="shared" si="56"/>
        <v>3333126.85</v>
      </c>
      <c r="BN10" s="326">
        <f t="shared" si="57"/>
        <v>0</v>
      </c>
      <c r="BO10" s="332">
        <f t="shared" si="58"/>
        <v>3333126.85</v>
      </c>
      <c r="BP10" s="140">
        <f t="shared" ref="BP10:BR10" si="102">SUM(BM10,BI10,BE10)</f>
        <v>9004885.7100000009</v>
      </c>
      <c r="BQ10" s="326">
        <f t="shared" si="102"/>
        <v>0</v>
      </c>
      <c r="BR10" s="333">
        <f t="shared" si="102"/>
        <v>9004885.7100000009</v>
      </c>
      <c r="BS10" s="125">
        <f t="shared" si="60"/>
        <v>3147117.3</v>
      </c>
      <c r="BT10" s="140">
        <f t="shared" si="61"/>
        <v>3103256.52</v>
      </c>
      <c r="BU10" s="123">
        <f t="shared" si="62"/>
        <v>0</v>
      </c>
      <c r="BV10" s="148">
        <f t="shared" si="63"/>
        <v>3103256.52</v>
      </c>
      <c r="BW10" s="123">
        <f t="shared" si="64"/>
        <v>3218676.15</v>
      </c>
      <c r="BX10" s="326">
        <f t="shared" si="65"/>
        <v>2119210.25</v>
      </c>
      <c r="BY10" s="297"/>
      <c r="BZ10" s="553" t="s">
        <v>388</v>
      </c>
      <c r="CA10" s="188"/>
      <c r="CB10" s="231" t="s">
        <v>78</v>
      </c>
      <c r="CC10" s="232"/>
      <c r="CD10" s="232"/>
      <c r="CF10" s="294"/>
      <c r="CG10" s="294"/>
      <c r="CR10" s="294"/>
    </row>
    <row r="11" spans="1:96" ht="15.75" customHeight="1">
      <c r="A11" s="546">
        <f t="shared" si="0"/>
        <v>112014548</v>
      </c>
      <c r="B11" s="547">
        <f t="shared" si="1"/>
        <v>9</v>
      </c>
      <c r="C11" s="137">
        <f t="shared" si="2"/>
        <v>0.12</v>
      </c>
      <c r="D11" s="137">
        <f t="shared" si="3"/>
        <v>0.23</v>
      </c>
      <c r="E11" s="98">
        <f t="shared" si="4"/>
        <v>0</v>
      </c>
      <c r="F11" s="414">
        <f t="shared" si="5"/>
        <v>57</v>
      </c>
      <c r="G11" s="94">
        <f t="shared" si="6"/>
        <v>0.12</v>
      </c>
      <c r="H11" s="415">
        <f t="shared" si="7"/>
        <v>0.14000000000000001</v>
      </c>
      <c r="I11" s="568" t="s">
        <v>389</v>
      </c>
      <c r="J11" s="436">
        <f t="shared" si="8"/>
        <v>0</v>
      </c>
      <c r="K11" s="141">
        <f t="shared" si="9"/>
        <v>0</v>
      </c>
      <c r="L11" s="140">
        <f t="shared" si="10"/>
        <v>430322.82000000007</v>
      </c>
      <c r="M11" s="116">
        <f t="shared" si="11"/>
        <v>1169937.98</v>
      </c>
      <c r="N11" s="333">
        <f t="shared" si="12"/>
        <v>1600260.8</v>
      </c>
      <c r="O11" s="123">
        <f t="shared" si="13"/>
        <v>1600260.8</v>
      </c>
      <c r="P11" s="98" t="str">
        <f t="shared" si="14"/>
        <v/>
      </c>
      <c r="Q11" s="125">
        <f t="shared" si="15"/>
        <v>0</v>
      </c>
      <c r="R11" s="251">
        <v>2500000</v>
      </c>
      <c r="S11" s="140">
        <f t="shared" si="17"/>
        <v>1447871.0499999998</v>
      </c>
      <c r="T11" s="326">
        <f t="shared" si="18"/>
        <v>1308169.71</v>
      </c>
      <c r="U11" s="333">
        <f t="shared" si="19"/>
        <v>2756040.76</v>
      </c>
      <c r="V11" s="123">
        <f t="shared" si="20"/>
        <v>256040.75999999978</v>
      </c>
      <c r="W11" s="98">
        <f t="shared" si="21"/>
        <v>1.1024163039999999</v>
      </c>
      <c r="X11" s="123">
        <f t="shared" si="22"/>
        <v>0</v>
      </c>
      <c r="Y11" s="585">
        <v>2500000</v>
      </c>
      <c r="Z11" s="116">
        <f t="shared" si="23"/>
        <v>3171685.83</v>
      </c>
      <c r="AA11" s="561">
        <f t="shared" si="24"/>
        <v>729182.76</v>
      </c>
      <c r="AB11" s="561">
        <f t="shared" si="25"/>
        <v>3900868.59</v>
      </c>
      <c r="AC11" s="116">
        <f t="shared" si="26"/>
        <v>1400868.5899999999</v>
      </c>
      <c r="AD11" s="97">
        <f t="shared" si="27"/>
        <v>1.560347436</v>
      </c>
      <c r="AE11" s="433">
        <f t="shared" si="28"/>
        <v>5000000</v>
      </c>
      <c r="AF11" s="550">
        <f t="shared" si="29"/>
        <v>5354929.13</v>
      </c>
      <c r="AG11" s="551">
        <f t="shared" ref="AG11:AI11" si="103">SUM(Z11,S11,S11,L11)</f>
        <v>6497750.75</v>
      </c>
      <c r="AH11" s="551">
        <f t="shared" si="103"/>
        <v>4515460.16</v>
      </c>
      <c r="AI11" s="551">
        <f t="shared" si="103"/>
        <v>11013210.91</v>
      </c>
      <c r="AJ11" s="551">
        <f t="shared" si="31"/>
        <v>5658281.7800000003</v>
      </c>
      <c r="AK11" s="552">
        <f t="shared" si="72"/>
        <v>2.0566492371113791</v>
      </c>
      <c r="AL11" s="434">
        <f t="shared" si="33"/>
        <v>0</v>
      </c>
      <c r="AM11" s="140">
        <f t="shared" si="34"/>
        <v>0</v>
      </c>
      <c r="AN11" s="123">
        <f t="shared" si="35"/>
        <v>861346.58</v>
      </c>
      <c r="AO11" s="148">
        <f t="shared" si="36"/>
        <v>861346.58</v>
      </c>
      <c r="AP11" s="434">
        <f t="shared" si="37"/>
        <v>0</v>
      </c>
      <c r="AQ11" s="140">
        <f t="shared" si="38"/>
        <v>0</v>
      </c>
      <c r="AR11" s="326">
        <f t="shared" si="39"/>
        <v>1849481.7</v>
      </c>
      <c r="AS11" s="333">
        <f t="shared" si="40"/>
        <v>1849481.7</v>
      </c>
      <c r="AT11" s="125">
        <f t="shared" si="41"/>
        <v>0</v>
      </c>
      <c r="AU11" s="586">
        <f t="shared" si="42"/>
        <v>49579.199999999953</v>
      </c>
      <c r="AV11" s="123">
        <f t="shared" si="43"/>
        <v>1258956.78</v>
      </c>
      <c r="AW11" s="125">
        <f t="shared" si="44"/>
        <v>1308535.98</v>
      </c>
      <c r="AX11" s="122">
        <f t="shared" ref="AX11:AZ11" si="104">AU11+AQ11+AM11</f>
        <v>49579.199999999953</v>
      </c>
      <c r="AY11" s="326">
        <f t="shared" si="104"/>
        <v>3969785.06</v>
      </c>
      <c r="AZ11" s="332">
        <f t="shared" si="104"/>
        <v>4019364.26</v>
      </c>
      <c r="BA11" s="140">
        <f t="shared" ref="BA11:BC11" si="105">AX11+AG11</f>
        <v>6547329.9500000002</v>
      </c>
      <c r="BB11" s="326">
        <f t="shared" si="105"/>
        <v>8485245.2200000007</v>
      </c>
      <c r="BC11" s="435">
        <f t="shared" si="105"/>
        <v>15032575.17</v>
      </c>
      <c r="BD11" s="123">
        <f t="shared" si="47"/>
        <v>0</v>
      </c>
      <c r="BE11" s="123">
        <f t="shared" si="48"/>
        <v>61851.319999999949</v>
      </c>
      <c r="BF11" s="123">
        <f t="shared" si="49"/>
        <v>960619.43</v>
      </c>
      <c r="BG11" s="148">
        <f t="shared" si="50"/>
        <v>1022470.75</v>
      </c>
      <c r="BH11" s="123">
        <f t="shared" si="51"/>
        <v>0</v>
      </c>
      <c r="BI11" s="141">
        <f t="shared" si="52"/>
        <v>141936.97999999998</v>
      </c>
      <c r="BJ11" s="332">
        <f t="shared" si="53"/>
        <v>1559969.49</v>
      </c>
      <c r="BK11" s="333">
        <f t="shared" si="54"/>
        <v>1701906.47</v>
      </c>
      <c r="BL11" s="326">
        <f t="shared" si="55"/>
        <v>1714697.14</v>
      </c>
      <c r="BM11" s="326">
        <f t="shared" si="56"/>
        <v>617102.6399999999</v>
      </c>
      <c r="BN11" s="326">
        <f t="shared" si="57"/>
        <v>740777.31</v>
      </c>
      <c r="BO11" s="332">
        <f t="shared" si="58"/>
        <v>1357879.95</v>
      </c>
      <c r="BP11" s="140">
        <f t="shared" ref="BP11:BR11" si="106">SUM(BM11,BI11,BE11)</f>
        <v>820890.93999999983</v>
      </c>
      <c r="BQ11" s="326">
        <f t="shared" si="106"/>
        <v>3261366.23</v>
      </c>
      <c r="BR11" s="333">
        <f t="shared" si="106"/>
        <v>4082257.17</v>
      </c>
      <c r="BS11" s="125">
        <f t="shared" si="60"/>
        <v>1349334.69</v>
      </c>
      <c r="BT11" s="140">
        <f t="shared" si="61"/>
        <v>759040.1399999999</v>
      </c>
      <c r="BU11" s="123">
        <f t="shared" si="62"/>
        <v>1548811.82</v>
      </c>
      <c r="BV11" s="148">
        <f t="shared" si="63"/>
        <v>2307851.96</v>
      </c>
      <c r="BW11" s="123">
        <f t="shared" si="64"/>
        <v>2180926.31</v>
      </c>
      <c r="BX11" s="326">
        <f t="shared" si="65"/>
        <v>1824668.13</v>
      </c>
      <c r="BY11" s="297"/>
      <c r="BZ11" s="553" t="s">
        <v>390</v>
      </c>
      <c r="CA11" s="188"/>
      <c r="CB11" s="231" t="s">
        <v>80</v>
      </c>
      <c r="CC11" s="231"/>
      <c r="CD11" s="231"/>
      <c r="CF11" s="294"/>
      <c r="CG11" s="294"/>
      <c r="CR11" s="294"/>
    </row>
    <row r="12" spans="1:96" ht="15.75" customHeight="1">
      <c r="A12" s="546">
        <f t="shared" si="0"/>
        <v>112013105</v>
      </c>
      <c r="B12" s="547">
        <f t="shared" si="1"/>
        <v>25</v>
      </c>
      <c r="C12" s="94">
        <f t="shared" si="2"/>
        <v>0.12</v>
      </c>
      <c r="D12" s="94">
        <f t="shared" si="3"/>
        <v>0.2</v>
      </c>
      <c r="E12" s="413">
        <f t="shared" si="4"/>
        <v>0</v>
      </c>
      <c r="F12" s="414">
        <f t="shared" si="5"/>
        <v>58</v>
      </c>
      <c r="G12" s="94">
        <f t="shared" si="6"/>
        <v>0.12</v>
      </c>
      <c r="H12" s="415">
        <f t="shared" si="7"/>
        <v>0.11</v>
      </c>
      <c r="I12" s="548" t="s">
        <v>391</v>
      </c>
      <c r="J12" s="420">
        <f t="shared" si="8"/>
        <v>3471533.85</v>
      </c>
      <c r="K12" s="416">
        <f t="shared" si="9"/>
        <v>5835821.9785425011</v>
      </c>
      <c r="L12" s="113">
        <f t="shared" si="10"/>
        <v>0</v>
      </c>
      <c r="M12" s="116">
        <f t="shared" si="11"/>
        <v>2390817.7599999998</v>
      </c>
      <c r="N12" s="117">
        <f t="shared" si="12"/>
        <v>2390817.7599999998</v>
      </c>
      <c r="O12" s="114">
        <f t="shared" si="13"/>
        <v>-3445004.2185425013</v>
      </c>
      <c r="P12" s="413">
        <f t="shared" si="14"/>
        <v>0.40967969358741602</v>
      </c>
      <c r="Q12" s="100">
        <f t="shared" si="15"/>
        <v>3322657.59</v>
      </c>
      <c r="R12" s="416">
        <f>(Q12*1.7245)*1.05</f>
        <v>6016419.1646527499</v>
      </c>
      <c r="S12" s="113">
        <f t="shared" si="17"/>
        <v>438891.20000000019</v>
      </c>
      <c r="T12" s="116">
        <f t="shared" si="18"/>
        <v>2706055.34</v>
      </c>
      <c r="U12" s="117">
        <f t="shared" si="19"/>
        <v>3144946.54</v>
      </c>
      <c r="V12" s="114">
        <f t="shared" si="20"/>
        <v>-2871472.6246527499</v>
      </c>
      <c r="W12" s="413">
        <f t="shared" si="21"/>
        <v>0.52272729906801918</v>
      </c>
      <c r="X12" s="114">
        <f t="shared" si="22"/>
        <v>4530475.12</v>
      </c>
      <c r="Y12" s="116">
        <f>(X12*1.5955)*1.05</f>
        <v>7589791.7066580001</v>
      </c>
      <c r="Z12" s="116">
        <f t="shared" si="23"/>
        <v>0</v>
      </c>
      <c r="AA12" s="549">
        <f t="shared" si="24"/>
        <v>539057.43999999994</v>
      </c>
      <c r="AB12" s="549">
        <f t="shared" si="25"/>
        <v>539057.43999999994</v>
      </c>
      <c r="AC12" s="116">
        <f t="shared" si="26"/>
        <v>-7050734.2666580006</v>
      </c>
      <c r="AD12" s="97">
        <f t="shared" si="27"/>
        <v>7.1024009727055096E-2</v>
      </c>
      <c r="AE12" s="417">
        <f t="shared" si="28"/>
        <v>19442032.849853251</v>
      </c>
      <c r="AF12" s="550">
        <f t="shared" si="29"/>
        <v>9341188.3399999999</v>
      </c>
      <c r="AG12" s="551">
        <f t="shared" ref="AG12:AI12" si="107">SUM(Z12,S12,S12,L12)</f>
        <v>877782.40000000037</v>
      </c>
      <c r="AH12" s="551">
        <f t="shared" si="107"/>
        <v>8341985.879999999</v>
      </c>
      <c r="AI12" s="551">
        <f t="shared" si="107"/>
        <v>9219768.2799999993</v>
      </c>
      <c r="AJ12" s="551">
        <f t="shared" si="31"/>
        <v>-121420.06000000052</v>
      </c>
      <c r="AK12" s="552">
        <f t="shared" si="72"/>
        <v>0.98700164737284368</v>
      </c>
      <c r="AL12" s="434">
        <f t="shared" si="33"/>
        <v>2609833.7200000002</v>
      </c>
      <c r="AM12" s="140">
        <f t="shared" si="34"/>
        <v>0</v>
      </c>
      <c r="AN12" s="123">
        <f t="shared" si="35"/>
        <v>5433329.2400000002</v>
      </c>
      <c r="AO12" s="148">
        <f t="shared" si="36"/>
        <v>5433329.2400000002</v>
      </c>
      <c r="AP12" s="434">
        <f t="shared" si="37"/>
        <v>2835294.25</v>
      </c>
      <c r="AQ12" s="140">
        <f t="shared" si="38"/>
        <v>335455.72000000067</v>
      </c>
      <c r="AR12" s="326">
        <f t="shared" si="39"/>
        <v>3884924.76</v>
      </c>
      <c r="AS12" s="333">
        <f t="shared" si="40"/>
        <v>4220380.4800000004</v>
      </c>
      <c r="AT12" s="125">
        <f t="shared" si="41"/>
        <v>2039625.9</v>
      </c>
      <c r="AU12" s="586">
        <f t="shared" si="42"/>
        <v>0</v>
      </c>
      <c r="AV12" s="123">
        <f t="shared" si="43"/>
        <v>5609886.1600000001</v>
      </c>
      <c r="AW12" s="125">
        <f t="shared" si="44"/>
        <v>5609886.1600000001</v>
      </c>
      <c r="AX12" s="122">
        <f t="shared" ref="AX12:AZ12" si="108">AU12+AQ12+AM12</f>
        <v>335455.72000000067</v>
      </c>
      <c r="AY12" s="326">
        <f t="shared" si="108"/>
        <v>14928140.16</v>
      </c>
      <c r="AZ12" s="332">
        <f t="shared" si="108"/>
        <v>15263595.880000001</v>
      </c>
      <c r="BA12" s="140">
        <f t="shared" ref="BA12:BC12" si="109">AX12+AG12</f>
        <v>1213238.120000001</v>
      </c>
      <c r="BB12" s="326">
        <f t="shared" si="109"/>
        <v>23270126.039999999</v>
      </c>
      <c r="BC12" s="435">
        <f t="shared" si="109"/>
        <v>24483364.16</v>
      </c>
      <c r="BD12" s="123">
        <f t="shared" si="47"/>
        <v>1661288.59</v>
      </c>
      <c r="BE12" s="123">
        <f t="shared" si="48"/>
        <v>0</v>
      </c>
      <c r="BF12" s="123">
        <f t="shared" si="49"/>
        <v>3391338.25</v>
      </c>
      <c r="BG12" s="148">
        <f t="shared" si="50"/>
        <v>3391338.25</v>
      </c>
      <c r="BH12" s="123">
        <f t="shared" si="51"/>
        <v>3112080</v>
      </c>
      <c r="BI12" s="141">
        <f t="shared" si="52"/>
        <v>0</v>
      </c>
      <c r="BJ12" s="332">
        <f t="shared" si="53"/>
        <v>4279697.13</v>
      </c>
      <c r="BK12" s="333">
        <f t="shared" si="54"/>
        <v>4279697.13</v>
      </c>
      <c r="BL12" s="326">
        <f t="shared" si="55"/>
        <v>975195.16</v>
      </c>
      <c r="BM12" s="326">
        <f t="shared" si="56"/>
        <v>0</v>
      </c>
      <c r="BN12" s="326">
        <f t="shared" si="57"/>
        <v>3416735.56</v>
      </c>
      <c r="BO12" s="332">
        <f t="shared" si="58"/>
        <v>3416735.56</v>
      </c>
      <c r="BP12" s="140">
        <f t="shared" ref="BP12:BR12" si="110">SUM(BM12,BI12,BE12)</f>
        <v>0</v>
      </c>
      <c r="BQ12" s="326">
        <f t="shared" si="110"/>
        <v>11087770.939999999</v>
      </c>
      <c r="BR12" s="333">
        <f t="shared" si="110"/>
        <v>11087770.939999999</v>
      </c>
      <c r="BS12" s="125">
        <f t="shared" si="60"/>
        <v>2051475.78</v>
      </c>
      <c r="BT12" s="140">
        <f t="shared" si="61"/>
        <v>0</v>
      </c>
      <c r="BU12" s="123">
        <f t="shared" si="62"/>
        <v>2594479.71</v>
      </c>
      <c r="BV12" s="148">
        <f t="shared" si="63"/>
        <v>2594479.71</v>
      </c>
      <c r="BW12" s="123">
        <f t="shared" si="64"/>
        <v>3369042.48</v>
      </c>
      <c r="BX12" s="326">
        <f t="shared" si="65"/>
        <v>3920670.07</v>
      </c>
      <c r="BY12" s="297"/>
      <c r="BZ12" s="553" t="s">
        <v>392</v>
      </c>
      <c r="CA12" s="188"/>
      <c r="CB12" s="231" t="s">
        <v>82</v>
      </c>
      <c r="CC12" s="232"/>
      <c r="CD12" s="232"/>
      <c r="CF12" s="294"/>
      <c r="CG12" s="294"/>
      <c r="CR12" s="294"/>
    </row>
    <row r="13" spans="1:96" ht="15.75" customHeight="1">
      <c r="A13" s="546">
        <f t="shared" si="0"/>
        <v>112013849</v>
      </c>
      <c r="B13" s="547">
        <f t="shared" si="1"/>
        <v>31</v>
      </c>
      <c r="C13" s="137">
        <f t="shared" si="2"/>
        <v>0.1</v>
      </c>
      <c r="D13" s="137">
        <f t="shared" si="3"/>
        <v>0.23</v>
      </c>
      <c r="E13" s="98">
        <f t="shared" si="4"/>
        <v>0</v>
      </c>
      <c r="F13" s="414">
        <f t="shared" si="5"/>
        <v>61</v>
      </c>
      <c r="G13" s="94">
        <f t="shared" si="6"/>
        <v>0.1</v>
      </c>
      <c r="H13" s="415">
        <f t="shared" si="7"/>
        <v>0.14000000000000001</v>
      </c>
      <c r="I13" s="568" t="s">
        <v>393</v>
      </c>
      <c r="J13" s="436">
        <f t="shared" si="8"/>
        <v>0</v>
      </c>
      <c r="K13" s="141">
        <f t="shared" si="9"/>
        <v>0</v>
      </c>
      <c r="L13" s="140" t="e">
        <f t="shared" si="10"/>
        <v>#VALUE!</v>
      </c>
      <c r="M13" s="116" t="str">
        <f t="shared" si="11"/>
        <v/>
      </c>
      <c r="N13" s="333" t="str">
        <f t="shared" si="12"/>
        <v/>
      </c>
      <c r="O13" s="123" t="e">
        <f t="shared" si="13"/>
        <v>#VALUE!</v>
      </c>
      <c r="P13" s="98" t="str">
        <f t="shared" si="14"/>
        <v/>
      </c>
      <c r="Q13" s="125">
        <f t="shared" si="15"/>
        <v>0</v>
      </c>
      <c r="R13" s="237">
        <v>1800000</v>
      </c>
      <c r="S13" s="140" t="e">
        <f t="shared" si="17"/>
        <v>#VALUE!</v>
      </c>
      <c r="T13" s="326" t="str">
        <f t="shared" si="18"/>
        <v/>
      </c>
      <c r="U13" s="333" t="str">
        <f t="shared" si="19"/>
        <v/>
      </c>
      <c r="V13" s="123" t="e">
        <f t="shared" si="20"/>
        <v>#VALUE!</v>
      </c>
      <c r="W13" s="98" t="e">
        <f t="shared" si="21"/>
        <v>#VALUE!</v>
      </c>
      <c r="X13" s="123">
        <f t="shared" si="22"/>
        <v>0</v>
      </c>
      <c r="Y13" s="587">
        <v>1800000</v>
      </c>
      <c r="Z13" s="116" t="e">
        <f t="shared" si="23"/>
        <v>#VALUE!</v>
      </c>
      <c r="AA13" s="561" t="str">
        <f t="shared" si="24"/>
        <v/>
      </c>
      <c r="AB13" s="561" t="str">
        <f t="shared" si="25"/>
        <v/>
      </c>
      <c r="AC13" s="116" t="e">
        <f t="shared" si="26"/>
        <v>#VALUE!</v>
      </c>
      <c r="AD13" s="97" t="e">
        <f t="shared" si="27"/>
        <v>#VALUE!</v>
      </c>
      <c r="AE13" s="433">
        <f t="shared" si="28"/>
        <v>3600000</v>
      </c>
      <c r="AF13" s="550" t="str">
        <f t="shared" si="29"/>
        <v>0</v>
      </c>
      <c r="AG13" s="551" t="e">
        <f t="shared" ref="AG13:AI13" si="111">SUM(Z13,S13,S13,L13)</f>
        <v>#VALUE!</v>
      </c>
      <c r="AH13" s="551">
        <f t="shared" si="111"/>
        <v>0</v>
      </c>
      <c r="AI13" s="551">
        <f t="shared" si="111"/>
        <v>0</v>
      </c>
      <c r="AJ13" s="551">
        <f t="shared" si="31"/>
        <v>0</v>
      </c>
      <c r="AK13" s="552" t="str">
        <f t="shared" si="72"/>
        <v/>
      </c>
      <c r="AL13" s="434">
        <f t="shared" si="33"/>
        <v>7385323.5999999996</v>
      </c>
      <c r="AM13" s="140" t="e">
        <f t="shared" si="34"/>
        <v>#VALUE!</v>
      </c>
      <c r="AN13" s="123" t="str">
        <f t="shared" si="35"/>
        <v/>
      </c>
      <c r="AO13" s="148" t="str">
        <f t="shared" si="36"/>
        <v/>
      </c>
      <c r="AP13" s="434">
        <f t="shared" si="37"/>
        <v>0</v>
      </c>
      <c r="AQ13" s="140" t="e">
        <f t="shared" si="38"/>
        <v>#VALUE!</v>
      </c>
      <c r="AR13" s="326" t="str">
        <f t="shared" si="39"/>
        <v/>
      </c>
      <c r="AS13" s="333" t="str">
        <f t="shared" si="40"/>
        <v/>
      </c>
      <c r="AT13" s="125">
        <f t="shared" si="41"/>
        <v>384635.25</v>
      </c>
      <c r="AU13" s="140" t="e">
        <f t="shared" si="42"/>
        <v>#VALUE!</v>
      </c>
      <c r="AV13" s="123" t="str">
        <f t="shared" si="43"/>
        <v/>
      </c>
      <c r="AW13" s="125" t="str">
        <f t="shared" si="44"/>
        <v/>
      </c>
      <c r="AX13" s="122" t="e">
        <f t="shared" ref="AX13:AZ13" si="112">AU13+AQ13+AM13</f>
        <v>#VALUE!</v>
      </c>
      <c r="AY13" s="326" t="e">
        <f t="shared" si="112"/>
        <v>#VALUE!</v>
      </c>
      <c r="AZ13" s="332" t="e">
        <f t="shared" si="112"/>
        <v>#VALUE!</v>
      </c>
      <c r="BA13" s="140" t="e">
        <f t="shared" ref="BA13:BC13" si="113">AX13+AG13</f>
        <v>#VALUE!</v>
      </c>
      <c r="BB13" s="326" t="e">
        <f t="shared" si="113"/>
        <v>#VALUE!</v>
      </c>
      <c r="BC13" s="435" t="e">
        <f t="shared" si="113"/>
        <v>#VALUE!</v>
      </c>
      <c r="BD13" s="123">
        <f t="shared" si="47"/>
        <v>3592752.3</v>
      </c>
      <c r="BE13" s="123" t="e">
        <f t="shared" si="48"/>
        <v>#VALUE!</v>
      </c>
      <c r="BF13" s="123" t="str">
        <f t="shared" si="49"/>
        <v/>
      </c>
      <c r="BG13" s="148" t="str">
        <f t="shared" si="50"/>
        <v/>
      </c>
      <c r="BH13" s="123">
        <f t="shared" si="51"/>
        <v>6600546.75</v>
      </c>
      <c r="BI13" s="141" t="e">
        <f t="shared" si="52"/>
        <v>#VALUE!</v>
      </c>
      <c r="BJ13" s="332" t="str">
        <f t="shared" si="53"/>
        <v/>
      </c>
      <c r="BK13" s="333" t="str">
        <f t="shared" si="54"/>
        <v/>
      </c>
      <c r="BL13" s="326">
        <f t="shared" si="55"/>
        <v>7433120.25</v>
      </c>
      <c r="BM13" s="326" t="e">
        <f t="shared" si="56"/>
        <v>#VALUE!</v>
      </c>
      <c r="BN13" s="326" t="str">
        <f t="shared" si="57"/>
        <v/>
      </c>
      <c r="BO13" s="332" t="str">
        <f t="shared" si="58"/>
        <v/>
      </c>
      <c r="BP13" s="140" t="e">
        <f t="shared" ref="BP13:BR13" si="114">SUM(BM13,BI13,BE13)</f>
        <v>#VALUE!</v>
      </c>
      <c r="BQ13" s="326">
        <f t="shared" si="114"/>
        <v>0</v>
      </c>
      <c r="BR13" s="333">
        <f t="shared" si="114"/>
        <v>0</v>
      </c>
      <c r="BS13" s="125">
        <f t="shared" si="60"/>
        <v>0</v>
      </c>
      <c r="BT13" s="140" t="e">
        <f t="shared" si="61"/>
        <v>#VALUE!</v>
      </c>
      <c r="BU13" s="123" t="str">
        <f t="shared" si="62"/>
        <v/>
      </c>
      <c r="BV13" s="148" t="str">
        <f t="shared" si="63"/>
        <v/>
      </c>
      <c r="BW13" s="123">
        <f t="shared" si="64"/>
        <v>0</v>
      </c>
      <c r="BX13" s="326">
        <f t="shared" si="65"/>
        <v>0</v>
      </c>
      <c r="BY13" s="297"/>
      <c r="BZ13" s="553"/>
      <c r="CA13" s="188"/>
      <c r="CB13" s="231" t="s">
        <v>84</v>
      </c>
      <c r="CC13" s="231"/>
      <c r="CD13" s="231"/>
      <c r="CF13" s="294"/>
      <c r="CG13" s="294"/>
      <c r="CR13" s="294"/>
    </row>
    <row r="14" spans="1:96" ht="15.75" customHeight="1">
      <c r="A14" s="546">
        <f t="shared" si="0"/>
        <v>112013032</v>
      </c>
      <c r="B14" s="547">
        <f t="shared" si="1"/>
        <v>31</v>
      </c>
      <c r="C14" s="137">
        <f t="shared" si="2"/>
        <v>0.1</v>
      </c>
      <c r="D14" s="137">
        <f t="shared" si="3"/>
        <v>0.23</v>
      </c>
      <c r="E14" s="98">
        <f t="shared" si="4"/>
        <v>0</v>
      </c>
      <c r="F14" s="414">
        <f t="shared" si="5"/>
        <v>61</v>
      </c>
      <c r="G14" s="94">
        <f t="shared" si="6"/>
        <v>0.1</v>
      </c>
      <c r="H14" s="415">
        <f t="shared" si="7"/>
        <v>0.14000000000000001</v>
      </c>
      <c r="I14" s="423" t="s">
        <v>394</v>
      </c>
      <c r="J14" s="436" t="str">
        <f t="shared" si="8"/>
        <v/>
      </c>
      <c r="K14" s="141" t="e">
        <f t="shared" si="9"/>
        <v>#VALUE!</v>
      </c>
      <c r="L14" s="140">
        <f t="shared" si="10"/>
        <v>0</v>
      </c>
      <c r="M14" s="116">
        <f t="shared" si="11"/>
        <v>0</v>
      </c>
      <c r="N14" s="333">
        <f t="shared" si="12"/>
        <v>0</v>
      </c>
      <c r="O14" s="123" t="e">
        <f t="shared" si="13"/>
        <v>#VALUE!</v>
      </c>
      <c r="P14" s="98" t="str">
        <f t="shared" si="14"/>
        <v/>
      </c>
      <c r="Q14" s="125" t="str">
        <f t="shared" si="15"/>
        <v/>
      </c>
      <c r="R14" s="141" t="e">
        <f t="shared" ref="R14:R15" si="115">(Q14*1.7245)*1.05</f>
        <v>#VALUE!</v>
      </c>
      <c r="S14" s="140">
        <f t="shared" si="17"/>
        <v>1327652.72</v>
      </c>
      <c r="T14" s="326">
        <f t="shared" si="18"/>
        <v>0</v>
      </c>
      <c r="U14" s="333">
        <f t="shared" si="19"/>
        <v>1327652.72</v>
      </c>
      <c r="V14" s="123" t="e">
        <f t="shared" si="20"/>
        <v>#VALUE!</v>
      </c>
      <c r="W14" s="98" t="str">
        <f>IFERROR(U14/R14,"")</f>
        <v/>
      </c>
      <c r="X14" s="123" t="str">
        <f t="shared" si="22"/>
        <v/>
      </c>
      <c r="Y14" s="587">
        <v>1800000</v>
      </c>
      <c r="Z14" s="116">
        <f t="shared" si="23"/>
        <v>752060.33</v>
      </c>
      <c r="AA14" s="561">
        <f t="shared" si="24"/>
        <v>0</v>
      </c>
      <c r="AB14" s="561">
        <f t="shared" si="25"/>
        <v>752060.33</v>
      </c>
      <c r="AC14" s="116">
        <f t="shared" si="26"/>
        <v>-1047939.67</v>
      </c>
      <c r="AD14" s="97">
        <f t="shared" si="27"/>
        <v>0.41781129444444443</v>
      </c>
      <c r="AE14" s="433" t="e">
        <f t="shared" si="28"/>
        <v>#VALUE!</v>
      </c>
      <c r="AF14" s="550" t="str">
        <f t="shared" si="29"/>
        <v>0</v>
      </c>
      <c r="AG14" s="496">
        <f t="shared" ref="AG14:AI14" si="116">SUM(Z14,S14,S14,L14)</f>
        <v>3407365.7699999996</v>
      </c>
      <c r="AH14" s="496">
        <f t="shared" si="116"/>
        <v>0</v>
      </c>
      <c r="AI14" s="496">
        <f t="shared" si="116"/>
        <v>3407365.7699999996</v>
      </c>
      <c r="AJ14" s="551">
        <f t="shared" si="31"/>
        <v>3407365.7699999996</v>
      </c>
      <c r="AK14" s="552" t="str">
        <f t="shared" si="72"/>
        <v/>
      </c>
      <c r="AL14" s="434" t="str">
        <f t="shared" si="33"/>
        <v/>
      </c>
      <c r="AM14" s="140">
        <f t="shared" si="34"/>
        <v>1459972.2200000002</v>
      </c>
      <c r="AN14" s="123">
        <f t="shared" si="35"/>
        <v>1255593.42</v>
      </c>
      <c r="AO14" s="148">
        <f t="shared" si="36"/>
        <v>2715565.64</v>
      </c>
      <c r="AP14" s="434" t="str">
        <f t="shared" si="37"/>
        <v/>
      </c>
      <c r="AQ14" s="140">
        <f t="shared" si="38"/>
        <v>0</v>
      </c>
      <c r="AR14" s="326">
        <f t="shared" si="39"/>
        <v>2263300.58</v>
      </c>
      <c r="AS14" s="333">
        <f t="shared" si="40"/>
        <v>2263300.58</v>
      </c>
      <c r="AT14" s="125" t="str">
        <f t="shared" si="41"/>
        <v/>
      </c>
      <c r="AU14" s="140">
        <f t="shared" si="42"/>
        <v>0</v>
      </c>
      <c r="AV14" s="123">
        <f t="shared" si="43"/>
        <v>3734446.23</v>
      </c>
      <c r="AW14" s="125">
        <f t="shared" si="44"/>
        <v>3734446.23</v>
      </c>
      <c r="AX14" s="122">
        <f t="shared" ref="AX14:AZ14" si="117">AU14+AQ14+AM14</f>
        <v>1459972.2200000002</v>
      </c>
      <c r="AY14" s="326">
        <f t="shared" si="117"/>
        <v>7253340.2300000004</v>
      </c>
      <c r="AZ14" s="332">
        <f t="shared" si="117"/>
        <v>8713312.4500000011</v>
      </c>
      <c r="BA14" s="140">
        <f t="shared" ref="BA14:BC14" si="118">AX14+AG14</f>
        <v>4867337.99</v>
      </c>
      <c r="BB14" s="326">
        <f t="shared" si="118"/>
        <v>7253340.2300000004</v>
      </c>
      <c r="BC14" s="435">
        <f t="shared" si="118"/>
        <v>12120678.220000001</v>
      </c>
      <c r="BD14" s="123" t="str">
        <f t="shared" si="47"/>
        <v/>
      </c>
      <c r="BE14" s="123">
        <f t="shared" si="48"/>
        <v>0</v>
      </c>
      <c r="BF14" s="123">
        <f t="shared" si="49"/>
        <v>3017734.11</v>
      </c>
      <c r="BG14" s="148">
        <f t="shared" si="50"/>
        <v>3017734.11</v>
      </c>
      <c r="BH14" s="123" t="str">
        <f t="shared" si="51"/>
        <v/>
      </c>
      <c r="BI14" s="141">
        <f t="shared" si="52"/>
        <v>0</v>
      </c>
      <c r="BJ14" s="332">
        <f t="shared" si="53"/>
        <v>3017734.19</v>
      </c>
      <c r="BK14" s="333">
        <f t="shared" si="54"/>
        <v>3017734.19</v>
      </c>
      <c r="BL14" s="326" t="str">
        <f t="shared" si="55"/>
        <v/>
      </c>
      <c r="BM14" s="326">
        <f t="shared" si="56"/>
        <v>0</v>
      </c>
      <c r="BN14" s="326">
        <f t="shared" si="57"/>
        <v>0</v>
      </c>
      <c r="BO14" s="332">
        <f t="shared" si="58"/>
        <v>0</v>
      </c>
      <c r="BP14" s="140">
        <f t="shared" ref="BP14:BR14" si="119">SUM(BM14,BI14,BE14)</f>
        <v>0</v>
      </c>
      <c r="BQ14" s="326">
        <f t="shared" si="119"/>
        <v>6035468.2999999998</v>
      </c>
      <c r="BR14" s="333">
        <f t="shared" si="119"/>
        <v>6035468.2999999998</v>
      </c>
      <c r="BS14" s="125" t="str">
        <f t="shared" si="60"/>
        <v/>
      </c>
      <c r="BT14" s="140">
        <f t="shared" si="61"/>
        <v>0</v>
      </c>
      <c r="BU14" s="123">
        <f t="shared" si="62"/>
        <v>0</v>
      </c>
      <c r="BV14" s="148">
        <f t="shared" si="63"/>
        <v>0</v>
      </c>
      <c r="BW14" s="123" t="str">
        <f t="shared" si="64"/>
        <v/>
      </c>
      <c r="BX14" s="326" t="str">
        <f t="shared" si="65"/>
        <v/>
      </c>
      <c r="BY14" s="297"/>
      <c r="BZ14" s="553"/>
      <c r="CA14" s="188"/>
      <c r="CB14" s="231" t="s">
        <v>86</v>
      </c>
      <c r="CC14" s="232"/>
      <c r="CD14" s="232"/>
      <c r="CF14" s="294"/>
      <c r="CG14" s="294"/>
      <c r="CR14" s="294"/>
    </row>
    <row r="15" spans="1:96" ht="15.75" customHeight="1">
      <c r="A15" s="546">
        <f t="shared" si="0"/>
        <v>112014272</v>
      </c>
      <c r="B15" s="547">
        <f t="shared" si="1"/>
        <v>40</v>
      </c>
      <c r="C15" s="558">
        <f t="shared" si="2"/>
        <v>0.1</v>
      </c>
      <c r="D15" s="558">
        <f t="shared" si="3"/>
        <v>0.26</v>
      </c>
      <c r="E15" s="559">
        <f t="shared" si="4"/>
        <v>0</v>
      </c>
      <c r="F15" s="414">
        <f t="shared" si="5"/>
        <v>60</v>
      </c>
      <c r="G15" s="94">
        <f t="shared" si="6"/>
        <v>0.1</v>
      </c>
      <c r="H15" s="415">
        <f t="shared" si="7"/>
        <v>0.17</v>
      </c>
      <c r="I15" s="560" t="s">
        <v>395</v>
      </c>
      <c r="J15" s="436">
        <f t="shared" si="8"/>
        <v>1726135.75</v>
      </c>
      <c r="K15" s="141">
        <f t="shared" si="9"/>
        <v>2901720.5025375001</v>
      </c>
      <c r="L15" s="140" t="e">
        <f t="shared" si="10"/>
        <v>#VALUE!</v>
      </c>
      <c r="M15" s="116" t="str">
        <f t="shared" si="11"/>
        <v/>
      </c>
      <c r="N15" s="333">
        <f t="shared" si="12"/>
        <v>5974812.29</v>
      </c>
      <c r="O15" s="123">
        <f t="shared" si="13"/>
        <v>3073091.7874624999</v>
      </c>
      <c r="P15" s="98">
        <f t="shared" si="14"/>
        <v>2.0590585084866508</v>
      </c>
      <c r="Q15" s="125">
        <f t="shared" si="15"/>
        <v>1905058.16</v>
      </c>
      <c r="R15" s="141">
        <f t="shared" si="115"/>
        <v>3449536.436766</v>
      </c>
      <c r="S15" s="140" t="e">
        <f t="shared" si="17"/>
        <v>#VALUE!</v>
      </c>
      <c r="T15" s="326" t="str">
        <f t="shared" si="18"/>
        <v/>
      </c>
      <c r="U15" s="333">
        <f t="shared" si="19"/>
        <v>1623793.91</v>
      </c>
      <c r="V15" s="123">
        <f t="shared" si="20"/>
        <v>-1825742.5267660001</v>
      </c>
      <c r="W15" s="98">
        <f t="shared" ref="W15:W37" si="120">U15/R15</f>
        <v>0.47072815138092433</v>
      </c>
      <c r="X15" s="123">
        <f t="shared" si="22"/>
        <v>5887247.79</v>
      </c>
      <c r="Y15" s="326">
        <f>(X15*1.5955)*1.05</f>
        <v>9862759.04139225</v>
      </c>
      <c r="Z15" s="116" t="e">
        <f t="shared" si="23"/>
        <v>#VALUE!</v>
      </c>
      <c r="AA15" s="561" t="str">
        <f t="shared" si="24"/>
        <v/>
      </c>
      <c r="AB15" s="561">
        <f t="shared" si="25"/>
        <v>2610154.9300000002</v>
      </c>
      <c r="AC15" s="116">
        <f t="shared" si="26"/>
        <v>-7252604.1113922503</v>
      </c>
      <c r="AD15" s="97">
        <f t="shared" si="27"/>
        <v>0.2646475412250916</v>
      </c>
      <c r="AE15" s="433">
        <f t="shared" si="28"/>
        <v>16214015.980695751</v>
      </c>
      <c r="AF15" s="550">
        <f t="shared" si="29"/>
        <v>4284660.96</v>
      </c>
      <c r="AG15" s="496" t="e">
        <f t="shared" ref="AG15:AI15" si="121">SUM(Z15,S15,S15,L15)</f>
        <v>#VALUE!</v>
      </c>
      <c r="AH15" s="496">
        <f t="shared" si="121"/>
        <v>0</v>
      </c>
      <c r="AI15" s="496">
        <f t="shared" si="121"/>
        <v>11832555.039999999</v>
      </c>
      <c r="AJ15" s="551">
        <f t="shared" si="31"/>
        <v>7547894.0799999991</v>
      </c>
      <c r="AK15" s="552">
        <f t="shared" si="72"/>
        <v>2.7616082463616909</v>
      </c>
      <c r="AL15" s="434">
        <f t="shared" si="33"/>
        <v>6932356.79</v>
      </c>
      <c r="AM15" s="140" t="e">
        <f t="shared" si="34"/>
        <v>#VALUE!</v>
      </c>
      <c r="AN15" s="123" t="str">
        <f t="shared" si="35"/>
        <v/>
      </c>
      <c r="AO15" s="148">
        <f t="shared" si="36"/>
        <v>0</v>
      </c>
      <c r="AP15" s="434">
        <f t="shared" si="37"/>
        <v>0</v>
      </c>
      <c r="AQ15" s="140" t="e">
        <f t="shared" si="38"/>
        <v>#VALUE!</v>
      </c>
      <c r="AR15" s="326" t="str">
        <f t="shared" si="39"/>
        <v/>
      </c>
      <c r="AS15" s="333">
        <f t="shared" si="40"/>
        <v>1438504.25</v>
      </c>
      <c r="AT15" s="125">
        <f t="shared" si="41"/>
        <v>2415371.19</v>
      </c>
      <c r="AU15" s="140" t="e">
        <f t="shared" si="42"/>
        <v>#VALUE!</v>
      </c>
      <c r="AV15" s="123" t="str">
        <f t="shared" si="43"/>
        <v/>
      </c>
      <c r="AW15" s="125">
        <f t="shared" si="44"/>
        <v>0</v>
      </c>
      <c r="AX15" s="122" t="e">
        <f t="shared" ref="AX15:AZ15" si="122">AU15+AQ15+AM15</f>
        <v>#VALUE!</v>
      </c>
      <c r="AY15" s="326" t="e">
        <f t="shared" si="122"/>
        <v>#VALUE!</v>
      </c>
      <c r="AZ15" s="332">
        <f t="shared" si="122"/>
        <v>1438504.25</v>
      </c>
      <c r="BA15" s="140" t="e">
        <f t="shared" ref="BA15:BC15" si="123">AX15+AG15</f>
        <v>#VALUE!</v>
      </c>
      <c r="BB15" s="326" t="e">
        <f t="shared" si="123"/>
        <v>#VALUE!</v>
      </c>
      <c r="BC15" s="435">
        <f t="shared" si="123"/>
        <v>13271059.289999999</v>
      </c>
      <c r="BD15" s="123">
        <f t="shared" si="47"/>
        <v>3418798</v>
      </c>
      <c r="BE15" s="123" t="e">
        <f t="shared" si="48"/>
        <v>#VALUE!</v>
      </c>
      <c r="BF15" s="123" t="str">
        <f t="shared" si="49"/>
        <v/>
      </c>
      <c r="BG15" s="148">
        <f t="shared" si="50"/>
        <v>48463.9</v>
      </c>
      <c r="BH15" s="123">
        <f t="shared" si="51"/>
        <v>2773649.63</v>
      </c>
      <c r="BI15" s="141" t="e">
        <f t="shared" si="52"/>
        <v>#VALUE!</v>
      </c>
      <c r="BJ15" s="332" t="str">
        <f t="shared" si="53"/>
        <v/>
      </c>
      <c r="BK15" s="333">
        <f t="shared" si="54"/>
        <v>4157196.56</v>
      </c>
      <c r="BL15" s="326">
        <f t="shared" si="55"/>
        <v>5189137.38</v>
      </c>
      <c r="BM15" s="326" t="e">
        <f t="shared" si="56"/>
        <v>#VALUE!</v>
      </c>
      <c r="BN15" s="326" t="str">
        <f t="shared" si="57"/>
        <v/>
      </c>
      <c r="BO15" s="332">
        <f t="shared" si="58"/>
        <v>0.78</v>
      </c>
      <c r="BP15" s="140" t="e">
        <f t="shared" ref="BP15:BR15" si="124">SUM(BM15,BI15,BE15)</f>
        <v>#VALUE!</v>
      </c>
      <c r="BQ15" s="326">
        <f t="shared" si="124"/>
        <v>0</v>
      </c>
      <c r="BR15" s="333">
        <f t="shared" si="124"/>
        <v>4205661.24</v>
      </c>
      <c r="BS15" s="125">
        <f t="shared" si="60"/>
        <v>1854144.22</v>
      </c>
      <c r="BT15" s="140" t="e">
        <f t="shared" si="61"/>
        <v>#VALUE!</v>
      </c>
      <c r="BU15" s="123" t="str">
        <f t="shared" si="62"/>
        <v/>
      </c>
      <c r="BV15" s="148">
        <f t="shared" si="63"/>
        <v>8736825.7599999998</v>
      </c>
      <c r="BW15" s="123">
        <f t="shared" si="64"/>
        <v>1793178.5</v>
      </c>
      <c r="BX15" s="326">
        <f t="shared" si="65"/>
        <v>637338.24</v>
      </c>
      <c r="BY15" s="297"/>
      <c r="BZ15" s="553" t="s">
        <v>396</v>
      </c>
      <c r="CA15" s="188"/>
      <c r="CB15" s="231" t="s">
        <v>88</v>
      </c>
      <c r="CC15" s="231"/>
      <c r="CD15" s="231"/>
      <c r="CF15" s="294"/>
      <c r="CG15" s="294"/>
      <c r="CR15" s="294"/>
    </row>
    <row r="16" spans="1:96" ht="15.75" customHeight="1">
      <c r="A16" s="546">
        <f t="shared" si="0"/>
        <v>112014451</v>
      </c>
      <c r="B16" s="547">
        <f t="shared" si="1"/>
        <v>31</v>
      </c>
      <c r="C16" s="137">
        <f t="shared" si="2"/>
        <v>0.1</v>
      </c>
      <c r="D16" s="137">
        <f t="shared" si="3"/>
        <v>0.23</v>
      </c>
      <c r="E16" s="98">
        <f t="shared" si="4"/>
        <v>0</v>
      </c>
      <c r="F16" s="414">
        <f t="shared" si="5"/>
        <v>61</v>
      </c>
      <c r="G16" s="94">
        <f t="shared" si="6"/>
        <v>0.1</v>
      </c>
      <c r="H16" s="415">
        <f t="shared" si="7"/>
        <v>0.14000000000000001</v>
      </c>
      <c r="I16" s="568" t="s">
        <v>397</v>
      </c>
      <c r="J16" s="436">
        <f t="shared" si="8"/>
        <v>0</v>
      </c>
      <c r="K16" s="141">
        <f t="shared" si="9"/>
        <v>0</v>
      </c>
      <c r="L16" s="140">
        <f t="shared" si="10"/>
        <v>0</v>
      </c>
      <c r="M16" s="116">
        <f t="shared" si="11"/>
        <v>1370418.13</v>
      </c>
      <c r="N16" s="333">
        <f t="shared" si="12"/>
        <v>1370418.13</v>
      </c>
      <c r="O16" s="123">
        <f t="shared" si="13"/>
        <v>1370418.13</v>
      </c>
      <c r="P16" s="98" t="str">
        <f t="shared" si="14"/>
        <v/>
      </c>
      <c r="Q16" s="125">
        <f t="shared" si="15"/>
        <v>0</v>
      </c>
      <c r="R16" s="237">
        <v>1800000</v>
      </c>
      <c r="S16" s="140">
        <f t="shared" si="17"/>
        <v>0</v>
      </c>
      <c r="T16" s="326">
        <f t="shared" si="18"/>
        <v>1369944.35</v>
      </c>
      <c r="U16" s="333">
        <f t="shared" si="19"/>
        <v>1369944.35</v>
      </c>
      <c r="V16" s="123">
        <f t="shared" si="20"/>
        <v>-430055.64999999991</v>
      </c>
      <c r="W16" s="98">
        <f t="shared" si="120"/>
        <v>0.76108019444444452</v>
      </c>
      <c r="X16" s="123">
        <f t="shared" si="22"/>
        <v>0</v>
      </c>
      <c r="Y16" s="587">
        <v>1800000</v>
      </c>
      <c r="Z16" s="116">
        <f t="shared" si="23"/>
        <v>0</v>
      </c>
      <c r="AA16" s="561">
        <f t="shared" si="24"/>
        <v>1491613.12</v>
      </c>
      <c r="AB16" s="561">
        <f t="shared" si="25"/>
        <v>1491613.12</v>
      </c>
      <c r="AC16" s="116">
        <f t="shared" si="26"/>
        <v>-308386.87999999989</v>
      </c>
      <c r="AD16" s="97">
        <f t="shared" si="27"/>
        <v>0.82867395555555556</v>
      </c>
      <c r="AE16" s="433">
        <f t="shared" si="28"/>
        <v>3600000</v>
      </c>
      <c r="AF16" s="550">
        <f t="shared" si="29"/>
        <v>3999418.5</v>
      </c>
      <c r="AG16" s="496">
        <f t="shared" ref="AG16:AI16" si="125">SUM(Z16,S16,S16,L16)</f>
        <v>0</v>
      </c>
      <c r="AH16" s="496">
        <f t="shared" si="125"/>
        <v>5601919.9500000002</v>
      </c>
      <c r="AI16" s="496">
        <f t="shared" si="125"/>
        <v>5601919.9500000002</v>
      </c>
      <c r="AJ16" s="551">
        <f t="shared" si="31"/>
        <v>1602501.4500000002</v>
      </c>
      <c r="AK16" s="552">
        <f t="shared" si="72"/>
        <v>1.4006836118800772</v>
      </c>
      <c r="AL16" s="434">
        <f t="shared" si="33"/>
        <v>0</v>
      </c>
      <c r="AM16" s="140">
        <f t="shared" si="34"/>
        <v>0</v>
      </c>
      <c r="AN16" s="123">
        <f t="shared" si="35"/>
        <v>1157414.3400000001</v>
      </c>
      <c r="AO16" s="148">
        <f t="shared" si="36"/>
        <v>1157414.3400000001</v>
      </c>
      <c r="AP16" s="434">
        <f t="shared" si="37"/>
        <v>2265715.5</v>
      </c>
      <c r="AQ16" s="140">
        <f t="shared" si="38"/>
        <v>0</v>
      </c>
      <c r="AR16" s="326">
        <f t="shared" si="39"/>
        <v>0</v>
      </c>
      <c r="AS16" s="333">
        <f t="shared" si="40"/>
        <v>0</v>
      </c>
      <c r="AT16" s="125">
        <f t="shared" si="41"/>
        <v>0</v>
      </c>
      <c r="AU16" s="140">
        <f t="shared" si="42"/>
        <v>0</v>
      </c>
      <c r="AV16" s="123">
        <f t="shared" si="43"/>
        <v>0</v>
      </c>
      <c r="AW16" s="125">
        <f t="shared" si="44"/>
        <v>0</v>
      </c>
      <c r="AX16" s="122">
        <f t="shared" ref="AX16:AZ16" si="126">AU16+AQ16+AM16</f>
        <v>0</v>
      </c>
      <c r="AY16" s="326">
        <f t="shared" si="126"/>
        <v>1157414.3400000001</v>
      </c>
      <c r="AZ16" s="332">
        <f t="shared" si="126"/>
        <v>1157414.3400000001</v>
      </c>
      <c r="BA16" s="140">
        <f t="shared" ref="BA16:BC16" si="127">AX16+AG16</f>
        <v>0</v>
      </c>
      <c r="BB16" s="326">
        <f t="shared" si="127"/>
        <v>6759334.29</v>
      </c>
      <c r="BC16" s="435">
        <f t="shared" si="127"/>
        <v>6759334.29</v>
      </c>
      <c r="BD16" s="123">
        <f t="shared" si="47"/>
        <v>1755287.1</v>
      </c>
      <c r="BE16" s="123">
        <f t="shared" si="48"/>
        <v>0</v>
      </c>
      <c r="BF16" s="123">
        <f t="shared" si="49"/>
        <v>0</v>
      </c>
      <c r="BG16" s="148">
        <f t="shared" si="50"/>
        <v>0</v>
      </c>
      <c r="BH16" s="123">
        <f t="shared" si="51"/>
        <v>450972.3</v>
      </c>
      <c r="BI16" s="141">
        <f t="shared" si="52"/>
        <v>0</v>
      </c>
      <c r="BJ16" s="332">
        <f t="shared" si="53"/>
        <v>0</v>
      </c>
      <c r="BK16" s="333">
        <f t="shared" si="54"/>
        <v>0</v>
      </c>
      <c r="BL16" s="326">
        <f t="shared" si="55"/>
        <v>2742361.13</v>
      </c>
      <c r="BM16" s="326">
        <f t="shared" si="56"/>
        <v>0</v>
      </c>
      <c r="BN16" s="326">
        <f t="shared" si="57"/>
        <v>0</v>
      </c>
      <c r="BO16" s="332">
        <f t="shared" si="58"/>
        <v>0</v>
      </c>
      <c r="BP16" s="140">
        <f t="shared" ref="BP16:BR16" si="128">SUM(BM16,BI16,BE16)</f>
        <v>0</v>
      </c>
      <c r="BQ16" s="326">
        <f t="shared" si="128"/>
        <v>0</v>
      </c>
      <c r="BR16" s="333">
        <f t="shared" si="128"/>
        <v>0</v>
      </c>
      <c r="BS16" s="125">
        <f t="shared" si="60"/>
        <v>836889.75</v>
      </c>
      <c r="BT16" s="140">
        <f t="shared" si="61"/>
        <v>0</v>
      </c>
      <c r="BU16" s="123">
        <f t="shared" si="62"/>
        <v>0</v>
      </c>
      <c r="BV16" s="148">
        <f t="shared" si="63"/>
        <v>0</v>
      </c>
      <c r="BW16" s="123">
        <f t="shared" si="64"/>
        <v>2266119.38</v>
      </c>
      <c r="BX16" s="326">
        <f t="shared" si="65"/>
        <v>896409.38</v>
      </c>
      <c r="BY16" s="297"/>
      <c r="BZ16" s="553"/>
      <c r="CA16" s="188"/>
      <c r="CB16" s="231" t="s">
        <v>90</v>
      </c>
      <c r="CC16" s="231"/>
      <c r="CD16" s="231"/>
      <c r="CF16" s="294"/>
      <c r="CG16" s="294"/>
      <c r="CR16" s="294"/>
    </row>
    <row r="17" spans="1:96" ht="15.75" customHeight="1">
      <c r="A17" s="546">
        <f t="shared" si="0"/>
        <v>112012358</v>
      </c>
      <c r="B17" s="547">
        <f t="shared" si="1"/>
        <v>31</v>
      </c>
      <c r="C17" s="137">
        <f t="shared" si="2"/>
        <v>0.1</v>
      </c>
      <c r="D17" s="137">
        <f t="shared" si="3"/>
        <v>0.23</v>
      </c>
      <c r="E17" s="98">
        <f t="shared" si="4"/>
        <v>0</v>
      </c>
      <c r="F17" s="414">
        <f t="shared" si="5"/>
        <v>61</v>
      </c>
      <c r="G17" s="94">
        <f t="shared" si="6"/>
        <v>0.1</v>
      </c>
      <c r="H17" s="415">
        <f t="shared" si="7"/>
        <v>0.14000000000000001</v>
      </c>
      <c r="I17" s="423" t="s">
        <v>398</v>
      </c>
      <c r="J17" s="436" t="str">
        <f t="shared" si="8"/>
        <v/>
      </c>
      <c r="K17" s="141" t="e">
        <f t="shared" si="9"/>
        <v>#VALUE!</v>
      </c>
      <c r="L17" s="140">
        <f t="shared" si="10"/>
        <v>888980.03000000026</v>
      </c>
      <c r="M17" s="116">
        <f t="shared" si="11"/>
        <v>6265690.79</v>
      </c>
      <c r="N17" s="333">
        <f t="shared" si="12"/>
        <v>7154670.8200000003</v>
      </c>
      <c r="O17" s="123" t="e">
        <f t="shared" si="13"/>
        <v>#VALUE!</v>
      </c>
      <c r="P17" s="98" t="str">
        <f t="shared" si="14"/>
        <v/>
      </c>
      <c r="Q17" s="125" t="str">
        <f t="shared" si="15"/>
        <v/>
      </c>
      <c r="R17" s="237">
        <v>1800000</v>
      </c>
      <c r="S17" s="140">
        <f t="shared" si="17"/>
        <v>985484.18000000063</v>
      </c>
      <c r="T17" s="326">
        <f t="shared" si="18"/>
        <v>4606917.72</v>
      </c>
      <c r="U17" s="333">
        <f t="shared" si="19"/>
        <v>5592401.9000000004</v>
      </c>
      <c r="V17" s="123">
        <f t="shared" si="20"/>
        <v>3792401.9000000004</v>
      </c>
      <c r="W17" s="98">
        <f t="shared" si="120"/>
        <v>3.1068899444444447</v>
      </c>
      <c r="X17" s="588">
        <v>1800000</v>
      </c>
      <c r="Y17" s="587">
        <v>1800000</v>
      </c>
      <c r="Z17" s="116">
        <f t="shared" si="23"/>
        <v>967249.43000000017</v>
      </c>
      <c r="AA17" s="561">
        <f t="shared" si="24"/>
        <v>2439092.5299999998</v>
      </c>
      <c r="AB17" s="561">
        <f t="shared" si="25"/>
        <v>3406341.96</v>
      </c>
      <c r="AC17" s="116">
        <f t="shared" si="26"/>
        <v>1606341.96</v>
      </c>
      <c r="AD17" s="97">
        <f t="shared" si="27"/>
        <v>1.8924121999999999</v>
      </c>
      <c r="AE17" s="433" t="e">
        <f t="shared" si="28"/>
        <v>#VALUE!</v>
      </c>
      <c r="AF17" s="550" t="str">
        <f t="shared" si="29"/>
        <v>0</v>
      </c>
      <c r="AG17" s="496">
        <f t="shared" ref="AG17:AI17" si="129">SUM(Z17,S17,S17,L17)</f>
        <v>3827197.8200000017</v>
      </c>
      <c r="AH17" s="496">
        <f t="shared" si="129"/>
        <v>17918618.759999998</v>
      </c>
      <c r="AI17" s="496">
        <f t="shared" si="129"/>
        <v>21745816.579999998</v>
      </c>
      <c r="AJ17" s="551">
        <f t="shared" si="31"/>
        <v>21745816.579999998</v>
      </c>
      <c r="AK17" s="552" t="str">
        <f t="shared" si="72"/>
        <v/>
      </c>
      <c r="AL17" s="434" t="str">
        <f t="shared" si="33"/>
        <v/>
      </c>
      <c r="AM17" s="140">
        <f t="shared" si="34"/>
        <v>437671.91999999993</v>
      </c>
      <c r="AN17" s="123">
        <f t="shared" si="35"/>
        <v>5436986.4400000004</v>
      </c>
      <c r="AO17" s="148">
        <f t="shared" si="36"/>
        <v>5874658.3600000003</v>
      </c>
      <c r="AP17" s="434" t="str">
        <f t="shared" si="37"/>
        <v/>
      </c>
      <c r="AQ17" s="140">
        <f t="shared" si="38"/>
        <v>998539.83000000007</v>
      </c>
      <c r="AR17" s="326">
        <f t="shared" si="39"/>
        <v>2967893</v>
      </c>
      <c r="AS17" s="333">
        <f t="shared" si="40"/>
        <v>3966432.83</v>
      </c>
      <c r="AT17" s="125" t="str">
        <f t="shared" si="41"/>
        <v/>
      </c>
      <c r="AU17" s="140">
        <f t="shared" si="42"/>
        <v>42305.940000000177</v>
      </c>
      <c r="AV17" s="123">
        <f t="shared" si="43"/>
        <v>2049135.4</v>
      </c>
      <c r="AW17" s="125">
        <f t="shared" si="44"/>
        <v>2091441.34</v>
      </c>
      <c r="AX17" s="122">
        <f t="shared" ref="AX17:AZ17" si="130">AU17+AQ17+AM17</f>
        <v>1478517.6900000002</v>
      </c>
      <c r="AY17" s="326">
        <f t="shared" si="130"/>
        <v>10454014.84</v>
      </c>
      <c r="AZ17" s="332">
        <f t="shared" si="130"/>
        <v>11932532.530000001</v>
      </c>
      <c r="BA17" s="140">
        <f t="shared" ref="BA17:BC17" si="131">AX17+AG17</f>
        <v>5305715.5100000016</v>
      </c>
      <c r="BB17" s="326">
        <f t="shared" si="131"/>
        <v>28372633.599999998</v>
      </c>
      <c r="BC17" s="435">
        <f t="shared" si="131"/>
        <v>33678349.109999999</v>
      </c>
      <c r="BD17" s="123" t="str">
        <f t="shared" si="47"/>
        <v/>
      </c>
      <c r="BE17" s="123">
        <f t="shared" si="48"/>
        <v>1098795.2200000002</v>
      </c>
      <c r="BF17" s="123">
        <f t="shared" si="49"/>
        <v>3216176.73</v>
      </c>
      <c r="BG17" s="148">
        <f t="shared" si="50"/>
        <v>4314971.95</v>
      </c>
      <c r="BH17" s="123" t="str">
        <f t="shared" si="51"/>
        <v/>
      </c>
      <c r="BI17" s="141">
        <f t="shared" si="52"/>
        <v>443059.67999999993</v>
      </c>
      <c r="BJ17" s="332">
        <f t="shared" si="53"/>
        <v>1648686.12</v>
      </c>
      <c r="BK17" s="333">
        <f t="shared" si="54"/>
        <v>2091745.8</v>
      </c>
      <c r="BL17" s="326" t="str">
        <f t="shared" si="55"/>
        <v/>
      </c>
      <c r="BM17" s="326">
        <f t="shared" si="56"/>
        <v>853616.16999999993</v>
      </c>
      <c r="BN17" s="326">
        <f t="shared" si="57"/>
        <v>3277642.79</v>
      </c>
      <c r="BO17" s="332">
        <f t="shared" si="58"/>
        <v>4131258.96</v>
      </c>
      <c r="BP17" s="140">
        <f t="shared" ref="BP17:BR17" si="132">SUM(BM17,BI17,BE17)</f>
        <v>2395471.0700000003</v>
      </c>
      <c r="BQ17" s="326">
        <f t="shared" si="132"/>
        <v>8142505.6400000006</v>
      </c>
      <c r="BR17" s="333">
        <f t="shared" si="132"/>
        <v>10537976.710000001</v>
      </c>
      <c r="BS17" s="125" t="str">
        <f t="shared" si="60"/>
        <v/>
      </c>
      <c r="BT17" s="140">
        <f t="shared" si="61"/>
        <v>2790914.9400000004</v>
      </c>
      <c r="BU17" s="123">
        <f t="shared" si="62"/>
        <v>2689110.67</v>
      </c>
      <c r="BV17" s="148">
        <f t="shared" si="63"/>
        <v>5480025.6100000003</v>
      </c>
      <c r="BW17" s="123" t="str">
        <f t="shared" si="64"/>
        <v/>
      </c>
      <c r="BX17" s="326" t="str">
        <f t="shared" si="65"/>
        <v/>
      </c>
      <c r="BY17" s="297"/>
      <c r="BZ17" s="553" t="s">
        <v>399</v>
      </c>
      <c r="CA17" s="188"/>
      <c r="CB17" s="231" t="s">
        <v>92</v>
      </c>
      <c r="CC17" s="231"/>
      <c r="CD17" s="231"/>
      <c r="CF17" s="294"/>
      <c r="CG17" s="294"/>
      <c r="CR17" s="294"/>
    </row>
    <row r="18" spans="1:96" ht="15.75" customHeight="1">
      <c r="A18" s="546">
        <f t="shared" si="0"/>
        <v>112013973</v>
      </c>
      <c r="B18" s="547">
        <f t="shared" si="1"/>
        <v>31</v>
      </c>
      <c r="C18" s="137">
        <f t="shared" si="2"/>
        <v>0.1</v>
      </c>
      <c r="D18" s="137">
        <f t="shared" si="3"/>
        <v>0.23</v>
      </c>
      <c r="E18" s="98">
        <f t="shared" si="4"/>
        <v>0</v>
      </c>
      <c r="F18" s="414">
        <f t="shared" si="5"/>
        <v>61</v>
      </c>
      <c r="G18" s="94">
        <f t="shared" si="6"/>
        <v>0.1</v>
      </c>
      <c r="H18" s="415">
        <f t="shared" si="7"/>
        <v>0.14000000000000001</v>
      </c>
      <c r="I18" s="568" t="s">
        <v>400</v>
      </c>
      <c r="J18" s="436">
        <f t="shared" si="8"/>
        <v>1039781.95</v>
      </c>
      <c r="K18" s="141">
        <f t="shared" si="9"/>
        <v>1747925.4470474999</v>
      </c>
      <c r="L18" s="140">
        <f t="shared" si="10"/>
        <v>0</v>
      </c>
      <c r="M18" s="116">
        <f t="shared" si="11"/>
        <v>945058.95</v>
      </c>
      <c r="N18" s="333">
        <f t="shared" si="12"/>
        <v>945058.95</v>
      </c>
      <c r="O18" s="123">
        <f t="shared" si="13"/>
        <v>-802866.49704749999</v>
      </c>
      <c r="P18" s="98">
        <f t="shared" si="14"/>
        <v>0.54067463323240805</v>
      </c>
      <c r="Q18" s="125">
        <f t="shared" si="15"/>
        <v>1443831.56</v>
      </c>
      <c r="R18" s="141">
        <f t="shared" ref="R18:R22" si="133">(Q18*1.7245)*1.05</f>
        <v>2614381.9014810002</v>
      </c>
      <c r="S18" s="140">
        <f t="shared" si="17"/>
        <v>0</v>
      </c>
      <c r="T18" s="326">
        <f t="shared" si="18"/>
        <v>2032674.16</v>
      </c>
      <c r="U18" s="333">
        <f t="shared" si="19"/>
        <v>2032674.16</v>
      </c>
      <c r="V18" s="123">
        <f t="shared" si="20"/>
        <v>-581707.74148100032</v>
      </c>
      <c r="W18" s="98">
        <f t="shared" si="120"/>
        <v>0.77749702858963587</v>
      </c>
      <c r="X18" s="123">
        <f t="shared" ref="X18:X37" si="134">IFERROR(VLOOKUP(I18,RETAMAR24,5,FALSE),"")</f>
        <v>1341680.02</v>
      </c>
      <c r="Y18" s="326">
        <f t="shared" ref="Y18:Y22" si="135">(X18*1.5955)*1.05</f>
        <v>2247682.9955055001</v>
      </c>
      <c r="Z18" s="116">
        <f t="shared" si="23"/>
        <v>742051.74</v>
      </c>
      <c r="AA18" s="561">
        <f t="shared" si="24"/>
        <v>1093409.57</v>
      </c>
      <c r="AB18" s="561">
        <f t="shared" si="25"/>
        <v>1835461.31</v>
      </c>
      <c r="AC18" s="116">
        <f t="shared" si="26"/>
        <v>-412221.68550550006</v>
      </c>
      <c r="AD18" s="97">
        <f t="shared" si="27"/>
        <v>0.81660150193342007</v>
      </c>
      <c r="AE18" s="433">
        <f t="shared" si="28"/>
        <v>6609990.3440340012</v>
      </c>
      <c r="AF18" s="550">
        <f t="shared" si="29"/>
        <v>6517315.7699999996</v>
      </c>
      <c r="AG18" s="496">
        <f t="shared" ref="AG18:AI18" si="136">SUM(Z18,S18,S18,L18)</f>
        <v>742051.74</v>
      </c>
      <c r="AH18" s="496">
        <f t="shared" si="136"/>
        <v>6103816.8399999999</v>
      </c>
      <c r="AI18" s="496">
        <f t="shared" si="136"/>
        <v>6845868.5800000001</v>
      </c>
      <c r="AJ18" s="551">
        <f t="shared" si="31"/>
        <v>328552.81000000052</v>
      </c>
      <c r="AK18" s="552">
        <f t="shared" si="72"/>
        <v>1.0504122895981762</v>
      </c>
      <c r="AL18" s="434">
        <f t="shared" si="33"/>
        <v>1818422.16</v>
      </c>
      <c r="AM18" s="140">
        <f t="shared" si="34"/>
        <v>0</v>
      </c>
      <c r="AN18" s="123">
        <f t="shared" si="35"/>
        <v>2072262.25</v>
      </c>
      <c r="AO18" s="148">
        <f t="shared" si="36"/>
        <v>2072262.25</v>
      </c>
      <c r="AP18" s="434">
        <f t="shared" si="37"/>
        <v>2854263.34</v>
      </c>
      <c r="AQ18" s="140">
        <f t="shared" si="38"/>
        <v>0</v>
      </c>
      <c r="AR18" s="326">
        <f t="shared" si="39"/>
        <v>1766454.42</v>
      </c>
      <c r="AS18" s="333">
        <f t="shared" si="40"/>
        <v>1766454.42</v>
      </c>
      <c r="AT18" s="125">
        <f t="shared" si="41"/>
        <v>1450129.45</v>
      </c>
      <c r="AU18" s="140">
        <f t="shared" si="42"/>
        <v>0</v>
      </c>
      <c r="AV18" s="123">
        <f t="shared" si="43"/>
        <v>2109379.67</v>
      </c>
      <c r="AW18" s="125">
        <f t="shared" si="44"/>
        <v>2109379.67</v>
      </c>
      <c r="AX18" s="122">
        <f t="shared" ref="AX18:AZ18" si="137">AU18+AQ18+AM18</f>
        <v>0</v>
      </c>
      <c r="AY18" s="326">
        <f t="shared" si="137"/>
        <v>5948096.3399999999</v>
      </c>
      <c r="AZ18" s="332">
        <f t="shared" si="137"/>
        <v>5948096.3399999999</v>
      </c>
      <c r="BA18" s="140">
        <f t="shared" ref="BA18:BC18" si="138">AX18+AG18</f>
        <v>742051.74</v>
      </c>
      <c r="BB18" s="326">
        <f t="shared" si="138"/>
        <v>12051913.18</v>
      </c>
      <c r="BC18" s="435">
        <f t="shared" si="138"/>
        <v>12793964.92</v>
      </c>
      <c r="BD18" s="123">
        <f t="shared" si="47"/>
        <v>2363677.29</v>
      </c>
      <c r="BE18" s="123">
        <f t="shared" si="48"/>
        <v>0</v>
      </c>
      <c r="BF18" s="123">
        <f t="shared" si="49"/>
        <v>2503736.46</v>
      </c>
      <c r="BG18" s="148">
        <f t="shared" si="50"/>
        <v>2503736.46</v>
      </c>
      <c r="BH18" s="123">
        <f t="shared" si="51"/>
        <v>2217118.58</v>
      </c>
      <c r="BI18" s="141">
        <f t="shared" si="52"/>
        <v>912017.36999999988</v>
      </c>
      <c r="BJ18" s="332">
        <f t="shared" si="53"/>
        <v>1322523.6599999999</v>
      </c>
      <c r="BK18" s="333">
        <f t="shared" si="54"/>
        <v>2234541.0299999998</v>
      </c>
      <c r="BL18" s="326">
        <f t="shared" si="55"/>
        <v>2540581.25</v>
      </c>
      <c r="BM18" s="326">
        <f t="shared" si="56"/>
        <v>0</v>
      </c>
      <c r="BN18" s="326">
        <f t="shared" si="57"/>
        <v>923269.63</v>
      </c>
      <c r="BO18" s="332">
        <f t="shared" si="58"/>
        <v>923269.63</v>
      </c>
      <c r="BP18" s="140">
        <f t="shared" ref="BP18:BR18" si="139">SUM(BM18,BI18,BE18)</f>
        <v>912017.36999999988</v>
      </c>
      <c r="BQ18" s="326">
        <f t="shared" si="139"/>
        <v>4749529.75</v>
      </c>
      <c r="BR18" s="333">
        <f t="shared" si="139"/>
        <v>5661547.1199999992</v>
      </c>
      <c r="BS18" s="125">
        <f t="shared" si="60"/>
        <v>2418680.69</v>
      </c>
      <c r="BT18" s="140">
        <f t="shared" si="61"/>
        <v>2225583.34</v>
      </c>
      <c r="BU18" s="123">
        <f t="shared" si="62"/>
        <v>0</v>
      </c>
      <c r="BV18" s="148">
        <f t="shared" si="63"/>
        <v>2225583.34</v>
      </c>
      <c r="BW18" s="123">
        <f t="shared" si="64"/>
        <v>1797279.58</v>
      </c>
      <c r="BX18" s="326">
        <f t="shared" si="65"/>
        <v>2301355.4900000002</v>
      </c>
      <c r="BY18" s="297"/>
      <c r="BZ18" s="553" t="s">
        <v>379</v>
      </c>
      <c r="CA18" s="188"/>
      <c r="CB18" s="231" t="s">
        <v>94</v>
      </c>
      <c r="CC18" s="231"/>
      <c r="CD18" s="231"/>
      <c r="CF18" s="294"/>
      <c r="CG18" s="294"/>
      <c r="CR18" s="294"/>
    </row>
    <row r="19" spans="1:96" ht="15.75" customHeight="1">
      <c r="A19" s="546">
        <f t="shared" si="0"/>
        <v>112013192</v>
      </c>
      <c r="B19" s="547">
        <f t="shared" si="1"/>
        <v>7</v>
      </c>
      <c r="C19" s="137">
        <f t="shared" si="2"/>
        <v>0.1</v>
      </c>
      <c r="D19" s="137">
        <f t="shared" si="3"/>
        <v>0.2</v>
      </c>
      <c r="E19" s="98">
        <f t="shared" si="4"/>
        <v>0</v>
      </c>
      <c r="F19" s="414">
        <f t="shared" si="5"/>
        <v>62</v>
      </c>
      <c r="G19" s="94">
        <f t="shared" si="6"/>
        <v>0.1</v>
      </c>
      <c r="H19" s="415">
        <f t="shared" si="7"/>
        <v>0.11</v>
      </c>
      <c r="I19" s="568" t="s">
        <v>401</v>
      </c>
      <c r="J19" s="436">
        <f t="shared" si="8"/>
        <v>1652831.95</v>
      </c>
      <c r="K19" s="141">
        <f t="shared" si="9"/>
        <v>2778493.1495474996</v>
      </c>
      <c r="L19" s="140">
        <f t="shared" si="10"/>
        <v>1941954.4999999998</v>
      </c>
      <c r="M19" s="116">
        <f t="shared" si="11"/>
        <v>370238.82</v>
      </c>
      <c r="N19" s="333">
        <f t="shared" si="12"/>
        <v>2312193.3199999998</v>
      </c>
      <c r="O19" s="123">
        <f t="shared" si="13"/>
        <v>-466299.82954749977</v>
      </c>
      <c r="P19" s="98">
        <f t="shared" si="14"/>
        <v>0.83217528190651091</v>
      </c>
      <c r="Q19" s="125">
        <f t="shared" si="15"/>
        <v>1910844.43</v>
      </c>
      <c r="R19" s="141">
        <f t="shared" si="133"/>
        <v>3460013.7805117499</v>
      </c>
      <c r="S19" s="140">
        <f t="shared" si="17"/>
        <v>1809756.7199999997</v>
      </c>
      <c r="T19" s="326">
        <f t="shared" si="18"/>
        <v>427764.89</v>
      </c>
      <c r="U19" s="333">
        <f t="shared" si="19"/>
        <v>2237521.61</v>
      </c>
      <c r="V19" s="123">
        <f t="shared" si="20"/>
        <v>-1222492.17051175</v>
      </c>
      <c r="W19" s="98">
        <f t="shared" si="120"/>
        <v>0.64667997064134852</v>
      </c>
      <c r="X19" s="123">
        <f t="shared" si="134"/>
        <v>1511501.8</v>
      </c>
      <c r="Y19" s="326">
        <f t="shared" si="135"/>
        <v>2532181.177995</v>
      </c>
      <c r="Z19" s="116">
        <f t="shared" si="23"/>
        <v>1670122.44</v>
      </c>
      <c r="AA19" s="561">
        <f t="shared" si="24"/>
        <v>690987.62</v>
      </c>
      <c r="AB19" s="561">
        <f t="shared" si="25"/>
        <v>2361110.06</v>
      </c>
      <c r="AC19" s="116">
        <f t="shared" si="26"/>
        <v>-171071.11799499998</v>
      </c>
      <c r="AD19" s="97">
        <f t="shared" si="27"/>
        <v>0.93244120148999154</v>
      </c>
      <c r="AE19" s="433">
        <f t="shared" si="28"/>
        <v>8770688.1080542505</v>
      </c>
      <c r="AF19" s="550">
        <f t="shared" si="29"/>
        <v>6272930.9299999997</v>
      </c>
      <c r="AG19" s="496">
        <f t="shared" ref="AG19:AI19" si="140">SUM(Z19,S19,S19,L19)</f>
        <v>7231590.379999999</v>
      </c>
      <c r="AH19" s="496">
        <f t="shared" si="140"/>
        <v>1916756.22</v>
      </c>
      <c r="AI19" s="496">
        <f t="shared" si="140"/>
        <v>9148346.5999999996</v>
      </c>
      <c r="AJ19" s="551">
        <f t="shared" si="31"/>
        <v>2875415.67</v>
      </c>
      <c r="AK19" s="552">
        <f t="shared" si="72"/>
        <v>1.4583847171421032</v>
      </c>
      <c r="AL19" s="434">
        <f t="shared" si="33"/>
        <v>1581272.98</v>
      </c>
      <c r="AM19" s="140">
        <f t="shared" si="34"/>
        <v>1232231.79</v>
      </c>
      <c r="AN19" s="123">
        <f t="shared" si="35"/>
        <v>298035.08</v>
      </c>
      <c r="AO19" s="148">
        <f t="shared" si="36"/>
        <v>1530266.87</v>
      </c>
      <c r="AP19" s="434">
        <f t="shared" si="37"/>
        <v>1306715.99</v>
      </c>
      <c r="AQ19" s="140">
        <f t="shared" si="38"/>
        <v>762082.66999999993</v>
      </c>
      <c r="AR19" s="326">
        <f t="shared" si="39"/>
        <v>369701.5</v>
      </c>
      <c r="AS19" s="333">
        <f t="shared" si="40"/>
        <v>1131784.17</v>
      </c>
      <c r="AT19" s="125">
        <f t="shared" si="41"/>
        <v>1210685.1000000001</v>
      </c>
      <c r="AU19" s="140">
        <f t="shared" si="42"/>
        <v>1223118.7000000002</v>
      </c>
      <c r="AV19" s="123">
        <f t="shared" si="43"/>
        <v>320146.86</v>
      </c>
      <c r="AW19" s="125">
        <f t="shared" si="44"/>
        <v>1543265.56</v>
      </c>
      <c r="AX19" s="122">
        <f t="shared" ref="AX19:AZ19" si="141">AU19+AQ19+AM19</f>
        <v>3217433.16</v>
      </c>
      <c r="AY19" s="326">
        <f t="shared" si="141"/>
        <v>987883.44</v>
      </c>
      <c r="AZ19" s="332">
        <f t="shared" si="141"/>
        <v>4205316.5999999996</v>
      </c>
      <c r="BA19" s="140">
        <f t="shared" ref="BA19:BC19" si="142">AX19+AG19</f>
        <v>10449023.539999999</v>
      </c>
      <c r="BB19" s="326">
        <f t="shared" si="142"/>
        <v>2904639.66</v>
      </c>
      <c r="BC19" s="435">
        <f t="shared" si="142"/>
        <v>13353663.199999999</v>
      </c>
      <c r="BD19" s="123">
        <f t="shared" si="47"/>
        <v>1742026.51</v>
      </c>
      <c r="BE19" s="123">
        <f t="shared" si="48"/>
        <v>1121512.17</v>
      </c>
      <c r="BF19" s="123">
        <f t="shared" si="49"/>
        <v>579578.11</v>
      </c>
      <c r="BG19" s="148">
        <f t="shared" si="50"/>
        <v>1701090.28</v>
      </c>
      <c r="BH19" s="123">
        <f t="shared" si="51"/>
        <v>1493022.55</v>
      </c>
      <c r="BI19" s="141">
        <f t="shared" si="52"/>
        <v>918375.76</v>
      </c>
      <c r="BJ19" s="332">
        <f t="shared" si="53"/>
        <v>254065.68</v>
      </c>
      <c r="BK19" s="333">
        <f t="shared" si="54"/>
        <v>1172441.44</v>
      </c>
      <c r="BL19" s="326">
        <f t="shared" si="55"/>
        <v>1547126.43</v>
      </c>
      <c r="BM19" s="326">
        <f t="shared" si="56"/>
        <v>1672653.1099999999</v>
      </c>
      <c r="BN19" s="326">
        <f t="shared" si="57"/>
        <v>366447.08</v>
      </c>
      <c r="BO19" s="332">
        <f t="shared" si="58"/>
        <v>2039100.19</v>
      </c>
      <c r="BP19" s="140">
        <f t="shared" ref="BP19:BR19" si="143">SUM(BM19,BI19,BE19)</f>
        <v>3712541.04</v>
      </c>
      <c r="BQ19" s="326">
        <f t="shared" si="143"/>
        <v>1200090.8700000001</v>
      </c>
      <c r="BR19" s="333">
        <f t="shared" si="143"/>
        <v>4912631.91</v>
      </c>
      <c r="BS19" s="125">
        <f t="shared" si="60"/>
        <v>1806830.17</v>
      </c>
      <c r="BT19" s="140">
        <f t="shared" si="61"/>
        <v>1321562.3900000001</v>
      </c>
      <c r="BU19" s="123">
        <f t="shared" si="62"/>
        <v>555236.88</v>
      </c>
      <c r="BV19" s="148">
        <f t="shared" si="63"/>
        <v>1876799.27</v>
      </c>
      <c r="BW19" s="123">
        <f t="shared" si="64"/>
        <v>2020486.56</v>
      </c>
      <c r="BX19" s="326">
        <f t="shared" si="65"/>
        <v>2445614.2000000002</v>
      </c>
      <c r="BY19" s="297"/>
      <c r="BZ19" s="553" t="s">
        <v>402</v>
      </c>
      <c r="CA19" s="188"/>
      <c r="CB19" s="231" t="s">
        <v>96</v>
      </c>
      <c r="CC19" s="231"/>
      <c r="CD19" s="231"/>
      <c r="CF19" s="294"/>
      <c r="CG19" s="294"/>
      <c r="CR19" s="294"/>
    </row>
    <row r="20" spans="1:96" ht="15.75" customHeight="1">
      <c r="A20" s="546">
        <f t="shared" si="0"/>
        <v>112013252</v>
      </c>
      <c r="B20" s="547">
        <f t="shared" si="1"/>
        <v>40</v>
      </c>
      <c r="C20" s="137">
        <f t="shared" si="2"/>
        <v>0.1</v>
      </c>
      <c r="D20" s="137">
        <f t="shared" si="3"/>
        <v>0.26</v>
      </c>
      <c r="E20" s="98">
        <f t="shared" si="4"/>
        <v>0</v>
      </c>
      <c r="F20" s="414">
        <f t="shared" si="5"/>
        <v>60</v>
      </c>
      <c r="G20" s="94">
        <f t="shared" si="6"/>
        <v>0.1</v>
      </c>
      <c r="H20" s="415">
        <f t="shared" si="7"/>
        <v>0.17</v>
      </c>
      <c r="I20" s="568" t="s">
        <v>403</v>
      </c>
      <c r="J20" s="436">
        <f t="shared" si="8"/>
        <v>6696057.9699999997</v>
      </c>
      <c r="K20" s="141">
        <f t="shared" si="9"/>
        <v>11256408.2504685</v>
      </c>
      <c r="L20" s="140">
        <f t="shared" si="10"/>
        <v>7507588.3499999996</v>
      </c>
      <c r="M20" s="116">
        <f t="shared" si="11"/>
        <v>7271218.1699999999</v>
      </c>
      <c r="N20" s="333">
        <f t="shared" si="12"/>
        <v>14778806.52</v>
      </c>
      <c r="O20" s="123">
        <f t="shared" si="13"/>
        <v>3522398.2695314996</v>
      </c>
      <c r="P20" s="98">
        <f t="shared" si="14"/>
        <v>1.3129238200280178</v>
      </c>
      <c r="Q20" s="125">
        <f t="shared" si="15"/>
        <v>3661876.62</v>
      </c>
      <c r="R20" s="141">
        <f t="shared" si="133"/>
        <v>6630651.5427494999</v>
      </c>
      <c r="S20" s="140">
        <f t="shared" si="17"/>
        <v>1799608.2400000002</v>
      </c>
      <c r="T20" s="326">
        <f t="shared" si="18"/>
        <v>2860404.88</v>
      </c>
      <c r="U20" s="333">
        <f t="shared" si="19"/>
        <v>4660013.12</v>
      </c>
      <c r="V20" s="123">
        <f t="shared" si="20"/>
        <v>-1970638.4227494998</v>
      </c>
      <c r="W20" s="98">
        <f t="shared" si="120"/>
        <v>0.70279867520645722</v>
      </c>
      <c r="X20" s="123">
        <f t="shared" si="134"/>
        <v>7572506.7699999996</v>
      </c>
      <c r="Y20" s="326">
        <f t="shared" si="135"/>
        <v>12686031.27911175</v>
      </c>
      <c r="Z20" s="116">
        <f t="shared" si="23"/>
        <v>4327170.1400000006</v>
      </c>
      <c r="AA20" s="561">
        <f t="shared" si="24"/>
        <v>3950004.02</v>
      </c>
      <c r="AB20" s="561">
        <f t="shared" si="25"/>
        <v>8277174.1600000001</v>
      </c>
      <c r="AC20" s="116">
        <f t="shared" si="26"/>
        <v>-4408857.1191117503</v>
      </c>
      <c r="AD20" s="97">
        <f t="shared" si="27"/>
        <v>0.65246364114116784</v>
      </c>
      <c r="AE20" s="433">
        <f t="shared" si="28"/>
        <v>30573091.072329752</v>
      </c>
      <c r="AF20" s="550">
        <f t="shared" si="29"/>
        <v>35634419.950000003</v>
      </c>
      <c r="AG20" s="496">
        <f t="shared" ref="AG20:AI20" si="144">SUM(Z20,S20,S20,L20)</f>
        <v>15433974.970000001</v>
      </c>
      <c r="AH20" s="496">
        <f t="shared" si="144"/>
        <v>16942031.950000003</v>
      </c>
      <c r="AI20" s="496">
        <f t="shared" si="144"/>
        <v>32376006.920000002</v>
      </c>
      <c r="AJ20" s="551">
        <f t="shared" si="31"/>
        <v>-3258413.0300000012</v>
      </c>
      <c r="AK20" s="552">
        <f t="shared" si="72"/>
        <v>0.90855995314159732</v>
      </c>
      <c r="AL20" s="434">
        <f t="shared" si="33"/>
        <v>5713874.3600000003</v>
      </c>
      <c r="AM20" s="140">
        <f t="shared" si="34"/>
        <v>2565455.5299999993</v>
      </c>
      <c r="AN20" s="123">
        <f t="shared" si="35"/>
        <v>7494733.9199999999</v>
      </c>
      <c r="AO20" s="148">
        <f t="shared" si="36"/>
        <v>10060189.449999999</v>
      </c>
      <c r="AP20" s="434">
        <f t="shared" si="37"/>
        <v>9186810.4000000004</v>
      </c>
      <c r="AQ20" s="140">
        <f t="shared" si="38"/>
        <v>2724993.08</v>
      </c>
      <c r="AR20" s="326">
        <f t="shared" si="39"/>
        <v>8248141.3399999999</v>
      </c>
      <c r="AS20" s="333">
        <f t="shared" si="40"/>
        <v>10973134.42</v>
      </c>
      <c r="AT20" s="125">
        <f t="shared" si="41"/>
        <v>2656641.7400000002</v>
      </c>
      <c r="AU20" s="140">
        <f t="shared" si="42"/>
        <v>1181780.69</v>
      </c>
      <c r="AV20" s="123">
        <f t="shared" si="43"/>
        <v>244496</v>
      </c>
      <c r="AW20" s="125">
        <f t="shared" si="44"/>
        <v>1426276.69</v>
      </c>
      <c r="AX20" s="122">
        <f t="shared" ref="AX20:AZ20" si="145">AU20+AQ20+AM20</f>
        <v>6472229.2999999989</v>
      </c>
      <c r="AY20" s="326">
        <f t="shared" si="145"/>
        <v>15987371.26</v>
      </c>
      <c r="AZ20" s="332">
        <f t="shared" si="145"/>
        <v>22459600.559999999</v>
      </c>
      <c r="BA20" s="140">
        <f t="shared" ref="BA20:BC20" si="146">AX20+AG20</f>
        <v>21906204.27</v>
      </c>
      <c r="BB20" s="326">
        <f t="shared" si="146"/>
        <v>32929403.210000001</v>
      </c>
      <c r="BC20" s="435">
        <f t="shared" si="146"/>
        <v>54835607.480000004</v>
      </c>
      <c r="BD20" s="123">
        <f t="shared" si="47"/>
        <v>8796083.9600000009</v>
      </c>
      <c r="BE20" s="123">
        <f t="shared" si="48"/>
        <v>5089325</v>
      </c>
      <c r="BF20" s="123">
        <f t="shared" si="49"/>
        <v>2735593.62</v>
      </c>
      <c r="BG20" s="148">
        <f t="shared" si="50"/>
        <v>7824918.6200000001</v>
      </c>
      <c r="BH20" s="123">
        <f t="shared" si="51"/>
        <v>3812579.54</v>
      </c>
      <c r="BI20" s="141">
        <f t="shared" si="52"/>
        <v>1029236.5800000001</v>
      </c>
      <c r="BJ20" s="332">
        <f t="shared" si="53"/>
        <v>5865195.6699999999</v>
      </c>
      <c r="BK20" s="333">
        <f t="shared" si="54"/>
        <v>6894432.25</v>
      </c>
      <c r="BL20" s="326">
        <f t="shared" si="55"/>
        <v>6173395.2599999998</v>
      </c>
      <c r="BM20" s="326">
        <f t="shared" si="56"/>
        <v>11912661.98</v>
      </c>
      <c r="BN20" s="326">
        <f t="shared" si="57"/>
        <v>4808381.0999999996</v>
      </c>
      <c r="BO20" s="332">
        <f t="shared" si="58"/>
        <v>16721043.08</v>
      </c>
      <c r="BP20" s="140">
        <f t="shared" ref="BP20:BR20" si="147">SUM(BM20,BI20,BE20)</f>
        <v>18031223.560000002</v>
      </c>
      <c r="BQ20" s="326">
        <f t="shared" si="147"/>
        <v>13409170.390000001</v>
      </c>
      <c r="BR20" s="333">
        <f t="shared" si="147"/>
        <v>31440393.949999999</v>
      </c>
      <c r="BS20" s="125">
        <f t="shared" si="60"/>
        <v>14205104.689999999</v>
      </c>
      <c r="BT20" s="140">
        <f t="shared" si="61"/>
        <v>11028758.360000001</v>
      </c>
      <c r="BU20" s="123">
        <f t="shared" si="62"/>
        <v>4464080.7699999996</v>
      </c>
      <c r="BV20" s="148">
        <f t="shared" si="63"/>
        <v>15492839.130000001</v>
      </c>
      <c r="BW20" s="123">
        <f t="shared" si="64"/>
        <v>12876938.01</v>
      </c>
      <c r="BX20" s="326">
        <f t="shared" si="65"/>
        <v>8552377.2400000002</v>
      </c>
      <c r="BY20" s="297"/>
      <c r="BZ20" s="553" t="s">
        <v>404</v>
      </c>
      <c r="CB20" s="231" t="s">
        <v>98</v>
      </c>
      <c r="CC20" s="231"/>
      <c r="CD20" s="231"/>
      <c r="CF20" s="294"/>
      <c r="CG20" s="294"/>
      <c r="CR20" s="294"/>
    </row>
    <row r="21" spans="1:96" ht="15.75" customHeight="1">
      <c r="A21" s="546">
        <f t="shared" si="0"/>
        <v>112010701</v>
      </c>
      <c r="B21" s="547">
        <f t="shared" si="1"/>
        <v>7</v>
      </c>
      <c r="C21" s="137">
        <f t="shared" si="2"/>
        <v>0.1</v>
      </c>
      <c r="D21" s="137">
        <f t="shared" si="3"/>
        <v>0.2</v>
      </c>
      <c r="E21" s="98">
        <f t="shared" si="4"/>
        <v>0</v>
      </c>
      <c r="F21" s="414">
        <f t="shared" si="5"/>
        <v>62</v>
      </c>
      <c r="G21" s="94">
        <f t="shared" si="6"/>
        <v>0.1</v>
      </c>
      <c r="H21" s="415">
        <f t="shared" si="7"/>
        <v>0.11</v>
      </c>
      <c r="I21" s="589" t="s">
        <v>405</v>
      </c>
      <c r="J21" s="436">
        <f t="shared" si="8"/>
        <v>1047891.2</v>
      </c>
      <c r="K21" s="141">
        <f t="shared" si="9"/>
        <v>1761557.5017599999</v>
      </c>
      <c r="L21" s="140">
        <f t="shared" si="10"/>
        <v>1458369.7800000003</v>
      </c>
      <c r="M21" s="116">
        <f t="shared" si="11"/>
        <v>909024.13</v>
      </c>
      <c r="N21" s="333">
        <f t="shared" si="12"/>
        <v>2367393.91</v>
      </c>
      <c r="O21" s="123">
        <f t="shared" si="13"/>
        <v>605836.40824000025</v>
      </c>
      <c r="P21" s="98">
        <f t="shared" si="14"/>
        <v>1.3439208811717469</v>
      </c>
      <c r="Q21" s="125">
        <f t="shared" si="15"/>
        <v>2147709.38</v>
      </c>
      <c r="R21" s="141">
        <f t="shared" si="133"/>
        <v>3888911.0671005002</v>
      </c>
      <c r="S21" s="140">
        <f t="shared" si="17"/>
        <v>1214586.8399999999</v>
      </c>
      <c r="T21" s="326">
        <f t="shared" si="18"/>
        <v>724781.84</v>
      </c>
      <c r="U21" s="333">
        <f t="shared" si="19"/>
        <v>1939368.68</v>
      </c>
      <c r="V21" s="123">
        <f t="shared" si="20"/>
        <v>-1949542.3871005003</v>
      </c>
      <c r="W21" s="98">
        <f t="shared" si="120"/>
        <v>0.49869195940393596</v>
      </c>
      <c r="X21" s="123">
        <f t="shared" si="134"/>
        <v>1172001.28</v>
      </c>
      <c r="Y21" s="326">
        <f t="shared" si="135"/>
        <v>1963424.444352</v>
      </c>
      <c r="Z21" s="116">
        <f t="shared" si="23"/>
        <v>1656432.1600000001</v>
      </c>
      <c r="AA21" s="561">
        <f t="shared" si="24"/>
        <v>948347.21</v>
      </c>
      <c r="AB21" s="561">
        <f t="shared" si="25"/>
        <v>2604779.37</v>
      </c>
      <c r="AC21" s="116">
        <f t="shared" si="26"/>
        <v>641354.92564800009</v>
      </c>
      <c r="AD21" s="97">
        <f t="shared" si="27"/>
        <v>1.3266511871607416</v>
      </c>
      <c r="AE21" s="433">
        <f t="shared" si="28"/>
        <v>7613893.0132125001</v>
      </c>
      <c r="AF21" s="550">
        <f t="shared" si="29"/>
        <v>9762804.5500000007</v>
      </c>
      <c r="AG21" s="496">
        <f t="shared" ref="AG21:AI21" si="148">SUM(Z21,S21,S21,L21)</f>
        <v>5543975.6200000001</v>
      </c>
      <c r="AH21" s="496">
        <f t="shared" si="148"/>
        <v>3306935.0199999996</v>
      </c>
      <c r="AI21" s="496">
        <f t="shared" si="148"/>
        <v>8850910.6400000006</v>
      </c>
      <c r="AJ21" s="551">
        <f t="shared" si="31"/>
        <v>-911893.91000000015</v>
      </c>
      <c r="AK21" s="552">
        <f t="shared" si="72"/>
        <v>0.90659508696197344</v>
      </c>
      <c r="AL21" s="434">
        <f t="shared" si="33"/>
        <v>1546637.55</v>
      </c>
      <c r="AM21" s="140">
        <f t="shared" si="34"/>
        <v>1261552.9600000002</v>
      </c>
      <c r="AN21" s="123">
        <f t="shared" si="35"/>
        <v>1111372.03</v>
      </c>
      <c r="AO21" s="148">
        <f t="shared" si="36"/>
        <v>2372924.9900000002</v>
      </c>
      <c r="AP21" s="434">
        <f t="shared" si="37"/>
        <v>1604797.75</v>
      </c>
      <c r="AQ21" s="140">
        <f t="shared" si="38"/>
        <v>413209.49</v>
      </c>
      <c r="AR21" s="326">
        <f t="shared" si="39"/>
        <v>1063447.22</v>
      </c>
      <c r="AS21" s="333">
        <f t="shared" si="40"/>
        <v>1476656.71</v>
      </c>
      <c r="AT21" s="125">
        <f t="shared" si="41"/>
        <v>1660079.79</v>
      </c>
      <c r="AU21" s="140">
        <f t="shared" si="42"/>
        <v>1009028.6200000001</v>
      </c>
      <c r="AV21" s="123">
        <f t="shared" si="43"/>
        <v>1265185.94</v>
      </c>
      <c r="AW21" s="125">
        <f t="shared" si="44"/>
        <v>2274214.56</v>
      </c>
      <c r="AX21" s="122">
        <f t="shared" ref="AX21:AZ21" si="149">AU21+AQ21+AM21</f>
        <v>2683791.0700000003</v>
      </c>
      <c r="AY21" s="326">
        <f t="shared" si="149"/>
        <v>3440005.1900000004</v>
      </c>
      <c r="AZ21" s="332">
        <f t="shared" si="149"/>
        <v>6123796.2599999998</v>
      </c>
      <c r="BA21" s="140">
        <f t="shared" ref="BA21:BC21" si="150">AX21+AG21</f>
        <v>8227766.6900000004</v>
      </c>
      <c r="BB21" s="326">
        <f t="shared" si="150"/>
        <v>6746940.21</v>
      </c>
      <c r="BC21" s="435">
        <f t="shared" si="150"/>
        <v>14974706.9</v>
      </c>
      <c r="BD21" s="123">
        <f t="shared" si="47"/>
        <v>914908.49</v>
      </c>
      <c r="BE21" s="123">
        <f t="shared" si="48"/>
        <v>1010300.58</v>
      </c>
      <c r="BF21" s="123">
        <f t="shared" si="49"/>
        <v>1042419.09</v>
      </c>
      <c r="BG21" s="148">
        <f t="shared" si="50"/>
        <v>2052719.67</v>
      </c>
      <c r="BH21" s="123">
        <f t="shared" si="51"/>
        <v>2153441.9</v>
      </c>
      <c r="BI21" s="141">
        <f t="shared" si="52"/>
        <v>912438.73999999976</v>
      </c>
      <c r="BJ21" s="332">
        <f t="shared" si="53"/>
        <v>1207946.1000000001</v>
      </c>
      <c r="BK21" s="333">
        <f t="shared" si="54"/>
        <v>2120384.84</v>
      </c>
      <c r="BL21" s="326">
        <f t="shared" si="55"/>
        <v>1386175.55</v>
      </c>
      <c r="BM21" s="326">
        <f t="shared" si="56"/>
        <v>624351.82999999996</v>
      </c>
      <c r="BN21" s="326">
        <f t="shared" si="57"/>
        <v>828510.85</v>
      </c>
      <c r="BO21" s="332">
        <f t="shared" si="58"/>
        <v>1452862.68</v>
      </c>
      <c r="BP21" s="140">
        <f t="shared" ref="BP21:BR21" si="151">SUM(BM21,BI21,BE21)</f>
        <v>2547091.15</v>
      </c>
      <c r="BQ21" s="326">
        <f t="shared" si="151"/>
        <v>3078876.04</v>
      </c>
      <c r="BR21" s="333">
        <f t="shared" si="151"/>
        <v>5625967.1899999995</v>
      </c>
      <c r="BS21" s="125">
        <f t="shared" si="60"/>
        <v>3334120.18</v>
      </c>
      <c r="BT21" s="140">
        <f t="shared" si="61"/>
        <v>2525848.5099999998</v>
      </c>
      <c r="BU21" s="123">
        <f t="shared" si="62"/>
        <v>1400704.45</v>
      </c>
      <c r="BV21" s="148">
        <f t="shared" si="63"/>
        <v>3926552.96</v>
      </c>
      <c r="BW21" s="123">
        <f t="shared" si="64"/>
        <v>3853171.46</v>
      </c>
      <c r="BX21" s="326">
        <f t="shared" si="65"/>
        <v>2575512.92</v>
      </c>
      <c r="BY21" s="297"/>
      <c r="BZ21" s="553" t="s">
        <v>390</v>
      </c>
      <c r="CB21" s="245" t="s">
        <v>100</v>
      </c>
      <c r="CC21" s="245"/>
      <c r="CD21" s="245"/>
      <c r="CF21" s="294"/>
      <c r="CG21" s="294"/>
      <c r="CR21" s="294"/>
    </row>
    <row r="22" spans="1:96" ht="15.75" customHeight="1">
      <c r="A22" s="546">
        <f t="shared" si="0"/>
        <v>112013002</v>
      </c>
      <c r="B22" s="547">
        <f t="shared" si="1"/>
        <v>7</v>
      </c>
      <c r="C22" s="137">
        <f t="shared" si="2"/>
        <v>0.1</v>
      </c>
      <c r="D22" s="137">
        <f t="shared" si="3"/>
        <v>0.2</v>
      </c>
      <c r="E22" s="98">
        <f t="shared" si="4"/>
        <v>0</v>
      </c>
      <c r="F22" s="414">
        <f t="shared" si="5"/>
        <v>62</v>
      </c>
      <c r="G22" s="94">
        <f t="shared" si="6"/>
        <v>0.1</v>
      </c>
      <c r="H22" s="415">
        <f t="shared" si="7"/>
        <v>0.11</v>
      </c>
      <c r="I22" s="423" t="s">
        <v>406</v>
      </c>
      <c r="J22" s="436"/>
      <c r="K22" s="237"/>
      <c r="L22" s="140">
        <f t="shared" si="10"/>
        <v>0</v>
      </c>
      <c r="M22" s="116">
        <f t="shared" si="11"/>
        <v>0</v>
      </c>
      <c r="N22" s="333">
        <f t="shared" si="12"/>
        <v>0</v>
      </c>
      <c r="O22" s="123">
        <f t="shared" si="13"/>
        <v>0</v>
      </c>
      <c r="P22" s="98" t="str">
        <f t="shared" si="14"/>
        <v/>
      </c>
      <c r="Q22" s="125" t="str">
        <f t="shared" si="15"/>
        <v/>
      </c>
      <c r="R22" s="141" t="e">
        <f t="shared" si="133"/>
        <v>#VALUE!</v>
      </c>
      <c r="S22" s="140">
        <f t="shared" si="17"/>
        <v>0</v>
      </c>
      <c r="T22" s="326">
        <f t="shared" si="18"/>
        <v>0</v>
      </c>
      <c r="U22" s="333">
        <f t="shared" si="19"/>
        <v>0</v>
      </c>
      <c r="V22" s="123" t="e">
        <f t="shared" si="20"/>
        <v>#VALUE!</v>
      </c>
      <c r="W22" s="98" t="e">
        <f t="shared" si="120"/>
        <v>#VALUE!</v>
      </c>
      <c r="X22" s="123" t="str">
        <f t="shared" si="134"/>
        <v/>
      </c>
      <c r="Y22" s="326" t="e">
        <f t="shared" si="135"/>
        <v>#VALUE!</v>
      </c>
      <c r="Z22" s="116">
        <f t="shared" si="23"/>
        <v>0</v>
      </c>
      <c r="AA22" s="561">
        <f t="shared" si="24"/>
        <v>0</v>
      </c>
      <c r="AB22" s="561">
        <f t="shared" si="25"/>
        <v>0</v>
      </c>
      <c r="AC22" s="116" t="e">
        <f t="shared" si="26"/>
        <v>#VALUE!</v>
      </c>
      <c r="AD22" s="97" t="e">
        <f t="shared" si="27"/>
        <v>#VALUE!</v>
      </c>
      <c r="AE22" s="433" t="e">
        <f t="shared" si="28"/>
        <v>#VALUE!</v>
      </c>
      <c r="AF22" s="550" t="str">
        <f t="shared" si="29"/>
        <v>0</v>
      </c>
      <c r="AG22" s="496">
        <f t="shared" ref="AG22:AI22" si="152">SUM(Z22,S22,S22,L22)</f>
        <v>0</v>
      </c>
      <c r="AH22" s="496">
        <f t="shared" si="152"/>
        <v>0</v>
      </c>
      <c r="AI22" s="496">
        <f t="shared" si="152"/>
        <v>0</v>
      </c>
      <c r="AJ22" s="551">
        <f t="shared" si="31"/>
        <v>0</v>
      </c>
      <c r="AK22" s="552" t="str">
        <f t="shared" si="72"/>
        <v/>
      </c>
      <c r="AL22" s="434" t="str">
        <f t="shared" si="33"/>
        <v/>
      </c>
      <c r="AM22" s="140">
        <f t="shared" si="34"/>
        <v>0</v>
      </c>
      <c r="AN22" s="123">
        <f t="shared" si="35"/>
        <v>0</v>
      </c>
      <c r="AO22" s="148">
        <f t="shared" si="36"/>
        <v>0</v>
      </c>
      <c r="AP22" s="434" t="str">
        <f t="shared" si="37"/>
        <v/>
      </c>
      <c r="AQ22" s="140">
        <f t="shared" si="38"/>
        <v>0</v>
      </c>
      <c r="AR22" s="326">
        <f t="shared" si="39"/>
        <v>192904.8</v>
      </c>
      <c r="AS22" s="333">
        <f t="shared" si="40"/>
        <v>192904.8</v>
      </c>
      <c r="AT22" s="125" t="str">
        <f t="shared" si="41"/>
        <v/>
      </c>
      <c r="AU22" s="140">
        <f t="shared" si="42"/>
        <v>441506.52</v>
      </c>
      <c r="AV22" s="123">
        <f t="shared" si="43"/>
        <v>41951.28</v>
      </c>
      <c r="AW22" s="125">
        <f t="shared" si="44"/>
        <v>483457.8</v>
      </c>
      <c r="AX22" s="122">
        <f t="shared" ref="AX22:AZ22" si="153">AU22+AQ22+AM22</f>
        <v>441506.52</v>
      </c>
      <c r="AY22" s="326">
        <f t="shared" si="153"/>
        <v>234856.08</v>
      </c>
      <c r="AZ22" s="332">
        <f t="shared" si="153"/>
        <v>676362.6</v>
      </c>
      <c r="BA22" s="140">
        <f t="shared" ref="BA22:BC22" si="154">AX22+AG22</f>
        <v>441506.52</v>
      </c>
      <c r="BB22" s="326">
        <f t="shared" si="154"/>
        <v>234856.08</v>
      </c>
      <c r="BC22" s="435">
        <f t="shared" si="154"/>
        <v>676362.6</v>
      </c>
      <c r="BD22" s="123" t="str">
        <f t="shared" si="47"/>
        <v/>
      </c>
      <c r="BE22" s="123">
        <f t="shared" si="48"/>
        <v>0</v>
      </c>
      <c r="BF22" s="123">
        <f t="shared" si="49"/>
        <v>310697.01</v>
      </c>
      <c r="BG22" s="148">
        <f t="shared" si="50"/>
        <v>310697.01</v>
      </c>
      <c r="BH22" s="123" t="str">
        <f t="shared" si="51"/>
        <v/>
      </c>
      <c r="BI22" s="141">
        <f t="shared" si="52"/>
        <v>0</v>
      </c>
      <c r="BJ22" s="332">
        <f t="shared" si="53"/>
        <v>0</v>
      </c>
      <c r="BK22" s="333">
        <f t="shared" si="54"/>
        <v>0</v>
      </c>
      <c r="BL22" s="326" t="str">
        <f t="shared" si="55"/>
        <v/>
      </c>
      <c r="BM22" s="326">
        <f t="shared" si="56"/>
        <v>0</v>
      </c>
      <c r="BN22" s="326">
        <f t="shared" si="57"/>
        <v>44702.98</v>
      </c>
      <c r="BO22" s="332">
        <f t="shared" si="58"/>
        <v>44702.98</v>
      </c>
      <c r="BP22" s="140">
        <f t="shared" ref="BP22:BR22" si="155">SUM(BM22,BI22,BE22)</f>
        <v>0</v>
      </c>
      <c r="BQ22" s="326">
        <f t="shared" si="155"/>
        <v>355399.99</v>
      </c>
      <c r="BR22" s="333">
        <f t="shared" si="155"/>
        <v>355399.99</v>
      </c>
      <c r="BS22" s="125" t="str">
        <f t="shared" si="60"/>
        <v/>
      </c>
      <c r="BT22" s="140">
        <f t="shared" si="61"/>
        <v>0</v>
      </c>
      <c r="BU22" s="123">
        <f t="shared" si="62"/>
        <v>84653.36</v>
      </c>
      <c r="BV22" s="148">
        <f t="shared" si="63"/>
        <v>84653.36</v>
      </c>
      <c r="BW22" s="123" t="str">
        <f t="shared" si="64"/>
        <v/>
      </c>
      <c r="BX22" s="326" t="str">
        <f t="shared" si="65"/>
        <v/>
      </c>
      <c r="BY22" s="297"/>
      <c r="BZ22" s="553"/>
      <c r="CF22" s="294"/>
      <c r="CG22" s="294"/>
      <c r="CR22" s="294"/>
    </row>
    <row r="23" spans="1:96" ht="15.75" customHeight="1">
      <c r="A23" s="546">
        <f t="shared" si="0"/>
        <v>112014473</v>
      </c>
      <c r="B23" s="547">
        <f t="shared" si="1"/>
        <v>7</v>
      </c>
      <c r="C23" s="137">
        <f t="shared" si="2"/>
        <v>0.1</v>
      </c>
      <c r="D23" s="137">
        <f t="shared" si="3"/>
        <v>0.2</v>
      </c>
      <c r="E23" s="98">
        <f t="shared" si="4"/>
        <v>0</v>
      </c>
      <c r="F23" s="414">
        <f t="shared" si="5"/>
        <v>62</v>
      </c>
      <c r="G23" s="94">
        <f t="shared" si="6"/>
        <v>0.1</v>
      </c>
      <c r="H23" s="415">
        <f t="shared" si="7"/>
        <v>0.11</v>
      </c>
      <c r="I23" s="568" t="s">
        <v>407</v>
      </c>
      <c r="J23" s="436">
        <f t="shared" ref="J23:J37" si="156">IFERROR(VLOOKUP(I23,RETAMAR24,3,FALSE),"")</f>
        <v>0</v>
      </c>
      <c r="K23" s="237">
        <v>1800000</v>
      </c>
      <c r="L23" s="140" t="e">
        <f t="shared" si="10"/>
        <v>#VALUE!</v>
      </c>
      <c r="M23" s="116" t="str">
        <f t="shared" si="11"/>
        <v/>
      </c>
      <c r="N23" s="333">
        <f t="shared" si="12"/>
        <v>658531.97</v>
      </c>
      <c r="O23" s="123">
        <f t="shared" si="13"/>
        <v>-1141468.03</v>
      </c>
      <c r="P23" s="98">
        <f t="shared" si="14"/>
        <v>0.36585109444444441</v>
      </c>
      <c r="Q23" s="125">
        <f t="shared" si="15"/>
        <v>0</v>
      </c>
      <c r="R23" s="237">
        <v>1800000</v>
      </c>
      <c r="S23" s="140" t="e">
        <f t="shared" si="17"/>
        <v>#VALUE!</v>
      </c>
      <c r="T23" s="326" t="str">
        <f t="shared" si="18"/>
        <v/>
      </c>
      <c r="U23" s="333">
        <f t="shared" si="19"/>
        <v>0</v>
      </c>
      <c r="V23" s="123">
        <f t="shared" si="20"/>
        <v>-1800000</v>
      </c>
      <c r="W23" s="98">
        <f t="shared" si="120"/>
        <v>0</v>
      </c>
      <c r="X23" s="123">
        <f t="shared" si="134"/>
        <v>0</v>
      </c>
      <c r="Y23" s="587">
        <v>1800000</v>
      </c>
      <c r="Z23" s="116" t="e">
        <f t="shared" si="23"/>
        <v>#VALUE!</v>
      </c>
      <c r="AA23" s="561" t="str">
        <f t="shared" si="24"/>
        <v/>
      </c>
      <c r="AB23" s="561">
        <f t="shared" si="25"/>
        <v>0</v>
      </c>
      <c r="AC23" s="116">
        <f t="shared" si="26"/>
        <v>-1800000</v>
      </c>
      <c r="AD23" s="97">
        <f t="shared" si="27"/>
        <v>0</v>
      </c>
      <c r="AE23" s="433">
        <f t="shared" si="28"/>
        <v>5400000</v>
      </c>
      <c r="AF23" s="550">
        <f t="shared" si="29"/>
        <v>564641.55000000005</v>
      </c>
      <c r="AG23" s="496" t="e">
        <f t="shared" ref="AG23:AI23" si="157">SUM(Z23,S23,S23,L23)</f>
        <v>#VALUE!</v>
      </c>
      <c r="AH23" s="496">
        <f t="shared" si="157"/>
        <v>0</v>
      </c>
      <c r="AI23" s="496">
        <f t="shared" si="157"/>
        <v>658531.97</v>
      </c>
      <c r="AJ23" s="551">
        <f t="shared" si="31"/>
        <v>93890.419999999925</v>
      </c>
      <c r="AK23" s="552">
        <f t="shared" si="72"/>
        <v>1.1662832287138627</v>
      </c>
      <c r="AL23" s="434">
        <f t="shared" si="33"/>
        <v>0</v>
      </c>
      <c r="AM23" s="140" t="e">
        <f t="shared" si="34"/>
        <v>#VALUE!</v>
      </c>
      <c r="AN23" s="123" t="str">
        <f t="shared" si="35"/>
        <v/>
      </c>
      <c r="AO23" s="148">
        <f t="shared" si="36"/>
        <v>0</v>
      </c>
      <c r="AP23" s="434">
        <f t="shared" si="37"/>
        <v>0</v>
      </c>
      <c r="AQ23" s="140" t="e">
        <f t="shared" si="38"/>
        <v>#VALUE!</v>
      </c>
      <c r="AR23" s="326" t="str">
        <f t="shared" si="39"/>
        <v/>
      </c>
      <c r="AS23" s="333">
        <f t="shared" si="40"/>
        <v>0</v>
      </c>
      <c r="AT23" s="125">
        <f t="shared" si="41"/>
        <v>0</v>
      </c>
      <c r="AU23" s="140" t="e">
        <f t="shared" si="42"/>
        <v>#VALUE!</v>
      </c>
      <c r="AV23" s="123" t="str">
        <f t="shared" si="43"/>
        <v/>
      </c>
      <c r="AW23" s="125">
        <f t="shared" si="44"/>
        <v>0</v>
      </c>
      <c r="AX23" s="122" t="e">
        <f t="shared" ref="AX23:AZ23" si="158">AU23+AQ23+AM23</f>
        <v>#VALUE!</v>
      </c>
      <c r="AY23" s="326" t="e">
        <f t="shared" si="158"/>
        <v>#VALUE!</v>
      </c>
      <c r="AZ23" s="332">
        <f t="shared" si="158"/>
        <v>0</v>
      </c>
      <c r="BA23" s="140" t="e">
        <f t="shared" ref="BA23:BC23" si="159">AX23+AG23</f>
        <v>#VALUE!</v>
      </c>
      <c r="BB23" s="326" t="e">
        <f t="shared" si="159"/>
        <v>#VALUE!</v>
      </c>
      <c r="BC23" s="435">
        <f t="shared" si="159"/>
        <v>658531.97</v>
      </c>
      <c r="BD23" s="123">
        <f t="shared" si="47"/>
        <v>0</v>
      </c>
      <c r="BE23" s="123" t="e">
        <f t="shared" si="48"/>
        <v>#VALUE!</v>
      </c>
      <c r="BF23" s="123" t="str">
        <f t="shared" si="49"/>
        <v/>
      </c>
      <c r="BG23" s="148">
        <f t="shared" si="50"/>
        <v>0</v>
      </c>
      <c r="BH23" s="123">
        <f t="shared" si="51"/>
        <v>307293.18</v>
      </c>
      <c r="BI23" s="141" t="e">
        <f t="shared" si="52"/>
        <v>#VALUE!</v>
      </c>
      <c r="BJ23" s="332" t="str">
        <f t="shared" si="53"/>
        <v/>
      </c>
      <c r="BK23" s="333">
        <f t="shared" si="54"/>
        <v>0</v>
      </c>
      <c r="BL23" s="326">
        <f t="shared" si="55"/>
        <v>0</v>
      </c>
      <c r="BM23" s="326" t="e">
        <f t="shared" si="56"/>
        <v>#VALUE!</v>
      </c>
      <c r="BN23" s="326" t="str">
        <f t="shared" si="57"/>
        <v/>
      </c>
      <c r="BO23" s="332">
        <f t="shared" si="58"/>
        <v>0</v>
      </c>
      <c r="BP23" s="140" t="e">
        <f t="shared" ref="BP23:BR23" si="160">SUM(BM23,BI23,BE23)</f>
        <v>#VALUE!</v>
      </c>
      <c r="BQ23" s="326">
        <f t="shared" si="160"/>
        <v>0</v>
      </c>
      <c r="BR23" s="333">
        <f t="shared" si="160"/>
        <v>0</v>
      </c>
      <c r="BS23" s="125">
        <f t="shared" si="60"/>
        <v>564641.55000000005</v>
      </c>
      <c r="BT23" s="140" t="e">
        <f t="shared" si="61"/>
        <v>#VALUE!</v>
      </c>
      <c r="BU23" s="123" t="str">
        <f t="shared" si="62"/>
        <v/>
      </c>
      <c r="BV23" s="148">
        <f t="shared" si="63"/>
        <v>0</v>
      </c>
      <c r="BW23" s="123">
        <f t="shared" si="64"/>
        <v>0</v>
      </c>
      <c r="BX23" s="326">
        <f t="shared" si="65"/>
        <v>0</v>
      </c>
      <c r="BY23" s="297"/>
      <c r="BZ23" s="553"/>
      <c r="CF23" s="294"/>
      <c r="CG23" s="294"/>
      <c r="CR23" s="294"/>
    </row>
    <row r="24" spans="1:96" ht="15.75" customHeight="1">
      <c r="A24" s="546">
        <f t="shared" si="0"/>
        <v>112014103</v>
      </c>
      <c r="B24" s="547">
        <f t="shared" si="1"/>
        <v>7</v>
      </c>
      <c r="C24" s="137">
        <f t="shared" si="2"/>
        <v>0.1</v>
      </c>
      <c r="D24" s="137">
        <f t="shared" si="3"/>
        <v>0.2</v>
      </c>
      <c r="E24" s="98">
        <f t="shared" si="4"/>
        <v>0</v>
      </c>
      <c r="F24" s="414">
        <f t="shared" si="5"/>
        <v>62</v>
      </c>
      <c r="G24" s="94">
        <f t="shared" si="6"/>
        <v>0.1</v>
      </c>
      <c r="H24" s="415">
        <f t="shared" si="7"/>
        <v>0.11</v>
      </c>
      <c r="I24" s="568" t="s">
        <v>408</v>
      </c>
      <c r="J24" s="436">
        <f t="shared" si="156"/>
        <v>1832293.27</v>
      </c>
      <c r="K24" s="141">
        <f>(J24*1.601)*1.05</f>
        <v>3080176.6015335</v>
      </c>
      <c r="L24" s="140">
        <f t="shared" si="10"/>
        <v>1702100.1400000001</v>
      </c>
      <c r="M24" s="116">
        <f t="shared" si="11"/>
        <v>338552.64</v>
      </c>
      <c r="N24" s="333">
        <f t="shared" si="12"/>
        <v>2040652.78</v>
      </c>
      <c r="O24" s="123">
        <f t="shared" si="13"/>
        <v>-1039523.8215335</v>
      </c>
      <c r="P24" s="98">
        <f t="shared" si="14"/>
        <v>0.66251161669887315</v>
      </c>
      <c r="Q24" s="125">
        <f t="shared" si="15"/>
        <v>1420860.61</v>
      </c>
      <c r="R24" s="141">
        <f>(Q24*1.7245)*1.05</f>
        <v>2572787.8280422506</v>
      </c>
      <c r="S24" s="140">
        <f t="shared" si="17"/>
        <v>1723590.85</v>
      </c>
      <c r="T24" s="326">
        <f t="shared" si="18"/>
        <v>205083.36</v>
      </c>
      <c r="U24" s="333">
        <f t="shared" si="19"/>
        <v>1928674.21</v>
      </c>
      <c r="V24" s="123">
        <f t="shared" si="20"/>
        <v>-644113.61804225063</v>
      </c>
      <c r="W24" s="98">
        <f t="shared" si="120"/>
        <v>0.74964370904522448</v>
      </c>
      <c r="X24" s="123">
        <f t="shared" si="134"/>
        <v>1202454.97</v>
      </c>
      <c r="Y24" s="326">
        <f>(X24*1.5955)*1.05</f>
        <v>2014442.7498667499</v>
      </c>
      <c r="Z24" s="116">
        <f t="shared" si="23"/>
        <v>1132917.5299999998</v>
      </c>
      <c r="AA24" s="561">
        <f t="shared" si="24"/>
        <v>254115.36</v>
      </c>
      <c r="AB24" s="561">
        <f t="shared" si="25"/>
        <v>1387032.89</v>
      </c>
      <c r="AC24" s="116">
        <f t="shared" si="26"/>
        <v>-627409.85986674996</v>
      </c>
      <c r="AD24" s="97">
        <f t="shared" si="27"/>
        <v>0.68854420910782821</v>
      </c>
      <c r="AE24" s="433">
        <f t="shared" si="28"/>
        <v>7667407.1794425007</v>
      </c>
      <c r="AF24" s="550">
        <f t="shared" si="29"/>
        <v>6242183.8600000003</v>
      </c>
      <c r="AG24" s="496">
        <f t="shared" ref="AG24:AI24" si="161">SUM(Z24,S24,S24,L24)</f>
        <v>6282199.370000001</v>
      </c>
      <c r="AH24" s="496">
        <f t="shared" si="161"/>
        <v>1002834.72</v>
      </c>
      <c r="AI24" s="496">
        <f t="shared" si="161"/>
        <v>7285034.0899999999</v>
      </c>
      <c r="AJ24" s="551">
        <f t="shared" si="31"/>
        <v>1042850.2299999995</v>
      </c>
      <c r="AK24" s="552">
        <f t="shared" si="72"/>
        <v>1.1670649653052674</v>
      </c>
      <c r="AL24" s="434">
        <f t="shared" si="33"/>
        <v>1461135.32</v>
      </c>
      <c r="AM24" s="140">
        <f t="shared" si="34"/>
        <v>1971376.0100000002</v>
      </c>
      <c r="AN24" s="123">
        <f t="shared" si="35"/>
        <v>207935.92</v>
      </c>
      <c r="AO24" s="148">
        <f t="shared" si="36"/>
        <v>2179311.9300000002</v>
      </c>
      <c r="AP24" s="434">
        <f t="shared" si="37"/>
        <v>990873.3</v>
      </c>
      <c r="AQ24" s="140">
        <f t="shared" si="38"/>
        <v>2406219.3200000003</v>
      </c>
      <c r="AR24" s="326">
        <f t="shared" si="39"/>
        <v>405300.67</v>
      </c>
      <c r="AS24" s="333">
        <f t="shared" si="40"/>
        <v>2811519.99</v>
      </c>
      <c r="AT24" s="125">
        <f t="shared" si="41"/>
        <v>1633342.93</v>
      </c>
      <c r="AU24" s="140">
        <f t="shared" si="42"/>
        <v>1178881.51</v>
      </c>
      <c r="AV24" s="123">
        <f t="shared" si="43"/>
        <v>181549.85</v>
      </c>
      <c r="AW24" s="125">
        <f t="shared" si="44"/>
        <v>1360431.36</v>
      </c>
      <c r="AX24" s="122">
        <f t="shared" ref="AX24:AZ24" si="162">AU24+AQ24+AM24</f>
        <v>5556476.8399999999</v>
      </c>
      <c r="AY24" s="326">
        <f t="shared" si="162"/>
        <v>794786.44000000006</v>
      </c>
      <c r="AZ24" s="332">
        <f t="shared" si="162"/>
        <v>6351263.2800000012</v>
      </c>
      <c r="BA24" s="140">
        <f t="shared" ref="BA24:BC24" si="163">AX24+AG24</f>
        <v>11838676.210000001</v>
      </c>
      <c r="BB24" s="326">
        <f t="shared" si="163"/>
        <v>1797621.1600000001</v>
      </c>
      <c r="BC24" s="435">
        <f t="shared" si="163"/>
        <v>13636297.370000001</v>
      </c>
      <c r="BD24" s="123">
        <f t="shared" si="47"/>
        <v>1613028.34</v>
      </c>
      <c r="BE24" s="123">
        <f t="shared" si="48"/>
        <v>1003638.26</v>
      </c>
      <c r="BF24" s="123">
        <f t="shared" si="49"/>
        <v>159690.96</v>
      </c>
      <c r="BG24" s="148">
        <f t="shared" si="50"/>
        <v>1163329.22</v>
      </c>
      <c r="BH24" s="123">
        <f t="shared" si="51"/>
        <v>1271406.21</v>
      </c>
      <c r="BI24" s="141">
        <f t="shared" si="52"/>
        <v>1824548.8299999998</v>
      </c>
      <c r="BJ24" s="332">
        <f t="shared" si="53"/>
        <v>631876.24</v>
      </c>
      <c r="BK24" s="333">
        <f t="shared" si="54"/>
        <v>2456425.0699999998</v>
      </c>
      <c r="BL24" s="326">
        <f t="shared" si="55"/>
        <v>843346.43</v>
      </c>
      <c r="BM24" s="326">
        <f t="shared" si="56"/>
        <v>2040688.4000000001</v>
      </c>
      <c r="BN24" s="326">
        <f t="shared" si="57"/>
        <v>254018.51</v>
      </c>
      <c r="BO24" s="332">
        <f t="shared" si="58"/>
        <v>2294706.91</v>
      </c>
      <c r="BP24" s="140">
        <f t="shared" ref="BP24:BR24" si="164">SUM(BM24,BI24,BE24)</f>
        <v>4868875.49</v>
      </c>
      <c r="BQ24" s="326">
        <f t="shared" si="164"/>
        <v>1045585.71</v>
      </c>
      <c r="BR24" s="333">
        <f t="shared" si="164"/>
        <v>5914461.2000000002</v>
      </c>
      <c r="BS24" s="125">
        <f t="shared" si="60"/>
        <v>1740327.37</v>
      </c>
      <c r="BT24" s="140">
        <f t="shared" si="61"/>
        <v>1906467.8900000001</v>
      </c>
      <c r="BU24" s="123">
        <f t="shared" si="62"/>
        <v>990170.29</v>
      </c>
      <c r="BV24" s="148">
        <f t="shared" si="63"/>
        <v>2896638.18</v>
      </c>
      <c r="BW24" s="123">
        <f t="shared" si="64"/>
        <v>1677774</v>
      </c>
      <c r="BX24" s="326">
        <f t="shared" si="65"/>
        <v>2824082.48</v>
      </c>
      <c r="BY24" s="297"/>
      <c r="BZ24" s="590">
        <v>45756</v>
      </c>
      <c r="CF24" s="294"/>
      <c r="CG24" s="294"/>
      <c r="CR24" s="294"/>
    </row>
    <row r="25" spans="1:96" ht="15.75" customHeight="1">
      <c r="A25" s="546">
        <f t="shared" si="0"/>
        <v>112014364</v>
      </c>
      <c r="B25" s="547">
        <f t="shared" si="1"/>
        <v>7</v>
      </c>
      <c r="C25" s="137">
        <f t="shared" si="2"/>
        <v>0.1</v>
      </c>
      <c r="D25" s="137">
        <f t="shared" si="3"/>
        <v>0.2</v>
      </c>
      <c r="E25" s="98">
        <f t="shared" si="4"/>
        <v>0</v>
      </c>
      <c r="F25" s="414">
        <f t="shared" si="5"/>
        <v>62</v>
      </c>
      <c r="G25" s="94">
        <f t="shared" si="6"/>
        <v>0.1</v>
      </c>
      <c r="H25" s="415">
        <f t="shared" si="7"/>
        <v>0.11</v>
      </c>
      <c r="I25" s="568" t="s">
        <v>409</v>
      </c>
      <c r="J25" s="436">
        <f t="shared" si="156"/>
        <v>0</v>
      </c>
      <c r="K25" s="237">
        <v>1800000</v>
      </c>
      <c r="L25" s="140" t="e">
        <f t="shared" si="10"/>
        <v>#VALUE!</v>
      </c>
      <c r="M25" s="116" t="str">
        <f t="shared" si="11"/>
        <v/>
      </c>
      <c r="N25" s="333" t="str">
        <f t="shared" si="12"/>
        <v/>
      </c>
      <c r="O25" s="123" t="e">
        <f t="shared" si="13"/>
        <v>#VALUE!</v>
      </c>
      <c r="P25" s="98" t="str">
        <f t="shared" si="14"/>
        <v/>
      </c>
      <c r="Q25" s="125">
        <f t="shared" si="15"/>
        <v>12188.48</v>
      </c>
      <c r="R25" s="237">
        <v>1800000</v>
      </c>
      <c r="S25" s="140" t="e">
        <f t="shared" si="17"/>
        <v>#VALUE!</v>
      </c>
      <c r="T25" s="326" t="str">
        <f t="shared" si="18"/>
        <v/>
      </c>
      <c r="U25" s="333" t="str">
        <f t="shared" si="19"/>
        <v/>
      </c>
      <c r="V25" s="123" t="e">
        <f t="shared" si="20"/>
        <v>#VALUE!</v>
      </c>
      <c r="W25" s="98" t="e">
        <f t="shared" si="120"/>
        <v>#VALUE!</v>
      </c>
      <c r="X25" s="123">
        <f t="shared" si="134"/>
        <v>35485.019999999997</v>
      </c>
      <c r="Y25" s="587">
        <v>1800000</v>
      </c>
      <c r="Z25" s="116" t="e">
        <f t="shared" si="23"/>
        <v>#VALUE!</v>
      </c>
      <c r="AA25" s="561" t="str">
        <f t="shared" si="24"/>
        <v/>
      </c>
      <c r="AB25" s="561" t="str">
        <f t="shared" si="25"/>
        <v/>
      </c>
      <c r="AC25" s="116" t="e">
        <f t="shared" si="26"/>
        <v>#VALUE!</v>
      </c>
      <c r="AD25" s="97" t="e">
        <f t="shared" si="27"/>
        <v>#VALUE!</v>
      </c>
      <c r="AE25" s="433">
        <f t="shared" si="28"/>
        <v>5400000</v>
      </c>
      <c r="AF25" s="550">
        <f t="shared" si="29"/>
        <v>16598.52</v>
      </c>
      <c r="AG25" s="496" t="e">
        <f t="shared" ref="AG25:AI25" si="165">SUM(Z25,S25,S25,L25)</f>
        <v>#VALUE!</v>
      </c>
      <c r="AH25" s="496">
        <f t="shared" si="165"/>
        <v>0</v>
      </c>
      <c r="AI25" s="496">
        <f t="shared" si="165"/>
        <v>0</v>
      </c>
      <c r="AJ25" s="551">
        <f t="shared" si="31"/>
        <v>-16598.52</v>
      </c>
      <c r="AK25" s="552">
        <f t="shared" si="72"/>
        <v>0</v>
      </c>
      <c r="AL25" s="434">
        <f t="shared" si="33"/>
        <v>0</v>
      </c>
      <c r="AM25" s="140" t="e">
        <f t="shared" si="34"/>
        <v>#VALUE!</v>
      </c>
      <c r="AN25" s="123" t="str">
        <f t="shared" si="35"/>
        <v/>
      </c>
      <c r="AO25" s="148" t="str">
        <f t="shared" si="36"/>
        <v/>
      </c>
      <c r="AP25" s="434">
        <f t="shared" si="37"/>
        <v>431541.4</v>
      </c>
      <c r="AQ25" s="140" t="e">
        <f t="shared" si="38"/>
        <v>#VALUE!</v>
      </c>
      <c r="AR25" s="326" t="str">
        <f t="shared" si="39"/>
        <v/>
      </c>
      <c r="AS25" s="333" t="str">
        <f t="shared" si="40"/>
        <v/>
      </c>
      <c r="AT25" s="125">
        <f t="shared" si="41"/>
        <v>0</v>
      </c>
      <c r="AU25" s="140" t="e">
        <f t="shared" si="42"/>
        <v>#VALUE!</v>
      </c>
      <c r="AV25" s="123" t="str">
        <f t="shared" si="43"/>
        <v/>
      </c>
      <c r="AW25" s="125" t="str">
        <f t="shared" si="44"/>
        <v/>
      </c>
      <c r="AX25" s="122" t="e">
        <f t="shared" ref="AX25:AZ25" si="166">AU25+AQ25+AM25</f>
        <v>#VALUE!</v>
      </c>
      <c r="AY25" s="326" t="e">
        <f t="shared" si="166"/>
        <v>#VALUE!</v>
      </c>
      <c r="AZ25" s="332" t="e">
        <f t="shared" si="166"/>
        <v>#VALUE!</v>
      </c>
      <c r="BA25" s="140" t="e">
        <f t="shared" ref="BA25:BC25" si="167">AX25+AG25</f>
        <v>#VALUE!</v>
      </c>
      <c r="BB25" s="326" t="e">
        <f t="shared" si="167"/>
        <v>#VALUE!</v>
      </c>
      <c r="BC25" s="435" t="e">
        <f t="shared" si="167"/>
        <v>#VALUE!</v>
      </c>
      <c r="BD25" s="123">
        <f t="shared" si="47"/>
        <v>0</v>
      </c>
      <c r="BE25" s="123" t="e">
        <f t="shared" si="48"/>
        <v>#VALUE!</v>
      </c>
      <c r="BF25" s="123" t="str">
        <f t="shared" si="49"/>
        <v/>
      </c>
      <c r="BG25" s="148" t="str">
        <f t="shared" si="50"/>
        <v/>
      </c>
      <c r="BH25" s="123">
        <f t="shared" si="51"/>
        <v>326984.21000000002</v>
      </c>
      <c r="BI25" s="141" t="e">
        <f t="shared" si="52"/>
        <v>#VALUE!</v>
      </c>
      <c r="BJ25" s="332" t="str">
        <f t="shared" si="53"/>
        <v/>
      </c>
      <c r="BK25" s="333" t="str">
        <f t="shared" si="54"/>
        <v/>
      </c>
      <c r="BL25" s="326">
        <f t="shared" si="55"/>
        <v>125991.23</v>
      </c>
      <c r="BM25" s="326" t="e">
        <f t="shared" si="56"/>
        <v>#VALUE!</v>
      </c>
      <c r="BN25" s="326" t="str">
        <f t="shared" si="57"/>
        <v/>
      </c>
      <c r="BO25" s="332" t="str">
        <f t="shared" si="58"/>
        <v/>
      </c>
      <c r="BP25" s="140" t="e">
        <f t="shared" ref="BP25:BR25" si="168">SUM(BM25,BI25,BE25)</f>
        <v>#VALUE!</v>
      </c>
      <c r="BQ25" s="326">
        <f t="shared" si="168"/>
        <v>0</v>
      </c>
      <c r="BR25" s="333">
        <f t="shared" si="168"/>
        <v>0</v>
      </c>
      <c r="BS25" s="125">
        <f t="shared" si="60"/>
        <v>0</v>
      </c>
      <c r="BT25" s="140" t="e">
        <f t="shared" si="61"/>
        <v>#VALUE!</v>
      </c>
      <c r="BU25" s="123" t="str">
        <f t="shared" si="62"/>
        <v/>
      </c>
      <c r="BV25" s="148" t="str">
        <f t="shared" si="63"/>
        <v/>
      </c>
      <c r="BW25" s="123">
        <f t="shared" si="64"/>
        <v>16598.52</v>
      </c>
      <c r="BX25" s="326">
        <f t="shared" si="65"/>
        <v>0</v>
      </c>
      <c r="BY25" s="297"/>
      <c r="BZ25" s="553"/>
      <c r="CF25" s="294"/>
      <c r="CG25" s="294"/>
      <c r="CR25" s="294"/>
    </row>
    <row r="26" spans="1:96" ht="15.75" customHeight="1">
      <c r="A26" s="546">
        <f t="shared" si="0"/>
        <v>112011890</v>
      </c>
      <c r="B26" s="547">
        <f t="shared" si="1"/>
        <v>7</v>
      </c>
      <c r="C26" s="137">
        <f t="shared" si="2"/>
        <v>0.1</v>
      </c>
      <c r="D26" s="137">
        <f t="shared" si="3"/>
        <v>0.2</v>
      </c>
      <c r="E26" s="98">
        <f t="shared" si="4"/>
        <v>0</v>
      </c>
      <c r="F26" s="414">
        <f t="shared" si="5"/>
        <v>62</v>
      </c>
      <c r="G26" s="94">
        <f t="shared" si="6"/>
        <v>0.1</v>
      </c>
      <c r="H26" s="415">
        <f t="shared" si="7"/>
        <v>0.11</v>
      </c>
      <c r="I26" s="568" t="s">
        <v>410</v>
      </c>
      <c r="J26" s="436">
        <f t="shared" si="156"/>
        <v>966363.47</v>
      </c>
      <c r="K26" s="141">
        <f t="shared" ref="K26:K29" si="169">(J26*1.601)*1.05</f>
        <v>1624505.3112434999</v>
      </c>
      <c r="L26" s="140">
        <f t="shared" si="10"/>
        <v>720592.57000000007</v>
      </c>
      <c r="M26" s="116">
        <f t="shared" si="11"/>
        <v>306262.24</v>
      </c>
      <c r="N26" s="333">
        <f t="shared" si="12"/>
        <v>1026854.81</v>
      </c>
      <c r="O26" s="123">
        <f t="shared" si="13"/>
        <v>-597650.50124349981</v>
      </c>
      <c r="P26" s="98">
        <f t="shared" si="14"/>
        <v>0.63210307956086642</v>
      </c>
      <c r="Q26" s="125">
        <f t="shared" si="15"/>
        <v>830634.44</v>
      </c>
      <c r="R26" s="237">
        <v>1800000</v>
      </c>
      <c r="S26" s="140">
        <f t="shared" si="17"/>
        <v>463862.8899999999</v>
      </c>
      <c r="T26" s="326">
        <f t="shared" si="18"/>
        <v>606741.52</v>
      </c>
      <c r="U26" s="333">
        <f t="shared" si="19"/>
        <v>1070604.4099999999</v>
      </c>
      <c r="V26" s="123">
        <f t="shared" si="20"/>
        <v>-729395.59000000008</v>
      </c>
      <c r="W26" s="98">
        <f t="shared" si="120"/>
        <v>0.59478022777777773</v>
      </c>
      <c r="X26" s="123">
        <f t="shared" si="134"/>
        <v>897455.52</v>
      </c>
      <c r="Y26" s="587">
        <v>1800000</v>
      </c>
      <c r="Z26" s="116">
        <f t="shared" si="23"/>
        <v>444679.49</v>
      </c>
      <c r="AA26" s="561">
        <f t="shared" si="24"/>
        <v>138802.4</v>
      </c>
      <c r="AB26" s="561">
        <f t="shared" si="25"/>
        <v>583481.89</v>
      </c>
      <c r="AC26" s="116">
        <f t="shared" si="26"/>
        <v>-1216518.1099999999</v>
      </c>
      <c r="AD26" s="97">
        <f t="shared" si="27"/>
        <v>0.32415660555555559</v>
      </c>
      <c r="AE26" s="433">
        <f t="shared" si="28"/>
        <v>5224505.3112434996</v>
      </c>
      <c r="AF26" s="550">
        <f t="shared" si="29"/>
        <v>3424392.86</v>
      </c>
      <c r="AG26" s="496">
        <f t="shared" ref="AG26:AI26" si="170">SUM(Z26,S26,S26,L26)</f>
        <v>2092997.8399999999</v>
      </c>
      <c r="AH26" s="496">
        <f t="shared" si="170"/>
        <v>1658547.68</v>
      </c>
      <c r="AI26" s="496">
        <f t="shared" si="170"/>
        <v>3751545.52</v>
      </c>
      <c r="AJ26" s="551">
        <f t="shared" si="31"/>
        <v>327152.66000000015</v>
      </c>
      <c r="AK26" s="552">
        <f t="shared" si="72"/>
        <v>1.0955359602052201</v>
      </c>
      <c r="AL26" s="434">
        <f t="shared" si="33"/>
        <v>1133828.93</v>
      </c>
      <c r="AM26" s="140">
        <f t="shared" si="34"/>
        <v>323172</v>
      </c>
      <c r="AN26" s="123">
        <f t="shared" si="35"/>
        <v>512411.28</v>
      </c>
      <c r="AO26" s="148">
        <f t="shared" si="36"/>
        <v>835583.28</v>
      </c>
      <c r="AP26" s="434">
        <f t="shared" si="37"/>
        <v>860743.67</v>
      </c>
      <c r="AQ26" s="140">
        <f t="shared" si="38"/>
        <v>230994</v>
      </c>
      <c r="AR26" s="326">
        <f t="shared" si="39"/>
        <v>346057.76</v>
      </c>
      <c r="AS26" s="333">
        <f t="shared" si="40"/>
        <v>577051.76</v>
      </c>
      <c r="AT26" s="125">
        <f t="shared" si="41"/>
        <v>982346.61</v>
      </c>
      <c r="AU26" s="140">
        <f t="shared" si="42"/>
        <v>92452.370000000054</v>
      </c>
      <c r="AV26" s="123">
        <f t="shared" si="43"/>
        <v>502522.8</v>
      </c>
      <c r="AW26" s="125">
        <f t="shared" si="44"/>
        <v>594975.17000000004</v>
      </c>
      <c r="AX26" s="122">
        <f t="shared" ref="AX26:AZ26" si="171">AU26+AQ26+AM26</f>
        <v>646618.37000000011</v>
      </c>
      <c r="AY26" s="326">
        <f t="shared" si="171"/>
        <v>1360991.84</v>
      </c>
      <c r="AZ26" s="332">
        <f t="shared" si="171"/>
        <v>2007610.2100000002</v>
      </c>
      <c r="BA26" s="140">
        <f t="shared" ref="BA26:BC26" si="172">AX26+AG26</f>
        <v>2739616.21</v>
      </c>
      <c r="BB26" s="326">
        <f t="shared" si="172"/>
        <v>3019539.52</v>
      </c>
      <c r="BC26" s="435">
        <f t="shared" si="172"/>
        <v>5759155.7300000004</v>
      </c>
      <c r="BD26" s="123">
        <f t="shared" si="47"/>
        <v>792919.06</v>
      </c>
      <c r="BE26" s="123">
        <f t="shared" si="48"/>
        <v>144231.29999999993</v>
      </c>
      <c r="BF26" s="123">
        <f t="shared" si="49"/>
        <v>583538.56000000006</v>
      </c>
      <c r="BG26" s="148">
        <f t="shared" si="50"/>
        <v>727769.86</v>
      </c>
      <c r="BH26" s="123">
        <f t="shared" si="51"/>
        <v>1730151.64</v>
      </c>
      <c r="BI26" s="141">
        <f t="shared" si="52"/>
        <v>159736.81999999995</v>
      </c>
      <c r="BJ26" s="332">
        <f t="shared" si="53"/>
        <v>499752.03</v>
      </c>
      <c r="BK26" s="333">
        <f t="shared" si="54"/>
        <v>659488.85</v>
      </c>
      <c r="BL26" s="326">
        <f t="shared" si="55"/>
        <v>983522.86</v>
      </c>
      <c r="BM26" s="326">
        <f t="shared" si="56"/>
        <v>63528.300000000047</v>
      </c>
      <c r="BN26" s="326">
        <f t="shared" si="57"/>
        <v>415681.72</v>
      </c>
      <c r="BO26" s="332">
        <f t="shared" si="58"/>
        <v>479210.02</v>
      </c>
      <c r="BP26" s="140">
        <f t="shared" ref="BP26:BR26" si="173">SUM(BM26,BI26,BE26)</f>
        <v>367496.41999999993</v>
      </c>
      <c r="BQ26" s="326">
        <f t="shared" si="173"/>
        <v>1498972.31</v>
      </c>
      <c r="BR26" s="333">
        <f t="shared" si="173"/>
        <v>1866468.73</v>
      </c>
      <c r="BS26" s="125">
        <f t="shared" si="60"/>
        <v>1666958.18</v>
      </c>
      <c r="BT26" s="140">
        <f t="shared" si="61"/>
        <v>786010.28</v>
      </c>
      <c r="BU26" s="123">
        <f t="shared" si="62"/>
        <v>632645.79</v>
      </c>
      <c r="BV26" s="148">
        <f t="shared" si="63"/>
        <v>1418656.07</v>
      </c>
      <c r="BW26" s="123">
        <f t="shared" si="64"/>
        <v>791777.7</v>
      </c>
      <c r="BX26" s="326">
        <f t="shared" si="65"/>
        <v>965656.98</v>
      </c>
      <c r="BY26" s="297"/>
      <c r="BZ26" s="553" t="s">
        <v>411</v>
      </c>
      <c r="CF26" s="294"/>
      <c r="CG26" s="294"/>
      <c r="CR26" s="294"/>
    </row>
    <row r="27" spans="1:96" ht="15.75" customHeight="1">
      <c r="A27" s="546">
        <f t="shared" si="0"/>
        <v>112013224</v>
      </c>
      <c r="B27" s="547">
        <f t="shared" si="1"/>
        <v>7</v>
      </c>
      <c r="C27" s="137">
        <f t="shared" si="2"/>
        <v>0.1</v>
      </c>
      <c r="D27" s="137">
        <f t="shared" si="3"/>
        <v>0.2</v>
      </c>
      <c r="E27" s="98">
        <f t="shared" si="4"/>
        <v>0</v>
      </c>
      <c r="F27" s="414">
        <f t="shared" si="5"/>
        <v>62</v>
      </c>
      <c r="G27" s="94">
        <f t="shared" si="6"/>
        <v>0.1</v>
      </c>
      <c r="H27" s="415">
        <f t="shared" si="7"/>
        <v>0.11</v>
      </c>
      <c r="I27" s="568" t="s">
        <v>412</v>
      </c>
      <c r="J27" s="436">
        <f t="shared" si="156"/>
        <v>1435538.72</v>
      </c>
      <c r="K27" s="141">
        <f t="shared" si="169"/>
        <v>2413212.3652560003</v>
      </c>
      <c r="L27" s="140">
        <f t="shared" si="10"/>
        <v>518915.20999999996</v>
      </c>
      <c r="M27" s="116">
        <f t="shared" si="11"/>
        <v>1067035.79</v>
      </c>
      <c r="N27" s="333">
        <f t="shared" si="12"/>
        <v>1585951</v>
      </c>
      <c r="O27" s="123">
        <f t="shared" si="13"/>
        <v>-827261.36525600031</v>
      </c>
      <c r="P27" s="98">
        <f t="shared" si="14"/>
        <v>0.65719495840216191</v>
      </c>
      <c r="Q27" s="125">
        <f t="shared" si="15"/>
        <v>2164939.83</v>
      </c>
      <c r="R27" s="141">
        <f>(Q27*1.7245)*1.05</f>
        <v>3920110.6736767502</v>
      </c>
      <c r="S27" s="140">
        <f t="shared" si="17"/>
        <v>2416099.7299999995</v>
      </c>
      <c r="T27" s="326">
        <f t="shared" si="18"/>
        <v>1373666.8</v>
      </c>
      <c r="U27" s="333">
        <f t="shared" si="19"/>
        <v>3789766.53</v>
      </c>
      <c r="V27" s="123">
        <f t="shared" si="20"/>
        <v>-130344.14367675036</v>
      </c>
      <c r="W27" s="98">
        <f t="shared" si="120"/>
        <v>0.96674988169288134</v>
      </c>
      <c r="X27" s="123">
        <f t="shared" si="134"/>
        <v>1343053.32</v>
      </c>
      <c r="Y27" s="326">
        <f>(X27*1.5955)*1.05</f>
        <v>2249983.6506630001</v>
      </c>
      <c r="Z27" s="116">
        <f t="shared" si="23"/>
        <v>1118280.33</v>
      </c>
      <c r="AA27" s="561">
        <f t="shared" si="24"/>
        <v>1309217.21</v>
      </c>
      <c r="AB27" s="561">
        <f t="shared" si="25"/>
        <v>2427497.54</v>
      </c>
      <c r="AC27" s="116">
        <f t="shared" si="26"/>
        <v>177513.88933699997</v>
      </c>
      <c r="AD27" s="97">
        <f t="shared" si="27"/>
        <v>1.0788956352125902</v>
      </c>
      <c r="AE27" s="433">
        <f t="shared" si="28"/>
        <v>8583306.6895957496</v>
      </c>
      <c r="AF27" s="550">
        <f t="shared" si="29"/>
        <v>8135101.5199999996</v>
      </c>
      <c r="AG27" s="496">
        <f t="shared" ref="AG27:AI27" si="174">SUM(Z27,S27,S27,L27)</f>
        <v>6469394.9999999991</v>
      </c>
      <c r="AH27" s="496">
        <f t="shared" si="174"/>
        <v>5123586.5999999996</v>
      </c>
      <c r="AI27" s="496">
        <f t="shared" si="174"/>
        <v>11592981.6</v>
      </c>
      <c r="AJ27" s="551">
        <f t="shared" si="31"/>
        <v>3457880.08</v>
      </c>
      <c r="AK27" s="552">
        <f t="shared" si="72"/>
        <v>1.4250567828193494</v>
      </c>
      <c r="AL27" s="434">
        <f t="shared" si="33"/>
        <v>1807884.15</v>
      </c>
      <c r="AM27" s="140">
        <f t="shared" si="34"/>
        <v>0</v>
      </c>
      <c r="AN27" s="123">
        <f t="shared" si="35"/>
        <v>972360.18</v>
      </c>
      <c r="AO27" s="148">
        <f t="shared" si="36"/>
        <v>972360.18</v>
      </c>
      <c r="AP27" s="434">
        <f t="shared" si="37"/>
        <v>2014126.33</v>
      </c>
      <c r="AQ27" s="140">
        <f t="shared" si="38"/>
        <v>0</v>
      </c>
      <c r="AR27" s="326">
        <f t="shared" si="39"/>
        <v>1010352.64</v>
      </c>
      <c r="AS27" s="333">
        <f t="shared" si="40"/>
        <v>1010352.64</v>
      </c>
      <c r="AT27" s="125">
        <f t="shared" si="41"/>
        <v>588873.49</v>
      </c>
      <c r="AU27" s="140">
        <f t="shared" si="42"/>
        <v>135578.56000000006</v>
      </c>
      <c r="AV27" s="123">
        <f t="shared" si="43"/>
        <v>2176825.06</v>
      </c>
      <c r="AW27" s="125">
        <f t="shared" si="44"/>
        <v>2312403.62</v>
      </c>
      <c r="AX27" s="122">
        <f t="shared" ref="AX27:AZ27" si="175">AU27+AQ27+AM27</f>
        <v>135578.56000000006</v>
      </c>
      <c r="AY27" s="326">
        <f t="shared" si="175"/>
        <v>4159537.8800000004</v>
      </c>
      <c r="AZ27" s="332">
        <f t="shared" si="175"/>
        <v>4295116.4400000004</v>
      </c>
      <c r="BA27" s="140">
        <f t="shared" ref="BA27:BC27" si="176">AX27+AG27</f>
        <v>6604973.5599999987</v>
      </c>
      <c r="BB27" s="326">
        <f t="shared" si="176"/>
        <v>9283124.4800000004</v>
      </c>
      <c r="BC27" s="435">
        <f t="shared" si="176"/>
        <v>15888098.039999999</v>
      </c>
      <c r="BD27" s="123">
        <f t="shared" si="47"/>
        <v>2467392.61</v>
      </c>
      <c r="BE27" s="123">
        <f t="shared" si="48"/>
        <v>0</v>
      </c>
      <c r="BF27" s="123">
        <f t="shared" si="49"/>
        <v>1738205.7</v>
      </c>
      <c r="BG27" s="148">
        <f t="shared" si="50"/>
        <v>1738205.7</v>
      </c>
      <c r="BH27" s="123">
        <f t="shared" si="51"/>
        <v>4306799.41</v>
      </c>
      <c r="BI27" s="141">
        <f t="shared" si="52"/>
        <v>1555650.98</v>
      </c>
      <c r="BJ27" s="332">
        <f t="shared" si="53"/>
        <v>1615899.52</v>
      </c>
      <c r="BK27" s="333">
        <f t="shared" si="54"/>
        <v>3171550.5</v>
      </c>
      <c r="BL27" s="326">
        <f t="shared" si="55"/>
        <v>1577551.66</v>
      </c>
      <c r="BM27" s="326">
        <f t="shared" si="56"/>
        <v>0</v>
      </c>
      <c r="BN27" s="326">
        <f t="shared" si="57"/>
        <v>3374607.03</v>
      </c>
      <c r="BO27" s="332">
        <f t="shared" si="58"/>
        <v>3374607.03</v>
      </c>
      <c r="BP27" s="140">
        <f t="shared" ref="BP27:BR27" si="177">SUM(BM27,BI27,BE27)</f>
        <v>1555650.98</v>
      </c>
      <c r="BQ27" s="326">
        <f t="shared" si="177"/>
        <v>6728712.25</v>
      </c>
      <c r="BR27" s="333">
        <f t="shared" si="177"/>
        <v>8284363.2299999995</v>
      </c>
      <c r="BS27" s="125">
        <f t="shared" si="60"/>
        <v>3426247.64</v>
      </c>
      <c r="BT27" s="140">
        <f t="shared" si="61"/>
        <v>1567010.3099999998</v>
      </c>
      <c r="BU27" s="123">
        <f t="shared" si="62"/>
        <v>1310313.45</v>
      </c>
      <c r="BV27" s="148">
        <f t="shared" si="63"/>
        <v>2877323.76</v>
      </c>
      <c r="BW27" s="123">
        <f t="shared" si="64"/>
        <v>2236561.2599999998</v>
      </c>
      <c r="BX27" s="326">
        <f t="shared" si="65"/>
        <v>2472292.62</v>
      </c>
      <c r="BY27" s="297"/>
      <c r="BZ27" s="553" t="s">
        <v>413</v>
      </c>
      <c r="CF27" s="294"/>
      <c r="CG27" s="294"/>
      <c r="CR27" s="294"/>
    </row>
    <row r="28" spans="1:96" ht="15.75" customHeight="1">
      <c r="A28" s="546">
        <f t="shared" si="0"/>
        <v>112013295</v>
      </c>
      <c r="B28" s="547">
        <f t="shared" si="1"/>
        <v>7</v>
      </c>
      <c r="C28" s="137">
        <f t="shared" si="2"/>
        <v>0.1</v>
      </c>
      <c r="D28" s="137">
        <f t="shared" si="3"/>
        <v>0.2</v>
      </c>
      <c r="E28" s="98">
        <f t="shared" si="4"/>
        <v>0</v>
      </c>
      <c r="F28" s="414">
        <f t="shared" si="5"/>
        <v>62</v>
      </c>
      <c r="G28" s="94">
        <f t="shared" si="6"/>
        <v>0.1</v>
      </c>
      <c r="H28" s="415">
        <f t="shared" si="7"/>
        <v>0.11</v>
      </c>
      <c r="I28" s="568" t="s">
        <v>414</v>
      </c>
      <c r="J28" s="436">
        <f t="shared" si="156"/>
        <v>4428402.59</v>
      </c>
      <c r="K28" s="141">
        <f t="shared" si="169"/>
        <v>7444366.1739194999</v>
      </c>
      <c r="L28" s="140">
        <f t="shared" si="10"/>
        <v>2552014.0299999998</v>
      </c>
      <c r="M28" s="116">
        <f t="shared" si="11"/>
        <v>1824544.73</v>
      </c>
      <c r="N28" s="333">
        <f t="shared" si="12"/>
        <v>4376558.76</v>
      </c>
      <c r="O28" s="123">
        <f t="shared" si="13"/>
        <v>-3067807.4139195001</v>
      </c>
      <c r="P28" s="98">
        <f t="shared" si="14"/>
        <v>0.58790213401011648</v>
      </c>
      <c r="Q28" s="125">
        <f t="shared" si="15"/>
        <v>957300.07</v>
      </c>
      <c r="R28" s="237">
        <v>1800000</v>
      </c>
      <c r="S28" s="140">
        <f t="shared" si="17"/>
        <v>307133.88</v>
      </c>
      <c r="T28" s="326">
        <f t="shared" si="18"/>
        <v>329683</v>
      </c>
      <c r="U28" s="333">
        <f t="shared" si="19"/>
        <v>636816.88</v>
      </c>
      <c r="V28" s="123">
        <f t="shared" si="20"/>
        <v>-1163183.1200000001</v>
      </c>
      <c r="W28" s="98">
        <f t="shared" si="120"/>
        <v>0.35378715555555557</v>
      </c>
      <c r="X28" s="123">
        <f t="shared" si="134"/>
        <v>998102.06</v>
      </c>
      <c r="Y28" s="587">
        <v>1800000</v>
      </c>
      <c r="Z28" s="116">
        <f t="shared" si="23"/>
        <v>0</v>
      </c>
      <c r="AA28" s="561">
        <f t="shared" si="24"/>
        <v>1096857.44</v>
      </c>
      <c r="AB28" s="561">
        <f t="shared" si="25"/>
        <v>1096857.44</v>
      </c>
      <c r="AC28" s="116">
        <f t="shared" si="26"/>
        <v>-703142.56</v>
      </c>
      <c r="AD28" s="97">
        <f t="shared" si="27"/>
        <v>0.6093652444444444</v>
      </c>
      <c r="AE28" s="433">
        <f t="shared" si="28"/>
        <v>11044366.173919499</v>
      </c>
      <c r="AF28" s="550">
        <f t="shared" si="29"/>
        <v>11316018.35</v>
      </c>
      <c r="AG28" s="496">
        <f t="shared" ref="AG28:AI28" si="178">SUM(Z28,S28,S28,L28)</f>
        <v>3166281.79</v>
      </c>
      <c r="AH28" s="496">
        <f t="shared" si="178"/>
        <v>3580768.17</v>
      </c>
      <c r="AI28" s="496">
        <f t="shared" si="178"/>
        <v>6747049.959999999</v>
      </c>
      <c r="AJ28" s="551">
        <f t="shared" si="31"/>
        <v>-4568968.3900000006</v>
      </c>
      <c r="AK28" s="552">
        <f t="shared" si="72"/>
        <v>0.59623886700395812</v>
      </c>
      <c r="AL28" s="434">
        <f t="shared" si="33"/>
        <v>339680.41</v>
      </c>
      <c r="AM28" s="140">
        <f t="shared" si="34"/>
        <v>1059497.7900000003</v>
      </c>
      <c r="AN28" s="123">
        <f t="shared" si="35"/>
        <v>1426700.18</v>
      </c>
      <c r="AO28" s="148">
        <f t="shared" si="36"/>
        <v>2486197.9700000002</v>
      </c>
      <c r="AP28" s="434">
        <f t="shared" si="37"/>
        <v>2262923.0099999998</v>
      </c>
      <c r="AQ28" s="140">
        <f t="shared" si="38"/>
        <v>0</v>
      </c>
      <c r="AR28" s="326">
        <f t="shared" si="39"/>
        <v>1026059.84</v>
      </c>
      <c r="AS28" s="333">
        <f t="shared" si="40"/>
        <v>1026059.84</v>
      </c>
      <c r="AT28" s="125">
        <f t="shared" si="41"/>
        <v>1214736.52</v>
      </c>
      <c r="AU28" s="140">
        <f t="shared" si="42"/>
        <v>2637530.7000000002</v>
      </c>
      <c r="AV28" s="123">
        <f t="shared" si="43"/>
        <v>852773.98</v>
      </c>
      <c r="AW28" s="125">
        <f t="shared" si="44"/>
        <v>3490304.68</v>
      </c>
      <c r="AX28" s="122">
        <f t="shared" ref="AX28:AZ28" si="179">AU28+AQ28+AM28</f>
        <v>3697028.49</v>
      </c>
      <c r="AY28" s="326">
        <f t="shared" si="179"/>
        <v>3305534</v>
      </c>
      <c r="AZ28" s="332">
        <f t="shared" si="179"/>
        <v>7002562.4900000002</v>
      </c>
      <c r="BA28" s="140">
        <f t="shared" ref="BA28:BC28" si="180">AX28+AG28</f>
        <v>6863310.2800000003</v>
      </c>
      <c r="BB28" s="326">
        <f t="shared" si="180"/>
        <v>6886302.1699999999</v>
      </c>
      <c r="BC28" s="435">
        <f t="shared" si="180"/>
        <v>13749612.449999999</v>
      </c>
      <c r="BD28" s="123">
        <f t="shared" si="47"/>
        <v>1880999.5</v>
      </c>
      <c r="BE28" s="123">
        <f t="shared" si="48"/>
        <v>496498.28</v>
      </c>
      <c r="BF28" s="123">
        <f t="shared" si="49"/>
        <v>0</v>
      </c>
      <c r="BG28" s="148">
        <f t="shared" si="50"/>
        <v>496498.28</v>
      </c>
      <c r="BH28" s="123">
        <f t="shared" si="51"/>
        <v>1442468.58</v>
      </c>
      <c r="BI28" s="141">
        <f t="shared" si="52"/>
        <v>2727629.1399999997</v>
      </c>
      <c r="BJ28" s="332">
        <f t="shared" si="53"/>
        <v>556873.80000000005</v>
      </c>
      <c r="BK28" s="333">
        <f t="shared" si="54"/>
        <v>3284502.94</v>
      </c>
      <c r="BL28" s="326">
        <f t="shared" si="55"/>
        <v>1821791.95</v>
      </c>
      <c r="BM28" s="326">
        <f t="shared" si="56"/>
        <v>93879.21</v>
      </c>
      <c r="BN28" s="326">
        <f t="shared" si="57"/>
        <v>0</v>
      </c>
      <c r="BO28" s="332">
        <f t="shared" si="58"/>
        <v>93879.21</v>
      </c>
      <c r="BP28" s="140">
        <f t="shared" ref="BP28:BR28" si="181">SUM(BM28,BI28,BE28)</f>
        <v>3318006.63</v>
      </c>
      <c r="BQ28" s="326">
        <f t="shared" si="181"/>
        <v>556873.80000000005</v>
      </c>
      <c r="BR28" s="333">
        <f t="shared" si="181"/>
        <v>3874880.4299999997</v>
      </c>
      <c r="BS28" s="125">
        <f t="shared" si="60"/>
        <v>5724747.5899999999</v>
      </c>
      <c r="BT28" s="140">
        <f t="shared" si="61"/>
        <v>5569291.6800000006</v>
      </c>
      <c r="BU28" s="123">
        <f t="shared" si="62"/>
        <v>700630.26</v>
      </c>
      <c r="BV28" s="148">
        <f t="shared" si="63"/>
        <v>6269921.9400000004</v>
      </c>
      <c r="BW28" s="123">
        <f t="shared" si="64"/>
        <v>1594936.88</v>
      </c>
      <c r="BX28" s="326">
        <f t="shared" si="65"/>
        <v>3996333.87</v>
      </c>
      <c r="BY28" s="297"/>
      <c r="BZ28" s="553" t="s">
        <v>413</v>
      </c>
      <c r="CF28" s="294"/>
      <c r="CG28" s="294"/>
      <c r="CR28" s="294"/>
    </row>
    <row r="29" spans="1:96" ht="15.75" customHeight="1">
      <c r="A29" s="546">
        <f t="shared" si="0"/>
        <v>112011977</v>
      </c>
      <c r="B29" s="547">
        <f t="shared" si="1"/>
        <v>7</v>
      </c>
      <c r="C29" s="137">
        <f t="shared" si="2"/>
        <v>0.1</v>
      </c>
      <c r="D29" s="137">
        <f t="shared" si="3"/>
        <v>0.2</v>
      </c>
      <c r="E29" s="98">
        <f t="shared" si="4"/>
        <v>0</v>
      </c>
      <c r="F29" s="414">
        <f t="shared" si="5"/>
        <v>62</v>
      </c>
      <c r="G29" s="94">
        <f t="shared" si="6"/>
        <v>0.1</v>
      </c>
      <c r="H29" s="415">
        <f t="shared" si="7"/>
        <v>0.11</v>
      </c>
      <c r="I29" s="568" t="s">
        <v>415</v>
      </c>
      <c r="J29" s="436">
        <f t="shared" si="156"/>
        <v>107116.02</v>
      </c>
      <c r="K29" s="141">
        <f t="shared" si="169"/>
        <v>180067.38542100001</v>
      </c>
      <c r="L29" s="140">
        <f t="shared" si="10"/>
        <v>330003.96000000002</v>
      </c>
      <c r="M29" s="116">
        <f t="shared" si="11"/>
        <v>0</v>
      </c>
      <c r="N29" s="333">
        <f t="shared" si="12"/>
        <v>330003.96000000002</v>
      </c>
      <c r="O29" s="123">
        <f t="shared" si="13"/>
        <v>149936.57457900001</v>
      </c>
      <c r="P29" s="98">
        <f t="shared" si="14"/>
        <v>1.8326692489505874</v>
      </c>
      <c r="Q29" s="125">
        <f t="shared" si="15"/>
        <v>80343.37</v>
      </c>
      <c r="R29" s="237">
        <v>1800000</v>
      </c>
      <c r="S29" s="140">
        <f t="shared" si="17"/>
        <v>1051673.3299999998</v>
      </c>
      <c r="T29" s="326">
        <f t="shared" si="18"/>
        <v>35136.31</v>
      </c>
      <c r="U29" s="333">
        <f t="shared" si="19"/>
        <v>1086809.6399999999</v>
      </c>
      <c r="V29" s="123">
        <f t="shared" si="20"/>
        <v>-713190.3600000001</v>
      </c>
      <c r="W29" s="98">
        <f t="shared" si="120"/>
        <v>0.60378313333333322</v>
      </c>
      <c r="X29" s="123">
        <f t="shared" si="134"/>
        <v>17532.18</v>
      </c>
      <c r="Y29" s="587">
        <v>1800000</v>
      </c>
      <c r="Z29" s="116">
        <f t="shared" si="23"/>
        <v>699000.09</v>
      </c>
      <c r="AA29" s="561">
        <f t="shared" si="24"/>
        <v>15971.05</v>
      </c>
      <c r="AB29" s="561">
        <f t="shared" si="25"/>
        <v>714971.14</v>
      </c>
      <c r="AC29" s="116">
        <f t="shared" si="26"/>
        <v>-1085028.8599999999</v>
      </c>
      <c r="AD29" s="97">
        <f t="shared" si="27"/>
        <v>0.39720618888888892</v>
      </c>
      <c r="AE29" s="433">
        <f t="shared" si="28"/>
        <v>3780067.385421</v>
      </c>
      <c r="AF29" s="550">
        <f t="shared" si="29"/>
        <v>1706988.01</v>
      </c>
      <c r="AG29" s="496">
        <f t="shared" ref="AG29:AI29" si="182">SUM(Z29,S29,S29,L29)</f>
        <v>3132350.71</v>
      </c>
      <c r="AH29" s="496">
        <f t="shared" si="182"/>
        <v>86243.67</v>
      </c>
      <c r="AI29" s="496">
        <f t="shared" si="182"/>
        <v>3218594.38</v>
      </c>
      <c r="AJ29" s="551">
        <f t="shared" si="31"/>
        <v>1511606.3699999999</v>
      </c>
      <c r="AK29" s="552">
        <f t="shared" si="72"/>
        <v>1.8855401216321372</v>
      </c>
      <c r="AL29" s="434">
        <f t="shared" si="33"/>
        <v>346320.16</v>
      </c>
      <c r="AM29" s="140">
        <f t="shared" si="34"/>
        <v>842525.81</v>
      </c>
      <c r="AN29" s="123">
        <f t="shared" si="35"/>
        <v>0</v>
      </c>
      <c r="AO29" s="148">
        <f t="shared" si="36"/>
        <v>842525.81</v>
      </c>
      <c r="AP29" s="434">
        <f t="shared" si="37"/>
        <v>374597.76</v>
      </c>
      <c r="AQ29" s="140">
        <f t="shared" si="38"/>
        <v>644565.8899999999</v>
      </c>
      <c r="AR29" s="326">
        <f t="shared" si="39"/>
        <v>15971.05</v>
      </c>
      <c r="AS29" s="333">
        <f t="shared" si="40"/>
        <v>660536.93999999994</v>
      </c>
      <c r="AT29" s="125">
        <f t="shared" si="41"/>
        <v>150007.57999999999</v>
      </c>
      <c r="AU29" s="140">
        <f t="shared" si="42"/>
        <v>390598.57</v>
      </c>
      <c r="AV29" s="123">
        <f t="shared" si="43"/>
        <v>9582.6299999999992</v>
      </c>
      <c r="AW29" s="125">
        <f t="shared" si="44"/>
        <v>400181.2</v>
      </c>
      <c r="AX29" s="122">
        <f t="shared" ref="AX29:AZ29" si="183">AU29+AQ29+AM29</f>
        <v>1877690.27</v>
      </c>
      <c r="AY29" s="326">
        <f t="shared" si="183"/>
        <v>25553.68</v>
      </c>
      <c r="AZ29" s="332">
        <f t="shared" si="183"/>
        <v>1903243.95</v>
      </c>
      <c r="BA29" s="140">
        <f t="shared" ref="BA29:BC29" si="184">AX29+AG29</f>
        <v>5010040.9800000004</v>
      </c>
      <c r="BB29" s="326">
        <f t="shared" si="184"/>
        <v>111797.35</v>
      </c>
      <c r="BC29" s="435">
        <f t="shared" si="184"/>
        <v>5121838.33</v>
      </c>
      <c r="BD29" s="123">
        <f t="shared" si="47"/>
        <v>201199.51</v>
      </c>
      <c r="BE29" s="123">
        <f t="shared" si="48"/>
        <v>837244.35</v>
      </c>
      <c r="BF29" s="123">
        <f t="shared" si="49"/>
        <v>0</v>
      </c>
      <c r="BG29" s="148">
        <f t="shared" si="50"/>
        <v>837244.35</v>
      </c>
      <c r="BH29" s="123">
        <f t="shared" si="51"/>
        <v>257300.4</v>
      </c>
      <c r="BI29" s="141">
        <f t="shared" si="52"/>
        <v>634613.51</v>
      </c>
      <c r="BJ29" s="332">
        <f t="shared" si="53"/>
        <v>0</v>
      </c>
      <c r="BK29" s="333">
        <f t="shared" si="54"/>
        <v>634613.51</v>
      </c>
      <c r="BL29" s="326">
        <f t="shared" si="55"/>
        <v>493650.36</v>
      </c>
      <c r="BM29" s="326">
        <f t="shared" si="56"/>
        <v>820031.37</v>
      </c>
      <c r="BN29" s="326">
        <f t="shared" si="57"/>
        <v>34173.599999999999</v>
      </c>
      <c r="BO29" s="332">
        <f t="shared" si="58"/>
        <v>854204.97</v>
      </c>
      <c r="BP29" s="140">
        <f t="shared" ref="BP29:BR29" si="185">SUM(BM29,BI29,BE29)</f>
        <v>2291889.23</v>
      </c>
      <c r="BQ29" s="326">
        <f t="shared" si="185"/>
        <v>34173.599999999999</v>
      </c>
      <c r="BR29" s="333">
        <f t="shared" si="185"/>
        <v>2326062.83</v>
      </c>
      <c r="BS29" s="125">
        <f t="shared" si="60"/>
        <v>255439.22</v>
      </c>
      <c r="BT29" s="140">
        <f t="shared" si="61"/>
        <v>1576324.74</v>
      </c>
      <c r="BU29" s="123">
        <f t="shared" si="62"/>
        <v>0</v>
      </c>
      <c r="BV29" s="148">
        <f t="shared" si="63"/>
        <v>1576324.74</v>
      </c>
      <c r="BW29" s="123">
        <f t="shared" si="64"/>
        <v>552684.43000000005</v>
      </c>
      <c r="BX29" s="326">
        <f t="shared" si="65"/>
        <v>898864.37</v>
      </c>
      <c r="BY29" s="297"/>
      <c r="BZ29" s="553" t="s">
        <v>411</v>
      </c>
      <c r="CF29" s="294"/>
      <c r="CG29" s="294"/>
      <c r="CR29" s="294"/>
    </row>
    <row r="30" spans="1:96" ht="15.75" customHeight="1">
      <c r="A30" s="546">
        <f t="shared" si="0"/>
        <v>112014578</v>
      </c>
      <c r="B30" s="547">
        <f t="shared" si="1"/>
        <v>8</v>
      </c>
      <c r="C30" s="137">
        <f t="shared" si="2"/>
        <v>0.1</v>
      </c>
      <c r="D30" s="137">
        <f t="shared" si="3"/>
        <v>0.2</v>
      </c>
      <c r="E30" s="98">
        <f t="shared" si="4"/>
        <v>0.23</v>
      </c>
      <c r="F30" s="414">
        <f t="shared" si="5"/>
        <v>62</v>
      </c>
      <c r="G30" s="94">
        <f t="shared" si="6"/>
        <v>0.1</v>
      </c>
      <c r="H30" s="415">
        <f t="shared" si="7"/>
        <v>0.11</v>
      </c>
      <c r="I30" s="568" t="s">
        <v>416</v>
      </c>
      <c r="J30" s="436">
        <f t="shared" si="156"/>
        <v>0</v>
      </c>
      <c r="K30" s="237">
        <v>1800000</v>
      </c>
      <c r="L30" s="140">
        <f t="shared" si="10"/>
        <v>371684.65</v>
      </c>
      <c r="M30" s="116">
        <f t="shared" si="11"/>
        <v>355729.28</v>
      </c>
      <c r="N30" s="333">
        <f t="shared" si="12"/>
        <v>727413.93</v>
      </c>
      <c r="O30" s="123">
        <f t="shared" si="13"/>
        <v>-1072586.0699999998</v>
      </c>
      <c r="P30" s="98">
        <f t="shared" si="14"/>
        <v>0.40411885000000003</v>
      </c>
      <c r="Q30" s="125">
        <f t="shared" si="15"/>
        <v>0</v>
      </c>
      <c r="R30" s="237">
        <v>1800000</v>
      </c>
      <c r="S30" s="140">
        <f t="shared" si="17"/>
        <v>359752.17</v>
      </c>
      <c r="T30" s="326">
        <f t="shared" si="18"/>
        <v>238343.82</v>
      </c>
      <c r="U30" s="333">
        <f t="shared" si="19"/>
        <v>598095.99</v>
      </c>
      <c r="V30" s="123">
        <f t="shared" si="20"/>
        <v>-1201904.01</v>
      </c>
      <c r="W30" s="98">
        <f t="shared" si="120"/>
        <v>0.33227554999999998</v>
      </c>
      <c r="X30" s="123">
        <f t="shared" si="134"/>
        <v>0</v>
      </c>
      <c r="Y30" s="587">
        <v>1800000</v>
      </c>
      <c r="Z30" s="116">
        <f t="shared" si="23"/>
        <v>588120.9</v>
      </c>
      <c r="AA30" s="561">
        <f t="shared" si="24"/>
        <v>561098.9</v>
      </c>
      <c r="AB30" s="561">
        <f t="shared" si="25"/>
        <v>1149219.8</v>
      </c>
      <c r="AC30" s="116">
        <f t="shared" si="26"/>
        <v>-650780.19999999995</v>
      </c>
      <c r="AD30" s="97">
        <f t="shared" si="27"/>
        <v>0.63845544444444446</v>
      </c>
      <c r="AE30" s="433">
        <f t="shared" si="28"/>
        <v>5400000</v>
      </c>
      <c r="AF30" s="550">
        <f t="shared" si="29"/>
        <v>5040915.3899999997</v>
      </c>
      <c r="AG30" s="496">
        <f t="shared" ref="AG30:AI30" si="186">SUM(Z30,S30,S30,L30)</f>
        <v>1679309.8900000001</v>
      </c>
      <c r="AH30" s="496">
        <f t="shared" si="186"/>
        <v>1393515.82</v>
      </c>
      <c r="AI30" s="496">
        <f t="shared" si="186"/>
        <v>3072825.7100000004</v>
      </c>
      <c r="AJ30" s="551">
        <f t="shared" si="31"/>
        <v>-1968089.6799999992</v>
      </c>
      <c r="AK30" s="552">
        <f t="shared" si="72"/>
        <v>0.60957692646374706</v>
      </c>
      <c r="AL30" s="434">
        <f t="shared" si="33"/>
        <v>0</v>
      </c>
      <c r="AM30" s="140">
        <f t="shared" si="34"/>
        <v>64300.949999999983</v>
      </c>
      <c r="AN30" s="123">
        <f t="shared" si="35"/>
        <v>254698.34</v>
      </c>
      <c r="AO30" s="148">
        <f t="shared" si="36"/>
        <v>318999.28999999998</v>
      </c>
      <c r="AP30" s="434">
        <f t="shared" si="37"/>
        <v>0</v>
      </c>
      <c r="AQ30" s="140">
        <f t="shared" si="38"/>
        <v>573196.25</v>
      </c>
      <c r="AR30" s="326">
        <f t="shared" si="39"/>
        <v>386726.72</v>
      </c>
      <c r="AS30" s="333">
        <f t="shared" si="40"/>
        <v>959922.97</v>
      </c>
      <c r="AT30" s="125">
        <f t="shared" si="41"/>
        <v>0</v>
      </c>
      <c r="AU30" s="140">
        <f t="shared" si="42"/>
        <v>0</v>
      </c>
      <c r="AV30" s="123">
        <f t="shared" si="43"/>
        <v>204818.84</v>
      </c>
      <c r="AW30" s="125">
        <f t="shared" si="44"/>
        <v>204818.84</v>
      </c>
      <c r="AX30" s="122">
        <f t="shared" ref="AX30:AZ30" si="187">AU30+AQ30+AM30</f>
        <v>637497.19999999995</v>
      </c>
      <c r="AY30" s="326">
        <f t="shared" si="187"/>
        <v>846243.89999999991</v>
      </c>
      <c r="AZ30" s="332">
        <f t="shared" si="187"/>
        <v>1483741.1</v>
      </c>
      <c r="BA30" s="140">
        <f t="shared" ref="BA30:BC30" si="188">AX30+AG30</f>
        <v>2316807.09</v>
      </c>
      <c r="BB30" s="326">
        <f t="shared" si="188"/>
        <v>2239759.7199999997</v>
      </c>
      <c r="BC30" s="435">
        <f t="shared" si="188"/>
        <v>4556566.8100000005</v>
      </c>
      <c r="BD30" s="123">
        <f t="shared" si="47"/>
        <v>0</v>
      </c>
      <c r="BE30" s="123">
        <f t="shared" si="48"/>
        <v>297754.23</v>
      </c>
      <c r="BF30" s="123">
        <f t="shared" si="49"/>
        <v>589365.36</v>
      </c>
      <c r="BG30" s="148">
        <f t="shared" si="50"/>
        <v>887119.59</v>
      </c>
      <c r="BH30" s="123">
        <f t="shared" si="51"/>
        <v>0</v>
      </c>
      <c r="BI30" s="141">
        <f t="shared" si="52"/>
        <v>0</v>
      </c>
      <c r="BJ30" s="332">
        <f t="shared" si="53"/>
        <v>523033.53</v>
      </c>
      <c r="BK30" s="333">
        <f t="shared" si="54"/>
        <v>523033.53</v>
      </c>
      <c r="BL30" s="326">
        <f t="shared" si="55"/>
        <v>0</v>
      </c>
      <c r="BM30" s="326">
        <f t="shared" si="56"/>
        <v>0</v>
      </c>
      <c r="BN30" s="326">
        <f t="shared" si="57"/>
        <v>366479.16</v>
      </c>
      <c r="BO30" s="332">
        <f t="shared" si="58"/>
        <v>366479.16</v>
      </c>
      <c r="BP30" s="140">
        <f t="shared" ref="BP30:BR30" si="189">SUM(BM30,BI30,BE30)</f>
        <v>297754.23</v>
      </c>
      <c r="BQ30" s="326">
        <f t="shared" si="189"/>
        <v>1478878.0499999998</v>
      </c>
      <c r="BR30" s="333">
        <f t="shared" si="189"/>
        <v>1776632.2799999998</v>
      </c>
      <c r="BS30" s="125">
        <f t="shared" si="60"/>
        <v>2105253.08</v>
      </c>
      <c r="BT30" s="140">
        <f t="shared" si="61"/>
        <v>832332.36</v>
      </c>
      <c r="BU30" s="123">
        <f t="shared" si="62"/>
        <v>846973.16</v>
      </c>
      <c r="BV30" s="148">
        <f t="shared" si="63"/>
        <v>1679305.52</v>
      </c>
      <c r="BW30" s="123">
        <f t="shared" si="64"/>
        <v>574864.91</v>
      </c>
      <c r="BX30" s="326">
        <f t="shared" si="65"/>
        <v>2360797.4</v>
      </c>
      <c r="BY30" s="297"/>
      <c r="BZ30" s="553" t="s">
        <v>417</v>
      </c>
      <c r="CF30" s="294"/>
      <c r="CG30" s="294"/>
      <c r="CR30" s="294"/>
    </row>
    <row r="31" spans="1:96" ht="15.75" customHeight="1">
      <c r="A31" s="546">
        <f t="shared" si="0"/>
        <v>112014388</v>
      </c>
      <c r="B31" s="547">
        <f t="shared" si="1"/>
        <v>22</v>
      </c>
      <c r="C31" s="137">
        <f t="shared" si="2"/>
        <v>0.1</v>
      </c>
      <c r="D31" s="137">
        <f t="shared" si="3"/>
        <v>0.09</v>
      </c>
      <c r="E31" s="98">
        <f t="shared" si="4"/>
        <v>0</v>
      </c>
      <c r="F31" s="414">
        <f t="shared" si="5"/>
        <v>63</v>
      </c>
      <c r="G31" s="94">
        <f t="shared" si="6"/>
        <v>0.1</v>
      </c>
      <c r="H31" s="415">
        <f t="shared" si="7"/>
        <v>0.05</v>
      </c>
      <c r="I31" s="568" t="s">
        <v>418</v>
      </c>
      <c r="J31" s="436">
        <f t="shared" si="156"/>
        <v>0</v>
      </c>
      <c r="K31" s="237">
        <v>1800000</v>
      </c>
      <c r="L31" s="140" t="e">
        <f t="shared" si="10"/>
        <v>#VALUE!</v>
      </c>
      <c r="M31" s="116" t="str">
        <f t="shared" si="11"/>
        <v/>
      </c>
      <c r="N31" s="333">
        <f t="shared" si="12"/>
        <v>517723.24</v>
      </c>
      <c r="O31" s="123">
        <f t="shared" si="13"/>
        <v>-1282276.76</v>
      </c>
      <c r="P31" s="98">
        <f t="shared" si="14"/>
        <v>0.28762402222222222</v>
      </c>
      <c r="Q31" s="125">
        <f t="shared" si="15"/>
        <v>0</v>
      </c>
      <c r="R31" s="237">
        <v>1800000</v>
      </c>
      <c r="S31" s="140" t="e">
        <f t="shared" si="17"/>
        <v>#VALUE!</v>
      </c>
      <c r="T31" s="326" t="str">
        <f t="shared" si="18"/>
        <v/>
      </c>
      <c r="U31" s="333">
        <f t="shared" si="19"/>
        <v>346601.29</v>
      </c>
      <c r="V31" s="123">
        <f t="shared" si="20"/>
        <v>-1453398.71</v>
      </c>
      <c r="W31" s="98">
        <f t="shared" si="120"/>
        <v>0.19255627222222221</v>
      </c>
      <c r="X31" s="123">
        <f t="shared" si="134"/>
        <v>0</v>
      </c>
      <c r="Y31" s="587">
        <v>1800000</v>
      </c>
      <c r="Z31" s="116" t="e">
        <f t="shared" si="23"/>
        <v>#VALUE!</v>
      </c>
      <c r="AA31" s="561" t="str">
        <f t="shared" si="24"/>
        <v/>
      </c>
      <c r="AB31" s="561">
        <f t="shared" si="25"/>
        <v>0</v>
      </c>
      <c r="AC31" s="116">
        <f t="shared" si="26"/>
        <v>-1800000</v>
      </c>
      <c r="AD31" s="97">
        <f t="shared" si="27"/>
        <v>0</v>
      </c>
      <c r="AE31" s="433">
        <f t="shared" si="28"/>
        <v>5400000</v>
      </c>
      <c r="AF31" s="550">
        <f t="shared" si="29"/>
        <v>741313.26</v>
      </c>
      <c r="AG31" s="496" t="e">
        <f t="shared" ref="AG31:AI31" si="190">SUM(Z31,S31,S31,L31)</f>
        <v>#VALUE!</v>
      </c>
      <c r="AH31" s="496">
        <f t="shared" si="190"/>
        <v>0</v>
      </c>
      <c r="AI31" s="496">
        <f t="shared" si="190"/>
        <v>1210925.8199999998</v>
      </c>
      <c r="AJ31" s="551">
        <f t="shared" si="31"/>
        <v>469612.55999999982</v>
      </c>
      <c r="AK31" s="552">
        <f t="shared" si="72"/>
        <v>1.6334873330068314</v>
      </c>
      <c r="AL31" s="434">
        <f t="shared" si="33"/>
        <v>669832.52</v>
      </c>
      <c r="AM31" s="140" t="e">
        <f t="shared" si="34"/>
        <v>#VALUE!</v>
      </c>
      <c r="AN31" s="123" t="str">
        <f t="shared" si="35"/>
        <v/>
      </c>
      <c r="AO31" s="148">
        <f t="shared" si="36"/>
        <v>81729.56</v>
      </c>
      <c r="AP31" s="434">
        <f t="shared" si="37"/>
        <v>446830.91</v>
      </c>
      <c r="AQ31" s="140" t="e">
        <f t="shared" si="38"/>
        <v>#VALUE!</v>
      </c>
      <c r="AR31" s="326" t="str">
        <f t="shared" si="39"/>
        <v/>
      </c>
      <c r="AS31" s="333">
        <f t="shared" si="40"/>
        <v>0</v>
      </c>
      <c r="AT31" s="125">
        <f t="shared" si="41"/>
        <v>0</v>
      </c>
      <c r="AU31" s="140" t="e">
        <f t="shared" si="42"/>
        <v>#VALUE!</v>
      </c>
      <c r="AV31" s="123" t="str">
        <f t="shared" si="43"/>
        <v/>
      </c>
      <c r="AW31" s="125">
        <f t="shared" si="44"/>
        <v>0</v>
      </c>
      <c r="AX31" s="122" t="e">
        <f t="shared" ref="AX31:AZ31" si="191">AU31+AQ31+AM31</f>
        <v>#VALUE!</v>
      </c>
      <c r="AY31" s="326" t="e">
        <f t="shared" si="191"/>
        <v>#VALUE!</v>
      </c>
      <c r="AZ31" s="332">
        <f t="shared" si="191"/>
        <v>81729.56</v>
      </c>
      <c r="BA31" s="140" t="e">
        <f t="shared" ref="BA31:BC31" si="192">AX31+AG31</f>
        <v>#VALUE!</v>
      </c>
      <c r="BB31" s="326" t="e">
        <f t="shared" si="192"/>
        <v>#VALUE!</v>
      </c>
      <c r="BC31" s="435">
        <f t="shared" si="192"/>
        <v>1292655.3799999999</v>
      </c>
      <c r="BD31" s="123">
        <f t="shared" si="47"/>
        <v>190607.54</v>
      </c>
      <c r="BE31" s="123" t="e">
        <f t="shared" si="48"/>
        <v>#VALUE!</v>
      </c>
      <c r="BF31" s="123" t="str">
        <f t="shared" si="49"/>
        <v/>
      </c>
      <c r="BG31" s="148">
        <f t="shared" si="50"/>
        <v>172417.84</v>
      </c>
      <c r="BH31" s="123">
        <f t="shared" si="51"/>
        <v>261891.32</v>
      </c>
      <c r="BI31" s="141" t="e">
        <f t="shared" si="52"/>
        <v>#VALUE!</v>
      </c>
      <c r="BJ31" s="332" t="str">
        <f t="shared" si="53"/>
        <v/>
      </c>
      <c r="BK31" s="333">
        <f t="shared" si="54"/>
        <v>0</v>
      </c>
      <c r="BL31" s="326">
        <f t="shared" si="55"/>
        <v>0</v>
      </c>
      <c r="BM31" s="326" t="e">
        <f t="shared" si="56"/>
        <v>#VALUE!</v>
      </c>
      <c r="BN31" s="326" t="str">
        <f t="shared" si="57"/>
        <v/>
      </c>
      <c r="BO31" s="332">
        <f t="shared" si="58"/>
        <v>461101.18</v>
      </c>
      <c r="BP31" s="140" t="e">
        <f t="shared" ref="BP31:BR31" si="193">SUM(BM31,BI31,BE31)</f>
        <v>#VALUE!</v>
      </c>
      <c r="BQ31" s="326">
        <f t="shared" si="193"/>
        <v>0</v>
      </c>
      <c r="BR31" s="333">
        <f t="shared" si="193"/>
        <v>633519.02</v>
      </c>
      <c r="BS31" s="125">
        <f t="shared" si="60"/>
        <v>0</v>
      </c>
      <c r="BT31" s="140" t="e">
        <f t="shared" si="61"/>
        <v>#VALUE!</v>
      </c>
      <c r="BU31" s="123" t="str">
        <f t="shared" si="62"/>
        <v/>
      </c>
      <c r="BV31" s="148">
        <f t="shared" si="63"/>
        <v>0</v>
      </c>
      <c r="BW31" s="123">
        <f t="shared" si="64"/>
        <v>240663.87</v>
      </c>
      <c r="BX31" s="326">
        <f t="shared" si="65"/>
        <v>500649.39</v>
      </c>
      <c r="BY31" s="297"/>
      <c r="BZ31" s="553" t="s">
        <v>411</v>
      </c>
      <c r="CF31" s="294"/>
      <c r="CG31" s="294"/>
      <c r="CR31" s="294"/>
    </row>
    <row r="32" spans="1:96" ht="15.75" customHeight="1">
      <c r="A32" s="546">
        <f t="shared" si="0"/>
        <v>112013487</v>
      </c>
      <c r="B32" s="547">
        <f t="shared" si="1"/>
        <v>22</v>
      </c>
      <c r="C32" s="137">
        <f t="shared" si="2"/>
        <v>0.1</v>
      </c>
      <c r="D32" s="137">
        <f t="shared" si="3"/>
        <v>0.09</v>
      </c>
      <c r="E32" s="98">
        <f t="shared" si="4"/>
        <v>0</v>
      </c>
      <c r="F32" s="414">
        <f t="shared" si="5"/>
        <v>63</v>
      </c>
      <c r="G32" s="94">
        <f t="shared" si="6"/>
        <v>0.1</v>
      </c>
      <c r="H32" s="415">
        <f t="shared" si="7"/>
        <v>0.05</v>
      </c>
      <c r="I32" s="568" t="s">
        <v>419</v>
      </c>
      <c r="J32" s="436">
        <f t="shared" si="156"/>
        <v>1475931.21</v>
      </c>
      <c r="K32" s="141">
        <f>(J32*1.601)*1.05</f>
        <v>2481114.1605705</v>
      </c>
      <c r="L32" s="140" t="e">
        <f t="shared" si="10"/>
        <v>#VALUE!</v>
      </c>
      <c r="M32" s="116" t="str">
        <f t="shared" si="11"/>
        <v/>
      </c>
      <c r="N32" s="333">
        <f t="shared" si="12"/>
        <v>1156485.6299999999</v>
      </c>
      <c r="O32" s="123">
        <f t="shared" si="13"/>
        <v>-1324628.5305705001</v>
      </c>
      <c r="P32" s="98">
        <f t="shared" si="14"/>
        <v>0.46611544457675458</v>
      </c>
      <c r="Q32" s="125">
        <f t="shared" si="15"/>
        <v>70806.600000000006</v>
      </c>
      <c r="R32" s="237">
        <v>1800000</v>
      </c>
      <c r="S32" s="140" t="e">
        <f t="shared" si="17"/>
        <v>#VALUE!</v>
      </c>
      <c r="T32" s="326" t="str">
        <f t="shared" si="18"/>
        <v/>
      </c>
      <c r="U32" s="333">
        <f t="shared" si="19"/>
        <v>984019.05</v>
      </c>
      <c r="V32" s="123">
        <f t="shared" si="20"/>
        <v>-815980.95</v>
      </c>
      <c r="W32" s="98">
        <f t="shared" si="120"/>
        <v>0.54667725</v>
      </c>
      <c r="X32" s="123">
        <f t="shared" si="134"/>
        <v>216943.48</v>
      </c>
      <c r="Y32" s="587">
        <v>1800000</v>
      </c>
      <c r="Z32" s="116" t="e">
        <f t="shared" si="23"/>
        <v>#VALUE!</v>
      </c>
      <c r="AA32" s="561" t="str">
        <f t="shared" si="24"/>
        <v/>
      </c>
      <c r="AB32" s="561">
        <f t="shared" si="25"/>
        <v>271606.86</v>
      </c>
      <c r="AC32" s="116">
        <f t="shared" si="26"/>
        <v>-1528393.1400000001</v>
      </c>
      <c r="AD32" s="97">
        <f t="shared" si="27"/>
        <v>0.15089269999999999</v>
      </c>
      <c r="AE32" s="433">
        <f t="shared" si="28"/>
        <v>6081114.1605705004</v>
      </c>
      <c r="AF32" s="550">
        <f t="shared" si="29"/>
        <v>4478059.92</v>
      </c>
      <c r="AG32" s="496" t="e">
        <f t="shared" ref="AG32:AI32" si="194">SUM(Z32,S32,S32,L32)</f>
        <v>#VALUE!</v>
      </c>
      <c r="AH32" s="496">
        <f t="shared" si="194"/>
        <v>0</v>
      </c>
      <c r="AI32" s="496">
        <f t="shared" si="194"/>
        <v>3396130.59</v>
      </c>
      <c r="AJ32" s="551">
        <f t="shared" si="31"/>
        <v>-1081929.33</v>
      </c>
      <c r="AK32" s="552">
        <f t="shared" si="72"/>
        <v>0.75839328876153134</v>
      </c>
      <c r="AL32" s="434">
        <f t="shared" si="33"/>
        <v>97865.65</v>
      </c>
      <c r="AM32" s="140" t="e">
        <f t="shared" si="34"/>
        <v>#VALUE!</v>
      </c>
      <c r="AN32" s="123" t="str">
        <f t="shared" si="35"/>
        <v/>
      </c>
      <c r="AO32" s="148">
        <f t="shared" si="36"/>
        <v>1075115.1100000001</v>
      </c>
      <c r="AP32" s="434">
        <f t="shared" si="37"/>
        <v>822567.15</v>
      </c>
      <c r="AQ32" s="140" t="e">
        <f t="shared" si="38"/>
        <v>#VALUE!</v>
      </c>
      <c r="AR32" s="326" t="str">
        <f t="shared" si="39"/>
        <v/>
      </c>
      <c r="AS32" s="333">
        <f t="shared" si="40"/>
        <v>0</v>
      </c>
      <c r="AT32" s="125">
        <f t="shared" si="41"/>
        <v>441924.17</v>
      </c>
      <c r="AU32" s="140" t="e">
        <f t="shared" si="42"/>
        <v>#VALUE!</v>
      </c>
      <c r="AV32" s="123" t="str">
        <f t="shared" si="43"/>
        <v/>
      </c>
      <c r="AW32" s="125">
        <f t="shared" si="44"/>
        <v>1020203.82</v>
      </c>
      <c r="AX32" s="122" t="e">
        <f t="shared" ref="AX32:AZ32" si="195">AU32+AQ32+AM32</f>
        <v>#VALUE!</v>
      </c>
      <c r="AY32" s="326" t="e">
        <f t="shared" si="195"/>
        <v>#VALUE!</v>
      </c>
      <c r="AZ32" s="332">
        <f t="shared" si="195"/>
        <v>2095318.9300000002</v>
      </c>
      <c r="BA32" s="140" t="e">
        <f t="shared" ref="BA32:BC32" si="196">AX32+AG32</f>
        <v>#VALUE!</v>
      </c>
      <c r="BB32" s="326" t="e">
        <f t="shared" si="196"/>
        <v>#VALUE!</v>
      </c>
      <c r="BC32" s="435">
        <f t="shared" si="196"/>
        <v>5491449.5199999996</v>
      </c>
      <c r="BD32" s="123">
        <f t="shared" si="47"/>
        <v>255169.6</v>
      </c>
      <c r="BE32" s="123" t="e">
        <f t="shared" si="48"/>
        <v>#VALUE!</v>
      </c>
      <c r="BF32" s="123" t="str">
        <f t="shared" si="49"/>
        <v/>
      </c>
      <c r="BG32" s="148">
        <f t="shared" si="50"/>
        <v>315649.09999999998</v>
      </c>
      <c r="BH32" s="123">
        <f t="shared" si="51"/>
        <v>1299526.31</v>
      </c>
      <c r="BI32" s="141" t="e">
        <f t="shared" si="52"/>
        <v>#VALUE!</v>
      </c>
      <c r="BJ32" s="332" t="str">
        <f t="shared" si="53"/>
        <v/>
      </c>
      <c r="BK32" s="333">
        <f t="shared" si="54"/>
        <v>836365.5</v>
      </c>
      <c r="BL32" s="326">
        <f t="shared" si="55"/>
        <v>239980.85</v>
      </c>
      <c r="BM32" s="326" t="e">
        <f t="shared" si="56"/>
        <v>#VALUE!</v>
      </c>
      <c r="BN32" s="326" t="str">
        <f t="shared" si="57"/>
        <v/>
      </c>
      <c r="BO32" s="332">
        <f t="shared" si="58"/>
        <v>1845228.5</v>
      </c>
      <c r="BP32" s="140" t="e">
        <f t="shared" ref="BP32:BR32" si="197">SUM(BM32,BI32,BE32)</f>
        <v>#VALUE!</v>
      </c>
      <c r="BQ32" s="326">
        <f t="shared" si="197"/>
        <v>0</v>
      </c>
      <c r="BR32" s="333">
        <f t="shared" si="197"/>
        <v>2997243.1</v>
      </c>
      <c r="BS32" s="125">
        <f t="shared" si="60"/>
        <v>1057839.47</v>
      </c>
      <c r="BT32" s="140" t="e">
        <f t="shared" si="61"/>
        <v>#VALUE!</v>
      </c>
      <c r="BU32" s="123" t="str">
        <f t="shared" si="62"/>
        <v/>
      </c>
      <c r="BV32" s="148">
        <f t="shared" si="63"/>
        <v>1522848.96</v>
      </c>
      <c r="BW32" s="123">
        <f t="shared" si="64"/>
        <v>2105626.21</v>
      </c>
      <c r="BX32" s="326">
        <f t="shared" si="65"/>
        <v>1314594.23</v>
      </c>
      <c r="BY32" s="297"/>
      <c r="BZ32" s="553" t="s">
        <v>420</v>
      </c>
      <c r="CF32" s="294"/>
      <c r="CG32" s="294"/>
      <c r="CR32" s="294"/>
    </row>
    <row r="33" spans="1:96" ht="15.75" customHeight="1">
      <c r="A33" s="546">
        <f t="shared" si="0"/>
        <v>112010743</v>
      </c>
      <c r="B33" s="547">
        <f t="shared" si="1"/>
        <v>22</v>
      </c>
      <c r="C33" s="137">
        <f t="shared" si="2"/>
        <v>0.1</v>
      </c>
      <c r="D33" s="137">
        <f t="shared" si="3"/>
        <v>0.09</v>
      </c>
      <c r="E33" s="98">
        <f t="shared" si="4"/>
        <v>0</v>
      </c>
      <c r="F33" s="414">
        <f t="shared" si="5"/>
        <v>63</v>
      </c>
      <c r="G33" s="94">
        <f t="shared" si="6"/>
        <v>0.1</v>
      </c>
      <c r="H33" s="415">
        <f t="shared" si="7"/>
        <v>0.05</v>
      </c>
      <c r="I33" s="589" t="s">
        <v>421</v>
      </c>
      <c r="J33" s="436">
        <f t="shared" si="156"/>
        <v>1070359.79</v>
      </c>
      <c r="K33" s="237">
        <v>1800000</v>
      </c>
      <c r="L33" s="140">
        <f t="shared" si="10"/>
        <v>1214476.6000000001</v>
      </c>
      <c r="M33" s="116">
        <f t="shared" si="11"/>
        <v>0</v>
      </c>
      <c r="N33" s="333">
        <f t="shared" si="12"/>
        <v>1214476.6000000001</v>
      </c>
      <c r="O33" s="123">
        <f t="shared" si="13"/>
        <v>-585523.39999999991</v>
      </c>
      <c r="P33" s="98">
        <f t="shared" si="14"/>
        <v>0.67470922222222229</v>
      </c>
      <c r="Q33" s="125">
        <f t="shared" si="15"/>
        <v>588694.31999999995</v>
      </c>
      <c r="R33" s="237">
        <v>1800000</v>
      </c>
      <c r="S33" s="140">
        <f t="shared" si="17"/>
        <v>837954.57</v>
      </c>
      <c r="T33" s="326">
        <f t="shared" si="18"/>
        <v>0</v>
      </c>
      <c r="U33" s="333">
        <f t="shared" si="19"/>
        <v>837954.57</v>
      </c>
      <c r="V33" s="123">
        <f t="shared" si="20"/>
        <v>-962045.43</v>
      </c>
      <c r="W33" s="98">
        <f t="shared" si="120"/>
        <v>0.46553031666666667</v>
      </c>
      <c r="X33" s="123">
        <f t="shared" si="134"/>
        <v>1010004.39</v>
      </c>
      <c r="Y33" s="587">
        <v>1800000</v>
      </c>
      <c r="Z33" s="116">
        <f t="shared" si="23"/>
        <v>1193965.8600000001</v>
      </c>
      <c r="AA33" s="561">
        <f t="shared" si="24"/>
        <v>0</v>
      </c>
      <c r="AB33" s="561">
        <f t="shared" si="25"/>
        <v>1193965.8600000001</v>
      </c>
      <c r="AC33" s="116">
        <f t="shared" si="26"/>
        <v>-606034.1399999999</v>
      </c>
      <c r="AD33" s="97">
        <f t="shared" si="27"/>
        <v>0.66331436666666677</v>
      </c>
      <c r="AE33" s="433">
        <f t="shared" si="28"/>
        <v>5400000</v>
      </c>
      <c r="AF33" s="550">
        <f t="shared" si="29"/>
        <v>4655686.12</v>
      </c>
      <c r="AG33" s="496">
        <f t="shared" ref="AG33:AI33" si="198">SUM(Z33,S33,S33,L33)</f>
        <v>4084351.6</v>
      </c>
      <c r="AH33" s="496">
        <f t="shared" si="198"/>
        <v>0</v>
      </c>
      <c r="AI33" s="496">
        <f t="shared" si="198"/>
        <v>4084351.6</v>
      </c>
      <c r="AJ33" s="551">
        <f t="shared" si="31"/>
        <v>-571334.52</v>
      </c>
      <c r="AK33" s="552">
        <f t="shared" si="72"/>
        <v>0.87728242298258718</v>
      </c>
      <c r="AL33" s="434">
        <f t="shared" si="33"/>
        <v>1027317.57</v>
      </c>
      <c r="AM33" s="140">
        <f t="shared" si="34"/>
        <v>1674863.96</v>
      </c>
      <c r="AN33" s="123">
        <f t="shared" si="35"/>
        <v>0</v>
      </c>
      <c r="AO33" s="148">
        <f t="shared" si="36"/>
        <v>1674863.96</v>
      </c>
      <c r="AP33" s="434">
        <f t="shared" si="37"/>
        <v>908843.43</v>
      </c>
      <c r="AQ33" s="140">
        <f t="shared" si="38"/>
        <v>844690.88</v>
      </c>
      <c r="AR33" s="326">
        <f t="shared" si="39"/>
        <v>16036.29</v>
      </c>
      <c r="AS33" s="333">
        <f t="shared" si="40"/>
        <v>860727.17</v>
      </c>
      <c r="AT33" s="125">
        <f t="shared" si="41"/>
        <v>1396572.34</v>
      </c>
      <c r="AU33" s="140">
        <f t="shared" si="42"/>
        <v>1016694.03</v>
      </c>
      <c r="AV33" s="123">
        <f t="shared" si="43"/>
        <v>0</v>
      </c>
      <c r="AW33" s="125">
        <f t="shared" si="44"/>
        <v>1016694.03</v>
      </c>
      <c r="AX33" s="122">
        <f t="shared" ref="AX33:AZ33" si="199">AU33+AQ33+AM33</f>
        <v>3536248.87</v>
      </c>
      <c r="AY33" s="326">
        <f t="shared" si="199"/>
        <v>16036.29</v>
      </c>
      <c r="AZ33" s="332">
        <f t="shared" si="199"/>
        <v>3552285.16</v>
      </c>
      <c r="BA33" s="140">
        <f t="shared" ref="BA33:BC33" si="200">AX33+AG33</f>
        <v>7620600.4700000007</v>
      </c>
      <c r="BB33" s="326">
        <f t="shared" si="200"/>
        <v>16036.29</v>
      </c>
      <c r="BC33" s="435">
        <f t="shared" si="200"/>
        <v>7636636.7599999998</v>
      </c>
      <c r="BD33" s="123">
        <f t="shared" si="47"/>
        <v>855050.76</v>
      </c>
      <c r="BE33" s="123">
        <f t="shared" si="48"/>
        <v>842305.15</v>
      </c>
      <c r="BF33" s="123">
        <f t="shared" si="49"/>
        <v>0</v>
      </c>
      <c r="BG33" s="148">
        <f t="shared" si="50"/>
        <v>842305.15</v>
      </c>
      <c r="BH33" s="123">
        <f t="shared" si="51"/>
        <v>1233360.54</v>
      </c>
      <c r="BI33" s="141">
        <f t="shared" si="52"/>
        <v>1224802.6200000001</v>
      </c>
      <c r="BJ33" s="332">
        <f t="shared" si="53"/>
        <v>0</v>
      </c>
      <c r="BK33" s="333">
        <f t="shared" si="54"/>
        <v>1224802.6200000001</v>
      </c>
      <c r="BL33" s="326">
        <f t="shared" si="55"/>
        <v>1061782.7</v>
      </c>
      <c r="BM33" s="326">
        <f t="shared" si="56"/>
        <v>1275925.74</v>
      </c>
      <c r="BN33" s="326">
        <f t="shared" si="57"/>
        <v>0</v>
      </c>
      <c r="BO33" s="332">
        <f t="shared" si="58"/>
        <v>1275925.74</v>
      </c>
      <c r="BP33" s="140">
        <f t="shared" ref="BP33:BR33" si="201">SUM(BM33,BI33,BE33)</f>
        <v>3343033.5100000002</v>
      </c>
      <c r="BQ33" s="326">
        <f t="shared" si="201"/>
        <v>0</v>
      </c>
      <c r="BR33" s="333">
        <f t="shared" si="201"/>
        <v>3343033.5100000002</v>
      </c>
      <c r="BS33" s="125">
        <f t="shared" si="60"/>
        <v>1239475.9099999999</v>
      </c>
      <c r="BT33" s="140">
        <f t="shared" si="61"/>
        <v>1609250.89</v>
      </c>
      <c r="BU33" s="123">
        <f t="shared" si="62"/>
        <v>0</v>
      </c>
      <c r="BV33" s="148">
        <f t="shared" si="63"/>
        <v>1609250.89</v>
      </c>
      <c r="BW33" s="123">
        <f t="shared" si="64"/>
        <v>2369392.1</v>
      </c>
      <c r="BX33" s="326">
        <f t="shared" si="65"/>
        <v>1046818.11</v>
      </c>
      <c r="BY33" s="297"/>
      <c r="BZ33" s="553" t="s">
        <v>422</v>
      </c>
      <c r="CF33" s="294"/>
      <c r="CG33" s="294"/>
      <c r="CR33" s="294"/>
    </row>
    <row r="34" spans="1:96" ht="15.75" customHeight="1">
      <c r="A34" s="546">
        <f t="shared" ref="A34:A65" si="202">VLOOKUP(I34,RETCAR4,3,FALSE)</f>
        <v>112013684</v>
      </c>
      <c r="B34" s="547">
        <f t="shared" ref="B34:B65" si="203">VLOOKUP(I34,RETAMCART2,2,FALSE)</f>
        <v>22</v>
      </c>
      <c r="C34" s="558">
        <f t="shared" ref="C34:C65" si="204">IFERROR(VLOOKUP(B34,DES,2,FALSE),"")</f>
        <v>0.1</v>
      </c>
      <c r="D34" s="558">
        <f t="shared" ref="D34:D65" si="205">IFERROR(VLOOKUP(B34,DES,3,FALSE),"")</f>
        <v>0.09</v>
      </c>
      <c r="E34" s="559">
        <f t="shared" ref="E34:E65" si="206">IFERROR(VLOOKUP(B34,DES,4,FALSE),"")</f>
        <v>0</v>
      </c>
      <c r="F34" s="414">
        <f t="shared" ref="F34:F65" si="207">VLOOKUP(I34,RETCAR4,2,FALSE)</f>
        <v>63</v>
      </c>
      <c r="G34" s="94">
        <f t="shared" ref="G34:G65" si="208">IFERROR(VLOOKUP(F34,A458DC1025,2,FALSE),"")</f>
        <v>0.1</v>
      </c>
      <c r="H34" s="415">
        <f t="shared" ref="H34:H65" si="209">IFERROR(VLOOKUP(F34,A458DC1025,3,FALSE),"")</f>
        <v>0.05</v>
      </c>
      <c r="I34" s="560" t="s">
        <v>423</v>
      </c>
      <c r="J34" s="436">
        <f t="shared" si="156"/>
        <v>1977976.1</v>
      </c>
      <c r="K34" s="141">
        <f>(J34*1.601)*1.05</f>
        <v>3325076.7229050007</v>
      </c>
      <c r="L34" s="140">
        <f t="shared" si="10"/>
        <v>4784702.7</v>
      </c>
      <c r="M34" s="116">
        <f t="shared" ref="M34:M53" si="210">IFERROR(VLOOKUP(I34,RETAALIM,3,FALSE),"")</f>
        <v>0</v>
      </c>
      <c r="N34" s="333">
        <f t="shared" si="12"/>
        <v>4784702.7</v>
      </c>
      <c r="O34" s="123">
        <f t="shared" si="13"/>
        <v>1459625.9770949995</v>
      </c>
      <c r="P34" s="98">
        <f t="shared" si="14"/>
        <v>1.4389751271121878</v>
      </c>
      <c r="Q34" s="125">
        <f t="shared" si="15"/>
        <v>2871787.12</v>
      </c>
      <c r="R34" s="141">
        <f>(Q34*1.7245)*1.05</f>
        <v>5200016.7328620004</v>
      </c>
      <c r="S34" s="140">
        <f t="shared" si="17"/>
        <v>4394621.21</v>
      </c>
      <c r="T34" s="326">
        <f t="shared" si="18"/>
        <v>0</v>
      </c>
      <c r="U34" s="333">
        <f t="shared" si="19"/>
        <v>4394621.21</v>
      </c>
      <c r="V34" s="123">
        <f t="shared" si="20"/>
        <v>-805395.52286200039</v>
      </c>
      <c r="W34" s="98">
        <f t="shared" si="120"/>
        <v>0.84511674399579784</v>
      </c>
      <c r="X34" s="123">
        <f t="shared" si="134"/>
        <v>2615577.89</v>
      </c>
      <c r="Y34" s="326">
        <f>(X34*1.5955)*1.05</f>
        <v>4381812.2496697502</v>
      </c>
      <c r="Z34" s="116">
        <f t="shared" si="23"/>
        <v>2426586.61</v>
      </c>
      <c r="AA34" s="561">
        <f t="shared" si="24"/>
        <v>0</v>
      </c>
      <c r="AB34" s="561">
        <f t="shared" si="25"/>
        <v>2426586.61</v>
      </c>
      <c r="AC34" s="116">
        <f t="shared" si="26"/>
        <v>-1955225.6396697504</v>
      </c>
      <c r="AD34" s="97">
        <f t="shared" si="27"/>
        <v>0.55378607565463067</v>
      </c>
      <c r="AE34" s="433">
        <f t="shared" si="28"/>
        <v>12906905.705436751</v>
      </c>
      <c r="AF34" s="550">
        <f t="shared" ref="AF34:AF53" si="211">IFERROR(VLOOKUP(I34,trim2024,2,FALSE),"0")</f>
        <v>11109565.73</v>
      </c>
      <c r="AG34" s="496">
        <f t="shared" ref="AG34:AI34" si="212">SUM(Z34,S34,S34,L34)</f>
        <v>16000531.73</v>
      </c>
      <c r="AH34" s="496">
        <f t="shared" si="212"/>
        <v>0</v>
      </c>
      <c r="AI34" s="496">
        <f t="shared" si="212"/>
        <v>16000531.73</v>
      </c>
      <c r="AJ34" s="551">
        <f t="shared" si="31"/>
        <v>4890966</v>
      </c>
      <c r="AK34" s="552">
        <f t="shared" si="72"/>
        <v>1.4402481716087745</v>
      </c>
      <c r="AL34" s="434">
        <f t="shared" si="33"/>
        <v>1938989.36</v>
      </c>
      <c r="AM34" s="140">
        <f t="shared" si="34"/>
        <v>1302128.93</v>
      </c>
      <c r="AN34" s="123">
        <f t="shared" ref="AN34:AN53" si="213">IFERROR(VLOOKUP(I34,RETAALIM,6,FALSE),"")</f>
        <v>0</v>
      </c>
      <c r="AO34" s="148">
        <f t="shared" ref="AO34:AO53" si="214">IFERROR(VLOOKUP(I34,RETFC,6,FALSE),"")</f>
        <v>1302128.93</v>
      </c>
      <c r="AP34" s="434">
        <f t="shared" si="37"/>
        <v>1840093.95</v>
      </c>
      <c r="AQ34" s="140">
        <f t="shared" si="38"/>
        <v>2595478.02</v>
      </c>
      <c r="AR34" s="326">
        <f t="shared" ref="AR34:AR53" si="215">IFERROR(VLOOKUP(I34,RETAALIM,7,FALSE),"")</f>
        <v>105024.32000000001</v>
      </c>
      <c r="AS34" s="333">
        <f t="shared" ref="AS34:AS53" si="216">IFERROR(VLOOKUP(I34,RETFC,7,FALSE),"")</f>
        <v>2700502.34</v>
      </c>
      <c r="AT34" s="125">
        <f t="shared" si="41"/>
        <v>1619597.45</v>
      </c>
      <c r="AU34" s="140">
        <f t="shared" si="42"/>
        <v>1535657.04</v>
      </c>
      <c r="AV34" s="123">
        <f t="shared" ref="AV34:AV65" si="217">IFERROR(VLOOKUP(I34,RETAALIM,8,FALSE),"")</f>
        <v>0</v>
      </c>
      <c r="AW34" s="125">
        <f t="shared" ref="AW34:AW65" si="218">IFERROR(VLOOKUP(I34,RETFC,8,FALSE),"")</f>
        <v>1535657.04</v>
      </c>
      <c r="AX34" s="122">
        <f t="shared" ref="AX34:AZ34" si="219">AU34+AQ34+AM34</f>
        <v>5433263.9900000002</v>
      </c>
      <c r="AY34" s="326">
        <f t="shared" si="219"/>
        <v>105024.32000000001</v>
      </c>
      <c r="AZ34" s="332">
        <f t="shared" si="219"/>
        <v>5538288.3099999996</v>
      </c>
      <c r="BA34" s="140">
        <f t="shared" ref="BA34:BC34" si="220">AX34+AG34</f>
        <v>21433795.719999999</v>
      </c>
      <c r="BB34" s="326">
        <f t="shared" si="220"/>
        <v>105024.32000000001</v>
      </c>
      <c r="BC34" s="435">
        <f t="shared" si="220"/>
        <v>21538820.039999999</v>
      </c>
      <c r="BD34" s="123">
        <f t="shared" si="47"/>
        <v>1475531.01</v>
      </c>
      <c r="BE34" s="123">
        <f t="shared" si="48"/>
        <v>2365051.8199999998</v>
      </c>
      <c r="BF34" s="123">
        <f t="shared" ref="BF34:BF65" si="221">IFERROR(VLOOKUP(I34,RETAALIM,9,FALSE),"")</f>
        <v>0</v>
      </c>
      <c r="BG34" s="148">
        <f t="shared" ref="BG34:BG65" si="222">IFERROR(VLOOKUP(I34,RETFC,9,FALSE),"")</f>
        <v>2365051.8199999998</v>
      </c>
      <c r="BH34" s="123">
        <f t="shared" ref="BH34:BH65" si="223">IFERROR(VLOOKUP(I34,RETAMAR24,10,FALSE),"")</f>
        <v>2648138.35</v>
      </c>
      <c r="BI34" s="141">
        <f t="shared" si="52"/>
        <v>3201703.47</v>
      </c>
      <c r="BJ34" s="332">
        <f t="shared" ref="BJ34:BJ65" si="224">IFERROR(VLOOKUP(I34,RETAALIM,10,FALSE),"")</f>
        <v>0</v>
      </c>
      <c r="BK34" s="333">
        <f t="shared" ref="BK34:BK65" si="225">IFERROR(VLOOKUP(I34,RETFC,10,FALSE),"")</f>
        <v>3201703.47</v>
      </c>
      <c r="BL34" s="326">
        <f t="shared" ref="BL34:BL65" si="226">IFERROR(VLOOKUP(I34,RETAMAR24,11,FALSE),"")</f>
        <v>2380221.63</v>
      </c>
      <c r="BM34" s="326">
        <f t="shared" si="56"/>
        <v>5655937.2000000002</v>
      </c>
      <c r="BN34" s="326">
        <f t="shared" ref="BN34:BN65" si="227">IFERROR(VLOOKUP(I34,RETAALIM,11,FALSE),"")</f>
        <v>0</v>
      </c>
      <c r="BO34" s="332">
        <f t="shared" ref="BO34:BO65" si="228">IFERROR(VLOOKUP(I34,RETFC,11,FALSE),"")</f>
        <v>5655937.2000000002</v>
      </c>
      <c r="BP34" s="140">
        <f t="shared" ref="BP34:BR34" si="229">SUM(BM34,BI34,BE34)</f>
        <v>11222692.49</v>
      </c>
      <c r="BQ34" s="326">
        <f t="shared" si="229"/>
        <v>0</v>
      </c>
      <c r="BR34" s="333">
        <f t="shared" si="229"/>
        <v>11222692.49</v>
      </c>
      <c r="BS34" s="125">
        <f t="shared" ref="BS34:BS65" si="230">IFERROR(VLOOKUP(I34,RETAMAR24,12,FALSE),"")</f>
        <v>5273213.3499999996</v>
      </c>
      <c r="BT34" s="140">
        <f t="shared" si="61"/>
        <v>5935316.0899999999</v>
      </c>
      <c r="BU34" s="123">
        <f t="shared" ref="BU34:BU65" si="231">IFERROR(VLOOKUP(I34,RETAALIM,12,FALSE),"")</f>
        <v>0</v>
      </c>
      <c r="BV34" s="148">
        <f t="shared" ref="BV34:BV65" si="232">IFERROR(VLOOKUP(I34,RETFC,12,FALSE),"")</f>
        <v>5935316.0899999999</v>
      </c>
      <c r="BW34" s="123">
        <f t="shared" ref="BW34:BW65" si="233">IFERROR(VLOOKUP(I34,RETAMAR24,13,FALSE),"")</f>
        <v>2919650.74</v>
      </c>
      <c r="BX34" s="326">
        <f t="shared" ref="BX34:BX65" si="234">IFERROR(VLOOKUP(I34,RETAMAR24,14,FALSE),"")</f>
        <v>2916701.64</v>
      </c>
      <c r="BY34" s="297"/>
      <c r="BZ34" s="553" t="s">
        <v>379</v>
      </c>
      <c r="CF34" s="294"/>
      <c r="CG34" s="294"/>
      <c r="CR34" s="294"/>
    </row>
    <row r="35" spans="1:96" ht="15.75" customHeight="1">
      <c r="A35" s="546">
        <f t="shared" si="202"/>
        <v>112010796</v>
      </c>
      <c r="B35" s="547">
        <f t="shared" si="203"/>
        <v>22</v>
      </c>
      <c r="C35" s="137">
        <f t="shared" si="204"/>
        <v>0.1</v>
      </c>
      <c r="D35" s="137">
        <f t="shared" si="205"/>
        <v>0.09</v>
      </c>
      <c r="E35" s="98">
        <f t="shared" si="206"/>
        <v>0</v>
      </c>
      <c r="F35" s="414">
        <f t="shared" si="207"/>
        <v>63</v>
      </c>
      <c r="G35" s="94">
        <f t="shared" si="208"/>
        <v>0.1</v>
      </c>
      <c r="H35" s="415">
        <f t="shared" si="209"/>
        <v>0.05</v>
      </c>
      <c r="I35" s="589" t="s">
        <v>424</v>
      </c>
      <c r="J35" s="436">
        <f t="shared" si="156"/>
        <v>233145.57</v>
      </c>
      <c r="K35" s="237">
        <v>1800000</v>
      </c>
      <c r="L35" s="140" t="e">
        <f t="shared" si="10"/>
        <v>#VALUE!</v>
      </c>
      <c r="M35" s="116" t="str">
        <f t="shared" si="210"/>
        <v/>
      </c>
      <c r="N35" s="333">
        <f t="shared" si="12"/>
        <v>2398142.29</v>
      </c>
      <c r="O35" s="123">
        <f t="shared" si="13"/>
        <v>598142.29</v>
      </c>
      <c r="P35" s="98">
        <f t="shared" si="14"/>
        <v>1.3323012722222223</v>
      </c>
      <c r="Q35" s="125">
        <f t="shared" si="15"/>
        <v>506546.77</v>
      </c>
      <c r="R35" s="237">
        <v>1800000</v>
      </c>
      <c r="S35" s="140" t="e">
        <f t="shared" si="17"/>
        <v>#VALUE!</v>
      </c>
      <c r="T35" s="326" t="str">
        <f t="shared" si="18"/>
        <v/>
      </c>
      <c r="U35" s="333">
        <f t="shared" si="19"/>
        <v>1627741.37</v>
      </c>
      <c r="V35" s="123">
        <f t="shared" si="20"/>
        <v>-172258.62999999989</v>
      </c>
      <c r="W35" s="98">
        <f t="shared" si="120"/>
        <v>0.90430076111111113</v>
      </c>
      <c r="X35" s="123">
        <f t="shared" si="134"/>
        <v>1032784.76</v>
      </c>
      <c r="Y35" s="587">
        <v>1800000</v>
      </c>
      <c r="Z35" s="116" t="e">
        <f t="shared" si="23"/>
        <v>#VALUE!</v>
      </c>
      <c r="AA35" s="561" t="str">
        <f t="shared" si="24"/>
        <v/>
      </c>
      <c r="AB35" s="561">
        <f t="shared" si="25"/>
        <v>307345.83</v>
      </c>
      <c r="AC35" s="116">
        <f t="shared" si="26"/>
        <v>-1492654.17</v>
      </c>
      <c r="AD35" s="97">
        <f t="shared" si="27"/>
        <v>0.17074768333333334</v>
      </c>
      <c r="AE35" s="433">
        <f t="shared" si="28"/>
        <v>5400000</v>
      </c>
      <c r="AF35" s="550">
        <f t="shared" si="211"/>
        <v>5497669.3499999996</v>
      </c>
      <c r="AG35" s="496" t="e">
        <f t="shared" ref="AG35:AI35" si="235">SUM(Z35,S35,S35,L35)</f>
        <v>#VALUE!</v>
      </c>
      <c r="AH35" s="496">
        <f t="shared" si="235"/>
        <v>0</v>
      </c>
      <c r="AI35" s="496">
        <f t="shared" si="235"/>
        <v>5960970.8600000003</v>
      </c>
      <c r="AJ35" s="551">
        <f t="shared" si="31"/>
        <v>463301.51000000071</v>
      </c>
      <c r="AK35" s="552">
        <f t="shared" si="72"/>
        <v>1.0842723489727517</v>
      </c>
      <c r="AL35" s="434">
        <f t="shared" si="33"/>
        <v>453272.67</v>
      </c>
      <c r="AM35" s="140" t="e">
        <f t="shared" si="34"/>
        <v>#VALUE!</v>
      </c>
      <c r="AN35" s="123" t="str">
        <f t="shared" si="213"/>
        <v/>
      </c>
      <c r="AO35" s="148">
        <f t="shared" si="214"/>
        <v>2756077</v>
      </c>
      <c r="AP35" s="434">
        <f t="shared" si="37"/>
        <v>1125634.6599999999</v>
      </c>
      <c r="AQ35" s="140" t="e">
        <f t="shared" si="38"/>
        <v>#VALUE!</v>
      </c>
      <c r="AR35" s="326" t="str">
        <f t="shared" si="215"/>
        <v/>
      </c>
      <c r="AS35" s="333">
        <f t="shared" si="216"/>
        <v>726333.38</v>
      </c>
      <c r="AT35" s="125">
        <f t="shared" si="41"/>
        <v>687216.35</v>
      </c>
      <c r="AU35" s="140" t="e">
        <f t="shared" si="42"/>
        <v>#VALUE!</v>
      </c>
      <c r="AV35" s="123" t="str">
        <f t="shared" si="217"/>
        <v/>
      </c>
      <c r="AW35" s="125">
        <f t="shared" si="218"/>
        <v>1343428.95</v>
      </c>
      <c r="AX35" s="122" t="e">
        <f t="shared" ref="AX35:AZ35" si="236">AU35+AQ35+AM35</f>
        <v>#VALUE!</v>
      </c>
      <c r="AY35" s="326" t="e">
        <f t="shared" si="236"/>
        <v>#VALUE!</v>
      </c>
      <c r="AZ35" s="332">
        <f t="shared" si="236"/>
        <v>4825839.33</v>
      </c>
      <c r="BA35" s="140" t="e">
        <f t="shared" ref="BA35:BC35" si="237">AX35+AG35</f>
        <v>#VALUE!</v>
      </c>
      <c r="BB35" s="326" t="e">
        <f t="shared" si="237"/>
        <v>#VALUE!</v>
      </c>
      <c r="BC35" s="435">
        <f t="shared" si="237"/>
        <v>10786810.190000001</v>
      </c>
      <c r="BD35" s="123">
        <f t="shared" si="47"/>
        <v>723683.09</v>
      </c>
      <c r="BE35" s="123" t="e">
        <f t="shared" si="48"/>
        <v>#VALUE!</v>
      </c>
      <c r="BF35" s="123" t="str">
        <f t="shared" si="221"/>
        <v/>
      </c>
      <c r="BG35" s="148">
        <f t="shared" si="222"/>
        <v>1566413.78</v>
      </c>
      <c r="BH35" s="123">
        <f t="shared" si="223"/>
        <v>2636244.02</v>
      </c>
      <c r="BI35" s="141" t="e">
        <f t="shared" si="52"/>
        <v>#VALUE!</v>
      </c>
      <c r="BJ35" s="332" t="str">
        <f t="shared" si="224"/>
        <v/>
      </c>
      <c r="BK35" s="333">
        <f t="shared" si="225"/>
        <v>3739003.84</v>
      </c>
      <c r="BL35" s="326">
        <f t="shared" si="226"/>
        <v>62091.81</v>
      </c>
      <c r="BM35" s="326" t="e">
        <f t="shared" si="56"/>
        <v>#VALUE!</v>
      </c>
      <c r="BN35" s="326" t="str">
        <f t="shared" si="227"/>
        <v/>
      </c>
      <c r="BO35" s="332">
        <f t="shared" si="228"/>
        <v>1301886.17</v>
      </c>
      <c r="BP35" s="140" t="e">
        <f t="shared" ref="BP35:BR35" si="238">SUM(BM35,BI35,BE35)</f>
        <v>#VALUE!</v>
      </c>
      <c r="BQ35" s="326">
        <f t="shared" si="238"/>
        <v>0</v>
      </c>
      <c r="BR35" s="333">
        <f t="shared" si="238"/>
        <v>6607303.79</v>
      </c>
      <c r="BS35" s="125">
        <f t="shared" si="230"/>
        <v>1797997.11</v>
      </c>
      <c r="BT35" s="140" t="e">
        <f t="shared" si="61"/>
        <v>#VALUE!</v>
      </c>
      <c r="BU35" s="123" t="str">
        <f t="shared" si="231"/>
        <v/>
      </c>
      <c r="BV35" s="148">
        <f t="shared" si="232"/>
        <v>2872256.19</v>
      </c>
      <c r="BW35" s="123">
        <f t="shared" si="233"/>
        <v>2414545.3199999998</v>
      </c>
      <c r="BX35" s="326">
        <f t="shared" si="234"/>
        <v>1285126.9099999999</v>
      </c>
      <c r="BY35" s="297"/>
      <c r="BZ35" s="553" t="s">
        <v>413</v>
      </c>
      <c r="CF35" s="294"/>
      <c r="CG35" s="294"/>
      <c r="CR35" s="294"/>
    </row>
    <row r="36" spans="1:96" ht="15.75" customHeight="1">
      <c r="A36" s="546">
        <f t="shared" si="202"/>
        <v>112012259</v>
      </c>
      <c r="B36" s="547">
        <f t="shared" si="203"/>
        <v>22</v>
      </c>
      <c r="C36" s="137">
        <f t="shared" si="204"/>
        <v>0.1</v>
      </c>
      <c r="D36" s="137">
        <f t="shared" si="205"/>
        <v>0.09</v>
      </c>
      <c r="E36" s="98">
        <f t="shared" si="206"/>
        <v>0</v>
      </c>
      <c r="F36" s="414">
        <f t="shared" si="207"/>
        <v>63</v>
      </c>
      <c r="G36" s="94">
        <f t="shared" si="208"/>
        <v>0.1</v>
      </c>
      <c r="H36" s="415">
        <f t="shared" si="209"/>
        <v>0.05</v>
      </c>
      <c r="I36" s="568" t="s">
        <v>425</v>
      </c>
      <c r="J36" s="436" t="str">
        <f t="shared" si="156"/>
        <v/>
      </c>
      <c r="K36" s="237">
        <v>1800000</v>
      </c>
      <c r="L36" s="140" t="e">
        <f t="shared" si="10"/>
        <v>#VALUE!</v>
      </c>
      <c r="M36" s="116" t="str">
        <f t="shared" si="210"/>
        <v/>
      </c>
      <c r="N36" s="333" t="str">
        <f t="shared" si="12"/>
        <v/>
      </c>
      <c r="O36" s="123" t="e">
        <f t="shared" si="13"/>
        <v>#VALUE!</v>
      </c>
      <c r="P36" s="98" t="str">
        <f t="shared" si="14"/>
        <v/>
      </c>
      <c r="Q36" s="125" t="str">
        <f t="shared" si="15"/>
        <v/>
      </c>
      <c r="R36" s="237">
        <v>1800000</v>
      </c>
      <c r="S36" s="140" t="e">
        <f t="shared" si="17"/>
        <v>#VALUE!</v>
      </c>
      <c r="T36" s="326" t="str">
        <f t="shared" si="18"/>
        <v/>
      </c>
      <c r="U36" s="333" t="str">
        <f t="shared" si="19"/>
        <v/>
      </c>
      <c r="V36" s="123" t="e">
        <f t="shared" si="20"/>
        <v>#VALUE!</v>
      </c>
      <c r="W36" s="98" t="e">
        <f t="shared" si="120"/>
        <v>#VALUE!</v>
      </c>
      <c r="X36" s="123" t="str">
        <f t="shared" si="134"/>
        <v/>
      </c>
      <c r="Y36" s="587">
        <v>1800000</v>
      </c>
      <c r="Z36" s="116" t="e">
        <f t="shared" si="23"/>
        <v>#VALUE!</v>
      </c>
      <c r="AA36" s="561" t="str">
        <f t="shared" si="24"/>
        <v/>
      </c>
      <c r="AB36" s="561" t="str">
        <f t="shared" si="25"/>
        <v/>
      </c>
      <c r="AC36" s="116" t="e">
        <f t="shared" si="26"/>
        <v>#VALUE!</v>
      </c>
      <c r="AD36" s="97" t="e">
        <f t="shared" si="27"/>
        <v>#VALUE!</v>
      </c>
      <c r="AE36" s="433">
        <f t="shared" si="28"/>
        <v>5400000</v>
      </c>
      <c r="AF36" s="550" t="str">
        <f t="shared" si="211"/>
        <v>0</v>
      </c>
      <c r="AG36" s="496" t="e">
        <f t="shared" ref="AG36:AI36" si="239">SUM(Z36,S36,S36,L36)</f>
        <v>#VALUE!</v>
      </c>
      <c r="AH36" s="496">
        <f t="shared" si="239"/>
        <v>0</v>
      </c>
      <c r="AI36" s="496">
        <f t="shared" si="239"/>
        <v>0</v>
      </c>
      <c r="AJ36" s="551">
        <f t="shared" si="31"/>
        <v>0</v>
      </c>
      <c r="AK36" s="552" t="str">
        <f t="shared" si="72"/>
        <v/>
      </c>
      <c r="AL36" s="434" t="str">
        <f t="shared" si="33"/>
        <v/>
      </c>
      <c r="AM36" s="140" t="e">
        <f t="shared" si="34"/>
        <v>#VALUE!</v>
      </c>
      <c r="AN36" s="123" t="str">
        <f t="shared" si="213"/>
        <v/>
      </c>
      <c r="AO36" s="148" t="str">
        <f t="shared" si="214"/>
        <v/>
      </c>
      <c r="AP36" s="434" t="str">
        <f t="shared" si="37"/>
        <v/>
      </c>
      <c r="AQ36" s="140" t="e">
        <f t="shared" si="38"/>
        <v>#VALUE!</v>
      </c>
      <c r="AR36" s="326" t="str">
        <f t="shared" si="215"/>
        <v/>
      </c>
      <c r="AS36" s="333" t="str">
        <f t="shared" si="216"/>
        <v/>
      </c>
      <c r="AT36" s="125" t="str">
        <f t="shared" si="41"/>
        <v/>
      </c>
      <c r="AU36" s="140" t="e">
        <f t="shared" si="42"/>
        <v>#VALUE!</v>
      </c>
      <c r="AV36" s="123" t="str">
        <f t="shared" si="217"/>
        <v/>
      </c>
      <c r="AW36" s="125" t="str">
        <f t="shared" si="218"/>
        <v/>
      </c>
      <c r="AX36" s="122" t="e">
        <f t="shared" ref="AX36:AZ36" si="240">AU36+AQ36+AM36</f>
        <v>#VALUE!</v>
      </c>
      <c r="AY36" s="326" t="e">
        <f t="shared" si="240"/>
        <v>#VALUE!</v>
      </c>
      <c r="AZ36" s="332" t="e">
        <f t="shared" si="240"/>
        <v>#VALUE!</v>
      </c>
      <c r="BA36" s="140" t="e">
        <f t="shared" ref="BA36:BC36" si="241">AX36+AG36</f>
        <v>#VALUE!</v>
      </c>
      <c r="BB36" s="326" t="e">
        <f t="shared" si="241"/>
        <v>#VALUE!</v>
      </c>
      <c r="BC36" s="435" t="e">
        <f t="shared" si="241"/>
        <v>#VALUE!</v>
      </c>
      <c r="BD36" s="123" t="str">
        <f t="shared" si="47"/>
        <v/>
      </c>
      <c r="BE36" s="123" t="e">
        <f t="shared" si="48"/>
        <v>#VALUE!</v>
      </c>
      <c r="BF36" s="123" t="str">
        <f t="shared" si="221"/>
        <v/>
      </c>
      <c r="BG36" s="148" t="str">
        <f t="shared" si="222"/>
        <v/>
      </c>
      <c r="BH36" s="123" t="str">
        <f t="shared" si="223"/>
        <v/>
      </c>
      <c r="BI36" s="141" t="e">
        <f t="shared" si="52"/>
        <v>#VALUE!</v>
      </c>
      <c r="BJ36" s="332" t="str">
        <f t="shared" si="224"/>
        <v/>
      </c>
      <c r="BK36" s="333" t="str">
        <f t="shared" si="225"/>
        <v/>
      </c>
      <c r="BL36" s="326" t="str">
        <f t="shared" si="226"/>
        <v/>
      </c>
      <c r="BM36" s="326" t="e">
        <f t="shared" si="56"/>
        <v>#VALUE!</v>
      </c>
      <c r="BN36" s="326" t="str">
        <f t="shared" si="227"/>
        <v/>
      </c>
      <c r="BO36" s="332" t="str">
        <f t="shared" si="228"/>
        <v/>
      </c>
      <c r="BP36" s="140" t="e">
        <f t="shared" ref="BP36:BR36" si="242">SUM(BM36,BI36,BE36)</f>
        <v>#VALUE!</v>
      </c>
      <c r="BQ36" s="326">
        <f t="shared" si="242"/>
        <v>0</v>
      </c>
      <c r="BR36" s="333">
        <f t="shared" si="242"/>
        <v>0</v>
      </c>
      <c r="BS36" s="125" t="str">
        <f t="shared" si="230"/>
        <v/>
      </c>
      <c r="BT36" s="140" t="e">
        <f t="shared" si="61"/>
        <v>#VALUE!</v>
      </c>
      <c r="BU36" s="123" t="str">
        <f t="shared" si="231"/>
        <v/>
      </c>
      <c r="BV36" s="148" t="str">
        <f t="shared" si="232"/>
        <v/>
      </c>
      <c r="BW36" s="123" t="str">
        <f t="shared" si="233"/>
        <v/>
      </c>
      <c r="BX36" s="326" t="str">
        <f t="shared" si="234"/>
        <v/>
      </c>
      <c r="BY36" s="297"/>
      <c r="BZ36" s="553"/>
      <c r="CF36" s="294"/>
      <c r="CG36" s="294"/>
      <c r="CR36" s="294"/>
    </row>
    <row r="37" spans="1:96" ht="15.75" customHeight="1">
      <c r="A37" s="546">
        <f t="shared" si="202"/>
        <v>112010786</v>
      </c>
      <c r="B37" s="547">
        <f t="shared" si="203"/>
        <v>22</v>
      </c>
      <c r="C37" s="137">
        <f t="shared" si="204"/>
        <v>0.1</v>
      </c>
      <c r="D37" s="137">
        <f t="shared" si="205"/>
        <v>0.09</v>
      </c>
      <c r="E37" s="98">
        <f t="shared" si="206"/>
        <v>0</v>
      </c>
      <c r="F37" s="414">
        <f t="shared" si="207"/>
        <v>63</v>
      </c>
      <c r="G37" s="94">
        <f t="shared" si="208"/>
        <v>0.1</v>
      </c>
      <c r="H37" s="415">
        <f t="shared" si="209"/>
        <v>0.05</v>
      </c>
      <c r="I37" s="589" t="s">
        <v>426</v>
      </c>
      <c r="J37" s="436">
        <f t="shared" si="156"/>
        <v>693390.61</v>
      </c>
      <c r="K37" s="237">
        <v>1800000</v>
      </c>
      <c r="L37" s="140">
        <f t="shared" si="10"/>
        <v>1381649.06</v>
      </c>
      <c r="M37" s="116">
        <f t="shared" si="210"/>
        <v>114612.46</v>
      </c>
      <c r="N37" s="333">
        <f t="shared" si="12"/>
        <v>1496261.52</v>
      </c>
      <c r="O37" s="123">
        <f t="shared" si="13"/>
        <v>-303738.48</v>
      </c>
      <c r="P37" s="98">
        <f t="shared" si="14"/>
        <v>0.83125640000000001</v>
      </c>
      <c r="Q37" s="125">
        <f t="shared" si="15"/>
        <v>1035294.67</v>
      </c>
      <c r="R37" s="141">
        <f>(Q37*1.7245)*1.05</f>
        <v>1874633.94133575</v>
      </c>
      <c r="S37" s="140">
        <f t="shared" si="17"/>
        <v>958898.25</v>
      </c>
      <c r="T37" s="326">
        <f t="shared" si="18"/>
        <v>0</v>
      </c>
      <c r="U37" s="333">
        <f t="shared" si="19"/>
        <v>958898.25</v>
      </c>
      <c r="V37" s="123">
        <f t="shared" si="20"/>
        <v>-915735.69133575005</v>
      </c>
      <c r="W37" s="98">
        <f t="shared" si="120"/>
        <v>0.51151226319776733</v>
      </c>
      <c r="X37" s="123">
        <f t="shared" si="134"/>
        <v>345907.71</v>
      </c>
      <c r="Y37" s="587">
        <v>1800000</v>
      </c>
      <c r="Z37" s="116">
        <f t="shared" si="23"/>
        <v>933351.83</v>
      </c>
      <c r="AA37" s="561">
        <f t="shared" si="24"/>
        <v>193617.41</v>
      </c>
      <c r="AB37" s="561">
        <f t="shared" si="25"/>
        <v>1126969.24</v>
      </c>
      <c r="AC37" s="116">
        <f t="shared" si="26"/>
        <v>-673030.76</v>
      </c>
      <c r="AD37" s="97">
        <f t="shared" si="27"/>
        <v>0.62609402222222221</v>
      </c>
      <c r="AE37" s="433">
        <f t="shared" si="28"/>
        <v>5474633.9413357498</v>
      </c>
      <c r="AF37" s="550">
        <f t="shared" si="211"/>
        <v>3884548.64</v>
      </c>
      <c r="AG37" s="496">
        <f t="shared" ref="AG37:AI37" si="243">SUM(Z37,S37,S37,L37)</f>
        <v>4232797.3900000006</v>
      </c>
      <c r="AH37" s="496">
        <f t="shared" si="243"/>
        <v>308229.87</v>
      </c>
      <c r="AI37" s="496">
        <f t="shared" si="243"/>
        <v>4541027.26</v>
      </c>
      <c r="AJ37" s="551">
        <f t="shared" si="31"/>
        <v>656478.61999999965</v>
      </c>
      <c r="AK37" s="552">
        <f t="shared" si="72"/>
        <v>1.1689973999141376</v>
      </c>
      <c r="AL37" s="434">
        <f t="shared" si="33"/>
        <v>1042126.48</v>
      </c>
      <c r="AM37" s="140">
        <f t="shared" si="34"/>
        <v>1024480.98</v>
      </c>
      <c r="AN37" s="123">
        <f t="shared" si="213"/>
        <v>76510.06</v>
      </c>
      <c r="AO37" s="148">
        <f t="shared" si="214"/>
        <v>1100991.04</v>
      </c>
      <c r="AP37" s="434">
        <f t="shared" si="37"/>
        <v>1139371.18</v>
      </c>
      <c r="AQ37" s="140">
        <f t="shared" si="38"/>
        <v>773626.85000000009</v>
      </c>
      <c r="AR37" s="326">
        <f t="shared" si="215"/>
        <v>169687.8</v>
      </c>
      <c r="AS37" s="333">
        <f t="shared" si="216"/>
        <v>943314.65</v>
      </c>
      <c r="AT37" s="125">
        <f t="shared" si="41"/>
        <v>330868.63</v>
      </c>
      <c r="AU37" s="140">
        <f t="shared" si="42"/>
        <v>785095.35</v>
      </c>
      <c r="AV37" s="123">
        <f t="shared" si="217"/>
        <v>155133.9</v>
      </c>
      <c r="AW37" s="125">
        <f t="shared" si="218"/>
        <v>940229.25</v>
      </c>
      <c r="AX37" s="122">
        <f t="shared" ref="AX37:AZ37" si="244">AU37+AQ37+AM37</f>
        <v>2583203.1800000002</v>
      </c>
      <c r="AY37" s="326">
        <f t="shared" si="244"/>
        <v>401331.75999999995</v>
      </c>
      <c r="AZ37" s="332">
        <f t="shared" si="244"/>
        <v>2984534.94</v>
      </c>
      <c r="BA37" s="140">
        <f t="shared" ref="BA37:BC37" si="245">AX37+AG37</f>
        <v>6816000.5700000003</v>
      </c>
      <c r="BB37" s="326">
        <f t="shared" si="245"/>
        <v>709561.62999999989</v>
      </c>
      <c r="BC37" s="435">
        <f t="shared" si="245"/>
        <v>7525562.1999999993</v>
      </c>
      <c r="BD37" s="123">
        <f t="shared" si="47"/>
        <v>656064.61</v>
      </c>
      <c r="BE37" s="123">
        <f t="shared" si="48"/>
        <v>706503.67999999993</v>
      </c>
      <c r="BF37" s="123">
        <f t="shared" si="221"/>
        <v>134345.07</v>
      </c>
      <c r="BG37" s="148">
        <f t="shared" si="222"/>
        <v>840848.75</v>
      </c>
      <c r="BH37" s="123">
        <f t="shared" si="223"/>
        <v>1128907.17</v>
      </c>
      <c r="BI37" s="141">
        <f t="shared" si="52"/>
        <v>612907.5</v>
      </c>
      <c r="BJ37" s="332">
        <f t="shared" si="224"/>
        <v>48164.12</v>
      </c>
      <c r="BK37" s="333">
        <f t="shared" si="225"/>
        <v>661071.62</v>
      </c>
      <c r="BL37" s="326">
        <f t="shared" si="226"/>
        <v>748329.13</v>
      </c>
      <c r="BM37" s="326">
        <f t="shared" si="56"/>
        <v>585907.06000000006</v>
      </c>
      <c r="BN37" s="326">
        <f t="shared" si="227"/>
        <v>130820.69</v>
      </c>
      <c r="BO37" s="332">
        <f t="shared" si="228"/>
        <v>716727.75</v>
      </c>
      <c r="BP37" s="140">
        <f t="shared" ref="BP37:BR37" si="246">SUM(BM37,BI37,BE37)</f>
        <v>1905318.24</v>
      </c>
      <c r="BQ37" s="326">
        <f t="shared" si="246"/>
        <v>313329.88</v>
      </c>
      <c r="BR37" s="333">
        <f t="shared" si="246"/>
        <v>2218648.12</v>
      </c>
      <c r="BS37" s="125">
        <f t="shared" si="230"/>
        <v>1461726.33</v>
      </c>
      <c r="BT37" s="140">
        <f t="shared" si="61"/>
        <v>691359.96000000008</v>
      </c>
      <c r="BU37" s="123">
        <f t="shared" si="231"/>
        <v>209661.6</v>
      </c>
      <c r="BV37" s="148">
        <f t="shared" si="232"/>
        <v>901021.56</v>
      </c>
      <c r="BW37" s="123">
        <f t="shared" si="233"/>
        <v>1003206.35</v>
      </c>
      <c r="BX37" s="326">
        <f t="shared" si="234"/>
        <v>1419615.96</v>
      </c>
      <c r="BY37" s="297"/>
      <c r="BZ37" s="553" t="s">
        <v>420</v>
      </c>
      <c r="CF37" s="294"/>
      <c r="CG37" s="294"/>
      <c r="CR37" s="294"/>
    </row>
    <row r="38" spans="1:96" ht="15.75" customHeight="1">
      <c r="A38" s="546">
        <f t="shared" si="202"/>
        <v>112014675</v>
      </c>
      <c r="B38" s="547">
        <f t="shared" si="203"/>
        <v>22</v>
      </c>
      <c r="C38" s="137">
        <f t="shared" si="204"/>
        <v>0.1</v>
      </c>
      <c r="D38" s="137">
        <f t="shared" si="205"/>
        <v>0.09</v>
      </c>
      <c r="E38" s="98">
        <f t="shared" si="206"/>
        <v>0</v>
      </c>
      <c r="F38" s="414">
        <f t="shared" si="207"/>
        <v>63</v>
      </c>
      <c r="G38" s="94">
        <f t="shared" si="208"/>
        <v>0.1</v>
      </c>
      <c r="H38" s="415">
        <f t="shared" si="209"/>
        <v>0.05</v>
      </c>
      <c r="I38" s="591" t="s">
        <v>427</v>
      </c>
      <c r="J38" s="436"/>
      <c r="K38" s="237"/>
      <c r="L38" s="140"/>
      <c r="M38" s="116" t="str">
        <f t="shared" si="210"/>
        <v/>
      </c>
      <c r="N38" s="333"/>
      <c r="O38" s="123"/>
      <c r="P38" s="98"/>
      <c r="Q38" s="125"/>
      <c r="R38" s="237"/>
      <c r="S38" s="140"/>
      <c r="T38" s="326"/>
      <c r="U38" s="333"/>
      <c r="V38" s="123"/>
      <c r="W38" s="98"/>
      <c r="X38" s="123"/>
      <c r="Y38" s="587"/>
      <c r="Z38" s="116"/>
      <c r="AA38" s="561"/>
      <c r="AB38" s="561"/>
      <c r="AC38" s="116"/>
      <c r="AD38" s="97"/>
      <c r="AE38" s="433"/>
      <c r="AF38" s="550" t="str">
        <f t="shared" si="211"/>
        <v>0</v>
      </c>
      <c r="AG38" s="496"/>
      <c r="AH38" s="496"/>
      <c r="AI38" s="496"/>
      <c r="AJ38" s="551">
        <f t="shared" si="31"/>
        <v>0</v>
      </c>
      <c r="AK38" s="552" t="str">
        <f t="shared" si="72"/>
        <v/>
      </c>
      <c r="AL38" s="434"/>
      <c r="AM38" s="140" t="e">
        <f t="shared" si="34"/>
        <v>#VALUE!</v>
      </c>
      <c r="AN38" s="123" t="str">
        <f t="shared" si="213"/>
        <v/>
      </c>
      <c r="AO38" s="148">
        <f t="shared" si="214"/>
        <v>0</v>
      </c>
      <c r="AP38" s="434"/>
      <c r="AQ38" s="140" t="e">
        <f t="shared" si="38"/>
        <v>#VALUE!</v>
      </c>
      <c r="AR38" s="326" t="str">
        <f t="shared" si="215"/>
        <v/>
      </c>
      <c r="AS38" s="333">
        <f t="shared" si="216"/>
        <v>0</v>
      </c>
      <c r="AT38" s="125"/>
      <c r="AU38" s="140" t="e">
        <f t="shared" si="42"/>
        <v>#VALUE!</v>
      </c>
      <c r="AV38" s="123" t="str">
        <f t="shared" si="217"/>
        <v/>
      </c>
      <c r="AW38" s="125">
        <f t="shared" si="218"/>
        <v>0</v>
      </c>
      <c r="AX38" s="122" t="e">
        <f t="shared" ref="AX38:AZ38" si="247">AU38+AQ38+AM38</f>
        <v>#VALUE!</v>
      </c>
      <c r="AY38" s="326" t="e">
        <f t="shared" si="247"/>
        <v>#VALUE!</v>
      </c>
      <c r="AZ38" s="332">
        <f t="shared" si="247"/>
        <v>0</v>
      </c>
      <c r="BA38" s="140" t="e">
        <f t="shared" ref="BA38:BC38" si="248">AX38+AG38</f>
        <v>#VALUE!</v>
      </c>
      <c r="BB38" s="326" t="e">
        <f t="shared" si="248"/>
        <v>#VALUE!</v>
      </c>
      <c r="BC38" s="435">
        <f t="shared" si="248"/>
        <v>0</v>
      </c>
      <c r="BD38" s="123"/>
      <c r="BE38" s="123" t="e">
        <f t="shared" si="48"/>
        <v>#VALUE!</v>
      </c>
      <c r="BF38" s="123" t="str">
        <f t="shared" si="221"/>
        <v/>
      </c>
      <c r="BG38" s="148">
        <f t="shared" si="222"/>
        <v>0</v>
      </c>
      <c r="BH38" s="123" t="str">
        <f t="shared" si="223"/>
        <v/>
      </c>
      <c r="BI38" s="141" t="e">
        <f t="shared" si="52"/>
        <v>#VALUE!</v>
      </c>
      <c r="BJ38" s="332" t="str">
        <f t="shared" si="224"/>
        <v/>
      </c>
      <c r="BK38" s="333">
        <f t="shared" si="225"/>
        <v>0</v>
      </c>
      <c r="BL38" s="326" t="str">
        <f t="shared" si="226"/>
        <v/>
      </c>
      <c r="BM38" s="326" t="e">
        <f t="shared" si="56"/>
        <v>#VALUE!</v>
      </c>
      <c r="BN38" s="326" t="str">
        <f t="shared" si="227"/>
        <v/>
      </c>
      <c r="BO38" s="332">
        <f t="shared" si="228"/>
        <v>56777.8</v>
      </c>
      <c r="BP38" s="140" t="e">
        <f t="shared" ref="BP38:BR38" si="249">SUM(BM38,BI38,BE38)</f>
        <v>#VALUE!</v>
      </c>
      <c r="BQ38" s="326">
        <f t="shared" si="249"/>
        <v>0</v>
      </c>
      <c r="BR38" s="333">
        <f t="shared" si="249"/>
        <v>56777.8</v>
      </c>
      <c r="BS38" s="125" t="str">
        <f t="shared" si="230"/>
        <v/>
      </c>
      <c r="BT38" s="140" t="e">
        <f t="shared" si="61"/>
        <v>#VALUE!</v>
      </c>
      <c r="BU38" s="123" t="str">
        <f t="shared" si="231"/>
        <v/>
      </c>
      <c r="BV38" s="148">
        <f t="shared" si="232"/>
        <v>172984.89</v>
      </c>
      <c r="BW38" s="123" t="str">
        <f t="shared" si="233"/>
        <v/>
      </c>
      <c r="BX38" s="326" t="str">
        <f t="shared" si="234"/>
        <v/>
      </c>
      <c r="BY38" s="297"/>
      <c r="BZ38" s="553"/>
      <c r="CF38" s="294"/>
      <c r="CG38" s="294"/>
      <c r="CR38" s="294"/>
    </row>
    <row r="39" spans="1:96" ht="15.75" customHeight="1">
      <c r="A39" s="546">
        <f t="shared" si="202"/>
        <v>112013122</v>
      </c>
      <c r="B39" s="547">
        <f t="shared" si="203"/>
        <v>22</v>
      </c>
      <c r="C39" s="137">
        <f t="shared" si="204"/>
        <v>0.1</v>
      </c>
      <c r="D39" s="137">
        <f t="shared" si="205"/>
        <v>0.09</v>
      </c>
      <c r="E39" s="98">
        <f t="shared" si="206"/>
        <v>0</v>
      </c>
      <c r="F39" s="414">
        <f t="shared" si="207"/>
        <v>63</v>
      </c>
      <c r="G39" s="94">
        <f t="shared" si="208"/>
        <v>0.1</v>
      </c>
      <c r="H39" s="415">
        <f t="shared" si="209"/>
        <v>0.05</v>
      </c>
      <c r="I39" s="568" t="s">
        <v>428</v>
      </c>
      <c r="J39" s="436">
        <f t="shared" ref="J39:J53" si="250">IFERROR(VLOOKUP(I39,RETAMAR24,3,FALSE),"")</f>
        <v>595717.5</v>
      </c>
      <c r="K39" s="237">
        <v>1800000</v>
      </c>
      <c r="L39" s="140">
        <f t="shared" ref="L39:L53" si="251">N39-M39</f>
        <v>1002011.15</v>
      </c>
      <c r="M39" s="116">
        <f t="shared" si="210"/>
        <v>36153.24</v>
      </c>
      <c r="N39" s="333">
        <f t="shared" ref="N39:N53" si="252">IFERROR(VLOOKUP(I39,RETFC,3,FALSE),"")</f>
        <v>1038164.39</v>
      </c>
      <c r="O39" s="123">
        <f t="shared" ref="O39:O53" si="253">N39-K39</f>
        <v>-761835.61</v>
      </c>
      <c r="P39" s="98">
        <f t="shared" ref="P39:P53" si="254">IFERROR(N39/K39,"")</f>
        <v>0.57675799444444442</v>
      </c>
      <c r="Q39" s="125">
        <f t="shared" ref="Q39:Q53" si="255">IFERROR(VLOOKUP(I39,RETAMAR24,4,FALSE),"")</f>
        <v>442191.01</v>
      </c>
      <c r="R39" s="237">
        <v>1800000</v>
      </c>
      <c r="S39" s="140">
        <f t="shared" ref="S39:S53" si="256">U39-T39</f>
        <v>0</v>
      </c>
      <c r="T39" s="326">
        <f t="shared" ref="T39:T53" si="257">IFERROR(VLOOKUP(I39,RETAALIM,4,FALSE),"")</f>
        <v>0</v>
      </c>
      <c r="U39" s="333">
        <f t="shared" ref="U39:U53" si="258">IFERROR(VLOOKUP(I39,RETFC,4,FALSE),"")</f>
        <v>0</v>
      </c>
      <c r="V39" s="123">
        <f t="shared" ref="V39:V53" si="259">U39-R39</f>
        <v>-1800000</v>
      </c>
      <c r="W39" s="98">
        <f t="shared" ref="W39:W53" si="260">U39/R39</f>
        <v>0</v>
      </c>
      <c r="X39" s="123">
        <f t="shared" ref="X39:X53" si="261">IFERROR(VLOOKUP(I39,RETAMAR24,5,FALSE),"")</f>
        <v>392016.56</v>
      </c>
      <c r="Y39" s="587">
        <v>1800000</v>
      </c>
      <c r="Z39" s="116">
        <f t="shared" ref="Z39:Z53" si="262">AB39-AA39</f>
        <v>1274165.3799999999</v>
      </c>
      <c r="AA39" s="561">
        <f t="shared" ref="AA39:AA53" si="263">IFERROR(VLOOKUP(I39,RETAALIM,5,FALSE),"")</f>
        <v>0</v>
      </c>
      <c r="AB39" s="561">
        <f t="shared" ref="AB39:AB53" si="264">IFERROR(VLOOKUP(I39,RETFC,5,FALSE),"")</f>
        <v>1274165.3799999999</v>
      </c>
      <c r="AC39" s="116">
        <f t="shared" ref="AC39:AC53" si="265">AB39-Y39</f>
        <v>-525834.62000000011</v>
      </c>
      <c r="AD39" s="97">
        <f t="shared" ref="AD39:AD53" si="266">AB39/Y39</f>
        <v>0.70786965555555548</v>
      </c>
      <c r="AE39" s="433">
        <f t="shared" ref="AE39:AE53" si="267">SUM(K39,R39,Y39)</f>
        <v>5400000</v>
      </c>
      <c r="AF39" s="550">
        <f t="shared" si="211"/>
        <v>2856191.87</v>
      </c>
      <c r="AG39" s="496">
        <f t="shared" ref="AG39:AI39" si="268">SUM(Z39,S39,S39,L39)</f>
        <v>2276176.5299999998</v>
      </c>
      <c r="AH39" s="496">
        <f t="shared" si="268"/>
        <v>36153.24</v>
      </c>
      <c r="AI39" s="496">
        <f t="shared" si="268"/>
        <v>2312329.77</v>
      </c>
      <c r="AJ39" s="551">
        <f t="shared" si="31"/>
        <v>-543862.10000000009</v>
      </c>
      <c r="AK39" s="552">
        <f t="shared" si="72"/>
        <v>0.80958488618623503</v>
      </c>
      <c r="AL39" s="434">
        <f t="shared" ref="AL39:AL53" si="269">IFERROR(VLOOKUP(I39,RETAMAR24,6,FALSE),"")</f>
        <v>823960.16</v>
      </c>
      <c r="AM39" s="140">
        <f t="shared" si="34"/>
        <v>621642.16</v>
      </c>
      <c r="AN39" s="123">
        <f t="shared" si="213"/>
        <v>0</v>
      </c>
      <c r="AO39" s="148">
        <f t="shared" si="214"/>
        <v>621642.16</v>
      </c>
      <c r="AP39" s="434">
        <f t="shared" ref="AP39:AP53" si="270">IFERROR(VLOOKUP(I39,RETAMAR24,7,FALSE),"")</f>
        <v>497557.42</v>
      </c>
      <c r="AQ39" s="140">
        <f t="shared" si="38"/>
        <v>785093</v>
      </c>
      <c r="AR39" s="326">
        <f t="shared" si="215"/>
        <v>93994.47</v>
      </c>
      <c r="AS39" s="333">
        <f t="shared" si="216"/>
        <v>879087.47</v>
      </c>
      <c r="AT39" s="125">
        <f t="shared" ref="AT39:AT53" si="271">IFERROR(VLOOKUP(I39,RETAMAR24,8,FALSE),"")</f>
        <v>630597.76</v>
      </c>
      <c r="AU39" s="140">
        <f t="shared" si="42"/>
        <v>521226.21</v>
      </c>
      <c r="AV39" s="123">
        <f t="shared" si="217"/>
        <v>0</v>
      </c>
      <c r="AW39" s="125">
        <f t="shared" si="218"/>
        <v>521226.21</v>
      </c>
      <c r="AX39" s="122">
        <f t="shared" ref="AX39:AZ39" si="272">AU39+AQ39+AM39</f>
        <v>1927961.37</v>
      </c>
      <c r="AY39" s="326">
        <f t="shared" si="272"/>
        <v>93994.47</v>
      </c>
      <c r="AZ39" s="332">
        <f t="shared" si="272"/>
        <v>2021955.8399999999</v>
      </c>
      <c r="BA39" s="140">
        <f t="shared" ref="BA39:BC39" si="273">AX39+AG39</f>
        <v>4204137.9000000004</v>
      </c>
      <c r="BB39" s="326">
        <f t="shared" si="273"/>
        <v>130147.70999999999</v>
      </c>
      <c r="BC39" s="435">
        <f t="shared" si="273"/>
        <v>4334285.6099999994</v>
      </c>
      <c r="BD39" s="123">
        <f t="shared" ref="BD39:BD60" si="274">IFERROR(VLOOKUP(I39,RETAMAR24,9,FALSE),"")</f>
        <v>830462.27</v>
      </c>
      <c r="BE39" s="123">
        <f t="shared" si="48"/>
        <v>1055838.8700000001</v>
      </c>
      <c r="BF39" s="123">
        <f t="shared" si="221"/>
        <v>0</v>
      </c>
      <c r="BG39" s="148">
        <f t="shared" si="222"/>
        <v>1055838.8700000001</v>
      </c>
      <c r="BH39" s="123">
        <f t="shared" si="223"/>
        <v>1010923.89</v>
      </c>
      <c r="BI39" s="141">
        <f t="shared" si="52"/>
        <v>-391011</v>
      </c>
      <c r="BJ39" s="332">
        <f t="shared" si="224"/>
        <v>0</v>
      </c>
      <c r="BK39" s="333">
        <f t="shared" si="225"/>
        <v>-391011</v>
      </c>
      <c r="BL39" s="326">
        <f t="shared" si="226"/>
        <v>717423.8</v>
      </c>
      <c r="BM39" s="326">
        <f t="shared" si="56"/>
        <v>270472.65999999997</v>
      </c>
      <c r="BN39" s="326">
        <f t="shared" si="227"/>
        <v>0</v>
      </c>
      <c r="BO39" s="332">
        <f t="shared" si="228"/>
        <v>270472.65999999997</v>
      </c>
      <c r="BP39" s="140">
        <f t="shared" ref="BP39:BR39" si="275">SUM(BM39,BI39,BE39)</f>
        <v>935300.53</v>
      </c>
      <c r="BQ39" s="326">
        <f t="shared" si="275"/>
        <v>0</v>
      </c>
      <c r="BR39" s="333">
        <f t="shared" si="275"/>
        <v>935300.53</v>
      </c>
      <c r="BS39" s="125">
        <f t="shared" si="230"/>
        <v>1186519.93</v>
      </c>
      <c r="BT39" s="140">
        <f t="shared" si="61"/>
        <v>422114</v>
      </c>
      <c r="BU39" s="123">
        <f t="shared" si="231"/>
        <v>0</v>
      </c>
      <c r="BV39" s="148">
        <f t="shared" si="232"/>
        <v>422114</v>
      </c>
      <c r="BW39" s="123">
        <f t="shared" si="233"/>
        <v>1123623.8899999999</v>
      </c>
      <c r="BX39" s="326">
        <f t="shared" si="234"/>
        <v>546048.05000000005</v>
      </c>
      <c r="BY39" s="297"/>
      <c r="BZ39" s="553"/>
      <c r="CF39" s="294"/>
      <c r="CG39" s="294"/>
      <c r="CR39" s="294"/>
    </row>
    <row r="40" spans="1:96" ht="15.75" customHeight="1">
      <c r="A40" s="546">
        <f t="shared" si="202"/>
        <v>112010616</v>
      </c>
      <c r="B40" s="547">
        <f t="shared" si="203"/>
        <v>22</v>
      </c>
      <c r="C40" s="137">
        <f t="shared" si="204"/>
        <v>0.1</v>
      </c>
      <c r="D40" s="137">
        <f t="shared" si="205"/>
        <v>0.09</v>
      </c>
      <c r="E40" s="98">
        <f t="shared" si="206"/>
        <v>0</v>
      </c>
      <c r="F40" s="414">
        <f t="shared" si="207"/>
        <v>63</v>
      </c>
      <c r="G40" s="94">
        <f t="shared" si="208"/>
        <v>0.1</v>
      </c>
      <c r="H40" s="415">
        <f t="shared" si="209"/>
        <v>0.05</v>
      </c>
      <c r="I40" s="589" t="s">
        <v>429</v>
      </c>
      <c r="J40" s="436">
        <f t="shared" si="250"/>
        <v>1010145.87</v>
      </c>
      <c r="K40" s="237">
        <v>1800000</v>
      </c>
      <c r="L40" s="140">
        <f t="shared" si="251"/>
        <v>3605548.6</v>
      </c>
      <c r="M40" s="116">
        <f t="shared" si="210"/>
        <v>12776.84</v>
      </c>
      <c r="N40" s="333">
        <f t="shared" si="252"/>
        <v>3618325.44</v>
      </c>
      <c r="O40" s="123">
        <f t="shared" si="253"/>
        <v>1818325.44</v>
      </c>
      <c r="P40" s="98">
        <f t="shared" si="254"/>
        <v>2.0101808000000001</v>
      </c>
      <c r="Q40" s="125">
        <f t="shared" si="255"/>
        <v>1190597.96</v>
      </c>
      <c r="R40" s="141">
        <f>(Q40*1.7245)*1.05</f>
        <v>2155845.4911210001</v>
      </c>
      <c r="S40" s="140">
        <f t="shared" si="256"/>
        <v>154756.98000000001</v>
      </c>
      <c r="T40" s="326">
        <f t="shared" si="257"/>
        <v>0</v>
      </c>
      <c r="U40" s="333">
        <f t="shared" si="258"/>
        <v>154756.98000000001</v>
      </c>
      <c r="V40" s="123">
        <f t="shared" si="259"/>
        <v>-2001088.5111210002</v>
      </c>
      <c r="W40" s="98">
        <f t="shared" si="260"/>
        <v>7.1784819755115761E-2</v>
      </c>
      <c r="X40" s="123">
        <f t="shared" si="261"/>
        <v>537512.87</v>
      </c>
      <c r="Y40" s="587">
        <v>1800000</v>
      </c>
      <c r="Z40" s="116">
        <f t="shared" si="262"/>
        <v>0</v>
      </c>
      <c r="AA40" s="561">
        <f t="shared" si="263"/>
        <v>0</v>
      </c>
      <c r="AB40" s="561">
        <f t="shared" si="264"/>
        <v>0</v>
      </c>
      <c r="AC40" s="116">
        <f t="shared" si="265"/>
        <v>-1800000</v>
      </c>
      <c r="AD40" s="97">
        <f t="shared" si="266"/>
        <v>0</v>
      </c>
      <c r="AE40" s="433">
        <f t="shared" si="267"/>
        <v>5755845.4911209997</v>
      </c>
      <c r="AF40" s="550">
        <f t="shared" si="211"/>
        <v>6937590.9000000004</v>
      </c>
      <c r="AG40" s="496">
        <f t="shared" ref="AG40:AI40" si="276">SUM(Z40,S40,S40,L40)</f>
        <v>3915062.56</v>
      </c>
      <c r="AH40" s="496">
        <f t="shared" si="276"/>
        <v>12776.84</v>
      </c>
      <c r="AI40" s="496">
        <f t="shared" si="276"/>
        <v>3927839.4</v>
      </c>
      <c r="AJ40" s="551">
        <f t="shared" si="31"/>
        <v>-3009751.5000000005</v>
      </c>
      <c r="AK40" s="552">
        <f t="shared" si="72"/>
        <v>0.56616763032250861</v>
      </c>
      <c r="AL40" s="434">
        <f t="shared" si="269"/>
        <v>1193791.3999999999</v>
      </c>
      <c r="AM40" s="140">
        <f t="shared" si="34"/>
        <v>0</v>
      </c>
      <c r="AN40" s="123">
        <f t="shared" si="213"/>
        <v>0</v>
      </c>
      <c r="AO40" s="148">
        <f t="shared" si="214"/>
        <v>0</v>
      </c>
      <c r="AP40" s="434">
        <f t="shared" si="270"/>
        <v>909889.29</v>
      </c>
      <c r="AQ40" s="140">
        <f t="shared" si="38"/>
        <v>1602256.16</v>
      </c>
      <c r="AR40" s="326">
        <f t="shared" si="215"/>
        <v>20273.490000000002</v>
      </c>
      <c r="AS40" s="333">
        <f t="shared" si="216"/>
        <v>1622529.65</v>
      </c>
      <c r="AT40" s="125">
        <f t="shared" si="271"/>
        <v>892456.59</v>
      </c>
      <c r="AU40" s="140">
        <f t="shared" si="42"/>
        <v>1661603.64</v>
      </c>
      <c r="AV40" s="123">
        <f t="shared" si="217"/>
        <v>0</v>
      </c>
      <c r="AW40" s="125">
        <f t="shared" si="218"/>
        <v>1661603.64</v>
      </c>
      <c r="AX40" s="122">
        <f t="shared" ref="AX40:AZ40" si="277">AU40+AQ40+AM40</f>
        <v>3263859.8</v>
      </c>
      <c r="AY40" s="326">
        <f t="shared" si="277"/>
        <v>20273.490000000002</v>
      </c>
      <c r="AZ40" s="332">
        <f t="shared" si="277"/>
        <v>3284133.29</v>
      </c>
      <c r="BA40" s="140">
        <f t="shared" ref="BA40:BC40" si="278">AX40+AG40</f>
        <v>7178922.3599999994</v>
      </c>
      <c r="BB40" s="326">
        <f t="shared" si="278"/>
        <v>33050.33</v>
      </c>
      <c r="BC40" s="435">
        <f t="shared" si="278"/>
        <v>7211972.6899999995</v>
      </c>
      <c r="BD40" s="123">
        <f t="shared" si="274"/>
        <v>1706482.42</v>
      </c>
      <c r="BE40" s="123">
        <f t="shared" si="48"/>
        <v>2545696.2999999998</v>
      </c>
      <c r="BF40" s="123">
        <f t="shared" si="221"/>
        <v>0</v>
      </c>
      <c r="BG40" s="148">
        <f t="shared" si="222"/>
        <v>2545696.2999999998</v>
      </c>
      <c r="BH40" s="123">
        <f t="shared" si="223"/>
        <v>398126.58</v>
      </c>
      <c r="BI40" s="141">
        <f t="shared" si="52"/>
        <v>2089503.38</v>
      </c>
      <c r="BJ40" s="332">
        <f t="shared" si="224"/>
        <v>0</v>
      </c>
      <c r="BK40" s="333">
        <f t="shared" si="225"/>
        <v>2089503.38</v>
      </c>
      <c r="BL40" s="326">
        <f t="shared" si="226"/>
        <v>1220999.32</v>
      </c>
      <c r="BM40" s="326">
        <f t="shared" si="56"/>
        <v>851497.11</v>
      </c>
      <c r="BN40" s="326">
        <f t="shared" si="227"/>
        <v>0</v>
      </c>
      <c r="BO40" s="332">
        <f t="shared" si="228"/>
        <v>851497.11</v>
      </c>
      <c r="BP40" s="140">
        <f t="shared" ref="BP40:BR40" si="279">SUM(BM40,BI40,BE40)</f>
        <v>5486696.7899999991</v>
      </c>
      <c r="BQ40" s="326">
        <f t="shared" si="279"/>
        <v>0</v>
      </c>
      <c r="BR40" s="333">
        <f t="shared" si="279"/>
        <v>5486696.7899999991</v>
      </c>
      <c r="BS40" s="125">
        <f t="shared" si="230"/>
        <v>2197012.62</v>
      </c>
      <c r="BT40" s="140">
        <f t="shared" si="61"/>
        <v>820777.25</v>
      </c>
      <c r="BU40" s="123">
        <f t="shared" si="231"/>
        <v>0</v>
      </c>
      <c r="BV40" s="148">
        <f t="shared" si="232"/>
        <v>820777.25</v>
      </c>
      <c r="BW40" s="123">
        <f t="shared" si="233"/>
        <v>2020580.4</v>
      </c>
      <c r="BX40" s="326">
        <f t="shared" si="234"/>
        <v>2719997.89</v>
      </c>
      <c r="BY40" s="297"/>
      <c r="BZ40" s="553"/>
      <c r="CF40" s="294"/>
      <c r="CG40" s="294"/>
      <c r="CR40" s="294"/>
    </row>
    <row r="41" spans="1:96" ht="15.75" customHeight="1">
      <c r="A41" s="546">
        <f t="shared" si="202"/>
        <v>112011796</v>
      </c>
      <c r="B41" s="547">
        <f t="shared" si="203"/>
        <v>22</v>
      </c>
      <c r="C41" s="137">
        <f t="shared" si="204"/>
        <v>0.1</v>
      </c>
      <c r="D41" s="137">
        <f t="shared" si="205"/>
        <v>0.09</v>
      </c>
      <c r="E41" s="98">
        <f t="shared" si="206"/>
        <v>0</v>
      </c>
      <c r="F41" s="414">
        <f t="shared" si="207"/>
        <v>63</v>
      </c>
      <c r="G41" s="94">
        <f t="shared" si="208"/>
        <v>0.1</v>
      </c>
      <c r="H41" s="415">
        <f t="shared" si="209"/>
        <v>0.05</v>
      </c>
      <c r="I41" s="568" t="s">
        <v>430</v>
      </c>
      <c r="J41" s="436">
        <f t="shared" si="250"/>
        <v>1183983.53</v>
      </c>
      <c r="K41" s="141">
        <f t="shared" ref="K41:K42" si="280">(J41*1.601)*1.05</f>
        <v>1990335.5131065003</v>
      </c>
      <c r="L41" s="140">
        <f t="shared" si="251"/>
        <v>1553494.64</v>
      </c>
      <c r="M41" s="116">
        <f t="shared" si="210"/>
        <v>0</v>
      </c>
      <c r="N41" s="333">
        <f t="shared" si="252"/>
        <v>1553494.64</v>
      </c>
      <c r="O41" s="123">
        <f t="shared" si="253"/>
        <v>-436840.87310650037</v>
      </c>
      <c r="P41" s="98">
        <f t="shared" si="254"/>
        <v>0.78051897771512779</v>
      </c>
      <c r="Q41" s="125">
        <f t="shared" si="255"/>
        <v>427188.57</v>
      </c>
      <c r="R41" s="237">
        <v>1800000</v>
      </c>
      <c r="S41" s="140">
        <f t="shared" si="256"/>
        <v>832479.64</v>
      </c>
      <c r="T41" s="326">
        <f t="shared" si="257"/>
        <v>0</v>
      </c>
      <c r="U41" s="333">
        <f t="shared" si="258"/>
        <v>832479.64</v>
      </c>
      <c r="V41" s="123">
        <f t="shared" si="259"/>
        <v>-967520.36</v>
      </c>
      <c r="W41" s="98">
        <f t="shared" si="260"/>
        <v>0.46248868888888889</v>
      </c>
      <c r="X41" s="123">
        <f t="shared" si="261"/>
        <v>817676.79</v>
      </c>
      <c r="Y41" s="587">
        <v>1800000</v>
      </c>
      <c r="Z41" s="116">
        <f t="shared" si="262"/>
        <v>804765.82000000007</v>
      </c>
      <c r="AA41" s="561">
        <f t="shared" si="263"/>
        <v>31057.599999999999</v>
      </c>
      <c r="AB41" s="561">
        <f t="shared" si="264"/>
        <v>835823.42</v>
      </c>
      <c r="AC41" s="116">
        <f t="shared" si="265"/>
        <v>-964176.58</v>
      </c>
      <c r="AD41" s="97">
        <f t="shared" si="266"/>
        <v>0.46434634444444445</v>
      </c>
      <c r="AE41" s="433">
        <f t="shared" si="267"/>
        <v>5590335.5131065007</v>
      </c>
      <c r="AF41" s="550">
        <f t="shared" si="211"/>
        <v>3590553.38</v>
      </c>
      <c r="AG41" s="496">
        <f t="shared" ref="AG41:AI41" si="281">SUM(Z41,S41,S41,L41)</f>
        <v>4023219.74</v>
      </c>
      <c r="AH41" s="496">
        <f t="shared" si="281"/>
        <v>31057.599999999999</v>
      </c>
      <c r="AI41" s="496">
        <f t="shared" si="281"/>
        <v>4054277.34</v>
      </c>
      <c r="AJ41" s="551">
        <f t="shared" si="31"/>
        <v>463723.95999999996</v>
      </c>
      <c r="AK41" s="552">
        <f t="shared" si="72"/>
        <v>1.1291511115203083</v>
      </c>
      <c r="AL41" s="434">
        <f t="shared" si="269"/>
        <v>623787.02</v>
      </c>
      <c r="AM41" s="140">
        <f t="shared" si="34"/>
        <v>743175.07</v>
      </c>
      <c r="AN41" s="123">
        <f t="shared" si="213"/>
        <v>0</v>
      </c>
      <c r="AO41" s="148">
        <f t="shared" si="214"/>
        <v>743175.07</v>
      </c>
      <c r="AP41" s="434">
        <f t="shared" si="270"/>
        <v>646142.24</v>
      </c>
      <c r="AQ41" s="140">
        <f t="shared" si="38"/>
        <v>1170851.76</v>
      </c>
      <c r="AR41" s="326">
        <f t="shared" si="215"/>
        <v>0</v>
      </c>
      <c r="AS41" s="333">
        <f t="shared" si="216"/>
        <v>1170851.76</v>
      </c>
      <c r="AT41" s="125">
        <f t="shared" si="271"/>
        <v>575995.87</v>
      </c>
      <c r="AU41" s="140">
        <f t="shared" si="42"/>
        <v>798940.54</v>
      </c>
      <c r="AV41" s="123">
        <f t="shared" si="217"/>
        <v>0</v>
      </c>
      <c r="AW41" s="125">
        <f t="shared" si="218"/>
        <v>798940.54</v>
      </c>
      <c r="AX41" s="122">
        <f t="shared" ref="AX41:AZ41" si="282">AU41+AQ41+AM41</f>
        <v>2712967.37</v>
      </c>
      <c r="AY41" s="326">
        <f t="shared" si="282"/>
        <v>0</v>
      </c>
      <c r="AZ41" s="332">
        <f t="shared" si="282"/>
        <v>2712967.37</v>
      </c>
      <c r="BA41" s="140">
        <f t="shared" ref="BA41:BC41" si="283">AX41+AG41</f>
        <v>6736187.1100000003</v>
      </c>
      <c r="BB41" s="326">
        <f t="shared" si="283"/>
        <v>31057.599999999999</v>
      </c>
      <c r="BC41" s="435">
        <f t="shared" si="283"/>
        <v>6767244.71</v>
      </c>
      <c r="BD41" s="123">
        <f t="shared" si="274"/>
        <v>1030974.23</v>
      </c>
      <c r="BE41" s="123">
        <f t="shared" si="48"/>
        <v>950181.74</v>
      </c>
      <c r="BF41" s="123">
        <f t="shared" si="221"/>
        <v>0</v>
      </c>
      <c r="BG41" s="148">
        <f t="shared" si="222"/>
        <v>950181.74</v>
      </c>
      <c r="BH41" s="123">
        <f t="shared" si="223"/>
        <v>1053622.74</v>
      </c>
      <c r="BI41" s="141">
        <f t="shared" si="52"/>
        <v>752793.17</v>
      </c>
      <c r="BJ41" s="332">
        <f t="shared" si="224"/>
        <v>0</v>
      </c>
      <c r="BK41" s="333">
        <f t="shared" si="225"/>
        <v>752793.17</v>
      </c>
      <c r="BL41" s="326">
        <f t="shared" si="226"/>
        <v>1197775.03</v>
      </c>
      <c r="BM41" s="326">
        <f t="shared" si="56"/>
        <v>1362999.84</v>
      </c>
      <c r="BN41" s="326">
        <f t="shared" si="227"/>
        <v>0</v>
      </c>
      <c r="BO41" s="332">
        <f t="shared" si="228"/>
        <v>1362999.84</v>
      </c>
      <c r="BP41" s="140">
        <f t="shared" ref="BP41:BR41" si="284">SUM(BM41,BI41,BE41)</f>
        <v>3065974.75</v>
      </c>
      <c r="BQ41" s="326">
        <f t="shared" si="284"/>
        <v>0</v>
      </c>
      <c r="BR41" s="333">
        <f t="shared" si="284"/>
        <v>3065974.75</v>
      </c>
      <c r="BS41" s="125">
        <f t="shared" si="230"/>
        <v>846622.4</v>
      </c>
      <c r="BT41" s="140">
        <f t="shared" si="61"/>
        <v>1079364.8400000001</v>
      </c>
      <c r="BU41" s="123">
        <f t="shared" si="231"/>
        <v>0</v>
      </c>
      <c r="BV41" s="148">
        <f t="shared" si="232"/>
        <v>1079364.8400000001</v>
      </c>
      <c r="BW41" s="123">
        <f t="shared" si="233"/>
        <v>1007571.02</v>
      </c>
      <c r="BX41" s="326">
        <f t="shared" si="234"/>
        <v>1736359.96</v>
      </c>
      <c r="BY41" s="297"/>
      <c r="BZ41" s="553"/>
      <c r="CF41" s="294"/>
      <c r="CG41" s="294"/>
      <c r="CR41" s="294"/>
    </row>
    <row r="42" spans="1:96" ht="15.75" customHeight="1">
      <c r="A42" s="546">
        <f t="shared" si="202"/>
        <v>112011724</v>
      </c>
      <c r="B42" s="547">
        <f t="shared" si="203"/>
        <v>22</v>
      </c>
      <c r="C42" s="558">
        <f t="shared" si="204"/>
        <v>0.1</v>
      </c>
      <c r="D42" s="558">
        <f t="shared" si="205"/>
        <v>0.09</v>
      </c>
      <c r="E42" s="559">
        <f t="shared" si="206"/>
        <v>0</v>
      </c>
      <c r="F42" s="414">
        <f t="shared" si="207"/>
        <v>63</v>
      </c>
      <c r="G42" s="94">
        <f t="shared" si="208"/>
        <v>0.1</v>
      </c>
      <c r="H42" s="415">
        <f t="shared" si="209"/>
        <v>0.05</v>
      </c>
      <c r="I42" s="560" t="s">
        <v>431</v>
      </c>
      <c r="J42" s="436">
        <f t="shared" si="250"/>
        <v>955267.88</v>
      </c>
      <c r="K42" s="141">
        <f t="shared" si="280"/>
        <v>1605853.0696739999</v>
      </c>
      <c r="L42" s="140">
        <f t="shared" si="251"/>
        <v>1234729.8599999999</v>
      </c>
      <c r="M42" s="116">
        <f t="shared" si="210"/>
        <v>66754.100000000006</v>
      </c>
      <c r="N42" s="333">
        <f t="shared" si="252"/>
        <v>1301483.96</v>
      </c>
      <c r="O42" s="123">
        <f t="shared" si="253"/>
        <v>-304369.10967399995</v>
      </c>
      <c r="P42" s="98">
        <f t="shared" si="254"/>
        <v>0.81046266596744798</v>
      </c>
      <c r="Q42" s="125">
        <f t="shared" si="255"/>
        <v>1017351.63</v>
      </c>
      <c r="R42" s="141">
        <f>(Q42*1.7245)*1.05</f>
        <v>1842144.0302317499</v>
      </c>
      <c r="S42" s="140">
        <f t="shared" si="256"/>
        <v>364952.5</v>
      </c>
      <c r="T42" s="326">
        <f t="shared" si="257"/>
        <v>39983.040000000001</v>
      </c>
      <c r="U42" s="333">
        <f t="shared" si="258"/>
        <v>404935.54</v>
      </c>
      <c r="V42" s="123">
        <f t="shared" si="259"/>
        <v>-1437208.4902317498</v>
      </c>
      <c r="W42" s="98">
        <f t="shared" si="260"/>
        <v>0.21981752422966477</v>
      </c>
      <c r="X42" s="123">
        <f t="shared" si="261"/>
        <v>744158.44</v>
      </c>
      <c r="Y42" s="587">
        <v>1800000</v>
      </c>
      <c r="Z42" s="116">
        <f t="shared" si="262"/>
        <v>759787.85</v>
      </c>
      <c r="AA42" s="561">
        <f t="shared" si="263"/>
        <v>66223.539999999994</v>
      </c>
      <c r="AB42" s="561">
        <f t="shared" si="264"/>
        <v>826011.39</v>
      </c>
      <c r="AC42" s="116">
        <f t="shared" si="265"/>
        <v>-973988.61</v>
      </c>
      <c r="AD42" s="97">
        <f t="shared" si="266"/>
        <v>0.45889521666666666</v>
      </c>
      <c r="AE42" s="433">
        <f t="shared" si="267"/>
        <v>5247997.0999057498</v>
      </c>
      <c r="AF42" s="550">
        <f t="shared" si="211"/>
        <v>4249208.0999999996</v>
      </c>
      <c r="AG42" s="496">
        <f t="shared" ref="AG42:AI42" si="285">SUM(Z42,S42,S42,L42)</f>
        <v>2724422.71</v>
      </c>
      <c r="AH42" s="496">
        <f t="shared" si="285"/>
        <v>212943.72</v>
      </c>
      <c r="AI42" s="496">
        <f t="shared" si="285"/>
        <v>2937366.4299999997</v>
      </c>
      <c r="AJ42" s="551">
        <f t="shared" si="31"/>
        <v>-1311841.67</v>
      </c>
      <c r="AK42" s="552">
        <f t="shared" si="72"/>
        <v>0.69127384700222139</v>
      </c>
      <c r="AL42" s="434">
        <f t="shared" si="269"/>
        <v>323334.61</v>
      </c>
      <c r="AM42" s="140">
        <f t="shared" si="34"/>
        <v>1669999.44</v>
      </c>
      <c r="AN42" s="123">
        <f t="shared" si="213"/>
        <v>77799.320000000007</v>
      </c>
      <c r="AO42" s="148">
        <f t="shared" si="214"/>
        <v>1747798.76</v>
      </c>
      <c r="AP42" s="434">
        <f t="shared" si="270"/>
        <v>954320.46</v>
      </c>
      <c r="AQ42" s="140">
        <f t="shared" si="38"/>
        <v>580480.08000000007</v>
      </c>
      <c r="AR42" s="326">
        <f t="shared" si="215"/>
        <v>87251.95</v>
      </c>
      <c r="AS42" s="333">
        <f t="shared" si="216"/>
        <v>667732.03</v>
      </c>
      <c r="AT42" s="125">
        <f t="shared" si="271"/>
        <v>630230.81999999995</v>
      </c>
      <c r="AU42" s="140">
        <f t="shared" si="42"/>
        <v>847112.21</v>
      </c>
      <c r="AV42" s="123">
        <f t="shared" si="217"/>
        <v>105153.26</v>
      </c>
      <c r="AW42" s="125">
        <f t="shared" si="218"/>
        <v>952265.47</v>
      </c>
      <c r="AX42" s="122">
        <f t="shared" ref="AX42:AZ42" si="286">AU42+AQ42+AM42</f>
        <v>3097591.73</v>
      </c>
      <c r="AY42" s="326">
        <f t="shared" si="286"/>
        <v>270204.53000000003</v>
      </c>
      <c r="AZ42" s="332">
        <f t="shared" si="286"/>
        <v>3367796.26</v>
      </c>
      <c r="BA42" s="140">
        <f t="shared" ref="BA42:BC42" si="287">AX42+AG42</f>
        <v>5822014.4399999995</v>
      </c>
      <c r="BB42" s="326">
        <f t="shared" si="287"/>
        <v>483148.25</v>
      </c>
      <c r="BC42" s="435">
        <f t="shared" si="287"/>
        <v>6305162.6899999995</v>
      </c>
      <c r="BD42" s="123">
        <f t="shared" si="274"/>
        <v>854601.28</v>
      </c>
      <c r="BE42" s="123">
        <f t="shared" si="48"/>
        <v>334795.00999999995</v>
      </c>
      <c r="BF42" s="123">
        <f t="shared" si="221"/>
        <v>39896.400000000001</v>
      </c>
      <c r="BG42" s="148">
        <f t="shared" si="222"/>
        <v>374691.41</v>
      </c>
      <c r="BH42" s="123">
        <f t="shared" si="223"/>
        <v>1069248.22</v>
      </c>
      <c r="BI42" s="141">
        <f t="shared" si="52"/>
        <v>1802021.3399999999</v>
      </c>
      <c r="BJ42" s="332">
        <f t="shared" si="224"/>
        <v>69948.38</v>
      </c>
      <c r="BK42" s="333">
        <f t="shared" si="225"/>
        <v>1871969.72</v>
      </c>
      <c r="BL42" s="326">
        <f t="shared" si="226"/>
        <v>683692.52</v>
      </c>
      <c r="BM42" s="326">
        <f t="shared" si="56"/>
        <v>370579.76999999996</v>
      </c>
      <c r="BN42" s="326">
        <f t="shared" si="227"/>
        <v>182031.18</v>
      </c>
      <c r="BO42" s="332">
        <f t="shared" si="228"/>
        <v>552610.94999999995</v>
      </c>
      <c r="BP42" s="140">
        <f t="shared" ref="BP42:BR42" si="288">SUM(BM42,BI42,BE42)</f>
        <v>2507396.1199999996</v>
      </c>
      <c r="BQ42" s="326">
        <f t="shared" si="288"/>
        <v>291875.96000000002</v>
      </c>
      <c r="BR42" s="333">
        <f t="shared" si="288"/>
        <v>2799272.08</v>
      </c>
      <c r="BS42" s="125">
        <f t="shared" si="230"/>
        <v>1577702.03</v>
      </c>
      <c r="BT42" s="140">
        <f t="shared" si="61"/>
        <v>1858566.1199999999</v>
      </c>
      <c r="BU42" s="123">
        <f t="shared" si="231"/>
        <v>53085.62</v>
      </c>
      <c r="BV42" s="148">
        <f t="shared" si="232"/>
        <v>1911651.74</v>
      </c>
      <c r="BW42" s="123">
        <f t="shared" si="233"/>
        <v>1364095.65</v>
      </c>
      <c r="BX42" s="326">
        <f t="shared" si="234"/>
        <v>1307410.42</v>
      </c>
      <c r="BY42" s="297"/>
      <c r="BZ42" s="553"/>
      <c r="CF42" s="294"/>
      <c r="CG42" s="294"/>
      <c r="CR42" s="294"/>
    </row>
    <row r="43" spans="1:96" ht="15.75" customHeight="1">
      <c r="A43" s="546">
        <f t="shared" si="202"/>
        <v>112012457</v>
      </c>
      <c r="B43" s="547">
        <f t="shared" si="203"/>
        <v>22</v>
      </c>
      <c r="C43" s="137">
        <f t="shared" si="204"/>
        <v>0.1</v>
      </c>
      <c r="D43" s="137">
        <f t="shared" si="205"/>
        <v>0.09</v>
      </c>
      <c r="E43" s="98">
        <f t="shared" si="206"/>
        <v>0</v>
      </c>
      <c r="F43" s="414">
        <f t="shared" si="207"/>
        <v>63</v>
      </c>
      <c r="G43" s="94">
        <f t="shared" si="208"/>
        <v>0.1</v>
      </c>
      <c r="H43" s="415">
        <f t="shared" si="209"/>
        <v>0.05</v>
      </c>
      <c r="I43" s="568" t="s">
        <v>432</v>
      </c>
      <c r="J43" s="436">
        <f t="shared" si="250"/>
        <v>348940.31</v>
      </c>
      <c r="K43" s="237">
        <v>1800000</v>
      </c>
      <c r="L43" s="140" t="e">
        <f t="shared" si="251"/>
        <v>#VALUE!</v>
      </c>
      <c r="M43" s="116" t="str">
        <f t="shared" si="210"/>
        <v/>
      </c>
      <c r="N43" s="333">
        <f t="shared" si="252"/>
        <v>0</v>
      </c>
      <c r="O43" s="123">
        <f t="shared" si="253"/>
        <v>-1800000</v>
      </c>
      <c r="P43" s="98">
        <f t="shared" si="254"/>
        <v>0</v>
      </c>
      <c r="Q43" s="125">
        <f t="shared" si="255"/>
        <v>325917.19</v>
      </c>
      <c r="R43" s="237">
        <v>1800000</v>
      </c>
      <c r="S43" s="140" t="e">
        <f t="shared" si="256"/>
        <v>#VALUE!</v>
      </c>
      <c r="T43" s="326" t="str">
        <f t="shared" si="257"/>
        <v/>
      </c>
      <c r="U43" s="333">
        <f t="shared" si="258"/>
        <v>0</v>
      </c>
      <c r="V43" s="123">
        <f t="shared" si="259"/>
        <v>-1800000</v>
      </c>
      <c r="W43" s="98">
        <f t="shared" si="260"/>
        <v>0</v>
      </c>
      <c r="X43" s="123">
        <f t="shared" si="261"/>
        <v>21907.25</v>
      </c>
      <c r="Y43" s="587">
        <v>1800000</v>
      </c>
      <c r="Z43" s="116" t="e">
        <f t="shared" si="262"/>
        <v>#VALUE!</v>
      </c>
      <c r="AA43" s="561" t="str">
        <f t="shared" si="263"/>
        <v/>
      </c>
      <c r="AB43" s="561">
        <f t="shared" si="264"/>
        <v>0</v>
      </c>
      <c r="AC43" s="116">
        <f t="shared" si="265"/>
        <v>-1800000</v>
      </c>
      <c r="AD43" s="97">
        <f t="shared" si="266"/>
        <v>0</v>
      </c>
      <c r="AE43" s="433">
        <f t="shared" si="267"/>
        <v>5400000</v>
      </c>
      <c r="AF43" s="550">
        <f t="shared" si="211"/>
        <v>126568.5</v>
      </c>
      <c r="AG43" s="496" t="e">
        <f t="shared" ref="AG43:AI43" si="289">SUM(Z43,S43,S43,L43)</f>
        <v>#VALUE!</v>
      </c>
      <c r="AH43" s="496">
        <f t="shared" si="289"/>
        <v>0</v>
      </c>
      <c r="AI43" s="496">
        <f t="shared" si="289"/>
        <v>0</v>
      </c>
      <c r="AJ43" s="551">
        <f t="shared" si="31"/>
        <v>-126568.5</v>
      </c>
      <c r="AK43" s="552">
        <f t="shared" si="72"/>
        <v>0</v>
      </c>
      <c r="AL43" s="434">
        <f t="shared" si="269"/>
        <v>0</v>
      </c>
      <c r="AM43" s="140" t="e">
        <f t="shared" si="34"/>
        <v>#VALUE!</v>
      </c>
      <c r="AN43" s="123" t="str">
        <f t="shared" si="213"/>
        <v/>
      </c>
      <c r="AO43" s="148">
        <f t="shared" si="214"/>
        <v>0</v>
      </c>
      <c r="AP43" s="434">
        <f t="shared" si="270"/>
        <v>478384.28</v>
      </c>
      <c r="AQ43" s="140" t="e">
        <f t="shared" si="38"/>
        <v>#VALUE!</v>
      </c>
      <c r="AR43" s="326" t="str">
        <f t="shared" si="215"/>
        <v/>
      </c>
      <c r="AS43" s="333">
        <f t="shared" si="216"/>
        <v>0</v>
      </c>
      <c r="AT43" s="125">
        <f t="shared" si="271"/>
        <v>606339.93000000005</v>
      </c>
      <c r="AU43" s="140" t="e">
        <f t="shared" si="42"/>
        <v>#VALUE!</v>
      </c>
      <c r="AV43" s="123" t="str">
        <f t="shared" si="217"/>
        <v/>
      </c>
      <c r="AW43" s="125">
        <f t="shared" si="218"/>
        <v>0</v>
      </c>
      <c r="AX43" s="122" t="e">
        <f t="shared" ref="AX43:AZ43" si="290">AU43+AQ43+AM43</f>
        <v>#VALUE!</v>
      </c>
      <c r="AY43" s="326" t="e">
        <f t="shared" si="290"/>
        <v>#VALUE!</v>
      </c>
      <c r="AZ43" s="332">
        <f t="shared" si="290"/>
        <v>0</v>
      </c>
      <c r="BA43" s="140" t="e">
        <f t="shared" ref="BA43:BC43" si="291">AX43+AG43</f>
        <v>#VALUE!</v>
      </c>
      <c r="BB43" s="326" t="e">
        <f t="shared" si="291"/>
        <v>#VALUE!</v>
      </c>
      <c r="BC43" s="435">
        <f t="shared" si="291"/>
        <v>0</v>
      </c>
      <c r="BD43" s="123">
        <f t="shared" si="274"/>
        <v>122446.63</v>
      </c>
      <c r="BE43" s="123" t="e">
        <f t="shared" si="48"/>
        <v>#VALUE!</v>
      </c>
      <c r="BF43" s="123" t="str">
        <f t="shared" si="221"/>
        <v/>
      </c>
      <c r="BG43" s="148">
        <f t="shared" si="222"/>
        <v>0</v>
      </c>
      <c r="BH43" s="123">
        <f t="shared" si="223"/>
        <v>105849.74</v>
      </c>
      <c r="BI43" s="141" t="e">
        <f t="shared" si="52"/>
        <v>#VALUE!</v>
      </c>
      <c r="BJ43" s="332" t="str">
        <f t="shared" si="224"/>
        <v/>
      </c>
      <c r="BK43" s="333">
        <f t="shared" si="225"/>
        <v>451826.88</v>
      </c>
      <c r="BL43" s="326">
        <f t="shared" si="226"/>
        <v>0</v>
      </c>
      <c r="BM43" s="326" t="e">
        <f t="shared" si="56"/>
        <v>#VALUE!</v>
      </c>
      <c r="BN43" s="326" t="str">
        <f t="shared" si="227"/>
        <v/>
      </c>
      <c r="BO43" s="332">
        <f t="shared" si="228"/>
        <v>1005653.22</v>
      </c>
      <c r="BP43" s="140" t="e">
        <f t="shared" ref="BP43:BR43" si="292">SUM(BM43,BI43,BE43)</f>
        <v>#VALUE!</v>
      </c>
      <c r="BQ43" s="326">
        <f t="shared" si="292"/>
        <v>0</v>
      </c>
      <c r="BR43" s="333">
        <f t="shared" si="292"/>
        <v>1457480.1</v>
      </c>
      <c r="BS43" s="125">
        <f t="shared" si="230"/>
        <v>0</v>
      </c>
      <c r="BT43" s="140" t="e">
        <f t="shared" si="61"/>
        <v>#VALUE!</v>
      </c>
      <c r="BU43" s="123" t="str">
        <f t="shared" si="231"/>
        <v/>
      </c>
      <c r="BV43" s="148">
        <f t="shared" si="232"/>
        <v>0</v>
      </c>
      <c r="BW43" s="123">
        <f t="shared" si="233"/>
        <v>126568.5</v>
      </c>
      <c r="BX43" s="326">
        <f t="shared" si="234"/>
        <v>0</v>
      </c>
      <c r="BY43" s="297"/>
      <c r="BZ43" s="553"/>
      <c r="CF43" s="294"/>
      <c r="CG43" s="294"/>
      <c r="CR43" s="294"/>
    </row>
    <row r="44" spans="1:96" ht="15.75" customHeight="1">
      <c r="A44" s="546">
        <f t="shared" si="202"/>
        <v>112013610</v>
      </c>
      <c r="B44" s="547">
        <f t="shared" si="203"/>
        <v>22</v>
      </c>
      <c r="C44" s="137">
        <f t="shared" si="204"/>
        <v>0.1</v>
      </c>
      <c r="D44" s="137">
        <f t="shared" si="205"/>
        <v>0.09</v>
      </c>
      <c r="E44" s="98">
        <f t="shared" si="206"/>
        <v>0</v>
      </c>
      <c r="F44" s="414">
        <f t="shared" si="207"/>
        <v>63</v>
      </c>
      <c r="G44" s="94">
        <f t="shared" si="208"/>
        <v>0.1</v>
      </c>
      <c r="H44" s="415">
        <f t="shared" si="209"/>
        <v>0.05</v>
      </c>
      <c r="I44" s="568" t="s">
        <v>433</v>
      </c>
      <c r="J44" s="436" t="str">
        <f t="shared" si="250"/>
        <v/>
      </c>
      <c r="K44" s="237">
        <v>1800000</v>
      </c>
      <c r="L44" s="140" t="e">
        <f t="shared" si="251"/>
        <v>#VALUE!</v>
      </c>
      <c r="M44" s="116" t="str">
        <f t="shared" si="210"/>
        <v/>
      </c>
      <c r="N44" s="333" t="str">
        <f t="shared" si="252"/>
        <v/>
      </c>
      <c r="O44" s="123" t="e">
        <f t="shared" si="253"/>
        <v>#VALUE!</v>
      </c>
      <c r="P44" s="98" t="str">
        <f t="shared" si="254"/>
        <v/>
      </c>
      <c r="Q44" s="125" t="str">
        <f t="shared" si="255"/>
        <v/>
      </c>
      <c r="R44" s="237">
        <v>1800000</v>
      </c>
      <c r="S44" s="140" t="e">
        <f t="shared" si="256"/>
        <v>#VALUE!</v>
      </c>
      <c r="T44" s="326" t="str">
        <f t="shared" si="257"/>
        <v/>
      </c>
      <c r="U44" s="333" t="str">
        <f t="shared" si="258"/>
        <v/>
      </c>
      <c r="V44" s="123" t="e">
        <f t="shared" si="259"/>
        <v>#VALUE!</v>
      </c>
      <c r="W44" s="98" t="e">
        <f t="shared" si="260"/>
        <v>#VALUE!</v>
      </c>
      <c r="X44" s="123" t="str">
        <f t="shared" si="261"/>
        <v/>
      </c>
      <c r="Y44" s="587">
        <v>1800000</v>
      </c>
      <c r="Z44" s="116" t="e">
        <f t="shared" si="262"/>
        <v>#VALUE!</v>
      </c>
      <c r="AA44" s="561" t="str">
        <f t="shared" si="263"/>
        <v/>
      </c>
      <c r="AB44" s="561" t="str">
        <f t="shared" si="264"/>
        <v/>
      </c>
      <c r="AC44" s="116" t="e">
        <f t="shared" si="265"/>
        <v>#VALUE!</v>
      </c>
      <c r="AD44" s="97" t="e">
        <f t="shared" si="266"/>
        <v>#VALUE!</v>
      </c>
      <c r="AE44" s="433">
        <f t="shared" si="267"/>
        <v>5400000</v>
      </c>
      <c r="AF44" s="550" t="str">
        <f t="shared" si="211"/>
        <v>0</v>
      </c>
      <c r="AG44" s="496" t="e">
        <f t="shared" ref="AG44:AI44" si="293">SUM(Z44,S44,S44,L44)</f>
        <v>#VALUE!</v>
      </c>
      <c r="AH44" s="496">
        <f t="shared" si="293"/>
        <v>0</v>
      </c>
      <c r="AI44" s="496">
        <f t="shared" si="293"/>
        <v>0</v>
      </c>
      <c r="AJ44" s="551">
        <f t="shared" si="31"/>
        <v>0</v>
      </c>
      <c r="AK44" s="552" t="str">
        <f t="shared" si="72"/>
        <v/>
      </c>
      <c r="AL44" s="434" t="str">
        <f t="shared" si="269"/>
        <v/>
      </c>
      <c r="AM44" s="140" t="e">
        <f t="shared" si="34"/>
        <v>#VALUE!</v>
      </c>
      <c r="AN44" s="123" t="str">
        <f t="shared" si="213"/>
        <v/>
      </c>
      <c r="AO44" s="148" t="str">
        <f t="shared" si="214"/>
        <v/>
      </c>
      <c r="AP44" s="434" t="str">
        <f t="shared" si="270"/>
        <v/>
      </c>
      <c r="AQ44" s="140" t="e">
        <f t="shared" si="38"/>
        <v>#VALUE!</v>
      </c>
      <c r="AR44" s="326" t="str">
        <f t="shared" si="215"/>
        <v/>
      </c>
      <c r="AS44" s="333" t="str">
        <f t="shared" si="216"/>
        <v/>
      </c>
      <c r="AT44" s="125" t="str">
        <f t="shared" si="271"/>
        <v/>
      </c>
      <c r="AU44" s="140" t="e">
        <f t="shared" si="42"/>
        <v>#VALUE!</v>
      </c>
      <c r="AV44" s="123" t="str">
        <f t="shared" si="217"/>
        <v/>
      </c>
      <c r="AW44" s="125" t="str">
        <f t="shared" si="218"/>
        <v/>
      </c>
      <c r="AX44" s="122" t="e">
        <f t="shared" ref="AX44:AZ44" si="294">AU44+AQ44+AM44</f>
        <v>#VALUE!</v>
      </c>
      <c r="AY44" s="326" t="e">
        <f t="shared" si="294"/>
        <v>#VALUE!</v>
      </c>
      <c r="AZ44" s="332" t="e">
        <f t="shared" si="294"/>
        <v>#VALUE!</v>
      </c>
      <c r="BA44" s="140" t="e">
        <f t="shared" ref="BA44:BC44" si="295">AX44+AG44</f>
        <v>#VALUE!</v>
      </c>
      <c r="BB44" s="326" t="e">
        <f t="shared" si="295"/>
        <v>#VALUE!</v>
      </c>
      <c r="BC44" s="435" t="e">
        <f t="shared" si="295"/>
        <v>#VALUE!</v>
      </c>
      <c r="BD44" s="123" t="str">
        <f t="shared" si="274"/>
        <v/>
      </c>
      <c r="BE44" s="123" t="e">
        <f t="shared" si="48"/>
        <v>#VALUE!</v>
      </c>
      <c r="BF44" s="123" t="str">
        <f t="shared" si="221"/>
        <v/>
      </c>
      <c r="BG44" s="148" t="str">
        <f t="shared" si="222"/>
        <v/>
      </c>
      <c r="BH44" s="123" t="str">
        <f t="shared" si="223"/>
        <v/>
      </c>
      <c r="BI44" s="141" t="e">
        <f t="shared" si="52"/>
        <v>#VALUE!</v>
      </c>
      <c r="BJ44" s="332" t="str">
        <f t="shared" si="224"/>
        <v/>
      </c>
      <c r="BK44" s="333" t="str">
        <f t="shared" si="225"/>
        <v/>
      </c>
      <c r="BL44" s="326" t="str">
        <f t="shared" si="226"/>
        <v/>
      </c>
      <c r="BM44" s="326" t="e">
        <f t="shared" si="56"/>
        <v>#VALUE!</v>
      </c>
      <c r="BN44" s="326" t="str">
        <f t="shared" si="227"/>
        <v/>
      </c>
      <c r="BO44" s="332" t="str">
        <f t="shared" si="228"/>
        <v/>
      </c>
      <c r="BP44" s="140" t="e">
        <f t="shared" ref="BP44:BR44" si="296">SUM(BM44,BI44,BE44)</f>
        <v>#VALUE!</v>
      </c>
      <c r="BQ44" s="326">
        <f t="shared" si="296"/>
        <v>0</v>
      </c>
      <c r="BR44" s="333">
        <f t="shared" si="296"/>
        <v>0</v>
      </c>
      <c r="BS44" s="125" t="str">
        <f t="shared" si="230"/>
        <v/>
      </c>
      <c r="BT44" s="140" t="e">
        <f t="shared" si="61"/>
        <v>#VALUE!</v>
      </c>
      <c r="BU44" s="123" t="str">
        <f t="shared" si="231"/>
        <v/>
      </c>
      <c r="BV44" s="148" t="str">
        <f t="shared" si="232"/>
        <v/>
      </c>
      <c r="BW44" s="123" t="str">
        <f t="shared" si="233"/>
        <v/>
      </c>
      <c r="BX44" s="326" t="str">
        <f t="shared" si="234"/>
        <v/>
      </c>
      <c r="BY44" s="297"/>
      <c r="BZ44" s="553"/>
      <c r="CF44" s="294"/>
      <c r="CG44" s="294"/>
      <c r="CR44" s="294"/>
    </row>
    <row r="45" spans="1:96" ht="13">
      <c r="A45" s="546">
        <f t="shared" si="202"/>
        <v>112010428</v>
      </c>
      <c r="B45" s="547">
        <f t="shared" si="203"/>
        <v>22</v>
      </c>
      <c r="C45" s="137">
        <f t="shared" si="204"/>
        <v>0.1</v>
      </c>
      <c r="D45" s="137">
        <f t="shared" si="205"/>
        <v>0.09</v>
      </c>
      <c r="E45" s="98">
        <f t="shared" si="206"/>
        <v>0</v>
      </c>
      <c r="F45" s="414">
        <f t="shared" si="207"/>
        <v>63</v>
      </c>
      <c r="G45" s="94">
        <f t="shared" si="208"/>
        <v>0.1</v>
      </c>
      <c r="H45" s="415">
        <f t="shared" si="209"/>
        <v>0.05</v>
      </c>
      <c r="I45" s="568" t="s">
        <v>434</v>
      </c>
      <c r="J45" s="436">
        <f t="shared" si="250"/>
        <v>2145546.1800000002</v>
      </c>
      <c r="K45" s="141">
        <f>(J45*1.601)*1.05</f>
        <v>3606770.4058890003</v>
      </c>
      <c r="L45" s="140">
        <f t="shared" si="251"/>
        <v>2470564.2199999997</v>
      </c>
      <c r="M45" s="116">
        <f t="shared" si="210"/>
        <v>205061.51</v>
      </c>
      <c r="N45" s="333">
        <f t="shared" si="252"/>
        <v>2675625.73</v>
      </c>
      <c r="O45" s="123">
        <f t="shared" si="253"/>
        <v>-931144.6758890003</v>
      </c>
      <c r="P45" s="98">
        <f t="shared" si="254"/>
        <v>0.7418342253311544</v>
      </c>
      <c r="Q45" s="125">
        <f t="shared" si="255"/>
        <v>1043638.98</v>
      </c>
      <c r="R45" s="141">
        <f>(Q45*1.7245)*1.05</f>
        <v>1889743.1920604999</v>
      </c>
      <c r="S45" s="140">
        <f t="shared" si="256"/>
        <v>1678623.22</v>
      </c>
      <c r="T45" s="326">
        <f t="shared" si="257"/>
        <v>30718.67</v>
      </c>
      <c r="U45" s="333">
        <f t="shared" si="258"/>
        <v>1709341.89</v>
      </c>
      <c r="V45" s="123">
        <f t="shared" si="259"/>
        <v>-180401.30206050002</v>
      </c>
      <c r="W45" s="98">
        <f t="shared" si="260"/>
        <v>0.90453660432886773</v>
      </c>
      <c r="X45" s="123">
        <f t="shared" si="261"/>
        <v>1106455.72</v>
      </c>
      <c r="Y45" s="326">
        <f>(X45*1.5955)*1.05</f>
        <v>1853617.606323</v>
      </c>
      <c r="Z45" s="116">
        <f t="shared" si="262"/>
        <v>3686291.04</v>
      </c>
      <c r="AA45" s="561">
        <f t="shared" si="263"/>
        <v>156337.56</v>
      </c>
      <c r="AB45" s="561">
        <f t="shared" si="264"/>
        <v>3842628.6</v>
      </c>
      <c r="AC45" s="116">
        <f t="shared" si="265"/>
        <v>1989010.993677</v>
      </c>
      <c r="AD45" s="97">
        <f t="shared" si="266"/>
        <v>2.073042782336632</v>
      </c>
      <c r="AE45" s="433">
        <f t="shared" si="267"/>
        <v>7350131.2042725002</v>
      </c>
      <c r="AF45" s="550">
        <f t="shared" si="211"/>
        <v>7264404.7000000002</v>
      </c>
      <c r="AG45" s="496">
        <f t="shared" ref="AG45:AI45" si="297">SUM(Z45,S45,S45,L45)</f>
        <v>9514101.6999999993</v>
      </c>
      <c r="AH45" s="496">
        <f t="shared" si="297"/>
        <v>422836.41</v>
      </c>
      <c r="AI45" s="496">
        <f t="shared" si="297"/>
        <v>9936938.1099999994</v>
      </c>
      <c r="AJ45" s="551">
        <f t="shared" si="31"/>
        <v>2672533.4099999992</v>
      </c>
      <c r="AK45" s="552">
        <f t="shared" si="72"/>
        <v>1.3678943451484744</v>
      </c>
      <c r="AL45" s="434">
        <f t="shared" si="269"/>
        <v>1452774.21</v>
      </c>
      <c r="AM45" s="140">
        <f t="shared" si="34"/>
        <v>2125127.75</v>
      </c>
      <c r="AN45" s="123">
        <f t="shared" si="213"/>
        <v>195101.68</v>
      </c>
      <c r="AO45" s="148">
        <f t="shared" si="214"/>
        <v>2320229.4300000002</v>
      </c>
      <c r="AP45" s="434">
        <f t="shared" si="270"/>
        <v>798783.96</v>
      </c>
      <c r="AQ45" s="140">
        <f t="shared" si="38"/>
        <v>1411883.04</v>
      </c>
      <c r="AR45" s="326">
        <f t="shared" si="215"/>
        <v>191607.96</v>
      </c>
      <c r="AS45" s="333">
        <f t="shared" si="216"/>
        <v>1603491</v>
      </c>
      <c r="AT45" s="125">
        <f t="shared" si="271"/>
        <v>835167.33</v>
      </c>
      <c r="AU45" s="140">
        <f t="shared" si="42"/>
        <v>2463542.5500000003</v>
      </c>
      <c r="AV45" s="123">
        <f t="shared" si="217"/>
        <v>166742.03</v>
      </c>
      <c r="AW45" s="125">
        <f t="shared" si="218"/>
        <v>2630284.58</v>
      </c>
      <c r="AX45" s="122">
        <f t="shared" ref="AX45:AZ45" si="298">AU45+AQ45+AM45</f>
        <v>6000553.3399999999</v>
      </c>
      <c r="AY45" s="326">
        <f t="shared" si="298"/>
        <v>553451.66999999993</v>
      </c>
      <c r="AZ45" s="332">
        <f t="shared" si="298"/>
        <v>6554005.0099999998</v>
      </c>
      <c r="BA45" s="140">
        <f t="shared" ref="BA45:BC45" si="299">AX45+AG45</f>
        <v>15514655.039999999</v>
      </c>
      <c r="BB45" s="326">
        <f t="shared" si="299"/>
        <v>976288.07999999984</v>
      </c>
      <c r="BC45" s="435">
        <f t="shared" si="299"/>
        <v>16490943.119999999</v>
      </c>
      <c r="BD45" s="123">
        <f t="shared" si="274"/>
        <v>1333346.54</v>
      </c>
      <c r="BE45" s="123">
        <f t="shared" si="48"/>
        <v>1914708.55</v>
      </c>
      <c r="BF45" s="123">
        <f t="shared" si="221"/>
        <v>171598.72</v>
      </c>
      <c r="BG45" s="148">
        <f t="shared" si="222"/>
        <v>2086307.27</v>
      </c>
      <c r="BH45" s="123">
        <f t="shared" si="223"/>
        <v>1623988.86</v>
      </c>
      <c r="BI45" s="141">
        <f t="shared" si="52"/>
        <v>2338342.4099999997</v>
      </c>
      <c r="BJ45" s="332">
        <f t="shared" si="224"/>
        <v>120877.12</v>
      </c>
      <c r="BK45" s="333">
        <f t="shared" si="225"/>
        <v>2459219.5299999998</v>
      </c>
      <c r="BL45" s="326">
        <f t="shared" si="226"/>
        <v>1689063.7</v>
      </c>
      <c r="BM45" s="326">
        <f t="shared" si="56"/>
        <v>1913370.9700000002</v>
      </c>
      <c r="BN45" s="326">
        <f t="shared" si="227"/>
        <v>144200.9</v>
      </c>
      <c r="BO45" s="332">
        <f t="shared" si="228"/>
        <v>2057571.87</v>
      </c>
      <c r="BP45" s="140">
        <f t="shared" ref="BP45:BR45" si="300">SUM(BM45,BI45,BE45)</f>
        <v>6166421.9299999997</v>
      </c>
      <c r="BQ45" s="326">
        <f t="shared" si="300"/>
        <v>436676.74</v>
      </c>
      <c r="BR45" s="333">
        <f t="shared" si="300"/>
        <v>6603098.6699999999</v>
      </c>
      <c r="BS45" s="125">
        <f t="shared" si="230"/>
        <v>2321582.87</v>
      </c>
      <c r="BT45" s="140">
        <f t="shared" si="61"/>
        <v>3021468.37</v>
      </c>
      <c r="BU45" s="123">
        <f t="shared" si="231"/>
        <v>234978.5</v>
      </c>
      <c r="BV45" s="148">
        <f t="shared" si="232"/>
        <v>3256446.87</v>
      </c>
      <c r="BW45" s="123">
        <f t="shared" si="233"/>
        <v>2013499.41</v>
      </c>
      <c r="BX45" s="326">
        <f t="shared" si="234"/>
        <v>2929322.41</v>
      </c>
      <c r="BY45" s="297"/>
      <c r="BZ45" s="553"/>
      <c r="CF45" s="294"/>
      <c r="CG45" s="294"/>
      <c r="CR45" s="294"/>
    </row>
    <row r="46" spans="1:96" ht="13">
      <c r="A46" s="546">
        <f t="shared" si="202"/>
        <v>112010953</v>
      </c>
      <c r="B46" s="547">
        <f t="shared" si="203"/>
        <v>22</v>
      </c>
      <c r="C46" s="137">
        <f t="shared" si="204"/>
        <v>0.1</v>
      </c>
      <c r="D46" s="137">
        <f t="shared" si="205"/>
        <v>0.09</v>
      </c>
      <c r="E46" s="98">
        <f t="shared" si="206"/>
        <v>0</v>
      </c>
      <c r="F46" s="414">
        <f t="shared" si="207"/>
        <v>63</v>
      </c>
      <c r="G46" s="94">
        <f t="shared" si="208"/>
        <v>0.1</v>
      </c>
      <c r="H46" s="415">
        <f t="shared" si="209"/>
        <v>0.05</v>
      </c>
      <c r="I46" s="589" t="s">
        <v>435</v>
      </c>
      <c r="J46" s="436">
        <f t="shared" si="250"/>
        <v>210301.1</v>
      </c>
      <c r="K46" s="237">
        <v>1800000</v>
      </c>
      <c r="L46" s="140">
        <f t="shared" si="251"/>
        <v>319074.30000000005</v>
      </c>
      <c r="M46" s="116">
        <f t="shared" si="210"/>
        <v>84976.47</v>
      </c>
      <c r="N46" s="333">
        <f t="shared" si="252"/>
        <v>404050.77</v>
      </c>
      <c r="O46" s="123">
        <f t="shared" si="253"/>
        <v>-1395949.23</v>
      </c>
      <c r="P46" s="98">
        <f t="shared" si="254"/>
        <v>0.22447265000000002</v>
      </c>
      <c r="Q46" s="125">
        <f t="shared" si="255"/>
        <v>573718.03</v>
      </c>
      <c r="R46" s="237">
        <v>1800000</v>
      </c>
      <c r="S46" s="140">
        <f t="shared" si="256"/>
        <v>913421.28</v>
      </c>
      <c r="T46" s="326">
        <f t="shared" si="257"/>
        <v>52278.89</v>
      </c>
      <c r="U46" s="333">
        <f t="shared" si="258"/>
        <v>965700.17</v>
      </c>
      <c r="V46" s="123">
        <f t="shared" si="259"/>
        <v>-834299.83</v>
      </c>
      <c r="W46" s="98">
        <f t="shared" si="260"/>
        <v>0.53650009444444446</v>
      </c>
      <c r="X46" s="123">
        <f t="shared" si="261"/>
        <v>932129.28000000003</v>
      </c>
      <c r="Y46" s="587">
        <v>1800000</v>
      </c>
      <c r="Z46" s="116">
        <f t="shared" si="262"/>
        <v>1542320.91</v>
      </c>
      <c r="AA46" s="561">
        <f t="shared" si="263"/>
        <v>48154.3</v>
      </c>
      <c r="AB46" s="561">
        <f t="shared" si="264"/>
        <v>1590475.21</v>
      </c>
      <c r="AC46" s="116">
        <f t="shared" si="265"/>
        <v>-209524.79000000004</v>
      </c>
      <c r="AD46" s="97">
        <f t="shared" si="266"/>
        <v>0.88359733888888892</v>
      </c>
      <c r="AE46" s="433">
        <f t="shared" si="267"/>
        <v>5400000</v>
      </c>
      <c r="AF46" s="550">
        <f t="shared" si="211"/>
        <v>2490588.56</v>
      </c>
      <c r="AG46" s="496">
        <f t="shared" ref="AG46:AI46" si="301">SUM(Z46,S46,S46,L46)</f>
        <v>3688237.7699999996</v>
      </c>
      <c r="AH46" s="496">
        <f t="shared" si="301"/>
        <v>237688.55000000002</v>
      </c>
      <c r="AI46" s="496">
        <f t="shared" si="301"/>
        <v>3925926.32</v>
      </c>
      <c r="AJ46" s="551">
        <f t="shared" si="31"/>
        <v>1435337.7599999998</v>
      </c>
      <c r="AK46" s="552">
        <f t="shared" si="72"/>
        <v>1.5763046466414348</v>
      </c>
      <c r="AL46" s="434">
        <f t="shared" si="269"/>
        <v>1239658.49</v>
      </c>
      <c r="AM46" s="140">
        <f t="shared" si="34"/>
        <v>848502.58</v>
      </c>
      <c r="AN46" s="123">
        <f t="shared" si="213"/>
        <v>66966.67</v>
      </c>
      <c r="AO46" s="148">
        <f t="shared" si="214"/>
        <v>915469.25</v>
      </c>
      <c r="AP46" s="434">
        <f t="shared" si="270"/>
        <v>277967.40999999997</v>
      </c>
      <c r="AQ46" s="140">
        <f t="shared" si="38"/>
        <v>377210.63</v>
      </c>
      <c r="AR46" s="326">
        <f t="shared" si="215"/>
        <v>35157.53</v>
      </c>
      <c r="AS46" s="333">
        <f t="shared" si="216"/>
        <v>412368.16</v>
      </c>
      <c r="AT46" s="125">
        <f t="shared" si="271"/>
        <v>256730.65</v>
      </c>
      <c r="AU46" s="140">
        <f t="shared" si="42"/>
        <v>399776.82999999996</v>
      </c>
      <c r="AV46" s="123">
        <f t="shared" si="217"/>
        <v>129950.12</v>
      </c>
      <c r="AW46" s="125">
        <f t="shared" si="218"/>
        <v>529726.94999999995</v>
      </c>
      <c r="AX46" s="122">
        <f t="shared" ref="AX46:AZ46" si="302">AU46+AQ46+AM46</f>
        <v>1625490.04</v>
      </c>
      <c r="AY46" s="326">
        <f t="shared" si="302"/>
        <v>232074.32</v>
      </c>
      <c r="AZ46" s="332">
        <f t="shared" si="302"/>
        <v>1857564.3599999999</v>
      </c>
      <c r="BA46" s="140">
        <f t="shared" ref="BA46:BC46" si="303">AX46+AG46</f>
        <v>5313727.8099999996</v>
      </c>
      <c r="BB46" s="326">
        <f t="shared" si="303"/>
        <v>469762.87</v>
      </c>
      <c r="BC46" s="435">
        <f t="shared" si="303"/>
        <v>5783490.6799999997</v>
      </c>
      <c r="BD46" s="123">
        <f t="shared" si="274"/>
        <v>459230.42</v>
      </c>
      <c r="BE46" s="123">
        <f t="shared" si="48"/>
        <v>496461.83000000007</v>
      </c>
      <c r="BF46" s="123">
        <f t="shared" si="221"/>
        <v>117229.73</v>
      </c>
      <c r="BG46" s="148">
        <f t="shared" si="222"/>
        <v>613691.56000000006</v>
      </c>
      <c r="BH46" s="123">
        <f t="shared" si="223"/>
        <v>381121.85</v>
      </c>
      <c r="BI46" s="141">
        <f t="shared" si="52"/>
        <v>0</v>
      </c>
      <c r="BJ46" s="332">
        <f t="shared" si="224"/>
        <v>0</v>
      </c>
      <c r="BK46" s="333">
        <f t="shared" si="225"/>
        <v>0</v>
      </c>
      <c r="BL46" s="326">
        <f t="shared" si="226"/>
        <v>427826.92</v>
      </c>
      <c r="BM46" s="326">
        <f t="shared" si="56"/>
        <v>422159.89999999997</v>
      </c>
      <c r="BN46" s="326">
        <f t="shared" si="227"/>
        <v>112017.67</v>
      </c>
      <c r="BO46" s="332">
        <f t="shared" si="228"/>
        <v>534177.56999999995</v>
      </c>
      <c r="BP46" s="140">
        <f t="shared" ref="BP46:BR46" si="304">SUM(BM46,BI46,BE46)</f>
        <v>918621.73</v>
      </c>
      <c r="BQ46" s="326">
        <f t="shared" si="304"/>
        <v>229247.4</v>
      </c>
      <c r="BR46" s="333">
        <f t="shared" si="304"/>
        <v>1147869.1299999999</v>
      </c>
      <c r="BS46" s="125">
        <f t="shared" si="230"/>
        <v>1010088.28</v>
      </c>
      <c r="BT46" s="140">
        <f t="shared" si="61"/>
        <v>155178.88</v>
      </c>
      <c r="BU46" s="123">
        <f t="shared" si="231"/>
        <v>0</v>
      </c>
      <c r="BV46" s="148">
        <f t="shared" si="232"/>
        <v>155178.88</v>
      </c>
      <c r="BW46" s="123">
        <f t="shared" si="233"/>
        <v>518118.54</v>
      </c>
      <c r="BX46" s="326">
        <f t="shared" si="234"/>
        <v>962381.75</v>
      </c>
      <c r="BY46" s="297"/>
      <c r="BZ46" s="553"/>
      <c r="CF46" s="294"/>
      <c r="CG46" s="294"/>
      <c r="CR46" s="294"/>
    </row>
    <row r="47" spans="1:96" ht="13">
      <c r="A47" s="546">
        <f t="shared" si="202"/>
        <v>112013057</v>
      </c>
      <c r="B47" s="547">
        <f t="shared" si="203"/>
        <v>22</v>
      </c>
      <c r="C47" s="137">
        <f t="shared" si="204"/>
        <v>0.1</v>
      </c>
      <c r="D47" s="137">
        <f t="shared" si="205"/>
        <v>0.09</v>
      </c>
      <c r="E47" s="98">
        <f t="shared" si="206"/>
        <v>0</v>
      </c>
      <c r="F47" s="414">
        <f t="shared" si="207"/>
        <v>63</v>
      </c>
      <c r="G47" s="94">
        <f t="shared" si="208"/>
        <v>0.1</v>
      </c>
      <c r="H47" s="415">
        <f t="shared" si="209"/>
        <v>0.05</v>
      </c>
      <c r="I47" s="568" t="s">
        <v>436</v>
      </c>
      <c r="J47" s="436">
        <f t="shared" si="250"/>
        <v>1150009.1299999999</v>
      </c>
      <c r="K47" s="141">
        <f>(J47*1.601)*1.05</f>
        <v>1933222.8479865</v>
      </c>
      <c r="L47" s="140">
        <f t="shared" si="251"/>
        <v>1432952.46</v>
      </c>
      <c r="M47" s="116">
        <f t="shared" si="210"/>
        <v>0</v>
      </c>
      <c r="N47" s="333">
        <f t="shared" si="252"/>
        <v>1432952.46</v>
      </c>
      <c r="O47" s="123">
        <f t="shared" si="253"/>
        <v>-500270.38798650005</v>
      </c>
      <c r="P47" s="98">
        <f t="shared" si="254"/>
        <v>0.74122466610223225</v>
      </c>
      <c r="Q47" s="125">
        <f t="shared" si="255"/>
        <v>887636.19</v>
      </c>
      <c r="R47" s="237">
        <v>1800000</v>
      </c>
      <c r="S47" s="140">
        <f t="shared" si="256"/>
        <v>1257436.6499999999</v>
      </c>
      <c r="T47" s="326">
        <f t="shared" si="257"/>
        <v>28500</v>
      </c>
      <c r="U47" s="333">
        <f t="shared" si="258"/>
        <v>1285936.6499999999</v>
      </c>
      <c r="V47" s="123">
        <f t="shared" si="259"/>
        <v>-514063.35000000009</v>
      </c>
      <c r="W47" s="98">
        <f t="shared" si="260"/>
        <v>0.71440925</v>
      </c>
      <c r="X47" s="123">
        <f t="shared" si="261"/>
        <v>542863.93000000005</v>
      </c>
      <c r="Y47" s="587">
        <v>1800000</v>
      </c>
      <c r="Z47" s="116">
        <f t="shared" si="262"/>
        <v>1343280.31</v>
      </c>
      <c r="AA47" s="561">
        <f t="shared" si="263"/>
        <v>0</v>
      </c>
      <c r="AB47" s="561">
        <f t="shared" si="264"/>
        <v>1343280.31</v>
      </c>
      <c r="AC47" s="116">
        <f t="shared" si="265"/>
        <v>-456719.68999999994</v>
      </c>
      <c r="AD47" s="97">
        <f t="shared" si="266"/>
        <v>0.74626683888888889</v>
      </c>
      <c r="AE47" s="433">
        <f t="shared" si="267"/>
        <v>5533222.8479864998</v>
      </c>
      <c r="AF47" s="550">
        <f t="shared" si="211"/>
        <v>4657882.8</v>
      </c>
      <c r="AG47" s="496">
        <f t="shared" ref="AG47:AI47" si="305">SUM(Z47,S47,S47,L47)</f>
        <v>5291106.07</v>
      </c>
      <c r="AH47" s="496">
        <f t="shared" si="305"/>
        <v>57000</v>
      </c>
      <c r="AI47" s="496">
        <f t="shared" si="305"/>
        <v>5348106.07</v>
      </c>
      <c r="AJ47" s="551">
        <f t="shared" si="31"/>
        <v>690223.27000000048</v>
      </c>
      <c r="AK47" s="552">
        <f t="shared" si="72"/>
        <v>1.1481839066453112</v>
      </c>
      <c r="AL47" s="434">
        <f t="shared" si="269"/>
        <v>661503.65</v>
      </c>
      <c r="AM47" s="140">
        <f t="shared" si="34"/>
        <v>1495197.37</v>
      </c>
      <c r="AN47" s="123">
        <f t="shared" si="213"/>
        <v>0</v>
      </c>
      <c r="AO47" s="148">
        <f t="shared" si="214"/>
        <v>1495197.37</v>
      </c>
      <c r="AP47" s="434">
        <f t="shared" si="270"/>
        <v>573546.01</v>
      </c>
      <c r="AQ47" s="140">
        <f t="shared" si="38"/>
        <v>985332.34</v>
      </c>
      <c r="AR47" s="326">
        <f t="shared" si="215"/>
        <v>0</v>
      </c>
      <c r="AS47" s="333">
        <f t="shared" si="216"/>
        <v>985332.34</v>
      </c>
      <c r="AT47" s="125">
        <f t="shared" si="271"/>
        <v>769244.15</v>
      </c>
      <c r="AU47" s="140">
        <f t="shared" si="42"/>
        <v>579148.68000000005</v>
      </c>
      <c r="AV47" s="123">
        <f t="shared" si="217"/>
        <v>0</v>
      </c>
      <c r="AW47" s="125">
        <f t="shared" si="218"/>
        <v>579148.68000000005</v>
      </c>
      <c r="AX47" s="122">
        <f t="shared" ref="AX47:AZ47" si="306">AU47+AQ47+AM47</f>
        <v>3059678.39</v>
      </c>
      <c r="AY47" s="326">
        <f t="shared" si="306"/>
        <v>0</v>
      </c>
      <c r="AZ47" s="332">
        <f t="shared" si="306"/>
        <v>3059678.39</v>
      </c>
      <c r="BA47" s="140">
        <f t="shared" ref="BA47:BC47" si="307">AX47+AG47</f>
        <v>8350784.4600000009</v>
      </c>
      <c r="BB47" s="326">
        <f t="shared" si="307"/>
        <v>57000</v>
      </c>
      <c r="BC47" s="435">
        <f t="shared" si="307"/>
        <v>8407784.4600000009</v>
      </c>
      <c r="BD47" s="123">
        <f t="shared" si="274"/>
        <v>886974.94</v>
      </c>
      <c r="BE47" s="123">
        <f t="shared" si="48"/>
        <v>1017446.23</v>
      </c>
      <c r="BF47" s="123">
        <f t="shared" si="221"/>
        <v>0</v>
      </c>
      <c r="BG47" s="148">
        <f t="shared" si="222"/>
        <v>1017446.23</v>
      </c>
      <c r="BH47" s="123">
        <f t="shared" si="223"/>
        <v>986654.42</v>
      </c>
      <c r="BI47" s="141">
        <f t="shared" si="52"/>
        <v>939563.93</v>
      </c>
      <c r="BJ47" s="332">
        <f t="shared" si="224"/>
        <v>0</v>
      </c>
      <c r="BK47" s="333">
        <f t="shared" si="225"/>
        <v>939563.93</v>
      </c>
      <c r="BL47" s="326">
        <f t="shared" si="226"/>
        <v>1127068.04</v>
      </c>
      <c r="BM47" s="326">
        <f t="shared" si="56"/>
        <v>1720648.03</v>
      </c>
      <c r="BN47" s="326">
        <f t="shared" si="227"/>
        <v>0</v>
      </c>
      <c r="BO47" s="332">
        <f t="shared" si="228"/>
        <v>1720648.03</v>
      </c>
      <c r="BP47" s="140">
        <f t="shared" ref="BP47:BR47" si="308">SUM(BM47,BI47,BE47)</f>
        <v>3677658.19</v>
      </c>
      <c r="BQ47" s="326">
        <f t="shared" si="308"/>
        <v>0</v>
      </c>
      <c r="BR47" s="333">
        <f t="shared" si="308"/>
        <v>3677658.19</v>
      </c>
      <c r="BS47" s="125">
        <f t="shared" si="230"/>
        <v>1643317.79</v>
      </c>
      <c r="BT47" s="140">
        <f t="shared" si="61"/>
        <v>1975954.46</v>
      </c>
      <c r="BU47" s="123">
        <f t="shared" si="231"/>
        <v>0</v>
      </c>
      <c r="BV47" s="148">
        <f t="shared" si="232"/>
        <v>1975954.46</v>
      </c>
      <c r="BW47" s="123">
        <f t="shared" si="233"/>
        <v>1491336.11</v>
      </c>
      <c r="BX47" s="326">
        <f t="shared" si="234"/>
        <v>1523228.9</v>
      </c>
      <c r="BY47" s="297"/>
      <c r="BZ47" s="553"/>
      <c r="CF47" s="294"/>
      <c r="CG47" s="294"/>
      <c r="CR47" s="294"/>
    </row>
    <row r="48" spans="1:96" ht="13">
      <c r="A48" s="546">
        <f t="shared" si="202"/>
        <v>112010430</v>
      </c>
      <c r="B48" s="547">
        <f t="shared" si="203"/>
        <v>22</v>
      </c>
      <c r="C48" s="137">
        <f t="shared" si="204"/>
        <v>0.1</v>
      </c>
      <c r="D48" s="137">
        <f t="shared" si="205"/>
        <v>0.09</v>
      </c>
      <c r="E48" s="98">
        <f t="shared" si="206"/>
        <v>0</v>
      </c>
      <c r="F48" s="414">
        <f t="shared" si="207"/>
        <v>63</v>
      </c>
      <c r="G48" s="94">
        <f t="shared" si="208"/>
        <v>0.1</v>
      </c>
      <c r="H48" s="415">
        <f t="shared" si="209"/>
        <v>0.05</v>
      </c>
      <c r="I48" s="589" t="s">
        <v>437</v>
      </c>
      <c r="J48" s="436">
        <f t="shared" si="250"/>
        <v>152107.20000000001</v>
      </c>
      <c r="K48" s="237">
        <v>1800000</v>
      </c>
      <c r="L48" s="140" t="e">
        <f t="shared" si="251"/>
        <v>#VALUE!</v>
      </c>
      <c r="M48" s="116" t="str">
        <f t="shared" si="210"/>
        <v/>
      </c>
      <c r="N48" s="333">
        <f t="shared" si="252"/>
        <v>0</v>
      </c>
      <c r="O48" s="123">
        <f t="shared" si="253"/>
        <v>-1800000</v>
      </c>
      <c r="P48" s="98">
        <f t="shared" si="254"/>
        <v>0</v>
      </c>
      <c r="Q48" s="125">
        <f t="shared" si="255"/>
        <v>11721.84</v>
      </c>
      <c r="R48" s="237">
        <v>1800000</v>
      </c>
      <c r="S48" s="140" t="e">
        <f t="shared" si="256"/>
        <v>#VALUE!</v>
      </c>
      <c r="T48" s="326" t="str">
        <f t="shared" si="257"/>
        <v/>
      </c>
      <c r="U48" s="333">
        <f t="shared" si="258"/>
        <v>0</v>
      </c>
      <c r="V48" s="123">
        <f t="shared" si="259"/>
        <v>-1800000</v>
      </c>
      <c r="W48" s="98">
        <f t="shared" si="260"/>
        <v>0</v>
      </c>
      <c r="X48" s="123">
        <f t="shared" si="261"/>
        <v>100508.68</v>
      </c>
      <c r="Y48" s="587">
        <v>1800000</v>
      </c>
      <c r="Z48" s="116" t="e">
        <f t="shared" si="262"/>
        <v>#VALUE!</v>
      </c>
      <c r="AA48" s="561" t="str">
        <f t="shared" si="263"/>
        <v/>
      </c>
      <c r="AB48" s="561">
        <f t="shared" si="264"/>
        <v>97694.71</v>
      </c>
      <c r="AC48" s="116">
        <f t="shared" si="265"/>
        <v>-1702305.29</v>
      </c>
      <c r="AD48" s="97">
        <f t="shared" si="266"/>
        <v>5.4274838888888892E-2</v>
      </c>
      <c r="AE48" s="433">
        <f t="shared" si="267"/>
        <v>5400000</v>
      </c>
      <c r="AF48" s="550" t="str">
        <f t="shared" si="211"/>
        <v>0</v>
      </c>
      <c r="AG48" s="496" t="e">
        <f t="shared" ref="AG48:AI48" si="309">SUM(Z48,S48,S48,L48)</f>
        <v>#VALUE!</v>
      </c>
      <c r="AH48" s="496">
        <f t="shared" si="309"/>
        <v>0</v>
      </c>
      <c r="AI48" s="496">
        <f t="shared" si="309"/>
        <v>97694.71</v>
      </c>
      <c r="AJ48" s="551">
        <f t="shared" si="31"/>
        <v>97694.71</v>
      </c>
      <c r="AK48" s="552" t="str">
        <f t="shared" si="72"/>
        <v/>
      </c>
      <c r="AL48" s="434">
        <f t="shared" si="269"/>
        <v>0</v>
      </c>
      <c r="AM48" s="140" t="e">
        <f t="shared" si="34"/>
        <v>#VALUE!</v>
      </c>
      <c r="AN48" s="123" t="str">
        <f t="shared" si="213"/>
        <v/>
      </c>
      <c r="AO48" s="148">
        <f t="shared" si="214"/>
        <v>0</v>
      </c>
      <c r="AP48" s="434">
        <f t="shared" si="270"/>
        <v>0</v>
      </c>
      <c r="AQ48" s="140" t="e">
        <f t="shared" si="38"/>
        <v>#VALUE!</v>
      </c>
      <c r="AR48" s="326" t="str">
        <f t="shared" si="215"/>
        <v/>
      </c>
      <c r="AS48" s="333">
        <f t="shared" si="216"/>
        <v>0</v>
      </c>
      <c r="AT48" s="125">
        <f t="shared" si="271"/>
        <v>0</v>
      </c>
      <c r="AU48" s="140" t="e">
        <f t="shared" si="42"/>
        <v>#VALUE!</v>
      </c>
      <c r="AV48" s="123" t="str">
        <f t="shared" si="217"/>
        <v/>
      </c>
      <c r="AW48" s="125">
        <f t="shared" si="218"/>
        <v>0</v>
      </c>
      <c r="AX48" s="122" t="e">
        <f t="shared" ref="AX48:AZ48" si="310">AU48+AQ48+AM48</f>
        <v>#VALUE!</v>
      </c>
      <c r="AY48" s="326" t="e">
        <f t="shared" si="310"/>
        <v>#VALUE!</v>
      </c>
      <c r="AZ48" s="332">
        <f t="shared" si="310"/>
        <v>0</v>
      </c>
      <c r="BA48" s="140" t="e">
        <f t="shared" ref="BA48:BC48" si="311">AX48+AG48</f>
        <v>#VALUE!</v>
      </c>
      <c r="BB48" s="326" t="e">
        <f t="shared" si="311"/>
        <v>#VALUE!</v>
      </c>
      <c r="BC48" s="435">
        <f t="shared" si="311"/>
        <v>97694.71</v>
      </c>
      <c r="BD48" s="123">
        <f t="shared" si="274"/>
        <v>0</v>
      </c>
      <c r="BE48" s="123" t="e">
        <f t="shared" si="48"/>
        <v>#VALUE!</v>
      </c>
      <c r="BF48" s="123" t="str">
        <f t="shared" si="221"/>
        <v/>
      </c>
      <c r="BG48" s="148">
        <f t="shared" si="222"/>
        <v>0</v>
      </c>
      <c r="BH48" s="123">
        <f t="shared" si="223"/>
        <v>0</v>
      </c>
      <c r="BI48" s="141" t="e">
        <f t="shared" si="52"/>
        <v>#VALUE!</v>
      </c>
      <c r="BJ48" s="332" t="str">
        <f t="shared" si="224"/>
        <v/>
      </c>
      <c r="BK48" s="333">
        <f t="shared" si="225"/>
        <v>0</v>
      </c>
      <c r="BL48" s="326">
        <f t="shared" si="226"/>
        <v>0</v>
      </c>
      <c r="BM48" s="326" t="e">
        <f t="shared" si="56"/>
        <v>#VALUE!</v>
      </c>
      <c r="BN48" s="326" t="str">
        <f t="shared" si="227"/>
        <v/>
      </c>
      <c r="BO48" s="332">
        <f t="shared" si="228"/>
        <v>0</v>
      </c>
      <c r="BP48" s="140" t="e">
        <f t="shared" ref="BP48:BR48" si="312">SUM(BM48,BI48,BE48)</f>
        <v>#VALUE!</v>
      </c>
      <c r="BQ48" s="326">
        <f t="shared" si="312"/>
        <v>0</v>
      </c>
      <c r="BR48" s="333">
        <f t="shared" si="312"/>
        <v>0</v>
      </c>
      <c r="BS48" s="125">
        <f t="shared" si="230"/>
        <v>0</v>
      </c>
      <c r="BT48" s="140" t="e">
        <f t="shared" si="61"/>
        <v>#VALUE!</v>
      </c>
      <c r="BU48" s="123" t="str">
        <f t="shared" si="231"/>
        <v/>
      </c>
      <c r="BV48" s="148">
        <f t="shared" si="232"/>
        <v>0</v>
      </c>
      <c r="BW48" s="123">
        <f t="shared" si="233"/>
        <v>0</v>
      </c>
      <c r="BX48" s="326">
        <f t="shared" si="234"/>
        <v>0</v>
      </c>
      <c r="BY48" s="297"/>
      <c r="BZ48" s="553"/>
      <c r="CF48" s="294"/>
      <c r="CG48" s="294"/>
      <c r="CR48" s="294"/>
    </row>
    <row r="49" spans="1:96" ht="13">
      <c r="A49" s="546">
        <f t="shared" si="202"/>
        <v>112013877</v>
      </c>
      <c r="B49" s="547">
        <f t="shared" si="203"/>
        <v>22</v>
      </c>
      <c r="C49" s="137">
        <f t="shared" si="204"/>
        <v>0.1</v>
      </c>
      <c r="D49" s="137">
        <f t="shared" si="205"/>
        <v>0.09</v>
      </c>
      <c r="E49" s="98">
        <f t="shared" si="206"/>
        <v>0</v>
      </c>
      <c r="F49" s="414">
        <f t="shared" si="207"/>
        <v>63</v>
      </c>
      <c r="G49" s="94">
        <f t="shared" si="208"/>
        <v>0.1</v>
      </c>
      <c r="H49" s="415">
        <f t="shared" si="209"/>
        <v>0.05</v>
      </c>
      <c r="I49" s="568" t="s">
        <v>438</v>
      </c>
      <c r="J49" s="436">
        <f t="shared" si="250"/>
        <v>160070.78</v>
      </c>
      <c r="K49" s="237">
        <v>1800000</v>
      </c>
      <c r="L49" s="140" t="e">
        <f t="shared" si="251"/>
        <v>#VALUE!</v>
      </c>
      <c r="M49" s="116" t="str">
        <f t="shared" si="210"/>
        <v/>
      </c>
      <c r="N49" s="333">
        <f t="shared" si="252"/>
        <v>332987.24</v>
      </c>
      <c r="O49" s="123">
        <f t="shared" si="253"/>
        <v>-1467012.76</v>
      </c>
      <c r="P49" s="98">
        <f t="shared" si="254"/>
        <v>0.1849929111111111</v>
      </c>
      <c r="Q49" s="125">
        <f t="shared" si="255"/>
        <v>211808.38</v>
      </c>
      <c r="R49" s="237">
        <v>1800000</v>
      </c>
      <c r="S49" s="140" t="e">
        <f t="shared" si="256"/>
        <v>#VALUE!</v>
      </c>
      <c r="T49" s="326" t="str">
        <f t="shared" si="257"/>
        <v/>
      </c>
      <c r="U49" s="333">
        <f t="shared" si="258"/>
        <v>157965.44</v>
      </c>
      <c r="V49" s="123">
        <f t="shared" si="259"/>
        <v>-1642034.56</v>
      </c>
      <c r="W49" s="98">
        <f t="shared" si="260"/>
        <v>8.7758577777777777E-2</v>
      </c>
      <c r="X49" s="123">
        <f t="shared" si="261"/>
        <v>263367.8</v>
      </c>
      <c r="Y49" s="587">
        <v>1800000</v>
      </c>
      <c r="Z49" s="116" t="e">
        <f t="shared" si="262"/>
        <v>#VALUE!</v>
      </c>
      <c r="AA49" s="561" t="str">
        <f t="shared" si="263"/>
        <v/>
      </c>
      <c r="AB49" s="561">
        <f t="shared" si="264"/>
        <v>47125.83</v>
      </c>
      <c r="AC49" s="116">
        <f t="shared" si="265"/>
        <v>-1752874.17</v>
      </c>
      <c r="AD49" s="97">
        <f t="shared" si="266"/>
        <v>2.6181016666666668E-2</v>
      </c>
      <c r="AE49" s="433">
        <f t="shared" si="267"/>
        <v>5400000</v>
      </c>
      <c r="AF49" s="550">
        <f t="shared" si="211"/>
        <v>1051630.78</v>
      </c>
      <c r="AG49" s="496" t="e">
        <f t="shared" ref="AG49:AI49" si="313">SUM(Z49,S49,S49,L49)</f>
        <v>#VALUE!</v>
      </c>
      <c r="AH49" s="496">
        <f t="shared" si="313"/>
        <v>0</v>
      </c>
      <c r="AI49" s="496">
        <f t="shared" si="313"/>
        <v>696043.95</v>
      </c>
      <c r="AJ49" s="551">
        <f t="shared" si="31"/>
        <v>-355586.83000000007</v>
      </c>
      <c r="AK49" s="552">
        <f t="shared" si="72"/>
        <v>0.66187103234083733</v>
      </c>
      <c r="AL49" s="434">
        <f t="shared" si="269"/>
        <v>0</v>
      </c>
      <c r="AM49" s="140" t="e">
        <f t="shared" si="34"/>
        <v>#VALUE!</v>
      </c>
      <c r="AN49" s="123" t="str">
        <f t="shared" si="213"/>
        <v/>
      </c>
      <c r="AO49" s="148">
        <f t="shared" si="214"/>
        <v>89573.86</v>
      </c>
      <c r="AP49" s="434">
        <f t="shared" si="270"/>
        <v>576499.21</v>
      </c>
      <c r="AQ49" s="140" t="e">
        <f t="shared" si="38"/>
        <v>#VALUE!</v>
      </c>
      <c r="AR49" s="326" t="str">
        <f t="shared" si="215"/>
        <v/>
      </c>
      <c r="AS49" s="333">
        <f t="shared" si="216"/>
        <v>117661.48</v>
      </c>
      <c r="AT49" s="125">
        <f t="shared" si="271"/>
        <v>204849.92000000001</v>
      </c>
      <c r="AU49" s="140" t="e">
        <f t="shared" si="42"/>
        <v>#VALUE!</v>
      </c>
      <c r="AV49" s="123" t="str">
        <f t="shared" si="217"/>
        <v/>
      </c>
      <c r="AW49" s="125">
        <f t="shared" si="218"/>
        <v>9004.27</v>
      </c>
      <c r="AX49" s="122" t="e">
        <f t="shared" ref="AX49:AZ49" si="314">AU49+AQ49+AM49</f>
        <v>#VALUE!</v>
      </c>
      <c r="AY49" s="326" t="e">
        <f t="shared" si="314"/>
        <v>#VALUE!</v>
      </c>
      <c r="AZ49" s="332">
        <f t="shared" si="314"/>
        <v>216239.61</v>
      </c>
      <c r="BA49" s="140" t="e">
        <f t="shared" ref="BA49:BC49" si="315">AX49+AG49</f>
        <v>#VALUE!</v>
      </c>
      <c r="BB49" s="326" t="e">
        <f t="shared" si="315"/>
        <v>#VALUE!</v>
      </c>
      <c r="BC49" s="435">
        <f t="shared" si="315"/>
        <v>912283.55999999994</v>
      </c>
      <c r="BD49" s="123">
        <f t="shared" si="274"/>
        <v>467474.14</v>
      </c>
      <c r="BE49" s="123" t="e">
        <f t="shared" si="48"/>
        <v>#VALUE!</v>
      </c>
      <c r="BF49" s="123" t="str">
        <f t="shared" si="221"/>
        <v/>
      </c>
      <c r="BG49" s="148">
        <f t="shared" si="222"/>
        <v>56158.07</v>
      </c>
      <c r="BH49" s="123">
        <f t="shared" si="223"/>
        <v>62349.919999999998</v>
      </c>
      <c r="BI49" s="141" t="e">
        <f t="shared" si="52"/>
        <v>#VALUE!</v>
      </c>
      <c r="BJ49" s="332" t="str">
        <f t="shared" si="224"/>
        <v/>
      </c>
      <c r="BK49" s="333">
        <f t="shared" si="225"/>
        <v>0</v>
      </c>
      <c r="BL49" s="326">
        <f t="shared" si="226"/>
        <v>545386.65</v>
      </c>
      <c r="BM49" s="326" t="e">
        <f t="shared" si="56"/>
        <v>#VALUE!</v>
      </c>
      <c r="BN49" s="326" t="str">
        <f t="shared" si="227"/>
        <v/>
      </c>
      <c r="BO49" s="332">
        <f t="shared" si="228"/>
        <v>549379.4</v>
      </c>
      <c r="BP49" s="140" t="e">
        <f t="shared" ref="BP49:BR49" si="316">SUM(BM49,BI49,BE49)</f>
        <v>#VALUE!</v>
      </c>
      <c r="BQ49" s="326">
        <f t="shared" si="316"/>
        <v>0</v>
      </c>
      <c r="BR49" s="333">
        <f t="shared" si="316"/>
        <v>605537.47</v>
      </c>
      <c r="BS49" s="125">
        <f t="shared" si="230"/>
        <v>278183.84999999998</v>
      </c>
      <c r="BT49" s="140" t="e">
        <f t="shared" si="61"/>
        <v>#VALUE!</v>
      </c>
      <c r="BU49" s="123" t="str">
        <f t="shared" si="231"/>
        <v/>
      </c>
      <c r="BV49" s="148">
        <f t="shared" si="232"/>
        <v>372511.04</v>
      </c>
      <c r="BW49" s="123">
        <f t="shared" si="233"/>
        <v>438930.95</v>
      </c>
      <c r="BX49" s="326">
        <f t="shared" si="234"/>
        <v>334515.96999999997</v>
      </c>
      <c r="BY49" s="297"/>
      <c r="BZ49" s="553"/>
      <c r="CF49" s="294"/>
      <c r="CG49" s="294"/>
      <c r="CR49" s="294"/>
    </row>
    <row r="50" spans="1:96" ht="13">
      <c r="A50" s="546">
        <f t="shared" si="202"/>
        <v>112011275</v>
      </c>
      <c r="B50" s="547">
        <f t="shared" si="203"/>
        <v>22</v>
      </c>
      <c r="C50" s="137">
        <f t="shared" si="204"/>
        <v>0.1</v>
      </c>
      <c r="D50" s="137">
        <f t="shared" si="205"/>
        <v>0.09</v>
      </c>
      <c r="E50" s="98">
        <f t="shared" si="206"/>
        <v>0</v>
      </c>
      <c r="F50" s="414">
        <f t="shared" si="207"/>
        <v>63</v>
      </c>
      <c r="G50" s="94">
        <f t="shared" si="208"/>
        <v>0.1</v>
      </c>
      <c r="H50" s="415">
        <f t="shared" si="209"/>
        <v>0.05</v>
      </c>
      <c r="I50" s="589" t="s">
        <v>439</v>
      </c>
      <c r="J50" s="436">
        <f t="shared" si="250"/>
        <v>526562.31999999995</v>
      </c>
      <c r="K50" s="237">
        <v>1800000</v>
      </c>
      <c r="L50" s="140">
        <f t="shared" si="251"/>
        <v>670343.51</v>
      </c>
      <c r="M50" s="116">
        <f t="shared" si="210"/>
        <v>22529.279999999999</v>
      </c>
      <c r="N50" s="333">
        <f t="shared" si="252"/>
        <v>692872.79</v>
      </c>
      <c r="O50" s="123">
        <f t="shared" si="253"/>
        <v>-1107127.21</v>
      </c>
      <c r="P50" s="98">
        <f t="shared" si="254"/>
        <v>0.38492932777777777</v>
      </c>
      <c r="Q50" s="125">
        <f t="shared" si="255"/>
        <v>855897.31</v>
      </c>
      <c r="R50" s="237">
        <v>1800000</v>
      </c>
      <c r="S50" s="140">
        <f t="shared" si="256"/>
        <v>146462.21</v>
      </c>
      <c r="T50" s="326">
        <f t="shared" si="257"/>
        <v>41450.85</v>
      </c>
      <c r="U50" s="333">
        <f t="shared" si="258"/>
        <v>187913.06</v>
      </c>
      <c r="V50" s="123">
        <f t="shared" si="259"/>
        <v>-1612086.94</v>
      </c>
      <c r="W50" s="98">
        <f t="shared" si="260"/>
        <v>0.10439614444444445</v>
      </c>
      <c r="X50" s="123">
        <f t="shared" si="261"/>
        <v>413923.09</v>
      </c>
      <c r="Y50" s="587">
        <v>1800000</v>
      </c>
      <c r="Z50" s="116">
        <f t="shared" si="262"/>
        <v>1046148.5499999999</v>
      </c>
      <c r="AA50" s="561">
        <f t="shared" si="263"/>
        <v>52896.91</v>
      </c>
      <c r="AB50" s="561">
        <f t="shared" si="264"/>
        <v>1099045.46</v>
      </c>
      <c r="AC50" s="116">
        <f t="shared" si="265"/>
        <v>-700954.54</v>
      </c>
      <c r="AD50" s="97">
        <f t="shared" si="266"/>
        <v>0.61058081111111107</v>
      </c>
      <c r="AE50" s="433">
        <f t="shared" si="267"/>
        <v>5400000</v>
      </c>
      <c r="AF50" s="550">
        <f t="shared" si="211"/>
        <v>2389981.7599999998</v>
      </c>
      <c r="AG50" s="496">
        <f t="shared" ref="AG50:AI50" si="317">SUM(Z50,S50,S50,L50)</f>
        <v>2009416.48</v>
      </c>
      <c r="AH50" s="496">
        <f t="shared" si="317"/>
        <v>158327.89000000001</v>
      </c>
      <c r="AI50" s="496">
        <f t="shared" si="317"/>
        <v>2167744.37</v>
      </c>
      <c r="AJ50" s="551">
        <f t="shared" si="31"/>
        <v>-222237.38999999966</v>
      </c>
      <c r="AK50" s="552">
        <f t="shared" si="72"/>
        <v>0.90701293469285738</v>
      </c>
      <c r="AL50" s="434">
        <f t="shared" si="269"/>
        <v>504021.89</v>
      </c>
      <c r="AM50" s="140">
        <f t="shared" si="34"/>
        <v>294688.01</v>
      </c>
      <c r="AN50" s="123">
        <f t="shared" si="213"/>
        <v>112286.39999999999</v>
      </c>
      <c r="AO50" s="148">
        <f t="shared" si="214"/>
        <v>406974.41</v>
      </c>
      <c r="AP50" s="434">
        <f t="shared" si="270"/>
        <v>277153.49</v>
      </c>
      <c r="AQ50" s="140">
        <f t="shared" si="38"/>
        <v>337125.33</v>
      </c>
      <c r="AR50" s="326">
        <f t="shared" si="215"/>
        <v>0</v>
      </c>
      <c r="AS50" s="333">
        <f t="shared" si="216"/>
        <v>337125.33</v>
      </c>
      <c r="AT50" s="125">
        <f t="shared" si="271"/>
        <v>688371.44</v>
      </c>
      <c r="AU50" s="140">
        <f t="shared" si="42"/>
        <v>490269.1</v>
      </c>
      <c r="AV50" s="123">
        <f t="shared" si="217"/>
        <v>88039.48</v>
      </c>
      <c r="AW50" s="125">
        <f t="shared" si="218"/>
        <v>578308.57999999996</v>
      </c>
      <c r="AX50" s="122">
        <f t="shared" ref="AX50:AZ50" si="318">AU50+AQ50+AM50</f>
        <v>1122082.44</v>
      </c>
      <c r="AY50" s="326">
        <f t="shared" si="318"/>
        <v>200325.88</v>
      </c>
      <c r="AZ50" s="332">
        <f t="shared" si="318"/>
        <v>1322408.3199999998</v>
      </c>
      <c r="BA50" s="140">
        <f t="shared" ref="BA50:BC50" si="319">AX50+AG50</f>
        <v>3131498.92</v>
      </c>
      <c r="BB50" s="326">
        <f t="shared" si="319"/>
        <v>358653.77</v>
      </c>
      <c r="BC50" s="435">
        <f t="shared" si="319"/>
        <v>3490152.69</v>
      </c>
      <c r="BD50" s="123">
        <f t="shared" si="274"/>
        <v>295222.61</v>
      </c>
      <c r="BE50" s="123">
        <f t="shared" si="48"/>
        <v>215202.44999999998</v>
      </c>
      <c r="BF50" s="123">
        <f t="shared" si="221"/>
        <v>64336.28</v>
      </c>
      <c r="BG50" s="148">
        <f t="shared" si="222"/>
        <v>279538.73</v>
      </c>
      <c r="BH50" s="123">
        <f t="shared" si="223"/>
        <v>841607.08</v>
      </c>
      <c r="BI50" s="141">
        <f t="shared" si="52"/>
        <v>100457.56000000001</v>
      </c>
      <c r="BJ50" s="332">
        <f t="shared" si="224"/>
        <v>38973.39</v>
      </c>
      <c r="BK50" s="333">
        <f t="shared" si="225"/>
        <v>139430.95000000001</v>
      </c>
      <c r="BL50" s="326">
        <f t="shared" si="226"/>
        <v>381179.25</v>
      </c>
      <c r="BM50" s="326">
        <f t="shared" si="56"/>
        <v>444697.9</v>
      </c>
      <c r="BN50" s="326">
        <f t="shared" si="227"/>
        <v>0</v>
      </c>
      <c r="BO50" s="332">
        <f t="shared" si="228"/>
        <v>444697.9</v>
      </c>
      <c r="BP50" s="140">
        <f t="shared" ref="BP50:BR50" si="320">SUM(BM50,BI50,BE50)</f>
        <v>760357.91</v>
      </c>
      <c r="BQ50" s="326">
        <f t="shared" si="320"/>
        <v>103309.67</v>
      </c>
      <c r="BR50" s="333">
        <f t="shared" si="320"/>
        <v>863667.58000000007</v>
      </c>
      <c r="BS50" s="125">
        <f t="shared" si="230"/>
        <v>697708.42</v>
      </c>
      <c r="BT50" s="140">
        <f t="shared" si="61"/>
        <v>0</v>
      </c>
      <c r="BU50" s="123">
        <f t="shared" si="231"/>
        <v>0</v>
      </c>
      <c r="BV50" s="148">
        <f t="shared" si="232"/>
        <v>0</v>
      </c>
      <c r="BW50" s="123">
        <f t="shared" si="233"/>
        <v>443055.83</v>
      </c>
      <c r="BX50" s="326">
        <f t="shared" si="234"/>
        <v>1249217.52</v>
      </c>
      <c r="BY50" s="297"/>
      <c r="BZ50" s="553"/>
      <c r="CF50" s="294"/>
      <c r="CG50" s="294"/>
      <c r="CR50" s="294"/>
    </row>
    <row r="51" spans="1:96" ht="13">
      <c r="A51" s="546">
        <f t="shared" si="202"/>
        <v>112013497</v>
      </c>
      <c r="B51" s="547">
        <f t="shared" si="203"/>
        <v>22</v>
      </c>
      <c r="C51" s="137">
        <f t="shared" si="204"/>
        <v>0.1</v>
      </c>
      <c r="D51" s="137">
        <f t="shared" si="205"/>
        <v>0.09</v>
      </c>
      <c r="E51" s="98">
        <f t="shared" si="206"/>
        <v>0</v>
      </c>
      <c r="F51" s="414">
        <f t="shared" si="207"/>
        <v>63</v>
      </c>
      <c r="G51" s="94">
        <f t="shared" si="208"/>
        <v>0.1</v>
      </c>
      <c r="H51" s="415">
        <f t="shared" si="209"/>
        <v>0.05</v>
      </c>
      <c r="I51" s="568" t="s">
        <v>440</v>
      </c>
      <c r="J51" s="436">
        <f t="shared" si="250"/>
        <v>339657.91</v>
      </c>
      <c r="K51" s="237">
        <v>1800000</v>
      </c>
      <c r="L51" s="140">
        <f t="shared" si="251"/>
        <v>2671046.17</v>
      </c>
      <c r="M51" s="116">
        <f t="shared" si="210"/>
        <v>0</v>
      </c>
      <c r="N51" s="333">
        <f t="shared" si="252"/>
        <v>2671046.17</v>
      </c>
      <c r="O51" s="123">
        <f t="shared" si="253"/>
        <v>871046.16999999993</v>
      </c>
      <c r="P51" s="98">
        <f t="shared" si="254"/>
        <v>1.4839145388888888</v>
      </c>
      <c r="Q51" s="125">
        <f t="shared" si="255"/>
        <v>826367.89</v>
      </c>
      <c r="R51" s="237">
        <v>1800000</v>
      </c>
      <c r="S51" s="140">
        <f t="shared" si="256"/>
        <v>598023.97</v>
      </c>
      <c r="T51" s="326">
        <f t="shared" si="257"/>
        <v>28500</v>
      </c>
      <c r="U51" s="333">
        <f t="shared" si="258"/>
        <v>626523.97</v>
      </c>
      <c r="V51" s="123">
        <f t="shared" si="259"/>
        <v>-1173476.03</v>
      </c>
      <c r="W51" s="98">
        <f t="shared" si="260"/>
        <v>0.34806887222222221</v>
      </c>
      <c r="X51" s="123">
        <f t="shared" si="261"/>
        <v>662397.64</v>
      </c>
      <c r="Y51" s="587">
        <v>1800000</v>
      </c>
      <c r="Z51" s="116">
        <f t="shared" si="262"/>
        <v>1404644.13</v>
      </c>
      <c r="AA51" s="561">
        <f t="shared" si="263"/>
        <v>0</v>
      </c>
      <c r="AB51" s="561">
        <f t="shared" si="264"/>
        <v>1404644.13</v>
      </c>
      <c r="AC51" s="116">
        <f t="shared" si="265"/>
        <v>-395355.87000000011</v>
      </c>
      <c r="AD51" s="97">
        <f t="shared" si="266"/>
        <v>0.78035784999999991</v>
      </c>
      <c r="AE51" s="433">
        <f t="shared" si="267"/>
        <v>5400000</v>
      </c>
      <c r="AF51" s="550">
        <f t="shared" si="211"/>
        <v>4166643.38</v>
      </c>
      <c r="AG51" s="496">
        <f t="shared" ref="AG51:AI51" si="321">SUM(Z51,S51,S51,L51)</f>
        <v>5271738.24</v>
      </c>
      <c r="AH51" s="496">
        <f t="shared" si="321"/>
        <v>57000</v>
      </c>
      <c r="AI51" s="496">
        <f t="shared" si="321"/>
        <v>5328738.24</v>
      </c>
      <c r="AJ51" s="551">
        <f t="shared" si="31"/>
        <v>1162094.8600000003</v>
      </c>
      <c r="AK51" s="552">
        <f t="shared" si="72"/>
        <v>1.2789043251404923</v>
      </c>
      <c r="AL51" s="434">
        <f t="shared" si="269"/>
        <v>720683.24</v>
      </c>
      <c r="AM51" s="140">
        <f t="shared" si="34"/>
        <v>2109601.84</v>
      </c>
      <c r="AN51" s="123">
        <f t="shared" si="213"/>
        <v>0</v>
      </c>
      <c r="AO51" s="148">
        <f t="shared" si="214"/>
        <v>2109601.84</v>
      </c>
      <c r="AP51" s="434">
        <f t="shared" si="270"/>
        <v>492968.1</v>
      </c>
      <c r="AQ51" s="140">
        <f t="shared" si="38"/>
        <v>1273988.0999999999</v>
      </c>
      <c r="AR51" s="326">
        <f t="shared" si="215"/>
        <v>31057.599999999999</v>
      </c>
      <c r="AS51" s="333">
        <f t="shared" si="216"/>
        <v>1305045.7</v>
      </c>
      <c r="AT51" s="125">
        <f t="shared" si="271"/>
        <v>428855.7</v>
      </c>
      <c r="AU51" s="140">
        <f t="shared" si="42"/>
        <v>1940848.14</v>
      </c>
      <c r="AV51" s="123">
        <f t="shared" si="217"/>
        <v>0</v>
      </c>
      <c r="AW51" s="125">
        <f t="shared" si="218"/>
        <v>1940848.14</v>
      </c>
      <c r="AX51" s="122">
        <f t="shared" ref="AX51:AZ51" si="322">AU51+AQ51+AM51</f>
        <v>5324438.08</v>
      </c>
      <c r="AY51" s="326">
        <f t="shared" si="322"/>
        <v>31057.599999999999</v>
      </c>
      <c r="AZ51" s="332">
        <f t="shared" si="322"/>
        <v>5355495.68</v>
      </c>
      <c r="BA51" s="140">
        <f t="shared" ref="BA51:BC51" si="323">AX51+AG51</f>
        <v>10596176.32</v>
      </c>
      <c r="BB51" s="326">
        <f t="shared" si="323"/>
        <v>88057.600000000006</v>
      </c>
      <c r="BC51" s="435">
        <f t="shared" si="323"/>
        <v>10684233.92</v>
      </c>
      <c r="BD51" s="123">
        <f t="shared" si="274"/>
        <v>1917096.7</v>
      </c>
      <c r="BE51" s="123">
        <f t="shared" si="48"/>
        <v>656425.94999999995</v>
      </c>
      <c r="BF51" s="123">
        <f t="shared" si="221"/>
        <v>0</v>
      </c>
      <c r="BG51" s="148">
        <f t="shared" si="222"/>
        <v>656425.94999999995</v>
      </c>
      <c r="BH51" s="123">
        <f t="shared" si="223"/>
        <v>341661.38</v>
      </c>
      <c r="BI51" s="141">
        <f t="shared" si="52"/>
        <v>896688.79</v>
      </c>
      <c r="BJ51" s="332">
        <f t="shared" si="224"/>
        <v>0</v>
      </c>
      <c r="BK51" s="333">
        <f t="shared" si="225"/>
        <v>896688.79</v>
      </c>
      <c r="BL51" s="326">
        <f t="shared" si="226"/>
        <v>702401.52</v>
      </c>
      <c r="BM51" s="326">
        <f t="shared" si="56"/>
        <v>1458559.51</v>
      </c>
      <c r="BN51" s="326">
        <f t="shared" si="227"/>
        <v>0</v>
      </c>
      <c r="BO51" s="332">
        <f t="shared" si="228"/>
        <v>1458559.51</v>
      </c>
      <c r="BP51" s="140">
        <f t="shared" ref="BP51:BR51" si="324">SUM(BM51,BI51,BE51)</f>
        <v>3011674.25</v>
      </c>
      <c r="BQ51" s="326">
        <f t="shared" si="324"/>
        <v>0</v>
      </c>
      <c r="BR51" s="333">
        <f t="shared" si="324"/>
        <v>3011674.25</v>
      </c>
      <c r="BS51" s="125">
        <f t="shared" si="230"/>
        <v>1443986.98</v>
      </c>
      <c r="BT51" s="140">
        <f t="shared" si="61"/>
        <v>1865149.81</v>
      </c>
      <c r="BU51" s="123">
        <f t="shared" si="231"/>
        <v>0</v>
      </c>
      <c r="BV51" s="148">
        <f t="shared" si="232"/>
        <v>1865149.81</v>
      </c>
      <c r="BW51" s="123">
        <f t="shared" si="233"/>
        <v>1479786.88</v>
      </c>
      <c r="BX51" s="326">
        <f t="shared" si="234"/>
        <v>1242869.52</v>
      </c>
      <c r="BY51" s="297"/>
      <c r="BZ51" s="553"/>
      <c r="CF51" s="294"/>
      <c r="CG51" s="294"/>
      <c r="CR51" s="294"/>
    </row>
    <row r="52" spans="1:96" ht="13">
      <c r="A52" s="546">
        <f t="shared" si="202"/>
        <v>112013742</v>
      </c>
      <c r="B52" s="547">
        <f t="shared" si="203"/>
        <v>22</v>
      </c>
      <c r="C52" s="137">
        <f t="shared" si="204"/>
        <v>0.1</v>
      </c>
      <c r="D52" s="137">
        <f t="shared" si="205"/>
        <v>0.09</v>
      </c>
      <c r="E52" s="98">
        <f t="shared" si="206"/>
        <v>0</v>
      </c>
      <c r="F52" s="414">
        <f t="shared" si="207"/>
        <v>63</v>
      </c>
      <c r="G52" s="94">
        <f t="shared" si="208"/>
        <v>0.1</v>
      </c>
      <c r="H52" s="415">
        <f t="shared" si="209"/>
        <v>0.05</v>
      </c>
      <c r="I52" s="568" t="s">
        <v>441</v>
      </c>
      <c r="J52" s="436">
        <f t="shared" si="250"/>
        <v>410404.97</v>
      </c>
      <c r="K52" s="237">
        <v>1800000</v>
      </c>
      <c r="L52" s="140">
        <f t="shared" si="251"/>
        <v>703794.64999999991</v>
      </c>
      <c r="M52" s="116">
        <f t="shared" si="210"/>
        <v>81216.69</v>
      </c>
      <c r="N52" s="333">
        <f t="shared" si="252"/>
        <v>785011.34</v>
      </c>
      <c r="O52" s="123">
        <f t="shared" si="253"/>
        <v>-1014988.66</v>
      </c>
      <c r="P52" s="98">
        <f t="shared" si="254"/>
        <v>0.43611741111111108</v>
      </c>
      <c r="Q52" s="125">
        <f t="shared" si="255"/>
        <v>268085.71000000002</v>
      </c>
      <c r="R52" s="237">
        <v>1800000</v>
      </c>
      <c r="S52" s="140">
        <f t="shared" si="256"/>
        <v>310441.65000000002</v>
      </c>
      <c r="T52" s="326">
        <f t="shared" si="257"/>
        <v>54445.599999999999</v>
      </c>
      <c r="U52" s="333">
        <f t="shared" si="258"/>
        <v>364887.25</v>
      </c>
      <c r="V52" s="123">
        <f t="shared" si="259"/>
        <v>-1435112.75</v>
      </c>
      <c r="W52" s="98">
        <f t="shared" si="260"/>
        <v>0.2027151388888889</v>
      </c>
      <c r="X52" s="123">
        <f t="shared" si="261"/>
        <v>208938.55</v>
      </c>
      <c r="Y52" s="587">
        <v>1800000</v>
      </c>
      <c r="Z52" s="116">
        <f t="shared" si="262"/>
        <v>842508.74</v>
      </c>
      <c r="AA52" s="561">
        <f t="shared" si="263"/>
        <v>87742.18</v>
      </c>
      <c r="AB52" s="561">
        <f t="shared" si="264"/>
        <v>930250.92</v>
      </c>
      <c r="AC52" s="116">
        <f t="shared" si="265"/>
        <v>-869749.08</v>
      </c>
      <c r="AD52" s="97">
        <f t="shared" si="266"/>
        <v>0.51680606666666673</v>
      </c>
      <c r="AE52" s="433">
        <f t="shared" si="267"/>
        <v>5400000</v>
      </c>
      <c r="AF52" s="592">
        <f t="shared" si="211"/>
        <v>1781266.8</v>
      </c>
      <c r="AG52" s="593">
        <f t="shared" ref="AG52:AI52" si="325">SUM(Z52,S52,S52,L52)</f>
        <v>2167186.69</v>
      </c>
      <c r="AH52" s="593">
        <f t="shared" si="325"/>
        <v>277850.07</v>
      </c>
      <c r="AI52" s="593">
        <f t="shared" si="325"/>
        <v>2445036.7599999998</v>
      </c>
      <c r="AJ52" s="594">
        <f t="shared" si="31"/>
        <v>663769.95999999973</v>
      </c>
      <c r="AK52" s="595">
        <f t="shared" si="72"/>
        <v>1.3726392699847096</v>
      </c>
      <c r="AL52" s="473">
        <f t="shared" si="269"/>
        <v>198851.79</v>
      </c>
      <c r="AM52" s="164">
        <f t="shared" si="34"/>
        <v>493182.72000000003</v>
      </c>
      <c r="AN52" s="123">
        <f t="shared" si="213"/>
        <v>58561.69</v>
      </c>
      <c r="AO52" s="148">
        <f t="shared" si="214"/>
        <v>551744.41</v>
      </c>
      <c r="AP52" s="434">
        <f t="shared" si="270"/>
        <v>385977.96</v>
      </c>
      <c r="AQ52" s="140">
        <f t="shared" si="38"/>
        <v>700084.94</v>
      </c>
      <c r="AR52" s="326">
        <f t="shared" si="215"/>
        <v>88144.26</v>
      </c>
      <c r="AS52" s="333">
        <f t="shared" si="216"/>
        <v>788229.2</v>
      </c>
      <c r="AT52" s="125">
        <f t="shared" si="271"/>
        <v>281223.92</v>
      </c>
      <c r="AU52" s="140">
        <f t="shared" si="42"/>
        <v>533677.29999999993</v>
      </c>
      <c r="AV52" s="123">
        <f t="shared" si="217"/>
        <v>39880.54</v>
      </c>
      <c r="AW52" s="125">
        <f t="shared" si="218"/>
        <v>573557.84</v>
      </c>
      <c r="AX52" s="122">
        <f t="shared" ref="AX52:AZ52" si="326">AU52+AQ52+AM52</f>
        <v>1726944.9599999997</v>
      </c>
      <c r="AY52" s="326">
        <f t="shared" si="326"/>
        <v>186586.49</v>
      </c>
      <c r="AZ52" s="332">
        <f t="shared" si="326"/>
        <v>1913531.4500000002</v>
      </c>
      <c r="BA52" s="140">
        <f t="shared" ref="BA52:BC52" si="327">AX52+AG52</f>
        <v>3894131.6499999994</v>
      </c>
      <c r="BB52" s="326">
        <f t="shared" si="327"/>
        <v>464436.56</v>
      </c>
      <c r="BC52" s="435">
        <f t="shared" si="327"/>
        <v>4358568.21</v>
      </c>
      <c r="BD52" s="123">
        <f t="shared" si="274"/>
        <v>715654.51</v>
      </c>
      <c r="BE52" s="123">
        <f t="shared" si="48"/>
        <v>857815.39</v>
      </c>
      <c r="BF52" s="123">
        <f t="shared" si="221"/>
        <v>0</v>
      </c>
      <c r="BG52" s="148">
        <f t="shared" si="222"/>
        <v>857815.39</v>
      </c>
      <c r="BH52" s="123">
        <f t="shared" si="223"/>
        <v>470880.1</v>
      </c>
      <c r="BI52" s="141">
        <f t="shared" si="52"/>
        <v>651419.1</v>
      </c>
      <c r="BJ52" s="332">
        <f t="shared" si="224"/>
        <v>110400.6</v>
      </c>
      <c r="BK52" s="333">
        <f t="shared" si="225"/>
        <v>761819.7</v>
      </c>
      <c r="BL52" s="326">
        <f t="shared" si="226"/>
        <v>679929.86</v>
      </c>
      <c r="BM52" s="326">
        <f t="shared" si="56"/>
        <v>792643.47</v>
      </c>
      <c r="BN52" s="326">
        <f t="shared" si="227"/>
        <v>0</v>
      </c>
      <c r="BO52" s="332">
        <f t="shared" si="228"/>
        <v>792643.47</v>
      </c>
      <c r="BP52" s="140">
        <f t="shared" ref="BP52:BR52" si="328">SUM(BM52,BI52,BE52)</f>
        <v>2301877.96</v>
      </c>
      <c r="BQ52" s="326">
        <f t="shared" si="328"/>
        <v>110400.6</v>
      </c>
      <c r="BR52" s="333">
        <f t="shared" si="328"/>
        <v>2412278.56</v>
      </c>
      <c r="BS52" s="125">
        <f t="shared" si="230"/>
        <v>730743.02</v>
      </c>
      <c r="BT52" s="140">
        <f t="shared" si="61"/>
        <v>932788.86</v>
      </c>
      <c r="BU52" s="123">
        <f t="shared" si="231"/>
        <v>0</v>
      </c>
      <c r="BV52" s="148">
        <f t="shared" si="232"/>
        <v>932788.86</v>
      </c>
      <c r="BW52" s="123">
        <f t="shared" si="233"/>
        <v>476326.49</v>
      </c>
      <c r="BX52" s="326">
        <f t="shared" si="234"/>
        <v>574197.29</v>
      </c>
      <c r="BY52" s="297"/>
      <c r="BZ52" s="553"/>
      <c r="CF52" s="294"/>
      <c r="CG52" s="294"/>
      <c r="CR52" s="294"/>
    </row>
    <row r="53" spans="1:96" ht="13">
      <c r="A53" s="546">
        <f t="shared" si="202"/>
        <v>112012623</v>
      </c>
      <c r="B53" s="547">
        <f t="shared" si="203"/>
        <v>22</v>
      </c>
      <c r="C53" s="137">
        <f t="shared" si="204"/>
        <v>0.1</v>
      </c>
      <c r="D53" s="137">
        <f t="shared" si="205"/>
        <v>0.09</v>
      </c>
      <c r="E53" s="98">
        <f t="shared" si="206"/>
        <v>0</v>
      </c>
      <c r="F53" s="414">
        <f t="shared" si="207"/>
        <v>63</v>
      </c>
      <c r="G53" s="94">
        <f t="shared" si="208"/>
        <v>0.1</v>
      </c>
      <c r="H53" s="415">
        <f t="shared" si="209"/>
        <v>0.05</v>
      </c>
      <c r="I53" s="568" t="s">
        <v>442</v>
      </c>
      <c r="J53" s="436">
        <f t="shared" si="250"/>
        <v>3888268.21</v>
      </c>
      <c r="K53" s="141">
        <f>(J53*1.601)*1.05</f>
        <v>6536373.2744205007</v>
      </c>
      <c r="L53" s="140">
        <f t="shared" si="251"/>
        <v>3212916.19</v>
      </c>
      <c r="M53" s="116">
        <f t="shared" si="210"/>
        <v>810508.29</v>
      </c>
      <c r="N53" s="333">
        <f t="shared" si="252"/>
        <v>4023424.48</v>
      </c>
      <c r="O53" s="123">
        <f t="shared" si="253"/>
        <v>-2512948.7944205008</v>
      </c>
      <c r="P53" s="98">
        <f t="shared" si="254"/>
        <v>0.61554386677170103</v>
      </c>
      <c r="Q53" s="125">
        <f t="shared" si="255"/>
        <v>1994238.79</v>
      </c>
      <c r="R53" s="141">
        <f>(Q53*1.7245)*1.05</f>
        <v>3611018.0330227497</v>
      </c>
      <c r="S53" s="140">
        <f t="shared" si="256"/>
        <v>3092222.99</v>
      </c>
      <c r="T53" s="326">
        <f t="shared" si="257"/>
        <v>469032.8</v>
      </c>
      <c r="U53" s="333">
        <f t="shared" si="258"/>
        <v>3561255.79</v>
      </c>
      <c r="V53" s="123">
        <f t="shared" si="259"/>
        <v>-49762.243022749666</v>
      </c>
      <c r="W53" s="98">
        <f t="shared" si="260"/>
        <v>0.98621933134432616</v>
      </c>
      <c r="X53" s="123">
        <f t="shared" si="261"/>
        <v>2787379.72</v>
      </c>
      <c r="Y53" s="326">
        <f>(X53*1.5955)*1.05</f>
        <v>4669627.5604230007</v>
      </c>
      <c r="Z53" s="116">
        <f t="shared" si="262"/>
        <v>4315865.01</v>
      </c>
      <c r="AA53" s="561">
        <f t="shared" si="263"/>
        <v>182659.46</v>
      </c>
      <c r="AB53" s="561">
        <f t="shared" si="264"/>
        <v>4498524.47</v>
      </c>
      <c r="AC53" s="116">
        <f t="shared" si="265"/>
        <v>-171103.09042300098</v>
      </c>
      <c r="AD53" s="97">
        <f t="shared" si="266"/>
        <v>0.96335830037642201</v>
      </c>
      <c r="AE53" s="433">
        <f t="shared" si="267"/>
        <v>14817018.867866252</v>
      </c>
      <c r="AF53" s="496">
        <f t="shared" si="211"/>
        <v>10249443.300000001</v>
      </c>
      <c r="AG53" s="496">
        <f t="shared" ref="AG53:AI53" si="329">SUM(Z53,S53,S53,L53)</f>
        <v>13713227.18</v>
      </c>
      <c r="AH53" s="496">
        <f t="shared" si="329"/>
        <v>1931233.35</v>
      </c>
      <c r="AI53" s="496">
        <f t="shared" si="329"/>
        <v>15644460.530000001</v>
      </c>
      <c r="AJ53" s="496">
        <f t="shared" si="31"/>
        <v>5395017.2300000004</v>
      </c>
      <c r="AK53" s="596">
        <f t="shared" si="72"/>
        <v>1.5263717327945021</v>
      </c>
      <c r="AL53" s="423">
        <f t="shared" si="269"/>
        <v>2692116.4</v>
      </c>
      <c r="AM53" s="326">
        <f t="shared" si="34"/>
        <v>2346114.5</v>
      </c>
      <c r="AN53" s="123">
        <f t="shared" si="213"/>
        <v>603379.76</v>
      </c>
      <c r="AO53" s="148">
        <f t="shared" si="214"/>
        <v>2949494.26</v>
      </c>
      <c r="AP53" s="434">
        <f t="shared" si="270"/>
        <v>1615248.52</v>
      </c>
      <c r="AQ53" s="140">
        <f t="shared" si="38"/>
        <v>2550101.9899999998</v>
      </c>
      <c r="AR53" s="326">
        <f t="shared" si="215"/>
        <v>247619.27</v>
      </c>
      <c r="AS53" s="333">
        <f t="shared" si="216"/>
        <v>2797721.26</v>
      </c>
      <c r="AT53" s="125">
        <f t="shared" si="271"/>
        <v>2017952.66</v>
      </c>
      <c r="AU53" s="140">
        <f t="shared" si="42"/>
        <v>2473183.6900000004</v>
      </c>
      <c r="AV53" s="123">
        <f t="shared" si="217"/>
        <v>405278.05</v>
      </c>
      <c r="AW53" s="125">
        <f t="shared" si="218"/>
        <v>2878461.74</v>
      </c>
      <c r="AX53" s="122">
        <f t="shared" ref="AX53:AZ53" si="330">AU53+AQ53+AM53</f>
        <v>7369400.1799999997</v>
      </c>
      <c r="AY53" s="326">
        <f t="shared" si="330"/>
        <v>1256277.08</v>
      </c>
      <c r="AZ53" s="332">
        <f t="shared" si="330"/>
        <v>8625677.2599999998</v>
      </c>
      <c r="BA53" s="140">
        <f t="shared" ref="BA53:BC53" si="331">AX53+AG53</f>
        <v>21082627.359999999</v>
      </c>
      <c r="BB53" s="326">
        <f t="shared" si="331"/>
        <v>3187510.43</v>
      </c>
      <c r="BC53" s="435">
        <f t="shared" si="331"/>
        <v>24270137.789999999</v>
      </c>
      <c r="BD53" s="123">
        <f t="shared" si="274"/>
        <v>2471626.94</v>
      </c>
      <c r="BE53" s="123">
        <f t="shared" si="48"/>
        <v>2174661.12</v>
      </c>
      <c r="BF53" s="123">
        <f t="shared" si="221"/>
        <v>843846.8</v>
      </c>
      <c r="BG53" s="148">
        <f t="shared" si="222"/>
        <v>3018507.92</v>
      </c>
      <c r="BH53" s="123">
        <f t="shared" si="223"/>
        <v>2708040.54</v>
      </c>
      <c r="BI53" s="141">
        <f t="shared" si="52"/>
        <v>2662810.36</v>
      </c>
      <c r="BJ53" s="332">
        <f t="shared" si="224"/>
        <v>432811.15</v>
      </c>
      <c r="BK53" s="333">
        <f t="shared" si="225"/>
        <v>3095621.51</v>
      </c>
      <c r="BL53" s="326">
        <f t="shared" si="226"/>
        <v>3860165.4</v>
      </c>
      <c r="BM53" s="326">
        <f t="shared" si="56"/>
        <v>2216121.67</v>
      </c>
      <c r="BN53" s="326">
        <f t="shared" si="227"/>
        <v>692938.84</v>
      </c>
      <c r="BO53" s="332">
        <f t="shared" si="228"/>
        <v>2909060.51</v>
      </c>
      <c r="BP53" s="140">
        <f t="shared" ref="BP53:BR53" si="332">SUM(BM53,BI53,BE53)</f>
        <v>7053593.1499999994</v>
      </c>
      <c r="BQ53" s="326">
        <f t="shared" si="332"/>
        <v>1969596.79</v>
      </c>
      <c r="BR53" s="333">
        <f t="shared" si="332"/>
        <v>9023189.9399999995</v>
      </c>
      <c r="BS53" s="125">
        <f t="shared" si="230"/>
        <v>2459716.91</v>
      </c>
      <c r="BT53" s="140">
        <f t="shared" si="61"/>
        <v>4418361.57</v>
      </c>
      <c r="BU53" s="123">
        <f t="shared" si="231"/>
        <v>315761.42</v>
      </c>
      <c r="BV53" s="148">
        <f t="shared" si="232"/>
        <v>4734122.99</v>
      </c>
      <c r="BW53" s="123">
        <f t="shared" si="233"/>
        <v>3976477.65</v>
      </c>
      <c r="BX53" s="326">
        <f t="shared" si="234"/>
        <v>3813248.74</v>
      </c>
      <c r="BY53" s="297"/>
      <c r="BZ53" s="553"/>
      <c r="CF53" s="294"/>
      <c r="CG53" s="294"/>
      <c r="CR53" s="294"/>
    </row>
    <row r="54" spans="1:96" ht="13">
      <c r="A54" s="546">
        <f t="shared" si="202"/>
        <v>112014717</v>
      </c>
      <c r="B54" s="547">
        <f t="shared" si="203"/>
        <v>22</v>
      </c>
      <c r="C54" s="137">
        <f t="shared" si="204"/>
        <v>0.1</v>
      </c>
      <c r="D54" s="137">
        <f t="shared" si="205"/>
        <v>0.09</v>
      </c>
      <c r="E54" s="98">
        <f t="shared" si="206"/>
        <v>0</v>
      </c>
      <c r="F54" s="414">
        <f t="shared" si="207"/>
        <v>63</v>
      </c>
      <c r="G54" s="94">
        <f t="shared" si="208"/>
        <v>0.1</v>
      </c>
      <c r="H54" s="415">
        <f t="shared" si="209"/>
        <v>0.05</v>
      </c>
      <c r="I54" s="597" t="s">
        <v>443</v>
      </c>
      <c r="J54" s="420"/>
      <c r="K54" s="416"/>
      <c r="L54" s="113"/>
      <c r="M54" s="116"/>
      <c r="N54" s="117"/>
      <c r="O54" s="114"/>
      <c r="P54" s="413"/>
      <c r="Q54" s="100"/>
      <c r="R54" s="416"/>
      <c r="S54" s="113"/>
      <c r="T54" s="116"/>
      <c r="U54" s="117"/>
      <c r="V54" s="114"/>
      <c r="W54" s="413"/>
      <c r="X54" s="114"/>
      <c r="Y54" s="116"/>
      <c r="Z54" s="116"/>
      <c r="AA54" s="549"/>
      <c r="AB54" s="549"/>
      <c r="AC54" s="116"/>
      <c r="AD54" s="97"/>
      <c r="AE54" s="417"/>
      <c r="AF54" s="496"/>
      <c r="AG54" s="496"/>
      <c r="AH54" s="496"/>
      <c r="AI54" s="496"/>
      <c r="AJ54" s="496"/>
      <c r="AK54" s="596"/>
      <c r="AL54" s="423"/>
      <c r="AM54" s="326"/>
      <c r="AN54" s="123"/>
      <c r="AO54" s="148"/>
      <c r="AP54" s="434"/>
      <c r="AQ54" s="140"/>
      <c r="AR54" s="326"/>
      <c r="AS54" s="333"/>
      <c r="AT54" s="125"/>
      <c r="AU54" s="140" t="e">
        <f t="shared" si="42"/>
        <v>#VALUE!</v>
      </c>
      <c r="AV54" s="123" t="str">
        <f t="shared" si="217"/>
        <v/>
      </c>
      <c r="AW54" s="125">
        <f t="shared" si="218"/>
        <v>296252.87</v>
      </c>
      <c r="AX54" s="122" t="e">
        <f t="shared" ref="AX54:AZ54" si="333">AU54+AQ54+AM54</f>
        <v>#VALUE!</v>
      </c>
      <c r="AY54" s="326" t="e">
        <f t="shared" si="333"/>
        <v>#VALUE!</v>
      </c>
      <c r="AZ54" s="332">
        <f t="shared" si="333"/>
        <v>296252.87</v>
      </c>
      <c r="BA54" s="140" t="e">
        <f t="shared" ref="BA54:BC54" si="334">AX54+AG54</f>
        <v>#VALUE!</v>
      </c>
      <c r="BB54" s="326" t="e">
        <f t="shared" si="334"/>
        <v>#VALUE!</v>
      </c>
      <c r="BC54" s="435">
        <f t="shared" si="334"/>
        <v>296252.87</v>
      </c>
      <c r="BD54" s="123" t="str">
        <f t="shared" si="274"/>
        <v/>
      </c>
      <c r="BE54" s="123" t="e">
        <f t="shared" si="48"/>
        <v>#VALUE!</v>
      </c>
      <c r="BF54" s="123" t="str">
        <f t="shared" si="221"/>
        <v/>
      </c>
      <c r="BG54" s="148">
        <f t="shared" si="222"/>
        <v>0</v>
      </c>
      <c r="BH54" s="123" t="str">
        <f t="shared" si="223"/>
        <v/>
      </c>
      <c r="BI54" s="141" t="e">
        <f t="shared" si="52"/>
        <v>#VALUE!</v>
      </c>
      <c r="BJ54" s="332" t="str">
        <f t="shared" si="224"/>
        <v/>
      </c>
      <c r="BK54" s="333">
        <f t="shared" si="225"/>
        <v>0</v>
      </c>
      <c r="BL54" s="326" t="str">
        <f t="shared" si="226"/>
        <v/>
      </c>
      <c r="BM54" s="326" t="e">
        <f t="shared" si="56"/>
        <v>#VALUE!</v>
      </c>
      <c r="BN54" s="326" t="str">
        <f t="shared" si="227"/>
        <v/>
      </c>
      <c r="BO54" s="332">
        <f t="shared" si="228"/>
        <v>0</v>
      </c>
      <c r="BP54" s="140" t="e">
        <f t="shared" ref="BP54:BR54" si="335">SUM(BM54,BI54,BE54)</f>
        <v>#VALUE!</v>
      </c>
      <c r="BQ54" s="326">
        <f t="shared" si="335"/>
        <v>0</v>
      </c>
      <c r="BR54" s="333">
        <f t="shared" si="335"/>
        <v>0</v>
      </c>
      <c r="BS54" s="125" t="str">
        <f t="shared" si="230"/>
        <v/>
      </c>
      <c r="BT54" s="140" t="e">
        <f t="shared" si="61"/>
        <v>#VALUE!</v>
      </c>
      <c r="BU54" s="123" t="str">
        <f t="shared" si="231"/>
        <v/>
      </c>
      <c r="BV54" s="148">
        <f t="shared" si="232"/>
        <v>0</v>
      </c>
      <c r="BW54" s="123" t="str">
        <f t="shared" si="233"/>
        <v/>
      </c>
      <c r="BX54" s="326" t="str">
        <f t="shared" si="234"/>
        <v/>
      </c>
      <c r="BY54" s="297"/>
      <c r="BZ54" s="553"/>
      <c r="CF54" s="294"/>
      <c r="CG54" s="294"/>
      <c r="CR54" s="294"/>
    </row>
    <row r="55" spans="1:96" ht="13">
      <c r="A55" s="546">
        <f t="shared" si="202"/>
        <v>112014721</v>
      </c>
      <c r="B55" s="547">
        <f t="shared" si="203"/>
        <v>31</v>
      </c>
      <c r="C55" s="137">
        <f t="shared" si="204"/>
        <v>0.1</v>
      </c>
      <c r="D55" s="137">
        <f t="shared" si="205"/>
        <v>0.23</v>
      </c>
      <c r="E55" s="98">
        <f t="shared" si="206"/>
        <v>0</v>
      </c>
      <c r="F55" s="414">
        <f t="shared" si="207"/>
        <v>61</v>
      </c>
      <c r="G55" s="94">
        <f t="shared" si="208"/>
        <v>0.1</v>
      </c>
      <c r="H55" s="415">
        <f t="shared" si="209"/>
        <v>0.14000000000000001</v>
      </c>
      <c r="I55" s="598" t="s">
        <v>444</v>
      </c>
      <c r="J55" s="436"/>
      <c r="K55" s="141"/>
      <c r="L55" s="140"/>
      <c r="M55" s="116"/>
      <c r="N55" s="333"/>
      <c r="O55" s="123"/>
      <c r="P55" s="98"/>
      <c r="Q55" s="125"/>
      <c r="R55" s="141"/>
      <c r="S55" s="140"/>
      <c r="T55" s="326"/>
      <c r="U55" s="333"/>
      <c r="V55" s="123"/>
      <c r="W55" s="98"/>
      <c r="X55" s="123"/>
      <c r="Y55" s="326"/>
      <c r="Z55" s="116"/>
      <c r="AA55" s="561"/>
      <c r="AB55" s="561"/>
      <c r="AC55" s="116"/>
      <c r="AD55" s="97"/>
      <c r="AE55" s="433"/>
      <c r="AF55" s="496"/>
      <c r="AG55" s="496"/>
      <c r="AH55" s="496"/>
      <c r="AI55" s="496"/>
      <c r="AJ55" s="496"/>
      <c r="AK55" s="596"/>
      <c r="AL55" s="423"/>
      <c r="AM55" s="326"/>
      <c r="AN55" s="123"/>
      <c r="AO55" s="148"/>
      <c r="AP55" s="434"/>
      <c r="AQ55" s="140">
        <f t="shared" ref="AQ55:AQ96" si="336">AS55-AR55</f>
        <v>0</v>
      </c>
      <c r="AR55" s="326">
        <f t="shared" ref="AR55:AR96" si="337">IFERROR(VLOOKUP(I55,RETAALIM,7,FALSE),"")</f>
        <v>0</v>
      </c>
      <c r="AS55" s="333">
        <f t="shared" ref="AS55:AS96" si="338">IFERROR(VLOOKUP(I55,RETFC,7,FALSE),"")</f>
        <v>0</v>
      </c>
      <c r="AT55" s="125" t="str">
        <f t="shared" ref="AT55:AT60" si="339">IFERROR(VLOOKUP(I55,RETAMAR24,8,FALSE),"")</f>
        <v/>
      </c>
      <c r="AU55" s="140">
        <f t="shared" si="42"/>
        <v>0</v>
      </c>
      <c r="AV55" s="123">
        <f t="shared" si="217"/>
        <v>0</v>
      </c>
      <c r="AW55" s="125">
        <f t="shared" si="218"/>
        <v>0</v>
      </c>
      <c r="AX55" s="122">
        <f t="shared" ref="AX55:AZ55" si="340">AU55+AQ55+AM55</f>
        <v>0</v>
      </c>
      <c r="AY55" s="326">
        <f t="shared" si="340"/>
        <v>0</v>
      </c>
      <c r="AZ55" s="332">
        <f t="shared" si="340"/>
        <v>0</v>
      </c>
      <c r="BA55" s="140">
        <f t="shared" ref="BA55:BC55" si="341">AX55+AG55</f>
        <v>0</v>
      </c>
      <c r="BB55" s="326">
        <f t="shared" si="341"/>
        <v>0</v>
      </c>
      <c r="BC55" s="435">
        <f t="shared" si="341"/>
        <v>0</v>
      </c>
      <c r="BD55" s="123" t="str">
        <f t="shared" si="274"/>
        <v/>
      </c>
      <c r="BE55" s="123">
        <f t="shared" si="48"/>
        <v>0</v>
      </c>
      <c r="BF55" s="123">
        <f t="shared" si="221"/>
        <v>251403.4</v>
      </c>
      <c r="BG55" s="148">
        <f t="shared" si="222"/>
        <v>251403.4</v>
      </c>
      <c r="BH55" s="123" t="str">
        <f t="shared" si="223"/>
        <v/>
      </c>
      <c r="BI55" s="141">
        <f t="shared" si="52"/>
        <v>210497.40000000002</v>
      </c>
      <c r="BJ55" s="332">
        <f t="shared" si="224"/>
        <v>129787.5</v>
      </c>
      <c r="BK55" s="333">
        <f t="shared" si="225"/>
        <v>340284.9</v>
      </c>
      <c r="BL55" s="326" t="str">
        <f t="shared" si="226"/>
        <v/>
      </c>
      <c r="BM55" s="326">
        <f t="shared" si="56"/>
        <v>0</v>
      </c>
      <c r="BN55" s="326">
        <f t="shared" si="227"/>
        <v>199824.06</v>
      </c>
      <c r="BO55" s="332">
        <f t="shared" si="228"/>
        <v>199824.06</v>
      </c>
      <c r="BP55" s="140">
        <f t="shared" ref="BP55:BR55" si="342">SUM(BM55,BI55,BE55)</f>
        <v>210497.40000000002</v>
      </c>
      <c r="BQ55" s="326">
        <f t="shared" si="342"/>
        <v>581014.96</v>
      </c>
      <c r="BR55" s="333">
        <f t="shared" si="342"/>
        <v>791512.36</v>
      </c>
      <c r="BS55" s="125" t="str">
        <f t="shared" si="230"/>
        <v/>
      </c>
      <c r="BT55" s="140">
        <f t="shared" si="61"/>
        <v>0</v>
      </c>
      <c r="BU55" s="123">
        <f t="shared" si="231"/>
        <v>0</v>
      </c>
      <c r="BV55" s="148">
        <f t="shared" si="232"/>
        <v>0</v>
      </c>
      <c r="BW55" s="123" t="str">
        <f t="shared" si="233"/>
        <v/>
      </c>
      <c r="BX55" s="326" t="str">
        <f t="shared" si="234"/>
        <v/>
      </c>
      <c r="BY55" s="297"/>
      <c r="BZ55" s="553"/>
      <c r="CF55" s="294"/>
      <c r="CG55" s="294"/>
      <c r="CR55" s="294"/>
    </row>
    <row r="56" spans="1:96" ht="13">
      <c r="A56" s="546">
        <f t="shared" si="202"/>
        <v>112014734</v>
      </c>
      <c r="B56" s="547">
        <f t="shared" si="203"/>
        <v>31</v>
      </c>
      <c r="C56" s="137">
        <f t="shared" si="204"/>
        <v>0.1</v>
      </c>
      <c r="D56" s="137">
        <f t="shared" si="205"/>
        <v>0.23</v>
      </c>
      <c r="E56" s="98">
        <f t="shared" si="206"/>
        <v>0</v>
      </c>
      <c r="F56" s="414">
        <f t="shared" si="207"/>
        <v>61</v>
      </c>
      <c r="G56" s="94">
        <f t="shared" si="208"/>
        <v>0.1</v>
      </c>
      <c r="H56" s="415">
        <f t="shared" si="209"/>
        <v>0.14000000000000001</v>
      </c>
      <c r="I56" s="598" t="s">
        <v>445</v>
      </c>
      <c r="J56" s="436" t="str">
        <f>IFERROR(VLOOKUP(I56,RETAMAR24,3,FALSE),"")</f>
        <v/>
      </c>
      <c r="K56" s="141" t="e">
        <f t="shared" ref="K56:K57" si="343">(J56*1.601)*1.05</f>
        <v>#VALUE!</v>
      </c>
      <c r="L56" s="140">
        <f t="shared" ref="L56:L96" si="344">N56-M56</f>
        <v>0</v>
      </c>
      <c r="M56" s="116">
        <f t="shared" ref="M56:M96" si="345">IFERROR(VLOOKUP(I56,RETAALIM,3,FALSE),"")</f>
        <v>0</v>
      </c>
      <c r="N56" s="333">
        <f t="shared" ref="N56:N96" si="346">IFERROR(VLOOKUP(I56,RETFC,3,FALSE),"")</f>
        <v>0</v>
      </c>
      <c r="O56" s="123" t="e">
        <f t="shared" ref="O56:O60" si="347">N56-K56</f>
        <v>#VALUE!</v>
      </c>
      <c r="P56" s="98" t="str">
        <f t="shared" ref="P56:P60" si="348">IFERROR(N56/K56,"")</f>
        <v/>
      </c>
      <c r="Q56" s="125" t="str">
        <f>IFERROR(VLOOKUP(I56,RETAMAR24,4,FALSE),"")</f>
        <v/>
      </c>
      <c r="R56" s="141" t="e">
        <f t="shared" ref="R56:R57" si="349">(Q56*1.7245)*1.05</f>
        <v>#VALUE!</v>
      </c>
      <c r="S56" s="140">
        <f t="shared" ref="S56:S93" si="350">U56-T56</f>
        <v>0</v>
      </c>
      <c r="T56" s="326">
        <f t="shared" ref="T56:T93" si="351">IFERROR(VLOOKUP(I56,RETAALIM,4,FALSE),"")</f>
        <v>0</v>
      </c>
      <c r="U56" s="333">
        <f t="shared" ref="U56:U93" si="352">IFERROR(VLOOKUP(I56,RETFC,4,FALSE),"")</f>
        <v>0</v>
      </c>
      <c r="V56" s="123" t="e">
        <f t="shared" ref="V56:V60" si="353">U56-R56</f>
        <v>#VALUE!</v>
      </c>
      <c r="W56" s="98" t="str">
        <f>IFERROR(U56/R56,"")</f>
        <v/>
      </c>
      <c r="X56" s="123" t="str">
        <f>IFERROR(VLOOKUP(I56,RETAMAR24,5,FALSE),"")</f>
        <v/>
      </c>
      <c r="Y56" s="326" t="e">
        <f t="shared" ref="Y56:Y57" si="354">(X56*1.5955)*1.05</f>
        <v>#VALUE!</v>
      </c>
      <c r="Z56" s="116">
        <f t="shared" ref="Z56:Z93" si="355">AB56-AA56</f>
        <v>0</v>
      </c>
      <c r="AA56" s="561">
        <f t="shared" ref="AA56:AA93" si="356">IFERROR(VLOOKUP(I56,RETAALIM,5,FALSE),"")</f>
        <v>0</v>
      </c>
      <c r="AB56" s="561">
        <f t="shared" ref="AB56:AB93" si="357">IFERROR(VLOOKUP(I56,RETFC,5,FALSE),"")</f>
        <v>0</v>
      </c>
      <c r="AC56" s="116" t="e">
        <f t="shared" ref="AC56:AC60" si="358">AB56-Y56</f>
        <v>#VALUE!</v>
      </c>
      <c r="AD56" s="97" t="str">
        <f>IFERROR(AB56/Y56,"")</f>
        <v/>
      </c>
      <c r="AE56" s="433" t="e">
        <f t="shared" ref="AE56:AE60" si="359">SUM(K56,R56,Y56)</f>
        <v>#VALUE!</v>
      </c>
      <c r="AF56" s="550" t="str">
        <f t="shared" ref="AF56:AF96" si="360">IFERROR(VLOOKUP(I56,trim2024,2,FALSE),"0")</f>
        <v>0</v>
      </c>
      <c r="AG56" s="551">
        <f t="shared" ref="AG56:AI56" si="361">SUM(Z56,S56,S56,L56)</f>
        <v>0</v>
      </c>
      <c r="AH56" s="551">
        <f t="shared" si="361"/>
        <v>0</v>
      </c>
      <c r="AI56" s="551">
        <f t="shared" si="361"/>
        <v>0</v>
      </c>
      <c r="AJ56" s="551">
        <f t="shared" ref="AJ56:AJ96" si="362">AI56-AF56</f>
        <v>0</v>
      </c>
      <c r="AK56" s="552" t="str">
        <f t="shared" ref="AK56:AK96" si="363">IFERROR(AI56/AF56,"")</f>
        <v/>
      </c>
      <c r="AL56" s="419" t="str">
        <f>IFERROR(VLOOKUP(I56,RETAMAR24,6,FALSE),"")</f>
        <v/>
      </c>
      <c r="AM56" s="113">
        <f t="shared" ref="AM56:AM96" si="364">AO56-AN56</f>
        <v>0</v>
      </c>
      <c r="AN56" s="123">
        <f t="shared" ref="AN56:AN96" si="365">IFERROR(VLOOKUP(I56,RETAALIM,6,FALSE),"")</f>
        <v>0</v>
      </c>
      <c r="AO56" s="148">
        <f t="shared" ref="AO56:AO96" si="366">IFERROR(VLOOKUP(I56,RETFC,6,FALSE),"")</f>
        <v>0</v>
      </c>
      <c r="AP56" s="434" t="str">
        <f>IFERROR(VLOOKUP(I56,RETAMAR24,7,FALSE),"")</f>
        <v/>
      </c>
      <c r="AQ56" s="140">
        <f t="shared" si="336"/>
        <v>0</v>
      </c>
      <c r="AR56" s="326">
        <f t="shared" si="337"/>
        <v>0</v>
      </c>
      <c r="AS56" s="333">
        <f t="shared" si="338"/>
        <v>0</v>
      </c>
      <c r="AT56" s="125" t="str">
        <f t="shared" si="339"/>
        <v/>
      </c>
      <c r="AU56" s="140">
        <f t="shared" si="42"/>
        <v>0</v>
      </c>
      <c r="AV56" s="123">
        <f t="shared" si="217"/>
        <v>0</v>
      </c>
      <c r="AW56" s="125">
        <f t="shared" si="218"/>
        <v>0</v>
      </c>
      <c r="AX56" s="122">
        <f t="shared" ref="AX56:AZ56" si="367">AU56+AQ56+AM56</f>
        <v>0</v>
      </c>
      <c r="AY56" s="326">
        <f t="shared" si="367"/>
        <v>0</v>
      </c>
      <c r="AZ56" s="332">
        <f t="shared" si="367"/>
        <v>0</v>
      </c>
      <c r="BA56" s="140">
        <f t="shared" ref="BA56:BC56" si="368">AX56+AG56</f>
        <v>0</v>
      </c>
      <c r="BB56" s="326">
        <f t="shared" si="368"/>
        <v>0</v>
      </c>
      <c r="BC56" s="435">
        <f t="shared" si="368"/>
        <v>0</v>
      </c>
      <c r="BD56" s="123" t="str">
        <f t="shared" si="274"/>
        <v/>
      </c>
      <c r="BE56" s="123">
        <f t="shared" si="48"/>
        <v>169034.22</v>
      </c>
      <c r="BF56" s="123">
        <f t="shared" si="221"/>
        <v>218577.85</v>
      </c>
      <c r="BG56" s="148">
        <f t="shared" si="222"/>
        <v>387612.07</v>
      </c>
      <c r="BH56" s="123" t="str">
        <f t="shared" si="223"/>
        <v/>
      </c>
      <c r="BI56" s="141">
        <f t="shared" si="52"/>
        <v>145583.92000000004</v>
      </c>
      <c r="BJ56" s="332">
        <f t="shared" si="224"/>
        <v>340332.11</v>
      </c>
      <c r="BK56" s="333">
        <f t="shared" si="225"/>
        <v>485916.03</v>
      </c>
      <c r="BL56" s="326" t="str">
        <f t="shared" si="226"/>
        <v/>
      </c>
      <c r="BM56" s="326">
        <f t="shared" si="56"/>
        <v>0</v>
      </c>
      <c r="BN56" s="326">
        <f t="shared" si="227"/>
        <v>81914.61</v>
      </c>
      <c r="BO56" s="332">
        <f t="shared" si="228"/>
        <v>81914.61</v>
      </c>
      <c r="BP56" s="140">
        <f t="shared" ref="BP56:BR56" si="369">SUM(BM56,BI56,BE56)</f>
        <v>314618.14</v>
      </c>
      <c r="BQ56" s="326">
        <f t="shared" si="369"/>
        <v>640824.56999999995</v>
      </c>
      <c r="BR56" s="333">
        <f t="shared" si="369"/>
        <v>955442.71</v>
      </c>
      <c r="BS56" s="125" t="str">
        <f t="shared" si="230"/>
        <v/>
      </c>
      <c r="BT56" s="140">
        <f t="shared" si="61"/>
        <v>0</v>
      </c>
      <c r="BU56" s="123">
        <f t="shared" si="231"/>
        <v>485576.9</v>
      </c>
      <c r="BV56" s="148">
        <f t="shared" si="232"/>
        <v>485576.9</v>
      </c>
      <c r="BW56" s="123" t="str">
        <f t="shared" si="233"/>
        <v/>
      </c>
      <c r="BX56" s="326" t="str">
        <f t="shared" si="234"/>
        <v/>
      </c>
      <c r="BY56" s="297"/>
      <c r="BZ56" s="553"/>
      <c r="CF56" s="294"/>
      <c r="CG56" s="294"/>
      <c r="CR56" s="294"/>
    </row>
    <row r="57" spans="1:96" ht="13">
      <c r="A57" s="546">
        <f t="shared" si="202"/>
        <v>112014105</v>
      </c>
      <c r="B57" s="547">
        <f t="shared" si="203"/>
        <v>29</v>
      </c>
      <c r="C57" s="94">
        <f t="shared" si="204"/>
        <v>0.05</v>
      </c>
      <c r="D57" s="94">
        <f t="shared" si="205"/>
        <v>0.2</v>
      </c>
      <c r="E57" s="413">
        <f t="shared" si="206"/>
        <v>0</v>
      </c>
      <c r="F57" s="414">
        <f t="shared" si="207"/>
        <v>66</v>
      </c>
      <c r="G57" s="94">
        <f t="shared" si="208"/>
        <v>0.05</v>
      </c>
      <c r="H57" s="415">
        <f t="shared" si="209"/>
        <v>0.11</v>
      </c>
      <c r="I57" s="548" t="s">
        <v>446</v>
      </c>
      <c r="J57" s="420">
        <f>IFERROR(VLOOKUP(I57,RETAMAR24,3,FALSE),"")</f>
        <v>1139020.3</v>
      </c>
      <c r="K57" s="416">
        <f t="shared" si="343"/>
        <v>1914750.075315</v>
      </c>
      <c r="L57" s="113">
        <f t="shared" si="344"/>
        <v>745518.85000000009</v>
      </c>
      <c r="M57" s="116">
        <f t="shared" si="345"/>
        <v>1070119.73</v>
      </c>
      <c r="N57" s="117">
        <f t="shared" si="346"/>
        <v>1815638.58</v>
      </c>
      <c r="O57" s="114">
        <f t="shared" si="347"/>
        <v>-99111.495314999949</v>
      </c>
      <c r="P57" s="413">
        <f t="shared" si="348"/>
        <v>0.94823789454678842</v>
      </c>
      <c r="Q57" s="100">
        <f>IFERROR(VLOOKUP(I57,RETAMAR24,4,FALSE),"")</f>
        <v>1008001.88</v>
      </c>
      <c r="R57" s="416">
        <f t="shared" si="349"/>
        <v>1825214.204163</v>
      </c>
      <c r="S57" s="113">
        <f t="shared" si="350"/>
        <v>1030328.3299999998</v>
      </c>
      <c r="T57" s="116">
        <f t="shared" si="351"/>
        <v>871585.31</v>
      </c>
      <c r="U57" s="117">
        <f t="shared" si="352"/>
        <v>1901913.64</v>
      </c>
      <c r="V57" s="114">
        <f t="shared" si="353"/>
        <v>76699.43583699991</v>
      </c>
      <c r="W57" s="413">
        <f t="shared" ref="W57:W60" si="370">U57/R57</f>
        <v>1.042022155899325</v>
      </c>
      <c r="X57" s="114">
        <f>IFERROR(VLOOKUP(I57,RETAMAR24,5,FALSE),"")</f>
        <v>1095700.07</v>
      </c>
      <c r="Y57" s="116">
        <f t="shared" si="354"/>
        <v>1835598.93476925</v>
      </c>
      <c r="Z57" s="116">
        <f t="shared" si="355"/>
        <v>706638.84</v>
      </c>
      <c r="AA57" s="549">
        <f t="shared" si="356"/>
        <v>641158.43000000005</v>
      </c>
      <c r="AB57" s="549">
        <f t="shared" si="357"/>
        <v>1347797.27</v>
      </c>
      <c r="AC57" s="116">
        <f t="shared" si="358"/>
        <v>-487801.66476924997</v>
      </c>
      <c r="AD57" s="97">
        <f t="shared" ref="AD57:AD60" si="371">AB57/Y57</f>
        <v>0.73425476800542455</v>
      </c>
      <c r="AE57" s="417">
        <f t="shared" si="359"/>
        <v>5575563.21424725</v>
      </c>
      <c r="AF57" s="550">
        <f t="shared" si="360"/>
        <v>7057402.8399999999</v>
      </c>
      <c r="AG57" s="551">
        <f t="shared" ref="AG57:AI57" si="372">SUM(Z57,S57,S57,L57)</f>
        <v>3512814.35</v>
      </c>
      <c r="AH57" s="551">
        <f t="shared" si="372"/>
        <v>3454448.7800000003</v>
      </c>
      <c r="AI57" s="551">
        <f t="shared" si="372"/>
        <v>6967263.1299999999</v>
      </c>
      <c r="AJ57" s="551">
        <f t="shared" si="362"/>
        <v>-90139.709999999963</v>
      </c>
      <c r="AK57" s="552">
        <f t="shared" si="363"/>
        <v>0.98722763712890171</v>
      </c>
      <c r="AL57" s="434">
        <f>IFERROR(VLOOKUP(I57,RETAMAR24,6,FALSE),"")</f>
        <v>559355.53</v>
      </c>
      <c r="AM57" s="140">
        <f t="shared" si="364"/>
        <v>682176.37000000011</v>
      </c>
      <c r="AN57" s="123">
        <f t="shared" si="365"/>
        <v>893236.72</v>
      </c>
      <c r="AO57" s="148">
        <f t="shared" si="366"/>
        <v>1575413.09</v>
      </c>
      <c r="AP57" s="434">
        <f>IFERROR(VLOOKUP(I57,RETAMAR24,7,FALSE),"")</f>
        <v>485720.61</v>
      </c>
      <c r="AQ57" s="140">
        <f t="shared" si="336"/>
        <v>510291.53</v>
      </c>
      <c r="AR57" s="326">
        <f t="shared" si="337"/>
        <v>1161832.02</v>
      </c>
      <c r="AS57" s="333">
        <f t="shared" si="338"/>
        <v>1672123.55</v>
      </c>
      <c r="AT57" s="125">
        <f t="shared" si="339"/>
        <v>1035669.23</v>
      </c>
      <c r="AU57" s="140">
        <f t="shared" si="42"/>
        <v>563082.67999999993</v>
      </c>
      <c r="AV57" s="123">
        <f t="shared" si="217"/>
        <v>1409056.06</v>
      </c>
      <c r="AW57" s="125">
        <f t="shared" si="218"/>
        <v>1972138.74</v>
      </c>
      <c r="AX57" s="122">
        <f t="shared" ref="AX57:AZ57" si="373">AU57+AQ57+AM57</f>
        <v>1755550.58</v>
      </c>
      <c r="AY57" s="326">
        <f t="shared" si="373"/>
        <v>3464124.8</v>
      </c>
      <c r="AZ57" s="332">
        <f t="shared" si="373"/>
        <v>5219675.38</v>
      </c>
      <c r="BA57" s="140">
        <f t="shared" ref="BA57:BC57" si="374">AX57+AG57</f>
        <v>5268364.93</v>
      </c>
      <c r="BB57" s="326">
        <f t="shared" si="374"/>
        <v>6918573.5800000001</v>
      </c>
      <c r="BC57" s="435">
        <f t="shared" si="374"/>
        <v>12186938.51</v>
      </c>
      <c r="BD57" s="123">
        <f t="shared" si="274"/>
        <v>1716244.3</v>
      </c>
      <c r="BE57" s="123">
        <f t="shared" si="48"/>
        <v>522526.41000000003</v>
      </c>
      <c r="BF57" s="123">
        <f t="shared" si="221"/>
        <v>608257.12</v>
      </c>
      <c r="BG57" s="148">
        <f t="shared" si="222"/>
        <v>1130783.53</v>
      </c>
      <c r="BH57" s="123">
        <f t="shared" si="223"/>
        <v>813636.25</v>
      </c>
      <c r="BI57" s="141">
        <f t="shared" si="52"/>
        <v>529738.96</v>
      </c>
      <c r="BJ57" s="332">
        <f t="shared" si="224"/>
        <v>1270966.72</v>
      </c>
      <c r="BK57" s="333">
        <f t="shared" si="225"/>
        <v>1800705.68</v>
      </c>
      <c r="BL57" s="326">
        <f t="shared" si="226"/>
        <v>738714.82</v>
      </c>
      <c r="BM57" s="326">
        <f t="shared" si="56"/>
        <v>894250.56</v>
      </c>
      <c r="BN57" s="326">
        <f t="shared" si="227"/>
        <v>272123.2</v>
      </c>
      <c r="BO57" s="332">
        <f t="shared" si="228"/>
        <v>1166373.76</v>
      </c>
      <c r="BP57" s="140">
        <f t="shared" ref="BP57:BR57" si="375">SUM(BM57,BI57,BE57)</f>
        <v>1946515.9300000002</v>
      </c>
      <c r="BQ57" s="326">
        <f t="shared" si="375"/>
        <v>2151347.04</v>
      </c>
      <c r="BR57" s="333">
        <f t="shared" si="375"/>
        <v>4097862.9699999997</v>
      </c>
      <c r="BS57" s="125">
        <f t="shared" si="230"/>
        <v>3677545.1</v>
      </c>
      <c r="BT57" s="140">
        <f t="shared" si="61"/>
        <v>872308.55</v>
      </c>
      <c r="BU57" s="123">
        <f t="shared" si="231"/>
        <v>858620.44</v>
      </c>
      <c r="BV57" s="148">
        <f t="shared" si="232"/>
        <v>1730928.99</v>
      </c>
      <c r="BW57" s="123">
        <f t="shared" si="233"/>
        <v>1580115.1</v>
      </c>
      <c r="BX57" s="326">
        <f t="shared" si="234"/>
        <v>1799742.64</v>
      </c>
      <c r="BY57" s="297"/>
      <c r="BZ57" s="553"/>
      <c r="CF57" s="294"/>
      <c r="CG57" s="294"/>
      <c r="CR57" s="294"/>
    </row>
    <row r="58" spans="1:96" ht="13">
      <c r="A58" s="546">
        <f t="shared" si="202"/>
        <v>112010434</v>
      </c>
      <c r="B58" s="547">
        <f t="shared" si="203"/>
        <v>29</v>
      </c>
      <c r="C58" s="137">
        <f t="shared" si="204"/>
        <v>0.05</v>
      </c>
      <c r="D58" s="137">
        <f t="shared" si="205"/>
        <v>0.2</v>
      </c>
      <c r="E58" s="98">
        <f t="shared" si="206"/>
        <v>0</v>
      </c>
      <c r="F58" s="414">
        <f t="shared" si="207"/>
        <v>66</v>
      </c>
      <c r="G58" s="94">
        <f t="shared" si="208"/>
        <v>0.05</v>
      </c>
      <c r="H58" s="415">
        <f t="shared" si="209"/>
        <v>0.11</v>
      </c>
      <c r="I58" s="589" t="s">
        <v>447</v>
      </c>
      <c r="J58" s="436">
        <f>IFERROR(VLOOKUP(I58,RETAMAR24,3,FALSE),"")</f>
        <v>357268.7</v>
      </c>
      <c r="K58" s="248">
        <v>1500000</v>
      </c>
      <c r="L58" s="140" t="e">
        <f t="shared" si="344"/>
        <v>#VALUE!</v>
      </c>
      <c r="M58" s="116" t="str">
        <f t="shared" si="345"/>
        <v/>
      </c>
      <c r="N58" s="333">
        <f t="shared" si="346"/>
        <v>199892.35</v>
      </c>
      <c r="O58" s="123">
        <f t="shared" si="347"/>
        <v>-1300107.6499999999</v>
      </c>
      <c r="P58" s="98">
        <f t="shared" si="348"/>
        <v>0.13326156666666666</v>
      </c>
      <c r="Q58" s="125">
        <f>IFERROR(VLOOKUP(I58,RETAMAR24,4,FALSE),"")</f>
        <v>226108.79999999999</v>
      </c>
      <c r="R58" s="248">
        <v>1500000</v>
      </c>
      <c r="S58" s="140" t="e">
        <f t="shared" si="350"/>
        <v>#VALUE!</v>
      </c>
      <c r="T58" s="326" t="str">
        <f t="shared" si="351"/>
        <v/>
      </c>
      <c r="U58" s="333">
        <f t="shared" si="352"/>
        <v>216235.46</v>
      </c>
      <c r="V58" s="123">
        <f t="shared" si="353"/>
        <v>-1283764.54</v>
      </c>
      <c r="W58" s="98">
        <f t="shared" si="370"/>
        <v>0.14415697333333333</v>
      </c>
      <c r="X58" s="123">
        <f>IFERROR(VLOOKUP(I58,RETAMAR24,5,FALSE),"")</f>
        <v>95280.1</v>
      </c>
      <c r="Y58" s="599">
        <v>1500000</v>
      </c>
      <c r="Z58" s="116" t="e">
        <f t="shared" si="355"/>
        <v>#VALUE!</v>
      </c>
      <c r="AA58" s="561" t="str">
        <f t="shared" si="356"/>
        <v/>
      </c>
      <c r="AB58" s="561">
        <f t="shared" si="357"/>
        <v>153804.35</v>
      </c>
      <c r="AC58" s="116">
        <f t="shared" si="358"/>
        <v>-1346195.65</v>
      </c>
      <c r="AD58" s="97">
        <f t="shared" si="371"/>
        <v>0.10253623333333334</v>
      </c>
      <c r="AE58" s="433">
        <f t="shared" si="359"/>
        <v>4500000</v>
      </c>
      <c r="AF58" s="550">
        <f t="shared" si="360"/>
        <v>463425.35</v>
      </c>
      <c r="AG58" s="496" t="e">
        <f t="shared" ref="AG58:AI58" si="376">SUM(Z58,S58,S58,L58)</f>
        <v>#VALUE!</v>
      </c>
      <c r="AH58" s="496">
        <f t="shared" si="376"/>
        <v>0</v>
      </c>
      <c r="AI58" s="496">
        <f t="shared" si="376"/>
        <v>786167.62</v>
      </c>
      <c r="AJ58" s="551">
        <f t="shared" si="362"/>
        <v>322742.27</v>
      </c>
      <c r="AK58" s="552">
        <f t="shared" si="363"/>
        <v>1.6964277418142966</v>
      </c>
      <c r="AL58" s="434">
        <f>IFERROR(VLOOKUP(I58,RETAMAR24,6,FALSE),"")</f>
        <v>188853.21</v>
      </c>
      <c r="AM58" s="140" t="e">
        <f t="shared" si="364"/>
        <v>#VALUE!</v>
      </c>
      <c r="AN58" s="123" t="str">
        <f t="shared" si="365"/>
        <v/>
      </c>
      <c r="AO58" s="148">
        <f t="shared" si="366"/>
        <v>150969.32999999999</v>
      </c>
      <c r="AP58" s="434">
        <f>IFERROR(VLOOKUP(I58,RETAMAR24,7,FALSE),"")</f>
        <v>258793.52</v>
      </c>
      <c r="AQ58" s="140" t="e">
        <f t="shared" si="336"/>
        <v>#VALUE!</v>
      </c>
      <c r="AR58" s="326" t="str">
        <f t="shared" si="337"/>
        <v/>
      </c>
      <c r="AS58" s="333">
        <f t="shared" si="338"/>
        <v>58316.7</v>
      </c>
      <c r="AT58" s="125">
        <f t="shared" si="339"/>
        <v>295816.01</v>
      </c>
      <c r="AU58" s="140" t="e">
        <f t="shared" si="42"/>
        <v>#VALUE!</v>
      </c>
      <c r="AV58" s="123" t="str">
        <f t="shared" si="217"/>
        <v/>
      </c>
      <c r="AW58" s="125">
        <f t="shared" si="218"/>
        <v>0</v>
      </c>
      <c r="AX58" s="122" t="e">
        <f t="shared" ref="AX58:AZ58" si="377">AU58+AQ58+AM58</f>
        <v>#VALUE!</v>
      </c>
      <c r="AY58" s="326" t="e">
        <f t="shared" si="377"/>
        <v>#VALUE!</v>
      </c>
      <c r="AZ58" s="332">
        <f t="shared" si="377"/>
        <v>209286.02999999997</v>
      </c>
      <c r="BA58" s="140" t="e">
        <f t="shared" ref="BA58:BC58" si="378">AX58+AG58</f>
        <v>#VALUE!</v>
      </c>
      <c r="BB58" s="326" t="e">
        <f t="shared" si="378"/>
        <v>#VALUE!</v>
      </c>
      <c r="BC58" s="435">
        <f t="shared" si="378"/>
        <v>995453.64999999991</v>
      </c>
      <c r="BD58" s="123">
        <f t="shared" si="274"/>
        <v>67792.429999999993</v>
      </c>
      <c r="BE58" s="123" t="e">
        <f t="shared" si="48"/>
        <v>#VALUE!</v>
      </c>
      <c r="BF58" s="123" t="str">
        <f t="shared" si="221"/>
        <v/>
      </c>
      <c r="BG58" s="148">
        <f t="shared" si="222"/>
        <v>80773.279999999999</v>
      </c>
      <c r="BH58" s="123">
        <f t="shared" si="223"/>
        <v>233106.94</v>
      </c>
      <c r="BI58" s="141" t="e">
        <f t="shared" si="52"/>
        <v>#VALUE!</v>
      </c>
      <c r="BJ58" s="332" t="str">
        <f t="shared" si="224"/>
        <v/>
      </c>
      <c r="BK58" s="333">
        <f t="shared" si="225"/>
        <v>0</v>
      </c>
      <c r="BL58" s="326">
        <f t="shared" si="226"/>
        <v>8871.3700000000008</v>
      </c>
      <c r="BM58" s="326" t="e">
        <f t="shared" si="56"/>
        <v>#VALUE!</v>
      </c>
      <c r="BN58" s="326" t="str">
        <f t="shared" si="227"/>
        <v/>
      </c>
      <c r="BO58" s="332">
        <f t="shared" si="228"/>
        <v>23584.7</v>
      </c>
      <c r="BP58" s="140" t="e">
        <f t="shared" ref="BP58:BR58" si="379">SUM(BM58,BI58,BE58)</f>
        <v>#VALUE!</v>
      </c>
      <c r="BQ58" s="326">
        <f t="shared" si="379"/>
        <v>0</v>
      </c>
      <c r="BR58" s="333">
        <f t="shared" si="379"/>
        <v>104357.98</v>
      </c>
      <c r="BS58" s="125">
        <f t="shared" si="230"/>
        <v>120079.89</v>
      </c>
      <c r="BT58" s="140" t="e">
        <f t="shared" si="61"/>
        <v>#VALUE!</v>
      </c>
      <c r="BU58" s="123" t="str">
        <f t="shared" si="231"/>
        <v/>
      </c>
      <c r="BV58" s="148">
        <f t="shared" si="232"/>
        <v>0</v>
      </c>
      <c r="BW58" s="123">
        <f t="shared" si="233"/>
        <v>85750.34</v>
      </c>
      <c r="BX58" s="326">
        <f t="shared" si="234"/>
        <v>257595.12</v>
      </c>
      <c r="BY58" s="297"/>
      <c r="BZ58" s="553"/>
      <c r="CF58" s="294"/>
      <c r="CG58" s="294"/>
      <c r="CR58" s="294"/>
    </row>
    <row r="59" spans="1:96" ht="13">
      <c r="A59" s="546">
        <f t="shared" si="202"/>
        <v>112013030</v>
      </c>
      <c r="B59" s="547">
        <f t="shared" si="203"/>
        <v>20</v>
      </c>
      <c r="C59" s="137">
        <f t="shared" si="204"/>
        <v>0.05</v>
      </c>
      <c r="D59" s="137">
        <f t="shared" si="205"/>
        <v>0.09</v>
      </c>
      <c r="E59" s="98">
        <f t="shared" si="206"/>
        <v>0</v>
      </c>
      <c r="F59" s="414">
        <f t="shared" si="207"/>
        <v>67</v>
      </c>
      <c r="G59" s="94">
        <f t="shared" si="208"/>
        <v>0.05</v>
      </c>
      <c r="H59" s="415">
        <f t="shared" si="209"/>
        <v>0.05</v>
      </c>
      <c r="I59" s="568" t="s">
        <v>448</v>
      </c>
      <c r="J59" s="436">
        <f>IFERROR(VLOOKUP(I59,RETAMAR24,3,FALSE),"")</f>
        <v>875034.21</v>
      </c>
      <c r="K59" s="248">
        <v>1500000</v>
      </c>
      <c r="L59" s="140" t="e">
        <f t="shared" si="344"/>
        <v>#VALUE!</v>
      </c>
      <c r="M59" s="116" t="str">
        <f t="shared" si="345"/>
        <v/>
      </c>
      <c r="N59" s="333">
        <f t="shared" si="346"/>
        <v>898021.8</v>
      </c>
      <c r="O59" s="123">
        <f t="shared" si="347"/>
        <v>-601978.19999999995</v>
      </c>
      <c r="P59" s="98">
        <f t="shared" si="348"/>
        <v>0.59868120000000002</v>
      </c>
      <c r="Q59" s="125">
        <f>IFERROR(VLOOKUP(I59,RETAMAR24,4,FALSE),"")</f>
        <v>189441.22</v>
      </c>
      <c r="R59" s="248">
        <v>1500000</v>
      </c>
      <c r="S59" s="140" t="e">
        <f t="shared" si="350"/>
        <v>#VALUE!</v>
      </c>
      <c r="T59" s="326" t="str">
        <f t="shared" si="351"/>
        <v/>
      </c>
      <c r="U59" s="333">
        <f t="shared" si="352"/>
        <v>384994.15</v>
      </c>
      <c r="V59" s="123">
        <f t="shared" si="353"/>
        <v>-1115005.8500000001</v>
      </c>
      <c r="W59" s="98">
        <f t="shared" si="370"/>
        <v>0.25666276666666671</v>
      </c>
      <c r="X59" s="123">
        <f>IFERROR(VLOOKUP(I59,RETAMAR24,5,FALSE),"")</f>
        <v>378865.69</v>
      </c>
      <c r="Y59" s="599">
        <v>1500000</v>
      </c>
      <c r="Z59" s="116" t="e">
        <f t="shared" si="355"/>
        <v>#VALUE!</v>
      </c>
      <c r="AA59" s="561" t="str">
        <f t="shared" si="356"/>
        <v/>
      </c>
      <c r="AB59" s="561">
        <f t="shared" si="357"/>
        <v>513965.85</v>
      </c>
      <c r="AC59" s="116">
        <f t="shared" si="358"/>
        <v>-986034.15</v>
      </c>
      <c r="AD59" s="97">
        <f t="shared" si="371"/>
        <v>0.3426439</v>
      </c>
      <c r="AE59" s="433">
        <f t="shared" si="359"/>
        <v>4500000</v>
      </c>
      <c r="AF59" s="550">
        <f t="shared" si="360"/>
        <v>2952927.97</v>
      </c>
      <c r="AG59" s="496" t="e">
        <f t="shared" ref="AG59:AI59" si="380">SUM(Z59,S59,S59,L59)</f>
        <v>#VALUE!</v>
      </c>
      <c r="AH59" s="496">
        <f t="shared" si="380"/>
        <v>0</v>
      </c>
      <c r="AI59" s="496">
        <f t="shared" si="380"/>
        <v>2181975.9500000002</v>
      </c>
      <c r="AJ59" s="551">
        <f t="shared" si="362"/>
        <v>-770952.02</v>
      </c>
      <c r="AK59" s="552">
        <f t="shared" si="363"/>
        <v>0.73891946304399703</v>
      </c>
      <c r="AL59" s="434">
        <f>IFERROR(VLOOKUP(I59,RETAMAR24,6,FALSE),"")</f>
        <v>204160.59</v>
      </c>
      <c r="AM59" s="140" t="e">
        <f t="shared" si="364"/>
        <v>#VALUE!</v>
      </c>
      <c r="AN59" s="123" t="str">
        <f t="shared" si="365"/>
        <v/>
      </c>
      <c r="AO59" s="148">
        <f t="shared" si="366"/>
        <v>309385.08</v>
      </c>
      <c r="AP59" s="434">
        <f>IFERROR(VLOOKUP(I59,RETAMAR24,7,FALSE),"")</f>
        <v>208098.87</v>
      </c>
      <c r="AQ59" s="140" t="e">
        <f t="shared" si="336"/>
        <v>#VALUE!</v>
      </c>
      <c r="AR59" s="326" t="str">
        <f t="shared" si="337"/>
        <v/>
      </c>
      <c r="AS59" s="333">
        <f t="shared" si="338"/>
        <v>1949194.46</v>
      </c>
      <c r="AT59" s="125">
        <f t="shared" si="339"/>
        <v>619743.04</v>
      </c>
      <c r="AU59" s="140" t="e">
        <f t="shared" si="42"/>
        <v>#VALUE!</v>
      </c>
      <c r="AV59" s="123" t="str">
        <f t="shared" si="217"/>
        <v/>
      </c>
      <c r="AW59" s="125">
        <f t="shared" si="218"/>
        <v>634974.24</v>
      </c>
      <c r="AX59" s="122" t="e">
        <f t="shared" ref="AX59:AZ59" si="381">AU59+AQ59+AM59</f>
        <v>#VALUE!</v>
      </c>
      <c r="AY59" s="326" t="e">
        <f t="shared" si="381"/>
        <v>#VALUE!</v>
      </c>
      <c r="AZ59" s="332">
        <f t="shared" si="381"/>
        <v>2893553.7800000003</v>
      </c>
      <c r="BA59" s="140" t="e">
        <f t="shared" ref="BA59:BC59" si="382">AX59+AG59</f>
        <v>#VALUE!</v>
      </c>
      <c r="BB59" s="326" t="e">
        <f t="shared" si="382"/>
        <v>#VALUE!</v>
      </c>
      <c r="BC59" s="435">
        <f t="shared" si="382"/>
        <v>5075529.7300000004</v>
      </c>
      <c r="BD59" s="123">
        <f t="shared" si="274"/>
        <v>121402.48</v>
      </c>
      <c r="BE59" s="123" t="e">
        <f t="shared" si="48"/>
        <v>#VALUE!</v>
      </c>
      <c r="BF59" s="123" t="str">
        <f t="shared" si="221"/>
        <v/>
      </c>
      <c r="BG59" s="148">
        <f t="shared" si="222"/>
        <v>131579.34</v>
      </c>
      <c r="BH59" s="123">
        <f t="shared" si="223"/>
        <v>400864.92</v>
      </c>
      <c r="BI59" s="141" t="e">
        <f t="shared" si="52"/>
        <v>#VALUE!</v>
      </c>
      <c r="BJ59" s="332" t="str">
        <f t="shared" si="224"/>
        <v/>
      </c>
      <c r="BK59" s="333">
        <f t="shared" si="225"/>
        <v>0</v>
      </c>
      <c r="BL59" s="326">
        <f t="shared" si="226"/>
        <v>226694.27</v>
      </c>
      <c r="BM59" s="326" t="e">
        <f t="shared" si="56"/>
        <v>#VALUE!</v>
      </c>
      <c r="BN59" s="326" t="str">
        <f t="shared" si="227"/>
        <v/>
      </c>
      <c r="BO59" s="332">
        <f t="shared" si="228"/>
        <v>191596.44</v>
      </c>
      <c r="BP59" s="140" t="e">
        <f t="shared" ref="BP59:BR59" si="383">SUM(BM59,BI59,BE59)</f>
        <v>#VALUE!</v>
      </c>
      <c r="BQ59" s="326">
        <f t="shared" si="383"/>
        <v>0</v>
      </c>
      <c r="BR59" s="333">
        <f t="shared" si="383"/>
        <v>323175.78000000003</v>
      </c>
      <c r="BS59" s="125">
        <f t="shared" si="230"/>
        <v>1261739.8</v>
      </c>
      <c r="BT59" s="140" t="e">
        <f t="shared" si="61"/>
        <v>#VALUE!</v>
      </c>
      <c r="BU59" s="123" t="str">
        <f t="shared" si="231"/>
        <v/>
      </c>
      <c r="BV59" s="148">
        <f t="shared" si="232"/>
        <v>1273118.68</v>
      </c>
      <c r="BW59" s="123">
        <f t="shared" si="233"/>
        <v>733364.39</v>
      </c>
      <c r="BX59" s="326">
        <f t="shared" si="234"/>
        <v>957823.78</v>
      </c>
      <c r="BY59" s="297"/>
      <c r="BZ59" s="553"/>
      <c r="CF59" s="294"/>
      <c r="CG59" s="294"/>
      <c r="CR59" s="294"/>
    </row>
    <row r="60" spans="1:96" ht="13">
      <c r="A60" s="546">
        <f t="shared" si="202"/>
        <v>112010863</v>
      </c>
      <c r="B60" s="547">
        <f t="shared" si="203"/>
        <v>20</v>
      </c>
      <c r="C60" s="137">
        <f t="shared" si="204"/>
        <v>0.05</v>
      </c>
      <c r="D60" s="137">
        <f t="shared" si="205"/>
        <v>0.09</v>
      </c>
      <c r="E60" s="98">
        <f t="shared" si="206"/>
        <v>0</v>
      </c>
      <c r="F60" s="414">
        <f t="shared" si="207"/>
        <v>67</v>
      </c>
      <c r="G60" s="94">
        <f t="shared" si="208"/>
        <v>0.05</v>
      </c>
      <c r="H60" s="415">
        <f t="shared" si="209"/>
        <v>0.05</v>
      </c>
      <c r="I60" s="589" t="s">
        <v>449</v>
      </c>
      <c r="J60" s="436">
        <f>IFERROR(VLOOKUP(I60,RETAMAR24,3,FALSE),"")</f>
        <v>237684.96</v>
      </c>
      <c r="K60" s="248">
        <v>1500000</v>
      </c>
      <c r="L60" s="140" t="e">
        <f t="shared" si="344"/>
        <v>#VALUE!</v>
      </c>
      <c r="M60" s="116" t="str">
        <f t="shared" si="345"/>
        <v/>
      </c>
      <c r="N60" s="333">
        <f t="shared" si="346"/>
        <v>741044.5</v>
      </c>
      <c r="O60" s="123">
        <f t="shared" si="347"/>
        <v>-758955.5</v>
      </c>
      <c r="P60" s="98">
        <f t="shared" si="348"/>
        <v>0.49402966666666664</v>
      </c>
      <c r="Q60" s="125">
        <f>IFERROR(VLOOKUP(I60,RETAMAR24,4,FALSE),"")</f>
        <v>309225.26</v>
      </c>
      <c r="R60" s="248">
        <v>1500000</v>
      </c>
      <c r="S60" s="140" t="e">
        <f t="shared" si="350"/>
        <v>#VALUE!</v>
      </c>
      <c r="T60" s="326" t="str">
        <f t="shared" si="351"/>
        <v/>
      </c>
      <c r="U60" s="333">
        <f t="shared" si="352"/>
        <v>256373.78</v>
      </c>
      <c r="V60" s="123">
        <f t="shared" si="353"/>
        <v>-1243626.22</v>
      </c>
      <c r="W60" s="98">
        <f t="shared" si="370"/>
        <v>0.17091585333333334</v>
      </c>
      <c r="X60" s="123">
        <f>IFERROR(VLOOKUP(I60,RETAMAR24,5,FALSE),"")</f>
        <v>210317.51</v>
      </c>
      <c r="Y60" s="599">
        <v>1500000</v>
      </c>
      <c r="Z60" s="116" t="e">
        <f t="shared" si="355"/>
        <v>#VALUE!</v>
      </c>
      <c r="AA60" s="561" t="str">
        <f t="shared" si="356"/>
        <v/>
      </c>
      <c r="AB60" s="561">
        <f t="shared" si="357"/>
        <v>720856.42</v>
      </c>
      <c r="AC60" s="116">
        <f t="shared" si="358"/>
        <v>-779143.58</v>
      </c>
      <c r="AD60" s="97">
        <f t="shared" si="371"/>
        <v>0.48057094666666672</v>
      </c>
      <c r="AE60" s="433">
        <f t="shared" si="359"/>
        <v>4500000</v>
      </c>
      <c r="AF60" s="550">
        <f t="shared" si="360"/>
        <v>1505273.59</v>
      </c>
      <c r="AG60" s="496" t="e">
        <f t="shared" ref="AG60:AI60" si="384">SUM(Z60,S60,S60,L60)</f>
        <v>#VALUE!</v>
      </c>
      <c r="AH60" s="496">
        <f t="shared" si="384"/>
        <v>0</v>
      </c>
      <c r="AI60" s="496">
        <f t="shared" si="384"/>
        <v>1974648.48</v>
      </c>
      <c r="AJ60" s="551">
        <f t="shared" si="362"/>
        <v>469374.8899999999</v>
      </c>
      <c r="AK60" s="552">
        <f t="shared" si="363"/>
        <v>1.3118203183249897</v>
      </c>
      <c r="AL60" s="434">
        <f>IFERROR(VLOOKUP(I60,RETAMAR24,6,FALSE),"")</f>
        <v>185660.47</v>
      </c>
      <c r="AM60" s="140" t="e">
        <f t="shared" si="364"/>
        <v>#VALUE!</v>
      </c>
      <c r="AN60" s="123" t="str">
        <f t="shared" si="365"/>
        <v/>
      </c>
      <c r="AO60" s="148">
        <f t="shared" si="366"/>
        <v>471803.02</v>
      </c>
      <c r="AP60" s="434">
        <f>IFERROR(VLOOKUP(I60,RETAMAR24,7,FALSE),"")</f>
        <v>229693.9</v>
      </c>
      <c r="AQ60" s="140" t="e">
        <f t="shared" si="336"/>
        <v>#VALUE!</v>
      </c>
      <c r="AR60" s="326" t="str">
        <f t="shared" si="337"/>
        <v/>
      </c>
      <c r="AS60" s="333">
        <f t="shared" si="338"/>
        <v>652113.89</v>
      </c>
      <c r="AT60" s="125">
        <f t="shared" si="339"/>
        <v>149388.56</v>
      </c>
      <c r="AU60" s="140" t="e">
        <f t="shared" si="42"/>
        <v>#VALUE!</v>
      </c>
      <c r="AV60" s="123" t="str">
        <f t="shared" si="217"/>
        <v/>
      </c>
      <c r="AW60" s="125">
        <f t="shared" si="218"/>
        <v>411790.27</v>
      </c>
      <c r="AX60" s="122" t="e">
        <f t="shared" ref="AX60:AZ60" si="385">AU60+AQ60+AM60</f>
        <v>#VALUE!</v>
      </c>
      <c r="AY60" s="326" t="e">
        <f t="shared" si="385"/>
        <v>#VALUE!</v>
      </c>
      <c r="AZ60" s="332">
        <f t="shared" si="385"/>
        <v>1535707.1800000002</v>
      </c>
      <c r="BA60" s="140" t="e">
        <f t="shared" ref="BA60:BC60" si="386">AX60+AG60</f>
        <v>#VALUE!</v>
      </c>
      <c r="BB60" s="326" t="e">
        <f t="shared" si="386"/>
        <v>#VALUE!</v>
      </c>
      <c r="BC60" s="435">
        <f t="shared" si="386"/>
        <v>3510355.66</v>
      </c>
      <c r="BD60" s="123">
        <f t="shared" si="274"/>
        <v>360214.08</v>
      </c>
      <c r="BE60" s="123" t="e">
        <f t="shared" si="48"/>
        <v>#VALUE!</v>
      </c>
      <c r="BF60" s="123" t="str">
        <f t="shared" si="221"/>
        <v/>
      </c>
      <c r="BG60" s="148">
        <f t="shared" si="222"/>
        <v>319828.07</v>
      </c>
      <c r="BH60" s="123">
        <f t="shared" si="223"/>
        <v>651123.46</v>
      </c>
      <c r="BI60" s="141" t="e">
        <f t="shared" si="52"/>
        <v>#VALUE!</v>
      </c>
      <c r="BJ60" s="332" t="str">
        <f t="shared" si="224"/>
        <v/>
      </c>
      <c r="BK60" s="333">
        <f t="shared" si="225"/>
        <v>352788.25</v>
      </c>
      <c r="BL60" s="326">
        <f t="shared" si="226"/>
        <v>288063.65000000002</v>
      </c>
      <c r="BM60" s="326" t="e">
        <f t="shared" si="56"/>
        <v>#VALUE!</v>
      </c>
      <c r="BN60" s="326" t="str">
        <f t="shared" si="227"/>
        <v/>
      </c>
      <c r="BO60" s="332">
        <f t="shared" si="228"/>
        <v>860809.47</v>
      </c>
      <c r="BP60" s="140" t="e">
        <f t="shared" ref="BP60:BR60" si="387">SUM(BM60,BI60,BE60)</f>
        <v>#VALUE!</v>
      </c>
      <c r="BQ60" s="326">
        <f t="shared" si="387"/>
        <v>0</v>
      </c>
      <c r="BR60" s="333">
        <f t="shared" si="387"/>
        <v>1533425.79</v>
      </c>
      <c r="BS60" s="125">
        <f t="shared" si="230"/>
        <v>435637.67</v>
      </c>
      <c r="BT60" s="140" t="e">
        <f t="shared" si="61"/>
        <v>#VALUE!</v>
      </c>
      <c r="BU60" s="123" t="str">
        <f t="shared" si="231"/>
        <v/>
      </c>
      <c r="BV60" s="148">
        <f t="shared" si="232"/>
        <v>190762.8</v>
      </c>
      <c r="BW60" s="123">
        <f t="shared" si="233"/>
        <v>455459.68</v>
      </c>
      <c r="BX60" s="326">
        <f t="shared" si="234"/>
        <v>614176.23</v>
      </c>
      <c r="BY60" s="297"/>
      <c r="BZ60" s="553"/>
      <c r="CF60" s="294"/>
      <c r="CG60" s="294"/>
      <c r="CR60" s="294"/>
    </row>
    <row r="61" spans="1:96" ht="13">
      <c r="A61" s="546">
        <f t="shared" si="202"/>
        <v>112014101</v>
      </c>
      <c r="B61" s="547">
        <f t="shared" si="203"/>
        <v>20</v>
      </c>
      <c r="C61" s="137">
        <f t="shared" si="204"/>
        <v>0.05</v>
      </c>
      <c r="D61" s="137">
        <f t="shared" si="205"/>
        <v>0.09</v>
      </c>
      <c r="E61" s="98">
        <f t="shared" si="206"/>
        <v>0</v>
      </c>
      <c r="F61" s="414">
        <f t="shared" si="207"/>
        <v>67</v>
      </c>
      <c r="G61" s="94">
        <f t="shared" si="208"/>
        <v>0.05</v>
      </c>
      <c r="H61" s="415">
        <f t="shared" si="209"/>
        <v>0.05</v>
      </c>
      <c r="I61" s="568" t="s">
        <v>450</v>
      </c>
      <c r="J61" s="436"/>
      <c r="K61" s="248"/>
      <c r="L61" s="140">
        <f t="shared" si="344"/>
        <v>0</v>
      </c>
      <c r="M61" s="116">
        <f t="shared" si="345"/>
        <v>0</v>
      </c>
      <c r="N61" s="333">
        <f t="shared" si="346"/>
        <v>0</v>
      </c>
      <c r="O61" s="123"/>
      <c r="P61" s="98"/>
      <c r="Q61" s="125"/>
      <c r="R61" s="248"/>
      <c r="S61" s="140">
        <f t="shared" si="350"/>
        <v>0</v>
      </c>
      <c r="T61" s="326">
        <f t="shared" si="351"/>
        <v>0</v>
      </c>
      <c r="U61" s="333">
        <f t="shared" si="352"/>
        <v>0</v>
      </c>
      <c r="V61" s="123"/>
      <c r="W61" s="98"/>
      <c r="X61" s="123"/>
      <c r="Y61" s="599"/>
      <c r="Z61" s="116">
        <f t="shared" si="355"/>
        <v>0</v>
      </c>
      <c r="AA61" s="561">
        <f t="shared" si="356"/>
        <v>0</v>
      </c>
      <c r="AB61" s="561">
        <f t="shared" si="357"/>
        <v>0</v>
      </c>
      <c r="AC61" s="116"/>
      <c r="AD61" s="97"/>
      <c r="AE61" s="433"/>
      <c r="AF61" s="550">
        <f t="shared" si="360"/>
        <v>334667.2</v>
      </c>
      <c r="AG61" s="496"/>
      <c r="AH61" s="496"/>
      <c r="AI61" s="496"/>
      <c r="AJ61" s="551">
        <f t="shared" si="362"/>
        <v>-334667.2</v>
      </c>
      <c r="AK61" s="552">
        <f t="shared" si="363"/>
        <v>0</v>
      </c>
      <c r="AL61" s="434"/>
      <c r="AM61" s="140">
        <f t="shared" si="364"/>
        <v>18727.16</v>
      </c>
      <c r="AN61" s="123">
        <f t="shared" si="365"/>
        <v>30639.52</v>
      </c>
      <c r="AO61" s="148">
        <f t="shared" si="366"/>
        <v>49366.68</v>
      </c>
      <c r="AP61" s="434"/>
      <c r="AQ61" s="140">
        <f t="shared" si="336"/>
        <v>139160.76999999999</v>
      </c>
      <c r="AR61" s="326">
        <f t="shared" si="337"/>
        <v>67997.34</v>
      </c>
      <c r="AS61" s="333">
        <f t="shared" si="338"/>
        <v>207158.11</v>
      </c>
      <c r="AT61" s="125"/>
      <c r="AU61" s="140">
        <f t="shared" si="42"/>
        <v>73790.429999999993</v>
      </c>
      <c r="AV61" s="123">
        <f t="shared" si="217"/>
        <v>58779.56</v>
      </c>
      <c r="AW61" s="125">
        <f t="shared" si="218"/>
        <v>132569.99</v>
      </c>
      <c r="AX61" s="122">
        <f t="shared" ref="AX61:AZ61" si="388">AU61+AQ61+AM61</f>
        <v>231678.36</v>
      </c>
      <c r="AY61" s="326">
        <f t="shared" si="388"/>
        <v>157416.41999999998</v>
      </c>
      <c r="AZ61" s="332">
        <f t="shared" si="388"/>
        <v>389094.77999999997</v>
      </c>
      <c r="BA61" s="140">
        <f t="shared" ref="BA61:BC61" si="389">AX61+AG61</f>
        <v>231678.36</v>
      </c>
      <c r="BB61" s="326">
        <f t="shared" si="389"/>
        <v>157416.41999999998</v>
      </c>
      <c r="BC61" s="435">
        <f t="shared" si="389"/>
        <v>389094.77999999997</v>
      </c>
      <c r="BD61" s="123"/>
      <c r="BE61" s="123">
        <f t="shared" si="48"/>
        <v>0</v>
      </c>
      <c r="BF61" s="123">
        <f t="shared" si="221"/>
        <v>25076.11</v>
      </c>
      <c r="BG61" s="148">
        <f t="shared" si="222"/>
        <v>25076.11</v>
      </c>
      <c r="BH61" s="123" t="str">
        <f t="shared" si="223"/>
        <v/>
      </c>
      <c r="BI61" s="141">
        <f t="shared" si="52"/>
        <v>46629.8</v>
      </c>
      <c r="BJ61" s="332">
        <f t="shared" si="224"/>
        <v>126858.3</v>
      </c>
      <c r="BK61" s="333">
        <f t="shared" si="225"/>
        <v>173488.1</v>
      </c>
      <c r="BL61" s="326" t="str">
        <f t="shared" si="226"/>
        <v/>
      </c>
      <c r="BM61" s="326">
        <f t="shared" si="56"/>
        <v>117057.56000000001</v>
      </c>
      <c r="BN61" s="326">
        <f t="shared" si="227"/>
        <v>33703.449999999997</v>
      </c>
      <c r="BO61" s="332">
        <f t="shared" si="228"/>
        <v>150761.01</v>
      </c>
      <c r="BP61" s="140">
        <f t="shared" ref="BP61:BR61" si="390">SUM(BM61,BI61,BE61)</f>
        <v>163687.36000000002</v>
      </c>
      <c r="BQ61" s="326">
        <f t="shared" si="390"/>
        <v>185637.86</v>
      </c>
      <c r="BR61" s="333">
        <f t="shared" si="390"/>
        <v>349325.22</v>
      </c>
      <c r="BS61" s="125" t="str">
        <f t="shared" si="230"/>
        <v/>
      </c>
      <c r="BT61" s="140">
        <f t="shared" si="61"/>
        <v>49059.41</v>
      </c>
      <c r="BU61" s="123">
        <f t="shared" si="231"/>
        <v>88808.320000000007</v>
      </c>
      <c r="BV61" s="148">
        <f t="shared" si="232"/>
        <v>137867.73000000001</v>
      </c>
      <c r="BW61" s="123" t="str">
        <f t="shared" si="233"/>
        <v/>
      </c>
      <c r="BX61" s="326" t="str">
        <f t="shared" si="234"/>
        <v/>
      </c>
      <c r="BY61" s="297"/>
      <c r="BZ61" s="553"/>
      <c r="CF61" s="294"/>
      <c r="CG61" s="294"/>
      <c r="CR61" s="294"/>
    </row>
    <row r="62" spans="1:96" ht="13">
      <c r="A62" s="546">
        <f t="shared" si="202"/>
        <v>112011697</v>
      </c>
      <c r="B62" s="547">
        <f t="shared" si="203"/>
        <v>20</v>
      </c>
      <c r="C62" s="137">
        <f t="shared" si="204"/>
        <v>0.05</v>
      </c>
      <c r="D62" s="137">
        <f t="shared" si="205"/>
        <v>0.09</v>
      </c>
      <c r="E62" s="98">
        <f t="shared" si="206"/>
        <v>0</v>
      </c>
      <c r="F62" s="414">
        <f t="shared" si="207"/>
        <v>67</v>
      </c>
      <c r="G62" s="94">
        <f t="shared" si="208"/>
        <v>0.05</v>
      </c>
      <c r="H62" s="415">
        <f t="shared" si="209"/>
        <v>0.05</v>
      </c>
      <c r="I62" s="568" t="s">
        <v>451</v>
      </c>
      <c r="J62" s="436"/>
      <c r="K62" s="248"/>
      <c r="L62" s="140" t="e">
        <f t="shared" si="344"/>
        <v>#VALUE!</v>
      </c>
      <c r="M62" s="116" t="str">
        <f t="shared" si="345"/>
        <v/>
      </c>
      <c r="N62" s="333">
        <f t="shared" si="346"/>
        <v>0</v>
      </c>
      <c r="O62" s="123"/>
      <c r="P62" s="98"/>
      <c r="Q62" s="125"/>
      <c r="R62" s="248"/>
      <c r="S62" s="140" t="e">
        <f t="shared" si="350"/>
        <v>#VALUE!</v>
      </c>
      <c r="T62" s="326" t="str">
        <f t="shared" si="351"/>
        <v/>
      </c>
      <c r="U62" s="333">
        <f t="shared" si="352"/>
        <v>0</v>
      </c>
      <c r="V62" s="123"/>
      <c r="W62" s="98"/>
      <c r="X62" s="123"/>
      <c r="Y62" s="599"/>
      <c r="Z62" s="116" t="e">
        <f t="shared" si="355"/>
        <v>#VALUE!</v>
      </c>
      <c r="AA62" s="561" t="str">
        <f t="shared" si="356"/>
        <v/>
      </c>
      <c r="AB62" s="561">
        <f t="shared" si="357"/>
        <v>0</v>
      </c>
      <c r="AC62" s="116">
        <f t="shared" ref="AC62:AC87" si="391">AB62-Y62</f>
        <v>0</v>
      </c>
      <c r="AD62" s="97" t="str">
        <f t="shared" ref="AD62:AD87" si="392">IFERROR(AB62/Y62,"")</f>
        <v/>
      </c>
      <c r="AE62" s="433"/>
      <c r="AF62" s="550" t="str">
        <f t="shared" si="360"/>
        <v>0</v>
      </c>
      <c r="AG62" s="496"/>
      <c r="AH62" s="496"/>
      <c r="AI62" s="496"/>
      <c r="AJ62" s="551">
        <f t="shared" si="362"/>
        <v>0</v>
      </c>
      <c r="AK62" s="552" t="str">
        <f t="shared" si="363"/>
        <v/>
      </c>
      <c r="AL62" s="434"/>
      <c r="AM62" s="140" t="e">
        <f t="shared" si="364"/>
        <v>#VALUE!</v>
      </c>
      <c r="AN62" s="123" t="str">
        <f t="shared" si="365"/>
        <v/>
      </c>
      <c r="AO62" s="148">
        <f t="shared" si="366"/>
        <v>0</v>
      </c>
      <c r="AP62" s="434"/>
      <c r="AQ62" s="140" t="e">
        <f t="shared" si="336"/>
        <v>#VALUE!</v>
      </c>
      <c r="AR62" s="326" t="str">
        <f t="shared" si="337"/>
        <v/>
      </c>
      <c r="AS62" s="333">
        <f t="shared" si="338"/>
        <v>0</v>
      </c>
      <c r="AT62" s="125"/>
      <c r="AU62" s="140" t="e">
        <f t="shared" si="42"/>
        <v>#VALUE!</v>
      </c>
      <c r="AV62" s="123" t="str">
        <f t="shared" si="217"/>
        <v/>
      </c>
      <c r="AW62" s="125">
        <f t="shared" si="218"/>
        <v>74083.31</v>
      </c>
      <c r="AX62" s="122" t="e">
        <f t="shared" ref="AX62:AZ62" si="393">AU62+AQ62+AM62</f>
        <v>#VALUE!</v>
      </c>
      <c r="AY62" s="326" t="e">
        <f t="shared" si="393"/>
        <v>#VALUE!</v>
      </c>
      <c r="AZ62" s="332">
        <f t="shared" si="393"/>
        <v>74083.31</v>
      </c>
      <c r="BA62" s="140" t="e">
        <f t="shared" ref="BA62:BC62" si="394">AX62+AG62</f>
        <v>#VALUE!</v>
      </c>
      <c r="BB62" s="326" t="e">
        <f t="shared" si="394"/>
        <v>#VALUE!</v>
      </c>
      <c r="BC62" s="435">
        <f t="shared" si="394"/>
        <v>74083.31</v>
      </c>
      <c r="BD62" s="123"/>
      <c r="BE62" s="123" t="e">
        <f t="shared" si="48"/>
        <v>#VALUE!</v>
      </c>
      <c r="BF62" s="123" t="str">
        <f t="shared" si="221"/>
        <v/>
      </c>
      <c r="BG62" s="148">
        <f t="shared" si="222"/>
        <v>0</v>
      </c>
      <c r="BH62" s="123" t="str">
        <f t="shared" si="223"/>
        <v/>
      </c>
      <c r="BI62" s="141" t="e">
        <f t="shared" si="52"/>
        <v>#VALUE!</v>
      </c>
      <c r="BJ62" s="332" t="str">
        <f t="shared" si="224"/>
        <v/>
      </c>
      <c r="BK62" s="333">
        <f t="shared" si="225"/>
        <v>0</v>
      </c>
      <c r="BL62" s="326" t="str">
        <f t="shared" si="226"/>
        <v/>
      </c>
      <c r="BM62" s="326" t="e">
        <f t="shared" si="56"/>
        <v>#VALUE!</v>
      </c>
      <c r="BN62" s="326" t="str">
        <f t="shared" si="227"/>
        <v/>
      </c>
      <c r="BO62" s="332">
        <f t="shared" si="228"/>
        <v>50261</v>
      </c>
      <c r="BP62" s="140" t="e">
        <f t="shared" ref="BP62:BR62" si="395">SUM(BM62,BI62,BE62)</f>
        <v>#VALUE!</v>
      </c>
      <c r="BQ62" s="326">
        <f t="shared" si="395"/>
        <v>0</v>
      </c>
      <c r="BR62" s="333">
        <f t="shared" si="395"/>
        <v>50261</v>
      </c>
      <c r="BS62" s="125" t="str">
        <f t="shared" si="230"/>
        <v/>
      </c>
      <c r="BT62" s="140" t="e">
        <f t="shared" si="61"/>
        <v>#VALUE!</v>
      </c>
      <c r="BU62" s="123" t="str">
        <f t="shared" si="231"/>
        <v/>
      </c>
      <c r="BV62" s="148">
        <f t="shared" si="232"/>
        <v>-74083.31</v>
      </c>
      <c r="BW62" s="123" t="str">
        <f t="shared" si="233"/>
        <v/>
      </c>
      <c r="BX62" s="326" t="str">
        <f t="shared" si="234"/>
        <v/>
      </c>
      <c r="BY62" s="297"/>
      <c r="BZ62" s="553"/>
      <c r="CF62" s="294"/>
      <c r="CG62" s="294"/>
      <c r="CR62" s="294"/>
    </row>
    <row r="63" spans="1:96" ht="13">
      <c r="A63" s="546">
        <f t="shared" si="202"/>
        <v>112013116</v>
      </c>
      <c r="B63" s="547">
        <f t="shared" si="203"/>
        <v>20</v>
      </c>
      <c r="C63" s="137">
        <f t="shared" si="204"/>
        <v>0.05</v>
      </c>
      <c r="D63" s="137">
        <f t="shared" si="205"/>
        <v>0.09</v>
      </c>
      <c r="E63" s="98">
        <f t="shared" si="206"/>
        <v>0</v>
      </c>
      <c r="F63" s="414">
        <f t="shared" si="207"/>
        <v>67</v>
      </c>
      <c r="G63" s="94">
        <f t="shared" si="208"/>
        <v>0.05</v>
      </c>
      <c r="H63" s="415">
        <f t="shared" si="209"/>
        <v>0.05</v>
      </c>
      <c r="I63" s="568" t="s">
        <v>452</v>
      </c>
      <c r="J63" s="436">
        <f t="shared" ref="J63:J87" si="396">IFERROR(VLOOKUP(I63,RETAMAR24,3,FALSE),"")</f>
        <v>740561.31</v>
      </c>
      <c r="K63" s="248">
        <v>1500000</v>
      </c>
      <c r="L63" s="140" t="e">
        <f t="shared" si="344"/>
        <v>#VALUE!</v>
      </c>
      <c r="M63" s="116" t="str">
        <f t="shared" si="345"/>
        <v/>
      </c>
      <c r="N63" s="333">
        <f t="shared" si="346"/>
        <v>1124497.3899999999</v>
      </c>
      <c r="O63" s="123">
        <f t="shared" ref="O63:O87" si="397">N63-K63</f>
        <v>-375502.6100000001</v>
      </c>
      <c r="P63" s="98">
        <f t="shared" ref="P63:P87" si="398">IFERROR(N63/K63,"")</f>
        <v>0.74966492666666662</v>
      </c>
      <c r="Q63" s="125">
        <f t="shared" ref="Q63:Q87" si="399">IFERROR(VLOOKUP(I63,RETAMAR24,4,FALSE),"")</f>
        <v>220117.91</v>
      </c>
      <c r="R63" s="248">
        <v>1500000</v>
      </c>
      <c r="S63" s="140" t="e">
        <f t="shared" si="350"/>
        <v>#VALUE!</v>
      </c>
      <c r="T63" s="326" t="str">
        <f t="shared" si="351"/>
        <v/>
      </c>
      <c r="U63" s="333">
        <f t="shared" si="352"/>
        <v>203253.89</v>
      </c>
      <c r="V63" s="123">
        <f t="shared" ref="V63:V87" si="400">U63-R63</f>
        <v>-1296746.1099999999</v>
      </c>
      <c r="W63" s="98">
        <f t="shared" ref="W63:W64" si="401">U63/R63</f>
        <v>0.13550259333333334</v>
      </c>
      <c r="X63" s="123">
        <f t="shared" ref="X63:X87" si="402">IFERROR(VLOOKUP(I63,RETAMAR24,5,FALSE),"")</f>
        <v>1065574.26</v>
      </c>
      <c r="Y63" s="326">
        <f t="shared" ref="Y63:Y87" si="403">(X63*1.5955)*1.05</f>
        <v>1785129.9184215001</v>
      </c>
      <c r="Z63" s="116" t="e">
        <f t="shared" si="355"/>
        <v>#VALUE!</v>
      </c>
      <c r="AA63" s="561" t="str">
        <f t="shared" si="356"/>
        <v/>
      </c>
      <c r="AB63" s="561">
        <f t="shared" si="357"/>
        <v>1078805.44</v>
      </c>
      <c r="AC63" s="116">
        <f t="shared" si="391"/>
        <v>-706324.47842150019</v>
      </c>
      <c r="AD63" s="97">
        <f t="shared" si="392"/>
        <v>0.60432881039489439</v>
      </c>
      <c r="AE63" s="433">
        <f t="shared" ref="AE63:AE87" si="404">SUM(K63,R63,Y63)</f>
        <v>4785129.9184215004</v>
      </c>
      <c r="AF63" s="600">
        <f t="shared" si="360"/>
        <v>2083787.78</v>
      </c>
      <c r="AG63" s="601" t="e">
        <f t="shared" ref="AG63:AI63" si="405">SUM(Z63,S63,S63,L63)</f>
        <v>#VALUE!</v>
      </c>
      <c r="AH63" s="601">
        <f t="shared" si="405"/>
        <v>0</v>
      </c>
      <c r="AI63" s="601">
        <f t="shared" si="405"/>
        <v>2609810.6100000003</v>
      </c>
      <c r="AJ63" s="602">
        <f t="shared" si="362"/>
        <v>526022.83000000031</v>
      </c>
      <c r="AK63" s="603">
        <f t="shared" si="363"/>
        <v>1.2524358934478443</v>
      </c>
      <c r="AL63" s="434">
        <f t="shared" ref="AL63:AL87" si="406">IFERROR(VLOOKUP(I63,RETAMAR24,6,FALSE),"")</f>
        <v>876513.12</v>
      </c>
      <c r="AM63" s="140" t="e">
        <f t="shared" si="364"/>
        <v>#VALUE!</v>
      </c>
      <c r="AN63" s="123" t="str">
        <f t="shared" si="365"/>
        <v/>
      </c>
      <c r="AO63" s="148">
        <f t="shared" si="366"/>
        <v>659732.78</v>
      </c>
      <c r="AP63" s="434">
        <f t="shared" ref="AP63:AP87" si="407">IFERROR(VLOOKUP(I63,RETAMAR24,7,FALSE),"")</f>
        <v>572548.62</v>
      </c>
      <c r="AQ63" s="140" t="e">
        <f t="shared" si="336"/>
        <v>#VALUE!</v>
      </c>
      <c r="AR63" s="326" t="str">
        <f t="shared" si="337"/>
        <v/>
      </c>
      <c r="AS63" s="333">
        <f t="shared" si="338"/>
        <v>805329.21</v>
      </c>
      <c r="AT63" s="125">
        <f t="shared" ref="AT63:AT87" si="408">IFERROR(VLOOKUP(I63,RETAMAR24,8,FALSE),"")</f>
        <v>439184.85</v>
      </c>
      <c r="AU63" s="140" t="e">
        <f t="shared" si="42"/>
        <v>#VALUE!</v>
      </c>
      <c r="AV63" s="123" t="str">
        <f t="shared" si="217"/>
        <v/>
      </c>
      <c r="AW63" s="125">
        <f t="shared" si="218"/>
        <v>690732.64</v>
      </c>
      <c r="AX63" s="122" t="e">
        <f t="shared" ref="AX63:AZ63" si="409">AU63+AQ63+AM63</f>
        <v>#VALUE!</v>
      </c>
      <c r="AY63" s="326" t="e">
        <f t="shared" si="409"/>
        <v>#VALUE!</v>
      </c>
      <c r="AZ63" s="332">
        <f t="shared" si="409"/>
        <v>2155794.63</v>
      </c>
      <c r="BA63" s="140" t="e">
        <f t="shared" ref="BA63:BC63" si="410">AX63+AG63</f>
        <v>#VALUE!</v>
      </c>
      <c r="BB63" s="326" t="e">
        <f t="shared" si="410"/>
        <v>#VALUE!</v>
      </c>
      <c r="BC63" s="435">
        <f t="shared" si="410"/>
        <v>4765605.24</v>
      </c>
      <c r="BD63" s="123">
        <f t="shared" ref="BD63:BD87" si="411">IFERROR(VLOOKUP(I63,RETAMAR24,9,FALSE),"")</f>
        <v>1321721.3500000001</v>
      </c>
      <c r="BE63" s="123" t="e">
        <f t="shared" si="48"/>
        <v>#VALUE!</v>
      </c>
      <c r="BF63" s="123" t="str">
        <f t="shared" si="221"/>
        <v/>
      </c>
      <c r="BG63" s="148">
        <f t="shared" si="222"/>
        <v>806536.75</v>
      </c>
      <c r="BH63" s="123">
        <f t="shared" si="223"/>
        <v>624696.47</v>
      </c>
      <c r="BI63" s="141" t="e">
        <f t="shared" si="52"/>
        <v>#VALUE!</v>
      </c>
      <c r="BJ63" s="332" t="str">
        <f t="shared" si="224"/>
        <v/>
      </c>
      <c r="BK63" s="333">
        <f t="shared" si="225"/>
        <v>885518.15</v>
      </c>
      <c r="BL63" s="326">
        <f t="shared" si="226"/>
        <v>0</v>
      </c>
      <c r="BM63" s="326" t="e">
        <f t="shared" si="56"/>
        <v>#VALUE!</v>
      </c>
      <c r="BN63" s="326" t="str">
        <f t="shared" si="227"/>
        <v/>
      </c>
      <c r="BO63" s="332">
        <f t="shared" si="228"/>
        <v>749760.61</v>
      </c>
      <c r="BP63" s="140" t="e">
        <f t="shared" ref="BP63:BR63" si="412">SUM(BM63,BI63,BE63)</f>
        <v>#VALUE!</v>
      </c>
      <c r="BQ63" s="326">
        <f t="shared" si="412"/>
        <v>0</v>
      </c>
      <c r="BR63" s="333">
        <f t="shared" si="412"/>
        <v>2441815.5099999998</v>
      </c>
      <c r="BS63" s="125">
        <f t="shared" si="230"/>
        <v>1240057.32</v>
      </c>
      <c r="BT63" s="140" t="e">
        <f t="shared" si="61"/>
        <v>#VALUE!</v>
      </c>
      <c r="BU63" s="123" t="str">
        <f t="shared" si="231"/>
        <v/>
      </c>
      <c r="BV63" s="148">
        <f t="shared" si="232"/>
        <v>597002.65</v>
      </c>
      <c r="BW63" s="123">
        <f t="shared" si="233"/>
        <v>367285.59</v>
      </c>
      <c r="BX63" s="326">
        <f t="shared" si="234"/>
        <v>476444.87</v>
      </c>
      <c r="BY63" s="297"/>
      <c r="BZ63" s="553"/>
      <c r="CF63" s="294"/>
      <c r="CG63" s="294"/>
      <c r="CR63" s="294"/>
    </row>
    <row r="64" spans="1:96" ht="13">
      <c r="A64" s="546">
        <f t="shared" si="202"/>
        <v>112012567</v>
      </c>
      <c r="B64" s="547">
        <f t="shared" si="203"/>
        <v>6</v>
      </c>
      <c r="C64" s="94" t="str">
        <f t="shared" si="204"/>
        <v>Lista</v>
      </c>
      <c r="D64" s="94">
        <f t="shared" si="205"/>
        <v>0.15</v>
      </c>
      <c r="E64" s="413">
        <f t="shared" si="206"/>
        <v>0</v>
      </c>
      <c r="F64" s="414">
        <f t="shared" si="207"/>
        <v>70</v>
      </c>
      <c r="G64" s="94" t="str">
        <f t="shared" si="208"/>
        <v>Lista</v>
      </c>
      <c r="H64" s="415">
        <f t="shared" si="209"/>
        <v>0.11</v>
      </c>
      <c r="I64" s="548" t="s">
        <v>453</v>
      </c>
      <c r="J64" s="420">
        <f t="shared" si="396"/>
        <v>1038903.56</v>
      </c>
      <c r="K64" s="416">
        <f t="shared" ref="K64:K87" si="413">(J64*1.601)*1.05</f>
        <v>1746448.829538</v>
      </c>
      <c r="L64" s="113">
        <f t="shared" si="344"/>
        <v>764891.22</v>
      </c>
      <c r="M64" s="116">
        <f t="shared" si="345"/>
        <v>1132421.1599999999</v>
      </c>
      <c r="N64" s="117">
        <f t="shared" si="346"/>
        <v>1897312.38</v>
      </c>
      <c r="O64" s="114">
        <f t="shared" si="397"/>
        <v>150863.55046199984</v>
      </c>
      <c r="P64" s="413">
        <f t="shared" si="398"/>
        <v>1.0863830350540009</v>
      </c>
      <c r="Q64" s="100">
        <f t="shared" si="399"/>
        <v>2207038.12</v>
      </c>
      <c r="R64" s="416">
        <f t="shared" ref="R64:R87" si="414">(Q64*1.7245)*1.05</f>
        <v>3996339.099837</v>
      </c>
      <c r="S64" s="140">
        <f t="shared" si="350"/>
        <v>460882.29000000004</v>
      </c>
      <c r="T64" s="326">
        <f t="shared" si="351"/>
        <v>583916.26</v>
      </c>
      <c r="U64" s="333">
        <f t="shared" si="352"/>
        <v>1044798.55</v>
      </c>
      <c r="V64" s="114">
        <f t="shared" si="400"/>
        <v>-2951540.5498369997</v>
      </c>
      <c r="W64" s="413">
        <f t="shared" si="401"/>
        <v>0.26143891293974891</v>
      </c>
      <c r="X64" s="114">
        <f t="shared" si="402"/>
        <v>841544.25</v>
      </c>
      <c r="Y64" s="116">
        <f t="shared" si="403"/>
        <v>1409818.0434187502</v>
      </c>
      <c r="Z64" s="116">
        <f t="shared" si="355"/>
        <v>807993.26</v>
      </c>
      <c r="AA64" s="561">
        <f t="shared" si="356"/>
        <v>816836.29</v>
      </c>
      <c r="AB64" s="561">
        <f t="shared" si="357"/>
        <v>1624829.55</v>
      </c>
      <c r="AC64" s="116">
        <f t="shared" si="391"/>
        <v>215011.50658124988</v>
      </c>
      <c r="AD64" s="97">
        <f t="shared" si="392"/>
        <v>1.1525101112054545</v>
      </c>
      <c r="AE64" s="417">
        <f t="shared" si="404"/>
        <v>7152605.9727937505</v>
      </c>
      <c r="AF64" s="550">
        <f t="shared" si="360"/>
        <v>6708601.9400000004</v>
      </c>
      <c r="AG64" s="551">
        <f t="shared" ref="AG64:AI64" si="415">SUM(Z64,S64,S64,L64)</f>
        <v>2494649.06</v>
      </c>
      <c r="AH64" s="551">
        <f t="shared" si="415"/>
        <v>3117089.9699999997</v>
      </c>
      <c r="AI64" s="551">
        <f t="shared" si="415"/>
        <v>5611739.0300000003</v>
      </c>
      <c r="AJ64" s="551">
        <f t="shared" si="362"/>
        <v>-1096862.9100000001</v>
      </c>
      <c r="AK64" s="552">
        <f t="shared" si="363"/>
        <v>0.8364990321664546</v>
      </c>
      <c r="AL64" s="434">
        <f t="shared" si="406"/>
        <v>1232979.8700000001</v>
      </c>
      <c r="AM64" s="140">
        <f t="shared" si="364"/>
        <v>587431.39999999991</v>
      </c>
      <c r="AN64" s="123">
        <f t="shared" si="365"/>
        <v>875772.03</v>
      </c>
      <c r="AO64" s="148">
        <f t="shared" si="366"/>
        <v>1463203.43</v>
      </c>
      <c r="AP64" s="434">
        <f t="shared" si="407"/>
        <v>903285.74</v>
      </c>
      <c r="AQ64" s="140">
        <f t="shared" si="336"/>
        <v>504357.83999999997</v>
      </c>
      <c r="AR64" s="326">
        <f t="shared" si="337"/>
        <v>537517.66</v>
      </c>
      <c r="AS64" s="333">
        <f t="shared" si="338"/>
        <v>1041875.5</v>
      </c>
      <c r="AT64" s="125">
        <f t="shared" si="408"/>
        <v>1438551.97</v>
      </c>
      <c r="AU64" s="140">
        <f t="shared" si="42"/>
        <v>95118.180000000051</v>
      </c>
      <c r="AV64" s="123">
        <f t="shared" si="217"/>
        <v>767797.7</v>
      </c>
      <c r="AW64" s="125">
        <f t="shared" si="218"/>
        <v>862915.88</v>
      </c>
      <c r="AX64" s="122">
        <f t="shared" ref="AX64:AZ64" si="416">AU64+AQ64+AM64</f>
        <v>1186907.42</v>
      </c>
      <c r="AY64" s="326">
        <f t="shared" si="416"/>
        <v>2181087.3899999997</v>
      </c>
      <c r="AZ64" s="332">
        <f t="shared" si="416"/>
        <v>3367994.8099999996</v>
      </c>
      <c r="BA64" s="140">
        <f t="shared" ref="BA64:BC64" si="417">AX64+AG64</f>
        <v>3681556.48</v>
      </c>
      <c r="BB64" s="326">
        <f t="shared" si="417"/>
        <v>5298177.3599999994</v>
      </c>
      <c r="BC64" s="435">
        <f t="shared" si="417"/>
        <v>8979733.8399999999</v>
      </c>
      <c r="BD64" s="123">
        <f t="shared" si="411"/>
        <v>1534410.36</v>
      </c>
      <c r="BE64" s="123">
        <f t="shared" si="48"/>
        <v>467722.58999999997</v>
      </c>
      <c r="BF64" s="123">
        <f t="shared" si="221"/>
        <v>741851.6</v>
      </c>
      <c r="BG64" s="148">
        <f t="shared" si="222"/>
        <v>1209574.19</v>
      </c>
      <c r="BH64" s="123">
        <f t="shared" si="223"/>
        <v>1370051.28</v>
      </c>
      <c r="BI64" s="141">
        <f t="shared" si="52"/>
        <v>346395.02</v>
      </c>
      <c r="BJ64" s="332">
        <f t="shared" si="224"/>
        <v>597957.6</v>
      </c>
      <c r="BK64" s="333">
        <f t="shared" si="225"/>
        <v>944352.62</v>
      </c>
      <c r="BL64" s="326">
        <f t="shared" si="226"/>
        <v>1172086.76</v>
      </c>
      <c r="BM64" s="326">
        <f t="shared" si="56"/>
        <v>675031.62000000011</v>
      </c>
      <c r="BN64" s="326">
        <f t="shared" si="227"/>
        <v>783786.75</v>
      </c>
      <c r="BO64" s="332">
        <f t="shared" si="228"/>
        <v>1458818.37</v>
      </c>
      <c r="BP64" s="140">
        <f t="shared" ref="BP64:BR64" si="418">SUM(BM64,BI64,BE64)</f>
        <v>1489149.23</v>
      </c>
      <c r="BQ64" s="326">
        <f t="shared" si="418"/>
        <v>2123595.9500000002</v>
      </c>
      <c r="BR64" s="333">
        <f t="shared" si="418"/>
        <v>3612745.18</v>
      </c>
      <c r="BS64" s="125">
        <f t="shared" si="230"/>
        <v>2524584.16</v>
      </c>
      <c r="BT64" s="140">
        <f t="shared" si="61"/>
        <v>975327.56</v>
      </c>
      <c r="BU64" s="123">
        <f t="shared" si="231"/>
        <v>970790</v>
      </c>
      <c r="BV64" s="148">
        <f t="shared" si="232"/>
        <v>1946117.56</v>
      </c>
      <c r="BW64" s="123">
        <f t="shared" si="233"/>
        <v>2120001.1</v>
      </c>
      <c r="BX64" s="326">
        <f t="shared" si="234"/>
        <v>2064016.68</v>
      </c>
      <c r="BY64" s="297"/>
      <c r="BZ64" s="553"/>
      <c r="CF64" s="294"/>
      <c r="CG64" s="294"/>
      <c r="CR64" s="294"/>
    </row>
    <row r="65" spans="1:96" ht="13">
      <c r="A65" s="546">
        <f t="shared" si="202"/>
        <v>112010429</v>
      </c>
      <c r="B65" s="547">
        <f t="shared" si="203"/>
        <v>1</v>
      </c>
      <c r="C65" s="137" t="str">
        <f t="shared" si="204"/>
        <v>Lista</v>
      </c>
      <c r="D65" s="137">
        <f t="shared" si="205"/>
        <v>0.09</v>
      </c>
      <c r="E65" s="98">
        <f t="shared" si="206"/>
        <v>0</v>
      </c>
      <c r="F65" s="414">
        <f t="shared" si="207"/>
        <v>71</v>
      </c>
      <c r="G65" s="94" t="str">
        <f t="shared" si="208"/>
        <v>Lista</v>
      </c>
      <c r="H65" s="415">
        <f t="shared" si="209"/>
        <v>0.05</v>
      </c>
      <c r="I65" s="589" t="s">
        <v>454</v>
      </c>
      <c r="J65" s="436">
        <f t="shared" si="396"/>
        <v>273283.59000000003</v>
      </c>
      <c r="K65" s="141">
        <f t="shared" si="413"/>
        <v>459403.37896950002</v>
      </c>
      <c r="L65" s="140" t="e">
        <f t="shared" si="344"/>
        <v>#VALUE!</v>
      </c>
      <c r="M65" s="116" t="str">
        <f t="shared" si="345"/>
        <v/>
      </c>
      <c r="N65" s="333">
        <f t="shared" si="346"/>
        <v>0</v>
      </c>
      <c r="O65" s="123">
        <f t="shared" si="397"/>
        <v>-459403.37896950002</v>
      </c>
      <c r="P65" s="98">
        <f t="shared" si="398"/>
        <v>0</v>
      </c>
      <c r="Q65" s="125">
        <f t="shared" si="399"/>
        <v>0</v>
      </c>
      <c r="R65" s="141">
        <f t="shared" si="414"/>
        <v>0</v>
      </c>
      <c r="S65" s="140" t="e">
        <f t="shared" si="350"/>
        <v>#VALUE!</v>
      </c>
      <c r="T65" s="326" t="str">
        <f t="shared" si="351"/>
        <v/>
      </c>
      <c r="U65" s="333">
        <f t="shared" si="352"/>
        <v>50257.35</v>
      </c>
      <c r="V65" s="123">
        <f t="shared" si="400"/>
        <v>50257.35</v>
      </c>
      <c r="W65" s="98" t="str">
        <f t="shared" ref="W65:W87" si="419">IFERROR(U65/R65,"")</f>
        <v/>
      </c>
      <c r="X65" s="123">
        <f t="shared" si="402"/>
        <v>0</v>
      </c>
      <c r="Y65" s="326">
        <f t="shared" si="403"/>
        <v>0</v>
      </c>
      <c r="Z65" s="116" t="e">
        <f t="shared" si="355"/>
        <v>#VALUE!</v>
      </c>
      <c r="AA65" s="561" t="str">
        <f t="shared" si="356"/>
        <v/>
      </c>
      <c r="AB65" s="561">
        <f t="shared" si="357"/>
        <v>238900.71</v>
      </c>
      <c r="AC65" s="116">
        <f t="shared" si="391"/>
        <v>238900.71</v>
      </c>
      <c r="AD65" s="97" t="str">
        <f t="shared" si="392"/>
        <v/>
      </c>
      <c r="AE65" s="433">
        <f t="shared" si="404"/>
        <v>459403.37896950002</v>
      </c>
      <c r="AF65" s="550">
        <f t="shared" si="360"/>
        <v>1301110.32</v>
      </c>
      <c r="AG65" s="496" t="e">
        <f t="shared" ref="AG65:AI65" si="420">SUM(Z65,S65,S65,L65)</f>
        <v>#VALUE!</v>
      </c>
      <c r="AH65" s="496">
        <f t="shared" si="420"/>
        <v>0</v>
      </c>
      <c r="AI65" s="496">
        <f t="shared" si="420"/>
        <v>339415.41</v>
      </c>
      <c r="AJ65" s="551">
        <f t="shared" si="362"/>
        <v>-961694.91000000015</v>
      </c>
      <c r="AK65" s="552">
        <f t="shared" si="363"/>
        <v>0.26086597330194106</v>
      </c>
      <c r="AL65" s="434">
        <f t="shared" si="406"/>
        <v>0</v>
      </c>
      <c r="AM65" s="140" t="e">
        <f t="shared" si="364"/>
        <v>#VALUE!</v>
      </c>
      <c r="AN65" s="123" t="str">
        <f t="shared" si="365"/>
        <v/>
      </c>
      <c r="AO65" s="148">
        <f t="shared" si="366"/>
        <v>321976.21999999997</v>
      </c>
      <c r="AP65" s="434">
        <f t="shared" si="407"/>
        <v>0</v>
      </c>
      <c r="AQ65" s="140" t="e">
        <f t="shared" si="336"/>
        <v>#VALUE!</v>
      </c>
      <c r="AR65" s="326" t="str">
        <f t="shared" si="337"/>
        <v/>
      </c>
      <c r="AS65" s="333">
        <f t="shared" si="338"/>
        <v>92689.08</v>
      </c>
      <c r="AT65" s="125">
        <f t="shared" si="408"/>
        <v>0</v>
      </c>
      <c r="AU65" s="140" t="e">
        <f t="shared" si="42"/>
        <v>#VALUE!</v>
      </c>
      <c r="AV65" s="123" t="str">
        <f t="shared" si="217"/>
        <v/>
      </c>
      <c r="AW65" s="125">
        <f t="shared" si="218"/>
        <v>0</v>
      </c>
      <c r="AX65" s="122" t="e">
        <f t="shared" ref="AX65:AZ65" si="421">AU65+AQ65+AM65</f>
        <v>#VALUE!</v>
      </c>
      <c r="AY65" s="326" t="e">
        <f t="shared" si="421"/>
        <v>#VALUE!</v>
      </c>
      <c r="AZ65" s="332">
        <f t="shared" si="421"/>
        <v>414665.3</v>
      </c>
      <c r="BA65" s="140" t="e">
        <f t="shared" ref="BA65:BC65" si="422">AX65+AG65</f>
        <v>#VALUE!</v>
      </c>
      <c r="BB65" s="326" t="e">
        <f t="shared" si="422"/>
        <v>#VALUE!</v>
      </c>
      <c r="BC65" s="435">
        <f t="shared" si="422"/>
        <v>754080.71</v>
      </c>
      <c r="BD65" s="123">
        <f t="shared" si="411"/>
        <v>0</v>
      </c>
      <c r="BE65" s="123" t="e">
        <f t="shared" si="48"/>
        <v>#VALUE!</v>
      </c>
      <c r="BF65" s="123" t="str">
        <f t="shared" si="221"/>
        <v/>
      </c>
      <c r="BG65" s="148">
        <f t="shared" si="222"/>
        <v>407538.55</v>
      </c>
      <c r="BH65" s="123">
        <f t="shared" si="223"/>
        <v>0</v>
      </c>
      <c r="BI65" s="141" t="e">
        <f t="shared" si="52"/>
        <v>#VALUE!</v>
      </c>
      <c r="BJ65" s="332" t="str">
        <f t="shared" si="224"/>
        <v/>
      </c>
      <c r="BK65" s="333">
        <f t="shared" si="225"/>
        <v>326693.43</v>
      </c>
      <c r="BL65" s="326">
        <f t="shared" si="226"/>
        <v>119012</v>
      </c>
      <c r="BM65" s="326" t="e">
        <f t="shared" si="56"/>
        <v>#VALUE!</v>
      </c>
      <c r="BN65" s="326" t="str">
        <f t="shared" si="227"/>
        <v/>
      </c>
      <c r="BO65" s="332">
        <f t="shared" si="228"/>
        <v>320988.09999999998</v>
      </c>
      <c r="BP65" s="140" t="e">
        <f t="shared" ref="BP65:BR65" si="423">SUM(BM65,BI65,BE65)</f>
        <v>#VALUE!</v>
      </c>
      <c r="BQ65" s="326">
        <f t="shared" si="423"/>
        <v>0</v>
      </c>
      <c r="BR65" s="333">
        <f t="shared" si="423"/>
        <v>1055220.08</v>
      </c>
      <c r="BS65" s="125">
        <f t="shared" si="230"/>
        <v>287846.71999999997</v>
      </c>
      <c r="BT65" s="140" t="e">
        <f t="shared" si="61"/>
        <v>#VALUE!</v>
      </c>
      <c r="BU65" s="123" t="str">
        <f t="shared" si="231"/>
        <v/>
      </c>
      <c r="BV65" s="148">
        <f t="shared" si="232"/>
        <v>886008.34</v>
      </c>
      <c r="BW65" s="123">
        <f t="shared" si="233"/>
        <v>763967.92</v>
      </c>
      <c r="BX65" s="326">
        <f t="shared" si="234"/>
        <v>249295.68</v>
      </c>
      <c r="BY65" s="297"/>
      <c r="BZ65" s="553"/>
      <c r="CF65" s="294"/>
      <c r="CG65" s="294"/>
      <c r="CR65" s="294"/>
    </row>
    <row r="66" spans="1:96" ht="13">
      <c r="A66" s="546">
        <f t="shared" ref="A66:A96" si="424">VLOOKUP(I66,RETCAR4,3,FALSE)</f>
        <v>112010619</v>
      </c>
      <c r="B66" s="547">
        <f t="shared" ref="B66:B96" si="425">VLOOKUP(I66,RETAMCART2,2,FALSE)</f>
        <v>1</v>
      </c>
      <c r="C66" s="137" t="str">
        <f t="shared" ref="C66:C97" si="426">IFERROR(VLOOKUP(B66,DES,2,FALSE),"")</f>
        <v>Lista</v>
      </c>
      <c r="D66" s="137">
        <f t="shared" ref="D66:D96" si="427">IFERROR(VLOOKUP(B66,DES,3,FALSE),"")</f>
        <v>0.09</v>
      </c>
      <c r="E66" s="98">
        <f t="shared" ref="E66:E96" si="428">IFERROR(VLOOKUP(B66,DES,4,FALSE),"")</f>
        <v>0</v>
      </c>
      <c r="F66" s="414">
        <f t="shared" ref="F66:F96" si="429">VLOOKUP(I66,RETCAR4,2,FALSE)</f>
        <v>71</v>
      </c>
      <c r="G66" s="94" t="str">
        <f t="shared" ref="G66:G97" si="430">IFERROR(VLOOKUP(F66,A458DC1025,2,FALSE),"")</f>
        <v>Lista</v>
      </c>
      <c r="H66" s="415">
        <f t="shared" ref="H66:H97" si="431">IFERROR(VLOOKUP(F66,A458DC1025,3,FALSE),"")</f>
        <v>0.05</v>
      </c>
      <c r="I66" s="589" t="s">
        <v>455</v>
      </c>
      <c r="J66" s="436">
        <f t="shared" si="396"/>
        <v>0</v>
      </c>
      <c r="K66" s="141">
        <f t="shared" si="413"/>
        <v>0</v>
      </c>
      <c r="L66" s="140" t="e">
        <f t="shared" si="344"/>
        <v>#VALUE!</v>
      </c>
      <c r="M66" s="116" t="str">
        <f t="shared" si="345"/>
        <v/>
      </c>
      <c r="N66" s="333">
        <f t="shared" si="346"/>
        <v>0</v>
      </c>
      <c r="O66" s="123">
        <f t="shared" si="397"/>
        <v>0</v>
      </c>
      <c r="P66" s="98" t="str">
        <f t="shared" si="398"/>
        <v/>
      </c>
      <c r="Q66" s="125">
        <f t="shared" si="399"/>
        <v>0</v>
      </c>
      <c r="R66" s="141">
        <f t="shared" si="414"/>
        <v>0</v>
      </c>
      <c r="S66" s="140" t="e">
        <f t="shared" si="350"/>
        <v>#VALUE!</v>
      </c>
      <c r="T66" s="326" t="str">
        <f t="shared" si="351"/>
        <v/>
      </c>
      <c r="U66" s="333">
        <f t="shared" si="352"/>
        <v>0</v>
      </c>
      <c r="V66" s="123">
        <f t="shared" si="400"/>
        <v>0</v>
      </c>
      <c r="W66" s="98" t="str">
        <f t="shared" si="419"/>
        <v/>
      </c>
      <c r="X66" s="123">
        <f t="shared" si="402"/>
        <v>0</v>
      </c>
      <c r="Y66" s="326">
        <f t="shared" si="403"/>
        <v>0</v>
      </c>
      <c r="Z66" s="116" t="e">
        <f t="shared" si="355"/>
        <v>#VALUE!</v>
      </c>
      <c r="AA66" s="561" t="str">
        <f t="shared" si="356"/>
        <v/>
      </c>
      <c r="AB66" s="561">
        <f t="shared" si="357"/>
        <v>0</v>
      </c>
      <c r="AC66" s="116">
        <f t="shared" si="391"/>
        <v>0</v>
      </c>
      <c r="AD66" s="97" t="str">
        <f t="shared" si="392"/>
        <v/>
      </c>
      <c r="AE66" s="433">
        <f t="shared" si="404"/>
        <v>0</v>
      </c>
      <c r="AF66" s="550">
        <f t="shared" si="360"/>
        <v>225052.45</v>
      </c>
      <c r="AG66" s="496" t="e">
        <f t="shared" ref="AG66:AI66" si="432">SUM(Z66,S66,S66,L66)</f>
        <v>#VALUE!</v>
      </c>
      <c r="AH66" s="496">
        <f t="shared" si="432"/>
        <v>0</v>
      </c>
      <c r="AI66" s="496">
        <f t="shared" si="432"/>
        <v>0</v>
      </c>
      <c r="AJ66" s="551">
        <f t="shared" si="362"/>
        <v>-225052.45</v>
      </c>
      <c r="AK66" s="552">
        <f t="shared" si="363"/>
        <v>0</v>
      </c>
      <c r="AL66" s="434">
        <f t="shared" si="406"/>
        <v>151130</v>
      </c>
      <c r="AM66" s="140" t="e">
        <f t="shared" si="364"/>
        <v>#VALUE!</v>
      </c>
      <c r="AN66" s="123" t="str">
        <f t="shared" si="365"/>
        <v/>
      </c>
      <c r="AO66" s="148">
        <f t="shared" si="366"/>
        <v>0</v>
      </c>
      <c r="AP66" s="434">
        <f t="shared" si="407"/>
        <v>0</v>
      </c>
      <c r="AQ66" s="140" t="e">
        <f t="shared" si="336"/>
        <v>#VALUE!</v>
      </c>
      <c r="AR66" s="326" t="str">
        <f t="shared" si="337"/>
        <v/>
      </c>
      <c r="AS66" s="333">
        <f t="shared" si="338"/>
        <v>0</v>
      </c>
      <c r="AT66" s="125">
        <f t="shared" si="408"/>
        <v>0</v>
      </c>
      <c r="AU66" s="140" t="e">
        <f t="shared" si="42"/>
        <v>#VALUE!</v>
      </c>
      <c r="AV66" s="123" t="str">
        <f t="shared" ref="AV66:AV96" si="433">IFERROR(VLOOKUP(I66,RETAALIM,8,FALSE),"")</f>
        <v/>
      </c>
      <c r="AW66" s="125">
        <f t="shared" ref="AW66:AW96" si="434">IFERROR(VLOOKUP(I66,RETFC,8,FALSE),"")</f>
        <v>52104.88</v>
      </c>
      <c r="AX66" s="122" t="e">
        <f t="shared" ref="AX66:AZ66" si="435">AU66+AQ66+AM66</f>
        <v>#VALUE!</v>
      </c>
      <c r="AY66" s="326" t="e">
        <f t="shared" si="435"/>
        <v>#VALUE!</v>
      </c>
      <c r="AZ66" s="332">
        <f t="shared" si="435"/>
        <v>52104.88</v>
      </c>
      <c r="BA66" s="140" t="e">
        <f t="shared" ref="BA66:BC66" si="436">AX66+AG66</f>
        <v>#VALUE!</v>
      </c>
      <c r="BB66" s="326" t="e">
        <f t="shared" si="436"/>
        <v>#VALUE!</v>
      </c>
      <c r="BC66" s="435">
        <f t="shared" si="436"/>
        <v>52104.88</v>
      </c>
      <c r="BD66" s="123">
        <f t="shared" si="411"/>
        <v>0</v>
      </c>
      <c r="BE66" s="123" t="e">
        <f t="shared" si="48"/>
        <v>#VALUE!</v>
      </c>
      <c r="BF66" s="123" t="str">
        <f t="shared" ref="BF66:BF96" si="437">IFERROR(VLOOKUP(I66,RETAALIM,9,FALSE),"")</f>
        <v/>
      </c>
      <c r="BG66" s="148">
        <f t="shared" ref="BG66:BG96" si="438">IFERROR(VLOOKUP(I66,RETFC,9,FALSE),"")</f>
        <v>0</v>
      </c>
      <c r="BH66" s="123">
        <f t="shared" ref="BH66:BH96" si="439">IFERROR(VLOOKUP(I66,RETAMAR24,10,FALSE),"")</f>
        <v>0</v>
      </c>
      <c r="BI66" s="141" t="e">
        <f t="shared" si="52"/>
        <v>#VALUE!</v>
      </c>
      <c r="BJ66" s="332" t="str">
        <f t="shared" ref="BJ66:BJ96" si="440">IFERROR(VLOOKUP(I66,RETAALIM,10,FALSE),"")</f>
        <v/>
      </c>
      <c r="BK66" s="333">
        <f t="shared" ref="BK66:BK96" si="441">IFERROR(VLOOKUP(I66,RETFC,10,FALSE),"")</f>
        <v>11216.8</v>
      </c>
      <c r="BL66" s="326">
        <f t="shared" ref="BL66:BL96" si="442">IFERROR(VLOOKUP(I66,RETAMAR24,11,FALSE),"")</f>
        <v>0</v>
      </c>
      <c r="BM66" s="326" t="e">
        <f t="shared" si="56"/>
        <v>#VALUE!</v>
      </c>
      <c r="BN66" s="326" t="str">
        <f t="shared" ref="BN66:BN96" si="443">IFERROR(VLOOKUP(I66,RETAALIM,11,FALSE),"")</f>
        <v/>
      </c>
      <c r="BO66" s="332">
        <f t="shared" ref="BO66:BO96" si="444">IFERROR(VLOOKUP(I66,RETFC,11,FALSE),"")</f>
        <v>0</v>
      </c>
      <c r="BP66" s="140" t="e">
        <f t="shared" ref="BP66:BR66" si="445">SUM(BM66,BI66,BE66)</f>
        <v>#VALUE!</v>
      </c>
      <c r="BQ66" s="326">
        <f t="shared" si="445"/>
        <v>0</v>
      </c>
      <c r="BR66" s="333">
        <f t="shared" si="445"/>
        <v>11216.8</v>
      </c>
      <c r="BS66" s="125">
        <f t="shared" ref="BS66:BS96" si="446">IFERROR(VLOOKUP(I66,RETAMAR24,12,FALSE),"")</f>
        <v>188912.5</v>
      </c>
      <c r="BT66" s="140" t="e">
        <f t="shared" si="61"/>
        <v>#VALUE!</v>
      </c>
      <c r="BU66" s="123" t="str">
        <f t="shared" ref="BU66:BU96" si="447">IFERROR(VLOOKUP(I66,RETAALIM,12,FALSE),"")</f>
        <v/>
      </c>
      <c r="BV66" s="148">
        <f t="shared" ref="BV66:BV96" si="448">IFERROR(VLOOKUP(I66,RETFC,12,FALSE),"")</f>
        <v>0</v>
      </c>
      <c r="BW66" s="123">
        <f t="shared" ref="BW66:BW96" si="449">IFERROR(VLOOKUP(I66,RETAMAR24,13,FALSE),"")</f>
        <v>0</v>
      </c>
      <c r="BX66" s="326">
        <f t="shared" ref="BX66:BX96" si="450">IFERROR(VLOOKUP(I66,RETAMAR24,14,FALSE),"")</f>
        <v>36139.949999999997</v>
      </c>
      <c r="BY66" s="297"/>
      <c r="BZ66" s="553"/>
      <c r="CF66" s="294"/>
      <c r="CG66" s="294"/>
      <c r="CR66" s="294"/>
    </row>
    <row r="67" spans="1:96" ht="13">
      <c r="A67" s="546">
        <f t="shared" si="424"/>
        <v>112014768</v>
      </c>
      <c r="B67" s="547">
        <f t="shared" si="425"/>
        <v>1</v>
      </c>
      <c r="C67" s="137" t="str">
        <f t="shared" si="426"/>
        <v>Lista</v>
      </c>
      <c r="D67" s="137">
        <f t="shared" si="427"/>
        <v>0.09</v>
      </c>
      <c r="E67" s="98">
        <f t="shared" si="428"/>
        <v>0</v>
      </c>
      <c r="F67" s="414">
        <f t="shared" si="429"/>
        <v>71</v>
      </c>
      <c r="G67" s="94" t="str">
        <f t="shared" si="430"/>
        <v>Lista</v>
      </c>
      <c r="H67" s="415">
        <f t="shared" si="431"/>
        <v>0.05</v>
      </c>
      <c r="I67" s="589" t="s">
        <v>456</v>
      </c>
      <c r="J67" s="436" t="str">
        <f t="shared" si="396"/>
        <v/>
      </c>
      <c r="K67" s="141" t="e">
        <f t="shared" si="413"/>
        <v>#VALUE!</v>
      </c>
      <c r="L67" s="140" t="e">
        <f t="shared" si="344"/>
        <v>#VALUE!</v>
      </c>
      <c r="M67" s="116" t="str">
        <f t="shared" si="345"/>
        <v/>
      </c>
      <c r="N67" s="333">
        <f t="shared" si="346"/>
        <v>0</v>
      </c>
      <c r="O67" s="123" t="e">
        <f t="shared" si="397"/>
        <v>#VALUE!</v>
      </c>
      <c r="P67" s="98" t="str">
        <f t="shared" si="398"/>
        <v/>
      </c>
      <c r="Q67" s="125" t="str">
        <f t="shared" si="399"/>
        <v/>
      </c>
      <c r="R67" s="141" t="e">
        <f t="shared" si="414"/>
        <v>#VALUE!</v>
      </c>
      <c r="S67" s="140" t="e">
        <f t="shared" si="350"/>
        <v>#VALUE!</v>
      </c>
      <c r="T67" s="326" t="str">
        <f t="shared" si="351"/>
        <v/>
      </c>
      <c r="U67" s="333">
        <f t="shared" si="352"/>
        <v>0</v>
      </c>
      <c r="V67" s="123" t="e">
        <f t="shared" si="400"/>
        <v>#VALUE!</v>
      </c>
      <c r="W67" s="98" t="str">
        <f t="shared" si="419"/>
        <v/>
      </c>
      <c r="X67" s="123" t="str">
        <f t="shared" si="402"/>
        <v/>
      </c>
      <c r="Y67" s="326" t="e">
        <f t="shared" si="403"/>
        <v>#VALUE!</v>
      </c>
      <c r="Z67" s="116" t="e">
        <f t="shared" si="355"/>
        <v>#VALUE!</v>
      </c>
      <c r="AA67" s="561" t="str">
        <f t="shared" si="356"/>
        <v/>
      </c>
      <c r="AB67" s="561">
        <f t="shared" si="357"/>
        <v>0</v>
      </c>
      <c r="AC67" s="116" t="e">
        <f t="shared" si="391"/>
        <v>#VALUE!</v>
      </c>
      <c r="AD67" s="97" t="str">
        <f t="shared" si="392"/>
        <v/>
      </c>
      <c r="AE67" s="433" t="e">
        <f t="shared" si="404"/>
        <v>#VALUE!</v>
      </c>
      <c r="AF67" s="550" t="str">
        <f t="shared" si="360"/>
        <v>0</v>
      </c>
      <c r="AG67" s="496" t="e">
        <f t="shared" ref="AG67:AI67" si="451">SUM(Z67,S67,S67,L67)</f>
        <v>#VALUE!</v>
      </c>
      <c r="AH67" s="496">
        <f t="shared" si="451"/>
        <v>0</v>
      </c>
      <c r="AI67" s="496">
        <f t="shared" si="451"/>
        <v>0</v>
      </c>
      <c r="AJ67" s="551">
        <f t="shared" si="362"/>
        <v>0</v>
      </c>
      <c r="AK67" s="552" t="str">
        <f t="shared" si="363"/>
        <v/>
      </c>
      <c r="AL67" s="434" t="str">
        <f t="shared" si="406"/>
        <v/>
      </c>
      <c r="AM67" s="140" t="e">
        <f t="shared" si="364"/>
        <v>#VALUE!</v>
      </c>
      <c r="AN67" s="123" t="str">
        <f t="shared" si="365"/>
        <v/>
      </c>
      <c r="AO67" s="148">
        <f t="shared" si="366"/>
        <v>0</v>
      </c>
      <c r="AP67" s="434" t="str">
        <f t="shared" si="407"/>
        <v/>
      </c>
      <c r="AQ67" s="140" t="e">
        <f t="shared" si="336"/>
        <v>#VALUE!</v>
      </c>
      <c r="AR67" s="326" t="str">
        <f t="shared" si="337"/>
        <v/>
      </c>
      <c r="AS67" s="333">
        <f t="shared" si="338"/>
        <v>0</v>
      </c>
      <c r="AT67" s="125" t="str">
        <f t="shared" si="408"/>
        <v/>
      </c>
      <c r="AU67" s="140" t="e">
        <f t="shared" si="42"/>
        <v>#VALUE!</v>
      </c>
      <c r="AV67" s="123" t="str">
        <f t="shared" si="433"/>
        <v/>
      </c>
      <c r="AW67" s="125">
        <f t="shared" si="434"/>
        <v>0</v>
      </c>
      <c r="AX67" s="122" t="e">
        <f t="shared" ref="AX67:AZ67" si="452">AU67+AQ67+AM67</f>
        <v>#VALUE!</v>
      </c>
      <c r="AY67" s="326" t="e">
        <f t="shared" si="452"/>
        <v>#VALUE!</v>
      </c>
      <c r="AZ67" s="332">
        <f t="shared" si="452"/>
        <v>0</v>
      </c>
      <c r="BA67" s="140" t="e">
        <f t="shared" ref="BA67:BC67" si="453">AX67+AG67</f>
        <v>#VALUE!</v>
      </c>
      <c r="BB67" s="326" t="e">
        <f t="shared" si="453"/>
        <v>#VALUE!</v>
      </c>
      <c r="BC67" s="435">
        <f t="shared" si="453"/>
        <v>0</v>
      </c>
      <c r="BD67" s="123" t="str">
        <f t="shared" si="411"/>
        <v/>
      </c>
      <c r="BE67" s="123" t="e">
        <f t="shared" si="48"/>
        <v>#VALUE!</v>
      </c>
      <c r="BF67" s="123" t="str">
        <f t="shared" si="437"/>
        <v/>
      </c>
      <c r="BG67" s="148">
        <f t="shared" si="438"/>
        <v>0</v>
      </c>
      <c r="BH67" s="123" t="str">
        <f t="shared" si="439"/>
        <v/>
      </c>
      <c r="BI67" s="141" t="e">
        <f t="shared" si="52"/>
        <v>#VALUE!</v>
      </c>
      <c r="BJ67" s="332" t="str">
        <f t="shared" si="440"/>
        <v/>
      </c>
      <c r="BK67" s="333">
        <f t="shared" si="441"/>
        <v>0</v>
      </c>
      <c r="BL67" s="326" t="str">
        <f t="shared" si="442"/>
        <v/>
      </c>
      <c r="BM67" s="326" t="e">
        <f t="shared" si="56"/>
        <v>#VALUE!</v>
      </c>
      <c r="BN67" s="326" t="str">
        <f t="shared" si="443"/>
        <v/>
      </c>
      <c r="BO67" s="332">
        <f t="shared" si="444"/>
        <v>69812.86</v>
      </c>
      <c r="BP67" s="140" t="e">
        <f t="shared" ref="BP67:BR67" si="454">SUM(BM67,BI67,BE67)</f>
        <v>#VALUE!</v>
      </c>
      <c r="BQ67" s="326">
        <f t="shared" si="454"/>
        <v>0</v>
      </c>
      <c r="BR67" s="333">
        <f t="shared" si="454"/>
        <v>69812.86</v>
      </c>
      <c r="BS67" s="125" t="str">
        <f t="shared" si="446"/>
        <v/>
      </c>
      <c r="BT67" s="140" t="e">
        <f t="shared" si="61"/>
        <v>#VALUE!</v>
      </c>
      <c r="BU67" s="123" t="str">
        <f t="shared" si="447"/>
        <v/>
      </c>
      <c r="BV67" s="148">
        <f t="shared" si="448"/>
        <v>953673.25</v>
      </c>
      <c r="BW67" s="123" t="str">
        <f t="shared" si="449"/>
        <v/>
      </c>
      <c r="BX67" s="326" t="str">
        <f t="shared" si="450"/>
        <v/>
      </c>
      <c r="BY67" s="297"/>
      <c r="BZ67" s="553"/>
      <c r="CF67" s="294"/>
      <c r="CG67" s="294"/>
      <c r="CR67" s="294"/>
    </row>
    <row r="68" spans="1:96" ht="13">
      <c r="A68" s="546">
        <f t="shared" si="424"/>
        <v>112010691</v>
      </c>
      <c r="B68" s="547">
        <f t="shared" si="425"/>
        <v>1</v>
      </c>
      <c r="C68" s="137" t="str">
        <f t="shared" si="426"/>
        <v>Lista</v>
      </c>
      <c r="D68" s="137">
        <f t="shared" si="427"/>
        <v>0.09</v>
      </c>
      <c r="E68" s="98">
        <f t="shared" si="428"/>
        <v>0</v>
      </c>
      <c r="F68" s="414">
        <f t="shared" si="429"/>
        <v>71</v>
      </c>
      <c r="G68" s="94" t="str">
        <f t="shared" si="430"/>
        <v>Lista</v>
      </c>
      <c r="H68" s="415">
        <f t="shared" si="431"/>
        <v>0.05</v>
      </c>
      <c r="I68" s="589" t="s">
        <v>457</v>
      </c>
      <c r="J68" s="436">
        <f t="shared" si="396"/>
        <v>331808.58</v>
      </c>
      <c r="K68" s="141">
        <f t="shared" si="413"/>
        <v>557786.81340900005</v>
      </c>
      <c r="L68" s="140" t="e">
        <f t="shared" si="344"/>
        <v>#VALUE!</v>
      </c>
      <c r="M68" s="116" t="str">
        <f t="shared" si="345"/>
        <v/>
      </c>
      <c r="N68" s="333">
        <f t="shared" si="346"/>
        <v>0</v>
      </c>
      <c r="O68" s="123">
        <f t="shared" si="397"/>
        <v>-557786.81340900005</v>
      </c>
      <c r="P68" s="98">
        <f t="shared" si="398"/>
        <v>0</v>
      </c>
      <c r="Q68" s="125">
        <f t="shared" si="399"/>
        <v>302931</v>
      </c>
      <c r="R68" s="141">
        <f t="shared" si="414"/>
        <v>548524.73497500003</v>
      </c>
      <c r="S68" s="140" t="e">
        <f t="shared" si="350"/>
        <v>#VALUE!</v>
      </c>
      <c r="T68" s="326" t="str">
        <f t="shared" si="351"/>
        <v/>
      </c>
      <c r="U68" s="333">
        <f t="shared" si="352"/>
        <v>227005.59</v>
      </c>
      <c r="V68" s="123">
        <f t="shared" si="400"/>
        <v>-321519.14497500006</v>
      </c>
      <c r="W68" s="98">
        <f t="shared" si="419"/>
        <v>0.41384749953043809</v>
      </c>
      <c r="X68" s="123">
        <f t="shared" si="402"/>
        <v>416152.18</v>
      </c>
      <c r="Y68" s="326">
        <f t="shared" si="403"/>
        <v>697169.34334950009</v>
      </c>
      <c r="Z68" s="116" t="e">
        <f t="shared" si="355"/>
        <v>#VALUE!</v>
      </c>
      <c r="AA68" s="561" t="str">
        <f t="shared" si="356"/>
        <v/>
      </c>
      <c r="AB68" s="561">
        <f t="shared" si="357"/>
        <v>0</v>
      </c>
      <c r="AC68" s="116">
        <f t="shared" si="391"/>
        <v>-697169.34334950009</v>
      </c>
      <c r="AD68" s="97">
        <f t="shared" si="392"/>
        <v>0</v>
      </c>
      <c r="AE68" s="433">
        <f t="shared" si="404"/>
        <v>1803480.8917335002</v>
      </c>
      <c r="AF68" s="550">
        <f t="shared" si="360"/>
        <v>824451.79</v>
      </c>
      <c r="AG68" s="496" t="e">
        <f t="shared" ref="AG68:AI68" si="455">SUM(Z68,S68,S68,L68)</f>
        <v>#VALUE!</v>
      </c>
      <c r="AH68" s="496">
        <f t="shared" si="455"/>
        <v>0</v>
      </c>
      <c r="AI68" s="496">
        <f t="shared" si="455"/>
        <v>454011.18</v>
      </c>
      <c r="AJ68" s="551">
        <f t="shared" si="362"/>
        <v>-370440.61000000004</v>
      </c>
      <c r="AK68" s="552">
        <f t="shared" si="363"/>
        <v>0.5506825086764624</v>
      </c>
      <c r="AL68" s="434">
        <f t="shared" si="406"/>
        <v>97213.55</v>
      </c>
      <c r="AM68" s="140" t="e">
        <f t="shared" si="364"/>
        <v>#VALUE!</v>
      </c>
      <c r="AN68" s="123" t="str">
        <f t="shared" si="365"/>
        <v/>
      </c>
      <c r="AO68" s="148">
        <f t="shared" si="366"/>
        <v>250986.23999999999</v>
      </c>
      <c r="AP68" s="434">
        <f t="shared" si="407"/>
        <v>213425.8</v>
      </c>
      <c r="AQ68" s="140" t="e">
        <f t="shared" si="336"/>
        <v>#VALUE!</v>
      </c>
      <c r="AR68" s="326" t="str">
        <f t="shared" si="337"/>
        <v/>
      </c>
      <c r="AS68" s="333">
        <f t="shared" si="338"/>
        <v>147329.04999999999</v>
      </c>
      <c r="AT68" s="125">
        <f t="shared" si="408"/>
        <v>159743.76</v>
      </c>
      <c r="AU68" s="140" t="e">
        <f t="shared" si="42"/>
        <v>#VALUE!</v>
      </c>
      <c r="AV68" s="123" t="str">
        <f t="shared" si="433"/>
        <v/>
      </c>
      <c r="AW68" s="125">
        <f t="shared" si="434"/>
        <v>0</v>
      </c>
      <c r="AX68" s="122" t="e">
        <f t="shared" ref="AX68:AZ68" si="456">AU68+AQ68+AM68</f>
        <v>#VALUE!</v>
      </c>
      <c r="AY68" s="326" t="e">
        <f t="shared" si="456"/>
        <v>#VALUE!</v>
      </c>
      <c r="AZ68" s="332">
        <f t="shared" si="456"/>
        <v>398315.29</v>
      </c>
      <c r="BA68" s="140" t="e">
        <f t="shared" ref="BA68:BC68" si="457">AX68+AG68</f>
        <v>#VALUE!</v>
      </c>
      <c r="BB68" s="326" t="e">
        <f t="shared" si="457"/>
        <v>#VALUE!</v>
      </c>
      <c r="BC68" s="435">
        <f t="shared" si="457"/>
        <v>852326.47</v>
      </c>
      <c r="BD68" s="123">
        <f t="shared" si="411"/>
        <v>408208.6</v>
      </c>
      <c r="BE68" s="123" t="e">
        <f t="shared" si="48"/>
        <v>#VALUE!</v>
      </c>
      <c r="BF68" s="123" t="str">
        <f t="shared" si="437"/>
        <v/>
      </c>
      <c r="BG68" s="148">
        <f t="shared" si="438"/>
        <v>304592.71999999997</v>
      </c>
      <c r="BH68" s="123">
        <f t="shared" si="439"/>
        <v>259373.96</v>
      </c>
      <c r="BI68" s="141" t="e">
        <f t="shared" si="52"/>
        <v>#VALUE!</v>
      </c>
      <c r="BJ68" s="332" t="str">
        <f t="shared" si="440"/>
        <v/>
      </c>
      <c r="BK68" s="333">
        <f t="shared" si="441"/>
        <v>205057.24</v>
      </c>
      <c r="BL68" s="326">
        <f t="shared" si="442"/>
        <v>135746.1</v>
      </c>
      <c r="BM68" s="326" t="e">
        <f t="shared" si="56"/>
        <v>#VALUE!</v>
      </c>
      <c r="BN68" s="326" t="str">
        <f t="shared" si="443"/>
        <v/>
      </c>
      <c r="BO68" s="332">
        <f t="shared" si="444"/>
        <v>655942.56999999995</v>
      </c>
      <c r="BP68" s="140" t="e">
        <f t="shared" ref="BP68:BR68" si="458">SUM(BM68,BI68,BE68)</f>
        <v>#VALUE!</v>
      </c>
      <c r="BQ68" s="326">
        <f t="shared" si="458"/>
        <v>0</v>
      </c>
      <c r="BR68" s="333">
        <f t="shared" si="458"/>
        <v>1165592.5299999998</v>
      </c>
      <c r="BS68" s="125">
        <f t="shared" si="446"/>
        <v>162842.70000000001</v>
      </c>
      <c r="BT68" s="140" t="e">
        <f t="shared" si="61"/>
        <v>#VALUE!</v>
      </c>
      <c r="BU68" s="123" t="str">
        <f t="shared" si="447"/>
        <v/>
      </c>
      <c r="BV68" s="148">
        <f t="shared" si="448"/>
        <v>348363.48</v>
      </c>
      <c r="BW68" s="123">
        <f t="shared" si="449"/>
        <v>357906.29</v>
      </c>
      <c r="BX68" s="326">
        <f t="shared" si="450"/>
        <v>303702.8</v>
      </c>
      <c r="BY68" s="297"/>
      <c r="BZ68" s="553"/>
      <c r="CF68" s="294"/>
      <c r="CG68" s="294"/>
      <c r="CR68" s="294"/>
    </row>
    <row r="69" spans="1:96" ht="13">
      <c r="A69" s="546">
        <f t="shared" si="424"/>
        <v>112010763</v>
      </c>
      <c r="B69" s="547">
        <f t="shared" si="425"/>
        <v>1</v>
      </c>
      <c r="C69" s="137" t="str">
        <f t="shared" si="426"/>
        <v>Lista</v>
      </c>
      <c r="D69" s="137">
        <f t="shared" si="427"/>
        <v>0.09</v>
      </c>
      <c r="E69" s="98">
        <f t="shared" si="428"/>
        <v>0</v>
      </c>
      <c r="F69" s="414">
        <f t="shared" si="429"/>
        <v>71</v>
      </c>
      <c r="G69" s="94" t="str">
        <f t="shared" si="430"/>
        <v>Lista</v>
      </c>
      <c r="H69" s="415">
        <f t="shared" si="431"/>
        <v>0.05</v>
      </c>
      <c r="I69" s="589" t="s">
        <v>458</v>
      </c>
      <c r="J69" s="436">
        <f t="shared" si="396"/>
        <v>518745.03</v>
      </c>
      <c r="K69" s="141">
        <f t="shared" si="413"/>
        <v>872036.33268150012</v>
      </c>
      <c r="L69" s="140">
        <f t="shared" si="344"/>
        <v>868113.03</v>
      </c>
      <c r="M69" s="116">
        <f t="shared" si="345"/>
        <v>0</v>
      </c>
      <c r="N69" s="333">
        <f t="shared" si="346"/>
        <v>868113.03</v>
      </c>
      <c r="O69" s="123">
        <f t="shared" si="397"/>
        <v>-3923.3026815000921</v>
      </c>
      <c r="P69" s="98">
        <f t="shared" si="398"/>
        <v>0.9955009871326852</v>
      </c>
      <c r="Q69" s="125">
        <f t="shared" si="399"/>
        <v>378818.26</v>
      </c>
      <c r="R69" s="141">
        <f t="shared" si="414"/>
        <v>685935.69383849995</v>
      </c>
      <c r="S69" s="140">
        <f t="shared" si="350"/>
        <v>330787.84000000003</v>
      </c>
      <c r="T69" s="326">
        <f t="shared" si="351"/>
        <v>68894.23</v>
      </c>
      <c r="U69" s="333">
        <f t="shared" si="352"/>
        <v>399682.07</v>
      </c>
      <c r="V69" s="123">
        <f t="shared" si="400"/>
        <v>-286253.62383849995</v>
      </c>
      <c r="W69" s="98">
        <f t="shared" si="419"/>
        <v>0.58268154520925564</v>
      </c>
      <c r="X69" s="123">
        <f t="shared" si="402"/>
        <v>341378.07</v>
      </c>
      <c r="Y69" s="326">
        <f t="shared" si="403"/>
        <v>571902.14621924993</v>
      </c>
      <c r="Z69" s="116">
        <f t="shared" si="355"/>
        <v>604761.99</v>
      </c>
      <c r="AA69" s="561">
        <f t="shared" si="356"/>
        <v>0</v>
      </c>
      <c r="AB69" s="561">
        <f t="shared" si="357"/>
        <v>604761.99</v>
      </c>
      <c r="AC69" s="116">
        <f t="shared" si="391"/>
        <v>32859.84378075006</v>
      </c>
      <c r="AD69" s="97">
        <f t="shared" si="392"/>
        <v>1.0574571086994182</v>
      </c>
      <c r="AE69" s="433">
        <f t="shared" si="404"/>
        <v>2129874.1727392501</v>
      </c>
      <c r="AF69" s="550">
        <f t="shared" si="360"/>
        <v>1923973.06</v>
      </c>
      <c r="AG69" s="496">
        <f t="shared" ref="AG69:AI69" si="459">SUM(Z69,S69,S69,L69)</f>
        <v>2134450.7000000002</v>
      </c>
      <c r="AH69" s="496">
        <f t="shared" si="459"/>
        <v>137788.46</v>
      </c>
      <c r="AI69" s="496">
        <f t="shared" si="459"/>
        <v>2272239.16</v>
      </c>
      <c r="AJ69" s="551">
        <f t="shared" si="362"/>
        <v>348266.10000000009</v>
      </c>
      <c r="AK69" s="552">
        <f t="shared" si="363"/>
        <v>1.1810140210591098</v>
      </c>
      <c r="AL69" s="434">
        <f t="shared" si="406"/>
        <v>435778.71</v>
      </c>
      <c r="AM69" s="140">
        <f t="shared" si="364"/>
        <v>1134154.55</v>
      </c>
      <c r="AN69" s="123">
        <f t="shared" si="365"/>
        <v>91885.49</v>
      </c>
      <c r="AO69" s="148">
        <f t="shared" si="366"/>
        <v>1226040.04</v>
      </c>
      <c r="AP69" s="434">
        <f t="shared" si="407"/>
        <v>503187.07</v>
      </c>
      <c r="AQ69" s="140">
        <f t="shared" si="336"/>
        <v>742397.29</v>
      </c>
      <c r="AR69" s="326">
        <f t="shared" si="337"/>
        <v>56496.11</v>
      </c>
      <c r="AS69" s="333">
        <f t="shared" si="338"/>
        <v>798893.4</v>
      </c>
      <c r="AT69" s="125">
        <f t="shared" si="408"/>
        <v>366816.16</v>
      </c>
      <c r="AU69" s="140">
        <f t="shared" si="42"/>
        <v>459018.93000000005</v>
      </c>
      <c r="AV69" s="123">
        <f t="shared" si="433"/>
        <v>22558.41</v>
      </c>
      <c r="AW69" s="125">
        <f t="shared" si="434"/>
        <v>481577.34</v>
      </c>
      <c r="AX69" s="122">
        <f t="shared" ref="AX69:AZ69" si="460">AU69+AQ69+AM69</f>
        <v>2335570.7700000005</v>
      </c>
      <c r="AY69" s="326">
        <f t="shared" si="460"/>
        <v>170940.01</v>
      </c>
      <c r="AZ69" s="332">
        <f t="shared" si="460"/>
        <v>2506510.7800000003</v>
      </c>
      <c r="BA69" s="140">
        <f t="shared" ref="BA69:BC69" si="461">AX69+AG69</f>
        <v>4470021.4700000007</v>
      </c>
      <c r="BB69" s="326">
        <f t="shared" si="461"/>
        <v>308728.46999999997</v>
      </c>
      <c r="BC69" s="435">
        <f t="shared" si="461"/>
        <v>4778749.9400000004</v>
      </c>
      <c r="BD69" s="123">
        <f t="shared" si="411"/>
        <v>571416.61</v>
      </c>
      <c r="BE69" s="123">
        <f t="shared" si="48"/>
        <v>610379.24</v>
      </c>
      <c r="BF69" s="123">
        <f t="shared" si="437"/>
        <v>75889.210000000006</v>
      </c>
      <c r="BG69" s="148">
        <f t="shared" si="438"/>
        <v>686268.45</v>
      </c>
      <c r="BH69" s="123">
        <f t="shared" si="439"/>
        <v>766602.62</v>
      </c>
      <c r="BI69" s="141">
        <f t="shared" si="52"/>
        <v>484102.17</v>
      </c>
      <c r="BJ69" s="332">
        <f t="shared" si="440"/>
        <v>21655.18</v>
      </c>
      <c r="BK69" s="333">
        <f t="shared" si="441"/>
        <v>505757.35</v>
      </c>
      <c r="BL69" s="326">
        <f t="shared" si="442"/>
        <v>177980.03</v>
      </c>
      <c r="BM69" s="326">
        <f t="shared" si="56"/>
        <v>1076109.6400000001</v>
      </c>
      <c r="BN69" s="326">
        <f t="shared" si="443"/>
        <v>116628.48</v>
      </c>
      <c r="BO69" s="332">
        <f t="shared" si="444"/>
        <v>1192738.1200000001</v>
      </c>
      <c r="BP69" s="140">
        <f t="shared" ref="BP69:BR69" si="462">SUM(BM69,BI69,BE69)</f>
        <v>2170591.0499999998</v>
      </c>
      <c r="BQ69" s="326">
        <f t="shared" si="462"/>
        <v>214172.87</v>
      </c>
      <c r="BR69" s="333">
        <f t="shared" si="462"/>
        <v>2384763.92</v>
      </c>
      <c r="BS69" s="125">
        <f t="shared" si="446"/>
        <v>766292.39</v>
      </c>
      <c r="BT69" s="140">
        <f t="shared" si="61"/>
        <v>884291.19</v>
      </c>
      <c r="BU69" s="123">
        <f t="shared" si="447"/>
        <v>59556.55</v>
      </c>
      <c r="BV69" s="148">
        <f t="shared" si="448"/>
        <v>943847.74</v>
      </c>
      <c r="BW69" s="123">
        <f t="shared" si="449"/>
        <v>614352.93999999994</v>
      </c>
      <c r="BX69" s="326">
        <f t="shared" si="450"/>
        <v>543327.73</v>
      </c>
      <c r="BY69" s="297"/>
      <c r="BZ69" s="553"/>
      <c r="CF69" s="294"/>
      <c r="CG69" s="294"/>
      <c r="CR69" s="294"/>
    </row>
    <row r="70" spans="1:96" ht="13">
      <c r="A70" s="546">
        <f t="shared" si="424"/>
        <v>112010914</v>
      </c>
      <c r="B70" s="547">
        <f t="shared" si="425"/>
        <v>1</v>
      </c>
      <c r="C70" s="137" t="str">
        <f t="shared" si="426"/>
        <v>Lista</v>
      </c>
      <c r="D70" s="137">
        <f t="shared" si="427"/>
        <v>0.09</v>
      </c>
      <c r="E70" s="98">
        <f t="shared" si="428"/>
        <v>0</v>
      </c>
      <c r="F70" s="414">
        <f t="shared" si="429"/>
        <v>71</v>
      </c>
      <c r="G70" s="94" t="str">
        <f t="shared" si="430"/>
        <v>Lista</v>
      </c>
      <c r="H70" s="415">
        <f t="shared" si="431"/>
        <v>0.05</v>
      </c>
      <c r="I70" s="589" t="s">
        <v>459</v>
      </c>
      <c r="J70" s="436">
        <f t="shared" si="396"/>
        <v>1064989.8799999999</v>
      </c>
      <c r="K70" s="141">
        <f t="shared" si="413"/>
        <v>1790301.2377739998</v>
      </c>
      <c r="L70" s="140">
        <f t="shared" si="344"/>
        <v>1690512.58</v>
      </c>
      <c r="M70" s="116">
        <f t="shared" si="345"/>
        <v>69278.42</v>
      </c>
      <c r="N70" s="333">
        <f t="shared" si="346"/>
        <v>1759791</v>
      </c>
      <c r="O70" s="123">
        <f t="shared" si="397"/>
        <v>-30510.237773999805</v>
      </c>
      <c r="P70" s="98">
        <f t="shared" si="398"/>
        <v>0.98295804240635209</v>
      </c>
      <c r="Q70" s="125">
        <f t="shared" si="399"/>
        <v>711331.67</v>
      </c>
      <c r="R70" s="141">
        <f t="shared" si="414"/>
        <v>1288026.0381607499</v>
      </c>
      <c r="S70" s="140">
        <f t="shared" si="350"/>
        <v>670520.8899999999</v>
      </c>
      <c r="T70" s="326">
        <f t="shared" si="351"/>
        <v>45428.55</v>
      </c>
      <c r="U70" s="333">
        <f t="shared" si="352"/>
        <v>715949.44</v>
      </c>
      <c r="V70" s="123">
        <f t="shared" si="400"/>
        <v>-572076.59816075</v>
      </c>
      <c r="W70" s="98">
        <f t="shared" si="419"/>
        <v>0.5558501294138023</v>
      </c>
      <c r="X70" s="123">
        <f t="shared" si="402"/>
        <v>742049.74</v>
      </c>
      <c r="Y70" s="326">
        <f t="shared" si="403"/>
        <v>1243137.3781785001</v>
      </c>
      <c r="Z70" s="116">
        <f t="shared" si="355"/>
        <v>1609099.0899999999</v>
      </c>
      <c r="AA70" s="561">
        <f t="shared" si="356"/>
        <v>48154.3</v>
      </c>
      <c r="AB70" s="561">
        <f t="shared" si="357"/>
        <v>1657253.39</v>
      </c>
      <c r="AC70" s="116">
        <f t="shared" si="391"/>
        <v>414116.01182149979</v>
      </c>
      <c r="AD70" s="97">
        <f t="shared" si="392"/>
        <v>1.3331216799452053</v>
      </c>
      <c r="AE70" s="433">
        <f t="shared" si="404"/>
        <v>4321464.6541132499</v>
      </c>
      <c r="AF70" s="550">
        <f t="shared" si="360"/>
        <v>4232618.75</v>
      </c>
      <c r="AG70" s="496">
        <f t="shared" ref="AG70:AI70" si="463">SUM(Z70,S70,S70,L70)</f>
        <v>4640653.4499999993</v>
      </c>
      <c r="AH70" s="496">
        <f t="shared" si="463"/>
        <v>208289.82</v>
      </c>
      <c r="AI70" s="496">
        <f t="shared" si="463"/>
        <v>4848943.2699999996</v>
      </c>
      <c r="AJ70" s="551">
        <f t="shared" si="362"/>
        <v>616324.51999999955</v>
      </c>
      <c r="AK70" s="552">
        <f t="shared" si="363"/>
        <v>1.1456130486592961</v>
      </c>
      <c r="AL70" s="434">
        <f t="shared" si="406"/>
        <v>1330474.51</v>
      </c>
      <c r="AM70" s="140">
        <f t="shared" si="364"/>
        <v>1496020.3399999999</v>
      </c>
      <c r="AN70" s="123">
        <f t="shared" si="365"/>
        <v>96308.6</v>
      </c>
      <c r="AO70" s="148">
        <f t="shared" si="366"/>
        <v>1592328.94</v>
      </c>
      <c r="AP70" s="434">
        <f t="shared" si="407"/>
        <v>794000.17</v>
      </c>
      <c r="AQ70" s="140">
        <f t="shared" si="336"/>
        <v>718197.56</v>
      </c>
      <c r="AR70" s="326">
        <f t="shared" si="337"/>
        <v>26544.99</v>
      </c>
      <c r="AS70" s="333">
        <f t="shared" si="338"/>
        <v>744742.55</v>
      </c>
      <c r="AT70" s="125">
        <f t="shared" si="408"/>
        <v>559807.18000000005</v>
      </c>
      <c r="AU70" s="140">
        <f t="shared" si="42"/>
        <v>1141607.3699999999</v>
      </c>
      <c r="AV70" s="123">
        <f t="shared" si="433"/>
        <v>44536.08</v>
      </c>
      <c r="AW70" s="125">
        <f t="shared" si="434"/>
        <v>1186143.45</v>
      </c>
      <c r="AX70" s="122">
        <f t="shared" ref="AX70:AZ70" si="464">AU70+AQ70+AM70</f>
        <v>3355825.2699999996</v>
      </c>
      <c r="AY70" s="326">
        <f t="shared" si="464"/>
        <v>167389.67000000001</v>
      </c>
      <c r="AZ70" s="332">
        <f t="shared" si="464"/>
        <v>3523214.94</v>
      </c>
      <c r="BA70" s="140">
        <f t="shared" ref="BA70:BC70" si="465">AX70+AG70</f>
        <v>7996478.7199999988</v>
      </c>
      <c r="BB70" s="326">
        <f t="shared" si="465"/>
        <v>375679.49</v>
      </c>
      <c r="BC70" s="435">
        <f t="shared" si="465"/>
        <v>8372158.209999999</v>
      </c>
      <c r="BD70" s="123">
        <f t="shared" si="411"/>
        <v>495209.92</v>
      </c>
      <c r="BE70" s="123">
        <f t="shared" si="48"/>
        <v>205298.07</v>
      </c>
      <c r="BF70" s="123">
        <f t="shared" si="437"/>
        <v>50562.05</v>
      </c>
      <c r="BG70" s="148">
        <f t="shared" si="438"/>
        <v>255860.12</v>
      </c>
      <c r="BH70" s="123">
        <f t="shared" si="439"/>
        <v>491108.7</v>
      </c>
      <c r="BI70" s="141">
        <f t="shared" si="52"/>
        <v>691070.91999999993</v>
      </c>
      <c r="BJ70" s="332">
        <f t="shared" si="440"/>
        <v>50562.05</v>
      </c>
      <c r="BK70" s="333">
        <f t="shared" si="441"/>
        <v>741632.97</v>
      </c>
      <c r="BL70" s="326">
        <f t="shared" si="442"/>
        <v>827791.59</v>
      </c>
      <c r="BM70" s="326">
        <f t="shared" si="56"/>
        <v>1896999.18</v>
      </c>
      <c r="BN70" s="326">
        <f t="shared" si="443"/>
        <v>101124.1</v>
      </c>
      <c r="BO70" s="332">
        <f t="shared" si="444"/>
        <v>1998123.28</v>
      </c>
      <c r="BP70" s="140">
        <f t="shared" ref="BP70:BR70" si="466">SUM(BM70,BI70,BE70)</f>
        <v>2793368.1699999995</v>
      </c>
      <c r="BQ70" s="326">
        <f t="shared" si="466"/>
        <v>202248.2</v>
      </c>
      <c r="BR70" s="333">
        <f t="shared" si="466"/>
        <v>2995616.37</v>
      </c>
      <c r="BS70" s="125">
        <f t="shared" si="446"/>
        <v>1784619.03</v>
      </c>
      <c r="BT70" s="140">
        <f t="shared" si="61"/>
        <v>1753647.46</v>
      </c>
      <c r="BU70" s="123">
        <f t="shared" si="447"/>
        <v>0</v>
      </c>
      <c r="BV70" s="148">
        <f t="shared" si="448"/>
        <v>1753647.46</v>
      </c>
      <c r="BW70" s="123">
        <f t="shared" si="449"/>
        <v>1311119.95</v>
      </c>
      <c r="BX70" s="326">
        <f t="shared" si="450"/>
        <v>1136879.77</v>
      </c>
      <c r="BY70" s="297"/>
      <c r="BZ70" s="553"/>
      <c r="CF70" s="294"/>
      <c r="CG70" s="294"/>
      <c r="CR70" s="294"/>
    </row>
    <row r="71" spans="1:96" ht="13">
      <c r="A71" s="546">
        <f t="shared" si="424"/>
        <v>112010931</v>
      </c>
      <c r="B71" s="547">
        <f t="shared" si="425"/>
        <v>1</v>
      </c>
      <c r="C71" s="137" t="str">
        <f t="shared" si="426"/>
        <v>Lista</v>
      </c>
      <c r="D71" s="137">
        <f t="shared" si="427"/>
        <v>0.09</v>
      </c>
      <c r="E71" s="98">
        <f t="shared" si="428"/>
        <v>0</v>
      </c>
      <c r="F71" s="414">
        <f t="shared" si="429"/>
        <v>71</v>
      </c>
      <c r="G71" s="94" t="str">
        <f t="shared" si="430"/>
        <v>Lista</v>
      </c>
      <c r="H71" s="415">
        <f t="shared" si="431"/>
        <v>0.05</v>
      </c>
      <c r="I71" s="589" t="s">
        <v>460</v>
      </c>
      <c r="J71" s="436">
        <f t="shared" si="396"/>
        <v>280604.46000000002</v>
      </c>
      <c r="K71" s="141">
        <f t="shared" si="413"/>
        <v>471710.12748300005</v>
      </c>
      <c r="L71" s="140">
        <f t="shared" si="344"/>
        <v>490246.97</v>
      </c>
      <c r="M71" s="116">
        <f t="shared" si="345"/>
        <v>0</v>
      </c>
      <c r="N71" s="333">
        <f t="shared" si="346"/>
        <v>490246.97</v>
      </c>
      <c r="O71" s="123">
        <f t="shared" si="397"/>
        <v>18536.842516999925</v>
      </c>
      <c r="P71" s="98">
        <f t="shared" si="398"/>
        <v>1.0392971052283968</v>
      </c>
      <c r="Q71" s="125">
        <f t="shared" si="399"/>
        <v>149935.09</v>
      </c>
      <c r="R71" s="141">
        <f t="shared" si="414"/>
        <v>271491.21584025002</v>
      </c>
      <c r="S71" s="140">
        <f t="shared" si="350"/>
        <v>217434.81</v>
      </c>
      <c r="T71" s="326">
        <f t="shared" si="351"/>
        <v>0</v>
      </c>
      <c r="U71" s="333">
        <f t="shared" si="352"/>
        <v>217434.81</v>
      </c>
      <c r="V71" s="123">
        <f t="shared" si="400"/>
        <v>-54056.405840250023</v>
      </c>
      <c r="W71" s="98">
        <f t="shared" si="419"/>
        <v>0.80089077404236264</v>
      </c>
      <c r="X71" s="123">
        <f t="shared" si="402"/>
        <v>310890.8</v>
      </c>
      <c r="Y71" s="326">
        <f t="shared" si="403"/>
        <v>520827.58496999997</v>
      </c>
      <c r="Z71" s="116">
        <f t="shared" si="355"/>
        <v>194099.71</v>
      </c>
      <c r="AA71" s="561">
        <f t="shared" si="356"/>
        <v>0</v>
      </c>
      <c r="AB71" s="561">
        <f t="shared" si="357"/>
        <v>194099.71</v>
      </c>
      <c r="AC71" s="116">
        <f t="shared" si="391"/>
        <v>-326727.87497</v>
      </c>
      <c r="AD71" s="97">
        <f t="shared" si="392"/>
        <v>0.37267555636704663</v>
      </c>
      <c r="AE71" s="433">
        <f t="shared" si="404"/>
        <v>1264028.92829325</v>
      </c>
      <c r="AF71" s="550">
        <f t="shared" si="360"/>
        <v>930501.13</v>
      </c>
      <c r="AG71" s="496">
        <f t="shared" ref="AG71:AI71" si="467">SUM(Z71,S71,S71,L71)</f>
        <v>1119216.3</v>
      </c>
      <c r="AH71" s="496">
        <f t="shared" si="467"/>
        <v>0</v>
      </c>
      <c r="AI71" s="496">
        <f t="shared" si="467"/>
        <v>1119216.3</v>
      </c>
      <c r="AJ71" s="551">
        <f t="shared" si="362"/>
        <v>188715.17000000004</v>
      </c>
      <c r="AK71" s="552">
        <f t="shared" si="363"/>
        <v>1.2028102534383811</v>
      </c>
      <c r="AL71" s="434">
        <f t="shared" si="406"/>
        <v>158567.18</v>
      </c>
      <c r="AM71" s="140">
        <f t="shared" si="364"/>
        <v>183774.4</v>
      </c>
      <c r="AN71" s="123">
        <f t="shared" si="365"/>
        <v>0</v>
      </c>
      <c r="AO71" s="148">
        <f t="shared" si="366"/>
        <v>183774.4</v>
      </c>
      <c r="AP71" s="434">
        <f t="shared" si="407"/>
        <v>336764.06</v>
      </c>
      <c r="AQ71" s="140">
        <f t="shared" si="336"/>
        <v>297542.03999999998</v>
      </c>
      <c r="AR71" s="326">
        <f t="shared" si="337"/>
        <v>0</v>
      </c>
      <c r="AS71" s="333">
        <f t="shared" si="338"/>
        <v>297542.03999999998</v>
      </c>
      <c r="AT71" s="125">
        <f t="shared" si="408"/>
        <v>413505.65</v>
      </c>
      <c r="AU71" s="140">
        <f t="shared" si="42"/>
        <v>203198.13</v>
      </c>
      <c r="AV71" s="123">
        <f t="shared" si="433"/>
        <v>0</v>
      </c>
      <c r="AW71" s="125">
        <f t="shared" si="434"/>
        <v>203198.13</v>
      </c>
      <c r="AX71" s="122">
        <f t="shared" ref="AX71:AZ71" si="468">AU71+AQ71+AM71</f>
        <v>684514.57</v>
      </c>
      <c r="AY71" s="326">
        <f t="shared" si="468"/>
        <v>0</v>
      </c>
      <c r="AZ71" s="332">
        <f t="shared" si="468"/>
        <v>684514.57</v>
      </c>
      <c r="BA71" s="140">
        <f t="shared" ref="BA71:BC71" si="469">AX71+AG71</f>
        <v>1803730.87</v>
      </c>
      <c r="BB71" s="326">
        <f t="shared" si="469"/>
        <v>0</v>
      </c>
      <c r="BC71" s="435">
        <f t="shared" si="469"/>
        <v>1803730.87</v>
      </c>
      <c r="BD71" s="123">
        <f t="shared" si="411"/>
        <v>317454.15000000002</v>
      </c>
      <c r="BE71" s="123">
        <f t="shared" si="48"/>
        <v>218218.33</v>
      </c>
      <c r="BF71" s="123">
        <f t="shared" si="437"/>
        <v>0</v>
      </c>
      <c r="BG71" s="148">
        <f t="shared" si="438"/>
        <v>218218.33</v>
      </c>
      <c r="BH71" s="123">
        <f t="shared" si="439"/>
        <v>426467.04</v>
      </c>
      <c r="BI71" s="141">
        <f t="shared" si="52"/>
        <v>369077.20999999996</v>
      </c>
      <c r="BJ71" s="332">
        <f t="shared" si="440"/>
        <v>36000.269999999997</v>
      </c>
      <c r="BK71" s="333">
        <f t="shared" si="441"/>
        <v>405077.48</v>
      </c>
      <c r="BL71" s="326">
        <f t="shared" si="442"/>
        <v>219866.98</v>
      </c>
      <c r="BM71" s="326">
        <f t="shared" si="56"/>
        <v>0</v>
      </c>
      <c r="BN71" s="326">
        <f t="shared" si="443"/>
        <v>0</v>
      </c>
      <c r="BO71" s="332">
        <f t="shared" si="444"/>
        <v>0</v>
      </c>
      <c r="BP71" s="140">
        <f t="shared" ref="BP71:BR71" si="470">SUM(BM71,BI71,BE71)</f>
        <v>587295.53999999992</v>
      </c>
      <c r="BQ71" s="326">
        <f t="shared" si="470"/>
        <v>36000.269999999997</v>
      </c>
      <c r="BR71" s="333">
        <f t="shared" si="470"/>
        <v>623295.80999999994</v>
      </c>
      <c r="BS71" s="125">
        <f t="shared" si="446"/>
        <v>312532.46000000002</v>
      </c>
      <c r="BT71" s="140">
        <f t="shared" si="61"/>
        <v>193737.72</v>
      </c>
      <c r="BU71" s="123">
        <f t="shared" si="447"/>
        <v>0</v>
      </c>
      <c r="BV71" s="148">
        <f t="shared" si="448"/>
        <v>193737.72</v>
      </c>
      <c r="BW71" s="123">
        <f t="shared" si="449"/>
        <v>369081.75</v>
      </c>
      <c r="BX71" s="326">
        <f t="shared" si="450"/>
        <v>248886.92</v>
      </c>
      <c r="BY71" s="297"/>
      <c r="BZ71" s="553"/>
      <c r="CF71" s="294"/>
      <c r="CG71" s="294"/>
      <c r="CR71" s="294"/>
    </row>
    <row r="72" spans="1:96" ht="13">
      <c r="A72" s="546">
        <f t="shared" si="424"/>
        <v>112011204</v>
      </c>
      <c r="B72" s="547">
        <f t="shared" si="425"/>
        <v>1</v>
      </c>
      <c r="C72" s="137" t="str">
        <f t="shared" si="426"/>
        <v>Lista</v>
      </c>
      <c r="D72" s="137">
        <f t="shared" si="427"/>
        <v>0.09</v>
      </c>
      <c r="E72" s="98">
        <f t="shared" si="428"/>
        <v>0</v>
      </c>
      <c r="F72" s="414">
        <f t="shared" si="429"/>
        <v>71</v>
      </c>
      <c r="G72" s="94" t="str">
        <f t="shared" si="430"/>
        <v>Lista</v>
      </c>
      <c r="H72" s="415">
        <f t="shared" si="431"/>
        <v>0.05</v>
      </c>
      <c r="I72" s="589" t="s">
        <v>461</v>
      </c>
      <c r="J72" s="436">
        <f t="shared" si="396"/>
        <v>0</v>
      </c>
      <c r="K72" s="141">
        <f t="shared" si="413"/>
        <v>0</v>
      </c>
      <c r="L72" s="140" t="e">
        <f t="shared" si="344"/>
        <v>#VALUE!</v>
      </c>
      <c r="M72" s="116" t="str">
        <f t="shared" si="345"/>
        <v/>
      </c>
      <c r="N72" s="333">
        <f t="shared" si="346"/>
        <v>276187.2</v>
      </c>
      <c r="O72" s="123">
        <f t="shared" si="397"/>
        <v>276187.2</v>
      </c>
      <c r="P72" s="98" t="str">
        <f t="shared" si="398"/>
        <v/>
      </c>
      <c r="Q72" s="125">
        <f t="shared" si="399"/>
        <v>33435.9</v>
      </c>
      <c r="R72" s="141">
        <f t="shared" si="414"/>
        <v>60543.2200275</v>
      </c>
      <c r="S72" s="140" t="e">
        <f t="shared" si="350"/>
        <v>#VALUE!</v>
      </c>
      <c r="T72" s="326" t="str">
        <f t="shared" si="351"/>
        <v/>
      </c>
      <c r="U72" s="333">
        <f t="shared" si="352"/>
        <v>262278.11</v>
      </c>
      <c r="V72" s="123">
        <f t="shared" si="400"/>
        <v>201734.88997249998</v>
      </c>
      <c r="W72" s="98">
        <f t="shared" si="419"/>
        <v>4.3320806174641486</v>
      </c>
      <c r="X72" s="123">
        <f t="shared" si="402"/>
        <v>98537.2</v>
      </c>
      <c r="Y72" s="326">
        <f t="shared" si="403"/>
        <v>165076.90772999998</v>
      </c>
      <c r="Z72" s="116" t="e">
        <f t="shared" si="355"/>
        <v>#VALUE!</v>
      </c>
      <c r="AA72" s="561" t="str">
        <f t="shared" si="356"/>
        <v/>
      </c>
      <c r="AB72" s="561">
        <f t="shared" si="357"/>
        <v>0</v>
      </c>
      <c r="AC72" s="116">
        <f t="shared" si="391"/>
        <v>-165076.90772999998</v>
      </c>
      <c r="AD72" s="97">
        <f t="shared" si="392"/>
        <v>0</v>
      </c>
      <c r="AE72" s="433">
        <f t="shared" si="404"/>
        <v>225620.12775749998</v>
      </c>
      <c r="AF72" s="550">
        <f t="shared" si="360"/>
        <v>196243.49</v>
      </c>
      <c r="AG72" s="496" t="e">
        <f t="shared" ref="AG72:AI72" si="471">SUM(Z72,S72,S72,L72)</f>
        <v>#VALUE!</v>
      </c>
      <c r="AH72" s="496">
        <f t="shared" si="471"/>
        <v>0</v>
      </c>
      <c r="AI72" s="496">
        <f t="shared" si="471"/>
        <v>800743.41999999993</v>
      </c>
      <c r="AJ72" s="551">
        <f t="shared" si="362"/>
        <v>604499.92999999993</v>
      </c>
      <c r="AK72" s="552">
        <f t="shared" si="363"/>
        <v>4.0803566018928832</v>
      </c>
      <c r="AL72" s="434">
        <f t="shared" si="406"/>
        <v>239380.92</v>
      </c>
      <c r="AM72" s="140" t="e">
        <f t="shared" si="364"/>
        <v>#VALUE!</v>
      </c>
      <c r="AN72" s="123" t="str">
        <f t="shared" si="365"/>
        <v/>
      </c>
      <c r="AO72" s="148">
        <f t="shared" si="366"/>
        <v>0</v>
      </c>
      <c r="AP72" s="434">
        <f t="shared" si="407"/>
        <v>633059.99</v>
      </c>
      <c r="AQ72" s="140" t="e">
        <f t="shared" si="336"/>
        <v>#VALUE!</v>
      </c>
      <c r="AR72" s="326" t="str">
        <f t="shared" si="337"/>
        <v/>
      </c>
      <c r="AS72" s="333">
        <f t="shared" si="338"/>
        <v>0</v>
      </c>
      <c r="AT72" s="125">
        <f t="shared" si="408"/>
        <v>0</v>
      </c>
      <c r="AU72" s="140" t="e">
        <f t="shared" si="42"/>
        <v>#VALUE!</v>
      </c>
      <c r="AV72" s="123" t="str">
        <f t="shared" si="433"/>
        <v/>
      </c>
      <c r="AW72" s="125">
        <f t="shared" si="434"/>
        <v>0</v>
      </c>
      <c r="AX72" s="122" t="e">
        <f t="shared" ref="AX72:AZ72" si="472">AU72+AQ72+AM72</f>
        <v>#VALUE!</v>
      </c>
      <c r="AY72" s="326" t="e">
        <f t="shared" si="472"/>
        <v>#VALUE!</v>
      </c>
      <c r="AZ72" s="332">
        <f t="shared" si="472"/>
        <v>0</v>
      </c>
      <c r="BA72" s="140" t="e">
        <f t="shared" ref="BA72:BC72" si="473">AX72+AG72</f>
        <v>#VALUE!</v>
      </c>
      <c r="BB72" s="326" t="e">
        <f t="shared" si="473"/>
        <v>#VALUE!</v>
      </c>
      <c r="BC72" s="435">
        <f t="shared" si="473"/>
        <v>800743.41999999993</v>
      </c>
      <c r="BD72" s="123">
        <f t="shared" si="411"/>
        <v>0</v>
      </c>
      <c r="BE72" s="123" t="e">
        <f t="shared" si="48"/>
        <v>#VALUE!</v>
      </c>
      <c r="BF72" s="123" t="str">
        <f t="shared" si="437"/>
        <v/>
      </c>
      <c r="BG72" s="148">
        <f t="shared" si="438"/>
        <v>90028.800000000003</v>
      </c>
      <c r="BH72" s="123">
        <f t="shared" si="439"/>
        <v>0</v>
      </c>
      <c r="BI72" s="141" t="e">
        <f t="shared" si="52"/>
        <v>#VALUE!</v>
      </c>
      <c r="BJ72" s="332" t="str">
        <f t="shared" si="440"/>
        <v/>
      </c>
      <c r="BK72" s="333">
        <f t="shared" si="441"/>
        <v>0</v>
      </c>
      <c r="BL72" s="326">
        <f t="shared" si="442"/>
        <v>0</v>
      </c>
      <c r="BM72" s="326" t="e">
        <f t="shared" si="56"/>
        <v>#VALUE!</v>
      </c>
      <c r="BN72" s="326" t="str">
        <f t="shared" si="443"/>
        <v/>
      </c>
      <c r="BO72" s="332">
        <f t="shared" si="444"/>
        <v>0</v>
      </c>
      <c r="BP72" s="140" t="e">
        <f t="shared" ref="BP72:BR72" si="474">SUM(BM72,BI72,BE72)</f>
        <v>#VALUE!</v>
      </c>
      <c r="BQ72" s="326">
        <f t="shared" si="474"/>
        <v>0</v>
      </c>
      <c r="BR72" s="333">
        <f t="shared" si="474"/>
        <v>90028.800000000003</v>
      </c>
      <c r="BS72" s="125">
        <f t="shared" si="446"/>
        <v>43901.85</v>
      </c>
      <c r="BT72" s="140" t="e">
        <f t="shared" si="61"/>
        <v>#VALUE!</v>
      </c>
      <c r="BU72" s="123" t="str">
        <f t="shared" si="447"/>
        <v/>
      </c>
      <c r="BV72" s="148">
        <f t="shared" si="448"/>
        <v>0</v>
      </c>
      <c r="BW72" s="123">
        <f t="shared" si="449"/>
        <v>0</v>
      </c>
      <c r="BX72" s="326">
        <f t="shared" si="450"/>
        <v>152341.64000000001</v>
      </c>
      <c r="BY72" s="297"/>
      <c r="BZ72" s="553"/>
      <c r="CF72" s="294"/>
      <c r="CG72" s="294"/>
      <c r="CR72" s="294"/>
    </row>
    <row r="73" spans="1:96" ht="13">
      <c r="A73" s="546">
        <f t="shared" si="424"/>
        <v>112011398</v>
      </c>
      <c r="B73" s="547">
        <f t="shared" si="425"/>
        <v>1</v>
      </c>
      <c r="C73" s="137" t="str">
        <f t="shared" si="426"/>
        <v>Lista</v>
      </c>
      <c r="D73" s="137">
        <f t="shared" si="427"/>
        <v>0.09</v>
      </c>
      <c r="E73" s="98">
        <f t="shared" si="428"/>
        <v>0</v>
      </c>
      <c r="F73" s="414">
        <f t="shared" si="429"/>
        <v>71</v>
      </c>
      <c r="G73" s="94" t="str">
        <f t="shared" si="430"/>
        <v>Lista</v>
      </c>
      <c r="H73" s="415">
        <f t="shared" si="431"/>
        <v>0.05</v>
      </c>
      <c r="I73" s="568" t="s">
        <v>462</v>
      </c>
      <c r="J73" s="436">
        <f t="shared" si="396"/>
        <v>98084.22</v>
      </c>
      <c r="K73" s="141">
        <f t="shared" si="413"/>
        <v>164884.47803100001</v>
      </c>
      <c r="L73" s="140" t="e">
        <f t="shared" si="344"/>
        <v>#VALUE!</v>
      </c>
      <c r="M73" s="116" t="str">
        <f t="shared" si="345"/>
        <v/>
      </c>
      <c r="N73" s="333">
        <f t="shared" si="346"/>
        <v>11669</v>
      </c>
      <c r="O73" s="123">
        <f t="shared" si="397"/>
        <v>-153215.47803100001</v>
      </c>
      <c r="P73" s="98">
        <f t="shared" si="398"/>
        <v>7.0770761076771008E-2</v>
      </c>
      <c r="Q73" s="125">
        <f t="shared" si="399"/>
        <v>185450.37</v>
      </c>
      <c r="R73" s="141">
        <f t="shared" si="414"/>
        <v>335799.62121824996</v>
      </c>
      <c r="S73" s="140" t="e">
        <f t="shared" si="350"/>
        <v>#VALUE!</v>
      </c>
      <c r="T73" s="326" t="str">
        <f t="shared" si="351"/>
        <v/>
      </c>
      <c r="U73" s="333">
        <f t="shared" si="352"/>
        <v>0</v>
      </c>
      <c r="V73" s="123">
        <f t="shared" si="400"/>
        <v>-335799.62121824996</v>
      </c>
      <c r="W73" s="98">
        <f t="shared" si="419"/>
        <v>0</v>
      </c>
      <c r="X73" s="123">
        <f t="shared" si="402"/>
        <v>0</v>
      </c>
      <c r="Y73" s="326">
        <f t="shared" si="403"/>
        <v>0</v>
      </c>
      <c r="Z73" s="116" t="e">
        <f t="shared" si="355"/>
        <v>#VALUE!</v>
      </c>
      <c r="AA73" s="561" t="str">
        <f t="shared" si="356"/>
        <v/>
      </c>
      <c r="AB73" s="561">
        <f t="shared" si="357"/>
        <v>0</v>
      </c>
      <c r="AC73" s="116">
        <f t="shared" si="391"/>
        <v>0</v>
      </c>
      <c r="AD73" s="97" t="str">
        <f t="shared" si="392"/>
        <v/>
      </c>
      <c r="AE73" s="433">
        <f t="shared" si="404"/>
        <v>500684.09924924996</v>
      </c>
      <c r="AF73" s="550">
        <f t="shared" si="360"/>
        <v>220649.53</v>
      </c>
      <c r="AG73" s="496" t="e">
        <f t="shared" ref="AG73:AI73" si="475">SUM(Z73,S73,S73,L73)</f>
        <v>#VALUE!</v>
      </c>
      <c r="AH73" s="496">
        <f t="shared" si="475"/>
        <v>0</v>
      </c>
      <c r="AI73" s="496">
        <f t="shared" si="475"/>
        <v>11669</v>
      </c>
      <c r="AJ73" s="551">
        <f t="shared" si="362"/>
        <v>-208980.53</v>
      </c>
      <c r="AK73" s="552">
        <f t="shared" si="363"/>
        <v>5.2884771610435789E-2</v>
      </c>
      <c r="AL73" s="434">
        <f t="shared" si="406"/>
        <v>37449.300000000003</v>
      </c>
      <c r="AM73" s="140" t="e">
        <f t="shared" si="364"/>
        <v>#VALUE!</v>
      </c>
      <c r="AN73" s="123" t="str">
        <f t="shared" si="365"/>
        <v/>
      </c>
      <c r="AO73" s="148">
        <f t="shared" si="366"/>
        <v>7914.92</v>
      </c>
      <c r="AP73" s="434">
        <f t="shared" si="407"/>
        <v>248605.3</v>
      </c>
      <c r="AQ73" s="140" t="e">
        <f t="shared" si="336"/>
        <v>#VALUE!</v>
      </c>
      <c r="AR73" s="326" t="str">
        <f t="shared" si="337"/>
        <v/>
      </c>
      <c r="AS73" s="333">
        <f t="shared" si="338"/>
        <v>93748.33</v>
      </c>
      <c r="AT73" s="125">
        <f t="shared" si="408"/>
        <v>0</v>
      </c>
      <c r="AU73" s="140" t="e">
        <f t="shared" si="42"/>
        <v>#VALUE!</v>
      </c>
      <c r="AV73" s="123" t="str">
        <f t="shared" si="433"/>
        <v/>
      </c>
      <c r="AW73" s="125">
        <f t="shared" si="434"/>
        <v>0</v>
      </c>
      <c r="AX73" s="122" t="e">
        <f t="shared" ref="AX73:AZ73" si="476">AU73+AQ73+AM73</f>
        <v>#VALUE!</v>
      </c>
      <c r="AY73" s="326" t="e">
        <f t="shared" si="476"/>
        <v>#VALUE!</v>
      </c>
      <c r="AZ73" s="332">
        <f t="shared" si="476"/>
        <v>101663.25</v>
      </c>
      <c r="BA73" s="140" t="e">
        <f t="shared" ref="BA73:BC73" si="477">AX73+AG73</f>
        <v>#VALUE!</v>
      </c>
      <c r="BB73" s="326" t="e">
        <f t="shared" si="477"/>
        <v>#VALUE!</v>
      </c>
      <c r="BC73" s="435">
        <f t="shared" si="477"/>
        <v>113332.25</v>
      </c>
      <c r="BD73" s="123">
        <f t="shared" si="411"/>
        <v>0</v>
      </c>
      <c r="BE73" s="123" t="e">
        <f t="shared" si="48"/>
        <v>#VALUE!</v>
      </c>
      <c r="BF73" s="123" t="str">
        <f t="shared" si="437"/>
        <v/>
      </c>
      <c r="BG73" s="148">
        <f t="shared" si="438"/>
        <v>0</v>
      </c>
      <c r="BH73" s="123">
        <f t="shared" si="439"/>
        <v>0</v>
      </c>
      <c r="BI73" s="141" t="e">
        <f t="shared" si="52"/>
        <v>#VALUE!</v>
      </c>
      <c r="BJ73" s="332" t="str">
        <f t="shared" si="440"/>
        <v/>
      </c>
      <c r="BK73" s="333">
        <f t="shared" si="441"/>
        <v>0</v>
      </c>
      <c r="BL73" s="326">
        <f t="shared" si="442"/>
        <v>35305.5</v>
      </c>
      <c r="BM73" s="326" t="e">
        <f t="shared" si="56"/>
        <v>#VALUE!</v>
      </c>
      <c r="BN73" s="326" t="str">
        <f t="shared" si="443"/>
        <v/>
      </c>
      <c r="BO73" s="332">
        <f t="shared" si="444"/>
        <v>25678.68</v>
      </c>
      <c r="BP73" s="140" t="e">
        <f t="shared" ref="BP73:BR73" si="478">SUM(BM73,BI73,BE73)</f>
        <v>#VALUE!</v>
      </c>
      <c r="BQ73" s="326">
        <f t="shared" si="478"/>
        <v>0</v>
      </c>
      <c r="BR73" s="333">
        <f t="shared" si="478"/>
        <v>25678.68</v>
      </c>
      <c r="BS73" s="125">
        <f t="shared" si="446"/>
        <v>54192.7</v>
      </c>
      <c r="BT73" s="140" t="e">
        <f t="shared" si="61"/>
        <v>#VALUE!</v>
      </c>
      <c r="BU73" s="123" t="str">
        <f t="shared" si="447"/>
        <v/>
      </c>
      <c r="BV73" s="148">
        <f t="shared" si="448"/>
        <v>101727.02</v>
      </c>
      <c r="BW73" s="123">
        <f t="shared" si="449"/>
        <v>98175.03</v>
      </c>
      <c r="BX73" s="326">
        <f t="shared" si="450"/>
        <v>68281.8</v>
      </c>
      <c r="BY73" s="297"/>
      <c r="BZ73" s="553"/>
      <c r="CF73" s="294"/>
      <c r="CG73" s="294"/>
      <c r="CR73" s="294"/>
    </row>
    <row r="74" spans="1:96" ht="13">
      <c r="A74" s="546">
        <f t="shared" si="424"/>
        <v>112011522</v>
      </c>
      <c r="B74" s="547">
        <f t="shared" si="425"/>
        <v>1</v>
      </c>
      <c r="C74" s="137" t="str">
        <f t="shared" si="426"/>
        <v>Lista</v>
      </c>
      <c r="D74" s="137">
        <f t="shared" si="427"/>
        <v>0.09</v>
      </c>
      <c r="E74" s="98">
        <f t="shared" si="428"/>
        <v>0</v>
      </c>
      <c r="F74" s="414">
        <f t="shared" si="429"/>
        <v>71</v>
      </c>
      <c r="G74" s="94" t="str">
        <f t="shared" si="430"/>
        <v>Lista</v>
      </c>
      <c r="H74" s="415">
        <f t="shared" si="431"/>
        <v>0.05</v>
      </c>
      <c r="I74" s="568" t="s">
        <v>463</v>
      </c>
      <c r="J74" s="436">
        <f t="shared" si="396"/>
        <v>472603.71</v>
      </c>
      <c r="K74" s="141">
        <f t="shared" si="413"/>
        <v>794470.46669550007</v>
      </c>
      <c r="L74" s="140" t="e">
        <f t="shared" si="344"/>
        <v>#VALUE!</v>
      </c>
      <c r="M74" s="116" t="str">
        <f t="shared" si="345"/>
        <v/>
      </c>
      <c r="N74" s="333">
        <f t="shared" si="346"/>
        <v>454569.79</v>
      </c>
      <c r="O74" s="123">
        <f t="shared" si="397"/>
        <v>-339900.67669550009</v>
      </c>
      <c r="P74" s="98">
        <f t="shared" si="398"/>
        <v>0.57216700815919042</v>
      </c>
      <c r="Q74" s="125">
        <f t="shared" si="399"/>
        <v>243147.7</v>
      </c>
      <c r="R74" s="141">
        <f t="shared" si="414"/>
        <v>440273.61908249999</v>
      </c>
      <c r="S74" s="140" t="e">
        <f t="shared" si="350"/>
        <v>#VALUE!</v>
      </c>
      <c r="T74" s="326" t="str">
        <f t="shared" si="351"/>
        <v/>
      </c>
      <c r="U74" s="333">
        <f t="shared" si="352"/>
        <v>567032.61</v>
      </c>
      <c r="V74" s="123">
        <f t="shared" si="400"/>
        <v>126758.99091749999</v>
      </c>
      <c r="W74" s="98">
        <f t="shared" si="419"/>
        <v>1.2879095758261807</v>
      </c>
      <c r="X74" s="123">
        <f t="shared" si="402"/>
        <v>295093.59000000003</v>
      </c>
      <c r="Y74" s="326">
        <f t="shared" si="403"/>
        <v>494362.91398725007</v>
      </c>
      <c r="Z74" s="116" t="e">
        <f t="shared" si="355"/>
        <v>#VALUE!</v>
      </c>
      <c r="AA74" s="561" t="str">
        <f t="shared" si="356"/>
        <v/>
      </c>
      <c r="AB74" s="561">
        <f t="shared" si="357"/>
        <v>197955.6</v>
      </c>
      <c r="AC74" s="116">
        <f t="shared" si="391"/>
        <v>-296407.31398725009</v>
      </c>
      <c r="AD74" s="97">
        <f t="shared" si="392"/>
        <v>0.40042566786291217</v>
      </c>
      <c r="AE74" s="433">
        <f t="shared" si="404"/>
        <v>1729106.9997652501</v>
      </c>
      <c r="AF74" s="550">
        <f t="shared" si="360"/>
        <v>1897788.87</v>
      </c>
      <c r="AG74" s="496" t="e">
        <f t="shared" ref="AG74:AI74" si="479">SUM(Z74,S74,S74,L74)</f>
        <v>#VALUE!</v>
      </c>
      <c r="AH74" s="496">
        <f t="shared" si="479"/>
        <v>0</v>
      </c>
      <c r="AI74" s="496">
        <f t="shared" si="479"/>
        <v>1786590.6099999999</v>
      </c>
      <c r="AJ74" s="551">
        <f t="shared" si="362"/>
        <v>-111198.26000000024</v>
      </c>
      <c r="AK74" s="552">
        <f t="shared" si="363"/>
        <v>0.94140641155725602</v>
      </c>
      <c r="AL74" s="434">
        <f t="shared" si="406"/>
        <v>216028.93</v>
      </c>
      <c r="AM74" s="140" t="e">
        <f t="shared" si="364"/>
        <v>#VALUE!</v>
      </c>
      <c r="AN74" s="123" t="str">
        <f t="shared" si="365"/>
        <v/>
      </c>
      <c r="AO74" s="148">
        <f t="shared" si="366"/>
        <v>635001.27</v>
      </c>
      <c r="AP74" s="434">
        <f t="shared" si="407"/>
        <v>276816.62</v>
      </c>
      <c r="AQ74" s="140" t="e">
        <f t="shared" si="336"/>
        <v>#VALUE!</v>
      </c>
      <c r="AR74" s="326" t="str">
        <f t="shared" si="337"/>
        <v/>
      </c>
      <c r="AS74" s="333">
        <f t="shared" si="338"/>
        <v>497223.1</v>
      </c>
      <c r="AT74" s="125">
        <f t="shared" si="408"/>
        <v>283137.52</v>
      </c>
      <c r="AU74" s="140" t="e">
        <f t="shared" si="42"/>
        <v>#VALUE!</v>
      </c>
      <c r="AV74" s="123" t="str">
        <f t="shared" si="433"/>
        <v/>
      </c>
      <c r="AW74" s="125">
        <f t="shared" si="434"/>
        <v>245557.49</v>
      </c>
      <c r="AX74" s="122" t="e">
        <f t="shared" ref="AX74:AZ74" si="480">AU74+AQ74+AM74</f>
        <v>#VALUE!</v>
      </c>
      <c r="AY74" s="326" t="e">
        <f t="shared" si="480"/>
        <v>#VALUE!</v>
      </c>
      <c r="AZ74" s="332">
        <f t="shared" si="480"/>
        <v>1377781.8599999999</v>
      </c>
      <c r="BA74" s="140" t="e">
        <f t="shared" ref="BA74:BC74" si="481">AX74+AG74</f>
        <v>#VALUE!</v>
      </c>
      <c r="BB74" s="326" t="e">
        <f t="shared" si="481"/>
        <v>#VALUE!</v>
      </c>
      <c r="BC74" s="435">
        <f t="shared" si="481"/>
        <v>3164372.4699999997</v>
      </c>
      <c r="BD74" s="123">
        <f t="shared" si="411"/>
        <v>436185.93</v>
      </c>
      <c r="BE74" s="123" t="e">
        <f t="shared" si="48"/>
        <v>#VALUE!</v>
      </c>
      <c r="BF74" s="123" t="str">
        <f t="shared" si="437"/>
        <v/>
      </c>
      <c r="BG74" s="148">
        <f t="shared" si="438"/>
        <v>535208.82999999996</v>
      </c>
      <c r="BH74" s="123">
        <f t="shared" si="439"/>
        <v>414090.76</v>
      </c>
      <c r="BI74" s="141" t="e">
        <f t="shared" si="52"/>
        <v>#VALUE!</v>
      </c>
      <c r="BJ74" s="332" t="str">
        <f t="shared" si="440"/>
        <v/>
      </c>
      <c r="BK74" s="333">
        <f t="shared" si="441"/>
        <v>228091.65</v>
      </c>
      <c r="BL74" s="326">
        <f t="shared" si="442"/>
        <v>424902.89</v>
      </c>
      <c r="BM74" s="326" t="e">
        <f t="shared" si="56"/>
        <v>#VALUE!</v>
      </c>
      <c r="BN74" s="326" t="str">
        <f t="shared" si="443"/>
        <v/>
      </c>
      <c r="BO74" s="332">
        <f t="shared" si="444"/>
        <v>600841.94999999995</v>
      </c>
      <c r="BP74" s="140" t="e">
        <f t="shared" ref="BP74:BR74" si="482">SUM(BM74,BI74,BE74)</f>
        <v>#VALUE!</v>
      </c>
      <c r="BQ74" s="326">
        <f t="shared" si="482"/>
        <v>0</v>
      </c>
      <c r="BR74" s="333">
        <f t="shared" si="482"/>
        <v>1364142.43</v>
      </c>
      <c r="BS74" s="125">
        <f t="shared" si="446"/>
        <v>578809.19999999995</v>
      </c>
      <c r="BT74" s="140" t="e">
        <f t="shared" si="61"/>
        <v>#VALUE!</v>
      </c>
      <c r="BU74" s="123" t="str">
        <f t="shared" si="447"/>
        <v/>
      </c>
      <c r="BV74" s="148">
        <f t="shared" si="448"/>
        <v>937184.91</v>
      </c>
      <c r="BW74" s="123">
        <f t="shared" si="449"/>
        <v>688494.37</v>
      </c>
      <c r="BX74" s="326">
        <f t="shared" si="450"/>
        <v>630485.30000000005</v>
      </c>
      <c r="BY74" s="297"/>
      <c r="BZ74" s="553"/>
      <c r="CF74" s="294"/>
      <c r="CG74" s="294"/>
      <c r="CR74" s="294"/>
    </row>
    <row r="75" spans="1:96" ht="13">
      <c r="A75" s="546">
        <f t="shared" si="424"/>
        <v>112011552</v>
      </c>
      <c r="B75" s="547">
        <f t="shared" si="425"/>
        <v>1</v>
      </c>
      <c r="C75" s="137" t="str">
        <f t="shared" si="426"/>
        <v>Lista</v>
      </c>
      <c r="D75" s="137">
        <f t="shared" si="427"/>
        <v>0.09</v>
      </c>
      <c r="E75" s="98">
        <f t="shared" si="428"/>
        <v>0</v>
      </c>
      <c r="F75" s="414">
        <f t="shared" si="429"/>
        <v>71</v>
      </c>
      <c r="G75" s="94" t="str">
        <f t="shared" si="430"/>
        <v>Lista</v>
      </c>
      <c r="H75" s="415">
        <f t="shared" si="431"/>
        <v>0.05</v>
      </c>
      <c r="I75" s="568" t="s">
        <v>464</v>
      </c>
      <c r="J75" s="436">
        <f t="shared" si="396"/>
        <v>207272.01</v>
      </c>
      <c r="K75" s="141">
        <f t="shared" si="413"/>
        <v>348434.61241050006</v>
      </c>
      <c r="L75" s="140" t="e">
        <f t="shared" si="344"/>
        <v>#VALUE!</v>
      </c>
      <c r="M75" s="116" t="str">
        <f t="shared" si="345"/>
        <v/>
      </c>
      <c r="N75" s="333">
        <f t="shared" si="346"/>
        <v>181655.11</v>
      </c>
      <c r="O75" s="123">
        <f t="shared" si="397"/>
        <v>-166779.50241050008</v>
      </c>
      <c r="P75" s="98">
        <f t="shared" si="398"/>
        <v>0.521346340259639</v>
      </c>
      <c r="Q75" s="125">
        <f t="shared" si="399"/>
        <v>230847.48</v>
      </c>
      <c r="R75" s="141">
        <f t="shared" si="414"/>
        <v>418001.30322300002</v>
      </c>
      <c r="S75" s="140" t="e">
        <f t="shared" si="350"/>
        <v>#VALUE!</v>
      </c>
      <c r="T75" s="326" t="str">
        <f t="shared" si="351"/>
        <v/>
      </c>
      <c r="U75" s="333">
        <f t="shared" si="352"/>
        <v>0</v>
      </c>
      <c r="V75" s="123">
        <f t="shared" si="400"/>
        <v>-418001.30322300002</v>
      </c>
      <c r="W75" s="98">
        <f t="shared" si="419"/>
        <v>0</v>
      </c>
      <c r="X75" s="123">
        <f t="shared" si="402"/>
        <v>660279.36</v>
      </c>
      <c r="Y75" s="326">
        <f t="shared" si="403"/>
        <v>1106149.5048239999</v>
      </c>
      <c r="Z75" s="116" t="e">
        <f t="shared" si="355"/>
        <v>#VALUE!</v>
      </c>
      <c r="AA75" s="561" t="str">
        <f t="shared" si="356"/>
        <v/>
      </c>
      <c r="AB75" s="561">
        <f t="shared" si="357"/>
        <v>0</v>
      </c>
      <c r="AC75" s="116">
        <f t="shared" si="391"/>
        <v>-1106149.5048239999</v>
      </c>
      <c r="AD75" s="97">
        <f t="shared" si="392"/>
        <v>0</v>
      </c>
      <c r="AE75" s="433">
        <f t="shared" si="404"/>
        <v>1872585.4204575</v>
      </c>
      <c r="AF75" s="550">
        <f t="shared" si="360"/>
        <v>870469.34</v>
      </c>
      <c r="AG75" s="496" t="e">
        <f t="shared" ref="AG75:AI75" si="483">SUM(Z75,S75,S75,L75)</f>
        <v>#VALUE!</v>
      </c>
      <c r="AH75" s="496">
        <f t="shared" si="483"/>
        <v>0</v>
      </c>
      <c r="AI75" s="496">
        <f t="shared" si="483"/>
        <v>181655.11</v>
      </c>
      <c r="AJ75" s="551">
        <f t="shared" si="362"/>
        <v>-688814.23</v>
      </c>
      <c r="AK75" s="552">
        <f t="shared" si="363"/>
        <v>0.20868639669721165</v>
      </c>
      <c r="AL75" s="434">
        <f t="shared" si="406"/>
        <v>399313.14</v>
      </c>
      <c r="AM75" s="140" t="e">
        <f t="shared" si="364"/>
        <v>#VALUE!</v>
      </c>
      <c r="AN75" s="123" t="str">
        <f t="shared" si="365"/>
        <v/>
      </c>
      <c r="AO75" s="148">
        <f t="shared" si="366"/>
        <v>0</v>
      </c>
      <c r="AP75" s="434">
        <f t="shared" si="407"/>
        <v>110040.6</v>
      </c>
      <c r="AQ75" s="140" t="e">
        <f t="shared" si="336"/>
        <v>#VALUE!</v>
      </c>
      <c r="AR75" s="326" t="str">
        <f t="shared" si="337"/>
        <v/>
      </c>
      <c r="AS75" s="333">
        <f t="shared" si="338"/>
        <v>796784.23</v>
      </c>
      <c r="AT75" s="125">
        <f t="shared" si="408"/>
        <v>57832.2</v>
      </c>
      <c r="AU75" s="140" t="e">
        <f t="shared" si="42"/>
        <v>#VALUE!</v>
      </c>
      <c r="AV75" s="123" t="str">
        <f t="shared" si="433"/>
        <v/>
      </c>
      <c r="AW75" s="125">
        <f t="shared" si="434"/>
        <v>0</v>
      </c>
      <c r="AX75" s="122" t="e">
        <f t="shared" ref="AX75:AZ75" si="484">AU75+AQ75+AM75</f>
        <v>#VALUE!</v>
      </c>
      <c r="AY75" s="326" t="e">
        <f t="shared" si="484"/>
        <v>#VALUE!</v>
      </c>
      <c r="AZ75" s="332">
        <f t="shared" si="484"/>
        <v>796784.23</v>
      </c>
      <c r="BA75" s="140" t="e">
        <f t="shared" ref="BA75:BC75" si="485">AX75+AG75</f>
        <v>#VALUE!</v>
      </c>
      <c r="BB75" s="326" t="e">
        <f t="shared" si="485"/>
        <v>#VALUE!</v>
      </c>
      <c r="BC75" s="435">
        <f t="shared" si="485"/>
        <v>978439.34</v>
      </c>
      <c r="BD75" s="123">
        <f t="shared" si="411"/>
        <v>0</v>
      </c>
      <c r="BE75" s="123" t="e">
        <f t="shared" si="48"/>
        <v>#VALUE!</v>
      </c>
      <c r="BF75" s="123" t="str">
        <f t="shared" si="437"/>
        <v/>
      </c>
      <c r="BG75" s="148">
        <f t="shared" si="438"/>
        <v>0</v>
      </c>
      <c r="BH75" s="123">
        <f t="shared" si="439"/>
        <v>204056.35</v>
      </c>
      <c r="BI75" s="141" t="e">
        <f t="shared" si="52"/>
        <v>#VALUE!</v>
      </c>
      <c r="BJ75" s="332" t="str">
        <f t="shared" si="440"/>
        <v/>
      </c>
      <c r="BK75" s="333">
        <f t="shared" si="441"/>
        <v>0</v>
      </c>
      <c r="BL75" s="326">
        <f t="shared" si="442"/>
        <v>96748.67</v>
      </c>
      <c r="BM75" s="326" t="e">
        <f t="shared" si="56"/>
        <v>#VALUE!</v>
      </c>
      <c r="BN75" s="326" t="str">
        <f t="shared" si="443"/>
        <v/>
      </c>
      <c r="BO75" s="332">
        <f t="shared" si="444"/>
        <v>0</v>
      </c>
      <c r="BP75" s="140" t="e">
        <f t="shared" ref="BP75:BR75" si="486">SUM(BM75,BI75,BE75)</f>
        <v>#VALUE!</v>
      </c>
      <c r="BQ75" s="326">
        <f t="shared" si="486"/>
        <v>0</v>
      </c>
      <c r="BR75" s="333">
        <f t="shared" si="486"/>
        <v>0</v>
      </c>
      <c r="BS75" s="125">
        <f t="shared" si="446"/>
        <v>67149.8</v>
      </c>
      <c r="BT75" s="140" t="e">
        <f t="shared" si="61"/>
        <v>#VALUE!</v>
      </c>
      <c r="BU75" s="123" t="str">
        <f t="shared" si="447"/>
        <v/>
      </c>
      <c r="BV75" s="148">
        <f t="shared" si="448"/>
        <v>197704.64</v>
      </c>
      <c r="BW75" s="123">
        <f t="shared" si="449"/>
        <v>191288.45</v>
      </c>
      <c r="BX75" s="326">
        <f t="shared" si="450"/>
        <v>612031.09</v>
      </c>
      <c r="BY75" s="297"/>
      <c r="BZ75" s="553"/>
      <c r="CF75" s="294"/>
      <c r="CG75" s="294"/>
      <c r="CR75" s="294"/>
    </row>
    <row r="76" spans="1:96" ht="13">
      <c r="A76" s="546">
        <f t="shared" si="424"/>
        <v>112011673</v>
      </c>
      <c r="B76" s="547">
        <f t="shared" si="425"/>
        <v>1</v>
      </c>
      <c r="C76" s="137" t="str">
        <f t="shared" si="426"/>
        <v>Lista</v>
      </c>
      <c r="D76" s="137">
        <f t="shared" si="427"/>
        <v>0.09</v>
      </c>
      <c r="E76" s="98">
        <f t="shared" si="428"/>
        <v>0</v>
      </c>
      <c r="F76" s="414">
        <f t="shared" si="429"/>
        <v>71</v>
      </c>
      <c r="G76" s="94" t="str">
        <f t="shared" si="430"/>
        <v>Lista</v>
      </c>
      <c r="H76" s="415">
        <f t="shared" si="431"/>
        <v>0.05</v>
      </c>
      <c r="I76" s="568" t="s">
        <v>465</v>
      </c>
      <c r="J76" s="436">
        <f t="shared" si="396"/>
        <v>0</v>
      </c>
      <c r="K76" s="141">
        <f t="shared" si="413"/>
        <v>0</v>
      </c>
      <c r="L76" s="140" t="e">
        <f t="shared" si="344"/>
        <v>#VALUE!</v>
      </c>
      <c r="M76" s="116" t="str">
        <f t="shared" si="345"/>
        <v/>
      </c>
      <c r="N76" s="333">
        <f t="shared" si="346"/>
        <v>0</v>
      </c>
      <c r="O76" s="123">
        <f t="shared" si="397"/>
        <v>0</v>
      </c>
      <c r="P76" s="98" t="str">
        <f t="shared" si="398"/>
        <v/>
      </c>
      <c r="Q76" s="125">
        <f t="shared" si="399"/>
        <v>0</v>
      </c>
      <c r="R76" s="141">
        <f t="shared" si="414"/>
        <v>0</v>
      </c>
      <c r="S76" s="140" t="e">
        <f t="shared" si="350"/>
        <v>#VALUE!</v>
      </c>
      <c r="T76" s="326" t="str">
        <f t="shared" si="351"/>
        <v/>
      </c>
      <c r="U76" s="333">
        <f t="shared" si="352"/>
        <v>232173.98</v>
      </c>
      <c r="V76" s="123">
        <f t="shared" si="400"/>
        <v>232173.98</v>
      </c>
      <c r="W76" s="98" t="str">
        <f t="shared" si="419"/>
        <v/>
      </c>
      <c r="X76" s="123">
        <f t="shared" si="402"/>
        <v>0</v>
      </c>
      <c r="Y76" s="326">
        <f t="shared" si="403"/>
        <v>0</v>
      </c>
      <c r="Z76" s="116" t="e">
        <f t="shared" si="355"/>
        <v>#VALUE!</v>
      </c>
      <c r="AA76" s="561" t="str">
        <f t="shared" si="356"/>
        <v/>
      </c>
      <c r="AB76" s="561">
        <f t="shared" si="357"/>
        <v>0</v>
      </c>
      <c r="AC76" s="116">
        <f t="shared" si="391"/>
        <v>0</v>
      </c>
      <c r="AD76" s="97" t="str">
        <f t="shared" si="392"/>
        <v/>
      </c>
      <c r="AE76" s="433">
        <f t="shared" si="404"/>
        <v>0</v>
      </c>
      <c r="AF76" s="550">
        <f t="shared" si="360"/>
        <v>883800.02</v>
      </c>
      <c r="AG76" s="496" t="e">
        <f t="shared" ref="AG76:AI76" si="487">SUM(Z76,S76,S76,L76)</f>
        <v>#VALUE!</v>
      </c>
      <c r="AH76" s="496">
        <f t="shared" si="487"/>
        <v>0</v>
      </c>
      <c r="AI76" s="496">
        <f t="shared" si="487"/>
        <v>464347.96</v>
      </c>
      <c r="AJ76" s="551">
        <f t="shared" si="362"/>
        <v>-419452.06</v>
      </c>
      <c r="AK76" s="552">
        <f t="shared" si="363"/>
        <v>0.52539935448292929</v>
      </c>
      <c r="AL76" s="434">
        <f t="shared" si="406"/>
        <v>102926.51</v>
      </c>
      <c r="AM76" s="140" t="e">
        <f t="shared" si="364"/>
        <v>#VALUE!</v>
      </c>
      <c r="AN76" s="123" t="str">
        <f t="shared" si="365"/>
        <v/>
      </c>
      <c r="AO76" s="148">
        <f t="shared" si="366"/>
        <v>0</v>
      </c>
      <c r="AP76" s="434">
        <f t="shared" si="407"/>
        <v>69020.25</v>
      </c>
      <c r="AQ76" s="140" t="e">
        <f t="shared" si="336"/>
        <v>#VALUE!</v>
      </c>
      <c r="AR76" s="326" t="str">
        <f t="shared" si="337"/>
        <v/>
      </c>
      <c r="AS76" s="333">
        <f t="shared" si="338"/>
        <v>0</v>
      </c>
      <c r="AT76" s="125">
        <f t="shared" si="408"/>
        <v>0</v>
      </c>
      <c r="AU76" s="140" t="e">
        <f t="shared" si="42"/>
        <v>#VALUE!</v>
      </c>
      <c r="AV76" s="123" t="str">
        <f t="shared" si="433"/>
        <v/>
      </c>
      <c r="AW76" s="125">
        <f t="shared" si="434"/>
        <v>0</v>
      </c>
      <c r="AX76" s="122" t="e">
        <f t="shared" ref="AX76:AZ76" si="488">AU76+AQ76+AM76</f>
        <v>#VALUE!</v>
      </c>
      <c r="AY76" s="326" t="e">
        <f t="shared" si="488"/>
        <v>#VALUE!</v>
      </c>
      <c r="AZ76" s="332">
        <f t="shared" si="488"/>
        <v>0</v>
      </c>
      <c r="BA76" s="140" t="e">
        <f t="shared" ref="BA76:BC76" si="489">AX76+AG76</f>
        <v>#VALUE!</v>
      </c>
      <c r="BB76" s="326" t="e">
        <f t="shared" si="489"/>
        <v>#VALUE!</v>
      </c>
      <c r="BC76" s="435">
        <f t="shared" si="489"/>
        <v>464347.96</v>
      </c>
      <c r="BD76" s="123">
        <f t="shared" si="411"/>
        <v>0</v>
      </c>
      <c r="BE76" s="123" t="e">
        <f t="shared" si="48"/>
        <v>#VALUE!</v>
      </c>
      <c r="BF76" s="123" t="str">
        <f t="shared" si="437"/>
        <v/>
      </c>
      <c r="BG76" s="148">
        <f t="shared" si="438"/>
        <v>0</v>
      </c>
      <c r="BH76" s="123">
        <f t="shared" si="439"/>
        <v>0</v>
      </c>
      <c r="BI76" s="141" t="e">
        <f t="shared" si="52"/>
        <v>#VALUE!</v>
      </c>
      <c r="BJ76" s="332" t="str">
        <f t="shared" si="440"/>
        <v/>
      </c>
      <c r="BK76" s="333">
        <f t="shared" si="441"/>
        <v>693062.96</v>
      </c>
      <c r="BL76" s="326">
        <f t="shared" si="442"/>
        <v>0</v>
      </c>
      <c r="BM76" s="326" t="e">
        <f t="shared" si="56"/>
        <v>#VALUE!</v>
      </c>
      <c r="BN76" s="326" t="str">
        <f t="shared" si="443"/>
        <v/>
      </c>
      <c r="BO76" s="332">
        <f t="shared" si="444"/>
        <v>167941.85</v>
      </c>
      <c r="BP76" s="140" t="e">
        <f t="shared" ref="BP76:BR76" si="490">SUM(BM76,BI76,BE76)</f>
        <v>#VALUE!</v>
      </c>
      <c r="BQ76" s="326">
        <f t="shared" si="490"/>
        <v>0</v>
      </c>
      <c r="BR76" s="333">
        <f t="shared" si="490"/>
        <v>861004.80999999994</v>
      </c>
      <c r="BS76" s="125">
        <f t="shared" si="446"/>
        <v>0</v>
      </c>
      <c r="BT76" s="140" t="e">
        <f t="shared" si="61"/>
        <v>#VALUE!</v>
      </c>
      <c r="BU76" s="123" t="str">
        <f t="shared" si="447"/>
        <v/>
      </c>
      <c r="BV76" s="148">
        <f t="shared" si="448"/>
        <v>969621.73</v>
      </c>
      <c r="BW76" s="123">
        <f t="shared" si="449"/>
        <v>0</v>
      </c>
      <c r="BX76" s="326">
        <f t="shared" si="450"/>
        <v>883800.02</v>
      </c>
      <c r="BY76" s="297"/>
      <c r="BZ76" s="553"/>
      <c r="CF76" s="294"/>
      <c r="CG76" s="294"/>
      <c r="CR76" s="294"/>
    </row>
    <row r="77" spans="1:96" ht="13">
      <c r="A77" s="546">
        <f t="shared" si="424"/>
        <v>112011855</v>
      </c>
      <c r="B77" s="547">
        <f t="shared" si="425"/>
        <v>1</v>
      </c>
      <c r="C77" s="137" t="str">
        <f t="shared" si="426"/>
        <v>Lista</v>
      </c>
      <c r="D77" s="137">
        <f t="shared" si="427"/>
        <v>0.09</v>
      </c>
      <c r="E77" s="98">
        <f t="shared" si="428"/>
        <v>0</v>
      </c>
      <c r="F77" s="414">
        <f t="shared" si="429"/>
        <v>71</v>
      </c>
      <c r="G77" s="94" t="str">
        <f t="shared" si="430"/>
        <v>Lista</v>
      </c>
      <c r="H77" s="415">
        <f t="shared" si="431"/>
        <v>0.05</v>
      </c>
      <c r="I77" s="568" t="s">
        <v>466</v>
      </c>
      <c r="J77" s="436">
        <f t="shared" si="396"/>
        <v>530941.56999999995</v>
      </c>
      <c r="K77" s="141">
        <f t="shared" si="413"/>
        <v>892539.32624849991</v>
      </c>
      <c r="L77" s="140" t="e">
        <f t="shared" si="344"/>
        <v>#VALUE!</v>
      </c>
      <c r="M77" s="116" t="str">
        <f t="shared" si="345"/>
        <v/>
      </c>
      <c r="N77" s="333">
        <f t="shared" si="346"/>
        <v>1928922.53</v>
      </c>
      <c r="O77" s="123">
        <f t="shared" si="397"/>
        <v>1036383.2037515001</v>
      </c>
      <c r="P77" s="98">
        <f t="shared" si="398"/>
        <v>2.1611625093401781</v>
      </c>
      <c r="Q77" s="125">
        <f t="shared" si="399"/>
        <v>940470.73</v>
      </c>
      <c r="R77" s="141">
        <f t="shared" si="414"/>
        <v>1702933.8625792498</v>
      </c>
      <c r="S77" s="140" t="e">
        <f t="shared" si="350"/>
        <v>#VALUE!</v>
      </c>
      <c r="T77" s="326" t="str">
        <f t="shared" si="351"/>
        <v/>
      </c>
      <c r="U77" s="333">
        <f t="shared" si="352"/>
        <v>200584.61</v>
      </c>
      <c r="V77" s="123">
        <f t="shared" si="400"/>
        <v>-1502349.2525792499</v>
      </c>
      <c r="W77" s="98">
        <f t="shared" si="419"/>
        <v>0.11778766892109137</v>
      </c>
      <c r="X77" s="123">
        <f t="shared" si="402"/>
        <v>429710.35</v>
      </c>
      <c r="Y77" s="326">
        <f t="shared" si="403"/>
        <v>719883.00659624988</v>
      </c>
      <c r="Z77" s="116" t="e">
        <f t="shared" si="355"/>
        <v>#VALUE!</v>
      </c>
      <c r="AA77" s="561" t="str">
        <f t="shared" si="356"/>
        <v/>
      </c>
      <c r="AB77" s="561">
        <f t="shared" si="357"/>
        <v>962397.23</v>
      </c>
      <c r="AC77" s="116">
        <f t="shared" si="391"/>
        <v>242514.2234037501</v>
      </c>
      <c r="AD77" s="97">
        <f t="shared" si="392"/>
        <v>1.3368800502048321</v>
      </c>
      <c r="AE77" s="433">
        <f t="shared" si="404"/>
        <v>3315356.1954239998</v>
      </c>
      <c r="AF77" s="550">
        <f t="shared" si="360"/>
        <v>3564512.18</v>
      </c>
      <c r="AG77" s="496" t="e">
        <f t="shared" ref="AG77:AI77" si="491">SUM(Z77,S77,S77,L77)</f>
        <v>#VALUE!</v>
      </c>
      <c r="AH77" s="496">
        <f t="shared" si="491"/>
        <v>0</v>
      </c>
      <c r="AI77" s="496">
        <f t="shared" si="491"/>
        <v>3292488.9799999995</v>
      </c>
      <c r="AJ77" s="551">
        <f t="shared" si="362"/>
        <v>-272023.20000000065</v>
      </c>
      <c r="AK77" s="552">
        <f t="shared" si="363"/>
        <v>0.92368571454846293</v>
      </c>
      <c r="AL77" s="434">
        <f t="shared" si="406"/>
        <v>299494.81</v>
      </c>
      <c r="AM77" s="140" t="e">
        <f t="shared" si="364"/>
        <v>#VALUE!</v>
      </c>
      <c r="AN77" s="123" t="str">
        <f t="shared" si="365"/>
        <v/>
      </c>
      <c r="AO77" s="148">
        <f t="shared" si="366"/>
        <v>563964.72</v>
      </c>
      <c r="AP77" s="434">
        <f t="shared" si="407"/>
        <v>854434.91</v>
      </c>
      <c r="AQ77" s="140" t="e">
        <f t="shared" si="336"/>
        <v>#VALUE!</v>
      </c>
      <c r="AR77" s="326" t="str">
        <f t="shared" si="337"/>
        <v/>
      </c>
      <c r="AS77" s="333">
        <f t="shared" si="338"/>
        <v>1089480.04</v>
      </c>
      <c r="AT77" s="125">
        <f t="shared" si="408"/>
        <v>521423.91</v>
      </c>
      <c r="AU77" s="140" t="e">
        <f t="shared" si="42"/>
        <v>#VALUE!</v>
      </c>
      <c r="AV77" s="123" t="str">
        <f t="shared" si="433"/>
        <v/>
      </c>
      <c r="AW77" s="125">
        <f t="shared" si="434"/>
        <v>712388.13</v>
      </c>
      <c r="AX77" s="122" t="e">
        <f t="shared" ref="AX77:AZ77" si="492">AU77+AQ77+AM77</f>
        <v>#VALUE!</v>
      </c>
      <c r="AY77" s="326" t="e">
        <f t="shared" si="492"/>
        <v>#VALUE!</v>
      </c>
      <c r="AZ77" s="332">
        <f t="shared" si="492"/>
        <v>2365832.8899999997</v>
      </c>
      <c r="BA77" s="140" t="e">
        <f t="shared" ref="BA77:BC77" si="493">AX77+AG77</f>
        <v>#VALUE!</v>
      </c>
      <c r="BB77" s="326" t="e">
        <f t="shared" si="493"/>
        <v>#VALUE!</v>
      </c>
      <c r="BC77" s="435">
        <f t="shared" si="493"/>
        <v>5658321.8699999992</v>
      </c>
      <c r="BD77" s="123">
        <f t="shared" si="411"/>
        <v>607652.29</v>
      </c>
      <c r="BE77" s="123" t="e">
        <f t="shared" si="48"/>
        <v>#VALUE!</v>
      </c>
      <c r="BF77" s="123" t="str">
        <f t="shared" si="437"/>
        <v/>
      </c>
      <c r="BG77" s="148">
        <f t="shared" si="438"/>
        <v>847116.74</v>
      </c>
      <c r="BH77" s="123">
        <f t="shared" si="439"/>
        <v>338738.38</v>
      </c>
      <c r="BI77" s="141" t="e">
        <f t="shared" si="52"/>
        <v>#VALUE!</v>
      </c>
      <c r="BJ77" s="332" t="str">
        <f t="shared" si="440"/>
        <v/>
      </c>
      <c r="BK77" s="333">
        <f t="shared" si="441"/>
        <v>362485.26</v>
      </c>
      <c r="BL77" s="326">
        <f t="shared" si="442"/>
        <v>371609.75</v>
      </c>
      <c r="BM77" s="326" t="e">
        <f t="shared" si="56"/>
        <v>#VALUE!</v>
      </c>
      <c r="BN77" s="326" t="str">
        <f t="shared" si="443"/>
        <v/>
      </c>
      <c r="BO77" s="332">
        <f t="shared" si="444"/>
        <v>475471.65</v>
      </c>
      <c r="BP77" s="140" t="e">
        <f t="shared" ref="BP77:BR77" si="494">SUM(BM77,BI77,BE77)</f>
        <v>#VALUE!</v>
      </c>
      <c r="BQ77" s="326">
        <f t="shared" si="494"/>
        <v>0</v>
      </c>
      <c r="BR77" s="333">
        <f t="shared" si="494"/>
        <v>1685073.65</v>
      </c>
      <c r="BS77" s="125">
        <f t="shared" si="446"/>
        <v>1329685.52</v>
      </c>
      <c r="BT77" s="140" t="e">
        <f t="shared" si="61"/>
        <v>#VALUE!</v>
      </c>
      <c r="BU77" s="123" t="str">
        <f t="shared" si="447"/>
        <v/>
      </c>
      <c r="BV77" s="148">
        <f t="shared" si="448"/>
        <v>1147550.8999999999</v>
      </c>
      <c r="BW77" s="123">
        <f t="shared" si="449"/>
        <v>1196175.48</v>
      </c>
      <c r="BX77" s="326">
        <f t="shared" si="450"/>
        <v>1038651.19</v>
      </c>
      <c r="BY77" s="297"/>
      <c r="BZ77" s="553"/>
      <c r="CF77" s="294"/>
      <c r="CG77" s="294"/>
      <c r="CR77" s="294"/>
    </row>
    <row r="78" spans="1:96" ht="13">
      <c r="A78" s="546">
        <f t="shared" si="424"/>
        <v>112012343</v>
      </c>
      <c r="B78" s="547">
        <f t="shared" si="425"/>
        <v>1</v>
      </c>
      <c r="C78" s="137" t="str">
        <f t="shared" si="426"/>
        <v>Lista</v>
      </c>
      <c r="D78" s="137">
        <f t="shared" si="427"/>
        <v>0.09</v>
      </c>
      <c r="E78" s="98">
        <f t="shared" si="428"/>
        <v>0</v>
      </c>
      <c r="F78" s="414">
        <f t="shared" si="429"/>
        <v>71</v>
      </c>
      <c r="G78" s="94" t="str">
        <f t="shared" si="430"/>
        <v>Lista</v>
      </c>
      <c r="H78" s="415">
        <f t="shared" si="431"/>
        <v>0.05</v>
      </c>
      <c r="I78" s="568" t="s">
        <v>467</v>
      </c>
      <c r="J78" s="436">
        <f t="shared" si="396"/>
        <v>166604.53</v>
      </c>
      <c r="K78" s="141">
        <f t="shared" si="413"/>
        <v>280070.54515650001</v>
      </c>
      <c r="L78" s="140">
        <f t="shared" si="344"/>
        <v>79197.710000000006</v>
      </c>
      <c r="M78" s="116">
        <f t="shared" si="345"/>
        <v>12486.03</v>
      </c>
      <c r="N78" s="333">
        <f t="shared" si="346"/>
        <v>91683.74</v>
      </c>
      <c r="O78" s="123">
        <f t="shared" si="397"/>
        <v>-188386.80515650002</v>
      </c>
      <c r="P78" s="98">
        <f t="shared" si="398"/>
        <v>0.32735945134383282</v>
      </c>
      <c r="Q78" s="125">
        <f t="shared" si="399"/>
        <v>202294.93</v>
      </c>
      <c r="R78" s="141">
        <f t="shared" si="414"/>
        <v>366300.48712424998</v>
      </c>
      <c r="S78" s="140">
        <f t="shared" si="350"/>
        <v>124378.82999999999</v>
      </c>
      <c r="T78" s="326">
        <f t="shared" si="351"/>
        <v>12486.03</v>
      </c>
      <c r="U78" s="333">
        <f t="shared" si="352"/>
        <v>136864.85999999999</v>
      </c>
      <c r="V78" s="123">
        <f t="shared" si="400"/>
        <v>-229435.62712424999</v>
      </c>
      <c r="W78" s="98">
        <f t="shared" si="419"/>
        <v>0.37364094455483238</v>
      </c>
      <c r="X78" s="123">
        <f t="shared" si="402"/>
        <v>62465.79</v>
      </c>
      <c r="Y78" s="326">
        <f t="shared" si="403"/>
        <v>104647.37634225001</v>
      </c>
      <c r="Z78" s="116">
        <f t="shared" si="355"/>
        <v>0</v>
      </c>
      <c r="AA78" s="561">
        <f t="shared" si="356"/>
        <v>13609.77</v>
      </c>
      <c r="AB78" s="561">
        <f t="shared" si="357"/>
        <v>13609.77</v>
      </c>
      <c r="AC78" s="116">
        <f t="shared" si="391"/>
        <v>-91037.606342250001</v>
      </c>
      <c r="AD78" s="97">
        <f t="shared" si="392"/>
        <v>0.13005361888375633</v>
      </c>
      <c r="AE78" s="433">
        <f t="shared" si="404"/>
        <v>751018.40862300002</v>
      </c>
      <c r="AF78" s="550">
        <f t="shared" si="360"/>
        <v>288724.15999999997</v>
      </c>
      <c r="AG78" s="496">
        <f t="shared" ref="AG78:AI78" si="495">SUM(Z78,S78,S78,L78)</f>
        <v>327955.37</v>
      </c>
      <c r="AH78" s="496">
        <f t="shared" si="495"/>
        <v>51067.86</v>
      </c>
      <c r="AI78" s="496">
        <f t="shared" si="495"/>
        <v>379023.23</v>
      </c>
      <c r="AJ78" s="551">
        <f t="shared" si="362"/>
        <v>90299.07</v>
      </c>
      <c r="AK78" s="552">
        <f t="shared" si="363"/>
        <v>1.3127520398708581</v>
      </c>
      <c r="AL78" s="434">
        <f t="shared" si="406"/>
        <v>149846.68</v>
      </c>
      <c r="AM78" s="140">
        <f t="shared" si="364"/>
        <v>442650.11</v>
      </c>
      <c r="AN78" s="123">
        <f t="shared" si="365"/>
        <v>13609.77</v>
      </c>
      <c r="AO78" s="148">
        <f t="shared" si="366"/>
        <v>456259.88</v>
      </c>
      <c r="AP78" s="434">
        <f t="shared" si="407"/>
        <v>256120.15</v>
      </c>
      <c r="AQ78" s="140">
        <f t="shared" si="336"/>
        <v>190939.5</v>
      </c>
      <c r="AR78" s="326">
        <f t="shared" si="337"/>
        <v>14290.23</v>
      </c>
      <c r="AS78" s="333">
        <f t="shared" si="338"/>
        <v>205229.73</v>
      </c>
      <c r="AT78" s="125">
        <f t="shared" si="408"/>
        <v>151674.38</v>
      </c>
      <c r="AU78" s="140">
        <f t="shared" si="42"/>
        <v>0</v>
      </c>
      <c r="AV78" s="123">
        <f t="shared" si="433"/>
        <v>0</v>
      </c>
      <c r="AW78" s="125">
        <f t="shared" si="434"/>
        <v>0</v>
      </c>
      <c r="AX78" s="122">
        <f t="shared" ref="AX78:AZ78" si="496">AU78+AQ78+AM78</f>
        <v>633589.61</v>
      </c>
      <c r="AY78" s="326">
        <f t="shared" si="496"/>
        <v>27900</v>
      </c>
      <c r="AZ78" s="332">
        <f t="shared" si="496"/>
        <v>661489.61</v>
      </c>
      <c r="BA78" s="140">
        <f t="shared" ref="BA78:BC78" si="497">AX78+AG78</f>
        <v>961544.98</v>
      </c>
      <c r="BB78" s="326">
        <f t="shared" si="497"/>
        <v>78967.86</v>
      </c>
      <c r="BC78" s="435">
        <f t="shared" si="497"/>
        <v>1040512.84</v>
      </c>
      <c r="BD78" s="123">
        <f t="shared" si="411"/>
        <v>57332.76</v>
      </c>
      <c r="BE78" s="123">
        <f t="shared" si="48"/>
        <v>281001.39</v>
      </c>
      <c r="BF78" s="123">
        <f t="shared" si="437"/>
        <v>0</v>
      </c>
      <c r="BG78" s="148">
        <f t="shared" si="438"/>
        <v>281001.39</v>
      </c>
      <c r="BH78" s="123">
        <f t="shared" si="439"/>
        <v>286916.77</v>
      </c>
      <c r="BI78" s="141">
        <f t="shared" si="52"/>
        <v>116738.19</v>
      </c>
      <c r="BJ78" s="332">
        <f t="shared" si="440"/>
        <v>0</v>
      </c>
      <c r="BK78" s="333">
        <f t="shared" si="441"/>
        <v>116738.19</v>
      </c>
      <c r="BL78" s="326">
        <f t="shared" si="442"/>
        <v>19675.04</v>
      </c>
      <c r="BM78" s="326">
        <f t="shared" si="56"/>
        <v>205330.2</v>
      </c>
      <c r="BN78" s="326">
        <f t="shared" si="443"/>
        <v>0</v>
      </c>
      <c r="BO78" s="332">
        <f t="shared" si="444"/>
        <v>205330.2</v>
      </c>
      <c r="BP78" s="140">
        <f t="shared" ref="BP78:BR78" si="498">SUM(BM78,BI78,BE78)</f>
        <v>603069.78</v>
      </c>
      <c r="BQ78" s="326">
        <f t="shared" si="498"/>
        <v>0</v>
      </c>
      <c r="BR78" s="333">
        <f t="shared" si="498"/>
        <v>603069.78</v>
      </c>
      <c r="BS78" s="125">
        <f t="shared" si="446"/>
        <v>22899.77</v>
      </c>
      <c r="BT78" s="140">
        <f t="shared" si="61"/>
        <v>0</v>
      </c>
      <c r="BU78" s="123">
        <f t="shared" si="447"/>
        <v>0</v>
      </c>
      <c r="BV78" s="148">
        <f t="shared" si="448"/>
        <v>0</v>
      </c>
      <c r="BW78" s="123">
        <f t="shared" si="449"/>
        <v>265824.39</v>
      </c>
      <c r="BX78" s="326">
        <f t="shared" si="450"/>
        <v>0</v>
      </c>
      <c r="BY78" s="297"/>
      <c r="BZ78" s="553"/>
      <c r="CF78" s="294"/>
      <c r="CG78" s="294"/>
      <c r="CR78" s="294"/>
    </row>
    <row r="79" spans="1:96" ht="13">
      <c r="A79" s="546">
        <f t="shared" si="424"/>
        <v>112012346</v>
      </c>
      <c r="B79" s="547">
        <f t="shared" si="425"/>
        <v>1</v>
      </c>
      <c r="C79" s="137" t="str">
        <f t="shared" si="426"/>
        <v>Lista</v>
      </c>
      <c r="D79" s="137">
        <f t="shared" si="427"/>
        <v>0.09</v>
      </c>
      <c r="E79" s="98">
        <f t="shared" si="428"/>
        <v>0</v>
      </c>
      <c r="F79" s="414">
        <f t="shared" si="429"/>
        <v>71</v>
      </c>
      <c r="G79" s="94" t="str">
        <f t="shared" si="430"/>
        <v>Lista</v>
      </c>
      <c r="H79" s="415">
        <f t="shared" si="431"/>
        <v>0.05</v>
      </c>
      <c r="I79" s="568" t="s">
        <v>468</v>
      </c>
      <c r="J79" s="436" t="str">
        <f t="shared" si="396"/>
        <v/>
      </c>
      <c r="K79" s="141" t="e">
        <f t="shared" si="413"/>
        <v>#VALUE!</v>
      </c>
      <c r="L79" s="140" t="e">
        <f t="shared" si="344"/>
        <v>#VALUE!</v>
      </c>
      <c r="M79" s="116" t="str">
        <f t="shared" si="345"/>
        <v/>
      </c>
      <c r="N79" s="333">
        <f t="shared" si="346"/>
        <v>0</v>
      </c>
      <c r="O79" s="123" t="e">
        <f t="shared" si="397"/>
        <v>#VALUE!</v>
      </c>
      <c r="P79" s="98" t="str">
        <f t="shared" si="398"/>
        <v/>
      </c>
      <c r="Q79" s="125" t="str">
        <f t="shared" si="399"/>
        <v/>
      </c>
      <c r="R79" s="141" t="e">
        <f t="shared" si="414"/>
        <v>#VALUE!</v>
      </c>
      <c r="S79" s="140" t="e">
        <f t="shared" si="350"/>
        <v>#VALUE!</v>
      </c>
      <c r="T79" s="326" t="str">
        <f t="shared" si="351"/>
        <v/>
      </c>
      <c r="U79" s="333">
        <f t="shared" si="352"/>
        <v>0</v>
      </c>
      <c r="V79" s="123" t="e">
        <f t="shared" si="400"/>
        <v>#VALUE!</v>
      </c>
      <c r="W79" s="98" t="str">
        <f t="shared" si="419"/>
        <v/>
      </c>
      <c r="X79" s="123" t="str">
        <f t="shared" si="402"/>
        <v/>
      </c>
      <c r="Y79" s="326" t="e">
        <f t="shared" si="403"/>
        <v>#VALUE!</v>
      </c>
      <c r="Z79" s="116" t="e">
        <f t="shared" si="355"/>
        <v>#VALUE!</v>
      </c>
      <c r="AA79" s="561" t="str">
        <f t="shared" si="356"/>
        <v/>
      </c>
      <c r="AB79" s="561">
        <f t="shared" si="357"/>
        <v>0</v>
      </c>
      <c r="AC79" s="116" t="e">
        <f t="shared" si="391"/>
        <v>#VALUE!</v>
      </c>
      <c r="AD79" s="97" t="str">
        <f t="shared" si="392"/>
        <v/>
      </c>
      <c r="AE79" s="433" t="e">
        <f t="shared" si="404"/>
        <v>#VALUE!</v>
      </c>
      <c r="AF79" s="550" t="str">
        <f t="shared" si="360"/>
        <v>0</v>
      </c>
      <c r="AG79" s="496" t="e">
        <f t="shared" ref="AG79:AI79" si="499">SUM(Z79,S79,S79,L79)</f>
        <v>#VALUE!</v>
      </c>
      <c r="AH79" s="496">
        <f t="shared" si="499"/>
        <v>0</v>
      </c>
      <c r="AI79" s="496">
        <f t="shared" si="499"/>
        <v>0</v>
      </c>
      <c r="AJ79" s="551">
        <f t="shared" si="362"/>
        <v>0</v>
      </c>
      <c r="AK79" s="552" t="str">
        <f t="shared" si="363"/>
        <v/>
      </c>
      <c r="AL79" s="434" t="str">
        <f t="shared" si="406"/>
        <v/>
      </c>
      <c r="AM79" s="140" t="e">
        <f t="shared" si="364"/>
        <v>#VALUE!</v>
      </c>
      <c r="AN79" s="123" t="str">
        <f t="shared" si="365"/>
        <v/>
      </c>
      <c r="AO79" s="148">
        <f t="shared" si="366"/>
        <v>518395.05</v>
      </c>
      <c r="AP79" s="434" t="str">
        <f t="shared" si="407"/>
        <v/>
      </c>
      <c r="AQ79" s="140" t="e">
        <f t="shared" si="336"/>
        <v>#VALUE!</v>
      </c>
      <c r="AR79" s="326" t="str">
        <f t="shared" si="337"/>
        <v/>
      </c>
      <c r="AS79" s="333">
        <f t="shared" si="338"/>
        <v>0</v>
      </c>
      <c r="AT79" s="125" t="str">
        <f t="shared" si="408"/>
        <v/>
      </c>
      <c r="AU79" s="140" t="e">
        <f t="shared" si="42"/>
        <v>#VALUE!</v>
      </c>
      <c r="AV79" s="123" t="str">
        <f t="shared" si="433"/>
        <v/>
      </c>
      <c r="AW79" s="125">
        <f t="shared" si="434"/>
        <v>0</v>
      </c>
      <c r="AX79" s="122" t="e">
        <f t="shared" ref="AX79:AZ79" si="500">AU79+AQ79+AM79</f>
        <v>#VALUE!</v>
      </c>
      <c r="AY79" s="326" t="e">
        <f t="shared" si="500"/>
        <v>#VALUE!</v>
      </c>
      <c r="AZ79" s="332">
        <f t="shared" si="500"/>
        <v>518395.05</v>
      </c>
      <c r="BA79" s="140" t="e">
        <f t="shared" ref="BA79:BC79" si="501">AX79+AG79</f>
        <v>#VALUE!</v>
      </c>
      <c r="BB79" s="326" t="e">
        <f t="shared" si="501"/>
        <v>#VALUE!</v>
      </c>
      <c r="BC79" s="435">
        <f t="shared" si="501"/>
        <v>518395.05</v>
      </c>
      <c r="BD79" s="123" t="str">
        <f t="shared" si="411"/>
        <v/>
      </c>
      <c r="BE79" s="123" t="e">
        <f t="shared" si="48"/>
        <v>#VALUE!</v>
      </c>
      <c r="BF79" s="123" t="str">
        <f t="shared" si="437"/>
        <v/>
      </c>
      <c r="BG79" s="148">
        <f t="shared" si="438"/>
        <v>0</v>
      </c>
      <c r="BH79" s="123" t="str">
        <f t="shared" si="439"/>
        <v/>
      </c>
      <c r="BI79" s="141" t="e">
        <f t="shared" si="52"/>
        <v>#VALUE!</v>
      </c>
      <c r="BJ79" s="332" t="str">
        <f t="shared" si="440"/>
        <v/>
      </c>
      <c r="BK79" s="333">
        <f t="shared" si="441"/>
        <v>0</v>
      </c>
      <c r="BL79" s="326" t="str">
        <f t="shared" si="442"/>
        <v/>
      </c>
      <c r="BM79" s="326" t="e">
        <f t="shared" si="56"/>
        <v>#VALUE!</v>
      </c>
      <c r="BN79" s="326" t="str">
        <f t="shared" si="443"/>
        <v/>
      </c>
      <c r="BO79" s="332">
        <f t="shared" si="444"/>
        <v>0</v>
      </c>
      <c r="BP79" s="140" t="e">
        <f t="shared" ref="BP79:BR79" si="502">SUM(BM79,BI79,BE79)</f>
        <v>#VALUE!</v>
      </c>
      <c r="BQ79" s="326">
        <f t="shared" si="502"/>
        <v>0</v>
      </c>
      <c r="BR79" s="333">
        <f t="shared" si="502"/>
        <v>0</v>
      </c>
      <c r="BS79" s="125" t="str">
        <f t="shared" si="446"/>
        <v/>
      </c>
      <c r="BT79" s="140" t="e">
        <f t="shared" si="61"/>
        <v>#VALUE!</v>
      </c>
      <c r="BU79" s="123" t="str">
        <f t="shared" si="447"/>
        <v/>
      </c>
      <c r="BV79" s="148">
        <f t="shared" si="448"/>
        <v>0</v>
      </c>
      <c r="BW79" s="123" t="str">
        <f t="shared" si="449"/>
        <v/>
      </c>
      <c r="BX79" s="326" t="str">
        <f t="shared" si="450"/>
        <v/>
      </c>
      <c r="BY79" s="297"/>
      <c r="BZ79" s="553"/>
      <c r="CF79" s="294"/>
      <c r="CG79" s="294"/>
      <c r="CR79" s="294"/>
    </row>
    <row r="80" spans="1:96" ht="13">
      <c r="A80" s="546">
        <f t="shared" si="424"/>
        <v>112012555</v>
      </c>
      <c r="B80" s="547">
        <f t="shared" si="425"/>
        <v>1</v>
      </c>
      <c r="C80" s="137" t="str">
        <f t="shared" si="426"/>
        <v>Lista</v>
      </c>
      <c r="D80" s="137">
        <f t="shared" si="427"/>
        <v>0.09</v>
      </c>
      <c r="E80" s="98">
        <f t="shared" si="428"/>
        <v>0</v>
      </c>
      <c r="F80" s="414">
        <f t="shared" si="429"/>
        <v>71</v>
      </c>
      <c r="G80" s="94" t="str">
        <f t="shared" si="430"/>
        <v>Lista</v>
      </c>
      <c r="H80" s="415">
        <f t="shared" si="431"/>
        <v>0.05</v>
      </c>
      <c r="I80" s="568" t="s">
        <v>469</v>
      </c>
      <c r="J80" s="436">
        <f t="shared" si="396"/>
        <v>398930.17</v>
      </c>
      <c r="K80" s="141">
        <f t="shared" si="413"/>
        <v>670621.56227849994</v>
      </c>
      <c r="L80" s="140">
        <f t="shared" si="344"/>
        <v>227477.37999999998</v>
      </c>
      <c r="M80" s="116">
        <f t="shared" si="345"/>
        <v>141166.16</v>
      </c>
      <c r="N80" s="333">
        <f t="shared" si="346"/>
        <v>368643.54</v>
      </c>
      <c r="O80" s="123">
        <f t="shared" si="397"/>
        <v>-301978.02227849996</v>
      </c>
      <c r="P80" s="98">
        <f t="shared" si="398"/>
        <v>0.54970427545976719</v>
      </c>
      <c r="Q80" s="125">
        <f t="shared" si="399"/>
        <v>21042.06</v>
      </c>
      <c r="R80" s="141">
        <f t="shared" si="414"/>
        <v>38101.384093499997</v>
      </c>
      <c r="S80" s="140">
        <f t="shared" si="350"/>
        <v>0</v>
      </c>
      <c r="T80" s="326">
        <f t="shared" si="351"/>
        <v>0</v>
      </c>
      <c r="U80" s="333">
        <f t="shared" si="352"/>
        <v>0</v>
      </c>
      <c r="V80" s="123">
        <f t="shared" si="400"/>
        <v>-38101.384093499997</v>
      </c>
      <c r="W80" s="98">
        <f t="shared" si="419"/>
        <v>0</v>
      </c>
      <c r="X80" s="123">
        <f t="shared" si="402"/>
        <v>140461.76000000001</v>
      </c>
      <c r="Y80" s="326">
        <f t="shared" si="403"/>
        <v>235312.07498400001</v>
      </c>
      <c r="Z80" s="116">
        <f t="shared" si="355"/>
        <v>24272.799999999988</v>
      </c>
      <c r="AA80" s="561">
        <f t="shared" si="356"/>
        <v>90674.82</v>
      </c>
      <c r="AB80" s="561">
        <f t="shared" si="357"/>
        <v>114947.62</v>
      </c>
      <c r="AC80" s="116">
        <f t="shared" si="391"/>
        <v>-120364.45498400001</v>
      </c>
      <c r="AD80" s="97">
        <f t="shared" si="392"/>
        <v>0.48849010407908661</v>
      </c>
      <c r="AE80" s="433">
        <f t="shared" si="404"/>
        <v>944035.02135599987</v>
      </c>
      <c r="AF80" s="550">
        <f t="shared" si="360"/>
        <v>1018522.34</v>
      </c>
      <c r="AG80" s="496">
        <f t="shared" ref="AG80:AI80" si="503">SUM(Z80,S80,S80,L80)</f>
        <v>251750.17999999996</v>
      </c>
      <c r="AH80" s="496">
        <f t="shared" si="503"/>
        <v>231840.98</v>
      </c>
      <c r="AI80" s="496">
        <f t="shared" si="503"/>
        <v>483591.16</v>
      </c>
      <c r="AJ80" s="551">
        <f t="shared" si="362"/>
        <v>-534931.17999999993</v>
      </c>
      <c r="AK80" s="552">
        <f t="shared" si="363"/>
        <v>0.47479681201690677</v>
      </c>
      <c r="AL80" s="434">
        <f t="shared" si="406"/>
        <v>387166.71999999997</v>
      </c>
      <c r="AM80" s="140">
        <f t="shared" si="364"/>
        <v>0</v>
      </c>
      <c r="AN80" s="123">
        <f t="shared" si="365"/>
        <v>84639.39</v>
      </c>
      <c r="AO80" s="148">
        <f t="shared" si="366"/>
        <v>84639.39</v>
      </c>
      <c r="AP80" s="434">
        <f t="shared" si="407"/>
        <v>0</v>
      </c>
      <c r="AQ80" s="140">
        <f t="shared" si="336"/>
        <v>0</v>
      </c>
      <c r="AR80" s="326">
        <f t="shared" si="337"/>
        <v>76072.58</v>
      </c>
      <c r="AS80" s="333">
        <f t="shared" si="338"/>
        <v>76072.58</v>
      </c>
      <c r="AT80" s="125">
        <f t="shared" si="408"/>
        <v>69964.149999999994</v>
      </c>
      <c r="AU80" s="140">
        <f t="shared" si="42"/>
        <v>39135.469999999972</v>
      </c>
      <c r="AV80" s="123">
        <f t="shared" si="433"/>
        <v>259735.75</v>
      </c>
      <c r="AW80" s="125">
        <f t="shared" si="434"/>
        <v>298871.21999999997</v>
      </c>
      <c r="AX80" s="122">
        <f t="shared" ref="AX80:AZ80" si="504">AU80+AQ80+AM80</f>
        <v>39135.469999999972</v>
      </c>
      <c r="AY80" s="326">
        <f t="shared" si="504"/>
        <v>420447.72000000003</v>
      </c>
      <c r="AZ80" s="332">
        <f t="shared" si="504"/>
        <v>459583.19</v>
      </c>
      <c r="BA80" s="140">
        <f t="shared" ref="BA80:BC80" si="505">AX80+AG80</f>
        <v>290885.64999999991</v>
      </c>
      <c r="BB80" s="326">
        <f t="shared" si="505"/>
        <v>652288.70000000007</v>
      </c>
      <c r="BC80" s="435">
        <f t="shared" si="505"/>
        <v>943174.35</v>
      </c>
      <c r="BD80" s="123">
        <f t="shared" si="411"/>
        <v>473102.7</v>
      </c>
      <c r="BE80" s="123">
        <f t="shared" si="48"/>
        <v>0</v>
      </c>
      <c r="BF80" s="123">
        <f t="shared" si="437"/>
        <v>25982.3</v>
      </c>
      <c r="BG80" s="148">
        <f t="shared" si="438"/>
        <v>25982.3</v>
      </c>
      <c r="BH80" s="123">
        <f t="shared" si="439"/>
        <v>128318.1</v>
      </c>
      <c r="BI80" s="141">
        <f t="shared" si="52"/>
        <v>28285.850000000002</v>
      </c>
      <c r="BJ80" s="332">
        <f t="shared" si="440"/>
        <v>25982.3</v>
      </c>
      <c r="BK80" s="333">
        <f t="shared" si="441"/>
        <v>54268.15</v>
      </c>
      <c r="BL80" s="326">
        <f t="shared" si="442"/>
        <v>159787.10999999999</v>
      </c>
      <c r="BM80" s="326">
        <f t="shared" si="56"/>
        <v>31998.280000000028</v>
      </c>
      <c r="BN80" s="326">
        <f t="shared" si="443"/>
        <v>278331.71999999997</v>
      </c>
      <c r="BO80" s="332">
        <f t="shared" si="444"/>
        <v>310330</v>
      </c>
      <c r="BP80" s="140">
        <f t="shared" ref="BP80:BR80" si="506">SUM(BM80,BI80,BE80)</f>
        <v>60284.130000000034</v>
      </c>
      <c r="BQ80" s="326">
        <f t="shared" si="506"/>
        <v>330296.31999999995</v>
      </c>
      <c r="BR80" s="333">
        <f t="shared" si="506"/>
        <v>390580.45</v>
      </c>
      <c r="BS80" s="125">
        <f t="shared" si="446"/>
        <v>180075.06</v>
      </c>
      <c r="BT80" s="140">
        <f t="shared" si="61"/>
        <v>158339.71</v>
      </c>
      <c r="BU80" s="123">
        <f t="shared" si="447"/>
        <v>95981.16</v>
      </c>
      <c r="BV80" s="148">
        <f t="shared" si="448"/>
        <v>254320.87</v>
      </c>
      <c r="BW80" s="123">
        <f t="shared" si="449"/>
        <v>638958.04</v>
      </c>
      <c r="BX80" s="326">
        <f t="shared" si="450"/>
        <v>199489.24</v>
      </c>
      <c r="BY80" s="297"/>
      <c r="BZ80" s="553"/>
      <c r="CF80" s="294"/>
      <c r="CG80" s="294"/>
      <c r="CR80" s="294"/>
    </row>
    <row r="81" spans="1:96" ht="13">
      <c r="A81" s="546">
        <f t="shared" si="424"/>
        <v>112012565</v>
      </c>
      <c r="B81" s="547">
        <f t="shared" si="425"/>
        <v>1</v>
      </c>
      <c r="C81" s="137" t="str">
        <f t="shared" si="426"/>
        <v>Lista</v>
      </c>
      <c r="D81" s="137">
        <f t="shared" si="427"/>
        <v>0.09</v>
      </c>
      <c r="E81" s="98">
        <f t="shared" si="428"/>
        <v>0</v>
      </c>
      <c r="F81" s="414">
        <f t="shared" si="429"/>
        <v>71</v>
      </c>
      <c r="G81" s="94" t="str">
        <f t="shared" si="430"/>
        <v>Lista</v>
      </c>
      <c r="H81" s="415">
        <f t="shared" si="431"/>
        <v>0.05</v>
      </c>
      <c r="I81" s="568" t="s">
        <v>470</v>
      </c>
      <c r="J81" s="436">
        <f t="shared" si="396"/>
        <v>0</v>
      </c>
      <c r="K81" s="141">
        <f t="shared" si="413"/>
        <v>0</v>
      </c>
      <c r="L81" s="140" t="e">
        <f t="shared" si="344"/>
        <v>#VALUE!</v>
      </c>
      <c r="M81" s="116" t="str">
        <f t="shared" si="345"/>
        <v/>
      </c>
      <c r="N81" s="333" t="str">
        <f t="shared" si="346"/>
        <v/>
      </c>
      <c r="O81" s="123" t="e">
        <f t="shared" si="397"/>
        <v>#VALUE!</v>
      </c>
      <c r="P81" s="98" t="str">
        <f t="shared" si="398"/>
        <v/>
      </c>
      <c r="Q81" s="125">
        <f t="shared" si="399"/>
        <v>0</v>
      </c>
      <c r="R81" s="141">
        <f t="shared" si="414"/>
        <v>0</v>
      </c>
      <c r="S81" s="140" t="e">
        <f t="shared" si="350"/>
        <v>#VALUE!</v>
      </c>
      <c r="T81" s="326" t="str">
        <f t="shared" si="351"/>
        <v/>
      </c>
      <c r="U81" s="333" t="str">
        <f t="shared" si="352"/>
        <v/>
      </c>
      <c r="V81" s="123" t="e">
        <f t="shared" si="400"/>
        <v>#VALUE!</v>
      </c>
      <c r="W81" s="98" t="str">
        <f t="shared" si="419"/>
        <v/>
      </c>
      <c r="X81" s="123">
        <f t="shared" si="402"/>
        <v>1156589.26</v>
      </c>
      <c r="Y81" s="326">
        <f t="shared" si="403"/>
        <v>1937605.0725465</v>
      </c>
      <c r="Z81" s="116" t="e">
        <f t="shared" si="355"/>
        <v>#VALUE!</v>
      </c>
      <c r="AA81" s="561" t="str">
        <f t="shared" si="356"/>
        <v/>
      </c>
      <c r="AB81" s="561" t="str">
        <f t="shared" si="357"/>
        <v/>
      </c>
      <c r="AC81" s="116" t="e">
        <f t="shared" si="391"/>
        <v>#VALUE!</v>
      </c>
      <c r="AD81" s="97" t="str">
        <f t="shared" si="392"/>
        <v/>
      </c>
      <c r="AE81" s="433">
        <f t="shared" si="404"/>
        <v>1937605.0725465</v>
      </c>
      <c r="AF81" s="550" t="str">
        <f t="shared" si="360"/>
        <v>0</v>
      </c>
      <c r="AG81" s="496" t="e">
        <f t="shared" ref="AG81:AI81" si="507">SUM(Z81,S81,S81,L81)</f>
        <v>#VALUE!</v>
      </c>
      <c r="AH81" s="496">
        <f t="shared" si="507"/>
        <v>0</v>
      </c>
      <c r="AI81" s="496">
        <f t="shared" si="507"/>
        <v>0</v>
      </c>
      <c r="AJ81" s="551">
        <f t="shared" si="362"/>
        <v>0</v>
      </c>
      <c r="AK81" s="552" t="str">
        <f t="shared" si="363"/>
        <v/>
      </c>
      <c r="AL81" s="434">
        <f t="shared" si="406"/>
        <v>0</v>
      </c>
      <c r="AM81" s="140" t="e">
        <f t="shared" si="364"/>
        <v>#VALUE!</v>
      </c>
      <c r="AN81" s="123" t="str">
        <f t="shared" si="365"/>
        <v/>
      </c>
      <c r="AO81" s="148" t="str">
        <f t="shared" si="366"/>
        <v/>
      </c>
      <c r="AP81" s="434">
        <f t="shared" si="407"/>
        <v>0</v>
      </c>
      <c r="AQ81" s="140" t="e">
        <f t="shared" si="336"/>
        <v>#VALUE!</v>
      </c>
      <c r="AR81" s="326" t="str">
        <f t="shared" si="337"/>
        <v/>
      </c>
      <c r="AS81" s="333" t="str">
        <f t="shared" si="338"/>
        <v/>
      </c>
      <c r="AT81" s="125">
        <f t="shared" si="408"/>
        <v>145111.57</v>
      </c>
      <c r="AU81" s="140" t="e">
        <f t="shared" si="42"/>
        <v>#VALUE!</v>
      </c>
      <c r="AV81" s="123" t="str">
        <f t="shared" si="433"/>
        <v/>
      </c>
      <c r="AW81" s="125" t="str">
        <f t="shared" si="434"/>
        <v/>
      </c>
      <c r="AX81" s="122" t="e">
        <f t="shared" ref="AX81:AZ81" si="508">AU81+AQ81+AM81</f>
        <v>#VALUE!</v>
      </c>
      <c r="AY81" s="326" t="e">
        <f t="shared" si="508"/>
        <v>#VALUE!</v>
      </c>
      <c r="AZ81" s="332" t="e">
        <f t="shared" si="508"/>
        <v>#VALUE!</v>
      </c>
      <c r="BA81" s="140" t="e">
        <f t="shared" ref="BA81:BC81" si="509">AX81+AG81</f>
        <v>#VALUE!</v>
      </c>
      <c r="BB81" s="326" t="e">
        <f t="shared" si="509"/>
        <v>#VALUE!</v>
      </c>
      <c r="BC81" s="435" t="e">
        <f t="shared" si="509"/>
        <v>#VALUE!</v>
      </c>
      <c r="BD81" s="123">
        <f t="shared" si="411"/>
        <v>668126.44999999995</v>
      </c>
      <c r="BE81" s="123" t="e">
        <f t="shared" si="48"/>
        <v>#VALUE!</v>
      </c>
      <c r="BF81" s="123" t="str">
        <f t="shared" si="437"/>
        <v/>
      </c>
      <c r="BG81" s="148" t="str">
        <f t="shared" si="438"/>
        <v/>
      </c>
      <c r="BH81" s="123">
        <f t="shared" si="439"/>
        <v>390821.49</v>
      </c>
      <c r="BI81" s="141" t="e">
        <f t="shared" si="52"/>
        <v>#VALUE!</v>
      </c>
      <c r="BJ81" s="332" t="str">
        <f t="shared" si="440"/>
        <v/>
      </c>
      <c r="BK81" s="333" t="str">
        <f t="shared" si="441"/>
        <v/>
      </c>
      <c r="BL81" s="326">
        <f t="shared" si="442"/>
        <v>0</v>
      </c>
      <c r="BM81" s="326" t="e">
        <f t="shared" si="56"/>
        <v>#VALUE!</v>
      </c>
      <c r="BN81" s="326" t="str">
        <f t="shared" si="443"/>
        <v/>
      </c>
      <c r="BO81" s="332" t="str">
        <f t="shared" si="444"/>
        <v/>
      </c>
      <c r="BP81" s="140" t="e">
        <f t="shared" ref="BP81:BR81" si="510">SUM(BM81,BI81,BE81)</f>
        <v>#VALUE!</v>
      </c>
      <c r="BQ81" s="326">
        <f t="shared" si="510"/>
        <v>0</v>
      </c>
      <c r="BR81" s="333">
        <f t="shared" si="510"/>
        <v>0</v>
      </c>
      <c r="BS81" s="125">
        <f t="shared" si="446"/>
        <v>0</v>
      </c>
      <c r="BT81" s="140" t="e">
        <f t="shared" si="61"/>
        <v>#VALUE!</v>
      </c>
      <c r="BU81" s="123" t="str">
        <f t="shared" si="447"/>
        <v/>
      </c>
      <c r="BV81" s="148" t="str">
        <f t="shared" si="448"/>
        <v/>
      </c>
      <c r="BW81" s="123">
        <f t="shared" si="449"/>
        <v>0</v>
      </c>
      <c r="BX81" s="326">
        <f t="shared" si="450"/>
        <v>0</v>
      </c>
      <c r="BY81" s="297"/>
      <c r="BZ81" s="553"/>
      <c r="CF81" s="294"/>
      <c r="CG81" s="294"/>
      <c r="CR81" s="294"/>
    </row>
    <row r="82" spans="1:96" ht="13">
      <c r="A82" s="546">
        <f t="shared" si="424"/>
        <v>112012968</v>
      </c>
      <c r="B82" s="547">
        <f t="shared" si="425"/>
        <v>1</v>
      </c>
      <c r="C82" s="137" t="str">
        <f t="shared" si="426"/>
        <v>Lista</v>
      </c>
      <c r="D82" s="137">
        <f t="shared" si="427"/>
        <v>0.09</v>
      </c>
      <c r="E82" s="98">
        <f t="shared" si="428"/>
        <v>0</v>
      </c>
      <c r="F82" s="414">
        <f t="shared" si="429"/>
        <v>71</v>
      </c>
      <c r="G82" s="94" t="str">
        <f t="shared" si="430"/>
        <v>Lista</v>
      </c>
      <c r="H82" s="415">
        <f t="shared" si="431"/>
        <v>0.05</v>
      </c>
      <c r="I82" s="568" t="s">
        <v>471</v>
      </c>
      <c r="J82" s="436">
        <f t="shared" si="396"/>
        <v>267863.33</v>
      </c>
      <c r="K82" s="141">
        <f t="shared" si="413"/>
        <v>450291.65089650004</v>
      </c>
      <c r="L82" s="140" t="e">
        <f t="shared" si="344"/>
        <v>#VALUE!</v>
      </c>
      <c r="M82" s="116" t="str">
        <f t="shared" si="345"/>
        <v/>
      </c>
      <c r="N82" s="333">
        <f t="shared" si="346"/>
        <v>218958.72</v>
      </c>
      <c r="O82" s="123">
        <f t="shared" si="397"/>
        <v>-231332.93089650004</v>
      </c>
      <c r="P82" s="98">
        <f t="shared" si="398"/>
        <v>0.48625978199699704</v>
      </c>
      <c r="Q82" s="125">
        <f t="shared" si="399"/>
        <v>132689.35</v>
      </c>
      <c r="R82" s="141">
        <f t="shared" si="414"/>
        <v>240263.92327875001</v>
      </c>
      <c r="S82" s="140" t="e">
        <f t="shared" si="350"/>
        <v>#VALUE!</v>
      </c>
      <c r="T82" s="326" t="str">
        <f t="shared" si="351"/>
        <v/>
      </c>
      <c r="U82" s="333">
        <f t="shared" si="352"/>
        <v>112972.98</v>
      </c>
      <c r="V82" s="123">
        <f t="shared" si="400"/>
        <v>-127290.94327875001</v>
      </c>
      <c r="W82" s="98">
        <f t="shared" si="419"/>
        <v>0.47020367626699711</v>
      </c>
      <c r="X82" s="123">
        <f t="shared" si="402"/>
        <v>167255.87</v>
      </c>
      <c r="Y82" s="326">
        <f t="shared" si="403"/>
        <v>280199.57761424995</v>
      </c>
      <c r="Z82" s="116" t="e">
        <f t="shared" si="355"/>
        <v>#VALUE!</v>
      </c>
      <c r="AA82" s="561" t="str">
        <f t="shared" si="356"/>
        <v/>
      </c>
      <c r="AB82" s="561">
        <f t="shared" si="357"/>
        <v>112125.37</v>
      </c>
      <c r="AC82" s="116">
        <f t="shared" si="391"/>
        <v>-168074.20761424996</v>
      </c>
      <c r="AD82" s="97">
        <f t="shared" si="392"/>
        <v>0.40016252327961288</v>
      </c>
      <c r="AE82" s="433">
        <f t="shared" si="404"/>
        <v>970755.15178949991</v>
      </c>
      <c r="AF82" s="550">
        <f t="shared" si="360"/>
        <v>480783.53</v>
      </c>
      <c r="AG82" s="496" t="e">
        <f t="shared" ref="AG82:AI82" si="511">SUM(Z82,S82,S82,L82)</f>
        <v>#VALUE!</v>
      </c>
      <c r="AH82" s="496">
        <f t="shared" si="511"/>
        <v>0</v>
      </c>
      <c r="AI82" s="496">
        <f t="shared" si="511"/>
        <v>557030.04999999993</v>
      </c>
      <c r="AJ82" s="551">
        <f t="shared" si="362"/>
        <v>76246.519999999902</v>
      </c>
      <c r="AK82" s="552">
        <f t="shared" si="363"/>
        <v>1.1585880448109358</v>
      </c>
      <c r="AL82" s="434">
        <f t="shared" si="406"/>
        <v>97191.17</v>
      </c>
      <c r="AM82" s="140" t="e">
        <f t="shared" si="364"/>
        <v>#VALUE!</v>
      </c>
      <c r="AN82" s="123" t="str">
        <f t="shared" si="365"/>
        <v/>
      </c>
      <c r="AO82" s="148">
        <f t="shared" si="366"/>
        <v>49610.16</v>
      </c>
      <c r="AP82" s="434">
        <f t="shared" si="407"/>
        <v>180695.05</v>
      </c>
      <c r="AQ82" s="140" t="e">
        <f t="shared" si="336"/>
        <v>#VALUE!</v>
      </c>
      <c r="AR82" s="326" t="str">
        <f t="shared" si="337"/>
        <v/>
      </c>
      <c r="AS82" s="333">
        <f t="shared" si="338"/>
        <v>127508.29</v>
      </c>
      <c r="AT82" s="125">
        <f t="shared" si="408"/>
        <v>147032.71</v>
      </c>
      <c r="AU82" s="140" t="e">
        <f t="shared" si="42"/>
        <v>#VALUE!</v>
      </c>
      <c r="AV82" s="123" t="str">
        <f t="shared" si="433"/>
        <v/>
      </c>
      <c r="AW82" s="125">
        <f t="shared" si="434"/>
        <v>128634.41</v>
      </c>
      <c r="AX82" s="122" t="e">
        <f t="shared" ref="AX82:AZ82" si="512">AU82+AQ82+AM82</f>
        <v>#VALUE!</v>
      </c>
      <c r="AY82" s="326" t="e">
        <f t="shared" si="512"/>
        <v>#VALUE!</v>
      </c>
      <c r="AZ82" s="332">
        <f t="shared" si="512"/>
        <v>305752.86</v>
      </c>
      <c r="BA82" s="140" t="e">
        <f t="shared" ref="BA82:BC82" si="513">AX82+AG82</f>
        <v>#VALUE!</v>
      </c>
      <c r="BB82" s="326" t="e">
        <f t="shared" si="513"/>
        <v>#VALUE!</v>
      </c>
      <c r="BC82" s="435">
        <f t="shared" si="513"/>
        <v>862782.90999999992</v>
      </c>
      <c r="BD82" s="123">
        <f t="shared" si="411"/>
        <v>0</v>
      </c>
      <c r="BE82" s="123" t="e">
        <f t="shared" si="48"/>
        <v>#VALUE!</v>
      </c>
      <c r="BF82" s="123" t="str">
        <f t="shared" si="437"/>
        <v/>
      </c>
      <c r="BG82" s="148">
        <f t="shared" si="438"/>
        <v>0</v>
      </c>
      <c r="BH82" s="123">
        <f t="shared" si="439"/>
        <v>65487.64</v>
      </c>
      <c r="BI82" s="141" t="e">
        <f t="shared" si="52"/>
        <v>#VALUE!</v>
      </c>
      <c r="BJ82" s="332" t="str">
        <f t="shared" si="440"/>
        <v/>
      </c>
      <c r="BK82" s="333">
        <f t="shared" si="441"/>
        <v>0</v>
      </c>
      <c r="BL82" s="326">
        <f t="shared" si="442"/>
        <v>83244.5</v>
      </c>
      <c r="BM82" s="326" t="e">
        <f t="shared" si="56"/>
        <v>#VALUE!</v>
      </c>
      <c r="BN82" s="326" t="str">
        <f t="shared" si="443"/>
        <v/>
      </c>
      <c r="BO82" s="332">
        <f t="shared" si="444"/>
        <v>0</v>
      </c>
      <c r="BP82" s="140" t="e">
        <f t="shared" ref="BP82:BR82" si="514">SUM(BM82,BI82,BE82)</f>
        <v>#VALUE!</v>
      </c>
      <c r="BQ82" s="326">
        <f t="shared" si="514"/>
        <v>0</v>
      </c>
      <c r="BR82" s="333">
        <f t="shared" si="514"/>
        <v>0</v>
      </c>
      <c r="BS82" s="125">
        <f t="shared" si="446"/>
        <v>168976.16</v>
      </c>
      <c r="BT82" s="140" t="e">
        <f t="shared" si="61"/>
        <v>#VALUE!</v>
      </c>
      <c r="BU82" s="123" t="str">
        <f t="shared" si="447"/>
        <v/>
      </c>
      <c r="BV82" s="148">
        <f t="shared" si="448"/>
        <v>0</v>
      </c>
      <c r="BW82" s="123">
        <f t="shared" si="449"/>
        <v>37880.74</v>
      </c>
      <c r="BX82" s="326">
        <f t="shared" si="450"/>
        <v>273926.63</v>
      </c>
      <c r="BY82" s="297"/>
      <c r="BZ82" s="553"/>
      <c r="CF82" s="294"/>
      <c r="CG82" s="294"/>
      <c r="CR82" s="294"/>
    </row>
    <row r="83" spans="1:96" ht="13">
      <c r="A83" s="546">
        <f t="shared" si="424"/>
        <v>112013052</v>
      </c>
      <c r="B83" s="547">
        <f t="shared" si="425"/>
        <v>1</v>
      </c>
      <c r="C83" s="137" t="str">
        <f t="shared" si="426"/>
        <v>Lista</v>
      </c>
      <c r="D83" s="137">
        <f t="shared" si="427"/>
        <v>0.09</v>
      </c>
      <c r="E83" s="98">
        <f t="shared" si="428"/>
        <v>0</v>
      </c>
      <c r="F83" s="414">
        <f t="shared" si="429"/>
        <v>71</v>
      </c>
      <c r="G83" s="94" t="str">
        <f t="shared" si="430"/>
        <v>Lista</v>
      </c>
      <c r="H83" s="415">
        <f t="shared" si="431"/>
        <v>0.05</v>
      </c>
      <c r="I83" s="568" t="s">
        <v>472</v>
      </c>
      <c r="J83" s="436">
        <f t="shared" si="396"/>
        <v>308187.96999999997</v>
      </c>
      <c r="K83" s="141">
        <f t="shared" si="413"/>
        <v>518079.38696849998</v>
      </c>
      <c r="L83" s="140">
        <f t="shared" si="344"/>
        <v>580786.23</v>
      </c>
      <c r="M83" s="116">
        <f t="shared" si="345"/>
        <v>0</v>
      </c>
      <c r="N83" s="333">
        <f t="shared" si="346"/>
        <v>580786.23</v>
      </c>
      <c r="O83" s="123">
        <f t="shared" si="397"/>
        <v>62706.843031500001</v>
      </c>
      <c r="P83" s="98">
        <f t="shared" si="398"/>
        <v>1.1210371317770893</v>
      </c>
      <c r="Q83" s="125">
        <f t="shared" si="399"/>
        <v>1758921.43</v>
      </c>
      <c r="R83" s="141">
        <f t="shared" si="414"/>
        <v>3184923.0063367495</v>
      </c>
      <c r="S83" s="140">
        <f t="shared" si="350"/>
        <v>38166.969999999994</v>
      </c>
      <c r="T83" s="326">
        <f t="shared" si="351"/>
        <v>30109.57</v>
      </c>
      <c r="U83" s="333">
        <f t="shared" si="352"/>
        <v>68276.539999999994</v>
      </c>
      <c r="V83" s="123">
        <f t="shared" si="400"/>
        <v>-3116646.4663367495</v>
      </c>
      <c r="W83" s="98">
        <f t="shared" si="419"/>
        <v>2.1437422463323735E-2</v>
      </c>
      <c r="X83" s="123">
        <f t="shared" si="402"/>
        <v>152707.75</v>
      </c>
      <c r="Y83" s="326">
        <f t="shared" si="403"/>
        <v>255827.47588124999</v>
      </c>
      <c r="Z83" s="116">
        <f t="shared" si="355"/>
        <v>420283.91</v>
      </c>
      <c r="AA83" s="561">
        <f t="shared" si="356"/>
        <v>0</v>
      </c>
      <c r="AB83" s="561">
        <f t="shared" si="357"/>
        <v>420283.91</v>
      </c>
      <c r="AC83" s="116">
        <f t="shared" si="391"/>
        <v>164456.43411874998</v>
      </c>
      <c r="AD83" s="97">
        <f t="shared" si="392"/>
        <v>1.6428411708017139</v>
      </c>
      <c r="AE83" s="433">
        <f t="shared" si="404"/>
        <v>3958829.8691864996</v>
      </c>
      <c r="AF83" s="550">
        <f t="shared" si="360"/>
        <v>1508892.57</v>
      </c>
      <c r="AG83" s="496">
        <f t="shared" ref="AG83:AI83" si="515">SUM(Z83,S83,S83,L83)</f>
        <v>1077404.0799999998</v>
      </c>
      <c r="AH83" s="496">
        <f t="shared" si="515"/>
        <v>60219.14</v>
      </c>
      <c r="AI83" s="496">
        <f t="shared" si="515"/>
        <v>1137623.22</v>
      </c>
      <c r="AJ83" s="551">
        <f t="shared" si="362"/>
        <v>-371269.35000000009</v>
      </c>
      <c r="AK83" s="552">
        <f t="shared" si="363"/>
        <v>0.75394580278170498</v>
      </c>
      <c r="AL83" s="434">
        <f t="shared" si="406"/>
        <v>802079.46</v>
      </c>
      <c r="AM83" s="140">
        <f t="shared" si="364"/>
        <v>456140.52</v>
      </c>
      <c r="AN83" s="123">
        <f t="shared" si="365"/>
        <v>0</v>
      </c>
      <c r="AO83" s="148">
        <f t="shared" si="366"/>
        <v>456140.52</v>
      </c>
      <c r="AP83" s="434">
        <f t="shared" si="407"/>
        <v>313067.90999999997</v>
      </c>
      <c r="AQ83" s="140">
        <f t="shared" si="336"/>
        <v>0</v>
      </c>
      <c r="AR83" s="326">
        <f t="shared" si="337"/>
        <v>0</v>
      </c>
      <c r="AS83" s="333">
        <f t="shared" si="338"/>
        <v>0</v>
      </c>
      <c r="AT83" s="125">
        <f t="shared" si="408"/>
        <v>283013.34999999998</v>
      </c>
      <c r="AU83" s="140">
        <f t="shared" si="42"/>
        <v>30316</v>
      </c>
      <c r="AV83" s="123">
        <f t="shared" si="433"/>
        <v>0</v>
      </c>
      <c r="AW83" s="125">
        <f t="shared" si="434"/>
        <v>30316</v>
      </c>
      <c r="AX83" s="122">
        <f t="shared" ref="AX83:AZ83" si="516">AU83+AQ83+AM83</f>
        <v>486456.52</v>
      </c>
      <c r="AY83" s="326">
        <f t="shared" si="516"/>
        <v>0</v>
      </c>
      <c r="AZ83" s="332">
        <f t="shared" si="516"/>
        <v>486456.52</v>
      </c>
      <c r="BA83" s="140">
        <f t="shared" ref="BA83:BC83" si="517">AX83+AG83</f>
        <v>1563860.5999999999</v>
      </c>
      <c r="BB83" s="326">
        <f t="shared" si="517"/>
        <v>60219.14</v>
      </c>
      <c r="BC83" s="435">
        <f t="shared" si="517"/>
        <v>1624079.74</v>
      </c>
      <c r="BD83" s="123">
        <f t="shared" si="411"/>
        <v>404665.27</v>
      </c>
      <c r="BE83" s="123">
        <f t="shared" si="48"/>
        <v>701894.81</v>
      </c>
      <c r="BF83" s="123">
        <f t="shared" si="437"/>
        <v>0</v>
      </c>
      <c r="BG83" s="148">
        <f t="shared" si="438"/>
        <v>701894.81</v>
      </c>
      <c r="BH83" s="123">
        <f t="shared" si="439"/>
        <v>309406.74</v>
      </c>
      <c r="BI83" s="141">
        <f t="shared" si="52"/>
        <v>361224.56</v>
      </c>
      <c r="BJ83" s="332">
        <f t="shared" si="440"/>
        <v>0</v>
      </c>
      <c r="BK83" s="333">
        <f t="shared" si="441"/>
        <v>361224.56</v>
      </c>
      <c r="BL83" s="326">
        <f t="shared" si="442"/>
        <v>642044.18999999994</v>
      </c>
      <c r="BM83" s="326">
        <f t="shared" si="56"/>
        <v>396817.89</v>
      </c>
      <c r="BN83" s="326">
        <f t="shared" si="443"/>
        <v>0</v>
      </c>
      <c r="BO83" s="332">
        <f t="shared" si="444"/>
        <v>396817.89</v>
      </c>
      <c r="BP83" s="140">
        <f t="shared" ref="BP83:BR83" si="518">SUM(BM83,BI83,BE83)</f>
        <v>1459937.26</v>
      </c>
      <c r="BQ83" s="326">
        <f t="shared" si="518"/>
        <v>0</v>
      </c>
      <c r="BR83" s="333">
        <f t="shared" si="518"/>
        <v>1459937.26</v>
      </c>
      <c r="BS83" s="125">
        <f t="shared" si="446"/>
        <v>749409.14</v>
      </c>
      <c r="BT83" s="140">
        <f t="shared" si="61"/>
        <v>600329.34</v>
      </c>
      <c r="BU83" s="123">
        <f t="shared" si="447"/>
        <v>0</v>
      </c>
      <c r="BV83" s="148">
        <f t="shared" si="448"/>
        <v>600329.34</v>
      </c>
      <c r="BW83" s="123">
        <f t="shared" si="449"/>
        <v>514591.23</v>
      </c>
      <c r="BX83" s="326">
        <f t="shared" si="450"/>
        <v>244892.2</v>
      </c>
      <c r="BY83" s="297"/>
      <c r="BZ83" s="553"/>
      <c r="CF83" s="294"/>
      <c r="CG83" s="294"/>
      <c r="CR83" s="294"/>
    </row>
    <row r="84" spans="1:96" ht="13">
      <c r="A84" s="546">
        <f t="shared" si="424"/>
        <v>112013135</v>
      </c>
      <c r="B84" s="547">
        <f t="shared" si="425"/>
        <v>1</v>
      </c>
      <c r="C84" s="137" t="str">
        <f t="shared" si="426"/>
        <v>Lista</v>
      </c>
      <c r="D84" s="137">
        <f t="shared" si="427"/>
        <v>0.09</v>
      </c>
      <c r="E84" s="98">
        <f t="shared" si="428"/>
        <v>0</v>
      </c>
      <c r="F84" s="414">
        <f t="shared" si="429"/>
        <v>71</v>
      </c>
      <c r="G84" s="94" t="str">
        <f t="shared" si="430"/>
        <v>Lista</v>
      </c>
      <c r="H84" s="415">
        <f t="shared" si="431"/>
        <v>0.05</v>
      </c>
      <c r="I84" s="568" t="s">
        <v>473</v>
      </c>
      <c r="J84" s="436">
        <f t="shared" si="396"/>
        <v>0</v>
      </c>
      <c r="K84" s="141">
        <f t="shared" si="413"/>
        <v>0</v>
      </c>
      <c r="L84" s="140">
        <f t="shared" si="344"/>
        <v>0</v>
      </c>
      <c r="M84" s="116">
        <f t="shared" si="345"/>
        <v>0</v>
      </c>
      <c r="N84" s="333">
        <f t="shared" si="346"/>
        <v>0</v>
      </c>
      <c r="O84" s="123">
        <f t="shared" si="397"/>
        <v>0</v>
      </c>
      <c r="P84" s="98" t="str">
        <f t="shared" si="398"/>
        <v/>
      </c>
      <c r="Q84" s="125">
        <f t="shared" si="399"/>
        <v>176504.94</v>
      </c>
      <c r="R84" s="141">
        <f t="shared" si="414"/>
        <v>319601.90748150001</v>
      </c>
      <c r="S84" s="140">
        <f t="shared" si="350"/>
        <v>28940.399999999994</v>
      </c>
      <c r="T84" s="326">
        <f t="shared" si="351"/>
        <v>139956.95000000001</v>
      </c>
      <c r="U84" s="333">
        <f t="shared" si="352"/>
        <v>168897.35</v>
      </c>
      <c r="V84" s="123">
        <f t="shared" si="400"/>
        <v>-150704.5574815</v>
      </c>
      <c r="W84" s="98">
        <f t="shared" si="419"/>
        <v>0.52846164571084908</v>
      </c>
      <c r="X84" s="123">
        <f t="shared" si="402"/>
        <v>0</v>
      </c>
      <c r="Y84" s="326">
        <f t="shared" si="403"/>
        <v>0</v>
      </c>
      <c r="Z84" s="116">
        <f t="shared" si="355"/>
        <v>57880.800000000003</v>
      </c>
      <c r="AA84" s="561">
        <f t="shared" si="356"/>
        <v>0</v>
      </c>
      <c r="AB84" s="561">
        <f t="shared" si="357"/>
        <v>57880.800000000003</v>
      </c>
      <c r="AC84" s="116">
        <f t="shared" si="391"/>
        <v>57880.800000000003</v>
      </c>
      <c r="AD84" s="97" t="str">
        <f t="shared" si="392"/>
        <v/>
      </c>
      <c r="AE84" s="433">
        <f t="shared" si="404"/>
        <v>319601.90748150001</v>
      </c>
      <c r="AF84" s="550">
        <f t="shared" si="360"/>
        <v>366446.27</v>
      </c>
      <c r="AG84" s="496">
        <f t="shared" ref="AG84:AI84" si="519">SUM(Z84,S84,S84,L84)</f>
        <v>115761.59999999999</v>
      </c>
      <c r="AH84" s="496">
        <f t="shared" si="519"/>
        <v>279913.90000000002</v>
      </c>
      <c r="AI84" s="496">
        <f t="shared" si="519"/>
        <v>395675.5</v>
      </c>
      <c r="AJ84" s="551">
        <f t="shared" si="362"/>
        <v>29229.229999999981</v>
      </c>
      <c r="AK84" s="552">
        <f t="shared" si="363"/>
        <v>1.0797640265242705</v>
      </c>
      <c r="AL84" s="434">
        <f t="shared" si="406"/>
        <v>0</v>
      </c>
      <c r="AM84" s="140">
        <f t="shared" si="364"/>
        <v>109900.19999999998</v>
      </c>
      <c r="AN84" s="123">
        <f t="shared" si="365"/>
        <v>230170.67</v>
      </c>
      <c r="AO84" s="148">
        <f t="shared" si="366"/>
        <v>340070.87</v>
      </c>
      <c r="AP84" s="434">
        <f t="shared" si="407"/>
        <v>74685.77</v>
      </c>
      <c r="AQ84" s="140">
        <f t="shared" si="336"/>
        <v>0</v>
      </c>
      <c r="AR84" s="326">
        <f t="shared" si="337"/>
        <v>159971.04999999999</v>
      </c>
      <c r="AS84" s="333">
        <f t="shared" si="338"/>
        <v>159971.04999999999</v>
      </c>
      <c r="AT84" s="125">
        <f t="shared" si="408"/>
        <v>116194.95</v>
      </c>
      <c r="AU84" s="140">
        <f t="shared" si="42"/>
        <v>213448.98</v>
      </c>
      <c r="AV84" s="123">
        <f t="shared" si="433"/>
        <v>241576.95999999999</v>
      </c>
      <c r="AW84" s="125">
        <f t="shared" si="434"/>
        <v>455025.94</v>
      </c>
      <c r="AX84" s="122">
        <f t="shared" ref="AX84:AZ84" si="520">AU84+AQ84+AM84</f>
        <v>323349.18</v>
      </c>
      <c r="AY84" s="326">
        <f t="shared" si="520"/>
        <v>631718.68000000005</v>
      </c>
      <c r="AZ84" s="332">
        <f t="shared" si="520"/>
        <v>955067.86</v>
      </c>
      <c r="BA84" s="140">
        <f t="shared" ref="BA84:BC84" si="521">AX84+AG84</f>
        <v>439110.77999999997</v>
      </c>
      <c r="BB84" s="326">
        <f t="shared" si="521"/>
        <v>911632.58000000007</v>
      </c>
      <c r="BC84" s="435">
        <f t="shared" si="521"/>
        <v>1350743.3599999999</v>
      </c>
      <c r="BD84" s="123">
        <f t="shared" si="411"/>
        <v>186158.78</v>
      </c>
      <c r="BE84" s="123">
        <f t="shared" si="48"/>
        <v>32916</v>
      </c>
      <c r="BF84" s="123">
        <f t="shared" si="437"/>
        <v>0</v>
      </c>
      <c r="BG84" s="148">
        <f t="shared" si="438"/>
        <v>32916</v>
      </c>
      <c r="BH84" s="123">
        <f t="shared" si="439"/>
        <v>67982.5</v>
      </c>
      <c r="BI84" s="141">
        <f t="shared" si="52"/>
        <v>68986.799999999988</v>
      </c>
      <c r="BJ84" s="332">
        <f t="shared" si="440"/>
        <v>290026.17</v>
      </c>
      <c r="BK84" s="333">
        <f t="shared" si="441"/>
        <v>359012.97</v>
      </c>
      <c r="BL84" s="326">
        <f t="shared" si="442"/>
        <v>126290.42</v>
      </c>
      <c r="BM84" s="326">
        <f t="shared" si="56"/>
        <v>0</v>
      </c>
      <c r="BN84" s="326">
        <f t="shared" si="443"/>
        <v>421695.04</v>
      </c>
      <c r="BO84" s="332">
        <f t="shared" si="444"/>
        <v>421695.04</v>
      </c>
      <c r="BP84" s="140">
        <f t="shared" ref="BP84:BR84" si="522">SUM(BM84,BI84,BE84)</f>
        <v>101902.79999999999</v>
      </c>
      <c r="BQ84" s="326">
        <f t="shared" si="522"/>
        <v>711721.21</v>
      </c>
      <c r="BR84" s="333">
        <f t="shared" si="522"/>
        <v>813624.01</v>
      </c>
      <c r="BS84" s="125">
        <f t="shared" si="446"/>
        <v>116172.62</v>
      </c>
      <c r="BT84" s="140">
        <f t="shared" si="61"/>
        <v>58429.84</v>
      </c>
      <c r="BU84" s="123">
        <f t="shared" si="447"/>
        <v>148251.87</v>
      </c>
      <c r="BV84" s="148">
        <f t="shared" si="448"/>
        <v>206681.71</v>
      </c>
      <c r="BW84" s="123">
        <f t="shared" si="449"/>
        <v>86821.2</v>
      </c>
      <c r="BX84" s="326">
        <f t="shared" si="450"/>
        <v>163452.45000000001</v>
      </c>
      <c r="BY84" s="297"/>
      <c r="BZ84" s="553"/>
      <c r="CF84" s="294"/>
      <c r="CG84" s="294"/>
      <c r="CR84" s="294"/>
    </row>
    <row r="85" spans="1:96" ht="13">
      <c r="A85" s="546">
        <f t="shared" si="424"/>
        <v>112013204</v>
      </c>
      <c r="B85" s="547">
        <f t="shared" si="425"/>
        <v>1</v>
      </c>
      <c r="C85" s="137" t="str">
        <f t="shared" si="426"/>
        <v>Lista</v>
      </c>
      <c r="D85" s="137">
        <f t="shared" si="427"/>
        <v>0.09</v>
      </c>
      <c r="E85" s="98">
        <f t="shared" si="428"/>
        <v>0</v>
      </c>
      <c r="F85" s="414">
        <f t="shared" si="429"/>
        <v>71</v>
      </c>
      <c r="G85" s="94" t="str">
        <f t="shared" si="430"/>
        <v>Lista</v>
      </c>
      <c r="H85" s="415">
        <f t="shared" si="431"/>
        <v>0.05</v>
      </c>
      <c r="I85" s="568" t="s">
        <v>474</v>
      </c>
      <c r="J85" s="436" t="str">
        <f t="shared" si="396"/>
        <v/>
      </c>
      <c r="K85" s="141" t="e">
        <f t="shared" si="413"/>
        <v>#VALUE!</v>
      </c>
      <c r="L85" s="140" t="e">
        <f t="shared" si="344"/>
        <v>#VALUE!</v>
      </c>
      <c r="M85" s="116" t="str">
        <f t="shared" si="345"/>
        <v/>
      </c>
      <c r="N85" s="333" t="str">
        <f t="shared" si="346"/>
        <v/>
      </c>
      <c r="O85" s="123" t="e">
        <f t="shared" si="397"/>
        <v>#VALUE!</v>
      </c>
      <c r="P85" s="98" t="str">
        <f t="shared" si="398"/>
        <v/>
      </c>
      <c r="Q85" s="125" t="str">
        <f t="shared" si="399"/>
        <v/>
      </c>
      <c r="R85" s="141" t="e">
        <f t="shared" si="414"/>
        <v>#VALUE!</v>
      </c>
      <c r="S85" s="140" t="e">
        <f t="shared" si="350"/>
        <v>#VALUE!</v>
      </c>
      <c r="T85" s="326" t="str">
        <f t="shared" si="351"/>
        <v/>
      </c>
      <c r="U85" s="333" t="str">
        <f t="shared" si="352"/>
        <v/>
      </c>
      <c r="V85" s="123" t="e">
        <f t="shared" si="400"/>
        <v>#VALUE!</v>
      </c>
      <c r="W85" s="98" t="str">
        <f t="shared" si="419"/>
        <v/>
      </c>
      <c r="X85" s="123" t="str">
        <f t="shared" si="402"/>
        <v/>
      </c>
      <c r="Y85" s="326" t="e">
        <f t="shared" si="403"/>
        <v>#VALUE!</v>
      </c>
      <c r="Z85" s="116" t="e">
        <f t="shared" si="355"/>
        <v>#VALUE!</v>
      </c>
      <c r="AA85" s="561" t="str">
        <f t="shared" si="356"/>
        <v/>
      </c>
      <c r="AB85" s="561" t="str">
        <f t="shared" si="357"/>
        <v/>
      </c>
      <c r="AC85" s="116" t="e">
        <f t="shared" si="391"/>
        <v>#VALUE!</v>
      </c>
      <c r="AD85" s="97" t="str">
        <f t="shared" si="392"/>
        <v/>
      </c>
      <c r="AE85" s="433" t="e">
        <f t="shared" si="404"/>
        <v>#VALUE!</v>
      </c>
      <c r="AF85" s="550" t="str">
        <f t="shared" si="360"/>
        <v>0</v>
      </c>
      <c r="AG85" s="496" t="e">
        <f t="shared" ref="AG85:AI85" si="523">SUM(Z85,S85,S85,L85)</f>
        <v>#VALUE!</v>
      </c>
      <c r="AH85" s="496">
        <f t="shared" si="523"/>
        <v>0</v>
      </c>
      <c r="AI85" s="496">
        <f t="shared" si="523"/>
        <v>0</v>
      </c>
      <c r="AJ85" s="551">
        <f t="shared" si="362"/>
        <v>0</v>
      </c>
      <c r="AK85" s="552" t="str">
        <f t="shared" si="363"/>
        <v/>
      </c>
      <c r="AL85" s="434" t="str">
        <f t="shared" si="406"/>
        <v/>
      </c>
      <c r="AM85" s="140" t="e">
        <f t="shared" si="364"/>
        <v>#VALUE!</v>
      </c>
      <c r="AN85" s="123" t="str">
        <f t="shared" si="365"/>
        <v/>
      </c>
      <c r="AO85" s="148" t="str">
        <f t="shared" si="366"/>
        <v/>
      </c>
      <c r="AP85" s="434" t="str">
        <f t="shared" si="407"/>
        <v/>
      </c>
      <c r="AQ85" s="140" t="e">
        <f t="shared" si="336"/>
        <v>#VALUE!</v>
      </c>
      <c r="AR85" s="326" t="str">
        <f t="shared" si="337"/>
        <v/>
      </c>
      <c r="AS85" s="333" t="str">
        <f t="shared" si="338"/>
        <v/>
      </c>
      <c r="AT85" s="125" t="str">
        <f t="shared" si="408"/>
        <v/>
      </c>
      <c r="AU85" s="140" t="e">
        <f t="shared" si="42"/>
        <v>#VALUE!</v>
      </c>
      <c r="AV85" s="123" t="str">
        <f t="shared" si="433"/>
        <v/>
      </c>
      <c r="AW85" s="125" t="str">
        <f t="shared" si="434"/>
        <v/>
      </c>
      <c r="AX85" s="122" t="e">
        <f t="shared" ref="AX85:AZ85" si="524">AU85+AQ85+AM85</f>
        <v>#VALUE!</v>
      </c>
      <c r="AY85" s="326" t="e">
        <f t="shared" si="524"/>
        <v>#VALUE!</v>
      </c>
      <c r="AZ85" s="332" t="e">
        <f t="shared" si="524"/>
        <v>#VALUE!</v>
      </c>
      <c r="BA85" s="140" t="e">
        <f t="shared" ref="BA85:BC85" si="525">AX85+AG85</f>
        <v>#VALUE!</v>
      </c>
      <c r="BB85" s="326" t="e">
        <f t="shared" si="525"/>
        <v>#VALUE!</v>
      </c>
      <c r="BC85" s="435" t="e">
        <f t="shared" si="525"/>
        <v>#VALUE!</v>
      </c>
      <c r="BD85" s="123" t="str">
        <f t="shared" si="411"/>
        <v/>
      </c>
      <c r="BE85" s="123" t="e">
        <f t="shared" si="48"/>
        <v>#VALUE!</v>
      </c>
      <c r="BF85" s="123" t="str">
        <f t="shared" si="437"/>
        <v/>
      </c>
      <c r="BG85" s="148" t="str">
        <f t="shared" si="438"/>
        <v/>
      </c>
      <c r="BH85" s="123" t="str">
        <f t="shared" si="439"/>
        <v/>
      </c>
      <c r="BI85" s="141" t="e">
        <f t="shared" si="52"/>
        <v>#VALUE!</v>
      </c>
      <c r="BJ85" s="332" t="str">
        <f t="shared" si="440"/>
        <v/>
      </c>
      <c r="BK85" s="333" t="str">
        <f t="shared" si="441"/>
        <v/>
      </c>
      <c r="BL85" s="326" t="str">
        <f t="shared" si="442"/>
        <v/>
      </c>
      <c r="BM85" s="326" t="e">
        <f t="shared" si="56"/>
        <v>#VALUE!</v>
      </c>
      <c r="BN85" s="326" t="str">
        <f t="shared" si="443"/>
        <v/>
      </c>
      <c r="BO85" s="332" t="str">
        <f t="shared" si="444"/>
        <v/>
      </c>
      <c r="BP85" s="140" t="e">
        <f t="shared" ref="BP85:BR85" si="526">SUM(BM85,BI85,BE85)</f>
        <v>#VALUE!</v>
      </c>
      <c r="BQ85" s="326">
        <f t="shared" si="526"/>
        <v>0</v>
      </c>
      <c r="BR85" s="333">
        <f t="shared" si="526"/>
        <v>0</v>
      </c>
      <c r="BS85" s="125" t="str">
        <f t="shared" si="446"/>
        <v/>
      </c>
      <c r="BT85" s="140" t="e">
        <f t="shared" si="61"/>
        <v>#VALUE!</v>
      </c>
      <c r="BU85" s="123" t="str">
        <f t="shared" si="447"/>
        <v/>
      </c>
      <c r="BV85" s="148" t="str">
        <f t="shared" si="448"/>
        <v/>
      </c>
      <c r="BW85" s="123" t="str">
        <f t="shared" si="449"/>
        <v/>
      </c>
      <c r="BX85" s="326" t="str">
        <f t="shared" si="450"/>
        <v/>
      </c>
      <c r="BY85" s="297"/>
      <c r="BZ85" s="553"/>
      <c r="CF85" s="294"/>
      <c r="CG85" s="294"/>
      <c r="CR85" s="294"/>
    </row>
    <row r="86" spans="1:96" ht="13">
      <c r="A86" s="546">
        <f t="shared" si="424"/>
        <v>112013560</v>
      </c>
      <c r="B86" s="547">
        <f t="shared" si="425"/>
        <v>1</v>
      </c>
      <c r="C86" s="137" t="str">
        <f t="shared" si="426"/>
        <v>Lista</v>
      </c>
      <c r="D86" s="137">
        <f t="shared" si="427"/>
        <v>0.09</v>
      </c>
      <c r="E86" s="98">
        <f t="shared" si="428"/>
        <v>0</v>
      </c>
      <c r="F86" s="414">
        <f t="shared" si="429"/>
        <v>71</v>
      </c>
      <c r="G86" s="94" t="str">
        <f t="shared" si="430"/>
        <v>Lista</v>
      </c>
      <c r="H86" s="415">
        <f t="shared" si="431"/>
        <v>0.05</v>
      </c>
      <c r="I86" s="568" t="s">
        <v>475</v>
      </c>
      <c r="J86" s="436">
        <f t="shared" si="396"/>
        <v>83747.62</v>
      </c>
      <c r="K86" s="141">
        <f t="shared" si="413"/>
        <v>140783.93660099999</v>
      </c>
      <c r="L86" s="140" t="e">
        <f t="shared" si="344"/>
        <v>#VALUE!</v>
      </c>
      <c r="M86" s="116" t="str">
        <f t="shared" si="345"/>
        <v/>
      </c>
      <c r="N86" s="333">
        <f t="shared" si="346"/>
        <v>368554.13</v>
      </c>
      <c r="O86" s="123">
        <f t="shared" si="397"/>
        <v>227770.19339900001</v>
      </c>
      <c r="P86" s="98">
        <f t="shared" si="398"/>
        <v>2.6178706100862232</v>
      </c>
      <c r="Q86" s="125">
        <f t="shared" si="399"/>
        <v>245059.06</v>
      </c>
      <c r="R86" s="141">
        <f t="shared" si="414"/>
        <v>443734.56641850004</v>
      </c>
      <c r="S86" s="140" t="e">
        <f t="shared" si="350"/>
        <v>#VALUE!</v>
      </c>
      <c r="T86" s="326" t="str">
        <f t="shared" si="351"/>
        <v/>
      </c>
      <c r="U86" s="333">
        <f t="shared" si="352"/>
        <v>856510.5</v>
      </c>
      <c r="V86" s="123">
        <f t="shared" si="400"/>
        <v>412775.93358149996</v>
      </c>
      <c r="W86" s="98">
        <f t="shared" si="419"/>
        <v>1.9302316403094864</v>
      </c>
      <c r="X86" s="123">
        <f t="shared" si="402"/>
        <v>169553.2</v>
      </c>
      <c r="Y86" s="326">
        <f t="shared" si="403"/>
        <v>284048.23713000002</v>
      </c>
      <c r="Z86" s="116" t="e">
        <f t="shared" si="355"/>
        <v>#VALUE!</v>
      </c>
      <c r="AA86" s="561" t="str">
        <f t="shared" si="356"/>
        <v/>
      </c>
      <c r="AB86" s="561">
        <f t="shared" si="357"/>
        <v>376747.95</v>
      </c>
      <c r="AC86" s="116">
        <f t="shared" si="391"/>
        <v>92699.712869999988</v>
      </c>
      <c r="AD86" s="97">
        <f t="shared" si="392"/>
        <v>1.3263520091046164</v>
      </c>
      <c r="AE86" s="433">
        <f t="shared" si="404"/>
        <v>868566.74014950008</v>
      </c>
      <c r="AF86" s="550">
        <f t="shared" si="360"/>
        <v>1546508.45</v>
      </c>
      <c r="AG86" s="496" t="e">
        <f t="shared" ref="AG86:AI86" si="527">SUM(Z86,S86,S86,L86)</f>
        <v>#VALUE!</v>
      </c>
      <c r="AH86" s="496">
        <f t="shared" si="527"/>
        <v>0</v>
      </c>
      <c r="AI86" s="496">
        <f t="shared" si="527"/>
        <v>2458323.08</v>
      </c>
      <c r="AJ86" s="551">
        <f t="shared" si="362"/>
        <v>911814.63000000012</v>
      </c>
      <c r="AK86" s="552">
        <f t="shared" si="363"/>
        <v>1.5895956339585471</v>
      </c>
      <c r="AL86" s="434">
        <f t="shared" si="406"/>
        <v>0</v>
      </c>
      <c r="AM86" s="140" t="e">
        <f t="shared" si="364"/>
        <v>#VALUE!</v>
      </c>
      <c r="AN86" s="123" t="str">
        <f t="shared" si="365"/>
        <v/>
      </c>
      <c r="AO86" s="148">
        <f t="shared" si="366"/>
        <v>334245.71000000002</v>
      </c>
      <c r="AP86" s="434">
        <f t="shared" si="407"/>
        <v>248611.57</v>
      </c>
      <c r="AQ86" s="140" t="e">
        <f t="shared" si="336"/>
        <v>#VALUE!</v>
      </c>
      <c r="AR86" s="326" t="str">
        <f t="shared" si="337"/>
        <v/>
      </c>
      <c r="AS86" s="333">
        <f t="shared" si="338"/>
        <v>232207.9</v>
      </c>
      <c r="AT86" s="125">
        <f t="shared" si="408"/>
        <v>113300.2</v>
      </c>
      <c r="AU86" s="140" t="e">
        <f t="shared" si="42"/>
        <v>#VALUE!</v>
      </c>
      <c r="AV86" s="123" t="str">
        <f t="shared" si="433"/>
        <v/>
      </c>
      <c r="AW86" s="125">
        <f t="shared" si="434"/>
        <v>0</v>
      </c>
      <c r="AX86" s="122" t="e">
        <f t="shared" ref="AX86:AZ86" si="528">AU86+AQ86+AM86</f>
        <v>#VALUE!</v>
      </c>
      <c r="AY86" s="326" t="e">
        <f t="shared" si="528"/>
        <v>#VALUE!</v>
      </c>
      <c r="AZ86" s="332">
        <f t="shared" si="528"/>
        <v>566453.61</v>
      </c>
      <c r="BA86" s="140" t="e">
        <f t="shared" ref="BA86:BC86" si="529">AX86+AG86</f>
        <v>#VALUE!</v>
      </c>
      <c r="BB86" s="326" t="e">
        <f t="shared" si="529"/>
        <v>#VALUE!</v>
      </c>
      <c r="BC86" s="435">
        <f t="shared" si="529"/>
        <v>3024776.69</v>
      </c>
      <c r="BD86" s="123">
        <f t="shared" si="411"/>
        <v>110196.76</v>
      </c>
      <c r="BE86" s="123" t="e">
        <f t="shared" si="48"/>
        <v>#VALUE!</v>
      </c>
      <c r="BF86" s="123" t="str">
        <f t="shared" si="437"/>
        <v/>
      </c>
      <c r="BG86" s="148">
        <f t="shared" si="438"/>
        <v>269546.58</v>
      </c>
      <c r="BH86" s="123">
        <f t="shared" si="439"/>
        <v>174648.38</v>
      </c>
      <c r="BI86" s="141" t="e">
        <f t="shared" si="52"/>
        <v>#VALUE!</v>
      </c>
      <c r="BJ86" s="332" t="str">
        <f t="shared" si="440"/>
        <v/>
      </c>
      <c r="BK86" s="333">
        <f t="shared" si="441"/>
        <v>0</v>
      </c>
      <c r="BL86" s="326">
        <f t="shared" si="442"/>
        <v>85701.9</v>
      </c>
      <c r="BM86" s="326" t="e">
        <f t="shared" si="56"/>
        <v>#VALUE!</v>
      </c>
      <c r="BN86" s="326" t="str">
        <f t="shared" si="443"/>
        <v/>
      </c>
      <c r="BO86" s="332">
        <f t="shared" si="444"/>
        <v>503380.31</v>
      </c>
      <c r="BP86" s="140" t="e">
        <f t="shared" ref="BP86:BR86" si="530">SUM(BM86,BI86,BE86)</f>
        <v>#VALUE!</v>
      </c>
      <c r="BQ86" s="326">
        <f t="shared" si="530"/>
        <v>0</v>
      </c>
      <c r="BR86" s="333">
        <f t="shared" si="530"/>
        <v>772926.89</v>
      </c>
      <c r="BS86" s="125">
        <f t="shared" si="446"/>
        <v>726551.32</v>
      </c>
      <c r="BT86" s="140" t="e">
        <f t="shared" si="61"/>
        <v>#VALUE!</v>
      </c>
      <c r="BU86" s="123" t="str">
        <f t="shared" si="447"/>
        <v/>
      </c>
      <c r="BV86" s="148">
        <f t="shared" si="448"/>
        <v>506304.92</v>
      </c>
      <c r="BW86" s="123">
        <f t="shared" si="449"/>
        <v>373700.22</v>
      </c>
      <c r="BX86" s="326">
        <f t="shared" si="450"/>
        <v>446256.91</v>
      </c>
      <c r="BY86" s="297"/>
      <c r="BZ86" s="553"/>
      <c r="CF86" s="294"/>
      <c r="CG86" s="294"/>
      <c r="CR86" s="294"/>
    </row>
    <row r="87" spans="1:96" ht="13">
      <c r="A87" s="546">
        <f t="shared" si="424"/>
        <v>112014238</v>
      </c>
      <c r="B87" s="547">
        <f t="shared" si="425"/>
        <v>1</v>
      </c>
      <c r="C87" s="137" t="str">
        <f t="shared" si="426"/>
        <v>Lista</v>
      </c>
      <c r="D87" s="137">
        <f t="shared" si="427"/>
        <v>0.09</v>
      </c>
      <c r="E87" s="98">
        <f t="shared" si="428"/>
        <v>0</v>
      </c>
      <c r="F87" s="414">
        <f t="shared" si="429"/>
        <v>71</v>
      </c>
      <c r="G87" s="94" t="str">
        <f t="shared" si="430"/>
        <v>Lista</v>
      </c>
      <c r="H87" s="415">
        <f t="shared" si="431"/>
        <v>0.05</v>
      </c>
      <c r="I87" s="568" t="s">
        <v>476</v>
      </c>
      <c r="J87" s="436" t="str">
        <f t="shared" si="396"/>
        <v/>
      </c>
      <c r="K87" s="141" t="e">
        <f t="shared" si="413"/>
        <v>#VALUE!</v>
      </c>
      <c r="L87" s="140" t="e">
        <f t="shared" si="344"/>
        <v>#VALUE!</v>
      </c>
      <c r="M87" s="116" t="str">
        <f t="shared" si="345"/>
        <v/>
      </c>
      <c r="N87" s="333" t="str">
        <f t="shared" si="346"/>
        <v/>
      </c>
      <c r="O87" s="123" t="e">
        <f t="shared" si="397"/>
        <v>#VALUE!</v>
      </c>
      <c r="P87" s="98" t="str">
        <f t="shared" si="398"/>
        <v/>
      </c>
      <c r="Q87" s="125" t="str">
        <f t="shared" si="399"/>
        <v/>
      </c>
      <c r="R87" s="141" t="e">
        <f t="shared" si="414"/>
        <v>#VALUE!</v>
      </c>
      <c r="S87" s="140" t="e">
        <f t="shared" si="350"/>
        <v>#VALUE!</v>
      </c>
      <c r="T87" s="326" t="str">
        <f t="shared" si="351"/>
        <v/>
      </c>
      <c r="U87" s="333" t="str">
        <f t="shared" si="352"/>
        <v/>
      </c>
      <c r="V87" s="123" t="e">
        <f t="shared" si="400"/>
        <v>#VALUE!</v>
      </c>
      <c r="W87" s="98" t="str">
        <f t="shared" si="419"/>
        <v/>
      </c>
      <c r="X87" s="123" t="str">
        <f t="shared" si="402"/>
        <v/>
      </c>
      <c r="Y87" s="326" t="e">
        <f t="shared" si="403"/>
        <v>#VALUE!</v>
      </c>
      <c r="Z87" s="116" t="e">
        <f t="shared" si="355"/>
        <v>#VALUE!</v>
      </c>
      <c r="AA87" s="561" t="str">
        <f t="shared" si="356"/>
        <v/>
      </c>
      <c r="AB87" s="561" t="str">
        <f t="shared" si="357"/>
        <v/>
      </c>
      <c r="AC87" s="116" t="e">
        <f t="shared" si="391"/>
        <v>#VALUE!</v>
      </c>
      <c r="AD87" s="97" t="str">
        <f t="shared" si="392"/>
        <v/>
      </c>
      <c r="AE87" s="433" t="e">
        <f t="shared" si="404"/>
        <v>#VALUE!</v>
      </c>
      <c r="AF87" s="550" t="str">
        <f t="shared" si="360"/>
        <v>0</v>
      </c>
      <c r="AG87" s="496" t="e">
        <f t="shared" ref="AG87:AI87" si="531">SUM(Z87,S87,S87,L87)</f>
        <v>#VALUE!</v>
      </c>
      <c r="AH87" s="496">
        <f t="shared" si="531"/>
        <v>0</v>
      </c>
      <c r="AI87" s="496">
        <f t="shared" si="531"/>
        <v>0</v>
      </c>
      <c r="AJ87" s="551">
        <f t="shared" si="362"/>
        <v>0</v>
      </c>
      <c r="AK87" s="552" t="str">
        <f t="shared" si="363"/>
        <v/>
      </c>
      <c r="AL87" s="434" t="str">
        <f t="shared" si="406"/>
        <v/>
      </c>
      <c r="AM87" s="140" t="e">
        <f t="shared" si="364"/>
        <v>#VALUE!</v>
      </c>
      <c r="AN87" s="123" t="str">
        <f t="shared" si="365"/>
        <v/>
      </c>
      <c r="AO87" s="148" t="str">
        <f t="shared" si="366"/>
        <v/>
      </c>
      <c r="AP87" s="434" t="str">
        <f t="shared" si="407"/>
        <v/>
      </c>
      <c r="AQ87" s="140" t="e">
        <f t="shared" si="336"/>
        <v>#VALUE!</v>
      </c>
      <c r="AR87" s="326" t="str">
        <f t="shared" si="337"/>
        <v/>
      </c>
      <c r="AS87" s="333" t="str">
        <f t="shared" si="338"/>
        <v/>
      </c>
      <c r="AT87" s="125" t="str">
        <f t="shared" si="408"/>
        <v/>
      </c>
      <c r="AU87" s="140" t="e">
        <f t="shared" si="42"/>
        <v>#VALUE!</v>
      </c>
      <c r="AV87" s="123" t="str">
        <f t="shared" si="433"/>
        <v/>
      </c>
      <c r="AW87" s="125" t="str">
        <f t="shared" si="434"/>
        <v/>
      </c>
      <c r="AX87" s="122" t="e">
        <f t="shared" ref="AX87:AZ87" si="532">AU87+AQ87+AM87</f>
        <v>#VALUE!</v>
      </c>
      <c r="AY87" s="326" t="e">
        <f t="shared" si="532"/>
        <v>#VALUE!</v>
      </c>
      <c r="AZ87" s="332" t="e">
        <f t="shared" si="532"/>
        <v>#VALUE!</v>
      </c>
      <c r="BA87" s="140" t="e">
        <f t="shared" ref="BA87:BC87" si="533">AX87+AG87</f>
        <v>#VALUE!</v>
      </c>
      <c r="BB87" s="326" t="e">
        <f t="shared" si="533"/>
        <v>#VALUE!</v>
      </c>
      <c r="BC87" s="435" t="e">
        <f t="shared" si="533"/>
        <v>#VALUE!</v>
      </c>
      <c r="BD87" s="123" t="str">
        <f t="shared" si="411"/>
        <v/>
      </c>
      <c r="BE87" s="123" t="e">
        <f t="shared" si="48"/>
        <v>#VALUE!</v>
      </c>
      <c r="BF87" s="123" t="str">
        <f t="shared" si="437"/>
        <v/>
      </c>
      <c r="BG87" s="148" t="str">
        <f t="shared" si="438"/>
        <v/>
      </c>
      <c r="BH87" s="123" t="str">
        <f t="shared" si="439"/>
        <v/>
      </c>
      <c r="BI87" s="141" t="e">
        <f t="shared" si="52"/>
        <v>#VALUE!</v>
      </c>
      <c r="BJ87" s="332" t="str">
        <f t="shared" si="440"/>
        <v/>
      </c>
      <c r="BK87" s="333" t="str">
        <f t="shared" si="441"/>
        <v/>
      </c>
      <c r="BL87" s="326" t="str">
        <f t="shared" si="442"/>
        <v/>
      </c>
      <c r="BM87" s="326" t="e">
        <f t="shared" si="56"/>
        <v>#VALUE!</v>
      </c>
      <c r="BN87" s="326" t="str">
        <f t="shared" si="443"/>
        <v/>
      </c>
      <c r="BO87" s="332" t="str">
        <f t="shared" si="444"/>
        <v/>
      </c>
      <c r="BP87" s="140" t="e">
        <f t="shared" ref="BP87:BR87" si="534">SUM(BM87,BI87,BE87)</f>
        <v>#VALUE!</v>
      </c>
      <c r="BQ87" s="326">
        <f t="shared" si="534"/>
        <v>0</v>
      </c>
      <c r="BR87" s="333">
        <f t="shared" si="534"/>
        <v>0</v>
      </c>
      <c r="BS87" s="125" t="str">
        <f t="shared" si="446"/>
        <v/>
      </c>
      <c r="BT87" s="140" t="e">
        <f t="shared" si="61"/>
        <v>#VALUE!</v>
      </c>
      <c r="BU87" s="123" t="str">
        <f t="shared" si="447"/>
        <v/>
      </c>
      <c r="BV87" s="148" t="str">
        <f t="shared" si="448"/>
        <v/>
      </c>
      <c r="BW87" s="123" t="str">
        <f t="shared" si="449"/>
        <v/>
      </c>
      <c r="BX87" s="326" t="str">
        <f t="shared" si="450"/>
        <v/>
      </c>
      <c r="BY87" s="297"/>
      <c r="BZ87" s="553"/>
      <c r="CF87" s="294"/>
      <c r="CG87" s="294"/>
      <c r="CR87" s="294"/>
    </row>
    <row r="88" spans="1:96" ht="13">
      <c r="A88" s="546">
        <f t="shared" si="424"/>
        <v>112014384</v>
      </c>
      <c r="B88" s="547">
        <f t="shared" si="425"/>
        <v>1</v>
      </c>
      <c r="C88" s="137" t="str">
        <f t="shared" si="426"/>
        <v>Lista</v>
      </c>
      <c r="D88" s="137">
        <f t="shared" si="427"/>
        <v>0.09</v>
      </c>
      <c r="E88" s="98">
        <f t="shared" si="428"/>
        <v>0</v>
      </c>
      <c r="F88" s="414">
        <f t="shared" si="429"/>
        <v>71</v>
      </c>
      <c r="G88" s="94" t="str">
        <f t="shared" si="430"/>
        <v>Lista</v>
      </c>
      <c r="H88" s="415">
        <f t="shared" si="431"/>
        <v>0.05</v>
      </c>
      <c r="I88" s="568" t="s">
        <v>240</v>
      </c>
      <c r="J88" s="436"/>
      <c r="K88" s="141"/>
      <c r="L88" s="140" t="e">
        <f t="shared" si="344"/>
        <v>#VALUE!</v>
      </c>
      <c r="M88" s="116" t="str">
        <f t="shared" si="345"/>
        <v/>
      </c>
      <c r="N88" s="333" t="str">
        <f t="shared" si="346"/>
        <v/>
      </c>
      <c r="O88" s="123"/>
      <c r="P88" s="98"/>
      <c r="Q88" s="125"/>
      <c r="R88" s="141"/>
      <c r="S88" s="140" t="e">
        <f t="shared" si="350"/>
        <v>#VALUE!</v>
      </c>
      <c r="T88" s="326" t="str">
        <f t="shared" si="351"/>
        <v/>
      </c>
      <c r="U88" s="333" t="str">
        <f t="shared" si="352"/>
        <v/>
      </c>
      <c r="V88" s="123"/>
      <c r="W88" s="98"/>
      <c r="X88" s="123"/>
      <c r="Y88" s="326"/>
      <c r="Z88" s="116" t="e">
        <f t="shared" si="355"/>
        <v>#VALUE!</v>
      </c>
      <c r="AA88" s="561" t="str">
        <f t="shared" si="356"/>
        <v/>
      </c>
      <c r="AB88" s="561" t="str">
        <f t="shared" si="357"/>
        <v/>
      </c>
      <c r="AC88" s="116"/>
      <c r="AD88" s="97"/>
      <c r="AE88" s="433"/>
      <c r="AF88" s="550">
        <f t="shared" si="360"/>
        <v>69511.5</v>
      </c>
      <c r="AG88" s="496" t="e">
        <f t="shared" ref="AG88:AI88" si="535">SUM(Z88,S88,S88,L88)</f>
        <v>#VALUE!</v>
      </c>
      <c r="AH88" s="496">
        <f t="shared" si="535"/>
        <v>0</v>
      </c>
      <c r="AI88" s="496">
        <f t="shared" si="535"/>
        <v>0</v>
      </c>
      <c r="AJ88" s="551">
        <f t="shared" si="362"/>
        <v>-69511.5</v>
      </c>
      <c r="AK88" s="552">
        <f t="shared" si="363"/>
        <v>0</v>
      </c>
      <c r="AL88" s="434"/>
      <c r="AM88" s="140" t="e">
        <f t="shared" si="364"/>
        <v>#VALUE!</v>
      </c>
      <c r="AN88" s="123" t="str">
        <f t="shared" si="365"/>
        <v/>
      </c>
      <c r="AO88" s="148" t="str">
        <f t="shared" si="366"/>
        <v/>
      </c>
      <c r="AP88" s="434"/>
      <c r="AQ88" s="140" t="e">
        <f t="shared" si="336"/>
        <v>#VALUE!</v>
      </c>
      <c r="AR88" s="326" t="str">
        <f t="shared" si="337"/>
        <v/>
      </c>
      <c r="AS88" s="333" t="str">
        <f t="shared" si="338"/>
        <v/>
      </c>
      <c r="AT88" s="125"/>
      <c r="AU88" s="140" t="e">
        <f t="shared" si="42"/>
        <v>#VALUE!</v>
      </c>
      <c r="AV88" s="123" t="str">
        <f t="shared" si="433"/>
        <v/>
      </c>
      <c r="AW88" s="125" t="str">
        <f t="shared" si="434"/>
        <v/>
      </c>
      <c r="AX88" s="122" t="e">
        <f t="shared" ref="AX88:AZ88" si="536">AU88+AQ88+AM88</f>
        <v>#VALUE!</v>
      </c>
      <c r="AY88" s="326" t="e">
        <f t="shared" si="536"/>
        <v>#VALUE!</v>
      </c>
      <c r="AZ88" s="332" t="e">
        <f t="shared" si="536"/>
        <v>#VALUE!</v>
      </c>
      <c r="BA88" s="140" t="e">
        <f t="shared" ref="BA88:BC88" si="537">AX88+AG88</f>
        <v>#VALUE!</v>
      </c>
      <c r="BB88" s="326" t="e">
        <f t="shared" si="537"/>
        <v>#VALUE!</v>
      </c>
      <c r="BC88" s="435" t="e">
        <f t="shared" si="537"/>
        <v>#VALUE!</v>
      </c>
      <c r="BD88" s="123"/>
      <c r="BE88" s="123" t="e">
        <f t="shared" si="48"/>
        <v>#VALUE!</v>
      </c>
      <c r="BF88" s="123" t="str">
        <f t="shared" si="437"/>
        <v/>
      </c>
      <c r="BG88" s="148" t="str">
        <f t="shared" si="438"/>
        <v/>
      </c>
      <c r="BH88" s="123" t="str">
        <f t="shared" si="439"/>
        <v/>
      </c>
      <c r="BI88" s="141" t="e">
        <f t="shared" si="52"/>
        <v>#VALUE!</v>
      </c>
      <c r="BJ88" s="332" t="str">
        <f t="shared" si="440"/>
        <v/>
      </c>
      <c r="BK88" s="333" t="str">
        <f t="shared" si="441"/>
        <v/>
      </c>
      <c r="BL88" s="326" t="str">
        <f t="shared" si="442"/>
        <v/>
      </c>
      <c r="BM88" s="326" t="e">
        <f t="shared" si="56"/>
        <v>#VALUE!</v>
      </c>
      <c r="BN88" s="326" t="str">
        <f t="shared" si="443"/>
        <v/>
      </c>
      <c r="BO88" s="332" t="str">
        <f t="shared" si="444"/>
        <v/>
      </c>
      <c r="BP88" s="140" t="e">
        <f t="shared" ref="BP88:BR88" si="538">SUM(BM88,BI88,BE88)</f>
        <v>#VALUE!</v>
      </c>
      <c r="BQ88" s="326">
        <f t="shared" si="538"/>
        <v>0</v>
      </c>
      <c r="BR88" s="333">
        <f t="shared" si="538"/>
        <v>0</v>
      </c>
      <c r="BS88" s="125" t="str">
        <f t="shared" si="446"/>
        <v/>
      </c>
      <c r="BT88" s="140" t="e">
        <f t="shared" si="61"/>
        <v>#VALUE!</v>
      </c>
      <c r="BU88" s="123" t="str">
        <f t="shared" si="447"/>
        <v/>
      </c>
      <c r="BV88" s="148" t="str">
        <f t="shared" si="448"/>
        <v/>
      </c>
      <c r="BW88" s="123" t="str">
        <f t="shared" si="449"/>
        <v/>
      </c>
      <c r="BX88" s="326" t="str">
        <f t="shared" si="450"/>
        <v/>
      </c>
      <c r="BY88" s="297"/>
      <c r="BZ88" s="553"/>
      <c r="CF88" s="294"/>
      <c r="CG88" s="294"/>
      <c r="CR88" s="294"/>
    </row>
    <row r="89" spans="1:96" ht="13">
      <c r="A89" s="546">
        <f t="shared" si="424"/>
        <v>112011841</v>
      </c>
      <c r="B89" s="547">
        <f t="shared" si="425"/>
        <v>0</v>
      </c>
      <c r="C89" s="137" t="str">
        <f t="shared" si="426"/>
        <v/>
      </c>
      <c r="D89" s="137" t="str">
        <f t="shared" si="427"/>
        <v/>
      </c>
      <c r="E89" s="98" t="str">
        <f t="shared" si="428"/>
        <v/>
      </c>
      <c r="F89" s="414">
        <f t="shared" si="429"/>
        <v>0</v>
      </c>
      <c r="G89" s="94" t="str">
        <f t="shared" si="430"/>
        <v/>
      </c>
      <c r="H89" s="415" t="str">
        <f t="shared" si="431"/>
        <v/>
      </c>
      <c r="I89" s="568" t="s">
        <v>477</v>
      </c>
      <c r="J89" s="436">
        <f>IFERROR(VLOOKUP(I89,RETAMAR24,3,FALSE),"")</f>
        <v>0</v>
      </c>
      <c r="K89" s="141">
        <f t="shared" ref="K89:K93" si="539">(J89*1.601)*1.05</f>
        <v>0</v>
      </c>
      <c r="L89" s="140" t="e">
        <f t="shared" si="344"/>
        <v>#VALUE!</v>
      </c>
      <c r="M89" s="116" t="str">
        <f t="shared" si="345"/>
        <v/>
      </c>
      <c r="N89" s="333">
        <f t="shared" si="346"/>
        <v>37261.550000000003</v>
      </c>
      <c r="O89" s="123">
        <f t="shared" ref="O89:O93" si="540">N89-K89</f>
        <v>37261.550000000003</v>
      </c>
      <c r="P89" s="98" t="str">
        <f t="shared" ref="P89:P93" si="541">IFERROR(N89/K89,"")</f>
        <v/>
      </c>
      <c r="Q89" s="125">
        <f>IFERROR(VLOOKUP(I89,RETAMAR24,4,FALSE),"")</f>
        <v>87667.8</v>
      </c>
      <c r="R89" s="141">
        <f t="shared" ref="R89:R93" si="542">(Q89*1.7245)*1.05</f>
        <v>158742.27715499999</v>
      </c>
      <c r="S89" s="140" t="e">
        <f t="shared" si="350"/>
        <v>#VALUE!</v>
      </c>
      <c r="T89" s="326" t="str">
        <f t="shared" si="351"/>
        <v/>
      </c>
      <c r="U89" s="333">
        <f t="shared" si="352"/>
        <v>0</v>
      </c>
      <c r="V89" s="123">
        <f t="shared" ref="V89:V93" si="543">U89-R89</f>
        <v>-158742.27715499999</v>
      </c>
      <c r="W89" s="98">
        <f t="shared" ref="W89:W93" si="544">IFERROR(U89/R89,"")</f>
        <v>0</v>
      </c>
      <c r="X89" s="123">
        <f>IFERROR(VLOOKUP(I89,RETAMAR24,5,FALSE),"")</f>
        <v>0</v>
      </c>
      <c r="Y89" s="326">
        <f t="shared" ref="Y89:Y93" si="545">(X89*1.5955)*1.05</f>
        <v>0</v>
      </c>
      <c r="Z89" s="116" t="e">
        <f t="shared" si="355"/>
        <v>#VALUE!</v>
      </c>
      <c r="AA89" s="561" t="str">
        <f t="shared" si="356"/>
        <v/>
      </c>
      <c r="AB89" s="561">
        <f t="shared" si="357"/>
        <v>0</v>
      </c>
      <c r="AC89" s="116">
        <f t="shared" ref="AC89:AC93" si="546">AB89-Y89</f>
        <v>0</v>
      </c>
      <c r="AD89" s="97" t="str">
        <f t="shared" ref="AD89:AD93" si="547">IFERROR(AB89/Y89,"")</f>
        <v/>
      </c>
      <c r="AE89" s="433">
        <f t="shared" ref="AE89:AE93" si="548">SUM(K89,R89,Y89)</f>
        <v>158742.27715499999</v>
      </c>
      <c r="AF89" s="550">
        <f t="shared" si="360"/>
        <v>209701</v>
      </c>
      <c r="AG89" s="496" t="e">
        <f t="shared" ref="AG89:AI89" si="549">SUM(Z89,S89,S89,L89)</f>
        <v>#VALUE!</v>
      </c>
      <c r="AH89" s="496">
        <f t="shared" si="549"/>
        <v>0</v>
      </c>
      <c r="AI89" s="496">
        <f t="shared" si="549"/>
        <v>37261.550000000003</v>
      </c>
      <c r="AJ89" s="551">
        <f t="shared" si="362"/>
        <v>-172439.45</v>
      </c>
      <c r="AK89" s="552">
        <f t="shared" si="363"/>
        <v>0.17768894759681644</v>
      </c>
      <c r="AL89" s="434">
        <f>IFERROR(VLOOKUP(I89,RETAMAR24,6,FALSE),"")</f>
        <v>0</v>
      </c>
      <c r="AM89" s="140" t="e">
        <f t="shared" si="364"/>
        <v>#VALUE!</v>
      </c>
      <c r="AN89" s="123" t="str">
        <f t="shared" si="365"/>
        <v/>
      </c>
      <c r="AO89" s="148">
        <f t="shared" si="366"/>
        <v>0</v>
      </c>
      <c r="AP89" s="434">
        <f>IFERROR(VLOOKUP(I89,RETAMAR24,7,FALSE),"")</f>
        <v>0</v>
      </c>
      <c r="AQ89" s="140" t="e">
        <f t="shared" si="336"/>
        <v>#VALUE!</v>
      </c>
      <c r="AR89" s="326" t="str">
        <f t="shared" si="337"/>
        <v/>
      </c>
      <c r="AS89" s="333">
        <f t="shared" si="338"/>
        <v>0</v>
      </c>
      <c r="AT89" s="125">
        <f>IFERROR(VLOOKUP(I89,RETAMAR24,8,FALSE),"")</f>
        <v>90864</v>
      </c>
      <c r="AU89" s="140" t="e">
        <f t="shared" si="42"/>
        <v>#VALUE!</v>
      </c>
      <c r="AV89" s="123" t="str">
        <f t="shared" si="433"/>
        <v/>
      </c>
      <c r="AW89" s="125">
        <f t="shared" si="434"/>
        <v>0</v>
      </c>
      <c r="AX89" s="122" t="e">
        <f t="shared" ref="AX89:AZ89" si="550">AU89+AQ89+AM89</f>
        <v>#VALUE!</v>
      </c>
      <c r="AY89" s="326" t="e">
        <f t="shared" si="550"/>
        <v>#VALUE!</v>
      </c>
      <c r="AZ89" s="332">
        <f t="shared" si="550"/>
        <v>0</v>
      </c>
      <c r="BA89" s="140" t="e">
        <f t="shared" ref="BA89:BC89" si="551">AX89+AG89</f>
        <v>#VALUE!</v>
      </c>
      <c r="BB89" s="326" t="e">
        <f t="shared" si="551"/>
        <v>#VALUE!</v>
      </c>
      <c r="BC89" s="435">
        <f t="shared" si="551"/>
        <v>37261.550000000003</v>
      </c>
      <c r="BD89" s="123">
        <f>IFERROR(VLOOKUP(I89,RETAMAR24,9,FALSE),"")</f>
        <v>0</v>
      </c>
      <c r="BE89" s="123" t="e">
        <f t="shared" si="48"/>
        <v>#VALUE!</v>
      </c>
      <c r="BF89" s="123" t="str">
        <f t="shared" si="437"/>
        <v/>
      </c>
      <c r="BG89" s="148">
        <f t="shared" si="438"/>
        <v>55179</v>
      </c>
      <c r="BH89" s="123">
        <f t="shared" si="439"/>
        <v>0</v>
      </c>
      <c r="BI89" s="141" t="e">
        <f t="shared" si="52"/>
        <v>#VALUE!</v>
      </c>
      <c r="BJ89" s="332" t="str">
        <f t="shared" si="440"/>
        <v/>
      </c>
      <c r="BK89" s="333">
        <f t="shared" si="441"/>
        <v>0</v>
      </c>
      <c r="BL89" s="326">
        <f t="shared" si="442"/>
        <v>0</v>
      </c>
      <c r="BM89" s="326" t="e">
        <f t="shared" si="56"/>
        <v>#VALUE!</v>
      </c>
      <c r="BN89" s="326" t="str">
        <f t="shared" si="443"/>
        <v/>
      </c>
      <c r="BO89" s="332">
        <f t="shared" si="444"/>
        <v>0</v>
      </c>
      <c r="BP89" s="140" t="e">
        <f t="shared" ref="BP89:BR89" si="552">SUM(BM89,BI89,BE89)</f>
        <v>#VALUE!</v>
      </c>
      <c r="BQ89" s="326">
        <f t="shared" si="552"/>
        <v>0</v>
      </c>
      <c r="BR89" s="333">
        <f t="shared" si="552"/>
        <v>55179</v>
      </c>
      <c r="BS89" s="125">
        <f t="shared" si="446"/>
        <v>0</v>
      </c>
      <c r="BT89" s="140" t="e">
        <f t="shared" si="61"/>
        <v>#VALUE!</v>
      </c>
      <c r="BU89" s="123" t="str">
        <f t="shared" si="447"/>
        <v/>
      </c>
      <c r="BV89" s="148">
        <f t="shared" si="448"/>
        <v>0</v>
      </c>
      <c r="BW89" s="123">
        <f t="shared" si="449"/>
        <v>209701</v>
      </c>
      <c r="BX89" s="326">
        <f t="shared" si="450"/>
        <v>0</v>
      </c>
      <c r="BY89" s="297"/>
      <c r="BZ89" s="553"/>
      <c r="CF89" s="294"/>
      <c r="CG89" s="294"/>
      <c r="CR89" s="294"/>
    </row>
    <row r="90" spans="1:96" ht="13">
      <c r="A90" s="546">
        <f t="shared" si="424"/>
        <v>112011877</v>
      </c>
      <c r="B90" s="547">
        <f t="shared" si="425"/>
        <v>0</v>
      </c>
      <c r="C90" s="137" t="str">
        <f t="shared" si="426"/>
        <v/>
      </c>
      <c r="D90" s="137" t="str">
        <f t="shared" si="427"/>
        <v/>
      </c>
      <c r="E90" s="98" t="str">
        <f t="shared" si="428"/>
        <v/>
      </c>
      <c r="F90" s="414">
        <f t="shared" si="429"/>
        <v>0</v>
      </c>
      <c r="G90" s="94" t="str">
        <f t="shared" si="430"/>
        <v/>
      </c>
      <c r="H90" s="415" t="str">
        <f t="shared" si="431"/>
        <v/>
      </c>
      <c r="I90" s="568" t="s">
        <v>478</v>
      </c>
      <c r="J90" s="436">
        <f>IFERROR(VLOOKUP(I90,RETAMAR24,3,FALSE),"")</f>
        <v>0</v>
      </c>
      <c r="K90" s="141">
        <f t="shared" si="539"/>
        <v>0</v>
      </c>
      <c r="L90" s="140" t="e">
        <f t="shared" si="344"/>
        <v>#VALUE!</v>
      </c>
      <c r="M90" s="116" t="str">
        <f t="shared" si="345"/>
        <v/>
      </c>
      <c r="N90" s="333">
        <f t="shared" si="346"/>
        <v>71759.88</v>
      </c>
      <c r="O90" s="123">
        <f t="shared" si="540"/>
        <v>71759.88</v>
      </c>
      <c r="P90" s="98" t="str">
        <f t="shared" si="541"/>
        <v/>
      </c>
      <c r="Q90" s="125">
        <f>IFERROR(VLOOKUP(I90,RETAMAR24,4,FALSE),"")</f>
        <v>0</v>
      </c>
      <c r="R90" s="141">
        <f t="shared" si="542"/>
        <v>0</v>
      </c>
      <c r="S90" s="140" t="e">
        <f t="shared" si="350"/>
        <v>#VALUE!</v>
      </c>
      <c r="T90" s="326" t="str">
        <f t="shared" si="351"/>
        <v/>
      </c>
      <c r="U90" s="333">
        <f t="shared" si="352"/>
        <v>92436</v>
      </c>
      <c r="V90" s="123">
        <f t="shared" si="543"/>
        <v>92436</v>
      </c>
      <c r="W90" s="98" t="str">
        <f t="shared" si="544"/>
        <v/>
      </c>
      <c r="X90" s="123">
        <f>IFERROR(VLOOKUP(I90,RETAMAR24,5,FALSE),"")</f>
        <v>0</v>
      </c>
      <c r="Y90" s="326">
        <f t="shared" si="545"/>
        <v>0</v>
      </c>
      <c r="Z90" s="116" t="e">
        <f t="shared" si="355"/>
        <v>#VALUE!</v>
      </c>
      <c r="AA90" s="561" t="str">
        <f t="shared" si="356"/>
        <v/>
      </c>
      <c r="AB90" s="561">
        <f t="shared" si="357"/>
        <v>0</v>
      </c>
      <c r="AC90" s="116">
        <f t="shared" si="546"/>
        <v>0</v>
      </c>
      <c r="AD90" s="97" t="str">
        <f t="shared" si="547"/>
        <v/>
      </c>
      <c r="AE90" s="433">
        <f t="shared" si="548"/>
        <v>0</v>
      </c>
      <c r="AF90" s="550">
        <f t="shared" si="360"/>
        <v>143125.35</v>
      </c>
      <c r="AG90" s="496" t="e">
        <f t="shared" ref="AG90:AI90" si="553">SUM(Z90,S90,S90,L90)</f>
        <v>#VALUE!</v>
      </c>
      <c r="AH90" s="496">
        <f t="shared" si="553"/>
        <v>0</v>
      </c>
      <c r="AI90" s="496">
        <f t="shared" si="553"/>
        <v>256631.88</v>
      </c>
      <c r="AJ90" s="551">
        <f t="shared" si="362"/>
        <v>113506.53</v>
      </c>
      <c r="AK90" s="552">
        <f t="shared" si="363"/>
        <v>1.7930567855379917</v>
      </c>
      <c r="AL90" s="434">
        <f>IFERROR(VLOOKUP(I90,RETAMAR24,6,FALSE),"")</f>
        <v>0</v>
      </c>
      <c r="AM90" s="140" t="e">
        <f t="shared" si="364"/>
        <v>#VALUE!</v>
      </c>
      <c r="AN90" s="123" t="str">
        <f t="shared" si="365"/>
        <v/>
      </c>
      <c r="AO90" s="148">
        <f t="shared" si="366"/>
        <v>126717.71</v>
      </c>
      <c r="AP90" s="434">
        <f>IFERROR(VLOOKUP(I90,RETAMAR24,7,FALSE),"")</f>
        <v>0</v>
      </c>
      <c r="AQ90" s="140" t="e">
        <f t="shared" si="336"/>
        <v>#VALUE!</v>
      </c>
      <c r="AR90" s="326" t="str">
        <f t="shared" si="337"/>
        <v/>
      </c>
      <c r="AS90" s="333">
        <f t="shared" si="338"/>
        <v>250486.03</v>
      </c>
      <c r="AT90" s="125">
        <f>IFERROR(VLOOKUP(I90,RETAMAR24,8,FALSE),"")</f>
        <v>0</v>
      </c>
      <c r="AU90" s="140" t="e">
        <f t="shared" si="42"/>
        <v>#VALUE!</v>
      </c>
      <c r="AV90" s="123" t="str">
        <f t="shared" si="433"/>
        <v/>
      </c>
      <c r="AW90" s="125">
        <f t="shared" si="434"/>
        <v>0</v>
      </c>
      <c r="AX90" s="122" t="e">
        <f t="shared" ref="AX90:AZ90" si="554">AU90+AQ90+AM90</f>
        <v>#VALUE!</v>
      </c>
      <c r="AY90" s="326" t="e">
        <f t="shared" si="554"/>
        <v>#VALUE!</v>
      </c>
      <c r="AZ90" s="332">
        <f t="shared" si="554"/>
        <v>377203.74</v>
      </c>
      <c r="BA90" s="140" t="e">
        <f t="shared" ref="BA90:BC90" si="555">AX90+AG90</f>
        <v>#VALUE!</v>
      </c>
      <c r="BB90" s="326" t="e">
        <f t="shared" si="555"/>
        <v>#VALUE!</v>
      </c>
      <c r="BC90" s="435">
        <f t="shared" si="555"/>
        <v>633835.62</v>
      </c>
      <c r="BD90" s="123">
        <f>IFERROR(VLOOKUP(I90,RETAMAR24,9,FALSE),"")</f>
        <v>0</v>
      </c>
      <c r="BE90" s="123" t="e">
        <f t="shared" si="48"/>
        <v>#VALUE!</v>
      </c>
      <c r="BF90" s="123" t="str">
        <f t="shared" si="437"/>
        <v/>
      </c>
      <c r="BG90" s="148">
        <f t="shared" si="438"/>
        <v>634570.9</v>
      </c>
      <c r="BH90" s="123">
        <f t="shared" si="439"/>
        <v>0</v>
      </c>
      <c r="BI90" s="141" t="e">
        <f t="shared" si="52"/>
        <v>#VALUE!</v>
      </c>
      <c r="BJ90" s="332" t="str">
        <f t="shared" si="440"/>
        <v/>
      </c>
      <c r="BK90" s="333">
        <f t="shared" si="441"/>
        <v>187852.09</v>
      </c>
      <c r="BL90" s="326">
        <f t="shared" si="442"/>
        <v>0</v>
      </c>
      <c r="BM90" s="326" t="e">
        <f t="shared" si="56"/>
        <v>#VALUE!</v>
      </c>
      <c r="BN90" s="326" t="str">
        <f t="shared" si="443"/>
        <v/>
      </c>
      <c r="BO90" s="332">
        <f t="shared" si="444"/>
        <v>0</v>
      </c>
      <c r="BP90" s="140" t="e">
        <f t="shared" ref="BP90:BR90" si="556">SUM(BM90,BI90,BE90)</f>
        <v>#VALUE!</v>
      </c>
      <c r="BQ90" s="326">
        <f t="shared" si="556"/>
        <v>0</v>
      </c>
      <c r="BR90" s="333">
        <f t="shared" si="556"/>
        <v>822422.99</v>
      </c>
      <c r="BS90" s="125">
        <f t="shared" si="446"/>
        <v>0</v>
      </c>
      <c r="BT90" s="140" t="e">
        <f t="shared" si="61"/>
        <v>#VALUE!</v>
      </c>
      <c r="BU90" s="123" t="str">
        <f t="shared" si="447"/>
        <v/>
      </c>
      <c r="BV90" s="148">
        <f t="shared" si="448"/>
        <v>0</v>
      </c>
      <c r="BW90" s="123">
        <f t="shared" si="449"/>
        <v>143125.35</v>
      </c>
      <c r="BX90" s="326">
        <f t="shared" si="450"/>
        <v>0</v>
      </c>
      <c r="BY90" s="297"/>
      <c r="BZ90" s="553"/>
      <c r="CF90" s="294"/>
      <c r="CG90" s="294"/>
      <c r="CR90" s="294"/>
    </row>
    <row r="91" spans="1:96" ht="13">
      <c r="A91" s="546">
        <f t="shared" si="424"/>
        <v>112011943</v>
      </c>
      <c r="B91" s="547">
        <f t="shared" si="425"/>
        <v>0</v>
      </c>
      <c r="C91" s="137" t="str">
        <f t="shared" si="426"/>
        <v/>
      </c>
      <c r="D91" s="137" t="str">
        <f t="shared" si="427"/>
        <v/>
      </c>
      <c r="E91" s="98" t="str">
        <f t="shared" si="428"/>
        <v/>
      </c>
      <c r="F91" s="414">
        <f t="shared" si="429"/>
        <v>0</v>
      </c>
      <c r="G91" s="94" t="str">
        <f t="shared" si="430"/>
        <v/>
      </c>
      <c r="H91" s="415" t="str">
        <f t="shared" si="431"/>
        <v/>
      </c>
      <c r="I91" s="568" t="s">
        <v>479</v>
      </c>
      <c r="J91" s="436">
        <f>IFERROR(VLOOKUP(I91,RETAMAR24,3,FALSE),"")</f>
        <v>380268</v>
      </c>
      <c r="K91" s="141">
        <f t="shared" si="539"/>
        <v>639249.52139999997</v>
      </c>
      <c r="L91" s="140" t="e">
        <f t="shared" si="344"/>
        <v>#VALUE!</v>
      </c>
      <c r="M91" s="116" t="str">
        <f t="shared" si="345"/>
        <v/>
      </c>
      <c r="N91" s="333">
        <f t="shared" si="346"/>
        <v>139726.93</v>
      </c>
      <c r="O91" s="123">
        <f t="shared" si="540"/>
        <v>-499522.59139999998</v>
      </c>
      <c r="P91" s="98">
        <f t="shared" si="541"/>
        <v>0.21857963959673918</v>
      </c>
      <c r="Q91" s="125">
        <f>IFERROR(VLOOKUP(I91,RETAMAR24,4,FALSE),"")</f>
        <v>0</v>
      </c>
      <c r="R91" s="141">
        <f t="shared" si="542"/>
        <v>0</v>
      </c>
      <c r="S91" s="140" t="e">
        <f t="shared" si="350"/>
        <v>#VALUE!</v>
      </c>
      <c r="T91" s="326" t="str">
        <f t="shared" si="351"/>
        <v/>
      </c>
      <c r="U91" s="333">
        <f t="shared" si="352"/>
        <v>943736</v>
      </c>
      <c r="V91" s="123">
        <f t="shared" si="543"/>
        <v>943736</v>
      </c>
      <c r="W91" s="98" t="str">
        <f t="shared" si="544"/>
        <v/>
      </c>
      <c r="X91" s="123">
        <f>IFERROR(VLOOKUP(I91,RETAMAR24,5,FALSE),"")</f>
        <v>0</v>
      </c>
      <c r="Y91" s="326">
        <f t="shared" si="545"/>
        <v>0</v>
      </c>
      <c r="Z91" s="116" t="e">
        <f t="shared" si="355"/>
        <v>#VALUE!</v>
      </c>
      <c r="AA91" s="561" t="str">
        <f t="shared" si="356"/>
        <v/>
      </c>
      <c r="AB91" s="561">
        <f t="shared" si="357"/>
        <v>271560</v>
      </c>
      <c r="AC91" s="116">
        <f t="shared" si="546"/>
        <v>271560</v>
      </c>
      <c r="AD91" s="97" t="str">
        <f t="shared" si="547"/>
        <v/>
      </c>
      <c r="AE91" s="433">
        <f t="shared" si="548"/>
        <v>639249.52139999997</v>
      </c>
      <c r="AF91" s="550">
        <f t="shared" si="360"/>
        <v>90526</v>
      </c>
      <c r="AG91" s="496" t="e">
        <f t="shared" ref="AG91:AI91" si="557">SUM(Z91,S91,S91,L91)</f>
        <v>#VALUE!</v>
      </c>
      <c r="AH91" s="496">
        <f t="shared" si="557"/>
        <v>0</v>
      </c>
      <c r="AI91" s="496">
        <f t="shared" si="557"/>
        <v>2298758.9300000002</v>
      </c>
      <c r="AJ91" s="551">
        <f t="shared" si="362"/>
        <v>2208232.9300000002</v>
      </c>
      <c r="AK91" s="552">
        <f t="shared" si="363"/>
        <v>25.393355831473833</v>
      </c>
      <c r="AL91" s="434">
        <f>IFERROR(VLOOKUP(I91,RETAMAR24,6,FALSE),"")</f>
        <v>64695.5</v>
      </c>
      <c r="AM91" s="140" t="e">
        <f t="shared" si="364"/>
        <v>#VALUE!</v>
      </c>
      <c r="AN91" s="123" t="str">
        <f t="shared" si="365"/>
        <v/>
      </c>
      <c r="AO91" s="148">
        <f t="shared" si="366"/>
        <v>0</v>
      </c>
      <c r="AP91" s="434">
        <f>IFERROR(VLOOKUP(I91,RETAMAR24,7,FALSE),"")</f>
        <v>0</v>
      </c>
      <c r="AQ91" s="140" t="e">
        <f t="shared" si="336"/>
        <v>#VALUE!</v>
      </c>
      <c r="AR91" s="326" t="str">
        <f t="shared" si="337"/>
        <v/>
      </c>
      <c r="AS91" s="333">
        <f t="shared" si="338"/>
        <v>0</v>
      </c>
      <c r="AT91" s="125">
        <f>IFERROR(VLOOKUP(I91,RETAMAR24,8,FALSE),"")</f>
        <v>0</v>
      </c>
      <c r="AU91" s="140" t="e">
        <f t="shared" si="42"/>
        <v>#VALUE!</v>
      </c>
      <c r="AV91" s="123" t="str">
        <f t="shared" si="433"/>
        <v/>
      </c>
      <c r="AW91" s="125">
        <f t="shared" si="434"/>
        <v>0</v>
      </c>
      <c r="AX91" s="122" t="e">
        <f t="shared" ref="AX91:AZ91" si="558">AU91+AQ91+AM91</f>
        <v>#VALUE!</v>
      </c>
      <c r="AY91" s="326" t="e">
        <f t="shared" si="558"/>
        <v>#VALUE!</v>
      </c>
      <c r="AZ91" s="332">
        <f t="shared" si="558"/>
        <v>0</v>
      </c>
      <c r="BA91" s="140" t="e">
        <f t="shared" ref="BA91:BC91" si="559">AX91+AG91</f>
        <v>#VALUE!</v>
      </c>
      <c r="BB91" s="326" t="e">
        <f t="shared" si="559"/>
        <v>#VALUE!</v>
      </c>
      <c r="BC91" s="435">
        <f t="shared" si="559"/>
        <v>2298758.9300000002</v>
      </c>
      <c r="BD91" s="123">
        <f>IFERROR(VLOOKUP(I91,RETAMAR24,9,FALSE),"")</f>
        <v>0</v>
      </c>
      <c r="BE91" s="123" t="e">
        <f t="shared" si="48"/>
        <v>#VALUE!</v>
      </c>
      <c r="BF91" s="123" t="str">
        <f t="shared" si="437"/>
        <v/>
      </c>
      <c r="BG91" s="148">
        <f t="shared" si="438"/>
        <v>0</v>
      </c>
      <c r="BH91" s="123">
        <f t="shared" si="439"/>
        <v>0</v>
      </c>
      <c r="BI91" s="141" t="e">
        <f t="shared" si="52"/>
        <v>#VALUE!</v>
      </c>
      <c r="BJ91" s="332" t="str">
        <f t="shared" si="440"/>
        <v/>
      </c>
      <c r="BK91" s="333">
        <f t="shared" si="441"/>
        <v>0</v>
      </c>
      <c r="BL91" s="326">
        <f t="shared" si="442"/>
        <v>0</v>
      </c>
      <c r="BM91" s="326" t="e">
        <f t="shared" si="56"/>
        <v>#VALUE!</v>
      </c>
      <c r="BN91" s="326" t="str">
        <f t="shared" si="443"/>
        <v/>
      </c>
      <c r="BO91" s="332">
        <f t="shared" si="444"/>
        <v>0</v>
      </c>
      <c r="BP91" s="140" t="e">
        <f t="shared" ref="BP91:BR91" si="560">SUM(BM91,BI91,BE91)</f>
        <v>#VALUE!</v>
      </c>
      <c r="BQ91" s="326">
        <f t="shared" si="560"/>
        <v>0</v>
      </c>
      <c r="BR91" s="333">
        <f t="shared" si="560"/>
        <v>0</v>
      </c>
      <c r="BS91" s="125">
        <f t="shared" si="446"/>
        <v>0</v>
      </c>
      <c r="BT91" s="140" t="e">
        <f t="shared" si="61"/>
        <v>#VALUE!</v>
      </c>
      <c r="BU91" s="123" t="str">
        <f t="shared" si="447"/>
        <v/>
      </c>
      <c r="BV91" s="148">
        <f t="shared" si="448"/>
        <v>0</v>
      </c>
      <c r="BW91" s="123">
        <f t="shared" si="449"/>
        <v>90526</v>
      </c>
      <c r="BX91" s="326">
        <f t="shared" si="450"/>
        <v>0</v>
      </c>
      <c r="BY91" s="297"/>
      <c r="BZ91" s="553"/>
      <c r="CF91" s="294"/>
      <c r="CG91" s="294"/>
      <c r="CR91" s="294"/>
    </row>
    <row r="92" spans="1:96" ht="13">
      <c r="A92" s="546">
        <f t="shared" si="424"/>
        <v>112013134</v>
      </c>
      <c r="B92" s="547">
        <f t="shared" si="425"/>
        <v>0</v>
      </c>
      <c r="C92" s="137" t="str">
        <f t="shared" si="426"/>
        <v/>
      </c>
      <c r="D92" s="137" t="str">
        <f t="shared" si="427"/>
        <v/>
      </c>
      <c r="E92" s="98" t="str">
        <f t="shared" si="428"/>
        <v/>
      </c>
      <c r="F92" s="414">
        <f t="shared" si="429"/>
        <v>0</v>
      </c>
      <c r="G92" s="94" t="str">
        <f t="shared" si="430"/>
        <v/>
      </c>
      <c r="H92" s="415" t="str">
        <f t="shared" si="431"/>
        <v/>
      </c>
      <c r="I92" s="568" t="s">
        <v>480</v>
      </c>
      <c r="J92" s="436">
        <f>IFERROR(VLOOKUP(I92,RETAMAR24,3,FALSE),"")</f>
        <v>101692.69</v>
      </c>
      <c r="K92" s="141">
        <f t="shared" si="539"/>
        <v>170950.49652450002</v>
      </c>
      <c r="L92" s="140" t="e">
        <f t="shared" si="344"/>
        <v>#VALUE!</v>
      </c>
      <c r="M92" s="116" t="str">
        <f t="shared" si="345"/>
        <v/>
      </c>
      <c r="N92" s="333" t="str">
        <f t="shared" si="346"/>
        <v/>
      </c>
      <c r="O92" s="123" t="e">
        <f t="shared" si="540"/>
        <v>#VALUE!</v>
      </c>
      <c r="P92" s="98" t="str">
        <f t="shared" si="541"/>
        <v/>
      </c>
      <c r="Q92" s="125">
        <f>IFERROR(VLOOKUP(I92,RETAMAR24,4,FALSE),"")</f>
        <v>0</v>
      </c>
      <c r="R92" s="141">
        <f t="shared" si="542"/>
        <v>0</v>
      </c>
      <c r="S92" s="140" t="e">
        <f t="shared" si="350"/>
        <v>#VALUE!</v>
      </c>
      <c r="T92" s="326" t="str">
        <f t="shared" si="351"/>
        <v/>
      </c>
      <c r="U92" s="333" t="str">
        <f t="shared" si="352"/>
        <v/>
      </c>
      <c r="V92" s="123" t="e">
        <f t="shared" si="543"/>
        <v>#VALUE!</v>
      </c>
      <c r="W92" s="98" t="str">
        <f t="shared" si="544"/>
        <v/>
      </c>
      <c r="X92" s="123">
        <f>IFERROR(VLOOKUP(I92,RETAMAR24,5,FALSE),"")</f>
        <v>0</v>
      </c>
      <c r="Y92" s="326">
        <f t="shared" si="545"/>
        <v>0</v>
      </c>
      <c r="Z92" s="116" t="e">
        <f t="shared" si="355"/>
        <v>#VALUE!</v>
      </c>
      <c r="AA92" s="561" t="str">
        <f t="shared" si="356"/>
        <v/>
      </c>
      <c r="AB92" s="561" t="str">
        <f t="shared" si="357"/>
        <v/>
      </c>
      <c r="AC92" s="116" t="e">
        <f t="shared" si="546"/>
        <v>#VALUE!</v>
      </c>
      <c r="AD92" s="97" t="str">
        <f t="shared" si="547"/>
        <v/>
      </c>
      <c r="AE92" s="433">
        <f t="shared" si="548"/>
        <v>170950.49652450002</v>
      </c>
      <c r="AF92" s="550" t="str">
        <f t="shared" si="360"/>
        <v>0</v>
      </c>
      <c r="AG92" s="496" t="e">
        <f t="shared" ref="AG92:AI92" si="561">SUM(Z92,S92,S92,L92)</f>
        <v>#VALUE!</v>
      </c>
      <c r="AH92" s="496">
        <f t="shared" si="561"/>
        <v>0</v>
      </c>
      <c r="AI92" s="496">
        <f t="shared" si="561"/>
        <v>0</v>
      </c>
      <c r="AJ92" s="551">
        <f t="shared" si="362"/>
        <v>0</v>
      </c>
      <c r="AK92" s="552" t="str">
        <f t="shared" si="363"/>
        <v/>
      </c>
      <c r="AL92" s="434">
        <f>IFERROR(VLOOKUP(I92,RETAMAR24,6,FALSE),"")</f>
        <v>0</v>
      </c>
      <c r="AM92" s="140" t="e">
        <f t="shared" si="364"/>
        <v>#VALUE!</v>
      </c>
      <c r="AN92" s="123" t="str">
        <f t="shared" si="365"/>
        <v/>
      </c>
      <c r="AO92" s="148" t="str">
        <f t="shared" si="366"/>
        <v/>
      </c>
      <c r="AP92" s="434">
        <f>IFERROR(VLOOKUP(I92,RETAMAR24,7,FALSE),"")</f>
        <v>0</v>
      </c>
      <c r="AQ92" s="140" t="e">
        <f t="shared" si="336"/>
        <v>#VALUE!</v>
      </c>
      <c r="AR92" s="326" t="str">
        <f t="shared" si="337"/>
        <v/>
      </c>
      <c r="AS92" s="333" t="str">
        <f t="shared" si="338"/>
        <v/>
      </c>
      <c r="AT92" s="125">
        <f>IFERROR(VLOOKUP(I92,RETAMAR24,8,FALSE),"")</f>
        <v>0</v>
      </c>
      <c r="AU92" s="140" t="e">
        <f t="shared" si="42"/>
        <v>#VALUE!</v>
      </c>
      <c r="AV92" s="123" t="str">
        <f t="shared" si="433"/>
        <v/>
      </c>
      <c r="AW92" s="125" t="str">
        <f t="shared" si="434"/>
        <v/>
      </c>
      <c r="AX92" s="122" t="e">
        <f t="shared" ref="AX92:AZ92" si="562">AU92+AQ92+AM92</f>
        <v>#VALUE!</v>
      </c>
      <c r="AY92" s="326" t="e">
        <f t="shared" si="562"/>
        <v>#VALUE!</v>
      </c>
      <c r="AZ92" s="332" t="e">
        <f t="shared" si="562"/>
        <v>#VALUE!</v>
      </c>
      <c r="BA92" s="140" t="e">
        <f t="shared" ref="BA92:BC92" si="563">AX92+AG92</f>
        <v>#VALUE!</v>
      </c>
      <c r="BB92" s="326" t="e">
        <f t="shared" si="563"/>
        <v>#VALUE!</v>
      </c>
      <c r="BC92" s="435" t="e">
        <f t="shared" si="563"/>
        <v>#VALUE!</v>
      </c>
      <c r="BD92" s="123">
        <f>IFERROR(VLOOKUP(I92,RETAMAR24,9,FALSE),"")</f>
        <v>0</v>
      </c>
      <c r="BE92" s="123" t="e">
        <f t="shared" si="48"/>
        <v>#VALUE!</v>
      </c>
      <c r="BF92" s="123" t="str">
        <f t="shared" si="437"/>
        <v/>
      </c>
      <c r="BG92" s="148" t="str">
        <f t="shared" si="438"/>
        <v/>
      </c>
      <c r="BH92" s="123">
        <f t="shared" si="439"/>
        <v>0</v>
      </c>
      <c r="BI92" s="141" t="e">
        <f t="shared" si="52"/>
        <v>#VALUE!</v>
      </c>
      <c r="BJ92" s="332" t="str">
        <f t="shared" si="440"/>
        <v/>
      </c>
      <c r="BK92" s="333" t="str">
        <f t="shared" si="441"/>
        <v/>
      </c>
      <c r="BL92" s="326">
        <f t="shared" si="442"/>
        <v>0</v>
      </c>
      <c r="BM92" s="326" t="e">
        <f t="shared" si="56"/>
        <v>#VALUE!</v>
      </c>
      <c r="BN92" s="326" t="str">
        <f t="shared" si="443"/>
        <v/>
      </c>
      <c r="BO92" s="332" t="str">
        <f t="shared" si="444"/>
        <v/>
      </c>
      <c r="BP92" s="140" t="e">
        <f t="shared" ref="BP92:BR92" si="564">SUM(BM92,BI92,BE92)</f>
        <v>#VALUE!</v>
      </c>
      <c r="BQ92" s="326">
        <f t="shared" si="564"/>
        <v>0</v>
      </c>
      <c r="BR92" s="333">
        <f t="shared" si="564"/>
        <v>0</v>
      </c>
      <c r="BS92" s="125">
        <f t="shared" si="446"/>
        <v>0</v>
      </c>
      <c r="BT92" s="140" t="e">
        <f t="shared" si="61"/>
        <v>#VALUE!</v>
      </c>
      <c r="BU92" s="123" t="str">
        <f t="shared" si="447"/>
        <v/>
      </c>
      <c r="BV92" s="148" t="str">
        <f t="shared" si="448"/>
        <v/>
      </c>
      <c r="BW92" s="123">
        <f t="shared" si="449"/>
        <v>0</v>
      </c>
      <c r="BX92" s="326">
        <f t="shared" si="450"/>
        <v>0</v>
      </c>
      <c r="BY92" s="297"/>
      <c r="BZ92" s="553"/>
      <c r="CF92" s="294"/>
      <c r="CG92" s="294"/>
      <c r="CR92" s="294"/>
    </row>
    <row r="93" spans="1:96" ht="13">
      <c r="A93" s="546">
        <f t="shared" si="424"/>
        <v>112013420</v>
      </c>
      <c r="B93" s="547">
        <f t="shared" si="425"/>
        <v>0</v>
      </c>
      <c r="C93" s="137" t="str">
        <f t="shared" si="426"/>
        <v/>
      </c>
      <c r="D93" s="137" t="str">
        <f t="shared" si="427"/>
        <v/>
      </c>
      <c r="E93" s="98" t="str">
        <f t="shared" si="428"/>
        <v/>
      </c>
      <c r="F93" s="414">
        <f t="shared" si="429"/>
        <v>0</v>
      </c>
      <c r="G93" s="94" t="str">
        <f t="shared" si="430"/>
        <v/>
      </c>
      <c r="H93" s="415" t="str">
        <f t="shared" si="431"/>
        <v/>
      </c>
      <c r="I93" s="568" t="s">
        <v>481</v>
      </c>
      <c r="J93" s="436" t="str">
        <f>IFERROR(VLOOKUP(I93,RETAMAR24,3,FALSE),"")</f>
        <v/>
      </c>
      <c r="K93" s="141" t="e">
        <f t="shared" si="539"/>
        <v>#VALUE!</v>
      </c>
      <c r="L93" s="140" t="e">
        <f t="shared" si="344"/>
        <v>#VALUE!</v>
      </c>
      <c r="M93" s="116" t="str">
        <f t="shared" si="345"/>
        <v/>
      </c>
      <c r="N93" s="333" t="str">
        <f t="shared" si="346"/>
        <v/>
      </c>
      <c r="O93" s="123" t="e">
        <f t="shared" si="540"/>
        <v>#VALUE!</v>
      </c>
      <c r="P93" s="98" t="str">
        <f t="shared" si="541"/>
        <v/>
      </c>
      <c r="Q93" s="125" t="str">
        <f>IFERROR(VLOOKUP(I93,RETAMAR24,4,FALSE),"")</f>
        <v/>
      </c>
      <c r="R93" s="141" t="e">
        <f t="shared" si="542"/>
        <v>#VALUE!</v>
      </c>
      <c r="S93" s="140" t="e">
        <f t="shared" si="350"/>
        <v>#VALUE!</v>
      </c>
      <c r="T93" s="326" t="str">
        <f t="shared" si="351"/>
        <v/>
      </c>
      <c r="U93" s="333" t="str">
        <f t="shared" si="352"/>
        <v/>
      </c>
      <c r="V93" s="123" t="e">
        <f t="shared" si="543"/>
        <v>#VALUE!</v>
      </c>
      <c r="W93" s="98" t="str">
        <f t="shared" si="544"/>
        <v/>
      </c>
      <c r="X93" s="123" t="str">
        <f>IFERROR(VLOOKUP(I93,RETAMAR24,5,FALSE),"")</f>
        <v/>
      </c>
      <c r="Y93" s="326" t="e">
        <f t="shared" si="545"/>
        <v>#VALUE!</v>
      </c>
      <c r="Z93" s="116" t="e">
        <f t="shared" si="355"/>
        <v>#VALUE!</v>
      </c>
      <c r="AA93" s="561" t="str">
        <f t="shared" si="356"/>
        <v/>
      </c>
      <c r="AB93" s="561" t="str">
        <f t="shared" si="357"/>
        <v/>
      </c>
      <c r="AC93" s="116" t="e">
        <f t="shared" si="546"/>
        <v>#VALUE!</v>
      </c>
      <c r="AD93" s="97" t="str">
        <f t="shared" si="547"/>
        <v/>
      </c>
      <c r="AE93" s="433" t="e">
        <f t="shared" si="548"/>
        <v>#VALUE!</v>
      </c>
      <c r="AF93" s="550" t="str">
        <f t="shared" si="360"/>
        <v>0</v>
      </c>
      <c r="AG93" s="496" t="e">
        <f t="shared" ref="AG93:AI93" si="565">SUM(Z93,S93,S93,L93)</f>
        <v>#VALUE!</v>
      </c>
      <c r="AH93" s="496">
        <f t="shared" si="565"/>
        <v>0</v>
      </c>
      <c r="AI93" s="496">
        <f t="shared" si="565"/>
        <v>0</v>
      </c>
      <c r="AJ93" s="551">
        <f t="shared" si="362"/>
        <v>0</v>
      </c>
      <c r="AK93" s="552" t="str">
        <f t="shared" si="363"/>
        <v/>
      </c>
      <c r="AL93" s="434" t="str">
        <f>IFERROR(VLOOKUP(I93,RETAMAR24,6,FALSE),"")</f>
        <v/>
      </c>
      <c r="AM93" s="140" t="e">
        <f t="shared" si="364"/>
        <v>#VALUE!</v>
      </c>
      <c r="AN93" s="123" t="str">
        <f t="shared" si="365"/>
        <v/>
      </c>
      <c r="AO93" s="148" t="str">
        <f t="shared" si="366"/>
        <v/>
      </c>
      <c r="AP93" s="434" t="str">
        <f>IFERROR(VLOOKUP(I93,RETAMAR24,7,FALSE),"")</f>
        <v/>
      </c>
      <c r="AQ93" s="140" t="e">
        <f t="shared" si="336"/>
        <v>#VALUE!</v>
      </c>
      <c r="AR93" s="326" t="str">
        <f t="shared" si="337"/>
        <v/>
      </c>
      <c r="AS93" s="333" t="str">
        <f t="shared" si="338"/>
        <v/>
      </c>
      <c r="AT93" s="125" t="str">
        <f>IFERROR(VLOOKUP(I93,RETAMAR24,8,FALSE),"")</f>
        <v/>
      </c>
      <c r="AU93" s="140" t="e">
        <f t="shared" si="42"/>
        <v>#VALUE!</v>
      </c>
      <c r="AV93" s="123" t="str">
        <f t="shared" si="433"/>
        <v/>
      </c>
      <c r="AW93" s="125" t="str">
        <f t="shared" si="434"/>
        <v/>
      </c>
      <c r="AX93" s="122" t="e">
        <f t="shared" ref="AX93:AZ93" si="566">AU93+AQ93+AM93</f>
        <v>#VALUE!</v>
      </c>
      <c r="AY93" s="326" t="e">
        <f t="shared" si="566"/>
        <v>#VALUE!</v>
      </c>
      <c r="AZ93" s="332" t="e">
        <f t="shared" si="566"/>
        <v>#VALUE!</v>
      </c>
      <c r="BA93" s="140" t="e">
        <f t="shared" ref="BA93:BC93" si="567">AX93+AG93</f>
        <v>#VALUE!</v>
      </c>
      <c r="BB93" s="326" t="e">
        <f t="shared" si="567"/>
        <v>#VALUE!</v>
      </c>
      <c r="BC93" s="435" t="e">
        <f t="shared" si="567"/>
        <v>#VALUE!</v>
      </c>
      <c r="BD93" s="123" t="str">
        <f>IFERROR(VLOOKUP(I93,RETAMAR24,9,FALSE),"")</f>
        <v/>
      </c>
      <c r="BE93" s="123" t="e">
        <f t="shared" si="48"/>
        <v>#VALUE!</v>
      </c>
      <c r="BF93" s="123" t="str">
        <f t="shared" si="437"/>
        <v/>
      </c>
      <c r="BG93" s="148" t="str">
        <f t="shared" si="438"/>
        <v/>
      </c>
      <c r="BH93" s="123" t="str">
        <f t="shared" si="439"/>
        <v/>
      </c>
      <c r="BI93" s="141" t="e">
        <f t="shared" si="52"/>
        <v>#VALUE!</v>
      </c>
      <c r="BJ93" s="332" t="str">
        <f t="shared" si="440"/>
        <v/>
      </c>
      <c r="BK93" s="333" t="str">
        <f t="shared" si="441"/>
        <v/>
      </c>
      <c r="BL93" s="326" t="str">
        <f t="shared" si="442"/>
        <v/>
      </c>
      <c r="BM93" s="326" t="e">
        <f t="shared" si="56"/>
        <v>#VALUE!</v>
      </c>
      <c r="BN93" s="326" t="str">
        <f t="shared" si="443"/>
        <v/>
      </c>
      <c r="BO93" s="332" t="str">
        <f t="shared" si="444"/>
        <v/>
      </c>
      <c r="BP93" s="140" t="e">
        <f t="shared" ref="BP93:BR93" si="568">SUM(BM93,BI93,BE93)</f>
        <v>#VALUE!</v>
      </c>
      <c r="BQ93" s="326">
        <f t="shared" si="568"/>
        <v>0</v>
      </c>
      <c r="BR93" s="333">
        <f t="shared" si="568"/>
        <v>0</v>
      </c>
      <c r="BS93" s="125" t="str">
        <f t="shared" si="446"/>
        <v/>
      </c>
      <c r="BT93" s="140" t="e">
        <f t="shared" si="61"/>
        <v>#VALUE!</v>
      </c>
      <c r="BU93" s="123" t="str">
        <f t="shared" si="447"/>
        <v/>
      </c>
      <c r="BV93" s="148" t="str">
        <f t="shared" si="448"/>
        <v/>
      </c>
      <c r="BW93" s="123" t="str">
        <f t="shared" si="449"/>
        <v/>
      </c>
      <c r="BX93" s="326" t="str">
        <f t="shared" si="450"/>
        <v/>
      </c>
      <c r="BY93" s="297"/>
      <c r="BZ93" s="553"/>
      <c r="CF93" s="294"/>
      <c r="CG93" s="294"/>
      <c r="CR93" s="294"/>
    </row>
    <row r="94" spans="1:96" ht="13">
      <c r="A94" s="546">
        <f t="shared" si="424"/>
        <v>112014239</v>
      </c>
      <c r="B94" s="547">
        <f t="shared" si="425"/>
        <v>0</v>
      </c>
      <c r="C94" s="137" t="str">
        <f t="shared" si="426"/>
        <v/>
      </c>
      <c r="D94" s="137" t="str">
        <f t="shared" si="427"/>
        <v/>
      </c>
      <c r="E94" s="98" t="str">
        <f t="shared" si="428"/>
        <v/>
      </c>
      <c r="F94" s="414">
        <f t="shared" si="429"/>
        <v>0</v>
      </c>
      <c r="G94" s="94" t="str">
        <f t="shared" si="430"/>
        <v/>
      </c>
      <c r="H94" s="415" t="str">
        <f t="shared" si="431"/>
        <v/>
      </c>
      <c r="I94" s="423" t="s">
        <v>482</v>
      </c>
      <c r="J94" s="436"/>
      <c r="K94" s="141"/>
      <c r="L94" s="140" t="e">
        <f t="shared" si="344"/>
        <v>#VALUE!</v>
      </c>
      <c r="M94" s="116" t="str">
        <f t="shared" si="345"/>
        <v/>
      </c>
      <c r="N94" s="333">
        <f t="shared" si="346"/>
        <v>0</v>
      </c>
      <c r="O94" s="123"/>
      <c r="P94" s="98"/>
      <c r="Q94" s="125"/>
      <c r="R94" s="141"/>
      <c r="S94" s="140"/>
      <c r="T94" s="326"/>
      <c r="U94" s="333"/>
      <c r="V94" s="123"/>
      <c r="W94" s="98"/>
      <c r="X94" s="123"/>
      <c r="Y94" s="326"/>
      <c r="Z94" s="116"/>
      <c r="AA94" s="561"/>
      <c r="AB94" s="561"/>
      <c r="AC94" s="116"/>
      <c r="AD94" s="97"/>
      <c r="AE94" s="433"/>
      <c r="AF94" s="550" t="str">
        <f t="shared" si="360"/>
        <v>0</v>
      </c>
      <c r="AG94" s="496"/>
      <c r="AH94" s="496"/>
      <c r="AI94" s="496"/>
      <c r="AJ94" s="551">
        <f t="shared" si="362"/>
        <v>0</v>
      </c>
      <c r="AK94" s="552" t="str">
        <f t="shared" si="363"/>
        <v/>
      </c>
      <c r="AL94" s="434"/>
      <c r="AM94" s="140" t="e">
        <f t="shared" si="364"/>
        <v>#VALUE!</v>
      </c>
      <c r="AN94" s="123" t="str">
        <f t="shared" si="365"/>
        <v/>
      </c>
      <c r="AO94" s="148">
        <f t="shared" si="366"/>
        <v>0</v>
      </c>
      <c r="AP94" s="434"/>
      <c r="AQ94" s="140" t="e">
        <f t="shared" si="336"/>
        <v>#VALUE!</v>
      </c>
      <c r="AR94" s="326" t="str">
        <f t="shared" si="337"/>
        <v/>
      </c>
      <c r="AS94" s="333">
        <f t="shared" si="338"/>
        <v>0</v>
      </c>
      <c r="AT94" s="125"/>
      <c r="AU94" s="140" t="e">
        <f t="shared" si="42"/>
        <v>#VALUE!</v>
      </c>
      <c r="AV94" s="123" t="str">
        <f t="shared" si="433"/>
        <v/>
      </c>
      <c r="AW94" s="125">
        <f t="shared" si="434"/>
        <v>0</v>
      </c>
      <c r="AX94" s="122" t="e">
        <f t="shared" ref="AX94:AZ94" si="569">AU94+AQ94+AM94</f>
        <v>#VALUE!</v>
      </c>
      <c r="AY94" s="326" t="e">
        <f t="shared" si="569"/>
        <v>#VALUE!</v>
      </c>
      <c r="AZ94" s="332">
        <f t="shared" si="569"/>
        <v>0</v>
      </c>
      <c r="BA94" s="140" t="e">
        <f t="shared" ref="BA94:BC94" si="570">AX94+AG94</f>
        <v>#VALUE!</v>
      </c>
      <c r="BB94" s="326" t="e">
        <f t="shared" si="570"/>
        <v>#VALUE!</v>
      </c>
      <c r="BC94" s="435">
        <f t="shared" si="570"/>
        <v>0</v>
      </c>
      <c r="BD94" s="123"/>
      <c r="BE94" s="123" t="e">
        <f t="shared" si="48"/>
        <v>#VALUE!</v>
      </c>
      <c r="BF94" s="123" t="str">
        <f t="shared" si="437"/>
        <v/>
      </c>
      <c r="BG94" s="148">
        <f t="shared" si="438"/>
        <v>169489.4</v>
      </c>
      <c r="BH94" s="123" t="str">
        <f t="shared" si="439"/>
        <v/>
      </c>
      <c r="BI94" s="141" t="e">
        <f t="shared" si="52"/>
        <v>#VALUE!</v>
      </c>
      <c r="BJ94" s="332" t="str">
        <f t="shared" si="440"/>
        <v/>
      </c>
      <c r="BK94" s="333">
        <f t="shared" si="441"/>
        <v>20277.93</v>
      </c>
      <c r="BL94" s="326" t="str">
        <f t="shared" si="442"/>
        <v/>
      </c>
      <c r="BM94" s="326" t="e">
        <f t="shared" si="56"/>
        <v>#VALUE!</v>
      </c>
      <c r="BN94" s="326" t="str">
        <f t="shared" si="443"/>
        <v/>
      </c>
      <c r="BO94" s="332">
        <f t="shared" si="444"/>
        <v>174823.2</v>
      </c>
      <c r="BP94" s="140" t="e">
        <f t="shared" ref="BP94:BR94" si="571">SUM(BM94,BI94,BE94)</f>
        <v>#VALUE!</v>
      </c>
      <c r="BQ94" s="326">
        <f t="shared" si="571"/>
        <v>0</v>
      </c>
      <c r="BR94" s="333">
        <f t="shared" si="571"/>
        <v>364590.53</v>
      </c>
      <c r="BS94" s="125" t="str">
        <f t="shared" si="446"/>
        <v/>
      </c>
      <c r="BT94" s="140" t="e">
        <f t="shared" si="61"/>
        <v>#VALUE!</v>
      </c>
      <c r="BU94" s="123" t="str">
        <f t="shared" si="447"/>
        <v/>
      </c>
      <c r="BV94" s="148">
        <f t="shared" si="448"/>
        <v>308341.17</v>
      </c>
      <c r="BW94" s="123" t="str">
        <f t="shared" si="449"/>
        <v/>
      </c>
      <c r="BX94" s="326" t="str">
        <f t="shared" si="450"/>
        <v/>
      </c>
      <c r="BY94" s="297"/>
      <c r="BZ94" s="553"/>
      <c r="CF94" s="294"/>
      <c r="CG94" s="294"/>
      <c r="CR94" s="294"/>
    </row>
    <row r="95" spans="1:96" ht="13">
      <c r="A95" s="546">
        <f t="shared" si="424"/>
        <v>112014095</v>
      </c>
      <c r="B95" s="547">
        <f t="shared" si="425"/>
        <v>0</v>
      </c>
      <c r="C95" s="137" t="str">
        <f t="shared" si="426"/>
        <v/>
      </c>
      <c r="D95" s="137" t="str">
        <f t="shared" si="427"/>
        <v/>
      </c>
      <c r="E95" s="98" t="str">
        <f t="shared" si="428"/>
        <v/>
      </c>
      <c r="F95" s="414">
        <f t="shared" si="429"/>
        <v>0</v>
      </c>
      <c r="G95" s="94" t="str">
        <f t="shared" si="430"/>
        <v/>
      </c>
      <c r="H95" s="415" t="str">
        <f t="shared" si="431"/>
        <v/>
      </c>
      <c r="I95" s="568" t="s">
        <v>483</v>
      </c>
      <c r="J95" s="436" t="str">
        <f>IFERROR(VLOOKUP(I95,RETAMAR24,3,FALSE),"")</f>
        <v/>
      </c>
      <c r="K95" s="141" t="e">
        <f t="shared" ref="K95:K96" si="572">(J95*1.601)*1.05</f>
        <v>#VALUE!</v>
      </c>
      <c r="L95" s="140" t="e">
        <f t="shared" si="344"/>
        <v>#VALUE!</v>
      </c>
      <c r="M95" s="116" t="str">
        <f t="shared" si="345"/>
        <v/>
      </c>
      <c r="N95" s="333" t="str">
        <f t="shared" si="346"/>
        <v/>
      </c>
      <c r="O95" s="123" t="e">
        <f t="shared" ref="O95:O96" si="573">N95-K95</f>
        <v>#VALUE!</v>
      </c>
      <c r="P95" s="98" t="str">
        <f t="shared" ref="P95:P96" si="574">IFERROR(N95/K95,"")</f>
        <v/>
      </c>
      <c r="Q95" s="125" t="str">
        <f>IFERROR(VLOOKUP(I95,RETAMAR24,4,FALSE),"")</f>
        <v/>
      </c>
      <c r="R95" s="141" t="e">
        <f t="shared" ref="R95:R96" si="575">(Q95*1.7245)*1.05</f>
        <v>#VALUE!</v>
      </c>
      <c r="S95" s="140" t="e">
        <f t="shared" ref="S95:S96" si="576">U95-T95</f>
        <v>#VALUE!</v>
      </c>
      <c r="T95" s="326" t="str">
        <f>IFERROR(VLOOKUP(I95,RETAALIM,4,FALSE),"")</f>
        <v/>
      </c>
      <c r="U95" s="333" t="str">
        <f>IFERROR(VLOOKUP(I95,RETFC,4,FALSE),"")</f>
        <v/>
      </c>
      <c r="V95" s="123" t="e">
        <f t="shared" ref="V95:V96" si="577">U95-R95</f>
        <v>#VALUE!</v>
      </c>
      <c r="W95" s="98" t="str">
        <f t="shared" ref="W95:W96" si="578">IFERROR(U95/R95,"")</f>
        <v/>
      </c>
      <c r="X95" s="123" t="str">
        <f>IFERROR(VLOOKUP(I95,RETAMAR24,5,FALSE),"")</f>
        <v/>
      </c>
      <c r="Y95" s="326" t="e">
        <f t="shared" ref="Y95:Y96" si="579">(X95*1.5955)*1.05</f>
        <v>#VALUE!</v>
      </c>
      <c r="Z95" s="116" t="e">
        <f t="shared" ref="Z95:Z96" si="580">AB95-AA95</f>
        <v>#VALUE!</v>
      </c>
      <c r="AA95" s="561" t="str">
        <f>IFERROR(VLOOKUP(I95,RETAALIM,5,FALSE),"")</f>
        <v/>
      </c>
      <c r="AB95" s="561" t="str">
        <f>IFERROR(VLOOKUP(I95,RETFC,5,FALSE),"")</f>
        <v/>
      </c>
      <c r="AC95" s="116" t="e">
        <f t="shared" ref="AC95:AC96" si="581">AB95-Y95</f>
        <v>#VALUE!</v>
      </c>
      <c r="AD95" s="97" t="str">
        <f t="shared" ref="AD95:AD96" si="582">IFERROR(AB95/Y95,"")</f>
        <v/>
      </c>
      <c r="AE95" s="433" t="e">
        <f t="shared" ref="AE95:AE96" si="583">SUM(K95,R95,Y95)</f>
        <v>#VALUE!</v>
      </c>
      <c r="AF95" s="550" t="str">
        <f t="shared" si="360"/>
        <v>0</v>
      </c>
      <c r="AG95" s="496" t="e">
        <f t="shared" ref="AG95:AI95" si="584">SUM(Z95,S95,S95,L95)</f>
        <v>#VALUE!</v>
      </c>
      <c r="AH95" s="496">
        <f t="shared" si="584"/>
        <v>0</v>
      </c>
      <c r="AI95" s="496">
        <f t="shared" si="584"/>
        <v>0</v>
      </c>
      <c r="AJ95" s="551">
        <f t="shared" si="362"/>
        <v>0</v>
      </c>
      <c r="AK95" s="552" t="str">
        <f t="shared" si="363"/>
        <v/>
      </c>
      <c r="AL95" s="434" t="str">
        <f>IFERROR(VLOOKUP(I95,RETAMAR24,6,FALSE),"")</f>
        <v/>
      </c>
      <c r="AM95" s="140" t="e">
        <f t="shared" si="364"/>
        <v>#VALUE!</v>
      </c>
      <c r="AN95" s="123" t="str">
        <f t="shared" si="365"/>
        <v/>
      </c>
      <c r="AO95" s="148" t="str">
        <f t="shared" si="366"/>
        <v/>
      </c>
      <c r="AP95" s="434" t="str">
        <f>IFERROR(VLOOKUP(I95,RETAMAR24,7,FALSE),"")</f>
        <v/>
      </c>
      <c r="AQ95" s="140" t="e">
        <f t="shared" si="336"/>
        <v>#VALUE!</v>
      </c>
      <c r="AR95" s="326" t="str">
        <f t="shared" si="337"/>
        <v/>
      </c>
      <c r="AS95" s="333" t="str">
        <f t="shared" si="338"/>
        <v/>
      </c>
      <c r="AT95" s="125" t="str">
        <f>IFERROR(VLOOKUP(I95,RETAMAR24,8,FALSE),"")</f>
        <v/>
      </c>
      <c r="AU95" s="140" t="e">
        <f t="shared" si="42"/>
        <v>#VALUE!</v>
      </c>
      <c r="AV95" s="123" t="str">
        <f t="shared" si="433"/>
        <v/>
      </c>
      <c r="AW95" s="125" t="str">
        <f t="shared" si="434"/>
        <v/>
      </c>
      <c r="AX95" s="122" t="e">
        <f t="shared" ref="AX95:AZ95" si="585">AU95+AQ95+AM95</f>
        <v>#VALUE!</v>
      </c>
      <c r="AY95" s="326" t="e">
        <f t="shared" si="585"/>
        <v>#VALUE!</v>
      </c>
      <c r="AZ95" s="332" t="e">
        <f t="shared" si="585"/>
        <v>#VALUE!</v>
      </c>
      <c r="BA95" s="140" t="e">
        <f t="shared" ref="BA95:BC95" si="586">AX95+AG95</f>
        <v>#VALUE!</v>
      </c>
      <c r="BB95" s="326" t="e">
        <f t="shared" si="586"/>
        <v>#VALUE!</v>
      </c>
      <c r="BC95" s="435" t="e">
        <f t="shared" si="586"/>
        <v>#VALUE!</v>
      </c>
      <c r="BD95" s="123" t="str">
        <f>IFERROR(VLOOKUP(I95,RETAMAR24,9,FALSE),"")</f>
        <v/>
      </c>
      <c r="BE95" s="123" t="e">
        <f t="shared" si="48"/>
        <v>#VALUE!</v>
      </c>
      <c r="BF95" s="123" t="str">
        <f t="shared" si="437"/>
        <v/>
      </c>
      <c r="BG95" s="148" t="str">
        <f t="shared" si="438"/>
        <v/>
      </c>
      <c r="BH95" s="123" t="str">
        <f t="shared" si="439"/>
        <v/>
      </c>
      <c r="BI95" s="141" t="e">
        <f t="shared" si="52"/>
        <v>#VALUE!</v>
      </c>
      <c r="BJ95" s="332" t="str">
        <f t="shared" si="440"/>
        <v/>
      </c>
      <c r="BK95" s="333" t="str">
        <f t="shared" si="441"/>
        <v/>
      </c>
      <c r="BL95" s="326" t="str">
        <f t="shared" si="442"/>
        <v/>
      </c>
      <c r="BM95" s="326" t="e">
        <f t="shared" si="56"/>
        <v>#VALUE!</v>
      </c>
      <c r="BN95" s="326" t="str">
        <f t="shared" si="443"/>
        <v/>
      </c>
      <c r="BO95" s="332" t="str">
        <f t="shared" si="444"/>
        <v/>
      </c>
      <c r="BP95" s="140" t="e">
        <f t="shared" ref="BP95:BR95" si="587">SUM(BM95,BI95,BE95)</f>
        <v>#VALUE!</v>
      </c>
      <c r="BQ95" s="326">
        <f t="shared" si="587"/>
        <v>0</v>
      </c>
      <c r="BR95" s="333">
        <f t="shared" si="587"/>
        <v>0</v>
      </c>
      <c r="BS95" s="125" t="str">
        <f t="shared" si="446"/>
        <v/>
      </c>
      <c r="BT95" s="140" t="e">
        <f t="shared" si="61"/>
        <v>#VALUE!</v>
      </c>
      <c r="BU95" s="123" t="str">
        <f t="shared" si="447"/>
        <v/>
      </c>
      <c r="BV95" s="148" t="str">
        <f t="shared" si="448"/>
        <v/>
      </c>
      <c r="BW95" s="123" t="str">
        <f t="shared" si="449"/>
        <v/>
      </c>
      <c r="BX95" s="326" t="str">
        <f t="shared" si="450"/>
        <v/>
      </c>
      <c r="BY95" s="297"/>
      <c r="BZ95" s="553"/>
      <c r="CF95" s="294"/>
      <c r="CG95" s="294"/>
      <c r="CR95" s="294"/>
    </row>
    <row r="96" spans="1:96" ht="13">
      <c r="A96" s="546">
        <f t="shared" si="424"/>
        <v>112014230</v>
      </c>
      <c r="B96" s="604">
        <f t="shared" si="425"/>
        <v>0</v>
      </c>
      <c r="C96" s="338" t="str">
        <f t="shared" si="426"/>
        <v/>
      </c>
      <c r="D96" s="338" t="str">
        <f t="shared" si="427"/>
        <v/>
      </c>
      <c r="E96" s="465" t="str">
        <f t="shared" si="428"/>
        <v/>
      </c>
      <c r="F96" s="414">
        <f t="shared" si="429"/>
        <v>0</v>
      </c>
      <c r="G96" s="605" t="str">
        <f t="shared" si="430"/>
        <v/>
      </c>
      <c r="H96" s="606" t="str">
        <f t="shared" si="431"/>
        <v/>
      </c>
      <c r="I96" s="607" t="s">
        <v>484</v>
      </c>
      <c r="J96" s="476" t="str">
        <f>IFERROR(VLOOKUP(I96,RETAMAR24,3,FALSE),"")</f>
        <v/>
      </c>
      <c r="K96" s="260" t="e">
        <f t="shared" si="572"/>
        <v>#VALUE!</v>
      </c>
      <c r="L96" s="164" t="e">
        <f t="shared" si="344"/>
        <v>#VALUE!</v>
      </c>
      <c r="M96" s="267" t="str">
        <f t="shared" si="345"/>
        <v/>
      </c>
      <c r="N96" s="472" t="str">
        <f t="shared" si="346"/>
        <v/>
      </c>
      <c r="O96" s="274" t="e">
        <f t="shared" si="573"/>
        <v>#VALUE!</v>
      </c>
      <c r="P96" s="608" t="str">
        <f t="shared" si="574"/>
        <v/>
      </c>
      <c r="Q96" s="271" t="str">
        <f>IFERROR(VLOOKUP(I96,RETAMAR24,4,FALSE),"")</f>
        <v/>
      </c>
      <c r="R96" s="260" t="e">
        <f t="shared" si="575"/>
        <v>#VALUE!</v>
      </c>
      <c r="S96" s="164" t="e">
        <f t="shared" si="576"/>
        <v>#VALUE!</v>
      </c>
      <c r="T96" s="471" t="str">
        <f>IFERROR(VLOOKUP(I96,RETAALIM,4,FALSE),"")</f>
        <v/>
      </c>
      <c r="U96" s="472" t="str">
        <f>IFERROR(VLOOKUP(I96,RETFC,4,FALSE),"")</f>
        <v/>
      </c>
      <c r="V96" s="274" t="e">
        <f t="shared" si="577"/>
        <v>#VALUE!</v>
      </c>
      <c r="W96" s="608" t="str">
        <f t="shared" si="578"/>
        <v/>
      </c>
      <c r="X96" s="274" t="str">
        <f>IFERROR(VLOOKUP(I96,RETAMAR24,5,FALSE),"")</f>
        <v/>
      </c>
      <c r="Y96" s="471" t="e">
        <f t="shared" si="579"/>
        <v>#VALUE!</v>
      </c>
      <c r="Z96" s="267" t="e">
        <f t="shared" si="580"/>
        <v>#VALUE!</v>
      </c>
      <c r="AA96" s="609" t="str">
        <f>IFERROR(VLOOKUP(I96,RETAALIM,5,FALSE),"")</f>
        <v/>
      </c>
      <c r="AB96" s="609" t="str">
        <f>IFERROR(VLOOKUP(I96,RETFC,5,FALSE),"")</f>
        <v/>
      </c>
      <c r="AC96" s="267" t="e">
        <f t="shared" si="581"/>
        <v>#VALUE!</v>
      </c>
      <c r="AD96" s="468" t="str">
        <f t="shared" si="582"/>
        <v/>
      </c>
      <c r="AE96" s="469" t="e">
        <f t="shared" si="583"/>
        <v>#VALUE!</v>
      </c>
      <c r="AF96" s="592" t="str">
        <f t="shared" si="360"/>
        <v>0</v>
      </c>
      <c r="AG96" s="593" t="e">
        <f t="shared" ref="AG96:AI96" si="588">SUM(Z96,S96,S96,L96)</f>
        <v>#VALUE!</v>
      </c>
      <c r="AH96" s="593">
        <f t="shared" si="588"/>
        <v>0</v>
      </c>
      <c r="AI96" s="593">
        <f t="shared" si="588"/>
        <v>0</v>
      </c>
      <c r="AJ96" s="594">
        <f t="shared" si="362"/>
        <v>0</v>
      </c>
      <c r="AK96" s="595" t="str">
        <f t="shared" si="363"/>
        <v/>
      </c>
      <c r="AL96" s="473" t="str">
        <f>IFERROR(VLOOKUP(I96,RETAMAR24,6,FALSE),"")</f>
        <v/>
      </c>
      <c r="AM96" s="164" t="e">
        <f t="shared" si="364"/>
        <v>#VALUE!</v>
      </c>
      <c r="AN96" s="274" t="str">
        <f t="shared" si="365"/>
        <v/>
      </c>
      <c r="AO96" s="610" t="str">
        <f t="shared" si="366"/>
        <v/>
      </c>
      <c r="AP96" s="473" t="str">
        <f>IFERROR(VLOOKUP(I96,RETAMAR24,7,FALSE),"")</f>
        <v/>
      </c>
      <c r="AQ96" s="164" t="e">
        <f t="shared" si="336"/>
        <v>#VALUE!</v>
      </c>
      <c r="AR96" s="471" t="str">
        <f t="shared" si="337"/>
        <v/>
      </c>
      <c r="AS96" s="472" t="str">
        <f t="shared" si="338"/>
        <v/>
      </c>
      <c r="AT96" s="271" t="str">
        <f>IFERROR(VLOOKUP(I96,RETAMAR24,8,FALSE),"")</f>
        <v/>
      </c>
      <c r="AU96" s="164" t="e">
        <f t="shared" si="42"/>
        <v>#VALUE!</v>
      </c>
      <c r="AV96" s="274" t="str">
        <f t="shared" si="433"/>
        <v/>
      </c>
      <c r="AW96" s="271" t="str">
        <f t="shared" si="434"/>
        <v/>
      </c>
      <c r="AX96" s="275" t="e">
        <f t="shared" ref="AX96:AZ96" si="589">AU96+AQ96+AM96</f>
        <v>#VALUE!</v>
      </c>
      <c r="AY96" s="471" t="e">
        <f t="shared" si="589"/>
        <v>#VALUE!</v>
      </c>
      <c r="AZ96" s="467" t="e">
        <f t="shared" si="589"/>
        <v>#VALUE!</v>
      </c>
      <c r="BA96" s="164" t="e">
        <f t="shared" ref="BA96:BC96" si="590">AX96+AG96</f>
        <v>#VALUE!</v>
      </c>
      <c r="BB96" s="471" t="e">
        <f t="shared" si="590"/>
        <v>#VALUE!</v>
      </c>
      <c r="BC96" s="611" t="e">
        <f t="shared" si="590"/>
        <v>#VALUE!</v>
      </c>
      <c r="BD96" s="274" t="str">
        <f>IFERROR(VLOOKUP(I96,RETAMAR24,9,FALSE),"")</f>
        <v/>
      </c>
      <c r="BE96" s="274" t="e">
        <f t="shared" si="48"/>
        <v>#VALUE!</v>
      </c>
      <c r="BF96" s="274" t="str">
        <f t="shared" si="437"/>
        <v/>
      </c>
      <c r="BG96" s="610" t="str">
        <f t="shared" si="438"/>
        <v/>
      </c>
      <c r="BH96" s="123" t="str">
        <f t="shared" si="439"/>
        <v/>
      </c>
      <c r="BI96" s="141" t="e">
        <f t="shared" si="52"/>
        <v>#VALUE!</v>
      </c>
      <c r="BJ96" s="332" t="str">
        <f t="shared" si="440"/>
        <v/>
      </c>
      <c r="BK96" s="333" t="str">
        <f t="shared" si="441"/>
        <v/>
      </c>
      <c r="BL96" s="326" t="str">
        <f t="shared" si="442"/>
        <v/>
      </c>
      <c r="BM96" s="326" t="e">
        <f t="shared" si="56"/>
        <v>#VALUE!</v>
      </c>
      <c r="BN96" s="326" t="str">
        <f t="shared" si="443"/>
        <v/>
      </c>
      <c r="BO96" s="332" t="str">
        <f t="shared" si="444"/>
        <v/>
      </c>
      <c r="BP96" s="140" t="e">
        <f t="shared" ref="BP96:BR96" si="591">SUM(BM96,BI96,BE96)</f>
        <v>#VALUE!</v>
      </c>
      <c r="BQ96" s="326">
        <f t="shared" si="591"/>
        <v>0</v>
      </c>
      <c r="BR96" s="472">
        <f t="shared" si="591"/>
        <v>0</v>
      </c>
      <c r="BS96" s="125" t="str">
        <f t="shared" si="446"/>
        <v/>
      </c>
      <c r="BT96" s="140" t="e">
        <f t="shared" si="61"/>
        <v>#VALUE!</v>
      </c>
      <c r="BU96" s="123" t="str">
        <f t="shared" si="447"/>
        <v/>
      </c>
      <c r="BV96" s="148" t="str">
        <f t="shared" si="448"/>
        <v/>
      </c>
      <c r="BW96" s="123" t="str">
        <f t="shared" si="449"/>
        <v/>
      </c>
      <c r="BX96" s="326" t="str">
        <f t="shared" si="450"/>
        <v/>
      </c>
      <c r="BY96" s="297"/>
      <c r="BZ96" s="553"/>
      <c r="CF96" s="294"/>
      <c r="CG96" s="294"/>
      <c r="CR96" s="294"/>
    </row>
    <row r="97" spans="1:112" ht="13">
      <c r="A97" s="277" t="s">
        <v>485</v>
      </c>
      <c r="B97" s="278"/>
      <c r="C97" s="278"/>
      <c r="D97" s="278"/>
      <c r="E97" s="278"/>
      <c r="F97" s="612"/>
      <c r="G97" s="613" t="str">
        <f t="shared" si="430"/>
        <v/>
      </c>
      <c r="H97" s="614" t="str">
        <f t="shared" si="431"/>
        <v/>
      </c>
      <c r="I97" s="615"/>
      <c r="J97" s="292">
        <f t="shared" ref="J97:BV97" si="592">SUM(J2:J96,J104:J111)</f>
        <v>81625118.200000003</v>
      </c>
      <c r="K97" s="292" t="e">
        <f t="shared" si="592"/>
        <v>#VALUE!</v>
      </c>
      <c r="L97" s="292" t="e">
        <f t="shared" si="592"/>
        <v>#VALUE!</v>
      </c>
      <c r="M97" s="292">
        <f t="shared" si="592"/>
        <v>48285542.749999993</v>
      </c>
      <c r="N97" s="292">
        <f t="shared" si="592"/>
        <v>144998613.68000004</v>
      </c>
      <c r="O97" s="292" t="e">
        <f t="shared" si="592"/>
        <v>#VALUE!</v>
      </c>
      <c r="P97" s="292">
        <f t="shared" si="592"/>
        <v>50.251238201951672</v>
      </c>
      <c r="Q97" s="292">
        <f t="shared" si="592"/>
        <v>80720423.439999998</v>
      </c>
      <c r="R97" s="292" t="e">
        <f t="shared" si="592"/>
        <v>#VALUE!</v>
      </c>
      <c r="S97" s="292" t="e">
        <f t="shared" si="592"/>
        <v>#VALUE!</v>
      </c>
      <c r="T97" s="292">
        <f t="shared" si="592"/>
        <v>57671710.170000009</v>
      </c>
      <c r="U97" s="292">
        <f t="shared" si="592"/>
        <v>125573638.58</v>
      </c>
      <c r="V97" s="292" t="e">
        <f t="shared" si="592"/>
        <v>#VALUE!</v>
      </c>
      <c r="W97" s="292" t="e">
        <f t="shared" si="592"/>
        <v>#VALUE!</v>
      </c>
      <c r="X97" s="292">
        <f t="shared" si="592"/>
        <v>77875537.930000007</v>
      </c>
      <c r="Y97" s="292" t="e">
        <f t="shared" si="592"/>
        <v>#VALUE!</v>
      </c>
      <c r="Z97" s="292" t="e">
        <f t="shared" si="592"/>
        <v>#VALUE!</v>
      </c>
      <c r="AA97" s="292">
        <f t="shared" si="592"/>
        <v>40158448.869999997</v>
      </c>
      <c r="AB97" s="292">
        <f t="shared" si="592"/>
        <v>112796351.8699999</v>
      </c>
      <c r="AC97" s="292" t="e">
        <f t="shared" si="592"/>
        <v>#VALUE!</v>
      </c>
      <c r="AD97" s="292" t="e">
        <f t="shared" si="592"/>
        <v>#VALUE!</v>
      </c>
      <c r="AE97" s="292" t="e">
        <f t="shared" si="592"/>
        <v>#VALUE!</v>
      </c>
      <c r="AF97" s="292">
        <f t="shared" si="592"/>
        <v>384835560.49999994</v>
      </c>
      <c r="AG97" s="292" t="e">
        <f t="shared" si="592"/>
        <v>#VALUE!</v>
      </c>
      <c r="AH97" s="292">
        <f t="shared" si="592"/>
        <v>203787411.95999992</v>
      </c>
      <c r="AI97" s="292">
        <f t="shared" si="592"/>
        <v>508942242.71000004</v>
      </c>
      <c r="AJ97" s="292">
        <f t="shared" si="592"/>
        <v>124106682.21000001</v>
      </c>
      <c r="AK97" s="292">
        <f t="shared" si="592"/>
        <v>111.99699349609695</v>
      </c>
      <c r="AL97" s="292">
        <f t="shared" si="592"/>
        <v>91178857.540000007</v>
      </c>
      <c r="AM97" s="292" t="e">
        <f t="shared" si="592"/>
        <v>#VALUE!</v>
      </c>
      <c r="AN97" s="292">
        <f t="shared" si="592"/>
        <v>56752664.770000026</v>
      </c>
      <c r="AO97" s="292">
        <f t="shared" si="592"/>
        <v>118227978.10000002</v>
      </c>
      <c r="AP97" s="292">
        <f t="shared" si="592"/>
        <v>78264695.549999967</v>
      </c>
      <c r="AQ97" s="292" t="e">
        <f t="shared" si="592"/>
        <v>#VALUE!</v>
      </c>
      <c r="AR97" s="292">
        <f t="shared" si="592"/>
        <v>50950774.579999998</v>
      </c>
      <c r="AS97" s="292">
        <f t="shared" si="592"/>
        <v>116112626.62000003</v>
      </c>
      <c r="AT97" s="292">
        <f t="shared" si="592"/>
        <v>63050692.25</v>
      </c>
      <c r="AU97" s="292" t="e">
        <f t="shared" si="592"/>
        <v>#VALUE!</v>
      </c>
      <c r="AV97" s="292">
        <f t="shared" si="592"/>
        <v>54502094.180000007</v>
      </c>
      <c r="AW97" s="292">
        <f t="shared" si="592"/>
        <v>103399979.44999997</v>
      </c>
      <c r="AX97" s="292" t="e">
        <f t="shared" si="592"/>
        <v>#VALUE!</v>
      </c>
      <c r="AY97" s="292" t="e">
        <f t="shared" si="592"/>
        <v>#VALUE!</v>
      </c>
      <c r="AZ97" s="292" t="e">
        <f t="shared" si="592"/>
        <v>#VALUE!</v>
      </c>
      <c r="BA97" s="292" t="e">
        <f t="shared" si="592"/>
        <v>#VALUE!</v>
      </c>
      <c r="BB97" s="292" t="e">
        <f t="shared" si="592"/>
        <v>#VALUE!</v>
      </c>
      <c r="BC97" s="292" t="e">
        <f t="shared" si="592"/>
        <v>#VALUE!</v>
      </c>
      <c r="BD97" s="292">
        <f t="shared" si="592"/>
        <v>94720916.220000073</v>
      </c>
      <c r="BE97" s="292" t="e">
        <f t="shared" si="592"/>
        <v>#VALUE!</v>
      </c>
      <c r="BF97" s="292">
        <f t="shared" si="592"/>
        <v>69175677.599999979</v>
      </c>
      <c r="BG97" s="292">
        <f t="shared" si="592"/>
        <v>119630346.40999998</v>
      </c>
      <c r="BH97" s="292">
        <f t="shared" si="592"/>
        <v>105220360.07999995</v>
      </c>
      <c r="BI97" s="292" t="e">
        <f t="shared" si="592"/>
        <v>#VALUE!</v>
      </c>
      <c r="BJ97" s="292">
        <f t="shared" si="592"/>
        <v>69702649.12999998</v>
      </c>
      <c r="BK97" s="292">
        <f t="shared" si="592"/>
        <v>136245119.86000004</v>
      </c>
      <c r="BL97" s="292">
        <f t="shared" si="592"/>
        <v>83811024.720000044</v>
      </c>
      <c r="BM97" s="292" t="e">
        <f t="shared" si="592"/>
        <v>#VALUE!</v>
      </c>
      <c r="BN97" s="292">
        <f t="shared" si="592"/>
        <v>58291973.390000001</v>
      </c>
      <c r="BO97" s="292">
        <f t="shared" si="592"/>
        <v>133910905.50000006</v>
      </c>
      <c r="BP97" s="292" t="e">
        <f t="shared" si="592"/>
        <v>#VALUE!</v>
      </c>
      <c r="BQ97" s="292">
        <f t="shared" si="592"/>
        <v>197170300.12000003</v>
      </c>
      <c r="BR97" s="292">
        <f t="shared" si="592"/>
        <v>389786371.76999998</v>
      </c>
      <c r="BS97" s="292">
        <f t="shared" si="592"/>
        <v>136533179.97999999</v>
      </c>
      <c r="BT97" s="292" t="e">
        <f t="shared" si="592"/>
        <v>#VALUE!</v>
      </c>
      <c r="BU97" s="292">
        <f t="shared" si="592"/>
        <v>48500118.709999993</v>
      </c>
      <c r="BV97" s="292">
        <f t="shared" si="592"/>
        <v>157340238.66999996</v>
      </c>
      <c r="BW97" s="483">
        <f t="shared" ref="BW97:BX97" si="593">SUM(BW2:BW96,BW104)</f>
        <v>110498723.54000001</v>
      </c>
      <c r="BX97" s="483">
        <f t="shared" si="593"/>
        <v>115947872.35000004</v>
      </c>
      <c r="BY97" s="616"/>
      <c r="BZ97" s="617"/>
      <c r="CA97" s="188"/>
      <c r="CB97" s="188"/>
      <c r="CC97" s="188"/>
      <c r="CD97" s="188"/>
      <c r="CE97" s="188"/>
      <c r="CF97" s="572"/>
      <c r="CG97" s="572"/>
      <c r="CH97" s="188"/>
      <c r="CI97" s="188"/>
      <c r="CJ97" s="188"/>
      <c r="CK97" s="188"/>
      <c r="CL97" s="188"/>
      <c r="CM97" s="188"/>
      <c r="CN97" s="188"/>
      <c r="CO97" s="188"/>
      <c r="CP97" s="188"/>
      <c r="CQ97" s="188"/>
      <c r="CR97" s="572"/>
      <c r="CS97" s="188"/>
      <c r="CT97" s="188"/>
      <c r="CU97" s="188"/>
      <c r="CV97" s="188"/>
      <c r="CW97" s="188"/>
      <c r="CX97" s="188"/>
      <c r="CY97" s="188"/>
      <c r="CZ97" s="188"/>
      <c r="DA97" s="188"/>
      <c r="DB97" s="188"/>
      <c r="DC97" s="188"/>
      <c r="DD97" s="188"/>
      <c r="DE97" s="188"/>
      <c r="DF97" s="188"/>
      <c r="DG97" s="188"/>
      <c r="DH97" s="188"/>
    </row>
    <row r="98" spans="1:112" ht="13">
      <c r="A98" s="294"/>
      <c r="B98" s="294"/>
      <c r="F98" s="302"/>
      <c r="I98" s="553"/>
      <c r="P98" s="295"/>
      <c r="W98" s="295"/>
      <c r="AD98" s="295"/>
      <c r="AK98" s="295"/>
      <c r="BM98" s="296"/>
      <c r="BN98" s="296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7"/>
      <c r="BZ98" s="553"/>
      <c r="CF98" s="294"/>
      <c r="CG98" s="294"/>
      <c r="CR98" s="294"/>
    </row>
    <row r="99" spans="1:112" ht="13">
      <c r="A99" s="294"/>
      <c r="B99" s="294"/>
      <c r="F99" s="302"/>
      <c r="I99" s="484" t="s">
        <v>354</v>
      </c>
      <c r="P99" s="295"/>
      <c r="W99" s="295"/>
      <c r="AD99" s="295"/>
      <c r="AK99" s="295"/>
      <c r="BY99" s="618"/>
      <c r="BZ99" s="553"/>
      <c r="CF99" s="294"/>
      <c r="CG99" s="294"/>
      <c r="CR99" s="294"/>
    </row>
    <row r="100" spans="1:112" ht="13">
      <c r="A100" s="294"/>
      <c r="B100" s="294"/>
      <c r="F100" s="302"/>
      <c r="I100" s="619" t="s">
        <v>355</v>
      </c>
      <c r="P100" s="295"/>
      <c r="W100" s="295"/>
      <c r="AD100" s="295"/>
      <c r="AK100" s="295"/>
      <c r="BY100" s="618"/>
      <c r="BZ100" s="553"/>
      <c r="CF100" s="294"/>
      <c r="CG100" s="294"/>
      <c r="CR100" s="294"/>
    </row>
    <row r="101" spans="1:112" ht="13">
      <c r="A101" s="294"/>
      <c r="B101" s="294"/>
      <c r="F101" s="302"/>
      <c r="I101" s="553"/>
      <c r="P101" s="295"/>
      <c r="W101" s="295"/>
      <c r="AD101" s="295"/>
      <c r="AK101" s="295"/>
      <c r="BY101" s="618"/>
      <c r="BZ101" s="553"/>
      <c r="CF101" s="294"/>
      <c r="CG101" s="294"/>
      <c r="CR101" s="294"/>
    </row>
    <row r="102" spans="1:112" ht="13">
      <c r="A102" s="294"/>
      <c r="B102" s="294"/>
      <c r="F102" s="302"/>
      <c r="I102" s="553"/>
      <c r="P102" s="295"/>
      <c r="W102" s="295"/>
      <c r="AD102" s="295"/>
      <c r="AK102" s="295"/>
      <c r="BY102" s="618"/>
      <c r="BZ102" s="553"/>
      <c r="CF102" s="294"/>
      <c r="CG102" s="294"/>
      <c r="CR102" s="294"/>
    </row>
    <row r="103" spans="1:112" ht="13">
      <c r="A103" s="294"/>
      <c r="B103" s="294"/>
      <c r="F103" s="302"/>
      <c r="I103" s="620" t="s">
        <v>486</v>
      </c>
      <c r="P103" s="295"/>
      <c r="W103" s="295"/>
      <c r="AD103" s="295"/>
      <c r="AK103" s="295"/>
      <c r="BY103" s="618"/>
      <c r="BZ103" s="553"/>
      <c r="CF103" s="294"/>
      <c r="CG103" s="294"/>
      <c r="CR103" s="294"/>
    </row>
    <row r="104" spans="1:112" ht="13">
      <c r="A104" s="621" t="s">
        <v>361</v>
      </c>
      <c r="B104" s="622">
        <f t="shared" ref="B104:B111" si="594">VLOOKUP(I104,RETAMCART2,2,FALSE)</f>
        <v>1</v>
      </c>
      <c r="C104" s="310" t="str">
        <f t="shared" ref="C104:C111" si="595">IFERROR(VLOOKUP(B104,DES,2,FALSE),"")</f>
        <v>Lista</v>
      </c>
      <c r="D104" s="310">
        <f t="shared" ref="D104:D111" si="596">IFERROR(VLOOKUP(B104,DES,3,FALSE),"")</f>
        <v>0.09</v>
      </c>
      <c r="E104" s="623">
        <f t="shared" ref="E104:E111" si="597">IFERROR(VLOOKUP(B104,DES,4,FALSE),"")</f>
        <v>0</v>
      </c>
      <c r="F104" s="624" t="e">
        <f t="shared" ref="F104:F111" si="598">VLOOKUP(I104,cart.ret.3,2,FALSE)</f>
        <v>#N/A</v>
      </c>
      <c r="G104" s="310"/>
      <c r="H104" s="623"/>
      <c r="I104" s="625" t="s">
        <v>487</v>
      </c>
      <c r="J104" s="626">
        <f t="shared" ref="J104:J111" si="599">IFERROR(VLOOKUP(I104,RETAMAR24,3,FALSE),"")</f>
        <v>0</v>
      </c>
      <c r="K104" s="627">
        <f t="shared" ref="K104:K108" si="600">(J104*1.601)*1.05</f>
        <v>0</v>
      </c>
      <c r="L104" s="319">
        <f t="shared" ref="L104:L111" si="601">N104-M104</f>
        <v>0</v>
      </c>
      <c r="M104" s="312">
        <f t="shared" ref="M104:M111" si="602">IFERROR(VLOOKUP(I104,RETAALIM,3,FALSE),"")</f>
        <v>193010.15</v>
      </c>
      <c r="N104" s="320">
        <f t="shared" ref="N104:N111" si="603">IFERROR(VLOOKUP(I104,RETFC,3,FALSE),"")</f>
        <v>193010.15</v>
      </c>
      <c r="O104" s="321">
        <f t="shared" ref="O104:O111" si="604">N104-K104</f>
        <v>193010.15</v>
      </c>
      <c r="P104" s="628" t="str">
        <f t="shared" ref="P104:P111" si="605">IFERROR(N104/K104,"")</f>
        <v/>
      </c>
      <c r="Q104" s="629">
        <f t="shared" ref="Q104:Q111" si="606">IFERROR(VLOOKUP(I104,RETAMAR24,4,FALSE),"")</f>
        <v>144062.20000000001</v>
      </c>
      <c r="R104" s="627">
        <f t="shared" ref="R104:R105" si="607">(Q104*1.7245)*1.05</f>
        <v>260857.02709500003</v>
      </c>
      <c r="S104" s="319">
        <f t="shared" ref="S104:S111" si="608">U104-T104</f>
        <v>0</v>
      </c>
      <c r="T104" s="312">
        <f t="shared" ref="T104:T111" si="609">IFERROR(VLOOKUP(I104,RETAALIM,4,FALSE),"")</f>
        <v>70204.61</v>
      </c>
      <c r="U104" s="320">
        <f t="shared" ref="U104:U111" si="610">IFERROR(VLOOKUP(I104,RETFC,4,FALSE),"")</f>
        <v>70204.61</v>
      </c>
      <c r="V104" s="321">
        <f t="shared" ref="V104:V111" si="611">U104-R104</f>
        <v>-190652.41709500004</v>
      </c>
      <c r="W104" s="628">
        <f t="shared" ref="W104:W105" si="612">IFERROR(U104/R104,"")</f>
        <v>0.26913060683786977</v>
      </c>
      <c r="X104" s="321">
        <f t="shared" ref="X104:X111" si="613">IFERROR(VLOOKUP(I104,RETAMAR24,5,FALSE),"")</f>
        <v>145861.29</v>
      </c>
      <c r="Y104" s="312">
        <f t="shared" ref="Y104:Y105" si="614">(X104*1.5955)*1.05</f>
        <v>244357.77260475</v>
      </c>
      <c r="Z104" s="312">
        <f t="shared" ref="Z104:Z111" si="615">AB104-AA104</f>
        <v>0</v>
      </c>
      <c r="AA104" s="630">
        <f t="shared" ref="AA104:AA111" si="616">IFERROR(VLOOKUP(I104,RETAALIM,5,FALSE),"")</f>
        <v>42377.279999999999</v>
      </c>
      <c r="AB104" s="630">
        <f t="shared" ref="AB104:AB111" si="617">IFERROR(VLOOKUP(I104,RETFC,5,FALSE),"")</f>
        <v>42377.279999999999</v>
      </c>
      <c r="AC104" s="312">
        <f t="shared" ref="AC104:AC111" si="618">AB104-Y104</f>
        <v>-201980.49260475</v>
      </c>
      <c r="AD104" s="487">
        <f t="shared" ref="AD104:AD105" si="619">IFERROR(AB104/Y104,"")</f>
        <v>0.17342309003833276</v>
      </c>
      <c r="AE104" s="631">
        <f t="shared" ref="AE104:AE111" si="620">SUM(K104,R104,Y104)</f>
        <v>505214.79969975003</v>
      </c>
      <c r="AF104" s="632">
        <f t="shared" ref="AF104:AF111" si="621">IFERROR(VLOOKUP(I104,trim2024,2,FALSE),"0")</f>
        <v>249754.04</v>
      </c>
      <c r="AG104" s="490">
        <f t="shared" ref="AG104:AI104" si="622">SUM(Z104,S104,S104,L104)</f>
        <v>0</v>
      </c>
      <c r="AH104" s="490">
        <f t="shared" si="622"/>
        <v>375796.65</v>
      </c>
      <c r="AI104" s="490">
        <f t="shared" si="622"/>
        <v>375796.65</v>
      </c>
      <c r="AJ104" s="490">
        <f t="shared" ref="AJ104:AJ111" si="623">AI104-AF104</f>
        <v>126042.61000000002</v>
      </c>
      <c r="AK104" s="633">
        <f t="shared" ref="AK104:AK111" si="624">IFERROR(AI104/AF104,"")</f>
        <v>1.5046669515335969</v>
      </c>
      <c r="AL104" s="626">
        <f t="shared" ref="AL104:AL111" si="625">IFERROR(VLOOKUP(I104,RETAMAR24,6,FALSE),"")</f>
        <v>69624.100000000006</v>
      </c>
      <c r="AM104" s="319">
        <f t="shared" ref="AM104:AM111" si="626">AO104-AN104</f>
        <v>0</v>
      </c>
      <c r="AN104" s="321">
        <f t="shared" ref="AN104:AN111" si="627">IFERROR(VLOOKUP(I104,RETAALIM,6,FALSE),"")</f>
        <v>194598.31</v>
      </c>
      <c r="AO104" s="322">
        <f t="shared" ref="AO104:AO111" si="628">IFERROR(VLOOKUP(I104,RETFC,6,FALSE),"")</f>
        <v>194598.31</v>
      </c>
      <c r="AP104" s="626">
        <f t="shared" ref="AP104:AP111" si="629">IFERROR(VLOOKUP(I104,RETAMAR24,7,FALSE),"")</f>
        <v>52324.12</v>
      </c>
      <c r="AQ104" s="319">
        <f t="shared" ref="AQ104:AQ111" si="630">AS104-AR104</f>
        <v>0</v>
      </c>
      <c r="AR104" s="312">
        <f t="shared" ref="AR104:AR111" si="631">IFERROR(VLOOKUP(I104,RETAALIM,7,FALSE),"")</f>
        <v>255229.83</v>
      </c>
      <c r="AS104" s="320">
        <f t="shared" ref="AS104:AS111" si="632">IFERROR(VLOOKUP(I104,RETFC,7,FALSE),"")</f>
        <v>255229.83</v>
      </c>
      <c r="AT104" s="629">
        <f t="shared" ref="AT104:AT111" si="633">IFERROR(VLOOKUP(I104,RETAMAR24,8,FALSE),"")</f>
        <v>122469.77</v>
      </c>
      <c r="AU104" s="319">
        <f t="shared" ref="AU104:AU111" si="634">AW104-AV104</f>
        <v>0</v>
      </c>
      <c r="AV104" s="321">
        <f t="shared" ref="AV104:AV111" si="635">IFERROR(VLOOKUP(I104,RETAALIM,8,FALSE),"")</f>
        <v>192100</v>
      </c>
      <c r="AW104" s="629">
        <f t="shared" ref="AW104:AW111" si="636">IFERROR(VLOOKUP(I104,RETFC,8,FALSE),"")</f>
        <v>192100</v>
      </c>
      <c r="AX104" s="634">
        <f t="shared" ref="AX104:AZ104" si="637">AU104+AQ104+AM104</f>
        <v>0</v>
      </c>
      <c r="AY104" s="312">
        <f t="shared" si="637"/>
        <v>641928.1399999999</v>
      </c>
      <c r="AZ104" s="318">
        <f t="shared" si="637"/>
        <v>641928.1399999999</v>
      </c>
      <c r="BA104" s="319">
        <f t="shared" ref="BA104:BC104" si="638">AX104+AG104</f>
        <v>0</v>
      </c>
      <c r="BB104" s="312">
        <f t="shared" si="638"/>
        <v>1017724.7899999999</v>
      </c>
      <c r="BC104" s="635">
        <f t="shared" si="638"/>
        <v>1017724.7899999999</v>
      </c>
      <c r="BD104" s="321">
        <f t="shared" ref="BD104:BD111" si="639">IFERROR(VLOOKUP(I104,RETAMAR24,9,FALSE),"")</f>
        <v>72544.759999999995</v>
      </c>
      <c r="BE104" s="321">
        <f t="shared" ref="BE104:BE111" si="640">BG104-BF104</f>
        <v>0</v>
      </c>
      <c r="BF104" s="321">
        <f t="shared" ref="BF104:BF111" si="641">IFERROR(VLOOKUP(I104,RETAALIM,9,FALSE),"")</f>
        <v>120206.57</v>
      </c>
      <c r="BG104" s="322">
        <f t="shared" ref="BG104:BG111" si="642">IFERROR(VLOOKUP(I104,RETFC,9,FALSE),"")</f>
        <v>120206.57</v>
      </c>
      <c r="BH104" s="321">
        <f t="shared" ref="BH104:BH111" si="643">IFERROR(VLOOKUP(I104,RETAMAR24,10,FALSE),"")</f>
        <v>207959.72</v>
      </c>
      <c r="BI104" s="627">
        <f t="shared" ref="BI104:BI111" si="644">BK104-BJ104</f>
        <v>0</v>
      </c>
      <c r="BJ104" s="318">
        <f t="shared" ref="BJ104:BJ111" si="645">IFERROR(VLOOKUP(I104,RETAALIM,10,FALSE),"")</f>
        <v>56116.160000000003</v>
      </c>
      <c r="BK104" s="320">
        <f t="shared" ref="BK104:BK111" si="646">IFERROR(VLOOKUP(I104,RETFC,10,FALSE),"")</f>
        <v>56116.160000000003</v>
      </c>
      <c r="BL104" s="312">
        <f t="shared" ref="BL104:BL111" si="647">IFERROR(VLOOKUP(I104,RETAMAR24,11,FALSE),"")</f>
        <v>0</v>
      </c>
      <c r="BM104" s="312">
        <f t="shared" ref="BM104:BM111" si="648">BO104-BN104</f>
        <v>0</v>
      </c>
      <c r="BN104" s="312">
        <f t="shared" ref="BN104:BN111" si="649">IFERROR(VLOOKUP(I104,RETAALIM,11,FALSE),"")</f>
        <v>76616.86</v>
      </c>
      <c r="BO104" s="318">
        <f t="shared" ref="BO104:BO111" si="650">IFERROR(VLOOKUP(I104,RETFC,11,FALSE),"")</f>
        <v>76616.86</v>
      </c>
      <c r="BP104" s="319">
        <f t="shared" ref="BP104:BR104" si="651">SUM(BM104,BI104,BE104)</f>
        <v>0</v>
      </c>
      <c r="BQ104" s="312">
        <f t="shared" si="651"/>
        <v>252939.59000000003</v>
      </c>
      <c r="BR104" s="320">
        <f t="shared" si="651"/>
        <v>252939.59000000003</v>
      </c>
      <c r="BS104" s="321">
        <f t="shared" ref="BS104:BS111" si="652">IFERROR(VLOOKUP(I104,RETAMAR24,12,FALSE),"")</f>
        <v>0</v>
      </c>
      <c r="BT104" s="321"/>
      <c r="BU104" s="321"/>
      <c r="BV104" s="322"/>
      <c r="BW104" s="123">
        <f t="shared" ref="BW104:BW111" si="653">IFERROR(VLOOKUP(I104,RETAMAR24,13,FALSE),"")</f>
        <v>0</v>
      </c>
      <c r="BX104" s="326">
        <f t="shared" ref="BX104:BX111" si="654">IFERROR(VLOOKUP(I104,RETAMAR24,14,FALSE),"")</f>
        <v>249754.04</v>
      </c>
      <c r="BY104" s="297"/>
      <c r="BZ104" s="553"/>
      <c r="CF104" s="294"/>
      <c r="CG104" s="294"/>
      <c r="CR104" s="294"/>
    </row>
    <row r="105" spans="1:112" ht="13">
      <c r="A105" s="636" t="s">
        <v>234</v>
      </c>
      <c r="B105" s="637">
        <f t="shared" si="594"/>
        <v>1</v>
      </c>
      <c r="C105" s="137" t="str">
        <f t="shared" si="595"/>
        <v>Lista</v>
      </c>
      <c r="D105" s="137">
        <f t="shared" si="596"/>
        <v>0.09</v>
      </c>
      <c r="E105" s="638">
        <f t="shared" si="597"/>
        <v>0</v>
      </c>
      <c r="F105" s="414">
        <f t="shared" si="598"/>
        <v>71</v>
      </c>
      <c r="G105" s="94" t="str">
        <f t="shared" ref="G105:G111" si="655">IFERROR(VLOOKUP(F105,A458DC1025,2,FALSE),"")</f>
        <v>Lista</v>
      </c>
      <c r="H105" s="415">
        <f t="shared" ref="H105:H111" si="656">IFERROR(VLOOKUP(F105,A458DC1025,3,FALSE),"")</f>
        <v>0.05</v>
      </c>
      <c r="I105" s="639" t="s">
        <v>488</v>
      </c>
      <c r="J105" s="434">
        <f t="shared" si="599"/>
        <v>0</v>
      </c>
      <c r="K105" s="141">
        <f t="shared" si="600"/>
        <v>0</v>
      </c>
      <c r="L105" s="140" t="e">
        <f t="shared" si="601"/>
        <v>#VALUE!</v>
      </c>
      <c r="M105" s="116" t="str">
        <f t="shared" si="602"/>
        <v/>
      </c>
      <c r="N105" s="333">
        <f t="shared" si="603"/>
        <v>34105.68</v>
      </c>
      <c r="O105" s="123">
        <f t="shared" si="604"/>
        <v>34105.68</v>
      </c>
      <c r="P105" s="98" t="str">
        <f t="shared" si="605"/>
        <v/>
      </c>
      <c r="Q105" s="125">
        <f t="shared" si="606"/>
        <v>87667.8</v>
      </c>
      <c r="R105" s="141">
        <f t="shared" si="607"/>
        <v>158742.27715499999</v>
      </c>
      <c r="S105" s="140" t="e">
        <f t="shared" si="608"/>
        <v>#VALUE!</v>
      </c>
      <c r="T105" s="326" t="str">
        <f t="shared" si="609"/>
        <v/>
      </c>
      <c r="U105" s="333">
        <f t="shared" si="610"/>
        <v>0</v>
      </c>
      <c r="V105" s="123">
        <f t="shared" si="611"/>
        <v>-158742.27715499999</v>
      </c>
      <c r="W105" s="98">
        <f t="shared" si="612"/>
        <v>0</v>
      </c>
      <c r="X105" s="123">
        <f t="shared" si="613"/>
        <v>0</v>
      </c>
      <c r="Y105" s="326">
        <f t="shared" si="614"/>
        <v>0</v>
      </c>
      <c r="Z105" s="116" t="e">
        <f t="shared" si="615"/>
        <v>#VALUE!</v>
      </c>
      <c r="AA105" s="561" t="str">
        <f t="shared" si="616"/>
        <v/>
      </c>
      <c r="AB105" s="561">
        <f t="shared" si="617"/>
        <v>0</v>
      </c>
      <c r="AC105" s="116">
        <f t="shared" si="618"/>
        <v>0</v>
      </c>
      <c r="AD105" s="97" t="str">
        <f t="shared" si="619"/>
        <v/>
      </c>
      <c r="AE105" s="433">
        <f t="shared" si="620"/>
        <v>158742.27715499999</v>
      </c>
      <c r="AF105" s="550">
        <f t="shared" si="621"/>
        <v>113278</v>
      </c>
      <c r="AG105" s="496" t="e">
        <f t="shared" ref="AG105:AI105" si="657">SUM(Z105,S105,S105,L105)</f>
        <v>#VALUE!</v>
      </c>
      <c r="AH105" s="496">
        <f t="shared" si="657"/>
        <v>0</v>
      </c>
      <c r="AI105" s="496">
        <f t="shared" si="657"/>
        <v>34105.68</v>
      </c>
      <c r="AJ105" s="551">
        <f t="shared" si="623"/>
        <v>-79172.320000000007</v>
      </c>
      <c r="AK105" s="552">
        <f t="shared" si="624"/>
        <v>0.30107946821095005</v>
      </c>
      <c r="AL105" s="434">
        <f t="shared" si="625"/>
        <v>154428.78</v>
      </c>
      <c r="AM105" s="140" t="e">
        <f t="shared" si="626"/>
        <v>#VALUE!</v>
      </c>
      <c r="AN105" s="123" t="str">
        <f t="shared" si="627"/>
        <v/>
      </c>
      <c r="AO105" s="148">
        <f t="shared" si="628"/>
        <v>0</v>
      </c>
      <c r="AP105" s="434">
        <f t="shared" si="629"/>
        <v>0</v>
      </c>
      <c r="AQ105" s="140" t="e">
        <f t="shared" si="630"/>
        <v>#VALUE!</v>
      </c>
      <c r="AR105" s="326" t="str">
        <f t="shared" si="631"/>
        <v/>
      </c>
      <c r="AS105" s="333">
        <f t="shared" si="632"/>
        <v>0</v>
      </c>
      <c r="AT105" s="125">
        <f t="shared" si="633"/>
        <v>0</v>
      </c>
      <c r="AU105" s="140" t="e">
        <f t="shared" si="634"/>
        <v>#VALUE!</v>
      </c>
      <c r="AV105" s="123" t="str">
        <f t="shared" si="635"/>
        <v/>
      </c>
      <c r="AW105" s="125">
        <f t="shared" si="636"/>
        <v>0</v>
      </c>
      <c r="AX105" s="122" t="e">
        <f t="shared" ref="AX105:AZ105" si="658">AU105+AQ105+AM105</f>
        <v>#VALUE!</v>
      </c>
      <c r="AY105" s="326" t="e">
        <f t="shared" si="658"/>
        <v>#VALUE!</v>
      </c>
      <c r="AZ105" s="332">
        <f t="shared" si="658"/>
        <v>0</v>
      </c>
      <c r="BA105" s="140" t="e">
        <f t="shared" ref="BA105:BC105" si="659">AX105+AG105</f>
        <v>#VALUE!</v>
      </c>
      <c r="BB105" s="326" t="e">
        <f t="shared" si="659"/>
        <v>#VALUE!</v>
      </c>
      <c r="BC105" s="435">
        <f t="shared" si="659"/>
        <v>34105.68</v>
      </c>
      <c r="BD105" s="123">
        <f t="shared" si="639"/>
        <v>0</v>
      </c>
      <c r="BE105" s="123" t="e">
        <f t="shared" si="640"/>
        <v>#VALUE!</v>
      </c>
      <c r="BF105" s="123" t="str">
        <f t="shared" si="641"/>
        <v/>
      </c>
      <c r="BG105" s="148">
        <f t="shared" si="642"/>
        <v>0</v>
      </c>
      <c r="BH105" s="123">
        <f t="shared" si="643"/>
        <v>0</v>
      </c>
      <c r="BI105" s="141" t="e">
        <f t="shared" si="644"/>
        <v>#VALUE!</v>
      </c>
      <c r="BJ105" s="332" t="str">
        <f t="shared" si="645"/>
        <v/>
      </c>
      <c r="BK105" s="333">
        <f t="shared" si="646"/>
        <v>64692.56</v>
      </c>
      <c r="BL105" s="326">
        <f t="shared" si="647"/>
        <v>0</v>
      </c>
      <c r="BM105" s="326" t="e">
        <f t="shared" si="648"/>
        <v>#VALUE!</v>
      </c>
      <c r="BN105" s="326" t="str">
        <f t="shared" si="649"/>
        <v/>
      </c>
      <c r="BO105" s="332">
        <f t="shared" si="650"/>
        <v>0</v>
      </c>
      <c r="BP105" s="140" t="e">
        <f t="shared" ref="BP105:BR105" si="660">SUM(BM105,BI105,BE105)</f>
        <v>#VALUE!</v>
      </c>
      <c r="BQ105" s="326">
        <f t="shared" si="660"/>
        <v>0</v>
      </c>
      <c r="BR105" s="333">
        <f t="shared" si="660"/>
        <v>64692.56</v>
      </c>
      <c r="BS105" s="125">
        <f t="shared" si="652"/>
        <v>113278</v>
      </c>
      <c r="BT105" s="140" t="e">
        <f t="shared" ref="BT105:BT111" si="661">BV105-BU105</f>
        <v>#VALUE!</v>
      </c>
      <c r="BU105" s="123" t="str">
        <f t="shared" ref="BU105:BU111" si="662">IFERROR(VLOOKUP(I105,RETAALIM,12,FALSE),"")</f>
        <v/>
      </c>
      <c r="BV105" s="148">
        <f t="shared" ref="BV105:BV111" si="663">IFERROR(VLOOKUP(I105,RETFC,12,FALSE),"")</f>
        <v>-64692.56</v>
      </c>
      <c r="BW105" s="123">
        <f t="shared" si="653"/>
        <v>0</v>
      </c>
      <c r="BX105" s="326">
        <f t="shared" si="654"/>
        <v>0</v>
      </c>
      <c r="BY105" s="297"/>
      <c r="BZ105" s="553"/>
      <c r="CF105" s="294"/>
      <c r="CG105" s="294"/>
      <c r="CR105" s="294"/>
    </row>
    <row r="106" spans="1:112" ht="13">
      <c r="A106" s="636" t="s">
        <v>237</v>
      </c>
      <c r="B106" s="637">
        <f t="shared" si="594"/>
        <v>7</v>
      </c>
      <c r="C106" s="137">
        <f t="shared" si="595"/>
        <v>0.1</v>
      </c>
      <c r="D106" s="137">
        <f t="shared" si="596"/>
        <v>0.2</v>
      </c>
      <c r="E106" s="638">
        <f t="shared" si="597"/>
        <v>0</v>
      </c>
      <c r="F106" s="414">
        <f t="shared" si="598"/>
        <v>62</v>
      </c>
      <c r="G106" s="94">
        <f t="shared" si="655"/>
        <v>0.1</v>
      </c>
      <c r="H106" s="415">
        <f t="shared" si="656"/>
        <v>0.11</v>
      </c>
      <c r="I106" s="640" t="s">
        <v>489</v>
      </c>
      <c r="J106" s="434">
        <f t="shared" si="599"/>
        <v>1862528.19</v>
      </c>
      <c r="K106" s="141">
        <f t="shared" si="600"/>
        <v>3131003.0137994997</v>
      </c>
      <c r="L106" s="140">
        <f t="shared" si="601"/>
        <v>1176799.04</v>
      </c>
      <c r="M106" s="116">
        <f t="shared" si="602"/>
        <v>0</v>
      </c>
      <c r="N106" s="333">
        <f t="shared" si="603"/>
        <v>1176799.04</v>
      </c>
      <c r="O106" s="123">
        <f t="shared" si="604"/>
        <v>-1954203.9737994997</v>
      </c>
      <c r="P106" s="98">
        <f t="shared" si="605"/>
        <v>0.3758536912335782</v>
      </c>
      <c r="Q106" s="125">
        <f t="shared" si="606"/>
        <v>627628.32999999996</v>
      </c>
      <c r="R106" s="237">
        <v>1800000</v>
      </c>
      <c r="S106" s="140">
        <f t="shared" si="608"/>
        <v>0</v>
      </c>
      <c r="T106" s="326">
        <f t="shared" si="609"/>
        <v>0</v>
      </c>
      <c r="U106" s="333">
        <f t="shared" si="610"/>
        <v>0</v>
      </c>
      <c r="V106" s="123">
        <f t="shared" si="611"/>
        <v>-1800000</v>
      </c>
      <c r="W106" s="98">
        <f t="shared" ref="W106:W111" si="664">U106/R106</f>
        <v>0</v>
      </c>
      <c r="X106" s="123">
        <f t="shared" si="613"/>
        <v>535634.18999999994</v>
      </c>
      <c r="Y106" s="587">
        <v>1800000</v>
      </c>
      <c r="Z106" s="116">
        <f t="shared" si="615"/>
        <v>525890.11</v>
      </c>
      <c r="AA106" s="561">
        <f t="shared" si="616"/>
        <v>0</v>
      </c>
      <c r="AB106" s="561">
        <f t="shared" si="617"/>
        <v>525890.11</v>
      </c>
      <c r="AC106" s="116">
        <f t="shared" si="618"/>
        <v>-1274109.8900000001</v>
      </c>
      <c r="AD106" s="97">
        <f t="shared" ref="AD106:AD111" si="665">AB106/Y106</f>
        <v>0.29216117222222221</v>
      </c>
      <c r="AE106" s="433">
        <f t="shared" si="620"/>
        <v>6731003.0137994997</v>
      </c>
      <c r="AF106" s="550">
        <f t="shared" si="621"/>
        <v>1802935.88</v>
      </c>
      <c r="AG106" s="496">
        <f t="shared" ref="AG106:AI106" si="666">SUM(Z106,S106,S106,L106)</f>
        <v>1702689.15</v>
      </c>
      <c r="AH106" s="496">
        <f t="shared" si="666"/>
        <v>0</v>
      </c>
      <c r="AI106" s="496">
        <f t="shared" si="666"/>
        <v>1702689.15</v>
      </c>
      <c r="AJ106" s="551">
        <f t="shared" si="623"/>
        <v>-100246.72999999998</v>
      </c>
      <c r="AK106" s="552">
        <f t="shared" si="624"/>
        <v>0.94439806145518612</v>
      </c>
      <c r="AL106" s="434">
        <f t="shared" si="625"/>
        <v>874198.56</v>
      </c>
      <c r="AM106" s="140">
        <f t="shared" si="626"/>
        <v>437528.53</v>
      </c>
      <c r="AN106" s="123">
        <f t="shared" si="627"/>
        <v>0</v>
      </c>
      <c r="AO106" s="148">
        <f t="shared" si="628"/>
        <v>437528.53</v>
      </c>
      <c r="AP106" s="434">
        <f t="shared" si="629"/>
        <v>703046.27</v>
      </c>
      <c r="AQ106" s="140">
        <f t="shared" si="630"/>
        <v>482393.65</v>
      </c>
      <c r="AR106" s="326">
        <f t="shared" si="631"/>
        <v>0</v>
      </c>
      <c r="AS106" s="333">
        <f t="shared" si="632"/>
        <v>482393.65</v>
      </c>
      <c r="AT106" s="125">
        <f t="shared" si="633"/>
        <v>1082165.92</v>
      </c>
      <c r="AU106" s="140">
        <f t="shared" si="634"/>
        <v>345707.23000000004</v>
      </c>
      <c r="AV106" s="123">
        <f t="shared" si="635"/>
        <v>57118.6</v>
      </c>
      <c r="AW106" s="125">
        <f t="shared" si="636"/>
        <v>402825.83</v>
      </c>
      <c r="AX106" s="122">
        <f t="shared" ref="AX106:AZ106" si="667">AU106+AQ106+AM106</f>
        <v>1265629.4100000001</v>
      </c>
      <c r="AY106" s="326">
        <f t="shared" si="667"/>
        <v>57118.6</v>
      </c>
      <c r="AZ106" s="332">
        <f t="shared" si="667"/>
        <v>1322748.01</v>
      </c>
      <c r="BA106" s="140">
        <f t="shared" ref="BA106:BC106" si="668">AX106+AG106</f>
        <v>2968318.56</v>
      </c>
      <c r="BB106" s="326">
        <f t="shared" si="668"/>
        <v>57118.6</v>
      </c>
      <c r="BC106" s="435">
        <f t="shared" si="668"/>
        <v>3025437.16</v>
      </c>
      <c r="BD106" s="123">
        <f t="shared" si="639"/>
        <v>367907.64</v>
      </c>
      <c r="BE106" s="123">
        <f t="shared" si="640"/>
        <v>0</v>
      </c>
      <c r="BF106" s="123">
        <f t="shared" si="641"/>
        <v>0</v>
      </c>
      <c r="BG106" s="148">
        <f t="shared" si="642"/>
        <v>0</v>
      </c>
      <c r="BH106" s="123">
        <f t="shared" si="643"/>
        <v>871036.66</v>
      </c>
      <c r="BI106" s="141">
        <f t="shared" si="644"/>
        <v>292430.31</v>
      </c>
      <c r="BJ106" s="332">
        <f t="shared" si="645"/>
        <v>0</v>
      </c>
      <c r="BK106" s="333">
        <f t="shared" si="646"/>
        <v>292430.31</v>
      </c>
      <c r="BL106" s="326">
        <f t="shared" si="647"/>
        <v>496011.28</v>
      </c>
      <c r="BM106" s="326">
        <f t="shared" si="648"/>
        <v>1689096.45</v>
      </c>
      <c r="BN106" s="326">
        <f t="shared" si="649"/>
        <v>0</v>
      </c>
      <c r="BO106" s="332">
        <f t="shared" si="650"/>
        <v>1689096.45</v>
      </c>
      <c r="BP106" s="140">
        <f t="shared" ref="BP106:BR106" si="669">SUM(BM106,BI106,BE106)</f>
        <v>1981526.76</v>
      </c>
      <c r="BQ106" s="326">
        <f t="shared" si="669"/>
        <v>0</v>
      </c>
      <c r="BR106" s="333">
        <f t="shared" si="669"/>
        <v>1981526.76</v>
      </c>
      <c r="BS106" s="125">
        <f t="shared" si="652"/>
        <v>614921.84</v>
      </c>
      <c r="BT106" s="140">
        <f t="shared" si="661"/>
        <v>934231.48</v>
      </c>
      <c r="BU106" s="123">
        <f t="shared" si="662"/>
        <v>0</v>
      </c>
      <c r="BV106" s="148">
        <f t="shared" si="663"/>
        <v>934231.48</v>
      </c>
      <c r="BW106" s="123">
        <f t="shared" si="653"/>
        <v>854316.52</v>
      </c>
      <c r="BX106" s="326">
        <f t="shared" si="654"/>
        <v>333697.52</v>
      </c>
      <c r="BY106" s="297"/>
      <c r="BZ106" s="553"/>
      <c r="CF106" s="294"/>
      <c r="CG106" s="294"/>
      <c r="CR106" s="294"/>
    </row>
    <row r="107" spans="1:112" ht="13">
      <c r="A107" s="636" t="s">
        <v>237</v>
      </c>
      <c r="B107" s="641">
        <f t="shared" si="594"/>
        <v>31</v>
      </c>
      <c r="C107" s="137">
        <f t="shared" si="595"/>
        <v>0.1</v>
      </c>
      <c r="D107" s="137">
        <f t="shared" si="596"/>
        <v>0.23</v>
      </c>
      <c r="E107" s="98">
        <f t="shared" si="597"/>
        <v>0</v>
      </c>
      <c r="F107" s="414">
        <f t="shared" si="598"/>
        <v>61</v>
      </c>
      <c r="G107" s="94">
        <f t="shared" si="655"/>
        <v>0.1</v>
      </c>
      <c r="H107" s="415">
        <f t="shared" si="656"/>
        <v>0.14000000000000001</v>
      </c>
      <c r="I107" s="640" t="s">
        <v>490</v>
      </c>
      <c r="J107" s="434">
        <f t="shared" si="599"/>
        <v>4941689.29</v>
      </c>
      <c r="K107" s="141">
        <f t="shared" si="600"/>
        <v>8307226.7809545007</v>
      </c>
      <c r="L107" s="140">
        <f t="shared" si="601"/>
        <v>2172668.84</v>
      </c>
      <c r="M107" s="116">
        <f t="shared" si="602"/>
        <v>1431040.46</v>
      </c>
      <c r="N107" s="333">
        <f t="shared" si="603"/>
        <v>3603709.3</v>
      </c>
      <c r="O107" s="123">
        <f t="shared" si="604"/>
        <v>-4703517.4809545008</v>
      </c>
      <c r="P107" s="98">
        <f t="shared" si="605"/>
        <v>0.43380413163415932</v>
      </c>
      <c r="Q107" s="125">
        <f t="shared" si="606"/>
        <v>2407706.73</v>
      </c>
      <c r="R107" s="141">
        <f t="shared" ref="R107:R110" si="670">(Q107*1.7245)*1.05</f>
        <v>4359694.76867925</v>
      </c>
      <c r="S107" s="140">
        <f t="shared" si="608"/>
        <v>3594422.7</v>
      </c>
      <c r="T107" s="326">
        <f t="shared" si="609"/>
        <v>2144210.38</v>
      </c>
      <c r="U107" s="333">
        <f t="shared" si="610"/>
        <v>5738633.0800000001</v>
      </c>
      <c r="V107" s="123">
        <f t="shared" si="611"/>
        <v>1378938.31132075</v>
      </c>
      <c r="W107" s="98">
        <f t="shared" si="664"/>
        <v>1.3162923976300509</v>
      </c>
      <c r="X107" s="123">
        <f t="shared" si="613"/>
        <v>3422474.28</v>
      </c>
      <c r="Y107" s="326">
        <f t="shared" ref="Y107:Y108" si="671">(X107*1.5955)*1.05</f>
        <v>5733585.5994269997</v>
      </c>
      <c r="Z107" s="116">
        <f t="shared" si="615"/>
        <v>3398695.39</v>
      </c>
      <c r="AA107" s="561">
        <f t="shared" si="616"/>
        <v>612086.68999999994</v>
      </c>
      <c r="AB107" s="561">
        <f t="shared" si="617"/>
        <v>4010782.08</v>
      </c>
      <c r="AC107" s="116">
        <f t="shared" si="618"/>
        <v>-1722803.5194269996</v>
      </c>
      <c r="AD107" s="97">
        <f t="shared" si="665"/>
        <v>0.69952423495706206</v>
      </c>
      <c r="AE107" s="433">
        <f t="shared" si="620"/>
        <v>18400507.149060749</v>
      </c>
      <c r="AF107" s="550">
        <f t="shared" si="621"/>
        <v>12421722.609999999</v>
      </c>
      <c r="AG107" s="496">
        <f t="shared" ref="AG107:AI107" si="672">SUM(Z107,S107,S107,L107)</f>
        <v>12760209.629999999</v>
      </c>
      <c r="AH107" s="496">
        <f t="shared" si="672"/>
        <v>6331547.9099999992</v>
      </c>
      <c r="AI107" s="496">
        <f t="shared" si="672"/>
        <v>19091757.539999999</v>
      </c>
      <c r="AJ107" s="551">
        <f t="shared" si="623"/>
        <v>6670034.9299999997</v>
      </c>
      <c r="AK107" s="552">
        <f t="shared" si="624"/>
        <v>1.5369653742412785</v>
      </c>
      <c r="AL107" s="434">
        <f t="shared" si="625"/>
        <v>5939163.9900000002</v>
      </c>
      <c r="AM107" s="140">
        <f t="shared" si="626"/>
        <v>2797034.08</v>
      </c>
      <c r="AN107" s="123">
        <f t="shared" si="627"/>
        <v>1579568.53</v>
      </c>
      <c r="AO107" s="148">
        <f t="shared" si="628"/>
        <v>4376602.6100000003</v>
      </c>
      <c r="AP107" s="434">
        <f t="shared" si="629"/>
        <v>3602915.56</v>
      </c>
      <c r="AQ107" s="140">
        <f t="shared" si="630"/>
        <v>1796038.7099999997</v>
      </c>
      <c r="AR107" s="326">
        <f t="shared" si="631"/>
        <v>1305374.6100000001</v>
      </c>
      <c r="AS107" s="333">
        <f t="shared" si="632"/>
        <v>3101413.32</v>
      </c>
      <c r="AT107" s="125">
        <f t="shared" si="633"/>
        <v>4504507.5199999996</v>
      </c>
      <c r="AU107" s="140">
        <f t="shared" si="634"/>
        <v>4387830.97</v>
      </c>
      <c r="AV107" s="123">
        <f t="shared" si="635"/>
        <v>1044893.54</v>
      </c>
      <c r="AW107" s="125">
        <f t="shared" si="636"/>
        <v>5432724.5099999998</v>
      </c>
      <c r="AX107" s="122">
        <f t="shared" ref="AX107:AZ107" si="673">AU107+AQ107+AM107</f>
        <v>8980903.7599999998</v>
      </c>
      <c r="AY107" s="326">
        <f t="shared" si="673"/>
        <v>3929836.6800000006</v>
      </c>
      <c r="AZ107" s="332">
        <f t="shared" si="673"/>
        <v>12910740.440000001</v>
      </c>
      <c r="BA107" s="140">
        <f t="shared" ref="BA107:BC107" si="674">AX107+AG107</f>
        <v>21741113.390000001</v>
      </c>
      <c r="BB107" s="326">
        <f t="shared" si="674"/>
        <v>10261384.59</v>
      </c>
      <c r="BC107" s="435">
        <f t="shared" si="674"/>
        <v>32002497.98</v>
      </c>
      <c r="BD107" s="123">
        <f t="shared" si="639"/>
        <v>2525040.7799999998</v>
      </c>
      <c r="BE107" s="123">
        <f t="shared" si="640"/>
        <v>1700312.6600000001</v>
      </c>
      <c r="BF107" s="123">
        <f t="shared" si="641"/>
        <v>2420123.67</v>
      </c>
      <c r="BG107" s="148">
        <f t="shared" si="642"/>
        <v>4120436.33</v>
      </c>
      <c r="BH107" s="123">
        <f t="shared" si="643"/>
        <v>3356838.15</v>
      </c>
      <c r="BI107" s="141">
        <f t="shared" si="644"/>
        <v>1314204.1500000004</v>
      </c>
      <c r="BJ107" s="332">
        <f t="shared" si="645"/>
        <v>2138082.2799999998</v>
      </c>
      <c r="BK107" s="333">
        <f t="shared" si="646"/>
        <v>3452286.43</v>
      </c>
      <c r="BL107" s="326">
        <f t="shared" si="647"/>
        <v>5286191.72</v>
      </c>
      <c r="BM107" s="326">
        <f t="shared" si="648"/>
        <v>3622952.5899999994</v>
      </c>
      <c r="BN107" s="326">
        <f t="shared" si="649"/>
        <v>2261068.4300000002</v>
      </c>
      <c r="BO107" s="332">
        <f t="shared" si="650"/>
        <v>5884021.0199999996</v>
      </c>
      <c r="BP107" s="140">
        <f t="shared" ref="BP107:BR107" si="675">SUM(BM107,BI107,BE107)</f>
        <v>6637469.4000000004</v>
      </c>
      <c r="BQ107" s="326">
        <f t="shared" si="675"/>
        <v>6819274.3799999999</v>
      </c>
      <c r="BR107" s="333">
        <f t="shared" si="675"/>
        <v>13456743.779999999</v>
      </c>
      <c r="BS107" s="125">
        <f t="shared" si="652"/>
        <v>3167410.12</v>
      </c>
      <c r="BT107" s="140">
        <f t="shared" si="661"/>
        <v>444237.52</v>
      </c>
      <c r="BU107" s="123">
        <f t="shared" si="662"/>
        <v>2964377.83</v>
      </c>
      <c r="BV107" s="148">
        <f t="shared" si="663"/>
        <v>3408615.35</v>
      </c>
      <c r="BW107" s="123">
        <f t="shared" si="653"/>
        <v>3855410.36</v>
      </c>
      <c r="BX107" s="326">
        <f t="shared" si="654"/>
        <v>5398902.1299999999</v>
      </c>
      <c r="BY107" s="297"/>
      <c r="BZ107" s="553" t="s">
        <v>491</v>
      </c>
      <c r="CA107" s="188"/>
      <c r="CF107" s="294"/>
      <c r="CG107" s="294"/>
      <c r="CR107" s="294"/>
    </row>
    <row r="108" spans="1:112" ht="13">
      <c r="A108" s="636" t="s">
        <v>237</v>
      </c>
      <c r="B108" s="641">
        <f t="shared" si="594"/>
        <v>7</v>
      </c>
      <c r="C108" s="137">
        <f t="shared" si="595"/>
        <v>0.1</v>
      </c>
      <c r="D108" s="137">
        <f t="shared" si="596"/>
        <v>0.2</v>
      </c>
      <c r="E108" s="98">
        <f t="shared" si="597"/>
        <v>0</v>
      </c>
      <c r="F108" s="414">
        <f t="shared" si="598"/>
        <v>62</v>
      </c>
      <c r="G108" s="94">
        <f t="shared" si="655"/>
        <v>0.1</v>
      </c>
      <c r="H108" s="415">
        <f t="shared" si="656"/>
        <v>0.11</v>
      </c>
      <c r="I108" s="639" t="s">
        <v>492</v>
      </c>
      <c r="J108" s="434">
        <f t="shared" si="599"/>
        <v>3217536.07</v>
      </c>
      <c r="K108" s="141">
        <f t="shared" si="600"/>
        <v>5408839.0104735</v>
      </c>
      <c r="L108" s="140">
        <f t="shared" si="601"/>
        <v>789559.52000000025</v>
      </c>
      <c r="M108" s="116">
        <f t="shared" si="602"/>
        <v>1703997.41</v>
      </c>
      <c r="N108" s="333">
        <f t="shared" si="603"/>
        <v>2493556.9300000002</v>
      </c>
      <c r="O108" s="123">
        <f t="shared" si="604"/>
        <v>-2915282.0804734998</v>
      </c>
      <c r="P108" s="98">
        <f t="shared" si="605"/>
        <v>0.46101518739447739</v>
      </c>
      <c r="Q108" s="125">
        <f t="shared" si="606"/>
        <v>1475072.24</v>
      </c>
      <c r="R108" s="141">
        <f t="shared" si="670"/>
        <v>2670950.1817739997</v>
      </c>
      <c r="S108" s="140">
        <f t="shared" si="608"/>
        <v>63566.100000000093</v>
      </c>
      <c r="T108" s="326">
        <f t="shared" si="609"/>
        <v>1730344.4</v>
      </c>
      <c r="U108" s="333">
        <f t="shared" si="610"/>
        <v>1793910.5</v>
      </c>
      <c r="V108" s="123">
        <f t="shared" si="611"/>
        <v>-877039.68177399971</v>
      </c>
      <c r="W108" s="98">
        <f t="shared" si="664"/>
        <v>0.67163757386463685</v>
      </c>
      <c r="X108" s="123">
        <f t="shared" si="613"/>
        <v>1436857.71</v>
      </c>
      <c r="Y108" s="326">
        <f t="shared" si="671"/>
        <v>2407131.8001202503</v>
      </c>
      <c r="Z108" s="116">
        <f t="shared" si="615"/>
        <v>2429204.48</v>
      </c>
      <c r="AA108" s="561">
        <f t="shared" si="616"/>
        <v>1947182.1</v>
      </c>
      <c r="AB108" s="561">
        <f t="shared" si="617"/>
        <v>4376386.58</v>
      </c>
      <c r="AC108" s="116">
        <f t="shared" si="618"/>
        <v>1969254.7798797498</v>
      </c>
      <c r="AD108" s="97">
        <f t="shared" si="665"/>
        <v>1.8180917969599231</v>
      </c>
      <c r="AE108" s="433">
        <f t="shared" si="620"/>
        <v>10486920.99236775</v>
      </c>
      <c r="AF108" s="550">
        <f t="shared" si="621"/>
        <v>5997362.9699999997</v>
      </c>
      <c r="AG108" s="496">
        <f t="shared" ref="AG108:AI108" si="676">SUM(Z108,S108,S108,L108)</f>
        <v>3345896.2</v>
      </c>
      <c r="AH108" s="496">
        <f t="shared" si="676"/>
        <v>7111868.3100000005</v>
      </c>
      <c r="AI108" s="496">
        <f t="shared" si="676"/>
        <v>10457764.51</v>
      </c>
      <c r="AJ108" s="551">
        <f t="shared" si="623"/>
        <v>4460401.54</v>
      </c>
      <c r="AK108" s="552">
        <f t="shared" si="624"/>
        <v>1.7437271284582598</v>
      </c>
      <c r="AL108" s="434">
        <f t="shared" si="625"/>
        <v>1589142.62</v>
      </c>
      <c r="AM108" s="140">
        <f t="shared" si="626"/>
        <v>0</v>
      </c>
      <c r="AN108" s="123">
        <f t="shared" si="627"/>
        <v>1221615.3600000001</v>
      </c>
      <c r="AO108" s="148">
        <f t="shared" si="628"/>
        <v>1221615.3600000001</v>
      </c>
      <c r="AP108" s="434">
        <f t="shared" si="629"/>
        <v>1042823.31</v>
      </c>
      <c r="AQ108" s="140">
        <f t="shared" si="630"/>
        <v>112983.97999999998</v>
      </c>
      <c r="AR108" s="326">
        <f t="shared" si="631"/>
        <v>1676800.61</v>
      </c>
      <c r="AS108" s="333">
        <f t="shared" si="632"/>
        <v>1789784.59</v>
      </c>
      <c r="AT108" s="125">
        <f t="shared" si="633"/>
        <v>1241482.49</v>
      </c>
      <c r="AU108" s="140">
        <f t="shared" si="634"/>
        <v>0</v>
      </c>
      <c r="AV108" s="123">
        <f t="shared" si="635"/>
        <v>1825347.84</v>
      </c>
      <c r="AW108" s="125">
        <f t="shared" si="636"/>
        <v>1825347.84</v>
      </c>
      <c r="AX108" s="122">
        <f t="shared" ref="AX108:AZ108" si="677">AU108+AQ108+AM108</f>
        <v>112983.97999999998</v>
      </c>
      <c r="AY108" s="326">
        <f t="shared" si="677"/>
        <v>4723763.8100000005</v>
      </c>
      <c r="AZ108" s="332">
        <f t="shared" si="677"/>
        <v>4836747.79</v>
      </c>
      <c r="BA108" s="140">
        <f t="shared" ref="BA108:BC108" si="678">AX108+AG108</f>
        <v>3458880.18</v>
      </c>
      <c r="BB108" s="326">
        <f t="shared" si="678"/>
        <v>11835632.120000001</v>
      </c>
      <c r="BC108" s="435">
        <f t="shared" si="678"/>
        <v>15294512.300000001</v>
      </c>
      <c r="BD108" s="123">
        <f t="shared" si="639"/>
        <v>1454425.92</v>
      </c>
      <c r="BE108" s="123">
        <f t="shared" si="640"/>
        <v>137005.70000000019</v>
      </c>
      <c r="BF108" s="123">
        <f t="shared" si="641"/>
        <v>1218174.8799999999</v>
      </c>
      <c r="BG108" s="148">
        <f t="shared" si="642"/>
        <v>1355180.58</v>
      </c>
      <c r="BH108" s="123">
        <f t="shared" si="643"/>
        <v>1303444.23</v>
      </c>
      <c r="BI108" s="141">
        <f t="shared" si="644"/>
        <v>0</v>
      </c>
      <c r="BJ108" s="332">
        <f t="shared" si="645"/>
        <v>2201028.16</v>
      </c>
      <c r="BK108" s="333">
        <f t="shared" si="646"/>
        <v>2201028.16</v>
      </c>
      <c r="BL108" s="326">
        <f t="shared" si="647"/>
        <v>742015.99</v>
      </c>
      <c r="BM108" s="326">
        <f t="shared" si="648"/>
        <v>2299228.6800000002</v>
      </c>
      <c r="BN108" s="326">
        <f t="shared" si="649"/>
        <v>958307.92</v>
      </c>
      <c r="BO108" s="332">
        <f t="shared" si="650"/>
        <v>3257536.6</v>
      </c>
      <c r="BP108" s="140">
        <f t="shared" ref="BP108:BR108" si="679">SUM(BM108,BI108,BE108)</f>
        <v>2436234.3800000004</v>
      </c>
      <c r="BQ108" s="326">
        <f t="shared" si="679"/>
        <v>4377510.96</v>
      </c>
      <c r="BR108" s="333">
        <f t="shared" si="679"/>
        <v>6813745.3399999999</v>
      </c>
      <c r="BS108" s="125">
        <f t="shared" si="652"/>
        <v>2211038.33</v>
      </c>
      <c r="BT108" s="140">
        <f t="shared" si="661"/>
        <v>0</v>
      </c>
      <c r="BU108" s="123">
        <f t="shared" si="662"/>
        <v>2728542.66</v>
      </c>
      <c r="BV108" s="148">
        <f t="shared" si="663"/>
        <v>2728542.66</v>
      </c>
      <c r="BW108" s="123">
        <f t="shared" si="653"/>
        <v>2440477.42</v>
      </c>
      <c r="BX108" s="326">
        <f t="shared" si="654"/>
        <v>1345847.22</v>
      </c>
      <c r="BY108" s="297"/>
      <c r="BZ108" s="553" t="s">
        <v>491</v>
      </c>
      <c r="CF108" s="294"/>
      <c r="CG108" s="294"/>
      <c r="CR108" s="294"/>
    </row>
    <row r="109" spans="1:112" ht="13">
      <c r="A109" s="636" t="s">
        <v>232</v>
      </c>
      <c r="B109" s="637">
        <f t="shared" si="594"/>
        <v>29</v>
      </c>
      <c r="C109" s="137">
        <f t="shared" si="595"/>
        <v>0.05</v>
      </c>
      <c r="D109" s="137">
        <f t="shared" si="596"/>
        <v>0.2</v>
      </c>
      <c r="E109" s="638">
        <f t="shared" si="597"/>
        <v>0</v>
      </c>
      <c r="F109" s="414">
        <f t="shared" si="598"/>
        <v>66</v>
      </c>
      <c r="G109" s="94">
        <f t="shared" si="655"/>
        <v>0.05</v>
      </c>
      <c r="H109" s="415">
        <f t="shared" si="656"/>
        <v>0.11</v>
      </c>
      <c r="I109" s="639" t="s">
        <v>493</v>
      </c>
      <c r="J109" s="434">
        <f t="shared" si="599"/>
        <v>334523.34000000003</v>
      </c>
      <c r="K109" s="248">
        <v>1500000</v>
      </c>
      <c r="L109" s="140">
        <f t="shared" si="601"/>
        <v>0</v>
      </c>
      <c r="M109" s="116">
        <f t="shared" si="602"/>
        <v>616756.31999999995</v>
      </c>
      <c r="N109" s="333">
        <f t="shared" si="603"/>
        <v>616756.31999999995</v>
      </c>
      <c r="O109" s="123">
        <f t="shared" si="604"/>
        <v>-883243.68</v>
      </c>
      <c r="P109" s="98">
        <f t="shared" si="605"/>
        <v>0.41117087999999996</v>
      </c>
      <c r="Q109" s="125">
        <f t="shared" si="606"/>
        <v>1019381.06</v>
      </c>
      <c r="R109" s="141">
        <f t="shared" si="670"/>
        <v>1845818.7698685001</v>
      </c>
      <c r="S109" s="140">
        <f t="shared" si="608"/>
        <v>0</v>
      </c>
      <c r="T109" s="326">
        <f t="shared" si="609"/>
        <v>721912.34</v>
      </c>
      <c r="U109" s="333">
        <f t="shared" si="610"/>
        <v>721912.34</v>
      </c>
      <c r="V109" s="123">
        <f t="shared" si="611"/>
        <v>-1123906.4298685002</v>
      </c>
      <c r="W109" s="98">
        <f t="shared" si="664"/>
        <v>0.39110683658907125</v>
      </c>
      <c r="X109" s="123">
        <f t="shared" si="613"/>
        <v>243974.09</v>
      </c>
      <c r="Y109" s="599">
        <v>1500000</v>
      </c>
      <c r="Z109" s="116">
        <f t="shared" si="615"/>
        <v>0</v>
      </c>
      <c r="AA109" s="561">
        <f t="shared" si="616"/>
        <v>664520.53</v>
      </c>
      <c r="AB109" s="561">
        <f t="shared" si="617"/>
        <v>664520.53</v>
      </c>
      <c r="AC109" s="116">
        <f t="shared" si="618"/>
        <v>-835479.47</v>
      </c>
      <c r="AD109" s="97">
        <f t="shared" si="665"/>
        <v>0.44301368666666668</v>
      </c>
      <c r="AE109" s="433">
        <f t="shared" si="620"/>
        <v>4845818.7698685005</v>
      </c>
      <c r="AF109" s="550">
        <f t="shared" si="621"/>
        <v>1704375.75</v>
      </c>
      <c r="AG109" s="496">
        <f t="shared" ref="AG109:AI109" si="680">SUM(Z109,S109,S109,L109)</f>
        <v>0</v>
      </c>
      <c r="AH109" s="496">
        <f t="shared" si="680"/>
        <v>2725101.53</v>
      </c>
      <c r="AI109" s="496">
        <f t="shared" si="680"/>
        <v>2725101.53</v>
      </c>
      <c r="AJ109" s="551">
        <f t="shared" si="623"/>
        <v>1020725.7799999998</v>
      </c>
      <c r="AK109" s="552">
        <f t="shared" si="624"/>
        <v>1.5988854159653467</v>
      </c>
      <c r="AL109" s="434">
        <f t="shared" si="625"/>
        <v>1311344.1299999999</v>
      </c>
      <c r="AM109" s="140">
        <f t="shared" si="626"/>
        <v>0</v>
      </c>
      <c r="AN109" s="123">
        <f t="shared" si="627"/>
        <v>811980.67</v>
      </c>
      <c r="AO109" s="148">
        <f t="shared" si="628"/>
        <v>811980.67</v>
      </c>
      <c r="AP109" s="434">
        <f t="shared" si="629"/>
        <v>288676.09999999998</v>
      </c>
      <c r="AQ109" s="140">
        <f t="shared" si="630"/>
        <v>0</v>
      </c>
      <c r="AR109" s="326">
        <f t="shared" si="631"/>
        <v>898336.19</v>
      </c>
      <c r="AS109" s="333">
        <f t="shared" si="632"/>
        <v>898336.19</v>
      </c>
      <c r="AT109" s="125">
        <f t="shared" si="633"/>
        <v>77896.479999999996</v>
      </c>
      <c r="AU109" s="140">
        <f t="shared" si="634"/>
        <v>0</v>
      </c>
      <c r="AV109" s="123">
        <f t="shared" si="635"/>
        <v>919251.71</v>
      </c>
      <c r="AW109" s="125">
        <f t="shared" si="636"/>
        <v>919251.71</v>
      </c>
      <c r="AX109" s="122">
        <f t="shared" ref="AX109:AZ109" si="681">AU109+AQ109+AM109</f>
        <v>0</v>
      </c>
      <c r="AY109" s="326">
        <f t="shared" si="681"/>
        <v>2629568.5699999998</v>
      </c>
      <c r="AZ109" s="332">
        <f t="shared" si="681"/>
        <v>2629568.5699999998</v>
      </c>
      <c r="BA109" s="140">
        <f t="shared" ref="BA109:BC109" si="682">AX109+AG109</f>
        <v>0</v>
      </c>
      <c r="BB109" s="326">
        <f t="shared" si="682"/>
        <v>5354670.0999999996</v>
      </c>
      <c r="BC109" s="435">
        <f t="shared" si="682"/>
        <v>5354670.0999999996</v>
      </c>
      <c r="BD109" s="123">
        <f t="shared" si="639"/>
        <v>1265289.8400000001</v>
      </c>
      <c r="BE109" s="123">
        <f t="shared" si="640"/>
        <v>0</v>
      </c>
      <c r="BF109" s="123">
        <f t="shared" si="641"/>
        <v>967540.32</v>
      </c>
      <c r="BG109" s="148">
        <f t="shared" si="642"/>
        <v>967540.32</v>
      </c>
      <c r="BH109" s="123">
        <f t="shared" si="643"/>
        <v>0</v>
      </c>
      <c r="BI109" s="141">
        <f t="shared" si="644"/>
        <v>0</v>
      </c>
      <c r="BJ109" s="332">
        <f t="shared" si="645"/>
        <v>792779.66</v>
      </c>
      <c r="BK109" s="333">
        <f t="shared" si="646"/>
        <v>792779.66</v>
      </c>
      <c r="BL109" s="326">
        <f t="shared" si="647"/>
        <v>895854.48</v>
      </c>
      <c r="BM109" s="326">
        <f t="shared" si="648"/>
        <v>0</v>
      </c>
      <c r="BN109" s="326">
        <f t="shared" si="649"/>
        <v>370210.37</v>
      </c>
      <c r="BO109" s="332">
        <f t="shared" si="650"/>
        <v>370210.37</v>
      </c>
      <c r="BP109" s="140">
        <f t="shared" ref="BP109:BR109" si="683">SUM(BM109,BI109,BE109)</f>
        <v>0</v>
      </c>
      <c r="BQ109" s="326">
        <f t="shared" si="683"/>
        <v>2130530.35</v>
      </c>
      <c r="BR109" s="333">
        <f t="shared" si="683"/>
        <v>2130530.35</v>
      </c>
      <c r="BS109" s="125">
        <f t="shared" si="652"/>
        <v>357161.18</v>
      </c>
      <c r="BT109" s="140">
        <f t="shared" si="661"/>
        <v>78155.760000000009</v>
      </c>
      <c r="BU109" s="123">
        <f t="shared" si="662"/>
        <v>657467.6</v>
      </c>
      <c r="BV109" s="148">
        <f t="shared" si="663"/>
        <v>735623.36</v>
      </c>
      <c r="BW109" s="123">
        <f t="shared" si="653"/>
        <v>812742.31</v>
      </c>
      <c r="BX109" s="326">
        <f t="shared" si="654"/>
        <v>534472.27</v>
      </c>
      <c r="BY109" s="297"/>
      <c r="BZ109" s="553"/>
      <c r="CF109" s="294"/>
      <c r="CG109" s="294"/>
      <c r="CR109" s="294"/>
    </row>
    <row r="110" spans="1:112" ht="13">
      <c r="A110" s="547" t="s">
        <v>232</v>
      </c>
      <c r="B110" s="641">
        <f t="shared" si="594"/>
        <v>11</v>
      </c>
      <c r="C110" s="137">
        <f t="shared" si="595"/>
        <v>0.15</v>
      </c>
      <c r="D110" s="137">
        <f t="shared" si="596"/>
        <v>0.2</v>
      </c>
      <c r="E110" s="98">
        <f t="shared" si="597"/>
        <v>0</v>
      </c>
      <c r="F110" s="414">
        <f t="shared" si="598"/>
        <v>54</v>
      </c>
      <c r="G110" s="94">
        <f t="shared" si="655"/>
        <v>0.15</v>
      </c>
      <c r="H110" s="415">
        <f t="shared" si="656"/>
        <v>0.11</v>
      </c>
      <c r="I110" s="640" t="s">
        <v>494</v>
      </c>
      <c r="J110" s="434">
        <f t="shared" si="599"/>
        <v>999478.02</v>
      </c>
      <c r="K110" s="141">
        <f t="shared" ref="K110:K111" si="684">(J110*1.601)*1.05</f>
        <v>1680172.5255210001</v>
      </c>
      <c r="L110" s="140">
        <f t="shared" si="601"/>
        <v>115367.24000000011</v>
      </c>
      <c r="M110" s="116">
        <f t="shared" si="602"/>
        <v>781921.94</v>
      </c>
      <c r="N110" s="333">
        <f t="shared" si="603"/>
        <v>897289.18</v>
      </c>
      <c r="O110" s="123">
        <f t="shared" si="604"/>
        <v>-782883.3455210001</v>
      </c>
      <c r="P110" s="98">
        <f t="shared" si="605"/>
        <v>0.53404585920232328</v>
      </c>
      <c r="Q110" s="125">
        <f t="shared" si="606"/>
        <v>4772114.18</v>
      </c>
      <c r="R110" s="141">
        <f t="shared" si="670"/>
        <v>8640986.4485804997</v>
      </c>
      <c r="S110" s="140">
        <f t="shared" si="608"/>
        <v>4410649.5199999996</v>
      </c>
      <c r="T110" s="326">
        <f t="shared" si="609"/>
        <v>0</v>
      </c>
      <c r="U110" s="333">
        <f t="shared" si="610"/>
        <v>4410649.5199999996</v>
      </c>
      <c r="V110" s="123">
        <f t="shared" si="611"/>
        <v>-4230336.9285805002</v>
      </c>
      <c r="W110" s="98">
        <f t="shared" si="664"/>
        <v>0.51043356522385941</v>
      </c>
      <c r="X110" s="123">
        <f t="shared" si="613"/>
        <v>67189.55</v>
      </c>
      <c r="Y110" s="585">
        <v>2500000</v>
      </c>
      <c r="Z110" s="116">
        <f t="shared" si="615"/>
        <v>232508.75</v>
      </c>
      <c r="AA110" s="561">
        <f t="shared" si="616"/>
        <v>649993.6</v>
      </c>
      <c r="AB110" s="561">
        <f t="shared" si="617"/>
        <v>882502.35</v>
      </c>
      <c r="AC110" s="116">
        <f t="shared" si="618"/>
        <v>-1617497.65</v>
      </c>
      <c r="AD110" s="97">
        <f t="shared" si="665"/>
        <v>0.35300093999999999</v>
      </c>
      <c r="AE110" s="433">
        <f t="shared" si="620"/>
        <v>12821158.974101501</v>
      </c>
      <c r="AF110" s="550">
        <f t="shared" si="621"/>
        <v>4042267.33</v>
      </c>
      <c r="AG110" s="496">
        <f t="shared" ref="AG110:AI110" si="685">SUM(Z110,S110,S110,L110)</f>
        <v>9169175.0299999993</v>
      </c>
      <c r="AH110" s="496">
        <f t="shared" si="685"/>
        <v>1431915.54</v>
      </c>
      <c r="AI110" s="496">
        <f t="shared" si="685"/>
        <v>10601090.569999998</v>
      </c>
      <c r="AJ110" s="551">
        <f t="shared" si="623"/>
        <v>6558823.2399999984</v>
      </c>
      <c r="AK110" s="552">
        <f t="shared" si="624"/>
        <v>2.6225604851324857</v>
      </c>
      <c r="AL110" s="434">
        <f t="shared" si="625"/>
        <v>715723.31</v>
      </c>
      <c r="AM110" s="140">
        <f t="shared" si="626"/>
        <v>0</v>
      </c>
      <c r="AN110" s="123">
        <f t="shared" si="627"/>
        <v>696614.24</v>
      </c>
      <c r="AO110" s="148">
        <f t="shared" si="628"/>
        <v>696614.24</v>
      </c>
      <c r="AP110" s="434">
        <f t="shared" si="629"/>
        <v>1531048.33</v>
      </c>
      <c r="AQ110" s="140">
        <f t="shared" si="630"/>
        <v>1384938.31</v>
      </c>
      <c r="AR110" s="326">
        <f t="shared" si="631"/>
        <v>507622.40000000002</v>
      </c>
      <c r="AS110" s="333">
        <f t="shared" si="632"/>
        <v>1892560.71</v>
      </c>
      <c r="AT110" s="125">
        <f t="shared" si="633"/>
        <v>1065282.01</v>
      </c>
      <c r="AU110" s="140">
        <f t="shared" si="634"/>
        <v>340599.05</v>
      </c>
      <c r="AV110" s="123">
        <f t="shared" si="635"/>
        <v>346369.2</v>
      </c>
      <c r="AW110" s="125">
        <f t="shared" si="636"/>
        <v>686968.25</v>
      </c>
      <c r="AX110" s="122">
        <f t="shared" ref="AX110:AZ110" si="686">AU110+AQ110+AM110</f>
        <v>1725537.36</v>
      </c>
      <c r="AY110" s="326">
        <f t="shared" si="686"/>
        <v>1550605.84</v>
      </c>
      <c r="AZ110" s="332">
        <f t="shared" si="686"/>
        <v>3276143.2</v>
      </c>
      <c r="BA110" s="140">
        <f t="shared" ref="BA110:BC110" si="687">AX110+AG110</f>
        <v>10894712.389999999</v>
      </c>
      <c r="BB110" s="326">
        <f t="shared" si="687"/>
        <v>2982521.38</v>
      </c>
      <c r="BC110" s="435">
        <f t="shared" si="687"/>
        <v>13877233.77</v>
      </c>
      <c r="BD110" s="123">
        <f t="shared" si="639"/>
        <v>1385700.18</v>
      </c>
      <c r="BE110" s="123">
        <f t="shared" si="640"/>
        <v>264573.87</v>
      </c>
      <c r="BF110" s="123">
        <f t="shared" si="641"/>
        <v>230912.8</v>
      </c>
      <c r="BG110" s="148">
        <f t="shared" si="642"/>
        <v>495486.67</v>
      </c>
      <c r="BH110" s="123">
        <f t="shared" si="643"/>
        <v>2717622.68</v>
      </c>
      <c r="BI110" s="141">
        <f t="shared" si="644"/>
        <v>303874.51999999996</v>
      </c>
      <c r="BJ110" s="332">
        <f t="shared" si="645"/>
        <v>230912.8</v>
      </c>
      <c r="BK110" s="333">
        <f t="shared" si="646"/>
        <v>534787.31999999995</v>
      </c>
      <c r="BL110" s="326">
        <f t="shared" si="647"/>
        <v>6</v>
      </c>
      <c r="BM110" s="326">
        <f t="shared" si="648"/>
        <v>115701.99999999994</v>
      </c>
      <c r="BN110" s="326">
        <f t="shared" si="649"/>
        <v>498214.96</v>
      </c>
      <c r="BO110" s="332">
        <f t="shared" si="650"/>
        <v>613916.96</v>
      </c>
      <c r="BP110" s="140">
        <f t="shared" ref="BP110:BR110" si="688">SUM(BM110,BI110,BE110)</f>
        <v>684150.3899999999</v>
      </c>
      <c r="BQ110" s="326">
        <f t="shared" si="688"/>
        <v>960040.56</v>
      </c>
      <c r="BR110" s="333">
        <f t="shared" si="688"/>
        <v>1644190.9499999997</v>
      </c>
      <c r="BS110" s="125">
        <f t="shared" si="652"/>
        <v>1325438.76</v>
      </c>
      <c r="BT110" s="140">
        <f t="shared" si="661"/>
        <v>1482567.55</v>
      </c>
      <c r="BU110" s="123">
        <f t="shared" si="662"/>
        <v>0.02</v>
      </c>
      <c r="BV110" s="148">
        <f t="shared" si="663"/>
        <v>1482567.57</v>
      </c>
      <c r="BW110" s="123">
        <f t="shared" si="653"/>
        <v>834900.12</v>
      </c>
      <c r="BX110" s="326">
        <f t="shared" si="654"/>
        <v>1881928.44</v>
      </c>
      <c r="BY110" s="297"/>
      <c r="BZ110" s="553" t="s">
        <v>495</v>
      </c>
      <c r="CA110" s="642"/>
      <c r="CR110" s="294"/>
    </row>
    <row r="111" spans="1:112" ht="13">
      <c r="A111" s="643" t="s">
        <v>232</v>
      </c>
      <c r="B111" s="644">
        <f t="shared" si="594"/>
        <v>22</v>
      </c>
      <c r="C111" s="338">
        <f t="shared" si="595"/>
        <v>0.1</v>
      </c>
      <c r="D111" s="338">
        <f t="shared" si="596"/>
        <v>0.09</v>
      </c>
      <c r="E111" s="645">
        <f t="shared" si="597"/>
        <v>0</v>
      </c>
      <c r="F111" s="646">
        <f t="shared" si="598"/>
        <v>63</v>
      </c>
      <c r="G111" s="647">
        <f t="shared" si="655"/>
        <v>0.1</v>
      </c>
      <c r="H111" s="648">
        <f t="shared" si="656"/>
        <v>0.05</v>
      </c>
      <c r="I111" s="649" t="s">
        <v>496</v>
      </c>
      <c r="J111" s="650">
        <f t="shared" si="599"/>
        <v>1294800.77</v>
      </c>
      <c r="K111" s="651">
        <f t="shared" si="684"/>
        <v>2176624.8344085002</v>
      </c>
      <c r="L111" s="259">
        <f t="shared" si="601"/>
        <v>1189878.77</v>
      </c>
      <c r="M111" s="652">
        <f t="shared" si="602"/>
        <v>0</v>
      </c>
      <c r="N111" s="348">
        <f t="shared" si="603"/>
        <v>1189878.77</v>
      </c>
      <c r="O111" s="349">
        <f t="shared" si="604"/>
        <v>-986746.06440850021</v>
      </c>
      <c r="P111" s="465">
        <f t="shared" si="605"/>
        <v>0.54666231460294379</v>
      </c>
      <c r="Q111" s="653">
        <f t="shared" si="606"/>
        <v>839611.53</v>
      </c>
      <c r="R111" s="654">
        <v>1800000</v>
      </c>
      <c r="S111" s="259">
        <f t="shared" si="608"/>
        <v>558536.53</v>
      </c>
      <c r="T111" s="340">
        <f t="shared" si="609"/>
        <v>38330.519999999997</v>
      </c>
      <c r="U111" s="348">
        <f t="shared" si="610"/>
        <v>596867.05000000005</v>
      </c>
      <c r="V111" s="349">
        <f t="shared" si="611"/>
        <v>-1203132.95</v>
      </c>
      <c r="W111" s="465">
        <f t="shared" si="664"/>
        <v>0.33159280555555559</v>
      </c>
      <c r="X111" s="349">
        <f t="shared" si="613"/>
        <v>492927.62</v>
      </c>
      <c r="Y111" s="655">
        <v>1800000</v>
      </c>
      <c r="Z111" s="652">
        <f t="shared" si="615"/>
        <v>186061.05</v>
      </c>
      <c r="AA111" s="656">
        <f t="shared" si="616"/>
        <v>0</v>
      </c>
      <c r="AB111" s="656">
        <f t="shared" si="617"/>
        <v>186061.05</v>
      </c>
      <c r="AC111" s="652">
        <f t="shared" si="618"/>
        <v>-1613938.95</v>
      </c>
      <c r="AD111" s="657">
        <f t="shared" si="665"/>
        <v>0.10336724999999999</v>
      </c>
      <c r="AE111" s="658">
        <f t="shared" si="620"/>
        <v>5776624.8344085002</v>
      </c>
      <c r="AF111" s="659">
        <f t="shared" si="621"/>
        <v>4646114.57</v>
      </c>
      <c r="AG111" s="505">
        <f t="shared" ref="AG111:AI111" si="689">SUM(Z111,S111,S111,L111)</f>
        <v>2493012.88</v>
      </c>
      <c r="AH111" s="505">
        <f t="shared" si="689"/>
        <v>76661.039999999994</v>
      </c>
      <c r="AI111" s="505">
        <f t="shared" si="689"/>
        <v>2569673.92</v>
      </c>
      <c r="AJ111" s="660">
        <f t="shared" si="623"/>
        <v>-2076440.6500000004</v>
      </c>
      <c r="AK111" s="661">
        <f t="shared" si="624"/>
        <v>0.55308018803333125</v>
      </c>
      <c r="AL111" s="650">
        <f t="shared" si="625"/>
        <v>366150.35</v>
      </c>
      <c r="AM111" s="259">
        <f t="shared" si="626"/>
        <v>544601.86</v>
      </c>
      <c r="AN111" s="349">
        <f t="shared" si="627"/>
        <v>0</v>
      </c>
      <c r="AO111" s="350">
        <f t="shared" si="628"/>
        <v>544601.86</v>
      </c>
      <c r="AP111" s="650">
        <f t="shared" si="629"/>
        <v>786869.63</v>
      </c>
      <c r="AQ111" s="259">
        <f t="shared" si="630"/>
        <v>425591.03999999998</v>
      </c>
      <c r="AR111" s="340">
        <f t="shared" si="631"/>
        <v>0</v>
      </c>
      <c r="AS111" s="348">
        <f t="shared" si="632"/>
        <v>425591.03999999998</v>
      </c>
      <c r="AT111" s="653">
        <f t="shared" si="633"/>
        <v>216000.48</v>
      </c>
      <c r="AU111" s="259">
        <f t="shared" si="634"/>
        <v>206500.03</v>
      </c>
      <c r="AV111" s="349">
        <f t="shared" si="635"/>
        <v>0</v>
      </c>
      <c r="AW111" s="653">
        <f t="shared" si="636"/>
        <v>206500.03</v>
      </c>
      <c r="AX111" s="662">
        <f t="shared" ref="AX111:AZ111" si="690">AU111+AQ111+AM111</f>
        <v>1176692.93</v>
      </c>
      <c r="AY111" s="340">
        <f t="shared" si="690"/>
        <v>0</v>
      </c>
      <c r="AZ111" s="347">
        <f t="shared" si="690"/>
        <v>1176692.93</v>
      </c>
      <c r="BA111" s="259">
        <f t="shared" ref="BA111:BC111" si="691">AX111+AG111</f>
        <v>3669705.8099999996</v>
      </c>
      <c r="BB111" s="340">
        <f t="shared" si="691"/>
        <v>76661.039999999994</v>
      </c>
      <c r="BC111" s="663">
        <f t="shared" si="691"/>
        <v>3746366.8499999996</v>
      </c>
      <c r="BD111" s="349">
        <f t="shared" si="639"/>
        <v>851029.37</v>
      </c>
      <c r="BE111" s="349">
        <f t="shared" si="640"/>
        <v>175135.38</v>
      </c>
      <c r="BF111" s="349">
        <f t="shared" si="641"/>
        <v>0</v>
      </c>
      <c r="BG111" s="350">
        <f t="shared" si="642"/>
        <v>175135.38</v>
      </c>
      <c r="BH111" s="349">
        <f t="shared" si="643"/>
        <v>578148.06000000006</v>
      </c>
      <c r="BI111" s="651">
        <f t="shared" si="644"/>
        <v>402895.98</v>
      </c>
      <c r="BJ111" s="347">
        <f t="shared" si="645"/>
        <v>0</v>
      </c>
      <c r="BK111" s="348">
        <f t="shared" si="646"/>
        <v>402895.98</v>
      </c>
      <c r="BL111" s="340">
        <f t="shared" si="647"/>
        <v>172230.12</v>
      </c>
      <c r="BM111" s="340">
        <f t="shared" si="648"/>
        <v>875189.06</v>
      </c>
      <c r="BN111" s="340">
        <f t="shared" si="649"/>
        <v>0</v>
      </c>
      <c r="BO111" s="347">
        <f t="shared" si="650"/>
        <v>875189.06</v>
      </c>
      <c r="BP111" s="259">
        <f t="shared" ref="BP111:BR111" si="692">SUM(BM111,BI111,BE111)</f>
        <v>1453220.42</v>
      </c>
      <c r="BQ111" s="340">
        <f t="shared" si="692"/>
        <v>0</v>
      </c>
      <c r="BR111" s="348">
        <f t="shared" si="692"/>
        <v>1453220.42</v>
      </c>
      <c r="BS111" s="653">
        <f t="shared" si="652"/>
        <v>1487202.98</v>
      </c>
      <c r="BT111" s="259">
        <f t="shared" si="661"/>
        <v>0.03</v>
      </c>
      <c r="BU111" s="349">
        <f t="shared" si="662"/>
        <v>0</v>
      </c>
      <c r="BV111" s="350">
        <f t="shared" si="663"/>
        <v>0.03</v>
      </c>
      <c r="BW111" s="123">
        <f t="shared" si="653"/>
        <v>1413078.28</v>
      </c>
      <c r="BX111" s="326">
        <f t="shared" si="654"/>
        <v>1745833.31</v>
      </c>
      <c r="BY111" s="297"/>
      <c r="BZ111" s="553" t="s">
        <v>495</v>
      </c>
      <c r="CF111" s="294"/>
      <c r="CG111" s="294"/>
      <c r="CR111" s="294"/>
    </row>
    <row r="112" spans="1:112" ht="13">
      <c r="A112" s="294"/>
      <c r="B112" s="294"/>
      <c r="F112" s="302"/>
      <c r="I112" s="553"/>
      <c r="P112" s="295"/>
      <c r="W112" s="295"/>
      <c r="AD112" s="295"/>
      <c r="AK112" s="295"/>
      <c r="BY112" s="618"/>
      <c r="BZ112" s="553"/>
      <c r="CF112" s="294"/>
      <c r="CG112" s="294"/>
      <c r="CR112" s="294"/>
    </row>
    <row r="113" spans="1:96" ht="13">
      <c r="A113" s="294"/>
      <c r="B113" s="294"/>
      <c r="F113" s="302"/>
      <c r="I113" s="553"/>
      <c r="P113" s="295"/>
      <c r="W113" s="295"/>
      <c r="AD113" s="295"/>
      <c r="AK113" s="295"/>
      <c r="BY113" s="618"/>
      <c r="BZ113" s="553"/>
      <c r="CF113" s="294"/>
      <c r="CG113" s="294"/>
      <c r="CR113" s="294"/>
    </row>
    <row r="114" spans="1:96" ht="13">
      <c r="A114" s="294"/>
      <c r="B114" s="294"/>
      <c r="F114" s="302"/>
      <c r="I114" s="553"/>
      <c r="P114" s="295"/>
      <c r="W114" s="295"/>
      <c r="AD114" s="295"/>
      <c r="AK114" s="295"/>
      <c r="BY114" s="618"/>
      <c r="BZ114" s="553"/>
      <c r="CF114" s="294"/>
      <c r="CG114" s="294"/>
      <c r="CR114" s="294"/>
    </row>
    <row r="115" spans="1:96" ht="13">
      <c r="A115" s="294"/>
      <c r="B115" s="294"/>
      <c r="F115" s="302"/>
      <c r="I115" s="553"/>
      <c r="P115" s="295"/>
      <c r="W115" s="295"/>
      <c r="AD115" s="295"/>
      <c r="AK115" s="295"/>
      <c r="BY115" s="618"/>
      <c r="BZ115" s="553"/>
      <c r="CF115" s="294"/>
      <c r="CG115" s="294"/>
      <c r="CR115" s="294"/>
    </row>
    <row r="116" spans="1:96" ht="13">
      <c r="A116" s="294"/>
      <c r="B116" s="294"/>
      <c r="F116" s="302"/>
      <c r="I116" s="553"/>
      <c r="P116" s="295"/>
      <c r="W116" s="295"/>
      <c r="AD116" s="295"/>
      <c r="AK116" s="295"/>
      <c r="BY116" s="618"/>
      <c r="BZ116" s="553"/>
      <c r="CF116" s="294"/>
      <c r="CG116" s="294"/>
      <c r="CR116" s="294"/>
    </row>
    <row r="117" spans="1:96" ht="13">
      <c r="A117" s="294"/>
      <c r="B117" s="294"/>
      <c r="F117" s="302"/>
      <c r="I117" s="553"/>
      <c r="P117" s="295"/>
      <c r="W117" s="295"/>
      <c r="AD117" s="295"/>
      <c r="AK117" s="295"/>
      <c r="BY117" s="618"/>
      <c r="BZ117" s="553"/>
      <c r="CF117" s="294"/>
      <c r="CG117" s="294"/>
      <c r="CR117" s="294"/>
    </row>
    <row r="118" spans="1:96" ht="13">
      <c r="A118" s="294"/>
      <c r="B118" s="294"/>
      <c r="F118" s="302"/>
      <c r="I118" s="553"/>
      <c r="P118" s="295"/>
      <c r="W118" s="295"/>
      <c r="AD118" s="295"/>
      <c r="AK118" s="295"/>
      <c r="BY118" s="618"/>
      <c r="BZ118" s="553"/>
      <c r="CF118" s="294"/>
      <c r="CG118" s="294"/>
      <c r="CR118" s="294"/>
    </row>
    <row r="119" spans="1:96" ht="13">
      <c r="A119" s="294"/>
      <c r="B119" s="294"/>
      <c r="F119" s="302"/>
      <c r="I119" s="553"/>
      <c r="P119" s="295"/>
      <c r="W119" s="295"/>
      <c r="AD119" s="295"/>
      <c r="AK119" s="295"/>
      <c r="BY119" s="618"/>
      <c r="BZ119" s="553"/>
      <c r="CF119" s="294"/>
      <c r="CG119" s="294"/>
      <c r="CR119" s="294"/>
    </row>
    <row r="120" spans="1:96" ht="13">
      <c r="A120" s="294"/>
      <c r="B120" s="294"/>
      <c r="F120" s="302"/>
      <c r="I120" s="553"/>
      <c r="P120" s="295"/>
      <c r="W120" s="295"/>
      <c r="AD120" s="295"/>
      <c r="AK120" s="295"/>
      <c r="BY120" s="618"/>
      <c r="BZ120" s="553"/>
      <c r="CF120" s="294"/>
      <c r="CG120" s="294"/>
      <c r="CR120" s="294"/>
    </row>
    <row r="121" spans="1:96" ht="13">
      <c r="A121" s="294"/>
      <c r="B121" s="294"/>
      <c r="F121" s="302"/>
      <c r="I121" s="553"/>
      <c r="P121" s="295"/>
      <c r="W121" s="295"/>
      <c r="AD121" s="295"/>
      <c r="AK121" s="295"/>
      <c r="BY121" s="618"/>
      <c r="BZ121" s="553"/>
      <c r="CF121" s="294"/>
      <c r="CG121" s="294"/>
      <c r="CR121" s="294"/>
    </row>
    <row r="122" spans="1:96" ht="13">
      <c r="A122" s="294"/>
      <c r="B122" s="294"/>
      <c r="F122" s="302"/>
      <c r="I122" s="553"/>
      <c r="P122" s="295"/>
      <c r="W122" s="295"/>
      <c r="AD122" s="295"/>
      <c r="AK122" s="295"/>
      <c r="BY122" s="618"/>
      <c r="BZ122" s="553"/>
      <c r="CF122" s="294"/>
      <c r="CG122" s="294"/>
      <c r="CR122" s="294"/>
    </row>
    <row r="123" spans="1:96" ht="13">
      <c r="A123" s="294"/>
      <c r="B123" s="294"/>
      <c r="F123" s="302"/>
      <c r="I123" s="553"/>
      <c r="P123" s="295"/>
      <c r="W123" s="295"/>
      <c r="AD123" s="295"/>
      <c r="AK123" s="295"/>
      <c r="BY123" s="618"/>
      <c r="BZ123" s="553"/>
      <c r="CF123" s="294"/>
      <c r="CG123" s="294"/>
      <c r="CR123" s="294"/>
    </row>
    <row r="124" spans="1:96" ht="13">
      <c r="A124" s="294"/>
      <c r="B124" s="294"/>
      <c r="F124" s="302"/>
      <c r="I124" s="553"/>
      <c r="P124" s="295"/>
      <c r="W124" s="295"/>
      <c r="AD124" s="295"/>
      <c r="AK124" s="295"/>
      <c r="BY124" s="618"/>
      <c r="BZ124" s="553"/>
      <c r="CF124" s="294"/>
      <c r="CG124" s="294"/>
      <c r="CR124" s="294"/>
    </row>
    <row r="125" spans="1:96" ht="13">
      <c r="A125" s="294"/>
      <c r="B125" s="294"/>
      <c r="F125" s="302"/>
      <c r="I125" s="553"/>
      <c r="P125" s="295"/>
      <c r="W125" s="295"/>
      <c r="AD125" s="295"/>
      <c r="AK125" s="295"/>
      <c r="BY125" s="618"/>
      <c r="BZ125" s="553"/>
      <c r="CF125" s="294"/>
      <c r="CG125" s="294"/>
      <c r="CR125" s="294"/>
    </row>
    <row r="126" spans="1:96" ht="13">
      <c r="A126" s="294"/>
      <c r="B126" s="294"/>
      <c r="F126" s="302"/>
      <c r="I126" s="553"/>
      <c r="P126" s="295"/>
      <c r="W126" s="295"/>
      <c r="AD126" s="295"/>
      <c r="AK126" s="295"/>
      <c r="BY126" s="618"/>
      <c r="BZ126" s="553"/>
      <c r="CF126" s="294"/>
      <c r="CG126" s="294"/>
      <c r="CR126" s="294"/>
    </row>
    <row r="127" spans="1:96" ht="13">
      <c r="A127" s="294"/>
      <c r="B127" s="294"/>
      <c r="F127" s="302"/>
      <c r="I127" s="553"/>
      <c r="P127" s="295"/>
      <c r="W127" s="295"/>
      <c r="AD127" s="295"/>
      <c r="AK127" s="295"/>
      <c r="BY127" s="618"/>
      <c r="BZ127" s="553"/>
      <c r="CF127" s="294"/>
      <c r="CG127" s="294"/>
      <c r="CR127" s="294"/>
    </row>
    <row r="128" spans="1:96" ht="13">
      <c r="A128" s="294"/>
      <c r="B128" s="294"/>
      <c r="F128" s="302"/>
      <c r="I128" s="553"/>
      <c r="P128" s="295"/>
      <c r="W128" s="295"/>
      <c r="AD128" s="295"/>
      <c r="AK128" s="295"/>
      <c r="BY128" s="618"/>
      <c r="BZ128" s="553"/>
      <c r="CF128" s="294"/>
      <c r="CG128" s="294"/>
      <c r="CR128" s="294"/>
    </row>
    <row r="129" spans="1:112" ht="13">
      <c r="A129" s="294"/>
      <c r="B129" s="294"/>
      <c r="F129" s="302"/>
      <c r="I129" s="553"/>
      <c r="P129" s="295"/>
      <c r="W129" s="295"/>
      <c r="AD129" s="295"/>
      <c r="AK129" s="295"/>
      <c r="BY129" s="618"/>
      <c r="BZ129" s="553"/>
      <c r="CF129" s="294"/>
      <c r="CG129" s="294"/>
      <c r="CR129" s="294"/>
      <c r="CU129" s="352">
        <f>CU133-N97</f>
        <v>-4.0000051259994507E-2</v>
      </c>
      <c r="CV129" s="352">
        <f>CV133-U97</f>
        <v>1.9999995827674866E-2</v>
      </c>
      <c r="CW129" s="352">
        <f>CW133-AB97</f>
        <v>-2.9999896883964539E-2</v>
      </c>
      <c r="CX129" s="352">
        <f>CX133-AO97</f>
        <v>9.9999755620956421E-3</v>
      </c>
      <c r="CY129" s="352">
        <f>CY133-AS97</f>
        <v>-3.0000030994415283E-2</v>
      </c>
      <c r="CZ129" s="352">
        <f>CZ133-AW97</f>
        <v>-2.9999971389770508E-2</v>
      </c>
      <c r="DA129" s="352">
        <f>DA133-BG97</f>
        <v>-3.9999976754188538E-2</v>
      </c>
      <c r="DB129" s="352">
        <f>DB133-BK97</f>
        <v>1.9999951124191284E-2</v>
      </c>
      <c r="DC129" s="352">
        <f>DC133-BO97</f>
        <v>-4.0000066161155701E-2</v>
      </c>
      <c r="DD129" s="352">
        <f>DD133-BV97</f>
        <v>0</v>
      </c>
    </row>
    <row r="130" spans="1:112" ht="13">
      <c r="A130" s="294"/>
      <c r="B130" s="294"/>
      <c r="F130" s="302"/>
      <c r="I130" s="553"/>
      <c r="P130" s="295"/>
      <c r="W130" s="295"/>
      <c r="AD130" s="295"/>
      <c r="AK130" s="295"/>
      <c r="BY130" s="618"/>
      <c r="BZ130" s="553"/>
      <c r="CF130" s="294"/>
      <c r="CG130" s="294"/>
      <c r="CR130" s="509">
        <v>0</v>
      </c>
      <c r="CS130" s="354">
        <v>1</v>
      </c>
      <c r="CT130" s="354">
        <v>2</v>
      </c>
      <c r="CU130" s="354">
        <v>3</v>
      </c>
      <c r="CV130" s="354">
        <v>4</v>
      </c>
      <c r="CW130" s="354">
        <v>5</v>
      </c>
      <c r="CX130" s="354">
        <v>6</v>
      </c>
      <c r="CY130" s="354">
        <v>7</v>
      </c>
      <c r="CZ130" s="354">
        <v>8</v>
      </c>
      <c r="DA130" s="354">
        <v>9</v>
      </c>
      <c r="DB130" s="354">
        <v>10</v>
      </c>
      <c r="DC130" s="354">
        <v>11</v>
      </c>
      <c r="DD130" s="354">
        <v>12</v>
      </c>
      <c r="DE130" s="354">
        <v>13</v>
      </c>
      <c r="DF130" s="354">
        <v>14</v>
      </c>
      <c r="DG130" s="354">
        <v>15</v>
      </c>
      <c r="DH130" s="355">
        <v>16</v>
      </c>
    </row>
    <row r="131" spans="1:112" ht="13">
      <c r="A131" s="294"/>
      <c r="B131" s="294"/>
      <c r="F131" s="302"/>
      <c r="I131" s="553"/>
      <c r="P131" s="295"/>
      <c r="W131" s="295"/>
      <c r="AD131" s="295"/>
      <c r="AK131" s="295"/>
      <c r="BY131" s="618"/>
      <c r="BZ131" s="553"/>
      <c r="CF131" s="294"/>
      <c r="CG131" s="294"/>
      <c r="CR131" s="510"/>
      <c r="CU131" s="357">
        <v>45658</v>
      </c>
      <c r="CV131" s="357">
        <v>45689</v>
      </c>
      <c r="CW131" s="357">
        <v>45717</v>
      </c>
      <c r="CX131" s="357">
        <v>45748</v>
      </c>
      <c r="CY131" s="357">
        <v>45778</v>
      </c>
      <c r="CZ131" s="357">
        <v>45809</v>
      </c>
      <c r="DA131" s="357">
        <v>45839</v>
      </c>
      <c r="DB131" s="357">
        <v>45870</v>
      </c>
      <c r="DC131" s="357">
        <v>45901</v>
      </c>
      <c r="DD131" s="357">
        <v>45931</v>
      </c>
      <c r="DE131" s="357">
        <v>45962</v>
      </c>
      <c r="DF131" s="357">
        <v>45992</v>
      </c>
      <c r="DG131" s="357"/>
      <c r="DH131" s="358"/>
    </row>
    <row r="132" spans="1:112" ht="13">
      <c r="A132" s="294"/>
      <c r="B132" s="294"/>
      <c r="F132" s="302"/>
      <c r="I132" s="553"/>
      <c r="P132" s="295"/>
      <c r="W132" s="295"/>
      <c r="AD132" s="295"/>
      <c r="AK132" s="295"/>
      <c r="BY132" s="618"/>
      <c r="BZ132" s="553"/>
      <c r="CF132" s="294"/>
      <c r="CG132" s="294"/>
      <c r="CR132" s="510"/>
      <c r="CS132" s="511"/>
      <c r="CT132" s="377" t="s">
        <v>241</v>
      </c>
      <c r="CU132" s="360">
        <v>45658</v>
      </c>
      <c r="CV132" s="360">
        <v>45689</v>
      </c>
      <c r="CW132" s="360">
        <v>45717</v>
      </c>
      <c r="CX132" s="360">
        <v>45748</v>
      </c>
      <c r="CY132" s="360">
        <v>45778</v>
      </c>
      <c r="CZ132" s="360">
        <v>45809</v>
      </c>
      <c r="DA132" s="360">
        <v>45839</v>
      </c>
      <c r="DB132" s="360">
        <v>45870</v>
      </c>
      <c r="DC132" s="360">
        <v>45901</v>
      </c>
      <c r="DD132" s="360">
        <v>45931</v>
      </c>
      <c r="DE132" s="360"/>
      <c r="DF132" s="360"/>
      <c r="DG132" s="357"/>
      <c r="DH132" s="358"/>
    </row>
    <row r="133" spans="1:112" ht="13">
      <c r="A133" s="294"/>
      <c r="B133" s="294"/>
      <c r="F133" s="302"/>
      <c r="I133" s="553"/>
      <c r="P133" s="295"/>
      <c r="W133" s="295"/>
      <c r="AD133" s="295"/>
      <c r="AK133" s="295"/>
      <c r="BY133" s="618"/>
      <c r="BZ133" s="553"/>
      <c r="CF133" s="294"/>
      <c r="CG133" s="294"/>
      <c r="CR133" s="510"/>
      <c r="CS133" s="359" t="s">
        <v>241</v>
      </c>
      <c r="CT133" s="361">
        <v>1268235798.5799999</v>
      </c>
      <c r="CU133" s="361">
        <v>144998613.63999999</v>
      </c>
      <c r="CV133" s="361">
        <v>125573638.59999999</v>
      </c>
      <c r="CW133" s="361">
        <v>112796351.84</v>
      </c>
      <c r="CX133" s="361">
        <v>118227978.11</v>
      </c>
      <c r="CY133" s="361">
        <v>116112626.59</v>
      </c>
      <c r="CZ133" s="361">
        <v>103399979.42</v>
      </c>
      <c r="DA133" s="361">
        <v>119630346.37</v>
      </c>
      <c r="DB133" s="361">
        <v>136245119.88</v>
      </c>
      <c r="DC133" s="361">
        <v>133910905.45999999</v>
      </c>
      <c r="DD133" s="361">
        <v>157340238.66999999</v>
      </c>
      <c r="DE133" s="361"/>
      <c r="DF133" s="361"/>
      <c r="DG133" s="361"/>
      <c r="DH133" s="362"/>
    </row>
    <row r="134" spans="1:112" ht="13">
      <c r="A134" s="294"/>
      <c r="B134" s="294"/>
      <c r="F134" s="302"/>
      <c r="I134" s="553"/>
      <c r="P134" s="295"/>
      <c r="W134" s="295"/>
      <c r="AD134" s="295"/>
      <c r="AK134" s="295"/>
      <c r="BY134" s="618"/>
      <c r="BZ134" s="553"/>
      <c r="CF134" s="294"/>
      <c r="CG134" s="294"/>
      <c r="CR134" s="510">
        <v>1</v>
      </c>
      <c r="CS134" s="359" t="s">
        <v>373</v>
      </c>
      <c r="CT134" s="361">
        <v>140978834.81999999</v>
      </c>
      <c r="CU134" s="361">
        <v>18184473.329999998</v>
      </c>
      <c r="CV134" s="361">
        <v>28897269.469999999</v>
      </c>
      <c r="CW134" s="361">
        <v>7757295.2000000002</v>
      </c>
      <c r="CX134" s="361">
        <v>10033857.34</v>
      </c>
      <c r="CY134" s="361">
        <v>7025751.54</v>
      </c>
      <c r="CZ134" s="361">
        <v>12541344.66</v>
      </c>
      <c r="DA134" s="361">
        <v>16864021.859999999</v>
      </c>
      <c r="DB134" s="361">
        <v>20923523.41</v>
      </c>
      <c r="DC134" s="361">
        <v>9030550.6300000008</v>
      </c>
      <c r="DD134" s="361">
        <v>9720747.3800000008</v>
      </c>
      <c r="DE134" s="361"/>
      <c r="DF134" s="361"/>
      <c r="DG134" s="361"/>
      <c r="DH134" s="362"/>
    </row>
    <row r="135" spans="1:112" ht="13">
      <c r="A135" s="294"/>
      <c r="B135" s="294"/>
      <c r="F135" s="302"/>
      <c r="I135" s="553"/>
      <c r="P135" s="295"/>
      <c r="W135" s="295"/>
      <c r="AD135" s="295"/>
      <c r="AK135" s="295"/>
      <c r="BY135" s="618"/>
      <c r="BZ135" s="553"/>
      <c r="CF135" s="294"/>
      <c r="CG135" s="294"/>
      <c r="CR135" s="510">
        <v>2</v>
      </c>
      <c r="CS135" s="359" t="s">
        <v>403</v>
      </c>
      <c r="CT135" s="361">
        <v>97108827.430000007</v>
      </c>
      <c r="CU135" s="361">
        <v>14778806.52</v>
      </c>
      <c r="CV135" s="361">
        <v>4660013.12</v>
      </c>
      <c r="CW135" s="361">
        <v>8277174.1600000001</v>
      </c>
      <c r="CX135" s="361">
        <v>10060189.449999999</v>
      </c>
      <c r="CY135" s="361">
        <v>10973134.42</v>
      </c>
      <c r="CZ135" s="361">
        <v>1426276.69</v>
      </c>
      <c r="DA135" s="361">
        <v>7824918.6200000001</v>
      </c>
      <c r="DB135" s="361">
        <v>6894432.25</v>
      </c>
      <c r="DC135" s="361">
        <v>16721043.08</v>
      </c>
      <c r="DD135" s="361">
        <v>15492839.130000001</v>
      </c>
      <c r="DE135" s="361"/>
      <c r="DF135" s="361"/>
      <c r="DG135" s="361"/>
      <c r="DH135" s="362"/>
    </row>
    <row r="136" spans="1:112" ht="13">
      <c r="A136" s="294"/>
      <c r="B136" s="294"/>
      <c r="F136" s="302"/>
      <c r="I136" s="553"/>
      <c r="P136" s="295"/>
      <c r="W136" s="295"/>
      <c r="AD136" s="295"/>
      <c r="AK136" s="295"/>
      <c r="BY136" s="618"/>
      <c r="BZ136" s="553"/>
      <c r="CF136" s="294"/>
      <c r="CG136" s="294"/>
      <c r="CR136" s="510">
        <v>3</v>
      </c>
      <c r="CS136" s="359" t="s">
        <v>376</v>
      </c>
      <c r="CT136" s="361">
        <v>80949702.010000005</v>
      </c>
      <c r="CU136" s="361">
        <v>3812697.7</v>
      </c>
      <c r="CV136" s="361">
        <v>4462014.45</v>
      </c>
      <c r="CW136" s="361">
        <v>7092597.8099999996</v>
      </c>
      <c r="CX136" s="361">
        <v>11593952.460000001</v>
      </c>
      <c r="CY136" s="361">
        <v>12014027.060000001</v>
      </c>
      <c r="CZ136" s="361">
        <v>6543235.3399999999</v>
      </c>
      <c r="DA136" s="361">
        <v>5053882.53</v>
      </c>
      <c r="DB136" s="361">
        <v>8746963.5299999993</v>
      </c>
      <c r="DC136" s="361">
        <v>9833727.6199999992</v>
      </c>
      <c r="DD136" s="361">
        <v>11796603.5</v>
      </c>
      <c r="DE136" s="361"/>
      <c r="DF136" s="361"/>
      <c r="DG136" s="361"/>
      <c r="DH136" s="362"/>
    </row>
    <row r="137" spans="1:112" ht="13">
      <c r="A137" s="294"/>
      <c r="B137" s="294"/>
      <c r="F137" s="302"/>
      <c r="I137" s="553"/>
      <c r="P137" s="295"/>
      <c r="W137" s="295"/>
      <c r="AD137" s="295"/>
      <c r="AK137" s="295"/>
      <c r="BY137" s="618"/>
      <c r="BZ137" s="553"/>
      <c r="CF137" s="294"/>
      <c r="CG137" s="294"/>
      <c r="CR137" s="510">
        <v>4</v>
      </c>
      <c r="CS137" s="323" t="s">
        <v>378</v>
      </c>
      <c r="CT137" s="361">
        <v>63619335.369999997</v>
      </c>
      <c r="CU137" s="361">
        <v>4921334.01</v>
      </c>
      <c r="CV137" s="361">
        <v>4539469.62</v>
      </c>
      <c r="CW137" s="361">
        <v>2756819.67</v>
      </c>
      <c r="CX137" s="361">
        <v>3551427.51</v>
      </c>
      <c r="CY137" s="361">
        <v>8253590.4500000002</v>
      </c>
      <c r="CZ137" s="361">
        <v>5922993.71</v>
      </c>
      <c r="DA137" s="361">
        <v>9742399.9000000004</v>
      </c>
      <c r="DB137" s="361">
        <v>5157437.7699999996</v>
      </c>
      <c r="DC137" s="361">
        <v>12265044.49</v>
      </c>
      <c r="DD137" s="361">
        <v>6508818.25</v>
      </c>
      <c r="DE137" s="361"/>
      <c r="DF137" s="361"/>
      <c r="DG137" s="361"/>
      <c r="DH137" s="362"/>
    </row>
    <row r="138" spans="1:112" ht="13">
      <c r="A138" s="294"/>
      <c r="B138" s="294"/>
      <c r="F138" s="302"/>
      <c r="I138" s="553"/>
      <c r="P138" s="295"/>
      <c r="W138" s="295"/>
      <c r="AD138" s="295"/>
      <c r="AK138" s="295"/>
      <c r="BY138" s="618"/>
      <c r="BZ138" s="553"/>
      <c r="CF138" s="294"/>
      <c r="CG138" s="294"/>
      <c r="CR138" s="510">
        <v>5</v>
      </c>
      <c r="CS138" s="323" t="s">
        <v>383</v>
      </c>
      <c r="CT138" s="361">
        <v>49687026.840000004</v>
      </c>
      <c r="CU138" s="361">
        <v>3721450.18</v>
      </c>
      <c r="CV138" s="361">
        <v>4003214.82</v>
      </c>
      <c r="CW138" s="361">
        <v>6532243.9100000001</v>
      </c>
      <c r="CX138" s="361">
        <v>5075912.93</v>
      </c>
      <c r="CY138" s="361">
        <v>4301200.2</v>
      </c>
      <c r="CZ138" s="361">
        <v>6179477.21</v>
      </c>
      <c r="DA138" s="361">
        <v>4848110.05</v>
      </c>
      <c r="DB138" s="361">
        <v>6828620.3600000003</v>
      </c>
      <c r="DC138" s="361">
        <v>2534750.71</v>
      </c>
      <c r="DD138" s="361">
        <v>5662046.46</v>
      </c>
      <c r="DE138" s="361"/>
      <c r="DF138" s="361"/>
      <c r="DG138" s="361"/>
      <c r="DH138" s="362"/>
    </row>
    <row r="139" spans="1:112" ht="13">
      <c r="A139" s="294"/>
      <c r="B139" s="294"/>
      <c r="F139" s="302"/>
      <c r="I139" s="553"/>
      <c r="P139" s="295"/>
      <c r="W139" s="295"/>
      <c r="AD139" s="295"/>
      <c r="AK139" s="295"/>
      <c r="BY139" s="618"/>
      <c r="BZ139" s="553"/>
      <c r="CF139" s="294"/>
      <c r="CG139" s="294"/>
      <c r="CR139" s="510">
        <v>6</v>
      </c>
      <c r="CS139" s="423" t="s">
        <v>398</v>
      </c>
      <c r="CT139" s="361">
        <v>44103949.520000003</v>
      </c>
      <c r="CU139" s="361">
        <v>7154670.8200000003</v>
      </c>
      <c r="CV139" s="361">
        <v>5592401.9000000004</v>
      </c>
      <c r="CW139" s="361">
        <v>3406341.96</v>
      </c>
      <c r="CX139" s="361">
        <v>5874658.3600000003</v>
      </c>
      <c r="CY139" s="361">
        <v>3966432.83</v>
      </c>
      <c r="CZ139" s="361">
        <v>2091441.34</v>
      </c>
      <c r="DA139" s="361">
        <v>4314971.95</v>
      </c>
      <c r="DB139" s="361">
        <v>2091745.8</v>
      </c>
      <c r="DC139" s="361">
        <v>4131258.96</v>
      </c>
      <c r="DD139" s="361">
        <v>5480025.6100000003</v>
      </c>
      <c r="DE139" s="361"/>
      <c r="DF139" s="361"/>
      <c r="DG139" s="361"/>
      <c r="DH139" s="362"/>
    </row>
    <row r="140" spans="1:112" ht="13">
      <c r="A140" s="294"/>
      <c r="B140" s="294"/>
      <c r="F140" s="302"/>
      <c r="I140" s="553"/>
      <c r="P140" s="295"/>
      <c r="W140" s="295"/>
      <c r="AD140" s="295"/>
      <c r="AK140" s="295"/>
      <c r="BY140" s="618"/>
      <c r="BZ140" s="553"/>
      <c r="CF140" s="294"/>
      <c r="CG140" s="294"/>
      <c r="CR140" s="510">
        <v>7</v>
      </c>
      <c r="CS140" s="664" t="s">
        <v>490</v>
      </c>
      <c r="CT140" s="361">
        <v>43129224.030000001</v>
      </c>
      <c r="CU140" s="361">
        <v>3603709.3</v>
      </c>
      <c r="CV140" s="361">
        <v>5738633.0800000001</v>
      </c>
      <c r="CW140" s="361">
        <v>4010782.08</v>
      </c>
      <c r="CX140" s="361">
        <v>4376602.6100000003</v>
      </c>
      <c r="CY140" s="361">
        <v>3101413.32</v>
      </c>
      <c r="CZ140" s="361">
        <v>5432724.5099999998</v>
      </c>
      <c r="DA140" s="361">
        <v>4120436.33</v>
      </c>
      <c r="DB140" s="361">
        <v>3452286.43</v>
      </c>
      <c r="DC140" s="361">
        <v>5884021.0199999996</v>
      </c>
      <c r="DD140" s="361">
        <v>3408615.35</v>
      </c>
      <c r="DE140" s="361"/>
      <c r="DF140" s="361"/>
      <c r="DG140" s="361"/>
      <c r="DH140" s="362"/>
    </row>
    <row r="141" spans="1:112" ht="13">
      <c r="A141" s="294"/>
      <c r="B141" s="294"/>
      <c r="F141" s="302"/>
      <c r="I141" s="553"/>
      <c r="P141" s="295"/>
      <c r="W141" s="295"/>
      <c r="AD141" s="295"/>
      <c r="AK141" s="295"/>
      <c r="BY141" s="618"/>
      <c r="BZ141" s="553"/>
      <c r="CF141" s="294"/>
      <c r="CG141" s="294"/>
      <c r="CR141" s="510">
        <v>8</v>
      </c>
      <c r="CS141" s="359" t="s">
        <v>391</v>
      </c>
      <c r="CT141" s="361">
        <v>35020668.280000001</v>
      </c>
      <c r="CU141" s="361">
        <v>2390817.7599999998</v>
      </c>
      <c r="CV141" s="361">
        <v>3144946.54</v>
      </c>
      <c r="CW141" s="361">
        <v>539057.43999999994</v>
      </c>
      <c r="CX141" s="361">
        <v>5433329.2400000002</v>
      </c>
      <c r="CY141" s="361">
        <v>4220380.4800000004</v>
      </c>
      <c r="CZ141" s="361">
        <v>5609886.1600000001</v>
      </c>
      <c r="DA141" s="361">
        <v>3391338.25</v>
      </c>
      <c r="DB141" s="361">
        <v>4279697.13</v>
      </c>
      <c r="DC141" s="361">
        <v>3416735.56</v>
      </c>
      <c r="DD141" s="361">
        <v>2594479.71</v>
      </c>
      <c r="DE141" s="361"/>
      <c r="DF141" s="361"/>
      <c r="DG141" s="361"/>
      <c r="DH141" s="362"/>
    </row>
    <row r="142" spans="1:112" ht="13">
      <c r="A142" s="294"/>
      <c r="B142" s="294"/>
      <c r="F142" s="302"/>
      <c r="I142" s="553"/>
      <c r="P142" s="295"/>
      <c r="W142" s="295"/>
      <c r="AD142" s="295"/>
      <c r="AK142" s="295"/>
      <c r="BY142" s="618"/>
      <c r="BZ142" s="553"/>
      <c r="CF142" s="294"/>
      <c r="CG142" s="294"/>
      <c r="CR142" s="510">
        <v>9</v>
      </c>
      <c r="CS142" s="359" t="s">
        <v>442</v>
      </c>
      <c r="CT142" s="361">
        <v>34466194.920000002</v>
      </c>
      <c r="CU142" s="361">
        <v>4023424.48</v>
      </c>
      <c r="CV142" s="361">
        <v>3561255.79</v>
      </c>
      <c r="CW142" s="361">
        <v>4498524.47</v>
      </c>
      <c r="CX142" s="361">
        <v>2949494.26</v>
      </c>
      <c r="CY142" s="361">
        <v>2797721.26</v>
      </c>
      <c r="CZ142" s="361">
        <v>2878461.74</v>
      </c>
      <c r="DA142" s="361">
        <v>3018507.92</v>
      </c>
      <c r="DB142" s="361">
        <v>3095621.51</v>
      </c>
      <c r="DC142" s="361">
        <v>2909060.51</v>
      </c>
      <c r="DD142" s="361">
        <v>4734122.99</v>
      </c>
      <c r="DE142" s="361"/>
      <c r="DF142" s="361"/>
      <c r="DG142" s="361"/>
      <c r="DH142" s="362"/>
    </row>
    <row r="143" spans="1:112" ht="13">
      <c r="A143" s="294"/>
      <c r="B143" s="294"/>
      <c r="F143" s="302"/>
      <c r="I143" s="553"/>
      <c r="P143" s="295"/>
      <c r="W143" s="295"/>
      <c r="AD143" s="295"/>
      <c r="AK143" s="295"/>
      <c r="BY143" s="618"/>
      <c r="BZ143" s="553"/>
      <c r="CF143" s="294"/>
      <c r="CG143" s="294"/>
      <c r="CR143" s="510">
        <v>10</v>
      </c>
      <c r="CS143" s="359" t="s">
        <v>423</v>
      </c>
      <c r="CT143" s="361">
        <v>34302207.420000002</v>
      </c>
      <c r="CU143" s="361">
        <v>4784702.7</v>
      </c>
      <c r="CV143" s="361">
        <v>4394621.21</v>
      </c>
      <c r="CW143" s="361">
        <v>2426586.61</v>
      </c>
      <c r="CX143" s="361">
        <v>1302128.93</v>
      </c>
      <c r="CY143" s="361">
        <v>2700502.34</v>
      </c>
      <c r="CZ143" s="361">
        <v>1535657.04</v>
      </c>
      <c r="DA143" s="361">
        <v>2365051.8199999998</v>
      </c>
      <c r="DB143" s="361">
        <v>3201703.47</v>
      </c>
      <c r="DC143" s="361">
        <v>5655937.2000000002</v>
      </c>
      <c r="DD143" s="361">
        <v>5935316.0899999999</v>
      </c>
      <c r="DE143" s="361"/>
      <c r="DF143" s="361"/>
      <c r="DG143" s="361"/>
      <c r="DH143" s="362"/>
    </row>
    <row r="144" spans="1:112" ht="13">
      <c r="A144" s="294"/>
      <c r="B144" s="294"/>
      <c r="F144" s="302"/>
      <c r="I144" s="553"/>
      <c r="P144" s="295"/>
      <c r="W144" s="295"/>
      <c r="AD144" s="295"/>
      <c r="AK144" s="295"/>
      <c r="BY144" s="618"/>
      <c r="BZ144" s="553"/>
      <c r="CF144" s="294"/>
      <c r="CG144" s="294"/>
      <c r="CR144" s="510">
        <v>11</v>
      </c>
      <c r="CS144" s="359" t="s">
        <v>387</v>
      </c>
      <c r="CT144" s="361">
        <v>29973058.57</v>
      </c>
      <c r="CU144" s="361">
        <v>4084694.11</v>
      </c>
      <c r="CV144" s="361">
        <v>1486366.29</v>
      </c>
      <c r="CW144" s="361">
        <v>4368466.5599999996</v>
      </c>
      <c r="CX144" s="361">
        <v>3595438.22</v>
      </c>
      <c r="CY144" s="361">
        <v>2204040.85</v>
      </c>
      <c r="CZ144" s="361">
        <v>2125910.2999999998</v>
      </c>
      <c r="DA144" s="361">
        <v>2906098.18</v>
      </c>
      <c r="DB144" s="361">
        <v>2765660.68</v>
      </c>
      <c r="DC144" s="361">
        <v>3333126.85</v>
      </c>
      <c r="DD144" s="361">
        <v>3103256.52</v>
      </c>
      <c r="DE144" s="361"/>
      <c r="DF144" s="361"/>
      <c r="DG144" s="361"/>
      <c r="DH144" s="362"/>
    </row>
    <row r="145" spans="1:112" ht="13">
      <c r="A145" s="294"/>
      <c r="B145" s="294"/>
      <c r="F145" s="302"/>
      <c r="I145" s="553"/>
      <c r="P145" s="295"/>
      <c r="W145" s="295"/>
      <c r="AD145" s="295"/>
      <c r="AK145" s="295"/>
      <c r="BY145" s="618"/>
      <c r="BZ145" s="553"/>
      <c r="CF145" s="294"/>
      <c r="CG145" s="294"/>
      <c r="CR145" s="510">
        <v>12</v>
      </c>
      <c r="CS145" s="359" t="s">
        <v>434</v>
      </c>
      <c r="CT145" s="361">
        <v>24641146.77</v>
      </c>
      <c r="CU145" s="361">
        <v>2675625.73</v>
      </c>
      <c r="CV145" s="361">
        <v>1709341.89</v>
      </c>
      <c r="CW145" s="361">
        <v>3842628.6</v>
      </c>
      <c r="CX145" s="361">
        <v>2320229.4300000002</v>
      </c>
      <c r="CY145" s="361">
        <v>1603491</v>
      </c>
      <c r="CZ145" s="361">
        <v>2630284.58</v>
      </c>
      <c r="DA145" s="361">
        <v>2086307.27</v>
      </c>
      <c r="DB145" s="361">
        <v>2459219.5299999998</v>
      </c>
      <c r="DC145" s="361">
        <v>2057571.87</v>
      </c>
      <c r="DD145" s="361">
        <v>3256446.87</v>
      </c>
      <c r="DE145" s="361"/>
      <c r="DF145" s="361"/>
      <c r="DG145" s="361"/>
      <c r="DH145" s="362"/>
    </row>
    <row r="146" spans="1:112" ht="13">
      <c r="A146" s="294"/>
      <c r="B146" s="294"/>
      <c r="F146" s="302"/>
      <c r="I146" s="553"/>
      <c r="P146" s="295"/>
      <c r="W146" s="295"/>
      <c r="AD146" s="295"/>
      <c r="AK146" s="295"/>
      <c r="BY146" s="618"/>
      <c r="BZ146" s="553"/>
      <c r="CF146" s="294"/>
      <c r="CG146" s="294"/>
      <c r="CR146" s="510">
        <v>13</v>
      </c>
      <c r="CS146" s="359" t="s">
        <v>395</v>
      </c>
      <c r="CT146" s="361">
        <v>24589752.379999999</v>
      </c>
      <c r="CU146" s="361">
        <v>5974812.29</v>
      </c>
      <c r="CV146" s="361">
        <v>1623793.91</v>
      </c>
      <c r="CW146" s="361">
        <v>2610154.9300000002</v>
      </c>
      <c r="CX146" s="361">
        <v>0</v>
      </c>
      <c r="CY146" s="361">
        <v>1438504.25</v>
      </c>
      <c r="CZ146" s="361">
        <v>0</v>
      </c>
      <c r="DA146" s="361">
        <v>48463.9</v>
      </c>
      <c r="DB146" s="361">
        <v>4157196.56</v>
      </c>
      <c r="DC146" s="361">
        <v>0.78</v>
      </c>
      <c r="DD146" s="361">
        <v>8736825.7599999998</v>
      </c>
      <c r="DE146" s="361"/>
      <c r="DF146" s="361"/>
      <c r="DG146" s="361"/>
      <c r="DH146" s="362"/>
    </row>
    <row r="147" spans="1:112" ht="13">
      <c r="A147" s="294"/>
      <c r="B147" s="294"/>
      <c r="F147" s="302"/>
      <c r="I147" s="553"/>
      <c r="P147" s="295"/>
      <c r="W147" s="295"/>
      <c r="AD147" s="295"/>
      <c r="AK147" s="295"/>
      <c r="BY147" s="618"/>
      <c r="BZ147" s="553"/>
      <c r="CF147" s="294"/>
      <c r="CG147" s="294"/>
      <c r="CR147" s="510">
        <v>14</v>
      </c>
      <c r="CS147" s="359" t="s">
        <v>412</v>
      </c>
      <c r="CT147" s="361">
        <v>23260018.5</v>
      </c>
      <c r="CU147" s="361">
        <v>1585951</v>
      </c>
      <c r="CV147" s="361">
        <v>3789766.53</v>
      </c>
      <c r="CW147" s="361">
        <v>2427497.54</v>
      </c>
      <c r="CX147" s="361">
        <v>972360.18</v>
      </c>
      <c r="CY147" s="361">
        <v>1010352.64</v>
      </c>
      <c r="CZ147" s="361">
        <v>2312403.62</v>
      </c>
      <c r="DA147" s="361">
        <v>1738205.7</v>
      </c>
      <c r="DB147" s="361">
        <v>3171550.5</v>
      </c>
      <c r="DC147" s="361">
        <v>3374607.03</v>
      </c>
      <c r="DD147" s="361">
        <v>2877323.76</v>
      </c>
      <c r="DE147" s="361"/>
      <c r="DF147" s="361"/>
      <c r="DG147" s="361"/>
      <c r="DH147" s="362"/>
    </row>
    <row r="148" spans="1:112" ht="13">
      <c r="A148" s="294"/>
      <c r="B148" s="294"/>
      <c r="F148" s="302"/>
      <c r="I148" s="553"/>
      <c r="P148" s="295"/>
      <c r="W148" s="295"/>
      <c r="AD148" s="295"/>
      <c r="AK148" s="295"/>
      <c r="BY148" s="618"/>
      <c r="BZ148" s="553"/>
      <c r="CF148" s="294"/>
      <c r="CG148" s="294"/>
      <c r="CR148" s="510">
        <v>15</v>
      </c>
      <c r="CS148" s="359" t="s">
        <v>414</v>
      </c>
      <c r="CT148" s="361">
        <v>23257597.920000002</v>
      </c>
      <c r="CU148" s="361">
        <v>4376558.76</v>
      </c>
      <c r="CV148" s="361">
        <v>636816.88</v>
      </c>
      <c r="CW148" s="361">
        <v>1096857.44</v>
      </c>
      <c r="CX148" s="361">
        <v>2486197.9700000002</v>
      </c>
      <c r="CY148" s="361">
        <v>1026059.84</v>
      </c>
      <c r="CZ148" s="361">
        <v>3490304.68</v>
      </c>
      <c r="DA148" s="361">
        <v>496498.28</v>
      </c>
      <c r="DB148" s="361">
        <v>3284502.94</v>
      </c>
      <c r="DC148" s="361">
        <v>93879.21</v>
      </c>
      <c r="DD148" s="361">
        <v>6269921.9400000004</v>
      </c>
      <c r="DE148" s="365"/>
      <c r="DF148" s="365"/>
      <c r="DG148" s="365"/>
      <c r="DH148" s="366"/>
    </row>
    <row r="149" spans="1:112" ht="13">
      <c r="A149" s="294"/>
      <c r="B149" s="294"/>
      <c r="F149" s="302"/>
      <c r="I149" s="553"/>
      <c r="P149" s="295"/>
      <c r="W149" s="295"/>
      <c r="AD149" s="295"/>
      <c r="AK149" s="295"/>
      <c r="BY149" s="618"/>
      <c r="BZ149" s="553"/>
      <c r="CF149" s="294"/>
      <c r="CG149" s="294"/>
      <c r="CR149" s="510">
        <v>16</v>
      </c>
      <c r="CS149" s="323" t="s">
        <v>492</v>
      </c>
      <c r="CT149" s="361">
        <v>23042889.789999999</v>
      </c>
      <c r="CU149" s="361">
        <v>2493556.9300000002</v>
      </c>
      <c r="CV149" s="361">
        <v>1793910.5</v>
      </c>
      <c r="CW149" s="361">
        <v>4376386.58</v>
      </c>
      <c r="CX149" s="361">
        <v>1221615.3600000001</v>
      </c>
      <c r="CY149" s="361">
        <v>1789784.59</v>
      </c>
      <c r="CZ149" s="361">
        <v>1825347.84</v>
      </c>
      <c r="DA149" s="361">
        <v>1355180.58</v>
      </c>
      <c r="DB149" s="361">
        <v>2201028.16</v>
      </c>
      <c r="DC149" s="361">
        <v>3257536.6</v>
      </c>
      <c r="DD149" s="361">
        <v>2728542.66</v>
      </c>
      <c r="DE149" s="361"/>
      <c r="DF149" s="361"/>
      <c r="DG149" s="361"/>
      <c r="DH149" s="362"/>
    </row>
    <row r="150" spans="1:112" ht="13">
      <c r="A150" s="294"/>
      <c r="B150" s="294"/>
      <c r="F150" s="302"/>
      <c r="I150" s="553"/>
      <c r="P150" s="295"/>
      <c r="W150" s="295"/>
      <c r="AD150" s="295"/>
      <c r="AK150" s="295"/>
      <c r="BY150" s="618"/>
      <c r="BZ150" s="553"/>
      <c r="CF150" s="294"/>
      <c r="CG150" s="294"/>
      <c r="CR150" s="510">
        <v>17</v>
      </c>
      <c r="CS150" s="359" t="s">
        <v>405</v>
      </c>
      <c r="CT150" s="361">
        <v>22587858.359999999</v>
      </c>
      <c r="CU150" s="361">
        <v>2367393.91</v>
      </c>
      <c r="CV150" s="361">
        <v>1939368.68</v>
      </c>
      <c r="CW150" s="361">
        <v>2604779.37</v>
      </c>
      <c r="CX150" s="361">
        <v>2372924.9900000002</v>
      </c>
      <c r="CY150" s="361">
        <v>1476656.71</v>
      </c>
      <c r="CZ150" s="361">
        <v>2274214.56</v>
      </c>
      <c r="DA150" s="361">
        <v>2052719.67</v>
      </c>
      <c r="DB150" s="361">
        <v>2120384.84</v>
      </c>
      <c r="DC150" s="361">
        <v>1452862.68</v>
      </c>
      <c r="DD150" s="361">
        <v>3926552.96</v>
      </c>
      <c r="DE150" s="361"/>
      <c r="DF150" s="361"/>
      <c r="DG150" s="361"/>
      <c r="DH150" s="362"/>
    </row>
    <row r="151" spans="1:112" ht="13">
      <c r="A151" s="294"/>
      <c r="B151" s="294"/>
      <c r="F151" s="302"/>
      <c r="I151" s="553"/>
      <c r="P151" s="295"/>
      <c r="W151" s="295"/>
      <c r="AD151" s="295"/>
      <c r="AK151" s="295"/>
      <c r="BY151" s="618"/>
      <c r="BZ151" s="553"/>
      <c r="CF151" s="294"/>
      <c r="CG151" s="294"/>
      <c r="CR151" s="510">
        <v>18</v>
      </c>
      <c r="CS151" s="359" t="s">
        <v>375</v>
      </c>
      <c r="CT151" s="361">
        <v>22043892.25</v>
      </c>
      <c r="CU151" s="361">
        <v>2528185.19</v>
      </c>
      <c r="CV151" s="361">
        <v>2268383.79</v>
      </c>
      <c r="CW151" s="361">
        <v>951788.44</v>
      </c>
      <c r="CX151" s="361">
        <v>857625.29</v>
      </c>
      <c r="CY151" s="361">
        <v>4312915.97</v>
      </c>
      <c r="CZ151" s="361">
        <v>380367.99</v>
      </c>
      <c r="DA151" s="361">
        <v>3232776.76</v>
      </c>
      <c r="DB151" s="361">
        <v>2312707.38</v>
      </c>
      <c r="DC151" s="361">
        <v>3840900.58</v>
      </c>
      <c r="DD151" s="361">
        <v>1358240.86</v>
      </c>
      <c r="DE151" s="361"/>
      <c r="DF151" s="361"/>
      <c r="DG151" s="361"/>
      <c r="DH151" s="362"/>
    </row>
    <row r="152" spans="1:112" ht="13">
      <c r="A152" s="294"/>
      <c r="B152" s="294"/>
      <c r="F152" s="302"/>
      <c r="I152" s="553"/>
      <c r="P152" s="295"/>
      <c r="W152" s="295"/>
      <c r="AD152" s="295"/>
      <c r="AK152" s="295"/>
      <c r="BY152" s="618"/>
      <c r="BZ152" s="553"/>
      <c r="CF152" s="294"/>
      <c r="CG152" s="294"/>
      <c r="CR152" s="510">
        <v>19</v>
      </c>
      <c r="CS152" s="359" t="s">
        <v>408</v>
      </c>
      <c r="CT152" s="361">
        <v>20518722.530000001</v>
      </c>
      <c r="CU152" s="361">
        <v>2040652.78</v>
      </c>
      <c r="CV152" s="361">
        <v>1928674.21</v>
      </c>
      <c r="CW152" s="361">
        <v>1387032.89</v>
      </c>
      <c r="CX152" s="361">
        <v>2179311.9300000002</v>
      </c>
      <c r="CY152" s="361">
        <v>2811519.99</v>
      </c>
      <c r="CZ152" s="361">
        <v>1360431.36</v>
      </c>
      <c r="DA152" s="361">
        <v>1163329.22</v>
      </c>
      <c r="DB152" s="361">
        <v>2456425.0699999998</v>
      </c>
      <c r="DC152" s="361">
        <v>2294706.91</v>
      </c>
      <c r="DD152" s="361">
        <v>2896638.18</v>
      </c>
      <c r="DE152" s="361"/>
      <c r="DF152" s="361"/>
      <c r="DG152" s="361"/>
      <c r="DH152" s="362"/>
    </row>
    <row r="153" spans="1:112" ht="13">
      <c r="A153" s="294"/>
      <c r="B153" s="294"/>
      <c r="F153" s="302"/>
      <c r="I153" s="553"/>
      <c r="P153" s="295"/>
      <c r="W153" s="295"/>
      <c r="AD153" s="295"/>
      <c r="AK153" s="295"/>
      <c r="BY153" s="618"/>
      <c r="BZ153" s="553"/>
      <c r="CF153" s="294"/>
      <c r="CG153" s="294"/>
      <c r="CR153" s="510">
        <v>20</v>
      </c>
      <c r="CS153" s="359" t="s">
        <v>389</v>
      </c>
      <c r="CT153" s="361">
        <v>18666643.530000001</v>
      </c>
      <c r="CU153" s="361">
        <v>1600260.8</v>
      </c>
      <c r="CV153" s="361">
        <v>2756040.76</v>
      </c>
      <c r="CW153" s="361">
        <v>3900868.59</v>
      </c>
      <c r="CX153" s="361">
        <v>861346.58</v>
      </c>
      <c r="CY153" s="361">
        <v>1849481.7</v>
      </c>
      <c r="CZ153" s="361">
        <v>1308535.98</v>
      </c>
      <c r="DA153" s="361">
        <v>1022470.75</v>
      </c>
      <c r="DB153" s="361">
        <v>1701906.47</v>
      </c>
      <c r="DC153" s="361">
        <v>1357879.95</v>
      </c>
      <c r="DD153" s="361">
        <v>2307851.96</v>
      </c>
      <c r="DE153" s="361"/>
      <c r="DF153" s="361"/>
      <c r="DG153" s="361"/>
      <c r="DH153" s="362"/>
    </row>
    <row r="154" spans="1:112" ht="13">
      <c r="A154" s="294"/>
      <c r="B154" s="294"/>
      <c r="F154" s="302"/>
      <c r="I154" s="553"/>
      <c r="P154" s="295"/>
      <c r="W154" s="295"/>
      <c r="AD154" s="295"/>
      <c r="AK154" s="295"/>
      <c r="BY154" s="618"/>
      <c r="BZ154" s="553"/>
      <c r="CF154" s="294"/>
      <c r="CG154" s="294"/>
      <c r="CR154" s="510">
        <v>21</v>
      </c>
      <c r="CS154" s="664" t="s">
        <v>400</v>
      </c>
      <c r="CT154" s="361">
        <v>18648421.199999999</v>
      </c>
      <c r="CU154" s="361">
        <v>945058.95</v>
      </c>
      <c r="CV154" s="361">
        <v>2032674.16</v>
      </c>
      <c r="CW154" s="361">
        <v>1835461.31</v>
      </c>
      <c r="CX154" s="361">
        <v>2072262.25</v>
      </c>
      <c r="CY154" s="361">
        <v>1766454.42</v>
      </c>
      <c r="CZ154" s="361">
        <v>2109379.67</v>
      </c>
      <c r="DA154" s="361">
        <v>2503736.46</v>
      </c>
      <c r="DB154" s="361">
        <v>2234541.0299999998</v>
      </c>
      <c r="DC154" s="361">
        <v>923269.63</v>
      </c>
      <c r="DD154" s="361">
        <v>2225583.34</v>
      </c>
      <c r="DE154" s="361"/>
      <c r="DF154" s="361"/>
      <c r="DG154" s="361"/>
      <c r="DH154" s="362"/>
    </row>
    <row r="155" spans="1:112" ht="13">
      <c r="A155" s="294"/>
      <c r="B155" s="294"/>
      <c r="F155" s="302"/>
      <c r="I155" s="553"/>
      <c r="P155" s="295"/>
      <c r="W155" s="295"/>
      <c r="AD155" s="295"/>
      <c r="AK155" s="295"/>
      <c r="BY155" s="618"/>
      <c r="BZ155" s="553"/>
      <c r="CF155" s="294"/>
      <c r="CG155" s="294"/>
      <c r="CR155" s="510">
        <v>22</v>
      </c>
      <c r="CS155" s="323" t="s">
        <v>424</v>
      </c>
      <c r="CT155" s="361">
        <v>18638628.800000001</v>
      </c>
      <c r="CU155" s="361">
        <v>2398142.29</v>
      </c>
      <c r="CV155" s="361">
        <v>1627741.37</v>
      </c>
      <c r="CW155" s="361">
        <v>307345.83</v>
      </c>
      <c r="CX155" s="361">
        <v>2756077</v>
      </c>
      <c r="CY155" s="361">
        <v>726333.38</v>
      </c>
      <c r="CZ155" s="361">
        <v>1343428.95</v>
      </c>
      <c r="DA155" s="361">
        <v>1566413.78</v>
      </c>
      <c r="DB155" s="361">
        <v>3739003.84</v>
      </c>
      <c r="DC155" s="361">
        <v>1301886.17</v>
      </c>
      <c r="DD155" s="361">
        <v>2872256.19</v>
      </c>
      <c r="DE155" s="361"/>
      <c r="DF155" s="361"/>
      <c r="DG155" s="361"/>
      <c r="DH155" s="362"/>
    </row>
    <row r="156" spans="1:112" ht="13">
      <c r="A156" s="294"/>
      <c r="B156" s="294"/>
      <c r="F156" s="302"/>
      <c r="I156" s="553"/>
      <c r="P156" s="295"/>
      <c r="W156" s="295"/>
      <c r="AD156" s="295"/>
      <c r="AK156" s="295"/>
      <c r="BY156" s="618"/>
      <c r="BZ156" s="553"/>
      <c r="CF156" s="294"/>
      <c r="CG156" s="294"/>
      <c r="CR156" s="510">
        <v>23</v>
      </c>
      <c r="CS156" s="359" t="s">
        <v>401</v>
      </c>
      <c r="CT156" s="361">
        <v>17905572.77</v>
      </c>
      <c r="CU156" s="361">
        <v>2312193.3199999998</v>
      </c>
      <c r="CV156" s="361">
        <v>2237521.61</v>
      </c>
      <c r="CW156" s="361">
        <v>2361110.06</v>
      </c>
      <c r="CX156" s="361">
        <v>1530266.87</v>
      </c>
      <c r="CY156" s="361">
        <v>1131784.17</v>
      </c>
      <c r="CZ156" s="361">
        <v>1543265.56</v>
      </c>
      <c r="DA156" s="361">
        <v>1701090.28</v>
      </c>
      <c r="DB156" s="361">
        <v>1172441.44</v>
      </c>
      <c r="DC156" s="361">
        <v>2039100.19</v>
      </c>
      <c r="DD156" s="361">
        <v>1876799.27</v>
      </c>
      <c r="DE156" s="361"/>
      <c r="DF156" s="361"/>
      <c r="DG156" s="361"/>
      <c r="DH156" s="362"/>
    </row>
    <row r="157" spans="1:112" ht="13">
      <c r="A157" s="294"/>
      <c r="B157" s="294"/>
      <c r="F157" s="302"/>
      <c r="I157" s="553"/>
      <c r="P157" s="295"/>
      <c r="W157" s="295"/>
      <c r="AD157" s="295"/>
      <c r="AK157" s="295"/>
      <c r="BY157" s="618"/>
      <c r="BZ157" s="553"/>
      <c r="CF157" s="294"/>
      <c r="CG157" s="294"/>
      <c r="CR157" s="510">
        <v>24</v>
      </c>
      <c r="CS157" s="423" t="s">
        <v>394</v>
      </c>
      <c r="CT157" s="361">
        <v>16828493.789999999</v>
      </c>
      <c r="CU157" s="361">
        <v>0</v>
      </c>
      <c r="CV157" s="361">
        <v>1327652.72</v>
      </c>
      <c r="CW157" s="361">
        <v>752060.33</v>
      </c>
      <c r="CX157" s="361">
        <v>2715565.64</v>
      </c>
      <c r="CY157" s="361">
        <v>2263300.58</v>
      </c>
      <c r="CZ157" s="361">
        <v>3734446.23</v>
      </c>
      <c r="DA157" s="361">
        <v>3017734.11</v>
      </c>
      <c r="DB157" s="361">
        <v>3017734.19</v>
      </c>
      <c r="DC157" s="361">
        <v>0</v>
      </c>
      <c r="DD157" s="361">
        <v>0</v>
      </c>
      <c r="DE157" s="361"/>
      <c r="DF157" s="361"/>
      <c r="DG157" s="361"/>
      <c r="DH157" s="362"/>
    </row>
    <row r="158" spans="1:112" ht="13">
      <c r="A158" s="294"/>
      <c r="B158" s="294"/>
      <c r="F158" s="302"/>
      <c r="I158" s="553"/>
      <c r="P158" s="295"/>
      <c r="W158" s="295"/>
      <c r="AD158" s="295"/>
      <c r="AK158" s="295"/>
      <c r="BY158" s="618"/>
      <c r="BZ158" s="553"/>
      <c r="CF158" s="294"/>
      <c r="CG158" s="294"/>
      <c r="CR158" s="510">
        <v>25</v>
      </c>
      <c r="CS158" s="359" t="s">
        <v>381</v>
      </c>
      <c r="CT158" s="361">
        <v>16724504.32</v>
      </c>
      <c r="CU158" s="361">
        <v>944131.28</v>
      </c>
      <c r="CV158" s="361">
        <v>1083659.17</v>
      </c>
      <c r="CW158" s="361">
        <v>3175932.62</v>
      </c>
      <c r="CX158" s="361">
        <v>723322.26</v>
      </c>
      <c r="CY158" s="361">
        <v>2372501.34</v>
      </c>
      <c r="CZ158" s="361">
        <v>2253522</v>
      </c>
      <c r="DA158" s="361">
        <v>1956236.58</v>
      </c>
      <c r="DB158" s="361">
        <v>1828883.69</v>
      </c>
      <c r="DC158" s="361">
        <v>257372.48</v>
      </c>
      <c r="DD158" s="361">
        <v>2128942.91</v>
      </c>
      <c r="DE158" s="365"/>
      <c r="DF158" s="365"/>
      <c r="DG158" s="365"/>
      <c r="DH158" s="366"/>
    </row>
    <row r="159" spans="1:112" ht="13">
      <c r="A159" s="294"/>
      <c r="B159" s="294"/>
      <c r="F159" s="302"/>
      <c r="I159" s="553"/>
      <c r="P159" s="295"/>
      <c r="W159" s="295"/>
      <c r="AD159" s="295"/>
      <c r="AK159" s="295"/>
      <c r="BY159" s="618"/>
      <c r="BZ159" s="553"/>
      <c r="CF159" s="294"/>
      <c r="CG159" s="294"/>
      <c r="CR159" s="510">
        <v>26</v>
      </c>
      <c r="CS159" s="359" t="s">
        <v>385</v>
      </c>
      <c r="CT159" s="361">
        <v>16570920.800000001</v>
      </c>
      <c r="CU159" s="361">
        <v>0</v>
      </c>
      <c r="CV159" s="361">
        <v>0</v>
      </c>
      <c r="CW159" s="361">
        <v>0</v>
      </c>
      <c r="CX159" s="361">
        <v>0</v>
      </c>
      <c r="CY159" s="361">
        <v>0</v>
      </c>
      <c r="CZ159" s="361">
        <v>0</v>
      </c>
      <c r="DA159" s="361">
        <v>4935060.74</v>
      </c>
      <c r="DB159" s="361">
        <v>8531124.3699999992</v>
      </c>
      <c r="DC159" s="361">
        <v>3104735.68</v>
      </c>
      <c r="DD159" s="361">
        <v>0</v>
      </c>
      <c r="DE159" s="361"/>
      <c r="DF159" s="361"/>
      <c r="DG159" s="361"/>
      <c r="DH159" s="362"/>
    </row>
    <row r="160" spans="1:112" ht="13">
      <c r="A160" s="294"/>
      <c r="B160" s="294"/>
      <c r="F160" s="302"/>
      <c r="I160" s="553"/>
      <c r="P160" s="295"/>
      <c r="W160" s="295"/>
      <c r="AD160" s="295"/>
      <c r="AK160" s="295"/>
      <c r="BY160" s="618"/>
      <c r="BZ160" s="553"/>
      <c r="CF160" s="294"/>
      <c r="CG160" s="294"/>
      <c r="CR160" s="510">
        <v>27</v>
      </c>
      <c r="CS160" s="359" t="s">
        <v>446</v>
      </c>
      <c r="CT160" s="361">
        <v>16113816.82</v>
      </c>
      <c r="CU160" s="361">
        <v>1815638.58</v>
      </c>
      <c r="CV160" s="361">
        <v>1901913.64</v>
      </c>
      <c r="CW160" s="361">
        <v>1347797.27</v>
      </c>
      <c r="CX160" s="361">
        <v>1575413.09</v>
      </c>
      <c r="CY160" s="361">
        <v>1672123.55</v>
      </c>
      <c r="CZ160" s="361">
        <v>1972138.74</v>
      </c>
      <c r="DA160" s="361">
        <v>1130783.53</v>
      </c>
      <c r="DB160" s="361">
        <v>1800705.68</v>
      </c>
      <c r="DC160" s="361">
        <v>1166373.76</v>
      </c>
      <c r="DD160" s="361">
        <v>1730928.99</v>
      </c>
      <c r="DE160" s="361"/>
      <c r="DF160" s="361"/>
      <c r="DG160" s="361"/>
      <c r="DH160" s="362"/>
    </row>
    <row r="161" spans="1:112" ht="13">
      <c r="A161" s="294"/>
      <c r="B161" s="294"/>
      <c r="F161" s="302"/>
      <c r="I161" s="553"/>
      <c r="P161" s="295"/>
      <c r="W161" s="295"/>
      <c r="AD161" s="295"/>
      <c r="AK161" s="295"/>
      <c r="BY161" s="618"/>
      <c r="BZ161" s="553"/>
      <c r="CF161" s="294"/>
      <c r="CG161" s="294"/>
      <c r="CR161" s="510">
        <v>28</v>
      </c>
      <c r="CS161" s="359" t="s">
        <v>440</v>
      </c>
      <c r="CT161" s="361">
        <v>14934534.02</v>
      </c>
      <c r="CU161" s="361">
        <v>2671046.17</v>
      </c>
      <c r="CV161" s="361">
        <v>626523.97</v>
      </c>
      <c r="CW161" s="361">
        <v>1404644.13</v>
      </c>
      <c r="CX161" s="361">
        <v>2109601.84</v>
      </c>
      <c r="CY161" s="361">
        <v>1305045.7</v>
      </c>
      <c r="CZ161" s="361">
        <v>1940848.14</v>
      </c>
      <c r="DA161" s="361">
        <v>656425.94999999995</v>
      </c>
      <c r="DB161" s="361">
        <v>896688.79</v>
      </c>
      <c r="DC161" s="361">
        <v>1458559.51</v>
      </c>
      <c r="DD161" s="361">
        <v>1865149.81</v>
      </c>
      <c r="DE161" s="361"/>
      <c r="DF161" s="361"/>
      <c r="DG161" s="361"/>
      <c r="DH161" s="362"/>
    </row>
    <row r="162" spans="1:112" ht="13">
      <c r="A162" s="294"/>
      <c r="B162" s="294"/>
      <c r="F162" s="302"/>
      <c r="I162" s="553"/>
      <c r="P162" s="295"/>
      <c r="W162" s="295"/>
      <c r="AD162" s="295"/>
      <c r="AK162" s="295"/>
      <c r="BY162" s="618"/>
      <c r="BZ162" s="553"/>
      <c r="CF162" s="294"/>
      <c r="CG162" s="294"/>
      <c r="CR162" s="510">
        <v>29</v>
      </c>
      <c r="CS162" s="359" t="s">
        <v>453</v>
      </c>
      <c r="CT162" s="361">
        <v>13493798.02</v>
      </c>
      <c r="CU162" s="361">
        <v>1897312.38</v>
      </c>
      <c r="CV162" s="361">
        <v>1044798.55</v>
      </c>
      <c r="CW162" s="361">
        <v>1624829.55</v>
      </c>
      <c r="CX162" s="361">
        <v>1463203.43</v>
      </c>
      <c r="CY162" s="361">
        <v>1041875.5</v>
      </c>
      <c r="CZ162" s="361">
        <v>862915.88</v>
      </c>
      <c r="DA162" s="361">
        <v>1209574.19</v>
      </c>
      <c r="DB162" s="361">
        <v>944352.62</v>
      </c>
      <c r="DC162" s="361">
        <v>1458818.37</v>
      </c>
      <c r="DD162" s="361">
        <v>1946117.56</v>
      </c>
      <c r="DE162" s="365"/>
      <c r="DF162" s="365"/>
      <c r="DG162" s="365"/>
      <c r="DH162" s="366"/>
    </row>
    <row r="163" spans="1:112" ht="13">
      <c r="A163" s="294"/>
      <c r="B163" s="294"/>
      <c r="F163" s="302"/>
      <c r="I163" s="553"/>
      <c r="P163" s="295"/>
      <c r="W163" s="295"/>
      <c r="AD163" s="295"/>
      <c r="AK163" s="295"/>
      <c r="BY163" s="618"/>
      <c r="BZ163" s="553"/>
      <c r="CF163" s="294"/>
      <c r="CG163" s="294"/>
      <c r="CR163" s="510">
        <v>30</v>
      </c>
      <c r="CS163" s="359" t="s">
        <v>429</v>
      </c>
      <c r="CT163" s="361">
        <v>13364689.75</v>
      </c>
      <c r="CU163" s="361">
        <v>3618325.44</v>
      </c>
      <c r="CV163" s="361">
        <v>154756.98000000001</v>
      </c>
      <c r="CW163" s="361">
        <v>0</v>
      </c>
      <c r="CX163" s="361">
        <v>0</v>
      </c>
      <c r="CY163" s="361">
        <v>1622529.65</v>
      </c>
      <c r="CZ163" s="361">
        <v>1661603.64</v>
      </c>
      <c r="DA163" s="361">
        <v>2545696.2999999998</v>
      </c>
      <c r="DB163" s="361">
        <v>2089503.38</v>
      </c>
      <c r="DC163" s="361">
        <v>851497.11</v>
      </c>
      <c r="DD163" s="361">
        <v>820777.25</v>
      </c>
      <c r="DE163" s="361"/>
      <c r="DF163" s="361"/>
      <c r="DG163" s="361"/>
      <c r="DH163" s="362"/>
    </row>
    <row r="164" spans="1:112" ht="13">
      <c r="A164" s="294"/>
      <c r="B164" s="294"/>
      <c r="F164" s="302"/>
      <c r="I164" s="553"/>
      <c r="P164" s="295"/>
      <c r="W164" s="295"/>
      <c r="AD164" s="295"/>
      <c r="AK164" s="295"/>
      <c r="BY164" s="618"/>
      <c r="BZ164" s="553"/>
      <c r="CF164" s="294"/>
      <c r="CG164" s="294"/>
      <c r="CR164" s="510">
        <v>31</v>
      </c>
      <c r="CS164" s="359" t="s">
        <v>436</v>
      </c>
      <c r="CT164" s="361">
        <v>12775460.470000001</v>
      </c>
      <c r="CU164" s="361">
        <v>1432952.46</v>
      </c>
      <c r="CV164" s="361">
        <v>1285936.6499999999</v>
      </c>
      <c r="CW164" s="361">
        <v>1343280.31</v>
      </c>
      <c r="CX164" s="361">
        <v>1495197.37</v>
      </c>
      <c r="CY164" s="361">
        <v>985332.34</v>
      </c>
      <c r="CZ164" s="361">
        <v>579148.68000000005</v>
      </c>
      <c r="DA164" s="361">
        <v>1017446.23</v>
      </c>
      <c r="DB164" s="361">
        <v>939563.93</v>
      </c>
      <c r="DC164" s="361">
        <v>1720648.03</v>
      </c>
      <c r="DD164" s="361">
        <v>1975954.46</v>
      </c>
      <c r="DE164" s="361"/>
      <c r="DF164" s="361"/>
      <c r="DG164" s="361"/>
      <c r="DH164" s="362"/>
    </row>
    <row r="165" spans="1:112" ht="13">
      <c r="A165" s="294"/>
      <c r="B165" s="294"/>
      <c r="F165" s="302"/>
      <c r="I165" s="553"/>
      <c r="P165" s="295"/>
      <c r="W165" s="295"/>
      <c r="AD165" s="295"/>
      <c r="AK165" s="295"/>
      <c r="BY165" s="618"/>
      <c r="BZ165" s="553"/>
      <c r="CF165" s="294"/>
      <c r="CG165" s="294"/>
      <c r="CR165" s="510">
        <v>32</v>
      </c>
      <c r="CS165" s="323" t="s">
        <v>494</v>
      </c>
      <c r="CT165" s="361">
        <v>12593342.75</v>
      </c>
      <c r="CU165" s="361">
        <v>897289.18</v>
      </c>
      <c r="CV165" s="361">
        <v>4410649.5199999996</v>
      </c>
      <c r="CW165" s="361">
        <v>882502.35</v>
      </c>
      <c r="CX165" s="361">
        <v>696614.24</v>
      </c>
      <c r="CY165" s="361">
        <v>1892560.71</v>
      </c>
      <c r="CZ165" s="361">
        <v>686968.25</v>
      </c>
      <c r="DA165" s="361">
        <v>495486.67</v>
      </c>
      <c r="DB165" s="361">
        <v>534787.31999999995</v>
      </c>
      <c r="DC165" s="361">
        <v>613916.96</v>
      </c>
      <c r="DD165" s="361">
        <v>1482567.57</v>
      </c>
      <c r="DE165" s="361"/>
      <c r="DF165" s="361"/>
      <c r="DG165" s="361"/>
      <c r="DH165" s="362"/>
    </row>
    <row r="166" spans="1:112" ht="13">
      <c r="A166" s="294"/>
      <c r="B166" s="294"/>
      <c r="F166" s="302"/>
      <c r="I166" s="553"/>
      <c r="P166" s="295"/>
      <c r="W166" s="295"/>
      <c r="AD166" s="295"/>
      <c r="AK166" s="295"/>
      <c r="BY166" s="618"/>
      <c r="BZ166" s="553"/>
      <c r="CF166" s="294"/>
      <c r="CG166" s="294"/>
      <c r="CR166" s="510">
        <v>33</v>
      </c>
      <c r="CS166" s="359" t="s">
        <v>459</v>
      </c>
      <c r="CT166" s="361">
        <v>12405472.619999999</v>
      </c>
      <c r="CU166" s="361">
        <v>1759791</v>
      </c>
      <c r="CV166" s="361">
        <v>715949.44</v>
      </c>
      <c r="CW166" s="361">
        <v>1657253.39</v>
      </c>
      <c r="CX166" s="361">
        <v>1592328.94</v>
      </c>
      <c r="CY166" s="361">
        <v>744742.55</v>
      </c>
      <c r="CZ166" s="361">
        <v>1186143.45</v>
      </c>
      <c r="DA166" s="361">
        <v>255860.12</v>
      </c>
      <c r="DB166" s="361">
        <v>741632.97</v>
      </c>
      <c r="DC166" s="361">
        <v>1998123.28</v>
      </c>
      <c r="DD166" s="361">
        <v>1753647.46</v>
      </c>
      <c r="DE166" s="365"/>
      <c r="DF166" s="365"/>
      <c r="DG166" s="365"/>
      <c r="DH166" s="366"/>
    </row>
    <row r="167" spans="1:112" ht="13">
      <c r="A167" s="294"/>
      <c r="B167" s="294"/>
      <c r="F167" s="302"/>
      <c r="I167" s="553"/>
      <c r="P167" s="295"/>
      <c r="W167" s="295"/>
      <c r="AD167" s="295"/>
      <c r="AK167" s="295"/>
      <c r="BY167" s="618"/>
      <c r="BZ167" s="553"/>
      <c r="CF167" s="294"/>
      <c r="CG167" s="294"/>
      <c r="CR167" s="510">
        <v>34</v>
      </c>
      <c r="CS167" s="359" t="s">
        <v>421</v>
      </c>
      <c r="CT167" s="361">
        <v>11750966.59</v>
      </c>
      <c r="CU167" s="361">
        <v>1214476.6000000001</v>
      </c>
      <c r="CV167" s="361">
        <v>837954.57</v>
      </c>
      <c r="CW167" s="361">
        <v>1193965.8600000001</v>
      </c>
      <c r="CX167" s="361">
        <v>1674863.96</v>
      </c>
      <c r="CY167" s="361">
        <v>860727.17</v>
      </c>
      <c r="CZ167" s="361">
        <v>1016694.03</v>
      </c>
      <c r="DA167" s="361">
        <v>842305.15</v>
      </c>
      <c r="DB167" s="361">
        <v>1224802.6200000001</v>
      </c>
      <c r="DC167" s="361">
        <v>1275925.74</v>
      </c>
      <c r="DD167" s="361">
        <v>1609250.89</v>
      </c>
      <c r="DE167" s="361"/>
      <c r="DF167" s="361"/>
      <c r="DG167" s="361"/>
      <c r="DH167" s="362"/>
    </row>
    <row r="168" spans="1:112" ht="13">
      <c r="A168" s="294"/>
      <c r="B168" s="294"/>
      <c r="F168" s="302"/>
      <c r="I168" s="553"/>
      <c r="P168" s="295"/>
      <c r="W168" s="295"/>
      <c r="AD168" s="295"/>
      <c r="AK168" s="295"/>
      <c r="BY168" s="618"/>
      <c r="BZ168" s="553"/>
      <c r="CF168" s="294"/>
      <c r="CG168" s="294"/>
      <c r="CR168" s="510">
        <v>35</v>
      </c>
      <c r="CS168" s="359" t="s">
        <v>431</v>
      </c>
      <c r="CT168" s="361">
        <v>10611150.960000001</v>
      </c>
      <c r="CU168" s="361">
        <v>1301483.96</v>
      </c>
      <c r="CV168" s="361">
        <v>404935.54</v>
      </c>
      <c r="CW168" s="361">
        <v>826011.39</v>
      </c>
      <c r="CX168" s="361">
        <v>1747798.76</v>
      </c>
      <c r="CY168" s="361">
        <v>667732.03</v>
      </c>
      <c r="CZ168" s="361">
        <v>952265.47</v>
      </c>
      <c r="DA168" s="361">
        <v>374691.41</v>
      </c>
      <c r="DB168" s="361">
        <v>1871969.72</v>
      </c>
      <c r="DC168" s="361">
        <v>552610.94999999995</v>
      </c>
      <c r="DD168" s="361">
        <v>1911651.74</v>
      </c>
      <c r="DE168" s="361"/>
      <c r="DF168" s="361"/>
      <c r="DG168" s="361"/>
      <c r="DH168" s="362"/>
    </row>
    <row r="169" spans="1:112" ht="13">
      <c r="A169" s="294"/>
      <c r="B169" s="294"/>
      <c r="F169" s="302"/>
      <c r="I169" s="553"/>
      <c r="P169" s="295"/>
      <c r="W169" s="295"/>
      <c r="AD169" s="295"/>
      <c r="AK169" s="295"/>
      <c r="BY169" s="618"/>
      <c r="BZ169" s="553"/>
      <c r="CF169" s="294"/>
      <c r="CG169" s="294"/>
      <c r="CR169" s="510">
        <v>36</v>
      </c>
      <c r="CS169" s="359" t="s">
        <v>430</v>
      </c>
      <c r="CT169" s="361">
        <v>10080104.66</v>
      </c>
      <c r="CU169" s="361">
        <v>1553494.64</v>
      </c>
      <c r="CV169" s="361">
        <v>832479.64</v>
      </c>
      <c r="CW169" s="361">
        <v>835823.42</v>
      </c>
      <c r="CX169" s="361">
        <v>743175.07</v>
      </c>
      <c r="CY169" s="361">
        <v>1170851.76</v>
      </c>
      <c r="CZ169" s="361">
        <v>798940.54</v>
      </c>
      <c r="DA169" s="361">
        <v>950181.74</v>
      </c>
      <c r="DB169" s="361">
        <v>752793.17</v>
      </c>
      <c r="DC169" s="361">
        <v>1362999.84</v>
      </c>
      <c r="DD169" s="361">
        <v>1079364.8400000001</v>
      </c>
      <c r="DE169" s="361"/>
      <c r="DF169" s="361"/>
      <c r="DG169" s="361"/>
      <c r="DH169" s="362"/>
    </row>
    <row r="170" spans="1:112" ht="13">
      <c r="A170" s="294"/>
      <c r="B170" s="294"/>
      <c r="F170" s="302"/>
      <c r="I170" s="553"/>
      <c r="P170" s="295"/>
      <c r="W170" s="295"/>
      <c r="AD170" s="295"/>
      <c r="AK170" s="295"/>
      <c r="BY170" s="618"/>
      <c r="BZ170" s="553"/>
      <c r="CF170" s="294"/>
      <c r="CG170" s="294"/>
      <c r="CR170" s="510">
        <v>37</v>
      </c>
      <c r="CS170" s="359" t="s">
        <v>426</v>
      </c>
      <c r="CT170" s="361">
        <v>9686333.6300000008</v>
      </c>
      <c r="CU170" s="361">
        <v>1496261.52</v>
      </c>
      <c r="CV170" s="361">
        <v>958898.25</v>
      </c>
      <c r="CW170" s="361">
        <v>1126969.24</v>
      </c>
      <c r="CX170" s="361">
        <v>1100991.04</v>
      </c>
      <c r="CY170" s="361">
        <v>943314.65</v>
      </c>
      <c r="CZ170" s="361">
        <v>940229.25</v>
      </c>
      <c r="DA170" s="361">
        <v>840848.75</v>
      </c>
      <c r="DB170" s="361">
        <v>661071.62</v>
      </c>
      <c r="DC170" s="361">
        <v>716727.75</v>
      </c>
      <c r="DD170" s="361">
        <v>901021.56</v>
      </c>
      <c r="DE170" s="361"/>
      <c r="DF170" s="361"/>
      <c r="DG170" s="361"/>
      <c r="DH170" s="362"/>
    </row>
    <row r="171" spans="1:112" ht="13">
      <c r="A171" s="294"/>
      <c r="B171" s="294"/>
      <c r="F171" s="302"/>
      <c r="I171" s="553"/>
      <c r="P171" s="295"/>
      <c r="W171" s="295"/>
      <c r="AD171" s="295"/>
      <c r="AK171" s="295"/>
      <c r="BY171" s="618"/>
      <c r="BZ171" s="553"/>
      <c r="CF171" s="294"/>
      <c r="CG171" s="294"/>
      <c r="CR171" s="510">
        <v>38</v>
      </c>
      <c r="CS171" s="359" t="s">
        <v>419</v>
      </c>
      <c r="CT171" s="361">
        <v>9027522.5099999998</v>
      </c>
      <c r="CU171" s="361">
        <v>1156485.6299999999</v>
      </c>
      <c r="CV171" s="361">
        <v>984019.05</v>
      </c>
      <c r="CW171" s="361">
        <v>271606.86</v>
      </c>
      <c r="CX171" s="361">
        <v>1075115.1100000001</v>
      </c>
      <c r="CY171" s="361">
        <v>0</v>
      </c>
      <c r="CZ171" s="361">
        <v>1020203.82</v>
      </c>
      <c r="DA171" s="361">
        <v>315649.09999999998</v>
      </c>
      <c r="DB171" s="361">
        <v>836365.5</v>
      </c>
      <c r="DC171" s="361">
        <v>1845228.5</v>
      </c>
      <c r="DD171" s="361">
        <v>1522848.96</v>
      </c>
      <c r="DE171" s="361"/>
      <c r="DF171" s="361"/>
      <c r="DG171" s="361"/>
      <c r="DH171" s="362"/>
    </row>
    <row r="172" spans="1:112" ht="13">
      <c r="A172" s="294"/>
      <c r="B172" s="294"/>
      <c r="F172" s="302"/>
      <c r="I172" s="553"/>
      <c r="P172" s="295"/>
      <c r="W172" s="295"/>
      <c r="AD172" s="295"/>
      <c r="AK172" s="295"/>
      <c r="BY172" s="618"/>
      <c r="BZ172" s="553"/>
      <c r="CF172" s="294"/>
      <c r="CG172" s="294"/>
      <c r="CR172" s="510">
        <v>39</v>
      </c>
      <c r="CS172" s="359" t="s">
        <v>380</v>
      </c>
      <c r="CT172" s="361">
        <v>8355843.3499999996</v>
      </c>
      <c r="CU172" s="361">
        <v>333975.06</v>
      </c>
      <c r="CV172" s="361">
        <v>1044764.07</v>
      </c>
      <c r="CW172" s="361">
        <v>556278.55000000005</v>
      </c>
      <c r="CX172" s="361">
        <v>1030218.46</v>
      </c>
      <c r="CY172" s="361">
        <v>544739.64</v>
      </c>
      <c r="CZ172" s="361">
        <v>464526.55</v>
      </c>
      <c r="DA172" s="361">
        <v>1345900.42</v>
      </c>
      <c r="DB172" s="361">
        <v>661611.61</v>
      </c>
      <c r="DC172" s="361">
        <v>1116991.92</v>
      </c>
      <c r="DD172" s="361">
        <v>1256837.07</v>
      </c>
      <c r="DE172" s="361"/>
      <c r="DF172" s="361"/>
      <c r="DG172" s="361"/>
      <c r="DH172" s="362"/>
    </row>
    <row r="173" spans="1:112" ht="13">
      <c r="A173" s="294"/>
      <c r="B173" s="294"/>
      <c r="F173" s="302"/>
      <c r="I173" s="553"/>
      <c r="P173" s="295"/>
      <c r="W173" s="295"/>
      <c r="AD173" s="295"/>
      <c r="AK173" s="295"/>
      <c r="BY173" s="618"/>
      <c r="BZ173" s="553"/>
      <c r="CF173" s="294"/>
      <c r="CG173" s="294"/>
      <c r="CR173" s="510">
        <v>40</v>
      </c>
      <c r="CS173" s="359" t="s">
        <v>466</v>
      </c>
      <c r="CT173" s="361">
        <v>8290361.8099999996</v>
      </c>
      <c r="CU173" s="361">
        <v>1928922.53</v>
      </c>
      <c r="CV173" s="361">
        <v>200584.61</v>
      </c>
      <c r="CW173" s="361">
        <v>962397.23</v>
      </c>
      <c r="CX173" s="361">
        <v>563964.72</v>
      </c>
      <c r="CY173" s="361">
        <v>1089480.04</v>
      </c>
      <c r="CZ173" s="361">
        <v>712388.13</v>
      </c>
      <c r="DA173" s="361">
        <v>847116.74</v>
      </c>
      <c r="DB173" s="361">
        <v>362485.26</v>
      </c>
      <c r="DC173" s="361">
        <v>475471.65</v>
      </c>
      <c r="DD173" s="361">
        <v>1147550.8999999999</v>
      </c>
      <c r="DE173" s="361"/>
      <c r="DF173" s="361"/>
      <c r="DG173" s="361"/>
      <c r="DH173" s="362"/>
    </row>
    <row r="174" spans="1:112" ht="13">
      <c r="A174" s="294"/>
      <c r="B174" s="294"/>
      <c r="F174" s="302"/>
      <c r="I174" s="553"/>
      <c r="P174" s="295"/>
      <c r="W174" s="295"/>
      <c r="AD174" s="295"/>
      <c r="AK174" s="295"/>
      <c r="BY174" s="618"/>
      <c r="BZ174" s="553"/>
      <c r="CF174" s="294"/>
      <c r="CG174" s="294"/>
      <c r="CR174" s="510">
        <v>41</v>
      </c>
      <c r="CS174" s="359" t="s">
        <v>410</v>
      </c>
      <c r="CT174" s="361">
        <v>7973676.1200000001</v>
      </c>
      <c r="CU174" s="361">
        <v>1026854.81</v>
      </c>
      <c r="CV174" s="361">
        <v>1070604.4099999999</v>
      </c>
      <c r="CW174" s="361">
        <v>583481.89</v>
      </c>
      <c r="CX174" s="361">
        <v>835583.28</v>
      </c>
      <c r="CY174" s="361">
        <v>577051.76</v>
      </c>
      <c r="CZ174" s="361">
        <v>594975.17000000004</v>
      </c>
      <c r="DA174" s="361">
        <v>727769.86</v>
      </c>
      <c r="DB174" s="361">
        <v>659488.85</v>
      </c>
      <c r="DC174" s="361">
        <v>479210.02</v>
      </c>
      <c r="DD174" s="361">
        <v>1418656.07</v>
      </c>
      <c r="DE174" s="361"/>
      <c r="DF174" s="361"/>
      <c r="DG174" s="361"/>
      <c r="DH174" s="362"/>
    </row>
    <row r="175" spans="1:112" ht="13">
      <c r="A175" s="294"/>
      <c r="B175" s="294"/>
      <c r="F175" s="302"/>
      <c r="I175" s="553"/>
      <c r="P175" s="295"/>
      <c r="W175" s="295"/>
      <c r="AD175" s="295"/>
      <c r="AK175" s="295"/>
      <c r="BY175" s="618"/>
      <c r="BZ175" s="553"/>
      <c r="CF175" s="294"/>
      <c r="CG175" s="294"/>
      <c r="CR175" s="510">
        <v>42</v>
      </c>
      <c r="CS175" s="359" t="s">
        <v>415</v>
      </c>
      <c r="CT175" s="361">
        <v>7937416.2599999998</v>
      </c>
      <c r="CU175" s="361">
        <v>330003.96000000002</v>
      </c>
      <c r="CV175" s="361">
        <v>1086809.6399999999</v>
      </c>
      <c r="CW175" s="361">
        <v>714971.14</v>
      </c>
      <c r="CX175" s="361">
        <v>842525.81</v>
      </c>
      <c r="CY175" s="361">
        <v>660536.93999999994</v>
      </c>
      <c r="CZ175" s="361">
        <v>400181.2</v>
      </c>
      <c r="DA175" s="361">
        <v>837244.35</v>
      </c>
      <c r="DB175" s="361">
        <v>634613.51</v>
      </c>
      <c r="DC175" s="361">
        <v>854204.97</v>
      </c>
      <c r="DD175" s="361">
        <v>1576324.74</v>
      </c>
      <c r="DE175" s="361"/>
      <c r="DF175" s="361"/>
      <c r="DG175" s="361"/>
      <c r="DH175" s="362"/>
    </row>
    <row r="176" spans="1:112" ht="13">
      <c r="A176" s="294"/>
      <c r="B176" s="294"/>
      <c r="F176" s="302"/>
      <c r="I176" s="553"/>
      <c r="P176" s="295"/>
      <c r="W176" s="295"/>
      <c r="AD176" s="295"/>
      <c r="AK176" s="295"/>
      <c r="BY176" s="618"/>
      <c r="BZ176" s="553"/>
      <c r="CF176" s="294"/>
      <c r="CG176" s="294"/>
      <c r="CR176" s="510">
        <v>43</v>
      </c>
      <c r="CS176" s="359" t="s">
        <v>458</v>
      </c>
      <c r="CT176" s="361">
        <v>7707679.54</v>
      </c>
      <c r="CU176" s="361">
        <v>868113.03</v>
      </c>
      <c r="CV176" s="361">
        <v>399682.07</v>
      </c>
      <c r="CW176" s="361">
        <v>604761.99</v>
      </c>
      <c r="CX176" s="361">
        <v>1226040.04</v>
      </c>
      <c r="CY176" s="361">
        <v>798893.4</v>
      </c>
      <c r="CZ176" s="361">
        <v>481577.34</v>
      </c>
      <c r="DA176" s="361">
        <v>686268.45</v>
      </c>
      <c r="DB176" s="361">
        <v>505757.35</v>
      </c>
      <c r="DC176" s="361">
        <v>1192738.1200000001</v>
      </c>
      <c r="DD176" s="361">
        <v>943847.74</v>
      </c>
      <c r="DE176" s="365"/>
      <c r="DF176" s="365"/>
      <c r="DG176" s="365"/>
      <c r="DH176" s="366"/>
    </row>
    <row r="177" spans="1:112" ht="13">
      <c r="A177" s="294"/>
      <c r="B177" s="294"/>
      <c r="F177" s="302"/>
      <c r="I177" s="553"/>
      <c r="P177" s="295"/>
      <c r="W177" s="295"/>
      <c r="AD177" s="295"/>
      <c r="AK177" s="295"/>
      <c r="BY177" s="618"/>
      <c r="BZ177" s="553"/>
      <c r="CF177" s="294"/>
      <c r="CG177" s="294"/>
      <c r="CR177" s="510">
        <v>44</v>
      </c>
      <c r="CS177" s="359" t="s">
        <v>452</v>
      </c>
      <c r="CT177" s="361">
        <v>7601169.4900000002</v>
      </c>
      <c r="CU177" s="361">
        <v>1124497.3899999999</v>
      </c>
      <c r="CV177" s="361">
        <v>203253.89</v>
      </c>
      <c r="CW177" s="361">
        <v>1078805.44</v>
      </c>
      <c r="CX177" s="361">
        <v>659732.78</v>
      </c>
      <c r="CY177" s="361">
        <v>805329.21</v>
      </c>
      <c r="CZ177" s="361">
        <v>690732.64</v>
      </c>
      <c r="DA177" s="361">
        <v>806536.75</v>
      </c>
      <c r="DB177" s="361">
        <v>885518.15</v>
      </c>
      <c r="DC177" s="361">
        <v>749760.61</v>
      </c>
      <c r="DD177" s="361">
        <v>597002.65</v>
      </c>
      <c r="DE177" s="361"/>
      <c r="DF177" s="361"/>
      <c r="DG177" s="361"/>
      <c r="DH177" s="362"/>
    </row>
    <row r="178" spans="1:112" ht="13">
      <c r="A178" s="294"/>
      <c r="B178" s="294"/>
      <c r="F178" s="302"/>
      <c r="I178" s="553"/>
      <c r="P178" s="295"/>
      <c r="W178" s="295"/>
      <c r="AD178" s="295"/>
      <c r="AK178" s="295"/>
      <c r="BY178" s="618"/>
      <c r="BZ178" s="553"/>
      <c r="CF178" s="294"/>
      <c r="CG178" s="294"/>
      <c r="CR178" s="510">
        <v>45</v>
      </c>
      <c r="CS178" s="359" t="s">
        <v>493</v>
      </c>
      <c r="CT178" s="361">
        <v>7498911.4699999997</v>
      </c>
      <c r="CU178" s="361">
        <v>616756.31999999995</v>
      </c>
      <c r="CV178" s="361">
        <v>721912.34</v>
      </c>
      <c r="CW178" s="361">
        <v>664520.53</v>
      </c>
      <c r="CX178" s="361">
        <v>811980.67</v>
      </c>
      <c r="CY178" s="361">
        <v>898336.19</v>
      </c>
      <c r="CZ178" s="361">
        <v>919251.71</v>
      </c>
      <c r="DA178" s="361">
        <v>967540.32</v>
      </c>
      <c r="DB178" s="361">
        <v>792779.66</v>
      </c>
      <c r="DC178" s="361">
        <v>370210.37</v>
      </c>
      <c r="DD178" s="361">
        <v>735623.36</v>
      </c>
      <c r="DE178" s="365"/>
      <c r="DF178" s="365"/>
      <c r="DG178" s="365"/>
      <c r="DH178" s="366"/>
    </row>
    <row r="179" spans="1:112" ht="13">
      <c r="A179" s="294"/>
      <c r="B179" s="294"/>
      <c r="F179" s="302"/>
      <c r="I179" s="553"/>
      <c r="P179" s="295"/>
      <c r="W179" s="295"/>
      <c r="AD179" s="295"/>
      <c r="AK179" s="295"/>
      <c r="BY179" s="618"/>
      <c r="BZ179" s="553"/>
      <c r="CF179" s="294"/>
      <c r="CG179" s="294"/>
      <c r="CR179" s="510">
        <v>46</v>
      </c>
      <c r="CS179" s="359" t="s">
        <v>416</v>
      </c>
      <c r="CT179" s="361">
        <v>7414408.6100000003</v>
      </c>
      <c r="CU179" s="361">
        <v>727413.93</v>
      </c>
      <c r="CV179" s="361">
        <v>598095.99</v>
      </c>
      <c r="CW179" s="361">
        <v>1149219.8</v>
      </c>
      <c r="CX179" s="361">
        <v>318999.28999999998</v>
      </c>
      <c r="CY179" s="361">
        <v>959922.97</v>
      </c>
      <c r="CZ179" s="361">
        <v>204818.84</v>
      </c>
      <c r="DA179" s="361">
        <v>887119.59</v>
      </c>
      <c r="DB179" s="361">
        <v>523033.53</v>
      </c>
      <c r="DC179" s="361">
        <v>366479.16</v>
      </c>
      <c r="DD179" s="361">
        <v>1679305.52</v>
      </c>
      <c r="DE179" s="361"/>
      <c r="DF179" s="361"/>
      <c r="DG179" s="361"/>
      <c r="DH179" s="362"/>
    </row>
    <row r="180" spans="1:112" ht="13">
      <c r="A180" s="294"/>
      <c r="B180" s="294"/>
      <c r="F180" s="302"/>
      <c r="I180" s="553"/>
      <c r="P180" s="295"/>
      <c r="W180" s="295"/>
      <c r="AD180" s="295"/>
      <c r="AK180" s="295"/>
      <c r="BY180" s="618"/>
      <c r="BZ180" s="553"/>
      <c r="CF180" s="294"/>
      <c r="CG180" s="294"/>
      <c r="CR180" s="510">
        <v>47</v>
      </c>
      <c r="CS180" s="359" t="s">
        <v>441</v>
      </c>
      <c r="CT180" s="361">
        <v>7338748.3899999997</v>
      </c>
      <c r="CU180" s="361">
        <v>785011.34</v>
      </c>
      <c r="CV180" s="361">
        <v>364887.25</v>
      </c>
      <c r="CW180" s="361">
        <v>930250.92</v>
      </c>
      <c r="CX180" s="361">
        <v>551744.41</v>
      </c>
      <c r="CY180" s="361">
        <v>788229.2</v>
      </c>
      <c r="CZ180" s="361">
        <v>573557.84</v>
      </c>
      <c r="DA180" s="361">
        <v>857815.39</v>
      </c>
      <c r="DB180" s="361">
        <v>761819.7</v>
      </c>
      <c r="DC180" s="361">
        <v>792643.47</v>
      </c>
      <c r="DD180" s="361">
        <v>932788.86</v>
      </c>
      <c r="DE180" s="361"/>
      <c r="DF180" s="361"/>
      <c r="DG180" s="361"/>
      <c r="DH180" s="362"/>
    </row>
    <row r="181" spans="1:112" ht="13">
      <c r="A181" s="294"/>
      <c r="B181" s="294"/>
      <c r="F181" s="302"/>
      <c r="I181" s="553"/>
      <c r="P181" s="295"/>
      <c r="W181" s="295"/>
      <c r="AD181" s="295"/>
      <c r="AK181" s="295"/>
      <c r="BY181" s="618"/>
      <c r="BZ181" s="553"/>
      <c r="CF181" s="294"/>
      <c r="CG181" s="294"/>
      <c r="CR181" s="510">
        <v>48</v>
      </c>
      <c r="CS181" s="359" t="s">
        <v>448</v>
      </c>
      <c r="CT181" s="361">
        <v>6286830.0199999996</v>
      </c>
      <c r="CU181" s="361">
        <v>898021.8</v>
      </c>
      <c r="CV181" s="361">
        <v>384994.15</v>
      </c>
      <c r="CW181" s="361">
        <v>513965.85</v>
      </c>
      <c r="CX181" s="361">
        <v>309385.08</v>
      </c>
      <c r="CY181" s="361">
        <v>1949194.46</v>
      </c>
      <c r="CZ181" s="361">
        <v>634974.24</v>
      </c>
      <c r="DA181" s="361">
        <v>131579.34</v>
      </c>
      <c r="DB181" s="361">
        <v>0</v>
      </c>
      <c r="DC181" s="361">
        <v>191596.44</v>
      </c>
      <c r="DD181" s="361">
        <v>1273118.68</v>
      </c>
      <c r="DE181" s="361"/>
      <c r="DF181" s="361"/>
      <c r="DG181" s="361"/>
      <c r="DH181" s="362"/>
    </row>
    <row r="182" spans="1:112" ht="13">
      <c r="A182" s="294"/>
      <c r="B182" s="294"/>
      <c r="F182" s="302"/>
      <c r="I182" s="553"/>
      <c r="P182" s="295"/>
      <c r="W182" s="295"/>
      <c r="AD182" s="295"/>
      <c r="AK182" s="295"/>
      <c r="BY182" s="618"/>
      <c r="BZ182" s="553"/>
      <c r="CF182" s="294"/>
      <c r="CG182" s="294"/>
      <c r="CR182" s="510">
        <v>49</v>
      </c>
      <c r="CS182" s="359" t="s">
        <v>435</v>
      </c>
      <c r="CT182" s="361">
        <v>6120838.5300000003</v>
      </c>
      <c r="CU182" s="361">
        <v>404050.77</v>
      </c>
      <c r="CV182" s="361">
        <v>965700.17</v>
      </c>
      <c r="CW182" s="361">
        <v>1590475.21</v>
      </c>
      <c r="CX182" s="361">
        <v>915469.25</v>
      </c>
      <c r="CY182" s="361">
        <v>412368.16</v>
      </c>
      <c r="CZ182" s="361">
        <v>529726.94999999995</v>
      </c>
      <c r="DA182" s="361">
        <v>613691.56000000006</v>
      </c>
      <c r="DB182" s="361">
        <v>0</v>
      </c>
      <c r="DC182" s="361">
        <v>534177.56999999995</v>
      </c>
      <c r="DD182" s="361">
        <v>155178.88</v>
      </c>
      <c r="DE182" s="361"/>
      <c r="DF182" s="361"/>
      <c r="DG182" s="361"/>
      <c r="DH182" s="362"/>
    </row>
    <row r="183" spans="1:112" ht="13">
      <c r="A183" s="294"/>
      <c r="B183" s="294"/>
      <c r="F183" s="302"/>
      <c r="I183" s="553"/>
      <c r="P183" s="295"/>
      <c r="W183" s="295"/>
      <c r="AD183" s="295"/>
      <c r="AK183" s="295"/>
      <c r="BY183" s="618"/>
      <c r="BZ183" s="553"/>
      <c r="CF183" s="294"/>
      <c r="CG183" s="294"/>
      <c r="CR183" s="510">
        <v>50</v>
      </c>
      <c r="CS183" s="359" t="s">
        <v>489</v>
      </c>
      <c r="CT183" s="361">
        <v>5941195.4000000004</v>
      </c>
      <c r="CU183" s="361">
        <v>1176799.04</v>
      </c>
      <c r="CV183" s="361">
        <v>0</v>
      </c>
      <c r="CW183" s="361">
        <v>525890.11</v>
      </c>
      <c r="CX183" s="361">
        <v>437528.53</v>
      </c>
      <c r="CY183" s="361">
        <v>482393.65</v>
      </c>
      <c r="CZ183" s="361">
        <v>402825.83</v>
      </c>
      <c r="DA183" s="361">
        <v>0</v>
      </c>
      <c r="DB183" s="361">
        <v>292430.31</v>
      </c>
      <c r="DC183" s="361">
        <v>1689096.45</v>
      </c>
      <c r="DD183" s="361">
        <v>934231.48</v>
      </c>
      <c r="DE183" s="361"/>
      <c r="DF183" s="361"/>
      <c r="DG183" s="361"/>
      <c r="DH183" s="362"/>
    </row>
    <row r="184" spans="1:112" ht="13">
      <c r="A184" s="294"/>
      <c r="B184" s="294"/>
      <c r="F184" s="302"/>
      <c r="I184" s="553"/>
      <c r="P184" s="295"/>
      <c r="W184" s="295"/>
      <c r="AD184" s="295"/>
      <c r="AK184" s="295"/>
      <c r="BY184" s="618"/>
      <c r="BZ184" s="553"/>
      <c r="CF184" s="294"/>
      <c r="CG184" s="294"/>
      <c r="CR184" s="510">
        <v>51</v>
      </c>
      <c r="CS184" s="359" t="s">
        <v>428</v>
      </c>
      <c r="CT184" s="361">
        <v>5691700.1500000004</v>
      </c>
      <c r="CU184" s="361">
        <v>1038164.39</v>
      </c>
      <c r="CV184" s="361">
        <v>0</v>
      </c>
      <c r="CW184" s="361">
        <v>1274165.3799999999</v>
      </c>
      <c r="CX184" s="361">
        <v>621642.16</v>
      </c>
      <c r="CY184" s="361">
        <v>879087.47</v>
      </c>
      <c r="CZ184" s="361">
        <v>521226.21</v>
      </c>
      <c r="DA184" s="361">
        <v>1055838.8700000001</v>
      </c>
      <c r="DB184" s="361">
        <v>-391011</v>
      </c>
      <c r="DC184" s="361">
        <v>270472.65999999997</v>
      </c>
      <c r="DD184" s="361">
        <v>422114</v>
      </c>
      <c r="DE184" s="365"/>
      <c r="DF184" s="365"/>
      <c r="DG184" s="365"/>
      <c r="DH184" s="366"/>
    </row>
    <row r="185" spans="1:112" ht="13">
      <c r="A185" s="294"/>
      <c r="B185" s="294"/>
      <c r="F185" s="302"/>
      <c r="I185" s="553"/>
      <c r="P185" s="295"/>
      <c r="W185" s="295"/>
      <c r="AD185" s="295"/>
      <c r="AK185" s="295"/>
      <c r="BY185" s="618"/>
      <c r="BZ185" s="553"/>
      <c r="CF185" s="294"/>
      <c r="CG185" s="294"/>
      <c r="CR185" s="510">
        <v>52</v>
      </c>
      <c r="CS185" s="359" t="s">
        <v>397</v>
      </c>
      <c r="CT185" s="361">
        <v>5389389.9400000004</v>
      </c>
      <c r="CU185" s="361">
        <v>1370418.13</v>
      </c>
      <c r="CV185" s="361">
        <v>1369944.35</v>
      </c>
      <c r="CW185" s="361">
        <v>1491613.12</v>
      </c>
      <c r="CX185" s="361">
        <v>1157414.3400000001</v>
      </c>
      <c r="CY185" s="361">
        <v>0</v>
      </c>
      <c r="CZ185" s="361">
        <v>0</v>
      </c>
      <c r="DA185" s="361">
        <v>0</v>
      </c>
      <c r="DB185" s="361">
        <v>0</v>
      </c>
      <c r="DC185" s="361">
        <v>0</v>
      </c>
      <c r="DD185" s="361">
        <v>0</v>
      </c>
      <c r="DE185" s="361"/>
      <c r="DF185" s="361"/>
      <c r="DG185" s="361"/>
      <c r="DH185" s="362"/>
    </row>
    <row r="186" spans="1:112" ht="13">
      <c r="A186" s="294"/>
      <c r="B186" s="294"/>
      <c r="F186" s="302"/>
      <c r="I186" s="553"/>
      <c r="P186" s="295"/>
      <c r="W186" s="295"/>
      <c r="AD186" s="295"/>
      <c r="AK186" s="295"/>
      <c r="BY186" s="618"/>
      <c r="BZ186" s="553"/>
      <c r="CF186" s="294"/>
      <c r="CG186" s="294"/>
      <c r="CR186" s="510">
        <v>53</v>
      </c>
      <c r="CS186" s="359" t="s">
        <v>449</v>
      </c>
      <c r="CT186" s="361">
        <v>4978170.47</v>
      </c>
      <c r="CU186" s="361">
        <v>741044.5</v>
      </c>
      <c r="CV186" s="361">
        <v>256373.78</v>
      </c>
      <c r="CW186" s="361">
        <v>720856.42</v>
      </c>
      <c r="CX186" s="361">
        <v>471803.02</v>
      </c>
      <c r="CY186" s="361">
        <v>652113.89</v>
      </c>
      <c r="CZ186" s="361">
        <v>411790.27</v>
      </c>
      <c r="DA186" s="361">
        <v>319828.07</v>
      </c>
      <c r="DB186" s="361">
        <v>352788.25</v>
      </c>
      <c r="DC186" s="361">
        <v>860809.47</v>
      </c>
      <c r="DD186" s="361">
        <v>190762.8</v>
      </c>
      <c r="DE186" s="361"/>
      <c r="DF186" s="361"/>
      <c r="DG186" s="361"/>
      <c r="DH186" s="362"/>
    </row>
    <row r="187" spans="1:112" ht="13">
      <c r="A187" s="294"/>
      <c r="B187" s="294"/>
      <c r="F187" s="302"/>
      <c r="I187" s="553"/>
      <c r="P187" s="295"/>
      <c r="W187" s="295"/>
      <c r="AD187" s="295"/>
      <c r="AK187" s="295"/>
      <c r="BY187" s="618"/>
      <c r="BZ187" s="553"/>
      <c r="CF187" s="294"/>
      <c r="CG187" s="294"/>
      <c r="CR187" s="510">
        <v>54</v>
      </c>
      <c r="CS187" s="359" t="s">
        <v>463</v>
      </c>
      <c r="CT187" s="361">
        <v>4898667.2</v>
      </c>
      <c r="CU187" s="361">
        <v>454569.79</v>
      </c>
      <c r="CV187" s="361">
        <v>567032.61</v>
      </c>
      <c r="CW187" s="361">
        <v>197955.6</v>
      </c>
      <c r="CX187" s="361">
        <v>635001.27</v>
      </c>
      <c r="CY187" s="361">
        <v>497223.1</v>
      </c>
      <c r="CZ187" s="361">
        <v>245557.49</v>
      </c>
      <c r="DA187" s="361">
        <v>535208.82999999996</v>
      </c>
      <c r="DB187" s="361">
        <v>228091.65</v>
      </c>
      <c r="DC187" s="361">
        <v>600841.94999999995</v>
      </c>
      <c r="DD187" s="361">
        <v>937184.91</v>
      </c>
      <c r="DE187" s="361"/>
      <c r="DF187" s="361"/>
      <c r="DG187" s="361"/>
      <c r="DH187" s="362"/>
    </row>
    <row r="188" spans="1:112" ht="13">
      <c r="A188" s="294"/>
      <c r="B188" s="294"/>
      <c r="F188" s="302"/>
      <c r="I188" s="553"/>
      <c r="P188" s="295"/>
      <c r="W188" s="295"/>
      <c r="AD188" s="295"/>
      <c r="AK188" s="295"/>
      <c r="BY188" s="618"/>
      <c r="BZ188" s="553"/>
      <c r="CF188" s="294"/>
      <c r="CG188" s="294"/>
      <c r="CR188" s="510">
        <v>55</v>
      </c>
      <c r="CS188" s="359" t="s">
        <v>496</v>
      </c>
      <c r="CT188" s="361">
        <v>4602720.25</v>
      </c>
      <c r="CU188" s="361">
        <v>1189878.77</v>
      </c>
      <c r="CV188" s="361">
        <v>596867.05000000005</v>
      </c>
      <c r="CW188" s="361">
        <v>186061.05</v>
      </c>
      <c r="CX188" s="361">
        <v>544601.86</v>
      </c>
      <c r="CY188" s="361">
        <v>425591.03999999998</v>
      </c>
      <c r="CZ188" s="361">
        <v>206500.03</v>
      </c>
      <c r="DA188" s="361">
        <v>175135.38</v>
      </c>
      <c r="DB188" s="361">
        <v>402895.98</v>
      </c>
      <c r="DC188" s="361">
        <v>875189.06</v>
      </c>
      <c r="DD188" s="365">
        <v>0.03</v>
      </c>
      <c r="DE188" s="365"/>
      <c r="DF188" s="365"/>
      <c r="DG188" s="365"/>
      <c r="DH188" s="366"/>
    </row>
    <row r="189" spans="1:112" ht="13">
      <c r="A189" s="294"/>
      <c r="B189" s="294"/>
      <c r="F189" s="302"/>
      <c r="I189" s="553"/>
      <c r="P189" s="295"/>
      <c r="W189" s="295"/>
      <c r="AD189" s="295"/>
      <c r="AK189" s="295"/>
      <c r="BY189" s="618"/>
      <c r="BZ189" s="553"/>
      <c r="CF189" s="294"/>
      <c r="CG189" s="294"/>
      <c r="CR189" s="510">
        <v>56</v>
      </c>
      <c r="CS189" s="359" t="s">
        <v>439</v>
      </c>
      <c r="CT189" s="361">
        <v>4165907.22</v>
      </c>
      <c r="CU189" s="361">
        <v>692872.79</v>
      </c>
      <c r="CV189" s="361">
        <v>187913.06</v>
      </c>
      <c r="CW189" s="361">
        <v>1099045.46</v>
      </c>
      <c r="CX189" s="361">
        <v>406974.41</v>
      </c>
      <c r="CY189" s="361">
        <v>337125.33</v>
      </c>
      <c r="CZ189" s="361">
        <v>578308.57999999996</v>
      </c>
      <c r="DA189" s="361">
        <v>279538.73</v>
      </c>
      <c r="DB189" s="361">
        <v>139430.95000000001</v>
      </c>
      <c r="DC189" s="361">
        <v>444697.9</v>
      </c>
      <c r="DD189" s="361">
        <v>0</v>
      </c>
      <c r="DE189" s="365"/>
      <c r="DF189" s="365"/>
      <c r="DG189" s="365"/>
      <c r="DH189" s="366"/>
    </row>
    <row r="190" spans="1:112" ht="13">
      <c r="A190" s="294"/>
      <c r="B190" s="294"/>
      <c r="F190" s="302"/>
      <c r="I190" s="553"/>
      <c r="P190" s="295"/>
      <c r="W190" s="295"/>
      <c r="AD190" s="295"/>
      <c r="AK190" s="295"/>
      <c r="BY190" s="618"/>
      <c r="BZ190" s="553"/>
      <c r="CF190" s="294"/>
      <c r="CG190" s="294"/>
      <c r="CR190" s="510">
        <v>57</v>
      </c>
      <c r="CS190" s="359" t="s">
        <v>472</v>
      </c>
      <c r="CT190" s="361">
        <v>3616069.81</v>
      </c>
      <c r="CU190" s="361">
        <v>580786.23</v>
      </c>
      <c r="CV190" s="361">
        <v>68276.539999999994</v>
      </c>
      <c r="CW190" s="361">
        <v>420283.91</v>
      </c>
      <c r="CX190" s="361">
        <v>456140.52</v>
      </c>
      <c r="CY190" s="361">
        <v>0</v>
      </c>
      <c r="CZ190" s="361">
        <v>30316</v>
      </c>
      <c r="DA190" s="361">
        <v>701894.81</v>
      </c>
      <c r="DB190" s="361">
        <v>361224.56</v>
      </c>
      <c r="DC190" s="361">
        <v>396817.89</v>
      </c>
      <c r="DD190" s="361">
        <v>600329.34</v>
      </c>
      <c r="DE190" s="361"/>
      <c r="DF190" s="361"/>
      <c r="DG190" s="361"/>
      <c r="DH190" s="362"/>
    </row>
    <row r="191" spans="1:112" ht="13">
      <c r="A191" s="294"/>
      <c r="B191" s="294"/>
      <c r="F191" s="302"/>
      <c r="I191" s="553"/>
      <c r="P191" s="295"/>
      <c r="W191" s="295"/>
      <c r="AD191" s="295"/>
      <c r="AK191" s="295"/>
      <c r="BY191" s="618"/>
      <c r="BZ191" s="553"/>
      <c r="CF191" s="294"/>
      <c r="CG191" s="294"/>
      <c r="CR191" s="510">
        <v>58</v>
      </c>
      <c r="CS191" s="359" t="s">
        <v>475</v>
      </c>
      <c r="CT191" s="361">
        <v>3447498</v>
      </c>
      <c r="CU191" s="361">
        <v>368554.13</v>
      </c>
      <c r="CV191" s="361">
        <v>856510.5</v>
      </c>
      <c r="CW191" s="361">
        <v>376747.95</v>
      </c>
      <c r="CX191" s="361">
        <v>334245.71000000002</v>
      </c>
      <c r="CY191" s="361">
        <v>232207.9</v>
      </c>
      <c r="CZ191" s="361">
        <v>0</v>
      </c>
      <c r="DA191" s="361">
        <v>269546.58</v>
      </c>
      <c r="DB191" s="361">
        <v>0</v>
      </c>
      <c r="DC191" s="361">
        <v>503380.31</v>
      </c>
      <c r="DD191" s="361">
        <v>506304.92</v>
      </c>
      <c r="DE191" s="361"/>
      <c r="DF191" s="361"/>
      <c r="DG191" s="361"/>
      <c r="DH191" s="362"/>
    </row>
    <row r="192" spans="1:112" ht="13">
      <c r="A192" s="294"/>
      <c r="B192" s="294"/>
      <c r="F192" s="302"/>
      <c r="I192" s="553"/>
      <c r="P192" s="295"/>
      <c r="W192" s="295"/>
      <c r="AD192" s="295"/>
      <c r="AK192" s="295"/>
      <c r="BY192" s="618"/>
      <c r="BZ192" s="553"/>
      <c r="CF192" s="294"/>
      <c r="CG192" s="294"/>
      <c r="CR192" s="510">
        <v>59</v>
      </c>
      <c r="CS192" s="359" t="s">
        <v>454</v>
      </c>
      <c r="CT192" s="361">
        <v>2645051.7799999998</v>
      </c>
      <c r="CU192" s="361">
        <v>0</v>
      </c>
      <c r="CV192" s="361">
        <v>50257.35</v>
      </c>
      <c r="CW192" s="361">
        <v>238900.71</v>
      </c>
      <c r="CX192" s="361">
        <v>321976.21999999997</v>
      </c>
      <c r="CY192" s="361">
        <v>92689.08</v>
      </c>
      <c r="CZ192" s="361">
        <v>0</v>
      </c>
      <c r="DA192" s="361">
        <v>407538.55</v>
      </c>
      <c r="DB192" s="361">
        <v>326693.43</v>
      </c>
      <c r="DC192" s="361">
        <v>320988.09999999998</v>
      </c>
      <c r="DD192" s="361">
        <v>886008.34</v>
      </c>
      <c r="DE192" s="361"/>
      <c r="DF192" s="361"/>
      <c r="DG192" s="361"/>
      <c r="DH192" s="362"/>
    </row>
    <row r="193" spans="1:112" ht="13">
      <c r="A193" s="294"/>
      <c r="B193" s="294"/>
      <c r="F193" s="302"/>
      <c r="I193" s="553"/>
      <c r="P193" s="295"/>
      <c r="W193" s="295"/>
      <c r="AD193" s="295"/>
      <c r="AK193" s="295"/>
      <c r="BY193" s="618"/>
      <c r="BZ193" s="553"/>
      <c r="CF193" s="294"/>
      <c r="CG193" s="294"/>
      <c r="CR193" s="510">
        <v>60</v>
      </c>
      <c r="CS193" s="359" t="s">
        <v>460</v>
      </c>
      <c r="CT193" s="361">
        <v>2403329.59</v>
      </c>
      <c r="CU193" s="361">
        <v>490246.97</v>
      </c>
      <c r="CV193" s="361">
        <v>217434.81</v>
      </c>
      <c r="CW193" s="361">
        <v>194099.71</v>
      </c>
      <c r="CX193" s="361">
        <v>183774.4</v>
      </c>
      <c r="CY193" s="361">
        <v>297542.03999999998</v>
      </c>
      <c r="CZ193" s="361">
        <v>203198.13</v>
      </c>
      <c r="DA193" s="361">
        <v>218218.33</v>
      </c>
      <c r="DB193" s="361">
        <v>405077.48</v>
      </c>
      <c r="DC193" s="361">
        <v>0</v>
      </c>
      <c r="DD193" s="361">
        <v>193737.72</v>
      </c>
      <c r="DE193" s="361"/>
      <c r="DF193" s="361"/>
      <c r="DG193" s="361"/>
      <c r="DH193" s="362"/>
    </row>
    <row r="194" spans="1:112" ht="13">
      <c r="A194" s="294"/>
      <c r="B194" s="294"/>
      <c r="F194" s="302"/>
      <c r="I194" s="553"/>
      <c r="P194" s="295"/>
      <c r="W194" s="295"/>
      <c r="AD194" s="295"/>
      <c r="AK194" s="295"/>
      <c r="BY194" s="618"/>
      <c r="BZ194" s="553"/>
      <c r="CF194" s="294"/>
      <c r="CG194" s="294"/>
      <c r="CR194" s="510">
        <v>61</v>
      </c>
      <c r="CS194" s="359" t="s">
        <v>473</v>
      </c>
      <c r="CT194" s="361">
        <v>2202151.7200000002</v>
      </c>
      <c r="CU194" s="361">
        <v>0</v>
      </c>
      <c r="CV194" s="361">
        <v>168897.35</v>
      </c>
      <c r="CW194" s="361">
        <v>57880.800000000003</v>
      </c>
      <c r="CX194" s="361">
        <v>340070.87</v>
      </c>
      <c r="CY194" s="361">
        <v>159971.04999999999</v>
      </c>
      <c r="CZ194" s="361">
        <v>455025.94</v>
      </c>
      <c r="DA194" s="361">
        <v>32916</v>
      </c>
      <c r="DB194" s="361">
        <v>359012.97</v>
      </c>
      <c r="DC194" s="361">
        <v>421695.04</v>
      </c>
      <c r="DD194" s="361">
        <v>206681.71</v>
      </c>
      <c r="DE194" s="361"/>
      <c r="DF194" s="361"/>
      <c r="DG194" s="361"/>
      <c r="DH194" s="362"/>
    </row>
    <row r="195" spans="1:112" ht="13">
      <c r="A195" s="294"/>
      <c r="B195" s="294"/>
      <c r="F195" s="302"/>
      <c r="I195" s="553"/>
      <c r="P195" s="295"/>
      <c r="W195" s="295"/>
      <c r="AD195" s="295"/>
      <c r="AK195" s="295"/>
      <c r="BY195" s="618"/>
      <c r="BZ195" s="553"/>
      <c r="CF195" s="294"/>
      <c r="CG195" s="294"/>
      <c r="CR195" s="510">
        <v>62</v>
      </c>
      <c r="CS195" s="359" t="s">
        <v>457</v>
      </c>
      <c r="CT195" s="361">
        <v>2139276.89</v>
      </c>
      <c r="CU195" s="361">
        <v>0</v>
      </c>
      <c r="CV195" s="361">
        <v>227005.59</v>
      </c>
      <c r="CW195" s="361">
        <v>0</v>
      </c>
      <c r="CX195" s="361">
        <v>250986.23999999999</v>
      </c>
      <c r="CY195" s="361">
        <v>147329.04999999999</v>
      </c>
      <c r="CZ195" s="361">
        <v>0</v>
      </c>
      <c r="DA195" s="361">
        <v>304592.71999999997</v>
      </c>
      <c r="DB195" s="361">
        <v>205057.24</v>
      </c>
      <c r="DC195" s="361">
        <v>655942.56999999995</v>
      </c>
      <c r="DD195" s="361">
        <v>348363.48</v>
      </c>
      <c r="DE195" s="361"/>
      <c r="DF195" s="361"/>
      <c r="DG195" s="361"/>
      <c r="DH195" s="362"/>
    </row>
    <row r="196" spans="1:112" ht="13">
      <c r="A196" s="294"/>
      <c r="B196" s="294"/>
      <c r="F196" s="302"/>
      <c r="I196" s="553"/>
      <c r="P196" s="295"/>
      <c r="W196" s="295"/>
      <c r="AD196" s="295"/>
      <c r="AK196" s="295"/>
      <c r="BY196" s="618"/>
      <c r="BZ196" s="553"/>
      <c r="CF196" s="294"/>
      <c r="CG196" s="294"/>
      <c r="CR196" s="510">
        <v>63</v>
      </c>
      <c r="CS196" s="359" t="s">
        <v>465</v>
      </c>
      <c r="CT196" s="361">
        <v>2062800.52</v>
      </c>
      <c r="CU196" s="361">
        <v>0</v>
      </c>
      <c r="CV196" s="361">
        <v>232173.98</v>
      </c>
      <c r="CW196" s="361">
        <v>0</v>
      </c>
      <c r="CX196" s="361">
        <v>0</v>
      </c>
      <c r="CY196" s="361">
        <v>0</v>
      </c>
      <c r="CZ196" s="361">
        <v>0</v>
      </c>
      <c r="DA196" s="361">
        <v>0</v>
      </c>
      <c r="DB196" s="361">
        <v>693062.96</v>
      </c>
      <c r="DC196" s="361">
        <v>167941.85</v>
      </c>
      <c r="DD196" s="361">
        <v>969621.73</v>
      </c>
      <c r="DE196" s="361"/>
      <c r="DF196" s="361"/>
      <c r="DG196" s="361"/>
      <c r="DH196" s="362"/>
    </row>
    <row r="197" spans="1:112" ht="13">
      <c r="A197" s="294"/>
      <c r="B197" s="294"/>
      <c r="F197" s="302"/>
      <c r="I197" s="553"/>
      <c r="P197" s="295"/>
      <c r="W197" s="295"/>
      <c r="AD197" s="295"/>
      <c r="AK197" s="295"/>
      <c r="BY197" s="618"/>
      <c r="BZ197" s="553"/>
      <c r="CF197" s="294"/>
      <c r="CG197" s="294"/>
      <c r="CR197" s="510">
        <v>64</v>
      </c>
      <c r="CS197" s="359" t="s">
        <v>438</v>
      </c>
      <c r="CT197" s="361">
        <v>1732366.62</v>
      </c>
      <c r="CU197" s="361">
        <v>332987.24</v>
      </c>
      <c r="CV197" s="361">
        <v>157965.44</v>
      </c>
      <c r="CW197" s="361">
        <v>47125.83</v>
      </c>
      <c r="CX197" s="361">
        <v>89573.86</v>
      </c>
      <c r="CY197" s="361">
        <v>117661.48</v>
      </c>
      <c r="CZ197" s="361">
        <v>9004.27</v>
      </c>
      <c r="DA197" s="361">
        <v>56158.07</v>
      </c>
      <c r="DB197" s="361">
        <v>0</v>
      </c>
      <c r="DC197" s="361">
        <v>549379.4</v>
      </c>
      <c r="DD197" s="361">
        <v>372511.04</v>
      </c>
      <c r="DE197" s="365"/>
      <c r="DF197" s="365"/>
      <c r="DG197" s="365"/>
      <c r="DH197" s="366"/>
    </row>
    <row r="198" spans="1:112" ht="13">
      <c r="A198" s="294"/>
      <c r="B198" s="294"/>
      <c r="F198" s="302"/>
      <c r="I198" s="553"/>
      <c r="P198" s="295"/>
      <c r="W198" s="295"/>
      <c r="AD198" s="295"/>
      <c r="AK198" s="295"/>
      <c r="BY198" s="618"/>
      <c r="BZ198" s="553"/>
      <c r="CF198" s="294"/>
      <c r="CG198" s="294"/>
      <c r="CR198" s="510">
        <v>65</v>
      </c>
      <c r="CS198" s="359" t="s">
        <v>469</v>
      </c>
      <c r="CT198" s="361">
        <v>1588075.66</v>
      </c>
      <c r="CU198" s="361">
        <v>368643.54</v>
      </c>
      <c r="CV198" s="361">
        <v>0</v>
      </c>
      <c r="CW198" s="361">
        <v>114947.62</v>
      </c>
      <c r="CX198" s="361">
        <v>84639.39</v>
      </c>
      <c r="CY198" s="361">
        <v>76072.58</v>
      </c>
      <c r="CZ198" s="361">
        <v>298871.21999999997</v>
      </c>
      <c r="DA198" s="361">
        <v>25982.3</v>
      </c>
      <c r="DB198" s="361">
        <v>54268.15</v>
      </c>
      <c r="DC198" s="361">
        <v>310330</v>
      </c>
      <c r="DD198" s="361">
        <v>254320.87</v>
      </c>
      <c r="DE198" s="361"/>
      <c r="DF198" s="361"/>
      <c r="DG198" s="361"/>
      <c r="DH198" s="362"/>
    </row>
    <row r="199" spans="1:112" ht="13">
      <c r="A199" s="294"/>
      <c r="B199" s="294"/>
      <c r="F199" s="302"/>
      <c r="I199" s="553"/>
      <c r="P199" s="295"/>
      <c r="W199" s="295"/>
      <c r="AD199" s="295"/>
      <c r="AK199" s="295"/>
      <c r="BY199" s="618"/>
      <c r="BZ199" s="553"/>
      <c r="CF199" s="294"/>
      <c r="CG199" s="294"/>
      <c r="CR199" s="510">
        <v>66</v>
      </c>
      <c r="CS199" s="359" t="s">
        <v>418</v>
      </c>
      <c r="CT199" s="361">
        <v>1579573.12</v>
      </c>
      <c r="CU199" s="361">
        <v>517723.24</v>
      </c>
      <c r="CV199" s="361">
        <v>346601.29</v>
      </c>
      <c r="CW199" s="361">
        <v>0</v>
      </c>
      <c r="CX199" s="361">
        <v>81729.56</v>
      </c>
      <c r="CY199" s="361">
        <v>0</v>
      </c>
      <c r="CZ199" s="361">
        <v>0</v>
      </c>
      <c r="DA199" s="361">
        <v>172417.84</v>
      </c>
      <c r="DB199" s="361">
        <v>0</v>
      </c>
      <c r="DC199" s="361">
        <v>461101.18</v>
      </c>
      <c r="DD199" s="361">
        <v>0</v>
      </c>
      <c r="DE199" s="361"/>
      <c r="DF199" s="361"/>
      <c r="DG199" s="361"/>
      <c r="DH199" s="362"/>
    </row>
    <row r="200" spans="1:112" ht="13">
      <c r="A200" s="294"/>
      <c r="B200" s="294"/>
      <c r="F200" s="302"/>
      <c r="I200" s="553"/>
      <c r="P200" s="295"/>
      <c r="W200" s="295"/>
      <c r="AD200" s="295"/>
      <c r="AK200" s="295"/>
      <c r="BY200" s="618"/>
      <c r="BZ200" s="553"/>
      <c r="CF200" s="294"/>
      <c r="CG200" s="294"/>
      <c r="CR200" s="510">
        <v>67</v>
      </c>
      <c r="CS200" s="359" t="s">
        <v>467</v>
      </c>
      <c r="CT200" s="361">
        <v>1506717.76</v>
      </c>
      <c r="CU200" s="361">
        <v>91683.74</v>
      </c>
      <c r="CV200" s="361">
        <v>136864.85999999999</v>
      </c>
      <c r="CW200" s="361">
        <v>13609.77</v>
      </c>
      <c r="CX200" s="361">
        <v>456259.88</v>
      </c>
      <c r="CY200" s="361">
        <v>205229.73</v>
      </c>
      <c r="CZ200" s="361">
        <v>0</v>
      </c>
      <c r="DA200" s="361">
        <v>281001.39</v>
      </c>
      <c r="DB200" s="361">
        <v>116738.19</v>
      </c>
      <c r="DC200" s="361">
        <v>205330.2</v>
      </c>
      <c r="DD200" s="361">
        <v>0</v>
      </c>
      <c r="DE200" s="361"/>
      <c r="DF200" s="361"/>
      <c r="DG200" s="361"/>
      <c r="DH200" s="362"/>
    </row>
    <row r="201" spans="1:112" ht="13">
      <c r="A201" s="294"/>
      <c r="B201" s="294"/>
      <c r="F201" s="302"/>
      <c r="I201" s="553"/>
      <c r="P201" s="295"/>
      <c r="W201" s="295"/>
      <c r="AD201" s="295"/>
      <c r="AK201" s="295"/>
      <c r="BY201" s="618"/>
      <c r="BZ201" s="553"/>
      <c r="CF201" s="294"/>
      <c r="CG201" s="294"/>
      <c r="CR201" s="510">
        <v>68</v>
      </c>
      <c r="CS201" s="359" t="s">
        <v>432</v>
      </c>
      <c r="CT201" s="361">
        <v>1457480.1</v>
      </c>
      <c r="CU201" s="361">
        <v>0</v>
      </c>
      <c r="CV201" s="361">
        <v>0</v>
      </c>
      <c r="CW201" s="361">
        <v>0</v>
      </c>
      <c r="CX201" s="361">
        <v>0</v>
      </c>
      <c r="CY201" s="361">
        <v>0</v>
      </c>
      <c r="CZ201" s="361">
        <v>0</v>
      </c>
      <c r="DA201" s="361">
        <v>0</v>
      </c>
      <c r="DB201" s="361">
        <v>451826.88</v>
      </c>
      <c r="DC201" s="361">
        <v>1005653.22</v>
      </c>
      <c r="DD201" s="365">
        <v>0</v>
      </c>
      <c r="DE201" s="365"/>
      <c r="DF201" s="365"/>
      <c r="DG201" s="365"/>
      <c r="DH201" s="366"/>
    </row>
    <row r="202" spans="1:112" ht="13">
      <c r="A202" s="294"/>
      <c r="B202" s="294"/>
      <c r="F202" s="302"/>
      <c r="I202" s="553"/>
      <c r="P202" s="295"/>
      <c r="W202" s="295"/>
      <c r="AD202" s="295"/>
      <c r="AK202" s="295"/>
      <c r="BY202" s="618"/>
      <c r="BZ202" s="553"/>
      <c r="CF202" s="294"/>
      <c r="CG202" s="294"/>
      <c r="CR202" s="510">
        <v>69</v>
      </c>
      <c r="CS202" s="359" t="s">
        <v>445</v>
      </c>
      <c r="CT202" s="361">
        <v>1441019.61</v>
      </c>
      <c r="CU202" s="361">
        <v>0</v>
      </c>
      <c r="CV202" s="361">
        <v>0</v>
      </c>
      <c r="CW202" s="361">
        <v>0</v>
      </c>
      <c r="CX202" s="361">
        <v>0</v>
      </c>
      <c r="CY202" s="361">
        <v>0</v>
      </c>
      <c r="CZ202" s="361">
        <v>0</v>
      </c>
      <c r="DA202" s="361">
        <v>387612.07</v>
      </c>
      <c r="DB202" s="361">
        <v>485916.03</v>
      </c>
      <c r="DC202" s="361">
        <v>81914.61</v>
      </c>
      <c r="DD202" s="361">
        <v>485576.9</v>
      </c>
      <c r="DE202" s="361"/>
      <c r="DF202" s="361"/>
      <c r="DG202" s="361"/>
      <c r="DH202" s="362"/>
    </row>
    <row r="203" spans="1:112" ht="13">
      <c r="A203" s="294"/>
      <c r="B203" s="294"/>
      <c r="F203" s="302"/>
      <c r="I203" s="553"/>
      <c r="P203" s="295"/>
      <c r="W203" s="295"/>
      <c r="AD203" s="295"/>
      <c r="AK203" s="295"/>
      <c r="BY203" s="618"/>
      <c r="BZ203" s="553"/>
      <c r="CF203" s="294"/>
      <c r="CG203" s="294"/>
      <c r="CR203" s="510">
        <v>70</v>
      </c>
      <c r="CS203" s="359" t="s">
        <v>478</v>
      </c>
      <c r="CT203" s="361">
        <v>1363822.6</v>
      </c>
      <c r="CU203" s="361">
        <v>71759.88</v>
      </c>
      <c r="CV203" s="361">
        <v>92436</v>
      </c>
      <c r="CW203" s="361">
        <v>0</v>
      </c>
      <c r="CX203" s="361">
        <v>126717.71</v>
      </c>
      <c r="CY203" s="361">
        <v>250486.03</v>
      </c>
      <c r="CZ203" s="361">
        <v>0</v>
      </c>
      <c r="DA203" s="361">
        <v>634570.9</v>
      </c>
      <c r="DB203" s="361">
        <v>187852.09</v>
      </c>
      <c r="DC203" s="361">
        <v>0</v>
      </c>
      <c r="DD203" s="361">
        <v>0</v>
      </c>
      <c r="DE203" s="361"/>
      <c r="DF203" s="361"/>
      <c r="DG203" s="361"/>
      <c r="DH203" s="362"/>
    </row>
    <row r="204" spans="1:112" ht="13">
      <c r="A204" s="294"/>
      <c r="B204" s="294"/>
      <c r="F204" s="302"/>
      <c r="I204" s="553"/>
      <c r="P204" s="295"/>
      <c r="W204" s="295"/>
      <c r="AD204" s="295"/>
      <c r="AK204" s="295"/>
      <c r="BY204" s="618"/>
      <c r="BZ204" s="553"/>
      <c r="CF204" s="294"/>
      <c r="CG204" s="294"/>
      <c r="CR204" s="510">
        <v>71</v>
      </c>
      <c r="CS204" s="359" t="s">
        <v>479</v>
      </c>
      <c r="CT204" s="361">
        <v>1355022.93</v>
      </c>
      <c r="CU204" s="361">
        <v>139726.93</v>
      </c>
      <c r="CV204" s="361">
        <v>943736</v>
      </c>
      <c r="CW204" s="361">
        <v>271560</v>
      </c>
      <c r="CX204" s="361">
        <v>0</v>
      </c>
      <c r="CY204" s="361">
        <v>0</v>
      </c>
      <c r="CZ204" s="361">
        <v>0</v>
      </c>
      <c r="DA204" s="361">
        <v>0</v>
      </c>
      <c r="DB204" s="361">
        <v>0</v>
      </c>
      <c r="DC204" s="361">
        <v>0</v>
      </c>
      <c r="DD204" s="361">
        <v>0</v>
      </c>
      <c r="DE204" s="361"/>
      <c r="DF204" s="361"/>
      <c r="DG204" s="361"/>
      <c r="DH204" s="362"/>
    </row>
    <row r="205" spans="1:112" ht="13">
      <c r="A205" s="294"/>
      <c r="B205" s="294"/>
      <c r="F205" s="302"/>
      <c r="I205" s="553"/>
      <c r="P205" s="295"/>
      <c r="W205" s="295"/>
      <c r="AD205" s="295"/>
      <c r="AK205" s="295"/>
      <c r="BY205" s="618"/>
      <c r="BZ205" s="553"/>
      <c r="CF205" s="294"/>
      <c r="CG205" s="294"/>
      <c r="CR205" s="510">
        <v>72</v>
      </c>
      <c r="CS205" s="359" t="s">
        <v>487</v>
      </c>
      <c r="CT205" s="361">
        <v>1200459.76</v>
      </c>
      <c r="CU205" s="361">
        <v>193010.15</v>
      </c>
      <c r="CV205" s="361">
        <v>70204.61</v>
      </c>
      <c r="CW205" s="361">
        <v>42377.279999999999</v>
      </c>
      <c r="CX205" s="361">
        <v>194598.31</v>
      </c>
      <c r="CY205" s="361">
        <v>255229.83</v>
      </c>
      <c r="CZ205" s="361">
        <v>192100</v>
      </c>
      <c r="DA205" s="361">
        <v>120206.57</v>
      </c>
      <c r="DB205" s="361">
        <v>56116.160000000003</v>
      </c>
      <c r="DC205" s="361">
        <v>76616.86</v>
      </c>
      <c r="DD205" s="361">
        <v>0</v>
      </c>
      <c r="DE205" s="361"/>
      <c r="DF205" s="361"/>
      <c r="DG205" s="361"/>
      <c r="DH205" s="362"/>
    </row>
    <row r="206" spans="1:112" ht="13">
      <c r="A206" s="294"/>
      <c r="B206" s="294"/>
      <c r="F206" s="302"/>
      <c r="I206" s="553"/>
      <c r="P206" s="295"/>
      <c r="W206" s="295"/>
      <c r="AD206" s="295"/>
      <c r="AK206" s="295"/>
      <c r="BY206" s="618"/>
      <c r="BZ206" s="553"/>
      <c r="CF206" s="294"/>
      <c r="CG206" s="294"/>
      <c r="CR206" s="510">
        <v>73</v>
      </c>
      <c r="CS206" s="359" t="s">
        <v>464</v>
      </c>
      <c r="CT206" s="361">
        <v>1176143.99</v>
      </c>
      <c r="CU206" s="361">
        <v>181655.11</v>
      </c>
      <c r="CV206" s="361">
        <v>0</v>
      </c>
      <c r="CW206" s="361">
        <v>0</v>
      </c>
      <c r="CX206" s="361">
        <v>0</v>
      </c>
      <c r="CY206" s="361">
        <v>796784.23</v>
      </c>
      <c r="CZ206" s="361">
        <v>0</v>
      </c>
      <c r="DA206" s="361">
        <v>0</v>
      </c>
      <c r="DB206" s="361">
        <v>0</v>
      </c>
      <c r="DC206" s="361">
        <v>0</v>
      </c>
      <c r="DD206" s="361">
        <v>197704.64</v>
      </c>
      <c r="DE206" s="361"/>
      <c r="DF206" s="361"/>
      <c r="DG206" s="361"/>
      <c r="DH206" s="362"/>
    </row>
    <row r="207" spans="1:112" ht="13">
      <c r="A207" s="294"/>
      <c r="B207" s="294"/>
      <c r="F207" s="302"/>
      <c r="I207" s="553"/>
      <c r="P207" s="295"/>
      <c r="W207" s="295"/>
      <c r="AD207" s="295"/>
      <c r="AK207" s="295"/>
      <c r="BY207" s="618"/>
      <c r="BZ207" s="553"/>
      <c r="CF207" s="294"/>
      <c r="CG207" s="294"/>
      <c r="CR207" s="510">
        <v>74</v>
      </c>
      <c r="CS207" s="359" t="s">
        <v>406</v>
      </c>
      <c r="CT207" s="361">
        <v>1116415.95</v>
      </c>
      <c r="CU207" s="361">
        <v>0</v>
      </c>
      <c r="CV207" s="361">
        <v>0</v>
      </c>
      <c r="CW207" s="361">
        <v>0</v>
      </c>
      <c r="CX207" s="361">
        <v>0</v>
      </c>
      <c r="CY207" s="361">
        <v>192904.8</v>
      </c>
      <c r="CZ207" s="361">
        <v>483457.8</v>
      </c>
      <c r="DA207" s="361">
        <v>310697.01</v>
      </c>
      <c r="DB207" s="365">
        <v>0</v>
      </c>
      <c r="DC207" s="361">
        <v>44702.98</v>
      </c>
      <c r="DD207" s="361">
        <v>84653.36</v>
      </c>
      <c r="DE207" s="365"/>
      <c r="DF207" s="365"/>
      <c r="DG207" s="365"/>
      <c r="DH207" s="366"/>
    </row>
    <row r="208" spans="1:112" ht="13">
      <c r="A208" s="294"/>
      <c r="B208" s="294"/>
      <c r="F208" s="302"/>
      <c r="I208" s="553"/>
      <c r="P208" s="295"/>
      <c r="W208" s="295"/>
      <c r="AD208" s="295"/>
      <c r="AK208" s="295"/>
      <c r="BY208" s="618"/>
      <c r="BZ208" s="553"/>
      <c r="CF208" s="294"/>
      <c r="CG208" s="294"/>
      <c r="CR208" s="510">
        <v>75</v>
      </c>
      <c r="CS208" s="359" t="s">
        <v>456</v>
      </c>
      <c r="CT208" s="361">
        <v>1023486.1</v>
      </c>
      <c r="CU208" s="361">
        <v>0</v>
      </c>
      <c r="CV208" s="361">
        <v>0</v>
      </c>
      <c r="CW208" s="361">
        <v>0</v>
      </c>
      <c r="CX208" s="361">
        <v>0</v>
      </c>
      <c r="CY208" s="361">
        <v>0</v>
      </c>
      <c r="CZ208" s="361">
        <v>0</v>
      </c>
      <c r="DA208" s="361">
        <v>0</v>
      </c>
      <c r="DB208" s="361">
        <v>0</v>
      </c>
      <c r="DC208" s="361">
        <v>69812.86</v>
      </c>
      <c r="DD208" s="361">
        <v>953673.25</v>
      </c>
      <c r="DE208" s="361"/>
      <c r="DF208" s="361"/>
      <c r="DG208" s="361"/>
      <c r="DH208" s="362"/>
    </row>
    <row r="209" spans="1:112" ht="13">
      <c r="A209" s="294"/>
      <c r="B209" s="294"/>
      <c r="F209" s="302"/>
      <c r="I209" s="553"/>
      <c r="P209" s="295"/>
      <c r="W209" s="295"/>
      <c r="AD209" s="295"/>
      <c r="AK209" s="295"/>
      <c r="BY209" s="618"/>
      <c r="BZ209" s="553"/>
      <c r="CF209" s="294"/>
      <c r="CG209" s="294"/>
      <c r="CR209" s="510">
        <v>76</v>
      </c>
      <c r="CS209" s="359" t="s">
        <v>447</v>
      </c>
      <c r="CT209" s="361">
        <v>883576.16</v>
      </c>
      <c r="CU209" s="361">
        <v>199892.35</v>
      </c>
      <c r="CV209" s="361">
        <v>216235.46</v>
      </c>
      <c r="CW209" s="361">
        <v>153804.35</v>
      </c>
      <c r="CX209" s="361">
        <v>150969.32999999999</v>
      </c>
      <c r="CY209" s="361">
        <v>58316.7</v>
      </c>
      <c r="CZ209" s="361">
        <v>0</v>
      </c>
      <c r="DA209" s="361">
        <v>80773.279999999999</v>
      </c>
      <c r="DB209" s="361">
        <v>0</v>
      </c>
      <c r="DC209" s="361">
        <v>23584.7</v>
      </c>
      <c r="DD209" s="361">
        <v>0</v>
      </c>
      <c r="DE209" s="361"/>
      <c r="DF209" s="361"/>
      <c r="DG209" s="361"/>
      <c r="DH209" s="362"/>
    </row>
    <row r="210" spans="1:112" ht="13">
      <c r="A210" s="294"/>
      <c r="B210" s="294"/>
      <c r="F210" s="302"/>
      <c r="I210" s="553"/>
      <c r="P210" s="295"/>
      <c r="W210" s="295"/>
      <c r="AD210" s="295"/>
      <c r="AK210" s="295"/>
      <c r="BY210" s="618"/>
      <c r="BZ210" s="553"/>
      <c r="CF210" s="294"/>
      <c r="CG210" s="294"/>
      <c r="CR210" s="510">
        <v>77</v>
      </c>
      <c r="CS210" s="359" t="s">
        <v>450</v>
      </c>
      <c r="CT210" s="361">
        <v>876287.73</v>
      </c>
      <c r="CU210" s="361">
        <v>0</v>
      </c>
      <c r="CV210" s="361">
        <v>0</v>
      </c>
      <c r="CW210" s="361">
        <v>0</v>
      </c>
      <c r="CX210" s="361">
        <v>49366.68</v>
      </c>
      <c r="CY210" s="361">
        <v>207158.11</v>
      </c>
      <c r="CZ210" s="361">
        <v>132569.99</v>
      </c>
      <c r="DA210" s="361">
        <v>25076.11</v>
      </c>
      <c r="DB210" s="361">
        <v>173488.1</v>
      </c>
      <c r="DC210" s="361">
        <v>150761.01</v>
      </c>
      <c r="DD210" s="361">
        <v>137867.73000000001</v>
      </c>
      <c r="DE210" s="361"/>
      <c r="DF210" s="361"/>
      <c r="DG210" s="361"/>
      <c r="DH210" s="362"/>
    </row>
    <row r="211" spans="1:112" ht="13">
      <c r="A211" s="294"/>
      <c r="B211" s="294"/>
      <c r="F211" s="302"/>
      <c r="I211" s="553"/>
      <c r="P211" s="295"/>
      <c r="W211" s="295"/>
      <c r="AD211" s="295"/>
      <c r="AK211" s="295"/>
      <c r="BY211" s="618"/>
      <c r="BZ211" s="553"/>
      <c r="CF211" s="294"/>
      <c r="CG211" s="294"/>
      <c r="CR211" s="510">
        <v>78</v>
      </c>
      <c r="CS211" s="359" t="s">
        <v>444</v>
      </c>
      <c r="CT211" s="361">
        <v>791512.36</v>
      </c>
      <c r="CU211" s="361">
        <v>0</v>
      </c>
      <c r="CV211" s="361">
        <v>0</v>
      </c>
      <c r="CW211" s="361">
        <v>0</v>
      </c>
      <c r="CX211" s="361">
        <v>0</v>
      </c>
      <c r="CY211" s="361">
        <v>0</v>
      </c>
      <c r="CZ211" s="361">
        <v>0</v>
      </c>
      <c r="DA211" s="361">
        <v>251403.4</v>
      </c>
      <c r="DB211" s="361">
        <v>340284.9</v>
      </c>
      <c r="DC211" s="361">
        <v>199824.06</v>
      </c>
      <c r="DD211" s="361">
        <v>0</v>
      </c>
      <c r="DE211" s="361"/>
      <c r="DF211" s="361"/>
      <c r="DG211" s="361"/>
      <c r="DH211" s="362"/>
    </row>
    <row r="212" spans="1:112" ht="13">
      <c r="A212" s="294"/>
      <c r="B212" s="294"/>
      <c r="F212" s="302"/>
      <c r="I212" s="553"/>
      <c r="P212" s="295"/>
      <c r="W212" s="295"/>
      <c r="AD212" s="295"/>
      <c r="AK212" s="295"/>
      <c r="BY212" s="618"/>
      <c r="BZ212" s="553"/>
      <c r="CF212" s="294"/>
      <c r="CG212" s="294"/>
      <c r="CR212" s="510">
        <v>79</v>
      </c>
      <c r="CS212" s="359" t="s">
        <v>471</v>
      </c>
      <c r="CT212" s="361">
        <v>749809.93</v>
      </c>
      <c r="CU212" s="361">
        <v>218958.72</v>
      </c>
      <c r="CV212" s="361">
        <v>112972.98</v>
      </c>
      <c r="CW212" s="361">
        <v>112125.37</v>
      </c>
      <c r="CX212" s="361">
        <v>49610.16</v>
      </c>
      <c r="CY212" s="361">
        <v>127508.29</v>
      </c>
      <c r="CZ212" s="361">
        <v>128634.41</v>
      </c>
      <c r="DA212" s="361">
        <v>0</v>
      </c>
      <c r="DB212" s="361">
        <v>0</v>
      </c>
      <c r="DC212" s="365">
        <v>0</v>
      </c>
      <c r="DD212" s="365">
        <v>0</v>
      </c>
      <c r="DE212" s="365"/>
      <c r="DF212" s="365"/>
      <c r="DG212" s="365"/>
      <c r="DH212" s="366"/>
    </row>
    <row r="213" spans="1:112" ht="13">
      <c r="A213" s="294"/>
      <c r="B213" s="294"/>
      <c r="F213" s="302"/>
      <c r="I213" s="553"/>
      <c r="P213" s="295"/>
      <c r="W213" s="295"/>
      <c r="AD213" s="295"/>
      <c r="AK213" s="295"/>
      <c r="BY213" s="618"/>
      <c r="BZ213" s="553"/>
      <c r="CF213" s="294"/>
      <c r="CG213" s="294"/>
      <c r="CR213" s="510">
        <v>80</v>
      </c>
      <c r="CS213" s="423" t="s">
        <v>482</v>
      </c>
      <c r="CT213" s="361">
        <v>672931.7</v>
      </c>
      <c r="CU213" s="361">
        <v>0</v>
      </c>
      <c r="CV213" s="361">
        <v>0</v>
      </c>
      <c r="CW213" s="361">
        <v>0</v>
      </c>
      <c r="CX213" s="361">
        <v>0</v>
      </c>
      <c r="CY213" s="361">
        <v>0</v>
      </c>
      <c r="CZ213" s="361">
        <v>0</v>
      </c>
      <c r="DA213" s="361">
        <v>169489.4</v>
      </c>
      <c r="DB213" s="361">
        <v>20277.93</v>
      </c>
      <c r="DC213" s="361">
        <v>174823.2</v>
      </c>
      <c r="DD213" s="361">
        <v>308341.17</v>
      </c>
      <c r="DE213" s="361"/>
      <c r="DF213" s="361"/>
      <c r="DG213" s="361"/>
      <c r="DH213" s="362"/>
    </row>
    <row r="214" spans="1:112" ht="13">
      <c r="A214" s="294"/>
      <c r="B214" s="294"/>
      <c r="F214" s="302"/>
      <c r="I214" s="553"/>
      <c r="P214" s="295"/>
      <c r="W214" s="295"/>
      <c r="AD214" s="295"/>
      <c r="AK214" s="295"/>
      <c r="BY214" s="618"/>
      <c r="BZ214" s="553"/>
      <c r="CF214" s="294"/>
      <c r="CG214" s="294"/>
      <c r="CR214" s="510">
        <v>81</v>
      </c>
      <c r="CS214" s="359" t="s">
        <v>407</v>
      </c>
      <c r="CT214" s="361">
        <v>658531.97</v>
      </c>
      <c r="CU214" s="361">
        <v>658531.97</v>
      </c>
      <c r="CV214" s="361">
        <v>0</v>
      </c>
      <c r="CW214" s="361">
        <v>0</v>
      </c>
      <c r="CX214" s="361">
        <v>0</v>
      </c>
      <c r="CY214" s="361">
        <v>0</v>
      </c>
      <c r="CZ214" s="361">
        <v>0</v>
      </c>
      <c r="DA214" s="361">
        <v>0</v>
      </c>
      <c r="DB214" s="361">
        <v>0</v>
      </c>
      <c r="DC214" s="361">
        <v>0</v>
      </c>
      <c r="DD214" s="361">
        <v>0</v>
      </c>
      <c r="DE214" s="361"/>
      <c r="DF214" s="361"/>
      <c r="DG214" s="361"/>
      <c r="DH214" s="362"/>
    </row>
    <row r="215" spans="1:112" ht="13">
      <c r="A215" s="294"/>
      <c r="B215" s="294"/>
      <c r="F215" s="302"/>
      <c r="I215" s="553"/>
      <c r="P215" s="295"/>
      <c r="W215" s="295"/>
      <c r="AD215" s="295"/>
      <c r="AK215" s="295"/>
      <c r="BY215" s="618"/>
      <c r="BZ215" s="553"/>
      <c r="CF215" s="294"/>
      <c r="CG215" s="294"/>
      <c r="CR215" s="510">
        <v>82</v>
      </c>
      <c r="CS215" s="664" t="s">
        <v>461</v>
      </c>
      <c r="CT215" s="361">
        <v>628494.11</v>
      </c>
      <c r="CU215" s="361">
        <v>276187.2</v>
      </c>
      <c r="CV215" s="361">
        <v>262278.11</v>
      </c>
      <c r="CW215" s="365">
        <v>0</v>
      </c>
      <c r="CX215" s="365">
        <v>0</v>
      </c>
      <c r="CY215" s="365">
        <v>0</v>
      </c>
      <c r="CZ215" s="361">
        <v>0</v>
      </c>
      <c r="DA215" s="361">
        <v>90028.800000000003</v>
      </c>
      <c r="DB215" s="361">
        <v>0</v>
      </c>
      <c r="DC215" s="361">
        <v>0</v>
      </c>
      <c r="DD215" s="365">
        <v>0</v>
      </c>
      <c r="DE215" s="365"/>
      <c r="DF215" s="365"/>
      <c r="DG215" s="365"/>
      <c r="DH215" s="366"/>
    </row>
    <row r="216" spans="1:112" ht="13">
      <c r="A216" s="294"/>
      <c r="B216" s="294"/>
      <c r="F216" s="302"/>
      <c r="I216" s="553"/>
      <c r="P216" s="295"/>
      <c r="W216" s="295"/>
      <c r="AD216" s="295"/>
      <c r="AK216" s="295"/>
      <c r="BY216" s="618"/>
      <c r="BZ216" s="553"/>
      <c r="CF216" s="294"/>
      <c r="CG216" s="294"/>
      <c r="CR216" s="510">
        <v>83</v>
      </c>
      <c r="CS216" s="664" t="s">
        <v>468</v>
      </c>
      <c r="CT216" s="361">
        <v>518395.05</v>
      </c>
      <c r="CU216" s="361">
        <v>0</v>
      </c>
      <c r="CV216" s="361">
        <v>0</v>
      </c>
      <c r="CW216" s="361">
        <v>0</v>
      </c>
      <c r="CX216" s="361">
        <v>518395.05</v>
      </c>
      <c r="CY216" s="361">
        <v>0</v>
      </c>
      <c r="CZ216" s="361">
        <v>0</v>
      </c>
      <c r="DA216" s="361">
        <v>0</v>
      </c>
      <c r="DB216" s="361">
        <v>0</v>
      </c>
      <c r="DC216" s="361">
        <v>0</v>
      </c>
      <c r="DD216" s="361">
        <v>0</v>
      </c>
      <c r="DE216" s="361"/>
      <c r="DF216" s="361"/>
      <c r="DG216" s="361"/>
      <c r="DH216" s="362"/>
    </row>
    <row r="217" spans="1:112" ht="13">
      <c r="A217" s="294"/>
      <c r="B217" s="294"/>
      <c r="F217" s="302"/>
      <c r="I217" s="553"/>
      <c r="P217" s="295"/>
      <c r="W217" s="295"/>
      <c r="AD217" s="295"/>
      <c r="AK217" s="295"/>
      <c r="BY217" s="618"/>
      <c r="BZ217" s="553"/>
      <c r="CF217" s="294"/>
      <c r="CG217" s="294"/>
      <c r="CR217" s="510">
        <v>84</v>
      </c>
      <c r="CS217" s="359" t="s">
        <v>443</v>
      </c>
      <c r="CT217" s="361">
        <v>296252.87</v>
      </c>
      <c r="CU217" s="361">
        <v>0</v>
      </c>
      <c r="CV217" s="365">
        <v>0</v>
      </c>
      <c r="CW217" s="365">
        <v>0</v>
      </c>
      <c r="CX217" s="361">
        <v>0</v>
      </c>
      <c r="CY217" s="361">
        <v>0</v>
      </c>
      <c r="CZ217" s="361">
        <v>296252.87</v>
      </c>
      <c r="DA217" s="365">
        <v>0</v>
      </c>
      <c r="DB217" s="365">
        <v>0</v>
      </c>
      <c r="DC217" s="361">
        <v>0</v>
      </c>
      <c r="DD217" s="365">
        <v>0</v>
      </c>
      <c r="DE217" s="365"/>
      <c r="DF217" s="365"/>
      <c r="DG217" s="365"/>
      <c r="DH217" s="366"/>
    </row>
    <row r="218" spans="1:112" ht="13">
      <c r="A218" s="294"/>
      <c r="B218" s="294"/>
      <c r="F218" s="302"/>
      <c r="I218" s="553"/>
      <c r="P218" s="295"/>
      <c r="W218" s="295"/>
      <c r="AD218" s="295"/>
      <c r="AK218" s="295"/>
      <c r="BY218" s="618"/>
      <c r="BZ218" s="553"/>
      <c r="CF218" s="294"/>
      <c r="CG218" s="294"/>
      <c r="CR218" s="510">
        <v>85</v>
      </c>
      <c r="CS218" s="359" t="s">
        <v>462</v>
      </c>
      <c r="CT218" s="361">
        <v>240737.95</v>
      </c>
      <c r="CU218" s="361">
        <v>11669</v>
      </c>
      <c r="CV218" s="365">
        <v>0</v>
      </c>
      <c r="CW218" s="361">
        <v>0</v>
      </c>
      <c r="CX218" s="361">
        <v>7914.92</v>
      </c>
      <c r="CY218" s="361">
        <v>93748.33</v>
      </c>
      <c r="CZ218" s="361">
        <v>0</v>
      </c>
      <c r="DA218" s="365">
        <v>0</v>
      </c>
      <c r="DB218" s="365">
        <v>0</v>
      </c>
      <c r="DC218" s="361">
        <v>25678.68</v>
      </c>
      <c r="DD218" s="361">
        <v>101727.02</v>
      </c>
      <c r="DE218" s="365"/>
      <c r="DF218" s="365"/>
      <c r="DG218" s="365"/>
      <c r="DH218" s="366"/>
    </row>
    <row r="219" spans="1:112" ht="13">
      <c r="A219" s="294"/>
      <c r="B219" s="294"/>
      <c r="F219" s="302"/>
      <c r="I219" s="553"/>
      <c r="P219" s="295"/>
      <c r="W219" s="295"/>
      <c r="AD219" s="295"/>
      <c r="AK219" s="295"/>
      <c r="BY219" s="618"/>
      <c r="BZ219" s="553"/>
      <c r="CF219" s="294"/>
      <c r="CG219" s="294"/>
      <c r="CR219" s="510">
        <v>86</v>
      </c>
      <c r="CS219" s="359" t="s">
        <v>427</v>
      </c>
      <c r="CT219" s="361">
        <v>229762.69</v>
      </c>
      <c r="CU219" s="361">
        <v>0</v>
      </c>
      <c r="CV219" s="365">
        <v>0</v>
      </c>
      <c r="CW219" s="365">
        <v>0</v>
      </c>
      <c r="CX219" s="365">
        <v>0</v>
      </c>
      <c r="CY219" s="365">
        <v>0</v>
      </c>
      <c r="CZ219" s="365">
        <v>0</v>
      </c>
      <c r="DA219" s="361">
        <v>0</v>
      </c>
      <c r="DB219" s="361">
        <v>0</v>
      </c>
      <c r="DC219" s="361">
        <v>56777.8</v>
      </c>
      <c r="DD219" s="361">
        <v>172984.89</v>
      </c>
      <c r="DE219" s="365"/>
      <c r="DF219" s="365"/>
      <c r="DG219" s="365"/>
      <c r="DH219" s="366"/>
    </row>
    <row r="220" spans="1:112" ht="13">
      <c r="A220" s="294"/>
      <c r="B220" s="294"/>
      <c r="F220" s="302"/>
      <c r="I220" s="553"/>
      <c r="P220" s="295"/>
      <c r="W220" s="295"/>
      <c r="AD220" s="295"/>
      <c r="AK220" s="295"/>
      <c r="BY220" s="618"/>
      <c r="BZ220" s="553"/>
      <c r="CF220" s="294"/>
      <c r="CG220" s="294"/>
      <c r="CR220" s="510">
        <v>87</v>
      </c>
      <c r="CS220" s="359" t="s">
        <v>437</v>
      </c>
      <c r="CT220" s="361">
        <v>97694.71</v>
      </c>
      <c r="CU220" s="361">
        <v>0</v>
      </c>
      <c r="CV220" s="365">
        <v>0</v>
      </c>
      <c r="CW220" s="361">
        <v>97694.71</v>
      </c>
      <c r="CX220" s="365">
        <v>0</v>
      </c>
      <c r="CY220" s="365">
        <v>0</v>
      </c>
      <c r="CZ220" s="361">
        <v>0</v>
      </c>
      <c r="DA220" s="365">
        <v>0</v>
      </c>
      <c r="DB220" s="365">
        <v>0</v>
      </c>
      <c r="DC220" s="365">
        <v>0</v>
      </c>
      <c r="DD220" s="365">
        <v>0</v>
      </c>
      <c r="DE220" s="365"/>
      <c r="DF220" s="365"/>
      <c r="DG220" s="365"/>
      <c r="DH220" s="366"/>
    </row>
    <row r="221" spans="1:112" ht="13">
      <c r="A221" s="294"/>
      <c r="B221" s="294"/>
      <c r="F221" s="302"/>
      <c r="I221" s="553"/>
      <c r="P221" s="295"/>
      <c r="W221" s="295"/>
      <c r="AD221" s="295"/>
      <c r="AK221" s="295"/>
      <c r="BY221" s="618"/>
      <c r="BZ221" s="553"/>
      <c r="CF221" s="294"/>
      <c r="CG221" s="294"/>
      <c r="CR221" s="510">
        <v>88</v>
      </c>
      <c r="CS221" s="359" t="s">
        <v>477</v>
      </c>
      <c r="CT221" s="361">
        <v>92440.55</v>
      </c>
      <c r="CU221" s="361">
        <v>37261.550000000003</v>
      </c>
      <c r="CV221" s="361">
        <v>0</v>
      </c>
      <c r="CW221" s="361">
        <v>0</v>
      </c>
      <c r="CX221" s="361">
        <v>0</v>
      </c>
      <c r="CY221" s="361">
        <v>0</v>
      </c>
      <c r="CZ221" s="361">
        <v>0</v>
      </c>
      <c r="DA221" s="361">
        <v>55179</v>
      </c>
      <c r="DB221" s="361">
        <v>0</v>
      </c>
      <c r="DC221" s="361">
        <v>0</v>
      </c>
      <c r="DD221" s="361">
        <v>0</v>
      </c>
      <c r="DE221" s="361"/>
      <c r="DF221" s="361"/>
      <c r="DG221" s="361"/>
      <c r="DH221" s="362"/>
    </row>
    <row r="222" spans="1:112" ht="13">
      <c r="A222" s="294"/>
      <c r="B222" s="294"/>
      <c r="F222" s="302"/>
      <c r="I222" s="553"/>
      <c r="P222" s="295"/>
      <c r="W222" s="295"/>
      <c r="AD222" s="295"/>
      <c r="AK222" s="295"/>
      <c r="BY222" s="618"/>
      <c r="BZ222" s="553"/>
      <c r="CF222" s="294"/>
      <c r="CG222" s="294"/>
      <c r="CR222" s="510">
        <v>89</v>
      </c>
      <c r="CS222" s="302" t="s">
        <v>455</v>
      </c>
      <c r="CT222" s="352">
        <v>63321.68</v>
      </c>
      <c r="CU222" s="352">
        <v>0</v>
      </c>
      <c r="CV222" s="302">
        <v>0</v>
      </c>
      <c r="CW222" s="302">
        <v>0</v>
      </c>
      <c r="CX222" s="302">
        <v>0</v>
      </c>
      <c r="CY222" s="302">
        <v>0</v>
      </c>
      <c r="CZ222" s="352">
        <v>52104.88</v>
      </c>
      <c r="DA222" s="302">
        <v>0</v>
      </c>
      <c r="DB222" s="352">
        <v>11216.8</v>
      </c>
      <c r="DC222" s="352">
        <v>0</v>
      </c>
      <c r="DD222" s="302">
        <v>0</v>
      </c>
      <c r="DH222" s="367"/>
    </row>
    <row r="223" spans="1:112" ht="13">
      <c r="A223" s="294"/>
      <c r="B223" s="294"/>
      <c r="F223" s="302"/>
      <c r="I223" s="553"/>
      <c r="P223" s="295"/>
      <c r="W223" s="295"/>
      <c r="AD223" s="295"/>
      <c r="AK223" s="295"/>
      <c r="BY223" s="618"/>
      <c r="BZ223" s="553"/>
      <c r="CF223" s="294"/>
      <c r="CG223" s="294"/>
      <c r="CR223" s="510">
        <v>90</v>
      </c>
      <c r="CS223" s="302" t="s">
        <v>451</v>
      </c>
      <c r="CT223" s="352">
        <v>50261</v>
      </c>
      <c r="CU223" s="302">
        <v>0</v>
      </c>
      <c r="CV223" s="302">
        <v>0</v>
      </c>
      <c r="CW223" s="302">
        <v>0</v>
      </c>
      <c r="CX223" s="302">
        <v>0</v>
      </c>
      <c r="CY223" s="302">
        <v>0</v>
      </c>
      <c r="CZ223" s="352">
        <v>74083.31</v>
      </c>
      <c r="DA223" s="302">
        <v>0</v>
      </c>
      <c r="DB223" s="352">
        <v>0</v>
      </c>
      <c r="DC223" s="352">
        <v>50261</v>
      </c>
      <c r="DD223" s="352">
        <v>-74083.31</v>
      </c>
      <c r="DH223" s="367"/>
    </row>
    <row r="224" spans="1:112" ht="13">
      <c r="A224" s="294"/>
      <c r="B224" s="294"/>
      <c r="F224" s="302"/>
      <c r="I224" s="553"/>
      <c r="P224" s="295"/>
      <c r="W224" s="295"/>
      <c r="AD224" s="295"/>
      <c r="AK224" s="295"/>
      <c r="BY224" s="618"/>
      <c r="BZ224" s="553"/>
      <c r="CF224" s="294"/>
      <c r="CG224" s="294"/>
      <c r="CR224" s="510">
        <v>91</v>
      </c>
      <c r="CS224" s="302" t="s">
        <v>488</v>
      </c>
      <c r="CT224" s="352">
        <v>34105.68</v>
      </c>
      <c r="CU224" s="352">
        <v>34105.68</v>
      </c>
      <c r="CV224" s="302">
        <v>0</v>
      </c>
      <c r="CW224" s="302">
        <v>0</v>
      </c>
      <c r="CX224" s="302">
        <v>0</v>
      </c>
      <c r="CY224" s="302">
        <v>0</v>
      </c>
      <c r="CZ224" s="302">
        <v>0</v>
      </c>
      <c r="DA224" s="302">
        <v>0</v>
      </c>
      <c r="DB224" s="352">
        <v>64692.56</v>
      </c>
      <c r="DC224" s="352">
        <v>0</v>
      </c>
      <c r="DD224" s="352">
        <v>-64692.56</v>
      </c>
      <c r="DH224" s="367"/>
    </row>
    <row r="225" spans="1:112" ht="13">
      <c r="A225" s="294"/>
      <c r="B225" s="294"/>
      <c r="F225" s="302"/>
      <c r="I225" s="553"/>
      <c r="P225" s="295"/>
      <c r="W225" s="295"/>
      <c r="AD225" s="295"/>
      <c r="AK225" s="295"/>
      <c r="BY225" s="618"/>
      <c r="BZ225" s="553"/>
      <c r="CF225" s="294"/>
      <c r="CG225" s="294"/>
      <c r="CR225" s="510">
        <v>92</v>
      </c>
      <c r="DH225" s="367"/>
    </row>
    <row r="226" spans="1:112" ht="13">
      <c r="A226" s="294"/>
      <c r="B226" s="294"/>
      <c r="F226" s="302"/>
      <c r="I226" s="553"/>
      <c r="P226" s="295"/>
      <c r="W226" s="295"/>
      <c r="AD226" s="295"/>
      <c r="AK226" s="295"/>
      <c r="BY226" s="618"/>
      <c r="BZ226" s="553"/>
      <c r="CF226" s="294"/>
      <c r="CG226" s="294"/>
      <c r="CR226" s="510">
        <v>93</v>
      </c>
      <c r="DH226" s="367"/>
    </row>
    <row r="227" spans="1:112" ht="13">
      <c r="A227" s="294"/>
      <c r="B227" s="294"/>
      <c r="F227" s="302"/>
      <c r="I227" s="553"/>
      <c r="P227" s="295"/>
      <c r="W227" s="295"/>
      <c r="AD227" s="295"/>
      <c r="AK227" s="295"/>
      <c r="BY227" s="618"/>
      <c r="BZ227" s="553"/>
      <c r="CF227" s="294"/>
      <c r="CG227" s="294"/>
      <c r="CR227" s="510">
        <v>94</v>
      </c>
      <c r="DH227" s="367"/>
    </row>
    <row r="228" spans="1:112" ht="13">
      <c r="A228" s="294"/>
      <c r="B228" s="294"/>
      <c r="F228" s="302"/>
      <c r="I228" s="553"/>
      <c r="P228" s="295"/>
      <c r="W228" s="295"/>
      <c r="AD228" s="295"/>
      <c r="AK228" s="295"/>
      <c r="BY228" s="618"/>
      <c r="BZ228" s="553"/>
      <c r="CF228" s="294"/>
      <c r="CG228" s="294"/>
      <c r="CR228" s="510">
        <v>95</v>
      </c>
      <c r="DH228" s="367"/>
    </row>
    <row r="229" spans="1:112" ht="13">
      <c r="A229" s="294"/>
      <c r="B229" s="294"/>
      <c r="F229" s="302"/>
      <c r="I229" s="553"/>
      <c r="P229" s="295"/>
      <c r="W229" s="295"/>
      <c r="AD229" s="295"/>
      <c r="AK229" s="295"/>
      <c r="BY229" s="618"/>
      <c r="BZ229" s="553"/>
      <c r="CF229" s="294"/>
      <c r="CG229" s="294"/>
      <c r="CR229" s="510">
        <v>96</v>
      </c>
      <c r="DH229" s="367"/>
    </row>
    <row r="230" spans="1:112" ht="13">
      <c r="A230" s="294"/>
      <c r="B230" s="294"/>
      <c r="F230" s="302"/>
      <c r="I230" s="553"/>
      <c r="P230" s="295"/>
      <c r="W230" s="295"/>
      <c r="AD230" s="295"/>
      <c r="AK230" s="295"/>
      <c r="BY230" s="618"/>
      <c r="BZ230" s="553"/>
      <c r="CF230" s="294"/>
      <c r="CG230" s="294"/>
      <c r="CR230" s="510">
        <v>97</v>
      </c>
      <c r="DH230" s="367"/>
    </row>
    <row r="231" spans="1:112" ht="13">
      <c r="A231" s="294"/>
      <c r="B231" s="294"/>
      <c r="F231" s="302"/>
      <c r="I231" s="553"/>
      <c r="P231" s="295"/>
      <c r="W231" s="295"/>
      <c r="AD231" s="295"/>
      <c r="AK231" s="295"/>
      <c r="BY231" s="618"/>
      <c r="BZ231" s="553"/>
      <c r="CF231" s="294"/>
      <c r="CG231" s="294"/>
      <c r="CR231" s="510">
        <v>98</v>
      </c>
      <c r="DH231" s="367"/>
    </row>
    <row r="232" spans="1:112" ht="13">
      <c r="A232" s="294"/>
      <c r="B232" s="294"/>
      <c r="F232" s="302"/>
      <c r="I232" s="553"/>
      <c r="P232" s="295"/>
      <c r="W232" s="295"/>
      <c r="AD232" s="295"/>
      <c r="AK232" s="295"/>
      <c r="BY232" s="618"/>
      <c r="BZ232" s="553"/>
      <c r="CF232" s="294"/>
      <c r="CG232" s="294"/>
      <c r="CR232" s="510">
        <v>99</v>
      </c>
      <c r="DH232" s="367"/>
    </row>
    <row r="233" spans="1:112" ht="13">
      <c r="A233" s="294"/>
      <c r="B233" s="294"/>
      <c r="F233" s="302"/>
      <c r="I233" s="553"/>
      <c r="P233" s="295"/>
      <c r="W233" s="295"/>
      <c r="AD233" s="295"/>
      <c r="AK233" s="295"/>
      <c r="BY233" s="618"/>
      <c r="BZ233" s="553"/>
      <c r="CF233" s="294"/>
      <c r="CG233" s="294"/>
      <c r="CR233" s="510">
        <v>100</v>
      </c>
      <c r="DH233" s="367"/>
    </row>
    <row r="234" spans="1:112" ht="13">
      <c r="A234" s="294"/>
      <c r="B234" s="294"/>
      <c r="F234" s="302"/>
      <c r="I234" s="553"/>
      <c r="P234" s="295"/>
      <c r="W234" s="295"/>
      <c r="AD234" s="295"/>
      <c r="AK234" s="295"/>
      <c r="BY234" s="618"/>
      <c r="BZ234" s="553"/>
      <c r="CF234" s="294"/>
      <c r="CG234" s="294"/>
      <c r="CR234" s="510">
        <v>101</v>
      </c>
      <c r="DH234" s="367"/>
    </row>
    <row r="235" spans="1:112" ht="13">
      <c r="A235" s="294"/>
      <c r="B235" s="294"/>
      <c r="F235" s="302"/>
      <c r="I235" s="553"/>
      <c r="P235" s="295"/>
      <c r="W235" s="295"/>
      <c r="AD235" s="295"/>
      <c r="AK235" s="295"/>
      <c r="BY235" s="618"/>
      <c r="BZ235" s="553"/>
      <c r="CF235" s="294"/>
      <c r="CG235" s="294"/>
      <c r="CR235" s="510">
        <v>102</v>
      </c>
      <c r="DH235" s="367"/>
    </row>
    <row r="236" spans="1:112" ht="13">
      <c r="A236" s="294"/>
      <c r="B236" s="294"/>
      <c r="F236" s="302"/>
      <c r="I236" s="553"/>
      <c r="P236" s="295"/>
      <c r="W236" s="295"/>
      <c r="AD236" s="295"/>
      <c r="AK236" s="295"/>
      <c r="BY236" s="618"/>
      <c r="BZ236" s="553"/>
      <c r="CF236" s="294"/>
      <c r="CG236" s="294"/>
      <c r="CR236" s="510">
        <v>103</v>
      </c>
      <c r="DH236" s="367"/>
    </row>
    <row r="237" spans="1:112" ht="13">
      <c r="A237" s="294"/>
      <c r="B237" s="294"/>
      <c r="F237" s="302"/>
      <c r="I237" s="553"/>
      <c r="P237" s="295"/>
      <c r="W237" s="295"/>
      <c r="AD237" s="295"/>
      <c r="AK237" s="295"/>
      <c r="BY237" s="618"/>
      <c r="BZ237" s="553"/>
      <c r="CF237" s="294"/>
      <c r="CG237" s="294"/>
      <c r="CR237" s="510">
        <v>104</v>
      </c>
      <c r="DH237" s="367"/>
    </row>
    <row r="238" spans="1:112" ht="13">
      <c r="A238" s="294"/>
      <c r="B238" s="294"/>
      <c r="F238" s="302"/>
      <c r="I238" s="553"/>
      <c r="P238" s="295"/>
      <c r="W238" s="295"/>
      <c r="AD238" s="295"/>
      <c r="AK238" s="295"/>
      <c r="BY238" s="618"/>
      <c r="BZ238" s="553"/>
      <c r="CF238" s="294"/>
      <c r="CG238" s="294"/>
      <c r="CR238" s="510">
        <v>105</v>
      </c>
      <c r="DH238" s="367"/>
    </row>
    <row r="239" spans="1:112" ht="13">
      <c r="A239" s="294"/>
      <c r="B239" s="294"/>
      <c r="F239" s="302"/>
      <c r="I239" s="553"/>
      <c r="P239" s="295"/>
      <c r="W239" s="295"/>
      <c r="AD239" s="295"/>
      <c r="AK239" s="295"/>
      <c r="BY239" s="618"/>
      <c r="BZ239" s="553"/>
      <c r="CF239" s="294"/>
      <c r="CG239" s="294"/>
      <c r="CR239" s="510">
        <v>106</v>
      </c>
      <c r="DH239" s="367"/>
    </row>
    <row r="240" spans="1:112" ht="13">
      <c r="A240" s="294"/>
      <c r="B240" s="294"/>
      <c r="F240" s="302"/>
      <c r="I240" s="553"/>
      <c r="P240" s="295"/>
      <c r="W240" s="295"/>
      <c r="AD240" s="295"/>
      <c r="AK240" s="295"/>
      <c r="BY240" s="618"/>
      <c r="BZ240" s="553"/>
      <c r="CF240" s="294"/>
      <c r="CG240" s="294"/>
      <c r="CR240" s="510">
        <v>107</v>
      </c>
      <c r="DH240" s="367"/>
    </row>
    <row r="241" spans="1:112" ht="13">
      <c r="A241" s="294"/>
      <c r="B241" s="294"/>
      <c r="F241" s="302"/>
      <c r="I241" s="553"/>
      <c r="P241" s="295"/>
      <c r="W241" s="295"/>
      <c r="AD241" s="295"/>
      <c r="AK241" s="295"/>
      <c r="BY241" s="618"/>
      <c r="BZ241" s="553"/>
      <c r="CF241" s="294"/>
      <c r="CG241" s="294"/>
      <c r="CR241" s="510">
        <v>108</v>
      </c>
      <c r="DH241" s="367"/>
    </row>
    <row r="242" spans="1:112" ht="13">
      <c r="A242" s="294"/>
      <c r="B242" s="294"/>
      <c r="F242" s="302"/>
      <c r="I242" s="553"/>
      <c r="P242" s="295"/>
      <c r="W242" s="295"/>
      <c r="AD242" s="295"/>
      <c r="AK242" s="295"/>
      <c r="BY242" s="618"/>
      <c r="BZ242" s="553"/>
      <c r="CF242" s="294"/>
      <c r="CG242" s="294"/>
      <c r="CR242" s="510">
        <v>109</v>
      </c>
      <c r="DH242" s="367"/>
    </row>
    <row r="243" spans="1:112" ht="13">
      <c r="A243" s="294"/>
      <c r="B243" s="294"/>
      <c r="F243" s="302"/>
      <c r="I243" s="553"/>
      <c r="P243" s="295"/>
      <c r="W243" s="295"/>
      <c r="AD243" s="295"/>
      <c r="AK243" s="295"/>
      <c r="BY243" s="618"/>
      <c r="BZ243" s="553"/>
      <c r="CF243" s="294"/>
      <c r="CG243" s="294"/>
      <c r="CR243" s="510">
        <v>110</v>
      </c>
      <c r="DH243" s="367"/>
    </row>
    <row r="244" spans="1:112" ht="13">
      <c r="A244" s="294"/>
      <c r="B244" s="294"/>
      <c r="F244" s="302"/>
      <c r="I244" s="553"/>
      <c r="P244" s="295"/>
      <c r="W244" s="295"/>
      <c r="AD244" s="295"/>
      <c r="AK244" s="295"/>
      <c r="BY244" s="618"/>
      <c r="BZ244" s="553"/>
      <c r="CF244" s="294"/>
      <c r="CG244" s="294"/>
      <c r="CR244" s="510">
        <v>111</v>
      </c>
      <c r="DH244" s="367"/>
    </row>
    <row r="245" spans="1:112" ht="13">
      <c r="A245" s="294"/>
      <c r="B245" s="294"/>
      <c r="F245" s="302"/>
      <c r="I245" s="553"/>
      <c r="P245" s="295"/>
      <c r="W245" s="295"/>
      <c r="AD245" s="295"/>
      <c r="AK245" s="295"/>
      <c r="BY245" s="618"/>
      <c r="BZ245" s="553"/>
      <c r="CF245" s="294"/>
      <c r="CG245" s="294"/>
      <c r="CR245" s="510">
        <v>112</v>
      </c>
      <c r="DH245" s="367"/>
    </row>
    <row r="246" spans="1:112" ht="13">
      <c r="A246" s="294"/>
      <c r="B246" s="294"/>
      <c r="F246" s="302"/>
      <c r="I246" s="553"/>
      <c r="P246" s="295"/>
      <c r="W246" s="295"/>
      <c r="AD246" s="295"/>
      <c r="AK246" s="295"/>
      <c r="BY246" s="618"/>
      <c r="BZ246" s="553"/>
      <c r="CF246" s="294"/>
      <c r="CG246" s="294"/>
      <c r="CR246" s="510">
        <v>113</v>
      </c>
      <c r="DH246" s="367"/>
    </row>
    <row r="247" spans="1:112" ht="13">
      <c r="A247" s="294"/>
      <c r="B247" s="294"/>
      <c r="F247" s="302"/>
      <c r="I247" s="553"/>
      <c r="P247" s="295"/>
      <c r="W247" s="295"/>
      <c r="AD247" s="295"/>
      <c r="AK247" s="295"/>
      <c r="BY247" s="618"/>
      <c r="BZ247" s="553"/>
      <c r="CF247" s="294"/>
      <c r="CG247" s="294"/>
      <c r="CR247" s="510">
        <v>114</v>
      </c>
      <c r="DH247" s="367"/>
    </row>
    <row r="248" spans="1:112" ht="13">
      <c r="A248" s="294"/>
      <c r="B248" s="294"/>
      <c r="F248" s="302"/>
      <c r="I248" s="553"/>
      <c r="P248" s="295"/>
      <c r="W248" s="295"/>
      <c r="AD248" s="295"/>
      <c r="AK248" s="295"/>
      <c r="BY248" s="618"/>
      <c r="BZ248" s="553"/>
      <c r="CF248" s="294"/>
      <c r="CG248" s="294"/>
      <c r="CR248" s="510">
        <v>115</v>
      </c>
      <c r="DH248" s="367"/>
    </row>
    <row r="249" spans="1:112" ht="13">
      <c r="A249" s="294"/>
      <c r="B249" s="294"/>
      <c r="F249" s="302"/>
      <c r="I249" s="553"/>
      <c r="P249" s="295"/>
      <c r="W249" s="295"/>
      <c r="AD249" s="295"/>
      <c r="AK249" s="295"/>
      <c r="BY249" s="618"/>
      <c r="BZ249" s="553"/>
      <c r="CF249" s="294"/>
      <c r="CG249" s="294"/>
      <c r="CR249" s="510">
        <v>116</v>
      </c>
      <c r="DH249" s="367"/>
    </row>
    <row r="250" spans="1:112" ht="13">
      <c r="A250" s="294"/>
      <c r="B250" s="294"/>
      <c r="F250" s="302"/>
      <c r="I250" s="553"/>
      <c r="P250" s="295"/>
      <c r="W250" s="295"/>
      <c r="AD250" s="295"/>
      <c r="AK250" s="295"/>
      <c r="BY250" s="618"/>
      <c r="BZ250" s="553"/>
      <c r="CF250" s="294"/>
      <c r="CG250" s="294"/>
      <c r="CR250" s="510">
        <v>117</v>
      </c>
      <c r="DH250" s="367"/>
    </row>
    <row r="251" spans="1:112" ht="13">
      <c r="A251" s="294"/>
      <c r="B251" s="294"/>
      <c r="F251" s="302"/>
      <c r="I251" s="553"/>
      <c r="P251" s="295"/>
      <c r="W251" s="295"/>
      <c r="AD251" s="295"/>
      <c r="AK251" s="295"/>
      <c r="BY251" s="618"/>
      <c r="BZ251" s="553"/>
      <c r="CF251" s="294"/>
      <c r="CG251" s="294"/>
      <c r="CR251" s="510">
        <v>118</v>
      </c>
      <c r="DH251" s="367"/>
    </row>
    <row r="252" spans="1:112" ht="13">
      <c r="A252" s="294"/>
      <c r="B252" s="294"/>
      <c r="F252" s="302"/>
      <c r="I252" s="553"/>
      <c r="P252" s="295"/>
      <c r="W252" s="295"/>
      <c r="AD252" s="295"/>
      <c r="AK252" s="295"/>
      <c r="BY252" s="618"/>
      <c r="BZ252" s="553"/>
      <c r="CF252" s="294"/>
      <c r="CG252" s="294"/>
      <c r="CR252" s="510">
        <v>119</v>
      </c>
      <c r="DH252" s="367"/>
    </row>
    <row r="253" spans="1:112" ht="13">
      <c r="A253" s="294"/>
      <c r="B253" s="294"/>
      <c r="F253" s="302"/>
      <c r="I253" s="553"/>
      <c r="P253" s="295"/>
      <c r="W253" s="295"/>
      <c r="AD253" s="295"/>
      <c r="AK253" s="295"/>
      <c r="BY253" s="618"/>
      <c r="BZ253" s="553"/>
      <c r="CF253" s="294"/>
      <c r="CG253" s="294"/>
      <c r="CR253" s="510">
        <v>120</v>
      </c>
      <c r="DH253" s="367"/>
    </row>
    <row r="254" spans="1:112" ht="13">
      <c r="A254" s="294"/>
      <c r="B254" s="294"/>
      <c r="F254" s="302"/>
      <c r="I254" s="553"/>
      <c r="P254" s="295"/>
      <c r="W254" s="295"/>
      <c r="AD254" s="295"/>
      <c r="AK254" s="295"/>
      <c r="BY254" s="618"/>
      <c r="BZ254" s="553"/>
      <c r="CF254" s="294"/>
      <c r="CG254" s="294"/>
      <c r="CR254" s="510">
        <v>121</v>
      </c>
      <c r="DH254" s="367"/>
    </row>
    <row r="255" spans="1:112" ht="13">
      <c r="A255" s="294"/>
      <c r="B255" s="294"/>
      <c r="F255" s="302"/>
      <c r="I255" s="553"/>
      <c r="P255" s="295"/>
      <c r="W255" s="295"/>
      <c r="AD255" s="295"/>
      <c r="AK255" s="295"/>
      <c r="BY255" s="618"/>
      <c r="BZ255" s="553"/>
      <c r="CF255" s="294"/>
      <c r="CG255" s="294"/>
      <c r="CR255" s="510">
        <v>122</v>
      </c>
      <c r="DH255" s="367"/>
    </row>
    <row r="256" spans="1:112" ht="13">
      <c r="A256" s="294"/>
      <c r="B256" s="294"/>
      <c r="F256" s="302"/>
      <c r="I256" s="553"/>
      <c r="P256" s="295"/>
      <c r="W256" s="295"/>
      <c r="AD256" s="295"/>
      <c r="AK256" s="295"/>
      <c r="BY256" s="618"/>
      <c r="BZ256" s="553"/>
      <c r="CF256" s="294"/>
      <c r="CG256" s="294"/>
      <c r="CR256" s="510">
        <v>123</v>
      </c>
      <c r="DH256" s="367"/>
    </row>
    <row r="257" spans="1:112" ht="13">
      <c r="A257" s="294"/>
      <c r="B257" s="294"/>
      <c r="F257" s="302"/>
      <c r="I257" s="553"/>
      <c r="P257" s="295"/>
      <c r="W257" s="295"/>
      <c r="AD257" s="295"/>
      <c r="AK257" s="295"/>
      <c r="BY257" s="618"/>
      <c r="BZ257" s="553"/>
      <c r="CF257" s="294"/>
      <c r="CG257" s="294"/>
      <c r="CR257" s="510">
        <v>124</v>
      </c>
      <c r="DH257" s="367"/>
    </row>
    <row r="258" spans="1:112" ht="13">
      <c r="A258" s="294"/>
      <c r="B258" s="294"/>
      <c r="F258" s="302"/>
      <c r="I258" s="553"/>
      <c r="P258" s="295"/>
      <c r="W258" s="295"/>
      <c r="AD258" s="295"/>
      <c r="AK258" s="295"/>
      <c r="BY258" s="618"/>
      <c r="BZ258" s="553"/>
      <c r="CF258" s="294"/>
      <c r="CG258" s="294"/>
      <c r="CR258" s="510">
        <v>125</v>
      </c>
      <c r="DH258" s="367"/>
    </row>
    <row r="259" spans="1:112" ht="13">
      <c r="A259" s="294"/>
      <c r="B259" s="294"/>
      <c r="F259" s="302"/>
      <c r="I259" s="553"/>
      <c r="P259" s="295"/>
      <c r="W259" s="295"/>
      <c r="AD259" s="295"/>
      <c r="AK259" s="295"/>
      <c r="BY259" s="618"/>
      <c r="BZ259" s="553"/>
      <c r="CF259" s="294"/>
      <c r="CG259" s="294"/>
      <c r="CR259" s="510">
        <v>126</v>
      </c>
      <c r="DH259" s="367"/>
    </row>
    <row r="260" spans="1:112" ht="13">
      <c r="A260" s="294"/>
      <c r="B260" s="294"/>
      <c r="F260" s="302"/>
      <c r="I260" s="553"/>
      <c r="P260" s="295"/>
      <c r="W260" s="295"/>
      <c r="AD260" s="295"/>
      <c r="AK260" s="295"/>
      <c r="BY260" s="618"/>
      <c r="BZ260" s="553"/>
      <c r="CF260" s="294"/>
      <c r="CG260" s="294"/>
      <c r="CR260" s="510">
        <v>127</v>
      </c>
      <c r="DH260" s="367"/>
    </row>
    <row r="261" spans="1:112" ht="13">
      <c r="A261" s="294"/>
      <c r="B261" s="294"/>
      <c r="F261" s="302"/>
      <c r="I261" s="553"/>
      <c r="P261" s="295"/>
      <c r="W261" s="295"/>
      <c r="AD261" s="295"/>
      <c r="AK261" s="295"/>
      <c r="BY261" s="618"/>
      <c r="BZ261" s="553"/>
      <c r="CF261" s="294"/>
      <c r="CG261" s="294"/>
      <c r="CR261" s="510">
        <v>128</v>
      </c>
      <c r="DH261" s="367"/>
    </row>
    <row r="262" spans="1:112" ht="13">
      <c r="A262" s="294"/>
      <c r="B262" s="294"/>
      <c r="F262" s="302"/>
      <c r="I262" s="553"/>
      <c r="P262" s="295"/>
      <c r="W262" s="295"/>
      <c r="AD262" s="295"/>
      <c r="AK262" s="295"/>
      <c r="BY262" s="618"/>
      <c r="BZ262" s="553"/>
      <c r="CF262" s="294"/>
      <c r="CG262" s="294"/>
      <c r="CR262" s="510">
        <v>129</v>
      </c>
      <c r="DH262" s="367"/>
    </row>
    <row r="263" spans="1:112" ht="13">
      <c r="A263" s="294"/>
      <c r="B263" s="294"/>
      <c r="F263" s="302"/>
      <c r="I263" s="553"/>
      <c r="P263" s="295"/>
      <c r="W263" s="295"/>
      <c r="AD263" s="295"/>
      <c r="AK263" s="295"/>
      <c r="BY263" s="618"/>
      <c r="BZ263" s="553"/>
      <c r="CF263" s="294"/>
      <c r="CG263" s="294"/>
      <c r="CR263" s="510">
        <v>130</v>
      </c>
      <c r="DH263" s="367"/>
    </row>
    <row r="264" spans="1:112" ht="13">
      <c r="A264" s="294"/>
      <c r="B264" s="294"/>
      <c r="F264" s="302"/>
      <c r="I264" s="553"/>
      <c r="P264" s="295"/>
      <c r="W264" s="295"/>
      <c r="AD264" s="295"/>
      <c r="AK264" s="295"/>
      <c r="BY264" s="618"/>
      <c r="BZ264" s="553"/>
      <c r="CF264" s="294"/>
      <c r="CG264" s="294"/>
      <c r="CR264" s="510">
        <v>131</v>
      </c>
      <c r="DH264" s="367"/>
    </row>
    <row r="265" spans="1:112" ht="13">
      <c r="A265" s="294"/>
      <c r="B265" s="294"/>
      <c r="F265" s="302"/>
      <c r="I265" s="553"/>
      <c r="P265" s="295"/>
      <c r="W265" s="295"/>
      <c r="AD265" s="295"/>
      <c r="AK265" s="295"/>
      <c r="BY265" s="618"/>
      <c r="BZ265" s="553"/>
      <c r="CF265" s="294"/>
      <c r="CG265" s="294"/>
      <c r="CR265" s="510">
        <v>132</v>
      </c>
      <c r="DH265" s="367"/>
    </row>
    <row r="266" spans="1:112" ht="13">
      <c r="A266" s="294"/>
      <c r="B266" s="294"/>
      <c r="F266" s="302"/>
      <c r="I266" s="553"/>
      <c r="P266" s="295"/>
      <c r="W266" s="295"/>
      <c r="AD266" s="295"/>
      <c r="AK266" s="295"/>
      <c r="BY266" s="618"/>
      <c r="BZ266" s="553"/>
      <c r="CF266" s="294"/>
      <c r="CG266" s="294"/>
      <c r="CR266" s="510">
        <v>133</v>
      </c>
      <c r="DH266" s="367"/>
    </row>
    <row r="267" spans="1:112" ht="13">
      <c r="A267" s="294"/>
      <c r="B267" s="294"/>
      <c r="F267" s="302"/>
      <c r="I267" s="553"/>
      <c r="P267" s="295"/>
      <c r="W267" s="295"/>
      <c r="AD267" s="295"/>
      <c r="AK267" s="295"/>
      <c r="BY267" s="618"/>
      <c r="BZ267" s="553"/>
      <c r="CF267" s="294"/>
      <c r="CG267" s="294"/>
      <c r="CR267" s="510">
        <v>134</v>
      </c>
      <c r="DH267" s="367"/>
    </row>
    <row r="268" spans="1:112" ht="13">
      <c r="A268" s="294"/>
      <c r="B268" s="294"/>
      <c r="F268" s="302"/>
      <c r="I268" s="553"/>
      <c r="P268" s="295"/>
      <c r="W268" s="295"/>
      <c r="AD268" s="295"/>
      <c r="AK268" s="295"/>
      <c r="BY268" s="618"/>
      <c r="BZ268" s="553"/>
      <c r="CF268" s="294"/>
      <c r="CG268" s="294"/>
      <c r="CR268" s="510">
        <v>135</v>
      </c>
      <c r="DH268" s="367"/>
    </row>
    <row r="269" spans="1:112" ht="13">
      <c r="A269" s="294"/>
      <c r="B269" s="294"/>
      <c r="F269" s="302"/>
      <c r="I269" s="553"/>
      <c r="P269" s="295"/>
      <c r="W269" s="295"/>
      <c r="AD269" s="295"/>
      <c r="AK269" s="295"/>
      <c r="BY269" s="618"/>
      <c r="BZ269" s="553"/>
      <c r="CF269" s="294"/>
      <c r="CG269" s="294"/>
      <c r="CR269" s="510">
        <v>136</v>
      </c>
      <c r="DH269" s="367"/>
    </row>
    <row r="270" spans="1:112" ht="13">
      <c r="A270" s="294"/>
      <c r="B270" s="294"/>
      <c r="F270" s="302"/>
      <c r="I270" s="553"/>
      <c r="P270" s="295"/>
      <c r="W270" s="295"/>
      <c r="AD270" s="295"/>
      <c r="AK270" s="295"/>
      <c r="BY270" s="618"/>
      <c r="BZ270" s="553"/>
      <c r="CF270" s="294"/>
      <c r="CG270" s="294"/>
      <c r="CR270" s="510">
        <v>137</v>
      </c>
      <c r="DH270" s="367"/>
    </row>
    <row r="271" spans="1:112" ht="13">
      <c r="A271" s="294"/>
      <c r="B271" s="294"/>
      <c r="F271" s="302"/>
      <c r="I271" s="553"/>
      <c r="P271" s="295"/>
      <c r="W271" s="295"/>
      <c r="AD271" s="295"/>
      <c r="AK271" s="295"/>
      <c r="BY271" s="618"/>
      <c r="BZ271" s="553"/>
      <c r="CF271" s="294"/>
      <c r="CG271" s="294"/>
      <c r="CR271" s="510">
        <v>138</v>
      </c>
      <c r="DH271" s="367"/>
    </row>
    <row r="272" spans="1:112" ht="13">
      <c r="A272" s="294"/>
      <c r="B272" s="294"/>
      <c r="F272" s="302"/>
      <c r="I272" s="553"/>
      <c r="P272" s="295"/>
      <c r="W272" s="295"/>
      <c r="AD272" s="295"/>
      <c r="AK272" s="295"/>
      <c r="BY272" s="618"/>
      <c r="BZ272" s="553"/>
      <c r="CF272" s="294"/>
      <c r="CG272" s="294"/>
      <c r="CR272" s="510">
        <v>139</v>
      </c>
      <c r="DH272" s="367"/>
    </row>
    <row r="273" spans="1:112" ht="13">
      <c r="A273" s="294"/>
      <c r="B273" s="294"/>
      <c r="F273" s="302"/>
      <c r="I273" s="553"/>
      <c r="P273" s="295"/>
      <c r="W273" s="295"/>
      <c r="AD273" s="295"/>
      <c r="AK273" s="295"/>
      <c r="BY273" s="618"/>
      <c r="BZ273" s="553"/>
      <c r="CF273" s="294"/>
      <c r="CG273" s="294"/>
      <c r="CR273" s="510">
        <v>140</v>
      </c>
      <c r="DH273" s="367"/>
    </row>
    <row r="274" spans="1:112" ht="13">
      <c r="A274" s="294"/>
      <c r="B274" s="294"/>
      <c r="F274" s="302"/>
      <c r="I274" s="553"/>
      <c r="P274" s="295"/>
      <c r="W274" s="295"/>
      <c r="AD274" s="295"/>
      <c r="AK274" s="295"/>
      <c r="BY274" s="618"/>
      <c r="BZ274" s="553"/>
      <c r="CF274" s="294"/>
      <c r="CG274" s="294"/>
      <c r="CR274" s="512">
        <v>141</v>
      </c>
      <c r="CS274" s="369"/>
      <c r="CT274" s="369"/>
      <c r="CU274" s="369"/>
      <c r="CV274" s="369"/>
      <c r="CW274" s="369"/>
      <c r="CX274" s="369"/>
      <c r="CY274" s="369"/>
      <c r="CZ274" s="369"/>
      <c r="DA274" s="369"/>
      <c r="DB274" s="369"/>
      <c r="DC274" s="369"/>
      <c r="DD274" s="369"/>
      <c r="DE274" s="369"/>
      <c r="DF274" s="369"/>
      <c r="DG274" s="369"/>
      <c r="DH274" s="370"/>
    </row>
    <row r="275" spans="1:112" ht="13">
      <c r="A275" s="294"/>
      <c r="B275" s="294"/>
      <c r="F275" s="302"/>
      <c r="I275" s="553"/>
      <c r="P275" s="295"/>
      <c r="W275" s="295"/>
      <c r="AD275" s="295"/>
      <c r="AK275" s="295"/>
      <c r="BY275" s="618"/>
      <c r="BZ275" s="553"/>
      <c r="CF275" s="294"/>
      <c r="CG275" s="294"/>
      <c r="CR275" s="294"/>
    </row>
    <row r="276" spans="1:112" ht="13">
      <c r="A276" s="294"/>
      <c r="B276" s="294"/>
      <c r="F276" s="302"/>
      <c r="I276" s="553"/>
      <c r="P276" s="295"/>
      <c r="W276" s="295"/>
      <c r="AD276" s="295"/>
      <c r="AK276" s="295"/>
      <c r="BY276" s="618"/>
      <c r="BZ276" s="553"/>
      <c r="CF276" s="294"/>
      <c r="CG276" s="294"/>
      <c r="CR276" s="294"/>
      <c r="CU276" s="352">
        <f>CU280-M97</f>
        <v>-1.9999995827674866E-2</v>
      </c>
      <c r="CX276" s="352">
        <f>CX280-AN97</f>
        <v>-2.0000025629997253E-2</v>
      </c>
      <c r="CY276" s="352">
        <f>CY280-AR97</f>
        <v>0</v>
      </c>
      <c r="CZ276" s="352">
        <f>CZ280-AV97</f>
        <v>0</v>
      </c>
      <c r="DA276" s="352">
        <f>DA280-BF97</f>
        <v>-9.9999755620956421E-3</v>
      </c>
      <c r="DB276" s="352">
        <f>DB280-BJ97</f>
        <v>1.0000020265579224E-2</v>
      </c>
      <c r="DC276" s="296">
        <f>BN97-DC280</f>
        <v>9.9999979138374329E-3</v>
      </c>
      <c r="DD276" s="352">
        <f>DD280-BU97</f>
        <v>0</v>
      </c>
    </row>
    <row r="277" spans="1:112" ht="13">
      <c r="A277" s="294"/>
      <c r="B277" s="294"/>
      <c r="F277" s="302"/>
      <c r="I277" s="553"/>
      <c r="P277" s="295"/>
      <c r="W277" s="295"/>
      <c r="AD277" s="295"/>
      <c r="AK277" s="295"/>
      <c r="BY277" s="618"/>
      <c r="BZ277" s="553"/>
      <c r="CF277" s="294"/>
      <c r="CG277" s="294"/>
      <c r="CR277" s="665"/>
      <c r="CS277" s="372">
        <v>1</v>
      </c>
      <c r="CT277" s="372">
        <v>2</v>
      </c>
      <c r="CU277" s="372">
        <v>3</v>
      </c>
      <c r="CV277" s="372">
        <v>4</v>
      </c>
      <c r="CW277" s="372">
        <v>5</v>
      </c>
      <c r="CX277" s="372">
        <v>6</v>
      </c>
      <c r="CY277" s="372">
        <v>7</v>
      </c>
      <c r="CZ277" s="372">
        <v>8</v>
      </c>
      <c r="DA277" s="372">
        <v>9</v>
      </c>
      <c r="DB277" s="372">
        <v>10</v>
      </c>
      <c r="DC277" s="372">
        <v>11</v>
      </c>
      <c r="DD277" s="372">
        <v>12</v>
      </c>
      <c r="DE277" s="372">
        <v>13</v>
      </c>
      <c r="DF277" s="372">
        <v>14</v>
      </c>
      <c r="DG277" s="372">
        <v>15</v>
      </c>
      <c r="DH277" s="373">
        <v>16</v>
      </c>
    </row>
    <row r="278" spans="1:112" ht="13">
      <c r="A278" s="294"/>
      <c r="B278" s="294"/>
      <c r="F278" s="302"/>
      <c r="I278" s="553"/>
      <c r="P278" s="295"/>
      <c r="W278" s="295"/>
      <c r="AD278" s="295"/>
      <c r="AK278" s="295"/>
      <c r="BY278" s="618"/>
      <c r="BZ278" s="553"/>
      <c r="CF278" s="294"/>
      <c r="CG278" s="294"/>
      <c r="CR278" s="666"/>
      <c r="CU278" s="357">
        <v>45658</v>
      </c>
      <c r="CV278" s="357">
        <v>45689</v>
      </c>
      <c r="CW278" s="357">
        <v>45717</v>
      </c>
      <c r="CX278" s="357">
        <v>45748</v>
      </c>
      <c r="CY278" s="357">
        <v>45778</v>
      </c>
      <c r="CZ278" s="357">
        <v>45809</v>
      </c>
      <c r="DA278" s="357">
        <v>45839</v>
      </c>
      <c r="DB278" s="357">
        <v>45870</v>
      </c>
      <c r="DC278" s="357">
        <v>45901</v>
      </c>
      <c r="DD278" s="357">
        <v>45931</v>
      </c>
      <c r="DE278" s="357">
        <v>45962</v>
      </c>
      <c r="DF278" s="357">
        <v>45992</v>
      </c>
      <c r="DG278" s="357"/>
      <c r="DH278" s="375"/>
    </row>
    <row r="279" spans="1:112" ht="13">
      <c r="A279" s="294"/>
      <c r="B279" s="294"/>
      <c r="F279" s="302"/>
      <c r="I279" s="553"/>
      <c r="P279" s="295"/>
      <c r="W279" s="295"/>
      <c r="AD279" s="295"/>
      <c r="AK279" s="295"/>
      <c r="BY279" s="618"/>
      <c r="BZ279" s="553"/>
      <c r="CF279" s="294"/>
      <c r="CG279" s="294"/>
      <c r="CR279" s="666"/>
      <c r="CS279" s="376"/>
      <c r="CT279" s="377" t="s">
        <v>241</v>
      </c>
      <c r="CU279" s="360">
        <v>45658</v>
      </c>
      <c r="CV279" s="360">
        <v>45689</v>
      </c>
      <c r="CW279" s="360">
        <v>45717</v>
      </c>
      <c r="CX279" s="360">
        <v>45748</v>
      </c>
      <c r="CY279" s="360">
        <v>45778</v>
      </c>
      <c r="CZ279" s="360">
        <v>45809</v>
      </c>
      <c r="DA279" s="360">
        <v>45839</v>
      </c>
      <c r="DB279" s="360">
        <v>45870</v>
      </c>
      <c r="DC279" s="360">
        <v>45901</v>
      </c>
      <c r="DD279" s="360">
        <v>45931</v>
      </c>
      <c r="DE279" s="360"/>
      <c r="DF279" s="360"/>
      <c r="DG279" s="357"/>
      <c r="DH279" s="375"/>
    </row>
    <row r="280" spans="1:112" ht="13">
      <c r="A280" s="294"/>
      <c r="B280" s="294"/>
      <c r="F280" s="302"/>
      <c r="I280" s="553"/>
      <c r="P280" s="295"/>
      <c r="W280" s="295"/>
      <c r="AD280" s="295"/>
      <c r="AK280" s="295"/>
      <c r="BY280" s="618"/>
      <c r="BZ280" s="553"/>
      <c r="CF280" s="294"/>
      <c r="CG280" s="294"/>
      <c r="CR280" s="666"/>
      <c r="CS280" s="359" t="s">
        <v>241</v>
      </c>
      <c r="CT280" s="361">
        <v>553991654.08000004</v>
      </c>
      <c r="CU280" s="361">
        <v>48285542.729999997</v>
      </c>
      <c r="CV280" s="361">
        <v>57671710.149999999</v>
      </c>
      <c r="CW280" s="361">
        <v>40158448.869999997</v>
      </c>
      <c r="CX280" s="361">
        <v>56752664.75</v>
      </c>
      <c r="CY280" s="361">
        <v>50950774.579999998</v>
      </c>
      <c r="CZ280" s="361">
        <v>54502094.18</v>
      </c>
      <c r="DA280" s="361">
        <v>69175677.590000004</v>
      </c>
      <c r="DB280" s="361">
        <v>69702649.140000001</v>
      </c>
      <c r="DC280" s="361">
        <v>58291973.380000003</v>
      </c>
      <c r="DD280" s="361">
        <v>48500118.710000001</v>
      </c>
      <c r="DE280" s="361"/>
      <c r="DF280" s="361"/>
      <c r="DG280" s="361"/>
      <c r="DH280" s="378"/>
    </row>
    <row r="281" spans="1:112" ht="13">
      <c r="A281" s="294"/>
      <c r="B281" s="294"/>
      <c r="F281" s="302"/>
      <c r="I281" s="553"/>
      <c r="P281" s="295"/>
      <c r="W281" s="295"/>
      <c r="AD281" s="295"/>
      <c r="AK281" s="295"/>
      <c r="BY281" s="618"/>
      <c r="BZ281" s="553"/>
      <c r="CF281" s="294"/>
      <c r="CG281" s="294"/>
      <c r="CR281" s="666">
        <v>1</v>
      </c>
      <c r="CS281" s="359" t="s">
        <v>373</v>
      </c>
      <c r="CT281" s="361">
        <v>113559785.83</v>
      </c>
      <c r="CU281" s="361">
        <v>10048692.33</v>
      </c>
      <c r="CV281" s="361">
        <v>22624721.579999998</v>
      </c>
      <c r="CW281" s="361">
        <v>7757295.2000000002</v>
      </c>
      <c r="CX281" s="361">
        <v>9914134.8399999999</v>
      </c>
      <c r="CY281" s="361">
        <v>5930274.0899999999</v>
      </c>
      <c r="CZ281" s="361">
        <v>12541344.66</v>
      </c>
      <c r="DA281" s="361">
        <v>16766014.83</v>
      </c>
      <c r="DB281" s="361">
        <v>15484889.09</v>
      </c>
      <c r="DC281" s="361">
        <v>9030550.6300000008</v>
      </c>
      <c r="DD281" s="361">
        <v>3461868.58</v>
      </c>
      <c r="DE281" s="361"/>
      <c r="DF281" s="361"/>
      <c r="DG281" s="361"/>
      <c r="DH281" s="378"/>
    </row>
    <row r="282" spans="1:112" ht="13">
      <c r="A282" s="294"/>
      <c r="B282" s="294"/>
      <c r="F282" s="302"/>
      <c r="I282" s="553"/>
      <c r="P282" s="295"/>
      <c r="W282" s="295"/>
      <c r="AD282" s="295"/>
      <c r="AK282" s="295"/>
      <c r="BY282" s="618"/>
      <c r="BZ282" s="553"/>
      <c r="CF282" s="294"/>
      <c r="CG282" s="294"/>
      <c r="CR282" s="666">
        <v>2</v>
      </c>
      <c r="CS282" s="359" t="s">
        <v>378</v>
      </c>
      <c r="CT282" s="361">
        <v>52124417.700000003</v>
      </c>
      <c r="CU282" s="361">
        <v>3639702.51</v>
      </c>
      <c r="CV282" s="361">
        <v>4475922.84</v>
      </c>
      <c r="CW282" s="361">
        <v>2601598.5299999998</v>
      </c>
      <c r="CX282" s="361">
        <v>3454296.85</v>
      </c>
      <c r="CY282" s="361">
        <v>7022622.5</v>
      </c>
      <c r="CZ282" s="361">
        <v>4707216.28</v>
      </c>
      <c r="DA282" s="361">
        <v>8348465.7400000002</v>
      </c>
      <c r="DB282" s="361">
        <v>4382281.9000000004</v>
      </c>
      <c r="DC282" s="361">
        <v>7939823.2800000003</v>
      </c>
      <c r="DD282" s="361">
        <v>5552487.2699999996</v>
      </c>
      <c r="DE282" s="361"/>
      <c r="DF282" s="361"/>
      <c r="DG282" s="361"/>
      <c r="DH282" s="378"/>
    </row>
    <row r="283" spans="1:112" ht="13">
      <c r="A283" s="294"/>
      <c r="B283" s="294"/>
      <c r="F283" s="302"/>
      <c r="I283" s="553"/>
      <c r="P283" s="295"/>
      <c r="W283" s="295"/>
      <c r="AD283" s="295"/>
      <c r="AK283" s="295"/>
      <c r="BY283" s="618"/>
      <c r="BZ283" s="553"/>
      <c r="CF283" s="294"/>
      <c r="CG283" s="294"/>
      <c r="CR283" s="666">
        <v>3</v>
      </c>
      <c r="CS283" s="302" t="s">
        <v>376</v>
      </c>
      <c r="CT283" s="361">
        <v>49698431.57</v>
      </c>
      <c r="CU283" s="361">
        <v>392760.83</v>
      </c>
      <c r="CV283" s="361">
        <v>2023355.95</v>
      </c>
      <c r="CW283" s="361">
        <v>6317829.5700000003</v>
      </c>
      <c r="CX283" s="361">
        <v>4748416.29</v>
      </c>
      <c r="CY283" s="361">
        <v>1473268.89</v>
      </c>
      <c r="CZ283" s="361">
        <v>6543235.3399999999</v>
      </c>
      <c r="DA283" s="361">
        <v>5053882.53</v>
      </c>
      <c r="DB283" s="361">
        <v>6630298.6200000001</v>
      </c>
      <c r="DC283" s="361">
        <v>9632955.8800000008</v>
      </c>
      <c r="DD283" s="361">
        <v>6882427.6699999999</v>
      </c>
      <c r="DE283" s="361"/>
      <c r="DF283" s="361"/>
      <c r="DG283" s="361"/>
      <c r="DH283" s="378"/>
    </row>
    <row r="284" spans="1:112" ht="13">
      <c r="A284" s="294"/>
      <c r="B284" s="294"/>
      <c r="F284" s="302"/>
      <c r="I284" s="553"/>
      <c r="P284" s="295"/>
      <c r="W284" s="295"/>
      <c r="AD284" s="295"/>
      <c r="AK284" s="295"/>
      <c r="BY284" s="618"/>
      <c r="BZ284" s="553"/>
      <c r="CF284" s="294"/>
      <c r="CG284" s="294"/>
      <c r="CR284" s="666">
        <v>4</v>
      </c>
      <c r="CS284" s="323" t="s">
        <v>403</v>
      </c>
      <c r="CT284" s="361">
        <v>47942249.5</v>
      </c>
      <c r="CU284" s="361">
        <v>7271218.1699999999</v>
      </c>
      <c r="CV284" s="361">
        <v>2860404.88</v>
      </c>
      <c r="CW284" s="361">
        <v>3950004.02</v>
      </c>
      <c r="CX284" s="361">
        <v>7494733.9199999999</v>
      </c>
      <c r="CY284" s="361">
        <v>8248141.3399999999</v>
      </c>
      <c r="CZ284" s="361">
        <v>244496</v>
      </c>
      <c r="DA284" s="361">
        <v>2735593.62</v>
      </c>
      <c r="DB284" s="361">
        <v>5865195.6699999999</v>
      </c>
      <c r="DC284" s="361">
        <v>4808381.0999999996</v>
      </c>
      <c r="DD284" s="361">
        <v>4464080.7699999996</v>
      </c>
      <c r="DE284" s="361"/>
      <c r="DF284" s="361"/>
      <c r="DG284" s="361"/>
      <c r="DH284" s="378"/>
    </row>
    <row r="285" spans="1:112" ht="13">
      <c r="A285" s="294"/>
      <c r="B285" s="294"/>
      <c r="F285" s="302"/>
      <c r="I285" s="553"/>
      <c r="P285" s="295"/>
      <c r="W285" s="295"/>
      <c r="AD285" s="295"/>
      <c r="AK285" s="295"/>
      <c r="BY285" s="618"/>
      <c r="BZ285" s="553"/>
      <c r="CF285" s="294"/>
      <c r="CG285" s="294"/>
      <c r="CR285" s="666">
        <v>5</v>
      </c>
      <c r="CS285" s="423" t="s">
        <v>398</v>
      </c>
      <c r="CT285" s="361">
        <v>34597332.18</v>
      </c>
      <c r="CU285" s="361">
        <v>6265690.79</v>
      </c>
      <c r="CV285" s="361">
        <v>4606917.72</v>
      </c>
      <c r="CW285" s="361">
        <v>2439092.5299999998</v>
      </c>
      <c r="CX285" s="361">
        <v>5436986.4400000004</v>
      </c>
      <c r="CY285" s="361">
        <v>2967893</v>
      </c>
      <c r="CZ285" s="361">
        <v>2049135.4</v>
      </c>
      <c r="DA285" s="361">
        <v>3216176.73</v>
      </c>
      <c r="DB285" s="361">
        <v>1648686.12</v>
      </c>
      <c r="DC285" s="361">
        <v>3277642.79</v>
      </c>
      <c r="DD285" s="361">
        <v>2689110.67</v>
      </c>
      <c r="DE285" s="361"/>
      <c r="DF285" s="361"/>
      <c r="DG285" s="361"/>
      <c r="DH285" s="378"/>
    </row>
    <row r="286" spans="1:112" ht="13">
      <c r="A286" s="294"/>
      <c r="B286" s="294"/>
      <c r="F286" s="302"/>
      <c r="I286" s="553"/>
      <c r="P286" s="295"/>
      <c r="W286" s="295"/>
      <c r="AD286" s="295"/>
      <c r="AK286" s="295"/>
      <c r="BY286" s="618"/>
      <c r="BZ286" s="553"/>
      <c r="CF286" s="294"/>
      <c r="CG286" s="294"/>
      <c r="CR286" s="666">
        <v>6</v>
      </c>
      <c r="CS286" s="359" t="s">
        <v>391</v>
      </c>
      <c r="CT286" s="361">
        <v>34246321.359999999</v>
      </c>
      <c r="CU286" s="361">
        <v>2390817.7599999998</v>
      </c>
      <c r="CV286" s="361">
        <v>2706055.34</v>
      </c>
      <c r="CW286" s="361">
        <v>539057.43999999994</v>
      </c>
      <c r="CX286" s="361">
        <v>5433329.2400000002</v>
      </c>
      <c r="CY286" s="361">
        <v>3884924.76</v>
      </c>
      <c r="CZ286" s="361">
        <v>5609886.1600000001</v>
      </c>
      <c r="DA286" s="361">
        <v>3391338.25</v>
      </c>
      <c r="DB286" s="361">
        <v>4279697.13</v>
      </c>
      <c r="DC286" s="361">
        <v>3416735.56</v>
      </c>
      <c r="DD286" s="361">
        <v>2594479.71</v>
      </c>
      <c r="DE286" s="361"/>
      <c r="DF286" s="361"/>
      <c r="DG286" s="361"/>
      <c r="DH286" s="378"/>
    </row>
    <row r="287" spans="1:112" ht="13">
      <c r="A287" s="294"/>
      <c r="B287" s="294"/>
      <c r="F287" s="302"/>
      <c r="I287" s="553"/>
      <c r="P287" s="295"/>
      <c r="W287" s="295"/>
      <c r="AD287" s="295"/>
      <c r="AK287" s="295"/>
      <c r="BY287" s="618"/>
      <c r="BZ287" s="553"/>
      <c r="CF287" s="294"/>
      <c r="CG287" s="294"/>
      <c r="CR287" s="666">
        <v>7</v>
      </c>
      <c r="CS287" s="359" t="s">
        <v>490</v>
      </c>
      <c r="CT287" s="361">
        <v>17900826.41</v>
      </c>
      <c r="CU287" s="361">
        <v>1431040.46</v>
      </c>
      <c r="CV287" s="361">
        <v>2144210.38</v>
      </c>
      <c r="CW287" s="361">
        <v>612086.68999999994</v>
      </c>
      <c r="CX287" s="361">
        <v>1579568.53</v>
      </c>
      <c r="CY287" s="361">
        <v>1305374.6100000001</v>
      </c>
      <c r="CZ287" s="361">
        <v>1044893.54</v>
      </c>
      <c r="DA287" s="361">
        <v>2420123.67</v>
      </c>
      <c r="DB287" s="361">
        <v>2138082.2799999998</v>
      </c>
      <c r="DC287" s="361">
        <v>2261068.4300000002</v>
      </c>
      <c r="DD287" s="361">
        <v>2964377.83</v>
      </c>
      <c r="DE287" s="361"/>
      <c r="DF287" s="361"/>
      <c r="DG287" s="361"/>
      <c r="DH287" s="378"/>
    </row>
    <row r="288" spans="1:112" ht="13">
      <c r="A288" s="294"/>
      <c r="B288" s="294"/>
      <c r="F288" s="302"/>
      <c r="I288" s="553"/>
      <c r="P288" s="295"/>
      <c r="W288" s="295"/>
      <c r="AD288" s="295"/>
      <c r="AK288" s="295"/>
      <c r="BY288" s="618"/>
      <c r="BZ288" s="553"/>
      <c r="CF288" s="294"/>
      <c r="CG288" s="294"/>
      <c r="CR288" s="666">
        <v>8</v>
      </c>
      <c r="CS288" s="359" t="s">
        <v>492</v>
      </c>
      <c r="CT288" s="361">
        <v>17211341.34</v>
      </c>
      <c r="CU288" s="361">
        <v>1703997.41</v>
      </c>
      <c r="CV288" s="361">
        <v>1730344.4</v>
      </c>
      <c r="CW288" s="361">
        <v>1947182.1</v>
      </c>
      <c r="CX288" s="361">
        <v>1221615.3600000001</v>
      </c>
      <c r="CY288" s="361">
        <v>1676800.61</v>
      </c>
      <c r="CZ288" s="361">
        <v>1825347.84</v>
      </c>
      <c r="DA288" s="361">
        <v>1218174.8799999999</v>
      </c>
      <c r="DB288" s="361">
        <v>2201028.16</v>
      </c>
      <c r="DC288" s="361">
        <v>958307.92</v>
      </c>
      <c r="DD288" s="361">
        <v>2728542.66</v>
      </c>
      <c r="DE288" s="361"/>
      <c r="DF288" s="361"/>
      <c r="DG288" s="361"/>
      <c r="DH288" s="378"/>
    </row>
    <row r="289" spans="1:112" ht="13">
      <c r="A289" s="294"/>
      <c r="B289" s="294"/>
      <c r="F289" s="302"/>
      <c r="I289" s="553"/>
      <c r="P289" s="295"/>
      <c r="W289" s="295"/>
      <c r="AD289" s="295"/>
      <c r="AK289" s="295"/>
      <c r="BY289" s="618"/>
      <c r="BZ289" s="553"/>
      <c r="CF289" s="294"/>
      <c r="CG289" s="294"/>
      <c r="CR289" s="666">
        <v>9</v>
      </c>
      <c r="CS289" s="359" t="s">
        <v>385</v>
      </c>
      <c r="CT289" s="361">
        <v>16570920.800000001</v>
      </c>
      <c r="CU289" s="361">
        <v>0</v>
      </c>
      <c r="CV289" s="361">
        <v>0</v>
      </c>
      <c r="CW289" s="361">
        <v>0</v>
      </c>
      <c r="CX289" s="361">
        <v>0</v>
      </c>
      <c r="CY289" s="361">
        <v>0</v>
      </c>
      <c r="CZ289" s="361">
        <v>0</v>
      </c>
      <c r="DA289" s="361">
        <v>4935060.74</v>
      </c>
      <c r="DB289" s="361">
        <v>8531124.3699999992</v>
      </c>
      <c r="DC289" s="361">
        <v>3104735.68</v>
      </c>
      <c r="DD289" s="361">
        <v>0</v>
      </c>
      <c r="DE289" s="361"/>
      <c r="DF289" s="361"/>
      <c r="DG289" s="361"/>
      <c r="DH289" s="378"/>
    </row>
    <row r="290" spans="1:112" ht="13">
      <c r="A290" s="294"/>
      <c r="B290" s="294"/>
      <c r="F290" s="302"/>
      <c r="I290" s="553"/>
      <c r="P290" s="295"/>
      <c r="W290" s="295"/>
      <c r="AD290" s="295"/>
      <c r="AK290" s="295"/>
      <c r="BY290" s="618"/>
      <c r="BZ290" s="553"/>
      <c r="CF290" s="294"/>
      <c r="CG290" s="294"/>
      <c r="CR290" s="666">
        <v>10</v>
      </c>
      <c r="CS290" s="664" t="s">
        <v>412</v>
      </c>
      <c r="CT290" s="361">
        <v>15948483.380000001</v>
      </c>
      <c r="CU290" s="361">
        <v>1067035.79</v>
      </c>
      <c r="CV290" s="361">
        <v>1373666.8</v>
      </c>
      <c r="CW290" s="361">
        <v>1309217.21</v>
      </c>
      <c r="CX290" s="361">
        <v>972360.18</v>
      </c>
      <c r="CY290" s="361">
        <v>1010352.64</v>
      </c>
      <c r="CZ290" s="361">
        <v>2176825.06</v>
      </c>
      <c r="DA290" s="361">
        <v>1738205.7</v>
      </c>
      <c r="DB290" s="361">
        <v>1615899.52</v>
      </c>
      <c r="DC290" s="361">
        <v>3374607.03</v>
      </c>
      <c r="DD290" s="361">
        <v>1310313.45</v>
      </c>
      <c r="DE290" s="361"/>
      <c r="DF290" s="361"/>
      <c r="DG290" s="361"/>
      <c r="DH290" s="378"/>
    </row>
    <row r="291" spans="1:112" ht="13">
      <c r="A291" s="294"/>
      <c r="B291" s="294"/>
      <c r="F291" s="302"/>
      <c r="I291" s="553"/>
      <c r="P291" s="295"/>
      <c r="W291" s="295"/>
      <c r="AD291" s="295"/>
      <c r="AK291" s="295"/>
      <c r="BY291" s="618"/>
      <c r="BZ291" s="553"/>
      <c r="CF291" s="294"/>
      <c r="CG291" s="294"/>
      <c r="CR291" s="666">
        <v>11</v>
      </c>
      <c r="CS291" s="323" t="s">
        <v>400</v>
      </c>
      <c r="CT291" s="361">
        <v>14768768.74</v>
      </c>
      <c r="CU291" s="361">
        <v>945058.95</v>
      </c>
      <c r="CV291" s="361">
        <v>2032674.16</v>
      </c>
      <c r="CW291" s="361">
        <v>1093409.57</v>
      </c>
      <c r="CX291" s="361">
        <v>2072262.25</v>
      </c>
      <c r="CY291" s="361">
        <v>1766454.42</v>
      </c>
      <c r="CZ291" s="361">
        <v>2109379.67</v>
      </c>
      <c r="DA291" s="361">
        <v>2503736.46</v>
      </c>
      <c r="DB291" s="361">
        <v>1322523.6599999999</v>
      </c>
      <c r="DC291" s="361">
        <v>923269.63</v>
      </c>
      <c r="DD291" s="361">
        <v>0</v>
      </c>
      <c r="DE291" s="361"/>
      <c r="DF291" s="361"/>
      <c r="DG291" s="361"/>
      <c r="DH291" s="378"/>
    </row>
    <row r="292" spans="1:112" ht="13">
      <c r="A292" s="294"/>
      <c r="B292" s="294"/>
      <c r="F292" s="302"/>
      <c r="I292" s="553"/>
      <c r="P292" s="295"/>
      <c r="W292" s="295"/>
      <c r="AD292" s="295"/>
      <c r="AK292" s="295"/>
      <c r="BY292" s="618"/>
      <c r="BZ292" s="553"/>
      <c r="CF292" s="294"/>
      <c r="CG292" s="294"/>
      <c r="CR292" s="666">
        <v>12</v>
      </c>
      <c r="CS292" s="423" t="s">
        <v>394</v>
      </c>
      <c r="CT292" s="361">
        <v>13288808.52</v>
      </c>
      <c r="CU292" s="361">
        <v>0</v>
      </c>
      <c r="CV292" s="361">
        <v>0</v>
      </c>
      <c r="CW292" s="361">
        <v>0</v>
      </c>
      <c r="CX292" s="361">
        <v>1255593.42</v>
      </c>
      <c r="CY292" s="361">
        <v>2263300.58</v>
      </c>
      <c r="CZ292" s="361">
        <v>3734446.23</v>
      </c>
      <c r="DA292" s="361">
        <v>3017734.11</v>
      </c>
      <c r="DB292" s="361">
        <v>3017734.19</v>
      </c>
      <c r="DC292" s="361">
        <v>0</v>
      </c>
      <c r="DD292" s="361">
        <v>0</v>
      </c>
      <c r="DE292" s="361"/>
      <c r="DF292" s="361"/>
      <c r="DG292" s="361"/>
      <c r="DH292" s="378"/>
    </row>
    <row r="293" spans="1:112" ht="13">
      <c r="A293" s="294"/>
      <c r="B293" s="294"/>
      <c r="F293" s="302"/>
      <c r="I293" s="553"/>
      <c r="P293" s="295"/>
      <c r="W293" s="295"/>
      <c r="AD293" s="295"/>
      <c r="AK293" s="295"/>
      <c r="BY293" s="618"/>
      <c r="BZ293" s="553"/>
      <c r="CF293" s="294"/>
      <c r="CG293" s="294"/>
      <c r="CR293" s="666">
        <v>13</v>
      </c>
      <c r="CS293" s="359" t="s">
        <v>389</v>
      </c>
      <c r="CT293" s="361">
        <v>11987253.560000001</v>
      </c>
      <c r="CU293" s="361">
        <v>1169937.98</v>
      </c>
      <c r="CV293" s="361">
        <v>1308169.71</v>
      </c>
      <c r="CW293" s="361">
        <v>729182.76</v>
      </c>
      <c r="CX293" s="361">
        <v>861346.58</v>
      </c>
      <c r="CY293" s="361">
        <v>1849481.7</v>
      </c>
      <c r="CZ293" s="361">
        <v>1258956.78</v>
      </c>
      <c r="DA293" s="361">
        <v>960619.43</v>
      </c>
      <c r="DB293" s="361">
        <v>1559969.49</v>
      </c>
      <c r="DC293" s="361">
        <v>740777.31</v>
      </c>
      <c r="DD293" s="361">
        <v>1548811.82</v>
      </c>
      <c r="DE293" s="361"/>
      <c r="DF293" s="361"/>
      <c r="DG293" s="361"/>
      <c r="DH293" s="378"/>
    </row>
    <row r="294" spans="1:112" ht="13">
      <c r="A294" s="294"/>
      <c r="B294" s="294"/>
      <c r="F294" s="302"/>
      <c r="I294" s="553"/>
      <c r="P294" s="295"/>
      <c r="W294" s="295"/>
      <c r="AD294" s="295"/>
      <c r="AK294" s="295"/>
      <c r="BY294" s="618"/>
      <c r="BZ294" s="553"/>
      <c r="CF294" s="294"/>
      <c r="CG294" s="294"/>
      <c r="CR294" s="666">
        <v>14</v>
      </c>
      <c r="CS294" s="359" t="s">
        <v>405</v>
      </c>
      <c r="CT294" s="361">
        <v>10501738.859999999</v>
      </c>
      <c r="CU294" s="361">
        <v>909024.13</v>
      </c>
      <c r="CV294" s="361">
        <v>724781.84</v>
      </c>
      <c r="CW294" s="361">
        <v>948347.21</v>
      </c>
      <c r="CX294" s="361">
        <v>1111372.03</v>
      </c>
      <c r="CY294" s="361">
        <v>1063447.22</v>
      </c>
      <c r="CZ294" s="361">
        <v>1265185.94</v>
      </c>
      <c r="DA294" s="361">
        <v>1042419.09</v>
      </c>
      <c r="DB294" s="361">
        <v>1207946.1000000001</v>
      </c>
      <c r="DC294" s="361">
        <v>828510.85</v>
      </c>
      <c r="DD294" s="361">
        <v>1400704.45</v>
      </c>
      <c r="DE294" s="361"/>
      <c r="DF294" s="361"/>
      <c r="DG294" s="361"/>
      <c r="DH294" s="378"/>
    </row>
    <row r="295" spans="1:112" ht="13">
      <c r="A295" s="294"/>
      <c r="B295" s="294"/>
      <c r="F295" s="302"/>
      <c r="I295" s="553"/>
      <c r="P295" s="295"/>
      <c r="W295" s="295"/>
      <c r="AD295" s="295"/>
      <c r="AK295" s="295"/>
      <c r="BY295" s="618"/>
      <c r="BZ295" s="553"/>
      <c r="CF295" s="294"/>
      <c r="CG295" s="294"/>
      <c r="CR295" s="666">
        <v>15</v>
      </c>
      <c r="CS295" s="359" t="s">
        <v>446</v>
      </c>
      <c r="CT295" s="361">
        <v>9056955.75</v>
      </c>
      <c r="CU295" s="361">
        <v>1070119.73</v>
      </c>
      <c r="CV295" s="361">
        <v>871585.31</v>
      </c>
      <c r="CW295" s="361">
        <v>641158.43000000005</v>
      </c>
      <c r="CX295" s="361">
        <v>893236.72</v>
      </c>
      <c r="CY295" s="361">
        <v>1161832.02</v>
      </c>
      <c r="CZ295" s="361">
        <v>1409056.06</v>
      </c>
      <c r="DA295" s="361">
        <v>608257.12</v>
      </c>
      <c r="DB295" s="361">
        <v>1270966.72</v>
      </c>
      <c r="DC295" s="361">
        <v>272123.2</v>
      </c>
      <c r="DD295" s="361">
        <v>858620.44</v>
      </c>
      <c r="DE295" s="365"/>
      <c r="DF295" s="365"/>
      <c r="DG295" s="365"/>
      <c r="DH295" s="379"/>
    </row>
    <row r="296" spans="1:112" ht="13">
      <c r="A296" s="294"/>
      <c r="B296" s="294"/>
      <c r="F296" s="302"/>
      <c r="I296" s="553"/>
      <c r="P296" s="295"/>
      <c r="W296" s="295"/>
      <c r="AD296" s="295"/>
      <c r="AK296" s="295"/>
      <c r="BY296" s="618"/>
      <c r="BZ296" s="553"/>
      <c r="CF296" s="294"/>
      <c r="CG296" s="294"/>
      <c r="CR296" s="666">
        <v>16</v>
      </c>
      <c r="CS296" s="359" t="s">
        <v>381</v>
      </c>
      <c r="CT296" s="361">
        <v>8193560.96</v>
      </c>
      <c r="CU296" s="361">
        <v>342558</v>
      </c>
      <c r="CV296" s="361">
        <v>601087.12</v>
      </c>
      <c r="CW296" s="361">
        <v>1273716.04</v>
      </c>
      <c r="CX296" s="361">
        <v>222447.76</v>
      </c>
      <c r="CY296" s="361">
        <v>1418987.44</v>
      </c>
      <c r="CZ296" s="361">
        <v>669257.1</v>
      </c>
      <c r="DA296" s="361">
        <v>891541.12</v>
      </c>
      <c r="DB296" s="361">
        <v>1213442.24</v>
      </c>
      <c r="DC296" s="361">
        <v>257372.48</v>
      </c>
      <c r="DD296" s="361">
        <v>1303151.6599999999</v>
      </c>
      <c r="DE296" s="361"/>
      <c r="DF296" s="361"/>
      <c r="DG296" s="361"/>
      <c r="DH296" s="378"/>
    </row>
    <row r="297" spans="1:112" ht="13">
      <c r="A297" s="294"/>
      <c r="B297" s="294"/>
      <c r="F297" s="302"/>
      <c r="I297" s="553"/>
      <c r="P297" s="295"/>
      <c r="W297" s="295"/>
      <c r="AD297" s="295"/>
      <c r="AK297" s="295"/>
      <c r="BY297" s="618"/>
      <c r="BZ297" s="553"/>
      <c r="CF297" s="294"/>
      <c r="CG297" s="294"/>
      <c r="CR297" s="666">
        <v>17</v>
      </c>
      <c r="CS297" s="359" t="s">
        <v>414</v>
      </c>
      <c r="CT297" s="361">
        <v>7814123.2300000004</v>
      </c>
      <c r="CU297" s="361">
        <v>1824544.73</v>
      </c>
      <c r="CV297" s="361">
        <v>329683</v>
      </c>
      <c r="CW297" s="361">
        <v>1096857.44</v>
      </c>
      <c r="CX297" s="361">
        <v>1426700.18</v>
      </c>
      <c r="CY297" s="361">
        <v>1026059.84</v>
      </c>
      <c r="CZ297" s="361">
        <v>852773.98</v>
      </c>
      <c r="DA297" s="361">
        <v>0</v>
      </c>
      <c r="DB297" s="361">
        <v>556873.80000000005</v>
      </c>
      <c r="DC297" s="361">
        <v>0</v>
      </c>
      <c r="DD297" s="361">
        <v>700630.26</v>
      </c>
      <c r="DE297" s="361"/>
      <c r="DF297" s="361"/>
      <c r="DG297" s="361"/>
      <c r="DH297" s="378"/>
    </row>
    <row r="298" spans="1:112" ht="13">
      <c r="A298" s="294"/>
      <c r="B298" s="294"/>
      <c r="F298" s="302"/>
      <c r="I298" s="553"/>
      <c r="P298" s="295"/>
      <c r="W298" s="295"/>
      <c r="AD298" s="295"/>
      <c r="AK298" s="295"/>
      <c r="BY298" s="618"/>
      <c r="BZ298" s="553"/>
      <c r="CF298" s="294"/>
      <c r="CG298" s="294"/>
      <c r="CR298" s="666">
        <v>18</v>
      </c>
      <c r="CS298" s="359" t="s">
        <v>453</v>
      </c>
      <c r="CT298" s="361">
        <v>7808647.04</v>
      </c>
      <c r="CU298" s="361">
        <v>1132421.1599999999</v>
      </c>
      <c r="CV298" s="361">
        <v>583916.26</v>
      </c>
      <c r="CW298" s="361">
        <v>816836.29</v>
      </c>
      <c r="CX298" s="361">
        <v>875772.03</v>
      </c>
      <c r="CY298" s="361">
        <v>537517.66</v>
      </c>
      <c r="CZ298" s="361">
        <v>767797.7</v>
      </c>
      <c r="DA298" s="361">
        <v>741851.6</v>
      </c>
      <c r="DB298" s="361">
        <v>597957.6</v>
      </c>
      <c r="DC298" s="361">
        <v>783786.75</v>
      </c>
      <c r="DD298" s="361">
        <v>970790</v>
      </c>
      <c r="DE298" s="361"/>
      <c r="DF298" s="361"/>
      <c r="DG298" s="361"/>
      <c r="DH298" s="378"/>
    </row>
    <row r="299" spans="1:112" ht="13">
      <c r="A299" s="294"/>
      <c r="B299" s="294"/>
      <c r="F299" s="302"/>
      <c r="I299" s="553"/>
      <c r="P299" s="295"/>
      <c r="W299" s="295"/>
      <c r="AD299" s="295"/>
      <c r="AK299" s="295"/>
      <c r="BY299" s="618"/>
      <c r="BZ299" s="553"/>
      <c r="CF299" s="294"/>
      <c r="CG299" s="294"/>
      <c r="CR299" s="666">
        <v>19</v>
      </c>
      <c r="CS299" s="359" t="s">
        <v>380</v>
      </c>
      <c r="CT299" s="361">
        <v>7556891.8600000003</v>
      </c>
      <c r="CU299" s="361">
        <v>240529.01</v>
      </c>
      <c r="CV299" s="361">
        <v>915435.8</v>
      </c>
      <c r="CW299" s="361">
        <v>515319.91</v>
      </c>
      <c r="CX299" s="361">
        <v>1030218.46</v>
      </c>
      <c r="CY299" s="361">
        <v>477186.47</v>
      </c>
      <c r="CZ299" s="361">
        <v>403909.21</v>
      </c>
      <c r="DA299" s="361">
        <v>1096409.76</v>
      </c>
      <c r="DB299" s="361">
        <v>661611.61</v>
      </c>
      <c r="DC299" s="361">
        <v>959434.56</v>
      </c>
      <c r="DD299" s="361">
        <v>1256837.07</v>
      </c>
      <c r="DE299" s="361"/>
      <c r="DF299" s="361"/>
      <c r="DG299" s="361"/>
      <c r="DH299" s="378"/>
    </row>
    <row r="300" spans="1:112" ht="13">
      <c r="A300" s="294"/>
      <c r="B300" s="294"/>
      <c r="F300" s="302"/>
      <c r="I300" s="553"/>
      <c r="P300" s="295"/>
      <c r="W300" s="295"/>
      <c r="AD300" s="295"/>
      <c r="AK300" s="295"/>
      <c r="BY300" s="618"/>
      <c r="BZ300" s="553"/>
      <c r="CF300" s="294"/>
      <c r="CG300" s="294"/>
      <c r="CR300" s="666">
        <v>20</v>
      </c>
      <c r="CS300" s="359" t="s">
        <v>383</v>
      </c>
      <c r="CT300" s="361">
        <v>7488013.8499999996</v>
      </c>
      <c r="CU300" s="361">
        <v>449984</v>
      </c>
      <c r="CV300" s="361">
        <v>1003530.18</v>
      </c>
      <c r="CW300" s="361">
        <v>89650.22</v>
      </c>
      <c r="CX300" s="361">
        <v>876726.49</v>
      </c>
      <c r="CY300" s="361">
        <v>904378.26</v>
      </c>
      <c r="CZ300" s="361">
        <v>796175.32</v>
      </c>
      <c r="DA300" s="361">
        <v>510688.13</v>
      </c>
      <c r="DB300" s="361">
        <v>685526.12</v>
      </c>
      <c r="DC300" s="361">
        <v>695192.73</v>
      </c>
      <c r="DD300" s="361">
        <v>1476162.4</v>
      </c>
      <c r="DE300" s="361"/>
      <c r="DF300" s="361"/>
      <c r="DG300" s="361"/>
      <c r="DH300" s="378"/>
    </row>
    <row r="301" spans="1:112" ht="13">
      <c r="A301" s="294"/>
      <c r="B301" s="294"/>
      <c r="F301" s="302"/>
      <c r="I301" s="553"/>
      <c r="P301" s="295"/>
      <c r="W301" s="295"/>
      <c r="AD301" s="295"/>
      <c r="AK301" s="295"/>
      <c r="BY301" s="618"/>
      <c r="BZ301" s="553"/>
      <c r="CF301" s="294"/>
      <c r="CG301" s="294"/>
      <c r="CR301" s="666">
        <v>21</v>
      </c>
      <c r="CS301" s="359" t="s">
        <v>493</v>
      </c>
      <c r="CT301" s="361">
        <v>7420755.7199999997</v>
      </c>
      <c r="CU301" s="361">
        <v>616756.31999999995</v>
      </c>
      <c r="CV301" s="361">
        <v>721912.34</v>
      </c>
      <c r="CW301" s="361">
        <v>664520.53</v>
      </c>
      <c r="CX301" s="361">
        <v>811980.67</v>
      </c>
      <c r="CY301" s="361">
        <v>898336.19</v>
      </c>
      <c r="CZ301" s="361">
        <v>919251.71</v>
      </c>
      <c r="DA301" s="361">
        <v>967540.32</v>
      </c>
      <c r="DB301" s="361">
        <v>792779.66</v>
      </c>
      <c r="DC301" s="361">
        <v>370210.37</v>
      </c>
      <c r="DD301" s="361">
        <v>657467.6</v>
      </c>
      <c r="DE301" s="361"/>
      <c r="DF301" s="361"/>
      <c r="DG301" s="361"/>
      <c r="DH301" s="378"/>
    </row>
    <row r="302" spans="1:112" ht="13">
      <c r="A302" s="294"/>
      <c r="B302" s="294"/>
      <c r="F302" s="302"/>
      <c r="I302" s="553"/>
      <c r="P302" s="295"/>
      <c r="W302" s="295"/>
      <c r="AD302" s="295"/>
      <c r="AK302" s="295"/>
      <c r="BY302" s="618"/>
      <c r="BZ302" s="553"/>
      <c r="CF302" s="294"/>
      <c r="CG302" s="294"/>
      <c r="CR302" s="666">
        <v>22</v>
      </c>
      <c r="CS302" s="359" t="s">
        <v>397</v>
      </c>
      <c r="CT302" s="361">
        <v>5389389.9400000004</v>
      </c>
      <c r="CU302" s="361">
        <v>1370418.13</v>
      </c>
      <c r="CV302" s="361">
        <v>1369944.35</v>
      </c>
      <c r="CW302" s="361">
        <v>1491613.12</v>
      </c>
      <c r="CX302" s="361">
        <v>1157414.3400000001</v>
      </c>
      <c r="CY302" s="361">
        <v>0</v>
      </c>
      <c r="CZ302" s="361">
        <v>0</v>
      </c>
      <c r="DA302" s="361">
        <v>0</v>
      </c>
      <c r="DB302" s="361">
        <v>0</v>
      </c>
      <c r="DC302" s="361">
        <v>0</v>
      </c>
      <c r="DD302" s="361">
        <v>0</v>
      </c>
      <c r="DE302" s="361"/>
      <c r="DF302" s="361"/>
      <c r="DG302" s="361"/>
      <c r="DH302" s="378"/>
    </row>
    <row r="303" spans="1:112" ht="13">
      <c r="A303" s="294"/>
      <c r="B303" s="294"/>
      <c r="F303" s="302"/>
      <c r="I303" s="553"/>
      <c r="P303" s="295"/>
      <c r="W303" s="295"/>
      <c r="AD303" s="295"/>
      <c r="AK303" s="295"/>
      <c r="BY303" s="618"/>
      <c r="BZ303" s="553"/>
      <c r="CF303" s="294"/>
      <c r="CG303" s="294"/>
      <c r="CR303" s="666">
        <v>23</v>
      </c>
      <c r="CS303" s="302" t="s">
        <v>442</v>
      </c>
      <c r="CT303" s="361">
        <v>5003835.83</v>
      </c>
      <c r="CU303" s="361">
        <v>810508.29</v>
      </c>
      <c r="CV303" s="361">
        <v>469032.8</v>
      </c>
      <c r="CW303" s="361">
        <v>182659.46</v>
      </c>
      <c r="CX303" s="361">
        <v>603379.76</v>
      </c>
      <c r="CY303" s="361">
        <v>247619.27</v>
      </c>
      <c r="CZ303" s="361">
        <v>405278.05</v>
      </c>
      <c r="DA303" s="361">
        <v>843846.8</v>
      </c>
      <c r="DB303" s="361">
        <v>432811.15</v>
      </c>
      <c r="DC303" s="361">
        <v>692938.84</v>
      </c>
      <c r="DD303" s="361">
        <v>315761.42</v>
      </c>
      <c r="DE303" s="361"/>
      <c r="DF303" s="361"/>
      <c r="DG303" s="361"/>
      <c r="DH303" s="378"/>
    </row>
    <row r="304" spans="1:112" ht="13">
      <c r="A304" s="294"/>
      <c r="B304" s="294"/>
      <c r="F304" s="302"/>
      <c r="I304" s="553"/>
      <c r="P304" s="295"/>
      <c r="W304" s="295"/>
      <c r="AD304" s="295"/>
      <c r="AK304" s="295"/>
      <c r="BY304" s="618"/>
      <c r="BZ304" s="553"/>
      <c r="CF304" s="294"/>
      <c r="CG304" s="294"/>
      <c r="CR304" s="666">
        <v>24</v>
      </c>
      <c r="CS304" s="359" t="s">
        <v>410</v>
      </c>
      <c r="CT304" s="361">
        <v>4544416.0999999996</v>
      </c>
      <c r="CU304" s="361">
        <v>306262.24</v>
      </c>
      <c r="CV304" s="361">
        <v>606741.52</v>
      </c>
      <c r="CW304" s="361">
        <v>138802.4</v>
      </c>
      <c r="CX304" s="361">
        <v>512411.28</v>
      </c>
      <c r="CY304" s="361">
        <v>346057.76</v>
      </c>
      <c r="CZ304" s="361">
        <v>502522.8</v>
      </c>
      <c r="DA304" s="361">
        <v>583538.56000000006</v>
      </c>
      <c r="DB304" s="361">
        <v>499752.03</v>
      </c>
      <c r="DC304" s="361">
        <v>415681.72</v>
      </c>
      <c r="DD304" s="361">
        <v>632645.79</v>
      </c>
      <c r="DE304" s="361"/>
      <c r="DF304" s="361"/>
      <c r="DG304" s="361"/>
      <c r="DH304" s="378"/>
    </row>
    <row r="305" spans="1:112" ht="13">
      <c r="A305" s="294"/>
      <c r="B305" s="294"/>
      <c r="F305" s="302"/>
      <c r="I305" s="553"/>
      <c r="P305" s="295"/>
      <c r="W305" s="295"/>
      <c r="AD305" s="295"/>
      <c r="AK305" s="295"/>
      <c r="BY305" s="618"/>
      <c r="BZ305" s="553"/>
      <c r="CF305" s="294"/>
      <c r="CG305" s="294"/>
      <c r="CR305" s="666">
        <v>25</v>
      </c>
      <c r="CS305" s="359" t="s">
        <v>416</v>
      </c>
      <c r="CT305" s="361">
        <v>4327267.0999999996</v>
      </c>
      <c r="CU305" s="361">
        <v>355729.28</v>
      </c>
      <c r="CV305" s="361">
        <v>238343.82</v>
      </c>
      <c r="CW305" s="361">
        <v>561098.9</v>
      </c>
      <c r="CX305" s="361">
        <v>254698.34</v>
      </c>
      <c r="CY305" s="361">
        <v>386726.72</v>
      </c>
      <c r="CZ305" s="361">
        <v>204818.84</v>
      </c>
      <c r="DA305" s="361">
        <v>589365.36</v>
      </c>
      <c r="DB305" s="361">
        <v>523033.53</v>
      </c>
      <c r="DC305" s="361">
        <v>366479.16</v>
      </c>
      <c r="DD305" s="361">
        <v>846973.16</v>
      </c>
      <c r="DE305" s="365"/>
      <c r="DF305" s="365"/>
      <c r="DG305" s="365"/>
      <c r="DH305" s="379"/>
    </row>
    <row r="306" spans="1:112" ht="13">
      <c r="A306" s="294"/>
      <c r="B306" s="294"/>
      <c r="F306" s="302"/>
      <c r="I306" s="553"/>
      <c r="P306" s="295"/>
      <c r="W306" s="295"/>
      <c r="AD306" s="295"/>
      <c r="AK306" s="295"/>
      <c r="BY306" s="618"/>
      <c r="BZ306" s="553"/>
      <c r="CF306" s="294"/>
      <c r="CG306" s="294"/>
      <c r="CR306" s="666">
        <v>26</v>
      </c>
      <c r="CS306" s="359" t="s">
        <v>401</v>
      </c>
      <c r="CT306" s="361">
        <v>4232202.5199999996</v>
      </c>
      <c r="CU306" s="361">
        <v>370238.82</v>
      </c>
      <c r="CV306" s="361">
        <v>427764.89</v>
      </c>
      <c r="CW306" s="361">
        <v>690987.62</v>
      </c>
      <c r="CX306" s="361">
        <v>298035.08</v>
      </c>
      <c r="CY306" s="361">
        <v>369701.5</v>
      </c>
      <c r="CZ306" s="361">
        <v>320146.86</v>
      </c>
      <c r="DA306" s="361">
        <v>579578.11</v>
      </c>
      <c r="DB306" s="361">
        <v>254065.68</v>
      </c>
      <c r="DC306" s="361">
        <v>366447.08</v>
      </c>
      <c r="DD306" s="361">
        <v>555236.88</v>
      </c>
      <c r="DE306" s="361"/>
      <c r="DF306" s="361"/>
      <c r="DG306" s="361"/>
      <c r="DH306" s="378"/>
    </row>
    <row r="307" spans="1:112" ht="13">
      <c r="A307" s="294"/>
      <c r="B307" s="294"/>
      <c r="F307" s="302"/>
      <c r="I307" s="553"/>
      <c r="P307" s="295"/>
      <c r="W307" s="295"/>
      <c r="AD307" s="295"/>
      <c r="AK307" s="295"/>
      <c r="BY307" s="618"/>
      <c r="BZ307" s="553"/>
      <c r="CF307" s="294"/>
      <c r="CG307" s="294"/>
      <c r="CR307" s="666">
        <v>27</v>
      </c>
      <c r="CS307" s="359" t="s">
        <v>494</v>
      </c>
      <c r="CT307" s="361">
        <v>3942561.96</v>
      </c>
      <c r="CU307" s="361">
        <v>781921.94</v>
      </c>
      <c r="CV307" s="361">
        <v>0</v>
      </c>
      <c r="CW307" s="361">
        <v>649993.6</v>
      </c>
      <c r="CX307" s="361">
        <v>696614.24</v>
      </c>
      <c r="CY307" s="361">
        <v>507622.40000000002</v>
      </c>
      <c r="CZ307" s="361">
        <v>346369.2</v>
      </c>
      <c r="DA307" s="361">
        <v>230912.8</v>
      </c>
      <c r="DB307" s="361">
        <v>230912.8</v>
      </c>
      <c r="DC307" s="361">
        <v>498214.96</v>
      </c>
      <c r="DD307" s="361">
        <v>0.02</v>
      </c>
      <c r="DE307" s="361"/>
      <c r="DF307" s="361"/>
      <c r="DG307" s="361"/>
      <c r="DH307" s="378"/>
    </row>
    <row r="308" spans="1:112" ht="13">
      <c r="A308" s="294"/>
      <c r="B308" s="294"/>
      <c r="F308" s="302"/>
      <c r="I308" s="553"/>
      <c r="P308" s="295"/>
      <c r="W308" s="295"/>
      <c r="AD308" s="295"/>
      <c r="AK308" s="295"/>
      <c r="BY308" s="618"/>
      <c r="BZ308" s="553"/>
      <c r="CF308" s="294"/>
      <c r="CG308" s="294"/>
      <c r="CR308" s="666">
        <v>28</v>
      </c>
      <c r="CS308" s="359" t="s">
        <v>408</v>
      </c>
      <c r="CT308" s="361">
        <v>3628293.8</v>
      </c>
      <c r="CU308" s="361">
        <v>338552.64</v>
      </c>
      <c r="CV308" s="361">
        <v>205083.36</v>
      </c>
      <c r="CW308" s="361">
        <v>254115.36</v>
      </c>
      <c r="CX308" s="361">
        <v>207935.92</v>
      </c>
      <c r="CY308" s="361">
        <v>405300.67</v>
      </c>
      <c r="CZ308" s="361">
        <v>181549.85</v>
      </c>
      <c r="DA308" s="361">
        <v>159690.96</v>
      </c>
      <c r="DB308" s="361">
        <v>631876.24</v>
      </c>
      <c r="DC308" s="361">
        <v>254018.51</v>
      </c>
      <c r="DD308" s="361">
        <v>990170.29</v>
      </c>
      <c r="DE308" s="361"/>
      <c r="DF308" s="361"/>
      <c r="DG308" s="361"/>
      <c r="DH308" s="378"/>
    </row>
    <row r="309" spans="1:112" ht="13">
      <c r="A309" s="294"/>
      <c r="B309" s="294"/>
      <c r="F309" s="302"/>
      <c r="I309" s="553"/>
      <c r="P309" s="295"/>
      <c r="W309" s="295"/>
      <c r="AD309" s="295"/>
      <c r="AK309" s="295"/>
      <c r="BY309" s="618"/>
      <c r="BZ309" s="553"/>
      <c r="CF309" s="294"/>
      <c r="CG309" s="294"/>
      <c r="CR309" s="666">
        <v>29</v>
      </c>
      <c r="CS309" s="359" t="s">
        <v>375</v>
      </c>
      <c r="CT309" s="361">
        <v>3490434.36</v>
      </c>
      <c r="CU309" s="361">
        <v>0</v>
      </c>
      <c r="CV309" s="361">
        <v>0</v>
      </c>
      <c r="CW309" s="361">
        <v>0</v>
      </c>
      <c r="CX309" s="361">
        <v>0</v>
      </c>
      <c r="CY309" s="361">
        <v>88489.32</v>
      </c>
      <c r="CZ309" s="361">
        <v>0</v>
      </c>
      <c r="DA309" s="361">
        <v>2419110.48</v>
      </c>
      <c r="DB309" s="361">
        <v>0</v>
      </c>
      <c r="DC309" s="361">
        <v>104921.60000000001</v>
      </c>
      <c r="DD309" s="361">
        <v>877912.96</v>
      </c>
      <c r="DE309" s="365"/>
      <c r="DF309" s="365"/>
      <c r="DG309" s="365"/>
      <c r="DH309" s="379"/>
    </row>
    <row r="310" spans="1:112" ht="13">
      <c r="A310" s="294"/>
      <c r="B310" s="294"/>
      <c r="F310" s="302"/>
      <c r="I310" s="553"/>
      <c r="P310" s="295"/>
      <c r="W310" s="295"/>
      <c r="AD310" s="295"/>
      <c r="AK310" s="295"/>
      <c r="BY310" s="618"/>
      <c r="BZ310" s="553"/>
      <c r="CF310" s="294"/>
      <c r="CG310" s="294"/>
      <c r="CR310" s="666">
        <v>30</v>
      </c>
      <c r="CS310" s="359" t="s">
        <v>473</v>
      </c>
      <c r="CT310" s="361">
        <v>1631648.7</v>
      </c>
      <c r="CU310" s="361">
        <v>0</v>
      </c>
      <c r="CV310" s="361">
        <v>139956.95000000001</v>
      </c>
      <c r="CW310" s="361">
        <v>0</v>
      </c>
      <c r="CX310" s="361">
        <v>230170.67</v>
      </c>
      <c r="CY310" s="361">
        <v>159971.04999999999</v>
      </c>
      <c r="CZ310" s="361">
        <v>241576.95999999999</v>
      </c>
      <c r="DA310" s="361">
        <v>0</v>
      </c>
      <c r="DB310" s="361">
        <v>290026.17</v>
      </c>
      <c r="DC310" s="361">
        <v>421695.04</v>
      </c>
      <c r="DD310" s="361">
        <v>148251.87</v>
      </c>
      <c r="DE310" s="361"/>
      <c r="DF310" s="361"/>
      <c r="DG310" s="361"/>
      <c r="DH310" s="378"/>
    </row>
    <row r="311" spans="1:112" ht="13">
      <c r="A311" s="294"/>
      <c r="B311" s="294"/>
      <c r="F311" s="302"/>
      <c r="I311" s="553"/>
      <c r="P311" s="295"/>
      <c r="W311" s="295"/>
      <c r="AD311" s="295"/>
      <c r="AK311" s="295"/>
      <c r="BY311" s="618"/>
      <c r="BZ311" s="553"/>
      <c r="CF311" s="294"/>
      <c r="CG311" s="294"/>
      <c r="CR311" s="666">
        <v>31</v>
      </c>
      <c r="CS311" s="359" t="s">
        <v>434</v>
      </c>
      <c r="CT311" s="361">
        <v>1617224.64</v>
      </c>
      <c r="CU311" s="361">
        <v>205061.51</v>
      </c>
      <c r="CV311" s="361">
        <v>30718.67</v>
      </c>
      <c r="CW311" s="361">
        <v>156337.56</v>
      </c>
      <c r="CX311" s="361">
        <v>195101.68</v>
      </c>
      <c r="CY311" s="361">
        <v>191607.96</v>
      </c>
      <c r="CZ311" s="361">
        <v>166742.03</v>
      </c>
      <c r="DA311" s="361">
        <v>171598.72</v>
      </c>
      <c r="DB311" s="361">
        <v>120877.12</v>
      </c>
      <c r="DC311" s="361">
        <v>144200.9</v>
      </c>
      <c r="DD311" s="361">
        <v>234978.5</v>
      </c>
      <c r="DE311" s="361"/>
      <c r="DF311" s="361"/>
      <c r="DG311" s="361"/>
      <c r="DH311" s="378"/>
    </row>
    <row r="312" spans="1:112" ht="13">
      <c r="A312" s="294"/>
      <c r="B312" s="294"/>
      <c r="F312" s="302"/>
      <c r="I312" s="553"/>
      <c r="P312" s="295"/>
      <c r="W312" s="295"/>
      <c r="AD312" s="295"/>
      <c r="AK312" s="295"/>
      <c r="BY312" s="618"/>
      <c r="BZ312" s="553"/>
      <c r="CF312" s="294"/>
      <c r="CG312" s="294"/>
      <c r="CR312" s="666">
        <v>32</v>
      </c>
      <c r="CS312" s="359" t="s">
        <v>426</v>
      </c>
      <c r="CT312" s="361">
        <v>1232553.1000000001</v>
      </c>
      <c r="CU312" s="361">
        <v>114612.46</v>
      </c>
      <c r="CV312" s="361">
        <v>0</v>
      </c>
      <c r="CW312" s="361">
        <v>193617.41</v>
      </c>
      <c r="CX312" s="361">
        <v>76510.06</v>
      </c>
      <c r="CY312" s="361">
        <v>169687.8</v>
      </c>
      <c r="CZ312" s="361">
        <v>155133.9</v>
      </c>
      <c r="DA312" s="361">
        <v>134345.07</v>
      </c>
      <c r="DB312" s="361">
        <v>48164.12</v>
      </c>
      <c r="DC312" s="361">
        <v>130820.69</v>
      </c>
      <c r="DD312" s="361">
        <v>209661.6</v>
      </c>
      <c r="DE312" s="361"/>
      <c r="DF312" s="361"/>
      <c r="DG312" s="361"/>
      <c r="DH312" s="378"/>
    </row>
    <row r="313" spans="1:112" ht="13">
      <c r="A313" s="294"/>
      <c r="B313" s="294"/>
      <c r="F313" s="302"/>
      <c r="I313" s="553"/>
      <c r="P313" s="295"/>
      <c r="W313" s="295"/>
      <c r="AD313" s="295"/>
      <c r="AK313" s="295"/>
      <c r="BY313" s="618"/>
      <c r="BZ313" s="553"/>
      <c r="CF313" s="294"/>
      <c r="CG313" s="294"/>
      <c r="CR313" s="666">
        <v>33</v>
      </c>
      <c r="CS313" s="359" t="s">
        <v>487</v>
      </c>
      <c r="CT313" s="361">
        <v>1200459.76</v>
      </c>
      <c r="CU313" s="361">
        <v>193010.15</v>
      </c>
      <c r="CV313" s="361">
        <v>70204.61</v>
      </c>
      <c r="CW313" s="361">
        <v>42377.279999999999</v>
      </c>
      <c r="CX313" s="361">
        <v>194598.31</v>
      </c>
      <c r="CY313" s="361">
        <v>255229.83</v>
      </c>
      <c r="CZ313" s="361">
        <v>192100</v>
      </c>
      <c r="DA313" s="361">
        <v>120206.57</v>
      </c>
      <c r="DB313" s="361">
        <v>56116.160000000003</v>
      </c>
      <c r="DC313" s="361">
        <v>76616.86</v>
      </c>
      <c r="DD313" s="365">
        <v>0</v>
      </c>
      <c r="DE313" s="365"/>
      <c r="DF313" s="365"/>
      <c r="DG313" s="365"/>
      <c r="DH313" s="379"/>
    </row>
    <row r="314" spans="1:112" ht="13">
      <c r="A314" s="294"/>
      <c r="B314" s="294"/>
      <c r="F314" s="302"/>
      <c r="I314" s="553"/>
      <c r="P314" s="295"/>
      <c r="W314" s="295"/>
      <c r="AD314" s="295"/>
      <c r="AK314" s="295"/>
      <c r="BY314" s="618"/>
      <c r="BZ314" s="553"/>
      <c r="CF314" s="294"/>
      <c r="CG314" s="294"/>
      <c r="CR314" s="666">
        <v>34</v>
      </c>
      <c r="CS314" s="359" t="s">
        <v>445</v>
      </c>
      <c r="CT314" s="361">
        <v>1126401.47</v>
      </c>
      <c r="CU314" s="361">
        <v>0</v>
      </c>
      <c r="CV314" s="361">
        <v>0</v>
      </c>
      <c r="CW314" s="361">
        <v>0</v>
      </c>
      <c r="CX314" s="361">
        <v>0</v>
      </c>
      <c r="CY314" s="361">
        <v>0</v>
      </c>
      <c r="CZ314" s="361">
        <v>0</v>
      </c>
      <c r="DA314" s="361">
        <v>218577.85</v>
      </c>
      <c r="DB314" s="361">
        <v>340332.11</v>
      </c>
      <c r="DC314" s="361">
        <v>81914.61</v>
      </c>
      <c r="DD314" s="361">
        <v>485576.9</v>
      </c>
      <c r="DE314" s="361"/>
      <c r="DF314" s="361"/>
      <c r="DG314" s="361"/>
      <c r="DH314" s="378"/>
    </row>
    <row r="315" spans="1:112" ht="13">
      <c r="A315" s="294"/>
      <c r="B315" s="294"/>
      <c r="F315" s="302"/>
      <c r="I315" s="553"/>
      <c r="P315" s="295"/>
      <c r="W315" s="295"/>
      <c r="AD315" s="295"/>
      <c r="AK315" s="295"/>
      <c r="BY315" s="618"/>
      <c r="BZ315" s="553"/>
      <c r="CF315" s="294"/>
      <c r="CG315" s="294"/>
      <c r="CR315" s="666">
        <v>35</v>
      </c>
      <c r="CS315" s="359" t="s">
        <v>469</v>
      </c>
      <c r="CT315" s="361">
        <v>1078566.17</v>
      </c>
      <c r="CU315" s="361">
        <v>141166.16</v>
      </c>
      <c r="CV315" s="361">
        <v>0</v>
      </c>
      <c r="CW315" s="361">
        <v>90674.82</v>
      </c>
      <c r="CX315" s="361">
        <v>84639.39</v>
      </c>
      <c r="CY315" s="361">
        <v>76072.58</v>
      </c>
      <c r="CZ315" s="361">
        <v>259735.75</v>
      </c>
      <c r="DA315" s="361">
        <v>25982.3</v>
      </c>
      <c r="DB315" s="361">
        <v>25982.3</v>
      </c>
      <c r="DC315" s="361">
        <v>278331.71999999997</v>
      </c>
      <c r="DD315" s="361">
        <v>95981.16</v>
      </c>
      <c r="DE315" s="361"/>
      <c r="DF315" s="361"/>
      <c r="DG315" s="361"/>
      <c r="DH315" s="378"/>
    </row>
    <row r="316" spans="1:112" ht="13">
      <c r="A316" s="294"/>
      <c r="B316" s="294"/>
      <c r="F316" s="302"/>
      <c r="I316" s="553"/>
      <c r="P316" s="295"/>
      <c r="W316" s="295"/>
      <c r="AD316" s="295"/>
      <c r="AK316" s="295"/>
      <c r="BY316" s="618"/>
      <c r="BZ316" s="553"/>
      <c r="CF316" s="294"/>
      <c r="CG316" s="294"/>
      <c r="CR316" s="666">
        <v>36</v>
      </c>
      <c r="CS316" s="359" t="s">
        <v>431</v>
      </c>
      <c r="CT316" s="361">
        <v>788126.8</v>
      </c>
      <c r="CU316" s="361">
        <v>66754.100000000006</v>
      </c>
      <c r="CV316" s="361">
        <v>39983.040000000001</v>
      </c>
      <c r="CW316" s="361">
        <v>66223.539999999994</v>
      </c>
      <c r="CX316" s="361">
        <v>77799.320000000007</v>
      </c>
      <c r="CY316" s="361">
        <v>87251.95</v>
      </c>
      <c r="CZ316" s="361">
        <v>105153.26</v>
      </c>
      <c r="DA316" s="361">
        <v>39896.400000000001</v>
      </c>
      <c r="DB316" s="361">
        <v>69948.38</v>
      </c>
      <c r="DC316" s="361">
        <v>182031.18</v>
      </c>
      <c r="DD316" s="361">
        <v>53085.62</v>
      </c>
      <c r="DE316" s="361"/>
      <c r="DF316" s="361"/>
      <c r="DG316" s="361"/>
      <c r="DH316" s="378"/>
    </row>
    <row r="317" spans="1:112" ht="13">
      <c r="A317" s="294"/>
      <c r="B317" s="294"/>
      <c r="F317" s="302"/>
      <c r="I317" s="553"/>
      <c r="P317" s="295"/>
      <c r="W317" s="295"/>
      <c r="AD317" s="295"/>
      <c r="AK317" s="295"/>
      <c r="BY317" s="618"/>
      <c r="BZ317" s="553"/>
      <c r="CF317" s="294"/>
      <c r="CG317" s="294"/>
      <c r="CR317" s="666">
        <v>37</v>
      </c>
      <c r="CS317" s="359" t="s">
        <v>406</v>
      </c>
      <c r="CT317" s="361">
        <v>674909.43</v>
      </c>
      <c r="CU317" s="361">
        <v>0</v>
      </c>
      <c r="CV317" s="361">
        <v>0</v>
      </c>
      <c r="CW317" s="361">
        <v>0</v>
      </c>
      <c r="CX317" s="361">
        <v>0</v>
      </c>
      <c r="CY317" s="361">
        <v>192904.8</v>
      </c>
      <c r="CZ317" s="361">
        <v>41951.28</v>
      </c>
      <c r="DA317" s="361">
        <v>310697.01</v>
      </c>
      <c r="DB317" s="361">
        <v>0</v>
      </c>
      <c r="DC317" s="361">
        <v>44702.98</v>
      </c>
      <c r="DD317" s="361">
        <v>84653.36</v>
      </c>
      <c r="DE317" s="361"/>
      <c r="DF317" s="361"/>
      <c r="DG317" s="361"/>
      <c r="DH317" s="378"/>
    </row>
    <row r="318" spans="1:112" ht="13">
      <c r="A318" s="294"/>
      <c r="B318" s="294"/>
      <c r="F318" s="302"/>
      <c r="I318" s="553"/>
      <c r="P318" s="295"/>
      <c r="W318" s="295"/>
      <c r="AD318" s="295"/>
      <c r="AK318" s="295"/>
      <c r="BY318" s="618"/>
      <c r="BZ318" s="553"/>
      <c r="CF318" s="294"/>
      <c r="CG318" s="294"/>
      <c r="CR318" s="666">
        <v>38</v>
      </c>
      <c r="CS318" s="359" t="s">
        <v>435</v>
      </c>
      <c r="CT318" s="361">
        <v>646731.38</v>
      </c>
      <c r="CU318" s="361">
        <v>84976.47</v>
      </c>
      <c r="CV318" s="361">
        <v>52278.89</v>
      </c>
      <c r="CW318" s="361">
        <v>48154.3</v>
      </c>
      <c r="CX318" s="361">
        <v>66966.67</v>
      </c>
      <c r="CY318" s="361">
        <v>35157.53</v>
      </c>
      <c r="CZ318" s="361">
        <v>129950.12</v>
      </c>
      <c r="DA318" s="361">
        <v>117229.73</v>
      </c>
      <c r="DB318" s="361">
        <v>0</v>
      </c>
      <c r="DC318" s="361">
        <v>112017.67</v>
      </c>
      <c r="DD318" s="361">
        <v>0</v>
      </c>
      <c r="DE318" s="361"/>
      <c r="DF318" s="361"/>
      <c r="DG318" s="361"/>
      <c r="DH318" s="378"/>
    </row>
    <row r="319" spans="1:112" ht="13">
      <c r="A319" s="294"/>
      <c r="B319" s="294"/>
      <c r="F319" s="302"/>
      <c r="I319" s="553"/>
      <c r="P319" s="295"/>
      <c r="W319" s="295"/>
      <c r="AD319" s="295"/>
      <c r="AK319" s="295"/>
      <c r="BY319" s="618"/>
      <c r="BZ319" s="553"/>
      <c r="CF319" s="294"/>
      <c r="CG319" s="294"/>
      <c r="CR319" s="666">
        <v>39</v>
      </c>
      <c r="CS319" s="359" t="s">
        <v>444</v>
      </c>
      <c r="CT319" s="361">
        <v>581014.96</v>
      </c>
      <c r="CU319" s="361">
        <v>0</v>
      </c>
      <c r="CV319" s="361">
        <v>0</v>
      </c>
      <c r="CW319" s="361">
        <v>0</v>
      </c>
      <c r="CX319" s="361">
        <v>0</v>
      </c>
      <c r="CY319" s="361">
        <v>0</v>
      </c>
      <c r="CZ319" s="361">
        <v>0</v>
      </c>
      <c r="DA319" s="361">
        <v>251403.4</v>
      </c>
      <c r="DB319" s="361">
        <v>129787.5</v>
      </c>
      <c r="DC319" s="361">
        <v>199824.06</v>
      </c>
      <c r="DD319" s="361">
        <v>0</v>
      </c>
      <c r="DE319" s="361"/>
      <c r="DF319" s="361"/>
      <c r="DG319" s="361"/>
      <c r="DH319" s="378"/>
    </row>
    <row r="320" spans="1:112" ht="13">
      <c r="A320" s="294"/>
      <c r="B320" s="294"/>
      <c r="F320" s="302"/>
      <c r="I320" s="553"/>
      <c r="P320" s="295"/>
      <c r="W320" s="295"/>
      <c r="AD320" s="295"/>
      <c r="AK320" s="295"/>
      <c r="BY320" s="618"/>
      <c r="BZ320" s="553"/>
      <c r="CF320" s="294"/>
      <c r="CG320" s="294"/>
      <c r="CR320" s="666">
        <v>40</v>
      </c>
      <c r="CS320" s="359" t="s">
        <v>459</v>
      </c>
      <c r="CT320" s="361">
        <v>532499.14</v>
      </c>
      <c r="CU320" s="361">
        <v>69278.42</v>
      </c>
      <c r="CV320" s="361">
        <v>45428.55</v>
      </c>
      <c r="CW320" s="361">
        <v>48154.3</v>
      </c>
      <c r="CX320" s="361">
        <v>96308.6</v>
      </c>
      <c r="CY320" s="361">
        <v>26544.99</v>
      </c>
      <c r="CZ320" s="361">
        <v>44536.08</v>
      </c>
      <c r="DA320" s="361">
        <v>50562.05</v>
      </c>
      <c r="DB320" s="361">
        <v>50562.05</v>
      </c>
      <c r="DC320" s="361">
        <v>101124.1</v>
      </c>
      <c r="DD320" s="361">
        <v>0</v>
      </c>
      <c r="DE320" s="361"/>
      <c r="DF320" s="361"/>
      <c r="DG320" s="361"/>
      <c r="DH320" s="378"/>
    </row>
    <row r="321" spans="1:112" ht="13">
      <c r="A321" s="294"/>
      <c r="B321" s="294"/>
      <c r="F321" s="302"/>
      <c r="I321" s="553"/>
      <c r="P321" s="295"/>
      <c r="W321" s="295"/>
      <c r="AD321" s="295"/>
      <c r="AK321" s="295"/>
      <c r="BY321" s="618"/>
      <c r="BZ321" s="553"/>
      <c r="CF321" s="294"/>
      <c r="CG321" s="294"/>
      <c r="CR321" s="666">
        <v>41</v>
      </c>
      <c r="CS321" s="359" t="s">
        <v>441</v>
      </c>
      <c r="CT321" s="361">
        <v>520391.56</v>
      </c>
      <c r="CU321" s="361">
        <v>81216.69</v>
      </c>
      <c r="CV321" s="361">
        <v>54445.599999999999</v>
      </c>
      <c r="CW321" s="361">
        <v>87742.18</v>
      </c>
      <c r="CX321" s="361">
        <v>58561.69</v>
      </c>
      <c r="CY321" s="361">
        <v>88144.26</v>
      </c>
      <c r="CZ321" s="361">
        <v>39880.54</v>
      </c>
      <c r="DA321" s="361">
        <v>0</v>
      </c>
      <c r="DB321" s="361">
        <v>110400.6</v>
      </c>
      <c r="DC321" s="361">
        <v>0</v>
      </c>
      <c r="DD321" s="361">
        <v>0</v>
      </c>
      <c r="DE321" s="361"/>
      <c r="DF321" s="361"/>
      <c r="DG321" s="361"/>
      <c r="DH321" s="378"/>
    </row>
    <row r="322" spans="1:112" ht="13">
      <c r="A322" s="294"/>
      <c r="B322" s="294"/>
      <c r="F322" s="302"/>
      <c r="I322" s="553"/>
      <c r="P322" s="295"/>
      <c r="W322" s="295"/>
      <c r="AD322" s="295"/>
      <c r="AK322" s="295"/>
      <c r="BY322" s="618"/>
      <c r="BZ322" s="553"/>
      <c r="CF322" s="294"/>
      <c r="CG322" s="294"/>
      <c r="CR322" s="666">
        <v>42</v>
      </c>
      <c r="CS322" s="359" t="s">
        <v>458</v>
      </c>
      <c r="CT322" s="361">
        <v>513563.66</v>
      </c>
      <c r="CU322" s="361">
        <v>0</v>
      </c>
      <c r="CV322" s="361">
        <v>68894.23</v>
      </c>
      <c r="CW322" s="361">
        <v>0</v>
      </c>
      <c r="CX322" s="361">
        <v>91885.49</v>
      </c>
      <c r="CY322" s="361">
        <v>56496.11</v>
      </c>
      <c r="CZ322" s="361">
        <v>22558.41</v>
      </c>
      <c r="DA322" s="361">
        <v>75889.210000000006</v>
      </c>
      <c r="DB322" s="361">
        <v>21655.18</v>
      </c>
      <c r="DC322" s="361">
        <v>116628.48</v>
      </c>
      <c r="DD322" s="361">
        <v>59556.55</v>
      </c>
      <c r="DE322" s="361"/>
      <c r="DF322" s="361"/>
      <c r="DG322" s="361"/>
      <c r="DH322" s="378"/>
    </row>
    <row r="323" spans="1:112" ht="13">
      <c r="A323" s="294"/>
      <c r="B323" s="294"/>
      <c r="F323" s="302"/>
      <c r="I323" s="553"/>
      <c r="P323" s="295"/>
      <c r="W323" s="295"/>
      <c r="AD323" s="295"/>
      <c r="AK323" s="295"/>
      <c r="BY323" s="618"/>
      <c r="BZ323" s="553"/>
      <c r="CF323" s="294"/>
      <c r="CG323" s="294"/>
      <c r="CR323" s="666">
        <v>43</v>
      </c>
      <c r="CS323" s="359" t="s">
        <v>450</v>
      </c>
      <c r="CT323" s="361">
        <v>431862.6</v>
      </c>
      <c r="CU323" s="361">
        <v>0</v>
      </c>
      <c r="CV323" s="361">
        <v>0</v>
      </c>
      <c r="CW323" s="361">
        <v>0</v>
      </c>
      <c r="CX323" s="361">
        <v>30639.52</v>
      </c>
      <c r="CY323" s="361">
        <v>67997.34</v>
      </c>
      <c r="CZ323" s="361">
        <v>58779.56</v>
      </c>
      <c r="DA323" s="361">
        <v>25076.11</v>
      </c>
      <c r="DB323" s="361">
        <v>126858.3</v>
      </c>
      <c r="DC323" s="361">
        <v>33703.449999999997</v>
      </c>
      <c r="DD323" s="361">
        <v>88808.320000000007</v>
      </c>
      <c r="DE323" s="365"/>
      <c r="DF323" s="365"/>
      <c r="DG323" s="365"/>
      <c r="DH323" s="379"/>
    </row>
    <row r="324" spans="1:112" ht="13">
      <c r="A324" s="294"/>
      <c r="B324" s="294"/>
      <c r="F324" s="302"/>
      <c r="I324" s="553"/>
      <c r="P324" s="295"/>
      <c r="W324" s="295"/>
      <c r="AD324" s="295"/>
      <c r="AK324" s="295"/>
      <c r="BY324" s="618"/>
      <c r="BZ324" s="553"/>
      <c r="CF324" s="294"/>
      <c r="CG324" s="294"/>
      <c r="CR324" s="666">
        <v>44</v>
      </c>
      <c r="CS324" s="359" t="s">
        <v>439</v>
      </c>
      <c r="CT324" s="361">
        <v>420512.59</v>
      </c>
      <c r="CU324" s="361">
        <v>22529.279999999999</v>
      </c>
      <c r="CV324" s="361">
        <v>41450.85</v>
      </c>
      <c r="CW324" s="361">
        <v>52896.91</v>
      </c>
      <c r="CX324" s="361">
        <v>112286.39999999999</v>
      </c>
      <c r="CY324" s="361">
        <v>0</v>
      </c>
      <c r="CZ324" s="361">
        <v>88039.48</v>
      </c>
      <c r="DA324" s="361">
        <v>64336.28</v>
      </c>
      <c r="DB324" s="361">
        <v>38973.39</v>
      </c>
      <c r="DC324" s="361">
        <v>0</v>
      </c>
      <c r="DD324" s="361">
        <v>0</v>
      </c>
      <c r="DE324" s="361"/>
      <c r="DF324" s="361"/>
      <c r="DG324" s="361"/>
      <c r="DH324" s="378"/>
    </row>
    <row r="325" spans="1:112" ht="13">
      <c r="A325" s="294"/>
      <c r="B325" s="294"/>
      <c r="F325" s="302"/>
      <c r="I325" s="553"/>
      <c r="P325" s="295"/>
      <c r="W325" s="295"/>
      <c r="AD325" s="295"/>
      <c r="AK325" s="295"/>
      <c r="BY325" s="618"/>
      <c r="BZ325" s="553"/>
      <c r="CF325" s="294"/>
      <c r="CG325" s="294"/>
      <c r="CR325" s="666">
        <v>45</v>
      </c>
      <c r="CS325" s="359" t="s">
        <v>428</v>
      </c>
      <c r="CT325" s="361">
        <v>130147.71</v>
      </c>
      <c r="CU325" s="361">
        <v>36153.24</v>
      </c>
      <c r="CV325" s="361">
        <v>0</v>
      </c>
      <c r="CW325" s="361">
        <v>0</v>
      </c>
      <c r="CX325" s="361">
        <v>0</v>
      </c>
      <c r="CY325" s="361">
        <v>93994.47</v>
      </c>
      <c r="CZ325" s="361">
        <v>0</v>
      </c>
      <c r="DA325" s="365">
        <v>0</v>
      </c>
      <c r="DB325" s="365">
        <v>0</v>
      </c>
      <c r="DC325" s="365">
        <v>0</v>
      </c>
      <c r="DD325" s="365">
        <v>0</v>
      </c>
      <c r="DE325" s="365"/>
      <c r="DF325" s="365"/>
      <c r="DG325" s="365"/>
      <c r="DH325" s="379"/>
    </row>
    <row r="326" spans="1:112" ht="13">
      <c r="A326" s="294"/>
      <c r="B326" s="294"/>
      <c r="F326" s="302"/>
      <c r="I326" s="553"/>
      <c r="P326" s="295"/>
      <c r="W326" s="295"/>
      <c r="AD326" s="295"/>
      <c r="AK326" s="295"/>
      <c r="BY326" s="618"/>
      <c r="BZ326" s="553"/>
      <c r="CF326" s="294"/>
      <c r="CG326" s="294"/>
      <c r="CR326" s="666">
        <v>46</v>
      </c>
      <c r="CS326" s="359" t="s">
        <v>415</v>
      </c>
      <c r="CT326" s="361">
        <v>110834.64</v>
      </c>
      <c r="CU326" s="361">
        <v>0</v>
      </c>
      <c r="CV326" s="361">
        <v>35136.31</v>
      </c>
      <c r="CW326" s="361">
        <v>15971.05</v>
      </c>
      <c r="CX326" s="361">
        <v>0</v>
      </c>
      <c r="CY326" s="361">
        <v>15971.05</v>
      </c>
      <c r="CZ326" s="361">
        <v>9582.6299999999992</v>
      </c>
      <c r="DA326" s="361">
        <v>0</v>
      </c>
      <c r="DB326" s="361">
        <v>0</v>
      </c>
      <c r="DC326" s="361">
        <v>34173.599999999999</v>
      </c>
      <c r="DD326" s="361">
        <v>0</v>
      </c>
      <c r="DE326" s="361"/>
      <c r="DF326" s="361"/>
      <c r="DG326" s="361"/>
      <c r="DH326" s="378"/>
    </row>
    <row r="327" spans="1:112" ht="13">
      <c r="A327" s="294"/>
      <c r="B327" s="294"/>
      <c r="F327" s="302"/>
      <c r="I327" s="553"/>
      <c r="P327" s="295"/>
      <c r="W327" s="295"/>
      <c r="AD327" s="295"/>
      <c r="AK327" s="295"/>
      <c r="BY327" s="618"/>
      <c r="BZ327" s="553"/>
      <c r="CF327" s="294"/>
      <c r="CG327" s="294"/>
      <c r="CR327" s="666">
        <v>47</v>
      </c>
      <c r="CS327" s="359" t="s">
        <v>423</v>
      </c>
      <c r="CT327" s="361">
        <v>105024.32000000001</v>
      </c>
      <c r="CU327" s="361">
        <v>0</v>
      </c>
      <c r="CV327" s="361">
        <v>0</v>
      </c>
      <c r="CW327" s="361">
        <v>0</v>
      </c>
      <c r="CX327" s="361">
        <v>0</v>
      </c>
      <c r="CY327" s="361">
        <v>105024.32000000001</v>
      </c>
      <c r="CZ327" s="361">
        <v>0</v>
      </c>
      <c r="DA327" s="361">
        <v>0</v>
      </c>
      <c r="DB327" s="361">
        <v>0</v>
      </c>
      <c r="DC327" s="361">
        <v>0</v>
      </c>
      <c r="DD327" s="361">
        <v>0</v>
      </c>
      <c r="DE327" s="361"/>
      <c r="DF327" s="361"/>
      <c r="DG327" s="361"/>
      <c r="DH327" s="378"/>
    </row>
    <row r="328" spans="1:112" ht="13">
      <c r="A328" s="294"/>
      <c r="B328" s="294"/>
      <c r="F328" s="302"/>
      <c r="I328" s="553"/>
      <c r="P328" s="295"/>
      <c r="W328" s="295"/>
      <c r="AD328" s="295"/>
      <c r="AK328" s="295"/>
      <c r="BY328" s="618"/>
      <c r="BZ328" s="553"/>
      <c r="CF328" s="294"/>
      <c r="CG328" s="294"/>
      <c r="CR328" s="666">
        <v>48</v>
      </c>
      <c r="CS328" s="359" t="s">
        <v>467</v>
      </c>
      <c r="CT328" s="361">
        <v>66481.850000000006</v>
      </c>
      <c r="CU328" s="361">
        <v>12486.03</v>
      </c>
      <c r="CV328" s="361">
        <v>12486.03</v>
      </c>
      <c r="CW328" s="361">
        <v>13609.77</v>
      </c>
      <c r="CX328" s="361">
        <v>13609.77</v>
      </c>
      <c r="CY328" s="361">
        <v>14290.23</v>
      </c>
      <c r="CZ328" s="361">
        <v>0</v>
      </c>
      <c r="DA328" s="361">
        <v>0</v>
      </c>
      <c r="DB328" s="361">
        <v>0</v>
      </c>
      <c r="DC328" s="361">
        <v>0</v>
      </c>
      <c r="DD328" s="361">
        <v>0</v>
      </c>
      <c r="DE328" s="361"/>
      <c r="DF328" s="361"/>
      <c r="DG328" s="361"/>
      <c r="DH328" s="378"/>
    </row>
    <row r="329" spans="1:112" ht="13">
      <c r="A329" s="294"/>
      <c r="B329" s="294"/>
      <c r="F329" s="302"/>
      <c r="I329" s="553"/>
      <c r="P329" s="295"/>
      <c r="W329" s="295"/>
      <c r="AD329" s="295"/>
      <c r="AK329" s="295"/>
      <c r="BY329" s="618"/>
      <c r="BZ329" s="553"/>
      <c r="CF329" s="294"/>
      <c r="CG329" s="294"/>
      <c r="CR329" s="666">
        <v>49</v>
      </c>
      <c r="CS329" s="359" t="s">
        <v>440</v>
      </c>
      <c r="CT329" s="361">
        <v>59557.599999999999</v>
      </c>
      <c r="CU329" s="361">
        <v>0</v>
      </c>
      <c r="CV329" s="361">
        <v>28500</v>
      </c>
      <c r="CW329" s="361">
        <v>0</v>
      </c>
      <c r="CX329" s="361">
        <v>0</v>
      </c>
      <c r="CY329" s="361">
        <v>31057.599999999999</v>
      </c>
      <c r="CZ329" s="361">
        <v>0</v>
      </c>
      <c r="DA329" s="361">
        <v>0</v>
      </c>
      <c r="DB329" s="361">
        <v>0</v>
      </c>
      <c r="DC329" s="361">
        <v>0</v>
      </c>
      <c r="DD329" s="361">
        <v>0</v>
      </c>
      <c r="DE329" s="361"/>
      <c r="DF329" s="361"/>
      <c r="DG329" s="361"/>
      <c r="DH329" s="378"/>
    </row>
    <row r="330" spans="1:112" ht="13">
      <c r="A330" s="294"/>
      <c r="B330" s="294"/>
      <c r="F330" s="302"/>
      <c r="I330" s="553"/>
      <c r="P330" s="295"/>
      <c r="W330" s="295"/>
      <c r="AD330" s="295"/>
      <c r="AK330" s="295"/>
      <c r="BY330" s="618"/>
      <c r="BZ330" s="553"/>
      <c r="CF330" s="294"/>
      <c r="CG330" s="294"/>
      <c r="CR330" s="666">
        <v>50</v>
      </c>
      <c r="CS330" s="359" t="s">
        <v>489</v>
      </c>
      <c r="CT330" s="361">
        <v>57118.6</v>
      </c>
      <c r="CU330" s="361">
        <v>0</v>
      </c>
      <c r="CV330" s="361">
        <v>0</v>
      </c>
      <c r="CW330" s="361">
        <v>0</v>
      </c>
      <c r="CX330" s="361">
        <v>0</v>
      </c>
      <c r="CY330" s="361">
        <v>0</v>
      </c>
      <c r="CZ330" s="361">
        <v>57118.6</v>
      </c>
      <c r="DA330" s="361">
        <v>0</v>
      </c>
      <c r="DB330" s="361">
        <v>0</v>
      </c>
      <c r="DC330" s="361">
        <v>0</v>
      </c>
      <c r="DD330" s="361">
        <v>0</v>
      </c>
      <c r="DE330" s="361"/>
      <c r="DF330" s="361"/>
      <c r="DG330" s="361"/>
      <c r="DH330" s="378"/>
    </row>
    <row r="331" spans="1:112" ht="13">
      <c r="A331" s="294"/>
      <c r="B331" s="294"/>
      <c r="F331" s="302"/>
      <c r="I331" s="553"/>
      <c r="P331" s="295"/>
      <c r="W331" s="295"/>
      <c r="AD331" s="295"/>
      <c r="AK331" s="295"/>
      <c r="BY331" s="618"/>
      <c r="BZ331" s="553"/>
      <c r="CF331" s="294"/>
      <c r="CG331" s="294"/>
      <c r="CR331" s="666">
        <v>51</v>
      </c>
      <c r="CS331" s="359" t="s">
        <v>496</v>
      </c>
      <c r="CT331" s="361">
        <v>38330.519999999997</v>
      </c>
      <c r="CU331" s="361">
        <v>0</v>
      </c>
      <c r="CV331" s="361">
        <v>38330.519999999997</v>
      </c>
      <c r="CW331" s="361">
        <v>0</v>
      </c>
      <c r="CX331" s="365">
        <v>0</v>
      </c>
      <c r="CY331" s="365">
        <v>0</v>
      </c>
      <c r="CZ331" s="365">
        <v>0</v>
      </c>
      <c r="DA331" s="365">
        <v>0</v>
      </c>
      <c r="DB331" s="365">
        <v>0</v>
      </c>
      <c r="DC331" s="365">
        <v>0</v>
      </c>
      <c r="DD331" s="365">
        <v>0</v>
      </c>
      <c r="DE331" s="365"/>
      <c r="DF331" s="365"/>
      <c r="DG331" s="365"/>
      <c r="DH331" s="379"/>
    </row>
    <row r="332" spans="1:112" ht="13">
      <c r="A332" s="294"/>
      <c r="B332" s="294"/>
      <c r="F332" s="302"/>
      <c r="I332" s="553"/>
      <c r="P332" s="295"/>
      <c r="W332" s="295"/>
      <c r="AD332" s="295"/>
      <c r="AK332" s="295"/>
      <c r="BY332" s="618"/>
      <c r="BZ332" s="553"/>
      <c r="CF332" s="294"/>
      <c r="CG332" s="294"/>
      <c r="CR332" s="666">
        <v>52</v>
      </c>
      <c r="CS332" s="359" t="s">
        <v>460</v>
      </c>
      <c r="CT332" s="361">
        <v>36000.269999999997</v>
      </c>
      <c r="CU332" s="361">
        <v>0</v>
      </c>
      <c r="CV332" s="361">
        <v>0</v>
      </c>
      <c r="CW332" s="361">
        <v>0</v>
      </c>
      <c r="CX332" s="361">
        <v>0</v>
      </c>
      <c r="CY332" s="361">
        <v>0</v>
      </c>
      <c r="CZ332" s="361">
        <v>0</v>
      </c>
      <c r="DA332" s="361">
        <v>0</v>
      </c>
      <c r="DB332" s="361">
        <v>36000.269999999997</v>
      </c>
      <c r="DC332" s="361">
        <v>0</v>
      </c>
      <c r="DD332" s="361">
        <v>0</v>
      </c>
      <c r="DE332" s="361"/>
      <c r="DF332" s="361"/>
      <c r="DG332" s="361"/>
      <c r="DH332" s="378"/>
    </row>
    <row r="333" spans="1:112" ht="13">
      <c r="A333" s="294"/>
      <c r="B333" s="294"/>
      <c r="F333" s="302"/>
      <c r="I333" s="553"/>
      <c r="P333" s="295"/>
      <c r="W333" s="295"/>
      <c r="AD333" s="295"/>
      <c r="AK333" s="295"/>
      <c r="BY333" s="618"/>
      <c r="BZ333" s="553"/>
      <c r="CF333" s="294"/>
      <c r="CG333" s="294"/>
      <c r="CR333" s="666">
        <v>53</v>
      </c>
      <c r="CS333" s="359" t="s">
        <v>429</v>
      </c>
      <c r="CT333" s="361">
        <v>33050.33</v>
      </c>
      <c r="CU333" s="361">
        <v>12776.84</v>
      </c>
      <c r="CV333" s="361">
        <v>0</v>
      </c>
      <c r="CW333" s="361">
        <v>0</v>
      </c>
      <c r="CX333" s="361">
        <v>0</v>
      </c>
      <c r="CY333" s="361">
        <v>20273.490000000002</v>
      </c>
      <c r="CZ333" s="361">
        <v>0</v>
      </c>
      <c r="DA333" s="361">
        <v>0</v>
      </c>
      <c r="DB333" s="361">
        <v>0</v>
      </c>
      <c r="DC333" s="361">
        <v>0</v>
      </c>
      <c r="DD333" s="361">
        <v>0</v>
      </c>
      <c r="DE333" s="361"/>
      <c r="DF333" s="361"/>
      <c r="DG333" s="361"/>
      <c r="DH333" s="378"/>
    </row>
    <row r="334" spans="1:112" ht="13">
      <c r="A334" s="294"/>
      <c r="B334" s="294"/>
      <c r="F334" s="302"/>
      <c r="I334" s="553"/>
      <c r="P334" s="295"/>
      <c r="W334" s="295"/>
      <c r="AD334" s="295"/>
      <c r="AK334" s="295"/>
      <c r="BY334" s="618"/>
      <c r="BZ334" s="553"/>
      <c r="CF334" s="294"/>
      <c r="CG334" s="294"/>
      <c r="CR334" s="666">
        <v>54</v>
      </c>
      <c r="CS334" s="359" t="s">
        <v>430</v>
      </c>
      <c r="CT334" s="361">
        <v>31057.599999999999</v>
      </c>
      <c r="CU334" s="361">
        <v>0</v>
      </c>
      <c r="CV334" s="361">
        <v>0</v>
      </c>
      <c r="CW334" s="361">
        <v>31057.599999999999</v>
      </c>
      <c r="CX334" s="361">
        <v>0</v>
      </c>
      <c r="CY334" s="361">
        <v>0</v>
      </c>
      <c r="CZ334" s="361">
        <v>0</v>
      </c>
      <c r="DA334" s="361">
        <v>0</v>
      </c>
      <c r="DB334" s="361">
        <v>0</v>
      </c>
      <c r="DC334" s="361">
        <v>0</v>
      </c>
      <c r="DD334" s="361">
        <v>0</v>
      </c>
      <c r="DE334" s="361"/>
      <c r="DF334" s="361"/>
      <c r="DG334" s="361"/>
      <c r="DH334" s="378"/>
    </row>
    <row r="335" spans="1:112" ht="13">
      <c r="A335" s="294"/>
      <c r="B335" s="294"/>
      <c r="F335" s="302"/>
      <c r="I335" s="553"/>
      <c r="P335" s="295"/>
      <c r="W335" s="295"/>
      <c r="AD335" s="295"/>
      <c r="AK335" s="295"/>
      <c r="BY335" s="618"/>
      <c r="BZ335" s="553"/>
      <c r="CF335" s="294"/>
      <c r="CG335" s="294"/>
      <c r="CR335" s="666">
        <v>55</v>
      </c>
      <c r="CS335" s="359" t="s">
        <v>472</v>
      </c>
      <c r="CT335" s="361">
        <v>30109.57</v>
      </c>
      <c r="CU335" s="361">
        <v>0</v>
      </c>
      <c r="CV335" s="361">
        <v>30109.57</v>
      </c>
      <c r="CW335" s="365">
        <v>0</v>
      </c>
      <c r="CX335" s="365">
        <v>0</v>
      </c>
      <c r="CY335" s="361">
        <v>0</v>
      </c>
      <c r="CZ335" s="365">
        <v>0</v>
      </c>
      <c r="DA335" s="365">
        <v>0</v>
      </c>
      <c r="DB335" s="365">
        <v>0</v>
      </c>
      <c r="DC335" s="365">
        <v>0</v>
      </c>
      <c r="DD335" s="365">
        <v>0</v>
      </c>
      <c r="DE335" s="365"/>
      <c r="DF335" s="365"/>
      <c r="DG335" s="365"/>
      <c r="DH335" s="379"/>
    </row>
    <row r="336" spans="1:112" ht="13">
      <c r="A336" s="294"/>
      <c r="B336" s="294"/>
      <c r="F336" s="302"/>
      <c r="I336" s="553"/>
      <c r="P336" s="295"/>
      <c r="W336" s="295"/>
      <c r="AD336" s="295"/>
      <c r="AK336" s="295"/>
      <c r="BY336" s="618"/>
      <c r="BZ336" s="553"/>
      <c r="CF336" s="294"/>
      <c r="CG336" s="294"/>
      <c r="CR336" s="666">
        <v>56</v>
      </c>
      <c r="CS336" s="359" t="s">
        <v>436</v>
      </c>
      <c r="CT336" s="361">
        <v>28500</v>
      </c>
      <c r="CU336" s="361">
        <v>0</v>
      </c>
      <c r="CV336" s="361">
        <v>28500</v>
      </c>
      <c r="CW336" s="365">
        <v>0</v>
      </c>
      <c r="CX336" s="365">
        <v>0</v>
      </c>
      <c r="CY336" s="365">
        <v>0</v>
      </c>
      <c r="CZ336" s="365">
        <v>0</v>
      </c>
      <c r="DA336" s="365">
        <v>0</v>
      </c>
      <c r="DB336" s="365">
        <v>0</v>
      </c>
      <c r="DC336" s="365">
        <v>0</v>
      </c>
      <c r="DD336" s="365">
        <v>0</v>
      </c>
      <c r="DE336" s="365"/>
      <c r="DF336" s="365"/>
      <c r="DG336" s="365"/>
      <c r="DH336" s="379"/>
    </row>
    <row r="337" spans="1:112" ht="13">
      <c r="A337" s="294"/>
      <c r="B337" s="294"/>
      <c r="F337" s="302"/>
      <c r="I337" s="553"/>
      <c r="P337" s="295"/>
      <c r="W337" s="295"/>
      <c r="AD337" s="295"/>
      <c r="AK337" s="295"/>
      <c r="BY337" s="618"/>
      <c r="BZ337" s="553"/>
      <c r="CF337" s="294"/>
      <c r="CG337" s="294"/>
      <c r="CR337" s="666">
        <v>57</v>
      </c>
      <c r="CS337" s="359" t="s">
        <v>421</v>
      </c>
      <c r="CT337" s="361">
        <v>16036.29</v>
      </c>
      <c r="CU337" s="361">
        <v>0</v>
      </c>
      <c r="CV337" s="361">
        <v>0</v>
      </c>
      <c r="CW337" s="361">
        <v>0</v>
      </c>
      <c r="CX337" s="361">
        <v>0</v>
      </c>
      <c r="CY337" s="361">
        <v>16036.29</v>
      </c>
      <c r="CZ337" s="361">
        <v>0</v>
      </c>
      <c r="DA337" s="361">
        <v>0</v>
      </c>
      <c r="DB337" s="361">
        <v>0</v>
      </c>
      <c r="DC337" s="361">
        <v>0</v>
      </c>
      <c r="DD337" s="361">
        <v>0</v>
      </c>
      <c r="DE337" s="361"/>
      <c r="DF337" s="361"/>
      <c r="DG337" s="361"/>
      <c r="DH337" s="378"/>
    </row>
    <row r="338" spans="1:112" ht="13">
      <c r="A338" s="294"/>
      <c r="B338" s="294"/>
      <c r="F338" s="302"/>
      <c r="I338" s="553"/>
      <c r="P338" s="295"/>
      <c r="W338" s="295"/>
      <c r="AD338" s="295"/>
      <c r="AK338" s="295"/>
      <c r="BY338" s="618"/>
      <c r="BZ338" s="553"/>
      <c r="CF338" s="294"/>
      <c r="CG338" s="294"/>
      <c r="CR338" s="666">
        <v>58</v>
      </c>
      <c r="CS338" s="359" t="s">
        <v>387</v>
      </c>
      <c r="CT338" s="361">
        <v>8909.0499999999993</v>
      </c>
      <c r="CU338" s="361">
        <v>0</v>
      </c>
      <c r="CV338" s="361">
        <v>0</v>
      </c>
      <c r="CW338" s="361">
        <v>0</v>
      </c>
      <c r="CX338" s="361">
        <v>0</v>
      </c>
      <c r="CY338" s="361">
        <v>8909.0499999999993</v>
      </c>
      <c r="CZ338" s="361">
        <v>0</v>
      </c>
      <c r="DA338" s="361">
        <v>0</v>
      </c>
      <c r="DB338" s="361">
        <v>0</v>
      </c>
      <c r="DC338" s="361">
        <v>0</v>
      </c>
      <c r="DD338" s="361">
        <v>0</v>
      </c>
      <c r="DE338" s="361"/>
      <c r="DF338" s="361"/>
      <c r="DG338" s="361"/>
      <c r="DH338" s="378"/>
    </row>
    <row r="339" spans="1:112" ht="13">
      <c r="A339" s="294"/>
      <c r="B339" s="294"/>
      <c r="F339" s="302"/>
      <c r="I339" s="553"/>
      <c r="P339" s="295"/>
      <c r="W339" s="295"/>
      <c r="AD339" s="295"/>
      <c r="AK339" s="295"/>
      <c r="BY339" s="618"/>
      <c r="BZ339" s="553"/>
      <c r="CF339" s="294"/>
      <c r="CG339" s="294"/>
      <c r="CR339" s="666">
        <v>59</v>
      </c>
      <c r="CS339" s="359"/>
      <c r="CT339" s="361"/>
      <c r="CU339" s="361"/>
      <c r="CV339" s="361"/>
      <c r="CW339" s="361"/>
      <c r="CX339" s="361"/>
      <c r="CY339" s="361"/>
      <c r="CZ339" s="361"/>
      <c r="DA339" s="361"/>
      <c r="DB339" s="361"/>
      <c r="DC339" s="361"/>
      <c r="DD339" s="361"/>
      <c r="DE339" s="361"/>
      <c r="DF339" s="361"/>
      <c r="DG339" s="361"/>
      <c r="DH339" s="378"/>
    </row>
    <row r="340" spans="1:112" ht="13">
      <c r="A340" s="294"/>
      <c r="B340" s="294"/>
      <c r="F340" s="302"/>
      <c r="I340" s="553"/>
      <c r="P340" s="295"/>
      <c r="W340" s="295"/>
      <c r="AD340" s="295"/>
      <c r="AK340" s="295"/>
      <c r="BY340" s="618"/>
      <c r="BZ340" s="553"/>
      <c r="CF340" s="294"/>
      <c r="CG340" s="294"/>
      <c r="CR340" s="666">
        <v>60</v>
      </c>
      <c r="CS340" s="359"/>
      <c r="CT340" s="361"/>
      <c r="CU340" s="361"/>
      <c r="CV340" s="361"/>
      <c r="CW340" s="361"/>
      <c r="CX340" s="361"/>
      <c r="CY340" s="361"/>
      <c r="CZ340" s="361"/>
      <c r="DA340" s="361"/>
      <c r="DB340" s="361"/>
      <c r="DC340" s="361"/>
      <c r="DD340" s="361"/>
      <c r="DE340" s="361"/>
      <c r="DF340" s="361"/>
      <c r="DG340" s="361"/>
      <c r="DH340" s="378"/>
    </row>
    <row r="341" spans="1:112" ht="13">
      <c r="A341" s="294"/>
      <c r="B341" s="294"/>
      <c r="F341" s="302"/>
      <c r="I341" s="553"/>
      <c r="P341" s="295"/>
      <c r="W341" s="295"/>
      <c r="AD341" s="295"/>
      <c r="AK341" s="295"/>
      <c r="BY341" s="618"/>
      <c r="BZ341" s="553"/>
      <c r="CF341" s="294"/>
      <c r="CG341" s="294"/>
      <c r="CR341" s="666">
        <v>61</v>
      </c>
      <c r="CS341" s="359"/>
      <c r="CT341" s="361"/>
      <c r="CU341" s="361"/>
      <c r="CV341" s="361"/>
      <c r="CW341" s="361"/>
      <c r="CX341" s="361"/>
      <c r="CY341" s="361"/>
      <c r="CZ341" s="361"/>
      <c r="DA341" s="361"/>
      <c r="DB341" s="361"/>
      <c r="DC341" s="361"/>
      <c r="DD341" s="361"/>
      <c r="DE341" s="361"/>
      <c r="DF341" s="361"/>
      <c r="DG341" s="361"/>
      <c r="DH341" s="378"/>
    </row>
    <row r="342" spans="1:112" ht="13">
      <c r="A342" s="294"/>
      <c r="B342" s="294"/>
      <c r="F342" s="302"/>
      <c r="I342" s="553"/>
      <c r="P342" s="295"/>
      <c r="W342" s="295"/>
      <c r="AD342" s="295"/>
      <c r="AK342" s="295"/>
      <c r="BY342" s="618"/>
      <c r="BZ342" s="553"/>
      <c r="CF342" s="294"/>
      <c r="CG342" s="294"/>
      <c r="CR342" s="666">
        <v>62</v>
      </c>
      <c r="CS342" s="359"/>
      <c r="CT342" s="361"/>
      <c r="CU342" s="361"/>
      <c r="CV342" s="361"/>
      <c r="CW342" s="361"/>
      <c r="CX342" s="361"/>
      <c r="CY342" s="361"/>
      <c r="CZ342" s="361"/>
      <c r="DA342" s="361"/>
      <c r="DB342" s="361"/>
      <c r="DC342" s="361"/>
      <c r="DD342" s="361"/>
      <c r="DE342" s="361"/>
      <c r="DF342" s="361"/>
      <c r="DG342" s="361"/>
      <c r="DH342" s="378"/>
    </row>
    <row r="343" spans="1:112" ht="13">
      <c r="A343" s="294"/>
      <c r="B343" s="294"/>
      <c r="F343" s="302"/>
      <c r="I343" s="553"/>
      <c r="P343" s="295"/>
      <c r="W343" s="295"/>
      <c r="AD343" s="295"/>
      <c r="AK343" s="295"/>
      <c r="BY343" s="618"/>
      <c r="BZ343" s="553"/>
      <c r="CF343" s="294"/>
      <c r="CG343" s="294"/>
      <c r="CR343" s="666">
        <v>63</v>
      </c>
      <c r="CS343" s="359"/>
      <c r="CT343" s="361"/>
      <c r="CU343" s="361"/>
      <c r="CV343" s="361"/>
      <c r="CW343" s="361"/>
      <c r="CX343" s="361"/>
      <c r="CY343" s="361"/>
      <c r="CZ343" s="361"/>
      <c r="DA343" s="361"/>
      <c r="DB343" s="361"/>
      <c r="DC343" s="361"/>
      <c r="DD343" s="361"/>
      <c r="DE343" s="361"/>
      <c r="DF343" s="361"/>
      <c r="DG343" s="361"/>
      <c r="DH343" s="378"/>
    </row>
    <row r="344" spans="1:112" ht="13">
      <c r="A344" s="294"/>
      <c r="B344" s="294"/>
      <c r="F344" s="302"/>
      <c r="I344" s="553"/>
      <c r="P344" s="295"/>
      <c r="W344" s="295"/>
      <c r="AD344" s="295"/>
      <c r="AK344" s="295"/>
      <c r="BY344" s="618"/>
      <c r="BZ344" s="553"/>
      <c r="CF344" s="294"/>
      <c r="CG344" s="294"/>
      <c r="CR344" s="666">
        <v>64</v>
      </c>
      <c r="CS344" s="359"/>
      <c r="CT344" s="361"/>
      <c r="CU344" s="361"/>
      <c r="CV344" s="365"/>
      <c r="CW344" s="365"/>
      <c r="CX344" s="365"/>
      <c r="CY344" s="365"/>
      <c r="CZ344" s="365"/>
      <c r="DA344" s="365"/>
      <c r="DB344" s="365"/>
      <c r="DC344" s="365"/>
      <c r="DD344" s="365"/>
      <c r="DE344" s="365"/>
      <c r="DF344" s="365"/>
      <c r="DG344" s="365"/>
      <c r="DH344" s="379"/>
    </row>
    <row r="345" spans="1:112" ht="13">
      <c r="A345" s="294"/>
      <c r="B345" s="294"/>
      <c r="F345" s="302"/>
      <c r="I345" s="553"/>
      <c r="P345" s="295"/>
      <c r="W345" s="295"/>
      <c r="AD345" s="295"/>
      <c r="AK345" s="295"/>
      <c r="BY345" s="618"/>
      <c r="BZ345" s="553"/>
      <c r="CF345" s="294"/>
      <c r="CG345" s="294"/>
      <c r="CR345" s="666">
        <v>65</v>
      </c>
      <c r="CS345" s="359"/>
      <c r="CT345" s="361"/>
      <c r="CU345" s="361"/>
      <c r="CV345" s="361"/>
      <c r="CW345" s="361"/>
      <c r="CX345" s="361"/>
      <c r="CY345" s="361"/>
      <c r="CZ345" s="361"/>
      <c r="DA345" s="361"/>
      <c r="DB345" s="361"/>
      <c r="DC345" s="361"/>
      <c r="DD345" s="361"/>
      <c r="DE345" s="361"/>
      <c r="DF345" s="361"/>
      <c r="DG345" s="361"/>
      <c r="DH345" s="378"/>
    </row>
    <row r="346" spans="1:112" ht="13">
      <c r="A346" s="294"/>
      <c r="B346" s="294"/>
      <c r="F346" s="302"/>
      <c r="I346" s="553"/>
      <c r="P346" s="295"/>
      <c r="W346" s="295"/>
      <c r="AD346" s="295"/>
      <c r="AK346" s="295"/>
      <c r="BY346" s="618"/>
      <c r="BZ346" s="553"/>
      <c r="CF346" s="294"/>
      <c r="CG346" s="294"/>
      <c r="CR346" s="666">
        <v>66</v>
      </c>
      <c r="CS346" s="359"/>
      <c r="CT346" s="361"/>
      <c r="CU346" s="361"/>
      <c r="CV346" s="361"/>
      <c r="CW346" s="361"/>
      <c r="CX346" s="361"/>
      <c r="CY346" s="361"/>
      <c r="CZ346" s="361"/>
      <c r="DA346" s="361"/>
      <c r="DB346" s="361"/>
      <c r="DC346" s="361"/>
      <c r="DD346" s="361"/>
      <c r="DE346" s="361"/>
      <c r="DF346" s="361"/>
      <c r="DG346" s="361"/>
      <c r="DH346" s="378"/>
    </row>
    <row r="347" spans="1:112" ht="13">
      <c r="A347" s="294"/>
      <c r="B347" s="294"/>
      <c r="F347" s="302"/>
      <c r="I347" s="553"/>
      <c r="P347" s="295"/>
      <c r="W347" s="295"/>
      <c r="AD347" s="295"/>
      <c r="AK347" s="295"/>
      <c r="BY347" s="618"/>
      <c r="BZ347" s="553"/>
      <c r="CF347" s="294"/>
      <c r="CG347" s="294"/>
      <c r="CR347" s="666">
        <v>67</v>
      </c>
      <c r="CS347" s="359"/>
      <c r="CT347" s="361"/>
      <c r="CU347" s="361"/>
      <c r="CV347" s="361"/>
      <c r="CW347" s="361"/>
      <c r="CX347" s="361"/>
      <c r="CY347" s="361"/>
      <c r="CZ347" s="361"/>
      <c r="DA347" s="361"/>
      <c r="DB347" s="361"/>
      <c r="DC347" s="361"/>
      <c r="DD347" s="361"/>
      <c r="DE347" s="361"/>
      <c r="DF347" s="361"/>
      <c r="DG347" s="361"/>
      <c r="DH347" s="378"/>
    </row>
    <row r="348" spans="1:112" ht="13">
      <c r="A348" s="294"/>
      <c r="B348" s="294"/>
      <c r="F348" s="302"/>
      <c r="I348" s="553"/>
      <c r="P348" s="295"/>
      <c r="W348" s="295"/>
      <c r="AD348" s="295"/>
      <c r="AK348" s="295"/>
      <c r="BY348" s="618"/>
      <c r="BZ348" s="553"/>
      <c r="CF348" s="294"/>
      <c r="CG348" s="294"/>
      <c r="CR348" s="666">
        <v>68</v>
      </c>
      <c r="CS348" s="359"/>
      <c r="CT348" s="361"/>
      <c r="CU348" s="361"/>
      <c r="CV348" s="361"/>
      <c r="CW348" s="365"/>
      <c r="CX348" s="365"/>
      <c r="CY348" s="365"/>
      <c r="CZ348" s="365"/>
      <c r="DA348" s="365"/>
      <c r="DB348" s="365"/>
      <c r="DC348" s="365"/>
      <c r="DD348" s="365"/>
      <c r="DE348" s="365"/>
      <c r="DF348" s="365"/>
      <c r="DG348" s="365"/>
      <c r="DH348" s="379"/>
    </row>
    <row r="349" spans="1:112" ht="13">
      <c r="A349" s="294"/>
      <c r="B349" s="294"/>
      <c r="F349" s="302"/>
      <c r="I349" s="553"/>
      <c r="P349" s="295"/>
      <c r="W349" s="295"/>
      <c r="AD349" s="295"/>
      <c r="AK349" s="295"/>
      <c r="BY349" s="618"/>
      <c r="BZ349" s="553"/>
      <c r="CF349" s="294"/>
      <c r="CG349" s="294"/>
      <c r="CR349" s="666">
        <v>69</v>
      </c>
      <c r="CS349" s="359"/>
      <c r="CT349" s="361"/>
      <c r="CU349" s="361"/>
      <c r="CV349" s="361"/>
      <c r="CW349" s="361"/>
      <c r="CX349" s="361"/>
      <c r="CY349" s="361"/>
      <c r="CZ349" s="361"/>
      <c r="DA349" s="361"/>
      <c r="DB349" s="361"/>
      <c r="DC349" s="361"/>
      <c r="DD349" s="361"/>
      <c r="DE349" s="361"/>
      <c r="DF349" s="361"/>
      <c r="DG349" s="361"/>
      <c r="DH349" s="378"/>
    </row>
    <row r="350" spans="1:112" ht="13">
      <c r="A350" s="294"/>
      <c r="B350" s="294"/>
      <c r="F350" s="302"/>
      <c r="I350" s="553"/>
      <c r="P350" s="295"/>
      <c r="W350" s="295"/>
      <c r="AD350" s="295"/>
      <c r="AK350" s="295"/>
      <c r="BY350" s="618"/>
      <c r="BZ350" s="553"/>
      <c r="CF350" s="294"/>
      <c r="CG350" s="294"/>
      <c r="CR350" s="666">
        <v>70</v>
      </c>
      <c r="CS350" s="359"/>
      <c r="CT350" s="361"/>
      <c r="CU350" s="361"/>
      <c r="CV350" s="361"/>
      <c r="CW350" s="361"/>
      <c r="CX350" s="361"/>
      <c r="CY350" s="361"/>
      <c r="CZ350" s="361"/>
      <c r="DA350" s="361"/>
      <c r="DB350" s="361"/>
      <c r="DC350" s="361"/>
      <c r="DD350" s="361"/>
      <c r="DE350" s="361"/>
      <c r="DF350" s="361"/>
      <c r="DG350" s="361"/>
      <c r="DH350" s="378"/>
    </row>
    <row r="351" spans="1:112" ht="13">
      <c r="A351" s="294"/>
      <c r="B351" s="294"/>
      <c r="F351" s="302"/>
      <c r="I351" s="553"/>
      <c r="P351" s="295"/>
      <c r="W351" s="295"/>
      <c r="AD351" s="295"/>
      <c r="AK351" s="295"/>
      <c r="BY351" s="618"/>
      <c r="BZ351" s="553"/>
      <c r="CF351" s="294"/>
      <c r="CG351" s="294"/>
      <c r="CR351" s="666">
        <v>71</v>
      </c>
      <c r="CS351" s="359"/>
      <c r="CT351" s="361"/>
      <c r="CU351" s="365"/>
      <c r="CV351" s="361"/>
      <c r="CW351" s="361"/>
      <c r="CX351" s="361"/>
      <c r="CY351" s="361"/>
      <c r="CZ351" s="361"/>
      <c r="DA351" s="361"/>
      <c r="DB351" s="361"/>
      <c r="DC351" s="361"/>
      <c r="DD351" s="361"/>
      <c r="DE351" s="361"/>
      <c r="DF351" s="361"/>
      <c r="DG351" s="361"/>
      <c r="DH351" s="378"/>
    </row>
    <row r="352" spans="1:112" ht="13">
      <c r="A352" s="294"/>
      <c r="B352" s="294"/>
      <c r="F352" s="302"/>
      <c r="I352" s="553"/>
      <c r="P352" s="295"/>
      <c r="W352" s="295"/>
      <c r="AD352" s="295"/>
      <c r="AK352" s="295"/>
      <c r="BY352" s="618"/>
      <c r="BZ352" s="553"/>
      <c r="CF352" s="294"/>
      <c r="CG352" s="294"/>
      <c r="CR352" s="666">
        <v>72</v>
      </c>
      <c r="CS352" s="359"/>
      <c r="CT352" s="361"/>
      <c r="CU352" s="361"/>
      <c r="CV352" s="361"/>
      <c r="CW352" s="361"/>
      <c r="CX352" s="361"/>
      <c r="CY352" s="361"/>
      <c r="CZ352" s="361"/>
      <c r="DA352" s="361"/>
      <c r="DB352" s="361"/>
      <c r="DC352" s="361"/>
      <c r="DD352" s="361"/>
      <c r="DE352" s="361"/>
      <c r="DF352" s="361"/>
      <c r="DG352" s="361"/>
      <c r="DH352" s="378"/>
    </row>
    <row r="353" spans="1:112" ht="13">
      <c r="A353" s="294"/>
      <c r="B353" s="294"/>
      <c r="F353" s="302"/>
      <c r="I353" s="553"/>
      <c r="P353" s="295"/>
      <c r="W353" s="295"/>
      <c r="AD353" s="295"/>
      <c r="AK353" s="295"/>
      <c r="BY353" s="618"/>
      <c r="BZ353" s="553"/>
      <c r="CF353" s="294"/>
      <c r="CG353" s="294"/>
      <c r="CR353" s="666">
        <v>73</v>
      </c>
      <c r="CS353" s="359"/>
      <c r="CT353" s="361"/>
      <c r="CU353" s="361"/>
      <c r="CV353" s="361"/>
      <c r="CW353" s="361"/>
      <c r="CX353" s="361"/>
      <c r="CY353" s="361"/>
      <c r="CZ353" s="361"/>
      <c r="DA353" s="361"/>
      <c r="DB353" s="361"/>
      <c r="DC353" s="361"/>
      <c r="DD353" s="361"/>
      <c r="DE353" s="361"/>
      <c r="DF353" s="361"/>
      <c r="DG353" s="361"/>
      <c r="DH353" s="378"/>
    </row>
    <row r="354" spans="1:112" ht="13">
      <c r="A354" s="294"/>
      <c r="B354" s="294"/>
      <c r="F354" s="302"/>
      <c r="I354" s="553"/>
      <c r="P354" s="295"/>
      <c r="W354" s="295"/>
      <c r="AD354" s="295"/>
      <c r="AK354" s="295"/>
      <c r="BY354" s="618"/>
      <c r="BZ354" s="553"/>
      <c r="CF354" s="294"/>
      <c r="CG354" s="294"/>
      <c r="CR354" s="666">
        <v>74</v>
      </c>
      <c r="CS354" s="359"/>
      <c r="CT354" s="361"/>
      <c r="CU354" s="361"/>
      <c r="CV354" s="361"/>
      <c r="CW354" s="365"/>
      <c r="CX354" s="365"/>
      <c r="CY354" s="365"/>
      <c r="CZ354" s="365"/>
      <c r="DA354" s="365"/>
      <c r="DB354" s="365"/>
      <c r="DC354" s="365"/>
      <c r="DD354" s="365"/>
      <c r="DE354" s="365"/>
      <c r="DF354" s="365"/>
      <c r="DG354" s="365"/>
      <c r="DH354" s="379"/>
    </row>
    <row r="355" spans="1:112" ht="13">
      <c r="A355" s="294"/>
      <c r="B355" s="294"/>
      <c r="F355" s="302"/>
      <c r="I355" s="553"/>
      <c r="P355" s="295"/>
      <c r="W355" s="295"/>
      <c r="AD355" s="295"/>
      <c r="AK355" s="295"/>
      <c r="BY355" s="618"/>
      <c r="BZ355" s="553"/>
      <c r="CF355" s="294"/>
      <c r="CG355" s="294"/>
      <c r="CR355" s="666">
        <v>75</v>
      </c>
      <c r="CS355" s="359"/>
      <c r="CT355" s="361"/>
      <c r="CU355" s="361"/>
      <c r="CV355" s="361"/>
      <c r="CW355" s="361"/>
      <c r="CX355" s="361"/>
      <c r="CY355" s="361"/>
      <c r="CZ355" s="361"/>
      <c r="DA355" s="361"/>
      <c r="DB355" s="361"/>
      <c r="DC355" s="361"/>
      <c r="DD355" s="361"/>
      <c r="DE355" s="361"/>
      <c r="DF355" s="361"/>
      <c r="DG355" s="361"/>
      <c r="DH355" s="378"/>
    </row>
    <row r="356" spans="1:112" ht="13">
      <c r="A356" s="294"/>
      <c r="B356" s="294"/>
      <c r="F356" s="302"/>
      <c r="I356" s="553"/>
      <c r="P356" s="295"/>
      <c r="W356" s="295"/>
      <c r="AD356" s="295"/>
      <c r="AK356" s="295"/>
      <c r="BY356" s="618"/>
      <c r="BZ356" s="553"/>
      <c r="CF356" s="294"/>
      <c r="CG356" s="294"/>
      <c r="CR356" s="666">
        <v>76</v>
      </c>
      <c r="CS356" s="359"/>
      <c r="CT356" s="361"/>
      <c r="CU356" s="361"/>
      <c r="CV356" s="361"/>
      <c r="CW356" s="361"/>
      <c r="CX356" s="361"/>
      <c r="CY356" s="361"/>
      <c r="CZ356" s="361"/>
      <c r="DA356" s="361"/>
      <c r="DB356" s="361"/>
      <c r="DC356" s="361"/>
      <c r="DD356" s="361"/>
      <c r="DE356" s="361"/>
      <c r="DF356" s="361"/>
      <c r="DG356" s="361"/>
      <c r="DH356" s="378"/>
    </row>
    <row r="357" spans="1:112" ht="13">
      <c r="A357" s="294"/>
      <c r="B357" s="294"/>
      <c r="F357" s="302"/>
      <c r="I357" s="553"/>
      <c r="P357" s="295"/>
      <c r="W357" s="295"/>
      <c r="AD357" s="295"/>
      <c r="AK357" s="295"/>
      <c r="BY357" s="618"/>
      <c r="BZ357" s="553"/>
      <c r="CF357" s="294"/>
      <c r="CG357" s="294"/>
      <c r="CR357" s="666">
        <v>77</v>
      </c>
      <c r="CS357" s="359"/>
      <c r="CT357" s="361"/>
      <c r="CU357" s="361"/>
      <c r="CV357" s="361"/>
      <c r="CW357" s="361"/>
      <c r="CX357" s="361"/>
      <c r="CY357" s="361"/>
      <c r="CZ357" s="361"/>
      <c r="DA357" s="361"/>
      <c r="DB357" s="361"/>
      <c r="DC357" s="361"/>
      <c r="DD357" s="361"/>
      <c r="DE357" s="361"/>
      <c r="DF357" s="361"/>
      <c r="DG357" s="361"/>
      <c r="DH357" s="378"/>
    </row>
    <row r="358" spans="1:112" ht="13">
      <c r="A358" s="294"/>
      <c r="B358" s="294"/>
      <c r="F358" s="302"/>
      <c r="I358" s="553"/>
      <c r="P358" s="295"/>
      <c r="W358" s="295"/>
      <c r="AD358" s="295"/>
      <c r="AK358" s="295"/>
      <c r="BY358" s="618"/>
      <c r="BZ358" s="553"/>
      <c r="CF358" s="294"/>
      <c r="CG358" s="294"/>
      <c r="CR358" s="666">
        <v>78</v>
      </c>
      <c r="CS358" s="359"/>
      <c r="CT358" s="361"/>
      <c r="CU358" s="361"/>
      <c r="CV358" s="361"/>
      <c r="CW358" s="361"/>
      <c r="CX358" s="361"/>
      <c r="CY358" s="361"/>
      <c r="CZ358" s="361"/>
      <c r="DA358" s="361"/>
      <c r="DB358" s="361"/>
      <c r="DC358" s="361"/>
      <c r="DD358" s="361"/>
      <c r="DE358" s="361"/>
      <c r="DF358" s="361"/>
      <c r="DG358" s="361"/>
      <c r="DH358" s="378"/>
    </row>
    <row r="359" spans="1:112" ht="13">
      <c r="A359" s="294"/>
      <c r="B359" s="294"/>
      <c r="F359" s="302"/>
      <c r="I359" s="553"/>
      <c r="P359" s="295"/>
      <c r="W359" s="295"/>
      <c r="AD359" s="295"/>
      <c r="AK359" s="295"/>
      <c r="BY359" s="618"/>
      <c r="BZ359" s="553"/>
      <c r="CF359" s="294"/>
      <c r="CG359" s="294"/>
      <c r="CR359" s="666">
        <v>79</v>
      </c>
      <c r="CS359" s="359"/>
      <c r="CT359" s="361"/>
      <c r="CU359" s="361"/>
      <c r="CV359" s="365"/>
      <c r="CW359" s="365"/>
      <c r="CX359" s="365"/>
      <c r="CY359" s="365"/>
      <c r="CZ359" s="365"/>
      <c r="DA359" s="365"/>
      <c r="DB359" s="365"/>
      <c r="DC359" s="365"/>
      <c r="DD359" s="365"/>
      <c r="DE359" s="365"/>
      <c r="DF359" s="365"/>
      <c r="DG359" s="365"/>
      <c r="DH359" s="379"/>
    </row>
    <row r="360" spans="1:112" ht="13">
      <c r="A360" s="294"/>
      <c r="B360" s="294"/>
      <c r="F360" s="302"/>
      <c r="I360" s="553"/>
      <c r="P360" s="295"/>
      <c r="W360" s="295"/>
      <c r="AD360" s="295"/>
      <c r="AK360" s="295"/>
      <c r="BY360" s="618"/>
      <c r="BZ360" s="553"/>
      <c r="CF360" s="294"/>
      <c r="CG360" s="294"/>
      <c r="CR360" s="666">
        <v>80</v>
      </c>
      <c r="CS360" s="359"/>
      <c r="CT360" s="361"/>
      <c r="CU360" s="361"/>
      <c r="CV360" s="361"/>
      <c r="CW360" s="361"/>
      <c r="CX360" s="361"/>
      <c r="CY360" s="361"/>
      <c r="CZ360" s="361"/>
      <c r="DA360" s="361"/>
      <c r="DB360" s="361"/>
      <c r="DC360" s="361"/>
      <c r="DD360" s="361"/>
      <c r="DE360" s="361"/>
      <c r="DF360" s="361"/>
      <c r="DG360" s="361"/>
      <c r="DH360" s="378"/>
    </row>
    <row r="361" spans="1:112" ht="13">
      <c r="A361" s="294"/>
      <c r="B361" s="294"/>
      <c r="F361" s="302"/>
      <c r="I361" s="553"/>
      <c r="P361" s="295"/>
      <c r="W361" s="295"/>
      <c r="AD361" s="295"/>
      <c r="AK361" s="295"/>
      <c r="BY361" s="618"/>
      <c r="BZ361" s="553"/>
      <c r="CF361" s="294"/>
      <c r="CG361" s="294"/>
      <c r="CR361" s="666">
        <v>81</v>
      </c>
      <c r="CS361" s="359"/>
      <c r="CT361" s="361"/>
      <c r="CU361" s="361"/>
      <c r="CV361" s="361"/>
      <c r="CW361" s="361"/>
      <c r="CX361" s="361"/>
      <c r="CY361" s="361"/>
      <c r="CZ361" s="361"/>
      <c r="DA361" s="361"/>
      <c r="DB361" s="361"/>
      <c r="DC361" s="361"/>
      <c r="DD361" s="361"/>
      <c r="DE361" s="361"/>
      <c r="DF361" s="361"/>
      <c r="DG361" s="361"/>
      <c r="DH361" s="378"/>
    </row>
    <row r="362" spans="1:112" ht="13">
      <c r="A362" s="294"/>
      <c r="B362" s="294"/>
      <c r="F362" s="302"/>
      <c r="I362" s="553"/>
      <c r="P362" s="295"/>
      <c r="W362" s="295"/>
      <c r="AD362" s="295"/>
      <c r="AK362" s="295"/>
      <c r="BY362" s="618"/>
      <c r="BZ362" s="553"/>
      <c r="CF362" s="294"/>
      <c r="CG362" s="294"/>
      <c r="CR362" s="666">
        <v>82</v>
      </c>
      <c r="CS362" s="359"/>
      <c r="CT362" s="361"/>
      <c r="CU362" s="361"/>
      <c r="CV362" s="365"/>
      <c r="CW362" s="365"/>
      <c r="CX362" s="365"/>
      <c r="CY362" s="365"/>
      <c r="CZ362" s="365"/>
      <c r="DA362" s="365"/>
      <c r="DB362" s="365"/>
      <c r="DC362" s="365"/>
      <c r="DD362" s="365"/>
      <c r="DE362" s="365"/>
      <c r="DF362" s="365"/>
      <c r="DG362" s="365"/>
      <c r="DH362" s="379"/>
    </row>
    <row r="363" spans="1:112" ht="13">
      <c r="A363" s="294"/>
      <c r="B363" s="294"/>
      <c r="F363" s="302"/>
      <c r="I363" s="553"/>
      <c r="P363" s="295"/>
      <c r="W363" s="295"/>
      <c r="AD363" s="295"/>
      <c r="AK363" s="295"/>
      <c r="BY363" s="618"/>
      <c r="BZ363" s="553"/>
      <c r="CF363" s="294"/>
      <c r="CG363" s="294"/>
      <c r="CR363" s="666">
        <v>83</v>
      </c>
      <c r="CS363" s="359"/>
      <c r="CT363" s="361"/>
      <c r="CU363" s="361"/>
      <c r="CV363" s="361"/>
      <c r="CW363" s="361"/>
      <c r="CX363" s="361"/>
      <c r="CY363" s="361"/>
      <c r="CZ363" s="361"/>
      <c r="DA363" s="361"/>
      <c r="DB363" s="361"/>
      <c r="DC363" s="361"/>
      <c r="DD363" s="361"/>
      <c r="DE363" s="361"/>
      <c r="DF363" s="361"/>
      <c r="DG363" s="361"/>
      <c r="DH363" s="378"/>
    </row>
    <row r="364" spans="1:112" ht="13">
      <c r="A364" s="294"/>
      <c r="B364" s="294"/>
      <c r="F364" s="302"/>
      <c r="I364" s="553"/>
      <c r="P364" s="295"/>
      <c r="W364" s="295"/>
      <c r="AD364" s="295"/>
      <c r="AK364" s="295"/>
      <c r="BY364" s="618"/>
      <c r="BZ364" s="553"/>
      <c r="CF364" s="294"/>
      <c r="CG364" s="294"/>
      <c r="CR364" s="666">
        <v>84</v>
      </c>
      <c r="CS364" s="359"/>
      <c r="CT364" s="361"/>
      <c r="CU364" s="361"/>
      <c r="CV364" s="361"/>
      <c r="CW364" s="365"/>
      <c r="CX364" s="365"/>
      <c r="CY364" s="365"/>
      <c r="CZ364" s="365"/>
      <c r="DA364" s="365"/>
      <c r="DB364" s="365"/>
      <c r="DC364" s="365"/>
      <c r="DD364" s="365"/>
      <c r="DE364" s="365"/>
      <c r="DF364" s="365"/>
      <c r="DG364" s="365"/>
      <c r="DH364" s="379"/>
    </row>
    <row r="365" spans="1:112" ht="13">
      <c r="A365" s="294"/>
      <c r="B365" s="294"/>
      <c r="F365" s="302"/>
      <c r="I365" s="553"/>
      <c r="P365" s="295"/>
      <c r="W365" s="295"/>
      <c r="AD365" s="295"/>
      <c r="AK365" s="295"/>
      <c r="BY365" s="618"/>
      <c r="BZ365" s="553"/>
      <c r="CF365" s="294"/>
      <c r="CG365" s="294"/>
      <c r="CR365" s="666">
        <v>85</v>
      </c>
      <c r="CS365" s="359"/>
      <c r="CT365" s="361"/>
      <c r="CU365" s="361"/>
      <c r="CV365" s="365"/>
      <c r="CW365" s="365"/>
      <c r="CX365" s="365"/>
      <c r="CY365" s="365"/>
      <c r="CZ365" s="365"/>
      <c r="DA365" s="365"/>
      <c r="DB365" s="365"/>
      <c r="DC365" s="365"/>
      <c r="DD365" s="365"/>
      <c r="DE365" s="365"/>
      <c r="DF365" s="365"/>
      <c r="DG365" s="365"/>
      <c r="DH365" s="379"/>
    </row>
    <row r="366" spans="1:112" ht="13">
      <c r="A366" s="294"/>
      <c r="B366" s="294"/>
      <c r="F366" s="302"/>
      <c r="I366" s="553"/>
      <c r="P366" s="295"/>
      <c r="W366" s="295"/>
      <c r="AD366" s="295"/>
      <c r="AK366" s="295"/>
      <c r="BY366" s="618"/>
      <c r="BZ366" s="553"/>
      <c r="CF366" s="294"/>
      <c r="CG366" s="294"/>
      <c r="CR366" s="666">
        <v>86</v>
      </c>
      <c r="CS366" s="359"/>
      <c r="CT366" s="361"/>
      <c r="CU366" s="361"/>
      <c r="CV366" s="365"/>
      <c r="CW366" s="365"/>
      <c r="CX366" s="365"/>
      <c r="CY366" s="365"/>
      <c r="CZ366" s="365"/>
      <c r="DA366" s="365"/>
      <c r="DB366" s="365"/>
      <c r="DC366" s="365"/>
      <c r="DD366" s="365"/>
      <c r="DE366" s="365"/>
      <c r="DF366" s="365"/>
      <c r="DG366" s="365"/>
      <c r="DH366" s="379"/>
    </row>
    <row r="367" spans="1:112" ht="13">
      <c r="A367" s="294"/>
      <c r="B367" s="294"/>
      <c r="F367" s="302"/>
      <c r="I367" s="553"/>
      <c r="P367" s="295"/>
      <c r="W367" s="295"/>
      <c r="AD367" s="295"/>
      <c r="AK367" s="295"/>
      <c r="BY367" s="618"/>
      <c r="BZ367" s="553"/>
      <c r="CF367" s="294"/>
      <c r="CG367" s="294"/>
      <c r="CR367" s="666">
        <v>87</v>
      </c>
      <c r="CS367" s="359"/>
      <c r="CT367" s="361"/>
      <c r="CU367" s="361"/>
      <c r="CV367" s="365"/>
      <c r="CW367" s="365"/>
      <c r="CX367" s="365"/>
      <c r="CY367" s="365"/>
      <c r="CZ367" s="365"/>
      <c r="DA367" s="365"/>
      <c r="DB367" s="365"/>
      <c r="DC367" s="365"/>
      <c r="DD367" s="365"/>
      <c r="DE367" s="365"/>
      <c r="DF367" s="365"/>
      <c r="DG367" s="365"/>
      <c r="DH367" s="379"/>
    </row>
    <row r="368" spans="1:112" ht="13">
      <c r="A368" s="294"/>
      <c r="B368" s="294"/>
      <c r="F368" s="302"/>
      <c r="I368" s="553"/>
      <c r="P368" s="295"/>
      <c r="W368" s="295"/>
      <c r="AD368" s="295"/>
      <c r="AK368" s="295"/>
      <c r="BY368" s="618"/>
      <c r="BZ368" s="553"/>
      <c r="CF368" s="294"/>
      <c r="CG368" s="294"/>
      <c r="CR368" s="666">
        <v>88</v>
      </c>
      <c r="CS368" s="359"/>
      <c r="CT368" s="361"/>
      <c r="CU368" s="365"/>
      <c r="CV368" s="361"/>
      <c r="CW368" s="361"/>
      <c r="CX368" s="361"/>
      <c r="CY368" s="361"/>
      <c r="CZ368" s="361"/>
      <c r="DA368" s="361"/>
      <c r="DB368" s="361"/>
      <c r="DC368" s="361"/>
      <c r="DD368" s="361"/>
      <c r="DE368" s="361"/>
      <c r="DF368" s="361"/>
      <c r="DG368" s="361"/>
      <c r="DH368" s="378"/>
    </row>
    <row r="369" spans="1:112" ht="13">
      <c r="A369" s="294"/>
      <c r="B369" s="294"/>
      <c r="F369" s="302"/>
      <c r="I369" s="553"/>
      <c r="P369" s="295"/>
      <c r="W369" s="295"/>
      <c r="AD369" s="295"/>
      <c r="AK369" s="295"/>
      <c r="BY369" s="618"/>
      <c r="BZ369" s="553"/>
      <c r="CF369" s="294"/>
      <c r="CG369" s="294"/>
      <c r="CR369" s="666">
        <v>89</v>
      </c>
      <c r="DH369" s="380"/>
    </row>
    <row r="370" spans="1:112" ht="13">
      <c r="A370" s="294"/>
      <c r="B370" s="294"/>
      <c r="F370" s="302"/>
      <c r="I370" s="553"/>
      <c r="P370" s="295"/>
      <c r="W370" s="295"/>
      <c r="AD370" s="295"/>
      <c r="AK370" s="295"/>
      <c r="BY370" s="618"/>
      <c r="BZ370" s="553"/>
      <c r="CF370" s="294"/>
      <c r="CG370" s="294"/>
      <c r="CR370" s="666">
        <v>90</v>
      </c>
      <c r="DH370" s="380"/>
    </row>
    <row r="371" spans="1:112" ht="13">
      <c r="A371" s="294"/>
      <c r="B371" s="294"/>
      <c r="F371" s="302"/>
      <c r="I371" s="553"/>
      <c r="P371" s="295"/>
      <c r="W371" s="295"/>
      <c r="AD371" s="295"/>
      <c r="AK371" s="295"/>
      <c r="BY371" s="618"/>
      <c r="BZ371" s="553"/>
      <c r="CF371" s="294"/>
      <c r="CG371" s="294"/>
      <c r="CR371" s="666">
        <v>91</v>
      </c>
      <c r="DH371" s="380"/>
    </row>
    <row r="372" spans="1:112" ht="13">
      <c r="A372" s="294"/>
      <c r="B372" s="294"/>
      <c r="F372" s="302"/>
      <c r="I372" s="553"/>
      <c r="P372" s="295"/>
      <c r="W372" s="295"/>
      <c r="AD372" s="295"/>
      <c r="AK372" s="295"/>
      <c r="BY372" s="618"/>
      <c r="BZ372" s="553"/>
      <c r="CF372" s="294"/>
      <c r="CG372" s="294"/>
      <c r="CR372" s="666">
        <v>92</v>
      </c>
      <c r="DH372" s="380"/>
    </row>
    <row r="373" spans="1:112" ht="13">
      <c r="A373" s="294"/>
      <c r="B373" s="294"/>
      <c r="F373" s="302"/>
      <c r="I373" s="553"/>
      <c r="P373" s="295"/>
      <c r="W373" s="295"/>
      <c r="AD373" s="295"/>
      <c r="AK373" s="295"/>
      <c r="BY373" s="618"/>
      <c r="BZ373" s="553"/>
      <c r="CF373" s="294"/>
      <c r="CG373" s="294"/>
      <c r="CR373" s="666">
        <v>93</v>
      </c>
      <c r="DH373" s="380"/>
    </row>
    <row r="374" spans="1:112" ht="13">
      <c r="A374" s="294"/>
      <c r="B374" s="294"/>
      <c r="F374" s="302"/>
      <c r="I374" s="553"/>
      <c r="P374" s="295"/>
      <c r="W374" s="295"/>
      <c r="AD374" s="295"/>
      <c r="AK374" s="295"/>
      <c r="BY374" s="618"/>
      <c r="BZ374" s="553"/>
      <c r="CF374" s="294"/>
      <c r="CG374" s="294"/>
      <c r="CR374" s="666">
        <v>94</v>
      </c>
      <c r="DH374" s="380"/>
    </row>
    <row r="375" spans="1:112" ht="13">
      <c r="A375" s="294"/>
      <c r="B375" s="294"/>
      <c r="F375" s="302"/>
      <c r="I375" s="553"/>
      <c r="P375" s="295"/>
      <c r="W375" s="295"/>
      <c r="AD375" s="295"/>
      <c r="AK375" s="295"/>
      <c r="BY375" s="618"/>
      <c r="BZ375" s="553"/>
      <c r="CF375" s="294"/>
      <c r="CG375" s="294"/>
      <c r="CR375" s="666">
        <v>95</v>
      </c>
      <c r="DH375" s="380"/>
    </row>
    <row r="376" spans="1:112" ht="13">
      <c r="A376" s="294"/>
      <c r="B376" s="294"/>
      <c r="F376" s="302"/>
      <c r="I376" s="553"/>
      <c r="P376" s="295"/>
      <c r="W376" s="295"/>
      <c r="AD376" s="295"/>
      <c r="AK376" s="295"/>
      <c r="BY376" s="618"/>
      <c r="BZ376" s="553"/>
      <c r="CF376" s="294"/>
      <c r="CG376" s="294"/>
      <c r="CR376" s="666">
        <v>96</v>
      </c>
      <c r="DH376" s="380"/>
    </row>
    <row r="377" spans="1:112" ht="13">
      <c r="A377" s="294"/>
      <c r="B377" s="294"/>
      <c r="F377" s="302"/>
      <c r="I377" s="553"/>
      <c r="P377" s="295"/>
      <c r="W377" s="295"/>
      <c r="AD377" s="295"/>
      <c r="AK377" s="295"/>
      <c r="BY377" s="618"/>
      <c r="BZ377" s="553"/>
      <c r="CF377" s="294"/>
      <c r="CG377" s="294"/>
      <c r="CR377" s="666">
        <v>97</v>
      </c>
      <c r="DH377" s="380"/>
    </row>
    <row r="378" spans="1:112" ht="13">
      <c r="A378" s="294"/>
      <c r="B378" s="294"/>
      <c r="F378" s="302"/>
      <c r="I378" s="553"/>
      <c r="P378" s="295"/>
      <c r="W378" s="295"/>
      <c r="AD378" s="295"/>
      <c r="AK378" s="295"/>
      <c r="BY378" s="618"/>
      <c r="BZ378" s="553"/>
      <c r="CF378" s="294"/>
      <c r="CG378" s="294"/>
      <c r="CR378" s="666">
        <v>98</v>
      </c>
      <c r="DH378" s="380"/>
    </row>
    <row r="379" spans="1:112" ht="13">
      <c r="A379" s="294"/>
      <c r="B379" s="294"/>
      <c r="F379" s="302"/>
      <c r="I379" s="553"/>
      <c r="P379" s="295"/>
      <c r="W379" s="295"/>
      <c r="AD379" s="295"/>
      <c r="AK379" s="295"/>
      <c r="BY379" s="618"/>
      <c r="BZ379" s="553"/>
      <c r="CF379" s="294"/>
      <c r="CG379" s="294"/>
      <c r="CR379" s="666">
        <v>99</v>
      </c>
      <c r="DH379" s="380"/>
    </row>
    <row r="380" spans="1:112" ht="13">
      <c r="A380" s="294"/>
      <c r="B380" s="294"/>
      <c r="F380" s="302"/>
      <c r="I380" s="553"/>
      <c r="P380" s="295"/>
      <c r="W380" s="295"/>
      <c r="AD380" s="295"/>
      <c r="AK380" s="295"/>
      <c r="BY380" s="618"/>
      <c r="BZ380" s="553"/>
      <c r="CF380" s="294"/>
      <c r="CG380" s="294"/>
      <c r="CR380" s="666">
        <v>100</v>
      </c>
      <c r="DH380" s="380"/>
    </row>
    <row r="381" spans="1:112" ht="13">
      <c r="A381" s="294"/>
      <c r="B381" s="294"/>
      <c r="F381" s="302"/>
      <c r="I381" s="553"/>
      <c r="P381" s="295"/>
      <c r="W381" s="295"/>
      <c r="AD381" s="295"/>
      <c r="AK381" s="295"/>
      <c r="BY381" s="618"/>
      <c r="BZ381" s="553"/>
      <c r="CF381" s="294"/>
      <c r="CG381" s="294"/>
      <c r="CR381" s="666">
        <v>101</v>
      </c>
      <c r="DH381" s="380"/>
    </row>
    <row r="382" spans="1:112" ht="13">
      <c r="A382" s="294"/>
      <c r="B382" s="294"/>
      <c r="F382" s="302"/>
      <c r="I382" s="553"/>
      <c r="P382" s="295"/>
      <c r="W382" s="295"/>
      <c r="AD382" s="295"/>
      <c r="AK382" s="295"/>
      <c r="BY382" s="618"/>
      <c r="BZ382" s="553"/>
      <c r="CF382" s="294"/>
      <c r="CG382" s="294"/>
      <c r="CR382" s="666">
        <v>102</v>
      </c>
      <c r="DH382" s="380"/>
    </row>
    <row r="383" spans="1:112" ht="13">
      <c r="A383" s="294"/>
      <c r="B383" s="294"/>
      <c r="F383" s="302"/>
      <c r="I383" s="553"/>
      <c r="P383" s="295"/>
      <c r="W383" s="295"/>
      <c r="AD383" s="295"/>
      <c r="AK383" s="295"/>
      <c r="BY383" s="618"/>
      <c r="BZ383" s="553"/>
      <c r="CF383" s="294"/>
      <c r="CG383" s="294"/>
      <c r="CR383" s="666">
        <v>103</v>
      </c>
      <c r="DH383" s="380"/>
    </row>
    <row r="384" spans="1:112" ht="13">
      <c r="A384" s="294"/>
      <c r="B384" s="294"/>
      <c r="F384" s="302"/>
      <c r="I384" s="553"/>
      <c r="P384" s="295"/>
      <c r="W384" s="295"/>
      <c r="AD384" s="295"/>
      <c r="AK384" s="295"/>
      <c r="BY384" s="618"/>
      <c r="BZ384" s="553"/>
      <c r="CF384" s="294"/>
      <c r="CG384" s="294"/>
      <c r="CR384" s="666">
        <v>104</v>
      </c>
      <c r="DH384" s="380"/>
    </row>
    <row r="385" spans="1:112" ht="13">
      <c r="A385" s="294"/>
      <c r="B385" s="294"/>
      <c r="F385" s="302"/>
      <c r="I385" s="553"/>
      <c r="P385" s="295"/>
      <c r="W385" s="295"/>
      <c r="AD385" s="295"/>
      <c r="AK385" s="295"/>
      <c r="BY385" s="618"/>
      <c r="BZ385" s="553"/>
      <c r="CF385" s="294"/>
      <c r="CG385" s="294"/>
      <c r="CR385" s="666">
        <v>105</v>
      </c>
      <c r="DH385" s="380"/>
    </row>
    <row r="386" spans="1:112" ht="13">
      <c r="A386" s="294"/>
      <c r="B386" s="294"/>
      <c r="F386" s="302"/>
      <c r="I386" s="553"/>
      <c r="P386" s="295"/>
      <c r="W386" s="295"/>
      <c r="AD386" s="295"/>
      <c r="AK386" s="295"/>
      <c r="BY386" s="618"/>
      <c r="BZ386" s="553"/>
      <c r="CF386" s="294"/>
      <c r="CG386" s="294"/>
      <c r="CR386" s="666">
        <v>106</v>
      </c>
      <c r="DH386" s="380"/>
    </row>
    <row r="387" spans="1:112" ht="13">
      <c r="A387" s="294"/>
      <c r="B387" s="294"/>
      <c r="F387" s="302"/>
      <c r="I387" s="553"/>
      <c r="P387" s="295"/>
      <c r="W387" s="295"/>
      <c r="AD387" s="295"/>
      <c r="AK387" s="295"/>
      <c r="BY387" s="618"/>
      <c r="BZ387" s="553"/>
      <c r="CF387" s="294"/>
      <c r="CG387" s="294"/>
      <c r="CR387" s="666">
        <v>107</v>
      </c>
      <c r="DH387" s="380"/>
    </row>
    <row r="388" spans="1:112" ht="13">
      <c r="A388" s="294"/>
      <c r="B388" s="294"/>
      <c r="F388" s="302"/>
      <c r="I388" s="553"/>
      <c r="P388" s="295"/>
      <c r="W388" s="295"/>
      <c r="AD388" s="295"/>
      <c r="AK388" s="295"/>
      <c r="BY388" s="618"/>
      <c r="BZ388" s="553"/>
      <c r="CF388" s="294"/>
      <c r="CG388" s="294"/>
      <c r="CR388" s="666">
        <v>108</v>
      </c>
      <c r="DH388" s="380"/>
    </row>
    <row r="389" spans="1:112" ht="13">
      <c r="A389" s="294"/>
      <c r="B389" s="294"/>
      <c r="F389" s="302"/>
      <c r="I389" s="553"/>
      <c r="P389" s="295"/>
      <c r="W389" s="295"/>
      <c r="AD389" s="295"/>
      <c r="AK389" s="295"/>
      <c r="BY389" s="618"/>
      <c r="BZ389" s="553"/>
      <c r="CF389" s="294"/>
      <c r="CG389" s="294"/>
      <c r="CR389" s="666">
        <v>109</v>
      </c>
      <c r="DH389" s="380"/>
    </row>
    <row r="390" spans="1:112" ht="13">
      <c r="A390" s="294"/>
      <c r="B390" s="294"/>
      <c r="F390" s="302"/>
      <c r="I390" s="553"/>
      <c r="P390" s="295"/>
      <c r="W390" s="295"/>
      <c r="AD390" s="295"/>
      <c r="AK390" s="295"/>
      <c r="BY390" s="618"/>
      <c r="BZ390" s="553"/>
      <c r="CF390" s="294"/>
      <c r="CG390" s="294"/>
      <c r="CR390" s="666">
        <v>110</v>
      </c>
      <c r="DH390" s="380"/>
    </row>
    <row r="391" spans="1:112" ht="13">
      <c r="A391" s="294"/>
      <c r="B391" s="294"/>
      <c r="F391" s="302"/>
      <c r="I391" s="553"/>
      <c r="P391" s="295"/>
      <c r="W391" s="295"/>
      <c r="AD391" s="295"/>
      <c r="AK391" s="295"/>
      <c r="BY391" s="618"/>
      <c r="BZ391" s="553"/>
      <c r="CF391" s="294"/>
      <c r="CG391" s="294"/>
      <c r="CR391" s="666">
        <v>111</v>
      </c>
      <c r="DH391" s="380"/>
    </row>
    <row r="392" spans="1:112" ht="13">
      <c r="A392" s="294"/>
      <c r="B392" s="294"/>
      <c r="F392" s="302"/>
      <c r="I392" s="553"/>
      <c r="P392" s="295"/>
      <c r="W392" s="295"/>
      <c r="AD392" s="295"/>
      <c r="AK392" s="295"/>
      <c r="BY392" s="618"/>
      <c r="BZ392" s="553"/>
      <c r="CF392" s="294"/>
      <c r="CG392" s="294"/>
      <c r="CR392" s="666">
        <v>112</v>
      </c>
      <c r="DH392" s="380"/>
    </row>
    <row r="393" spans="1:112" ht="13">
      <c r="A393" s="294"/>
      <c r="B393" s="294"/>
      <c r="F393" s="302"/>
      <c r="I393" s="553"/>
      <c r="P393" s="295"/>
      <c r="W393" s="295"/>
      <c r="AD393" s="295"/>
      <c r="AK393" s="295"/>
      <c r="BY393" s="618"/>
      <c r="BZ393" s="553"/>
      <c r="CF393" s="294"/>
      <c r="CG393" s="294"/>
      <c r="CR393" s="666">
        <v>113</v>
      </c>
      <c r="DH393" s="380"/>
    </row>
    <row r="394" spans="1:112" ht="13">
      <c r="A394" s="294"/>
      <c r="B394" s="294"/>
      <c r="F394" s="302"/>
      <c r="I394" s="553"/>
      <c r="P394" s="295"/>
      <c r="W394" s="295"/>
      <c r="AD394" s="295"/>
      <c r="AK394" s="295"/>
      <c r="BY394" s="618"/>
      <c r="BZ394" s="553"/>
      <c r="CF394" s="294"/>
      <c r="CG394" s="294"/>
      <c r="CR394" s="666">
        <v>114</v>
      </c>
      <c r="DH394" s="380"/>
    </row>
    <row r="395" spans="1:112" ht="13">
      <c r="A395" s="294"/>
      <c r="B395" s="294"/>
      <c r="F395" s="302"/>
      <c r="I395" s="553"/>
      <c r="P395" s="295"/>
      <c r="W395" s="295"/>
      <c r="AD395" s="295"/>
      <c r="AK395" s="295"/>
      <c r="BY395" s="618"/>
      <c r="BZ395" s="553"/>
      <c r="CF395" s="294"/>
      <c r="CG395" s="294"/>
      <c r="CR395" s="666">
        <v>115</v>
      </c>
      <c r="DH395" s="380"/>
    </row>
    <row r="396" spans="1:112" ht="13">
      <c r="A396" s="294"/>
      <c r="B396" s="294"/>
      <c r="F396" s="302"/>
      <c r="I396" s="553"/>
      <c r="P396" s="295"/>
      <c r="W396" s="295"/>
      <c r="AD396" s="295"/>
      <c r="AK396" s="295"/>
      <c r="BY396" s="618"/>
      <c r="BZ396" s="553"/>
      <c r="CF396" s="294"/>
      <c r="CG396" s="294"/>
      <c r="CR396" s="666">
        <v>116</v>
      </c>
      <c r="DH396" s="380"/>
    </row>
    <row r="397" spans="1:112" ht="13">
      <c r="A397" s="294"/>
      <c r="B397" s="294"/>
      <c r="F397" s="302"/>
      <c r="I397" s="553"/>
      <c r="P397" s="295"/>
      <c r="W397" s="295"/>
      <c r="AD397" s="295"/>
      <c r="AK397" s="295"/>
      <c r="BY397" s="618"/>
      <c r="BZ397" s="553"/>
      <c r="CF397" s="294"/>
      <c r="CG397" s="294"/>
      <c r="CR397" s="666">
        <v>117</v>
      </c>
      <c r="DH397" s="380"/>
    </row>
    <row r="398" spans="1:112" ht="13">
      <c r="A398" s="294"/>
      <c r="B398" s="294"/>
      <c r="F398" s="302"/>
      <c r="I398" s="553"/>
      <c r="P398" s="295"/>
      <c r="W398" s="295"/>
      <c r="AD398" s="295"/>
      <c r="AK398" s="295"/>
      <c r="BY398" s="618"/>
      <c r="BZ398" s="553"/>
      <c r="CF398" s="294"/>
      <c r="CG398" s="294"/>
      <c r="CR398" s="666">
        <v>118</v>
      </c>
      <c r="DH398" s="380"/>
    </row>
    <row r="399" spans="1:112" ht="13">
      <c r="A399" s="294"/>
      <c r="B399" s="294"/>
      <c r="F399" s="302"/>
      <c r="I399" s="553"/>
      <c r="P399" s="295"/>
      <c r="W399" s="295"/>
      <c r="AD399" s="295"/>
      <c r="AK399" s="295"/>
      <c r="BY399" s="618"/>
      <c r="BZ399" s="553"/>
      <c r="CF399" s="294"/>
      <c r="CG399" s="294"/>
      <c r="CR399" s="666">
        <v>119</v>
      </c>
      <c r="DH399" s="380"/>
    </row>
    <row r="400" spans="1:112" ht="13">
      <c r="A400" s="294"/>
      <c r="B400" s="294"/>
      <c r="F400" s="302"/>
      <c r="I400" s="553"/>
      <c r="P400" s="295"/>
      <c r="W400" s="295"/>
      <c r="AD400" s="295"/>
      <c r="AK400" s="295"/>
      <c r="BY400" s="618"/>
      <c r="BZ400" s="553"/>
      <c r="CF400" s="294"/>
      <c r="CG400" s="294"/>
      <c r="CR400" s="666">
        <v>120</v>
      </c>
      <c r="DH400" s="380"/>
    </row>
    <row r="401" spans="1:112" ht="13">
      <c r="A401" s="294"/>
      <c r="B401" s="294"/>
      <c r="F401" s="302"/>
      <c r="I401" s="553"/>
      <c r="P401" s="295"/>
      <c r="W401" s="295"/>
      <c r="AD401" s="295"/>
      <c r="AK401" s="295"/>
      <c r="BY401" s="618"/>
      <c r="BZ401" s="553"/>
      <c r="CF401" s="294"/>
      <c r="CG401" s="294"/>
      <c r="CR401" s="666">
        <v>121</v>
      </c>
      <c r="DH401" s="380"/>
    </row>
    <row r="402" spans="1:112" ht="13">
      <c r="A402" s="294"/>
      <c r="B402" s="294"/>
      <c r="F402" s="302"/>
      <c r="I402" s="553"/>
      <c r="P402" s="295"/>
      <c r="W402" s="295"/>
      <c r="AD402" s="295"/>
      <c r="AK402" s="295"/>
      <c r="BY402" s="618"/>
      <c r="BZ402" s="553"/>
      <c r="CF402" s="294"/>
      <c r="CG402" s="294"/>
      <c r="CR402" s="666">
        <v>122</v>
      </c>
      <c r="DH402" s="380"/>
    </row>
    <row r="403" spans="1:112" ht="13">
      <c r="A403" s="294"/>
      <c r="B403" s="294"/>
      <c r="F403" s="302"/>
      <c r="I403" s="553"/>
      <c r="P403" s="295"/>
      <c r="W403" s="295"/>
      <c r="AD403" s="295"/>
      <c r="AK403" s="295"/>
      <c r="BY403" s="618"/>
      <c r="BZ403" s="553"/>
      <c r="CF403" s="294"/>
      <c r="CG403" s="294"/>
      <c r="CR403" s="666">
        <v>123</v>
      </c>
      <c r="DH403" s="380"/>
    </row>
    <row r="404" spans="1:112" ht="13">
      <c r="A404" s="294"/>
      <c r="B404" s="294"/>
      <c r="F404" s="302"/>
      <c r="I404" s="553"/>
      <c r="P404" s="295"/>
      <c r="W404" s="295"/>
      <c r="AD404" s="295"/>
      <c r="AK404" s="295"/>
      <c r="BY404" s="618"/>
      <c r="BZ404" s="553"/>
      <c r="CF404" s="294"/>
      <c r="CG404" s="294"/>
      <c r="CR404" s="666">
        <v>124</v>
      </c>
      <c r="DH404" s="380"/>
    </row>
    <row r="405" spans="1:112" ht="13">
      <c r="A405" s="294"/>
      <c r="B405" s="294"/>
      <c r="F405" s="302"/>
      <c r="I405" s="553"/>
      <c r="P405" s="295"/>
      <c r="W405" s="295"/>
      <c r="AD405" s="295"/>
      <c r="AK405" s="295"/>
      <c r="BY405" s="618"/>
      <c r="BZ405" s="553"/>
      <c r="CF405" s="294"/>
      <c r="CG405" s="294"/>
      <c r="CR405" s="666">
        <v>125</v>
      </c>
      <c r="DH405" s="380"/>
    </row>
    <row r="406" spans="1:112" ht="13">
      <c r="A406" s="294"/>
      <c r="B406" s="294"/>
      <c r="F406" s="302"/>
      <c r="I406" s="553"/>
      <c r="P406" s="295"/>
      <c r="W406" s="295"/>
      <c r="AD406" s="295"/>
      <c r="AK406" s="295"/>
      <c r="BY406" s="618"/>
      <c r="BZ406" s="553"/>
      <c r="CF406" s="294"/>
      <c r="CG406" s="294"/>
      <c r="CR406" s="666">
        <v>126</v>
      </c>
      <c r="DH406" s="380"/>
    </row>
    <row r="407" spans="1:112" ht="13">
      <c r="A407" s="294"/>
      <c r="B407" s="294"/>
      <c r="F407" s="302"/>
      <c r="I407" s="553"/>
      <c r="P407" s="295"/>
      <c r="W407" s="295"/>
      <c r="AD407" s="295"/>
      <c r="AK407" s="295"/>
      <c r="BY407" s="618"/>
      <c r="BZ407" s="553"/>
      <c r="CF407" s="294"/>
      <c r="CG407" s="294"/>
      <c r="CR407" s="666">
        <v>127</v>
      </c>
      <c r="DH407" s="380"/>
    </row>
    <row r="408" spans="1:112" ht="13">
      <c r="A408" s="294"/>
      <c r="B408" s="294"/>
      <c r="F408" s="302"/>
      <c r="I408" s="553"/>
      <c r="P408" s="295"/>
      <c r="W408" s="295"/>
      <c r="AD408" s="295"/>
      <c r="AK408" s="295"/>
      <c r="BY408" s="618"/>
      <c r="BZ408" s="553"/>
      <c r="CF408" s="294"/>
      <c r="CG408" s="294"/>
      <c r="CR408" s="666">
        <v>128</v>
      </c>
      <c r="DH408" s="380"/>
    </row>
    <row r="409" spans="1:112" ht="13">
      <c r="A409" s="294"/>
      <c r="B409" s="294"/>
      <c r="F409" s="302"/>
      <c r="I409" s="553"/>
      <c r="P409" s="295"/>
      <c r="W409" s="295"/>
      <c r="AD409" s="295"/>
      <c r="AK409" s="295"/>
      <c r="BY409" s="618"/>
      <c r="BZ409" s="553"/>
      <c r="CF409" s="294"/>
      <c r="CG409" s="294"/>
      <c r="CR409" s="666">
        <v>129</v>
      </c>
      <c r="DH409" s="380"/>
    </row>
    <row r="410" spans="1:112" ht="13">
      <c r="A410" s="294"/>
      <c r="B410" s="294"/>
      <c r="F410" s="302"/>
      <c r="I410" s="553"/>
      <c r="P410" s="295"/>
      <c r="W410" s="295"/>
      <c r="AD410" s="295"/>
      <c r="AK410" s="295"/>
      <c r="BY410" s="618"/>
      <c r="BZ410" s="553"/>
      <c r="CF410" s="294"/>
      <c r="CG410" s="294"/>
      <c r="CR410" s="666">
        <v>130</v>
      </c>
      <c r="DH410" s="380"/>
    </row>
    <row r="411" spans="1:112" ht="13">
      <c r="A411" s="294"/>
      <c r="B411" s="294"/>
      <c r="F411" s="302"/>
      <c r="I411" s="553"/>
      <c r="P411" s="295"/>
      <c r="W411" s="295"/>
      <c r="AD411" s="295"/>
      <c r="AK411" s="295"/>
      <c r="BY411" s="618"/>
      <c r="BZ411" s="553"/>
      <c r="CF411" s="294"/>
      <c r="CG411" s="294"/>
      <c r="CR411" s="666">
        <v>131</v>
      </c>
      <c r="DH411" s="380"/>
    </row>
    <row r="412" spans="1:112" ht="13">
      <c r="A412" s="294"/>
      <c r="B412" s="294"/>
      <c r="F412" s="302"/>
      <c r="I412" s="553"/>
      <c r="P412" s="295"/>
      <c r="W412" s="295"/>
      <c r="AD412" s="295"/>
      <c r="AK412" s="295"/>
      <c r="BY412" s="618"/>
      <c r="BZ412" s="553"/>
      <c r="CF412" s="294"/>
      <c r="CG412" s="294"/>
      <c r="CR412" s="666">
        <v>132</v>
      </c>
      <c r="DH412" s="380"/>
    </row>
    <row r="413" spans="1:112" ht="13">
      <c r="A413" s="294"/>
      <c r="B413" s="294"/>
      <c r="F413" s="302"/>
      <c r="I413" s="553"/>
      <c r="P413" s="295"/>
      <c r="W413" s="295"/>
      <c r="AD413" s="295"/>
      <c r="AK413" s="295"/>
      <c r="BY413" s="618"/>
      <c r="BZ413" s="553"/>
      <c r="CF413" s="294"/>
      <c r="CG413" s="294"/>
      <c r="CR413" s="666">
        <v>133</v>
      </c>
      <c r="DH413" s="380"/>
    </row>
    <row r="414" spans="1:112" ht="13">
      <c r="A414" s="294"/>
      <c r="B414" s="294"/>
      <c r="F414" s="302"/>
      <c r="I414" s="553"/>
      <c r="P414" s="295"/>
      <c r="W414" s="295"/>
      <c r="AD414" s="295"/>
      <c r="AK414" s="295"/>
      <c r="BY414" s="618"/>
      <c r="BZ414" s="553"/>
      <c r="CF414" s="294"/>
      <c r="CG414" s="294"/>
      <c r="CR414" s="666">
        <v>134</v>
      </c>
      <c r="DH414" s="380"/>
    </row>
    <row r="415" spans="1:112" ht="13">
      <c r="A415" s="294"/>
      <c r="B415" s="294"/>
      <c r="F415" s="302"/>
      <c r="I415" s="553"/>
      <c r="P415" s="295"/>
      <c r="W415" s="295"/>
      <c r="AD415" s="295"/>
      <c r="AK415" s="295"/>
      <c r="BY415" s="618"/>
      <c r="BZ415" s="553"/>
      <c r="CF415" s="294"/>
      <c r="CG415" s="294"/>
      <c r="CR415" s="666">
        <v>135</v>
      </c>
      <c r="DH415" s="380"/>
    </row>
    <row r="416" spans="1:112" ht="13">
      <c r="A416" s="294"/>
      <c r="B416" s="294"/>
      <c r="F416" s="302"/>
      <c r="I416" s="553"/>
      <c r="P416" s="295"/>
      <c r="W416" s="295"/>
      <c r="AD416" s="295"/>
      <c r="AK416" s="295"/>
      <c r="BY416" s="618"/>
      <c r="BZ416" s="553"/>
      <c r="CF416" s="294"/>
      <c r="CG416" s="294"/>
      <c r="CR416" s="666">
        <v>136</v>
      </c>
      <c r="DH416" s="380"/>
    </row>
    <row r="417" spans="1:112" ht="13">
      <c r="A417" s="294"/>
      <c r="B417" s="294"/>
      <c r="F417" s="302"/>
      <c r="I417" s="553"/>
      <c r="P417" s="295"/>
      <c r="W417" s="295"/>
      <c r="AD417" s="295"/>
      <c r="AK417" s="295"/>
      <c r="BY417" s="618"/>
      <c r="BZ417" s="553"/>
      <c r="CF417" s="294"/>
      <c r="CG417" s="294"/>
      <c r="CR417" s="666">
        <v>137</v>
      </c>
      <c r="DH417" s="380"/>
    </row>
    <row r="418" spans="1:112" ht="13">
      <c r="A418" s="294"/>
      <c r="B418" s="294"/>
      <c r="F418" s="302"/>
      <c r="I418" s="553"/>
      <c r="P418" s="295"/>
      <c r="W418" s="295"/>
      <c r="AD418" s="295"/>
      <c r="AK418" s="295"/>
      <c r="BY418" s="618"/>
      <c r="BZ418" s="553"/>
      <c r="CF418" s="294"/>
      <c r="CG418" s="294"/>
      <c r="CR418" s="666">
        <v>138</v>
      </c>
      <c r="DH418" s="380"/>
    </row>
    <row r="419" spans="1:112" ht="13">
      <c r="A419" s="294"/>
      <c r="B419" s="294"/>
      <c r="F419" s="302"/>
      <c r="I419" s="553"/>
      <c r="P419" s="295"/>
      <c r="W419" s="295"/>
      <c r="AD419" s="295"/>
      <c r="AK419" s="295"/>
      <c r="BY419" s="618"/>
      <c r="BZ419" s="553"/>
      <c r="CF419" s="294"/>
      <c r="CG419" s="294"/>
      <c r="CR419" s="666">
        <v>139</v>
      </c>
      <c r="DH419" s="380"/>
    </row>
    <row r="420" spans="1:112" ht="13">
      <c r="A420" s="294"/>
      <c r="B420" s="294"/>
      <c r="F420" s="302"/>
      <c r="I420" s="553"/>
      <c r="P420" s="295"/>
      <c r="W420" s="295"/>
      <c r="AD420" s="295"/>
      <c r="AK420" s="295"/>
      <c r="BY420" s="618"/>
      <c r="BZ420" s="553"/>
      <c r="CF420" s="294"/>
      <c r="CG420" s="294"/>
      <c r="CR420" s="667">
        <v>140</v>
      </c>
      <c r="CS420" s="382"/>
      <c r="CT420" s="382"/>
      <c r="CU420" s="382"/>
      <c r="CV420" s="382"/>
      <c r="CW420" s="382"/>
      <c r="CX420" s="382"/>
      <c r="CY420" s="382"/>
      <c r="CZ420" s="382"/>
      <c r="DA420" s="382"/>
      <c r="DB420" s="382"/>
      <c r="DC420" s="382"/>
      <c r="DD420" s="382"/>
      <c r="DE420" s="382"/>
      <c r="DF420" s="382"/>
      <c r="DG420" s="382"/>
      <c r="DH420" s="383"/>
    </row>
    <row r="421" spans="1:112" ht="13">
      <c r="A421" s="294"/>
      <c r="B421" s="294"/>
      <c r="F421" s="302"/>
      <c r="I421" s="553"/>
      <c r="P421" s="295"/>
      <c r="W421" s="295"/>
      <c r="AD421" s="295"/>
      <c r="AK421" s="295"/>
      <c r="BY421" s="618"/>
      <c r="BZ421" s="553"/>
      <c r="CF421" s="294"/>
      <c r="CG421" s="294"/>
      <c r="CR421" s="294"/>
    </row>
    <row r="422" spans="1:112" ht="13">
      <c r="A422" s="294"/>
      <c r="B422" s="294"/>
      <c r="F422" s="302"/>
      <c r="I422" s="553"/>
      <c r="P422" s="295"/>
      <c r="W422" s="295"/>
      <c r="AD422" s="295"/>
      <c r="AK422" s="295"/>
      <c r="BY422" s="618"/>
      <c r="BZ422" s="553"/>
      <c r="CF422" s="294"/>
      <c r="CG422" s="294"/>
      <c r="CR422" s="294"/>
    </row>
    <row r="423" spans="1:112" ht="13">
      <c r="A423" s="294"/>
      <c r="B423" s="294"/>
      <c r="F423" s="302"/>
      <c r="I423" s="553"/>
      <c r="P423" s="295"/>
      <c r="W423" s="295"/>
      <c r="AD423" s="295"/>
      <c r="AK423" s="295"/>
      <c r="BY423" s="618"/>
      <c r="BZ423" s="553"/>
      <c r="CF423" s="294"/>
      <c r="CG423" s="294"/>
      <c r="CR423" s="294"/>
    </row>
    <row r="424" spans="1:112" ht="13">
      <c r="A424" s="294"/>
      <c r="B424" s="294"/>
      <c r="F424" s="302"/>
      <c r="I424" s="553"/>
      <c r="P424" s="295"/>
      <c r="W424" s="295"/>
      <c r="AD424" s="295"/>
      <c r="AK424" s="295"/>
      <c r="BY424" s="618"/>
      <c r="BZ424" s="553"/>
      <c r="CF424" s="294"/>
      <c r="CG424" s="294"/>
      <c r="CR424" s="294"/>
    </row>
    <row r="425" spans="1:112" ht="13">
      <c r="A425" s="294"/>
      <c r="B425" s="294"/>
      <c r="F425" s="302"/>
      <c r="I425" s="553"/>
      <c r="P425" s="295"/>
      <c r="W425" s="295"/>
      <c r="AD425" s="295"/>
      <c r="AK425" s="295"/>
      <c r="BY425" s="618"/>
      <c r="BZ425" s="553"/>
      <c r="CF425" s="294"/>
      <c r="CG425" s="294"/>
      <c r="CR425" s="294"/>
    </row>
    <row r="426" spans="1:112" ht="13">
      <c r="A426" s="294"/>
      <c r="B426" s="294"/>
      <c r="F426" s="302"/>
      <c r="I426" s="553"/>
      <c r="P426" s="295"/>
      <c r="W426" s="295"/>
      <c r="AD426" s="295"/>
      <c r="AK426" s="295"/>
      <c r="BY426" s="618"/>
      <c r="BZ426" s="553"/>
      <c r="CF426" s="294"/>
      <c r="CG426" s="294"/>
      <c r="CR426" s="294"/>
    </row>
    <row r="427" spans="1:112" ht="13">
      <c r="A427" s="294"/>
      <c r="B427" s="294"/>
      <c r="F427" s="302"/>
      <c r="I427" s="553"/>
      <c r="P427" s="295"/>
      <c r="W427" s="295"/>
      <c r="AD427" s="295"/>
      <c r="AK427" s="295"/>
      <c r="BY427" s="618"/>
      <c r="BZ427" s="553"/>
      <c r="CF427" s="294"/>
      <c r="CG427" s="294"/>
      <c r="CR427" s="294"/>
    </row>
    <row r="428" spans="1:112" ht="13">
      <c r="A428" s="294"/>
      <c r="B428" s="294"/>
      <c r="F428" s="302"/>
      <c r="I428" s="553"/>
      <c r="P428" s="295"/>
      <c r="W428" s="295"/>
      <c r="AD428" s="295"/>
      <c r="AK428" s="295"/>
      <c r="BY428" s="618"/>
      <c r="BZ428" s="553"/>
      <c r="CF428" s="294"/>
      <c r="CG428" s="294"/>
      <c r="CR428" s="294"/>
    </row>
    <row r="429" spans="1:112" ht="13">
      <c r="A429" s="294"/>
      <c r="B429" s="294"/>
      <c r="F429" s="302"/>
      <c r="I429" s="553"/>
      <c r="P429" s="295"/>
      <c r="W429" s="295"/>
      <c r="AD429" s="295"/>
      <c r="AK429" s="295"/>
      <c r="BY429" s="618"/>
      <c r="BZ429" s="553"/>
      <c r="CF429" s="294"/>
      <c r="CG429" s="294"/>
      <c r="CR429" s="294"/>
    </row>
    <row r="430" spans="1:112" ht="13">
      <c r="A430" s="294"/>
      <c r="B430" s="294"/>
      <c r="F430" s="302"/>
      <c r="I430" s="553"/>
      <c r="P430" s="295"/>
      <c r="W430" s="295"/>
      <c r="AD430" s="295"/>
      <c r="AK430" s="295"/>
      <c r="BY430" s="618"/>
      <c r="BZ430" s="553"/>
      <c r="CF430" s="294"/>
      <c r="CG430" s="294"/>
      <c r="CR430" s="294"/>
    </row>
    <row r="431" spans="1:112" ht="13">
      <c r="A431" s="294"/>
      <c r="B431" s="294"/>
      <c r="F431" s="302"/>
      <c r="I431" s="553"/>
      <c r="P431" s="295"/>
      <c r="W431" s="295"/>
      <c r="AD431" s="295"/>
      <c r="AK431" s="295"/>
      <c r="BY431" s="618"/>
      <c r="BZ431" s="553"/>
      <c r="CF431" s="294"/>
      <c r="CG431" s="294"/>
      <c r="CR431" s="294"/>
    </row>
    <row r="432" spans="1:112" ht="13">
      <c r="A432" s="294"/>
      <c r="B432" s="294"/>
      <c r="F432" s="302"/>
      <c r="I432" s="553"/>
      <c r="P432" s="295"/>
      <c r="W432" s="295"/>
      <c r="AD432" s="295"/>
      <c r="AK432" s="295"/>
      <c r="BY432" s="618"/>
      <c r="BZ432" s="553"/>
      <c r="CF432" s="294"/>
      <c r="CG432" s="294"/>
      <c r="CR432" s="294"/>
    </row>
    <row r="433" spans="1:96" ht="13">
      <c r="A433" s="294"/>
      <c r="B433" s="294"/>
      <c r="F433" s="302"/>
      <c r="I433" s="553"/>
      <c r="P433" s="295"/>
      <c r="W433" s="295"/>
      <c r="AD433" s="295"/>
      <c r="AK433" s="295"/>
      <c r="BY433" s="618"/>
      <c r="BZ433" s="553"/>
      <c r="CF433" s="294"/>
      <c r="CG433" s="294"/>
      <c r="CR433" s="294"/>
    </row>
    <row r="434" spans="1:96" ht="13">
      <c r="A434" s="294"/>
      <c r="B434" s="294"/>
      <c r="F434" s="302"/>
      <c r="I434" s="553"/>
      <c r="P434" s="295"/>
      <c r="W434" s="295"/>
      <c r="AD434" s="295"/>
      <c r="AK434" s="295"/>
      <c r="BY434" s="618"/>
      <c r="BZ434" s="553"/>
      <c r="CF434" s="294"/>
      <c r="CG434" s="294"/>
      <c r="CR434" s="294"/>
    </row>
    <row r="435" spans="1:96" ht="13">
      <c r="A435" s="294"/>
      <c r="B435" s="294"/>
      <c r="F435" s="302"/>
      <c r="I435" s="553"/>
      <c r="P435" s="295"/>
      <c r="W435" s="295"/>
      <c r="AD435" s="295"/>
      <c r="AK435" s="295"/>
      <c r="BY435" s="618"/>
      <c r="BZ435" s="553"/>
      <c r="CF435" s="294"/>
      <c r="CG435" s="294"/>
      <c r="CR435" s="294"/>
    </row>
    <row r="436" spans="1:96" ht="13">
      <c r="A436" s="294"/>
      <c r="B436" s="294"/>
      <c r="F436" s="302"/>
      <c r="I436" s="553"/>
      <c r="P436" s="295"/>
      <c r="W436" s="295"/>
      <c r="AD436" s="295"/>
      <c r="AK436" s="295"/>
      <c r="BY436" s="618"/>
      <c r="BZ436" s="553"/>
      <c r="CF436" s="294"/>
      <c r="CG436" s="294"/>
      <c r="CR436" s="294"/>
    </row>
    <row r="437" spans="1:96" ht="13">
      <c r="A437" s="294"/>
      <c r="B437" s="294"/>
      <c r="F437" s="302"/>
      <c r="I437" s="553"/>
      <c r="P437" s="295"/>
      <c r="W437" s="295"/>
      <c r="AD437" s="295"/>
      <c r="AK437" s="295"/>
      <c r="BY437" s="618"/>
      <c r="BZ437" s="553"/>
      <c r="CF437" s="294"/>
      <c r="CG437" s="294"/>
      <c r="CR437" s="294"/>
    </row>
    <row r="438" spans="1:96" ht="13">
      <c r="A438" s="294"/>
      <c r="B438" s="294"/>
      <c r="F438" s="302"/>
      <c r="I438" s="553"/>
      <c r="P438" s="295"/>
      <c r="W438" s="295"/>
      <c r="AD438" s="295"/>
      <c r="AK438" s="295"/>
      <c r="BY438" s="618"/>
      <c r="BZ438" s="553"/>
      <c r="CF438" s="294"/>
      <c r="CG438" s="294"/>
      <c r="CR438" s="294"/>
    </row>
    <row r="439" spans="1:96" ht="13">
      <c r="A439" s="294"/>
      <c r="B439" s="294"/>
      <c r="F439" s="302"/>
      <c r="I439" s="553"/>
      <c r="P439" s="295"/>
      <c r="W439" s="295"/>
      <c r="AD439" s="295"/>
      <c r="AK439" s="295"/>
      <c r="BY439" s="618"/>
      <c r="BZ439" s="553"/>
      <c r="CF439" s="294"/>
      <c r="CG439" s="294"/>
      <c r="CR439" s="294"/>
    </row>
    <row r="440" spans="1:96" ht="13">
      <c r="A440" s="294"/>
      <c r="B440" s="294"/>
      <c r="F440" s="302"/>
      <c r="I440" s="553"/>
      <c r="P440" s="295"/>
      <c r="W440" s="295"/>
      <c r="AD440" s="295"/>
      <c r="AK440" s="295"/>
      <c r="BY440" s="618"/>
      <c r="BZ440" s="553"/>
      <c r="CF440" s="294"/>
      <c r="CG440" s="294"/>
      <c r="CR440" s="294"/>
    </row>
    <row r="441" spans="1:96" ht="13">
      <c r="A441" s="294"/>
      <c r="B441" s="294"/>
      <c r="F441" s="302"/>
      <c r="I441" s="553"/>
      <c r="P441" s="295"/>
      <c r="W441" s="295"/>
      <c r="AD441" s="295"/>
      <c r="AK441" s="295"/>
      <c r="BY441" s="618"/>
      <c r="BZ441" s="553"/>
      <c r="CF441" s="294"/>
      <c r="CG441" s="294"/>
      <c r="CR441" s="294"/>
    </row>
    <row r="442" spans="1:96" ht="13">
      <c r="A442" s="294"/>
      <c r="B442" s="294"/>
      <c r="F442" s="302"/>
      <c r="I442" s="553"/>
      <c r="P442" s="295"/>
      <c r="W442" s="295"/>
      <c r="AD442" s="295"/>
      <c r="AK442" s="295"/>
      <c r="BY442" s="618"/>
      <c r="BZ442" s="553"/>
      <c r="CF442" s="294"/>
      <c r="CG442" s="294"/>
      <c r="CR442" s="294"/>
    </row>
    <row r="443" spans="1:96" ht="13">
      <c r="A443" s="294"/>
      <c r="B443" s="294"/>
      <c r="F443" s="302"/>
      <c r="I443" s="553"/>
      <c r="P443" s="295"/>
      <c r="W443" s="295"/>
      <c r="AD443" s="295"/>
      <c r="AK443" s="295"/>
      <c r="BY443" s="618"/>
      <c r="BZ443" s="553"/>
      <c r="CF443" s="294"/>
      <c r="CG443" s="294"/>
      <c r="CR443" s="294"/>
    </row>
    <row r="444" spans="1:96" ht="13">
      <c r="A444" s="294"/>
      <c r="B444" s="294"/>
      <c r="F444" s="302"/>
      <c r="I444" s="553"/>
      <c r="P444" s="295"/>
      <c r="W444" s="295"/>
      <c r="AD444" s="295"/>
      <c r="AK444" s="295"/>
      <c r="BY444" s="618"/>
      <c r="BZ444" s="553"/>
      <c r="CF444" s="294"/>
      <c r="CG444" s="294"/>
      <c r="CR444" s="294"/>
    </row>
    <row r="445" spans="1:96" ht="13">
      <c r="A445" s="294"/>
      <c r="B445" s="294"/>
      <c r="F445" s="302"/>
      <c r="I445" s="553"/>
      <c r="P445" s="295"/>
      <c r="W445" s="295"/>
      <c r="AD445" s="295"/>
      <c r="AK445" s="295"/>
      <c r="BY445" s="618"/>
      <c r="BZ445" s="553"/>
      <c r="CF445" s="294"/>
      <c r="CG445" s="294"/>
      <c r="CR445" s="294"/>
    </row>
    <row r="446" spans="1:96" ht="13">
      <c r="A446" s="294"/>
      <c r="B446" s="294"/>
      <c r="F446" s="302"/>
      <c r="I446" s="553"/>
      <c r="P446" s="295"/>
      <c r="W446" s="295"/>
      <c r="AD446" s="295"/>
      <c r="AK446" s="295"/>
      <c r="BY446" s="618"/>
      <c r="BZ446" s="553"/>
      <c r="CF446" s="294"/>
      <c r="CG446" s="294"/>
      <c r="CR446" s="294"/>
    </row>
    <row r="447" spans="1:96" ht="13">
      <c r="A447" s="294"/>
      <c r="B447" s="294"/>
      <c r="F447" s="302"/>
      <c r="I447" s="553"/>
      <c r="P447" s="295"/>
      <c r="W447" s="295"/>
      <c r="AD447" s="295"/>
      <c r="AK447" s="295"/>
      <c r="BY447" s="618"/>
      <c r="BZ447" s="553"/>
      <c r="CF447" s="294"/>
      <c r="CG447" s="294"/>
      <c r="CR447" s="294"/>
    </row>
    <row r="448" spans="1:96" ht="13">
      <c r="A448" s="294"/>
      <c r="B448" s="294"/>
      <c r="F448" s="302"/>
      <c r="I448" s="553"/>
      <c r="P448" s="295"/>
      <c r="W448" s="295"/>
      <c r="AD448" s="295"/>
      <c r="AK448" s="295"/>
      <c r="BY448" s="618"/>
      <c r="BZ448" s="553"/>
      <c r="CF448" s="294"/>
      <c r="CG448" s="294"/>
      <c r="CR448" s="294"/>
    </row>
    <row r="449" spans="1:96" ht="13">
      <c r="A449" s="294"/>
      <c r="B449" s="294"/>
      <c r="F449" s="302"/>
      <c r="I449" s="553"/>
      <c r="P449" s="295"/>
      <c r="W449" s="295"/>
      <c r="AD449" s="295"/>
      <c r="AK449" s="295"/>
      <c r="BY449" s="618"/>
      <c r="BZ449" s="553"/>
      <c r="CF449" s="294"/>
      <c r="CG449" s="294"/>
      <c r="CR449" s="294"/>
    </row>
    <row r="450" spans="1:96" ht="13">
      <c r="A450" s="294"/>
      <c r="B450" s="294"/>
      <c r="F450" s="302"/>
      <c r="I450" s="553"/>
      <c r="P450" s="295"/>
      <c r="W450" s="295"/>
      <c r="AD450" s="295"/>
      <c r="AK450" s="295"/>
      <c r="BY450" s="618"/>
      <c r="BZ450" s="553"/>
      <c r="CF450" s="294"/>
      <c r="CG450" s="294"/>
      <c r="CR450" s="294"/>
    </row>
    <row r="451" spans="1:96" ht="13">
      <c r="A451" s="294"/>
      <c r="B451" s="294"/>
      <c r="F451" s="302"/>
      <c r="I451" s="553"/>
      <c r="P451" s="295"/>
      <c r="W451" s="295"/>
      <c r="AD451" s="295"/>
      <c r="AK451" s="295"/>
      <c r="BY451" s="618"/>
      <c r="BZ451" s="553"/>
      <c r="CF451" s="294"/>
      <c r="CG451" s="294"/>
      <c r="CR451" s="294"/>
    </row>
    <row r="452" spans="1:96" ht="13">
      <c r="A452" s="294"/>
      <c r="B452" s="294"/>
      <c r="F452" s="302"/>
      <c r="I452" s="553"/>
      <c r="P452" s="295"/>
      <c r="W452" s="295"/>
      <c r="AD452" s="295"/>
      <c r="AK452" s="295"/>
      <c r="BY452" s="618"/>
      <c r="BZ452" s="553"/>
      <c r="CF452" s="294"/>
      <c r="CG452" s="294"/>
      <c r="CR452" s="294"/>
    </row>
    <row r="453" spans="1:96" ht="13">
      <c r="A453" s="294"/>
      <c r="B453" s="294"/>
      <c r="F453" s="302"/>
      <c r="I453" s="553"/>
      <c r="P453" s="295"/>
      <c r="W453" s="295"/>
      <c r="AD453" s="295"/>
      <c r="AK453" s="295"/>
      <c r="BY453" s="618"/>
      <c r="BZ453" s="553"/>
      <c r="CF453" s="294"/>
      <c r="CG453" s="294"/>
      <c r="CR453" s="294"/>
    </row>
    <row r="454" spans="1:96" ht="13">
      <c r="A454" s="294"/>
      <c r="B454" s="294"/>
      <c r="F454" s="302"/>
      <c r="I454" s="553"/>
      <c r="P454" s="295"/>
      <c r="W454" s="295"/>
      <c r="AD454" s="295"/>
      <c r="AK454" s="295"/>
      <c r="BY454" s="618"/>
      <c r="BZ454" s="553"/>
      <c r="CF454" s="294"/>
      <c r="CG454" s="294"/>
      <c r="CR454" s="294"/>
    </row>
    <row r="455" spans="1:96" ht="13">
      <c r="A455" s="294"/>
      <c r="B455" s="294"/>
      <c r="F455" s="302"/>
      <c r="I455" s="553"/>
      <c r="P455" s="295"/>
      <c r="W455" s="295"/>
      <c r="AD455" s="295"/>
      <c r="AK455" s="295"/>
      <c r="BY455" s="618"/>
      <c r="BZ455" s="553"/>
      <c r="CF455" s="294"/>
      <c r="CG455" s="294"/>
      <c r="CR455" s="294"/>
    </row>
    <row r="456" spans="1:96" ht="13">
      <c r="A456" s="294"/>
      <c r="B456" s="294"/>
      <c r="F456" s="302"/>
      <c r="I456" s="553"/>
      <c r="P456" s="295"/>
      <c r="W456" s="295"/>
      <c r="AD456" s="295"/>
      <c r="AK456" s="295"/>
      <c r="BY456" s="618"/>
      <c r="BZ456" s="553"/>
      <c r="CF456" s="294"/>
      <c r="CG456" s="294"/>
      <c r="CR456" s="294"/>
    </row>
    <row r="457" spans="1:96" ht="13">
      <c r="A457" s="294"/>
      <c r="B457" s="294"/>
      <c r="F457" s="302"/>
      <c r="I457" s="553"/>
      <c r="P457" s="295"/>
      <c r="W457" s="295"/>
      <c r="AD457" s="295"/>
      <c r="AK457" s="295"/>
      <c r="BY457" s="618"/>
      <c r="BZ457" s="553"/>
      <c r="CF457" s="294"/>
      <c r="CG457" s="294"/>
      <c r="CR457" s="294"/>
    </row>
    <row r="458" spans="1:96" ht="13">
      <c r="A458" s="294"/>
      <c r="B458" s="294"/>
      <c r="F458" s="302"/>
      <c r="I458" s="553"/>
      <c r="P458" s="295"/>
      <c r="W458" s="295"/>
      <c r="AD458" s="295"/>
      <c r="AK458" s="295"/>
      <c r="BY458" s="618"/>
      <c r="BZ458" s="553"/>
      <c r="CF458" s="294"/>
      <c r="CG458" s="294"/>
      <c r="CR458" s="294"/>
    </row>
    <row r="459" spans="1:96" ht="13">
      <c r="A459" s="294"/>
      <c r="B459" s="294"/>
      <c r="F459" s="302"/>
      <c r="I459" s="553"/>
      <c r="P459" s="295"/>
      <c r="W459" s="295"/>
      <c r="AD459" s="295"/>
      <c r="AK459" s="295"/>
      <c r="BY459" s="618"/>
      <c r="BZ459" s="553"/>
      <c r="CF459" s="294"/>
      <c r="CG459" s="294"/>
      <c r="CR459" s="294"/>
    </row>
    <row r="460" spans="1:96" ht="13">
      <c r="A460" s="294"/>
      <c r="B460" s="294"/>
      <c r="F460" s="302"/>
      <c r="I460" s="553"/>
      <c r="P460" s="295"/>
      <c r="W460" s="295"/>
      <c r="AD460" s="295"/>
      <c r="AK460" s="295"/>
      <c r="BY460" s="618"/>
      <c r="BZ460" s="553"/>
      <c r="CF460" s="294"/>
      <c r="CG460" s="294"/>
      <c r="CR460" s="294"/>
    </row>
    <row r="461" spans="1:96" ht="13">
      <c r="A461" s="294"/>
      <c r="B461" s="294"/>
      <c r="F461" s="302"/>
      <c r="I461" s="553"/>
      <c r="P461" s="295"/>
      <c r="W461" s="295"/>
      <c r="AD461" s="295"/>
      <c r="AK461" s="295"/>
      <c r="BY461" s="618"/>
      <c r="BZ461" s="553"/>
      <c r="CF461" s="294"/>
      <c r="CG461" s="294"/>
      <c r="CR461" s="294"/>
    </row>
    <row r="462" spans="1:96" ht="13">
      <c r="A462" s="294"/>
      <c r="B462" s="294"/>
      <c r="F462" s="302"/>
      <c r="I462" s="553"/>
      <c r="P462" s="295"/>
      <c r="W462" s="295"/>
      <c r="AD462" s="295"/>
      <c r="AK462" s="295"/>
      <c r="BY462" s="618"/>
      <c r="BZ462" s="553"/>
      <c r="CF462" s="294"/>
      <c r="CG462" s="294"/>
      <c r="CR462" s="294"/>
    </row>
    <row r="463" spans="1:96" ht="13">
      <c r="A463" s="294"/>
      <c r="B463" s="294"/>
      <c r="F463" s="302"/>
      <c r="I463" s="553"/>
      <c r="P463" s="295"/>
      <c r="W463" s="295"/>
      <c r="AD463" s="295"/>
      <c r="AK463" s="295"/>
      <c r="BY463" s="618"/>
      <c r="BZ463" s="553"/>
      <c r="CF463" s="294"/>
      <c r="CG463" s="294"/>
      <c r="CR463" s="294"/>
    </row>
    <row r="464" spans="1:96" ht="13">
      <c r="A464" s="294"/>
      <c r="B464" s="294"/>
      <c r="F464" s="302"/>
      <c r="I464" s="553"/>
      <c r="P464" s="295"/>
      <c r="W464" s="295"/>
      <c r="AD464" s="295"/>
      <c r="AK464" s="295"/>
      <c r="BY464" s="618"/>
      <c r="BZ464" s="553"/>
      <c r="CF464" s="294"/>
      <c r="CG464" s="294"/>
      <c r="CR464" s="294"/>
    </row>
    <row r="465" spans="1:96" ht="13">
      <c r="A465" s="294"/>
      <c r="B465" s="294"/>
      <c r="F465" s="302"/>
      <c r="I465" s="553"/>
      <c r="P465" s="295"/>
      <c r="W465" s="295"/>
      <c r="AD465" s="295"/>
      <c r="AK465" s="295"/>
      <c r="BY465" s="618"/>
      <c r="BZ465" s="553"/>
      <c r="CF465" s="294"/>
      <c r="CG465" s="294"/>
      <c r="CR465" s="294"/>
    </row>
    <row r="466" spans="1:96" ht="13">
      <c r="A466" s="294"/>
      <c r="B466" s="294"/>
      <c r="F466" s="302"/>
      <c r="I466" s="553"/>
      <c r="P466" s="295"/>
      <c r="W466" s="295"/>
      <c r="AD466" s="295"/>
      <c r="AK466" s="295"/>
      <c r="BY466" s="618"/>
      <c r="BZ466" s="553"/>
      <c r="CF466" s="294"/>
      <c r="CG466" s="294"/>
      <c r="CR466" s="294"/>
    </row>
    <row r="467" spans="1:96" ht="13">
      <c r="A467" s="294"/>
      <c r="B467" s="294"/>
      <c r="F467" s="302"/>
      <c r="I467" s="553"/>
      <c r="P467" s="295"/>
      <c r="W467" s="295"/>
      <c r="AD467" s="295"/>
      <c r="AK467" s="295"/>
      <c r="BY467" s="618"/>
      <c r="BZ467" s="553"/>
      <c r="CF467" s="294"/>
      <c r="CG467" s="294"/>
      <c r="CR467" s="294"/>
    </row>
    <row r="468" spans="1:96" ht="13">
      <c r="A468" s="294"/>
      <c r="B468" s="294"/>
      <c r="F468" s="302"/>
      <c r="I468" s="553"/>
      <c r="P468" s="295"/>
      <c r="W468" s="295"/>
      <c r="AD468" s="295"/>
      <c r="AK468" s="295"/>
      <c r="BY468" s="618"/>
      <c r="BZ468" s="553"/>
      <c r="CF468" s="294"/>
      <c r="CG468" s="294"/>
      <c r="CR468" s="294"/>
    </row>
    <row r="469" spans="1:96" ht="13">
      <c r="A469" s="294"/>
      <c r="B469" s="294"/>
      <c r="F469" s="302"/>
      <c r="I469" s="553"/>
      <c r="P469" s="295"/>
      <c r="W469" s="295"/>
      <c r="AD469" s="295"/>
      <c r="AK469" s="295"/>
      <c r="BY469" s="618"/>
      <c r="BZ469" s="553"/>
      <c r="CF469" s="294"/>
      <c r="CG469" s="294"/>
      <c r="CR469" s="294"/>
    </row>
    <row r="470" spans="1:96" ht="13">
      <c r="A470" s="294"/>
      <c r="B470" s="294"/>
      <c r="F470" s="302"/>
      <c r="I470" s="553"/>
      <c r="P470" s="295"/>
      <c r="W470" s="295"/>
      <c r="AD470" s="295"/>
      <c r="AK470" s="295"/>
      <c r="BY470" s="618"/>
      <c r="BZ470" s="553"/>
      <c r="CF470" s="294"/>
      <c r="CG470" s="294"/>
      <c r="CR470" s="294"/>
    </row>
    <row r="471" spans="1:96" ht="13">
      <c r="A471" s="294"/>
      <c r="B471" s="294"/>
      <c r="F471" s="302"/>
      <c r="I471" s="553"/>
      <c r="P471" s="295"/>
      <c r="W471" s="295"/>
      <c r="AD471" s="295"/>
      <c r="AK471" s="295"/>
      <c r="BY471" s="618"/>
      <c r="BZ471" s="553"/>
      <c r="CF471" s="294"/>
      <c r="CG471" s="294"/>
      <c r="CR471" s="294"/>
    </row>
    <row r="472" spans="1:96" ht="13">
      <c r="A472" s="294"/>
      <c r="B472" s="294"/>
      <c r="F472" s="302"/>
      <c r="I472" s="553"/>
      <c r="P472" s="295"/>
      <c r="W472" s="295"/>
      <c r="AD472" s="295"/>
      <c r="AK472" s="295"/>
      <c r="BY472" s="618"/>
      <c r="BZ472" s="553"/>
      <c r="CF472" s="294"/>
      <c r="CG472" s="294"/>
      <c r="CR472" s="294"/>
    </row>
    <row r="473" spans="1:96" ht="13">
      <c r="A473" s="294"/>
      <c r="B473" s="294"/>
      <c r="F473" s="302"/>
      <c r="I473" s="553"/>
      <c r="P473" s="295"/>
      <c r="W473" s="295"/>
      <c r="AD473" s="295"/>
      <c r="AK473" s="295"/>
      <c r="BY473" s="618"/>
      <c r="BZ473" s="553"/>
      <c r="CF473" s="294"/>
      <c r="CG473" s="294"/>
      <c r="CR473" s="294"/>
    </row>
    <row r="474" spans="1:96" ht="13">
      <c r="A474" s="294"/>
      <c r="B474" s="294"/>
      <c r="F474" s="302"/>
      <c r="I474" s="553"/>
      <c r="P474" s="295"/>
      <c r="W474" s="295"/>
      <c r="AD474" s="295"/>
      <c r="AK474" s="295"/>
      <c r="BY474" s="618"/>
      <c r="BZ474" s="553"/>
      <c r="CF474" s="294"/>
      <c r="CG474" s="294"/>
      <c r="CR474" s="294"/>
    </row>
    <row r="475" spans="1:96" ht="13">
      <c r="A475" s="294"/>
      <c r="B475" s="294"/>
      <c r="F475" s="302"/>
      <c r="I475" s="553"/>
      <c r="P475" s="295"/>
      <c r="W475" s="295"/>
      <c r="AD475" s="295"/>
      <c r="AK475" s="295"/>
      <c r="BY475" s="618"/>
      <c r="BZ475" s="553"/>
      <c r="CF475" s="294"/>
      <c r="CG475" s="294"/>
      <c r="CR475" s="294"/>
    </row>
    <row r="476" spans="1:96" ht="13">
      <c r="A476" s="294"/>
      <c r="B476" s="294"/>
      <c r="F476" s="302"/>
      <c r="I476" s="553"/>
      <c r="P476" s="295"/>
      <c r="W476" s="295"/>
      <c r="AD476" s="295"/>
      <c r="AK476" s="295"/>
      <c r="BY476" s="618"/>
      <c r="BZ476" s="553"/>
      <c r="CF476" s="294"/>
      <c r="CG476" s="294"/>
      <c r="CR476" s="294"/>
    </row>
    <row r="477" spans="1:96" ht="13">
      <c r="A477" s="294"/>
      <c r="B477" s="294"/>
      <c r="F477" s="302"/>
      <c r="I477" s="553"/>
      <c r="P477" s="295"/>
      <c r="W477" s="295"/>
      <c r="AD477" s="295"/>
      <c r="AK477" s="295"/>
      <c r="BY477" s="618"/>
      <c r="BZ477" s="553"/>
      <c r="CF477" s="294"/>
      <c r="CG477" s="294"/>
      <c r="CR477" s="294"/>
    </row>
    <row r="478" spans="1:96" ht="13">
      <c r="A478" s="294"/>
      <c r="B478" s="294"/>
      <c r="F478" s="302"/>
      <c r="I478" s="553"/>
      <c r="P478" s="295"/>
      <c r="W478" s="295"/>
      <c r="AD478" s="295"/>
      <c r="AK478" s="295"/>
      <c r="BY478" s="618"/>
      <c r="BZ478" s="553"/>
      <c r="CF478" s="294"/>
      <c r="CG478" s="294"/>
      <c r="CR478" s="294"/>
    </row>
    <row r="479" spans="1:96" ht="13">
      <c r="A479" s="294"/>
      <c r="B479" s="294"/>
      <c r="F479" s="302"/>
      <c r="I479" s="553"/>
      <c r="P479" s="295"/>
      <c r="W479" s="295"/>
      <c r="AD479" s="295"/>
      <c r="AK479" s="295"/>
      <c r="BY479" s="618"/>
      <c r="BZ479" s="553"/>
      <c r="CF479" s="294"/>
      <c r="CG479" s="294"/>
      <c r="CR479" s="294"/>
    </row>
    <row r="480" spans="1:96" ht="13">
      <c r="A480" s="294"/>
      <c r="B480" s="294"/>
      <c r="F480" s="302"/>
      <c r="I480" s="553"/>
      <c r="P480" s="295"/>
      <c r="W480" s="295"/>
      <c r="AD480" s="295"/>
      <c r="AK480" s="295"/>
      <c r="BY480" s="618"/>
      <c r="BZ480" s="553"/>
      <c r="CF480" s="294"/>
      <c r="CG480" s="294"/>
      <c r="CR480" s="294"/>
    </row>
    <row r="481" spans="1:96" ht="13">
      <c r="A481" s="294"/>
      <c r="B481" s="294"/>
      <c r="F481" s="302"/>
      <c r="I481" s="553"/>
      <c r="P481" s="295"/>
      <c r="W481" s="295"/>
      <c r="AD481" s="295"/>
      <c r="AK481" s="295"/>
      <c r="BY481" s="618"/>
      <c r="BZ481" s="553"/>
      <c r="CF481" s="294"/>
      <c r="CG481" s="294"/>
      <c r="CR481" s="294"/>
    </row>
    <row r="482" spans="1:96" ht="13">
      <c r="A482" s="294"/>
      <c r="B482" s="294"/>
      <c r="F482" s="302"/>
      <c r="I482" s="553"/>
      <c r="P482" s="295"/>
      <c r="W482" s="295"/>
      <c r="AD482" s="295"/>
      <c r="AK482" s="295"/>
      <c r="BY482" s="618"/>
      <c r="BZ482" s="553"/>
      <c r="CF482" s="294"/>
      <c r="CG482" s="294"/>
      <c r="CR482" s="294"/>
    </row>
    <row r="483" spans="1:96" ht="13">
      <c r="A483" s="294"/>
      <c r="B483" s="294"/>
      <c r="F483" s="302"/>
      <c r="I483" s="553"/>
      <c r="P483" s="295"/>
      <c r="W483" s="295"/>
      <c r="AD483" s="295"/>
      <c r="AK483" s="295"/>
      <c r="BY483" s="618"/>
      <c r="BZ483" s="553"/>
      <c r="CF483" s="294"/>
      <c r="CG483" s="294"/>
      <c r="CR483" s="294"/>
    </row>
    <row r="484" spans="1:96" ht="13">
      <c r="A484" s="294"/>
      <c r="B484" s="294"/>
      <c r="F484" s="302"/>
      <c r="I484" s="553"/>
      <c r="P484" s="295"/>
      <c r="W484" s="295"/>
      <c r="AD484" s="295"/>
      <c r="AK484" s="295"/>
      <c r="BY484" s="618"/>
      <c r="BZ484" s="553"/>
      <c r="CF484" s="294"/>
      <c r="CG484" s="294"/>
      <c r="CR484" s="294"/>
    </row>
    <row r="485" spans="1:96" ht="13">
      <c r="A485" s="294"/>
      <c r="B485" s="294"/>
      <c r="F485" s="302"/>
      <c r="I485" s="553"/>
      <c r="P485" s="295"/>
      <c r="W485" s="295"/>
      <c r="AD485" s="295"/>
      <c r="AK485" s="295"/>
      <c r="BY485" s="618"/>
      <c r="BZ485" s="553"/>
      <c r="CF485" s="294"/>
      <c r="CG485" s="294"/>
      <c r="CR485" s="294"/>
    </row>
    <row r="486" spans="1:96" ht="13">
      <c r="A486" s="294"/>
      <c r="B486" s="294"/>
      <c r="F486" s="302"/>
      <c r="I486" s="553"/>
      <c r="P486" s="295"/>
      <c r="W486" s="295"/>
      <c r="AD486" s="295"/>
      <c r="AK486" s="295"/>
      <c r="BY486" s="618"/>
      <c r="BZ486" s="553"/>
      <c r="CF486" s="294"/>
      <c r="CG486" s="294"/>
      <c r="CR486" s="294"/>
    </row>
    <row r="487" spans="1:96" ht="13">
      <c r="A487" s="294"/>
      <c r="B487" s="294"/>
      <c r="F487" s="302"/>
      <c r="I487" s="553"/>
      <c r="P487" s="295"/>
      <c r="W487" s="295"/>
      <c r="AD487" s="295"/>
      <c r="AK487" s="295"/>
      <c r="BY487" s="618"/>
      <c r="BZ487" s="553"/>
      <c r="CF487" s="294"/>
      <c r="CG487" s="294"/>
      <c r="CR487" s="294"/>
    </row>
    <row r="488" spans="1:96" ht="13">
      <c r="A488" s="294"/>
      <c r="B488" s="294"/>
      <c r="F488" s="302"/>
      <c r="I488" s="553"/>
      <c r="P488" s="295"/>
      <c r="W488" s="295"/>
      <c r="AD488" s="295"/>
      <c r="AK488" s="295"/>
      <c r="BY488" s="618"/>
      <c r="BZ488" s="553"/>
      <c r="CF488" s="294"/>
      <c r="CG488" s="294"/>
      <c r="CR488" s="294"/>
    </row>
    <row r="489" spans="1:96" ht="13">
      <c r="A489" s="294"/>
      <c r="B489" s="294"/>
      <c r="F489" s="302"/>
      <c r="I489" s="553"/>
      <c r="P489" s="295"/>
      <c r="W489" s="295"/>
      <c r="AD489" s="295"/>
      <c r="AK489" s="295"/>
      <c r="BY489" s="618"/>
      <c r="BZ489" s="553"/>
      <c r="CF489" s="294"/>
      <c r="CG489" s="294"/>
      <c r="CR489" s="294"/>
    </row>
    <row r="490" spans="1:96" ht="13">
      <c r="A490" s="294"/>
      <c r="B490" s="294"/>
      <c r="F490" s="302"/>
      <c r="I490" s="553"/>
      <c r="P490" s="295"/>
      <c r="W490" s="295"/>
      <c r="AD490" s="295"/>
      <c r="AK490" s="295"/>
      <c r="BY490" s="618"/>
      <c r="BZ490" s="553"/>
      <c r="CF490" s="294"/>
      <c r="CG490" s="294"/>
      <c r="CR490" s="294"/>
    </row>
    <row r="491" spans="1:96" ht="13">
      <c r="A491" s="294"/>
      <c r="B491" s="294"/>
      <c r="F491" s="302"/>
      <c r="I491" s="553"/>
      <c r="P491" s="295"/>
      <c r="W491" s="295"/>
      <c r="AD491" s="295"/>
      <c r="AK491" s="295"/>
      <c r="BY491" s="618"/>
      <c r="BZ491" s="553"/>
      <c r="CF491" s="294"/>
      <c r="CG491" s="294"/>
      <c r="CR491" s="294"/>
    </row>
    <row r="492" spans="1:96" ht="13">
      <c r="A492" s="294"/>
      <c r="B492" s="294"/>
      <c r="F492" s="302"/>
      <c r="I492" s="553"/>
      <c r="P492" s="295"/>
      <c r="W492" s="295"/>
      <c r="AD492" s="295"/>
      <c r="AK492" s="295"/>
      <c r="BY492" s="618"/>
      <c r="BZ492" s="553"/>
      <c r="CF492" s="294"/>
      <c r="CG492" s="294"/>
      <c r="CR492" s="294"/>
    </row>
    <row r="493" spans="1:96" ht="13">
      <c r="A493" s="294"/>
      <c r="B493" s="294"/>
      <c r="F493" s="302"/>
      <c r="I493" s="553"/>
      <c r="P493" s="295"/>
      <c r="W493" s="295"/>
      <c r="AD493" s="295"/>
      <c r="AK493" s="295"/>
      <c r="BY493" s="618"/>
      <c r="BZ493" s="553"/>
      <c r="CF493" s="294"/>
      <c r="CG493" s="294"/>
      <c r="CR493" s="294"/>
    </row>
    <row r="494" spans="1:96" ht="13">
      <c r="A494" s="294"/>
      <c r="B494" s="294"/>
      <c r="F494" s="302"/>
      <c r="I494" s="553"/>
      <c r="P494" s="295"/>
      <c r="W494" s="295"/>
      <c r="AD494" s="295"/>
      <c r="AK494" s="295"/>
      <c r="BY494" s="618"/>
      <c r="BZ494" s="553"/>
      <c r="CF494" s="294"/>
      <c r="CG494" s="294"/>
      <c r="CR494" s="294"/>
    </row>
    <row r="495" spans="1:96" ht="13">
      <c r="A495" s="294"/>
      <c r="B495" s="294"/>
      <c r="F495" s="302"/>
      <c r="I495" s="553"/>
      <c r="P495" s="295"/>
      <c r="W495" s="295"/>
      <c r="AD495" s="295"/>
      <c r="AK495" s="295"/>
      <c r="BY495" s="618"/>
      <c r="BZ495" s="553"/>
      <c r="CF495" s="294"/>
      <c r="CG495" s="294"/>
      <c r="CR495" s="294"/>
    </row>
    <row r="496" spans="1:96" ht="13">
      <c r="A496" s="294"/>
      <c r="B496" s="294"/>
      <c r="F496" s="302"/>
      <c r="I496" s="553"/>
      <c r="P496" s="295"/>
      <c r="W496" s="295"/>
      <c r="AD496" s="295"/>
      <c r="AK496" s="295"/>
      <c r="BY496" s="618"/>
      <c r="BZ496" s="553"/>
      <c r="CF496" s="294"/>
      <c r="CG496" s="294"/>
      <c r="CR496" s="294"/>
    </row>
    <row r="497" spans="1:96" ht="13">
      <c r="A497" s="294"/>
      <c r="B497" s="294"/>
      <c r="F497" s="302"/>
      <c r="I497" s="553"/>
      <c r="P497" s="295"/>
      <c r="W497" s="295"/>
      <c r="AD497" s="295"/>
      <c r="AK497" s="295"/>
      <c r="BY497" s="618"/>
      <c r="BZ497" s="553"/>
      <c r="CF497" s="294"/>
      <c r="CG497" s="294"/>
      <c r="CR497" s="294"/>
    </row>
    <row r="498" spans="1:96" ht="13">
      <c r="A498" s="294"/>
      <c r="B498" s="294"/>
      <c r="F498" s="302"/>
      <c r="I498" s="553"/>
      <c r="P498" s="295"/>
      <c r="W498" s="295"/>
      <c r="AD498" s="295"/>
      <c r="AK498" s="295"/>
      <c r="BY498" s="618"/>
      <c r="BZ498" s="553"/>
      <c r="CF498" s="294"/>
      <c r="CG498" s="294"/>
      <c r="CR498" s="294"/>
    </row>
    <row r="499" spans="1:96" ht="13">
      <c r="A499" s="294"/>
      <c r="B499" s="294"/>
      <c r="F499" s="302"/>
      <c r="I499" s="553"/>
      <c r="P499" s="295"/>
      <c r="W499" s="295"/>
      <c r="AD499" s="295"/>
      <c r="AK499" s="295"/>
      <c r="BY499" s="618"/>
      <c r="BZ499" s="553"/>
      <c r="CF499" s="294"/>
      <c r="CG499" s="294"/>
      <c r="CR499" s="294"/>
    </row>
    <row r="500" spans="1:96" ht="13">
      <c r="A500" s="294"/>
      <c r="B500" s="294"/>
      <c r="F500" s="302"/>
      <c r="I500" s="553"/>
      <c r="P500" s="295"/>
      <c r="W500" s="295"/>
      <c r="AD500" s="295"/>
      <c r="AK500" s="295"/>
      <c r="BY500" s="618"/>
      <c r="BZ500" s="553"/>
      <c r="CF500" s="294"/>
      <c r="CG500" s="294"/>
      <c r="CR500" s="294"/>
    </row>
    <row r="501" spans="1:96" ht="13">
      <c r="A501" s="294"/>
      <c r="B501" s="294"/>
      <c r="F501" s="302"/>
      <c r="I501" s="553"/>
      <c r="P501" s="295"/>
      <c r="W501" s="295"/>
      <c r="AD501" s="295"/>
      <c r="AK501" s="295"/>
      <c r="BY501" s="618"/>
      <c r="BZ501" s="553"/>
      <c r="CF501" s="294"/>
      <c r="CG501" s="294"/>
      <c r="CR501" s="294"/>
    </row>
    <row r="502" spans="1:96" ht="13">
      <c r="A502" s="294"/>
      <c r="B502" s="294"/>
      <c r="F502" s="302"/>
      <c r="I502" s="553"/>
      <c r="P502" s="295"/>
      <c r="W502" s="295"/>
      <c r="AD502" s="295"/>
      <c r="AK502" s="295"/>
      <c r="BY502" s="618"/>
      <c r="BZ502" s="553"/>
      <c r="CF502" s="294"/>
      <c r="CG502" s="294"/>
      <c r="CR502" s="294"/>
    </row>
    <row r="503" spans="1:96" ht="13">
      <c r="A503" s="294"/>
      <c r="B503" s="294"/>
      <c r="F503" s="302"/>
      <c r="I503" s="553"/>
      <c r="P503" s="295"/>
      <c r="W503" s="295"/>
      <c r="AD503" s="295"/>
      <c r="AK503" s="295"/>
      <c r="BY503" s="618"/>
      <c r="BZ503" s="553"/>
      <c r="CF503" s="294"/>
      <c r="CG503" s="294"/>
      <c r="CR503" s="294"/>
    </row>
    <row r="504" spans="1:96" ht="13">
      <c r="A504" s="294"/>
      <c r="B504" s="294"/>
      <c r="F504" s="302"/>
      <c r="I504" s="553"/>
      <c r="P504" s="295"/>
      <c r="W504" s="295"/>
      <c r="AD504" s="295"/>
      <c r="AK504" s="295"/>
      <c r="BY504" s="618"/>
      <c r="BZ504" s="553"/>
      <c r="CF504" s="294"/>
      <c r="CG504" s="294"/>
      <c r="CR504" s="294"/>
    </row>
    <row r="505" spans="1:96" ht="13">
      <c r="A505" s="294"/>
      <c r="B505" s="294"/>
      <c r="F505" s="302"/>
      <c r="I505" s="553"/>
      <c r="P505" s="295"/>
      <c r="W505" s="295"/>
      <c r="AD505" s="295"/>
      <c r="AK505" s="295"/>
      <c r="BY505" s="618"/>
      <c r="BZ505" s="553"/>
      <c r="CF505" s="294"/>
      <c r="CG505" s="294"/>
      <c r="CR505" s="294"/>
    </row>
    <row r="506" spans="1:96" ht="13">
      <c r="A506" s="294"/>
      <c r="B506" s="294"/>
      <c r="F506" s="302"/>
      <c r="I506" s="553"/>
      <c r="P506" s="295"/>
      <c r="W506" s="295"/>
      <c r="AD506" s="295"/>
      <c r="AK506" s="295"/>
      <c r="BY506" s="618"/>
      <c r="BZ506" s="553"/>
      <c r="CF506" s="294"/>
      <c r="CG506" s="294"/>
      <c r="CR506" s="294"/>
    </row>
    <row r="507" spans="1:96" ht="13">
      <c r="A507" s="294"/>
      <c r="B507" s="294"/>
      <c r="F507" s="302"/>
      <c r="I507" s="553"/>
      <c r="P507" s="295"/>
      <c r="W507" s="295"/>
      <c r="AD507" s="295"/>
      <c r="AK507" s="295"/>
      <c r="BY507" s="618"/>
      <c r="BZ507" s="553"/>
      <c r="CF507" s="294"/>
      <c r="CG507" s="294"/>
      <c r="CR507" s="294"/>
    </row>
    <row r="508" spans="1:96" ht="13">
      <c r="A508" s="294"/>
      <c r="B508" s="294"/>
      <c r="F508" s="302"/>
      <c r="I508" s="553"/>
      <c r="P508" s="295"/>
      <c r="W508" s="295"/>
      <c r="AD508" s="295"/>
      <c r="AK508" s="295"/>
      <c r="BY508" s="618"/>
      <c r="BZ508" s="553"/>
      <c r="CF508" s="294"/>
      <c r="CG508" s="294"/>
      <c r="CR508" s="294"/>
    </row>
    <row r="509" spans="1:96" ht="13">
      <c r="A509" s="294"/>
      <c r="B509" s="294"/>
      <c r="F509" s="302"/>
      <c r="I509" s="553"/>
      <c r="P509" s="295"/>
      <c r="W509" s="295"/>
      <c r="AD509" s="295"/>
      <c r="AK509" s="295"/>
      <c r="BY509" s="618"/>
      <c r="BZ509" s="553"/>
      <c r="CF509" s="294"/>
      <c r="CG509" s="294"/>
      <c r="CR509" s="294"/>
    </row>
    <row r="510" spans="1:96" ht="13">
      <c r="A510" s="294"/>
      <c r="B510" s="294"/>
      <c r="F510" s="302"/>
      <c r="I510" s="553"/>
      <c r="P510" s="295"/>
      <c r="W510" s="295"/>
      <c r="AD510" s="295"/>
      <c r="AK510" s="295"/>
      <c r="BY510" s="618"/>
      <c r="BZ510" s="553"/>
      <c r="CF510" s="294"/>
      <c r="CG510" s="294"/>
      <c r="CR510" s="294"/>
    </row>
    <row r="511" spans="1:96" ht="13">
      <c r="A511" s="294"/>
      <c r="B511" s="294"/>
      <c r="F511" s="302"/>
      <c r="I511" s="553"/>
      <c r="P511" s="295"/>
      <c r="W511" s="295"/>
      <c r="AD511" s="295"/>
      <c r="AK511" s="295"/>
      <c r="BY511" s="618"/>
      <c r="BZ511" s="553"/>
      <c r="CF511" s="294"/>
      <c r="CG511" s="294"/>
      <c r="CR511" s="294"/>
    </row>
    <row r="512" spans="1:96" ht="13">
      <c r="A512" s="294"/>
      <c r="B512" s="294"/>
      <c r="F512" s="302"/>
      <c r="I512" s="553"/>
      <c r="P512" s="295"/>
      <c r="W512" s="295"/>
      <c r="AD512" s="295"/>
      <c r="AK512" s="295"/>
      <c r="BY512" s="618"/>
      <c r="BZ512" s="553"/>
      <c r="CF512" s="294"/>
      <c r="CG512" s="294"/>
      <c r="CR512" s="294"/>
    </row>
    <row r="513" spans="1:96" ht="13">
      <c r="A513" s="294"/>
      <c r="B513" s="294"/>
      <c r="F513" s="302"/>
      <c r="I513" s="553"/>
      <c r="P513" s="295"/>
      <c r="W513" s="295"/>
      <c r="AD513" s="295"/>
      <c r="AK513" s="295"/>
      <c r="BY513" s="618"/>
      <c r="BZ513" s="553"/>
      <c r="CF513" s="294"/>
      <c r="CG513" s="294"/>
      <c r="CR513" s="294"/>
    </row>
    <row r="514" spans="1:96" ht="13">
      <c r="A514" s="294"/>
      <c r="B514" s="294"/>
      <c r="F514" s="302"/>
      <c r="I514" s="553"/>
      <c r="P514" s="295"/>
      <c r="W514" s="295"/>
      <c r="AD514" s="295"/>
      <c r="AK514" s="295"/>
      <c r="BY514" s="618"/>
      <c r="BZ514" s="553"/>
      <c r="CF514" s="294"/>
      <c r="CG514" s="294"/>
      <c r="CR514" s="294"/>
    </row>
    <row r="515" spans="1:96" ht="13">
      <c r="A515" s="294"/>
      <c r="B515" s="294"/>
      <c r="F515" s="302"/>
      <c r="I515" s="553"/>
      <c r="P515" s="295"/>
      <c r="W515" s="295"/>
      <c r="AD515" s="295"/>
      <c r="AK515" s="295"/>
      <c r="BY515" s="618"/>
      <c r="BZ515" s="553"/>
      <c r="CF515" s="294"/>
      <c r="CG515" s="294"/>
      <c r="CR515" s="294"/>
    </row>
    <row r="516" spans="1:96" ht="13">
      <c r="A516" s="294"/>
      <c r="B516" s="294"/>
      <c r="F516" s="302"/>
      <c r="I516" s="553"/>
      <c r="P516" s="295"/>
      <c r="W516" s="295"/>
      <c r="AD516" s="295"/>
      <c r="AK516" s="295"/>
      <c r="BY516" s="618"/>
      <c r="BZ516" s="553"/>
      <c r="CF516" s="294"/>
      <c r="CG516" s="294"/>
      <c r="CR516" s="294"/>
    </row>
    <row r="517" spans="1:96" ht="13">
      <c r="A517" s="294"/>
      <c r="B517" s="294"/>
      <c r="F517" s="302"/>
      <c r="I517" s="553"/>
      <c r="P517" s="295"/>
      <c r="W517" s="295"/>
      <c r="AD517" s="295"/>
      <c r="AK517" s="295"/>
      <c r="BY517" s="618"/>
      <c r="BZ517" s="553"/>
      <c r="CF517" s="294"/>
      <c r="CG517" s="294"/>
      <c r="CR517" s="294"/>
    </row>
    <row r="518" spans="1:96" ht="13">
      <c r="A518" s="294"/>
      <c r="B518" s="294"/>
      <c r="F518" s="302"/>
      <c r="I518" s="553"/>
      <c r="P518" s="295"/>
      <c r="W518" s="295"/>
      <c r="AD518" s="295"/>
      <c r="AK518" s="295"/>
      <c r="BY518" s="618"/>
      <c r="BZ518" s="553"/>
      <c r="CF518" s="294"/>
      <c r="CG518" s="294"/>
      <c r="CR518" s="294"/>
    </row>
    <row r="519" spans="1:96" ht="13">
      <c r="A519" s="294"/>
      <c r="B519" s="294"/>
      <c r="F519" s="302"/>
      <c r="I519" s="553"/>
      <c r="P519" s="295"/>
      <c r="W519" s="295"/>
      <c r="AD519" s="295"/>
      <c r="AK519" s="295"/>
      <c r="BY519" s="618"/>
      <c r="BZ519" s="553"/>
      <c r="CF519" s="294"/>
      <c r="CG519" s="294"/>
      <c r="CR519" s="294"/>
    </row>
    <row r="520" spans="1:96" ht="13">
      <c r="A520" s="294"/>
      <c r="B520" s="294"/>
      <c r="F520" s="302"/>
      <c r="I520" s="553"/>
      <c r="P520" s="295"/>
      <c r="W520" s="295"/>
      <c r="AD520" s="295"/>
      <c r="AK520" s="295"/>
      <c r="BY520" s="618"/>
      <c r="BZ520" s="553"/>
      <c r="CF520" s="294"/>
      <c r="CG520" s="294"/>
      <c r="CR520" s="294"/>
    </row>
    <row r="521" spans="1:96" ht="13">
      <c r="A521" s="294"/>
      <c r="B521" s="294"/>
      <c r="F521" s="302"/>
      <c r="I521" s="553"/>
      <c r="P521" s="295"/>
      <c r="W521" s="295"/>
      <c r="AD521" s="295"/>
      <c r="AK521" s="295"/>
      <c r="BY521" s="618"/>
      <c r="BZ521" s="553"/>
      <c r="CF521" s="294"/>
      <c r="CG521" s="294"/>
      <c r="CR521" s="294"/>
    </row>
    <row r="522" spans="1:96" ht="13">
      <c r="A522" s="294"/>
      <c r="B522" s="294"/>
      <c r="F522" s="302"/>
      <c r="I522" s="553"/>
      <c r="P522" s="295"/>
      <c r="W522" s="295"/>
      <c r="AD522" s="295"/>
      <c r="AK522" s="295"/>
      <c r="BY522" s="618"/>
      <c r="BZ522" s="553"/>
      <c r="CF522" s="294"/>
      <c r="CG522" s="294"/>
      <c r="CR522" s="294"/>
    </row>
    <row r="523" spans="1:96" ht="13">
      <c r="A523" s="294"/>
      <c r="B523" s="294"/>
      <c r="F523" s="302"/>
      <c r="I523" s="553"/>
      <c r="P523" s="295"/>
      <c r="W523" s="295"/>
      <c r="AD523" s="295"/>
      <c r="AK523" s="295"/>
      <c r="BY523" s="618"/>
      <c r="BZ523" s="553"/>
      <c r="CF523" s="294"/>
      <c r="CG523" s="294"/>
      <c r="CR523" s="294"/>
    </row>
    <row r="524" spans="1:96" ht="13">
      <c r="A524" s="294"/>
      <c r="B524" s="294"/>
      <c r="F524" s="302"/>
      <c r="I524" s="553"/>
      <c r="P524" s="295"/>
      <c r="W524" s="295"/>
      <c r="AD524" s="295"/>
      <c r="AK524" s="295"/>
      <c r="BY524" s="618"/>
      <c r="BZ524" s="553"/>
      <c r="CF524" s="294"/>
      <c r="CG524" s="294"/>
      <c r="CR524" s="294"/>
    </row>
    <row r="525" spans="1:96" ht="13">
      <c r="A525" s="294"/>
      <c r="B525" s="294"/>
      <c r="F525" s="302"/>
      <c r="I525" s="553"/>
      <c r="P525" s="295"/>
      <c r="W525" s="295"/>
      <c r="AD525" s="295"/>
      <c r="AK525" s="295"/>
      <c r="BY525" s="618"/>
      <c r="BZ525" s="553"/>
      <c r="CF525" s="294"/>
      <c r="CG525" s="294"/>
      <c r="CR525" s="294"/>
    </row>
    <row r="526" spans="1:96" ht="13">
      <c r="A526" s="294"/>
      <c r="B526" s="294"/>
      <c r="F526" s="302"/>
      <c r="I526" s="553"/>
      <c r="P526" s="295"/>
      <c r="W526" s="295"/>
      <c r="AD526" s="295"/>
      <c r="AK526" s="295"/>
      <c r="BY526" s="618"/>
      <c r="BZ526" s="553"/>
      <c r="CF526" s="294"/>
      <c r="CG526" s="294"/>
      <c r="CR526" s="294"/>
    </row>
    <row r="527" spans="1:96" ht="13">
      <c r="A527" s="294"/>
      <c r="B527" s="294"/>
      <c r="F527" s="302"/>
      <c r="I527" s="553"/>
      <c r="P527" s="295"/>
      <c r="W527" s="295"/>
      <c r="AD527" s="295"/>
      <c r="AK527" s="295"/>
      <c r="BY527" s="618"/>
      <c r="BZ527" s="553"/>
      <c r="CF527" s="294"/>
      <c r="CG527" s="294"/>
      <c r="CR527" s="294"/>
    </row>
    <row r="528" spans="1:96" ht="13">
      <c r="A528" s="294"/>
      <c r="B528" s="294"/>
      <c r="F528" s="302"/>
      <c r="I528" s="553"/>
      <c r="P528" s="295"/>
      <c r="W528" s="295"/>
      <c r="AD528" s="295"/>
      <c r="AK528" s="295"/>
      <c r="BY528" s="618"/>
      <c r="BZ528" s="553"/>
      <c r="CF528" s="294"/>
      <c r="CG528" s="294"/>
      <c r="CR528" s="294"/>
    </row>
    <row r="529" spans="1:96" ht="13">
      <c r="A529" s="294"/>
      <c r="B529" s="294"/>
      <c r="F529" s="302"/>
      <c r="I529" s="553"/>
      <c r="P529" s="295"/>
      <c r="W529" s="295"/>
      <c r="AD529" s="295"/>
      <c r="AK529" s="295"/>
      <c r="BY529" s="618"/>
      <c r="BZ529" s="553"/>
      <c r="CF529" s="294"/>
      <c r="CG529" s="294"/>
      <c r="CR529" s="294"/>
    </row>
    <row r="530" spans="1:96" ht="13">
      <c r="A530" s="294"/>
      <c r="B530" s="294"/>
      <c r="F530" s="302"/>
      <c r="I530" s="553"/>
      <c r="P530" s="295"/>
      <c r="W530" s="295"/>
      <c r="AD530" s="295"/>
      <c r="AK530" s="295"/>
      <c r="BY530" s="618"/>
      <c r="BZ530" s="553"/>
      <c r="CF530" s="294"/>
      <c r="CG530" s="294"/>
      <c r="CR530" s="294"/>
    </row>
    <row r="531" spans="1:96" ht="13">
      <c r="A531" s="294"/>
      <c r="B531" s="294"/>
      <c r="F531" s="302"/>
      <c r="I531" s="553"/>
      <c r="P531" s="295"/>
      <c r="W531" s="295"/>
      <c r="AD531" s="295"/>
      <c r="AK531" s="295"/>
      <c r="BY531" s="618"/>
      <c r="BZ531" s="553"/>
      <c r="CF531" s="294"/>
      <c r="CG531" s="294"/>
      <c r="CR531" s="294"/>
    </row>
    <row r="532" spans="1:96" ht="13">
      <c r="A532" s="294"/>
      <c r="B532" s="294"/>
      <c r="F532" s="302"/>
      <c r="I532" s="553"/>
      <c r="P532" s="295"/>
      <c r="W532" s="295"/>
      <c r="AD532" s="295"/>
      <c r="AK532" s="295"/>
      <c r="BY532" s="618"/>
      <c r="BZ532" s="553"/>
      <c r="CF532" s="294"/>
      <c r="CG532" s="294"/>
      <c r="CR532" s="294"/>
    </row>
    <row r="533" spans="1:96" ht="13">
      <c r="A533" s="294"/>
      <c r="B533" s="294"/>
      <c r="F533" s="302"/>
      <c r="I533" s="553"/>
      <c r="P533" s="295"/>
      <c r="W533" s="295"/>
      <c r="AD533" s="295"/>
      <c r="AK533" s="295"/>
      <c r="BY533" s="618"/>
      <c r="BZ533" s="553"/>
      <c r="CF533" s="294"/>
      <c r="CG533" s="294"/>
      <c r="CR533" s="294"/>
    </row>
    <row r="534" spans="1:96" ht="13">
      <c r="A534" s="294"/>
      <c r="B534" s="294"/>
      <c r="F534" s="302"/>
      <c r="I534" s="553"/>
      <c r="P534" s="295"/>
      <c r="W534" s="295"/>
      <c r="AD534" s="295"/>
      <c r="AK534" s="295"/>
      <c r="BY534" s="618"/>
      <c r="BZ534" s="553"/>
      <c r="CF534" s="294"/>
      <c r="CG534" s="294"/>
      <c r="CR534" s="294"/>
    </row>
    <row r="535" spans="1:96" ht="13">
      <c r="A535" s="294"/>
      <c r="B535" s="294"/>
      <c r="F535" s="302"/>
      <c r="I535" s="553"/>
      <c r="P535" s="295"/>
      <c r="W535" s="295"/>
      <c r="AD535" s="295"/>
      <c r="AK535" s="295"/>
      <c r="BY535" s="618"/>
      <c r="BZ535" s="553"/>
      <c r="CF535" s="294"/>
      <c r="CG535" s="294"/>
      <c r="CR535" s="294"/>
    </row>
    <row r="536" spans="1:96" ht="13">
      <c r="A536" s="294"/>
      <c r="B536" s="294"/>
      <c r="F536" s="302"/>
      <c r="I536" s="553"/>
      <c r="P536" s="295"/>
      <c r="W536" s="295"/>
      <c r="AD536" s="295"/>
      <c r="AK536" s="295"/>
      <c r="BY536" s="618"/>
      <c r="BZ536" s="553"/>
      <c r="CF536" s="294"/>
      <c r="CG536" s="294"/>
      <c r="CR536" s="294"/>
    </row>
    <row r="537" spans="1:96" ht="13">
      <c r="A537" s="294"/>
      <c r="B537" s="294"/>
      <c r="F537" s="302"/>
      <c r="I537" s="553"/>
      <c r="P537" s="295"/>
      <c r="W537" s="295"/>
      <c r="AD537" s="295"/>
      <c r="AK537" s="295"/>
      <c r="BY537" s="618"/>
      <c r="BZ537" s="553"/>
      <c r="CF537" s="294"/>
      <c r="CG537" s="294"/>
      <c r="CR537" s="294"/>
    </row>
    <row r="538" spans="1:96" ht="13">
      <c r="A538" s="294"/>
      <c r="B538" s="294"/>
      <c r="F538" s="302"/>
      <c r="I538" s="553"/>
      <c r="P538" s="295"/>
      <c r="W538" s="295"/>
      <c r="AD538" s="295"/>
      <c r="AK538" s="295"/>
      <c r="BY538" s="618"/>
      <c r="BZ538" s="553"/>
      <c r="CF538" s="294"/>
      <c r="CG538" s="294"/>
      <c r="CR538" s="294"/>
    </row>
    <row r="539" spans="1:96" ht="13">
      <c r="A539" s="294"/>
      <c r="B539" s="294"/>
      <c r="F539" s="302"/>
      <c r="I539" s="553"/>
      <c r="P539" s="295"/>
      <c r="W539" s="295"/>
      <c r="AD539" s="295"/>
      <c r="AK539" s="295"/>
      <c r="BY539" s="618"/>
      <c r="BZ539" s="553"/>
      <c r="CF539" s="294"/>
      <c r="CG539" s="294"/>
      <c r="CR539" s="294"/>
    </row>
    <row r="540" spans="1:96" ht="13">
      <c r="A540" s="294"/>
      <c r="B540" s="294"/>
      <c r="F540" s="302"/>
      <c r="I540" s="553"/>
      <c r="P540" s="295"/>
      <c r="W540" s="295"/>
      <c r="AD540" s="295"/>
      <c r="AK540" s="295"/>
      <c r="BY540" s="618"/>
      <c r="BZ540" s="553"/>
      <c r="CF540" s="294"/>
      <c r="CG540" s="294"/>
      <c r="CR540" s="294"/>
    </row>
    <row r="541" spans="1:96" ht="13">
      <c r="A541" s="294"/>
      <c r="B541" s="294"/>
      <c r="F541" s="302"/>
      <c r="I541" s="553"/>
      <c r="P541" s="295"/>
      <c r="W541" s="295"/>
      <c r="AD541" s="295"/>
      <c r="AK541" s="295"/>
      <c r="BY541" s="618"/>
      <c r="BZ541" s="553"/>
      <c r="CF541" s="294"/>
      <c r="CG541" s="294"/>
      <c r="CR541" s="294"/>
    </row>
    <row r="542" spans="1:96" ht="13">
      <c r="A542" s="294"/>
      <c r="B542" s="294"/>
      <c r="F542" s="302"/>
      <c r="I542" s="553"/>
      <c r="P542" s="295"/>
      <c r="W542" s="295"/>
      <c r="AD542" s="295"/>
      <c r="AK542" s="295"/>
      <c r="BY542" s="618"/>
      <c r="BZ542" s="553"/>
      <c r="CF542" s="294"/>
      <c r="CG542" s="294"/>
      <c r="CR542" s="294"/>
    </row>
    <row r="543" spans="1:96" ht="13">
      <c r="A543" s="294"/>
      <c r="B543" s="294"/>
      <c r="F543" s="302"/>
      <c r="I543" s="553"/>
      <c r="P543" s="295"/>
      <c r="W543" s="295"/>
      <c r="AD543" s="295"/>
      <c r="AK543" s="295"/>
      <c r="BY543" s="618"/>
      <c r="BZ543" s="553"/>
      <c r="CF543" s="294"/>
      <c r="CG543" s="294"/>
      <c r="CR543" s="294"/>
    </row>
    <row r="544" spans="1:96" ht="13">
      <c r="A544" s="294"/>
      <c r="B544" s="294"/>
      <c r="F544" s="302"/>
      <c r="I544" s="553"/>
      <c r="P544" s="295"/>
      <c r="W544" s="295"/>
      <c r="AD544" s="295"/>
      <c r="AK544" s="295"/>
      <c r="BY544" s="618"/>
      <c r="BZ544" s="553"/>
      <c r="CF544" s="294"/>
      <c r="CG544" s="294"/>
      <c r="CR544" s="294"/>
    </row>
    <row r="545" spans="1:96" ht="13">
      <c r="A545" s="294"/>
      <c r="B545" s="294"/>
      <c r="F545" s="302"/>
      <c r="I545" s="553"/>
      <c r="P545" s="295"/>
      <c r="W545" s="295"/>
      <c r="AD545" s="295"/>
      <c r="AK545" s="295"/>
      <c r="BY545" s="618"/>
      <c r="BZ545" s="553"/>
      <c r="CF545" s="294"/>
      <c r="CG545" s="294"/>
      <c r="CR545" s="294"/>
    </row>
    <row r="546" spans="1:96" ht="13">
      <c r="A546" s="294"/>
      <c r="B546" s="294"/>
      <c r="F546" s="302"/>
      <c r="I546" s="553"/>
      <c r="P546" s="295"/>
      <c r="W546" s="295"/>
      <c r="AD546" s="295"/>
      <c r="AK546" s="295"/>
      <c r="BY546" s="618"/>
      <c r="BZ546" s="553"/>
      <c r="CF546" s="294"/>
      <c r="CG546" s="294"/>
      <c r="CR546" s="294"/>
    </row>
    <row r="547" spans="1:96" ht="13">
      <c r="A547" s="294"/>
      <c r="B547" s="294"/>
      <c r="F547" s="302"/>
      <c r="I547" s="553"/>
      <c r="P547" s="295"/>
      <c r="W547" s="295"/>
      <c r="AD547" s="295"/>
      <c r="AK547" s="295"/>
      <c r="BY547" s="618"/>
      <c r="BZ547" s="553"/>
      <c r="CF547" s="294"/>
      <c r="CG547" s="294"/>
      <c r="CR547" s="294"/>
    </row>
    <row r="548" spans="1:96" ht="13">
      <c r="A548" s="294"/>
      <c r="B548" s="294"/>
      <c r="F548" s="302"/>
      <c r="I548" s="553"/>
      <c r="P548" s="295"/>
      <c r="W548" s="295"/>
      <c r="AD548" s="295"/>
      <c r="AK548" s="295"/>
      <c r="BY548" s="618"/>
      <c r="BZ548" s="553"/>
      <c r="CF548" s="294"/>
      <c r="CG548" s="294"/>
      <c r="CR548" s="294"/>
    </row>
    <row r="549" spans="1:96" ht="13">
      <c r="A549" s="294"/>
      <c r="B549" s="294"/>
      <c r="F549" s="302"/>
      <c r="I549" s="553"/>
      <c r="P549" s="295"/>
      <c r="W549" s="295"/>
      <c r="AD549" s="295"/>
      <c r="AK549" s="295"/>
      <c r="BY549" s="618"/>
      <c r="BZ549" s="553"/>
      <c r="CF549" s="294"/>
      <c r="CG549" s="294"/>
      <c r="CR549" s="294"/>
    </row>
    <row r="550" spans="1:96" ht="13">
      <c r="A550" s="294"/>
      <c r="B550" s="294"/>
      <c r="F550" s="302"/>
      <c r="I550" s="553"/>
      <c r="P550" s="295"/>
      <c r="W550" s="295"/>
      <c r="AD550" s="295"/>
      <c r="AK550" s="295"/>
      <c r="BY550" s="618"/>
      <c r="BZ550" s="553"/>
      <c r="CF550" s="294"/>
      <c r="CG550" s="294"/>
      <c r="CR550" s="294"/>
    </row>
    <row r="551" spans="1:96" ht="13">
      <c r="A551" s="294"/>
      <c r="B551" s="294"/>
      <c r="F551" s="302"/>
      <c r="I551" s="553"/>
      <c r="P551" s="295"/>
      <c r="W551" s="295"/>
      <c r="AD551" s="295"/>
      <c r="AK551" s="295"/>
      <c r="BY551" s="618"/>
      <c r="BZ551" s="553"/>
      <c r="CF551" s="294"/>
      <c r="CG551" s="294"/>
      <c r="CR551" s="294"/>
    </row>
    <row r="552" spans="1:96" ht="13">
      <c r="A552" s="294"/>
      <c r="B552" s="294"/>
      <c r="F552" s="302"/>
      <c r="I552" s="553"/>
      <c r="P552" s="295"/>
      <c r="W552" s="295"/>
      <c r="AD552" s="295"/>
      <c r="AK552" s="295"/>
      <c r="BY552" s="618"/>
      <c r="BZ552" s="553"/>
      <c r="CF552" s="294"/>
      <c r="CG552" s="294"/>
      <c r="CR552" s="294"/>
    </row>
    <row r="553" spans="1:96" ht="13">
      <c r="A553" s="294"/>
      <c r="B553" s="294"/>
      <c r="F553" s="302"/>
      <c r="I553" s="553"/>
      <c r="P553" s="295"/>
      <c r="W553" s="295"/>
      <c r="AD553" s="295"/>
      <c r="AK553" s="295"/>
      <c r="BY553" s="618"/>
      <c r="BZ553" s="553"/>
      <c r="CF553" s="294"/>
      <c r="CG553" s="294"/>
      <c r="CR553" s="294"/>
    </row>
    <row r="554" spans="1:96" ht="13">
      <c r="A554" s="294"/>
      <c r="B554" s="294"/>
      <c r="F554" s="302"/>
      <c r="I554" s="553"/>
      <c r="P554" s="295"/>
      <c r="W554" s="295"/>
      <c r="AD554" s="295"/>
      <c r="AK554" s="295"/>
      <c r="BY554" s="618"/>
      <c r="BZ554" s="553"/>
      <c r="CF554" s="294"/>
      <c r="CG554" s="294"/>
      <c r="CR554" s="294"/>
    </row>
    <row r="555" spans="1:96" ht="13">
      <c r="A555" s="294"/>
      <c r="B555" s="294"/>
      <c r="F555" s="302"/>
      <c r="I555" s="553"/>
      <c r="P555" s="295"/>
      <c r="W555" s="295"/>
      <c r="AD555" s="295"/>
      <c r="AK555" s="295"/>
      <c r="BY555" s="618"/>
      <c r="BZ555" s="553"/>
      <c r="CF555" s="294"/>
      <c r="CG555" s="294"/>
      <c r="CR555" s="294"/>
    </row>
    <row r="556" spans="1:96" ht="13">
      <c r="A556" s="294"/>
      <c r="B556" s="294"/>
      <c r="F556" s="302"/>
      <c r="I556" s="553"/>
      <c r="P556" s="295"/>
      <c r="W556" s="295"/>
      <c r="AD556" s="295"/>
      <c r="AK556" s="295"/>
      <c r="BY556" s="618"/>
      <c r="BZ556" s="553"/>
      <c r="CF556" s="294"/>
      <c r="CG556" s="294"/>
      <c r="CR556" s="294"/>
    </row>
    <row r="557" spans="1:96" ht="13">
      <c r="A557" s="294"/>
      <c r="B557" s="294"/>
      <c r="F557" s="302"/>
      <c r="I557" s="553"/>
      <c r="P557" s="295"/>
      <c r="W557" s="295"/>
      <c r="AD557" s="295"/>
      <c r="AK557" s="295"/>
      <c r="BY557" s="618"/>
      <c r="BZ557" s="553"/>
      <c r="CF557" s="294"/>
      <c r="CG557" s="294"/>
      <c r="CR557" s="294"/>
    </row>
    <row r="558" spans="1:96" ht="13">
      <c r="A558" s="294"/>
      <c r="B558" s="294"/>
      <c r="F558" s="302"/>
      <c r="I558" s="553"/>
      <c r="P558" s="295"/>
      <c r="W558" s="295"/>
      <c r="AD558" s="295"/>
      <c r="AK558" s="295"/>
      <c r="BY558" s="618"/>
      <c r="BZ558" s="553"/>
      <c r="CF558" s="294"/>
      <c r="CG558" s="294"/>
      <c r="CR558" s="294"/>
    </row>
    <row r="559" spans="1:96" ht="13">
      <c r="A559" s="294"/>
      <c r="B559" s="294"/>
      <c r="F559" s="302"/>
      <c r="I559" s="553"/>
      <c r="P559" s="295"/>
      <c r="W559" s="295"/>
      <c r="AD559" s="295"/>
      <c r="AK559" s="295"/>
      <c r="BY559" s="618"/>
      <c r="BZ559" s="553"/>
      <c r="CF559" s="294"/>
      <c r="CG559" s="294"/>
      <c r="CR559" s="294"/>
    </row>
    <row r="560" spans="1:96" ht="13">
      <c r="A560" s="294"/>
      <c r="B560" s="294"/>
      <c r="F560" s="302"/>
      <c r="I560" s="553"/>
      <c r="P560" s="295"/>
      <c r="W560" s="295"/>
      <c r="AD560" s="295"/>
      <c r="AK560" s="295"/>
      <c r="BY560" s="618"/>
      <c r="BZ560" s="553"/>
      <c r="CF560" s="294"/>
      <c r="CG560" s="294"/>
      <c r="CR560" s="294"/>
    </row>
    <row r="561" spans="1:96" ht="13">
      <c r="A561" s="294"/>
      <c r="B561" s="294"/>
      <c r="F561" s="302"/>
      <c r="I561" s="553"/>
      <c r="P561" s="295"/>
      <c r="W561" s="295"/>
      <c r="AD561" s="295"/>
      <c r="AK561" s="295"/>
      <c r="BY561" s="618"/>
      <c r="BZ561" s="553"/>
      <c r="CF561" s="294"/>
      <c r="CG561" s="294"/>
      <c r="CR561" s="294"/>
    </row>
    <row r="562" spans="1:96" ht="13">
      <c r="A562" s="294"/>
      <c r="B562" s="294"/>
      <c r="F562" s="302"/>
      <c r="I562" s="553"/>
      <c r="P562" s="295"/>
      <c r="W562" s="295"/>
      <c r="AD562" s="295"/>
      <c r="AK562" s="295"/>
      <c r="BY562" s="618"/>
      <c r="BZ562" s="553"/>
      <c r="CF562" s="294"/>
      <c r="CG562" s="294"/>
      <c r="CR562" s="294"/>
    </row>
    <row r="563" spans="1:96" ht="13">
      <c r="A563" s="294"/>
      <c r="B563" s="294"/>
      <c r="F563" s="302"/>
      <c r="I563" s="553"/>
      <c r="P563" s="295"/>
      <c r="W563" s="295"/>
      <c r="AD563" s="295"/>
      <c r="AK563" s="295"/>
      <c r="BY563" s="618"/>
      <c r="BZ563" s="553"/>
      <c r="CF563" s="294"/>
      <c r="CG563" s="294"/>
      <c r="CR563" s="294"/>
    </row>
    <row r="564" spans="1:96" ht="13">
      <c r="A564" s="294"/>
      <c r="B564" s="294"/>
      <c r="F564" s="302"/>
      <c r="I564" s="553"/>
      <c r="P564" s="295"/>
      <c r="W564" s="295"/>
      <c r="AD564" s="295"/>
      <c r="AK564" s="295"/>
      <c r="BY564" s="618"/>
      <c r="BZ564" s="553"/>
      <c r="CF564" s="294"/>
      <c r="CG564" s="294"/>
      <c r="CR564" s="294"/>
    </row>
    <row r="565" spans="1:96" ht="13">
      <c r="A565" s="294"/>
      <c r="B565" s="294"/>
      <c r="F565" s="302"/>
      <c r="I565" s="553"/>
      <c r="P565" s="295"/>
      <c r="W565" s="295"/>
      <c r="AD565" s="295"/>
      <c r="AK565" s="295"/>
      <c r="BY565" s="618"/>
      <c r="BZ565" s="553"/>
      <c r="CF565" s="294"/>
      <c r="CG565" s="294"/>
      <c r="CR565" s="294"/>
    </row>
    <row r="566" spans="1:96" ht="13">
      <c r="A566" s="294"/>
      <c r="B566" s="294"/>
      <c r="F566" s="302"/>
      <c r="I566" s="553"/>
      <c r="P566" s="295"/>
      <c r="W566" s="295"/>
      <c r="AD566" s="295"/>
      <c r="AK566" s="295"/>
      <c r="BY566" s="618"/>
      <c r="BZ566" s="553"/>
      <c r="CF566" s="294"/>
      <c r="CG566" s="294"/>
      <c r="CR566" s="294"/>
    </row>
    <row r="567" spans="1:96" ht="13">
      <c r="A567" s="294"/>
      <c r="B567" s="294"/>
      <c r="F567" s="302"/>
      <c r="I567" s="553"/>
      <c r="P567" s="295"/>
      <c r="W567" s="295"/>
      <c r="AD567" s="295"/>
      <c r="AK567" s="295"/>
      <c r="BY567" s="618"/>
      <c r="BZ567" s="553"/>
      <c r="CF567" s="294"/>
      <c r="CG567" s="294"/>
      <c r="CR567" s="294"/>
    </row>
    <row r="568" spans="1:96" ht="13">
      <c r="A568" s="294"/>
      <c r="B568" s="294"/>
      <c r="F568" s="302"/>
      <c r="I568" s="553"/>
      <c r="P568" s="295"/>
      <c r="W568" s="295"/>
      <c r="AD568" s="295"/>
      <c r="AK568" s="295"/>
      <c r="BY568" s="618"/>
      <c r="BZ568" s="553"/>
      <c r="CF568" s="294"/>
      <c r="CG568" s="294"/>
      <c r="CR568" s="294"/>
    </row>
    <row r="569" spans="1:96" ht="13">
      <c r="A569" s="294"/>
      <c r="B569" s="294"/>
      <c r="F569" s="302"/>
      <c r="I569" s="553"/>
      <c r="P569" s="295"/>
      <c r="W569" s="295"/>
      <c r="AD569" s="295"/>
      <c r="AK569" s="295"/>
      <c r="BY569" s="618"/>
      <c r="BZ569" s="553"/>
      <c r="CF569" s="294"/>
      <c r="CG569" s="294"/>
      <c r="CR569" s="294"/>
    </row>
    <row r="570" spans="1:96" ht="13">
      <c r="A570" s="294"/>
      <c r="B570" s="294"/>
      <c r="F570" s="302"/>
      <c r="I570" s="553"/>
      <c r="P570" s="295"/>
      <c r="W570" s="295"/>
      <c r="AD570" s="295"/>
      <c r="AK570" s="295"/>
      <c r="BY570" s="618"/>
      <c r="BZ570" s="553"/>
      <c r="CF570" s="294"/>
      <c r="CG570" s="294"/>
      <c r="CR570" s="294"/>
    </row>
    <row r="571" spans="1:96" ht="13">
      <c r="A571" s="294"/>
      <c r="B571" s="294"/>
      <c r="F571" s="302"/>
      <c r="I571" s="553"/>
      <c r="P571" s="295"/>
      <c r="W571" s="295"/>
      <c r="AD571" s="295"/>
      <c r="AK571" s="295"/>
      <c r="BY571" s="618"/>
      <c r="BZ571" s="553"/>
      <c r="CF571" s="294"/>
      <c r="CG571" s="294"/>
      <c r="CR571" s="294"/>
    </row>
    <row r="572" spans="1:96" ht="13">
      <c r="A572" s="294"/>
      <c r="B572" s="294"/>
      <c r="F572" s="302"/>
      <c r="I572" s="553"/>
      <c r="P572" s="295"/>
      <c r="W572" s="295"/>
      <c r="AD572" s="295"/>
      <c r="AK572" s="295"/>
      <c r="BY572" s="618"/>
      <c r="BZ572" s="553"/>
      <c r="CF572" s="294"/>
      <c r="CG572" s="294"/>
      <c r="CR572" s="294"/>
    </row>
    <row r="573" spans="1:96" ht="13">
      <c r="A573" s="294"/>
      <c r="B573" s="294"/>
      <c r="F573" s="302"/>
      <c r="I573" s="553"/>
      <c r="P573" s="295"/>
      <c r="W573" s="295"/>
      <c r="AD573" s="295"/>
      <c r="AK573" s="295"/>
      <c r="BY573" s="618"/>
      <c r="BZ573" s="553"/>
      <c r="CF573" s="294"/>
      <c r="CG573" s="294"/>
      <c r="CR573" s="294"/>
    </row>
    <row r="574" spans="1:96" ht="13">
      <c r="A574" s="294"/>
      <c r="B574" s="294"/>
      <c r="F574" s="302"/>
      <c r="I574" s="553"/>
      <c r="P574" s="295"/>
      <c r="W574" s="295"/>
      <c r="AD574" s="295"/>
      <c r="AK574" s="295"/>
      <c r="BY574" s="618"/>
      <c r="BZ574" s="553"/>
      <c r="CF574" s="294"/>
      <c r="CG574" s="294"/>
      <c r="CR574" s="294"/>
    </row>
    <row r="575" spans="1:96" ht="13">
      <c r="A575" s="294"/>
      <c r="B575" s="294"/>
      <c r="F575" s="302"/>
      <c r="I575" s="553"/>
      <c r="P575" s="295"/>
      <c r="W575" s="295"/>
      <c r="AD575" s="295"/>
      <c r="AK575" s="295"/>
      <c r="BY575" s="618"/>
      <c r="BZ575" s="553"/>
      <c r="CF575" s="294"/>
      <c r="CG575" s="294"/>
      <c r="CR575" s="294"/>
    </row>
    <row r="576" spans="1:96" ht="13">
      <c r="A576" s="294"/>
      <c r="B576" s="294"/>
      <c r="F576" s="302"/>
      <c r="I576" s="553"/>
      <c r="P576" s="295"/>
      <c r="W576" s="295"/>
      <c r="AD576" s="295"/>
      <c r="AK576" s="295"/>
      <c r="BY576" s="618"/>
      <c r="BZ576" s="553"/>
      <c r="CF576" s="294"/>
      <c r="CG576" s="294"/>
      <c r="CR576" s="294"/>
    </row>
    <row r="577" spans="1:96" ht="13">
      <c r="A577" s="294"/>
      <c r="B577" s="294"/>
      <c r="F577" s="302"/>
      <c r="I577" s="553"/>
      <c r="P577" s="295"/>
      <c r="W577" s="295"/>
      <c r="AD577" s="295"/>
      <c r="AK577" s="295"/>
      <c r="BY577" s="618"/>
      <c r="BZ577" s="553"/>
      <c r="CF577" s="294"/>
      <c r="CG577" s="294"/>
      <c r="CR577" s="294"/>
    </row>
    <row r="578" spans="1:96" ht="13">
      <c r="A578" s="294"/>
      <c r="B578" s="294"/>
      <c r="F578" s="302"/>
      <c r="I578" s="553"/>
      <c r="P578" s="295"/>
      <c r="W578" s="295"/>
      <c r="AD578" s="295"/>
      <c r="AK578" s="295"/>
      <c r="BY578" s="618"/>
      <c r="BZ578" s="553"/>
      <c r="CF578" s="294"/>
      <c r="CG578" s="294"/>
      <c r="CR578" s="294"/>
    </row>
    <row r="579" spans="1:96" ht="13">
      <c r="A579" s="294"/>
      <c r="B579" s="294"/>
      <c r="F579" s="302"/>
      <c r="I579" s="553"/>
      <c r="P579" s="295"/>
      <c r="W579" s="295"/>
      <c r="AD579" s="295"/>
      <c r="AK579" s="295"/>
      <c r="BY579" s="618"/>
      <c r="BZ579" s="553"/>
      <c r="CF579" s="294"/>
      <c r="CG579" s="294"/>
      <c r="CR579" s="294"/>
    </row>
    <row r="580" spans="1:96" ht="13">
      <c r="A580" s="294"/>
      <c r="B580" s="294"/>
      <c r="F580" s="302"/>
      <c r="I580" s="553"/>
      <c r="P580" s="295"/>
      <c r="W580" s="295"/>
      <c r="AD580" s="295"/>
      <c r="AK580" s="295"/>
      <c r="BY580" s="618"/>
      <c r="BZ580" s="553"/>
      <c r="CF580" s="294"/>
      <c r="CG580" s="294"/>
      <c r="CR580" s="294"/>
    </row>
    <row r="581" spans="1:96" ht="13">
      <c r="A581" s="294"/>
      <c r="B581" s="294"/>
      <c r="F581" s="302"/>
      <c r="I581" s="553"/>
      <c r="P581" s="295"/>
      <c r="W581" s="295"/>
      <c r="AD581" s="295"/>
      <c r="AK581" s="295"/>
      <c r="BY581" s="618"/>
      <c r="BZ581" s="553"/>
      <c r="CF581" s="294"/>
      <c r="CG581" s="294"/>
      <c r="CR581" s="294"/>
    </row>
    <row r="582" spans="1:96" ht="13">
      <c r="A582" s="294"/>
      <c r="B582" s="294"/>
      <c r="F582" s="302"/>
      <c r="I582" s="553"/>
      <c r="P582" s="295"/>
      <c r="W582" s="295"/>
      <c r="AD582" s="295"/>
      <c r="AK582" s="295"/>
      <c r="BY582" s="618"/>
      <c r="BZ582" s="553"/>
      <c r="CF582" s="294"/>
      <c r="CG582" s="294"/>
      <c r="CR582" s="294"/>
    </row>
    <row r="583" spans="1:96" ht="13">
      <c r="A583" s="294"/>
      <c r="B583" s="294"/>
      <c r="F583" s="302"/>
      <c r="I583" s="553"/>
      <c r="P583" s="295"/>
      <c r="W583" s="295"/>
      <c r="AD583" s="295"/>
      <c r="AK583" s="295"/>
      <c r="BY583" s="618"/>
      <c r="BZ583" s="553"/>
      <c r="CF583" s="294"/>
      <c r="CG583" s="294"/>
      <c r="CR583" s="294"/>
    </row>
    <row r="584" spans="1:96" ht="13">
      <c r="A584" s="294"/>
      <c r="B584" s="294"/>
      <c r="F584" s="302"/>
      <c r="I584" s="553"/>
      <c r="P584" s="295"/>
      <c r="W584" s="295"/>
      <c r="AD584" s="295"/>
      <c r="AK584" s="295"/>
      <c r="BY584" s="618"/>
      <c r="BZ584" s="553"/>
      <c r="CF584" s="294"/>
      <c r="CG584" s="294"/>
      <c r="CR584" s="294"/>
    </row>
    <row r="585" spans="1:96" ht="13">
      <c r="A585" s="294"/>
      <c r="B585" s="294"/>
      <c r="F585" s="302"/>
      <c r="I585" s="553"/>
      <c r="P585" s="295"/>
      <c r="W585" s="295"/>
      <c r="AD585" s="295"/>
      <c r="AK585" s="295"/>
      <c r="BY585" s="618"/>
      <c r="BZ585" s="553"/>
      <c r="CF585" s="294"/>
      <c r="CG585" s="294"/>
      <c r="CR585" s="294"/>
    </row>
    <row r="586" spans="1:96" ht="13">
      <c r="A586" s="294"/>
      <c r="B586" s="294"/>
      <c r="F586" s="302"/>
      <c r="I586" s="553"/>
      <c r="P586" s="295"/>
      <c r="W586" s="295"/>
      <c r="AD586" s="295"/>
      <c r="AK586" s="295"/>
      <c r="BY586" s="618"/>
      <c r="BZ586" s="553"/>
      <c r="CF586" s="294"/>
      <c r="CG586" s="294"/>
      <c r="CR586" s="294"/>
    </row>
    <row r="587" spans="1:96" ht="13">
      <c r="A587" s="294"/>
      <c r="B587" s="294"/>
      <c r="F587" s="302"/>
      <c r="I587" s="553"/>
      <c r="P587" s="295"/>
      <c r="W587" s="295"/>
      <c r="AD587" s="295"/>
      <c r="AK587" s="295"/>
      <c r="BY587" s="618"/>
      <c r="BZ587" s="553"/>
      <c r="CF587" s="294"/>
      <c r="CG587" s="294"/>
      <c r="CR587" s="294"/>
    </row>
    <row r="588" spans="1:96" ht="13">
      <c r="A588" s="294"/>
      <c r="B588" s="294"/>
      <c r="F588" s="302"/>
      <c r="I588" s="553"/>
      <c r="P588" s="295"/>
      <c r="W588" s="295"/>
      <c r="AD588" s="295"/>
      <c r="AK588" s="295"/>
      <c r="BY588" s="618"/>
      <c r="BZ588" s="553"/>
      <c r="CF588" s="294"/>
      <c r="CG588" s="294"/>
      <c r="CR588" s="294"/>
    </row>
    <row r="589" spans="1:96" ht="13">
      <c r="A589" s="294"/>
      <c r="B589" s="294"/>
      <c r="F589" s="302"/>
      <c r="I589" s="553"/>
      <c r="P589" s="295"/>
      <c r="W589" s="295"/>
      <c r="AD589" s="295"/>
      <c r="AK589" s="295"/>
      <c r="BY589" s="618"/>
      <c r="BZ589" s="553"/>
      <c r="CF589" s="294"/>
      <c r="CG589" s="294"/>
      <c r="CR589" s="294"/>
    </row>
    <row r="590" spans="1:96" ht="13">
      <c r="A590" s="294"/>
      <c r="B590" s="294"/>
      <c r="F590" s="302"/>
      <c r="I590" s="553"/>
      <c r="P590" s="295"/>
      <c r="W590" s="295"/>
      <c r="AD590" s="295"/>
      <c r="AK590" s="295"/>
      <c r="BY590" s="618"/>
      <c r="BZ590" s="553"/>
      <c r="CF590" s="294"/>
      <c r="CG590" s="294"/>
      <c r="CR590" s="294"/>
    </row>
    <row r="591" spans="1:96" ht="13">
      <c r="A591" s="294"/>
      <c r="B591" s="294"/>
      <c r="F591" s="302"/>
      <c r="I591" s="553"/>
      <c r="P591" s="295"/>
      <c r="W591" s="295"/>
      <c r="AD591" s="295"/>
      <c r="AK591" s="295"/>
      <c r="BY591" s="618"/>
      <c r="BZ591" s="553"/>
      <c r="CF591" s="294"/>
      <c r="CG591" s="294"/>
      <c r="CR591" s="294"/>
    </row>
    <row r="592" spans="1:96" ht="13">
      <c r="A592" s="294"/>
      <c r="B592" s="294"/>
      <c r="F592" s="302"/>
      <c r="I592" s="553"/>
      <c r="P592" s="295"/>
      <c r="W592" s="295"/>
      <c r="AD592" s="295"/>
      <c r="AK592" s="295"/>
      <c r="BY592" s="618"/>
      <c r="BZ592" s="553"/>
      <c r="CF592" s="294"/>
      <c r="CG592" s="294"/>
      <c r="CR592" s="294"/>
    </row>
    <row r="593" spans="1:96" ht="13">
      <c r="A593" s="294"/>
      <c r="B593" s="294"/>
      <c r="F593" s="302"/>
      <c r="I593" s="553"/>
      <c r="P593" s="295"/>
      <c r="W593" s="295"/>
      <c r="AD593" s="295"/>
      <c r="AK593" s="295"/>
      <c r="BY593" s="618"/>
      <c r="BZ593" s="553"/>
      <c r="CF593" s="294"/>
      <c r="CG593" s="294"/>
      <c r="CR593" s="294"/>
    </row>
    <row r="594" spans="1:96" ht="13">
      <c r="A594" s="294"/>
      <c r="B594" s="294"/>
      <c r="F594" s="302"/>
      <c r="I594" s="553"/>
      <c r="P594" s="295"/>
      <c r="W594" s="295"/>
      <c r="AD594" s="295"/>
      <c r="AK594" s="295"/>
      <c r="BY594" s="618"/>
      <c r="BZ594" s="553"/>
      <c r="CF594" s="294"/>
      <c r="CG594" s="294"/>
      <c r="CR594" s="294"/>
    </row>
    <row r="595" spans="1:96" ht="13">
      <c r="A595" s="294"/>
      <c r="B595" s="294"/>
      <c r="F595" s="302"/>
      <c r="I595" s="553"/>
      <c r="P595" s="295"/>
      <c r="W595" s="295"/>
      <c r="AD595" s="295"/>
      <c r="AK595" s="295"/>
      <c r="BY595" s="618"/>
      <c r="BZ595" s="553"/>
      <c r="CF595" s="294"/>
      <c r="CG595" s="294"/>
      <c r="CR595" s="294"/>
    </row>
    <row r="596" spans="1:96" ht="13">
      <c r="A596" s="294"/>
      <c r="B596" s="294"/>
      <c r="F596" s="302"/>
      <c r="I596" s="553"/>
      <c r="P596" s="295"/>
      <c r="W596" s="295"/>
      <c r="AD596" s="295"/>
      <c r="AK596" s="295"/>
      <c r="BY596" s="618"/>
      <c r="BZ596" s="553"/>
      <c r="CF596" s="294"/>
      <c r="CG596" s="294"/>
      <c r="CR596" s="294"/>
    </row>
    <row r="597" spans="1:96" ht="13">
      <c r="A597" s="294"/>
      <c r="B597" s="294"/>
      <c r="F597" s="302"/>
      <c r="I597" s="553"/>
      <c r="P597" s="295"/>
      <c r="W597" s="295"/>
      <c r="AD597" s="295"/>
      <c r="AK597" s="295"/>
      <c r="BY597" s="618"/>
      <c r="BZ597" s="553"/>
      <c r="CF597" s="294"/>
      <c r="CG597" s="294"/>
      <c r="CR597" s="294"/>
    </row>
    <row r="598" spans="1:96" ht="13">
      <c r="A598" s="294"/>
      <c r="B598" s="294"/>
      <c r="F598" s="302"/>
      <c r="I598" s="553"/>
      <c r="P598" s="295"/>
      <c r="W598" s="295"/>
      <c r="AD598" s="295"/>
      <c r="AK598" s="295"/>
      <c r="BY598" s="618"/>
      <c r="BZ598" s="553"/>
      <c r="CF598" s="294"/>
      <c r="CG598" s="294"/>
      <c r="CR598" s="294"/>
    </row>
    <row r="599" spans="1:96" ht="13">
      <c r="A599" s="294"/>
      <c r="B599" s="294"/>
      <c r="F599" s="302"/>
      <c r="I599" s="553"/>
      <c r="P599" s="295"/>
      <c r="W599" s="295"/>
      <c r="AD599" s="295"/>
      <c r="AK599" s="295"/>
      <c r="BY599" s="618"/>
      <c r="BZ599" s="553"/>
      <c r="CF599" s="294"/>
      <c r="CG599" s="294"/>
      <c r="CR599" s="294"/>
    </row>
    <row r="600" spans="1:96" ht="13">
      <c r="A600" s="294"/>
      <c r="B600" s="294"/>
      <c r="F600" s="302"/>
      <c r="I600" s="553"/>
      <c r="P600" s="295"/>
      <c r="W600" s="295"/>
      <c r="AD600" s="295"/>
      <c r="AK600" s="295"/>
      <c r="BY600" s="618"/>
      <c r="BZ600" s="553"/>
      <c r="CF600" s="294"/>
      <c r="CG600" s="294"/>
      <c r="CR600" s="294"/>
    </row>
    <row r="601" spans="1:96" ht="13">
      <c r="A601" s="294"/>
      <c r="B601" s="294"/>
      <c r="F601" s="302"/>
      <c r="I601" s="553"/>
      <c r="P601" s="295"/>
      <c r="W601" s="295"/>
      <c r="AD601" s="295"/>
      <c r="AK601" s="295"/>
      <c r="BY601" s="618"/>
      <c r="BZ601" s="553"/>
      <c r="CF601" s="294"/>
      <c r="CG601" s="294"/>
      <c r="CR601" s="294"/>
    </row>
    <row r="602" spans="1:96" ht="13">
      <c r="A602" s="294"/>
      <c r="B602" s="294"/>
      <c r="F602" s="302"/>
      <c r="I602" s="553"/>
      <c r="P602" s="295"/>
      <c r="W602" s="295"/>
      <c r="AD602" s="295"/>
      <c r="AK602" s="295"/>
      <c r="BY602" s="618"/>
      <c r="BZ602" s="553"/>
      <c r="CF602" s="294"/>
      <c r="CG602" s="294"/>
      <c r="CR602" s="294"/>
    </row>
    <row r="603" spans="1:96" ht="13">
      <c r="A603" s="294"/>
      <c r="B603" s="294"/>
      <c r="F603" s="302"/>
      <c r="I603" s="553"/>
      <c r="P603" s="295"/>
      <c r="W603" s="295"/>
      <c r="AD603" s="295"/>
      <c r="AK603" s="295"/>
      <c r="BY603" s="618"/>
      <c r="BZ603" s="553"/>
      <c r="CF603" s="294"/>
      <c r="CG603" s="294"/>
      <c r="CR603" s="294"/>
    </row>
    <row r="604" spans="1:96" ht="13">
      <c r="A604" s="294"/>
      <c r="B604" s="294"/>
      <c r="F604" s="302"/>
      <c r="I604" s="553"/>
      <c r="P604" s="295"/>
      <c r="W604" s="295"/>
      <c r="AD604" s="295"/>
      <c r="AK604" s="295"/>
      <c r="BY604" s="618"/>
      <c r="BZ604" s="553"/>
      <c r="CF604" s="294"/>
      <c r="CG604" s="294"/>
      <c r="CR604" s="294"/>
    </row>
    <row r="605" spans="1:96" ht="13">
      <c r="A605" s="294"/>
      <c r="B605" s="294"/>
      <c r="F605" s="302"/>
      <c r="I605" s="553"/>
      <c r="P605" s="295"/>
      <c r="W605" s="295"/>
      <c r="AD605" s="295"/>
      <c r="AK605" s="295"/>
      <c r="BY605" s="618"/>
      <c r="BZ605" s="553"/>
      <c r="CF605" s="294"/>
      <c r="CG605" s="294"/>
      <c r="CR605" s="294"/>
    </row>
    <row r="606" spans="1:96" ht="13">
      <c r="A606" s="294"/>
      <c r="B606" s="294"/>
      <c r="F606" s="302"/>
      <c r="I606" s="553"/>
      <c r="P606" s="295"/>
      <c r="W606" s="295"/>
      <c r="AD606" s="295"/>
      <c r="AK606" s="295"/>
      <c r="BY606" s="618"/>
      <c r="BZ606" s="553"/>
      <c r="CF606" s="294"/>
      <c r="CG606" s="294"/>
      <c r="CR606" s="294"/>
    </row>
    <row r="607" spans="1:96" ht="13">
      <c r="A607" s="294"/>
      <c r="B607" s="294"/>
      <c r="F607" s="302"/>
      <c r="I607" s="553"/>
      <c r="P607" s="295"/>
      <c r="W607" s="295"/>
      <c r="AD607" s="295"/>
      <c r="AK607" s="295"/>
      <c r="BY607" s="618"/>
      <c r="BZ607" s="553"/>
      <c r="CF607" s="294"/>
      <c r="CG607" s="294"/>
      <c r="CR607" s="294"/>
    </row>
    <row r="608" spans="1:96" ht="13">
      <c r="A608" s="294"/>
      <c r="B608" s="294"/>
      <c r="F608" s="302"/>
      <c r="I608" s="553"/>
      <c r="P608" s="295"/>
      <c r="W608" s="295"/>
      <c r="AD608" s="295"/>
      <c r="AK608" s="295"/>
      <c r="BY608" s="618"/>
      <c r="BZ608" s="553"/>
      <c r="CF608" s="294"/>
      <c r="CG608" s="294"/>
      <c r="CR608" s="294"/>
    </row>
    <row r="609" spans="1:96" ht="13">
      <c r="A609" s="294"/>
      <c r="B609" s="294"/>
      <c r="F609" s="302"/>
      <c r="I609" s="553"/>
      <c r="P609" s="295"/>
      <c r="W609" s="295"/>
      <c r="AD609" s="295"/>
      <c r="AK609" s="295"/>
      <c r="BY609" s="618"/>
      <c r="BZ609" s="553"/>
      <c r="CF609" s="294"/>
      <c r="CG609" s="294"/>
      <c r="CR609" s="294"/>
    </row>
    <row r="610" spans="1:96" ht="13">
      <c r="A610" s="294"/>
      <c r="B610" s="294"/>
      <c r="F610" s="302"/>
      <c r="I610" s="553"/>
      <c r="P610" s="295"/>
      <c r="W610" s="295"/>
      <c r="AD610" s="295"/>
      <c r="AK610" s="295"/>
      <c r="BY610" s="618"/>
      <c r="BZ610" s="553"/>
      <c r="CF610" s="294"/>
      <c r="CG610" s="294"/>
      <c r="CR610" s="294"/>
    </row>
    <row r="611" spans="1:96" ht="13">
      <c r="A611" s="294"/>
      <c r="B611" s="294"/>
      <c r="F611" s="302"/>
      <c r="I611" s="553"/>
      <c r="P611" s="295"/>
      <c r="W611" s="295"/>
      <c r="AD611" s="295"/>
      <c r="AK611" s="295"/>
      <c r="BY611" s="618"/>
      <c r="BZ611" s="553"/>
      <c r="CF611" s="294"/>
      <c r="CG611" s="294"/>
      <c r="CR611" s="294"/>
    </row>
    <row r="612" spans="1:96" ht="13">
      <c r="A612" s="294"/>
      <c r="B612" s="294"/>
      <c r="F612" s="302"/>
      <c r="I612" s="553"/>
      <c r="P612" s="295"/>
      <c r="W612" s="295"/>
      <c r="AD612" s="295"/>
      <c r="AK612" s="295"/>
      <c r="BY612" s="618"/>
      <c r="BZ612" s="553"/>
      <c r="CF612" s="294"/>
      <c r="CG612" s="294"/>
      <c r="CR612" s="294"/>
    </row>
    <row r="613" spans="1:96" ht="13">
      <c r="A613" s="294"/>
      <c r="B613" s="294"/>
      <c r="F613" s="302"/>
      <c r="I613" s="553"/>
      <c r="P613" s="295"/>
      <c r="W613" s="295"/>
      <c r="AD613" s="295"/>
      <c r="AK613" s="295"/>
      <c r="BY613" s="618"/>
      <c r="BZ613" s="553"/>
      <c r="CF613" s="294"/>
      <c r="CG613" s="294"/>
      <c r="CR613" s="294"/>
    </row>
    <row r="614" spans="1:96" ht="13">
      <c r="A614" s="294"/>
      <c r="B614" s="294"/>
      <c r="F614" s="302"/>
      <c r="I614" s="553"/>
      <c r="P614" s="295"/>
      <c r="W614" s="295"/>
      <c r="AD614" s="295"/>
      <c r="AK614" s="295"/>
      <c r="BY614" s="618"/>
      <c r="BZ614" s="553"/>
      <c r="CF614" s="294"/>
      <c r="CG614" s="294"/>
      <c r="CR614" s="294"/>
    </row>
    <row r="615" spans="1:96" ht="13">
      <c r="A615" s="294"/>
      <c r="B615" s="294"/>
      <c r="F615" s="302"/>
      <c r="I615" s="553"/>
      <c r="P615" s="295"/>
      <c r="W615" s="295"/>
      <c r="AD615" s="295"/>
      <c r="AK615" s="295"/>
      <c r="BY615" s="618"/>
      <c r="BZ615" s="553"/>
      <c r="CF615" s="294"/>
      <c r="CG615" s="294"/>
      <c r="CR615" s="294"/>
    </row>
    <row r="616" spans="1:96" ht="13">
      <c r="A616" s="294"/>
      <c r="B616" s="294"/>
      <c r="F616" s="302"/>
      <c r="I616" s="553"/>
      <c r="P616" s="295"/>
      <c r="W616" s="295"/>
      <c r="AD616" s="295"/>
      <c r="AK616" s="295"/>
      <c r="BY616" s="618"/>
      <c r="BZ616" s="553"/>
      <c r="CF616" s="294"/>
      <c r="CG616" s="294"/>
      <c r="CR616" s="294"/>
    </row>
    <row r="617" spans="1:96" ht="13">
      <c r="A617" s="294"/>
      <c r="B617" s="294"/>
      <c r="F617" s="302"/>
      <c r="I617" s="553"/>
      <c r="P617" s="295"/>
      <c r="W617" s="295"/>
      <c r="AD617" s="295"/>
      <c r="AK617" s="295"/>
      <c r="BY617" s="618"/>
      <c r="BZ617" s="553"/>
      <c r="CF617" s="294"/>
      <c r="CG617" s="294"/>
      <c r="CR617" s="294"/>
    </row>
    <row r="618" spans="1:96" ht="13">
      <c r="A618" s="294"/>
      <c r="B618" s="294"/>
      <c r="F618" s="302"/>
      <c r="I618" s="553"/>
      <c r="P618" s="295"/>
      <c r="W618" s="295"/>
      <c r="AD618" s="295"/>
      <c r="AK618" s="295"/>
      <c r="BY618" s="618"/>
      <c r="BZ618" s="553"/>
      <c r="CF618" s="294"/>
      <c r="CG618" s="294"/>
      <c r="CR618" s="294"/>
    </row>
    <row r="619" spans="1:96" ht="13">
      <c r="A619" s="294"/>
      <c r="B619" s="294"/>
      <c r="F619" s="302"/>
      <c r="I619" s="553"/>
      <c r="P619" s="295"/>
      <c r="W619" s="295"/>
      <c r="AD619" s="295"/>
      <c r="AK619" s="295"/>
      <c r="BY619" s="618"/>
      <c r="BZ619" s="553"/>
      <c r="CF619" s="294"/>
      <c r="CG619" s="294"/>
      <c r="CR619" s="294"/>
    </row>
    <row r="620" spans="1:96" ht="13">
      <c r="A620" s="294"/>
      <c r="B620" s="294"/>
      <c r="F620" s="302"/>
      <c r="I620" s="553"/>
      <c r="P620" s="295"/>
      <c r="W620" s="295"/>
      <c r="AD620" s="295"/>
      <c r="AK620" s="295"/>
      <c r="BY620" s="618"/>
      <c r="BZ620" s="553"/>
      <c r="CF620" s="294"/>
      <c r="CG620" s="294"/>
      <c r="CR620" s="294"/>
    </row>
    <row r="621" spans="1:96" ht="13">
      <c r="A621" s="294"/>
      <c r="B621" s="294"/>
      <c r="F621" s="302"/>
      <c r="I621" s="553"/>
      <c r="P621" s="295"/>
      <c r="W621" s="295"/>
      <c r="AD621" s="295"/>
      <c r="AK621" s="295"/>
      <c r="BY621" s="618"/>
      <c r="BZ621" s="553"/>
      <c r="CF621" s="294"/>
      <c r="CG621" s="294"/>
      <c r="CR621" s="294"/>
    </row>
    <row r="622" spans="1:96" ht="13">
      <c r="A622" s="294"/>
      <c r="B622" s="294"/>
      <c r="F622" s="302"/>
      <c r="I622" s="553"/>
      <c r="P622" s="295"/>
      <c r="W622" s="295"/>
      <c r="AD622" s="295"/>
      <c r="AK622" s="295"/>
      <c r="BY622" s="618"/>
      <c r="BZ622" s="553"/>
      <c r="CF622" s="294"/>
      <c r="CG622" s="294"/>
      <c r="CR622" s="294"/>
    </row>
    <row r="623" spans="1:96" ht="13">
      <c r="A623" s="294"/>
      <c r="B623" s="294"/>
      <c r="F623" s="302"/>
      <c r="I623" s="553"/>
      <c r="P623" s="295"/>
      <c r="W623" s="295"/>
      <c r="AD623" s="295"/>
      <c r="AK623" s="295"/>
      <c r="BY623" s="618"/>
      <c r="BZ623" s="553"/>
      <c r="CF623" s="294"/>
      <c r="CG623" s="294"/>
      <c r="CR623" s="294"/>
    </row>
    <row r="624" spans="1:96" ht="13">
      <c r="A624" s="294"/>
      <c r="B624" s="294"/>
      <c r="F624" s="302"/>
      <c r="I624" s="553"/>
      <c r="P624" s="295"/>
      <c r="W624" s="295"/>
      <c r="AD624" s="295"/>
      <c r="AK624" s="295"/>
      <c r="BY624" s="618"/>
      <c r="BZ624" s="553"/>
      <c r="CF624" s="294"/>
      <c r="CG624" s="294"/>
      <c r="CR624" s="294"/>
    </row>
    <row r="625" spans="1:96" ht="13">
      <c r="A625" s="294"/>
      <c r="B625" s="294"/>
      <c r="F625" s="302"/>
      <c r="I625" s="553"/>
      <c r="P625" s="295"/>
      <c r="W625" s="295"/>
      <c r="AD625" s="295"/>
      <c r="AK625" s="295"/>
      <c r="BY625" s="618"/>
      <c r="BZ625" s="553"/>
      <c r="CF625" s="294"/>
      <c r="CG625" s="294"/>
      <c r="CR625" s="294"/>
    </row>
    <row r="626" spans="1:96" ht="13">
      <c r="A626" s="294"/>
      <c r="B626" s="294"/>
      <c r="F626" s="302"/>
      <c r="I626" s="553"/>
      <c r="P626" s="295"/>
      <c r="W626" s="295"/>
      <c r="AD626" s="295"/>
      <c r="AK626" s="295"/>
      <c r="BY626" s="618"/>
      <c r="BZ626" s="553"/>
      <c r="CF626" s="294"/>
      <c r="CG626" s="294"/>
      <c r="CR626" s="294"/>
    </row>
    <row r="627" spans="1:96" ht="13">
      <c r="A627" s="294"/>
      <c r="B627" s="294"/>
      <c r="F627" s="302"/>
      <c r="I627" s="553"/>
      <c r="P627" s="295"/>
      <c r="W627" s="295"/>
      <c r="AD627" s="295"/>
      <c r="AK627" s="295"/>
      <c r="BY627" s="618"/>
      <c r="BZ627" s="553"/>
      <c r="CF627" s="294"/>
      <c r="CG627" s="294"/>
      <c r="CR627" s="294"/>
    </row>
    <row r="628" spans="1:96" ht="13">
      <c r="A628" s="294"/>
      <c r="B628" s="294"/>
      <c r="F628" s="302"/>
      <c r="I628" s="553"/>
      <c r="P628" s="295"/>
      <c r="W628" s="295"/>
      <c r="AD628" s="295"/>
      <c r="AK628" s="295"/>
      <c r="BY628" s="618"/>
      <c r="BZ628" s="553"/>
      <c r="CF628" s="294"/>
      <c r="CG628" s="294"/>
      <c r="CR628" s="294"/>
    </row>
    <row r="629" spans="1:96" ht="13">
      <c r="A629" s="294"/>
      <c r="B629" s="294"/>
      <c r="F629" s="302"/>
      <c r="I629" s="553"/>
      <c r="P629" s="295"/>
      <c r="W629" s="295"/>
      <c r="AD629" s="295"/>
      <c r="AK629" s="295"/>
      <c r="BY629" s="618"/>
      <c r="BZ629" s="553"/>
      <c r="CF629" s="294"/>
      <c r="CG629" s="294"/>
      <c r="CR629" s="294"/>
    </row>
    <row r="630" spans="1:96" ht="13">
      <c r="A630" s="294"/>
      <c r="B630" s="294"/>
      <c r="F630" s="302"/>
      <c r="I630" s="553"/>
      <c r="P630" s="295"/>
      <c r="W630" s="295"/>
      <c r="AD630" s="295"/>
      <c r="AK630" s="295"/>
      <c r="BY630" s="618"/>
      <c r="BZ630" s="553"/>
      <c r="CF630" s="294"/>
      <c r="CG630" s="294"/>
      <c r="CR630" s="294"/>
    </row>
    <row r="631" spans="1:96" ht="13">
      <c r="A631" s="294"/>
      <c r="B631" s="294"/>
      <c r="F631" s="302"/>
      <c r="I631" s="553"/>
      <c r="P631" s="295"/>
      <c r="W631" s="295"/>
      <c r="AD631" s="295"/>
      <c r="AK631" s="295"/>
      <c r="BY631" s="618"/>
      <c r="BZ631" s="553"/>
      <c r="CF631" s="294"/>
      <c r="CG631" s="294"/>
      <c r="CR631" s="294"/>
    </row>
    <row r="632" spans="1:96" ht="13">
      <c r="A632" s="294"/>
      <c r="B632" s="294"/>
      <c r="F632" s="302"/>
      <c r="I632" s="553"/>
      <c r="P632" s="295"/>
      <c r="W632" s="295"/>
      <c r="AD632" s="295"/>
      <c r="AK632" s="295"/>
      <c r="BY632" s="618"/>
      <c r="BZ632" s="553"/>
      <c r="CF632" s="294"/>
      <c r="CG632" s="294"/>
      <c r="CR632" s="294"/>
    </row>
    <row r="633" spans="1:96" ht="13">
      <c r="A633" s="294"/>
      <c r="B633" s="294"/>
      <c r="F633" s="302"/>
      <c r="I633" s="553"/>
      <c r="P633" s="295"/>
      <c r="W633" s="295"/>
      <c r="AD633" s="295"/>
      <c r="AK633" s="295"/>
      <c r="BY633" s="618"/>
      <c r="BZ633" s="553"/>
      <c r="CF633" s="294"/>
      <c r="CG633" s="294"/>
      <c r="CR633" s="294"/>
    </row>
    <row r="634" spans="1:96" ht="13">
      <c r="A634" s="294"/>
      <c r="B634" s="294"/>
      <c r="F634" s="302"/>
      <c r="I634" s="553"/>
      <c r="P634" s="295"/>
      <c r="W634" s="295"/>
      <c r="AD634" s="295"/>
      <c r="AK634" s="295"/>
      <c r="BY634" s="618"/>
      <c r="BZ634" s="553"/>
      <c r="CF634" s="294"/>
      <c r="CG634" s="294"/>
      <c r="CR634" s="294"/>
    </row>
    <row r="635" spans="1:96" ht="13">
      <c r="A635" s="294"/>
      <c r="B635" s="294"/>
      <c r="F635" s="302"/>
      <c r="I635" s="553"/>
      <c r="P635" s="295"/>
      <c r="W635" s="295"/>
      <c r="AD635" s="295"/>
      <c r="AK635" s="295"/>
      <c r="BY635" s="618"/>
      <c r="BZ635" s="553"/>
      <c r="CF635" s="294"/>
      <c r="CG635" s="294"/>
      <c r="CR635" s="294"/>
    </row>
    <row r="636" spans="1:96" ht="13">
      <c r="A636" s="294"/>
      <c r="B636" s="294"/>
      <c r="F636" s="302"/>
      <c r="I636" s="553"/>
      <c r="P636" s="295"/>
      <c r="W636" s="295"/>
      <c r="AD636" s="295"/>
      <c r="AK636" s="295"/>
      <c r="BY636" s="618"/>
      <c r="BZ636" s="553"/>
      <c r="CF636" s="294"/>
      <c r="CG636" s="294"/>
      <c r="CR636" s="294"/>
    </row>
    <row r="637" spans="1:96" ht="13">
      <c r="A637" s="294"/>
      <c r="B637" s="294"/>
      <c r="F637" s="302"/>
      <c r="I637" s="553"/>
      <c r="P637" s="295"/>
      <c r="W637" s="295"/>
      <c r="AD637" s="295"/>
      <c r="AK637" s="295"/>
      <c r="BY637" s="618"/>
      <c r="BZ637" s="553"/>
      <c r="CF637" s="294"/>
      <c r="CG637" s="294"/>
      <c r="CR637" s="294"/>
    </row>
    <row r="638" spans="1:96" ht="13">
      <c r="A638" s="294"/>
      <c r="B638" s="294"/>
      <c r="F638" s="302"/>
      <c r="I638" s="553"/>
      <c r="P638" s="295"/>
      <c r="W638" s="295"/>
      <c r="AD638" s="295"/>
      <c r="AK638" s="295"/>
      <c r="BY638" s="618"/>
      <c r="BZ638" s="553"/>
      <c r="CF638" s="294"/>
      <c r="CG638" s="294"/>
      <c r="CR638" s="294"/>
    </row>
    <row r="639" spans="1:96" ht="13">
      <c r="A639" s="294"/>
      <c r="B639" s="294"/>
      <c r="F639" s="302"/>
      <c r="I639" s="553"/>
      <c r="P639" s="295"/>
      <c r="W639" s="295"/>
      <c r="AD639" s="295"/>
      <c r="AK639" s="295"/>
      <c r="BY639" s="618"/>
      <c r="BZ639" s="553"/>
      <c r="CF639" s="294"/>
      <c r="CG639" s="294"/>
      <c r="CR639" s="294"/>
    </row>
    <row r="640" spans="1:96" ht="13">
      <c r="A640" s="294"/>
      <c r="B640" s="294"/>
      <c r="F640" s="302"/>
      <c r="I640" s="553"/>
      <c r="P640" s="295"/>
      <c r="W640" s="295"/>
      <c r="AD640" s="295"/>
      <c r="AK640" s="295"/>
      <c r="BY640" s="618"/>
      <c r="BZ640" s="553"/>
      <c r="CF640" s="294"/>
      <c r="CG640" s="294"/>
      <c r="CR640" s="294"/>
    </row>
    <row r="641" spans="1:96" ht="13">
      <c r="A641" s="294"/>
      <c r="B641" s="294"/>
      <c r="F641" s="302"/>
      <c r="I641" s="553"/>
      <c r="P641" s="295"/>
      <c r="W641" s="295"/>
      <c r="AD641" s="295"/>
      <c r="AK641" s="295"/>
      <c r="BY641" s="618"/>
      <c r="BZ641" s="553"/>
      <c r="CF641" s="294"/>
      <c r="CG641" s="294"/>
      <c r="CR641" s="294"/>
    </row>
    <row r="642" spans="1:96" ht="13">
      <c r="A642" s="294"/>
      <c r="B642" s="294"/>
      <c r="F642" s="302"/>
      <c r="I642" s="553"/>
      <c r="P642" s="295"/>
      <c r="W642" s="295"/>
      <c r="AD642" s="295"/>
      <c r="AK642" s="295"/>
      <c r="BY642" s="618"/>
      <c r="BZ642" s="553"/>
      <c r="CF642" s="294"/>
      <c r="CG642" s="294"/>
      <c r="CR642" s="294"/>
    </row>
    <row r="643" spans="1:96" ht="13">
      <c r="A643" s="294"/>
      <c r="B643" s="294"/>
      <c r="F643" s="302"/>
      <c r="I643" s="553"/>
      <c r="P643" s="295"/>
      <c r="W643" s="295"/>
      <c r="AD643" s="295"/>
      <c r="AK643" s="295"/>
      <c r="BY643" s="618"/>
      <c r="BZ643" s="553"/>
      <c r="CF643" s="294"/>
      <c r="CG643" s="294"/>
      <c r="CR643" s="294"/>
    </row>
    <row r="644" spans="1:96" ht="13">
      <c r="A644" s="294"/>
      <c r="B644" s="294"/>
      <c r="F644" s="302"/>
      <c r="I644" s="553"/>
      <c r="P644" s="295"/>
      <c r="W644" s="295"/>
      <c r="AD644" s="295"/>
      <c r="AK644" s="295"/>
      <c r="BY644" s="618"/>
      <c r="BZ644" s="553"/>
      <c r="CF644" s="294"/>
      <c r="CG644" s="294"/>
      <c r="CR644" s="294"/>
    </row>
    <row r="645" spans="1:96" ht="13">
      <c r="A645" s="294"/>
      <c r="B645" s="294"/>
      <c r="F645" s="302"/>
      <c r="I645" s="553"/>
      <c r="P645" s="295"/>
      <c r="W645" s="295"/>
      <c r="AD645" s="295"/>
      <c r="AK645" s="295"/>
      <c r="BY645" s="618"/>
      <c r="BZ645" s="553"/>
      <c r="CF645" s="294"/>
      <c r="CG645" s="294"/>
      <c r="CR645" s="294"/>
    </row>
    <row r="646" spans="1:96" ht="13">
      <c r="A646" s="294"/>
      <c r="B646" s="294"/>
      <c r="F646" s="302"/>
      <c r="I646" s="553"/>
      <c r="P646" s="295"/>
      <c r="W646" s="295"/>
      <c r="AD646" s="295"/>
      <c r="AK646" s="295"/>
      <c r="BY646" s="618"/>
      <c r="BZ646" s="553"/>
      <c r="CF646" s="294"/>
      <c r="CG646" s="294"/>
      <c r="CR646" s="294"/>
    </row>
    <row r="647" spans="1:96" ht="13">
      <c r="A647" s="294"/>
      <c r="B647" s="294"/>
      <c r="F647" s="302"/>
      <c r="I647" s="553"/>
      <c r="P647" s="295"/>
      <c r="W647" s="295"/>
      <c r="AD647" s="295"/>
      <c r="AK647" s="295"/>
      <c r="BY647" s="618"/>
      <c r="BZ647" s="553"/>
      <c r="CF647" s="294"/>
      <c r="CG647" s="294"/>
      <c r="CR647" s="294"/>
    </row>
    <row r="648" spans="1:96" ht="13">
      <c r="A648" s="294"/>
      <c r="B648" s="294"/>
      <c r="F648" s="302"/>
      <c r="I648" s="553"/>
      <c r="P648" s="295"/>
      <c r="W648" s="295"/>
      <c r="AD648" s="295"/>
      <c r="AK648" s="295"/>
      <c r="BY648" s="618"/>
      <c r="BZ648" s="553"/>
      <c r="CF648" s="294"/>
      <c r="CG648" s="294"/>
      <c r="CR648" s="294"/>
    </row>
    <row r="649" spans="1:96" ht="13">
      <c r="A649" s="294"/>
      <c r="B649" s="294"/>
      <c r="F649" s="302"/>
      <c r="I649" s="553"/>
      <c r="P649" s="295"/>
      <c r="W649" s="295"/>
      <c r="AD649" s="295"/>
      <c r="AK649" s="295"/>
      <c r="BY649" s="618"/>
      <c r="BZ649" s="553"/>
      <c r="CF649" s="294"/>
      <c r="CG649" s="294"/>
      <c r="CR649" s="294"/>
    </row>
    <row r="650" spans="1:96" ht="13">
      <c r="A650" s="294"/>
      <c r="B650" s="294"/>
      <c r="F650" s="302"/>
      <c r="I650" s="553"/>
      <c r="P650" s="295"/>
      <c r="W650" s="295"/>
      <c r="AD650" s="295"/>
      <c r="AK650" s="295"/>
      <c r="BY650" s="618"/>
      <c r="BZ650" s="553"/>
      <c r="CF650" s="294"/>
      <c r="CG650" s="294"/>
      <c r="CR650" s="294"/>
    </row>
    <row r="651" spans="1:96" ht="13">
      <c r="A651" s="294"/>
      <c r="B651" s="294"/>
      <c r="F651" s="302"/>
      <c r="I651" s="553"/>
      <c r="P651" s="295"/>
      <c r="W651" s="295"/>
      <c r="AD651" s="295"/>
      <c r="AK651" s="295"/>
      <c r="BY651" s="618"/>
      <c r="BZ651" s="553"/>
      <c r="CF651" s="294"/>
      <c r="CG651" s="294"/>
      <c r="CR651" s="294"/>
    </row>
    <row r="652" spans="1:96" ht="13">
      <c r="A652" s="294"/>
      <c r="B652" s="294"/>
      <c r="F652" s="302"/>
      <c r="I652" s="553"/>
      <c r="P652" s="295"/>
      <c r="W652" s="295"/>
      <c r="AD652" s="295"/>
      <c r="AK652" s="295"/>
      <c r="BY652" s="618"/>
      <c r="BZ652" s="553"/>
      <c r="CF652" s="294"/>
      <c r="CG652" s="294"/>
      <c r="CR652" s="294"/>
    </row>
    <row r="653" spans="1:96" ht="13">
      <c r="A653" s="294"/>
      <c r="B653" s="294"/>
      <c r="F653" s="302"/>
      <c r="I653" s="553"/>
      <c r="P653" s="295"/>
      <c r="W653" s="295"/>
      <c r="AD653" s="295"/>
      <c r="AK653" s="295"/>
      <c r="BY653" s="618"/>
      <c r="BZ653" s="553"/>
      <c r="CF653" s="294"/>
      <c r="CG653" s="294"/>
      <c r="CR653" s="294"/>
    </row>
    <row r="654" spans="1:96" ht="13">
      <c r="A654" s="294"/>
      <c r="B654" s="294"/>
      <c r="F654" s="302"/>
      <c r="I654" s="553"/>
      <c r="P654" s="295"/>
      <c r="W654" s="295"/>
      <c r="AD654" s="295"/>
      <c r="AK654" s="295"/>
      <c r="BY654" s="618"/>
      <c r="BZ654" s="553"/>
      <c r="CF654" s="294"/>
      <c r="CG654" s="294"/>
      <c r="CR654" s="294"/>
    </row>
    <row r="655" spans="1:96" ht="13">
      <c r="A655" s="294"/>
      <c r="B655" s="294"/>
      <c r="F655" s="302"/>
      <c r="I655" s="553"/>
      <c r="P655" s="295"/>
      <c r="W655" s="295"/>
      <c r="AD655" s="295"/>
      <c r="AK655" s="295"/>
      <c r="BY655" s="618"/>
      <c r="BZ655" s="553"/>
      <c r="CF655" s="294"/>
      <c r="CG655" s="294"/>
      <c r="CR655" s="294"/>
    </row>
    <row r="656" spans="1:96" ht="13">
      <c r="A656" s="294"/>
      <c r="B656" s="294"/>
      <c r="F656" s="302"/>
      <c r="I656" s="553"/>
      <c r="P656" s="295"/>
      <c r="W656" s="295"/>
      <c r="AD656" s="295"/>
      <c r="AK656" s="295"/>
      <c r="BY656" s="618"/>
      <c r="BZ656" s="553"/>
      <c r="CF656" s="294"/>
      <c r="CG656" s="294"/>
      <c r="CR656" s="294"/>
    </row>
    <row r="657" spans="1:96" ht="13">
      <c r="A657" s="294"/>
      <c r="B657" s="294"/>
      <c r="F657" s="302"/>
      <c r="I657" s="553"/>
      <c r="P657" s="295"/>
      <c r="W657" s="295"/>
      <c r="AD657" s="295"/>
      <c r="AK657" s="295"/>
      <c r="BY657" s="618"/>
      <c r="BZ657" s="553"/>
      <c r="CF657" s="294"/>
      <c r="CG657" s="294"/>
      <c r="CR657" s="294"/>
    </row>
    <row r="658" spans="1:96" ht="13">
      <c r="A658" s="294"/>
      <c r="B658" s="294"/>
      <c r="F658" s="302"/>
      <c r="I658" s="553"/>
      <c r="P658" s="295"/>
      <c r="W658" s="295"/>
      <c r="AD658" s="295"/>
      <c r="AK658" s="295"/>
      <c r="BY658" s="618"/>
      <c r="BZ658" s="553"/>
      <c r="CF658" s="294"/>
      <c r="CG658" s="294"/>
      <c r="CR658" s="294"/>
    </row>
    <row r="659" spans="1:96" ht="13">
      <c r="A659" s="294"/>
      <c r="B659" s="294"/>
      <c r="F659" s="302"/>
      <c r="I659" s="553"/>
      <c r="P659" s="295"/>
      <c r="W659" s="295"/>
      <c r="AD659" s="295"/>
      <c r="AK659" s="295"/>
      <c r="BY659" s="618"/>
      <c r="BZ659" s="553"/>
      <c r="CF659" s="294"/>
      <c r="CG659" s="294"/>
      <c r="CR659" s="294"/>
    </row>
    <row r="660" spans="1:96" ht="13">
      <c r="A660" s="294"/>
      <c r="B660" s="294"/>
      <c r="F660" s="302"/>
      <c r="I660" s="553"/>
      <c r="P660" s="295"/>
      <c r="W660" s="295"/>
      <c r="AD660" s="295"/>
      <c r="AK660" s="295"/>
      <c r="BY660" s="618"/>
      <c r="BZ660" s="553"/>
      <c r="CF660" s="294"/>
      <c r="CG660" s="294"/>
      <c r="CR660" s="294"/>
    </row>
    <row r="661" spans="1:96" ht="13">
      <c r="A661" s="294"/>
      <c r="B661" s="294"/>
      <c r="F661" s="302"/>
      <c r="I661" s="553"/>
      <c r="P661" s="295"/>
      <c r="W661" s="295"/>
      <c r="AD661" s="295"/>
      <c r="AK661" s="295"/>
      <c r="BY661" s="618"/>
      <c r="BZ661" s="553"/>
      <c r="CF661" s="294"/>
      <c r="CG661" s="294"/>
      <c r="CR661" s="294"/>
    </row>
    <row r="662" spans="1:96" ht="13">
      <c r="A662" s="294"/>
      <c r="B662" s="294"/>
      <c r="F662" s="302"/>
      <c r="I662" s="553"/>
      <c r="P662" s="295"/>
      <c r="W662" s="295"/>
      <c r="AD662" s="295"/>
      <c r="AK662" s="295"/>
      <c r="BY662" s="618"/>
      <c r="BZ662" s="553"/>
      <c r="CF662" s="294"/>
      <c r="CG662" s="294"/>
      <c r="CR662" s="294"/>
    </row>
    <row r="663" spans="1:96" ht="13">
      <c r="A663" s="294"/>
      <c r="B663" s="294"/>
      <c r="F663" s="302"/>
      <c r="I663" s="553"/>
      <c r="P663" s="295"/>
      <c r="W663" s="295"/>
      <c r="AD663" s="295"/>
      <c r="AK663" s="295"/>
      <c r="BY663" s="618"/>
      <c r="BZ663" s="553"/>
      <c r="CF663" s="294"/>
      <c r="CG663" s="294"/>
      <c r="CR663" s="294"/>
    </row>
    <row r="664" spans="1:96" ht="13">
      <c r="A664" s="294"/>
      <c r="B664" s="294"/>
      <c r="F664" s="302"/>
      <c r="I664" s="553"/>
      <c r="P664" s="295"/>
      <c r="W664" s="295"/>
      <c r="AD664" s="295"/>
      <c r="AK664" s="295"/>
      <c r="BY664" s="618"/>
      <c r="BZ664" s="553"/>
      <c r="CF664" s="294"/>
      <c r="CG664" s="294"/>
      <c r="CR664" s="294"/>
    </row>
    <row r="665" spans="1:96" ht="13">
      <c r="A665" s="294"/>
      <c r="B665" s="294"/>
      <c r="F665" s="302"/>
      <c r="I665" s="553"/>
      <c r="P665" s="295"/>
      <c r="W665" s="295"/>
      <c r="AD665" s="295"/>
      <c r="AK665" s="295"/>
      <c r="BY665" s="618"/>
      <c r="BZ665" s="553"/>
      <c r="CF665" s="294"/>
      <c r="CG665" s="294"/>
      <c r="CR665" s="294"/>
    </row>
    <row r="666" spans="1:96" ht="13">
      <c r="A666" s="294"/>
      <c r="B666" s="294"/>
      <c r="F666" s="302"/>
      <c r="I666" s="553"/>
      <c r="P666" s="295"/>
      <c r="W666" s="295"/>
      <c r="AD666" s="295"/>
      <c r="AK666" s="295"/>
      <c r="BY666" s="618"/>
      <c r="BZ666" s="553"/>
      <c r="CF666" s="294"/>
      <c r="CG666" s="294"/>
      <c r="CR666" s="294"/>
    </row>
    <row r="667" spans="1:96" ht="13">
      <c r="A667" s="294"/>
      <c r="B667" s="294"/>
      <c r="F667" s="302"/>
      <c r="I667" s="553"/>
      <c r="P667" s="295"/>
      <c r="W667" s="295"/>
      <c r="AD667" s="295"/>
      <c r="AK667" s="295"/>
      <c r="BY667" s="618"/>
      <c r="BZ667" s="553"/>
      <c r="CF667" s="294"/>
      <c r="CG667" s="294"/>
      <c r="CR667" s="294"/>
    </row>
    <row r="668" spans="1:96" ht="13">
      <c r="A668" s="294"/>
      <c r="B668" s="294"/>
      <c r="F668" s="302"/>
      <c r="I668" s="553"/>
      <c r="P668" s="295"/>
      <c r="W668" s="295"/>
      <c r="AD668" s="295"/>
      <c r="AK668" s="295"/>
      <c r="BY668" s="618"/>
      <c r="BZ668" s="553"/>
      <c r="CF668" s="294"/>
      <c r="CG668" s="294"/>
      <c r="CR668" s="294"/>
    </row>
    <row r="669" spans="1:96" ht="13">
      <c r="A669" s="294"/>
      <c r="B669" s="294"/>
      <c r="F669" s="302"/>
      <c r="I669" s="553"/>
      <c r="P669" s="295"/>
      <c r="W669" s="295"/>
      <c r="AD669" s="295"/>
      <c r="AK669" s="295"/>
      <c r="BY669" s="618"/>
      <c r="BZ669" s="553"/>
      <c r="CF669" s="294"/>
      <c r="CG669" s="294"/>
      <c r="CR669" s="294"/>
    </row>
    <row r="670" spans="1:96" ht="13">
      <c r="A670" s="294"/>
      <c r="B670" s="294"/>
      <c r="F670" s="302"/>
      <c r="I670" s="553"/>
      <c r="P670" s="295"/>
      <c r="W670" s="295"/>
      <c r="AD670" s="295"/>
      <c r="AK670" s="295"/>
      <c r="BY670" s="618"/>
      <c r="BZ670" s="553"/>
      <c r="CF670" s="294"/>
      <c r="CG670" s="294"/>
      <c r="CR670" s="294"/>
    </row>
    <row r="671" spans="1:96" ht="13">
      <c r="A671" s="294"/>
      <c r="B671" s="294"/>
      <c r="F671" s="302"/>
      <c r="I671" s="553"/>
      <c r="P671" s="295"/>
      <c r="W671" s="295"/>
      <c r="AD671" s="295"/>
      <c r="AK671" s="295"/>
      <c r="BY671" s="618"/>
      <c r="BZ671" s="553"/>
      <c r="CF671" s="294"/>
      <c r="CG671" s="294"/>
      <c r="CR671" s="294"/>
    </row>
    <row r="672" spans="1:96" ht="13">
      <c r="A672" s="294"/>
      <c r="B672" s="294"/>
      <c r="F672" s="302"/>
      <c r="I672" s="553"/>
      <c r="P672" s="295"/>
      <c r="W672" s="295"/>
      <c r="AD672" s="295"/>
      <c r="AK672" s="295"/>
      <c r="BY672" s="618"/>
      <c r="BZ672" s="553"/>
      <c r="CF672" s="294"/>
      <c r="CG672" s="294"/>
      <c r="CR672" s="294"/>
    </row>
    <row r="673" spans="1:96" ht="13">
      <c r="A673" s="294"/>
      <c r="B673" s="294"/>
      <c r="F673" s="302"/>
      <c r="I673" s="553"/>
      <c r="P673" s="295"/>
      <c r="W673" s="295"/>
      <c r="AD673" s="295"/>
      <c r="AK673" s="295"/>
      <c r="BY673" s="618"/>
      <c r="BZ673" s="553"/>
      <c r="CF673" s="294"/>
      <c r="CG673" s="294"/>
      <c r="CR673" s="294"/>
    </row>
    <row r="674" spans="1:96" ht="13">
      <c r="A674" s="294"/>
      <c r="B674" s="294"/>
      <c r="F674" s="302"/>
      <c r="I674" s="553"/>
      <c r="P674" s="295"/>
      <c r="W674" s="295"/>
      <c r="AD674" s="295"/>
      <c r="AK674" s="295"/>
      <c r="BY674" s="618"/>
      <c r="BZ674" s="553"/>
      <c r="CF674" s="294"/>
      <c r="CG674" s="294"/>
      <c r="CR674" s="294"/>
    </row>
    <row r="675" spans="1:96" ht="13">
      <c r="A675" s="294"/>
      <c r="B675" s="294"/>
      <c r="F675" s="302"/>
      <c r="I675" s="553"/>
      <c r="P675" s="295"/>
      <c r="W675" s="295"/>
      <c r="AD675" s="295"/>
      <c r="AK675" s="295"/>
      <c r="BY675" s="618"/>
      <c r="BZ675" s="553"/>
      <c r="CF675" s="294"/>
      <c r="CG675" s="294"/>
      <c r="CR675" s="294"/>
    </row>
    <row r="676" spans="1:96" ht="13">
      <c r="A676" s="294"/>
      <c r="B676" s="294"/>
      <c r="F676" s="302"/>
      <c r="I676" s="553"/>
      <c r="P676" s="295"/>
      <c r="W676" s="295"/>
      <c r="AD676" s="295"/>
      <c r="AK676" s="295"/>
      <c r="BY676" s="618"/>
      <c r="BZ676" s="553"/>
      <c r="CF676" s="294"/>
      <c r="CG676" s="294"/>
      <c r="CR676" s="294"/>
    </row>
    <row r="677" spans="1:96" ht="13">
      <c r="A677" s="294"/>
      <c r="B677" s="294"/>
      <c r="F677" s="302"/>
      <c r="I677" s="553"/>
      <c r="P677" s="295"/>
      <c r="W677" s="295"/>
      <c r="AD677" s="295"/>
      <c r="AK677" s="295"/>
      <c r="BY677" s="618"/>
      <c r="BZ677" s="553"/>
      <c r="CF677" s="294"/>
      <c r="CG677" s="294"/>
      <c r="CR677" s="294"/>
    </row>
    <row r="678" spans="1:96" ht="13">
      <c r="A678" s="294"/>
      <c r="B678" s="294"/>
      <c r="F678" s="302"/>
      <c r="I678" s="553"/>
      <c r="P678" s="295"/>
      <c r="W678" s="295"/>
      <c r="AD678" s="295"/>
      <c r="AK678" s="295"/>
      <c r="BY678" s="618"/>
      <c r="BZ678" s="553"/>
      <c r="CF678" s="294"/>
      <c r="CG678" s="294"/>
      <c r="CR678" s="294"/>
    </row>
    <row r="679" spans="1:96" ht="13">
      <c r="A679" s="294"/>
      <c r="B679" s="294"/>
      <c r="F679" s="302"/>
      <c r="I679" s="553"/>
      <c r="P679" s="295"/>
      <c r="W679" s="295"/>
      <c r="AD679" s="295"/>
      <c r="AK679" s="295"/>
      <c r="BY679" s="618"/>
      <c r="BZ679" s="553"/>
      <c r="CF679" s="294"/>
      <c r="CG679" s="294"/>
      <c r="CR679" s="294"/>
    </row>
    <row r="680" spans="1:96" ht="13">
      <c r="A680" s="294"/>
      <c r="B680" s="294"/>
      <c r="F680" s="302"/>
      <c r="I680" s="553"/>
      <c r="P680" s="295"/>
      <c r="W680" s="295"/>
      <c r="AD680" s="295"/>
      <c r="AK680" s="295"/>
      <c r="BY680" s="618"/>
      <c r="BZ680" s="553"/>
      <c r="CF680" s="294"/>
      <c r="CG680" s="294"/>
      <c r="CR680" s="294"/>
    </row>
    <row r="681" spans="1:96" ht="13">
      <c r="A681" s="294"/>
      <c r="B681" s="294"/>
      <c r="F681" s="302"/>
      <c r="I681" s="553"/>
      <c r="P681" s="295"/>
      <c r="W681" s="295"/>
      <c r="AD681" s="295"/>
      <c r="AK681" s="295"/>
      <c r="BY681" s="618"/>
      <c r="BZ681" s="553"/>
      <c r="CF681" s="294"/>
      <c r="CG681" s="294"/>
      <c r="CR681" s="294"/>
    </row>
    <row r="682" spans="1:96" ht="13">
      <c r="A682" s="294"/>
      <c r="B682" s="294"/>
      <c r="F682" s="302"/>
      <c r="I682" s="553"/>
      <c r="P682" s="295"/>
      <c r="W682" s="295"/>
      <c r="AD682" s="295"/>
      <c r="AK682" s="295"/>
      <c r="BY682" s="618"/>
      <c r="BZ682" s="553"/>
      <c r="CF682" s="294"/>
      <c r="CG682" s="294"/>
      <c r="CR682" s="294"/>
    </row>
    <row r="683" spans="1:96" ht="13">
      <c r="A683" s="294"/>
      <c r="B683" s="294"/>
      <c r="F683" s="302"/>
      <c r="I683" s="553"/>
      <c r="P683" s="295"/>
      <c r="W683" s="295"/>
      <c r="AD683" s="295"/>
      <c r="AK683" s="295"/>
      <c r="BY683" s="618"/>
      <c r="BZ683" s="553"/>
      <c r="CF683" s="294"/>
      <c r="CG683" s="294"/>
      <c r="CR683" s="294"/>
    </row>
    <row r="684" spans="1:96" ht="13">
      <c r="A684" s="294"/>
      <c r="B684" s="294"/>
      <c r="F684" s="302"/>
      <c r="I684" s="553"/>
      <c r="P684" s="295"/>
      <c r="W684" s="295"/>
      <c r="AD684" s="295"/>
      <c r="AK684" s="295"/>
      <c r="BY684" s="618"/>
      <c r="BZ684" s="553"/>
      <c r="CF684" s="294"/>
      <c r="CG684" s="294"/>
      <c r="CR684" s="294"/>
    </row>
    <row r="685" spans="1:96" ht="13">
      <c r="A685" s="294"/>
      <c r="B685" s="294"/>
      <c r="F685" s="302"/>
      <c r="I685" s="553"/>
      <c r="P685" s="295"/>
      <c r="W685" s="295"/>
      <c r="AD685" s="295"/>
      <c r="AK685" s="295"/>
      <c r="BY685" s="618"/>
      <c r="BZ685" s="553"/>
      <c r="CF685" s="294"/>
      <c r="CG685" s="294"/>
      <c r="CR685" s="294"/>
    </row>
    <row r="686" spans="1:96" ht="13">
      <c r="A686" s="294"/>
      <c r="B686" s="294"/>
      <c r="F686" s="302"/>
      <c r="I686" s="553"/>
      <c r="P686" s="295"/>
      <c r="W686" s="295"/>
      <c r="AD686" s="295"/>
      <c r="AK686" s="295"/>
      <c r="BY686" s="618"/>
      <c r="BZ686" s="553"/>
      <c r="CF686" s="294"/>
      <c r="CG686" s="294"/>
      <c r="CR686" s="294"/>
    </row>
    <row r="687" spans="1:96" ht="13">
      <c r="A687" s="294"/>
      <c r="B687" s="294"/>
      <c r="F687" s="302"/>
      <c r="I687" s="553"/>
      <c r="P687" s="295"/>
      <c r="W687" s="295"/>
      <c r="AD687" s="295"/>
      <c r="AK687" s="295"/>
      <c r="BY687" s="618"/>
      <c r="BZ687" s="553"/>
      <c r="CF687" s="294"/>
      <c r="CG687" s="294"/>
      <c r="CR687" s="294"/>
    </row>
    <row r="688" spans="1:96" ht="13">
      <c r="A688" s="294"/>
      <c r="B688" s="294"/>
      <c r="F688" s="302"/>
      <c r="I688" s="553"/>
      <c r="P688" s="295"/>
      <c r="W688" s="295"/>
      <c r="AD688" s="295"/>
      <c r="AK688" s="295"/>
      <c r="BY688" s="618"/>
      <c r="BZ688" s="553"/>
      <c r="CF688" s="294"/>
      <c r="CG688" s="294"/>
      <c r="CR688" s="294"/>
    </row>
    <row r="689" spans="1:96" ht="13">
      <c r="A689" s="294"/>
      <c r="B689" s="294"/>
      <c r="F689" s="302"/>
      <c r="I689" s="553"/>
      <c r="P689" s="295"/>
      <c r="W689" s="295"/>
      <c r="AD689" s="295"/>
      <c r="AK689" s="295"/>
      <c r="BY689" s="618"/>
      <c r="BZ689" s="553"/>
      <c r="CF689" s="294"/>
      <c r="CG689" s="294"/>
      <c r="CR689" s="294"/>
    </row>
    <row r="690" spans="1:96" ht="13">
      <c r="A690" s="294"/>
      <c r="B690" s="294"/>
      <c r="F690" s="302"/>
      <c r="I690" s="553"/>
      <c r="P690" s="295"/>
      <c r="W690" s="295"/>
      <c r="AD690" s="295"/>
      <c r="AK690" s="295"/>
      <c r="BY690" s="618"/>
      <c r="BZ690" s="553"/>
      <c r="CF690" s="294"/>
      <c r="CG690" s="294"/>
      <c r="CR690" s="294"/>
    </row>
    <row r="691" spans="1:96" ht="13">
      <c r="A691" s="294"/>
      <c r="B691" s="294"/>
      <c r="F691" s="302"/>
      <c r="I691" s="553"/>
      <c r="P691" s="295"/>
      <c r="W691" s="295"/>
      <c r="AD691" s="295"/>
      <c r="AK691" s="295"/>
      <c r="BY691" s="618"/>
      <c r="BZ691" s="553"/>
      <c r="CF691" s="294"/>
      <c r="CG691" s="294"/>
      <c r="CR691" s="294"/>
    </row>
    <row r="692" spans="1:96" ht="13">
      <c r="A692" s="294"/>
      <c r="B692" s="294"/>
      <c r="F692" s="302"/>
      <c r="I692" s="553"/>
      <c r="P692" s="295"/>
      <c r="W692" s="295"/>
      <c r="AD692" s="295"/>
      <c r="AK692" s="295"/>
      <c r="BY692" s="618"/>
      <c r="BZ692" s="553"/>
      <c r="CF692" s="294"/>
      <c r="CG692" s="294"/>
      <c r="CR692" s="294"/>
    </row>
    <row r="693" spans="1:96" ht="13">
      <c r="A693" s="294"/>
      <c r="B693" s="294"/>
      <c r="F693" s="302"/>
      <c r="I693" s="553"/>
      <c r="P693" s="295"/>
      <c r="W693" s="295"/>
      <c r="AD693" s="295"/>
      <c r="AK693" s="295"/>
      <c r="BY693" s="618"/>
      <c r="BZ693" s="553"/>
      <c r="CF693" s="294"/>
      <c r="CG693" s="294"/>
      <c r="CR693" s="294"/>
    </row>
    <row r="694" spans="1:96" ht="13">
      <c r="A694" s="294"/>
      <c r="B694" s="294"/>
      <c r="F694" s="302"/>
      <c r="I694" s="553"/>
      <c r="P694" s="295"/>
      <c r="W694" s="295"/>
      <c r="AD694" s="295"/>
      <c r="AK694" s="295"/>
      <c r="BY694" s="618"/>
      <c r="BZ694" s="553"/>
      <c r="CF694" s="294"/>
      <c r="CG694" s="294"/>
      <c r="CR694" s="294"/>
    </row>
    <row r="695" spans="1:96" ht="13">
      <c r="A695" s="294"/>
      <c r="B695" s="294"/>
      <c r="F695" s="302"/>
      <c r="I695" s="553"/>
      <c r="P695" s="295"/>
      <c r="W695" s="295"/>
      <c r="AD695" s="295"/>
      <c r="AK695" s="295"/>
      <c r="BY695" s="618"/>
      <c r="BZ695" s="553"/>
      <c r="CF695" s="294"/>
      <c r="CG695" s="294"/>
      <c r="CR695" s="294"/>
    </row>
    <row r="696" spans="1:96" ht="13">
      <c r="A696" s="294"/>
      <c r="B696" s="294"/>
      <c r="F696" s="302"/>
      <c r="I696" s="553"/>
      <c r="P696" s="295"/>
      <c r="W696" s="295"/>
      <c r="AD696" s="295"/>
      <c r="AK696" s="295"/>
      <c r="BY696" s="618"/>
      <c r="BZ696" s="553"/>
      <c r="CF696" s="294"/>
      <c r="CG696" s="294"/>
      <c r="CR696" s="294"/>
    </row>
    <row r="697" spans="1:96" ht="13">
      <c r="A697" s="294"/>
      <c r="B697" s="294"/>
      <c r="F697" s="302"/>
      <c r="I697" s="553"/>
      <c r="P697" s="295"/>
      <c r="W697" s="295"/>
      <c r="AD697" s="295"/>
      <c r="AK697" s="295"/>
      <c r="BY697" s="618"/>
      <c r="BZ697" s="553"/>
      <c r="CF697" s="294"/>
      <c r="CG697" s="294"/>
      <c r="CR697" s="294"/>
    </row>
    <row r="698" spans="1:96" ht="13">
      <c r="A698" s="294"/>
      <c r="B698" s="294"/>
      <c r="F698" s="302"/>
      <c r="I698" s="553"/>
      <c r="P698" s="295"/>
      <c r="W698" s="295"/>
      <c r="AD698" s="295"/>
      <c r="AK698" s="295"/>
      <c r="BY698" s="618"/>
      <c r="BZ698" s="553"/>
      <c r="CF698" s="294"/>
      <c r="CG698" s="294"/>
      <c r="CR698" s="294"/>
    </row>
    <row r="699" spans="1:96" ht="13">
      <c r="A699" s="294"/>
      <c r="B699" s="294"/>
      <c r="F699" s="302"/>
      <c r="I699" s="553"/>
      <c r="P699" s="295"/>
      <c r="W699" s="295"/>
      <c r="AD699" s="295"/>
      <c r="AK699" s="295"/>
      <c r="BY699" s="618"/>
      <c r="BZ699" s="553"/>
      <c r="CF699" s="294"/>
      <c r="CG699" s="294"/>
      <c r="CR699" s="294"/>
    </row>
    <row r="700" spans="1:96" ht="13">
      <c r="A700" s="294"/>
      <c r="B700" s="294"/>
      <c r="F700" s="302"/>
      <c r="I700" s="553"/>
      <c r="P700" s="295"/>
      <c r="W700" s="295"/>
      <c r="AD700" s="295"/>
      <c r="AK700" s="295"/>
      <c r="BY700" s="618"/>
      <c r="BZ700" s="553"/>
      <c r="CF700" s="294"/>
      <c r="CG700" s="294"/>
      <c r="CR700" s="294"/>
    </row>
    <row r="701" spans="1:96" ht="13">
      <c r="A701" s="294"/>
      <c r="B701" s="294"/>
      <c r="F701" s="302"/>
      <c r="I701" s="553"/>
      <c r="P701" s="295"/>
      <c r="W701" s="295"/>
      <c r="AD701" s="295"/>
      <c r="AK701" s="295"/>
      <c r="BY701" s="618"/>
      <c r="BZ701" s="553"/>
      <c r="CF701" s="294"/>
      <c r="CG701" s="294"/>
      <c r="CR701" s="294"/>
    </row>
    <row r="702" spans="1:96" ht="13">
      <c r="A702" s="294"/>
      <c r="B702" s="294"/>
      <c r="F702" s="302"/>
      <c r="I702" s="553"/>
      <c r="P702" s="295"/>
      <c r="W702" s="295"/>
      <c r="AD702" s="295"/>
      <c r="AK702" s="295"/>
      <c r="BY702" s="618"/>
      <c r="BZ702" s="553"/>
      <c r="CF702" s="294"/>
      <c r="CG702" s="294"/>
      <c r="CR702" s="294"/>
    </row>
    <row r="703" spans="1:96" ht="13">
      <c r="A703" s="294"/>
      <c r="B703" s="294"/>
      <c r="F703" s="302"/>
      <c r="I703" s="553"/>
      <c r="P703" s="295"/>
      <c r="W703" s="295"/>
      <c r="AD703" s="295"/>
      <c r="AK703" s="295"/>
      <c r="BY703" s="618"/>
      <c r="BZ703" s="553"/>
      <c r="CF703" s="294"/>
      <c r="CG703" s="294"/>
      <c r="CR703" s="294"/>
    </row>
    <row r="704" spans="1:96" ht="13">
      <c r="A704" s="294"/>
      <c r="B704" s="294"/>
      <c r="F704" s="302"/>
      <c r="I704" s="553"/>
      <c r="P704" s="295"/>
      <c r="W704" s="295"/>
      <c r="AD704" s="295"/>
      <c r="AK704" s="295"/>
      <c r="BY704" s="618"/>
      <c r="BZ704" s="553"/>
      <c r="CF704" s="294"/>
      <c r="CG704" s="294"/>
      <c r="CR704" s="294"/>
    </row>
    <row r="705" spans="1:96" ht="13">
      <c r="A705" s="294"/>
      <c r="B705" s="294"/>
      <c r="F705" s="302"/>
      <c r="I705" s="553"/>
      <c r="P705" s="295"/>
      <c r="W705" s="295"/>
      <c r="AD705" s="295"/>
      <c r="AK705" s="295"/>
      <c r="BY705" s="618"/>
      <c r="BZ705" s="553"/>
      <c r="CF705" s="294"/>
      <c r="CG705" s="294"/>
      <c r="CR705" s="294"/>
    </row>
    <row r="706" spans="1:96" ht="13">
      <c r="A706" s="294"/>
      <c r="B706" s="294"/>
      <c r="F706" s="302"/>
      <c r="I706" s="553"/>
      <c r="P706" s="295"/>
      <c r="W706" s="295"/>
      <c r="AD706" s="295"/>
      <c r="AK706" s="295"/>
      <c r="BY706" s="618"/>
      <c r="BZ706" s="553"/>
      <c r="CF706" s="294"/>
      <c r="CG706" s="294"/>
      <c r="CR706" s="294"/>
    </row>
    <row r="707" spans="1:96" ht="13">
      <c r="A707" s="294"/>
      <c r="B707" s="294"/>
      <c r="F707" s="302"/>
      <c r="I707" s="553"/>
      <c r="P707" s="295"/>
      <c r="W707" s="295"/>
      <c r="AD707" s="295"/>
      <c r="AK707" s="295"/>
      <c r="BY707" s="618"/>
      <c r="BZ707" s="553"/>
      <c r="CF707" s="294"/>
      <c r="CG707" s="294"/>
      <c r="CR707" s="294"/>
    </row>
    <row r="708" spans="1:96" ht="13">
      <c r="A708" s="294"/>
      <c r="B708" s="294"/>
      <c r="F708" s="302"/>
      <c r="I708" s="553"/>
      <c r="P708" s="295"/>
      <c r="W708" s="295"/>
      <c r="AD708" s="295"/>
      <c r="AK708" s="295"/>
      <c r="BY708" s="618"/>
      <c r="BZ708" s="553"/>
      <c r="CF708" s="294"/>
      <c r="CG708" s="294"/>
      <c r="CR708" s="294"/>
    </row>
    <row r="709" spans="1:96" ht="13">
      <c r="A709" s="294"/>
      <c r="B709" s="294"/>
      <c r="F709" s="302"/>
      <c r="I709" s="553"/>
      <c r="P709" s="295"/>
      <c r="W709" s="295"/>
      <c r="AD709" s="295"/>
      <c r="AK709" s="295"/>
      <c r="BY709" s="618"/>
      <c r="BZ709" s="553"/>
      <c r="CF709" s="294"/>
      <c r="CG709" s="294"/>
      <c r="CR709" s="294"/>
    </row>
    <row r="710" spans="1:96" ht="13">
      <c r="A710" s="294"/>
      <c r="B710" s="294"/>
      <c r="F710" s="302"/>
      <c r="I710" s="553"/>
      <c r="P710" s="295"/>
      <c r="W710" s="295"/>
      <c r="AD710" s="295"/>
      <c r="AK710" s="295"/>
      <c r="BY710" s="618"/>
      <c r="BZ710" s="553"/>
      <c r="CF710" s="294"/>
      <c r="CG710" s="294"/>
      <c r="CR710" s="294"/>
    </row>
    <row r="711" spans="1:96" ht="13">
      <c r="A711" s="294"/>
      <c r="B711" s="294"/>
      <c r="F711" s="302"/>
      <c r="I711" s="553"/>
      <c r="P711" s="295"/>
      <c r="W711" s="295"/>
      <c r="AD711" s="295"/>
      <c r="AK711" s="295"/>
      <c r="BY711" s="618"/>
      <c r="BZ711" s="553"/>
      <c r="CF711" s="294"/>
      <c r="CG711" s="294"/>
      <c r="CR711" s="294"/>
    </row>
    <row r="712" spans="1:96" ht="13">
      <c r="A712" s="294"/>
      <c r="B712" s="294"/>
      <c r="F712" s="302"/>
      <c r="I712" s="553"/>
      <c r="P712" s="295"/>
      <c r="W712" s="295"/>
      <c r="AD712" s="295"/>
      <c r="AK712" s="295"/>
      <c r="BY712" s="618"/>
      <c r="BZ712" s="553"/>
      <c r="CF712" s="294"/>
      <c r="CG712" s="294"/>
      <c r="CR712" s="294"/>
    </row>
    <row r="713" spans="1:96" ht="13">
      <c r="A713" s="294"/>
      <c r="B713" s="294"/>
      <c r="F713" s="302"/>
      <c r="I713" s="553"/>
      <c r="P713" s="295"/>
      <c r="W713" s="295"/>
      <c r="AD713" s="295"/>
      <c r="AK713" s="295"/>
      <c r="BY713" s="618"/>
      <c r="BZ713" s="553"/>
      <c r="CF713" s="294"/>
      <c r="CG713" s="294"/>
      <c r="CR713" s="294"/>
    </row>
    <row r="714" spans="1:96" ht="13">
      <c r="A714" s="294"/>
      <c r="B714" s="294"/>
      <c r="F714" s="302"/>
      <c r="I714" s="553"/>
      <c r="P714" s="295"/>
      <c r="W714" s="295"/>
      <c r="AD714" s="295"/>
      <c r="AK714" s="295"/>
      <c r="BY714" s="618"/>
      <c r="BZ714" s="553"/>
      <c r="CF714" s="294"/>
      <c r="CG714" s="294"/>
      <c r="CR714" s="294"/>
    </row>
    <row r="715" spans="1:96" ht="13">
      <c r="A715" s="294"/>
      <c r="B715" s="294"/>
      <c r="F715" s="302"/>
      <c r="I715" s="553"/>
      <c r="P715" s="295"/>
      <c r="W715" s="295"/>
      <c r="AD715" s="295"/>
      <c r="AK715" s="295"/>
      <c r="BY715" s="618"/>
      <c r="BZ715" s="553"/>
      <c r="CF715" s="294"/>
      <c r="CG715" s="294"/>
      <c r="CR715" s="294"/>
    </row>
    <row r="716" spans="1:96" ht="13">
      <c r="A716" s="294"/>
      <c r="B716" s="294"/>
      <c r="F716" s="302"/>
      <c r="I716" s="553"/>
      <c r="P716" s="295"/>
      <c r="W716" s="295"/>
      <c r="AD716" s="295"/>
      <c r="AK716" s="295"/>
      <c r="BY716" s="618"/>
      <c r="BZ716" s="553"/>
      <c r="CF716" s="294"/>
      <c r="CG716" s="294"/>
      <c r="CR716" s="294"/>
    </row>
    <row r="717" spans="1:96" ht="13">
      <c r="A717" s="294"/>
      <c r="B717" s="294"/>
      <c r="F717" s="302"/>
      <c r="I717" s="553"/>
      <c r="P717" s="295"/>
      <c r="W717" s="295"/>
      <c r="AD717" s="295"/>
      <c r="AK717" s="295"/>
      <c r="BY717" s="618"/>
      <c r="BZ717" s="553"/>
      <c r="CF717" s="294"/>
      <c r="CG717" s="294"/>
      <c r="CR717" s="294"/>
    </row>
    <row r="718" spans="1:96" ht="13">
      <c r="A718" s="294"/>
      <c r="B718" s="294"/>
      <c r="F718" s="302"/>
      <c r="I718" s="553"/>
      <c r="P718" s="295"/>
      <c r="W718" s="295"/>
      <c r="AD718" s="295"/>
      <c r="AK718" s="295"/>
      <c r="BY718" s="618"/>
      <c r="BZ718" s="553"/>
      <c r="CF718" s="294"/>
      <c r="CG718" s="294"/>
      <c r="CR718" s="294"/>
    </row>
    <row r="719" spans="1:96" ht="13">
      <c r="A719" s="294"/>
      <c r="B719" s="294"/>
      <c r="F719" s="302"/>
      <c r="I719" s="553"/>
      <c r="P719" s="295"/>
      <c r="W719" s="295"/>
      <c r="AD719" s="295"/>
      <c r="AK719" s="295"/>
      <c r="BY719" s="618"/>
      <c r="BZ719" s="553"/>
      <c r="CF719" s="294"/>
      <c r="CG719" s="294"/>
      <c r="CR719" s="294"/>
    </row>
    <row r="720" spans="1:96" ht="13">
      <c r="A720" s="294"/>
      <c r="B720" s="294"/>
      <c r="F720" s="302"/>
      <c r="I720" s="553"/>
      <c r="P720" s="295"/>
      <c r="W720" s="295"/>
      <c r="AD720" s="295"/>
      <c r="AK720" s="295"/>
      <c r="BY720" s="618"/>
      <c r="BZ720" s="553"/>
      <c r="CF720" s="294"/>
      <c r="CG720" s="294"/>
      <c r="CR720" s="294"/>
    </row>
    <row r="721" spans="1:96" ht="13">
      <c r="A721" s="294"/>
      <c r="B721" s="294"/>
      <c r="F721" s="302"/>
      <c r="I721" s="553"/>
      <c r="P721" s="295"/>
      <c r="W721" s="295"/>
      <c r="AD721" s="295"/>
      <c r="AK721" s="295"/>
      <c r="BY721" s="618"/>
      <c r="BZ721" s="553"/>
      <c r="CF721" s="294"/>
      <c r="CG721" s="294"/>
      <c r="CR721" s="294"/>
    </row>
    <row r="722" spans="1:96" ht="13">
      <c r="A722" s="294"/>
      <c r="B722" s="294"/>
      <c r="F722" s="302"/>
      <c r="I722" s="553"/>
      <c r="P722" s="295"/>
      <c r="W722" s="295"/>
      <c r="AD722" s="295"/>
      <c r="AK722" s="295"/>
      <c r="BY722" s="618"/>
      <c r="BZ722" s="553"/>
      <c r="CF722" s="294"/>
      <c r="CG722" s="294"/>
      <c r="CR722" s="294"/>
    </row>
    <row r="723" spans="1:96" ht="13">
      <c r="A723" s="294"/>
      <c r="B723" s="294"/>
      <c r="F723" s="302"/>
      <c r="I723" s="553"/>
      <c r="P723" s="295"/>
      <c r="W723" s="295"/>
      <c r="AD723" s="295"/>
      <c r="AK723" s="295"/>
      <c r="BY723" s="618"/>
      <c r="BZ723" s="553"/>
      <c r="CF723" s="294"/>
      <c r="CG723" s="294"/>
      <c r="CR723" s="294"/>
    </row>
    <row r="724" spans="1:96" ht="13">
      <c r="A724" s="294"/>
      <c r="B724" s="294"/>
      <c r="F724" s="302"/>
      <c r="I724" s="553"/>
      <c r="P724" s="295"/>
      <c r="W724" s="295"/>
      <c r="AD724" s="295"/>
      <c r="AK724" s="295"/>
      <c r="BY724" s="618"/>
      <c r="BZ724" s="553"/>
      <c r="CF724" s="294"/>
      <c r="CG724" s="294"/>
      <c r="CR724" s="294"/>
    </row>
    <row r="725" spans="1:96" ht="13">
      <c r="A725" s="294"/>
      <c r="B725" s="294"/>
      <c r="F725" s="302"/>
      <c r="I725" s="553"/>
      <c r="P725" s="295"/>
      <c r="W725" s="295"/>
      <c r="AD725" s="295"/>
      <c r="AK725" s="295"/>
      <c r="BY725" s="618"/>
      <c r="BZ725" s="553"/>
      <c r="CF725" s="294"/>
      <c r="CG725" s="294"/>
      <c r="CR725" s="294"/>
    </row>
    <row r="726" spans="1:96" ht="13">
      <c r="A726" s="294"/>
      <c r="B726" s="294"/>
      <c r="F726" s="302"/>
      <c r="I726" s="553"/>
      <c r="P726" s="295"/>
      <c r="W726" s="295"/>
      <c r="AD726" s="295"/>
      <c r="AK726" s="295"/>
      <c r="BY726" s="618"/>
      <c r="BZ726" s="553"/>
      <c r="CF726" s="294"/>
      <c r="CG726" s="294"/>
      <c r="CR726" s="294"/>
    </row>
    <row r="727" spans="1:96" ht="13">
      <c r="A727" s="294"/>
      <c r="B727" s="294"/>
      <c r="F727" s="302"/>
      <c r="I727" s="553"/>
      <c r="P727" s="295"/>
      <c r="W727" s="295"/>
      <c r="AD727" s="295"/>
      <c r="AK727" s="295"/>
      <c r="BY727" s="618"/>
      <c r="BZ727" s="553"/>
      <c r="CF727" s="294"/>
      <c r="CG727" s="294"/>
      <c r="CR727" s="294"/>
    </row>
    <row r="728" spans="1:96" ht="13">
      <c r="A728" s="294"/>
      <c r="B728" s="294"/>
      <c r="F728" s="302"/>
      <c r="I728" s="553"/>
      <c r="P728" s="295"/>
      <c r="W728" s="295"/>
      <c r="AD728" s="295"/>
      <c r="AK728" s="295"/>
      <c r="BY728" s="618"/>
      <c r="BZ728" s="553"/>
      <c r="CF728" s="294"/>
      <c r="CG728" s="294"/>
      <c r="CR728" s="294"/>
    </row>
    <row r="729" spans="1:96" ht="13">
      <c r="A729" s="294"/>
      <c r="B729" s="294"/>
      <c r="F729" s="302"/>
      <c r="I729" s="553"/>
      <c r="P729" s="295"/>
      <c r="W729" s="295"/>
      <c r="AD729" s="295"/>
      <c r="AK729" s="295"/>
      <c r="BY729" s="618"/>
      <c r="BZ729" s="553"/>
      <c r="CF729" s="294"/>
      <c r="CG729" s="294"/>
      <c r="CR729" s="294"/>
    </row>
    <row r="730" spans="1:96" ht="13">
      <c r="A730" s="294"/>
      <c r="B730" s="294"/>
      <c r="F730" s="302"/>
      <c r="I730" s="553"/>
      <c r="P730" s="295"/>
      <c r="W730" s="295"/>
      <c r="AD730" s="295"/>
      <c r="AK730" s="295"/>
      <c r="BY730" s="618"/>
      <c r="BZ730" s="553"/>
      <c r="CF730" s="294"/>
      <c r="CG730" s="294"/>
      <c r="CR730" s="294"/>
    </row>
    <row r="731" spans="1:96" ht="13">
      <c r="A731" s="294"/>
      <c r="B731" s="294"/>
      <c r="F731" s="302"/>
      <c r="I731" s="553"/>
      <c r="P731" s="295"/>
      <c r="W731" s="295"/>
      <c r="AD731" s="295"/>
      <c r="AK731" s="295"/>
      <c r="BY731" s="618"/>
      <c r="BZ731" s="553"/>
      <c r="CF731" s="294"/>
      <c r="CG731" s="294"/>
      <c r="CR731" s="294"/>
    </row>
    <row r="732" spans="1:96" ht="13">
      <c r="A732" s="294"/>
      <c r="B732" s="294"/>
      <c r="F732" s="302"/>
      <c r="I732" s="553"/>
      <c r="P732" s="295"/>
      <c r="W732" s="295"/>
      <c r="AD732" s="295"/>
      <c r="AK732" s="295"/>
      <c r="BY732" s="618"/>
      <c r="BZ732" s="553"/>
      <c r="CF732" s="294"/>
      <c r="CG732" s="294"/>
      <c r="CR732" s="294"/>
    </row>
    <row r="733" spans="1:96" ht="13">
      <c r="A733" s="294"/>
      <c r="B733" s="294"/>
      <c r="F733" s="302"/>
      <c r="I733" s="553"/>
      <c r="P733" s="295"/>
      <c r="W733" s="295"/>
      <c r="AD733" s="295"/>
      <c r="AK733" s="295"/>
      <c r="BY733" s="618"/>
      <c r="BZ733" s="553"/>
      <c r="CF733" s="294"/>
      <c r="CG733" s="294"/>
      <c r="CR733" s="294"/>
    </row>
    <row r="734" spans="1:96" ht="13">
      <c r="A734" s="294"/>
      <c r="B734" s="294"/>
      <c r="F734" s="302"/>
      <c r="I734" s="553"/>
      <c r="P734" s="295"/>
      <c r="W734" s="295"/>
      <c r="AD734" s="295"/>
      <c r="AK734" s="295"/>
      <c r="BY734" s="618"/>
      <c r="BZ734" s="553"/>
      <c r="CF734" s="294"/>
      <c r="CG734" s="294"/>
      <c r="CR734" s="294"/>
    </row>
    <row r="735" spans="1:96" ht="13">
      <c r="A735" s="294"/>
      <c r="B735" s="294"/>
      <c r="F735" s="302"/>
      <c r="I735" s="553"/>
      <c r="P735" s="295"/>
      <c r="W735" s="295"/>
      <c r="AD735" s="295"/>
      <c r="AK735" s="295"/>
      <c r="BY735" s="618"/>
      <c r="BZ735" s="553"/>
      <c r="CF735" s="294"/>
      <c r="CG735" s="294"/>
      <c r="CR735" s="294"/>
    </row>
    <row r="736" spans="1:96" ht="13">
      <c r="A736" s="294"/>
      <c r="B736" s="294"/>
      <c r="F736" s="302"/>
      <c r="I736" s="553"/>
      <c r="P736" s="295"/>
      <c r="W736" s="295"/>
      <c r="AD736" s="295"/>
      <c r="AK736" s="295"/>
      <c r="BY736" s="618"/>
      <c r="BZ736" s="553"/>
      <c r="CF736" s="294"/>
      <c r="CG736" s="294"/>
      <c r="CR736" s="294"/>
    </row>
    <row r="737" spans="1:96" ht="13">
      <c r="A737" s="294"/>
      <c r="B737" s="294"/>
      <c r="F737" s="302"/>
      <c r="I737" s="553"/>
      <c r="P737" s="295"/>
      <c r="W737" s="295"/>
      <c r="AD737" s="295"/>
      <c r="AK737" s="295"/>
      <c r="BY737" s="618"/>
      <c r="BZ737" s="553"/>
      <c r="CF737" s="294"/>
      <c r="CG737" s="294"/>
      <c r="CR737" s="294"/>
    </row>
    <row r="738" spans="1:96" ht="13">
      <c r="A738" s="294"/>
      <c r="B738" s="294"/>
      <c r="F738" s="302"/>
      <c r="I738" s="553"/>
      <c r="P738" s="295"/>
      <c r="W738" s="295"/>
      <c r="AD738" s="295"/>
      <c r="AK738" s="295"/>
      <c r="BY738" s="618"/>
      <c r="BZ738" s="553"/>
      <c r="CF738" s="294"/>
      <c r="CG738" s="294"/>
      <c r="CR738" s="294"/>
    </row>
    <row r="739" spans="1:96" ht="13">
      <c r="A739" s="294"/>
      <c r="B739" s="294"/>
      <c r="F739" s="302"/>
      <c r="I739" s="553"/>
      <c r="P739" s="295"/>
      <c r="W739" s="295"/>
      <c r="AD739" s="295"/>
      <c r="AK739" s="295"/>
      <c r="BY739" s="618"/>
      <c r="BZ739" s="553"/>
      <c r="CF739" s="294"/>
      <c r="CG739" s="294"/>
      <c r="CR739" s="294"/>
    </row>
    <row r="740" spans="1:96" ht="13">
      <c r="A740" s="294"/>
      <c r="B740" s="294"/>
      <c r="F740" s="302"/>
      <c r="I740" s="553"/>
      <c r="P740" s="295"/>
      <c r="W740" s="295"/>
      <c r="AD740" s="295"/>
      <c r="AK740" s="295"/>
      <c r="BY740" s="618"/>
      <c r="BZ740" s="553"/>
      <c r="CF740" s="294"/>
      <c r="CG740" s="294"/>
      <c r="CR740" s="294"/>
    </row>
    <row r="741" spans="1:96" ht="13">
      <c r="A741" s="294"/>
      <c r="B741" s="294"/>
      <c r="F741" s="302"/>
      <c r="I741" s="553"/>
      <c r="P741" s="295"/>
      <c r="W741" s="295"/>
      <c r="AD741" s="295"/>
      <c r="AK741" s="295"/>
      <c r="BY741" s="618"/>
      <c r="BZ741" s="553"/>
      <c r="CF741" s="294"/>
      <c r="CG741" s="294"/>
      <c r="CR741" s="294"/>
    </row>
    <row r="742" spans="1:96" ht="13">
      <c r="A742" s="294"/>
      <c r="B742" s="294"/>
      <c r="F742" s="302"/>
      <c r="I742" s="553"/>
      <c r="P742" s="295"/>
      <c r="W742" s="295"/>
      <c r="AD742" s="295"/>
      <c r="AK742" s="295"/>
      <c r="BY742" s="618"/>
      <c r="BZ742" s="553"/>
      <c r="CF742" s="294"/>
      <c r="CG742" s="294"/>
      <c r="CR742" s="294"/>
    </row>
    <row r="743" spans="1:96" ht="13">
      <c r="A743" s="294"/>
      <c r="B743" s="294"/>
      <c r="F743" s="302"/>
      <c r="I743" s="553"/>
      <c r="P743" s="295"/>
      <c r="W743" s="295"/>
      <c r="AD743" s="295"/>
      <c r="AK743" s="295"/>
      <c r="BY743" s="618"/>
      <c r="BZ743" s="553"/>
      <c r="CF743" s="294"/>
      <c r="CG743" s="294"/>
      <c r="CR743" s="294"/>
    </row>
    <row r="744" spans="1:96" ht="13">
      <c r="A744" s="294"/>
      <c r="B744" s="294"/>
      <c r="F744" s="302"/>
      <c r="I744" s="553"/>
      <c r="P744" s="295"/>
      <c r="W744" s="295"/>
      <c r="AD744" s="295"/>
      <c r="AK744" s="295"/>
      <c r="BY744" s="618"/>
      <c r="BZ744" s="553"/>
      <c r="CF744" s="294"/>
      <c r="CG744" s="294"/>
      <c r="CR744" s="294"/>
    </row>
    <row r="745" spans="1:96" ht="13">
      <c r="A745" s="294"/>
      <c r="B745" s="294"/>
      <c r="F745" s="302"/>
      <c r="I745" s="553"/>
      <c r="P745" s="295"/>
      <c r="W745" s="295"/>
      <c r="AD745" s="295"/>
      <c r="AK745" s="295"/>
      <c r="BY745" s="618"/>
      <c r="BZ745" s="553"/>
      <c r="CF745" s="294"/>
      <c r="CG745" s="294"/>
      <c r="CR745" s="294"/>
    </row>
    <row r="746" spans="1:96" ht="13">
      <c r="A746" s="294"/>
      <c r="B746" s="294"/>
      <c r="F746" s="302"/>
      <c r="I746" s="553"/>
      <c r="P746" s="295"/>
      <c r="W746" s="295"/>
      <c r="AD746" s="295"/>
      <c r="AK746" s="295"/>
      <c r="BY746" s="618"/>
      <c r="BZ746" s="553"/>
      <c r="CF746" s="294"/>
      <c r="CG746" s="294"/>
      <c r="CR746" s="294"/>
    </row>
    <row r="747" spans="1:96" ht="13">
      <c r="A747" s="294"/>
      <c r="B747" s="294"/>
      <c r="F747" s="302"/>
      <c r="I747" s="553"/>
      <c r="P747" s="295"/>
      <c r="W747" s="295"/>
      <c r="AD747" s="295"/>
      <c r="AK747" s="295"/>
      <c r="BY747" s="618"/>
      <c r="BZ747" s="553"/>
      <c r="CF747" s="294"/>
      <c r="CG747" s="294"/>
      <c r="CR747" s="294"/>
    </row>
    <row r="748" spans="1:96" ht="13">
      <c r="A748" s="294"/>
      <c r="B748" s="294"/>
      <c r="F748" s="302"/>
      <c r="I748" s="553"/>
      <c r="P748" s="295"/>
      <c r="W748" s="295"/>
      <c r="AD748" s="295"/>
      <c r="AK748" s="295"/>
      <c r="BY748" s="618"/>
      <c r="BZ748" s="553"/>
      <c r="CF748" s="294"/>
      <c r="CG748" s="294"/>
      <c r="CR748" s="294"/>
    </row>
    <row r="749" spans="1:96" ht="13">
      <c r="A749" s="294"/>
      <c r="B749" s="294"/>
      <c r="F749" s="302"/>
      <c r="I749" s="553"/>
      <c r="P749" s="295"/>
      <c r="W749" s="295"/>
      <c r="AD749" s="295"/>
      <c r="AK749" s="295"/>
      <c r="BY749" s="618"/>
      <c r="BZ749" s="553"/>
      <c r="CF749" s="294"/>
      <c r="CG749" s="294"/>
      <c r="CR749" s="294"/>
    </row>
    <row r="750" spans="1:96" ht="13">
      <c r="A750" s="294"/>
      <c r="B750" s="294"/>
      <c r="F750" s="302"/>
      <c r="I750" s="553"/>
      <c r="P750" s="295"/>
      <c r="W750" s="295"/>
      <c r="AD750" s="295"/>
      <c r="AK750" s="295"/>
      <c r="BY750" s="618"/>
      <c r="BZ750" s="553"/>
      <c r="CF750" s="294"/>
      <c r="CG750" s="294"/>
      <c r="CR750" s="294"/>
    </row>
    <row r="751" spans="1:96" ht="13">
      <c r="A751" s="294"/>
      <c r="B751" s="294"/>
      <c r="F751" s="302"/>
      <c r="I751" s="553"/>
      <c r="P751" s="295"/>
      <c r="W751" s="295"/>
      <c r="AD751" s="295"/>
      <c r="AK751" s="295"/>
      <c r="BY751" s="618"/>
      <c r="BZ751" s="553"/>
      <c r="CF751" s="294"/>
      <c r="CG751" s="294"/>
      <c r="CR751" s="294"/>
    </row>
    <row r="752" spans="1:96" ht="13">
      <c r="A752" s="294"/>
      <c r="B752" s="294"/>
      <c r="F752" s="302"/>
      <c r="I752" s="553"/>
      <c r="P752" s="295"/>
      <c r="W752" s="295"/>
      <c r="AD752" s="295"/>
      <c r="AK752" s="295"/>
      <c r="BY752" s="618"/>
      <c r="BZ752" s="553"/>
      <c r="CF752" s="294"/>
      <c r="CG752" s="294"/>
      <c r="CR752" s="294"/>
    </row>
    <row r="753" spans="1:96" ht="13">
      <c r="A753" s="294"/>
      <c r="B753" s="294"/>
      <c r="F753" s="302"/>
      <c r="I753" s="553"/>
      <c r="P753" s="295"/>
      <c r="W753" s="295"/>
      <c r="AD753" s="295"/>
      <c r="AK753" s="295"/>
      <c r="BY753" s="618"/>
      <c r="BZ753" s="553"/>
      <c r="CF753" s="294"/>
      <c r="CG753" s="294"/>
      <c r="CR753" s="294"/>
    </row>
    <row r="754" spans="1:96" ht="13">
      <c r="A754" s="294"/>
      <c r="B754" s="294"/>
      <c r="F754" s="302"/>
      <c r="I754" s="553"/>
      <c r="P754" s="295"/>
      <c r="W754" s="295"/>
      <c r="AD754" s="295"/>
      <c r="AK754" s="295"/>
      <c r="BY754" s="618"/>
      <c r="BZ754" s="553"/>
      <c r="CF754" s="294"/>
      <c r="CG754" s="294"/>
      <c r="CR754" s="294"/>
    </row>
    <row r="755" spans="1:96" ht="13">
      <c r="A755" s="294"/>
      <c r="B755" s="294"/>
      <c r="F755" s="302"/>
      <c r="I755" s="553"/>
      <c r="P755" s="295"/>
      <c r="W755" s="295"/>
      <c r="AD755" s="295"/>
      <c r="AK755" s="295"/>
      <c r="BY755" s="618"/>
      <c r="BZ755" s="553"/>
      <c r="CF755" s="294"/>
      <c r="CG755" s="294"/>
      <c r="CR755" s="294"/>
    </row>
    <row r="756" spans="1:96" ht="13">
      <c r="A756" s="294"/>
      <c r="B756" s="294"/>
      <c r="F756" s="302"/>
      <c r="I756" s="553"/>
      <c r="P756" s="295"/>
      <c r="W756" s="295"/>
      <c r="AD756" s="295"/>
      <c r="AK756" s="295"/>
      <c r="BY756" s="618"/>
      <c r="BZ756" s="553"/>
      <c r="CF756" s="294"/>
      <c r="CG756" s="294"/>
      <c r="CR756" s="294"/>
    </row>
    <row r="757" spans="1:96" ht="13">
      <c r="A757" s="294"/>
      <c r="B757" s="294"/>
      <c r="F757" s="302"/>
      <c r="I757" s="553"/>
      <c r="P757" s="295"/>
      <c r="W757" s="295"/>
      <c r="AD757" s="295"/>
      <c r="AK757" s="295"/>
      <c r="BY757" s="618"/>
      <c r="BZ757" s="553"/>
      <c r="CF757" s="294"/>
      <c r="CG757" s="294"/>
      <c r="CR757" s="294"/>
    </row>
    <row r="758" spans="1:96" ht="13">
      <c r="A758" s="294"/>
      <c r="B758" s="294"/>
      <c r="F758" s="302"/>
      <c r="I758" s="553"/>
      <c r="P758" s="295"/>
      <c r="W758" s="295"/>
      <c r="AD758" s="295"/>
      <c r="AK758" s="295"/>
      <c r="BY758" s="618"/>
      <c r="BZ758" s="553"/>
      <c r="CF758" s="294"/>
      <c r="CG758" s="294"/>
      <c r="CR758" s="294"/>
    </row>
    <row r="759" spans="1:96" ht="13">
      <c r="A759" s="294"/>
      <c r="B759" s="294"/>
      <c r="F759" s="302"/>
      <c r="I759" s="553"/>
      <c r="P759" s="295"/>
      <c r="W759" s="295"/>
      <c r="AD759" s="295"/>
      <c r="AK759" s="295"/>
      <c r="BY759" s="618"/>
      <c r="BZ759" s="553"/>
      <c r="CF759" s="294"/>
      <c r="CG759" s="294"/>
      <c r="CR759" s="294"/>
    </row>
    <row r="760" spans="1:96" ht="13">
      <c r="A760" s="294"/>
      <c r="B760" s="294"/>
      <c r="F760" s="302"/>
      <c r="I760" s="553"/>
      <c r="P760" s="295"/>
      <c r="W760" s="295"/>
      <c r="AD760" s="295"/>
      <c r="AK760" s="295"/>
      <c r="BY760" s="618"/>
      <c r="BZ760" s="553"/>
      <c r="CF760" s="294"/>
      <c r="CG760" s="294"/>
      <c r="CR760" s="294"/>
    </row>
    <row r="761" spans="1:96" ht="13">
      <c r="A761" s="294"/>
      <c r="B761" s="294"/>
      <c r="F761" s="302"/>
      <c r="I761" s="553"/>
      <c r="P761" s="295"/>
      <c r="W761" s="295"/>
      <c r="AD761" s="295"/>
      <c r="AK761" s="295"/>
      <c r="BY761" s="618"/>
      <c r="BZ761" s="553"/>
      <c r="CF761" s="294"/>
      <c r="CG761" s="294"/>
      <c r="CR761" s="294"/>
    </row>
    <row r="762" spans="1:96" ht="13">
      <c r="A762" s="294"/>
      <c r="B762" s="294"/>
      <c r="F762" s="302"/>
      <c r="I762" s="553"/>
      <c r="P762" s="295"/>
      <c r="W762" s="295"/>
      <c r="AD762" s="295"/>
      <c r="AK762" s="295"/>
      <c r="BY762" s="618"/>
      <c r="BZ762" s="553"/>
      <c r="CF762" s="294"/>
      <c r="CG762" s="294"/>
      <c r="CR762" s="294"/>
    </row>
    <row r="763" spans="1:96" ht="13">
      <c r="A763" s="294"/>
      <c r="B763" s="294"/>
      <c r="F763" s="302"/>
      <c r="I763" s="553"/>
      <c r="P763" s="295"/>
      <c r="W763" s="295"/>
      <c r="AD763" s="295"/>
      <c r="AK763" s="295"/>
      <c r="BY763" s="618"/>
      <c r="BZ763" s="553"/>
      <c r="CF763" s="294"/>
      <c r="CG763" s="294"/>
      <c r="CR763" s="294"/>
    </row>
    <row r="764" spans="1:96" ht="13">
      <c r="A764" s="294"/>
      <c r="B764" s="294"/>
      <c r="F764" s="302"/>
      <c r="I764" s="553"/>
      <c r="P764" s="295"/>
      <c r="W764" s="295"/>
      <c r="AD764" s="295"/>
      <c r="AK764" s="295"/>
      <c r="BY764" s="618"/>
      <c r="BZ764" s="553"/>
      <c r="CF764" s="294"/>
      <c r="CG764" s="294"/>
      <c r="CR764" s="294"/>
    </row>
    <row r="765" spans="1:96" ht="13">
      <c r="A765" s="294"/>
      <c r="B765" s="294"/>
      <c r="F765" s="302"/>
      <c r="I765" s="553"/>
      <c r="P765" s="295"/>
      <c r="W765" s="295"/>
      <c r="AD765" s="295"/>
      <c r="AK765" s="295"/>
      <c r="BY765" s="618"/>
      <c r="BZ765" s="553"/>
      <c r="CF765" s="294"/>
      <c r="CG765" s="294"/>
      <c r="CR765" s="294"/>
    </row>
    <row r="766" spans="1:96" ht="13">
      <c r="A766" s="294"/>
      <c r="B766" s="294"/>
      <c r="F766" s="302"/>
      <c r="I766" s="553"/>
      <c r="P766" s="295"/>
      <c r="W766" s="295"/>
      <c r="AD766" s="295"/>
      <c r="AK766" s="295"/>
      <c r="BY766" s="618"/>
      <c r="BZ766" s="553"/>
      <c r="CF766" s="294"/>
      <c r="CG766" s="294"/>
      <c r="CR766" s="294"/>
    </row>
    <row r="767" spans="1:96" ht="13">
      <c r="A767" s="294"/>
      <c r="B767" s="294"/>
      <c r="F767" s="302"/>
      <c r="I767" s="553"/>
      <c r="P767" s="295"/>
      <c r="W767" s="295"/>
      <c r="AD767" s="295"/>
      <c r="AK767" s="295"/>
      <c r="BY767" s="618"/>
      <c r="BZ767" s="553"/>
      <c r="CF767" s="294"/>
      <c r="CG767" s="294"/>
      <c r="CR767" s="294"/>
    </row>
    <row r="768" spans="1:96" ht="13">
      <c r="A768" s="294"/>
      <c r="B768" s="294"/>
      <c r="F768" s="302"/>
      <c r="I768" s="553"/>
      <c r="P768" s="295"/>
      <c r="W768" s="295"/>
      <c r="AD768" s="295"/>
      <c r="AK768" s="295"/>
      <c r="BY768" s="618"/>
      <c r="BZ768" s="553"/>
      <c r="CF768" s="294"/>
      <c r="CG768" s="294"/>
      <c r="CR768" s="294"/>
    </row>
    <row r="769" spans="1:96" ht="13">
      <c r="A769" s="294"/>
      <c r="B769" s="294"/>
      <c r="F769" s="302"/>
      <c r="I769" s="553"/>
      <c r="P769" s="295"/>
      <c r="W769" s="295"/>
      <c r="AD769" s="295"/>
      <c r="AK769" s="295"/>
      <c r="BY769" s="618"/>
      <c r="BZ769" s="553"/>
      <c r="CF769" s="294"/>
      <c r="CG769" s="294"/>
      <c r="CR769" s="294"/>
    </row>
    <row r="770" spans="1:96" ht="13">
      <c r="A770" s="294"/>
      <c r="B770" s="294"/>
      <c r="F770" s="302"/>
      <c r="I770" s="553"/>
      <c r="P770" s="295"/>
      <c r="W770" s="295"/>
      <c r="AD770" s="295"/>
      <c r="AK770" s="295"/>
      <c r="BY770" s="618"/>
      <c r="BZ770" s="553"/>
      <c r="CF770" s="294"/>
      <c r="CG770" s="294"/>
      <c r="CR770" s="294"/>
    </row>
    <row r="771" spans="1:96" ht="13">
      <c r="A771" s="294"/>
      <c r="B771" s="294"/>
      <c r="F771" s="302"/>
      <c r="I771" s="553"/>
      <c r="P771" s="295"/>
      <c r="W771" s="295"/>
      <c r="AD771" s="295"/>
      <c r="AK771" s="295"/>
      <c r="BY771" s="618"/>
      <c r="BZ771" s="553"/>
      <c r="CF771" s="294"/>
      <c r="CG771" s="294"/>
      <c r="CR771" s="294"/>
    </row>
    <row r="772" spans="1:96" ht="13">
      <c r="A772" s="294"/>
      <c r="B772" s="294"/>
      <c r="F772" s="302"/>
      <c r="I772" s="553"/>
      <c r="P772" s="295"/>
      <c r="W772" s="295"/>
      <c r="AD772" s="295"/>
      <c r="AK772" s="295"/>
      <c r="BY772" s="618"/>
      <c r="BZ772" s="553"/>
      <c r="CF772" s="294"/>
      <c r="CG772" s="294"/>
      <c r="CR772" s="294"/>
    </row>
    <row r="773" spans="1:96" ht="13">
      <c r="A773" s="294"/>
      <c r="B773" s="294"/>
      <c r="F773" s="302"/>
      <c r="I773" s="553"/>
      <c r="P773" s="295"/>
      <c r="W773" s="295"/>
      <c r="AD773" s="295"/>
      <c r="AK773" s="295"/>
      <c r="BY773" s="618"/>
      <c r="BZ773" s="553"/>
      <c r="CF773" s="294"/>
      <c r="CG773" s="294"/>
      <c r="CR773" s="294"/>
    </row>
    <row r="774" spans="1:96" ht="13">
      <c r="A774" s="294"/>
      <c r="B774" s="294"/>
      <c r="F774" s="302"/>
      <c r="I774" s="553"/>
      <c r="P774" s="295"/>
      <c r="W774" s="295"/>
      <c r="AD774" s="295"/>
      <c r="AK774" s="295"/>
      <c r="BY774" s="618"/>
      <c r="BZ774" s="553"/>
      <c r="CF774" s="294"/>
      <c r="CG774" s="294"/>
      <c r="CR774" s="294"/>
    </row>
    <row r="775" spans="1:96" ht="13">
      <c r="A775" s="294"/>
      <c r="B775" s="294"/>
      <c r="F775" s="302"/>
      <c r="I775" s="553"/>
      <c r="P775" s="295"/>
      <c r="W775" s="295"/>
      <c r="AD775" s="295"/>
      <c r="AK775" s="295"/>
      <c r="BY775" s="618"/>
      <c r="BZ775" s="553"/>
      <c r="CF775" s="294"/>
      <c r="CG775" s="294"/>
      <c r="CR775" s="294"/>
    </row>
    <row r="776" spans="1:96" ht="13">
      <c r="A776" s="294"/>
      <c r="B776" s="294"/>
      <c r="F776" s="302"/>
      <c r="I776" s="553"/>
      <c r="P776" s="295"/>
      <c r="W776" s="295"/>
      <c r="AD776" s="295"/>
      <c r="AK776" s="295"/>
      <c r="BY776" s="618"/>
      <c r="BZ776" s="553"/>
      <c r="CF776" s="294"/>
      <c r="CG776" s="294"/>
      <c r="CR776" s="294"/>
    </row>
    <row r="777" spans="1:96" ht="13">
      <c r="A777" s="294"/>
      <c r="B777" s="294"/>
      <c r="F777" s="302"/>
      <c r="I777" s="553"/>
      <c r="P777" s="295"/>
      <c r="W777" s="295"/>
      <c r="AD777" s="295"/>
      <c r="AK777" s="295"/>
      <c r="BY777" s="618"/>
      <c r="BZ777" s="553"/>
      <c r="CF777" s="294"/>
      <c r="CG777" s="294"/>
      <c r="CR777" s="294"/>
    </row>
    <row r="778" spans="1:96" ht="13">
      <c r="A778" s="294"/>
      <c r="B778" s="294"/>
      <c r="F778" s="302"/>
      <c r="I778" s="553"/>
      <c r="P778" s="295"/>
      <c r="W778" s="295"/>
      <c r="AD778" s="295"/>
      <c r="AK778" s="295"/>
      <c r="BY778" s="618"/>
      <c r="BZ778" s="553"/>
      <c r="CF778" s="294"/>
      <c r="CG778" s="294"/>
      <c r="CR778" s="294"/>
    </row>
    <row r="779" spans="1:96" ht="13">
      <c r="A779" s="294"/>
      <c r="B779" s="294"/>
      <c r="F779" s="302"/>
      <c r="I779" s="553"/>
      <c r="P779" s="295"/>
      <c r="W779" s="295"/>
      <c r="AD779" s="295"/>
      <c r="AK779" s="295"/>
      <c r="BY779" s="618"/>
      <c r="BZ779" s="553"/>
      <c r="CF779" s="294"/>
      <c r="CG779" s="294"/>
      <c r="CR779" s="294"/>
    </row>
    <row r="780" spans="1:96" ht="13">
      <c r="A780" s="294"/>
      <c r="B780" s="294"/>
      <c r="F780" s="302"/>
      <c r="I780" s="553"/>
      <c r="P780" s="295"/>
      <c r="W780" s="295"/>
      <c r="AD780" s="295"/>
      <c r="AK780" s="295"/>
      <c r="BY780" s="618"/>
      <c r="BZ780" s="553"/>
      <c r="CF780" s="294"/>
      <c r="CG780" s="294"/>
      <c r="CR780" s="294"/>
    </row>
    <row r="781" spans="1:96" ht="13">
      <c r="A781" s="294"/>
      <c r="B781" s="294"/>
      <c r="F781" s="302"/>
      <c r="I781" s="553"/>
      <c r="P781" s="295"/>
      <c r="W781" s="295"/>
      <c r="AD781" s="295"/>
      <c r="AK781" s="295"/>
      <c r="BY781" s="618"/>
      <c r="BZ781" s="553"/>
      <c r="CF781" s="294"/>
      <c r="CG781" s="294"/>
      <c r="CR781" s="294"/>
    </row>
    <row r="782" spans="1:96" ht="13">
      <c r="A782" s="294"/>
      <c r="B782" s="294"/>
      <c r="F782" s="302"/>
      <c r="I782" s="553"/>
      <c r="P782" s="295"/>
      <c r="W782" s="295"/>
      <c r="AD782" s="295"/>
      <c r="AK782" s="295"/>
      <c r="BY782" s="618"/>
      <c r="BZ782" s="553"/>
      <c r="CF782" s="294"/>
      <c r="CG782" s="294"/>
      <c r="CR782" s="294"/>
    </row>
    <row r="783" spans="1:96" ht="13">
      <c r="A783" s="294"/>
      <c r="B783" s="294"/>
      <c r="F783" s="302"/>
      <c r="I783" s="553"/>
      <c r="P783" s="295"/>
      <c r="W783" s="295"/>
      <c r="AD783" s="295"/>
      <c r="AK783" s="295"/>
      <c r="BY783" s="618"/>
      <c r="BZ783" s="553"/>
      <c r="CF783" s="294"/>
      <c r="CG783" s="294"/>
      <c r="CR783" s="294"/>
    </row>
    <row r="784" spans="1:96" ht="13">
      <c r="A784" s="294"/>
      <c r="B784" s="294"/>
      <c r="F784" s="302"/>
      <c r="I784" s="553"/>
      <c r="P784" s="295"/>
      <c r="W784" s="295"/>
      <c r="AD784" s="295"/>
      <c r="AK784" s="295"/>
      <c r="BY784" s="618"/>
      <c r="BZ784" s="553"/>
      <c r="CF784" s="294"/>
      <c r="CG784" s="294"/>
      <c r="CR784" s="294"/>
    </row>
    <row r="785" spans="1:96" ht="13">
      <c r="A785" s="294"/>
      <c r="B785" s="294"/>
      <c r="F785" s="302"/>
      <c r="I785" s="553"/>
      <c r="P785" s="295"/>
      <c r="W785" s="295"/>
      <c r="AD785" s="295"/>
      <c r="AK785" s="295"/>
      <c r="BY785" s="618"/>
      <c r="BZ785" s="553"/>
      <c r="CF785" s="294"/>
      <c r="CG785" s="294"/>
      <c r="CR785" s="294"/>
    </row>
    <row r="786" spans="1:96" ht="13">
      <c r="A786" s="294"/>
      <c r="B786" s="294"/>
      <c r="F786" s="302"/>
      <c r="I786" s="553"/>
      <c r="P786" s="295"/>
      <c r="W786" s="295"/>
      <c r="AD786" s="295"/>
      <c r="AK786" s="295"/>
      <c r="BY786" s="618"/>
      <c r="BZ786" s="553"/>
      <c r="CF786" s="294"/>
      <c r="CG786" s="294"/>
      <c r="CR786" s="294"/>
    </row>
    <row r="787" spans="1:96" ht="13">
      <c r="A787" s="294"/>
      <c r="B787" s="294"/>
      <c r="F787" s="302"/>
      <c r="I787" s="553"/>
      <c r="P787" s="295"/>
      <c r="W787" s="295"/>
      <c r="AD787" s="295"/>
      <c r="AK787" s="295"/>
      <c r="BY787" s="618"/>
      <c r="BZ787" s="553"/>
      <c r="CF787" s="294"/>
      <c r="CG787" s="294"/>
      <c r="CR787" s="294"/>
    </row>
    <row r="788" spans="1:96" ht="13">
      <c r="A788" s="294"/>
      <c r="B788" s="294"/>
      <c r="F788" s="302"/>
      <c r="I788" s="553"/>
      <c r="P788" s="295"/>
      <c r="W788" s="295"/>
      <c r="AD788" s="295"/>
      <c r="AK788" s="295"/>
      <c r="BY788" s="618"/>
      <c r="BZ788" s="553"/>
      <c r="CF788" s="294"/>
      <c r="CG788" s="294"/>
      <c r="CR788" s="294"/>
    </row>
    <row r="789" spans="1:96" ht="13">
      <c r="A789" s="294"/>
      <c r="B789" s="294"/>
      <c r="F789" s="302"/>
      <c r="I789" s="553"/>
      <c r="P789" s="295"/>
      <c r="W789" s="295"/>
      <c r="AD789" s="295"/>
      <c r="AK789" s="295"/>
      <c r="BY789" s="618"/>
      <c r="BZ789" s="553"/>
      <c r="CF789" s="294"/>
      <c r="CG789" s="294"/>
      <c r="CR789" s="294"/>
    </row>
    <row r="790" spans="1:96" ht="13">
      <c r="A790" s="294"/>
      <c r="B790" s="294"/>
      <c r="F790" s="302"/>
      <c r="I790" s="553"/>
      <c r="P790" s="295"/>
      <c r="W790" s="295"/>
      <c r="AD790" s="295"/>
      <c r="AK790" s="295"/>
      <c r="BY790" s="618"/>
      <c r="BZ790" s="553"/>
      <c r="CF790" s="294"/>
      <c r="CG790" s="294"/>
      <c r="CR790" s="294"/>
    </row>
    <row r="791" spans="1:96" ht="13">
      <c r="A791" s="294"/>
      <c r="B791" s="294"/>
      <c r="F791" s="302"/>
      <c r="I791" s="553"/>
      <c r="P791" s="295"/>
      <c r="W791" s="295"/>
      <c r="AD791" s="295"/>
      <c r="AK791" s="295"/>
      <c r="BY791" s="618"/>
      <c r="BZ791" s="553"/>
      <c r="CF791" s="294"/>
      <c r="CG791" s="294"/>
      <c r="CR791" s="294"/>
    </row>
    <row r="792" spans="1:96" ht="13">
      <c r="A792" s="294"/>
      <c r="B792" s="294"/>
      <c r="F792" s="302"/>
      <c r="I792" s="553"/>
      <c r="P792" s="295"/>
      <c r="W792" s="295"/>
      <c r="AD792" s="295"/>
      <c r="AK792" s="295"/>
      <c r="BY792" s="618"/>
      <c r="BZ792" s="553"/>
      <c r="CF792" s="294"/>
      <c r="CG792" s="294"/>
      <c r="CR792" s="294"/>
    </row>
    <row r="793" spans="1:96" ht="13">
      <c r="A793" s="294"/>
      <c r="B793" s="294"/>
      <c r="F793" s="302"/>
      <c r="I793" s="553"/>
      <c r="P793" s="295"/>
      <c r="W793" s="295"/>
      <c r="AD793" s="295"/>
      <c r="AK793" s="295"/>
      <c r="BY793" s="618"/>
      <c r="BZ793" s="553"/>
      <c r="CF793" s="294"/>
      <c r="CG793" s="294"/>
      <c r="CR793" s="294"/>
    </row>
    <row r="794" spans="1:96" ht="13">
      <c r="A794" s="294"/>
      <c r="B794" s="294"/>
      <c r="F794" s="302"/>
      <c r="I794" s="553"/>
      <c r="P794" s="295"/>
      <c r="W794" s="295"/>
      <c r="AD794" s="295"/>
      <c r="AK794" s="295"/>
      <c r="BY794" s="618"/>
      <c r="BZ794" s="553"/>
      <c r="CF794" s="294"/>
      <c r="CG794" s="294"/>
      <c r="CR794" s="294"/>
    </row>
    <row r="795" spans="1:96" ht="13">
      <c r="A795" s="294"/>
      <c r="B795" s="294"/>
      <c r="F795" s="302"/>
      <c r="I795" s="553"/>
      <c r="P795" s="295"/>
      <c r="W795" s="295"/>
      <c r="AD795" s="295"/>
      <c r="AK795" s="295"/>
      <c r="BY795" s="618"/>
      <c r="BZ795" s="553"/>
      <c r="CF795" s="294"/>
      <c r="CG795" s="294"/>
      <c r="CR795" s="294"/>
    </row>
    <row r="796" spans="1:96" ht="13">
      <c r="A796" s="294"/>
      <c r="B796" s="294"/>
      <c r="F796" s="302"/>
      <c r="I796" s="553"/>
      <c r="P796" s="295"/>
      <c r="W796" s="295"/>
      <c r="AD796" s="295"/>
      <c r="AK796" s="295"/>
      <c r="BY796" s="618"/>
      <c r="BZ796" s="553"/>
      <c r="CF796" s="294"/>
      <c r="CG796" s="294"/>
      <c r="CR796" s="294"/>
    </row>
    <row r="797" spans="1:96" ht="13">
      <c r="A797" s="294"/>
      <c r="B797" s="294"/>
      <c r="F797" s="302"/>
      <c r="I797" s="553"/>
      <c r="P797" s="295"/>
      <c r="W797" s="295"/>
      <c r="AD797" s="295"/>
      <c r="AK797" s="295"/>
      <c r="BY797" s="618"/>
      <c r="BZ797" s="553"/>
      <c r="CF797" s="294"/>
      <c r="CG797" s="294"/>
      <c r="CR797" s="294"/>
    </row>
    <row r="798" spans="1:96" ht="13">
      <c r="A798" s="294"/>
      <c r="B798" s="294"/>
      <c r="F798" s="302"/>
      <c r="I798" s="553"/>
      <c r="P798" s="295"/>
      <c r="W798" s="295"/>
      <c r="AD798" s="295"/>
      <c r="AK798" s="295"/>
      <c r="BY798" s="618"/>
      <c r="BZ798" s="553"/>
      <c r="CF798" s="294"/>
      <c r="CG798" s="294"/>
      <c r="CR798" s="294"/>
    </row>
    <row r="799" spans="1:96" ht="13">
      <c r="A799" s="294"/>
      <c r="B799" s="294"/>
      <c r="F799" s="302"/>
      <c r="I799" s="553"/>
      <c r="P799" s="295"/>
      <c r="W799" s="295"/>
      <c r="AD799" s="295"/>
      <c r="AK799" s="295"/>
      <c r="BY799" s="618"/>
      <c r="BZ799" s="553"/>
      <c r="CF799" s="294"/>
      <c r="CG799" s="294"/>
      <c r="CR799" s="294"/>
    </row>
    <row r="800" spans="1:96" ht="13">
      <c r="A800" s="294"/>
      <c r="B800" s="294"/>
      <c r="F800" s="302"/>
      <c r="I800" s="553"/>
      <c r="P800" s="295"/>
      <c r="W800" s="295"/>
      <c r="AD800" s="295"/>
      <c r="AK800" s="295"/>
      <c r="BY800" s="618"/>
      <c r="BZ800" s="553"/>
      <c r="CF800" s="294"/>
      <c r="CG800" s="294"/>
      <c r="CR800" s="294"/>
    </row>
    <row r="801" spans="1:96" ht="13">
      <c r="A801" s="294"/>
      <c r="B801" s="294"/>
      <c r="F801" s="302"/>
      <c r="I801" s="553"/>
      <c r="P801" s="295"/>
      <c r="W801" s="295"/>
      <c r="AD801" s="295"/>
      <c r="AK801" s="295"/>
      <c r="BY801" s="618"/>
      <c r="BZ801" s="553"/>
      <c r="CF801" s="294"/>
      <c r="CG801" s="294"/>
      <c r="CR801" s="294"/>
    </row>
    <row r="802" spans="1:96" ht="13">
      <c r="A802" s="294"/>
      <c r="B802" s="294"/>
      <c r="F802" s="302"/>
      <c r="I802" s="553"/>
      <c r="P802" s="295"/>
      <c r="W802" s="295"/>
      <c r="AD802" s="295"/>
      <c r="AK802" s="295"/>
      <c r="BY802" s="618"/>
      <c r="BZ802" s="553"/>
      <c r="CF802" s="294"/>
      <c r="CG802" s="294"/>
      <c r="CR802" s="294"/>
    </row>
    <row r="803" spans="1:96" ht="13">
      <c r="A803" s="294"/>
      <c r="B803" s="294"/>
      <c r="F803" s="302"/>
      <c r="I803" s="553"/>
      <c r="P803" s="295"/>
      <c r="W803" s="295"/>
      <c r="AD803" s="295"/>
      <c r="AK803" s="295"/>
      <c r="BY803" s="618"/>
      <c r="BZ803" s="553"/>
      <c r="CF803" s="294"/>
      <c r="CG803" s="294"/>
      <c r="CR803" s="294"/>
    </row>
    <row r="804" spans="1:96" ht="13">
      <c r="A804" s="294"/>
      <c r="B804" s="294"/>
      <c r="F804" s="302"/>
      <c r="I804" s="553"/>
      <c r="P804" s="295"/>
      <c r="W804" s="295"/>
      <c r="AD804" s="295"/>
      <c r="AK804" s="295"/>
      <c r="BY804" s="618"/>
      <c r="BZ804" s="553"/>
      <c r="CF804" s="294"/>
      <c r="CG804" s="294"/>
      <c r="CR804" s="294"/>
    </row>
    <row r="805" spans="1:96" ht="13">
      <c r="A805" s="294"/>
      <c r="B805" s="294"/>
      <c r="F805" s="302"/>
      <c r="I805" s="553"/>
      <c r="P805" s="295"/>
      <c r="W805" s="295"/>
      <c r="AD805" s="295"/>
      <c r="AK805" s="295"/>
      <c r="BY805" s="618"/>
      <c r="BZ805" s="553"/>
      <c r="CF805" s="294"/>
      <c r="CG805" s="294"/>
      <c r="CR805" s="294"/>
    </row>
    <row r="806" spans="1:96" ht="13">
      <c r="A806" s="294"/>
      <c r="B806" s="294"/>
      <c r="F806" s="302"/>
      <c r="I806" s="553"/>
      <c r="P806" s="295"/>
      <c r="W806" s="295"/>
      <c r="AD806" s="295"/>
      <c r="AK806" s="295"/>
      <c r="BY806" s="618"/>
      <c r="BZ806" s="553"/>
      <c r="CF806" s="294"/>
      <c r="CG806" s="294"/>
      <c r="CR806" s="294"/>
    </row>
    <row r="807" spans="1:96" ht="13">
      <c r="A807" s="294"/>
      <c r="B807" s="294"/>
      <c r="F807" s="302"/>
      <c r="I807" s="553"/>
      <c r="P807" s="295"/>
      <c r="W807" s="295"/>
      <c r="AD807" s="295"/>
      <c r="AK807" s="295"/>
      <c r="BY807" s="618"/>
      <c r="BZ807" s="553"/>
      <c r="CF807" s="294"/>
      <c r="CG807" s="294"/>
      <c r="CR807" s="294"/>
    </row>
    <row r="808" spans="1:96" ht="13">
      <c r="A808" s="294"/>
      <c r="B808" s="294"/>
      <c r="F808" s="302"/>
      <c r="I808" s="553"/>
      <c r="P808" s="295"/>
      <c r="W808" s="295"/>
      <c r="AD808" s="295"/>
      <c r="AK808" s="295"/>
      <c r="BY808" s="618"/>
      <c r="BZ808" s="553"/>
      <c r="CF808" s="294"/>
      <c r="CG808" s="294"/>
      <c r="CR808" s="294"/>
    </row>
    <row r="809" spans="1:96" ht="13">
      <c r="A809" s="294"/>
      <c r="B809" s="294"/>
      <c r="F809" s="302"/>
      <c r="I809" s="553"/>
      <c r="P809" s="295"/>
      <c r="W809" s="295"/>
      <c r="AD809" s="295"/>
      <c r="AK809" s="295"/>
      <c r="BY809" s="618"/>
      <c r="BZ809" s="553"/>
      <c r="CF809" s="294"/>
      <c r="CG809" s="294"/>
      <c r="CR809" s="294"/>
    </row>
    <row r="810" spans="1:96" ht="13">
      <c r="A810" s="294"/>
      <c r="B810" s="294"/>
      <c r="F810" s="302"/>
      <c r="I810" s="553"/>
      <c r="P810" s="295"/>
      <c r="W810" s="295"/>
      <c r="AD810" s="295"/>
      <c r="AK810" s="295"/>
      <c r="BY810" s="618"/>
      <c r="BZ810" s="553"/>
      <c r="CF810" s="294"/>
      <c r="CG810" s="294"/>
      <c r="CR810" s="294"/>
    </row>
    <row r="811" spans="1:96" ht="13">
      <c r="A811" s="294"/>
      <c r="B811" s="294"/>
      <c r="F811" s="302"/>
      <c r="I811" s="553"/>
      <c r="P811" s="295"/>
      <c r="W811" s="295"/>
      <c r="AD811" s="295"/>
      <c r="AK811" s="295"/>
      <c r="BY811" s="618"/>
      <c r="BZ811" s="553"/>
      <c r="CF811" s="294"/>
      <c r="CG811" s="294"/>
      <c r="CR811" s="294"/>
    </row>
    <row r="812" spans="1:96" ht="13">
      <c r="A812" s="294"/>
      <c r="B812" s="294"/>
      <c r="F812" s="302"/>
      <c r="I812" s="553"/>
      <c r="P812" s="295"/>
      <c r="W812" s="295"/>
      <c r="AD812" s="295"/>
      <c r="AK812" s="295"/>
      <c r="BY812" s="618"/>
      <c r="BZ812" s="553"/>
      <c r="CF812" s="294"/>
      <c r="CG812" s="294"/>
      <c r="CR812" s="294"/>
    </row>
    <row r="813" spans="1:96" ht="13">
      <c r="A813" s="294"/>
      <c r="B813" s="294"/>
      <c r="F813" s="302"/>
      <c r="I813" s="553"/>
      <c r="P813" s="295"/>
      <c r="W813" s="295"/>
      <c r="AD813" s="295"/>
      <c r="AK813" s="295"/>
      <c r="BY813" s="618"/>
      <c r="BZ813" s="553"/>
      <c r="CF813" s="294"/>
      <c r="CG813" s="294"/>
      <c r="CR813" s="294"/>
    </row>
    <row r="814" spans="1:96" ht="13">
      <c r="A814" s="294"/>
      <c r="B814" s="294"/>
      <c r="F814" s="302"/>
      <c r="I814" s="553"/>
      <c r="P814" s="295"/>
      <c r="W814" s="295"/>
      <c r="AD814" s="295"/>
      <c r="AK814" s="295"/>
      <c r="BY814" s="618"/>
      <c r="BZ814" s="553"/>
      <c r="CF814" s="294"/>
      <c r="CG814" s="294"/>
      <c r="CR814" s="294"/>
    </row>
    <row r="815" spans="1:96" ht="13">
      <c r="A815" s="294"/>
      <c r="B815" s="294"/>
      <c r="F815" s="302"/>
      <c r="I815" s="553"/>
      <c r="P815" s="295"/>
      <c r="W815" s="295"/>
      <c r="AD815" s="295"/>
      <c r="AK815" s="295"/>
      <c r="BY815" s="618"/>
      <c r="BZ815" s="553"/>
      <c r="CF815" s="294"/>
      <c r="CG815" s="294"/>
      <c r="CR815" s="294"/>
    </row>
    <row r="816" spans="1:96" ht="13">
      <c r="A816" s="294"/>
      <c r="B816" s="294"/>
      <c r="F816" s="302"/>
      <c r="I816" s="553"/>
      <c r="P816" s="295"/>
      <c r="W816" s="295"/>
      <c r="AD816" s="295"/>
      <c r="AK816" s="295"/>
      <c r="BY816" s="618"/>
      <c r="BZ816" s="553"/>
      <c r="CF816" s="294"/>
      <c r="CG816" s="294"/>
      <c r="CR816" s="294"/>
    </row>
    <row r="817" spans="1:96" ht="13">
      <c r="A817" s="294"/>
      <c r="B817" s="294"/>
      <c r="F817" s="302"/>
      <c r="I817" s="553"/>
      <c r="P817" s="295"/>
      <c r="W817" s="295"/>
      <c r="AD817" s="295"/>
      <c r="AK817" s="295"/>
      <c r="BY817" s="618"/>
      <c r="BZ817" s="553"/>
      <c r="CF817" s="294"/>
      <c r="CG817" s="294"/>
      <c r="CR817" s="294"/>
    </row>
    <row r="818" spans="1:96" ht="13">
      <c r="A818" s="294"/>
      <c r="B818" s="294"/>
      <c r="F818" s="302"/>
      <c r="I818" s="553"/>
      <c r="P818" s="295"/>
      <c r="W818" s="295"/>
      <c r="AD818" s="295"/>
      <c r="AK818" s="295"/>
      <c r="BY818" s="618"/>
      <c r="BZ818" s="553"/>
      <c r="CF818" s="294"/>
      <c r="CG818" s="294"/>
      <c r="CR818" s="294"/>
    </row>
    <row r="819" spans="1:96" ht="13">
      <c r="A819" s="294"/>
      <c r="B819" s="294"/>
      <c r="F819" s="302"/>
      <c r="I819" s="553"/>
      <c r="P819" s="295"/>
      <c r="W819" s="295"/>
      <c r="AD819" s="295"/>
      <c r="AK819" s="295"/>
      <c r="BY819" s="618"/>
      <c r="BZ819" s="553"/>
      <c r="CF819" s="294"/>
      <c r="CG819" s="294"/>
      <c r="CR819" s="294"/>
    </row>
    <row r="820" spans="1:96" ht="13">
      <c r="A820" s="294"/>
      <c r="B820" s="294"/>
      <c r="F820" s="302"/>
      <c r="I820" s="553"/>
      <c r="P820" s="295"/>
      <c r="W820" s="295"/>
      <c r="AD820" s="295"/>
      <c r="AK820" s="295"/>
      <c r="BY820" s="618"/>
      <c r="BZ820" s="553"/>
      <c r="CF820" s="294"/>
      <c r="CG820" s="294"/>
      <c r="CR820" s="294"/>
    </row>
    <row r="821" spans="1:96" ht="13">
      <c r="A821" s="294"/>
      <c r="B821" s="294"/>
      <c r="F821" s="302"/>
      <c r="I821" s="553"/>
      <c r="P821" s="295"/>
      <c r="W821" s="295"/>
      <c r="AD821" s="295"/>
      <c r="AK821" s="295"/>
      <c r="BY821" s="618"/>
      <c r="BZ821" s="553"/>
      <c r="CF821" s="294"/>
      <c r="CG821" s="294"/>
      <c r="CR821" s="294"/>
    </row>
    <row r="822" spans="1:96" ht="13">
      <c r="A822" s="294"/>
      <c r="B822" s="294"/>
      <c r="F822" s="302"/>
      <c r="I822" s="553"/>
      <c r="P822" s="295"/>
      <c r="W822" s="295"/>
      <c r="AD822" s="295"/>
      <c r="AK822" s="295"/>
      <c r="BY822" s="618"/>
      <c r="BZ822" s="553"/>
      <c r="CF822" s="294"/>
      <c r="CG822" s="294"/>
      <c r="CR822" s="294"/>
    </row>
    <row r="823" spans="1:96" ht="13">
      <c r="A823" s="294"/>
      <c r="B823" s="294"/>
      <c r="F823" s="302"/>
      <c r="I823" s="553"/>
      <c r="P823" s="295"/>
      <c r="W823" s="295"/>
      <c r="AD823" s="295"/>
      <c r="AK823" s="295"/>
      <c r="BY823" s="618"/>
      <c r="BZ823" s="553"/>
      <c r="CF823" s="294"/>
      <c r="CG823" s="294"/>
      <c r="CR823" s="294"/>
    </row>
    <row r="824" spans="1:96" ht="13">
      <c r="A824" s="294"/>
      <c r="B824" s="294"/>
      <c r="F824" s="302"/>
      <c r="I824" s="553"/>
      <c r="P824" s="295"/>
      <c r="W824" s="295"/>
      <c r="AD824" s="295"/>
      <c r="AK824" s="295"/>
      <c r="BY824" s="618"/>
      <c r="BZ824" s="553"/>
      <c r="CF824" s="294"/>
      <c r="CG824" s="294"/>
      <c r="CR824" s="294"/>
    </row>
    <row r="825" spans="1:96" ht="13">
      <c r="A825" s="294"/>
      <c r="B825" s="294"/>
      <c r="F825" s="302"/>
      <c r="I825" s="553"/>
      <c r="P825" s="295"/>
      <c r="W825" s="295"/>
      <c r="AD825" s="295"/>
      <c r="AK825" s="295"/>
      <c r="BY825" s="618"/>
      <c r="BZ825" s="553"/>
      <c r="CF825" s="294"/>
      <c r="CG825" s="294"/>
      <c r="CR825" s="294"/>
    </row>
    <row r="826" spans="1:96" ht="13">
      <c r="A826" s="294"/>
      <c r="B826" s="294"/>
      <c r="F826" s="302"/>
      <c r="I826" s="553"/>
      <c r="P826" s="295"/>
      <c r="W826" s="295"/>
      <c r="AD826" s="295"/>
      <c r="AK826" s="295"/>
      <c r="BY826" s="618"/>
      <c r="BZ826" s="553"/>
      <c r="CF826" s="294"/>
      <c r="CG826" s="294"/>
      <c r="CR826" s="294"/>
    </row>
    <row r="827" spans="1:96" ht="13">
      <c r="A827" s="294"/>
      <c r="B827" s="294"/>
      <c r="F827" s="302"/>
      <c r="I827" s="553"/>
      <c r="P827" s="295"/>
      <c r="W827" s="295"/>
      <c r="AD827" s="295"/>
      <c r="AK827" s="295"/>
      <c r="BY827" s="618"/>
      <c r="BZ827" s="553"/>
      <c r="CF827" s="294"/>
      <c r="CG827" s="294"/>
      <c r="CR827" s="294"/>
    </row>
    <row r="828" spans="1:96" ht="13">
      <c r="A828" s="294"/>
      <c r="B828" s="294"/>
      <c r="F828" s="302"/>
      <c r="I828" s="553"/>
      <c r="P828" s="295"/>
      <c r="W828" s="295"/>
      <c r="AD828" s="295"/>
      <c r="AK828" s="295"/>
      <c r="BY828" s="618"/>
      <c r="BZ828" s="553"/>
      <c r="CF828" s="294"/>
      <c r="CG828" s="294"/>
      <c r="CR828" s="294"/>
    </row>
    <row r="829" spans="1:96" ht="13">
      <c r="A829" s="294"/>
      <c r="B829" s="294"/>
      <c r="F829" s="302"/>
      <c r="I829" s="553"/>
      <c r="P829" s="295"/>
      <c r="W829" s="295"/>
      <c r="AD829" s="295"/>
      <c r="AK829" s="295"/>
      <c r="BY829" s="618"/>
      <c r="BZ829" s="553"/>
      <c r="CF829" s="294"/>
      <c r="CG829" s="294"/>
      <c r="CR829" s="294"/>
    </row>
    <row r="830" spans="1:96" ht="13">
      <c r="A830" s="294"/>
      <c r="B830" s="294"/>
      <c r="F830" s="302"/>
      <c r="I830" s="553"/>
      <c r="P830" s="295"/>
      <c r="W830" s="295"/>
      <c r="AD830" s="295"/>
      <c r="AK830" s="295"/>
      <c r="BY830" s="618"/>
      <c r="BZ830" s="553"/>
      <c r="CF830" s="294"/>
      <c r="CG830" s="294"/>
      <c r="CR830" s="294"/>
    </row>
    <row r="831" spans="1:96" ht="13">
      <c r="A831" s="294"/>
      <c r="B831" s="294"/>
      <c r="F831" s="302"/>
      <c r="I831" s="553"/>
      <c r="P831" s="295"/>
      <c r="W831" s="295"/>
      <c r="AD831" s="295"/>
      <c r="AK831" s="295"/>
      <c r="BY831" s="618"/>
      <c r="BZ831" s="553"/>
      <c r="CF831" s="294"/>
      <c r="CG831" s="294"/>
      <c r="CR831" s="294"/>
    </row>
    <row r="832" spans="1:96" ht="13">
      <c r="A832" s="294"/>
      <c r="B832" s="294"/>
      <c r="F832" s="302"/>
      <c r="I832" s="553"/>
      <c r="P832" s="295"/>
      <c r="W832" s="295"/>
      <c r="AD832" s="295"/>
      <c r="AK832" s="295"/>
      <c r="BY832" s="618"/>
      <c r="BZ832" s="553"/>
      <c r="CF832" s="294"/>
      <c r="CG832" s="294"/>
      <c r="CR832" s="294"/>
    </row>
    <row r="833" spans="1:96" ht="13">
      <c r="A833" s="294"/>
      <c r="B833" s="294"/>
      <c r="F833" s="302"/>
      <c r="I833" s="553"/>
      <c r="P833" s="295"/>
      <c r="W833" s="295"/>
      <c r="AD833" s="295"/>
      <c r="AK833" s="295"/>
      <c r="BY833" s="618"/>
      <c r="BZ833" s="553"/>
      <c r="CF833" s="294"/>
      <c r="CG833" s="294"/>
      <c r="CR833" s="294"/>
    </row>
    <row r="834" spans="1:96" ht="13">
      <c r="A834" s="294"/>
      <c r="B834" s="294"/>
      <c r="F834" s="302"/>
      <c r="I834" s="553"/>
      <c r="P834" s="295"/>
      <c r="W834" s="295"/>
      <c r="AD834" s="295"/>
      <c r="AK834" s="295"/>
      <c r="BY834" s="618"/>
      <c r="BZ834" s="553"/>
      <c r="CF834" s="294"/>
      <c r="CG834" s="294"/>
      <c r="CR834" s="294"/>
    </row>
    <row r="835" spans="1:96" ht="13">
      <c r="A835" s="294"/>
      <c r="B835" s="294"/>
      <c r="F835" s="302"/>
      <c r="I835" s="553"/>
      <c r="P835" s="295"/>
      <c r="W835" s="295"/>
      <c r="AD835" s="295"/>
      <c r="AK835" s="295"/>
      <c r="BY835" s="618"/>
      <c r="BZ835" s="553"/>
      <c r="CF835" s="294"/>
      <c r="CG835" s="294"/>
      <c r="CR835" s="294"/>
    </row>
    <row r="836" spans="1:96" ht="13">
      <c r="A836" s="294"/>
      <c r="B836" s="294"/>
      <c r="F836" s="302"/>
      <c r="I836" s="553"/>
      <c r="P836" s="295"/>
      <c r="W836" s="295"/>
      <c r="AD836" s="295"/>
      <c r="AK836" s="295"/>
      <c r="BY836" s="618"/>
      <c r="BZ836" s="553"/>
      <c r="CF836" s="294"/>
      <c r="CG836" s="294"/>
      <c r="CR836" s="294"/>
    </row>
    <row r="837" spans="1:96" ht="13">
      <c r="A837" s="294"/>
      <c r="B837" s="294"/>
      <c r="F837" s="302"/>
      <c r="I837" s="553"/>
      <c r="P837" s="295"/>
      <c r="W837" s="295"/>
      <c r="AD837" s="295"/>
      <c r="AK837" s="295"/>
      <c r="BY837" s="618"/>
      <c r="BZ837" s="553"/>
      <c r="CF837" s="294"/>
      <c r="CG837" s="294"/>
      <c r="CR837" s="294"/>
    </row>
    <row r="838" spans="1:96" ht="13">
      <c r="A838" s="294"/>
      <c r="B838" s="294"/>
      <c r="F838" s="302"/>
      <c r="I838" s="553"/>
      <c r="P838" s="295"/>
      <c r="W838" s="295"/>
      <c r="AD838" s="295"/>
      <c r="AK838" s="295"/>
      <c r="BY838" s="618"/>
      <c r="BZ838" s="553"/>
      <c r="CF838" s="294"/>
      <c r="CG838" s="294"/>
      <c r="CR838" s="294"/>
    </row>
    <row r="839" spans="1:96" ht="13">
      <c r="A839" s="294"/>
      <c r="B839" s="294"/>
      <c r="F839" s="302"/>
      <c r="I839" s="553"/>
      <c r="P839" s="295"/>
      <c r="W839" s="295"/>
      <c r="AD839" s="295"/>
      <c r="AK839" s="295"/>
      <c r="BY839" s="618"/>
      <c r="BZ839" s="553"/>
      <c r="CF839" s="294"/>
      <c r="CG839" s="294"/>
      <c r="CR839" s="294"/>
    </row>
    <row r="840" spans="1:96" ht="13">
      <c r="A840" s="294"/>
      <c r="B840" s="294"/>
      <c r="F840" s="302"/>
      <c r="I840" s="553"/>
      <c r="P840" s="295"/>
      <c r="W840" s="295"/>
      <c r="AD840" s="295"/>
      <c r="AK840" s="295"/>
      <c r="BY840" s="618"/>
      <c r="BZ840" s="553"/>
      <c r="CF840" s="294"/>
      <c r="CG840" s="294"/>
      <c r="CR840" s="294"/>
    </row>
    <row r="841" spans="1:96" ht="13">
      <c r="A841" s="294"/>
      <c r="B841" s="294"/>
      <c r="F841" s="302"/>
      <c r="I841" s="553"/>
      <c r="P841" s="295"/>
      <c r="W841" s="295"/>
      <c r="AD841" s="295"/>
      <c r="AK841" s="295"/>
      <c r="BY841" s="618"/>
      <c r="BZ841" s="553"/>
      <c r="CF841" s="294"/>
      <c r="CG841" s="294"/>
      <c r="CR841" s="294"/>
    </row>
    <row r="842" spans="1:96" ht="13">
      <c r="A842" s="294"/>
      <c r="B842" s="294"/>
      <c r="F842" s="302"/>
      <c r="I842" s="553"/>
      <c r="P842" s="295"/>
      <c r="W842" s="295"/>
      <c r="AD842" s="295"/>
      <c r="AK842" s="295"/>
      <c r="BY842" s="618"/>
      <c r="BZ842" s="553"/>
      <c r="CF842" s="294"/>
      <c r="CG842" s="294"/>
      <c r="CR842" s="294"/>
    </row>
    <row r="843" spans="1:96" ht="13">
      <c r="A843" s="294"/>
      <c r="B843" s="294"/>
      <c r="F843" s="302"/>
      <c r="I843" s="553"/>
      <c r="P843" s="295"/>
      <c r="W843" s="295"/>
      <c r="AD843" s="295"/>
      <c r="AK843" s="295"/>
      <c r="BY843" s="618"/>
      <c r="BZ843" s="553"/>
      <c r="CF843" s="294"/>
      <c r="CG843" s="294"/>
      <c r="CR843" s="294"/>
    </row>
    <row r="844" spans="1:96" ht="13">
      <c r="A844" s="294"/>
      <c r="B844" s="294"/>
      <c r="F844" s="302"/>
      <c r="I844" s="553"/>
      <c r="P844" s="295"/>
      <c r="W844" s="295"/>
      <c r="AD844" s="295"/>
      <c r="AK844" s="295"/>
      <c r="BY844" s="618"/>
      <c r="BZ844" s="553"/>
      <c r="CF844" s="294"/>
      <c r="CG844" s="294"/>
      <c r="CR844" s="294"/>
    </row>
    <row r="845" spans="1:96" ht="13">
      <c r="A845" s="294"/>
      <c r="B845" s="294"/>
      <c r="F845" s="302"/>
      <c r="I845" s="553"/>
      <c r="P845" s="295"/>
      <c r="W845" s="295"/>
      <c r="AD845" s="295"/>
      <c r="AK845" s="295"/>
      <c r="BY845" s="618"/>
      <c r="BZ845" s="553"/>
      <c r="CF845" s="294"/>
      <c r="CG845" s="294"/>
      <c r="CR845" s="294"/>
    </row>
    <row r="846" spans="1:96" ht="13">
      <c r="A846" s="294"/>
      <c r="B846" s="294"/>
      <c r="F846" s="302"/>
      <c r="I846" s="553"/>
      <c r="P846" s="295"/>
      <c r="W846" s="295"/>
      <c r="AD846" s="295"/>
      <c r="AK846" s="295"/>
      <c r="BY846" s="618"/>
      <c r="BZ846" s="553"/>
      <c r="CF846" s="294"/>
      <c r="CG846" s="294"/>
      <c r="CR846" s="294"/>
    </row>
    <row r="847" spans="1:96" ht="13">
      <c r="A847" s="294"/>
      <c r="B847" s="294"/>
      <c r="F847" s="302"/>
      <c r="I847" s="553"/>
      <c r="P847" s="295"/>
      <c r="W847" s="295"/>
      <c r="AD847" s="295"/>
      <c r="AK847" s="295"/>
      <c r="BY847" s="618"/>
      <c r="BZ847" s="553"/>
      <c r="CF847" s="294"/>
      <c r="CG847" s="294"/>
      <c r="CR847" s="294"/>
    </row>
    <row r="848" spans="1:96" ht="13">
      <c r="A848" s="294"/>
      <c r="B848" s="294"/>
      <c r="F848" s="302"/>
      <c r="I848" s="553"/>
      <c r="P848" s="295"/>
      <c r="W848" s="295"/>
      <c r="AD848" s="295"/>
      <c r="AK848" s="295"/>
      <c r="BY848" s="618"/>
      <c r="BZ848" s="553"/>
      <c r="CF848" s="294"/>
      <c r="CG848" s="294"/>
      <c r="CR848" s="294"/>
    </row>
    <row r="849" spans="1:96" ht="13">
      <c r="A849" s="294"/>
      <c r="B849" s="294"/>
      <c r="F849" s="302"/>
      <c r="I849" s="553"/>
      <c r="P849" s="295"/>
      <c r="W849" s="295"/>
      <c r="AD849" s="295"/>
      <c r="AK849" s="295"/>
      <c r="BY849" s="618"/>
      <c r="BZ849" s="553"/>
      <c r="CF849" s="294"/>
      <c r="CG849" s="294"/>
      <c r="CR849" s="294"/>
    </row>
    <row r="850" spans="1:96" ht="13">
      <c r="A850" s="294"/>
      <c r="B850" s="294"/>
      <c r="F850" s="302"/>
      <c r="I850" s="553"/>
      <c r="P850" s="295"/>
      <c r="W850" s="295"/>
      <c r="AD850" s="295"/>
      <c r="AK850" s="295"/>
      <c r="BY850" s="618"/>
      <c r="BZ850" s="553"/>
      <c r="CF850" s="294"/>
      <c r="CG850" s="294"/>
      <c r="CR850" s="294"/>
    </row>
    <row r="851" spans="1:96" ht="13">
      <c r="A851" s="294"/>
      <c r="B851" s="294"/>
      <c r="F851" s="302"/>
      <c r="I851" s="553"/>
      <c r="P851" s="295"/>
      <c r="W851" s="295"/>
      <c r="AD851" s="295"/>
      <c r="AK851" s="295"/>
      <c r="BY851" s="618"/>
      <c r="BZ851" s="553"/>
      <c r="CF851" s="294"/>
      <c r="CG851" s="294"/>
      <c r="CR851" s="294"/>
    </row>
    <row r="852" spans="1:96" ht="13">
      <c r="A852" s="294"/>
      <c r="B852" s="294"/>
      <c r="F852" s="302"/>
      <c r="I852" s="553"/>
      <c r="P852" s="295"/>
      <c r="W852" s="295"/>
      <c r="AD852" s="295"/>
      <c r="AK852" s="295"/>
      <c r="BY852" s="618"/>
      <c r="BZ852" s="553"/>
      <c r="CF852" s="294"/>
      <c r="CG852" s="294"/>
      <c r="CR852" s="294"/>
    </row>
    <row r="853" spans="1:96" ht="13">
      <c r="A853" s="294"/>
      <c r="B853" s="294"/>
      <c r="F853" s="302"/>
      <c r="I853" s="553"/>
      <c r="P853" s="295"/>
      <c r="W853" s="295"/>
      <c r="AD853" s="295"/>
      <c r="AK853" s="295"/>
      <c r="BY853" s="618"/>
      <c r="BZ853" s="553"/>
      <c r="CF853" s="294"/>
      <c r="CG853" s="294"/>
      <c r="CR853" s="294"/>
    </row>
    <row r="854" spans="1:96" ht="13">
      <c r="A854" s="294"/>
      <c r="B854" s="294"/>
      <c r="F854" s="302"/>
      <c r="I854" s="553"/>
      <c r="P854" s="295"/>
      <c r="W854" s="295"/>
      <c r="AD854" s="295"/>
      <c r="AK854" s="295"/>
      <c r="BY854" s="618"/>
      <c r="BZ854" s="553"/>
      <c r="CF854" s="294"/>
      <c r="CG854" s="294"/>
      <c r="CR854" s="294"/>
    </row>
    <row r="855" spans="1:96" ht="13">
      <c r="A855" s="294"/>
      <c r="B855" s="294"/>
      <c r="F855" s="302"/>
      <c r="I855" s="553"/>
      <c r="P855" s="295"/>
      <c r="W855" s="295"/>
      <c r="AD855" s="295"/>
      <c r="AK855" s="295"/>
      <c r="BY855" s="618"/>
      <c r="BZ855" s="553"/>
      <c r="CF855" s="294"/>
      <c r="CG855" s="294"/>
      <c r="CR855" s="294"/>
    </row>
    <row r="856" spans="1:96" ht="13">
      <c r="A856" s="294"/>
      <c r="B856" s="294"/>
      <c r="F856" s="302"/>
      <c r="I856" s="553"/>
      <c r="P856" s="295"/>
      <c r="W856" s="295"/>
      <c r="AD856" s="295"/>
      <c r="AK856" s="295"/>
      <c r="BY856" s="618"/>
      <c r="BZ856" s="553"/>
      <c r="CF856" s="294"/>
      <c r="CG856" s="294"/>
      <c r="CR856" s="294"/>
    </row>
    <row r="857" spans="1:96" ht="13">
      <c r="A857" s="294"/>
      <c r="B857" s="294"/>
      <c r="F857" s="302"/>
      <c r="I857" s="553"/>
      <c r="P857" s="295"/>
      <c r="W857" s="295"/>
      <c r="AD857" s="295"/>
      <c r="AK857" s="295"/>
      <c r="BY857" s="618"/>
      <c r="BZ857" s="553"/>
      <c r="CF857" s="294"/>
      <c r="CG857" s="294"/>
      <c r="CR857" s="294"/>
    </row>
    <row r="858" spans="1:96" ht="13">
      <c r="A858" s="294"/>
      <c r="B858" s="294"/>
      <c r="F858" s="302"/>
      <c r="I858" s="553"/>
      <c r="P858" s="295"/>
      <c r="W858" s="295"/>
      <c r="AD858" s="295"/>
      <c r="AK858" s="295"/>
      <c r="BY858" s="618"/>
      <c r="BZ858" s="553"/>
      <c r="CF858" s="294"/>
      <c r="CG858" s="294"/>
      <c r="CR858" s="294"/>
    </row>
    <row r="859" spans="1:96" ht="13">
      <c r="A859" s="294"/>
      <c r="B859" s="294"/>
      <c r="F859" s="302"/>
      <c r="I859" s="553"/>
      <c r="P859" s="295"/>
      <c r="W859" s="295"/>
      <c r="AD859" s="295"/>
      <c r="AK859" s="295"/>
      <c r="BY859" s="618"/>
      <c r="BZ859" s="553"/>
      <c r="CF859" s="294"/>
      <c r="CG859" s="294"/>
      <c r="CR859" s="294"/>
    </row>
    <row r="860" spans="1:96" ht="13">
      <c r="A860" s="294"/>
      <c r="B860" s="294"/>
      <c r="F860" s="302"/>
      <c r="I860" s="553"/>
      <c r="P860" s="295"/>
      <c r="W860" s="295"/>
      <c r="AD860" s="295"/>
      <c r="AK860" s="295"/>
      <c r="BY860" s="618"/>
      <c r="BZ860" s="553"/>
      <c r="CF860" s="294"/>
      <c r="CG860" s="294"/>
      <c r="CR860" s="294"/>
    </row>
    <row r="861" spans="1:96" ht="13">
      <c r="A861" s="294"/>
      <c r="B861" s="294"/>
      <c r="F861" s="302"/>
      <c r="I861" s="553"/>
      <c r="P861" s="295"/>
      <c r="W861" s="295"/>
      <c r="AD861" s="295"/>
      <c r="AK861" s="295"/>
      <c r="BY861" s="618"/>
      <c r="BZ861" s="553"/>
      <c r="CF861" s="294"/>
      <c r="CG861" s="294"/>
      <c r="CR861" s="294"/>
    </row>
    <row r="862" spans="1:96" ht="13">
      <c r="A862" s="294"/>
      <c r="B862" s="294"/>
      <c r="F862" s="302"/>
      <c r="I862" s="553"/>
      <c r="P862" s="295"/>
      <c r="W862" s="295"/>
      <c r="AD862" s="295"/>
      <c r="AK862" s="295"/>
      <c r="BY862" s="618"/>
      <c r="BZ862" s="553"/>
      <c r="CF862" s="294"/>
      <c r="CG862" s="294"/>
      <c r="CR862" s="294"/>
    </row>
    <row r="863" spans="1:96" ht="13">
      <c r="A863" s="294"/>
      <c r="B863" s="294"/>
      <c r="F863" s="302"/>
      <c r="I863" s="553"/>
      <c r="P863" s="295"/>
      <c r="W863" s="295"/>
      <c r="AD863" s="295"/>
      <c r="AK863" s="295"/>
      <c r="BY863" s="618"/>
      <c r="BZ863" s="553"/>
      <c r="CF863" s="294"/>
      <c r="CG863" s="294"/>
      <c r="CR863" s="294"/>
    </row>
    <row r="864" spans="1:96" ht="13">
      <c r="A864" s="294"/>
      <c r="B864" s="294"/>
      <c r="F864" s="302"/>
      <c r="I864" s="553"/>
      <c r="P864" s="295"/>
      <c r="W864" s="295"/>
      <c r="AD864" s="295"/>
      <c r="AK864" s="295"/>
      <c r="BY864" s="618"/>
      <c r="BZ864" s="553"/>
      <c r="CF864" s="294"/>
      <c r="CG864" s="294"/>
      <c r="CR864" s="294"/>
    </row>
    <row r="865" spans="1:96" ht="13">
      <c r="A865" s="294"/>
      <c r="B865" s="294"/>
      <c r="F865" s="302"/>
      <c r="I865" s="553"/>
      <c r="P865" s="295"/>
      <c r="W865" s="295"/>
      <c r="AD865" s="295"/>
      <c r="AK865" s="295"/>
      <c r="BY865" s="618"/>
      <c r="BZ865" s="553"/>
      <c r="CF865" s="294"/>
      <c r="CG865" s="294"/>
      <c r="CR865" s="294"/>
    </row>
    <row r="866" spans="1:96" ht="13">
      <c r="A866" s="294"/>
      <c r="B866" s="294"/>
      <c r="F866" s="302"/>
      <c r="I866" s="553"/>
      <c r="P866" s="295"/>
      <c r="W866" s="295"/>
      <c r="AD866" s="295"/>
      <c r="AK866" s="295"/>
      <c r="BY866" s="618"/>
      <c r="BZ866" s="553"/>
      <c r="CF866" s="294"/>
      <c r="CG866" s="294"/>
      <c r="CR866" s="294"/>
    </row>
    <row r="867" spans="1:96" ht="13">
      <c r="A867" s="294"/>
      <c r="B867" s="294"/>
      <c r="F867" s="302"/>
      <c r="I867" s="553"/>
      <c r="P867" s="295"/>
      <c r="W867" s="295"/>
      <c r="AD867" s="295"/>
      <c r="AK867" s="295"/>
      <c r="BY867" s="618"/>
      <c r="BZ867" s="553"/>
      <c r="CF867" s="294"/>
      <c r="CG867" s="294"/>
      <c r="CR867" s="294"/>
    </row>
    <row r="868" spans="1:96" ht="13">
      <c r="A868" s="294"/>
      <c r="B868" s="294"/>
      <c r="F868" s="302"/>
      <c r="I868" s="553"/>
      <c r="P868" s="295"/>
      <c r="W868" s="295"/>
      <c r="AD868" s="295"/>
      <c r="AK868" s="295"/>
      <c r="BY868" s="618"/>
      <c r="BZ868" s="553"/>
      <c r="CF868" s="294"/>
      <c r="CG868" s="294"/>
      <c r="CR868" s="294"/>
    </row>
    <row r="869" spans="1:96" ht="13">
      <c r="A869" s="294"/>
      <c r="B869" s="294"/>
      <c r="F869" s="302"/>
      <c r="I869" s="553"/>
      <c r="P869" s="295"/>
      <c r="W869" s="295"/>
      <c r="AD869" s="295"/>
      <c r="AK869" s="295"/>
      <c r="BY869" s="618"/>
      <c r="BZ869" s="553"/>
      <c r="CF869" s="294"/>
      <c r="CG869" s="294"/>
      <c r="CR869" s="294"/>
    </row>
    <row r="870" spans="1:96" ht="13">
      <c r="A870" s="294"/>
      <c r="B870" s="294"/>
      <c r="F870" s="302"/>
      <c r="I870" s="553"/>
      <c r="P870" s="295"/>
      <c r="W870" s="295"/>
      <c r="AD870" s="295"/>
      <c r="AK870" s="295"/>
      <c r="BY870" s="618"/>
      <c r="BZ870" s="553"/>
      <c r="CF870" s="294"/>
      <c r="CG870" s="294"/>
      <c r="CR870" s="294"/>
    </row>
    <row r="871" spans="1:96" ht="13">
      <c r="A871" s="294"/>
      <c r="B871" s="294"/>
      <c r="F871" s="302"/>
      <c r="I871" s="553"/>
      <c r="P871" s="295"/>
      <c r="W871" s="295"/>
      <c r="AD871" s="295"/>
      <c r="AK871" s="295"/>
      <c r="BY871" s="618"/>
      <c r="BZ871" s="553"/>
      <c r="CF871" s="294"/>
      <c r="CG871" s="294"/>
      <c r="CR871" s="294"/>
    </row>
    <row r="872" spans="1:96" ht="13">
      <c r="A872" s="294"/>
      <c r="B872" s="294"/>
      <c r="F872" s="302"/>
      <c r="I872" s="553"/>
      <c r="P872" s="295"/>
      <c r="W872" s="295"/>
      <c r="AD872" s="295"/>
      <c r="AK872" s="295"/>
      <c r="BY872" s="618"/>
      <c r="BZ872" s="553"/>
      <c r="CF872" s="294"/>
      <c r="CG872" s="294"/>
      <c r="CR872" s="294"/>
    </row>
    <row r="873" spans="1:96" ht="13">
      <c r="A873" s="294"/>
      <c r="B873" s="294"/>
      <c r="F873" s="302"/>
      <c r="I873" s="553"/>
      <c r="P873" s="295"/>
      <c r="W873" s="295"/>
      <c r="AD873" s="295"/>
      <c r="AK873" s="295"/>
      <c r="BY873" s="618"/>
      <c r="BZ873" s="553"/>
      <c r="CF873" s="294"/>
      <c r="CG873" s="294"/>
      <c r="CR873" s="294"/>
    </row>
    <row r="874" spans="1:96" ht="13">
      <c r="A874" s="294"/>
      <c r="B874" s="294"/>
      <c r="F874" s="302"/>
      <c r="I874" s="553"/>
      <c r="P874" s="295"/>
      <c r="W874" s="295"/>
      <c r="AD874" s="295"/>
      <c r="AK874" s="295"/>
      <c r="BY874" s="618"/>
      <c r="BZ874" s="553"/>
      <c r="CF874" s="294"/>
      <c r="CG874" s="294"/>
      <c r="CR874" s="294"/>
    </row>
    <row r="875" spans="1:96" ht="13">
      <c r="A875" s="294"/>
      <c r="B875" s="294"/>
      <c r="F875" s="302"/>
      <c r="I875" s="553"/>
      <c r="P875" s="295"/>
      <c r="W875" s="295"/>
      <c r="AD875" s="295"/>
      <c r="AK875" s="295"/>
      <c r="BY875" s="618"/>
      <c r="BZ875" s="553"/>
      <c r="CF875" s="294"/>
      <c r="CG875" s="294"/>
      <c r="CR875" s="294"/>
    </row>
    <row r="876" spans="1:96" ht="13">
      <c r="A876" s="294"/>
      <c r="B876" s="294"/>
      <c r="F876" s="302"/>
      <c r="I876" s="553"/>
      <c r="P876" s="295"/>
      <c r="W876" s="295"/>
      <c r="AD876" s="295"/>
      <c r="AK876" s="295"/>
      <c r="BY876" s="618"/>
      <c r="BZ876" s="553"/>
      <c r="CF876" s="294"/>
      <c r="CG876" s="294"/>
      <c r="CR876" s="294"/>
    </row>
    <row r="877" spans="1:96" ht="13">
      <c r="A877" s="294"/>
      <c r="B877" s="294"/>
      <c r="F877" s="302"/>
      <c r="I877" s="553"/>
      <c r="P877" s="295"/>
      <c r="W877" s="295"/>
      <c r="AD877" s="295"/>
      <c r="AK877" s="295"/>
      <c r="BY877" s="618"/>
      <c r="BZ877" s="553"/>
      <c r="CF877" s="294"/>
      <c r="CG877" s="294"/>
      <c r="CR877" s="294"/>
    </row>
    <row r="878" spans="1:96" ht="13">
      <c r="A878" s="294"/>
      <c r="B878" s="294"/>
      <c r="F878" s="302"/>
      <c r="I878" s="553"/>
      <c r="P878" s="295"/>
      <c r="W878" s="295"/>
      <c r="AD878" s="295"/>
      <c r="AK878" s="295"/>
      <c r="BY878" s="618"/>
      <c r="BZ878" s="553"/>
      <c r="CF878" s="294"/>
      <c r="CG878" s="294"/>
      <c r="CR878" s="294"/>
    </row>
    <row r="879" spans="1:96" ht="13">
      <c r="A879" s="294"/>
      <c r="B879" s="294"/>
      <c r="F879" s="302"/>
      <c r="I879" s="553"/>
      <c r="P879" s="295"/>
      <c r="W879" s="295"/>
      <c r="AD879" s="295"/>
      <c r="AK879" s="295"/>
      <c r="BY879" s="618"/>
      <c r="BZ879" s="553"/>
      <c r="CF879" s="294"/>
      <c r="CG879" s="294"/>
      <c r="CR879" s="294"/>
    </row>
    <row r="880" spans="1:96" ht="13">
      <c r="A880" s="294"/>
      <c r="B880" s="294"/>
      <c r="F880" s="302"/>
      <c r="I880" s="553"/>
      <c r="P880" s="295"/>
      <c r="W880" s="295"/>
      <c r="AD880" s="295"/>
      <c r="AK880" s="295"/>
      <c r="BY880" s="618"/>
      <c r="BZ880" s="553"/>
      <c r="CF880" s="294"/>
      <c r="CG880" s="294"/>
      <c r="CR880" s="294"/>
    </row>
    <row r="881" spans="1:96" ht="13">
      <c r="A881" s="294"/>
      <c r="B881" s="294"/>
      <c r="F881" s="302"/>
      <c r="I881" s="553"/>
      <c r="P881" s="295"/>
      <c r="W881" s="295"/>
      <c r="AD881" s="295"/>
      <c r="AK881" s="295"/>
      <c r="BY881" s="618"/>
      <c r="BZ881" s="553"/>
      <c r="CF881" s="294"/>
      <c r="CG881" s="294"/>
      <c r="CR881" s="294"/>
    </row>
    <row r="882" spans="1:96" ht="13">
      <c r="A882" s="294"/>
      <c r="B882" s="294"/>
      <c r="F882" s="302"/>
      <c r="I882" s="553"/>
      <c r="P882" s="295"/>
      <c r="W882" s="295"/>
      <c r="AD882" s="295"/>
      <c r="AK882" s="295"/>
      <c r="BY882" s="618"/>
      <c r="BZ882" s="553"/>
      <c r="CF882" s="294"/>
      <c r="CG882" s="294"/>
      <c r="CR882" s="294"/>
    </row>
    <row r="883" spans="1:96" ht="13">
      <c r="A883" s="294"/>
      <c r="B883" s="294"/>
      <c r="F883" s="302"/>
      <c r="I883" s="553"/>
      <c r="P883" s="295"/>
      <c r="W883" s="295"/>
      <c r="AD883" s="295"/>
      <c r="AK883" s="295"/>
      <c r="BY883" s="618"/>
      <c r="BZ883" s="553"/>
      <c r="CF883" s="294"/>
      <c r="CG883" s="294"/>
      <c r="CR883" s="294"/>
    </row>
    <row r="884" spans="1:96" ht="13">
      <c r="A884" s="294"/>
      <c r="B884" s="294"/>
      <c r="F884" s="302"/>
      <c r="I884" s="553"/>
      <c r="P884" s="295"/>
      <c r="W884" s="295"/>
      <c r="AD884" s="295"/>
      <c r="AK884" s="295"/>
      <c r="BY884" s="618"/>
      <c r="BZ884" s="553"/>
      <c r="CF884" s="294"/>
      <c r="CG884" s="294"/>
      <c r="CR884" s="294"/>
    </row>
    <row r="885" spans="1:96" ht="13">
      <c r="A885" s="294"/>
      <c r="B885" s="294"/>
      <c r="F885" s="302"/>
      <c r="I885" s="553"/>
      <c r="P885" s="295"/>
      <c r="W885" s="295"/>
      <c r="AD885" s="295"/>
      <c r="AK885" s="295"/>
      <c r="BY885" s="618"/>
      <c r="BZ885" s="553"/>
      <c r="CF885" s="294"/>
      <c r="CG885" s="294"/>
      <c r="CR885" s="294"/>
    </row>
    <row r="886" spans="1:96" ht="13">
      <c r="A886" s="294"/>
      <c r="B886" s="294"/>
      <c r="F886" s="302"/>
      <c r="I886" s="553"/>
      <c r="P886" s="295"/>
      <c r="W886" s="295"/>
      <c r="AD886" s="295"/>
      <c r="AK886" s="295"/>
      <c r="BY886" s="618"/>
      <c r="BZ886" s="553"/>
      <c r="CF886" s="294"/>
      <c r="CG886" s="294"/>
      <c r="CR886" s="294"/>
    </row>
    <row r="887" spans="1:96" ht="13">
      <c r="A887" s="294"/>
      <c r="B887" s="294"/>
      <c r="F887" s="302"/>
      <c r="I887" s="553"/>
      <c r="P887" s="295"/>
      <c r="W887" s="295"/>
      <c r="AD887" s="295"/>
      <c r="AK887" s="295"/>
      <c r="BY887" s="618"/>
      <c r="BZ887" s="553"/>
      <c r="CF887" s="294"/>
      <c r="CG887" s="294"/>
      <c r="CR887" s="294"/>
    </row>
    <row r="888" spans="1:96" ht="13">
      <c r="A888" s="294"/>
      <c r="B888" s="294"/>
      <c r="F888" s="302"/>
      <c r="I888" s="553"/>
      <c r="P888" s="295"/>
      <c r="W888" s="295"/>
      <c r="AD888" s="295"/>
      <c r="AK888" s="295"/>
      <c r="BY888" s="618"/>
      <c r="BZ888" s="553"/>
      <c r="CF888" s="294"/>
      <c r="CG888" s="294"/>
      <c r="CR888" s="294"/>
    </row>
    <row r="889" spans="1:96" ht="13">
      <c r="A889" s="294"/>
      <c r="B889" s="294"/>
      <c r="F889" s="302"/>
      <c r="I889" s="553"/>
      <c r="P889" s="295"/>
      <c r="W889" s="295"/>
      <c r="AD889" s="295"/>
      <c r="AK889" s="295"/>
      <c r="BY889" s="618"/>
      <c r="BZ889" s="553"/>
      <c r="CF889" s="294"/>
      <c r="CG889" s="294"/>
      <c r="CR889" s="294"/>
    </row>
    <row r="890" spans="1:96" ht="13">
      <c r="A890" s="294"/>
      <c r="B890" s="294"/>
      <c r="F890" s="302"/>
      <c r="I890" s="553"/>
      <c r="P890" s="295"/>
      <c r="W890" s="295"/>
      <c r="AD890" s="295"/>
      <c r="AK890" s="295"/>
      <c r="BY890" s="618"/>
      <c r="BZ890" s="553"/>
      <c r="CF890" s="294"/>
      <c r="CG890" s="294"/>
      <c r="CR890" s="294"/>
    </row>
    <row r="891" spans="1:96" ht="13">
      <c r="A891" s="294"/>
      <c r="B891" s="294"/>
      <c r="F891" s="302"/>
      <c r="I891" s="553"/>
      <c r="P891" s="295"/>
      <c r="W891" s="295"/>
      <c r="AD891" s="295"/>
      <c r="AK891" s="295"/>
      <c r="BY891" s="618"/>
      <c r="BZ891" s="553"/>
      <c r="CF891" s="294"/>
      <c r="CG891" s="294"/>
      <c r="CR891" s="294"/>
    </row>
    <row r="892" spans="1:96" ht="13">
      <c r="A892" s="294"/>
      <c r="B892" s="294"/>
      <c r="F892" s="302"/>
      <c r="I892" s="553"/>
      <c r="P892" s="295"/>
      <c r="W892" s="295"/>
      <c r="AD892" s="295"/>
      <c r="AK892" s="295"/>
      <c r="BY892" s="618"/>
      <c r="BZ892" s="553"/>
      <c r="CF892" s="294"/>
      <c r="CG892" s="294"/>
      <c r="CR892" s="294"/>
    </row>
    <row r="893" spans="1:96" ht="13">
      <c r="A893" s="294"/>
      <c r="B893" s="294"/>
      <c r="F893" s="302"/>
      <c r="I893" s="553"/>
      <c r="P893" s="295"/>
      <c r="W893" s="295"/>
      <c r="AD893" s="295"/>
      <c r="AK893" s="295"/>
      <c r="BY893" s="618"/>
      <c r="BZ893" s="553"/>
      <c r="CF893" s="294"/>
      <c r="CG893" s="294"/>
      <c r="CR893" s="294"/>
    </row>
    <row r="894" spans="1:96" ht="13">
      <c r="A894" s="294"/>
      <c r="B894" s="294"/>
      <c r="F894" s="302"/>
      <c r="I894" s="553"/>
      <c r="P894" s="295"/>
      <c r="W894" s="295"/>
      <c r="AD894" s="295"/>
      <c r="AK894" s="295"/>
      <c r="BY894" s="618"/>
      <c r="BZ894" s="553"/>
      <c r="CF894" s="294"/>
      <c r="CG894" s="294"/>
      <c r="CR894" s="294"/>
    </row>
    <row r="895" spans="1:96" ht="13">
      <c r="A895" s="294"/>
      <c r="B895" s="294"/>
      <c r="F895" s="302"/>
      <c r="I895" s="553"/>
      <c r="P895" s="295"/>
      <c r="W895" s="295"/>
      <c r="AD895" s="295"/>
      <c r="AK895" s="295"/>
      <c r="BY895" s="618"/>
      <c r="BZ895" s="553"/>
      <c r="CF895" s="294"/>
      <c r="CG895" s="294"/>
      <c r="CR895" s="294"/>
    </row>
    <row r="896" spans="1:96" ht="13">
      <c r="A896" s="294"/>
      <c r="B896" s="294"/>
      <c r="F896" s="302"/>
      <c r="I896" s="553"/>
      <c r="P896" s="295"/>
      <c r="W896" s="295"/>
      <c r="AD896" s="295"/>
      <c r="AK896" s="295"/>
      <c r="BY896" s="618"/>
      <c r="BZ896" s="553"/>
      <c r="CF896" s="294"/>
      <c r="CG896" s="294"/>
      <c r="CR896" s="294"/>
    </row>
    <row r="897" spans="1:96" ht="13">
      <c r="A897" s="294"/>
      <c r="B897" s="294"/>
      <c r="F897" s="302"/>
      <c r="I897" s="553"/>
      <c r="P897" s="295"/>
      <c r="W897" s="295"/>
      <c r="AD897" s="295"/>
      <c r="AK897" s="295"/>
      <c r="BY897" s="618"/>
      <c r="BZ897" s="553"/>
      <c r="CF897" s="294"/>
      <c r="CG897" s="294"/>
      <c r="CR897" s="294"/>
    </row>
    <row r="898" spans="1:96" ht="13">
      <c r="A898" s="294"/>
      <c r="B898" s="294"/>
      <c r="F898" s="302"/>
      <c r="I898" s="553"/>
      <c r="P898" s="295"/>
      <c r="W898" s="295"/>
      <c r="AD898" s="295"/>
      <c r="AK898" s="295"/>
      <c r="BY898" s="618"/>
      <c r="BZ898" s="553"/>
      <c r="CF898" s="294"/>
      <c r="CG898" s="294"/>
      <c r="CR898" s="294"/>
    </row>
    <row r="899" spans="1:96" ht="13">
      <c r="A899" s="294"/>
      <c r="B899" s="294"/>
      <c r="F899" s="302"/>
      <c r="I899" s="553"/>
      <c r="P899" s="295"/>
      <c r="W899" s="295"/>
      <c r="AD899" s="295"/>
      <c r="AK899" s="295"/>
      <c r="BY899" s="618"/>
      <c r="BZ899" s="553"/>
      <c r="CF899" s="294"/>
      <c r="CG899" s="294"/>
      <c r="CR899" s="294"/>
    </row>
    <row r="900" spans="1:96" ht="13">
      <c r="A900" s="294"/>
      <c r="B900" s="294"/>
      <c r="F900" s="302"/>
      <c r="I900" s="553"/>
      <c r="P900" s="295"/>
      <c r="W900" s="295"/>
      <c r="AD900" s="295"/>
      <c r="AK900" s="295"/>
      <c r="BY900" s="618"/>
      <c r="BZ900" s="553"/>
      <c r="CF900" s="294"/>
      <c r="CG900" s="294"/>
      <c r="CR900" s="294"/>
    </row>
    <row r="901" spans="1:96" ht="13">
      <c r="A901" s="294"/>
      <c r="B901" s="294"/>
      <c r="F901" s="302"/>
      <c r="I901" s="553"/>
      <c r="P901" s="295"/>
      <c r="W901" s="295"/>
      <c r="AD901" s="295"/>
      <c r="AK901" s="295"/>
      <c r="BY901" s="618"/>
      <c r="BZ901" s="553"/>
      <c r="CF901" s="294"/>
      <c r="CG901" s="294"/>
      <c r="CR901" s="294"/>
    </row>
    <row r="902" spans="1:96" ht="13">
      <c r="A902" s="294"/>
      <c r="B902" s="294"/>
      <c r="F902" s="302"/>
      <c r="I902" s="553"/>
      <c r="P902" s="295"/>
      <c r="W902" s="295"/>
      <c r="AD902" s="295"/>
      <c r="AK902" s="295"/>
      <c r="BY902" s="618"/>
      <c r="BZ902" s="553"/>
      <c r="CF902" s="294"/>
      <c r="CG902" s="294"/>
      <c r="CR902" s="294"/>
    </row>
    <row r="903" spans="1:96" ht="13">
      <c r="A903" s="294"/>
      <c r="B903" s="294"/>
      <c r="F903" s="302"/>
      <c r="I903" s="553"/>
      <c r="P903" s="295"/>
      <c r="W903" s="295"/>
      <c r="AD903" s="295"/>
      <c r="AK903" s="295"/>
      <c r="BY903" s="618"/>
      <c r="BZ903" s="553"/>
      <c r="CF903" s="294"/>
      <c r="CG903" s="294"/>
      <c r="CR903" s="294"/>
    </row>
    <row r="904" spans="1:96" ht="13">
      <c r="A904" s="294"/>
      <c r="B904" s="294"/>
      <c r="F904" s="302"/>
      <c r="I904" s="553"/>
      <c r="P904" s="295"/>
      <c r="W904" s="295"/>
      <c r="AD904" s="295"/>
      <c r="AK904" s="295"/>
      <c r="BY904" s="618"/>
      <c r="BZ904" s="553"/>
      <c r="CF904" s="294"/>
      <c r="CG904" s="294"/>
      <c r="CR904" s="294"/>
    </row>
    <row r="905" spans="1:96" ht="13">
      <c r="A905" s="294"/>
      <c r="B905" s="294"/>
      <c r="F905" s="302"/>
      <c r="I905" s="553"/>
      <c r="P905" s="295"/>
      <c r="W905" s="295"/>
      <c r="AD905" s="295"/>
      <c r="AK905" s="295"/>
      <c r="BY905" s="618"/>
      <c r="BZ905" s="553"/>
      <c r="CF905" s="294"/>
      <c r="CG905" s="294"/>
      <c r="CR905" s="294"/>
    </row>
    <row r="906" spans="1:96" ht="13">
      <c r="A906" s="294"/>
      <c r="B906" s="294"/>
      <c r="F906" s="302"/>
      <c r="I906" s="553"/>
      <c r="P906" s="295"/>
      <c r="W906" s="295"/>
      <c r="AD906" s="295"/>
      <c r="AK906" s="295"/>
      <c r="BY906" s="618"/>
      <c r="BZ906" s="553"/>
      <c r="CF906" s="294"/>
      <c r="CG906" s="294"/>
      <c r="CR906" s="294"/>
    </row>
    <row r="907" spans="1:96" ht="13">
      <c r="A907" s="294"/>
      <c r="B907" s="294"/>
      <c r="F907" s="302"/>
      <c r="I907" s="553"/>
      <c r="P907" s="295"/>
      <c r="W907" s="295"/>
      <c r="AD907" s="295"/>
      <c r="AK907" s="295"/>
      <c r="BY907" s="618"/>
      <c r="BZ907" s="553"/>
      <c r="CF907" s="294"/>
      <c r="CG907" s="294"/>
      <c r="CR907" s="294"/>
    </row>
    <row r="908" spans="1:96" ht="13">
      <c r="A908" s="294"/>
      <c r="B908" s="294"/>
      <c r="F908" s="302"/>
      <c r="I908" s="553"/>
      <c r="P908" s="295"/>
      <c r="W908" s="295"/>
      <c r="AD908" s="295"/>
      <c r="AK908" s="295"/>
      <c r="BY908" s="618"/>
      <c r="BZ908" s="553"/>
      <c r="CF908" s="294"/>
      <c r="CG908" s="294"/>
      <c r="CR908" s="294"/>
    </row>
    <row r="909" spans="1:96" ht="13">
      <c r="A909" s="294"/>
      <c r="B909" s="294"/>
      <c r="F909" s="302"/>
      <c r="I909" s="553"/>
      <c r="P909" s="295"/>
      <c r="W909" s="295"/>
      <c r="AD909" s="295"/>
      <c r="AK909" s="295"/>
      <c r="BY909" s="618"/>
      <c r="BZ909" s="553"/>
      <c r="CF909" s="294"/>
      <c r="CG909" s="294"/>
      <c r="CR909" s="294"/>
    </row>
    <row r="910" spans="1:96" ht="13">
      <c r="A910" s="294"/>
      <c r="B910" s="294"/>
      <c r="F910" s="302"/>
      <c r="I910" s="553"/>
      <c r="P910" s="295"/>
      <c r="W910" s="295"/>
      <c r="AD910" s="295"/>
      <c r="AK910" s="295"/>
      <c r="BY910" s="618"/>
      <c r="BZ910" s="553"/>
      <c r="CF910" s="294"/>
      <c r="CG910" s="294"/>
      <c r="CR910" s="294"/>
    </row>
    <row r="911" spans="1:96" ht="13">
      <c r="A911" s="294"/>
      <c r="B911" s="294"/>
      <c r="F911" s="302"/>
      <c r="I911" s="553"/>
      <c r="P911" s="295"/>
      <c r="W911" s="295"/>
      <c r="AD911" s="295"/>
      <c r="AK911" s="295"/>
      <c r="BY911" s="618"/>
      <c r="BZ911" s="553"/>
      <c r="CF911" s="294"/>
      <c r="CG911" s="294"/>
      <c r="CR911" s="294"/>
    </row>
    <row r="912" spans="1:96" ht="13">
      <c r="A912" s="294"/>
      <c r="B912" s="294"/>
      <c r="F912" s="302"/>
      <c r="I912" s="553"/>
      <c r="P912" s="295"/>
      <c r="W912" s="295"/>
      <c r="AD912" s="295"/>
      <c r="AK912" s="295"/>
      <c r="BY912" s="618"/>
      <c r="BZ912" s="553"/>
      <c r="CF912" s="294"/>
      <c r="CG912" s="294"/>
      <c r="CR912" s="294"/>
    </row>
    <row r="913" spans="1:96" ht="13">
      <c r="A913" s="294"/>
      <c r="B913" s="294"/>
      <c r="F913" s="302"/>
      <c r="I913" s="553"/>
      <c r="P913" s="295"/>
      <c r="W913" s="295"/>
      <c r="AD913" s="295"/>
      <c r="AK913" s="295"/>
      <c r="BY913" s="618"/>
      <c r="BZ913" s="553"/>
      <c r="CF913" s="294"/>
      <c r="CG913" s="294"/>
      <c r="CR913" s="294"/>
    </row>
    <row r="914" spans="1:96" ht="13">
      <c r="A914" s="294"/>
      <c r="B914" s="294"/>
      <c r="F914" s="302"/>
      <c r="I914" s="553"/>
      <c r="P914" s="295"/>
      <c r="W914" s="295"/>
      <c r="AD914" s="295"/>
      <c r="AK914" s="295"/>
      <c r="BY914" s="618"/>
      <c r="BZ914" s="553"/>
      <c r="CF914" s="294"/>
      <c r="CG914" s="294"/>
      <c r="CR914" s="294"/>
    </row>
    <row r="915" spans="1:96" ht="13">
      <c r="A915" s="294"/>
      <c r="B915" s="294"/>
      <c r="F915" s="302"/>
      <c r="I915" s="553"/>
      <c r="P915" s="295"/>
      <c r="W915" s="295"/>
      <c r="AD915" s="295"/>
      <c r="AK915" s="295"/>
      <c r="BY915" s="618"/>
      <c r="BZ915" s="553"/>
      <c r="CF915" s="294"/>
      <c r="CG915" s="294"/>
      <c r="CR915" s="294"/>
    </row>
    <row r="916" spans="1:96" ht="13">
      <c r="A916" s="294"/>
      <c r="B916" s="294"/>
      <c r="F916" s="302"/>
      <c r="I916" s="553"/>
      <c r="P916" s="295"/>
      <c r="W916" s="295"/>
      <c r="AD916" s="295"/>
      <c r="AK916" s="295"/>
      <c r="BY916" s="618"/>
      <c r="BZ916" s="553"/>
      <c r="CF916" s="294"/>
      <c r="CG916" s="294"/>
      <c r="CR916" s="294"/>
    </row>
    <row r="917" spans="1:96" ht="13">
      <c r="A917" s="294"/>
      <c r="B917" s="294"/>
      <c r="F917" s="302"/>
      <c r="I917" s="553"/>
      <c r="P917" s="295"/>
      <c r="W917" s="295"/>
      <c r="AD917" s="295"/>
      <c r="AK917" s="295"/>
      <c r="BY917" s="618"/>
      <c r="BZ917" s="553"/>
      <c r="CF917" s="294"/>
      <c r="CG917" s="294"/>
      <c r="CR917" s="294"/>
    </row>
    <row r="918" spans="1:96" ht="13">
      <c r="A918" s="294"/>
      <c r="B918" s="294"/>
      <c r="F918" s="302"/>
      <c r="I918" s="553"/>
      <c r="P918" s="295"/>
      <c r="W918" s="295"/>
      <c r="AD918" s="295"/>
      <c r="AK918" s="295"/>
      <c r="BY918" s="618"/>
      <c r="BZ918" s="553"/>
      <c r="CF918" s="294"/>
      <c r="CG918" s="294"/>
      <c r="CR918" s="294"/>
    </row>
    <row r="919" spans="1:96" ht="13">
      <c r="A919" s="294"/>
      <c r="B919" s="294"/>
      <c r="F919" s="302"/>
      <c r="I919" s="553"/>
      <c r="P919" s="295"/>
      <c r="W919" s="295"/>
      <c r="AD919" s="295"/>
      <c r="AK919" s="295"/>
      <c r="BY919" s="618"/>
      <c r="BZ919" s="553"/>
      <c r="CF919" s="294"/>
      <c r="CG919" s="294"/>
      <c r="CR919" s="294"/>
    </row>
    <row r="920" spans="1:96" ht="13">
      <c r="A920" s="294"/>
      <c r="B920" s="294"/>
      <c r="F920" s="302"/>
      <c r="I920" s="553"/>
      <c r="P920" s="295"/>
      <c r="W920" s="295"/>
      <c r="AD920" s="295"/>
      <c r="AK920" s="295"/>
      <c r="BY920" s="618"/>
      <c r="BZ920" s="553"/>
      <c r="CF920" s="294"/>
      <c r="CG920" s="294"/>
      <c r="CR920" s="294"/>
    </row>
    <row r="921" spans="1:96" ht="13">
      <c r="A921" s="294"/>
      <c r="B921" s="294"/>
      <c r="F921" s="302"/>
      <c r="I921" s="553"/>
      <c r="P921" s="295"/>
      <c r="W921" s="295"/>
      <c r="AD921" s="295"/>
      <c r="AK921" s="295"/>
      <c r="BY921" s="618"/>
      <c r="BZ921" s="553"/>
      <c r="CF921" s="294"/>
      <c r="CG921" s="294"/>
      <c r="CR921" s="294"/>
    </row>
    <row r="922" spans="1:96" ht="13">
      <c r="A922" s="294"/>
      <c r="B922" s="294"/>
      <c r="F922" s="302"/>
      <c r="I922" s="553"/>
      <c r="P922" s="295"/>
      <c r="W922" s="295"/>
      <c r="AD922" s="295"/>
      <c r="AK922" s="295"/>
      <c r="BY922" s="618"/>
      <c r="BZ922" s="553"/>
      <c r="CF922" s="294"/>
      <c r="CG922" s="294"/>
      <c r="CR922" s="294"/>
    </row>
    <row r="923" spans="1:96" ht="13">
      <c r="A923" s="294"/>
      <c r="B923" s="294"/>
      <c r="F923" s="302"/>
      <c r="I923" s="553"/>
      <c r="P923" s="295"/>
      <c r="W923" s="295"/>
      <c r="AD923" s="295"/>
      <c r="AK923" s="295"/>
      <c r="BY923" s="618"/>
      <c r="BZ923" s="553"/>
      <c r="CF923" s="294"/>
      <c r="CG923" s="294"/>
      <c r="CR923" s="294"/>
    </row>
    <row r="924" spans="1:96" ht="13">
      <c r="A924" s="294"/>
      <c r="B924" s="294"/>
      <c r="F924" s="302"/>
      <c r="I924" s="553"/>
      <c r="P924" s="295"/>
      <c r="W924" s="295"/>
      <c r="AD924" s="295"/>
      <c r="AK924" s="295"/>
      <c r="BY924" s="618"/>
      <c r="BZ924" s="553"/>
      <c r="CF924" s="294"/>
      <c r="CG924" s="294"/>
      <c r="CR924" s="294"/>
    </row>
    <row r="925" spans="1:96" ht="13">
      <c r="A925" s="294"/>
      <c r="B925" s="294"/>
      <c r="F925" s="302"/>
      <c r="I925" s="553"/>
      <c r="P925" s="295"/>
      <c r="W925" s="295"/>
      <c r="AD925" s="295"/>
      <c r="AK925" s="295"/>
      <c r="BY925" s="618"/>
      <c r="BZ925" s="553"/>
      <c r="CF925" s="294"/>
      <c r="CG925" s="294"/>
      <c r="CR925" s="294"/>
    </row>
    <row r="926" spans="1:96" ht="13">
      <c r="A926" s="294"/>
      <c r="B926" s="294"/>
      <c r="F926" s="302"/>
      <c r="I926" s="553"/>
      <c r="P926" s="295"/>
      <c r="W926" s="295"/>
      <c r="AD926" s="295"/>
      <c r="AK926" s="295"/>
      <c r="BY926" s="618"/>
      <c r="BZ926" s="553"/>
      <c r="CF926" s="294"/>
      <c r="CG926" s="294"/>
      <c r="CR926" s="294"/>
    </row>
    <row r="927" spans="1:96" ht="13">
      <c r="A927" s="294"/>
      <c r="B927" s="294"/>
      <c r="F927" s="302"/>
      <c r="I927" s="553"/>
      <c r="P927" s="295"/>
      <c r="W927" s="295"/>
      <c r="AD927" s="295"/>
      <c r="AK927" s="295"/>
      <c r="BY927" s="618"/>
      <c r="BZ927" s="553"/>
      <c r="CF927" s="294"/>
      <c r="CG927" s="294"/>
      <c r="CR927" s="294"/>
    </row>
    <row r="928" spans="1:96" ht="13">
      <c r="A928" s="294"/>
      <c r="B928" s="294"/>
      <c r="F928" s="302"/>
      <c r="I928" s="553"/>
      <c r="P928" s="295"/>
      <c r="W928" s="295"/>
      <c r="AD928" s="295"/>
      <c r="AK928" s="295"/>
      <c r="BY928" s="618"/>
      <c r="BZ928" s="553"/>
      <c r="CF928" s="294"/>
      <c r="CG928" s="294"/>
      <c r="CR928" s="294"/>
    </row>
    <row r="929" spans="1:96" ht="13">
      <c r="A929" s="294"/>
      <c r="B929" s="294"/>
      <c r="F929" s="302"/>
      <c r="I929" s="553"/>
      <c r="P929" s="295"/>
      <c r="W929" s="295"/>
      <c r="AD929" s="295"/>
      <c r="AK929" s="295"/>
      <c r="BY929" s="618"/>
      <c r="BZ929" s="553"/>
      <c r="CF929" s="294"/>
      <c r="CG929" s="294"/>
      <c r="CR929" s="294"/>
    </row>
    <row r="930" spans="1:96" ht="13">
      <c r="A930" s="294"/>
      <c r="B930" s="294"/>
      <c r="F930" s="302"/>
      <c r="I930" s="553"/>
      <c r="P930" s="295"/>
      <c r="W930" s="295"/>
      <c r="AD930" s="295"/>
      <c r="AK930" s="295"/>
      <c r="BY930" s="618"/>
      <c r="BZ930" s="553"/>
      <c r="CF930" s="294"/>
      <c r="CG930" s="294"/>
      <c r="CR930" s="294"/>
    </row>
    <row r="931" spans="1:96" ht="13">
      <c r="A931" s="294"/>
      <c r="B931" s="294"/>
      <c r="F931" s="302"/>
      <c r="I931" s="553"/>
      <c r="P931" s="295"/>
      <c r="W931" s="295"/>
      <c r="AD931" s="295"/>
      <c r="AK931" s="295"/>
      <c r="BY931" s="618"/>
      <c r="BZ931" s="553"/>
      <c r="CF931" s="294"/>
      <c r="CG931" s="294"/>
      <c r="CR931" s="294"/>
    </row>
    <row r="932" spans="1:96" ht="13">
      <c r="A932" s="294"/>
      <c r="B932" s="294"/>
      <c r="F932" s="302"/>
      <c r="I932" s="553"/>
      <c r="P932" s="295"/>
      <c r="W932" s="295"/>
      <c r="AD932" s="295"/>
      <c r="AK932" s="295"/>
      <c r="BY932" s="618"/>
      <c r="BZ932" s="553"/>
      <c r="CF932" s="294"/>
      <c r="CG932" s="294"/>
      <c r="CR932" s="294"/>
    </row>
    <row r="933" spans="1:96" ht="13">
      <c r="A933" s="294"/>
      <c r="B933" s="294"/>
      <c r="F933" s="302"/>
      <c r="I933" s="553"/>
      <c r="P933" s="295"/>
      <c r="W933" s="295"/>
      <c r="AD933" s="295"/>
      <c r="AK933" s="295"/>
      <c r="BY933" s="618"/>
      <c r="BZ933" s="553"/>
      <c r="CF933" s="294"/>
      <c r="CG933" s="294"/>
      <c r="CR933" s="294"/>
    </row>
    <row r="934" spans="1:96" ht="13">
      <c r="A934" s="294"/>
      <c r="B934" s="294"/>
      <c r="F934" s="302"/>
      <c r="I934" s="553"/>
      <c r="P934" s="295"/>
      <c r="W934" s="295"/>
      <c r="AD934" s="295"/>
      <c r="AK934" s="295"/>
      <c r="BY934" s="618"/>
      <c r="BZ934" s="553"/>
      <c r="CF934" s="294"/>
      <c r="CG934" s="294"/>
      <c r="CR934" s="294"/>
    </row>
    <row r="935" spans="1:96" ht="13">
      <c r="A935" s="294"/>
      <c r="B935" s="294"/>
      <c r="F935" s="302"/>
      <c r="I935" s="553"/>
      <c r="P935" s="295"/>
      <c r="W935" s="295"/>
      <c r="AD935" s="295"/>
      <c r="AK935" s="295"/>
      <c r="BY935" s="618"/>
      <c r="BZ935" s="553"/>
      <c r="CF935" s="294"/>
      <c r="CG935" s="294"/>
      <c r="CR935" s="294"/>
    </row>
    <row r="936" spans="1:96" ht="13">
      <c r="A936" s="294"/>
      <c r="B936" s="294"/>
      <c r="F936" s="302"/>
      <c r="I936" s="553"/>
      <c r="P936" s="295"/>
      <c r="W936" s="295"/>
      <c r="AD936" s="295"/>
      <c r="AK936" s="295"/>
      <c r="BY936" s="618"/>
      <c r="BZ936" s="553"/>
      <c r="CF936" s="294"/>
      <c r="CG936" s="294"/>
      <c r="CR936" s="294"/>
    </row>
    <row r="937" spans="1:96" ht="13">
      <c r="A937" s="294"/>
      <c r="B937" s="294"/>
      <c r="F937" s="302"/>
      <c r="I937" s="553"/>
      <c r="P937" s="295"/>
      <c r="W937" s="295"/>
      <c r="AD937" s="295"/>
      <c r="AK937" s="295"/>
      <c r="BY937" s="618"/>
      <c r="BZ937" s="553"/>
      <c r="CF937" s="294"/>
      <c r="CG937" s="294"/>
      <c r="CR937" s="294"/>
    </row>
    <row r="938" spans="1:96" ht="13">
      <c r="A938" s="294"/>
      <c r="B938" s="294"/>
      <c r="F938" s="302"/>
      <c r="I938" s="553"/>
      <c r="P938" s="295"/>
      <c r="W938" s="295"/>
      <c r="AD938" s="295"/>
      <c r="AK938" s="295"/>
      <c r="BY938" s="618"/>
      <c r="BZ938" s="553"/>
      <c r="CF938" s="294"/>
      <c r="CG938" s="294"/>
      <c r="CR938" s="294"/>
    </row>
    <row r="939" spans="1:96" ht="13">
      <c r="A939" s="294"/>
      <c r="B939" s="294"/>
      <c r="F939" s="302"/>
      <c r="I939" s="553"/>
      <c r="P939" s="295"/>
      <c r="W939" s="295"/>
      <c r="AD939" s="295"/>
      <c r="AK939" s="295"/>
      <c r="BY939" s="618"/>
      <c r="BZ939" s="553"/>
      <c r="CF939" s="294"/>
      <c r="CG939" s="294"/>
      <c r="CR939" s="294"/>
    </row>
    <row r="940" spans="1:96" ht="13">
      <c r="A940" s="294"/>
      <c r="B940" s="294"/>
      <c r="F940" s="302"/>
      <c r="I940" s="553"/>
      <c r="P940" s="295"/>
      <c r="W940" s="295"/>
      <c r="AD940" s="295"/>
      <c r="AK940" s="295"/>
      <c r="BY940" s="618"/>
      <c r="BZ940" s="553"/>
      <c r="CF940" s="294"/>
      <c r="CG940" s="294"/>
      <c r="CR940" s="294"/>
    </row>
    <row r="941" spans="1:96" ht="13">
      <c r="A941" s="294"/>
      <c r="B941" s="294"/>
      <c r="F941" s="302"/>
      <c r="I941" s="553"/>
      <c r="P941" s="295"/>
      <c r="W941" s="295"/>
      <c r="AD941" s="295"/>
      <c r="AK941" s="295"/>
      <c r="BY941" s="618"/>
      <c r="BZ941" s="553"/>
      <c r="CF941" s="294"/>
      <c r="CG941" s="294"/>
      <c r="CR941" s="294"/>
    </row>
    <row r="942" spans="1:96" ht="13">
      <c r="A942" s="294"/>
      <c r="B942" s="294"/>
      <c r="F942" s="302"/>
      <c r="I942" s="553"/>
      <c r="P942" s="295"/>
      <c r="W942" s="295"/>
      <c r="AD942" s="295"/>
      <c r="AK942" s="295"/>
      <c r="BY942" s="618"/>
      <c r="BZ942" s="553"/>
      <c r="CF942" s="294"/>
      <c r="CG942" s="294"/>
      <c r="CR942" s="294"/>
    </row>
    <row r="943" spans="1:96" ht="13">
      <c r="A943" s="294"/>
      <c r="B943" s="294"/>
      <c r="F943" s="302"/>
      <c r="I943" s="553"/>
      <c r="P943" s="295"/>
      <c r="W943" s="295"/>
      <c r="AD943" s="295"/>
      <c r="AK943" s="295"/>
      <c r="BY943" s="618"/>
      <c r="BZ943" s="553"/>
      <c r="CF943" s="294"/>
      <c r="CG943" s="294"/>
      <c r="CR943" s="294"/>
    </row>
    <row r="944" spans="1:96" ht="13">
      <c r="A944" s="294"/>
      <c r="B944" s="294"/>
      <c r="F944" s="302"/>
      <c r="I944" s="553"/>
      <c r="P944" s="295"/>
      <c r="W944" s="295"/>
      <c r="AD944" s="295"/>
      <c r="AK944" s="295"/>
      <c r="BY944" s="618"/>
      <c r="BZ944" s="553"/>
      <c r="CF944" s="294"/>
      <c r="CG944" s="294"/>
      <c r="CR944" s="294"/>
    </row>
    <row r="945" spans="1:96" ht="13">
      <c r="A945" s="294"/>
      <c r="B945" s="294"/>
      <c r="F945" s="302"/>
      <c r="I945" s="553"/>
      <c r="P945" s="295"/>
      <c r="W945" s="295"/>
      <c r="AD945" s="295"/>
      <c r="AK945" s="295"/>
      <c r="BY945" s="618"/>
      <c r="BZ945" s="553"/>
      <c r="CF945" s="294"/>
      <c r="CG945" s="294"/>
      <c r="CR945" s="294"/>
    </row>
    <row r="946" spans="1:96" ht="13">
      <c r="A946" s="294"/>
      <c r="B946" s="294"/>
      <c r="F946" s="302"/>
      <c r="I946" s="553"/>
      <c r="P946" s="295"/>
      <c r="W946" s="295"/>
      <c r="AD946" s="295"/>
      <c r="AK946" s="295"/>
      <c r="BY946" s="618"/>
      <c r="BZ946" s="553"/>
      <c r="CF946" s="294"/>
      <c r="CG946" s="294"/>
      <c r="CR946" s="294"/>
    </row>
    <row r="947" spans="1:96" ht="13">
      <c r="A947" s="294"/>
      <c r="B947" s="294"/>
      <c r="F947" s="302"/>
      <c r="I947" s="553"/>
      <c r="P947" s="295"/>
      <c r="W947" s="295"/>
      <c r="AD947" s="295"/>
      <c r="AK947" s="295"/>
      <c r="BY947" s="618"/>
      <c r="BZ947" s="553"/>
      <c r="CF947" s="294"/>
      <c r="CG947" s="294"/>
      <c r="CR947" s="294"/>
    </row>
    <row r="948" spans="1:96" ht="13">
      <c r="A948" s="294"/>
      <c r="B948" s="294"/>
      <c r="F948" s="302"/>
      <c r="I948" s="553"/>
      <c r="P948" s="295"/>
      <c r="W948" s="295"/>
      <c r="AD948" s="295"/>
      <c r="AK948" s="295"/>
      <c r="BY948" s="618"/>
      <c r="BZ948" s="553"/>
      <c r="CF948" s="294"/>
      <c r="CG948" s="294"/>
      <c r="CR948" s="294"/>
    </row>
    <row r="949" spans="1:96" ht="13">
      <c r="A949" s="294"/>
      <c r="B949" s="294"/>
      <c r="F949" s="302"/>
      <c r="I949" s="553"/>
      <c r="P949" s="295"/>
      <c r="W949" s="295"/>
      <c r="AD949" s="295"/>
      <c r="AK949" s="295"/>
      <c r="BY949" s="618"/>
      <c r="BZ949" s="553"/>
      <c r="CF949" s="294"/>
      <c r="CG949" s="294"/>
      <c r="CR949" s="294"/>
    </row>
    <row r="950" spans="1:96" ht="13">
      <c r="A950" s="294"/>
      <c r="B950" s="294"/>
      <c r="F950" s="302"/>
      <c r="I950" s="553"/>
      <c r="P950" s="295"/>
      <c r="W950" s="295"/>
      <c r="AD950" s="295"/>
      <c r="AK950" s="295"/>
      <c r="BY950" s="618"/>
      <c r="BZ950" s="553"/>
      <c r="CF950" s="294"/>
      <c r="CG950" s="294"/>
      <c r="CR950" s="294"/>
    </row>
    <row r="951" spans="1:96" ht="13">
      <c r="A951" s="294"/>
      <c r="B951" s="294"/>
      <c r="F951" s="302"/>
      <c r="I951" s="553"/>
      <c r="P951" s="295"/>
      <c r="W951" s="295"/>
      <c r="AD951" s="295"/>
      <c r="AK951" s="295"/>
      <c r="BY951" s="618"/>
      <c r="BZ951" s="553"/>
      <c r="CF951" s="294"/>
      <c r="CG951" s="294"/>
      <c r="CR951" s="294"/>
    </row>
    <row r="952" spans="1:96" ht="13">
      <c r="A952" s="294"/>
      <c r="B952" s="294"/>
      <c r="F952" s="302"/>
      <c r="I952" s="553"/>
      <c r="P952" s="295"/>
      <c r="W952" s="295"/>
      <c r="AD952" s="295"/>
      <c r="AK952" s="295"/>
      <c r="BY952" s="618"/>
      <c r="BZ952" s="553"/>
      <c r="CF952" s="294"/>
      <c r="CG952" s="294"/>
      <c r="CR952" s="294"/>
    </row>
    <row r="953" spans="1:96" ht="13">
      <c r="A953" s="294"/>
      <c r="B953" s="294"/>
      <c r="F953" s="302"/>
      <c r="I953" s="553"/>
      <c r="P953" s="295"/>
      <c r="W953" s="295"/>
      <c r="AD953" s="295"/>
      <c r="AK953" s="295"/>
      <c r="BY953" s="618"/>
      <c r="BZ953" s="553"/>
      <c r="CF953" s="294"/>
      <c r="CG953" s="294"/>
      <c r="CR953" s="294"/>
    </row>
    <row r="954" spans="1:96" ht="13">
      <c r="A954" s="294"/>
      <c r="B954" s="294"/>
      <c r="F954" s="302"/>
      <c r="I954" s="553"/>
      <c r="P954" s="295"/>
      <c r="W954" s="295"/>
      <c r="AD954" s="295"/>
      <c r="AK954" s="295"/>
      <c r="BY954" s="618"/>
      <c r="BZ954" s="553"/>
      <c r="CF954" s="294"/>
      <c r="CG954" s="294"/>
      <c r="CR954" s="294"/>
    </row>
    <row r="955" spans="1:96" ht="13">
      <c r="A955" s="294"/>
      <c r="B955" s="294"/>
      <c r="F955" s="302"/>
      <c r="I955" s="553"/>
      <c r="P955" s="295"/>
      <c r="W955" s="295"/>
      <c r="AD955" s="295"/>
      <c r="AK955" s="295"/>
      <c r="BY955" s="618"/>
      <c r="BZ955" s="553"/>
      <c r="CF955" s="294"/>
      <c r="CG955" s="294"/>
      <c r="CR955" s="294"/>
    </row>
    <row r="956" spans="1:96" ht="13">
      <c r="A956" s="294"/>
      <c r="B956" s="294"/>
      <c r="F956" s="302"/>
      <c r="I956" s="553"/>
      <c r="P956" s="295"/>
      <c r="W956" s="295"/>
      <c r="AD956" s="295"/>
      <c r="AK956" s="295"/>
      <c r="BY956" s="618"/>
      <c r="BZ956" s="553"/>
      <c r="CF956" s="294"/>
      <c r="CG956" s="294"/>
      <c r="CR956" s="294"/>
    </row>
    <row r="957" spans="1:96" ht="13">
      <c r="A957" s="294"/>
      <c r="B957" s="294"/>
      <c r="F957" s="302"/>
      <c r="I957" s="553"/>
      <c r="P957" s="295"/>
      <c r="W957" s="295"/>
      <c r="AD957" s="295"/>
      <c r="AK957" s="295"/>
      <c r="BY957" s="618"/>
      <c r="BZ957" s="553"/>
      <c r="CF957" s="294"/>
      <c r="CG957" s="294"/>
      <c r="CR957" s="294"/>
    </row>
    <row r="958" spans="1:96" ht="13">
      <c r="A958" s="294"/>
      <c r="B958" s="294"/>
      <c r="F958" s="302"/>
      <c r="I958" s="553"/>
      <c r="P958" s="295"/>
      <c r="W958" s="295"/>
      <c r="AD958" s="295"/>
      <c r="AK958" s="295"/>
      <c r="BY958" s="618"/>
      <c r="BZ958" s="553"/>
      <c r="CF958" s="294"/>
      <c r="CG958" s="294"/>
      <c r="CR958" s="294"/>
    </row>
    <row r="959" spans="1:96" ht="13">
      <c r="A959" s="294"/>
      <c r="B959" s="294"/>
      <c r="F959" s="302"/>
      <c r="I959" s="553"/>
      <c r="P959" s="295"/>
      <c r="W959" s="295"/>
      <c r="AD959" s="295"/>
      <c r="AK959" s="295"/>
      <c r="BY959" s="618"/>
      <c r="BZ959" s="553"/>
      <c r="CF959" s="294"/>
      <c r="CG959" s="294"/>
      <c r="CR959" s="294"/>
    </row>
    <row r="960" spans="1:96" ht="13">
      <c r="A960" s="294"/>
      <c r="B960" s="294"/>
      <c r="F960" s="302"/>
      <c r="I960" s="553"/>
      <c r="P960" s="295"/>
      <c r="W960" s="295"/>
      <c r="AD960" s="295"/>
      <c r="AK960" s="295"/>
      <c r="BY960" s="618"/>
      <c r="BZ960" s="553"/>
      <c r="CF960" s="294"/>
      <c r="CG960" s="294"/>
      <c r="CR960" s="294"/>
    </row>
    <row r="961" spans="1:96" ht="13">
      <c r="A961" s="294"/>
      <c r="B961" s="294"/>
      <c r="F961" s="302"/>
      <c r="I961" s="553"/>
      <c r="P961" s="295"/>
      <c r="W961" s="295"/>
      <c r="AD961" s="295"/>
      <c r="AK961" s="295"/>
      <c r="BY961" s="618"/>
      <c r="BZ961" s="553"/>
      <c r="CF961" s="294"/>
      <c r="CG961" s="294"/>
      <c r="CR961" s="294"/>
    </row>
    <row r="962" spans="1:96" ht="13">
      <c r="A962" s="294"/>
      <c r="B962" s="294"/>
      <c r="F962" s="302"/>
      <c r="I962" s="553"/>
      <c r="P962" s="295"/>
      <c r="W962" s="295"/>
      <c r="AD962" s="295"/>
      <c r="AK962" s="295"/>
      <c r="BY962" s="618"/>
      <c r="BZ962" s="553"/>
      <c r="CF962" s="294"/>
      <c r="CG962" s="294"/>
      <c r="CR962" s="294"/>
    </row>
    <row r="963" spans="1:96" ht="13">
      <c r="A963" s="294"/>
      <c r="B963" s="294"/>
      <c r="F963" s="302"/>
      <c r="I963" s="553"/>
      <c r="P963" s="295"/>
      <c r="W963" s="295"/>
      <c r="AD963" s="295"/>
      <c r="AK963" s="295"/>
      <c r="BY963" s="618"/>
      <c r="BZ963" s="553"/>
      <c r="CF963" s="294"/>
      <c r="CG963" s="294"/>
      <c r="CR963" s="294"/>
    </row>
    <row r="964" spans="1:96" ht="13">
      <c r="A964" s="294"/>
      <c r="B964" s="294"/>
      <c r="F964" s="302"/>
      <c r="I964" s="553"/>
      <c r="P964" s="295"/>
      <c r="W964" s="295"/>
      <c r="AD964" s="295"/>
      <c r="AK964" s="295"/>
      <c r="BY964" s="618"/>
      <c r="BZ964" s="553"/>
      <c r="CF964" s="294"/>
      <c r="CG964" s="294"/>
      <c r="CR964" s="294"/>
    </row>
    <row r="965" spans="1:96" ht="13">
      <c r="A965" s="294"/>
      <c r="B965" s="294"/>
      <c r="F965" s="302"/>
      <c r="I965" s="553"/>
      <c r="P965" s="295"/>
      <c r="W965" s="295"/>
      <c r="AD965" s="295"/>
      <c r="AK965" s="295"/>
      <c r="BY965" s="618"/>
      <c r="BZ965" s="553"/>
      <c r="CF965" s="294"/>
      <c r="CG965" s="294"/>
      <c r="CR965" s="294"/>
    </row>
    <row r="966" spans="1:96" ht="13">
      <c r="A966" s="294"/>
      <c r="B966" s="294"/>
      <c r="F966" s="302"/>
      <c r="I966" s="553"/>
      <c r="P966" s="295"/>
      <c r="W966" s="295"/>
      <c r="AD966" s="295"/>
      <c r="AK966" s="295"/>
      <c r="BY966" s="618"/>
      <c r="BZ966" s="553"/>
      <c r="CF966" s="294"/>
      <c r="CG966" s="294"/>
      <c r="CR966" s="294"/>
    </row>
    <row r="967" spans="1:96" ht="13">
      <c r="A967" s="294"/>
      <c r="B967" s="294"/>
      <c r="F967" s="302"/>
      <c r="I967" s="553"/>
      <c r="P967" s="295"/>
      <c r="W967" s="295"/>
      <c r="AD967" s="295"/>
      <c r="AK967" s="295"/>
      <c r="BY967" s="618"/>
      <c r="BZ967" s="553"/>
      <c r="CF967" s="294"/>
      <c r="CG967" s="294"/>
      <c r="CR967" s="294"/>
    </row>
    <row r="968" spans="1:96" ht="13">
      <c r="A968" s="294"/>
      <c r="B968" s="294"/>
      <c r="F968" s="302"/>
      <c r="I968" s="553"/>
      <c r="P968" s="295"/>
      <c r="W968" s="295"/>
      <c r="AD968" s="295"/>
      <c r="AK968" s="295"/>
      <c r="BY968" s="618"/>
      <c r="BZ968" s="553"/>
      <c r="CF968" s="294"/>
      <c r="CG968" s="294"/>
      <c r="CR968" s="294"/>
    </row>
    <row r="969" spans="1:96" ht="13">
      <c r="A969" s="294"/>
      <c r="B969" s="294"/>
      <c r="F969" s="302"/>
      <c r="I969" s="553"/>
      <c r="P969" s="295"/>
      <c r="W969" s="295"/>
      <c r="AD969" s="295"/>
      <c r="AK969" s="295"/>
      <c r="BY969" s="618"/>
      <c r="BZ969" s="553"/>
      <c r="CF969" s="294"/>
      <c r="CG969" s="294"/>
      <c r="CR969" s="294"/>
    </row>
    <row r="970" spans="1:96" ht="13">
      <c r="A970" s="294"/>
      <c r="B970" s="294"/>
      <c r="F970" s="302"/>
      <c r="I970" s="553"/>
      <c r="P970" s="295"/>
      <c r="W970" s="295"/>
      <c r="AD970" s="295"/>
      <c r="AK970" s="295"/>
      <c r="BY970" s="618"/>
      <c r="BZ970" s="553"/>
      <c r="CF970" s="294"/>
      <c r="CG970" s="294"/>
      <c r="CR970" s="294"/>
    </row>
    <row r="971" spans="1:96" ht="13">
      <c r="A971" s="294"/>
      <c r="B971" s="294"/>
      <c r="F971" s="302"/>
      <c r="I971" s="553"/>
      <c r="P971" s="295"/>
      <c r="W971" s="295"/>
      <c r="AD971" s="295"/>
      <c r="AK971" s="295"/>
      <c r="BY971" s="618"/>
      <c r="BZ971" s="553"/>
      <c r="CF971" s="294"/>
      <c r="CG971" s="294"/>
      <c r="CR971" s="294"/>
    </row>
    <row r="972" spans="1:96" ht="13">
      <c r="A972" s="294"/>
      <c r="B972" s="294"/>
      <c r="F972" s="302"/>
      <c r="I972" s="553"/>
      <c r="P972" s="295"/>
      <c r="W972" s="295"/>
      <c r="AD972" s="295"/>
      <c r="AK972" s="295"/>
      <c r="BY972" s="618"/>
      <c r="BZ972" s="553"/>
      <c r="CF972" s="294"/>
      <c r="CG972" s="294"/>
      <c r="CR972" s="294"/>
    </row>
    <row r="973" spans="1:96" ht="13">
      <c r="A973" s="294"/>
      <c r="B973" s="294"/>
      <c r="F973" s="302"/>
      <c r="I973" s="553"/>
      <c r="P973" s="295"/>
      <c r="W973" s="295"/>
      <c r="AD973" s="295"/>
      <c r="AK973" s="295"/>
      <c r="BY973" s="618"/>
      <c r="BZ973" s="553"/>
      <c r="CF973" s="294"/>
      <c r="CG973" s="294"/>
      <c r="CR973" s="294"/>
    </row>
    <row r="974" spans="1:96" ht="13">
      <c r="A974" s="294"/>
      <c r="B974" s="294"/>
      <c r="F974" s="302"/>
      <c r="I974" s="553"/>
      <c r="P974" s="295"/>
      <c r="W974" s="295"/>
      <c r="AD974" s="295"/>
      <c r="AK974" s="295"/>
      <c r="BY974" s="618"/>
      <c r="BZ974" s="553"/>
      <c r="CF974" s="294"/>
      <c r="CG974" s="294"/>
      <c r="CR974" s="294"/>
    </row>
    <row r="975" spans="1:96" ht="13">
      <c r="A975" s="294"/>
      <c r="B975" s="294"/>
      <c r="F975" s="302"/>
      <c r="I975" s="553"/>
      <c r="P975" s="295"/>
      <c r="W975" s="295"/>
      <c r="AD975" s="295"/>
      <c r="AK975" s="295"/>
      <c r="BY975" s="618"/>
      <c r="BZ975" s="553"/>
      <c r="CF975" s="294"/>
      <c r="CG975" s="294"/>
      <c r="CR975" s="294"/>
    </row>
    <row r="976" spans="1:96" ht="13">
      <c r="A976" s="294"/>
      <c r="B976" s="294"/>
      <c r="F976" s="302"/>
      <c r="I976" s="553"/>
      <c r="P976" s="295"/>
      <c r="W976" s="295"/>
      <c r="AD976" s="295"/>
      <c r="AK976" s="295"/>
      <c r="BY976" s="618"/>
      <c r="BZ976" s="553"/>
      <c r="CF976" s="294"/>
      <c r="CG976" s="294"/>
      <c r="CR976" s="294"/>
    </row>
    <row r="977" spans="1:96" ht="13">
      <c r="A977" s="294"/>
      <c r="B977" s="294"/>
      <c r="F977" s="302"/>
      <c r="I977" s="553"/>
      <c r="P977" s="295"/>
      <c r="W977" s="295"/>
      <c r="AD977" s="295"/>
      <c r="AK977" s="295"/>
      <c r="BY977" s="618"/>
      <c r="BZ977" s="553"/>
      <c r="CF977" s="294"/>
      <c r="CG977" s="294"/>
      <c r="CR977" s="294"/>
    </row>
    <row r="978" spans="1:96" ht="13">
      <c r="A978" s="294"/>
      <c r="B978" s="294"/>
      <c r="F978" s="302"/>
      <c r="I978" s="553"/>
      <c r="P978" s="295"/>
      <c r="W978" s="295"/>
      <c r="AD978" s="295"/>
      <c r="AK978" s="295"/>
      <c r="BY978" s="618"/>
      <c r="BZ978" s="553"/>
      <c r="CF978" s="294"/>
      <c r="CG978" s="294"/>
      <c r="CR978" s="294"/>
    </row>
    <row r="979" spans="1:96" ht="13">
      <c r="A979" s="294"/>
      <c r="B979" s="294"/>
      <c r="F979" s="302"/>
      <c r="I979" s="553"/>
      <c r="P979" s="295"/>
      <c r="W979" s="295"/>
      <c r="AD979" s="295"/>
      <c r="AK979" s="295"/>
      <c r="BY979" s="618"/>
      <c r="BZ979" s="553"/>
      <c r="CF979" s="294"/>
      <c r="CG979" s="294"/>
      <c r="CR979" s="294"/>
    </row>
    <row r="980" spans="1:96" ht="13">
      <c r="A980" s="294"/>
      <c r="B980" s="294"/>
      <c r="F980" s="302"/>
      <c r="I980" s="553"/>
      <c r="P980" s="295"/>
      <c r="W980" s="295"/>
      <c r="AD980" s="295"/>
      <c r="AK980" s="295"/>
      <c r="BY980" s="618"/>
      <c r="BZ980" s="553"/>
      <c r="CF980" s="294"/>
      <c r="CG980" s="294"/>
      <c r="CR980" s="294"/>
    </row>
    <row r="981" spans="1:96" ht="13">
      <c r="A981" s="294"/>
      <c r="B981" s="294"/>
      <c r="F981" s="302"/>
      <c r="I981" s="553"/>
      <c r="P981" s="295"/>
      <c r="W981" s="295"/>
      <c r="AD981" s="295"/>
      <c r="AK981" s="295"/>
      <c r="BY981" s="618"/>
      <c r="BZ981" s="553"/>
      <c r="CF981" s="294"/>
      <c r="CG981" s="294"/>
      <c r="CR981" s="294"/>
    </row>
    <row r="982" spans="1:96" ht="13">
      <c r="A982" s="294"/>
      <c r="B982" s="294"/>
      <c r="F982" s="302"/>
      <c r="I982" s="553"/>
      <c r="P982" s="295"/>
      <c r="W982" s="295"/>
      <c r="AD982" s="295"/>
      <c r="AK982" s="295"/>
      <c r="BY982" s="618"/>
      <c r="BZ982" s="553"/>
      <c r="CF982" s="294"/>
      <c r="CG982" s="294"/>
      <c r="CR982" s="294"/>
    </row>
    <row r="983" spans="1:96" ht="13">
      <c r="A983" s="294"/>
      <c r="B983" s="294"/>
      <c r="F983" s="302"/>
      <c r="I983" s="553"/>
      <c r="P983" s="295"/>
      <c r="W983" s="295"/>
      <c r="AD983" s="295"/>
      <c r="AK983" s="295"/>
      <c r="BY983" s="618"/>
      <c r="BZ983" s="553"/>
      <c r="CF983" s="294"/>
      <c r="CG983" s="294"/>
      <c r="CR983" s="294"/>
    </row>
    <row r="984" spans="1:96" ht="13">
      <c r="A984" s="294"/>
      <c r="B984" s="294"/>
      <c r="F984" s="302"/>
      <c r="I984" s="553"/>
      <c r="P984" s="295"/>
      <c r="W984" s="295"/>
      <c r="AD984" s="295"/>
      <c r="AK984" s="295"/>
      <c r="BY984" s="618"/>
      <c r="BZ984" s="553"/>
      <c r="CF984" s="294"/>
      <c r="CG984" s="294"/>
      <c r="CR984" s="294"/>
    </row>
    <row r="985" spans="1:96" ht="13">
      <c r="A985" s="294"/>
      <c r="B985" s="294"/>
      <c r="F985" s="302"/>
      <c r="I985" s="553"/>
      <c r="P985" s="295"/>
      <c r="W985" s="295"/>
      <c r="AD985" s="295"/>
      <c r="AK985" s="295"/>
      <c r="BY985" s="618"/>
      <c r="BZ985" s="553"/>
      <c r="CF985" s="294"/>
      <c r="CG985" s="294"/>
      <c r="CR985" s="294"/>
    </row>
    <row r="986" spans="1:96" ht="13">
      <c r="A986" s="294"/>
      <c r="B986" s="294"/>
      <c r="F986" s="302"/>
      <c r="I986" s="553"/>
      <c r="P986" s="295"/>
      <c r="W986" s="295"/>
      <c r="AD986" s="295"/>
      <c r="AK986" s="295"/>
      <c r="BY986" s="618"/>
      <c r="BZ986" s="553"/>
      <c r="CF986" s="294"/>
      <c r="CG986" s="294"/>
      <c r="CR986" s="294"/>
    </row>
    <row r="987" spans="1:96" ht="13">
      <c r="A987" s="294"/>
      <c r="B987" s="294"/>
      <c r="F987" s="302"/>
      <c r="I987" s="553"/>
      <c r="P987" s="295"/>
      <c r="W987" s="295"/>
      <c r="AD987" s="295"/>
      <c r="AK987" s="295"/>
      <c r="BY987" s="618"/>
      <c r="BZ987" s="553"/>
      <c r="CF987" s="294"/>
      <c r="CG987" s="294"/>
      <c r="CR987" s="294"/>
    </row>
    <row r="988" spans="1:96" ht="13">
      <c r="A988" s="294"/>
      <c r="B988" s="294"/>
      <c r="F988" s="302"/>
      <c r="I988" s="553"/>
      <c r="P988" s="295"/>
      <c r="W988" s="295"/>
      <c r="AD988" s="295"/>
      <c r="AK988" s="295"/>
      <c r="BY988" s="618"/>
      <c r="BZ988" s="553"/>
      <c r="CF988" s="294"/>
      <c r="CG988" s="294"/>
      <c r="CR988" s="294"/>
    </row>
    <row r="989" spans="1:96" ht="13">
      <c r="A989" s="294"/>
      <c r="B989" s="294"/>
      <c r="F989" s="302"/>
      <c r="I989" s="553"/>
      <c r="P989" s="295"/>
      <c r="W989" s="295"/>
      <c r="AD989" s="295"/>
      <c r="AK989" s="295"/>
      <c r="BY989" s="618"/>
      <c r="BZ989" s="553"/>
      <c r="CF989" s="294"/>
      <c r="CG989" s="294"/>
      <c r="CR989" s="294"/>
    </row>
    <row r="990" spans="1:96" ht="13">
      <c r="A990" s="294"/>
      <c r="B990" s="294"/>
      <c r="F990" s="302"/>
      <c r="I990" s="553"/>
      <c r="P990" s="295"/>
      <c r="W990" s="295"/>
      <c r="AD990" s="295"/>
      <c r="AK990" s="295"/>
      <c r="BY990" s="618"/>
      <c r="BZ990" s="553"/>
      <c r="CF990" s="294"/>
      <c r="CG990" s="294"/>
      <c r="CR990" s="294"/>
    </row>
    <row r="991" spans="1:96" ht="13">
      <c r="A991" s="294"/>
      <c r="B991" s="294"/>
      <c r="F991" s="302"/>
      <c r="I991" s="553"/>
      <c r="P991" s="295"/>
      <c r="W991" s="295"/>
      <c r="AD991" s="295"/>
      <c r="AK991" s="295"/>
      <c r="BY991" s="618"/>
      <c r="BZ991" s="553"/>
      <c r="CF991" s="294"/>
      <c r="CG991" s="294"/>
      <c r="CR991" s="294"/>
    </row>
    <row r="992" spans="1:96" ht="13">
      <c r="A992" s="294"/>
      <c r="B992" s="294"/>
      <c r="F992" s="302"/>
      <c r="I992" s="553"/>
      <c r="P992" s="295"/>
      <c r="W992" s="295"/>
      <c r="AD992" s="295"/>
      <c r="AK992" s="295"/>
      <c r="BY992" s="618"/>
      <c r="BZ992" s="553"/>
      <c r="CF992" s="294"/>
      <c r="CG992" s="294"/>
      <c r="CR992" s="294"/>
    </row>
    <row r="993" spans="1:96" ht="13">
      <c r="A993" s="294"/>
      <c r="B993" s="294"/>
      <c r="F993" s="302"/>
      <c r="I993" s="553"/>
      <c r="P993" s="295"/>
      <c r="W993" s="295"/>
      <c r="AD993" s="295"/>
      <c r="AK993" s="295"/>
      <c r="BY993" s="618"/>
      <c r="BZ993" s="553"/>
      <c r="CF993" s="294"/>
      <c r="CG993" s="294"/>
      <c r="CR993" s="294"/>
    </row>
    <row r="994" spans="1:96" ht="13">
      <c r="A994" s="294"/>
      <c r="B994" s="294"/>
      <c r="F994" s="302"/>
      <c r="I994" s="553"/>
      <c r="P994" s="295"/>
      <c r="W994" s="295"/>
      <c r="AD994" s="295"/>
      <c r="AK994" s="295"/>
      <c r="BY994" s="618"/>
      <c r="BZ994" s="553"/>
      <c r="CF994" s="294"/>
      <c r="CG994" s="294"/>
      <c r="CR994" s="294"/>
    </row>
    <row r="995" spans="1:96" ht="13">
      <c r="A995" s="294"/>
      <c r="B995" s="294"/>
      <c r="F995" s="302"/>
      <c r="I995" s="553"/>
      <c r="P995" s="295"/>
      <c r="W995" s="295"/>
      <c r="AD995" s="295"/>
      <c r="AK995" s="295"/>
      <c r="BY995" s="618"/>
      <c r="BZ995" s="553"/>
      <c r="CF995" s="294"/>
      <c r="CG995" s="294"/>
      <c r="CR995" s="294"/>
    </row>
    <row r="996" spans="1:96" ht="13">
      <c r="A996" s="294"/>
      <c r="B996" s="294"/>
      <c r="F996" s="302"/>
      <c r="I996" s="553"/>
      <c r="P996" s="295"/>
      <c r="W996" s="295"/>
      <c r="AD996" s="295"/>
      <c r="AK996" s="295"/>
      <c r="BY996" s="618"/>
      <c r="BZ996" s="553"/>
      <c r="CF996" s="294"/>
      <c r="CG996" s="294"/>
      <c r="CR996" s="294"/>
    </row>
    <row r="997" spans="1:96" ht="13">
      <c r="A997" s="294"/>
      <c r="B997" s="294"/>
      <c r="F997" s="302"/>
      <c r="I997" s="553"/>
      <c r="P997" s="295"/>
      <c r="W997" s="295"/>
      <c r="AD997" s="295"/>
      <c r="AK997" s="295"/>
      <c r="BY997" s="618"/>
      <c r="BZ997" s="553"/>
      <c r="CF997" s="294"/>
      <c r="CG997" s="294"/>
      <c r="CR997" s="294"/>
    </row>
    <row r="998" spans="1:96" ht="13">
      <c r="A998" s="294"/>
      <c r="B998" s="294"/>
      <c r="F998" s="302"/>
      <c r="I998" s="553"/>
      <c r="P998" s="295"/>
      <c r="W998" s="295"/>
      <c r="AD998" s="295"/>
      <c r="AK998" s="295"/>
      <c r="BY998" s="618"/>
      <c r="BZ998" s="553"/>
      <c r="CF998" s="294"/>
      <c r="CG998" s="294"/>
      <c r="CR998" s="294"/>
    </row>
    <row r="999" spans="1:96" ht="13">
      <c r="A999" s="294"/>
      <c r="B999" s="294"/>
      <c r="F999" s="302"/>
      <c r="I999" s="553"/>
      <c r="P999" s="295"/>
      <c r="W999" s="295"/>
      <c r="AD999" s="295"/>
      <c r="AK999" s="295"/>
      <c r="BY999" s="618"/>
      <c r="BZ999" s="553"/>
      <c r="CF999" s="294"/>
      <c r="CG999" s="294"/>
      <c r="CR999" s="294"/>
    </row>
    <row r="1000" spans="1:96" ht="13">
      <c r="A1000" s="294"/>
      <c r="B1000" s="294"/>
      <c r="F1000" s="302"/>
      <c r="I1000" s="553"/>
      <c r="P1000" s="295"/>
      <c r="W1000" s="295"/>
      <c r="AD1000" s="295"/>
      <c r="AK1000" s="295"/>
      <c r="BY1000" s="618"/>
      <c r="BZ1000" s="553"/>
      <c r="CF1000" s="294"/>
      <c r="CG1000" s="294"/>
      <c r="CR1000" s="294"/>
    </row>
    <row r="1001" spans="1:96" ht="13">
      <c r="A1001" s="294"/>
      <c r="B1001" s="294"/>
      <c r="F1001" s="302"/>
      <c r="I1001" s="553"/>
      <c r="P1001" s="295"/>
      <c r="W1001" s="295"/>
      <c r="AD1001" s="295"/>
      <c r="AK1001" s="295"/>
      <c r="BY1001" s="618"/>
      <c r="BZ1001" s="553"/>
      <c r="CF1001" s="294"/>
      <c r="CG1001" s="294"/>
      <c r="CR1001" s="294"/>
    </row>
    <row r="1002" spans="1:96" ht="13">
      <c r="A1002" s="294"/>
      <c r="B1002" s="294"/>
      <c r="F1002" s="302"/>
      <c r="I1002" s="553"/>
      <c r="P1002" s="295"/>
      <c r="W1002" s="295"/>
      <c r="AD1002" s="295"/>
      <c r="AK1002" s="295"/>
      <c r="BY1002" s="618"/>
      <c r="BZ1002" s="553"/>
      <c r="CF1002" s="294"/>
      <c r="CG1002" s="294"/>
      <c r="CR1002" s="294"/>
    </row>
    <row r="1003" spans="1:96" ht="13">
      <c r="A1003" s="294"/>
      <c r="B1003" s="294"/>
      <c r="F1003" s="302"/>
      <c r="I1003" s="553"/>
      <c r="P1003" s="295"/>
      <c r="W1003" s="295"/>
      <c r="AD1003" s="295"/>
      <c r="AK1003" s="295"/>
      <c r="BY1003" s="618"/>
      <c r="BZ1003" s="553"/>
      <c r="CF1003" s="294"/>
      <c r="CG1003" s="294"/>
      <c r="CR1003" s="294"/>
    </row>
    <row r="1004" spans="1:96" ht="13">
      <c r="A1004" s="294"/>
      <c r="B1004" s="294"/>
      <c r="F1004" s="302"/>
      <c r="I1004" s="553"/>
      <c r="P1004" s="295"/>
      <c r="W1004" s="295"/>
      <c r="AD1004" s="295"/>
      <c r="AK1004" s="295"/>
      <c r="BY1004" s="618"/>
      <c r="BZ1004" s="553"/>
      <c r="CF1004" s="294"/>
      <c r="CG1004" s="294"/>
      <c r="CR1004" s="294"/>
    </row>
    <row r="1005" spans="1:96" ht="13">
      <c r="A1005" s="294"/>
      <c r="B1005" s="294"/>
      <c r="F1005" s="302"/>
      <c r="I1005" s="553"/>
      <c r="P1005" s="295"/>
      <c r="W1005" s="295"/>
      <c r="AD1005" s="295"/>
      <c r="AK1005" s="295"/>
      <c r="BY1005" s="618"/>
      <c r="BZ1005" s="553"/>
      <c r="CF1005" s="294"/>
      <c r="CG1005" s="294"/>
      <c r="CR1005" s="294"/>
    </row>
    <row r="1006" spans="1:96" ht="13">
      <c r="A1006" s="294"/>
      <c r="B1006" s="294"/>
      <c r="F1006" s="302"/>
      <c r="I1006" s="553"/>
      <c r="P1006" s="295"/>
      <c r="W1006" s="295"/>
      <c r="AD1006" s="295"/>
      <c r="AK1006" s="295"/>
      <c r="BY1006" s="618"/>
      <c r="BZ1006" s="553"/>
      <c r="CF1006" s="294"/>
      <c r="CG1006" s="294"/>
      <c r="CR1006" s="294"/>
    </row>
  </sheetData>
  <conditionalFormatting sqref="C1:C96 G1:G200 C104:C111">
    <cfRule type="cellIs" dxfId="390" priority="4" operator="equal">
      <formula>"12%"</formula>
    </cfRule>
    <cfRule type="cellIs" dxfId="389" priority="5" operator="equal">
      <formula>"5%"</formula>
    </cfRule>
    <cfRule type="cellIs" dxfId="388" priority="6" operator="equal">
      <formula>"10%"</formula>
    </cfRule>
  </conditionalFormatting>
  <conditionalFormatting sqref="G1:DH200 CS213 CS285 CS292 C1:C96 C104:C111">
    <cfRule type="cellIs" dxfId="387" priority="2" operator="equal">
      <formula>"18%"</formula>
    </cfRule>
    <cfRule type="cellIs" dxfId="386" priority="3" operator="equal">
      <formula>"15%"</formula>
    </cfRule>
  </conditionalFormatting>
  <conditionalFormatting sqref="I14 I17 I22 I94 CS137:CS140 CS149 CS154:CS155 CS157 CS165 CS213 CS215:CS216 CS283:CS285 CS290:CS292 CS303">
    <cfRule type="containsText" dxfId="385" priority="1" operator="containsText" text="/">
      <formula>NOT(ISERROR(SEARCH(("/"),(I14))))</formula>
    </cfRule>
  </conditionalFormatting>
  <conditionalFormatting sqref="O1:O96 V1:V96 AJ1:AJ96 O98:O1006 V98:V1006 AJ98:AJ1006">
    <cfRule type="cellIs" dxfId="384" priority="7" operator="lessThan">
      <formula>0</formula>
    </cfRule>
  </conditionalFormatting>
  <conditionalFormatting sqref="P1:P96 W1:W96 AD1:AD96 AK1:AK96 P98:P1006 W98:W1006 AD98:AD1006 AK98:AK1006">
    <cfRule type="cellIs" dxfId="383" priority="8" operator="lessThan">
      <formula>"90%"</formula>
    </cfRule>
    <cfRule type="cellIs" dxfId="382" priority="9" operator="greaterThanOrEqual">
      <formula>"100%"</formula>
    </cfRule>
    <cfRule type="cellIs" dxfId="381" priority="10" operator="lessThan">
      <formula>"100%"</formula>
    </cfRule>
  </conditionalFormatting>
  <conditionalFormatting sqref="AC1:AC96 AC98:AC1006">
    <cfRule type="cellIs" dxfId="380" priority="11" operator="lessThan">
      <formula>0</formula>
    </cfRule>
  </conditionalFormatting>
  <conditionalFormatting sqref="AM2:AM10 AQ2:AQ10 AU2:AU10 BE2:BE10 AM110 AQ110 AU110 BE110">
    <cfRule type="cellIs" dxfId="379" priority="14" operator="lessThan">
      <formula>4000000</formula>
    </cfRule>
    <cfRule type="cellIs" dxfId="378" priority="15" operator="lessThan">
      <formula>5000000</formula>
    </cfRule>
    <cfRule type="cellIs" dxfId="377" priority="16" operator="greaterThanOrEqual">
      <formula>5000000</formula>
    </cfRule>
  </conditionalFormatting>
  <conditionalFormatting sqref="AM11:AM12 AQ11:AQ12 AX11:AX12 BE11:BE12">
    <cfRule type="cellIs" dxfId="376" priority="20" operator="lessThan">
      <formula>2080000</formula>
    </cfRule>
    <cfRule type="cellIs" dxfId="375" priority="21" operator="lessThan">
      <formula>2600000</formula>
    </cfRule>
  </conditionalFormatting>
  <conditionalFormatting sqref="AM13:AM56 AQ13:AQ56 AU13:AU56 BE13:BE56 AM106:AM108 AQ106:AQ108 AU106:AU108 BE106:BE108 AM111 AQ111 AU111 BE111">
    <cfRule type="cellIs" dxfId="374" priority="24" operator="greaterThanOrEqual">
      <formula>1500000</formula>
    </cfRule>
    <cfRule type="containsBlanks" dxfId="373" priority="25">
      <formula>LEN(TRIM(AM13))=0</formula>
    </cfRule>
    <cfRule type="cellIs" dxfId="372" priority="22" operator="lessThan">
      <formula>1200000</formula>
    </cfRule>
    <cfRule type="cellIs" dxfId="371" priority="23" operator="lessThan">
      <formula>1500000</formula>
    </cfRule>
  </conditionalFormatting>
  <conditionalFormatting sqref="AX2:AX10 AX110">
    <cfRule type="cellIs" dxfId="370" priority="17" operator="lessThan">
      <formula>12000000</formula>
    </cfRule>
    <cfRule type="cellIs" dxfId="369" priority="18" operator="lessThan">
      <formula>15000000</formula>
    </cfRule>
    <cfRule type="cellIs" dxfId="368" priority="19" operator="greaterThanOrEqual">
      <formula>15000000</formula>
    </cfRule>
  </conditionalFormatting>
  <conditionalFormatting sqref="AX13:AX56 AX106:AX108 AX111">
    <cfRule type="cellIs" dxfId="367" priority="26" operator="lessThan">
      <formula>3600000</formula>
    </cfRule>
    <cfRule type="cellIs" dxfId="366" priority="27" operator="lessThan">
      <formula>4500000</formula>
    </cfRule>
    <cfRule type="cellIs" dxfId="365" priority="28" operator="greaterThanOrEqual">
      <formula>4500000</formula>
    </cfRule>
  </conditionalFormatting>
  <conditionalFormatting sqref="AZ2:AZ96 BC2:BC96 BG2:BG96 AZ104:AZ111 BC104:BC111 BG104:BG111">
    <cfRule type="cellIs" dxfId="364" priority="13" operator="equal">
      <formula>0</formula>
    </cfRule>
    <cfRule type="containsBlanks" dxfId="363" priority="12">
      <formula>LEN(TRIM(AZ2))=0</formula>
    </cfRule>
  </conditionalFormatting>
  <conditionalFormatting sqref="BE57:BE96 BE104:BE105 BE109">
    <cfRule type="cellIs" dxfId="362" priority="50" operator="equal">
      <formula>0</formula>
    </cfRule>
  </conditionalFormatting>
  <conditionalFormatting sqref="BG2:BG96 BI2:BK96 BG104:BG111 BI104:BK111">
    <cfRule type="cellIs" dxfId="361" priority="30" operator="lessThanOrEqual">
      <formula>0</formula>
    </cfRule>
  </conditionalFormatting>
  <conditionalFormatting sqref="BI2:BK96 BI104:BK111">
    <cfRule type="containsBlanks" dxfId="360" priority="29">
      <formula>LEN(TRIM(BI2))=0</formula>
    </cfRule>
  </conditionalFormatting>
  <conditionalFormatting sqref="BM2:BO10 BM110:BO110">
    <cfRule type="cellIs" dxfId="359" priority="31" operator="greaterThanOrEqual">
      <formula>5000000</formula>
    </cfRule>
    <cfRule type="cellIs" dxfId="358" priority="32" operator="lessThan">
      <formula>5000000</formula>
    </cfRule>
  </conditionalFormatting>
  <conditionalFormatting sqref="BM11:BO12">
    <cfRule type="cellIs" dxfId="357" priority="35" operator="greaterThanOrEqual">
      <formula>2600000</formula>
    </cfRule>
    <cfRule type="cellIs" dxfId="356" priority="36" operator="lessThan">
      <formula>2600000</formula>
    </cfRule>
  </conditionalFormatting>
  <conditionalFormatting sqref="BM13:BO56 BM106:BO108 BM111:BO111">
    <cfRule type="cellIs" dxfId="355" priority="39" operator="greaterThanOrEqual">
      <formula>1500000</formula>
    </cfRule>
    <cfRule type="cellIs" dxfId="354" priority="40" operator="lessThan">
      <formula>1500000</formula>
    </cfRule>
  </conditionalFormatting>
  <conditionalFormatting sqref="BM57:BO63 BM109:BP109">
    <cfRule type="cellIs" dxfId="353" priority="44" operator="lessThan">
      <formula>1200000</formula>
    </cfRule>
  </conditionalFormatting>
  <conditionalFormatting sqref="BM2:BR96 BM104:BR111">
    <cfRule type="containsBlanks" dxfId="352" priority="43">
      <formula>LEN(TRIM(BM2))=0</formula>
    </cfRule>
  </conditionalFormatting>
  <conditionalFormatting sqref="BM64:BR96 BM104:BR105">
    <cfRule type="cellIs" dxfId="351" priority="49" operator="equal">
      <formula>0</formula>
    </cfRule>
  </conditionalFormatting>
  <conditionalFormatting sqref="BP57:BP63 BP109">
    <cfRule type="cellIs" dxfId="350" priority="46" operator="greaterThanOrEqual">
      <formula>1200000</formula>
    </cfRule>
  </conditionalFormatting>
  <conditionalFormatting sqref="BP57:BP63">
    <cfRule type="cellIs" dxfId="349" priority="45" operator="lessThan">
      <formula>1200000</formula>
    </cfRule>
  </conditionalFormatting>
  <conditionalFormatting sqref="BP2:BR10 BP110:BR110">
    <cfRule type="cellIs" dxfId="348" priority="33" operator="greaterThanOrEqual">
      <formula>15000000</formula>
    </cfRule>
    <cfRule type="cellIs" dxfId="347" priority="34" operator="lessThan">
      <formula>15000000</formula>
    </cfRule>
  </conditionalFormatting>
  <conditionalFormatting sqref="BP11:BR12">
    <cfRule type="cellIs" dxfId="346" priority="37" operator="greaterThanOrEqual">
      <formula>7800000</formula>
    </cfRule>
    <cfRule type="cellIs" dxfId="345" priority="38" operator="lessThan">
      <formula>7800000</formula>
    </cfRule>
  </conditionalFormatting>
  <conditionalFormatting sqref="BP13:BR56 BP106:BR108 BP111:BR111">
    <cfRule type="cellIs" dxfId="344" priority="41" operator="greaterThanOrEqual">
      <formula>4500000</formula>
    </cfRule>
    <cfRule type="cellIs" dxfId="343" priority="42" operator="lessThan">
      <formula>4500000</formula>
    </cfRule>
  </conditionalFormatting>
  <conditionalFormatting sqref="BR57:BR63 BR109">
    <cfRule type="cellIs" dxfId="342" priority="47" operator="greaterThanOrEqual">
      <formula>3600000</formula>
    </cfRule>
    <cfRule type="cellIs" dxfId="341" priority="48" operator="lessThan">
      <formula>3600000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  <pageSetUpPr fitToPage="1"/>
  </sheetPr>
  <dimension ref="A1:DO1040"/>
  <sheetViews>
    <sheetView showGridLines="0" workbookViewId="0">
      <pane xSplit="13" topLeftCell="N1" activePane="topRight" state="frozen"/>
      <selection pane="topRight" activeCell="D1" sqref="D1"/>
    </sheetView>
  </sheetViews>
  <sheetFormatPr baseColWidth="10" defaultColWidth="12.6640625" defaultRowHeight="15.75" customHeight="1"/>
  <cols>
    <col min="1" max="1" width="10.6640625" customWidth="1"/>
    <col min="2" max="2" width="5.1640625" customWidth="1"/>
    <col min="3" max="3" width="6.6640625" bestFit="1" customWidth="1"/>
    <col min="4" max="12" width="5.1640625" customWidth="1"/>
    <col min="13" max="13" width="35.83203125" customWidth="1"/>
    <col min="14" max="14" width="12.83203125" hidden="1" customWidth="1"/>
    <col min="15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0.6640625" hidden="1" customWidth="1"/>
    <col min="65" max="65" width="10.6640625" customWidth="1"/>
    <col min="66" max="66" width="10.6640625" hidden="1" customWidth="1"/>
    <col min="67" max="67" width="10.6640625" customWidth="1"/>
    <col min="68" max="68" width="10.6640625" hidden="1" customWidth="1"/>
    <col min="69" max="69" width="10.6640625" customWidth="1"/>
    <col min="70" max="70" width="10.6640625" hidden="1" customWidth="1"/>
    <col min="71" max="71" width="11.83203125" customWidth="1"/>
    <col min="72" max="72" width="10.6640625" customWidth="1"/>
    <col min="73" max="73" width="10.6640625" hidden="1" customWidth="1"/>
    <col min="74" max="74" width="10.6640625" customWidth="1"/>
    <col min="75" max="75" width="10.6640625" hidden="1" customWidth="1"/>
    <col min="76" max="76" width="10.6640625" customWidth="1"/>
    <col min="77" max="77" width="10.6640625" hidden="1" customWidth="1"/>
    <col min="78" max="78" width="10.6640625" customWidth="1"/>
    <col min="79" max="83" width="10.6640625" hidden="1" customWidth="1"/>
    <col min="84" max="85" width="10.6640625" customWidth="1"/>
    <col min="88" max="97" width="10.1640625" customWidth="1"/>
    <col min="98" max="101" width="10.33203125" customWidth="1"/>
    <col min="104" max="104" width="31" customWidth="1"/>
  </cols>
  <sheetData>
    <row r="1" spans="1:119" ht="15.75" customHeight="1">
      <c r="A1" s="668" t="s">
        <v>19</v>
      </c>
      <c r="B1" s="669" t="s">
        <v>20</v>
      </c>
      <c r="C1" s="670" t="s">
        <v>21</v>
      </c>
      <c r="D1" s="41" t="s">
        <v>22</v>
      </c>
      <c r="E1" s="671" t="s">
        <v>23</v>
      </c>
      <c r="F1" s="672" t="s">
        <v>20</v>
      </c>
      <c r="G1" s="673" t="s">
        <v>21</v>
      </c>
      <c r="H1" s="673" t="s">
        <v>22</v>
      </c>
      <c r="I1" s="44" t="s">
        <v>23</v>
      </c>
      <c r="J1" s="674" t="s">
        <v>20</v>
      </c>
      <c r="K1" s="675" t="s">
        <v>21</v>
      </c>
      <c r="L1" s="676" t="s">
        <v>22</v>
      </c>
      <c r="M1" s="48" t="s">
        <v>24</v>
      </c>
      <c r="N1" s="390">
        <v>45681</v>
      </c>
      <c r="O1" s="391" t="s">
        <v>243</v>
      </c>
      <c r="P1" s="51" t="s">
        <v>26</v>
      </c>
      <c r="Q1" s="52" t="s">
        <v>27</v>
      </c>
      <c r="R1" s="66" t="s">
        <v>28</v>
      </c>
      <c r="S1" s="54" t="s">
        <v>29</v>
      </c>
      <c r="T1" s="677" t="s">
        <v>30</v>
      </c>
      <c r="U1" s="678">
        <v>45712</v>
      </c>
      <c r="V1" s="679" t="s">
        <v>497</v>
      </c>
      <c r="W1" s="57" t="s">
        <v>26</v>
      </c>
      <c r="X1" s="52" t="s">
        <v>27</v>
      </c>
      <c r="Y1" s="389" t="s">
        <v>32</v>
      </c>
      <c r="Z1" s="59" t="s">
        <v>29</v>
      </c>
      <c r="AA1" s="677" t="s">
        <v>30</v>
      </c>
      <c r="AB1" s="678">
        <v>45740</v>
      </c>
      <c r="AC1" s="680" t="s">
        <v>498</v>
      </c>
      <c r="AD1" s="51" t="s">
        <v>26</v>
      </c>
      <c r="AE1" s="52" t="s">
        <v>27</v>
      </c>
      <c r="AF1" s="66" t="s">
        <v>34</v>
      </c>
      <c r="AG1" s="54" t="s">
        <v>29</v>
      </c>
      <c r="AH1" s="677" t="s">
        <v>30</v>
      </c>
      <c r="AI1" s="681" t="s">
        <v>35</v>
      </c>
      <c r="AJ1" s="682" t="s">
        <v>36</v>
      </c>
      <c r="AK1" s="51" t="s">
        <v>26</v>
      </c>
      <c r="AL1" s="52" t="s">
        <v>27</v>
      </c>
      <c r="AM1" s="683" t="s">
        <v>37</v>
      </c>
      <c r="AN1" s="54" t="s">
        <v>29</v>
      </c>
      <c r="AO1" s="60" t="s">
        <v>30</v>
      </c>
      <c r="AP1" s="390">
        <v>45771</v>
      </c>
      <c r="AQ1" s="51" t="s">
        <v>26</v>
      </c>
      <c r="AR1" s="52" t="s">
        <v>27</v>
      </c>
      <c r="AS1" s="389" t="s">
        <v>38</v>
      </c>
      <c r="AT1" s="49">
        <v>45801</v>
      </c>
      <c r="AU1" s="57" t="s">
        <v>26</v>
      </c>
      <c r="AV1" s="52" t="s">
        <v>27</v>
      </c>
      <c r="AW1" s="389" t="s">
        <v>39</v>
      </c>
      <c r="AX1" s="49">
        <v>45832</v>
      </c>
      <c r="AY1" s="57" t="s">
        <v>26</v>
      </c>
      <c r="AZ1" s="52" t="s">
        <v>27</v>
      </c>
      <c r="BA1" s="394" t="s">
        <v>40</v>
      </c>
      <c r="BB1" s="69" t="s">
        <v>26</v>
      </c>
      <c r="BC1" s="52" t="s">
        <v>27</v>
      </c>
      <c r="BD1" s="394" t="s">
        <v>41</v>
      </c>
      <c r="BE1" s="71" t="s">
        <v>26</v>
      </c>
      <c r="BF1" s="72" t="s">
        <v>27</v>
      </c>
      <c r="BG1" s="76" t="s">
        <v>42</v>
      </c>
      <c r="BH1" s="49">
        <v>45862</v>
      </c>
      <c r="BI1" s="530" t="s">
        <v>26</v>
      </c>
      <c r="BJ1" s="531" t="s">
        <v>27</v>
      </c>
      <c r="BK1" s="684" t="s">
        <v>43</v>
      </c>
      <c r="BL1" s="685">
        <v>45893</v>
      </c>
      <c r="BM1" s="533" t="s">
        <v>26</v>
      </c>
      <c r="BN1" s="531" t="s">
        <v>27</v>
      </c>
      <c r="BO1" s="684" t="s">
        <v>44</v>
      </c>
      <c r="BP1" s="686">
        <v>45924</v>
      </c>
      <c r="BQ1" s="78" t="s">
        <v>26</v>
      </c>
      <c r="BR1" s="79" t="s">
        <v>27</v>
      </c>
      <c r="BS1" s="687" t="s">
        <v>499</v>
      </c>
      <c r="BT1" s="78" t="s">
        <v>26</v>
      </c>
      <c r="BU1" s="79" t="s">
        <v>27</v>
      </c>
      <c r="BV1" s="402" t="s">
        <v>41</v>
      </c>
      <c r="BW1" s="686">
        <v>45954</v>
      </c>
      <c r="BX1" s="78" t="s">
        <v>26</v>
      </c>
      <c r="BY1" s="79" t="s">
        <v>27</v>
      </c>
      <c r="BZ1" s="687" t="s">
        <v>48</v>
      </c>
      <c r="CA1" s="688">
        <v>45985</v>
      </c>
      <c r="CB1" s="689">
        <v>46015</v>
      </c>
      <c r="CC1" s="82"/>
      <c r="CD1" s="83"/>
      <c r="CE1" s="83"/>
      <c r="CF1" s="83"/>
      <c r="CG1" s="83"/>
      <c r="CH1" s="82"/>
      <c r="CI1" s="690" t="s">
        <v>250</v>
      </c>
      <c r="CJ1" s="691" t="s">
        <v>51</v>
      </c>
      <c r="CK1" s="692" t="s">
        <v>52</v>
      </c>
      <c r="CL1" s="693" t="s">
        <v>500</v>
      </c>
      <c r="CM1" s="692" t="s">
        <v>54</v>
      </c>
      <c r="CN1" s="693" t="s">
        <v>55</v>
      </c>
      <c r="CO1" s="693" t="s">
        <v>365</v>
      </c>
      <c r="CP1" s="693" t="s">
        <v>501</v>
      </c>
      <c r="CQ1" s="693" t="s">
        <v>502</v>
      </c>
      <c r="CR1" s="693" t="s">
        <v>367</v>
      </c>
      <c r="CS1" s="692" t="s">
        <v>503</v>
      </c>
      <c r="CT1" s="694" t="s">
        <v>504</v>
      </c>
      <c r="CU1" s="695" t="s">
        <v>505</v>
      </c>
      <c r="CV1" s="696" t="s">
        <v>254</v>
      </c>
      <c r="CW1" s="697" t="s">
        <v>372</v>
      </c>
      <c r="CX1" s="82"/>
      <c r="CY1" s="82"/>
      <c r="CZ1" s="82"/>
      <c r="DA1" s="82"/>
      <c r="DB1" s="82"/>
      <c r="DC1" s="82"/>
      <c r="DD1" s="82"/>
      <c r="DE1" s="82"/>
      <c r="DF1" s="698"/>
      <c r="DG1" s="82"/>
      <c r="DH1" s="82"/>
      <c r="DI1" s="82"/>
      <c r="DJ1" s="82"/>
      <c r="DK1" s="82"/>
      <c r="DL1" s="82"/>
      <c r="DM1" s="82"/>
      <c r="DN1" s="82"/>
      <c r="DO1" s="82"/>
    </row>
    <row r="2" spans="1:119" ht="15.75" customHeight="1">
      <c r="A2" s="420">
        <f t="shared" ref="A2:A33" si="0">VLOOKUP(M2,LAGECART4,3,FALSE)</f>
        <v>112014413</v>
      </c>
      <c r="B2" s="96">
        <f t="shared" ref="B2:B33" si="1">VLOOKUP(M2,LAGECARTERA,2,FALSE)</f>
        <v>10</v>
      </c>
      <c r="C2" s="699">
        <f t="shared" ref="C2:C33" si="2">IFERROR(VLOOKUP(B2,DES,2,FALSE),"")</f>
        <v>0.15</v>
      </c>
      <c r="D2" s="699">
        <f t="shared" ref="D2:D33" si="3">IFERROR(VLOOKUP(B2,DES,3,FALSE),"")</f>
        <v>0.23</v>
      </c>
      <c r="E2" s="700">
        <f t="shared" ref="E2:E33" si="4">IFERROR(VLOOKUP(B2,DES,4,FALSE),"")</f>
        <v>0</v>
      </c>
      <c r="F2" s="701">
        <f t="shared" ref="F2:F33" si="5">VLOOKUP(M2,LAGECART2,2,FALSE)</f>
        <v>10</v>
      </c>
      <c r="G2" s="700">
        <f t="shared" ref="G2:G33" si="6">IFERROR(VLOOKUP(F2,DES,2,FALSE),"")</f>
        <v>0.15</v>
      </c>
      <c r="H2" s="700">
        <f t="shared" ref="H2:H33" si="7">IFERROR(VLOOKUP(F2,DES,3,FALSE),"")</f>
        <v>0.23</v>
      </c>
      <c r="I2" s="700">
        <f t="shared" ref="I2:I33" si="8">IFERROR(VLOOKUP(F2,DES,4,FALSE),"")</f>
        <v>0</v>
      </c>
      <c r="J2" s="547">
        <f t="shared" ref="J2:J33" si="9">VLOOKUP(M2,LAGECART4,2,FALSE)</f>
        <v>53</v>
      </c>
      <c r="K2" s="699">
        <f t="shared" ref="K2:K33" si="10">IFERROR(VLOOKUP(J2,A458DC1025,2,FALSE),"")</f>
        <v>0.15</v>
      </c>
      <c r="L2" s="702">
        <f t="shared" ref="L2:L33" si="11">IFERROR(VLOOKUP(J2,A458DC1025,3,FALSE),"")</f>
        <v>0.14000000000000001</v>
      </c>
      <c r="M2" s="99" t="s">
        <v>506</v>
      </c>
      <c r="N2" s="703">
        <f t="shared" ref="N2:N20" si="12">IFERROR(VLOOKUP(M2,LAGE24,3,FALSE),"")</f>
        <v>0</v>
      </c>
      <c r="O2" s="549">
        <v>3000000</v>
      </c>
      <c r="P2" s="116">
        <f t="shared" ref="P2:P86" si="13">R2-Q2</f>
        <v>4459010.8499999996</v>
      </c>
      <c r="Q2" s="116">
        <f t="shared" ref="Q2:Q33" si="14">IFERROR(VLOOKUP(M2,LAGALIM,3,FALSE),"")</f>
        <v>0</v>
      </c>
      <c r="R2" s="704">
        <f t="shared" ref="R2:R33" si="15">IFERROR(VLOOKUP(M2,LAGEFC,3,FALSE),"0")</f>
        <v>4459010.8499999996</v>
      </c>
      <c r="S2" s="116">
        <f t="shared" ref="S2:S34" si="16">R2-O2</f>
        <v>1459010.8499999996</v>
      </c>
      <c r="T2" s="94">
        <f t="shared" ref="T2:T4" si="17">R2/O2</f>
        <v>1.4863369499999999</v>
      </c>
      <c r="U2" s="116">
        <f t="shared" ref="U2:U34" si="18">IFERROR(VLOOKUP(M2,LAGE24,4,FALSE),"")</f>
        <v>0</v>
      </c>
      <c r="V2" s="705">
        <v>3000000</v>
      </c>
      <c r="W2" s="113">
        <f t="shared" ref="W2:W86" si="19">Y2-X2</f>
        <v>2008310.12</v>
      </c>
      <c r="X2" s="116">
        <f t="shared" ref="X2:X33" si="20">IFERROR(VLOOKUP(M2,LAGALIM,4,FALSE),"")</f>
        <v>285000</v>
      </c>
      <c r="Y2" s="706">
        <f t="shared" ref="Y2:Y33" si="21">IFERROR(VLOOKUP(M2,LAGEFC,4,FALSE),"0")</f>
        <v>2293310.12</v>
      </c>
      <c r="Z2" s="114">
        <f t="shared" ref="Z2:Z34" si="22">Y2-V2</f>
        <v>-706689.87999999989</v>
      </c>
      <c r="AA2" s="94">
        <f t="shared" ref="AA2:AA4" si="23">Y2/V2</f>
        <v>0.76443670666666674</v>
      </c>
      <c r="AB2" s="116">
        <f t="shared" ref="AB2:AB19" si="24">IFERROR(VLOOKUP(M2,LAGE24,5,FALSE),"")</f>
        <v>0</v>
      </c>
      <c r="AC2" s="549">
        <v>3000000</v>
      </c>
      <c r="AD2" s="116">
        <f t="shared" ref="AD2:AD86" si="25">AF2-AE2</f>
        <v>3408123.9</v>
      </c>
      <c r="AE2" s="116">
        <f t="shared" ref="AE2:AE33" si="26">IFERROR(VLOOKUP(M2,LAGALIM,5,FALSE),"")</f>
        <v>0</v>
      </c>
      <c r="AF2" s="704">
        <f t="shared" ref="AF2:AF33" si="27">IFERROR(VLOOKUP(M2,LAGEFC,5,FALSE),"0")</f>
        <v>3408123.9</v>
      </c>
      <c r="AG2" s="116">
        <f t="shared" ref="AG2:AG74" si="28">AF2-AC2</f>
        <v>408123.89999999991</v>
      </c>
      <c r="AH2" s="94">
        <f t="shared" ref="AH2:AH39" si="29">AF2/AC2</f>
        <v>1.1360413</v>
      </c>
      <c r="AI2" s="121">
        <f t="shared" ref="AI2:AI73" si="30">SUM(O2,V2,AC2)</f>
        <v>9000000</v>
      </c>
      <c r="AJ2" s="113">
        <f t="shared" ref="AJ2:AJ33" si="31">IFERROR(VLOOKUP(M2,trim2024,2,FALSE),"0")</f>
        <v>10390518.4</v>
      </c>
      <c r="AK2" s="116">
        <f t="shared" ref="AK2:AK153" si="32">AM2-AL2</f>
        <v>9875444.8699999992</v>
      </c>
      <c r="AL2" s="116">
        <f t="shared" ref="AL2:AM2" si="33">SUM(AE2,X2,Q2)</f>
        <v>285000</v>
      </c>
      <c r="AM2" s="116">
        <f t="shared" si="33"/>
        <v>10160444.869999999</v>
      </c>
      <c r="AN2" s="116">
        <f>AM2-AJ2</f>
        <v>-230073.53000000119</v>
      </c>
      <c r="AO2" s="413">
        <f t="shared" ref="AO2:AO4" si="34">AM2/AJ2</f>
        <v>0.97785735791584749</v>
      </c>
      <c r="AP2" s="703">
        <f t="shared" ref="AP2:AP34" si="35">IFERROR(VLOOKUP(M2,LAGE24,6,FALSE),"")</f>
        <v>1330689</v>
      </c>
      <c r="AQ2" s="116">
        <f t="shared" ref="AQ2:AQ160" si="36">AS2-AR2</f>
        <v>7582322.5300000003</v>
      </c>
      <c r="AR2" s="116">
        <f t="shared" ref="AR2:AR33" si="37">IFERROR(VLOOKUP(M2,LAGALIM,6,FALSE),"")</f>
        <v>0</v>
      </c>
      <c r="AS2" s="117">
        <f t="shared" ref="AS2:AS33" si="38">IFERROR(VLOOKUP(M2,LAGEFC,6,FALSE),"0")</f>
        <v>7582322.5300000003</v>
      </c>
      <c r="AT2" s="419">
        <f t="shared" ref="AT2:AT20" si="39">IFERROR(VLOOKUP(M2,LAGE24,7,FALSE),"")</f>
        <v>6026370.9000000004</v>
      </c>
      <c r="AU2" s="113">
        <f t="shared" ref="AU2:AU160" si="40">AW2-AV2</f>
        <v>13169012.68</v>
      </c>
      <c r="AV2" s="116">
        <f t="shared" ref="AV2:AV33" si="41">IFERROR(VLOOKUP(M2,LAGALIM,7,FALSE),"")</f>
        <v>0</v>
      </c>
      <c r="AW2" s="117">
        <f t="shared" ref="AW2:AW33" si="42">IFERROR(VLOOKUP(M2,LAGEFC,7,FALSE),"0")</f>
        <v>13169012.68</v>
      </c>
      <c r="AX2" s="100">
        <f t="shared" ref="AX2:AX20" si="43">IFERROR(VLOOKUP(M2,LAGE24,8,FALSE),"")</f>
        <v>2816133</v>
      </c>
      <c r="AY2" s="113">
        <f t="shared" ref="AY2:AY160" si="44">BA2-AZ2</f>
        <v>0.03</v>
      </c>
      <c r="AZ2" s="116">
        <f t="shared" ref="AZ2:AZ33" si="45">IFERROR(VLOOKUP(M2,LAGALIM,8,FALSE),"")</f>
        <v>0</v>
      </c>
      <c r="BA2" s="121">
        <f t="shared" ref="BA2:BA33" si="46">IFERROR(VLOOKUP(M2,LAGEFC,8,FALSE),"0")</f>
        <v>0.03</v>
      </c>
      <c r="BB2" s="118">
        <f t="shared" ref="BB2:BD2" si="47">AY2+AU2+AQ2</f>
        <v>20751335.239999998</v>
      </c>
      <c r="BC2" s="116">
        <f t="shared" si="47"/>
        <v>0</v>
      </c>
      <c r="BD2" s="121">
        <f t="shared" si="47"/>
        <v>20751335.239999998</v>
      </c>
      <c r="BE2" s="118">
        <f t="shared" ref="BE2:BE160" si="48">BB2+AK2</f>
        <v>30626780.109999999</v>
      </c>
      <c r="BF2" s="116">
        <f t="shared" ref="BF2:BG2" si="49">AL2+BC2</f>
        <v>285000</v>
      </c>
      <c r="BG2" s="119">
        <f t="shared" si="49"/>
        <v>30911780.109999999</v>
      </c>
      <c r="BH2" s="100">
        <f t="shared" ref="BH2:BH33" si="50">IFERROR(VLOOKUP(M2,LAGE24,9,FALSE),"")</f>
        <v>4206515.13</v>
      </c>
      <c r="BI2" s="113">
        <f t="shared" ref="BI2:BI160" si="51">BK2-BJ2</f>
        <v>0</v>
      </c>
      <c r="BJ2" s="114">
        <f t="shared" ref="BJ2:BJ33" si="52">IFERROR(VLOOKUP(M2,LAGALIM,9,FALSE),"")</f>
        <v>856512.58</v>
      </c>
      <c r="BK2" s="100">
        <f t="shared" ref="BK2:BK33" si="53">IFERROR(VLOOKUP(M2,LAGEFC,9,FALSE),"0")</f>
        <v>856512.58</v>
      </c>
      <c r="BL2" s="114">
        <f t="shared" ref="BL2:BL33" si="54">IFERROR(VLOOKUP(M2,LAGE24,10,FALSE),"")</f>
        <v>0</v>
      </c>
      <c r="BM2" s="113">
        <f t="shared" ref="BM2:BM160" si="55">BO2-BN2</f>
        <v>1135465.4899999998</v>
      </c>
      <c r="BN2" s="116">
        <f t="shared" ref="BN2:BN33" si="56">IFERROR(VLOOKUP(M2,LAGALIM,10,FALSE),"")</f>
        <v>2569537.7400000002</v>
      </c>
      <c r="BO2" s="121">
        <f t="shared" ref="BO2:BO33" si="57">IFERROR(VLOOKUP(M2,LAGEFC,10,FALSE),"0")</f>
        <v>3705003.23</v>
      </c>
      <c r="BP2" s="416">
        <f t="shared" ref="BP2:BP33" si="58">IFERROR(VLOOKUP(M2,LAGE24,11,FALSE),"")</f>
        <v>27009652</v>
      </c>
      <c r="BQ2" s="113">
        <f t="shared" ref="BQ2:BQ160" si="59">BS2-BR2</f>
        <v>1713642.92</v>
      </c>
      <c r="BR2" s="116">
        <f t="shared" ref="BR2:BR33" si="60">IFERROR(VLOOKUP(M2,LAGALIM,11,FALSE),"")</f>
        <v>0</v>
      </c>
      <c r="BS2" s="117">
        <f t="shared" ref="BS2:BS33" si="61">IFERROR(VLOOKUP(M2,LAGEFC,11,FALSE),"0")</f>
        <v>1713642.92</v>
      </c>
      <c r="BT2" s="113">
        <f t="shared" ref="BT2:BV2" si="62">SUM(BQ2,BM2,BI2)</f>
        <v>2849108.4099999997</v>
      </c>
      <c r="BU2" s="116">
        <f t="shared" si="62"/>
        <v>3426050.3200000003</v>
      </c>
      <c r="BV2" s="117">
        <f t="shared" si="62"/>
        <v>6275158.7300000004</v>
      </c>
      <c r="BW2" s="416">
        <f t="shared" ref="BW2:BW33" si="63">IFERROR(VLOOKUP(M2,LAGE24,12,FALSE),"")</f>
        <v>3973756.49</v>
      </c>
      <c r="BX2" s="113">
        <f t="shared" ref="BX2:BX160" si="64">BZ2-BY2</f>
        <v>524401.98</v>
      </c>
      <c r="BY2" s="114">
        <f t="shared" ref="BY2:BY33" si="65">IFERROR(VLOOKUP(M2,LAGALIM,12,FALSE),"")</f>
        <v>0</v>
      </c>
      <c r="BZ2" s="115">
        <f t="shared" ref="BZ2:BZ33" si="66">IFERROR(VLOOKUP(M2,LAGEFC,12,FALSE),"0")</f>
        <v>524401.98</v>
      </c>
      <c r="CA2" s="114">
        <f t="shared" ref="CA2:CA33" si="67">IFERROR(VLOOKUP(M2,LAGE24,13,FALSE),"")</f>
        <v>6416761.9100000001</v>
      </c>
      <c r="CB2" s="117">
        <f t="shared" ref="CB2:CB33" si="68">IFERROR(VLOOKUP(M2,LAGE24,14,FALSE),"")</f>
        <v>0</v>
      </c>
      <c r="CI2" s="707"/>
      <c r="CJ2" s="708"/>
      <c r="CK2" s="709"/>
      <c r="CL2" s="710"/>
      <c r="CM2" s="709"/>
      <c r="CN2" s="710"/>
      <c r="CO2" s="710"/>
      <c r="CP2" s="710"/>
      <c r="CQ2" s="428"/>
      <c r="CR2" s="428"/>
      <c r="CS2" s="427"/>
      <c r="CT2" s="711"/>
      <c r="CU2" s="712"/>
      <c r="CV2" s="713"/>
      <c r="CW2" s="714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</row>
    <row r="3" spans="1:119" ht="15.75" customHeight="1">
      <c r="A3" s="420">
        <f t="shared" si="0"/>
        <v>112014179</v>
      </c>
      <c r="B3" s="565">
        <f t="shared" si="1"/>
        <v>10</v>
      </c>
      <c r="C3" s="558">
        <f t="shared" si="2"/>
        <v>0.15</v>
      </c>
      <c r="D3" s="558">
        <f t="shared" si="3"/>
        <v>0.23</v>
      </c>
      <c r="E3" s="715">
        <f t="shared" si="4"/>
        <v>0</v>
      </c>
      <c r="F3" s="701">
        <f t="shared" si="5"/>
        <v>10</v>
      </c>
      <c r="G3" s="700">
        <f t="shared" si="6"/>
        <v>0.15</v>
      </c>
      <c r="H3" s="700">
        <f t="shared" si="7"/>
        <v>0.23</v>
      </c>
      <c r="I3" s="700">
        <f t="shared" si="8"/>
        <v>0</v>
      </c>
      <c r="J3" s="547">
        <f t="shared" si="9"/>
        <v>52</v>
      </c>
      <c r="K3" s="699">
        <f t="shared" si="10"/>
        <v>0.15</v>
      </c>
      <c r="L3" s="702">
        <f t="shared" si="11"/>
        <v>0.17</v>
      </c>
      <c r="M3" s="139" t="s">
        <v>507</v>
      </c>
      <c r="N3" s="423">
        <f t="shared" si="12"/>
        <v>901036.01</v>
      </c>
      <c r="O3" s="561">
        <v>3000000</v>
      </c>
      <c r="P3" s="326">
        <f t="shared" si="13"/>
        <v>2076148.64</v>
      </c>
      <c r="Q3" s="326">
        <f t="shared" si="14"/>
        <v>283809.05</v>
      </c>
      <c r="R3" s="716">
        <f t="shared" si="15"/>
        <v>2359957.69</v>
      </c>
      <c r="S3" s="326">
        <f t="shared" si="16"/>
        <v>-640042.31000000006</v>
      </c>
      <c r="T3" s="137">
        <f t="shared" si="17"/>
        <v>0.78665256333333333</v>
      </c>
      <c r="U3" s="326">
        <f t="shared" si="18"/>
        <v>919836.26</v>
      </c>
      <c r="V3" s="432">
        <v>3000000</v>
      </c>
      <c r="W3" s="140">
        <f t="shared" si="19"/>
        <v>1566204.0299999998</v>
      </c>
      <c r="X3" s="326">
        <f t="shared" si="20"/>
        <v>613667.98</v>
      </c>
      <c r="Y3" s="717">
        <f t="shared" si="21"/>
        <v>2179872.0099999998</v>
      </c>
      <c r="Z3" s="123">
        <f t="shared" si="22"/>
        <v>-820127.99000000022</v>
      </c>
      <c r="AA3" s="137">
        <f t="shared" si="23"/>
        <v>0.72662400333333321</v>
      </c>
      <c r="AB3" s="326">
        <f t="shared" si="24"/>
        <v>1250895.55</v>
      </c>
      <c r="AC3" s="561">
        <v>3000000</v>
      </c>
      <c r="AD3" s="326">
        <f t="shared" si="25"/>
        <v>2058330.83</v>
      </c>
      <c r="AE3" s="326">
        <f t="shared" si="26"/>
        <v>1565598.71</v>
      </c>
      <c r="AF3" s="716">
        <f t="shared" si="27"/>
        <v>3623929.54</v>
      </c>
      <c r="AG3" s="326">
        <f t="shared" si="28"/>
        <v>623929.54</v>
      </c>
      <c r="AH3" s="137">
        <f t="shared" si="29"/>
        <v>1.2079765133333333</v>
      </c>
      <c r="AI3" s="332">
        <f t="shared" si="30"/>
        <v>9000000</v>
      </c>
      <c r="AJ3" s="140">
        <f t="shared" si="31"/>
        <v>11546034.199999999</v>
      </c>
      <c r="AK3" s="326">
        <f t="shared" si="32"/>
        <v>5700683.5</v>
      </c>
      <c r="AL3" s="326">
        <f t="shared" ref="AL3:AM3" si="69">SUM(AE3,X3,Q3)</f>
        <v>2463075.7399999998</v>
      </c>
      <c r="AM3" s="326">
        <f t="shared" si="69"/>
        <v>8163759.2400000002</v>
      </c>
      <c r="AN3" s="326">
        <f t="shared" ref="AN3:AN153" si="70">AM3-AI3</f>
        <v>-836240.75999999978</v>
      </c>
      <c r="AO3" s="413">
        <f t="shared" si="34"/>
        <v>0.70706175805368743</v>
      </c>
      <c r="AP3" s="423">
        <f t="shared" si="35"/>
        <v>2340544.73</v>
      </c>
      <c r="AQ3" s="326">
        <f t="shared" si="36"/>
        <v>1769104.5599999998</v>
      </c>
      <c r="AR3" s="326">
        <f t="shared" si="37"/>
        <v>1938429.34</v>
      </c>
      <c r="AS3" s="333">
        <f t="shared" si="38"/>
        <v>3707533.9</v>
      </c>
      <c r="AT3" s="434">
        <f t="shared" si="39"/>
        <v>1298578.32</v>
      </c>
      <c r="AU3" s="140">
        <f t="shared" si="40"/>
        <v>2639809.7200000002</v>
      </c>
      <c r="AV3" s="326">
        <f t="shared" si="41"/>
        <v>1210134.73</v>
      </c>
      <c r="AW3" s="333">
        <f t="shared" si="42"/>
        <v>3849944.45</v>
      </c>
      <c r="AX3" s="125">
        <f t="shared" si="43"/>
        <v>2372595.5699999998</v>
      </c>
      <c r="AY3" s="140">
        <f t="shared" si="44"/>
        <v>439087.89000000013</v>
      </c>
      <c r="AZ3" s="326">
        <f t="shared" si="45"/>
        <v>1969120.33</v>
      </c>
      <c r="BA3" s="332">
        <f t="shared" si="46"/>
        <v>2408208.2200000002</v>
      </c>
      <c r="BB3" s="122">
        <f t="shared" ref="BB3:BD3" si="71">AY3+AU3+AQ3</f>
        <v>4848002.17</v>
      </c>
      <c r="BC3" s="326">
        <f t="shared" si="71"/>
        <v>5117684.4000000004</v>
      </c>
      <c r="BD3" s="332">
        <f t="shared" si="71"/>
        <v>9965686.5700000003</v>
      </c>
      <c r="BE3" s="122">
        <f t="shared" si="48"/>
        <v>10548685.67</v>
      </c>
      <c r="BF3" s="326">
        <f t="shared" ref="BF3:BG3" si="72">AL3+BC3</f>
        <v>7580760.1400000006</v>
      </c>
      <c r="BG3" s="435">
        <f t="shared" si="72"/>
        <v>18129445.810000002</v>
      </c>
      <c r="BH3" s="125">
        <f t="shared" si="50"/>
        <v>3630869.92</v>
      </c>
      <c r="BI3" s="140">
        <f t="shared" si="51"/>
        <v>1806014.15</v>
      </c>
      <c r="BJ3" s="123">
        <f t="shared" si="52"/>
        <v>1837908.87</v>
      </c>
      <c r="BK3" s="125">
        <f t="shared" si="53"/>
        <v>3643923.02</v>
      </c>
      <c r="BL3" s="123">
        <f t="shared" si="54"/>
        <v>2053740.25</v>
      </c>
      <c r="BM3" s="140">
        <f t="shared" si="55"/>
        <v>255581.22999999998</v>
      </c>
      <c r="BN3" s="326">
        <f t="shared" si="56"/>
        <v>2055560.98</v>
      </c>
      <c r="BO3" s="332">
        <f t="shared" si="57"/>
        <v>2311142.21</v>
      </c>
      <c r="BP3" s="141">
        <f t="shared" si="58"/>
        <v>3757813.8</v>
      </c>
      <c r="BQ3" s="140">
        <f t="shared" si="59"/>
        <v>2716460.2600000002</v>
      </c>
      <c r="BR3" s="326">
        <f t="shared" si="60"/>
        <v>2389095.94</v>
      </c>
      <c r="BS3" s="333">
        <f t="shared" si="61"/>
        <v>5105556.2</v>
      </c>
      <c r="BT3" s="113">
        <f t="shared" ref="BT3:BV3" si="73">SUM(BQ3,BM3,BI3)</f>
        <v>4778055.6400000006</v>
      </c>
      <c r="BU3" s="116">
        <f t="shared" si="73"/>
        <v>6282565.79</v>
      </c>
      <c r="BV3" s="117">
        <f t="shared" si="73"/>
        <v>11060621.43</v>
      </c>
      <c r="BW3" s="141">
        <f t="shared" si="63"/>
        <v>3886285.27</v>
      </c>
      <c r="BX3" s="113">
        <f t="shared" si="64"/>
        <v>3245128.54</v>
      </c>
      <c r="BY3" s="114">
        <f t="shared" si="65"/>
        <v>1538148.39</v>
      </c>
      <c r="BZ3" s="115">
        <f t="shared" si="66"/>
        <v>4783276.93</v>
      </c>
      <c r="CA3" s="123">
        <f t="shared" si="67"/>
        <v>3583984.36</v>
      </c>
      <c r="CB3" s="333">
        <f t="shared" si="68"/>
        <v>4075764.57</v>
      </c>
      <c r="CI3" s="562">
        <v>0.15</v>
      </c>
      <c r="CJ3" s="442">
        <v>10</v>
      </c>
      <c r="CK3" s="440">
        <v>13</v>
      </c>
      <c r="CL3" s="441">
        <v>13</v>
      </c>
      <c r="CM3" s="440">
        <v>11</v>
      </c>
      <c r="CN3" s="441">
        <v>11</v>
      </c>
      <c r="CO3" s="441">
        <v>11</v>
      </c>
      <c r="CP3" s="441">
        <v>11</v>
      </c>
      <c r="CQ3" s="441">
        <v>11</v>
      </c>
      <c r="CR3" s="441">
        <v>12</v>
      </c>
      <c r="CS3" s="440">
        <v>12</v>
      </c>
      <c r="CT3" s="718">
        <v>7</v>
      </c>
      <c r="CU3" s="718">
        <v>10</v>
      </c>
      <c r="CV3" s="719">
        <v>10</v>
      </c>
      <c r="CW3" s="720">
        <v>10</v>
      </c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</row>
    <row r="4" spans="1:119" ht="15.75" customHeight="1">
      <c r="A4" s="420">
        <f t="shared" si="0"/>
        <v>112014328</v>
      </c>
      <c r="B4" s="565">
        <f t="shared" si="1"/>
        <v>10</v>
      </c>
      <c r="C4" s="558">
        <f t="shared" si="2"/>
        <v>0.15</v>
      </c>
      <c r="D4" s="558">
        <f t="shared" si="3"/>
        <v>0.23</v>
      </c>
      <c r="E4" s="715">
        <f t="shared" si="4"/>
        <v>0</v>
      </c>
      <c r="F4" s="701">
        <f t="shared" si="5"/>
        <v>10</v>
      </c>
      <c r="G4" s="700">
        <f t="shared" si="6"/>
        <v>0.15</v>
      </c>
      <c r="H4" s="700">
        <f t="shared" si="7"/>
        <v>0.23</v>
      </c>
      <c r="I4" s="700">
        <f t="shared" si="8"/>
        <v>0</v>
      </c>
      <c r="J4" s="547">
        <f t="shared" si="9"/>
        <v>53</v>
      </c>
      <c r="K4" s="699">
        <f t="shared" si="10"/>
        <v>0.15</v>
      </c>
      <c r="L4" s="702">
        <f t="shared" si="11"/>
        <v>0.14000000000000001</v>
      </c>
      <c r="M4" s="139" t="s">
        <v>508</v>
      </c>
      <c r="N4" s="423">
        <f t="shared" si="12"/>
        <v>855269.19</v>
      </c>
      <c r="O4" s="561">
        <v>3000000</v>
      </c>
      <c r="P4" s="326">
        <f t="shared" si="13"/>
        <v>1474082.6500000004</v>
      </c>
      <c r="Q4" s="326">
        <f t="shared" si="14"/>
        <v>5673099.5199999996</v>
      </c>
      <c r="R4" s="716">
        <f t="shared" si="15"/>
        <v>7147182.1699999999</v>
      </c>
      <c r="S4" s="326">
        <f t="shared" si="16"/>
        <v>4147182.17</v>
      </c>
      <c r="T4" s="137">
        <f t="shared" si="17"/>
        <v>2.3823940566666666</v>
      </c>
      <c r="U4" s="326">
        <f t="shared" si="18"/>
        <v>285199.11</v>
      </c>
      <c r="V4" s="432">
        <v>3000000</v>
      </c>
      <c r="W4" s="140">
        <f t="shared" si="19"/>
        <v>2281268.08</v>
      </c>
      <c r="X4" s="326">
        <f t="shared" si="20"/>
        <v>3024838.46</v>
      </c>
      <c r="Y4" s="717">
        <f t="shared" si="21"/>
        <v>5306106.54</v>
      </c>
      <c r="Z4" s="123">
        <f t="shared" si="22"/>
        <v>2306106.54</v>
      </c>
      <c r="AA4" s="137">
        <f t="shared" si="23"/>
        <v>1.76870218</v>
      </c>
      <c r="AB4" s="326">
        <f t="shared" si="24"/>
        <v>805592.45</v>
      </c>
      <c r="AC4" s="561">
        <v>3000000</v>
      </c>
      <c r="AD4" s="326">
        <f t="shared" si="25"/>
        <v>117882.7899999998</v>
      </c>
      <c r="AE4" s="326">
        <f t="shared" si="26"/>
        <v>1158258.1100000001</v>
      </c>
      <c r="AF4" s="716">
        <f t="shared" si="27"/>
        <v>1276140.8999999999</v>
      </c>
      <c r="AG4" s="326">
        <f t="shared" si="28"/>
        <v>-1723859.1</v>
      </c>
      <c r="AH4" s="137">
        <f t="shared" si="29"/>
        <v>0.42538029999999999</v>
      </c>
      <c r="AI4" s="332">
        <f t="shared" si="30"/>
        <v>9000000</v>
      </c>
      <c r="AJ4" s="140">
        <f t="shared" si="31"/>
        <v>8046764.25</v>
      </c>
      <c r="AK4" s="326">
        <f t="shared" si="32"/>
        <v>3873233.5199999996</v>
      </c>
      <c r="AL4" s="326">
        <f t="shared" ref="AL4:AM4" si="74">SUM(AE4,X4,Q4)</f>
        <v>9856196.0899999999</v>
      </c>
      <c r="AM4" s="326">
        <f t="shared" si="74"/>
        <v>13729429.609999999</v>
      </c>
      <c r="AN4" s="326">
        <f t="shared" si="70"/>
        <v>4729429.6099999994</v>
      </c>
      <c r="AO4" s="413">
        <f t="shared" si="34"/>
        <v>1.7062050264489852</v>
      </c>
      <c r="AP4" s="423">
        <f t="shared" si="35"/>
        <v>2188524</v>
      </c>
      <c r="AQ4" s="326">
        <f t="shared" si="36"/>
        <v>1122699.6000000001</v>
      </c>
      <c r="AR4" s="326">
        <f t="shared" si="37"/>
        <v>369488.37</v>
      </c>
      <c r="AS4" s="333">
        <f t="shared" si="38"/>
        <v>1492187.97</v>
      </c>
      <c r="AT4" s="434">
        <f t="shared" si="39"/>
        <v>4287323.5999999996</v>
      </c>
      <c r="AU4" s="140">
        <f t="shared" si="40"/>
        <v>780599.21</v>
      </c>
      <c r="AV4" s="326">
        <f t="shared" si="41"/>
        <v>1892695.73</v>
      </c>
      <c r="AW4" s="333">
        <f t="shared" si="42"/>
        <v>2673294.94</v>
      </c>
      <c r="AX4" s="125">
        <f t="shared" si="43"/>
        <v>5295385.29</v>
      </c>
      <c r="AY4" s="140">
        <f t="shared" si="44"/>
        <v>980601.12000000011</v>
      </c>
      <c r="AZ4" s="326">
        <f t="shared" si="45"/>
        <v>430943.74</v>
      </c>
      <c r="BA4" s="332">
        <f t="shared" si="46"/>
        <v>1411544.86</v>
      </c>
      <c r="BB4" s="122">
        <f t="shared" ref="BB4:BD4" si="75">AY4+AU4+AQ4</f>
        <v>2883899.93</v>
      </c>
      <c r="BC4" s="326">
        <f t="shared" si="75"/>
        <v>2693127.84</v>
      </c>
      <c r="BD4" s="332">
        <f t="shared" si="75"/>
        <v>5577027.7699999996</v>
      </c>
      <c r="BE4" s="122">
        <f t="shared" si="48"/>
        <v>6757133.4499999993</v>
      </c>
      <c r="BF4" s="326">
        <f t="shared" ref="BF4:BG4" si="76">AL4+BC4</f>
        <v>12549323.93</v>
      </c>
      <c r="BG4" s="435">
        <f t="shared" si="76"/>
        <v>19306457.379999999</v>
      </c>
      <c r="BH4" s="125">
        <f t="shared" si="50"/>
        <v>1815076.34</v>
      </c>
      <c r="BI4" s="140">
        <f t="shared" si="51"/>
        <v>348476.28000000026</v>
      </c>
      <c r="BJ4" s="123">
        <f t="shared" si="52"/>
        <v>3075467.84</v>
      </c>
      <c r="BK4" s="125">
        <f t="shared" si="53"/>
        <v>3423944.12</v>
      </c>
      <c r="BL4" s="123">
        <f t="shared" si="54"/>
        <v>2257239.86</v>
      </c>
      <c r="BM4" s="140">
        <f t="shared" si="55"/>
        <v>387184.35000000009</v>
      </c>
      <c r="BN4" s="326">
        <f t="shared" si="56"/>
        <v>3905987.98</v>
      </c>
      <c r="BO4" s="332">
        <f t="shared" si="57"/>
        <v>4293172.33</v>
      </c>
      <c r="BP4" s="141">
        <f t="shared" si="58"/>
        <v>3759643.37</v>
      </c>
      <c r="BQ4" s="140">
        <f t="shared" si="59"/>
        <v>1085606.8799999999</v>
      </c>
      <c r="BR4" s="326">
        <f t="shared" si="60"/>
        <v>0</v>
      </c>
      <c r="BS4" s="333">
        <f t="shared" si="61"/>
        <v>1085606.8799999999</v>
      </c>
      <c r="BT4" s="113">
        <f t="shared" ref="BT4:BV4" si="77">SUM(BQ4,BM4,BI4)</f>
        <v>1821267.5100000002</v>
      </c>
      <c r="BU4" s="116">
        <f t="shared" si="77"/>
        <v>6981455.8200000003</v>
      </c>
      <c r="BV4" s="117">
        <f t="shared" si="77"/>
        <v>8802723.3300000001</v>
      </c>
      <c r="BW4" s="141">
        <f t="shared" si="63"/>
        <v>1017776.22</v>
      </c>
      <c r="BX4" s="113">
        <f t="shared" si="64"/>
        <v>1698159.46</v>
      </c>
      <c r="BY4" s="114">
        <f t="shared" si="65"/>
        <v>0</v>
      </c>
      <c r="BZ4" s="115">
        <f t="shared" si="66"/>
        <v>1698159.46</v>
      </c>
      <c r="CA4" s="123">
        <f t="shared" si="67"/>
        <v>2656539.64</v>
      </c>
      <c r="CB4" s="333">
        <f t="shared" si="68"/>
        <v>4372448.4000000004</v>
      </c>
      <c r="CI4" s="569">
        <v>0.12</v>
      </c>
      <c r="CJ4" s="442"/>
      <c r="CK4" s="440">
        <v>3</v>
      </c>
      <c r="CL4" s="441">
        <v>3</v>
      </c>
      <c r="CM4" s="440"/>
      <c r="CN4" s="441"/>
      <c r="CO4" s="441">
        <v>0</v>
      </c>
      <c r="CP4" s="441"/>
      <c r="CQ4" s="441">
        <v>0</v>
      </c>
      <c r="CR4" s="441">
        <v>0</v>
      </c>
      <c r="CS4" s="440">
        <v>0</v>
      </c>
      <c r="CT4" s="718">
        <v>1</v>
      </c>
      <c r="CU4" s="718"/>
      <c r="CV4" s="719"/>
      <c r="CW4" s="720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  <c r="DK4" s="136"/>
      <c r="DL4" s="136"/>
      <c r="DM4" s="136"/>
      <c r="DN4" s="136"/>
      <c r="DO4" s="136"/>
    </row>
    <row r="5" spans="1:119" ht="15.75" customHeight="1">
      <c r="A5" s="420">
        <f t="shared" si="0"/>
        <v>112014505</v>
      </c>
      <c r="B5" s="565">
        <f t="shared" si="1"/>
        <v>10</v>
      </c>
      <c r="C5" s="558">
        <f t="shared" si="2"/>
        <v>0.15</v>
      </c>
      <c r="D5" s="558">
        <f t="shared" si="3"/>
        <v>0.23</v>
      </c>
      <c r="E5" s="715">
        <f t="shared" si="4"/>
        <v>0</v>
      </c>
      <c r="F5" s="701">
        <f t="shared" si="5"/>
        <v>10</v>
      </c>
      <c r="G5" s="700">
        <f t="shared" si="6"/>
        <v>0.15</v>
      </c>
      <c r="H5" s="700">
        <f t="shared" si="7"/>
        <v>0.23</v>
      </c>
      <c r="I5" s="700">
        <f t="shared" si="8"/>
        <v>0</v>
      </c>
      <c r="J5" s="547">
        <f t="shared" si="9"/>
        <v>53</v>
      </c>
      <c r="K5" s="699">
        <f t="shared" si="10"/>
        <v>0.15</v>
      </c>
      <c r="L5" s="702">
        <f t="shared" si="11"/>
        <v>0.14000000000000001</v>
      </c>
      <c r="M5" s="139" t="s">
        <v>509</v>
      </c>
      <c r="N5" s="423" t="str">
        <f t="shared" si="12"/>
        <v/>
      </c>
      <c r="O5" s="326" t="e">
        <f>(N5*1.601)*1.05</f>
        <v>#VALUE!</v>
      </c>
      <c r="P5" s="326">
        <f t="shared" si="13"/>
        <v>3384101.4200000018</v>
      </c>
      <c r="Q5" s="326">
        <f t="shared" si="14"/>
        <v>29471369.289999999</v>
      </c>
      <c r="R5" s="716">
        <f t="shared" si="15"/>
        <v>32855470.710000001</v>
      </c>
      <c r="S5" s="326" t="e">
        <f t="shared" si="16"/>
        <v>#VALUE!</v>
      </c>
      <c r="T5" s="137" t="str">
        <f>IFERROR(R5/O5,"")</f>
        <v/>
      </c>
      <c r="U5" s="326" t="str">
        <f t="shared" si="18"/>
        <v/>
      </c>
      <c r="V5" s="332" t="e">
        <f>(U5*1.7245)*1.03</f>
        <v>#VALUE!</v>
      </c>
      <c r="W5" s="140">
        <f t="shared" si="19"/>
        <v>0</v>
      </c>
      <c r="X5" s="326">
        <f t="shared" si="20"/>
        <v>-142788.07999999999</v>
      </c>
      <c r="Y5" s="717">
        <f t="shared" si="21"/>
        <v>-142788.07999999999</v>
      </c>
      <c r="Z5" s="123" t="e">
        <f t="shared" si="22"/>
        <v>#VALUE!</v>
      </c>
      <c r="AA5" s="137" t="str">
        <f>IFERROR(Y5/V5,"")</f>
        <v/>
      </c>
      <c r="AB5" s="326" t="str">
        <f t="shared" si="24"/>
        <v/>
      </c>
      <c r="AC5" s="561">
        <v>3000000</v>
      </c>
      <c r="AD5" s="326">
        <f t="shared" si="25"/>
        <v>0</v>
      </c>
      <c r="AE5" s="326">
        <f t="shared" si="26"/>
        <v>5429592.1500000004</v>
      </c>
      <c r="AF5" s="716">
        <f t="shared" si="27"/>
        <v>5429592.1500000004</v>
      </c>
      <c r="AG5" s="326">
        <f t="shared" si="28"/>
        <v>2429592.1500000004</v>
      </c>
      <c r="AH5" s="137">
        <f t="shared" si="29"/>
        <v>1.8098640500000001</v>
      </c>
      <c r="AI5" s="332" t="e">
        <f t="shared" si="30"/>
        <v>#VALUE!</v>
      </c>
      <c r="AJ5" s="140" t="str">
        <f t="shared" si="31"/>
        <v>0</v>
      </c>
      <c r="AK5" s="326">
        <f t="shared" si="32"/>
        <v>3384101.4200000018</v>
      </c>
      <c r="AL5" s="326">
        <f t="shared" ref="AL5:AM5" si="78">SUM(AE5,X5,Q5)</f>
        <v>34758173.359999999</v>
      </c>
      <c r="AM5" s="326">
        <f t="shared" si="78"/>
        <v>38142274.780000001</v>
      </c>
      <c r="AN5" s="326" t="e">
        <f t="shared" si="70"/>
        <v>#VALUE!</v>
      </c>
      <c r="AO5" s="413" t="str">
        <f t="shared" ref="AO5:AO153" si="79">IFERROR(AM5/AJ5,"")</f>
        <v/>
      </c>
      <c r="AP5" s="423" t="str">
        <f t="shared" si="35"/>
        <v/>
      </c>
      <c r="AQ5" s="326">
        <f t="shared" si="36"/>
        <v>0</v>
      </c>
      <c r="AR5" s="326">
        <f t="shared" si="37"/>
        <v>353579.15</v>
      </c>
      <c r="AS5" s="333">
        <f t="shared" si="38"/>
        <v>353579.15</v>
      </c>
      <c r="AT5" s="434" t="str">
        <f t="shared" si="39"/>
        <v/>
      </c>
      <c r="AU5" s="140">
        <f t="shared" si="40"/>
        <v>0</v>
      </c>
      <c r="AV5" s="326">
        <f t="shared" si="41"/>
        <v>0</v>
      </c>
      <c r="AW5" s="333">
        <f t="shared" si="42"/>
        <v>0</v>
      </c>
      <c r="AX5" s="125" t="str">
        <f t="shared" si="43"/>
        <v/>
      </c>
      <c r="AY5" s="140">
        <f t="shared" si="44"/>
        <v>0</v>
      </c>
      <c r="AZ5" s="326">
        <f t="shared" si="45"/>
        <v>0</v>
      </c>
      <c r="BA5" s="332">
        <f t="shared" si="46"/>
        <v>0</v>
      </c>
      <c r="BB5" s="122">
        <f t="shared" ref="BB5:BD5" si="80">AY5+AU5+AQ5</f>
        <v>0</v>
      </c>
      <c r="BC5" s="326">
        <f t="shared" si="80"/>
        <v>353579.15</v>
      </c>
      <c r="BD5" s="332">
        <f t="shared" si="80"/>
        <v>353579.15</v>
      </c>
      <c r="BE5" s="122">
        <f t="shared" si="48"/>
        <v>3384101.4200000018</v>
      </c>
      <c r="BF5" s="326">
        <f t="shared" ref="BF5:BG5" si="81">AL5+BC5</f>
        <v>35111752.509999998</v>
      </c>
      <c r="BG5" s="435">
        <f t="shared" si="81"/>
        <v>38495853.93</v>
      </c>
      <c r="BH5" s="125" t="str">
        <f t="shared" si="50"/>
        <v/>
      </c>
      <c r="BI5" s="140">
        <f t="shared" si="51"/>
        <v>0</v>
      </c>
      <c r="BJ5" s="123">
        <f t="shared" si="52"/>
        <v>775117.57</v>
      </c>
      <c r="BK5" s="125">
        <f t="shared" si="53"/>
        <v>775117.57</v>
      </c>
      <c r="BL5" s="123" t="str">
        <f t="shared" si="54"/>
        <v/>
      </c>
      <c r="BM5" s="140">
        <f t="shared" si="55"/>
        <v>0</v>
      </c>
      <c r="BN5" s="326">
        <f t="shared" si="56"/>
        <v>2267575.7400000002</v>
      </c>
      <c r="BO5" s="332">
        <f t="shared" si="57"/>
        <v>2267575.7400000002</v>
      </c>
      <c r="BP5" s="141" t="str">
        <f t="shared" si="58"/>
        <v/>
      </c>
      <c r="BQ5" s="140">
        <f t="shared" si="59"/>
        <v>0</v>
      </c>
      <c r="BR5" s="326">
        <f t="shared" si="60"/>
        <v>150440.26</v>
      </c>
      <c r="BS5" s="333">
        <f t="shared" si="61"/>
        <v>150440.26</v>
      </c>
      <c r="BT5" s="113">
        <f t="shared" ref="BT5:BV5" si="82">SUM(BQ5,BM5,BI5)</f>
        <v>0</v>
      </c>
      <c r="BU5" s="116">
        <f t="shared" si="82"/>
        <v>3193133.57</v>
      </c>
      <c r="BV5" s="117">
        <f t="shared" si="82"/>
        <v>3193133.57</v>
      </c>
      <c r="BW5" s="141" t="str">
        <f t="shared" si="63"/>
        <v/>
      </c>
      <c r="BX5" s="113">
        <f t="shared" si="64"/>
        <v>0</v>
      </c>
      <c r="BY5" s="114">
        <f t="shared" si="65"/>
        <v>1802975.86</v>
      </c>
      <c r="BZ5" s="115">
        <f t="shared" si="66"/>
        <v>1802975.86</v>
      </c>
      <c r="CA5" s="123" t="str">
        <f t="shared" si="67"/>
        <v/>
      </c>
      <c r="CB5" s="333" t="str">
        <f t="shared" si="68"/>
        <v/>
      </c>
      <c r="CI5" s="570">
        <v>0.1</v>
      </c>
      <c r="CJ5" s="442">
        <v>31</v>
      </c>
      <c r="CK5" s="440">
        <v>76</v>
      </c>
      <c r="CL5" s="441">
        <v>76</v>
      </c>
      <c r="CM5" s="440">
        <v>86</v>
      </c>
      <c r="CN5" s="441">
        <v>90</v>
      </c>
      <c r="CO5" s="441">
        <v>87</v>
      </c>
      <c r="CP5" s="441">
        <v>91</v>
      </c>
      <c r="CQ5" s="441">
        <v>92</v>
      </c>
      <c r="CR5" s="441">
        <v>92</v>
      </c>
      <c r="CS5" s="440">
        <v>96</v>
      </c>
      <c r="CT5" s="718">
        <v>25</v>
      </c>
      <c r="CU5" s="718">
        <v>29</v>
      </c>
      <c r="CV5" s="719">
        <v>31</v>
      </c>
      <c r="CW5" s="720">
        <v>31</v>
      </c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6"/>
      <c r="DM5" s="136"/>
      <c r="DN5" s="136"/>
      <c r="DO5" s="136"/>
    </row>
    <row r="6" spans="1:119" ht="15.75" customHeight="1">
      <c r="A6" s="420">
        <f t="shared" si="0"/>
        <v>112013271</v>
      </c>
      <c r="B6" s="565">
        <f t="shared" si="1"/>
        <v>10</v>
      </c>
      <c r="C6" s="558">
        <f t="shared" si="2"/>
        <v>0.15</v>
      </c>
      <c r="D6" s="558">
        <f t="shared" si="3"/>
        <v>0.23</v>
      </c>
      <c r="E6" s="715">
        <f t="shared" si="4"/>
        <v>0</v>
      </c>
      <c r="F6" s="701">
        <f t="shared" si="5"/>
        <v>10</v>
      </c>
      <c r="G6" s="700">
        <f t="shared" si="6"/>
        <v>0.15</v>
      </c>
      <c r="H6" s="700">
        <f t="shared" si="7"/>
        <v>0.23</v>
      </c>
      <c r="I6" s="700">
        <f t="shared" si="8"/>
        <v>0</v>
      </c>
      <c r="J6" s="547">
        <f t="shared" si="9"/>
        <v>53</v>
      </c>
      <c r="K6" s="699">
        <f t="shared" si="10"/>
        <v>0.15</v>
      </c>
      <c r="L6" s="702">
        <f t="shared" si="11"/>
        <v>0.14000000000000001</v>
      </c>
      <c r="M6" s="139" t="s">
        <v>510</v>
      </c>
      <c r="N6" s="423">
        <f t="shared" si="12"/>
        <v>0</v>
      </c>
      <c r="O6" s="561">
        <v>3000000</v>
      </c>
      <c r="P6" s="326">
        <f t="shared" si="13"/>
        <v>2369999.59</v>
      </c>
      <c r="Q6" s="326">
        <f t="shared" si="14"/>
        <v>1761985.46</v>
      </c>
      <c r="R6" s="716">
        <f t="shared" si="15"/>
        <v>4131985.05</v>
      </c>
      <c r="S6" s="326">
        <f t="shared" si="16"/>
        <v>1131985.0499999998</v>
      </c>
      <c r="T6" s="137">
        <f t="shared" ref="T6:T34" si="83">R6/O6</f>
        <v>1.37732835</v>
      </c>
      <c r="U6" s="326">
        <f t="shared" si="18"/>
        <v>0</v>
      </c>
      <c r="V6" s="432">
        <v>3000000</v>
      </c>
      <c r="W6" s="140">
        <f t="shared" si="19"/>
        <v>299952.14000000013</v>
      </c>
      <c r="X6" s="326">
        <f t="shared" si="20"/>
        <v>2850687.88</v>
      </c>
      <c r="Y6" s="717">
        <f t="shared" si="21"/>
        <v>3150640.02</v>
      </c>
      <c r="Z6" s="123">
        <f t="shared" si="22"/>
        <v>150640.02000000002</v>
      </c>
      <c r="AA6" s="137">
        <f t="shared" ref="AA6:AA34" si="84">Y6/V6</f>
        <v>1.05021334</v>
      </c>
      <c r="AB6" s="326">
        <f t="shared" si="24"/>
        <v>0</v>
      </c>
      <c r="AC6" s="561">
        <v>3000000</v>
      </c>
      <c r="AD6" s="326">
        <f t="shared" si="25"/>
        <v>2717777.8200000003</v>
      </c>
      <c r="AE6" s="326">
        <f t="shared" si="26"/>
        <v>2865995.84</v>
      </c>
      <c r="AF6" s="716">
        <f t="shared" si="27"/>
        <v>5583773.6600000001</v>
      </c>
      <c r="AG6" s="326">
        <f t="shared" si="28"/>
        <v>2583773.66</v>
      </c>
      <c r="AH6" s="137">
        <f t="shared" si="29"/>
        <v>1.8612578866666667</v>
      </c>
      <c r="AI6" s="332">
        <f t="shared" si="30"/>
        <v>9000000</v>
      </c>
      <c r="AJ6" s="140">
        <f t="shared" si="31"/>
        <v>6533752.4100000001</v>
      </c>
      <c r="AK6" s="326">
        <f t="shared" si="32"/>
        <v>5387729.5500000007</v>
      </c>
      <c r="AL6" s="326">
        <f t="shared" ref="AL6:AM6" si="85">SUM(AE6,X6,Q6)</f>
        <v>7478669.1799999997</v>
      </c>
      <c r="AM6" s="326">
        <f t="shared" si="85"/>
        <v>12866398.73</v>
      </c>
      <c r="AN6" s="326">
        <f t="shared" si="70"/>
        <v>3866398.7300000004</v>
      </c>
      <c r="AO6" s="413">
        <f t="shared" si="79"/>
        <v>1.9692204299489211</v>
      </c>
      <c r="AP6" s="423">
        <f t="shared" si="35"/>
        <v>0</v>
      </c>
      <c r="AQ6" s="326">
        <f t="shared" si="36"/>
        <v>2561345.38</v>
      </c>
      <c r="AR6" s="326">
        <f t="shared" si="37"/>
        <v>1987961.21</v>
      </c>
      <c r="AS6" s="333">
        <f t="shared" si="38"/>
        <v>4549306.59</v>
      </c>
      <c r="AT6" s="434">
        <f t="shared" si="39"/>
        <v>0</v>
      </c>
      <c r="AU6" s="140">
        <f t="shared" si="40"/>
        <v>8239239.1600000011</v>
      </c>
      <c r="AV6" s="326">
        <f t="shared" si="41"/>
        <v>2312556.0499999998</v>
      </c>
      <c r="AW6" s="333">
        <f t="shared" si="42"/>
        <v>10551795.210000001</v>
      </c>
      <c r="AX6" s="125">
        <f t="shared" si="43"/>
        <v>0</v>
      </c>
      <c r="AY6" s="140">
        <f t="shared" si="44"/>
        <v>2762298.94</v>
      </c>
      <c r="AZ6" s="326">
        <f t="shared" si="45"/>
        <v>855342.57</v>
      </c>
      <c r="BA6" s="332">
        <f t="shared" si="46"/>
        <v>3617641.51</v>
      </c>
      <c r="BB6" s="122">
        <f t="shared" ref="BB6:BD6" si="86">AY6+AU6+AQ6</f>
        <v>13562883.48</v>
      </c>
      <c r="BC6" s="326">
        <f t="shared" si="86"/>
        <v>5155859.83</v>
      </c>
      <c r="BD6" s="332">
        <f t="shared" si="86"/>
        <v>18718743.310000002</v>
      </c>
      <c r="BE6" s="122">
        <f t="shared" si="48"/>
        <v>18950613.030000001</v>
      </c>
      <c r="BF6" s="326">
        <f t="shared" ref="BF6:BG6" si="87">AL6+BC6</f>
        <v>12634529.01</v>
      </c>
      <c r="BG6" s="435">
        <f t="shared" si="87"/>
        <v>31585142.040000003</v>
      </c>
      <c r="BH6" s="125">
        <f t="shared" si="50"/>
        <v>0</v>
      </c>
      <c r="BI6" s="140">
        <f t="shared" si="51"/>
        <v>2569851.7799999998</v>
      </c>
      <c r="BJ6" s="123">
        <f t="shared" si="52"/>
        <v>3729889.57</v>
      </c>
      <c r="BK6" s="125">
        <f t="shared" si="53"/>
        <v>6299741.3499999996</v>
      </c>
      <c r="BL6" s="123">
        <f t="shared" si="54"/>
        <v>0</v>
      </c>
      <c r="BM6" s="140">
        <f t="shared" si="55"/>
        <v>4675938.17</v>
      </c>
      <c r="BN6" s="326">
        <f t="shared" si="56"/>
        <v>2718207.65</v>
      </c>
      <c r="BO6" s="332">
        <f t="shared" si="57"/>
        <v>7394145.8200000003</v>
      </c>
      <c r="BP6" s="141">
        <f t="shared" si="58"/>
        <v>0</v>
      </c>
      <c r="BQ6" s="140">
        <f t="shared" si="59"/>
        <v>1778598.23</v>
      </c>
      <c r="BR6" s="326">
        <f t="shared" si="60"/>
        <v>1428421.98</v>
      </c>
      <c r="BS6" s="333">
        <f t="shared" si="61"/>
        <v>3207020.21</v>
      </c>
      <c r="BT6" s="113">
        <f t="shared" ref="BT6:BV6" si="88">SUM(BQ6,BM6,BI6)</f>
        <v>9024388.1799999997</v>
      </c>
      <c r="BU6" s="116">
        <f t="shared" si="88"/>
        <v>7876519.1999999993</v>
      </c>
      <c r="BV6" s="117">
        <f t="shared" si="88"/>
        <v>16900907.380000003</v>
      </c>
      <c r="BW6" s="141">
        <f t="shared" si="63"/>
        <v>0</v>
      </c>
      <c r="BX6" s="113">
        <f t="shared" si="64"/>
        <v>1360067.3199999994</v>
      </c>
      <c r="BY6" s="114">
        <f t="shared" si="65"/>
        <v>4571210.28</v>
      </c>
      <c r="BZ6" s="115">
        <f t="shared" si="66"/>
        <v>5931277.5999999996</v>
      </c>
      <c r="CA6" s="123">
        <f t="shared" si="67"/>
        <v>0</v>
      </c>
      <c r="CB6" s="333">
        <f t="shared" si="68"/>
        <v>6533752.4100000001</v>
      </c>
      <c r="CI6" s="571">
        <v>0.05</v>
      </c>
      <c r="CJ6" s="721">
        <v>1</v>
      </c>
      <c r="CK6" s="449">
        <v>3</v>
      </c>
      <c r="CL6" s="169">
        <v>3</v>
      </c>
      <c r="CM6" s="449">
        <v>6</v>
      </c>
      <c r="CN6" s="169">
        <v>5</v>
      </c>
      <c r="CO6" s="169">
        <v>5</v>
      </c>
      <c r="CP6" s="169">
        <v>3</v>
      </c>
      <c r="CQ6" s="169">
        <v>3</v>
      </c>
      <c r="CR6" s="169">
        <v>3</v>
      </c>
      <c r="CS6" s="449">
        <v>3</v>
      </c>
      <c r="CT6" s="722">
        <v>1</v>
      </c>
      <c r="CU6" s="722">
        <v>1</v>
      </c>
      <c r="CV6" s="723">
        <v>1</v>
      </c>
      <c r="CW6" s="168">
        <v>1</v>
      </c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1"/>
    </row>
    <row r="7" spans="1:119" ht="15.75" customHeight="1">
      <c r="A7" s="420">
        <f t="shared" si="0"/>
        <v>112013770</v>
      </c>
      <c r="B7" s="565">
        <f t="shared" si="1"/>
        <v>10</v>
      </c>
      <c r="C7" s="558">
        <f t="shared" si="2"/>
        <v>0.15</v>
      </c>
      <c r="D7" s="558">
        <f t="shared" si="3"/>
        <v>0.23</v>
      </c>
      <c r="E7" s="715">
        <f t="shared" si="4"/>
        <v>0</v>
      </c>
      <c r="F7" s="701">
        <f t="shared" si="5"/>
        <v>10</v>
      </c>
      <c r="G7" s="700">
        <f t="shared" si="6"/>
        <v>0.15</v>
      </c>
      <c r="H7" s="700">
        <f t="shared" si="7"/>
        <v>0.23</v>
      </c>
      <c r="I7" s="700">
        <f t="shared" si="8"/>
        <v>0</v>
      </c>
      <c r="J7" s="547">
        <f t="shared" si="9"/>
        <v>53</v>
      </c>
      <c r="K7" s="699">
        <f t="shared" si="10"/>
        <v>0.15</v>
      </c>
      <c r="L7" s="702">
        <f t="shared" si="11"/>
        <v>0.14000000000000001</v>
      </c>
      <c r="M7" s="139" t="s">
        <v>511</v>
      </c>
      <c r="N7" s="423">
        <f t="shared" si="12"/>
        <v>1690465.99</v>
      </c>
      <c r="O7" s="561">
        <v>3000000</v>
      </c>
      <c r="P7" s="326">
        <f t="shared" si="13"/>
        <v>592232.64999999991</v>
      </c>
      <c r="Q7" s="326">
        <f t="shared" si="14"/>
        <v>3684814.61</v>
      </c>
      <c r="R7" s="716">
        <f t="shared" si="15"/>
        <v>4277047.26</v>
      </c>
      <c r="S7" s="326">
        <f t="shared" si="16"/>
        <v>1277047.2599999998</v>
      </c>
      <c r="T7" s="137">
        <f t="shared" si="83"/>
        <v>1.42568242</v>
      </c>
      <c r="U7" s="326">
        <f t="shared" si="18"/>
        <v>1318321.8799999999</v>
      </c>
      <c r="V7" s="432">
        <v>3000000</v>
      </c>
      <c r="W7" s="140">
        <f t="shared" si="19"/>
        <v>4423600.18</v>
      </c>
      <c r="X7" s="326">
        <f t="shared" si="20"/>
        <v>2128578.14</v>
      </c>
      <c r="Y7" s="717">
        <f t="shared" si="21"/>
        <v>6552178.3200000003</v>
      </c>
      <c r="Z7" s="123">
        <f t="shared" si="22"/>
        <v>3552178.3200000003</v>
      </c>
      <c r="AA7" s="137">
        <f t="shared" si="84"/>
        <v>2.18405944</v>
      </c>
      <c r="AB7" s="326">
        <f t="shared" si="24"/>
        <v>818832.88</v>
      </c>
      <c r="AC7" s="561">
        <v>3000000</v>
      </c>
      <c r="AD7" s="326">
        <f t="shared" si="25"/>
        <v>2442738.6400000006</v>
      </c>
      <c r="AE7" s="326">
        <f t="shared" si="26"/>
        <v>3405044.3</v>
      </c>
      <c r="AF7" s="716">
        <f t="shared" si="27"/>
        <v>5847782.9400000004</v>
      </c>
      <c r="AG7" s="326">
        <f t="shared" si="28"/>
        <v>2847782.9400000004</v>
      </c>
      <c r="AH7" s="137">
        <f t="shared" si="29"/>
        <v>1.94926098</v>
      </c>
      <c r="AI7" s="332">
        <f t="shared" si="30"/>
        <v>9000000</v>
      </c>
      <c r="AJ7" s="140">
        <f t="shared" si="31"/>
        <v>23583658.82</v>
      </c>
      <c r="AK7" s="326">
        <f t="shared" si="32"/>
        <v>7458571.4700000025</v>
      </c>
      <c r="AL7" s="326">
        <f t="shared" ref="AL7:AM7" si="89">SUM(AE7,X7,Q7)</f>
        <v>9218437.0499999989</v>
      </c>
      <c r="AM7" s="326">
        <f t="shared" si="89"/>
        <v>16677008.520000001</v>
      </c>
      <c r="AN7" s="326">
        <f t="shared" si="70"/>
        <v>7677008.5200000014</v>
      </c>
      <c r="AO7" s="413">
        <f t="shared" si="79"/>
        <v>0.70714254506841623</v>
      </c>
      <c r="AP7" s="423">
        <f t="shared" si="35"/>
        <v>1495550.16</v>
      </c>
      <c r="AQ7" s="326">
        <f t="shared" si="36"/>
        <v>3357496.93</v>
      </c>
      <c r="AR7" s="326">
        <f t="shared" si="37"/>
        <v>2768944.56</v>
      </c>
      <c r="AS7" s="333">
        <f t="shared" si="38"/>
        <v>6126441.4900000002</v>
      </c>
      <c r="AT7" s="434">
        <f t="shared" si="39"/>
        <v>3169838.21</v>
      </c>
      <c r="AU7" s="140">
        <f t="shared" si="40"/>
        <v>2119556.23</v>
      </c>
      <c r="AV7" s="326">
        <f t="shared" si="41"/>
        <v>1656242.17</v>
      </c>
      <c r="AW7" s="333">
        <f t="shared" si="42"/>
        <v>3775798.4</v>
      </c>
      <c r="AX7" s="125">
        <f t="shared" si="43"/>
        <v>1295942.94</v>
      </c>
      <c r="AY7" s="140">
        <f t="shared" si="44"/>
        <v>0</v>
      </c>
      <c r="AZ7" s="326">
        <f t="shared" si="45"/>
        <v>2206635.89</v>
      </c>
      <c r="BA7" s="332">
        <f t="shared" si="46"/>
        <v>2206635.89</v>
      </c>
      <c r="BB7" s="122">
        <f t="shared" ref="BB7:BD7" si="90">AY7+AU7+AQ7</f>
        <v>5477053.1600000001</v>
      </c>
      <c r="BC7" s="326">
        <f t="shared" si="90"/>
        <v>6631822.6200000001</v>
      </c>
      <c r="BD7" s="332">
        <f t="shared" si="90"/>
        <v>12108875.780000001</v>
      </c>
      <c r="BE7" s="122">
        <f t="shared" si="48"/>
        <v>12935624.630000003</v>
      </c>
      <c r="BF7" s="326">
        <f t="shared" ref="BF7:BG7" si="91">AL7+BC7</f>
        <v>15850259.669999998</v>
      </c>
      <c r="BG7" s="435">
        <f t="shared" si="91"/>
        <v>28785884.300000004</v>
      </c>
      <c r="BH7" s="125">
        <f t="shared" si="50"/>
        <v>3372547.72</v>
      </c>
      <c r="BI7" s="140">
        <f t="shared" si="51"/>
        <v>1635862.94</v>
      </c>
      <c r="BJ7" s="123">
        <f t="shared" si="52"/>
        <v>729939.29</v>
      </c>
      <c r="BK7" s="125">
        <f t="shared" si="53"/>
        <v>2365802.23</v>
      </c>
      <c r="BL7" s="123">
        <f t="shared" si="54"/>
        <v>4166014.98</v>
      </c>
      <c r="BM7" s="140">
        <f t="shared" si="55"/>
        <v>7344047.8899999997</v>
      </c>
      <c r="BN7" s="326">
        <f t="shared" si="56"/>
        <v>354899.24</v>
      </c>
      <c r="BO7" s="332">
        <f t="shared" si="57"/>
        <v>7698947.1299999999</v>
      </c>
      <c r="BP7" s="141">
        <f t="shared" si="58"/>
        <v>5137562.54</v>
      </c>
      <c r="BQ7" s="140">
        <f t="shared" si="59"/>
        <v>1815270.94</v>
      </c>
      <c r="BR7" s="326">
        <f t="shared" si="60"/>
        <v>0</v>
      </c>
      <c r="BS7" s="333">
        <f t="shared" si="61"/>
        <v>1815270.94</v>
      </c>
      <c r="BT7" s="113">
        <f t="shared" ref="BT7:BV7" si="92">SUM(BQ7,BM7,BI7)</f>
        <v>10795181.77</v>
      </c>
      <c r="BU7" s="116">
        <f t="shared" si="92"/>
        <v>1084838.53</v>
      </c>
      <c r="BV7" s="117">
        <f t="shared" si="92"/>
        <v>11880020.300000001</v>
      </c>
      <c r="BW7" s="141">
        <f t="shared" si="63"/>
        <v>4994375.01</v>
      </c>
      <c r="BX7" s="113">
        <f t="shared" si="64"/>
        <v>1878816.31</v>
      </c>
      <c r="BY7" s="114">
        <f t="shared" si="65"/>
        <v>0</v>
      </c>
      <c r="BZ7" s="115">
        <f t="shared" si="66"/>
        <v>1878816.31</v>
      </c>
      <c r="CA7" s="123">
        <f t="shared" si="67"/>
        <v>11190398.359999999</v>
      </c>
      <c r="CB7" s="333">
        <f t="shared" si="68"/>
        <v>7398885.4500000002</v>
      </c>
      <c r="CI7" s="724" t="s">
        <v>4</v>
      </c>
      <c r="CJ7" s="725">
        <v>117</v>
      </c>
      <c r="CK7" s="726">
        <v>30</v>
      </c>
      <c r="CL7" s="727">
        <v>31</v>
      </c>
      <c r="CM7" s="726">
        <v>43</v>
      </c>
      <c r="CN7" s="727">
        <v>43</v>
      </c>
      <c r="CO7" s="727">
        <v>38</v>
      </c>
      <c r="CP7" s="727">
        <v>41</v>
      </c>
      <c r="CQ7" s="178">
        <v>41</v>
      </c>
      <c r="CR7" s="178">
        <v>41</v>
      </c>
      <c r="CS7" s="453">
        <v>35</v>
      </c>
      <c r="CT7" s="728">
        <v>119</v>
      </c>
      <c r="CU7" s="729">
        <v>119</v>
      </c>
      <c r="CV7" s="730">
        <v>118</v>
      </c>
      <c r="CW7" s="168">
        <v>117</v>
      </c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1"/>
    </row>
    <row r="8" spans="1:119" ht="15.75" customHeight="1">
      <c r="A8" s="420">
        <f t="shared" si="0"/>
        <v>112014087</v>
      </c>
      <c r="B8" s="565">
        <f t="shared" si="1"/>
        <v>10</v>
      </c>
      <c r="C8" s="558">
        <f t="shared" si="2"/>
        <v>0.15</v>
      </c>
      <c r="D8" s="558">
        <f t="shared" si="3"/>
        <v>0.23</v>
      </c>
      <c r="E8" s="715">
        <f t="shared" si="4"/>
        <v>0</v>
      </c>
      <c r="F8" s="701">
        <f t="shared" si="5"/>
        <v>10</v>
      </c>
      <c r="G8" s="700">
        <f t="shared" si="6"/>
        <v>0.15</v>
      </c>
      <c r="H8" s="700">
        <f t="shared" si="7"/>
        <v>0.23</v>
      </c>
      <c r="I8" s="700">
        <f t="shared" si="8"/>
        <v>0</v>
      </c>
      <c r="J8" s="547">
        <f t="shared" si="9"/>
        <v>52</v>
      </c>
      <c r="K8" s="699">
        <f t="shared" si="10"/>
        <v>0.15</v>
      </c>
      <c r="L8" s="702">
        <f t="shared" si="11"/>
        <v>0.17</v>
      </c>
      <c r="M8" s="139" t="s">
        <v>512</v>
      </c>
      <c r="N8" s="423">
        <f t="shared" si="12"/>
        <v>2366393.85</v>
      </c>
      <c r="O8" s="326">
        <f t="shared" ref="O8:O10" si="93">(N8*1.601)*1.05</f>
        <v>3978026.3815425006</v>
      </c>
      <c r="P8" s="326" t="e">
        <f t="shared" si="13"/>
        <v>#VALUE!</v>
      </c>
      <c r="Q8" s="326" t="str">
        <f t="shared" si="14"/>
        <v/>
      </c>
      <c r="R8" s="716">
        <f t="shared" si="15"/>
        <v>9987292.3499999996</v>
      </c>
      <c r="S8" s="326">
        <f t="shared" si="16"/>
        <v>6009265.9684574995</v>
      </c>
      <c r="T8" s="137">
        <f t="shared" si="83"/>
        <v>2.51061491103721</v>
      </c>
      <c r="U8" s="326">
        <f t="shared" si="18"/>
        <v>2167502.6800000002</v>
      </c>
      <c r="V8" s="332">
        <f t="shared" ref="V8:V10" si="94">(U8*1.7245)*1.03</f>
        <v>3849994.1228098003</v>
      </c>
      <c r="W8" s="140" t="e">
        <f t="shared" si="19"/>
        <v>#VALUE!</v>
      </c>
      <c r="X8" s="326" t="str">
        <f t="shared" si="20"/>
        <v/>
      </c>
      <c r="Y8" s="717">
        <f t="shared" si="21"/>
        <v>7543864.5499999998</v>
      </c>
      <c r="Z8" s="123">
        <f t="shared" si="22"/>
        <v>3693870.4271901995</v>
      </c>
      <c r="AA8" s="137">
        <f t="shared" si="84"/>
        <v>1.9594483288442897</v>
      </c>
      <c r="AB8" s="326">
        <f t="shared" si="24"/>
        <v>2849818.84</v>
      </c>
      <c r="AC8" s="326">
        <f t="shared" ref="AC8:AC9" si="95">(AB8*1.5955)*1.05</f>
        <v>4774230.257181</v>
      </c>
      <c r="AD8" s="326" t="e">
        <f t="shared" si="25"/>
        <v>#VALUE!</v>
      </c>
      <c r="AE8" s="326" t="str">
        <f t="shared" si="26"/>
        <v/>
      </c>
      <c r="AF8" s="716">
        <f t="shared" si="27"/>
        <v>6220562.1100000003</v>
      </c>
      <c r="AG8" s="326">
        <f t="shared" si="28"/>
        <v>1446331.8528190004</v>
      </c>
      <c r="AH8" s="137">
        <f t="shared" si="29"/>
        <v>1.3029455587408145</v>
      </c>
      <c r="AI8" s="332">
        <f t="shared" si="30"/>
        <v>12602250.761533301</v>
      </c>
      <c r="AJ8" s="140">
        <f t="shared" si="31"/>
        <v>23455886.100000001</v>
      </c>
      <c r="AK8" s="326">
        <f t="shared" si="32"/>
        <v>23751719.009999998</v>
      </c>
      <c r="AL8" s="326">
        <f t="shared" ref="AL8:AM8" si="96">SUM(AE8,X8,Q8)</f>
        <v>0</v>
      </c>
      <c r="AM8" s="326">
        <f t="shared" si="96"/>
        <v>23751719.009999998</v>
      </c>
      <c r="AN8" s="326">
        <f t="shared" si="70"/>
        <v>11149468.248466697</v>
      </c>
      <c r="AO8" s="413">
        <f t="shared" si="79"/>
        <v>1.0126123101356634</v>
      </c>
      <c r="AP8" s="423">
        <f t="shared" si="35"/>
        <v>1212353.26</v>
      </c>
      <c r="AQ8" s="326" t="e">
        <f t="shared" si="36"/>
        <v>#VALUE!</v>
      </c>
      <c r="AR8" s="326" t="str">
        <f t="shared" si="37"/>
        <v/>
      </c>
      <c r="AS8" s="333">
        <f t="shared" si="38"/>
        <v>3901579.17</v>
      </c>
      <c r="AT8" s="434">
        <f t="shared" si="39"/>
        <v>3411122.12</v>
      </c>
      <c r="AU8" s="140" t="e">
        <f t="shared" si="40"/>
        <v>#VALUE!</v>
      </c>
      <c r="AV8" s="326" t="str">
        <f t="shared" si="41"/>
        <v/>
      </c>
      <c r="AW8" s="333">
        <f t="shared" si="42"/>
        <v>4987447.51</v>
      </c>
      <c r="AX8" s="125">
        <f t="shared" si="43"/>
        <v>819583.38</v>
      </c>
      <c r="AY8" s="140" t="e">
        <f t="shared" si="44"/>
        <v>#VALUE!</v>
      </c>
      <c r="AZ8" s="326" t="str">
        <f t="shared" si="45"/>
        <v/>
      </c>
      <c r="BA8" s="332">
        <f t="shared" si="46"/>
        <v>4354957.5999999996</v>
      </c>
      <c r="BB8" s="122" t="e">
        <f t="shared" ref="BB8:BD8" si="97">AY8+AU8+AQ8</f>
        <v>#VALUE!</v>
      </c>
      <c r="BC8" s="326" t="e">
        <f t="shared" si="97"/>
        <v>#VALUE!</v>
      </c>
      <c r="BD8" s="332">
        <f t="shared" si="97"/>
        <v>13243984.279999999</v>
      </c>
      <c r="BE8" s="122" t="e">
        <f t="shared" si="48"/>
        <v>#VALUE!</v>
      </c>
      <c r="BF8" s="326" t="e">
        <f t="shared" ref="BF8:BG8" si="98">AL8+BC8</f>
        <v>#VALUE!</v>
      </c>
      <c r="BG8" s="435">
        <f t="shared" si="98"/>
        <v>36995703.289999999</v>
      </c>
      <c r="BH8" s="125">
        <f t="shared" si="50"/>
        <v>5256314.76</v>
      </c>
      <c r="BI8" s="140" t="e">
        <f t="shared" si="51"/>
        <v>#VALUE!</v>
      </c>
      <c r="BJ8" s="123" t="str">
        <f t="shared" si="52"/>
        <v/>
      </c>
      <c r="BK8" s="125">
        <f t="shared" si="53"/>
        <v>2930242.9</v>
      </c>
      <c r="BL8" s="123">
        <f t="shared" si="54"/>
        <v>3629846.93</v>
      </c>
      <c r="BM8" s="140" t="e">
        <f t="shared" si="55"/>
        <v>#VALUE!</v>
      </c>
      <c r="BN8" s="326" t="str">
        <f t="shared" si="56"/>
        <v/>
      </c>
      <c r="BO8" s="332">
        <f t="shared" si="57"/>
        <v>3654533.46</v>
      </c>
      <c r="BP8" s="141">
        <f t="shared" si="58"/>
        <v>2009815.74</v>
      </c>
      <c r="BQ8" s="140" t="e">
        <f t="shared" si="59"/>
        <v>#VALUE!</v>
      </c>
      <c r="BR8" s="326" t="str">
        <f t="shared" si="60"/>
        <v/>
      </c>
      <c r="BS8" s="333">
        <f t="shared" si="61"/>
        <v>1683137.21</v>
      </c>
      <c r="BT8" s="113" t="e">
        <f t="shared" ref="BT8:BV8" si="99">SUM(BQ8,BM8,BI8)</f>
        <v>#VALUE!</v>
      </c>
      <c r="BU8" s="116">
        <f t="shared" si="99"/>
        <v>0</v>
      </c>
      <c r="BV8" s="117">
        <f t="shared" si="99"/>
        <v>8267913.5700000003</v>
      </c>
      <c r="BW8" s="141">
        <f t="shared" si="63"/>
        <v>9745612.2799999993</v>
      </c>
      <c r="BX8" s="113" t="e">
        <f t="shared" si="64"/>
        <v>#VALUE!</v>
      </c>
      <c r="BY8" s="114" t="str">
        <f t="shared" si="65"/>
        <v/>
      </c>
      <c r="BZ8" s="115">
        <f t="shared" si="66"/>
        <v>14652954.76</v>
      </c>
      <c r="CA8" s="123">
        <f t="shared" si="67"/>
        <v>8400291.0299999993</v>
      </c>
      <c r="CB8" s="333">
        <f t="shared" si="68"/>
        <v>5309982.79</v>
      </c>
      <c r="CI8" s="579" t="s">
        <v>17</v>
      </c>
      <c r="CJ8" s="183">
        <f t="shared" ref="CJ8:CW8" si="100">SUM(CJ2:CJ7)</f>
        <v>159</v>
      </c>
      <c r="CK8" s="183">
        <f t="shared" si="100"/>
        <v>125</v>
      </c>
      <c r="CL8" s="185">
        <f t="shared" si="100"/>
        <v>126</v>
      </c>
      <c r="CM8" s="185">
        <f t="shared" si="100"/>
        <v>146</v>
      </c>
      <c r="CN8" s="185">
        <f t="shared" si="100"/>
        <v>149</v>
      </c>
      <c r="CO8" s="185">
        <f t="shared" si="100"/>
        <v>141</v>
      </c>
      <c r="CP8" s="185">
        <f t="shared" si="100"/>
        <v>146</v>
      </c>
      <c r="CQ8" s="185">
        <f t="shared" si="100"/>
        <v>147</v>
      </c>
      <c r="CR8" s="185">
        <f t="shared" si="100"/>
        <v>148</v>
      </c>
      <c r="CS8" s="183">
        <f t="shared" si="100"/>
        <v>146</v>
      </c>
      <c r="CT8" s="731">
        <f t="shared" si="100"/>
        <v>153</v>
      </c>
      <c r="CU8" s="731">
        <f t="shared" si="100"/>
        <v>159</v>
      </c>
      <c r="CV8" s="732">
        <f t="shared" si="100"/>
        <v>160</v>
      </c>
      <c r="CW8" s="187">
        <f t="shared" si="100"/>
        <v>159</v>
      </c>
      <c r="CX8" s="455"/>
      <c r="CY8" s="455"/>
      <c r="CZ8" s="455"/>
      <c r="DA8" s="455"/>
      <c r="DB8" s="455"/>
      <c r="DC8" s="455"/>
      <c r="DD8" s="455"/>
      <c r="DE8" s="455"/>
      <c r="DF8" s="455"/>
      <c r="DG8" s="455"/>
      <c r="DH8" s="455"/>
      <c r="DI8" s="455"/>
      <c r="DJ8" s="455"/>
      <c r="DK8" s="455"/>
      <c r="DL8" s="455"/>
      <c r="DM8" s="455"/>
      <c r="DN8" s="455"/>
      <c r="DO8" s="455"/>
    </row>
    <row r="9" spans="1:119" ht="15.75" customHeight="1">
      <c r="A9" s="420">
        <f t="shared" si="0"/>
        <v>112014170</v>
      </c>
      <c r="B9" s="565">
        <f t="shared" si="1"/>
        <v>10</v>
      </c>
      <c r="C9" s="558">
        <f t="shared" si="2"/>
        <v>0.15</v>
      </c>
      <c r="D9" s="558">
        <f t="shared" si="3"/>
        <v>0.23</v>
      </c>
      <c r="E9" s="715">
        <f t="shared" si="4"/>
        <v>0</v>
      </c>
      <c r="F9" s="701">
        <f t="shared" si="5"/>
        <v>10</v>
      </c>
      <c r="G9" s="700">
        <f t="shared" si="6"/>
        <v>0.15</v>
      </c>
      <c r="H9" s="700">
        <f t="shared" si="7"/>
        <v>0.23</v>
      </c>
      <c r="I9" s="700">
        <f t="shared" si="8"/>
        <v>0</v>
      </c>
      <c r="J9" s="547">
        <f t="shared" si="9"/>
        <v>52</v>
      </c>
      <c r="K9" s="699">
        <f t="shared" si="10"/>
        <v>0.15</v>
      </c>
      <c r="L9" s="702">
        <f t="shared" si="11"/>
        <v>0.17</v>
      </c>
      <c r="M9" s="139" t="s">
        <v>513</v>
      </c>
      <c r="N9" s="423">
        <f t="shared" si="12"/>
        <v>6343519.0300000003</v>
      </c>
      <c r="O9" s="326">
        <f t="shared" si="93"/>
        <v>10663772.6653815</v>
      </c>
      <c r="P9" s="326">
        <f t="shared" si="13"/>
        <v>4845539.3199999994</v>
      </c>
      <c r="Q9" s="326">
        <f t="shared" si="14"/>
        <v>6488649.1100000003</v>
      </c>
      <c r="R9" s="716">
        <f t="shared" si="15"/>
        <v>11334188.43</v>
      </c>
      <c r="S9" s="326">
        <f t="shared" si="16"/>
        <v>670415.7646184992</v>
      </c>
      <c r="T9" s="137">
        <f t="shared" si="83"/>
        <v>1.0628685349599503</v>
      </c>
      <c r="U9" s="326">
        <f t="shared" si="18"/>
        <v>6352893.0800000001</v>
      </c>
      <c r="V9" s="332">
        <f t="shared" si="94"/>
        <v>11284231.0399538</v>
      </c>
      <c r="W9" s="140">
        <f t="shared" si="19"/>
        <v>5728249.4600000009</v>
      </c>
      <c r="X9" s="326">
        <f t="shared" si="20"/>
        <v>9853520.75</v>
      </c>
      <c r="Y9" s="717">
        <f t="shared" si="21"/>
        <v>15581770.210000001</v>
      </c>
      <c r="Z9" s="123">
        <f t="shared" si="22"/>
        <v>4297539.170046201</v>
      </c>
      <c r="AA9" s="137">
        <f t="shared" si="84"/>
        <v>1.3808446632145344</v>
      </c>
      <c r="AB9" s="326">
        <f t="shared" si="24"/>
        <v>10494399.15</v>
      </c>
      <c r="AC9" s="326">
        <f t="shared" si="95"/>
        <v>17581004.536016252</v>
      </c>
      <c r="AD9" s="326">
        <f t="shared" si="25"/>
        <v>7193537.7000000011</v>
      </c>
      <c r="AE9" s="326">
        <f t="shared" si="26"/>
        <v>9248954.1899999995</v>
      </c>
      <c r="AF9" s="716">
        <f t="shared" si="27"/>
        <v>16442491.890000001</v>
      </c>
      <c r="AG9" s="326">
        <f t="shared" si="28"/>
        <v>-1138512.6460162513</v>
      </c>
      <c r="AH9" s="137">
        <f t="shared" si="29"/>
        <v>0.93524188884179471</v>
      </c>
      <c r="AI9" s="332">
        <f t="shared" si="30"/>
        <v>39529008.241351552</v>
      </c>
      <c r="AJ9" s="140">
        <f t="shared" si="31"/>
        <v>60539814.979999997</v>
      </c>
      <c r="AK9" s="326">
        <f t="shared" si="32"/>
        <v>17767326.480000004</v>
      </c>
      <c r="AL9" s="326">
        <f t="shared" ref="AL9:AM9" si="101">SUM(AE9,X9,Q9)</f>
        <v>25591124.049999997</v>
      </c>
      <c r="AM9" s="326">
        <f t="shared" si="101"/>
        <v>43358450.530000001</v>
      </c>
      <c r="AN9" s="326">
        <f t="shared" si="70"/>
        <v>3829442.2886484489</v>
      </c>
      <c r="AO9" s="413">
        <f t="shared" si="79"/>
        <v>0.71619727520349952</v>
      </c>
      <c r="AP9" s="423">
        <f t="shared" si="35"/>
        <v>6497664.9000000004</v>
      </c>
      <c r="AQ9" s="326">
        <f t="shared" si="36"/>
        <v>10374421.489999998</v>
      </c>
      <c r="AR9" s="326">
        <f t="shared" si="37"/>
        <v>3838688.7</v>
      </c>
      <c r="AS9" s="333">
        <f t="shared" si="38"/>
        <v>14213110.189999999</v>
      </c>
      <c r="AT9" s="434">
        <f t="shared" si="39"/>
        <v>5937338.0300000003</v>
      </c>
      <c r="AU9" s="140">
        <f t="shared" si="40"/>
        <v>1708252.1400000006</v>
      </c>
      <c r="AV9" s="326">
        <f t="shared" si="41"/>
        <v>7008377.9199999999</v>
      </c>
      <c r="AW9" s="333">
        <f t="shared" si="42"/>
        <v>8716630.0600000005</v>
      </c>
      <c r="AX9" s="125">
        <f t="shared" si="43"/>
        <v>17274999.359999999</v>
      </c>
      <c r="AY9" s="140">
        <f t="shared" si="44"/>
        <v>5975820.7999999998</v>
      </c>
      <c r="AZ9" s="326">
        <f t="shared" si="45"/>
        <v>7466791.6100000003</v>
      </c>
      <c r="BA9" s="332">
        <f t="shared" si="46"/>
        <v>13442612.41</v>
      </c>
      <c r="BB9" s="122">
        <f t="shared" ref="BB9:BD9" si="102">AY9+AU9+AQ9</f>
        <v>18058494.43</v>
      </c>
      <c r="BC9" s="326">
        <f t="shared" si="102"/>
        <v>18313858.23</v>
      </c>
      <c r="BD9" s="332">
        <f t="shared" si="102"/>
        <v>36372352.659999996</v>
      </c>
      <c r="BE9" s="122">
        <f t="shared" si="48"/>
        <v>35825820.910000004</v>
      </c>
      <c r="BF9" s="326">
        <f t="shared" ref="BF9:BG9" si="103">AL9+BC9</f>
        <v>43904982.280000001</v>
      </c>
      <c r="BG9" s="435">
        <f t="shared" si="103"/>
        <v>79730803.189999998</v>
      </c>
      <c r="BH9" s="125">
        <f t="shared" si="50"/>
        <v>8304650.5499999998</v>
      </c>
      <c r="BI9" s="140">
        <f t="shared" si="51"/>
        <v>2334248.5399999991</v>
      </c>
      <c r="BJ9" s="123">
        <f t="shared" si="52"/>
        <v>6870620.9900000002</v>
      </c>
      <c r="BK9" s="125">
        <f t="shared" si="53"/>
        <v>9204869.5299999993</v>
      </c>
      <c r="BL9" s="123">
        <f t="shared" si="54"/>
        <v>13886521.34</v>
      </c>
      <c r="BM9" s="140">
        <f t="shared" si="55"/>
        <v>8697367.2200000007</v>
      </c>
      <c r="BN9" s="326">
        <f t="shared" si="56"/>
        <v>8954483.6899999995</v>
      </c>
      <c r="BO9" s="332">
        <f t="shared" si="57"/>
        <v>17651850.91</v>
      </c>
      <c r="BP9" s="141">
        <f t="shared" si="58"/>
        <v>11538868.109999999</v>
      </c>
      <c r="BQ9" s="140">
        <f t="shared" si="59"/>
        <v>2074074.33</v>
      </c>
      <c r="BR9" s="326">
        <f t="shared" si="60"/>
        <v>8501857.4399999995</v>
      </c>
      <c r="BS9" s="333">
        <f t="shared" si="61"/>
        <v>10575931.77</v>
      </c>
      <c r="BT9" s="113">
        <f t="shared" ref="BT9:BV9" si="104">SUM(BQ9,BM9,BI9)</f>
        <v>13105690.09</v>
      </c>
      <c r="BU9" s="116">
        <f t="shared" si="104"/>
        <v>24326962.119999997</v>
      </c>
      <c r="BV9" s="117">
        <f t="shared" si="104"/>
        <v>37432652.210000001</v>
      </c>
      <c r="BW9" s="141">
        <f t="shared" si="63"/>
        <v>21285908.489999998</v>
      </c>
      <c r="BX9" s="113">
        <f t="shared" si="64"/>
        <v>7535389.1300000008</v>
      </c>
      <c r="BY9" s="114">
        <f t="shared" si="65"/>
        <v>2935713.94</v>
      </c>
      <c r="BZ9" s="115">
        <f t="shared" si="66"/>
        <v>10471103.07</v>
      </c>
      <c r="CA9" s="123">
        <f t="shared" si="67"/>
        <v>21623755.27</v>
      </c>
      <c r="CB9" s="333">
        <f t="shared" si="68"/>
        <v>17630151.210000001</v>
      </c>
      <c r="CY9" s="294"/>
      <c r="DF9" s="296"/>
    </row>
    <row r="10" spans="1:119" ht="15.75" customHeight="1">
      <c r="A10" s="420">
        <f t="shared" si="0"/>
        <v>112010484</v>
      </c>
      <c r="B10" s="565">
        <f t="shared" si="1"/>
        <v>14</v>
      </c>
      <c r="C10" s="558">
        <f t="shared" si="2"/>
        <v>0.15</v>
      </c>
      <c r="D10" s="558">
        <f t="shared" si="3"/>
        <v>0.2</v>
      </c>
      <c r="E10" s="715">
        <f t="shared" si="4"/>
        <v>0.23</v>
      </c>
      <c r="F10" s="701">
        <f t="shared" si="5"/>
        <v>14</v>
      </c>
      <c r="G10" s="700">
        <f t="shared" si="6"/>
        <v>0.15</v>
      </c>
      <c r="H10" s="700">
        <f t="shared" si="7"/>
        <v>0.2</v>
      </c>
      <c r="I10" s="700">
        <f t="shared" si="8"/>
        <v>0.23</v>
      </c>
      <c r="J10" s="547">
        <f t="shared" si="9"/>
        <v>54</v>
      </c>
      <c r="K10" s="699">
        <f t="shared" si="10"/>
        <v>0.15</v>
      </c>
      <c r="L10" s="702">
        <f t="shared" si="11"/>
        <v>0.11</v>
      </c>
      <c r="M10" s="139" t="s">
        <v>514</v>
      </c>
      <c r="N10" s="423">
        <f t="shared" si="12"/>
        <v>1210009.42</v>
      </c>
      <c r="O10" s="326">
        <f t="shared" si="93"/>
        <v>2034086.335491</v>
      </c>
      <c r="P10" s="326">
        <f t="shared" si="13"/>
        <v>1559826.84</v>
      </c>
      <c r="Q10" s="326">
        <f t="shared" si="14"/>
        <v>15986.48</v>
      </c>
      <c r="R10" s="716">
        <f t="shared" si="15"/>
        <v>1575813.32</v>
      </c>
      <c r="S10" s="326">
        <f t="shared" si="16"/>
        <v>-458273.01549099991</v>
      </c>
      <c r="T10" s="137">
        <f t="shared" si="83"/>
        <v>0.77470326234683684</v>
      </c>
      <c r="U10" s="326">
        <f t="shared" si="18"/>
        <v>2554106.54</v>
      </c>
      <c r="V10" s="332">
        <f t="shared" si="94"/>
        <v>4536693.4300768999</v>
      </c>
      <c r="W10" s="140">
        <f t="shared" si="19"/>
        <v>1591622.26</v>
      </c>
      <c r="X10" s="326">
        <f t="shared" si="20"/>
        <v>0</v>
      </c>
      <c r="Y10" s="717">
        <f t="shared" si="21"/>
        <v>1591622.26</v>
      </c>
      <c r="Z10" s="123">
        <f t="shared" si="22"/>
        <v>-2945071.1700769002</v>
      </c>
      <c r="AA10" s="137">
        <f t="shared" si="84"/>
        <v>0.35083310885589664</v>
      </c>
      <c r="AB10" s="326">
        <f t="shared" si="24"/>
        <v>972327.62</v>
      </c>
      <c r="AC10" s="561">
        <v>3000000</v>
      </c>
      <c r="AD10" s="326">
        <f t="shared" si="25"/>
        <v>2320391.12</v>
      </c>
      <c r="AE10" s="326">
        <f t="shared" si="26"/>
        <v>0</v>
      </c>
      <c r="AF10" s="716">
        <f t="shared" si="27"/>
        <v>2320391.12</v>
      </c>
      <c r="AG10" s="326">
        <f t="shared" si="28"/>
        <v>-679608.87999999989</v>
      </c>
      <c r="AH10" s="137">
        <f t="shared" si="29"/>
        <v>0.77346370666666675</v>
      </c>
      <c r="AI10" s="332">
        <f t="shared" si="30"/>
        <v>9570779.7655678988</v>
      </c>
      <c r="AJ10" s="140">
        <f t="shared" si="31"/>
        <v>5098465.72</v>
      </c>
      <c r="AK10" s="326">
        <f t="shared" si="32"/>
        <v>5471840.2199999997</v>
      </c>
      <c r="AL10" s="326">
        <f t="shared" ref="AL10:AM10" si="105">SUM(AE10,X10,Q10)</f>
        <v>15986.48</v>
      </c>
      <c r="AM10" s="326">
        <f t="shared" si="105"/>
        <v>5487826.7000000002</v>
      </c>
      <c r="AN10" s="326">
        <f t="shared" si="70"/>
        <v>-4082953.0655678986</v>
      </c>
      <c r="AO10" s="413">
        <f t="shared" si="79"/>
        <v>1.0763682647649537</v>
      </c>
      <c r="AP10" s="423">
        <f t="shared" si="35"/>
        <v>984813.99</v>
      </c>
      <c r="AQ10" s="326">
        <f t="shared" si="36"/>
        <v>1667546.56</v>
      </c>
      <c r="AR10" s="326">
        <f t="shared" si="37"/>
        <v>0</v>
      </c>
      <c r="AS10" s="333">
        <f t="shared" si="38"/>
        <v>1667546.56</v>
      </c>
      <c r="AT10" s="434">
        <f t="shared" si="39"/>
        <v>882037.47</v>
      </c>
      <c r="AU10" s="140">
        <f t="shared" si="40"/>
        <v>1042982.25</v>
      </c>
      <c r="AV10" s="326">
        <f t="shared" si="41"/>
        <v>55682.559999999998</v>
      </c>
      <c r="AW10" s="333">
        <f t="shared" si="42"/>
        <v>1098664.81</v>
      </c>
      <c r="AX10" s="125">
        <f t="shared" si="43"/>
        <v>636574.49</v>
      </c>
      <c r="AY10" s="140">
        <f t="shared" si="44"/>
        <v>1716961.76</v>
      </c>
      <c r="AZ10" s="326">
        <f t="shared" si="45"/>
        <v>0</v>
      </c>
      <c r="BA10" s="332">
        <f t="shared" si="46"/>
        <v>1716961.76</v>
      </c>
      <c r="BB10" s="122">
        <f t="shared" ref="BB10:BD10" si="106">AY10+AU10+AQ10</f>
        <v>4427490.57</v>
      </c>
      <c r="BC10" s="326">
        <f t="shared" si="106"/>
        <v>55682.559999999998</v>
      </c>
      <c r="BD10" s="332">
        <f t="shared" si="106"/>
        <v>4483173.1300000008</v>
      </c>
      <c r="BE10" s="122">
        <f t="shared" si="48"/>
        <v>9899330.7899999991</v>
      </c>
      <c r="BF10" s="326">
        <f t="shared" ref="BF10:BG10" si="107">AL10+BC10</f>
        <v>71669.039999999994</v>
      </c>
      <c r="BG10" s="435">
        <f t="shared" si="107"/>
        <v>9970999.8300000019</v>
      </c>
      <c r="BH10" s="125">
        <f t="shared" si="50"/>
        <v>1069142.8600000001</v>
      </c>
      <c r="BI10" s="140">
        <f t="shared" si="51"/>
        <v>2110795.4700000002</v>
      </c>
      <c r="BJ10" s="123">
        <f t="shared" si="52"/>
        <v>0</v>
      </c>
      <c r="BK10" s="125">
        <f t="shared" si="53"/>
        <v>2110795.4700000002</v>
      </c>
      <c r="BL10" s="123">
        <f t="shared" si="54"/>
        <v>1247460.77</v>
      </c>
      <c r="BM10" s="140">
        <f t="shared" si="55"/>
        <v>929911.59</v>
      </c>
      <c r="BN10" s="326">
        <f t="shared" si="56"/>
        <v>75443.37</v>
      </c>
      <c r="BO10" s="332">
        <f t="shared" si="57"/>
        <v>1005354.96</v>
      </c>
      <c r="BP10" s="141">
        <f t="shared" si="58"/>
        <v>1357292.31</v>
      </c>
      <c r="BQ10" s="140">
        <f t="shared" si="59"/>
        <v>1965425.9</v>
      </c>
      <c r="BR10" s="326">
        <f t="shared" si="60"/>
        <v>0</v>
      </c>
      <c r="BS10" s="333">
        <f t="shared" si="61"/>
        <v>1965425.9</v>
      </c>
      <c r="BT10" s="113">
        <f t="shared" ref="BT10:BV10" si="108">SUM(BQ10,BM10,BI10)</f>
        <v>5006132.96</v>
      </c>
      <c r="BU10" s="116">
        <f t="shared" si="108"/>
        <v>75443.37</v>
      </c>
      <c r="BV10" s="117">
        <f t="shared" si="108"/>
        <v>5081576.33</v>
      </c>
      <c r="BW10" s="141">
        <f t="shared" si="63"/>
        <v>1689170.41</v>
      </c>
      <c r="BX10" s="113">
        <f t="shared" si="64"/>
        <v>2608970.62</v>
      </c>
      <c r="BY10" s="114">
        <f t="shared" si="65"/>
        <v>40977.599999999999</v>
      </c>
      <c r="BZ10" s="115">
        <f t="shared" si="66"/>
        <v>2649948.2200000002</v>
      </c>
      <c r="CA10" s="123">
        <f t="shared" si="67"/>
        <v>1816484.29</v>
      </c>
      <c r="CB10" s="333">
        <f t="shared" si="68"/>
        <v>1592811.03</v>
      </c>
      <c r="CI10" s="231" t="s">
        <v>78</v>
      </c>
      <c r="CJ10" s="232"/>
      <c r="CK10" s="232"/>
      <c r="CY10" s="294"/>
      <c r="DF10" s="296"/>
    </row>
    <row r="11" spans="1:119" ht="15.75" customHeight="1">
      <c r="A11" s="420">
        <f t="shared" si="0"/>
        <v>112014583</v>
      </c>
      <c r="B11" s="565">
        <f t="shared" si="1"/>
        <v>10</v>
      </c>
      <c r="C11" s="733">
        <f t="shared" si="2"/>
        <v>0.15</v>
      </c>
      <c r="D11" s="733">
        <f t="shared" si="3"/>
        <v>0.23</v>
      </c>
      <c r="E11" s="734">
        <f t="shared" si="4"/>
        <v>0</v>
      </c>
      <c r="F11" s="701">
        <f t="shared" si="5"/>
        <v>10</v>
      </c>
      <c r="G11" s="700">
        <f t="shared" si="6"/>
        <v>0.15</v>
      </c>
      <c r="H11" s="700">
        <f t="shared" si="7"/>
        <v>0.23</v>
      </c>
      <c r="I11" s="700">
        <f t="shared" si="8"/>
        <v>0</v>
      </c>
      <c r="J11" s="547">
        <f t="shared" si="9"/>
        <v>52</v>
      </c>
      <c r="K11" s="699">
        <f t="shared" si="10"/>
        <v>0.15</v>
      </c>
      <c r="L11" s="702">
        <f t="shared" si="11"/>
        <v>0.17</v>
      </c>
      <c r="M11" s="735" t="s">
        <v>515</v>
      </c>
      <c r="N11" s="423">
        <f t="shared" si="12"/>
        <v>0</v>
      </c>
      <c r="O11" s="326">
        <v>1800000</v>
      </c>
      <c r="P11" s="326">
        <f t="shared" si="13"/>
        <v>0</v>
      </c>
      <c r="Q11" s="326">
        <f t="shared" si="14"/>
        <v>3136105.89</v>
      </c>
      <c r="R11" s="716">
        <f t="shared" si="15"/>
        <v>3136105.89</v>
      </c>
      <c r="S11" s="326">
        <f t="shared" si="16"/>
        <v>1336105.8900000001</v>
      </c>
      <c r="T11" s="137">
        <f t="shared" si="83"/>
        <v>1.7422810500000001</v>
      </c>
      <c r="U11" s="326">
        <f t="shared" si="18"/>
        <v>0</v>
      </c>
      <c r="V11" s="332">
        <v>1800000</v>
      </c>
      <c r="W11" s="140">
        <f t="shared" si="19"/>
        <v>0</v>
      </c>
      <c r="X11" s="326">
        <f t="shared" si="20"/>
        <v>2627273.73</v>
      </c>
      <c r="Y11" s="717">
        <f t="shared" si="21"/>
        <v>2627273.73</v>
      </c>
      <c r="Z11" s="123">
        <f t="shared" si="22"/>
        <v>827273.73</v>
      </c>
      <c r="AA11" s="137">
        <f t="shared" si="84"/>
        <v>1.4595965166666667</v>
      </c>
      <c r="AB11" s="326">
        <f t="shared" si="24"/>
        <v>0</v>
      </c>
      <c r="AC11" s="326">
        <v>1800000</v>
      </c>
      <c r="AD11" s="326">
        <f t="shared" si="25"/>
        <v>0</v>
      </c>
      <c r="AE11" s="326">
        <f t="shared" si="26"/>
        <v>1035392.53</v>
      </c>
      <c r="AF11" s="716">
        <f t="shared" si="27"/>
        <v>1035392.53</v>
      </c>
      <c r="AG11" s="326">
        <f t="shared" si="28"/>
        <v>-764607.47</v>
      </c>
      <c r="AH11" s="137">
        <f t="shared" si="29"/>
        <v>0.57521807222222221</v>
      </c>
      <c r="AI11" s="332">
        <f t="shared" si="30"/>
        <v>5400000</v>
      </c>
      <c r="AJ11" s="140">
        <f t="shared" si="31"/>
        <v>6838766.9699999997</v>
      </c>
      <c r="AK11" s="326">
        <f t="shared" si="32"/>
        <v>0</v>
      </c>
      <c r="AL11" s="326">
        <f t="shared" ref="AL11:AM11" si="109">SUM(AE11,X11,Q11)</f>
        <v>6798772.1500000004</v>
      </c>
      <c r="AM11" s="326">
        <f t="shared" si="109"/>
        <v>6798772.1500000004</v>
      </c>
      <c r="AN11" s="326">
        <f t="shared" si="70"/>
        <v>1398772.1500000004</v>
      </c>
      <c r="AO11" s="413">
        <f t="shared" si="79"/>
        <v>0.99415174984387578</v>
      </c>
      <c r="AP11" s="423">
        <f t="shared" si="35"/>
        <v>0</v>
      </c>
      <c r="AQ11" s="326">
        <f t="shared" si="36"/>
        <v>422191.20000000019</v>
      </c>
      <c r="AR11" s="326">
        <f t="shared" si="37"/>
        <v>1549600.13</v>
      </c>
      <c r="AS11" s="333">
        <f t="shared" si="38"/>
        <v>1971791.33</v>
      </c>
      <c r="AT11" s="434">
        <f t="shared" si="39"/>
        <v>0</v>
      </c>
      <c r="AU11" s="140">
        <f t="shared" si="40"/>
        <v>12413314.93</v>
      </c>
      <c r="AV11" s="326">
        <f t="shared" si="41"/>
        <v>1590363.01</v>
      </c>
      <c r="AW11" s="333">
        <f t="shared" si="42"/>
        <v>14003677.939999999</v>
      </c>
      <c r="AX11" s="125">
        <f t="shared" si="43"/>
        <v>0</v>
      </c>
      <c r="AY11" s="140">
        <f t="shared" si="44"/>
        <v>1060620.6200000001</v>
      </c>
      <c r="AZ11" s="326">
        <f t="shared" si="45"/>
        <v>515772.18</v>
      </c>
      <c r="BA11" s="332">
        <f t="shared" si="46"/>
        <v>1576392.8</v>
      </c>
      <c r="BB11" s="122">
        <f t="shared" ref="BB11:BD11" si="110">AY11+AU11+AQ11</f>
        <v>13896126.75</v>
      </c>
      <c r="BC11" s="326">
        <f t="shared" si="110"/>
        <v>3655735.32</v>
      </c>
      <c r="BD11" s="332">
        <f t="shared" si="110"/>
        <v>17551862.07</v>
      </c>
      <c r="BE11" s="122">
        <f t="shared" si="48"/>
        <v>13896126.75</v>
      </c>
      <c r="BF11" s="326">
        <f t="shared" ref="BF11:BG11" si="111">AL11+BC11</f>
        <v>10454507.470000001</v>
      </c>
      <c r="BG11" s="435">
        <f t="shared" si="111"/>
        <v>24350634.219999999</v>
      </c>
      <c r="BH11" s="125">
        <f t="shared" si="50"/>
        <v>0</v>
      </c>
      <c r="BI11" s="140">
        <f t="shared" si="51"/>
        <v>3611901.5900000003</v>
      </c>
      <c r="BJ11" s="123">
        <f t="shared" si="52"/>
        <v>-295492.89</v>
      </c>
      <c r="BK11" s="125">
        <f t="shared" si="53"/>
        <v>3316408.7</v>
      </c>
      <c r="BL11" s="123">
        <f t="shared" si="54"/>
        <v>0</v>
      </c>
      <c r="BM11" s="140">
        <f t="shared" si="55"/>
        <v>228076.99</v>
      </c>
      <c r="BN11" s="326">
        <f t="shared" si="56"/>
        <v>0</v>
      </c>
      <c r="BO11" s="332">
        <f t="shared" si="57"/>
        <v>228076.99</v>
      </c>
      <c r="BP11" s="141">
        <f t="shared" si="58"/>
        <v>0</v>
      </c>
      <c r="BQ11" s="140">
        <f t="shared" si="59"/>
        <v>2580892.6799999997</v>
      </c>
      <c r="BR11" s="326">
        <f t="shared" si="60"/>
        <v>2566357.84</v>
      </c>
      <c r="BS11" s="333">
        <f t="shared" si="61"/>
        <v>5147250.5199999996</v>
      </c>
      <c r="BT11" s="113">
        <f t="shared" ref="BT11:BV11" si="112">SUM(BQ11,BM11,BI11)</f>
        <v>6420871.2599999998</v>
      </c>
      <c r="BU11" s="116">
        <f t="shared" si="112"/>
        <v>2270864.9499999997</v>
      </c>
      <c r="BV11" s="117">
        <f t="shared" si="112"/>
        <v>8691736.2100000009</v>
      </c>
      <c r="BW11" s="141">
        <f t="shared" si="63"/>
        <v>2872160.78</v>
      </c>
      <c r="BX11" s="113">
        <f t="shared" si="64"/>
        <v>6320413.0000000009</v>
      </c>
      <c r="BY11" s="114">
        <f t="shared" si="65"/>
        <v>6252480.8099999996</v>
      </c>
      <c r="BZ11" s="115">
        <f t="shared" si="66"/>
        <v>12572893.810000001</v>
      </c>
      <c r="CA11" s="123">
        <f t="shared" si="67"/>
        <v>1117822.28</v>
      </c>
      <c r="CB11" s="333">
        <f t="shared" si="68"/>
        <v>2848783.92</v>
      </c>
      <c r="CI11" s="231" t="s">
        <v>80</v>
      </c>
      <c r="CJ11" s="231"/>
      <c r="CK11" s="231"/>
      <c r="CY11" s="294"/>
      <c r="DF11" s="296"/>
    </row>
    <row r="12" spans="1:119" ht="15.75" customHeight="1">
      <c r="A12" s="420">
        <f t="shared" si="0"/>
        <v>112014074</v>
      </c>
      <c r="B12" s="565">
        <f t="shared" si="1"/>
        <v>8</v>
      </c>
      <c r="C12" s="558">
        <f t="shared" si="2"/>
        <v>0.1</v>
      </c>
      <c r="D12" s="558">
        <f t="shared" si="3"/>
        <v>0.2</v>
      </c>
      <c r="E12" s="715">
        <f t="shared" si="4"/>
        <v>0.23</v>
      </c>
      <c r="F12" s="701">
        <f t="shared" si="5"/>
        <v>8</v>
      </c>
      <c r="G12" s="700">
        <f t="shared" si="6"/>
        <v>0.1</v>
      </c>
      <c r="H12" s="700">
        <f t="shared" si="7"/>
        <v>0.2</v>
      </c>
      <c r="I12" s="700">
        <f t="shared" si="8"/>
        <v>0.23</v>
      </c>
      <c r="J12" s="547">
        <f t="shared" si="9"/>
        <v>61</v>
      </c>
      <c r="K12" s="699">
        <f t="shared" si="10"/>
        <v>0.1</v>
      </c>
      <c r="L12" s="702">
        <f t="shared" si="11"/>
        <v>0.14000000000000001</v>
      </c>
      <c r="M12" s="139" t="s">
        <v>516</v>
      </c>
      <c r="N12" s="423">
        <f t="shared" si="12"/>
        <v>1104111.51</v>
      </c>
      <c r="O12" s="326">
        <f t="shared" ref="O12:O13" si="113">(N12*1.601)*1.05</f>
        <v>1856066.6538855</v>
      </c>
      <c r="P12" s="326">
        <f t="shared" si="13"/>
        <v>2041791.1300000001</v>
      </c>
      <c r="Q12" s="326">
        <f t="shared" si="14"/>
        <v>548837.99</v>
      </c>
      <c r="R12" s="716">
        <f t="shared" si="15"/>
        <v>2590629.12</v>
      </c>
      <c r="S12" s="326">
        <f t="shared" si="16"/>
        <v>734562.46611450007</v>
      </c>
      <c r="T12" s="137">
        <f t="shared" si="83"/>
        <v>1.3957629778956284</v>
      </c>
      <c r="U12" s="326">
        <f t="shared" si="18"/>
        <v>1435891.41</v>
      </c>
      <c r="V12" s="332">
        <f t="shared" ref="V12:V13" si="114">(U12*1.7245)*1.03</f>
        <v>2550480.5786413499</v>
      </c>
      <c r="W12" s="140">
        <f t="shared" si="19"/>
        <v>1521851.96</v>
      </c>
      <c r="X12" s="326">
        <f t="shared" si="20"/>
        <v>945556.25</v>
      </c>
      <c r="Y12" s="717">
        <f t="shared" si="21"/>
        <v>2467408.21</v>
      </c>
      <c r="Z12" s="123">
        <f t="shared" si="22"/>
        <v>-83072.368641349953</v>
      </c>
      <c r="AA12" s="137">
        <f t="shared" si="84"/>
        <v>0.96742873898471204</v>
      </c>
      <c r="AB12" s="326">
        <f t="shared" si="24"/>
        <v>759568.02</v>
      </c>
      <c r="AC12" s="326">
        <v>1800000</v>
      </c>
      <c r="AD12" s="326">
        <f t="shared" si="25"/>
        <v>1282581.45</v>
      </c>
      <c r="AE12" s="326">
        <f t="shared" si="26"/>
        <v>297327.28000000003</v>
      </c>
      <c r="AF12" s="716">
        <f t="shared" si="27"/>
        <v>1579908.73</v>
      </c>
      <c r="AG12" s="326">
        <f t="shared" si="28"/>
        <v>-220091.27000000002</v>
      </c>
      <c r="AH12" s="137">
        <f t="shared" si="29"/>
        <v>0.87772707222222224</v>
      </c>
      <c r="AI12" s="332">
        <f t="shared" si="30"/>
        <v>6206547.23252685</v>
      </c>
      <c r="AJ12" s="140">
        <f t="shared" si="31"/>
        <v>5922191.7400000002</v>
      </c>
      <c r="AK12" s="326">
        <f t="shared" si="32"/>
        <v>4846224.540000001</v>
      </c>
      <c r="AL12" s="326">
        <f t="shared" ref="AL12:AM12" si="115">SUM(AE12,X12,Q12)</f>
        <v>1791721.52</v>
      </c>
      <c r="AM12" s="326">
        <f t="shared" si="115"/>
        <v>6637946.0600000005</v>
      </c>
      <c r="AN12" s="326">
        <f t="shared" si="70"/>
        <v>431398.82747315057</v>
      </c>
      <c r="AO12" s="413">
        <f t="shared" si="79"/>
        <v>1.1208597005000045</v>
      </c>
      <c r="AP12" s="423">
        <f t="shared" si="35"/>
        <v>1011900.5</v>
      </c>
      <c r="AQ12" s="326">
        <f t="shared" si="36"/>
        <v>885921.72999999986</v>
      </c>
      <c r="AR12" s="326">
        <f t="shared" si="37"/>
        <v>708811.18</v>
      </c>
      <c r="AS12" s="333">
        <f t="shared" si="38"/>
        <v>1594732.91</v>
      </c>
      <c r="AT12" s="434">
        <f t="shared" si="39"/>
        <v>1559618.83</v>
      </c>
      <c r="AU12" s="140">
        <f t="shared" si="40"/>
        <v>1085429.1100000001</v>
      </c>
      <c r="AV12" s="326">
        <f t="shared" si="41"/>
        <v>732696.2</v>
      </c>
      <c r="AW12" s="333">
        <f t="shared" si="42"/>
        <v>1818125.31</v>
      </c>
      <c r="AX12" s="125">
        <f t="shared" si="43"/>
        <v>721266.88</v>
      </c>
      <c r="AY12" s="140">
        <f t="shared" si="44"/>
        <v>634995.28</v>
      </c>
      <c r="AZ12" s="326">
        <f t="shared" si="45"/>
        <v>219666.02</v>
      </c>
      <c r="BA12" s="332">
        <f t="shared" si="46"/>
        <v>854661.3</v>
      </c>
      <c r="BB12" s="122">
        <f t="shared" ref="BB12:BD12" si="116">AY12+AU12+AQ12</f>
        <v>2606346.12</v>
      </c>
      <c r="BC12" s="326">
        <f t="shared" si="116"/>
        <v>1661173.4</v>
      </c>
      <c r="BD12" s="332">
        <f t="shared" si="116"/>
        <v>4267519.5200000005</v>
      </c>
      <c r="BE12" s="122">
        <f t="shared" si="48"/>
        <v>7452570.6600000011</v>
      </c>
      <c r="BF12" s="326">
        <f t="shared" ref="BF12:BG12" si="117">AL12+BC12</f>
        <v>3452894.92</v>
      </c>
      <c r="BG12" s="435">
        <f t="shared" si="117"/>
        <v>10905465.580000002</v>
      </c>
      <c r="BH12" s="125">
        <f t="shared" si="50"/>
        <v>951981.45</v>
      </c>
      <c r="BI12" s="140">
        <f t="shared" si="51"/>
        <v>1203716.22</v>
      </c>
      <c r="BJ12" s="123">
        <f t="shared" si="52"/>
        <v>934760.3</v>
      </c>
      <c r="BK12" s="125">
        <f t="shared" si="53"/>
        <v>2138476.52</v>
      </c>
      <c r="BL12" s="296">
        <f t="shared" si="54"/>
        <v>2313393.7000000002</v>
      </c>
      <c r="BM12" s="140">
        <f t="shared" si="55"/>
        <v>1236785.1000000001</v>
      </c>
      <c r="BN12" s="326">
        <f t="shared" si="56"/>
        <v>809662.52</v>
      </c>
      <c r="BO12" s="332">
        <f t="shared" si="57"/>
        <v>2046447.62</v>
      </c>
      <c r="BP12" s="141">
        <f t="shared" si="58"/>
        <v>694690.53</v>
      </c>
      <c r="BQ12" s="140">
        <f t="shared" si="59"/>
        <v>1568100</v>
      </c>
      <c r="BR12" s="326">
        <f t="shared" si="60"/>
        <v>484187</v>
      </c>
      <c r="BS12" s="333">
        <f t="shared" si="61"/>
        <v>2052287</v>
      </c>
      <c r="BT12" s="113">
        <f t="shared" ref="BT12:BV12" si="118">SUM(BQ12,BM12,BI12)</f>
        <v>4008601.3200000003</v>
      </c>
      <c r="BU12" s="116">
        <f t="shared" si="118"/>
        <v>2228609.8200000003</v>
      </c>
      <c r="BV12" s="117">
        <f t="shared" si="118"/>
        <v>6237211.1400000006</v>
      </c>
      <c r="BW12" s="141">
        <f t="shared" si="63"/>
        <v>2495040.5299999998</v>
      </c>
      <c r="BX12" s="113">
        <f t="shared" si="64"/>
        <v>3920082.09</v>
      </c>
      <c r="BY12" s="114">
        <f t="shared" si="65"/>
        <v>407393.91</v>
      </c>
      <c r="BZ12" s="115">
        <f t="shared" si="66"/>
        <v>4327476</v>
      </c>
      <c r="CA12" s="123">
        <f t="shared" si="67"/>
        <v>1277396.52</v>
      </c>
      <c r="CB12" s="333">
        <f t="shared" si="68"/>
        <v>2149754.69</v>
      </c>
      <c r="CI12" s="231" t="s">
        <v>82</v>
      </c>
      <c r="CJ12" s="232"/>
      <c r="CK12" s="232"/>
      <c r="CY12" s="294"/>
      <c r="DF12" s="296"/>
    </row>
    <row r="13" spans="1:119" ht="15.75" customHeight="1">
      <c r="A13" s="420">
        <f t="shared" si="0"/>
        <v>112014211</v>
      </c>
      <c r="B13" s="565">
        <f t="shared" si="1"/>
        <v>8</v>
      </c>
      <c r="C13" s="558">
        <f t="shared" si="2"/>
        <v>0.1</v>
      </c>
      <c r="D13" s="558">
        <f t="shared" si="3"/>
        <v>0.2</v>
      </c>
      <c r="E13" s="715">
        <f t="shared" si="4"/>
        <v>0.23</v>
      </c>
      <c r="F13" s="701">
        <f t="shared" si="5"/>
        <v>8</v>
      </c>
      <c r="G13" s="700">
        <f t="shared" si="6"/>
        <v>0.1</v>
      </c>
      <c r="H13" s="700">
        <f t="shared" si="7"/>
        <v>0.2</v>
      </c>
      <c r="I13" s="700">
        <f t="shared" si="8"/>
        <v>0.23</v>
      </c>
      <c r="J13" s="547">
        <f t="shared" si="9"/>
        <v>62</v>
      </c>
      <c r="K13" s="699">
        <f t="shared" si="10"/>
        <v>0.1</v>
      </c>
      <c r="L13" s="702">
        <f t="shared" si="11"/>
        <v>0.11</v>
      </c>
      <c r="M13" s="139" t="s">
        <v>517</v>
      </c>
      <c r="N13" s="423">
        <f t="shared" si="12"/>
        <v>948407.39</v>
      </c>
      <c r="O13" s="326">
        <f t="shared" si="113"/>
        <v>1594320.2429595001</v>
      </c>
      <c r="P13" s="326">
        <f t="shared" si="13"/>
        <v>2047722.35</v>
      </c>
      <c r="Q13" s="326">
        <f t="shared" si="14"/>
        <v>2218992.6</v>
      </c>
      <c r="R13" s="716">
        <f t="shared" si="15"/>
        <v>4266714.95</v>
      </c>
      <c r="S13" s="326">
        <f t="shared" si="16"/>
        <v>2672394.7070404999</v>
      </c>
      <c r="T13" s="137">
        <f t="shared" si="83"/>
        <v>2.6761969364948883</v>
      </c>
      <c r="U13" s="326">
        <f t="shared" si="18"/>
        <v>1054682.44</v>
      </c>
      <c r="V13" s="332">
        <f t="shared" si="114"/>
        <v>1873363.8638133998</v>
      </c>
      <c r="W13" s="140">
        <f t="shared" si="19"/>
        <v>0</v>
      </c>
      <c r="X13" s="326">
        <f t="shared" si="20"/>
        <v>0</v>
      </c>
      <c r="Y13" s="717">
        <f t="shared" si="21"/>
        <v>0</v>
      </c>
      <c r="Z13" s="123">
        <f t="shared" si="22"/>
        <v>-1873363.8638133998</v>
      </c>
      <c r="AA13" s="137">
        <f t="shared" si="84"/>
        <v>0</v>
      </c>
      <c r="AB13" s="326">
        <f t="shared" si="24"/>
        <v>1642141.87</v>
      </c>
      <c r="AC13" s="326">
        <f>(AB13*1.5955)*1.05</f>
        <v>2751039.2212642501</v>
      </c>
      <c r="AD13" s="326">
        <f t="shared" si="25"/>
        <v>424017.25</v>
      </c>
      <c r="AE13" s="326">
        <f t="shared" si="26"/>
        <v>33188.32</v>
      </c>
      <c r="AF13" s="716">
        <f t="shared" si="27"/>
        <v>457205.57</v>
      </c>
      <c r="AG13" s="326">
        <f t="shared" si="28"/>
        <v>-2293833.6512642503</v>
      </c>
      <c r="AH13" s="137">
        <f t="shared" si="29"/>
        <v>0.16619376651049328</v>
      </c>
      <c r="AI13" s="332">
        <f t="shared" si="30"/>
        <v>6218723.3280371502</v>
      </c>
      <c r="AJ13" s="140">
        <f t="shared" si="31"/>
        <v>3119322.59</v>
      </c>
      <c r="AK13" s="326">
        <f t="shared" si="32"/>
        <v>2471739.6000000006</v>
      </c>
      <c r="AL13" s="326">
        <f t="shared" ref="AL13:AM13" si="119">SUM(AE13,X13,Q13)</f>
        <v>2252180.92</v>
      </c>
      <c r="AM13" s="326">
        <f t="shared" si="119"/>
        <v>4723920.5200000005</v>
      </c>
      <c r="AN13" s="326">
        <f t="shared" si="70"/>
        <v>-1494802.8080371497</v>
      </c>
      <c r="AO13" s="413">
        <f t="shared" si="79"/>
        <v>1.5144058954159021</v>
      </c>
      <c r="AP13" s="423">
        <f t="shared" si="35"/>
        <v>689272.01</v>
      </c>
      <c r="AQ13" s="326">
        <f t="shared" si="36"/>
        <v>605150.12</v>
      </c>
      <c r="AR13" s="326">
        <f t="shared" si="37"/>
        <v>1034338.61</v>
      </c>
      <c r="AS13" s="333">
        <f t="shared" si="38"/>
        <v>1639488.73</v>
      </c>
      <c r="AT13" s="434">
        <f t="shared" si="39"/>
        <v>2664286.65</v>
      </c>
      <c r="AU13" s="140">
        <f t="shared" si="40"/>
        <v>609881.24</v>
      </c>
      <c r="AV13" s="326">
        <f t="shared" si="41"/>
        <v>862537.78</v>
      </c>
      <c r="AW13" s="333">
        <f t="shared" si="42"/>
        <v>1472419.02</v>
      </c>
      <c r="AX13" s="125">
        <f t="shared" si="43"/>
        <v>509575.32</v>
      </c>
      <c r="AY13" s="140">
        <f t="shared" si="44"/>
        <v>167276.16000000003</v>
      </c>
      <c r="AZ13" s="326">
        <f t="shared" si="45"/>
        <v>873668.88</v>
      </c>
      <c r="BA13" s="332">
        <f t="shared" si="46"/>
        <v>1040945.04</v>
      </c>
      <c r="BB13" s="122">
        <f t="shared" ref="BB13:BD13" si="120">AY13+AU13+AQ13</f>
        <v>1382307.52</v>
      </c>
      <c r="BC13" s="326">
        <f t="shared" si="120"/>
        <v>2770545.27</v>
      </c>
      <c r="BD13" s="332">
        <f t="shared" si="120"/>
        <v>4152852.79</v>
      </c>
      <c r="BE13" s="122">
        <f t="shared" si="48"/>
        <v>3854047.1200000006</v>
      </c>
      <c r="BF13" s="326">
        <f t="shared" ref="BF13:BG13" si="121">AL13+BC13</f>
        <v>5022726.1899999995</v>
      </c>
      <c r="BG13" s="435">
        <f t="shared" si="121"/>
        <v>8876773.3100000005</v>
      </c>
      <c r="BH13" s="125">
        <f t="shared" si="50"/>
        <v>413705.64</v>
      </c>
      <c r="BI13" s="140">
        <f t="shared" si="51"/>
        <v>0</v>
      </c>
      <c r="BJ13" s="123">
        <f t="shared" si="52"/>
        <v>1573340.74</v>
      </c>
      <c r="BK13" s="125">
        <f t="shared" si="53"/>
        <v>1573340.74</v>
      </c>
      <c r="BL13" s="123">
        <f t="shared" si="54"/>
        <v>2161122.1800000002</v>
      </c>
      <c r="BM13" s="140">
        <f t="shared" si="55"/>
        <v>0</v>
      </c>
      <c r="BN13" s="326">
        <f t="shared" si="56"/>
        <v>162114.72</v>
      </c>
      <c r="BO13" s="332">
        <f t="shared" si="57"/>
        <v>162114.72</v>
      </c>
      <c r="BP13" s="141">
        <f t="shared" si="58"/>
        <v>1607315.91</v>
      </c>
      <c r="BQ13" s="140">
        <f t="shared" si="59"/>
        <v>0</v>
      </c>
      <c r="BR13" s="326">
        <f t="shared" si="60"/>
        <v>0</v>
      </c>
      <c r="BS13" s="333">
        <f t="shared" si="61"/>
        <v>0</v>
      </c>
      <c r="BT13" s="113">
        <f t="shared" ref="BT13:BV13" si="122">SUM(BQ13,BM13,BI13)</f>
        <v>0</v>
      </c>
      <c r="BU13" s="116">
        <f t="shared" si="122"/>
        <v>1735455.46</v>
      </c>
      <c r="BV13" s="117">
        <f t="shared" si="122"/>
        <v>1735455.46</v>
      </c>
      <c r="BW13" s="141">
        <f t="shared" si="63"/>
        <v>2758034.33</v>
      </c>
      <c r="BX13" s="113">
        <f t="shared" si="64"/>
        <v>0</v>
      </c>
      <c r="BY13" s="114">
        <f t="shared" si="65"/>
        <v>0</v>
      </c>
      <c r="BZ13" s="115">
        <f t="shared" si="66"/>
        <v>0</v>
      </c>
      <c r="CA13" s="123">
        <f t="shared" si="67"/>
        <v>361288.26</v>
      </c>
      <c r="CB13" s="333">
        <f t="shared" si="68"/>
        <v>0</v>
      </c>
      <c r="CI13" s="231" t="s">
        <v>84</v>
      </c>
      <c r="CJ13" s="231"/>
      <c r="CK13" s="231"/>
      <c r="CY13" s="294"/>
      <c r="DF13" s="296"/>
    </row>
    <row r="14" spans="1:119" ht="15.75" customHeight="1">
      <c r="A14" s="420">
        <f t="shared" si="0"/>
        <v>112013247</v>
      </c>
      <c r="B14" s="565">
        <f t="shared" si="1"/>
        <v>8</v>
      </c>
      <c r="C14" s="558">
        <f t="shared" si="2"/>
        <v>0.1</v>
      </c>
      <c r="D14" s="558">
        <f t="shared" si="3"/>
        <v>0.2</v>
      </c>
      <c r="E14" s="715">
        <f t="shared" si="4"/>
        <v>0.23</v>
      </c>
      <c r="F14" s="701">
        <f t="shared" si="5"/>
        <v>8</v>
      </c>
      <c r="G14" s="700">
        <f t="shared" si="6"/>
        <v>0.1</v>
      </c>
      <c r="H14" s="700">
        <f t="shared" si="7"/>
        <v>0.2</v>
      </c>
      <c r="I14" s="700">
        <f t="shared" si="8"/>
        <v>0.23</v>
      </c>
      <c r="J14" s="547">
        <f t="shared" si="9"/>
        <v>62</v>
      </c>
      <c r="K14" s="699">
        <f t="shared" si="10"/>
        <v>0.1</v>
      </c>
      <c r="L14" s="702">
        <f t="shared" si="11"/>
        <v>0.11</v>
      </c>
      <c r="M14" s="139" t="s">
        <v>518</v>
      </c>
      <c r="N14" s="423">
        <f t="shared" si="12"/>
        <v>1007939.21</v>
      </c>
      <c r="O14" s="326">
        <v>2500000</v>
      </c>
      <c r="P14" s="326">
        <f t="shared" si="13"/>
        <v>1820012.0699999998</v>
      </c>
      <c r="Q14" s="326">
        <f t="shared" si="14"/>
        <v>465393.12</v>
      </c>
      <c r="R14" s="716">
        <f t="shared" si="15"/>
        <v>2285405.19</v>
      </c>
      <c r="S14" s="326">
        <f t="shared" si="16"/>
        <v>-214594.81000000006</v>
      </c>
      <c r="T14" s="137">
        <f t="shared" si="83"/>
        <v>0.91416207599999999</v>
      </c>
      <c r="U14" s="326">
        <f t="shared" si="18"/>
        <v>772428.64</v>
      </c>
      <c r="V14" s="332">
        <v>2500000</v>
      </c>
      <c r="W14" s="140">
        <f t="shared" si="19"/>
        <v>1357857.76</v>
      </c>
      <c r="X14" s="326">
        <f t="shared" si="20"/>
        <v>552985.97</v>
      </c>
      <c r="Y14" s="717">
        <f t="shared" si="21"/>
        <v>1910843.73</v>
      </c>
      <c r="Z14" s="123">
        <f t="shared" si="22"/>
        <v>-589156.27</v>
      </c>
      <c r="AA14" s="137">
        <f t="shared" si="84"/>
        <v>0.76433749200000001</v>
      </c>
      <c r="AB14" s="326">
        <f t="shared" si="24"/>
        <v>670912.91</v>
      </c>
      <c r="AC14" s="326">
        <v>2500000</v>
      </c>
      <c r="AD14" s="326">
        <f t="shared" si="25"/>
        <v>2984971.8000000003</v>
      </c>
      <c r="AE14" s="326">
        <f t="shared" si="26"/>
        <v>156762.88</v>
      </c>
      <c r="AF14" s="716">
        <f t="shared" si="27"/>
        <v>3141734.68</v>
      </c>
      <c r="AG14" s="326">
        <f t="shared" si="28"/>
        <v>641734.68000000017</v>
      </c>
      <c r="AH14" s="137">
        <f t="shared" si="29"/>
        <v>1.256693872</v>
      </c>
      <c r="AI14" s="332">
        <f t="shared" si="30"/>
        <v>7500000</v>
      </c>
      <c r="AJ14" s="140">
        <f t="shared" si="31"/>
        <v>4332755.1100000003</v>
      </c>
      <c r="AK14" s="326">
        <f t="shared" si="32"/>
        <v>6162841.6299999999</v>
      </c>
      <c r="AL14" s="326">
        <f t="shared" ref="AL14:AM14" si="123">SUM(AE14,X14,Q14)</f>
        <v>1175141.97</v>
      </c>
      <c r="AM14" s="326">
        <f t="shared" si="123"/>
        <v>7337983.5999999996</v>
      </c>
      <c r="AN14" s="326">
        <f t="shared" si="70"/>
        <v>-162016.40000000037</v>
      </c>
      <c r="AO14" s="413">
        <f t="shared" si="79"/>
        <v>1.6936068191493054</v>
      </c>
      <c r="AP14" s="423">
        <f t="shared" si="35"/>
        <v>1011997.19</v>
      </c>
      <c r="AQ14" s="326">
        <f t="shared" si="36"/>
        <v>714079.5199999999</v>
      </c>
      <c r="AR14" s="326">
        <f t="shared" si="37"/>
        <v>538881.42000000004</v>
      </c>
      <c r="AS14" s="333">
        <f t="shared" si="38"/>
        <v>1252960.94</v>
      </c>
      <c r="AT14" s="434">
        <f t="shared" si="39"/>
        <v>714181.1</v>
      </c>
      <c r="AU14" s="140">
        <f t="shared" si="40"/>
        <v>991015.58999999985</v>
      </c>
      <c r="AV14" s="326">
        <f t="shared" si="41"/>
        <v>780528.8</v>
      </c>
      <c r="AW14" s="333">
        <f t="shared" si="42"/>
        <v>1771544.39</v>
      </c>
      <c r="AX14" s="125">
        <f t="shared" si="43"/>
        <v>217427.03</v>
      </c>
      <c r="AY14" s="140">
        <f t="shared" si="44"/>
        <v>158643.31</v>
      </c>
      <c r="AZ14" s="326">
        <f t="shared" si="45"/>
        <v>0</v>
      </c>
      <c r="BA14" s="332">
        <f t="shared" si="46"/>
        <v>158643.31</v>
      </c>
      <c r="BB14" s="122">
        <f t="shared" ref="BB14:BD14" si="124">AY14+AU14+AQ14</f>
        <v>1863738.42</v>
      </c>
      <c r="BC14" s="326">
        <f t="shared" si="124"/>
        <v>1319410.2200000002</v>
      </c>
      <c r="BD14" s="332">
        <f t="shared" si="124"/>
        <v>3183148.6399999997</v>
      </c>
      <c r="BE14" s="122">
        <f t="shared" si="48"/>
        <v>8026580.0499999998</v>
      </c>
      <c r="BF14" s="326">
        <f t="shared" ref="BF14:BG14" si="125">AL14+BC14</f>
        <v>2494552.1900000004</v>
      </c>
      <c r="BG14" s="435">
        <f t="shared" si="125"/>
        <v>10521132.239999998</v>
      </c>
      <c r="BH14" s="125">
        <f t="shared" si="50"/>
        <v>965072.5</v>
      </c>
      <c r="BI14" s="140">
        <f t="shared" si="51"/>
        <v>504136.15</v>
      </c>
      <c r="BJ14" s="123">
        <f t="shared" si="52"/>
        <v>445328.23</v>
      </c>
      <c r="BK14" s="125">
        <f t="shared" si="53"/>
        <v>949464.38</v>
      </c>
      <c r="BL14" s="123">
        <f t="shared" si="54"/>
        <v>695104.89</v>
      </c>
      <c r="BM14" s="140">
        <f t="shared" si="55"/>
        <v>0</v>
      </c>
      <c r="BN14" s="326">
        <f t="shared" si="56"/>
        <v>982058.47</v>
      </c>
      <c r="BO14" s="332">
        <f t="shared" si="57"/>
        <v>982058.47</v>
      </c>
      <c r="BP14" s="141">
        <f t="shared" si="58"/>
        <v>736930.59</v>
      </c>
      <c r="BQ14" s="140">
        <f t="shared" si="59"/>
        <v>1667403.07</v>
      </c>
      <c r="BR14" s="326">
        <f t="shared" si="60"/>
        <v>0</v>
      </c>
      <c r="BS14" s="333">
        <f t="shared" si="61"/>
        <v>1667403.07</v>
      </c>
      <c r="BT14" s="113">
        <f t="shared" ref="BT14:BV14" si="126">SUM(BQ14,BM14,BI14)</f>
        <v>2171539.2200000002</v>
      </c>
      <c r="BU14" s="116">
        <f t="shared" si="126"/>
        <v>1427386.7</v>
      </c>
      <c r="BV14" s="117">
        <f t="shared" si="126"/>
        <v>3598925.92</v>
      </c>
      <c r="BW14" s="141">
        <f t="shared" si="63"/>
        <v>914140.06</v>
      </c>
      <c r="BX14" s="113">
        <f t="shared" si="64"/>
        <v>1245640.8199999998</v>
      </c>
      <c r="BY14" s="114">
        <f t="shared" si="65"/>
        <v>316930.09999999998</v>
      </c>
      <c r="BZ14" s="115">
        <f t="shared" si="66"/>
        <v>1562570.92</v>
      </c>
      <c r="CA14" s="123">
        <f t="shared" si="67"/>
        <v>1248943.33</v>
      </c>
      <c r="CB14" s="333">
        <f t="shared" si="68"/>
        <v>2169671.7200000002</v>
      </c>
      <c r="CI14" s="231" t="s">
        <v>86</v>
      </c>
      <c r="CJ14" s="232"/>
      <c r="CK14" s="232"/>
      <c r="CY14" s="294"/>
      <c r="DF14" s="296"/>
    </row>
    <row r="15" spans="1:119" ht="15.75" customHeight="1">
      <c r="A15" s="420">
        <f t="shared" si="0"/>
        <v>112014104</v>
      </c>
      <c r="B15" s="565">
        <f t="shared" si="1"/>
        <v>8</v>
      </c>
      <c r="C15" s="558">
        <f t="shared" si="2"/>
        <v>0.1</v>
      </c>
      <c r="D15" s="558">
        <f t="shared" si="3"/>
        <v>0.2</v>
      </c>
      <c r="E15" s="715">
        <f t="shared" si="4"/>
        <v>0.23</v>
      </c>
      <c r="F15" s="701">
        <f t="shared" si="5"/>
        <v>8</v>
      </c>
      <c r="G15" s="700">
        <f t="shared" si="6"/>
        <v>0.1</v>
      </c>
      <c r="H15" s="700">
        <f t="shared" si="7"/>
        <v>0.2</v>
      </c>
      <c r="I15" s="700">
        <f t="shared" si="8"/>
        <v>0.23</v>
      </c>
      <c r="J15" s="547">
        <f t="shared" si="9"/>
        <v>62</v>
      </c>
      <c r="K15" s="699">
        <f t="shared" si="10"/>
        <v>0.1</v>
      </c>
      <c r="L15" s="702">
        <f t="shared" si="11"/>
        <v>0.11</v>
      </c>
      <c r="M15" s="139" t="s">
        <v>519</v>
      </c>
      <c r="N15" s="423">
        <f t="shared" si="12"/>
        <v>0</v>
      </c>
      <c r="O15" s="326">
        <v>1800000</v>
      </c>
      <c r="P15" s="326">
        <f t="shared" si="13"/>
        <v>1781617.45</v>
      </c>
      <c r="Q15" s="326">
        <f t="shared" si="14"/>
        <v>508379.03</v>
      </c>
      <c r="R15" s="716">
        <f t="shared" si="15"/>
        <v>2289996.48</v>
      </c>
      <c r="S15" s="326">
        <f t="shared" si="16"/>
        <v>489996.48</v>
      </c>
      <c r="T15" s="137">
        <f t="shared" si="83"/>
        <v>1.2722202666666667</v>
      </c>
      <c r="U15" s="326">
        <f t="shared" si="18"/>
        <v>755849.33</v>
      </c>
      <c r="V15" s="332">
        <v>1800000</v>
      </c>
      <c r="W15" s="140">
        <f t="shared" si="19"/>
        <v>204300</v>
      </c>
      <c r="X15" s="326">
        <f t="shared" si="20"/>
        <v>0</v>
      </c>
      <c r="Y15" s="717">
        <f t="shared" si="21"/>
        <v>204300</v>
      </c>
      <c r="Z15" s="123">
        <f t="shared" si="22"/>
        <v>-1595700</v>
      </c>
      <c r="AA15" s="137">
        <f t="shared" si="84"/>
        <v>0.1135</v>
      </c>
      <c r="AB15" s="326">
        <f t="shared" si="24"/>
        <v>1166471.48</v>
      </c>
      <c r="AC15" s="326">
        <f>(AB15*1.5955)*1.05</f>
        <v>1954160.508657</v>
      </c>
      <c r="AD15" s="326">
        <f t="shared" si="25"/>
        <v>0</v>
      </c>
      <c r="AE15" s="326">
        <f t="shared" si="26"/>
        <v>345257.29</v>
      </c>
      <c r="AF15" s="716">
        <f t="shared" si="27"/>
        <v>345257.29</v>
      </c>
      <c r="AG15" s="326">
        <f t="shared" si="28"/>
        <v>-1608903.218657</v>
      </c>
      <c r="AH15" s="137">
        <f t="shared" si="29"/>
        <v>0.17667806122910476</v>
      </c>
      <c r="AI15" s="332">
        <f t="shared" si="30"/>
        <v>5554160.508657</v>
      </c>
      <c r="AJ15" s="140">
        <f t="shared" si="31"/>
        <v>3531341.1</v>
      </c>
      <c r="AK15" s="326">
        <f t="shared" si="32"/>
        <v>1985917.45</v>
      </c>
      <c r="AL15" s="326">
        <f t="shared" ref="AL15:AM15" si="127">SUM(AE15,X15,Q15)</f>
        <v>853636.32000000007</v>
      </c>
      <c r="AM15" s="326">
        <f t="shared" si="127"/>
        <v>2839553.77</v>
      </c>
      <c r="AN15" s="326">
        <f t="shared" si="70"/>
        <v>-2714606.738657</v>
      </c>
      <c r="AO15" s="413">
        <f t="shared" si="79"/>
        <v>0.8041006772186351</v>
      </c>
      <c r="AP15" s="423">
        <f t="shared" si="35"/>
        <v>0</v>
      </c>
      <c r="AQ15" s="326">
        <f t="shared" si="36"/>
        <v>5122887.59</v>
      </c>
      <c r="AR15" s="326">
        <f t="shared" si="37"/>
        <v>0</v>
      </c>
      <c r="AS15" s="333">
        <f t="shared" si="38"/>
        <v>5122887.59</v>
      </c>
      <c r="AT15" s="434">
        <f t="shared" si="39"/>
        <v>347240.38</v>
      </c>
      <c r="AU15" s="140">
        <f t="shared" si="40"/>
        <v>0</v>
      </c>
      <c r="AV15" s="326">
        <f t="shared" si="41"/>
        <v>0</v>
      </c>
      <c r="AW15" s="333">
        <f t="shared" si="42"/>
        <v>0</v>
      </c>
      <c r="AX15" s="125">
        <f t="shared" si="43"/>
        <v>575806</v>
      </c>
      <c r="AY15" s="140">
        <f t="shared" si="44"/>
        <v>54621.02</v>
      </c>
      <c r="AZ15" s="326">
        <f t="shared" si="45"/>
        <v>0</v>
      </c>
      <c r="BA15" s="332">
        <f t="shared" si="46"/>
        <v>54621.02</v>
      </c>
      <c r="BB15" s="122">
        <f t="shared" ref="BB15:BD15" si="128">AY15+AU15+AQ15</f>
        <v>5177508.6099999994</v>
      </c>
      <c r="BC15" s="326">
        <f t="shared" si="128"/>
        <v>0</v>
      </c>
      <c r="BD15" s="332">
        <f t="shared" si="128"/>
        <v>5177508.6099999994</v>
      </c>
      <c r="BE15" s="122">
        <f t="shared" si="48"/>
        <v>7163426.0599999996</v>
      </c>
      <c r="BF15" s="326">
        <f t="shared" ref="BF15:BG15" si="129">AL15+BC15</f>
        <v>853636.32000000007</v>
      </c>
      <c r="BG15" s="435">
        <f t="shared" si="129"/>
        <v>8017062.379999999</v>
      </c>
      <c r="BH15" s="125">
        <f t="shared" si="50"/>
        <v>431854.5</v>
      </c>
      <c r="BI15" s="140">
        <f t="shared" si="51"/>
        <v>39366.9</v>
      </c>
      <c r="BJ15" s="123">
        <f t="shared" si="52"/>
        <v>0</v>
      </c>
      <c r="BK15" s="125">
        <f t="shared" si="53"/>
        <v>39366.9</v>
      </c>
      <c r="BL15" s="123">
        <f t="shared" si="54"/>
        <v>575806</v>
      </c>
      <c r="BM15" s="140">
        <f t="shared" si="55"/>
        <v>155678.84</v>
      </c>
      <c r="BN15" s="326">
        <f t="shared" si="56"/>
        <v>0</v>
      </c>
      <c r="BO15" s="332">
        <f t="shared" si="57"/>
        <v>155678.84</v>
      </c>
      <c r="BP15" s="141">
        <f t="shared" si="58"/>
        <v>1143296.6100000001</v>
      </c>
      <c r="BQ15" s="140">
        <f t="shared" si="59"/>
        <v>0</v>
      </c>
      <c r="BR15" s="326">
        <f t="shared" si="60"/>
        <v>0</v>
      </c>
      <c r="BS15" s="333">
        <f t="shared" si="61"/>
        <v>0</v>
      </c>
      <c r="BT15" s="113">
        <f t="shared" ref="BT15:BV15" si="130">SUM(BQ15,BM15,BI15)</f>
        <v>195045.74</v>
      </c>
      <c r="BU15" s="116">
        <f t="shared" si="130"/>
        <v>0</v>
      </c>
      <c r="BV15" s="117">
        <f t="shared" si="130"/>
        <v>195045.74</v>
      </c>
      <c r="BW15" s="141">
        <f t="shared" si="63"/>
        <v>758154.6</v>
      </c>
      <c r="BX15" s="113">
        <f t="shared" si="64"/>
        <v>0</v>
      </c>
      <c r="BY15" s="114">
        <f t="shared" si="65"/>
        <v>0</v>
      </c>
      <c r="BZ15" s="115">
        <f t="shared" si="66"/>
        <v>0</v>
      </c>
      <c r="CA15" s="123">
        <f t="shared" si="67"/>
        <v>970747.2</v>
      </c>
      <c r="CB15" s="333">
        <f t="shared" si="68"/>
        <v>1802439.3</v>
      </c>
      <c r="CI15" s="231" t="s">
        <v>88</v>
      </c>
      <c r="CJ15" s="231"/>
      <c r="CK15" s="231"/>
      <c r="CY15" s="294"/>
      <c r="DF15" s="296"/>
    </row>
    <row r="16" spans="1:119" ht="15.75" customHeight="1">
      <c r="A16" s="420">
        <f t="shared" si="0"/>
        <v>112014202</v>
      </c>
      <c r="B16" s="565">
        <f t="shared" si="1"/>
        <v>8</v>
      </c>
      <c r="C16" s="558">
        <f t="shared" si="2"/>
        <v>0.1</v>
      </c>
      <c r="D16" s="558">
        <f t="shared" si="3"/>
        <v>0.2</v>
      </c>
      <c r="E16" s="715">
        <f t="shared" si="4"/>
        <v>0.23</v>
      </c>
      <c r="F16" s="701">
        <f t="shared" si="5"/>
        <v>8</v>
      </c>
      <c r="G16" s="700">
        <f t="shared" si="6"/>
        <v>0.1</v>
      </c>
      <c r="H16" s="700">
        <f t="shared" si="7"/>
        <v>0.2</v>
      </c>
      <c r="I16" s="700">
        <f t="shared" si="8"/>
        <v>0.23</v>
      </c>
      <c r="J16" s="547">
        <f t="shared" si="9"/>
        <v>62</v>
      </c>
      <c r="K16" s="699">
        <f t="shared" si="10"/>
        <v>0.1</v>
      </c>
      <c r="L16" s="702">
        <f t="shared" si="11"/>
        <v>0.11</v>
      </c>
      <c r="M16" s="139" t="s">
        <v>520</v>
      </c>
      <c r="N16" s="423">
        <f t="shared" si="12"/>
        <v>1032462.57</v>
      </c>
      <c r="O16" s="326">
        <v>1800000</v>
      </c>
      <c r="P16" s="326">
        <f t="shared" si="13"/>
        <v>1361420.15</v>
      </c>
      <c r="Q16" s="326">
        <f t="shared" si="14"/>
        <v>1540463.02</v>
      </c>
      <c r="R16" s="716">
        <f t="shared" si="15"/>
        <v>2901883.17</v>
      </c>
      <c r="S16" s="326">
        <f t="shared" si="16"/>
        <v>1101883.17</v>
      </c>
      <c r="T16" s="137">
        <f t="shared" si="83"/>
        <v>1.6121573166666667</v>
      </c>
      <c r="U16" s="326">
        <f t="shared" si="18"/>
        <v>1134872.73</v>
      </c>
      <c r="V16" s="332">
        <f t="shared" ref="V16:V17" si="131">(U16*1.7245)*1.03</f>
        <v>2015800.6635715498</v>
      </c>
      <c r="W16" s="140">
        <f t="shared" si="19"/>
        <v>457986.44000000006</v>
      </c>
      <c r="X16" s="326">
        <f t="shared" si="20"/>
        <v>918783.6</v>
      </c>
      <c r="Y16" s="717">
        <f t="shared" si="21"/>
        <v>1376770.04</v>
      </c>
      <c r="Z16" s="123">
        <f t="shared" si="22"/>
        <v>-639030.62357154978</v>
      </c>
      <c r="AA16" s="137">
        <f t="shared" si="84"/>
        <v>0.68298917888074817</v>
      </c>
      <c r="AB16" s="326">
        <f t="shared" si="24"/>
        <v>768780.93</v>
      </c>
      <c r="AC16" s="326">
        <v>1800000</v>
      </c>
      <c r="AD16" s="326">
        <f t="shared" si="25"/>
        <v>1787872.48</v>
      </c>
      <c r="AE16" s="326">
        <f t="shared" si="26"/>
        <v>1438494.42</v>
      </c>
      <c r="AF16" s="716">
        <f t="shared" si="27"/>
        <v>3226366.9</v>
      </c>
      <c r="AG16" s="326">
        <f t="shared" si="28"/>
        <v>1426366.9</v>
      </c>
      <c r="AH16" s="137">
        <f t="shared" si="29"/>
        <v>1.7924260555555556</v>
      </c>
      <c r="AI16" s="332">
        <f t="shared" si="30"/>
        <v>5615800.6635715496</v>
      </c>
      <c r="AJ16" s="140">
        <f t="shared" si="31"/>
        <v>8902212.6999999993</v>
      </c>
      <c r="AK16" s="326">
        <f t="shared" si="32"/>
        <v>3607279.0699999994</v>
      </c>
      <c r="AL16" s="326">
        <f t="shared" ref="AL16:AM16" si="132">SUM(AE16,X16,Q16)</f>
        <v>3897741.04</v>
      </c>
      <c r="AM16" s="326">
        <f t="shared" si="132"/>
        <v>7505020.1099999994</v>
      </c>
      <c r="AN16" s="326">
        <f t="shared" si="70"/>
        <v>1889219.4464284498</v>
      </c>
      <c r="AO16" s="413">
        <f t="shared" si="79"/>
        <v>0.84305108886018865</v>
      </c>
      <c r="AP16" s="423">
        <f t="shared" si="35"/>
        <v>1504275.38</v>
      </c>
      <c r="AQ16" s="326">
        <f t="shared" si="36"/>
        <v>808778.1100000001</v>
      </c>
      <c r="AR16" s="326">
        <f t="shared" si="37"/>
        <v>1394532.93</v>
      </c>
      <c r="AS16" s="333">
        <f t="shared" si="38"/>
        <v>2203311.04</v>
      </c>
      <c r="AT16" s="434">
        <f t="shared" si="39"/>
        <v>1513237.22</v>
      </c>
      <c r="AU16" s="140">
        <f t="shared" si="40"/>
        <v>606579.16999999993</v>
      </c>
      <c r="AV16" s="326">
        <f t="shared" si="41"/>
        <v>1458468.58</v>
      </c>
      <c r="AW16" s="333">
        <f t="shared" si="42"/>
        <v>2065047.75</v>
      </c>
      <c r="AX16" s="125">
        <f t="shared" si="43"/>
        <v>1580638.98</v>
      </c>
      <c r="AY16" s="140">
        <f t="shared" si="44"/>
        <v>467420.9</v>
      </c>
      <c r="AZ16" s="326">
        <f t="shared" si="45"/>
        <v>969219.36</v>
      </c>
      <c r="BA16" s="332">
        <f t="shared" si="46"/>
        <v>1436640.26</v>
      </c>
      <c r="BB16" s="122">
        <f t="shared" ref="BB16:BD16" si="133">AY16+AU16+AQ16</f>
        <v>1882778.18</v>
      </c>
      <c r="BC16" s="326">
        <f t="shared" si="133"/>
        <v>3822220.87</v>
      </c>
      <c r="BD16" s="332">
        <f t="shared" si="133"/>
        <v>5704999.0499999998</v>
      </c>
      <c r="BE16" s="122">
        <f t="shared" si="48"/>
        <v>5490057.2499999991</v>
      </c>
      <c r="BF16" s="326">
        <f t="shared" ref="BF16:BG16" si="134">AL16+BC16</f>
        <v>7719961.9100000001</v>
      </c>
      <c r="BG16" s="435">
        <f t="shared" si="134"/>
        <v>13210019.16</v>
      </c>
      <c r="BH16" s="125">
        <f t="shared" si="50"/>
        <v>1642458.33</v>
      </c>
      <c r="BI16" s="140">
        <f t="shared" si="51"/>
        <v>1220130.4299999997</v>
      </c>
      <c r="BJ16" s="123">
        <f t="shared" si="52"/>
        <v>3085438.38</v>
      </c>
      <c r="BK16" s="125">
        <f t="shared" si="53"/>
        <v>4305568.8099999996</v>
      </c>
      <c r="BL16" s="123">
        <f t="shared" si="54"/>
        <v>2489587.7400000002</v>
      </c>
      <c r="BM16" s="140">
        <f t="shared" si="55"/>
        <v>1635102.13</v>
      </c>
      <c r="BN16" s="326">
        <f t="shared" si="56"/>
        <v>1397877.92</v>
      </c>
      <c r="BO16" s="332">
        <f t="shared" si="57"/>
        <v>3032980.05</v>
      </c>
      <c r="BP16" s="141">
        <f t="shared" si="58"/>
        <v>1324266.21</v>
      </c>
      <c r="BQ16" s="140">
        <f t="shared" si="59"/>
        <v>0</v>
      </c>
      <c r="BR16" s="326">
        <f t="shared" si="60"/>
        <v>0</v>
      </c>
      <c r="BS16" s="333">
        <f t="shared" si="61"/>
        <v>0</v>
      </c>
      <c r="BT16" s="113">
        <f t="shared" ref="BT16:BV16" si="135">SUM(BQ16,BM16,BI16)</f>
        <v>2855232.5599999996</v>
      </c>
      <c r="BU16" s="116">
        <f t="shared" si="135"/>
        <v>4483316.3</v>
      </c>
      <c r="BV16" s="117">
        <f t="shared" si="135"/>
        <v>7338548.8599999994</v>
      </c>
      <c r="BW16" s="141">
        <f t="shared" si="63"/>
        <v>2751094.47</v>
      </c>
      <c r="BX16" s="113">
        <f t="shared" si="64"/>
        <v>0</v>
      </c>
      <c r="BY16" s="114">
        <f t="shared" si="65"/>
        <v>0</v>
      </c>
      <c r="BZ16" s="115">
        <f t="shared" si="66"/>
        <v>0</v>
      </c>
      <c r="CA16" s="123">
        <f t="shared" si="67"/>
        <v>2677189.4</v>
      </c>
      <c r="CB16" s="333">
        <f t="shared" si="68"/>
        <v>3473928.83</v>
      </c>
      <c r="CI16" s="231" t="s">
        <v>90</v>
      </c>
      <c r="CJ16" s="231"/>
      <c r="CK16" s="231"/>
      <c r="CY16" s="294"/>
      <c r="DF16" s="296"/>
    </row>
    <row r="17" spans="1:110" ht="15.75" customHeight="1">
      <c r="A17" s="420">
        <f t="shared" si="0"/>
        <v>112013279</v>
      </c>
      <c r="B17" s="565">
        <f t="shared" si="1"/>
        <v>31</v>
      </c>
      <c r="C17" s="558">
        <f t="shared" si="2"/>
        <v>0.1</v>
      </c>
      <c r="D17" s="558">
        <f t="shared" si="3"/>
        <v>0.23</v>
      </c>
      <c r="E17" s="715">
        <f t="shared" si="4"/>
        <v>0</v>
      </c>
      <c r="F17" s="701">
        <f t="shared" si="5"/>
        <v>31</v>
      </c>
      <c r="G17" s="700">
        <f t="shared" si="6"/>
        <v>0.1</v>
      </c>
      <c r="H17" s="700">
        <f t="shared" si="7"/>
        <v>0.23</v>
      </c>
      <c r="I17" s="700">
        <f t="shared" si="8"/>
        <v>0</v>
      </c>
      <c r="J17" s="547">
        <f t="shared" si="9"/>
        <v>61</v>
      </c>
      <c r="K17" s="699">
        <f t="shared" si="10"/>
        <v>0.1</v>
      </c>
      <c r="L17" s="702">
        <f t="shared" si="11"/>
        <v>0.14000000000000001</v>
      </c>
      <c r="M17" s="736" t="s">
        <v>521</v>
      </c>
      <c r="N17" s="423">
        <f t="shared" si="12"/>
        <v>777224.94</v>
      </c>
      <c r="O17" s="326">
        <v>1800000</v>
      </c>
      <c r="P17" s="326">
        <f t="shared" si="13"/>
        <v>2535370.3899999997</v>
      </c>
      <c r="Q17" s="326">
        <f t="shared" si="14"/>
        <v>3534645.88</v>
      </c>
      <c r="R17" s="716">
        <f t="shared" si="15"/>
        <v>6070016.2699999996</v>
      </c>
      <c r="S17" s="326">
        <f t="shared" si="16"/>
        <v>4270016.2699999996</v>
      </c>
      <c r="T17" s="137">
        <f t="shared" si="83"/>
        <v>3.3722312611111107</v>
      </c>
      <c r="U17" s="326">
        <f t="shared" si="18"/>
        <v>2085703.86</v>
      </c>
      <c r="V17" s="332">
        <f t="shared" si="131"/>
        <v>3704700.1957671</v>
      </c>
      <c r="W17" s="140">
        <f t="shared" si="19"/>
        <v>103527</v>
      </c>
      <c r="X17" s="326">
        <f t="shared" si="20"/>
        <v>3031729.38</v>
      </c>
      <c r="Y17" s="717">
        <f t="shared" si="21"/>
        <v>3135256.38</v>
      </c>
      <c r="Z17" s="123">
        <f t="shared" si="22"/>
        <v>-569443.81576710008</v>
      </c>
      <c r="AA17" s="137">
        <f t="shared" si="84"/>
        <v>0.84629152544712449</v>
      </c>
      <c r="AB17" s="326">
        <f t="shared" si="24"/>
        <v>977456.76</v>
      </c>
      <c r="AC17" s="326">
        <v>1800000</v>
      </c>
      <c r="AD17" s="326">
        <f t="shared" si="25"/>
        <v>1502730.29</v>
      </c>
      <c r="AE17" s="326">
        <f t="shared" si="26"/>
        <v>3408598.04</v>
      </c>
      <c r="AF17" s="716">
        <f t="shared" si="27"/>
        <v>4911328.33</v>
      </c>
      <c r="AG17" s="326">
        <f t="shared" si="28"/>
        <v>3111328.33</v>
      </c>
      <c r="AH17" s="137">
        <f t="shared" si="29"/>
        <v>2.728515738888889</v>
      </c>
      <c r="AI17" s="332">
        <f t="shared" si="30"/>
        <v>7304700.1957671</v>
      </c>
      <c r="AJ17" s="140">
        <f t="shared" si="31"/>
        <v>14054648.01</v>
      </c>
      <c r="AK17" s="326">
        <f t="shared" si="32"/>
        <v>4141627.6799999997</v>
      </c>
      <c r="AL17" s="326">
        <f t="shared" ref="AL17:AM17" si="136">SUM(AE17,X17,Q17)</f>
        <v>9974973.3000000007</v>
      </c>
      <c r="AM17" s="326">
        <f t="shared" si="136"/>
        <v>14116600.98</v>
      </c>
      <c r="AN17" s="326">
        <f t="shared" si="70"/>
        <v>6811900.7842329005</v>
      </c>
      <c r="AO17" s="413">
        <f t="shared" si="79"/>
        <v>1.0044080058039107</v>
      </c>
      <c r="AP17" s="423">
        <f t="shared" si="35"/>
        <v>164401.78</v>
      </c>
      <c r="AQ17" s="326">
        <f t="shared" si="36"/>
        <v>93615.009999999776</v>
      </c>
      <c r="AR17" s="326">
        <f t="shared" si="37"/>
        <v>4159508.58</v>
      </c>
      <c r="AS17" s="333">
        <f t="shared" si="38"/>
        <v>4253123.59</v>
      </c>
      <c r="AT17" s="434">
        <f t="shared" si="39"/>
        <v>1584565.16</v>
      </c>
      <c r="AU17" s="140">
        <f t="shared" si="40"/>
        <v>665987.91000000015</v>
      </c>
      <c r="AV17" s="326">
        <f t="shared" si="41"/>
        <v>3016822.23</v>
      </c>
      <c r="AW17" s="333">
        <f t="shared" si="42"/>
        <v>3682810.14</v>
      </c>
      <c r="AX17" s="125">
        <f t="shared" si="43"/>
        <v>1334734.02</v>
      </c>
      <c r="AY17" s="140">
        <f t="shared" si="44"/>
        <v>365355.51999999955</v>
      </c>
      <c r="AZ17" s="326">
        <f t="shared" si="45"/>
        <v>4682468.45</v>
      </c>
      <c r="BA17" s="332">
        <f t="shared" si="46"/>
        <v>5047823.97</v>
      </c>
      <c r="BB17" s="122">
        <f t="shared" ref="BB17:BD17" si="137">AY17+AU17+AQ17</f>
        <v>1124958.4399999995</v>
      </c>
      <c r="BC17" s="326">
        <f t="shared" si="137"/>
        <v>11858799.26</v>
      </c>
      <c r="BD17" s="332">
        <f t="shared" si="137"/>
        <v>12983757.699999999</v>
      </c>
      <c r="BE17" s="122">
        <f t="shared" si="48"/>
        <v>5266586.1199999992</v>
      </c>
      <c r="BF17" s="326">
        <f t="shared" ref="BF17:BG17" si="138">AL17+BC17</f>
        <v>21833772.560000002</v>
      </c>
      <c r="BG17" s="435">
        <f t="shared" si="138"/>
        <v>27100358.68</v>
      </c>
      <c r="BH17" s="125">
        <f t="shared" si="50"/>
        <v>1259365.32</v>
      </c>
      <c r="BI17" s="140">
        <f t="shared" si="51"/>
        <v>392505.78000000026</v>
      </c>
      <c r="BJ17" s="123">
        <f t="shared" si="52"/>
        <v>5254929.2</v>
      </c>
      <c r="BK17" s="125">
        <f t="shared" si="53"/>
        <v>5647434.9800000004</v>
      </c>
      <c r="BL17" s="123">
        <f t="shared" si="54"/>
        <v>1898781.59</v>
      </c>
      <c r="BM17" s="140">
        <f t="shared" si="55"/>
        <v>0</v>
      </c>
      <c r="BN17" s="326">
        <f t="shared" si="56"/>
        <v>3467323.01</v>
      </c>
      <c r="BO17" s="332">
        <f t="shared" si="57"/>
        <v>3467323.01</v>
      </c>
      <c r="BP17" s="141">
        <f t="shared" si="58"/>
        <v>1941472.49</v>
      </c>
      <c r="BQ17" s="140">
        <f t="shared" si="59"/>
        <v>300183.56999999937</v>
      </c>
      <c r="BR17" s="326">
        <f t="shared" si="60"/>
        <v>5077615.82</v>
      </c>
      <c r="BS17" s="333">
        <f t="shared" si="61"/>
        <v>5377799.3899999997</v>
      </c>
      <c r="BT17" s="113">
        <f t="shared" ref="BT17:BV17" si="139">SUM(BQ17,BM17,BI17)</f>
        <v>692689.34999999963</v>
      </c>
      <c r="BU17" s="116">
        <f t="shared" si="139"/>
        <v>13799868.030000001</v>
      </c>
      <c r="BV17" s="117">
        <f t="shared" si="139"/>
        <v>14492557.379999999</v>
      </c>
      <c r="BW17" s="141">
        <f t="shared" si="63"/>
        <v>5618106.3799999999</v>
      </c>
      <c r="BX17" s="113">
        <f t="shared" si="64"/>
        <v>1126108.8499999996</v>
      </c>
      <c r="BY17" s="114">
        <f t="shared" si="65"/>
        <v>3251692</v>
      </c>
      <c r="BZ17" s="115">
        <f t="shared" si="66"/>
        <v>4377800.8499999996</v>
      </c>
      <c r="CA17" s="123">
        <f t="shared" si="67"/>
        <v>3423494.87</v>
      </c>
      <c r="CB17" s="333">
        <f t="shared" si="68"/>
        <v>5013046.76</v>
      </c>
      <c r="CI17" s="231" t="s">
        <v>92</v>
      </c>
      <c r="CJ17" s="232"/>
      <c r="CK17" s="232"/>
      <c r="CY17" s="294"/>
      <c r="DF17" s="296"/>
    </row>
    <row r="18" spans="1:110" ht="15.75" customHeight="1">
      <c r="A18" s="420">
        <f t="shared" si="0"/>
        <v>112014477</v>
      </c>
      <c r="B18" s="565">
        <f t="shared" si="1"/>
        <v>31</v>
      </c>
      <c r="C18" s="558">
        <f t="shared" si="2"/>
        <v>0.1</v>
      </c>
      <c r="D18" s="558">
        <f t="shared" si="3"/>
        <v>0.23</v>
      </c>
      <c r="E18" s="715">
        <f t="shared" si="4"/>
        <v>0</v>
      </c>
      <c r="F18" s="701">
        <f t="shared" si="5"/>
        <v>31</v>
      </c>
      <c r="G18" s="700">
        <f t="shared" si="6"/>
        <v>0.1</v>
      </c>
      <c r="H18" s="700">
        <f t="shared" si="7"/>
        <v>0.23</v>
      </c>
      <c r="I18" s="700">
        <f t="shared" si="8"/>
        <v>0</v>
      </c>
      <c r="J18" s="547">
        <f t="shared" si="9"/>
        <v>61</v>
      </c>
      <c r="K18" s="699">
        <f t="shared" si="10"/>
        <v>0.1</v>
      </c>
      <c r="L18" s="702">
        <f t="shared" si="11"/>
        <v>0.14000000000000001</v>
      </c>
      <c r="M18" s="139" t="s">
        <v>522</v>
      </c>
      <c r="N18" s="423">
        <f t="shared" si="12"/>
        <v>0</v>
      </c>
      <c r="O18" s="561">
        <v>3000000</v>
      </c>
      <c r="P18" s="326">
        <f t="shared" si="13"/>
        <v>0</v>
      </c>
      <c r="Q18" s="326">
        <f t="shared" si="14"/>
        <v>3255008.3</v>
      </c>
      <c r="R18" s="716">
        <f t="shared" si="15"/>
        <v>3255008.3</v>
      </c>
      <c r="S18" s="326">
        <f t="shared" si="16"/>
        <v>255008.29999999981</v>
      </c>
      <c r="T18" s="137">
        <f t="shared" si="83"/>
        <v>1.0850027666666666</v>
      </c>
      <c r="U18" s="326">
        <f t="shared" si="18"/>
        <v>0</v>
      </c>
      <c r="V18" s="432">
        <v>3000000</v>
      </c>
      <c r="W18" s="140">
        <f t="shared" si="19"/>
        <v>0</v>
      </c>
      <c r="X18" s="326">
        <f t="shared" si="20"/>
        <v>4292496.5199999996</v>
      </c>
      <c r="Y18" s="717">
        <f t="shared" si="21"/>
        <v>4292496.5199999996</v>
      </c>
      <c r="Z18" s="123">
        <f t="shared" si="22"/>
        <v>1292496.5199999996</v>
      </c>
      <c r="AA18" s="137">
        <f t="shared" si="84"/>
        <v>1.4308321733333331</v>
      </c>
      <c r="AB18" s="326">
        <f t="shared" si="24"/>
        <v>0</v>
      </c>
      <c r="AC18" s="561">
        <v>3000000</v>
      </c>
      <c r="AD18" s="326">
        <f t="shared" si="25"/>
        <v>4052841.5900000003</v>
      </c>
      <c r="AE18" s="326">
        <f t="shared" si="26"/>
        <v>4091432.27</v>
      </c>
      <c r="AF18" s="716">
        <f t="shared" si="27"/>
        <v>8144273.8600000003</v>
      </c>
      <c r="AG18" s="326">
        <f t="shared" si="28"/>
        <v>5144273.8600000003</v>
      </c>
      <c r="AH18" s="137">
        <f t="shared" si="29"/>
        <v>2.7147579533333333</v>
      </c>
      <c r="AI18" s="332">
        <f t="shared" si="30"/>
        <v>9000000</v>
      </c>
      <c r="AJ18" s="140">
        <f t="shared" si="31"/>
        <v>15503715</v>
      </c>
      <c r="AK18" s="326">
        <f t="shared" si="32"/>
        <v>4052841.59</v>
      </c>
      <c r="AL18" s="326">
        <f t="shared" ref="AL18:AM18" si="140">SUM(AE18,X18,Q18)</f>
        <v>11638937.09</v>
      </c>
      <c r="AM18" s="326">
        <f t="shared" si="140"/>
        <v>15691778.68</v>
      </c>
      <c r="AN18" s="326">
        <f t="shared" si="70"/>
        <v>6691778.6799999997</v>
      </c>
      <c r="AO18" s="413">
        <f t="shared" si="79"/>
        <v>1.0121302333021471</v>
      </c>
      <c r="AP18" s="423">
        <f t="shared" si="35"/>
        <v>0</v>
      </c>
      <c r="AQ18" s="326">
        <f t="shared" si="36"/>
        <v>9900219.7400000002</v>
      </c>
      <c r="AR18" s="326">
        <f t="shared" si="37"/>
        <v>6943560.7400000002</v>
      </c>
      <c r="AS18" s="333">
        <f t="shared" si="38"/>
        <v>16843780.48</v>
      </c>
      <c r="AT18" s="434">
        <f t="shared" si="39"/>
        <v>0</v>
      </c>
      <c r="AU18" s="140">
        <f t="shared" si="40"/>
        <v>0</v>
      </c>
      <c r="AV18" s="326">
        <f t="shared" si="41"/>
        <v>1098323.46</v>
      </c>
      <c r="AW18" s="333">
        <f t="shared" si="42"/>
        <v>1098323.46</v>
      </c>
      <c r="AX18" s="125">
        <f t="shared" si="43"/>
        <v>0</v>
      </c>
      <c r="AY18" s="140">
        <f t="shared" si="44"/>
        <v>0</v>
      </c>
      <c r="AZ18" s="326">
        <f t="shared" si="45"/>
        <v>3492989.53</v>
      </c>
      <c r="BA18" s="332">
        <f t="shared" si="46"/>
        <v>3492989.53</v>
      </c>
      <c r="BB18" s="122">
        <f t="shared" ref="BB18:BD18" si="141">AY18+AU18+AQ18</f>
        <v>9900219.7400000002</v>
      </c>
      <c r="BC18" s="326">
        <f t="shared" si="141"/>
        <v>11534873.73</v>
      </c>
      <c r="BD18" s="332">
        <f t="shared" si="141"/>
        <v>21435093.469999999</v>
      </c>
      <c r="BE18" s="122">
        <f t="shared" si="48"/>
        <v>13953061.33</v>
      </c>
      <c r="BF18" s="326">
        <f t="shared" ref="BF18:BG18" si="142">AL18+BC18</f>
        <v>23173810.82</v>
      </c>
      <c r="BG18" s="435">
        <f t="shared" si="142"/>
        <v>37126872.149999999</v>
      </c>
      <c r="BH18" s="125">
        <f t="shared" si="50"/>
        <v>411222.99</v>
      </c>
      <c r="BI18" s="140">
        <f t="shared" si="51"/>
        <v>0</v>
      </c>
      <c r="BJ18" s="123">
        <f t="shared" si="52"/>
        <v>0.01</v>
      </c>
      <c r="BK18" s="125">
        <f t="shared" si="53"/>
        <v>0.01</v>
      </c>
      <c r="BL18" s="123">
        <f t="shared" si="54"/>
        <v>5410815.6500000004</v>
      </c>
      <c r="BM18" s="140">
        <f t="shared" si="55"/>
        <v>4547199.1199999992</v>
      </c>
      <c r="BN18" s="326">
        <f t="shared" si="56"/>
        <v>6209226.9900000002</v>
      </c>
      <c r="BO18" s="332">
        <f t="shared" si="57"/>
        <v>10756426.109999999</v>
      </c>
      <c r="BP18" s="141">
        <f t="shared" si="58"/>
        <v>1699106.06</v>
      </c>
      <c r="BQ18" s="140">
        <f t="shared" si="59"/>
        <v>0</v>
      </c>
      <c r="BR18" s="326">
        <f t="shared" si="60"/>
        <v>232184.72</v>
      </c>
      <c r="BS18" s="333">
        <f t="shared" si="61"/>
        <v>232184.72</v>
      </c>
      <c r="BT18" s="113">
        <f t="shared" ref="BT18:BV18" si="143">SUM(BQ18,BM18,BI18)</f>
        <v>4547199.1199999992</v>
      </c>
      <c r="BU18" s="116">
        <f t="shared" si="143"/>
        <v>6441411.7199999997</v>
      </c>
      <c r="BV18" s="117">
        <f t="shared" si="143"/>
        <v>10988610.84</v>
      </c>
      <c r="BW18" s="141">
        <f t="shared" si="63"/>
        <v>11690910.85</v>
      </c>
      <c r="BX18" s="113">
        <f t="shared" si="64"/>
        <v>2530216.96</v>
      </c>
      <c r="BY18" s="114">
        <f t="shared" si="65"/>
        <v>1003222.34</v>
      </c>
      <c r="BZ18" s="115">
        <f t="shared" si="66"/>
        <v>3533439.3</v>
      </c>
      <c r="CA18" s="123">
        <f t="shared" si="67"/>
        <v>2362607.7200000002</v>
      </c>
      <c r="CB18" s="333">
        <f t="shared" si="68"/>
        <v>1450196.43</v>
      </c>
      <c r="CI18" s="231" t="s">
        <v>94</v>
      </c>
      <c r="CJ18" s="231"/>
      <c r="CK18" s="231"/>
      <c r="CY18" s="294"/>
      <c r="DF18" s="296"/>
    </row>
    <row r="19" spans="1:110" ht="15.75" customHeight="1">
      <c r="A19" s="420">
        <f t="shared" si="0"/>
        <v>112013220</v>
      </c>
      <c r="B19" s="565">
        <f t="shared" si="1"/>
        <v>7</v>
      </c>
      <c r="C19" s="558">
        <f t="shared" si="2"/>
        <v>0.1</v>
      </c>
      <c r="D19" s="558">
        <f t="shared" si="3"/>
        <v>0.2</v>
      </c>
      <c r="E19" s="715">
        <f t="shared" si="4"/>
        <v>0</v>
      </c>
      <c r="F19" s="701">
        <f t="shared" si="5"/>
        <v>7</v>
      </c>
      <c r="G19" s="700">
        <f t="shared" si="6"/>
        <v>0.1</v>
      </c>
      <c r="H19" s="700">
        <f t="shared" si="7"/>
        <v>0.2</v>
      </c>
      <c r="I19" s="700">
        <f t="shared" si="8"/>
        <v>0</v>
      </c>
      <c r="J19" s="547">
        <f t="shared" si="9"/>
        <v>62</v>
      </c>
      <c r="K19" s="699">
        <f t="shared" si="10"/>
        <v>0.1</v>
      </c>
      <c r="L19" s="702">
        <f t="shared" si="11"/>
        <v>0.11</v>
      </c>
      <c r="M19" s="139" t="s">
        <v>523</v>
      </c>
      <c r="N19" s="423">
        <f t="shared" si="12"/>
        <v>933857.83</v>
      </c>
      <c r="O19" s="326">
        <v>1800000</v>
      </c>
      <c r="P19" s="326">
        <f t="shared" si="13"/>
        <v>670565.76</v>
      </c>
      <c r="Q19" s="326">
        <f t="shared" si="14"/>
        <v>1265486.6399999999</v>
      </c>
      <c r="R19" s="716">
        <f t="shared" si="15"/>
        <v>1936052.4</v>
      </c>
      <c r="S19" s="326">
        <f t="shared" si="16"/>
        <v>136052.39999999991</v>
      </c>
      <c r="T19" s="137">
        <f t="shared" si="83"/>
        <v>1.0755846666666666</v>
      </c>
      <c r="U19" s="326">
        <f t="shared" si="18"/>
        <v>1761499.21</v>
      </c>
      <c r="V19" s="332">
        <f>(U19*1.7245)*1.03</f>
        <v>3128836.5492743496</v>
      </c>
      <c r="W19" s="140">
        <f t="shared" si="19"/>
        <v>1580966.0699999998</v>
      </c>
      <c r="X19" s="326">
        <f t="shared" si="20"/>
        <v>1318534.48</v>
      </c>
      <c r="Y19" s="717">
        <f t="shared" si="21"/>
        <v>2899500.55</v>
      </c>
      <c r="Z19" s="123">
        <f t="shared" si="22"/>
        <v>-229335.99927434977</v>
      </c>
      <c r="AA19" s="137">
        <f t="shared" si="84"/>
        <v>0.92670246730288985</v>
      </c>
      <c r="AB19" s="326">
        <f t="shared" si="24"/>
        <v>1712994.9</v>
      </c>
      <c r="AC19" s="326">
        <f>(AB19*1.5955)*1.05</f>
        <v>2869737.5310974997</v>
      </c>
      <c r="AD19" s="326">
        <f t="shared" si="25"/>
        <v>865874.35</v>
      </c>
      <c r="AE19" s="326">
        <f t="shared" si="26"/>
        <v>345950.39</v>
      </c>
      <c r="AF19" s="716">
        <f t="shared" si="27"/>
        <v>1211824.74</v>
      </c>
      <c r="AG19" s="326">
        <f t="shared" si="28"/>
        <v>-1657912.7910974997</v>
      </c>
      <c r="AH19" s="137">
        <f t="shared" si="29"/>
        <v>0.42227720370529875</v>
      </c>
      <c r="AI19" s="332">
        <f t="shared" si="30"/>
        <v>7798574.0803718492</v>
      </c>
      <c r="AJ19" s="140">
        <f t="shared" si="31"/>
        <v>9189001.0399999991</v>
      </c>
      <c r="AK19" s="326">
        <f t="shared" si="32"/>
        <v>3117406.1799999997</v>
      </c>
      <c r="AL19" s="326">
        <f t="shared" ref="AL19:AM19" si="144">SUM(AE19,X19,Q19)</f>
        <v>2929971.51</v>
      </c>
      <c r="AM19" s="326">
        <f t="shared" si="144"/>
        <v>6047377.6899999995</v>
      </c>
      <c r="AN19" s="326">
        <f t="shared" si="70"/>
        <v>-1751196.3903718498</v>
      </c>
      <c r="AO19" s="413">
        <f t="shared" si="79"/>
        <v>0.65811045876212027</v>
      </c>
      <c r="AP19" s="423">
        <f t="shared" si="35"/>
        <v>1556453.29</v>
      </c>
      <c r="AQ19" s="326">
        <f t="shared" si="36"/>
        <v>676762.16</v>
      </c>
      <c r="AR19" s="326">
        <f t="shared" si="37"/>
        <v>811064.64</v>
      </c>
      <c r="AS19" s="333">
        <f t="shared" si="38"/>
        <v>1487826.8</v>
      </c>
      <c r="AT19" s="434">
        <f t="shared" si="39"/>
        <v>997137.39</v>
      </c>
      <c r="AU19" s="140">
        <f t="shared" si="40"/>
        <v>390780.82999999996</v>
      </c>
      <c r="AV19" s="326">
        <f t="shared" si="41"/>
        <v>754665.6</v>
      </c>
      <c r="AW19" s="333">
        <f t="shared" si="42"/>
        <v>1145446.43</v>
      </c>
      <c r="AX19" s="125">
        <f t="shared" si="43"/>
        <v>1315715.3799999999</v>
      </c>
      <c r="AY19" s="140">
        <f t="shared" si="44"/>
        <v>48473.64000000013</v>
      </c>
      <c r="AZ19" s="326">
        <f t="shared" si="45"/>
        <v>1318191.95</v>
      </c>
      <c r="BA19" s="332">
        <f t="shared" si="46"/>
        <v>1366665.59</v>
      </c>
      <c r="BB19" s="122">
        <f t="shared" ref="BB19:BD19" si="145">AY19+AU19+AQ19</f>
        <v>1116016.6300000001</v>
      </c>
      <c r="BC19" s="326">
        <f t="shared" si="145"/>
        <v>2883922.19</v>
      </c>
      <c r="BD19" s="332">
        <f t="shared" si="145"/>
        <v>3999938.8200000003</v>
      </c>
      <c r="BE19" s="122">
        <f t="shared" si="48"/>
        <v>4233422.8099999996</v>
      </c>
      <c r="BF19" s="326">
        <f t="shared" ref="BF19:BG19" si="146">AL19+BC19</f>
        <v>5813893.6999999993</v>
      </c>
      <c r="BG19" s="435">
        <f t="shared" si="146"/>
        <v>10047316.51</v>
      </c>
      <c r="BH19" s="125">
        <f t="shared" si="50"/>
        <v>1097625.1100000001</v>
      </c>
      <c r="BI19" s="140">
        <f t="shared" si="51"/>
        <v>395342.15999999992</v>
      </c>
      <c r="BJ19" s="123">
        <f t="shared" si="52"/>
        <v>975199.04</v>
      </c>
      <c r="BK19" s="125">
        <f t="shared" si="53"/>
        <v>1370541.2</v>
      </c>
      <c r="BL19" s="123">
        <f t="shared" si="54"/>
        <v>1473596.64</v>
      </c>
      <c r="BM19" s="140">
        <f t="shared" si="55"/>
        <v>190573.19999999995</v>
      </c>
      <c r="BN19" s="326">
        <f t="shared" si="56"/>
        <v>1200135.8400000001</v>
      </c>
      <c r="BO19" s="332">
        <f t="shared" si="57"/>
        <v>1390709.04</v>
      </c>
      <c r="BP19" s="141">
        <f t="shared" si="58"/>
        <v>1166452.01</v>
      </c>
      <c r="BQ19" s="140">
        <f t="shared" si="59"/>
        <v>749201.93</v>
      </c>
      <c r="BR19" s="326">
        <f t="shared" si="60"/>
        <v>673458.32</v>
      </c>
      <c r="BS19" s="333">
        <f t="shared" si="61"/>
        <v>1422660.25</v>
      </c>
      <c r="BT19" s="113">
        <f t="shared" ref="BT19:BV19" si="147">SUM(BQ19,BM19,BI19)</f>
        <v>1335117.29</v>
      </c>
      <c r="BU19" s="116">
        <f t="shared" si="147"/>
        <v>2848793.2</v>
      </c>
      <c r="BV19" s="117">
        <f t="shared" si="147"/>
        <v>4183910.49</v>
      </c>
      <c r="BW19" s="141">
        <f t="shared" si="63"/>
        <v>2077107.25</v>
      </c>
      <c r="BX19" s="113">
        <f t="shared" si="64"/>
        <v>1224130.78</v>
      </c>
      <c r="BY19" s="114">
        <f t="shared" si="65"/>
        <v>1182239.01</v>
      </c>
      <c r="BZ19" s="115">
        <f t="shared" si="66"/>
        <v>2406369.79</v>
      </c>
      <c r="CA19" s="123">
        <f t="shared" si="67"/>
        <v>2169394.0499999998</v>
      </c>
      <c r="CB19" s="333">
        <f t="shared" si="68"/>
        <v>4942499.75</v>
      </c>
      <c r="CI19" s="231" t="s">
        <v>96</v>
      </c>
      <c r="CJ19" s="232"/>
      <c r="CK19" s="232"/>
      <c r="CY19" s="294"/>
      <c r="DF19" s="296"/>
    </row>
    <row r="20" spans="1:110" ht="15.75" customHeight="1">
      <c r="A20" s="420">
        <f t="shared" si="0"/>
        <v>112014223</v>
      </c>
      <c r="B20" s="565">
        <f t="shared" si="1"/>
        <v>7</v>
      </c>
      <c r="C20" s="558">
        <f t="shared" si="2"/>
        <v>0.1</v>
      </c>
      <c r="D20" s="558">
        <f t="shared" si="3"/>
        <v>0.2</v>
      </c>
      <c r="E20" s="715">
        <f t="shared" si="4"/>
        <v>0</v>
      </c>
      <c r="F20" s="701">
        <f t="shared" si="5"/>
        <v>7</v>
      </c>
      <c r="G20" s="700">
        <f t="shared" si="6"/>
        <v>0.1</v>
      </c>
      <c r="H20" s="700">
        <f t="shared" si="7"/>
        <v>0.2</v>
      </c>
      <c r="I20" s="700">
        <f t="shared" si="8"/>
        <v>0</v>
      </c>
      <c r="J20" s="547">
        <f t="shared" si="9"/>
        <v>62</v>
      </c>
      <c r="K20" s="699">
        <f t="shared" si="10"/>
        <v>0.1</v>
      </c>
      <c r="L20" s="702">
        <f t="shared" si="11"/>
        <v>0.11</v>
      </c>
      <c r="M20" s="139" t="s">
        <v>524</v>
      </c>
      <c r="N20" s="423">
        <f t="shared" si="12"/>
        <v>355665.03</v>
      </c>
      <c r="O20" s="326">
        <v>1800000</v>
      </c>
      <c r="P20" s="326">
        <f t="shared" si="13"/>
        <v>2320735.1</v>
      </c>
      <c r="Q20" s="326">
        <f t="shared" si="14"/>
        <v>0</v>
      </c>
      <c r="R20" s="716">
        <f t="shared" si="15"/>
        <v>2320735.1</v>
      </c>
      <c r="S20" s="326">
        <f t="shared" si="16"/>
        <v>520735.10000000009</v>
      </c>
      <c r="T20" s="137">
        <f t="shared" si="83"/>
        <v>1.2892972777777778</v>
      </c>
      <c r="U20" s="326">
        <f t="shared" si="18"/>
        <v>854337.62</v>
      </c>
      <c r="V20" s="332">
        <v>1800000</v>
      </c>
      <c r="W20" s="140">
        <f t="shared" si="19"/>
        <v>1967074.46</v>
      </c>
      <c r="X20" s="326">
        <f t="shared" si="20"/>
        <v>0</v>
      </c>
      <c r="Y20" s="717">
        <f t="shared" si="21"/>
        <v>1967074.46</v>
      </c>
      <c r="Z20" s="123">
        <f t="shared" si="22"/>
        <v>167074.45999999996</v>
      </c>
      <c r="AA20" s="137">
        <f t="shared" si="84"/>
        <v>1.0928191444444444</v>
      </c>
      <c r="AB20" s="326">
        <v>1800000</v>
      </c>
      <c r="AC20" s="326">
        <v>1800000</v>
      </c>
      <c r="AD20" s="326">
        <f t="shared" si="25"/>
        <v>2610826.4300000002</v>
      </c>
      <c r="AE20" s="326">
        <f t="shared" si="26"/>
        <v>0</v>
      </c>
      <c r="AF20" s="716">
        <f t="shared" si="27"/>
        <v>2610826.4300000002</v>
      </c>
      <c r="AG20" s="326">
        <f t="shared" si="28"/>
        <v>810826.43000000017</v>
      </c>
      <c r="AH20" s="137">
        <f t="shared" si="29"/>
        <v>1.4504591277777779</v>
      </c>
      <c r="AI20" s="332">
        <f t="shared" si="30"/>
        <v>5400000</v>
      </c>
      <c r="AJ20" s="140">
        <f t="shared" si="31"/>
        <v>4400672.47</v>
      </c>
      <c r="AK20" s="326">
        <f t="shared" si="32"/>
        <v>6898635.9900000002</v>
      </c>
      <c r="AL20" s="326">
        <f t="shared" ref="AL20:AM20" si="148">SUM(AE20,X20,Q20)</f>
        <v>0</v>
      </c>
      <c r="AM20" s="326">
        <f t="shared" si="148"/>
        <v>6898635.9900000002</v>
      </c>
      <c r="AN20" s="326">
        <f t="shared" si="70"/>
        <v>1498635.9900000002</v>
      </c>
      <c r="AO20" s="413">
        <f t="shared" si="79"/>
        <v>1.5676322282626047</v>
      </c>
      <c r="AP20" s="423">
        <f t="shared" si="35"/>
        <v>1331543.05</v>
      </c>
      <c r="AQ20" s="326">
        <f t="shared" si="36"/>
        <v>2314498.21</v>
      </c>
      <c r="AR20" s="326">
        <f t="shared" si="37"/>
        <v>0</v>
      </c>
      <c r="AS20" s="333">
        <f t="shared" si="38"/>
        <v>2314498.21</v>
      </c>
      <c r="AT20" s="434">
        <f t="shared" si="39"/>
        <v>347527.83</v>
      </c>
      <c r="AU20" s="140">
        <f t="shared" si="40"/>
        <v>1706815.9</v>
      </c>
      <c r="AV20" s="326">
        <f t="shared" si="41"/>
        <v>19165.259999999998</v>
      </c>
      <c r="AW20" s="333">
        <f t="shared" si="42"/>
        <v>1725981.16</v>
      </c>
      <c r="AX20" s="125">
        <f t="shared" si="43"/>
        <v>1484024.2</v>
      </c>
      <c r="AY20" s="140">
        <f t="shared" si="44"/>
        <v>1884951.19</v>
      </c>
      <c r="AZ20" s="326">
        <f t="shared" si="45"/>
        <v>0</v>
      </c>
      <c r="BA20" s="332">
        <f t="shared" si="46"/>
        <v>1884951.19</v>
      </c>
      <c r="BB20" s="122">
        <f t="shared" ref="BB20:BD20" si="149">AY20+AU20+AQ20</f>
        <v>5906265.2999999998</v>
      </c>
      <c r="BC20" s="326">
        <f t="shared" si="149"/>
        <v>19165.259999999998</v>
      </c>
      <c r="BD20" s="332">
        <f t="shared" si="149"/>
        <v>5925430.5599999996</v>
      </c>
      <c r="BE20" s="122">
        <f t="shared" si="48"/>
        <v>12804901.289999999</v>
      </c>
      <c r="BF20" s="326">
        <f t="shared" ref="BF20:BG20" si="150">AL20+BC20</f>
        <v>19165.259999999998</v>
      </c>
      <c r="BG20" s="435">
        <f t="shared" si="150"/>
        <v>12824066.550000001</v>
      </c>
      <c r="BH20" s="125">
        <f t="shared" si="50"/>
        <v>1203309.79</v>
      </c>
      <c r="BI20" s="140">
        <f t="shared" si="51"/>
        <v>2282246.59</v>
      </c>
      <c r="BJ20" s="123">
        <f t="shared" si="52"/>
        <v>0</v>
      </c>
      <c r="BK20" s="125">
        <f t="shared" si="53"/>
        <v>2282246.59</v>
      </c>
      <c r="BL20" s="123">
        <f t="shared" si="54"/>
        <v>1790835.63</v>
      </c>
      <c r="BM20" s="140">
        <f t="shared" si="55"/>
        <v>2257029.8199999998</v>
      </c>
      <c r="BN20" s="326">
        <f t="shared" si="56"/>
        <v>0</v>
      </c>
      <c r="BO20" s="332">
        <f t="shared" si="57"/>
        <v>2257029.8199999998</v>
      </c>
      <c r="BP20" s="141">
        <f t="shared" si="58"/>
        <v>1357823.53</v>
      </c>
      <c r="BQ20" s="140">
        <f t="shared" si="59"/>
        <v>2511141.2799999998</v>
      </c>
      <c r="BR20" s="326">
        <f t="shared" si="60"/>
        <v>0</v>
      </c>
      <c r="BS20" s="333">
        <f t="shared" si="61"/>
        <v>2511141.2799999998</v>
      </c>
      <c r="BT20" s="113">
        <f t="shared" ref="BT20:BV20" si="151">SUM(BQ20,BM20,BI20)</f>
        <v>7050417.6899999995</v>
      </c>
      <c r="BU20" s="116">
        <f t="shared" si="151"/>
        <v>0</v>
      </c>
      <c r="BV20" s="117">
        <f t="shared" si="151"/>
        <v>7050417.6899999995</v>
      </c>
      <c r="BW20" s="141">
        <f t="shared" si="63"/>
        <v>1329540.25</v>
      </c>
      <c r="BX20" s="113">
        <f t="shared" si="64"/>
        <v>2580299.62</v>
      </c>
      <c r="BY20" s="114">
        <f t="shared" si="65"/>
        <v>0</v>
      </c>
      <c r="BZ20" s="115">
        <f t="shared" si="66"/>
        <v>2580299.62</v>
      </c>
      <c r="CA20" s="123">
        <f t="shared" si="67"/>
        <v>1938698.37</v>
      </c>
      <c r="CB20" s="333">
        <f t="shared" si="68"/>
        <v>1132433.8500000001</v>
      </c>
      <c r="CI20" s="231" t="s">
        <v>525</v>
      </c>
      <c r="CJ20" s="232"/>
      <c r="CK20" s="232"/>
      <c r="CY20" s="294"/>
      <c r="DF20" s="296"/>
    </row>
    <row r="21" spans="1:110" ht="15.75" customHeight="1">
      <c r="A21" s="420">
        <f t="shared" si="0"/>
        <v>112014707</v>
      </c>
      <c r="B21" s="565">
        <f t="shared" si="1"/>
        <v>7</v>
      </c>
      <c r="C21" s="558">
        <f t="shared" si="2"/>
        <v>0.1</v>
      </c>
      <c r="D21" s="558">
        <f t="shared" si="3"/>
        <v>0.2</v>
      </c>
      <c r="E21" s="715">
        <f t="shared" si="4"/>
        <v>0</v>
      </c>
      <c r="F21" s="701">
        <f t="shared" si="5"/>
        <v>7</v>
      </c>
      <c r="G21" s="700">
        <f t="shared" si="6"/>
        <v>0.1</v>
      </c>
      <c r="H21" s="700">
        <f t="shared" si="7"/>
        <v>0.2</v>
      </c>
      <c r="I21" s="700">
        <f t="shared" si="8"/>
        <v>0</v>
      </c>
      <c r="J21" s="547">
        <f t="shared" si="9"/>
        <v>62</v>
      </c>
      <c r="K21" s="699">
        <f t="shared" si="10"/>
        <v>0.1</v>
      </c>
      <c r="L21" s="702">
        <f t="shared" si="11"/>
        <v>0.11</v>
      </c>
      <c r="M21" s="233" t="s">
        <v>526</v>
      </c>
      <c r="N21" s="423"/>
      <c r="O21" s="326"/>
      <c r="P21" s="326" t="e">
        <f t="shared" si="13"/>
        <v>#VALUE!</v>
      </c>
      <c r="Q21" s="326" t="str">
        <f t="shared" si="14"/>
        <v/>
      </c>
      <c r="R21" s="716" t="str">
        <f t="shared" si="15"/>
        <v>0</v>
      </c>
      <c r="S21" s="326">
        <f t="shared" si="16"/>
        <v>0</v>
      </c>
      <c r="T21" s="137" t="e">
        <f t="shared" si="83"/>
        <v>#DIV/0!</v>
      </c>
      <c r="U21" s="326" t="str">
        <f t="shared" si="18"/>
        <v/>
      </c>
      <c r="V21" s="332">
        <v>1800000</v>
      </c>
      <c r="W21" s="140" t="e">
        <f t="shared" si="19"/>
        <v>#VALUE!</v>
      </c>
      <c r="X21" s="326" t="str">
        <f t="shared" si="20"/>
        <v/>
      </c>
      <c r="Y21" s="717" t="str">
        <f t="shared" si="21"/>
        <v>0</v>
      </c>
      <c r="Z21" s="123">
        <f t="shared" si="22"/>
        <v>-1800000</v>
      </c>
      <c r="AA21" s="137">
        <f t="shared" si="84"/>
        <v>0</v>
      </c>
      <c r="AB21" s="326">
        <v>1800000</v>
      </c>
      <c r="AC21" s="326">
        <v>1800000</v>
      </c>
      <c r="AD21" s="326" t="e">
        <f t="shared" si="25"/>
        <v>#VALUE!</v>
      </c>
      <c r="AE21" s="326" t="str">
        <f t="shared" si="26"/>
        <v/>
      </c>
      <c r="AF21" s="716" t="str">
        <f t="shared" si="27"/>
        <v>0</v>
      </c>
      <c r="AG21" s="326">
        <f t="shared" si="28"/>
        <v>-1800000</v>
      </c>
      <c r="AH21" s="137">
        <f t="shared" si="29"/>
        <v>0</v>
      </c>
      <c r="AI21" s="332">
        <f t="shared" si="30"/>
        <v>3600000</v>
      </c>
      <c r="AJ21" s="140" t="str">
        <f t="shared" si="31"/>
        <v>0</v>
      </c>
      <c r="AK21" s="326">
        <f t="shared" si="32"/>
        <v>0</v>
      </c>
      <c r="AL21" s="326">
        <f t="shared" ref="AL21:AM21" si="152">SUM(AE21,X21,Q21)</f>
        <v>0</v>
      </c>
      <c r="AM21" s="326">
        <f t="shared" si="152"/>
        <v>0</v>
      </c>
      <c r="AN21" s="326">
        <f t="shared" si="70"/>
        <v>-3600000</v>
      </c>
      <c r="AO21" s="413" t="str">
        <f t="shared" si="79"/>
        <v/>
      </c>
      <c r="AP21" s="423" t="str">
        <f t="shared" si="35"/>
        <v/>
      </c>
      <c r="AQ21" s="326" t="e">
        <f t="shared" si="36"/>
        <v>#VALUE!</v>
      </c>
      <c r="AR21" s="326" t="str">
        <f t="shared" si="37"/>
        <v/>
      </c>
      <c r="AS21" s="333" t="str">
        <f t="shared" si="38"/>
        <v>0</v>
      </c>
      <c r="AT21" s="434"/>
      <c r="AU21" s="140" t="e">
        <f t="shared" si="40"/>
        <v>#VALUE!</v>
      </c>
      <c r="AV21" s="326" t="str">
        <f t="shared" si="41"/>
        <v/>
      </c>
      <c r="AW21" s="333" t="str">
        <f t="shared" si="42"/>
        <v>0</v>
      </c>
      <c r="AX21" s="125"/>
      <c r="AY21" s="140" t="e">
        <f t="shared" si="44"/>
        <v>#VALUE!</v>
      </c>
      <c r="AZ21" s="326" t="str">
        <f t="shared" si="45"/>
        <v/>
      </c>
      <c r="BA21" s="332" t="str">
        <f t="shared" si="46"/>
        <v>0</v>
      </c>
      <c r="BB21" s="122" t="e">
        <f t="shared" ref="BB21:BD21" si="153">AY21+AU21+AQ21</f>
        <v>#VALUE!</v>
      </c>
      <c r="BC21" s="326" t="e">
        <f t="shared" si="153"/>
        <v>#VALUE!</v>
      </c>
      <c r="BD21" s="332">
        <f t="shared" si="153"/>
        <v>0</v>
      </c>
      <c r="BE21" s="122" t="e">
        <f t="shared" si="48"/>
        <v>#VALUE!</v>
      </c>
      <c r="BF21" s="326" t="e">
        <f t="shared" ref="BF21:BG21" si="154">AL21+BC21</f>
        <v>#VALUE!</v>
      </c>
      <c r="BG21" s="435">
        <f t="shared" si="154"/>
        <v>0</v>
      </c>
      <c r="BH21" s="125" t="str">
        <f t="shared" si="50"/>
        <v/>
      </c>
      <c r="BI21" s="140" t="e">
        <f t="shared" si="51"/>
        <v>#VALUE!</v>
      </c>
      <c r="BJ21" s="123" t="str">
        <f t="shared" si="52"/>
        <v/>
      </c>
      <c r="BK21" s="125" t="str">
        <f t="shared" si="53"/>
        <v>0</v>
      </c>
      <c r="BL21" s="123" t="str">
        <f t="shared" si="54"/>
        <v/>
      </c>
      <c r="BM21" s="140" t="e">
        <f t="shared" si="55"/>
        <v>#VALUE!</v>
      </c>
      <c r="BN21" s="326" t="str">
        <f t="shared" si="56"/>
        <v/>
      </c>
      <c r="BO21" s="332" t="str">
        <f t="shared" si="57"/>
        <v>0</v>
      </c>
      <c r="BP21" s="141" t="str">
        <f t="shared" si="58"/>
        <v/>
      </c>
      <c r="BQ21" s="140" t="e">
        <f t="shared" si="59"/>
        <v>#VALUE!</v>
      </c>
      <c r="BR21" s="326" t="str">
        <f t="shared" si="60"/>
        <v/>
      </c>
      <c r="BS21" s="333" t="str">
        <f t="shared" si="61"/>
        <v>0</v>
      </c>
      <c r="BT21" s="113" t="e">
        <f t="shared" ref="BT21:BV21" si="155">SUM(BQ21,BM21,BI21)</f>
        <v>#VALUE!</v>
      </c>
      <c r="BU21" s="116">
        <f t="shared" si="155"/>
        <v>0</v>
      </c>
      <c r="BV21" s="117">
        <f t="shared" si="155"/>
        <v>0</v>
      </c>
      <c r="BW21" s="141" t="str">
        <f t="shared" si="63"/>
        <v/>
      </c>
      <c r="BX21" s="113" t="e">
        <f t="shared" si="64"/>
        <v>#VALUE!</v>
      </c>
      <c r="BY21" s="114" t="str">
        <f t="shared" si="65"/>
        <v/>
      </c>
      <c r="BZ21" s="115" t="str">
        <f t="shared" si="66"/>
        <v>0</v>
      </c>
      <c r="CA21" s="123" t="str">
        <f t="shared" si="67"/>
        <v/>
      </c>
      <c r="CB21" s="333" t="str">
        <f t="shared" si="68"/>
        <v/>
      </c>
      <c r="CI21" s="245" t="s">
        <v>100</v>
      </c>
      <c r="CJ21" s="245"/>
      <c r="CK21" s="245"/>
      <c r="CY21" s="294"/>
      <c r="DF21" s="296"/>
    </row>
    <row r="22" spans="1:110" ht="15.75" customHeight="1">
      <c r="A22" s="420">
        <f t="shared" si="0"/>
        <v>112014210</v>
      </c>
      <c r="B22" s="565">
        <f t="shared" si="1"/>
        <v>7</v>
      </c>
      <c r="C22" s="558">
        <f t="shared" si="2"/>
        <v>0.1</v>
      </c>
      <c r="D22" s="558">
        <f t="shared" si="3"/>
        <v>0.2</v>
      </c>
      <c r="E22" s="715">
        <f t="shared" si="4"/>
        <v>0</v>
      </c>
      <c r="F22" s="701">
        <f t="shared" si="5"/>
        <v>7</v>
      </c>
      <c r="G22" s="700">
        <f t="shared" si="6"/>
        <v>0.1</v>
      </c>
      <c r="H22" s="700">
        <f t="shared" si="7"/>
        <v>0.2</v>
      </c>
      <c r="I22" s="700">
        <f t="shared" si="8"/>
        <v>0</v>
      </c>
      <c r="J22" s="547">
        <f t="shared" si="9"/>
        <v>62</v>
      </c>
      <c r="K22" s="699">
        <f t="shared" si="10"/>
        <v>0.1</v>
      </c>
      <c r="L22" s="702">
        <f t="shared" si="11"/>
        <v>0.11</v>
      </c>
      <c r="M22" s="139" t="s">
        <v>527</v>
      </c>
      <c r="N22" s="423">
        <f t="shared" ref="N22:N34" si="156">IFERROR(VLOOKUP(M22,LAGE24,3,FALSE),"")</f>
        <v>855760.04</v>
      </c>
      <c r="O22" s="326">
        <v>1800000</v>
      </c>
      <c r="P22" s="326">
        <f t="shared" si="13"/>
        <v>71550.289999999994</v>
      </c>
      <c r="Q22" s="326">
        <f t="shared" si="14"/>
        <v>0</v>
      </c>
      <c r="R22" s="716">
        <f t="shared" si="15"/>
        <v>71550.289999999994</v>
      </c>
      <c r="S22" s="326">
        <f t="shared" si="16"/>
        <v>-1728449.71</v>
      </c>
      <c r="T22" s="137">
        <f t="shared" si="83"/>
        <v>3.9750161111111106E-2</v>
      </c>
      <c r="U22" s="326">
        <f t="shared" si="18"/>
        <v>698100.11</v>
      </c>
      <c r="V22" s="332">
        <v>1800000</v>
      </c>
      <c r="W22" s="140">
        <f t="shared" si="19"/>
        <v>136591.47999999998</v>
      </c>
      <c r="X22" s="326">
        <f t="shared" si="20"/>
        <v>11804.64</v>
      </c>
      <c r="Y22" s="717">
        <f t="shared" si="21"/>
        <v>148396.12</v>
      </c>
      <c r="Z22" s="123">
        <f t="shared" si="22"/>
        <v>-1651603.88</v>
      </c>
      <c r="AA22" s="137">
        <f t="shared" si="84"/>
        <v>8.2442288888888882E-2</v>
      </c>
      <c r="AB22" s="326">
        <f t="shared" ref="AB22:AB34" si="157">IFERROR(VLOOKUP(M22,LAGE24,5,FALSE),"")</f>
        <v>1128092.3999999999</v>
      </c>
      <c r="AC22" s="326">
        <f>(AB22*1.5955)*1.05</f>
        <v>1889864.9954099997</v>
      </c>
      <c r="AD22" s="326">
        <f t="shared" si="25"/>
        <v>1231688.74</v>
      </c>
      <c r="AE22" s="326">
        <f t="shared" si="26"/>
        <v>0</v>
      </c>
      <c r="AF22" s="716">
        <f t="shared" si="27"/>
        <v>1231688.74</v>
      </c>
      <c r="AG22" s="326">
        <f t="shared" si="28"/>
        <v>-658176.25540999975</v>
      </c>
      <c r="AH22" s="137">
        <f t="shared" si="29"/>
        <v>0.65173371801237545</v>
      </c>
      <c r="AI22" s="332">
        <f t="shared" si="30"/>
        <v>5489864.99541</v>
      </c>
      <c r="AJ22" s="140">
        <f t="shared" si="31"/>
        <v>3883786.35</v>
      </c>
      <c r="AK22" s="326">
        <f t="shared" si="32"/>
        <v>1439830.51</v>
      </c>
      <c r="AL22" s="326">
        <f t="shared" ref="AL22:AM22" si="158">SUM(AE22,X22,Q22)</f>
        <v>11804.64</v>
      </c>
      <c r="AM22" s="326">
        <f t="shared" si="158"/>
        <v>1451635.15</v>
      </c>
      <c r="AN22" s="326">
        <f t="shared" si="70"/>
        <v>-4038229.8454100001</v>
      </c>
      <c r="AO22" s="413">
        <f t="shared" si="79"/>
        <v>0.37376802408299309</v>
      </c>
      <c r="AP22" s="423">
        <f t="shared" si="35"/>
        <v>672664.18</v>
      </c>
      <c r="AQ22" s="326">
        <f t="shared" si="36"/>
        <v>1656340.37</v>
      </c>
      <c r="AR22" s="326">
        <f t="shared" si="37"/>
        <v>0</v>
      </c>
      <c r="AS22" s="333">
        <f t="shared" si="38"/>
        <v>1656340.37</v>
      </c>
      <c r="AT22" s="434">
        <f t="shared" ref="AT22:AT34" si="159">IFERROR(VLOOKUP(M22,LAGE24,7,FALSE),"")</f>
        <v>1160891.25</v>
      </c>
      <c r="AU22" s="140">
        <f t="shared" si="40"/>
        <v>1157208.6700000002</v>
      </c>
      <c r="AV22" s="326">
        <f t="shared" si="41"/>
        <v>13510.4</v>
      </c>
      <c r="AW22" s="333">
        <f t="shared" si="42"/>
        <v>1170719.07</v>
      </c>
      <c r="AX22" s="125">
        <f t="shared" ref="AX22:AX34" si="160">IFERROR(VLOOKUP(M22,LAGE24,8,FALSE),"")</f>
        <v>938755.9</v>
      </c>
      <c r="AY22" s="140">
        <f t="shared" si="44"/>
        <v>953007.08</v>
      </c>
      <c r="AZ22" s="326">
        <f t="shared" si="45"/>
        <v>0</v>
      </c>
      <c r="BA22" s="332">
        <f t="shared" si="46"/>
        <v>953007.08</v>
      </c>
      <c r="BB22" s="122">
        <f t="shared" ref="BB22:BD22" si="161">AY22+AU22+AQ22</f>
        <v>3766556.12</v>
      </c>
      <c r="BC22" s="326">
        <f t="shared" si="161"/>
        <v>13510.4</v>
      </c>
      <c r="BD22" s="332">
        <f t="shared" si="161"/>
        <v>3780066.52</v>
      </c>
      <c r="BE22" s="122">
        <f t="shared" si="48"/>
        <v>5206386.63</v>
      </c>
      <c r="BF22" s="326">
        <f t="shared" ref="BF22:BG22" si="162">AL22+BC22</f>
        <v>25315.040000000001</v>
      </c>
      <c r="BG22" s="435">
        <f t="shared" si="162"/>
        <v>5231701.67</v>
      </c>
      <c r="BH22" s="125">
        <f t="shared" si="50"/>
        <v>1204957.1499999999</v>
      </c>
      <c r="BI22" s="140">
        <f t="shared" si="51"/>
        <v>1450715.86</v>
      </c>
      <c r="BJ22" s="123">
        <f t="shared" si="52"/>
        <v>0</v>
      </c>
      <c r="BK22" s="125">
        <f t="shared" si="53"/>
        <v>1450715.86</v>
      </c>
      <c r="BL22" s="123">
        <f t="shared" si="54"/>
        <v>1189318.3500000001</v>
      </c>
      <c r="BM22" s="140">
        <f t="shared" si="55"/>
        <v>1338126.74</v>
      </c>
      <c r="BN22" s="326">
        <f t="shared" si="56"/>
        <v>12969.98</v>
      </c>
      <c r="BO22" s="332">
        <f t="shared" si="57"/>
        <v>1351096.72</v>
      </c>
      <c r="BP22" s="141">
        <f t="shared" si="58"/>
        <v>1038720.16</v>
      </c>
      <c r="BQ22" s="140">
        <f t="shared" si="59"/>
        <v>1951637.24</v>
      </c>
      <c r="BR22" s="326">
        <f t="shared" si="60"/>
        <v>0</v>
      </c>
      <c r="BS22" s="333">
        <f t="shared" si="61"/>
        <v>1951637.24</v>
      </c>
      <c r="BT22" s="113">
        <f t="shared" ref="BT22:BV22" si="163">SUM(BQ22,BM22,BI22)</f>
        <v>4740479.84</v>
      </c>
      <c r="BU22" s="116">
        <f t="shared" si="163"/>
        <v>12969.98</v>
      </c>
      <c r="BV22" s="117">
        <f t="shared" si="163"/>
        <v>4753449.82</v>
      </c>
      <c r="BW22" s="141">
        <f t="shared" si="63"/>
        <v>2047418.48</v>
      </c>
      <c r="BX22" s="113">
        <f t="shared" si="64"/>
        <v>1536195.03</v>
      </c>
      <c r="BY22" s="114">
        <f t="shared" si="65"/>
        <v>16683.669999999998</v>
      </c>
      <c r="BZ22" s="115">
        <f t="shared" si="66"/>
        <v>1552878.7</v>
      </c>
      <c r="CA22" s="123">
        <f t="shared" si="67"/>
        <v>1215335.75</v>
      </c>
      <c r="CB22" s="333">
        <f t="shared" si="68"/>
        <v>621032.12</v>
      </c>
      <c r="CY22" s="294"/>
      <c r="DF22" s="296"/>
    </row>
    <row r="23" spans="1:110" ht="15.75" customHeight="1">
      <c r="A23" s="420">
        <f t="shared" si="0"/>
        <v>112014341</v>
      </c>
      <c r="B23" s="565">
        <f t="shared" si="1"/>
        <v>7</v>
      </c>
      <c r="C23" s="558">
        <f t="shared" si="2"/>
        <v>0.1</v>
      </c>
      <c r="D23" s="558">
        <f t="shared" si="3"/>
        <v>0.2</v>
      </c>
      <c r="E23" s="715">
        <f t="shared" si="4"/>
        <v>0</v>
      </c>
      <c r="F23" s="701">
        <f t="shared" si="5"/>
        <v>7</v>
      </c>
      <c r="G23" s="700">
        <f t="shared" si="6"/>
        <v>0.1</v>
      </c>
      <c r="H23" s="700">
        <f t="shared" si="7"/>
        <v>0.2</v>
      </c>
      <c r="I23" s="700">
        <f t="shared" si="8"/>
        <v>0</v>
      </c>
      <c r="J23" s="547">
        <f t="shared" si="9"/>
        <v>62</v>
      </c>
      <c r="K23" s="699">
        <f t="shared" si="10"/>
        <v>0.1</v>
      </c>
      <c r="L23" s="702">
        <f t="shared" si="11"/>
        <v>0.11</v>
      </c>
      <c r="M23" s="139" t="s">
        <v>528</v>
      </c>
      <c r="N23" s="423" t="str">
        <f t="shared" si="156"/>
        <v/>
      </c>
      <c r="O23" s="326">
        <v>1800000</v>
      </c>
      <c r="P23" s="326">
        <f t="shared" si="13"/>
        <v>2308211.5100000002</v>
      </c>
      <c r="Q23" s="326">
        <f t="shared" si="14"/>
        <v>103524.32</v>
      </c>
      <c r="R23" s="716">
        <f t="shared" si="15"/>
        <v>2411735.83</v>
      </c>
      <c r="S23" s="326">
        <f t="shared" si="16"/>
        <v>611735.83000000007</v>
      </c>
      <c r="T23" s="137">
        <f t="shared" si="83"/>
        <v>1.3398532388888889</v>
      </c>
      <c r="U23" s="326" t="str">
        <f t="shared" si="18"/>
        <v/>
      </c>
      <c r="V23" s="332">
        <v>1800000</v>
      </c>
      <c r="W23" s="140">
        <f t="shared" si="19"/>
        <v>2377739.48</v>
      </c>
      <c r="X23" s="326">
        <f t="shared" si="20"/>
        <v>0</v>
      </c>
      <c r="Y23" s="717">
        <f t="shared" si="21"/>
        <v>2377739.48</v>
      </c>
      <c r="Z23" s="123">
        <f t="shared" si="22"/>
        <v>577739.48</v>
      </c>
      <c r="AA23" s="137">
        <f t="shared" si="84"/>
        <v>1.3209663777777778</v>
      </c>
      <c r="AB23" s="326" t="str">
        <f t="shared" si="157"/>
        <v/>
      </c>
      <c r="AC23" s="326">
        <v>1800000</v>
      </c>
      <c r="AD23" s="326">
        <f t="shared" si="25"/>
        <v>1889818.77</v>
      </c>
      <c r="AE23" s="326">
        <f t="shared" si="26"/>
        <v>0</v>
      </c>
      <c r="AF23" s="716">
        <f t="shared" si="27"/>
        <v>1889818.77</v>
      </c>
      <c r="AG23" s="326">
        <f t="shared" si="28"/>
        <v>89818.770000000019</v>
      </c>
      <c r="AH23" s="137">
        <f t="shared" si="29"/>
        <v>1.0498993166666666</v>
      </c>
      <c r="AI23" s="332">
        <f t="shared" si="30"/>
        <v>5400000</v>
      </c>
      <c r="AJ23" s="140" t="str">
        <f t="shared" si="31"/>
        <v>0</v>
      </c>
      <c r="AK23" s="326">
        <f t="shared" si="32"/>
        <v>6575769.7599999998</v>
      </c>
      <c r="AL23" s="326">
        <f t="shared" ref="AL23:AM23" si="164">SUM(AE23,X23,Q23)</f>
        <v>103524.32</v>
      </c>
      <c r="AM23" s="326">
        <f t="shared" si="164"/>
        <v>6679294.0800000001</v>
      </c>
      <c r="AN23" s="326">
        <f t="shared" si="70"/>
        <v>1279294.08</v>
      </c>
      <c r="AO23" s="413" t="str">
        <f t="shared" si="79"/>
        <v/>
      </c>
      <c r="AP23" s="423" t="str">
        <f t="shared" si="35"/>
        <v/>
      </c>
      <c r="AQ23" s="326">
        <f t="shared" si="36"/>
        <v>4386832.37</v>
      </c>
      <c r="AR23" s="326">
        <f t="shared" si="37"/>
        <v>0</v>
      </c>
      <c r="AS23" s="333">
        <f t="shared" si="38"/>
        <v>4386832.37</v>
      </c>
      <c r="AT23" s="434" t="str">
        <f t="shared" si="159"/>
        <v/>
      </c>
      <c r="AU23" s="140">
        <f t="shared" si="40"/>
        <v>1502654.92</v>
      </c>
      <c r="AV23" s="326">
        <f t="shared" si="41"/>
        <v>320186.84999999998</v>
      </c>
      <c r="AW23" s="333">
        <f t="shared" si="42"/>
        <v>1822841.77</v>
      </c>
      <c r="AX23" s="125" t="str">
        <f t="shared" si="160"/>
        <v/>
      </c>
      <c r="AY23" s="140">
        <f t="shared" si="44"/>
        <v>3382179.7600000002</v>
      </c>
      <c r="AZ23" s="326">
        <f t="shared" si="45"/>
        <v>93172.800000000003</v>
      </c>
      <c r="BA23" s="332">
        <f t="shared" si="46"/>
        <v>3475352.56</v>
      </c>
      <c r="BB23" s="122">
        <f t="shared" ref="BB23:BD23" si="165">AY23+AU23+AQ23</f>
        <v>9271667.0500000007</v>
      </c>
      <c r="BC23" s="326">
        <f t="shared" si="165"/>
        <v>413359.64999999997</v>
      </c>
      <c r="BD23" s="332">
        <f t="shared" si="165"/>
        <v>9685026.6999999993</v>
      </c>
      <c r="BE23" s="122">
        <f t="shared" si="48"/>
        <v>15847436.810000001</v>
      </c>
      <c r="BF23" s="326">
        <f t="shared" ref="BF23:BG23" si="166">AL23+BC23</f>
        <v>516883.97</v>
      </c>
      <c r="BG23" s="435">
        <f t="shared" si="166"/>
        <v>16364320.779999999</v>
      </c>
      <c r="BH23" s="125" t="str">
        <f t="shared" si="50"/>
        <v/>
      </c>
      <c r="BI23" s="140">
        <f t="shared" si="51"/>
        <v>2043318.3000000003</v>
      </c>
      <c r="BJ23" s="123">
        <f t="shared" si="52"/>
        <v>105822.69</v>
      </c>
      <c r="BK23" s="125">
        <f t="shared" si="53"/>
        <v>2149140.9900000002</v>
      </c>
      <c r="BL23" s="123" t="str">
        <f t="shared" si="54"/>
        <v/>
      </c>
      <c r="BM23" s="140">
        <f t="shared" si="55"/>
        <v>2388297.94</v>
      </c>
      <c r="BN23" s="326">
        <f t="shared" si="56"/>
        <v>0</v>
      </c>
      <c r="BO23" s="332">
        <f t="shared" si="57"/>
        <v>2388297.94</v>
      </c>
      <c r="BP23" s="141" t="str">
        <f t="shared" si="58"/>
        <v/>
      </c>
      <c r="BQ23" s="140">
        <f t="shared" si="59"/>
        <v>4176694.57</v>
      </c>
      <c r="BR23" s="326">
        <f t="shared" si="60"/>
        <v>0</v>
      </c>
      <c r="BS23" s="333">
        <f t="shared" si="61"/>
        <v>4176694.57</v>
      </c>
      <c r="BT23" s="113">
        <f t="shared" ref="BT23:BV23" si="167">SUM(BQ23,BM23,BI23)</f>
        <v>8608310.8100000005</v>
      </c>
      <c r="BU23" s="116">
        <f t="shared" si="167"/>
        <v>105822.69</v>
      </c>
      <c r="BV23" s="117">
        <f t="shared" si="167"/>
        <v>8714133.5</v>
      </c>
      <c r="BW23" s="141" t="str">
        <f t="shared" si="63"/>
        <v/>
      </c>
      <c r="BX23" s="113">
        <f t="shared" si="64"/>
        <v>1367086.82</v>
      </c>
      <c r="BY23" s="114">
        <f t="shared" si="65"/>
        <v>0</v>
      </c>
      <c r="BZ23" s="115">
        <f t="shared" si="66"/>
        <v>1367086.82</v>
      </c>
      <c r="CA23" s="123" t="str">
        <f t="shared" si="67"/>
        <v/>
      </c>
      <c r="CB23" s="333" t="str">
        <f t="shared" si="68"/>
        <v/>
      </c>
      <c r="CY23" s="294"/>
      <c r="DF23" s="296"/>
    </row>
    <row r="24" spans="1:110" ht="15.75" customHeight="1">
      <c r="A24" s="420">
        <f t="shared" si="0"/>
        <v>112014169</v>
      </c>
      <c r="B24" s="565">
        <f t="shared" si="1"/>
        <v>7</v>
      </c>
      <c r="C24" s="558">
        <f t="shared" si="2"/>
        <v>0.1</v>
      </c>
      <c r="D24" s="558">
        <f t="shared" si="3"/>
        <v>0.2</v>
      </c>
      <c r="E24" s="715">
        <f t="shared" si="4"/>
        <v>0</v>
      </c>
      <c r="F24" s="701">
        <f t="shared" si="5"/>
        <v>7</v>
      </c>
      <c r="G24" s="700">
        <f t="shared" si="6"/>
        <v>0.1</v>
      </c>
      <c r="H24" s="700">
        <f t="shared" si="7"/>
        <v>0.2</v>
      </c>
      <c r="I24" s="700">
        <f t="shared" si="8"/>
        <v>0</v>
      </c>
      <c r="J24" s="547">
        <f t="shared" si="9"/>
        <v>62</v>
      </c>
      <c r="K24" s="699">
        <f t="shared" si="10"/>
        <v>0.1</v>
      </c>
      <c r="L24" s="702">
        <f t="shared" si="11"/>
        <v>0.11</v>
      </c>
      <c r="M24" s="139" t="s">
        <v>529</v>
      </c>
      <c r="N24" s="423">
        <f t="shared" si="156"/>
        <v>0</v>
      </c>
      <c r="O24" s="326">
        <v>1800000</v>
      </c>
      <c r="P24" s="326">
        <f t="shared" si="13"/>
        <v>782884.08</v>
      </c>
      <c r="Q24" s="326">
        <f t="shared" si="14"/>
        <v>0</v>
      </c>
      <c r="R24" s="716">
        <f t="shared" si="15"/>
        <v>782884.08</v>
      </c>
      <c r="S24" s="326">
        <f t="shared" si="16"/>
        <v>-1017115.92</v>
      </c>
      <c r="T24" s="137">
        <f t="shared" si="83"/>
        <v>0.43493559999999998</v>
      </c>
      <c r="U24" s="326">
        <f t="shared" si="18"/>
        <v>953674.08</v>
      </c>
      <c r="V24" s="332">
        <v>1800000</v>
      </c>
      <c r="W24" s="140">
        <f t="shared" si="19"/>
        <v>0</v>
      </c>
      <c r="X24" s="326">
        <f t="shared" si="20"/>
        <v>494631.2</v>
      </c>
      <c r="Y24" s="717">
        <f t="shared" si="21"/>
        <v>494631.2</v>
      </c>
      <c r="Z24" s="123">
        <f t="shared" si="22"/>
        <v>-1305368.8</v>
      </c>
      <c r="AA24" s="137">
        <f t="shared" si="84"/>
        <v>0.2747951111111111</v>
      </c>
      <c r="AB24" s="326">
        <f t="shared" si="157"/>
        <v>0</v>
      </c>
      <c r="AC24" s="326">
        <v>1800000</v>
      </c>
      <c r="AD24" s="326">
        <f t="shared" si="25"/>
        <v>781604.96</v>
      </c>
      <c r="AE24" s="326">
        <f t="shared" si="26"/>
        <v>0</v>
      </c>
      <c r="AF24" s="716">
        <f t="shared" si="27"/>
        <v>781604.96</v>
      </c>
      <c r="AG24" s="326">
        <f t="shared" si="28"/>
        <v>-1018395.04</v>
      </c>
      <c r="AH24" s="137">
        <f t="shared" si="29"/>
        <v>0.43422497777777774</v>
      </c>
      <c r="AI24" s="332">
        <f t="shared" si="30"/>
        <v>5400000</v>
      </c>
      <c r="AJ24" s="140">
        <f t="shared" si="31"/>
        <v>2297316.2999999998</v>
      </c>
      <c r="AK24" s="326">
        <f t="shared" si="32"/>
        <v>1564489.0399999998</v>
      </c>
      <c r="AL24" s="326">
        <f t="shared" ref="AL24:AM24" si="168">SUM(AE24,X24,Q24)</f>
        <v>494631.2</v>
      </c>
      <c r="AM24" s="326">
        <f t="shared" si="168"/>
        <v>2059120.2399999998</v>
      </c>
      <c r="AN24" s="326">
        <f t="shared" si="70"/>
        <v>-3340879.7600000002</v>
      </c>
      <c r="AO24" s="413">
        <f t="shared" si="79"/>
        <v>0.8963155138889668</v>
      </c>
      <c r="AP24" s="423">
        <f t="shared" si="35"/>
        <v>0</v>
      </c>
      <c r="AQ24" s="326">
        <f t="shared" si="36"/>
        <v>2469089.7000000002</v>
      </c>
      <c r="AR24" s="326">
        <f t="shared" si="37"/>
        <v>0</v>
      </c>
      <c r="AS24" s="333">
        <f t="shared" si="38"/>
        <v>2469089.7000000002</v>
      </c>
      <c r="AT24" s="434">
        <f t="shared" si="159"/>
        <v>143718.24</v>
      </c>
      <c r="AU24" s="140">
        <f t="shared" si="40"/>
        <v>0</v>
      </c>
      <c r="AV24" s="326">
        <f t="shared" si="41"/>
        <v>0</v>
      </c>
      <c r="AW24" s="333">
        <f t="shared" si="42"/>
        <v>0</v>
      </c>
      <c r="AX24" s="125">
        <f t="shared" si="160"/>
        <v>1144966.58</v>
      </c>
      <c r="AY24" s="140">
        <f t="shared" si="44"/>
        <v>623935.62</v>
      </c>
      <c r="AZ24" s="326">
        <f t="shared" si="45"/>
        <v>190079.52</v>
      </c>
      <c r="BA24" s="332">
        <f t="shared" si="46"/>
        <v>814015.14</v>
      </c>
      <c r="BB24" s="122">
        <f t="shared" ref="BB24:BD24" si="169">AY24+AU24+AQ24</f>
        <v>3093025.3200000003</v>
      </c>
      <c r="BC24" s="326">
        <f t="shared" si="169"/>
        <v>190079.52</v>
      </c>
      <c r="BD24" s="332">
        <f t="shared" si="169"/>
        <v>3283104.8400000003</v>
      </c>
      <c r="BE24" s="122">
        <f t="shared" si="48"/>
        <v>4657514.3600000003</v>
      </c>
      <c r="BF24" s="326">
        <f t="shared" ref="BF24:BG24" si="170">AL24+BC24</f>
        <v>684710.72</v>
      </c>
      <c r="BG24" s="435">
        <f t="shared" si="170"/>
        <v>5342225.08</v>
      </c>
      <c r="BH24" s="125">
        <f t="shared" si="50"/>
        <v>0</v>
      </c>
      <c r="BI24" s="140">
        <f t="shared" si="51"/>
        <v>0</v>
      </c>
      <c r="BJ24" s="123">
        <f t="shared" si="52"/>
        <v>0</v>
      </c>
      <c r="BK24" s="125">
        <f t="shared" si="53"/>
        <v>0</v>
      </c>
      <c r="BL24" s="123">
        <f t="shared" si="54"/>
        <v>0</v>
      </c>
      <c r="BM24" s="140">
        <f t="shared" si="55"/>
        <v>593496.06000000006</v>
      </c>
      <c r="BN24" s="326">
        <f t="shared" si="56"/>
        <v>222470.8</v>
      </c>
      <c r="BO24" s="332">
        <f t="shared" si="57"/>
        <v>815966.86</v>
      </c>
      <c r="BP24" s="141">
        <f t="shared" si="58"/>
        <v>1229947.52</v>
      </c>
      <c r="BQ24" s="140">
        <f t="shared" si="59"/>
        <v>0</v>
      </c>
      <c r="BR24" s="326">
        <f t="shared" si="60"/>
        <v>171071.6</v>
      </c>
      <c r="BS24" s="333">
        <f t="shared" si="61"/>
        <v>171071.6</v>
      </c>
      <c r="BT24" s="113">
        <f t="shared" ref="BT24:BV24" si="171">SUM(BQ24,BM24,BI24)</f>
        <v>593496.06000000006</v>
      </c>
      <c r="BU24" s="116">
        <f t="shared" si="171"/>
        <v>393542.40000000002</v>
      </c>
      <c r="BV24" s="117">
        <f t="shared" si="171"/>
        <v>987038.46</v>
      </c>
      <c r="BW24" s="141">
        <f t="shared" si="63"/>
        <v>789364.84</v>
      </c>
      <c r="BX24" s="113">
        <f t="shared" si="64"/>
        <v>1630941.2</v>
      </c>
      <c r="BY24" s="114">
        <f t="shared" si="65"/>
        <v>0</v>
      </c>
      <c r="BZ24" s="115">
        <f t="shared" si="66"/>
        <v>1630941.2</v>
      </c>
      <c r="CA24" s="123">
        <f t="shared" si="67"/>
        <v>1398656.34</v>
      </c>
      <c r="CB24" s="333">
        <f t="shared" si="68"/>
        <v>109295.12</v>
      </c>
      <c r="CY24" s="294"/>
      <c r="DF24" s="296"/>
    </row>
    <row r="25" spans="1:110" ht="15.75" customHeight="1">
      <c r="A25" s="420">
        <f t="shared" si="0"/>
        <v>112014773</v>
      </c>
      <c r="B25" s="565" t="e">
        <f t="shared" si="1"/>
        <v>#N/A</v>
      </c>
      <c r="C25" s="558" t="str">
        <f t="shared" si="2"/>
        <v/>
      </c>
      <c r="D25" s="558" t="str">
        <f t="shared" si="3"/>
        <v/>
      </c>
      <c r="E25" s="715" t="str">
        <f t="shared" si="4"/>
        <v/>
      </c>
      <c r="F25" s="701" t="e">
        <f t="shared" si="5"/>
        <v>#N/A</v>
      </c>
      <c r="G25" s="700" t="str">
        <f t="shared" si="6"/>
        <v/>
      </c>
      <c r="H25" s="700" t="str">
        <f t="shared" si="7"/>
        <v/>
      </c>
      <c r="I25" s="700" t="str">
        <f t="shared" si="8"/>
        <v/>
      </c>
      <c r="J25" s="547">
        <f t="shared" si="9"/>
        <v>62</v>
      </c>
      <c r="K25" s="699">
        <f t="shared" si="10"/>
        <v>0.1</v>
      </c>
      <c r="L25" s="702">
        <f t="shared" si="11"/>
        <v>0.11</v>
      </c>
      <c r="M25" s="246" t="s">
        <v>530</v>
      </c>
      <c r="N25" s="423" t="str">
        <f t="shared" si="156"/>
        <v/>
      </c>
      <c r="O25" s="326">
        <v>1800000</v>
      </c>
      <c r="P25" s="326" t="e">
        <f t="shared" si="13"/>
        <v>#VALUE!</v>
      </c>
      <c r="Q25" s="326" t="str">
        <f t="shared" si="14"/>
        <v/>
      </c>
      <c r="R25" s="716">
        <f t="shared" si="15"/>
        <v>0</v>
      </c>
      <c r="S25" s="326">
        <f t="shared" si="16"/>
        <v>-1800000</v>
      </c>
      <c r="T25" s="137">
        <f t="shared" si="83"/>
        <v>0</v>
      </c>
      <c r="U25" s="326" t="str">
        <f t="shared" si="18"/>
        <v/>
      </c>
      <c r="V25" s="332">
        <v>1800000</v>
      </c>
      <c r="W25" s="140" t="e">
        <f t="shared" si="19"/>
        <v>#VALUE!</v>
      </c>
      <c r="X25" s="326" t="str">
        <f t="shared" si="20"/>
        <v/>
      </c>
      <c r="Y25" s="717">
        <f t="shared" si="21"/>
        <v>0</v>
      </c>
      <c r="Z25" s="123">
        <f t="shared" si="22"/>
        <v>-1800000</v>
      </c>
      <c r="AA25" s="137">
        <f t="shared" si="84"/>
        <v>0</v>
      </c>
      <c r="AB25" s="326" t="str">
        <f t="shared" si="157"/>
        <v/>
      </c>
      <c r="AC25" s="326" t="e">
        <f t="shared" ref="AC25:AC26" si="172">(AB25*1.5955)*1.05</f>
        <v>#VALUE!</v>
      </c>
      <c r="AD25" s="326" t="e">
        <f t="shared" si="25"/>
        <v>#VALUE!</v>
      </c>
      <c r="AE25" s="326" t="str">
        <f t="shared" si="26"/>
        <v/>
      </c>
      <c r="AF25" s="716">
        <f t="shared" si="27"/>
        <v>0</v>
      </c>
      <c r="AG25" s="326" t="e">
        <f t="shared" si="28"/>
        <v>#VALUE!</v>
      </c>
      <c r="AH25" s="137" t="e">
        <f t="shared" si="29"/>
        <v>#VALUE!</v>
      </c>
      <c r="AI25" s="332" t="e">
        <f t="shared" si="30"/>
        <v>#VALUE!</v>
      </c>
      <c r="AJ25" s="140" t="str">
        <f t="shared" si="31"/>
        <v>0</v>
      </c>
      <c r="AK25" s="326">
        <f t="shared" si="32"/>
        <v>0</v>
      </c>
      <c r="AL25" s="326">
        <f t="shared" ref="AL25:AM25" si="173">SUM(AE25,X25,Q25)</f>
        <v>0</v>
      </c>
      <c r="AM25" s="326">
        <f t="shared" si="173"/>
        <v>0</v>
      </c>
      <c r="AN25" s="326" t="e">
        <f t="shared" si="70"/>
        <v>#VALUE!</v>
      </c>
      <c r="AO25" s="413" t="str">
        <f t="shared" si="79"/>
        <v/>
      </c>
      <c r="AP25" s="423" t="str">
        <f t="shared" si="35"/>
        <v/>
      </c>
      <c r="AQ25" s="326" t="e">
        <f t="shared" si="36"/>
        <v>#VALUE!</v>
      </c>
      <c r="AR25" s="326" t="str">
        <f t="shared" si="37"/>
        <v/>
      </c>
      <c r="AS25" s="333">
        <f t="shared" si="38"/>
        <v>0</v>
      </c>
      <c r="AT25" s="434" t="str">
        <f t="shared" si="159"/>
        <v/>
      </c>
      <c r="AU25" s="140" t="e">
        <f t="shared" si="40"/>
        <v>#VALUE!</v>
      </c>
      <c r="AV25" s="326" t="str">
        <f t="shared" si="41"/>
        <v/>
      </c>
      <c r="AW25" s="333">
        <f t="shared" si="42"/>
        <v>0</v>
      </c>
      <c r="AX25" s="125" t="str">
        <f t="shared" si="160"/>
        <v/>
      </c>
      <c r="AY25" s="140" t="e">
        <f t="shared" si="44"/>
        <v>#VALUE!</v>
      </c>
      <c r="AZ25" s="326" t="str">
        <f t="shared" si="45"/>
        <v/>
      </c>
      <c r="BA25" s="332">
        <f t="shared" si="46"/>
        <v>0</v>
      </c>
      <c r="BB25" s="122" t="e">
        <f t="shared" ref="BB25:BD25" si="174">AY25+AU25+AQ25</f>
        <v>#VALUE!</v>
      </c>
      <c r="BC25" s="326" t="e">
        <f t="shared" si="174"/>
        <v>#VALUE!</v>
      </c>
      <c r="BD25" s="332">
        <f t="shared" si="174"/>
        <v>0</v>
      </c>
      <c r="BE25" s="122" t="e">
        <f t="shared" si="48"/>
        <v>#VALUE!</v>
      </c>
      <c r="BF25" s="326" t="e">
        <f t="shared" ref="BF25:BG25" si="175">AL25+BC25</f>
        <v>#VALUE!</v>
      </c>
      <c r="BG25" s="435">
        <f t="shared" si="175"/>
        <v>0</v>
      </c>
      <c r="BH25" s="125" t="str">
        <f t="shared" si="50"/>
        <v/>
      </c>
      <c r="BI25" s="140" t="e">
        <f t="shared" si="51"/>
        <v>#VALUE!</v>
      </c>
      <c r="BJ25" s="123" t="str">
        <f t="shared" si="52"/>
        <v/>
      </c>
      <c r="BK25" s="125">
        <f t="shared" si="53"/>
        <v>0</v>
      </c>
      <c r="BL25" s="123" t="str">
        <f t="shared" si="54"/>
        <v/>
      </c>
      <c r="BM25" s="140" t="e">
        <f t="shared" si="55"/>
        <v>#VALUE!</v>
      </c>
      <c r="BN25" s="326" t="str">
        <f t="shared" si="56"/>
        <v/>
      </c>
      <c r="BO25" s="332">
        <f t="shared" si="57"/>
        <v>0</v>
      </c>
      <c r="BP25" s="141" t="str">
        <f t="shared" si="58"/>
        <v/>
      </c>
      <c r="BQ25" s="140" t="e">
        <f t="shared" si="59"/>
        <v>#VALUE!</v>
      </c>
      <c r="BR25" s="326" t="str">
        <f t="shared" si="60"/>
        <v/>
      </c>
      <c r="BS25" s="333">
        <f t="shared" si="61"/>
        <v>0</v>
      </c>
      <c r="BT25" s="113" t="e">
        <f t="shared" ref="BT25:BV25" si="176">SUM(BQ25,BM25,BI25)</f>
        <v>#VALUE!</v>
      </c>
      <c r="BU25" s="116">
        <f t="shared" si="176"/>
        <v>0</v>
      </c>
      <c r="BV25" s="117">
        <f t="shared" si="176"/>
        <v>0</v>
      </c>
      <c r="BW25" s="141" t="str">
        <f t="shared" si="63"/>
        <v/>
      </c>
      <c r="BX25" s="113" t="e">
        <f t="shared" si="64"/>
        <v>#VALUE!</v>
      </c>
      <c r="BY25" s="114" t="str">
        <f t="shared" si="65"/>
        <v/>
      </c>
      <c r="BZ25" s="115">
        <f t="shared" si="66"/>
        <v>532252.07999999996</v>
      </c>
      <c r="CA25" s="123" t="str">
        <f t="shared" si="67"/>
        <v/>
      </c>
      <c r="CB25" s="333" t="str">
        <f t="shared" si="68"/>
        <v/>
      </c>
      <c r="CY25" s="294"/>
      <c r="DF25" s="296"/>
    </row>
    <row r="26" spans="1:110" ht="15.75" customHeight="1">
      <c r="A26" s="420">
        <f t="shared" si="0"/>
        <v>112014380</v>
      </c>
      <c r="B26" s="565">
        <f t="shared" si="1"/>
        <v>7</v>
      </c>
      <c r="C26" s="558">
        <f t="shared" si="2"/>
        <v>0.1</v>
      </c>
      <c r="D26" s="558">
        <f t="shared" si="3"/>
        <v>0.2</v>
      </c>
      <c r="E26" s="715">
        <f t="shared" si="4"/>
        <v>0</v>
      </c>
      <c r="F26" s="701">
        <f t="shared" si="5"/>
        <v>7</v>
      </c>
      <c r="G26" s="700">
        <f t="shared" si="6"/>
        <v>0.1</v>
      </c>
      <c r="H26" s="700">
        <f t="shared" si="7"/>
        <v>0.2</v>
      </c>
      <c r="I26" s="700">
        <f t="shared" si="8"/>
        <v>0</v>
      </c>
      <c r="J26" s="547">
        <f t="shared" si="9"/>
        <v>62</v>
      </c>
      <c r="K26" s="699">
        <f t="shared" si="10"/>
        <v>0.1</v>
      </c>
      <c r="L26" s="702">
        <f t="shared" si="11"/>
        <v>0.11</v>
      </c>
      <c r="M26" s="139" t="s">
        <v>531</v>
      </c>
      <c r="N26" s="423">
        <f t="shared" si="156"/>
        <v>0</v>
      </c>
      <c r="O26" s="326">
        <v>1800000</v>
      </c>
      <c r="P26" s="326">
        <f t="shared" si="13"/>
        <v>2504744.4699999997</v>
      </c>
      <c r="Q26" s="326">
        <f t="shared" si="14"/>
        <v>716598.08</v>
      </c>
      <c r="R26" s="716">
        <f t="shared" si="15"/>
        <v>3221342.55</v>
      </c>
      <c r="S26" s="326">
        <f t="shared" si="16"/>
        <v>1421342.5499999998</v>
      </c>
      <c r="T26" s="137">
        <f t="shared" si="83"/>
        <v>1.7896347499999998</v>
      </c>
      <c r="U26" s="326">
        <f t="shared" si="18"/>
        <v>258821.08</v>
      </c>
      <c r="V26" s="332">
        <v>1800000</v>
      </c>
      <c r="W26" s="140">
        <f t="shared" si="19"/>
        <v>976457.18</v>
      </c>
      <c r="X26" s="326">
        <f t="shared" si="20"/>
        <v>961180.08</v>
      </c>
      <c r="Y26" s="717">
        <f t="shared" si="21"/>
        <v>1937637.26</v>
      </c>
      <c r="Z26" s="123">
        <f t="shared" si="22"/>
        <v>137637.26</v>
      </c>
      <c r="AA26" s="137">
        <f t="shared" si="84"/>
        <v>1.0764651444444444</v>
      </c>
      <c r="AB26" s="326">
        <f t="shared" si="157"/>
        <v>1862997.62</v>
      </c>
      <c r="AC26" s="326">
        <f t="shared" si="172"/>
        <v>3121033.3378455001</v>
      </c>
      <c r="AD26" s="326">
        <f t="shared" si="25"/>
        <v>2178073</v>
      </c>
      <c r="AE26" s="326">
        <f t="shared" si="26"/>
        <v>342677.22</v>
      </c>
      <c r="AF26" s="716">
        <f t="shared" si="27"/>
        <v>2520750.2200000002</v>
      </c>
      <c r="AG26" s="326">
        <f t="shared" si="28"/>
        <v>-600283.11784549989</v>
      </c>
      <c r="AH26" s="137">
        <f t="shared" si="29"/>
        <v>0.80766526567771779</v>
      </c>
      <c r="AI26" s="332">
        <f t="shared" si="30"/>
        <v>6721033.3378455006</v>
      </c>
      <c r="AJ26" s="140">
        <f t="shared" si="31"/>
        <v>7139775.8300000001</v>
      </c>
      <c r="AK26" s="326">
        <f t="shared" si="32"/>
        <v>5659274.6500000004</v>
      </c>
      <c r="AL26" s="326">
        <f t="shared" ref="AL26:AM26" si="177">SUM(AE26,X26,Q26)</f>
        <v>2020455.38</v>
      </c>
      <c r="AM26" s="326">
        <f t="shared" si="177"/>
        <v>7679730.0300000003</v>
      </c>
      <c r="AN26" s="326">
        <f t="shared" si="70"/>
        <v>958696.6921544997</v>
      </c>
      <c r="AO26" s="413">
        <f t="shared" si="79"/>
        <v>1.0756262119226789</v>
      </c>
      <c r="AP26" s="423">
        <f t="shared" si="35"/>
        <v>311409.09999999998</v>
      </c>
      <c r="AQ26" s="326">
        <f t="shared" si="36"/>
        <v>3053312.1800000006</v>
      </c>
      <c r="AR26" s="326">
        <f t="shared" si="37"/>
        <v>1401551.76</v>
      </c>
      <c r="AS26" s="333">
        <f t="shared" si="38"/>
        <v>4454863.9400000004</v>
      </c>
      <c r="AT26" s="434">
        <f t="shared" si="159"/>
        <v>857773.18</v>
      </c>
      <c r="AU26" s="140">
        <f t="shared" si="40"/>
        <v>550166.36</v>
      </c>
      <c r="AV26" s="326">
        <f t="shared" si="41"/>
        <v>778722.08</v>
      </c>
      <c r="AW26" s="333">
        <f t="shared" si="42"/>
        <v>1328888.44</v>
      </c>
      <c r="AX26" s="125">
        <f t="shared" si="160"/>
        <v>1279877.6399999999</v>
      </c>
      <c r="AY26" s="140">
        <f t="shared" si="44"/>
        <v>1221092.77</v>
      </c>
      <c r="AZ26" s="326">
        <f t="shared" si="45"/>
        <v>855860.16</v>
      </c>
      <c r="BA26" s="332">
        <f t="shared" si="46"/>
        <v>2076952.93</v>
      </c>
      <c r="BB26" s="122">
        <f t="shared" ref="BB26:BD26" si="178">AY26+AU26+AQ26</f>
        <v>4824571.3100000005</v>
      </c>
      <c r="BC26" s="326">
        <f t="shared" si="178"/>
        <v>3036134</v>
      </c>
      <c r="BD26" s="332">
        <f t="shared" si="178"/>
        <v>7860705.3100000005</v>
      </c>
      <c r="BE26" s="122">
        <f t="shared" si="48"/>
        <v>10483845.960000001</v>
      </c>
      <c r="BF26" s="326">
        <f t="shared" ref="BF26:BG26" si="179">AL26+BC26</f>
        <v>5056589.38</v>
      </c>
      <c r="BG26" s="435">
        <f t="shared" si="179"/>
        <v>15540435.34</v>
      </c>
      <c r="BH26" s="125">
        <f t="shared" si="50"/>
        <v>982662.67</v>
      </c>
      <c r="BI26" s="140">
        <f t="shared" si="51"/>
        <v>1869969.7500000002</v>
      </c>
      <c r="BJ26" s="123">
        <f t="shared" si="52"/>
        <v>1096493.2</v>
      </c>
      <c r="BK26" s="125">
        <f t="shared" si="53"/>
        <v>2966462.95</v>
      </c>
      <c r="BL26" s="123">
        <f t="shared" si="54"/>
        <v>1068312.26</v>
      </c>
      <c r="BM26" s="140">
        <f t="shared" si="55"/>
        <v>1260142.78</v>
      </c>
      <c r="BN26" s="326">
        <f t="shared" si="56"/>
        <v>591133.43999999994</v>
      </c>
      <c r="BO26" s="332">
        <f t="shared" si="57"/>
        <v>1851276.22</v>
      </c>
      <c r="BP26" s="141">
        <f t="shared" si="58"/>
        <v>1679791.18</v>
      </c>
      <c r="BQ26" s="140">
        <f t="shared" si="59"/>
        <v>2170899.4899999998</v>
      </c>
      <c r="BR26" s="326">
        <f t="shared" si="60"/>
        <v>772208.64000000001</v>
      </c>
      <c r="BS26" s="333">
        <f t="shared" si="61"/>
        <v>2943108.13</v>
      </c>
      <c r="BT26" s="113">
        <f t="shared" ref="BT26:BV26" si="180">SUM(BQ26,BM26,BI26)</f>
        <v>5301012.0199999996</v>
      </c>
      <c r="BU26" s="116">
        <f t="shared" si="180"/>
        <v>2459835.2800000003</v>
      </c>
      <c r="BV26" s="117">
        <f t="shared" si="180"/>
        <v>7760847.2999999998</v>
      </c>
      <c r="BW26" s="141">
        <f t="shared" si="63"/>
        <v>4075575.81</v>
      </c>
      <c r="BX26" s="113">
        <f t="shared" si="64"/>
        <v>5630764.3599999994</v>
      </c>
      <c r="BY26" s="114">
        <f t="shared" si="65"/>
        <v>757053.91</v>
      </c>
      <c r="BZ26" s="115">
        <f t="shared" si="66"/>
        <v>6387818.2699999996</v>
      </c>
      <c r="CA26" s="123">
        <f t="shared" si="67"/>
        <v>1637205.91</v>
      </c>
      <c r="CB26" s="333">
        <f t="shared" si="68"/>
        <v>1426994.1</v>
      </c>
      <c r="CY26" s="294"/>
      <c r="DF26" s="296"/>
    </row>
    <row r="27" spans="1:110" ht="15.75" customHeight="1">
      <c r="A27" s="420">
        <f t="shared" si="0"/>
        <v>112014109</v>
      </c>
      <c r="B27" s="565">
        <f t="shared" si="1"/>
        <v>7</v>
      </c>
      <c r="C27" s="558">
        <f t="shared" si="2"/>
        <v>0.1</v>
      </c>
      <c r="D27" s="558">
        <f t="shared" si="3"/>
        <v>0.2</v>
      </c>
      <c r="E27" s="715">
        <f t="shared" si="4"/>
        <v>0</v>
      </c>
      <c r="F27" s="701">
        <f t="shared" si="5"/>
        <v>7</v>
      </c>
      <c r="G27" s="700">
        <f t="shared" si="6"/>
        <v>0.1</v>
      </c>
      <c r="H27" s="700">
        <f t="shared" si="7"/>
        <v>0.2</v>
      </c>
      <c r="I27" s="700">
        <f t="shared" si="8"/>
        <v>0</v>
      </c>
      <c r="J27" s="547">
        <f t="shared" si="9"/>
        <v>62</v>
      </c>
      <c r="K27" s="699">
        <f t="shared" si="10"/>
        <v>0.1</v>
      </c>
      <c r="L27" s="702">
        <f t="shared" si="11"/>
        <v>0.11</v>
      </c>
      <c r="M27" s="139" t="s">
        <v>532</v>
      </c>
      <c r="N27" s="423">
        <f t="shared" si="156"/>
        <v>307259.57</v>
      </c>
      <c r="O27" s="326">
        <v>1800000</v>
      </c>
      <c r="P27" s="326">
        <f t="shared" si="13"/>
        <v>0</v>
      </c>
      <c r="Q27" s="326">
        <f t="shared" si="14"/>
        <v>0</v>
      </c>
      <c r="R27" s="716">
        <f t="shared" si="15"/>
        <v>0</v>
      </c>
      <c r="S27" s="326">
        <f t="shared" si="16"/>
        <v>-1800000</v>
      </c>
      <c r="T27" s="137">
        <f t="shared" si="83"/>
        <v>0</v>
      </c>
      <c r="U27" s="326">
        <f t="shared" si="18"/>
        <v>272706.03999999998</v>
      </c>
      <c r="V27" s="332">
        <v>1800000</v>
      </c>
      <c r="W27" s="140">
        <f t="shared" si="19"/>
        <v>0</v>
      </c>
      <c r="X27" s="326">
        <f t="shared" si="20"/>
        <v>0</v>
      </c>
      <c r="Y27" s="717">
        <f t="shared" si="21"/>
        <v>0</v>
      </c>
      <c r="Z27" s="123">
        <f t="shared" si="22"/>
        <v>-1800000</v>
      </c>
      <c r="AA27" s="137">
        <f t="shared" si="84"/>
        <v>0</v>
      </c>
      <c r="AB27" s="326">
        <f t="shared" si="157"/>
        <v>164224</v>
      </c>
      <c r="AC27" s="326">
        <v>1800000</v>
      </c>
      <c r="AD27" s="326">
        <f t="shared" si="25"/>
        <v>0</v>
      </c>
      <c r="AE27" s="326">
        <f t="shared" si="26"/>
        <v>0</v>
      </c>
      <c r="AF27" s="716">
        <f t="shared" si="27"/>
        <v>0</v>
      </c>
      <c r="AG27" s="326">
        <f t="shared" si="28"/>
        <v>-1800000</v>
      </c>
      <c r="AH27" s="137">
        <f t="shared" si="29"/>
        <v>0</v>
      </c>
      <c r="AI27" s="332">
        <f t="shared" si="30"/>
        <v>5400000</v>
      </c>
      <c r="AJ27" s="140" t="str">
        <f t="shared" si="31"/>
        <v>0</v>
      </c>
      <c r="AK27" s="326">
        <f t="shared" si="32"/>
        <v>0</v>
      </c>
      <c r="AL27" s="326">
        <f t="shared" ref="AL27:AM27" si="181">SUM(AE27,X27,Q27)</f>
        <v>0</v>
      </c>
      <c r="AM27" s="326">
        <f t="shared" si="181"/>
        <v>0</v>
      </c>
      <c r="AN27" s="326">
        <f t="shared" si="70"/>
        <v>-5400000</v>
      </c>
      <c r="AO27" s="413" t="str">
        <f t="shared" si="79"/>
        <v/>
      </c>
      <c r="AP27" s="423">
        <f t="shared" si="35"/>
        <v>159558.39999999999</v>
      </c>
      <c r="AQ27" s="326">
        <f t="shared" si="36"/>
        <v>0</v>
      </c>
      <c r="AR27" s="326">
        <f t="shared" si="37"/>
        <v>0</v>
      </c>
      <c r="AS27" s="333">
        <f t="shared" si="38"/>
        <v>0</v>
      </c>
      <c r="AT27" s="434">
        <f t="shared" si="159"/>
        <v>104479.67999999999</v>
      </c>
      <c r="AU27" s="140">
        <f t="shared" si="40"/>
        <v>0</v>
      </c>
      <c r="AV27" s="326">
        <f t="shared" si="41"/>
        <v>0</v>
      </c>
      <c r="AW27" s="333">
        <f t="shared" si="42"/>
        <v>0</v>
      </c>
      <c r="AX27" s="125">
        <f t="shared" si="160"/>
        <v>48687.44</v>
      </c>
      <c r="AY27" s="140">
        <f t="shared" si="44"/>
        <v>0</v>
      </c>
      <c r="AZ27" s="326">
        <f t="shared" si="45"/>
        <v>0</v>
      </c>
      <c r="BA27" s="332">
        <f t="shared" si="46"/>
        <v>0</v>
      </c>
      <c r="BB27" s="122">
        <f t="shared" ref="BB27:BD27" si="182">AY27+AU27+AQ27</f>
        <v>0</v>
      </c>
      <c r="BC27" s="326">
        <f t="shared" si="182"/>
        <v>0</v>
      </c>
      <c r="BD27" s="332">
        <f t="shared" si="182"/>
        <v>0</v>
      </c>
      <c r="BE27" s="122">
        <f t="shared" si="48"/>
        <v>0</v>
      </c>
      <c r="BF27" s="326">
        <f t="shared" ref="BF27:BG27" si="183">AL27+BC27</f>
        <v>0</v>
      </c>
      <c r="BG27" s="435">
        <f t="shared" si="183"/>
        <v>0</v>
      </c>
      <c r="BH27" s="125">
        <f t="shared" si="50"/>
        <v>229985.66</v>
      </c>
      <c r="BI27" s="140">
        <f t="shared" si="51"/>
        <v>0</v>
      </c>
      <c r="BJ27" s="123">
        <f t="shared" si="52"/>
        <v>169549.2</v>
      </c>
      <c r="BK27" s="125">
        <f t="shared" si="53"/>
        <v>169549.2</v>
      </c>
      <c r="BL27" s="123">
        <f t="shared" si="54"/>
        <v>161735.87</v>
      </c>
      <c r="BM27" s="140">
        <f t="shared" si="55"/>
        <v>0</v>
      </c>
      <c r="BN27" s="326">
        <f t="shared" si="56"/>
        <v>386055.6</v>
      </c>
      <c r="BO27" s="332">
        <f t="shared" si="57"/>
        <v>386055.6</v>
      </c>
      <c r="BP27" s="141">
        <f t="shared" si="58"/>
        <v>0</v>
      </c>
      <c r="BQ27" s="140">
        <f t="shared" si="59"/>
        <v>0</v>
      </c>
      <c r="BR27" s="326">
        <f t="shared" si="60"/>
        <v>292907.28000000003</v>
      </c>
      <c r="BS27" s="333">
        <f t="shared" si="61"/>
        <v>292907.28000000003</v>
      </c>
      <c r="BT27" s="113">
        <f t="shared" ref="BT27:BV27" si="184">SUM(BQ27,BM27,BI27)</f>
        <v>0</v>
      </c>
      <c r="BU27" s="116">
        <f t="shared" si="184"/>
        <v>848512.08000000007</v>
      </c>
      <c r="BV27" s="117">
        <f t="shared" si="184"/>
        <v>848512.08000000007</v>
      </c>
      <c r="BW27" s="141">
        <f t="shared" si="63"/>
        <v>0</v>
      </c>
      <c r="BX27" s="113">
        <f t="shared" si="64"/>
        <v>0</v>
      </c>
      <c r="BY27" s="114">
        <f t="shared" si="65"/>
        <v>137750.20000000001</v>
      </c>
      <c r="BZ27" s="115">
        <f t="shared" si="66"/>
        <v>137750.20000000001</v>
      </c>
      <c r="CA27" s="123">
        <f t="shared" si="67"/>
        <v>0</v>
      </c>
      <c r="CB27" s="333">
        <f t="shared" si="68"/>
        <v>0</v>
      </c>
      <c r="CY27" s="294"/>
      <c r="DF27" s="296"/>
    </row>
    <row r="28" spans="1:110" ht="15.75" customHeight="1">
      <c r="A28" s="420">
        <f t="shared" si="0"/>
        <v>112014517</v>
      </c>
      <c r="B28" s="565">
        <f t="shared" si="1"/>
        <v>7</v>
      </c>
      <c r="C28" s="558">
        <f t="shared" si="2"/>
        <v>0.1</v>
      </c>
      <c r="D28" s="558">
        <f t="shared" si="3"/>
        <v>0.2</v>
      </c>
      <c r="E28" s="715">
        <f t="shared" si="4"/>
        <v>0</v>
      </c>
      <c r="F28" s="701">
        <f t="shared" si="5"/>
        <v>7</v>
      </c>
      <c r="G28" s="700">
        <f t="shared" si="6"/>
        <v>0.1</v>
      </c>
      <c r="H28" s="700">
        <f t="shared" si="7"/>
        <v>0.2</v>
      </c>
      <c r="I28" s="700">
        <f t="shared" si="8"/>
        <v>0</v>
      </c>
      <c r="J28" s="547">
        <f t="shared" si="9"/>
        <v>62</v>
      </c>
      <c r="K28" s="699">
        <f t="shared" si="10"/>
        <v>0.1</v>
      </c>
      <c r="L28" s="702">
        <f t="shared" si="11"/>
        <v>0.11</v>
      </c>
      <c r="M28" s="139" t="s">
        <v>533</v>
      </c>
      <c r="N28" s="423">
        <f t="shared" si="156"/>
        <v>0</v>
      </c>
      <c r="O28" s="326">
        <v>1800000</v>
      </c>
      <c r="P28" s="326">
        <f t="shared" si="13"/>
        <v>990081.39</v>
      </c>
      <c r="Q28" s="326">
        <f t="shared" si="14"/>
        <v>0</v>
      </c>
      <c r="R28" s="716">
        <f t="shared" si="15"/>
        <v>990081.39</v>
      </c>
      <c r="S28" s="326">
        <f t="shared" si="16"/>
        <v>-809918.61</v>
      </c>
      <c r="T28" s="137">
        <f t="shared" si="83"/>
        <v>0.55004521666666673</v>
      </c>
      <c r="U28" s="326">
        <f t="shared" si="18"/>
        <v>0</v>
      </c>
      <c r="V28" s="332">
        <v>1800000</v>
      </c>
      <c r="W28" s="140">
        <f t="shared" si="19"/>
        <v>914323.39000000013</v>
      </c>
      <c r="X28" s="326">
        <f t="shared" si="20"/>
        <v>276433.17</v>
      </c>
      <c r="Y28" s="717">
        <f t="shared" si="21"/>
        <v>1190756.56</v>
      </c>
      <c r="Z28" s="123">
        <f t="shared" si="22"/>
        <v>-609243.43999999994</v>
      </c>
      <c r="AA28" s="137">
        <f t="shared" si="84"/>
        <v>0.66153142222222228</v>
      </c>
      <c r="AB28" s="326">
        <f t="shared" si="157"/>
        <v>0</v>
      </c>
      <c r="AC28" s="326">
        <v>1800000</v>
      </c>
      <c r="AD28" s="326">
        <f t="shared" si="25"/>
        <v>529255.81000000006</v>
      </c>
      <c r="AE28" s="326">
        <f t="shared" si="26"/>
        <v>588942.01</v>
      </c>
      <c r="AF28" s="716">
        <f t="shared" si="27"/>
        <v>1118197.82</v>
      </c>
      <c r="AG28" s="326">
        <f t="shared" si="28"/>
        <v>-681802.17999999993</v>
      </c>
      <c r="AH28" s="137">
        <f t="shared" si="29"/>
        <v>0.62122101111111117</v>
      </c>
      <c r="AI28" s="332">
        <f t="shared" si="30"/>
        <v>5400000</v>
      </c>
      <c r="AJ28" s="140">
        <f t="shared" si="31"/>
        <v>1138209.96</v>
      </c>
      <c r="AK28" s="326">
        <f t="shared" si="32"/>
        <v>2433660.59</v>
      </c>
      <c r="AL28" s="326">
        <f t="shared" ref="AL28:AM28" si="185">SUM(AE28,X28,Q28)</f>
        <v>865375.17999999993</v>
      </c>
      <c r="AM28" s="326">
        <f t="shared" si="185"/>
        <v>3299035.77</v>
      </c>
      <c r="AN28" s="326">
        <f t="shared" si="70"/>
        <v>-2100964.23</v>
      </c>
      <c r="AO28" s="413">
        <f t="shared" si="79"/>
        <v>2.8984421907536286</v>
      </c>
      <c r="AP28" s="423">
        <f t="shared" si="35"/>
        <v>0</v>
      </c>
      <c r="AQ28" s="326">
        <f t="shared" si="36"/>
        <v>0</v>
      </c>
      <c r="AR28" s="326">
        <f t="shared" si="37"/>
        <v>0</v>
      </c>
      <c r="AS28" s="333">
        <f t="shared" si="38"/>
        <v>0</v>
      </c>
      <c r="AT28" s="434">
        <f t="shared" si="159"/>
        <v>0</v>
      </c>
      <c r="AU28" s="140">
        <f t="shared" si="40"/>
        <v>0</v>
      </c>
      <c r="AV28" s="326">
        <f t="shared" si="41"/>
        <v>31057.599999999999</v>
      </c>
      <c r="AW28" s="333">
        <f t="shared" si="42"/>
        <v>31057.599999999999</v>
      </c>
      <c r="AX28" s="125">
        <f t="shared" si="160"/>
        <v>0</v>
      </c>
      <c r="AY28" s="140">
        <f t="shared" si="44"/>
        <v>893619.58999999985</v>
      </c>
      <c r="AZ28" s="326">
        <f t="shared" si="45"/>
        <v>316336.8</v>
      </c>
      <c r="BA28" s="332">
        <f t="shared" si="46"/>
        <v>1209956.3899999999</v>
      </c>
      <c r="BB28" s="122">
        <f t="shared" ref="BB28:BD28" si="186">AY28+AU28+AQ28</f>
        <v>893619.58999999985</v>
      </c>
      <c r="BC28" s="326">
        <f t="shared" si="186"/>
        <v>347394.39999999997</v>
      </c>
      <c r="BD28" s="332">
        <f t="shared" si="186"/>
        <v>1241013.99</v>
      </c>
      <c r="BE28" s="122">
        <f t="shared" si="48"/>
        <v>3327280.1799999997</v>
      </c>
      <c r="BF28" s="326">
        <f t="shared" ref="BF28:BG28" si="187">AL28+BC28</f>
        <v>1212769.5799999998</v>
      </c>
      <c r="BG28" s="435">
        <f t="shared" si="187"/>
        <v>4540049.76</v>
      </c>
      <c r="BH28" s="125">
        <f t="shared" si="50"/>
        <v>0</v>
      </c>
      <c r="BI28" s="140">
        <f t="shared" si="51"/>
        <v>459484.15</v>
      </c>
      <c r="BJ28" s="123">
        <f t="shared" si="52"/>
        <v>257445.39</v>
      </c>
      <c r="BK28" s="125">
        <f t="shared" si="53"/>
        <v>716929.54</v>
      </c>
      <c r="BL28" s="123">
        <f t="shared" si="54"/>
        <v>0</v>
      </c>
      <c r="BM28" s="140">
        <f t="shared" si="55"/>
        <v>602416.93999999994</v>
      </c>
      <c r="BN28" s="326">
        <f t="shared" si="56"/>
        <v>331948.43</v>
      </c>
      <c r="BO28" s="332">
        <f t="shared" si="57"/>
        <v>934365.37</v>
      </c>
      <c r="BP28" s="141">
        <f t="shared" si="58"/>
        <v>0</v>
      </c>
      <c r="BQ28" s="140">
        <f t="shared" si="59"/>
        <v>428835.93</v>
      </c>
      <c r="BR28" s="326">
        <f t="shared" si="60"/>
        <v>113549.04</v>
      </c>
      <c r="BS28" s="333">
        <f t="shared" si="61"/>
        <v>542384.97</v>
      </c>
      <c r="BT28" s="113">
        <f t="shared" ref="BT28:BV28" si="188">SUM(BQ28,BM28,BI28)</f>
        <v>1490737.02</v>
      </c>
      <c r="BU28" s="116">
        <f t="shared" si="188"/>
        <v>702942.86</v>
      </c>
      <c r="BV28" s="117">
        <f t="shared" si="188"/>
        <v>2193679.88</v>
      </c>
      <c r="BW28" s="141">
        <f t="shared" si="63"/>
        <v>287148.3</v>
      </c>
      <c r="BX28" s="113">
        <f t="shared" si="64"/>
        <v>429549.33</v>
      </c>
      <c r="BY28" s="114">
        <f t="shared" si="65"/>
        <v>256802.31</v>
      </c>
      <c r="BZ28" s="115">
        <f t="shared" si="66"/>
        <v>686351.64</v>
      </c>
      <c r="CA28" s="123">
        <f t="shared" si="67"/>
        <v>292729.67</v>
      </c>
      <c r="CB28" s="333">
        <f t="shared" si="68"/>
        <v>558331.99</v>
      </c>
      <c r="CY28" s="294"/>
      <c r="DF28" s="296"/>
    </row>
    <row r="29" spans="1:110" ht="15.75" customHeight="1">
      <c r="A29" s="420">
        <f t="shared" si="0"/>
        <v>112014315</v>
      </c>
      <c r="B29" s="565">
        <f t="shared" si="1"/>
        <v>7</v>
      </c>
      <c r="C29" s="558">
        <f t="shared" si="2"/>
        <v>0.1</v>
      </c>
      <c r="D29" s="558">
        <f t="shared" si="3"/>
        <v>0.2</v>
      </c>
      <c r="E29" s="715">
        <f t="shared" si="4"/>
        <v>0</v>
      </c>
      <c r="F29" s="701">
        <f t="shared" si="5"/>
        <v>7</v>
      </c>
      <c r="G29" s="700">
        <f t="shared" si="6"/>
        <v>0.1</v>
      </c>
      <c r="H29" s="700">
        <f t="shared" si="7"/>
        <v>0.2</v>
      </c>
      <c r="I29" s="700">
        <f t="shared" si="8"/>
        <v>0</v>
      </c>
      <c r="J29" s="547">
        <f t="shared" si="9"/>
        <v>62</v>
      </c>
      <c r="K29" s="699">
        <f t="shared" si="10"/>
        <v>0.1</v>
      </c>
      <c r="L29" s="702">
        <f t="shared" si="11"/>
        <v>0.11</v>
      </c>
      <c r="M29" s="139" t="s">
        <v>534</v>
      </c>
      <c r="N29" s="423">
        <f t="shared" si="156"/>
        <v>497379.36</v>
      </c>
      <c r="O29" s="326">
        <v>1800000</v>
      </c>
      <c r="P29" s="326">
        <f t="shared" si="13"/>
        <v>0</v>
      </c>
      <c r="Q29" s="326">
        <f t="shared" si="14"/>
        <v>334742.96000000002</v>
      </c>
      <c r="R29" s="716">
        <f t="shared" si="15"/>
        <v>334742.96000000002</v>
      </c>
      <c r="S29" s="326">
        <f t="shared" si="16"/>
        <v>-1465257.04</v>
      </c>
      <c r="T29" s="137">
        <f t="shared" si="83"/>
        <v>0.18596831111111112</v>
      </c>
      <c r="U29" s="326">
        <f t="shared" si="18"/>
        <v>614332.88</v>
      </c>
      <c r="V29" s="332">
        <v>1800000</v>
      </c>
      <c r="W29" s="140">
        <f t="shared" si="19"/>
        <v>727369.67999999993</v>
      </c>
      <c r="X29" s="326">
        <f t="shared" si="20"/>
        <v>569896.48</v>
      </c>
      <c r="Y29" s="717">
        <f t="shared" si="21"/>
        <v>1297266.1599999999</v>
      </c>
      <c r="Z29" s="123">
        <f t="shared" si="22"/>
        <v>-502733.84000000008</v>
      </c>
      <c r="AA29" s="137">
        <f t="shared" si="84"/>
        <v>0.72070342222222217</v>
      </c>
      <c r="AB29" s="326">
        <f t="shared" si="157"/>
        <v>506043.6</v>
      </c>
      <c r="AC29" s="326">
        <v>1800000</v>
      </c>
      <c r="AD29" s="326">
        <f t="shared" si="25"/>
        <v>417009.11</v>
      </c>
      <c r="AE29" s="326">
        <f t="shared" si="26"/>
        <v>577895.92000000004</v>
      </c>
      <c r="AF29" s="716">
        <f t="shared" si="27"/>
        <v>994905.03</v>
      </c>
      <c r="AG29" s="326">
        <f t="shared" si="28"/>
        <v>-805094.97</v>
      </c>
      <c r="AH29" s="137">
        <f t="shared" si="29"/>
        <v>0.55272501666666674</v>
      </c>
      <c r="AI29" s="332">
        <f t="shared" si="30"/>
        <v>5400000</v>
      </c>
      <c r="AJ29" s="140">
        <f t="shared" si="31"/>
        <v>2445479.2400000002</v>
      </c>
      <c r="AK29" s="326">
        <f t="shared" si="32"/>
        <v>1144378.79</v>
      </c>
      <c r="AL29" s="326">
        <f t="shared" ref="AL29:AM29" si="189">SUM(AE29,X29,Q29)</f>
        <v>1482535.3599999999</v>
      </c>
      <c r="AM29" s="326">
        <f t="shared" si="189"/>
        <v>2626914.15</v>
      </c>
      <c r="AN29" s="326">
        <f t="shared" si="70"/>
        <v>-2773085.85</v>
      </c>
      <c r="AO29" s="413">
        <f t="shared" si="79"/>
        <v>1.0741919649254514</v>
      </c>
      <c r="AP29" s="423">
        <f t="shared" si="35"/>
        <v>585553.52</v>
      </c>
      <c r="AQ29" s="326">
        <f t="shared" si="36"/>
        <v>0</v>
      </c>
      <c r="AR29" s="326">
        <f t="shared" si="37"/>
        <v>354759.84</v>
      </c>
      <c r="AS29" s="333">
        <f t="shared" si="38"/>
        <v>354759.84</v>
      </c>
      <c r="AT29" s="434">
        <f t="shared" si="159"/>
        <v>667002.30000000005</v>
      </c>
      <c r="AU29" s="140">
        <f t="shared" si="40"/>
        <v>0</v>
      </c>
      <c r="AV29" s="326">
        <f t="shared" si="41"/>
        <v>610268.07999999996</v>
      </c>
      <c r="AW29" s="333">
        <f t="shared" si="42"/>
        <v>610268.07999999996</v>
      </c>
      <c r="AX29" s="125">
        <f t="shared" si="160"/>
        <v>570362.61</v>
      </c>
      <c r="AY29" s="140">
        <f t="shared" si="44"/>
        <v>0</v>
      </c>
      <c r="AZ29" s="326">
        <f t="shared" si="45"/>
        <v>1060321.52</v>
      </c>
      <c r="BA29" s="332">
        <f t="shared" si="46"/>
        <v>1060321.52</v>
      </c>
      <c r="BB29" s="122">
        <f t="shared" ref="BB29:BD29" si="190">AY29+AU29+AQ29</f>
        <v>0</v>
      </c>
      <c r="BC29" s="326">
        <f t="shared" si="190"/>
        <v>2025349.4400000002</v>
      </c>
      <c r="BD29" s="332">
        <f t="shared" si="190"/>
        <v>2025349.4400000002</v>
      </c>
      <c r="BE29" s="122">
        <f t="shared" si="48"/>
        <v>1144378.79</v>
      </c>
      <c r="BF29" s="326">
        <f t="shared" ref="BF29:BG29" si="191">AL29+BC29</f>
        <v>3507884.8</v>
      </c>
      <c r="BG29" s="435">
        <f t="shared" si="191"/>
        <v>4652263.59</v>
      </c>
      <c r="BH29" s="125">
        <f t="shared" si="50"/>
        <v>979946.16</v>
      </c>
      <c r="BI29" s="140">
        <f t="shared" si="51"/>
        <v>266217.12000000011</v>
      </c>
      <c r="BJ29" s="123">
        <f t="shared" si="52"/>
        <v>1294174.1499999999</v>
      </c>
      <c r="BK29" s="125">
        <f t="shared" si="53"/>
        <v>1560391.27</v>
      </c>
      <c r="BL29" s="123">
        <f t="shared" si="54"/>
        <v>843314.19</v>
      </c>
      <c r="BM29" s="140">
        <f t="shared" si="55"/>
        <v>0</v>
      </c>
      <c r="BN29" s="326">
        <f t="shared" si="56"/>
        <v>976903.05</v>
      </c>
      <c r="BO29" s="332">
        <f t="shared" si="57"/>
        <v>976903.05</v>
      </c>
      <c r="BP29" s="141">
        <f t="shared" si="58"/>
        <v>581217.28000000003</v>
      </c>
      <c r="BQ29" s="140">
        <f t="shared" si="59"/>
        <v>0</v>
      </c>
      <c r="BR29" s="326">
        <f t="shared" si="60"/>
        <v>927280.08</v>
      </c>
      <c r="BS29" s="333">
        <f t="shared" si="61"/>
        <v>927280.08</v>
      </c>
      <c r="BT29" s="113">
        <f t="shared" ref="BT29:BV29" si="192">SUM(BQ29,BM29,BI29)</f>
        <v>266217.12000000011</v>
      </c>
      <c r="BU29" s="116">
        <f t="shared" si="192"/>
        <v>3198357.28</v>
      </c>
      <c r="BV29" s="117">
        <f t="shared" si="192"/>
        <v>3464574.4</v>
      </c>
      <c r="BW29" s="141">
        <f t="shared" si="63"/>
        <v>677026.44</v>
      </c>
      <c r="BX29" s="113">
        <f t="shared" si="64"/>
        <v>0</v>
      </c>
      <c r="BY29" s="114">
        <f t="shared" si="65"/>
        <v>2102552.35</v>
      </c>
      <c r="BZ29" s="115">
        <f t="shared" si="66"/>
        <v>2102552.35</v>
      </c>
      <c r="CA29" s="123">
        <f t="shared" si="67"/>
        <v>790408.88</v>
      </c>
      <c r="CB29" s="333">
        <f t="shared" si="68"/>
        <v>978043.92</v>
      </c>
      <c r="CY29" s="294"/>
      <c r="DF29" s="296"/>
    </row>
    <row r="30" spans="1:110" ht="15.75" customHeight="1">
      <c r="A30" s="420">
        <f t="shared" si="0"/>
        <v>112014738</v>
      </c>
      <c r="B30" s="565">
        <f t="shared" si="1"/>
        <v>7</v>
      </c>
      <c r="C30" s="558">
        <f t="shared" si="2"/>
        <v>0.1</v>
      </c>
      <c r="D30" s="558">
        <f t="shared" si="3"/>
        <v>0.2</v>
      </c>
      <c r="E30" s="715">
        <f t="shared" si="4"/>
        <v>0</v>
      </c>
      <c r="F30" s="701">
        <f t="shared" si="5"/>
        <v>7</v>
      </c>
      <c r="G30" s="700">
        <f t="shared" si="6"/>
        <v>0.1</v>
      </c>
      <c r="H30" s="700">
        <f t="shared" si="7"/>
        <v>0.2</v>
      </c>
      <c r="I30" s="700">
        <f t="shared" si="8"/>
        <v>0</v>
      </c>
      <c r="J30" s="547">
        <f t="shared" si="9"/>
        <v>62</v>
      </c>
      <c r="K30" s="699">
        <f t="shared" si="10"/>
        <v>0.1</v>
      </c>
      <c r="L30" s="702">
        <f t="shared" si="11"/>
        <v>0.11</v>
      </c>
      <c r="M30" s="189" t="s">
        <v>535</v>
      </c>
      <c r="N30" s="423" t="str">
        <f t="shared" si="156"/>
        <v/>
      </c>
      <c r="O30" s="326">
        <v>1800000</v>
      </c>
      <c r="P30" s="326">
        <f t="shared" si="13"/>
        <v>0</v>
      </c>
      <c r="Q30" s="326">
        <f t="shared" si="14"/>
        <v>0</v>
      </c>
      <c r="R30" s="716">
        <f t="shared" si="15"/>
        <v>0</v>
      </c>
      <c r="S30" s="326">
        <f t="shared" si="16"/>
        <v>-1800000</v>
      </c>
      <c r="T30" s="137">
        <f t="shared" si="83"/>
        <v>0</v>
      </c>
      <c r="U30" s="326" t="str">
        <f t="shared" si="18"/>
        <v/>
      </c>
      <c r="V30" s="332">
        <v>1800000</v>
      </c>
      <c r="W30" s="140">
        <f t="shared" si="19"/>
        <v>0</v>
      </c>
      <c r="X30" s="326">
        <f t="shared" si="20"/>
        <v>0</v>
      </c>
      <c r="Y30" s="717">
        <f t="shared" si="21"/>
        <v>0</v>
      </c>
      <c r="Z30" s="123">
        <f t="shared" si="22"/>
        <v>-1800000</v>
      </c>
      <c r="AA30" s="137">
        <f t="shared" si="84"/>
        <v>0</v>
      </c>
      <c r="AB30" s="326" t="str">
        <f t="shared" si="157"/>
        <v/>
      </c>
      <c r="AC30" s="326">
        <v>1800000</v>
      </c>
      <c r="AD30" s="326">
        <f t="shared" si="25"/>
        <v>0</v>
      </c>
      <c r="AE30" s="326">
        <f t="shared" si="26"/>
        <v>0</v>
      </c>
      <c r="AF30" s="716">
        <f t="shared" si="27"/>
        <v>0</v>
      </c>
      <c r="AG30" s="326">
        <f t="shared" si="28"/>
        <v>-1800000</v>
      </c>
      <c r="AH30" s="137">
        <f t="shared" si="29"/>
        <v>0</v>
      </c>
      <c r="AI30" s="332">
        <f t="shared" si="30"/>
        <v>5400000</v>
      </c>
      <c r="AJ30" s="140" t="str">
        <f t="shared" si="31"/>
        <v>0</v>
      </c>
      <c r="AK30" s="326">
        <f t="shared" si="32"/>
        <v>0</v>
      </c>
      <c r="AL30" s="326">
        <f t="shared" ref="AL30:AM30" si="193">SUM(AE30,X30,Q30)</f>
        <v>0</v>
      </c>
      <c r="AM30" s="326">
        <f t="shared" si="193"/>
        <v>0</v>
      </c>
      <c r="AN30" s="326">
        <f t="shared" si="70"/>
        <v>-5400000</v>
      </c>
      <c r="AO30" s="413" t="str">
        <f t="shared" si="79"/>
        <v/>
      </c>
      <c r="AP30" s="423" t="str">
        <f t="shared" si="35"/>
        <v/>
      </c>
      <c r="AQ30" s="326">
        <f t="shared" si="36"/>
        <v>0</v>
      </c>
      <c r="AR30" s="326">
        <f t="shared" si="37"/>
        <v>0</v>
      </c>
      <c r="AS30" s="333">
        <f t="shared" si="38"/>
        <v>0</v>
      </c>
      <c r="AT30" s="434" t="str">
        <f t="shared" si="159"/>
        <v/>
      </c>
      <c r="AU30" s="140">
        <f t="shared" si="40"/>
        <v>0</v>
      </c>
      <c r="AV30" s="326">
        <f t="shared" si="41"/>
        <v>0</v>
      </c>
      <c r="AW30" s="333">
        <f t="shared" si="42"/>
        <v>0</v>
      </c>
      <c r="AX30" s="125" t="str">
        <f t="shared" si="160"/>
        <v/>
      </c>
      <c r="AY30" s="140">
        <f t="shared" si="44"/>
        <v>0</v>
      </c>
      <c r="AZ30" s="326">
        <f t="shared" si="45"/>
        <v>0</v>
      </c>
      <c r="BA30" s="332">
        <f t="shared" si="46"/>
        <v>0</v>
      </c>
      <c r="BB30" s="122">
        <f t="shared" ref="BB30:BD30" si="194">AY30+AU30+AQ30</f>
        <v>0</v>
      </c>
      <c r="BC30" s="326">
        <f t="shared" si="194"/>
        <v>0</v>
      </c>
      <c r="BD30" s="332">
        <f t="shared" si="194"/>
        <v>0</v>
      </c>
      <c r="BE30" s="122">
        <f t="shared" si="48"/>
        <v>0</v>
      </c>
      <c r="BF30" s="326">
        <f t="shared" ref="BF30:BG30" si="195">AL30+BC30</f>
        <v>0</v>
      </c>
      <c r="BG30" s="435">
        <f t="shared" si="195"/>
        <v>0</v>
      </c>
      <c r="BH30" s="125" t="str">
        <f t="shared" si="50"/>
        <v/>
      </c>
      <c r="BI30" s="140">
        <f t="shared" si="51"/>
        <v>0</v>
      </c>
      <c r="BJ30" s="123">
        <f t="shared" si="52"/>
        <v>0</v>
      </c>
      <c r="BK30" s="125">
        <f t="shared" si="53"/>
        <v>0</v>
      </c>
      <c r="BL30" s="123" t="str">
        <f t="shared" si="54"/>
        <v/>
      </c>
      <c r="BM30" s="140">
        <f t="shared" si="55"/>
        <v>0</v>
      </c>
      <c r="BN30" s="326">
        <f t="shared" si="56"/>
        <v>379957.01</v>
      </c>
      <c r="BO30" s="332">
        <f t="shared" si="57"/>
        <v>379957.01</v>
      </c>
      <c r="BP30" s="141" t="str">
        <f t="shared" si="58"/>
        <v/>
      </c>
      <c r="BQ30" s="140">
        <f t="shared" si="59"/>
        <v>0</v>
      </c>
      <c r="BR30" s="326">
        <f t="shared" si="60"/>
        <v>80220.490000000005</v>
      </c>
      <c r="BS30" s="333">
        <f t="shared" si="61"/>
        <v>80220.490000000005</v>
      </c>
      <c r="BT30" s="113">
        <f t="shared" ref="BT30:BV30" si="196">SUM(BQ30,BM30,BI30)</f>
        <v>0</v>
      </c>
      <c r="BU30" s="116">
        <f t="shared" si="196"/>
        <v>460177.5</v>
      </c>
      <c r="BV30" s="117">
        <f t="shared" si="196"/>
        <v>460177.5</v>
      </c>
      <c r="BW30" s="141" t="str">
        <f t="shared" si="63"/>
        <v/>
      </c>
      <c r="BX30" s="113">
        <f t="shared" si="64"/>
        <v>75070.01999999999</v>
      </c>
      <c r="BY30" s="114">
        <f t="shared" si="65"/>
        <v>178926.91</v>
      </c>
      <c r="BZ30" s="115">
        <f t="shared" si="66"/>
        <v>253996.93</v>
      </c>
      <c r="CA30" s="123" t="str">
        <f t="shared" si="67"/>
        <v/>
      </c>
      <c r="CB30" s="333" t="str">
        <f t="shared" si="68"/>
        <v/>
      </c>
      <c r="CY30" s="294"/>
      <c r="DF30" s="296"/>
    </row>
    <row r="31" spans="1:110" ht="15.75" customHeight="1">
      <c r="A31" s="420">
        <f t="shared" si="0"/>
        <v>112014077</v>
      </c>
      <c r="B31" s="565">
        <f t="shared" si="1"/>
        <v>7</v>
      </c>
      <c r="C31" s="558">
        <f t="shared" si="2"/>
        <v>0.1</v>
      </c>
      <c r="D31" s="558">
        <f t="shared" si="3"/>
        <v>0.2</v>
      </c>
      <c r="E31" s="715">
        <f t="shared" si="4"/>
        <v>0</v>
      </c>
      <c r="F31" s="701">
        <f t="shared" si="5"/>
        <v>7</v>
      </c>
      <c r="G31" s="700">
        <f t="shared" si="6"/>
        <v>0.1</v>
      </c>
      <c r="H31" s="700">
        <f t="shared" si="7"/>
        <v>0.2</v>
      </c>
      <c r="I31" s="700">
        <f t="shared" si="8"/>
        <v>0</v>
      </c>
      <c r="J31" s="547">
        <f t="shared" si="9"/>
        <v>62</v>
      </c>
      <c r="K31" s="699">
        <f t="shared" si="10"/>
        <v>0.1</v>
      </c>
      <c r="L31" s="702">
        <f t="shared" si="11"/>
        <v>0.11</v>
      </c>
      <c r="M31" s="139" t="s">
        <v>536</v>
      </c>
      <c r="N31" s="423">
        <f t="shared" si="156"/>
        <v>2768129.87</v>
      </c>
      <c r="O31" s="326">
        <f t="shared" ref="O31:O32" si="197">(N31*1.601)*1.05</f>
        <v>4653364.7179634999</v>
      </c>
      <c r="P31" s="326">
        <f t="shared" si="13"/>
        <v>2629124.2000000002</v>
      </c>
      <c r="Q31" s="326">
        <f t="shared" si="14"/>
        <v>1301199.92</v>
      </c>
      <c r="R31" s="716">
        <f t="shared" si="15"/>
        <v>3930324.12</v>
      </c>
      <c r="S31" s="326">
        <f t="shared" si="16"/>
        <v>-723040.59796349984</v>
      </c>
      <c r="T31" s="137">
        <f t="shared" si="83"/>
        <v>0.8446198306416155</v>
      </c>
      <c r="U31" s="326">
        <f t="shared" si="18"/>
        <v>2122044.71</v>
      </c>
      <c r="V31" s="332">
        <f>(U31*1.7245)*1.03</f>
        <v>3769250.0854668501</v>
      </c>
      <c r="W31" s="140">
        <f t="shared" si="19"/>
        <v>786811.79</v>
      </c>
      <c r="X31" s="326">
        <f t="shared" si="20"/>
        <v>872228.95</v>
      </c>
      <c r="Y31" s="717">
        <f t="shared" si="21"/>
        <v>1659040.74</v>
      </c>
      <c r="Z31" s="123">
        <f t="shared" si="22"/>
        <v>-2110209.3454668503</v>
      </c>
      <c r="AA31" s="137">
        <f t="shared" si="84"/>
        <v>0.44015141006344644</v>
      </c>
      <c r="AB31" s="326">
        <f t="shared" si="157"/>
        <v>1603389.24</v>
      </c>
      <c r="AC31" s="326">
        <f>(AB31*1.5955)*1.05</f>
        <v>2686117.9090410001</v>
      </c>
      <c r="AD31" s="326">
        <f t="shared" si="25"/>
        <v>0</v>
      </c>
      <c r="AE31" s="326">
        <f t="shared" si="26"/>
        <v>0</v>
      </c>
      <c r="AF31" s="716">
        <f t="shared" si="27"/>
        <v>0</v>
      </c>
      <c r="AG31" s="326">
        <f t="shared" si="28"/>
        <v>-2686117.9090410001</v>
      </c>
      <c r="AH31" s="137">
        <f t="shared" si="29"/>
        <v>0</v>
      </c>
      <c r="AI31" s="332">
        <f t="shared" si="30"/>
        <v>11108732.712471351</v>
      </c>
      <c r="AJ31" s="140">
        <f t="shared" si="31"/>
        <v>11439771.949999999</v>
      </c>
      <c r="AK31" s="326">
        <f t="shared" si="32"/>
        <v>3415935.99</v>
      </c>
      <c r="AL31" s="326">
        <f t="shared" ref="AL31:AM31" si="198">SUM(AE31,X31,Q31)</f>
        <v>2173428.87</v>
      </c>
      <c r="AM31" s="326">
        <f t="shared" si="198"/>
        <v>5589364.8600000003</v>
      </c>
      <c r="AN31" s="326">
        <f t="shared" si="70"/>
        <v>-5519367.8524713507</v>
      </c>
      <c r="AO31" s="413">
        <f t="shared" si="79"/>
        <v>0.48859058418555279</v>
      </c>
      <c r="AP31" s="423">
        <f t="shared" si="35"/>
        <v>3489105.52</v>
      </c>
      <c r="AQ31" s="326">
        <f t="shared" si="36"/>
        <v>762402.19</v>
      </c>
      <c r="AR31" s="326">
        <f t="shared" si="37"/>
        <v>0</v>
      </c>
      <c r="AS31" s="333">
        <f t="shared" si="38"/>
        <v>762402.19</v>
      </c>
      <c r="AT31" s="434">
        <f t="shared" si="159"/>
        <v>1933118.06</v>
      </c>
      <c r="AU31" s="140">
        <f t="shared" si="40"/>
        <v>1397127.0499999998</v>
      </c>
      <c r="AV31" s="326">
        <f t="shared" si="41"/>
        <v>1315287.04</v>
      </c>
      <c r="AW31" s="333">
        <f t="shared" si="42"/>
        <v>2712414.09</v>
      </c>
      <c r="AX31" s="125">
        <f t="shared" si="160"/>
        <v>2372914.33</v>
      </c>
      <c r="AY31" s="140">
        <f t="shared" si="44"/>
        <v>790543.15999999992</v>
      </c>
      <c r="AZ31" s="326">
        <f t="shared" si="45"/>
        <v>1365093.2</v>
      </c>
      <c r="BA31" s="332">
        <f t="shared" si="46"/>
        <v>2155636.36</v>
      </c>
      <c r="BB31" s="122">
        <f t="shared" ref="BB31:BD31" si="199">AY31+AU31+AQ31</f>
        <v>2950072.4</v>
      </c>
      <c r="BC31" s="326">
        <f t="shared" si="199"/>
        <v>2680380.2400000002</v>
      </c>
      <c r="BD31" s="332">
        <f t="shared" si="199"/>
        <v>5630452.6399999987</v>
      </c>
      <c r="BE31" s="122">
        <f t="shared" si="48"/>
        <v>6366008.3900000006</v>
      </c>
      <c r="BF31" s="326">
        <f t="shared" ref="BF31:BG31" si="200">AL31+BC31</f>
        <v>4853809.1100000003</v>
      </c>
      <c r="BG31" s="435">
        <f t="shared" si="200"/>
        <v>11219817.5</v>
      </c>
      <c r="BH31" s="125">
        <f t="shared" si="50"/>
        <v>2378955.31</v>
      </c>
      <c r="BI31" s="140">
        <f t="shared" si="51"/>
        <v>1732038.4500000002</v>
      </c>
      <c r="BJ31" s="123">
        <f t="shared" si="52"/>
        <v>1018948.98</v>
      </c>
      <c r="BK31" s="125">
        <f t="shared" si="53"/>
        <v>2750987.43</v>
      </c>
      <c r="BL31" s="123">
        <f t="shared" si="54"/>
        <v>2077832.03</v>
      </c>
      <c r="BM31" s="140">
        <f t="shared" si="55"/>
        <v>842891.38000000012</v>
      </c>
      <c r="BN31" s="326">
        <f t="shared" si="56"/>
        <v>1092255.69</v>
      </c>
      <c r="BO31" s="332">
        <f t="shared" si="57"/>
        <v>1935147.07</v>
      </c>
      <c r="BP31" s="141">
        <f t="shared" si="58"/>
        <v>2760003.05</v>
      </c>
      <c r="BQ31" s="140">
        <f t="shared" si="59"/>
        <v>1385754.85</v>
      </c>
      <c r="BR31" s="326">
        <f t="shared" si="60"/>
        <v>987151.88</v>
      </c>
      <c r="BS31" s="333">
        <f t="shared" si="61"/>
        <v>2372906.73</v>
      </c>
      <c r="BT31" s="113">
        <f t="shared" ref="BT31:BV31" si="201">SUM(BQ31,BM31,BI31)</f>
        <v>3960684.6800000006</v>
      </c>
      <c r="BU31" s="116">
        <f t="shared" si="201"/>
        <v>3098356.55</v>
      </c>
      <c r="BV31" s="117">
        <f t="shared" si="201"/>
        <v>7059041.2300000004</v>
      </c>
      <c r="BW31" s="141">
        <f t="shared" si="63"/>
        <v>3023813.07</v>
      </c>
      <c r="BX31" s="113">
        <f t="shared" si="64"/>
        <v>0</v>
      </c>
      <c r="BY31" s="114">
        <f t="shared" si="65"/>
        <v>254696</v>
      </c>
      <c r="BZ31" s="115">
        <f t="shared" si="66"/>
        <v>254696</v>
      </c>
      <c r="CA31" s="123">
        <f t="shared" si="67"/>
        <v>3339311.52</v>
      </c>
      <c r="CB31" s="333">
        <f t="shared" si="68"/>
        <v>5076647.37</v>
      </c>
      <c r="CY31" s="294"/>
      <c r="DF31" s="296"/>
    </row>
    <row r="32" spans="1:110" ht="15.75" customHeight="1">
      <c r="A32" s="420">
        <f t="shared" si="0"/>
        <v>112012893</v>
      </c>
      <c r="B32" s="565">
        <f t="shared" si="1"/>
        <v>7</v>
      </c>
      <c r="C32" s="558">
        <f t="shared" si="2"/>
        <v>0.1</v>
      </c>
      <c r="D32" s="558">
        <f t="shared" si="3"/>
        <v>0.2</v>
      </c>
      <c r="E32" s="715">
        <f t="shared" si="4"/>
        <v>0</v>
      </c>
      <c r="F32" s="701">
        <f t="shared" si="5"/>
        <v>7</v>
      </c>
      <c r="G32" s="700">
        <f t="shared" si="6"/>
        <v>0.1</v>
      </c>
      <c r="H32" s="700">
        <f t="shared" si="7"/>
        <v>0.2</v>
      </c>
      <c r="I32" s="700">
        <f t="shared" si="8"/>
        <v>0</v>
      </c>
      <c r="J32" s="547">
        <f t="shared" si="9"/>
        <v>62</v>
      </c>
      <c r="K32" s="699">
        <f t="shared" si="10"/>
        <v>0.1</v>
      </c>
      <c r="L32" s="702">
        <f t="shared" si="11"/>
        <v>0.11</v>
      </c>
      <c r="M32" s="139" t="s">
        <v>537</v>
      </c>
      <c r="N32" s="423">
        <f t="shared" si="156"/>
        <v>1280099.81</v>
      </c>
      <c r="O32" s="326">
        <f t="shared" si="197"/>
        <v>2151911.7856005002</v>
      </c>
      <c r="P32" s="326">
        <f t="shared" si="13"/>
        <v>2093976.3599999999</v>
      </c>
      <c r="Q32" s="326">
        <f t="shared" si="14"/>
        <v>364592.21</v>
      </c>
      <c r="R32" s="716">
        <f t="shared" si="15"/>
        <v>2458568.5699999998</v>
      </c>
      <c r="S32" s="326">
        <f t="shared" si="16"/>
        <v>306656.78439949965</v>
      </c>
      <c r="T32" s="137">
        <f t="shared" si="83"/>
        <v>1.1425043472745913</v>
      </c>
      <c r="U32" s="326">
        <f t="shared" si="18"/>
        <v>261394.32</v>
      </c>
      <c r="V32" s="332">
        <v>1800000</v>
      </c>
      <c r="W32" s="140">
        <f t="shared" si="19"/>
        <v>836756.71999999986</v>
      </c>
      <c r="X32" s="326">
        <f t="shared" si="20"/>
        <v>556707.68000000005</v>
      </c>
      <c r="Y32" s="717">
        <f t="shared" si="21"/>
        <v>1393464.4</v>
      </c>
      <c r="Z32" s="123">
        <f t="shared" si="22"/>
        <v>-406535.60000000009</v>
      </c>
      <c r="AA32" s="137">
        <f t="shared" si="84"/>
        <v>0.77414688888888883</v>
      </c>
      <c r="AB32" s="326">
        <f t="shared" si="157"/>
        <v>203510.1</v>
      </c>
      <c r="AC32" s="326">
        <v>1800000</v>
      </c>
      <c r="AD32" s="326">
        <f t="shared" si="25"/>
        <v>962185.05</v>
      </c>
      <c r="AE32" s="326">
        <f t="shared" si="26"/>
        <v>0</v>
      </c>
      <c r="AF32" s="716">
        <f t="shared" si="27"/>
        <v>962185.05</v>
      </c>
      <c r="AG32" s="326">
        <f t="shared" si="28"/>
        <v>-837814.95</v>
      </c>
      <c r="AH32" s="137">
        <f t="shared" si="29"/>
        <v>0.53454725000000003</v>
      </c>
      <c r="AI32" s="332">
        <f t="shared" si="30"/>
        <v>5751911.7856005002</v>
      </c>
      <c r="AJ32" s="140">
        <f t="shared" si="31"/>
        <v>3048553.39</v>
      </c>
      <c r="AK32" s="326">
        <f t="shared" si="32"/>
        <v>3892918.1299999994</v>
      </c>
      <c r="AL32" s="326">
        <f t="shared" ref="AL32:AM32" si="202">SUM(AE32,X32,Q32)</f>
        <v>921299.89000000013</v>
      </c>
      <c r="AM32" s="326">
        <f t="shared" si="202"/>
        <v>4814218.0199999996</v>
      </c>
      <c r="AN32" s="326">
        <f t="shared" si="70"/>
        <v>-937693.76560050063</v>
      </c>
      <c r="AO32" s="413">
        <f t="shared" si="79"/>
        <v>1.5791811407311451</v>
      </c>
      <c r="AP32" s="423">
        <f t="shared" si="35"/>
        <v>1580152.83</v>
      </c>
      <c r="AQ32" s="326">
        <f t="shared" si="36"/>
        <v>1709885.67</v>
      </c>
      <c r="AR32" s="326">
        <f t="shared" si="37"/>
        <v>255008.32</v>
      </c>
      <c r="AS32" s="333">
        <f t="shared" si="38"/>
        <v>1964893.99</v>
      </c>
      <c r="AT32" s="434">
        <f t="shared" si="159"/>
        <v>493482.71</v>
      </c>
      <c r="AU32" s="140">
        <f t="shared" si="40"/>
        <v>1866402.2899999998</v>
      </c>
      <c r="AV32" s="326">
        <f t="shared" si="41"/>
        <v>245753.76</v>
      </c>
      <c r="AW32" s="333">
        <f t="shared" si="42"/>
        <v>2112156.0499999998</v>
      </c>
      <c r="AX32" s="125">
        <f t="shared" si="160"/>
        <v>1114100.8799999999</v>
      </c>
      <c r="AY32" s="140">
        <f t="shared" si="44"/>
        <v>124219.64</v>
      </c>
      <c r="AZ32" s="326">
        <f t="shared" si="45"/>
        <v>0</v>
      </c>
      <c r="BA32" s="332">
        <f t="shared" si="46"/>
        <v>124219.64</v>
      </c>
      <c r="BB32" s="122">
        <f t="shared" ref="BB32:BD32" si="203">AY32+AU32+AQ32</f>
        <v>3700507.5999999996</v>
      </c>
      <c r="BC32" s="326">
        <f t="shared" si="203"/>
        <v>500762.08</v>
      </c>
      <c r="BD32" s="332">
        <f t="shared" si="203"/>
        <v>4201269.68</v>
      </c>
      <c r="BE32" s="122">
        <f t="shared" si="48"/>
        <v>7593425.7299999986</v>
      </c>
      <c r="BF32" s="326">
        <f t="shared" ref="BF32:BG32" si="204">AL32+BC32</f>
        <v>1422061.9700000002</v>
      </c>
      <c r="BG32" s="435">
        <f t="shared" si="204"/>
        <v>9015487.6999999993</v>
      </c>
      <c r="BH32" s="125">
        <f t="shared" si="50"/>
        <v>893559.09</v>
      </c>
      <c r="BI32" s="140">
        <f t="shared" si="51"/>
        <v>1800482.4300000002</v>
      </c>
      <c r="BJ32" s="123">
        <f t="shared" si="52"/>
        <v>369917.44</v>
      </c>
      <c r="BK32" s="125">
        <f t="shared" si="53"/>
        <v>2170399.87</v>
      </c>
      <c r="BL32" s="123">
        <f t="shared" si="54"/>
        <v>839556.89</v>
      </c>
      <c r="BM32" s="140">
        <f t="shared" si="55"/>
        <v>536768.38</v>
      </c>
      <c r="BN32" s="326">
        <f t="shared" si="56"/>
        <v>0</v>
      </c>
      <c r="BO32" s="332">
        <f t="shared" si="57"/>
        <v>536768.38</v>
      </c>
      <c r="BP32" s="141">
        <f t="shared" si="58"/>
        <v>522798.04</v>
      </c>
      <c r="BQ32" s="140">
        <f t="shared" si="59"/>
        <v>2273709.65</v>
      </c>
      <c r="BR32" s="326">
        <f t="shared" si="60"/>
        <v>227545.60000000001</v>
      </c>
      <c r="BS32" s="333">
        <f t="shared" si="61"/>
        <v>2501255.25</v>
      </c>
      <c r="BT32" s="113">
        <f t="shared" ref="BT32:BV32" si="205">SUM(BQ32,BM32,BI32)</f>
        <v>4610960.46</v>
      </c>
      <c r="BU32" s="116">
        <f t="shared" si="205"/>
        <v>597463.04000000004</v>
      </c>
      <c r="BV32" s="117">
        <f t="shared" si="205"/>
        <v>5208423.5</v>
      </c>
      <c r="BW32" s="141">
        <f t="shared" si="63"/>
        <v>722534.13</v>
      </c>
      <c r="BX32" s="113">
        <f t="shared" si="64"/>
        <v>1818641.42</v>
      </c>
      <c r="BY32" s="114">
        <f t="shared" si="65"/>
        <v>0</v>
      </c>
      <c r="BZ32" s="115">
        <f t="shared" si="66"/>
        <v>1818641.42</v>
      </c>
      <c r="CA32" s="123">
        <f t="shared" si="67"/>
        <v>1114062.6599999999</v>
      </c>
      <c r="CB32" s="333">
        <f t="shared" si="68"/>
        <v>1211956.6000000001</v>
      </c>
      <c r="CY32" s="294"/>
      <c r="DF32" s="296"/>
    </row>
    <row r="33" spans="1:110" ht="15.75" customHeight="1">
      <c r="A33" s="420">
        <f t="shared" si="0"/>
        <v>112014739</v>
      </c>
      <c r="B33" s="565">
        <f t="shared" si="1"/>
        <v>7</v>
      </c>
      <c r="C33" s="558">
        <f t="shared" si="2"/>
        <v>0.1</v>
      </c>
      <c r="D33" s="558">
        <f t="shared" si="3"/>
        <v>0.2</v>
      </c>
      <c r="E33" s="715">
        <f t="shared" si="4"/>
        <v>0</v>
      </c>
      <c r="F33" s="701">
        <f t="shared" si="5"/>
        <v>7</v>
      </c>
      <c r="G33" s="700">
        <f t="shared" si="6"/>
        <v>0.1</v>
      </c>
      <c r="H33" s="700">
        <f t="shared" si="7"/>
        <v>0.2</v>
      </c>
      <c r="I33" s="700">
        <f t="shared" si="8"/>
        <v>0</v>
      </c>
      <c r="J33" s="547">
        <f t="shared" si="9"/>
        <v>62</v>
      </c>
      <c r="K33" s="699">
        <f t="shared" si="10"/>
        <v>0.1</v>
      </c>
      <c r="L33" s="702">
        <f t="shared" si="11"/>
        <v>0.11</v>
      </c>
      <c r="M33" s="189" t="s">
        <v>538</v>
      </c>
      <c r="N33" s="423" t="str">
        <f t="shared" si="156"/>
        <v/>
      </c>
      <c r="O33" s="326">
        <v>1800000</v>
      </c>
      <c r="P33" s="326">
        <f t="shared" si="13"/>
        <v>0</v>
      </c>
      <c r="Q33" s="326">
        <f t="shared" si="14"/>
        <v>0</v>
      </c>
      <c r="R33" s="716">
        <f t="shared" si="15"/>
        <v>0</v>
      </c>
      <c r="S33" s="326">
        <f t="shared" si="16"/>
        <v>-1800000</v>
      </c>
      <c r="T33" s="137">
        <f t="shared" si="83"/>
        <v>0</v>
      </c>
      <c r="U33" s="326" t="str">
        <f t="shared" si="18"/>
        <v/>
      </c>
      <c r="V33" s="332">
        <v>1800000</v>
      </c>
      <c r="W33" s="140">
        <f t="shared" si="19"/>
        <v>0</v>
      </c>
      <c r="X33" s="326">
        <f t="shared" si="20"/>
        <v>0</v>
      </c>
      <c r="Y33" s="717">
        <f t="shared" si="21"/>
        <v>0</v>
      </c>
      <c r="Z33" s="123">
        <f t="shared" si="22"/>
        <v>-1800000</v>
      </c>
      <c r="AA33" s="137">
        <f t="shared" si="84"/>
        <v>0</v>
      </c>
      <c r="AB33" s="326" t="str">
        <f t="shared" si="157"/>
        <v/>
      </c>
      <c r="AC33" s="326">
        <v>1800000</v>
      </c>
      <c r="AD33" s="326">
        <f t="shared" si="25"/>
        <v>0</v>
      </c>
      <c r="AE33" s="326">
        <f t="shared" si="26"/>
        <v>0</v>
      </c>
      <c r="AF33" s="716">
        <f t="shared" si="27"/>
        <v>0</v>
      </c>
      <c r="AG33" s="326">
        <f t="shared" si="28"/>
        <v>-1800000</v>
      </c>
      <c r="AH33" s="137">
        <f t="shared" si="29"/>
        <v>0</v>
      </c>
      <c r="AI33" s="332">
        <f t="shared" si="30"/>
        <v>5400000</v>
      </c>
      <c r="AJ33" s="140" t="str">
        <f t="shared" si="31"/>
        <v>0</v>
      </c>
      <c r="AK33" s="326">
        <f t="shared" si="32"/>
        <v>0</v>
      </c>
      <c r="AL33" s="326">
        <f t="shared" ref="AL33:AM33" si="206">SUM(AE33,X33,Q33)</f>
        <v>0</v>
      </c>
      <c r="AM33" s="326">
        <f t="shared" si="206"/>
        <v>0</v>
      </c>
      <c r="AN33" s="326">
        <f t="shared" si="70"/>
        <v>-5400000</v>
      </c>
      <c r="AO33" s="413" t="str">
        <f t="shared" si="79"/>
        <v/>
      </c>
      <c r="AP33" s="423" t="str">
        <f t="shared" si="35"/>
        <v/>
      </c>
      <c r="AQ33" s="326">
        <f t="shared" si="36"/>
        <v>0</v>
      </c>
      <c r="AR33" s="326">
        <f t="shared" si="37"/>
        <v>0</v>
      </c>
      <c r="AS33" s="333">
        <f t="shared" si="38"/>
        <v>0</v>
      </c>
      <c r="AT33" s="434" t="str">
        <f t="shared" si="159"/>
        <v/>
      </c>
      <c r="AU33" s="140">
        <f t="shared" si="40"/>
        <v>0</v>
      </c>
      <c r="AV33" s="326">
        <f t="shared" si="41"/>
        <v>0</v>
      </c>
      <c r="AW33" s="333">
        <f t="shared" si="42"/>
        <v>0</v>
      </c>
      <c r="AX33" s="125" t="str">
        <f t="shared" si="160"/>
        <v/>
      </c>
      <c r="AY33" s="140">
        <f t="shared" si="44"/>
        <v>0</v>
      </c>
      <c r="AZ33" s="326">
        <f t="shared" si="45"/>
        <v>0</v>
      </c>
      <c r="BA33" s="332">
        <f t="shared" si="46"/>
        <v>0</v>
      </c>
      <c r="BB33" s="122">
        <f t="shared" ref="BB33:BD33" si="207">AY33+AU33+AQ33</f>
        <v>0</v>
      </c>
      <c r="BC33" s="326">
        <f t="shared" si="207"/>
        <v>0</v>
      </c>
      <c r="BD33" s="332">
        <f t="shared" si="207"/>
        <v>0</v>
      </c>
      <c r="BE33" s="122">
        <f t="shared" si="48"/>
        <v>0</v>
      </c>
      <c r="BF33" s="326">
        <f t="shared" ref="BF33:BG33" si="208">AL33+BC33</f>
        <v>0</v>
      </c>
      <c r="BG33" s="435">
        <f t="shared" si="208"/>
        <v>0</v>
      </c>
      <c r="BH33" s="125" t="str">
        <f t="shared" si="50"/>
        <v/>
      </c>
      <c r="BI33" s="140">
        <f t="shared" si="51"/>
        <v>0</v>
      </c>
      <c r="BJ33" s="123">
        <f t="shared" si="52"/>
        <v>0</v>
      </c>
      <c r="BK33" s="125">
        <f t="shared" si="53"/>
        <v>0</v>
      </c>
      <c r="BL33" s="123" t="str">
        <f t="shared" si="54"/>
        <v/>
      </c>
      <c r="BM33" s="140">
        <f t="shared" si="55"/>
        <v>489952</v>
      </c>
      <c r="BN33" s="326">
        <f t="shared" si="56"/>
        <v>789415.52</v>
      </c>
      <c r="BO33" s="332">
        <f t="shared" si="57"/>
        <v>1279367.52</v>
      </c>
      <c r="BP33" s="141" t="str">
        <f t="shared" si="58"/>
        <v/>
      </c>
      <c r="BQ33" s="140">
        <f t="shared" si="59"/>
        <v>0</v>
      </c>
      <c r="BR33" s="326">
        <f t="shared" si="60"/>
        <v>0</v>
      </c>
      <c r="BS33" s="333">
        <f t="shared" si="61"/>
        <v>0</v>
      </c>
      <c r="BT33" s="113">
        <f t="shared" ref="BT33:BV33" si="209">SUM(BQ33,BM33,BI33)</f>
        <v>489952</v>
      </c>
      <c r="BU33" s="116">
        <f t="shared" si="209"/>
        <v>789415.52</v>
      </c>
      <c r="BV33" s="117">
        <f t="shared" si="209"/>
        <v>1279367.52</v>
      </c>
      <c r="BW33" s="141" t="str">
        <f t="shared" si="63"/>
        <v/>
      </c>
      <c r="BX33" s="113">
        <f t="shared" si="64"/>
        <v>0</v>
      </c>
      <c r="BY33" s="114">
        <f t="shared" si="65"/>
        <v>0</v>
      </c>
      <c r="BZ33" s="115">
        <f t="shared" si="66"/>
        <v>0</v>
      </c>
      <c r="CA33" s="123" t="str">
        <f t="shared" si="67"/>
        <v/>
      </c>
      <c r="CB33" s="333" t="str">
        <f t="shared" si="68"/>
        <v/>
      </c>
      <c r="CY33" s="294"/>
      <c r="DF33" s="296"/>
    </row>
    <row r="34" spans="1:110" ht="15.75" customHeight="1">
      <c r="A34" s="420">
        <f t="shared" ref="A34:A65" si="210">VLOOKUP(M34,LAGECART4,3,FALSE)</f>
        <v>112014744</v>
      </c>
      <c r="B34" s="565" t="e">
        <f t="shared" ref="B34:B65" si="211">VLOOKUP(M34,LAGECARTERA,2,FALSE)</f>
        <v>#N/A</v>
      </c>
      <c r="C34" s="558" t="str">
        <f t="shared" ref="C34:C65" si="212">IFERROR(VLOOKUP(B34,DES,2,FALSE),"")</f>
        <v/>
      </c>
      <c r="D34" s="558" t="str">
        <f t="shared" ref="D34:D65" si="213">IFERROR(VLOOKUP(B34,DES,3,FALSE),"")</f>
        <v/>
      </c>
      <c r="E34" s="715" t="str">
        <f t="shared" ref="E34:E65" si="214">IFERROR(VLOOKUP(B34,DES,4,FALSE),"")</f>
        <v/>
      </c>
      <c r="F34" s="701">
        <f t="shared" ref="F34:F65" si="215">VLOOKUP(M34,LAGECART2,2,FALSE)</f>
        <v>7</v>
      </c>
      <c r="G34" s="700">
        <f t="shared" ref="G34:G65" si="216">IFERROR(VLOOKUP(F34,DES,2,FALSE),"")</f>
        <v>0.1</v>
      </c>
      <c r="H34" s="700">
        <f t="shared" ref="H34:H65" si="217">IFERROR(VLOOKUP(F34,DES,3,FALSE),"")</f>
        <v>0.2</v>
      </c>
      <c r="I34" s="700">
        <f t="shared" ref="I34:I65" si="218">IFERROR(VLOOKUP(F34,DES,4,FALSE),"")</f>
        <v>0</v>
      </c>
      <c r="J34" s="547">
        <f t="shared" ref="J34:J65" si="219">VLOOKUP(M34,LAGECART4,2,FALSE)</f>
        <v>62</v>
      </c>
      <c r="K34" s="699">
        <f t="shared" ref="K34:K65" si="220">IFERROR(VLOOKUP(J34,A458DC1025,2,FALSE),"")</f>
        <v>0.1</v>
      </c>
      <c r="L34" s="702">
        <f t="shared" ref="L34:L65" si="221">IFERROR(VLOOKUP(J34,A458DC1025,3,FALSE),"")</f>
        <v>0.11</v>
      </c>
      <c r="M34" s="139" t="s">
        <v>539</v>
      </c>
      <c r="N34" s="423" t="str">
        <f t="shared" si="156"/>
        <v/>
      </c>
      <c r="O34" s="326">
        <v>1800000</v>
      </c>
      <c r="P34" s="326">
        <f t="shared" si="13"/>
        <v>0</v>
      </c>
      <c r="Q34" s="326">
        <f t="shared" ref="Q34:Q65" si="222">IFERROR(VLOOKUP(M34,LAGALIM,3,FALSE),"")</f>
        <v>0</v>
      </c>
      <c r="R34" s="716">
        <f t="shared" ref="R34:R65" si="223">IFERROR(VLOOKUP(M34,LAGEFC,3,FALSE),"0")</f>
        <v>0</v>
      </c>
      <c r="S34" s="326">
        <f t="shared" si="16"/>
        <v>-1800000</v>
      </c>
      <c r="T34" s="137">
        <f t="shared" si="83"/>
        <v>0</v>
      </c>
      <c r="U34" s="326" t="str">
        <f t="shared" si="18"/>
        <v/>
      </c>
      <c r="V34" s="332">
        <v>1800000</v>
      </c>
      <c r="W34" s="140">
        <f t="shared" si="19"/>
        <v>0</v>
      </c>
      <c r="X34" s="326">
        <f t="shared" ref="X34:X65" si="224">IFERROR(VLOOKUP(M34,LAGALIM,4,FALSE),"")</f>
        <v>0</v>
      </c>
      <c r="Y34" s="717">
        <f t="shared" ref="Y34:Y65" si="225">IFERROR(VLOOKUP(M34,LAGEFC,4,FALSE),"0")</f>
        <v>0</v>
      </c>
      <c r="Z34" s="123">
        <f t="shared" si="22"/>
        <v>-1800000</v>
      </c>
      <c r="AA34" s="137">
        <f t="shared" si="84"/>
        <v>0</v>
      </c>
      <c r="AB34" s="326" t="str">
        <f t="shared" si="157"/>
        <v/>
      </c>
      <c r="AC34" s="326">
        <v>1800000</v>
      </c>
      <c r="AD34" s="326">
        <f t="shared" si="25"/>
        <v>0</v>
      </c>
      <c r="AE34" s="326">
        <f t="shared" ref="AE34:AE65" si="226">IFERROR(VLOOKUP(M34,LAGALIM,5,FALSE),"")</f>
        <v>0</v>
      </c>
      <c r="AF34" s="716">
        <f t="shared" ref="AF34:AF65" si="227">IFERROR(VLOOKUP(M34,LAGEFC,5,FALSE),"0")</f>
        <v>0</v>
      </c>
      <c r="AG34" s="326">
        <f t="shared" si="28"/>
        <v>-1800000</v>
      </c>
      <c r="AH34" s="137">
        <f t="shared" si="29"/>
        <v>0</v>
      </c>
      <c r="AI34" s="332">
        <f t="shared" si="30"/>
        <v>5400000</v>
      </c>
      <c r="AJ34" s="140" t="str">
        <f t="shared" ref="AJ34:AJ65" si="228">IFERROR(VLOOKUP(M34,trim2024,2,FALSE),"0")</f>
        <v>0</v>
      </c>
      <c r="AK34" s="326">
        <f t="shared" si="32"/>
        <v>0</v>
      </c>
      <c r="AL34" s="326">
        <f t="shared" ref="AL34:AM34" si="229">SUM(AE34,X34,Q34)</f>
        <v>0</v>
      </c>
      <c r="AM34" s="326">
        <f t="shared" si="229"/>
        <v>0</v>
      </c>
      <c r="AN34" s="326">
        <f t="shared" si="70"/>
        <v>-5400000</v>
      </c>
      <c r="AO34" s="413" t="str">
        <f t="shared" si="79"/>
        <v/>
      </c>
      <c r="AP34" s="423" t="str">
        <f t="shared" si="35"/>
        <v/>
      </c>
      <c r="AQ34" s="326">
        <f t="shared" si="36"/>
        <v>0</v>
      </c>
      <c r="AR34" s="326">
        <f t="shared" ref="AR34:AR65" si="230">IFERROR(VLOOKUP(M34,LAGALIM,6,FALSE),"")</f>
        <v>0</v>
      </c>
      <c r="AS34" s="333">
        <f t="shared" ref="AS34:AS65" si="231">IFERROR(VLOOKUP(M34,LAGEFC,6,FALSE),"0")</f>
        <v>0</v>
      </c>
      <c r="AT34" s="434" t="str">
        <f t="shared" si="159"/>
        <v/>
      </c>
      <c r="AU34" s="140">
        <f t="shared" si="40"/>
        <v>0</v>
      </c>
      <c r="AV34" s="326">
        <f t="shared" ref="AV34:AV65" si="232">IFERROR(VLOOKUP(M34,LAGALIM,7,FALSE),"")</f>
        <v>0</v>
      </c>
      <c r="AW34" s="333">
        <f t="shared" ref="AW34:AW65" si="233">IFERROR(VLOOKUP(M34,LAGEFC,7,FALSE),"0")</f>
        <v>0</v>
      </c>
      <c r="AX34" s="125" t="str">
        <f t="shared" si="160"/>
        <v/>
      </c>
      <c r="AY34" s="140">
        <f t="shared" si="44"/>
        <v>0</v>
      </c>
      <c r="AZ34" s="326">
        <f t="shared" ref="AZ34:AZ65" si="234">IFERROR(VLOOKUP(M34,LAGALIM,8,FALSE),"")</f>
        <v>0</v>
      </c>
      <c r="BA34" s="332">
        <f t="shared" ref="BA34:BA65" si="235">IFERROR(VLOOKUP(M34,LAGEFC,8,FALSE),"0")</f>
        <v>0</v>
      </c>
      <c r="BB34" s="122">
        <f t="shared" ref="BB34:BD34" si="236">AY34+AU34+AQ34</f>
        <v>0</v>
      </c>
      <c r="BC34" s="326">
        <f t="shared" si="236"/>
        <v>0</v>
      </c>
      <c r="BD34" s="332">
        <f t="shared" si="236"/>
        <v>0</v>
      </c>
      <c r="BE34" s="122">
        <f t="shared" si="48"/>
        <v>0</v>
      </c>
      <c r="BF34" s="326">
        <f t="shared" ref="BF34:BG34" si="237">AL34+BC34</f>
        <v>0</v>
      </c>
      <c r="BG34" s="435">
        <f t="shared" si="237"/>
        <v>0</v>
      </c>
      <c r="BH34" s="125" t="str">
        <f t="shared" ref="BH34:BH65" si="238">IFERROR(VLOOKUP(M34,LAGE24,9,FALSE),"")</f>
        <v/>
      </c>
      <c r="BI34" s="140">
        <f t="shared" si="51"/>
        <v>0</v>
      </c>
      <c r="BJ34" s="123">
        <f t="shared" ref="BJ34:BJ65" si="239">IFERROR(VLOOKUP(M34,LAGALIM,9,FALSE),"")</f>
        <v>0</v>
      </c>
      <c r="BK34" s="125">
        <f t="shared" ref="BK34:BK65" si="240">IFERROR(VLOOKUP(M34,LAGEFC,9,FALSE),"0")</f>
        <v>0</v>
      </c>
      <c r="BL34" s="123" t="str">
        <f t="shared" ref="BL34:BL65" si="241">IFERROR(VLOOKUP(M34,LAGE24,10,FALSE),"")</f>
        <v/>
      </c>
      <c r="BM34" s="140">
        <f t="shared" si="55"/>
        <v>0</v>
      </c>
      <c r="BN34" s="326">
        <f t="shared" ref="BN34:BN65" si="242">IFERROR(VLOOKUP(M34,LAGALIM,10,FALSE),"")</f>
        <v>117284.66</v>
      </c>
      <c r="BO34" s="332">
        <f t="shared" ref="BO34:BO65" si="243">IFERROR(VLOOKUP(M34,LAGEFC,10,FALSE),"0")</f>
        <v>117284.66</v>
      </c>
      <c r="BP34" s="141" t="str">
        <f t="shared" ref="BP34:BP65" si="244">IFERROR(VLOOKUP(M34,LAGE24,11,FALSE),"")</f>
        <v/>
      </c>
      <c r="BQ34" s="140">
        <f t="shared" si="59"/>
        <v>0</v>
      </c>
      <c r="BR34" s="326">
        <f t="shared" ref="BR34:BR65" si="245">IFERROR(VLOOKUP(M34,LAGALIM,11,FALSE),"")</f>
        <v>0</v>
      </c>
      <c r="BS34" s="333">
        <f t="shared" ref="BS34:BS65" si="246">IFERROR(VLOOKUP(M34,LAGEFC,11,FALSE),"0")</f>
        <v>0</v>
      </c>
      <c r="BT34" s="113">
        <f t="shared" ref="BT34:BV34" si="247">SUM(BQ34,BM34,BI34)</f>
        <v>0</v>
      </c>
      <c r="BU34" s="116">
        <f t="shared" si="247"/>
        <v>117284.66</v>
      </c>
      <c r="BV34" s="117">
        <f t="shared" si="247"/>
        <v>117284.66</v>
      </c>
      <c r="BW34" s="141" t="str">
        <f t="shared" ref="BW34:BW65" si="248">IFERROR(VLOOKUP(M34,LAGE24,12,FALSE),"")</f>
        <v/>
      </c>
      <c r="BX34" s="113">
        <f t="shared" si="64"/>
        <v>0</v>
      </c>
      <c r="BY34" s="114">
        <f t="shared" ref="BY34:BY65" si="249">IFERROR(VLOOKUP(M34,LAGALIM,12,FALSE),"")</f>
        <v>0</v>
      </c>
      <c r="BZ34" s="115">
        <f t="shared" ref="BZ34:BZ65" si="250">IFERROR(VLOOKUP(M34,LAGEFC,12,FALSE),"0")</f>
        <v>0</v>
      </c>
      <c r="CA34" s="123" t="str">
        <f t="shared" ref="CA34:CA65" si="251">IFERROR(VLOOKUP(M34,LAGE24,13,FALSE),"")</f>
        <v/>
      </c>
      <c r="CB34" s="333" t="str">
        <f t="shared" ref="CB34:CB65" si="252">IFERROR(VLOOKUP(M34,LAGE24,14,FALSE),"")</f>
        <v/>
      </c>
      <c r="CY34" s="294"/>
      <c r="DF34" s="296"/>
    </row>
    <row r="35" spans="1:110" ht="15.75" customHeight="1">
      <c r="A35" s="420">
        <f t="shared" si="210"/>
        <v>112012470</v>
      </c>
      <c r="B35" s="565">
        <f t="shared" si="211"/>
        <v>22</v>
      </c>
      <c r="C35" s="558">
        <f t="shared" si="212"/>
        <v>0.1</v>
      </c>
      <c r="D35" s="558">
        <f t="shared" si="213"/>
        <v>0.09</v>
      </c>
      <c r="E35" s="715">
        <f t="shared" si="214"/>
        <v>0</v>
      </c>
      <c r="F35" s="701">
        <f t="shared" si="215"/>
        <v>22</v>
      </c>
      <c r="G35" s="700">
        <f t="shared" si="216"/>
        <v>0.1</v>
      </c>
      <c r="H35" s="700">
        <f t="shared" si="217"/>
        <v>0.09</v>
      </c>
      <c r="I35" s="700">
        <f t="shared" si="218"/>
        <v>0</v>
      </c>
      <c r="J35" s="547">
        <f t="shared" si="219"/>
        <v>63</v>
      </c>
      <c r="K35" s="699">
        <f t="shared" si="220"/>
        <v>0.1</v>
      </c>
      <c r="L35" s="702">
        <f t="shared" si="221"/>
        <v>0.05</v>
      </c>
      <c r="M35" s="255" t="s">
        <v>540</v>
      </c>
      <c r="N35" s="423"/>
      <c r="O35" s="326"/>
      <c r="P35" s="326">
        <f t="shared" si="13"/>
        <v>0</v>
      </c>
      <c r="Q35" s="326">
        <f t="shared" si="222"/>
        <v>0</v>
      </c>
      <c r="R35" s="716">
        <f t="shared" si="223"/>
        <v>0</v>
      </c>
      <c r="S35" s="326"/>
      <c r="T35" s="137"/>
      <c r="U35" s="326"/>
      <c r="V35" s="332"/>
      <c r="W35" s="140">
        <f t="shared" si="19"/>
        <v>0</v>
      </c>
      <c r="X35" s="326">
        <f t="shared" si="224"/>
        <v>0</v>
      </c>
      <c r="Y35" s="717">
        <f t="shared" si="225"/>
        <v>0</v>
      </c>
      <c r="Z35" s="123"/>
      <c r="AA35" s="137"/>
      <c r="AB35" s="326"/>
      <c r="AC35" s="326">
        <v>1400000</v>
      </c>
      <c r="AD35" s="326">
        <f t="shared" si="25"/>
        <v>2226378.79</v>
      </c>
      <c r="AE35" s="326">
        <f t="shared" si="226"/>
        <v>0</v>
      </c>
      <c r="AF35" s="716">
        <f t="shared" si="227"/>
        <v>2226378.79</v>
      </c>
      <c r="AG35" s="326">
        <f t="shared" si="28"/>
        <v>826378.79</v>
      </c>
      <c r="AH35" s="137">
        <f t="shared" si="29"/>
        <v>1.5902705642857142</v>
      </c>
      <c r="AI35" s="332">
        <f t="shared" si="30"/>
        <v>1400000</v>
      </c>
      <c r="AJ35" s="140">
        <f t="shared" si="228"/>
        <v>6849222.1699999999</v>
      </c>
      <c r="AK35" s="326">
        <f t="shared" si="32"/>
        <v>2226378.79</v>
      </c>
      <c r="AL35" s="326">
        <f t="shared" ref="AL35:AM35" si="253">SUM(AE35,X35,Q35)</f>
        <v>0</v>
      </c>
      <c r="AM35" s="326">
        <f t="shared" si="253"/>
        <v>2226378.79</v>
      </c>
      <c r="AN35" s="326">
        <f t="shared" si="70"/>
        <v>826378.79</v>
      </c>
      <c r="AO35" s="413">
        <f t="shared" si="79"/>
        <v>0.32505571212913364</v>
      </c>
      <c r="AP35" s="423"/>
      <c r="AQ35" s="326">
        <f t="shared" si="36"/>
        <v>2036674.72</v>
      </c>
      <c r="AR35" s="326">
        <f t="shared" si="230"/>
        <v>0</v>
      </c>
      <c r="AS35" s="333">
        <f t="shared" si="231"/>
        <v>2036674.72</v>
      </c>
      <c r="AT35" s="434"/>
      <c r="AU35" s="140">
        <f t="shared" si="40"/>
        <v>1731733.59</v>
      </c>
      <c r="AV35" s="326">
        <f t="shared" si="232"/>
        <v>0</v>
      </c>
      <c r="AW35" s="333">
        <f t="shared" si="233"/>
        <v>1731733.59</v>
      </c>
      <c r="AX35" s="125"/>
      <c r="AY35" s="140">
        <f t="shared" si="44"/>
        <v>2137648.41</v>
      </c>
      <c r="AZ35" s="326">
        <f t="shared" si="234"/>
        <v>0</v>
      </c>
      <c r="BA35" s="332">
        <f t="shared" si="235"/>
        <v>2137648.41</v>
      </c>
      <c r="BB35" s="122">
        <f t="shared" ref="BB35:BD35" si="254">AY35+AU35+AQ35</f>
        <v>5906056.7199999997</v>
      </c>
      <c r="BC35" s="326">
        <f t="shared" si="254"/>
        <v>0</v>
      </c>
      <c r="BD35" s="332">
        <f t="shared" si="254"/>
        <v>5906056.7199999997</v>
      </c>
      <c r="BE35" s="122">
        <f t="shared" si="48"/>
        <v>8132435.5099999998</v>
      </c>
      <c r="BF35" s="326">
        <f t="shared" ref="BF35:BG35" si="255">AL35+BC35</f>
        <v>0</v>
      </c>
      <c r="BG35" s="435">
        <f t="shared" si="255"/>
        <v>8132435.5099999998</v>
      </c>
      <c r="BH35" s="125">
        <f t="shared" si="238"/>
        <v>1659411.42</v>
      </c>
      <c r="BI35" s="140">
        <f t="shared" si="51"/>
        <v>1823471.63</v>
      </c>
      <c r="BJ35" s="123">
        <f t="shared" si="239"/>
        <v>0</v>
      </c>
      <c r="BK35" s="125">
        <f t="shared" si="240"/>
        <v>1823471.63</v>
      </c>
      <c r="BL35" s="123">
        <f t="shared" si="241"/>
        <v>1151573.25</v>
      </c>
      <c r="BM35" s="140">
        <f t="shared" si="55"/>
        <v>1892215.91</v>
      </c>
      <c r="BN35" s="326">
        <f t="shared" si="242"/>
        <v>0</v>
      </c>
      <c r="BO35" s="332">
        <f t="shared" si="243"/>
        <v>1892215.91</v>
      </c>
      <c r="BP35" s="141">
        <f t="shared" si="244"/>
        <v>1870251.33</v>
      </c>
      <c r="BQ35" s="140">
        <f t="shared" si="59"/>
        <v>2147506.5099999998</v>
      </c>
      <c r="BR35" s="326">
        <f t="shared" si="245"/>
        <v>0</v>
      </c>
      <c r="BS35" s="333">
        <f t="shared" si="246"/>
        <v>2147506.5099999998</v>
      </c>
      <c r="BT35" s="113">
        <f t="shared" ref="BT35:BV35" si="256">SUM(BQ35,BM35,BI35)</f>
        <v>5863194.0499999998</v>
      </c>
      <c r="BU35" s="116">
        <f t="shared" si="256"/>
        <v>0</v>
      </c>
      <c r="BV35" s="117">
        <f t="shared" si="256"/>
        <v>5863194.0499999998</v>
      </c>
      <c r="BW35" s="141">
        <f t="shared" si="248"/>
        <v>3053727.54</v>
      </c>
      <c r="BX35" s="113">
        <f t="shared" si="64"/>
        <v>2490966.73</v>
      </c>
      <c r="BY35" s="114">
        <f t="shared" si="249"/>
        <v>13124.48</v>
      </c>
      <c r="BZ35" s="115">
        <f t="shared" si="250"/>
        <v>2504091.21</v>
      </c>
      <c r="CA35" s="123">
        <f t="shared" si="251"/>
        <v>1234100.6599999999</v>
      </c>
      <c r="CB35" s="333">
        <f t="shared" si="252"/>
        <v>2561393.9700000002</v>
      </c>
      <c r="CY35" s="294"/>
      <c r="DF35" s="296"/>
    </row>
    <row r="36" spans="1:110" ht="15.75" customHeight="1">
      <c r="A36" s="420">
        <f t="shared" si="210"/>
        <v>112012514</v>
      </c>
      <c r="B36" s="565">
        <f t="shared" si="211"/>
        <v>22</v>
      </c>
      <c r="C36" s="558">
        <f t="shared" si="212"/>
        <v>0.1</v>
      </c>
      <c r="D36" s="558">
        <f t="shared" si="213"/>
        <v>0.09</v>
      </c>
      <c r="E36" s="715">
        <f t="shared" si="214"/>
        <v>0</v>
      </c>
      <c r="F36" s="701">
        <f t="shared" si="215"/>
        <v>22</v>
      </c>
      <c r="G36" s="700">
        <f t="shared" si="216"/>
        <v>0.1</v>
      </c>
      <c r="H36" s="700">
        <f t="shared" si="217"/>
        <v>0.09</v>
      </c>
      <c r="I36" s="700">
        <f t="shared" si="218"/>
        <v>0</v>
      </c>
      <c r="J36" s="547">
        <f t="shared" si="219"/>
        <v>63</v>
      </c>
      <c r="K36" s="699">
        <f t="shared" si="220"/>
        <v>0.1</v>
      </c>
      <c r="L36" s="702">
        <f t="shared" si="221"/>
        <v>0.05</v>
      </c>
      <c r="M36" s="255" t="s">
        <v>541</v>
      </c>
      <c r="N36" s="423"/>
      <c r="O36" s="326"/>
      <c r="P36" s="326">
        <f t="shared" si="13"/>
        <v>0</v>
      </c>
      <c r="Q36" s="326">
        <f t="shared" si="222"/>
        <v>0</v>
      </c>
      <c r="R36" s="716">
        <f t="shared" si="223"/>
        <v>0</v>
      </c>
      <c r="S36" s="326"/>
      <c r="T36" s="137"/>
      <c r="U36" s="326"/>
      <c r="V36" s="332"/>
      <c r="W36" s="140">
        <f t="shared" si="19"/>
        <v>250952.62000000002</v>
      </c>
      <c r="X36" s="326">
        <f t="shared" si="224"/>
        <v>254438.27</v>
      </c>
      <c r="Y36" s="717">
        <f t="shared" si="225"/>
        <v>505390.89</v>
      </c>
      <c r="Z36" s="123"/>
      <c r="AA36" s="137"/>
      <c r="AB36" s="326"/>
      <c r="AC36" s="326">
        <v>900000</v>
      </c>
      <c r="AD36" s="326">
        <f t="shared" si="25"/>
        <v>652666.85</v>
      </c>
      <c r="AE36" s="326">
        <f t="shared" si="226"/>
        <v>225966.17</v>
      </c>
      <c r="AF36" s="716">
        <f t="shared" si="227"/>
        <v>878633.02</v>
      </c>
      <c r="AG36" s="326">
        <f t="shared" si="28"/>
        <v>-21366.979999999981</v>
      </c>
      <c r="AH36" s="137">
        <f t="shared" si="29"/>
        <v>0.97625891111111118</v>
      </c>
      <c r="AI36" s="332">
        <f t="shared" si="30"/>
        <v>900000</v>
      </c>
      <c r="AJ36" s="140">
        <f t="shared" si="228"/>
        <v>2659486.4300000002</v>
      </c>
      <c r="AK36" s="326">
        <f t="shared" si="32"/>
        <v>903619.4700000002</v>
      </c>
      <c r="AL36" s="326">
        <f t="shared" ref="AL36:AM36" si="257">SUM(AE36,X36,Q36)</f>
        <v>480404.44</v>
      </c>
      <c r="AM36" s="326">
        <f t="shared" si="257"/>
        <v>1384023.9100000001</v>
      </c>
      <c r="AN36" s="326">
        <f t="shared" si="70"/>
        <v>484023.91000000015</v>
      </c>
      <c r="AO36" s="413">
        <f t="shared" si="79"/>
        <v>0.52041021694553258</v>
      </c>
      <c r="AP36" s="423"/>
      <c r="AQ36" s="326">
        <f t="shared" si="36"/>
        <v>190200.51</v>
      </c>
      <c r="AR36" s="326">
        <f t="shared" si="230"/>
        <v>0</v>
      </c>
      <c r="AS36" s="333">
        <f t="shared" si="231"/>
        <v>190200.51</v>
      </c>
      <c r="AT36" s="434"/>
      <c r="AU36" s="140">
        <f t="shared" si="40"/>
        <v>0</v>
      </c>
      <c r="AV36" s="326">
        <f t="shared" si="232"/>
        <v>142930.51999999999</v>
      </c>
      <c r="AW36" s="333">
        <f t="shared" si="233"/>
        <v>142930.51999999999</v>
      </c>
      <c r="AX36" s="125"/>
      <c r="AY36" s="140">
        <f t="shared" si="44"/>
        <v>496579.57</v>
      </c>
      <c r="AZ36" s="326">
        <f t="shared" si="234"/>
        <v>285861.03999999998</v>
      </c>
      <c r="BA36" s="332">
        <f t="shared" si="235"/>
        <v>782440.61</v>
      </c>
      <c r="BB36" s="122">
        <f t="shared" ref="BB36:BD36" si="258">AY36+AU36+AQ36</f>
        <v>686780.08000000007</v>
      </c>
      <c r="BC36" s="326">
        <f t="shared" si="258"/>
        <v>428791.55999999994</v>
      </c>
      <c r="BD36" s="332">
        <f t="shared" si="258"/>
        <v>1115571.6400000001</v>
      </c>
      <c r="BE36" s="122">
        <f t="shared" si="48"/>
        <v>1590399.5500000003</v>
      </c>
      <c r="BF36" s="326">
        <f t="shared" ref="BF36:BG36" si="259">AL36+BC36</f>
        <v>909196</v>
      </c>
      <c r="BG36" s="435">
        <f t="shared" si="259"/>
        <v>2499595.5500000003</v>
      </c>
      <c r="BH36" s="125">
        <f t="shared" si="238"/>
        <v>259383.73</v>
      </c>
      <c r="BI36" s="140">
        <f t="shared" si="51"/>
        <v>394932.57000000007</v>
      </c>
      <c r="BJ36" s="123">
        <f t="shared" si="239"/>
        <v>371619.35</v>
      </c>
      <c r="BK36" s="125">
        <f t="shared" si="240"/>
        <v>766551.92</v>
      </c>
      <c r="BL36" s="123">
        <f t="shared" si="241"/>
        <v>662838.29</v>
      </c>
      <c r="BM36" s="140">
        <f t="shared" si="55"/>
        <v>74504.12999999999</v>
      </c>
      <c r="BN36" s="326">
        <f t="shared" si="242"/>
        <v>-142930.51999999999</v>
      </c>
      <c r="BO36" s="332">
        <f t="shared" si="243"/>
        <v>-68426.39</v>
      </c>
      <c r="BP36" s="141">
        <f t="shared" si="244"/>
        <v>596956.88</v>
      </c>
      <c r="BQ36" s="140">
        <f t="shared" si="59"/>
        <v>920088.81</v>
      </c>
      <c r="BR36" s="326">
        <f t="shared" si="245"/>
        <v>142930.51999999999</v>
      </c>
      <c r="BS36" s="333">
        <f t="shared" si="246"/>
        <v>1063019.33</v>
      </c>
      <c r="BT36" s="113">
        <f t="shared" ref="BT36:BV36" si="260">SUM(BQ36,BM36,BI36)</f>
        <v>1389525.5100000002</v>
      </c>
      <c r="BU36" s="116">
        <f t="shared" si="260"/>
        <v>371619.35</v>
      </c>
      <c r="BV36" s="117">
        <f t="shared" si="260"/>
        <v>1761144.86</v>
      </c>
      <c r="BW36" s="141">
        <f t="shared" si="248"/>
        <v>1097012.68</v>
      </c>
      <c r="BX36" s="113">
        <f t="shared" si="64"/>
        <v>605114.40999999992</v>
      </c>
      <c r="BY36" s="114">
        <f t="shared" si="249"/>
        <v>246984.29</v>
      </c>
      <c r="BZ36" s="115">
        <f t="shared" si="250"/>
        <v>852098.7</v>
      </c>
      <c r="CA36" s="123">
        <f t="shared" si="251"/>
        <v>115649.53</v>
      </c>
      <c r="CB36" s="333">
        <f t="shared" si="252"/>
        <v>1446824.22</v>
      </c>
      <c r="CY36" s="294"/>
      <c r="DF36" s="296"/>
    </row>
    <row r="37" spans="1:110" ht="15.75" customHeight="1">
      <c r="A37" s="420">
        <f t="shared" si="210"/>
        <v>112012487</v>
      </c>
      <c r="B37" s="565">
        <f t="shared" si="211"/>
        <v>22</v>
      </c>
      <c r="C37" s="558">
        <f t="shared" si="212"/>
        <v>0.1</v>
      </c>
      <c r="D37" s="558">
        <f t="shared" si="213"/>
        <v>0.09</v>
      </c>
      <c r="E37" s="715">
        <f t="shared" si="214"/>
        <v>0</v>
      </c>
      <c r="F37" s="701">
        <f t="shared" si="215"/>
        <v>22</v>
      </c>
      <c r="G37" s="700">
        <f t="shared" si="216"/>
        <v>0.1</v>
      </c>
      <c r="H37" s="700">
        <f t="shared" si="217"/>
        <v>0.09</v>
      </c>
      <c r="I37" s="700">
        <f t="shared" si="218"/>
        <v>0</v>
      </c>
      <c r="J37" s="547">
        <f t="shared" si="219"/>
        <v>63</v>
      </c>
      <c r="K37" s="699">
        <f t="shared" si="220"/>
        <v>0.1</v>
      </c>
      <c r="L37" s="702">
        <f t="shared" si="221"/>
        <v>0.05</v>
      </c>
      <c r="M37" s="139" t="s">
        <v>542</v>
      </c>
      <c r="N37" s="423">
        <f>IFERROR(VLOOKUP(M37,LAGE24,3,FALSE),"")</f>
        <v>922243.19</v>
      </c>
      <c r="O37" s="326">
        <v>2500000</v>
      </c>
      <c r="P37" s="326" t="e">
        <f t="shared" si="13"/>
        <v>#VALUE!</v>
      </c>
      <c r="Q37" s="326" t="str">
        <f t="shared" si="222"/>
        <v/>
      </c>
      <c r="R37" s="716">
        <f t="shared" si="223"/>
        <v>1348569.42</v>
      </c>
      <c r="S37" s="326">
        <f>R37-O37</f>
        <v>-1151430.58</v>
      </c>
      <c r="T37" s="137">
        <f>R37/O37</f>
        <v>0.53942776799999992</v>
      </c>
      <c r="U37" s="326">
        <f>IFERROR(VLOOKUP(M37,LAGE24,4,FALSE),"")</f>
        <v>639215.16</v>
      </c>
      <c r="V37" s="332">
        <v>2500000</v>
      </c>
      <c r="W37" s="140" t="e">
        <f t="shared" si="19"/>
        <v>#VALUE!</v>
      </c>
      <c r="X37" s="326" t="str">
        <f t="shared" si="224"/>
        <v/>
      </c>
      <c r="Y37" s="717">
        <f t="shared" si="225"/>
        <v>1227122.97</v>
      </c>
      <c r="Z37" s="123">
        <f>Y37-V37</f>
        <v>-1272877.03</v>
      </c>
      <c r="AA37" s="137">
        <f>Y37/V37</f>
        <v>0.49084918799999999</v>
      </c>
      <c r="AB37" s="326">
        <f>IFERROR(VLOOKUP(M37,LAGE24,5,FALSE),"")</f>
        <v>1639860.68</v>
      </c>
      <c r="AC37" s="326">
        <f>(AB37*1.5955)*1.05</f>
        <v>2747217.600687</v>
      </c>
      <c r="AD37" s="326" t="e">
        <f t="shared" si="25"/>
        <v>#VALUE!</v>
      </c>
      <c r="AE37" s="326" t="str">
        <f t="shared" si="226"/>
        <v/>
      </c>
      <c r="AF37" s="716">
        <f t="shared" si="227"/>
        <v>864634.49</v>
      </c>
      <c r="AG37" s="326">
        <f t="shared" si="28"/>
        <v>-1882583.110687</v>
      </c>
      <c r="AH37" s="137">
        <f t="shared" si="29"/>
        <v>0.31473098082357209</v>
      </c>
      <c r="AI37" s="332">
        <f t="shared" si="30"/>
        <v>7747217.600687</v>
      </c>
      <c r="AJ37" s="140">
        <f t="shared" si="228"/>
        <v>2947924.08</v>
      </c>
      <c r="AK37" s="326">
        <f t="shared" si="32"/>
        <v>3440326.88</v>
      </c>
      <c r="AL37" s="326">
        <f t="shared" ref="AL37:AM37" si="261">SUM(AE37,X37,Q37)</f>
        <v>0</v>
      </c>
      <c r="AM37" s="326">
        <f t="shared" si="261"/>
        <v>3440326.88</v>
      </c>
      <c r="AN37" s="326">
        <f t="shared" si="70"/>
        <v>-4306890.7206870001</v>
      </c>
      <c r="AO37" s="413">
        <f t="shared" si="79"/>
        <v>1.1670337453195199</v>
      </c>
      <c r="AP37" s="423">
        <f>IFERROR(VLOOKUP(M37,LAGE24,6,FALSE),"")</f>
        <v>2260685.58</v>
      </c>
      <c r="AQ37" s="326" t="e">
        <f t="shared" si="36"/>
        <v>#VALUE!</v>
      </c>
      <c r="AR37" s="325" t="str">
        <f t="shared" si="230"/>
        <v/>
      </c>
      <c r="AS37" s="333">
        <f t="shared" si="231"/>
        <v>2058691.7</v>
      </c>
      <c r="AT37" s="434">
        <f>IFERROR(VLOOKUP(M37,LAGE24,7,FALSE),"")</f>
        <v>544825.64</v>
      </c>
      <c r="AU37" s="140" t="e">
        <f t="shared" si="40"/>
        <v>#VALUE!</v>
      </c>
      <c r="AV37" s="326" t="str">
        <f t="shared" si="232"/>
        <v/>
      </c>
      <c r="AW37" s="333">
        <f t="shared" si="233"/>
        <v>0</v>
      </c>
      <c r="AX37" s="125">
        <f>IFERROR(VLOOKUP(M37,LAGE24,8,FALSE),"")</f>
        <v>225444.34</v>
      </c>
      <c r="AY37" s="140" t="e">
        <f t="shared" si="44"/>
        <v>#VALUE!</v>
      </c>
      <c r="AZ37" s="326" t="str">
        <f t="shared" si="234"/>
        <v/>
      </c>
      <c r="BA37" s="332">
        <f t="shared" si="235"/>
        <v>80702.350000000006</v>
      </c>
      <c r="BB37" s="122" t="e">
        <f t="shared" ref="BB37:BD37" si="262">AY37+AU37+AQ37</f>
        <v>#VALUE!</v>
      </c>
      <c r="BC37" s="326" t="e">
        <f t="shared" si="262"/>
        <v>#VALUE!</v>
      </c>
      <c r="BD37" s="332">
        <f t="shared" si="262"/>
        <v>2139394.0499999998</v>
      </c>
      <c r="BE37" s="122" t="e">
        <f t="shared" si="48"/>
        <v>#VALUE!</v>
      </c>
      <c r="BF37" s="326" t="e">
        <f t="shared" ref="BF37:BG37" si="263">AL37+BC37</f>
        <v>#VALUE!</v>
      </c>
      <c r="BG37" s="435">
        <f t="shared" si="263"/>
        <v>5579720.9299999997</v>
      </c>
      <c r="BH37" s="125">
        <f t="shared" si="238"/>
        <v>225881.89</v>
      </c>
      <c r="BI37" s="140" t="e">
        <f t="shared" si="51"/>
        <v>#VALUE!</v>
      </c>
      <c r="BJ37" s="123" t="str">
        <f t="shared" si="239"/>
        <v/>
      </c>
      <c r="BK37" s="125">
        <f t="shared" si="240"/>
        <v>291868.74</v>
      </c>
      <c r="BL37" s="123">
        <f t="shared" si="241"/>
        <v>1143213.1000000001</v>
      </c>
      <c r="BM37" s="140" t="e">
        <f t="shared" si="55"/>
        <v>#VALUE!</v>
      </c>
      <c r="BN37" s="326" t="str">
        <f t="shared" si="242"/>
        <v/>
      </c>
      <c r="BO37" s="332">
        <f t="shared" si="243"/>
        <v>273629.8</v>
      </c>
      <c r="BP37" s="141">
        <f t="shared" si="244"/>
        <v>1164502.8400000001</v>
      </c>
      <c r="BQ37" s="140" t="e">
        <f t="shared" si="59"/>
        <v>#VALUE!</v>
      </c>
      <c r="BR37" s="326" t="str">
        <f t="shared" si="245"/>
        <v/>
      </c>
      <c r="BS37" s="333">
        <f t="shared" si="246"/>
        <v>462405.2</v>
      </c>
      <c r="BT37" s="113" t="e">
        <f t="shared" ref="BT37:BV37" si="264">SUM(BQ37,BM37,BI37)</f>
        <v>#VALUE!</v>
      </c>
      <c r="BU37" s="116">
        <f t="shared" si="264"/>
        <v>0</v>
      </c>
      <c r="BV37" s="117">
        <f t="shared" si="264"/>
        <v>1027903.74</v>
      </c>
      <c r="BW37" s="141">
        <f t="shared" si="248"/>
        <v>852328.45</v>
      </c>
      <c r="BX37" s="113" t="e">
        <f t="shared" si="64"/>
        <v>#VALUE!</v>
      </c>
      <c r="BY37" s="114" t="str">
        <f t="shared" si="249"/>
        <v/>
      </c>
      <c r="BZ37" s="115">
        <f t="shared" si="250"/>
        <v>2083536.92</v>
      </c>
      <c r="CA37" s="123">
        <f t="shared" si="251"/>
        <v>1495662.29</v>
      </c>
      <c r="CB37" s="333">
        <f t="shared" si="252"/>
        <v>599933.34</v>
      </c>
      <c r="CY37" s="294"/>
      <c r="DF37" s="296"/>
    </row>
    <row r="38" spans="1:110" ht="15.75" customHeight="1">
      <c r="A38" s="420">
        <f t="shared" si="210"/>
        <v>112010446</v>
      </c>
      <c r="B38" s="565">
        <f t="shared" si="211"/>
        <v>22</v>
      </c>
      <c r="C38" s="558">
        <f t="shared" si="212"/>
        <v>0.1</v>
      </c>
      <c r="D38" s="558">
        <f t="shared" si="213"/>
        <v>0.09</v>
      </c>
      <c r="E38" s="715">
        <f t="shared" si="214"/>
        <v>0</v>
      </c>
      <c r="F38" s="701">
        <f t="shared" si="215"/>
        <v>22</v>
      </c>
      <c r="G38" s="700">
        <f t="shared" si="216"/>
        <v>0.1</v>
      </c>
      <c r="H38" s="700">
        <f t="shared" si="217"/>
        <v>0.09</v>
      </c>
      <c r="I38" s="700">
        <f t="shared" si="218"/>
        <v>0</v>
      </c>
      <c r="J38" s="547">
        <f t="shared" si="219"/>
        <v>63</v>
      </c>
      <c r="K38" s="699">
        <f t="shared" si="220"/>
        <v>0.1</v>
      </c>
      <c r="L38" s="702">
        <f t="shared" si="221"/>
        <v>0.05</v>
      </c>
      <c r="M38" s="255" t="s">
        <v>543</v>
      </c>
      <c r="N38" s="423"/>
      <c r="O38" s="326"/>
      <c r="P38" s="326" t="e">
        <f t="shared" si="13"/>
        <v>#VALUE!</v>
      </c>
      <c r="Q38" s="326" t="str">
        <f t="shared" si="222"/>
        <v/>
      </c>
      <c r="R38" s="716">
        <f t="shared" si="223"/>
        <v>0</v>
      </c>
      <c r="S38" s="326"/>
      <c r="T38" s="137"/>
      <c r="U38" s="326"/>
      <c r="V38" s="332"/>
      <c r="W38" s="140" t="e">
        <f t="shared" si="19"/>
        <v>#VALUE!</v>
      </c>
      <c r="X38" s="326" t="str">
        <f t="shared" si="224"/>
        <v/>
      </c>
      <c r="Y38" s="717">
        <f t="shared" si="225"/>
        <v>0</v>
      </c>
      <c r="Z38" s="123"/>
      <c r="AA38" s="137"/>
      <c r="AB38" s="326"/>
      <c r="AC38" s="326">
        <v>1300000</v>
      </c>
      <c r="AD38" s="326" t="e">
        <f t="shared" si="25"/>
        <v>#VALUE!</v>
      </c>
      <c r="AE38" s="326" t="str">
        <f t="shared" si="226"/>
        <v/>
      </c>
      <c r="AF38" s="716">
        <f t="shared" si="227"/>
        <v>2062129.64</v>
      </c>
      <c r="AG38" s="326">
        <f t="shared" si="28"/>
        <v>762129.6399999999</v>
      </c>
      <c r="AH38" s="137">
        <f t="shared" si="29"/>
        <v>1.5862535692307691</v>
      </c>
      <c r="AI38" s="332">
        <f t="shared" si="30"/>
        <v>1300000</v>
      </c>
      <c r="AJ38" s="140">
        <f t="shared" si="228"/>
        <v>6597317.5</v>
      </c>
      <c r="AK38" s="326">
        <f t="shared" si="32"/>
        <v>2062129.64</v>
      </c>
      <c r="AL38" s="326">
        <f t="shared" ref="AL38:AM38" si="265">SUM(AE38,X38,Q38)</f>
        <v>0</v>
      </c>
      <c r="AM38" s="326">
        <f t="shared" si="265"/>
        <v>2062129.64</v>
      </c>
      <c r="AN38" s="326">
        <f t="shared" si="70"/>
        <v>762129.6399999999</v>
      </c>
      <c r="AO38" s="413">
        <f t="shared" si="79"/>
        <v>0.31257092598620573</v>
      </c>
      <c r="AP38" s="423"/>
      <c r="AQ38" s="326" t="e">
        <f t="shared" si="36"/>
        <v>#VALUE!</v>
      </c>
      <c r="AR38" s="326" t="str">
        <f t="shared" si="230"/>
        <v/>
      </c>
      <c r="AS38" s="333">
        <f t="shared" si="231"/>
        <v>1783125.05</v>
      </c>
      <c r="AT38" s="434"/>
      <c r="AU38" s="140" t="e">
        <f t="shared" si="40"/>
        <v>#VALUE!</v>
      </c>
      <c r="AV38" s="326" t="str">
        <f t="shared" si="232"/>
        <v/>
      </c>
      <c r="AW38" s="333">
        <f t="shared" si="233"/>
        <v>930299.41</v>
      </c>
      <c r="AX38" s="125"/>
      <c r="AY38" s="140" t="e">
        <f t="shared" si="44"/>
        <v>#VALUE!</v>
      </c>
      <c r="AZ38" s="326" t="str">
        <f t="shared" si="234"/>
        <v/>
      </c>
      <c r="BA38" s="332">
        <f t="shared" si="235"/>
        <v>1997149.9</v>
      </c>
      <c r="BB38" s="122" t="e">
        <f t="shared" ref="BB38:BD38" si="266">AY38+AU38+AQ38</f>
        <v>#VALUE!</v>
      </c>
      <c r="BC38" s="326" t="e">
        <f t="shared" si="266"/>
        <v>#VALUE!</v>
      </c>
      <c r="BD38" s="332">
        <f t="shared" si="266"/>
        <v>4710574.3600000003</v>
      </c>
      <c r="BE38" s="122" t="e">
        <f t="shared" si="48"/>
        <v>#VALUE!</v>
      </c>
      <c r="BF38" s="326" t="e">
        <f t="shared" ref="BF38:BG38" si="267">AL38+BC38</f>
        <v>#VALUE!</v>
      </c>
      <c r="BG38" s="435">
        <f t="shared" si="267"/>
        <v>6772704</v>
      </c>
      <c r="BH38" s="125">
        <f t="shared" si="238"/>
        <v>1226022.3799999999</v>
      </c>
      <c r="BI38" s="140" t="e">
        <f t="shared" si="51"/>
        <v>#VALUE!</v>
      </c>
      <c r="BJ38" s="123" t="str">
        <f t="shared" si="239"/>
        <v/>
      </c>
      <c r="BK38" s="125">
        <f t="shared" si="240"/>
        <v>2571131.34</v>
      </c>
      <c r="BL38" s="123">
        <f t="shared" si="241"/>
        <v>593465.18000000005</v>
      </c>
      <c r="BM38" s="140" t="e">
        <f t="shared" si="55"/>
        <v>#VALUE!</v>
      </c>
      <c r="BN38" s="326" t="str">
        <f t="shared" si="242"/>
        <v/>
      </c>
      <c r="BO38" s="332">
        <f t="shared" si="243"/>
        <v>2557398.58</v>
      </c>
      <c r="BP38" s="141">
        <f t="shared" si="244"/>
        <v>2747434.35</v>
      </c>
      <c r="BQ38" s="140" t="e">
        <f t="shared" si="59"/>
        <v>#VALUE!</v>
      </c>
      <c r="BR38" s="326" t="str">
        <f t="shared" si="245"/>
        <v/>
      </c>
      <c r="BS38" s="333">
        <f t="shared" si="246"/>
        <v>3230671.92</v>
      </c>
      <c r="BT38" s="113" t="e">
        <f t="shared" ref="BT38:BV38" si="268">SUM(BQ38,BM38,BI38)</f>
        <v>#VALUE!</v>
      </c>
      <c r="BU38" s="116">
        <f t="shared" si="268"/>
        <v>0</v>
      </c>
      <c r="BV38" s="117">
        <f t="shared" si="268"/>
        <v>8359201.8399999999</v>
      </c>
      <c r="BW38" s="141">
        <f t="shared" si="248"/>
        <v>3963754.22</v>
      </c>
      <c r="BX38" s="113" t="e">
        <f t="shared" si="64"/>
        <v>#VALUE!</v>
      </c>
      <c r="BY38" s="114" t="str">
        <f t="shared" si="249"/>
        <v/>
      </c>
      <c r="BZ38" s="115">
        <f t="shared" si="250"/>
        <v>2683187.9700000002</v>
      </c>
      <c r="CA38" s="123">
        <f t="shared" si="251"/>
        <v>1980181.24</v>
      </c>
      <c r="CB38" s="333">
        <f t="shared" si="252"/>
        <v>653382.04</v>
      </c>
      <c r="CY38" s="294"/>
      <c r="DF38" s="296"/>
    </row>
    <row r="39" spans="1:110" ht="15.75" customHeight="1">
      <c r="A39" s="420">
        <f t="shared" si="210"/>
        <v>112014763</v>
      </c>
      <c r="B39" s="565" t="e">
        <f t="shared" si="211"/>
        <v>#N/A</v>
      </c>
      <c r="C39" s="558" t="str">
        <f t="shared" si="212"/>
        <v/>
      </c>
      <c r="D39" s="558" t="str">
        <f t="shared" si="213"/>
        <v/>
      </c>
      <c r="E39" s="715" t="str">
        <f t="shared" si="214"/>
        <v/>
      </c>
      <c r="F39" s="701">
        <f t="shared" si="215"/>
        <v>31</v>
      </c>
      <c r="G39" s="700">
        <f t="shared" si="216"/>
        <v>0.1</v>
      </c>
      <c r="H39" s="700">
        <f t="shared" si="217"/>
        <v>0.23</v>
      </c>
      <c r="I39" s="700">
        <f t="shared" si="218"/>
        <v>0</v>
      </c>
      <c r="J39" s="547">
        <f t="shared" si="219"/>
        <v>61</v>
      </c>
      <c r="K39" s="699">
        <f t="shared" si="220"/>
        <v>0.1</v>
      </c>
      <c r="L39" s="702">
        <f t="shared" si="221"/>
        <v>0.14000000000000001</v>
      </c>
      <c r="M39" s="139" t="s">
        <v>544</v>
      </c>
      <c r="N39" s="423" t="str">
        <f>IFERROR(VLOOKUP(M39,LAGE24,3,FALSE),"")</f>
        <v/>
      </c>
      <c r="O39" s="326">
        <v>1800000</v>
      </c>
      <c r="P39" s="326">
        <f t="shared" si="13"/>
        <v>0</v>
      </c>
      <c r="Q39" s="326">
        <f t="shared" si="222"/>
        <v>0</v>
      </c>
      <c r="R39" s="716">
        <f t="shared" si="223"/>
        <v>0</v>
      </c>
      <c r="S39" s="326">
        <f>R39-O39</f>
        <v>-1800000</v>
      </c>
      <c r="T39" s="137">
        <f>R39/O39</f>
        <v>0</v>
      </c>
      <c r="U39" s="326" t="str">
        <f>IFERROR(VLOOKUP(M39,LAGE24,4,FALSE),"")</f>
        <v/>
      </c>
      <c r="V39" s="332">
        <v>1800000</v>
      </c>
      <c r="W39" s="140">
        <f t="shared" si="19"/>
        <v>0</v>
      </c>
      <c r="X39" s="326">
        <f t="shared" si="224"/>
        <v>0</v>
      </c>
      <c r="Y39" s="717">
        <f t="shared" si="225"/>
        <v>0</v>
      </c>
      <c r="Z39" s="123">
        <f>Y39-V39</f>
        <v>-1800000</v>
      </c>
      <c r="AA39" s="137">
        <f>Y39/V39</f>
        <v>0</v>
      </c>
      <c r="AB39" s="326" t="str">
        <f>IFERROR(VLOOKUP(M39,LAGE24,5,FALSE),"")</f>
        <v/>
      </c>
      <c r="AC39" s="326">
        <v>1800000</v>
      </c>
      <c r="AD39" s="326">
        <f t="shared" si="25"/>
        <v>0</v>
      </c>
      <c r="AE39" s="326">
        <f t="shared" si="226"/>
        <v>0</v>
      </c>
      <c r="AF39" s="716">
        <f t="shared" si="227"/>
        <v>0</v>
      </c>
      <c r="AG39" s="326">
        <f t="shared" si="28"/>
        <v>-1800000</v>
      </c>
      <c r="AH39" s="137">
        <f t="shared" si="29"/>
        <v>0</v>
      </c>
      <c r="AI39" s="332">
        <f t="shared" si="30"/>
        <v>5400000</v>
      </c>
      <c r="AJ39" s="140" t="str">
        <f t="shared" si="228"/>
        <v>0</v>
      </c>
      <c r="AK39" s="326">
        <f t="shared" si="32"/>
        <v>0</v>
      </c>
      <c r="AL39" s="326">
        <f t="shared" ref="AL39:AM39" si="269">SUM(AE39,X39,Q39)</f>
        <v>0</v>
      </c>
      <c r="AM39" s="326">
        <f t="shared" si="269"/>
        <v>0</v>
      </c>
      <c r="AN39" s="326">
        <f t="shared" si="70"/>
        <v>-5400000</v>
      </c>
      <c r="AO39" s="413" t="str">
        <f t="shared" si="79"/>
        <v/>
      </c>
      <c r="AP39" s="423" t="str">
        <f>IFERROR(VLOOKUP(M39,LAGE24,6,FALSE),"")</f>
        <v/>
      </c>
      <c r="AQ39" s="326">
        <f t="shared" si="36"/>
        <v>0</v>
      </c>
      <c r="AR39" s="325">
        <f t="shared" si="230"/>
        <v>0</v>
      </c>
      <c r="AS39" s="333">
        <f t="shared" si="231"/>
        <v>0</v>
      </c>
      <c r="AT39" s="434" t="str">
        <f>IFERROR(VLOOKUP(M39,LAGE24,7,FALSE),"")</f>
        <v/>
      </c>
      <c r="AU39" s="140">
        <f t="shared" si="40"/>
        <v>0</v>
      </c>
      <c r="AV39" s="326">
        <f t="shared" si="232"/>
        <v>0</v>
      </c>
      <c r="AW39" s="333">
        <f t="shared" si="233"/>
        <v>0</v>
      </c>
      <c r="AX39" s="125" t="str">
        <f>IFERROR(VLOOKUP(M39,LAGE24,8,FALSE),"")</f>
        <v/>
      </c>
      <c r="AY39" s="140">
        <f t="shared" si="44"/>
        <v>0</v>
      </c>
      <c r="AZ39" s="326">
        <f t="shared" si="234"/>
        <v>0</v>
      </c>
      <c r="BA39" s="332">
        <f t="shared" si="235"/>
        <v>0</v>
      </c>
      <c r="BB39" s="122">
        <f t="shared" ref="BB39:BD39" si="270">AY39+AU39+AQ39</f>
        <v>0</v>
      </c>
      <c r="BC39" s="326">
        <f t="shared" si="270"/>
        <v>0</v>
      </c>
      <c r="BD39" s="332">
        <f t="shared" si="270"/>
        <v>0</v>
      </c>
      <c r="BE39" s="122">
        <f t="shared" si="48"/>
        <v>0</v>
      </c>
      <c r="BF39" s="326">
        <f t="shared" ref="BF39:BG39" si="271">AL39+BC39</f>
        <v>0</v>
      </c>
      <c r="BG39" s="435">
        <f t="shared" si="271"/>
        <v>0</v>
      </c>
      <c r="BH39" s="125" t="str">
        <f t="shared" si="238"/>
        <v/>
      </c>
      <c r="BI39" s="140">
        <f t="shared" si="51"/>
        <v>0</v>
      </c>
      <c r="BJ39" s="123">
        <f t="shared" si="239"/>
        <v>0</v>
      </c>
      <c r="BK39" s="125">
        <f t="shared" si="240"/>
        <v>0</v>
      </c>
      <c r="BL39" s="123" t="str">
        <f t="shared" si="241"/>
        <v/>
      </c>
      <c r="BM39" s="140">
        <f t="shared" si="55"/>
        <v>0</v>
      </c>
      <c r="BN39" s="326">
        <f t="shared" si="242"/>
        <v>0</v>
      </c>
      <c r="BO39" s="332">
        <f t="shared" si="243"/>
        <v>0</v>
      </c>
      <c r="BP39" s="141" t="str">
        <f t="shared" si="244"/>
        <v/>
      </c>
      <c r="BQ39" s="140">
        <f t="shared" si="59"/>
        <v>542458.95000000007</v>
      </c>
      <c r="BR39" s="326">
        <f t="shared" si="245"/>
        <v>143204.6</v>
      </c>
      <c r="BS39" s="333">
        <f t="shared" si="246"/>
        <v>685663.55</v>
      </c>
      <c r="BT39" s="113">
        <f t="shared" ref="BT39:BV39" si="272">SUM(BQ39,BM39,BI39)</f>
        <v>542458.95000000007</v>
      </c>
      <c r="BU39" s="116">
        <f t="shared" si="272"/>
        <v>143204.6</v>
      </c>
      <c r="BV39" s="117">
        <f t="shared" si="272"/>
        <v>685663.55</v>
      </c>
      <c r="BW39" s="141" t="str">
        <f t="shared" si="248"/>
        <v/>
      </c>
      <c r="BX39" s="113">
        <f t="shared" si="64"/>
        <v>1764467.78</v>
      </c>
      <c r="BY39" s="114">
        <f t="shared" si="249"/>
        <v>1806748.36</v>
      </c>
      <c r="BZ39" s="115">
        <f t="shared" si="250"/>
        <v>3571216.14</v>
      </c>
      <c r="CA39" s="123" t="str">
        <f t="shared" si="251"/>
        <v/>
      </c>
      <c r="CB39" s="333" t="str">
        <f t="shared" si="252"/>
        <v/>
      </c>
      <c r="CY39" s="294"/>
      <c r="DF39" s="296"/>
    </row>
    <row r="40" spans="1:110" ht="15.75" customHeight="1">
      <c r="A40" s="420">
        <f t="shared" si="210"/>
        <v>112014767</v>
      </c>
      <c r="B40" s="565" t="e">
        <f t="shared" si="211"/>
        <v>#N/A</v>
      </c>
      <c r="C40" s="558" t="str">
        <f t="shared" si="212"/>
        <v/>
      </c>
      <c r="D40" s="558" t="str">
        <f t="shared" si="213"/>
        <v/>
      </c>
      <c r="E40" s="715" t="str">
        <f t="shared" si="214"/>
        <v/>
      </c>
      <c r="F40" s="701">
        <f t="shared" si="215"/>
        <v>31</v>
      </c>
      <c r="G40" s="700">
        <f t="shared" si="216"/>
        <v>0.1</v>
      </c>
      <c r="H40" s="700">
        <f t="shared" si="217"/>
        <v>0.23</v>
      </c>
      <c r="I40" s="700">
        <f t="shared" si="218"/>
        <v>0</v>
      </c>
      <c r="J40" s="547">
        <f t="shared" si="219"/>
        <v>61</v>
      </c>
      <c r="K40" s="699">
        <f t="shared" si="220"/>
        <v>0.1</v>
      </c>
      <c r="L40" s="702">
        <f t="shared" si="221"/>
        <v>0.14000000000000001</v>
      </c>
      <c r="M40" s="255" t="s">
        <v>545</v>
      </c>
      <c r="N40" s="423"/>
      <c r="O40" s="326"/>
      <c r="P40" s="326">
        <f t="shared" si="13"/>
        <v>0</v>
      </c>
      <c r="Q40" s="326">
        <f t="shared" si="222"/>
        <v>0</v>
      </c>
      <c r="R40" s="716">
        <f t="shared" si="223"/>
        <v>0</v>
      </c>
      <c r="S40" s="326"/>
      <c r="T40" s="137"/>
      <c r="U40" s="326"/>
      <c r="V40" s="332"/>
      <c r="W40" s="140">
        <f t="shared" si="19"/>
        <v>0</v>
      </c>
      <c r="X40" s="326">
        <f t="shared" si="224"/>
        <v>0</v>
      </c>
      <c r="Y40" s="717">
        <f t="shared" si="225"/>
        <v>0</v>
      </c>
      <c r="Z40" s="123"/>
      <c r="AA40" s="137"/>
      <c r="AB40" s="326"/>
      <c r="AC40" s="326">
        <f>(AB40*1.5955)*1.05</f>
        <v>0</v>
      </c>
      <c r="AD40" s="326">
        <f t="shared" si="25"/>
        <v>0</v>
      </c>
      <c r="AE40" s="326">
        <f t="shared" si="226"/>
        <v>0</v>
      </c>
      <c r="AF40" s="716">
        <f t="shared" si="227"/>
        <v>0</v>
      </c>
      <c r="AG40" s="326">
        <f t="shared" si="28"/>
        <v>0</v>
      </c>
      <c r="AH40" s="137" t="str">
        <f>IFERROR(AF40/AC40,"")</f>
        <v/>
      </c>
      <c r="AI40" s="332">
        <f t="shared" si="30"/>
        <v>0</v>
      </c>
      <c r="AJ40" s="140" t="str">
        <f t="shared" si="228"/>
        <v>0</v>
      </c>
      <c r="AK40" s="326">
        <f t="shared" si="32"/>
        <v>0</v>
      </c>
      <c r="AL40" s="326">
        <f t="shared" ref="AL40:AM40" si="273">SUM(AE40,X40,Q40)</f>
        <v>0</v>
      </c>
      <c r="AM40" s="326">
        <f t="shared" si="273"/>
        <v>0</v>
      </c>
      <c r="AN40" s="326">
        <f t="shared" si="70"/>
        <v>0</v>
      </c>
      <c r="AO40" s="413" t="str">
        <f t="shared" si="79"/>
        <v/>
      </c>
      <c r="AP40" s="423"/>
      <c r="AQ40" s="326">
        <f t="shared" si="36"/>
        <v>0</v>
      </c>
      <c r="AR40" s="326">
        <f t="shared" si="230"/>
        <v>0</v>
      </c>
      <c r="AS40" s="333">
        <f t="shared" si="231"/>
        <v>0</v>
      </c>
      <c r="AT40" s="434"/>
      <c r="AU40" s="140">
        <f t="shared" si="40"/>
        <v>0</v>
      </c>
      <c r="AV40" s="326">
        <f t="shared" si="232"/>
        <v>0</v>
      </c>
      <c r="AW40" s="333">
        <f t="shared" si="233"/>
        <v>0</v>
      </c>
      <c r="AX40" s="125"/>
      <c r="AY40" s="140">
        <f t="shared" si="44"/>
        <v>0</v>
      </c>
      <c r="AZ40" s="326">
        <f t="shared" si="234"/>
        <v>0</v>
      </c>
      <c r="BA40" s="332">
        <f t="shared" si="235"/>
        <v>0</v>
      </c>
      <c r="BB40" s="122">
        <f t="shared" ref="BB40:BD40" si="274">AY40+AU40+AQ40</f>
        <v>0</v>
      </c>
      <c r="BC40" s="326">
        <f t="shared" si="274"/>
        <v>0</v>
      </c>
      <c r="BD40" s="332">
        <f t="shared" si="274"/>
        <v>0</v>
      </c>
      <c r="BE40" s="122">
        <f t="shared" si="48"/>
        <v>0</v>
      </c>
      <c r="BF40" s="326">
        <f t="shared" ref="BF40:BG40" si="275">AL40+BC40</f>
        <v>0</v>
      </c>
      <c r="BG40" s="435">
        <f t="shared" si="275"/>
        <v>0</v>
      </c>
      <c r="BH40" s="125" t="str">
        <f t="shared" si="238"/>
        <v/>
      </c>
      <c r="BI40" s="140">
        <f t="shared" si="51"/>
        <v>0</v>
      </c>
      <c r="BJ40" s="123">
        <f t="shared" si="239"/>
        <v>0</v>
      </c>
      <c r="BK40" s="125">
        <f t="shared" si="240"/>
        <v>0</v>
      </c>
      <c r="BL40" s="123" t="str">
        <f t="shared" si="241"/>
        <v/>
      </c>
      <c r="BM40" s="140">
        <f t="shared" si="55"/>
        <v>0</v>
      </c>
      <c r="BN40" s="326">
        <f t="shared" si="242"/>
        <v>0</v>
      </c>
      <c r="BO40" s="332">
        <f t="shared" si="243"/>
        <v>0</v>
      </c>
      <c r="BP40" s="141" t="str">
        <f t="shared" si="244"/>
        <v/>
      </c>
      <c r="BQ40" s="140">
        <f t="shared" si="59"/>
        <v>0</v>
      </c>
      <c r="BR40" s="326">
        <f t="shared" si="245"/>
        <v>0</v>
      </c>
      <c r="BS40" s="737">
        <f t="shared" si="246"/>
        <v>0</v>
      </c>
      <c r="BT40" s="113">
        <f t="shared" ref="BT40:BV40" si="276">SUM(BQ40,BM40,BI40)</f>
        <v>0</v>
      </c>
      <c r="BU40" s="116">
        <f t="shared" si="276"/>
        <v>0</v>
      </c>
      <c r="BV40" s="117">
        <f t="shared" si="276"/>
        <v>0</v>
      </c>
      <c r="BW40" s="141" t="str">
        <f t="shared" si="248"/>
        <v/>
      </c>
      <c r="BX40" s="113">
        <f t="shared" si="64"/>
        <v>0</v>
      </c>
      <c r="BY40" s="114">
        <f t="shared" si="249"/>
        <v>1977622.11</v>
      </c>
      <c r="BZ40" s="115">
        <f t="shared" si="250"/>
        <v>1977622.11</v>
      </c>
      <c r="CA40" s="123" t="str">
        <f t="shared" si="251"/>
        <v/>
      </c>
      <c r="CB40" s="333" t="str">
        <f t="shared" si="252"/>
        <v/>
      </c>
      <c r="CY40" s="294"/>
      <c r="DF40" s="296"/>
    </row>
    <row r="41" spans="1:110" ht="15.75" customHeight="1">
      <c r="A41" s="420">
        <f t="shared" si="210"/>
        <v>112014741</v>
      </c>
      <c r="B41" s="565" t="e">
        <f t="shared" si="211"/>
        <v>#N/A</v>
      </c>
      <c r="C41" s="558" t="str">
        <f t="shared" si="212"/>
        <v/>
      </c>
      <c r="D41" s="558" t="str">
        <f t="shared" si="213"/>
        <v/>
      </c>
      <c r="E41" s="715" t="str">
        <f t="shared" si="214"/>
        <v/>
      </c>
      <c r="F41" s="701">
        <f t="shared" si="215"/>
        <v>31</v>
      </c>
      <c r="G41" s="700">
        <f t="shared" si="216"/>
        <v>0.1</v>
      </c>
      <c r="H41" s="700">
        <f t="shared" si="217"/>
        <v>0.23</v>
      </c>
      <c r="I41" s="700">
        <f t="shared" si="218"/>
        <v>0</v>
      </c>
      <c r="J41" s="547">
        <f t="shared" si="219"/>
        <v>61</v>
      </c>
      <c r="K41" s="699">
        <f t="shared" si="220"/>
        <v>0.1</v>
      </c>
      <c r="L41" s="702">
        <f t="shared" si="221"/>
        <v>0.14000000000000001</v>
      </c>
      <c r="M41" s="255" t="s">
        <v>546</v>
      </c>
      <c r="N41" s="423"/>
      <c r="O41" s="326"/>
      <c r="P41" s="326">
        <f t="shared" si="13"/>
        <v>0</v>
      </c>
      <c r="Q41" s="326">
        <f t="shared" si="222"/>
        <v>0</v>
      </c>
      <c r="R41" s="716">
        <f t="shared" si="223"/>
        <v>0</v>
      </c>
      <c r="S41" s="326"/>
      <c r="T41" s="137"/>
      <c r="U41" s="326"/>
      <c r="V41" s="332"/>
      <c r="W41" s="140">
        <f t="shared" si="19"/>
        <v>0</v>
      </c>
      <c r="X41" s="326">
        <f t="shared" si="224"/>
        <v>0</v>
      </c>
      <c r="Y41" s="717">
        <f t="shared" si="225"/>
        <v>0</v>
      </c>
      <c r="Z41" s="123"/>
      <c r="AA41" s="137"/>
      <c r="AB41" s="326"/>
      <c r="AC41" s="326">
        <v>1300000</v>
      </c>
      <c r="AD41" s="326">
        <f t="shared" si="25"/>
        <v>0</v>
      </c>
      <c r="AE41" s="326">
        <f t="shared" si="226"/>
        <v>0</v>
      </c>
      <c r="AF41" s="716">
        <f t="shared" si="227"/>
        <v>0</v>
      </c>
      <c r="AG41" s="326">
        <f t="shared" si="28"/>
        <v>-1300000</v>
      </c>
      <c r="AH41" s="137">
        <f>AF41/AC41</f>
        <v>0</v>
      </c>
      <c r="AI41" s="332">
        <f t="shared" si="30"/>
        <v>1300000</v>
      </c>
      <c r="AJ41" s="140" t="str">
        <f t="shared" si="228"/>
        <v>0</v>
      </c>
      <c r="AK41" s="326">
        <f t="shared" si="32"/>
        <v>0</v>
      </c>
      <c r="AL41" s="326">
        <f t="shared" ref="AL41:AM41" si="277">SUM(AE41,X41,Q41)</f>
        <v>0</v>
      </c>
      <c r="AM41" s="326">
        <f t="shared" si="277"/>
        <v>0</v>
      </c>
      <c r="AN41" s="326">
        <f t="shared" si="70"/>
        <v>-1300000</v>
      </c>
      <c r="AO41" s="413" t="str">
        <f t="shared" si="79"/>
        <v/>
      </c>
      <c r="AP41" s="423"/>
      <c r="AQ41" s="326">
        <f t="shared" si="36"/>
        <v>0</v>
      </c>
      <c r="AR41" s="326">
        <f t="shared" si="230"/>
        <v>0</v>
      </c>
      <c r="AS41" s="333">
        <f t="shared" si="231"/>
        <v>0</v>
      </c>
      <c r="AT41" s="434"/>
      <c r="AU41" s="140">
        <f t="shared" si="40"/>
        <v>0</v>
      </c>
      <c r="AV41" s="326">
        <f t="shared" si="232"/>
        <v>0</v>
      </c>
      <c r="AW41" s="333">
        <f t="shared" si="233"/>
        <v>0</v>
      </c>
      <c r="AX41" s="125"/>
      <c r="AY41" s="140">
        <f t="shared" si="44"/>
        <v>0</v>
      </c>
      <c r="AZ41" s="326">
        <f t="shared" si="234"/>
        <v>0</v>
      </c>
      <c r="BA41" s="332">
        <f t="shared" si="235"/>
        <v>0</v>
      </c>
      <c r="BB41" s="122">
        <f t="shared" ref="BB41:BD41" si="278">AY41+AU41+AQ41</f>
        <v>0</v>
      </c>
      <c r="BC41" s="326">
        <f t="shared" si="278"/>
        <v>0</v>
      </c>
      <c r="BD41" s="332">
        <f t="shared" si="278"/>
        <v>0</v>
      </c>
      <c r="BE41" s="122">
        <f t="shared" si="48"/>
        <v>0</v>
      </c>
      <c r="BF41" s="326">
        <f t="shared" ref="BF41:BG41" si="279">AL41+BC41</f>
        <v>0</v>
      </c>
      <c r="BG41" s="435">
        <f t="shared" si="279"/>
        <v>0</v>
      </c>
      <c r="BH41" s="125" t="str">
        <f t="shared" si="238"/>
        <v/>
      </c>
      <c r="BI41" s="140">
        <f t="shared" si="51"/>
        <v>0</v>
      </c>
      <c r="BJ41" s="123">
        <f t="shared" si="239"/>
        <v>0</v>
      </c>
      <c r="BK41" s="125">
        <f t="shared" si="240"/>
        <v>0</v>
      </c>
      <c r="BL41" s="123" t="str">
        <f t="shared" si="241"/>
        <v/>
      </c>
      <c r="BM41" s="140">
        <f t="shared" si="55"/>
        <v>0</v>
      </c>
      <c r="BN41" s="326">
        <f t="shared" si="242"/>
        <v>1285747.0900000001</v>
      </c>
      <c r="BO41" s="332">
        <f t="shared" si="243"/>
        <v>1285747.0900000001</v>
      </c>
      <c r="BP41" s="141" t="str">
        <f t="shared" si="244"/>
        <v/>
      </c>
      <c r="BQ41" s="140">
        <f t="shared" si="59"/>
        <v>0</v>
      </c>
      <c r="BR41" s="326">
        <f t="shared" si="245"/>
        <v>812611.59</v>
      </c>
      <c r="BS41" s="333">
        <f t="shared" si="246"/>
        <v>812611.59</v>
      </c>
      <c r="BT41" s="113">
        <f t="shared" ref="BT41:BV41" si="280">SUM(BQ41,BM41,BI41)</f>
        <v>0</v>
      </c>
      <c r="BU41" s="116">
        <f t="shared" si="280"/>
        <v>2098358.6800000002</v>
      </c>
      <c r="BV41" s="117">
        <f t="shared" si="280"/>
        <v>2098358.6800000002</v>
      </c>
      <c r="BW41" s="141" t="str">
        <f t="shared" si="248"/>
        <v/>
      </c>
      <c r="BX41" s="113">
        <f t="shared" si="64"/>
        <v>0</v>
      </c>
      <c r="BY41" s="114">
        <f t="shared" si="249"/>
        <v>917344.51</v>
      </c>
      <c r="BZ41" s="115">
        <f t="shared" si="250"/>
        <v>917344.51</v>
      </c>
      <c r="CA41" s="123" t="str">
        <f t="shared" si="251"/>
        <v/>
      </c>
      <c r="CB41" s="333" t="str">
        <f t="shared" si="252"/>
        <v/>
      </c>
      <c r="CY41" s="294"/>
      <c r="DF41" s="296"/>
    </row>
    <row r="42" spans="1:110" ht="15.75" customHeight="1">
      <c r="A42" s="420">
        <f t="shared" si="210"/>
        <v>112014434</v>
      </c>
      <c r="B42" s="565">
        <f t="shared" si="211"/>
        <v>0</v>
      </c>
      <c r="C42" s="558" t="str">
        <f t="shared" si="212"/>
        <v/>
      </c>
      <c r="D42" s="558" t="str">
        <f t="shared" si="213"/>
        <v/>
      </c>
      <c r="E42" s="715" t="str">
        <f t="shared" si="214"/>
        <v/>
      </c>
      <c r="F42" s="701">
        <f t="shared" si="215"/>
        <v>0</v>
      </c>
      <c r="G42" s="700" t="str">
        <f t="shared" si="216"/>
        <v/>
      </c>
      <c r="H42" s="700" t="str">
        <f t="shared" si="217"/>
        <v/>
      </c>
      <c r="I42" s="700" t="str">
        <f t="shared" si="218"/>
        <v/>
      </c>
      <c r="J42" s="547">
        <f t="shared" si="219"/>
        <v>21</v>
      </c>
      <c r="K42" s="699">
        <f t="shared" si="220"/>
        <v>0.1</v>
      </c>
      <c r="L42" s="702">
        <f t="shared" si="221"/>
        <v>0</v>
      </c>
      <c r="M42" s="139" t="s">
        <v>547</v>
      </c>
      <c r="N42" s="423" t="str">
        <f>IFERROR(VLOOKUP(M42,LAGE24,3,FALSE),"")</f>
        <v/>
      </c>
      <c r="O42" s="326" t="e">
        <f>(N42*1.601)*1.05</f>
        <v>#VALUE!</v>
      </c>
      <c r="P42" s="326" t="e">
        <f t="shared" si="13"/>
        <v>#VALUE!</v>
      </c>
      <c r="Q42" s="326" t="str">
        <f t="shared" si="222"/>
        <v/>
      </c>
      <c r="R42" s="716">
        <f t="shared" si="223"/>
        <v>0</v>
      </c>
      <c r="S42" s="326" t="e">
        <f t="shared" ref="S42:S43" si="281">R42-O42</f>
        <v>#VALUE!</v>
      </c>
      <c r="T42" s="137" t="str">
        <f>IFERROR(R42/O42,"")</f>
        <v/>
      </c>
      <c r="U42" s="326" t="str">
        <f>IFERROR(VLOOKUP(M42,LAGE24,4,FALSE),"")</f>
        <v/>
      </c>
      <c r="V42" s="332" t="e">
        <f>(U42*1.7245)*1.03</f>
        <v>#VALUE!</v>
      </c>
      <c r="W42" s="140" t="e">
        <f t="shared" si="19"/>
        <v>#VALUE!</v>
      </c>
      <c r="X42" s="326" t="str">
        <f t="shared" si="224"/>
        <v/>
      </c>
      <c r="Y42" s="717">
        <f t="shared" si="225"/>
        <v>0</v>
      </c>
      <c r="Z42" s="123" t="e">
        <f t="shared" ref="Z42:Z43" si="282">Y42-V42</f>
        <v>#VALUE!</v>
      </c>
      <c r="AA42" s="137" t="str">
        <f>IFERROR(Y42/V42,"")</f>
        <v/>
      </c>
      <c r="AB42" s="326" t="str">
        <f>IFERROR(VLOOKUP(M42,LAGE24,5,FALSE),"")</f>
        <v/>
      </c>
      <c r="AC42" s="326" t="e">
        <f>(AB42*1.5955)*1.05</f>
        <v>#VALUE!</v>
      </c>
      <c r="AD42" s="326" t="e">
        <f t="shared" si="25"/>
        <v>#VALUE!</v>
      </c>
      <c r="AE42" s="326" t="str">
        <f t="shared" si="226"/>
        <v/>
      </c>
      <c r="AF42" s="716">
        <f t="shared" si="227"/>
        <v>0</v>
      </c>
      <c r="AG42" s="326" t="e">
        <f t="shared" si="28"/>
        <v>#VALUE!</v>
      </c>
      <c r="AH42" s="137" t="str">
        <f>IFERROR(AF42/AC42,"")</f>
        <v/>
      </c>
      <c r="AI42" s="332" t="e">
        <f t="shared" si="30"/>
        <v>#VALUE!</v>
      </c>
      <c r="AJ42" s="140" t="str">
        <f t="shared" si="228"/>
        <v>0</v>
      </c>
      <c r="AK42" s="326">
        <f t="shared" si="32"/>
        <v>0</v>
      </c>
      <c r="AL42" s="326">
        <f t="shared" ref="AL42:AM42" si="283">SUM(AE42,X42,Q42)</f>
        <v>0</v>
      </c>
      <c r="AM42" s="326">
        <f t="shared" si="283"/>
        <v>0</v>
      </c>
      <c r="AN42" s="326" t="e">
        <f t="shared" si="70"/>
        <v>#VALUE!</v>
      </c>
      <c r="AO42" s="413" t="str">
        <f t="shared" si="79"/>
        <v/>
      </c>
      <c r="AP42" s="423" t="str">
        <f>IFERROR(VLOOKUP(M42,LAGE24,6,FALSE),"")</f>
        <v/>
      </c>
      <c r="AQ42" s="326" t="e">
        <f t="shared" si="36"/>
        <v>#VALUE!</v>
      </c>
      <c r="AR42" s="326" t="str">
        <f t="shared" si="230"/>
        <v/>
      </c>
      <c r="AS42" s="333">
        <f t="shared" si="231"/>
        <v>0</v>
      </c>
      <c r="AT42" s="434"/>
      <c r="AU42" s="140" t="e">
        <f t="shared" si="40"/>
        <v>#VALUE!</v>
      </c>
      <c r="AV42" s="326" t="str">
        <f t="shared" si="232"/>
        <v/>
      </c>
      <c r="AW42" s="333">
        <f t="shared" si="233"/>
        <v>0</v>
      </c>
      <c r="AX42" s="125"/>
      <c r="AY42" s="140" t="e">
        <f t="shared" si="44"/>
        <v>#VALUE!</v>
      </c>
      <c r="AZ42" s="326" t="str">
        <f t="shared" si="234"/>
        <v/>
      </c>
      <c r="BA42" s="332">
        <f t="shared" si="235"/>
        <v>0</v>
      </c>
      <c r="BB42" s="122" t="e">
        <f t="shared" ref="BB42:BD42" si="284">AY42+AU42+AQ42</f>
        <v>#VALUE!</v>
      </c>
      <c r="BC42" s="326" t="e">
        <f t="shared" si="284"/>
        <v>#VALUE!</v>
      </c>
      <c r="BD42" s="332">
        <f t="shared" si="284"/>
        <v>0</v>
      </c>
      <c r="BE42" s="122" t="e">
        <f t="shared" si="48"/>
        <v>#VALUE!</v>
      </c>
      <c r="BF42" s="326" t="e">
        <f t="shared" ref="BF42:BG42" si="285">AL42+BC42</f>
        <v>#VALUE!</v>
      </c>
      <c r="BG42" s="435">
        <f t="shared" si="285"/>
        <v>0</v>
      </c>
      <c r="BH42" s="125" t="str">
        <f t="shared" si="238"/>
        <v/>
      </c>
      <c r="BI42" s="140" t="e">
        <f t="shared" si="51"/>
        <v>#VALUE!</v>
      </c>
      <c r="BJ42" s="123" t="str">
        <f t="shared" si="239"/>
        <v/>
      </c>
      <c r="BK42" s="125">
        <f t="shared" si="240"/>
        <v>0</v>
      </c>
      <c r="BL42" s="123" t="str">
        <f t="shared" si="241"/>
        <v/>
      </c>
      <c r="BM42" s="140" t="e">
        <f t="shared" si="55"/>
        <v>#VALUE!</v>
      </c>
      <c r="BN42" s="326" t="str">
        <f t="shared" si="242"/>
        <v/>
      </c>
      <c r="BO42" s="332">
        <f t="shared" si="243"/>
        <v>0</v>
      </c>
      <c r="BP42" s="141" t="str">
        <f t="shared" si="244"/>
        <v/>
      </c>
      <c r="BQ42" s="140" t="e">
        <f t="shared" si="59"/>
        <v>#VALUE!</v>
      </c>
      <c r="BR42" s="326" t="str">
        <f t="shared" si="245"/>
        <v/>
      </c>
      <c r="BS42" s="333">
        <f t="shared" si="246"/>
        <v>0</v>
      </c>
      <c r="BT42" s="113" t="e">
        <f t="shared" ref="BT42:BV42" si="286">SUM(BQ42,BM42,BI42)</f>
        <v>#VALUE!</v>
      </c>
      <c r="BU42" s="116">
        <f t="shared" si="286"/>
        <v>0</v>
      </c>
      <c r="BV42" s="117">
        <f t="shared" si="286"/>
        <v>0</v>
      </c>
      <c r="BW42" s="141" t="str">
        <f t="shared" si="248"/>
        <v/>
      </c>
      <c r="BX42" s="113" t="e">
        <f t="shared" si="64"/>
        <v>#VALUE!</v>
      </c>
      <c r="BY42" s="114" t="str">
        <f t="shared" si="249"/>
        <v/>
      </c>
      <c r="BZ42" s="115">
        <f t="shared" si="250"/>
        <v>0</v>
      </c>
      <c r="CA42" s="123" t="str">
        <f t="shared" si="251"/>
        <v/>
      </c>
      <c r="CB42" s="333" t="str">
        <f t="shared" si="252"/>
        <v/>
      </c>
      <c r="CY42" s="294"/>
      <c r="DF42" s="296"/>
    </row>
    <row r="43" spans="1:110" ht="13">
      <c r="A43" s="420">
        <f t="shared" si="210"/>
        <v>112014504</v>
      </c>
      <c r="B43" s="565">
        <f t="shared" si="211"/>
        <v>29</v>
      </c>
      <c r="C43" s="558">
        <f t="shared" si="212"/>
        <v>0.05</v>
      </c>
      <c r="D43" s="558">
        <f t="shared" si="213"/>
        <v>0.2</v>
      </c>
      <c r="E43" s="715">
        <f t="shared" si="214"/>
        <v>0</v>
      </c>
      <c r="F43" s="701">
        <f t="shared" si="215"/>
        <v>29</v>
      </c>
      <c r="G43" s="700">
        <f t="shared" si="216"/>
        <v>0.05</v>
      </c>
      <c r="H43" s="700">
        <f t="shared" si="217"/>
        <v>0.2</v>
      </c>
      <c r="I43" s="700">
        <f t="shared" si="218"/>
        <v>0</v>
      </c>
      <c r="J43" s="547">
        <f t="shared" si="219"/>
        <v>66</v>
      </c>
      <c r="K43" s="699">
        <f t="shared" si="220"/>
        <v>0.05</v>
      </c>
      <c r="L43" s="702">
        <f t="shared" si="221"/>
        <v>0.11</v>
      </c>
      <c r="M43" s="139" t="s">
        <v>548</v>
      </c>
      <c r="N43" s="423" t="str">
        <f>IFERROR(VLOOKUP(M43,LAGE24,3,FALSE),"")</f>
        <v/>
      </c>
      <c r="O43" s="599">
        <v>1500000</v>
      </c>
      <c r="P43" s="326" t="e">
        <f t="shared" si="13"/>
        <v>#VALUE!</v>
      </c>
      <c r="Q43" s="326" t="str">
        <f t="shared" si="222"/>
        <v/>
      </c>
      <c r="R43" s="716" t="str">
        <f t="shared" si="223"/>
        <v>0</v>
      </c>
      <c r="S43" s="326">
        <f t="shared" si="281"/>
        <v>-1500000</v>
      </c>
      <c r="T43" s="137">
        <f>R43/O43</f>
        <v>0</v>
      </c>
      <c r="U43" s="326" t="str">
        <f>IFERROR(VLOOKUP(M43,LAGE24,4,FALSE),"")</f>
        <v/>
      </c>
      <c r="V43" s="461">
        <v>1500000</v>
      </c>
      <c r="W43" s="140" t="e">
        <f t="shared" si="19"/>
        <v>#VALUE!</v>
      </c>
      <c r="X43" s="326" t="str">
        <f t="shared" si="224"/>
        <v/>
      </c>
      <c r="Y43" s="717" t="str">
        <f t="shared" si="225"/>
        <v>0</v>
      </c>
      <c r="Z43" s="123">
        <f t="shared" si="282"/>
        <v>-1500000</v>
      </c>
      <c r="AA43" s="137">
        <f>Y43/V43</f>
        <v>0</v>
      </c>
      <c r="AB43" s="326" t="str">
        <f>IFERROR(VLOOKUP(M43,LAGE24,5,FALSE),"")</f>
        <v/>
      </c>
      <c r="AC43" s="599">
        <v>1500000</v>
      </c>
      <c r="AD43" s="326" t="e">
        <f t="shared" si="25"/>
        <v>#VALUE!</v>
      </c>
      <c r="AE43" s="326" t="str">
        <f t="shared" si="226"/>
        <v/>
      </c>
      <c r="AF43" s="716" t="str">
        <f t="shared" si="227"/>
        <v>0</v>
      </c>
      <c r="AG43" s="326">
        <f t="shared" si="28"/>
        <v>-1500000</v>
      </c>
      <c r="AH43" s="137">
        <f t="shared" ref="AH43:AH74" si="287">AF43/AC43</f>
        <v>0</v>
      </c>
      <c r="AI43" s="332">
        <f t="shared" si="30"/>
        <v>4500000</v>
      </c>
      <c r="AJ43" s="140" t="str">
        <f t="shared" si="228"/>
        <v>0</v>
      </c>
      <c r="AK43" s="326">
        <f t="shared" si="32"/>
        <v>0</v>
      </c>
      <c r="AL43" s="326">
        <f t="shared" ref="AL43:AM43" si="288">SUM(AE43,X43,Q43)</f>
        <v>0</v>
      </c>
      <c r="AM43" s="326">
        <f t="shared" si="288"/>
        <v>0</v>
      </c>
      <c r="AN43" s="326">
        <f t="shared" si="70"/>
        <v>-4500000</v>
      </c>
      <c r="AO43" s="413" t="str">
        <f t="shared" si="79"/>
        <v/>
      </c>
      <c r="AP43" s="423" t="str">
        <f>IFERROR(VLOOKUP(M43,LAGE24,6,FALSE),"")</f>
        <v/>
      </c>
      <c r="AQ43" s="326" t="e">
        <f t="shared" si="36"/>
        <v>#VALUE!</v>
      </c>
      <c r="AR43" s="326" t="str">
        <f t="shared" si="230"/>
        <v/>
      </c>
      <c r="AS43" s="333" t="str">
        <f t="shared" si="231"/>
        <v>0</v>
      </c>
      <c r="AT43" s="434" t="str">
        <f>IFERROR(VLOOKUP(M43,LAGE24,7,FALSE),"")</f>
        <v/>
      </c>
      <c r="AU43" s="140" t="e">
        <f t="shared" si="40"/>
        <v>#VALUE!</v>
      </c>
      <c r="AV43" s="326" t="str">
        <f t="shared" si="232"/>
        <v/>
      </c>
      <c r="AW43" s="333" t="str">
        <f t="shared" si="233"/>
        <v>0</v>
      </c>
      <c r="AX43" s="125"/>
      <c r="AY43" s="140" t="e">
        <f t="shared" si="44"/>
        <v>#VALUE!</v>
      </c>
      <c r="AZ43" s="326" t="str">
        <f t="shared" si="234"/>
        <v/>
      </c>
      <c r="BA43" s="332" t="str">
        <f t="shared" si="235"/>
        <v>0</v>
      </c>
      <c r="BB43" s="122" t="e">
        <f t="shared" ref="BB43:BD43" si="289">AY43+AU43+AQ43</f>
        <v>#VALUE!</v>
      </c>
      <c r="BC43" s="326" t="e">
        <f t="shared" si="289"/>
        <v>#VALUE!</v>
      </c>
      <c r="BD43" s="332">
        <f t="shared" si="289"/>
        <v>0</v>
      </c>
      <c r="BE43" s="122" t="e">
        <f t="shared" si="48"/>
        <v>#VALUE!</v>
      </c>
      <c r="BF43" s="326" t="e">
        <f t="shared" ref="BF43:BG43" si="290">AL43+BC43</f>
        <v>#VALUE!</v>
      </c>
      <c r="BG43" s="435">
        <f t="shared" si="290"/>
        <v>0</v>
      </c>
      <c r="BH43" s="125" t="str">
        <f t="shared" si="238"/>
        <v/>
      </c>
      <c r="BI43" s="140" t="e">
        <f t="shared" si="51"/>
        <v>#VALUE!</v>
      </c>
      <c r="BJ43" s="123" t="str">
        <f t="shared" si="239"/>
        <v/>
      </c>
      <c r="BK43" s="125" t="str">
        <f t="shared" si="240"/>
        <v>0</v>
      </c>
      <c r="BL43" s="123" t="str">
        <f t="shared" si="241"/>
        <v/>
      </c>
      <c r="BM43" s="140" t="e">
        <f t="shared" si="55"/>
        <v>#VALUE!</v>
      </c>
      <c r="BN43" s="326" t="str">
        <f t="shared" si="242"/>
        <v/>
      </c>
      <c r="BO43" s="332" t="str">
        <f t="shared" si="243"/>
        <v>0</v>
      </c>
      <c r="BP43" s="141" t="str">
        <f t="shared" si="244"/>
        <v/>
      </c>
      <c r="BQ43" s="586" t="e">
        <f t="shared" si="59"/>
        <v>#VALUE!</v>
      </c>
      <c r="BR43" s="738" t="str">
        <f t="shared" si="245"/>
        <v/>
      </c>
      <c r="BS43" s="737" t="str">
        <f t="shared" si="246"/>
        <v>0</v>
      </c>
      <c r="BT43" s="739" t="e">
        <f t="shared" ref="BT43:BV43" si="291">SUM(BQ43,BM43,BI43)</f>
        <v>#VALUE!</v>
      </c>
      <c r="BU43" s="740">
        <f t="shared" si="291"/>
        <v>0</v>
      </c>
      <c r="BV43" s="741">
        <f t="shared" si="291"/>
        <v>0</v>
      </c>
      <c r="BW43" s="141" t="str">
        <f t="shared" si="248"/>
        <v/>
      </c>
      <c r="BX43" s="113" t="e">
        <f t="shared" si="64"/>
        <v>#VALUE!</v>
      </c>
      <c r="BY43" s="114" t="str">
        <f t="shared" si="249"/>
        <v/>
      </c>
      <c r="BZ43" s="115" t="str">
        <f t="shared" si="250"/>
        <v>0</v>
      </c>
      <c r="CA43" s="123" t="str">
        <f t="shared" si="251"/>
        <v/>
      </c>
      <c r="CB43" s="333" t="str">
        <f t="shared" si="252"/>
        <v/>
      </c>
      <c r="CY43" s="294"/>
      <c r="DF43" s="296"/>
    </row>
    <row r="44" spans="1:110" ht="13">
      <c r="A44" s="420">
        <f t="shared" si="210"/>
        <v>112014665</v>
      </c>
      <c r="B44" s="565">
        <f t="shared" si="211"/>
        <v>10</v>
      </c>
      <c r="C44" s="558">
        <f t="shared" si="212"/>
        <v>0.15</v>
      </c>
      <c r="D44" s="558">
        <f t="shared" si="213"/>
        <v>0.23</v>
      </c>
      <c r="E44" s="715">
        <f t="shared" si="214"/>
        <v>0</v>
      </c>
      <c r="F44" s="701">
        <f t="shared" si="215"/>
        <v>18</v>
      </c>
      <c r="G44" s="700" t="str">
        <f t="shared" si="216"/>
        <v>Lista</v>
      </c>
      <c r="H44" s="700">
        <f t="shared" si="217"/>
        <v>0.23</v>
      </c>
      <c r="I44" s="700">
        <f t="shared" si="218"/>
        <v>0</v>
      </c>
      <c r="J44" s="547">
        <f t="shared" si="219"/>
        <v>69</v>
      </c>
      <c r="K44" s="699" t="str">
        <f t="shared" si="220"/>
        <v>Lista</v>
      </c>
      <c r="L44" s="702">
        <f t="shared" si="221"/>
        <v>0.14000000000000001</v>
      </c>
      <c r="M44" s="139" t="s">
        <v>549</v>
      </c>
      <c r="N44" s="423"/>
      <c r="O44" s="326"/>
      <c r="P44" s="326" t="e">
        <f t="shared" si="13"/>
        <v>#VALUE!</v>
      </c>
      <c r="Q44" s="326" t="str">
        <f t="shared" si="222"/>
        <v/>
      </c>
      <c r="R44" s="716">
        <f t="shared" si="223"/>
        <v>0</v>
      </c>
      <c r="S44" s="326"/>
      <c r="T44" s="137"/>
      <c r="U44" s="326"/>
      <c r="V44" s="332"/>
      <c r="W44" s="140" t="e">
        <f t="shared" si="19"/>
        <v>#VALUE!</v>
      </c>
      <c r="X44" s="326" t="str">
        <f t="shared" si="224"/>
        <v/>
      </c>
      <c r="Y44" s="717">
        <f t="shared" si="225"/>
        <v>0</v>
      </c>
      <c r="Z44" s="123"/>
      <c r="AA44" s="137"/>
      <c r="AB44" s="326"/>
      <c r="AC44" s="561">
        <v>3000000</v>
      </c>
      <c r="AD44" s="326" t="e">
        <f t="shared" si="25"/>
        <v>#VALUE!</v>
      </c>
      <c r="AE44" s="326" t="str">
        <f t="shared" si="226"/>
        <v/>
      </c>
      <c r="AF44" s="716">
        <f t="shared" si="227"/>
        <v>230392.36</v>
      </c>
      <c r="AG44" s="326">
        <f t="shared" si="28"/>
        <v>-2769607.64</v>
      </c>
      <c r="AH44" s="137">
        <f t="shared" si="287"/>
        <v>7.6797453333333335E-2</v>
      </c>
      <c r="AI44" s="332">
        <f t="shared" si="30"/>
        <v>3000000</v>
      </c>
      <c r="AJ44" s="140" t="str">
        <f t="shared" si="228"/>
        <v>0</v>
      </c>
      <c r="AK44" s="326">
        <f t="shared" si="32"/>
        <v>230392.36</v>
      </c>
      <c r="AL44" s="326">
        <f t="shared" ref="AL44:AM44" si="292">SUM(AE44,X44,Q44)</f>
        <v>0</v>
      </c>
      <c r="AM44" s="326">
        <f t="shared" si="292"/>
        <v>230392.36</v>
      </c>
      <c r="AN44" s="326">
        <f t="shared" si="70"/>
        <v>-2769607.64</v>
      </c>
      <c r="AO44" s="413" t="str">
        <f t="shared" si="79"/>
        <v/>
      </c>
      <c r="AP44" s="423"/>
      <c r="AQ44" s="326" t="e">
        <f t="shared" si="36"/>
        <v>#VALUE!</v>
      </c>
      <c r="AR44" s="326" t="str">
        <f t="shared" si="230"/>
        <v/>
      </c>
      <c r="AS44" s="333">
        <f t="shared" si="231"/>
        <v>606912.65</v>
      </c>
      <c r="AT44" s="434"/>
      <c r="AU44" s="140" t="e">
        <f t="shared" si="40"/>
        <v>#VALUE!</v>
      </c>
      <c r="AV44" s="326" t="str">
        <f t="shared" si="232"/>
        <v/>
      </c>
      <c r="AW44" s="333">
        <f t="shared" si="233"/>
        <v>163066.74</v>
      </c>
      <c r="AX44" s="125"/>
      <c r="AY44" s="140" t="e">
        <f t="shared" si="44"/>
        <v>#VALUE!</v>
      </c>
      <c r="AZ44" s="326" t="str">
        <f t="shared" si="234"/>
        <v/>
      </c>
      <c r="BA44" s="332">
        <f t="shared" si="235"/>
        <v>221930.23</v>
      </c>
      <c r="BB44" s="122" t="e">
        <f t="shared" ref="BB44:BD44" si="293">AY44+AU44+AQ44</f>
        <v>#VALUE!</v>
      </c>
      <c r="BC44" s="326" t="e">
        <f t="shared" si="293"/>
        <v>#VALUE!</v>
      </c>
      <c r="BD44" s="332">
        <f t="shared" si="293"/>
        <v>991909.62</v>
      </c>
      <c r="BE44" s="122" t="e">
        <f t="shared" si="48"/>
        <v>#VALUE!</v>
      </c>
      <c r="BF44" s="326" t="e">
        <f t="shared" ref="BF44:BG44" si="294">AL44+BC44</f>
        <v>#VALUE!</v>
      </c>
      <c r="BG44" s="435">
        <f t="shared" si="294"/>
        <v>1222301.98</v>
      </c>
      <c r="BH44" s="125" t="str">
        <f t="shared" si="238"/>
        <v/>
      </c>
      <c r="BI44" s="140" t="e">
        <f t="shared" si="51"/>
        <v>#VALUE!</v>
      </c>
      <c r="BJ44" s="123" t="str">
        <f t="shared" si="239"/>
        <v/>
      </c>
      <c r="BK44" s="125">
        <f t="shared" si="240"/>
        <v>482406.3</v>
      </c>
      <c r="BL44" s="123" t="str">
        <f t="shared" si="241"/>
        <v/>
      </c>
      <c r="BM44" s="140" t="e">
        <f t="shared" si="55"/>
        <v>#VALUE!</v>
      </c>
      <c r="BN44" s="326" t="str">
        <f t="shared" si="242"/>
        <v/>
      </c>
      <c r="BO44" s="332">
        <f t="shared" si="243"/>
        <v>122518.59</v>
      </c>
      <c r="BP44" s="141" t="str">
        <f t="shared" si="244"/>
        <v/>
      </c>
      <c r="BQ44" s="140" t="e">
        <f t="shared" si="59"/>
        <v>#VALUE!</v>
      </c>
      <c r="BR44" s="326" t="str">
        <f t="shared" si="245"/>
        <v/>
      </c>
      <c r="BS44" s="333">
        <f t="shared" si="246"/>
        <v>367509.44</v>
      </c>
      <c r="BT44" s="113" t="e">
        <f t="shared" ref="BT44:BV44" si="295">SUM(BQ44,BM44,BI44)</f>
        <v>#VALUE!</v>
      </c>
      <c r="BU44" s="116">
        <f t="shared" si="295"/>
        <v>0</v>
      </c>
      <c r="BV44" s="117">
        <f t="shared" si="295"/>
        <v>972434.33000000007</v>
      </c>
      <c r="BW44" s="141" t="str">
        <f t="shared" si="248"/>
        <v/>
      </c>
      <c r="BX44" s="113" t="e">
        <f t="shared" si="64"/>
        <v>#VALUE!</v>
      </c>
      <c r="BY44" s="114" t="str">
        <f t="shared" si="249"/>
        <v/>
      </c>
      <c r="BZ44" s="115">
        <f t="shared" si="250"/>
        <v>235211.59</v>
      </c>
      <c r="CA44" s="123" t="str">
        <f t="shared" si="251"/>
        <v/>
      </c>
      <c r="CB44" s="333" t="str">
        <f t="shared" si="252"/>
        <v/>
      </c>
      <c r="CY44" s="294"/>
      <c r="DF44" s="296"/>
    </row>
    <row r="45" spans="1:110" ht="13">
      <c r="A45" s="420">
        <f t="shared" si="210"/>
        <v>112013903</v>
      </c>
      <c r="B45" s="565">
        <f t="shared" si="211"/>
        <v>12</v>
      </c>
      <c r="C45" s="558">
        <f t="shared" si="212"/>
        <v>0.15</v>
      </c>
      <c r="D45" s="558">
        <f t="shared" si="213"/>
        <v>0.09</v>
      </c>
      <c r="E45" s="715">
        <f t="shared" si="214"/>
        <v>0</v>
      </c>
      <c r="F45" s="701">
        <f t="shared" si="215"/>
        <v>1</v>
      </c>
      <c r="G45" s="700" t="str">
        <f t="shared" si="216"/>
        <v>Lista</v>
      </c>
      <c r="H45" s="700">
        <f t="shared" si="217"/>
        <v>0.09</v>
      </c>
      <c r="I45" s="700">
        <f t="shared" si="218"/>
        <v>0</v>
      </c>
      <c r="J45" s="547">
        <f t="shared" si="219"/>
        <v>71</v>
      </c>
      <c r="K45" s="699" t="str">
        <f t="shared" si="220"/>
        <v>Lista</v>
      </c>
      <c r="L45" s="702">
        <f t="shared" si="221"/>
        <v>0.05</v>
      </c>
      <c r="M45" s="139" t="s">
        <v>550</v>
      </c>
      <c r="N45" s="423">
        <f t="shared" ref="N45:N69" si="296">IFERROR(VLOOKUP(M45,LAGE24,3,FALSE),"")</f>
        <v>109161.51</v>
      </c>
      <c r="O45" s="561">
        <v>3000000</v>
      </c>
      <c r="P45" s="326" t="e">
        <f t="shared" si="13"/>
        <v>#VALUE!</v>
      </c>
      <c r="Q45" s="326" t="str">
        <f t="shared" si="222"/>
        <v/>
      </c>
      <c r="R45" s="716">
        <f t="shared" si="223"/>
        <v>0</v>
      </c>
      <c r="S45" s="326">
        <f t="shared" ref="S45:S74" si="297">R45-O45</f>
        <v>-3000000</v>
      </c>
      <c r="T45" s="137">
        <f t="shared" ref="T45:T74" si="298">R45/O45</f>
        <v>0</v>
      </c>
      <c r="U45" s="326">
        <f t="shared" ref="U45:U73" si="299">IFERROR(VLOOKUP(M45,LAGE24,4,FALSE),"")</f>
        <v>0</v>
      </c>
      <c r="V45" s="332">
        <f t="shared" ref="V45:V46" si="300">(U45*1.7245)*1.03</f>
        <v>0</v>
      </c>
      <c r="W45" s="140" t="e">
        <f t="shared" si="19"/>
        <v>#VALUE!</v>
      </c>
      <c r="X45" s="326" t="str">
        <f t="shared" si="224"/>
        <v/>
      </c>
      <c r="Y45" s="717">
        <f t="shared" si="225"/>
        <v>0</v>
      </c>
      <c r="Z45" s="123">
        <f t="shared" ref="Z45:Z74" si="301">Y45-V45</f>
        <v>0</v>
      </c>
      <c r="AA45" s="137" t="e">
        <f t="shared" ref="AA45:AA74" si="302">Y45/V45</f>
        <v>#DIV/0!</v>
      </c>
      <c r="AB45" s="326">
        <f t="shared" ref="AB45:AB51" si="303">IFERROR(VLOOKUP(M45,LAGE24,5,FALSE),"")</f>
        <v>0</v>
      </c>
      <c r="AC45" s="561">
        <v>3000000</v>
      </c>
      <c r="AD45" s="326" t="e">
        <f t="shared" si="25"/>
        <v>#VALUE!</v>
      </c>
      <c r="AE45" s="326" t="str">
        <f t="shared" si="226"/>
        <v/>
      </c>
      <c r="AF45" s="716">
        <f t="shared" si="227"/>
        <v>0</v>
      </c>
      <c r="AG45" s="326">
        <f t="shared" si="28"/>
        <v>-3000000</v>
      </c>
      <c r="AH45" s="137">
        <f t="shared" si="287"/>
        <v>0</v>
      </c>
      <c r="AI45" s="332">
        <f t="shared" si="30"/>
        <v>6000000</v>
      </c>
      <c r="AJ45" s="140" t="str">
        <f t="shared" si="228"/>
        <v>0</v>
      </c>
      <c r="AK45" s="326">
        <f t="shared" si="32"/>
        <v>0</v>
      </c>
      <c r="AL45" s="326">
        <f t="shared" ref="AL45:AM45" si="304">SUM(AE45,X45,Q45)</f>
        <v>0</v>
      </c>
      <c r="AM45" s="326">
        <f t="shared" si="304"/>
        <v>0</v>
      </c>
      <c r="AN45" s="326">
        <f t="shared" si="70"/>
        <v>-6000000</v>
      </c>
      <c r="AO45" s="413" t="str">
        <f t="shared" si="79"/>
        <v/>
      </c>
      <c r="AP45" s="423">
        <f t="shared" ref="AP45:AP73" si="305">IFERROR(VLOOKUP(M45,LAGE24,6,FALSE),"")</f>
        <v>0</v>
      </c>
      <c r="AQ45" s="326" t="e">
        <f t="shared" si="36"/>
        <v>#VALUE!</v>
      </c>
      <c r="AR45" s="326" t="str">
        <f t="shared" si="230"/>
        <v/>
      </c>
      <c r="AS45" s="333">
        <f t="shared" si="231"/>
        <v>0</v>
      </c>
      <c r="AT45" s="434">
        <f t="shared" ref="AT45:AT73" si="306">IFERROR(VLOOKUP(M45,LAGE24,7,FALSE),"")</f>
        <v>0</v>
      </c>
      <c r="AU45" s="140" t="e">
        <f t="shared" si="40"/>
        <v>#VALUE!</v>
      </c>
      <c r="AV45" s="326" t="str">
        <f t="shared" si="232"/>
        <v/>
      </c>
      <c r="AW45" s="333">
        <f t="shared" si="233"/>
        <v>0</v>
      </c>
      <c r="AX45" s="125">
        <f t="shared" ref="AX45:AX73" si="307">IFERROR(VLOOKUP(M45,LAGE24,8,FALSE),"")</f>
        <v>0</v>
      </c>
      <c r="AY45" s="140" t="e">
        <f t="shared" si="44"/>
        <v>#VALUE!</v>
      </c>
      <c r="AZ45" s="326" t="str">
        <f t="shared" si="234"/>
        <v/>
      </c>
      <c r="BA45" s="332">
        <f t="shared" si="235"/>
        <v>0</v>
      </c>
      <c r="BB45" s="122" t="e">
        <f t="shared" ref="BB45:BD45" si="308">AY45+AU45+AQ45</f>
        <v>#VALUE!</v>
      </c>
      <c r="BC45" s="326" t="e">
        <f t="shared" si="308"/>
        <v>#VALUE!</v>
      </c>
      <c r="BD45" s="332">
        <f t="shared" si="308"/>
        <v>0</v>
      </c>
      <c r="BE45" s="122" t="e">
        <f t="shared" si="48"/>
        <v>#VALUE!</v>
      </c>
      <c r="BF45" s="326" t="e">
        <f t="shared" ref="BF45:BG45" si="309">AL45+BC45</f>
        <v>#VALUE!</v>
      </c>
      <c r="BG45" s="435">
        <f t="shared" si="309"/>
        <v>0</v>
      </c>
      <c r="BH45" s="125">
        <f t="shared" si="238"/>
        <v>0</v>
      </c>
      <c r="BI45" s="140" t="e">
        <f t="shared" si="51"/>
        <v>#VALUE!</v>
      </c>
      <c r="BJ45" s="123" t="str">
        <f t="shared" si="239"/>
        <v/>
      </c>
      <c r="BK45" s="125">
        <f t="shared" si="240"/>
        <v>155741.54999999999</v>
      </c>
      <c r="BL45" s="123">
        <f t="shared" si="241"/>
        <v>0</v>
      </c>
      <c r="BM45" s="140" t="e">
        <f t="shared" si="55"/>
        <v>#VALUE!</v>
      </c>
      <c r="BN45" s="326" t="str">
        <f t="shared" si="242"/>
        <v/>
      </c>
      <c r="BO45" s="332">
        <f t="shared" si="243"/>
        <v>0</v>
      </c>
      <c r="BP45" s="141">
        <f t="shared" si="244"/>
        <v>0</v>
      </c>
      <c r="BQ45" s="140" t="e">
        <f t="shared" si="59"/>
        <v>#VALUE!</v>
      </c>
      <c r="BR45" s="326" t="str">
        <f t="shared" si="245"/>
        <v/>
      </c>
      <c r="BS45" s="333">
        <f t="shared" si="246"/>
        <v>0</v>
      </c>
      <c r="BT45" s="113" t="e">
        <f t="shared" ref="BT45:BV45" si="310">SUM(BQ45,BM45,BI45)</f>
        <v>#VALUE!</v>
      </c>
      <c r="BU45" s="116">
        <f t="shared" si="310"/>
        <v>0</v>
      </c>
      <c r="BV45" s="117">
        <f t="shared" si="310"/>
        <v>155741.54999999999</v>
      </c>
      <c r="BW45" s="141">
        <f t="shared" si="248"/>
        <v>0</v>
      </c>
      <c r="BX45" s="113" t="e">
        <f t="shared" si="64"/>
        <v>#VALUE!</v>
      </c>
      <c r="BY45" s="114" t="str">
        <f t="shared" si="249"/>
        <v/>
      </c>
      <c r="BZ45" s="115">
        <f t="shared" si="250"/>
        <v>0</v>
      </c>
      <c r="CA45" s="123">
        <f t="shared" si="251"/>
        <v>0</v>
      </c>
      <c r="CB45" s="333">
        <f t="shared" si="252"/>
        <v>0</v>
      </c>
      <c r="CY45" s="294"/>
      <c r="DF45" s="296"/>
    </row>
    <row r="46" spans="1:110" ht="13">
      <c r="A46" s="420">
        <f t="shared" si="210"/>
        <v>112013215</v>
      </c>
      <c r="B46" s="565">
        <f t="shared" si="211"/>
        <v>8</v>
      </c>
      <c r="C46" s="558">
        <f t="shared" si="212"/>
        <v>0.1</v>
      </c>
      <c r="D46" s="558">
        <f t="shared" si="213"/>
        <v>0.2</v>
      </c>
      <c r="E46" s="715">
        <f t="shared" si="214"/>
        <v>0.23</v>
      </c>
      <c r="F46" s="701">
        <f t="shared" si="215"/>
        <v>3</v>
      </c>
      <c r="G46" s="700" t="str">
        <f t="shared" si="216"/>
        <v>Lista</v>
      </c>
      <c r="H46" s="700">
        <f t="shared" si="217"/>
        <v>0.2</v>
      </c>
      <c r="I46" s="700">
        <f t="shared" si="218"/>
        <v>0.23</v>
      </c>
      <c r="J46" s="547">
        <f t="shared" si="219"/>
        <v>70</v>
      </c>
      <c r="K46" s="699" t="str">
        <f t="shared" si="220"/>
        <v>Lista</v>
      </c>
      <c r="L46" s="702">
        <f t="shared" si="221"/>
        <v>0.11</v>
      </c>
      <c r="M46" s="139" t="s">
        <v>551</v>
      </c>
      <c r="N46" s="423">
        <f t="shared" si="296"/>
        <v>268820.53999999998</v>
      </c>
      <c r="O46" s="326">
        <v>1800000</v>
      </c>
      <c r="P46" s="326">
        <f t="shared" si="13"/>
        <v>495839.24</v>
      </c>
      <c r="Q46" s="326">
        <f t="shared" si="222"/>
        <v>39954.879999999997</v>
      </c>
      <c r="R46" s="716">
        <f t="shared" si="223"/>
        <v>535794.12</v>
      </c>
      <c r="S46" s="326">
        <f t="shared" si="297"/>
        <v>-1264205.8799999999</v>
      </c>
      <c r="T46" s="137">
        <f t="shared" si="298"/>
        <v>0.29766340000000002</v>
      </c>
      <c r="U46" s="326">
        <f t="shared" si="299"/>
        <v>1028021.17</v>
      </c>
      <c r="V46" s="332">
        <f t="shared" si="300"/>
        <v>1826007.18289495</v>
      </c>
      <c r="W46" s="140">
        <f t="shared" si="19"/>
        <v>369708.44</v>
      </c>
      <c r="X46" s="326">
        <f t="shared" si="224"/>
        <v>28500</v>
      </c>
      <c r="Y46" s="717">
        <f t="shared" si="225"/>
        <v>398208.44</v>
      </c>
      <c r="Z46" s="123">
        <f t="shared" si="301"/>
        <v>-1427798.7428949501</v>
      </c>
      <c r="AA46" s="137">
        <f t="shared" si="302"/>
        <v>0.2180760534406446</v>
      </c>
      <c r="AB46" s="326">
        <f t="shared" si="303"/>
        <v>755129.51</v>
      </c>
      <c r="AC46" s="326">
        <v>1800000</v>
      </c>
      <c r="AD46" s="326">
        <f t="shared" si="25"/>
        <v>863905.95</v>
      </c>
      <c r="AE46" s="326">
        <f t="shared" si="226"/>
        <v>0</v>
      </c>
      <c r="AF46" s="716">
        <f t="shared" si="227"/>
        <v>863905.95</v>
      </c>
      <c r="AG46" s="326">
        <f t="shared" si="28"/>
        <v>-936094.05</v>
      </c>
      <c r="AH46" s="137">
        <f t="shared" si="287"/>
        <v>0.47994774999999995</v>
      </c>
      <c r="AI46" s="332">
        <f t="shared" si="30"/>
        <v>5426007.1828949498</v>
      </c>
      <c r="AJ46" s="140">
        <f t="shared" si="228"/>
        <v>4190726.49</v>
      </c>
      <c r="AK46" s="326">
        <f t="shared" si="32"/>
        <v>1729453.63</v>
      </c>
      <c r="AL46" s="326">
        <f t="shared" ref="AL46:AM46" si="311">SUM(AE46,X46,Q46)</f>
        <v>68454.880000000005</v>
      </c>
      <c r="AM46" s="326">
        <f t="shared" si="311"/>
        <v>1797908.5099999998</v>
      </c>
      <c r="AN46" s="326">
        <f t="shared" si="70"/>
        <v>-3628098.67289495</v>
      </c>
      <c r="AO46" s="413">
        <f t="shared" si="79"/>
        <v>0.42902072332570662</v>
      </c>
      <c r="AP46" s="423">
        <f t="shared" si="305"/>
        <v>346597.23</v>
      </c>
      <c r="AQ46" s="326">
        <f t="shared" si="36"/>
        <v>590887.37</v>
      </c>
      <c r="AR46" s="326">
        <f t="shared" si="230"/>
        <v>0</v>
      </c>
      <c r="AS46" s="333">
        <f t="shared" si="231"/>
        <v>590887.37</v>
      </c>
      <c r="AT46" s="434">
        <f t="shared" si="306"/>
        <v>563289.61</v>
      </c>
      <c r="AU46" s="140">
        <f t="shared" si="40"/>
        <v>587407.11</v>
      </c>
      <c r="AV46" s="326">
        <f t="shared" si="232"/>
        <v>31057.599999999999</v>
      </c>
      <c r="AW46" s="333">
        <f t="shared" si="233"/>
        <v>618464.71</v>
      </c>
      <c r="AX46" s="125">
        <f t="shared" si="307"/>
        <v>0</v>
      </c>
      <c r="AY46" s="140">
        <f t="shared" si="44"/>
        <v>551233.24</v>
      </c>
      <c r="AZ46" s="326">
        <f t="shared" si="234"/>
        <v>43331.23</v>
      </c>
      <c r="BA46" s="332">
        <f t="shared" si="235"/>
        <v>594564.47</v>
      </c>
      <c r="BB46" s="122">
        <f t="shared" ref="BB46:BD46" si="312">AY46+AU46+AQ46</f>
        <v>1729527.7200000002</v>
      </c>
      <c r="BC46" s="326">
        <f t="shared" si="312"/>
        <v>74388.83</v>
      </c>
      <c r="BD46" s="332">
        <f t="shared" si="312"/>
        <v>1803916.5499999998</v>
      </c>
      <c r="BE46" s="122">
        <f t="shared" si="48"/>
        <v>3458981.35</v>
      </c>
      <c r="BF46" s="326">
        <f t="shared" ref="BF46:BG46" si="313">AL46+BC46</f>
        <v>142843.71000000002</v>
      </c>
      <c r="BG46" s="435">
        <f t="shared" si="313"/>
        <v>3601825.0599999996</v>
      </c>
      <c r="BH46" s="125">
        <f t="shared" si="238"/>
        <v>686689.01</v>
      </c>
      <c r="BI46" s="140">
        <f t="shared" si="51"/>
        <v>926130.30999999994</v>
      </c>
      <c r="BJ46" s="123">
        <f t="shared" si="239"/>
        <v>87597.63</v>
      </c>
      <c r="BK46" s="125">
        <f t="shared" si="240"/>
        <v>1013727.94</v>
      </c>
      <c r="BL46" s="123">
        <f t="shared" si="241"/>
        <v>1637411.99</v>
      </c>
      <c r="BM46" s="140">
        <f t="shared" si="55"/>
        <v>252047.21</v>
      </c>
      <c r="BN46" s="326">
        <f t="shared" si="242"/>
        <v>0</v>
      </c>
      <c r="BO46" s="332">
        <f t="shared" si="243"/>
        <v>252047.21</v>
      </c>
      <c r="BP46" s="141">
        <f t="shared" si="244"/>
        <v>778305.77</v>
      </c>
      <c r="BQ46" s="140">
        <f t="shared" si="59"/>
        <v>0</v>
      </c>
      <c r="BR46" s="326">
        <f t="shared" si="245"/>
        <v>0</v>
      </c>
      <c r="BS46" s="333">
        <f t="shared" si="246"/>
        <v>0</v>
      </c>
      <c r="BT46" s="113">
        <f t="shared" ref="BT46:BV46" si="314">SUM(BQ46,BM46,BI46)</f>
        <v>1178177.52</v>
      </c>
      <c r="BU46" s="116">
        <f t="shared" si="314"/>
        <v>87597.63</v>
      </c>
      <c r="BV46" s="117">
        <f t="shared" si="314"/>
        <v>1265775.1499999999</v>
      </c>
      <c r="BW46" s="141">
        <f t="shared" si="248"/>
        <v>1336609.1000000001</v>
      </c>
      <c r="BX46" s="113">
        <f t="shared" si="64"/>
        <v>0</v>
      </c>
      <c r="BY46" s="114">
        <f t="shared" si="249"/>
        <v>0</v>
      </c>
      <c r="BZ46" s="115">
        <f t="shared" si="250"/>
        <v>0</v>
      </c>
      <c r="CA46" s="123">
        <f t="shared" si="251"/>
        <v>1454793.37</v>
      </c>
      <c r="CB46" s="333">
        <f t="shared" si="252"/>
        <v>1399324.03</v>
      </c>
      <c r="CY46" s="294"/>
      <c r="DF46" s="296"/>
    </row>
    <row r="47" spans="1:110" ht="13">
      <c r="A47" s="420">
        <f t="shared" si="210"/>
        <v>112014036</v>
      </c>
      <c r="B47" s="565">
        <f t="shared" si="211"/>
        <v>8</v>
      </c>
      <c r="C47" s="558">
        <f t="shared" si="212"/>
        <v>0.1</v>
      </c>
      <c r="D47" s="558">
        <f t="shared" si="213"/>
        <v>0.2</v>
      </c>
      <c r="E47" s="715">
        <f t="shared" si="214"/>
        <v>0.23</v>
      </c>
      <c r="F47" s="701">
        <f t="shared" si="215"/>
        <v>3</v>
      </c>
      <c r="G47" s="700" t="str">
        <f t="shared" si="216"/>
        <v>Lista</v>
      </c>
      <c r="H47" s="700">
        <f t="shared" si="217"/>
        <v>0.2</v>
      </c>
      <c r="I47" s="700">
        <f t="shared" si="218"/>
        <v>0.23</v>
      </c>
      <c r="J47" s="547">
        <f t="shared" si="219"/>
        <v>70</v>
      </c>
      <c r="K47" s="699" t="str">
        <f t="shared" si="220"/>
        <v>Lista</v>
      </c>
      <c r="L47" s="702">
        <f t="shared" si="221"/>
        <v>0.11</v>
      </c>
      <c r="M47" s="139" t="s">
        <v>552</v>
      </c>
      <c r="N47" s="423">
        <f t="shared" si="296"/>
        <v>279555.46999999997</v>
      </c>
      <c r="O47" s="326">
        <v>1800000</v>
      </c>
      <c r="P47" s="326">
        <f t="shared" si="13"/>
        <v>48266.55</v>
      </c>
      <c r="Q47" s="326">
        <f t="shared" si="222"/>
        <v>0</v>
      </c>
      <c r="R47" s="716">
        <f t="shared" si="223"/>
        <v>48266.55</v>
      </c>
      <c r="S47" s="326">
        <f t="shared" si="297"/>
        <v>-1751733.45</v>
      </c>
      <c r="T47" s="137">
        <f t="shared" si="298"/>
        <v>2.6814750000000002E-2</v>
      </c>
      <c r="U47" s="326">
        <f t="shared" si="299"/>
        <v>311608.69</v>
      </c>
      <c r="V47" s="332">
        <v>1800000</v>
      </c>
      <c r="W47" s="140">
        <f t="shared" si="19"/>
        <v>38047.5</v>
      </c>
      <c r="X47" s="326">
        <f t="shared" si="224"/>
        <v>702088.29</v>
      </c>
      <c r="Y47" s="717">
        <f t="shared" si="225"/>
        <v>740135.79</v>
      </c>
      <c r="Z47" s="123">
        <f t="shared" si="301"/>
        <v>-1059864.21</v>
      </c>
      <c r="AA47" s="137">
        <f t="shared" si="302"/>
        <v>0.41118655000000004</v>
      </c>
      <c r="AB47" s="326">
        <f t="shared" si="303"/>
        <v>283613.65999999997</v>
      </c>
      <c r="AC47" s="326">
        <v>1800000</v>
      </c>
      <c r="AD47" s="326">
        <f t="shared" si="25"/>
        <v>157389.56000000006</v>
      </c>
      <c r="AE47" s="326">
        <f t="shared" si="226"/>
        <v>928896.05</v>
      </c>
      <c r="AF47" s="716">
        <f t="shared" si="227"/>
        <v>1086285.6100000001</v>
      </c>
      <c r="AG47" s="326">
        <f t="shared" si="28"/>
        <v>-713714.3899999999</v>
      </c>
      <c r="AH47" s="137">
        <f t="shared" si="287"/>
        <v>0.6034920055555556</v>
      </c>
      <c r="AI47" s="332">
        <f t="shared" si="30"/>
        <v>5400000</v>
      </c>
      <c r="AJ47" s="140">
        <f t="shared" si="228"/>
        <v>1117575.29</v>
      </c>
      <c r="AK47" s="326">
        <f t="shared" si="32"/>
        <v>243703.6100000001</v>
      </c>
      <c r="AL47" s="326">
        <f t="shared" ref="AL47:AM47" si="315">SUM(AE47,X47,Q47)</f>
        <v>1630984.34</v>
      </c>
      <c r="AM47" s="326">
        <f t="shared" si="315"/>
        <v>1874687.9500000002</v>
      </c>
      <c r="AN47" s="326">
        <f t="shared" si="70"/>
        <v>-3525312.05</v>
      </c>
      <c r="AO47" s="413">
        <f t="shared" si="79"/>
        <v>1.6774600930913568</v>
      </c>
      <c r="AP47" s="423">
        <f t="shared" si="305"/>
        <v>766021.64</v>
      </c>
      <c r="AQ47" s="326">
        <f t="shared" si="36"/>
        <v>117620.65999999992</v>
      </c>
      <c r="AR47" s="326">
        <f t="shared" si="230"/>
        <v>1020890.77</v>
      </c>
      <c r="AS47" s="333">
        <f t="shared" si="231"/>
        <v>1138511.43</v>
      </c>
      <c r="AT47" s="434">
        <f t="shared" si="306"/>
        <v>777842.9</v>
      </c>
      <c r="AU47" s="140">
        <f t="shared" si="40"/>
        <v>34445.949999999953</v>
      </c>
      <c r="AV47" s="326">
        <f t="shared" si="232"/>
        <v>506588.78</v>
      </c>
      <c r="AW47" s="333">
        <f t="shared" si="233"/>
        <v>541034.73</v>
      </c>
      <c r="AX47" s="125">
        <f t="shared" si="307"/>
        <v>488721.03</v>
      </c>
      <c r="AY47" s="140">
        <f t="shared" si="44"/>
        <v>50687.180000000168</v>
      </c>
      <c r="AZ47" s="326">
        <f t="shared" si="234"/>
        <v>1287994.4099999999</v>
      </c>
      <c r="BA47" s="332">
        <f t="shared" si="235"/>
        <v>1338681.5900000001</v>
      </c>
      <c r="BB47" s="122">
        <f t="shared" ref="BB47:BD47" si="316">AY47+AU47+AQ47</f>
        <v>202753.79000000004</v>
      </c>
      <c r="BC47" s="326">
        <f t="shared" si="316"/>
        <v>2815473.96</v>
      </c>
      <c r="BD47" s="332">
        <f t="shared" si="316"/>
        <v>3018227.75</v>
      </c>
      <c r="BE47" s="122">
        <f t="shared" si="48"/>
        <v>446457.40000000014</v>
      </c>
      <c r="BF47" s="326">
        <f t="shared" ref="BF47:BG47" si="317">AL47+BC47</f>
        <v>4446458.3</v>
      </c>
      <c r="BG47" s="435">
        <f t="shared" si="317"/>
        <v>4892915.7</v>
      </c>
      <c r="BH47" s="125">
        <f t="shared" si="238"/>
        <v>381561.31</v>
      </c>
      <c r="BI47" s="140">
        <f t="shared" si="51"/>
        <v>38335.319999999949</v>
      </c>
      <c r="BJ47" s="123">
        <f t="shared" si="239"/>
        <v>864114.03</v>
      </c>
      <c r="BK47" s="125">
        <f t="shared" si="240"/>
        <v>902449.35</v>
      </c>
      <c r="BL47" s="123">
        <f t="shared" si="241"/>
        <v>623931.89</v>
      </c>
      <c r="BM47" s="140">
        <f t="shared" si="55"/>
        <v>60467.299999999988</v>
      </c>
      <c r="BN47" s="326">
        <f t="shared" si="242"/>
        <v>458001.95</v>
      </c>
      <c r="BO47" s="332">
        <f t="shared" si="243"/>
        <v>518469.25</v>
      </c>
      <c r="BP47" s="141">
        <f t="shared" si="244"/>
        <v>780640.84</v>
      </c>
      <c r="BQ47" s="140">
        <f t="shared" si="59"/>
        <v>56900</v>
      </c>
      <c r="BR47" s="326">
        <f t="shared" si="245"/>
        <v>844816.53</v>
      </c>
      <c r="BS47" s="333">
        <f t="shared" si="246"/>
        <v>901716.53</v>
      </c>
      <c r="BT47" s="113">
        <f t="shared" ref="BT47:BV47" si="318">SUM(BQ47,BM47,BI47)</f>
        <v>155702.61999999994</v>
      </c>
      <c r="BU47" s="116">
        <f t="shared" si="318"/>
        <v>2166932.5099999998</v>
      </c>
      <c r="BV47" s="117">
        <f t="shared" si="318"/>
        <v>2322635.13</v>
      </c>
      <c r="BW47" s="141">
        <f t="shared" si="248"/>
        <v>433915.92</v>
      </c>
      <c r="BX47" s="113">
        <f t="shared" si="64"/>
        <v>240899.02000000002</v>
      </c>
      <c r="BY47" s="114">
        <f t="shared" si="249"/>
        <v>489897.89</v>
      </c>
      <c r="BZ47" s="115">
        <f t="shared" si="250"/>
        <v>730796.91</v>
      </c>
      <c r="CA47" s="123">
        <f t="shared" si="251"/>
        <v>331064.34999999998</v>
      </c>
      <c r="CB47" s="333">
        <f t="shared" si="252"/>
        <v>352595.03</v>
      </c>
      <c r="CY47" s="294"/>
      <c r="DF47" s="296"/>
    </row>
    <row r="48" spans="1:110" ht="13">
      <c r="A48" s="420">
        <f t="shared" si="210"/>
        <v>112014329</v>
      </c>
      <c r="B48" s="565">
        <f t="shared" si="211"/>
        <v>8</v>
      </c>
      <c r="C48" s="558">
        <f t="shared" si="212"/>
        <v>0.1</v>
      </c>
      <c r="D48" s="558">
        <f t="shared" si="213"/>
        <v>0.2</v>
      </c>
      <c r="E48" s="715">
        <f t="shared" si="214"/>
        <v>0.23</v>
      </c>
      <c r="F48" s="701">
        <f t="shared" si="215"/>
        <v>3</v>
      </c>
      <c r="G48" s="700" t="str">
        <f t="shared" si="216"/>
        <v>Lista</v>
      </c>
      <c r="H48" s="700">
        <f t="shared" si="217"/>
        <v>0.2</v>
      </c>
      <c r="I48" s="700">
        <f t="shared" si="218"/>
        <v>0.23</v>
      </c>
      <c r="J48" s="547">
        <f t="shared" si="219"/>
        <v>70</v>
      </c>
      <c r="K48" s="699" t="str">
        <f t="shared" si="220"/>
        <v>Lista</v>
      </c>
      <c r="L48" s="702">
        <f t="shared" si="221"/>
        <v>0.11</v>
      </c>
      <c r="M48" s="139" t="s">
        <v>553</v>
      </c>
      <c r="N48" s="423">
        <f t="shared" si="296"/>
        <v>224530.12</v>
      </c>
      <c r="O48" s="326">
        <v>1800000</v>
      </c>
      <c r="P48" s="326" t="e">
        <f t="shared" si="13"/>
        <v>#VALUE!</v>
      </c>
      <c r="Q48" s="326" t="str">
        <f t="shared" si="222"/>
        <v/>
      </c>
      <c r="R48" s="716" t="str">
        <f t="shared" si="223"/>
        <v>0</v>
      </c>
      <c r="S48" s="326">
        <f t="shared" si="297"/>
        <v>-1800000</v>
      </c>
      <c r="T48" s="137">
        <f t="shared" si="298"/>
        <v>0</v>
      </c>
      <c r="U48" s="326">
        <f t="shared" si="299"/>
        <v>334704.33</v>
      </c>
      <c r="V48" s="332">
        <v>1800000</v>
      </c>
      <c r="W48" s="140" t="e">
        <f t="shared" si="19"/>
        <v>#VALUE!</v>
      </c>
      <c r="X48" s="326" t="str">
        <f t="shared" si="224"/>
        <v/>
      </c>
      <c r="Y48" s="717" t="str">
        <f t="shared" si="225"/>
        <v>0</v>
      </c>
      <c r="Z48" s="123">
        <f t="shared" si="301"/>
        <v>-1800000</v>
      </c>
      <c r="AA48" s="137">
        <f t="shared" si="302"/>
        <v>0</v>
      </c>
      <c r="AB48" s="326">
        <f t="shared" si="303"/>
        <v>245290.32</v>
      </c>
      <c r="AC48" s="326">
        <v>1800000</v>
      </c>
      <c r="AD48" s="326" t="e">
        <f t="shared" si="25"/>
        <v>#VALUE!</v>
      </c>
      <c r="AE48" s="326" t="str">
        <f t="shared" si="226"/>
        <v/>
      </c>
      <c r="AF48" s="716" t="str">
        <f t="shared" si="227"/>
        <v>0</v>
      </c>
      <c r="AG48" s="326">
        <f t="shared" si="28"/>
        <v>-1800000</v>
      </c>
      <c r="AH48" s="137">
        <f t="shared" si="287"/>
        <v>0</v>
      </c>
      <c r="AI48" s="332">
        <f t="shared" si="30"/>
        <v>5400000</v>
      </c>
      <c r="AJ48" s="140" t="str">
        <f t="shared" si="228"/>
        <v>0</v>
      </c>
      <c r="AK48" s="326">
        <f t="shared" si="32"/>
        <v>0</v>
      </c>
      <c r="AL48" s="326">
        <f t="shared" ref="AL48:AM48" si="319">SUM(AE48,X48,Q48)</f>
        <v>0</v>
      </c>
      <c r="AM48" s="326">
        <f t="shared" si="319"/>
        <v>0</v>
      </c>
      <c r="AN48" s="326">
        <f t="shared" si="70"/>
        <v>-5400000</v>
      </c>
      <c r="AO48" s="413" t="str">
        <f t="shared" si="79"/>
        <v/>
      </c>
      <c r="AP48" s="423">
        <f t="shared" si="305"/>
        <v>0</v>
      </c>
      <c r="AQ48" s="326" t="e">
        <f t="shared" si="36"/>
        <v>#VALUE!</v>
      </c>
      <c r="AR48" s="326" t="str">
        <f t="shared" si="230"/>
        <v/>
      </c>
      <c r="AS48" s="333" t="str">
        <f t="shared" si="231"/>
        <v>0</v>
      </c>
      <c r="AT48" s="434">
        <f t="shared" si="306"/>
        <v>493482.75</v>
      </c>
      <c r="AU48" s="140" t="e">
        <f t="shared" si="40"/>
        <v>#VALUE!</v>
      </c>
      <c r="AV48" s="326" t="str">
        <f t="shared" si="232"/>
        <v/>
      </c>
      <c r="AW48" s="333" t="str">
        <f t="shared" si="233"/>
        <v>0</v>
      </c>
      <c r="AX48" s="125">
        <f t="shared" si="307"/>
        <v>952091.42</v>
      </c>
      <c r="AY48" s="140" t="e">
        <f t="shared" si="44"/>
        <v>#VALUE!</v>
      </c>
      <c r="AZ48" s="326" t="str">
        <f t="shared" si="234"/>
        <v/>
      </c>
      <c r="BA48" s="332" t="str">
        <f t="shared" si="235"/>
        <v>0</v>
      </c>
      <c r="BB48" s="122" t="e">
        <f t="shared" ref="BB48:BD48" si="320">AY48+AU48+AQ48</f>
        <v>#VALUE!</v>
      </c>
      <c r="BC48" s="326" t="e">
        <f t="shared" si="320"/>
        <v>#VALUE!</v>
      </c>
      <c r="BD48" s="332">
        <f t="shared" si="320"/>
        <v>0</v>
      </c>
      <c r="BE48" s="122" t="e">
        <f t="shared" si="48"/>
        <v>#VALUE!</v>
      </c>
      <c r="BF48" s="326" t="e">
        <f t="shared" ref="BF48:BG48" si="321">AL48+BC48</f>
        <v>#VALUE!</v>
      </c>
      <c r="BG48" s="435">
        <f t="shared" si="321"/>
        <v>0</v>
      </c>
      <c r="BH48" s="125">
        <f t="shared" si="238"/>
        <v>66735</v>
      </c>
      <c r="BI48" s="140" t="e">
        <f t="shared" si="51"/>
        <v>#VALUE!</v>
      </c>
      <c r="BJ48" s="123" t="str">
        <f t="shared" si="239"/>
        <v/>
      </c>
      <c r="BK48" s="125" t="str">
        <f t="shared" si="240"/>
        <v>0</v>
      </c>
      <c r="BL48" s="123">
        <f t="shared" si="241"/>
        <v>360309.19</v>
      </c>
      <c r="BM48" s="140" t="e">
        <f t="shared" si="55"/>
        <v>#VALUE!</v>
      </c>
      <c r="BN48" s="326" t="str">
        <f t="shared" si="242"/>
        <v/>
      </c>
      <c r="BO48" s="332" t="str">
        <f t="shared" si="243"/>
        <v>0</v>
      </c>
      <c r="BP48" s="141">
        <f t="shared" si="244"/>
        <v>0</v>
      </c>
      <c r="BQ48" s="140" t="e">
        <f t="shared" si="59"/>
        <v>#VALUE!</v>
      </c>
      <c r="BR48" s="326" t="str">
        <f t="shared" si="245"/>
        <v/>
      </c>
      <c r="BS48" s="333" t="str">
        <f t="shared" si="246"/>
        <v>0</v>
      </c>
      <c r="BT48" s="113" t="e">
        <f t="shared" ref="BT48:BV48" si="322">SUM(BQ48,BM48,BI48)</f>
        <v>#VALUE!</v>
      </c>
      <c r="BU48" s="116">
        <f t="shared" si="322"/>
        <v>0</v>
      </c>
      <c r="BV48" s="117">
        <f t="shared" si="322"/>
        <v>0</v>
      </c>
      <c r="BW48" s="141">
        <f t="shared" si="248"/>
        <v>0</v>
      </c>
      <c r="BX48" s="113" t="e">
        <f t="shared" si="64"/>
        <v>#VALUE!</v>
      </c>
      <c r="BY48" s="114" t="str">
        <f t="shared" si="249"/>
        <v/>
      </c>
      <c r="BZ48" s="115" t="str">
        <f t="shared" si="250"/>
        <v>0</v>
      </c>
      <c r="CA48" s="123">
        <f t="shared" si="251"/>
        <v>0</v>
      </c>
      <c r="CB48" s="333">
        <f t="shared" si="252"/>
        <v>0</v>
      </c>
      <c r="CY48" s="294"/>
      <c r="DF48" s="296"/>
    </row>
    <row r="49" spans="1:110" ht="13">
      <c r="A49" s="420">
        <f t="shared" si="210"/>
        <v>112014330</v>
      </c>
      <c r="B49" s="565">
        <f t="shared" si="211"/>
        <v>8</v>
      </c>
      <c r="C49" s="558">
        <f t="shared" si="212"/>
        <v>0.1</v>
      </c>
      <c r="D49" s="558">
        <f t="shared" si="213"/>
        <v>0.2</v>
      </c>
      <c r="E49" s="715">
        <f t="shared" si="214"/>
        <v>0.23</v>
      </c>
      <c r="F49" s="701">
        <f t="shared" si="215"/>
        <v>3</v>
      </c>
      <c r="G49" s="700" t="str">
        <f t="shared" si="216"/>
        <v>Lista</v>
      </c>
      <c r="H49" s="700">
        <f t="shared" si="217"/>
        <v>0.2</v>
      </c>
      <c r="I49" s="700">
        <f t="shared" si="218"/>
        <v>0.23</v>
      </c>
      <c r="J49" s="547">
        <f t="shared" si="219"/>
        <v>70</v>
      </c>
      <c r="K49" s="699" t="str">
        <f t="shared" si="220"/>
        <v>Lista</v>
      </c>
      <c r="L49" s="702">
        <f t="shared" si="221"/>
        <v>0.11</v>
      </c>
      <c r="M49" s="139" t="s">
        <v>554</v>
      </c>
      <c r="N49" s="423">
        <f t="shared" si="296"/>
        <v>740449.05</v>
      </c>
      <c r="O49" s="326">
        <v>1800000</v>
      </c>
      <c r="P49" s="326">
        <f t="shared" si="13"/>
        <v>169123.76</v>
      </c>
      <c r="Q49" s="326">
        <f t="shared" si="222"/>
        <v>804741.19</v>
      </c>
      <c r="R49" s="716">
        <f t="shared" si="223"/>
        <v>973864.95</v>
      </c>
      <c r="S49" s="326">
        <f t="shared" si="297"/>
        <v>-826135.05</v>
      </c>
      <c r="T49" s="137">
        <f t="shared" si="298"/>
        <v>0.54103608333333331</v>
      </c>
      <c r="U49" s="326">
        <f t="shared" si="299"/>
        <v>360734.21</v>
      </c>
      <c r="V49" s="332">
        <v>1800000</v>
      </c>
      <c r="W49" s="140">
        <f t="shared" si="19"/>
        <v>0</v>
      </c>
      <c r="X49" s="326">
        <f t="shared" si="224"/>
        <v>670645.99</v>
      </c>
      <c r="Y49" s="717">
        <f t="shared" si="225"/>
        <v>670645.99</v>
      </c>
      <c r="Z49" s="123">
        <f t="shared" si="301"/>
        <v>-1129354.01</v>
      </c>
      <c r="AA49" s="137">
        <f t="shared" si="302"/>
        <v>0.37258110555555557</v>
      </c>
      <c r="AB49" s="326">
        <f t="shared" si="303"/>
        <v>85510</v>
      </c>
      <c r="AC49" s="326">
        <v>1800000</v>
      </c>
      <c r="AD49" s="326">
        <f t="shared" si="25"/>
        <v>693353.42999999993</v>
      </c>
      <c r="AE49" s="326">
        <f t="shared" si="226"/>
        <v>580467.46</v>
      </c>
      <c r="AF49" s="716">
        <f t="shared" si="227"/>
        <v>1273820.8899999999</v>
      </c>
      <c r="AG49" s="326">
        <f t="shared" si="28"/>
        <v>-526179.1100000001</v>
      </c>
      <c r="AH49" s="137">
        <f t="shared" si="287"/>
        <v>0.70767827222222213</v>
      </c>
      <c r="AI49" s="332">
        <f t="shared" si="30"/>
        <v>5400000</v>
      </c>
      <c r="AJ49" s="140">
        <f t="shared" si="228"/>
        <v>2966317.84</v>
      </c>
      <c r="AK49" s="326">
        <f t="shared" si="32"/>
        <v>862477.19000000018</v>
      </c>
      <c r="AL49" s="326">
        <f t="shared" ref="AL49:AM49" si="323">SUM(AE49,X49,Q49)</f>
        <v>2055854.64</v>
      </c>
      <c r="AM49" s="326">
        <f t="shared" si="323"/>
        <v>2918331.83</v>
      </c>
      <c r="AN49" s="326">
        <f t="shared" si="70"/>
        <v>-2481668.17</v>
      </c>
      <c r="AO49" s="413">
        <f t="shared" si="79"/>
        <v>0.98382303832956763</v>
      </c>
      <c r="AP49" s="423">
        <f t="shared" si="305"/>
        <v>911312.33</v>
      </c>
      <c r="AQ49" s="326">
        <f t="shared" si="36"/>
        <v>731314.34</v>
      </c>
      <c r="AR49" s="326">
        <f t="shared" si="230"/>
        <v>250189.92</v>
      </c>
      <c r="AS49" s="333">
        <f t="shared" si="231"/>
        <v>981504.26</v>
      </c>
      <c r="AT49" s="434">
        <f t="shared" si="306"/>
        <v>742038.47</v>
      </c>
      <c r="AU49" s="140">
        <f t="shared" si="40"/>
        <v>1320322.57</v>
      </c>
      <c r="AV49" s="326">
        <f t="shared" si="232"/>
        <v>662809</v>
      </c>
      <c r="AW49" s="333">
        <f t="shared" si="233"/>
        <v>1983131.57</v>
      </c>
      <c r="AX49" s="125">
        <f t="shared" si="307"/>
        <v>0</v>
      </c>
      <c r="AY49" s="140">
        <f t="shared" si="44"/>
        <v>433915.27999999991</v>
      </c>
      <c r="AZ49" s="326">
        <f t="shared" si="234"/>
        <v>248614.42</v>
      </c>
      <c r="BA49" s="332">
        <f t="shared" si="235"/>
        <v>682529.7</v>
      </c>
      <c r="BB49" s="122">
        <f t="shared" ref="BB49:BD49" si="324">AY49+AU49+AQ49</f>
        <v>2485552.19</v>
      </c>
      <c r="BC49" s="326">
        <f t="shared" si="324"/>
        <v>1161613.3400000001</v>
      </c>
      <c r="BD49" s="332">
        <f t="shared" si="324"/>
        <v>3647165.5300000003</v>
      </c>
      <c r="BE49" s="122">
        <f t="shared" si="48"/>
        <v>3348029.38</v>
      </c>
      <c r="BF49" s="326">
        <f t="shared" ref="BF49:BG49" si="325">AL49+BC49</f>
        <v>3217467.98</v>
      </c>
      <c r="BG49" s="435">
        <f t="shared" si="325"/>
        <v>6565497.3600000003</v>
      </c>
      <c r="BH49" s="125">
        <f t="shared" si="238"/>
        <v>1067505.76</v>
      </c>
      <c r="BI49" s="140">
        <f t="shared" si="51"/>
        <v>1086670.57</v>
      </c>
      <c r="BJ49" s="123">
        <f t="shared" si="239"/>
        <v>265452.96000000002</v>
      </c>
      <c r="BK49" s="125">
        <f t="shared" si="240"/>
        <v>1352123.53</v>
      </c>
      <c r="BL49" s="123">
        <f t="shared" si="241"/>
        <v>1101369.71</v>
      </c>
      <c r="BM49" s="140">
        <f t="shared" si="55"/>
        <v>236763.77000000002</v>
      </c>
      <c r="BN49" s="326">
        <f t="shared" si="242"/>
        <v>602367.4</v>
      </c>
      <c r="BO49" s="332">
        <f t="shared" si="243"/>
        <v>839131.17</v>
      </c>
      <c r="BP49" s="141">
        <f t="shared" si="244"/>
        <v>757436.36</v>
      </c>
      <c r="BQ49" s="140">
        <f t="shared" si="59"/>
        <v>0</v>
      </c>
      <c r="BR49" s="326">
        <f t="shared" si="245"/>
        <v>773197.83</v>
      </c>
      <c r="BS49" s="333">
        <f t="shared" si="246"/>
        <v>773197.83</v>
      </c>
      <c r="BT49" s="113">
        <f t="shared" ref="BT49:BV49" si="326">SUM(BQ49,BM49,BI49)</f>
        <v>1323434.3400000001</v>
      </c>
      <c r="BU49" s="116">
        <f t="shared" si="326"/>
        <v>1641018.19</v>
      </c>
      <c r="BV49" s="117">
        <f t="shared" si="326"/>
        <v>2964452.5300000003</v>
      </c>
      <c r="BW49" s="141">
        <f t="shared" si="248"/>
        <v>490442.4</v>
      </c>
      <c r="BX49" s="113">
        <f t="shared" si="64"/>
        <v>0</v>
      </c>
      <c r="BY49" s="114">
        <f t="shared" si="249"/>
        <v>783957.63</v>
      </c>
      <c r="BZ49" s="115">
        <f t="shared" si="250"/>
        <v>783957.63</v>
      </c>
      <c r="CA49" s="123">
        <f t="shared" si="251"/>
        <v>1265155.99</v>
      </c>
      <c r="CB49" s="333">
        <f t="shared" si="252"/>
        <v>1210719.45</v>
      </c>
      <c r="CY49" s="294"/>
      <c r="DF49" s="296"/>
    </row>
    <row r="50" spans="1:110" ht="13">
      <c r="A50" s="420">
        <f t="shared" si="210"/>
        <v>112012718</v>
      </c>
      <c r="B50" s="565">
        <f t="shared" si="211"/>
        <v>31</v>
      </c>
      <c r="C50" s="558">
        <f t="shared" si="212"/>
        <v>0.1</v>
      </c>
      <c r="D50" s="558">
        <f t="shared" si="213"/>
        <v>0.23</v>
      </c>
      <c r="E50" s="715">
        <f t="shared" si="214"/>
        <v>0</v>
      </c>
      <c r="F50" s="701">
        <f t="shared" si="215"/>
        <v>18</v>
      </c>
      <c r="G50" s="700" t="str">
        <f t="shared" si="216"/>
        <v>Lista</v>
      </c>
      <c r="H50" s="700">
        <f t="shared" si="217"/>
        <v>0.23</v>
      </c>
      <c r="I50" s="700">
        <f t="shared" si="218"/>
        <v>0</v>
      </c>
      <c r="J50" s="547">
        <f t="shared" si="219"/>
        <v>68</v>
      </c>
      <c r="K50" s="699" t="str">
        <f t="shared" si="220"/>
        <v>Lista</v>
      </c>
      <c r="L50" s="702">
        <f t="shared" si="221"/>
        <v>0.17</v>
      </c>
      <c r="M50" s="139" t="s">
        <v>555</v>
      </c>
      <c r="N50" s="423">
        <f t="shared" si="296"/>
        <v>0</v>
      </c>
      <c r="O50" s="561">
        <v>3000000</v>
      </c>
      <c r="P50" s="326">
        <f t="shared" si="13"/>
        <v>0</v>
      </c>
      <c r="Q50" s="326">
        <f t="shared" si="222"/>
        <v>3455111.26</v>
      </c>
      <c r="R50" s="716">
        <f t="shared" si="223"/>
        <v>3455111.26</v>
      </c>
      <c r="S50" s="326">
        <f t="shared" si="297"/>
        <v>455111.25999999978</v>
      </c>
      <c r="T50" s="137">
        <f t="shared" si="298"/>
        <v>1.1517037533333332</v>
      </c>
      <c r="U50" s="326">
        <f t="shared" si="299"/>
        <v>2701583.64</v>
      </c>
      <c r="V50" s="332">
        <f t="shared" ref="V50:V51" si="327">(U50*1.7245)*1.03</f>
        <v>4798647.4167954</v>
      </c>
      <c r="W50" s="140">
        <f t="shared" si="19"/>
        <v>0</v>
      </c>
      <c r="X50" s="326">
        <f t="shared" si="224"/>
        <v>7325224.3099999996</v>
      </c>
      <c r="Y50" s="717">
        <f t="shared" si="225"/>
        <v>7325224.3099999996</v>
      </c>
      <c r="Z50" s="123">
        <f t="shared" si="301"/>
        <v>2526576.8932045996</v>
      </c>
      <c r="AA50" s="137">
        <f t="shared" si="302"/>
        <v>1.5265185527825007</v>
      </c>
      <c r="AB50" s="326">
        <f t="shared" si="303"/>
        <v>2950697.18</v>
      </c>
      <c r="AC50" s="326">
        <f t="shared" ref="AC50:AC51" si="328">(AB50*1.5955)*1.05</f>
        <v>4943229.2182245003</v>
      </c>
      <c r="AD50" s="326">
        <f t="shared" si="25"/>
        <v>0</v>
      </c>
      <c r="AE50" s="326">
        <f t="shared" si="226"/>
        <v>6802002.5999999996</v>
      </c>
      <c r="AF50" s="716">
        <f t="shared" si="227"/>
        <v>6802002.5999999996</v>
      </c>
      <c r="AG50" s="326">
        <f t="shared" si="28"/>
        <v>1858773.3817754993</v>
      </c>
      <c r="AH50" s="137">
        <f t="shared" si="287"/>
        <v>1.3760241129265558</v>
      </c>
      <c r="AI50" s="332">
        <f t="shared" si="30"/>
        <v>12741876.6350199</v>
      </c>
      <c r="AJ50" s="140">
        <f t="shared" si="228"/>
        <v>11889124.130000001</v>
      </c>
      <c r="AK50" s="326">
        <f t="shared" si="32"/>
        <v>0</v>
      </c>
      <c r="AL50" s="326">
        <f t="shared" ref="AL50:AM50" si="329">SUM(AE50,X50,Q50)</f>
        <v>17582338.170000002</v>
      </c>
      <c r="AM50" s="326">
        <f t="shared" si="329"/>
        <v>17582338.170000002</v>
      </c>
      <c r="AN50" s="326">
        <f t="shared" si="70"/>
        <v>4840461.5349801015</v>
      </c>
      <c r="AO50" s="413">
        <f t="shared" si="79"/>
        <v>1.4788589956457963</v>
      </c>
      <c r="AP50" s="423">
        <f t="shared" si="305"/>
        <v>0</v>
      </c>
      <c r="AQ50" s="326">
        <f t="shared" si="36"/>
        <v>0</v>
      </c>
      <c r="AR50" s="326">
        <f t="shared" si="230"/>
        <v>3719540.75</v>
      </c>
      <c r="AS50" s="333">
        <f t="shared" si="231"/>
        <v>3719540.75</v>
      </c>
      <c r="AT50" s="434">
        <f t="shared" si="306"/>
        <v>0</v>
      </c>
      <c r="AU50" s="140">
        <f t="shared" si="40"/>
        <v>0</v>
      </c>
      <c r="AV50" s="326">
        <f t="shared" si="232"/>
        <v>12600566.210000001</v>
      </c>
      <c r="AW50" s="333">
        <f t="shared" si="233"/>
        <v>12600566.210000001</v>
      </c>
      <c r="AX50" s="125">
        <f t="shared" si="307"/>
        <v>2545702.65</v>
      </c>
      <c r="AY50" s="140">
        <f t="shared" si="44"/>
        <v>0</v>
      </c>
      <c r="AZ50" s="326">
        <f t="shared" si="234"/>
        <v>18007873.579999998</v>
      </c>
      <c r="BA50" s="332">
        <f t="shared" si="235"/>
        <v>18007873.579999998</v>
      </c>
      <c r="BB50" s="122">
        <f t="shared" ref="BB50:BD50" si="330">AY50+AU50+AQ50</f>
        <v>0</v>
      </c>
      <c r="BC50" s="326">
        <f t="shared" si="330"/>
        <v>34327980.539999999</v>
      </c>
      <c r="BD50" s="332">
        <f t="shared" si="330"/>
        <v>34327980.539999999</v>
      </c>
      <c r="BE50" s="122">
        <f t="shared" si="48"/>
        <v>0</v>
      </c>
      <c r="BF50" s="326">
        <f t="shared" ref="BF50:BG50" si="331">AL50+BC50</f>
        <v>51910318.710000001</v>
      </c>
      <c r="BG50" s="435">
        <f t="shared" si="331"/>
        <v>51910318.710000001</v>
      </c>
      <c r="BH50" s="125">
        <f t="shared" si="238"/>
        <v>3750978.36</v>
      </c>
      <c r="BI50" s="140">
        <f t="shared" si="51"/>
        <v>0</v>
      </c>
      <c r="BJ50" s="123">
        <f t="shared" si="239"/>
        <v>-1402306.91</v>
      </c>
      <c r="BK50" s="125">
        <f t="shared" si="240"/>
        <v>-1402306.91</v>
      </c>
      <c r="BL50" s="123">
        <f t="shared" si="241"/>
        <v>5097240.09</v>
      </c>
      <c r="BM50" s="140">
        <f t="shared" si="55"/>
        <v>0</v>
      </c>
      <c r="BN50" s="326">
        <f t="shared" si="242"/>
        <v>0</v>
      </c>
      <c r="BO50" s="332">
        <f t="shared" si="243"/>
        <v>0</v>
      </c>
      <c r="BP50" s="141">
        <f t="shared" si="244"/>
        <v>2576944.88</v>
      </c>
      <c r="BQ50" s="140">
        <f t="shared" si="59"/>
        <v>0</v>
      </c>
      <c r="BR50" s="326">
        <f t="shared" si="245"/>
        <v>0</v>
      </c>
      <c r="BS50" s="333">
        <f t="shared" si="246"/>
        <v>0</v>
      </c>
      <c r="BT50" s="113">
        <f t="shared" ref="BT50:BV50" si="332">SUM(BQ50,BM50,BI50)</f>
        <v>0</v>
      </c>
      <c r="BU50" s="116">
        <f t="shared" si="332"/>
        <v>-1402306.91</v>
      </c>
      <c r="BV50" s="117">
        <f t="shared" si="332"/>
        <v>-1402306.91</v>
      </c>
      <c r="BW50" s="141">
        <f t="shared" si="248"/>
        <v>4375642.07</v>
      </c>
      <c r="BX50" s="113">
        <f t="shared" si="64"/>
        <v>85151.039999999979</v>
      </c>
      <c r="BY50" s="114">
        <f t="shared" si="249"/>
        <v>263483.33</v>
      </c>
      <c r="BZ50" s="115">
        <f t="shared" si="250"/>
        <v>348634.37</v>
      </c>
      <c r="CA50" s="123">
        <f t="shared" si="251"/>
        <v>2685906.38</v>
      </c>
      <c r="CB50" s="333">
        <f t="shared" si="252"/>
        <v>4827575.6900000004</v>
      </c>
      <c r="CY50" s="294"/>
      <c r="DF50" s="296"/>
    </row>
    <row r="51" spans="1:110" ht="13">
      <c r="A51" s="420">
        <f t="shared" si="210"/>
        <v>112014732</v>
      </c>
      <c r="B51" s="565">
        <f t="shared" si="211"/>
        <v>31</v>
      </c>
      <c r="C51" s="558">
        <f t="shared" si="212"/>
        <v>0.1</v>
      </c>
      <c r="D51" s="558">
        <f t="shared" si="213"/>
        <v>0.23</v>
      </c>
      <c r="E51" s="715">
        <f t="shared" si="214"/>
        <v>0</v>
      </c>
      <c r="F51" s="701">
        <f t="shared" si="215"/>
        <v>18</v>
      </c>
      <c r="G51" s="700" t="str">
        <f t="shared" si="216"/>
        <v>Lista</v>
      </c>
      <c r="H51" s="700">
        <f t="shared" si="217"/>
        <v>0.23</v>
      </c>
      <c r="I51" s="700">
        <f t="shared" si="218"/>
        <v>0</v>
      </c>
      <c r="J51" s="547">
        <f t="shared" si="219"/>
        <v>69</v>
      </c>
      <c r="K51" s="699" t="str">
        <f t="shared" si="220"/>
        <v>Lista</v>
      </c>
      <c r="L51" s="702">
        <f t="shared" si="221"/>
        <v>0.14000000000000001</v>
      </c>
      <c r="M51" s="189" t="s">
        <v>556</v>
      </c>
      <c r="N51" s="423" t="str">
        <f t="shared" si="296"/>
        <v/>
      </c>
      <c r="O51" s="561">
        <v>3000000</v>
      </c>
      <c r="P51" s="326">
        <f t="shared" si="13"/>
        <v>0</v>
      </c>
      <c r="Q51" s="326">
        <f t="shared" si="222"/>
        <v>0</v>
      </c>
      <c r="R51" s="716">
        <f t="shared" si="223"/>
        <v>0</v>
      </c>
      <c r="S51" s="326">
        <f t="shared" si="297"/>
        <v>-3000000</v>
      </c>
      <c r="T51" s="137">
        <f t="shared" si="298"/>
        <v>0</v>
      </c>
      <c r="U51" s="326" t="str">
        <f t="shared" si="299"/>
        <v/>
      </c>
      <c r="V51" s="332" t="e">
        <f t="shared" si="327"/>
        <v>#VALUE!</v>
      </c>
      <c r="W51" s="140">
        <f t="shared" si="19"/>
        <v>0</v>
      </c>
      <c r="X51" s="326">
        <f t="shared" si="224"/>
        <v>0</v>
      </c>
      <c r="Y51" s="717">
        <f t="shared" si="225"/>
        <v>0</v>
      </c>
      <c r="Z51" s="123" t="e">
        <f t="shared" si="301"/>
        <v>#VALUE!</v>
      </c>
      <c r="AA51" s="137" t="e">
        <f t="shared" si="302"/>
        <v>#VALUE!</v>
      </c>
      <c r="AB51" s="326" t="str">
        <f t="shared" si="303"/>
        <v/>
      </c>
      <c r="AC51" s="326" t="e">
        <f t="shared" si="328"/>
        <v>#VALUE!</v>
      </c>
      <c r="AD51" s="326">
        <f t="shared" si="25"/>
        <v>0</v>
      </c>
      <c r="AE51" s="326">
        <f t="shared" si="226"/>
        <v>0</v>
      </c>
      <c r="AF51" s="716">
        <f t="shared" si="227"/>
        <v>0</v>
      </c>
      <c r="AG51" s="326" t="e">
        <f t="shared" si="28"/>
        <v>#VALUE!</v>
      </c>
      <c r="AH51" s="137" t="e">
        <f t="shared" si="287"/>
        <v>#VALUE!</v>
      </c>
      <c r="AI51" s="332" t="e">
        <f t="shared" si="30"/>
        <v>#VALUE!</v>
      </c>
      <c r="AJ51" s="140" t="str">
        <f t="shared" si="228"/>
        <v>0</v>
      </c>
      <c r="AK51" s="326">
        <f t="shared" si="32"/>
        <v>0</v>
      </c>
      <c r="AL51" s="326">
        <f t="shared" ref="AL51:AM51" si="333">SUM(AE51,X51,Q51)</f>
        <v>0</v>
      </c>
      <c r="AM51" s="326">
        <f t="shared" si="333"/>
        <v>0</v>
      </c>
      <c r="AN51" s="326" t="e">
        <f t="shared" si="70"/>
        <v>#VALUE!</v>
      </c>
      <c r="AO51" s="413" t="str">
        <f t="shared" si="79"/>
        <v/>
      </c>
      <c r="AP51" s="423" t="str">
        <f t="shared" si="305"/>
        <v/>
      </c>
      <c r="AQ51" s="326">
        <f t="shared" si="36"/>
        <v>0</v>
      </c>
      <c r="AR51" s="326">
        <f t="shared" si="230"/>
        <v>0</v>
      </c>
      <c r="AS51" s="333">
        <f t="shared" si="231"/>
        <v>0</v>
      </c>
      <c r="AT51" s="434" t="str">
        <f t="shared" si="306"/>
        <v/>
      </c>
      <c r="AU51" s="140">
        <f t="shared" si="40"/>
        <v>0</v>
      </c>
      <c r="AV51" s="326">
        <f t="shared" si="232"/>
        <v>0</v>
      </c>
      <c r="AW51" s="333">
        <f t="shared" si="233"/>
        <v>0</v>
      </c>
      <c r="AX51" s="125" t="str">
        <f t="shared" si="307"/>
        <v/>
      </c>
      <c r="AY51" s="140">
        <f t="shared" si="44"/>
        <v>0</v>
      </c>
      <c r="AZ51" s="326">
        <f t="shared" si="234"/>
        <v>0</v>
      </c>
      <c r="BA51" s="332">
        <f t="shared" si="235"/>
        <v>0</v>
      </c>
      <c r="BB51" s="122">
        <f t="shared" ref="BB51:BD51" si="334">AY51+AU51+AQ51</f>
        <v>0</v>
      </c>
      <c r="BC51" s="326">
        <f t="shared" si="334"/>
        <v>0</v>
      </c>
      <c r="BD51" s="332">
        <f t="shared" si="334"/>
        <v>0</v>
      </c>
      <c r="BE51" s="122">
        <f t="shared" si="48"/>
        <v>0</v>
      </c>
      <c r="BF51" s="326">
        <f t="shared" ref="BF51:BG51" si="335">AL51+BC51</f>
        <v>0</v>
      </c>
      <c r="BG51" s="435">
        <f t="shared" si="335"/>
        <v>0</v>
      </c>
      <c r="BH51" s="125" t="str">
        <f t="shared" si="238"/>
        <v/>
      </c>
      <c r="BI51" s="140">
        <f t="shared" si="51"/>
        <v>0</v>
      </c>
      <c r="BJ51" s="123">
        <f t="shared" si="239"/>
        <v>0</v>
      </c>
      <c r="BK51" s="125">
        <f t="shared" si="240"/>
        <v>0</v>
      </c>
      <c r="BL51" s="123" t="str">
        <f t="shared" si="241"/>
        <v/>
      </c>
      <c r="BM51" s="140">
        <f t="shared" si="55"/>
        <v>0</v>
      </c>
      <c r="BN51" s="326">
        <f t="shared" si="242"/>
        <v>0</v>
      </c>
      <c r="BO51" s="332">
        <f t="shared" si="243"/>
        <v>0</v>
      </c>
      <c r="BP51" s="141" t="str">
        <f t="shared" si="244"/>
        <v/>
      </c>
      <c r="BQ51" s="140">
        <f t="shared" si="59"/>
        <v>0</v>
      </c>
      <c r="BR51" s="326">
        <f t="shared" si="245"/>
        <v>287779.57</v>
      </c>
      <c r="BS51" s="333">
        <f t="shared" si="246"/>
        <v>287779.57</v>
      </c>
      <c r="BT51" s="113">
        <f t="shared" ref="BT51:BV51" si="336">SUM(BQ51,BM51,BI51)</f>
        <v>0</v>
      </c>
      <c r="BU51" s="116">
        <f t="shared" si="336"/>
        <v>287779.57</v>
      </c>
      <c r="BV51" s="117">
        <f t="shared" si="336"/>
        <v>287779.57</v>
      </c>
      <c r="BW51" s="141" t="str">
        <f t="shared" si="248"/>
        <v/>
      </c>
      <c r="BX51" s="113">
        <f t="shared" si="64"/>
        <v>0</v>
      </c>
      <c r="BY51" s="114">
        <f t="shared" si="249"/>
        <v>364009.1</v>
      </c>
      <c r="BZ51" s="115">
        <f t="shared" si="250"/>
        <v>364009.1</v>
      </c>
      <c r="CA51" s="123" t="str">
        <f t="shared" si="251"/>
        <v/>
      </c>
      <c r="CB51" s="333" t="str">
        <f t="shared" si="252"/>
        <v/>
      </c>
      <c r="CY51" s="294"/>
      <c r="DF51" s="296"/>
    </row>
    <row r="52" spans="1:110" ht="13">
      <c r="A52" s="420">
        <f t="shared" si="210"/>
        <v>112014506</v>
      </c>
      <c r="B52" s="565">
        <f t="shared" si="211"/>
        <v>31</v>
      </c>
      <c r="C52" s="558">
        <f t="shared" si="212"/>
        <v>0.1</v>
      </c>
      <c r="D52" s="558">
        <f t="shared" si="213"/>
        <v>0.23</v>
      </c>
      <c r="E52" s="715">
        <f t="shared" si="214"/>
        <v>0</v>
      </c>
      <c r="F52" s="701">
        <f t="shared" si="215"/>
        <v>18</v>
      </c>
      <c r="G52" s="700" t="str">
        <f t="shared" si="216"/>
        <v>Lista</v>
      </c>
      <c r="H52" s="700">
        <f t="shared" si="217"/>
        <v>0.23</v>
      </c>
      <c r="I52" s="700">
        <f t="shared" si="218"/>
        <v>0</v>
      </c>
      <c r="J52" s="547">
        <f t="shared" si="219"/>
        <v>69</v>
      </c>
      <c r="K52" s="699" t="str">
        <f t="shared" si="220"/>
        <v>Lista</v>
      </c>
      <c r="L52" s="702">
        <f t="shared" si="221"/>
        <v>0.14000000000000001</v>
      </c>
      <c r="M52" s="139" t="s">
        <v>557</v>
      </c>
      <c r="N52" s="423">
        <f t="shared" si="296"/>
        <v>0</v>
      </c>
      <c r="O52" s="326">
        <v>1800000</v>
      </c>
      <c r="P52" s="326">
        <f t="shared" si="13"/>
        <v>0</v>
      </c>
      <c r="Q52" s="326">
        <f t="shared" si="222"/>
        <v>504202.9</v>
      </c>
      <c r="R52" s="716">
        <f t="shared" si="223"/>
        <v>504202.9</v>
      </c>
      <c r="S52" s="326">
        <f t="shared" si="297"/>
        <v>-1295797.1000000001</v>
      </c>
      <c r="T52" s="137">
        <f t="shared" si="298"/>
        <v>0.28011272222222222</v>
      </c>
      <c r="U52" s="326">
        <f t="shared" si="299"/>
        <v>0</v>
      </c>
      <c r="V52" s="332">
        <v>1800000</v>
      </c>
      <c r="W52" s="140">
        <f t="shared" si="19"/>
        <v>0</v>
      </c>
      <c r="X52" s="326">
        <f t="shared" si="224"/>
        <v>386538.46</v>
      </c>
      <c r="Y52" s="717">
        <f t="shared" si="225"/>
        <v>386538.46</v>
      </c>
      <c r="Z52" s="123">
        <f t="shared" si="301"/>
        <v>-1413461.54</v>
      </c>
      <c r="AA52" s="137">
        <f t="shared" si="302"/>
        <v>0.21474358888888889</v>
      </c>
      <c r="AB52" s="326">
        <v>1800000</v>
      </c>
      <c r="AC52" s="326">
        <v>1800000</v>
      </c>
      <c r="AD52" s="326">
        <f t="shared" si="25"/>
        <v>0</v>
      </c>
      <c r="AE52" s="326">
        <f t="shared" si="226"/>
        <v>202122.84</v>
      </c>
      <c r="AF52" s="716">
        <f t="shared" si="227"/>
        <v>202122.84</v>
      </c>
      <c r="AG52" s="326">
        <f t="shared" si="28"/>
        <v>-1597877.16</v>
      </c>
      <c r="AH52" s="137">
        <f t="shared" si="287"/>
        <v>0.11229046666666666</v>
      </c>
      <c r="AI52" s="332">
        <f t="shared" si="30"/>
        <v>5400000</v>
      </c>
      <c r="AJ52" s="140">
        <f t="shared" si="228"/>
        <v>1650344.66</v>
      </c>
      <c r="AK52" s="326">
        <f t="shared" si="32"/>
        <v>0</v>
      </c>
      <c r="AL52" s="326">
        <f t="shared" ref="AL52:AM52" si="337">SUM(AE52,X52,Q52)</f>
        <v>1092864.2000000002</v>
      </c>
      <c r="AM52" s="326">
        <f t="shared" si="337"/>
        <v>1092864.2000000002</v>
      </c>
      <c r="AN52" s="326">
        <f t="shared" si="70"/>
        <v>-4307135.8</v>
      </c>
      <c r="AO52" s="413">
        <f t="shared" si="79"/>
        <v>0.66220361509213488</v>
      </c>
      <c r="AP52" s="423">
        <f t="shared" si="305"/>
        <v>0</v>
      </c>
      <c r="AQ52" s="326">
        <f t="shared" si="36"/>
        <v>0</v>
      </c>
      <c r="AR52" s="326">
        <f t="shared" si="230"/>
        <v>359254.28</v>
      </c>
      <c r="AS52" s="333">
        <f t="shared" si="231"/>
        <v>359254.28</v>
      </c>
      <c r="AT52" s="434">
        <f t="shared" si="306"/>
        <v>0</v>
      </c>
      <c r="AU52" s="140">
        <f t="shared" si="40"/>
        <v>0</v>
      </c>
      <c r="AV52" s="326">
        <f t="shared" si="232"/>
        <v>283717.2</v>
      </c>
      <c r="AW52" s="333">
        <f t="shared" si="233"/>
        <v>283717.2</v>
      </c>
      <c r="AX52" s="125">
        <f t="shared" si="307"/>
        <v>0</v>
      </c>
      <c r="AY52" s="140">
        <f t="shared" si="44"/>
        <v>0</v>
      </c>
      <c r="AZ52" s="326">
        <f t="shared" si="234"/>
        <v>283110.06</v>
      </c>
      <c r="BA52" s="332">
        <f t="shared" si="235"/>
        <v>283110.06</v>
      </c>
      <c r="BB52" s="122">
        <f t="shared" ref="BB52:BD52" si="338">AY52+AU52+AQ52</f>
        <v>0</v>
      </c>
      <c r="BC52" s="326">
        <f t="shared" si="338"/>
        <v>926081.54</v>
      </c>
      <c r="BD52" s="332">
        <f t="shared" si="338"/>
        <v>926081.54</v>
      </c>
      <c r="BE52" s="122">
        <f t="shared" si="48"/>
        <v>0</v>
      </c>
      <c r="BF52" s="326">
        <f t="shared" ref="BF52:BG52" si="339">AL52+BC52</f>
        <v>2018945.7400000002</v>
      </c>
      <c r="BG52" s="435">
        <f t="shared" si="339"/>
        <v>2018945.7400000002</v>
      </c>
      <c r="BH52" s="125">
        <f t="shared" si="238"/>
        <v>0</v>
      </c>
      <c r="BI52" s="140">
        <f t="shared" si="51"/>
        <v>0</v>
      </c>
      <c r="BJ52" s="123">
        <f t="shared" si="239"/>
        <v>951608.89</v>
      </c>
      <c r="BK52" s="125">
        <f t="shared" si="240"/>
        <v>951608.89</v>
      </c>
      <c r="BL52" s="123">
        <f t="shared" si="241"/>
        <v>382379.85</v>
      </c>
      <c r="BM52" s="140">
        <f t="shared" si="55"/>
        <v>0</v>
      </c>
      <c r="BN52" s="326">
        <f t="shared" si="242"/>
        <v>293302.99</v>
      </c>
      <c r="BO52" s="332">
        <f t="shared" si="243"/>
        <v>293302.99</v>
      </c>
      <c r="BP52" s="141">
        <f t="shared" si="244"/>
        <v>320108.55</v>
      </c>
      <c r="BQ52" s="140">
        <f t="shared" si="59"/>
        <v>0</v>
      </c>
      <c r="BR52" s="326">
        <f t="shared" si="245"/>
        <v>0</v>
      </c>
      <c r="BS52" s="333">
        <f t="shared" si="246"/>
        <v>0</v>
      </c>
      <c r="BT52" s="113">
        <f t="shared" ref="BT52:BV52" si="340">SUM(BQ52,BM52,BI52)</f>
        <v>0</v>
      </c>
      <c r="BU52" s="116">
        <f t="shared" si="340"/>
        <v>1244911.8799999999</v>
      </c>
      <c r="BV52" s="117">
        <f t="shared" si="340"/>
        <v>1244911.8799999999</v>
      </c>
      <c r="BW52" s="141">
        <f t="shared" si="248"/>
        <v>379926.19</v>
      </c>
      <c r="BX52" s="113">
        <f t="shared" si="64"/>
        <v>0</v>
      </c>
      <c r="BY52" s="114">
        <f t="shared" si="249"/>
        <v>536083.99</v>
      </c>
      <c r="BZ52" s="115">
        <f t="shared" si="250"/>
        <v>536083.99</v>
      </c>
      <c r="CA52" s="123">
        <f t="shared" si="251"/>
        <v>701113.8</v>
      </c>
      <c r="CB52" s="333">
        <f t="shared" si="252"/>
        <v>569304.68000000005</v>
      </c>
      <c r="CY52" s="294"/>
      <c r="DF52" s="296"/>
    </row>
    <row r="53" spans="1:110" ht="13">
      <c r="A53" s="420">
        <f t="shared" si="210"/>
        <v>112013338</v>
      </c>
      <c r="B53" s="565">
        <f t="shared" si="211"/>
        <v>31</v>
      </c>
      <c r="C53" s="558">
        <f t="shared" si="212"/>
        <v>0.1</v>
      </c>
      <c r="D53" s="558">
        <f t="shared" si="213"/>
        <v>0.23</v>
      </c>
      <c r="E53" s="715">
        <f t="shared" si="214"/>
        <v>0</v>
      </c>
      <c r="F53" s="701">
        <f t="shared" si="215"/>
        <v>18</v>
      </c>
      <c r="G53" s="700" t="str">
        <f t="shared" si="216"/>
        <v>Lista</v>
      </c>
      <c r="H53" s="700">
        <f t="shared" si="217"/>
        <v>0.23</v>
      </c>
      <c r="I53" s="700">
        <f t="shared" si="218"/>
        <v>0</v>
      </c>
      <c r="J53" s="547">
        <f t="shared" si="219"/>
        <v>69</v>
      </c>
      <c r="K53" s="699" t="str">
        <f t="shared" si="220"/>
        <v>Lista</v>
      </c>
      <c r="L53" s="702">
        <f t="shared" si="221"/>
        <v>0.14000000000000001</v>
      </c>
      <c r="M53" s="139" t="s">
        <v>558</v>
      </c>
      <c r="N53" s="423">
        <f t="shared" si="296"/>
        <v>884290.4</v>
      </c>
      <c r="O53" s="326">
        <v>1800000</v>
      </c>
      <c r="P53" s="326">
        <f t="shared" si="13"/>
        <v>0</v>
      </c>
      <c r="Q53" s="326">
        <f t="shared" si="222"/>
        <v>-223605.3</v>
      </c>
      <c r="R53" s="716">
        <f t="shared" si="223"/>
        <v>-223605.3</v>
      </c>
      <c r="S53" s="326">
        <f t="shared" si="297"/>
        <v>-2023605.3</v>
      </c>
      <c r="T53" s="137">
        <f t="shared" si="298"/>
        <v>-0.12422516666666666</v>
      </c>
      <c r="U53" s="326">
        <f t="shared" si="299"/>
        <v>0</v>
      </c>
      <c r="V53" s="332">
        <v>1800000</v>
      </c>
      <c r="W53" s="140">
        <f t="shared" si="19"/>
        <v>0</v>
      </c>
      <c r="X53" s="326">
        <f t="shared" si="224"/>
        <v>249018</v>
      </c>
      <c r="Y53" s="717">
        <f t="shared" si="225"/>
        <v>249018</v>
      </c>
      <c r="Z53" s="123">
        <f t="shared" si="301"/>
        <v>-1550982</v>
      </c>
      <c r="AA53" s="137">
        <f t="shared" si="302"/>
        <v>0.13834333333333335</v>
      </c>
      <c r="AB53" s="326">
        <v>1800000</v>
      </c>
      <c r="AC53" s="326">
        <v>1800000</v>
      </c>
      <c r="AD53" s="326">
        <f t="shared" si="25"/>
        <v>0</v>
      </c>
      <c r="AE53" s="326">
        <f t="shared" si="226"/>
        <v>270817.05</v>
      </c>
      <c r="AF53" s="716">
        <f t="shared" si="227"/>
        <v>270817.05</v>
      </c>
      <c r="AG53" s="326">
        <f t="shared" si="28"/>
        <v>-1529182.95</v>
      </c>
      <c r="AH53" s="137">
        <f t="shared" si="287"/>
        <v>0.15045391666666666</v>
      </c>
      <c r="AI53" s="332">
        <f t="shared" si="30"/>
        <v>5400000</v>
      </c>
      <c r="AJ53" s="140">
        <f t="shared" si="228"/>
        <v>3183237.78</v>
      </c>
      <c r="AK53" s="326">
        <f t="shared" si="32"/>
        <v>0</v>
      </c>
      <c r="AL53" s="326">
        <f t="shared" ref="AL53:AM53" si="341">SUM(AE53,X53,Q53)</f>
        <v>296229.75</v>
      </c>
      <c r="AM53" s="326">
        <f t="shared" si="341"/>
        <v>296229.75</v>
      </c>
      <c r="AN53" s="326">
        <f t="shared" si="70"/>
        <v>-5103770.25</v>
      </c>
      <c r="AO53" s="413">
        <f t="shared" si="79"/>
        <v>9.3059259305473568E-2</v>
      </c>
      <c r="AP53" s="423">
        <f t="shared" si="305"/>
        <v>1818327.59</v>
      </c>
      <c r="AQ53" s="326">
        <f t="shared" si="36"/>
        <v>0</v>
      </c>
      <c r="AR53" s="326">
        <f t="shared" si="230"/>
        <v>609691.39</v>
      </c>
      <c r="AS53" s="333">
        <f t="shared" si="231"/>
        <v>609691.39</v>
      </c>
      <c r="AT53" s="434">
        <f t="shared" si="306"/>
        <v>0</v>
      </c>
      <c r="AU53" s="140">
        <f t="shared" si="40"/>
        <v>0</v>
      </c>
      <c r="AV53" s="326">
        <f t="shared" si="232"/>
        <v>0</v>
      </c>
      <c r="AW53" s="333">
        <f t="shared" si="233"/>
        <v>0</v>
      </c>
      <c r="AX53" s="125">
        <f t="shared" si="307"/>
        <v>97863.53</v>
      </c>
      <c r="AY53" s="140">
        <f t="shared" si="44"/>
        <v>0</v>
      </c>
      <c r="AZ53" s="326">
        <f t="shared" si="234"/>
        <v>67450.149999999994</v>
      </c>
      <c r="BA53" s="332">
        <f t="shared" si="235"/>
        <v>67450.149999999994</v>
      </c>
      <c r="BB53" s="122">
        <f t="shared" ref="BB53:BD53" si="342">AY53+AU53+AQ53</f>
        <v>0</v>
      </c>
      <c r="BC53" s="326">
        <f t="shared" si="342"/>
        <v>677141.54</v>
      </c>
      <c r="BD53" s="332">
        <f t="shared" si="342"/>
        <v>677141.54</v>
      </c>
      <c r="BE53" s="122">
        <f t="shared" si="48"/>
        <v>0</v>
      </c>
      <c r="BF53" s="326">
        <f t="shared" ref="BF53:BG53" si="343">AL53+BC53</f>
        <v>973371.29</v>
      </c>
      <c r="BG53" s="435">
        <f t="shared" si="343"/>
        <v>973371.29</v>
      </c>
      <c r="BH53" s="125">
        <f t="shared" si="238"/>
        <v>3461078.21</v>
      </c>
      <c r="BI53" s="140">
        <f t="shared" si="51"/>
        <v>0</v>
      </c>
      <c r="BJ53" s="123">
        <f t="shared" si="239"/>
        <v>0</v>
      </c>
      <c r="BK53" s="125">
        <f t="shared" si="240"/>
        <v>0</v>
      </c>
      <c r="BL53" s="123">
        <f t="shared" si="241"/>
        <v>2013505.8</v>
      </c>
      <c r="BM53" s="140">
        <f t="shared" si="55"/>
        <v>0</v>
      </c>
      <c r="BN53" s="326">
        <f t="shared" si="242"/>
        <v>0</v>
      </c>
      <c r="BO53" s="332">
        <f t="shared" si="243"/>
        <v>0</v>
      </c>
      <c r="BP53" s="141">
        <f t="shared" si="244"/>
        <v>360747</v>
      </c>
      <c r="BQ53" s="140">
        <f t="shared" si="59"/>
        <v>0</v>
      </c>
      <c r="BR53" s="326">
        <f t="shared" si="245"/>
        <v>0</v>
      </c>
      <c r="BS53" s="333">
        <f t="shared" si="246"/>
        <v>0</v>
      </c>
      <c r="BT53" s="113">
        <f t="shared" ref="BT53:BV53" si="344">SUM(BQ53,BM53,BI53)</f>
        <v>0</v>
      </c>
      <c r="BU53" s="116">
        <f t="shared" si="344"/>
        <v>0</v>
      </c>
      <c r="BV53" s="117">
        <f t="shared" si="344"/>
        <v>0</v>
      </c>
      <c r="BW53" s="141">
        <f t="shared" si="248"/>
        <v>0</v>
      </c>
      <c r="BX53" s="113">
        <f t="shared" si="64"/>
        <v>0</v>
      </c>
      <c r="BY53" s="114">
        <f t="shared" si="249"/>
        <v>0</v>
      </c>
      <c r="BZ53" s="115">
        <f t="shared" si="250"/>
        <v>0</v>
      </c>
      <c r="CA53" s="123">
        <f t="shared" si="251"/>
        <v>659519.1</v>
      </c>
      <c r="CB53" s="333">
        <f t="shared" si="252"/>
        <v>2523718.6800000002</v>
      </c>
      <c r="CY53" s="294"/>
      <c r="DF53" s="296"/>
    </row>
    <row r="54" spans="1:110" ht="13">
      <c r="A54" s="420">
        <f t="shared" si="210"/>
        <v>112014471</v>
      </c>
      <c r="B54" s="565">
        <f t="shared" si="211"/>
        <v>31</v>
      </c>
      <c r="C54" s="558">
        <f t="shared" si="212"/>
        <v>0.1</v>
      </c>
      <c r="D54" s="558">
        <f t="shared" si="213"/>
        <v>0.23</v>
      </c>
      <c r="E54" s="715">
        <f t="shared" si="214"/>
        <v>0</v>
      </c>
      <c r="F54" s="701">
        <f t="shared" si="215"/>
        <v>18</v>
      </c>
      <c r="G54" s="700" t="str">
        <f t="shared" si="216"/>
        <v>Lista</v>
      </c>
      <c r="H54" s="700">
        <f t="shared" si="217"/>
        <v>0.23</v>
      </c>
      <c r="I54" s="700">
        <f t="shared" si="218"/>
        <v>0</v>
      </c>
      <c r="J54" s="547">
        <f t="shared" si="219"/>
        <v>69</v>
      </c>
      <c r="K54" s="699" t="str">
        <f t="shared" si="220"/>
        <v>Lista</v>
      </c>
      <c r="L54" s="702">
        <f t="shared" si="221"/>
        <v>0.14000000000000001</v>
      </c>
      <c r="M54" s="139" t="s">
        <v>559</v>
      </c>
      <c r="N54" s="423">
        <f t="shared" si="296"/>
        <v>0</v>
      </c>
      <c r="O54" s="326">
        <v>1800000</v>
      </c>
      <c r="P54" s="326">
        <f t="shared" si="13"/>
        <v>162188.27999999997</v>
      </c>
      <c r="Q54" s="326">
        <f t="shared" si="222"/>
        <v>440087.66</v>
      </c>
      <c r="R54" s="716">
        <f t="shared" si="223"/>
        <v>602275.93999999994</v>
      </c>
      <c r="S54" s="326">
        <f t="shared" si="297"/>
        <v>-1197724.06</v>
      </c>
      <c r="T54" s="137">
        <f t="shared" si="298"/>
        <v>0.3345977444444444</v>
      </c>
      <c r="U54" s="326">
        <f t="shared" si="299"/>
        <v>0</v>
      </c>
      <c r="V54" s="332">
        <v>1800000</v>
      </c>
      <c r="W54" s="140">
        <f t="shared" si="19"/>
        <v>60256.800000000047</v>
      </c>
      <c r="X54" s="326">
        <f t="shared" si="224"/>
        <v>871024.59</v>
      </c>
      <c r="Y54" s="717">
        <f t="shared" si="225"/>
        <v>931281.39</v>
      </c>
      <c r="Z54" s="123">
        <f t="shared" si="301"/>
        <v>-868718.61</v>
      </c>
      <c r="AA54" s="137">
        <f t="shared" si="302"/>
        <v>0.51737854999999999</v>
      </c>
      <c r="AB54" s="326">
        <v>1800000</v>
      </c>
      <c r="AC54" s="326">
        <v>1800000</v>
      </c>
      <c r="AD54" s="326">
        <f t="shared" si="25"/>
        <v>0</v>
      </c>
      <c r="AE54" s="326">
        <f t="shared" si="226"/>
        <v>650613.56999999995</v>
      </c>
      <c r="AF54" s="716">
        <f t="shared" si="227"/>
        <v>650613.56999999995</v>
      </c>
      <c r="AG54" s="326">
        <f t="shared" si="28"/>
        <v>-1149386.4300000002</v>
      </c>
      <c r="AH54" s="137">
        <f t="shared" si="287"/>
        <v>0.36145198333333328</v>
      </c>
      <c r="AI54" s="332">
        <f t="shared" si="30"/>
        <v>5400000</v>
      </c>
      <c r="AJ54" s="140">
        <f t="shared" si="228"/>
        <v>2274507.96</v>
      </c>
      <c r="AK54" s="326">
        <f t="shared" si="32"/>
        <v>222445.08000000007</v>
      </c>
      <c r="AL54" s="326">
        <f t="shared" ref="AL54:AM54" si="345">SUM(AE54,X54,Q54)</f>
        <v>1961725.8199999998</v>
      </c>
      <c r="AM54" s="326">
        <f t="shared" si="345"/>
        <v>2184170.9</v>
      </c>
      <c r="AN54" s="326">
        <f t="shared" si="70"/>
        <v>-3215829.1</v>
      </c>
      <c r="AO54" s="413">
        <f t="shared" si="79"/>
        <v>0.96028281211203148</v>
      </c>
      <c r="AP54" s="423">
        <f t="shared" si="305"/>
        <v>0</v>
      </c>
      <c r="AQ54" s="326">
        <f t="shared" si="36"/>
        <v>16147.529999999999</v>
      </c>
      <c r="AR54" s="326">
        <f t="shared" si="230"/>
        <v>139045.74</v>
      </c>
      <c r="AS54" s="333">
        <f t="shared" si="231"/>
        <v>155193.26999999999</v>
      </c>
      <c r="AT54" s="422">
        <f t="shared" si="306"/>
        <v>0</v>
      </c>
      <c r="AU54" s="140">
        <f t="shared" si="40"/>
        <v>0</v>
      </c>
      <c r="AV54" s="326">
        <f t="shared" si="232"/>
        <v>440750.2</v>
      </c>
      <c r="AW54" s="333">
        <f t="shared" si="233"/>
        <v>440750.2</v>
      </c>
      <c r="AX54" s="125">
        <f t="shared" si="307"/>
        <v>182568.38</v>
      </c>
      <c r="AY54" s="140">
        <f t="shared" si="44"/>
        <v>0</v>
      </c>
      <c r="AZ54" s="326">
        <f t="shared" si="234"/>
        <v>277995.75</v>
      </c>
      <c r="BA54" s="332">
        <f t="shared" si="235"/>
        <v>277995.75</v>
      </c>
      <c r="BB54" s="122">
        <f t="shared" ref="BB54:BD54" si="346">AY54+AU54+AQ54</f>
        <v>16147.529999999999</v>
      </c>
      <c r="BC54" s="326">
        <f t="shared" si="346"/>
        <v>857791.69</v>
      </c>
      <c r="BD54" s="332">
        <f t="shared" si="346"/>
        <v>873939.22</v>
      </c>
      <c r="BE54" s="122">
        <f t="shared" si="48"/>
        <v>238592.61000000007</v>
      </c>
      <c r="BF54" s="326">
        <f t="shared" ref="BF54:BG54" si="347">AL54+BC54</f>
        <v>2819517.51</v>
      </c>
      <c r="BG54" s="435">
        <f t="shared" si="347"/>
        <v>3058110.12</v>
      </c>
      <c r="BH54" s="125">
        <f t="shared" si="238"/>
        <v>392647.56</v>
      </c>
      <c r="BI54" s="140">
        <f t="shared" si="51"/>
        <v>0</v>
      </c>
      <c r="BJ54" s="123">
        <f t="shared" si="239"/>
        <v>107494.39999999999</v>
      </c>
      <c r="BK54" s="125">
        <f t="shared" si="240"/>
        <v>107494.39999999999</v>
      </c>
      <c r="BL54" s="123">
        <f t="shared" si="241"/>
        <v>862363.64</v>
      </c>
      <c r="BM54" s="140">
        <f t="shared" si="55"/>
        <v>30128.400000000023</v>
      </c>
      <c r="BN54" s="326">
        <f t="shared" si="242"/>
        <v>871522.36</v>
      </c>
      <c r="BO54" s="332">
        <f t="shared" si="243"/>
        <v>901650.76</v>
      </c>
      <c r="BP54" s="141">
        <f t="shared" si="244"/>
        <v>274269.82</v>
      </c>
      <c r="BQ54" s="140">
        <f t="shared" si="59"/>
        <v>195331.59000000003</v>
      </c>
      <c r="BR54" s="326">
        <f t="shared" si="245"/>
        <v>334367.69</v>
      </c>
      <c r="BS54" s="333">
        <f t="shared" si="246"/>
        <v>529699.28</v>
      </c>
      <c r="BT54" s="113">
        <f t="shared" ref="BT54:BV54" si="348">SUM(BQ54,BM54,BI54)</f>
        <v>225459.99000000005</v>
      </c>
      <c r="BU54" s="116">
        <f t="shared" si="348"/>
        <v>1313384.45</v>
      </c>
      <c r="BV54" s="117">
        <f t="shared" si="348"/>
        <v>1538844.44</v>
      </c>
      <c r="BW54" s="141">
        <f t="shared" si="248"/>
        <v>346193.34</v>
      </c>
      <c r="BX54" s="113">
        <f t="shared" si="64"/>
        <v>0</v>
      </c>
      <c r="BY54" s="114">
        <f t="shared" si="249"/>
        <v>562978.9</v>
      </c>
      <c r="BZ54" s="115">
        <f t="shared" si="250"/>
        <v>562978.9</v>
      </c>
      <c r="CA54" s="123">
        <f t="shared" si="251"/>
        <v>1188507.6100000001</v>
      </c>
      <c r="CB54" s="333">
        <f t="shared" si="252"/>
        <v>739807.01</v>
      </c>
      <c r="CY54" s="294"/>
      <c r="DF54" s="296"/>
    </row>
    <row r="55" spans="1:110" ht="13">
      <c r="A55" s="420">
        <f t="shared" si="210"/>
        <v>112014472</v>
      </c>
      <c r="B55" s="565">
        <f t="shared" si="211"/>
        <v>31</v>
      </c>
      <c r="C55" s="558">
        <f t="shared" si="212"/>
        <v>0.1</v>
      </c>
      <c r="D55" s="558">
        <f t="shared" si="213"/>
        <v>0.23</v>
      </c>
      <c r="E55" s="715">
        <f t="shared" si="214"/>
        <v>0</v>
      </c>
      <c r="F55" s="701">
        <f t="shared" si="215"/>
        <v>18</v>
      </c>
      <c r="G55" s="700" t="str">
        <f t="shared" si="216"/>
        <v>Lista</v>
      </c>
      <c r="H55" s="700">
        <f t="shared" si="217"/>
        <v>0.23</v>
      </c>
      <c r="I55" s="700">
        <f t="shared" si="218"/>
        <v>0</v>
      </c>
      <c r="J55" s="547">
        <f t="shared" si="219"/>
        <v>69</v>
      </c>
      <c r="K55" s="699" t="str">
        <f t="shared" si="220"/>
        <v>Lista</v>
      </c>
      <c r="L55" s="702">
        <f t="shared" si="221"/>
        <v>0.14000000000000001</v>
      </c>
      <c r="M55" s="139" t="s">
        <v>560</v>
      </c>
      <c r="N55" s="423">
        <f t="shared" si="296"/>
        <v>0</v>
      </c>
      <c r="O55" s="326">
        <v>1800000</v>
      </c>
      <c r="P55" s="326" t="e">
        <f t="shared" si="13"/>
        <v>#VALUE!</v>
      </c>
      <c r="Q55" s="326" t="str">
        <f t="shared" si="222"/>
        <v/>
      </c>
      <c r="R55" s="716">
        <f t="shared" si="223"/>
        <v>0</v>
      </c>
      <c r="S55" s="326">
        <f t="shared" si="297"/>
        <v>-1800000</v>
      </c>
      <c r="T55" s="137">
        <f t="shared" si="298"/>
        <v>0</v>
      </c>
      <c r="U55" s="326">
        <f t="shared" si="299"/>
        <v>0</v>
      </c>
      <c r="V55" s="332">
        <v>1800000</v>
      </c>
      <c r="W55" s="140" t="e">
        <f t="shared" si="19"/>
        <v>#VALUE!</v>
      </c>
      <c r="X55" s="326" t="str">
        <f t="shared" si="224"/>
        <v/>
      </c>
      <c r="Y55" s="717">
        <f t="shared" si="225"/>
        <v>0</v>
      </c>
      <c r="Z55" s="123">
        <f t="shared" si="301"/>
        <v>-1800000</v>
      </c>
      <c r="AA55" s="137">
        <f t="shared" si="302"/>
        <v>0</v>
      </c>
      <c r="AB55" s="326">
        <f t="shared" ref="AB55:AB64" si="349">IFERROR(VLOOKUP(M55,LAGE24,5,FALSE),"")</f>
        <v>0</v>
      </c>
      <c r="AC55" s="326">
        <v>1800000</v>
      </c>
      <c r="AD55" s="326" t="e">
        <f t="shared" si="25"/>
        <v>#VALUE!</v>
      </c>
      <c r="AE55" s="326" t="str">
        <f t="shared" si="226"/>
        <v/>
      </c>
      <c r="AF55" s="716">
        <f t="shared" si="227"/>
        <v>0</v>
      </c>
      <c r="AG55" s="326">
        <f t="shared" si="28"/>
        <v>-1800000</v>
      </c>
      <c r="AH55" s="137">
        <f t="shared" si="287"/>
        <v>0</v>
      </c>
      <c r="AI55" s="332">
        <f t="shared" si="30"/>
        <v>5400000</v>
      </c>
      <c r="AJ55" s="140" t="str">
        <f t="shared" si="228"/>
        <v>0</v>
      </c>
      <c r="AK55" s="326">
        <f t="shared" si="32"/>
        <v>0</v>
      </c>
      <c r="AL55" s="326">
        <f t="shared" ref="AL55:AM55" si="350">SUM(AE55,X55,Q55)</f>
        <v>0</v>
      </c>
      <c r="AM55" s="326">
        <f t="shared" si="350"/>
        <v>0</v>
      </c>
      <c r="AN55" s="326">
        <f t="shared" si="70"/>
        <v>-5400000</v>
      </c>
      <c r="AO55" s="413" t="str">
        <f t="shared" si="79"/>
        <v/>
      </c>
      <c r="AP55" s="423">
        <f t="shared" si="305"/>
        <v>0</v>
      </c>
      <c r="AQ55" s="326" t="e">
        <f t="shared" si="36"/>
        <v>#VALUE!</v>
      </c>
      <c r="AR55" s="326" t="str">
        <f t="shared" si="230"/>
        <v/>
      </c>
      <c r="AS55" s="333">
        <f t="shared" si="231"/>
        <v>0</v>
      </c>
      <c r="AT55" s="422">
        <f t="shared" si="306"/>
        <v>0</v>
      </c>
      <c r="AU55" s="140" t="e">
        <f t="shared" si="40"/>
        <v>#VALUE!</v>
      </c>
      <c r="AV55" s="326" t="str">
        <f t="shared" si="232"/>
        <v/>
      </c>
      <c r="AW55" s="333">
        <f t="shared" si="233"/>
        <v>436318.5</v>
      </c>
      <c r="AX55" s="125">
        <f t="shared" si="307"/>
        <v>36234.97</v>
      </c>
      <c r="AY55" s="140" t="e">
        <f t="shared" si="44"/>
        <v>#VALUE!</v>
      </c>
      <c r="AZ55" s="326" t="str">
        <f t="shared" si="234"/>
        <v/>
      </c>
      <c r="BA55" s="332">
        <f t="shared" si="235"/>
        <v>0</v>
      </c>
      <c r="BB55" s="122" t="e">
        <f t="shared" ref="BB55:BD55" si="351">AY55+AU55+AQ55</f>
        <v>#VALUE!</v>
      </c>
      <c r="BC55" s="326" t="e">
        <f t="shared" si="351"/>
        <v>#VALUE!</v>
      </c>
      <c r="BD55" s="332">
        <f t="shared" si="351"/>
        <v>436318.5</v>
      </c>
      <c r="BE55" s="122" t="e">
        <f t="shared" si="48"/>
        <v>#VALUE!</v>
      </c>
      <c r="BF55" s="326" t="e">
        <f t="shared" ref="BF55:BG55" si="352">AL55+BC55</f>
        <v>#VALUE!</v>
      </c>
      <c r="BG55" s="435">
        <f t="shared" si="352"/>
        <v>436318.5</v>
      </c>
      <c r="BH55" s="125">
        <f t="shared" si="238"/>
        <v>29887.65</v>
      </c>
      <c r="BI55" s="140" t="e">
        <f t="shared" si="51"/>
        <v>#VALUE!</v>
      </c>
      <c r="BJ55" s="123" t="str">
        <f t="shared" si="239"/>
        <v/>
      </c>
      <c r="BK55" s="125">
        <f t="shared" si="240"/>
        <v>109555.38</v>
      </c>
      <c r="BL55" s="123">
        <f t="shared" si="241"/>
        <v>0</v>
      </c>
      <c r="BM55" s="140" t="e">
        <f t="shared" si="55"/>
        <v>#VALUE!</v>
      </c>
      <c r="BN55" s="326" t="str">
        <f t="shared" si="242"/>
        <v/>
      </c>
      <c r="BO55" s="332">
        <f t="shared" si="243"/>
        <v>0</v>
      </c>
      <c r="BP55" s="141">
        <f t="shared" si="244"/>
        <v>0</v>
      </c>
      <c r="BQ55" s="140" t="e">
        <f t="shared" si="59"/>
        <v>#VALUE!</v>
      </c>
      <c r="BR55" s="326" t="str">
        <f t="shared" si="245"/>
        <v/>
      </c>
      <c r="BS55" s="333">
        <f t="shared" si="246"/>
        <v>0</v>
      </c>
      <c r="BT55" s="113" t="e">
        <f t="shared" ref="BT55:BV55" si="353">SUM(BQ55,BM55,BI55)</f>
        <v>#VALUE!</v>
      </c>
      <c r="BU55" s="116">
        <f t="shared" si="353"/>
        <v>0</v>
      </c>
      <c r="BV55" s="117">
        <f t="shared" si="353"/>
        <v>109555.38</v>
      </c>
      <c r="BW55" s="141">
        <f t="shared" si="248"/>
        <v>0</v>
      </c>
      <c r="BX55" s="113" t="e">
        <f t="shared" si="64"/>
        <v>#VALUE!</v>
      </c>
      <c r="BY55" s="114" t="str">
        <f t="shared" si="249"/>
        <v/>
      </c>
      <c r="BZ55" s="115">
        <f t="shared" si="250"/>
        <v>0</v>
      </c>
      <c r="CA55" s="123">
        <f t="shared" si="251"/>
        <v>0</v>
      </c>
      <c r="CB55" s="333">
        <f t="shared" si="252"/>
        <v>0</v>
      </c>
      <c r="CY55" s="294"/>
      <c r="DF55" s="296"/>
    </row>
    <row r="56" spans="1:110" ht="13">
      <c r="A56" s="420">
        <f t="shared" si="210"/>
        <v>112014136</v>
      </c>
      <c r="B56" s="565">
        <f t="shared" si="211"/>
        <v>31</v>
      </c>
      <c r="C56" s="558">
        <f t="shared" si="212"/>
        <v>0.1</v>
      </c>
      <c r="D56" s="558">
        <f t="shared" si="213"/>
        <v>0.23</v>
      </c>
      <c r="E56" s="715">
        <f t="shared" si="214"/>
        <v>0</v>
      </c>
      <c r="F56" s="701">
        <f t="shared" si="215"/>
        <v>18</v>
      </c>
      <c r="G56" s="700" t="str">
        <f t="shared" si="216"/>
        <v>Lista</v>
      </c>
      <c r="H56" s="700">
        <f t="shared" si="217"/>
        <v>0.23</v>
      </c>
      <c r="I56" s="700">
        <f t="shared" si="218"/>
        <v>0</v>
      </c>
      <c r="J56" s="547">
        <f t="shared" si="219"/>
        <v>69</v>
      </c>
      <c r="K56" s="699" t="str">
        <f t="shared" si="220"/>
        <v>Lista</v>
      </c>
      <c r="L56" s="702">
        <f t="shared" si="221"/>
        <v>0.14000000000000001</v>
      </c>
      <c r="M56" s="139" t="s">
        <v>561</v>
      </c>
      <c r="N56" s="423">
        <f t="shared" si="296"/>
        <v>754352.53</v>
      </c>
      <c r="O56" s="326">
        <v>1800000</v>
      </c>
      <c r="P56" s="326">
        <f t="shared" si="13"/>
        <v>0</v>
      </c>
      <c r="Q56" s="326">
        <f t="shared" si="222"/>
        <v>889478.59</v>
      </c>
      <c r="R56" s="716">
        <f t="shared" si="223"/>
        <v>889478.59</v>
      </c>
      <c r="S56" s="326">
        <f t="shared" si="297"/>
        <v>-910521.41</v>
      </c>
      <c r="T56" s="137">
        <f t="shared" si="298"/>
        <v>0.4941547722222222</v>
      </c>
      <c r="U56" s="326">
        <f t="shared" si="299"/>
        <v>453509.6</v>
      </c>
      <c r="V56" s="332">
        <v>1800000</v>
      </c>
      <c r="W56" s="140">
        <f t="shared" si="19"/>
        <v>308601.89999999991</v>
      </c>
      <c r="X56" s="326">
        <f t="shared" si="224"/>
        <v>2050140.25</v>
      </c>
      <c r="Y56" s="717">
        <f t="shared" si="225"/>
        <v>2358742.15</v>
      </c>
      <c r="Z56" s="123">
        <f t="shared" si="301"/>
        <v>558742.14999999991</v>
      </c>
      <c r="AA56" s="137">
        <f t="shared" si="302"/>
        <v>1.3104123055555554</v>
      </c>
      <c r="AB56" s="326">
        <f t="shared" si="349"/>
        <v>760093.36</v>
      </c>
      <c r="AC56" s="326">
        <v>1800000</v>
      </c>
      <c r="AD56" s="326">
        <f t="shared" si="25"/>
        <v>592604.09999999986</v>
      </c>
      <c r="AE56" s="326">
        <f t="shared" si="226"/>
        <v>1420453.03</v>
      </c>
      <c r="AF56" s="716">
        <f t="shared" si="227"/>
        <v>2013057.13</v>
      </c>
      <c r="AG56" s="326">
        <f t="shared" si="28"/>
        <v>213057.12999999989</v>
      </c>
      <c r="AH56" s="137">
        <f t="shared" si="287"/>
        <v>1.1183650722222223</v>
      </c>
      <c r="AI56" s="332">
        <f t="shared" si="30"/>
        <v>5400000</v>
      </c>
      <c r="AJ56" s="140">
        <f t="shared" si="228"/>
        <v>2353521.2400000002</v>
      </c>
      <c r="AK56" s="326">
        <f t="shared" si="32"/>
        <v>901205.99999999907</v>
      </c>
      <c r="AL56" s="326">
        <f t="shared" ref="AL56:AM56" si="354">SUM(AE56,X56,Q56)</f>
        <v>4360071.87</v>
      </c>
      <c r="AM56" s="326">
        <f t="shared" si="354"/>
        <v>5261277.8699999992</v>
      </c>
      <c r="AN56" s="326">
        <f t="shared" si="70"/>
        <v>-138722.13000000082</v>
      </c>
      <c r="AO56" s="413">
        <f t="shared" si="79"/>
        <v>2.2354919856172613</v>
      </c>
      <c r="AP56" s="423">
        <f t="shared" si="305"/>
        <v>536747.19999999995</v>
      </c>
      <c r="AQ56" s="326">
        <f t="shared" si="36"/>
        <v>0</v>
      </c>
      <c r="AR56" s="326">
        <f t="shared" si="230"/>
        <v>867801.63</v>
      </c>
      <c r="AS56" s="333">
        <f t="shared" si="231"/>
        <v>867801.63</v>
      </c>
      <c r="AT56" s="434">
        <f t="shared" si="306"/>
        <v>173368.44</v>
      </c>
      <c r="AU56" s="140">
        <f t="shared" si="40"/>
        <v>0</v>
      </c>
      <c r="AV56" s="326">
        <f t="shared" si="232"/>
        <v>1298043.29</v>
      </c>
      <c r="AW56" s="333">
        <f t="shared" si="233"/>
        <v>1298043.29</v>
      </c>
      <c r="AX56" s="125">
        <f t="shared" si="307"/>
        <v>943060.4</v>
      </c>
      <c r="AY56" s="140">
        <f t="shared" si="44"/>
        <v>0</v>
      </c>
      <c r="AZ56" s="326">
        <f t="shared" si="234"/>
        <v>1361693.26</v>
      </c>
      <c r="BA56" s="332">
        <f t="shared" si="235"/>
        <v>1361693.26</v>
      </c>
      <c r="BB56" s="122">
        <f t="shared" ref="BB56:BD56" si="355">AY56+AU56+AQ56</f>
        <v>0</v>
      </c>
      <c r="BC56" s="326">
        <f t="shared" si="355"/>
        <v>3527538.1799999997</v>
      </c>
      <c r="BD56" s="332">
        <f t="shared" si="355"/>
        <v>3527538.1799999997</v>
      </c>
      <c r="BE56" s="122">
        <f t="shared" si="48"/>
        <v>901205.99999999907</v>
      </c>
      <c r="BF56" s="326">
        <f t="shared" ref="BF56:BG56" si="356">AL56+BC56</f>
        <v>7887610.0499999998</v>
      </c>
      <c r="BG56" s="435">
        <f t="shared" si="356"/>
        <v>8788816.0499999989</v>
      </c>
      <c r="BH56" s="125">
        <f t="shared" si="238"/>
        <v>975537.6</v>
      </c>
      <c r="BI56" s="140">
        <f t="shared" si="51"/>
        <v>0</v>
      </c>
      <c r="BJ56" s="123">
        <f t="shared" si="239"/>
        <v>2330690.98</v>
      </c>
      <c r="BK56" s="125">
        <f t="shared" si="240"/>
        <v>2330690.98</v>
      </c>
      <c r="BL56" s="123">
        <f t="shared" si="241"/>
        <v>1236099.1200000001</v>
      </c>
      <c r="BM56" s="140">
        <f t="shared" si="55"/>
        <v>0</v>
      </c>
      <c r="BN56" s="326">
        <f t="shared" si="242"/>
        <v>1277838.49</v>
      </c>
      <c r="BO56" s="332">
        <f t="shared" si="243"/>
        <v>1277838.49</v>
      </c>
      <c r="BP56" s="141">
        <f t="shared" si="244"/>
        <v>1085017.82</v>
      </c>
      <c r="BQ56" s="140">
        <f t="shared" si="59"/>
        <v>0</v>
      </c>
      <c r="BR56" s="326">
        <f t="shared" si="245"/>
        <v>1473124.73</v>
      </c>
      <c r="BS56" s="333">
        <f t="shared" si="246"/>
        <v>1473124.73</v>
      </c>
      <c r="BT56" s="113">
        <f t="shared" ref="BT56:BV56" si="357">SUM(BQ56,BM56,BI56)</f>
        <v>0</v>
      </c>
      <c r="BU56" s="116">
        <f t="shared" si="357"/>
        <v>5081654.1999999993</v>
      </c>
      <c r="BV56" s="117">
        <f t="shared" si="357"/>
        <v>5081654.1999999993</v>
      </c>
      <c r="BW56" s="141">
        <f t="shared" si="248"/>
        <v>2240592.9300000002</v>
      </c>
      <c r="BX56" s="113">
        <f t="shared" si="64"/>
        <v>0</v>
      </c>
      <c r="BY56" s="114">
        <f t="shared" si="249"/>
        <v>1514941.74</v>
      </c>
      <c r="BZ56" s="115">
        <f t="shared" si="250"/>
        <v>1514941.74</v>
      </c>
      <c r="CA56" s="123">
        <f t="shared" si="251"/>
        <v>112928.31</v>
      </c>
      <c r="CB56" s="333">
        <f t="shared" si="252"/>
        <v>0</v>
      </c>
      <c r="CY56" s="294"/>
      <c r="DF56" s="296"/>
    </row>
    <row r="57" spans="1:110" ht="13">
      <c r="A57" s="420">
        <f t="shared" si="210"/>
        <v>112014643</v>
      </c>
      <c r="B57" s="565">
        <f t="shared" si="211"/>
        <v>31</v>
      </c>
      <c r="C57" s="558">
        <f t="shared" si="212"/>
        <v>0.1</v>
      </c>
      <c r="D57" s="558">
        <f t="shared" si="213"/>
        <v>0.23</v>
      </c>
      <c r="E57" s="715">
        <f t="shared" si="214"/>
        <v>0</v>
      </c>
      <c r="F57" s="701">
        <f t="shared" si="215"/>
        <v>18</v>
      </c>
      <c r="G57" s="700" t="str">
        <f t="shared" si="216"/>
        <v>Lista</v>
      </c>
      <c r="H57" s="700">
        <f t="shared" si="217"/>
        <v>0.23</v>
      </c>
      <c r="I57" s="700">
        <f t="shared" si="218"/>
        <v>0</v>
      </c>
      <c r="J57" s="547">
        <f t="shared" si="219"/>
        <v>69</v>
      </c>
      <c r="K57" s="699" t="str">
        <f t="shared" si="220"/>
        <v>Lista</v>
      </c>
      <c r="L57" s="702">
        <f t="shared" si="221"/>
        <v>0.14000000000000001</v>
      </c>
      <c r="M57" s="139" t="s">
        <v>562</v>
      </c>
      <c r="N57" s="423" t="str">
        <f t="shared" si="296"/>
        <v/>
      </c>
      <c r="O57" s="326">
        <v>2500000</v>
      </c>
      <c r="P57" s="326">
        <f t="shared" si="13"/>
        <v>241257.40000000037</v>
      </c>
      <c r="Q57" s="326">
        <f t="shared" si="222"/>
        <v>2885277.32</v>
      </c>
      <c r="R57" s="716">
        <f t="shared" si="223"/>
        <v>3126534.72</v>
      </c>
      <c r="S57" s="326">
        <f t="shared" si="297"/>
        <v>626534.7200000002</v>
      </c>
      <c r="T57" s="137">
        <f t="shared" si="298"/>
        <v>1.2506138880000002</v>
      </c>
      <c r="U57" s="326" t="str">
        <f t="shared" si="299"/>
        <v/>
      </c>
      <c r="V57" s="332">
        <v>2500000</v>
      </c>
      <c r="W57" s="140">
        <f t="shared" si="19"/>
        <v>325143.54000000004</v>
      </c>
      <c r="X57" s="326">
        <f t="shared" si="224"/>
        <v>3487376.51</v>
      </c>
      <c r="Y57" s="717">
        <f t="shared" si="225"/>
        <v>3812520.05</v>
      </c>
      <c r="Z57" s="123">
        <f t="shared" si="301"/>
        <v>1312520.0499999998</v>
      </c>
      <c r="AA57" s="137">
        <f t="shared" si="302"/>
        <v>1.52500802</v>
      </c>
      <c r="AB57" s="326" t="str">
        <f t="shared" si="349"/>
        <v/>
      </c>
      <c r="AC57" s="326">
        <v>2500000</v>
      </c>
      <c r="AD57" s="326">
        <f t="shared" si="25"/>
        <v>352501.30999999959</v>
      </c>
      <c r="AE57" s="326">
        <f t="shared" si="226"/>
        <v>4002555.74</v>
      </c>
      <c r="AF57" s="716">
        <f t="shared" si="227"/>
        <v>4355057.05</v>
      </c>
      <c r="AG57" s="326">
        <f t="shared" si="28"/>
        <v>1855057.0499999998</v>
      </c>
      <c r="AH57" s="137">
        <f t="shared" si="287"/>
        <v>1.7420228199999999</v>
      </c>
      <c r="AI57" s="332">
        <f t="shared" si="30"/>
        <v>7500000</v>
      </c>
      <c r="AJ57" s="140" t="str">
        <f t="shared" si="228"/>
        <v>0</v>
      </c>
      <c r="AK57" s="326">
        <f t="shared" si="32"/>
        <v>918902.25</v>
      </c>
      <c r="AL57" s="326">
        <f t="shared" ref="AL57:AM57" si="358">SUM(AE57,X57,Q57)</f>
        <v>10375209.57</v>
      </c>
      <c r="AM57" s="326">
        <f t="shared" si="358"/>
        <v>11294111.82</v>
      </c>
      <c r="AN57" s="326">
        <f t="shared" si="70"/>
        <v>3794111.8200000003</v>
      </c>
      <c r="AO57" s="413" t="str">
        <f t="shared" si="79"/>
        <v/>
      </c>
      <c r="AP57" s="423" t="str">
        <f t="shared" si="305"/>
        <v/>
      </c>
      <c r="AQ57" s="326">
        <f t="shared" si="36"/>
        <v>0</v>
      </c>
      <c r="AR57" s="326">
        <f t="shared" si="230"/>
        <v>4694999.3899999997</v>
      </c>
      <c r="AS57" s="333">
        <f t="shared" si="231"/>
        <v>4694999.3899999997</v>
      </c>
      <c r="AT57" s="434" t="str">
        <f t="shared" si="306"/>
        <v/>
      </c>
      <c r="AU57" s="140">
        <f t="shared" si="40"/>
        <v>0</v>
      </c>
      <c r="AV57" s="326">
        <f t="shared" si="232"/>
        <v>1024979.96</v>
      </c>
      <c r="AW57" s="333">
        <f t="shared" si="233"/>
        <v>1024979.96</v>
      </c>
      <c r="AX57" s="125" t="str">
        <f t="shared" si="307"/>
        <v/>
      </c>
      <c r="AY57" s="140">
        <f t="shared" si="44"/>
        <v>409129.02</v>
      </c>
      <c r="AZ57" s="326">
        <f t="shared" si="234"/>
        <v>4037264.23</v>
      </c>
      <c r="BA57" s="332">
        <f t="shared" si="235"/>
        <v>4446393.25</v>
      </c>
      <c r="BB57" s="122">
        <f t="shared" ref="BB57:BD57" si="359">AY57+AU57+AQ57</f>
        <v>409129.02</v>
      </c>
      <c r="BC57" s="326">
        <f t="shared" si="359"/>
        <v>9757243.5799999982</v>
      </c>
      <c r="BD57" s="332">
        <f t="shared" si="359"/>
        <v>10166372.6</v>
      </c>
      <c r="BE57" s="122">
        <f t="shared" si="48"/>
        <v>1328031.27</v>
      </c>
      <c r="BF57" s="326">
        <f t="shared" ref="BF57:BG57" si="360">AL57+BC57</f>
        <v>20132453.149999999</v>
      </c>
      <c r="BG57" s="435">
        <f t="shared" si="360"/>
        <v>21460484.420000002</v>
      </c>
      <c r="BH57" s="125" t="str">
        <f t="shared" si="238"/>
        <v/>
      </c>
      <c r="BI57" s="140">
        <f t="shared" si="51"/>
        <v>0</v>
      </c>
      <c r="BJ57" s="123">
        <f t="shared" si="239"/>
        <v>4120057.79</v>
      </c>
      <c r="BK57" s="125">
        <f t="shared" si="240"/>
        <v>4120057.79</v>
      </c>
      <c r="BL57" s="123" t="str">
        <f t="shared" si="241"/>
        <v/>
      </c>
      <c r="BM57" s="140">
        <f t="shared" si="55"/>
        <v>185787</v>
      </c>
      <c r="BN57" s="326">
        <f t="shared" si="242"/>
        <v>4405073.21</v>
      </c>
      <c r="BO57" s="332">
        <f t="shared" si="243"/>
        <v>4590860.21</v>
      </c>
      <c r="BP57" s="141" t="str">
        <f t="shared" si="244"/>
        <v/>
      </c>
      <c r="BQ57" s="140">
        <f t="shared" si="59"/>
        <v>0</v>
      </c>
      <c r="BR57" s="326">
        <f t="shared" si="245"/>
        <v>5795633.7699999996</v>
      </c>
      <c r="BS57" s="333">
        <f t="shared" si="246"/>
        <v>5795633.7699999996</v>
      </c>
      <c r="BT57" s="113">
        <f t="shared" ref="BT57:BV57" si="361">SUM(BQ57,BM57,BI57)</f>
        <v>185787</v>
      </c>
      <c r="BU57" s="116">
        <f t="shared" si="361"/>
        <v>14320764.77</v>
      </c>
      <c r="BV57" s="117">
        <f t="shared" si="361"/>
        <v>14506551.77</v>
      </c>
      <c r="BW57" s="141" t="str">
        <f t="shared" si="248"/>
        <v/>
      </c>
      <c r="BX57" s="113">
        <f t="shared" si="64"/>
        <v>247225.79999999981</v>
      </c>
      <c r="BY57" s="114">
        <f t="shared" si="249"/>
        <v>1955423.08</v>
      </c>
      <c r="BZ57" s="115">
        <f t="shared" si="250"/>
        <v>2202648.88</v>
      </c>
      <c r="CA57" s="123" t="str">
        <f t="shared" si="251"/>
        <v/>
      </c>
      <c r="CB57" s="333" t="str">
        <f t="shared" si="252"/>
        <v/>
      </c>
      <c r="CY57" s="294"/>
      <c r="DF57" s="296"/>
    </row>
    <row r="58" spans="1:110" ht="13">
      <c r="A58" s="420">
        <f t="shared" si="210"/>
        <v>112014327</v>
      </c>
      <c r="B58" s="565">
        <f t="shared" si="211"/>
        <v>31</v>
      </c>
      <c r="C58" s="558">
        <f t="shared" si="212"/>
        <v>0.1</v>
      </c>
      <c r="D58" s="558">
        <f t="shared" si="213"/>
        <v>0.23</v>
      </c>
      <c r="E58" s="715">
        <f t="shared" si="214"/>
        <v>0</v>
      </c>
      <c r="F58" s="701">
        <f t="shared" si="215"/>
        <v>18</v>
      </c>
      <c r="G58" s="700" t="str">
        <f t="shared" si="216"/>
        <v>Lista</v>
      </c>
      <c r="H58" s="700">
        <f t="shared" si="217"/>
        <v>0.23</v>
      </c>
      <c r="I58" s="700">
        <f t="shared" si="218"/>
        <v>0</v>
      </c>
      <c r="J58" s="547">
        <f t="shared" si="219"/>
        <v>69</v>
      </c>
      <c r="K58" s="699" t="str">
        <f t="shared" si="220"/>
        <v>Lista</v>
      </c>
      <c r="L58" s="702">
        <f t="shared" si="221"/>
        <v>0.14000000000000001</v>
      </c>
      <c r="M58" s="139" t="s">
        <v>563</v>
      </c>
      <c r="N58" s="423">
        <f t="shared" si="296"/>
        <v>166328.74</v>
      </c>
      <c r="O58" s="326">
        <v>1800000</v>
      </c>
      <c r="P58" s="326">
        <f t="shared" si="13"/>
        <v>40958.639999999898</v>
      </c>
      <c r="Q58" s="326">
        <f t="shared" si="222"/>
        <v>1761704.55</v>
      </c>
      <c r="R58" s="716">
        <f t="shared" si="223"/>
        <v>1802663.19</v>
      </c>
      <c r="S58" s="326">
        <f t="shared" si="297"/>
        <v>2663.1899999999441</v>
      </c>
      <c r="T58" s="137">
        <f t="shared" si="298"/>
        <v>1.00147955</v>
      </c>
      <c r="U58" s="326">
        <f t="shared" si="299"/>
        <v>443276.6</v>
      </c>
      <c r="V58" s="332">
        <v>1800000</v>
      </c>
      <c r="W58" s="140">
        <f t="shared" si="19"/>
        <v>331620.83999999997</v>
      </c>
      <c r="X58" s="326">
        <f t="shared" si="224"/>
        <v>441311.87</v>
      </c>
      <c r="Y58" s="717">
        <f t="shared" si="225"/>
        <v>772932.71</v>
      </c>
      <c r="Z58" s="123">
        <f t="shared" si="301"/>
        <v>-1027067.29</v>
      </c>
      <c r="AA58" s="137">
        <f t="shared" si="302"/>
        <v>0.4294070611111111</v>
      </c>
      <c r="AB58" s="326">
        <f t="shared" si="349"/>
        <v>610254.47</v>
      </c>
      <c r="AC58" s="326">
        <v>1800000</v>
      </c>
      <c r="AD58" s="326">
        <f t="shared" si="25"/>
        <v>411528.11</v>
      </c>
      <c r="AE58" s="326">
        <f t="shared" si="226"/>
        <v>1013220.38</v>
      </c>
      <c r="AF58" s="716">
        <f t="shared" si="227"/>
        <v>1424748.49</v>
      </c>
      <c r="AG58" s="326">
        <f t="shared" si="28"/>
        <v>-375251.51</v>
      </c>
      <c r="AH58" s="137">
        <f t="shared" si="287"/>
        <v>0.79152693888888892</v>
      </c>
      <c r="AI58" s="332">
        <f t="shared" si="30"/>
        <v>5400000</v>
      </c>
      <c r="AJ58" s="140">
        <f t="shared" si="228"/>
        <v>3345697.43</v>
      </c>
      <c r="AK58" s="326">
        <f t="shared" si="32"/>
        <v>784107.59000000032</v>
      </c>
      <c r="AL58" s="326">
        <f t="shared" ref="AL58:AM58" si="362">SUM(AE58,X58,Q58)</f>
        <v>3216236.8</v>
      </c>
      <c r="AM58" s="326">
        <f t="shared" si="362"/>
        <v>4000344.39</v>
      </c>
      <c r="AN58" s="326">
        <f t="shared" si="70"/>
        <v>-1399655.6099999999</v>
      </c>
      <c r="AO58" s="413">
        <f t="shared" si="79"/>
        <v>1.1956683094322729</v>
      </c>
      <c r="AP58" s="423">
        <f t="shared" si="305"/>
        <v>1808172.66</v>
      </c>
      <c r="AQ58" s="326">
        <f t="shared" si="36"/>
        <v>0</v>
      </c>
      <c r="AR58" s="326">
        <f t="shared" si="230"/>
        <v>583633.81999999995</v>
      </c>
      <c r="AS58" s="333">
        <f t="shared" si="231"/>
        <v>583633.81999999995</v>
      </c>
      <c r="AT58" s="434">
        <f t="shared" si="306"/>
        <v>691902.29</v>
      </c>
      <c r="AU58" s="140">
        <f t="shared" si="40"/>
        <v>0</v>
      </c>
      <c r="AV58" s="326">
        <f t="shared" si="232"/>
        <v>1544375.33</v>
      </c>
      <c r="AW58" s="333">
        <f t="shared" si="233"/>
        <v>1544375.33</v>
      </c>
      <c r="AX58" s="125">
        <f t="shared" si="307"/>
        <v>705963.79</v>
      </c>
      <c r="AY58" s="140">
        <f t="shared" si="44"/>
        <v>0</v>
      </c>
      <c r="AZ58" s="326">
        <f t="shared" si="234"/>
        <v>1080022.1000000001</v>
      </c>
      <c r="BA58" s="332">
        <f t="shared" si="235"/>
        <v>1080022.1000000001</v>
      </c>
      <c r="BB58" s="122">
        <f t="shared" ref="BB58:BD58" si="363">AY58+AU58+AQ58</f>
        <v>0</v>
      </c>
      <c r="BC58" s="326">
        <f t="shared" si="363"/>
        <v>3208031.25</v>
      </c>
      <c r="BD58" s="332">
        <f t="shared" si="363"/>
        <v>3208031.25</v>
      </c>
      <c r="BE58" s="122">
        <f t="shared" si="48"/>
        <v>784107.59000000032</v>
      </c>
      <c r="BF58" s="326">
        <f t="shared" ref="BF58:BG58" si="364">AL58+BC58</f>
        <v>6424268.0499999998</v>
      </c>
      <c r="BG58" s="435">
        <f t="shared" si="364"/>
        <v>7208375.6400000006</v>
      </c>
      <c r="BH58" s="125">
        <f t="shared" si="238"/>
        <v>791478.12</v>
      </c>
      <c r="BI58" s="140">
        <f t="shared" si="51"/>
        <v>0</v>
      </c>
      <c r="BJ58" s="123">
        <f t="shared" si="239"/>
        <v>2449370.62</v>
      </c>
      <c r="BK58" s="125">
        <f t="shared" si="240"/>
        <v>2449370.62</v>
      </c>
      <c r="BL58" s="123">
        <f t="shared" si="241"/>
        <v>2187633.54</v>
      </c>
      <c r="BM58" s="140">
        <f t="shared" si="55"/>
        <v>0</v>
      </c>
      <c r="BN58" s="326">
        <f t="shared" si="242"/>
        <v>1459154.99</v>
      </c>
      <c r="BO58" s="332">
        <f t="shared" si="243"/>
        <v>1459154.99</v>
      </c>
      <c r="BP58" s="141">
        <f t="shared" si="244"/>
        <v>659912.56000000006</v>
      </c>
      <c r="BQ58" s="140">
        <f t="shared" si="59"/>
        <v>0</v>
      </c>
      <c r="BR58" s="326">
        <f t="shared" si="245"/>
        <v>1177546.76</v>
      </c>
      <c r="BS58" s="333">
        <f t="shared" si="246"/>
        <v>1177546.76</v>
      </c>
      <c r="BT58" s="113">
        <f t="shared" ref="BT58:BV58" si="365">SUM(BQ58,BM58,BI58)</f>
        <v>0</v>
      </c>
      <c r="BU58" s="116">
        <f t="shared" si="365"/>
        <v>5086072.37</v>
      </c>
      <c r="BV58" s="117">
        <f t="shared" si="365"/>
        <v>5086072.37</v>
      </c>
      <c r="BW58" s="141">
        <f t="shared" si="248"/>
        <v>480087.84</v>
      </c>
      <c r="BX58" s="113">
        <f t="shared" si="64"/>
        <v>0</v>
      </c>
      <c r="BY58" s="114">
        <f t="shared" si="249"/>
        <v>1011048.19</v>
      </c>
      <c r="BZ58" s="115">
        <f t="shared" si="250"/>
        <v>1011048.19</v>
      </c>
      <c r="CA58" s="123">
        <f t="shared" si="251"/>
        <v>1212119.54</v>
      </c>
      <c r="CB58" s="333">
        <f t="shared" si="252"/>
        <v>1653490.05</v>
      </c>
      <c r="CY58" s="294"/>
      <c r="DF58" s="296"/>
    </row>
    <row r="59" spans="1:110" ht="13">
      <c r="A59" s="420">
        <f t="shared" si="210"/>
        <v>112014419</v>
      </c>
      <c r="B59" s="565">
        <f t="shared" si="211"/>
        <v>31</v>
      </c>
      <c r="C59" s="558">
        <f t="shared" si="212"/>
        <v>0.1</v>
      </c>
      <c r="D59" s="558">
        <f t="shared" si="213"/>
        <v>0.23</v>
      </c>
      <c r="E59" s="715">
        <f t="shared" si="214"/>
        <v>0</v>
      </c>
      <c r="F59" s="701">
        <f t="shared" si="215"/>
        <v>18</v>
      </c>
      <c r="G59" s="700" t="str">
        <f t="shared" si="216"/>
        <v>Lista</v>
      </c>
      <c r="H59" s="700">
        <f t="shared" si="217"/>
        <v>0.23</v>
      </c>
      <c r="I59" s="700">
        <f t="shared" si="218"/>
        <v>0</v>
      </c>
      <c r="J59" s="547">
        <f t="shared" si="219"/>
        <v>69</v>
      </c>
      <c r="K59" s="699" t="str">
        <f t="shared" si="220"/>
        <v>Lista</v>
      </c>
      <c r="L59" s="702">
        <f t="shared" si="221"/>
        <v>0.14000000000000001</v>
      </c>
      <c r="M59" s="139" t="s">
        <v>564</v>
      </c>
      <c r="N59" s="423">
        <f t="shared" si="296"/>
        <v>0</v>
      </c>
      <c r="O59" s="326">
        <v>1800000</v>
      </c>
      <c r="P59" s="326">
        <f t="shared" si="13"/>
        <v>0</v>
      </c>
      <c r="Q59" s="326">
        <f t="shared" si="222"/>
        <v>0</v>
      </c>
      <c r="R59" s="716">
        <f t="shared" si="223"/>
        <v>0</v>
      </c>
      <c r="S59" s="326">
        <f t="shared" si="297"/>
        <v>-1800000</v>
      </c>
      <c r="T59" s="137">
        <f t="shared" si="298"/>
        <v>0</v>
      </c>
      <c r="U59" s="326">
        <f t="shared" si="299"/>
        <v>0</v>
      </c>
      <c r="V59" s="332">
        <v>1800000</v>
      </c>
      <c r="W59" s="140">
        <f t="shared" si="19"/>
        <v>133986.59999999998</v>
      </c>
      <c r="X59" s="326">
        <f t="shared" si="224"/>
        <v>271827.33</v>
      </c>
      <c r="Y59" s="717">
        <f t="shared" si="225"/>
        <v>405813.93</v>
      </c>
      <c r="Z59" s="123">
        <f t="shared" si="301"/>
        <v>-1394186.07</v>
      </c>
      <c r="AA59" s="137">
        <f t="shared" si="302"/>
        <v>0.22545218333333333</v>
      </c>
      <c r="AB59" s="326">
        <f t="shared" si="349"/>
        <v>0</v>
      </c>
      <c r="AC59" s="326">
        <v>1800000</v>
      </c>
      <c r="AD59" s="326">
        <f t="shared" si="25"/>
        <v>23403.449999999953</v>
      </c>
      <c r="AE59" s="326">
        <f t="shared" si="226"/>
        <v>328189.71000000002</v>
      </c>
      <c r="AF59" s="716">
        <f t="shared" si="227"/>
        <v>351593.16</v>
      </c>
      <c r="AG59" s="326">
        <f t="shared" si="28"/>
        <v>-1448406.84</v>
      </c>
      <c r="AH59" s="137">
        <f t="shared" si="287"/>
        <v>0.19532953333333333</v>
      </c>
      <c r="AI59" s="332">
        <f t="shared" si="30"/>
        <v>5400000</v>
      </c>
      <c r="AJ59" s="140">
        <f t="shared" si="228"/>
        <v>2015135.7</v>
      </c>
      <c r="AK59" s="326">
        <f t="shared" si="32"/>
        <v>157390.04999999993</v>
      </c>
      <c r="AL59" s="326">
        <f t="shared" ref="AL59:AM59" si="366">SUM(AE59,X59,Q59)</f>
        <v>600017.04</v>
      </c>
      <c r="AM59" s="326">
        <f t="shared" si="366"/>
        <v>757407.09</v>
      </c>
      <c r="AN59" s="326">
        <f t="shared" si="70"/>
        <v>-4642592.91</v>
      </c>
      <c r="AO59" s="413">
        <f t="shared" si="79"/>
        <v>0.37585909971224268</v>
      </c>
      <c r="AP59" s="423">
        <f t="shared" si="305"/>
        <v>247290.35</v>
      </c>
      <c r="AQ59" s="326">
        <f t="shared" si="36"/>
        <v>311146.8</v>
      </c>
      <c r="AR59" s="326">
        <f t="shared" si="230"/>
        <v>465374.29</v>
      </c>
      <c r="AS59" s="333">
        <f t="shared" si="231"/>
        <v>776521.09</v>
      </c>
      <c r="AT59" s="434">
        <f t="shared" si="306"/>
        <v>795200.98</v>
      </c>
      <c r="AU59" s="140">
        <f t="shared" si="40"/>
        <v>462405.81999999995</v>
      </c>
      <c r="AV59" s="326">
        <f t="shared" si="232"/>
        <v>504705.51</v>
      </c>
      <c r="AW59" s="333">
        <f t="shared" si="233"/>
        <v>967111.33</v>
      </c>
      <c r="AX59" s="125">
        <f t="shared" si="307"/>
        <v>819497.86</v>
      </c>
      <c r="AY59" s="140">
        <f t="shared" si="44"/>
        <v>103004.58999999997</v>
      </c>
      <c r="AZ59" s="326">
        <f t="shared" si="234"/>
        <v>692713.87</v>
      </c>
      <c r="BA59" s="332">
        <f t="shared" si="235"/>
        <v>795718.46</v>
      </c>
      <c r="BB59" s="122">
        <f t="shared" ref="BB59:BD59" si="367">AY59+AU59+AQ59</f>
        <v>876557.21</v>
      </c>
      <c r="BC59" s="326">
        <f t="shared" si="367"/>
        <v>1662793.67</v>
      </c>
      <c r="BD59" s="332">
        <f t="shared" si="367"/>
        <v>2539350.88</v>
      </c>
      <c r="BE59" s="122">
        <f t="shared" si="48"/>
        <v>1033947.2599999999</v>
      </c>
      <c r="BF59" s="326">
        <f t="shared" ref="BF59:BG59" si="368">AL59+BC59</f>
        <v>2262810.71</v>
      </c>
      <c r="BG59" s="435">
        <f t="shared" si="368"/>
        <v>3296757.9699999997</v>
      </c>
      <c r="BH59" s="125">
        <f t="shared" si="238"/>
        <v>1003611.37</v>
      </c>
      <c r="BI59" s="140">
        <f t="shared" si="51"/>
        <v>867961.29</v>
      </c>
      <c r="BJ59" s="123">
        <f t="shared" si="239"/>
        <v>1920919.21</v>
      </c>
      <c r="BK59" s="125">
        <f t="shared" si="240"/>
        <v>2788880.5</v>
      </c>
      <c r="BL59" s="123">
        <f t="shared" si="241"/>
        <v>706665.95</v>
      </c>
      <c r="BM59" s="140">
        <f t="shared" si="55"/>
        <v>134820.94000000006</v>
      </c>
      <c r="BN59" s="326">
        <f t="shared" si="242"/>
        <v>536847.22</v>
      </c>
      <c r="BO59" s="332">
        <f t="shared" si="243"/>
        <v>671668.16</v>
      </c>
      <c r="BP59" s="141">
        <f t="shared" si="244"/>
        <v>611480.5</v>
      </c>
      <c r="BQ59" s="140">
        <f t="shared" si="59"/>
        <v>100286</v>
      </c>
      <c r="BR59" s="326">
        <f t="shared" si="245"/>
        <v>1911892.24</v>
      </c>
      <c r="BS59" s="333">
        <f t="shared" si="246"/>
        <v>2012178.24</v>
      </c>
      <c r="BT59" s="113">
        <f t="shared" ref="BT59:BV59" si="369">SUM(BQ59,BM59,BI59)</f>
        <v>1103068.23</v>
      </c>
      <c r="BU59" s="116">
        <f t="shared" si="369"/>
        <v>4369658.67</v>
      </c>
      <c r="BV59" s="117">
        <f t="shared" si="369"/>
        <v>5472726.9000000004</v>
      </c>
      <c r="BW59" s="141">
        <f t="shared" si="248"/>
        <v>985061.15</v>
      </c>
      <c r="BX59" s="113">
        <f t="shared" si="64"/>
        <v>208036.44000000006</v>
      </c>
      <c r="BY59" s="114">
        <f t="shared" si="249"/>
        <v>452107.36</v>
      </c>
      <c r="BZ59" s="115">
        <f t="shared" si="250"/>
        <v>660143.80000000005</v>
      </c>
      <c r="CA59" s="123">
        <f t="shared" si="251"/>
        <v>812199.4</v>
      </c>
      <c r="CB59" s="333">
        <f t="shared" si="252"/>
        <v>217875.16</v>
      </c>
      <c r="CY59" s="294"/>
      <c r="DF59" s="296"/>
    </row>
    <row r="60" spans="1:110" ht="13">
      <c r="A60" s="420">
        <f t="shared" si="210"/>
        <v>112014436</v>
      </c>
      <c r="B60" s="565">
        <f t="shared" si="211"/>
        <v>31</v>
      </c>
      <c r="C60" s="558">
        <f t="shared" si="212"/>
        <v>0.1</v>
      </c>
      <c r="D60" s="558">
        <f t="shared" si="213"/>
        <v>0.23</v>
      </c>
      <c r="E60" s="715">
        <f t="shared" si="214"/>
        <v>0</v>
      </c>
      <c r="F60" s="701">
        <f t="shared" si="215"/>
        <v>18</v>
      </c>
      <c r="G60" s="700" t="str">
        <f t="shared" si="216"/>
        <v>Lista</v>
      </c>
      <c r="H60" s="700">
        <f t="shared" si="217"/>
        <v>0.23</v>
      </c>
      <c r="I60" s="700">
        <f t="shared" si="218"/>
        <v>0</v>
      </c>
      <c r="J60" s="547">
        <f t="shared" si="219"/>
        <v>69</v>
      </c>
      <c r="K60" s="699" t="str">
        <f t="shared" si="220"/>
        <v>Lista</v>
      </c>
      <c r="L60" s="702">
        <f t="shared" si="221"/>
        <v>0.14000000000000001</v>
      </c>
      <c r="M60" s="139" t="s">
        <v>565</v>
      </c>
      <c r="N60" s="423">
        <f t="shared" si="296"/>
        <v>0</v>
      </c>
      <c r="O60" s="326">
        <v>1800000</v>
      </c>
      <c r="P60" s="326">
        <f t="shared" si="13"/>
        <v>0</v>
      </c>
      <c r="Q60" s="326">
        <f t="shared" si="222"/>
        <v>1773796.75</v>
      </c>
      <c r="R60" s="716">
        <f t="shared" si="223"/>
        <v>1773796.75</v>
      </c>
      <c r="S60" s="326">
        <f t="shared" si="297"/>
        <v>-26203.25</v>
      </c>
      <c r="T60" s="137">
        <f t="shared" si="298"/>
        <v>0.98544263888888894</v>
      </c>
      <c r="U60" s="326">
        <f t="shared" si="299"/>
        <v>0</v>
      </c>
      <c r="V60" s="332">
        <v>1800000</v>
      </c>
      <c r="W60" s="140">
        <f t="shared" si="19"/>
        <v>0</v>
      </c>
      <c r="X60" s="326">
        <f t="shared" si="224"/>
        <v>0</v>
      </c>
      <c r="Y60" s="717">
        <f t="shared" si="225"/>
        <v>0</v>
      </c>
      <c r="Z60" s="123">
        <f t="shared" si="301"/>
        <v>-1800000</v>
      </c>
      <c r="AA60" s="137">
        <f t="shared" si="302"/>
        <v>0</v>
      </c>
      <c r="AB60" s="326">
        <f t="shared" si="349"/>
        <v>0</v>
      </c>
      <c r="AC60" s="326">
        <v>1800000</v>
      </c>
      <c r="AD60" s="326">
        <f t="shared" si="25"/>
        <v>126513.25</v>
      </c>
      <c r="AE60" s="326">
        <f t="shared" si="226"/>
        <v>0</v>
      </c>
      <c r="AF60" s="716">
        <f t="shared" si="227"/>
        <v>126513.25</v>
      </c>
      <c r="AG60" s="326">
        <f t="shared" si="28"/>
        <v>-1673486.75</v>
      </c>
      <c r="AH60" s="137">
        <f t="shared" si="287"/>
        <v>7.028513888888889E-2</v>
      </c>
      <c r="AI60" s="332">
        <f t="shared" si="30"/>
        <v>5400000</v>
      </c>
      <c r="AJ60" s="140">
        <f t="shared" si="228"/>
        <v>11773573.720000001</v>
      </c>
      <c r="AK60" s="326">
        <f t="shared" si="32"/>
        <v>126513.25</v>
      </c>
      <c r="AL60" s="326">
        <f t="shared" ref="AL60:AM60" si="370">SUM(AE60,X60,Q60)</f>
        <v>1773796.75</v>
      </c>
      <c r="AM60" s="326">
        <f t="shared" si="370"/>
        <v>1900310</v>
      </c>
      <c r="AN60" s="326">
        <f t="shared" si="70"/>
        <v>-3499690</v>
      </c>
      <c r="AO60" s="413">
        <f t="shared" si="79"/>
        <v>0.16140468860121088</v>
      </c>
      <c r="AP60" s="423">
        <f t="shared" si="305"/>
        <v>0</v>
      </c>
      <c r="AQ60" s="326">
        <f t="shared" si="36"/>
        <v>0</v>
      </c>
      <c r="AR60" s="326">
        <f t="shared" si="230"/>
        <v>576880.61</v>
      </c>
      <c r="AS60" s="333">
        <f t="shared" si="231"/>
        <v>576880.61</v>
      </c>
      <c r="AT60" s="434">
        <f t="shared" si="306"/>
        <v>2189533.35</v>
      </c>
      <c r="AU60" s="140">
        <f t="shared" si="40"/>
        <v>0</v>
      </c>
      <c r="AV60" s="326">
        <f t="shared" si="232"/>
        <v>4091740.65</v>
      </c>
      <c r="AW60" s="333">
        <f t="shared" si="233"/>
        <v>4091740.65</v>
      </c>
      <c r="AX60" s="125">
        <f t="shared" si="307"/>
        <v>3031635.05</v>
      </c>
      <c r="AY60" s="140">
        <f t="shared" si="44"/>
        <v>0</v>
      </c>
      <c r="AZ60" s="326">
        <f t="shared" si="234"/>
        <v>366056.46</v>
      </c>
      <c r="BA60" s="332">
        <f t="shared" si="235"/>
        <v>366056.46</v>
      </c>
      <c r="BB60" s="122">
        <f t="shared" ref="BB60:BD60" si="371">AY60+AU60+AQ60</f>
        <v>0</v>
      </c>
      <c r="BC60" s="326">
        <f t="shared" si="371"/>
        <v>5034677.7200000007</v>
      </c>
      <c r="BD60" s="332">
        <f t="shared" si="371"/>
        <v>5034677.7200000007</v>
      </c>
      <c r="BE60" s="122">
        <f t="shared" si="48"/>
        <v>126513.25</v>
      </c>
      <c r="BF60" s="326">
        <f t="shared" ref="BF60:BG60" si="372">AL60+BC60</f>
        <v>6808474.4700000007</v>
      </c>
      <c r="BG60" s="435">
        <f t="shared" si="372"/>
        <v>6934987.7200000007</v>
      </c>
      <c r="BH60" s="125">
        <f t="shared" si="238"/>
        <v>4477228.05</v>
      </c>
      <c r="BI60" s="140">
        <f t="shared" si="51"/>
        <v>0</v>
      </c>
      <c r="BJ60" s="123">
        <f t="shared" si="239"/>
        <v>0</v>
      </c>
      <c r="BK60" s="125">
        <f t="shared" si="240"/>
        <v>0</v>
      </c>
      <c r="BL60" s="123">
        <f t="shared" si="241"/>
        <v>4132976.03</v>
      </c>
      <c r="BM60" s="140">
        <f t="shared" si="55"/>
        <v>0</v>
      </c>
      <c r="BN60" s="326">
        <f t="shared" si="242"/>
        <v>0</v>
      </c>
      <c r="BO60" s="332">
        <f t="shared" si="243"/>
        <v>0</v>
      </c>
      <c r="BP60" s="141">
        <f t="shared" si="244"/>
        <v>2729635.35</v>
      </c>
      <c r="BQ60" s="140">
        <f t="shared" si="59"/>
        <v>0</v>
      </c>
      <c r="BR60" s="326">
        <f t="shared" si="245"/>
        <v>0</v>
      </c>
      <c r="BS60" s="333">
        <f t="shared" si="246"/>
        <v>0</v>
      </c>
      <c r="BT60" s="113">
        <f t="shared" ref="BT60:BV60" si="373">SUM(BQ60,BM60,BI60)</f>
        <v>0</v>
      </c>
      <c r="BU60" s="116">
        <f t="shared" si="373"/>
        <v>0</v>
      </c>
      <c r="BV60" s="117">
        <f t="shared" si="373"/>
        <v>0</v>
      </c>
      <c r="BW60" s="141">
        <f t="shared" si="248"/>
        <v>3383389.05</v>
      </c>
      <c r="BX60" s="113">
        <f t="shared" si="64"/>
        <v>0</v>
      </c>
      <c r="BY60" s="114">
        <f t="shared" si="249"/>
        <v>0</v>
      </c>
      <c r="BZ60" s="115">
        <f t="shared" si="250"/>
        <v>0</v>
      </c>
      <c r="CA60" s="123">
        <f t="shared" si="251"/>
        <v>3796804.05</v>
      </c>
      <c r="CB60" s="333">
        <f t="shared" si="252"/>
        <v>4593380.62</v>
      </c>
      <c r="CY60" s="294"/>
      <c r="DF60" s="296"/>
    </row>
    <row r="61" spans="1:110" ht="13">
      <c r="A61" s="420">
        <f t="shared" si="210"/>
        <v>112014459</v>
      </c>
      <c r="B61" s="565">
        <f t="shared" si="211"/>
        <v>31</v>
      </c>
      <c r="C61" s="558">
        <f t="shared" si="212"/>
        <v>0.1</v>
      </c>
      <c r="D61" s="558">
        <f t="shared" si="213"/>
        <v>0.23</v>
      </c>
      <c r="E61" s="715">
        <f t="shared" si="214"/>
        <v>0</v>
      </c>
      <c r="F61" s="701">
        <f t="shared" si="215"/>
        <v>18</v>
      </c>
      <c r="G61" s="700" t="str">
        <f t="shared" si="216"/>
        <v>Lista</v>
      </c>
      <c r="H61" s="700">
        <f t="shared" si="217"/>
        <v>0.23</v>
      </c>
      <c r="I61" s="700">
        <f t="shared" si="218"/>
        <v>0</v>
      </c>
      <c r="J61" s="547">
        <f t="shared" si="219"/>
        <v>69</v>
      </c>
      <c r="K61" s="699" t="str">
        <f t="shared" si="220"/>
        <v>Lista</v>
      </c>
      <c r="L61" s="702">
        <f t="shared" si="221"/>
        <v>0.14000000000000001</v>
      </c>
      <c r="M61" s="139" t="s">
        <v>566</v>
      </c>
      <c r="N61" s="423">
        <f t="shared" si="296"/>
        <v>0</v>
      </c>
      <c r="O61" s="326">
        <v>1800000</v>
      </c>
      <c r="P61" s="326">
        <f t="shared" si="13"/>
        <v>83050.649999999907</v>
      </c>
      <c r="Q61" s="326">
        <f t="shared" si="222"/>
        <v>1203087.8700000001</v>
      </c>
      <c r="R61" s="716">
        <f t="shared" si="223"/>
        <v>1286138.52</v>
      </c>
      <c r="S61" s="326">
        <f t="shared" si="297"/>
        <v>-513861.48</v>
      </c>
      <c r="T61" s="137">
        <f t="shared" si="298"/>
        <v>0.71452139999999997</v>
      </c>
      <c r="U61" s="326">
        <f t="shared" si="299"/>
        <v>0</v>
      </c>
      <c r="V61" s="332">
        <v>1800000</v>
      </c>
      <c r="W61" s="140">
        <f t="shared" si="19"/>
        <v>955382.12000000011</v>
      </c>
      <c r="X61" s="326">
        <f t="shared" si="224"/>
        <v>2498789.5099999998</v>
      </c>
      <c r="Y61" s="717">
        <f t="shared" si="225"/>
        <v>3454171.63</v>
      </c>
      <c r="Z61" s="123">
        <f t="shared" si="301"/>
        <v>1654171.63</v>
      </c>
      <c r="AA61" s="137">
        <f t="shared" si="302"/>
        <v>1.9189842388888889</v>
      </c>
      <c r="AB61" s="326">
        <f t="shared" si="349"/>
        <v>0</v>
      </c>
      <c r="AC61" s="326">
        <v>1800000</v>
      </c>
      <c r="AD61" s="326">
        <f t="shared" si="25"/>
        <v>0</v>
      </c>
      <c r="AE61" s="326">
        <f t="shared" si="226"/>
        <v>634838.28</v>
      </c>
      <c r="AF61" s="716">
        <f t="shared" si="227"/>
        <v>634838.28</v>
      </c>
      <c r="AG61" s="326">
        <f t="shared" si="28"/>
        <v>-1165161.72</v>
      </c>
      <c r="AH61" s="137">
        <f t="shared" si="287"/>
        <v>0.35268793333333337</v>
      </c>
      <c r="AI61" s="332">
        <f t="shared" si="30"/>
        <v>5400000</v>
      </c>
      <c r="AJ61" s="140">
        <f t="shared" si="228"/>
        <v>7372421.6799999997</v>
      </c>
      <c r="AK61" s="326">
        <f t="shared" si="32"/>
        <v>1038432.7699999996</v>
      </c>
      <c r="AL61" s="326">
        <f t="shared" ref="AL61:AM61" si="374">SUM(AE61,X61,Q61)</f>
        <v>4336715.66</v>
      </c>
      <c r="AM61" s="326">
        <f t="shared" si="374"/>
        <v>5375148.4299999997</v>
      </c>
      <c r="AN61" s="326">
        <f t="shared" si="70"/>
        <v>-24851.570000000298</v>
      </c>
      <c r="AO61" s="413">
        <f t="shared" si="79"/>
        <v>0.72908857676735606</v>
      </c>
      <c r="AP61" s="423">
        <f t="shared" si="305"/>
        <v>0</v>
      </c>
      <c r="AQ61" s="326">
        <f t="shared" si="36"/>
        <v>0</v>
      </c>
      <c r="AR61" s="326">
        <f t="shared" si="230"/>
        <v>0</v>
      </c>
      <c r="AS61" s="333">
        <f t="shared" si="231"/>
        <v>0</v>
      </c>
      <c r="AT61" s="434">
        <f t="shared" si="306"/>
        <v>0</v>
      </c>
      <c r="AU61" s="140">
        <f t="shared" si="40"/>
        <v>0</v>
      </c>
      <c r="AV61" s="326">
        <f t="shared" si="232"/>
        <v>344019.06</v>
      </c>
      <c r="AW61" s="333">
        <f t="shared" si="233"/>
        <v>344019.06</v>
      </c>
      <c r="AX61" s="125">
        <f t="shared" si="307"/>
        <v>836046.67</v>
      </c>
      <c r="AY61" s="140">
        <f t="shared" si="44"/>
        <v>808807.37</v>
      </c>
      <c r="AZ61" s="326">
        <f t="shared" si="234"/>
        <v>583871.67000000004</v>
      </c>
      <c r="BA61" s="332">
        <f t="shared" si="235"/>
        <v>1392679.04</v>
      </c>
      <c r="BB61" s="122">
        <f t="shared" ref="BB61:BD61" si="375">AY61+AU61+AQ61</f>
        <v>808807.37</v>
      </c>
      <c r="BC61" s="326">
        <f t="shared" si="375"/>
        <v>927890.73</v>
      </c>
      <c r="BD61" s="332">
        <f t="shared" si="375"/>
        <v>1736698.1</v>
      </c>
      <c r="BE61" s="122">
        <f t="shared" si="48"/>
        <v>1847240.1399999997</v>
      </c>
      <c r="BF61" s="326">
        <f t="shared" ref="BF61:BG61" si="376">AL61+BC61</f>
        <v>5264606.3900000006</v>
      </c>
      <c r="BG61" s="435">
        <f t="shared" si="376"/>
        <v>7111846.5299999993</v>
      </c>
      <c r="BH61" s="125">
        <f t="shared" si="238"/>
        <v>564960.4</v>
      </c>
      <c r="BI61" s="140">
        <f t="shared" si="51"/>
        <v>320778.82000000007</v>
      </c>
      <c r="BJ61" s="123">
        <f t="shared" si="239"/>
        <v>1018143.69</v>
      </c>
      <c r="BK61" s="125">
        <f t="shared" si="240"/>
        <v>1338922.51</v>
      </c>
      <c r="BL61" s="123">
        <f t="shared" si="241"/>
        <v>904127.26</v>
      </c>
      <c r="BM61" s="140">
        <f t="shared" si="55"/>
        <v>129448.80000000005</v>
      </c>
      <c r="BN61" s="326">
        <f t="shared" si="242"/>
        <v>667087.81999999995</v>
      </c>
      <c r="BO61" s="332">
        <f t="shared" si="243"/>
        <v>796536.62</v>
      </c>
      <c r="BP61" s="141">
        <f t="shared" si="244"/>
        <v>3173885.65</v>
      </c>
      <c r="BQ61" s="140">
        <f t="shared" si="59"/>
        <v>0</v>
      </c>
      <c r="BR61" s="326">
        <f t="shared" si="245"/>
        <v>1142374.77</v>
      </c>
      <c r="BS61" s="333">
        <f t="shared" si="246"/>
        <v>1142374.77</v>
      </c>
      <c r="BT61" s="113">
        <f t="shared" ref="BT61:BV61" si="377">SUM(BQ61,BM61,BI61)</f>
        <v>450227.62000000011</v>
      </c>
      <c r="BU61" s="116">
        <f t="shared" si="377"/>
        <v>2827606.28</v>
      </c>
      <c r="BV61" s="117">
        <f t="shared" si="377"/>
        <v>3277833.9000000004</v>
      </c>
      <c r="BW61" s="141">
        <f t="shared" si="248"/>
        <v>1460935.07</v>
      </c>
      <c r="BX61" s="113">
        <f t="shared" si="64"/>
        <v>0</v>
      </c>
      <c r="BY61" s="114">
        <f t="shared" si="249"/>
        <v>0</v>
      </c>
      <c r="BZ61" s="115">
        <f t="shared" si="250"/>
        <v>0</v>
      </c>
      <c r="CA61" s="123">
        <f t="shared" si="251"/>
        <v>2332170.41</v>
      </c>
      <c r="CB61" s="333">
        <f t="shared" si="252"/>
        <v>3579316.19</v>
      </c>
      <c r="CY61" s="294"/>
      <c r="DF61" s="296"/>
    </row>
    <row r="62" spans="1:110" ht="13">
      <c r="A62" s="420">
        <f t="shared" si="210"/>
        <v>112014502</v>
      </c>
      <c r="B62" s="565">
        <f t="shared" si="211"/>
        <v>31</v>
      </c>
      <c r="C62" s="558">
        <f t="shared" si="212"/>
        <v>0.1</v>
      </c>
      <c r="D62" s="558">
        <f t="shared" si="213"/>
        <v>0.23</v>
      </c>
      <c r="E62" s="715">
        <f t="shared" si="214"/>
        <v>0</v>
      </c>
      <c r="F62" s="701">
        <f t="shared" si="215"/>
        <v>18</v>
      </c>
      <c r="G62" s="700" t="str">
        <f t="shared" si="216"/>
        <v>Lista</v>
      </c>
      <c r="H62" s="700">
        <f t="shared" si="217"/>
        <v>0.23</v>
      </c>
      <c r="I62" s="700">
        <f t="shared" si="218"/>
        <v>0</v>
      </c>
      <c r="J62" s="547">
        <f t="shared" si="219"/>
        <v>69</v>
      </c>
      <c r="K62" s="699" t="str">
        <f t="shared" si="220"/>
        <v>Lista</v>
      </c>
      <c r="L62" s="702">
        <f t="shared" si="221"/>
        <v>0.14000000000000001</v>
      </c>
      <c r="M62" s="139" t="s">
        <v>567</v>
      </c>
      <c r="N62" s="423">
        <f t="shared" si="296"/>
        <v>0</v>
      </c>
      <c r="O62" s="326">
        <v>1800000</v>
      </c>
      <c r="P62" s="326">
        <f t="shared" si="13"/>
        <v>0</v>
      </c>
      <c r="Q62" s="326">
        <f t="shared" si="222"/>
        <v>153910.22</v>
      </c>
      <c r="R62" s="716">
        <f t="shared" si="223"/>
        <v>153910.22</v>
      </c>
      <c r="S62" s="326">
        <f t="shared" si="297"/>
        <v>-1646089.78</v>
      </c>
      <c r="T62" s="137">
        <f t="shared" si="298"/>
        <v>8.5505677777777775E-2</v>
      </c>
      <c r="U62" s="326">
        <f t="shared" si="299"/>
        <v>0</v>
      </c>
      <c r="V62" s="332">
        <v>1800000</v>
      </c>
      <c r="W62" s="140">
        <f t="shared" si="19"/>
        <v>10710</v>
      </c>
      <c r="X62" s="326">
        <f t="shared" si="224"/>
        <v>307435.13</v>
      </c>
      <c r="Y62" s="717">
        <f t="shared" si="225"/>
        <v>318145.13</v>
      </c>
      <c r="Z62" s="123">
        <f t="shared" si="301"/>
        <v>-1481854.87</v>
      </c>
      <c r="AA62" s="137">
        <f t="shared" si="302"/>
        <v>0.17674729444444445</v>
      </c>
      <c r="AB62" s="326">
        <f t="shared" si="349"/>
        <v>0</v>
      </c>
      <c r="AC62" s="326">
        <v>1800000</v>
      </c>
      <c r="AD62" s="326">
        <f t="shared" si="25"/>
        <v>31549.680000000022</v>
      </c>
      <c r="AE62" s="326">
        <f t="shared" si="226"/>
        <v>149327.01999999999</v>
      </c>
      <c r="AF62" s="716">
        <f t="shared" si="227"/>
        <v>180876.7</v>
      </c>
      <c r="AG62" s="326">
        <f t="shared" si="28"/>
        <v>-1619123.3</v>
      </c>
      <c r="AH62" s="137">
        <f t="shared" si="287"/>
        <v>0.10048705555555557</v>
      </c>
      <c r="AI62" s="332">
        <f t="shared" si="30"/>
        <v>5400000</v>
      </c>
      <c r="AJ62" s="140">
        <f t="shared" si="228"/>
        <v>390839.53</v>
      </c>
      <c r="AK62" s="326">
        <f t="shared" si="32"/>
        <v>42259.680000000051</v>
      </c>
      <c r="AL62" s="326">
        <f t="shared" ref="AL62:AM62" si="378">SUM(AE62,X62,Q62)</f>
        <v>610672.37</v>
      </c>
      <c r="AM62" s="326">
        <f t="shared" si="378"/>
        <v>652932.05000000005</v>
      </c>
      <c r="AN62" s="326">
        <f t="shared" si="70"/>
        <v>-4747067.95</v>
      </c>
      <c r="AO62" s="413">
        <f t="shared" si="79"/>
        <v>1.6705885661053783</v>
      </c>
      <c r="AP62" s="423">
        <f t="shared" si="305"/>
        <v>0</v>
      </c>
      <c r="AQ62" s="326">
        <f t="shared" si="36"/>
        <v>0</v>
      </c>
      <c r="AR62" s="326">
        <f t="shared" si="230"/>
        <v>83679.75</v>
      </c>
      <c r="AS62" s="333">
        <f t="shared" si="231"/>
        <v>83679.75</v>
      </c>
      <c r="AT62" s="434">
        <f t="shared" si="306"/>
        <v>0</v>
      </c>
      <c r="AU62" s="140">
        <f t="shared" si="40"/>
        <v>0</v>
      </c>
      <c r="AV62" s="326">
        <f t="shared" si="232"/>
        <v>91108.36</v>
      </c>
      <c r="AW62" s="333">
        <f t="shared" si="233"/>
        <v>91108.36</v>
      </c>
      <c r="AX62" s="125">
        <f t="shared" si="307"/>
        <v>0</v>
      </c>
      <c r="AY62" s="140">
        <f t="shared" si="44"/>
        <v>0</v>
      </c>
      <c r="AZ62" s="326">
        <f t="shared" si="234"/>
        <v>150206.94</v>
      </c>
      <c r="BA62" s="332">
        <f t="shared" si="235"/>
        <v>150206.94</v>
      </c>
      <c r="BB62" s="122">
        <f t="shared" ref="BB62:BD62" si="379">AY62+AU62+AQ62</f>
        <v>0</v>
      </c>
      <c r="BC62" s="326">
        <f t="shared" si="379"/>
        <v>324995.05</v>
      </c>
      <c r="BD62" s="332">
        <f t="shared" si="379"/>
        <v>324995.05</v>
      </c>
      <c r="BE62" s="122">
        <f t="shared" si="48"/>
        <v>42259.680000000051</v>
      </c>
      <c r="BF62" s="326">
        <f t="shared" ref="BF62:BG62" si="380">AL62+BC62</f>
        <v>935667.41999999993</v>
      </c>
      <c r="BG62" s="435">
        <f t="shared" si="380"/>
        <v>977927.10000000009</v>
      </c>
      <c r="BH62" s="125">
        <f t="shared" si="238"/>
        <v>205028.67</v>
      </c>
      <c r="BI62" s="140">
        <f t="shared" si="51"/>
        <v>0</v>
      </c>
      <c r="BJ62" s="123">
        <f t="shared" si="239"/>
        <v>227282.94</v>
      </c>
      <c r="BK62" s="125">
        <f t="shared" si="240"/>
        <v>227282.94</v>
      </c>
      <c r="BL62" s="123">
        <f t="shared" si="241"/>
        <v>28351.47</v>
      </c>
      <c r="BM62" s="140">
        <f t="shared" si="55"/>
        <v>34243.72</v>
      </c>
      <c r="BN62" s="326">
        <f t="shared" si="242"/>
        <v>0</v>
      </c>
      <c r="BO62" s="332">
        <f t="shared" si="243"/>
        <v>34243.72</v>
      </c>
      <c r="BP62" s="141">
        <f t="shared" si="244"/>
        <v>64663.519999999997</v>
      </c>
      <c r="BQ62" s="140">
        <f t="shared" si="59"/>
        <v>0</v>
      </c>
      <c r="BR62" s="326">
        <f t="shared" si="245"/>
        <v>31057.599999999999</v>
      </c>
      <c r="BS62" s="333">
        <f t="shared" si="246"/>
        <v>31057.599999999999</v>
      </c>
      <c r="BT62" s="113">
        <f t="shared" ref="BT62:BV62" si="381">SUM(BQ62,BM62,BI62)</f>
        <v>34243.72</v>
      </c>
      <c r="BU62" s="116">
        <f t="shared" si="381"/>
        <v>258340.54</v>
      </c>
      <c r="BV62" s="117">
        <f t="shared" si="381"/>
        <v>292584.26</v>
      </c>
      <c r="BW62" s="141">
        <f t="shared" si="248"/>
        <v>175295.74</v>
      </c>
      <c r="BX62" s="113">
        <f t="shared" si="64"/>
        <v>25043.040000000001</v>
      </c>
      <c r="BY62" s="114">
        <f t="shared" si="249"/>
        <v>0</v>
      </c>
      <c r="BZ62" s="115">
        <f t="shared" si="250"/>
        <v>25043.040000000001</v>
      </c>
      <c r="CA62" s="123">
        <f t="shared" si="251"/>
        <v>74821.36</v>
      </c>
      <c r="CB62" s="333">
        <f t="shared" si="252"/>
        <v>140722.43</v>
      </c>
      <c r="CY62" s="294"/>
      <c r="DF62" s="296"/>
    </row>
    <row r="63" spans="1:110" ht="13">
      <c r="A63" s="420">
        <f t="shared" si="210"/>
        <v>112014515</v>
      </c>
      <c r="B63" s="565">
        <f t="shared" si="211"/>
        <v>31</v>
      </c>
      <c r="C63" s="558">
        <f t="shared" si="212"/>
        <v>0.1</v>
      </c>
      <c r="D63" s="558">
        <f t="shared" si="213"/>
        <v>0.23</v>
      </c>
      <c r="E63" s="715">
        <f t="shared" si="214"/>
        <v>0</v>
      </c>
      <c r="F63" s="701">
        <f t="shared" si="215"/>
        <v>18</v>
      </c>
      <c r="G63" s="700" t="str">
        <f t="shared" si="216"/>
        <v>Lista</v>
      </c>
      <c r="H63" s="700">
        <f t="shared" si="217"/>
        <v>0.23</v>
      </c>
      <c r="I63" s="700">
        <f t="shared" si="218"/>
        <v>0</v>
      </c>
      <c r="J63" s="547">
        <f t="shared" si="219"/>
        <v>69</v>
      </c>
      <c r="K63" s="699" t="str">
        <f t="shared" si="220"/>
        <v>Lista</v>
      </c>
      <c r="L63" s="702">
        <f t="shared" si="221"/>
        <v>0.14000000000000001</v>
      </c>
      <c r="M63" s="139" t="s">
        <v>568</v>
      </c>
      <c r="N63" s="423">
        <f t="shared" si="296"/>
        <v>0</v>
      </c>
      <c r="O63" s="326">
        <v>1800000</v>
      </c>
      <c r="P63" s="326">
        <f t="shared" si="13"/>
        <v>0</v>
      </c>
      <c r="Q63" s="326">
        <f t="shared" si="222"/>
        <v>0</v>
      </c>
      <c r="R63" s="716">
        <f t="shared" si="223"/>
        <v>0</v>
      </c>
      <c r="S63" s="326">
        <f t="shared" si="297"/>
        <v>-1800000</v>
      </c>
      <c r="T63" s="137">
        <f t="shared" si="298"/>
        <v>0</v>
      </c>
      <c r="U63" s="326">
        <f t="shared" si="299"/>
        <v>0</v>
      </c>
      <c r="V63" s="332">
        <v>1800000</v>
      </c>
      <c r="W63" s="140">
        <f t="shared" si="19"/>
        <v>1116067.9400000002</v>
      </c>
      <c r="X63" s="326">
        <f t="shared" si="224"/>
        <v>1099909.68</v>
      </c>
      <c r="Y63" s="717">
        <f t="shared" si="225"/>
        <v>2215977.62</v>
      </c>
      <c r="Z63" s="123">
        <f t="shared" si="301"/>
        <v>415977.62000000011</v>
      </c>
      <c r="AA63" s="137">
        <f t="shared" si="302"/>
        <v>1.2310986777777779</v>
      </c>
      <c r="AB63" s="326">
        <f t="shared" si="349"/>
        <v>0</v>
      </c>
      <c r="AC63" s="326">
        <v>1800000</v>
      </c>
      <c r="AD63" s="326">
        <f t="shared" si="25"/>
        <v>0</v>
      </c>
      <c r="AE63" s="326">
        <f t="shared" si="226"/>
        <v>0</v>
      </c>
      <c r="AF63" s="716">
        <f t="shared" si="227"/>
        <v>0</v>
      </c>
      <c r="AG63" s="326">
        <f t="shared" si="28"/>
        <v>-1800000</v>
      </c>
      <c r="AH63" s="137">
        <f t="shared" si="287"/>
        <v>0</v>
      </c>
      <c r="AI63" s="332">
        <f t="shared" si="30"/>
        <v>5400000</v>
      </c>
      <c r="AJ63" s="140">
        <f t="shared" si="228"/>
        <v>2415408</v>
      </c>
      <c r="AK63" s="326">
        <f t="shared" si="32"/>
        <v>1116067.9400000002</v>
      </c>
      <c r="AL63" s="326">
        <f t="shared" ref="AL63:AM63" si="382">SUM(AE63,X63,Q63)</f>
        <v>1099909.68</v>
      </c>
      <c r="AM63" s="326">
        <f t="shared" si="382"/>
        <v>2215977.62</v>
      </c>
      <c r="AN63" s="326">
        <f t="shared" si="70"/>
        <v>-3184022.38</v>
      </c>
      <c r="AO63" s="413">
        <f t="shared" si="79"/>
        <v>0.91743408152991135</v>
      </c>
      <c r="AP63" s="423">
        <f t="shared" si="305"/>
        <v>0</v>
      </c>
      <c r="AQ63" s="326">
        <f t="shared" si="36"/>
        <v>0</v>
      </c>
      <c r="AR63" s="326">
        <f t="shared" si="230"/>
        <v>0</v>
      </c>
      <c r="AS63" s="333">
        <f t="shared" si="231"/>
        <v>0</v>
      </c>
      <c r="AT63" s="434">
        <f t="shared" si="306"/>
        <v>0</v>
      </c>
      <c r="AU63" s="140">
        <f t="shared" si="40"/>
        <v>0</v>
      </c>
      <c r="AV63" s="326">
        <f t="shared" si="232"/>
        <v>0</v>
      </c>
      <c r="AW63" s="333">
        <f t="shared" si="233"/>
        <v>0</v>
      </c>
      <c r="AX63" s="125">
        <f t="shared" si="307"/>
        <v>0</v>
      </c>
      <c r="AY63" s="140">
        <f t="shared" si="44"/>
        <v>0</v>
      </c>
      <c r="AZ63" s="326">
        <f t="shared" si="234"/>
        <v>377216.84</v>
      </c>
      <c r="BA63" s="332">
        <f t="shared" si="235"/>
        <v>377216.84</v>
      </c>
      <c r="BB63" s="122">
        <f t="shared" ref="BB63:BD63" si="383">AY63+AU63+AQ63</f>
        <v>0</v>
      </c>
      <c r="BC63" s="326">
        <f t="shared" si="383"/>
        <v>377216.84</v>
      </c>
      <c r="BD63" s="332">
        <f t="shared" si="383"/>
        <v>377216.84</v>
      </c>
      <c r="BE63" s="122">
        <f t="shared" si="48"/>
        <v>1116067.9400000002</v>
      </c>
      <c r="BF63" s="326">
        <f t="shared" ref="BF63:BG63" si="384">AL63+BC63</f>
        <v>1477126.52</v>
      </c>
      <c r="BG63" s="435">
        <f t="shared" si="384"/>
        <v>2593194.46</v>
      </c>
      <c r="BH63" s="125">
        <f t="shared" si="238"/>
        <v>0</v>
      </c>
      <c r="BI63" s="140">
        <f t="shared" si="51"/>
        <v>0</v>
      </c>
      <c r="BJ63" s="123">
        <f t="shared" si="239"/>
        <v>397632.62</v>
      </c>
      <c r="BK63" s="125">
        <f t="shared" si="240"/>
        <v>397632.62</v>
      </c>
      <c r="BL63" s="123">
        <f t="shared" si="241"/>
        <v>287903</v>
      </c>
      <c r="BM63" s="140">
        <f t="shared" si="55"/>
        <v>0</v>
      </c>
      <c r="BN63" s="326">
        <f t="shared" si="242"/>
        <v>493864.22</v>
      </c>
      <c r="BO63" s="332">
        <f t="shared" si="243"/>
        <v>493864.22</v>
      </c>
      <c r="BP63" s="141">
        <f t="shared" si="244"/>
        <v>497496.38</v>
      </c>
      <c r="BQ63" s="140">
        <f t="shared" si="59"/>
        <v>0</v>
      </c>
      <c r="BR63" s="326">
        <f t="shared" si="245"/>
        <v>0</v>
      </c>
      <c r="BS63" s="333">
        <f t="shared" si="246"/>
        <v>0</v>
      </c>
      <c r="BT63" s="113">
        <f t="shared" ref="BT63:BV63" si="385">SUM(BQ63,BM63,BI63)</f>
        <v>0</v>
      </c>
      <c r="BU63" s="116">
        <f t="shared" si="385"/>
        <v>891496.84</v>
      </c>
      <c r="BV63" s="117">
        <f t="shared" si="385"/>
        <v>891496.84</v>
      </c>
      <c r="BW63" s="141">
        <f t="shared" si="248"/>
        <v>0</v>
      </c>
      <c r="BX63" s="113">
        <f t="shared" si="64"/>
        <v>0</v>
      </c>
      <c r="BY63" s="114">
        <f t="shared" si="249"/>
        <v>0</v>
      </c>
      <c r="BZ63" s="115">
        <f t="shared" si="250"/>
        <v>0</v>
      </c>
      <c r="CA63" s="123">
        <f t="shared" si="251"/>
        <v>406703.22</v>
      </c>
      <c r="CB63" s="333">
        <f t="shared" si="252"/>
        <v>2008704.78</v>
      </c>
      <c r="CY63" s="294"/>
      <c r="DF63" s="296"/>
    </row>
    <row r="64" spans="1:110" ht="13">
      <c r="A64" s="420">
        <f t="shared" si="210"/>
        <v>112014489</v>
      </c>
      <c r="B64" s="565">
        <f t="shared" si="211"/>
        <v>31</v>
      </c>
      <c r="C64" s="558">
        <f t="shared" si="212"/>
        <v>0.1</v>
      </c>
      <c r="D64" s="558">
        <f t="shared" si="213"/>
        <v>0.23</v>
      </c>
      <c r="E64" s="715">
        <f t="shared" si="214"/>
        <v>0</v>
      </c>
      <c r="F64" s="701">
        <f t="shared" si="215"/>
        <v>18</v>
      </c>
      <c r="G64" s="700" t="str">
        <f t="shared" si="216"/>
        <v>Lista</v>
      </c>
      <c r="H64" s="700">
        <f t="shared" si="217"/>
        <v>0.23</v>
      </c>
      <c r="I64" s="700">
        <f t="shared" si="218"/>
        <v>0</v>
      </c>
      <c r="J64" s="547">
        <f t="shared" si="219"/>
        <v>69</v>
      </c>
      <c r="K64" s="699" t="str">
        <f t="shared" si="220"/>
        <v>Lista</v>
      </c>
      <c r="L64" s="702">
        <f t="shared" si="221"/>
        <v>0.14000000000000001</v>
      </c>
      <c r="M64" s="139" t="s">
        <v>569</v>
      </c>
      <c r="N64" s="423">
        <f t="shared" si="296"/>
        <v>0</v>
      </c>
      <c r="O64" s="326">
        <v>1800000</v>
      </c>
      <c r="P64" s="326">
        <f t="shared" si="13"/>
        <v>40958.640000000014</v>
      </c>
      <c r="Q64" s="326">
        <f t="shared" si="222"/>
        <v>886406.13</v>
      </c>
      <c r="R64" s="716">
        <f t="shared" si="223"/>
        <v>927364.77</v>
      </c>
      <c r="S64" s="326">
        <f t="shared" si="297"/>
        <v>-872635.23</v>
      </c>
      <c r="T64" s="137">
        <f t="shared" si="298"/>
        <v>0.51520264999999998</v>
      </c>
      <c r="U64" s="326">
        <f t="shared" si="299"/>
        <v>0</v>
      </c>
      <c r="V64" s="332">
        <v>1800000</v>
      </c>
      <c r="W64" s="140">
        <f t="shared" si="19"/>
        <v>0</v>
      </c>
      <c r="X64" s="326">
        <f t="shared" si="224"/>
        <v>1713288.42</v>
      </c>
      <c r="Y64" s="717">
        <f t="shared" si="225"/>
        <v>1713288.42</v>
      </c>
      <c r="Z64" s="123">
        <f t="shared" si="301"/>
        <v>-86711.580000000075</v>
      </c>
      <c r="AA64" s="137">
        <f t="shared" si="302"/>
        <v>0.95182689999999992</v>
      </c>
      <c r="AB64" s="326">
        <f t="shared" si="349"/>
        <v>0</v>
      </c>
      <c r="AC64" s="326">
        <v>1800000</v>
      </c>
      <c r="AD64" s="326">
        <f t="shared" si="25"/>
        <v>0</v>
      </c>
      <c r="AE64" s="326">
        <f t="shared" si="226"/>
        <v>932232.53</v>
      </c>
      <c r="AF64" s="716">
        <f t="shared" si="227"/>
        <v>932232.53</v>
      </c>
      <c r="AG64" s="326">
        <f t="shared" si="28"/>
        <v>-867767.47</v>
      </c>
      <c r="AH64" s="137">
        <f t="shared" si="287"/>
        <v>0.51790696111111112</v>
      </c>
      <c r="AI64" s="332">
        <f t="shared" si="30"/>
        <v>5400000</v>
      </c>
      <c r="AJ64" s="140">
        <f t="shared" si="228"/>
        <v>2435913.25</v>
      </c>
      <c r="AK64" s="326">
        <f t="shared" si="32"/>
        <v>40958.64000000013</v>
      </c>
      <c r="AL64" s="326">
        <f t="shared" ref="AL64:AM64" si="386">SUM(AE64,X64,Q64)</f>
        <v>3531927.08</v>
      </c>
      <c r="AM64" s="326">
        <f t="shared" si="386"/>
        <v>3572885.72</v>
      </c>
      <c r="AN64" s="326">
        <f t="shared" si="70"/>
        <v>-1827114.2799999998</v>
      </c>
      <c r="AO64" s="413">
        <f t="shared" si="79"/>
        <v>1.4667540890464799</v>
      </c>
      <c r="AP64" s="423">
        <f t="shared" si="305"/>
        <v>0</v>
      </c>
      <c r="AQ64" s="326">
        <f t="shared" si="36"/>
        <v>0</v>
      </c>
      <c r="AR64" s="326">
        <f t="shared" si="230"/>
        <v>310302.84000000003</v>
      </c>
      <c r="AS64" s="333">
        <f t="shared" si="231"/>
        <v>310302.84000000003</v>
      </c>
      <c r="AT64" s="434">
        <f t="shared" si="306"/>
        <v>0</v>
      </c>
      <c r="AU64" s="140">
        <f t="shared" si="40"/>
        <v>0.35000000009313226</v>
      </c>
      <c r="AV64" s="326">
        <f t="shared" si="232"/>
        <v>1063786.72</v>
      </c>
      <c r="AW64" s="333">
        <f t="shared" si="233"/>
        <v>1063787.07</v>
      </c>
      <c r="AX64" s="125">
        <f t="shared" si="307"/>
        <v>0</v>
      </c>
      <c r="AY64" s="140">
        <f t="shared" si="44"/>
        <v>0</v>
      </c>
      <c r="AZ64" s="326">
        <f t="shared" si="234"/>
        <v>1005209.13</v>
      </c>
      <c r="BA64" s="332">
        <f t="shared" si="235"/>
        <v>1005209.13</v>
      </c>
      <c r="BB64" s="122">
        <f t="shared" ref="BB64:BD64" si="387">AY64+AU64+AQ64</f>
        <v>0.35000000009313226</v>
      </c>
      <c r="BC64" s="326">
        <f t="shared" si="387"/>
        <v>2379298.69</v>
      </c>
      <c r="BD64" s="332">
        <f t="shared" si="387"/>
        <v>2379299.04</v>
      </c>
      <c r="BE64" s="122">
        <f t="shared" si="48"/>
        <v>40958.990000000224</v>
      </c>
      <c r="BF64" s="326">
        <f t="shared" ref="BF64:BG64" si="388">AL64+BC64</f>
        <v>5911225.7699999996</v>
      </c>
      <c r="BG64" s="435">
        <f t="shared" si="388"/>
        <v>5952184.7599999998</v>
      </c>
      <c r="BH64" s="125">
        <f t="shared" si="238"/>
        <v>465489.36</v>
      </c>
      <c r="BI64" s="140">
        <f t="shared" si="51"/>
        <v>92933.429999999935</v>
      </c>
      <c r="BJ64" s="123">
        <f t="shared" si="239"/>
        <v>837924.4</v>
      </c>
      <c r="BK64" s="125">
        <f t="shared" si="240"/>
        <v>930857.83</v>
      </c>
      <c r="BL64" s="123">
        <f t="shared" si="241"/>
        <v>826988.86</v>
      </c>
      <c r="BM64" s="140">
        <f t="shared" si="55"/>
        <v>151047.83000000007</v>
      </c>
      <c r="BN64" s="326">
        <f t="shared" si="242"/>
        <v>845888.7</v>
      </c>
      <c r="BO64" s="332">
        <f t="shared" si="243"/>
        <v>996936.53</v>
      </c>
      <c r="BP64" s="141">
        <f t="shared" si="244"/>
        <v>696263.33</v>
      </c>
      <c r="BQ64" s="140">
        <f t="shared" si="59"/>
        <v>0</v>
      </c>
      <c r="BR64" s="326">
        <f t="shared" si="245"/>
        <v>0</v>
      </c>
      <c r="BS64" s="333">
        <f t="shared" si="246"/>
        <v>0</v>
      </c>
      <c r="BT64" s="113">
        <f t="shared" ref="BT64:BV64" si="389">SUM(BQ64,BM64,BI64)</f>
        <v>243981.26</v>
      </c>
      <c r="BU64" s="116">
        <f t="shared" si="389"/>
        <v>1683813.1</v>
      </c>
      <c r="BV64" s="117">
        <f t="shared" si="389"/>
        <v>1927794.3599999999</v>
      </c>
      <c r="BW64" s="141">
        <f t="shared" si="248"/>
        <v>610262.27</v>
      </c>
      <c r="BX64" s="113">
        <f t="shared" si="64"/>
        <v>0</v>
      </c>
      <c r="BY64" s="114">
        <f t="shared" si="249"/>
        <v>0</v>
      </c>
      <c r="BZ64" s="115">
        <f t="shared" si="250"/>
        <v>0</v>
      </c>
      <c r="CA64" s="123">
        <f t="shared" si="251"/>
        <v>934345.72</v>
      </c>
      <c r="CB64" s="333">
        <f t="shared" si="252"/>
        <v>891305.26</v>
      </c>
      <c r="CY64" s="294"/>
      <c r="DF64" s="296"/>
    </row>
    <row r="65" spans="1:110" ht="13">
      <c r="A65" s="420">
        <f t="shared" si="210"/>
        <v>112014368</v>
      </c>
      <c r="B65" s="565">
        <f t="shared" si="211"/>
        <v>7</v>
      </c>
      <c r="C65" s="558">
        <f t="shared" si="212"/>
        <v>0.1</v>
      </c>
      <c r="D65" s="558">
        <f t="shared" si="213"/>
        <v>0.2</v>
      </c>
      <c r="E65" s="715">
        <f t="shared" si="214"/>
        <v>0</v>
      </c>
      <c r="F65" s="701">
        <f t="shared" si="215"/>
        <v>4</v>
      </c>
      <c r="G65" s="700" t="str">
        <f t="shared" si="216"/>
        <v>Lista</v>
      </c>
      <c r="H65" s="700">
        <f t="shared" si="217"/>
        <v>0.2</v>
      </c>
      <c r="I65" s="700">
        <f t="shared" si="218"/>
        <v>0</v>
      </c>
      <c r="J65" s="547">
        <f t="shared" si="219"/>
        <v>70</v>
      </c>
      <c r="K65" s="699" t="str">
        <f t="shared" si="220"/>
        <v>Lista</v>
      </c>
      <c r="L65" s="702">
        <f t="shared" si="221"/>
        <v>0.11</v>
      </c>
      <c r="M65" s="139" t="s">
        <v>570</v>
      </c>
      <c r="N65" s="423">
        <f t="shared" si="296"/>
        <v>0</v>
      </c>
      <c r="O65" s="326">
        <v>1800000</v>
      </c>
      <c r="P65" s="326">
        <f t="shared" si="13"/>
        <v>89262.650000000023</v>
      </c>
      <c r="Q65" s="326">
        <f t="shared" si="222"/>
        <v>385917.92</v>
      </c>
      <c r="R65" s="716">
        <f t="shared" si="223"/>
        <v>475180.57</v>
      </c>
      <c r="S65" s="326">
        <f t="shared" si="297"/>
        <v>-1324819.43</v>
      </c>
      <c r="T65" s="137">
        <f t="shared" si="298"/>
        <v>0.26398920555555555</v>
      </c>
      <c r="U65" s="326">
        <f t="shared" si="299"/>
        <v>489445.6</v>
      </c>
      <c r="V65" s="332">
        <v>1800000</v>
      </c>
      <c r="W65" s="140">
        <f t="shared" si="19"/>
        <v>371677.80000000005</v>
      </c>
      <c r="X65" s="326">
        <f t="shared" si="224"/>
        <v>114491.9</v>
      </c>
      <c r="Y65" s="717">
        <f t="shared" si="225"/>
        <v>486169.7</v>
      </c>
      <c r="Z65" s="123">
        <f t="shared" si="301"/>
        <v>-1313830.3</v>
      </c>
      <c r="AA65" s="137">
        <f t="shared" si="302"/>
        <v>0.27009427777777778</v>
      </c>
      <c r="AB65" s="326">
        <v>1800000</v>
      </c>
      <c r="AC65" s="326">
        <v>1800000</v>
      </c>
      <c r="AD65" s="326">
        <f t="shared" si="25"/>
        <v>276885.95999999996</v>
      </c>
      <c r="AE65" s="326">
        <f t="shared" si="226"/>
        <v>271736.38</v>
      </c>
      <c r="AF65" s="716">
        <f t="shared" si="227"/>
        <v>548622.34</v>
      </c>
      <c r="AG65" s="326">
        <f t="shared" si="28"/>
        <v>-1251377.6600000001</v>
      </c>
      <c r="AH65" s="137">
        <f t="shared" si="287"/>
        <v>0.30479018888888887</v>
      </c>
      <c r="AI65" s="332">
        <f t="shared" si="30"/>
        <v>5400000</v>
      </c>
      <c r="AJ65" s="140">
        <f t="shared" si="228"/>
        <v>1553650.13</v>
      </c>
      <c r="AK65" s="326">
        <f t="shared" si="32"/>
        <v>737826.41000000015</v>
      </c>
      <c r="AL65" s="326">
        <f t="shared" ref="AL65:AM65" si="390">SUM(AE65,X65,Q65)</f>
        <v>772146.2</v>
      </c>
      <c r="AM65" s="326">
        <f t="shared" si="390"/>
        <v>1509972.61</v>
      </c>
      <c r="AN65" s="326">
        <f t="shared" si="70"/>
        <v>-3890027.3899999997</v>
      </c>
      <c r="AO65" s="413">
        <f t="shared" si="79"/>
        <v>0.97188715840418993</v>
      </c>
      <c r="AP65" s="423">
        <f t="shared" si="305"/>
        <v>223725.7</v>
      </c>
      <c r="AQ65" s="326">
        <f t="shared" si="36"/>
        <v>185734.59999999998</v>
      </c>
      <c r="AR65" s="326">
        <f t="shared" si="230"/>
        <v>170906.01</v>
      </c>
      <c r="AS65" s="333">
        <f t="shared" si="231"/>
        <v>356640.61</v>
      </c>
      <c r="AT65" s="434">
        <f t="shared" si="306"/>
        <v>321110.59999999998</v>
      </c>
      <c r="AU65" s="140">
        <f t="shared" si="40"/>
        <v>120597.39000000001</v>
      </c>
      <c r="AV65" s="326">
        <f t="shared" si="232"/>
        <v>270315.26</v>
      </c>
      <c r="AW65" s="333">
        <f t="shared" si="233"/>
        <v>390912.65</v>
      </c>
      <c r="AX65" s="125">
        <f t="shared" si="307"/>
        <v>231943.01</v>
      </c>
      <c r="AY65" s="140">
        <f t="shared" si="44"/>
        <v>333136.24</v>
      </c>
      <c r="AZ65" s="326">
        <f t="shared" si="234"/>
        <v>186363.42</v>
      </c>
      <c r="BA65" s="332">
        <f t="shared" si="235"/>
        <v>519499.66</v>
      </c>
      <c r="BB65" s="122">
        <f t="shared" ref="BB65:BD65" si="391">AY65+AU65+AQ65</f>
        <v>639468.23</v>
      </c>
      <c r="BC65" s="326">
        <f t="shared" si="391"/>
        <v>627584.69000000006</v>
      </c>
      <c r="BD65" s="332">
        <f t="shared" si="391"/>
        <v>1267052.92</v>
      </c>
      <c r="BE65" s="122">
        <f t="shared" si="48"/>
        <v>1377294.6400000001</v>
      </c>
      <c r="BF65" s="326">
        <f t="shared" ref="BF65:BG65" si="392">AL65+BC65</f>
        <v>1399730.8900000001</v>
      </c>
      <c r="BG65" s="435">
        <f t="shared" si="392"/>
        <v>2777025.5300000003</v>
      </c>
      <c r="BH65" s="125">
        <f t="shared" si="238"/>
        <v>315013.03999999998</v>
      </c>
      <c r="BI65" s="140">
        <f t="shared" si="51"/>
        <v>68582.700000000012</v>
      </c>
      <c r="BJ65" s="123">
        <f t="shared" si="239"/>
        <v>258083.7</v>
      </c>
      <c r="BK65" s="125">
        <f t="shared" si="240"/>
        <v>326666.40000000002</v>
      </c>
      <c r="BL65" s="123">
        <f t="shared" si="241"/>
        <v>213946.22</v>
      </c>
      <c r="BM65" s="140">
        <f t="shared" si="55"/>
        <v>232787.59999999998</v>
      </c>
      <c r="BN65" s="326">
        <f t="shared" si="242"/>
        <v>591030.09</v>
      </c>
      <c r="BO65" s="332">
        <f t="shared" si="243"/>
        <v>823817.69</v>
      </c>
      <c r="BP65" s="141">
        <f t="shared" si="244"/>
        <v>146421</v>
      </c>
      <c r="BQ65" s="140">
        <f t="shared" si="59"/>
        <v>323641.62</v>
      </c>
      <c r="BR65" s="326">
        <f t="shared" si="245"/>
        <v>134902.74</v>
      </c>
      <c r="BS65" s="333">
        <f t="shared" si="246"/>
        <v>458544.36</v>
      </c>
      <c r="BT65" s="113">
        <f t="shared" ref="BT65:BV65" si="393">SUM(BQ65,BM65,BI65)</f>
        <v>625011.91999999993</v>
      </c>
      <c r="BU65" s="116">
        <f t="shared" si="393"/>
        <v>984016.53</v>
      </c>
      <c r="BV65" s="117">
        <f t="shared" si="393"/>
        <v>1609028.4499999997</v>
      </c>
      <c r="BW65" s="141">
        <f t="shared" si="248"/>
        <v>408264.93</v>
      </c>
      <c r="BX65" s="113">
        <f t="shared" si="64"/>
        <v>598626.23</v>
      </c>
      <c r="BY65" s="114">
        <f t="shared" si="249"/>
        <v>432774.1</v>
      </c>
      <c r="BZ65" s="115">
        <f t="shared" si="250"/>
        <v>1031400.33</v>
      </c>
      <c r="CA65" s="123">
        <f t="shared" si="251"/>
        <v>586790.59</v>
      </c>
      <c r="CB65" s="333">
        <f t="shared" si="252"/>
        <v>558594.61</v>
      </c>
      <c r="CY65" s="294"/>
      <c r="DF65" s="296"/>
    </row>
    <row r="66" spans="1:110" ht="13">
      <c r="A66" s="420">
        <f t="shared" ref="A66:A97" si="394">VLOOKUP(M66,LAGECART4,3,FALSE)</f>
        <v>112014588</v>
      </c>
      <c r="B66" s="565">
        <f t="shared" ref="B66:B97" si="395">VLOOKUP(M66,LAGECARTERA,2,FALSE)</f>
        <v>7</v>
      </c>
      <c r="C66" s="558">
        <f t="shared" ref="C66:C97" si="396">IFERROR(VLOOKUP(B66,DES,2,FALSE),"")</f>
        <v>0.1</v>
      </c>
      <c r="D66" s="558">
        <f t="shared" ref="D66:D97" si="397">IFERROR(VLOOKUP(B66,DES,3,FALSE),"")</f>
        <v>0.2</v>
      </c>
      <c r="E66" s="715">
        <f t="shared" ref="E66:E97" si="398">IFERROR(VLOOKUP(B66,DES,4,FALSE),"")</f>
        <v>0</v>
      </c>
      <c r="F66" s="701">
        <f t="shared" ref="F66:F97" si="399">VLOOKUP(M66,LAGECART2,2,FALSE)</f>
        <v>4</v>
      </c>
      <c r="G66" s="700" t="str">
        <f t="shared" ref="G66:G97" si="400">IFERROR(VLOOKUP(F66,DES,2,FALSE),"")</f>
        <v>Lista</v>
      </c>
      <c r="H66" s="700">
        <f t="shared" ref="H66:H97" si="401">IFERROR(VLOOKUP(F66,DES,3,FALSE),"")</f>
        <v>0.2</v>
      </c>
      <c r="I66" s="700">
        <f t="shared" ref="I66:I97" si="402">IFERROR(VLOOKUP(F66,DES,4,FALSE),"")</f>
        <v>0</v>
      </c>
      <c r="J66" s="547">
        <f t="shared" ref="J66:J97" si="403">VLOOKUP(M66,LAGECART4,2,FALSE)</f>
        <v>70</v>
      </c>
      <c r="K66" s="699" t="str">
        <f t="shared" ref="K66:K97" si="404">IFERROR(VLOOKUP(J66,A458DC1025,2,FALSE),"")</f>
        <v>Lista</v>
      </c>
      <c r="L66" s="702">
        <f t="shared" ref="L66:L97" si="405">IFERROR(VLOOKUP(J66,A458DC1025,3,FALSE),"")</f>
        <v>0.11</v>
      </c>
      <c r="M66" s="139" t="s">
        <v>571</v>
      </c>
      <c r="N66" s="423">
        <f t="shared" si="296"/>
        <v>0</v>
      </c>
      <c r="O66" s="326">
        <v>1800000</v>
      </c>
      <c r="P66" s="326">
        <f t="shared" si="13"/>
        <v>138697.17000000001</v>
      </c>
      <c r="Q66" s="326">
        <f t="shared" ref="Q66:Q86" si="406">IFERROR(VLOOKUP(M66,LAGALIM,3,FALSE),"")</f>
        <v>43467.46</v>
      </c>
      <c r="R66" s="716">
        <f t="shared" ref="R66:R86" si="407">IFERROR(VLOOKUP(M66,LAGEFC,3,FALSE),"0")</f>
        <v>182164.63</v>
      </c>
      <c r="S66" s="326">
        <f t="shared" si="297"/>
        <v>-1617835.37</v>
      </c>
      <c r="T66" s="137">
        <f t="shared" si="298"/>
        <v>0.10120257222222223</v>
      </c>
      <c r="U66" s="326">
        <f t="shared" si="299"/>
        <v>0</v>
      </c>
      <c r="V66" s="332">
        <v>1800000</v>
      </c>
      <c r="W66" s="140">
        <f t="shared" si="19"/>
        <v>237265.65</v>
      </c>
      <c r="X66" s="326">
        <f t="shared" ref="X66:X86" si="408">IFERROR(VLOOKUP(M66,LAGALIM,4,FALSE),"")</f>
        <v>0</v>
      </c>
      <c r="Y66" s="717">
        <f t="shared" ref="Y66:Y86" si="409">IFERROR(VLOOKUP(M66,LAGEFC,4,FALSE),"0")</f>
        <v>237265.65</v>
      </c>
      <c r="Z66" s="123">
        <f t="shared" si="301"/>
        <v>-1562734.35</v>
      </c>
      <c r="AA66" s="137">
        <f t="shared" si="302"/>
        <v>0.13181424999999999</v>
      </c>
      <c r="AB66" s="326">
        <v>1800000</v>
      </c>
      <c r="AC66" s="326">
        <v>1800000</v>
      </c>
      <c r="AD66" s="326">
        <f t="shared" si="25"/>
        <v>0</v>
      </c>
      <c r="AE66" s="326">
        <f t="shared" ref="AE66:AE86" si="410">IFERROR(VLOOKUP(M66,LAGALIM,5,FALSE),"")</f>
        <v>102926.59</v>
      </c>
      <c r="AF66" s="716">
        <f t="shared" ref="AF66:AF86" si="411">IFERROR(VLOOKUP(M66,LAGEFC,5,FALSE),"0")</f>
        <v>102926.59</v>
      </c>
      <c r="AG66" s="326">
        <f t="shared" si="28"/>
        <v>-1697073.41</v>
      </c>
      <c r="AH66" s="137">
        <f t="shared" si="287"/>
        <v>5.7181438888888887E-2</v>
      </c>
      <c r="AI66" s="332">
        <f t="shared" si="30"/>
        <v>5400000</v>
      </c>
      <c r="AJ66" s="140">
        <f t="shared" ref="AJ66:AJ97" si="412">IFERROR(VLOOKUP(M66,trim2024,2,FALSE),"0")</f>
        <v>737557.02</v>
      </c>
      <c r="AK66" s="326">
        <f t="shared" si="32"/>
        <v>375962.82</v>
      </c>
      <c r="AL66" s="326">
        <f t="shared" ref="AL66:AM66" si="413">SUM(AE66,X66,Q66)</f>
        <v>146394.04999999999</v>
      </c>
      <c r="AM66" s="326">
        <f t="shared" si="413"/>
        <v>522356.87</v>
      </c>
      <c r="AN66" s="326">
        <f t="shared" si="70"/>
        <v>-4877643.13</v>
      </c>
      <c r="AO66" s="413">
        <f t="shared" si="79"/>
        <v>0.70822574504137992</v>
      </c>
      <c r="AP66" s="423">
        <f t="shared" si="305"/>
        <v>0</v>
      </c>
      <c r="AQ66" s="326">
        <f t="shared" si="36"/>
        <v>102584.18</v>
      </c>
      <c r="AR66" s="326">
        <f t="shared" ref="AR66:AR97" si="414">IFERROR(VLOOKUP(M66,LAGALIM,6,FALSE),"")</f>
        <v>0</v>
      </c>
      <c r="AS66" s="333">
        <f t="shared" ref="AS66:AS97" si="415">IFERROR(VLOOKUP(M66,LAGEFC,6,FALSE),"0")</f>
        <v>102584.18</v>
      </c>
      <c r="AT66" s="434">
        <f t="shared" si="306"/>
        <v>0</v>
      </c>
      <c r="AU66" s="140">
        <f t="shared" si="40"/>
        <v>0</v>
      </c>
      <c r="AV66" s="326">
        <f t="shared" ref="AV66:AV97" si="416">IFERROR(VLOOKUP(M66,LAGALIM,7,FALSE),"")</f>
        <v>86386.240000000005</v>
      </c>
      <c r="AW66" s="333">
        <f t="shared" ref="AW66:AW97" si="417">IFERROR(VLOOKUP(M66,LAGEFC,7,FALSE),"0")</f>
        <v>86386.240000000005</v>
      </c>
      <c r="AX66" s="125">
        <f t="shared" si="307"/>
        <v>0</v>
      </c>
      <c r="AY66" s="140">
        <f t="shared" si="44"/>
        <v>0</v>
      </c>
      <c r="AZ66" s="326">
        <f t="shared" ref="AZ66:AZ97" si="418">IFERROR(VLOOKUP(M66,LAGALIM,8,FALSE),"")</f>
        <v>0</v>
      </c>
      <c r="BA66" s="332">
        <f t="shared" ref="BA66:BA97" si="419">IFERROR(VLOOKUP(M66,LAGEFC,8,FALSE),"0")</f>
        <v>0</v>
      </c>
      <c r="BB66" s="122">
        <f t="shared" ref="BB66:BD66" si="420">AY66+AU66+AQ66</f>
        <v>102584.18</v>
      </c>
      <c r="BC66" s="326">
        <f t="shared" si="420"/>
        <v>86386.240000000005</v>
      </c>
      <c r="BD66" s="332">
        <f t="shared" si="420"/>
        <v>188970.41999999998</v>
      </c>
      <c r="BE66" s="122">
        <f t="shared" si="48"/>
        <v>478547</v>
      </c>
      <c r="BF66" s="326">
        <f t="shared" ref="BF66:BG66" si="421">AL66+BC66</f>
        <v>232780.28999999998</v>
      </c>
      <c r="BG66" s="435">
        <f t="shared" si="421"/>
        <v>711327.29</v>
      </c>
      <c r="BH66" s="125">
        <f t="shared" ref="BH66:BH97" si="422">IFERROR(VLOOKUP(M66,LAGE24,9,FALSE),"")</f>
        <v>0</v>
      </c>
      <c r="BI66" s="140">
        <f t="shared" si="51"/>
        <v>0</v>
      </c>
      <c r="BJ66" s="123">
        <f t="shared" ref="BJ66:BJ97" si="423">IFERROR(VLOOKUP(M66,LAGALIM,9,FALSE),"")</f>
        <v>0</v>
      </c>
      <c r="BK66" s="125">
        <f t="shared" ref="BK66:BK97" si="424">IFERROR(VLOOKUP(M66,LAGEFC,9,FALSE),"0")</f>
        <v>0</v>
      </c>
      <c r="BL66" s="123">
        <f t="shared" ref="BL66:BL97" si="425">IFERROR(VLOOKUP(M66,LAGE24,10,FALSE),"")</f>
        <v>0</v>
      </c>
      <c r="BM66" s="140">
        <f t="shared" si="55"/>
        <v>0</v>
      </c>
      <c r="BN66" s="326">
        <f t="shared" ref="BN66:BN97" si="426">IFERROR(VLOOKUP(M66,LAGALIM,10,FALSE),"")</f>
        <v>0</v>
      </c>
      <c r="BO66" s="332">
        <f t="shared" ref="BO66:BO97" si="427">IFERROR(VLOOKUP(M66,LAGEFC,10,FALSE),"0")</f>
        <v>0</v>
      </c>
      <c r="BP66" s="141">
        <f t="shared" ref="BP66:BP97" si="428">IFERROR(VLOOKUP(M66,LAGE24,11,FALSE),"")</f>
        <v>0</v>
      </c>
      <c r="BQ66" s="140">
        <f t="shared" si="59"/>
        <v>0</v>
      </c>
      <c r="BR66" s="326">
        <f t="shared" ref="BR66:BR97" si="429">IFERROR(VLOOKUP(M66,LAGALIM,11,FALSE),"")</f>
        <v>0</v>
      </c>
      <c r="BS66" s="333">
        <f t="shared" ref="BS66:BS97" si="430">IFERROR(VLOOKUP(M66,LAGEFC,11,FALSE),"0")</f>
        <v>0</v>
      </c>
      <c r="BT66" s="113">
        <f t="shared" ref="BT66:BV66" si="431">SUM(BQ66,BM66,BI66)</f>
        <v>0</v>
      </c>
      <c r="BU66" s="116">
        <f t="shared" si="431"/>
        <v>0</v>
      </c>
      <c r="BV66" s="117">
        <f t="shared" si="431"/>
        <v>0</v>
      </c>
      <c r="BW66" s="141">
        <f t="shared" ref="BW66:BW97" si="432">IFERROR(VLOOKUP(M66,LAGE24,12,FALSE),"")</f>
        <v>337180.13</v>
      </c>
      <c r="BX66" s="113">
        <f t="shared" si="64"/>
        <v>0</v>
      </c>
      <c r="BY66" s="114">
        <f t="shared" ref="BY66:BY97" si="433">IFERROR(VLOOKUP(M66,LAGALIM,12,FALSE),"")</f>
        <v>0</v>
      </c>
      <c r="BZ66" s="115">
        <f t="shared" ref="BZ66:BZ97" si="434">IFERROR(VLOOKUP(M66,LAGEFC,12,FALSE),"0")</f>
        <v>0</v>
      </c>
      <c r="CA66" s="123">
        <f t="shared" ref="CA66:CA97" si="435">IFERROR(VLOOKUP(M66,LAGE24,13,FALSE),"")</f>
        <v>101412.06</v>
      </c>
      <c r="CB66" s="333">
        <f t="shared" ref="CB66:CB97" si="436">IFERROR(VLOOKUP(M66,LAGE24,14,FALSE),"")</f>
        <v>298964.83</v>
      </c>
      <c r="CY66" s="294"/>
      <c r="DF66" s="296"/>
    </row>
    <row r="67" spans="1:110" ht="13">
      <c r="A67" s="420">
        <f t="shared" si="394"/>
        <v>112014397</v>
      </c>
      <c r="B67" s="565">
        <f t="shared" si="395"/>
        <v>7</v>
      </c>
      <c r="C67" s="558">
        <f t="shared" si="396"/>
        <v>0.1</v>
      </c>
      <c r="D67" s="558">
        <f t="shared" si="397"/>
        <v>0.2</v>
      </c>
      <c r="E67" s="715">
        <f t="shared" si="398"/>
        <v>0</v>
      </c>
      <c r="F67" s="701">
        <f t="shared" si="399"/>
        <v>4</v>
      </c>
      <c r="G67" s="700" t="str">
        <f t="shared" si="400"/>
        <v>Lista</v>
      </c>
      <c r="H67" s="700">
        <f t="shared" si="401"/>
        <v>0.2</v>
      </c>
      <c r="I67" s="700">
        <f t="shared" si="402"/>
        <v>0</v>
      </c>
      <c r="J67" s="547">
        <f t="shared" si="403"/>
        <v>70</v>
      </c>
      <c r="K67" s="699" t="str">
        <f t="shared" si="404"/>
        <v>Lista</v>
      </c>
      <c r="L67" s="702">
        <f t="shared" si="405"/>
        <v>0.11</v>
      </c>
      <c r="M67" s="139" t="s">
        <v>572</v>
      </c>
      <c r="N67" s="423">
        <f t="shared" si="296"/>
        <v>0</v>
      </c>
      <c r="O67" s="326">
        <v>1800000</v>
      </c>
      <c r="P67" s="326">
        <f t="shared" si="13"/>
        <v>0</v>
      </c>
      <c r="Q67" s="326">
        <f t="shared" si="406"/>
        <v>0</v>
      </c>
      <c r="R67" s="716">
        <f t="shared" si="407"/>
        <v>0</v>
      </c>
      <c r="S67" s="326">
        <f t="shared" si="297"/>
        <v>-1800000</v>
      </c>
      <c r="T67" s="137">
        <f t="shared" si="298"/>
        <v>0</v>
      </c>
      <c r="U67" s="326">
        <f t="shared" si="299"/>
        <v>0</v>
      </c>
      <c r="V67" s="332">
        <v>1800000</v>
      </c>
      <c r="W67" s="140">
        <f t="shared" si="19"/>
        <v>0</v>
      </c>
      <c r="X67" s="326">
        <f t="shared" si="408"/>
        <v>0</v>
      </c>
      <c r="Y67" s="717">
        <f t="shared" si="409"/>
        <v>0</v>
      </c>
      <c r="Z67" s="123">
        <f t="shared" si="301"/>
        <v>-1800000</v>
      </c>
      <c r="AA67" s="137">
        <f t="shared" si="302"/>
        <v>0</v>
      </c>
      <c r="AB67" s="326">
        <v>1800000</v>
      </c>
      <c r="AC67" s="326">
        <v>1800000</v>
      </c>
      <c r="AD67" s="326">
        <f t="shared" si="25"/>
        <v>0</v>
      </c>
      <c r="AE67" s="326">
        <f t="shared" si="410"/>
        <v>0</v>
      </c>
      <c r="AF67" s="716">
        <f t="shared" si="411"/>
        <v>0</v>
      </c>
      <c r="AG67" s="326">
        <f t="shared" si="28"/>
        <v>-1800000</v>
      </c>
      <c r="AH67" s="137">
        <f t="shared" si="287"/>
        <v>0</v>
      </c>
      <c r="AI67" s="332">
        <f t="shared" si="30"/>
        <v>5400000</v>
      </c>
      <c r="AJ67" s="140" t="str">
        <f t="shared" si="412"/>
        <v>0</v>
      </c>
      <c r="AK67" s="326">
        <f t="shared" si="32"/>
        <v>0</v>
      </c>
      <c r="AL67" s="326">
        <f t="shared" ref="AL67:AM67" si="437">SUM(AE67,X67,Q67)</f>
        <v>0</v>
      </c>
      <c r="AM67" s="326">
        <f t="shared" si="437"/>
        <v>0</v>
      </c>
      <c r="AN67" s="326">
        <f t="shared" si="70"/>
        <v>-5400000</v>
      </c>
      <c r="AO67" s="413" t="str">
        <f t="shared" si="79"/>
        <v/>
      </c>
      <c r="AP67" s="423">
        <f t="shared" si="305"/>
        <v>142593.20000000001</v>
      </c>
      <c r="AQ67" s="326">
        <f t="shared" si="36"/>
        <v>0</v>
      </c>
      <c r="AR67" s="326">
        <f t="shared" si="414"/>
        <v>0</v>
      </c>
      <c r="AS67" s="333">
        <f t="shared" si="415"/>
        <v>0</v>
      </c>
      <c r="AT67" s="434">
        <f t="shared" si="306"/>
        <v>0</v>
      </c>
      <c r="AU67" s="140">
        <f t="shared" si="40"/>
        <v>0</v>
      </c>
      <c r="AV67" s="326">
        <f t="shared" si="416"/>
        <v>0</v>
      </c>
      <c r="AW67" s="333">
        <f t="shared" si="417"/>
        <v>0</v>
      </c>
      <c r="AX67" s="125">
        <f t="shared" si="307"/>
        <v>0</v>
      </c>
      <c r="AY67" s="140">
        <f t="shared" si="44"/>
        <v>0</v>
      </c>
      <c r="AZ67" s="326">
        <f t="shared" si="418"/>
        <v>0</v>
      </c>
      <c r="BA67" s="332">
        <f t="shared" si="419"/>
        <v>0</v>
      </c>
      <c r="BB67" s="122">
        <f t="shared" ref="BB67:BD67" si="438">AY67+AU67+AQ67</f>
        <v>0</v>
      </c>
      <c r="BC67" s="326">
        <f t="shared" si="438"/>
        <v>0</v>
      </c>
      <c r="BD67" s="332">
        <f t="shared" si="438"/>
        <v>0</v>
      </c>
      <c r="BE67" s="122">
        <f t="shared" si="48"/>
        <v>0</v>
      </c>
      <c r="BF67" s="326">
        <f t="shared" ref="BF67:BG67" si="439">AL67+BC67</f>
        <v>0</v>
      </c>
      <c r="BG67" s="435">
        <f t="shared" si="439"/>
        <v>0</v>
      </c>
      <c r="BH67" s="125">
        <f t="shared" si="422"/>
        <v>0</v>
      </c>
      <c r="BI67" s="140">
        <f t="shared" si="51"/>
        <v>0</v>
      </c>
      <c r="BJ67" s="123">
        <f t="shared" si="423"/>
        <v>31057.599999999999</v>
      </c>
      <c r="BK67" s="125">
        <f t="shared" si="424"/>
        <v>31057.599999999999</v>
      </c>
      <c r="BL67" s="123">
        <f t="shared" si="425"/>
        <v>0</v>
      </c>
      <c r="BM67" s="140">
        <f t="shared" si="55"/>
        <v>0</v>
      </c>
      <c r="BN67" s="326">
        <f t="shared" si="426"/>
        <v>0</v>
      </c>
      <c r="BO67" s="332">
        <f t="shared" si="427"/>
        <v>0</v>
      </c>
      <c r="BP67" s="141">
        <f t="shared" si="428"/>
        <v>0</v>
      </c>
      <c r="BQ67" s="140">
        <f t="shared" si="59"/>
        <v>0</v>
      </c>
      <c r="BR67" s="326">
        <f t="shared" si="429"/>
        <v>0</v>
      </c>
      <c r="BS67" s="333">
        <f t="shared" si="430"/>
        <v>0</v>
      </c>
      <c r="BT67" s="113">
        <f t="shared" ref="BT67:BV67" si="440">SUM(BQ67,BM67,BI67)</f>
        <v>0</v>
      </c>
      <c r="BU67" s="116">
        <f t="shared" si="440"/>
        <v>31057.599999999999</v>
      </c>
      <c r="BV67" s="117">
        <f t="shared" si="440"/>
        <v>31057.599999999999</v>
      </c>
      <c r="BW67" s="141">
        <f t="shared" si="432"/>
        <v>0</v>
      </c>
      <c r="BX67" s="113">
        <f t="shared" si="64"/>
        <v>0</v>
      </c>
      <c r="BY67" s="114">
        <f t="shared" si="433"/>
        <v>0</v>
      </c>
      <c r="BZ67" s="115">
        <f t="shared" si="434"/>
        <v>0</v>
      </c>
      <c r="CA67" s="123">
        <f t="shared" si="435"/>
        <v>0</v>
      </c>
      <c r="CB67" s="333">
        <f t="shared" si="436"/>
        <v>0</v>
      </c>
      <c r="CY67" s="294"/>
      <c r="DF67" s="296"/>
    </row>
    <row r="68" spans="1:110" ht="13">
      <c r="A68" s="420">
        <f t="shared" si="394"/>
        <v>112014398</v>
      </c>
      <c r="B68" s="565">
        <f t="shared" si="395"/>
        <v>7</v>
      </c>
      <c r="C68" s="558">
        <f t="shared" si="396"/>
        <v>0.1</v>
      </c>
      <c r="D68" s="558">
        <f t="shared" si="397"/>
        <v>0.2</v>
      </c>
      <c r="E68" s="715">
        <f t="shared" si="398"/>
        <v>0</v>
      </c>
      <c r="F68" s="701">
        <f t="shared" si="399"/>
        <v>4</v>
      </c>
      <c r="G68" s="700" t="str">
        <f t="shared" si="400"/>
        <v>Lista</v>
      </c>
      <c r="H68" s="700">
        <f t="shared" si="401"/>
        <v>0.2</v>
      </c>
      <c r="I68" s="700">
        <f t="shared" si="402"/>
        <v>0</v>
      </c>
      <c r="J68" s="547">
        <f t="shared" si="403"/>
        <v>70</v>
      </c>
      <c r="K68" s="699" t="str">
        <f t="shared" si="404"/>
        <v>Lista</v>
      </c>
      <c r="L68" s="702">
        <f t="shared" si="405"/>
        <v>0.11</v>
      </c>
      <c r="M68" s="139" t="s">
        <v>573</v>
      </c>
      <c r="N68" s="423">
        <f t="shared" si="296"/>
        <v>0</v>
      </c>
      <c r="O68" s="326">
        <v>1800000</v>
      </c>
      <c r="P68" s="326" t="e">
        <f t="shared" si="13"/>
        <v>#VALUE!</v>
      </c>
      <c r="Q68" s="326" t="str">
        <f t="shared" si="406"/>
        <v/>
      </c>
      <c r="R68" s="716" t="str">
        <f t="shared" si="407"/>
        <v>0</v>
      </c>
      <c r="S68" s="326">
        <f t="shared" si="297"/>
        <v>-1800000</v>
      </c>
      <c r="T68" s="137">
        <f t="shared" si="298"/>
        <v>0</v>
      </c>
      <c r="U68" s="326">
        <f t="shared" si="299"/>
        <v>0</v>
      </c>
      <c r="V68" s="332">
        <v>1800000</v>
      </c>
      <c r="W68" s="140" t="e">
        <f t="shared" si="19"/>
        <v>#VALUE!</v>
      </c>
      <c r="X68" s="326" t="str">
        <f t="shared" si="408"/>
        <v/>
      </c>
      <c r="Y68" s="717" t="str">
        <f t="shared" si="409"/>
        <v>0</v>
      </c>
      <c r="Z68" s="123">
        <f t="shared" si="301"/>
        <v>-1800000</v>
      </c>
      <c r="AA68" s="137">
        <f t="shared" si="302"/>
        <v>0</v>
      </c>
      <c r="AB68" s="326">
        <v>1800000</v>
      </c>
      <c r="AC68" s="326">
        <v>1800000</v>
      </c>
      <c r="AD68" s="326" t="e">
        <f t="shared" si="25"/>
        <v>#VALUE!</v>
      </c>
      <c r="AE68" s="326" t="str">
        <f t="shared" si="410"/>
        <v/>
      </c>
      <c r="AF68" s="716" t="str">
        <f t="shared" si="411"/>
        <v>0</v>
      </c>
      <c r="AG68" s="326">
        <f t="shared" si="28"/>
        <v>-1800000</v>
      </c>
      <c r="AH68" s="137">
        <f t="shared" si="287"/>
        <v>0</v>
      </c>
      <c r="AI68" s="332">
        <f t="shared" si="30"/>
        <v>5400000</v>
      </c>
      <c r="AJ68" s="140" t="str">
        <f t="shared" si="412"/>
        <v>0</v>
      </c>
      <c r="AK68" s="326">
        <f t="shared" si="32"/>
        <v>0</v>
      </c>
      <c r="AL68" s="326">
        <f t="shared" ref="AL68:AM68" si="441">SUM(AE68,X68,Q68)</f>
        <v>0</v>
      </c>
      <c r="AM68" s="326">
        <f t="shared" si="441"/>
        <v>0</v>
      </c>
      <c r="AN68" s="326">
        <f t="shared" si="70"/>
        <v>-5400000</v>
      </c>
      <c r="AO68" s="413" t="str">
        <f t="shared" si="79"/>
        <v/>
      </c>
      <c r="AP68" s="423">
        <f t="shared" si="305"/>
        <v>93363.71</v>
      </c>
      <c r="AQ68" s="326" t="e">
        <f t="shared" si="36"/>
        <v>#VALUE!</v>
      </c>
      <c r="AR68" s="326" t="str">
        <f t="shared" si="414"/>
        <v/>
      </c>
      <c r="AS68" s="333" t="str">
        <f t="shared" si="415"/>
        <v>0</v>
      </c>
      <c r="AT68" s="434">
        <f t="shared" si="306"/>
        <v>0</v>
      </c>
      <c r="AU68" s="140" t="e">
        <f t="shared" si="40"/>
        <v>#VALUE!</v>
      </c>
      <c r="AV68" s="326" t="str">
        <f t="shared" si="416"/>
        <v/>
      </c>
      <c r="AW68" s="333" t="str">
        <f t="shared" si="417"/>
        <v>0</v>
      </c>
      <c r="AX68" s="125">
        <f t="shared" si="307"/>
        <v>0</v>
      </c>
      <c r="AY68" s="140" t="e">
        <f t="shared" si="44"/>
        <v>#VALUE!</v>
      </c>
      <c r="AZ68" s="326" t="str">
        <f t="shared" si="418"/>
        <v/>
      </c>
      <c r="BA68" s="332" t="str">
        <f t="shared" si="419"/>
        <v>0</v>
      </c>
      <c r="BB68" s="122" t="e">
        <f t="shared" ref="BB68:BD68" si="442">AY68+AU68+AQ68</f>
        <v>#VALUE!</v>
      </c>
      <c r="BC68" s="326" t="e">
        <f t="shared" si="442"/>
        <v>#VALUE!</v>
      </c>
      <c r="BD68" s="332">
        <f t="shared" si="442"/>
        <v>0</v>
      </c>
      <c r="BE68" s="122" t="e">
        <f t="shared" si="48"/>
        <v>#VALUE!</v>
      </c>
      <c r="BF68" s="326" t="e">
        <f t="shared" ref="BF68:BG68" si="443">AL68+BC68</f>
        <v>#VALUE!</v>
      </c>
      <c r="BG68" s="435">
        <f t="shared" si="443"/>
        <v>0</v>
      </c>
      <c r="BH68" s="125">
        <f t="shared" si="422"/>
        <v>0</v>
      </c>
      <c r="BI68" s="140" t="e">
        <f t="shared" si="51"/>
        <v>#VALUE!</v>
      </c>
      <c r="BJ68" s="123" t="str">
        <f t="shared" si="423"/>
        <v/>
      </c>
      <c r="BK68" s="125" t="str">
        <f t="shared" si="424"/>
        <v>0</v>
      </c>
      <c r="BL68" s="123">
        <f t="shared" si="425"/>
        <v>0</v>
      </c>
      <c r="BM68" s="140" t="e">
        <f t="shared" si="55"/>
        <v>#VALUE!</v>
      </c>
      <c r="BN68" s="326" t="str">
        <f t="shared" si="426"/>
        <v/>
      </c>
      <c r="BO68" s="332" t="str">
        <f t="shared" si="427"/>
        <v>0</v>
      </c>
      <c r="BP68" s="141">
        <f t="shared" si="428"/>
        <v>0</v>
      </c>
      <c r="BQ68" s="140" t="e">
        <f t="shared" si="59"/>
        <v>#VALUE!</v>
      </c>
      <c r="BR68" s="326" t="str">
        <f t="shared" si="429"/>
        <v/>
      </c>
      <c r="BS68" s="333" t="str">
        <f t="shared" si="430"/>
        <v>0</v>
      </c>
      <c r="BT68" s="113" t="e">
        <f t="shared" ref="BT68:BV68" si="444">SUM(BQ68,BM68,BI68)</f>
        <v>#VALUE!</v>
      </c>
      <c r="BU68" s="116">
        <f t="shared" si="444"/>
        <v>0</v>
      </c>
      <c r="BV68" s="117">
        <f t="shared" si="444"/>
        <v>0</v>
      </c>
      <c r="BW68" s="141">
        <f t="shared" si="432"/>
        <v>0</v>
      </c>
      <c r="BX68" s="113" t="e">
        <f t="shared" si="64"/>
        <v>#VALUE!</v>
      </c>
      <c r="BY68" s="114" t="str">
        <f t="shared" si="433"/>
        <v/>
      </c>
      <c r="BZ68" s="115" t="str">
        <f t="shared" si="434"/>
        <v>0</v>
      </c>
      <c r="CA68" s="123">
        <f t="shared" si="435"/>
        <v>0</v>
      </c>
      <c r="CB68" s="333">
        <f t="shared" si="436"/>
        <v>0</v>
      </c>
      <c r="CY68" s="294"/>
      <c r="DF68" s="296"/>
    </row>
    <row r="69" spans="1:110" ht="13">
      <c r="A69" s="420">
        <f t="shared" si="394"/>
        <v>112014468</v>
      </c>
      <c r="B69" s="565">
        <f t="shared" si="395"/>
        <v>7</v>
      </c>
      <c r="C69" s="558">
        <f t="shared" si="396"/>
        <v>0.1</v>
      </c>
      <c r="D69" s="558">
        <f t="shared" si="397"/>
        <v>0.2</v>
      </c>
      <c r="E69" s="715">
        <f t="shared" si="398"/>
        <v>0</v>
      </c>
      <c r="F69" s="701">
        <f t="shared" si="399"/>
        <v>4</v>
      </c>
      <c r="G69" s="700" t="str">
        <f t="shared" si="400"/>
        <v>Lista</v>
      </c>
      <c r="H69" s="700">
        <f t="shared" si="401"/>
        <v>0.2</v>
      </c>
      <c r="I69" s="700">
        <f t="shared" si="402"/>
        <v>0</v>
      </c>
      <c r="J69" s="547">
        <f t="shared" si="403"/>
        <v>70</v>
      </c>
      <c r="K69" s="699" t="str">
        <f t="shared" si="404"/>
        <v>Lista</v>
      </c>
      <c r="L69" s="702">
        <f t="shared" si="405"/>
        <v>0.11</v>
      </c>
      <c r="M69" s="139" t="s">
        <v>574</v>
      </c>
      <c r="N69" s="423">
        <f t="shared" si="296"/>
        <v>0</v>
      </c>
      <c r="O69" s="326">
        <v>1800000</v>
      </c>
      <c r="P69" s="326" t="e">
        <f t="shared" si="13"/>
        <v>#VALUE!</v>
      </c>
      <c r="Q69" s="326" t="str">
        <f t="shared" si="406"/>
        <v/>
      </c>
      <c r="R69" s="716" t="str">
        <f t="shared" si="407"/>
        <v>0</v>
      </c>
      <c r="S69" s="326">
        <f t="shared" si="297"/>
        <v>-1800000</v>
      </c>
      <c r="T69" s="137">
        <f t="shared" si="298"/>
        <v>0</v>
      </c>
      <c r="U69" s="326">
        <f t="shared" si="299"/>
        <v>0</v>
      </c>
      <c r="V69" s="332">
        <v>1800000</v>
      </c>
      <c r="W69" s="140" t="e">
        <f t="shared" si="19"/>
        <v>#VALUE!</v>
      </c>
      <c r="X69" s="326" t="str">
        <f t="shared" si="408"/>
        <v/>
      </c>
      <c r="Y69" s="717" t="str">
        <f t="shared" si="409"/>
        <v>0</v>
      </c>
      <c r="Z69" s="123">
        <f t="shared" si="301"/>
        <v>-1800000</v>
      </c>
      <c r="AA69" s="137">
        <f t="shared" si="302"/>
        <v>0</v>
      </c>
      <c r="AB69" s="326">
        <v>1800000</v>
      </c>
      <c r="AC69" s="326">
        <v>1800000</v>
      </c>
      <c r="AD69" s="326" t="e">
        <f t="shared" si="25"/>
        <v>#VALUE!</v>
      </c>
      <c r="AE69" s="326" t="str">
        <f t="shared" si="410"/>
        <v/>
      </c>
      <c r="AF69" s="716" t="str">
        <f t="shared" si="411"/>
        <v>0</v>
      </c>
      <c r="AG69" s="326">
        <f t="shared" si="28"/>
        <v>-1800000</v>
      </c>
      <c r="AH69" s="137">
        <f t="shared" si="287"/>
        <v>0</v>
      </c>
      <c r="AI69" s="332">
        <f t="shared" si="30"/>
        <v>5400000</v>
      </c>
      <c r="AJ69" s="140" t="str">
        <f t="shared" si="412"/>
        <v>0</v>
      </c>
      <c r="AK69" s="326">
        <f t="shared" si="32"/>
        <v>0</v>
      </c>
      <c r="AL69" s="326">
        <f t="shared" ref="AL69:AM69" si="445">SUM(AE69,X69,Q69)</f>
        <v>0</v>
      </c>
      <c r="AM69" s="326">
        <f t="shared" si="445"/>
        <v>0</v>
      </c>
      <c r="AN69" s="326">
        <f t="shared" si="70"/>
        <v>-5400000</v>
      </c>
      <c r="AO69" s="413" t="str">
        <f t="shared" si="79"/>
        <v/>
      </c>
      <c r="AP69" s="423">
        <f t="shared" si="305"/>
        <v>0</v>
      </c>
      <c r="AQ69" s="326" t="e">
        <f t="shared" si="36"/>
        <v>#VALUE!</v>
      </c>
      <c r="AR69" s="326" t="str">
        <f t="shared" si="414"/>
        <v/>
      </c>
      <c r="AS69" s="333" t="str">
        <f t="shared" si="415"/>
        <v>0</v>
      </c>
      <c r="AT69" s="434">
        <f t="shared" si="306"/>
        <v>0</v>
      </c>
      <c r="AU69" s="140" t="e">
        <f t="shared" si="40"/>
        <v>#VALUE!</v>
      </c>
      <c r="AV69" s="326" t="str">
        <f t="shared" si="416"/>
        <v/>
      </c>
      <c r="AW69" s="333" t="str">
        <f t="shared" si="417"/>
        <v>0</v>
      </c>
      <c r="AX69" s="125">
        <f t="shared" si="307"/>
        <v>73052.240000000005</v>
      </c>
      <c r="AY69" s="140" t="e">
        <f t="shared" si="44"/>
        <v>#VALUE!</v>
      </c>
      <c r="AZ69" s="326" t="str">
        <f t="shared" si="418"/>
        <v/>
      </c>
      <c r="BA69" s="332" t="str">
        <f t="shared" si="419"/>
        <v>0</v>
      </c>
      <c r="BB69" s="122" t="e">
        <f t="shared" ref="BB69:BD69" si="446">AY69+AU69+AQ69</f>
        <v>#VALUE!</v>
      </c>
      <c r="BC69" s="326" t="e">
        <f t="shared" si="446"/>
        <v>#VALUE!</v>
      </c>
      <c r="BD69" s="332">
        <f t="shared" si="446"/>
        <v>0</v>
      </c>
      <c r="BE69" s="122" t="e">
        <f t="shared" si="48"/>
        <v>#VALUE!</v>
      </c>
      <c r="BF69" s="326" t="e">
        <f t="shared" ref="BF69:BG69" si="447">AL69+BC69</f>
        <v>#VALUE!</v>
      </c>
      <c r="BG69" s="435">
        <f t="shared" si="447"/>
        <v>0</v>
      </c>
      <c r="BH69" s="125">
        <f t="shared" si="422"/>
        <v>0</v>
      </c>
      <c r="BI69" s="140" t="e">
        <f t="shared" si="51"/>
        <v>#VALUE!</v>
      </c>
      <c r="BJ69" s="123" t="str">
        <f t="shared" si="423"/>
        <v/>
      </c>
      <c r="BK69" s="125" t="str">
        <f t="shared" si="424"/>
        <v>0</v>
      </c>
      <c r="BL69" s="123">
        <f t="shared" si="425"/>
        <v>0</v>
      </c>
      <c r="BM69" s="140" t="e">
        <f t="shared" si="55"/>
        <v>#VALUE!</v>
      </c>
      <c r="BN69" s="326" t="str">
        <f t="shared" si="426"/>
        <v/>
      </c>
      <c r="BO69" s="332" t="str">
        <f t="shared" si="427"/>
        <v>0</v>
      </c>
      <c r="BP69" s="141">
        <f t="shared" si="428"/>
        <v>0</v>
      </c>
      <c r="BQ69" s="140" t="e">
        <f t="shared" si="59"/>
        <v>#VALUE!</v>
      </c>
      <c r="BR69" s="326" t="str">
        <f t="shared" si="429"/>
        <v/>
      </c>
      <c r="BS69" s="333" t="str">
        <f t="shared" si="430"/>
        <v>0</v>
      </c>
      <c r="BT69" s="113" t="e">
        <f t="shared" ref="BT69:BV69" si="448">SUM(BQ69,BM69,BI69)</f>
        <v>#VALUE!</v>
      </c>
      <c r="BU69" s="116">
        <f t="shared" si="448"/>
        <v>0</v>
      </c>
      <c r="BV69" s="117">
        <f t="shared" si="448"/>
        <v>0</v>
      </c>
      <c r="BW69" s="141">
        <f t="shared" si="432"/>
        <v>0</v>
      </c>
      <c r="BX69" s="113" t="e">
        <f t="shared" si="64"/>
        <v>#VALUE!</v>
      </c>
      <c r="BY69" s="114" t="str">
        <f t="shared" si="433"/>
        <v/>
      </c>
      <c r="BZ69" s="115" t="str">
        <f t="shared" si="434"/>
        <v>0</v>
      </c>
      <c r="CA69" s="123">
        <f t="shared" si="435"/>
        <v>0</v>
      </c>
      <c r="CB69" s="333">
        <f t="shared" si="436"/>
        <v>0</v>
      </c>
      <c r="CY69" s="294"/>
      <c r="DF69" s="296"/>
    </row>
    <row r="70" spans="1:110" ht="13">
      <c r="A70" s="420">
        <f t="shared" si="394"/>
        <v>112014711</v>
      </c>
      <c r="B70" s="565">
        <f t="shared" si="395"/>
        <v>7</v>
      </c>
      <c r="C70" s="558">
        <f t="shared" si="396"/>
        <v>0.1</v>
      </c>
      <c r="D70" s="558">
        <f t="shared" si="397"/>
        <v>0.2</v>
      </c>
      <c r="E70" s="715">
        <f t="shared" si="398"/>
        <v>0</v>
      </c>
      <c r="F70" s="701">
        <f t="shared" si="399"/>
        <v>4</v>
      </c>
      <c r="G70" s="700" t="str">
        <f t="shared" si="400"/>
        <v>Lista</v>
      </c>
      <c r="H70" s="700">
        <f t="shared" si="401"/>
        <v>0.2</v>
      </c>
      <c r="I70" s="700">
        <f t="shared" si="402"/>
        <v>0</v>
      </c>
      <c r="J70" s="547">
        <f t="shared" si="403"/>
        <v>70</v>
      </c>
      <c r="K70" s="699" t="str">
        <f t="shared" si="404"/>
        <v>Lista</v>
      </c>
      <c r="L70" s="702">
        <f t="shared" si="405"/>
        <v>0.11</v>
      </c>
      <c r="M70" s="233" t="s">
        <v>575</v>
      </c>
      <c r="N70" s="423"/>
      <c r="O70" s="326"/>
      <c r="P70" s="326" t="e">
        <f t="shared" si="13"/>
        <v>#VALUE!</v>
      </c>
      <c r="Q70" s="326" t="str">
        <f t="shared" si="406"/>
        <v/>
      </c>
      <c r="R70" s="716">
        <f t="shared" si="407"/>
        <v>0</v>
      </c>
      <c r="S70" s="326">
        <f t="shared" si="297"/>
        <v>0</v>
      </c>
      <c r="T70" s="137" t="e">
        <f t="shared" si="298"/>
        <v>#DIV/0!</v>
      </c>
      <c r="U70" s="326" t="str">
        <f t="shared" si="299"/>
        <v/>
      </c>
      <c r="V70" s="332">
        <v>1800000</v>
      </c>
      <c r="W70" s="140" t="e">
        <f t="shared" si="19"/>
        <v>#VALUE!</v>
      </c>
      <c r="X70" s="326" t="str">
        <f t="shared" si="408"/>
        <v/>
      </c>
      <c r="Y70" s="717">
        <f t="shared" si="409"/>
        <v>0</v>
      </c>
      <c r="Z70" s="123">
        <f t="shared" si="301"/>
        <v>-1800000</v>
      </c>
      <c r="AA70" s="137">
        <f t="shared" si="302"/>
        <v>0</v>
      </c>
      <c r="AB70" s="326">
        <v>1800000</v>
      </c>
      <c r="AC70" s="326">
        <v>1800000</v>
      </c>
      <c r="AD70" s="326" t="e">
        <f t="shared" si="25"/>
        <v>#VALUE!</v>
      </c>
      <c r="AE70" s="326" t="str">
        <f t="shared" si="410"/>
        <v/>
      </c>
      <c r="AF70" s="716">
        <f t="shared" si="411"/>
        <v>0</v>
      </c>
      <c r="AG70" s="326">
        <f t="shared" si="28"/>
        <v>-1800000</v>
      </c>
      <c r="AH70" s="137">
        <f t="shared" si="287"/>
        <v>0</v>
      </c>
      <c r="AI70" s="332">
        <f t="shared" si="30"/>
        <v>3600000</v>
      </c>
      <c r="AJ70" s="140" t="str">
        <f t="shared" si="412"/>
        <v>0</v>
      </c>
      <c r="AK70" s="326">
        <f t="shared" si="32"/>
        <v>0</v>
      </c>
      <c r="AL70" s="326">
        <f t="shared" ref="AL70:AM70" si="449">SUM(AE70,X70,Q70)</f>
        <v>0</v>
      </c>
      <c r="AM70" s="326">
        <f t="shared" si="449"/>
        <v>0</v>
      </c>
      <c r="AN70" s="326">
        <f t="shared" si="70"/>
        <v>-3600000</v>
      </c>
      <c r="AO70" s="413" t="str">
        <f t="shared" si="79"/>
        <v/>
      </c>
      <c r="AP70" s="423" t="str">
        <f t="shared" si="305"/>
        <v/>
      </c>
      <c r="AQ70" s="326" t="e">
        <f t="shared" si="36"/>
        <v>#VALUE!</v>
      </c>
      <c r="AR70" s="326" t="str">
        <f t="shared" si="414"/>
        <v/>
      </c>
      <c r="AS70" s="333">
        <f t="shared" si="415"/>
        <v>0</v>
      </c>
      <c r="AT70" s="434" t="str">
        <f t="shared" si="306"/>
        <v/>
      </c>
      <c r="AU70" s="140" t="e">
        <f t="shared" si="40"/>
        <v>#VALUE!</v>
      </c>
      <c r="AV70" s="326" t="str">
        <f t="shared" si="416"/>
        <v/>
      </c>
      <c r="AW70" s="333">
        <f t="shared" si="417"/>
        <v>0</v>
      </c>
      <c r="AX70" s="125" t="str">
        <f t="shared" si="307"/>
        <v/>
      </c>
      <c r="AY70" s="140" t="e">
        <f t="shared" si="44"/>
        <v>#VALUE!</v>
      </c>
      <c r="AZ70" s="326" t="str">
        <f t="shared" si="418"/>
        <v/>
      </c>
      <c r="BA70" s="332">
        <f t="shared" si="419"/>
        <v>0</v>
      </c>
      <c r="BB70" s="122" t="e">
        <f t="shared" ref="BB70:BD70" si="450">AY70+AU70+AQ70</f>
        <v>#VALUE!</v>
      </c>
      <c r="BC70" s="326" t="e">
        <f t="shared" si="450"/>
        <v>#VALUE!</v>
      </c>
      <c r="BD70" s="332">
        <f t="shared" si="450"/>
        <v>0</v>
      </c>
      <c r="BE70" s="122" t="e">
        <f t="shared" si="48"/>
        <v>#VALUE!</v>
      </c>
      <c r="BF70" s="326" t="e">
        <f t="shared" ref="BF70:BG70" si="451">AL70+BC70</f>
        <v>#VALUE!</v>
      </c>
      <c r="BG70" s="435">
        <f t="shared" si="451"/>
        <v>0</v>
      </c>
      <c r="BH70" s="125" t="str">
        <f t="shared" si="422"/>
        <v/>
      </c>
      <c r="BI70" s="140" t="e">
        <f t="shared" si="51"/>
        <v>#VALUE!</v>
      </c>
      <c r="BJ70" s="123" t="str">
        <f t="shared" si="423"/>
        <v/>
      </c>
      <c r="BK70" s="125">
        <f t="shared" si="424"/>
        <v>150299.23000000001</v>
      </c>
      <c r="BL70" s="123" t="str">
        <f t="shared" si="425"/>
        <v/>
      </c>
      <c r="BM70" s="140" t="e">
        <f t="shared" si="55"/>
        <v>#VALUE!</v>
      </c>
      <c r="BN70" s="326" t="str">
        <f t="shared" si="426"/>
        <v/>
      </c>
      <c r="BO70" s="332">
        <f t="shared" si="427"/>
        <v>107377.73</v>
      </c>
      <c r="BP70" s="141" t="str">
        <f t="shared" si="428"/>
        <v/>
      </c>
      <c r="BQ70" s="140" t="e">
        <f t="shared" si="59"/>
        <v>#VALUE!</v>
      </c>
      <c r="BR70" s="326" t="str">
        <f t="shared" si="429"/>
        <v/>
      </c>
      <c r="BS70" s="333">
        <f t="shared" si="430"/>
        <v>0</v>
      </c>
      <c r="BT70" s="113" t="e">
        <f t="shared" ref="BT70:BV70" si="452">SUM(BQ70,BM70,BI70)</f>
        <v>#VALUE!</v>
      </c>
      <c r="BU70" s="116">
        <f t="shared" si="452"/>
        <v>0</v>
      </c>
      <c r="BV70" s="117">
        <f t="shared" si="452"/>
        <v>257676.96000000002</v>
      </c>
      <c r="BW70" s="141" t="str">
        <f t="shared" si="432"/>
        <v/>
      </c>
      <c r="BX70" s="113" t="e">
        <f t="shared" si="64"/>
        <v>#VALUE!</v>
      </c>
      <c r="BY70" s="114" t="str">
        <f t="shared" si="433"/>
        <v/>
      </c>
      <c r="BZ70" s="115">
        <f t="shared" si="434"/>
        <v>75425</v>
      </c>
      <c r="CA70" s="123" t="str">
        <f t="shared" si="435"/>
        <v/>
      </c>
      <c r="CB70" s="333" t="str">
        <f t="shared" si="436"/>
        <v/>
      </c>
      <c r="CY70" s="294"/>
      <c r="DF70" s="296"/>
    </row>
    <row r="71" spans="1:110" ht="13">
      <c r="A71" s="420">
        <f t="shared" si="394"/>
        <v>112014455</v>
      </c>
      <c r="B71" s="565">
        <f t="shared" si="395"/>
        <v>7</v>
      </c>
      <c r="C71" s="558">
        <f t="shared" si="396"/>
        <v>0.1</v>
      </c>
      <c r="D71" s="558">
        <f t="shared" si="397"/>
        <v>0.2</v>
      </c>
      <c r="E71" s="715">
        <f t="shared" si="398"/>
        <v>0</v>
      </c>
      <c r="F71" s="701">
        <f t="shared" si="399"/>
        <v>4</v>
      </c>
      <c r="G71" s="700" t="str">
        <f t="shared" si="400"/>
        <v>Lista</v>
      </c>
      <c r="H71" s="700">
        <f t="shared" si="401"/>
        <v>0.2</v>
      </c>
      <c r="I71" s="700">
        <f t="shared" si="402"/>
        <v>0</v>
      </c>
      <c r="J71" s="547">
        <f t="shared" si="403"/>
        <v>70</v>
      </c>
      <c r="K71" s="699" t="str">
        <f t="shared" si="404"/>
        <v>Lista</v>
      </c>
      <c r="L71" s="702">
        <f t="shared" si="405"/>
        <v>0.11</v>
      </c>
      <c r="M71" s="139" t="s">
        <v>576</v>
      </c>
      <c r="N71" s="423">
        <f>IFERROR(VLOOKUP(M71,LAGE24,3,FALSE),"")</f>
        <v>0</v>
      </c>
      <c r="O71" s="326">
        <v>1800000</v>
      </c>
      <c r="P71" s="326" t="e">
        <f t="shared" si="13"/>
        <v>#VALUE!</v>
      </c>
      <c r="Q71" s="326" t="str">
        <f t="shared" si="406"/>
        <v/>
      </c>
      <c r="R71" s="716">
        <f t="shared" si="407"/>
        <v>0</v>
      </c>
      <c r="S71" s="326">
        <f t="shared" si="297"/>
        <v>-1800000</v>
      </c>
      <c r="T71" s="137">
        <f t="shared" si="298"/>
        <v>0</v>
      </c>
      <c r="U71" s="326">
        <f t="shared" si="299"/>
        <v>0</v>
      </c>
      <c r="V71" s="332">
        <v>1800000</v>
      </c>
      <c r="W71" s="140" t="e">
        <f t="shared" si="19"/>
        <v>#VALUE!</v>
      </c>
      <c r="X71" s="326" t="str">
        <f t="shared" si="408"/>
        <v/>
      </c>
      <c r="Y71" s="717">
        <f t="shared" si="409"/>
        <v>194048.92</v>
      </c>
      <c r="Z71" s="123">
        <f t="shared" si="301"/>
        <v>-1605951.08</v>
      </c>
      <c r="AA71" s="137">
        <f t="shared" si="302"/>
        <v>0.10780495555555557</v>
      </c>
      <c r="AB71" s="326">
        <v>1800000</v>
      </c>
      <c r="AC71" s="326">
        <v>1800000</v>
      </c>
      <c r="AD71" s="326" t="e">
        <f t="shared" si="25"/>
        <v>#VALUE!</v>
      </c>
      <c r="AE71" s="326" t="str">
        <f t="shared" si="410"/>
        <v/>
      </c>
      <c r="AF71" s="716">
        <f t="shared" si="411"/>
        <v>0</v>
      </c>
      <c r="AG71" s="326">
        <f t="shared" si="28"/>
        <v>-1800000</v>
      </c>
      <c r="AH71" s="137">
        <f t="shared" si="287"/>
        <v>0</v>
      </c>
      <c r="AI71" s="332">
        <f t="shared" si="30"/>
        <v>5400000</v>
      </c>
      <c r="AJ71" s="140" t="str">
        <f t="shared" si="412"/>
        <v>0</v>
      </c>
      <c r="AK71" s="326">
        <f t="shared" si="32"/>
        <v>194048.92</v>
      </c>
      <c r="AL71" s="326">
        <f t="shared" ref="AL71:AM71" si="453">SUM(AE71,X71,Q71)</f>
        <v>0</v>
      </c>
      <c r="AM71" s="326">
        <f t="shared" si="453"/>
        <v>194048.92</v>
      </c>
      <c r="AN71" s="326">
        <f t="shared" si="70"/>
        <v>-5205951.08</v>
      </c>
      <c r="AO71" s="413" t="str">
        <f t="shared" si="79"/>
        <v/>
      </c>
      <c r="AP71" s="423">
        <f t="shared" si="305"/>
        <v>0</v>
      </c>
      <c r="AQ71" s="326" t="e">
        <f t="shared" si="36"/>
        <v>#VALUE!</v>
      </c>
      <c r="AR71" s="326" t="str">
        <f t="shared" si="414"/>
        <v/>
      </c>
      <c r="AS71" s="333">
        <f t="shared" si="415"/>
        <v>0</v>
      </c>
      <c r="AT71" s="434">
        <f t="shared" si="306"/>
        <v>0</v>
      </c>
      <c r="AU71" s="140" t="e">
        <f t="shared" si="40"/>
        <v>#VALUE!</v>
      </c>
      <c r="AV71" s="326" t="str">
        <f t="shared" si="416"/>
        <v/>
      </c>
      <c r="AW71" s="333">
        <f t="shared" si="417"/>
        <v>0</v>
      </c>
      <c r="AX71" s="125">
        <f t="shared" si="307"/>
        <v>71741.7</v>
      </c>
      <c r="AY71" s="140" t="e">
        <f t="shared" si="44"/>
        <v>#VALUE!</v>
      </c>
      <c r="AZ71" s="326" t="str">
        <f t="shared" si="418"/>
        <v/>
      </c>
      <c r="BA71" s="332">
        <f t="shared" si="419"/>
        <v>0</v>
      </c>
      <c r="BB71" s="122" t="e">
        <f t="shared" ref="BB71:BD71" si="454">AY71+AU71+AQ71</f>
        <v>#VALUE!</v>
      </c>
      <c r="BC71" s="326" t="e">
        <f t="shared" si="454"/>
        <v>#VALUE!</v>
      </c>
      <c r="BD71" s="332">
        <f t="shared" si="454"/>
        <v>0</v>
      </c>
      <c r="BE71" s="122" t="e">
        <f t="shared" si="48"/>
        <v>#VALUE!</v>
      </c>
      <c r="BF71" s="326" t="e">
        <f t="shared" ref="BF71:BG71" si="455">AL71+BC71</f>
        <v>#VALUE!</v>
      </c>
      <c r="BG71" s="435">
        <f t="shared" si="455"/>
        <v>194048.92</v>
      </c>
      <c r="BH71" s="125">
        <f t="shared" si="422"/>
        <v>46392.97</v>
      </c>
      <c r="BI71" s="140" t="e">
        <f t="shared" si="51"/>
        <v>#VALUE!</v>
      </c>
      <c r="BJ71" s="123" t="str">
        <f t="shared" si="423"/>
        <v/>
      </c>
      <c r="BK71" s="125">
        <f t="shared" si="424"/>
        <v>0</v>
      </c>
      <c r="BL71" s="123">
        <f t="shared" si="425"/>
        <v>0</v>
      </c>
      <c r="BM71" s="140" t="e">
        <f t="shared" si="55"/>
        <v>#VALUE!</v>
      </c>
      <c r="BN71" s="326" t="str">
        <f t="shared" si="426"/>
        <v/>
      </c>
      <c r="BO71" s="332">
        <f t="shared" si="427"/>
        <v>0</v>
      </c>
      <c r="BP71" s="141">
        <f t="shared" si="428"/>
        <v>0</v>
      </c>
      <c r="BQ71" s="140" t="e">
        <f t="shared" si="59"/>
        <v>#VALUE!</v>
      </c>
      <c r="BR71" s="326" t="str">
        <f t="shared" si="429"/>
        <v/>
      </c>
      <c r="BS71" s="333">
        <f t="shared" si="430"/>
        <v>0</v>
      </c>
      <c r="BT71" s="113" t="e">
        <f t="shared" ref="BT71:BV71" si="456">SUM(BQ71,BM71,BI71)</f>
        <v>#VALUE!</v>
      </c>
      <c r="BU71" s="116">
        <f t="shared" si="456"/>
        <v>0</v>
      </c>
      <c r="BV71" s="117">
        <f t="shared" si="456"/>
        <v>0</v>
      </c>
      <c r="BW71" s="141">
        <f t="shared" si="432"/>
        <v>0</v>
      </c>
      <c r="BX71" s="113" t="e">
        <f t="shared" si="64"/>
        <v>#VALUE!</v>
      </c>
      <c r="BY71" s="114" t="str">
        <f t="shared" si="433"/>
        <v/>
      </c>
      <c r="BZ71" s="115">
        <f t="shared" si="434"/>
        <v>0</v>
      </c>
      <c r="CA71" s="123">
        <f t="shared" si="435"/>
        <v>0</v>
      </c>
      <c r="CB71" s="333">
        <f t="shared" si="436"/>
        <v>0</v>
      </c>
      <c r="CY71" s="294"/>
      <c r="DF71" s="296"/>
    </row>
    <row r="72" spans="1:110" ht="13">
      <c r="A72" s="420">
        <f t="shared" si="394"/>
        <v>112013205</v>
      </c>
      <c r="B72" s="565">
        <f t="shared" si="395"/>
        <v>7</v>
      </c>
      <c r="C72" s="558">
        <f t="shared" si="396"/>
        <v>0.1</v>
      </c>
      <c r="D72" s="558">
        <f t="shared" si="397"/>
        <v>0.2</v>
      </c>
      <c r="E72" s="715">
        <f t="shared" si="398"/>
        <v>0</v>
      </c>
      <c r="F72" s="701">
        <f t="shared" si="399"/>
        <v>4</v>
      </c>
      <c r="G72" s="700" t="str">
        <f t="shared" si="400"/>
        <v>Lista</v>
      </c>
      <c r="H72" s="700">
        <f t="shared" si="401"/>
        <v>0.2</v>
      </c>
      <c r="I72" s="700">
        <f t="shared" si="402"/>
        <v>0</v>
      </c>
      <c r="J72" s="547">
        <f t="shared" si="403"/>
        <v>70</v>
      </c>
      <c r="K72" s="699" t="str">
        <f t="shared" si="404"/>
        <v>Lista</v>
      </c>
      <c r="L72" s="702">
        <f t="shared" si="405"/>
        <v>0.11</v>
      </c>
      <c r="M72" s="139" t="s">
        <v>577</v>
      </c>
      <c r="N72" s="423">
        <f>IFERROR(VLOOKUP(M72,LAGE24,3,FALSE),"")</f>
        <v>0</v>
      </c>
      <c r="O72" s="326">
        <v>1800000</v>
      </c>
      <c r="P72" s="326">
        <f t="shared" si="13"/>
        <v>0</v>
      </c>
      <c r="Q72" s="326">
        <f t="shared" si="406"/>
        <v>0</v>
      </c>
      <c r="R72" s="716">
        <f t="shared" si="407"/>
        <v>0</v>
      </c>
      <c r="S72" s="326">
        <f t="shared" si="297"/>
        <v>-1800000</v>
      </c>
      <c r="T72" s="137">
        <f t="shared" si="298"/>
        <v>0</v>
      </c>
      <c r="U72" s="326">
        <f t="shared" si="299"/>
        <v>127770.29</v>
      </c>
      <c r="V72" s="332">
        <v>1800000</v>
      </c>
      <c r="W72" s="140">
        <f t="shared" si="19"/>
        <v>0</v>
      </c>
      <c r="X72" s="326">
        <f t="shared" si="408"/>
        <v>0</v>
      </c>
      <c r="Y72" s="717">
        <f t="shared" si="409"/>
        <v>0</v>
      </c>
      <c r="Z72" s="123">
        <f t="shared" si="301"/>
        <v>-1800000</v>
      </c>
      <c r="AA72" s="137">
        <f t="shared" si="302"/>
        <v>0</v>
      </c>
      <c r="AB72" s="326">
        <v>1800000</v>
      </c>
      <c r="AC72" s="326">
        <v>1800000</v>
      </c>
      <c r="AD72" s="326">
        <f t="shared" si="25"/>
        <v>0</v>
      </c>
      <c r="AE72" s="326">
        <f t="shared" si="410"/>
        <v>0</v>
      </c>
      <c r="AF72" s="716">
        <f t="shared" si="411"/>
        <v>0</v>
      </c>
      <c r="AG72" s="326">
        <f t="shared" si="28"/>
        <v>-1800000</v>
      </c>
      <c r="AH72" s="137">
        <f t="shared" si="287"/>
        <v>0</v>
      </c>
      <c r="AI72" s="332">
        <f t="shared" si="30"/>
        <v>5400000</v>
      </c>
      <c r="AJ72" s="140" t="str">
        <f t="shared" si="412"/>
        <v>0</v>
      </c>
      <c r="AK72" s="326">
        <f t="shared" si="32"/>
        <v>0</v>
      </c>
      <c r="AL72" s="326">
        <f t="shared" ref="AL72:AM72" si="457">SUM(AE72,X72,Q72)</f>
        <v>0</v>
      </c>
      <c r="AM72" s="326">
        <f t="shared" si="457"/>
        <v>0</v>
      </c>
      <c r="AN72" s="326">
        <f t="shared" si="70"/>
        <v>-5400000</v>
      </c>
      <c r="AO72" s="413" t="str">
        <f t="shared" si="79"/>
        <v/>
      </c>
      <c r="AP72" s="423">
        <f t="shared" si="305"/>
        <v>0</v>
      </c>
      <c r="AQ72" s="326">
        <f t="shared" si="36"/>
        <v>0</v>
      </c>
      <c r="AR72" s="326">
        <f t="shared" si="414"/>
        <v>0</v>
      </c>
      <c r="AS72" s="333">
        <f t="shared" si="415"/>
        <v>0</v>
      </c>
      <c r="AT72" s="434">
        <f t="shared" si="306"/>
        <v>0</v>
      </c>
      <c r="AU72" s="140">
        <f t="shared" si="40"/>
        <v>0</v>
      </c>
      <c r="AV72" s="326">
        <f t="shared" si="416"/>
        <v>0</v>
      </c>
      <c r="AW72" s="333">
        <f t="shared" si="417"/>
        <v>0</v>
      </c>
      <c r="AX72" s="125">
        <f t="shared" si="307"/>
        <v>0</v>
      </c>
      <c r="AY72" s="140">
        <f t="shared" si="44"/>
        <v>0</v>
      </c>
      <c r="AZ72" s="326">
        <f t="shared" si="418"/>
        <v>0</v>
      </c>
      <c r="BA72" s="332">
        <f t="shared" si="419"/>
        <v>0</v>
      </c>
      <c r="BB72" s="122">
        <f t="shared" ref="BB72:BD72" si="458">AY72+AU72+AQ72</f>
        <v>0</v>
      </c>
      <c r="BC72" s="326">
        <f t="shared" si="458"/>
        <v>0</v>
      </c>
      <c r="BD72" s="332">
        <f t="shared" si="458"/>
        <v>0</v>
      </c>
      <c r="BE72" s="122">
        <f t="shared" si="48"/>
        <v>0</v>
      </c>
      <c r="BF72" s="326">
        <f t="shared" ref="BF72:BG72" si="459">AL72+BC72</f>
        <v>0</v>
      </c>
      <c r="BG72" s="435">
        <f t="shared" si="459"/>
        <v>0</v>
      </c>
      <c r="BH72" s="125">
        <f t="shared" si="422"/>
        <v>0</v>
      </c>
      <c r="BI72" s="140">
        <f t="shared" si="51"/>
        <v>0</v>
      </c>
      <c r="BJ72" s="123">
        <f t="shared" si="423"/>
        <v>148935.44</v>
      </c>
      <c r="BK72" s="125">
        <f t="shared" si="424"/>
        <v>148935.44</v>
      </c>
      <c r="BL72" s="123">
        <f t="shared" si="425"/>
        <v>0</v>
      </c>
      <c r="BM72" s="140">
        <f t="shared" si="55"/>
        <v>378181.13</v>
      </c>
      <c r="BN72" s="326">
        <f t="shared" si="426"/>
        <v>98045.52</v>
      </c>
      <c r="BO72" s="332">
        <f t="shared" si="427"/>
        <v>476226.65</v>
      </c>
      <c r="BP72" s="141">
        <f t="shared" si="428"/>
        <v>0</v>
      </c>
      <c r="BQ72" s="140">
        <f t="shared" si="59"/>
        <v>0</v>
      </c>
      <c r="BR72" s="326">
        <f t="shared" si="429"/>
        <v>185966.16</v>
      </c>
      <c r="BS72" s="333">
        <f t="shared" si="430"/>
        <v>185966.16</v>
      </c>
      <c r="BT72" s="113">
        <f t="shared" ref="BT72:BV72" si="460">SUM(BQ72,BM72,BI72)</f>
        <v>378181.13</v>
      </c>
      <c r="BU72" s="116">
        <f t="shared" si="460"/>
        <v>432947.12</v>
      </c>
      <c r="BV72" s="117">
        <f t="shared" si="460"/>
        <v>811128.25</v>
      </c>
      <c r="BW72" s="141">
        <f t="shared" si="432"/>
        <v>0</v>
      </c>
      <c r="BX72" s="113">
        <f t="shared" si="64"/>
        <v>0</v>
      </c>
      <c r="BY72" s="114">
        <f t="shared" si="433"/>
        <v>0</v>
      </c>
      <c r="BZ72" s="115">
        <f t="shared" si="434"/>
        <v>0</v>
      </c>
      <c r="CA72" s="123">
        <f t="shared" si="435"/>
        <v>0</v>
      </c>
      <c r="CB72" s="333">
        <f t="shared" si="436"/>
        <v>0</v>
      </c>
      <c r="CY72" s="294"/>
      <c r="DF72" s="296"/>
    </row>
    <row r="73" spans="1:110" ht="13">
      <c r="A73" s="420">
        <f t="shared" si="394"/>
        <v>112014278</v>
      </c>
      <c r="B73" s="565">
        <f t="shared" si="395"/>
        <v>7</v>
      </c>
      <c r="C73" s="558">
        <f t="shared" si="396"/>
        <v>0.1</v>
      </c>
      <c r="D73" s="558">
        <f t="shared" si="397"/>
        <v>0.2</v>
      </c>
      <c r="E73" s="715">
        <f t="shared" si="398"/>
        <v>0</v>
      </c>
      <c r="F73" s="701">
        <f t="shared" si="399"/>
        <v>4</v>
      </c>
      <c r="G73" s="700" t="str">
        <f t="shared" si="400"/>
        <v>Lista</v>
      </c>
      <c r="H73" s="700">
        <f t="shared" si="401"/>
        <v>0.2</v>
      </c>
      <c r="I73" s="700">
        <f t="shared" si="402"/>
        <v>0</v>
      </c>
      <c r="J73" s="547">
        <f t="shared" si="403"/>
        <v>70</v>
      </c>
      <c r="K73" s="699" t="str">
        <f t="shared" si="404"/>
        <v>Lista</v>
      </c>
      <c r="L73" s="702">
        <f t="shared" si="405"/>
        <v>0.11</v>
      </c>
      <c r="M73" s="139" t="s">
        <v>578</v>
      </c>
      <c r="N73" s="423">
        <f>IFERROR(VLOOKUP(M73,LAGE24,3,FALSE),"")</f>
        <v>895366.91</v>
      </c>
      <c r="O73" s="326">
        <v>1800000</v>
      </c>
      <c r="P73" s="326">
        <f t="shared" si="13"/>
        <v>686431.66999999993</v>
      </c>
      <c r="Q73" s="326">
        <f t="shared" si="406"/>
        <v>540557.04</v>
      </c>
      <c r="R73" s="716">
        <f t="shared" si="407"/>
        <v>1226988.71</v>
      </c>
      <c r="S73" s="326">
        <f t="shared" si="297"/>
        <v>-573011.29</v>
      </c>
      <c r="T73" s="137">
        <f t="shared" si="298"/>
        <v>0.68166039444444437</v>
      </c>
      <c r="U73" s="326">
        <f t="shared" si="299"/>
        <v>386012.88</v>
      </c>
      <c r="V73" s="332">
        <v>1800000</v>
      </c>
      <c r="W73" s="140">
        <f t="shared" si="19"/>
        <v>223601.65999999992</v>
      </c>
      <c r="X73" s="326">
        <f t="shared" si="408"/>
        <v>795611.28</v>
      </c>
      <c r="Y73" s="717">
        <f t="shared" si="409"/>
        <v>1019212.94</v>
      </c>
      <c r="Z73" s="123">
        <f t="shared" si="301"/>
        <v>-780787.06</v>
      </c>
      <c r="AA73" s="137">
        <f t="shared" si="302"/>
        <v>0.56622941111111103</v>
      </c>
      <c r="AB73" s="326">
        <v>1800000</v>
      </c>
      <c r="AC73" s="326">
        <v>1800000</v>
      </c>
      <c r="AD73" s="326">
        <f t="shared" si="25"/>
        <v>426038.47</v>
      </c>
      <c r="AE73" s="326">
        <f t="shared" si="410"/>
        <v>451712.25</v>
      </c>
      <c r="AF73" s="716">
        <f t="shared" si="411"/>
        <v>877750.72</v>
      </c>
      <c r="AG73" s="326">
        <f t="shared" si="28"/>
        <v>-922249.28</v>
      </c>
      <c r="AH73" s="137">
        <f t="shared" si="287"/>
        <v>0.48763928888888886</v>
      </c>
      <c r="AI73" s="332">
        <f t="shared" si="30"/>
        <v>5400000</v>
      </c>
      <c r="AJ73" s="140">
        <f t="shared" si="412"/>
        <v>3554852.19</v>
      </c>
      <c r="AK73" s="326">
        <f t="shared" si="32"/>
        <v>1336071.8</v>
      </c>
      <c r="AL73" s="326">
        <f t="shared" ref="AL73:AM73" si="461">SUM(AE73,X73,Q73)</f>
        <v>1787880.57</v>
      </c>
      <c r="AM73" s="326">
        <f t="shared" si="461"/>
        <v>3123952.37</v>
      </c>
      <c r="AN73" s="326">
        <f t="shared" si="70"/>
        <v>-2276047.63</v>
      </c>
      <c r="AO73" s="413">
        <f t="shared" si="79"/>
        <v>0.87878544677268289</v>
      </c>
      <c r="AP73" s="423">
        <f t="shared" si="305"/>
        <v>864184.02</v>
      </c>
      <c r="AQ73" s="326">
        <f t="shared" si="36"/>
        <v>481925.07</v>
      </c>
      <c r="AR73" s="326">
        <f t="shared" si="414"/>
        <v>490690.56</v>
      </c>
      <c r="AS73" s="333">
        <f t="shared" si="415"/>
        <v>972615.63</v>
      </c>
      <c r="AT73" s="434">
        <f t="shared" si="306"/>
        <v>680951.57</v>
      </c>
      <c r="AU73" s="140">
        <f t="shared" si="40"/>
        <v>172725.32000000007</v>
      </c>
      <c r="AV73" s="326">
        <f t="shared" si="416"/>
        <v>871902.08</v>
      </c>
      <c r="AW73" s="333">
        <f t="shared" si="417"/>
        <v>1044627.4</v>
      </c>
      <c r="AX73" s="125">
        <f t="shared" si="307"/>
        <v>573180.16000000003</v>
      </c>
      <c r="AY73" s="140">
        <f t="shared" si="44"/>
        <v>405450.51</v>
      </c>
      <c r="AZ73" s="326">
        <f t="shared" si="418"/>
        <v>563973.68999999994</v>
      </c>
      <c r="BA73" s="332">
        <f t="shared" si="419"/>
        <v>969424.2</v>
      </c>
      <c r="BB73" s="122">
        <f t="shared" ref="BB73:BD73" si="462">AY73+AU73+AQ73</f>
        <v>1060100.9000000001</v>
      </c>
      <c r="BC73" s="326">
        <f t="shared" si="462"/>
        <v>1926566.33</v>
      </c>
      <c r="BD73" s="332">
        <f t="shared" si="462"/>
        <v>2986667.23</v>
      </c>
      <c r="BE73" s="122">
        <f t="shared" si="48"/>
        <v>2396172.7000000002</v>
      </c>
      <c r="BF73" s="326">
        <f t="shared" ref="BF73:BG73" si="463">AL73+BC73</f>
        <v>3714446.9000000004</v>
      </c>
      <c r="BG73" s="435">
        <f t="shared" si="463"/>
        <v>6110619.5999999996</v>
      </c>
      <c r="BH73" s="125">
        <f t="shared" si="422"/>
        <v>1101382.81</v>
      </c>
      <c r="BI73" s="140">
        <f t="shared" si="51"/>
        <v>212841.09000000008</v>
      </c>
      <c r="BJ73" s="123">
        <f t="shared" si="423"/>
        <v>380237.72</v>
      </c>
      <c r="BK73" s="125">
        <f t="shared" si="424"/>
        <v>593078.81000000006</v>
      </c>
      <c r="BL73" s="123">
        <f t="shared" si="425"/>
        <v>887260.96</v>
      </c>
      <c r="BM73" s="140">
        <f t="shared" si="55"/>
        <v>139965.96000000002</v>
      </c>
      <c r="BN73" s="326">
        <f t="shared" si="426"/>
        <v>491518.2</v>
      </c>
      <c r="BO73" s="332">
        <f t="shared" si="427"/>
        <v>631484.16000000003</v>
      </c>
      <c r="BP73" s="141">
        <f t="shared" si="428"/>
        <v>836530.39</v>
      </c>
      <c r="BQ73" s="140">
        <f t="shared" si="59"/>
        <v>282595.84000000003</v>
      </c>
      <c r="BR73" s="326">
        <f t="shared" si="429"/>
        <v>0</v>
      </c>
      <c r="BS73" s="333">
        <f t="shared" si="430"/>
        <v>282595.84000000003</v>
      </c>
      <c r="BT73" s="113">
        <f t="shared" ref="BT73:BV73" si="464">SUM(BQ73,BM73,BI73)</f>
        <v>635402.89000000013</v>
      </c>
      <c r="BU73" s="116">
        <f t="shared" si="464"/>
        <v>871755.91999999993</v>
      </c>
      <c r="BV73" s="117">
        <f t="shared" si="464"/>
        <v>1507158.81</v>
      </c>
      <c r="BW73" s="141">
        <f t="shared" si="432"/>
        <v>1082147</v>
      </c>
      <c r="BX73" s="113">
        <f t="shared" si="64"/>
        <v>884808.8</v>
      </c>
      <c r="BY73" s="114">
        <f t="shared" si="433"/>
        <v>150012.6</v>
      </c>
      <c r="BZ73" s="115">
        <f t="shared" si="434"/>
        <v>1034821.4</v>
      </c>
      <c r="CA73" s="123">
        <f t="shared" si="435"/>
        <v>885654.26</v>
      </c>
      <c r="CB73" s="333">
        <f t="shared" si="436"/>
        <v>1587050.93</v>
      </c>
      <c r="CY73" s="294"/>
      <c r="DF73" s="296"/>
    </row>
    <row r="74" spans="1:110" ht="13">
      <c r="A74" s="420">
        <f t="shared" si="394"/>
        <v>112014684</v>
      </c>
      <c r="B74" s="565">
        <f t="shared" si="395"/>
        <v>7</v>
      </c>
      <c r="C74" s="558">
        <f t="shared" si="396"/>
        <v>0.1</v>
      </c>
      <c r="D74" s="558">
        <f t="shared" si="397"/>
        <v>0.2</v>
      </c>
      <c r="E74" s="715">
        <f t="shared" si="398"/>
        <v>0</v>
      </c>
      <c r="F74" s="701">
        <f t="shared" si="399"/>
        <v>4</v>
      </c>
      <c r="G74" s="700" t="str">
        <f t="shared" si="400"/>
        <v>Lista</v>
      </c>
      <c r="H74" s="700">
        <f t="shared" si="401"/>
        <v>0.2</v>
      </c>
      <c r="I74" s="700">
        <f t="shared" si="402"/>
        <v>0</v>
      </c>
      <c r="J74" s="547">
        <f t="shared" si="403"/>
        <v>70</v>
      </c>
      <c r="K74" s="699" t="str">
        <f t="shared" si="404"/>
        <v>Lista</v>
      </c>
      <c r="L74" s="702">
        <f t="shared" si="405"/>
        <v>0.11</v>
      </c>
      <c r="M74" s="233" t="s">
        <v>579</v>
      </c>
      <c r="N74" s="423"/>
      <c r="O74" s="326"/>
      <c r="P74" s="326">
        <f t="shared" si="13"/>
        <v>0</v>
      </c>
      <c r="Q74" s="326">
        <f t="shared" si="406"/>
        <v>0</v>
      </c>
      <c r="R74" s="716">
        <f t="shared" si="407"/>
        <v>0</v>
      </c>
      <c r="S74" s="326">
        <f t="shared" si="297"/>
        <v>0</v>
      </c>
      <c r="T74" s="137" t="e">
        <f t="shared" si="298"/>
        <v>#DIV/0!</v>
      </c>
      <c r="U74" s="326"/>
      <c r="V74" s="332"/>
      <c r="W74" s="140">
        <f t="shared" si="19"/>
        <v>0</v>
      </c>
      <c r="X74" s="326">
        <f t="shared" si="408"/>
        <v>0</v>
      </c>
      <c r="Y74" s="717">
        <f t="shared" si="409"/>
        <v>0</v>
      </c>
      <c r="Z74" s="123">
        <f t="shared" si="301"/>
        <v>0</v>
      </c>
      <c r="AA74" s="137" t="e">
        <f t="shared" si="302"/>
        <v>#DIV/0!</v>
      </c>
      <c r="AB74" s="326"/>
      <c r="AC74" s="326"/>
      <c r="AD74" s="326">
        <f t="shared" si="25"/>
        <v>0</v>
      </c>
      <c r="AE74" s="326">
        <f t="shared" si="410"/>
        <v>0</v>
      </c>
      <c r="AF74" s="716">
        <f t="shared" si="411"/>
        <v>0</v>
      </c>
      <c r="AG74" s="326">
        <f t="shared" si="28"/>
        <v>0</v>
      </c>
      <c r="AH74" s="137" t="e">
        <f t="shared" si="287"/>
        <v>#DIV/0!</v>
      </c>
      <c r="AI74" s="332"/>
      <c r="AJ74" s="140" t="str">
        <f t="shared" si="412"/>
        <v>0</v>
      </c>
      <c r="AK74" s="326">
        <f t="shared" si="32"/>
        <v>0</v>
      </c>
      <c r="AL74" s="326">
        <f t="shared" ref="AL74:AM74" si="465">SUM(AE74,X74,Q74)</f>
        <v>0</v>
      </c>
      <c r="AM74" s="326">
        <f t="shared" si="465"/>
        <v>0</v>
      </c>
      <c r="AN74" s="326">
        <f t="shared" si="70"/>
        <v>0</v>
      </c>
      <c r="AO74" s="413" t="str">
        <f t="shared" si="79"/>
        <v/>
      </c>
      <c r="AP74" s="423"/>
      <c r="AQ74" s="326">
        <f t="shared" si="36"/>
        <v>0</v>
      </c>
      <c r="AR74" s="326">
        <f t="shared" si="414"/>
        <v>0</v>
      </c>
      <c r="AS74" s="333">
        <f t="shared" si="415"/>
        <v>0</v>
      </c>
      <c r="AT74" s="125" t="str">
        <f>IFERROR(VLOOKUP(W74,trim2024,2,FALSE),"0")</f>
        <v>0</v>
      </c>
      <c r="AU74" s="140">
        <f t="shared" si="40"/>
        <v>19567.600000000006</v>
      </c>
      <c r="AV74" s="326">
        <f t="shared" si="416"/>
        <v>180785.35</v>
      </c>
      <c r="AW74" s="333">
        <f t="shared" si="417"/>
        <v>200352.95</v>
      </c>
      <c r="AX74" s="125">
        <f t="shared" ref="AX74:AX75" si="466">AW74-AS74</f>
        <v>200352.95</v>
      </c>
      <c r="AY74" s="140">
        <f t="shared" si="44"/>
        <v>11919.929999999993</v>
      </c>
      <c r="AZ74" s="326">
        <f t="shared" si="418"/>
        <v>336051.51</v>
      </c>
      <c r="BA74" s="332">
        <f t="shared" si="419"/>
        <v>347971.44</v>
      </c>
      <c r="BB74" s="122">
        <f t="shared" ref="BB74:BD74" si="467">AY74+AU74+AQ74</f>
        <v>31487.53</v>
      </c>
      <c r="BC74" s="326">
        <f t="shared" si="467"/>
        <v>516836.86</v>
      </c>
      <c r="BD74" s="332">
        <f t="shared" si="467"/>
        <v>548324.39</v>
      </c>
      <c r="BE74" s="122">
        <f t="shared" si="48"/>
        <v>31487.53</v>
      </c>
      <c r="BF74" s="326">
        <f t="shared" ref="BF74:BG74" si="468">AL74+BC74</f>
        <v>516836.86</v>
      </c>
      <c r="BG74" s="435">
        <f t="shared" si="468"/>
        <v>548324.39</v>
      </c>
      <c r="BH74" s="125" t="str">
        <f t="shared" si="422"/>
        <v/>
      </c>
      <c r="BI74" s="140">
        <f t="shared" si="51"/>
        <v>66382.010000000009</v>
      </c>
      <c r="BJ74" s="123">
        <f t="shared" si="423"/>
        <v>211391.93</v>
      </c>
      <c r="BK74" s="125">
        <f t="shared" si="424"/>
        <v>277773.94</v>
      </c>
      <c r="BL74" s="123" t="str">
        <f t="shared" si="425"/>
        <v/>
      </c>
      <c r="BM74" s="140">
        <f t="shared" si="55"/>
        <v>169801.07</v>
      </c>
      <c r="BN74" s="326">
        <f t="shared" si="426"/>
        <v>223506</v>
      </c>
      <c r="BO74" s="332">
        <f t="shared" si="427"/>
        <v>393307.07</v>
      </c>
      <c r="BP74" s="141" t="str">
        <f t="shared" si="428"/>
        <v/>
      </c>
      <c r="BQ74" s="140">
        <f t="shared" si="59"/>
        <v>62287.460000000021</v>
      </c>
      <c r="BR74" s="326">
        <f t="shared" si="429"/>
        <v>335780.97</v>
      </c>
      <c r="BS74" s="333">
        <f t="shared" si="430"/>
        <v>398068.43</v>
      </c>
      <c r="BT74" s="113">
        <f t="shared" ref="BT74:BV74" si="469">SUM(BQ74,BM74,BI74)</f>
        <v>298470.54000000004</v>
      </c>
      <c r="BU74" s="116">
        <f t="shared" si="469"/>
        <v>770678.89999999991</v>
      </c>
      <c r="BV74" s="117">
        <f t="shared" si="469"/>
        <v>1069149.44</v>
      </c>
      <c r="BW74" s="141" t="str">
        <f t="shared" si="432"/>
        <v/>
      </c>
      <c r="BX74" s="113">
        <f t="shared" si="64"/>
        <v>62885.37999999999</v>
      </c>
      <c r="BY74" s="114">
        <f t="shared" si="433"/>
        <v>22847.66</v>
      </c>
      <c r="BZ74" s="115">
        <f t="shared" si="434"/>
        <v>85733.04</v>
      </c>
      <c r="CA74" s="123" t="str">
        <f t="shared" si="435"/>
        <v/>
      </c>
      <c r="CB74" s="333" t="str">
        <f t="shared" si="436"/>
        <v/>
      </c>
      <c r="CY74" s="294"/>
      <c r="DF74" s="296"/>
    </row>
    <row r="75" spans="1:110" ht="13">
      <c r="A75" s="420">
        <f t="shared" si="394"/>
        <v>112014678</v>
      </c>
      <c r="B75" s="565">
        <f t="shared" si="395"/>
        <v>7</v>
      </c>
      <c r="C75" s="558">
        <f t="shared" si="396"/>
        <v>0.1</v>
      </c>
      <c r="D75" s="558">
        <f t="shared" si="397"/>
        <v>0.2</v>
      </c>
      <c r="E75" s="715">
        <f t="shared" si="398"/>
        <v>0</v>
      </c>
      <c r="F75" s="701">
        <f t="shared" si="399"/>
        <v>4</v>
      </c>
      <c r="G75" s="700" t="str">
        <f t="shared" si="400"/>
        <v>Lista</v>
      </c>
      <c r="H75" s="700">
        <f t="shared" si="401"/>
        <v>0.2</v>
      </c>
      <c r="I75" s="700">
        <f t="shared" si="402"/>
        <v>0</v>
      </c>
      <c r="J75" s="547">
        <f t="shared" si="403"/>
        <v>70</v>
      </c>
      <c r="K75" s="699" t="str">
        <f t="shared" si="404"/>
        <v>Lista</v>
      </c>
      <c r="L75" s="702">
        <f t="shared" si="405"/>
        <v>0.11</v>
      </c>
      <c r="M75" s="233" t="s">
        <v>580</v>
      </c>
      <c r="N75" s="423"/>
      <c r="O75" s="326"/>
      <c r="P75" s="326">
        <f t="shared" si="13"/>
        <v>0</v>
      </c>
      <c r="Q75" s="326">
        <f t="shared" si="406"/>
        <v>0</v>
      </c>
      <c r="R75" s="716">
        <f t="shared" si="407"/>
        <v>0</v>
      </c>
      <c r="S75" s="326"/>
      <c r="T75" s="137"/>
      <c r="U75" s="326"/>
      <c r="V75" s="332"/>
      <c r="W75" s="140">
        <f t="shared" si="19"/>
        <v>0</v>
      </c>
      <c r="X75" s="326">
        <f t="shared" si="408"/>
        <v>0</v>
      </c>
      <c r="Y75" s="717">
        <f t="shared" si="409"/>
        <v>0</v>
      </c>
      <c r="Z75" s="123"/>
      <c r="AA75" s="137"/>
      <c r="AB75" s="326"/>
      <c r="AC75" s="326"/>
      <c r="AD75" s="326">
        <f t="shared" si="25"/>
        <v>0</v>
      </c>
      <c r="AE75" s="326">
        <f t="shared" si="410"/>
        <v>0</v>
      </c>
      <c r="AF75" s="716">
        <f t="shared" si="411"/>
        <v>0</v>
      </c>
      <c r="AG75" s="326"/>
      <c r="AH75" s="137"/>
      <c r="AI75" s="332"/>
      <c r="AJ75" s="140" t="str">
        <f t="shared" si="412"/>
        <v>0</v>
      </c>
      <c r="AK75" s="326">
        <f t="shared" si="32"/>
        <v>0</v>
      </c>
      <c r="AL75" s="326">
        <f t="shared" ref="AL75:AM75" si="470">SUM(AE75,X75,Q75)</f>
        <v>0</v>
      </c>
      <c r="AM75" s="326">
        <f t="shared" si="470"/>
        <v>0</v>
      </c>
      <c r="AN75" s="326">
        <f t="shared" si="70"/>
        <v>0</v>
      </c>
      <c r="AO75" s="413" t="str">
        <f t="shared" si="79"/>
        <v/>
      </c>
      <c r="AP75" s="423"/>
      <c r="AQ75" s="326">
        <f t="shared" si="36"/>
        <v>0</v>
      </c>
      <c r="AR75" s="326">
        <f t="shared" si="414"/>
        <v>642660</v>
      </c>
      <c r="AS75" s="333">
        <f t="shared" si="415"/>
        <v>642660</v>
      </c>
      <c r="AT75" s="125" t="str">
        <f>IFERROR(VLOOKUP(W75,trim2024,2,FALSE),"0")</f>
        <v>0</v>
      </c>
      <c r="AU75" s="140">
        <f t="shared" si="40"/>
        <v>297093.07</v>
      </c>
      <c r="AV75" s="326">
        <f t="shared" si="416"/>
        <v>217664.8</v>
      </c>
      <c r="AW75" s="333">
        <f t="shared" si="417"/>
        <v>514757.87</v>
      </c>
      <c r="AX75" s="125">
        <f t="shared" si="466"/>
        <v>-127902.13</v>
      </c>
      <c r="AY75" s="140">
        <f t="shared" si="44"/>
        <v>143390.21000000008</v>
      </c>
      <c r="AZ75" s="326">
        <f t="shared" si="418"/>
        <v>570691.43999999994</v>
      </c>
      <c r="BA75" s="332">
        <f t="shared" si="419"/>
        <v>714081.65</v>
      </c>
      <c r="BB75" s="122">
        <f t="shared" ref="BB75:BD75" si="471">AY75+AU75+AQ75</f>
        <v>440483.28000000009</v>
      </c>
      <c r="BC75" s="326">
        <f t="shared" si="471"/>
        <v>1431016.24</v>
      </c>
      <c r="BD75" s="332">
        <f t="shared" si="471"/>
        <v>1871499.52</v>
      </c>
      <c r="BE75" s="122">
        <f t="shared" si="48"/>
        <v>440483.28000000009</v>
      </c>
      <c r="BF75" s="326">
        <f t="shared" ref="BF75:BG75" si="472">AL75+BC75</f>
        <v>1431016.24</v>
      </c>
      <c r="BG75" s="435">
        <f t="shared" si="472"/>
        <v>1871499.52</v>
      </c>
      <c r="BH75" s="125" t="str">
        <f t="shared" si="422"/>
        <v/>
      </c>
      <c r="BI75" s="140">
        <f t="shared" si="51"/>
        <v>0</v>
      </c>
      <c r="BJ75" s="123">
        <f t="shared" si="423"/>
        <v>645714.88</v>
      </c>
      <c r="BK75" s="125">
        <f t="shared" si="424"/>
        <v>645714.88</v>
      </c>
      <c r="BL75" s="123" t="str">
        <f t="shared" si="425"/>
        <v/>
      </c>
      <c r="BM75" s="140">
        <f t="shared" si="55"/>
        <v>93386.579999999958</v>
      </c>
      <c r="BN75" s="326">
        <f t="shared" si="426"/>
        <v>858223.28</v>
      </c>
      <c r="BO75" s="332">
        <f t="shared" si="427"/>
        <v>951609.86</v>
      </c>
      <c r="BP75" s="141" t="str">
        <f t="shared" si="428"/>
        <v/>
      </c>
      <c r="BQ75" s="140">
        <f t="shared" si="59"/>
        <v>31593.389999999956</v>
      </c>
      <c r="BR75" s="326">
        <f t="shared" si="429"/>
        <v>323768.40000000002</v>
      </c>
      <c r="BS75" s="333">
        <f t="shared" si="430"/>
        <v>355361.79</v>
      </c>
      <c r="BT75" s="113">
        <f t="shared" ref="BT75:BV75" si="473">SUM(BQ75,BM75,BI75)</f>
        <v>124979.96999999991</v>
      </c>
      <c r="BU75" s="116">
        <f t="shared" si="473"/>
        <v>1827706.56</v>
      </c>
      <c r="BV75" s="117">
        <f t="shared" si="473"/>
        <v>1952686.5299999998</v>
      </c>
      <c r="BW75" s="141" t="str">
        <f t="shared" si="432"/>
        <v/>
      </c>
      <c r="BX75" s="113">
        <f t="shared" si="64"/>
        <v>465774.8899999999</v>
      </c>
      <c r="BY75" s="114">
        <f t="shared" si="433"/>
        <v>1120010.25</v>
      </c>
      <c r="BZ75" s="115">
        <f t="shared" si="434"/>
        <v>1585785.14</v>
      </c>
      <c r="CA75" s="123" t="str">
        <f t="shared" si="435"/>
        <v/>
      </c>
      <c r="CB75" s="333" t="str">
        <f t="shared" si="436"/>
        <v/>
      </c>
      <c r="CY75" s="294"/>
      <c r="DF75" s="296"/>
    </row>
    <row r="76" spans="1:110" ht="13">
      <c r="A76" s="420">
        <f t="shared" si="394"/>
        <v>112014373</v>
      </c>
      <c r="B76" s="565">
        <f t="shared" si="395"/>
        <v>7</v>
      </c>
      <c r="C76" s="558">
        <f t="shared" si="396"/>
        <v>0.1</v>
      </c>
      <c r="D76" s="558">
        <f t="shared" si="397"/>
        <v>0.2</v>
      </c>
      <c r="E76" s="715">
        <f t="shared" si="398"/>
        <v>0</v>
      </c>
      <c r="F76" s="701">
        <f t="shared" si="399"/>
        <v>4</v>
      </c>
      <c r="G76" s="700" t="str">
        <f t="shared" si="400"/>
        <v>Lista</v>
      </c>
      <c r="H76" s="700">
        <f t="shared" si="401"/>
        <v>0.2</v>
      </c>
      <c r="I76" s="700">
        <f t="shared" si="402"/>
        <v>0</v>
      </c>
      <c r="J76" s="547">
        <f t="shared" si="403"/>
        <v>70</v>
      </c>
      <c r="K76" s="699" t="str">
        <f t="shared" si="404"/>
        <v>Lista</v>
      </c>
      <c r="L76" s="702">
        <f t="shared" si="405"/>
        <v>0.11</v>
      </c>
      <c r="M76" s="139" t="s">
        <v>581</v>
      </c>
      <c r="N76" s="423">
        <f t="shared" ref="N76:N81" si="474">IFERROR(VLOOKUP(M76,LAGE24,3,FALSE),"")</f>
        <v>0</v>
      </c>
      <c r="O76" s="326">
        <v>1800000</v>
      </c>
      <c r="P76" s="326">
        <f t="shared" si="13"/>
        <v>41472</v>
      </c>
      <c r="Q76" s="326">
        <f t="shared" si="406"/>
        <v>261929.82</v>
      </c>
      <c r="R76" s="716">
        <f t="shared" si="407"/>
        <v>303401.82</v>
      </c>
      <c r="S76" s="326">
        <f t="shared" ref="S76:S84" si="475">R76-O76</f>
        <v>-1496598.18</v>
      </c>
      <c r="T76" s="137">
        <f t="shared" ref="T76:T84" si="476">R76/O76</f>
        <v>0.16855656666666666</v>
      </c>
      <c r="U76" s="326">
        <f t="shared" ref="U76:U84" si="477">IFERROR(VLOOKUP(M76,LAGE24,4,FALSE),"")</f>
        <v>433959.69</v>
      </c>
      <c r="V76" s="332">
        <v>1800000</v>
      </c>
      <c r="W76" s="140">
        <f t="shared" si="19"/>
        <v>0</v>
      </c>
      <c r="X76" s="326">
        <f t="shared" si="408"/>
        <v>161861.07999999999</v>
      </c>
      <c r="Y76" s="717">
        <f t="shared" si="409"/>
        <v>161861.07999999999</v>
      </c>
      <c r="Z76" s="123">
        <f t="shared" ref="Z76:Z84" si="478">Y76-V76</f>
        <v>-1638138.92</v>
      </c>
      <c r="AA76" s="137">
        <f t="shared" ref="AA76:AA84" si="479">Y76/V76</f>
        <v>8.9922822222222212E-2</v>
      </c>
      <c r="AB76" s="326">
        <f t="shared" ref="AB76:AB84" si="480">IFERROR(VLOOKUP(M76,LAGE24,5,FALSE),"")</f>
        <v>0</v>
      </c>
      <c r="AC76" s="326">
        <v>1800000</v>
      </c>
      <c r="AD76" s="326">
        <f t="shared" si="25"/>
        <v>0</v>
      </c>
      <c r="AE76" s="326">
        <f t="shared" si="410"/>
        <v>0</v>
      </c>
      <c r="AF76" s="716">
        <f t="shared" si="411"/>
        <v>0</v>
      </c>
      <c r="AG76" s="326">
        <f t="shared" ref="AG76:AG84" si="481">AF76-AC76</f>
        <v>-1800000</v>
      </c>
      <c r="AH76" s="137">
        <f t="shared" ref="AH76:AH84" si="482">AF76/AC76</f>
        <v>0</v>
      </c>
      <c r="AI76" s="332">
        <f t="shared" ref="AI76:AI84" si="483">SUM(O76,V76,AC76)</f>
        <v>5400000</v>
      </c>
      <c r="AJ76" s="140">
        <f t="shared" si="412"/>
        <v>81917.42</v>
      </c>
      <c r="AK76" s="326">
        <f t="shared" si="32"/>
        <v>41472</v>
      </c>
      <c r="AL76" s="326">
        <f t="shared" ref="AL76:AM76" si="484">SUM(AE76,X76,Q76)</f>
        <v>423790.9</v>
      </c>
      <c r="AM76" s="326">
        <f t="shared" si="484"/>
        <v>465262.9</v>
      </c>
      <c r="AN76" s="326">
        <f t="shared" si="70"/>
        <v>-4934737.0999999996</v>
      </c>
      <c r="AO76" s="413">
        <f t="shared" si="79"/>
        <v>5.679657635701906</v>
      </c>
      <c r="AP76" s="423">
        <f t="shared" ref="AP76:AP98" si="485">IFERROR(VLOOKUP(M76,LAGE24,6,FALSE),"")</f>
        <v>71922.720000000001</v>
      </c>
      <c r="AQ76" s="326">
        <f t="shared" si="36"/>
        <v>0</v>
      </c>
      <c r="AR76" s="326">
        <f t="shared" si="414"/>
        <v>0</v>
      </c>
      <c r="AS76" s="333">
        <f t="shared" si="415"/>
        <v>0</v>
      </c>
      <c r="AT76" s="434">
        <f t="shared" ref="AT76:AT84" si="486">IFERROR(VLOOKUP(M76,LAGE24,7,FALSE),"")</f>
        <v>0</v>
      </c>
      <c r="AU76" s="140">
        <f t="shared" si="40"/>
        <v>0</v>
      </c>
      <c r="AV76" s="326">
        <f t="shared" si="416"/>
        <v>0</v>
      </c>
      <c r="AW76" s="333">
        <f t="shared" si="417"/>
        <v>0</v>
      </c>
      <c r="AX76" s="125">
        <f t="shared" ref="AX76:AX84" si="487">IFERROR(VLOOKUP(M76,LAGE24,8,FALSE),"")</f>
        <v>0</v>
      </c>
      <c r="AY76" s="140">
        <f t="shared" si="44"/>
        <v>0</v>
      </c>
      <c r="AZ76" s="326">
        <f t="shared" si="418"/>
        <v>0</v>
      </c>
      <c r="BA76" s="332">
        <f t="shared" si="419"/>
        <v>0</v>
      </c>
      <c r="BB76" s="122">
        <f t="shared" ref="BB76:BD76" si="488">AY76+AU76+AQ76</f>
        <v>0</v>
      </c>
      <c r="BC76" s="326">
        <f t="shared" si="488"/>
        <v>0</v>
      </c>
      <c r="BD76" s="332">
        <f t="shared" si="488"/>
        <v>0</v>
      </c>
      <c r="BE76" s="122">
        <f t="shared" si="48"/>
        <v>41472</v>
      </c>
      <c r="BF76" s="326">
        <f t="shared" ref="BF76:BG76" si="489">AL76+BC76</f>
        <v>423790.9</v>
      </c>
      <c r="BG76" s="435">
        <f t="shared" si="489"/>
        <v>465262.9</v>
      </c>
      <c r="BH76" s="125">
        <f t="shared" si="422"/>
        <v>62570.400000000001</v>
      </c>
      <c r="BI76" s="140">
        <f t="shared" si="51"/>
        <v>0</v>
      </c>
      <c r="BJ76" s="123">
        <f t="shared" si="423"/>
        <v>0</v>
      </c>
      <c r="BK76" s="125">
        <f t="shared" si="424"/>
        <v>0</v>
      </c>
      <c r="BL76" s="123">
        <f t="shared" si="425"/>
        <v>38902.74</v>
      </c>
      <c r="BM76" s="140">
        <f t="shared" si="55"/>
        <v>0</v>
      </c>
      <c r="BN76" s="326">
        <f t="shared" si="426"/>
        <v>54141.66</v>
      </c>
      <c r="BO76" s="332">
        <f t="shared" si="427"/>
        <v>54141.66</v>
      </c>
      <c r="BP76" s="141">
        <f t="shared" si="428"/>
        <v>0</v>
      </c>
      <c r="BQ76" s="140">
        <f t="shared" si="59"/>
        <v>0</v>
      </c>
      <c r="BR76" s="326">
        <f t="shared" si="429"/>
        <v>0</v>
      </c>
      <c r="BS76" s="333">
        <f t="shared" si="430"/>
        <v>0</v>
      </c>
      <c r="BT76" s="113">
        <f t="shared" ref="BT76:BV76" si="490">SUM(BQ76,BM76,BI76)</f>
        <v>0</v>
      </c>
      <c r="BU76" s="116">
        <f t="shared" si="490"/>
        <v>54141.66</v>
      </c>
      <c r="BV76" s="117">
        <f t="shared" si="490"/>
        <v>54141.66</v>
      </c>
      <c r="BW76" s="141">
        <f t="shared" si="432"/>
        <v>0</v>
      </c>
      <c r="BX76" s="113">
        <f t="shared" si="64"/>
        <v>0</v>
      </c>
      <c r="BY76" s="114">
        <f t="shared" si="433"/>
        <v>122568.7</v>
      </c>
      <c r="BZ76" s="115">
        <f t="shared" si="434"/>
        <v>122568.7</v>
      </c>
      <c r="CA76" s="123">
        <f t="shared" si="435"/>
        <v>81917.42</v>
      </c>
      <c r="CB76" s="333">
        <f t="shared" si="436"/>
        <v>0</v>
      </c>
      <c r="CY76" s="294"/>
      <c r="DF76" s="296"/>
    </row>
    <row r="77" spans="1:110" ht="13">
      <c r="A77" s="420">
        <f t="shared" si="394"/>
        <v>112014396</v>
      </c>
      <c r="B77" s="565">
        <f t="shared" si="395"/>
        <v>7</v>
      </c>
      <c r="C77" s="558">
        <f t="shared" si="396"/>
        <v>0.1</v>
      </c>
      <c r="D77" s="558">
        <f t="shared" si="397"/>
        <v>0.2</v>
      </c>
      <c r="E77" s="715">
        <f t="shared" si="398"/>
        <v>0</v>
      </c>
      <c r="F77" s="701">
        <f t="shared" si="399"/>
        <v>4</v>
      </c>
      <c r="G77" s="700" t="str">
        <f t="shared" si="400"/>
        <v>Lista</v>
      </c>
      <c r="H77" s="700">
        <f t="shared" si="401"/>
        <v>0.2</v>
      </c>
      <c r="I77" s="700">
        <f t="shared" si="402"/>
        <v>0</v>
      </c>
      <c r="J77" s="547">
        <f t="shared" si="403"/>
        <v>70</v>
      </c>
      <c r="K77" s="699" t="str">
        <f t="shared" si="404"/>
        <v>Lista</v>
      </c>
      <c r="L77" s="702">
        <f t="shared" si="405"/>
        <v>0.11</v>
      </c>
      <c r="M77" s="139" t="s">
        <v>582</v>
      </c>
      <c r="N77" s="423">
        <f t="shared" si="474"/>
        <v>0</v>
      </c>
      <c r="O77" s="326">
        <v>1800000</v>
      </c>
      <c r="P77" s="326">
        <f t="shared" si="13"/>
        <v>290059.65000000002</v>
      </c>
      <c r="Q77" s="326">
        <f t="shared" si="406"/>
        <v>0</v>
      </c>
      <c r="R77" s="716">
        <f t="shared" si="407"/>
        <v>290059.65000000002</v>
      </c>
      <c r="S77" s="326">
        <f t="shared" si="475"/>
        <v>-1509940.35</v>
      </c>
      <c r="T77" s="137">
        <f t="shared" si="476"/>
        <v>0.16114425000000002</v>
      </c>
      <c r="U77" s="326">
        <f t="shared" si="477"/>
        <v>0</v>
      </c>
      <c r="V77" s="332">
        <v>1800000</v>
      </c>
      <c r="W77" s="140">
        <f t="shared" si="19"/>
        <v>0</v>
      </c>
      <c r="X77" s="326">
        <f t="shared" si="408"/>
        <v>242655.2</v>
      </c>
      <c r="Y77" s="717">
        <f t="shared" si="409"/>
        <v>242655.2</v>
      </c>
      <c r="Z77" s="123">
        <f t="shared" si="478"/>
        <v>-1557344.8</v>
      </c>
      <c r="AA77" s="137">
        <f t="shared" si="479"/>
        <v>0.13480844444444445</v>
      </c>
      <c r="AB77" s="326">
        <f t="shared" si="480"/>
        <v>144304.4</v>
      </c>
      <c r="AC77" s="326">
        <v>1800000</v>
      </c>
      <c r="AD77" s="326">
        <f t="shared" si="25"/>
        <v>0</v>
      </c>
      <c r="AE77" s="326">
        <f t="shared" si="410"/>
        <v>0</v>
      </c>
      <c r="AF77" s="716">
        <f t="shared" si="411"/>
        <v>0</v>
      </c>
      <c r="AG77" s="326">
        <f t="shared" si="481"/>
        <v>-1800000</v>
      </c>
      <c r="AH77" s="137">
        <f t="shared" si="482"/>
        <v>0</v>
      </c>
      <c r="AI77" s="332">
        <f t="shared" si="483"/>
        <v>5400000</v>
      </c>
      <c r="AJ77" s="140">
        <f t="shared" si="412"/>
        <v>713293.03</v>
      </c>
      <c r="AK77" s="326">
        <f t="shared" si="32"/>
        <v>290059.65000000008</v>
      </c>
      <c r="AL77" s="326">
        <f t="shared" ref="AL77:AM77" si="491">SUM(AE77,X77,Q77)</f>
        <v>242655.2</v>
      </c>
      <c r="AM77" s="326">
        <f t="shared" si="491"/>
        <v>532714.85000000009</v>
      </c>
      <c r="AN77" s="326">
        <f t="shared" si="70"/>
        <v>-4867285.1500000004</v>
      </c>
      <c r="AO77" s="413">
        <f t="shared" si="79"/>
        <v>0.7468387150789908</v>
      </c>
      <c r="AP77" s="423">
        <f t="shared" si="485"/>
        <v>672250.19</v>
      </c>
      <c r="AQ77" s="326">
        <f t="shared" si="36"/>
        <v>0</v>
      </c>
      <c r="AR77" s="326">
        <f t="shared" si="414"/>
        <v>184261.44</v>
      </c>
      <c r="AS77" s="333">
        <f t="shared" si="415"/>
        <v>184261.44</v>
      </c>
      <c r="AT77" s="434">
        <f t="shared" si="486"/>
        <v>176714.88</v>
      </c>
      <c r="AU77" s="140">
        <f t="shared" si="40"/>
        <v>0</v>
      </c>
      <c r="AV77" s="326">
        <f t="shared" si="416"/>
        <v>0</v>
      </c>
      <c r="AW77" s="333">
        <f t="shared" si="417"/>
        <v>0</v>
      </c>
      <c r="AX77" s="125">
        <f t="shared" si="487"/>
        <v>0</v>
      </c>
      <c r="AY77" s="140">
        <f t="shared" si="44"/>
        <v>0</v>
      </c>
      <c r="AZ77" s="326">
        <f t="shared" si="418"/>
        <v>125457.28</v>
      </c>
      <c r="BA77" s="332">
        <f t="shared" si="419"/>
        <v>125457.28</v>
      </c>
      <c r="BB77" s="122">
        <f t="shared" ref="BB77:BD77" si="492">AY77+AU77+AQ77</f>
        <v>0</v>
      </c>
      <c r="BC77" s="326">
        <f t="shared" si="492"/>
        <v>309718.71999999997</v>
      </c>
      <c r="BD77" s="332">
        <f t="shared" si="492"/>
        <v>309718.71999999997</v>
      </c>
      <c r="BE77" s="122">
        <f t="shared" si="48"/>
        <v>290059.65000000008</v>
      </c>
      <c r="BF77" s="326">
        <f t="shared" ref="BF77:BG77" si="493">AL77+BC77</f>
        <v>552373.91999999993</v>
      </c>
      <c r="BG77" s="435">
        <f t="shared" si="493"/>
        <v>842433.57000000007</v>
      </c>
      <c r="BH77" s="125">
        <f t="shared" si="422"/>
        <v>0</v>
      </c>
      <c r="BI77" s="140">
        <f t="shared" si="51"/>
        <v>0</v>
      </c>
      <c r="BJ77" s="123">
        <f t="shared" si="423"/>
        <v>280631.67999999999</v>
      </c>
      <c r="BK77" s="125">
        <f t="shared" si="424"/>
        <v>280631.67999999999</v>
      </c>
      <c r="BL77" s="123">
        <f t="shared" si="425"/>
        <v>633070.12</v>
      </c>
      <c r="BM77" s="140">
        <f t="shared" si="55"/>
        <v>0</v>
      </c>
      <c r="BN77" s="326">
        <f t="shared" si="426"/>
        <v>0</v>
      </c>
      <c r="BO77" s="332">
        <f t="shared" si="427"/>
        <v>0</v>
      </c>
      <c r="BP77" s="141">
        <f t="shared" si="428"/>
        <v>0</v>
      </c>
      <c r="BQ77" s="140">
        <f t="shared" si="59"/>
        <v>0</v>
      </c>
      <c r="BR77" s="326">
        <f t="shared" si="429"/>
        <v>0</v>
      </c>
      <c r="BS77" s="333">
        <f t="shared" si="430"/>
        <v>0</v>
      </c>
      <c r="BT77" s="113">
        <f t="shared" ref="BT77:BV77" si="494">SUM(BQ77,BM77,BI77)</f>
        <v>0</v>
      </c>
      <c r="BU77" s="116">
        <f t="shared" si="494"/>
        <v>280631.67999999999</v>
      </c>
      <c r="BV77" s="117">
        <f t="shared" si="494"/>
        <v>280631.67999999999</v>
      </c>
      <c r="BW77" s="141">
        <f t="shared" si="432"/>
        <v>224056</v>
      </c>
      <c r="BX77" s="113">
        <f t="shared" si="64"/>
        <v>0</v>
      </c>
      <c r="BY77" s="114">
        <f t="shared" si="433"/>
        <v>0</v>
      </c>
      <c r="BZ77" s="115">
        <f t="shared" si="434"/>
        <v>0</v>
      </c>
      <c r="CA77" s="123">
        <f t="shared" si="435"/>
        <v>0</v>
      </c>
      <c r="CB77" s="333">
        <f t="shared" si="436"/>
        <v>489237.03</v>
      </c>
      <c r="CY77" s="294"/>
      <c r="DF77" s="296"/>
    </row>
    <row r="78" spans="1:110" ht="13">
      <c r="A78" s="420">
        <f t="shared" si="394"/>
        <v>112013756</v>
      </c>
      <c r="B78" s="565">
        <f t="shared" si="395"/>
        <v>7</v>
      </c>
      <c r="C78" s="558">
        <f t="shared" si="396"/>
        <v>0.1</v>
      </c>
      <c r="D78" s="558">
        <f t="shared" si="397"/>
        <v>0.2</v>
      </c>
      <c r="E78" s="715">
        <f t="shared" si="398"/>
        <v>0</v>
      </c>
      <c r="F78" s="701">
        <f t="shared" si="399"/>
        <v>4</v>
      </c>
      <c r="G78" s="700" t="str">
        <f t="shared" si="400"/>
        <v>Lista</v>
      </c>
      <c r="H78" s="700">
        <f t="shared" si="401"/>
        <v>0.2</v>
      </c>
      <c r="I78" s="700">
        <f t="shared" si="402"/>
        <v>0</v>
      </c>
      <c r="J78" s="547">
        <f t="shared" si="403"/>
        <v>70</v>
      </c>
      <c r="K78" s="699" t="str">
        <f t="shared" si="404"/>
        <v>Lista</v>
      </c>
      <c r="L78" s="702">
        <f t="shared" si="405"/>
        <v>0.11</v>
      </c>
      <c r="M78" s="139" t="s">
        <v>583</v>
      </c>
      <c r="N78" s="423">
        <f t="shared" si="474"/>
        <v>309247</v>
      </c>
      <c r="O78" s="326">
        <v>1800000</v>
      </c>
      <c r="P78" s="326">
        <f t="shared" si="13"/>
        <v>0</v>
      </c>
      <c r="Q78" s="326">
        <f t="shared" si="406"/>
        <v>169263.76</v>
      </c>
      <c r="R78" s="716">
        <f t="shared" si="407"/>
        <v>169263.76</v>
      </c>
      <c r="S78" s="326">
        <f t="shared" si="475"/>
        <v>-1630736.24</v>
      </c>
      <c r="T78" s="137">
        <f t="shared" si="476"/>
        <v>9.4035422222222234E-2</v>
      </c>
      <c r="U78" s="326">
        <f t="shared" si="477"/>
        <v>115066.01</v>
      </c>
      <c r="V78" s="332">
        <v>1800000</v>
      </c>
      <c r="W78" s="140">
        <f t="shared" si="19"/>
        <v>0</v>
      </c>
      <c r="X78" s="326">
        <f t="shared" si="408"/>
        <v>150378.23999999999</v>
      </c>
      <c r="Y78" s="717">
        <f t="shared" si="409"/>
        <v>150378.23999999999</v>
      </c>
      <c r="Z78" s="123">
        <f t="shared" si="478"/>
        <v>-1649621.76</v>
      </c>
      <c r="AA78" s="137">
        <f t="shared" si="479"/>
        <v>8.3543466666666663E-2</v>
      </c>
      <c r="AB78" s="326">
        <f t="shared" si="480"/>
        <v>0</v>
      </c>
      <c r="AC78" s="326">
        <v>1800000</v>
      </c>
      <c r="AD78" s="326">
        <f t="shared" si="25"/>
        <v>0</v>
      </c>
      <c r="AE78" s="326">
        <f t="shared" si="410"/>
        <v>100852.8</v>
      </c>
      <c r="AF78" s="716">
        <f t="shared" si="411"/>
        <v>100852.8</v>
      </c>
      <c r="AG78" s="326">
        <f t="shared" si="481"/>
        <v>-1699147.2</v>
      </c>
      <c r="AH78" s="137">
        <f t="shared" si="482"/>
        <v>5.6029333333333334E-2</v>
      </c>
      <c r="AI78" s="332">
        <f t="shared" si="483"/>
        <v>5400000</v>
      </c>
      <c r="AJ78" s="140">
        <f t="shared" si="412"/>
        <v>358411.28</v>
      </c>
      <c r="AK78" s="326">
        <f t="shared" si="32"/>
        <v>0</v>
      </c>
      <c r="AL78" s="326">
        <f t="shared" ref="AL78:AM78" si="495">SUM(AE78,X78,Q78)</f>
        <v>420494.8</v>
      </c>
      <c r="AM78" s="326">
        <f t="shared" si="495"/>
        <v>420494.8</v>
      </c>
      <c r="AN78" s="326">
        <f t="shared" si="70"/>
        <v>-4979505.2</v>
      </c>
      <c r="AO78" s="413">
        <f t="shared" si="79"/>
        <v>1.1732186553949975</v>
      </c>
      <c r="AP78" s="423">
        <f t="shared" si="485"/>
        <v>156293.38</v>
      </c>
      <c r="AQ78" s="326">
        <f t="shared" si="36"/>
        <v>378082.4</v>
      </c>
      <c r="AR78" s="326">
        <f t="shared" si="414"/>
        <v>73075.92</v>
      </c>
      <c r="AS78" s="333">
        <f t="shared" si="415"/>
        <v>451158.32</v>
      </c>
      <c r="AT78" s="434">
        <f t="shared" si="486"/>
        <v>213229.01</v>
      </c>
      <c r="AU78" s="140">
        <f t="shared" si="40"/>
        <v>0</v>
      </c>
      <c r="AV78" s="326">
        <f t="shared" si="416"/>
        <v>31057.599999999999</v>
      </c>
      <c r="AW78" s="333">
        <f t="shared" si="417"/>
        <v>31057.599999999999</v>
      </c>
      <c r="AX78" s="125">
        <f t="shared" si="487"/>
        <v>187566.4</v>
      </c>
      <c r="AY78" s="140">
        <f t="shared" si="44"/>
        <v>147742.9</v>
      </c>
      <c r="AZ78" s="326">
        <f t="shared" si="418"/>
        <v>0</v>
      </c>
      <c r="BA78" s="332">
        <f t="shared" si="419"/>
        <v>147742.9</v>
      </c>
      <c r="BB78" s="122">
        <f t="shared" ref="BB78:BD78" si="496">AY78+AU78+AQ78</f>
        <v>525825.30000000005</v>
      </c>
      <c r="BC78" s="326">
        <f t="shared" si="496"/>
        <v>104133.51999999999</v>
      </c>
      <c r="BD78" s="332">
        <f t="shared" si="496"/>
        <v>629958.82000000007</v>
      </c>
      <c r="BE78" s="122">
        <f t="shared" si="48"/>
        <v>525825.30000000005</v>
      </c>
      <c r="BF78" s="326">
        <f t="shared" ref="BF78:BG78" si="497">AL78+BC78</f>
        <v>524628.31999999995</v>
      </c>
      <c r="BG78" s="435">
        <f t="shared" si="497"/>
        <v>1050453.6200000001</v>
      </c>
      <c r="BH78" s="125">
        <f t="shared" si="422"/>
        <v>89736</v>
      </c>
      <c r="BI78" s="140">
        <f t="shared" si="51"/>
        <v>17336.700000000012</v>
      </c>
      <c r="BJ78" s="123">
        <f t="shared" si="423"/>
        <v>282104.98</v>
      </c>
      <c r="BK78" s="125">
        <f t="shared" si="424"/>
        <v>299441.68</v>
      </c>
      <c r="BL78" s="123">
        <f t="shared" si="425"/>
        <v>0</v>
      </c>
      <c r="BM78" s="140">
        <f t="shared" si="55"/>
        <v>68334.94</v>
      </c>
      <c r="BN78" s="326">
        <f t="shared" si="426"/>
        <v>211865.2</v>
      </c>
      <c r="BO78" s="332">
        <f t="shared" si="427"/>
        <v>280200.14</v>
      </c>
      <c r="BP78" s="141">
        <f t="shared" si="428"/>
        <v>64167.82</v>
      </c>
      <c r="BQ78" s="140">
        <f t="shared" si="59"/>
        <v>253467</v>
      </c>
      <c r="BR78" s="326">
        <f t="shared" si="429"/>
        <v>117574.08</v>
      </c>
      <c r="BS78" s="333">
        <f t="shared" si="430"/>
        <v>371041.08</v>
      </c>
      <c r="BT78" s="113">
        <f t="shared" ref="BT78:BV78" si="498">SUM(BQ78,BM78,BI78)</f>
        <v>339138.64</v>
      </c>
      <c r="BU78" s="116">
        <f t="shared" si="498"/>
        <v>611544.26</v>
      </c>
      <c r="BV78" s="117">
        <f t="shared" si="498"/>
        <v>950682.89999999991</v>
      </c>
      <c r="BW78" s="141">
        <f t="shared" si="432"/>
        <v>202571.68</v>
      </c>
      <c r="BX78" s="113">
        <f t="shared" si="64"/>
        <v>0</v>
      </c>
      <c r="BY78" s="114">
        <f t="shared" si="433"/>
        <v>0</v>
      </c>
      <c r="BZ78" s="115">
        <f t="shared" si="434"/>
        <v>0</v>
      </c>
      <c r="CA78" s="123">
        <f t="shared" si="435"/>
        <v>0</v>
      </c>
      <c r="CB78" s="333">
        <f t="shared" si="436"/>
        <v>155839.6</v>
      </c>
      <c r="CY78" s="294"/>
      <c r="DF78" s="296"/>
    </row>
    <row r="79" spans="1:110" ht="13">
      <c r="A79" s="420">
        <f t="shared" si="394"/>
        <v>112014144</v>
      </c>
      <c r="B79" s="565">
        <f t="shared" si="395"/>
        <v>7</v>
      </c>
      <c r="C79" s="558">
        <f t="shared" si="396"/>
        <v>0.1</v>
      </c>
      <c r="D79" s="558">
        <f t="shared" si="397"/>
        <v>0.2</v>
      </c>
      <c r="E79" s="715">
        <f t="shared" si="398"/>
        <v>0</v>
      </c>
      <c r="F79" s="701">
        <f t="shared" si="399"/>
        <v>4</v>
      </c>
      <c r="G79" s="700" t="str">
        <f t="shared" si="400"/>
        <v>Lista</v>
      </c>
      <c r="H79" s="700">
        <f t="shared" si="401"/>
        <v>0.2</v>
      </c>
      <c r="I79" s="700">
        <f t="shared" si="402"/>
        <v>0</v>
      </c>
      <c r="J79" s="547">
        <f t="shared" si="403"/>
        <v>70</v>
      </c>
      <c r="K79" s="699" t="str">
        <f t="shared" si="404"/>
        <v>Lista</v>
      </c>
      <c r="L79" s="702">
        <f t="shared" si="405"/>
        <v>0.11</v>
      </c>
      <c r="M79" s="139" t="s">
        <v>584</v>
      </c>
      <c r="N79" s="423">
        <f t="shared" si="474"/>
        <v>200121.34</v>
      </c>
      <c r="O79" s="326">
        <v>1800000</v>
      </c>
      <c r="P79" s="326" t="e">
        <f t="shared" si="13"/>
        <v>#VALUE!</v>
      </c>
      <c r="Q79" s="326" t="str">
        <f t="shared" si="406"/>
        <v/>
      </c>
      <c r="R79" s="716">
        <f t="shared" si="407"/>
        <v>48505.39</v>
      </c>
      <c r="S79" s="326">
        <f t="shared" si="475"/>
        <v>-1751494.61</v>
      </c>
      <c r="T79" s="137">
        <f t="shared" si="476"/>
        <v>2.694743888888889E-2</v>
      </c>
      <c r="U79" s="326">
        <f t="shared" si="477"/>
        <v>11927.7</v>
      </c>
      <c r="V79" s="332">
        <v>1800000</v>
      </c>
      <c r="W79" s="140" t="e">
        <f t="shared" si="19"/>
        <v>#VALUE!</v>
      </c>
      <c r="X79" s="326" t="str">
        <f t="shared" si="408"/>
        <v/>
      </c>
      <c r="Y79" s="717">
        <f t="shared" si="409"/>
        <v>0</v>
      </c>
      <c r="Z79" s="123">
        <f t="shared" si="478"/>
        <v>-1800000</v>
      </c>
      <c r="AA79" s="137">
        <f t="shared" si="479"/>
        <v>0</v>
      </c>
      <c r="AB79" s="326">
        <f t="shared" si="480"/>
        <v>52305.98</v>
      </c>
      <c r="AC79" s="326">
        <v>1800000</v>
      </c>
      <c r="AD79" s="326" t="e">
        <f t="shared" si="25"/>
        <v>#VALUE!</v>
      </c>
      <c r="AE79" s="326" t="str">
        <f t="shared" si="410"/>
        <v/>
      </c>
      <c r="AF79" s="716">
        <f t="shared" si="411"/>
        <v>97414.32</v>
      </c>
      <c r="AG79" s="326">
        <f t="shared" si="481"/>
        <v>-1702585.68</v>
      </c>
      <c r="AH79" s="137">
        <f t="shared" si="482"/>
        <v>5.4119066666666674E-2</v>
      </c>
      <c r="AI79" s="332">
        <f t="shared" si="483"/>
        <v>5400000</v>
      </c>
      <c r="AJ79" s="140">
        <f t="shared" si="412"/>
        <v>182655.35999999999</v>
      </c>
      <c r="AK79" s="326">
        <f t="shared" si="32"/>
        <v>145919.71000000002</v>
      </c>
      <c r="AL79" s="326">
        <f t="shared" ref="AL79:AM79" si="499">SUM(AE79,X79,Q79)</f>
        <v>0</v>
      </c>
      <c r="AM79" s="326">
        <f t="shared" si="499"/>
        <v>145919.71000000002</v>
      </c>
      <c r="AN79" s="326">
        <f t="shared" si="70"/>
        <v>-5254080.29</v>
      </c>
      <c r="AO79" s="413">
        <f t="shared" si="79"/>
        <v>0.79887997811835376</v>
      </c>
      <c r="AP79" s="423">
        <f t="shared" si="485"/>
        <v>223824.87</v>
      </c>
      <c r="AQ79" s="326" t="e">
        <f t="shared" si="36"/>
        <v>#VALUE!</v>
      </c>
      <c r="AR79" s="326" t="str">
        <f t="shared" si="414"/>
        <v/>
      </c>
      <c r="AS79" s="333">
        <f t="shared" si="415"/>
        <v>84884.44</v>
      </c>
      <c r="AT79" s="434">
        <f t="shared" si="486"/>
        <v>28734.959999999999</v>
      </c>
      <c r="AU79" s="140" t="e">
        <f t="shared" si="40"/>
        <v>#VALUE!</v>
      </c>
      <c r="AV79" s="326" t="str">
        <f t="shared" si="416"/>
        <v/>
      </c>
      <c r="AW79" s="333">
        <f t="shared" si="417"/>
        <v>0</v>
      </c>
      <c r="AX79" s="125">
        <f t="shared" si="487"/>
        <v>168613.84</v>
      </c>
      <c r="AY79" s="140" t="e">
        <f t="shared" si="44"/>
        <v>#VALUE!</v>
      </c>
      <c r="AZ79" s="326" t="str">
        <f t="shared" si="418"/>
        <v/>
      </c>
      <c r="BA79" s="332">
        <f t="shared" si="419"/>
        <v>0</v>
      </c>
      <c r="BB79" s="122" t="e">
        <f t="shared" ref="BB79:BD79" si="500">AY79+AU79+AQ79</f>
        <v>#VALUE!</v>
      </c>
      <c r="BC79" s="326" t="e">
        <f t="shared" si="500"/>
        <v>#VALUE!</v>
      </c>
      <c r="BD79" s="332">
        <f t="shared" si="500"/>
        <v>84884.44</v>
      </c>
      <c r="BE79" s="122" t="e">
        <f t="shared" si="48"/>
        <v>#VALUE!</v>
      </c>
      <c r="BF79" s="326" t="e">
        <f t="shared" ref="BF79:BG79" si="501">AL79+BC79</f>
        <v>#VALUE!</v>
      </c>
      <c r="BG79" s="435">
        <f t="shared" si="501"/>
        <v>230804.15000000002</v>
      </c>
      <c r="BH79" s="125">
        <f t="shared" si="422"/>
        <v>183071.8</v>
      </c>
      <c r="BI79" s="140" t="e">
        <f t="shared" si="51"/>
        <v>#VALUE!</v>
      </c>
      <c r="BJ79" s="123" t="str">
        <f t="shared" si="423"/>
        <v/>
      </c>
      <c r="BK79" s="125">
        <f t="shared" si="424"/>
        <v>0</v>
      </c>
      <c r="BL79" s="123">
        <f t="shared" si="425"/>
        <v>426701.27</v>
      </c>
      <c r="BM79" s="140" t="e">
        <f t="shared" si="55"/>
        <v>#VALUE!</v>
      </c>
      <c r="BN79" s="326" t="str">
        <f t="shared" si="426"/>
        <v/>
      </c>
      <c r="BO79" s="332">
        <f t="shared" si="427"/>
        <v>0</v>
      </c>
      <c r="BP79" s="141">
        <f t="shared" si="428"/>
        <v>40123.800000000003</v>
      </c>
      <c r="BQ79" s="140" t="e">
        <f t="shared" si="59"/>
        <v>#VALUE!</v>
      </c>
      <c r="BR79" s="326" t="str">
        <f t="shared" si="429"/>
        <v/>
      </c>
      <c r="BS79" s="333">
        <f t="shared" si="430"/>
        <v>0</v>
      </c>
      <c r="BT79" s="113" t="e">
        <f t="shared" ref="BT79:BV79" si="502">SUM(BQ79,BM79,BI79)</f>
        <v>#VALUE!</v>
      </c>
      <c r="BU79" s="116">
        <f t="shared" si="502"/>
        <v>0</v>
      </c>
      <c r="BV79" s="117">
        <f t="shared" si="502"/>
        <v>0</v>
      </c>
      <c r="BW79" s="141">
        <f t="shared" si="432"/>
        <v>0</v>
      </c>
      <c r="BX79" s="113" t="e">
        <f t="shared" si="64"/>
        <v>#VALUE!</v>
      </c>
      <c r="BY79" s="114" t="str">
        <f t="shared" si="433"/>
        <v/>
      </c>
      <c r="BZ79" s="115">
        <f t="shared" si="434"/>
        <v>0</v>
      </c>
      <c r="CA79" s="123">
        <f t="shared" si="435"/>
        <v>182655.35999999999</v>
      </c>
      <c r="CB79" s="333">
        <f t="shared" si="436"/>
        <v>0</v>
      </c>
      <c r="CY79" s="294"/>
      <c r="DF79" s="296"/>
    </row>
    <row r="80" spans="1:110" ht="13">
      <c r="A80" s="420">
        <f t="shared" si="394"/>
        <v>112014333</v>
      </c>
      <c r="B80" s="565">
        <f t="shared" si="395"/>
        <v>7</v>
      </c>
      <c r="C80" s="558">
        <f t="shared" si="396"/>
        <v>0.1</v>
      </c>
      <c r="D80" s="558">
        <f t="shared" si="397"/>
        <v>0.2</v>
      </c>
      <c r="E80" s="715">
        <f t="shared" si="398"/>
        <v>0</v>
      </c>
      <c r="F80" s="701">
        <f t="shared" si="399"/>
        <v>4</v>
      </c>
      <c r="G80" s="700" t="str">
        <f t="shared" si="400"/>
        <v>Lista</v>
      </c>
      <c r="H80" s="700">
        <f t="shared" si="401"/>
        <v>0.2</v>
      </c>
      <c r="I80" s="700">
        <f t="shared" si="402"/>
        <v>0</v>
      </c>
      <c r="J80" s="547">
        <f t="shared" si="403"/>
        <v>70</v>
      </c>
      <c r="K80" s="699" t="str">
        <f t="shared" si="404"/>
        <v>Lista</v>
      </c>
      <c r="L80" s="702">
        <f t="shared" si="405"/>
        <v>0.11</v>
      </c>
      <c r="M80" s="139" t="s">
        <v>585</v>
      </c>
      <c r="N80" s="423">
        <f t="shared" si="474"/>
        <v>178114.65</v>
      </c>
      <c r="O80" s="326">
        <v>1800000</v>
      </c>
      <c r="P80" s="326">
        <f t="shared" si="13"/>
        <v>145165.5</v>
      </c>
      <c r="Q80" s="326">
        <f t="shared" si="406"/>
        <v>200452.01</v>
      </c>
      <c r="R80" s="716">
        <f t="shared" si="407"/>
        <v>345617.51</v>
      </c>
      <c r="S80" s="326">
        <f t="shared" si="475"/>
        <v>-1454382.49</v>
      </c>
      <c r="T80" s="137">
        <f t="shared" si="476"/>
        <v>0.19200972777777778</v>
      </c>
      <c r="U80" s="326">
        <f t="shared" si="477"/>
        <v>208566.89</v>
      </c>
      <c r="V80" s="332">
        <v>1800000</v>
      </c>
      <c r="W80" s="140">
        <f t="shared" si="19"/>
        <v>98149.260000000009</v>
      </c>
      <c r="X80" s="326">
        <f t="shared" si="408"/>
        <v>119930.16</v>
      </c>
      <c r="Y80" s="717">
        <f t="shared" si="409"/>
        <v>218079.42</v>
      </c>
      <c r="Z80" s="123">
        <f t="shared" si="478"/>
        <v>-1581920.58</v>
      </c>
      <c r="AA80" s="137">
        <f t="shared" si="479"/>
        <v>0.12115523333333333</v>
      </c>
      <c r="AB80" s="326">
        <f t="shared" si="480"/>
        <v>2563.29</v>
      </c>
      <c r="AC80" s="326">
        <v>1800000</v>
      </c>
      <c r="AD80" s="326">
        <f t="shared" si="25"/>
        <v>158186.08000000002</v>
      </c>
      <c r="AE80" s="326">
        <f t="shared" si="410"/>
        <v>279984.99</v>
      </c>
      <c r="AF80" s="716">
        <f t="shared" si="411"/>
        <v>438171.07</v>
      </c>
      <c r="AG80" s="326">
        <f t="shared" si="481"/>
        <v>-1361828.93</v>
      </c>
      <c r="AH80" s="137">
        <f t="shared" si="482"/>
        <v>0.24342837222222222</v>
      </c>
      <c r="AI80" s="332">
        <f t="shared" si="483"/>
        <v>5400000</v>
      </c>
      <c r="AJ80" s="140">
        <f t="shared" si="412"/>
        <v>638753.81000000006</v>
      </c>
      <c r="AK80" s="326">
        <f t="shared" si="32"/>
        <v>401500.83999999997</v>
      </c>
      <c r="AL80" s="326">
        <f t="shared" ref="AL80:AM80" si="503">SUM(AE80,X80,Q80)</f>
        <v>600367.16</v>
      </c>
      <c r="AM80" s="326">
        <f t="shared" si="503"/>
        <v>1001868</v>
      </c>
      <c r="AN80" s="326">
        <f t="shared" si="70"/>
        <v>-4398132</v>
      </c>
      <c r="AO80" s="413">
        <f t="shared" si="79"/>
        <v>1.5684728361933371</v>
      </c>
      <c r="AP80" s="423">
        <f t="shared" si="485"/>
        <v>315746.8</v>
      </c>
      <c r="AQ80" s="326">
        <f t="shared" si="36"/>
        <v>75194.399999999994</v>
      </c>
      <c r="AR80" s="326">
        <f t="shared" si="414"/>
        <v>169501.44</v>
      </c>
      <c r="AS80" s="333">
        <f t="shared" si="415"/>
        <v>244695.84</v>
      </c>
      <c r="AT80" s="434">
        <f t="shared" si="486"/>
        <v>28953</v>
      </c>
      <c r="AU80" s="140">
        <f t="shared" si="40"/>
        <v>63566.38</v>
      </c>
      <c r="AV80" s="326">
        <f t="shared" si="416"/>
        <v>0</v>
      </c>
      <c r="AW80" s="333">
        <f t="shared" si="417"/>
        <v>63566.38</v>
      </c>
      <c r="AX80" s="125">
        <f t="shared" si="487"/>
        <v>274752.28999999998</v>
      </c>
      <c r="AY80" s="140">
        <f t="shared" si="44"/>
        <v>126670.56999999999</v>
      </c>
      <c r="AZ80" s="326">
        <f t="shared" si="418"/>
        <v>41187.800000000003</v>
      </c>
      <c r="BA80" s="332">
        <f t="shared" si="419"/>
        <v>167858.37</v>
      </c>
      <c r="BB80" s="122">
        <f t="shared" ref="BB80:BD80" si="504">AY80+AU80+AQ80</f>
        <v>265431.34999999998</v>
      </c>
      <c r="BC80" s="326">
        <f t="shared" si="504"/>
        <v>210689.24</v>
      </c>
      <c r="BD80" s="332">
        <f t="shared" si="504"/>
        <v>476120.58999999997</v>
      </c>
      <c r="BE80" s="122">
        <f t="shared" si="48"/>
        <v>666932.18999999994</v>
      </c>
      <c r="BF80" s="326">
        <f t="shared" ref="BF80:BG80" si="505">AL80+BC80</f>
        <v>811056.4</v>
      </c>
      <c r="BG80" s="435">
        <f t="shared" si="505"/>
        <v>1477988.5899999999</v>
      </c>
      <c r="BH80" s="125">
        <f t="shared" si="422"/>
        <v>334459.32</v>
      </c>
      <c r="BI80" s="140">
        <f t="shared" si="51"/>
        <v>64288.72</v>
      </c>
      <c r="BJ80" s="123">
        <f t="shared" si="423"/>
        <v>92394.94</v>
      </c>
      <c r="BK80" s="125">
        <f t="shared" si="424"/>
        <v>156683.66</v>
      </c>
      <c r="BL80" s="123">
        <f t="shared" si="425"/>
        <v>0</v>
      </c>
      <c r="BM80" s="140">
        <f t="shared" si="55"/>
        <v>46036.799999999988</v>
      </c>
      <c r="BN80" s="326">
        <f t="shared" si="426"/>
        <v>101174.66</v>
      </c>
      <c r="BO80" s="332">
        <f t="shared" si="427"/>
        <v>147211.46</v>
      </c>
      <c r="BP80" s="141">
        <f t="shared" si="428"/>
        <v>242827.92</v>
      </c>
      <c r="BQ80" s="140">
        <f t="shared" si="59"/>
        <v>0</v>
      </c>
      <c r="BR80" s="326">
        <f t="shared" si="429"/>
        <v>92402.07</v>
      </c>
      <c r="BS80" s="333">
        <f t="shared" si="430"/>
        <v>92402.07</v>
      </c>
      <c r="BT80" s="113">
        <f t="shared" ref="BT80:BV80" si="506">SUM(BQ80,BM80,BI80)</f>
        <v>110325.51999999999</v>
      </c>
      <c r="BU80" s="116">
        <f t="shared" si="506"/>
        <v>285971.67000000004</v>
      </c>
      <c r="BV80" s="117">
        <f t="shared" si="506"/>
        <v>396297.19</v>
      </c>
      <c r="BW80" s="141">
        <f t="shared" si="432"/>
        <v>284342.19</v>
      </c>
      <c r="BX80" s="113">
        <f t="shared" si="64"/>
        <v>0</v>
      </c>
      <c r="BY80" s="114">
        <f t="shared" si="433"/>
        <v>128227.62</v>
      </c>
      <c r="BZ80" s="115">
        <f t="shared" si="434"/>
        <v>128227.62</v>
      </c>
      <c r="CA80" s="123">
        <f t="shared" si="435"/>
        <v>283660.42</v>
      </c>
      <c r="CB80" s="333">
        <f t="shared" si="436"/>
        <v>70751.199999999997</v>
      </c>
      <c r="CY80" s="294"/>
      <c r="DF80" s="296"/>
    </row>
    <row r="81" spans="1:110" ht="13">
      <c r="A81" s="420">
        <f t="shared" si="394"/>
        <v>112014523</v>
      </c>
      <c r="B81" s="565">
        <f t="shared" si="395"/>
        <v>7</v>
      </c>
      <c r="C81" s="558">
        <f t="shared" si="396"/>
        <v>0.1</v>
      </c>
      <c r="D81" s="558">
        <f t="shared" si="397"/>
        <v>0.2</v>
      </c>
      <c r="E81" s="715">
        <f t="shared" si="398"/>
        <v>0</v>
      </c>
      <c r="F81" s="701">
        <f t="shared" si="399"/>
        <v>4</v>
      </c>
      <c r="G81" s="700" t="str">
        <f t="shared" si="400"/>
        <v>Lista</v>
      </c>
      <c r="H81" s="700">
        <f t="shared" si="401"/>
        <v>0.2</v>
      </c>
      <c r="I81" s="700">
        <f t="shared" si="402"/>
        <v>0</v>
      </c>
      <c r="J81" s="547">
        <f t="shared" si="403"/>
        <v>70</v>
      </c>
      <c r="K81" s="699" t="str">
        <f t="shared" si="404"/>
        <v>Lista</v>
      </c>
      <c r="L81" s="702">
        <f t="shared" si="405"/>
        <v>0.11</v>
      </c>
      <c r="M81" s="139" t="s">
        <v>586</v>
      </c>
      <c r="N81" s="423">
        <f t="shared" si="474"/>
        <v>0</v>
      </c>
      <c r="O81" s="326">
        <v>1800000</v>
      </c>
      <c r="P81" s="326" t="e">
        <f t="shared" si="13"/>
        <v>#VALUE!</v>
      </c>
      <c r="Q81" s="326" t="str">
        <f t="shared" si="406"/>
        <v/>
      </c>
      <c r="R81" s="716">
        <f t="shared" si="407"/>
        <v>738460.29</v>
      </c>
      <c r="S81" s="326">
        <f t="shared" si="475"/>
        <v>-1061539.71</v>
      </c>
      <c r="T81" s="137">
        <f t="shared" si="476"/>
        <v>0.41025571666666671</v>
      </c>
      <c r="U81" s="326">
        <f t="shared" si="477"/>
        <v>0</v>
      </c>
      <c r="V81" s="332">
        <v>1800000</v>
      </c>
      <c r="W81" s="140" t="e">
        <f t="shared" si="19"/>
        <v>#VALUE!</v>
      </c>
      <c r="X81" s="326" t="str">
        <f t="shared" si="408"/>
        <v/>
      </c>
      <c r="Y81" s="717">
        <f t="shared" si="409"/>
        <v>0</v>
      </c>
      <c r="Z81" s="123">
        <f t="shared" si="478"/>
        <v>-1800000</v>
      </c>
      <c r="AA81" s="137">
        <f t="shared" si="479"/>
        <v>0</v>
      </c>
      <c r="AB81" s="326">
        <f t="shared" si="480"/>
        <v>0</v>
      </c>
      <c r="AC81" s="326">
        <v>1800000</v>
      </c>
      <c r="AD81" s="326" t="e">
        <f t="shared" si="25"/>
        <v>#VALUE!</v>
      </c>
      <c r="AE81" s="326" t="str">
        <f t="shared" si="410"/>
        <v/>
      </c>
      <c r="AF81" s="716">
        <f t="shared" si="411"/>
        <v>0</v>
      </c>
      <c r="AG81" s="326">
        <f t="shared" si="481"/>
        <v>-1800000</v>
      </c>
      <c r="AH81" s="137">
        <f t="shared" si="482"/>
        <v>0</v>
      </c>
      <c r="AI81" s="332">
        <f t="shared" si="483"/>
        <v>5400000</v>
      </c>
      <c r="AJ81" s="140">
        <f t="shared" si="412"/>
        <v>1609794.19</v>
      </c>
      <c r="AK81" s="326">
        <f t="shared" si="32"/>
        <v>738460.29</v>
      </c>
      <c r="AL81" s="326">
        <f t="shared" ref="AL81:AM81" si="507">SUM(AE81,X81,Q81)</f>
        <v>0</v>
      </c>
      <c r="AM81" s="326">
        <f t="shared" si="507"/>
        <v>738460.29</v>
      </c>
      <c r="AN81" s="326">
        <f t="shared" si="70"/>
        <v>-4661539.71</v>
      </c>
      <c r="AO81" s="413">
        <f t="shared" si="79"/>
        <v>0.45872962804021555</v>
      </c>
      <c r="AP81" s="423">
        <f t="shared" si="485"/>
        <v>0</v>
      </c>
      <c r="AQ81" s="326" t="e">
        <f t="shared" si="36"/>
        <v>#VALUE!</v>
      </c>
      <c r="AR81" s="326" t="str">
        <f t="shared" si="414"/>
        <v/>
      </c>
      <c r="AS81" s="333">
        <f t="shared" si="415"/>
        <v>589720.07999999996</v>
      </c>
      <c r="AT81" s="434">
        <f t="shared" si="486"/>
        <v>0</v>
      </c>
      <c r="AU81" s="140" t="e">
        <f t="shared" si="40"/>
        <v>#VALUE!</v>
      </c>
      <c r="AV81" s="326" t="str">
        <f t="shared" si="416"/>
        <v/>
      </c>
      <c r="AW81" s="333">
        <f t="shared" si="417"/>
        <v>360214.79</v>
      </c>
      <c r="AX81" s="125">
        <f t="shared" si="487"/>
        <v>0</v>
      </c>
      <c r="AY81" s="140" t="e">
        <f t="shared" si="44"/>
        <v>#VALUE!</v>
      </c>
      <c r="AZ81" s="326" t="str">
        <f t="shared" si="418"/>
        <v/>
      </c>
      <c r="BA81" s="332">
        <f t="shared" si="419"/>
        <v>0</v>
      </c>
      <c r="BB81" s="122" t="e">
        <f t="shared" ref="BB81:BD81" si="508">AY81+AU81+AQ81</f>
        <v>#VALUE!</v>
      </c>
      <c r="BC81" s="326" t="e">
        <f t="shared" si="508"/>
        <v>#VALUE!</v>
      </c>
      <c r="BD81" s="332">
        <f t="shared" si="508"/>
        <v>949934.86999999988</v>
      </c>
      <c r="BE81" s="122" t="e">
        <f t="shared" si="48"/>
        <v>#VALUE!</v>
      </c>
      <c r="BF81" s="326" t="e">
        <f t="shared" ref="BF81:BG81" si="509">AL81+BC81</f>
        <v>#VALUE!</v>
      </c>
      <c r="BG81" s="435">
        <f t="shared" si="509"/>
        <v>1688395.16</v>
      </c>
      <c r="BH81" s="125">
        <f t="shared" si="422"/>
        <v>0</v>
      </c>
      <c r="BI81" s="140" t="e">
        <f t="shared" si="51"/>
        <v>#VALUE!</v>
      </c>
      <c r="BJ81" s="123" t="str">
        <f t="shared" si="423"/>
        <v/>
      </c>
      <c r="BK81" s="125">
        <f t="shared" si="424"/>
        <v>0</v>
      </c>
      <c r="BL81" s="123">
        <f t="shared" si="425"/>
        <v>654920.86</v>
      </c>
      <c r="BM81" s="140" t="e">
        <f t="shared" si="55"/>
        <v>#VALUE!</v>
      </c>
      <c r="BN81" s="326" t="str">
        <f t="shared" si="426"/>
        <v/>
      </c>
      <c r="BO81" s="332">
        <f t="shared" si="427"/>
        <v>0</v>
      </c>
      <c r="BP81" s="141">
        <f t="shared" si="428"/>
        <v>0</v>
      </c>
      <c r="BQ81" s="140" t="e">
        <f t="shared" si="59"/>
        <v>#VALUE!</v>
      </c>
      <c r="BR81" s="326" t="str">
        <f t="shared" si="429"/>
        <v/>
      </c>
      <c r="BS81" s="333">
        <f t="shared" si="430"/>
        <v>0</v>
      </c>
      <c r="BT81" s="113" t="e">
        <f t="shared" ref="BT81:BV81" si="510">SUM(BQ81,BM81,BI81)</f>
        <v>#VALUE!</v>
      </c>
      <c r="BU81" s="116">
        <f t="shared" si="510"/>
        <v>0</v>
      </c>
      <c r="BV81" s="117">
        <f t="shared" si="510"/>
        <v>0</v>
      </c>
      <c r="BW81" s="141">
        <f t="shared" si="432"/>
        <v>0</v>
      </c>
      <c r="BX81" s="113" t="e">
        <f t="shared" si="64"/>
        <v>#VALUE!</v>
      </c>
      <c r="BY81" s="114" t="str">
        <f t="shared" si="433"/>
        <v/>
      </c>
      <c r="BZ81" s="115">
        <f t="shared" si="434"/>
        <v>0</v>
      </c>
      <c r="CA81" s="123">
        <f t="shared" si="435"/>
        <v>456080.83</v>
      </c>
      <c r="CB81" s="333">
        <f t="shared" si="436"/>
        <v>1153713.3600000001</v>
      </c>
      <c r="CY81" s="294"/>
      <c r="DF81" s="296"/>
    </row>
    <row r="82" spans="1:110" ht="13">
      <c r="A82" s="420">
        <f t="shared" si="394"/>
        <v>112013605</v>
      </c>
      <c r="B82" s="565">
        <f t="shared" si="395"/>
        <v>7</v>
      </c>
      <c r="C82" s="558">
        <f t="shared" si="396"/>
        <v>0.1</v>
      </c>
      <c r="D82" s="558">
        <f t="shared" si="397"/>
        <v>0.2</v>
      </c>
      <c r="E82" s="715">
        <f t="shared" si="398"/>
        <v>0</v>
      </c>
      <c r="F82" s="701">
        <f t="shared" si="399"/>
        <v>4</v>
      </c>
      <c r="G82" s="700" t="str">
        <f t="shared" si="400"/>
        <v>Lista</v>
      </c>
      <c r="H82" s="700">
        <f t="shared" si="401"/>
        <v>0.2</v>
      </c>
      <c r="I82" s="700">
        <f t="shared" si="402"/>
        <v>0</v>
      </c>
      <c r="J82" s="547">
        <f t="shared" si="403"/>
        <v>70</v>
      </c>
      <c r="K82" s="699" t="str">
        <f t="shared" si="404"/>
        <v>Lista</v>
      </c>
      <c r="L82" s="702">
        <f t="shared" si="405"/>
        <v>0.11</v>
      </c>
      <c r="M82" s="139" t="s">
        <v>587</v>
      </c>
      <c r="N82" s="423"/>
      <c r="O82" s="326"/>
      <c r="P82" s="326" t="e">
        <f t="shared" si="13"/>
        <v>#VALUE!</v>
      </c>
      <c r="Q82" s="326" t="str">
        <f t="shared" si="406"/>
        <v/>
      </c>
      <c r="R82" s="716" t="str">
        <f t="shared" si="407"/>
        <v>0</v>
      </c>
      <c r="S82" s="326">
        <f t="shared" si="475"/>
        <v>0</v>
      </c>
      <c r="T82" s="137" t="e">
        <f t="shared" si="476"/>
        <v>#DIV/0!</v>
      </c>
      <c r="U82" s="326" t="str">
        <f t="shared" si="477"/>
        <v/>
      </c>
      <c r="V82" s="332">
        <v>1800000</v>
      </c>
      <c r="W82" s="140" t="e">
        <f t="shared" si="19"/>
        <v>#VALUE!</v>
      </c>
      <c r="X82" s="326" t="str">
        <f t="shared" si="408"/>
        <v/>
      </c>
      <c r="Y82" s="717" t="str">
        <f t="shared" si="409"/>
        <v>0</v>
      </c>
      <c r="Z82" s="123">
        <f t="shared" si="478"/>
        <v>-1800000</v>
      </c>
      <c r="AA82" s="137">
        <f t="shared" si="479"/>
        <v>0</v>
      </c>
      <c r="AB82" s="326" t="str">
        <f t="shared" si="480"/>
        <v/>
      </c>
      <c r="AC82" s="326">
        <v>1800000</v>
      </c>
      <c r="AD82" s="326" t="e">
        <f t="shared" si="25"/>
        <v>#VALUE!</v>
      </c>
      <c r="AE82" s="326" t="str">
        <f t="shared" si="410"/>
        <v/>
      </c>
      <c r="AF82" s="716" t="str">
        <f t="shared" si="411"/>
        <v>0</v>
      </c>
      <c r="AG82" s="326">
        <f t="shared" si="481"/>
        <v>-1800000</v>
      </c>
      <c r="AH82" s="137">
        <f t="shared" si="482"/>
        <v>0</v>
      </c>
      <c r="AI82" s="332">
        <f t="shared" si="483"/>
        <v>3600000</v>
      </c>
      <c r="AJ82" s="140">
        <f t="shared" si="412"/>
        <v>136353.65</v>
      </c>
      <c r="AK82" s="326">
        <f t="shared" si="32"/>
        <v>0</v>
      </c>
      <c r="AL82" s="326">
        <f t="shared" ref="AL82:AM82" si="511">SUM(AE82,X82,Q82)</f>
        <v>0</v>
      </c>
      <c r="AM82" s="326">
        <f t="shared" si="511"/>
        <v>0</v>
      </c>
      <c r="AN82" s="326">
        <f t="shared" si="70"/>
        <v>-3600000</v>
      </c>
      <c r="AO82" s="413">
        <f t="shared" si="79"/>
        <v>0</v>
      </c>
      <c r="AP82" s="423" t="str">
        <f t="shared" si="485"/>
        <v/>
      </c>
      <c r="AQ82" s="326" t="e">
        <f t="shared" si="36"/>
        <v>#VALUE!</v>
      </c>
      <c r="AR82" s="326" t="str">
        <f t="shared" si="414"/>
        <v/>
      </c>
      <c r="AS82" s="333" t="str">
        <f t="shared" si="415"/>
        <v>0</v>
      </c>
      <c r="AT82" s="434" t="str">
        <f t="shared" si="486"/>
        <v/>
      </c>
      <c r="AU82" s="140" t="e">
        <f t="shared" si="40"/>
        <v>#VALUE!</v>
      </c>
      <c r="AV82" s="326" t="str">
        <f t="shared" si="416"/>
        <v/>
      </c>
      <c r="AW82" s="333" t="str">
        <f t="shared" si="417"/>
        <v>0</v>
      </c>
      <c r="AX82" s="125" t="str">
        <f t="shared" si="487"/>
        <v/>
      </c>
      <c r="AY82" s="140" t="e">
        <f t="shared" si="44"/>
        <v>#VALUE!</v>
      </c>
      <c r="AZ82" s="326" t="str">
        <f t="shared" si="418"/>
        <v/>
      </c>
      <c r="BA82" s="332" t="str">
        <f t="shared" si="419"/>
        <v>0</v>
      </c>
      <c r="BB82" s="122" t="e">
        <f t="shared" ref="BB82:BD82" si="512">AY82+AU82+AQ82</f>
        <v>#VALUE!</v>
      </c>
      <c r="BC82" s="326" t="e">
        <f t="shared" si="512"/>
        <v>#VALUE!</v>
      </c>
      <c r="BD82" s="332">
        <f t="shared" si="512"/>
        <v>0</v>
      </c>
      <c r="BE82" s="122" t="e">
        <f t="shared" si="48"/>
        <v>#VALUE!</v>
      </c>
      <c r="BF82" s="326" t="e">
        <f t="shared" ref="BF82:BG82" si="513">AL82+BC82</f>
        <v>#VALUE!</v>
      </c>
      <c r="BG82" s="435">
        <f t="shared" si="513"/>
        <v>0</v>
      </c>
      <c r="BH82" s="125" t="str">
        <f t="shared" si="422"/>
        <v/>
      </c>
      <c r="BI82" s="140" t="e">
        <f t="shared" si="51"/>
        <v>#VALUE!</v>
      </c>
      <c r="BJ82" s="123" t="str">
        <f t="shared" si="423"/>
        <v/>
      </c>
      <c r="BK82" s="125" t="str">
        <f t="shared" si="424"/>
        <v>0</v>
      </c>
      <c r="BL82" s="123" t="str">
        <f t="shared" si="425"/>
        <v/>
      </c>
      <c r="BM82" s="140" t="e">
        <f t="shared" si="55"/>
        <v>#VALUE!</v>
      </c>
      <c r="BN82" s="326" t="str">
        <f t="shared" si="426"/>
        <v/>
      </c>
      <c r="BO82" s="332" t="str">
        <f t="shared" si="427"/>
        <v>0</v>
      </c>
      <c r="BP82" s="141" t="str">
        <f t="shared" si="428"/>
        <v/>
      </c>
      <c r="BQ82" s="140" t="e">
        <f t="shared" si="59"/>
        <v>#VALUE!</v>
      </c>
      <c r="BR82" s="326" t="str">
        <f t="shared" si="429"/>
        <v/>
      </c>
      <c r="BS82" s="333" t="str">
        <f t="shared" si="430"/>
        <v>0</v>
      </c>
      <c r="BT82" s="113" t="e">
        <f t="shared" ref="BT82:BV82" si="514">SUM(BQ82,BM82,BI82)</f>
        <v>#VALUE!</v>
      </c>
      <c r="BU82" s="116">
        <f t="shared" si="514"/>
        <v>0</v>
      </c>
      <c r="BV82" s="117">
        <f t="shared" si="514"/>
        <v>0</v>
      </c>
      <c r="BW82" s="141" t="str">
        <f t="shared" si="432"/>
        <v/>
      </c>
      <c r="BX82" s="113" t="e">
        <f t="shared" si="64"/>
        <v>#VALUE!</v>
      </c>
      <c r="BY82" s="114" t="str">
        <f t="shared" si="433"/>
        <v/>
      </c>
      <c r="BZ82" s="115" t="str">
        <f t="shared" si="434"/>
        <v>0</v>
      </c>
      <c r="CA82" s="123" t="str">
        <f t="shared" si="435"/>
        <v/>
      </c>
      <c r="CB82" s="333" t="str">
        <f t="shared" si="436"/>
        <v/>
      </c>
      <c r="CY82" s="294"/>
      <c r="DF82" s="296"/>
    </row>
    <row r="83" spans="1:110" ht="13">
      <c r="A83" s="420">
        <f t="shared" si="394"/>
        <v>112014395</v>
      </c>
      <c r="B83" s="565">
        <f t="shared" si="395"/>
        <v>31</v>
      </c>
      <c r="C83" s="558">
        <f t="shared" si="396"/>
        <v>0.1</v>
      </c>
      <c r="D83" s="558">
        <f t="shared" si="397"/>
        <v>0.23</v>
      </c>
      <c r="E83" s="715">
        <f t="shared" si="398"/>
        <v>0</v>
      </c>
      <c r="F83" s="701">
        <f t="shared" si="399"/>
        <v>18</v>
      </c>
      <c r="G83" s="700" t="str">
        <f t="shared" si="400"/>
        <v>Lista</v>
      </c>
      <c r="H83" s="700">
        <f t="shared" si="401"/>
        <v>0.23</v>
      </c>
      <c r="I83" s="700">
        <f t="shared" si="402"/>
        <v>0</v>
      </c>
      <c r="J83" s="547">
        <f t="shared" si="403"/>
        <v>69</v>
      </c>
      <c r="K83" s="699" t="str">
        <f t="shared" si="404"/>
        <v>Lista</v>
      </c>
      <c r="L83" s="702">
        <f t="shared" si="405"/>
        <v>0.14000000000000001</v>
      </c>
      <c r="M83" s="139" t="s">
        <v>588</v>
      </c>
      <c r="N83" s="423" t="str">
        <f>IFERROR(VLOOKUP(M83,LAGE24,3,FALSE),"")</f>
        <v/>
      </c>
      <c r="O83" s="326">
        <v>1800000</v>
      </c>
      <c r="P83" s="326">
        <f t="shared" si="13"/>
        <v>0</v>
      </c>
      <c r="Q83" s="326">
        <f t="shared" si="406"/>
        <v>0</v>
      </c>
      <c r="R83" s="716">
        <f t="shared" si="407"/>
        <v>0</v>
      </c>
      <c r="S83" s="326">
        <f t="shared" si="475"/>
        <v>-1800000</v>
      </c>
      <c r="T83" s="137">
        <f t="shared" si="476"/>
        <v>0</v>
      </c>
      <c r="U83" s="326" t="str">
        <f t="shared" si="477"/>
        <v/>
      </c>
      <c r="V83" s="332">
        <v>1800000</v>
      </c>
      <c r="W83" s="140">
        <f t="shared" si="19"/>
        <v>0</v>
      </c>
      <c r="X83" s="326">
        <f t="shared" si="408"/>
        <v>0</v>
      </c>
      <c r="Y83" s="717">
        <f t="shared" si="409"/>
        <v>0</v>
      </c>
      <c r="Z83" s="123">
        <f t="shared" si="478"/>
        <v>-1800000</v>
      </c>
      <c r="AA83" s="137">
        <f t="shared" si="479"/>
        <v>0</v>
      </c>
      <c r="AB83" s="326" t="str">
        <f t="shared" si="480"/>
        <v/>
      </c>
      <c r="AC83" s="326">
        <v>1800000</v>
      </c>
      <c r="AD83" s="326">
        <f t="shared" si="25"/>
        <v>0</v>
      </c>
      <c r="AE83" s="326">
        <f t="shared" si="410"/>
        <v>0</v>
      </c>
      <c r="AF83" s="716">
        <f t="shared" si="411"/>
        <v>0</v>
      </c>
      <c r="AG83" s="326">
        <f t="shared" si="481"/>
        <v>-1800000</v>
      </c>
      <c r="AH83" s="137">
        <f t="shared" si="482"/>
        <v>0</v>
      </c>
      <c r="AI83" s="332">
        <f t="shared" si="483"/>
        <v>5400000</v>
      </c>
      <c r="AJ83" s="140" t="str">
        <f t="shared" si="412"/>
        <v>0</v>
      </c>
      <c r="AK83" s="326">
        <f t="shared" si="32"/>
        <v>0</v>
      </c>
      <c r="AL83" s="326">
        <f t="shared" ref="AL83:AM83" si="515">SUM(AE83,X83,Q83)</f>
        <v>0</v>
      </c>
      <c r="AM83" s="326">
        <f t="shared" si="515"/>
        <v>0</v>
      </c>
      <c r="AN83" s="326">
        <f t="shared" si="70"/>
        <v>-5400000</v>
      </c>
      <c r="AO83" s="413" t="str">
        <f t="shared" si="79"/>
        <v/>
      </c>
      <c r="AP83" s="423" t="str">
        <f t="shared" si="485"/>
        <v/>
      </c>
      <c r="AQ83" s="326">
        <f t="shared" si="36"/>
        <v>0</v>
      </c>
      <c r="AR83" s="326">
        <f t="shared" si="414"/>
        <v>0</v>
      </c>
      <c r="AS83" s="333">
        <f t="shared" si="415"/>
        <v>0</v>
      </c>
      <c r="AT83" s="434" t="str">
        <f t="shared" si="486"/>
        <v/>
      </c>
      <c r="AU83" s="140">
        <f t="shared" si="40"/>
        <v>0</v>
      </c>
      <c r="AV83" s="326">
        <f t="shared" si="416"/>
        <v>0</v>
      </c>
      <c r="AW83" s="333">
        <f t="shared" si="417"/>
        <v>0</v>
      </c>
      <c r="AX83" s="125" t="str">
        <f t="shared" si="487"/>
        <v/>
      </c>
      <c r="AY83" s="140">
        <f t="shared" si="44"/>
        <v>0</v>
      </c>
      <c r="AZ83" s="326">
        <f t="shared" si="418"/>
        <v>174026.56</v>
      </c>
      <c r="BA83" s="332">
        <f t="shared" si="419"/>
        <v>174026.56</v>
      </c>
      <c r="BB83" s="122">
        <f t="shared" ref="BB83:BD83" si="516">AY83+AU83+AQ83</f>
        <v>0</v>
      </c>
      <c r="BC83" s="326">
        <f t="shared" si="516"/>
        <v>174026.56</v>
      </c>
      <c r="BD83" s="332">
        <f t="shared" si="516"/>
        <v>174026.56</v>
      </c>
      <c r="BE83" s="122">
        <f t="shared" si="48"/>
        <v>0</v>
      </c>
      <c r="BF83" s="326">
        <f t="shared" ref="BF83:BG83" si="517">AL83+BC83</f>
        <v>174026.56</v>
      </c>
      <c r="BG83" s="435">
        <f t="shared" si="517"/>
        <v>174026.56</v>
      </c>
      <c r="BH83" s="125" t="str">
        <f t="shared" si="422"/>
        <v/>
      </c>
      <c r="BI83" s="140">
        <f t="shared" si="51"/>
        <v>0</v>
      </c>
      <c r="BJ83" s="123">
        <f t="shared" si="423"/>
        <v>537765.38</v>
      </c>
      <c r="BK83" s="125">
        <f t="shared" si="424"/>
        <v>537765.38</v>
      </c>
      <c r="BL83" s="123" t="str">
        <f t="shared" si="425"/>
        <v/>
      </c>
      <c r="BM83" s="140">
        <f t="shared" si="55"/>
        <v>0</v>
      </c>
      <c r="BN83" s="326">
        <f t="shared" si="426"/>
        <v>1199740.3500000001</v>
      </c>
      <c r="BO83" s="332">
        <f t="shared" si="427"/>
        <v>1199740.3500000001</v>
      </c>
      <c r="BP83" s="141" t="str">
        <f t="shared" si="428"/>
        <v/>
      </c>
      <c r="BQ83" s="140">
        <f t="shared" si="59"/>
        <v>0</v>
      </c>
      <c r="BR83" s="326">
        <f t="shared" si="429"/>
        <v>733251.9</v>
      </c>
      <c r="BS83" s="333">
        <f t="shared" si="430"/>
        <v>733251.9</v>
      </c>
      <c r="BT83" s="113">
        <f t="shared" ref="BT83:BV83" si="518">SUM(BQ83,BM83,BI83)</f>
        <v>0</v>
      </c>
      <c r="BU83" s="116">
        <f t="shared" si="518"/>
        <v>2470757.63</v>
      </c>
      <c r="BV83" s="117">
        <f t="shared" si="518"/>
        <v>2470757.63</v>
      </c>
      <c r="BW83" s="141" t="str">
        <f t="shared" si="432"/>
        <v/>
      </c>
      <c r="BX83" s="113">
        <f t="shared" si="64"/>
        <v>1018635.9400000001</v>
      </c>
      <c r="BY83" s="114">
        <f t="shared" si="433"/>
        <v>949422.86</v>
      </c>
      <c r="BZ83" s="115">
        <f t="shared" si="434"/>
        <v>1968058.8</v>
      </c>
      <c r="CA83" s="123" t="str">
        <f t="shared" si="435"/>
        <v/>
      </c>
      <c r="CB83" s="333" t="str">
        <f t="shared" si="436"/>
        <v/>
      </c>
      <c r="CY83" s="294"/>
      <c r="DF83" s="296"/>
    </row>
    <row r="84" spans="1:110" ht="13">
      <c r="A84" s="420">
        <f t="shared" si="394"/>
        <v>112014609</v>
      </c>
      <c r="B84" s="565">
        <f t="shared" si="395"/>
        <v>7</v>
      </c>
      <c r="C84" s="558">
        <f t="shared" si="396"/>
        <v>0.1</v>
      </c>
      <c r="D84" s="558">
        <f t="shared" si="397"/>
        <v>0.2</v>
      </c>
      <c r="E84" s="715">
        <f t="shared" si="398"/>
        <v>0</v>
      </c>
      <c r="F84" s="701">
        <f t="shared" si="399"/>
        <v>4</v>
      </c>
      <c r="G84" s="700" t="str">
        <f t="shared" si="400"/>
        <v>Lista</v>
      </c>
      <c r="H84" s="700">
        <f t="shared" si="401"/>
        <v>0.2</v>
      </c>
      <c r="I84" s="700">
        <f t="shared" si="402"/>
        <v>0</v>
      </c>
      <c r="J84" s="547">
        <f t="shared" si="403"/>
        <v>70</v>
      </c>
      <c r="K84" s="699" t="str">
        <f t="shared" si="404"/>
        <v>Lista</v>
      </c>
      <c r="L84" s="702">
        <f t="shared" si="405"/>
        <v>0.11</v>
      </c>
      <c r="M84" s="139" t="s">
        <v>589</v>
      </c>
      <c r="N84" s="423">
        <f>IFERROR(VLOOKUP(M84,LAGE24,3,FALSE),"")</f>
        <v>0</v>
      </c>
      <c r="O84" s="326">
        <v>1800000</v>
      </c>
      <c r="P84" s="326">
        <f t="shared" si="13"/>
        <v>894500.98</v>
      </c>
      <c r="Q84" s="326">
        <f t="shared" si="406"/>
        <v>0</v>
      </c>
      <c r="R84" s="716">
        <f t="shared" si="407"/>
        <v>894500.98</v>
      </c>
      <c r="S84" s="326">
        <f t="shared" si="475"/>
        <v>-905499.02</v>
      </c>
      <c r="T84" s="137">
        <f t="shared" si="476"/>
        <v>0.49694498888888888</v>
      </c>
      <c r="U84" s="326">
        <f t="shared" si="477"/>
        <v>0</v>
      </c>
      <c r="V84" s="332">
        <v>1800000</v>
      </c>
      <c r="W84" s="140">
        <f t="shared" si="19"/>
        <v>0</v>
      </c>
      <c r="X84" s="326">
        <f t="shared" si="408"/>
        <v>0</v>
      </c>
      <c r="Y84" s="717">
        <f t="shared" si="409"/>
        <v>0</v>
      </c>
      <c r="Z84" s="123">
        <f t="shared" si="478"/>
        <v>-1800000</v>
      </c>
      <c r="AA84" s="137">
        <f t="shared" si="479"/>
        <v>0</v>
      </c>
      <c r="AB84" s="326">
        <f t="shared" si="480"/>
        <v>0</v>
      </c>
      <c r="AC84" s="326">
        <v>1800000</v>
      </c>
      <c r="AD84" s="326">
        <f t="shared" si="25"/>
        <v>929092.23</v>
      </c>
      <c r="AE84" s="326">
        <f t="shared" si="410"/>
        <v>0</v>
      </c>
      <c r="AF84" s="716">
        <f t="shared" si="411"/>
        <v>929092.23</v>
      </c>
      <c r="AG84" s="326">
        <f t="shared" si="481"/>
        <v>-870907.77</v>
      </c>
      <c r="AH84" s="137">
        <f t="shared" si="482"/>
        <v>0.51616234999999999</v>
      </c>
      <c r="AI84" s="332">
        <f t="shared" si="483"/>
        <v>5400000</v>
      </c>
      <c r="AJ84" s="140">
        <f t="shared" si="412"/>
        <v>1715762.54</v>
      </c>
      <c r="AK84" s="326">
        <f t="shared" si="32"/>
        <v>1823593.21</v>
      </c>
      <c r="AL84" s="326">
        <f t="shared" ref="AL84:AM84" si="519">SUM(AE84,X84,Q84)</f>
        <v>0</v>
      </c>
      <c r="AM84" s="326">
        <f t="shared" si="519"/>
        <v>1823593.21</v>
      </c>
      <c r="AN84" s="326">
        <f t="shared" si="70"/>
        <v>-3576406.79</v>
      </c>
      <c r="AO84" s="413">
        <f t="shared" si="79"/>
        <v>1.06284708255724</v>
      </c>
      <c r="AP84" s="423">
        <f t="shared" si="485"/>
        <v>0</v>
      </c>
      <c r="AQ84" s="326">
        <f t="shared" si="36"/>
        <v>506832.97</v>
      </c>
      <c r="AR84" s="326">
        <f t="shared" si="414"/>
        <v>456478</v>
      </c>
      <c r="AS84" s="333">
        <f t="shared" si="415"/>
        <v>963310.97</v>
      </c>
      <c r="AT84" s="434">
        <f t="shared" si="486"/>
        <v>0</v>
      </c>
      <c r="AU84" s="140">
        <f t="shared" si="40"/>
        <v>24462</v>
      </c>
      <c r="AV84" s="326">
        <f t="shared" si="416"/>
        <v>397265.5</v>
      </c>
      <c r="AW84" s="333">
        <f t="shared" si="417"/>
        <v>421727.5</v>
      </c>
      <c r="AX84" s="125">
        <f t="shared" si="487"/>
        <v>0</v>
      </c>
      <c r="AY84" s="140">
        <f t="shared" si="44"/>
        <v>229230.96999999997</v>
      </c>
      <c r="AZ84" s="326">
        <f t="shared" si="418"/>
        <v>114095.52</v>
      </c>
      <c r="BA84" s="332">
        <f t="shared" si="419"/>
        <v>343326.49</v>
      </c>
      <c r="BB84" s="122">
        <f t="shared" ref="BB84:BD84" si="520">AY84+AU84+AQ84</f>
        <v>760525.94</v>
      </c>
      <c r="BC84" s="326">
        <f t="shared" si="520"/>
        <v>967839.02</v>
      </c>
      <c r="BD84" s="332">
        <f t="shared" si="520"/>
        <v>1728364.96</v>
      </c>
      <c r="BE84" s="122">
        <f t="shared" si="48"/>
        <v>2584119.15</v>
      </c>
      <c r="BF84" s="326">
        <f t="shared" ref="BF84:BG84" si="521">AL84+BC84</f>
        <v>967839.02</v>
      </c>
      <c r="BG84" s="435">
        <f t="shared" si="521"/>
        <v>3551958.17</v>
      </c>
      <c r="BH84" s="125">
        <f t="shared" si="422"/>
        <v>0</v>
      </c>
      <c r="BI84" s="140">
        <f t="shared" si="51"/>
        <v>49770.400000000023</v>
      </c>
      <c r="BJ84" s="123">
        <f t="shared" si="423"/>
        <v>386116</v>
      </c>
      <c r="BK84" s="125">
        <f t="shared" si="424"/>
        <v>435886.4</v>
      </c>
      <c r="BL84" s="123">
        <f t="shared" si="425"/>
        <v>0</v>
      </c>
      <c r="BM84" s="140">
        <f t="shared" si="55"/>
        <v>149998.5</v>
      </c>
      <c r="BN84" s="326">
        <f t="shared" si="426"/>
        <v>391913.6</v>
      </c>
      <c r="BO84" s="332">
        <f t="shared" si="427"/>
        <v>541912.1</v>
      </c>
      <c r="BP84" s="141">
        <f t="shared" si="428"/>
        <v>0</v>
      </c>
      <c r="BQ84" s="140">
        <f t="shared" si="59"/>
        <v>852201.04</v>
      </c>
      <c r="BR84" s="326">
        <f t="shared" si="429"/>
        <v>154691.6</v>
      </c>
      <c r="BS84" s="333">
        <f t="shared" si="430"/>
        <v>1006892.64</v>
      </c>
      <c r="BT84" s="113">
        <f t="shared" ref="BT84:BV84" si="522">SUM(BQ84,BM84,BI84)</f>
        <v>1051969.94</v>
      </c>
      <c r="BU84" s="116">
        <f t="shared" si="522"/>
        <v>932721.2</v>
      </c>
      <c r="BV84" s="117">
        <f t="shared" si="522"/>
        <v>1984691.1400000001</v>
      </c>
      <c r="BW84" s="141">
        <f t="shared" si="432"/>
        <v>0</v>
      </c>
      <c r="BX84" s="113">
        <f t="shared" si="64"/>
        <v>2835090.79</v>
      </c>
      <c r="BY84" s="114">
        <f t="shared" si="433"/>
        <v>0</v>
      </c>
      <c r="BZ84" s="115">
        <f t="shared" si="434"/>
        <v>2835090.79</v>
      </c>
      <c r="CA84" s="123">
        <f t="shared" si="435"/>
        <v>467551.13</v>
      </c>
      <c r="CB84" s="333">
        <f t="shared" si="436"/>
        <v>1248211.3999999999</v>
      </c>
      <c r="CY84" s="294"/>
      <c r="DF84" s="296"/>
    </row>
    <row r="85" spans="1:110" ht="13">
      <c r="A85" s="420">
        <f t="shared" si="394"/>
        <v>112014680</v>
      </c>
      <c r="B85" s="565">
        <f t="shared" si="395"/>
        <v>7</v>
      </c>
      <c r="C85" s="558">
        <f t="shared" si="396"/>
        <v>0.1</v>
      </c>
      <c r="D85" s="558">
        <f t="shared" si="397"/>
        <v>0.2</v>
      </c>
      <c r="E85" s="715">
        <f t="shared" si="398"/>
        <v>0</v>
      </c>
      <c r="F85" s="701">
        <f t="shared" si="399"/>
        <v>4</v>
      </c>
      <c r="G85" s="700" t="str">
        <f t="shared" si="400"/>
        <v>Lista</v>
      </c>
      <c r="H85" s="700">
        <f t="shared" si="401"/>
        <v>0.2</v>
      </c>
      <c r="I85" s="700">
        <f t="shared" si="402"/>
        <v>0</v>
      </c>
      <c r="J85" s="547">
        <f t="shared" si="403"/>
        <v>70</v>
      </c>
      <c r="K85" s="699" t="str">
        <f t="shared" si="404"/>
        <v>Lista</v>
      </c>
      <c r="L85" s="702">
        <f t="shared" si="405"/>
        <v>0.11</v>
      </c>
      <c r="M85" s="233" t="s">
        <v>590</v>
      </c>
      <c r="N85" s="423"/>
      <c r="O85" s="326"/>
      <c r="P85" s="326" t="e">
        <f t="shared" si="13"/>
        <v>#VALUE!</v>
      </c>
      <c r="Q85" s="326" t="str">
        <f t="shared" si="406"/>
        <v/>
      </c>
      <c r="R85" s="716" t="str">
        <f t="shared" si="407"/>
        <v>0</v>
      </c>
      <c r="S85" s="326"/>
      <c r="T85" s="137"/>
      <c r="U85" s="326"/>
      <c r="V85" s="332"/>
      <c r="W85" s="140" t="e">
        <f t="shared" si="19"/>
        <v>#VALUE!</v>
      </c>
      <c r="X85" s="326" t="str">
        <f t="shared" si="408"/>
        <v/>
      </c>
      <c r="Y85" s="717" t="str">
        <f t="shared" si="409"/>
        <v>0</v>
      </c>
      <c r="Z85" s="123"/>
      <c r="AA85" s="137"/>
      <c r="AB85" s="326"/>
      <c r="AC85" s="326"/>
      <c r="AD85" s="326" t="e">
        <f t="shared" si="25"/>
        <v>#VALUE!</v>
      </c>
      <c r="AE85" s="326" t="str">
        <f t="shared" si="410"/>
        <v/>
      </c>
      <c r="AF85" s="716" t="str">
        <f t="shared" si="411"/>
        <v>0</v>
      </c>
      <c r="AG85" s="326"/>
      <c r="AH85" s="137"/>
      <c r="AI85" s="332"/>
      <c r="AJ85" s="140" t="str">
        <f t="shared" si="412"/>
        <v>0</v>
      </c>
      <c r="AK85" s="326">
        <f t="shared" si="32"/>
        <v>0</v>
      </c>
      <c r="AL85" s="326">
        <f t="shared" ref="AL85:AM85" si="523">SUM(AE85,X85,Q85)</f>
        <v>0</v>
      </c>
      <c r="AM85" s="326">
        <f t="shared" si="523"/>
        <v>0</v>
      </c>
      <c r="AN85" s="326">
        <f t="shared" si="70"/>
        <v>0</v>
      </c>
      <c r="AO85" s="413" t="str">
        <f t="shared" si="79"/>
        <v/>
      </c>
      <c r="AP85" s="423" t="str">
        <f t="shared" si="485"/>
        <v/>
      </c>
      <c r="AQ85" s="326" t="e">
        <f t="shared" si="36"/>
        <v>#VALUE!</v>
      </c>
      <c r="AR85" s="326" t="str">
        <f t="shared" si="414"/>
        <v/>
      </c>
      <c r="AS85" s="333" t="str">
        <f t="shared" si="415"/>
        <v>0</v>
      </c>
      <c r="AT85" s="434"/>
      <c r="AU85" s="140" t="e">
        <f t="shared" si="40"/>
        <v>#VALUE!</v>
      </c>
      <c r="AV85" s="326" t="str">
        <f t="shared" si="416"/>
        <v/>
      </c>
      <c r="AW85" s="333" t="str">
        <f t="shared" si="417"/>
        <v>0</v>
      </c>
      <c r="AX85" s="125"/>
      <c r="AY85" s="140" t="e">
        <f t="shared" si="44"/>
        <v>#VALUE!</v>
      </c>
      <c r="AZ85" s="326" t="str">
        <f t="shared" si="418"/>
        <v/>
      </c>
      <c r="BA85" s="332" t="str">
        <f t="shared" si="419"/>
        <v>0</v>
      </c>
      <c r="BB85" s="122" t="e">
        <f t="shared" ref="BB85:BD85" si="524">AY85+AU85+AQ85</f>
        <v>#VALUE!</v>
      </c>
      <c r="BC85" s="326" t="e">
        <f t="shared" si="524"/>
        <v>#VALUE!</v>
      </c>
      <c r="BD85" s="332">
        <f t="shared" si="524"/>
        <v>0</v>
      </c>
      <c r="BE85" s="122" t="e">
        <f t="shared" si="48"/>
        <v>#VALUE!</v>
      </c>
      <c r="BF85" s="326" t="e">
        <f t="shared" ref="BF85:BG85" si="525">AL85+BC85</f>
        <v>#VALUE!</v>
      </c>
      <c r="BG85" s="435">
        <f t="shared" si="525"/>
        <v>0</v>
      </c>
      <c r="BH85" s="125" t="str">
        <f t="shared" si="422"/>
        <v/>
      </c>
      <c r="BI85" s="140" t="e">
        <f t="shared" si="51"/>
        <v>#VALUE!</v>
      </c>
      <c r="BJ85" s="123" t="str">
        <f t="shared" si="423"/>
        <v/>
      </c>
      <c r="BK85" s="125" t="str">
        <f t="shared" si="424"/>
        <v>0</v>
      </c>
      <c r="BL85" s="123" t="str">
        <f t="shared" si="425"/>
        <v/>
      </c>
      <c r="BM85" s="140" t="e">
        <f t="shared" si="55"/>
        <v>#VALUE!</v>
      </c>
      <c r="BN85" s="326" t="str">
        <f t="shared" si="426"/>
        <v/>
      </c>
      <c r="BO85" s="332" t="str">
        <f t="shared" si="427"/>
        <v>0</v>
      </c>
      <c r="BP85" s="141" t="str">
        <f t="shared" si="428"/>
        <v/>
      </c>
      <c r="BQ85" s="140" t="e">
        <f t="shared" si="59"/>
        <v>#VALUE!</v>
      </c>
      <c r="BR85" s="326" t="str">
        <f t="shared" si="429"/>
        <v/>
      </c>
      <c r="BS85" s="333" t="str">
        <f t="shared" si="430"/>
        <v>0</v>
      </c>
      <c r="BT85" s="113" t="e">
        <f t="shared" ref="BT85:BV85" si="526">SUM(BQ85,BM85,BI85)</f>
        <v>#VALUE!</v>
      </c>
      <c r="BU85" s="116">
        <f t="shared" si="526"/>
        <v>0</v>
      </c>
      <c r="BV85" s="117">
        <f t="shared" si="526"/>
        <v>0</v>
      </c>
      <c r="BW85" s="141" t="str">
        <f t="shared" si="432"/>
        <v/>
      </c>
      <c r="BX85" s="113" t="e">
        <f t="shared" si="64"/>
        <v>#VALUE!</v>
      </c>
      <c r="BY85" s="114" t="str">
        <f t="shared" si="433"/>
        <v/>
      </c>
      <c r="BZ85" s="115" t="str">
        <f t="shared" si="434"/>
        <v>0</v>
      </c>
      <c r="CA85" s="123" t="str">
        <f t="shared" si="435"/>
        <v/>
      </c>
      <c r="CB85" s="333" t="str">
        <f t="shared" si="436"/>
        <v/>
      </c>
      <c r="CY85" s="294"/>
      <c r="DF85" s="296"/>
    </row>
    <row r="86" spans="1:110" ht="13">
      <c r="A86" s="420">
        <f t="shared" si="394"/>
        <v>112014394</v>
      </c>
      <c r="B86" s="565">
        <f t="shared" si="395"/>
        <v>7</v>
      </c>
      <c r="C86" s="558">
        <f t="shared" si="396"/>
        <v>0.1</v>
      </c>
      <c r="D86" s="558">
        <f t="shared" si="397"/>
        <v>0.2</v>
      </c>
      <c r="E86" s="715">
        <f t="shared" si="398"/>
        <v>0</v>
      </c>
      <c r="F86" s="701">
        <f t="shared" si="399"/>
        <v>4</v>
      </c>
      <c r="G86" s="700" t="str">
        <f t="shared" si="400"/>
        <v>Lista</v>
      </c>
      <c r="H86" s="700">
        <f t="shared" si="401"/>
        <v>0.2</v>
      </c>
      <c r="I86" s="700">
        <f t="shared" si="402"/>
        <v>0</v>
      </c>
      <c r="J86" s="547">
        <f t="shared" si="403"/>
        <v>70</v>
      </c>
      <c r="K86" s="699" t="str">
        <f t="shared" si="404"/>
        <v>Lista</v>
      </c>
      <c r="L86" s="702">
        <f t="shared" si="405"/>
        <v>0.11</v>
      </c>
      <c r="M86" s="139" t="s">
        <v>591</v>
      </c>
      <c r="N86" s="423">
        <f>IFERROR(VLOOKUP(M86,LAGE24,3,FALSE),"")</f>
        <v>0</v>
      </c>
      <c r="O86" s="326">
        <v>1800000</v>
      </c>
      <c r="P86" s="326" t="e">
        <f t="shared" si="13"/>
        <v>#VALUE!</v>
      </c>
      <c r="Q86" s="326" t="str">
        <f t="shared" si="406"/>
        <v/>
      </c>
      <c r="R86" s="716" t="str">
        <f t="shared" si="407"/>
        <v>0</v>
      </c>
      <c r="S86" s="326">
        <f>R86-O86</f>
        <v>-1800000</v>
      </c>
      <c r="T86" s="137">
        <f>R86/O86</f>
        <v>0</v>
      </c>
      <c r="U86" s="326">
        <f>IFERROR(VLOOKUP(M86,LAGE24,4,FALSE),"")</f>
        <v>0</v>
      </c>
      <c r="V86" s="332">
        <v>1800000</v>
      </c>
      <c r="W86" s="140" t="e">
        <f t="shared" si="19"/>
        <v>#VALUE!</v>
      </c>
      <c r="X86" s="326" t="str">
        <f t="shared" si="408"/>
        <v/>
      </c>
      <c r="Y86" s="717" t="str">
        <f t="shared" si="409"/>
        <v>0</v>
      </c>
      <c r="Z86" s="123">
        <f>Y86-V86</f>
        <v>-1800000</v>
      </c>
      <c r="AA86" s="137">
        <f>Y86/V86</f>
        <v>0</v>
      </c>
      <c r="AB86" s="326">
        <f>IFERROR(VLOOKUP(M86,LAGE24,5,FALSE),"")</f>
        <v>266099.90000000002</v>
      </c>
      <c r="AC86" s="326">
        <v>1800000</v>
      </c>
      <c r="AD86" s="326" t="e">
        <f t="shared" si="25"/>
        <v>#VALUE!</v>
      </c>
      <c r="AE86" s="326" t="str">
        <f t="shared" si="410"/>
        <v/>
      </c>
      <c r="AF86" s="716" t="str">
        <f t="shared" si="411"/>
        <v>0</v>
      </c>
      <c r="AG86" s="326">
        <f>AF86-AC86</f>
        <v>-1800000</v>
      </c>
      <c r="AH86" s="137">
        <f>AF86/AC86</f>
        <v>0</v>
      </c>
      <c r="AI86" s="332">
        <f>SUM(O86,V86,AC86)</f>
        <v>5400000</v>
      </c>
      <c r="AJ86" s="140" t="str">
        <f t="shared" si="412"/>
        <v>0</v>
      </c>
      <c r="AK86" s="326">
        <f t="shared" si="32"/>
        <v>0</v>
      </c>
      <c r="AL86" s="326">
        <f t="shared" ref="AL86:AM86" si="527">SUM(AE86,X86,Q86)</f>
        <v>0</v>
      </c>
      <c r="AM86" s="326">
        <f t="shared" si="527"/>
        <v>0</v>
      </c>
      <c r="AN86" s="326">
        <f t="shared" si="70"/>
        <v>-5400000</v>
      </c>
      <c r="AO86" s="413" t="str">
        <f t="shared" si="79"/>
        <v/>
      </c>
      <c r="AP86" s="423">
        <f t="shared" si="485"/>
        <v>500293.31</v>
      </c>
      <c r="AQ86" s="326" t="e">
        <f t="shared" si="36"/>
        <v>#VALUE!</v>
      </c>
      <c r="AR86" s="326" t="str">
        <f t="shared" si="414"/>
        <v/>
      </c>
      <c r="AS86" s="333" t="str">
        <f t="shared" si="415"/>
        <v>0</v>
      </c>
      <c r="AT86" s="434">
        <f>IFERROR(VLOOKUP(M86,LAGE24,7,FALSE),"")</f>
        <v>301376.08</v>
      </c>
      <c r="AU86" s="140" t="e">
        <f t="shared" si="40"/>
        <v>#VALUE!</v>
      </c>
      <c r="AV86" s="326" t="str">
        <f t="shared" si="416"/>
        <v/>
      </c>
      <c r="AW86" s="333" t="str">
        <f t="shared" si="417"/>
        <v>0</v>
      </c>
      <c r="AX86" s="125">
        <f>IFERROR(VLOOKUP(M86,LAGE24,8,FALSE),"")</f>
        <v>234685.12</v>
      </c>
      <c r="AY86" s="140" t="e">
        <f t="shared" si="44"/>
        <v>#VALUE!</v>
      </c>
      <c r="AZ86" s="326" t="str">
        <f t="shared" si="418"/>
        <v/>
      </c>
      <c r="BA86" s="332" t="str">
        <f t="shared" si="419"/>
        <v>0</v>
      </c>
      <c r="BB86" s="122" t="e">
        <f t="shared" ref="BB86:BD86" si="528">AY86+AU86+AQ86</f>
        <v>#VALUE!</v>
      </c>
      <c r="BC86" s="326" t="e">
        <f t="shared" si="528"/>
        <v>#VALUE!</v>
      </c>
      <c r="BD86" s="332">
        <f t="shared" si="528"/>
        <v>0</v>
      </c>
      <c r="BE86" s="122" t="e">
        <f t="shared" si="48"/>
        <v>#VALUE!</v>
      </c>
      <c r="BF86" s="326" t="e">
        <f t="shared" ref="BF86:BG86" si="529">AL86+BC86</f>
        <v>#VALUE!</v>
      </c>
      <c r="BG86" s="435">
        <f t="shared" si="529"/>
        <v>0</v>
      </c>
      <c r="BH86" s="125">
        <f t="shared" si="422"/>
        <v>0</v>
      </c>
      <c r="BI86" s="140" t="e">
        <f t="shared" si="51"/>
        <v>#VALUE!</v>
      </c>
      <c r="BJ86" s="123" t="str">
        <f t="shared" si="423"/>
        <v/>
      </c>
      <c r="BK86" s="125" t="str">
        <f t="shared" si="424"/>
        <v>0</v>
      </c>
      <c r="BL86" s="123">
        <f t="shared" si="425"/>
        <v>226067.02</v>
      </c>
      <c r="BM86" s="140" t="e">
        <f t="shared" si="55"/>
        <v>#VALUE!</v>
      </c>
      <c r="BN86" s="326" t="str">
        <f t="shared" si="426"/>
        <v/>
      </c>
      <c r="BO86" s="332" t="str">
        <f t="shared" si="427"/>
        <v>0</v>
      </c>
      <c r="BP86" s="141">
        <f t="shared" si="428"/>
        <v>0</v>
      </c>
      <c r="BQ86" s="140" t="e">
        <f t="shared" si="59"/>
        <v>#VALUE!</v>
      </c>
      <c r="BR86" s="326" t="str">
        <f t="shared" si="429"/>
        <v/>
      </c>
      <c r="BS86" s="333" t="str">
        <f t="shared" si="430"/>
        <v>0</v>
      </c>
      <c r="BT86" s="113" t="e">
        <f t="shared" ref="BT86:BV86" si="530">SUM(BQ86,BM86,BI86)</f>
        <v>#VALUE!</v>
      </c>
      <c r="BU86" s="116">
        <f t="shared" si="530"/>
        <v>0</v>
      </c>
      <c r="BV86" s="117">
        <f t="shared" si="530"/>
        <v>0</v>
      </c>
      <c r="BW86" s="141">
        <f t="shared" si="432"/>
        <v>0</v>
      </c>
      <c r="BX86" s="113" t="e">
        <f t="shared" si="64"/>
        <v>#VALUE!</v>
      </c>
      <c r="BY86" s="114" t="str">
        <f t="shared" si="433"/>
        <v/>
      </c>
      <c r="BZ86" s="115" t="str">
        <f t="shared" si="434"/>
        <v>0</v>
      </c>
      <c r="CA86" s="123">
        <f t="shared" si="435"/>
        <v>0</v>
      </c>
      <c r="CB86" s="333">
        <f t="shared" si="436"/>
        <v>0</v>
      </c>
      <c r="CY86" s="294"/>
      <c r="DF86" s="296"/>
    </row>
    <row r="87" spans="1:110" ht="13">
      <c r="A87" s="420">
        <f t="shared" si="394"/>
        <v>112014702</v>
      </c>
      <c r="B87" s="565">
        <f t="shared" si="395"/>
        <v>7</v>
      </c>
      <c r="C87" s="558">
        <f t="shared" si="396"/>
        <v>0.1</v>
      </c>
      <c r="D87" s="558">
        <f t="shared" si="397"/>
        <v>0.2</v>
      </c>
      <c r="E87" s="715">
        <f t="shared" si="398"/>
        <v>0</v>
      </c>
      <c r="F87" s="701">
        <f t="shared" si="399"/>
        <v>4</v>
      </c>
      <c r="G87" s="700" t="str">
        <f t="shared" si="400"/>
        <v>Lista</v>
      </c>
      <c r="H87" s="700">
        <f t="shared" si="401"/>
        <v>0.2</v>
      </c>
      <c r="I87" s="700">
        <f t="shared" si="402"/>
        <v>0</v>
      </c>
      <c r="J87" s="547">
        <f t="shared" si="403"/>
        <v>70</v>
      </c>
      <c r="K87" s="699" t="str">
        <f t="shared" si="404"/>
        <v>Lista</v>
      </c>
      <c r="L87" s="702">
        <f t="shared" si="405"/>
        <v>0.11</v>
      </c>
      <c r="M87" s="233" t="s">
        <v>592</v>
      </c>
      <c r="N87" s="423"/>
      <c r="O87" s="326"/>
      <c r="P87" s="326"/>
      <c r="Q87" s="326"/>
      <c r="R87" s="716"/>
      <c r="S87" s="326"/>
      <c r="T87" s="137"/>
      <c r="U87" s="326"/>
      <c r="V87" s="332"/>
      <c r="W87" s="140"/>
      <c r="X87" s="326"/>
      <c r="Y87" s="717"/>
      <c r="Z87" s="123"/>
      <c r="AA87" s="137"/>
      <c r="AB87" s="326"/>
      <c r="AC87" s="326"/>
      <c r="AD87" s="326"/>
      <c r="AE87" s="326"/>
      <c r="AF87" s="716"/>
      <c r="AG87" s="326"/>
      <c r="AH87" s="137"/>
      <c r="AI87" s="332"/>
      <c r="AJ87" s="140" t="str">
        <f t="shared" si="412"/>
        <v>0</v>
      </c>
      <c r="AK87" s="326">
        <f t="shared" si="32"/>
        <v>0</v>
      </c>
      <c r="AL87" s="326">
        <f t="shared" ref="AL87:AM87" si="531">SUM(AE87,X87,Q87)</f>
        <v>0</v>
      </c>
      <c r="AM87" s="326">
        <f t="shared" si="531"/>
        <v>0</v>
      </c>
      <c r="AN87" s="326">
        <f t="shared" si="70"/>
        <v>0</v>
      </c>
      <c r="AO87" s="413" t="str">
        <f t="shared" si="79"/>
        <v/>
      </c>
      <c r="AP87" s="423" t="str">
        <f t="shared" si="485"/>
        <v/>
      </c>
      <c r="AQ87" s="326" t="e">
        <f t="shared" si="36"/>
        <v>#VALUE!</v>
      </c>
      <c r="AR87" s="326" t="str">
        <f t="shared" si="414"/>
        <v/>
      </c>
      <c r="AS87" s="333" t="str">
        <f t="shared" si="415"/>
        <v>0</v>
      </c>
      <c r="AT87" s="434"/>
      <c r="AU87" s="140" t="e">
        <f t="shared" si="40"/>
        <v>#VALUE!</v>
      </c>
      <c r="AV87" s="326" t="str">
        <f t="shared" si="416"/>
        <v/>
      </c>
      <c r="AW87" s="333" t="str">
        <f t="shared" si="417"/>
        <v>0</v>
      </c>
      <c r="AX87" s="125"/>
      <c r="AY87" s="140" t="e">
        <f t="shared" si="44"/>
        <v>#VALUE!</v>
      </c>
      <c r="AZ87" s="326" t="str">
        <f t="shared" si="418"/>
        <v/>
      </c>
      <c r="BA87" s="332" t="str">
        <f t="shared" si="419"/>
        <v>0</v>
      </c>
      <c r="BB87" s="122" t="e">
        <f t="shared" ref="BB87:BD87" si="532">AY87+AU87+AQ87</f>
        <v>#VALUE!</v>
      </c>
      <c r="BC87" s="326" t="e">
        <f t="shared" si="532"/>
        <v>#VALUE!</v>
      </c>
      <c r="BD87" s="332">
        <f t="shared" si="532"/>
        <v>0</v>
      </c>
      <c r="BE87" s="122" t="e">
        <f t="shared" si="48"/>
        <v>#VALUE!</v>
      </c>
      <c r="BF87" s="326" t="e">
        <f t="shared" ref="BF87:BG87" si="533">AL87+BC87</f>
        <v>#VALUE!</v>
      </c>
      <c r="BG87" s="435">
        <f t="shared" si="533"/>
        <v>0</v>
      </c>
      <c r="BH87" s="125" t="str">
        <f t="shared" si="422"/>
        <v/>
      </c>
      <c r="BI87" s="140" t="e">
        <f t="shared" si="51"/>
        <v>#VALUE!</v>
      </c>
      <c r="BJ87" s="123" t="str">
        <f t="shared" si="423"/>
        <v/>
      </c>
      <c r="BK87" s="125" t="str">
        <f t="shared" si="424"/>
        <v>0</v>
      </c>
      <c r="BL87" s="123" t="str">
        <f t="shared" si="425"/>
        <v/>
      </c>
      <c r="BM87" s="140" t="e">
        <f t="shared" si="55"/>
        <v>#VALUE!</v>
      </c>
      <c r="BN87" s="326" t="str">
        <f t="shared" si="426"/>
        <v/>
      </c>
      <c r="BO87" s="332" t="str">
        <f t="shared" si="427"/>
        <v>0</v>
      </c>
      <c r="BP87" s="141" t="str">
        <f t="shared" si="428"/>
        <v/>
      </c>
      <c r="BQ87" s="140" t="e">
        <f t="shared" si="59"/>
        <v>#VALUE!</v>
      </c>
      <c r="BR87" s="326" t="str">
        <f t="shared" si="429"/>
        <v/>
      </c>
      <c r="BS87" s="333" t="str">
        <f t="shared" si="430"/>
        <v>0</v>
      </c>
      <c r="BT87" s="113" t="e">
        <f t="shared" ref="BT87:BV87" si="534">SUM(BQ87,BM87,BI87)</f>
        <v>#VALUE!</v>
      </c>
      <c r="BU87" s="116">
        <f t="shared" si="534"/>
        <v>0</v>
      </c>
      <c r="BV87" s="117">
        <f t="shared" si="534"/>
        <v>0</v>
      </c>
      <c r="BW87" s="141" t="str">
        <f t="shared" si="432"/>
        <v/>
      </c>
      <c r="BX87" s="113" t="e">
        <f t="shared" si="64"/>
        <v>#VALUE!</v>
      </c>
      <c r="BY87" s="114" t="str">
        <f t="shared" si="433"/>
        <v/>
      </c>
      <c r="BZ87" s="115" t="str">
        <f t="shared" si="434"/>
        <v>0</v>
      </c>
      <c r="CA87" s="123" t="str">
        <f t="shared" si="435"/>
        <v/>
      </c>
      <c r="CB87" s="333" t="str">
        <f t="shared" si="436"/>
        <v/>
      </c>
      <c r="CY87" s="294"/>
      <c r="DF87" s="296"/>
    </row>
    <row r="88" spans="1:110" ht="13">
      <c r="A88" s="420">
        <f t="shared" si="394"/>
        <v>112014367</v>
      </c>
      <c r="B88" s="565">
        <f t="shared" si="395"/>
        <v>7</v>
      </c>
      <c r="C88" s="558">
        <f t="shared" si="396"/>
        <v>0.1</v>
      </c>
      <c r="D88" s="558">
        <f t="shared" si="397"/>
        <v>0.2</v>
      </c>
      <c r="E88" s="715">
        <f t="shared" si="398"/>
        <v>0</v>
      </c>
      <c r="F88" s="701">
        <f t="shared" si="399"/>
        <v>4</v>
      </c>
      <c r="G88" s="700" t="str">
        <f t="shared" si="400"/>
        <v>Lista</v>
      </c>
      <c r="H88" s="700">
        <f t="shared" si="401"/>
        <v>0.2</v>
      </c>
      <c r="I88" s="700">
        <f t="shared" si="402"/>
        <v>0</v>
      </c>
      <c r="J88" s="547">
        <f t="shared" si="403"/>
        <v>70</v>
      </c>
      <c r="K88" s="699" t="str">
        <f t="shared" si="404"/>
        <v>Lista</v>
      </c>
      <c r="L88" s="702">
        <f t="shared" si="405"/>
        <v>0.11</v>
      </c>
      <c r="M88" s="139" t="s">
        <v>593</v>
      </c>
      <c r="N88" s="423">
        <f>IFERROR(VLOOKUP(M88,LAGE24,3,FALSE),"")</f>
        <v>0</v>
      </c>
      <c r="O88" s="326">
        <v>1800000</v>
      </c>
      <c r="P88" s="326" t="e">
        <f t="shared" ref="P88:P153" si="535">R88-Q88</f>
        <v>#VALUE!</v>
      </c>
      <c r="Q88" s="326" t="str">
        <f t="shared" ref="Q88:Q119" si="536">IFERROR(VLOOKUP(M88,LAGALIM,3,FALSE),"")</f>
        <v/>
      </c>
      <c r="R88" s="716">
        <f t="shared" ref="R88:R119" si="537">IFERROR(VLOOKUP(M88,LAGEFC,3,FALSE),"0")</f>
        <v>199203.19</v>
      </c>
      <c r="S88" s="326">
        <f>R88-O88</f>
        <v>-1600796.81</v>
      </c>
      <c r="T88" s="137">
        <f>R88/O88</f>
        <v>0.11066843888888889</v>
      </c>
      <c r="U88" s="326">
        <f>IFERROR(VLOOKUP(M88,LAGE24,4,FALSE),"")</f>
        <v>558617.37</v>
      </c>
      <c r="V88" s="332">
        <v>1800000</v>
      </c>
      <c r="W88" s="140" t="e">
        <f t="shared" ref="W88:W153" si="538">Y88-X88</f>
        <v>#VALUE!</v>
      </c>
      <c r="X88" s="326" t="str">
        <f t="shared" ref="X88:X119" si="539">IFERROR(VLOOKUP(M88,LAGALIM,4,FALSE),"")</f>
        <v/>
      </c>
      <c r="Y88" s="717">
        <f t="shared" ref="Y88:Y119" si="540">IFERROR(VLOOKUP(M88,LAGEFC,4,FALSE),"0")</f>
        <v>433650.75</v>
      </c>
      <c r="Z88" s="123">
        <f>Y88-V88</f>
        <v>-1366349.25</v>
      </c>
      <c r="AA88" s="137">
        <f>Y88/V88</f>
        <v>0.24091708333333334</v>
      </c>
      <c r="AB88" s="326">
        <f>IFERROR(VLOOKUP(M88,LAGE24,5,FALSE),"")</f>
        <v>315724.59999999998</v>
      </c>
      <c r="AC88" s="326">
        <v>1800000</v>
      </c>
      <c r="AD88" s="326" t="e">
        <f t="shared" ref="AD88:AD153" si="541">AF88-AE88</f>
        <v>#VALUE!</v>
      </c>
      <c r="AE88" s="326" t="str">
        <f t="shared" ref="AE88:AE119" si="542">IFERROR(VLOOKUP(M88,LAGALIM,5,FALSE),"")</f>
        <v/>
      </c>
      <c r="AF88" s="716">
        <f t="shared" ref="AF88:AF119" si="543">IFERROR(VLOOKUP(M88,LAGEFC,5,FALSE),"0")</f>
        <v>314221.57</v>
      </c>
      <c r="AG88" s="326">
        <f>AF88-AC88</f>
        <v>-1485778.43</v>
      </c>
      <c r="AH88" s="137">
        <f>AF88/AC88</f>
        <v>0.1745675388888889</v>
      </c>
      <c r="AI88" s="332">
        <f>SUM(O88,V88,AC88)</f>
        <v>5400000</v>
      </c>
      <c r="AJ88" s="140">
        <f t="shared" si="412"/>
        <v>1750350.37</v>
      </c>
      <c r="AK88" s="326">
        <f t="shared" si="32"/>
        <v>947075.51</v>
      </c>
      <c r="AL88" s="326">
        <f t="shared" ref="AL88:AM88" si="544">SUM(AE88,X88,Q88)</f>
        <v>0</v>
      </c>
      <c r="AM88" s="326">
        <f t="shared" si="544"/>
        <v>947075.51</v>
      </c>
      <c r="AN88" s="326">
        <f t="shared" si="70"/>
        <v>-4452924.49</v>
      </c>
      <c r="AO88" s="413">
        <f t="shared" si="79"/>
        <v>0.54107767577984967</v>
      </c>
      <c r="AP88" s="423">
        <f t="shared" si="485"/>
        <v>90062.49</v>
      </c>
      <c r="AQ88" s="326" t="e">
        <f t="shared" si="36"/>
        <v>#VALUE!</v>
      </c>
      <c r="AR88" s="326" t="str">
        <f t="shared" si="414"/>
        <v/>
      </c>
      <c r="AS88" s="333">
        <f t="shared" si="415"/>
        <v>397734.19</v>
      </c>
      <c r="AT88" s="434">
        <f>IFERROR(VLOOKUP(M88,LAGE24,7,FALSE),"")</f>
        <v>427141.25</v>
      </c>
      <c r="AU88" s="140" t="e">
        <f t="shared" si="40"/>
        <v>#VALUE!</v>
      </c>
      <c r="AV88" s="326" t="str">
        <f t="shared" si="416"/>
        <v/>
      </c>
      <c r="AW88" s="333">
        <f t="shared" si="417"/>
        <v>293332.78999999998</v>
      </c>
      <c r="AX88" s="125">
        <f>IFERROR(VLOOKUP(M88,LAGE24,8,FALSE),"")</f>
        <v>0</v>
      </c>
      <c r="AY88" s="140" t="e">
        <f t="shared" si="44"/>
        <v>#VALUE!</v>
      </c>
      <c r="AZ88" s="326" t="str">
        <f t="shared" si="418"/>
        <v/>
      </c>
      <c r="BA88" s="332">
        <f t="shared" si="419"/>
        <v>126922.99</v>
      </c>
      <c r="BB88" s="122" t="e">
        <f t="shared" ref="BB88:BD88" si="545">AY88+AU88+AQ88</f>
        <v>#VALUE!</v>
      </c>
      <c r="BC88" s="326" t="e">
        <f t="shared" si="545"/>
        <v>#VALUE!</v>
      </c>
      <c r="BD88" s="332">
        <f t="shared" si="545"/>
        <v>817989.97</v>
      </c>
      <c r="BE88" s="122" t="e">
        <f t="shared" si="48"/>
        <v>#VALUE!</v>
      </c>
      <c r="BF88" s="326" t="e">
        <f t="shared" ref="BF88:BG88" si="546">AL88+BC88</f>
        <v>#VALUE!</v>
      </c>
      <c r="BG88" s="435">
        <f t="shared" si="546"/>
        <v>1765065.48</v>
      </c>
      <c r="BH88" s="125">
        <f t="shared" si="422"/>
        <v>237663.35999999999</v>
      </c>
      <c r="BI88" s="140" t="e">
        <f t="shared" si="51"/>
        <v>#VALUE!</v>
      </c>
      <c r="BJ88" s="123" t="str">
        <f t="shared" si="423"/>
        <v/>
      </c>
      <c r="BK88" s="125">
        <f t="shared" si="424"/>
        <v>244952.38</v>
      </c>
      <c r="BL88" s="123">
        <f t="shared" si="425"/>
        <v>191942.37</v>
      </c>
      <c r="BM88" s="140" t="e">
        <f t="shared" si="55"/>
        <v>#VALUE!</v>
      </c>
      <c r="BN88" s="326" t="str">
        <f t="shared" si="426"/>
        <v/>
      </c>
      <c r="BO88" s="332">
        <f t="shared" si="427"/>
        <v>283782.34000000003</v>
      </c>
      <c r="BP88" s="141">
        <f t="shared" si="428"/>
        <v>47019.31</v>
      </c>
      <c r="BQ88" s="140" t="e">
        <f t="shared" si="59"/>
        <v>#VALUE!</v>
      </c>
      <c r="BR88" s="326" t="str">
        <f t="shared" si="429"/>
        <v/>
      </c>
      <c r="BS88" s="333">
        <f t="shared" si="430"/>
        <v>200929.56</v>
      </c>
      <c r="BT88" s="113" t="e">
        <f t="shared" ref="BT88:BV88" si="547">SUM(BQ88,BM88,BI88)</f>
        <v>#VALUE!</v>
      </c>
      <c r="BU88" s="116">
        <f t="shared" si="547"/>
        <v>0</v>
      </c>
      <c r="BV88" s="117">
        <f t="shared" si="547"/>
        <v>729664.28</v>
      </c>
      <c r="BW88" s="141">
        <f t="shared" si="432"/>
        <v>468210.75</v>
      </c>
      <c r="BX88" s="113" t="e">
        <f t="shared" si="64"/>
        <v>#VALUE!</v>
      </c>
      <c r="BY88" s="114" t="str">
        <f t="shared" si="433"/>
        <v/>
      </c>
      <c r="BZ88" s="115">
        <f t="shared" si="434"/>
        <v>673037.98</v>
      </c>
      <c r="CA88" s="123">
        <f t="shared" si="435"/>
        <v>938748.87</v>
      </c>
      <c r="CB88" s="333">
        <f t="shared" si="436"/>
        <v>343390.75</v>
      </c>
      <c r="CY88" s="294"/>
      <c r="DF88" s="296"/>
    </row>
    <row r="89" spans="1:110" ht="13">
      <c r="A89" s="420">
        <f t="shared" si="394"/>
        <v>112014685</v>
      </c>
      <c r="B89" s="565">
        <f t="shared" si="395"/>
        <v>7</v>
      </c>
      <c r="C89" s="558">
        <f t="shared" si="396"/>
        <v>0.1</v>
      </c>
      <c r="D89" s="558">
        <f t="shared" si="397"/>
        <v>0.2</v>
      </c>
      <c r="E89" s="715">
        <f t="shared" si="398"/>
        <v>0</v>
      </c>
      <c r="F89" s="701">
        <f t="shared" si="399"/>
        <v>4</v>
      </c>
      <c r="G89" s="700" t="str">
        <f t="shared" si="400"/>
        <v>Lista</v>
      </c>
      <c r="H89" s="700">
        <f t="shared" si="401"/>
        <v>0.2</v>
      </c>
      <c r="I89" s="700">
        <f t="shared" si="402"/>
        <v>0</v>
      </c>
      <c r="J89" s="547">
        <f t="shared" si="403"/>
        <v>70</v>
      </c>
      <c r="K89" s="699" t="str">
        <f t="shared" si="404"/>
        <v>Lista</v>
      </c>
      <c r="L89" s="702">
        <f t="shared" si="405"/>
        <v>0.11</v>
      </c>
      <c r="M89" s="233" t="s">
        <v>594</v>
      </c>
      <c r="N89" s="423"/>
      <c r="O89" s="326"/>
      <c r="P89" s="326">
        <f t="shared" si="535"/>
        <v>0</v>
      </c>
      <c r="Q89" s="326">
        <f t="shared" si="536"/>
        <v>0</v>
      </c>
      <c r="R89" s="716">
        <f t="shared" si="537"/>
        <v>0</v>
      </c>
      <c r="S89" s="326"/>
      <c r="T89" s="137"/>
      <c r="U89" s="326"/>
      <c r="V89" s="332"/>
      <c r="W89" s="140">
        <f t="shared" si="538"/>
        <v>0</v>
      </c>
      <c r="X89" s="326">
        <f t="shared" si="539"/>
        <v>0</v>
      </c>
      <c r="Y89" s="717">
        <f t="shared" si="540"/>
        <v>0</v>
      </c>
      <c r="Z89" s="123"/>
      <c r="AA89" s="137"/>
      <c r="AB89" s="326"/>
      <c r="AC89" s="326"/>
      <c r="AD89" s="326">
        <f t="shared" si="541"/>
        <v>0</v>
      </c>
      <c r="AE89" s="326">
        <f t="shared" si="542"/>
        <v>0</v>
      </c>
      <c r="AF89" s="716">
        <f t="shared" si="543"/>
        <v>0</v>
      </c>
      <c r="AG89" s="326"/>
      <c r="AH89" s="137"/>
      <c r="AI89" s="332"/>
      <c r="AJ89" s="140" t="str">
        <f t="shared" si="412"/>
        <v>0</v>
      </c>
      <c r="AK89" s="326">
        <f t="shared" si="32"/>
        <v>0</v>
      </c>
      <c r="AL89" s="326">
        <f t="shared" ref="AL89:AM89" si="548">SUM(AE89,X89,Q89)</f>
        <v>0</v>
      </c>
      <c r="AM89" s="326">
        <f t="shared" si="548"/>
        <v>0</v>
      </c>
      <c r="AN89" s="326">
        <f t="shared" si="70"/>
        <v>0</v>
      </c>
      <c r="AO89" s="413" t="str">
        <f t="shared" si="79"/>
        <v/>
      </c>
      <c r="AP89" s="423" t="str">
        <f t="shared" si="485"/>
        <v/>
      </c>
      <c r="AQ89" s="326">
        <f t="shared" si="36"/>
        <v>0</v>
      </c>
      <c r="AR89" s="326">
        <f t="shared" si="414"/>
        <v>114125</v>
      </c>
      <c r="AS89" s="333">
        <f t="shared" si="415"/>
        <v>114125</v>
      </c>
      <c r="AT89" s="434"/>
      <c r="AU89" s="140">
        <f t="shared" si="40"/>
        <v>284289.43</v>
      </c>
      <c r="AV89" s="326">
        <f t="shared" si="416"/>
        <v>167203.75</v>
      </c>
      <c r="AW89" s="333">
        <f t="shared" si="417"/>
        <v>451493.18</v>
      </c>
      <c r="AX89" s="125"/>
      <c r="AY89" s="140">
        <f t="shared" si="44"/>
        <v>203466.93</v>
      </c>
      <c r="AZ89" s="326">
        <f t="shared" si="418"/>
        <v>389745.33</v>
      </c>
      <c r="BA89" s="332">
        <f t="shared" si="419"/>
        <v>593212.26</v>
      </c>
      <c r="BB89" s="122">
        <f t="shared" ref="BB89:BD89" si="549">AY89+AU89+AQ89</f>
        <v>487756.36</v>
      </c>
      <c r="BC89" s="326">
        <f t="shared" si="549"/>
        <v>671074.08000000007</v>
      </c>
      <c r="BD89" s="332">
        <f t="shared" si="549"/>
        <v>1158830.44</v>
      </c>
      <c r="BE89" s="122">
        <f t="shared" si="48"/>
        <v>487756.36</v>
      </c>
      <c r="BF89" s="326">
        <f t="shared" ref="BF89:BG89" si="550">AL89+BC89</f>
        <v>671074.08000000007</v>
      </c>
      <c r="BG89" s="435">
        <f t="shared" si="550"/>
        <v>1158830.44</v>
      </c>
      <c r="BH89" s="125" t="str">
        <f t="shared" si="422"/>
        <v/>
      </c>
      <c r="BI89" s="140">
        <f t="shared" si="51"/>
        <v>39366.94</v>
      </c>
      <c r="BJ89" s="123">
        <f t="shared" si="423"/>
        <v>468796.48</v>
      </c>
      <c r="BK89" s="125">
        <f t="shared" si="424"/>
        <v>508163.42</v>
      </c>
      <c r="BL89" s="123" t="str">
        <f t="shared" si="425"/>
        <v/>
      </c>
      <c r="BM89" s="140">
        <f t="shared" si="55"/>
        <v>0</v>
      </c>
      <c r="BN89" s="326">
        <f t="shared" si="426"/>
        <v>0</v>
      </c>
      <c r="BO89" s="332">
        <f t="shared" si="427"/>
        <v>0</v>
      </c>
      <c r="BP89" s="141" t="str">
        <f t="shared" si="428"/>
        <v/>
      </c>
      <c r="BQ89" s="140">
        <f t="shared" si="59"/>
        <v>200450.28</v>
      </c>
      <c r="BR89" s="326">
        <f t="shared" si="429"/>
        <v>156765.48000000001</v>
      </c>
      <c r="BS89" s="333">
        <f t="shared" si="430"/>
        <v>357215.76</v>
      </c>
      <c r="BT89" s="113">
        <f t="shared" ref="BT89:BV89" si="551">SUM(BQ89,BM89,BI89)</f>
        <v>239817.22</v>
      </c>
      <c r="BU89" s="116">
        <f t="shared" si="551"/>
        <v>625561.96</v>
      </c>
      <c r="BV89" s="117">
        <f t="shared" si="551"/>
        <v>865379.17999999993</v>
      </c>
      <c r="BW89" s="141" t="str">
        <f t="shared" si="432"/>
        <v/>
      </c>
      <c r="BX89" s="113">
        <f t="shared" si="64"/>
        <v>117488.41</v>
      </c>
      <c r="BY89" s="114">
        <f t="shared" si="433"/>
        <v>88527.87</v>
      </c>
      <c r="BZ89" s="115">
        <f t="shared" si="434"/>
        <v>206016.28</v>
      </c>
      <c r="CA89" s="123" t="str">
        <f t="shared" si="435"/>
        <v/>
      </c>
      <c r="CB89" s="333" t="str">
        <f t="shared" si="436"/>
        <v/>
      </c>
      <c r="CY89" s="294"/>
      <c r="DF89" s="296"/>
    </row>
    <row r="90" spans="1:110" ht="13">
      <c r="A90" s="420">
        <f t="shared" si="394"/>
        <v>112014469</v>
      </c>
      <c r="B90" s="565">
        <f t="shared" si="395"/>
        <v>7</v>
      </c>
      <c r="C90" s="558">
        <f t="shared" si="396"/>
        <v>0.1</v>
      </c>
      <c r="D90" s="558">
        <f t="shared" si="397"/>
        <v>0.2</v>
      </c>
      <c r="E90" s="715">
        <f t="shared" si="398"/>
        <v>0</v>
      </c>
      <c r="F90" s="701">
        <f t="shared" si="399"/>
        <v>4</v>
      </c>
      <c r="G90" s="700" t="str">
        <f t="shared" si="400"/>
        <v>Lista</v>
      </c>
      <c r="H90" s="700">
        <f t="shared" si="401"/>
        <v>0.2</v>
      </c>
      <c r="I90" s="700">
        <f t="shared" si="402"/>
        <v>0</v>
      </c>
      <c r="J90" s="547">
        <f t="shared" si="403"/>
        <v>70</v>
      </c>
      <c r="K90" s="699" t="str">
        <f t="shared" si="404"/>
        <v>Lista</v>
      </c>
      <c r="L90" s="702">
        <f t="shared" si="405"/>
        <v>0.11</v>
      </c>
      <c r="M90" s="736" t="s">
        <v>595</v>
      </c>
      <c r="N90" s="423">
        <f t="shared" ref="N90:N98" si="552">IFERROR(VLOOKUP(M90,LAGE24,3,FALSE),"")</f>
        <v>0</v>
      </c>
      <c r="O90" s="326">
        <v>1800000</v>
      </c>
      <c r="P90" s="326">
        <f t="shared" si="535"/>
        <v>323743.38</v>
      </c>
      <c r="Q90" s="326">
        <f t="shared" si="536"/>
        <v>29966.19</v>
      </c>
      <c r="R90" s="716">
        <f t="shared" si="537"/>
        <v>353709.57</v>
      </c>
      <c r="S90" s="326">
        <f t="shared" ref="S90:S98" si="553">R90-O90</f>
        <v>-1446290.43</v>
      </c>
      <c r="T90" s="137">
        <f t="shared" ref="T90:T98" si="554">R90/O90</f>
        <v>0.19650531666666668</v>
      </c>
      <c r="U90" s="326">
        <f t="shared" ref="U90:U98" si="555">IFERROR(VLOOKUP(M90,LAGE24,4,FALSE),"")</f>
        <v>0</v>
      </c>
      <c r="V90" s="332">
        <v>1800000</v>
      </c>
      <c r="W90" s="140">
        <f t="shared" si="538"/>
        <v>164841.87</v>
      </c>
      <c r="X90" s="326">
        <f t="shared" si="539"/>
        <v>0</v>
      </c>
      <c r="Y90" s="717">
        <f t="shared" si="540"/>
        <v>164841.87</v>
      </c>
      <c r="Z90" s="123">
        <f t="shared" ref="Z90:Z98" si="556">Y90-V90</f>
        <v>-1635158.13</v>
      </c>
      <c r="AA90" s="137">
        <f t="shared" ref="AA90:AA98" si="557">Y90/V90</f>
        <v>9.157881666666666E-2</v>
      </c>
      <c r="AB90" s="326">
        <f t="shared" ref="AB90:AB98" si="558">IFERROR(VLOOKUP(M90,LAGE24,5,FALSE),"")</f>
        <v>0</v>
      </c>
      <c r="AC90" s="326">
        <v>1800000</v>
      </c>
      <c r="AD90" s="326">
        <f t="shared" si="541"/>
        <v>367830.51</v>
      </c>
      <c r="AE90" s="326">
        <f t="shared" si="542"/>
        <v>0</v>
      </c>
      <c r="AF90" s="716">
        <f t="shared" si="543"/>
        <v>367830.51</v>
      </c>
      <c r="AG90" s="326">
        <f t="shared" ref="AG90:AG153" si="559">AF90-AC90</f>
        <v>-1432169.49</v>
      </c>
      <c r="AH90" s="137">
        <f t="shared" ref="AH90:AH114" si="560">AF90/AC90</f>
        <v>0.20435028333333333</v>
      </c>
      <c r="AI90" s="332">
        <f t="shared" ref="AI90:AI153" si="561">SUM(O90,V90,AC90)</f>
        <v>5400000</v>
      </c>
      <c r="AJ90" s="140">
        <f t="shared" si="412"/>
        <v>915645.31</v>
      </c>
      <c r="AK90" s="326">
        <f t="shared" si="32"/>
        <v>856415.76</v>
      </c>
      <c r="AL90" s="326">
        <f t="shared" ref="AL90:AM90" si="562">SUM(AE90,X90,Q90)</f>
        <v>29966.19</v>
      </c>
      <c r="AM90" s="326">
        <f t="shared" si="562"/>
        <v>886381.95</v>
      </c>
      <c r="AN90" s="326">
        <f t="shared" si="70"/>
        <v>-4513618.05</v>
      </c>
      <c r="AO90" s="413">
        <f t="shared" si="79"/>
        <v>0.96804072528914054</v>
      </c>
      <c r="AP90" s="423">
        <f t="shared" si="485"/>
        <v>0</v>
      </c>
      <c r="AQ90" s="326">
        <f t="shared" si="36"/>
        <v>218868.66</v>
      </c>
      <c r="AR90" s="326">
        <f t="shared" si="414"/>
        <v>0</v>
      </c>
      <c r="AS90" s="333">
        <f t="shared" si="415"/>
        <v>218868.66</v>
      </c>
      <c r="AT90" s="434">
        <f t="shared" ref="AT90:AT98" si="563">IFERROR(VLOOKUP(M90,LAGE24,7,FALSE),"")</f>
        <v>0</v>
      </c>
      <c r="AU90" s="140">
        <f t="shared" si="40"/>
        <v>225002.49</v>
      </c>
      <c r="AV90" s="326">
        <f t="shared" si="416"/>
        <v>0</v>
      </c>
      <c r="AW90" s="333">
        <f t="shared" si="417"/>
        <v>225002.49</v>
      </c>
      <c r="AX90" s="125">
        <f t="shared" ref="AX90:AX98" si="564">IFERROR(VLOOKUP(M90,LAGE24,8,FALSE),"")</f>
        <v>0</v>
      </c>
      <c r="AY90" s="140">
        <f t="shared" si="44"/>
        <v>0</v>
      </c>
      <c r="AZ90" s="326">
        <f t="shared" si="418"/>
        <v>0</v>
      </c>
      <c r="BA90" s="332">
        <f t="shared" si="419"/>
        <v>0</v>
      </c>
      <c r="BB90" s="122">
        <f t="shared" ref="BB90:BD90" si="565">AY90+AU90+AQ90</f>
        <v>443871.15</v>
      </c>
      <c r="BC90" s="326">
        <f t="shared" si="565"/>
        <v>0</v>
      </c>
      <c r="BD90" s="332">
        <f t="shared" si="565"/>
        <v>443871.15</v>
      </c>
      <c r="BE90" s="122">
        <f t="shared" si="48"/>
        <v>1300286.9100000001</v>
      </c>
      <c r="BF90" s="326">
        <f t="shared" ref="BF90:BG90" si="566">AL90+BC90</f>
        <v>29966.19</v>
      </c>
      <c r="BG90" s="435">
        <f t="shared" si="566"/>
        <v>1330253.1000000001</v>
      </c>
      <c r="BH90" s="125">
        <f t="shared" si="422"/>
        <v>0</v>
      </c>
      <c r="BI90" s="140">
        <f t="shared" si="51"/>
        <v>289339.62</v>
      </c>
      <c r="BJ90" s="123">
        <f t="shared" si="423"/>
        <v>0</v>
      </c>
      <c r="BK90" s="125">
        <f t="shared" si="424"/>
        <v>289339.62</v>
      </c>
      <c r="BL90" s="123">
        <f t="shared" si="425"/>
        <v>0</v>
      </c>
      <c r="BM90" s="140">
        <f t="shared" si="55"/>
        <v>95510.31</v>
      </c>
      <c r="BN90" s="326">
        <f t="shared" si="426"/>
        <v>0</v>
      </c>
      <c r="BO90" s="332">
        <f t="shared" si="427"/>
        <v>95510.31</v>
      </c>
      <c r="BP90" s="141">
        <f t="shared" si="428"/>
        <v>0</v>
      </c>
      <c r="BQ90" s="140">
        <f t="shared" si="59"/>
        <v>343149.45</v>
      </c>
      <c r="BR90" s="326">
        <f t="shared" si="429"/>
        <v>0</v>
      </c>
      <c r="BS90" s="333">
        <f t="shared" si="430"/>
        <v>343149.45</v>
      </c>
      <c r="BT90" s="113">
        <f t="shared" ref="BT90:BV90" si="567">SUM(BQ90,BM90,BI90)</f>
        <v>727999.38</v>
      </c>
      <c r="BU90" s="116">
        <f t="shared" si="567"/>
        <v>0</v>
      </c>
      <c r="BV90" s="117">
        <f t="shared" si="567"/>
        <v>727999.38</v>
      </c>
      <c r="BW90" s="141">
        <f t="shared" si="432"/>
        <v>461032.35</v>
      </c>
      <c r="BX90" s="113">
        <f t="shared" si="64"/>
        <v>165223.23000000001</v>
      </c>
      <c r="BY90" s="114">
        <f t="shared" si="433"/>
        <v>0</v>
      </c>
      <c r="BZ90" s="115">
        <f t="shared" si="434"/>
        <v>165223.23000000001</v>
      </c>
      <c r="CA90" s="123">
        <f t="shared" si="435"/>
        <v>283142.65000000002</v>
      </c>
      <c r="CB90" s="333">
        <f t="shared" si="436"/>
        <v>171470.31</v>
      </c>
      <c r="CY90" s="294"/>
      <c r="DF90" s="296"/>
    </row>
    <row r="91" spans="1:110" ht="13">
      <c r="A91" s="420">
        <f t="shared" si="394"/>
        <v>112014649</v>
      </c>
      <c r="B91" s="565">
        <f t="shared" si="395"/>
        <v>7</v>
      </c>
      <c r="C91" s="558">
        <f t="shared" si="396"/>
        <v>0.1</v>
      </c>
      <c r="D91" s="558">
        <f t="shared" si="397"/>
        <v>0.2</v>
      </c>
      <c r="E91" s="715">
        <f t="shared" si="398"/>
        <v>0</v>
      </c>
      <c r="F91" s="701">
        <f t="shared" si="399"/>
        <v>4</v>
      </c>
      <c r="G91" s="700" t="str">
        <f t="shared" si="400"/>
        <v>Lista</v>
      </c>
      <c r="H91" s="700">
        <f t="shared" si="401"/>
        <v>0.2</v>
      </c>
      <c r="I91" s="700">
        <f t="shared" si="402"/>
        <v>0</v>
      </c>
      <c r="J91" s="547">
        <f t="shared" si="403"/>
        <v>70</v>
      </c>
      <c r="K91" s="699" t="str">
        <f t="shared" si="404"/>
        <v>Lista</v>
      </c>
      <c r="L91" s="702">
        <f t="shared" si="405"/>
        <v>0.11</v>
      </c>
      <c r="M91" s="736" t="s">
        <v>596</v>
      </c>
      <c r="N91" s="423" t="str">
        <f t="shared" si="552"/>
        <v/>
      </c>
      <c r="O91" s="326">
        <v>1800000</v>
      </c>
      <c r="P91" s="326">
        <f t="shared" si="535"/>
        <v>0</v>
      </c>
      <c r="Q91" s="326">
        <f t="shared" si="536"/>
        <v>106402.48</v>
      </c>
      <c r="R91" s="716">
        <f t="shared" si="537"/>
        <v>106402.48</v>
      </c>
      <c r="S91" s="326">
        <f t="shared" si="553"/>
        <v>-1693597.52</v>
      </c>
      <c r="T91" s="137">
        <f t="shared" si="554"/>
        <v>5.9112488888888884E-2</v>
      </c>
      <c r="U91" s="326" t="str">
        <f t="shared" si="555"/>
        <v/>
      </c>
      <c r="V91" s="332">
        <v>1800000</v>
      </c>
      <c r="W91" s="140">
        <f t="shared" si="538"/>
        <v>0</v>
      </c>
      <c r="X91" s="326">
        <f t="shared" si="539"/>
        <v>408530.88</v>
      </c>
      <c r="Y91" s="717">
        <f t="shared" si="540"/>
        <v>408530.88</v>
      </c>
      <c r="Z91" s="123">
        <f t="shared" si="556"/>
        <v>-1391469.12</v>
      </c>
      <c r="AA91" s="137">
        <f t="shared" si="557"/>
        <v>0.22696160000000001</v>
      </c>
      <c r="AB91" s="326" t="str">
        <f t="shared" si="558"/>
        <v/>
      </c>
      <c r="AC91" s="326">
        <v>1800000</v>
      </c>
      <c r="AD91" s="326">
        <f t="shared" si="541"/>
        <v>0</v>
      </c>
      <c r="AE91" s="326">
        <f t="shared" si="542"/>
        <v>131084.16</v>
      </c>
      <c r="AF91" s="716">
        <f t="shared" si="543"/>
        <v>131084.16</v>
      </c>
      <c r="AG91" s="326">
        <f t="shared" si="559"/>
        <v>-1668915.84</v>
      </c>
      <c r="AH91" s="137">
        <f t="shared" si="560"/>
        <v>7.282453333333333E-2</v>
      </c>
      <c r="AI91" s="332">
        <f t="shared" si="561"/>
        <v>5400000</v>
      </c>
      <c r="AJ91" s="140" t="str">
        <f t="shared" si="412"/>
        <v>0</v>
      </c>
      <c r="AK91" s="326">
        <f t="shared" si="32"/>
        <v>0</v>
      </c>
      <c r="AL91" s="326">
        <f t="shared" ref="AL91:AM91" si="568">SUM(AE91,X91,Q91)</f>
        <v>646017.52</v>
      </c>
      <c r="AM91" s="326">
        <f t="shared" si="568"/>
        <v>646017.52</v>
      </c>
      <c r="AN91" s="326">
        <f t="shared" si="70"/>
        <v>-4753982.4800000004</v>
      </c>
      <c r="AO91" s="413" t="str">
        <f t="shared" si="79"/>
        <v/>
      </c>
      <c r="AP91" s="423" t="str">
        <f t="shared" si="485"/>
        <v/>
      </c>
      <c r="AQ91" s="326">
        <f t="shared" si="36"/>
        <v>0</v>
      </c>
      <c r="AR91" s="326">
        <f t="shared" si="414"/>
        <v>72546.720000000001</v>
      </c>
      <c r="AS91" s="333">
        <f t="shared" si="415"/>
        <v>72546.720000000001</v>
      </c>
      <c r="AT91" s="434" t="str">
        <f t="shared" si="563"/>
        <v/>
      </c>
      <c r="AU91" s="140">
        <f t="shared" si="40"/>
        <v>0</v>
      </c>
      <c r="AV91" s="326">
        <f t="shared" si="416"/>
        <v>0</v>
      </c>
      <c r="AW91" s="333">
        <f t="shared" si="417"/>
        <v>0</v>
      </c>
      <c r="AX91" s="125" t="str">
        <f t="shared" si="564"/>
        <v/>
      </c>
      <c r="AY91" s="140">
        <f t="shared" si="44"/>
        <v>0</v>
      </c>
      <c r="AZ91" s="326">
        <f t="shared" si="418"/>
        <v>413496.96</v>
      </c>
      <c r="BA91" s="332">
        <f t="shared" si="419"/>
        <v>413496.96</v>
      </c>
      <c r="BB91" s="122">
        <f t="shared" ref="BB91:BD91" si="569">AY91+AU91+AQ91</f>
        <v>0</v>
      </c>
      <c r="BC91" s="326">
        <f t="shared" si="569"/>
        <v>486043.68000000005</v>
      </c>
      <c r="BD91" s="332">
        <f t="shared" si="569"/>
        <v>486043.68000000005</v>
      </c>
      <c r="BE91" s="122">
        <f t="shared" si="48"/>
        <v>0</v>
      </c>
      <c r="BF91" s="326">
        <f t="shared" ref="BF91:BG91" si="570">AL91+BC91</f>
        <v>1132061.2000000002</v>
      </c>
      <c r="BG91" s="435">
        <f t="shared" si="570"/>
        <v>1132061.2000000002</v>
      </c>
      <c r="BH91" s="125" t="str">
        <f t="shared" si="422"/>
        <v/>
      </c>
      <c r="BI91" s="140">
        <f t="shared" si="51"/>
        <v>0</v>
      </c>
      <c r="BJ91" s="123">
        <f t="shared" si="423"/>
        <v>862846.27</v>
      </c>
      <c r="BK91" s="125">
        <f t="shared" si="424"/>
        <v>862846.27</v>
      </c>
      <c r="BL91" s="123" t="str">
        <f t="shared" si="425"/>
        <v/>
      </c>
      <c r="BM91" s="140">
        <f t="shared" si="55"/>
        <v>0</v>
      </c>
      <c r="BN91" s="326">
        <f t="shared" si="426"/>
        <v>567373.04</v>
      </c>
      <c r="BO91" s="332">
        <f t="shared" si="427"/>
        <v>567373.04</v>
      </c>
      <c r="BP91" s="141" t="str">
        <f t="shared" si="428"/>
        <v/>
      </c>
      <c r="BQ91" s="140">
        <f t="shared" si="59"/>
        <v>0</v>
      </c>
      <c r="BR91" s="326">
        <f t="shared" si="429"/>
        <v>861527.7</v>
      </c>
      <c r="BS91" s="333">
        <f t="shared" si="430"/>
        <v>861527.7</v>
      </c>
      <c r="BT91" s="113">
        <f t="shared" ref="BT91:BV91" si="571">SUM(BQ91,BM91,BI91)</f>
        <v>0</v>
      </c>
      <c r="BU91" s="116">
        <f t="shared" si="571"/>
        <v>2291747.0099999998</v>
      </c>
      <c r="BV91" s="117">
        <f t="shared" si="571"/>
        <v>2291747.0099999998</v>
      </c>
      <c r="BW91" s="141" t="str">
        <f t="shared" si="432"/>
        <v/>
      </c>
      <c r="BX91" s="113">
        <f t="shared" si="64"/>
        <v>0</v>
      </c>
      <c r="BY91" s="114">
        <f t="shared" si="433"/>
        <v>0</v>
      </c>
      <c r="BZ91" s="115">
        <f t="shared" si="434"/>
        <v>0</v>
      </c>
      <c r="CA91" s="123" t="str">
        <f t="shared" si="435"/>
        <v/>
      </c>
      <c r="CB91" s="333" t="str">
        <f t="shared" si="436"/>
        <v/>
      </c>
      <c r="CY91" s="294"/>
      <c r="DF91" s="296"/>
    </row>
    <row r="92" spans="1:110" ht="13">
      <c r="A92" s="420">
        <f t="shared" si="394"/>
        <v>112014337</v>
      </c>
      <c r="B92" s="565">
        <f t="shared" si="395"/>
        <v>7</v>
      </c>
      <c r="C92" s="558">
        <f t="shared" si="396"/>
        <v>0.1</v>
      </c>
      <c r="D92" s="558">
        <f t="shared" si="397"/>
        <v>0.2</v>
      </c>
      <c r="E92" s="715">
        <f t="shared" si="398"/>
        <v>0</v>
      </c>
      <c r="F92" s="701">
        <f t="shared" si="399"/>
        <v>4</v>
      </c>
      <c r="G92" s="700" t="str">
        <f t="shared" si="400"/>
        <v>Lista</v>
      </c>
      <c r="H92" s="700">
        <f t="shared" si="401"/>
        <v>0.2</v>
      </c>
      <c r="I92" s="700">
        <f t="shared" si="402"/>
        <v>0</v>
      </c>
      <c r="J92" s="547">
        <f t="shared" si="403"/>
        <v>70</v>
      </c>
      <c r="K92" s="699" t="str">
        <f t="shared" si="404"/>
        <v>Lista</v>
      </c>
      <c r="L92" s="702">
        <f t="shared" si="405"/>
        <v>0.11</v>
      </c>
      <c r="M92" s="139" t="s">
        <v>597</v>
      </c>
      <c r="N92" s="423" t="str">
        <f t="shared" si="552"/>
        <v/>
      </c>
      <c r="O92" s="326">
        <v>1800000</v>
      </c>
      <c r="P92" s="326" t="e">
        <f t="shared" si="535"/>
        <v>#VALUE!</v>
      </c>
      <c r="Q92" s="326" t="str">
        <f t="shared" si="536"/>
        <v/>
      </c>
      <c r="R92" s="716" t="str">
        <f t="shared" si="537"/>
        <v>0</v>
      </c>
      <c r="S92" s="326">
        <f t="shared" si="553"/>
        <v>-1800000</v>
      </c>
      <c r="T92" s="137">
        <f t="shared" si="554"/>
        <v>0</v>
      </c>
      <c r="U92" s="326" t="str">
        <f t="shared" si="555"/>
        <v/>
      </c>
      <c r="V92" s="332">
        <v>1800000</v>
      </c>
      <c r="W92" s="140" t="e">
        <f t="shared" si="538"/>
        <v>#VALUE!</v>
      </c>
      <c r="X92" s="326" t="str">
        <f t="shared" si="539"/>
        <v/>
      </c>
      <c r="Y92" s="717" t="str">
        <f t="shared" si="540"/>
        <v>0</v>
      </c>
      <c r="Z92" s="123">
        <f t="shared" si="556"/>
        <v>-1800000</v>
      </c>
      <c r="AA92" s="137">
        <f t="shared" si="557"/>
        <v>0</v>
      </c>
      <c r="AB92" s="326" t="str">
        <f t="shared" si="558"/>
        <v/>
      </c>
      <c r="AC92" s="326">
        <v>1800000</v>
      </c>
      <c r="AD92" s="326" t="e">
        <f t="shared" si="541"/>
        <v>#VALUE!</v>
      </c>
      <c r="AE92" s="326" t="str">
        <f t="shared" si="542"/>
        <v/>
      </c>
      <c r="AF92" s="716" t="str">
        <f t="shared" si="543"/>
        <v>0</v>
      </c>
      <c r="AG92" s="326">
        <f t="shared" si="559"/>
        <v>-1800000</v>
      </c>
      <c r="AH92" s="137">
        <f t="shared" si="560"/>
        <v>0</v>
      </c>
      <c r="AI92" s="332">
        <f t="shared" si="561"/>
        <v>5400000</v>
      </c>
      <c r="AJ92" s="140" t="str">
        <f t="shared" si="412"/>
        <v>0</v>
      </c>
      <c r="AK92" s="326">
        <f t="shared" si="32"/>
        <v>0</v>
      </c>
      <c r="AL92" s="326">
        <f t="shared" ref="AL92:AM92" si="572">SUM(AE92,X92,Q92)</f>
        <v>0</v>
      </c>
      <c r="AM92" s="326">
        <f t="shared" si="572"/>
        <v>0</v>
      </c>
      <c r="AN92" s="326">
        <f t="shared" si="70"/>
        <v>-5400000</v>
      </c>
      <c r="AO92" s="413" t="str">
        <f t="shared" si="79"/>
        <v/>
      </c>
      <c r="AP92" s="423" t="str">
        <f t="shared" si="485"/>
        <v/>
      </c>
      <c r="AQ92" s="326" t="e">
        <f t="shared" si="36"/>
        <v>#VALUE!</v>
      </c>
      <c r="AR92" s="326" t="str">
        <f t="shared" si="414"/>
        <v/>
      </c>
      <c r="AS92" s="333" t="str">
        <f t="shared" si="415"/>
        <v>0</v>
      </c>
      <c r="AT92" s="434" t="str">
        <f t="shared" si="563"/>
        <v/>
      </c>
      <c r="AU92" s="140" t="e">
        <f t="shared" si="40"/>
        <v>#VALUE!</v>
      </c>
      <c r="AV92" s="326" t="str">
        <f t="shared" si="416"/>
        <v/>
      </c>
      <c r="AW92" s="333" t="str">
        <f t="shared" si="417"/>
        <v>0</v>
      </c>
      <c r="AX92" s="125" t="str">
        <f t="shared" si="564"/>
        <v/>
      </c>
      <c r="AY92" s="140" t="e">
        <f t="shared" si="44"/>
        <v>#VALUE!</v>
      </c>
      <c r="AZ92" s="326" t="str">
        <f t="shared" si="418"/>
        <v/>
      </c>
      <c r="BA92" s="332" t="str">
        <f t="shared" si="419"/>
        <v>0</v>
      </c>
      <c r="BB92" s="122" t="e">
        <f t="shared" ref="BB92:BD92" si="573">AY92+AU92+AQ92</f>
        <v>#VALUE!</v>
      </c>
      <c r="BC92" s="326" t="e">
        <f t="shared" si="573"/>
        <v>#VALUE!</v>
      </c>
      <c r="BD92" s="332">
        <f t="shared" si="573"/>
        <v>0</v>
      </c>
      <c r="BE92" s="122" t="e">
        <f t="shared" si="48"/>
        <v>#VALUE!</v>
      </c>
      <c r="BF92" s="326" t="e">
        <f t="shared" ref="BF92:BG92" si="574">AL92+BC92</f>
        <v>#VALUE!</v>
      </c>
      <c r="BG92" s="435">
        <f t="shared" si="574"/>
        <v>0</v>
      </c>
      <c r="BH92" s="125" t="str">
        <f t="shared" si="422"/>
        <v/>
      </c>
      <c r="BI92" s="140" t="e">
        <f t="shared" si="51"/>
        <v>#VALUE!</v>
      </c>
      <c r="BJ92" s="123" t="str">
        <f t="shared" si="423"/>
        <v/>
      </c>
      <c r="BK92" s="125" t="str">
        <f t="shared" si="424"/>
        <v>0</v>
      </c>
      <c r="BL92" s="123" t="str">
        <f t="shared" si="425"/>
        <v/>
      </c>
      <c r="BM92" s="140" t="e">
        <f t="shared" si="55"/>
        <v>#VALUE!</v>
      </c>
      <c r="BN92" s="326" t="str">
        <f t="shared" si="426"/>
        <v/>
      </c>
      <c r="BO92" s="332" t="str">
        <f t="shared" si="427"/>
        <v>0</v>
      </c>
      <c r="BP92" s="141" t="str">
        <f t="shared" si="428"/>
        <v/>
      </c>
      <c r="BQ92" s="140" t="e">
        <f t="shared" si="59"/>
        <v>#VALUE!</v>
      </c>
      <c r="BR92" s="326" t="str">
        <f t="shared" si="429"/>
        <v/>
      </c>
      <c r="BS92" s="333" t="str">
        <f t="shared" si="430"/>
        <v>0</v>
      </c>
      <c r="BT92" s="113" t="e">
        <f t="shared" ref="BT92:BV92" si="575">SUM(BQ92,BM92,BI92)</f>
        <v>#VALUE!</v>
      </c>
      <c r="BU92" s="116">
        <f t="shared" si="575"/>
        <v>0</v>
      </c>
      <c r="BV92" s="117">
        <f t="shared" si="575"/>
        <v>0</v>
      </c>
      <c r="BW92" s="141" t="str">
        <f t="shared" si="432"/>
        <v/>
      </c>
      <c r="BX92" s="113" t="e">
        <f t="shared" si="64"/>
        <v>#VALUE!</v>
      </c>
      <c r="BY92" s="114" t="str">
        <f t="shared" si="433"/>
        <v/>
      </c>
      <c r="BZ92" s="115" t="str">
        <f t="shared" si="434"/>
        <v>0</v>
      </c>
      <c r="CA92" s="123" t="str">
        <f t="shared" si="435"/>
        <v/>
      </c>
      <c r="CB92" s="333" t="str">
        <f t="shared" si="436"/>
        <v/>
      </c>
      <c r="CY92" s="294"/>
      <c r="DF92" s="296"/>
    </row>
    <row r="93" spans="1:110" ht="13">
      <c r="A93" s="420">
        <f t="shared" si="394"/>
        <v>112014126</v>
      </c>
      <c r="B93" s="565">
        <f t="shared" si="395"/>
        <v>7</v>
      </c>
      <c r="C93" s="558">
        <f t="shared" si="396"/>
        <v>0.1</v>
      </c>
      <c r="D93" s="558">
        <f t="shared" si="397"/>
        <v>0.2</v>
      </c>
      <c r="E93" s="715">
        <f t="shared" si="398"/>
        <v>0</v>
      </c>
      <c r="F93" s="701">
        <f t="shared" si="399"/>
        <v>4</v>
      </c>
      <c r="G93" s="700" t="str">
        <f t="shared" si="400"/>
        <v>Lista</v>
      </c>
      <c r="H93" s="700">
        <f t="shared" si="401"/>
        <v>0.2</v>
      </c>
      <c r="I93" s="700">
        <f t="shared" si="402"/>
        <v>0</v>
      </c>
      <c r="J93" s="547">
        <f t="shared" si="403"/>
        <v>70</v>
      </c>
      <c r="K93" s="699" t="str">
        <f t="shared" si="404"/>
        <v>Lista</v>
      </c>
      <c r="L93" s="702">
        <f t="shared" si="405"/>
        <v>0.11</v>
      </c>
      <c r="M93" s="139" t="s">
        <v>598</v>
      </c>
      <c r="N93" s="423">
        <f t="shared" si="552"/>
        <v>90941.94</v>
      </c>
      <c r="O93" s="326">
        <v>1800000</v>
      </c>
      <c r="P93" s="326" t="e">
        <f t="shared" si="535"/>
        <v>#VALUE!</v>
      </c>
      <c r="Q93" s="326" t="str">
        <f t="shared" si="536"/>
        <v/>
      </c>
      <c r="R93" s="716">
        <f t="shared" si="537"/>
        <v>133768.26</v>
      </c>
      <c r="S93" s="326">
        <f t="shared" si="553"/>
        <v>-1666231.74</v>
      </c>
      <c r="T93" s="137">
        <f t="shared" si="554"/>
        <v>7.4315699999999998E-2</v>
      </c>
      <c r="U93" s="326">
        <f t="shared" si="555"/>
        <v>262320.93</v>
      </c>
      <c r="V93" s="332">
        <v>1800000</v>
      </c>
      <c r="W93" s="140" t="e">
        <f t="shared" si="538"/>
        <v>#VALUE!</v>
      </c>
      <c r="X93" s="326" t="str">
        <f t="shared" si="539"/>
        <v/>
      </c>
      <c r="Y93" s="717">
        <f t="shared" si="540"/>
        <v>0</v>
      </c>
      <c r="Z93" s="123">
        <f t="shared" si="556"/>
        <v>-1800000</v>
      </c>
      <c r="AA93" s="137">
        <f t="shared" si="557"/>
        <v>0</v>
      </c>
      <c r="AB93" s="326">
        <f t="shared" si="558"/>
        <v>171240.78</v>
      </c>
      <c r="AC93" s="326">
        <v>1800000</v>
      </c>
      <c r="AD93" s="326" t="e">
        <f t="shared" si="541"/>
        <v>#VALUE!</v>
      </c>
      <c r="AE93" s="326" t="str">
        <f t="shared" si="542"/>
        <v/>
      </c>
      <c r="AF93" s="716">
        <f t="shared" si="543"/>
        <v>91127.25</v>
      </c>
      <c r="AG93" s="326">
        <f t="shared" si="559"/>
        <v>-1708872.75</v>
      </c>
      <c r="AH93" s="137">
        <f t="shared" si="560"/>
        <v>5.0626249999999998E-2</v>
      </c>
      <c r="AI93" s="332">
        <f t="shared" si="561"/>
        <v>5400000</v>
      </c>
      <c r="AJ93" s="140">
        <f t="shared" si="412"/>
        <v>498393.34</v>
      </c>
      <c r="AK93" s="326">
        <f t="shared" si="32"/>
        <v>224895.51</v>
      </c>
      <c r="AL93" s="326">
        <f t="shared" ref="AL93:AM93" si="576">SUM(AE93,X93,Q93)</f>
        <v>0</v>
      </c>
      <c r="AM93" s="326">
        <f t="shared" si="576"/>
        <v>224895.51</v>
      </c>
      <c r="AN93" s="326">
        <f t="shared" si="70"/>
        <v>-5175104.49</v>
      </c>
      <c r="AO93" s="413">
        <f t="shared" si="79"/>
        <v>0.45124100173569737</v>
      </c>
      <c r="AP93" s="423">
        <f t="shared" si="485"/>
        <v>250491.31</v>
      </c>
      <c r="AQ93" s="326" t="e">
        <f t="shared" si="36"/>
        <v>#VALUE!</v>
      </c>
      <c r="AR93" s="326" t="str">
        <f t="shared" si="414"/>
        <v/>
      </c>
      <c r="AS93" s="333">
        <f t="shared" si="415"/>
        <v>0</v>
      </c>
      <c r="AT93" s="434">
        <f t="shared" si="563"/>
        <v>58941.23</v>
      </c>
      <c r="AU93" s="140" t="e">
        <f t="shared" si="40"/>
        <v>#VALUE!</v>
      </c>
      <c r="AV93" s="326" t="str">
        <f t="shared" si="416"/>
        <v/>
      </c>
      <c r="AW93" s="333">
        <f t="shared" si="417"/>
        <v>0</v>
      </c>
      <c r="AX93" s="125">
        <f t="shared" si="564"/>
        <v>0</v>
      </c>
      <c r="AY93" s="140" t="e">
        <f t="shared" si="44"/>
        <v>#VALUE!</v>
      </c>
      <c r="AZ93" s="326" t="str">
        <f t="shared" si="418"/>
        <v/>
      </c>
      <c r="BA93" s="332">
        <f t="shared" si="419"/>
        <v>0</v>
      </c>
      <c r="BB93" s="122" t="e">
        <f t="shared" ref="BB93:BD93" si="577">AY93+AU93+AQ93</f>
        <v>#VALUE!</v>
      </c>
      <c r="BC93" s="326" t="e">
        <f t="shared" si="577"/>
        <v>#VALUE!</v>
      </c>
      <c r="BD93" s="332">
        <f t="shared" si="577"/>
        <v>0</v>
      </c>
      <c r="BE93" s="122" t="e">
        <f t="shared" si="48"/>
        <v>#VALUE!</v>
      </c>
      <c r="BF93" s="326" t="e">
        <f t="shared" ref="BF93:BG93" si="578">AL93+BC93</f>
        <v>#VALUE!</v>
      </c>
      <c r="BG93" s="435">
        <f t="shared" si="578"/>
        <v>224895.51</v>
      </c>
      <c r="BH93" s="125">
        <f t="shared" si="422"/>
        <v>140814.76999999999</v>
      </c>
      <c r="BI93" s="140" t="e">
        <f t="shared" si="51"/>
        <v>#VALUE!</v>
      </c>
      <c r="BJ93" s="123" t="str">
        <f t="shared" si="423"/>
        <v/>
      </c>
      <c r="BK93" s="125">
        <f t="shared" si="424"/>
        <v>0</v>
      </c>
      <c r="BL93" s="123">
        <f t="shared" si="425"/>
        <v>258826.94</v>
      </c>
      <c r="BM93" s="140" t="e">
        <f t="shared" si="55"/>
        <v>#VALUE!</v>
      </c>
      <c r="BN93" s="326" t="str">
        <f t="shared" si="426"/>
        <v/>
      </c>
      <c r="BO93" s="332">
        <f t="shared" si="427"/>
        <v>0</v>
      </c>
      <c r="BP93" s="141">
        <f t="shared" si="428"/>
        <v>333856.39</v>
      </c>
      <c r="BQ93" s="140" t="e">
        <f t="shared" si="59"/>
        <v>#VALUE!</v>
      </c>
      <c r="BR93" s="326" t="str">
        <f t="shared" si="429"/>
        <v/>
      </c>
      <c r="BS93" s="333">
        <f t="shared" si="430"/>
        <v>0</v>
      </c>
      <c r="BT93" s="113" t="e">
        <f t="shared" ref="BT93:BV93" si="579">SUM(BQ93,BM93,BI93)</f>
        <v>#VALUE!</v>
      </c>
      <c r="BU93" s="116">
        <f t="shared" si="579"/>
        <v>0</v>
      </c>
      <c r="BV93" s="117">
        <f t="shared" si="579"/>
        <v>0</v>
      </c>
      <c r="BW93" s="141">
        <f t="shared" si="432"/>
        <v>0</v>
      </c>
      <c r="BX93" s="113" t="e">
        <f t="shared" si="64"/>
        <v>#VALUE!</v>
      </c>
      <c r="BY93" s="114" t="str">
        <f t="shared" si="433"/>
        <v/>
      </c>
      <c r="BZ93" s="115">
        <f t="shared" si="434"/>
        <v>0</v>
      </c>
      <c r="CA93" s="123">
        <f t="shared" si="435"/>
        <v>342568.58</v>
      </c>
      <c r="CB93" s="333">
        <f t="shared" si="436"/>
        <v>155824.76</v>
      </c>
      <c r="CY93" s="294"/>
      <c r="DF93" s="296"/>
    </row>
    <row r="94" spans="1:110" ht="13">
      <c r="A94" s="420">
        <f t="shared" si="394"/>
        <v>112014313</v>
      </c>
      <c r="B94" s="565">
        <f t="shared" si="395"/>
        <v>7</v>
      </c>
      <c r="C94" s="558">
        <f t="shared" si="396"/>
        <v>0.1</v>
      </c>
      <c r="D94" s="558">
        <f t="shared" si="397"/>
        <v>0.2</v>
      </c>
      <c r="E94" s="715">
        <f t="shared" si="398"/>
        <v>0</v>
      </c>
      <c r="F94" s="701">
        <f t="shared" si="399"/>
        <v>4</v>
      </c>
      <c r="G94" s="700" t="str">
        <f t="shared" si="400"/>
        <v>Lista</v>
      </c>
      <c r="H94" s="700">
        <f t="shared" si="401"/>
        <v>0.2</v>
      </c>
      <c r="I94" s="700">
        <f t="shared" si="402"/>
        <v>0</v>
      </c>
      <c r="J94" s="547">
        <f t="shared" si="403"/>
        <v>70</v>
      </c>
      <c r="K94" s="699" t="str">
        <f t="shared" si="404"/>
        <v>Lista</v>
      </c>
      <c r="L94" s="702">
        <f t="shared" si="405"/>
        <v>0.11</v>
      </c>
      <c r="M94" s="139" t="s">
        <v>599</v>
      </c>
      <c r="N94" s="423">
        <f t="shared" si="552"/>
        <v>547323.53</v>
      </c>
      <c r="O94" s="326">
        <v>1800000</v>
      </c>
      <c r="P94" s="326">
        <f t="shared" si="535"/>
        <v>279998.81</v>
      </c>
      <c r="Q94" s="326">
        <f t="shared" si="536"/>
        <v>0</v>
      </c>
      <c r="R94" s="716">
        <f t="shared" si="537"/>
        <v>279998.81</v>
      </c>
      <c r="S94" s="326">
        <f t="shared" si="553"/>
        <v>-1520001.19</v>
      </c>
      <c r="T94" s="137">
        <f t="shared" si="554"/>
        <v>0.15555489444444445</v>
      </c>
      <c r="U94" s="326">
        <f t="shared" si="555"/>
        <v>301488.75</v>
      </c>
      <c r="V94" s="332">
        <v>1800000</v>
      </c>
      <c r="W94" s="140">
        <f t="shared" si="538"/>
        <v>0</v>
      </c>
      <c r="X94" s="326">
        <f t="shared" si="539"/>
        <v>111875.49</v>
      </c>
      <c r="Y94" s="717">
        <f t="shared" si="540"/>
        <v>111875.49</v>
      </c>
      <c r="Z94" s="123">
        <f t="shared" si="556"/>
        <v>-1688124.51</v>
      </c>
      <c r="AA94" s="137">
        <f t="shared" si="557"/>
        <v>6.2153050000000001E-2</v>
      </c>
      <c r="AB94" s="326">
        <f t="shared" si="558"/>
        <v>110259.45</v>
      </c>
      <c r="AC94" s="326">
        <v>1800000</v>
      </c>
      <c r="AD94" s="326">
        <f t="shared" si="541"/>
        <v>146289.65</v>
      </c>
      <c r="AE94" s="326">
        <f t="shared" si="542"/>
        <v>40449.120000000003</v>
      </c>
      <c r="AF94" s="716">
        <f t="shared" si="543"/>
        <v>186738.77</v>
      </c>
      <c r="AG94" s="326">
        <f t="shared" si="559"/>
        <v>-1613261.23</v>
      </c>
      <c r="AH94" s="137">
        <f t="shared" si="560"/>
        <v>0.10374376111111111</v>
      </c>
      <c r="AI94" s="332">
        <f t="shared" si="561"/>
        <v>5400000</v>
      </c>
      <c r="AJ94" s="140">
        <f t="shared" si="412"/>
        <v>731566.1</v>
      </c>
      <c r="AK94" s="326">
        <f t="shared" si="32"/>
        <v>426288.46000000008</v>
      </c>
      <c r="AL94" s="326">
        <f t="shared" ref="AL94:AM94" si="580">SUM(AE94,X94,Q94)</f>
        <v>152324.61000000002</v>
      </c>
      <c r="AM94" s="326">
        <f t="shared" si="580"/>
        <v>578613.07000000007</v>
      </c>
      <c r="AN94" s="326">
        <f t="shared" si="70"/>
        <v>-4821386.93</v>
      </c>
      <c r="AO94" s="413">
        <f t="shared" si="79"/>
        <v>0.79092384133163096</v>
      </c>
      <c r="AP94" s="423">
        <f t="shared" si="485"/>
        <v>374481.26</v>
      </c>
      <c r="AQ94" s="326">
        <f t="shared" si="36"/>
        <v>0</v>
      </c>
      <c r="AR94" s="326">
        <f t="shared" si="414"/>
        <v>0</v>
      </c>
      <c r="AS94" s="333">
        <f t="shared" si="415"/>
        <v>0</v>
      </c>
      <c r="AT94" s="434">
        <f t="shared" si="563"/>
        <v>282019.69</v>
      </c>
      <c r="AU94" s="140">
        <f t="shared" si="40"/>
        <v>139555.28</v>
      </c>
      <c r="AV94" s="326">
        <f t="shared" si="416"/>
        <v>0</v>
      </c>
      <c r="AW94" s="333">
        <f t="shared" si="417"/>
        <v>139555.28</v>
      </c>
      <c r="AX94" s="125">
        <f t="shared" si="564"/>
        <v>250925.66</v>
      </c>
      <c r="AY94" s="140">
        <f t="shared" si="44"/>
        <v>0</v>
      </c>
      <c r="AZ94" s="326">
        <f t="shared" si="418"/>
        <v>0</v>
      </c>
      <c r="BA94" s="332">
        <f t="shared" si="419"/>
        <v>0</v>
      </c>
      <c r="BB94" s="122">
        <f t="shared" ref="BB94:BD94" si="581">AY94+AU94+AQ94</f>
        <v>139555.28</v>
      </c>
      <c r="BC94" s="326">
        <f t="shared" si="581"/>
        <v>0</v>
      </c>
      <c r="BD94" s="332">
        <f t="shared" si="581"/>
        <v>139555.28</v>
      </c>
      <c r="BE94" s="122">
        <f t="shared" si="48"/>
        <v>565843.74000000011</v>
      </c>
      <c r="BF94" s="326">
        <f t="shared" ref="BF94:BG94" si="582">AL94+BC94</f>
        <v>152324.61000000002</v>
      </c>
      <c r="BG94" s="435">
        <f t="shared" si="582"/>
        <v>718168.35000000009</v>
      </c>
      <c r="BH94" s="125">
        <f t="shared" si="422"/>
        <v>0</v>
      </c>
      <c r="BI94" s="140">
        <f t="shared" si="51"/>
        <v>0</v>
      </c>
      <c r="BJ94" s="123">
        <f t="shared" si="423"/>
        <v>0</v>
      </c>
      <c r="BK94" s="125">
        <f t="shared" si="424"/>
        <v>0</v>
      </c>
      <c r="BL94" s="123">
        <f t="shared" si="425"/>
        <v>226980.25</v>
      </c>
      <c r="BM94" s="140">
        <f t="shared" si="55"/>
        <v>190170.62</v>
      </c>
      <c r="BN94" s="326">
        <f t="shared" si="426"/>
        <v>0</v>
      </c>
      <c r="BO94" s="332">
        <f t="shared" si="427"/>
        <v>190170.62</v>
      </c>
      <c r="BP94" s="141">
        <f t="shared" si="428"/>
        <v>82457.899999999994</v>
      </c>
      <c r="BQ94" s="140">
        <f t="shared" si="59"/>
        <v>107617.72</v>
      </c>
      <c r="BR94" s="326">
        <f t="shared" si="429"/>
        <v>19973</v>
      </c>
      <c r="BS94" s="333">
        <f t="shared" si="430"/>
        <v>127590.72</v>
      </c>
      <c r="BT94" s="113">
        <f t="shared" ref="BT94:BV94" si="583">SUM(BQ94,BM94,BI94)</f>
        <v>297788.33999999997</v>
      </c>
      <c r="BU94" s="116">
        <f t="shared" si="583"/>
        <v>19973</v>
      </c>
      <c r="BV94" s="117">
        <f t="shared" si="583"/>
        <v>317761.33999999997</v>
      </c>
      <c r="BW94" s="141">
        <f t="shared" si="432"/>
        <v>0</v>
      </c>
      <c r="BX94" s="113">
        <f t="shared" si="64"/>
        <v>0</v>
      </c>
      <c r="BY94" s="114">
        <f t="shared" si="433"/>
        <v>0</v>
      </c>
      <c r="BZ94" s="115">
        <f t="shared" si="434"/>
        <v>0</v>
      </c>
      <c r="CA94" s="123">
        <f t="shared" si="435"/>
        <v>731566.1</v>
      </c>
      <c r="CB94" s="333">
        <f t="shared" si="436"/>
        <v>0</v>
      </c>
      <c r="CY94" s="294"/>
      <c r="DF94" s="296"/>
    </row>
    <row r="95" spans="1:110" ht="13">
      <c r="A95" s="420">
        <f t="shared" si="394"/>
        <v>112014392</v>
      </c>
      <c r="B95" s="565">
        <f t="shared" si="395"/>
        <v>7</v>
      </c>
      <c r="C95" s="558">
        <f t="shared" si="396"/>
        <v>0.1</v>
      </c>
      <c r="D95" s="558">
        <f t="shared" si="397"/>
        <v>0.2</v>
      </c>
      <c r="E95" s="715">
        <f t="shared" si="398"/>
        <v>0</v>
      </c>
      <c r="F95" s="701">
        <f t="shared" si="399"/>
        <v>4</v>
      </c>
      <c r="G95" s="700" t="str">
        <f t="shared" si="400"/>
        <v>Lista</v>
      </c>
      <c r="H95" s="700">
        <f t="shared" si="401"/>
        <v>0.2</v>
      </c>
      <c r="I95" s="700">
        <f t="shared" si="402"/>
        <v>0</v>
      </c>
      <c r="J95" s="547">
        <f t="shared" si="403"/>
        <v>70</v>
      </c>
      <c r="K95" s="699" t="str">
        <f t="shared" si="404"/>
        <v>Lista</v>
      </c>
      <c r="L95" s="702">
        <f t="shared" si="405"/>
        <v>0.11</v>
      </c>
      <c r="M95" s="139" t="s">
        <v>600</v>
      </c>
      <c r="N95" s="423" t="str">
        <f t="shared" si="552"/>
        <v/>
      </c>
      <c r="O95" s="326">
        <v>1800000</v>
      </c>
      <c r="P95" s="326" t="e">
        <f t="shared" si="535"/>
        <v>#VALUE!</v>
      </c>
      <c r="Q95" s="326" t="str">
        <f t="shared" si="536"/>
        <v/>
      </c>
      <c r="R95" s="716" t="str">
        <f t="shared" si="537"/>
        <v>0</v>
      </c>
      <c r="S95" s="326">
        <f t="shared" si="553"/>
        <v>-1800000</v>
      </c>
      <c r="T95" s="137">
        <f t="shared" si="554"/>
        <v>0</v>
      </c>
      <c r="U95" s="326" t="str">
        <f t="shared" si="555"/>
        <v/>
      </c>
      <c r="V95" s="332">
        <v>1800000</v>
      </c>
      <c r="W95" s="140" t="e">
        <f t="shared" si="538"/>
        <v>#VALUE!</v>
      </c>
      <c r="X95" s="326" t="str">
        <f t="shared" si="539"/>
        <v/>
      </c>
      <c r="Y95" s="717" t="str">
        <f t="shared" si="540"/>
        <v>0</v>
      </c>
      <c r="Z95" s="123">
        <f t="shared" si="556"/>
        <v>-1800000</v>
      </c>
      <c r="AA95" s="137">
        <f t="shared" si="557"/>
        <v>0</v>
      </c>
      <c r="AB95" s="326" t="str">
        <f t="shared" si="558"/>
        <v/>
      </c>
      <c r="AC95" s="326">
        <v>1800000</v>
      </c>
      <c r="AD95" s="326" t="e">
        <f t="shared" si="541"/>
        <v>#VALUE!</v>
      </c>
      <c r="AE95" s="326" t="str">
        <f t="shared" si="542"/>
        <v/>
      </c>
      <c r="AF95" s="716" t="str">
        <f t="shared" si="543"/>
        <v>0</v>
      </c>
      <c r="AG95" s="326">
        <f t="shared" si="559"/>
        <v>-1800000</v>
      </c>
      <c r="AH95" s="137">
        <f t="shared" si="560"/>
        <v>0</v>
      </c>
      <c r="AI95" s="332">
        <f t="shared" si="561"/>
        <v>5400000</v>
      </c>
      <c r="AJ95" s="140" t="str">
        <f t="shared" si="412"/>
        <v>0</v>
      </c>
      <c r="AK95" s="326">
        <f t="shared" si="32"/>
        <v>0</v>
      </c>
      <c r="AL95" s="326">
        <f t="shared" ref="AL95:AM95" si="584">SUM(AE95,X95,Q95)</f>
        <v>0</v>
      </c>
      <c r="AM95" s="326">
        <f t="shared" si="584"/>
        <v>0</v>
      </c>
      <c r="AN95" s="326">
        <f t="shared" si="70"/>
        <v>-5400000</v>
      </c>
      <c r="AO95" s="413" t="str">
        <f t="shared" si="79"/>
        <v/>
      </c>
      <c r="AP95" s="423" t="str">
        <f t="shared" si="485"/>
        <v/>
      </c>
      <c r="AQ95" s="326" t="e">
        <f t="shared" si="36"/>
        <v>#VALUE!</v>
      </c>
      <c r="AR95" s="326" t="str">
        <f t="shared" si="414"/>
        <v/>
      </c>
      <c r="AS95" s="333" t="str">
        <f t="shared" si="415"/>
        <v>0</v>
      </c>
      <c r="AT95" s="434" t="str">
        <f t="shared" si="563"/>
        <v/>
      </c>
      <c r="AU95" s="140" t="e">
        <f t="shared" si="40"/>
        <v>#VALUE!</v>
      </c>
      <c r="AV95" s="326" t="str">
        <f t="shared" si="416"/>
        <v/>
      </c>
      <c r="AW95" s="333" t="str">
        <f t="shared" si="417"/>
        <v>0</v>
      </c>
      <c r="AX95" s="125" t="str">
        <f t="shared" si="564"/>
        <v/>
      </c>
      <c r="AY95" s="140" t="e">
        <f t="shared" si="44"/>
        <v>#VALUE!</v>
      </c>
      <c r="AZ95" s="326" t="str">
        <f t="shared" si="418"/>
        <v/>
      </c>
      <c r="BA95" s="332" t="str">
        <f t="shared" si="419"/>
        <v>0</v>
      </c>
      <c r="BB95" s="122" t="e">
        <f t="shared" ref="BB95:BD95" si="585">AY95+AU95+AQ95</f>
        <v>#VALUE!</v>
      </c>
      <c r="BC95" s="326" t="e">
        <f t="shared" si="585"/>
        <v>#VALUE!</v>
      </c>
      <c r="BD95" s="332">
        <f t="shared" si="585"/>
        <v>0</v>
      </c>
      <c r="BE95" s="122" t="e">
        <f t="shared" si="48"/>
        <v>#VALUE!</v>
      </c>
      <c r="BF95" s="326" t="e">
        <f t="shared" ref="BF95:BG95" si="586">AL95+BC95</f>
        <v>#VALUE!</v>
      </c>
      <c r="BG95" s="435">
        <f t="shared" si="586"/>
        <v>0</v>
      </c>
      <c r="BH95" s="125" t="str">
        <f t="shared" si="422"/>
        <v/>
      </c>
      <c r="BI95" s="140" t="e">
        <f t="shared" si="51"/>
        <v>#VALUE!</v>
      </c>
      <c r="BJ95" s="123" t="str">
        <f t="shared" si="423"/>
        <v/>
      </c>
      <c r="BK95" s="125" t="str">
        <f t="shared" si="424"/>
        <v>0</v>
      </c>
      <c r="BL95" s="123" t="str">
        <f t="shared" si="425"/>
        <v/>
      </c>
      <c r="BM95" s="140" t="e">
        <f t="shared" si="55"/>
        <v>#VALUE!</v>
      </c>
      <c r="BN95" s="326" t="str">
        <f t="shared" si="426"/>
        <v/>
      </c>
      <c r="BO95" s="332" t="str">
        <f t="shared" si="427"/>
        <v>0</v>
      </c>
      <c r="BP95" s="141" t="str">
        <f t="shared" si="428"/>
        <v/>
      </c>
      <c r="BQ95" s="140" t="e">
        <f t="shared" si="59"/>
        <v>#VALUE!</v>
      </c>
      <c r="BR95" s="326" t="str">
        <f t="shared" si="429"/>
        <v/>
      </c>
      <c r="BS95" s="333" t="str">
        <f t="shared" si="430"/>
        <v>0</v>
      </c>
      <c r="BT95" s="113" t="e">
        <f t="shared" ref="BT95:BV95" si="587">SUM(BQ95,BM95,BI95)</f>
        <v>#VALUE!</v>
      </c>
      <c r="BU95" s="116">
        <f t="shared" si="587"/>
        <v>0</v>
      </c>
      <c r="BV95" s="117">
        <f t="shared" si="587"/>
        <v>0</v>
      </c>
      <c r="BW95" s="141" t="str">
        <f t="shared" si="432"/>
        <v/>
      </c>
      <c r="BX95" s="113" t="e">
        <f t="shared" si="64"/>
        <v>#VALUE!</v>
      </c>
      <c r="BY95" s="114" t="str">
        <f t="shared" si="433"/>
        <v/>
      </c>
      <c r="BZ95" s="115" t="str">
        <f t="shared" si="434"/>
        <v>0</v>
      </c>
      <c r="CA95" s="123" t="str">
        <f t="shared" si="435"/>
        <v/>
      </c>
      <c r="CB95" s="333" t="str">
        <f t="shared" si="436"/>
        <v/>
      </c>
      <c r="CY95" s="294"/>
      <c r="DF95" s="296"/>
    </row>
    <row r="96" spans="1:110" ht="13">
      <c r="A96" s="420">
        <f t="shared" si="394"/>
        <v>112014406</v>
      </c>
      <c r="B96" s="565">
        <f t="shared" si="395"/>
        <v>7</v>
      </c>
      <c r="C96" s="558">
        <f t="shared" si="396"/>
        <v>0.1</v>
      </c>
      <c r="D96" s="558">
        <f t="shared" si="397"/>
        <v>0.2</v>
      </c>
      <c r="E96" s="715">
        <f t="shared" si="398"/>
        <v>0</v>
      </c>
      <c r="F96" s="701">
        <f t="shared" si="399"/>
        <v>4</v>
      </c>
      <c r="G96" s="700" t="str">
        <f t="shared" si="400"/>
        <v>Lista</v>
      </c>
      <c r="H96" s="700">
        <f t="shared" si="401"/>
        <v>0.2</v>
      </c>
      <c r="I96" s="700">
        <f t="shared" si="402"/>
        <v>0</v>
      </c>
      <c r="J96" s="547">
        <f t="shared" si="403"/>
        <v>70</v>
      </c>
      <c r="K96" s="699" t="str">
        <f t="shared" si="404"/>
        <v>Lista</v>
      </c>
      <c r="L96" s="702">
        <f t="shared" si="405"/>
        <v>0.11</v>
      </c>
      <c r="M96" s="139" t="s">
        <v>601</v>
      </c>
      <c r="N96" s="423">
        <f t="shared" si="552"/>
        <v>0</v>
      </c>
      <c r="O96" s="326">
        <v>1800000</v>
      </c>
      <c r="P96" s="326">
        <f t="shared" si="535"/>
        <v>0</v>
      </c>
      <c r="Q96" s="326">
        <f t="shared" si="536"/>
        <v>257576.52</v>
      </c>
      <c r="R96" s="716">
        <f t="shared" si="537"/>
        <v>257576.52</v>
      </c>
      <c r="S96" s="326">
        <f t="shared" si="553"/>
        <v>-1542423.48</v>
      </c>
      <c r="T96" s="137">
        <f t="shared" si="554"/>
        <v>0.14309806666666666</v>
      </c>
      <c r="U96" s="326">
        <f t="shared" si="555"/>
        <v>0</v>
      </c>
      <c r="V96" s="332">
        <v>1800000</v>
      </c>
      <c r="W96" s="140">
        <f t="shared" si="538"/>
        <v>0</v>
      </c>
      <c r="X96" s="326">
        <f t="shared" si="539"/>
        <v>332786.08</v>
      </c>
      <c r="Y96" s="717">
        <f t="shared" si="540"/>
        <v>332786.08</v>
      </c>
      <c r="Z96" s="123">
        <f t="shared" si="556"/>
        <v>-1467213.92</v>
      </c>
      <c r="AA96" s="137">
        <f t="shared" si="557"/>
        <v>0.18488115555555557</v>
      </c>
      <c r="AB96" s="326">
        <f t="shared" si="558"/>
        <v>0</v>
      </c>
      <c r="AC96" s="326">
        <v>1800000</v>
      </c>
      <c r="AD96" s="326">
        <f t="shared" si="541"/>
        <v>0</v>
      </c>
      <c r="AE96" s="326">
        <f t="shared" si="542"/>
        <v>0</v>
      </c>
      <c r="AF96" s="716">
        <f t="shared" si="543"/>
        <v>0</v>
      </c>
      <c r="AG96" s="326">
        <f t="shared" si="559"/>
        <v>-1800000</v>
      </c>
      <c r="AH96" s="137">
        <f t="shared" si="560"/>
        <v>0</v>
      </c>
      <c r="AI96" s="332">
        <f t="shared" si="561"/>
        <v>5400000</v>
      </c>
      <c r="AJ96" s="140">
        <f t="shared" si="412"/>
        <v>998447.52</v>
      </c>
      <c r="AK96" s="326">
        <f t="shared" si="32"/>
        <v>0</v>
      </c>
      <c r="AL96" s="326">
        <f t="shared" ref="AL96:AM96" si="588">SUM(AE96,X96,Q96)</f>
        <v>590362.6</v>
      </c>
      <c r="AM96" s="326">
        <f t="shared" si="588"/>
        <v>590362.6</v>
      </c>
      <c r="AN96" s="326">
        <f t="shared" si="70"/>
        <v>-4809637.4000000004</v>
      </c>
      <c r="AO96" s="413">
        <f t="shared" si="79"/>
        <v>0.59128055123017376</v>
      </c>
      <c r="AP96" s="423">
        <f t="shared" si="485"/>
        <v>116904</v>
      </c>
      <c r="AQ96" s="326">
        <f t="shared" si="36"/>
        <v>0</v>
      </c>
      <c r="AR96" s="326">
        <f t="shared" si="414"/>
        <v>91060.160000000003</v>
      </c>
      <c r="AS96" s="333">
        <f t="shared" si="415"/>
        <v>91060.160000000003</v>
      </c>
      <c r="AT96" s="434">
        <f t="shared" si="563"/>
        <v>0</v>
      </c>
      <c r="AU96" s="140">
        <f t="shared" si="40"/>
        <v>0</v>
      </c>
      <c r="AV96" s="326">
        <f t="shared" si="416"/>
        <v>295715.03999999998</v>
      </c>
      <c r="AW96" s="333">
        <f t="shared" si="417"/>
        <v>295715.03999999998</v>
      </c>
      <c r="AX96" s="125">
        <f t="shared" si="564"/>
        <v>208562.24</v>
      </c>
      <c r="AY96" s="140">
        <f t="shared" si="44"/>
        <v>0</v>
      </c>
      <c r="AZ96" s="326">
        <f t="shared" si="418"/>
        <v>311623.44</v>
      </c>
      <c r="BA96" s="332">
        <f t="shared" si="419"/>
        <v>311623.44</v>
      </c>
      <c r="BB96" s="122">
        <f t="shared" ref="BB96:BD96" si="589">AY96+AU96+AQ96</f>
        <v>0</v>
      </c>
      <c r="BC96" s="326">
        <f t="shared" si="589"/>
        <v>698398.64</v>
      </c>
      <c r="BD96" s="332">
        <f t="shared" si="589"/>
        <v>698398.64</v>
      </c>
      <c r="BE96" s="122">
        <f t="shared" si="48"/>
        <v>0</v>
      </c>
      <c r="BF96" s="326">
        <f t="shared" ref="BF96:BG96" si="590">AL96+BC96</f>
        <v>1288761.24</v>
      </c>
      <c r="BG96" s="435">
        <f t="shared" si="590"/>
        <v>1288761.24</v>
      </c>
      <c r="BH96" s="125">
        <f t="shared" si="422"/>
        <v>473920.74</v>
      </c>
      <c r="BI96" s="140">
        <f t="shared" si="51"/>
        <v>0</v>
      </c>
      <c r="BJ96" s="123">
        <f t="shared" si="423"/>
        <v>327162</v>
      </c>
      <c r="BK96" s="125">
        <f t="shared" si="424"/>
        <v>327162</v>
      </c>
      <c r="BL96" s="123">
        <f t="shared" si="425"/>
        <v>233080.72</v>
      </c>
      <c r="BM96" s="140">
        <f t="shared" si="55"/>
        <v>0</v>
      </c>
      <c r="BN96" s="326">
        <f t="shared" si="426"/>
        <v>214453.44</v>
      </c>
      <c r="BO96" s="332">
        <f t="shared" si="427"/>
        <v>214453.44</v>
      </c>
      <c r="BP96" s="141">
        <f t="shared" si="428"/>
        <v>275987.76</v>
      </c>
      <c r="BQ96" s="140">
        <f t="shared" si="59"/>
        <v>0</v>
      </c>
      <c r="BR96" s="326">
        <f t="shared" si="429"/>
        <v>524666.4</v>
      </c>
      <c r="BS96" s="333">
        <f t="shared" si="430"/>
        <v>524666.4</v>
      </c>
      <c r="BT96" s="113">
        <f t="shared" ref="BT96:BV96" si="591">SUM(BQ96,BM96,BI96)</f>
        <v>0</v>
      </c>
      <c r="BU96" s="116">
        <f t="shared" si="591"/>
        <v>1066281.8400000001</v>
      </c>
      <c r="BV96" s="117">
        <f t="shared" si="591"/>
        <v>1066281.8400000001</v>
      </c>
      <c r="BW96" s="141">
        <f t="shared" si="432"/>
        <v>486534.32</v>
      </c>
      <c r="BX96" s="113">
        <f t="shared" si="64"/>
        <v>0</v>
      </c>
      <c r="BY96" s="114">
        <f t="shared" si="433"/>
        <v>102558.41</v>
      </c>
      <c r="BZ96" s="115">
        <f t="shared" si="434"/>
        <v>102558.41</v>
      </c>
      <c r="CA96" s="123">
        <f t="shared" si="435"/>
        <v>0</v>
      </c>
      <c r="CB96" s="333">
        <f t="shared" si="436"/>
        <v>511913.2</v>
      </c>
      <c r="CY96" s="294"/>
      <c r="DF96" s="296"/>
    </row>
    <row r="97" spans="1:110" ht="13">
      <c r="A97" s="420">
        <f t="shared" si="394"/>
        <v>112014065</v>
      </c>
      <c r="B97" s="565">
        <f t="shared" si="395"/>
        <v>7</v>
      </c>
      <c r="C97" s="558">
        <f t="shared" si="396"/>
        <v>0.1</v>
      </c>
      <c r="D97" s="558">
        <f t="shared" si="397"/>
        <v>0.2</v>
      </c>
      <c r="E97" s="715">
        <f t="shared" si="398"/>
        <v>0</v>
      </c>
      <c r="F97" s="701">
        <f t="shared" si="399"/>
        <v>4</v>
      </c>
      <c r="G97" s="700" t="str">
        <f t="shared" si="400"/>
        <v>Lista</v>
      </c>
      <c r="H97" s="700">
        <f t="shared" si="401"/>
        <v>0.2</v>
      </c>
      <c r="I97" s="700">
        <f t="shared" si="402"/>
        <v>0</v>
      </c>
      <c r="J97" s="547">
        <f t="shared" si="403"/>
        <v>70</v>
      </c>
      <c r="K97" s="699" t="str">
        <f t="shared" si="404"/>
        <v>Lista</v>
      </c>
      <c r="L97" s="702">
        <f t="shared" si="405"/>
        <v>0.11</v>
      </c>
      <c r="M97" s="139" t="s">
        <v>602</v>
      </c>
      <c r="N97" s="423">
        <f t="shared" si="552"/>
        <v>220491.19</v>
      </c>
      <c r="O97" s="326">
        <v>1800000</v>
      </c>
      <c r="P97" s="326">
        <f t="shared" si="535"/>
        <v>42500.7</v>
      </c>
      <c r="Q97" s="326">
        <f t="shared" si="536"/>
        <v>0</v>
      </c>
      <c r="R97" s="716">
        <f t="shared" si="537"/>
        <v>42500.7</v>
      </c>
      <c r="S97" s="326">
        <f t="shared" si="553"/>
        <v>-1757499.3</v>
      </c>
      <c r="T97" s="137">
        <f t="shared" si="554"/>
        <v>2.3611499999999997E-2</v>
      </c>
      <c r="U97" s="326">
        <f t="shared" si="555"/>
        <v>211817.1</v>
      </c>
      <c r="V97" s="332">
        <v>1800000</v>
      </c>
      <c r="W97" s="140">
        <f t="shared" si="538"/>
        <v>0</v>
      </c>
      <c r="X97" s="326">
        <f t="shared" si="539"/>
        <v>0</v>
      </c>
      <c r="Y97" s="717">
        <f t="shared" si="540"/>
        <v>0</v>
      </c>
      <c r="Z97" s="123">
        <f t="shared" si="556"/>
        <v>-1800000</v>
      </c>
      <c r="AA97" s="137">
        <f t="shared" si="557"/>
        <v>0</v>
      </c>
      <c r="AB97" s="326">
        <f t="shared" si="558"/>
        <v>0</v>
      </c>
      <c r="AC97" s="326">
        <v>1800000</v>
      </c>
      <c r="AD97" s="326">
        <f t="shared" si="541"/>
        <v>0</v>
      </c>
      <c r="AE97" s="326">
        <f t="shared" si="542"/>
        <v>0</v>
      </c>
      <c r="AF97" s="716">
        <f t="shared" si="543"/>
        <v>0</v>
      </c>
      <c r="AG97" s="326">
        <f t="shared" si="559"/>
        <v>-1800000</v>
      </c>
      <c r="AH97" s="137">
        <f t="shared" si="560"/>
        <v>0</v>
      </c>
      <c r="AI97" s="332">
        <f t="shared" si="561"/>
        <v>5400000</v>
      </c>
      <c r="AJ97" s="140" t="str">
        <f t="shared" si="412"/>
        <v>0</v>
      </c>
      <c r="AK97" s="326">
        <f t="shared" si="32"/>
        <v>42500.7</v>
      </c>
      <c r="AL97" s="326">
        <f t="shared" ref="AL97:AM97" si="592">SUM(AE97,X97,Q97)</f>
        <v>0</v>
      </c>
      <c r="AM97" s="326">
        <f t="shared" si="592"/>
        <v>42500.7</v>
      </c>
      <c r="AN97" s="326">
        <f t="shared" si="70"/>
        <v>-5357499.3</v>
      </c>
      <c r="AO97" s="413" t="str">
        <f t="shared" si="79"/>
        <v/>
      </c>
      <c r="AP97" s="423">
        <f t="shared" si="485"/>
        <v>180784.8</v>
      </c>
      <c r="AQ97" s="326">
        <f t="shared" si="36"/>
        <v>0</v>
      </c>
      <c r="AR97" s="326">
        <f t="shared" si="414"/>
        <v>0</v>
      </c>
      <c r="AS97" s="333">
        <f t="shared" si="415"/>
        <v>0</v>
      </c>
      <c r="AT97" s="434">
        <f t="shared" si="563"/>
        <v>0</v>
      </c>
      <c r="AU97" s="140">
        <f t="shared" si="40"/>
        <v>0</v>
      </c>
      <c r="AV97" s="326">
        <f t="shared" si="416"/>
        <v>0</v>
      </c>
      <c r="AW97" s="333">
        <f t="shared" si="417"/>
        <v>0</v>
      </c>
      <c r="AX97" s="125">
        <f t="shared" si="564"/>
        <v>0</v>
      </c>
      <c r="AY97" s="140">
        <f t="shared" si="44"/>
        <v>0</v>
      </c>
      <c r="AZ97" s="326">
        <f t="shared" si="418"/>
        <v>0</v>
      </c>
      <c r="BA97" s="332">
        <f t="shared" si="419"/>
        <v>0</v>
      </c>
      <c r="BB97" s="122">
        <f t="shared" ref="BB97:BD97" si="593">AY97+AU97+AQ97</f>
        <v>0</v>
      </c>
      <c r="BC97" s="326">
        <f t="shared" si="593"/>
        <v>0</v>
      </c>
      <c r="BD97" s="332">
        <f t="shared" si="593"/>
        <v>0</v>
      </c>
      <c r="BE97" s="122">
        <f t="shared" si="48"/>
        <v>42500.7</v>
      </c>
      <c r="BF97" s="326">
        <f t="shared" ref="BF97:BG97" si="594">AL97+BC97</f>
        <v>0</v>
      </c>
      <c r="BG97" s="435">
        <f t="shared" si="594"/>
        <v>42500.7</v>
      </c>
      <c r="BH97" s="125">
        <f t="shared" si="422"/>
        <v>221943.22</v>
      </c>
      <c r="BI97" s="140">
        <f t="shared" si="51"/>
        <v>0</v>
      </c>
      <c r="BJ97" s="123">
        <f t="shared" si="423"/>
        <v>129725.92</v>
      </c>
      <c r="BK97" s="125">
        <f t="shared" si="424"/>
        <v>129725.92</v>
      </c>
      <c r="BL97" s="123">
        <f t="shared" si="425"/>
        <v>0</v>
      </c>
      <c r="BM97" s="140">
        <f t="shared" si="55"/>
        <v>0</v>
      </c>
      <c r="BN97" s="326">
        <f t="shared" si="426"/>
        <v>0</v>
      </c>
      <c r="BO97" s="332">
        <f t="shared" si="427"/>
        <v>0</v>
      </c>
      <c r="BP97" s="141">
        <f t="shared" si="428"/>
        <v>0</v>
      </c>
      <c r="BQ97" s="140">
        <f t="shared" si="59"/>
        <v>0</v>
      </c>
      <c r="BR97" s="326">
        <f t="shared" si="429"/>
        <v>0</v>
      </c>
      <c r="BS97" s="333">
        <f t="shared" si="430"/>
        <v>0</v>
      </c>
      <c r="BT97" s="113">
        <f t="shared" ref="BT97:BV97" si="595">SUM(BQ97,BM97,BI97)</f>
        <v>0</v>
      </c>
      <c r="BU97" s="116">
        <f t="shared" si="595"/>
        <v>129725.92</v>
      </c>
      <c r="BV97" s="117">
        <f t="shared" si="595"/>
        <v>129725.92</v>
      </c>
      <c r="BW97" s="141">
        <f t="shared" si="432"/>
        <v>0</v>
      </c>
      <c r="BX97" s="113">
        <f t="shared" si="64"/>
        <v>0</v>
      </c>
      <c r="BY97" s="114">
        <f t="shared" si="433"/>
        <v>0</v>
      </c>
      <c r="BZ97" s="115">
        <f t="shared" si="434"/>
        <v>0</v>
      </c>
      <c r="CA97" s="123">
        <f t="shared" si="435"/>
        <v>0</v>
      </c>
      <c r="CB97" s="333">
        <f t="shared" si="436"/>
        <v>0</v>
      </c>
      <c r="CY97" s="294"/>
      <c r="DF97" s="296"/>
    </row>
    <row r="98" spans="1:110" ht="13">
      <c r="A98" s="420">
        <f t="shared" ref="A98:A129" si="596">VLOOKUP(M98,LAGECART4,3,FALSE)</f>
        <v>112014171</v>
      </c>
      <c r="B98" s="565">
        <f t="shared" ref="B98:B129" si="597">VLOOKUP(M98,LAGECARTERA,2,FALSE)</f>
        <v>7</v>
      </c>
      <c r="C98" s="558">
        <f t="shared" ref="C98:C129" si="598">IFERROR(VLOOKUP(B98,DES,2,FALSE),"")</f>
        <v>0.1</v>
      </c>
      <c r="D98" s="558">
        <f t="shared" ref="D98:D129" si="599">IFERROR(VLOOKUP(B98,DES,3,FALSE),"")</f>
        <v>0.2</v>
      </c>
      <c r="E98" s="715">
        <f t="shared" ref="E98:E129" si="600">IFERROR(VLOOKUP(B98,DES,4,FALSE),"")</f>
        <v>0</v>
      </c>
      <c r="F98" s="701">
        <f t="shared" ref="F98:F129" si="601">VLOOKUP(M98,LAGECART2,2,FALSE)</f>
        <v>4</v>
      </c>
      <c r="G98" s="700" t="str">
        <f t="shared" ref="G98:G129" si="602">IFERROR(VLOOKUP(F98,DES,2,FALSE),"")</f>
        <v>Lista</v>
      </c>
      <c r="H98" s="700">
        <f t="shared" ref="H98:H129" si="603">IFERROR(VLOOKUP(F98,DES,3,FALSE),"")</f>
        <v>0.2</v>
      </c>
      <c r="I98" s="700">
        <f t="shared" ref="I98:I129" si="604">IFERROR(VLOOKUP(F98,DES,4,FALSE),"")</f>
        <v>0</v>
      </c>
      <c r="J98" s="547">
        <f t="shared" ref="J98:J129" si="605">VLOOKUP(M98,LAGECART4,2,FALSE)</f>
        <v>70</v>
      </c>
      <c r="K98" s="699" t="str">
        <f t="shared" ref="K98:K129" si="606">IFERROR(VLOOKUP(J98,A458DC1025,2,FALSE),"")</f>
        <v>Lista</v>
      </c>
      <c r="L98" s="702">
        <f t="shared" ref="L98:L129" si="607">IFERROR(VLOOKUP(J98,A458DC1025,3,FALSE),"")</f>
        <v>0.11</v>
      </c>
      <c r="M98" s="139" t="s">
        <v>603</v>
      </c>
      <c r="N98" s="423">
        <f t="shared" si="552"/>
        <v>0</v>
      </c>
      <c r="O98" s="326">
        <v>1800000</v>
      </c>
      <c r="P98" s="326" t="e">
        <f t="shared" si="535"/>
        <v>#VALUE!</v>
      </c>
      <c r="Q98" s="326" t="str">
        <f t="shared" si="536"/>
        <v/>
      </c>
      <c r="R98" s="716">
        <f t="shared" si="537"/>
        <v>0</v>
      </c>
      <c r="S98" s="326">
        <f t="shared" si="553"/>
        <v>-1800000</v>
      </c>
      <c r="T98" s="137">
        <f t="shared" si="554"/>
        <v>0</v>
      </c>
      <c r="U98" s="326">
        <f t="shared" si="555"/>
        <v>0</v>
      </c>
      <c r="V98" s="332">
        <v>1800000</v>
      </c>
      <c r="W98" s="140" t="e">
        <f t="shared" si="538"/>
        <v>#VALUE!</v>
      </c>
      <c r="X98" s="326" t="str">
        <f t="shared" si="539"/>
        <v/>
      </c>
      <c r="Y98" s="717">
        <f t="shared" si="540"/>
        <v>0</v>
      </c>
      <c r="Z98" s="123">
        <f t="shared" si="556"/>
        <v>-1800000</v>
      </c>
      <c r="AA98" s="137">
        <f t="shared" si="557"/>
        <v>0</v>
      </c>
      <c r="AB98" s="326">
        <f t="shared" si="558"/>
        <v>0</v>
      </c>
      <c r="AC98" s="326">
        <v>1800000</v>
      </c>
      <c r="AD98" s="326" t="e">
        <f t="shared" si="541"/>
        <v>#VALUE!</v>
      </c>
      <c r="AE98" s="326" t="str">
        <f t="shared" si="542"/>
        <v/>
      </c>
      <c r="AF98" s="716">
        <f t="shared" si="543"/>
        <v>0</v>
      </c>
      <c r="AG98" s="326">
        <f t="shared" si="559"/>
        <v>-1800000</v>
      </c>
      <c r="AH98" s="137">
        <f t="shared" si="560"/>
        <v>0</v>
      </c>
      <c r="AI98" s="332">
        <f t="shared" si="561"/>
        <v>5400000</v>
      </c>
      <c r="AJ98" s="140">
        <f t="shared" ref="AJ98:AJ129" si="608">IFERROR(VLOOKUP(M98,trim2024,2,FALSE),"0")</f>
        <v>168071.15</v>
      </c>
      <c r="AK98" s="326">
        <f t="shared" si="32"/>
        <v>0</v>
      </c>
      <c r="AL98" s="326">
        <f t="shared" ref="AL98:AM98" si="609">SUM(AE98,X98,Q98)</f>
        <v>0</v>
      </c>
      <c r="AM98" s="326">
        <f t="shared" si="609"/>
        <v>0</v>
      </c>
      <c r="AN98" s="326">
        <f t="shared" si="70"/>
        <v>-5400000</v>
      </c>
      <c r="AO98" s="413">
        <f t="shared" si="79"/>
        <v>0</v>
      </c>
      <c r="AP98" s="423">
        <f t="shared" si="485"/>
        <v>0</v>
      </c>
      <c r="AQ98" s="326" t="e">
        <f t="shared" si="36"/>
        <v>#VALUE!</v>
      </c>
      <c r="AR98" s="326" t="str">
        <f t="shared" ref="AR98:AR129" si="610">IFERROR(VLOOKUP(M98,LAGALIM,6,FALSE),"")</f>
        <v/>
      </c>
      <c r="AS98" s="333">
        <f t="shared" ref="AS98:AS129" si="611">IFERROR(VLOOKUP(M98,LAGEFC,6,FALSE),"0")</f>
        <v>0</v>
      </c>
      <c r="AT98" s="434">
        <f t="shared" si="563"/>
        <v>398367.72</v>
      </c>
      <c r="AU98" s="140" t="e">
        <f t="shared" si="40"/>
        <v>#VALUE!</v>
      </c>
      <c r="AV98" s="326" t="str">
        <f t="shared" ref="AV98:AV129" si="612">IFERROR(VLOOKUP(M98,LAGALIM,7,FALSE),"")</f>
        <v/>
      </c>
      <c r="AW98" s="333">
        <f t="shared" ref="AW98:AW129" si="613">IFERROR(VLOOKUP(M98,LAGEFC,7,FALSE),"0")</f>
        <v>0</v>
      </c>
      <c r="AX98" s="125">
        <f t="shared" si="564"/>
        <v>0</v>
      </c>
      <c r="AY98" s="140" t="e">
        <f t="shared" si="44"/>
        <v>#VALUE!</v>
      </c>
      <c r="AZ98" s="326" t="str">
        <f t="shared" ref="AZ98:AZ129" si="614">IFERROR(VLOOKUP(M98,LAGALIM,8,FALSE),"")</f>
        <v/>
      </c>
      <c r="BA98" s="332">
        <f t="shared" ref="BA98:BA129" si="615">IFERROR(VLOOKUP(M98,LAGEFC,8,FALSE),"0")</f>
        <v>0</v>
      </c>
      <c r="BB98" s="122" t="e">
        <f t="shared" ref="BB98:BD98" si="616">AY98+AU98+AQ98</f>
        <v>#VALUE!</v>
      </c>
      <c r="BC98" s="326" t="e">
        <f t="shared" si="616"/>
        <v>#VALUE!</v>
      </c>
      <c r="BD98" s="332">
        <f t="shared" si="616"/>
        <v>0</v>
      </c>
      <c r="BE98" s="122" t="e">
        <f t="shared" si="48"/>
        <v>#VALUE!</v>
      </c>
      <c r="BF98" s="326" t="e">
        <f t="shared" ref="BF98:BG98" si="617">AL98+BC98</f>
        <v>#VALUE!</v>
      </c>
      <c r="BG98" s="435">
        <f t="shared" si="617"/>
        <v>0</v>
      </c>
      <c r="BH98" s="125">
        <f t="shared" ref="BH98:BH129" si="618">IFERROR(VLOOKUP(M98,LAGE24,9,FALSE),"")</f>
        <v>0</v>
      </c>
      <c r="BI98" s="140" t="e">
        <f t="shared" si="51"/>
        <v>#VALUE!</v>
      </c>
      <c r="BJ98" s="123" t="str">
        <f t="shared" ref="BJ98:BJ129" si="619">IFERROR(VLOOKUP(M98,LAGALIM,9,FALSE),"")</f>
        <v/>
      </c>
      <c r="BK98" s="125">
        <f t="shared" ref="BK98:BK129" si="620">IFERROR(VLOOKUP(M98,LAGEFC,9,FALSE),"0")</f>
        <v>185599.4</v>
      </c>
      <c r="BL98" s="123">
        <f t="shared" ref="BL98:BL129" si="621">IFERROR(VLOOKUP(M98,LAGE24,10,FALSE),"")</f>
        <v>0</v>
      </c>
      <c r="BM98" s="140" t="e">
        <f t="shared" si="55"/>
        <v>#VALUE!</v>
      </c>
      <c r="BN98" s="326" t="str">
        <f t="shared" ref="BN98:BN129" si="622">IFERROR(VLOOKUP(M98,LAGALIM,10,FALSE),"")</f>
        <v/>
      </c>
      <c r="BO98" s="332">
        <f t="shared" ref="BO98:BO129" si="623">IFERROR(VLOOKUP(M98,LAGEFC,10,FALSE),"0")</f>
        <v>76466.429999999993</v>
      </c>
      <c r="BP98" s="141">
        <f t="shared" ref="BP98:BP129" si="624">IFERROR(VLOOKUP(M98,LAGE24,11,FALSE),"")</f>
        <v>0</v>
      </c>
      <c r="BQ98" s="140" t="e">
        <f t="shared" si="59"/>
        <v>#VALUE!</v>
      </c>
      <c r="BR98" s="326" t="str">
        <f t="shared" ref="BR98:BR129" si="625">IFERROR(VLOOKUP(M98,LAGALIM,11,FALSE),"")</f>
        <v/>
      </c>
      <c r="BS98" s="333">
        <f t="shared" ref="BS98:BS129" si="626">IFERROR(VLOOKUP(M98,LAGEFC,11,FALSE),"0")</f>
        <v>0</v>
      </c>
      <c r="BT98" s="113" t="e">
        <f t="shared" ref="BT98:BV98" si="627">SUM(BQ98,BM98,BI98)</f>
        <v>#VALUE!</v>
      </c>
      <c r="BU98" s="116">
        <f t="shared" si="627"/>
        <v>0</v>
      </c>
      <c r="BV98" s="117">
        <f t="shared" si="627"/>
        <v>262065.83</v>
      </c>
      <c r="BW98" s="141">
        <f t="shared" ref="BW98:BW129" si="628">IFERROR(VLOOKUP(M98,LAGE24,12,FALSE),"")</f>
        <v>168071.15</v>
      </c>
      <c r="BX98" s="113" t="e">
        <f t="shared" si="64"/>
        <v>#VALUE!</v>
      </c>
      <c r="BY98" s="114" t="str">
        <f t="shared" ref="BY98:BY129" si="629">IFERROR(VLOOKUP(M98,LAGALIM,12,FALSE),"")</f>
        <v/>
      </c>
      <c r="BZ98" s="115">
        <f t="shared" ref="BZ98:BZ129" si="630">IFERROR(VLOOKUP(M98,LAGEFC,12,FALSE),"0")</f>
        <v>0</v>
      </c>
      <c r="CA98" s="123">
        <f t="shared" ref="CA98:CA129" si="631">IFERROR(VLOOKUP(M98,LAGE24,13,FALSE),"")</f>
        <v>0</v>
      </c>
      <c r="CB98" s="333">
        <f t="shared" ref="CB98:CB129" si="632">IFERROR(VLOOKUP(M98,LAGE24,14,FALSE),"")</f>
        <v>0</v>
      </c>
      <c r="CY98" s="294"/>
      <c r="DF98" s="296"/>
    </row>
    <row r="99" spans="1:110" ht="13">
      <c r="A99" s="420">
        <f t="shared" si="596"/>
        <v>112010947</v>
      </c>
      <c r="B99" s="565">
        <f t="shared" si="597"/>
        <v>7</v>
      </c>
      <c r="C99" s="558">
        <f t="shared" si="598"/>
        <v>0.1</v>
      </c>
      <c r="D99" s="558">
        <f t="shared" si="599"/>
        <v>0.2</v>
      </c>
      <c r="E99" s="715">
        <f t="shared" si="600"/>
        <v>0</v>
      </c>
      <c r="F99" s="701">
        <f t="shared" si="601"/>
        <v>4</v>
      </c>
      <c r="G99" s="700" t="str">
        <f t="shared" si="602"/>
        <v>Lista</v>
      </c>
      <c r="H99" s="700">
        <f t="shared" si="603"/>
        <v>0.2</v>
      </c>
      <c r="I99" s="700">
        <f t="shared" si="604"/>
        <v>0</v>
      </c>
      <c r="J99" s="547">
        <f t="shared" si="605"/>
        <v>70</v>
      </c>
      <c r="K99" s="699" t="str">
        <f t="shared" si="606"/>
        <v>Lista</v>
      </c>
      <c r="L99" s="702">
        <f t="shared" si="607"/>
        <v>0.11</v>
      </c>
      <c r="M99" s="255" t="s">
        <v>604</v>
      </c>
      <c r="N99" s="423"/>
      <c r="O99" s="326"/>
      <c r="P99" s="326">
        <f t="shared" si="535"/>
        <v>0</v>
      </c>
      <c r="Q99" s="326">
        <f t="shared" si="536"/>
        <v>0</v>
      </c>
      <c r="R99" s="716">
        <f t="shared" si="537"/>
        <v>0</v>
      </c>
      <c r="S99" s="326"/>
      <c r="T99" s="137"/>
      <c r="U99" s="326"/>
      <c r="V99" s="332"/>
      <c r="W99" s="140">
        <f t="shared" si="538"/>
        <v>0</v>
      </c>
      <c r="X99" s="326">
        <f t="shared" si="539"/>
        <v>0</v>
      </c>
      <c r="Y99" s="717">
        <f t="shared" si="540"/>
        <v>0</v>
      </c>
      <c r="Z99" s="123"/>
      <c r="AA99" s="137"/>
      <c r="AB99" s="326"/>
      <c r="AC99" s="326">
        <v>1800000</v>
      </c>
      <c r="AD99" s="326">
        <f t="shared" si="541"/>
        <v>0</v>
      </c>
      <c r="AE99" s="326">
        <f t="shared" si="542"/>
        <v>4770651.2</v>
      </c>
      <c r="AF99" s="716">
        <f t="shared" si="543"/>
        <v>4770651.2</v>
      </c>
      <c r="AG99" s="326">
        <f t="shared" si="559"/>
        <v>2970651.2</v>
      </c>
      <c r="AH99" s="137">
        <f t="shared" si="560"/>
        <v>2.6503617777777779</v>
      </c>
      <c r="AI99" s="332">
        <f t="shared" si="561"/>
        <v>1800000</v>
      </c>
      <c r="AJ99" s="140">
        <f t="shared" si="608"/>
        <v>20114520.350000001</v>
      </c>
      <c r="AK99" s="326">
        <f t="shared" si="32"/>
        <v>0</v>
      </c>
      <c r="AL99" s="326">
        <f t="shared" ref="AL99:AM99" si="633">SUM(AE99,X99,Q99)</f>
        <v>4770651.2</v>
      </c>
      <c r="AM99" s="326">
        <f t="shared" si="633"/>
        <v>4770651.2</v>
      </c>
      <c r="AN99" s="326">
        <f t="shared" si="70"/>
        <v>2970651.2</v>
      </c>
      <c r="AO99" s="413">
        <f t="shared" si="79"/>
        <v>0.23717449469283516</v>
      </c>
      <c r="AP99" s="423"/>
      <c r="AQ99" s="326">
        <f t="shared" si="36"/>
        <v>84247.740000000224</v>
      </c>
      <c r="AR99" s="326">
        <f t="shared" si="610"/>
        <v>4390288.24</v>
      </c>
      <c r="AS99" s="333">
        <f t="shared" si="611"/>
        <v>4474535.9800000004</v>
      </c>
      <c r="AT99" s="434"/>
      <c r="AU99" s="140">
        <f t="shared" si="40"/>
        <v>159630.09999999963</v>
      </c>
      <c r="AV99" s="326">
        <f t="shared" si="612"/>
        <v>4697440.32</v>
      </c>
      <c r="AW99" s="333">
        <f t="shared" si="613"/>
        <v>4857070.42</v>
      </c>
      <c r="AX99" s="125"/>
      <c r="AY99" s="140">
        <f t="shared" si="44"/>
        <v>134423.10000000009</v>
      </c>
      <c r="AZ99" s="326">
        <f t="shared" si="614"/>
        <v>3893422.88</v>
      </c>
      <c r="BA99" s="332">
        <f t="shared" si="615"/>
        <v>4027845.98</v>
      </c>
      <c r="BB99" s="122">
        <f t="shared" ref="BB99:BD99" si="634">AY99+AU99+AQ99</f>
        <v>378300.93999999994</v>
      </c>
      <c r="BC99" s="326">
        <f t="shared" si="634"/>
        <v>12981151.439999999</v>
      </c>
      <c r="BD99" s="332">
        <f t="shared" si="634"/>
        <v>13359452.380000001</v>
      </c>
      <c r="BE99" s="122">
        <f t="shared" si="48"/>
        <v>378300.93999999994</v>
      </c>
      <c r="BF99" s="326">
        <f t="shared" ref="BF99:BG99" si="635">AL99+BC99</f>
        <v>17751802.640000001</v>
      </c>
      <c r="BG99" s="435">
        <f t="shared" si="635"/>
        <v>18130103.580000002</v>
      </c>
      <c r="BH99" s="125">
        <f t="shared" si="618"/>
        <v>8928079.8000000007</v>
      </c>
      <c r="BI99" s="140">
        <f t="shared" si="51"/>
        <v>175386.11000000034</v>
      </c>
      <c r="BJ99" s="123">
        <f t="shared" si="619"/>
        <v>4430698</v>
      </c>
      <c r="BK99" s="125">
        <f t="shared" si="620"/>
        <v>4606084.1100000003</v>
      </c>
      <c r="BL99" s="123">
        <f t="shared" si="621"/>
        <v>3934209.04</v>
      </c>
      <c r="BM99" s="140">
        <f t="shared" si="55"/>
        <v>385830.0299999998</v>
      </c>
      <c r="BN99" s="326">
        <f t="shared" si="622"/>
        <v>3426485.68</v>
      </c>
      <c r="BO99" s="332">
        <f t="shared" si="623"/>
        <v>3812315.71</v>
      </c>
      <c r="BP99" s="141">
        <f t="shared" si="624"/>
        <v>2462199.6</v>
      </c>
      <c r="BQ99" s="140">
        <f t="shared" si="59"/>
        <v>53440.349999999627</v>
      </c>
      <c r="BR99" s="326">
        <f t="shared" si="625"/>
        <v>6223853.2800000003</v>
      </c>
      <c r="BS99" s="333">
        <f t="shared" si="626"/>
        <v>6277293.6299999999</v>
      </c>
      <c r="BT99" s="113">
        <f t="shared" ref="BT99:BV99" si="636">SUM(BQ99,BM99,BI99)</f>
        <v>614656.48999999976</v>
      </c>
      <c r="BU99" s="116">
        <f t="shared" si="636"/>
        <v>14081036.960000001</v>
      </c>
      <c r="BV99" s="117">
        <f t="shared" si="636"/>
        <v>14695693.449999999</v>
      </c>
      <c r="BW99" s="141">
        <f t="shared" si="628"/>
        <v>5177845.9000000004</v>
      </c>
      <c r="BX99" s="113">
        <f t="shared" si="64"/>
        <v>65068.520000000484</v>
      </c>
      <c r="BY99" s="114">
        <f t="shared" si="629"/>
        <v>5538925.7699999996</v>
      </c>
      <c r="BZ99" s="115">
        <f t="shared" si="630"/>
        <v>5603994.29</v>
      </c>
      <c r="CA99" s="123">
        <f t="shared" si="631"/>
        <v>9481174.5899999999</v>
      </c>
      <c r="CB99" s="333">
        <f t="shared" si="632"/>
        <v>5455499.8600000003</v>
      </c>
      <c r="CY99" s="294"/>
      <c r="DF99" s="296"/>
    </row>
    <row r="100" spans="1:110" ht="13">
      <c r="A100" s="420">
        <f t="shared" si="596"/>
        <v>112014407</v>
      </c>
      <c r="B100" s="565">
        <f t="shared" si="597"/>
        <v>7</v>
      </c>
      <c r="C100" s="558">
        <f t="shared" si="598"/>
        <v>0.1</v>
      </c>
      <c r="D100" s="558">
        <f t="shared" si="599"/>
        <v>0.2</v>
      </c>
      <c r="E100" s="715">
        <f t="shared" si="600"/>
        <v>0</v>
      </c>
      <c r="F100" s="701">
        <f t="shared" si="601"/>
        <v>4</v>
      </c>
      <c r="G100" s="700" t="str">
        <f t="shared" si="602"/>
        <v>Lista</v>
      </c>
      <c r="H100" s="700">
        <f t="shared" si="603"/>
        <v>0.2</v>
      </c>
      <c r="I100" s="700">
        <f t="shared" si="604"/>
        <v>0</v>
      </c>
      <c r="J100" s="547">
        <f t="shared" si="605"/>
        <v>70</v>
      </c>
      <c r="K100" s="699" t="str">
        <f t="shared" si="606"/>
        <v>Lista</v>
      </c>
      <c r="L100" s="702">
        <f t="shared" si="607"/>
        <v>0.11</v>
      </c>
      <c r="M100" s="139" t="s">
        <v>605</v>
      </c>
      <c r="N100" s="423">
        <f t="shared" ref="N100:N114" si="637">IFERROR(VLOOKUP(M100,LAGE24,3,FALSE),"")</f>
        <v>0</v>
      </c>
      <c r="O100" s="326">
        <v>1800000</v>
      </c>
      <c r="P100" s="326">
        <f t="shared" si="535"/>
        <v>0</v>
      </c>
      <c r="Q100" s="326">
        <f t="shared" si="536"/>
        <v>0</v>
      </c>
      <c r="R100" s="716">
        <f t="shared" si="537"/>
        <v>0</v>
      </c>
      <c r="S100" s="326">
        <f t="shared" ref="S100:S114" si="638">R100-O100</f>
        <v>-1800000</v>
      </c>
      <c r="T100" s="137">
        <f t="shared" ref="T100:T114" si="639">R100/O100</f>
        <v>0</v>
      </c>
      <c r="U100" s="326">
        <f t="shared" ref="U100:U114" si="640">IFERROR(VLOOKUP(M100,LAGE24,4,FALSE),"")</f>
        <v>0</v>
      </c>
      <c r="V100" s="332">
        <v>1800000</v>
      </c>
      <c r="W100" s="140">
        <f t="shared" si="538"/>
        <v>0</v>
      </c>
      <c r="X100" s="326">
        <f t="shared" si="539"/>
        <v>0</v>
      </c>
      <c r="Y100" s="717">
        <f t="shared" si="540"/>
        <v>0</v>
      </c>
      <c r="Z100" s="123">
        <f t="shared" ref="Z100:Z114" si="641">Y100-V100</f>
        <v>-1800000</v>
      </c>
      <c r="AA100" s="137">
        <f t="shared" ref="AA100:AA114" si="642">Y100/V100</f>
        <v>0</v>
      </c>
      <c r="AB100" s="326">
        <f t="shared" ref="AB100:AB114" si="643">IFERROR(VLOOKUP(M100,LAGE24,5,FALSE),"")</f>
        <v>0</v>
      </c>
      <c r="AC100" s="326">
        <v>1800000</v>
      </c>
      <c r="AD100" s="326">
        <f t="shared" si="541"/>
        <v>0</v>
      </c>
      <c r="AE100" s="326">
        <f t="shared" si="542"/>
        <v>0</v>
      </c>
      <c r="AF100" s="716">
        <f t="shared" si="543"/>
        <v>0</v>
      </c>
      <c r="AG100" s="326">
        <f t="shared" si="559"/>
        <v>-1800000</v>
      </c>
      <c r="AH100" s="137">
        <f t="shared" si="560"/>
        <v>0</v>
      </c>
      <c r="AI100" s="332">
        <f t="shared" si="561"/>
        <v>5400000</v>
      </c>
      <c r="AJ100" s="140">
        <f t="shared" si="608"/>
        <v>328499.20000000001</v>
      </c>
      <c r="AK100" s="326">
        <f t="shared" si="32"/>
        <v>0</v>
      </c>
      <c r="AL100" s="326">
        <f t="shared" ref="AL100:AM100" si="644">SUM(AE100,X100,Q100)</f>
        <v>0</v>
      </c>
      <c r="AM100" s="326">
        <f t="shared" si="644"/>
        <v>0</v>
      </c>
      <c r="AN100" s="326">
        <f t="shared" si="70"/>
        <v>-5400000</v>
      </c>
      <c r="AO100" s="413">
        <f t="shared" si="79"/>
        <v>0</v>
      </c>
      <c r="AP100" s="423">
        <f t="shared" ref="AP100:AP114" si="645">IFERROR(VLOOKUP(M100,LAGE24,6,FALSE),"")</f>
        <v>0</v>
      </c>
      <c r="AQ100" s="326">
        <f t="shared" si="36"/>
        <v>0</v>
      </c>
      <c r="AR100" s="326">
        <f t="shared" si="610"/>
        <v>86559.28</v>
      </c>
      <c r="AS100" s="333">
        <f t="shared" si="611"/>
        <v>86559.28</v>
      </c>
      <c r="AT100" s="434">
        <f t="shared" ref="AT100:AT114" si="646">IFERROR(VLOOKUP(M100,LAGE24,7,FALSE),"")</f>
        <v>393883.92</v>
      </c>
      <c r="AU100" s="140">
        <f t="shared" si="40"/>
        <v>0</v>
      </c>
      <c r="AV100" s="326">
        <f t="shared" si="612"/>
        <v>100512.4</v>
      </c>
      <c r="AW100" s="333">
        <f t="shared" si="613"/>
        <v>100512.4</v>
      </c>
      <c r="AX100" s="125">
        <f t="shared" ref="AX100:AX114" si="647">IFERROR(VLOOKUP(M100,LAGE24,8,FALSE),"")</f>
        <v>0</v>
      </c>
      <c r="AY100" s="140">
        <f t="shared" si="44"/>
        <v>0</v>
      </c>
      <c r="AZ100" s="326">
        <f t="shared" si="614"/>
        <v>449268.12</v>
      </c>
      <c r="BA100" s="332">
        <f t="shared" si="615"/>
        <v>449268.12</v>
      </c>
      <c r="BB100" s="122">
        <f t="shared" ref="BB100:BD100" si="648">AY100+AU100+AQ100</f>
        <v>0</v>
      </c>
      <c r="BC100" s="326">
        <f t="shared" si="648"/>
        <v>636339.80000000005</v>
      </c>
      <c r="BD100" s="332">
        <f t="shared" si="648"/>
        <v>636339.80000000005</v>
      </c>
      <c r="BE100" s="122">
        <f t="shared" si="48"/>
        <v>0</v>
      </c>
      <c r="BF100" s="326">
        <f t="shared" ref="BF100:BG100" si="649">AL100+BC100</f>
        <v>636339.80000000005</v>
      </c>
      <c r="BG100" s="435">
        <f t="shared" si="649"/>
        <v>636339.80000000005</v>
      </c>
      <c r="BH100" s="125">
        <f t="shared" si="618"/>
        <v>0</v>
      </c>
      <c r="BI100" s="140">
        <f t="shared" si="51"/>
        <v>0</v>
      </c>
      <c r="BJ100" s="123">
        <f t="shared" si="619"/>
        <v>713896.2</v>
      </c>
      <c r="BK100" s="125">
        <f t="shared" si="620"/>
        <v>713896.2</v>
      </c>
      <c r="BL100" s="123">
        <f t="shared" si="621"/>
        <v>0</v>
      </c>
      <c r="BM100" s="140">
        <f t="shared" si="55"/>
        <v>0</v>
      </c>
      <c r="BN100" s="326">
        <f t="shared" si="622"/>
        <v>574125.88</v>
      </c>
      <c r="BO100" s="332">
        <f t="shared" si="623"/>
        <v>574125.88</v>
      </c>
      <c r="BP100" s="141">
        <f t="shared" si="624"/>
        <v>0</v>
      </c>
      <c r="BQ100" s="140">
        <f t="shared" si="59"/>
        <v>257882.18999999997</v>
      </c>
      <c r="BR100" s="326">
        <f t="shared" si="625"/>
        <v>251606.23</v>
      </c>
      <c r="BS100" s="333">
        <f t="shared" si="626"/>
        <v>509488.42</v>
      </c>
      <c r="BT100" s="113">
        <f t="shared" ref="BT100:BV100" si="650">SUM(BQ100,BM100,BI100)</f>
        <v>257882.18999999997</v>
      </c>
      <c r="BU100" s="116">
        <f t="shared" si="650"/>
        <v>1539628.31</v>
      </c>
      <c r="BV100" s="117">
        <f t="shared" si="650"/>
        <v>1797510.5</v>
      </c>
      <c r="BW100" s="141">
        <f t="shared" si="628"/>
        <v>0</v>
      </c>
      <c r="BX100" s="113">
        <f t="shared" si="64"/>
        <v>218815.89</v>
      </c>
      <c r="BY100" s="114">
        <f t="shared" si="629"/>
        <v>371960</v>
      </c>
      <c r="BZ100" s="115">
        <f t="shared" si="630"/>
        <v>590775.89</v>
      </c>
      <c r="CA100" s="123">
        <f t="shared" si="631"/>
        <v>0</v>
      </c>
      <c r="CB100" s="333">
        <f t="shared" si="632"/>
        <v>328499.20000000001</v>
      </c>
      <c r="CY100" s="294"/>
      <c r="DF100" s="296"/>
    </row>
    <row r="101" spans="1:110" ht="13">
      <c r="A101" s="420">
        <f t="shared" si="596"/>
        <v>112014485</v>
      </c>
      <c r="B101" s="565">
        <f t="shared" si="597"/>
        <v>7</v>
      </c>
      <c r="C101" s="558">
        <f t="shared" si="598"/>
        <v>0.1</v>
      </c>
      <c r="D101" s="558">
        <f t="shared" si="599"/>
        <v>0.2</v>
      </c>
      <c r="E101" s="715">
        <f t="shared" si="600"/>
        <v>0</v>
      </c>
      <c r="F101" s="701">
        <f t="shared" si="601"/>
        <v>4</v>
      </c>
      <c r="G101" s="700" t="str">
        <f t="shared" si="602"/>
        <v>Lista</v>
      </c>
      <c r="H101" s="700">
        <f t="shared" si="603"/>
        <v>0.2</v>
      </c>
      <c r="I101" s="700">
        <f t="shared" si="604"/>
        <v>0</v>
      </c>
      <c r="J101" s="547">
        <f t="shared" si="605"/>
        <v>70</v>
      </c>
      <c r="K101" s="699" t="str">
        <f t="shared" si="606"/>
        <v>Lista</v>
      </c>
      <c r="L101" s="702">
        <f t="shared" si="607"/>
        <v>0.11</v>
      </c>
      <c r="M101" s="139" t="s">
        <v>606</v>
      </c>
      <c r="N101" s="423">
        <f t="shared" si="637"/>
        <v>0</v>
      </c>
      <c r="O101" s="326">
        <v>1800000</v>
      </c>
      <c r="P101" s="326" t="e">
        <f t="shared" si="535"/>
        <v>#VALUE!</v>
      </c>
      <c r="Q101" s="326" t="str">
        <f t="shared" si="536"/>
        <v/>
      </c>
      <c r="R101" s="716" t="str">
        <f t="shared" si="537"/>
        <v>0</v>
      </c>
      <c r="S101" s="326">
        <f t="shared" si="638"/>
        <v>-1800000</v>
      </c>
      <c r="T101" s="137">
        <f t="shared" si="639"/>
        <v>0</v>
      </c>
      <c r="U101" s="326">
        <f t="shared" si="640"/>
        <v>0</v>
      </c>
      <c r="V101" s="332">
        <v>1800000</v>
      </c>
      <c r="W101" s="140" t="e">
        <f t="shared" si="538"/>
        <v>#VALUE!</v>
      </c>
      <c r="X101" s="326" t="str">
        <f t="shared" si="539"/>
        <v/>
      </c>
      <c r="Y101" s="717" t="str">
        <f t="shared" si="540"/>
        <v>0</v>
      </c>
      <c r="Z101" s="123">
        <f t="shared" si="641"/>
        <v>-1800000</v>
      </c>
      <c r="AA101" s="137">
        <f t="shared" si="642"/>
        <v>0</v>
      </c>
      <c r="AB101" s="326">
        <f t="shared" si="643"/>
        <v>0</v>
      </c>
      <c r="AC101" s="326">
        <v>1800000</v>
      </c>
      <c r="AD101" s="326" t="e">
        <f t="shared" si="541"/>
        <v>#VALUE!</v>
      </c>
      <c r="AE101" s="326" t="str">
        <f t="shared" si="542"/>
        <v/>
      </c>
      <c r="AF101" s="716" t="str">
        <f t="shared" si="543"/>
        <v>0</v>
      </c>
      <c r="AG101" s="326">
        <f t="shared" si="559"/>
        <v>-1800000</v>
      </c>
      <c r="AH101" s="137">
        <f t="shared" si="560"/>
        <v>0</v>
      </c>
      <c r="AI101" s="332">
        <f t="shared" si="561"/>
        <v>5400000</v>
      </c>
      <c r="AJ101" s="140" t="str">
        <f t="shared" si="608"/>
        <v>0</v>
      </c>
      <c r="AK101" s="326">
        <f t="shared" si="32"/>
        <v>0</v>
      </c>
      <c r="AL101" s="326">
        <f t="shared" ref="AL101:AM101" si="651">SUM(AE101,X101,Q101)</f>
        <v>0</v>
      </c>
      <c r="AM101" s="326">
        <f t="shared" si="651"/>
        <v>0</v>
      </c>
      <c r="AN101" s="326">
        <f t="shared" si="70"/>
        <v>-5400000</v>
      </c>
      <c r="AO101" s="413" t="str">
        <f t="shared" si="79"/>
        <v/>
      </c>
      <c r="AP101" s="423">
        <f t="shared" si="645"/>
        <v>0</v>
      </c>
      <c r="AQ101" s="326" t="e">
        <f t="shared" si="36"/>
        <v>#VALUE!</v>
      </c>
      <c r="AR101" s="326" t="str">
        <f t="shared" si="610"/>
        <v/>
      </c>
      <c r="AS101" s="333" t="str">
        <f t="shared" si="611"/>
        <v>0</v>
      </c>
      <c r="AT101" s="434">
        <f t="shared" si="646"/>
        <v>0</v>
      </c>
      <c r="AU101" s="140" t="e">
        <f t="shared" si="40"/>
        <v>#VALUE!</v>
      </c>
      <c r="AV101" s="326" t="str">
        <f t="shared" si="612"/>
        <v/>
      </c>
      <c r="AW101" s="333" t="str">
        <f t="shared" si="613"/>
        <v>0</v>
      </c>
      <c r="AX101" s="125">
        <f t="shared" si="647"/>
        <v>0</v>
      </c>
      <c r="AY101" s="140" t="e">
        <f t="shared" si="44"/>
        <v>#VALUE!</v>
      </c>
      <c r="AZ101" s="326" t="str">
        <f t="shared" si="614"/>
        <v/>
      </c>
      <c r="BA101" s="332" t="str">
        <f t="shared" si="615"/>
        <v>0</v>
      </c>
      <c r="BB101" s="122" t="e">
        <f t="shared" ref="BB101:BD101" si="652">AY101+AU101+AQ101</f>
        <v>#VALUE!</v>
      </c>
      <c r="BC101" s="326" t="e">
        <f t="shared" si="652"/>
        <v>#VALUE!</v>
      </c>
      <c r="BD101" s="332">
        <f t="shared" si="652"/>
        <v>0</v>
      </c>
      <c r="BE101" s="122" t="e">
        <f t="shared" si="48"/>
        <v>#VALUE!</v>
      </c>
      <c r="BF101" s="326" t="e">
        <f t="shared" ref="BF101:BG101" si="653">AL101+BC101</f>
        <v>#VALUE!</v>
      </c>
      <c r="BG101" s="435">
        <f t="shared" si="653"/>
        <v>0</v>
      </c>
      <c r="BH101" s="125">
        <f t="shared" si="618"/>
        <v>4474.0600000000004</v>
      </c>
      <c r="BI101" s="140" t="e">
        <f t="shared" si="51"/>
        <v>#VALUE!</v>
      </c>
      <c r="BJ101" s="123" t="str">
        <f t="shared" si="619"/>
        <v/>
      </c>
      <c r="BK101" s="125" t="str">
        <f t="shared" si="620"/>
        <v>0</v>
      </c>
      <c r="BL101" s="123">
        <f t="shared" si="621"/>
        <v>0</v>
      </c>
      <c r="BM101" s="140" t="e">
        <f t="shared" si="55"/>
        <v>#VALUE!</v>
      </c>
      <c r="BN101" s="326" t="str">
        <f t="shared" si="622"/>
        <v/>
      </c>
      <c r="BO101" s="332" t="str">
        <f t="shared" si="623"/>
        <v>0</v>
      </c>
      <c r="BP101" s="141">
        <f t="shared" si="624"/>
        <v>0</v>
      </c>
      <c r="BQ101" s="140" t="e">
        <f t="shared" si="59"/>
        <v>#VALUE!</v>
      </c>
      <c r="BR101" s="326" t="str">
        <f t="shared" si="625"/>
        <v/>
      </c>
      <c r="BS101" s="333" t="str">
        <f t="shared" si="626"/>
        <v>0</v>
      </c>
      <c r="BT101" s="113" t="e">
        <f t="shared" ref="BT101:BV101" si="654">SUM(BQ101,BM101,BI101)</f>
        <v>#VALUE!</v>
      </c>
      <c r="BU101" s="116">
        <f t="shared" si="654"/>
        <v>0</v>
      </c>
      <c r="BV101" s="117">
        <f t="shared" si="654"/>
        <v>0</v>
      </c>
      <c r="BW101" s="141">
        <f t="shared" si="628"/>
        <v>0</v>
      </c>
      <c r="BX101" s="113" t="e">
        <f t="shared" si="64"/>
        <v>#VALUE!</v>
      </c>
      <c r="BY101" s="114" t="str">
        <f t="shared" si="629"/>
        <v/>
      </c>
      <c r="BZ101" s="115" t="str">
        <f t="shared" si="630"/>
        <v>0</v>
      </c>
      <c r="CA101" s="123">
        <f t="shared" si="631"/>
        <v>0</v>
      </c>
      <c r="CB101" s="333">
        <f t="shared" si="632"/>
        <v>0</v>
      </c>
      <c r="CY101" s="294"/>
      <c r="DF101" s="296"/>
    </row>
    <row r="102" spans="1:110" ht="13">
      <c r="A102" s="420">
        <f t="shared" si="596"/>
        <v>112014409</v>
      </c>
      <c r="B102" s="565">
        <f t="shared" si="597"/>
        <v>7</v>
      </c>
      <c r="C102" s="558">
        <f t="shared" si="598"/>
        <v>0.1</v>
      </c>
      <c r="D102" s="558">
        <f t="shared" si="599"/>
        <v>0.2</v>
      </c>
      <c r="E102" s="715">
        <f t="shared" si="600"/>
        <v>0</v>
      </c>
      <c r="F102" s="701">
        <f t="shared" si="601"/>
        <v>4</v>
      </c>
      <c r="G102" s="700" t="str">
        <f t="shared" si="602"/>
        <v>Lista</v>
      </c>
      <c r="H102" s="700">
        <f t="shared" si="603"/>
        <v>0.2</v>
      </c>
      <c r="I102" s="700">
        <f t="shared" si="604"/>
        <v>0</v>
      </c>
      <c r="J102" s="547">
        <f t="shared" si="605"/>
        <v>70</v>
      </c>
      <c r="K102" s="699" t="str">
        <f t="shared" si="606"/>
        <v>Lista</v>
      </c>
      <c r="L102" s="702">
        <f t="shared" si="607"/>
        <v>0.11</v>
      </c>
      <c r="M102" s="139" t="s">
        <v>607</v>
      </c>
      <c r="N102" s="423" t="str">
        <f t="shared" si="637"/>
        <v/>
      </c>
      <c r="O102" s="326">
        <v>1800000</v>
      </c>
      <c r="P102" s="326" t="e">
        <f t="shared" si="535"/>
        <v>#VALUE!</v>
      </c>
      <c r="Q102" s="326" t="str">
        <f t="shared" si="536"/>
        <v/>
      </c>
      <c r="R102" s="716">
        <f t="shared" si="537"/>
        <v>181549.11</v>
      </c>
      <c r="S102" s="326">
        <f t="shared" si="638"/>
        <v>-1618450.8900000001</v>
      </c>
      <c r="T102" s="137">
        <f t="shared" si="639"/>
        <v>0.10086061666666665</v>
      </c>
      <c r="U102" s="326" t="str">
        <f t="shared" si="640"/>
        <v/>
      </c>
      <c r="V102" s="332">
        <v>1800000</v>
      </c>
      <c r="W102" s="140" t="e">
        <f t="shared" si="538"/>
        <v>#VALUE!</v>
      </c>
      <c r="X102" s="326" t="str">
        <f t="shared" si="539"/>
        <v/>
      </c>
      <c r="Y102" s="717">
        <f t="shared" si="540"/>
        <v>0</v>
      </c>
      <c r="Z102" s="123">
        <f t="shared" si="641"/>
        <v>-1800000</v>
      </c>
      <c r="AA102" s="137">
        <f t="shared" si="642"/>
        <v>0</v>
      </c>
      <c r="AB102" s="326" t="str">
        <f t="shared" si="643"/>
        <v/>
      </c>
      <c r="AC102" s="326">
        <v>1800000</v>
      </c>
      <c r="AD102" s="326" t="e">
        <f t="shared" si="541"/>
        <v>#VALUE!</v>
      </c>
      <c r="AE102" s="326" t="str">
        <f t="shared" si="542"/>
        <v/>
      </c>
      <c r="AF102" s="716">
        <f t="shared" si="543"/>
        <v>0</v>
      </c>
      <c r="AG102" s="326">
        <f t="shared" si="559"/>
        <v>-1800000</v>
      </c>
      <c r="AH102" s="137">
        <f t="shared" si="560"/>
        <v>0</v>
      </c>
      <c r="AI102" s="332">
        <f t="shared" si="561"/>
        <v>5400000</v>
      </c>
      <c r="AJ102" s="140" t="str">
        <f t="shared" si="608"/>
        <v>0</v>
      </c>
      <c r="AK102" s="326">
        <f t="shared" si="32"/>
        <v>181549.11</v>
      </c>
      <c r="AL102" s="326">
        <f t="shared" ref="AL102:AM102" si="655">SUM(AE102,X102,Q102)</f>
        <v>0</v>
      </c>
      <c r="AM102" s="326">
        <f t="shared" si="655"/>
        <v>181549.11</v>
      </c>
      <c r="AN102" s="326">
        <f t="shared" si="70"/>
        <v>-5218450.8899999997</v>
      </c>
      <c r="AO102" s="413" t="str">
        <f t="shared" si="79"/>
        <v/>
      </c>
      <c r="AP102" s="423" t="str">
        <f t="shared" si="645"/>
        <v/>
      </c>
      <c r="AQ102" s="326" t="e">
        <f t="shared" si="36"/>
        <v>#VALUE!</v>
      </c>
      <c r="AR102" s="326" t="str">
        <f t="shared" si="610"/>
        <v/>
      </c>
      <c r="AS102" s="333">
        <f t="shared" si="611"/>
        <v>0</v>
      </c>
      <c r="AT102" s="434" t="str">
        <f t="shared" si="646"/>
        <v/>
      </c>
      <c r="AU102" s="140" t="e">
        <f t="shared" si="40"/>
        <v>#VALUE!</v>
      </c>
      <c r="AV102" s="326" t="str">
        <f t="shared" si="612"/>
        <v/>
      </c>
      <c r="AW102" s="333">
        <f t="shared" si="613"/>
        <v>0</v>
      </c>
      <c r="AX102" s="125" t="str">
        <f t="shared" si="647"/>
        <v/>
      </c>
      <c r="AY102" s="140" t="e">
        <f t="shared" si="44"/>
        <v>#VALUE!</v>
      </c>
      <c r="AZ102" s="326" t="str">
        <f t="shared" si="614"/>
        <v/>
      </c>
      <c r="BA102" s="332">
        <f t="shared" si="615"/>
        <v>0</v>
      </c>
      <c r="BB102" s="122" t="e">
        <f t="shared" ref="BB102:BD102" si="656">AY102+AU102+AQ102</f>
        <v>#VALUE!</v>
      </c>
      <c r="BC102" s="326" t="e">
        <f t="shared" si="656"/>
        <v>#VALUE!</v>
      </c>
      <c r="BD102" s="332">
        <f t="shared" si="656"/>
        <v>0</v>
      </c>
      <c r="BE102" s="122" t="e">
        <f t="shared" si="48"/>
        <v>#VALUE!</v>
      </c>
      <c r="BF102" s="326" t="e">
        <f t="shared" ref="BF102:BG102" si="657">AL102+BC102</f>
        <v>#VALUE!</v>
      </c>
      <c r="BG102" s="435">
        <f t="shared" si="657"/>
        <v>181549.11</v>
      </c>
      <c r="BH102" s="125" t="str">
        <f t="shared" si="618"/>
        <v/>
      </c>
      <c r="BI102" s="140" t="e">
        <f t="shared" si="51"/>
        <v>#VALUE!</v>
      </c>
      <c r="BJ102" s="123" t="str">
        <f t="shared" si="619"/>
        <v/>
      </c>
      <c r="BK102" s="125">
        <f t="shared" si="620"/>
        <v>0</v>
      </c>
      <c r="BL102" s="123" t="str">
        <f t="shared" si="621"/>
        <v/>
      </c>
      <c r="BM102" s="140" t="e">
        <f t="shared" si="55"/>
        <v>#VALUE!</v>
      </c>
      <c r="BN102" s="326" t="str">
        <f t="shared" si="622"/>
        <v/>
      </c>
      <c r="BO102" s="332">
        <f t="shared" si="623"/>
        <v>0</v>
      </c>
      <c r="BP102" s="141" t="str">
        <f t="shared" si="624"/>
        <v/>
      </c>
      <c r="BQ102" s="140" t="e">
        <f t="shared" si="59"/>
        <v>#VALUE!</v>
      </c>
      <c r="BR102" s="326" t="str">
        <f t="shared" si="625"/>
        <v/>
      </c>
      <c r="BS102" s="333">
        <f t="shared" si="626"/>
        <v>0</v>
      </c>
      <c r="BT102" s="113" t="e">
        <f t="shared" ref="BT102:BV102" si="658">SUM(BQ102,BM102,BI102)</f>
        <v>#VALUE!</v>
      </c>
      <c r="BU102" s="116">
        <f t="shared" si="658"/>
        <v>0</v>
      </c>
      <c r="BV102" s="117">
        <f t="shared" si="658"/>
        <v>0</v>
      </c>
      <c r="BW102" s="141" t="str">
        <f t="shared" si="628"/>
        <v/>
      </c>
      <c r="BX102" s="113" t="e">
        <f t="shared" si="64"/>
        <v>#VALUE!</v>
      </c>
      <c r="BY102" s="114" t="str">
        <f t="shared" si="629"/>
        <v/>
      </c>
      <c r="BZ102" s="115">
        <f t="shared" si="630"/>
        <v>0</v>
      </c>
      <c r="CA102" s="123" t="str">
        <f t="shared" si="631"/>
        <v/>
      </c>
      <c r="CB102" s="333" t="str">
        <f t="shared" si="632"/>
        <v/>
      </c>
      <c r="CY102" s="294"/>
      <c r="DF102" s="296"/>
    </row>
    <row r="103" spans="1:110" ht="13">
      <c r="A103" s="420">
        <f t="shared" si="596"/>
        <v>112014424</v>
      </c>
      <c r="B103" s="565">
        <f t="shared" si="597"/>
        <v>7</v>
      </c>
      <c r="C103" s="558">
        <f t="shared" si="598"/>
        <v>0.1</v>
      </c>
      <c r="D103" s="558">
        <f t="shared" si="599"/>
        <v>0.2</v>
      </c>
      <c r="E103" s="715">
        <f t="shared" si="600"/>
        <v>0</v>
      </c>
      <c r="F103" s="701">
        <f t="shared" si="601"/>
        <v>4</v>
      </c>
      <c r="G103" s="700" t="str">
        <f t="shared" si="602"/>
        <v>Lista</v>
      </c>
      <c r="H103" s="700">
        <f t="shared" si="603"/>
        <v>0.2</v>
      </c>
      <c r="I103" s="700">
        <f t="shared" si="604"/>
        <v>0</v>
      </c>
      <c r="J103" s="547">
        <f t="shared" si="605"/>
        <v>70</v>
      </c>
      <c r="K103" s="699" t="str">
        <f t="shared" si="606"/>
        <v>Lista</v>
      </c>
      <c r="L103" s="702">
        <f t="shared" si="607"/>
        <v>0.11</v>
      </c>
      <c r="M103" s="139" t="s">
        <v>608</v>
      </c>
      <c r="N103" s="423">
        <f t="shared" si="637"/>
        <v>0</v>
      </c>
      <c r="O103" s="326">
        <v>1800000</v>
      </c>
      <c r="P103" s="326" t="e">
        <f t="shared" si="535"/>
        <v>#VALUE!</v>
      </c>
      <c r="Q103" s="326" t="str">
        <f t="shared" si="536"/>
        <v/>
      </c>
      <c r="R103" s="716">
        <f t="shared" si="537"/>
        <v>363231.8</v>
      </c>
      <c r="S103" s="326">
        <f t="shared" si="638"/>
        <v>-1436768.2</v>
      </c>
      <c r="T103" s="137">
        <f t="shared" si="639"/>
        <v>0.20179544444444444</v>
      </c>
      <c r="U103" s="326">
        <f t="shared" si="640"/>
        <v>0</v>
      </c>
      <c r="V103" s="332">
        <v>1800000</v>
      </c>
      <c r="W103" s="140" t="e">
        <f t="shared" si="538"/>
        <v>#VALUE!</v>
      </c>
      <c r="X103" s="326" t="str">
        <f t="shared" si="539"/>
        <v/>
      </c>
      <c r="Y103" s="717">
        <f t="shared" si="540"/>
        <v>0</v>
      </c>
      <c r="Z103" s="123">
        <f t="shared" si="641"/>
        <v>-1800000</v>
      </c>
      <c r="AA103" s="137">
        <f t="shared" si="642"/>
        <v>0</v>
      </c>
      <c r="AB103" s="326">
        <f t="shared" si="643"/>
        <v>0</v>
      </c>
      <c r="AC103" s="326">
        <v>1800000</v>
      </c>
      <c r="AD103" s="326" t="e">
        <f t="shared" si="541"/>
        <v>#VALUE!</v>
      </c>
      <c r="AE103" s="326" t="str">
        <f t="shared" si="542"/>
        <v/>
      </c>
      <c r="AF103" s="716">
        <f t="shared" si="543"/>
        <v>0</v>
      </c>
      <c r="AG103" s="326">
        <f t="shared" si="559"/>
        <v>-1800000</v>
      </c>
      <c r="AH103" s="137">
        <f t="shared" si="560"/>
        <v>0</v>
      </c>
      <c r="AI103" s="332">
        <f t="shared" si="561"/>
        <v>5400000</v>
      </c>
      <c r="AJ103" s="140">
        <f t="shared" si="608"/>
        <v>510596.22</v>
      </c>
      <c r="AK103" s="326">
        <f t="shared" si="32"/>
        <v>363231.8</v>
      </c>
      <c r="AL103" s="326">
        <f t="shared" ref="AL103:AM103" si="659">SUM(AE103,X103,Q103)</f>
        <v>0</v>
      </c>
      <c r="AM103" s="326">
        <f t="shared" si="659"/>
        <v>363231.8</v>
      </c>
      <c r="AN103" s="326">
        <f t="shared" si="70"/>
        <v>-5036768.2</v>
      </c>
      <c r="AO103" s="413">
        <f t="shared" si="79"/>
        <v>0.71138756178022633</v>
      </c>
      <c r="AP103" s="423">
        <f t="shared" si="645"/>
        <v>0</v>
      </c>
      <c r="AQ103" s="326" t="e">
        <f t="shared" si="36"/>
        <v>#VALUE!</v>
      </c>
      <c r="AR103" s="326" t="str">
        <f t="shared" si="610"/>
        <v/>
      </c>
      <c r="AS103" s="333">
        <f t="shared" si="611"/>
        <v>0</v>
      </c>
      <c r="AT103" s="434">
        <f t="shared" si="646"/>
        <v>0</v>
      </c>
      <c r="AU103" s="140" t="e">
        <f t="shared" si="40"/>
        <v>#VALUE!</v>
      </c>
      <c r="AV103" s="326" t="str">
        <f t="shared" si="612"/>
        <v/>
      </c>
      <c r="AW103" s="333">
        <f t="shared" si="613"/>
        <v>0</v>
      </c>
      <c r="AX103" s="125">
        <f t="shared" si="647"/>
        <v>214612.84</v>
      </c>
      <c r="AY103" s="140" t="e">
        <f t="shared" si="44"/>
        <v>#VALUE!</v>
      </c>
      <c r="AZ103" s="326" t="str">
        <f t="shared" si="614"/>
        <v/>
      </c>
      <c r="BA103" s="332">
        <f t="shared" si="615"/>
        <v>0</v>
      </c>
      <c r="BB103" s="122" t="e">
        <f t="shared" ref="BB103:BD103" si="660">AY103+AU103+AQ103</f>
        <v>#VALUE!</v>
      </c>
      <c r="BC103" s="326" t="e">
        <f t="shared" si="660"/>
        <v>#VALUE!</v>
      </c>
      <c r="BD103" s="332">
        <f t="shared" si="660"/>
        <v>0</v>
      </c>
      <c r="BE103" s="122" t="e">
        <f t="shared" si="48"/>
        <v>#VALUE!</v>
      </c>
      <c r="BF103" s="326" t="e">
        <f t="shared" ref="BF103:BG103" si="661">AL103+BC103</f>
        <v>#VALUE!</v>
      </c>
      <c r="BG103" s="435">
        <f t="shared" si="661"/>
        <v>363231.8</v>
      </c>
      <c r="BH103" s="125">
        <f t="shared" si="618"/>
        <v>73781.7</v>
      </c>
      <c r="BI103" s="140" t="e">
        <f t="shared" si="51"/>
        <v>#VALUE!</v>
      </c>
      <c r="BJ103" s="123" t="str">
        <f t="shared" si="619"/>
        <v/>
      </c>
      <c r="BK103" s="125">
        <f t="shared" si="620"/>
        <v>71593.2</v>
      </c>
      <c r="BL103" s="123">
        <f t="shared" si="621"/>
        <v>490358.95</v>
      </c>
      <c r="BM103" s="140" t="e">
        <f t="shared" si="55"/>
        <v>#VALUE!</v>
      </c>
      <c r="BN103" s="326" t="str">
        <f t="shared" si="622"/>
        <v/>
      </c>
      <c r="BO103" s="332">
        <f t="shared" si="623"/>
        <v>0</v>
      </c>
      <c r="BP103" s="141">
        <f t="shared" si="624"/>
        <v>158771.79</v>
      </c>
      <c r="BQ103" s="140" t="e">
        <f t="shared" si="59"/>
        <v>#VALUE!</v>
      </c>
      <c r="BR103" s="326" t="str">
        <f t="shared" si="625"/>
        <v/>
      </c>
      <c r="BS103" s="333">
        <f t="shared" si="626"/>
        <v>0</v>
      </c>
      <c r="BT103" s="113" t="e">
        <f t="shared" ref="BT103:BV103" si="662">SUM(BQ103,BM103,BI103)</f>
        <v>#VALUE!</v>
      </c>
      <c r="BU103" s="116">
        <f t="shared" si="662"/>
        <v>0</v>
      </c>
      <c r="BV103" s="117">
        <f t="shared" si="662"/>
        <v>71593.2</v>
      </c>
      <c r="BW103" s="141">
        <f t="shared" si="628"/>
        <v>0</v>
      </c>
      <c r="BX103" s="113" t="e">
        <f t="shared" si="64"/>
        <v>#VALUE!</v>
      </c>
      <c r="BY103" s="114" t="str">
        <f t="shared" si="629"/>
        <v/>
      </c>
      <c r="BZ103" s="115">
        <f t="shared" si="630"/>
        <v>0</v>
      </c>
      <c r="CA103" s="123">
        <f t="shared" si="631"/>
        <v>510596.22</v>
      </c>
      <c r="CB103" s="333">
        <f t="shared" si="632"/>
        <v>0</v>
      </c>
      <c r="CY103" s="294"/>
      <c r="DF103" s="296"/>
    </row>
    <row r="104" spans="1:110" ht="13">
      <c r="A104" s="420">
        <f t="shared" si="596"/>
        <v>112012441</v>
      </c>
      <c r="B104" s="565">
        <f t="shared" si="597"/>
        <v>22</v>
      </c>
      <c r="C104" s="558">
        <f t="shared" si="598"/>
        <v>0.1</v>
      </c>
      <c r="D104" s="558">
        <f t="shared" si="599"/>
        <v>0.09</v>
      </c>
      <c r="E104" s="715">
        <f t="shared" si="600"/>
        <v>0</v>
      </c>
      <c r="F104" s="701">
        <f t="shared" si="601"/>
        <v>1</v>
      </c>
      <c r="G104" s="700" t="str">
        <f t="shared" si="602"/>
        <v>Lista</v>
      </c>
      <c r="H104" s="700">
        <f t="shared" si="603"/>
        <v>0.09</v>
      </c>
      <c r="I104" s="700">
        <f t="shared" si="604"/>
        <v>0</v>
      </c>
      <c r="J104" s="547">
        <f t="shared" si="605"/>
        <v>71</v>
      </c>
      <c r="K104" s="699" t="str">
        <f t="shared" si="606"/>
        <v>Lista</v>
      </c>
      <c r="L104" s="702">
        <f t="shared" si="607"/>
        <v>0.05</v>
      </c>
      <c r="M104" s="139" t="s">
        <v>609</v>
      </c>
      <c r="N104" s="423" t="str">
        <f t="shared" si="637"/>
        <v/>
      </c>
      <c r="O104" s="326">
        <v>1800000</v>
      </c>
      <c r="P104" s="326" t="e">
        <f t="shared" si="535"/>
        <v>#VALUE!</v>
      </c>
      <c r="Q104" s="326" t="str">
        <f t="shared" si="536"/>
        <v/>
      </c>
      <c r="R104" s="716" t="str">
        <f t="shared" si="537"/>
        <v>0</v>
      </c>
      <c r="S104" s="326">
        <f t="shared" si="638"/>
        <v>-1800000</v>
      </c>
      <c r="T104" s="137">
        <f t="shared" si="639"/>
        <v>0</v>
      </c>
      <c r="U104" s="326" t="str">
        <f t="shared" si="640"/>
        <v/>
      </c>
      <c r="V104" s="332">
        <v>1800000</v>
      </c>
      <c r="W104" s="140" t="e">
        <f t="shared" si="538"/>
        <v>#VALUE!</v>
      </c>
      <c r="X104" s="326" t="str">
        <f t="shared" si="539"/>
        <v/>
      </c>
      <c r="Y104" s="717" t="str">
        <f t="shared" si="540"/>
        <v>0</v>
      </c>
      <c r="Z104" s="123">
        <f t="shared" si="641"/>
        <v>-1800000</v>
      </c>
      <c r="AA104" s="137">
        <f t="shared" si="642"/>
        <v>0</v>
      </c>
      <c r="AB104" s="326" t="str">
        <f t="shared" si="643"/>
        <v/>
      </c>
      <c r="AC104" s="326">
        <v>1800000</v>
      </c>
      <c r="AD104" s="326" t="e">
        <f t="shared" si="541"/>
        <v>#VALUE!</v>
      </c>
      <c r="AE104" s="326" t="str">
        <f t="shared" si="542"/>
        <v/>
      </c>
      <c r="AF104" s="716" t="str">
        <f t="shared" si="543"/>
        <v>0</v>
      </c>
      <c r="AG104" s="326">
        <f t="shared" si="559"/>
        <v>-1800000</v>
      </c>
      <c r="AH104" s="137">
        <f t="shared" si="560"/>
        <v>0</v>
      </c>
      <c r="AI104" s="332">
        <f t="shared" si="561"/>
        <v>5400000</v>
      </c>
      <c r="AJ104" s="140" t="str">
        <f t="shared" si="608"/>
        <v>0</v>
      </c>
      <c r="AK104" s="326">
        <f t="shared" si="32"/>
        <v>0</v>
      </c>
      <c r="AL104" s="326">
        <f t="shared" ref="AL104:AM104" si="663">SUM(AE104,X104,Q104)</f>
        <v>0</v>
      </c>
      <c r="AM104" s="326">
        <f t="shared" si="663"/>
        <v>0</v>
      </c>
      <c r="AN104" s="326">
        <f t="shared" si="70"/>
        <v>-5400000</v>
      </c>
      <c r="AO104" s="413" t="str">
        <f t="shared" si="79"/>
        <v/>
      </c>
      <c r="AP104" s="423" t="str">
        <f t="shared" si="645"/>
        <v/>
      </c>
      <c r="AQ104" s="326" t="e">
        <f t="shared" si="36"/>
        <v>#VALUE!</v>
      </c>
      <c r="AR104" s="326" t="str">
        <f t="shared" si="610"/>
        <v/>
      </c>
      <c r="AS104" s="333" t="str">
        <f t="shared" si="611"/>
        <v>0</v>
      </c>
      <c r="AT104" s="434" t="str">
        <f t="shared" si="646"/>
        <v/>
      </c>
      <c r="AU104" s="140" t="e">
        <f t="shared" si="40"/>
        <v>#VALUE!</v>
      </c>
      <c r="AV104" s="326" t="str">
        <f t="shared" si="612"/>
        <v/>
      </c>
      <c r="AW104" s="333" t="str">
        <f t="shared" si="613"/>
        <v>0</v>
      </c>
      <c r="AX104" s="125" t="str">
        <f t="shared" si="647"/>
        <v/>
      </c>
      <c r="AY104" s="140" t="e">
        <f t="shared" si="44"/>
        <v>#VALUE!</v>
      </c>
      <c r="AZ104" s="326" t="str">
        <f t="shared" si="614"/>
        <v/>
      </c>
      <c r="BA104" s="332" t="str">
        <f t="shared" si="615"/>
        <v>0</v>
      </c>
      <c r="BB104" s="122" t="e">
        <f t="shared" ref="BB104:BD104" si="664">AY104+AU104+AQ104</f>
        <v>#VALUE!</v>
      </c>
      <c r="BC104" s="326" t="e">
        <f t="shared" si="664"/>
        <v>#VALUE!</v>
      </c>
      <c r="BD104" s="332">
        <f t="shared" si="664"/>
        <v>0</v>
      </c>
      <c r="BE104" s="122" t="e">
        <f t="shared" si="48"/>
        <v>#VALUE!</v>
      </c>
      <c r="BF104" s="326" t="e">
        <f t="shared" ref="BF104:BG104" si="665">AL104+BC104</f>
        <v>#VALUE!</v>
      </c>
      <c r="BG104" s="435">
        <f t="shared" si="665"/>
        <v>0</v>
      </c>
      <c r="BH104" s="125" t="str">
        <f t="shared" si="618"/>
        <v/>
      </c>
      <c r="BI104" s="140" t="e">
        <f t="shared" si="51"/>
        <v>#VALUE!</v>
      </c>
      <c r="BJ104" s="123" t="str">
        <f t="shared" si="619"/>
        <v/>
      </c>
      <c r="BK104" s="125" t="str">
        <f t="shared" si="620"/>
        <v>0</v>
      </c>
      <c r="BL104" s="123" t="str">
        <f t="shared" si="621"/>
        <v/>
      </c>
      <c r="BM104" s="140" t="e">
        <f t="shared" si="55"/>
        <v>#VALUE!</v>
      </c>
      <c r="BN104" s="326" t="str">
        <f t="shared" si="622"/>
        <v/>
      </c>
      <c r="BO104" s="332" t="str">
        <f t="shared" si="623"/>
        <v>0</v>
      </c>
      <c r="BP104" s="141" t="str">
        <f t="shared" si="624"/>
        <v/>
      </c>
      <c r="BQ104" s="140" t="e">
        <f t="shared" si="59"/>
        <v>#VALUE!</v>
      </c>
      <c r="BR104" s="326" t="str">
        <f t="shared" si="625"/>
        <v/>
      </c>
      <c r="BS104" s="333" t="str">
        <f t="shared" si="626"/>
        <v>0</v>
      </c>
      <c r="BT104" s="113" t="e">
        <f t="shared" ref="BT104:BV104" si="666">SUM(BQ104,BM104,BI104)</f>
        <v>#VALUE!</v>
      </c>
      <c r="BU104" s="116">
        <f t="shared" si="666"/>
        <v>0</v>
      </c>
      <c r="BV104" s="117">
        <f t="shared" si="666"/>
        <v>0</v>
      </c>
      <c r="BW104" s="141" t="str">
        <f t="shared" si="628"/>
        <v/>
      </c>
      <c r="BX104" s="113" t="e">
        <f t="shared" si="64"/>
        <v>#VALUE!</v>
      </c>
      <c r="BY104" s="114" t="str">
        <f t="shared" si="629"/>
        <v/>
      </c>
      <c r="BZ104" s="115" t="str">
        <f t="shared" si="630"/>
        <v>0</v>
      </c>
      <c r="CA104" s="123" t="str">
        <f t="shared" si="631"/>
        <v/>
      </c>
      <c r="CB104" s="333" t="str">
        <f t="shared" si="632"/>
        <v/>
      </c>
      <c r="CY104" s="294"/>
      <c r="DF104" s="296"/>
    </row>
    <row r="105" spans="1:110" ht="13">
      <c r="A105" s="420">
        <f t="shared" si="596"/>
        <v>112013568</v>
      </c>
      <c r="B105" s="565">
        <f t="shared" si="597"/>
        <v>22</v>
      </c>
      <c r="C105" s="558">
        <f t="shared" si="598"/>
        <v>0.1</v>
      </c>
      <c r="D105" s="558">
        <f t="shared" si="599"/>
        <v>0.09</v>
      </c>
      <c r="E105" s="715">
        <f t="shared" si="600"/>
        <v>0</v>
      </c>
      <c r="F105" s="701">
        <f t="shared" si="601"/>
        <v>1</v>
      </c>
      <c r="G105" s="700" t="str">
        <f t="shared" si="602"/>
        <v>Lista</v>
      </c>
      <c r="H105" s="700">
        <f t="shared" si="603"/>
        <v>0.09</v>
      </c>
      <c r="I105" s="700">
        <f t="shared" si="604"/>
        <v>0</v>
      </c>
      <c r="J105" s="547">
        <f t="shared" si="605"/>
        <v>71</v>
      </c>
      <c r="K105" s="699" t="str">
        <f t="shared" si="606"/>
        <v>Lista</v>
      </c>
      <c r="L105" s="702">
        <f t="shared" si="607"/>
        <v>0.05</v>
      </c>
      <c r="M105" s="139" t="s">
        <v>610</v>
      </c>
      <c r="N105" s="423" t="str">
        <f t="shared" si="637"/>
        <v/>
      </c>
      <c r="O105" s="326">
        <v>1800000</v>
      </c>
      <c r="P105" s="326" t="e">
        <f t="shared" si="535"/>
        <v>#VALUE!</v>
      </c>
      <c r="Q105" s="326" t="str">
        <f t="shared" si="536"/>
        <v/>
      </c>
      <c r="R105" s="716" t="str">
        <f t="shared" si="537"/>
        <v>0</v>
      </c>
      <c r="S105" s="326">
        <f t="shared" si="638"/>
        <v>-1800000</v>
      </c>
      <c r="T105" s="137">
        <f t="shared" si="639"/>
        <v>0</v>
      </c>
      <c r="U105" s="326" t="str">
        <f t="shared" si="640"/>
        <v/>
      </c>
      <c r="V105" s="332">
        <v>1800000</v>
      </c>
      <c r="W105" s="140" t="e">
        <f t="shared" si="538"/>
        <v>#VALUE!</v>
      </c>
      <c r="X105" s="326" t="str">
        <f t="shared" si="539"/>
        <v/>
      </c>
      <c r="Y105" s="717" t="str">
        <f t="shared" si="540"/>
        <v>0</v>
      </c>
      <c r="Z105" s="123">
        <f t="shared" si="641"/>
        <v>-1800000</v>
      </c>
      <c r="AA105" s="137">
        <f t="shared" si="642"/>
        <v>0</v>
      </c>
      <c r="AB105" s="326" t="str">
        <f t="shared" si="643"/>
        <v/>
      </c>
      <c r="AC105" s="326">
        <v>1800000</v>
      </c>
      <c r="AD105" s="326" t="e">
        <f t="shared" si="541"/>
        <v>#VALUE!</v>
      </c>
      <c r="AE105" s="326" t="str">
        <f t="shared" si="542"/>
        <v/>
      </c>
      <c r="AF105" s="716" t="str">
        <f t="shared" si="543"/>
        <v>0</v>
      </c>
      <c r="AG105" s="326">
        <f t="shared" si="559"/>
        <v>-1800000</v>
      </c>
      <c r="AH105" s="137">
        <f t="shared" si="560"/>
        <v>0</v>
      </c>
      <c r="AI105" s="332">
        <f t="shared" si="561"/>
        <v>5400000</v>
      </c>
      <c r="AJ105" s="140" t="str">
        <f t="shared" si="608"/>
        <v>0</v>
      </c>
      <c r="AK105" s="326">
        <f t="shared" si="32"/>
        <v>0</v>
      </c>
      <c r="AL105" s="326">
        <f t="shared" ref="AL105:AM105" si="667">SUM(AE105,X105,Q105)</f>
        <v>0</v>
      </c>
      <c r="AM105" s="326">
        <f t="shared" si="667"/>
        <v>0</v>
      </c>
      <c r="AN105" s="326">
        <f t="shared" si="70"/>
        <v>-5400000</v>
      </c>
      <c r="AO105" s="413" t="str">
        <f t="shared" si="79"/>
        <v/>
      </c>
      <c r="AP105" s="423" t="str">
        <f t="shared" si="645"/>
        <v/>
      </c>
      <c r="AQ105" s="326" t="e">
        <f t="shared" si="36"/>
        <v>#VALUE!</v>
      </c>
      <c r="AR105" s="326" t="str">
        <f t="shared" si="610"/>
        <v/>
      </c>
      <c r="AS105" s="333" t="str">
        <f t="shared" si="611"/>
        <v>0</v>
      </c>
      <c r="AT105" s="434" t="str">
        <f t="shared" si="646"/>
        <v/>
      </c>
      <c r="AU105" s="140" t="e">
        <f t="shared" si="40"/>
        <v>#VALUE!</v>
      </c>
      <c r="AV105" s="326" t="str">
        <f t="shared" si="612"/>
        <v/>
      </c>
      <c r="AW105" s="333" t="str">
        <f t="shared" si="613"/>
        <v>0</v>
      </c>
      <c r="AX105" s="125" t="str">
        <f t="shared" si="647"/>
        <v/>
      </c>
      <c r="AY105" s="140" t="e">
        <f t="shared" si="44"/>
        <v>#VALUE!</v>
      </c>
      <c r="AZ105" s="326" t="str">
        <f t="shared" si="614"/>
        <v/>
      </c>
      <c r="BA105" s="332" t="str">
        <f t="shared" si="615"/>
        <v>0</v>
      </c>
      <c r="BB105" s="122" t="e">
        <f t="shared" ref="BB105:BD105" si="668">AY105+AU105+AQ105</f>
        <v>#VALUE!</v>
      </c>
      <c r="BC105" s="326" t="e">
        <f t="shared" si="668"/>
        <v>#VALUE!</v>
      </c>
      <c r="BD105" s="332">
        <f t="shared" si="668"/>
        <v>0</v>
      </c>
      <c r="BE105" s="122" t="e">
        <f t="shared" si="48"/>
        <v>#VALUE!</v>
      </c>
      <c r="BF105" s="326" t="e">
        <f t="shared" ref="BF105:BG105" si="669">AL105+BC105</f>
        <v>#VALUE!</v>
      </c>
      <c r="BG105" s="435">
        <f t="shared" si="669"/>
        <v>0</v>
      </c>
      <c r="BH105" s="125" t="str">
        <f t="shared" si="618"/>
        <v/>
      </c>
      <c r="BI105" s="140" t="e">
        <f t="shared" si="51"/>
        <v>#VALUE!</v>
      </c>
      <c r="BJ105" s="123" t="str">
        <f t="shared" si="619"/>
        <v/>
      </c>
      <c r="BK105" s="125" t="str">
        <f t="shared" si="620"/>
        <v>0</v>
      </c>
      <c r="BL105" s="123" t="str">
        <f t="shared" si="621"/>
        <v/>
      </c>
      <c r="BM105" s="140" t="e">
        <f t="shared" si="55"/>
        <v>#VALUE!</v>
      </c>
      <c r="BN105" s="326" t="str">
        <f t="shared" si="622"/>
        <v/>
      </c>
      <c r="BO105" s="332" t="str">
        <f t="shared" si="623"/>
        <v>0</v>
      </c>
      <c r="BP105" s="141" t="str">
        <f t="shared" si="624"/>
        <v/>
      </c>
      <c r="BQ105" s="140" t="e">
        <f t="shared" si="59"/>
        <v>#VALUE!</v>
      </c>
      <c r="BR105" s="326" t="str">
        <f t="shared" si="625"/>
        <v/>
      </c>
      <c r="BS105" s="333" t="str">
        <f t="shared" si="626"/>
        <v>0</v>
      </c>
      <c r="BT105" s="113" t="e">
        <f t="shared" ref="BT105:BV105" si="670">SUM(BQ105,BM105,BI105)</f>
        <v>#VALUE!</v>
      </c>
      <c r="BU105" s="116">
        <f t="shared" si="670"/>
        <v>0</v>
      </c>
      <c r="BV105" s="117">
        <f t="shared" si="670"/>
        <v>0</v>
      </c>
      <c r="BW105" s="141" t="str">
        <f t="shared" si="628"/>
        <v/>
      </c>
      <c r="BX105" s="113" t="e">
        <f t="shared" si="64"/>
        <v>#VALUE!</v>
      </c>
      <c r="BY105" s="114" t="str">
        <f t="shared" si="629"/>
        <v/>
      </c>
      <c r="BZ105" s="115" t="str">
        <f t="shared" si="630"/>
        <v>0</v>
      </c>
      <c r="CA105" s="123" t="str">
        <f t="shared" si="631"/>
        <v/>
      </c>
      <c r="CB105" s="333" t="str">
        <f t="shared" si="632"/>
        <v/>
      </c>
      <c r="CY105" s="294"/>
      <c r="DF105" s="296"/>
    </row>
    <row r="106" spans="1:110" ht="13">
      <c r="A106" s="420">
        <f t="shared" si="596"/>
        <v>112013887</v>
      </c>
      <c r="B106" s="565">
        <f t="shared" si="597"/>
        <v>22</v>
      </c>
      <c r="C106" s="558">
        <f t="shared" si="598"/>
        <v>0.1</v>
      </c>
      <c r="D106" s="558">
        <f t="shared" si="599"/>
        <v>0.09</v>
      </c>
      <c r="E106" s="715">
        <f t="shared" si="600"/>
        <v>0</v>
      </c>
      <c r="F106" s="701">
        <f t="shared" si="601"/>
        <v>1</v>
      </c>
      <c r="G106" s="700" t="str">
        <f t="shared" si="602"/>
        <v>Lista</v>
      </c>
      <c r="H106" s="700">
        <f t="shared" si="603"/>
        <v>0.09</v>
      </c>
      <c r="I106" s="700">
        <f t="shared" si="604"/>
        <v>0</v>
      </c>
      <c r="J106" s="547">
        <f t="shared" si="605"/>
        <v>71</v>
      </c>
      <c r="K106" s="699" t="str">
        <f t="shared" si="606"/>
        <v>Lista</v>
      </c>
      <c r="L106" s="702">
        <f t="shared" si="607"/>
        <v>0.05</v>
      </c>
      <c r="M106" s="139" t="s">
        <v>611</v>
      </c>
      <c r="N106" s="423">
        <f t="shared" si="637"/>
        <v>0</v>
      </c>
      <c r="O106" s="326">
        <v>1800000</v>
      </c>
      <c r="P106" s="326" t="e">
        <f t="shared" si="535"/>
        <v>#VALUE!</v>
      </c>
      <c r="Q106" s="326" t="str">
        <f t="shared" si="536"/>
        <v/>
      </c>
      <c r="R106" s="716">
        <f t="shared" si="537"/>
        <v>0</v>
      </c>
      <c r="S106" s="326">
        <f t="shared" si="638"/>
        <v>-1800000</v>
      </c>
      <c r="T106" s="137">
        <f t="shared" si="639"/>
        <v>0</v>
      </c>
      <c r="U106" s="326">
        <f t="shared" si="640"/>
        <v>0</v>
      </c>
      <c r="V106" s="332">
        <v>1800000</v>
      </c>
      <c r="W106" s="140" t="e">
        <f t="shared" si="538"/>
        <v>#VALUE!</v>
      </c>
      <c r="X106" s="326" t="str">
        <f t="shared" si="539"/>
        <v/>
      </c>
      <c r="Y106" s="717">
        <f t="shared" si="540"/>
        <v>498842.1</v>
      </c>
      <c r="Z106" s="123">
        <f t="shared" si="641"/>
        <v>-1301157.8999999999</v>
      </c>
      <c r="AA106" s="137">
        <f t="shared" si="642"/>
        <v>0.27713450000000001</v>
      </c>
      <c r="AB106" s="326">
        <f t="shared" si="643"/>
        <v>0</v>
      </c>
      <c r="AC106" s="326">
        <v>1800000</v>
      </c>
      <c r="AD106" s="326" t="e">
        <f t="shared" si="541"/>
        <v>#VALUE!</v>
      </c>
      <c r="AE106" s="326" t="str">
        <f t="shared" si="542"/>
        <v/>
      </c>
      <c r="AF106" s="716">
        <f t="shared" si="543"/>
        <v>317905.28999999998</v>
      </c>
      <c r="AG106" s="326">
        <f t="shared" si="559"/>
        <v>-1482094.71</v>
      </c>
      <c r="AH106" s="137">
        <f t="shared" si="560"/>
        <v>0.17661404999999999</v>
      </c>
      <c r="AI106" s="332">
        <f t="shared" si="561"/>
        <v>5400000</v>
      </c>
      <c r="AJ106" s="140">
        <f t="shared" si="608"/>
        <v>264280.32000000001</v>
      </c>
      <c r="AK106" s="326">
        <f t="shared" si="32"/>
        <v>816747.3899999999</v>
      </c>
      <c r="AL106" s="326">
        <f t="shared" ref="AL106:AM106" si="671">SUM(AE106,X106,Q106)</f>
        <v>0</v>
      </c>
      <c r="AM106" s="326">
        <f t="shared" si="671"/>
        <v>816747.3899999999</v>
      </c>
      <c r="AN106" s="326">
        <f t="shared" si="70"/>
        <v>-4583252.6100000003</v>
      </c>
      <c r="AO106" s="413">
        <f t="shared" si="79"/>
        <v>3.0904586084957058</v>
      </c>
      <c r="AP106" s="423">
        <f t="shared" si="645"/>
        <v>232041.38</v>
      </c>
      <c r="AQ106" s="326" t="e">
        <f t="shared" si="36"/>
        <v>#VALUE!</v>
      </c>
      <c r="AR106" s="325" t="str">
        <f t="shared" si="610"/>
        <v/>
      </c>
      <c r="AS106" s="333">
        <f t="shared" si="611"/>
        <v>0</v>
      </c>
      <c r="AT106" s="434">
        <f t="shared" si="646"/>
        <v>141243.5</v>
      </c>
      <c r="AU106" s="140" t="e">
        <f t="shared" si="40"/>
        <v>#VALUE!</v>
      </c>
      <c r="AV106" s="326" t="str">
        <f t="shared" si="612"/>
        <v/>
      </c>
      <c r="AW106" s="333">
        <f t="shared" si="613"/>
        <v>74239.289999999994</v>
      </c>
      <c r="AX106" s="125">
        <f t="shared" si="647"/>
        <v>0</v>
      </c>
      <c r="AY106" s="140" t="e">
        <f t="shared" si="44"/>
        <v>#VALUE!</v>
      </c>
      <c r="AZ106" s="326" t="str">
        <f t="shared" si="614"/>
        <v/>
      </c>
      <c r="BA106" s="332">
        <f t="shared" si="615"/>
        <v>388682.08</v>
      </c>
      <c r="BB106" s="122" t="e">
        <f t="shared" ref="BB106:BD106" si="672">AY106+AU106+AQ106</f>
        <v>#VALUE!</v>
      </c>
      <c r="BC106" s="326" t="e">
        <f t="shared" si="672"/>
        <v>#VALUE!</v>
      </c>
      <c r="BD106" s="332">
        <f t="shared" si="672"/>
        <v>462921.37</v>
      </c>
      <c r="BE106" s="122" t="e">
        <f t="shared" si="48"/>
        <v>#VALUE!</v>
      </c>
      <c r="BF106" s="326" t="e">
        <f t="shared" ref="BF106:BG106" si="673">AL106+BC106</f>
        <v>#VALUE!</v>
      </c>
      <c r="BG106" s="435">
        <f t="shared" si="673"/>
        <v>1279668.7599999998</v>
      </c>
      <c r="BH106" s="125">
        <f t="shared" si="618"/>
        <v>0</v>
      </c>
      <c r="BI106" s="140" t="e">
        <f t="shared" si="51"/>
        <v>#VALUE!</v>
      </c>
      <c r="BJ106" s="123" t="str">
        <f t="shared" si="619"/>
        <v/>
      </c>
      <c r="BK106" s="125">
        <f t="shared" si="620"/>
        <v>411837.77</v>
      </c>
      <c r="BL106" s="123">
        <f t="shared" si="621"/>
        <v>444905.46</v>
      </c>
      <c r="BM106" s="140" t="e">
        <f t="shared" si="55"/>
        <v>#VALUE!</v>
      </c>
      <c r="BN106" s="326" t="str">
        <f t="shared" si="622"/>
        <v/>
      </c>
      <c r="BO106" s="332">
        <f t="shared" si="623"/>
        <v>386003.4</v>
      </c>
      <c r="BP106" s="141">
        <f t="shared" si="624"/>
        <v>125690.72</v>
      </c>
      <c r="BQ106" s="140" t="e">
        <f t="shared" si="59"/>
        <v>#VALUE!</v>
      </c>
      <c r="BR106" s="326" t="str">
        <f t="shared" si="625"/>
        <v/>
      </c>
      <c r="BS106" s="333">
        <f t="shared" si="626"/>
        <v>0</v>
      </c>
      <c r="BT106" s="113" t="e">
        <f t="shared" ref="BT106:BV106" si="674">SUM(BQ106,BM106,BI106)</f>
        <v>#VALUE!</v>
      </c>
      <c r="BU106" s="116">
        <f t="shared" si="674"/>
        <v>0</v>
      </c>
      <c r="BV106" s="117">
        <f t="shared" si="674"/>
        <v>797841.17</v>
      </c>
      <c r="BW106" s="141">
        <f t="shared" si="628"/>
        <v>264280.32000000001</v>
      </c>
      <c r="BX106" s="113" t="e">
        <f t="shared" si="64"/>
        <v>#VALUE!</v>
      </c>
      <c r="BY106" s="114" t="str">
        <f t="shared" si="629"/>
        <v/>
      </c>
      <c r="BZ106" s="115">
        <f t="shared" si="630"/>
        <v>0</v>
      </c>
      <c r="CA106" s="123">
        <f t="shared" si="631"/>
        <v>0</v>
      </c>
      <c r="CB106" s="333">
        <f t="shared" si="632"/>
        <v>0</v>
      </c>
      <c r="CY106" s="294"/>
      <c r="DF106" s="296"/>
    </row>
    <row r="107" spans="1:110" ht="13">
      <c r="A107" s="420">
        <f t="shared" si="596"/>
        <v>112014281</v>
      </c>
      <c r="B107" s="565">
        <f t="shared" si="597"/>
        <v>22</v>
      </c>
      <c r="C107" s="558">
        <f t="shared" si="598"/>
        <v>0.1</v>
      </c>
      <c r="D107" s="558">
        <f t="shared" si="599"/>
        <v>0.09</v>
      </c>
      <c r="E107" s="715">
        <f t="shared" si="600"/>
        <v>0</v>
      </c>
      <c r="F107" s="701">
        <f t="shared" si="601"/>
        <v>1</v>
      </c>
      <c r="G107" s="700" t="str">
        <f t="shared" si="602"/>
        <v>Lista</v>
      </c>
      <c r="H107" s="700">
        <f t="shared" si="603"/>
        <v>0.09</v>
      </c>
      <c r="I107" s="700">
        <f t="shared" si="604"/>
        <v>0</v>
      </c>
      <c r="J107" s="547">
        <f t="shared" si="605"/>
        <v>71</v>
      </c>
      <c r="K107" s="699" t="str">
        <f t="shared" si="606"/>
        <v>Lista</v>
      </c>
      <c r="L107" s="702">
        <f t="shared" si="607"/>
        <v>0.05</v>
      </c>
      <c r="M107" s="139" t="s">
        <v>612</v>
      </c>
      <c r="N107" s="423">
        <f t="shared" si="637"/>
        <v>0</v>
      </c>
      <c r="O107" s="326">
        <v>1800000</v>
      </c>
      <c r="P107" s="326" t="e">
        <f t="shared" si="535"/>
        <v>#VALUE!</v>
      </c>
      <c r="Q107" s="326" t="str">
        <f t="shared" si="536"/>
        <v/>
      </c>
      <c r="R107" s="716">
        <f t="shared" si="537"/>
        <v>248999.31</v>
      </c>
      <c r="S107" s="326">
        <f t="shared" si="638"/>
        <v>-1551000.69</v>
      </c>
      <c r="T107" s="137">
        <f t="shared" si="639"/>
        <v>0.13833295000000001</v>
      </c>
      <c r="U107" s="326">
        <f t="shared" si="640"/>
        <v>0</v>
      </c>
      <c r="V107" s="332">
        <v>1800000</v>
      </c>
      <c r="W107" s="140" t="e">
        <f t="shared" si="538"/>
        <v>#VALUE!</v>
      </c>
      <c r="X107" s="326" t="str">
        <f t="shared" si="539"/>
        <v/>
      </c>
      <c r="Y107" s="717">
        <f t="shared" si="540"/>
        <v>0</v>
      </c>
      <c r="Z107" s="123">
        <f t="shared" si="641"/>
        <v>-1800000</v>
      </c>
      <c r="AA107" s="137">
        <f t="shared" si="642"/>
        <v>0</v>
      </c>
      <c r="AB107" s="326">
        <f t="shared" si="643"/>
        <v>0</v>
      </c>
      <c r="AC107" s="326">
        <v>1800000</v>
      </c>
      <c r="AD107" s="326" t="e">
        <f t="shared" si="541"/>
        <v>#VALUE!</v>
      </c>
      <c r="AE107" s="326" t="str">
        <f t="shared" si="542"/>
        <v/>
      </c>
      <c r="AF107" s="716">
        <f t="shared" si="543"/>
        <v>0</v>
      </c>
      <c r="AG107" s="326">
        <f t="shared" si="559"/>
        <v>-1800000</v>
      </c>
      <c r="AH107" s="137">
        <f t="shared" si="560"/>
        <v>0</v>
      </c>
      <c r="AI107" s="332">
        <f t="shared" si="561"/>
        <v>5400000</v>
      </c>
      <c r="AJ107" s="140">
        <f t="shared" si="608"/>
        <v>336366.6</v>
      </c>
      <c r="AK107" s="326">
        <f t="shared" si="32"/>
        <v>248999.31</v>
      </c>
      <c r="AL107" s="326">
        <f t="shared" ref="AL107:AM107" si="675">SUM(AE107,X107,Q107)</f>
        <v>0</v>
      </c>
      <c r="AM107" s="326">
        <f t="shared" si="675"/>
        <v>248999.31</v>
      </c>
      <c r="AN107" s="326">
        <f t="shared" si="70"/>
        <v>-5151000.6900000004</v>
      </c>
      <c r="AO107" s="413">
        <f t="shared" si="79"/>
        <v>0.74026169661315966</v>
      </c>
      <c r="AP107" s="423">
        <f t="shared" si="645"/>
        <v>195378.73</v>
      </c>
      <c r="AQ107" s="326" t="e">
        <f t="shared" si="36"/>
        <v>#VALUE!</v>
      </c>
      <c r="AR107" s="325" t="str">
        <f t="shared" si="610"/>
        <v/>
      </c>
      <c r="AS107" s="333">
        <f t="shared" si="611"/>
        <v>119106.52</v>
      </c>
      <c r="AT107" s="434">
        <f t="shared" si="646"/>
        <v>60155.28</v>
      </c>
      <c r="AU107" s="140" t="e">
        <f t="shared" si="40"/>
        <v>#VALUE!</v>
      </c>
      <c r="AV107" s="326" t="str">
        <f t="shared" si="612"/>
        <v/>
      </c>
      <c r="AW107" s="333">
        <f t="shared" si="613"/>
        <v>861158.89</v>
      </c>
      <c r="AX107" s="125">
        <f t="shared" si="647"/>
        <v>0</v>
      </c>
      <c r="AY107" s="140" t="e">
        <f t="shared" si="44"/>
        <v>#VALUE!</v>
      </c>
      <c r="AZ107" s="326" t="str">
        <f t="shared" si="614"/>
        <v/>
      </c>
      <c r="BA107" s="332">
        <f t="shared" si="615"/>
        <v>0</v>
      </c>
      <c r="BB107" s="122" t="e">
        <f t="shared" ref="BB107:BD107" si="676">AY107+AU107+AQ107</f>
        <v>#VALUE!</v>
      </c>
      <c r="BC107" s="326" t="e">
        <f t="shared" si="676"/>
        <v>#VALUE!</v>
      </c>
      <c r="BD107" s="332">
        <f t="shared" si="676"/>
        <v>980265.41</v>
      </c>
      <c r="BE107" s="122" t="e">
        <f t="shared" si="48"/>
        <v>#VALUE!</v>
      </c>
      <c r="BF107" s="326" t="e">
        <f t="shared" ref="BF107:BG107" si="677">AL107+BC107</f>
        <v>#VALUE!</v>
      </c>
      <c r="BG107" s="435">
        <f t="shared" si="677"/>
        <v>1229264.72</v>
      </c>
      <c r="BH107" s="125">
        <f t="shared" si="618"/>
        <v>0</v>
      </c>
      <c r="BI107" s="140" t="e">
        <f t="shared" si="51"/>
        <v>#VALUE!</v>
      </c>
      <c r="BJ107" s="123" t="str">
        <f t="shared" si="619"/>
        <v/>
      </c>
      <c r="BK107" s="125">
        <f t="shared" si="620"/>
        <v>1109613.27</v>
      </c>
      <c r="BL107" s="123">
        <f t="shared" si="621"/>
        <v>289511.12</v>
      </c>
      <c r="BM107" s="140" t="e">
        <f t="shared" si="55"/>
        <v>#VALUE!</v>
      </c>
      <c r="BN107" s="326" t="str">
        <f t="shared" si="622"/>
        <v/>
      </c>
      <c r="BO107" s="332">
        <f t="shared" si="623"/>
        <v>850022.42</v>
      </c>
      <c r="BP107" s="141">
        <f t="shared" si="624"/>
        <v>0</v>
      </c>
      <c r="BQ107" s="140" t="e">
        <f t="shared" si="59"/>
        <v>#VALUE!</v>
      </c>
      <c r="BR107" s="326" t="str">
        <f t="shared" si="625"/>
        <v/>
      </c>
      <c r="BS107" s="333">
        <f t="shared" si="626"/>
        <v>517318.34</v>
      </c>
      <c r="BT107" s="113" t="e">
        <f t="shared" ref="BT107:BV107" si="678">SUM(BQ107,BM107,BI107)</f>
        <v>#VALUE!</v>
      </c>
      <c r="BU107" s="116">
        <f t="shared" si="678"/>
        <v>0</v>
      </c>
      <c r="BV107" s="117">
        <f t="shared" si="678"/>
        <v>2476954.0300000003</v>
      </c>
      <c r="BW107" s="141">
        <f t="shared" si="628"/>
        <v>208744.21</v>
      </c>
      <c r="BX107" s="113" t="e">
        <f t="shared" si="64"/>
        <v>#VALUE!</v>
      </c>
      <c r="BY107" s="114" t="str">
        <f t="shared" si="629"/>
        <v/>
      </c>
      <c r="BZ107" s="115">
        <f t="shared" si="630"/>
        <v>715014.15</v>
      </c>
      <c r="CA107" s="123">
        <f t="shared" si="631"/>
        <v>127622.38</v>
      </c>
      <c r="CB107" s="333">
        <f t="shared" si="632"/>
        <v>0</v>
      </c>
      <c r="CY107" s="294"/>
      <c r="DF107" s="296"/>
    </row>
    <row r="108" spans="1:110" ht="13">
      <c r="A108" s="420">
        <f t="shared" si="596"/>
        <v>112013889</v>
      </c>
      <c r="B108" s="565">
        <f t="shared" si="597"/>
        <v>22</v>
      </c>
      <c r="C108" s="558">
        <f t="shared" si="598"/>
        <v>0.1</v>
      </c>
      <c r="D108" s="558">
        <f t="shared" si="599"/>
        <v>0.09</v>
      </c>
      <c r="E108" s="715">
        <f t="shared" si="600"/>
        <v>0</v>
      </c>
      <c r="F108" s="701">
        <f t="shared" si="601"/>
        <v>1</v>
      </c>
      <c r="G108" s="700" t="str">
        <f t="shared" si="602"/>
        <v>Lista</v>
      </c>
      <c r="H108" s="700">
        <f t="shared" si="603"/>
        <v>0.09</v>
      </c>
      <c r="I108" s="700">
        <f t="shared" si="604"/>
        <v>0</v>
      </c>
      <c r="J108" s="547">
        <f t="shared" si="605"/>
        <v>71</v>
      </c>
      <c r="K108" s="699" t="str">
        <f t="shared" si="606"/>
        <v>Lista</v>
      </c>
      <c r="L108" s="702">
        <f t="shared" si="607"/>
        <v>0.05</v>
      </c>
      <c r="M108" s="139" t="s">
        <v>613</v>
      </c>
      <c r="N108" s="423">
        <f t="shared" si="637"/>
        <v>280460.90999999997</v>
      </c>
      <c r="O108" s="326">
        <v>1800000</v>
      </c>
      <c r="P108" s="326" t="e">
        <f t="shared" si="535"/>
        <v>#VALUE!</v>
      </c>
      <c r="Q108" s="326" t="str">
        <f t="shared" si="536"/>
        <v/>
      </c>
      <c r="R108" s="716" t="str">
        <f t="shared" si="537"/>
        <v>0</v>
      </c>
      <c r="S108" s="326">
        <f t="shared" si="638"/>
        <v>-1800000</v>
      </c>
      <c r="T108" s="137">
        <f t="shared" si="639"/>
        <v>0</v>
      </c>
      <c r="U108" s="326">
        <f t="shared" si="640"/>
        <v>306559.5</v>
      </c>
      <c r="V108" s="332">
        <v>1800000</v>
      </c>
      <c r="W108" s="140" t="e">
        <f t="shared" si="538"/>
        <v>#VALUE!</v>
      </c>
      <c r="X108" s="326" t="str">
        <f t="shared" si="539"/>
        <v/>
      </c>
      <c r="Y108" s="717" t="str">
        <f t="shared" si="540"/>
        <v>0</v>
      </c>
      <c r="Z108" s="123">
        <f t="shared" si="641"/>
        <v>-1800000</v>
      </c>
      <c r="AA108" s="137">
        <f t="shared" si="642"/>
        <v>0</v>
      </c>
      <c r="AB108" s="326">
        <f t="shared" si="643"/>
        <v>0</v>
      </c>
      <c r="AC108" s="326">
        <v>1800000</v>
      </c>
      <c r="AD108" s="326" t="e">
        <f t="shared" si="541"/>
        <v>#VALUE!</v>
      </c>
      <c r="AE108" s="326" t="str">
        <f t="shared" si="542"/>
        <v/>
      </c>
      <c r="AF108" s="716" t="str">
        <f t="shared" si="543"/>
        <v>0</v>
      </c>
      <c r="AG108" s="326">
        <f t="shared" si="559"/>
        <v>-1800000</v>
      </c>
      <c r="AH108" s="137">
        <f t="shared" si="560"/>
        <v>0</v>
      </c>
      <c r="AI108" s="332">
        <f t="shared" si="561"/>
        <v>5400000</v>
      </c>
      <c r="AJ108" s="140" t="str">
        <f t="shared" si="608"/>
        <v>0</v>
      </c>
      <c r="AK108" s="326">
        <f t="shared" si="32"/>
        <v>0</v>
      </c>
      <c r="AL108" s="326">
        <f t="shared" ref="AL108:AM108" si="679">SUM(AE108,X108,Q108)</f>
        <v>0</v>
      </c>
      <c r="AM108" s="326">
        <f t="shared" si="679"/>
        <v>0</v>
      </c>
      <c r="AN108" s="326">
        <f t="shared" si="70"/>
        <v>-5400000</v>
      </c>
      <c r="AO108" s="413" t="str">
        <f t="shared" si="79"/>
        <v/>
      </c>
      <c r="AP108" s="423">
        <f t="shared" si="645"/>
        <v>0</v>
      </c>
      <c r="AQ108" s="326" t="e">
        <f t="shared" si="36"/>
        <v>#VALUE!</v>
      </c>
      <c r="AR108" s="325" t="str">
        <f t="shared" si="610"/>
        <v/>
      </c>
      <c r="AS108" s="333" t="str">
        <f t="shared" si="611"/>
        <v>0</v>
      </c>
      <c r="AT108" s="434">
        <f t="shared" si="646"/>
        <v>0</v>
      </c>
      <c r="AU108" s="140" t="e">
        <f t="shared" si="40"/>
        <v>#VALUE!</v>
      </c>
      <c r="AV108" s="326" t="str">
        <f t="shared" si="612"/>
        <v/>
      </c>
      <c r="AW108" s="333" t="str">
        <f t="shared" si="613"/>
        <v>0</v>
      </c>
      <c r="AX108" s="125">
        <f t="shared" si="647"/>
        <v>0</v>
      </c>
      <c r="AY108" s="140" t="e">
        <f t="shared" si="44"/>
        <v>#VALUE!</v>
      </c>
      <c r="AZ108" s="326" t="str">
        <f t="shared" si="614"/>
        <v/>
      </c>
      <c r="BA108" s="332" t="str">
        <f t="shared" si="615"/>
        <v>0</v>
      </c>
      <c r="BB108" s="122" t="e">
        <f t="shared" ref="BB108:BD108" si="680">AY108+AU108+AQ108</f>
        <v>#VALUE!</v>
      </c>
      <c r="BC108" s="326" t="e">
        <f t="shared" si="680"/>
        <v>#VALUE!</v>
      </c>
      <c r="BD108" s="332">
        <f t="shared" si="680"/>
        <v>0</v>
      </c>
      <c r="BE108" s="122" t="e">
        <f t="shared" si="48"/>
        <v>#VALUE!</v>
      </c>
      <c r="BF108" s="326" t="e">
        <f t="shared" ref="BF108:BG108" si="681">AL108+BC108</f>
        <v>#VALUE!</v>
      </c>
      <c r="BG108" s="435">
        <f t="shared" si="681"/>
        <v>0</v>
      </c>
      <c r="BH108" s="125">
        <f t="shared" si="618"/>
        <v>0</v>
      </c>
      <c r="BI108" s="140" t="e">
        <f t="shared" si="51"/>
        <v>#VALUE!</v>
      </c>
      <c r="BJ108" s="123" t="str">
        <f t="shared" si="619"/>
        <v/>
      </c>
      <c r="BK108" s="125" t="str">
        <f t="shared" si="620"/>
        <v>0</v>
      </c>
      <c r="BL108" s="123">
        <f t="shared" si="621"/>
        <v>0</v>
      </c>
      <c r="BM108" s="140" t="e">
        <f t="shared" si="55"/>
        <v>#VALUE!</v>
      </c>
      <c r="BN108" s="326" t="str">
        <f t="shared" si="622"/>
        <v/>
      </c>
      <c r="BO108" s="332" t="str">
        <f t="shared" si="623"/>
        <v>0</v>
      </c>
      <c r="BP108" s="141">
        <f t="shared" si="624"/>
        <v>0</v>
      </c>
      <c r="BQ108" s="140" t="e">
        <f t="shared" si="59"/>
        <v>#VALUE!</v>
      </c>
      <c r="BR108" s="326" t="str">
        <f t="shared" si="625"/>
        <v/>
      </c>
      <c r="BS108" s="333" t="str">
        <f t="shared" si="626"/>
        <v>0</v>
      </c>
      <c r="BT108" s="113" t="e">
        <f t="shared" ref="BT108:BV108" si="682">SUM(BQ108,BM108,BI108)</f>
        <v>#VALUE!</v>
      </c>
      <c r="BU108" s="116">
        <f t="shared" si="682"/>
        <v>0</v>
      </c>
      <c r="BV108" s="117">
        <f t="shared" si="682"/>
        <v>0</v>
      </c>
      <c r="BW108" s="141">
        <f t="shared" si="628"/>
        <v>0</v>
      </c>
      <c r="BX108" s="113" t="e">
        <f t="shared" si="64"/>
        <v>#VALUE!</v>
      </c>
      <c r="BY108" s="114" t="str">
        <f t="shared" si="629"/>
        <v/>
      </c>
      <c r="BZ108" s="115" t="str">
        <f t="shared" si="630"/>
        <v>0</v>
      </c>
      <c r="CA108" s="123">
        <f t="shared" si="631"/>
        <v>0</v>
      </c>
      <c r="CB108" s="333">
        <f t="shared" si="632"/>
        <v>0</v>
      </c>
      <c r="CY108" s="294"/>
      <c r="DF108" s="296"/>
    </row>
    <row r="109" spans="1:110" ht="13">
      <c r="A109" s="420">
        <f t="shared" si="596"/>
        <v>112014025</v>
      </c>
      <c r="B109" s="565">
        <f t="shared" si="597"/>
        <v>22</v>
      </c>
      <c r="C109" s="558">
        <f t="shared" si="598"/>
        <v>0.1</v>
      </c>
      <c r="D109" s="558">
        <f t="shared" si="599"/>
        <v>0.09</v>
      </c>
      <c r="E109" s="715">
        <f t="shared" si="600"/>
        <v>0</v>
      </c>
      <c r="F109" s="701">
        <f t="shared" si="601"/>
        <v>1</v>
      </c>
      <c r="G109" s="700" t="str">
        <f t="shared" si="602"/>
        <v>Lista</v>
      </c>
      <c r="H109" s="700">
        <f t="shared" si="603"/>
        <v>0.09</v>
      </c>
      <c r="I109" s="700">
        <f t="shared" si="604"/>
        <v>0</v>
      </c>
      <c r="J109" s="547">
        <f t="shared" si="605"/>
        <v>71</v>
      </c>
      <c r="K109" s="699" t="str">
        <f t="shared" si="606"/>
        <v>Lista</v>
      </c>
      <c r="L109" s="702">
        <f t="shared" si="607"/>
        <v>0.05</v>
      </c>
      <c r="M109" s="139" t="s">
        <v>614</v>
      </c>
      <c r="N109" s="423">
        <f t="shared" si="637"/>
        <v>0</v>
      </c>
      <c r="O109" s="326">
        <v>1800000</v>
      </c>
      <c r="P109" s="326" t="e">
        <f t="shared" si="535"/>
        <v>#VALUE!</v>
      </c>
      <c r="Q109" s="326" t="str">
        <f t="shared" si="536"/>
        <v/>
      </c>
      <c r="R109" s="716">
        <f t="shared" si="537"/>
        <v>0</v>
      </c>
      <c r="S109" s="326">
        <f t="shared" si="638"/>
        <v>-1800000</v>
      </c>
      <c r="T109" s="137">
        <f t="shared" si="639"/>
        <v>0</v>
      </c>
      <c r="U109" s="326">
        <f t="shared" si="640"/>
        <v>78639.259999999995</v>
      </c>
      <c r="V109" s="332">
        <v>1800000</v>
      </c>
      <c r="W109" s="140" t="e">
        <f t="shared" si="538"/>
        <v>#VALUE!</v>
      </c>
      <c r="X109" s="326" t="str">
        <f t="shared" si="539"/>
        <v/>
      </c>
      <c r="Y109" s="717">
        <f t="shared" si="540"/>
        <v>0</v>
      </c>
      <c r="Z109" s="123">
        <f t="shared" si="641"/>
        <v>-1800000</v>
      </c>
      <c r="AA109" s="137">
        <f t="shared" si="642"/>
        <v>0</v>
      </c>
      <c r="AB109" s="326">
        <f t="shared" si="643"/>
        <v>0</v>
      </c>
      <c r="AC109" s="326">
        <v>1800000</v>
      </c>
      <c r="AD109" s="326" t="e">
        <f t="shared" si="541"/>
        <v>#VALUE!</v>
      </c>
      <c r="AE109" s="326" t="str">
        <f t="shared" si="542"/>
        <v/>
      </c>
      <c r="AF109" s="716">
        <f t="shared" si="543"/>
        <v>0</v>
      </c>
      <c r="AG109" s="326">
        <f t="shared" si="559"/>
        <v>-1800000</v>
      </c>
      <c r="AH109" s="137">
        <f t="shared" si="560"/>
        <v>0</v>
      </c>
      <c r="AI109" s="332">
        <f t="shared" si="561"/>
        <v>5400000</v>
      </c>
      <c r="AJ109" s="140">
        <f t="shared" si="608"/>
        <v>350114.62</v>
      </c>
      <c r="AK109" s="326">
        <f t="shared" si="32"/>
        <v>0</v>
      </c>
      <c r="AL109" s="326">
        <f t="shared" ref="AL109:AM109" si="683">SUM(AE109,X109,Q109)</f>
        <v>0</v>
      </c>
      <c r="AM109" s="326">
        <f t="shared" si="683"/>
        <v>0</v>
      </c>
      <c r="AN109" s="326">
        <f t="shared" si="70"/>
        <v>-5400000</v>
      </c>
      <c r="AO109" s="413">
        <f t="shared" si="79"/>
        <v>0</v>
      </c>
      <c r="AP109" s="423">
        <f t="shared" si="645"/>
        <v>0</v>
      </c>
      <c r="AQ109" s="326" t="e">
        <f t="shared" si="36"/>
        <v>#VALUE!</v>
      </c>
      <c r="AR109" s="325" t="str">
        <f t="shared" si="610"/>
        <v/>
      </c>
      <c r="AS109" s="333">
        <f t="shared" si="611"/>
        <v>0</v>
      </c>
      <c r="AT109" s="434">
        <f t="shared" si="646"/>
        <v>193536.57</v>
      </c>
      <c r="AU109" s="140" t="e">
        <f t="shared" si="40"/>
        <v>#VALUE!</v>
      </c>
      <c r="AV109" s="326" t="str">
        <f t="shared" si="612"/>
        <v/>
      </c>
      <c r="AW109" s="333">
        <f t="shared" si="613"/>
        <v>0</v>
      </c>
      <c r="AX109" s="125">
        <f t="shared" si="647"/>
        <v>36904.239999999998</v>
      </c>
      <c r="AY109" s="140" t="e">
        <f t="shared" si="44"/>
        <v>#VALUE!</v>
      </c>
      <c r="AZ109" s="326" t="str">
        <f t="shared" si="614"/>
        <v/>
      </c>
      <c r="BA109" s="332">
        <f t="shared" si="615"/>
        <v>20479.32</v>
      </c>
      <c r="BB109" s="122" t="e">
        <f t="shared" ref="BB109:BD109" si="684">AY109+AU109+AQ109</f>
        <v>#VALUE!</v>
      </c>
      <c r="BC109" s="326" t="e">
        <f t="shared" si="684"/>
        <v>#VALUE!</v>
      </c>
      <c r="BD109" s="332">
        <f t="shared" si="684"/>
        <v>20479.32</v>
      </c>
      <c r="BE109" s="122" t="e">
        <f t="shared" si="48"/>
        <v>#VALUE!</v>
      </c>
      <c r="BF109" s="326" t="e">
        <f t="shared" ref="BF109:BG109" si="685">AL109+BC109</f>
        <v>#VALUE!</v>
      </c>
      <c r="BG109" s="435">
        <f t="shared" si="685"/>
        <v>20479.32</v>
      </c>
      <c r="BH109" s="125">
        <f t="shared" si="618"/>
        <v>587588.82999999996</v>
      </c>
      <c r="BI109" s="140" t="e">
        <f t="shared" si="51"/>
        <v>#VALUE!</v>
      </c>
      <c r="BJ109" s="123" t="str">
        <f t="shared" si="619"/>
        <v/>
      </c>
      <c r="BK109" s="125">
        <f t="shared" si="620"/>
        <v>95911.93</v>
      </c>
      <c r="BL109" s="123">
        <f t="shared" si="621"/>
        <v>276624.78999999998</v>
      </c>
      <c r="BM109" s="140" t="e">
        <f t="shared" si="55"/>
        <v>#VALUE!</v>
      </c>
      <c r="BN109" s="326" t="str">
        <f t="shared" si="622"/>
        <v/>
      </c>
      <c r="BO109" s="332">
        <f t="shared" si="623"/>
        <v>55114.64</v>
      </c>
      <c r="BP109" s="141">
        <f t="shared" si="624"/>
        <v>0</v>
      </c>
      <c r="BQ109" s="140" t="e">
        <f t="shared" si="59"/>
        <v>#VALUE!</v>
      </c>
      <c r="BR109" s="326" t="str">
        <f t="shared" si="625"/>
        <v/>
      </c>
      <c r="BS109" s="333">
        <f t="shared" si="626"/>
        <v>0</v>
      </c>
      <c r="BT109" s="113" t="e">
        <f t="shared" ref="BT109:BV109" si="686">SUM(BQ109,BM109,BI109)</f>
        <v>#VALUE!</v>
      </c>
      <c r="BU109" s="116">
        <f t="shared" si="686"/>
        <v>0</v>
      </c>
      <c r="BV109" s="117">
        <f t="shared" si="686"/>
        <v>151026.57</v>
      </c>
      <c r="BW109" s="141">
        <f t="shared" si="628"/>
        <v>278955.65999999997</v>
      </c>
      <c r="BX109" s="113" t="e">
        <f t="shared" si="64"/>
        <v>#VALUE!</v>
      </c>
      <c r="BY109" s="114" t="str">
        <f t="shared" si="629"/>
        <v/>
      </c>
      <c r="BZ109" s="115">
        <f t="shared" si="630"/>
        <v>175539.12</v>
      </c>
      <c r="CA109" s="123">
        <f t="shared" si="631"/>
        <v>71158.960000000006</v>
      </c>
      <c r="CB109" s="333">
        <f t="shared" si="632"/>
        <v>0</v>
      </c>
      <c r="CY109" s="294"/>
      <c r="DF109" s="296"/>
    </row>
    <row r="110" spans="1:110" ht="13">
      <c r="A110" s="420">
        <f t="shared" si="596"/>
        <v>112013376</v>
      </c>
      <c r="B110" s="565">
        <f t="shared" si="597"/>
        <v>22</v>
      </c>
      <c r="C110" s="558">
        <f t="shared" si="598"/>
        <v>0.1</v>
      </c>
      <c r="D110" s="558">
        <f t="shared" si="599"/>
        <v>0.09</v>
      </c>
      <c r="E110" s="715">
        <f t="shared" si="600"/>
        <v>0</v>
      </c>
      <c r="F110" s="701">
        <f t="shared" si="601"/>
        <v>1</v>
      </c>
      <c r="G110" s="700" t="str">
        <f t="shared" si="602"/>
        <v>Lista</v>
      </c>
      <c r="H110" s="700">
        <f t="shared" si="603"/>
        <v>0.09</v>
      </c>
      <c r="I110" s="700">
        <f t="shared" si="604"/>
        <v>0</v>
      </c>
      <c r="J110" s="547">
        <f t="shared" si="605"/>
        <v>71</v>
      </c>
      <c r="K110" s="699" t="str">
        <f t="shared" si="606"/>
        <v>Lista</v>
      </c>
      <c r="L110" s="702">
        <f t="shared" si="607"/>
        <v>0.05</v>
      </c>
      <c r="M110" s="139" t="s">
        <v>615</v>
      </c>
      <c r="N110" s="423">
        <f t="shared" si="637"/>
        <v>151224.63</v>
      </c>
      <c r="O110" s="326">
        <v>1800000</v>
      </c>
      <c r="P110" s="326" t="e">
        <f t="shared" si="535"/>
        <v>#VALUE!</v>
      </c>
      <c r="Q110" s="326" t="str">
        <f t="shared" si="536"/>
        <v/>
      </c>
      <c r="R110" s="716">
        <f t="shared" si="537"/>
        <v>80271</v>
      </c>
      <c r="S110" s="326">
        <f t="shared" si="638"/>
        <v>-1719729</v>
      </c>
      <c r="T110" s="137">
        <f t="shared" si="639"/>
        <v>4.4595000000000003E-2</v>
      </c>
      <c r="U110" s="326">
        <f t="shared" si="640"/>
        <v>0</v>
      </c>
      <c r="V110" s="332">
        <v>1800000</v>
      </c>
      <c r="W110" s="140" t="e">
        <f t="shared" si="538"/>
        <v>#VALUE!</v>
      </c>
      <c r="X110" s="326" t="str">
        <f t="shared" si="539"/>
        <v/>
      </c>
      <c r="Y110" s="717">
        <f t="shared" si="540"/>
        <v>66478.820000000007</v>
      </c>
      <c r="Z110" s="123">
        <f t="shared" si="641"/>
        <v>-1733521.18</v>
      </c>
      <c r="AA110" s="137">
        <f t="shared" si="642"/>
        <v>3.6932677777777784E-2</v>
      </c>
      <c r="AB110" s="326">
        <f t="shared" si="643"/>
        <v>0</v>
      </c>
      <c r="AC110" s="326">
        <v>1800000</v>
      </c>
      <c r="AD110" s="326" t="e">
        <f t="shared" si="541"/>
        <v>#VALUE!</v>
      </c>
      <c r="AE110" s="326" t="str">
        <f t="shared" si="542"/>
        <v/>
      </c>
      <c r="AF110" s="716">
        <f t="shared" si="543"/>
        <v>340522.44</v>
      </c>
      <c r="AG110" s="326">
        <f t="shared" si="559"/>
        <v>-1459477.56</v>
      </c>
      <c r="AH110" s="137">
        <f t="shared" si="560"/>
        <v>0.18917913333333333</v>
      </c>
      <c r="AI110" s="332">
        <f t="shared" si="561"/>
        <v>5400000</v>
      </c>
      <c r="AJ110" s="140" t="str">
        <f t="shared" si="608"/>
        <v>0</v>
      </c>
      <c r="AK110" s="326">
        <f t="shared" si="32"/>
        <v>487272.26</v>
      </c>
      <c r="AL110" s="326">
        <f t="shared" ref="AL110:AM110" si="687">SUM(AE110,X110,Q110)</f>
        <v>0</v>
      </c>
      <c r="AM110" s="326">
        <f t="shared" si="687"/>
        <v>487272.26</v>
      </c>
      <c r="AN110" s="326">
        <f t="shared" si="70"/>
        <v>-4912727.74</v>
      </c>
      <c r="AO110" s="413" t="str">
        <f t="shared" si="79"/>
        <v/>
      </c>
      <c r="AP110" s="423">
        <f t="shared" si="645"/>
        <v>0</v>
      </c>
      <c r="AQ110" s="326" t="e">
        <f t="shared" si="36"/>
        <v>#VALUE!</v>
      </c>
      <c r="AR110" s="325" t="str">
        <f t="shared" si="610"/>
        <v/>
      </c>
      <c r="AS110" s="333">
        <f t="shared" si="611"/>
        <v>259509.47</v>
      </c>
      <c r="AT110" s="434">
        <f t="shared" si="646"/>
        <v>0</v>
      </c>
      <c r="AU110" s="140" t="e">
        <f t="shared" si="40"/>
        <v>#VALUE!</v>
      </c>
      <c r="AV110" s="326" t="str">
        <f t="shared" si="612"/>
        <v/>
      </c>
      <c r="AW110" s="333">
        <f t="shared" si="613"/>
        <v>73472.039999999994</v>
      </c>
      <c r="AX110" s="125">
        <f t="shared" si="647"/>
        <v>284184.5</v>
      </c>
      <c r="AY110" s="140" t="e">
        <f t="shared" si="44"/>
        <v>#VALUE!</v>
      </c>
      <c r="AZ110" s="326" t="str">
        <f t="shared" si="614"/>
        <v/>
      </c>
      <c r="BA110" s="332">
        <f t="shared" si="615"/>
        <v>0</v>
      </c>
      <c r="BB110" s="122" t="e">
        <f t="shared" ref="BB110:BD110" si="688">AY110+AU110+AQ110</f>
        <v>#VALUE!</v>
      </c>
      <c r="BC110" s="326" t="e">
        <f t="shared" si="688"/>
        <v>#VALUE!</v>
      </c>
      <c r="BD110" s="332">
        <f t="shared" si="688"/>
        <v>332981.51</v>
      </c>
      <c r="BE110" s="122" t="e">
        <f t="shared" si="48"/>
        <v>#VALUE!</v>
      </c>
      <c r="BF110" s="326" t="e">
        <f t="shared" ref="BF110:BG110" si="689">AL110+BC110</f>
        <v>#VALUE!</v>
      </c>
      <c r="BG110" s="435">
        <f t="shared" si="689"/>
        <v>820253.77</v>
      </c>
      <c r="BH110" s="125">
        <f t="shared" si="618"/>
        <v>332274.03999999998</v>
      </c>
      <c r="BI110" s="140" t="e">
        <f t="shared" si="51"/>
        <v>#VALUE!</v>
      </c>
      <c r="BJ110" s="123" t="str">
        <f t="shared" si="619"/>
        <v/>
      </c>
      <c r="BK110" s="125">
        <f t="shared" si="620"/>
        <v>0</v>
      </c>
      <c r="BL110" s="123">
        <f t="shared" si="621"/>
        <v>190449.68</v>
      </c>
      <c r="BM110" s="140" t="e">
        <f t="shared" si="55"/>
        <v>#VALUE!</v>
      </c>
      <c r="BN110" s="326" t="str">
        <f t="shared" si="622"/>
        <v/>
      </c>
      <c r="BO110" s="332">
        <f t="shared" si="623"/>
        <v>0</v>
      </c>
      <c r="BP110" s="141">
        <f t="shared" si="624"/>
        <v>453239.26</v>
      </c>
      <c r="BQ110" s="140" t="e">
        <f t="shared" si="59"/>
        <v>#VALUE!</v>
      </c>
      <c r="BR110" s="326" t="str">
        <f t="shared" si="625"/>
        <v/>
      </c>
      <c r="BS110" s="333">
        <f t="shared" si="626"/>
        <v>0</v>
      </c>
      <c r="BT110" s="113" t="e">
        <f t="shared" ref="BT110:BV110" si="690">SUM(BQ110,BM110,BI110)</f>
        <v>#VALUE!</v>
      </c>
      <c r="BU110" s="116">
        <f t="shared" si="690"/>
        <v>0</v>
      </c>
      <c r="BV110" s="117">
        <f t="shared" si="690"/>
        <v>0</v>
      </c>
      <c r="BW110" s="141">
        <f t="shared" si="628"/>
        <v>0</v>
      </c>
      <c r="BX110" s="113" t="e">
        <f t="shared" si="64"/>
        <v>#VALUE!</v>
      </c>
      <c r="BY110" s="114" t="str">
        <f t="shared" si="629"/>
        <v/>
      </c>
      <c r="BZ110" s="115">
        <f t="shared" si="630"/>
        <v>0</v>
      </c>
      <c r="CA110" s="123">
        <f t="shared" si="631"/>
        <v>0</v>
      </c>
      <c r="CB110" s="333">
        <f t="shared" si="632"/>
        <v>0</v>
      </c>
      <c r="CY110" s="294"/>
      <c r="DF110" s="296"/>
    </row>
    <row r="111" spans="1:110" ht="13">
      <c r="A111" s="420">
        <f t="shared" si="596"/>
        <v>112014263</v>
      </c>
      <c r="B111" s="565">
        <f t="shared" si="597"/>
        <v>22</v>
      </c>
      <c r="C111" s="558">
        <f t="shared" si="598"/>
        <v>0.1</v>
      </c>
      <c r="D111" s="558">
        <f t="shared" si="599"/>
        <v>0.09</v>
      </c>
      <c r="E111" s="715">
        <f t="shared" si="600"/>
        <v>0</v>
      </c>
      <c r="F111" s="701">
        <f t="shared" si="601"/>
        <v>1</v>
      </c>
      <c r="G111" s="700" t="str">
        <f t="shared" si="602"/>
        <v>Lista</v>
      </c>
      <c r="H111" s="700">
        <f t="shared" si="603"/>
        <v>0.09</v>
      </c>
      <c r="I111" s="700">
        <f t="shared" si="604"/>
        <v>0</v>
      </c>
      <c r="J111" s="547">
        <f t="shared" si="605"/>
        <v>71</v>
      </c>
      <c r="K111" s="699" t="str">
        <f t="shared" si="606"/>
        <v>Lista</v>
      </c>
      <c r="L111" s="702">
        <f t="shared" si="607"/>
        <v>0.05</v>
      </c>
      <c r="M111" s="736" t="s">
        <v>616</v>
      </c>
      <c r="N111" s="423">
        <f t="shared" si="637"/>
        <v>0</v>
      </c>
      <c r="O111" s="326">
        <v>1800000</v>
      </c>
      <c r="P111" s="326" t="e">
        <f t="shared" si="535"/>
        <v>#VALUE!</v>
      </c>
      <c r="Q111" s="326" t="str">
        <f t="shared" si="536"/>
        <v/>
      </c>
      <c r="R111" s="716">
        <f t="shared" si="537"/>
        <v>0</v>
      </c>
      <c r="S111" s="326">
        <f t="shared" si="638"/>
        <v>-1800000</v>
      </c>
      <c r="T111" s="137">
        <f t="shared" si="639"/>
        <v>0</v>
      </c>
      <c r="U111" s="326">
        <f t="shared" si="640"/>
        <v>152577.60000000001</v>
      </c>
      <c r="V111" s="332">
        <v>1800000</v>
      </c>
      <c r="W111" s="140" t="e">
        <f t="shared" si="538"/>
        <v>#VALUE!</v>
      </c>
      <c r="X111" s="326" t="str">
        <f t="shared" si="539"/>
        <v/>
      </c>
      <c r="Y111" s="717">
        <f t="shared" si="540"/>
        <v>0</v>
      </c>
      <c r="Z111" s="123">
        <f t="shared" si="641"/>
        <v>-1800000</v>
      </c>
      <c r="AA111" s="137">
        <f t="shared" si="642"/>
        <v>0</v>
      </c>
      <c r="AB111" s="326">
        <f t="shared" si="643"/>
        <v>0</v>
      </c>
      <c r="AC111" s="326">
        <v>1800000</v>
      </c>
      <c r="AD111" s="326" t="e">
        <f t="shared" si="541"/>
        <v>#VALUE!</v>
      </c>
      <c r="AE111" s="326" t="str">
        <f t="shared" si="542"/>
        <v/>
      </c>
      <c r="AF111" s="716">
        <f t="shared" si="543"/>
        <v>0</v>
      </c>
      <c r="AG111" s="326">
        <f t="shared" si="559"/>
        <v>-1800000</v>
      </c>
      <c r="AH111" s="137">
        <f t="shared" si="560"/>
        <v>0</v>
      </c>
      <c r="AI111" s="332">
        <f t="shared" si="561"/>
        <v>5400000</v>
      </c>
      <c r="AJ111" s="140">
        <f t="shared" si="608"/>
        <v>368444.2</v>
      </c>
      <c r="AK111" s="326">
        <f t="shared" si="32"/>
        <v>0</v>
      </c>
      <c r="AL111" s="326">
        <f t="shared" ref="AL111:AM111" si="691">SUM(AE111,X111,Q111)</f>
        <v>0</v>
      </c>
      <c r="AM111" s="326">
        <f t="shared" si="691"/>
        <v>0</v>
      </c>
      <c r="AN111" s="326">
        <f t="shared" si="70"/>
        <v>-5400000</v>
      </c>
      <c r="AO111" s="413">
        <f t="shared" si="79"/>
        <v>0</v>
      </c>
      <c r="AP111" s="423">
        <f t="shared" si="645"/>
        <v>27702</v>
      </c>
      <c r="AQ111" s="326" t="e">
        <f t="shared" si="36"/>
        <v>#VALUE!</v>
      </c>
      <c r="AR111" s="325" t="str">
        <f t="shared" si="610"/>
        <v/>
      </c>
      <c r="AS111" s="333">
        <f t="shared" si="611"/>
        <v>0</v>
      </c>
      <c r="AT111" s="434">
        <f t="shared" si="646"/>
        <v>0</v>
      </c>
      <c r="AU111" s="140" t="e">
        <f t="shared" si="40"/>
        <v>#VALUE!</v>
      </c>
      <c r="AV111" s="326" t="str">
        <f t="shared" si="612"/>
        <v/>
      </c>
      <c r="AW111" s="333">
        <f t="shared" si="613"/>
        <v>137763.9</v>
      </c>
      <c r="AX111" s="125">
        <f t="shared" si="647"/>
        <v>194240.57</v>
      </c>
      <c r="AY111" s="140" t="e">
        <f t="shared" si="44"/>
        <v>#VALUE!</v>
      </c>
      <c r="AZ111" s="326" t="str">
        <f t="shared" si="614"/>
        <v/>
      </c>
      <c r="BA111" s="332">
        <f t="shared" si="615"/>
        <v>0</v>
      </c>
      <c r="BB111" s="122" t="e">
        <f t="shared" ref="BB111:BD111" si="692">AY111+AU111+AQ111</f>
        <v>#VALUE!</v>
      </c>
      <c r="BC111" s="326" t="e">
        <f t="shared" si="692"/>
        <v>#VALUE!</v>
      </c>
      <c r="BD111" s="332">
        <f t="shared" si="692"/>
        <v>137763.9</v>
      </c>
      <c r="BE111" s="122" t="e">
        <f t="shared" si="48"/>
        <v>#VALUE!</v>
      </c>
      <c r="BF111" s="326" t="e">
        <f t="shared" ref="BF111:BG111" si="693">AL111+BC111</f>
        <v>#VALUE!</v>
      </c>
      <c r="BG111" s="435">
        <f t="shared" si="693"/>
        <v>137763.9</v>
      </c>
      <c r="BH111" s="125">
        <f t="shared" si="618"/>
        <v>0</v>
      </c>
      <c r="BI111" s="140" t="e">
        <f t="shared" si="51"/>
        <v>#VALUE!</v>
      </c>
      <c r="BJ111" s="123" t="str">
        <f t="shared" si="619"/>
        <v/>
      </c>
      <c r="BK111" s="125">
        <f t="shared" si="620"/>
        <v>0</v>
      </c>
      <c r="BL111" s="123">
        <f t="shared" si="621"/>
        <v>0</v>
      </c>
      <c r="BM111" s="140" t="e">
        <f t="shared" si="55"/>
        <v>#VALUE!</v>
      </c>
      <c r="BN111" s="326" t="str">
        <f t="shared" si="622"/>
        <v/>
      </c>
      <c r="BO111" s="332">
        <f t="shared" si="623"/>
        <v>0</v>
      </c>
      <c r="BP111" s="141">
        <f t="shared" si="624"/>
        <v>150504.59</v>
      </c>
      <c r="BQ111" s="140" t="e">
        <f t="shared" si="59"/>
        <v>#VALUE!</v>
      </c>
      <c r="BR111" s="326" t="str">
        <f t="shared" si="625"/>
        <v/>
      </c>
      <c r="BS111" s="333">
        <f t="shared" si="626"/>
        <v>0</v>
      </c>
      <c r="BT111" s="113" t="e">
        <f t="shared" ref="BT111:BV111" si="694">SUM(BQ111,BM111,BI111)</f>
        <v>#VALUE!</v>
      </c>
      <c r="BU111" s="116">
        <f t="shared" si="694"/>
        <v>0</v>
      </c>
      <c r="BV111" s="117">
        <f t="shared" si="694"/>
        <v>0</v>
      </c>
      <c r="BW111" s="141">
        <f t="shared" si="628"/>
        <v>66519</v>
      </c>
      <c r="BX111" s="113" t="e">
        <f t="shared" si="64"/>
        <v>#VALUE!</v>
      </c>
      <c r="BY111" s="114" t="str">
        <f t="shared" si="629"/>
        <v/>
      </c>
      <c r="BZ111" s="115">
        <f t="shared" si="630"/>
        <v>234507.74</v>
      </c>
      <c r="CA111" s="123">
        <f t="shared" si="631"/>
        <v>168111.31</v>
      </c>
      <c r="CB111" s="333">
        <f t="shared" si="632"/>
        <v>133813.89000000001</v>
      </c>
      <c r="CY111" s="294"/>
      <c r="DF111" s="296"/>
    </row>
    <row r="112" spans="1:110" ht="13">
      <c r="A112" s="420">
        <f t="shared" si="596"/>
        <v>112014133</v>
      </c>
      <c r="B112" s="565">
        <f t="shared" si="597"/>
        <v>22</v>
      </c>
      <c r="C112" s="558">
        <f t="shared" si="598"/>
        <v>0.1</v>
      </c>
      <c r="D112" s="558">
        <f t="shared" si="599"/>
        <v>0.09</v>
      </c>
      <c r="E112" s="715">
        <f t="shared" si="600"/>
        <v>0</v>
      </c>
      <c r="F112" s="701">
        <f t="shared" si="601"/>
        <v>1</v>
      </c>
      <c r="G112" s="700" t="str">
        <f t="shared" si="602"/>
        <v>Lista</v>
      </c>
      <c r="H112" s="700">
        <f t="shared" si="603"/>
        <v>0.09</v>
      </c>
      <c r="I112" s="700">
        <f t="shared" si="604"/>
        <v>0</v>
      </c>
      <c r="J112" s="547">
        <f t="shared" si="605"/>
        <v>71</v>
      </c>
      <c r="K112" s="699" t="str">
        <f t="shared" si="606"/>
        <v>Lista</v>
      </c>
      <c r="L112" s="702">
        <f t="shared" si="607"/>
        <v>0.05</v>
      </c>
      <c r="M112" s="736" t="s">
        <v>617</v>
      </c>
      <c r="N112" s="423">
        <f t="shared" si="637"/>
        <v>0</v>
      </c>
      <c r="O112" s="326">
        <v>1800000</v>
      </c>
      <c r="P112" s="326" t="e">
        <f t="shared" si="535"/>
        <v>#VALUE!</v>
      </c>
      <c r="Q112" s="326" t="str">
        <f t="shared" si="536"/>
        <v/>
      </c>
      <c r="R112" s="716" t="str">
        <f t="shared" si="537"/>
        <v>0</v>
      </c>
      <c r="S112" s="326">
        <f t="shared" si="638"/>
        <v>-1800000</v>
      </c>
      <c r="T112" s="137">
        <f t="shared" si="639"/>
        <v>0</v>
      </c>
      <c r="U112" s="326">
        <f t="shared" si="640"/>
        <v>83260.2</v>
      </c>
      <c r="V112" s="332">
        <v>1800000</v>
      </c>
      <c r="W112" s="140" t="e">
        <f t="shared" si="538"/>
        <v>#VALUE!</v>
      </c>
      <c r="X112" s="326" t="str">
        <f t="shared" si="539"/>
        <v/>
      </c>
      <c r="Y112" s="717" t="str">
        <f t="shared" si="540"/>
        <v>0</v>
      </c>
      <c r="Z112" s="123">
        <f t="shared" si="641"/>
        <v>-1800000</v>
      </c>
      <c r="AA112" s="137">
        <f t="shared" si="642"/>
        <v>0</v>
      </c>
      <c r="AB112" s="326">
        <f t="shared" si="643"/>
        <v>83260.2</v>
      </c>
      <c r="AC112" s="326">
        <v>1800000</v>
      </c>
      <c r="AD112" s="326" t="e">
        <f t="shared" si="541"/>
        <v>#VALUE!</v>
      </c>
      <c r="AE112" s="326" t="str">
        <f t="shared" si="542"/>
        <v/>
      </c>
      <c r="AF112" s="716" t="str">
        <f t="shared" si="543"/>
        <v>0</v>
      </c>
      <c r="AG112" s="326">
        <f t="shared" si="559"/>
        <v>-1800000</v>
      </c>
      <c r="AH112" s="137">
        <f t="shared" si="560"/>
        <v>0</v>
      </c>
      <c r="AI112" s="332">
        <f t="shared" si="561"/>
        <v>5400000</v>
      </c>
      <c r="AJ112" s="140">
        <f t="shared" si="608"/>
        <v>169672.13</v>
      </c>
      <c r="AK112" s="326">
        <f t="shared" si="32"/>
        <v>0</v>
      </c>
      <c r="AL112" s="326">
        <f t="shared" ref="AL112:AM112" si="695">SUM(AE112,X112,Q112)</f>
        <v>0</v>
      </c>
      <c r="AM112" s="326">
        <f t="shared" si="695"/>
        <v>0</v>
      </c>
      <c r="AN112" s="326">
        <f t="shared" si="70"/>
        <v>-5400000</v>
      </c>
      <c r="AO112" s="413">
        <f t="shared" si="79"/>
        <v>0</v>
      </c>
      <c r="AP112" s="423">
        <f t="shared" si="645"/>
        <v>0</v>
      </c>
      <c r="AQ112" s="326" t="e">
        <f t="shared" si="36"/>
        <v>#VALUE!</v>
      </c>
      <c r="AR112" s="325" t="str">
        <f t="shared" si="610"/>
        <v/>
      </c>
      <c r="AS112" s="333" t="str">
        <f t="shared" si="611"/>
        <v>0</v>
      </c>
      <c r="AT112" s="434">
        <f t="shared" si="646"/>
        <v>0</v>
      </c>
      <c r="AU112" s="140" t="e">
        <f t="shared" si="40"/>
        <v>#VALUE!</v>
      </c>
      <c r="AV112" s="326" t="str">
        <f t="shared" si="612"/>
        <v/>
      </c>
      <c r="AW112" s="333" t="str">
        <f t="shared" si="613"/>
        <v>0</v>
      </c>
      <c r="AX112" s="125">
        <f t="shared" si="647"/>
        <v>0</v>
      </c>
      <c r="AY112" s="140" t="e">
        <f t="shared" si="44"/>
        <v>#VALUE!</v>
      </c>
      <c r="AZ112" s="326" t="str">
        <f t="shared" si="614"/>
        <v/>
      </c>
      <c r="BA112" s="332" t="str">
        <f t="shared" si="615"/>
        <v>0</v>
      </c>
      <c r="BB112" s="122" t="e">
        <f t="shared" ref="BB112:BD112" si="696">AY112+AU112+AQ112</f>
        <v>#VALUE!</v>
      </c>
      <c r="BC112" s="326" t="e">
        <f t="shared" si="696"/>
        <v>#VALUE!</v>
      </c>
      <c r="BD112" s="332">
        <f t="shared" si="696"/>
        <v>0</v>
      </c>
      <c r="BE112" s="122" t="e">
        <f t="shared" si="48"/>
        <v>#VALUE!</v>
      </c>
      <c r="BF112" s="326" t="e">
        <f t="shared" ref="BF112:BG112" si="697">AL112+BC112</f>
        <v>#VALUE!</v>
      </c>
      <c r="BG112" s="435">
        <f t="shared" si="697"/>
        <v>0</v>
      </c>
      <c r="BH112" s="125">
        <f t="shared" si="618"/>
        <v>0</v>
      </c>
      <c r="BI112" s="140" t="e">
        <f t="shared" si="51"/>
        <v>#VALUE!</v>
      </c>
      <c r="BJ112" s="123" t="str">
        <f t="shared" si="619"/>
        <v/>
      </c>
      <c r="BK112" s="125" t="str">
        <f t="shared" si="620"/>
        <v>0</v>
      </c>
      <c r="BL112" s="123">
        <f t="shared" si="621"/>
        <v>111069</v>
      </c>
      <c r="BM112" s="140" t="e">
        <f t="shared" si="55"/>
        <v>#VALUE!</v>
      </c>
      <c r="BN112" s="326" t="str">
        <f t="shared" si="622"/>
        <v/>
      </c>
      <c r="BO112" s="332" t="str">
        <f t="shared" si="623"/>
        <v>0</v>
      </c>
      <c r="BP112" s="141">
        <f t="shared" si="624"/>
        <v>74178</v>
      </c>
      <c r="BQ112" s="140" t="e">
        <f t="shared" si="59"/>
        <v>#VALUE!</v>
      </c>
      <c r="BR112" s="326" t="str">
        <f t="shared" si="625"/>
        <v/>
      </c>
      <c r="BS112" s="333" t="str">
        <f t="shared" si="626"/>
        <v>0</v>
      </c>
      <c r="BT112" s="113" t="e">
        <f t="shared" ref="BT112:BV112" si="698">SUM(BQ112,BM112,BI112)</f>
        <v>#VALUE!</v>
      </c>
      <c r="BU112" s="116">
        <f t="shared" si="698"/>
        <v>0</v>
      </c>
      <c r="BV112" s="117">
        <f t="shared" si="698"/>
        <v>0</v>
      </c>
      <c r="BW112" s="141">
        <f t="shared" si="628"/>
        <v>169672.13</v>
      </c>
      <c r="BX112" s="113" t="e">
        <f t="shared" si="64"/>
        <v>#VALUE!</v>
      </c>
      <c r="BY112" s="114" t="str">
        <f t="shared" si="629"/>
        <v/>
      </c>
      <c r="BZ112" s="115" t="str">
        <f t="shared" si="630"/>
        <v>0</v>
      </c>
      <c r="CA112" s="123">
        <f t="shared" si="631"/>
        <v>0</v>
      </c>
      <c r="CB112" s="333">
        <f t="shared" si="632"/>
        <v>0</v>
      </c>
      <c r="CY112" s="294"/>
      <c r="DF112" s="296"/>
    </row>
    <row r="113" spans="1:110" ht="13">
      <c r="A113" s="420">
        <f t="shared" si="596"/>
        <v>112014227</v>
      </c>
      <c r="B113" s="565">
        <f t="shared" si="597"/>
        <v>22</v>
      </c>
      <c r="C113" s="558">
        <f t="shared" si="598"/>
        <v>0.1</v>
      </c>
      <c r="D113" s="558">
        <f t="shared" si="599"/>
        <v>0.09</v>
      </c>
      <c r="E113" s="715">
        <f t="shared" si="600"/>
        <v>0</v>
      </c>
      <c r="F113" s="701">
        <f t="shared" si="601"/>
        <v>1</v>
      </c>
      <c r="G113" s="700" t="str">
        <f t="shared" si="602"/>
        <v>Lista</v>
      </c>
      <c r="H113" s="700">
        <f t="shared" si="603"/>
        <v>0.09</v>
      </c>
      <c r="I113" s="700">
        <f t="shared" si="604"/>
        <v>0</v>
      </c>
      <c r="J113" s="547">
        <f t="shared" si="605"/>
        <v>71</v>
      </c>
      <c r="K113" s="699" t="str">
        <f t="shared" si="606"/>
        <v>Lista</v>
      </c>
      <c r="L113" s="702">
        <f t="shared" si="607"/>
        <v>0.05</v>
      </c>
      <c r="M113" s="139" t="s">
        <v>618</v>
      </c>
      <c r="N113" s="423">
        <f t="shared" si="637"/>
        <v>937535.38</v>
      </c>
      <c r="O113" s="326">
        <v>1800000</v>
      </c>
      <c r="P113" s="326" t="e">
        <f t="shared" si="535"/>
        <v>#VALUE!</v>
      </c>
      <c r="Q113" s="326" t="str">
        <f t="shared" si="536"/>
        <v/>
      </c>
      <c r="R113" s="716">
        <f t="shared" si="537"/>
        <v>727031.3</v>
      </c>
      <c r="S113" s="326">
        <f t="shared" si="638"/>
        <v>-1072968.7</v>
      </c>
      <c r="T113" s="137">
        <f t="shared" si="639"/>
        <v>0.40390627777777782</v>
      </c>
      <c r="U113" s="326">
        <f t="shared" si="640"/>
        <v>567740.87</v>
      </c>
      <c r="V113" s="332">
        <v>1800000</v>
      </c>
      <c r="W113" s="140" t="e">
        <f t="shared" si="538"/>
        <v>#VALUE!</v>
      </c>
      <c r="X113" s="326" t="str">
        <f t="shared" si="539"/>
        <v/>
      </c>
      <c r="Y113" s="717">
        <f t="shared" si="540"/>
        <v>744211.93</v>
      </c>
      <c r="Z113" s="123">
        <f t="shared" si="641"/>
        <v>-1055788.0699999998</v>
      </c>
      <c r="AA113" s="137">
        <f t="shared" si="642"/>
        <v>0.41345107222222227</v>
      </c>
      <c r="AB113" s="326">
        <f t="shared" si="643"/>
        <v>366516.03</v>
      </c>
      <c r="AC113" s="326">
        <v>1800000</v>
      </c>
      <c r="AD113" s="326" t="e">
        <f t="shared" si="541"/>
        <v>#VALUE!</v>
      </c>
      <c r="AE113" s="326" t="str">
        <f t="shared" si="542"/>
        <v/>
      </c>
      <c r="AF113" s="716">
        <f t="shared" si="543"/>
        <v>783950.17</v>
      </c>
      <c r="AG113" s="326">
        <f t="shared" si="559"/>
        <v>-1016049.83</v>
      </c>
      <c r="AH113" s="137">
        <f t="shared" si="560"/>
        <v>0.43552787222222222</v>
      </c>
      <c r="AI113" s="332">
        <f t="shared" si="561"/>
        <v>5400000</v>
      </c>
      <c r="AJ113" s="140">
        <f t="shared" si="608"/>
        <v>2288819.8199999998</v>
      </c>
      <c r="AK113" s="326">
        <f t="shared" si="32"/>
        <v>2255193.4000000004</v>
      </c>
      <c r="AL113" s="326">
        <f t="shared" ref="AL113:AM113" si="699">SUM(AE113,X113,Q113)</f>
        <v>0</v>
      </c>
      <c r="AM113" s="326">
        <f t="shared" si="699"/>
        <v>2255193.4000000004</v>
      </c>
      <c r="AN113" s="326">
        <f t="shared" si="70"/>
        <v>-3144806.5999999996</v>
      </c>
      <c r="AO113" s="413">
        <f t="shared" si="79"/>
        <v>0.98530840230140992</v>
      </c>
      <c r="AP113" s="423">
        <f t="shared" si="645"/>
        <v>373787.03</v>
      </c>
      <c r="AQ113" s="326" t="e">
        <f t="shared" si="36"/>
        <v>#VALUE!</v>
      </c>
      <c r="AR113" s="325" t="str">
        <f t="shared" si="610"/>
        <v/>
      </c>
      <c r="AS113" s="333">
        <f t="shared" si="611"/>
        <v>646443.68999999994</v>
      </c>
      <c r="AT113" s="434">
        <f t="shared" si="646"/>
        <v>190580.75</v>
      </c>
      <c r="AU113" s="140" t="e">
        <f t="shared" si="40"/>
        <v>#VALUE!</v>
      </c>
      <c r="AV113" s="326" t="str">
        <f t="shared" si="612"/>
        <v/>
      </c>
      <c r="AW113" s="333">
        <f t="shared" si="613"/>
        <v>282928.34999999998</v>
      </c>
      <c r="AX113" s="125">
        <f t="shared" si="647"/>
        <v>324483.75</v>
      </c>
      <c r="AY113" s="140" t="e">
        <f t="shared" si="44"/>
        <v>#VALUE!</v>
      </c>
      <c r="AZ113" s="326" t="str">
        <f t="shared" si="614"/>
        <v/>
      </c>
      <c r="BA113" s="332">
        <f t="shared" si="615"/>
        <v>458277.76</v>
      </c>
      <c r="BB113" s="122" t="e">
        <f t="shared" ref="BB113:BD113" si="700">AY113+AU113+AQ113</f>
        <v>#VALUE!</v>
      </c>
      <c r="BC113" s="326" t="e">
        <f t="shared" si="700"/>
        <v>#VALUE!</v>
      </c>
      <c r="BD113" s="332">
        <f t="shared" si="700"/>
        <v>1387649.7999999998</v>
      </c>
      <c r="BE113" s="122" t="e">
        <f t="shared" si="48"/>
        <v>#VALUE!</v>
      </c>
      <c r="BF113" s="326" t="e">
        <f t="shared" ref="BF113:BG113" si="701">AL113+BC113</f>
        <v>#VALUE!</v>
      </c>
      <c r="BG113" s="435">
        <f t="shared" si="701"/>
        <v>3642843.2</v>
      </c>
      <c r="BH113" s="125">
        <f t="shared" si="618"/>
        <v>143634.82999999999</v>
      </c>
      <c r="BI113" s="140" t="e">
        <f t="shared" si="51"/>
        <v>#VALUE!</v>
      </c>
      <c r="BJ113" s="123" t="str">
        <f t="shared" si="619"/>
        <v/>
      </c>
      <c r="BK113" s="125">
        <f t="shared" si="620"/>
        <v>1026100.34</v>
      </c>
      <c r="BL113" s="123">
        <f t="shared" si="621"/>
        <v>519498.76</v>
      </c>
      <c r="BM113" s="140" t="e">
        <f t="shared" si="55"/>
        <v>#VALUE!</v>
      </c>
      <c r="BN113" s="326" t="str">
        <f t="shared" si="622"/>
        <v/>
      </c>
      <c r="BO113" s="332">
        <f t="shared" si="623"/>
        <v>441648.54</v>
      </c>
      <c r="BP113" s="141">
        <f t="shared" si="624"/>
        <v>618251.02</v>
      </c>
      <c r="BQ113" s="140" t="e">
        <f t="shared" si="59"/>
        <v>#VALUE!</v>
      </c>
      <c r="BR113" s="326" t="str">
        <f t="shared" si="625"/>
        <v/>
      </c>
      <c r="BS113" s="333">
        <f t="shared" si="626"/>
        <v>517254.43</v>
      </c>
      <c r="BT113" s="113" t="e">
        <f t="shared" ref="BT113:BV113" si="702">SUM(BQ113,BM113,BI113)</f>
        <v>#VALUE!</v>
      </c>
      <c r="BU113" s="116">
        <f t="shared" si="702"/>
        <v>0</v>
      </c>
      <c r="BV113" s="117">
        <f t="shared" si="702"/>
        <v>1985003.31</v>
      </c>
      <c r="BW113" s="141">
        <f t="shared" si="628"/>
        <v>896430.98</v>
      </c>
      <c r="BX113" s="113" t="e">
        <f t="shared" si="64"/>
        <v>#VALUE!</v>
      </c>
      <c r="BY113" s="114" t="str">
        <f t="shared" si="629"/>
        <v/>
      </c>
      <c r="BZ113" s="115">
        <f t="shared" si="630"/>
        <v>1163129.92</v>
      </c>
      <c r="CA113" s="123">
        <f t="shared" si="631"/>
        <v>653003.89</v>
      </c>
      <c r="CB113" s="333">
        <f t="shared" si="632"/>
        <v>739384.95</v>
      </c>
      <c r="CY113" s="294"/>
      <c r="DF113" s="296"/>
    </row>
    <row r="114" spans="1:110" ht="13">
      <c r="A114" s="420">
        <f t="shared" si="596"/>
        <v>112013254</v>
      </c>
      <c r="B114" s="565">
        <f t="shared" si="597"/>
        <v>22</v>
      </c>
      <c r="C114" s="558">
        <f t="shared" si="598"/>
        <v>0.1</v>
      </c>
      <c r="D114" s="558">
        <f t="shared" si="599"/>
        <v>0.09</v>
      </c>
      <c r="E114" s="715">
        <f t="shared" si="600"/>
        <v>0</v>
      </c>
      <c r="F114" s="701">
        <f t="shared" si="601"/>
        <v>1</v>
      </c>
      <c r="G114" s="700" t="str">
        <f t="shared" si="602"/>
        <v>Lista</v>
      </c>
      <c r="H114" s="700">
        <f t="shared" si="603"/>
        <v>0.09</v>
      </c>
      <c r="I114" s="700">
        <f t="shared" si="604"/>
        <v>0</v>
      </c>
      <c r="J114" s="547">
        <f t="shared" si="605"/>
        <v>71</v>
      </c>
      <c r="K114" s="699" t="str">
        <f t="shared" si="606"/>
        <v>Lista</v>
      </c>
      <c r="L114" s="702">
        <f t="shared" si="607"/>
        <v>0.05</v>
      </c>
      <c r="M114" s="139" t="s">
        <v>619</v>
      </c>
      <c r="N114" s="423">
        <f t="shared" si="637"/>
        <v>266418.45</v>
      </c>
      <c r="O114" s="326">
        <v>1800000</v>
      </c>
      <c r="P114" s="326">
        <f t="shared" si="535"/>
        <v>490735.45999999996</v>
      </c>
      <c r="Q114" s="326">
        <f t="shared" si="536"/>
        <v>65853.77</v>
      </c>
      <c r="R114" s="716">
        <f t="shared" si="537"/>
        <v>556589.23</v>
      </c>
      <c r="S114" s="326">
        <f t="shared" si="638"/>
        <v>-1243410.77</v>
      </c>
      <c r="T114" s="137">
        <f t="shared" si="639"/>
        <v>0.30921623888888888</v>
      </c>
      <c r="U114" s="326">
        <f t="shared" si="640"/>
        <v>321401.94</v>
      </c>
      <c r="V114" s="332">
        <v>1800000</v>
      </c>
      <c r="W114" s="140">
        <f t="shared" si="538"/>
        <v>238395.51999999996</v>
      </c>
      <c r="X114" s="326">
        <f t="shared" si="539"/>
        <v>36405.58</v>
      </c>
      <c r="Y114" s="717">
        <f t="shared" si="540"/>
        <v>274801.09999999998</v>
      </c>
      <c r="Z114" s="123">
        <f t="shared" si="641"/>
        <v>-1525198.9</v>
      </c>
      <c r="AA114" s="137">
        <f t="shared" si="642"/>
        <v>0.15266727777777778</v>
      </c>
      <c r="AB114" s="326">
        <f t="shared" si="643"/>
        <v>405111.47</v>
      </c>
      <c r="AC114" s="326">
        <v>1800000</v>
      </c>
      <c r="AD114" s="326">
        <f t="shared" si="541"/>
        <v>212259.68</v>
      </c>
      <c r="AE114" s="326">
        <f t="shared" si="542"/>
        <v>77179.83</v>
      </c>
      <c r="AF114" s="716">
        <f t="shared" si="543"/>
        <v>289439.51</v>
      </c>
      <c r="AG114" s="326">
        <f t="shared" si="559"/>
        <v>-1510560.49</v>
      </c>
      <c r="AH114" s="137">
        <f t="shared" si="560"/>
        <v>0.16079972777777779</v>
      </c>
      <c r="AI114" s="332">
        <f t="shared" si="561"/>
        <v>5400000</v>
      </c>
      <c r="AJ114" s="140">
        <f t="shared" si="608"/>
        <v>1130672.6299999999</v>
      </c>
      <c r="AK114" s="326">
        <f t="shared" si="32"/>
        <v>941390.65999999992</v>
      </c>
      <c r="AL114" s="326">
        <f t="shared" ref="AL114:AM114" si="703">SUM(AE114,X114,Q114)</f>
        <v>179439.18</v>
      </c>
      <c r="AM114" s="326">
        <f t="shared" si="703"/>
        <v>1120829.8399999999</v>
      </c>
      <c r="AN114" s="326">
        <f t="shared" si="70"/>
        <v>-4279170.16</v>
      </c>
      <c r="AO114" s="413">
        <f t="shared" si="79"/>
        <v>0.99129474815358354</v>
      </c>
      <c r="AP114" s="423">
        <f t="shared" si="645"/>
        <v>266993.76</v>
      </c>
      <c r="AQ114" s="326">
        <f t="shared" si="36"/>
        <v>917657.57000000007</v>
      </c>
      <c r="AR114" s="325">
        <f t="shared" si="610"/>
        <v>70688.429999999993</v>
      </c>
      <c r="AS114" s="333">
        <f t="shared" si="611"/>
        <v>988346</v>
      </c>
      <c r="AT114" s="434">
        <f t="shared" si="646"/>
        <v>329488.81</v>
      </c>
      <c r="AU114" s="140">
        <f t="shared" si="40"/>
        <v>836160.78</v>
      </c>
      <c r="AV114" s="326">
        <f t="shared" si="612"/>
        <v>44536.09</v>
      </c>
      <c r="AW114" s="333">
        <f t="shared" si="613"/>
        <v>880696.87</v>
      </c>
      <c r="AX114" s="125">
        <f t="shared" si="647"/>
        <v>207582.43</v>
      </c>
      <c r="AY114" s="140">
        <f t="shared" si="44"/>
        <v>769578.24</v>
      </c>
      <c r="AZ114" s="326">
        <f t="shared" si="614"/>
        <v>40519.410000000003</v>
      </c>
      <c r="BA114" s="332">
        <f t="shared" si="615"/>
        <v>810097.65</v>
      </c>
      <c r="BB114" s="122">
        <f t="shared" ref="BB114:BD114" si="704">AY114+AU114+AQ114</f>
        <v>2523396.59</v>
      </c>
      <c r="BC114" s="326">
        <f t="shared" si="704"/>
        <v>155743.93</v>
      </c>
      <c r="BD114" s="332">
        <f t="shared" si="704"/>
        <v>2679140.52</v>
      </c>
      <c r="BE114" s="122">
        <f t="shared" si="48"/>
        <v>3464787.25</v>
      </c>
      <c r="BF114" s="326">
        <f t="shared" ref="BF114:BG114" si="705">AL114+BC114</f>
        <v>335183.11</v>
      </c>
      <c r="BG114" s="435">
        <f t="shared" si="705"/>
        <v>3799970.36</v>
      </c>
      <c r="BH114" s="125">
        <f t="shared" si="618"/>
        <v>207303.76</v>
      </c>
      <c r="BI114" s="140">
        <f t="shared" si="51"/>
        <v>809447.87</v>
      </c>
      <c r="BJ114" s="123">
        <f t="shared" si="619"/>
        <v>120329.09</v>
      </c>
      <c r="BK114" s="125">
        <f t="shared" si="620"/>
        <v>929776.96</v>
      </c>
      <c r="BL114" s="123">
        <f t="shared" si="621"/>
        <v>0</v>
      </c>
      <c r="BM114" s="140">
        <f t="shared" si="55"/>
        <v>0</v>
      </c>
      <c r="BN114" s="326">
        <f t="shared" si="622"/>
        <v>33703.449999999997</v>
      </c>
      <c r="BO114" s="332">
        <f t="shared" si="623"/>
        <v>33703.449999999997</v>
      </c>
      <c r="BP114" s="141">
        <f t="shared" si="624"/>
        <v>214531.77</v>
      </c>
      <c r="BQ114" s="140">
        <f t="shared" si="59"/>
        <v>382483.62</v>
      </c>
      <c r="BR114" s="326">
        <f t="shared" si="625"/>
        <v>87083.41</v>
      </c>
      <c r="BS114" s="333">
        <f t="shared" si="626"/>
        <v>469567.03</v>
      </c>
      <c r="BT114" s="113">
        <f t="shared" ref="BT114:BV114" si="706">SUM(BQ114,BM114,BI114)</f>
        <v>1191931.49</v>
      </c>
      <c r="BU114" s="116">
        <f t="shared" si="706"/>
        <v>241115.95</v>
      </c>
      <c r="BV114" s="117">
        <f t="shared" si="706"/>
        <v>1433047.44</v>
      </c>
      <c r="BW114" s="141">
        <f t="shared" si="628"/>
        <v>301317.3</v>
      </c>
      <c r="BX114" s="113">
        <f t="shared" si="64"/>
        <v>484589.57</v>
      </c>
      <c r="BY114" s="114">
        <f t="shared" si="629"/>
        <v>50262.93</v>
      </c>
      <c r="BZ114" s="115">
        <f t="shared" si="630"/>
        <v>534852.5</v>
      </c>
      <c r="CA114" s="123">
        <f t="shared" si="631"/>
        <v>355769.11</v>
      </c>
      <c r="CB114" s="333">
        <f t="shared" si="632"/>
        <v>473586.22</v>
      </c>
      <c r="CY114" s="294"/>
      <c r="DF114" s="296"/>
    </row>
    <row r="115" spans="1:110" ht="13">
      <c r="A115" s="420">
        <f t="shared" si="596"/>
        <v>112010441</v>
      </c>
      <c r="B115" s="565">
        <f t="shared" si="597"/>
        <v>22</v>
      </c>
      <c r="C115" s="558">
        <f t="shared" si="598"/>
        <v>0.1</v>
      </c>
      <c r="D115" s="558">
        <f t="shared" si="599"/>
        <v>0.09</v>
      </c>
      <c r="E115" s="715">
        <f t="shared" si="600"/>
        <v>0</v>
      </c>
      <c r="F115" s="701">
        <f t="shared" si="601"/>
        <v>1</v>
      </c>
      <c r="G115" s="700" t="str">
        <f t="shared" si="602"/>
        <v>Lista</v>
      </c>
      <c r="H115" s="700">
        <f t="shared" si="603"/>
        <v>0.09</v>
      </c>
      <c r="I115" s="700">
        <f t="shared" si="604"/>
        <v>0</v>
      </c>
      <c r="J115" s="547">
        <f t="shared" si="605"/>
        <v>71</v>
      </c>
      <c r="K115" s="699" t="str">
        <f t="shared" si="606"/>
        <v>Lista</v>
      </c>
      <c r="L115" s="702">
        <f t="shared" si="607"/>
        <v>0.05</v>
      </c>
      <c r="M115" s="255" t="s">
        <v>620</v>
      </c>
      <c r="N115" s="423"/>
      <c r="O115" s="326"/>
      <c r="P115" s="326" t="e">
        <f t="shared" si="535"/>
        <v>#VALUE!</v>
      </c>
      <c r="Q115" s="326" t="str">
        <f t="shared" si="536"/>
        <v/>
      </c>
      <c r="R115" s="716">
        <f t="shared" si="537"/>
        <v>0</v>
      </c>
      <c r="S115" s="326"/>
      <c r="T115" s="137"/>
      <c r="U115" s="326"/>
      <c r="V115" s="332"/>
      <c r="W115" s="140" t="e">
        <f t="shared" si="538"/>
        <v>#VALUE!</v>
      </c>
      <c r="X115" s="326" t="str">
        <f t="shared" si="539"/>
        <v/>
      </c>
      <c r="Y115" s="717">
        <f t="shared" si="540"/>
        <v>191010.3</v>
      </c>
      <c r="Z115" s="123"/>
      <c r="AA115" s="137"/>
      <c r="AB115" s="326"/>
      <c r="AC115" s="326">
        <f>(AB115*1.5955)*1.05</f>
        <v>0</v>
      </c>
      <c r="AD115" s="326" t="e">
        <f t="shared" si="541"/>
        <v>#VALUE!</v>
      </c>
      <c r="AE115" s="326" t="str">
        <f t="shared" si="542"/>
        <v/>
      </c>
      <c r="AF115" s="716">
        <f t="shared" si="543"/>
        <v>0</v>
      </c>
      <c r="AG115" s="326">
        <f t="shared" si="559"/>
        <v>0</v>
      </c>
      <c r="AH115" s="137" t="str">
        <f>IFERROR(AF115/AC115,"")</f>
        <v/>
      </c>
      <c r="AI115" s="332">
        <f t="shared" si="561"/>
        <v>0</v>
      </c>
      <c r="AJ115" s="140">
        <f t="shared" si="608"/>
        <v>1030627.65</v>
      </c>
      <c r="AK115" s="326">
        <f t="shared" si="32"/>
        <v>191010.3</v>
      </c>
      <c r="AL115" s="326">
        <f t="shared" ref="AL115:AM115" si="707">SUM(AE115,X115,Q115)</f>
        <v>0</v>
      </c>
      <c r="AM115" s="326">
        <f t="shared" si="707"/>
        <v>191010.3</v>
      </c>
      <c r="AN115" s="326">
        <f t="shared" si="70"/>
        <v>191010.3</v>
      </c>
      <c r="AO115" s="413">
        <f t="shared" si="79"/>
        <v>0.18533395644877176</v>
      </c>
      <c r="AP115" s="423"/>
      <c r="AQ115" s="326" t="e">
        <f t="shared" si="36"/>
        <v>#VALUE!</v>
      </c>
      <c r="AR115" s="326" t="str">
        <f t="shared" si="610"/>
        <v/>
      </c>
      <c r="AS115" s="333">
        <f t="shared" si="611"/>
        <v>122237.46</v>
      </c>
      <c r="AT115" s="434"/>
      <c r="AU115" s="140" t="e">
        <f t="shared" si="40"/>
        <v>#VALUE!</v>
      </c>
      <c r="AV115" s="326" t="str">
        <f t="shared" si="612"/>
        <v/>
      </c>
      <c r="AW115" s="333">
        <f t="shared" si="613"/>
        <v>48052.91</v>
      </c>
      <c r="AX115" s="125"/>
      <c r="AY115" s="140" t="e">
        <f t="shared" si="44"/>
        <v>#VALUE!</v>
      </c>
      <c r="AZ115" s="326" t="str">
        <f t="shared" si="614"/>
        <v/>
      </c>
      <c r="BA115" s="332">
        <f t="shared" si="615"/>
        <v>191802.23</v>
      </c>
      <c r="BB115" s="122" t="e">
        <f t="shared" ref="BB115:BD115" si="708">AY115+AU115+AQ115</f>
        <v>#VALUE!</v>
      </c>
      <c r="BC115" s="326" t="e">
        <f t="shared" si="708"/>
        <v>#VALUE!</v>
      </c>
      <c r="BD115" s="332">
        <f t="shared" si="708"/>
        <v>362092.60000000003</v>
      </c>
      <c r="BE115" s="122" t="e">
        <f t="shared" si="48"/>
        <v>#VALUE!</v>
      </c>
      <c r="BF115" s="326" t="e">
        <f t="shared" ref="BF115:BG115" si="709">AL115+BC115</f>
        <v>#VALUE!</v>
      </c>
      <c r="BG115" s="435">
        <f t="shared" si="709"/>
        <v>553102.9</v>
      </c>
      <c r="BH115" s="125">
        <f t="shared" si="618"/>
        <v>262279.18</v>
      </c>
      <c r="BI115" s="140" t="e">
        <f t="shared" si="51"/>
        <v>#VALUE!</v>
      </c>
      <c r="BJ115" s="123" t="str">
        <f t="shared" si="619"/>
        <v/>
      </c>
      <c r="BK115" s="125">
        <f t="shared" si="620"/>
        <v>388568.83</v>
      </c>
      <c r="BL115" s="123">
        <f t="shared" si="621"/>
        <v>139731.35999999999</v>
      </c>
      <c r="BM115" s="140" t="e">
        <f t="shared" si="55"/>
        <v>#VALUE!</v>
      </c>
      <c r="BN115" s="326" t="str">
        <f t="shared" si="622"/>
        <v/>
      </c>
      <c r="BO115" s="332">
        <f t="shared" si="623"/>
        <v>225377.33</v>
      </c>
      <c r="BP115" s="141">
        <f t="shared" si="624"/>
        <v>263643.90999999997</v>
      </c>
      <c r="BQ115" s="140" t="e">
        <f t="shared" si="59"/>
        <v>#VALUE!</v>
      </c>
      <c r="BR115" s="326" t="str">
        <f t="shared" si="625"/>
        <v/>
      </c>
      <c r="BS115" s="333">
        <f t="shared" si="626"/>
        <v>95338</v>
      </c>
      <c r="BT115" s="113" t="e">
        <f t="shared" ref="BT115:BV115" si="710">SUM(BQ115,BM115,BI115)</f>
        <v>#VALUE!</v>
      </c>
      <c r="BU115" s="116">
        <f t="shared" si="710"/>
        <v>0</v>
      </c>
      <c r="BV115" s="117">
        <f t="shared" si="710"/>
        <v>709284.15999999992</v>
      </c>
      <c r="BW115" s="141">
        <f t="shared" si="628"/>
        <v>429747.68</v>
      </c>
      <c r="BX115" s="113" t="e">
        <f t="shared" si="64"/>
        <v>#VALUE!</v>
      </c>
      <c r="BY115" s="114" t="str">
        <f t="shared" si="629"/>
        <v/>
      </c>
      <c r="BZ115" s="115">
        <f t="shared" si="630"/>
        <v>304076.82</v>
      </c>
      <c r="CA115" s="123">
        <f t="shared" si="631"/>
        <v>139168.39000000001</v>
      </c>
      <c r="CB115" s="333">
        <f t="shared" si="632"/>
        <v>461711.59</v>
      </c>
      <c r="CY115" s="294"/>
      <c r="DF115" s="296"/>
    </row>
    <row r="116" spans="1:110" ht="13">
      <c r="A116" s="420">
        <f t="shared" si="596"/>
        <v>112014152</v>
      </c>
      <c r="B116" s="565">
        <f t="shared" si="597"/>
        <v>29</v>
      </c>
      <c r="C116" s="558">
        <f t="shared" si="598"/>
        <v>0.05</v>
      </c>
      <c r="D116" s="558">
        <f t="shared" si="599"/>
        <v>0.2</v>
      </c>
      <c r="E116" s="715">
        <f t="shared" si="600"/>
        <v>0</v>
      </c>
      <c r="F116" s="701">
        <f t="shared" si="601"/>
        <v>4</v>
      </c>
      <c r="G116" s="700" t="str">
        <f t="shared" si="602"/>
        <v>Lista</v>
      </c>
      <c r="H116" s="700">
        <f t="shared" si="603"/>
        <v>0.2</v>
      </c>
      <c r="I116" s="700">
        <f t="shared" si="604"/>
        <v>0</v>
      </c>
      <c r="J116" s="547">
        <f t="shared" si="605"/>
        <v>70</v>
      </c>
      <c r="K116" s="699" t="str">
        <f t="shared" si="606"/>
        <v>Lista</v>
      </c>
      <c r="L116" s="702">
        <f t="shared" si="607"/>
        <v>0.11</v>
      </c>
      <c r="M116" s="139" t="s">
        <v>621</v>
      </c>
      <c r="N116" s="423" t="str">
        <f>IFERROR(VLOOKUP(M116,LAGE24,3,FALSE),"")</f>
        <v/>
      </c>
      <c r="O116" s="599">
        <v>1500000</v>
      </c>
      <c r="P116" s="326" t="e">
        <f t="shared" si="535"/>
        <v>#VALUE!</v>
      </c>
      <c r="Q116" s="326" t="str">
        <f t="shared" si="536"/>
        <v/>
      </c>
      <c r="R116" s="716" t="str">
        <f t="shared" si="537"/>
        <v>0</v>
      </c>
      <c r="S116" s="326">
        <f>R116-O116</f>
        <v>-1500000</v>
      </c>
      <c r="T116" s="137">
        <f>R116/O116</f>
        <v>0</v>
      </c>
      <c r="U116" s="326" t="str">
        <f>IFERROR(VLOOKUP(M116,LAGE24,4,FALSE),"")</f>
        <v/>
      </c>
      <c r="V116" s="461">
        <v>1500000</v>
      </c>
      <c r="W116" s="140" t="e">
        <f t="shared" si="538"/>
        <v>#VALUE!</v>
      </c>
      <c r="X116" s="326" t="str">
        <f t="shared" si="539"/>
        <v/>
      </c>
      <c r="Y116" s="717" t="str">
        <f t="shared" si="540"/>
        <v>0</v>
      </c>
      <c r="Z116" s="123">
        <f>Y116-V116</f>
        <v>-1500000</v>
      </c>
      <c r="AA116" s="137">
        <f>Y116/V116</f>
        <v>0</v>
      </c>
      <c r="AB116" s="326" t="str">
        <f>IFERROR(VLOOKUP(M116,LAGE24,5,FALSE),"")</f>
        <v/>
      </c>
      <c r="AC116" s="599">
        <v>1500000</v>
      </c>
      <c r="AD116" s="326" t="e">
        <f t="shared" si="541"/>
        <v>#VALUE!</v>
      </c>
      <c r="AE116" s="326" t="str">
        <f t="shared" si="542"/>
        <v/>
      </c>
      <c r="AF116" s="716" t="str">
        <f t="shared" si="543"/>
        <v>0</v>
      </c>
      <c r="AG116" s="326">
        <f t="shared" si="559"/>
        <v>-1500000</v>
      </c>
      <c r="AH116" s="137">
        <f t="shared" ref="AH116:AH117" si="711">AF116/AC116</f>
        <v>0</v>
      </c>
      <c r="AI116" s="332">
        <f t="shared" si="561"/>
        <v>4500000</v>
      </c>
      <c r="AJ116" s="140" t="str">
        <f t="shared" si="608"/>
        <v>0</v>
      </c>
      <c r="AK116" s="326">
        <f t="shared" si="32"/>
        <v>0</v>
      </c>
      <c r="AL116" s="326">
        <f t="shared" ref="AL116:AM116" si="712">SUM(AE116,X116,Q116)</f>
        <v>0</v>
      </c>
      <c r="AM116" s="326">
        <f t="shared" si="712"/>
        <v>0</v>
      </c>
      <c r="AN116" s="326">
        <f t="shared" si="70"/>
        <v>-4500000</v>
      </c>
      <c r="AO116" s="413" t="str">
        <f t="shared" si="79"/>
        <v/>
      </c>
      <c r="AP116" s="423" t="str">
        <f>IFERROR(VLOOKUP(M116,LAGE24,6,FALSE),"")</f>
        <v/>
      </c>
      <c r="AQ116" s="326" t="e">
        <f t="shared" si="36"/>
        <v>#VALUE!</v>
      </c>
      <c r="AR116" s="325" t="str">
        <f t="shared" si="610"/>
        <v/>
      </c>
      <c r="AS116" s="333" t="str">
        <f t="shared" si="611"/>
        <v>0</v>
      </c>
      <c r="AT116" s="434" t="str">
        <f>IFERROR(VLOOKUP(M116,LAGE24,7,FALSE),"")</f>
        <v/>
      </c>
      <c r="AU116" s="140" t="e">
        <f t="shared" si="40"/>
        <v>#VALUE!</v>
      </c>
      <c r="AV116" s="326" t="str">
        <f t="shared" si="612"/>
        <v/>
      </c>
      <c r="AW116" s="333" t="str">
        <f t="shared" si="613"/>
        <v>0</v>
      </c>
      <c r="AX116" s="125"/>
      <c r="AY116" s="140" t="e">
        <f t="shared" si="44"/>
        <v>#VALUE!</v>
      </c>
      <c r="AZ116" s="326" t="str">
        <f t="shared" si="614"/>
        <v/>
      </c>
      <c r="BA116" s="332" t="str">
        <f t="shared" si="615"/>
        <v>0</v>
      </c>
      <c r="BB116" s="122" t="e">
        <f t="shared" ref="BB116:BD116" si="713">AY116+AU116+AQ116</f>
        <v>#VALUE!</v>
      </c>
      <c r="BC116" s="326" t="e">
        <f t="shared" si="713"/>
        <v>#VALUE!</v>
      </c>
      <c r="BD116" s="332">
        <f t="shared" si="713"/>
        <v>0</v>
      </c>
      <c r="BE116" s="122" t="e">
        <f t="shared" si="48"/>
        <v>#VALUE!</v>
      </c>
      <c r="BF116" s="326" t="e">
        <f t="shared" ref="BF116:BG116" si="714">AL116+BC116</f>
        <v>#VALUE!</v>
      </c>
      <c r="BG116" s="435">
        <f t="shared" si="714"/>
        <v>0</v>
      </c>
      <c r="BH116" s="125" t="str">
        <f t="shared" si="618"/>
        <v/>
      </c>
      <c r="BI116" s="140" t="e">
        <f t="shared" si="51"/>
        <v>#VALUE!</v>
      </c>
      <c r="BJ116" s="123" t="str">
        <f t="shared" si="619"/>
        <v/>
      </c>
      <c r="BK116" s="125" t="str">
        <f t="shared" si="620"/>
        <v>0</v>
      </c>
      <c r="BL116" s="123" t="str">
        <f t="shared" si="621"/>
        <v/>
      </c>
      <c r="BM116" s="140" t="e">
        <f t="shared" si="55"/>
        <v>#VALUE!</v>
      </c>
      <c r="BN116" s="326" t="str">
        <f t="shared" si="622"/>
        <v/>
      </c>
      <c r="BO116" s="332" t="str">
        <f t="shared" si="623"/>
        <v>0</v>
      </c>
      <c r="BP116" s="141" t="str">
        <f t="shared" si="624"/>
        <v/>
      </c>
      <c r="BQ116" s="140" t="e">
        <f t="shared" si="59"/>
        <v>#VALUE!</v>
      </c>
      <c r="BR116" s="326" t="str">
        <f t="shared" si="625"/>
        <v/>
      </c>
      <c r="BS116" s="333" t="str">
        <f t="shared" si="626"/>
        <v>0</v>
      </c>
      <c r="BT116" s="113" t="e">
        <f t="shared" ref="BT116:BV116" si="715">SUM(BQ116,BM116,BI116)</f>
        <v>#VALUE!</v>
      </c>
      <c r="BU116" s="116">
        <f t="shared" si="715"/>
        <v>0</v>
      </c>
      <c r="BV116" s="117">
        <f t="shared" si="715"/>
        <v>0</v>
      </c>
      <c r="BW116" s="141" t="str">
        <f t="shared" si="628"/>
        <v/>
      </c>
      <c r="BX116" s="113" t="e">
        <f t="shared" si="64"/>
        <v>#VALUE!</v>
      </c>
      <c r="BY116" s="114" t="str">
        <f t="shared" si="629"/>
        <v/>
      </c>
      <c r="BZ116" s="115" t="str">
        <f t="shared" si="630"/>
        <v>0</v>
      </c>
      <c r="CA116" s="123" t="str">
        <f t="shared" si="631"/>
        <v/>
      </c>
      <c r="CB116" s="333" t="str">
        <f t="shared" si="632"/>
        <v/>
      </c>
      <c r="CY116" s="294"/>
      <c r="DF116" s="296"/>
    </row>
    <row r="117" spans="1:110" ht="13">
      <c r="A117" s="420">
        <f t="shared" si="596"/>
        <v>112011776</v>
      </c>
      <c r="B117" s="565">
        <f t="shared" si="597"/>
        <v>20</v>
      </c>
      <c r="C117" s="558">
        <f t="shared" si="598"/>
        <v>0.05</v>
      </c>
      <c r="D117" s="558">
        <f t="shared" si="599"/>
        <v>0.09</v>
      </c>
      <c r="E117" s="715">
        <f t="shared" si="600"/>
        <v>0</v>
      </c>
      <c r="F117" s="701">
        <f t="shared" si="601"/>
        <v>1</v>
      </c>
      <c r="G117" s="700" t="str">
        <f t="shared" si="602"/>
        <v>Lista</v>
      </c>
      <c r="H117" s="700">
        <f t="shared" si="603"/>
        <v>0.09</v>
      </c>
      <c r="I117" s="700">
        <f t="shared" si="604"/>
        <v>0</v>
      </c>
      <c r="J117" s="547">
        <f t="shared" si="605"/>
        <v>71</v>
      </c>
      <c r="K117" s="699" t="str">
        <f t="shared" si="606"/>
        <v>Lista</v>
      </c>
      <c r="L117" s="702">
        <f t="shared" si="607"/>
        <v>0.05</v>
      </c>
      <c r="M117" s="255" t="s">
        <v>622</v>
      </c>
      <c r="N117" s="423"/>
      <c r="O117" s="326"/>
      <c r="P117" s="326" t="e">
        <f t="shared" si="535"/>
        <v>#VALUE!</v>
      </c>
      <c r="Q117" s="326" t="str">
        <f t="shared" si="536"/>
        <v/>
      </c>
      <c r="R117" s="716">
        <f t="shared" si="537"/>
        <v>0</v>
      </c>
      <c r="S117" s="326"/>
      <c r="T117" s="137"/>
      <c r="U117" s="326"/>
      <c r="V117" s="332"/>
      <c r="W117" s="140" t="e">
        <f t="shared" si="538"/>
        <v>#VALUE!</v>
      </c>
      <c r="X117" s="326" t="str">
        <f t="shared" si="539"/>
        <v/>
      </c>
      <c r="Y117" s="717">
        <f t="shared" si="540"/>
        <v>287708.46999999997</v>
      </c>
      <c r="Z117" s="123"/>
      <c r="AA117" s="137"/>
      <c r="AB117" s="326"/>
      <c r="AC117" s="599">
        <v>750000</v>
      </c>
      <c r="AD117" s="326" t="e">
        <f t="shared" si="541"/>
        <v>#VALUE!</v>
      </c>
      <c r="AE117" s="326" t="str">
        <f t="shared" si="542"/>
        <v/>
      </c>
      <c r="AF117" s="716">
        <f t="shared" si="543"/>
        <v>127502.62</v>
      </c>
      <c r="AG117" s="326">
        <f t="shared" si="559"/>
        <v>-622497.38</v>
      </c>
      <c r="AH117" s="137">
        <f t="shared" si="711"/>
        <v>0.17000349333333334</v>
      </c>
      <c r="AI117" s="332">
        <f t="shared" si="561"/>
        <v>750000</v>
      </c>
      <c r="AJ117" s="140">
        <f t="shared" si="608"/>
        <v>1639542.36</v>
      </c>
      <c r="AK117" s="326">
        <f t="shared" si="32"/>
        <v>415211.08999999997</v>
      </c>
      <c r="AL117" s="326">
        <f t="shared" ref="AL117:AM117" si="716">SUM(AE117,X117,Q117)</f>
        <v>0</v>
      </c>
      <c r="AM117" s="326">
        <f t="shared" si="716"/>
        <v>415211.08999999997</v>
      </c>
      <c r="AN117" s="326">
        <f t="shared" si="70"/>
        <v>-334788.91000000003</v>
      </c>
      <c r="AO117" s="413">
        <f t="shared" si="79"/>
        <v>0.25324816249334353</v>
      </c>
      <c r="AP117" s="423"/>
      <c r="AQ117" s="326" t="e">
        <f t="shared" si="36"/>
        <v>#VALUE!</v>
      </c>
      <c r="AR117" s="326" t="str">
        <f t="shared" si="610"/>
        <v/>
      </c>
      <c r="AS117" s="333">
        <f t="shared" si="611"/>
        <v>100386.88</v>
      </c>
      <c r="AT117" s="434"/>
      <c r="AU117" s="140" t="e">
        <f t="shared" si="40"/>
        <v>#VALUE!</v>
      </c>
      <c r="AV117" s="326" t="str">
        <f t="shared" si="612"/>
        <v/>
      </c>
      <c r="AW117" s="333">
        <f t="shared" si="613"/>
        <v>232860.02</v>
      </c>
      <c r="AX117" s="125"/>
      <c r="AY117" s="140" t="e">
        <f t="shared" si="44"/>
        <v>#VALUE!</v>
      </c>
      <c r="AZ117" s="326" t="str">
        <f t="shared" si="614"/>
        <v/>
      </c>
      <c r="BA117" s="332">
        <f t="shared" si="615"/>
        <v>0</v>
      </c>
      <c r="BB117" s="122" t="e">
        <f t="shared" ref="BB117:BD117" si="717">AY117+AU117+AQ117</f>
        <v>#VALUE!</v>
      </c>
      <c r="BC117" s="326" t="e">
        <f t="shared" si="717"/>
        <v>#VALUE!</v>
      </c>
      <c r="BD117" s="332">
        <f t="shared" si="717"/>
        <v>333246.90000000002</v>
      </c>
      <c r="BE117" s="122" t="e">
        <f t="shared" si="48"/>
        <v>#VALUE!</v>
      </c>
      <c r="BF117" s="326" t="e">
        <f t="shared" ref="BF117:BG117" si="718">AL117+BC117</f>
        <v>#VALUE!</v>
      </c>
      <c r="BG117" s="435">
        <f t="shared" si="718"/>
        <v>748457.99</v>
      </c>
      <c r="BH117" s="125">
        <f t="shared" si="618"/>
        <v>352430.51</v>
      </c>
      <c r="BI117" s="140" t="e">
        <f t="shared" si="51"/>
        <v>#VALUE!</v>
      </c>
      <c r="BJ117" s="123" t="str">
        <f t="shared" si="619"/>
        <v/>
      </c>
      <c r="BK117" s="125">
        <f t="shared" si="620"/>
        <v>76324.2</v>
      </c>
      <c r="BL117" s="123">
        <f t="shared" si="621"/>
        <v>444458.49</v>
      </c>
      <c r="BM117" s="140" t="e">
        <f t="shared" si="55"/>
        <v>#VALUE!</v>
      </c>
      <c r="BN117" s="326" t="str">
        <f t="shared" si="622"/>
        <v/>
      </c>
      <c r="BO117" s="332">
        <f t="shared" si="623"/>
        <v>77964.600000000006</v>
      </c>
      <c r="BP117" s="141">
        <f t="shared" si="624"/>
        <v>496733.13</v>
      </c>
      <c r="BQ117" s="140" t="e">
        <f t="shared" si="59"/>
        <v>#VALUE!</v>
      </c>
      <c r="BR117" s="326" t="str">
        <f t="shared" si="625"/>
        <v/>
      </c>
      <c r="BS117" s="333">
        <f t="shared" si="626"/>
        <v>93943.49</v>
      </c>
      <c r="BT117" s="113" t="e">
        <f t="shared" ref="BT117:BV117" si="719">SUM(BQ117,BM117,BI117)</f>
        <v>#VALUE!</v>
      </c>
      <c r="BU117" s="116">
        <f t="shared" si="719"/>
        <v>0</v>
      </c>
      <c r="BV117" s="117">
        <f t="shared" si="719"/>
        <v>248232.29000000004</v>
      </c>
      <c r="BW117" s="141">
        <f t="shared" si="628"/>
        <v>693476</v>
      </c>
      <c r="BX117" s="113" t="e">
        <f t="shared" si="64"/>
        <v>#VALUE!</v>
      </c>
      <c r="BY117" s="114" t="str">
        <f t="shared" si="629"/>
        <v/>
      </c>
      <c r="BZ117" s="115">
        <f t="shared" si="630"/>
        <v>850807.63</v>
      </c>
      <c r="CA117" s="123">
        <f t="shared" si="631"/>
        <v>615657.71</v>
      </c>
      <c r="CB117" s="333">
        <f t="shared" si="632"/>
        <v>330408.65000000002</v>
      </c>
      <c r="CY117" s="294"/>
      <c r="DF117" s="296"/>
    </row>
    <row r="118" spans="1:110" ht="13">
      <c r="A118" s="420">
        <f t="shared" si="596"/>
        <v>112014156</v>
      </c>
      <c r="B118" s="565">
        <f t="shared" si="597"/>
        <v>3</v>
      </c>
      <c r="C118" s="558" t="str">
        <f t="shared" si="598"/>
        <v>Lista</v>
      </c>
      <c r="D118" s="558">
        <f t="shared" si="599"/>
        <v>0.2</v>
      </c>
      <c r="E118" s="715">
        <f t="shared" si="600"/>
        <v>0.23</v>
      </c>
      <c r="F118" s="701">
        <f t="shared" si="601"/>
        <v>3</v>
      </c>
      <c r="G118" s="700" t="str">
        <f t="shared" si="602"/>
        <v>Lista</v>
      </c>
      <c r="H118" s="700">
        <f t="shared" si="603"/>
        <v>0.2</v>
      </c>
      <c r="I118" s="700">
        <f t="shared" si="604"/>
        <v>0.23</v>
      </c>
      <c r="J118" s="547">
        <f t="shared" si="605"/>
        <v>70</v>
      </c>
      <c r="K118" s="699" t="str">
        <f t="shared" si="606"/>
        <v>Lista</v>
      </c>
      <c r="L118" s="702">
        <f t="shared" si="607"/>
        <v>0.11</v>
      </c>
      <c r="M118" s="139" t="s">
        <v>623</v>
      </c>
      <c r="N118" s="423">
        <f>IFERROR(VLOOKUP(M118,LAGE24,3,FALSE),"")</f>
        <v>0</v>
      </c>
      <c r="O118" s="326">
        <f>(N118*1.601)*1.05</f>
        <v>0</v>
      </c>
      <c r="P118" s="326">
        <f t="shared" si="535"/>
        <v>0</v>
      </c>
      <c r="Q118" s="326">
        <f t="shared" si="536"/>
        <v>0</v>
      </c>
      <c r="R118" s="716">
        <f t="shared" si="537"/>
        <v>0</v>
      </c>
      <c r="S118" s="326">
        <f t="shared" ref="S118:S134" si="720">R118-O118</f>
        <v>0</v>
      </c>
      <c r="T118" s="137" t="str">
        <f>IFERROR(R118/O118,"")</f>
        <v/>
      </c>
      <c r="U118" s="326">
        <f t="shared" ref="U118:U134" si="721">IFERROR(VLOOKUP(M118,LAGE24,4,FALSE),"")</f>
        <v>0</v>
      </c>
      <c r="V118" s="332">
        <f>(U118*1.7245)*1.03</f>
        <v>0</v>
      </c>
      <c r="W118" s="140">
        <f t="shared" si="538"/>
        <v>104889.65000000002</v>
      </c>
      <c r="X118" s="326">
        <f t="shared" si="539"/>
        <v>677838.7</v>
      </c>
      <c r="Y118" s="717">
        <f t="shared" si="540"/>
        <v>782728.35</v>
      </c>
      <c r="Z118" s="123">
        <f t="shared" ref="Z118:Z134" si="722">Y118-V118</f>
        <v>782728.35</v>
      </c>
      <c r="AA118" s="137" t="str">
        <f>IFERROR(Y118/V118,"")</f>
        <v/>
      </c>
      <c r="AB118" s="326">
        <f t="shared" ref="AB118:AB134" si="723">IFERROR(VLOOKUP(M118,LAGE24,5,FALSE),"")</f>
        <v>0</v>
      </c>
      <c r="AC118" s="326">
        <f t="shared" ref="AC118:AC153" si="724">(AB118*1.5955)*1.05</f>
        <v>0</v>
      </c>
      <c r="AD118" s="326">
        <f t="shared" si="541"/>
        <v>170159</v>
      </c>
      <c r="AE118" s="326">
        <f t="shared" si="542"/>
        <v>0</v>
      </c>
      <c r="AF118" s="716">
        <f t="shared" si="543"/>
        <v>170159</v>
      </c>
      <c r="AG118" s="326">
        <f t="shared" si="559"/>
        <v>170159</v>
      </c>
      <c r="AH118" s="137" t="str">
        <f t="shared" ref="AH118:AH153" si="725">IFERROR(AF118/AC118,"")</f>
        <v/>
      </c>
      <c r="AI118" s="332">
        <f t="shared" si="561"/>
        <v>0</v>
      </c>
      <c r="AJ118" s="140" t="str">
        <f t="shared" si="608"/>
        <v>0</v>
      </c>
      <c r="AK118" s="326">
        <f t="shared" si="32"/>
        <v>275048.65000000002</v>
      </c>
      <c r="AL118" s="326">
        <f t="shared" ref="AL118:AM118" si="726">SUM(AE118,X118,Q118)</f>
        <v>677838.7</v>
      </c>
      <c r="AM118" s="326">
        <f t="shared" si="726"/>
        <v>952887.35</v>
      </c>
      <c r="AN118" s="326">
        <f t="shared" si="70"/>
        <v>952887.35</v>
      </c>
      <c r="AO118" s="413" t="str">
        <f t="shared" si="79"/>
        <v/>
      </c>
      <c r="AP118" s="423">
        <f t="shared" ref="AP118:AP134" si="727">IFERROR(VLOOKUP(M118,LAGE24,6,FALSE),"")</f>
        <v>0</v>
      </c>
      <c r="AQ118" s="326">
        <f t="shared" si="36"/>
        <v>0</v>
      </c>
      <c r="AR118" s="326">
        <f t="shared" si="610"/>
        <v>1257389.98</v>
      </c>
      <c r="AS118" s="333">
        <f t="shared" si="611"/>
        <v>1257389.98</v>
      </c>
      <c r="AT118" s="434">
        <f t="shared" ref="AT118:AT134" si="728">IFERROR(VLOOKUP(M118,LAGE24,7,FALSE),"")</f>
        <v>0</v>
      </c>
      <c r="AU118" s="140">
        <f t="shared" si="40"/>
        <v>52182</v>
      </c>
      <c r="AV118" s="326">
        <f t="shared" si="612"/>
        <v>0</v>
      </c>
      <c r="AW118" s="333">
        <f t="shared" si="613"/>
        <v>52182</v>
      </c>
      <c r="AX118" s="125"/>
      <c r="AY118" s="140">
        <f t="shared" si="44"/>
        <v>0</v>
      </c>
      <c r="AZ118" s="326">
        <f t="shared" si="614"/>
        <v>377216.84</v>
      </c>
      <c r="BA118" s="332">
        <f t="shared" si="615"/>
        <v>377216.84</v>
      </c>
      <c r="BB118" s="122">
        <f t="shared" ref="BB118:BD118" si="729">AY118+AU118+AQ118</f>
        <v>52182</v>
      </c>
      <c r="BC118" s="326">
        <f t="shared" si="729"/>
        <v>1634606.82</v>
      </c>
      <c r="BD118" s="332">
        <f t="shared" si="729"/>
        <v>1686788.82</v>
      </c>
      <c r="BE118" s="122">
        <f t="shared" si="48"/>
        <v>327230.65000000002</v>
      </c>
      <c r="BF118" s="326">
        <f t="shared" ref="BF118:BG118" si="730">AL118+BC118</f>
        <v>2312445.52</v>
      </c>
      <c r="BG118" s="435">
        <f t="shared" si="730"/>
        <v>2639676.17</v>
      </c>
      <c r="BH118" s="125">
        <f t="shared" si="618"/>
        <v>287903</v>
      </c>
      <c r="BI118" s="140">
        <f t="shared" si="51"/>
        <v>49292.79999999993</v>
      </c>
      <c r="BJ118" s="123">
        <f t="shared" si="619"/>
        <v>792155.53</v>
      </c>
      <c r="BK118" s="125">
        <f t="shared" si="620"/>
        <v>841448.33</v>
      </c>
      <c r="BL118" s="123">
        <f t="shared" si="621"/>
        <v>287903</v>
      </c>
      <c r="BM118" s="140">
        <f t="shared" si="55"/>
        <v>0</v>
      </c>
      <c r="BN118" s="326">
        <f t="shared" si="622"/>
        <v>1320258.94</v>
      </c>
      <c r="BO118" s="332">
        <f t="shared" si="623"/>
        <v>1320258.94</v>
      </c>
      <c r="BP118" s="141">
        <f t="shared" si="624"/>
        <v>0</v>
      </c>
      <c r="BQ118" s="140">
        <f t="shared" si="59"/>
        <v>0</v>
      </c>
      <c r="BR118" s="326">
        <f t="shared" si="625"/>
        <v>0</v>
      </c>
      <c r="BS118" s="333">
        <f t="shared" si="626"/>
        <v>0</v>
      </c>
      <c r="BT118" s="113">
        <f t="shared" ref="BT118:BV118" si="731">SUM(BQ118,BM118,BI118)</f>
        <v>49292.79999999993</v>
      </c>
      <c r="BU118" s="116">
        <f t="shared" si="731"/>
        <v>2112414.4699999997</v>
      </c>
      <c r="BV118" s="117">
        <f t="shared" si="731"/>
        <v>2161707.27</v>
      </c>
      <c r="BW118" s="141">
        <f t="shared" si="628"/>
        <v>0</v>
      </c>
      <c r="BX118" s="113">
        <f t="shared" si="64"/>
        <v>0</v>
      </c>
      <c r="BY118" s="114">
        <f t="shared" si="629"/>
        <v>0</v>
      </c>
      <c r="BZ118" s="115">
        <f t="shared" si="630"/>
        <v>0</v>
      </c>
      <c r="CA118" s="123">
        <f t="shared" si="631"/>
        <v>0</v>
      </c>
      <c r="CB118" s="333">
        <f t="shared" si="632"/>
        <v>0</v>
      </c>
      <c r="CY118" s="294"/>
      <c r="DF118" s="296"/>
    </row>
    <row r="119" spans="1:110" ht="13">
      <c r="A119" s="420">
        <f t="shared" si="596"/>
        <v>112014573</v>
      </c>
      <c r="B119" s="565">
        <f t="shared" si="597"/>
        <v>18</v>
      </c>
      <c r="C119" s="733" t="str">
        <f t="shared" si="598"/>
        <v>Lista</v>
      </c>
      <c r="D119" s="733">
        <f t="shared" si="599"/>
        <v>0.23</v>
      </c>
      <c r="E119" s="734">
        <f t="shared" si="600"/>
        <v>0</v>
      </c>
      <c r="F119" s="701">
        <f t="shared" si="601"/>
        <v>18</v>
      </c>
      <c r="G119" s="700" t="str">
        <f t="shared" si="602"/>
        <v>Lista</v>
      </c>
      <c r="H119" s="700">
        <f t="shared" si="603"/>
        <v>0.23</v>
      </c>
      <c r="I119" s="700">
        <f t="shared" si="604"/>
        <v>0</v>
      </c>
      <c r="J119" s="547">
        <f t="shared" si="605"/>
        <v>69</v>
      </c>
      <c r="K119" s="699" t="str">
        <f t="shared" si="606"/>
        <v>Lista</v>
      </c>
      <c r="L119" s="702">
        <f t="shared" si="607"/>
        <v>0.14000000000000001</v>
      </c>
      <c r="M119" s="735" t="s">
        <v>624</v>
      </c>
      <c r="N119" s="423">
        <f>IFERROR(VLOOKUP(M119,LAGE24,3,FALSE),"")</f>
        <v>0</v>
      </c>
      <c r="O119" s="561">
        <v>3000000</v>
      </c>
      <c r="P119" s="326" t="e">
        <f t="shared" si="535"/>
        <v>#VALUE!</v>
      </c>
      <c r="Q119" s="326" t="str">
        <f t="shared" si="536"/>
        <v/>
      </c>
      <c r="R119" s="716">
        <f t="shared" si="537"/>
        <v>0</v>
      </c>
      <c r="S119" s="326">
        <f t="shared" si="720"/>
        <v>-3000000</v>
      </c>
      <c r="T119" s="137">
        <f>R119/O119</f>
        <v>0</v>
      </c>
      <c r="U119" s="326">
        <f t="shared" si="721"/>
        <v>0</v>
      </c>
      <c r="V119" s="432">
        <v>3000000</v>
      </c>
      <c r="W119" s="140" t="e">
        <f t="shared" si="538"/>
        <v>#VALUE!</v>
      </c>
      <c r="X119" s="326" t="str">
        <f t="shared" si="539"/>
        <v/>
      </c>
      <c r="Y119" s="717">
        <f t="shared" si="540"/>
        <v>0</v>
      </c>
      <c r="Z119" s="123">
        <f t="shared" si="722"/>
        <v>-3000000</v>
      </c>
      <c r="AA119" s="137">
        <f>Y119/V119</f>
        <v>0</v>
      </c>
      <c r="AB119" s="326">
        <f t="shared" si="723"/>
        <v>0</v>
      </c>
      <c r="AC119" s="326">
        <f t="shared" si="724"/>
        <v>0</v>
      </c>
      <c r="AD119" s="326" t="e">
        <f t="shared" si="541"/>
        <v>#VALUE!</v>
      </c>
      <c r="AE119" s="326" t="str">
        <f t="shared" si="542"/>
        <v/>
      </c>
      <c r="AF119" s="716">
        <f t="shared" si="543"/>
        <v>0</v>
      </c>
      <c r="AG119" s="326">
        <f t="shared" si="559"/>
        <v>0</v>
      </c>
      <c r="AH119" s="137" t="str">
        <f t="shared" si="725"/>
        <v/>
      </c>
      <c r="AI119" s="332">
        <f t="shared" si="561"/>
        <v>6000000</v>
      </c>
      <c r="AJ119" s="140" t="str">
        <f t="shared" si="608"/>
        <v>0</v>
      </c>
      <c r="AK119" s="326">
        <f t="shared" si="32"/>
        <v>0</v>
      </c>
      <c r="AL119" s="326">
        <f t="shared" ref="AL119:AM119" si="732">SUM(AE119,X119,Q119)</f>
        <v>0</v>
      </c>
      <c r="AM119" s="326">
        <f t="shared" si="732"/>
        <v>0</v>
      </c>
      <c r="AN119" s="326">
        <f t="shared" si="70"/>
        <v>-6000000</v>
      </c>
      <c r="AO119" s="413" t="str">
        <f t="shared" si="79"/>
        <v/>
      </c>
      <c r="AP119" s="423">
        <f t="shared" si="727"/>
        <v>0</v>
      </c>
      <c r="AQ119" s="326" t="e">
        <f t="shared" si="36"/>
        <v>#VALUE!</v>
      </c>
      <c r="AR119" s="326" t="str">
        <f t="shared" si="610"/>
        <v/>
      </c>
      <c r="AS119" s="333">
        <f t="shared" si="611"/>
        <v>0</v>
      </c>
      <c r="AT119" s="434">
        <f t="shared" si="728"/>
        <v>0</v>
      </c>
      <c r="AU119" s="140" t="e">
        <f t="shared" si="40"/>
        <v>#VALUE!</v>
      </c>
      <c r="AV119" s="326" t="str">
        <f t="shared" si="612"/>
        <v/>
      </c>
      <c r="AW119" s="333">
        <f t="shared" si="613"/>
        <v>0</v>
      </c>
      <c r="AX119" s="125"/>
      <c r="AY119" s="140" t="e">
        <f t="shared" si="44"/>
        <v>#VALUE!</v>
      </c>
      <c r="AZ119" s="326" t="str">
        <f t="shared" si="614"/>
        <v/>
      </c>
      <c r="BA119" s="332">
        <f t="shared" si="615"/>
        <v>433232</v>
      </c>
      <c r="BB119" s="122" t="e">
        <f t="shared" ref="BB119:BD119" si="733">AY119+AU119+AQ119</f>
        <v>#VALUE!</v>
      </c>
      <c r="BC119" s="326" t="e">
        <f t="shared" si="733"/>
        <v>#VALUE!</v>
      </c>
      <c r="BD119" s="332">
        <f t="shared" si="733"/>
        <v>433232</v>
      </c>
      <c r="BE119" s="122" t="e">
        <f t="shared" si="48"/>
        <v>#VALUE!</v>
      </c>
      <c r="BF119" s="326" t="e">
        <f t="shared" ref="BF119:BG119" si="734">AL119+BC119</f>
        <v>#VALUE!</v>
      </c>
      <c r="BG119" s="435">
        <f t="shared" si="734"/>
        <v>433232</v>
      </c>
      <c r="BH119" s="125">
        <f t="shared" si="618"/>
        <v>0</v>
      </c>
      <c r="BI119" s="140" t="e">
        <f t="shared" si="51"/>
        <v>#VALUE!</v>
      </c>
      <c r="BJ119" s="123" t="str">
        <f t="shared" si="619"/>
        <v/>
      </c>
      <c r="BK119" s="125">
        <f t="shared" si="620"/>
        <v>0</v>
      </c>
      <c r="BL119" s="123">
        <f t="shared" si="621"/>
        <v>0</v>
      </c>
      <c r="BM119" s="140" t="e">
        <f t="shared" si="55"/>
        <v>#VALUE!</v>
      </c>
      <c r="BN119" s="326" t="str">
        <f t="shared" si="622"/>
        <v/>
      </c>
      <c r="BO119" s="332">
        <f t="shared" si="623"/>
        <v>614807.05000000005</v>
      </c>
      <c r="BP119" s="141">
        <f t="shared" si="624"/>
        <v>549141.32999999996</v>
      </c>
      <c r="BQ119" s="140" t="e">
        <f t="shared" si="59"/>
        <v>#VALUE!</v>
      </c>
      <c r="BR119" s="326" t="str">
        <f t="shared" si="625"/>
        <v/>
      </c>
      <c r="BS119" s="333">
        <f t="shared" si="626"/>
        <v>769857.02</v>
      </c>
      <c r="BT119" s="113" t="e">
        <f t="shared" ref="BT119:BV119" si="735">SUM(BQ119,BM119,BI119)</f>
        <v>#VALUE!</v>
      </c>
      <c r="BU119" s="116">
        <f t="shared" si="735"/>
        <v>0</v>
      </c>
      <c r="BV119" s="117">
        <f t="shared" si="735"/>
        <v>1384664.07</v>
      </c>
      <c r="BW119" s="141">
        <f t="shared" si="628"/>
        <v>0</v>
      </c>
      <c r="BX119" s="113" t="e">
        <f t="shared" si="64"/>
        <v>#VALUE!</v>
      </c>
      <c r="BY119" s="114" t="str">
        <f t="shared" si="629"/>
        <v/>
      </c>
      <c r="BZ119" s="115">
        <f t="shared" si="630"/>
        <v>1512472.58</v>
      </c>
      <c r="CA119" s="123">
        <f t="shared" si="631"/>
        <v>0</v>
      </c>
      <c r="CB119" s="333">
        <f t="shared" si="632"/>
        <v>0</v>
      </c>
      <c r="CY119" s="294"/>
      <c r="DF119" s="296"/>
    </row>
    <row r="120" spans="1:110" ht="13">
      <c r="A120" s="420">
        <f t="shared" si="596"/>
        <v>112013208</v>
      </c>
      <c r="B120" s="565">
        <f t="shared" si="597"/>
        <v>4</v>
      </c>
      <c r="C120" s="558" t="str">
        <f t="shared" si="598"/>
        <v>Lista</v>
      </c>
      <c r="D120" s="558">
        <f t="shared" si="599"/>
        <v>0.2</v>
      </c>
      <c r="E120" s="715">
        <f t="shared" si="600"/>
        <v>0</v>
      </c>
      <c r="F120" s="701">
        <f t="shared" si="601"/>
        <v>4</v>
      </c>
      <c r="G120" s="700" t="str">
        <f t="shared" si="602"/>
        <v>Lista</v>
      </c>
      <c r="H120" s="700">
        <f t="shared" si="603"/>
        <v>0.2</v>
      </c>
      <c r="I120" s="700">
        <f t="shared" si="604"/>
        <v>0</v>
      </c>
      <c r="J120" s="547">
        <f t="shared" si="605"/>
        <v>70</v>
      </c>
      <c r="K120" s="699" t="str">
        <f t="shared" si="606"/>
        <v>Lista</v>
      </c>
      <c r="L120" s="702">
        <f t="shared" si="607"/>
        <v>0.11</v>
      </c>
      <c r="M120" s="139" t="s">
        <v>625</v>
      </c>
      <c r="N120" s="423">
        <f>IFERROR(VLOOKUP(M120,LAGE24,3,FALSE),"")</f>
        <v>475866.08</v>
      </c>
      <c r="O120" s="326">
        <f t="shared" ref="O120:O121" si="736">(N120*1.601)*1.05</f>
        <v>799954.6737840001</v>
      </c>
      <c r="P120" s="326">
        <f t="shared" si="535"/>
        <v>0</v>
      </c>
      <c r="Q120" s="326">
        <f t="shared" ref="Q120:Q153" si="737">IFERROR(VLOOKUP(M120,LAGALIM,3,FALSE),"")</f>
        <v>1317491.7</v>
      </c>
      <c r="R120" s="716">
        <f t="shared" ref="R120:R153" si="738">IFERROR(VLOOKUP(M120,LAGEFC,3,FALSE),"0")</f>
        <v>1317491.7</v>
      </c>
      <c r="S120" s="326">
        <f t="shared" si="720"/>
        <v>517537.02621599985</v>
      </c>
      <c r="T120" s="137">
        <f t="shared" ref="T120:T134" si="739">IFERROR(R120/O120,"")</f>
        <v>1.6469579379640487</v>
      </c>
      <c r="U120" s="326">
        <f t="shared" si="721"/>
        <v>842522.38</v>
      </c>
      <c r="V120" s="332">
        <f t="shared" ref="V120:V134" si="740">(U120*1.7245)*1.03</f>
        <v>1496517.7396392999</v>
      </c>
      <c r="W120" s="140">
        <f t="shared" si="538"/>
        <v>0</v>
      </c>
      <c r="X120" s="326">
        <f t="shared" ref="X120:X153" si="741">IFERROR(VLOOKUP(M120,LAGALIM,4,FALSE),"")</f>
        <v>896922.13</v>
      </c>
      <c r="Y120" s="717">
        <f t="shared" ref="Y120:Y153" si="742">IFERROR(VLOOKUP(M120,LAGEFC,4,FALSE),"0")</f>
        <v>896922.13</v>
      </c>
      <c r="Z120" s="123">
        <f t="shared" si="722"/>
        <v>-599595.60963929992</v>
      </c>
      <c r="AA120" s="137">
        <f t="shared" ref="AA120:AA134" si="743">IFERROR(Y120/V120,"")</f>
        <v>0.59933945735663763</v>
      </c>
      <c r="AB120" s="326">
        <f t="shared" si="723"/>
        <v>1292106.8</v>
      </c>
      <c r="AC120" s="326">
        <f t="shared" si="724"/>
        <v>2164634.2193700001</v>
      </c>
      <c r="AD120" s="326">
        <f t="shared" si="541"/>
        <v>11321.740000000224</v>
      </c>
      <c r="AE120" s="326">
        <f t="shared" ref="AE120:AE153" si="744">IFERROR(VLOOKUP(M120,LAGALIM,5,FALSE),"")</f>
        <v>1791808.88</v>
      </c>
      <c r="AF120" s="716">
        <f t="shared" ref="AF120:AF153" si="745">IFERROR(VLOOKUP(M120,LAGEFC,5,FALSE),"0")</f>
        <v>1803130.62</v>
      </c>
      <c r="AG120" s="326">
        <f t="shared" si="559"/>
        <v>-361503.59936999995</v>
      </c>
      <c r="AH120" s="137">
        <f t="shared" si="725"/>
        <v>0.83299552592529336</v>
      </c>
      <c r="AI120" s="332">
        <f t="shared" si="561"/>
        <v>4461106.6327932999</v>
      </c>
      <c r="AJ120" s="140">
        <f t="shared" si="608"/>
        <v>4137180.36</v>
      </c>
      <c r="AK120" s="326">
        <f t="shared" si="32"/>
        <v>11321.740000000224</v>
      </c>
      <c r="AL120" s="326">
        <f t="shared" ref="AL120:AM120" si="746">SUM(AE120,X120,Q120)</f>
        <v>4006222.71</v>
      </c>
      <c r="AM120" s="326">
        <f t="shared" si="746"/>
        <v>4017544.45</v>
      </c>
      <c r="AN120" s="326">
        <f t="shared" si="70"/>
        <v>-443562.18279329967</v>
      </c>
      <c r="AO120" s="413">
        <f t="shared" si="79"/>
        <v>0.97108274245022286</v>
      </c>
      <c r="AP120" s="423">
        <f t="shared" si="727"/>
        <v>1647465.89</v>
      </c>
      <c r="AQ120" s="326">
        <f t="shared" si="36"/>
        <v>0</v>
      </c>
      <c r="AR120" s="326">
        <f t="shared" si="610"/>
        <v>1420719.02</v>
      </c>
      <c r="AS120" s="333">
        <f t="shared" si="611"/>
        <v>1420719.02</v>
      </c>
      <c r="AT120" s="434">
        <f t="shared" si="728"/>
        <v>1207198.33</v>
      </c>
      <c r="AU120" s="140">
        <f t="shared" si="40"/>
        <v>0</v>
      </c>
      <c r="AV120" s="326">
        <f t="shared" si="612"/>
        <v>1743071.38</v>
      </c>
      <c r="AW120" s="333">
        <f t="shared" si="613"/>
        <v>1743071.38</v>
      </c>
      <c r="AX120" s="125"/>
      <c r="AY120" s="140">
        <f t="shared" si="44"/>
        <v>0</v>
      </c>
      <c r="AZ120" s="326">
        <f t="shared" si="614"/>
        <v>1988124.6</v>
      </c>
      <c r="BA120" s="332">
        <f t="shared" si="615"/>
        <v>1988124.6</v>
      </c>
      <c r="BB120" s="122">
        <f t="shared" ref="BB120:BD120" si="747">AY120+AU120+AQ120</f>
        <v>0</v>
      </c>
      <c r="BC120" s="326">
        <f t="shared" si="747"/>
        <v>5151915</v>
      </c>
      <c r="BD120" s="332">
        <f t="shared" si="747"/>
        <v>5151915</v>
      </c>
      <c r="BE120" s="122">
        <f t="shared" si="48"/>
        <v>11321.740000000224</v>
      </c>
      <c r="BF120" s="326">
        <f t="shared" ref="BF120:BG120" si="748">AL120+BC120</f>
        <v>9158137.7100000009</v>
      </c>
      <c r="BG120" s="435">
        <f t="shared" si="748"/>
        <v>9169459.4499999993</v>
      </c>
      <c r="BH120" s="125">
        <f t="shared" si="618"/>
        <v>920029.16</v>
      </c>
      <c r="BI120" s="140">
        <f t="shared" si="51"/>
        <v>0</v>
      </c>
      <c r="BJ120" s="123">
        <f t="shared" si="619"/>
        <v>1906119.53</v>
      </c>
      <c r="BK120" s="125">
        <f t="shared" si="620"/>
        <v>1906119.53</v>
      </c>
      <c r="BL120" s="123">
        <f t="shared" si="621"/>
        <v>1142735.92</v>
      </c>
      <c r="BM120" s="140">
        <f t="shared" si="55"/>
        <v>0</v>
      </c>
      <c r="BN120" s="326">
        <f t="shared" si="622"/>
        <v>2289898</v>
      </c>
      <c r="BO120" s="332">
        <f t="shared" si="623"/>
        <v>2289898</v>
      </c>
      <c r="BP120" s="141">
        <f t="shared" si="624"/>
        <v>1294589.97</v>
      </c>
      <c r="BQ120" s="140">
        <f t="shared" si="59"/>
        <v>0</v>
      </c>
      <c r="BR120" s="326">
        <f t="shared" si="625"/>
        <v>1403013.32</v>
      </c>
      <c r="BS120" s="333">
        <f t="shared" si="626"/>
        <v>1403013.32</v>
      </c>
      <c r="BT120" s="113">
        <f t="shared" ref="BT120:BV120" si="749">SUM(BQ120,BM120,BI120)</f>
        <v>0</v>
      </c>
      <c r="BU120" s="116">
        <f t="shared" si="749"/>
        <v>5599030.8500000006</v>
      </c>
      <c r="BV120" s="117">
        <f t="shared" si="749"/>
        <v>5599030.8500000006</v>
      </c>
      <c r="BW120" s="141">
        <f t="shared" si="628"/>
        <v>1528396.8</v>
      </c>
      <c r="BX120" s="113">
        <f t="shared" si="64"/>
        <v>0</v>
      </c>
      <c r="BY120" s="114">
        <f t="shared" si="629"/>
        <v>598845.19999999995</v>
      </c>
      <c r="BZ120" s="115">
        <f t="shared" si="630"/>
        <v>598845.19999999995</v>
      </c>
      <c r="CA120" s="123">
        <f t="shared" si="631"/>
        <v>1413147.19</v>
      </c>
      <c r="CB120" s="333">
        <f t="shared" si="632"/>
        <v>1195636.3700000001</v>
      </c>
      <c r="CY120" s="294"/>
      <c r="DF120" s="296"/>
    </row>
    <row r="121" spans="1:110" ht="13">
      <c r="A121" s="420">
        <f t="shared" si="596"/>
        <v>112013219</v>
      </c>
      <c r="B121" s="565">
        <f t="shared" si="597"/>
        <v>4</v>
      </c>
      <c r="C121" s="558" t="str">
        <f t="shared" si="598"/>
        <v>Lista</v>
      </c>
      <c r="D121" s="558">
        <f t="shared" si="599"/>
        <v>0.2</v>
      </c>
      <c r="E121" s="715">
        <f t="shared" si="600"/>
        <v>0</v>
      </c>
      <c r="F121" s="701">
        <f t="shared" si="601"/>
        <v>4</v>
      </c>
      <c r="G121" s="700" t="str">
        <f t="shared" si="602"/>
        <v>Lista</v>
      </c>
      <c r="H121" s="700">
        <f t="shared" si="603"/>
        <v>0.2</v>
      </c>
      <c r="I121" s="700">
        <f t="shared" si="604"/>
        <v>0</v>
      </c>
      <c r="J121" s="547">
        <f t="shared" si="605"/>
        <v>70</v>
      </c>
      <c r="K121" s="699" t="str">
        <f t="shared" si="606"/>
        <v>Lista</v>
      </c>
      <c r="L121" s="702">
        <f t="shared" si="607"/>
        <v>0.11</v>
      </c>
      <c r="M121" s="139" t="s">
        <v>626</v>
      </c>
      <c r="N121" s="423">
        <f>IFERROR(VLOOKUP(M121,LAGE24,3,FALSE),"")</f>
        <v>154066.56</v>
      </c>
      <c r="O121" s="326">
        <f t="shared" si="736"/>
        <v>258993.590688</v>
      </c>
      <c r="P121" s="326">
        <f t="shared" si="535"/>
        <v>13793.359999999986</v>
      </c>
      <c r="Q121" s="326">
        <f t="shared" si="737"/>
        <v>188997.92</v>
      </c>
      <c r="R121" s="716">
        <f t="shared" si="738"/>
        <v>202791.28</v>
      </c>
      <c r="S121" s="326">
        <f t="shared" si="720"/>
        <v>-56202.310687999998</v>
      </c>
      <c r="T121" s="137">
        <f t="shared" si="739"/>
        <v>0.78299729140515739</v>
      </c>
      <c r="U121" s="326">
        <f t="shared" si="721"/>
        <v>394899.18</v>
      </c>
      <c r="V121" s="332">
        <f t="shared" si="740"/>
        <v>701433.74498730002</v>
      </c>
      <c r="W121" s="140">
        <f t="shared" si="538"/>
        <v>0</v>
      </c>
      <c r="X121" s="326">
        <f t="shared" si="741"/>
        <v>395119.84</v>
      </c>
      <c r="Y121" s="717">
        <f t="shared" si="742"/>
        <v>395119.84</v>
      </c>
      <c r="Z121" s="123">
        <f t="shared" si="722"/>
        <v>-306313.90498729999</v>
      </c>
      <c r="AA121" s="137">
        <f t="shared" si="743"/>
        <v>0.56330315275486775</v>
      </c>
      <c r="AB121" s="326">
        <f t="shared" si="723"/>
        <v>217411.71</v>
      </c>
      <c r="AC121" s="326">
        <f t="shared" si="724"/>
        <v>364224.40247024997</v>
      </c>
      <c r="AD121" s="326">
        <f t="shared" si="541"/>
        <v>62963.23000000004</v>
      </c>
      <c r="AE121" s="326">
        <f t="shared" si="744"/>
        <v>297309.61</v>
      </c>
      <c r="AF121" s="716">
        <f t="shared" si="745"/>
        <v>360272.84</v>
      </c>
      <c r="AG121" s="326">
        <f t="shared" si="559"/>
        <v>-3951.5624702499481</v>
      </c>
      <c r="AH121" s="137">
        <f t="shared" si="725"/>
        <v>0.98915074760655908</v>
      </c>
      <c r="AI121" s="332">
        <f t="shared" si="561"/>
        <v>1324651.73814555</v>
      </c>
      <c r="AJ121" s="140">
        <f t="shared" si="608"/>
        <v>441756.02</v>
      </c>
      <c r="AK121" s="326">
        <f t="shared" si="32"/>
        <v>76756.590000000084</v>
      </c>
      <c r="AL121" s="326">
        <f t="shared" ref="AL121:AM121" si="750">SUM(AE121,X121,Q121)</f>
        <v>881427.37</v>
      </c>
      <c r="AM121" s="326">
        <f t="shared" si="750"/>
        <v>958183.96000000008</v>
      </c>
      <c r="AN121" s="326">
        <f t="shared" si="70"/>
        <v>-366467.77814554994</v>
      </c>
      <c r="AO121" s="413">
        <f t="shared" si="79"/>
        <v>2.1690343008794764</v>
      </c>
      <c r="AP121" s="423">
        <f t="shared" si="727"/>
        <v>258241.79</v>
      </c>
      <c r="AQ121" s="326">
        <f t="shared" si="36"/>
        <v>33384.200000000012</v>
      </c>
      <c r="AR121" s="326">
        <f t="shared" si="610"/>
        <v>281327.2</v>
      </c>
      <c r="AS121" s="333">
        <f t="shared" si="611"/>
        <v>314711.40000000002</v>
      </c>
      <c r="AT121" s="434">
        <f t="shared" si="728"/>
        <v>133140.32</v>
      </c>
      <c r="AU121" s="140">
        <f t="shared" si="40"/>
        <v>20761.449999999997</v>
      </c>
      <c r="AV121" s="326">
        <f t="shared" si="612"/>
        <v>108004.24</v>
      </c>
      <c r="AW121" s="333">
        <f t="shared" si="613"/>
        <v>128765.69</v>
      </c>
      <c r="AX121" s="125"/>
      <c r="AY121" s="140">
        <f t="shared" si="44"/>
        <v>68310</v>
      </c>
      <c r="AZ121" s="326">
        <f t="shared" si="614"/>
        <v>607931.6</v>
      </c>
      <c r="BA121" s="332">
        <f t="shared" si="615"/>
        <v>676241.6</v>
      </c>
      <c r="BB121" s="122">
        <f t="shared" ref="BB121:BD121" si="751">AY121+AU121+AQ121</f>
        <v>122455.65000000001</v>
      </c>
      <c r="BC121" s="326">
        <f t="shared" si="751"/>
        <v>997263.04</v>
      </c>
      <c r="BD121" s="332">
        <f t="shared" si="751"/>
        <v>1119718.69</v>
      </c>
      <c r="BE121" s="122">
        <f t="shared" si="48"/>
        <v>199212.24000000011</v>
      </c>
      <c r="BF121" s="326">
        <f t="shared" ref="BF121:BG121" si="752">AL121+BC121</f>
        <v>1878690.4100000001</v>
      </c>
      <c r="BG121" s="435">
        <f t="shared" si="752"/>
        <v>2077902.65</v>
      </c>
      <c r="BH121" s="125">
        <f t="shared" si="618"/>
        <v>159805.44</v>
      </c>
      <c r="BI121" s="140">
        <f t="shared" si="51"/>
        <v>0</v>
      </c>
      <c r="BJ121" s="123">
        <f t="shared" si="619"/>
        <v>475761.91999999998</v>
      </c>
      <c r="BK121" s="125">
        <f t="shared" si="620"/>
        <v>475761.91999999998</v>
      </c>
      <c r="BL121" s="123">
        <f t="shared" si="621"/>
        <v>430860.32</v>
      </c>
      <c r="BM121" s="140">
        <f t="shared" si="55"/>
        <v>38016.530000000028</v>
      </c>
      <c r="BN121" s="326">
        <f t="shared" si="622"/>
        <v>270324</v>
      </c>
      <c r="BO121" s="332">
        <f t="shared" si="623"/>
        <v>308340.53000000003</v>
      </c>
      <c r="BP121" s="141">
        <f t="shared" si="624"/>
        <v>114795.6</v>
      </c>
      <c r="BQ121" s="140">
        <f t="shared" si="59"/>
        <v>0</v>
      </c>
      <c r="BR121" s="326">
        <f t="shared" si="625"/>
        <v>373882.48</v>
      </c>
      <c r="BS121" s="333">
        <f t="shared" si="626"/>
        <v>373882.48</v>
      </c>
      <c r="BT121" s="113">
        <f t="shared" ref="BT121:BV121" si="753">SUM(BQ121,BM121,BI121)</f>
        <v>38016.530000000028</v>
      </c>
      <c r="BU121" s="116">
        <f t="shared" si="753"/>
        <v>1119968.3999999999</v>
      </c>
      <c r="BV121" s="117">
        <f t="shared" si="753"/>
        <v>1157984.93</v>
      </c>
      <c r="BW121" s="141">
        <f t="shared" si="628"/>
        <v>119281.56</v>
      </c>
      <c r="BX121" s="113">
        <f t="shared" si="64"/>
        <v>14755</v>
      </c>
      <c r="BY121" s="114">
        <f t="shared" si="629"/>
        <v>426589.63</v>
      </c>
      <c r="BZ121" s="115">
        <f t="shared" si="630"/>
        <v>441344.63</v>
      </c>
      <c r="CA121" s="123">
        <f t="shared" si="631"/>
        <v>116316.4</v>
      </c>
      <c r="CB121" s="333">
        <f t="shared" si="632"/>
        <v>206158.06</v>
      </c>
      <c r="CY121" s="294"/>
      <c r="DF121" s="296"/>
    </row>
    <row r="122" spans="1:110" ht="13">
      <c r="A122" s="420">
        <f t="shared" si="596"/>
        <v>112014206</v>
      </c>
      <c r="B122" s="565">
        <f t="shared" si="597"/>
        <v>4</v>
      </c>
      <c r="C122" s="558" t="str">
        <f t="shared" si="598"/>
        <v>Lista</v>
      </c>
      <c r="D122" s="558">
        <f t="shared" si="599"/>
        <v>0.2</v>
      </c>
      <c r="E122" s="715">
        <f t="shared" si="600"/>
        <v>0</v>
      </c>
      <c r="F122" s="701">
        <f t="shared" si="601"/>
        <v>4</v>
      </c>
      <c r="G122" s="700" t="str">
        <f t="shared" si="602"/>
        <v>Lista</v>
      </c>
      <c r="H122" s="700">
        <f t="shared" si="603"/>
        <v>0.2</v>
      </c>
      <c r="I122" s="700">
        <f t="shared" si="604"/>
        <v>0</v>
      </c>
      <c r="J122" s="547">
        <f t="shared" si="605"/>
        <v>70</v>
      </c>
      <c r="K122" s="699" t="str">
        <f t="shared" si="606"/>
        <v>Lista</v>
      </c>
      <c r="L122" s="702">
        <f t="shared" si="607"/>
        <v>0.11</v>
      </c>
      <c r="M122" s="139" t="s">
        <v>627</v>
      </c>
      <c r="N122" s="423"/>
      <c r="O122" s="326"/>
      <c r="P122" s="326" t="e">
        <f t="shared" si="535"/>
        <v>#VALUE!</v>
      </c>
      <c r="Q122" s="326" t="str">
        <f t="shared" si="737"/>
        <v/>
      </c>
      <c r="R122" s="716" t="str">
        <f t="shared" si="738"/>
        <v>0</v>
      </c>
      <c r="S122" s="326">
        <f t="shared" si="720"/>
        <v>0</v>
      </c>
      <c r="T122" s="137" t="str">
        <f t="shared" si="739"/>
        <v/>
      </c>
      <c r="U122" s="326">
        <f t="shared" si="721"/>
        <v>0</v>
      </c>
      <c r="V122" s="332">
        <f t="shared" si="740"/>
        <v>0</v>
      </c>
      <c r="W122" s="140" t="e">
        <f t="shared" si="538"/>
        <v>#VALUE!</v>
      </c>
      <c r="X122" s="326" t="str">
        <f t="shared" si="741"/>
        <v/>
      </c>
      <c r="Y122" s="717" t="str">
        <f t="shared" si="742"/>
        <v>0</v>
      </c>
      <c r="Z122" s="123">
        <f t="shared" si="722"/>
        <v>0</v>
      </c>
      <c r="AA122" s="137" t="str">
        <f t="shared" si="743"/>
        <v/>
      </c>
      <c r="AB122" s="326">
        <f t="shared" si="723"/>
        <v>0</v>
      </c>
      <c r="AC122" s="326">
        <f t="shared" si="724"/>
        <v>0</v>
      </c>
      <c r="AD122" s="326" t="e">
        <f t="shared" si="541"/>
        <v>#VALUE!</v>
      </c>
      <c r="AE122" s="326" t="str">
        <f t="shared" si="744"/>
        <v/>
      </c>
      <c r="AF122" s="716" t="str">
        <f t="shared" si="745"/>
        <v>0</v>
      </c>
      <c r="AG122" s="326">
        <f t="shared" si="559"/>
        <v>0</v>
      </c>
      <c r="AH122" s="137" t="str">
        <f t="shared" si="725"/>
        <v/>
      </c>
      <c r="AI122" s="332">
        <f t="shared" si="561"/>
        <v>0</v>
      </c>
      <c r="AJ122" s="140" t="str">
        <f t="shared" si="608"/>
        <v>0</v>
      </c>
      <c r="AK122" s="326">
        <f t="shared" si="32"/>
        <v>0</v>
      </c>
      <c r="AL122" s="326">
        <f t="shared" ref="AL122:AM122" si="754">SUM(AE122,X122,Q122)</f>
        <v>0</v>
      </c>
      <c r="AM122" s="326">
        <f t="shared" si="754"/>
        <v>0</v>
      </c>
      <c r="AN122" s="326">
        <f t="shared" si="70"/>
        <v>0</v>
      </c>
      <c r="AO122" s="413" t="str">
        <f t="shared" si="79"/>
        <v/>
      </c>
      <c r="AP122" s="423">
        <f t="shared" si="727"/>
        <v>0</v>
      </c>
      <c r="AQ122" s="326" t="e">
        <f t="shared" si="36"/>
        <v>#VALUE!</v>
      </c>
      <c r="AR122" s="326" t="str">
        <f t="shared" si="610"/>
        <v/>
      </c>
      <c r="AS122" s="333" t="str">
        <f t="shared" si="611"/>
        <v>0</v>
      </c>
      <c r="AT122" s="434">
        <f t="shared" si="728"/>
        <v>0</v>
      </c>
      <c r="AU122" s="140" t="e">
        <f t="shared" si="40"/>
        <v>#VALUE!</v>
      </c>
      <c r="AV122" s="326" t="str">
        <f t="shared" si="612"/>
        <v/>
      </c>
      <c r="AW122" s="333" t="str">
        <f t="shared" si="613"/>
        <v>0</v>
      </c>
      <c r="AX122" s="125"/>
      <c r="AY122" s="140" t="e">
        <f t="shared" si="44"/>
        <v>#VALUE!</v>
      </c>
      <c r="AZ122" s="326" t="str">
        <f t="shared" si="614"/>
        <v/>
      </c>
      <c r="BA122" s="332" t="str">
        <f t="shared" si="615"/>
        <v>0</v>
      </c>
      <c r="BB122" s="122" t="e">
        <f t="shared" ref="BB122:BD122" si="755">AY122+AU122+AQ122</f>
        <v>#VALUE!</v>
      </c>
      <c r="BC122" s="326" t="e">
        <f t="shared" si="755"/>
        <v>#VALUE!</v>
      </c>
      <c r="BD122" s="332">
        <f t="shared" si="755"/>
        <v>0</v>
      </c>
      <c r="BE122" s="122" t="e">
        <f t="shared" si="48"/>
        <v>#VALUE!</v>
      </c>
      <c r="BF122" s="326" t="e">
        <f t="shared" ref="BF122:BG122" si="756">AL122+BC122</f>
        <v>#VALUE!</v>
      </c>
      <c r="BG122" s="435">
        <f t="shared" si="756"/>
        <v>0</v>
      </c>
      <c r="BH122" s="125">
        <f t="shared" si="618"/>
        <v>0</v>
      </c>
      <c r="BI122" s="140" t="e">
        <f t="shared" si="51"/>
        <v>#VALUE!</v>
      </c>
      <c r="BJ122" s="123" t="str">
        <f t="shared" si="619"/>
        <v/>
      </c>
      <c r="BK122" s="125" t="str">
        <f t="shared" si="620"/>
        <v>0</v>
      </c>
      <c r="BL122" s="123">
        <f t="shared" si="621"/>
        <v>0</v>
      </c>
      <c r="BM122" s="140" t="e">
        <f t="shared" si="55"/>
        <v>#VALUE!</v>
      </c>
      <c r="BN122" s="326" t="str">
        <f t="shared" si="622"/>
        <v/>
      </c>
      <c r="BO122" s="332" t="str">
        <f t="shared" si="623"/>
        <v>0</v>
      </c>
      <c r="BP122" s="141">
        <f t="shared" si="624"/>
        <v>0</v>
      </c>
      <c r="BQ122" s="140" t="e">
        <f t="shared" si="59"/>
        <v>#VALUE!</v>
      </c>
      <c r="BR122" s="326" t="str">
        <f t="shared" si="625"/>
        <v/>
      </c>
      <c r="BS122" s="333" t="str">
        <f t="shared" si="626"/>
        <v>0</v>
      </c>
      <c r="BT122" s="113" t="e">
        <f t="shared" ref="BT122:BV122" si="757">SUM(BQ122,BM122,BI122)</f>
        <v>#VALUE!</v>
      </c>
      <c r="BU122" s="116">
        <f t="shared" si="757"/>
        <v>0</v>
      </c>
      <c r="BV122" s="117">
        <f t="shared" si="757"/>
        <v>0</v>
      </c>
      <c r="BW122" s="141">
        <f t="shared" si="628"/>
        <v>0</v>
      </c>
      <c r="BX122" s="113" t="e">
        <f t="shared" si="64"/>
        <v>#VALUE!</v>
      </c>
      <c r="BY122" s="114" t="str">
        <f t="shared" si="629"/>
        <v/>
      </c>
      <c r="BZ122" s="115" t="str">
        <f t="shared" si="630"/>
        <v>0</v>
      </c>
      <c r="CA122" s="123">
        <f t="shared" si="631"/>
        <v>0</v>
      </c>
      <c r="CB122" s="333">
        <f t="shared" si="632"/>
        <v>0</v>
      </c>
      <c r="CY122" s="294"/>
      <c r="DF122" s="296"/>
    </row>
    <row r="123" spans="1:110" ht="13">
      <c r="A123" s="420">
        <f t="shared" si="596"/>
        <v>112013222</v>
      </c>
      <c r="B123" s="565">
        <f t="shared" si="597"/>
        <v>4</v>
      </c>
      <c r="C123" s="558" t="str">
        <f t="shared" si="598"/>
        <v>Lista</v>
      </c>
      <c r="D123" s="558">
        <f t="shared" si="599"/>
        <v>0.2</v>
      </c>
      <c r="E123" s="715">
        <f t="shared" si="600"/>
        <v>0</v>
      </c>
      <c r="F123" s="701">
        <f t="shared" si="601"/>
        <v>4</v>
      </c>
      <c r="G123" s="700" t="str">
        <f t="shared" si="602"/>
        <v>Lista</v>
      </c>
      <c r="H123" s="700">
        <f t="shared" si="603"/>
        <v>0.2</v>
      </c>
      <c r="I123" s="700">
        <f t="shared" si="604"/>
        <v>0</v>
      </c>
      <c r="J123" s="547">
        <f t="shared" si="605"/>
        <v>70</v>
      </c>
      <c r="K123" s="699" t="str">
        <f t="shared" si="606"/>
        <v>Lista</v>
      </c>
      <c r="L123" s="702">
        <f t="shared" si="607"/>
        <v>0.11</v>
      </c>
      <c r="M123" s="139" t="s">
        <v>628</v>
      </c>
      <c r="N123" s="423">
        <f t="shared" ref="N123:N134" si="758">IFERROR(VLOOKUP(M123,LAGE24,3,FALSE),"")</f>
        <v>898111.62</v>
      </c>
      <c r="O123" s="326">
        <f t="shared" ref="O123:O134" si="759">(N123*1.601)*1.05</f>
        <v>1509770.5388010002</v>
      </c>
      <c r="P123" s="326">
        <f t="shared" si="535"/>
        <v>0</v>
      </c>
      <c r="Q123" s="326">
        <f t="shared" si="737"/>
        <v>707437.44</v>
      </c>
      <c r="R123" s="716">
        <f t="shared" si="738"/>
        <v>707437.44</v>
      </c>
      <c r="S123" s="326">
        <f t="shared" si="720"/>
        <v>-802333.09880100028</v>
      </c>
      <c r="T123" s="137">
        <f t="shared" si="739"/>
        <v>0.46857282071606632</v>
      </c>
      <c r="U123" s="326">
        <f t="shared" si="721"/>
        <v>263253.2</v>
      </c>
      <c r="V123" s="332">
        <f t="shared" si="740"/>
        <v>467599.54770200001</v>
      </c>
      <c r="W123" s="140">
        <f t="shared" si="538"/>
        <v>40958.640000000014</v>
      </c>
      <c r="X123" s="326">
        <f t="shared" si="741"/>
        <v>609991.92000000004</v>
      </c>
      <c r="Y123" s="717">
        <f t="shared" si="742"/>
        <v>650950.56000000006</v>
      </c>
      <c r="Z123" s="123">
        <f t="shared" si="722"/>
        <v>183351.01229800005</v>
      </c>
      <c r="AA123" s="137">
        <f t="shared" si="743"/>
        <v>1.3921111840228921</v>
      </c>
      <c r="AB123" s="326">
        <f t="shared" si="723"/>
        <v>685361.76</v>
      </c>
      <c r="AC123" s="326">
        <f t="shared" si="724"/>
        <v>1148169.422484</v>
      </c>
      <c r="AD123" s="326">
        <f t="shared" si="541"/>
        <v>0</v>
      </c>
      <c r="AE123" s="326">
        <f t="shared" si="744"/>
        <v>974860.48</v>
      </c>
      <c r="AF123" s="716">
        <f t="shared" si="745"/>
        <v>974860.48</v>
      </c>
      <c r="AG123" s="326">
        <f t="shared" si="559"/>
        <v>-173308.942484</v>
      </c>
      <c r="AH123" s="137">
        <f t="shared" si="725"/>
        <v>0.84905629858261178</v>
      </c>
      <c r="AI123" s="332">
        <f t="shared" si="561"/>
        <v>3125539.5089870002</v>
      </c>
      <c r="AJ123" s="140">
        <f t="shared" si="608"/>
        <v>2046607.3600000001</v>
      </c>
      <c r="AK123" s="326">
        <f t="shared" si="32"/>
        <v>40958.64000000013</v>
      </c>
      <c r="AL123" s="326">
        <f t="shared" ref="AL123:AM123" si="760">SUM(AE123,X123,Q123)</f>
        <v>2292289.84</v>
      </c>
      <c r="AM123" s="326">
        <f t="shared" si="760"/>
        <v>2333248.48</v>
      </c>
      <c r="AN123" s="326">
        <f t="shared" si="70"/>
        <v>-792291.02898700023</v>
      </c>
      <c r="AO123" s="413">
        <f t="shared" si="79"/>
        <v>1.1400567229466037</v>
      </c>
      <c r="AP123" s="423">
        <f t="shared" si="727"/>
        <v>1178451.76</v>
      </c>
      <c r="AQ123" s="326">
        <f t="shared" si="36"/>
        <v>0</v>
      </c>
      <c r="AR123" s="326">
        <f t="shared" si="610"/>
        <v>792126.24</v>
      </c>
      <c r="AS123" s="333">
        <f t="shared" si="611"/>
        <v>792126.24</v>
      </c>
      <c r="AT123" s="434">
        <f t="shared" si="728"/>
        <v>903495.42</v>
      </c>
      <c r="AU123" s="140">
        <f t="shared" si="40"/>
        <v>0</v>
      </c>
      <c r="AV123" s="326">
        <f t="shared" si="612"/>
        <v>879871.31</v>
      </c>
      <c r="AW123" s="333">
        <f t="shared" si="613"/>
        <v>879871.31</v>
      </c>
      <c r="AX123" s="125"/>
      <c r="AY123" s="140">
        <f t="shared" si="44"/>
        <v>0</v>
      </c>
      <c r="AZ123" s="326">
        <f t="shared" si="614"/>
        <v>1383013.86</v>
      </c>
      <c r="BA123" s="332">
        <f t="shared" si="615"/>
        <v>1383013.86</v>
      </c>
      <c r="BB123" s="122">
        <f t="shared" ref="BB123:BD123" si="761">AY123+AU123+AQ123</f>
        <v>0</v>
      </c>
      <c r="BC123" s="326">
        <f t="shared" si="761"/>
        <v>3055011.41</v>
      </c>
      <c r="BD123" s="332">
        <f t="shared" si="761"/>
        <v>3055011.41</v>
      </c>
      <c r="BE123" s="122">
        <f t="shared" si="48"/>
        <v>40958.64000000013</v>
      </c>
      <c r="BF123" s="326">
        <f t="shared" ref="BF123:BG123" si="762">AL123+BC123</f>
        <v>5347301.25</v>
      </c>
      <c r="BG123" s="435">
        <f t="shared" si="762"/>
        <v>5388259.8900000006</v>
      </c>
      <c r="BH123" s="125">
        <f t="shared" si="618"/>
        <v>1187351.06</v>
      </c>
      <c r="BI123" s="140">
        <f t="shared" si="51"/>
        <v>0</v>
      </c>
      <c r="BJ123" s="123">
        <f t="shared" si="619"/>
        <v>1367945.76</v>
      </c>
      <c r="BK123" s="125">
        <f t="shared" si="620"/>
        <v>1367945.76</v>
      </c>
      <c r="BL123" s="123">
        <f t="shared" si="621"/>
        <v>601372.24</v>
      </c>
      <c r="BM123" s="140">
        <f t="shared" si="55"/>
        <v>0</v>
      </c>
      <c r="BN123" s="326">
        <f t="shared" si="622"/>
        <v>899386.69</v>
      </c>
      <c r="BO123" s="332">
        <f t="shared" si="623"/>
        <v>899386.69</v>
      </c>
      <c r="BP123" s="141">
        <f t="shared" si="624"/>
        <v>635311.19999999995</v>
      </c>
      <c r="BQ123" s="140">
        <f t="shared" si="59"/>
        <v>0</v>
      </c>
      <c r="BR123" s="326">
        <f t="shared" si="625"/>
        <v>662802.80000000005</v>
      </c>
      <c r="BS123" s="333">
        <f t="shared" si="626"/>
        <v>662802.80000000005</v>
      </c>
      <c r="BT123" s="113">
        <f t="shared" ref="BT123:BV123" si="763">SUM(BQ123,BM123,BI123)</f>
        <v>0</v>
      </c>
      <c r="BU123" s="116">
        <f t="shared" si="763"/>
        <v>2930135.25</v>
      </c>
      <c r="BV123" s="117">
        <f t="shared" si="763"/>
        <v>2930135.25</v>
      </c>
      <c r="BW123" s="141">
        <f t="shared" si="628"/>
        <v>879536.16</v>
      </c>
      <c r="BX123" s="113">
        <f t="shared" si="64"/>
        <v>0</v>
      </c>
      <c r="BY123" s="114">
        <f t="shared" si="629"/>
        <v>1310498.67</v>
      </c>
      <c r="BZ123" s="115">
        <f t="shared" si="630"/>
        <v>1310498.67</v>
      </c>
      <c r="CA123" s="123">
        <f t="shared" si="631"/>
        <v>412462.8</v>
      </c>
      <c r="CB123" s="333">
        <f t="shared" si="632"/>
        <v>754608.4</v>
      </c>
      <c r="CY123" s="294"/>
      <c r="DF123" s="296"/>
    </row>
    <row r="124" spans="1:110" ht="13">
      <c r="A124" s="420">
        <f t="shared" si="596"/>
        <v>112013228</v>
      </c>
      <c r="B124" s="565">
        <f t="shared" si="597"/>
        <v>4</v>
      </c>
      <c r="C124" s="558" t="str">
        <f t="shared" si="598"/>
        <v>Lista</v>
      </c>
      <c r="D124" s="558">
        <f t="shared" si="599"/>
        <v>0.2</v>
      </c>
      <c r="E124" s="715">
        <f t="shared" si="600"/>
        <v>0</v>
      </c>
      <c r="F124" s="701">
        <f t="shared" si="601"/>
        <v>4</v>
      </c>
      <c r="G124" s="700" t="str">
        <f t="shared" si="602"/>
        <v>Lista</v>
      </c>
      <c r="H124" s="700">
        <f t="shared" si="603"/>
        <v>0.2</v>
      </c>
      <c r="I124" s="700">
        <f t="shared" si="604"/>
        <v>0</v>
      </c>
      <c r="J124" s="547">
        <f t="shared" si="605"/>
        <v>70</v>
      </c>
      <c r="K124" s="699" t="str">
        <f t="shared" si="606"/>
        <v>Lista</v>
      </c>
      <c r="L124" s="702">
        <f t="shared" si="607"/>
        <v>0.11</v>
      </c>
      <c r="M124" s="139" t="s">
        <v>629</v>
      </c>
      <c r="N124" s="423">
        <f t="shared" si="758"/>
        <v>597242.37</v>
      </c>
      <c r="O124" s="326">
        <f t="shared" si="759"/>
        <v>1003994.2860885001</v>
      </c>
      <c r="P124" s="326">
        <f t="shared" si="535"/>
        <v>425939.64</v>
      </c>
      <c r="Q124" s="326">
        <f t="shared" si="737"/>
        <v>262540.24</v>
      </c>
      <c r="R124" s="716">
        <f t="shared" si="738"/>
        <v>688479.88</v>
      </c>
      <c r="S124" s="326">
        <f t="shared" si="720"/>
        <v>-315514.40608850005</v>
      </c>
      <c r="T124" s="137">
        <f t="shared" si="739"/>
        <v>0.68574083492275162</v>
      </c>
      <c r="U124" s="326">
        <f t="shared" si="721"/>
        <v>244794.1</v>
      </c>
      <c r="V124" s="332">
        <f t="shared" si="740"/>
        <v>434811.84821349999</v>
      </c>
      <c r="W124" s="140">
        <f t="shared" si="538"/>
        <v>140650.32</v>
      </c>
      <c r="X124" s="326">
        <f t="shared" si="741"/>
        <v>214038.64</v>
      </c>
      <c r="Y124" s="717">
        <f t="shared" si="742"/>
        <v>354688.96</v>
      </c>
      <c r="Z124" s="123">
        <f t="shared" si="722"/>
        <v>-80122.888213499973</v>
      </c>
      <c r="AA124" s="137">
        <f t="shared" si="743"/>
        <v>0.81572974944749377</v>
      </c>
      <c r="AB124" s="326">
        <f t="shared" si="723"/>
        <v>263008.62</v>
      </c>
      <c r="AC124" s="326">
        <f t="shared" si="724"/>
        <v>440611.76587050001</v>
      </c>
      <c r="AD124" s="326">
        <f t="shared" si="541"/>
        <v>382071.72</v>
      </c>
      <c r="AE124" s="326">
        <f t="shared" si="744"/>
        <v>38031.839999999997</v>
      </c>
      <c r="AF124" s="716">
        <f t="shared" si="745"/>
        <v>420103.56</v>
      </c>
      <c r="AG124" s="326">
        <f t="shared" si="559"/>
        <v>-20508.205870500009</v>
      </c>
      <c r="AH124" s="137">
        <f t="shared" si="725"/>
        <v>0.95345515608285514</v>
      </c>
      <c r="AI124" s="332">
        <f t="shared" si="561"/>
        <v>1879417.9001724999</v>
      </c>
      <c r="AJ124" s="140">
        <f t="shared" si="608"/>
        <v>348793.32</v>
      </c>
      <c r="AK124" s="326">
        <f t="shared" si="32"/>
        <v>948661.67999999993</v>
      </c>
      <c r="AL124" s="326">
        <f t="shared" ref="AL124:AM124" si="764">SUM(AE124,X124,Q124)</f>
        <v>514610.72</v>
      </c>
      <c r="AM124" s="326">
        <f t="shared" si="764"/>
        <v>1463272.4</v>
      </c>
      <c r="AN124" s="326">
        <f t="shared" si="70"/>
        <v>-416145.50017250003</v>
      </c>
      <c r="AO124" s="413">
        <f t="shared" si="79"/>
        <v>4.1952420419060772</v>
      </c>
      <c r="AP124" s="423">
        <f t="shared" si="727"/>
        <v>322280.51</v>
      </c>
      <c r="AQ124" s="326">
        <f t="shared" si="36"/>
        <v>0</v>
      </c>
      <c r="AR124" s="326">
        <f t="shared" si="610"/>
        <v>135694.64000000001</v>
      </c>
      <c r="AS124" s="333">
        <f t="shared" si="611"/>
        <v>135694.64000000001</v>
      </c>
      <c r="AT124" s="434">
        <f t="shared" si="728"/>
        <v>77553.119999999995</v>
      </c>
      <c r="AU124" s="140">
        <f t="shared" si="40"/>
        <v>76151.699999999983</v>
      </c>
      <c r="AV124" s="326">
        <f t="shared" si="612"/>
        <v>154461.20000000001</v>
      </c>
      <c r="AW124" s="333">
        <f t="shared" si="613"/>
        <v>230612.9</v>
      </c>
      <c r="AX124" s="125"/>
      <c r="AY124" s="140">
        <f t="shared" si="44"/>
        <v>115285.52</v>
      </c>
      <c r="AZ124" s="326">
        <f t="shared" si="614"/>
        <v>50222.86</v>
      </c>
      <c r="BA124" s="332">
        <f t="shared" si="615"/>
        <v>165508.38</v>
      </c>
      <c r="BB124" s="122">
        <f t="shared" ref="BB124:BD124" si="765">AY124+AU124+AQ124</f>
        <v>191437.21999999997</v>
      </c>
      <c r="BC124" s="326">
        <f t="shared" si="765"/>
        <v>340378.7</v>
      </c>
      <c r="BD124" s="332">
        <f t="shared" si="765"/>
        <v>531815.92000000004</v>
      </c>
      <c r="BE124" s="122">
        <f t="shared" si="48"/>
        <v>1140098.8999999999</v>
      </c>
      <c r="BF124" s="326">
        <f t="shared" ref="BF124:BG124" si="766">AL124+BC124</f>
        <v>854989.41999999993</v>
      </c>
      <c r="BG124" s="435">
        <f t="shared" si="766"/>
        <v>1995088.3199999998</v>
      </c>
      <c r="BH124" s="125">
        <f t="shared" si="618"/>
        <v>217015.76</v>
      </c>
      <c r="BI124" s="140">
        <f t="shared" si="51"/>
        <v>364246.10000000003</v>
      </c>
      <c r="BJ124" s="123">
        <f t="shared" si="619"/>
        <v>143634.23999999999</v>
      </c>
      <c r="BK124" s="125">
        <f t="shared" si="620"/>
        <v>507880.34</v>
      </c>
      <c r="BL124" s="123">
        <f t="shared" si="621"/>
        <v>216211.25</v>
      </c>
      <c r="BM124" s="140">
        <f t="shared" si="55"/>
        <v>0</v>
      </c>
      <c r="BN124" s="326">
        <f t="shared" si="622"/>
        <v>114683.28</v>
      </c>
      <c r="BO124" s="332">
        <f t="shared" si="623"/>
        <v>114683.28</v>
      </c>
      <c r="BP124" s="141">
        <f t="shared" si="624"/>
        <v>346384.84</v>
      </c>
      <c r="BQ124" s="140">
        <f t="shared" si="59"/>
        <v>230244.82000000004</v>
      </c>
      <c r="BR124" s="326">
        <f t="shared" si="625"/>
        <v>132706.96</v>
      </c>
      <c r="BS124" s="333">
        <f t="shared" si="626"/>
        <v>362951.78</v>
      </c>
      <c r="BT124" s="113">
        <f t="shared" ref="BT124:BV124" si="767">SUM(BQ124,BM124,BI124)</f>
        <v>594490.92000000004</v>
      </c>
      <c r="BU124" s="116">
        <f t="shared" si="767"/>
        <v>391024.48</v>
      </c>
      <c r="BV124" s="117">
        <f t="shared" si="767"/>
        <v>985515.40000000014</v>
      </c>
      <c r="BW124" s="141">
        <f t="shared" si="628"/>
        <v>243432.76</v>
      </c>
      <c r="BX124" s="113">
        <f t="shared" si="64"/>
        <v>0</v>
      </c>
      <c r="BY124" s="114">
        <f t="shared" si="629"/>
        <v>163386.38</v>
      </c>
      <c r="BZ124" s="115">
        <f t="shared" si="630"/>
        <v>163386.38</v>
      </c>
      <c r="CA124" s="123">
        <f t="shared" si="631"/>
        <v>105360.56</v>
      </c>
      <c r="CB124" s="333">
        <f t="shared" si="632"/>
        <v>0</v>
      </c>
      <c r="CY124" s="294"/>
      <c r="DF124" s="296"/>
    </row>
    <row r="125" spans="1:110" ht="13">
      <c r="A125" s="420">
        <f t="shared" si="596"/>
        <v>112013232</v>
      </c>
      <c r="B125" s="565">
        <f t="shared" si="597"/>
        <v>4</v>
      </c>
      <c r="C125" s="558" t="str">
        <f t="shared" si="598"/>
        <v>Lista</v>
      </c>
      <c r="D125" s="558">
        <f t="shared" si="599"/>
        <v>0.2</v>
      </c>
      <c r="E125" s="715">
        <f t="shared" si="600"/>
        <v>0</v>
      </c>
      <c r="F125" s="701">
        <f t="shared" si="601"/>
        <v>4</v>
      </c>
      <c r="G125" s="700" t="str">
        <f t="shared" si="602"/>
        <v>Lista</v>
      </c>
      <c r="H125" s="700">
        <f t="shared" si="603"/>
        <v>0.2</v>
      </c>
      <c r="I125" s="700">
        <f t="shared" si="604"/>
        <v>0</v>
      </c>
      <c r="J125" s="547">
        <f t="shared" si="605"/>
        <v>70</v>
      </c>
      <c r="K125" s="699" t="str">
        <f t="shared" si="606"/>
        <v>Lista</v>
      </c>
      <c r="L125" s="702">
        <f t="shared" si="607"/>
        <v>0.11</v>
      </c>
      <c r="M125" s="139" t="s">
        <v>630</v>
      </c>
      <c r="N125" s="423">
        <f t="shared" si="758"/>
        <v>964268.24</v>
      </c>
      <c r="O125" s="326">
        <f t="shared" si="759"/>
        <v>1620983.124852</v>
      </c>
      <c r="P125" s="326">
        <f t="shared" si="535"/>
        <v>568446.30000000005</v>
      </c>
      <c r="Q125" s="326">
        <f t="shared" si="737"/>
        <v>685741.94</v>
      </c>
      <c r="R125" s="716">
        <f t="shared" si="738"/>
        <v>1254188.24</v>
      </c>
      <c r="S125" s="326">
        <f t="shared" si="720"/>
        <v>-366794.88485200005</v>
      </c>
      <c r="T125" s="137">
        <f t="shared" si="739"/>
        <v>0.7737207258801726</v>
      </c>
      <c r="U125" s="326">
        <f t="shared" si="721"/>
        <v>501690.73</v>
      </c>
      <c r="V125" s="332">
        <f t="shared" si="740"/>
        <v>891120.63380154991</v>
      </c>
      <c r="W125" s="140">
        <f t="shared" si="538"/>
        <v>276829.11</v>
      </c>
      <c r="X125" s="326">
        <f t="shared" si="741"/>
        <v>657280.74</v>
      </c>
      <c r="Y125" s="717">
        <f t="shared" si="742"/>
        <v>934109.85</v>
      </c>
      <c r="Z125" s="123">
        <f t="shared" si="722"/>
        <v>42989.216198450071</v>
      </c>
      <c r="AA125" s="137">
        <f t="shared" si="743"/>
        <v>1.0482417470405287</v>
      </c>
      <c r="AB125" s="326">
        <f t="shared" si="723"/>
        <v>573108.68000000005</v>
      </c>
      <c r="AC125" s="326">
        <f t="shared" si="724"/>
        <v>960114.64388700004</v>
      </c>
      <c r="AD125" s="326">
        <f t="shared" si="541"/>
        <v>316543.24</v>
      </c>
      <c r="AE125" s="326">
        <f t="shared" si="744"/>
        <v>875353.51</v>
      </c>
      <c r="AF125" s="716">
        <f t="shared" si="745"/>
        <v>1191896.75</v>
      </c>
      <c r="AG125" s="326">
        <f t="shared" si="559"/>
        <v>231782.10611299996</v>
      </c>
      <c r="AH125" s="137">
        <f t="shared" si="725"/>
        <v>1.2414108644095208</v>
      </c>
      <c r="AI125" s="332">
        <f t="shared" si="561"/>
        <v>3472218.4025405501</v>
      </c>
      <c r="AJ125" s="140">
        <f t="shared" si="608"/>
        <v>3042793.81</v>
      </c>
      <c r="AK125" s="326">
        <f t="shared" si="32"/>
        <v>1161818.6499999999</v>
      </c>
      <c r="AL125" s="326">
        <f t="shared" ref="AL125:AM125" si="768">SUM(AE125,X125,Q125)</f>
        <v>2218376.19</v>
      </c>
      <c r="AM125" s="326">
        <f t="shared" si="768"/>
        <v>3380194.84</v>
      </c>
      <c r="AN125" s="326">
        <f t="shared" si="70"/>
        <v>-92023.562540550251</v>
      </c>
      <c r="AO125" s="413">
        <f t="shared" si="79"/>
        <v>1.1108852755290703</v>
      </c>
      <c r="AP125" s="423">
        <f t="shared" si="727"/>
        <v>750038.66</v>
      </c>
      <c r="AQ125" s="326">
        <f t="shared" si="36"/>
        <v>174539.58000000002</v>
      </c>
      <c r="AR125" s="326">
        <f t="shared" si="610"/>
        <v>188811.01</v>
      </c>
      <c r="AS125" s="333">
        <f t="shared" si="611"/>
        <v>363350.59</v>
      </c>
      <c r="AT125" s="434">
        <f t="shared" si="728"/>
        <v>545027.82999999996</v>
      </c>
      <c r="AU125" s="140">
        <f t="shared" si="40"/>
        <v>117880.01000000001</v>
      </c>
      <c r="AV125" s="326">
        <f t="shared" si="612"/>
        <v>782504.07</v>
      </c>
      <c r="AW125" s="333">
        <f t="shared" si="613"/>
        <v>900384.08</v>
      </c>
      <c r="AX125" s="125"/>
      <c r="AY125" s="140">
        <f t="shared" si="44"/>
        <v>267552.98</v>
      </c>
      <c r="AZ125" s="326">
        <f t="shared" si="614"/>
        <v>1107581.42</v>
      </c>
      <c r="BA125" s="332">
        <f t="shared" si="615"/>
        <v>1375134.4</v>
      </c>
      <c r="BB125" s="122">
        <f t="shared" ref="BB125:BD125" si="769">AY125+AU125+AQ125</f>
        <v>559972.57000000007</v>
      </c>
      <c r="BC125" s="326">
        <f t="shared" si="769"/>
        <v>2078896.4999999998</v>
      </c>
      <c r="BD125" s="332">
        <f t="shared" si="769"/>
        <v>2638869.0699999998</v>
      </c>
      <c r="BE125" s="122">
        <f t="shared" si="48"/>
        <v>1721791.22</v>
      </c>
      <c r="BF125" s="326">
        <f t="shared" ref="BF125:BG125" si="770">AL125+BC125</f>
        <v>4297272.6899999995</v>
      </c>
      <c r="BG125" s="435">
        <f t="shared" si="770"/>
        <v>6019063.9100000001</v>
      </c>
      <c r="BH125" s="125">
        <f t="shared" si="618"/>
        <v>900790.74</v>
      </c>
      <c r="BI125" s="140">
        <f t="shared" si="51"/>
        <v>127776.97000000003</v>
      </c>
      <c r="BJ125" s="123">
        <f t="shared" si="619"/>
        <v>476496.59</v>
      </c>
      <c r="BK125" s="125">
        <f t="shared" si="620"/>
        <v>604273.56000000006</v>
      </c>
      <c r="BL125" s="123">
        <f t="shared" si="621"/>
        <v>784513.07</v>
      </c>
      <c r="BM125" s="140">
        <f t="shared" si="55"/>
        <v>241486.57999999996</v>
      </c>
      <c r="BN125" s="326">
        <f t="shared" si="622"/>
        <v>522015.11</v>
      </c>
      <c r="BO125" s="332">
        <f t="shared" si="623"/>
        <v>763501.69</v>
      </c>
      <c r="BP125" s="141">
        <f t="shared" si="624"/>
        <v>659834.93000000005</v>
      </c>
      <c r="BQ125" s="140">
        <f t="shared" si="59"/>
        <v>83213.300000000047</v>
      </c>
      <c r="BR125" s="326">
        <f t="shared" si="625"/>
        <v>678347.6</v>
      </c>
      <c r="BS125" s="333">
        <f t="shared" si="626"/>
        <v>761560.9</v>
      </c>
      <c r="BT125" s="113">
        <f t="shared" ref="BT125:BV125" si="771">SUM(BQ125,BM125,BI125)</f>
        <v>452476.85000000003</v>
      </c>
      <c r="BU125" s="116">
        <f t="shared" si="771"/>
        <v>1676859.3</v>
      </c>
      <c r="BV125" s="117">
        <f t="shared" si="771"/>
        <v>2129336.15</v>
      </c>
      <c r="BW125" s="141">
        <f t="shared" si="628"/>
        <v>1567180.8</v>
      </c>
      <c r="BX125" s="113">
        <f t="shared" si="64"/>
        <v>145388.22000000009</v>
      </c>
      <c r="BY125" s="114">
        <f t="shared" si="629"/>
        <v>542179.57999999996</v>
      </c>
      <c r="BZ125" s="115">
        <f t="shared" si="630"/>
        <v>687567.8</v>
      </c>
      <c r="CA125" s="123">
        <f t="shared" si="631"/>
        <v>512782.05</v>
      </c>
      <c r="CB125" s="333">
        <f t="shared" si="632"/>
        <v>962830.96</v>
      </c>
      <c r="CY125" s="294"/>
      <c r="DF125" s="296"/>
    </row>
    <row r="126" spans="1:110" ht="13">
      <c r="A126" s="420">
        <f t="shared" si="596"/>
        <v>112013315</v>
      </c>
      <c r="B126" s="565">
        <f t="shared" si="597"/>
        <v>4</v>
      </c>
      <c r="C126" s="558" t="str">
        <f t="shared" si="598"/>
        <v>Lista</v>
      </c>
      <c r="D126" s="558">
        <f t="shared" si="599"/>
        <v>0.2</v>
      </c>
      <c r="E126" s="715">
        <f t="shared" si="600"/>
        <v>0</v>
      </c>
      <c r="F126" s="701">
        <f t="shared" si="601"/>
        <v>4</v>
      </c>
      <c r="G126" s="700" t="str">
        <f t="shared" si="602"/>
        <v>Lista</v>
      </c>
      <c r="H126" s="700">
        <f t="shared" si="603"/>
        <v>0.2</v>
      </c>
      <c r="I126" s="700">
        <f t="shared" si="604"/>
        <v>0</v>
      </c>
      <c r="J126" s="547">
        <f t="shared" si="605"/>
        <v>70</v>
      </c>
      <c r="K126" s="699" t="str">
        <f t="shared" si="606"/>
        <v>Lista</v>
      </c>
      <c r="L126" s="702">
        <f t="shared" si="607"/>
        <v>0.11</v>
      </c>
      <c r="M126" s="139" t="s">
        <v>631</v>
      </c>
      <c r="N126" s="423">
        <f t="shared" si="758"/>
        <v>1262737.19</v>
      </c>
      <c r="O126" s="326">
        <f t="shared" si="759"/>
        <v>2122724.3532495</v>
      </c>
      <c r="P126" s="326">
        <f t="shared" si="535"/>
        <v>105185.91000000003</v>
      </c>
      <c r="Q126" s="326">
        <f t="shared" si="737"/>
        <v>824114</v>
      </c>
      <c r="R126" s="716">
        <f t="shared" si="738"/>
        <v>929299.91</v>
      </c>
      <c r="S126" s="326">
        <f t="shared" si="720"/>
        <v>-1193424.4432494999</v>
      </c>
      <c r="T126" s="137">
        <f t="shared" si="739"/>
        <v>0.4377864269458317</v>
      </c>
      <c r="U126" s="326">
        <f t="shared" si="721"/>
        <v>1374680.62</v>
      </c>
      <c r="V126" s="332">
        <f t="shared" si="740"/>
        <v>2441755.8310656999</v>
      </c>
      <c r="W126" s="140">
        <f t="shared" si="538"/>
        <v>25951.239999999991</v>
      </c>
      <c r="X126" s="326">
        <f t="shared" si="741"/>
        <v>1563091.84</v>
      </c>
      <c r="Y126" s="717">
        <f t="shared" si="742"/>
        <v>1589043.08</v>
      </c>
      <c r="Z126" s="123">
        <f t="shared" si="722"/>
        <v>-852712.75106569985</v>
      </c>
      <c r="AA126" s="137">
        <f t="shared" si="743"/>
        <v>0.65077886158112097</v>
      </c>
      <c r="AB126" s="326">
        <f t="shared" si="723"/>
        <v>713510.04</v>
      </c>
      <c r="AC126" s="326">
        <f t="shared" si="724"/>
        <v>1195325.5322610002</v>
      </c>
      <c r="AD126" s="326">
        <f t="shared" si="541"/>
        <v>45801.159999999974</v>
      </c>
      <c r="AE126" s="326">
        <f t="shared" si="744"/>
        <v>363659.46</v>
      </c>
      <c r="AF126" s="716">
        <f t="shared" si="745"/>
        <v>409460.62</v>
      </c>
      <c r="AG126" s="326">
        <f t="shared" si="559"/>
        <v>-785864.91226100025</v>
      </c>
      <c r="AH126" s="137">
        <f t="shared" si="725"/>
        <v>0.34255155516128805</v>
      </c>
      <c r="AI126" s="332">
        <f t="shared" si="561"/>
        <v>5759805.7165762</v>
      </c>
      <c r="AJ126" s="140">
        <f t="shared" si="608"/>
        <v>3270387.14</v>
      </c>
      <c r="AK126" s="326">
        <f t="shared" si="32"/>
        <v>176938.31000000052</v>
      </c>
      <c r="AL126" s="326">
        <f t="shared" ref="AL126:AM126" si="772">SUM(AE126,X126,Q126)</f>
        <v>2750865.3</v>
      </c>
      <c r="AM126" s="326">
        <f t="shared" si="772"/>
        <v>2927803.6100000003</v>
      </c>
      <c r="AN126" s="326">
        <f t="shared" si="70"/>
        <v>-2832002.1065761996</v>
      </c>
      <c r="AO126" s="413">
        <f t="shared" si="79"/>
        <v>0.89524679637775251</v>
      </c>
      <c r="AP126" s="423">
        <f t="shared" si="727"/>
        <v>922332.76</v>
      </c>
      <c r="AQ126" s="326">
        <f t="shared" si="36"/>
        <v>12367.659999999916</v>
      </c>
      <c r="AR126" s="326">
        <f t="shared" si="610"/>
        <v>796201.28</v>
      </c>
      <c r="AS126" s="333">
        <f t="shared" si="611"/>
        <v>808568.94</v>
      </c>
      <c r="AT126" s="434">
        <f t="shared" si="728"/>
        <v>1359604.9</v>
      </c>
      <c r="AU126" s="140">
        <f t="shared" si="40"/>
        <v>0</v>
      </c>
      <c r="AV126" s="326">
        <f t="shared" si="612"/>
        <v>954183.28</v>
      </c>
      <c r="AW126" s="333">
        <f t="shared" si="613"/>
        <v>954183.28</v>
      </c>
      <c r="AX126" s="125"/>
      <c r="AY126" s="140">
        <f t="shared" si="44"/>
        <v>0</v>
      </c>
      <c r="AZ126" s="326">
        <f t="shared" si="614"/>
        <v>784446.08</v>
      </c>
      <c r="BA126" s="332">
        <f t="shared" si="615"/>
        <v>784446.08</v>
      </c>
      <c r="BB126" s="122">
        <f t="shared" ref="BB126:BD126" si="773">AY126+AU126+AQ126</f>
        <v>12367.659999999916</v>
      </c>
      <c r="BC126" s="326">
        <f t="shared" si="773"/>
        <v>2534830.6399999997</v>
      </c>
      <c r="BD126" s="332">
        <f t="shared" si="773"/>
        <v>2547198.2999999998</v>
      </c>
      <c r="BE126" s="122">
        <f t="shared" si="48"/>
        <v>189305.97000000044</v>
      </c>
      <c r="BF126" s="326">
        <f t="shared" ref="BF126:BG126" si="774">AL126+BC126</f>
        <v>5285695.9399999995</v>
      </c>
      <c r="BG126" s="435">
        <f t="shared" si="774"/>
        <v>5475001.9100000001</v>
      </c>
      <c r="BH126" s="125">
        <f t="shared" si="618"/>
        <v>1377867.03</v>
      </c>
      <c r="BI126" s="140">
        <f t="shared" si="51"/>
        <v>0</v>
      </c>
      <c r="BJ126" s="123">
        <f t="shared" si="619"/>
        <v>603042.64</v>
      </c>
      <c r="BK126" s="125">
        <f t="shared" si="620"/>
        <v>603042.64</v>
      </c>
      <c r="BL126" s="123">
        <f t="shared" si="621"/>
        <v>1365977.59</v>
      </c>
      <c r="BM126" s="140">
        <f t="shared" si="55"/>
        <v>0</v>
      </c>
      <c r="BN126" s="326">
        <f t="shared" si="622"/>
        <v>786531.28</v>
      </c>
      <c r="BO126" s="332">
        <f t="shared" si="623"/>
        <v>786531.28</v>
      </c>
      <c r="BP126" s="141">
        <f t="shared" si="624"/>
        <v>1120235.28</v>
      </c>
      <c r="BQ126" s="140">
        <f t="shared" si="59"/>
        <v>0</v>
      </c>
      <c r="BR126" s="326">
        <f t="shared" si="625"/>
        <v>954430</v>
      </c>
      <c r="BS126" s="333">
        <f t="shared" si="626"/>
        <v>954430</v>
      </c>
      <c r="BT126" s="113">
        <f t="shared" ref="BT126:BV126" si="775">SUM(BQ126,BM126,BI126)</f>
        <v>0</v>
      </c>
      <c r="BU126" s="116">
        <f t="shared" si="775"/>
        <v>2344003.92</v>
      </c>
      <c r="BV126" s="117">
        <f t="shared" si="775"/>
        <v>2344003.92</v>
      </c>
      <c r="BW126" s="141">
        <f t="shared" si="628"/>
        <v>1059337.93</v>
      </c>
      <c r="BX126" s="113">
        <f t="shared" si="64"/>
        <v>0</v>
      </c>
      <c r="BY126" s="114">
        <f t="shared" si="629"/>
        <v>1619741.02</v>
      </c>
      <c r="BZ126" s="115">
        <f t="shared" si="630"/>
        <v>1619741.02</v>
      </c>
      <c r="CA126" s="123">
        <f t="shared" si="631"/>
        <v>1460624.29</v>
      </c>
      <c r="CB126" s="333">
        <f t="shared" si="632"/>
        <v>750424.92</v>
      </c>
      <c r="CY126" s="294"/>
      <c r="DF126" s="296"/>
    </row>
    <row r="127" spans="1:110" ht="13">
      <c r="A127" s="420">
        <f t="shared" si="596"/>
        <v>112013449</v>
      </c>
      <c r="B127" s="565">
        <f t="shared" si="597"/>
        <v>4</v>
      </c>
      <c r="C127" s="558" t="str">
        <f t="shared" si="598"/>
        <v>Lista</v>
      </c>
      <c r="D127" s="558">
        <f t="shared" si="599"/>
        <v>0.2</v>
      </c>
      <c r="E127" s="715">
        <f t="shared" si="600"/>
        <v>0</v>
      </c>
      <c r="F127" s="701">
        <f t="shared" si="601"/>
        <v>4</v>
      </c>
      <c r="G127" s="700" t="str">
        <f t="shared" si="602"/>
        <v>Lista</v>
      </c>
      <c r="H127" s="700">
        <f t="shared" si="603"/>
        <v>0.2</v>
      </c>
      <c r="I127" s="700">
        <f t="shared" si="604"/>
        <v>0</v>
      </c>
      <c r="J127" s="547">
        <f t="shared" si="605"/>
        <v>70</v>
      </c>
      <c r="K127" s="699" t="str">
        <f t="shared" si="606"/>
        <v>Lista</v>
      </c>
      <c r="L127" s="702">
        <f t="shared" si="607"/>
        <v>0.11</v>
      </c>
      <c r="M127" s="139" t="s">
        <v>632</v>
      </c>
      <c r="N127" s="423">
        <f t="shared" si="758"/>
        <v>169888.46</v>
      </c>
      <c r="O127" s="326">
        <f t="shared" si="759"/>
        <v>285590.99568300002</v>
      </c>
      <c r="P127" s="326">
        <f t="shared" si="535"/>
        <v>0</v>
      </c>
      <c r="Q127" s="326">
        <f t="shared" si="737"/>
        <v>324056.44</v>
      </c>
      <c r="R127" s="716">
        <f t="shared" si="738"/>
        <v>324056.44</v>
      </c>
      <c r="S127" s="326">
        <f t="shared" si="720"/>
        <v>38465.444316999987</v>
      </c>
      <c r="T127" s="137">
        <f t="shared" si="739"/>
        <v>1.1346871746604217</v>
      </c>
      <c r="U127" s="326">
        <f t="shared" si="721"/>
        <v>194813.36</v>
      </c>
      <c r="V127" s="332">
        <f t="shared" si="740"/>
        <v>346034.30849959998</v>
      </c>
      <c r="W127" s="140">
        <f t="shared" si="538"/>
        <v>0</v>
      </c>
      <c r="X127" s="326">
        <f t="shared" si="741"/>
        <v>149200.95999999999</v>
      </c>
      <c r="Y127" s="717">
        <f t="shared" si="742"/>
        <v>149200.95999999999</v>
      </c>
      <c r="Z127" s="123">
        <f t="shared" si="722"/>
        <v>-196833.34849959999</v>
      </c>
      <c r="AA127" s="137">
        <f t="shared" si="743"/>
        <v>0.43117389326778988</v>
      </c>
      <c r="AB127" s="326">
        <f t="shared" si="723"/>
        <v>0</v>
      </c>
      <c r="AC127" s="326">
        <f t="shared" si="724"/>
        <v>0</v>
      </c>
      <c r="AD127" s="326">
        <f t="shared" si="541"/>
        <v>0</v>
      </c>
      <c r="AE127" s="326">
        <f t="shared" si="744"/>
        <v>0</v>
      </c>
      <c r="AF127" s="716">
        <f t="shared" si="745"/>
        <v>0</v>
      </c>
      <c r="AG127" s="326">
        <f t="shared" si="559"/>
        <v>0</v>
      </c>
      <c r="AH127" s="137" t="str">
        <f t="shared" si="725"/>
        <v/>
      </c>
      <c r="AI127" s="332">
        <f t="shared" si="561"/>
        <v>631625.3041826</v>
      </c>
      <c r="AJ127" s="140" t="str">
        <f t="shared" si="608"/>
        <v>0</v>
      </c>
      <c r="AK127" s="326">
        <f t="shared" si="32"/>
        <v>0</v>
      </c>
      <c r="AL127" s="326">
        <f t="shared" ref="AL127:AM127" si="776">SUM(AE127,X127,Q127)</f>
        <v>473257.4</v>
      </c>
      <c r="AM127" s="326">
        <f t="shared" si="776"/>
        <v>473257.4</v>
      </c>
      <c r="AN127" s="326">
        <f t="shared" si="70"/>
        <v>-158367.90418259997</v>
      </c>
      <c r="AO127" s="413" t="str">
        <f t="shared" si="79"/>
        <v/>
      </c>
      <c r="AP127" s="423">
        <f t="shared" si="727"/>
        <v>237784.75</v>
      </c>
      <c r="AQ127" s="326">
        <f t="shared" si="36"/>
        <v>344821.00000000012</v>
      </c>
      <c r="AR127" s="326">
        <f t="shared" si="610"/>
        <v>859537.58</v>
      </c>
      <c r="AS127" s="333">
        <f t="shared" si="611"/>
        <v>1204358.58</v>
      </c>
      <c r="AT127" s="434">
        <f t="shared" si="728"/>
        <v>0</v>
      </c>
      <c r="AU127" s="140">
        <f t="shared" si="40"/>
        <v>40280</v>
      </c>
      <c r="AV127" s="326">
        <f t="shared" si="612"/>
        <v>413288.72</v>
      </c>
      <c r="AW127" s="333">
        <f t="shared" si="613"/>
        <v>453568.72</v>
      </c>
      <c r="AX127" s="125"/>
      <c r="AY127" s="140">
        <f t="shared" si="44"/>
        <v>13652.880000000005</v>
      </c>
      <c r="AZ127" s="326">
        <f t="shared" si="614"/>
        <v>240664.8</v>
      </c>
      <c r="BA127" s="332">
        <f t="shared" si="615"/>
        <v>254317.68</v>
      </c>
      <c r="BB127" s="122">
        <f t="shared" ref="BB127:BD127" si="777">AY127+AU127+AQ127</f>
        <v>398753.88000000012</v>
      </c>
      <c r="BC127" s="326">
        <f t="shared" si="777"/>
        <v>1513491.1</v>
      </c>
      <c r="BD127" s="332">
        <f t="shared" si="777"/>
        <v>1912244.98</v>
      </c>
      <c r="BE127" s="122">
        <f t="shared" si="48"/>
        <v>398753.88000000012</v>
      </c>
      <c r="BF127" s="326">
        <f t="shared" ref="BF127:BG127" si="778">AL127+BC127</f>
        <v>1986748.5</v>
      </c>
      <c r="BG127" s="435">
        <f t="shared" si="778"/>
        <v>2385502.38</v>
      </c>
      <c r="BH127" s="125">
        <f t="shared" si="618"/>
        <v>0</v>
      </c>
      <c r="BI127" s="140">
        <f t="shared" si="51"/>
        <v>132704.84000000003</v>
      </c>
      <c r="BJ127" s="123">
        <f t="shared" si="619"/>
        <v>329515.92</v>
      </c>
      <c r="BK127" s="125">
        <f t="shared" si="620"/>
        <v>462220.76</v>
      </c>
      <c r="BL127" s="123">
        <f t="shared" si="621"/>
        <v>0</v>
      </c>
      <c r="BM127" s="140">
        <f t="shared" si="55"/>
        <v>71211.359999999986</v>
      </c>
      <c r="BN127" s="326">
        <f t="shared" si="622"/>
        <v>291544.86</v>
      </c>
      <c r="BO127" s="332">
        <f t="shared" si="623"/>
        <v>362756.22</v>
      </c>
      <c r="BP127" s="141">
        <f t="shared" si="624"/>
        <v>70355.5</v>
      </c>
      <c r="BQ127" s="140">
        <f t="shared" si="59"/>
        <v>0</v>
      </c>
      <c r="BR127" s="326">
        <f t="shared" si="625"/>
        <v>82148.800000000003</v>
      </c>
      <c r="BS127" s="333">
        <f t="shared" si="626"/>
        <v>82148.800000000003</v>
      </c>
      <c r="BT127" s="113">
        <f t="shared" ref="BT127:BV127" si="779">SUM(BQ127,BM127,BI127)</f>
        <v>203916.2</v>
      </c>
      <c r="BU127" s="116">
        <f t="shared" si="779"/>
        <v>703209.58</v>
      </c>
      <c r="BV127" s="117">
        <f t="shared" si="779"/>
        <v>907125.78</v>
      </c>
      <c r="BW127" s="141">
        <f t="shared" si="628"/>
        <v>0</v>
      </c>
      <c r="BX127" s="113">
        <f t="shared" si="64"/>
        <v>0</v>
      </c>
      <c r="BY127" s="114">
        <f t="shared" si="629"/>
        <v>175000.27</v>
      </c>
      <c r="BZ127" s="115">
        <f t="shared" si="630"/>
        <v>175000.27</v>
      </c>
      <c r="CA127" s="123">
        <f t="shared" si="631"/>
        <v>0</v>
      </c>
      <c r="CB127" s="333">
        <f t="shared" si="632"/>
        <v>0</v>
      </c>
      <c r="CY127" s="294"/>
      <c r="DF127" s="296"/>
    </row>
    <row r="128" spans="1:110" ht="13">
      <c r="A128" s="420">
        <f t="shared" si="596"/>
        <v>112013673</v>
      </c>
      <c r="B128" s="565">
        <f t="shared" si="597"/>
        <v>4</v>
      </c>
      <c r="C128" s="558" t="str">
        <f t="shared" si="598"/>
        <v>Lista</v>
      </c>
      <c r="D128" s="558">
        <f t="shared" si="599"/>
        <v>0.2</v>
      </c>
      <c r="E128" s="715">
        <f t="shared" si="600"/>
        <v>0</v>
      </c>
      <c r="F128" s="701">
        <f t="shared" si="601"/>
        <v>4</v>
      </c>
      <c r="G128" s="700" t="str">
        <f t="shared" si="602"/>
        <v>Lista</v>
      </c>
      <c r="H128" s="700">
        <f t="shared" si="603"/>
        <v>0.2</v>
      </c>
      <c r="I128" s="700">
        <f t="shared" si="604"/>
        <v>0</v>
      </c>
      <c r="J128" s="547">
        <f t="shared" si="605"/>
        <v>70</v>
      </c>
      <c r="K128" s="699" t="str">
        <f t="shared" si="606"/>
        <v>Lista</v>
      </c>
      <c r="L128" s="702">
        <f t="shared" si="607"/>
        <v>0.11</v>
      </c>
      <c r="M128" s="139" t="s">
        <v>633</v>
      </c>
      <c r="N128" s="423">
        <f t="shared" si="758"/>
        <v>486908.85</v>
      </c>
      <c r="O128" s="326">
        <f t="shared" si="759"/>
        <v>818518.12229249999</v>
      </c>
      <c r="P128" s="326">
        <f t="shared" si="535"/>
        <v>0</v>
      </c>
      <c r="Q128" s="326">
        <f t="shared" si="737"/>
        <v>419337.6</v>
      </c>
      <c r="R128" s="716">
        <f t="shared" si="738"/>
        <v>419337.6</v>
      </c>
      <c r="S128" s="326">
        <f t="shared" si="720"/>
        <v>-399180.52229250001</v>
      </c>
      <c r="T128" s="137">
        <f t="shared" si="739"/>
        <v>0.51231315297640823</v>
      </c>
      <c r="U128" s="326">
        <f t="shared" si="721"/>
        <v>229826.13</v>
      </c>
      <c r="V128" s="332">
        <f t="shared" si="740"/>
        <v>408225.21602055</v>
      </c>
      <c r="W128" s="140">
        <f t="shared" si="538"/>
        <v>0</v>
      </c>
      <c r="X128" s="326">
        <f t="shared" si="741"/>
        <v>204264.8</v>
      </c>
      <c r="Y128" s="717">
        <f t="shared" si="742"/>
        <v>204264.8</v>
      </c>
      <c r="Z128" s="123">
        <f t="shared" si="722"/>
        <v>-203960.41602055001</v>
      </c>
      <c r="AA128" s="137">
        <f t="shared" si="743"/>
        <v>0.50037281378942877</v>
      </c>
      <c r="AB128" s="326">
        <f t="shared" si="723"/>
        <v>255921.28</v>
      </c>
      <c r="AC128" s="326">
        <f t="shared" si="724"/>
        <v>428738.522352</v>
      </c>
      <c r="AD128" s="326">
        <f t="shared" si="541"/>
        <v>0</v>
      </c>
      <c r="AE128" s="326">
        <f t="shared" si="744"/>
        <v>70882.559999999998</v>
      </c>
      <c r="AF128" s="716">
        <f t="shared" si="745"/>
        <v>70882.559999999998</v>
      </c>
      <c r="AG128" s="326">
        <f t="shared" si="559"/>
        <v>-357855.962352</v>
      </c>
      <c r="AH128" s="137">
        <f t="shared" si="725"/>
        <v>0.16532818094149346</v>
      </c>
      <c r="AI128" s="332">
        <f t="shared" si="561"/>
        <v>1655481.8606650501</v>
      </c>
      <c r="AJ128" s="140">
        <f t="shared" si="608"/>
        <v>466012.91</v>
      </c>
      <c r="AK128" s="326">
        <f t="shared" si="32"/>
        <v>0</v>
      </c>
      <c r="AL128" s="326">
        <f t="shared" ref="AL128:AM128" si="780">SUM(AE128,X128,Q128)</f>
        <v>694484.96</v>
      </c>
      <c r="AM128" s="326">
        <f t="shared" si="780"/>
        <v>694484.96</v>
      </c>
      <c r="AN128" s="326">
        <f t="shared" si="70"/>
        <v>-960996.90066505014</v>
      </c>
      <c r="AO128" s="413">
        <f t="shared" si="79"/>
        <v>1.4902697867318739</v>
      </c>
      <c r="AP128" s="423">
        <f t="shared" si="727"/>
        <v>331665.21000000002</v>
      </c>
      <c r="AQ128" s="326">
        <f t="shared" si="36"/>
        <v>0</v>
      </c>
      <c r="AR128" s="326">
        <f t="shared" si="610"/>
        <v>0</v>
      </c>
      <c r="AS128" s="333">
        <f t="shared" si="611"/>
        <v>0</v>
      </c>
      <c r="AT128" s="434">
        <f t="shared" si="728"/>
        <v>125687.28</v>
      </c>
      <c r="AU128" s="140">
        <f t="shared" si="40"/>
        <v>0</v>
      </c>
      <c r="AV128" s="326">
        <f t="shared" si="612"/>
        <v>214828.4</v>
      </c>
      <c r="AW128" s="333">
        <f t="shared" si="613"/>
        <v>214828.4</v>
      </c>
      <c r="AX128" s="125"/>
      <c r="AY128" s="140">
        <f t="shared" si="44"/>
        <v>0</v>
      </c>
      <c r="AZ128" s="326">
        <f t="shared" si="614"/>
        <v>128997.2</v>
      </c>
      <c r="BA128" s="332">
        <f t="shared" si="615"/>
        <v>128997.2</v>
      </c>
      <c r="BB128" s="122">
        <f t="shared" ref="BB128:BD128" si="781">AY128+AU128+AQ128</f>
        <v>0</v>
      </c>
      <c r="BC128" s="326">
        <f t="shared" si="781"/>
        <v>343825.6</v>
      </c>
      <c r="BD128" s="332">
        <f t="shared" si="781"/>
        <v>343825.6</v>
      </c>
      <c r="BE128" s="122">
        <f t="shared" si="48"/>
        <v>0</v>
      </c>
      <c r="BF128" s="326">
        <f t="shared" ref="BF128:BG128" si="782">AL128+BC128</f>
        <v>1038310.5599999999</v>
      </c>
      <c r="BG128" s="435">
        <f t="shared" si="782"/>
        <v>1038310.5599999999</v>
      </c>
      <c r="BH128" s="125">
        <f t="shared" si="618"/>
        <v>200793.86</v>
      </c>
      <c r="BI128" s="140">
        <f t="shared" si="51"/>
        <v>0</v>
      </c>
      <c r="BJ128" s="123">
        <f t="shared" si="619"/>
        <v>86365.68</v>
      </c>
      <c r="BK128" s="125">
        <f t="shared" si="620"/>
        <v>86365.68</v>
      </c>
      <c r="BL128" s="123">
        <f t="shared" si="621"/>
        <v>353196.3</v>
      </c>
      <c r="BM128" s="140">
        <f t="shared" si="55"/>
        <v>0</v>
      </c>
      <c r="BN128" s="326">
        <f t="shared" si="622"/>
        <v>513687.74</v>
      </c>
      <c r="BO128" s="332">
        <f t="shared" si="623"/>
        <v>513687.74</v>
      </c>
      <c r="BP128" s="141">
        <f t="shared" si="624"/>
        <v>223332</v>
      </c>
      <c r="BQ128" s="140">
        <f t="shared" si="59"/>
        <v>0</v>
      </c>
      <c r="BR128" s="326">
        <f t="shared" si="625"/>
        <v>378905.04</v>
      </c>
      <c r="BS128" s="333">
        <f t="shared" si="626"/>
        <v>378905.04</v>
      </c>
      <c r="BT128" s="113">
        <f t="shared" ref="BT128:BV128" si="783">SUM(BQ128,BM128,BI128)</f>
        <v>0</v>
      </c>
      <c r="BU128" s="116">
        <f t="shared" si="783"/>
        <v>978958.46</v>
      </c>
      <c r="BV128" s="117">
        <f t="shared" si="783"/>
        <v>978958.46</v>
      </c>
      <c r="BW128" s="141">
        <f t="shared" si="628"/>
        <v>0</v>
      </c>
      <c r="BX128" s="113">
        <f t="shared" si="64"/>
        <v>0</v>
      </c>
      <c r="BY128" s="114">
        <f t="shared" si="629"/>
        <v>503151.89</v>
      </c>
      <c r="BZ128" s="115">
        <f t="shared" si="630"/>
        <v>503151.89</v>
      </c>
      <c r="CA128" s="123">
        <f t="shared" si="631"/>
        <v>305525.39</v>
      </c>
      <c r="CB128" s="333">
        <f t="shared" si="632"/>
        <v>160487.51999999999</v>
      </c>
      <c r="CY128" s="294"/>
      <c r="DF128" s="296"/>
    </row>
    <row r="129" spans="1:110" ht="13">
      <c r="A129" s="420">
        <f t="shared" si="596"/>
        <v>112013870</v>
      </c>
      <c r="B129" s="565">
        <f t="shared" si="597"/>
        <v>4</v>
      </c>
      <c r="C129" s="558" t="str">
        <f t="shared" si="598"/>
        <v>Lista</v>
      </c>
      <c r="D129" s="558">
        <f t="shared" si="599"/>
        <v>0.2</v>
      </c>
      <c r="E129" s="715">
        <f t="shared" si="600"/>
        <v>0</v>
      </c>
      <c r="F129" s="701">
        <f t="shared" si="601"/>
        <v>4</v>
      </c>
      <c r="G129" s="700" t="str">
        <f t="shared" si="602"/>
        <v>Lista</v>
      </c>
      <c r="H129" s="700">
        <f t="shared" si="603"/>
        <v>0.2</v>
      </c>
      <c r="I129" s="700">
        <f t="shared" si="604"/>
        <v>0</v>
      </c>
      <c r="J129" s="547">
        <f t="shared" si="605"/>
        <v>70</v>
      </c>
      <c r="K129" s="699" t="str">
        <f t="shared" si="606"/>
        <v>Lista</v>
      </c>
      <c r="L129" s="702">
        <f t="shared" si="607"/>
        <v>0.11</v>
      </c>
      <c r="M129" s="139" t="s">
        <v>634</v>
      </c>
      <c r="N129" s="423">
        <f t="shared" si="758"/>
        <v>251593.60000000001</v>
      </c>
      <c r="O129" s="326">
        <f t="shared" si="759"/>
        <v>422941.42128000007</v>
      </c>
      <c r="P129" s="326">
        <f t="shared" si="535"/>
        <v>0</v>
      </c>
      <c r="Q129" s="326">
        <f t="shared" si="737"/>
        <v>2205376.34</v>
      </c>
      <c r="R129" s="716">
        <f t="shared" si="738"/>
        <v>2205376.34</v>
      </c>
      <c r="S129" s="326">
        <f t="shared" si="720"/>
        <v>1782434.9187199997</v>
      </c>
      <c r="T129" s="137">
        <f t="shared" si="739"/>
        <v>5.2143777578596957</v>
      </c>
      <c r="U129" s="326">
        <f t="shared" si="721"/>
        <v>1644412.48</v>
      </c>
      <c r="V129" s="332">
        <f t="shared" si="740"/>
        <v>2920863.0014127996</v>
      </c>
      <c r="W129" s="140">
        <f t="shared" si="538"/>
        <v>0</v>
      </c>
      <c r="X129" s="326">
        <f t="shared" si="741"/>
        <v>1552987.52</v>
      </c>
      <c r="Y129" s="717">
        <f t="shared" si="742"/>
        <v>1552987.52</v>
      </c>
      <c r="Z129" s="123">
        <f t="shared" si="722"/>
        <v>-1367875.4814127996</v>
      </c>
      <c r="AA129" s="137">
        <f t="shared" si="743"/>
        <v>0.53168790157184076</v>
      </c>
      <c r="AB129" s="326">
        <f t="shared" si="723"/>
        <v>668583.66</v>
      </c>
      <c r="AC129" s="326">
        <f t="shared" si="724"/>
        <v>1120061.4910064999</v>
      </c>
      <c r="AD129" s="326">
        <f t="shared" si="541"/>
        <v>0</v>
      </c>
      <c r="AE129" s="326">
        <f t="shared" si="744"/>
        <v>852150.08</v>
      </c>
      <c r="AF129" s="716">
        <f t="shared" si="745"/>
        <v>852150.08</v>
      </c>
      <c r="AG129" s="326">
        <f t="shared" si="559"/>
        <v>-267911.4110064999</v>
      </c>
      <c r="AH129" s="137">
        <f t="shared" si="725"/>
        <v>0.76080651539430066</v>
      </c>
      <c r="AI129" s="332">
        <f t="shared" si="561"/>
        <v>4463865.9136992991</v>
      </c>
      <c r="AJ129" s="140">
        <f t="shared" si="608"/>
        <v>3988350.86</v>
      </c>
      <c r="AK129" s="326">
        <f t="shared" si="32"/>
        <v>0</v>
      </c>
      <c r="AL129" s="326">
        <f t="shared" ref="AL129:AM129" si="784">SUM(AE129,X129,Q129)</f>
        <v>4610513.9399999995</v>
      </c>
      <c r="AM129" s="326">
        <f t="shared" si="784"/>
        <v>4610513.9399999995</v>
      </c>
      <c r="AN129" s="326">
        <f t="shared" si="70"/>
        <v>146648.02630070038</v>
      </c>
      <c r="AO129" s="413">
        <f t="shared" si="79"/>
        <v>1.1559950721085757</v>
      </c>
      <c r="AP129" s="423">
        <f t="shared" si="727"/>
        <v>2157814.27</v>
      </c>
      <c r="AQ129" s="326">
        <f t="shared" si="36"/>
        <v>0</v>
      </c>
      <c r="AR129" s="326">
        <f t="shared" si="610"/>
        <v>1362247.55</v>
      </c>
      <c r="AS129" s="333">
        <f t="shared" si="611"/>
        <v>1362247.55</v>
      </c>
      <c r="AT129" s="434">
        <f t="shared" si="728"/>
        <v>831735.65</v>
      </c>
      <c r="AU129" s="140">
        <f t="shared" si="40"/>
        <v>0</v>
      </c>
      <c r="AV129" s="326">
        <f t="shared" si="612"/>
        <v>1394796.96</v>
      </c>
      <c r="AW129" s="333">
        <f t="shared" si="613"/>
        <v>1394796.96</v>
      </c>
      <c r="AX129" s="125"/>
      <c r="AY129" s="140">
        <f t="shared" si="44"/>
        <v>0</v>
      </c>
      <c r="AZ129" s="326">
        <f t="shared" si="614"/>
        <v>1417353.92</v>
      </c>
      <c r="BA129" s="332">
        <f t="shared" si="615"/>
        <v>1417353.92</v>
      </c>
      <c r="BB129" s="122">
        <f t="shared" ref="BB129:BD129" si="785">AY129+AU129+AQ129</f>
        <v>0</v>
      </c>
      <c r="BC129" s="326">
        <f t="shared" si="785"/>
        <v>4174398.4299999997</v>
      </c>
      <c r="BD129" s="332">
        <f t="shared" si="785"/>
        <v>4174398.4299999997</v>
      </c>
      <c r="BE129" s="122">
        <f t="shared" si="48"/>
        <v>0</v>
      </c>
      <c r="BF129" s="326">
        <f t="shared" ref="BF129:BG129" si="786">AL129+BC129</f>
        <v>8784912.3699999992</v>
      </c>
      <c r="BG129" s="435">
        <f t="shared" si="786"/>
        <v>8784912.3699999992</v>
      </c>
      <c r="BH129" s="125">
        <f t="shared" si="618"/>
        <v>817052.46</v>
      </c>
      <c r="BI129" s="140">
        <f t="shared" si="51"/>
        <v>42481.350000000093</v>
      </c>
      <c r="BJ129" s="123">
        <f t="shared" si="619"/>
        <v>1785744.96</v>
      </c>
      <c r="BK129" s="125">
        <f t="shared" si="620"/>
        <v>1828226.31</v>
      </c>
      <c r="BL129" s="123">
        <f t="shared" si="621"/>
        <v>1196969.04</v>
      </c>
      <c r="BM129" s="140">
        <f t="shared" si="55"/>
        <v>49785.989999999991</v>
      </c>
      <c r="BN129" s="326">
        <f t="shared" si="622"/>
        <v>1611642.64</v>
      </c>
      <c r="BO129" s="332">
        <f t="shared" si="623"/>
        <v>1661428.63</v>
      </c>
      <c r="BP129" s="141">
        <f t="shared" si="624"/>
        <v>1254563.3799999999</v>
      </c>
      <c r="BQ129" s="140">
        <f t="shared" si="59"/>
        <v>0</v>
      </c>
      <c r="BR129" s="326">
        <f t="shared" si="625"/>
        <v>400204.56</v>
      </c>
      <c r="BS129" s="333">
        <f t="shared" si="626"/>
        <v>400204.56</v>
      </c>
      <c r="BT129" s="113">
        <f t="shared" ref="BT129:BV129" si="787">SUM(BQ129,BM129,BI129)</f>
        <v>92267.340000000084</v>
      </c>
      <c r="BU129" s="116">
        <f t="shared" si="787"/>
        <v>3797592.16</v>
      </c>
      <c r="BV129" s="117">
        <f t="shared" si="787"/>
        <v>3889859.5</v>
      </c>
      <c r="BW129" s="141">
        <f t="shared" si="628"/>
        <v>1024208.08</v>
      </c>
      <c r="BX129" s="113">
        <f t="shared" si="64"/>
        <v>0</v>
      </c>
      <c r="BY129" s="114">
        <f t="shared" si="629"/>
        <v>1628658.77</v>
      </c>
      <c r="BZ129" s="115">
        <f t="shared" si="630"/>
        <v>1628658.77</v>
      </c>
      <c r="CA129" s="123">
        <f t="shared" si="631"/>
        <v>1818606.05</v>
      </c>
      <c r="CB129" s="333">
        <f t="shared" si="632"/>
        <v>1145536.74</v>
      </c>
      <c r="CY129" s="294"/>
      <c r="DF129" s="296"/>
    </row>
    <row r="130" spans="1:110" ht="13">
      <c r="A130" s="420">
        <f t="shared" ref="A130:A160" si="788">VLOOKUP(M130,LAGECART4,3,FALSE)</f>
        <v>112014064</v>
      </c>
      <c r="B130" s="565">
        <f t="shared" ref="B130:B160" si="789">VLOOKUP(M130,LAGECARTERA,2,FALSE)</f>
        <v>4</v>
      </c>
      <c r="C130" s="558" t="str">
        <f t="shared" ref="C130:C161" si="790">IFERROR(VLOOKUP(B130,DES,2,FALSE),"")</f>
        <v>Lista</v>
      </c>
      <c r="D130" s="558">
        <f t="shared" ref="D130:D160" si="791">IFERROR(VLOOKUP(B130,DES,3,FALSE),"")</f>
        <v>0.2</v>
      </c>
      <c r="E130" s="715">
        <f t="shared" ref="E130:E160" si="792">IFERROR(VLOOKUP(B130,DES,4,FALSE),"")</f>
        <v>0</v>
      </c>
      <c r="F130" s="701">
        <f t="shared" ref="F130:F160" si="793">VLOOKUP(M130,LAGECART2,2,FALSE)</f>
        <v>4</v>
      </c>
      <c r="G130" s="700" t="str">
        <f t="shared" ref="G130:G161" si="794">IFERROR(VLOOKUP(F130,DES,2,FALSE),"")</f>
        <v>Lista</v>
      </c>
      <c r="H130" s="700">
        <f t="shared" ref="H130:H160" si="795">IFERROR(VLOOKUP(F130,DES,3,FALSE),"")</f>
        <v>0.2</v>
      </c>
      <c r="I130" s="700">
        <f t="shared" ref="I130:I160" si="796">IFERROR(VLOOKUP(F130,DES,4,FALSE),"")</f>
        <v>0</v>
      </c>
      <c r="J130" s="547">
        <f t="shared" ref="J130:J160" si="797">VLOOKUP(M130,LAGECART4,2,FALSE)</f>
        <v>70</v>
      </c>
      <c r="K130" s="699" t="str">
        <f t="shared" ref="K130:K161" si="798">IFERROR(VLOOKUP(J130,A458DC1025,2,FALSE),"")</f>
        <v>Lista</v>
      </c>
      <c r="L130" s="702">
        <f t="shared" ref="L130:L160" si="799">IFERROR(VLOOKUP(J130,A458DC1025,3,FALSE),"")</f>
        <v>0.11</v>
      </c>
      <c r="M130" s="139" t="s">
        <v>635</v>
      </c>
      <c r="N130" s="423">
        <f t="shared" si="758"/>
        <v>170826.4</v>
      </c>
      <c r="O130" s="326">
        <f t="shared" si="759"/>
        <v>287167.71972000005</v>
      </c>
      <c r="P130" s="326">
        <f t="shared" si="535"/>
        <v>0</v>
      </c>
      <c r="Q130" s="326">
        <f t="shared" si="737"/>
        <v>734263.6</v>
      </c>
      <c r="R130" s="716">
        <f t="shared" si="738"/>
        <v>734263.6</v>
      </c>
      <c r="S130" s="326">
        <f t="shared" si="720"/>
        <v>447095.88027999992</v>
      </c>
      <c r="T130" s="137">
        <f t="shared" si="739"/>
        <v>2.5569155221065105</v>
      </c>
      <c r="U130" s="326">
        <f t="shared" si="721"/>
        <v>927664.56</v>
      </c>
      <c r="V130" s="332">
        <f t="shared" si="740"/>
        <v>1647750.2597316001</v>
      </c>
      <c r="W130" s="140">
        <f t="shared" si="538"/>
        <v>0</v>
      </c>
      <c r="X130" s="326">
        <f t="shared" si="741"/>
        <v>1061792.54</v>
      </c>
      <c r="Y130" s="717">
        <f t="shared" si="742"/>
        <v>1061792.54</v>
      </c>
      <c r="Z130" s="123">
        <f t="shared" si="722"/>
        <v>-585957.71973160002</v>
      </c>
      <c r="AA130" s="137">
        <f t="shared" si="743"/>
        <v>0.6443892414697322</v>
      </c>
      <c r="AB130" s="326">
        <f t="shared" si="723"/>
        <v>204577.92000000001</v>
      </c>
      <c r="AC130" s="326">
        <f t="shared" si="724"/>
        <v>342724.274928</v>
      </c>
      <c r="AD130" s="326">
        <f t="shared" si="541"/>
        <v>0</v>
      </c>
      <c r="AE130" s="326">
        <f t="shared" si="744"/>
        <v>980543.52</v>
      </c>
      <c r="AF130" s="716">
        <f t="shared" si="745"/>
        <v>980543.52</v>
      </c>
      <c r="AG130" s="326">
        <f t="shared" si="559"/>
        <v>637819.24507199996</v>
      </c>
      <c r="AH130" s="137">
        <f t="shared" si="725"/>
        <v>2.8610273381014344</v>
      </c>
      <c r="AI130" s="332">
        <f t="shared" si="561"/>
        <v>2277642.2543795998</v>
      </c>
      <c r="AJ130" s="140">
        <f t="shared" ref="AJ130:AJ153" si="800">IFERROR(VLOOKUP(M130,trim2024,2,FALSE),"0")</f>
        <v>3325507.2</v>
      </c>
      <c r="AK130" s="326">
        <f t="shared" si="32"/>
        <v>0</v>
      </c>
      <c r="AL130" s="326">
        <f t="shared" ref="AL130:AM130" si="801">SUM(AE130,X130,Q130)</f>
        <v>2776599.66</v>
      </c>
      <c r="AM130" s="326">
        <f t="shared" si="801"/>
        <v>2776599.66</v>
      </c>
      <c r="AN130" s="326">
        <f t="shared" si="70"/>
        <v>498957.40562040033</v>
      </c>
      <c r="AO130" s="413">
        <f t="shared" si="79"/>
        <v>0.83494020400857949</v>
      </c>
      <c r="AP130" s="423">
        <f t="shared" si="727"/>
        <v>1046562.47</v>
      </c>
      <c r="AQ130" s="326">
        <f t="shared" si="36"/>
        <v>0</v>
      </c>
      <c r="AR130" s="326">
        <f t="shared" ref="AR130:AR160" si="802">IFERROR(VLOOKUP(M130,LAGALIM,6,FALSE),"")</f>
        <v>1046610.16</v>
      </c>
      <c r="AS130" s="333">
        <f t="shared" ref="AS130:AS160" si="803">IFERROR(VLOOKUP(M130,LAGEFC,6,FALSE),"0")</f>
        <v>1046610.16</v>
      </c>
      <c r="AT130" s="434">
        <f t="shared" si="728"/>
        <v>953594.4</v>
      </c>
      <c r="AU130" s="140">
        <f t="shared" si="40"/>
        <v>3.75</v>
      </c>
      <c r="AV130" s="326">
        <f t="shared" ref="AV130:AV160" si="804">IFERROR(VLOOKUP(M130,LAGALIM,7,FALSE),"")</f>
        <v>1239498</v>
      </c>
      <c r="AW130" s="333">
        <f t="shared" ref="AW130:AW160" si="805">IFERROR(VLOOKUP(M130,LAGEFC,7,FALSE),"0")</f>
        <v>1239501.75</v>
      </c>
      <c r="AX130" s="125"/>
      <c r="AY130" s="140">
        <f t="shared" si="44"/>
        <v>0</v>
      </c>
      <c r="AZ130" s="326">
        <f t="shared" ref="AZ130:AZ160" si="806">IFERROR(VLOOKUP(M130,LAGALIM,8,FALSE),"")</f>
        <v>1114224.74</v>
      </c>
      <c r="BA130" s="332">
        <f t="shared" ref="BA130:BA160" si="807">IFERROR(VLOOKUP(M130,LAGEFC,8,FALSE),"0")</f>
        <v>1114224.74</v>
      </c>
      <c r="BB130" s="122">
        <f t="shared" ref="BB130:BD130" si="808">AY130+AU130+AQ130</f>
        <v>3.75</v>
      </c>
      <c r="BC130" s="326">
        <f t="shared" si="808"/>
        <v>3400332.9000000004</v>
      </c>
      <c r="BD130" s="332">
        <f t="shared" si="808"/>
        <v>3400336.6500000004</v>
      </c>
      <c r="BE130" s="122">
        <f t="shared" si="48"/>
        <v>3.75</v>
      </c>
      <c r="BF130" s="326">
        <f t="shared" ref="BF130:BG130" si="809">AL130+BC130</f>
        <v>6176932.5600000005</v>
      </c>
      <c r="BG130" s="435">
        <f t="shared" si="809"/>
        <v>6176936.3100000005</v>
      </c>
      <c r="BH130" s="125">
        <f t="shared" ref="BH130:BH161" si="810">IFERROR(VLOOKUP(M130,LAGE24,9,FALSE),"")</f>
        <v>884081.57</v>
      </c>
      <c r="BI130" s="140">
        <f t="shared" si="51"/>
        <v>0</v>
      </c>
      <c r="BJ130" s="123">
        <f t="shared" ref="BJ130:BJ160" si="811">IFERROR(VLOOKUP(M130,LAGALIM,9,FALSE),"")</f>
        <v>1572755.04</v>
      </c>
      <c r="BK130" s="125">
        <f t="shared" ref="BK130:BK160" si="812">IFERROR(VLOOKUP(M130,LAGEFC,9,FALSE),"0")</f>
        <v>1572755.04</v>
      </c>
      <c r="BL130" s="123">
        <f t="shared" ref="BL130:BL160" si="813">IFERROR(VLOOKUP(M130,LAGE24,10,FALSE),"")</f>
        <v>928039.6</v>
      </c>
      <c r="BM130" s="140">
        <f t="shared" si="55"/>
        <v>0</v>
      </c>
      <c r="BN130" s="326">
        <f t="shared" ref="BN130:BN160" si="814">IFERROR(VLOOKUP(M130,LAGALIM,10,FALSE),"")</f>
        <v>822201.06</v>
      </c>
      <c r="BO130" s="332">
        <f t="shared" ref="BO130:BO160" si="815">IFERROR(VLOOKUP(M130,LAGEFC,10,FALSE),"0")</f>
        <v>822201.06</v>
      </c>
      <c r="BP130" s="141">
        <f t="shared" ref="BP130:BP160" si="816">IFERROR(VLOOKUP(M130,LAGE24,11,FALSE),"")</f>
        <v>394084.64</v>
      </c>
      <c r="BQ130" s="140">
        <f t="shared" si="59"/>
        <v>0</v>
      </c>
      <c r="BR130" s="326">
        <f t="shared" ref="BR130:BR160" si="817">IFERROR(VLOOKUP(M130,LAGALIM,11,FALSE),"")</f>
        <v>1259374.8799999999</v>
      </c>
      <c r="BS130" s="333">
        <f t="shared" ref="BS130:BS160" si="818">IFERROR(VLOOKUP(M130,LAGEFC,11,FALSE),"0")</f>
        <v>1259374.8799999999</v>
      </c>
      <c r="BT130" s="113">
        <f t="shared" ref="BT130:BV130" si="819">SUM(BQ130,BM130,BI130)</f>
        <v>0</v>
      </c>
      <c r="BU130" s="116">
        <f t="shared" si="819"/>
        <v>3654330.98</v>
      </c>
      <c r="BV130" s="117">
        <f t="shared" si="819"/>
        <v>3654330.98</v>
      </c>
      <c r="BW130" s="141">
        <f t="shared" ref="BW130:BW160" si="820">IFERROR(VLOOKUP(M130,LAGE24,12,FALSE),"")</f>
        <v>1365177.12</v>
      </c>
      <c r="BX130" s="113">
        <f t="shared" si="64"/>
        <v>0</v>
      </c>
      <c r="BY130" s="114">
        <f t="shared" ref="BY130:BY160" si="821">IFERROR(VLOOKUP(M130,LAGALIM,12,FALSE),"")</f>
        <v>1318376.7</v>
      </c>
      <c r="BZ130" s="115">
        <f t="shared" ref="BZ130:BZ160" si="822">IFERROR(VLOOKUP(M130,LAGEFC,12,FALSE),"0")</f>
        <v>1318376.7</v>
      </c>
      <c r="CA130" s="123">
        <f t="shared" ref="CA130:CA160" si="823">IFERROR(VLOOKUP(M130,LAGE24,13,FALSE),"")</f>
        <v>926339.28</v>
      </c>
      <c r="CB130" s="333">
        <f t="shared" ref="CB130:CB160" si="824">IFERROR(VLOOKUP(M130,LAGE24,14,FALSE),"")</f>
        <v>1033990.8</v>
      </c>
      <c r="CY130" s="294"/>
      <c r="DF130" s="296"/>
    </row>
    <row r="131" spans="1:110" ht="13">
      <c r="A131" s="420">
        <f t="shared" si="788"/>
        <v>112014118</v>
      </c>
      <c r="B131" s="565">
        <f t="shared" si="789"/>
        <v>4</v>
      </c>
      <c r="C131" s="558" t="str">
        <f t="shared" si="790"/>
        <v>Lista</v>
      </c>
      <c r="D131" s="558">
        <f t="shared" si="791"/>
        <v>0.2</v>
      </c>
      <c r="E131" s="715">
        <f t="shared" si="792"/>
        <v>0</v>
      </c>
      <c r="F131" s="701">
        <f t="shared" si="793"/>
        <v>4</v>
      </c>
      <c r="G131" s="700" t="str">
        <f t="shared" si="794"/>
        <v>Lista</v>
      </c>
      <c r="H131" s="700">
        <f t="shared" si="795"/>
        <v>0.2</v>
      </c>
      <c r="I131" s="700">
        <f t="shared" si="796"/>
        <v>0</v>
      </c>
      <c r="J131" s="547">
        <f t="shared" si="797"/>
        <v>70</v>
      </c>
      <c r="K131" s="699" t="str">
        <f t="shared" si="798"/>
        <v>Lista</v>
      </c>
      <c r="L131" s="702">
        <f t="shared" si="799"/>
        <v>0.11</v>
      </c>
      <c r="M131" s="139" t="s">
        <v>636</v>
      </c>
      <c r="N131" s="423">
        <f t="shared" si="758"/>
        <v>139933.20000000001</v>
      </c>
      <c r="O131" s="326">
        <f t="shared" si="759"/>
        <v>235234.70586000005</v>
      </c>
      <c r="P131" s="326">
        <f t="shared" si="535"/>
        <v>0</v>
      </c>
      <c r="Q131" s="326">
        <f t="shared" si="737"/>
        <v>268397.12</v>
      </c>
      <c r="R131" s="716">
        <f t="shared" si="738"/>
        <v>268397.12</v>
      </c>
      <c r="S131" s="326">
        <f t="shared" si="720"/>
        <v>33162.41413999995</v>
      </c>
      <c r="T131" s="137">
        <f t="shared" si="739"/>
        <v>1.1409758565121617</v>
      </c>
      <c r="U131" s="326">
        <f t="shared" si="721"/>
        <v>360965.96</v>
      </c>
      <c r="V131" s="332">
        <f t="shared" si="740"/>
        <v>641160.37196060002</v>
      </c>
      <c r="W131" s="140">
        <f t="shared" si="538"/>
        <v>133193.77999999997</v>
      </c>
      <c r="X131" s="326">
        <f t="shared" si="741"/>
        <v>297904.88</v>
      </c>
      <c r="Y131" s="717">
        <f t="shared" si="742"/>
        <v>431098.66</v>
      </c>
      <c r="Z131" s="123">
        <f t="shared" si="722"/>
        <v>-210061.71196060005</v>
      </c>
      <c r="AA131" s="137">
        <f t="shared" si="743"/>
        <v>0.67237259015516859</v>
      </c>
      <c r="AB131" s="326">
        <f t="shared" si="723"/>
        <v>280510.64</v>
      </c>
      <c r="AC131" s="326">
        <f t="shared" si="724"/>
        <v>469932.46242600004</v>
      </c>
      <c r="AD131" s="326">
        <f t="shared" si="541"/>
        <v>261472.68</v>
      </c>
      <c r="AE131" s="326">
        <f t="shared" si="744"/>
        <v>351749.84</v>
      </c>
      <c r="AF131" s="716">
        <f t="shared" si="745"/>
        <v>613222.52</v>
      </c>
      <c r="AG131" s="326">
        <f t="shared" si="559"/>
        <v>143290.05757399998</v>
      </c>
      <c r="AH131" s="137">
        <f t="shared" si="725"/>
        <v>1.304916278467491</v>
      </c>
      <c r="AI131" s="332">
        <f t="shared" si="561"/>
        <v>1346327.5402466001</v>
      </c>
      <c r="AJ131" s="140">
        <f t="shared" si="800"/>
        <v>609420.16</v>
      </c>
      <c r="AK131" s="326">
        <f t="shared" si="32"/>
        <v>394666.45999999985</v>
      </c>
      <c r="AL131" s="326">
        <f t="shared" ref="AL131:AM131" si="825">SUM(AE131,X131,Q131)</f>
        <v>918051.83999999997</v>
      </c>
      <c r="AM131" s="326">
        <f t="shared" si="825"/>
        <v>1312718.2999999998</v>
      </c>
      <c r="AN131" s="326">
        <f t="shared" si="70"/>
        <v>-33609.240246600239</v>
      </c>
      <c r="AO131" s="413">
        <f t="shared" si="79"/>
        <v>2.1540447562482994</v>
      </c>
      <c r="AP131" s="423">
        <f t="shared" si="727"/>
        <v>304807.76</v>
      </c>
      <c r="AQ131" s="326">
        <f t="shared" si="36"/>
        <v>245442.19999999998</v>
      </c>
      <c r="AR131" s="326">
        <f t="shared" si="802"/>
        <v>102944.16</v>
      </c>
      <c r="AS131" s="333">
        <f t="shared" si="803"/>
        <v>348386.36</v>
      </c>
      <c r="AT131" s="434">
        <f t="shared" si="728"/>
        <v>184315.16</v>
      </c>
      <c r="AU131" s="140">
        <f t="shared" si="40"/>
        <v>122603.12</v>
      </c>
      <c r="AV131" s="326">
        <f t="shared" si="804"/>
        <v>307145.03999999998</v>
      </c>
      <c r="AW131" s="333">
        <f t="shared" si="805"/>
        <v>429748.16</v>
      </c>
      <c r="AX131" s="125"/>
      <c r="AY131" s="140">
        <f t="shared" si="44"/>
        <v>32076</v>
      </c>
      <c r="AZ131" s="326">
        <f t="shared" si="806"/>
        <v>344443.44</v>
      </c>
      <c r="BA131" s="332">
        <f t="shared" si="807"/>
        <v>376519.44</v>
      </c>
      <c r="BB131" s="122">
        <f t="shared" ref="BB131:BD131" si="826">AY131+AU131+AQ131</f>
        <v>400121.31999999995</v>
      </c>
      <c r="BC131" s="326">
        <f t="shared" si="826"/>
        <v>754532.64</v>
      </c>
      <c r="BD131" s="332">
        <f t="shared" si="826"/>
        <v>1154653.96</v>
      </c>
      <c r="BE131" s="122">
        <f t="shared" si="48"/>
        <v>794787.7799999998</v>
      </c>
      <c r="BF131" s="326">
        <f t="shared" ref="BF131:BG131" si="827">AL131+BC131</f>
        <v>1672584.48</v>
      </c>
      <c r="BG131" s="435">
        <f t="shared" si="827"/>
        <v>2467372.2599999998</v>
      </c>
      <c r="BH131" s="125">
        <f t="shared" si="810"/>
        <v>283429.71999999997</v>
      </c>
      <c r="BI131" s="140">
        <f t="shared" si="51"/>
        <v>0</v>
      </c>
      <c r="BJ131" s="123">
        <f t="shared" si="811"/>
        <v>251457.04</v>
      </c>
      <c r="BK131" s="125">
        <f t="shared" si="812"/>
        <v>251457.04</v>
      </c>
      <c r="BL131" s="123">
        <f t="shared" si="813"/>
        <v>240522.14</v>
      </c>
      <c r="BM131" s="140">
        <f t="shared" si="55"/>
        <v>100956</v>
      </c>
      <c r="BN131" s="326">
        <f t="shared" si="814"/>
        <v>434223.28</v>
      </c>
      <c r="BO131" s="332">
        <f t="shared" si="815"/>
        <v>535179.28</v>
      </c>
      <c r="BP131" s="141">
        <f t="shared" si="816"/>
        <v>0</v>
      </c>
      <c r="BQ131" s="140">
        <f t="shared" si="59"/>
        <v>0</v>
      </c>
      <c r="BR131" s="326">
        <f t="shared" si="817"/>
        <v>112520.56</v>
      </c>
      <c r="BS131" s="333">
        <f t="shared" si="818"/>
        <v>112520.56</v>
      </c>
      <c r="BT131" s="113">
        <f t="shared" ref="BT131:BV131" si="828">SUM(BQ131,BM131,BI131)</f>
        <v>100956</v>
      </c>
      <c r="BU131" s="116">
        <f t="shared" si="828"/>
        <v>798200.88000000012</v>
      </c>
      <c r="BV131" s="117">
        <f t="shared" si="828"/>
        <v>899156.88000000012</v>
      </c>
      <c r="BW131" s="141">
        <f t="shared" si="820"/>
        <v>193675.2</v>
      </c>
      <c r="BX131" s="113">
        <f t="shared" si="64"/>
        <v>0</v>
      </c>
      <c r="BY131" s="114">
        <f t="shared" si="821"/>
        <v>0</v>
      </c>
      <c r="BZ131" s="115">
        <f t="shared" si="822"/>
        <v>0</v>
      </c>
      <c r="CA131" s="123">
        <f t="shared" si="823"/>
        <v>0</v>
      </c>
      <c r="CB131" s="333">
        <f t="shared" si="824"/>
        <v>415744.96</v>
      </c>
      <c r="CY131" s="294"/>
      <c r="DF131" s="296"/>
    </row>
    <row r="132" spans="1:110" ht="13">
      <c r="A132" s="420">
        <f t="shared" si="788"/>
        <v>112014240</v>
      </c>
      <c r="B132" s="565">
        <f t="shared" si="789"/>
        <v>4</v>
      </c>
      <c r="C132" s="558" t="str">
        <f t="shared" si="790"/>
        <v>Lista</v>
      </c>
      <c r="D132" s="558">
        <f t="shared" si="791"/>
        <v>0.2</v>
      </c>
      <c r="E132" s="715">
        <f t="shared" si="792"/>
        <v>0</v>
      </c>
      <c r="F132" s="701">
        <f t="shared" si="793"/>
        <v>4</v>
      </c>
      <c r="G132" s="700" t="str">
        <f t="shared" si="794"/>
        <v>Lista</v>
      </c>
      <c r="H132" s="700">
        <f t="shared" si="795"/>
        <v>0.2</v>
      </c>
      <c r="I132" s="700">
        <f t="shared" si="796"/>
        <v>0</v>
      </c>
      <c r="J132" s="547">
        <f t="shared" si="797"/>
        <v>70</v>
      </c>
      <c r="K132" s="699" t="str">
        <f t="shared" si="798"/>
        <v>Lista</v>
      </c>
      <c r="L132" s="702">
        <f t="shared" si="799"/>
        <v>0.11</v>
      </c>
      <c r="M132" s="139" t="s">
        <v>637</v>
      </c>
      <c r="N132" s="423">
        <f t="shared" si="758"/>
        <v>75719.92</v>
      </c>
      <c r="O132" s="326">
        <f t="shared" si="759"/>
        <v>127288.97151599999</v>
      </c>
      <c r="P132" s="326">
        <f t="shared" si="535"/>
        <v>21427.799999999996</v>
      </c>
      <c r="Q132" s="326">
        <f t="shared" si="737"/>
        <v>39976.720000000001</v>
      </c>
      <c r="R132" s="716">
        <f t="shared" si="738"/>
        <v>61404.52</v>
      </c>
      <c r="S132" s="326">
        <f t="shared" si="720"/>
        <v>-65884.451516000001</v>
      </c>
      <c r="T132" s="137">
        <f t="shared" si="739"/>
        <v>0.48240251507006293</v>
      </c>
      <c r="U132" s="326">
        <f t="shared" si="721"/>
        <v>201692.72</v>
      </c>
      <c r="V132" s="332">
        <f t="shared" si="740"/>
        <v>358253.66850920004</v>
      </c>
      <c r="W132" s="140">
        <f t="shared" si="538"/>
        <v>0</v>
      </c>
      <c r="X132" s="326">
        <f t="shared" si="741"/>
        <v>0</v>
      </c>
      <c r="Y132" s="717">
        <f t="shared" si="742"/>
        <v>0</v>
      </c>
      <c r="Z132" s="123">
        <f t="shared" si="722"/>
        <v>-358253.66850920004</v>
      </c>
      <c r="AA132" s="137">
        <f t="shared" si="743"/>
        <v>0</v>
      </c>
      <c r="AB132" s="326">
        <f t="shared" si="723"/>
        <v>52753.52</v>
      </c>
      <c r="AC132" s="326">
        <f t="shared" si="724"/>
        <v>88376.653217999992</v>
      </c>
      <c r="AD132" s="326">
        <f t="shared" si="541"/>
        <v>0</v>
      </c>
      <c r="AE132" s="326">
        <f t="shared" si="744"/>
        <v>0</v>
      </c>
      <c r="AF132" s="716">
        <f t="shared" si="745"/>
        <v>0</v>
      </c>
      <c r="AG132" s="326">
        <f t="shared" si="559"/>
        <v>-88376.653217999992</v>
      </c>
      <c r="AH132" s="137">
        <f t="shared" si="725"/>
        <v>0</v>
      </c>
      <c r="AI132" s="332">
        <f t="shared" si="561"/>
        <v>573919.29324320005</v>
      </c>
      <c r="AJ132" s="140">
        <f t="shared" si="800"/>
        <v>199946.06</v>
      </c>
      <c r="AK132" s="326">
        <f t="shared" si="32"/>
        <v>21427.799999999996</v>
      </c>
      <c r="AL132" s="326">
        <f t="shared" ref="AL132:AM132" si="829">SUM(AE132,X132,Q132)</f>
        <v>39976.720000000001</v>
      </c>
      <c r="AM132" s="326">
        <f t="shared" si="829"/>
        <v>61404.52</v>
      </c>
      <c r="AN132" s="326">
        <f t="shared" si="70"/>
        <v>-512514.77324320003</v>
      </c>
      <c r="AO132" s="413">
        <f t="shared" si="79"/>
        <v>0.30710542633348215</v>
      </c>
      <c r="AP132" s="423">
        <f t="shared" si="727"/>
        <v>53827.040000000001</v>
      </c>
      <c r="AQ132" s="326">
        <f t="shared" si="36"/>
        <v>0</v>
      </c>
      <c r="AR132" s="326">
        <f t="shared" si="802"/>
        <v>72546.720000000001</v>
      </c>
      <c r="AS132" s="333">
        <f t="shared" si="803"/>
        <v>72546.720000000001</v>
      </c>
      <c r="AT132" s="434">
        <f t="shared" si="728"/>
        <v>114382.9</v>
      </c>
      <c r="AU132" s="140">
        <f t="shared" si="40"/>
        <v>0</v>
      </c>
      <c r="AV132" s="326">
        <f t="shared" si="804"/>
        <v>0</v>
      </c>
      <c r="AW132" s="333">
        <f t="shared" si="805"/>
        <v>0</v>
      </c>
      <c r="AX132" s="125"/>
      <c r="AY132" s="140">
        <f t="shared" si="44"/>
        <v>119403.5</v>
      </c>
      <c r="AZ132" s="326">
        <f t="shared" si="806"/>
        <v>0</v>
      </c>
      <c r="BA132" s="332">
        <f t="shared" si="807"/>
        <v>119403.5</v>
      </c>
      <c r="BB132" s="122">
        <f t="shared" ref="BB132:BD132" si="830">AY132+AU132+AQ132</f>
        <v>119403.5</v>
      </c>
      <c r="BC132" s="326">
        <f t="shared" si="830"/>
        <v>72546.720000000001</v>
      </c>
      <c r="BD132" s="332">
        <f t="shared" si="830"/>
        <v>191950.22</v>
      </c>
      <c r="BE132" s="122">
        <f t="shared" si="48"/>
        <v>140831.29999999999</v>
      </c>
      <c r="BF132" s="326">
        <f t="shared" ref="BF132:BG132" si="831">AL132+BC132</f>
        <v>112523.44</v>
      </c>
      <c r="BG132" s="435">
        <f t="shared" si="831"/>
        <v>253354.74</v>
      </c>
      <c r="BH132" s="125">
        <f t="shared" si="810"/>
        <v>126005.88</v>
      </c>
      <c r="BI132" s="140">
        <f t="shared" si="51"/>
        <v>69068</v>
      </c>
      <c r="BJ132" s="123">
        <f t="shared" si="811"/>
        <v>151725.84</v>
      </c>
      <c r="BK132" s="125">
        <f t="shared" si="812"/>
        <v>220793.84</v>
      </c>
      <c r="BL132" s="123">
        <f t="shared" si="813"/>
        <v>143570.76</v>
      </c>
      <c r="BM132" s="140">
        <f t="shared" si="55"/>
        <v>0</v>
      </c>
      <c r="BN132" s="326">
        <f t="shared" si="814"/>
        <v>109455.36</v>
      </c>
      <c r="BO132" s="332">
        <f t="shared" si="815"/>
        <v>109455.36</v>
      </c>
      <c r="BP132" s="141">
        <f t="shared" si="816"/>
        <v>84966.28</v>
      </c>
      <c r="BQ132" s="140">
        <f t="shared" si="59"/>
        <v>0</v>
      </c>
      <c r="BR132" s="326">
        <f t="shared" si="817"/>
        <v>0</v>
      </c>
      <c r="BS132" s="333">
        <f t="shared" si="818"/>
        <v>0</v>
      </c>
      <c r="BT132" s="113">
        <f t="shared" ref="BT132:BV132" si="832">SUM(BQ132,BM132,BI132)</f>
        <v>69068</v>
      </c>
      <c r="BU132" s="116">
        <f t="shared" si="832"/>
        <v>261181.2</v>
      </c>
      <c r="BV132" s="117">
        <f t="shared" si="832"/>
        <v>330249.2</v>
      </c>
      <c r="BW132" s="141">
        <f t="shared" si="820"/>
        <v>0</v>
      </c>
      <c r="BX132" s="113">
        <f t="shared" si="64"/>
        <v>0</v>
      </c>
      <c r="BY132" s="114">
        <f t="shared" si="821"/>
        <v>0</v>
      </c>
      <c r="BZ132" s="115">
        <f t="shared" si="822"/>
        <v>0</v>
      </c>
      <c r="CA132" s="123">
        <f t="shared" si="823"/>
        <v>131298.66</v>
      </c>
      <c r="CB132" s="333">
        <f t="shared" si="824"/>
        <v>68647.399999999994</v>
      </c>
      <c r="CY132" s="294"/>
      <c r="DF132" s="296"/>
    </row>
    <row r="133" spans="1:110" ht="13">
      <c r="A133" s="420">
        <f t="shared" si="788"/>
        <v>112014245</v>
      </c>
      <c r="B133" s="565">
        <f t="shared" si="789"/>
        <v>4</v>
      </c>
      <c r="C133" s="558" t="str">
        <f t="shared" si="790"/>
        <v>Lista</v>
      </c>
      <c r="D133" s="558">
        <f t="shared" si="791"/>
        <v>0.2</v>
      </c>
      <c r="E133" s="715">
        <f t="shared" si="792"/>
        <v>0</v>
      </c>
      <c r="F133" s="701">
        <f t="shared" si="793"/>
        <v>4</v>
      </c>
      <c r="G133" s="700" t="str">
        <f t="shared" si="794"/>
        <v>Lista</v>
      </c>
      <c r="H133" s="700">
        <f t="shared" si="795"/>
        <v>0.2</v>
      </c>
      <c r="I133" s="700">
        <f t="shared" si="796"/>
        <v>0</v>
      </c>
      <c r="J133" s="547">
        <f t="shared" si="797"/>
        <v>70</v>
      </c>
      <c r="K133" s="699" t="str">
        <f t="shared" si="798"/>
        <v>Lista</v>
      </c>
      <c r="L133" s="702">
        <f t="shared" si="799"/>
        <v>0.11</v>
      </c>
      <c r="M133" s="139" t="s">
        <v>638</v>
      </c>
      <c r="N133" s="423">
        <f t="shared" si="758"/>
        <v>85917.22</v>
      </c>
      <c r="O133" s="326">
        <f t="shared" si="759"/>
        <v>144431.142681</v>
      </c>
      <c r="P133" s="326">
        <f t="shared" si="535"/>
        <v>0</v>
      </c>
      <c r="Q133" s="326">
        <f t="shared" si="737"/>
        <v>136282.16</v>
      </c>
      <c r="R133" s="716">
        <f t="shared" si="738"/>
        <v>136282.16</v>
      </c>
      <c r="S133" s="326">
        <f t="shared" si="720"/>
        <v>-8148.982680999994</v>
      </c>
      <c r="T133" s="137">
        <f t="shared" si="739"/>
        <v>0.94357877027256953</v>
      </c>
      <c r="U133" s="326">
        <f t="shared" si="721"/>
        <v>103057.77</v>
      </c>
      <c r="V133" s="332">
        <f t="shared" si="740"/>
        <v>183054.81809595</v>
      </c>
      <c r="W133" s="140">
        <f t="shared" si="538"/>
        <v>16518</v>
      </c>
      <c r="X133" s="326">
        <f t="shared" si="741"/>
        <v>73372</v>
      </c>
      <c r="Y133" s="717">
        <f t="shared" si="742"/>
        <v>89890</v>
      </c>
      <c r="Z133" s="123">
        <f t="shared" si="722"/>
        <v>-93164.818095950002</v>
      </c>
      <c r="AA133" s="137">
        <f t="shared" si="743"/>
        <v>0.49105508904378176</v>
      </c>
      <c r="AB133" s="326">
        <f t="shared" si="723"/>
        <v>0</v>
      </c>
      <c r="AC133" s="326">
        <f t="shared" si="724"/>
        <v>0</v>
      </c>
      <c r="AD133" s="326">
        <f t="shared" si="541"/>
        <v>33036</v>
      </c>
      <c r="AE133" s="326">
        <f t="shared" si="744"/>
        <v>0</v>
      </c>
      <c r="AF133" s="716">
        <f t="shared" si="745"/>
        <v>33036</v>
      </c>
      <c r="AG133" s="326">
        <f t="shared" si="559"/>
        <v>33036</v>
      </c>
      <c r="AH133" s="137" t="str">
        <f t="shared" si="725"/>
        <v/>
      </c>
      <c r="AI133" s="332">
        <f t="shared" si="561"/>
        <v>327485.96077695</v>
      </c>
      <c r="AJ133" s="140">
        <f t="shared" si="800"/>
        <v>278215.48</v>
      </c>
      <c r="AK133" s="326">
        <f t="shared" si="32"/>
        <v>49554</v>
      </c>
      <c r="AL133" s="326">
        <f t="shared" ref="AL133:AM133" si="833">SUM(AE133,X133,Q133)</f>
        <v>209654.16</v>
      </c>
      <c r="AM133" s="326">
        <f t="shared" si="833"/>
        <v>259208.16</v>
      </c>
      <c r="AN133" s="326">
        <f t="shared" si="70"/>
        <v>-68277.800776949996</v>
      </c>
      <c r="AO133" s="413">
        <f t="shared" si="79"/>
        <v>0.93168129968900371</v>
      </c>
      <c r="AP133" s="423">
        <f t="shared" si="727"/>
        <v>0</v>
      </c>
      <c r="AQ133" s="326">
        <f t="shared" si="36"/>
        <v>0</v>
      </c>
      <c r="AR133" s="326">
        <f t="shared" si="802"/>
        <v>68080.479999999996</v>
      </c>
      <c r="AS133" s="333">
        <f t="shared" si="803"/>
        <v>68080.479999999996</v>
      </c>
      <c r="AT133" s="434">
        <f t="shared" si="728"/>
        <v>110860.16</v>
      </c>
      <c r="AU133" s="140">
        <f t="shared" si="40"/>
        <v>0</v>
      </c>
      <c r="AV133" s="326">
        <f t="shared" si="804"/>
        <v>146418.07999999999</v>
      </c>
      <c r="AW133" s="333">
        <f t="shared" si="805"/>
        <v>146418.07999999999</v>
      </c>
      <c r="AX133" s="125"/>
      <c r="AY133" s="140">
        <f t="shared" si="44"/>
        <v>0</v>
      </c>
      <c r="AZ133" s="326">
        <f t="shared" si="806"/>
        <v>122975.2</v>
      </c>
      <c r="BA133" s="332">
        <f t="shared" si="807"/>
        <v>122975.2</v>
      </c>
      <c r="BB133" s="122">
        <f t="shared" ref="BB133:BD133" si="834">AY133+AU133+AQ133</f>
        <v>0</v>
      </c>
      <c r="BC133" s="326">
        <f t="shared" si="834"/>
        <v>337473.75999999995</v>
      </c>
      <c r="BD133" s="332">
        <f t="shared" si="834"/>
        <v>337473.75999999995</v>
      </c>
      <c r="BE133" s="122">
        <f t="shared" si="48"/>
        <v>49554</v>
      </c>
      <c r="BF133" s="326">
        <f t="shared" ref="BF133:BG133" si="835">AL133+BC133</f>
        <v>547127.91999999993</v>
      </c>
      <c r="BG133" s="435">
        <f t="shared" si="835"/>
        <v>596681.91999999993</v>
      </c>
      <c r="BH133" s="125">
        <f t="shared" si="810"/>
        <v>43955.28</v>
      </c>
      <c r="BI133" s="140">
        <f t="shared" si="51"/>
        <v>39722.160000000003</v>
      </c>
      <c r="BJ133" s="123">
        <f t="shared" si="811"/>
        <v>153147.51999999999</v>
      </c>
      <c r="BK133" s="125">
        <f t="shared" si="812"/>
        <v>192869.68</v>
      </c>
      <c r="BL133" s="123">
        <f t="shared" si="813"/>
        <v>0</v>
      </c>
      <c r="BM133" s="140">
        <f t="shared" si="55"/>
        <v>16352.820000000007</v>
      </c>
      <c r="BN133" s="326">
        <f t="shared" si="814"/>
        <v>182117.56</v>
      </c>
      <c r="BO133" s="332">
        <f t="shared" si="815"/>
        <v>198470.38</v>
      </c>
      <c r="BP133" s="141">
        <f t="shared" si="816"/>
        <v>157744.16</v>
      </c>
      <c r="BQ133" s="140">
        <f t="shared" si="59"/>
        <v>0</v>
      </c>
      <c r="BR133" s="326">
        <f t="shared" si="817"/>
        <v>287584.32</v>
      </c>
      <c r="BS133" s="333">
        <f t="shared" si="818"/>
        <v>287584.32</v>
      </c>
      <c r="BT133" s="113">
        <f t="shared" ref="BT133:BV133" si="836">SUM(BQ133,BM133,BI133)</f>
        <v>56074.98000000001</v>
      </c>
      <c r="BU133" s="116">
        <f t="shared" si="836"/>
        <v>622849.4</v>
      </c>
      <c r="BV133" s="117">
        <f t="shared" si="836"/>
        <v>678924.38</v>
      </c>
      <c r="BW133" s="141">
        <f t="shared" si="820"/>
        <v>0</v>
      </c>
      <c r="BX133" s="113">
        <f t="shared" si="64"/>
        <v>0</v>
      </c>
      <c r="BY133" s="114">
        <f t="shared" si="821"/>
        <v>-41074.400000000001</v>
      </c>
      <c r="BZ133" s="115">
        <f t="shared" si="822"/>
        <v>-41074.400000000001</v>
      </c>
      <c r="CA133" s="123">
        <f t="shared" si="823"/>
        <v>159222.51999999999</v>
      </c>
      <c r="CB133" s="333">
        <f t="shared" si="824"/>
        <v>118992.96000000001</v>
      </c>
      <c r="CY133" s="294"/>
      <c r="DF133" s="296"/>
    </row>
    <row r="134" spans="1:110" ht="13">
      <c r="A134" s="420">
        <f t="shared" si="788"/>
        <v>112014608</v>
      </c>
      <c r="B134" s="565">
        <f t="shared" si="789"/>
        <v>4</v>
      </c>
      <c r="C134" s="558" t="str">
        <f t="shared" si="790"/>
        <v>Lista</v>
      </c>
      <c r="D134" s="558">
        <f t="shared" si="791"/>
        <v>0.2</v>
      </c>
      <c r="E134" s="715">
        <f t="shared" si="792"/>
        <v>0</v>
      </c>
      <c r="F134" s="701">
        <f t="shared" si="793"/>
        <v>4</v>
      </c>
      <c r="G134" s="700" t="str">
        <f t="shared" si="794"/>
        <v>Lista</v>
      </c>
      <c r="H134" s="700">
        <f t="shared" si="795"/>
        <v>0.2</v>
      </c>
      <c r="I134" s="700">
        <f t="shared" si="796"/>
        <v>0</v>
      </c>
      <c r="J134" s="547">
        <f t="shared" si="797"/>
        <v>70</v>
      </c>
      <c r="K134" s="699" t="str">
        <f t="shared" si="798"/>
        <v>Lista</v>
      </c>
      <c r="L134" s="702">
        <f t="shared" si="799"/>
        <v>0.11</v>
      </c>
      <c r="M134" s="139" t="s">
        <v>639</v>
      </c>
      <c r="N134" s="423">
        <f t="shared" si="758"/>
        <v>0</v>
      </c>
      <c r="O134" s="326">
        <f t="shared" si="759"/>
        <v>0</v>
      </c>
      <c r="P134" s="326" t="e">
        <f t="shared" si="535"/>
        <v>#VALUE!</v>
      </c>
      <c r="Q134" s="326" t="str">
        <f t="shared" si="737"/>
        <v/>
      </c>
      <c r="R134" s="716" t="str">
        <f t="shared" si="738"/>
        <v>0</v>
      </c>
      <c r="S134" s="326">
        <f t="shared" si="720"/>
        <v>0</v>
      </c>
      <c r="T134" s="137" t="str">
        <f t="shared" si="739"/>
        <v/>
      </c>
      <c r="U134" s="326">
        <f t="shared" si="721"/>
        <v>0</v>
      </c>
      <c r="V134" s="332">
        <f t="shared" si="740"/>
        <v>0</v>
      </c>
      <c r="W134" s="140" t="e">
        <f t="shared" si="538"/>
        <v>#VALUE!</v>
      </c>
      <c r="X134" s="326" t="str">
        <f t="shared" si="741"/>
        <v/>
      </c>
      <c r="Y134" s="717" t="str">
        <f t="shared" si="742"/>
        <v>0</v>
      </c>
      <c r="Z134" s="123">
        <f t="shared" si="722"/>
        <v>0</v>
      </c>
      <c r="AA134" s="137" t="str">
        <f t="shared" si="743"/>
        <v/>
      </c>
      <c r="AB134" s="326">
        <f t="shared" si="723"/>
        <v>0</v>
      </c>
      <c r="AC134" s="326">
        <f t="shared" si="724"/>
        <v>0</v>
      </c>
      <c r="AD134" s="326" t="e">
        <f t="shared" si="541"/>
        <v>#VALUE!</v>
      </c>
      <c r="AE134" s="326" t="str">
        <f t="shared" si="744"/>
        <v/>
      </c>
      <c r="AF134" s="716" t="str">
        <f t="shared" si="745"/>
        <v>0</v>
      </c>
      <c r="AG134" s="326">
        <f t="shared" si="559"/>
        <v>0</v>
      </c>
      <c r="AH134" s="137" t="str">
        <f t="shared" si="725"/>
        <v/>
      </c>
      <c r="AI134" s="332">
        <f t="shared" si="561"/>
        <v>0</v>
      </c>
      <c r="AJ134" s="140">
        <f t="shared" si="800"/>
        <v>30250.799999999999</v>
      </c>
      <c r="AK134" s="326">
        <f t="shared" si="32"/>
        <v>0</v>
      </c>
      <c r="AL134" s="326">
        <f t="shared" ref="AL134:AM134" si="837">SUM(AE134,X134,Q134)</f>
        <v>0</v>
      </c>
      <c r="AM134" s="326">
        <f t="shared" si="837"/>
        <v>0</v>
      </c>
      <c r="AN134" s="326">
        <f t="shared" si="70"/>
        <v>0</v>
      </c>
      <c r="AO134" s="413">
        <f t="shared" si="79"/>
        <v>0</v>
      </c>
      <c r="AP134" s="423">
        <f t="shared" si="727"/>
        <v>0</v>
      </c>
      <c r="AQ134" s="326" t="e">
        <f t="shared" si="36"/>
        <v>#VALUE!</v>
      </c>
      <c r="AR134" s="326" t="str">
        <f t="shared" si="802"/>
        <v/>
      </c>
      <c r="AS134" s="333" t="str">
        <f t="shared" si="803"/>
        <v>0</v>
      </c>
      <c r="AT134" s="434">
        <f t="shared" si="728"/>
        <v>0</v>
      </c>
      <c r="AU134" s="140" t="e">
        <f t="shared" si="40"/>
        <v>#VALUE!</v>
      </c>
      <c r="AV134" s="326" t="str">
        <f t="shared" si="804"/>
        <v/>
      </c>
      <c r="AW134" s="333" t="str">
        <f t="shared" si="805"/>
        <v>0</v>
      </c>
      <c r="AX134" s="125"/>
      <c r="AY134" s="140" t="e">
        <f t="shared" si="44"/>
        <v>#VALUE!</v>
      </c>
      <c r="AZ134" s="326" t="str">
        <f t="shared" si="806"/>
        <v/>
      </c>
      <c r="BA134" s="332" t="str">
        <f t="shared" si="807"/>
        <v>0</v>
      </c>
      <c r="BB134" s="122" t="e">
        <f t="shared" ref="BB134:BD134" si="838">AY134+AU134+AQ134</f>
        <v>#VALUE!</v>
      </c>
      <c r="BC134" s="326" t="e">
        <f t="shared" si="838"/>
        <v>#VALUE!</v>
      </c>
      <c r="BD134" s="332">
        <f t="shared" si="838"/>
        <v>0</v>
      </c>
      <c r="BE134" s="122" t="e">
        <f t="shared" si="48"/>
        <v>#VALUE!</v>
      </c>
      <c r="BF134" s="326" t="e">
        <f t="shared" ref="BF134:BG134" si="839">AL134+BC134</f>
        <v>#VALUE!</v>
      </c>
      <c r="BG134" s="435">
        <f t="shared" si="839"/>
        <v>0</v>
      </c>
      <c r="BH134" s="125">
        <f t="shared" si="810"/>
        <v>0</v>
      </c>
      <c r="BI134" s="140" t="e">
        <f t="shared" si="51"/>
        <v>#VALUE!</v>
      </c>
      <c r="BJ134" s="123" t="str">
        <f t="shared" si="811"/>
        <v/>
      </c>
      <c r="BK134" s="125" t="str">
        <f t="shared" si="812"/>
        <v>0</v>
      </c>
      <c r="BL134" s="123">
        <f t="shared" si="813"/>
        <v>0</v>
      </c>
      <c r="BM134" s="140" t="e">
        <f t="shared" si="55"/>
        <v>#VALUE!</v>
      </c>
      <c r="BN134" s="326" t="str">
        <f t="shared" si="814"/>
        <v/>
      </c>
      <c r="BO134" s="332" t="str">
        <f t="shared" si="815"/>
        <v>0</v>
      </c>
      <c r="BP134" s="141">
        <f t="shared" si="816"/>
        <v>0</v>
      </c>
      <c r="BQ134" s="140" t="e">
        <f t="shared" si="59"/>
        <v>#VALUE!</v>
      </c>
      <c r="BR134" s="326" t="str">
        <f t="shared" si="817"/>
        <v/>
      </c>
      <c r="BS134" s="333" t="str">
        <f t="shared" si="818"/>
        <v>0</v>
      </c>
      <c r="BT134" s="113" t="e">
        <f t="shared" ref="BT134:BV134" si="840">SUM(BQ134,BM134,BI134)</f>
        <v>#VALUE!</v>
      </c>
      <c r="BU134" s="116">
        <f t="shared" si="840"/>
        <v>0</v>
      </c>
      <c r="BV134" s="117">
        <f t="shared" si="840"/>
        <v>0</v>
      </c>
      <c r="BW134" s="141">
        <f t="shared" si="820"/>
        <v>0</v>
      </c>
      <c r="BX134" s="113" t="e">
        <f t="shared" si="64"/>
        <v>#VALUE!</v>
      </c>
      <c r="BY134" s="114" t="str">
        <f t="shared" si="821"/>
        <v/>
      </c>
      <c r="BZ134" s="115" t="str">
        <f t="shared" si="822"/>
        <v>0</v>
      </c>
      <c r="CA134" s="123">
        <f t="shared" si="823"/>
        <v>30250.799999999999</v>
      </c>
      <c r="CB134" s="333">
        <f t="shared" si="824"/>
        <v>0</v>
      </c>
      <c r="CY134" s="294"/>
      <c r="DF134" s="296"/>
    </row>
    <row r="135" spans="1:110" ht="13">
      <c r="A135" s="420">
        <f t="shared" si="788"/>
        <v>112014638</v>
      </c>
      <c r="B135" s="565">
        <f t="shared" si="789"/>
        <v>4</v>
      </c>
      <c r="C135" s="558" t="str">
        <f t="shared" si="790"/>
        <v>Lista</v>
      </c>
      <c r="D135" s="558">
        <f t="shared" si="791"/>
        <v>0.2</v>
      </c>
      <c r="E135" s="715">
        <f t="shared" si="792"/>
        <v>0</v>
      </c>
      <c r="F135" s="701">
        <f t="shared" si="793"/>
        <v>4</v>
      </c>
      <c r="G135" s="700" t="str">
        <f t="shared" si="794"/>
        <v>Lista</v>
      </c>
      <c r="H135" s="700">
        <f t="shared" si="795"/>
        <v>0.2</v>
      </c>
      <c r="I135" s="700">
        <f t="shared" si="796"/>
        <v>0</v>
      </c>
      <c r="J135" s="547">
        <f t="shared" si="797"/>
        <v>70</v>
      </c>
      <c r="K135" s="699" t="str">
        <f t="shared" si="798"/>
        <v>Lista</v>
      </c>
      <c r="L135" s="702">
        <f t="shared" si="799"/>
        <v>0.11</v>
      </c>
      <c r="M135" s="255" t="s">
        <v>640</v>
      </c>
      <c r="N135" s="423"/>
      <c r="O135" s="326"/>
      <c r="P135" s="326">
        <f t="shared" si="535"/>
        <v>0</v>
      </c>
      <c r="Q135" s="326">
        <f t="shared" si="737"/>
        <v>0</v>
      </c>
      <c r="R135" s="716">
        <f t="shared" si="738"/>
        <v>0</v>
      </c>
      <c r="S135" s="326"/>
      <c r="T135" s="137"/>
      <c r="U135" s="326"/>
      <c r="V135" s="332"/>
      <c r="W135" s="140">
        <f t="shared" si="538"/>
        <v>79792.100000000006</v>
      </c>
      <c r="X135" s="326">
        <f t="shared" si="741"/>
        <v>0</v>
      </c>
      <c r="Y135" s="717">
        <f t="shared" si="742"/>
        <v>79792.100000000006</v>
      </c>
      <c r="Z135" s="123"/>
      <c r="AA135" s="137"/>
      <c r="AB135" s="326"/>
      <c r="AC135" s="326">
        <f t="shared" si="724"/>
        <v>0</v>
      </c>
      <c r="AD135" s="326">
        <f t="shared" si="541"/>
        <v>32245.5</v>
      </c>
      <c r="AE135" s="326">
        <f t="shared" si="744"/>
        <v>228530.88</v>
      </c>
      <c r="AF135" s="716">
        <f t="shared" si="745"/>
        <v>260776.38</v>
      </c>
      <c r="AG135" s="326">
        <f t="shared" si="559"/>
        <v>260776.38</v>
      </c>
      <c r="AH135" s="137" t="str">
        <f t="shared" si="725"/>
        <v/>
      </c>
      <c r="AI135" s="332">
        <f t="shared" si="561"/>
        <v>0</v>
      </c>
      <c r="AJ135" s="140">
        <f t="shared" si="800"/>
        <v>551886.35</v>
      </c>
      <c r="AK135" s="326">
        <f t="shared" si="32"/>
        <v>112037.59999999998</v>
      </c>
      <c r="AL135" s="326">
        <f t="shared" ref="AL135:AM135" si="841">SUM(AE135,X135,Q135)</f>
        <v>228530.88</v>
      </c>
      <c r="AM135" s="326">
        <f t="shared" si="841"/>
        <v>340568.48</v>
      </c>
      <c r="AN135" s="326">
        <f t="shared" si="70"/>
        <v>340568.48</v>
      </c>
      <c r="AO135" s="413">
        <f t="shared" si="79"/>
        <v>0.61709893712718211</v>
      </c>
      <c r="AP135" s="423"/>
      <c r="AQ135" s="326">
        <f t="shared" si="36"/>
        <v>0</v>
      </c>
      <c r="AR135" s="326">
        <f t="shared" si="802"/>
        <v>206644.56</v>
      </c>
      <c r="AS135" s="333">
        <f t="shared" si="803"/>
        <v>206644.56</v>
      </c>
      <c r="AT135" s="434"/>
      <c r="AU135" s="140">
        <f t="shared" si="40"/>
        <v>19002.899999999994</v>
      </c>
      <c r="AV135" s="326">
        <f t="shared" si="804"/>
        <v>235148.16</v>
      </c>
      <c r="AW135" s="333">
        <f t="shared" si="805"/>
        <v>254151.06</v>
      </c>
      <c r="AX135" s="125"/>
      <c r="AY135" s="140">
        <f t="shared" si="44"/>
        <v>0</v>
      </c>
      <c r="AZ135" s="326">
        <f t="shared" si="806"/>
        <v>391913.6</v>
      </c>
      <c r="BA135" s="332">
        <f t="shared" si="807"/>
        <v>391913.6</v>
      </c>
      <c r="BB135" s="122">
        <f t="shared" ref="BB135:BD135" si="842">AY135+AU135+AQ135</f>
        <v>19002.899999999994</v>
      </c>
      <c r="BC135" s="326">
        <f t="shared" si="842"/>
        <v>833706.32000000007</v>
      </c>
      <c r="BD135" s="332">
        <f t="shared" si="842"/>
        <v>852709.22</v>
      </c>
      <c r="BE135" s="122">
        <f t="shared" si="48"/>
        <v>131040.49999999997</v>
      </c>
      <c r="BF135" s="326">
        <f t="shared" ref="BF135:BG135" si="843">AL135+BC135</f>
        <v>1062237.2000000002</v>
      </c>
      <c r="BG135" s="435">
        <f t="shared" si="843"/>
        <v>1193277.7</v>
      </c>
      <c r="BH135" s="125">
        <f t="shared" si="810"/>
        <v>0</v>
      </c>
      <c r="BI135" s="140">
        <f t="shared" si="51"/>
        <v>53451.29999999993</v>
      </c>
      <c r="BJ135" s="123">
        <f t="shared" si="811"/>
        <v>551052.16</v>
      </c>
      <c r="BK135" s="125">
        <f t="shared" si="812"/>
        <v>604503.46</v>
      </c>
      <c r="BL135" s="123">
        <f t="shared" si="813"/>
        <v>0</v>
      </c>
      <c r="BM135" s="140">
        <f t="shared" si="55"/>
        <v>0</v>
      </c>
      <c r="BN135" s="326">
        <f t="shared" si="814"/>
        <v>391913.6</v>
      </c>
      <c r="BO135" s="332">
        <f t="shared" si="815"/>
        <v>391913.6</v>
      </c>
      <c r="BP135" s="141">
        <f t="shared" si="816"/>
        <v>0</v>
      </c>
      <c r="BQ135" s="140">
        <f t="shared" si="59"/>
        <v>0</v>
      </c>
      <c r="BR135" s="326">
        <f t="shared" si="817"/>
        <v>392482.56</v>
      </c>
      <c r="BS135" s="333">
        <f t="shared" si="818"/>
        <v>392482.56</v>
      </c>
      <c r="BT135" s="113">
        <f t="shared" ref="BT135:BV135" si="844">SUM(BQ135,BM135,BI135)</f>
        <v>53451.29999999993</v>
      </c>
      <c r="BU135" s="116">
        <f t="shared" si="844"/>
        <v>1335448.3199999998</v>
      </c>
      <c r="BV135" s="117">
        <f t="shared" si="844"/>
        <v>1388899.6199999999</v>
      </c>
      <c r="BW135" s="141">
        <f t="shared" si="820"/>
        <v>0</v>
      </c>
      <c r="BX135" s="113">
        <f t="shared" si="64"/>
        <v>1258190.8599999999</v>
      </c>
      <c r="BY135" s="114">
        <f t="shared" si="821"/>
        <v>157756.76999999999</v>
      </c>
      <c r="BZ135" s="115">
        <f t="shared" si="822"/>
        <v>1415947.63</v>
      </c>
      <c r="CA135" s="123">
        <f t="shared" si="823"/>
        <v>0</v>
      </c>
      <c r="CB135" s="333">
        <f t="shared" si="824"/>
        <v>551886.35</v>
      </c>
      <c r="CY135" s="294"/>
      <c r="DF135" s="296"/>
    </row>
    <row r="136" spans="1:110" ht="13">
      <c r="A136" s="420">
        <f t="shared" si="788"/>
        <v>112014259</v>
      </c>
      <c r="B136" s="565">
        <f t="shared" si="789"/>
        <v>4</v>
      </c>
      <c r="C136" s="558" t="str">
        <f t="shared" si="790"/>
        <v>Lista</v>
      </c>
      <c r="D136" s="558">
        <f t="shared" si="791"/>
        <v>0.2</v>
      </c>
      <c r="E136" s="715">
        <f t="shared" si="792"/>
        <v>0</v>
      </c>
      <c r="F136" s="701">
        <f t="shared" si="793"/>
        <v>4</v>
      </c>
      <c r="G136" s="700" t="str">
        <f t="shared" si="794"/>
        <v>Lista</v>
      </c>
      <c r="H136" s="700">
        <f t="shared" si="795"/>
        <v>0.2</v>
      </c>
      <c r="I136" s="700">
        <f t="shared" si="796"/>
        <v>0</v>
      </c>
      <c r="J136" s="547">
        <f t="shared" si="797"/>
        <v>70</v>
      </c>
      <c r="K136" s="699" t="str">
        <f t="shared" si="798"/>
        <v>Lista</v>
      </c>
      <c r="L136" s="702">
        <f t="shared" si="799"/>
        <v>0.11</v>
      </c>
      <c r="M136" s="139" t="s">
        <v>641</v>
      </c>
      <c r="N136" s="423"/>
      <c r="O136" s="326"/>
      <c r="P136" s="326" t="e">
        <f t="shared" si="535"/>
        <v>#VALUE!</v>
      </c>
      <c r="Q136" s="326" t="str">
        <f t="shared" si="737"/>
        <v/>
      </c>
      <c r="R136" s="716" t="str">
        <f t="shared" si="738"/>
        <v>0</v>
      </c>
      <c r="S136" s="326"/>
      <c r="T136" s="137"/>
      <c r="U136" s="326"/>
      <c r="V136" s="332"/>
      <c r="W136" s="140" t="e">
        <f t="shared" si="538"/>
        <v>#VALUE!</v>
      </c>
      <c r="X136" s="326" t="str">
        <f t="shared" si="741"/>
        <v/>
      </c>
      <c r="Y136" s="717" t="str">
        <f t="shared" si="742"/>
        <v>0</v>
      </c>
      <c r="Z136" s="123"/>
      <c r="AA136" s="137"/>
      <c r="AB136" s="326"/>
      <c r="AC136" s="326">
        <f t="shared" si="724"/>
        <v>0</v>
      </c>
      <c r="AD136" s="326" t="e">
        <f t="shared" si="541"/>
        <v>#VALUE!</v>
      </c>
      <c r="AE136" s="326" t="str">
        <f t="shared" si="744"/>
        <v/>
      </c>
      <c r="AF136" s="716" t="str">
        <f t="shared" si="745"/>
        <v>0</v>
      </c>
      <c r="AG136" s="326">
        <f t="shared" si="559"/>
        <v>0</v>
      </c>
      <c r="AH136" s="137" t="str">
        <f t="shared" si="725"/>
        <v/>
      </c>
      <c r="AI136" s="332">
        <f t="shared" si="561"/>
        <v>0</v>
      </c>
      <c r="AJ136" s="140">
        <f t="shared" si="800"/>
        <v>2268237.7799999998</v>
      </c>
      <c r="AK136" s="326">
        <f t="shared" si="32"/>
        <v>0</v>
      </c>
      <c r="AL136" s="326">
        <f t="shared" ref="AL136:AM136" si="845">SUM(AE136,X136,Q136)</f>
        <v>0</v>
      </c>
      <c r="AM136" s="326">
        <f t="shared" si="845"/>
        <v>0</v>
      </c>
      <c r="AN136" s="326">
        <f t="shared" si="70"/>
        <v>0</v>
      </c>
      <c r="AO136" s="413">
        <f t="shared" si="79"/>
        <v>0</v>
      </c>
      <c r="AP136" s="423"/>
      <c r="AQ136" s="326" t="e">
        <f t="shared" si="36"/>
        <v>#VALUE!</v>
      </c>
      <c r="AR136" s="326" t="str">
        <f t="shared" si="802"/>
        <v/>
      </c>
      <c r="AS136" s="333" t="str">
        <f t="shared" si="803"/>
        <v>0</v>
      </c>
      <c r="AT136" s="434"/>
      <c r="AU136" s="140" t="e">
        <f t="shared" si="40"/>
        <v>#VALUE!</v>
      </c>
      <c r="AV136" s="326" t="str">
        <f t="shared" si="804"/>
        <v/>
      </c>
      <c r="AW136" s="333" t="str">
        <f t="shared" si="805"/>
        <v>0</v>
      </c>
      <c r="AX136" s="125"/>
      <c r="AY136" s="140" t="e">
        <f t="shared" si="44"/>
        <v>#VALUE!</v>
      </c>
      <c r="AZ136" s="326" t="str">
        <f t="shared" si="806"/>
        <v/>
      </c>
      <c r="BA136" s="332" t="str">
        <f t="shared" si="807"/>
        <v>0</v>
      </c>
      <c r="BB136" s="122" t="e">
        <f t="shared" ref="BB136:BD136" si="846">AY136+AU136+AQ136</f>
        <v>#VALUE!</v>
      </c>
      <c r="BC136" s="326" t="e">
        <f t="shared" si="846"/>
        <v>#VALUE!</v>
      </c>
      <c r="BD136" s="332">
        <f t="shared" si="846"/>
        <v>0</v>
      </c>
      <c r="BE136" s="122" t="e">
        <f t="shared" si="48"/>
        <v>#VALUE!</v>
      </c>
      <c r="BF136" s="326" t="e">
        <f t="shared" ref="BF136:BG136" si="847">AL136+BC136</f>
        <v>#VALUE!</v>
      </c>
      <c r="BG136" s="435">
        <f t="shared" si="847"/>
        <v>0</v>
      </c>
      <c r="BH136" s="125" t="str">
        <f t="shared" si="810"/>
        <v/>
      </c>
      <c r="BI136" s="140" t="e">
        <f t="shared" si="51"/>
        <v>#VALUE!</v>
      </c>
      <c r="BJ136" s="123" t="str">
        <f t="shared" si="811"/>
        <v/>
      </c>
      <c r="BK136" s="125" t="str">
        <f t="shared" si="812"/>
        <v>0</v>
      </c>
      <c r="BL136" s="123" t="str">
        <f t="shared" si="813"/>
        <v/>
      </c>
      <c r="BM136" s="140" t="e">
        <f t="shared" si="55"/>
        <v>#VALUE!</v>
      </c>
      <c r="BN136" s="326" t="str">
        <f t="shared" si="814"/>
        <v/>
      </c>
      <c r="BO136" s="332" t="str">
        <f t="shared" si="815"/>
        <v>0</v>
      </c>
      <c r="BP136" s="141" t="str">
        <f t="shared" si="816"/>
        <v/>
      </c>
      <c r="BQ136" s="140" t="e">
        <f t="shared" si="59"/>
        <v>#VALUE!</v>
      </c>
      <c r="BR136" s="326" t="str">
        <f t="shared" si="817"/>
        <v/>
      </c>
      <c r="BS136" s="333" t="str">
        <f t="shared" si="818"/>
        <v>0</v>
      </c>
      <c r="BT136" s="113" t="e">
        <f t="shared" ref="BT136:BV136" si="848">SUM(BQ136,BM136,BI136)</f>
        <v>#VALUE!</v>
      </c>
      <c r="BU136" s="116">
        <f t="shared" si="848"/>
        <v>0</v>
      </c>
      <c r="BV136" s="117">
        <f t="shared" si="848"/>
        <v>0</v>
      </c>
      <c r="BW136" s="141" t="str">
        <f t="shared" si="820"/>
        <v/>
      </c>
      <c r="BX136" s="113" t="e">
        <f t="shared" si="64"/>
        <v>#VALUE!</v>
      </c>
      <c r="BY136" s="114" t="str">
        <f t="shared" si="821"/>
        <v/>
      </c>
      <c r="BZ136" s="115" t="str">
        <f t="shared" si="822"/>
        <v>0</v>
      </c>
      <c r="CA136" s="123" t="str">
        <f t="shared" si="823"/>
        <v/>
      </c>
      <c r="CB136" s="333" t="str">
        <f t="shared" si="824"/>
        <v/>
      </c>
      <c r="CY136" s="294"/>
      <c r="DF136" s="296"/>
    </row>
    <row r="137" spans="1:110" ht="13">
      <c r="A137" s="420">
        <f t="shared" si="788"/>
        <v>112014750</v>
      </c>
      <c r="B137" s="565" t="e">
        <f t="shared" si="789"/>
        <v>#N/A</v>
      </c>
      <c r="C137" s="558" t="str">
        <f t="shared" si="790"/>
        <v/>
      </c>
      <c r="D137" s="558" t="str">
        <f t="shared" si="791"/>
        <v/>
      </c>
      <c r="E137" s="715" t="str">
        <f t="shared" si="792"/>
        <v/>
      </c>
      <c r="F137" s="701">
        <f t="shared" si="793"/>
        <v>4</v>
      </c>
      <c r="G137" s="700" t="str">
        <f t="shared" si="794"/>
        <v>Lista</v>
      </c>
      <c r="H137" s="700">
        <f t="shared" si="795"/>
        <v>0.2</v>
      </c>
      <c r="I137" s="700">
        <f t="shared" si="796"/>
        <v>0</v>
      </c>
      <c r="J137" s="547">
        <f t="shared" si="797"/>
        <v>70</v>
      </c>
      <c r="K137" s="699" t="str">
        <f t="shared" si="798"/>
        <v>Lista</v>
      </c>
      <c r="L137" s="702">
        <f t="shared" si="799"/>
        <v>0.11</v>
      </c>
      <c r="M137" s="255" t="s">
        <v>642</v>
      </c>
      <c r="N137" s="423"/>
      <c r="O137" s="326"/>
      <c r="P137" s="326">
        <f t="shared" si="535"/>
        <v>0</v>
      </c>
      <c r="Q137" s="326">
        <f t="shared" si="737"/>
        <v>0</v>
      </c>
      <c r="R137" s="716">
        <f t="shared" si="738"/>
        <v>0</v>
      </c>
      <c r="S137" s="326"/>
      <c r="T137" s="137"/>
      <c r="U137" s="326"/>
      <c r="V137" s="332"/>
      <c r="W137" s="140">
        <f t="shared" si="538"/>
        <v>0</v>
      </c>
      <c r="X137" s="326">
        <f t="shared" si="741"/>
        <v>0</v>
      </c>
      <c r="Y137" s="717">
        <f t="shared" si="742"/>
        <v>0</v>
      </c>
      <c r="Z137" s="123"/>
      <c r="AA137" s="137"/>
      <c r="AB137" s="326"/>
      <c r="AC137" s="326">
        <f t="shared" si="724"/>
        <v>0</v>
      </c>
      <c r="AD137" s="326">
        <f t="shared" si="541"/>
        <v>0</v>
      </c>
      <c r="AE137" s="326">
        <f t="shared" si="744"/>
        <v>0</v>
      </c>
      <c r="AF137" s="716">
        <f t="shared" si="745"/>
        <v>0</v>
      </c>
      <c r="AG137" s="326">
        <f t="shared" si="559"/>
        <v>0</v>
      </c>
      <c r="AH137" s="137" t="str">
        <f t="shared" si="725"/>
        <v/>
      </c>
      <c r="AI137" s="332">
        <f t="shared" si="561"/>
        <v>0</v>
      </c>
      <c r="AJ137" s="140" t="str">
        <f t="shared" si="800"/>
        <v>0</v>
      </c>
      <c r="AK137" s="326">
        <f t="shared" si="32"/>
        <v>0</v>
      </c>
      <c r="AL137" s="326">
        <f t="shared" ref="AL137:AM137" si="849">SUM(AE137,X137,Q137)</f>
        <v>0</v>
      </c>
      <c r="AM137" s="326">
        <f t="shared" si="849"/>
        <v>0</v>
      </c>
      <c r="AN137" s="326">
        <f t="shared" si="70"/>
        <v>0</v>
      </c>
      <c r="AO137" s="413" t="str">
        <f t="shared" si="79"/>
        <v/>
      </c>
      <c r="AP137" s="423"/>
      <c r="AQ137" s="326">
        <f t="shared" si="36"/>
        <v>0</v>
      </c>
      <c r="AR137" s="326">
        <f t="shared" si="802"/>
        <v>0</v>
      </c>
      <c r="AS137" s="333">
        <f t="shared" si="803"/>
        <v>0</v>
      </c>
      <c r="AT137" s="434"/>
      <c r="AU137" s="140">
        <f t="shared" si="40"/>
        <v>0</v>
      </c>
      <c r="AV137" s="326">
        <f t="shared" si="804"/>
        <v>0</v>
      </c>
      <c r="AW137" s="333">
        <f t="shared" si="805"/>
        <v>0</v>
      </c>
      <c r="AX137" s="125"/>
      <c r="AY137" s="140">
        <f t="shared" si="44"/>
        <v>0</v>
      </c>
      <c r="AZ137" s="326">
        <f t="shared" si="806"/>
        <v>0</v>
      </c>
      <c r="BA137" s="332">
        <f t="shared" si="807"/>
        <v>0</v>
      </c>
      <c r="BB137" s="122">
        <f t="shared" ref="BB137:BD137" si="850">AY137+AU137+AQ137</f>
        <v>0</v>
      </c>
      <c r="BC137" s="326">
        <f t="shared" si="850"/>
        <v>0</v>
      </c>
      <c r="BD137" s="332">
        <f t="shared" si="850"/>
        <v>0</v>
      </c>
      <c r="BE137" s="122">
        <f t="shared" si="48"/>
        <v>0</v>
      </c>
      <c r="BF137" s="326">
        <f t="shared" ref="BF137:BG137" si="851">AL137+BC137</f>
        <v>0</v>
      </c>
      <c r="BG137" s="435">
        <f t="shared" si="851"/>
        <v>0</v>
      </c>
      <c r="BH137" s="125" t="str">
        <f t="shared" si="810"/>
        <v/>
      </c>
      <c r="BI137" s="140">
        <f t="shared" si="51"/>
        <v>0</v>
      </c>
      <c r="BJ137" s="123">
        <f t="shared" si="811"/>
        <v>0</v>
      </c>
      <c r="BK137" s="125">
        <f t="shared" si="812"/>
        <v>0</v>
      </c>
      <c r="BL137" s="123" t="str">
        <f t="shared" si="813"/>
        <v/>
      </c>
      <c r="BM137" s="140">
        <f t="shared" si="55"/>
        <v>165475.40999999997</v>
      </c>
      <c r="BN137" s="326">
        <f t="shared" si="814"/>
        <v>167654.88</v>
      </c>
      <c r="BO137" s="332">
        <f t="shared" si="815"/>
        <v>333130.28999999998</v>
      </c>
      <c r="BP137" s="141" t="str">
        <f t="shared" si="816"/>
        <v/>
      </c>
      <c r="BQ137" s="140">
        <f t="shared" si="59"/>
        <v>15188.940000000002</v>
      </c>
      <c r="BR137" s="326">
        <f t="shared" si="817"/>
        <v>252024.32000000001</v>
      </c>
      <c r="BS137" s="333">
        <f t="shared" si="818"/>
        <v>267213.26</v>
      </c>
      <c r="BT137" s="113">
        <f t="shared" ref="BT137:BV137" si="852">SUM(BQ137,BM137,BI137)</f>
        <v>180664.34999999998</v>
      </c>
      <c r="BU137" s="116">
        <f t="shared" si="852"/>
        <v>419679.2</v>
      </c>
      <c r="BV137" s="117">
        <f t="shared" si="852"/>
        <v>600343.55000000005</v>
      </c>
      <c r="BW137" s="141" t="str">
        <f t="shared" si="820"/>
        <v/>
      </c>
      <c r="BX137" s="113">
        <f t="shared" si="64"/>
        <v>358528.24</v>
      </c>
      <c r="BY137" s="114">
        <f t="shared" si="821"/>
        <v>0</v>
      </c>
      <c r="BZ137" s="115">
        <f t="shared" si="822"/>
        <v>358528.24</v>
      </c>
      <c r="CA137" s="123" t="str">
        <f t="shared" si="823"/>
        <v/>
      </c>
      <c r="CB137" s="333" t="str">
        <f t="shared" si="824"/>
        <v/>
      </c>
      <c r="CY137" s="294"/>
      <c r="DF137" s="296"/>
    </row>
    <row r="138" spans="1:110" ht="13">
      <c r="A138" s="420">
        <f t="shared" si="788"/>
        <v>112014755</v>
      </c>
      <c r="B138" s="565" t="e">
        <f t="shared" si="789"/>
        <v>#N/A</v>
      </c>
      <c r="C138" s="558" t="str">
        <f t="shared" si="790"/>
        <v/>
      </c>
      <c r="D138" s="558" t="str">
        <f t="shared" si="791"/>
        <v/>
      </c>
      <c r="E138" s="715" t="str">
        <f t="shared" si="792"/>
        <v/>
      </c>
      <c r="F138" s="701">
        <f t="shared" si="793"/>
        <v>4</v>
      </c>
      <c r="G138" s="700" t="str">
        <f t="shared" si="794"/>
        <v>Lista</v>
      </c>
      <c r="H138" s="700">
        <f t="shared" si="795"/>
        <v>0.2</v>
      </c>
      <c r="I138" s="700">
        <f t="shared" si="796"/>
        <v>0</v>
      </c>
      <c r="J138" s="547">
        <f t="shared" si="797"/>
        <v>70</v>
      </c>
      <c r="K138" s="699" t="str">
        <f t="shared" si="798"/>
        <v>Lista</v>
      </c>
      <c r="L138" s="702">
        <f t="shared" si="799"/>
        <v>0.11</v>
      </c>
      <c r="M138" s="139" t="s">
        <v>643</v>
      </c>
      <c r="N138" s="423"/>
      <c r="O138" s="326"/>
      <c r="P138" s="326">
        <f t="shared" si="535"/>
        <v>0</v>
      </c>
      <c r="Q138" s="326">
        <f t="shared" si="737"/>
        <v>0</v>
      </c>
      <c r="R138" s="716">
        <f t="shared" si="738"/>
        <v>0</v>
      </c>
      <c r="S138" s="326"/>
      <c r="T138" s="137"/>
      <c r="U138" s="326"/>
      <c r="V138" s="332"/>
      <c r="W138" s="140">
        <f t="shared" si="538"/>
        <v>0</v>
      </c>
      <c r="X138" s="326">
        <f t="shared" si="741"/>
        <v>0</v>
      </c>
      <c r="Y138" s="717">
        <f t="shared" si="742"/>
        <v>0</v>
      </c>
      <c r="Z138" s="123"/>
      <c r="AA138" s="137"/>
      <c r="AB138" s="326"/>
      <c r="AC138" s="326">
        <f t="shared" si="724"/>
        <v>0</v>
      </c>
      <c r="AD138" s="326">
        <f t="shared" si="541"/>
        <v>0</v>
      </c>
      <c r="AE138" s="326">
        <f t="shared" si="744"/>
        <v>0</v>
      </c>
      <c r="AF138" s="716">
        <f t="shared" si="745"/>
        <v>0</v>
      </c>
      <c r="AG138" s="326">
        <f t="shared" si="559"/>
        <v>0</v>
      </c>
      <c r="AH138" s="137" t="str">
        <f t="shared" si="725"/>
        <v/>
      </c>
      <c r="AI138" s="332">
        <f t="shared" si="561"/>
        <v>0</v>
      </c>
      <c r="AJ138" s="140" t="str">
        <f t="shared" si="800"/>
        <v>0</v>
      </c>
      <c r="AK138" s="326">
        <f t="shared" si="32"/>
        <v>0</v>
      </c>
      <c r="AL138" s="326">
        <f t="shared" ref="AL138:AM138" si="853">SUM(AE138,X138,Q138)</f>
        <v>0</v>
      </c>
      <c r="AM138" s="326">
        <f t="shared" si="853"/>
        <v>0</v>
      </c>
      <c r="AN138" s="326">
        <f t="shared" si="70"/>
        <v>0</v>
      </c>
      <c r="AO138" s="413" t="str">
        <f t="shared" si="79"/>
        <v/>
      </c>
      <c r="AP138" s="423"/>
      <c r="AQ138" s="326">
        <f t="shared" si="36"/>
        <v>0</v>
      </c>
      <c r="AR138" s="326">
        <f t="shared" si="802"/>
        <v>0</v>
      </c>
      <c r="AS138" s="333">
        <f t="shared" si="803"/>
        <v>0</v>
      </c>
      <c r="AT138" s="434"/>
      <c r="AU138" s="140">
        <f t="shared" si="40"/>
        <v>0</v>
      </c>
      <c r="AV138" s="326">
        <f t="shared" si="804"/>
        <v>0</v>
      </c>
      <c r="AW138" s="333">
        <f t="shared" si="805"/>
        <v>0</v>
      </c>
      <c r="AX138" s="125"/>
      <c r="AY138" s="140">
        <f t="shared" si="44"/>
        <v>0</v>
      </c>
      <c r="AZ138" s="326">
        <f t="shared" si="806"/>
        <v>0</v>
      </c>
      <c r="BA138" s="332">
        <f t="shared" si="807"/>
        <v>0</v>
      </c>
      <c r="BB138" s="122">
        <f t="shared" ref="BB138:BD138" si="854">AY138+AU138+AQ138</f>
        <v>0</v>
      </c>
      <c r="BC138" s="326">
        <f t="shared" si="854"/>
        <v>0</v>
      </c>
      <c r="BD138" s="332">
        <f t="shared" si="854"/>
        <v>0</v>
      </c>
      <c r="BE138" s="122">
        <f t="shared" si="48"/>
        <v>0</v>
      </c>
      <c r="BF138" s="326">
        <f t="shared" ref="BF138:BG138" si="855">AL138+BC138</f>
        <v>0</v>
      </c>
      <c r="BG138" s="435">
        <f t="shared" si="855"/>
        <v>0</v>
      </c>
      <c r="BH138" s="125" t="str">
        <f t="shared" si="810"/>
        <v/>
      </c>
      <c r="BI138" s="140">
        <f t="shared" si="51"/>
        <v>0</v>
      </c>
      <c r="BJ138" s="123">
        <f t="shared" si="811"/>
        <v>0</v>
      </c>
      <c r="BK138" s="125">
        <f t="shared" si="812"/>
        <v>0</v>
      </c>
      <c r="BL138" s="123" t="str">
        <f t="shared" si="813"/>
        <v/>
      </c>
      <c r="BM138" s="140">
        <f t="shared" si="55"/>
        <v>0</v>
      </c>
      <c r="BN138" s="326">
        <f t="shared" si="814"/>
        <v>280879.49</v>
      </c>
      <c r="BO138" s="332">
        <f t="shared" si="815"/>
        <v>280879.49</v>
      </c>
      <c r="BP138" s="141" t="str">
        <f t="shared" si="816"/>
        <v/>
      </c>
      <c r="BQ138" s="140">
        <f t="shared" si="59"/>
        <v>0</v>
      </c>
      <c r="BR138" s="326">
        <f t="shared" si="817"/>
        <v>0</v>
      </c>
      <c r="BS138" s="333">
        <f t="shared" si="818"/>
        <v>0</v>
      </c>
      <c r="BT138" s="113">
        <f t="shared" ref="BT138:BV138" si="856">SUM(BQ138,BM138,BI138)</f>
        <v>0</v>
      </c>
      <c r="BU138" s="116">
        <f t="shared" si="856"/>
        <v>280879.49</v>
      </c>
      <c r="BV138" s="117">
        <f t="shared" si="856"/>
        <v>280879.49</v>
      </c>
      <c r="BW138" s="141" t="str">
        <f t="shared" si="820"/>
        <v/>
      </c>
      <c r="BX138" s="113">
        <f t="shared" si="64"/>
        <v>0</v>
      </c>
      <c r="BY138" s="114">
        <f t="shared" si="821"/>
        <v>0</v>
      </c>
      <c r="BZ138" s="115">
        <f t="shared" si="822"/>
        <v>0</v>
      </c>
      <c r="CA138" s="123" t="str">
        <f t="shared" si="823"/>
        <v/>
      </c>
      <c r="CB138" s="333" t="str">
        <f t="shared" si="824"/>
        <v/>
      </c>
      <c r="CY138" s="294"/>
      <c r="DF138" s="296"/>
    </row>
    <row r="139" spans="1:110" ht="13">
      <c r="A139" s="420">
        <f t="shared" si="788"/>
        <v>112014748</v>
      </c>
      <c r="B139" s="565">
        <f t="shared" si="789"/>
        <v>3</v>
      </c>
      <c r="C139" s="558" t="str">
        <f t="shared" si="790"/>
        <v>Lista</v>
      </c>
      <c r="D139" s="558">
        <f t="shared" si="791"/>
        <v>0.2</v>
      </c>
      <c r="E139" s="715">
        <f t="shared" si="792"/>
        <v>0.23</v>
      </c>
      <c r="F139" s="701">
        <f t="shared" si="793"/>
        <v>3</v>
      </c>
      <c r="G139" s="700" t="str">
        <f t="shared" si="794"/>
        <v>Lista</v>
      </c>
      <c r="H139" s="700">
        <f t="shared" si="795"/>
        <v>0.2</v>
      </c>
      <c r="I139" s="700">
        <f t="shared" si="796"/>
        <v>0.23</v>
      </c>
      <c r="J139" s="547">
        <f t="shared" si="797"/>
        <v>69</v>
      </c>
      <c r="K139" s="699" t="str">
        <f t="shared" si="798"/>
        <v>Lista</v>
      </c>
      <c r="L139" s="702">
        <f t="shared" si="799"/>
        <v>0.14000000000000001</v>
      </c>
      <c r="M139" s="139" t="s">
        <v>644</v>
      </c>
      <c r="N139" s="423"/>
      <c r="O139" s="326"/>
      <c r="P139" s="326">
        <f t="shared" si="535"/>
        <v>0</v>
      </c>
      <c r="Q139" s="326">
        <f t="shared" si="737"/>
        <v>0</v>
      </c>
      <c r="R139" s="716">
        <f t="shared" si="738"/>
        <v>0</v>
      </c>
      <c r="S139" s="326"/>
      <c r="T139" s="137"/>
      <c r="U139" s="326"/>
      <c r="V139" s="332"/>
      <c r="W139" s="140">
        <f t="shared" si="538"/>
        <v>0</v>
      </c>
      <c r="X139" s="326">
        <f t="shared" si="741"/>
        <v>0</v>
      </c>
      <c r="Y139" s="717">
        <f t="shared" si="742"/>
        <v>0</v>
      </c>
      <c r="Z139" s="123"/>
      <c r="AA139" s="137"/>
      <c r="AB139" s="326"/>
      <c r="AC139" s="326">
        <f t="shared" si="724"/>
        <v>0</v>
      </c>
      <c r="AD139" s="326">
        <f t="shared" si="541"/>
        <v>0</v>
      </c>
      <c r="AE139" s="326">
        <f t="shared" si="744"/>
        <v>0</v>
      </c>
      <c r="AF139" s="716">
        <f t="shared" si="745"/>
        <v>0</v>
      </c>
      <c r="AG139" s="326">
        <f t="shared" si="559"/>
        <v>0</v>
      </c>
      <c r="AH139" s="137" t="str">
        <f t="shared" si="725"/>
        <v/>
      </c>
      <c r="AI139" s="332">
        <f t="shared" si="561"/>
        <v>0</v>
      </c>
      <c r="AJ139" s="140" t="str">
        <f t="shared" si="800"/>
        <v>0</v>
      </c>
      <c r="AK139" s="326">
        <f t="shared" si="32"/>
        <v>0</v>
      </c>
      <c r="AL139" s="326">
        <f t="shared" ref="AL139:AM139" si="857">SUM(AE139,X139,Q139)</f>
        <v>0</v>
      </c>
      <c r="AM139" s="326">
        <f t="shared" si="857"/>
        <v>0</v>
      </c>
      <c r="AN139" s="326">
        <f t="shared" si="70"/>
        <v>0</v>
      </c>
      <c r="AO139" s="413" t="str">
        <f t="shared" si="79"/>
        <v/>
      </c>
      <c r="AP139" s="423"/>
      <c r="AQ139" s="326">
        <f t="shared" si="36"/>
        <v>0</v>
      </c>
      <c r="AR139" s="326">
        <f t="shared" si="802"/>
        <v>0</v>
      </c>
      <c r="AS139" s="333">
        <f t="shared" si="803"/>
        <v>0</v>
      </c>
      <c r="AT139" s="434"/>
      <c r="AU139" s="140">
        <f t="shared" si="40"/>
        <v>0</v>
      </c>
      <c r="AV139" s="326">
        <f t="shared" si="804"/>
        <v>0</v>
      </c>
      <c r="AW139" s="333">
        <f t="shared" si="805"/>
        <v>0</v>
      </c>
      <c r="AX139" s="125"/>
      <c r="AY139" s="140">
        <f t="shared" si="44"/>
        <v>0</v>
      </c>
      <c r="AZ139" s="326">
        <f t="shared" si="806"/>
        <v>0</v>
      </c>
      <c r="BA139" s="332">
        <f t="shared" si="807"/>
        <v>0</v>
      </c>
      <c r="BB139" s="122">
        <f t="shared" ref="BB139:BD139" si="858">AY139+AU139+AQ139</f>
        <v>0</v>
      </c>
      <c r="BC139" s="326">
        <f t="shared" si="858"/>
        <v>0</v>
      </c>
      <c r="BD139" s="332">
        <f t="shared" si="858"/>
        <v>0</v>
      </c>
      <c r="BE139" s="122">
        <f t="shared" si="48"/>
        <v>0</v>
      </c>
      <c r="BF139" s="326">
        <f t="shared" ref="BF139:BG139" si="859">AL139+BC139</f>
        <v>0</v>
      </c>
      <c r="BG139" s="435">
        <f t="shared" si="859"/>
        <v>0</v>
      </c>
      <c r="BH139" s="125" t="str">
        <f t="shared" si="810"/>
        <v/>
      </c>
      <c r="BI139" s="140">
        <f t="shared" si="51"/>
        <v>0</v>
      </c>
      <c r="BJ139" s="123">
        <f t="shared" si="811"/>
        <v>0</v>
      </c>
      <c r="BK139" s="125">
        <f t="shared" si="812"/>
        <v>0</v>
      </c>
      <c r="BL139" s="123" t="str">
        <f t="shared" si="813"/>
        <v/>
      </c>
      <c r="BM139" s="140">
        <f t="shared" si="55"/>
        <v>0</v>
      </c>
      <c r="BN139" s="326">
        <f t="shared" si="814"/>
        <v>1343618.3</v>
      </c>
      <c r="BO139" s="332">
        <f t="shared" si="815"/>
        <v>1343618.3</v>
      </c>
      <c r="BP139" s="141" t="str">
        <f t="shared" si="816"/>
        <v/>
      </c>
      <c r="BQ139" s="140">
        <f t="shared" si="59"/>
        <v>0</v>
      </c>
      <c r="BR139" s="326">
        <f t="shared" si="817"/>
        <v>1320258.94</v>
      </c>
      <c r="BS139" s="333">
        <f t="shared" si="818"/>
        <v>1320258.94</v>
      </c>
      <c r="BT139" s="113">
        <f t="shared" ref="BT139:BV139" si="860">SUM(BQ139,BM139,BI139)</f>
        <v>0</v>
      </c>
      <c r="BU139" s="116">
        <f t="shared" si="860"/>
        <v>2663877.2400000002</v>
      </c>
      <c r="BV139" s="117">
        <f t="shared" si="860"/>
        <v>2663877.2400000002</v>
      </c>
      <c r="BW139" s="141" t="str">
        <f t="shared" si="820"/>
        <v/>
      </c>
      <c r="BX139" s="113">
        <f t="shared" si="64"/>
        <v>85936.5</v>
      </c>
      <c r="BY139" s="114">
        <f t="shared" si="821"/>
        <v>1592539.83</v>
      </c>
      <c r="BZ139" s="115">
        <f t="shared" si="822"/>
        <v>1678476.33</v>
      </c>
      <c r="CA139" s="123" t="str">
        <f t="shared" si="823"/>
        <v/>
      </c>
      <c r="CB139" s="333" t="str">
        <f t="shared" si="824"/>
        <v/>
      </c>
      <c r="CY139" s="294"/>
      <c r="DF139" s="296"/>
    </row>
    <row r="140" spans="1:110" ht="13">
      <c r="A140" s="420">
        <f t="shared" si="788"/>
        <v>112011303</v>
      </c>
      <c r="B140" s="565">
        <f t="shared" si="789"/>
        <v>1</v>
      </c>
      <c r="C140" s="558" t="str">
        <f t="shared" si="790"/>
        <v>Lista</v>
      </c>
      <c r="D140" s="558">
        <f t="shared" si="791"/>
        <v>0.09</v>
      </c>
      <c r="E140" s="715">
        <f t="shared" si="792"/>
        <v>0</v>
      </c>
      <c r="F140" s="701">
        <f t="shared" si="793"/>
        <v>1</v>
      </c>
      <c r="G140" s="700" t="str">
        <f t="shared" si="794"/>
        <v>Lista</v>
      </c>
      <c r="H140" s="700">
        <f t="shared" si="795"/>
        <v>0.09</v>
      </c>
      <c r="I140" s="700">
        <f t="shared" si="796"/>
        <v>0</v>
      </c>
      <c r="J140" s="547">
        <f t="shared" si="797"/>
        <v>71</v>
      </c>
      <c r="K140" s="699" t="str">
        <f t="shared" si="798"/>
        <v>Lista</v>
      </c>
      <c r="L140" s="702">
        <f t="shared" si="799"/>
        <v>0.05</v>
      </c>
      <c r="M140" s="139" t="s">
        <v>645</v>
      </c>
      <c r="N140" s="423">
        <f t="shared" ref="N140:N145" si="861">IFERROR(VLOOKUP(M140,LAGE24,3,FALSE),"")</f>
        <v>96986.44</v>
      </c>
      <c r="O140" s="326">
        <f t="shared" ref="O140:O145" si="862">(N140*1.601)*1.05</f>
        <v>163039.05496200002</v>
      </c>
      <c r="P140" s="326" t="e">
        <f t="shared" si="535"/>
        <v>#VALUE!</v>
      </c>
      <c r="Q140" s="326" t="str">
        <f t="shared" si="737"/>
        <v/>
      </c>
      <c r="R140" s="716">
        <f t="shared" si="738"/>
        <v>-78092</v>
      </c>
      <c r="S140" s="326">
        <f t="shared" ref="S140:S145" si="863">R140-O140</f>
        <v>-241131.05496200002</v>
      </c>
      <c r="T140" s="137">
        <f t="shared" ref="T140:T145" si="864">IFERROR(R140/O140,"")</f>
        <v>-0.478977261112076</v>
      </c>
      <c r="U140" s="326">
        <f t="shared" ref="U140:U145" si="865">IFERROR(VLOOKUP(M140,LAGE24,4,FALSE),"")</f>
        <v>0</v>
      </c>
      <c r="V140" s="332">
        <f t="shared" ref="V140:V145" si="866">(U140*1.7245)*1.03</f>
        <v>0</v>
      </c>
      <c r="W140" s="140" t="e">
        <f t="shared" si="538"/>
        <v>#VALUE!</v>
      </c>
      <c r="X140" s="326" t="str">
        <f t="shared" si="741"/>
        <v/>
      </c>
      <c r="Y140" s="717">
        <f t="shared" si="742"/>
        <v>0</v>
      </c>
      <c r="Z140" s="123">
        <f t="shared" ref="Z140:Z145" si="867">Y140-V140</f>
        <v>0</v>
      </c>
      <c r="AA140" s="137" t="str">
        <f t="shared" ref="AA140:AA145" si="868">IFERROR(Y140/V140,"")</f>
        <v/>
      </c>
      <c r="AB140" s="326">
        <f t="shared" ref="AB140:AB145" si="869">IFERROR(VLOOKUP(M140,LAGE24,5,FALSE),"")</f>
        <v>0</v>
      </c>
      <c r="AC140" s="326">
        <f t="shared" si="724"/>
        <v>0</v>
      </c>
      <c r="AD140" s="326" t="e">
        <f t="shared" si="541"/>
        <v>#VALUE!</v>
      </c>
      <c r="AE140" s="326" t="str">
        <f t="shared" si="744"/>
        <v/>
      </c>
      <c r="AF140" s="716">
        <f t="shared" si="745"/>
        <v>0</v>
      </c>
      <c r="AG140" s="326">
        <f t="shared" si="559"/>
        <v>0</v>
      </c>
      <c r="AH140" s="137" t="str">
        <f t="shared" si="725"/>
        <v/>
      </c>
      <c r="AI140" s="332">
        <f t="shared" si="561"/>
        <v>163039.05496200002</v>
      </c>
      <c r="AJ140" s="140">
        <f t="shared" si="800"/>
        <v>220828</v>
      </c>
      <c r="AK140" s="326">
        <f t="shared" si="32"/>
        <v>-78092</v>
      </c>
      <c r="AL140" s="326">
        <f t="shared" ref="AL140:AM140" si="870">SUM(AE140,X140,Q140)</f>
        <v>0</v>
      </c>
      <c r="AM140" s="326">
        <f t="shared" si="870"/>
        <v>-78092</v>
      </c>
      <c r="AN140" s="326">
        <f t="shared" si="70"/>
        <v>-241131.05496200002</v>
      </c>
      <c r="AO140" s="413">
        <f t="shared" si="79"/>
        <v>-0.35363269150651183</v>
      </c>
      <c r="AP140" s="423">
        <f t="shared" ref="AP140:AP145" si="871">IFERROR(VLOOKUP(M140,LAGE24,6,FALSE),"")</f>
        <v>0</v>
      </c>
      <c r="AQ140" s="326" t="e">
        <f t="shared" si="36"/>
        <v>#VALUE!</v>
      </c>
      <c r="AR140" s="326" t="str">
        <f t="shared" si="802"/>
        <v/>
      </c>
      <c r="AS140" s="333">
        <f t="shared" si="803"/>
        <v>0</v>
      </c>
      <c r="AT140" s="434"/>
      <c r="AU140" s="140" t="e">
        <f t="shared" si="40"/>
        <v>#VALUE!</v>
      </c>
      <c r="AV140" s="326" t="str">
        <f t="shared" si="804"/>
        <v/>
      </c>
      <c r="AW140" s="333">
        <f t="shared" si="805"/>
        <v>0</v>
      </c>
      <c r="AX140" s="125"/>
      <c r="AY140" s="140" t="e">
        <f t="shared" si="44"/>
        <v>#VALUE!</v>
      </c>
      <c r="AZ140" s="326" t="str">
        <f t="shared" si="806"/>
        <v/>
      </c>
      <c r="BA140" s="332">
        <f t="shared" si="807"/>
        <v>0</v>
      </c>
      <c r="BB140" s="122" t="e">
        <f t="shared" ref="BB140:BD140" si="872">AY140+AU140+AQ140</f>
        <v>#VALUE!</v>
      </c>
      <c r="BC140" s="326" t="e">
        <f t="shared" si="872"/>
        <v>#VALUE!</v>
      </c>
      <c r="BD140" s="332">
        <f t="shared" si="872"/>
        <v>0</v>
      </c>
      <c r="BE140" s="122" t="e">
        <f t="shared" si="48"/>
        <v>#VALUE!</v>
      </c>
      <c r="BF140" s="326" t="e">
        <f t="shared" ref="BF140:BG140" si="873">AL140+BC140</f>
        <v>#VALUE!</v>
      </c>
      <c r="BG140" s="435">
        <f t="shared" si="873"/>
        <v>-78092</v>
      </c>
      <c r="BH140" s="125">
        <f t="shared" si="810"/>
        <v>0</v>
      </c>
      <c r="BI140" s="140" t="e">
        <f t="shared" si="51"/>
        <v>#VALUE!</v>
      </c>
      <c r="BJ140" s="123" t="str">
        <f t="shared" si="811"/>
        <v/>
      </c>
      <c r="BK140" s="125">
        <f t="shared" si="812"/>
        <v>0</v>
      </c>
      <c r="BL140" s="123">
        <f t="shared" si="813"/>
        <v>0</v>
      </c>
      <c r="BM140" s="140" t="e">
        <f t="shared" si="55"/>
        <v>#VALUE!</v>
      </c>
      <c r="BN140" s="326" t="str">
        <f t="shared" si="814"/>
        <v/>
      </c>
      <c r="BO140" s="332">
        <f t="shared" si="815"/>
        <v>0</v>
      </c>
      <c r="BP140" s="141">
        <f t="shared" si="816"/>
        <v>0</v>
      </c>
      <c r="BQ140" s="140" t="e">
        <f t="shared" si="59"/>
        <v>#VALUE!</v>
      </c>
      <c r="BR140" s="326" t="str">
        <f t="shared" si="817"/>
        <v/>
      </c>
      <c r="BS140" s="333">
        <f t="shared" si="818"/>
        <v>235123.05</v>
      </c>
      <c r="BT140" s="113" t="e">
        <f t="shared" ref="BT140:BV140" si="874">SUM(BQ140,BM140,BI140)</f>
        <v>#VALUE!</v>
      </c>
      <c r="BU140" s="116">
        <f t="shared" si="874"/>
        <v>0</v>
      </c>
      <c r="BV140" s="117">
        <f t="shared" si="874"/>
        <v>235123.05</v>
      </c>
      <c r="BW140" s="141">
        <f t="shared" si="820"/>
        <v>71368</v>
      </c>
      <c r="BX140" s="113" t="e">
        <f t="shared" si="64"/>
        <v>#VALUE!</v>
      </c>
      <c r="BY140" s="114" t="str">
        <f t="shared" si="821"/>
        <v/>
      </c>
      <c r="BZ140" s="115">
        <f t="shared" si="822"/>
        <v>0</v>
      </c>
      <c r="CA140" s="123">
        <f t="shared" si="823"/>
        <v>71368</v>
      </c>
      <c r="CB140" s="333">
        <f t="shared" si="824"/>
        <v>78092</v>
      </c>
      <c r="CY140" s="294"/>
      <c r="DF140" s="296"/>
    </row>
    <row r="141" spans="1:110" ht="13">
      <c r="A141" s="420">
        <f t="shared" si="788"/>
        <v>112011741</v>
      </c>
      <c r="B141" s="565">
        <f t="shared" si="789"/>
        <v>1</v>
      </c>
      <c r="C141" s="558" t="str">
        <f t="shared" si="790"/>
        <v>Lista</v>
      </c>
      <c r="D141" s="558">
        <f t="shared" si="791"/>
        <v>0.09</v>
      </c>
      <c r="E141" s="715">
        <f t="shared" si="792"/>
        <v>0</v>
      </c>
      <c r="F141" s="701">
        <f t="shared" si="793"/>
        <v>1</v>
      </c>
      <c r="G141" s="700" t="str">
        <f t="shared" si="794"/>
        <v>Lista</v>
      </c>
      <c r="H141" s="700">
        <f t="shared" si="795"/>
        <v>0.09</v>
      </c>
      <c r="I141" s="700">
        <f t="shared" si="796"/>
        <v>0</v>
      </c>
      <c r="J141" s="547">
        <f t="shared" si="797"/>
        <v>71</v>
      </c>
      <c r="K141" s="699" t="str">
        <f t="shared" si="798"/>
        <v>Lista</v>
      </c>
      <c r="L141" s="702">
        <f t="shared" si="799"/>
        <v>0.05</v>
      </c>
      <c r="M141" s="139" t="s">
        <v>646</v>
      </c>
      <c r="N141" s="423">
        <f t="shared" si="861"/>
        <v>578256.64000000001</v>
      </c>
      <c r="O141" s="326">
        <f t="shared" si="862"/>
        <v>972078.32467200002</v>
      </c>
      <c r="P141" s="326">
        <f t="shared" si="535"/>
        <v>0</v>
      </c>
      <c r="Q141" s="326">
        <f t="shared" si="737"/>
        <v>0</v>
      </c>
      <c r="R141" s="716">
        <f t="shared" si="738"/>
        <v>0</v>
      </c>
      <c r="S141" s="326">
        <f t="shared" si="863"/>
        <v>-972078.32467200002</v>
      </c>
      <c r="T141" s="137">
        <f t="shared" si="864"/>
        <v>0</v>
      </c>
      <c r="U141" s="326">
        <f t="shared" si="865"/>
        <v>148085.29999999999</v>
      </c>
      <c r="V141" s="332">
        <f t="shared" si="866"/>
        <v>263034.29284549999</v>
      </c>
      <c r="W141" s="140">
        <f t="shared" si="538"/>
        <v>197713.62</v>
      </c>
      <c r="X141" s="326">
        <f t="shared" si="741"/>
        <v>0</v>
      </c>
      <c r="Y141" s="717">
        <f t="shared" si="742"/>
        <v>197713.62</v>
      </c>
      <c r="Z141" s="123">
        <f t="shared" si="867"/>
        <v>-65320.672845499997</v>
      </c>
      <c r="AA141" s="137">
        <f t="shared" si="868"/>
        <v>0.75166480332711683</v>
      </c>
      <c r="AB141" s="326">
        <f t="shared" si="869"/>
        <v>279745.48</v>
      </c>
      <c r="AC141" s="326">
        <f t="shared" si="724"/>
        <v>468650.60900699999</v>
      </c>
      <c r="AD141" s="326">
        <f t="shared" si="541"/>
        <v>340900.04</v>
      </c>
      <c r="AE141" s="326">
        <f t="shared" si="744"/>
        <v>0</v>
      </c>
      <c r="AF141" s="716">
        <f t="shared" si="745"/>
        <v>340900.04</v>
      </c>
      <c r="AG141" s="326">
        <f t="shared" si="559"/>
        <v>-127750.56900700001</v>
      </c>
      <c r="AH141" s="137">
        <f t="shared" si="725"/>
        <v>0.72740765390728024</v>
      </c>
      <c r="AI141" s="332">
        <f t="shared" si="561"/>
        <v>1703763.2265244999</v>
      </c>
      <c r="AJ141" s="140">
        <f t="shared" si="800"/>
        <v>865519.16</v>
      </c>
      <c r="AK141" s="326">
        <f t="shared" si="32"/>
        <v>538613.65999999992</v>
      </c>
      <c r="AL141" s="326">
        <f t="shared" ref="AL141:AM141" si="875">SUM(AE141,X141,Q141)</f>
        <v>0</v>
      </c>
      <c r="AM141" s="326">
        <f t="shared" si="875"/>
        <v>538613.65999999992</v>
      </c>
      <c r="AN141" s="326">
        <f t="shared" si="70"/>
        <v>-1165149.5665245</v>
      </c>
      <c r="AO141" s="413">
        <f t="shared" si="79"/>
        <v>0.62230125558398952</v>
      </c>
      <c r="AP141" s="423">
        <f t="shared" si="871"/>
        <v>260972.79</v>
      </c>
      <c r="AQ141" s="326">
        <f t="shared" si="36"/>
        <v>572645.12</v>
      </c>
      <c r="AR141" s="326">
        <f t="shared" si="802"/>
        <v>0</v>
      </c>
      <c r="AS141" s="333">
        <f t="shared" si="803"/>
        <v>572645.12</v>
      </c>
      <c r="AT141" s="434"/>
      <c r="AU141" s="140">
        <f t="shared" si="40"/>
        <v>583274.17000000004</v>
      </c>
      <c r="AV141" s="326">
        <f t="shared" si="804"/>
        <v>19165.259999999998</v>
      </c>
      <c r="AW141" s="333">
        <f t="shared" si="805"/>
        <v>602439.43000000005</v>
      </c>
      <c r="AX141" s="125"/>
      <c r="AY141" s="140">
        <f t="shared" si="44"/>
        <v>308165.71999999997</v>
      </c>
      <c r="AZ141" s="326">
        <f t="shared" si="806"/>
        <v>0</v>
      </c>
      <c r="BA141" s="332">
        <f t="shared" si="807"/>
        <v>308165.71999999997</v>
      </c>
      <c r="BB141" s="122">
        <f t="shared" ref="BB141:BD141" si="876">AY141+AU141+AQ141</f>
        <v>1464085.01</v>
      </c>
      <c r="BC141" s="326">
        <f t="shared" si="876"/>
        <v>19165.259999999998</v>
      </c>
      <c r="BD141" s="332">
        <f t="shared" si="876"/>
        <v>1483250.27</v>
      </c>
      <c r="BE141" s="122">
        <f t="shared" si="48"/>
        <v>2002698.67</v>
      </c>
      <c r="BF141" s="326">
        <f t="shared" ref="BF141:BG141" si="877">AL141+BC141</f>
        <v>19165.259999999998</v>
      </c>
      <c r="BG141" s="435">
        <f t="shared" si="877"/>
        <v>2021863.93</v>
      </c>
      <c r="BH141" s="125">
        <f t="shared" si="810"/>
        <v>441145.96</v>
      </c>
      <c r="BI141" s="140">
        <f t="shared" si="51"/>
        <v>365818.24</v>
      </c>
      <c r="BJ141" s="123">
        <f t="shared" si="811"/>
        <v>0</v>
      </c>
      <c r="BK141" s="125">
        <f t="shared" si="812"/>
        <v>365818.24</v>
      </c>
      <c r="BL141" s="123">
        <f t="shared" si="813"/>
        <v>592992.43000000005</v>
      </c>
      <c r="BM141" s="140">
        <f t="shared" si="55"/>
        <v>108516.56</v>
      </c>
      <c r="BN141" s="326">
        <f t="shared" si="814"/>
        <v>0</v>
      </c>
      <c r="BO141" s="332">
        <f t="shared" si="815"/>
        <v>108516.56</v>
      </c>
      <c r="BP141" s="141">
        <f t="shared" si="816"/>
        <v>150444.6</v>
      </c>
      <c r="BQ141" s="140">
        <f t="shared" si="59"/>
        <v>164736.4</v>
      </c>
      <c r="BR141" s="326">
        <f t="shared" si="817"/>
        <v>0</v>
      </c>
      <c r="BS141" s="333">
        <f t="shared" si="818"/>
        <v>164736.4</v>
      </c>
      <c r="BT141" s="113">
        <f t="shared" ref="BT141:BV141" si="878">SUM(BQ141,BM141,BI141)</f>
        <v>639071.19999999995</v>
      </c>
      <c r="BU141" s="116">
        <f t="shared" si="878"/>
        <v>0</v>
      </c>
      <c r="BV141" s="117">
        <f t="shared" si="878"/>
        <v>639071.19999999995</v>
      </c>
      <c r="BW141" s="141">
        <f t="shared" si="820"/>
        <v>296987.64</v>
      </c>
      <c r="BX141" s="113">
        <f t="shared" si="64"/>
        <v>206889.86</v>
      </c>
      <c r="BY141" s="114">
        <f t="shared" si="821"/>
        <v>0</v>
      </c>
      <c r="BZ141" s="115">
        <f t="shared" si="822"/>
        <v>206889.86</v>
      </c>
      <c r="CA141" s="123">
        <f t="shared" si="823"/>
        <v>76665.36</v>
      </c>
      <c r="CB141" s="333">
        <f t="shared" si="824"/>
        <v>491866.16</v>
      </c>
      <c r="CY141" s="294"/>
      <c r="DF141" s="296"/>
    </row>
    <row r="142" spans="1:110" ht="13">
      <c r="A142" s="420">
        <f t="shared" si="788"/>
        <v>112011763</v>
      </c>
      <c r="B142" s="565">
        <f t="shared" si="789"/>
        <v>1</v>
      </c>
      <c r="C142" s="558" t="str">
        <f t="shared" si="790"/>
        <v>Lista</v>
      </c>
      <c r="D142" s="558">
        <f t="shared" si="791"/>
        <v>0.09</v>
      </c>
      <c r="E142" s="715">
        <f t="shared" si="792"/>
        <v>0</v>
      </c>
      <c r="F142" s="701">
        <f t="shared" si="793"/>
        <v>1</v>
      </c>
      <c r="G142" s="700" t="str">
        <f t="shared" si="794"/>
        <v>Lista</v>
      </c>
      <c r="H142" s="700">
        <f t="shared" si="795"/>
        <v>0.09</v>
      </c>
      <c r="I142" s="700">
        <f t="shared" si="796"/>
        <v>0</v>
      </c>
      <c r="J142" s="547">
        <f t="shared" si="797"/>
        <v>71</v>
      </c>
      <c r="K142" s="699" t="str">
        <f t="shared" si="798"/>
        <v>Lista</v>
      </c>
      <c r="L142" s="702">
        <f t="shared" si="799"/>
        <v>0.05</v>
      </c>
      <c r="M142" s="139" t="s">
        <v>647</v>
      </c>
      <c r="N142" s="423">
        <f t="shared" si="861"/>
        <v>0</v>
      </c>
      <c r="O142" s="326">
        <f t="shared" si="862"/>
        <v>0</v>
      </c>
      <c r="P142" s="326" t="e">
        <f t="shared" si="535"/>
        <v>#VALUE!</v>
      </c>
      <c r="Q142" s="326" t="str">
        <f t="shared" si="737"/>
        <v/>
      </c>
      <c r="R142" s="716">
        <f t="shared" si="738"/>
        <v>0</v>
      </c>
      <c r="S142" s="326">
        <f t="shared" si="863"/>
        <v>0</v>
      </c>
      <c r="T142" s="137" t="str">
        <f t="shared" si="864"/>
        <v/>
      </c>
      <c r="U142" s="326">
        <f t="shared" si="865"/>
        <v>0</v>
      </c>
      <c r="V142" s="332">
        <f t="shared" si="866"/>
        <v>0</v>
      </c>
      <c r="W142" s="140" t="e">
        <f t="shared" si="538"/>
        <v>#VALUE!</v>
      </c>
      <c r="X142" s="326" t="str">
        <f t="shared" si="741"/>
        <v/>
      </c>
      <c r="Y142" s="717">
        <f t="shared" si="742"/>
        <v>0</v>
      </c>
      <c r="Z142" s="123">
        <f t="shared" si="867"/>
        <v>0</v>
      </c>
      <c r="AA142" s="137" t="str">
        <f t="shared" si="868"/>
        <v/>
      </c>
      <c r="AB142" s="326">
        <f t="shared" si="869"/>
        <v>0</v>
      </c>
      <c r="AC142" s="326">
        <f t="shared" si="724"/>
        <v>0</v>
      </c>
      <c r="AD142" s="326" t="e">
        <f t="shared" si="541"/>
        <v>#VALUE!</v>
      </c>
      <c r="AE142" s="326" t="str">
        <f t="shared" si="744"/>
        <v/>
      </c>
      <c r="AF142" s="716">
        <f t="shared" si="745"/>
        <v>65429</v>
      </c>
      <c r="AG142" s="326">
        <f t="shared" si="559"/>
        <v>65429</v>
      </c>
      <c r="AH142" s="137" t="str">
        <f t="shared" si="725"/>
        <v/>
      </c>
      <c r="AI142" s="332">
        <f t="shared" si="561"/>
        <v>0</v>
      </c>
      <c r="AJ142" s="140" t="str">
        <f t="shared" si="800"/>
        <v>0</v>
      </c>
      <c r="AK142" s="326">
        <f t="shared" si="32"/>
        <v>65429</v>
      </c>
      <c r="AL142" s="326">
        <f t="shared" ref="AL142:AM142" si="879">SUM(AE142,X142,Q142)</f>
        <v>0</v>
      </c>
      <c r="AM142" s="326">
        <f t="shared" si="879"/>
        <v>65429</v>
      </c>
      <c r="AN142" s="326">
        <f t="shared" si="70"/>
        <v>65429</v>
      </c>
      <c r="AO142" s="413" t="str">
        <f t="shared" si="79"/>
        <v/>
      </c>
      <c r="AP142" s="423">
        <f t="shared" si="871"/>
        <v>0</v>
      </c>
      <c r="AQ142" s="326" t="e">
        <f t="shared" si="36"/>
        <v>#VALUE!</v>
      </c>
      <c r="AR142" s="326" t="str">
        <f t="shared" si="802"/>
        <v/>
      </c>
      <c r="AS142" s="333">
        <f t="shared" si="803"/>
        <v>0</v>
      </c>
      <c r="AT142" s="434"/>
      <c r="AU142" s="140" t="e">
        <f t="shared" si="40"/>
        <v>#VALUE!</v>
      </c>
      <c r="AV142" s="326" t="str">
        <f t="shared" si="804"/>
        <v/>
      </c>
      <c r="AW142" s="333">
        <f t="shared" si="805"/>
        <v>0</v>
      </c>
      <c r="AX142" s="125"/>
      <c r="AY142" s="140" t="e">
        <f t="shared" si="44"/>
        <v>#VALUE!</v>
      </c>
      <c r="AZ142" s="326" t="str">
        <f t="shared" si="806"/>
        <v/>
      </c>
      <c r="BA142" s="332">
        <f t="shared" si="807"/>
        <v>0</v>
      </c>
      <c r="BB142" s="122" t="e">
        <f t="shared" ref="BB142:BD142" si="880">AY142+AU142+AQ142</f>
        <v>#VALUE!</v>
      </c>
      <c r="BC142" s="326" t="e">
        <f t="shared" si="880"/>
        <v>#VALUE!</v>
      </c>
      <c r="BD142" s="332">
        <f t="shared" si="880"/>
        <v>0</v>
      </c>
      <c r="BE142" s="122" t="e">
        <f t="shared" si="48"/>
        <v>#VALUE!</v>
      </c>
      <c r="BF142" s="326" t="e">
        <f t="shared" ref="BF142:BG142" si="881">AL142+BC142</f>
        <v>#VALUE!</v>
      </c>
      <c r="BG142" s="435">
        <f t="shared" si="881"/>
        <v>65429</v>
      </c>
      <c r="BH142" s="125">
        <f t="shared" si="810"/>
        <v>0</v>
      </c>
      <c r="BI142" s="140" t="e">
        <f t="shared" si="51"/>
        <v>#VALUE!</v>
      </c>
      <c r="BJ142" s="123" t="str">
        <f t="shared" si="811"/>
        <v/>
      </c>
      <c r="BK142" s="125">
        <f t="shared" si="812"/>
        <v>0</v>
      </c>
      <c r="BL142" s="123">
        <f t="shared" si="813"/>
        <v>163655.54999999999</v>
      </c>
      <c r="BM142" s="140" t="e">
        <f t="shared" si="55"/>
        <v>#VALUE!</v>
      </c>
      <c r="BN142" s="326" t="str">
        <f t="shared" si="814"/>
        <v/>
      </c>
      <c r="BO142" s="332">
        <f t="shared" si="815"/>
        <v>0</v>
      </c>
      <c r="BP142" s="141">
        <f t="shared" si="816"/>
        <v>0</v>
      </c>
      <c r="BQ142" s="140" t="e">
        <f t="shared" si="59"/>
        <v>#VALUE!</v>
      </c>
      <c r="BR142" s="326" t="str">
        <f t="shared" si="817"/>
        <v/>
      </c>
      <c r="BS142" s="333">
        <f t="shared" si="818"/>
        <v>0</v>
      </c>
      <c r="BT142" s="113" t="e">
        <f t="shared" ref="BT142:BV142" si="882">SUM(BQ142,BM142,BI142)</f>
        <v>#VALUE!</v>
      </c>
      <c r="BU142" s="116">
        <f t="shared" si="882"/>
        <v>0</v>
      </c>
      <c r="BV142" s="117">
        <f t="shared" si="882"/>
        <v>0</v>
      </c>
      <c r="BW142" s="141">
        <f t="shared" si="820"/>
        <v>0</v>
      </c>
      <c r="BX142" s="113" t="e">
        <f t="shared" si="64"/>
        <v>#VALUE!</v>
      </c>
      <c r="BY142" s="114" t="str">
        <f t="shared" si="821"/>
        <v/>
      </c>
      <c r="BZ142" s="115">
        <f t="shared" si="822"/>
        <v>0</v>
      </c>
      <c r="CA142" s="123">
        <f t="shared" si="823"/>
        <v>0</v>
      </c>
      <c r="CB142" s="333">
        <f t="shared" si="824"/>
        <v>0</v>
      </c>
      <c r="CY142" s="294"/>
      <c r="DF142" s="296"/>
    </row>
    <row r="143" spans="1:110" ht="13">
      <c r="A143" s="420">
        <f t="shared" si="788"/>
        <v>112013200</v>
      </c>
      <c r="B143" s="565">
        <f t="shared" si="789"/>
        <v>1</v>
      </c>
      <c r="C143" s="558" t="str">
        <f t="shared" si="790"/>
        <v>Lista</v>
      </c>
      <c r="D143" s="558">
        <f t="shared" si="791"/>
        <v>0.09</v>
      </c>
      <c r="E143" s="715">
        <f t="shared" si="792"/>
        <v>0</v>
      </c>
      <c r="F143" s="701">
        <f t="shared" si="793"/>
        <v>1</v>
      </c>
      <c r="G143" s="700" t="str">
        <f t="shared" si="794"/>
        <v>Lista</v>
      </c>
      <c r="H143" s="700">
        <f t="shared" si="795"/>
        <v>0.09</v>
      </c>
      <c r="I143" s="700">
        <f t="shared" si="796"/>
        <v>0</v>
      </c>
      <c r="J143" s="547">
        <f t="shared" si="797"/>
        <v>71</v>
      </c>
      <c r="K143" s="699" t="str">
        <f t="shared" si="798"/>
        <v>Lista</v>
      </c>
      <c r="L143" s="702">
        <f t="shared" si="799"/>
        <v>0.05</v>
      </c>
      <c r="M143" s="139" t="s">
        <v>648</v>
      </c>
      <c r="N143" s="423">
        <f t="shared" si="861"/>
        <v>105664.37</v>
      </c>
      <c r="O143" s="326">
        <f t="shared" si="862"/>
        <v>177627.08918849999</v>
      </c>
      <c r="P143" s="326">
        <f t="shared" si="535"/>
        <v>0</v>
      </c>
      <c r="Q143" s="326">
        <f t="shared" si="737"/>
        <v>0</v>
      </c>
      <c r="R143" s="716">
        <f t="shared" si="738"/>
        <v>0</v>
      </c>
      <c r="S143" s="326">
        <f t="shared" si="863"/>
        <v>-177627.08918849999</v>
      </c>
      <c r="T143" s="137">
        <f t="shared" si="864"/>
        <v>0</v>
      </c>
      <c r="U143" s="326">
        <f t="shared" si="865"/>
        <v>107038.62</v>
      </c>
      <c r="V143" s="332">
        <f t="shared" si="866"/>
        <v>190125.74319569999</v>
      </c>
      <c r="W143" s="140">
        <f t="shared" si="538"/>
        <v>295518.38</v>
      </c>
      <c r="X143" s="326">
        <f t="shared" si="741"/>
        <v>0</v>
      </c>
      <c r="Y143" s="717">
        <f t="shared" si="742"/>
        <v>295518.38</v>
      </c>
      <c r="Z143" s="123">
        <f t="shared" si="867"/>
        <v>105392.63680430001</v>
      </c>
      <c r="AA143" s="137">
        <f t="shared" si="868"/>
        <v>1.5543312285481372</v>
      </c>
      <c r="AB143" s="326">
        <f t="shared" si="869"/>
        <v>0</v>
      </c>
      <c r="AC143" s="326">
        <f t="shared" si="724"/>
        <v>0</v>
      </c>
      <c r="AD143" s="326">
        <f t="shared" si="541"/>
        <v>0</v>
      </c>
      <c r="AE143" s="326">
        <f t="shared" si="744"/>
        <v>0</v>
      </c>
      <c r="AF143" s="716">
        <f t="shared" si="745"/>
        <v>0</v>
      </c>
      <c r="AG143" s="326">
        <f t="shared" si="559"/>
        <v>0</v>
      </c>
      <c r="AH143" s="137" t="str">
        <f t="shared" si="725"/>
        <v/>
      </c>
      <c r="AI143" s="332">
        <f t="shared" si="561"/>
        <v>367752.83238419995</v>
      </c>
      <c r="AJ143" s="140">
        <f t="shared" si="800"/>
        <v>428672.28</v>
      </c>
      <c r="AK143" s="326">
        <f t="shared" si="32"/>
        <v>295518.38</v>
      </c>
      <c r="AL143" s="326">
        <f t="shared" ref="AL143:AM143" si="883">SUM(AE143,X143,Q143)</f>
        <v>0</v>
      </c>
      <c r="AM143" s="326">
        <f t="shared" si="883"/>
        <v>295518.38</v>
      </c>
      <c r="AN143" s="326">
        <f t="shared" si="70"/>
        <v>-72234.452384199947</v>
      </c>
      <c r="AO143" s="413">
        <f t="shared" si="79"/>
        <v>0.68938066160937672</v>
      </c>
      <c r="AP143" s="423">
        <f t="shared" si="871"/>
        <v>171848.52</v>
      </c>
      <c r="AQ143" s="326">
        <f t="shared" si="36"/>
        <v>75197.8</v>
      </c>
      <c r="AR143" s="326">
        <f t="shared" si="802"/>
        <v>0</v>
      </c>
      <c r="AS143" s="333">
        <f t="shared" si="803"/>
        <v>75197.8</v>
      </c>
      <c r="AT143" s="434"/>
      <c r="AU143" s="140">
        <f t="shared" si="40"/>
        <v>112339.37</v>
      </c>
      <c r="AV143" s="326">
        <f t="shared" si="804"/>
        <v>0</v>
      </c>
      <c r="AW143" s="333">
        <f t="shared" si="805"/>
        <v>112339.37</v>
      </c>
      <c r="AX143" s="125"/>
      <c r="AY143" s="140">
        <f t="shared" si="44"/>
        <v>0</v>
      </c>
      <c r="AZ143" s="326">
        <f t="shared" si="806"/>
        <v>0</v>
      </c>
      <c r="BA143" s="332">
        <f t="shared" si="807"/>
        <v>0</v>
      </c>
      <c r="BB143" s="122">
        <f t="shared" ref="BB143:BD143" si="884">AY143+AU143+AQ143</f>
        <v>187537.16999999998</v>
      </c>
      <c r="BC143" s="326">
        <f t="shared" si="884"/>
        <v>0</v>
      </c>
      <c r="BD143" s="332">
        <f t="shared" si="884"/>
        <v>187537.16999999998</v>
      </c>
      <c r="BE143" s="122">
        <f t="shared" si="48"/>
        <v>483055.55</v>
      </c>
      <c r="BF143" s="326">
        <f t="shared" ref="BF143:BG143" si="885">AL143+BC143</f>
        <v>0</v>
      </c>
      <c r="BG143" s="435">
        <f t="shared" si="885"/>
        <v>483055.55</v>
      </c>
      <c r="BH143" s="125">
        <f t="shared" si="810"/>
        <v>78582.039999999994</v>
      </c>
      <c r="BI143" s="140">
        <f t="shared" si="51"/>
        <v>77125.69</v>
      </c>
      <c r="BJ143" s="123">
        <f t="shared" si="811"/>
        <v>0</v>
      </c>
      <c r="BK143" s="125">
        <f t="shared" si="812"/>
        <v>77125.69</v>
      </c>
      <c r="BL143" s="123">
        <f t="shared" si="813"/>
        <v>79262.13</v>
      </c>
      <c r="BM143" s="140">
        <f t="shared" si="55"/>
        <v>111813.8</v>
      </c>
      <c r="BN143" s="326">
        <f t="shared" si="814"/>
        <v>0</v>
      </c>
      <c r="BO143" s="332">
        <f t="shared" si="815"/>
        <v>111813.8</v>
      </c>
      <c r="BP143" s="141">
        <f t="shared" si="816"/>
        <v>0</v>
      </c>
      <c r="BQ143" s="140">
        <f t="shared" si="59"/>
        <v>44285</v>
      </c>
      <c r="BR143" s="326">
        <f t="shared" si="817"/>
        <v>0</v>
      </c>
      <c r="BS143" s="333">
        <f t="shared" si="818"/>
        <v>44285</v>
      </c>
      <c r="BT143" s="113">
        <f t="shared" ref="BT143:BV143" si="886">SUM(BQ143,BM143,BI143)</f>
        <v>233224.49</v>
      </c>
      <c r="BU143" s="116">
        <f t="shared" si="886"/>
        <v>0</v>
      </c>
      <c r="BV143" s="117">
        <f t="shared" si="886"/>
        <v>233224.49</v>
      </c>
      <c r="BW143" s="141">
        <f t="shared" si="820"/>
        <v>161256.51</v>
      </c>
      <c r="BX143" s="113">
        <f t="shared" si="64"/>
        <v>256315.96</v>
      </c>
      <c r="BY143" s="114">
        <f t="shared" si="821"/>
        <v>31057.599999999999</v>
      </c>
      <c r="BZ143" s="115">
        <f t="shared" si="822"/>
        <v>287373.56</v>
      </c>
      <c r="CA143" s="123">
        <f t="shared" si="823"/>
        <v>145419.76999999999</v>
      </c>
      <c r="CB143" s="333">
        <f t="shared" si="824"/>
        <v>121996</v>
      </c>
      <c r="CY143" s="294"/>
      <c r="DF143" s="296"/>
    </row>
    <row r="144" spans="1:110" ht="13">
      <c r="A144" s="420">
        <f t="shared" si="788"/>
        <v>112014031</v>
      </c>
      <c r="B144" s="565">
        <f t="shared" si="789"/>
        <v>1</v>
      </c>
      <c r="C144" s="558" t="str">
        <f t="shared" si="790"/>
        <v>Lista</v>
      </c>
      <c r="D144" s="558">
        <f t="shared" si="791"/>
        <v>0.09</v>
      </c>
      <c r="E144" s="715">
        <f t="shared" si="792"/>
        <v>0</v>
      </c>
      <c r="F144" s="701">
        <f t="shared" si="793"/>
        <v>1</v>
      </c>
      <c r="G144" s="700" t="str">
        <f t="shared" si="794"/>
        <v>Lista</v>
      </c>
      <c r="H144" s="700">
        <f t="shared" si="795"/>
        <v>0.09</v>
      </c>
      <c r="I144" s="700">
        <f t="shared" si="796"/>
        <v>0</v>
      </c>
      <c r="J144" s="547">
        <f t="shared" si="797"/>
        <v>71</v>
      </c>
      <c r="K144" s="699" t="str">
        <f t="shared" si="798"/>
        <v>Lista</v>
      </c>
      <c r="L144" s="702">
        <f t="shared" si="799"/>
        <v>0.05</v>
      </c>
      <c r="M144" s="139" t="s">
        <v>649</v>
      </c>
      <c r="N144" s="423">
        <f t="shared" si="861"/>
        <v>0</v>
      </c>
      <c r="O144" s="326">
        <f t="shared" si="862"/>
        <v>0</v>
      </c>
      <c r="P144" s="326" t="e">
        <f t="shared" si="535"/>
        <v>#VALUE!</v>
      </c>
      <c r="Q144" s="326" t="str">
        <f t="shared" si="737"/>
        <v/>
      </c>
      <c r="R144" s="716">
        <f t="shared" si="738"/>
        <v>0</v>
      </c>
      <c r="S144" s="326">
        <f t="shared" si="863"/>
        <v>0</v>
      </c>
      <c r="T144" s="137" t="str">
        <f t="shared" si="864"/>
        <v/>
      </c>
      <c r="U144" s="326">
        <f t="shared" si="865"/>
        <v>0</v>
      </c>
      <c r="V144" s="332">
        <f t="shared" si="866"/>
        <v>0</v>
      </c>
      <c r="W144" s="140" t="e">
        <f t="shared" si="538"/>
        <v>#VALUE!</v>
      </c>
      <c r="X144" s="326" t="str">
        <f t="shared" si="741"/>
        <v/>
      </c>
      <c r="Y144" s="717">
        <f t="shared" si="742"/>
        <v>0</v>
      </c>
      <c r="Z144" s="123">
        <f t="shared" si="867"/>
        <v>0</v>
      </c>
      <c r="AA144" s="137" t="str">
        <f t="shared" si="868"/>
        <v/>
      </c>
      <c r="AB144" s="326">
        <f t="shared" si="869"/>
        <v>0</v>
      </c>
      <c r="AC144" s="326">
        <f t="shared" si="724"/>
        <v>0</v>
      </c>
      <c r="AD144" s="326" t="e">
        <f t="shared" si="541"/>
        <v>#VALUE!</v>
      </c>
      <c r="AE144" s="326" t="str">
        <f t="shared" si="744"/>
        <v/>
      </c>
      <c r="AF144" s="716">
        <f t="shared" si="745"/>
        <v>0</v>
      </c>
      <c r="AG144" s="326">
        <f t="shared" si="559"/>
        <v>0</v>
      </c>
      <c r="AH144" s="137" t="str">
        <f t="shared" si="725"/>
        <v/>
      </c>
      <c r="AI144" s="332">
        <f t="shared" si="561"/>
        <v>0</v>
      </c>
      <c r="AJ144" s="140" t="str">
        <f t="shared" si="800"/>
        <v>0</v>
      </c>
      <c r="AK144" s="326">
        <f t="shared" si="32"/>
        <v>0</v>
      </c>
      <c r="AL144" s="326">
        <f t="shared" ref="AL144:AM144" si="887">SUM(AE144,X144,Q144)</f>
        <v>0</v>
      </c>
      <c r="AM144" s="326">
        <f t="shared" si="887"/>
        <v>0</v>
      </c>
      <c r="AN144" s="326">
        <f t="shared" si="70"/>
        <v>0</v>
      </c>
      <c r="AO144" s="413" t="str">
        <f t="shared" si="79"/>
        <v/>
      </c>
      <c r="AP144" s="423">
        <f t="shared" si="871"/>
        <v>0</v>
      </c>
      <c r="AQ144" s="326" t="e">
        <f t="shared" si="36"/>
        <v>#VALUE!</v>
      </c>
      <c r="AR144" s="326" t="str">
        <f t="shared" si="802"/>
        <v/>
      </c>
      <c r="AS144" s="333">
        <f t="shared" si="803"/>
        <v>0</v>
      </c>
      <c r="AT144" s="434"/>
      <c r="AU144" s="140" t="e">
        <f t="shared" si="40"/>
        <v>#VALUE!</v>
      </c>
      <c r="AV144" s="326" t="str">
        <f t="shared" si="804"/>
        <v/>
      </c>
      <c r="AW144" s="333">
        <f t="shared" si="805"/>
        <v>0</v>
      </c>
      <c r="AX144" s="125"/>
      <c r="AY144" s="140" t="e">
        <f t="shared" si="44"/>
        <v>#VALUE!</v>
      </c>
      <c r="AZ144" s="326" t="str">
        <f t="shared" si="806"/>
        <v/>
      </c>
      <c r="BA144" s="332">
        <f t="shared" si="807"/>
        <v>21402</v>
      </c>
      <c r="BB144" s="122" t="e">
        <f t="shared" ref="BB144:BD144" si="888">AY144+AU144+AQ144</f>
        <v>#VALUE!</v>
      </c>
      <c r="BC144" s="326" t="e">
        <f t="shared" si="888"/>
        <v>#VALUE!</v>
      </c>
      <c r="BD144" s="332">
        <f t="shared" si="888"/>
        <v>21402</v>
      </c>
      <c r="BE144" s="122" t="e">
        <f t="shared" si="48"/>
        <v>#VALUE!</v>
      </c>
      <c r="BF144" s="326" t="e">
        <f t="shared" ref="BF144:BG144" si="889">AL144+BC144</f>
        <v>#VALUE!</v>
      </c>
      <c r="BG144" s="435">
        <f t="shared" si="889"/>
        <v>21402</v>
      </c>
      <c r="BH144" s="125">
        <f t="shared" si="810"/>
        <v>0</v>
      </c>
      <c r="BI144" s="140" t="e">
        <f t="shared" si="51"/>
        <v>#VALUE!</v>
      </c>
      <c r="BJ144" s="123" t="str">
        <f t="shared" si="811"/>
        <v/>
      </c>
      <c r="BK144" s="125">
        <f t="shared" si="812"/>
        <v>0</v>
      </c>
      <c r="BL144" s="123">
        <f t="shared" si="813"/>
        <v>65392.81</v>
      </c>
      <c r="BM144" s="140" t="e">
        <f t="shared" si="55"/>
        <v>#VALUE!</v>
      </c>
      <c r="BN144" s="326" t="str">
        <f t="shared" si="814"/>
        <v/>
      </c>
      <c r="BO144" s="332">
        <f t="shared" si="815"/>
        <v>990047.71</v>
      </c>
      <c r="BP144" s="141">
        <f t="shared" si="816"/>
        <v>0</v>
      </c>
      <c r="BQ144" s="140" t="e">
        <f t="shared" si="59"/>
        <v>#VALUE!</v>
      </c>
      <c r="BR144" s="326" t="str">
        <f t="shared" si="817"/>
        <v/>
      </c>
      <c r="BS144" s="333">
        <f t="shared" si="818"/>
        <v>61484.2</v>
      </c>
      <c r="BT144" s="113" t="e">
        <f t="shared" ref="BT144:BV144" si="890">SUM(BQ144,BM144,BI144)</f>
        <v>#VALUE!</v>
      </c>
      <c r="BU144" s="116">
        <f t="shared" si="890"/>
        <v>0</v>
      </c>
      <c r="BV144" s="117">
        <f t="shared" si="890"/>
        <v>1051531.9099999999</v>
      </c>
      <c r="BW144" s="141">
        <f t="shared" si="820"/>
        <v>0</v>
      </c>
      <c r="BX144" s="113" t="e">
        <f t="shared" si="64"/>
        <v>#VALUE!</v>
      </c>
      <c r="BY144" s="114" t="str">
        <f t="shared" si="821"/>
        <v/>
      </c>
      <c r="BZ144" s="115">
        <f t="shared" si="822"/>
        <v>0</v>
      </c>
      <c r="CA144" s="123">
        <f t="shared" si="823"/>
        <v>0</v>
      </c>
      <c r="CB144" s="333">
        <f t="shared" si="824"/>
        <v>0</v>
      </c>
      <c r="CY144" s="294"/>
      <c r="DF144" s="296"/>
    </row>
    <row r="145" spans="1:110" ht="13">
      <c r="A145" s="420">
        <f t="shared" si="788"/>
        <v>112014165</v>
      </c>
      <c r="B145" s="565">
        <f t="shared" si="789"/>
        <v>1</v>
      </c>
      <c r="C145" s="558" t="str">
        <f t="shared" si="790"/>
        <v>Lista</v>
      </c>
      <c r="D145" s="558">
        <f t="shared" si="791"/>
        <v>0.09</v>
      </c>
      <c r="E145" s="715">
        <f t="shared" si="792"/>
        <v>0</v>
      </c>
      <c r="F145" s="701">
        <f t="shared" si="793"/>
        <v>1</v>
      </c>
      <c r="G145" s="700" t="str">
        <f t="shared" si="794"/>
        <v>Lista</v>
      </c>
      <c r="H145" s="700">
        <f t="shared" si="795"/>
        <v>0.09</v>
      </c>
      <c r="I145" s="700">
        <f t="shared" si="796"/>
        <v>0</v>
      </c>
      <c r="J145" s="547">
        <f t="shared" si="797"/>
        <v>71</v>
      </c>
      <c r="K145" s="699" t="str">
        <f t="shared" si="798"/>
        <v>Lista</v>
      </c>
      <c r="L145" s="702">
        <f t="shared" si="799"/>
        <v>0.05</v>
      </c>
      <c r="M145" s="139" t="s">
        <v>650</v>
      </c>
      <c r="N145" s="423" t="str">
        <f t="shared" si="861"/>
        <v/>
      </c>
      <c r="O145" s="326" t="e">
        <f t="shared" si="862"/>
        <v>#VALUE!</v>
      </c>
      <c r="P145" s="326" t="e">
        <f t="shared" si="535"/>
        <v>#VALUE!</v>
      </c>
      <c r="Q145" s="326" t="str">
        <f t="shared" si="737"/>
        <v/>
      </c>
      <c r="R145" s="716" t="str">
        <f t="shared" si="738"/>
        <v>0</v>
      </c>
      <c r="S145" s="326" t="e">
        <f t="shared" si="863"/>
        <v>#VALUE!</v>
      </c>
      <c r="T145" s="137" t="str">
        <f t="shared" si="864"/>
        <v/>
      </c>
      <c r="U145" s="326" t="str">
        <f t="shared" si="865"/>
        <v/>
      </c>
      <c r="V145" s="332" t="e">
        <f t="shared" si="866"/>
        <v>#VALUE!</v>
      </c>
      <c r="W145" s="140" t="e">
        <f t="shared" si="538"/>
        <v>#VALUE!</v>
      </c>
      <c r="X145" s="326" t="str">
        <f t="shared" si="741"/>
        <v/>
      </c>
      <c r="Y145" s="717" t="str">
        <f t="shared" si="742"/>
        <v>0</v>
      </c>
      <c r="Z145" s="123" t="e">
        <f t="shared" si="867"/>
        <v>#VALUE!</v>
      </c>
      <c r="AA145" s="137" t="str">
        <f t="shared" si="868"/>
        <v/>
      </c>
      <c r="AB145" s="326" t="str">
        <f t="shared" si="869"/>
        <v/>
      </c>
      <c r="AC145" s="326" t="e">
        <f t="shared" si="724"/>
        <v>#VALUE!</v>
      </c>
      <c r="AD145" s="326" t="e">
        <f t="shared" si="541"/>
        <v>#VALUE!</v>
      </c>
      <c r="AE145" s="326" t="str">
        <f t="shared" si="744"/>
        <v/>
      </c>
      <c r="AF145" s="716" t="str">
        <f t="shared" si="745"/>
        <v>0</v>
      </c>
      <c r="AG145" s="326" t="e">
        <f t="shared" si="559"/>
        <v>#VALUE!</v>
      </c>
      <c r="AH145" s="137" t="str">
        <f t="shared" si="725"/>
        <v/>
      </c>
      <c r="AI145" s="332" t="e">
        <f t="shared" si="561"/>
        <v>#VALUE!</v>
      </c>
      <c r="AJ145" s="140" t="str">
        <f t="shared" si="800"/>
        <v>0</v>
      </c>
      <c r="AK145" s="326">
        <f t="shared" si="32"/>
        <v>0</v>
      </c>
      <c r="AL145" s="326">
        <f t="shared" ref="AL145:AM145" si="891">SUM(AE145,X145,Q145)</f>
        <v>0</v>
      </c>
      <c r="AM145" s="326">
        <f t="shared" si="891"/>
        <v>0</v>
      </c>
      <c r="AN145" s="326" t="e">
        <f t="shared" si="70"/>
        <v>#VALUE!</v>
      </c>
      <c r="AO145" s="413" t="str">
        <f t="shared" si="79"/>
        <v/>
      </c>
      <c r="AP145" s="423" t="str">
        <f t="shared" si="871"/>
        <v/>
      </c>
      <c r="AQ145" s="326" t="e">
        <f t="shared" si="36"/>
        <v>#VALUE!</v>
      </c>
      <c r="AR145" s="326" t="str">
        <f t="shared" si="802"/>
        <v/>
      </c>
      <c r="AS145" s="333" t="str">
        <f t="shared" si="803"/>
        <v>0</v>
      </c>
      <c r="AT145" s="434"/>
      <c r="AU145" s="140" t="e">
        <f t="shared" si="40"/>
        <v>#VALUE!</v>
      </c>
      <c r="AV145" s="326" t="str">
        <f t="shared" si="804"/>
        <v/>
      </c>
      <c r="AW145" s="333" t="str">
        <f t="shared" si="805"/>
        <v>0</v>
      </c>
      <c r="AX145" s="125"/>
      <c r="AY145" s="140" t="e">
        <f t="shared" si="44"/>
        <v>#VALUE!</v>
      </c>
      <c r="AZ145" s="326" t="str">
        <f t="shared" si="806"/>
        <v/>
      </c>
      <c r="BA145" s="332" t="str">
        <f t="shared" si="807"/>
        <v>0</v>
      </c>
      <c r="BB145" s="122" t="e">
        <f t="shared" ref="BB145:BD145" si="892">AY145+AU145+AQ145</f>
        <v>#VALUE!</v>
      </c>
      <c r="BC145" s="326" t="e">
        <f t="shared" si="892"/>
        <v>#VALUE!</v>
      </c>
      <c r="BD145" s="332">
        <f t="shared" si="892"/>
        <v>0</v>
      </c>
      <c r="BE145" s="122" t="e">
        <f t="shared" si="48"/>
        <v>#VALUE!</v>
      </c>
      <c r="BF145" s="326" t="e">
        <f t="shared" ref="BF145:BG145" si="893">AL145+BC145</f>
        <v>#VALUE!</v>
      </c>
      <c r="BG145" s="435">
        <f t="shared" si="893"/>
        <v>0</v>
      </c>
      <c r="BH145" s="125" t="str">
        <f t="shared" si="810"/>
        <v/>
      </c>
      <c r="BI145" s="140" t="e">
        <f t="shared" si="51"/>
        <v>#VALUE!</v>
      </c>
      <c r="BJ145" s="123" t="str">
        <f t="shared" si="811"/>
        <v/>
      </c>
      <c r="BK145" s="125" t="str">
        <f t="shared" si="812"/>
        <v>0</v>
      </c>
      <c r="BL145" s="123" t="str">
        <f t="shared" si="813"/>
        <v/>
      </c>
      <c r="BM145" s="140" t="e">
        <f t="shared" si="55"/>
        <v>#VALUE!</v>
      </c>
      <c r="BN145" s="326" t="str">
        <f t="shared" si="814"/>
        <v/>
      </c>
      <c r="BO145" s="332" t="str">
        <f t="shared" si="815"/>
        <v>0</v>
      </c>
      <c r="BP145" s="141" t="str">
        <f t="shared" si="816"/>
        <v/>
      </c>
      <c r="BQ145" s="140" t="e">
        <f t="shared" si="59"/>
        <v>#VALUE!</v>
      </c>
      <c r="BR145" s="326" t="str">
        <f t="shared" si="817"/>
        <v/>
      </c>
      <c r="BS145" s="333" t="str">
        <f t="shared" si="818"/>
        <v>0</v>
      </c>
      <c r="BT145" s="113" t="e">
        <f t="shared" ref="BT145:BV145" si="894">SUM(BQ145,BM145,BI145)</f>
        <v>#VALUE!</v>
      </c>
      <c r="BU145" s="116">
        <f t="shared" si="894"/>
        <v>0</v>
      </c>
      <c r="BV145" s="117">
        <f t="shared" si="894"/>
        <v>0</v>
      </c>
      <c r="BW145" s="141" t="str">
        <f t="shared" si="820"/>
        <v/>
      </c>
      <c r="BX145" s="113" t="e">
        <f t="shared" si="64"/>
        <v>#VALUE!</v>
      </c>
      <c r="BY145" s="114" t="str">
        <f t="shared" si="821"/>
        <v/>
      </c>
      <c r="BZ145" s="115" t="str">
        <f t="shared" si="822"/>
        <v>0</v>
      </c>
      <c r="CA145" s="123" t="str">
        <f t="shared" si="823"/>
        <v/>
      </c>
      <c r="CB145" s="333" t="str">
        <f t="shared" si="824"/>
        <v/>
      </c>
      <c r="CY145" s="294"/>
      <c r="DF145" s="296"/>
    </row>
    <row r="146" spans="1:110" ht="13">
      <c r="A146" s="420">
        <f t="shared" si="788"/>
        <v>112014255</v>
      </c>
      <c r="B146" s="565">
        <f t="shared" si="789"/>
        <v>1</v>
      </c>
      <c r="C146" s="558" t="str">
        <f t="shared" si="790"/>
        <v>Lista</v>
      </c>
      <c r="D146" s="558">
        <f t="shared" si="791"/>
        <v>0.09</v>
      </c>
      <c r="E146" s="715">
        <f t="shared" si="792"/>
        <v>0</v>
      </c>
      <c r="F146" s="701">
        <f t="shared" si="793"/>
        <v>1</v>
      </c>
      <c r="G146" s="700" t="str">
        <f t="shared" si="794"/>
        <v>Lista</v>
      </c>
      <c r="H146" s="700">
        <f t="shared" si="795"/>
        <v>0.09</v>
      </c>
      <c r="I146" s="700">
        <f t="shared" si="796"/>
        <v>0</v>
      </c>
      <c r="J146" s="547">
        <f t="shared" si="797"/>
        <v>71</v>
      </c>
      <c r="K146" s="699" t="str">
        <f t="shared" si="798"/>
        <v>Lista</v>
      </c>
      <c r="L146" s="702">
        <f t="shared" si="799"/>
        <v>0.05</v>
      </c>
      <c r="M146" s="255" t="s">
        <v>651</v>
      </c>
      <c r="N146" s="423"/>
      <c r="O146" s="326"/>
      <c r="P146" s="326" t="e">
        <f t="shared" si="535"/>
        <v>#VALUE!</v>
      </c>
      <c r="Q146" s="326" t="str">
        <f t="shared" si="737"/>
        <v/>
      </c>
      <c r="R146" s="716" t="str">
        <f t="shared" si="738"/>
        <v>0</v>
      </c>
      <c r="S146" s="326"/>
      <c r="T146" s="137"/>
      <c r="U146" s="326"/>
      <c r="V146" s="332"/>
      <c r="W146" s="140" t="e">
        <f t="shared" si="538"/>
        <v>#VALUE!</v>
      </c>
      <c r="X146" s="326" t="str">
        <f t="shared" si="741"/>
        <v/>
      </c>
      <c r="Y146" s="717" t="str">
        <f t="shared" si="742"/>
        <v>0</v>
      </c>
      <c r="Z146" s="123"/>
      <c r="AA146" s="137"/>
      <c r="AB146" s="326"/>
      <c r="AC146" s="326">
        <f t="shared" si="724"/>
        <v>0</v>
      </c>
      <c r="AD146" s="326" t="e">
        <f t="shared" si="541"/>
        <v>#VALUE!</v>
      </c>
      <c r="AE146" s="326" t="str">
        <f t="shared" si="744"/>
        <v/>
      </c>
      <c r="AF146" s="716" t="str">
        <f t="shared" si="745"/>
        <v>0</v>
      </c>
      <c r="AG146" s="326">
        <f t="shared" si="559"/>
        <v>0</v>
      </c>
      <c r="AH146" s="137" t="str">
        <f t="shared" si="725"/>
        <v/>
      </c>
      <c r="AI146" s="332">
        <f t="shared" si="561"/>
        <v>0</v>
      </c>
      <c r="AJ146" s="140" t="str">
        <f t="shared" si="800"/>
        <v>0</v>
      </c>
      <c r="AK146" s="326">
        <f t="shared" si="32"/>
        <v>0</v>
      </c>
      <c r="AL146" s="326">
        <f t="shared" ref="AL146:AM146" si="895">SUM(AE146,X146,Q146)</f>
        <v>0</v>
      </c>
      <c r="AM146" s="326">
        <f t="shared" si="895"/>
        <v>0</v>
      </c>
      <c r="AN146" s="326">
        <f t="shared" si="70"/>
        <v>0</v>
      </c>
      <c r="AO146" s="413" t="str">
        <f t="shared" si="79"/>
        <v/>
      </c>
      <c r="AP146" s="423"/>
      <c r="AQ146" s="326" t="e">
        <f t="shared" si="36"/>
        <v>#VALUE!</v>
      </c>
      <c r="AR146" s="326" t="str">
        <f t="shared" si="802"/>
        <v/>
      </c>
      <c r="AS146" s="333" t="str">
        <f t="shared" si="803"/>
        <v>0</v>
      </c>
      <c r="AT146" s="434"/>
      <c r="AU146" s="140" t="e">
        <f t="shared" si="40"/>
        <v>#VALUE!</v>
      </c>
      <c r="AV146" s="326" t="str">
        <f t="shared" si="804"/>
        <v/>
      </c>
      <c r="AW146" s="333" t="str">
        <f t="shared" si="805"/>
        <v>0</v>
      </c>
      <c r="AX146" s="125"/>
      <c r="AY146" s="140" t="e">
        <f t="shared" si="44"/>
        <v>#VALUE!</v>
      </c>
      <c r="AZ146" s="326" t="str">
        <f t="shared" si="806"/>
        <v/>
      </c>
      <c r="BA146" s="332" t="str">
        <f t="shared" si="807"/>
        <v>0</v>
      </c>
      <c r="BB146" s="122" t="e">
        <f t="shared" ref="BB146:BD146" si="896">AY146+AU146+AQ146</f>
        <v>#VALUE!</v>
      </c>
      <c r="BC146" s="326" t="e">
        <f t="shared" si="896"/>
        <v>#VALUE!</v>
      </c>
      <c r="BD146" s="332">
        <f t="shared" si="896"/>
        <v>0</v>
      </c>
      <c r="BE146" s="122" t="e">
        <f t="shared" si="48"/>
        <v>#VALUE!</v>
      </c>
      <c r="BF146" s="326" t="e">
        <f t="shared" ref="BF146:BG146" si="897">AL146+BC146</f>
        <v>#VALUE!</v>
      </c>
      <c r="BG146" s="435">
        <f t="shared" si="897"/>
        <v>0</v>
      </c>
      <c r="BH146" s="125">
        <f t="shared" si="810"/>
        <v>223393.47</v>
      </c>
      <c r="BI146" s="140" t="e">
        <f t="shared" si="51"/>
        <v>#VALUE!</v>
      </c>
      <c r="BJ146" s="123" t="str">
        <f t="shared" si="811"/>
        <v/>
      </c>
      <c r="BK146" s="125" t="str">
        <f t="shared" si="812"/>
        <v>0</v>
      </c>
      <c r="BL146" s="123">
        <f t="shared" si="813"/>
        <v>0</v>
      </c>
      <c r="BM146" s="140" t="e">
        <f t="shared" si="55"/>
        <v>#VALUE!</v>
      </c>
      <c r="BN146" s="326" t="str">
        <f t="shared" si="814"/>
        <v/>
      </c>
      <c r="BO146" s="332" t="str">
        <f t="shared" si="815"/>
        <v>0</v>
      </c>
      <c r="BP146" s="141">
        <f t="shared" si="816"/>
        <v>36072.51</v>
      </c>
      <c r="BQ146" s="140" t="e">
        <f t="shared" si="59"/>
        <v>#VALUE!</v>
      </c>
      <c r="BR146" s="326" t="str">
        <f t="shared" si="817"/>
        <v/>
      </c>
      <c r="BS146" s="333" t="str">
        <f t="shared" si="818"/>
        <v>0</v>
      </c>
      <c r="BT146" s="113" t="e">
        <f t="shared" ref="BT146:BV146" si="898">SUM(BQ146,BM146,BI146)</f>
        <v>#VALUE!</v>
      </c>
      <c r="BU146" s="116">
        <f t="shared" si="898"/>
        <v>0</v>
      </c>
      <c r="BV146" s="117">
        <f t="shared" si="898"/>
        <v>0</v>
      </c>
      <c r="BW146" s="141">
        <f t="shared" si="820"/>
        <v>0</v>
      </c>
      <c r="BX146" s="113" t="e">
        <f t="shared" si="64"/>
        <v>#VALUE!</v>
      </c>
      <c r="BY146" s="114" t="str">
        <f t="shared" si="821"/>
        <v/>
      </c>
      <c r="BZ146" s="115" t="str">
        <f t="shared" si="822"/>
        <v>0</v>
      </c>
      <c r="CA146" s="123">
        <f t="shared" si="823"/>
        <v>0</v>
      </c>
      <c r="CB146" s="333">
        <f t="shared" si="824"/>
        <v>0</v>
      </c>
      <c r="CY146" s="294"/>
      <c r="DF146" s="296"/>
    </row>
    <row r="147" spans="1:110" ht="13">
      <c r="A147" s="420">
        <f t="shared" si="788"/>
        <v>112011118</v>
      </c>
      <c r="B147" s="565">
        <f t="shared" si="789"/>
        <v>1</v>
      </c>
      <c r="C147" s="558" t="str">
        <f t="shared" si="790"/>
        <v>Lista</v>
      </c>
      <c r="D147" s="558">
        <f t="shared" si="791"/>
        <v>0.09</v>
      </c>
      <c r="E147" s="715">
        <f t="shared" si="792"/>
        <v>0</v>
      </c>
      <c r="F147" s="701">
        <f t="shared" si="793"/>
        <v>1</v>
      </c>
      <c r="G147" s="700" t="str">
        <f t="shared" si="794"/>
        <v>Lista</v>
      </c>
      <c r="H147" s="700">
        <f t="shared" si="795"/>
        <v>0.09</v>
      </c>
      <c r="I147" s="700">
        <f t="shared" si="796"/>
        <v>0</v>
      </c>
      <c r="J147" s="547">
        <f t="shared" si="797"/>
        <v>71</v>
      </c>
      <c r="K147" s="699" t="str">
        <f t="shared" si="798"/>
        <v>Lista</v>
      </c>
      <c r="L147" s="702">
        <f t="shared" si="799"/>
        <v>0.05</v>
      </c>
      <c r="M147" s="255" t="s">
        <v>652</v>
      </c>
      <c r="N147" s="423"/>
      <c r="O147" s="326"/>
      <c r="P147" s="326" t="e">
        <f t="shared" si="535"/>
        <v>#VALUE!</v>
      </c>
      <c r="Q147" s="326" t="str">
        <f t="shared" si="737"/>
        <v/>
      </c>
      <c r="R147" s="716" t="str">
        <f t="shared" si="738"/>
        <v>0</v>
      </c>
      <c r="S147" s="326"/>
      <c r="T147" s="137"/>
      <c r="U147" s="326"/>
      <c r="V147" s="332"/>
      <c r="W147" s="140" t="e">
        <f t="shared" si="538"/>
        <v>#VALUE!</v>
      </c>
      <c r="X147" s="326" t="str">
        <f t="shared" si="741"/>
        <v/>
      </c>
      <c r="Y147" s="717" t="str">
        <f t="shared" si="742"/>
        <v>0</v>
      </c>
      <c r="Z147" s="123"/>
      <c r="AA147" s="137"/>
      <c r="AB147" s="326"/>
      <c r="AC147" s="326">
        <f t="shared" si="724"/>
        <v>0</v>
      </c>
      <c r="AD147" s="326" t="e">
        <f t="shared" si="541"/>
        <v>#VALUE!</v>
      </c>
      <c r="AE147" s="326" t="str">
        <f t="shared" si="744"/>
        <v/>
      </c>
      <c r="AF147" s="716" t="str">
        <f t="shared" si="745"/>
        <v>0</v>
      </c>
      <c r="AG147" s="326">
        <f t="shared" si="559"/>
        <v>0</v>
      </c>
      <c r="AH147" s="137" t="str">
        <f t="shared" si="725"/>
        <v/>
      </c>
      <c r="AI147" s="332">
        <f t="shared" si="561"/>
        <v>0</v>
      </c>
      <c r="AJ147" s="140">
        <f t="shared" si="800"/>
        <v>43930.69</v>
      </c>
      <c r="AK147" s="326">
        <f t="shared" si="32"/>
        <v>0</v>
      </c>
      <c r="AL147" s="326">
        <f t="shared" ref="AL147:AM147" si="899">SUM(AE147,X147,Q147)</f>
        <v>0</v>
      </c>
      <c r="AM147" s="326">
        <f t="shared" si="899"/>
        <v>0</v>
      </c>
      <c r="AN147" s="326">
        <f t="shared" si="70"/>
        <v>0</v>
      </c>
      <c r="AO147" s="413">
        <f t="shared" si="79"/>
        <v>0</v>
      </c>
      <c r="AP147" s="423"/>
      <c r="AQ147" s="326" t="e">
        <f t="shared" si="36"/>
        <v>#VALUE!</v>
      </c>
      <c r="AR147" s="326" t="str">
        <f t="shared" si="802"/>
        <v/>
      </c>
      <c r="AS147" s="333" t="str">
        <f t="shared" si="803"/>
        <v>0</v>
      </c>
      <c r="AT147" s="434"/>
      <c r="AU147" s="140" t="e">
        <f t="shared" si="40"/>
        <v>#VALUE!</v>
      </c>
      <c r="AV147" s="326" t="str">
        <f t="shared" si="804"/>
        <v/>
      </c>
      <c r="AW147" s="333" t="str">
        <f t="shared" si="805"/>
        <v>0</v>
      </c>
      <c r="AX147" s="125"/>
      <c r="AY147" s="140" t="e">
        <f t="shared" si="44"/>
        <v>#VALUE!</v>
      </c>
      <c r="AZ147" s="326" t="str">
        <f t="shared" si="806"/>
        <v/>
      </c>
      <c r="BA147" s="332" t="str">
        <f t="shared" si="807"/>
        <v>0</v>
      </c>
      <c r="BB147" s="122" t="e">
        <f t="shared" ref="BB147:BD147" si="900">AY147+AU147+AQ147</f>
        <v>#VALUE!</v>
      </c>
      <c r="BC147" s="326" t="e">
        <f t="shared" si="900"/>
        <v>#VALUE!</v>
      </c>
      <c r="BD147" s="332">
        <f t="shared" si="900"/>
        <v>0</v>
      </c>
      <c r="BE147" s="122" t="e">
        <f t="shared" si="48"/>
        <v>#VALUE!</v>
      </c>
      <c r="BF147" s="326" t="e">
        <f t="shared" ref="BF147:BG147" si="901">AL147+BC147</f>
        <v>#VALUE!</v>
      </c>
      <c r="BG147" s="435">
        <f t="shared" si="901"/>
        <v>0</v>
      </c>
      <c r="BH147" s="125">
        <f t="shared" si="810"/>
        <v>94097.25</v>
      </c>
      <c r="BI147" s="140" t="e">
        <f t="shared" si="51"/>
        <v>#VALUE!</v>
      </c>
      <c r="BJ147" s="123" t="str">
        <f t="shared" si="811"/>
        <v/>
      </c>
      <c r="BK147" s="125" t="str">
        <f t="shared" si="812"/>
        <v>0</v>
      </c>
      <c r="BL147" s="123">
        <f t="shared" si="813"/>
        <v>52830.080000000002</v>
      </c>
      <c r="BM147" s="140" t="e">
        <f t="shared" si="55"/>
        <v>#VALUE!</v>
      </c>
      <c r="BN147" s="326" t="str">
        <f t="shared" si="814"/>
        <v/>
      </c>
      <c r="BO147" s="332" t="str">
        <f t="shared" si="815"/>
        <v>0</v>
      </c>
      <c r="BP147" s="141">
        <f t="shared" si="816"/>
        <v>124800.04</v>
      </c>
      <c r="BQ147" s="140" t="e">
        <f t="shared" si="59"/>
        <v>#VALUE!</v>
      </c>
      <c r="BR147" s="326" t="str">
        <f t="shared" si="817"/>
        <v/>
      </c>
      <c r="BS147" s="333" t="str">
        <f t="shared" si="818"/>
        <v>0</v>
      </c>
      <c r="BT147" s="113" t="e">
        <f t="shared" ref="BT147:BV147" si="902">SUM(BQ147,BM147,BI147)</f>
        <v>#VALUE!</v>
      </c>
      <c r="BU147" s="116">
        <f t="shared" si="902"/>
        <v>0</v>
      </c>
      <c r="BV147" s="117">
        <f t="shared" si="902"/>
        <v>0</v>
      </c>
      <c r="BW147" s="141">
        <f t="shared" si="820"/>
        <v>43930.69</v>
      </c>
      <c r="BX147" s="113" t="e">
        <f t="shared" si="64"/>
        <v>#VALUE!</v>
      </c>
      <c r="BY147" s="114" t="str">
        <f t="shared" si="821"/>
        <v/>
      </c>
      <c r="BZ147" s="115" t="str">
        <f t="shared" si="822"/>
        <v>0</v>
      </c>
      <c r="CA147" s="123">
        <f t="shared" si="823"/>
        <v>0</v>
      </c>
      <c r="CB147" s="333">
        <f t="shared" si="824"/>
        <v>0</v>
      </c>
      <c r="CY147" s="294"/>
      <c r="DF147" s="296"/>
    </row>
    <row r="148" spans="1:110" ht="13">
      <c r="A148" s="420">
        <f t="shared" si="788"/>
        <v>112013758</v>
      </c>
      <c r="B148" s="565">
        <f t="shared" si="789"/>
        <v>1</v>
      </c>
      <c r="C148" s="558" t="str">
        <f t="shared" si="790"/>
        <v>Lista</v>
      </c>
      <c r="D148" s="558">
        <f t="shared" si="791"/>
        <v>0.09</v>
      </c>
      <c r="E148" s="715">
        <f t="shared" si="792"/>
        <v>0</v>
      </c>
      <c r="F148" s="701">
        <f t="shared" si="793"/>
        <v>1</v>
      </c>
      <c r="G148" s="700" t="str">
        <f t="shared" si="794"/>
        <v>Lista</v>
      </c>
      <c r="H148" s="700">
        <f t="shared" si="795"/>
        <v>0.09</v>
      </c>
      <c r="I148" s="700">
        <f t="shared" si="796"/>
        <v>0</v>
      </c>
      <c r="J148" s="547">
        <f t="shared" si="797"/>
        <v>71</v>
      </c>
      <c r="K148" s="699" t="str">
        <f t="shared" si="798"/>
        <v>Lista</v>
      </c>
      <c r="L148" s="702">
        <f t="shared" si="799"/>
        <v>0.05</v>
      </c>
      <c r="M148" s="255" t="s">
        <v>653</v>
      </c>
      <c r="N148" s="423"/>
      <c r="O148" s="326"/>
      <c r="P148" s="326" t="e">
        <f t="shared" si="535"/>
        <v>#VALUE!</v>
      </c>
      <c r="Q148" s="326" t="str">
        <f t="shared" si="737"/>
        <v/>
      </c>
      <c r="R148" s="716" t="str">
        <f t="shared" si="738"/>
        <v>0</v>
      </c>
      <c r="S148" s="326"/>
      <c r="T148" s="137"/>
      <c r="U148" s="326"/>
      <c r="V148" s="332"/>
      <c r="W148" s="140" t="e">
        <f t="shared" si="538"/>
        <v>#VALUE!</v>
      </c>
      <c r="X148" s="326" t="str">
        <f t="shared" si="741"/>
        <v/>
      </c>
      <c r="Y148" s="717" t="str">
        <f t="shared" si="742"/>
        <v>0</v>
      </c>
      <c r="Z148" s="123"/>
      <c r="AA148" s="137"/>
      <c r="AB148" s="326"/>
      <c r="AC148" s="326">
        <f t="shared" si="724"/>
        <v>0</v>
      </c>
      <c r="AD148" s="326" t="e">
        <f t="shared" si="541"/>
        <v>#VALUE!</v>
      </c>
      <c r="AE148" s="326" t="str">
        <f t="shared" si="744"/>
        <v/>
      </c>
      <c r="AF148" s="716" t="str">
        <f t="shared" si="745"/>
        <v>0</v>
      </c>
      <c r="AG148" s="326">
        <f t="shared" si="559"/>
        <v>0</v>
      </c>
      <c r="AH148" s="137" t="str">
        <f t="shared" si="725"/>
        <v/>
      </c>
      <c r="AI148" s="332">
        <f t="shared" si="561"/>
        <v>0</v>
      </c>
      <c r="AJ148" s="140">
        <f t="shared" si="800"/>
        <v>65907.39</v>
      </c>
      <c r="AK148" s="326">
        <f t="shared" si="32"/>
        <v>0</v>
      </c>
      <c r="AL148" s="326">
        <f t="shared" ref="AL148:AM148" si="903">SUM(AE148,X148,Q148)</f>
        <v>0</v>
      </c>
      <c r="AM148" s="326">
        <f t="shared" si="903"/>
        <v>0</v>
      </c>
      <c r="AN148" s="326">
        <f t="shared" si="70"/>
        <v>0</v>
      </c>
      <c r="AO148" s="413">
        <f t="shared" si="79"/>
        <v>0</v>
      </c>
      <c r="AP148" s="423"/>
      <c r="AQ148" s="326" t="e">
        <f t="shared" si="36"/>
        <v>#VALUE!</v>
      </c>
      <c r="AR148" s="326" t="str">
        <f t="shared" si="802"/>
        <v/>
      </c>
      <c r="AS148" s="333" t="str">
        <f t="shared" si="803"/>
        <v>0</v>
      </c>
      <c r="AT148" s="434"/>
      <c r="AU148" s="140" t="e">
        <f t="shared" si="40"/>
        <v>#VALUE!</v>
      </c>
      <c r="AV148" s="326" t="str">
        <f t="shared" si="804"/>
        <v/>
      </c>
      <c r="AW148" s="333" t="str">
        <f t="shared" si="805"/>
        <v>0</v>
      </c>
      <c r="AX148" s="125"/>
      <c r="AY148" s="140" t="e">
        <f t="shared" si="44"/>
        <v>#VALUE!</v>
      </c>
      <c r="AZ148" s="326" t="str">
        <f t="shared" si="806"/>
        <v/>
      </c>
      <c r="BA148" s="332" t="str">
        <f t="shared" si="807"/>
        <v>0</v>
      </c>
      <c r="BB148" s="122" t="e">
        <f t="shared" ref="BB148:BD148" si="904">AY148+AU148+AQ148</f>
        <v>#VALUE!</v>
      </c>
      <c r="BC148" s="326" t="e">
        <f t="shared" si="904"/>
        <v>#VALUE!</v>
      </c>
      <c r="BD148" s="332">
        <f t="shared" si="904"/>
        <v>0</v>
      </c>
      <c r="BE148" s="122" t="e">
        <f t="shared" si="48"/>
        <v>#VALUE!</v>
      </c>
      <c r="BF148" s="326" t="e">
        <f t="shared" ref="BF148:BG148" si="905">AL148+BC148</f>
        <v>#VALUE!</v>
      </c>
      <c r="BG148" s="435">
        <f t="shared" si="905"/>
        <v>0</v>
      </c>
      <c r="BH148" s="125">
        <f t="shared" si="810"/>
        <v>92370.94</v>
      </c>
      <c r="BI148" s="140" t="e">
        <f t="shared" si="51"/>
        <v>#VALUE!</v>
      </c>
      <c r="BJ148" s="123" t="str">
        <f t="shared" si="811"/>
        <v/>
      </c>
      <c r="BK148" s="125" t="str">
        <f t="shared" si="812"/>
        <v>0</v>
      </c>
      <c r="BL148" s="123">
        <f t="shared" si="813"/>
        <v>66698.320000000007</v>
      </c>
      <c r="BM148" s="140" t="e">
        <f t="shared" si="55"/>
        <v>#VALUE!</v>
      </c>
      <c r="BN148" s="326" t="str">
        <f t="shared" si="814"/>
        <v/>
      </c>
      <c r="BO148" s="332" t="str">
        <f t="shared" si="815"/>
        <v>0</v>
      </c>
      <c r="BP148" s="141">
        <f t="shared" si="816"/>
        <v>44996.9</v>
      </c>
      <c r="BQ148" s="140" t="e">
        <f t="shared" si="59"/>
        <v>#VALUE!</v>
      </c>
      <c r="BR148" s="326" t="str">
        <f t="shared" si="817"/>
        <v/>
      </c>
      <c r="BS148" s="333" t="str">
        <f t="shared" si="818"/>
        <v>0</v>
      </c>
      <c r="BT148" s="113" t="e">
        <f t="shared" ref="BT148:BV148" si="906">SUM(BQ148,BM148,BI148)</f>
        <v>#VALUE!</v>
      </c>
      <c r="BU148" s="116">
        <f t="shared" si="906"/>
        <v>0</v>
      </c>
      <c r="BV148" s="117">
        <f t="shared" si="906"/>
        <v>0</v>
      </c>
      <c r="BW148" s="141">
        <f t="shared" si="820"/>
        <v>14481.75</v>
      </c>
      <c r="BX148" s="113" t="e">
        <f t="shared" si="64"/>
        <v>#VALUE!</v>
      </c>
      <c r="BY148" s="114" t="str">
        <f t="shared" si="821"/>
        <v/>
      </c>
      <c r="BZ148" s="115" t="str">
        <f t="shared" si="822"/>
        <v>0</v>
      </c>
      <c r="CA148" s="123">
        <f t="shared" si="823"/>
        <v>51425.64</v>
      </c>
      <c r="CB148" s="333">
        <f t="shared" si="824"/>
        <v>0</v>
      </c>
      <c r="CY148" s="294"/>
      <c r="DF148" s="296"/>
    </row>
    <row r="149" spans="1:110" ht="13">
      <c r="A149" s="420">
        <f t="shared" si="788"/>
        <v>112012868</v>
      </c>
      <c r="B149" s="565">
        <f t="shared" si="789"/>
        <v>1</v>
      </c>
      <c r="C149" s="558" t="str">
        <f t="shared" si="790"/>
        <v>Lista</v>
      </c>
      <c r="D149" s="558">
        <f t="shared" si="791"/>
        <v>0.09</v>
      </c>
      <c r="E149" s="715">
        <f t="shared" si="792"/>
        <v>0</v>
      </c>
      <c r="F149" s="701">
        <f t="shared" si="793"/>
        <v>1</v>
      </c>
      <c r="G149" s="700" t="str">
        <f t="shared" si="794"/>
        <v>Lista</v>
      </c>
      <c r="H149" s="700">
        <f t="shared" si="795"/>
        <v>0.09</v>
      </c>
      <c r="I149" s="700">
        <f t="shared" si="796"/>
        <v>0</v>
      </c>
      <c r="J149" s="547">
        <f t="shared" si="797"/>
        <v>71</v>
      </c>
      <c r="K149" s="699" t="str">
        <f t="shared" si="798"/>
        <v>Lista</v>
      </c>
      <c r="L149" s="702">
        <f t="shared" si="799"/>
        <v>0.05</v>
      </c>
      <c r="M149" s="255" t="s">
        <v>654</v>
      </c>
      <c r="N149" s="423"/>
      <c r="O149" s="326"/>
      <c r="P149" s="326">
        <f t="shared" si="535"/>
        <v>0</v>
      </c>
      <c r="Q149" s="326">
        <f t="shared" si="737"/>
        <v>0</v>
      </c>
      <c r="R149" s="716">
        <f t="shared" si="738"/>
        <v>0</v>
      </c>
      <c r="S149" s="326"/>
      <c r="T149" s="137"/>
      <c r="U149" s="326"/>
      <c r="V149" s="332"/>
      <c r="W149" s="140">
        <f t="shared" si="538"/>
        <v>48804</v>
      </c>
      <c r="X149" s="326">
        <f t="shared" si="741"/>
        <v>28500</v>
      </c>
      <c r="Y149" s="717">
        <f t="shared" si="742"/>
        <v>77304</v>
      </c>
      <c r="Z149" s="123"/>
      <c r="AA149" s="137"/>
      <c r="AB149" s="326"/>
      <c r="AC149" s="326">
        <f t="shared" si="724"/>
        <v>0</v>
      </c>
      <c r="AD149" s="326">
        <f t="shared" si="541"/>
        <v>0</v>
      </c>
      <c r="AE149" s="326">
        <f t="shared" si="744"/>
        <v>0</v>
      </c>
      <c r="AF149" s="716">
        <f t="shared" si="745"/>
        <v>0</v>
      </c>
      <c r="AG149" s="326">
        <f t="shared" si="559"/>
        <v>0</v>
      </c>
      <c r="AH149" s="137" t="str">
        <f t="shared" si="725"/>
        <v/>
      </c>
      <c r="AI149" s="332">
        <f t="shared" si="561"/>
        <v>0</v>
      </c>
      <c r="AJ149" s="140">
        <f t="shared" si="800"/>
        <v>446512.92</v>
      </c>
      <c r="AK149" s="326">
        <f t="shared" si="32"/>
        <v>48804</v>
      </c>
      <c r="AL149" s="326">
        <f t="shared" ref="AL149:AM149" si="907">SUM(AE149,X149,Q149)</f>
        <v>28500</v>
      </c>
      <c r="AM149" s="326">
        <f t="shared" si="907"/>
        <v>77304</v>
      </c>
      <c r="AN149" s="326">
        <f t="shared" si="70"/>
        <v>77304</v>
      </c>
      <c r="AO149" s="413">
        <f t="shared" si="79"/>
        <v>0.17312824901012944</v>
      </c>
      <c r="AP149" s="423"/>
      <c r="AQ149" s="326">
        <f t="shared" si="36"/>
        <v>0</v>
      </c>
      <c r="AR149" s="326">
        <f t="shared" si="802"/>
        <v>0</v>
      </c>
      <c r="AS149" s="333">
        <f t="shared" si="803"/>
        <v>0</v>
      </c>
      <c r="AT149" s="434"/>
      <c r="AU149" s="140">
        <f t="shared" si="40"/>
        <v>0</v>
      </c>
      <c r="AV149" s="326">
        <f t="shared" si="804"/>
        <v>0</v>
      </c>
      <c r="AW149" s="333">
        <f t="shared" si="805"/>
        <v>0</v>
      </c>
      <c r="AX149" s="125"/>
      <c r="AY149" s="140">
        <f t="shared" si="44"/>
        <v>0</v>
      </c>
      <c r="AZ149" s="326">
        <f t="shared" si="806"/>
        <v>0</v>
      </c>
      <c r="BA149" s="332">
        <f t="shared" si="807"/>
        <v>0</v>
      </c>
      <c r="BB149" s="122">
        <f t="shared" ref="BB149:BD149" si="908">AY149+AU149+AQ149</f>
        <v>0</v>
      </c>
      <c r="BC149" s="326">
        <f t="shared" si="908"/>
        <v>0</v>
      </c>
      <c r="BD149" s="332">
        <f t="shared" si="908"/>
        <v>0</v>
      </c>
      <c r="BE149" s="122">
        <f t="shared" si="48"/>
        <v>48804</v>
      </c>
      <c r="BF149" s="326">
        <f t="shared" ref="BF149:BG149" si="909">AL149+BC149</f>
        <v>28500</v>
      </c>
      <c r="BG149" s="435">
        <f t="shared" si="909"/>
        <v>77304</v>
      </c>
      <c r="BH149" s="125">
        <f t="shared" si="810"/>
        <v>17975</v>
      </c>
      <c r="BI149" s="140">
        <f t="shared" si="51"/>
        <v>0</v>
      </c>
      <c r="BJ149" s="123">
        <f t="shared" si="811"/>
        <v>0</v>
      </c>
      <c r="BK149" s="125">
        <f t="shared" si="812"/>
        <v>0</v>
      </c>
      <c r="BL149" s="123">
        <f t="shared" si="813"/>
        <v>62747.77</v>
      </c>
      <c r="BM149" s="140">
        <f t="shared" si="55"/>
        <v>0</v>
      </c>
      <c r="BN149" s="326">
        <f t="shared" si="814"/>
        <v>0</v>
      </c>
      <c r="BO149" s="332">
        <f t="shared" si="815"/>
        <v>0</v>
      </c>
      <c r="BP149" s="141">
        <f t="shared" si="816"/>
        <v>149236.99</v>
      </c>
      <c r="BQ149" s="140">
        <f t="shared" si="59"/>
        <v>0</v>
      </c>
      <c r="BR149" s="326">
        <f t="shared" si="817"/>
        <v>0</v>
      </c>
      <c r="BS149" s="333">
        <f t="shared" si="818"/>
        <v>0</v>
      </c>
      <c r="BT149" s="113">
        <f t="shared" ref="BT149:BV149" si="910">SUM(BQ149,BM149,BI149)</f>
        <v>0</v>
      </c>
      <c r="BU149" s="116">
        <f t="shared" si="910"/>
        <v>0</v>
      </c>
      <c r="BV149" s="117">
        <f t="shared" si="910"/>
        <v>0</v>
      </c>
      <c r="BW149" s="141">
        <f t="shared" si="820"/>
        <v>264076.42</v>
      </c>
      <c r="BX149" s="113">
        <f t="shared" si="64"/>
        <v>0</v>
      </c>
      <c r="BY149" s="114">
        <f t="shared" si="821"/>
        <v>0</v>
      </c>
      <c r="BZ149" s="115">
        <f t="shared" si="822"/>
        <v>0</v>
      </c>
      <c r="CA149" s="123">
        <f t="shared" si="823"/>
        <v>0</v>
      </c>
      <c r="CB149" s="333">
        <f t="shared" si="824"/>
        <v>182436.5</v>
      </c>
      <c r="CY149" s="294"/>
      <c r="DF149" s="296"/>
    </row>
    <row r="150" spans="1:110" ht="13">
      <c r="A150" s="420">
        <f t="shared" si="788"/>
        <v>112014082</v>
      </c>
      <c r="B150" s="565">
        <f t="shared" si="789"/>
        <v>1</v>
      </c>
      <c r="C150" s="558" t="str">
        <f t="shared" si="790"/>
        <v>Lista</v>
      </c>
      <c r="D150" s="558">
        <f t="shared" si="791"/>
        <v>0.09</v>
      </c>
      <c r="E150" s="715">
        <f t="shared" si="792"/>
        <v>0</v>
      </c>
      <c r="F150" s="701">
        <f t="shared" si="793"/>
        <v>1</v>
      </c>
      <c r="G150" s="700" t="str">
        <f t="shared" si="794"/>
        <v>Lista</v>
      </c>
      <c r="H150" s="700">
        <f t="shared" si="795"/>
        <v>0.09</v>
      </c>
      <c r="I150" s="700">
        <f t="shared" si="796"/>
        <v>0</v>
      </c>
      <c r="J150" s="547">
        <f t="shared" si="797"/>
        <v>71</v>
      </c>
      <c r="K150" s="699" t="str">
        <f t="shared" si="798"/>
        <v>Lista</v>
      </c>
      <c r="L150" s="702">
        <f t="shared" si="799"/>
        <v>0.05</v>
      </c>
      <c r="M150" s="255" t="s">
        <v>655</v>
      </c>
      <c r="N150" s="423"/>
      <c r="O150" s="326"/>
      <c r="P150" s="326" t="e">
        <f t="shared" si="535"/>
        <v>#VALUE!</v>
      </c>
      <c r="Q150" s="326" t="str">
        <f t="shared" si="737"/>
        <v/>
      </c>
      <c r="R150" s="716" t="str">
        <f t="shared" si="738"/>
        <v>0</v>
      </c>
      <c r="S150" s="326"/>
      <c r="T150" s="137"/>
      <c r="U150" s="326"/>
      <c r="V150" s="332"/>
      <c r="W150" s="140" t="e">
        <f t="shared" si="538"/>
        <v>#VALUE!</v>
      </c>
      <c r="X150" s="326" t="str">
        <f t="shared" si="741"/>
        <v/>
      </c>
      <c r="Y150" s="717" t="str">
        <f t="shared" si="742"/>
        <v>0</v>
      </c>
      <c r="Z150" s="123"/>
      <c r="AA150" s="137"/>
      <c r="AB150" s="326"/>
      <c r="AC150" s="326">
        <f t="shared" si="724"/>
        <v>0</v>
      </c>
      <c r="AD150" s="326" t="e">
        <f t="shared" si="541"/>
        <v>#VALUE!</v>
      </c>
      <c r="AE150" s="326" t="str">
        <f t="shared" si="744"/>
        <v/>
      </c>
      <c r="AF150" s="716" t="str">
        <f t="shared" si="745"/>
        <v>0</v>
      </c>
      <c r="AG150" s="326">
        <f t="shared" si="559"/>
        <v>0</v>
      </c>
      <c r="AH150" s="137" t="str">
        <f t="shared" si="725"/>
        <v/>
      </c>
      <c r="AI150" s="332">
        <f t="shared" si="561"/>
        <v>0</v>
      </c>
      <c r="AJ150" s="140" t="str">
        <f t="shared" si="800"/>
        <v>0</v>
      </c>
      <c r="AK150" s="326">
        <f t="shared" si="32"/>
        <v>0</v>
      </c>
      <c r="AL150" s="326">
        <f t="shared" ref="AL150:AM150" si="911">SUM(AE150,X150,Q150)</f>
        <v>0</v>
      </c>
      <c r="AM150" s="326">
        <f t="shared" si="911"/>
        <v>0</v>
      </c>
      <c r="AN150" s="326">
        <f t="shared" si="70"/>
        <v>0</v>
      </c>
      <c r="AO150" s="413" t="str">
        <f t="shared" si="79"/>
        <v/>
      </c>
      <c r="AP150" s="423"/>
      <c r="AQ150" s="326" t="e">
        <f t="shared" si="36"/>
        <v>#VALUE!</v>
      </c>
      <c r="AR150" s="326" t="str">
        <f t="shared" si="802"/>
        <v/>
      </c>
      <c r="AS150" s="333" t="str">
        <f t="shared" si="803"/>
        <v>0</v>
      </c>
      <c r="AT150" s="434"/>
      <c r="AU150" s="140" t="e">
        <f t="shared" si="40"/>
        <v>#VALUE!</v>
      </c>
      <c r="AV150" s="326" t="str">
        <f t="shared" si="804"/>
        <v/>
      </c>
      <c r="AW150" s="333" t="str">
        <f t="shared" si="805"/>
        <v>0</v>
      </c>
      <c r="AX150" s="125"/>
      <c r="AY150" s="140" t="e">
        <f t="shared" si="44"/>
        <v>#VALUE!</v>
      </c>
      <c r="AZ150" s="326" t="str">
        <f t="shared" si="806"/>
        <v/>
      </c>
      <c r="BA150" s="332" t="str">
        <f t="shared" si="807"/>
        <v>0</v>
      </c>
      <c r="BB150" s="122" t="e">
        <f t="shared" ref="BB150:BD150" si="912">AY150+AU150+AQ150</f>
        <v>#VALUE!</v>
      </c>
      <c r="BC150" s="326" t="e">
        <f t="shared" si="912"/>
        <v>#VALUE!</v>
      </c>
      <c r="BD150" s="332">
        <f t="shared" si="912"/>
        <v>0</v>
      </c>
      <c r="BE150" s="122" t="e">
        <f t="shared" si="48"/>
        <v>#VALUE!</v>
      </c>
      <c r="BF150" s="326" t="e">
        <f t="shared" ref="BF150:BG150" si="913">AL150+BC150</f>
        <v>#VALUE!</v>
      </c>
      <c r="BG150" s="435">
        <f t="shared" si="913"/>
        <v>0</v>
      </c>
      <c r="BH150" s="125">
        <f t="shared" si="810"/>
        <v>0</v>
      </c>
      <c r="BI150" s="140" t="e">
        <f t="shared" si="51"/>
        <v>#VALUE!</v>
      </c>
      <c r="BJ150" s="123" t="str">
        <f t="shared" si="811"/>
        <v/>
      </c>
      <c r="BK150" s="125" t="str">
        <f t="shared" si="812"/>
        <v>0</v>
      </c>
      <c r="BL150" s="123">
        <f t="shared" si="813"/>
        <v>38857.800000000003</v>
      </c>
      <c r="BM150" s="140" t="e">
        <f t="shared" si="55"/>
        <v>#VALUE!</v>
      </c>
      <c r="BN150" s="326" t="str">
        <f t="shared" si="814"/>
        <v/>
      </c>
      <c r="BO150" s="332" t="str">
        <f t="shared" si="815"/>
        <v>0</v>
      </c>
      <c r="BP150" s="141">
        <f t="shared" si="816"/>
        <v>0</v>
      </c>
      <c r="BQ150" s="140" t="e">
        <f t="shared" si="59"/>
        <v>#VALUE!</v>
      </c>
      <c r="BR150" s="326" t="str">
        <f t="shared" si="817"/>
        <v/>
      </c>
      <c r="BS150" s="333" t="str">
        <f t="shared" si="818"/>
        <v>0</v>
      </c>
      <c r="BT150" s="113" t="e">
        <f t="shared" ref="BT150:BV150" si="914">SUM(BQ150,BM150,BI150)</f>
        <v>#VALUE!</v>
      </c>
      <c r="BU150" s="116">
        <f t="shared" si="914"/>
        <v>0</v>
      </c>
      <c r="BV150" s="117">
        <f t="shared" si="914"/>
        <v>0</v>
      </c>
      <c r="BW150" s="141">
        <f t="shared" si="820"/>
        <v>0</v>
      </c>
      <c r="BX150" s="113" t="e">
        <f t="shared" si="64"/>
        <v>#VALUE!</v>
      </c>
      <c r="BY150" s="114" t="str">
        <f t="shared" si="821"/>
        <v/>
      </c>
      <c r="BZ150" s="115" t="str">
        <f t="shared" si="822"/>
        <v>0</v>
      </c>
      <c r="CA150" s="123">
        <f t="shared" si="823"/>
        <v>0</v>
      </c>
      <c r="CB150" s="333">
        <f t="shared" si="824"/>
        <v>0</v>
      </c>
      <c r="CY150" s="294"/>
      <c r="DF150" s="296"/>
    </row>
    <row r="151" spans="1:110" ht="13">
      <c r="A151" s="420">
        <f t="shared" si="788"/>
        <v>112013930</v>
      </c>
      <c r="B151" s="565">
        <f t="shared" si="789"/>
        <v>1</v>
      </c>
      <c r="C151" s="558" t="str">
        <f t="shared" si="790"/>
        <v>Lista</v>
      </c>
      <c r="D151" s="558">
        <f t="shared" si="791"/>
        <v>0.09</v>
      </c>
      <c r="E151" s="715">
        <f t="shared" si="792"/>
        <v>0</v>
      </c>
      <c r="F151" s="701">
        <f t="shared" si="793"/>
        <v>1</v>
      </c>
      <c r="G151" s="700" t="str">
        <f t="shared" si="794"/>
        <v>Lista</v>
      </c>
      <c r="H151" s="700">
        <f t="shared" si="795"/>
        <v>0.09</v>
      </c>
      <c r="I151" s="700">
        <f t="shared" si="796"/>
        <v>0</v>
      </c>
      <c r="J151" s="547">
        <f t="shared" si="797"/>
        <v>71</v>
      </c>
      <c r="K151" s="699" t="str">
        <f t="shared" si="798"/>
        <v>Lista</v>
      </c>
      <c r="L151" s="702">
        <f t="shared" si="799"/>
        <v>0.05</v>
      </c>
      <c r="M151" s="255" t="s">
        <v>656</v>
      </c>
      <c r="N151" s="423"/>
      <c r="O151" s="326"/>
      <c r="P151" s="326">
        <f t="shared" si="535"/>
        <v>46339.54</v>
      </c>
      <c r="Q151" s="326">
        <f t="shared" si="737"/>
        <v>0</v>
      </c>
      <c r="R151" s="716">
        <f t="shared" si="738"/>
        <v>46339.54</v>
      </c>
      <c r="S151" s="326"/>
      <c r="T151" s="137"/>
      <c r="U151" s="326"/>
      <c r="V151" s="332"/>
      <c r="W151" s="140">
        <f t="shared" si="538"/>
        <v>0</v>
      </c>
      <c r="X151" s="326">
        <f t="shared" si="741"/>
        <v>-36405.550000000003</v>
      </c>
      <c r="Y151" s="717">
        <f t="shared" si="742"/>
        <v>-36405.550000000003</v>
      </c>
      <c r="Z151" s="123"/>
      <c r="AA151" s="137"/>
      <c r="AB151" s="326"/>
      <c r="AC151" s="326">
        <f t="shared" si="724"/>
        <v>0</v>
      </c>
      <c r="AD151" s="326">
        <f t="shared" si="541"/>
        <v>103630.42000000001</v>
      </c>
      <c r="AE151" s="326">
        <f t="shared" si="744"/>
        <v>69388.12</v>
      </c>
      <c r="AF151" s="716">
        <f t="shared" si="745"/>
        <v>173018.54</v>
      </c>
      <c r="AG151" s="326">
        <f t="shared" si="559"/>
        <v>173018.54</v>
      </c>
      <c r="AH151" s="137" t="str">
        <f t="shared" si="725"/>
        <v/>
      </c>
      <c r="AI151" s="332">
        <f t="shared" si="561"/>
        <v>0</v>
      </c>
      <c r="AJ151" s="140">
        <f t="shared" si="800"/>
        <v>2210832.7400000002</v>
      </c>
      <c r="AK151" s="326">
        <f t="shared" si="32"/>
        <v>149969.96000000002</v>
      </c>
      <c r="AL151" s="326">
        <f t="shared" ref="AL151:AM151" si="915">SUM(AE151,X151,Q151)</f>
        <v>32982.569999999992</v>
      </c>
      <c r="AM151" s="326">
        <f t="shared" si="915"/>
        <v>182952.53</v>
      </c>
      <c r="AN151" s="326">
        <f t="shared" si="70"/>
        <v>182952.53</v>
      </c>
      <c r="AO151" s="413">
        <f t="shared" si="79"/>
        <v>8.2752768533724527E-2</v>
      </c>
      <c r="AP151" s="423"/>
      <c r="AQ151" s="326">
        <f t="shared" si="36"/>
        <v>172481.99</v>
      </c>
      <c r="AR151" s="326">
        <f t="shared" si="802"/>
        <v>0</v>
      </c>
      <c r="AS151" s="333">
        <f t="shared" si="803"/>
        <v>172481.99</v>
      </c>
      <c r="AT151" s="434"/>
      <c r="AU151" s="140">
        <f t="shared" si="40"/>
        <v>329905.13999999996</v>
      </c>
      <c r="AV151" s="326">
        <f t="shared" si="804"/>
        <v>41756.959999999999</v>
      </c>
      <c r="AW151" s="333">
        <f t="shared" si="805"/>
        <v>371662.1</v>
      </c>
      <c r="AX151" s="125"/>
      <c r="AY151" s="140">
        <f t="shared" si="44"/>
        <v>0</v>
      </c>
      <c r="AZ151" s="326">
        <f t="shared" si="806"/>
        <v>0</v>
      </c>
      <c r="BA151" s="332">
        <f t="shared" si="807"/>
        <v>0</v>
      </c>
      <c r="BB151" s="122">
        <f t="shared" ref="BB151:BD151" si="916">AY151+AU151+AQ151</f>
        <v>502387.12999999995</v>
      </c>
      <c r="BC151" s="326">
        <f t="shared" si="916"/>
        <v>41756.959999999999</v>
      </c>
      <c r="BD151" s="332">
        <f t="shared" si="916"/>
        <v>544144.09</v>
      </c>
      <c r="BE151" s="122">
        <f t="shared" si="48"/>
        <v>652357.09</v>
      </c>
      <c r="BF151" s="326">
        <f t="shared" ref="BF151:BG151" si="917">AL151+BC151</f>
        <v>74739.53</v>
      </c>
      <c r="BG151" s="435">
        <f t="shared" si="917"/>
        <v>727096.62</v>
      </c>
      <c r="BH151" s="125">
        <f t="shared" si="810"/>
        <v>469310.62</v>
      </c>
      <c r="BI151" s="140">
        <f t="shared" si="51"/>
        <v>142417.79999999999</v>
      </c>
      <c r="BJ151" s="123">
        <f t="shared" si="811"/>
        <v>70739.14</v>
      </c>
      <c r="BK151" s="125">
        <f t="shared" si="812"/>
        <v>213156.94</v>
      </c>
      <c r="BL151" s="123">
        <f t="shared" si="813"/>
        <v>393009.54</v>
      </c>
      <c r="BM151" s="140">
        <f t="shared" si="55"/>
        <v>130597.09</v>
      </c>
      <c r="BN151" s="326">
        <f t="shared" si="814"/>
        <v>40085.03</v>
      </c>
      <c r="BO151" s="332">
        <f t="shared" si="815"/>
        <v>170682.12</v>
      </c>
      <c r="BP151" s="141">
        <f t="shared" si="816"/>
        <v>513161.91</v>
      </c>
      <c r="BQ151" s="140">
        <f t="shared" si="59"/>
        <v>0</v>
      </c>
      <c r="BR151" s="326">
        <f t="shared" si="817"/>
        <v>0</v>
      </c>
      <c r="BS151" s="333">
        <f t="shared" si="818"/>
        <v>0</v>
      </c>
      <c r="BT151" s="113">
        <f t="shared" ref="BT151:BV151" si="918">SUM(BQ151,BM151,BI151)</f>
        <v>273014.89</v>
      </c>
      <c r="BU151" s="116">
        <f t="shared" si="918"/>
        <v>110824.17</v>
      </c>
      <c r="BV151" s="117">
        <f t="shared" si="918"/>
        <v>383839.06</v>
      </c>
      <c r="BW151" s="141">
        <f t="shared" si="820"/>
        <v>846206.4</v>
      </c>
      <c r="BX151" s="113">
        <f t="shared" si="64"/>
        <v>265471.37</v>
      </c>
      <c r="BY151" s="114">
        <f t="shared" si="821"/>
        <v>85475.59</v>
      </c>
      <c r="BZ151" s="115">
        <f t="shared" si="822"/>
        <v>350946.96</v>
      </c>
      <c r="CA151" s="123">
        <f t="shared" si="823"/>
        <v>266184.53999999998</v>
      </c>
      <c r="CB151" s="333">
        <f t="shared" si="824"/>
        <v>1098441.8</v>
      </c>
      <c r="CY151" s="294"/>
      <c r="DF151" s="296"/>
    </row>
    <row r="152" spans="1:110" ht="13">
      <c r="A152" s="420">
        <f t="shared" si="788"/>
        <v>112011001</v>
      </c>
      <c r="B152" s="565">
        <f t="shared" si="789"/>
        <v>1</v>
      </c>
      <c r="C152" s="558" t="str">
        <f t="shared" si="790"/>
        <v>Lista</v>
      </c>
      <c r="D152" s="558">
        <f t="shared" si="791"/>
        <v>0.09</v>
      </c>
      <c r="E152" s="715">
        <f t="shared" si="792"/>
        <v>0</v>
      </c>
      <c r="F152" s="701">
        <f t="shared" si="793"/>
        <v>1</v>
      </c>
      <c r="G152" s="700" t="str">
        <f t="shared" si="794"/>
        <v>Lista</v>
      </c>
      <c r="H152" s="700">
        <f t="shared" si="795"/>
        <v>0.09</v>
      </c>
      <c r="I152" s="700">
        <f t="shared" si="796"/>
        <v>0</v>
      </c>
      <c r="J152" s="547">
        <f t="shared" si="797"/>
        <v>71</v>
      </c>
      <c r="K152" s="699" t="str">
        <f t="shared" si="798"/>
        <v>Lista</v>
      </c>
      <c r="L152" s="702">
        <f t="shared" si="799"/>
        <v>0.05</v>
      </c>
      <c r="M152" s="255" t="s">
        <v>657</v>
      </c>
      <c r="N152" s="423"/>
      <c r="O152" s="326"/>
      <c r="P152" s="326" t="e">
        <f t="shared" si="535"/>
        <v>#VALUE!</v>
      </c>
      <c r="Q152" s="326" t="str">
        <f t="shared" si="737"/>
        <v/>
      </c>
      <c r="R152" s="716" t="str">
        <f t="shared" si="738"/>
        <v>0</v>
      </c>
      <c r="S152" s="326"/>
      <c r="T152" s="137"/>
      <c r="U152" s="326"/>
      <c r="V152" s="332"/>
      <c r="W152" s="140" t="e">
        <f t="shared" si="538"/>
        <v>#VALUE!</v>
      </c>
      <c r="X152" s="326" t="str">
        <f t="shared" si="741"/>
        <v/>
      </c>
      <c r="Y152" s="717" t="str">
        <f t="shared" si="742"/>
        <v>0</v>
      </c>
      <c r="Z152" s="123"/>
      <c r="AA152" s="137"/>
      <c r="AB152" s="326"/>
      <c r="AC152" s="326">
        <f t="shared" si="724"/>
        <v>0</v>
      </c>
      <c r="AD152" s="326" t="e">
        <f t="shared" si="541"/>
        <v>#VALUE!</v>
      </c>
      <c r="AE152" s="326" t="str">
        <f t="shared" si="744"/>
        <v/>
      </c>
      <c r="AF152" s="716" t="str">
        <f t="shared" si="745"/>
        <v>0</v>
      </c>
      <c r="AG152" s="326">
        <f t="shared" si="559"/>
        <v>0</v>
      </c>
      <c r="AH152" s="137" t="str">
        <f t="shared" si="725"/>
        <v/>
      </c>
      <c r="AI152" s="332">
        <f t="shared" si="561"/>
        <v>0</v>
      </c>
      <c r="AJ152" s="140" t="str">
        <f t="shared" si="800"/>
        <v>0</v>
      </c>
      <c r="AK152" s="326">
        <f t="shared" si="32"/>
        <v>0</v>
      </c>
      <c r="AL152" s="326">
        <f t="shared" ref="AL152:AM152" si="919">SUM(AE152,X152,Q152)</f>
        <v>0</v>
      </c>
      <c r="AM152" s="326">
        <f t="shared" si="919"/>
        <v>0</v>
      </c>
      <c r="AN152" s="326">
        <f t="shared" si="70"/>
        <v>0</v>
      </c>
      <c r="AO152" s="413" t="str">
        <f t="shared" si="79"/>
        <v/>
      </c>
      <c r="AP152" s="423"/>
      <c r="AQ152" s="326" t="e">
        <f t="shared" si="36"/>
        <v>#VALUE!</v>
      </c>
      <c r="AR152" s="326" t="str">
        <f t="shared" si="802"/>
        <v/>
      </c>
      <c r="AS152" s="333" t="str">
        <f t="shared" si="803"/>
        <v>0</v>
      </c>
      <c r="AT152" s="434"/>
      <c r="AU152" s="140" t="e">
        <f t="shared" si="40"/>
        <v>#VALUE!</v>
      </c>
      <c r="AV152" s="326" t="str">
        <f t="shared" si="804"/>
        <v/>
      </c>
      <c r="AW152" s="333" t="str">
        <f t="shared" si="805"/>
        <v>0</v>
      </c>
      <c r="AX152" s="125"/>
      <c r="AY152" s="140" t="e">
        <f t="shared" si="44"/>
        <v>#VALUE!</v>
      </c>
      <c r="AZ152" s="326" t="str">
        <f t="shared" si="806"/>
        <v/>
      </c>
      <c r="BA152" s="332" t="str">
        <f t="shared" si="807"/>
        <v>0</v>
      </c>
      <c r="BB152" s="122" t="e">
        <f t="shared" ref="BB152:BD152" si="920">AY152+AU152+AQ152</f>
        <v>#VALUE!</v>
      </c>
      <c r="BC152" s="326" t="e">
        <f t="shared" si="920"/>
        <v>#VALUE!</v>
      </c>
      <c r="BD152" s="332">
        <f t="shared" si="920"/>
        <v>0</v>
      </c>
      <c r="BE152" s="122" t="e">
        <f t="shared" si="48"/>
        <v>#VALUE!</v>
      </c>
      <c r="BF152" s="326" t="e">
        <f t="shared" ref="BF152:BG152" si="921">AL152+BC152</f>
        <v>#VALUE!</v>
      </c>
      <c r="BG152" s="435">
        <f t="shared" si="921"/>
        <v>0</v>
      </c>
      <c r="BH152" s="125">
        <f t="shared" si="810"/>
        <v>0</v>
      </c>
      <c r="BI152" s="140" t="e">
        <f t="shared" si="51"/>
        <v>#VALUE!</v>
      </c>
      <c r="BJ152" s="123" t="str">
        <f t="shared" si="811"/>
        <v/>
      </c>
      <c r="BK152" s="125" t="str">
        <f t="shared" si="812"/>
        <v>0</v>
      </c>
      <c r="BL152" s="123">
        <f t="shared" si="813"/>
        <v>0</v>
      </c>
      <c r="BM152" s="140" t="e">
        <f t="shared" si="55"/>
        <v>#VALUE!</v>
      </c>
      <c r="BN152" s="326" t="str">
        <f t="shared" si="814"/>
        <v/>
      </c>
      <c r="BO152" s="332" t="str">
        <f t="shared" si="815"/>
        <v>0</v>
      </c>
      <c r="BP152" s="141">
        <f t="shared" si="816"/>
        <v>0</v>
      </c>
      <c r="BQ152" s="140" t="e">
        <f t="shared" si="59"/>
        <v>#VALUE!</v>
      </c>
      <c r="BR152" s="326" t="str">
        <f t="shared" si="817"/>
        <v/>
      </c>
      <c r="BS152" s="333" t="str">
        <f t="shared" si="818"/>
        <v>0</v>
      </c>
      <c r="BT152" s="113" t="e">
        <f t="shared" ref="BT152:BV152" si="922">SUM(BQ152,BM152,BI152)</f>
        <v>#VALUE!</v>
      </c>
      <c r="BU152" s="116">
        <f t="shared" si="922"/>
        <v>0</v>
      </c>
      <c r="BV152" s="117">
        <f t="shared" si="922"/>
        <v>0</v>
      </c>
      <c r="BW152" s="141">
        <f t="shared" si="820"/>
        <v>0</v>
      </c>
      <c r="BX152" s="113" t="e">
        <f t="shared" si="64"/>
        <v>#VALUE!</v>
      </c>
      <c r="BY152" s="114" t="str">
        <f t="shared" si="821"/>
        <v/>
      </c>
      <c r="BZ152" s="115" t="str">
        <f t="shared" si="822"/>
        <v>0</v>
      </c>
      <c r="CA152" s="123">
        <f t="shared" si="823"/>
        <v>0</v>
      </c>
      <c r="CB152" s="333">
        <f t="shared" si="824"/>
        <v>0</v>
      </c>
      <c r="CY152" s="294"/>
      <c r="DF152" s="296"/>
    </row>
    <row r="153" spans="1:110" ht="13">
      <c r="A153" s="420">
        <f t="shared" si="788"/>
        <v>112013822</v>
      </c>
      <c r="B153" s="565">
        <f t="shared" si="789"/>
        <v>0</v>
      </c>
      <c r="C153" s="558" t="str">
        <f t="shared" si="790"/>
        <v/>
      </c>
      <c r="D153" s="558" t="str">
        <f t="shared" si="791"/>
        <v/>
      </c>
      <c r="E153" s="715" t="str">
        <f t="shared" si="792"/>
        <v/>
      </c>
      <c r="F153" s="701">
        <f t="shared" si="793"/>
        <v>0</v>
      </c>
      <c r="G153" s="700" t="str">
        <f t="shared" si="794"/>
        <v/>
      </c>
      <c r="H153" s="700" t="str">
        <f t="shared" si="795"/>
        <v/>
      </c>
      <c r="I153" s="700" t="str">
        <f t="shared" si="796"/>
        <v/>
      </c>
      <c r="J153" s="547">
        <f t="shared" si="797"/>
        <v>0</v>
      </c>
      <c r="K153" s="699" t="str">
        <f t="shared" si="798"/>
        <v/>
      </c>
      <c r="L153" s="702" t="str">
        <f t="shared" si="799"/>
        <v/>
      </c>
      <c r="M153" s="139" t="s">
        <v>658</v>
      </c>
      <c r="N153" s="423"/>
      <c r="O153" s="326">
        <f>(N153*1.601)*1.05</f>
        <v>0</v>
      </c>
      <c r="P153" s="326">
        <f t="shared" si="535"/>
        <v>0</v>
      </c>
      <c r="Q153" s="326">
        <f t="shared" si="737"/>
        <v>0</v>
      </c>
      <c r="R153" s="716">
        <f t="shared" si="738"/>
        <v>0</v>
      </c>
      <c r="S153" s="326"/>
      <c r="T153" s="137"/>
      <c r="U153" s="326"/>
      <c r="V153" s="332"/>
      <c r="W153" s="140">
        <f t="shared" si="538"/>
        <v>0</v>
      </c>
      <c r="X153" s="326">
        <f t="shared" si="741"/>
        <v>0</v>
      </c>
      <c r="Y153" s="717">
        <f t="shared" si="742"/>
        <v>0</v>
      </c>
      <c r="Z153" s="123"/>
      <c r="AA153" s="137"/>
      <c r="AB153" s="326"/>
      <c r="AC153" s="326">
        <f t="shared" si="724"/>
        <v>0</v>
      </c>
      <c r="AD153" s="326">
        <f t="shared" si="541"/>
        <v>0</v>
      </c>
      <c r="AE153" s="326">
        <f t="shared" si="744"/>
        <v>0</v>
      </c>
      <c r="AF153" s="716">
        <f t="shared" si="745"/>
        <v>0</v>
      </c>
      <c r="AG153" s="326">
        <f t="shared" si="559"/>
        <v>0</v>
      </c>
      <c r="AH153" s="137" t="str">
        <f t="shared" si="725"/>
        <v/>
      </c>
      <c r="AI153" s="332">
        <f t="shared" si="561"/>
        <v>0</v>
      </c>
      <c r="AJ153" s="140" t="str">
        <f t="shared" si="800"/>
        <v>0</v>
      </c>
      <c r="AK153" s="326">
        <f t="shared" si="32"/>
        <v>0</v>
      </c>
      <c r="AL153" s="326">
        <f t="shared" ref="AL153:AM153" si="923">SUM(AE153,X153,Q153)</f>
        <v>0</v>
      </c>
      <c r="AM153" s="326">
        <f t="shared" si="923"/>
        <v>0</v>
      </c>
      <c r="AN153" s="326">
        <f t="shared" si="70"/>
        <v>0</v>
      </c>
      <c r="AO153" s="413" t="str">
        <f t="shared" si="79"/>
        <v/>
      </c>
      <c r="AP153" s="423"/>
      <c r="AQ153" s="326">
        <f t="shared" si="36"/>
        <v>2943347.29</v>
      </c>
      <c r="AR153" s="326">
        <f t="shared" si="802"/>
        <v>158399.20000000001</v>
      </c>
      <c r="AS153" s="333">
        <f t="shared" si="803"/>
        <v>3101746.49</v>
      </c>
      <c r="AT153" s="434"/>
      <c r="AU153" s="140">
        <f t="shared" si="40"/>
        <v>346337.64</v>
      </c>
      <c r="AV153" s="326">
        <f t="shared" si="804"/>
        <v>158399.20000000001</v>
      </c>
      <c r="AW153" s="333">
        <f t="shared" si="805"/>
        <v>504736.84</v>
      </c>
      <c r="AX153" s="125"/>
      <c r="AY153" s="140">
        <f t="shared" si="44"/>
        <v>347565.15</v>
      </c>
      <c r="AZ153" s="326">
        <f t="shared" si="806"/>
        <v>0</v>
      </c>
      <c r="BA153" s="332">
        <f t="shared" si="807"/>
        <v>347565.15</v>
      </c>
      <c r="BB153" s="122">
        <f t="shared" ref="BB153:BD153" si="924">AY153+AU153+AQ153</f>
        <v>3637250.08</v>
      </c>
      <c r="BC153" s="326">
        <f t="shared" si="924"/>
        <v>316798.40000000002</v>
      </c>
      <c r="BD153" s="332">
        <f t="shared" si="924"/>
        <v>3954048.4800000004</v>
      </c>
      <c r="BE153" s="122">
        <f t="shared" si="48"/>
        <v>3637250.08</v>
      </c>
      <c r="BF153" s="326">
        <f t="shared" ref="BF153:BG153" si="925">AL153+BC153</f>
        <v>316798.40000000002</v>
      </c>
      <c r="BG153" s="435">
        <f t="shared" si="925"/>
        <v>3954048.4800000004</v>
      </c>
      <c r="BH153" s="125" t="str">
        <f t="shared" si="810"/>
        <v/>
      </c>
      <c r="BI153" s="140">
        <f t="shared" si="51"/>
        <v>0</v>
      </c>
      <c r="BJ153" s="123">
        <f t="shared" si="811"/>
        <v>0</v>
      </c>
      <c r="BK153" s="125">
        <f t="shared" si="812"/>
        <v>0</v>
      </c>
      <c r="BL153" s="123" t="str">
        <f t="shared" si="813"/>
        <v/>
      </c>
      <c r="BM153" s="140">
        <f t="shared" si="55"/>
        <v>1363242.98</v>
      </c>
      <c r="BN153" s="326">
        <f t="shared" si="814"/>
        <v>0</v>
      </c>
      <c r="BO153" s="332">
        <f t="shared" si="815"/>
        <v>1363242.98</v>
      </c>
      <c r="BP153" s="141" t="str">
        <f t="shared" si="816"/>
        <v/>
      </c>
      <c r="BQ153" s="140">
        <f t="shared" si="59"/>
        <v>0</v>
      </c>
      <c r="BR153" s="326">
        <f t="shared" si="817"/>
        <v>0</v>
      </c>
      <c r="BS153" s="333">
        <f t="shared" si="818"/>
        <v>0</v>
      </c>
      <c r="BT153" s="113">
        <f t="shared" ref="BT153:BV153" si="926">SUM(BQ153,BM153,BI153)</f>
        <v>1363242.98</v>
      </c>
      <c r="BU153" s="116">
        <f t="shared" si="926"/>
        <v>0</v>
      </c>
      <c r="BV153" s="117">
        <f t="shared" si="926"/>
        <v>1363242.98</v>
      </c>
      <c r="BW153" s="141" t="str">
        <f t="shared" si="820"/>
        <v/>
      </c>
      <c r="BX153" s="113">
        <f t="shared" si="64"/>
        <v>0</v>
      </c>
      <c r="BY153" s="114">
        <f t="shared" si="821"/>
        <v>0</v>
      </c>
      <c r="BZ153" s="115">
        <f t="shared" si="822"/>
        <v>0</v>
      </c>
      <c r="CA153" s="123" t="str">
        <f t="shared" si="823"/>
        <v/>
      </c>
      <c r="CB153" s="333" t="str">
        <f t="shared" si="824"/>
        <v/>
      </c>
      <c r="CY153" s="294"/>
      <c r="DF153" s="296"/>
    </row>
    <row r="154" spans="1:110" ht="13">
      <c r="A154" s="420">
        <f t="shared" si="788"/>
        <v>112013314</v>
      </c>
      <c r="B154" s="565">
        <f t="shared" si="789"/>
        <v>0</v>
      </c>
      <c r="C154" s="558" t="str">
        <f t="shared" si="790"/>
        <v/>
      </c>
      <c r="D154" s="558" t="str">
        <f t="shared" si="791"/>
        <v/>
      </c>
      <c r="E154" s="715" t="str">
        <f t="shared" si="792"/>
        <v/>
      </c>
      <c r="F154" s="701">
        <f t="shared" si="793"/>
        <v>0</v>
      </c>
      <c r="G154" s="700" t="str">
        <f t="shared" si="794"/>
        <v/>
      </c>
      <c r="H154" s="700" t="str">
        <f t="shared" si="795"/>
        <v/>
      </c>
      <c r="I154" s="700" t="str">
        <f t="shared" si="796"/>
        <v/>
      </c>
      <c r="J154" s="547">
        <f t="shared" si="797"/>
        <v>0</v>
      </c>
      <c r="K154" s="699" t="str">
        <f t="shared" si="798"/>
        <v/>
      </c>
      <c r="L154" s="702" t="str">
        <f t="shared" si="799"/>
        <v/>
      </c>
      <c r="M154" s="255" t="s">
        <v>659</v>
      </c>
      <c r="N154" s="423"/>
      <c r="O154" s="326"/>
      <c r="P154" s="326"/>
      <c r="Q154" s="326"/>
      <c r="R154" s="716"/>
      <c r="S154" s="326"/>
      <c r="T154" s="137"/>
      <c r="U154" s="326"/>
      <c r="V154" s="332"/>
      <c r="W154" s="140"/>
      <c r="X154" s="326"/>
      <c r="Y154" s="717"/>
      <c r="Z154" s="123"/>
      <c r="AA154" s="137"/>
      <c r="AB154" s="326"/>
      <c r="AC154" s="326"/>
      <c r="AD154" s="326"/>
      <c r="AE154" s="326"/>
      <c r="AF154" s="716"/>
      <c r="AG154" s="326"/>
      <c r="AH154" s="137"/>
      <c r="AI154" s="332"/>
      <c r="AJ154" s="140"/>
      <c r="AK154" s="326"/>
      <c r="AL154" s="326"/>
      <c r="AM154" s="326"/>
      <c r="AN154" s="326"/>
      <c r="AO154" s="413"/>
      <c r="AP154" s="423"/>
      <c r="AQ154" s="326" t="e">
        <f t="shared" si="36"/>
        <v>#VALUE!</v>
      </c>
      <c r="AR154" s="326" t="str">
        <f t="shared" si="802"/>
        <v/>
      </c>
      <c r="AS154" s="333" t="str">
        <f t="shared" si="803"/>
        <v>0</v>
      </c>
      <c r="AT154" s="434"/>
      <c r="AU154" s="140" t="e">
        <f t="shared" si="40"/>
        <v>#VALUE!</v>
      </c>
      <c r="AV154" s="326" t="str">
        <f t="shared" si="804"/>
        <v/>
      </c>
      <c r="AW154" s="333" t="str">
        <f t="shared" si="805"/>
        <v>0</v>
      </c>
      <c r="AX154" s="125"/>
      <c r="AY154" s="140" t="e">
        <f t="shared" si="44"/>
        <v>#VALUE!</v>
      </c>
      <c r="AZ154" s="326" t="str">
        <f t="shared" si="806"/>
        <v/>
      </c>
      <c r="BA154" s="332" t="str">
        <f t="shared" si="807"/>
        <v>0</v>
      </c>
      <c r="BB154" s="122" t="e">
        <f t="shared" ref="BB154:BD154" si="927">AY154+AU154+AQ154</f>
        <v>#VALUE!</v>
      </c>
      <c r="BC154" s="326" t="e">
        <f t="shared" si="927"/>
        <v>#VALUE!</v>
      </c>
      <c r="BD154" s="332">
        <f t="shared" si="927"/>
        <v>0</v>
      </c>
      <c r="BE154" s="122" t="e">
        <f t="shared" si="48"/>
        <v>#VALUE!</v>
      </c>
      <c r="BF154" s="326" t="e">
        <f t="shared" ref="BF154:BG154" si="928">AL154+BC154</f>
        <v>#VALUE!</v>
      </c>
      <c r="BG154" s="435">
        <f t="shared" si="928"/>
        <v>0</v>
      </c>
      <c r="BH154" s="125" t="str">
        <f t="shared" si="810"/>
        <v/>
      </c>
      <c r="BI154" s="140" t="e">
        <f t="shared" si="51"/>
        <v>#VALUE!</v>
      </c>
      <c r="BJ154" s="123" t="str">
        <f t="shared" si="811"/>
        <v/>
      </c>
      <c r="BK154" s="125" t="str">
        <f t="shared" si="812"/>
        <v>0</v>
      </c>
      <c r="BL154" s="123" t="str">
        <f t="shared" si="813"/>
        <v/>
      </c>
      <c r="BM154" s="140" t="e">
        <f t="shared" si="55"/>
        <v>#VALUE!</v>
      </c>
      <c r="BN154" s="326" t="str">
        <f t="shared" si="814"/>
        <v/>
      </c>
      <c r="BO154" s="332" t="str">
        <f t="shared" si="815"/>
        <v>0</v>
      </c>
      <c r="BP154" s="141" t="str">
        <f t="shared" si="816"/>
        <v/>
      </c>
      <c r="BQ154" s="140" t="e">
        <f t="shared" si="59"/>
        <v>#VALUE!</v>
      </c>
      <c r="BR154" s="326" t="str">
        <f t="shared" si="817"/>
        <v/>
      </c>
      <c r="BS154" s="333" t="str">
        <f t="shared" si="818"/>
        <v>0</v>
      </c>
      <c r="BT154" s="113" t="e">
        <f t="shared" ref="BT154:BV154" si="929">SUM(BQ154,BM154,BI154)</f>
        <v>#VALUE!</v>
      </c>
      <c r="BU154" s="116">
        <f t="shared" si="929"/>
        <v>0</v>
      </c>
      <c r="BV154" s="117">
        <f t="shared" si="929"/>
        <v>0</v>
      </c>
      <c r="BW154" s="141" t="str">
        <f t="shared" si="820"/>
        <v/>
      </c>
      <c r="BX154" s="113" t="e">
        <f t="shared" si="64"/>
        <v>#VALUE!</v>
      </c>
      <c r="BY154" s="114" t="str">
        <f t="shared" si="821"/>
        <v/>
      </c>
      <c r="BZ154" s="115" t="str">
        <f t="shared" si="822"/>
        <v>0</v>
      </c>
      <c r="CA154" s="123" t="str">
        <f t="shared" si="823"/>
        <v/>
      </c>
      <c r="CB154" s="333" t="str">
        <f t="shared" si="824"/>
        <v/>
      </c>
      <c r="CY154" s="294"/>
      <c r="DF154" s="296"/>
    </row>
    <row r="155" spans="1:110" ht="13">
      <c r="A155" s="420">
        <f t="shared" si="788"/>
        <v>112014674</v>
      </c>
      <c r="B155" s="565">
        <f t="shared" si="789"/>
        <v>0</v>
      </c>
      <c r="C155" s="558" t="str">
        <f t="shared" si="790"/>
        <v/>
      </c>
      <c r="D155" s="558" t="str">
        <f t="shared" si="791"/>
        <v/>
      </c>
      <c r="E155" s="715" t="str">
        <f t="shared" si="792"/>
        <v/>
      </c>
      <c r="F155" s="701">
        <f t="shared" si="793"/>
        <v>0</v>
      </c>
      <c r="G155" s="700" t="str">
        <f t="shared" si="794"/>
        <v/>
      </c>
      <c r="H155" s="700" t="str">
        <f t="shared" si="795"/>
        <v/>
      </c>
      <c r="I155" s="700" t="str">
        <f t="shared" si="796"/>
        <v/>
      </c>
      <c r="J155" s="547">
        <f t="shared" si="797"/>
        <v>0</v>
      </c>
      <c r="K155" s="699" t="str">
        <f t="shared" si="798"/>
        <v/>
      </c>
      <c r="L155" s="702" t="str">
        <f t="shared" si="799"/>
        <v/>
      </c>
      <c r="M155" s="233" t="s">
        <v>660</v>
      </c>
      <c r="N155" s="423"/>
      <c r="O155" s="326"/>
      <c r="P155" s="326" t="e">
        <f t="shared" ref="P155:P160" si="930">R155-Q155</f>
        <v>#VALUE!</v>
      </c>
      <c r="Q155" s="326" t="str">
        <f t="shared" ref="Q155:Q160" si="931">IFERROR(VLOOKUP(M155,LAGALIM,3,FALSE),"")</f>
        <v/>
      </c>
      <c r="R155" s="716" t="str">
        <f t="shared" ref="R155:R160" si="932">IFERROR(VLOOKUP(M155,LAGEFC,3,FALSE),"0")</f>
        <v>0</v>
      </c>
      <c r="S155" s="326"/>
      <c r="T155" s="137"/>
      <c r="U155" s="326"/>
      <c r="V155" s="332"/>
      <c r="W155" s="140" t="e">
        <f t="shared" ref="W155:W160" si="933">Y155-X155</f>
        <v>#VALUE!</v>
      </c>
      <c r="X155" s="326" t="str">
        <f t="shared" ref="X155:X160" si="934">IFERROR(VLOOKUP(M155,LAGALIM,4,FALSE),"")</f>
        <v/>
      </c>
      <c r="Y155" s="717" t="str">
        <f t="shared" ref="Y155:Y160" si="935">IFERROR(VLOOKUP(M155,LAGEFC,4,FALSE),"0")</f>
        <v>0</v>
      </c>
      <c r="Z155" s="123"/>
      <c r="AA155" s="137"/>
      <c r="AB155" s="326"/>
      <c r="AC155" s="326">
        <f t="shared" ref="AC155:AC160" si="936">(AB155*1.5955)*1.05</f>
        <v>0</v>
      </c>
      <c r="AD155" s="326" t="e">
        <f t="shared" ref="AD155:AD160" si="937">AF155-AE155</f>
        <v>#VALUE!</v>
      </c>
      <c r="AE155" s="326" t="str">
        <f t="shared" ref="AE155:AE160" si="938">IFERROR(VLOOKUP(M155,LAGALIM,5,FALSE),"")</f>
        <v/>
      </c>
      <c r="AF155" s="716" t="str">
        <f t="shared" ref="AF155:AF160" si="939">IFERROR(VLOOKUP(M155,LAGEFC,5,FALSE),"0")</f>
        <v>0</v>
      </c>
      <c r="AG155" s="326">
        <f t="shared" ref="AG155:AG160" si="940">AF155-AC155</f>
        <v>0</v>
      </c>
      <c r="AH155" s="137" t="str">
        <f t="shared" ref="AH155:AH160" si="941">IFERROR(AF155/AC155,"")</f>
        <v/>
      </c>
      <c r="AI155" s="332">
        <f t="shared" ref="AI155:AI160" si="942">SUM(O155,V155,AC155)</f>
        <v>0</v>
      </c>
      <c r="AJ155" s="140" t="str">
        <f t="shared" ref="AJ155:AJ160" si="943">IFERROR(VLOOKUP(M155,trim2024,2,FALSE),"0")</f>
        <v>0</v>
      </c>
      <c r="AK155" s="326">
        <f t="shared" ref="AK155:AK160" si="944">AM155-AL155</f>
        <v>0</v>
      </c>
      <c r="AL155" s="326">
        <f t="shared" ref="AL155:AM155" si="945">SUM(AE155,X155,Q155)</f>
        <v>0</v>
      </c>
      <c r="AM155" s="326">
        <f t="shared" si="945"/>
        <v>0</v>
      </c>
      <c r="AN155" s="326">
        <f t="shared" ref="AN155:AN160" si="946">AM155-AI155</f>
        <v>0</v>
      </c>
      <c r="AO155" s="413" t="str">
        <f t="shared" ref="AO155:AO160" si="947">IFERROR(AM155/AJ155,"")</f>
        <v/>
      </c>
      <c r="AP155" s="423"/>
      <c r="AQ155" s="326" t="e">
        <f t="shared" si="36"/>
        <v>#VALUE!</v>
      </c>
      <c r="AR155" s="326" t="str">
        <f t="shared" si="802"/>
        <v/>
      </c>
      <c r="AS155" s="333" t="str">
        <f t="shared" si="803"/>
        <v>0</v>
      </c>
      <c r="AT155" s="434"/>
      <c r="AU155" s="140" t="e">
        <f t="shared" si="40"/>
        <v>#VALUE!</v>
      </c>
      <c r="AV155" s="326" t="str">
        <f t="shared" si="804"/>
        <v/>
      </c>
      <c r="AW155" s="333" t="str">
        <f t="shared" si="805"/>
        <v>0</v>
      </c>
      <c r="AX155" s="125"/>
      <c r="AY155" s="140" t="e">
        <f t="shared" si="44"/>
        <v>#VALUE!</v>
      </c>
      <c r="AZ155" s="326" t="str">
        <f t="shared" si="806"/>
        <v/>
      </c>
      <c r="BA155" s="332" t="str">
        <f t="shared" si="807"/>
        <v>0</v>
      </c>
      <c r="BB155" s="122" t="e">
        <f t="shared" ref="BB155:BD155" si="948">AY155+AU155+AQ155</f>
        <v>#VALUE!</v>
      </c>
      <c r="BC155" s="326" t="e">
        <f t="shared" si="948"/>
        <v>#VALUE!</v>
      </c>
      <c r="BD155" s="332">
        <f t="shared" si="948"/>
        <v>0</v>
      </c>
      <c r="BE155" s="122" t="e">
        <f t="shared" si="48"/>
        <v>#VALUE!</v>
      </c>
      <c r="BF155" s="326" t="e">
        <f t="shared" ref="BF155:BG155" si="949">AL155+BC155</f>
        <v>#VALUE!</v>
      </c>
      <c r="BG155" s="435">
        <f t="shared" si="949"/>
        <v>0</v>
      </c>
      <c r="BH155" s="125" t="str">
        <f t="shared" si="810"/>
        <v/>
      </c>
      <c r="BI155" s="140" t="e">
        <f t="shared" si="51"/>
        <v>#VALUE!</v>
      </c>
      <c r="BJ155" s="123" t="str">
        <f t="shared" si="811"/>
        <v/>
      </c>
      <c r="BK155" s="125" t="str">
        <f t="shared" si="812"/>
        <v>0</v>
      </c>
      <c r="BL155" s="123" t="str">
        <f t="shared" si="813"/>
        <v/>
      </c>
      <c r="BM155" s="140" t="e">
        <f t="shared" si="55"/>
        <v>#VALUE!</v>
      </c>
      <c r="BN155" s="326" t="str">
        <f t="shared" si="814"/>
        <v/>
      </c>
      <c r="BO155" s="332" t="str">
        <f t="shared" si="815"/>
        <v>0</v>
      </c>
      <c r="BP155" s="141" t="str">
        <f t="shared" si="816"/>
        <v/>
      </c>
      <c r="BQ155" s="140" t="e">
        <f t="shared" si="59"/>
        <v>#VALUE!</v>
      </c>
      <c r="BR155" s="326" t="str">
        <f t="shared" si="817"/>
        <v/>
      </c>
      <c r="BS155" s="333" t="str">
        <f t="shared" si="818"/>
        <v>0</v>
      </c>
      <c r="BT155" s="113" t="e">
        <f t="shared" ref="BT155:BV155" si="950">SUM(BQ155,BM155,BI155)</f>
        <v>#VALUE!</v>
      </c>
      <c r="BU155" s="116">
        <f t="shared" si="950"/>
        <v>0</v>
      </c>
      <c r="BV155" s="117">
        <f t="shared" si="950"/>
        <v>0</v>
      </c>
      <c r="BW155" s="141" t="str">
        <f t="shared" si="820"/>
        <v/>
      </c>
      <c r="BX155" s="113" t="e">
        <f t="shared" si="64"/>
        <v>#VALUE!</v>
      </c>
      <c r="BY155" s="114" t="str">
        <f t="shared" si="821"/>
        <v/>
      </c>
      <c r="BZ155" s="115" t="str">
        <f t="shared" si="822"/>
        <v>0</v>
      </c>
      <c r="CA155" s="123" t="str">
        <f t="shared" si="823"/>
        <v/>
      </c>
      <c r="CB155" s="333" t="str">
        <f t="shared" si="824"/>
        <v/>
      </c>
      <c r="CY155" s="294"/>
      <c r="DF155" s="296"/>
    </row>
    <row r="156" spans="1:110" ht="13">
      <c r="A156" s="420">
        <f t="shared" si="788"/>
        <v>112013210</v>
      </c>
      <c r="B156" s="565">
        <f t="shared" si="789"/>
        <v>0</v>
      </c>
      <c r="C156" s="558" t="str">
        <f t="shared" si="790"/>
        <v/>
      </c>
      <c r="D156" s="558" t="str">
        <f t="shared" si="791"/>
        <v/>
      </c>
      <c r="E156" s="715" t="str">
        <f t="shared" si="792"/>
        <v/>
      </c>
      <c r="F156" s="701">
        <f t="shared" si="793"/>
        <v>0</v>
      </c>
      <c r="G156" s="700" t="str">
        <f t="shared" si="794"/>
        <v/>
      </c>
      <c r="H156" s="700" t="str">
        <f t="shared" si="795"/>
        <v/>
      </c>
      <c r="I156" s="700" t="str">
        <f t="shared" si="796"/>
        <v/>
      </c>
      <c r="J156" s="547">
        <f t="shared" si="797"/>
        <v>0</v>
      </c>
      <c r="K156" s="699" t="str">
        <f t="shared" si="798"/>
        <v/>
      </c>
      <c r="L156" s="702" t="str">
        <f t="shared" si="799"/>
        <v/>
      </c>
      <c r="M156" s="139" t="s">
        <v>661</v>
      </c>
      <c r="N156" s="423"/>
      <c r="O156" s="326"/>
      <c r="P156" s="326" t="e">
        <f t="shared" si="930"/>
        <v>#VALUE!</v>
      </c>
      <c r="Q156" s="326" t="str">
        <f t="shared" si="931"/>
        <v/>
      </c>
      <c r="R156" s="716" t="str">
        <f t="shared" si="932"/>
        <v>0</v>
      </c>
      <c r="S156" s="326"/>
      <c r="T156" s="137"/>
      <c r="U156" s="326"/>
      <c r="V156" s="332"/>
      <c r="W156" s="140" t="e">
        <f t="shared" si="933"/>
        <v>#VALUE!</v>
      </c>
      <c r="X156" s="326" t="str">
        <f t="shared" si="934"/>
        <v/>
      </c>
      <c r="Y156" s="717" t="str">
        <f t="shared" si="935"/>
        <v>0</v>
      </c>
      <c r="Z156" s="123"/>
      <c r="AA156" s="137"/>
      <c r="AB156" s="326"/>
      <c r="AC156" s="326">
        <f t="shared" si="936"/>
        <v>0</v>
      </c>
      <c r="AD156" s="326" t="e">
        <f t="shared" si="937"/>
        <v>#VALUE!</v>
      </c>
      <c r="AE156" s="326" t="str">
        <f t="shared" si="938"/>
        <v/>
      </c>
      <c r="AF156" s="716" t="str">
        <f t="shared" si="939"/>
        <v>0</v>
      </c>
      <c r="AG156" s="326">
        <f t="shared" si="940"/>
        <v>0</v>
      </c>
      <c r="AH156" s="137" t="str">
        <f t="shared" si="941"/>
        <v/>
      </c>
      <c r="AI156" s="332">
        <f t="shared" si="942"/>
        <v>0</v>
      </c>
      <c r="AJ156" s="140" t="str">
        <f t="shared" si="943"/>
        <v>0</v>
      </c>
      <c r="AK156" s="326">
        <f t="shared" si="944"/>
        <v>0</v>
      </c>
      <c r="AL156" s="326">
        <f t="shared" ref="AL156:AM156" si="951">SUM(AE156,X156,Q156)</f>
        <v>0</v>
      </c>
      <c r="AM156" s="326">
        <f t="shared" si="951"/>
        <v>0</v>
      </c>
      <c r="AN156" s="326">
        <f t="shared" si="946"/>
        <v>0</v>
      </c>
      <c r="AO156" s="413" t="str">
        <f t="shared" si="947"/>
        <v/>
      </c>
      <c r="AP156" s="423"/>
      <c r="AQ156" s="326" t="e">
        <f t="shared" si="36"/>
        <v>#VALUE!</v>
      </c>
      <c r="AR156" s="326" t="str">
        <f t="shared" si="802"/>
        <v/>
      </c>
      <c r="AS156" s="333" t="str">
        <f t="shared" si="803"/>
        <v>0</v>
      </c>
      <c r="AT156" s="434"/>
      <c r="AU156" s="140" t="e">
        <f t="shared" si="40"/>
        <v>#VALUE!</v>
      </c>
      <c r="AV156" s="326" t="str">
        <f t="shared" si="804"/>
        <v/>
      </c>
      <c r="AW156" s="333" t="str">
        <f t="shared" si="805"/>
        <v>0</v>
      </c>
      <c r="AX156" s="125"/>
      <c r="AY156" s="140" t="e">
        <f t="shared" si="44"/>
        <v>#VALUE!</v>
      </c>
      <c r="AZ156" s="326" t="str">
        <f t="shared" si="806"/>
        <v/>
      </c>
      <c r="BA156" s="332" t="str">
        <f t="shared" si="807"/>
        <v>0</v>
      </c>
      <c r="BB156" s="122" t="e">
        <f t="shared" ref="BB156:BD156" si="952">AY156+AU156+AQ156</f>
        <v>#VALUE!</v>
      </c>
      <c r="BC156" s="326" t="e">
        <f t="shared" si="952"/>
        <v>#VALUE!</v>
      </c>
      <c r="BD156" s="332">
        <f t="shared" si="952"/>
        <v>0</v>
      </c>
      <c r="BE156" s="122" t="e">
        <f t="shared" si="48"/>
        <v>#VALUE!</v>
      </c>
      <c r="BF156" s="326" t="e">
        <f t="shared" ref="BF156:BG156" si="953">AL156+BC156</f>
        <v>#VALUE!</v>
      </c>
      <c r="BG156" s="435">
        <f t="shared" si="953"/>
        <v>0</v>
      </c>
      <c r="BH156" s="125" t="str">
        <f t="shared" si="810"/>
        <v/>
      </c>
      <c r="BI156" s="140" t="e">
        <f t="shared" si="51"/>
        <v>#VALUE!</v>
      </c>
      <c r="BJ156" s="123" t="str">
        <f t="shared" si="811"/>
        <v/>
      </c>
      <c r="BK156" s="125" t="str">
        <f t="shared" si="812"/>
        <v>0</v>
      </c>
      <c r="BL156" s="123" t="str">
        <f t="shared" si="813"/>
        <v/>
      </c>
      <c r="BM156" s="140" t="e">
        <f t="shared" si="55"/>
        <v>#VALUE!</v>
      </c>
      <c r="BN156" s="326" t="str">
        <f t="shared" si="814"/>
        <v/>
      </c>
      <c r="BO156" s="332" t="str">
        <f t="shared" si="815"/>
        <v>0</v>
      </c>
      <c r="BP156" s="141" t="str">
        <f t="shared" si="816"/>
        <v/>
      </c>
      <c r="BQ156" s="140" t="e">
        <f t="shared" si="59"/>
        <v>#VALUE!</v>
      </c>
      <c r="BR156" s="326" t="str">
        <f t="shared" si="817"/>
        <v/>
      </c>
      <c r="BS156" s="333" t="str">
        <f t="shared" si="818"/>
        <v>0</v>
      </c>
      <c r="BT156" s="113" t="e">
        <f t="shared" ref="BT156:BV156" si="954">SUM(BQ156,BM156,BI156)</f>
        <v>#VALUE!</v>
      </c>
      <c r="BU156" s="116">
        <f t="shared" si="954"/>
        <v>0</v>
      </c>
      <c r="BV156" s="117">
        <f t="shared" si="954"/>
        <v>0</v>
      </c>
      <c r="BW156" s="141" t="str">
        <f t="shared" si="820"/>
        <v/>
      </c>
      <c r="BX156" s="113" t="e">
        <f t="shared" si="64"/>
        <v>#VALUE!</v>
      </c>
      <c r="BY156" s="114" t="str">
        <f t="shared" si="821"/>
        <v/>
      </c>
      <c r="BZ156" s="115" t="str">
        <f t="shared" si="822"/>
        <v>0</v>
      </c>
      <c r="CA156" s="123" t="str">
        <f t="shared" si="823"/>
        <v/>
      </c>
      <c r="CB156" s="333" t="str">
        <f t="shared" si="824"/>
        <v/>
      </c>
      <c r="CY156" s="294"/>
      <c r="DF156" s="296"/>
    </row>
    <row r="157" spans="1:110" ht="13">
      <c r="A157" s="420">
        <f t="shared" si="788"/>
        <v>112011327</v>
      </c>
      <c r="B157" s="565">
        <f t="shared" si="789"/>
        <v>0</v>
      </c>
      <c r="C157" s="558" t="str">
        <f t="shared" si="790"/>
        <v/>
      </c>
      <c r="D157" s="558" t="str">
        <f t="shared" si="791"/>
        <v/>
      </c>
      <c r="E157" s="715" t="str">
        <f t="shared" si="792"/>
        <v/>
      </c>
      <c r="F157" s="701">
        <f t="shared" si="793"/>
        <v>0</v>
      </c>
      <c r="G157" s="700" t="str">
        <f t="shared" si="794"/>
        <v/>
      </c>
      <c r="H157" s="700" t="str">
        <f t="shared" si="795"/>
        <v/>
      </c>
      <c r="I157" s="700" t="str">
        <f t="shared" si="796"/>
        <v/>
      </c>
      <c r="J157" s="547">
        <f t="shared" si="797"/>
        <v>0</v>
      </c>
      <c r="K157" s="699" t="str">
        <f t="shared" si="798"/>
        <v/>
      </c>
      <c r="L157" s="702" t="str">
        <f t="shared" si="799"/>
        <v/>
      </c>
      <c r="M157" s="139" t="s">
        <v>662</v>
      </c>
      <c r="N157" s="423" t="str">
        <f>IFERROR(VLOOKUP(M157,LAGE24,3,FALSE),"")</f>
        <v/>
      </c>
      <c r="O157" s="326" t="e">
        <f t="shared" ref="O157:O158" si="955">(N157*1.601)*1.05</f>
        <v>#VALUE!</v>
      </c>
      <c r="P157" s="326" t="e">
        <f t="shared" si="930"/>
        <v>#VALUE!</v>
      </c>
      <c r="Q157" s="326" t="str">
        <f t="shared" si="931"/>
        <v/>
      </c>
      <c r="R157" s="716" t="str">
        <f t="shared" si="932"/>
        <v>0</v>
      </c>
      <c r="S157" s="326"/>
      <c r="T157" s="137"/>
      <c r="U157" s="326"/>
      <c r="V157" s="332"/>
      <c r="W157" s="140" t="e">
        <f t="shared" si="933"/>
        <v>#VALUE!</v>
      </c>
      <c r="X157" s="326" t="str">
        <f t="shared" si="934"/>
        <v/>
      </c>
      <c r="Y157" s="717" t="str">
        <f t="shared" si="935"/>
        <v>0</v>
      </c>
      <c r="Z157" s="123"/>
      <c r="AA157" s="137"/>
      <c r="AB157" s="326"/>
      <c r="AC157" s="326">
        <f t="shared" si="936"/>
        <v>0</v>
      </c>
      <c r="AD157" s="326" t="e">
        <f t="shared" si="937"/>
        <v>#VALUE!</v>
      </c>
      <c r="AE157" s="326" t="str">
        <f t="shared" si="938"/>
        <v/>
      </c>
      <c r="AF157" s="716" t="str">
        <f t="shared" si="939"/>
        <v>0</v>
      </c>
      <c r="AG157" s="326">
        <f t="shared" si="940"/>
        <v>0</v>
      </c>
      <c r="AH157" s="137" t="str">
        <f t="shared" si="941"/>
        <v/>
      </c>
      <c r="AI157" s="332" t="e">
        <f t="shared" si="942"/>
        <v>#VALUE!</v>
      </c>
      <c r="AJ157" s="140" t="str">
        <f t="shared" si="943"/>
        <v>0</v>
      </c>
      <c r="AK157" s="326">
        <f t="shared" si="944"/>
        <v>0</v>
      </c>
      <c r="AL157" s="326">
        <f t="shared" ref="AL157:AM157" si="956">SUM(AE157,X157,Q157)</f>
        <v>0</v>
      </c>
      <c r="AM157" s="326">
        <f t="shared" si="956"/>
        <v>0</v>
      </c>
      <c r="AN157" s="326" t="e">
        <f t="shared" si="946"/>
        <v>#VALUE!</v>
      </c>
      <c r="AO157" s="413" t="str">
        <f t="shared" si="947"/>
        <v/>
      </c>
      <c r="AP157" s="423"/>
      <c r="AQ157" s="326" t="e">
        <f t="shared" si="36"/>
        <v>#VALUE!</v>
      </c>
      <c r="AR157" s="326" t="str">
        <f t="shared" si="802"/>
        <v/>
      </c>
      <c r="AS157" s="333" t="str">
        <f t="shared" si="803"/>
        <v>0</v>
      </c>
      <c r="AT157" s="434"/>
      <c r="AU157" s="140" t="e">
        <f t="shared" si="40"/>
        <v>#VALUE!</v>
      </c>
      <c r="AV157" s="326" t="str">
        <f t="shared" si="804"/>
        <v/>
      </c>
      <c r="AW157" s="333" t="str">
        <f t="shared" si="805"/>
        <v>0</v>
      </c>
      <c r="AX157" s="125"/>
      <c r="AY157" s="140" t="e">
        <f t="shared" si="44"/>
        <v>#VALUE!</v>
      </c>
      <c r="AZ157" s="326" t="str">
        <f t="shared" si="806"/>
        <v/>
      </c>
      <c r="BA157" s="332" t="str">
        <f t="shared" si="807"/>
        <v>0</v>
      </c>
      <c r="BB157" s="122" t="e">
        <f t="shared" ref="BB157:BD157" si="957">AY157+AU157+AQ157</f>
        <v>#VALUE!</v>
      </c>
      <c r="BC157" s="326" t="e">
        <f t="shared" si="957"/>
        <v>#VALUE!</v>
      </c>
      <c r="BD157" s="332">
        <f t="shared" si="957"/>
        <v>0</v>
      </c>
      <c r="BE157" s="122" t="e">
        <f t="shared" si="48"/>
        <v>#VALUE!</v>
      </c>
      <c r="BF157" s="326" t="e">
        <f t="shared" ref="BF157:BG157" si="958">AL157+BC157</f>
        <v>#VALUE!</v>
      </c>
      <c r="BG157" s="435">
        <f t="shared" si="958"/>
        <v>0</v>
      </c>
      <c r="BH157" s="125" t="str">
        <f t="shared" si="810"/>
        <v/>
      </c>
      <c r="BI157" s="140" t="e">
        <f t="shared" si="51"/>
        <v>#VALUE!</v>
      </c>
      <c r="BJ157" s="123" t="str">
        <f t="shared" si="811"/>
        <v/>
      </c>
      <c r="BK157" s="125" t="str">
        <f t="shared" si="812"/>
        <v>0</v>
      </c>
      <c r="BL157" s="123" t="str">
        <f t="shared" si="813"/>
        <v/>
      </c>
      <c r="BM157" s="140" t="e">
        <f t="shared" si="55"/>
        <v>#VALUE!</v>
      </c>
      <c r="BN157" s="326" t="str">
        <f t="shared" si="814"/>
        <v/>
      </c>
      <c r="BO157" s="332" t="str">
        <f t="shared" si="815"/>
        <v>0</v>
      </c>
      <c r="BP157" s="141" t="str">
        <f t="shared" si="816"/>
        <v/>
      </c>
      <c r="BQ157" s="140" t="e">
        <f t="shared" si="59"/>
        <v>#VALUE!</v>
      </c>
      <c r="BR157" s="326" t="str">
        <f t="shared" si="817"/>
        <v/>
      </c>
      <c r="BS157" s="333" t="str">
        <f t="shared" si="818"/>
        <v>0</v>
      </c>
      <c r="BT157" s="113" t="e">
        <f t="shared" ref="BT157:BV157" si="959">SUM(BQ157,BM157,BI157)</f>
        <v>#VALUE!</v>
      </c>
      <c r="BU157" s="116">
        <f t="shared" si="959"/>
        <v>0</v>
      </c>
      <c r="BV157" s="117">
        <f t="shared" si="959"/>
        <v>0</v>
      </c>
      <c r="BW157" s="141" t="str">
        <f t="shared" si="820"/>
        <v/>
      </c>
      <c r="BX157" s="113" t="e">
        <f t="shared" si="64"/>
        <v>#VALUE!</v>
      </c>
      <c r="BY157" s="114" t="str">
        <f t="shared" si="821"/>
        <v/>
      </c>
      <c r="BZ157" s="115" t="str">
        <f t="shared" si="822"/>
        <v>0</v>
      </c>
      <c r="CA157" s="123" t="str">
        <f t="shared" si="823"/>
        <v/>
      </c>
      <c r="CB157" s="333" t="str">
        <f t="shared" si="824"/>
        <v/>
      </c>
      <c r="CY157" s="294"/>
      <c r="DF157" s="296"/>
    </row>
    <row r="158" spans="1:110" ht="13">
      <c r="A158" s="420">
        <f t="shared" si="788"/>
        <v>112014376</v>
      </c>
      <c r="B158" s="565">
        <f t="shared" si="789"/>
        <v>0</v>
      </c>
      <c r="C158" s="558" t="str">
        <f t="shared" si="790"/>
        <v/>
      </c>
      <c r="D158" s="558" t="str">
        <f t="shared" si="791"/>
        <v/>
      </c>
      <c r="E158" s="715" t="str">
        <f t="shared" si="792"/>
        <v/>
      </c>
      <c r="F158" s="701">
        <f t="shared" si="793"/>
        <v>0</v>
      </c>
      <c r="G158" s="700" t="str">
        <f t="shared" si="794"/>
        <v/>
      </c>
      <c r="H158" s="700" t="str">
        <f t="shared" si="795"/>
        <v/>
      </c>
      <c r="I158" s="700" t="str">
        <f t="shared" si="796"/>
        <v/>
      </c>
      <c r="J158" s="547">
        <f t="shared" si="797"/>
        <v>0</v>
      </c>
      <c r="K158" s="699" t="str">
        <f t="shared" si="798"/>
        <v/>
      </c>
      <c r="L158" s="702" t="str">
        <f t="shared" si="799"/>
        <v/>
      </c>
      <c r="M158" s="139" t="s">
        <v>663</v>
      </c>
      <c r="N158" s="423">
        <f>IFERROR(VLOOKUP(M158,LAGE24,3,FALSE),"")</f>
        <v>0</v>
      </c>
      <c r="O158" s="326">
        <f t="shared" si="955"/>
        <v>0</v>
      </c>
      <c r="P158" s="326" t="e">
        <f t="shared" si="930"/>
        <v>#VALUE!</v>
      </c>
      <c r="Q158" s="326" t="str">
        <f t="shared" si="931"/>
        <v/>
      </c>
      <c r="R158" s="716" t="str">
        <f t="shared" si="932"/>
        <v>0</v>
      </c>
      <c r="S158" s="326"/>
      <c r="T158" s="137"/>
      <c r="U158" s="326"/>
      <c r="V158" s="332"/>
      <c r="W158" s="140" t="e">
        <f t="shared" si="933"/>
        <v>#VALUE!</v>
      </c>
      <c r="X158" s="326" t="str">
        <f t="shared" si="934"/>
        <v/>
      </c>
      <c r="Y158" s="717" t="str">
        <f t="shared" si="935"/>
        <v>0</v>
      </c>
      <c r="Z158" s="123"/>
      <c r="AA158" s="137"/>
      <c r="AB158" s="326"/>
      <c r="AC158" s="326">
        <f t="shared" si="936"/>
        <v>0</v>
      </c>
      <c r="AD158" s="326" t="e">
        <f t="shared" si="937"/>
        <v>#VALUE!</v>
      </c>
      <c r="AE158" s="326" t="str">
        <f t="shared" si="938"/>
        <v/>
      </c>
      <c r="AF158" s="716" t="str">
        <f t="shared" si="939"/>
        <v>0</v>
      </c>
      <c r="AG158" s="326">
        <f t="shared" si="940"/>
        <v>0</v>
      </c>
      <c r="AH158" s="137" t="str">
        <f t="shared" si="941"/>
        <v/>
      </c>
      <c r="AI158" s="332">
        <f t="shared" si="942"/>
        <v>0</v>
      </c>
      <c r="AJ158" s="140">
        <f t="shared" si="943"/>
        <v>-84843.6</v>
      </c>
      <c r="AK158" s="326">
        <f t="shared" si="944"/>
        <v>0</v>
      </c>
      <c r="AL158" s="326">
        <f t="shared" ref="AL158:AM158" si="960">SUM(AE158,X158,Q158)</f>
        <v>0</v>
      </c>
      <c r="AM158" s="326">
        <f t="shared" si="960"/>
        <v>0</v>
      </c>
      <c r="AN158" s="326">
        <f t="shared" si="946"/>
        <v>0</v>
      </c>
      <c r="AO158" s="413">
        <f t="shared" si="947"/>
        <v>0</v>
      </c>
      <c r="AP158" s="423"/>
      <c r="AQ158" s="326" t="e">
        <f t="shared" si="36"/>
        <v>#VALUE!</v>
      </c>
      <c r="AR158" s="326" t="str">
        <f t="shared" si="802"/>
        <v/>
      </c>
      <c r="AS158" s="333" t="str">
        <f t="shared" si="803"/>
        <v>0</v>
      </c>
      <c r="AT158" s="434"/>
      <c r="AU158" s="140" t="e">
        <f t="shared" si="40"/>
        <v>#VALUE!</v>
      </c>
      <c r="AV158" s="326" t="str">
        <f t="shared" si="804"/>
        <v/>
      </c>
      <c r="AW158" s="333" t="str">
        <f t="shared" si="805"/>
        <v>0</v>
      </c>
      <c r="AX158" s="125"/>
      <c r="AY158" s="140" t="e">
        <f t="shared" si="44"/>
        <v>#VALUE!</v>
      </c>
      <c r="AZ158" s="326" t="str">
        <f t="shared" si="806"/>
        <v/>
      </c>
      <c r="BA158" s="332" t="str">
        <f t="shared" si="807"/>
        <v>0</v>
      </c>
      <c r="BB158" s="122" t="e">
        <f t="shared" ref="BB158:BD158" si="961">AY158+AU158+AQ158</f>
        <v>#VALUE!</v>
      </c>
      <c r="BC158" s="326" t="e">
        <f t="shared" si="961"/>
        <v>#VALUE!</v>
      </c>
      <c r="BD158" s="332">
        <f t="shared" si="961"/>
        <v>0</v>
      </c>
      <c r="BE158" s="122" t="e">
        <f t="shared" si="48"/>
        <v>#VALUE!</v>
      </c>
      <c r="BF158" s="326" t="e">
        <f t="shared" ref="BF158:BG158" si="962">AL158+BC158</f>
        <v>#VALUE!</v>
      </c>
      <c r="BG158" s="435">
        <f t="shared" si="962"/>
        <v>0</v>
      </c>
      <c r="BH158" s="125">
        <f t="shared" si="810"/>
        <v>0</v>
      </c>
      <c r="BI158" s="140" t="e">
        <f t="shared" si="51"/>
        <v>#VALUE!</v>
      </c>
      <c r="BJ158" s="123" t="str">
        <f t="shared" si="811"/>
        <v/>
      </c>
      <c r="BK158" s="125" t="str">
        <f t="shared" si="812"/>
        <v>0</v>
      </c>
      <c r="BL158" s="123">
        <f t="shared" si="813"/>
        <v>0</v>
      </c>
      <c r="BM158" s="140" t="e">
        <f t="shared" si="55"/>
        <v>#VALUE!</v>
      </c>
      <c r="BN158" s="326" t="str">
        <f t="shared" si="814"/>
        <v/>
      </c>
      <c r="BO158" s="332" t="str">
        <f t="shared" si="815"/>
        <v>0</v>
      </c>
      <c r="BP158" s="141">
        <f t="shared" si="816"/>
        <v>488704.4</v>
      </c>
      <c r="BQ158" s="140" t="e">
        <f t="shared" si="59"/>
        <v>#VALUE!</v>
      </c>
      <c r="BR158" s="326" t="str">
        <f t="shared" si="817"/>
        <v/>
      </c>
      <c r="BS158" s="333" t="str">
        <f t="shared" si="818"/>
        <v>0</v>
      </c>
      <c r="BT158" s="113" t="e">
        <f t="shared" ref="BT158:BV158" si="963">SUM(BQ158,BM158,BI158)</f>
        <v>#VALUE!</v>
      </c>
      <c r="BU158" s="116">
        <f t="shared" si="963"/>
        <v>0</v>
      </c>
      <c r="BV158" s="117">
        <f t="shared" si="963"/>
        <v>0</v>
      </c>
      <c r="BW158" s="141">
        <f t="shared" si="820"/>
        <v>-84843.6</v>
      </c>
      <c r="BX158" s="113" t="e">
        <f t="shared" si="64"/>
        <v>#VALUE!</v>
      </c>
      <c r="BY158" s="114" t="str">
        <f t="shared" si="821"/>
        <v/>
      </c>
      <c r="BZ158" s="115" t="str">
        <f t="shared" si="822"/>
        <v>0</v>
      </c>
      <c r="CA158" s="123">
        <f t="shared" si="823"/>
        <v>0</v>
      </c>
      <c r="CB158" s="333">
        <f t="shared" si="824"/>
        <v>0</v>
      </c>
      <c r="CY158" s="294"/>
      <c r="DF158" s="296"/>
    </row>
    <row r="159" spans="1:110" ht="13">
      <c r="A159" s="420">
        <f t="shared" si="788"/>
        <v>112010841</v>
      </c>
      <c r="B159" s="565">
        <f t="shared" si="789"/>
        <v>0</v>
      </c>
      <c r="C159" s="558" t="str">
        <f t="shared" si="790"/>
        <v/>
      </c>
      <c r="D159" s="558" t="str">
        <f t="shared" si="791"/>
        <v/>
      </c>
      <c r="E159" s="715" t="str">
        <f t="shared" si="792"/>
        <v/>
      </c>
      <c r="F159" s="701">
        <f t="shared" si="793"/>
        <v>0</v>
      </c>
      <c r="G159" s="700" t="str">
        <f t="shared" si="794"/>
        <v/>
      </c>
      <c r="H159" s="700" t="str">
        <f t="shared" si="795"/>
        <v/>
      </c>
      <c r="I159" s="700" t="str">
        <f t="shared" si="796"/>
        <v/>
      </c>
      <c r="J159" s="547">
        <f t="shared" si="797"/>
        <v>0</v>
      </c>
      <c r="K159" s="699" t="str">
        <f t="shared" si="798"/>
        <v/>
      </c>
      <c r="L159" s="702" t="str">
        <f t="shared" si="799"/>
        <v/>
      </c>
      <c r="M159" s="255" t="s">
        <v>664</v>
      </c>
      <c r="N159" s="423"/>
      <c r="O159" s="326"/>
      <c r="P159" s="326" t="e">
        <f t="shared" si="930"/>
        <v>#VALUE!</v>
      </c>
      <c r="Q159" s="326" t="str">
        <f t="shared" si="931"/>
        <v/>
      </c>
      <c r="R159" s="716">
        <f t="shared" si="932"/>
        <v>0</v>
      </c>
      <c r="S159" s="326"/>
      <c r="T159" s="137"/>
      <c r="U159" s="326"/>
      <c r="V159" s="332"/>
      <c r="W159" s="140" t="e">
        <f t="shared" si="933"/>
        <v>#VALUE!</v>
      </c>
      <c r="X159" s="326" t="str">
        <f t="shared" si="934"/>
        <v/>
      </c>
      <c r="Y159" s="717">
        <f t="shared" si="935"/>
        <v>0</v>
      </c>
      <c r="Z159" s="123"/>
      <c r="AA159" s="137"/>
      <c r="AB159" s="326"/>
      <c r="AC159" s="326">
        <f t="shared" si="936"/>
        <v>0</v>
      </c>
      <c r="AD159" s="326" t="e">
        <f t="shared" si="937"/>
        <v>#VALUE!</v>
      </c>
      <c r="AE159" s="326" t="str">
        <f t="shared" si="938"/>
        <v/>
      </c>
      <c r="AF159" s="716">
        <f t="shared" si="939"/>
        <v>1291749.81</v>
      </c>
      <c r="AG159" s="326">
        <f t="shared" si="940"/>
        <v>1291749.81</v>
      </c>
      <c r="AH159" s="137" t="str">
        <f t="shared" si="941"/>
        <v/>
      </c>
      <c r="AI159" s="332">
        <f t="shared" si="942"/>
        <v>0</v>
      </c>
      <c r="AJ159" s="140">
        <f t="shared" si="943"/>
        <v>1168622.06</v>
      </c>
      <c r="AK159" s="326">
        <f t="shared" si="944"/>
        <v>1291749.81</v>
      </c>
      <c r="AL159" s="326">
        <f t="shared" ref="AL159:AM159" si="964">SUM(AE159,X159,Q159)</f>
        <v>0</v>
      </c>
      <c r="AM159" s="326">
        <f t="shared" si="964"/>
        <v>1291749.81</v>
      </c>
      <c r="AN159" s="326">
        <f t="shared" si="946"/>
        <v>1291749.81</v>
      </c>
      <c r="AO159" s="413">
        <f t="shared" si="947"/>
        <v>1.1053614801692173</v>
      </c>
      <c r="AP159" s="423"/>
      <c r="AQ159" s="326" t="e">
        <f t="shared" si="36"/>
        <v>#VALUE!</v>
      </c>
      <c r="AR159" s="326" t="str">
        <f t="shared" si="802"/>
        <v/>
      </c>
      <c r="AS159" s="333">
        <f t="shared" si="803"/>
        <v>555777.19999999995</v>
      </c>
      <c r="AT159" s="434"/>
      <c r="AU159" s="140" t="e">
        <f t="shared" si="40"/>
        <v>#VALUE!</v>
      </c>
      <c r="AV159" s="326" t="str">
        <f t="shared" si="804"/>
        <v/>
      </c>
      <c r="AW159" s="333">
        <f t="shared" si="805"/>
        <v>729234.69</v>
      </c>
      <c r="AX159" s="125"/>
      <c r="AY159" s="140" t="e">
        <f t="shared" si="44"/>
        <v>#VALUE!</v>
      </c>
      <c r="AZ159" s="326" t="str">
        <f t="shared" si="806"/>
        <v/>
      </c>
      <c r="BA159" s="332">
        <f t="shared" si="807"/>
        <v>514420.8</v>
      </c>
      <c r="BB159" s="122" t="e">
        <f t="shared" ref="BB159:BD159" si="965">AY159+AU159+AQ159</f>
        <v>#VALUE!</v>
      </c>
      <c r="BC159" s="326" t="e">
        <f t="shared" si="965"/>
        <v>#VALUE!</v>
      </c>
      <c r="BD159" s="332">
        <f t="shared" si="965"/>
        <v>1799432.69</v>
      </c>
      <c r="BE159" s="122" t="e">
        <f t="shared" si="48"/>
        <v>#VALUE!</v>
      </c>
      <c r="BF159" s="326" t="e">
        <f t="shared" ref="BF159:BG159" si="966">AL159+BC159</f>
        <v>#VALUE!</v>
      </c>
      <c r="BG159" s="435">
        <f t="shared" si="966"/>
        <v>3091182.5</v>
      </c>
      <c r="BH159" s="125">
        <f t="shared" si="810"/>
        <v>0</v>
      </c>
      <c r="BI159" s="140" t="e">
        <f t="shared" si="51"/>
        <v>#VALUE!</v>
      </c>
      <c r="BJ159" s="123" t="str">
        <f t="shared" si="811"/>
        <v/>
      </c>
      <c r="BK159" s="125">
        <f t="shared" si="812"/>
        <v>597270.77</v>
      </c>
      <c r="BL159" s="123">
        <f t="shared" si="813"/>
        <v>0</v>
      </c>
      <c r="BM159" s="140" t="e">
        <f t="shared" si="55"/>
        <v>#VALUE!</v>
      </c>
      <c r="BN159" s="326" t="str">
        <f t="shared" si="814"/>
        <v/>
      </c>
      <c r="BO159" s="332">
        <f t="shared" si="815"/>
        <v>434409.44</v>
      </c>
      <c r="BP159" s="141">
        <f t="shared" si="816"/>
        <v>0</v>
      </c>
      <c r="BQ159" s="140" t="e">
        <f t="shared" si="59"/>
        <v>#VALUE!</v>
      </c>
      <c r="BR159" s="326" t="str">
        <f t="shared" si="817"/>
        <v/>
      </c>
      <c r="BS159" s="333">
        <f t="shared" si="818"/>
        <v>640589.41</v>
      </c>
      <c r="BT159" s="113" t="e">
        <f t="shared" ref="BT159:BV159" si="967">SUM(BQ159,BM159,BI159)</f>
        <v>#VALUE!</v>
      </c>
      <c r="BU159" s="116">
        <f t="shared" si="967"/>
        <v>0</v>
      </c>
      <c r="BV159" s="117">
        <f t="shared" si="967"/>
        <v>1672269.62</v>
      </c>
      <c r="BW159" s="141">
        <f t="shared" si="820"/>
        <v>0</v>
      </c>
      <c r="BX159" s="113" t="e">
        <f t="shared" si="64"/>
        <v>#VALUE!</v>
      </c>
      <c r="BY159" s="114" t="str">
        <f t="shared" si="821"/>
        <v/>
      </c>
      <c r="BZ159" s="115">
        <f t="shared" si="822"/>
        <v>326717.78999999998</v>
      </c>
      <c r="CA159" s="123">
        <f t="shared" si="823"/>
        <v>0</v>
      </c>
      <c r="CB159" s="333">
        <f t="shared" si="824"/>
        <v>1168622.06</v>
      </c>
      <c r="CY159" s="294"/>
      <c r="DF159" s="296"/>
    </row>
    <row r="160" spans="1:110" ht="13">
      <c r="A160" s="742">
        <f t="shared" si="788"/>
        <v>112011938</v>
      </c>
      <c r="B160" s="576">
        <f t="shared" si="789"/>
        <v>0</v>
      </c>
      <c r="C160" s="743" t="str">
        <f t="shared" si="790"/>
        <v/>
      </c>
      <c r="D160" s="743" t="str">
        <f t="shared" si="791"/>
        <v/>
      </c>
      <c r="E160" s="744" t="str">
        <f t="shared" si="792"/>
        <v/>
      </c>
      <c r="F160" s="745">
        <f t="shared" si="793"/>
        <v>0</v>
      </c>
      <c r="G160" s="746" t="str">
        <f t="shared" si="794"/>
        <v/>
      </c>
      <c r="H160" s="746" t="str">
        <f t="shared" si="795"/>
        <v/>
      </c>
      <c r="I160" s="746" t="str">
        <f t="shared" si="796"/>
        <v/>
      </c>
      <c r="J160" s="547">
        <f t="shared" si="797"/>
        <v>0</v>
      </c>
      <c r="K160" s="747" t="str">
        <f t="shared" si="798"/>
        <v/>
      </c>
      <c r="L160" s="748" t="str">
        <f t="shared" si="799"/>
        <v/>
      </c>
      <c r="M160" s="749" t="s">
        <v>665</v>
      </c>
      <c r="N160" s="475"/>
      <c r="O160" s="471"/>
      <c r="P160" s="471">
        <f t="shared" si="930"/>
        <v>0</v>
      </c>
      <c r="Q160" s="471">
        <f t="shared" si="931"/>
        <v>0</v>
      </c>
      <c r="R160" s="750">
        <f t="shared" si="932"/>
        <v>0</v>
      </c>
      <c r="S160" s="471"/>
      <c r="T160" s="161"/>
      <c r="U160" s="471"/>
      <c r="V160" s="467"/>
      <c r="W160" s="164">
        <f t="shared" si="933"/>
        <v>0</v>
      </c>
      <c r="X160" s="471">
        <f t="shared" si="934"/>
        <v>0</v>
      </c>
      <c r="Y160" s="751">
        <f t="shared" si="935"/>
        <v>0</v>
      </c>
      <c r="Z160" s="274"/>
      <c r="AA160" s="161"/>
      <c r="AB160" s="471"/>
      <c r="AC160" s="471">
        <f t="shared" si="936"/>
        <v>0</v>
      </c>
      <c r="AD160" s="471">
        <f t="shared" si="937"/>
        <v>152241.29999999999</v>
      </c>
      <c r="AE160" s="471">
        <f t="shared" si="938"/>
        <v>0</v>
      </c>
      <c r="AF160" s="750">
        <f t="shared" si="939"/>
        <v>152241.29999999999</v>
      </c>
      <c r="AG160" s="471">
        <f t="shared" si="940"/>
        <v>152241.29999999999</v>
      </c>
      <c r="AH160" s="161" t="str">
        <f t="shared" si="941"/>
        <v/>
      </c>
      <c r="AI160" s="467">
        <f t="shared" si="942"/>
        <v>0</v>
      </c>
      <c r="AJ160" s="164">
        <f t="shared" si="943"/>
        <v>297503.51</v>
      </c>
      <c r="AK160" s="471">
        <f t="shared" si="944"/>
        <v>152241.29999999999</v>
      </c>
      <c r="AL160" s="471">
        <f t="shared" ref="AL160:AM160" si="968">SUM(AE160,X160,Q160)</f>
        <v>0</v>
      </c>
      <c r="AM160" s="471">
        <f t="shared" si="968"/>
        <v>152241.29999999999</v>
      </c>
      <c r="AN160" s="471">
        <f t="shared" si="946"/>
        <v>152241.29999999999</v>
      </c>
      <c r="AO160" s="466">
        <f t="shared" si="947"/>
        <v>0.51172942463771265</v>
      </c>
      <c r="AP160" s="475"/>
      <c r="AQ160" s="471">
        <f t="shared" si="36"/>
        <v>189073.23</v>
      </c>
      <c r="AR160" s="471">
        <f t="shared" si="802"/>
        <v>200880.1</v>
      </c>
      <c r="AS160" s="472">
        <f t="shared" si="803"/>
        <v>389953.33</v>
      </c>
      <c r="AT160" s="473"/>
      <c r="AU160" s="164">
        <f t="shared" si="40"/>
        <v>152398.63999999998</v>
      </c>
      <c r="AV160" s="471">
        <f t="shared" si="804"/>
        <v>31057.599999999999</v>
      </c>
      <c r="AW160" s="472">
        <f t="shared" si="805"/>
        <v>183456.24</v>
      </c>
      <c r="AX160" s="271"/>
      <c r="AY160" s="164">
        <f t="shared" si="44"/>
        <v>0</v>
      </c>
      <c r="AZ160" s="471">
        <f t="shared" si="806"/>
        <v>0</v>
      </c>
      <c r="BA160" s="467">
        <f t="shared" si="807"/>
        <v>0</v>
      </c>
      <c r="BB160" s="275">
        <f t="shared" ref="BB160:BD160" si="969">AY160+AU160+AQ160</f>
        <v>341471.87</v>
      </c>
      <c r="BC160" s="471">
        <f t="shared" si="969"/>
        <v>231937.7</v>
      </c>
      <c r="BD160" s="467">
        <f t="shared" si="969"/>
        <v>573409.57000000007</v>
      </c>
      <c r="BE160" s="275">
        <f t="shared" si="48"/>
        <v>493713.17</v>
      </c>
      <c r="BF160" s="471">
        <f t="shared" ref="BF160:BG160" si="970">AL160+BC160</f>
        <v>231937.7</v>
      </c>
      <c r="BG160" s="611">
        <f t="shared" si="970"/>
        <v>725650.87000000011</v>
      </c>
      <c r="BH160" s="271">
        <f t="shared" si="810"/>
        <v>171179.8</v>
      </c>
      <c r="BI160" s="164">
        <f t="shared" si="51"/>
        <v>0</v>
      </c>
      <c r="BJ160" s="274">
        <f t="shared" si="811"/>
        <v>0</v>
      </c>
      <c r="BK160" s="271">
        <f t="shared" si="812"/>
        <v>0</v>
      </c>
      <c r="BL160" s="274">
        <f t="shared" si="813"/>
        <v>0</v>
      </c>
      <c r="BM160" s="164">
        <f t="shared" si="55"/>
        <v>294829.45</v>
      </c>
      <c r="BN160" s="471">
        <f t="shared" si="814"/>
        <v>0</v>
      </c>
      <c r="BO160" s="467">
        <f t="shared" si="815"/>
        <v>294829.45</v>
      </c>
      <c r="BP160" s="260">
        <f t="shared" si="816"/>
        <v>0</v>
      </c>
      <c r="BQ160" s="164">
        <f t="shared" si="59"/>
        <v>0</v>
      </c>
      <c r="BR160" s="471">
        <f t="shared" si="817"/>
        <v>0</v>
      </c>
      <c r="BS160" s="472">
        <f t="shared" si="818"/>
        <v>0</v>
      </c>
      <c r="BT160" s="752">
        <f t="shared" ref="BT160:BV160" si="971">SUM(BQ160,BM160,BI160)</f>
        <v>294829.45</v>
      </c>
      <c r="BU160" s="267">
        <f t="shared" si="971"/>
        <v>0</v>
      </c>
      <c r="BV160" s="753">
        <f t="shared" si="971"/>
        <v>294829.45</v>
      </c>
      <c r="BW160" s="260">
        <f t="shared" si="820"/>
        <v>0</v>
      </c>
      <c r="BX160" s="752">
        <f t="shared" si="64"/>
        <v>0</v>
      </c>
      <c r="BY160" s="269">
        <f t="shared" si="821"/>
        <v>0</v>
      </c>
      <c r="BZ160" s="270">
        <f t="shared" si="822"/>
        <v>0</v>
      </c>
      <c r="CA160" s="274">
        <f t="shared" si="823"/>
        <v>195915.51</v>
      </c>
      <c r="CB160" s="472">
        <f t="shared" si="824"/>
        <v>101588</v>
      </c>
      <c r="CY160" s="294"/>
      <c r="DF160" s="296"/>
    </row>
    <row r="161" spans="1:119" ht="13">
      <c r="A161" s="754"/>
      <c r="B161" s="277"/>
      <c r="C161" s="579"/>
      <c r="D161" s="755"/>
      <c r="E161" s="756"/>
      <c r="F161" s="757"/>
      <c r="G161" s="756"/>
      <c r="H161" s="756"/>
      <c r="I161" s="756"/>
      <c r="J161" s="579"/>
      <c r="K161" s="755"/>
      <c r="L161" s="758"/>
      <c r="M161" s="280" t="s">
        <v>17</v>
      </c>
      <c r="N161" s="759"/>
      <c r="O161" s="760" t="e">
        <f>SUM(O2:O160)</f>
        <v>#VALUE!</v>
      </c>
      <c r="P161" s="760" t="e">
        <f t="shared" ref="P161:AN161" si="972">SUM(P2:P160,P164:P167)</f>
        <v>#VALUE!</v>
      </c>
      <c r="Q161" s="760">
        <f t="shared" si="972"/>
        <v>91569598.829999998</v>
      </c>
      <c r="R161" s="760">
        <f t="shared" si="972"/>
        <v>158182958.60999995</v>
      </c>
      <c r="S161" s="760" t="e">
        <f t="shared" si="972"/>
        <v>#VALUE!</v>
      </c>
      <c r="T161" s="761" t="e">
        <f t="shared" si="972"/>
        <v>#DIV/0!</v>
      </c>
      <c r="U161" s="760">
        <f t="shared" si="972"/>
        <v>47063421.099999994</v>
      </c>
      <c r="V161" s="762" t="e">
        <f t="shared" si="972"/>
        <v>#VALUE!</v>
      </c>
      <c r="W161" s="283" t="e">
        <f t="shared" si="972"/>
        <v>#VALUE!</v>
      </c>
      <c r="X161" s="760">
        <f t="shared" si="972"/>
        <v>69319479.800000027</v>
      </c>
      <c r="Y161" s="763">
        <f t="shared" si="972"/>
        <v>118998005.79999994</v>
      </c>
      <c r="Z161" s="281" t="e">
        <f t="shared" si="972"/>
        <v>#VALUE!</v>
      </c>
      <c r="AA161" s="761" t="e">
        <f t="shared" si="972"/>
        <v>#DIV/0!</v>
      </c>
      <c r="AB161" s="760">
        <f t="shared" si="972"/>
        <v>70292885.710000008</v>
      </c>
      <c r="AC161" s="760" t="e">
        <f t="shared" si="972"/>
        <v>#VALUE!</v>
      </c>
      <c r="AD161" s="760" t="e">
        <f t="shared" si="972"/>
        <v>#VALUE!</v>
      </c>
      <c r="AE161" s="760">
        <f t="shared" si="972"/>
        <v>67815197.440000013</v>
      </c>
      <c r="AF161" s="760">
        <f t="shared" si="972"/>
        <v>135547142.05999997</v>
      </c>
      <c r="AG161" s="760" t="e">
        <f t="shared" si="972"/>
        <v>#VALUE!</v>
      </c>
      <c r="AH161" s="761" t="e">
        <f t="shared" si="972"/>
        <v>#VALUE!</v>
      </c>
      <c r="AI161" s="762" t="e">
        <f t="shared" si="972"/>
        <v>#VALUE!</v>
      </c>
      <c r="AJ161" s="283">
        <f t="shared" si="972"/>
        <v>413678881.44999999</v>
      </c>
      <c r="AK161" s="283">
        <f t="shared" si="972"/>
        <v>184023830.4000001</v>
      </c>
      <c r="AL161" s="283">
        <f t="shared" si="972"/>
        <v>228704276.07000002</v>
      </c>
      <c r="AM161" s="283">
        <f t="shared" si="972"/>
        <v>412728106.46999991</v>
      </c>
      <c r="AN161" s="283" t="e">
        <f t="shared" si="972"/>
        <v>#VALUE!</v>
      </c>
      <c r="AO161" s="764" t="str">
        <f>IFERROR(AM161/AI161,"")</f>
        <v/>
      </c>
      <c r="AP161" s="765">
        <f t="shared" ref="AP161:BA161" si="973">SUM(AP2:AP160,AP164:AP167)</f>
        <v>53830500.210000001</v>
      </c>
      <c r="AQ161" s="283" t="e">
        <f t="shared" si="973"/>
        <v>#VALUE!</v>
      </c>
      <c r="AR161" s="283">
        <f t="shared" si="973"/>
        <v>60152969.830000006</v>
      </c>
      <c r="AS161" s="283">
        <f t="shared" si="973"/>
        <v>147254685.07000005</v>
      </c>
      <c r="AT161" s="765">
        <f t="shared" si="973"/>
        <v>57845377.349999979</v>
      </c>
      <c r="AU161" s="283" t="e">
        <f t="shared" si="973"/>
        <v>#VALUE!</v>
      </c>
      <c r="AV161" s="283">
        <f t="shared" si="973"/>
        <v>68621413.350000009</v>
      </c>
      <c r="AW161" s="283">
        <f t="shared" si="973"/>
        <v>141314158.49000004</v>
      </c>
      <c r="AX161" s="283">
        <f t="shared" si="973"/>
        <v>60194379.120000005</v>
      </c>
      <c r="AY161" s="283" t="e">
        <f t="shared" si="973"/>
        <v>#VALUE!</v>
      </c>
      <c r="AZ161" s="283">
        <f t="shared" si="973"/>
        <v>76707193.169999972</v>
      </c>
      <c r="BA161" s="483">
        <f t="shared" si="973"/>
        <v>118990904.24000001</v>
      </c>
      <c r="BB161" s="766" t="e">
        <f t="shared" ref="BB161:BD161" si="974">AY161+AU161+AQ161</f>
        <v>#VALUE!</v>
      </c>
      <c r="BC161" s="767">
        <f t="shared" si="974"/>
        <v>205481576.34999999</v>
      </c>
      <c r="BD161" s="768">
        <f t="shared" si="974"/>
        <v>407559747.80000007</v>
      </c>
      <c r="BE161" s="769" t="e">
        <f t="shared" ref="BE161:BG161" si="975">SUM(BE2:BE160,BE164:BE167)</f>
        <v>#VALUE!</v>
      </c>
      <c r="BF161" s="760" t="e">
        <f t="shared" si="975"/>
        <v>#VALUE!</v>
      </c>
      <c r="BG161" s="770">
        <f t="shared" si="975"/>
        <v>818867413.86999953</v>
      </c>
      <c r="BH161" s="771" t="str">
        <f t="shared" si="810"/>
        <v/>
      </c>
      <c r="BI161" s="292" t="e">
        <f t="shared" ref="BI161:CB161" si="976">SUM(BI2:BI160,BI164:BI175)</f>
        <v>#VALUE!</v>
      </c>
      <c r="BJ161" s="292">
        <f t="shared" si="976"/>
        <v>69734461.090000018</v>
      </c>
      <c r="BK161" s="292">
        <f t="shared" si="976"/>
        <v>119518361.01000008</v>
      </c>
      <c r="BL161" s="292" t="str">
        <f t="shared" ca="1" si="976"/>
        <v>#REF!</v>
      </c>
      <c r="BM161" s="292" t="e">
        <f t="shared" si="976"/>
        <v>#VALUE!</v>
      </c>
      <c r="BN161" s="292">
        <f t="shared" si="976"/>
        <v>76513677.109999999</v>
      </c>
      <c r="BO161" s="292">
        <f t="shared" si="976"/>
        <v>137216575.64999989</v>
      </c>
      <c r="BP161" s="292" t="str">
        <f t="shared" ca="1" si="976"/>
        <v>#REF!</v>
      </c>
      <c r="BQ161" s="292" t="e">
        <f t="shared" si="976"/>
        <v>#VALUE!</v>
      </c>
      <c r="BR161" s="292">
        <f t="shared" si="976"/>
        <v>58840592.689999998</v>
      </c>
      <c r="BS161" s="292">
        <f t="shared" si="976"/>
        <v>110280737.96000001</v>
      </c>
      <c r="BT161" s="292" t="e">
        <f t="shared" si="976"/>
        <v>#VALUE!</v>
      </c>
      <c r="BU161" s="292">
        <f t="shared" si="976"/>
        <v>205088730.8899999</v>
      </c>
      <c r="BV161" s="292">
        <f t="shared" si="976"/>
        <v>367015674.61999989</v>
      </c>
      <c r="BW161" s="292">
        <f t="shared" si="976"/>
        <v>140937885.18999997</v>
      </c>
      <c r="BX161" s="292" t="e">
        <f t="shared" si="976"/>
        <v>#VALUE!</v>
      </c>
      <c r="BY161" s="292">
        <f t="shared" si="976"/>
        <v>59093486.820000015</v>
      </c>
      <c r="BZ161" s="292">
        <f t="shared" si="976"/>
        <v>150772820.45000005</v>
      </c>
      <c r="CA161" s="292">
        <f t="shared" si="976"/>
        <v>131987124.81999998</v>
      </c>
      <c r="CB161" s="292">
        <f t="shared" si="976"/>
        <v>137849950.19000006</v>
      </c>
      <c r="CC161" s="188"/>
      <c r="CD161" s="188"/>
      <c r="CE161" s="188"/>
      <c r="CF161" s="188"/>
      <c r="CG161" s="188"/>
      <c r="CH161" s="188"/>
      <c r="CI161" s="188"/>
      <c r="CJ161" s="188"/>
      <c r="CK161" s="188"/>
      <c r="CL161" s="188"/>
      <c r="CM161" s="188"/>
      <c r="CN161" s="188"/>
      <c r="CO161" s="188"/>
      <c r="CP161" s="188"/>
      <c r="CQ161" s="188"/>
      <c r="CR161" s="188"/>
      <c r="CS161" s="188"/>
      <c r="CT161" s="188"/>
      <c r="CU161" s="188"/>
      <c r="CV161" s="188"/>
      <c r="CW161" s="188"/>
      <c r="CX161" s="188"/>
      <c r="CY161" s="572"/>
      <c r="CZ161" s="188"/>
      <c r="DA161" s="188"/>
      <c r="DB161" s="188"/>
      <c r="DC161" s="188"/>
      <c r="DD161" s="188"/>
      <c r="DE161" s="188"/>
      <c r="DF161" s="293"/>
      <c r="DG161" s="188"/>
      <c r="DH161" s="188"/>
      <c r="DI161" s="188"/>
      <c r="DJ161" s="188"/>
      <c r="DK161" s="188"/>
      <c r="DL161" s="188"/>
      <c r="DM161" s="188"/>
      <c r="DN161" s="188"/>
      <c r="DO161" s="188"/>
    </row>
    <row r="162" spans="1:119" ht="13">
      <c r="B162" s="294"/>
      <c r="F162" s="296"/>
      <c r="J162" s="302"/>
      <c r="R162" s="188"/>
      <c r="T162" s="295"/>
      <c r="Y162" s="188"/>
      <c r="AA162" s="295"/>
      <c r="AF162" s="188"/>
      <c r="AH162" s="295"/>
      <c r="AI162" s="188"/>
      <c r="AJ162" s="188"/>
      <c r="AK162" s="188"/>
      <c r="AL162" s="188"/>
      <c r="AM162" s="188"/>
      <c r="AN162" s="188"/>
      <c r="AO162" s="299"/>
      <c r="AS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 t="str">
        <f t="shared" ref="BH162:BH176" si="977">IFERROR(VLOOKUP(M162,LAGE24,9,FALSE),"")</f>
        <v/>
      </c>
      <c r="BI162" s="302"/>
      <c r="BJ162" s="188"/>
      <c r="BK162" s="188"/>
      <c r="BL162" s="188"/>
      <c r="BM162" s="188"/>
      <c r="BN162" s="293"/>
      <c r="BO162" s="293"/>
      <c r="BP162" s="188"/>
      <c r="BQ162" s="188"/>
      <c r="BR162" s="188"/>
      <c r="BS162" s="188"/>
      <c r="BT162" s="188"/>
      <c r="BU162" s="188"/>
      <c r="BV162" s="188"/>
      <c r="BW162" s="296"/>
      <c r="BX162" s="296"/>
      <c r="BY162" s="296"/>
      <c r="BZ162" s="296"/>
      <c r="CA162" s="296"/>
      <c r="CB162" s="296"/>
      <c r="CY162" s="294"/>
      <c r="DF162" s="296"/>
    </row>
    <row r="163" spans="1:119" ht="13">
      <c r="B163" s="485" t="s">
        <v>486</v>
      </c>
      <c r="C163" s="772" t="s">
        <v>666</v>
      </c>
      <c r="F163" s="296"/>
      <c r="J163" s="302"/>
      <c r="R163" s="188"/>
      <c r="T163" s="295"/>
      <c r="Y163" s="188"/>
      <c r="AA163" s="295"/>
      <c r="AF163" s="188"/>
      <c r="AH163" s="295"/>
      <c r="AI163" s="188"/>
      <c r="AJ163" s="188"/>
      <c r="AK163" s="188"/>
      <c r="AL163" s="188"/>
      <c r="AM163" s="188"/>
      <c r="AN163" s="188"/>
      <c r="AO163" s="299"/>
      <c r="AS163" s="296"/>
      <c r="AU163" s="752" t="e">
        <f t="shared" ref="AU163:AU175" si="978">AW163-AV163</f>
        <v>#VALUE!</v>
      </c>
      <c r="AV163" s="267" t="str">
        <f t="shared" ref="AV163:AV175" si="979">IFERROR(VLOOKUP(M163,LAGALIM,7,FALSE),"")</f>
        <v/>
      </c>
      <c r="AW163" s="753" t="str">
        <f t="shared" ref="AW163:AW175" si="980">IFERROR(VLOOKUP(M163,LAGEFC,7,FALSE),"0")</f>
        <v>0</v>
      </c>
      <c r="BB163" s="296"/>
      <c r="BC163" s="296"/>
      <c r="BD163" s="296"/>
      <c r="BH163" s="296" t="str">
        <f t="shared" si="977"/>
        <v/>
      </c>
      <c r="BI163" s="188"/>
      <c r="BJ163" s="188"/>
      <c r="BK163" s="188"/>
      <c r="BL163" s="188"/>
      <c r="BM163" s="188"/>
      <c r="BN163" s="293"/>
      <c r="BO163" s="293"/>
      <c r="BP163" s="188"/>
      <c r="BQ163" s="188"/>
      <c r="BR163" s="188"/>
      <c r="BS163" s="188"/>
      <c r="BT163" s="188"/>
      <c r="BU163" s="188"/>
      <c r="BV163" s="188"/>
      <c r="BW163" s="296"/>
      <c r="BX163" s="296"/>
      <c r="BY163" s="296"/>
      <c r="BZ163" s="296"/>
      <c r="CA163" s="296"/>
      <c r="CB163" s="296"/>
      <c r="CY163" s="294"/>
      <c r="DF163" s="296"/>
    </row>
    <row r="164" spans="1:119" ht="13">
      <c r="A164" s="773" t="e">
        <f t="shared" ref="A164:A173" si="981">VLOOKUP(M164,LAGECARTERA,3,FALSE)</f>
        <v>#N/A</v>
      </c>
      <c r="B164" s="309" t="e">
        <f t="shared" ref="B164:B175" si="982">VLOOKUP(M164,LAGECARTERA,2,FALSE)</f>
        <v>#N/A</v>
      </c>
      <c r="C164" s="774" t="str">
        <f t="shared" ref="C164:C175" si="983">IFERROR(VLOOKUP(B164,DES,2,FALSE),"")</f>
        <v/>
      </c>
      <c r="D164" s="774" t="str">
        <f t="shared" ref="D164:D175" si="984">IFERROR(VLOOKUP(B164,DES,3,FALSE),"")</f>
        <v/>
      </c>
      <c r="E164" s="774" t="str">
        <f t="shared" ref="E164:E175" si="985">IFERROR(VLOOKUP(B164,DES,4,FALSE),"")</f>
        <v/>
      </c>
      <c r="F164" s="775"/>
      <c r="G164" s="774"/>
      <c r="H164" s="774"/>
      <c r="I164" s="774"/>
      <c r="J164" s="622"/>
      <c r="K164" s="774"/>
      <c r="L164" s="774"/>
      <c r="M164" s="776" t="s">
        <v>450</v>
      </c>
      <c r="N164" s="492"/>
      <c r="O164" s="312"/>
      <c r="P164" s="312" t="e">
        <f t="shared" ref="P164:P175" si="986">R164-Q164</f>
        <v>#VALUE!</v>
      </c>
      <c r="Q164" s="312" t="str">
        <f t="shared" ref="Q164:Q175" si="987">IFERROR(VLOOKUP(M164,LAGALIM,3,FALSE),"")</f>
        <v/>
      </c>
      <c r="R164" s="777">
        <f t="shared" ref="R164:R175" si="988">IFERROR(VLOOKUP(M164,LAGEFC,3,FALSE),"0")</f>
        <v>0</v>
      </c>
      <c r="S164" s="312"/>
      <c r="T164" s="310"/>
      <c r="U164" s="312"/>
      <c r="V164" s="312"/>
      <c r="W164" s="312" t="e">
        <f t="shared" ref="W164:W175" si="989">Y164-X164</f>
        <v>#VALUE!</v>
      </c>
      <c r="X164" s="312" t="str">
        <f t="shared" ref="X164:X175" si="990">IFERROR(VLOOKUP(M164,LAGALIM,4,FALSE),"")</f>
        <v/>
      </c>
      <c r="Y164" s="777">
        <f t="shared" ref="Y164:Y175" si="991">IFERROR(VLOOKUP(M164,LAGEFC,4,FALSE),"0")</f>
        <v>0</v>
      </c>
      <c r="Z164" s="312"/>
      <c r="AA164" s="310"/>
      <c r="AB164" s="312"/>
      <c r="AC164" s="312">
        <f>(AB164*1.5955)*1.05</f>
        <v>0</v>
      </c>
      <c r="AD164" s="312" t="e">
        <f t="shared" ref="AD164:AD175" si="992">AF164-AE164</f>
        <v>#VALUE!</v>
      </c>
      <c r="AE164" s="312" t="str">
        <f t="shared" ref="AE164:AE175" si="993">IFERROR(VLOOKUP(M164,LAGALIM,5,FALSE),"")</f>
        <v/>
      </c>
      <c r="AF164" s="777">
        <f t="shared" ref="AF164:AF175" si="994">IFERROR(VLOOKUP(M164,LAGEFC,5,FALSE),"0")</f>
        <v>69876.37</v>
      </c>
      <c r="AG164" s="312">
        <f t="shared" ref="AG164:AG175" si="995">AF164-AC164</f>
        <v>69876.37</v>
      </c>
      <c r="AH164" s="310" t="str">
        <f>IFERROR(AF164/AC164,"")</f>
        <v/>
      </c>
      <c r="AI164" s="312">
        <f t="shared" ref="AI164:AI175" si="996">SUM(O164,V164,AC164)</f>
        <v>0</v>
      </c>
      <c r="AJ164" s="312">
        <f t="shared" ref="AJ164:AJ175" si="997">IFERROR(VLOOKUP(M164,trim2024,2,FALSE),"0")</f>
        <v>334667.2</v>
      </c>
      <c r="AK164" s="312">
        <f t="shared" ref="AK164:AK175" si="998">AM164-AL164</f>
        <v>69876.37</v>
      </c>
      <c r="AL164" s="312">
        <f t="shared" ref="AL164:AM164" si="999">SUM(AE164,X164,Q164)</f>
        <v>0</v>
      </c>
      <c r="AM164" s="312">
        <f t="shared" si="999"/>
        <v>69876.37</v>
      </c>
      <c r="AN164" s="312">
        <f t="shared" ref="AN164:AN175" si="1000">AM164-AI164</f>
        <v>69876.37</v>
      </c>
      <c r="AO164" s="310" t="str">
        <f>IFERROR(AM164/AI164,"")</f>
        <v/>
      </c>
      <c r="AP164" s="778"/>
      <c r="AQ164" s="778"/>
      <c r="AR164" s="778"/>
      <c r="AS164" s="779"/>
      <c r="AT164" s="778"/>
      <c r="AU164" s="319" t="e">
        <f t="shared" si="978"/>
        <v>#VALUE!</v>
      </c>
      <c r="AV164" s="312" t="str">
        <f t="shared" si="979"/>
        <v/>
      </c>
      <c r="AW164" s="320">
        <f t="shared" si="980"/>
        <v>0</v>
      </c>
      <c r="AX164" s="778"/>
      <c r="AY164" s="778"/>
      <c r="AZ164" s="491"/>
      <c r="BA164" s="491"/>
      <c r="BB164" s="629" t="e">
        <f t="shared" ref="BB164:BD164" si="1001">AY164+AU164+AQ164</f>
        <v>#VALUE!</v>
      </c>
      <c r="BC164" s="629" t="e">
        <f t="shared" si="1001"/>
        <v>#VALUE!</v>
      </c>
      <c r="BD164" s="629">
        <f t="shared" si="1001"/>
        <v>0</v>
      </c>
      <c r="BE164" s="491"/>
      <c r="BF164" s="491"/>
      <c r="BG164" s="491"/>
      <c r="BH164" s="312">
        <f t="shared" si="977"/>
        <v>126339.62</v>
      </c>
      <c r="BI164" s="780"/>
      <c r="BJ164" s="780"/>
      <c r="BK164" s="780"/>
      <c r="BL164" s="781" t="str">
        <f t="shared" ref="BL164:BL166" ca="1" si="1002">SUM(BL5:BL163)</f>
        <v>#REF!</v>
      </c>
      <c r="BM164" s="782"/>
      <c r="BN164" s="783"/>
      <c r="BO164" s="783"/>
      <c r="BP164" s="782" t="str">
        <f t="shared" ref="BP164:BP166" ca="1" si="1003">SUM(BP5:BP163)</f>
        <v>#REF!</v>
      </c>
      <c r="BQ164" s="782"/>
      <c r="BR164" s="782"/>
      <c r="BS164" s="782"/>
      <c r="BT164" s="782"/>
      <c r="BU164" s="782"/>
      <c r="BV164" s="782"/>
      <c r="BW164" s="321">
        <f t="shared" ref="BW164:BW175" si="1004">IFERROR(VLOOKUP(M164,LAGE24,12,FALSE),"")</f>
        <v>82682.63</v>
      </c>
      <c r="BX164" s="784" t="e">
        <f t="shared" ref="BX164:BX175" si="1005">BZ164-BY164</f>
        <v>#VALUE!</v>
      </c>
      <c r="BY164" s="784" t="str">
        <f t="shared" ref="BY164:BY175" si="1006">IFERROR(VLOOKUP(M164,LAGALIM,12,FALSE),"")</f>
        <v/>
      </c>
      <c r="BZ164" s="785">
        <f t="shared" ref="BZ164:BZ175" si="1007">IFERROR(VLOOKUP(M164,LAGEFC,12,FALSE),"0")</f>
        <v>0</v>
      </c>
      <c r="CA164" s="321">
        <f t="shared" ref="CA164:CA175" si="1008">IFERROR(VLOOKUP(M164,LAGE24,13,FALSE),"")</f>
        <v>114779.16</v>
      </c>
      <c r="CB164" s="320">
        <f t="shared" ref="CB164:CB175" si="1009">IFERROR(VLOOKUP(M164,LAGE24,14,FALSE),"")</f>
        <v>137205.41</v>
      </c>
      <c r="CY164" s="294"/>
      <c r="DF164" s="296"/>
    </row>
    <row r="165" spans="1:119" ht="13">
      <c r="A165" s="92" t="e">
        <f t="shared" si="981"/>
        <v>#N/A</v>
      </c>
      <c r="B165" s="565" t="e">
        <f t="shared" si="982"/>
        <v>#N/A</v>
      </c>
      <c r="C165" s="786" t="str">
        <f t="shared" si="983"/>
        <v/>
      </c>
      <c r="D165" s="558" t="str">
        <f t="shared" si="984"/>
        <v/>
      </c>
      <c r="E165" s="558" t="str">
        <f t="shared" si="985"/>
        <v/>
      </c>
      <c r="F165" s="787"/>
      <c r="G165" s="715"/>
      <c r="H165" s="715"/>
      <c r="I165" s="715"/>
      <c r="J165" s="788"/>
      <c r="K165" s="715"/>
      <c r="L165" s="715"/>
      <c r="M165" s="789" t="s">
        <v>667</v>
      </c>
      <c r="N165" s="423">
        <f>IFERROR(VLOOKUP(M165,LAGE24,3,FALSE),"")</f>
        <v>0</v>
      </c>
      <c r="O165" s="599">
        <v>1500000</v>
      </c>
      <c r="P165" s="326">
        <f t="shared" si="986"/>
        <v>28478.01999999999</v>
      </c>
      <c r="Q165" s="326">
        <f t="shared" si="987"/>
        <v>146361.14000000001</v>
      </c>
      <c r="R165" s="716">
        <f t="shared" si="988"/>
        <v>174839.16</v>
      </c>
      <c r="S165" s="326">
        <f>R165-O165</f>
        <v>-1325160.8400000001</v>
      </c>
      <c r="T165" s="137">
        <f>R165/O165</f>
        <v>0.11655944</v>
      </c>
      <c r="U165" s="326">
        <f>IFERROR(VLOOKUP(M165,LAGE24,4,FALSE),"")</f>
        <v>0</v>
      </c>
      <c r="V165" s="461">
        <v>1500000</v>
      </c>
      <c r="W165" s="140">
        <f t="shared" si="989"/>
        <v>47538.61</v>
      </c>
      <c r="X165" s="326">
        <f t="shared" si="990"/>
        <v>97749.08</v>
      </c>
      <c r="Y165" s="717">
        <f t="shared" si="991"/>
        <v>145287.69</v>
      </c>
      <c r="Z165" s="123">
        <f>Y165-V165</f>
        <v>-1354712.31</v>
      </c>
      <c r="AA165" s="137">
        <f>Y165/V165</f>
        <v>9.6858460000000007E-2</v>
      </c>
      <c r="AB165" s="326">
        <f>IFERROR(VLOOKUP(M165,LAGE24,5,FALSE),"")</f>
        <v>0</v>
      </c>
      <c r="AC165" s="599">
        <v>1500000</v>
      </c>
      <c r="AD165" s="326">
        <f t="shared" si="992"/>
        <v>59922.479999999996</v>
      </c>
      <c r="AE165" s="326">
        <f t="shared" si="993"/>
        <v>122075.83</v>
      </c>
      <c r="AF165" s="716">
        <f t="shared" si="994"/>
        <v>181998.31</v>
      </c>
      <c r="AG165" s="326">
        <f t="shared" si="995"/>
        <v>-1318001.69</v>
      </c>
      <c r="AH165" s="137">
        <f t="shared" ref="AH165:AH166" si="1010">AF165/AC165</f>
        <v>0.12133220666666666</v>
      </c>
      <c r="AI165" s="332">
        <f t="shared" si="996"/>
        <v>4500000</v>
      </c>
      <c r="AJ165" s="140">
        <f t="shared" si="997"/>
        <v>614793.38</v>
      </c>
      <c r="AK165" s="326">
        <f t="shared" si="998"/>
        <v>135939.10999999999</v>
      </c>
      <c r="AL165" s="326">
        <f t="shared" ref="AL165:AM165" si="1011">SUM(AE165,X165,Q165)</f>
        <v>366186.05000000005</v>
      </c>
      <c r="AM165" s="326">
        <f t="shared" si="1011"/>
        <v>502125.16000000003</v>
      </c>
      <c r="AN165" s="326">
        <f t="shared" si="1000"/>
        <v>-3997874.84</v>
      </c>
      <c r="AO165" s="98">
        <f t="shared" ref="AO165:AO166" si="1012">AM165/AI165</f>
        <v>0.1115833688888889</v>
      </c>
      <c r="AP165" s="423">
        <f>IFERROR(VLOOKUP(M165,LAGE24,6,FALSE),"")</f>
        <v>0</v>
      </c>
      <c r="AQ165" s="326">
        <f t="shared" ref="AQ165:AQ175" si="1013">AS165-AR165</f>
        <v>0</v>
      </c>
      <c r="AR165" s="326">
        <f t="shared" ref="AR165:AR175" si="1014">IFERROR(VLOOKUP(M165,LAGALIM,6,FALSE),"")</f>
        <v>0</v>
      </c>
      <c r="AS165" s="333">
        <f t="shared" ref="AS165:AS175" si="1015">IFERROR(VLOOKUP(M165,LAGEFC,6,FALSE),"0")</f>
        <v>0</v>
      </c>
      <c r="AT165" s="434">
        <f>IFERROR(VLOOKUP(M165,LAGE24,7,FALSE),"")</f>
        <v>0</v>
      </c>
      <c r="AU165" s="140">
        <f t="shared" si="978"/>
        <v>0</v>
      </c>
      <c r="AV165" s="326">
        <f t="shared" si="979"/>
        <v>0</v>
      </c>
      <c r="AW165" s="333">
        <f t="shared" si="980"/>
        <v>0</v>
      </c>
      <c r="AX165" s="325">
        <f>IFERROR(VLOOKUP(M165,LAGE24,8,FALSE),"")</f>
        <v>0</v>
      </c>
      <c r="AY165" s="422">
        <f t="shared" ref="AY165:AY174" si="1016">BA165-AZ165</f>
        <v>0</v>
      </c>
      <c r="AZ165" s="325">
        <f t="shared" ref="AZ165:AZ174" si="1017">IFERROR(VLOOKUP(M165,LAGALIM,8,FALSE),"")</f>
        <v>0</v>
      </c>
      <c r="BA165" s="325">
        <f t="shared" ref="BA165:BA174" si="1018">IFERROR(VLOOKUP(M165,LAGEFC,8,FALSE),"0")</f>
        <v>0</v>
      </c>
      <c r="BB165" s="125">
        <f t="shared" ref="BB165:BD165" si="1019">AY165+AU165+AQ165</f>
        <v>0</v>
      </c>
      <c r="BC165" s="125">
        <f t="shared" si="1019"/>
        <v>0</v>
      </c>
      <c r="BD165" s="125">
        <f t="shared" si="1019"/>
        <v>0</v>
      </c>
      <c r="BE165" s="325"/>
      <c r="BF165" s="325"/>
      <c r="BG165" s="325"/>
      <c r="BH165" s="326">
        <f t="shared" si="977"/>
        <v>0</v>
      </c>
      <c r="BI165" s="790"/>
      <c r="BJ165" s="790"/>
      <c r="BK165" s="790"/>
      <c r="BL165" s="791" t="str">
        <f t="shared" ca="1" si="1002"/>
        <v>#REF!</v>
      </c>
      <c r="BM165" s="792"/>
      <c r="BN165" s="793"/>
      <c r="BO165" s="793"/>
      <c r="BP165" s="792" t="str">
        <f t="shared" ca="1" si="1003"/>
        <v>#REF!</v>
      </c>
      <c r="BQ165" s="792"/>
      <c r="BR165" s="792"/>
      <c r="BS165" s="792"/>
      <c r="BT165" s="792"/>
      <c r="BU165" s="792"/>
      <c r="BV165" s="792"/>
      <c r="BW165" s="123">
        <f t="shared" si="1004"/>
        <v>183878.38</v>
      </c>
      <c r="BX165" s="794">
        <f t="shared" si="1005"/>
        <v>0</v>
      </c>
      <c r="BY165" s="794">
        <f t="shared" si="1006"/>
        <v>0</v>
      </c>
      <c r="BZ165" s="795">
        <f t="shared" si="1007"/>
        <v>0</v>
      </c>
      <c r="CA165" s="123">
        <f t="shared" si="1008"/>
        <v>61176.2</v>
      </c>
      <c r="CB165" s="333">
        <f t="shared" si="1009"/>
        <v>369738.8</v>
      </c>
      <c r="CY165" s="294"/>
      <c r="DF165" s="296"/>
    </row>
    <row r="166" spans="1:119" ht="13">
      <c r="A166" s="92" t="e">
        <f t="shared" si="981"/>
        <v>#N/A</v>
      </c>
      <c r="B166" s="565" t="e">
        <f t="shared" si="982"/>
        <v>#N/A</v>
      </c>
      <c r="C166" s="786" t="str">
        <f t="shared" si="983"/>
        <v/>
      </c>
      <c r="D166" s="558" t="str">
        <f t="shared" si="984"/>
        <v/>
      </c>
      <c r="E166" s="558" t="str">
        <f t="shared" si="985"/>
        <v/>
      </c>
      <c r="F166" s="787"/>
      <c r="G166" s="715"/>
      <c r="H166" s="715"/>
      <c r="I166" s="715"/>
      <c r="J166" s="788"/>
      <c r="K166" s="715"/>
      <c r="L166" s="715"/>
      <c r="M166" s="796" t="s">
        <v>668</v>
      </c>
      <c r="N166" s="423"/>
      <c r="O166" s="326"/>
      <c r="P166" s="326">
        <f t="shared" si="986"/>
        <v>0</v>
      </c>
      <c r="Q166" s="326">
        <f t="shared" si="987"/>
        <v>0</v>
      </c>
      <c r="R166" s="716">
        <f t="shared" si="988"/>
        <v>0</v>
      </c>
      <c r="S166" s="326"/>
      <c r="T166" s="137"/>
      <c r="U166" s="326"/>
      <c r="V166" s="332"/>
      <c r="W166" s="140">
        <f t="shared" si="989"/>
        <v>0</v>
      </c>
      <c r="X166" s="326">
        <f t="shared" si="990"/>
        <v>0</v>
      </c>
      <c r="Y166" s="717">
        <f t="shared" si="991"/>
        <v>0</v>
      </c>
      <c r="Z166" s="123"/>
      <c r="AA166" s="137"/>
      <c r="AB166" s="326"/>
      <c r="AC166" s="326">
        <v>1800000</v>
      </c>
      <c r="AD166" s="326">
        <f t="shared" si="992"/>
        <v>410928.52999999997</v>
      </c>
      <c r="AE166" s="326">
        <f t="shared" si="993"/>
        <v>95211.21</v>
      </c>
      <c r="AF166" s="716">
        <f t="shared" si="994"/>
        <v>506139.74</v>
      </c>
      <c r="AG166" s="326">
        <f t="shared" si="995"/>
        <v>-1293860.26</v>
      </c>
      <c r="AH166" s="137">
        <f t="shared" si="1010"/>
        <v>0.28118874444444442</v>
      </c>
      <c r="AI166" s="332">
        <f t="shared" si="996"/>
        <v>1800000</v>
      </c>
      <c r="AJ166" s="140">
        <f t="shared" si="997"/>
        <v>1577968.36</v>
      </c>
      <c r="AK166" s="326">
        <f t="shared" si="998"/>
        <v>410928.52999999997</v>
      </c>
      <c r="AL166" s="326">
        <f t="shared" ref="AL166:AM166" si="1020">SUM(AE166,X166,Q166)</f>
        <v>95211.21</v>
      </c>
      <c r="AM166" s="326">
        <f t="shared" si="1020"/>
        <v>506139.74</v>
      </c>
      <c r="AN166" s="326">
        <f t="shared" si="1000"/>
        <v>-1293860.26</v>
      </c>
      <c r="AO166" s="98">
        <f t="shared" si="1012"/>
        <v>0.28118874444444442</v>
      </c>
      <c r="AP166" s="423"/>
      <c r="AQ166" s="326">
        <f t="shared" si="1013"/>
        <v>150284.23000000001</v>
      </c>
      <c r="AR166" s="325">
        <f t="shared" si="1014"/>
        <v>99974.09</v>
      </c>
      <c r="AS166" s="333">
        <f t="shared" si="1015"/>
        <v>250258.32</v>
      </c>
      <c r="AT166" s="434"/>
      <c r="AU166" s="140">
        <f t="shared" si="978"/>
        <v>-12545.169999999998</v>
      </c>
      <c r="AV166" s="326">
        <f t="shared" si="979"/>
        <v>41806.78</v>
      </c>
      <c r="AW166" s="333">
        <f t="shared" si="980"/>
        <v>29261.61</v>
      </c>
      <c r="AX166" s="325"/>
      <c r="AY166" s="422">
        <f t="shared" si="1016"/>
        <v>0</v>
      </c>
      <c r="AZ166" s="325">
        <f t="shared" si="1017"/>
        <v>0</v>
      </c>
      <c r="BA166" s="325">
        <f t="shared" si="1018"/>
        <v>0</v>
      </c>
      <c r="BB166" s="125">
        <f t="shared" ref="BB166:BD166" si="1021">AY166+AU166+AQ166</f>
        <v>137739.06</v>
      </c>
      <c r="BC166" s="125">
        <f t="shared" si="1021"/>
        <v>141780.87</v>
      </c>
      <c r="BD166" s="125">
        <f t="shared" si="1021"/>
        <v>279519.93</v>
      </c>
      <c r="BE166" s="325"/>
      <c r="BF166" s="325"/>
      <c r="BG166" s="325"/>
      <c r="BH166" s="326">
        <f t="shared" si="977"/>
        <v>476391.26</v>
      </c>
      <c r="BI166" s="790"/>
      <c r="BJ166" s="790"/>
      <c r="BK166" s="790"/>
      <c r="BL166" s="797" t="str">
        <f t="shared" ca="1" si="1002"/>
        <v>#REF!</v>
      </c>
      <c r="BM166" s="792"/>
      <c r="BN166" s="793"/>
      <c r="BO166" s="793"/>
      <c r="BP166" s="792" t="str">
        <f t="shared" ca="1" si="1003"/>
        <v>#REF!</v>
      </c>
      <c r="BQ166" s="792"/>
      <c r="BR166" s="792"/>
      <c r="BS166" s="792"/>
      <c r="BT166" s="792"/>
      <c r="BU166" s="792"/>
      <c r="BV166" s="792"/>
      <c r="BW166" s="123">
        <f t="shared" si="1004"/>
        <v>1028051.74</v>
      </c>
      <c r="BX166" s="794">
        <f t="shared" si="1005"/>
        <v>0</v>
      </c>
      <c r="BY166" s="794">
        <f t="shared" si="1006"/>
        <v>0</v>
      </c>
      <c r="BZ166" s="795">
        <f t="shared" si="1007"/>
        <v>0</v>
      </c>
      <c r="CA166" s="123">
        <f t="shared" si="1008"/>
        <v>330989.90000000002</v>
      </c>
      <c r="CB166" s="333">
        <f t="shared" si="1009"/>
        <v>218926.72</v>
      </c>
      <c r="CY166" s="294"/>
      <c r="DF166" s="296"/>
    </row>
    <row r="167" spans="1:119" ht="13">
      <c r="A167" s="422" t="e">
        <f t="shared" si="981"/>
        <v>#N/A</v>
      </c>
      <c r="B167" s="324" t="e">
        <f t="shared" si="982"/>
        <v>#N/A</v>
      </c>
      <c r="C167" s="558" t="str">
        <f t="shared" si="983"/>
        <v/>
      </c>
      <c r="D167" s="558" t="str">
        <f t="shared" si="984"/>
        <v/>
      </c>
      <c r="E167" s="558" t="str">
        <f t="shared" si="985"/>
        <v/>
      </c>
      <c r="F167" s="798"/>
      <c r="G167" s="558"/>
      <c r="H167" s="558"/>
      <c r="I167" s="558"/>
      <c r="J167" s="637"/>
      <c r="K167" s="558"/>
      <c r="L167" s="558"/>
      <c r="M167" s="796" t="s">
        <v>669</v>
      </c>
      <c r="N167" s="423"/>
      <c r="O167" s="326"/>
      <c r="P167" s="326" t="e">
        <f t="shared" si="986"/>
        <v>#VALUE!</v>
      </c>
      <c r="Q167" s="326" t="str">
        <f t="shared" si="987"/>
        <v/>
      </c>
      <c r="R167" s="716">
        <f t="shared" si="988"/>
        <v>0</v>
      </c>
      <c r="S167" s="326"/>
      <c r="T167" s="137"/>
      <c r="U167" s="326"/>
      <c r="V167" s="326"/>
      <c r="W167" s="326" t="e">
        <f t="shared" si="989"/>
        <v>#VALUE!</v>
      </c>
      <c r="X167" s="326" t="str">
        <f t="shared" si="990"/>
        <v/>
      </c>
      <c r="Y167" s="716">
        <f t="shared" si="991"/>
        <v>0</v>
      </c>
      <c r="Z167" s="326"/>
      <c r="AA167" s="137"/>
      <c r="AB167" s="326"/>
      <c r="AC167" s="326">
        <f t="shared" ref="AC167:AC168" si="1022">(AB167*1.5955)*1.05</f>
        <v>0</v>
      </c>
      <c r="AD167" s="326" t="e">
        <f t="shared" si="992"/>
        <v>#VALUE!</v>
      </c>
      <c r="AE167" s="326" t="str">
        <f t="shared" si="993"/>
        <v/>
      </c>
      <c r="AF167" s="716">
        <f t="shared" si="994"/>
        <v>62779.199999999997</v>
      </c>
      <c r="AG167" s="326">
        <f t="shared" si="995"/>
        <v>62779.199999999997</v>
      </c>
      <c r="AH167" s="137" t="str">
        <f t="shared" ref="AH167:AH168" si="1023">IFERROR(AF167/AC167,"")</f>
        <v/>
      </c>
      <c r="AI167" s="326">
        <f t="shared" si="996"/>
        <v>0</v>
      </c>
      <c r="AJ167" s="326">
        <f t="shared" si="997"/>
        <v>794281.73</v>
      </c>
      <c r="AK167" s="326">
        <f t="shared" si="998"/>
        <v>62779.199999999997</v>
      </c>
      <c r="AL167" s="326">
        <f t="shared" ref="AL167:AM167" si="1024">SUM(AE167,X167,Q167)</f>
        <v>0</v>
      </c>
      <c r="AM167" s="326">
        <f t="shared" si="1024"/>
        <v>62779.199999999997</v>
      </c>
      <c r="AN167" s="326">
        <f t="shared" si="1000"/>
        <v>62779.199999999997</v>
      </c>
      <c r="AO167" s="137" t="str">
        <f>IFERROR(AM167/AI167,"")</f>
        <v/>
      </c>
      <c r="AQ167" s="326" t="e">
        <f t="shared" si="1013"/>
        <v>#VALUE!</v>
      </c>
      <c r="AR167" s="325" t="str">
        <f t="shared" si="1014"/>
        <v/>
      </c>
      <c r="AS167" s="333">
        <f t="shared" si="1015"/>
        <v>0</v>
      </c>
      <c r="AU167" s="140" t="e">
        <f t="shared" si="978"/>
        <v>#VALUE!</v>
      </c>
      <c r="AV167" s="326" t="str">
        <f t="shared" si="979"/>
        <v/>
      </c>
      <c r="AW167" s="333">
        <f t="shared" si="980"/>
        <v>0</v>
      </c>
      <c r="AY167" s="422" t="e">
        <f t="shared" si="1016"/>
        <v>#VALUE!</v>
      </c>
      <c r="AZ167" s="325" t="str">
        <f t="shared" si="1017"/>
        <v/>
      </c>
      <c r="BA167" s="325">
        <f t="shared" si="1018"/>
        <v>0</v>
      </c>
      <c r="BB167" s="125" t="e">
        <f t="shared" ref="BB167:BD167" si="1025">AY167+AU167+AQ167</f>
        <v>#VALUE!</v>
      </c>
      <c r="BC167" s="125" t="e">
        <f t="shared" si="1025"/>
        <v>#VALUE!</v>
      </c>
      <c r="BD167" s="125">
        <f t="shared" si="1025"/>
        <v>0</v>
      </c>
      <c r="BE167" s="325"/>
      <c r="BF167" s="325"/>
      <c r="BG167" s="325"/>
      <c r="BH167" s="326" t="str">
        <f t="shared" si="977"/>
        <v/>
      </c>
      <c r="BI167" s="325"/>
      <c r="BJ167" s="325"/>
      <c r="BK167" s="325"/>
      <c r="BM167" s="799"/>
      <c r="BN167" s="716"/>
      <c r="BO167" s="716"/>
      <c r="BP167" s="799"/>
      <c r="BQ167" s="799"/>
      <c r="BR167" s="799"/>
      <c r="BS167" s="799"/>
      <c r="BT167" s="799"/>
      <c r="BU167" s="799"/>
      <c r="BV167" s="799"/>
      <c r="BW167" s="123" t="str">
        <f t="shared" si="1004"/>
        <v/>
      </c>
      <c r="BX167" s="794" t="e">
        <f t="shared" si="1005"/>
        <v>#VALUE!</v>
      </c>
      <c r="BY167" s="794" t="str">
        <f t="shared" si="1006"/>
        <v/>
      </c>
      <c r="BZ167" s="795">
        <f t="shared" si="1007"/>
        <v>0</v>
      </c>
      <c r="CA167" s="123" t="str">
        <f t="shared" si="1008"/>
        <v/>
      </c>
      <c r="CB167" s="333" t="str">
        <f t="shared" si="1009"/>
        <v/>
      </c>
      <c r="CY167" s="294"/>
      <c r="DF167" s="296"/>
    </row>
    <row r="168" spans="1:119" ht="13">
      <c r="A168" s="92" t="e">
        <f t="shared" si="981"/>
        <v>#N/A</v>
      </c>
      <c r="B168" s="324" t="e">
        <f t="shared" si="982"/>
        <v>#N/A</v>
      </c>
      <c r="C168" s="558" t="str">
        <f t="shared" si="983"/>
        <v/>
      </c>
      <c r="D168" s="558" t="str">
        <f t="shared" si="984"/>
        <v/>
      </c>
      <c r="E168" s="558" t="str">
        <f t="shared" si="985"/>
        <v/>
      </c>
      <c r="F168" s="798"/>
      <c r="G168" s="558"/>
      <c r="H168" s="558"/>
      <c r="I168" s="558"/>
      <c r="J168" s="637"/>
      <c r="K168" s="558"/>
      <c r="L168" s="558"/>
      <c r="M168" s="796" t="s">
        <v>670</v>
      </c>
      <c r="N168" s="423">
        <f t="shared" ref="N168:N175" si="1026">IFERROR(VLOOKUP(M168,LAGE24,3,FALSE),"")</f>
        <v>1953873.89</v>
      </c>
      <c r="O168" s="326">
        <f>(N168*1.601)*1.05</f>
        <v>3284559.7027845001</v>
      </c>
      <c r="P168" s="326" t="e">
        <f t="shared" si="986"/>
        <v>#VALUE!</v>
      </c>
      <c r="Q168" s="326" t="str">
        <f t="shared" si="987"/>
        <v/>
      </c>
      <c r="R168" s="716">
        <f t="shared" si="988"/>
        <v>0</v>
      </c>
      <c r="S168" s="326">
        <f t="shared" ref="S168:S175" si="1027">R168-O168</f>
        <v>-3284559.7027845001</v>
      </c>
      <c r="T168" s="137">
        <f>IFERROR(R168/O168,"")</f>
        <v>0</v>
      </c>
      <c r="U168" s="326">
        <f t="shared" ref="U168:U175" si="1028">IFERROR(VLOOKUP(M168,LAGE24,4,FALSE),"")</f>
        <v>561267.19999999995</v>
      </c>
      <c r="V168" s="326">
        <f>(U168*1.7245)*1.03</f>
        <v>996942.44499199989</v>
      </c>
      <c r="W168" s="326" t="e">
        <f t="shared" si="989"/>
        <v>#VALUE!</v>
      </c>
      <c r="X168" s="326" t="str">
        <f t="shared" si="990"/>
        <v/>
      </c>
      <c r="Y168" s="716">
        <f t="shared" si="991"/>
        <v>0</v>
      </c>
      <c r="Z168" s="326">
        <f t="shared" ref="Z168:Z175" si="1029">Y168-V168</f>
        <v>-996942.44499199989</v>
      </c>
      <c r="AA168" s="137">
        <f>IFERROR(Y168/V168,"")</f>
        <v>0</v>
      </c>
      <c r="AB168" s="326">
        <f>IFERROR(VLOOKUP(M168,LAGE24,5,FALSE),"")</f>
        <v>2195825.3199999998</v>
      </c>
      <c r="AC168" s="326">
        <f t="shared" si="1022"/>
        <v>3678611.2629629998</v>
      </c>
      <c r="AD168" s="326" t="e">
        <f t="shared" si="992"/>
        <v>#VALUE!</v>
      </c>
      <c r="AE168" s="326" t="str">
        <f t="shared" si="993"/>
        <v/>
      </c>
      <c r="AF168" s="716">
        <f t="shared" si="994"/>
        <v>0</v>
      </c>
      <c r="AG168" s="326">
        <f t="shared" si="995"/>
        <v>-3678611.2629629998</v>
      </c>
      <c r="AH168" s="137">
        <f t="shared" si="1023"/>
        <v>0</v>
      </c>
      <c r="AI168" s="326">
        <f t="shared" si="996"/>
        <v>7960113.4107395001</v>
      </c>
      <c r="AJ168" s="326" t="str">
        <f t="shared" si="997"/>
        <v>0</v>
      </c>
      <c r="AK168" s="326">
        <f t="shared" si="998"/>
        <v>0</v>
      </c>
      <c r="AL168" s="326">
        <f t="shared" ref="AL168:AM168" si="1030">SUM(AE168,X168,Q168)</f>
        <v>0</v>
      </c>
      <c r="AM168" s="326">
        <f t="shared" si="1030"/>
        <v>0</v>
      </c>
      <c r="AN168" s="326">
        <f t="shared" si="1000"/>
        <v>-7960113.4107395001</v>
      </c>
      <c r="AO168" s="137">
        <f t="shared" ref="AO168:AO169" si="1031">AM168/AI168</f>
        <v>0</v>
      </c>
      <c r="AP168" s="302">
        <f t="shared" ref="AP168:AP175" si="1032">IFERROR(VLOOKUP(M168,LAGE24,6,FALSE),"")</f>
        <v>1524050.8</v>
      </c>
      <c r="AQ168" s="326" t="e">
        <f t="shared" si="1013"/>
        <v>#VALUE!</v>
      </c>
      <c r="AR168" s="325" t="str">
        <f t="shared" si="1014"/>
        <v/>
      </c>
      <c r="AS168" s="333">
        <f t="shared" si="1015"/>
        <v>0</v>
      </c>
      <c r="AT168" s="302">
        <f t="shared" ref="AT168:AT175" si="1033">IFERROR(VLOOKUP(M168,LAGE24,7,FALSE),"")</f>
        <v>3922530.73</v>
      </c>
      <c r="AU168" s="140" t="e">
        <f t="shared" si="978"/>
        <v>#VALUE!</v>
      </c>
      <c r="AV168" s="326" t="str">
        <f t="shared" si="979"/>
        <v/>
      </c>
      <c r="AW168" s="333">
        <f t="shared" si="980"/>
        <v>0</v>
      </c>
      <c r="AX168" s="302">
        <f t="shared" ref="AX168:AX175" si="1034">IFERROR(VLOOKUP(M168,LAGE24,8,FALSE),"")</f>
        <v>0</v>
      </c>
      <c r="AY168" s="422" t="e">
        <f t="shared" si="1016"/>
        <v>#VALUE!</v>
      </c>
      <c r="AZ168" s="325" t="str">
        <f t="shared" si="1017"/>
        <v/>
      </c>
      <c r="BA168" s="325">
        <f t="shared" si="1018"/>
        <v>0</v>
      </c>
      <c r="BB168" s="125" t="e">
        <f t="shared" ref="BB168:BD168" si="1035">AY168+AU168+AQ168</f>
        <v>#VALUE!</v>
      </c>
      <c r="BC168" s="125" t="e">
        <f t="shared" si="1035"/>
        <v>#VALUE!</v>
      </c>
      <c r="BD168" s="125">
        <f t="shared" si="1035"/>
        <v>0</v>
      </c>
      <c r="BE168" s="325"/>
      <c r="BF168" s="325"/>
      <c r="BG168" s="325"/>
      <c r="BH168" s="326">
        <f t="shared" si="977"/>
        <v>0</v>
      </c>
      <c r="BI168" s="325"/>
      <c r="BJ168" s="325"/>
      <c r="BK168" s="325"/>
      <c r="BL168" s="302">
        <f t="shared" ref="BL168:BL175" si="1036">IFERROR(VLOOKUP(M168,LAGE24,10,FALSE),"")</f>
        <v>0</v>
      </c>
      <c r="BM168" s="799"/>
      <c r="BN168" s="716"/>
      <c r="BO168" s="716"/>
      <c r="BP168" s="799">
        <f t="shared" ref="BP168:BP175" si="1037">IFERROR(VLOOKUP(M168,LAGE24,11,FALSE),"")</f>
        <v>0</v>
      </c>
      <c r="BQ168" s="799"/>
      <c r="BR168" s="799"/>
      <c r="BS168" s="799"/>
      <c r="BT168" s="799"/>
      <c r="BU168" s="799"/>
      <c r="BV168" s="799"/>
      <c r="BW168" s="123">
        <f t="shared" si="1004"/>
        <v>0</v>
      </c>
      <c r="BX168" s="794" t="e">
        <f t="shared" si="1005"/>
        <v>#VALUE!</v>
      </c>
      <c r="BY168" s="794" t="str">
        <f t="shared" si="1006"/>
        <v/>
      </c>
      <c r="BZ168" s="795">
        <f t="shared" si="1007"/>
        <v>0</v>
      </c>
      <c r="CA168" s="123">
        <f t="shared" si="1008"/>
        <v>0</v>
      </c>
      <c r="CB168" s="333">
        <f t="shared" si="1009"/>
        <v>0</v>
      </c>
      <c r="CY168" s="294"/>
      <c r="DF168" s="296"/>
    </row>
    <row r="169" spans="1:119" ht="13">
      <c r="A169" s="92" t="e">
        <f t="shared" si="981"/>
        <v>#N/A</v>
      </c>
      <c r="B169" s="324" t="e">
        <f t="shared" si="982"/>
        <v>#N/A</v>
      </c>
      <c r="C169" s="558" t="str">
        <f t="shared" si="983"/>
        <v/>
      </c>
      <c r="D169" s="558" t="str">
        <f t="shared" si="984"/>
        <v/>
      </c>
      <c r="E169" s="558" t="str">
        <f t="shared" si="985"/>
        <v/>
      </c>
      <c r="F169" s="798"/>
      <c r="G169" s="558"/>
      <c r="H169" s="558"/>
      <c r="I169" s="558"/>
      <c r="J169" s="637"/>
      <c r="K169" s="558"/>
      <c r="L169" s="558"/>
      <c r="M169" s="796" t="s">
        <v>671</v>
      </c>
      <c r="N169" s="423">
        <f t="shared" si="1026"/>
        <v>753872.64</v>
      </c>
      <c r="O169" s="561">
        <v>3000000</v>
      </c>
      <c r="P169" s="326" t="e">
        <f t="shared" si="986"/>
        <v>#VALUE!</v>
      </c>
      <c r="Q169" s="326" t="str">
        <f t="shared" si="987"/>
        <v/>
      </c>
      <c r="R169" s="716" t="str">
        <f t="shared" si="988"/>
        <v>0</v>
      </c>
      <c r="S169" s="326">
        <f t="shared" si="1027"/>
        <v>-3000000</v>
      </c>
      <c r="T169" s="137">
        <f>R169/O169</f>
        <v>0</v>
      </c>
      <c r="U169" s="326">
        <f t="shared" si="1028"/>
        <v>244919.48</v>
      </c>
      <c r="V169" s="561">
        <v>3000000</v>
      </c>
      <c r="W169" s="326" t="e">
        <f t="shared" si="989"/>
        <v>#VALUE!</v>
      </c>
      <c r="X169" s="326" t="str">
        <f t="shared" si="990"/>
        <v/>
      </c>
      <c r="Y169" s="716" t="str">
        <f t="shared" si="991"/>
        <v>0</v>
      </c>
      <c r="Z169" s="326">
        <f t="shared" si="1029"/>
        <v>-3000000</v>
      </c>
      <c r="AA169" s="137">
        <f>Y169/V169</f>
        <v>0</v>
      </c>
      <c r="AB169" s="326">
        <f>IFERROR(VLOOKUP(M169,LAGE24,5,FALSE),"")</f>
        <v>0</v>
      </c>
      <c r="AC169" s="561">
        <v>3000000</v>
      </c>
      <c r="AD169" s="326" t="e">
        <f t="shared" si="992"/>
        <v>#VALUE!</v>
      </c>
      <c r="AE169" s="326" t="str">
        <f t="shared" si="993"/>
        <v/>
      </c>
      <c r="AF169" s="716" t="str">
        <f t="shared" si="994"/>
        <v>0</v>
      </c>
      <c r="AG169" s="326">
        <f t="shared" si="995"/>
        <v>-3000000</v>
      </c>
      <c r="AH169" s="137">
        <f>AF169/AC169</f>
        <v>0</v>
      </c>
      <c r="AI169" s="326">
        <f t="shared" si="996"/>
        <v>9000000</v>
      </c>
      <c r="AJ169" s="326" t="str">
        <f t="shared" si="997"/>
        <v>0</v>
      </c>
      <c r="AK169" s="326">
        <f t="shared" si="998"/>
        <v>0</v>
      </c>
      <c r="AL169" s="326">
        <f t="shared" ref="AL169:AM169" si="1038">SUM(AE169,X169,Q169)</f>
        <v>0</v>
      </c>
      <c r="AM169" s="326">
        <f t="shared" si="1038"/>
        <v>0</v>
      </c>
      <c r="AN169" s="326">
        <f t="shared" si="1000"/>
        <v>-9000000</v>
      </c>
      <c r="AO169" s="137">
        <f t="shared" si="1031"/>
        <v>0</v>
      </c>
      <c r="AP169" s="302">
        <f t="shared" si="1032"/>
        <v>0</v>
      </c>
      <c r="AQ169" s="326" t="e">
        <f t="shared" si="1013"/>
        <v>#VALUE!</v>
      </c>
      <c r="AR169" s="325" t="str">
        <f t="shared" si="1014"/>
        <v/>
      </c>
      <c r="AS169" s="333" t="str">
        <f t="shared" si="1015"/>
        <v>0</v>
      </c>
      <c r="AT169" s="302">
        <f t="shared" si="1033"/>
        <v>0</v>
      </c>
      <c r="AU169" s="140" t="e">
        <f t="shared" si="978"/>
        <v>#VALUE!</v>
      </c>
      <c r="AV169" s="326" t="str">
        <f t="shared" si="979"/>
        <v/>
      </c>
      <c r="AW169" s="333" t="str">
        <f t="shared" si="980"/>
        <v>0</v>
      </c>
      <c r="AX169" s="302">
        <f t="shared" si="1034"/>
        <v>0</v>
      </c>
      <c r="AY169" s="422" t="e">
        <f t="shared" si="1016"/>
        <v>#VALUE!</v>
      </c>
      <c r="AZ169" s="325" t="str">
        <f t="shared" si="1017"/>
        <v/>
      </c>
      <c r="BA169" s="325" t="str">
        <f t="shared" si="1018"/>
        <v>0</v>
      </c>
      <c r="BB169" s="125" t="e">
        <f t="shared" ref="BB169:BD169" si="1039">AY169+AU169+AQ169</f>
        <v>#VALUE!</v>
      </c>
      <c r="BC169" s="125" t="e">
        <f t="shared" si="1039"/>
        <v>#VALUE!</v>
      </c>
      <c r="BD169" s="125">
        <f t="shared" si="1039"/>
        <v>0</v>
      </c>
      <c r="BE169" s="325"/>
      <c r="BF169" s="325"/>
      <c r="BG169" s="325"/>
      <c r="BH169" s="326">
        <f t="shared" si="977"/>
        <v>0</v>
      </c>
      <c r="BI169" s="325"/>
      <c r="BJ169" s="325"/>
      <c r="BK169" s="325"/>
      <c r="BL169" s="302">
        <f t="shared" si="1036"/>
        <v>0</v>
      </c>
      <c r="BM169" s="799"/>
      <c r="BN169" s="716"/>
      <c r="BO169" s="716"/>
      <c r="BP169" s="799">
        <f t="shared" si="1037"/>
        <v>0</v>
      </c>
      <c r="BQ169" s="799"/>
      <c r="BR169" s="799"/>
      <c r="BS169" s="799"/>
      <c r="BT169" s="799"/>
      <c r="BU169" s="799"/>
      <c r="BV169" s="799"/>
      <c r="BW169" s="123">
        <f t="shared" si="1004"/>
        <v>0</v>
      </c>
      <c r="BX169" s="794" t="e">
        <f t="shared" si="1005"/>
        <v>#VALUE!</v>
      </c>
      <c r="BY169" s="794" t="str">
        <f t="shared" si="1006"/>
        <v/>
      </c>
      <c r="BZ169" s="795" t="str">
        <f t="shared" si="1007"/>
        <v>0</v>
      </c>
      <c r="CA169" s="123">
        <f t="shared" si="1008"/>
        <v>0</v>
      </c>
      <c r="CB169" s="333">
        <f t="shared" si="1009"/>
        <v>0</v>
      </c>
      <c r="CY169" s="294"/>
      <c r="DF169" s="296"/>
    </row>
    <row r="170" spans="1:119" ht="13">
      <c r="A170" s="92" t="e">
        <f t="shared" si="981"/>
        <v>#N/A</v>
      </c>
      <c r="B170" s="324" t="e">
        <f t="shared" si="982"/>
        <v>#N/A</v>
      </c>
      <c r="C170" s="558" t="str">
        <f t="shared" si="983"/>
        <v/>
      </c>
      <c r="D170" s="558" t="str">
        <f t="shared" si="984"/>
        <v/>
      </c>
      <c r="E170" s="558" t="str">
        <f t="shared" si="985"/>
        <v/>
      </c>
      <c r="F170" s="798"/>
      <c r="G170" s="558"/>
      <c r="H170" s="558"/>
      <c r="I170" s="558"/>
      <c r="J170" s="637"/>
      <c r="K170" s="558"/>
      <c r="L170" s="558"/>
      <c r="M170" s="796" t="s">
        <v>672</v>
      </c>
      <c r="N170" s="423" t="str">
        <f t="shared" si="1026"/>
        <v/>
      </c>
      <c r="O170" s="326" t="e">
        <f t="shared" ref="O170:O172" si="1040">(N170*1.601)*1.05</f>
        <v>#VALUE!</v>
      </c>
      <c r="P170" s="326" t="e">
        <f t="shared" si="986"/>
        <v>#VALUE!</v>
      </c>
      <c r="Q170" s="326" t="str">
        <f t="shared" si="987"/>
        <v/>
      </c>
      <c r="R170" s="716" t="str">
        <f t="shared" si="988"/>
        <v>0</v>
      </c>
      <c r="S170" s="326" t="e">
        <f t="shared" si="1027"/>
        <v>#VALUE!</v>
      </c>
      <c r="T170" s="137" t="str">
        <f t="shared" ref="T170:T172" si="1041">IFERROR(R170/O170,"")</f>
        <v/>
      </c>
      <c r="U170" s="326" t="str">
        <f t="shared" si="1028"/>
        <v/>
      </c>
      <c r="V170" s="326" t="e">
        <f t="shared" ref="V170:V172" si="1042">(U170*1.7245)*1.03</f>
        <v>#VALUE!</v>
      </c>
      <c r="W170" s="326" t="e">
        <f t="shared" si="989"/>
        <v>#VALUE!</v>
      </c>
      <c r="X170" s="326" t="str">
        <f t="shared" si="990"/>
        <v/>
      </c>
      <c r="Y170" s="716" t="str">
        <f t="shared" si="991"/>
        <v>0</v>
      </c>
      <c r="Z170" s="326" t="e">
        <f t="shared" si="1029"/>
        <v>#VALUE!</v>
      </c>
      <c r="AA170" s="137" t="str">
        <f t="shared" ref="AA170:AA172" si="1043">IFERROR(Y170/V170,"")</f>
        <v/>
      </c>
      <c r="AB170" s="326" t="str">
        <f>IFERROR(VLOOKUP(M170,LAGE24,5,FALSE),"")</f>
        <v/>
      </c>
      <c r="AC170" s="326" t="e">
        <f t="shared" ref="AC170:AC172" si="1044">(AB170*1.5955)*1.05</f>
        <v>#VALUE!</v>
      </c>
      <c r="AD170" s="326" t="e">
        <f t="shared" si="992"/>
        <v>#VALUE!</v>
      </c>
      <c r="AE170" s="326" t="str">
        <f t="shared" si="993"/>
        <v/>
      </c>
      <c r="AF170" s="716" t="str">
        <f t="shared" si="994"/>
        <v>0</v>
      </c>
      <c r="AG170" s="326" t="e">
        <f t="shared" si="995"/>
        <v>#VALUE!</v>
      </c>
      <c r="AH170" s="137" t="str">
        <f t="shared" ref="AH170:AH172" si="1045">IFERROR(AF170/AC170,"")</f>
        <v/>
      </c>
      <c r="AI170" s="326" t="e">
        <f t="shared" si="996"/>
        <v>#VALUE!</v>
      </c>
      <c r="AJ170" s="326" t="str">
        <f t="shared" si="997"/>
        <v>0</v>
      </c>
      <c r="AK170" s="326">
        <f t="shared" si="998"/>
        <v>0</v>
      </c>
      <c r="AL170" s="326">
        <f t="shared" ref="AL170:AM170" si="1046">SUM(AE170,X170,Q170)</f>
        <v>0</v>
      </c>
      <c r="AM170" s="326">
        <f t="shared" si="1046"/>
        <v>0</v>
      </c>
      <c r="AN170" s="326" t="e">
        <f t="shared" si="1000"/>
        <v>#VALUE!</v>
      </c>
      <c r="AO170" s="137" t="str">
        <f>IFERROR(AM170/AI170,"")</f>
        <v/>
      </c>
      <c r="AP170" s="436" t="str">
        <f t="shared" si="1032"/>
        <v/>
      </c>
      <c r="AQ170" s="326" t="e">
        <f t="shared" si="1013"/>
        <v>#VALUE!</v>
      </c>
      <c r="AR170" s="325" t="str">
        <f t="shared" si="1014"/>
        <v/>
      </c>
      <c r="AS170" s="333" t="str">
        <f t="shared" si="1015"/>
        <v>0</v>
      </c>
      <c r="AT170" s="423" t="str">
        <f t="shared" si="1033"/>
        <v/>
      </c>
      <c r="AU170" s="140" t="e">
        <f t="shared" si="978"/>
        <v>#VALUE!</v>
      </c>
      <c r="AV170" s="326" t="str">
        <f t="shared" si="979"/>
        <v/>
      </c>
      <c r="AW170" s="333" t="str">
        <f t="shared" si="980"/>
        <v>0</v>
      </c>
      <c r="AX170" s="325" t="str">
        <f t="shared" si="1034"/>
        <v/>
      </c>
      <c r="AY170" s="422" t="e">
        <f t="shared" si="1016"/>
        <v>#VALUE!</v>
      </c>
      <c r="AZ170" s="325" t="str">
        <f t="shared" si="1017"/>
        <v/>
      </c>
      <c r="BA170" s="325" t="str">
        <f t="shared" si="1018"/>
        <v>0</v>
      </c>
      <c r="BB170" s="125" t="e">
        <f t="shared" ref="BB170:BD170" si="1047">AY170+AU170+AQ170</f>
        <v>#VALUE!</v>
      </c>
      <c r="BC170" s="125" t="e">
        <f t="shared" si="1047"/>
        <v>#VALUE!</v>
      </c>
      <c r="BD170" s="125">
        <f t="shared" si="1047"/>
        <v>0</v>
      </c>
      <c r="BE170" s="325"/>
      <c r="BF170" s="325"/>
      <c r="BG170" s="325"/>
      <c r="BH170" s="326" t="str">
        <f t="shared" si="977"/>
        <v/>
      </c>
      <c r="BI170" s="325"/>
      <c r="BJ170" s="325"/>
      <c r="BK170" s="325"/>
      <c r="BL170" s="434" t="str">
        <f t="shared" si="1036"/>
        <v/>
      </c>
      <c r="BM170" s="799"/>
      <c r="BN170" s="716"/>
      <c r="BO170" s="716"/>
      <c r="BP170" s="799" t="str">
        <f t="shared" si="1037"/>
        <v/>
      </c>
      <c r="BQ170" s="799"/>
      <c r="BR170" s="799"/>
      <c r="BS170" s="799"/>
      <c r="BT170" s="799"/>
      <c r="BU170" s="799"/>
      <c r="BV170" s="799"/>
      <c r="BW170" s="123" t="str">
        <f t="shared" si="1004"/>
        <v/>
      </c>
      <c r="BX170" s="794" t="e">
        <f t="shared" si="1005"/>
        <v>#VALUE!</v>
      </c>
      <c r="BY170" s="794" t="str">
        <f t="shared" si="1006"/>
        <v/>
      </c>
      <c r="BZ170" s="795" t="str">
        <f t="shared" si="1007"/>
        <v>0</v>
      </c>
      <c r="CA170" s="123" t="str">
        <f t="shared" si="1008"/>
        <v/>
      </c>
      <c r="CB170" s="333" t="str">
        <f t="shared" si="1009"/>
        <v/>
      </c>
      <c r="CY170" s="294"/>
      <c r="DF170" s="296"/>
    </row>
    <row r="171" spans="1:119" ht="13">
      <c r="A171" s="92" t="e">
        <f t="shared" si="981"/>
        <v>#N/A</v>
      </c>
      <c r="B171" s="324" t="e">
        <f t="shared" si="982"/>
        <v>#N/A</v>
      </c>
      <c r="C171" s="558" t="str">
        <f t="shared" si="983"/>
        <v/>
      </c>
      <c r="D171" s="558" t="str">
        <f t="shared" si="984"/>
        <v/>
      </c>
      <c r="E171" s="558" t="str">
        <f t="shared" si="985"/>
        <v/>
      </c>
      <c r="F171" s="798"/>
      <c r="G171" s="558"/>
      <c r="H171" s="558"/>
      <c r="I171" s="558"/>
      <c r="J171" s="637"/>
      <c r="K171" s="558"/>
      <c r="L171" s="558"/>
      <c r="M171" s="796" t="s">
        <v>673</v>
      </c>
      <c r="N171" s="423">
        <f t="shared" si="1026"/>
        <v>0</v>
      </c>
      <c r="O171" s="326">
        <f t="shared" si="1040"/>
        <v>0</v>
      </c>
      <c r="P171" s="326" t="e">
        <f t="shared" si="986"/>
        <v>#VALUE!</v>
      </c>
      <c r="Q171" s="326" t="str">
        <f t="shared" si="987"/>
        <v/>
      </c>
      <c r="R171" s="716" t="str">
        <f t="shared" si="988"/>
        <v>0</v>
      </c>
      <c r="S171" s="326">
        <f t="shared" si="1027"/>
        <v>0</v>
      </c>
      <c r="T171" s="137" t="str">
        <f t="shared" si="1041"/>
        <v/>
      </c>
      <c r="U171" s="326">
        <f t="shared" si="1028"/>
        <v>153929.04</v>
      </c>
      <c r="V171" s="326">
        <f t="shared" si="1042"/>
        <v>273414.14836440003</v>
      </c>
      <c r="W171" s="326" t="e">
        <f t="shared" si="989"/>
        <v>#VALUE!</v>
      </c>
      <c r="X171" s="326" t="str">
        <f t="shared" si="990"/>
        <v/>
      </c>
      <c r="Y171" s="716" t="str">
        <f t="shared" si="991"/>
        <v>0</v>
      </c>
      <c r="Z171" s="326">
        <f t="shared" si="1029"/>
        <v>-273414.14836440003</v>
      </c>
      <c r="AA171" s="137">
        <f t="shared" si="1043"/>
        <v>0</v>
      </c>
      <c r="AB171" s="326">
        <f>IFERROR(VLOOKUP(M171,LAGE24,5,FALSE),"")</f>
        <v>358003.68</v>
      </c>
      <c r="AC171" s="326">
        <f t="shared" si="1044"/>
        <v>599754.61501200008</v>
      </c>
      <c r="AD171" s="326" t="e">
        <f t="shared" si="992"/>
        <v>#VALUE!</v>
      </c>
      <c r="AE171" s="326" t="str">
        <f t="shared" si="993"/>
        <v/>
      </c>
      <c r="AF171" s="716" t="str">
        <f t="shared" si="994"/>
        <v>0</v>
      </c>
      <c r="AG171" s="326">
        <f t="shared" si="995"/>
        <v>-599754.61501200008</v>
      </c>
      <c r="AH171" s="137">
        <f t="shared" si="1045"/>
        <v>0</v>
      </c>
      <c r="AI171" s="326">
        <f t="shared" si="996"/>
        <v>873168.76337640011</v>
      </c>
      <c r="AJ171" s="326">
        <f t="shared" si="997"/>
        <v>294951.84000000003</v>
      </c>
      <c r="AK171" s="326">
        <f t="shared" si="998"/>
        <v>0</v>
      </c>
      <c r="AL171" s="326">
        <f t="shared" ref="AL171:AM171" si="1048">SUM(AE171,X171,Q171)</f>
        <v>0</v>
      </c>
      <c r="AM171" s="326">
        <f t="shared" si="1048"/>
        <v>0</v>
      </c>
      <c r="AN171" s="326">
        <f t="shared" si="1000"/>
        <v>-873168.76337640011</v>
      </c>
      <c r="AO171" s="137">
        <f>AM171/AI171</f>
        <v>0</v>
      </c>
      <c r="AP171" s="302">
        <f t="shared" si="1032"/>
        <v>151426.32</v>
      </c>
      <c r="AQ171" s="326" t="e">
        <f t="shared" si="1013"/>
        <v>#VALUE!</v>
      </c>
      <c r="AR171" s="325" t="str">
        <f t="shared" si="1014"/>
        <v/>
      </c>
      <c r="AS171" s="333" t="str">
        <f t="shared" si="1015"/>
        <v>0</v>
      </c>
      <c r="AT171" s="302">
        <f t="shared" si="1033"/>
        <v>341439.2</v>
      </c>
      <c r="AU171" s="140" t="e">
        <f t="shared" si="978"/>
        <v>#VALUE!</v>
      </c>
      <c r="AV171" s="326" t="str">
        <f t="shared" si="979"/>
        <v/>
      </c>
      <c r="AW171" s="333" t="str">
        <f t="shared" si="980"/>
        <v>0</v>
      </c>
      <c r="AX171" s="302">
        <f t="shared" si="1034"/>
        <v>99848.320000000007</v>
      </c>
      <c r="AY171" s="422" t="e">
        <f t="shared" si="1016"/>
        <v>#VALUE!</v>
      </c>
      <c r="AZ171" s="325" t="str">
        <f t="shared" si="1017"/>
        <v/>
      </c>
      <c r="BA171" s="325" t="str">
        <f t="shared" si="1018"/>
        <v>0</v>
      </c>
      <c r="BB171" s="125" t="e">
        <f t="shared" ref="BB171:BD171" si="1049">AY171+AU171+AQ171</f>
        <v>#VALUE!</v>
      </c>
      <c r="BC171" s="125" t="e">
        <f t="shared" si="1049"/>
        <v>#VALUE!</v>
      </c>
      <c r="BD171" s="125">
        <f t="shared" si="1049"/>
        <v>0</v>
      </c>
      <c r="BE171" s="325"/>
      <c r="BF171" s="325"/>
      <c r="BG171" s="325"/>
      <c r="BH171" s="326">
        <f t="shared" si="977"/>
        <v>99848.320000000007</v>
      </c>
      <c r="BI171" s="325"/>
      <c r="BJ171" s="325"/>
      <c r="BK171" s="325"/>
      <c r="BL171" s="302">
        <f t="shared" si="1036"/>
        <v>217586.4</v>
      </c>
      <c r="BM171" s="799"/>
      <c r="BN171" s="716"/>
      <c r="BO171" s="716"/>
      <c r="BP171" s="799">
        <f t="shared" si="1037"/>
        <v>158390.96</v>
      </c>
      <c r="BQ171" s="799"/>
      <c r="BR171" s="799"/>
      <c r="BS171" s="799"/>
      <c r="BT171" s="799"/>
      <c r="BU171" s="799"/>
      <c r="BV171" s="799"/>
      <c r="BW171" s="123">
        <f t="shared" si="1004"/>
        <v>294951.84000000003</v>
      </c>
      <c r="BX171" s="794" t="e">
        <f t="shared" si="1005"/>
        <v>#VALUE!</v>
      </c>
      <c r="BY171" s="794" t="str">
        <f t="shared" si="1006"/>
        <v/>
      </c>
      <c r="BZ171" s="795" t="str">
        <f t="shared" si="1007"/>
        <v>0</v>
      </c>
      <c r="CA171" s="123">
        <f t="shared" si="1008"/>
        <v>0</v>
      </c>
      <c r="CB171" s="333">
        <f t="shared" si="1009"/>
        <v>0</v>
      </c>
      <c r="CY171" s="294"/>
      <c r="DF171" s="296"/>
    </row>
    <row r="172" spans="1:119" ht="13">
      <c r="A172" s="92" t="e">
        <f t="shared" si="981"/>
        <v>#N/A</v>
      </c>
      <c r="B172" s="324" t="e">
        <f t="shared" si="982"/>
        <v>#N/A</v>
      </c>
      <c r="C172" s="558" t="str">
        <f t="shared" si="983"/>
        <v/>
      </c>
      <c r="D172" s="558" t="str">
        <f t="shared" si="984"/>
        <v/>
      </c>
      <c r="E172" s="558" t="str">
        <f t="shared" si="985"/>
        <v/>
      </c>
      <c r="F172" s="798"/>
      <c r="G172" s="558"/>
      <c r="H172" s="558"/>
      <c r="I172" s="558"/>
      <c r="J172" s="637"/>
      <c r="K172" s="558"/>
      <c r="L172" s="558"/>
      <c r="M172" s="424" t="s">
        <v>674</v>
      </c>
      <c r="N172" s="423">
        <f t="shared" si="1026"/>
        <v>0</v>
      </c>
      <c r="O172" s="326">
        <f t="shared" si="1040"/>
        <v>0</v>
      </c>
      <c r="P172" s="326" t="e">
        <f t="shared" si="986"/>
        <v>#VALUE!</v>
      </c>
      <c r="Q172" s="326" t="str">
        <f t="shared" si="987"/>
        <v/>
      </c>
      <c r="R172" s="716" t="str">
        <f t="shared" si="988"/>
        <v>0</v>
      </c>
      <c r="S172" s="326">
        <f t="shared" si="1027"/>
        <v>0</v>
      </c>
      <c r="T172" s="137" t="str">
        <f t="shared" si="1041"/>
        <v/>
      </c>
      <c r="U172" s="326">
        <f t="shared" si="1028"/>
        <v>0</v>
      </c>
      <c r="V172" s="326">
        <f t="shared" si="1042"/>
        <v>0</v>
      </c>
      <c r="W172" s="326" t="e">
        <f t="shared" si="989"/>
        <v>#VALUE!</v>
      </c>
      <c r="X172" s="326" t="str">
        <f t="shared" si="990"/>
        <v/>
      </c>
      <c r="Y172" s="716" t="str">
        <f t="shared" si="991"/>
        <v>0</v>
      </c>
      <c r="Z172" s="326">
        <f t="shared" si="1029"/>
        <v>0</v>
      </c>
      <c r="AA172" s="137" t="str">
        <f t="shared" si="1043"/>
        <v/>
      </c>
      <c r="AB172" s="326">
        <f>IFERROR(VLOOKUP(M172,LAGE24,5,FALSE),"")</f>
        <v>0</v>
      </c>
      <c r="AC172" s="326">
        <f t="shared" si="1044"/>
        <v>0</v>
      </c>
      <c r="AD172" s="326" t="e">
        <f t="shared" si="992"/>
        <v>#VALUE!</v>
      </c>
      <c r="AE172" s="326" t="str">
        <f t="shared" si="993"/>
        <v/>
      </c>
      <c r="AF172" s="716" t="str">
        <f t="shared" si="994"/>
        <v>0</v>
      </c>
      <c r="AG172" s="326">
        <f t="shared" si="995"/>
        <v>0</v>
      </c>
      <c r="AH172" s="137" t="str">
        <f t="shared" si="1045"/>
        <v/>
      </c>
      <c r="AI172" s="326">
        <f t="shared" si="996"/>
        <v>0</v>
      </c>
      <c r="AJ172" s="326" t="str">
        <f t="shared" si="997"/>
        <v>0</v>
      </c>
      <c r="AK172" s="326">
        <f t="shared" si="998"/>
        <v>0</v>
      </c>
      <c r="AL172" s="326">
        <f t="shared" ref="AL172:AM172" si="1050">SUM(AE172,X172,Q172)</f>
        <v>0</v>
      </c>
      <c r="AM172" s="326">
        <f t="shared" si="1050"/>
        <v>0</v>
      </c>
      <c r="AN172" s="326">
        <f t="shared" si="1000"/>
        <v>0</v>
      </c>
      <c r="AO172" s="137" t="str">
        <f>IFERROR(AM172/AI172,"")</f>
        <v/>
      </c>
      <c r="AP172" s="302">
        <f t="shared" si="1032"/>
        <v>0</v>
      </c>
      <c r="AQ172" s="326" t="e">
        <f t="shared" si="1013"/>
        <v>#VALUE!</v>
      </c>
      <c r="AR172" s="325" t="str">
        <f t="shared" si="1014"/>
        <v/>
      </c>
      <c r="AS172" s="333" t="str">
        <f t="shared" si="1015"/>
        <v>0</v>
      </c>
      <c r="AT172" s="302">
        <f t="shared" si="1033"/>
        <v>0</v>
      </c>
      <c r="AU172" s="140" t="e">
        <f t="shared" si="978"/>
        <v>#VALUE!</v>
      </c>
      <c r="AV172" s="326" t="str">
        <f t="shared" si="979"/>
        <v/>
      </c>
      <c r="AW172" s="333" t="str">
        <f t="shared" si="980"/>
        <v>0</v>
      </c>
      <c r="AX172" s="302">
        <f t="shared" si="1034"/>
        <v>0</v>
      </c>
      <c r="AY172" s="422" t="e">
        <f t="shared" si="1016"/>
        <v>#VALUE!</v>
      </c>
      <c r="AZ172" s="325" t="str">
        <f t="shared" si="1017"/>
        <v/>
      </c>
      <c r="BA172" s="325" t="str">
        <f t="shared" si="1018"/>
        <v>0</v>
      </c>
      <c r="BB172" s="325"/>
      <c r="BC172" s="325"/>
      <c r="BD172" s="325"/>
      <c r="BE172" s="325"/>
      <c r="BF172" s="325"/>
      <c r="BG172" s="325"/>
      <c r="BH172" s="326">
        <f t="shared" si="977"/>
        <v>0</v>
      </c>
      <c r="BI172" s="325"/>
      <c r="BJ172" s="325"/>
      <c r="BK172" s="325"/>
      <c r="BL172" s="302">
        <f t="shared" si="1036"/>
        <v>0</v>
      </c>
      <c r="BM172" s="799"/>
      <c r="BN172" s="716"/>
      <c r="BO172" s="716"/>
      <c r="BP172" s="799">
        <f t="shared" si="1037"/>
        <v>487557.27</v>
      </c>
      <c r="BQ172" s="799"/>
      <c r="BR172" s="799"/>
      <c r="BS172" s="799"/>
      <c r="BT172" s="799"/>
      <c r="BU172" s="799"/>
      <c r="BV172" s="799"/>
      <c r="BW172" s="123">
        <f t="shared" si="1004"/>
        <v>0</v>
      </c>
      <c r="BX172" s="794" t="e">
        <f t="shared" si="1005"/>
        <v>#VALUE!</v>
      </c>
      <c r="BY172" s="794" t="str">
        <f t="shared" si="1006"/>
        <v/>
      </c>
      <c r="BZ172" s="795" t="str">
        <f t="shared" si="1007"/>
        <v>0</v>
      </c>
      <c r="CA172" s="123">
        <f t="shared" si="1008"/>
        <v>0</v>
      </c>
      <c r="CB172" s="333">
        <f t="shared" si="1009"/>
        <v>0</v>
      </c>
      <c r="CY172" s="294"/>
      <c r="DF172" s="296"/>
    </row>
    <row r="173" spans="1:119" ht="13">
      <c r="A173" s="92" t="e">
        <f t="shared" si="981"/>
        <v>#N/A</v>
      </c>
      <c r="B173" s="324" t="e">
        <f t="shared" si="982"/>
        <v>#N/A</v>
      </c>
      <c r="C173" s="558" t="str">
        <f t="shared" si="983"/>
        <v/>
      </c>
      <c r="D173" s="558" t="str">
        <f t="shared" si="984"/>
        <v/>
      </c>
      <c r="E173" s="558" t="str">
        <f t="shared" si="985"/>
        <v/>
      </c>
      <c r="F173" s="798"/>
      <c r="G173" s="558"/>
      <c r="H173" s="558"/>
      <c r="I173" s="558"/>
      <c r="J173" s="637"/>
      <c r="K173" s="558"/>
      <c r="L173" s="558"/>
      <c r="M173" s="424" t="s">
        <v>675</v>
      </c>
      <c r="N173" s="423">
        <f t="shared" si="1026"/>
        <v>0</v>
      </c>
      <c r="O173" s="326">
        <v>1800000</v>
      </c>
      <c r="P173" s="326" t="e">
        <f t="shared" si="986"/>
        <v>#VALUE!</v>
      </c>
      <c r="Q173" s="326" t="str">
        <f t="shared" si="987"/>
        <v/>
      </c>
      <c r="R173" s="716" t="str">
        <f t="shared" si="988"/>
        <v>0</v>
      </c>
      <c r="S173" s="326">
        <f t="shared" si="1027"/>
        <v>-1800000</v>
      </c>
      <c r="T173" s="137">
        <f t="shared" ref="T173:T174" si="1051">R173/O173</f>
        <v>0</v>
      </c>
      <c r="U173" s="326">
        <f t="shared" si="1028"/>
        <v>0</v>
      </c>
      <c r="V173" s="326">
        <v>1800000</v>
      </c>
      <c r="W173" s="326" t="e">
        <f t="shared" si="989"/>
        <v>#VALUE!</v>
      </c>
      <c r="X173" s="326" t="str">
        <f t="shared" si="990"/>
        <v/>
      </c>
      <c r="Y173" s="716" t="str">
        <f t="shared" si="991"/>
        <v>0</v>
      </c>
      <c r="Z173" s="326">
        <f t="shared" si="1029"/>
        <v>-1800000</v>
      </c>
      <c r="AA173" s="137">
        <f t="shared" ref="AA173:AA174" si="1052">Y173/V173</f>
        <v>0</v>
      </c>
      <c r="AB173" s="326">
        <v>1800000</v>
      </c>
      <c r="AC173" s="326">
        <v>1800000</v>
      </c>
      <c r="AD173" s="326" t="e">
        <f t="shared" si="992"/>
        <v>#VALUE!</v>
      </c>
      <c r="AE173" s="326" t="str">
        <f t="shared" si="993"/>
        <v/>
      </c>
      <c r="AF173" s="716" t="str">
        <f t="shared" si="994"/>
        <v>0</v>
      </c>
      <c r="AG173" s="326">
        <f t="shared" si="995"/>
        <v>-1800000</v>
      </c>
      <c r="AH173" s="137">
        <f t="shared" ref="AH173:AH174" si="1053">AF173/AC173</f>
        <v>0</v>
      </c>
      <c r="AI173" s="326">
        <f t="shared" si="996"/>
        <v>5400000</v>
      </c>
      <c r="AJ173" s="326" t="str">
        <f t="shared" si="997"/>
        <v>0</v>
      </c>
      <c r="AK173" s="326">
        <f t="shared" si="998"/>
        <v>0</v>
      </c>
      <c r="AL173" s="326">
        <f t="shared" ref="AL173:AM173" si="1054">SUM(AE173,X173,Q173)</f>
        <v>0</v>
      </c>
      <c r="AM173" s="326">
        <f t="shared" si="1054"/>
        <v>0</v>
      </c>
      <c r="AN173" s="326">
        <f t="shared" si="1000"/>
        <v>-5400000</v>
      </c>
      <c r="AO173" s="137">
        <f>AM173/AI173</f>
        <v>0</v>
      </c>
      <c r="AP173" s="302">
        <f t="shared" si="1032"/>
        <v>0</v>
      </c>
      <c r="AQ173" s="326" t="e">
        <f t="shared" si="1013"/>
        <v>#VALUE!</v>
      </c>
      <c r="AR173" s="325" t="str">
        <f t="shared" si="1014"/>
        <v/>
      </c>
      <c r="AS173" s="333" t="str">
        <f t="shared" si="1015"/>
        <v>0</v>
      </c>
      <c r="AT173" s="302">
        <f t="shared" si="1033"/>
        <v>781588.69</v>
      </c>
      <c r="AU173" s="140" t="e">
        <f t="shared" si="978"/>
        <v>#VALUE!</v>
      </c>
      <c r="AV173" s="326" t="str">
        <f t="shared" si="979"/>
        <v/>
      </c>
      <c r="AW173" s="333" t="str">
        <f t="shared" si="980"/>
        <v>0</v>
      </c>
      <c r="AX173" s="302">
        <f t="shared" si="1034"/>
        <v>0</v>
      </c>
      <c r="AY173" s="422" t="e">
        <f t="shared" si="1016"/>
        <v>#VALUE!</v>
      </c>
      <c r="AZ173" s="325" t="str">
        <f t="shared" si="1017"/>
        <v/>
      </c>
      <c r="BA173" s="325" t="str">
        <f t="shared" si="1018"/>
        <v>0</v>
      </c>
      <c r="BB173" s="325"/>
      <c r="BC173" s="325"/>
      <c r="BD173" s="325"/>
      <c r="BE173" s="325"/>
      <c r="BF173" s="325"/>
      <c r="BG173" s="325"/>
      <c r="BH173" s="326">
        <f t="shared" si="977"/>
        <v>990652.82</v>
      </c>
      <c r="BI173" s="325"/>
      <c r="BJ173" s="325"/>
      <c r="BK173" s="325"/>
      <c r="BL173" s="302">
        <f t="shared" si="1036"/>
        <v>612726.57999999996</v>
      </c>
      <c r="BM173" s="799"/>
      <c r="BN173" s="716"/>
      <c r="BO173" s="716"/>
      <c r="BP173" s="799">
        <f t="shared" si="1037"/>
        <v>0</v>
      </c>
      <c r="BQ173" s="799"/>
      <c r="BR173" s="799"/>
      <c r="BS173" s="799"/>
      <c r="BT173" s="799"/>
      <c r="BU173" s="799"/>
      <c r="BV173" s="799"/>
      <c r="BW173" s="123">
        <f t="shared" si="1004"/>
        <v>0</v>
      </c>
      <c r="BX173" s="794" t="e">
        <f t="shared" si="1005"/>
        <v>#VALUE!</v>
      </c>
      <c r="BY173" s="794" t="str">
        <f t="shared" si="1006"/>
        <v/>
      </c>
      <c r="BZ173" s="795" t="str">
        <f t="shared" si="1007"/>
        <v>0</v>
      </c>
      <c r="CA173" s="123">
        <f t="shared" si="1008"/>
        <v>0</v>
      </c>
      <c r="CB173" s="333">
        <f t="shared" si="1009"/>
        <v>0</v>
      </c>
      <c r="CY173" s="294"/>
      <c r="DF173" s="296"/>
    </row>
    <row r="174" spans="1:119" ht="13">
      <c r="A174" s="92" t="s">
        <v>234</v>
      </c>
      <c r="B174" s="565">
        <f t="shared" si="982"/>
        <v>22</v>
      </c>
      <c r="C174" s="558">
        <f t="shared" si="983"/>
        <v>0.1</v>
      </c>
      <c r="D174" s="558">
        <f t="shared" si="984"/>
        <v>0.09</v>
      </c>
      <c r="E174" s="715">
        <f t="shared" si="985"/>
        <v>0</v>
      </c>
      <c r="F174" s="701">
        <f>VLOOKUP(M174,LAGECART2,2,FALSE)</f>
        <v>1</v>
      </c>
      <c r="G174" s="700" t="str">
        <f>IFERROR(VLOOKUP(F174,DES,2,FALSE),"")</f>
        <v>Lista</v>
      </c>
      <c r="H174" s="700">
        <f>IFERROR(VLOOKUP(F174,DES,3,FALSE),"")</f>
        <v>0.09</v>
      </c>
      <c r="I174" s="700">
        <f>IFERROR(VLOOKUP(F174,DES,4,FALSE),"")</f>
        <v>0</v>
      </c>
      <c r="J174" s="547">
        <f>VLOOKUP(M174,CART.LAG.3,2,FALSE)</f>
        <v>71</v>
      </c>
      <c r="K174" s="699" t="str">
        <f>IFERROR(VLOOKUP(J174,A458DC1025,2,FALSE),"")</f>
        <v>Lista</v>
      </c>
      <c r="L174" s="702">
        <f>IFERROR(VLOOKUP(J174,A458DC1025,3,FALSE),"")</f>
        <v>0.05</v>
      </c>
      <c r="M174" s="139" t="s">
        <v>676</v>
      </c>
      <c r="N174" s="423">
        <f t="shared" si="1026"/>
        <v>764217.28</v>
      </c>
      <c r="O174" s="326">
        <v>1800000</v>
      </c>
      <c r="P174" s="326" t="e">
        <f t="shared" si="986"/>
        <v>#VALUE!</v>
      </c>
      <c r="Q174" s="326" t="str">
        <f t="shared" si="987"/>
        <v/>
      </c>
      <c r="R174" s="716" t="str">
        <f t="shared" si="988"/>
        <v>0</v>
      </c>
      <c r="S174" s="326">
        <f t="shared" si="1027"/>
        <v>-1800000</v>
      </c>
      <c r="T174" s="137">
        <f t="shared" si="1051"/>
        <v>0</v>
      </c>
      <c r="U174" s="326">
        <f t="shared" si="1028"/>
        <v>114379.01</v>
      </c>
      <c r="V174" s="332">
        <v>1800000</v>
      </c>
      <c r="W174" s="140" t="e">
        <f t="shared" si="989"/>
        <v>#VALUE!</v>
      </c>
      <c r="X174" s="326" t="str">
        <f t="shared" si="990"/>
        <v/>
      </c>
      <c r="Y174" s="717" t="str">
        <f t="shared" si="991"/>
        <v>0</v>
      </c>
      <c r="Z174" s="123">
        <f t="shared" si="1029"/>
        <v>-1800000</v>
      </c>
      <c r="AA174" s="137">
        <f t="shared" si="1052"/>
        <v>0</v>
      </c>
      <c r="AB174" s="326">
        <f>IFERROR(VLOOKUP(M174,LAGE24,5,FALSE),"")</f>
        <v>782931.7</v>
      </c>
      <c r="AC174" s="326">
        <v>1800000</v>
      </c>
      <c r="AD174" s="326" t="e">
        <f t="shared" si="992"/>
        <v>#VALUE!</v>
      </c>
      <c r="AE174" s="326" t="str">
        <f t="shared" si="993"/>
        <v/>
      </c>
      <c r="AF174" s="716" t="str">
        <f t="shared" si="994"/>
        <v>0</v>
      </c>
      <c r="AG174" s="326">
        <f t="shared" si="995"/>
        <v>-1800000</v>
      </c>
      <c r="AH174" s="137">
        <f t="shared" si="1053"/>
        <v>0</v>
      </c>
      <c r="AI174" s="332">
        <f t="shared" si="996"/>
        <v>5400000</v>
      </c>
      <c r="AJ174" s="140" t="str">
        <f t="shared" si="997"/>
        <v>0</v>
      </c>
      <c r="AK174" s="326">
        <f t="shared" si="998"/>
        <v>0</v>
      </c>
      <c r="AL174" s="326">
        <f t="shared" ref="AL174:AM174" si="1055">SUM(AE174,X174,Q174)</f>
        <v>0</v>
      </c>
      <c r="AM174" s="326">
        <f t="shared" si="1055"/>
        <v>0</v>
      </c>
      <c r="AN174" s="326">
        <f t="shared" si="1000"/>
        <v>-5400000</v>
      </c>
      <c r="AO174" s="413" t="str">
        <f>IFERROR(AM174/AJ174,"")</f>
        <v/>
      </c>
      <c r="AP174" s="423">
        <f t="shared" si="1032"/>
        <v>0</v>
      </c>
      <c r="AQ174" s="326" t="e">
        <f t="shared" si="1013"/>
        <v>#VALUE!</v>
      </c>
      <c r="AR174" s="325" t="str">
        <f t="shared" si="1014"/>
        <v/>
      </c>
      <c r="AS174" s="333" t="str">
        <f t="shared" si="1015"/>
        <v>0</v>
      </c>
      <c r="AT174" s="434">
        <f t="shared" si="1033"/>
        <v>0</v>
      </c>
      <c r="AU174" s="140" t="e">
        <f t="shared" si="978"/>
        <v>#VALUE!</v>
      </c>
      <c r="AV174" s="326" t="str">
        <f t="shared" si="979"/>
        <v/>
      </c>
      <c r="AW174" s="333" t="str">
        <f t="shared" si="980"/>
        <v>0</v>
      </c>
      <c r="AX174" s="125">
        <f t="shared" si="1034"/>
        <v>0</v>
      </c>
      <c r="AY174" s="140" t="e">
        <f t="shared" si="1016"/>
        <v>#VALUE!</v>
      </c>
      <c r="AZ174" s="326" t="str">
        <f t="shared" si="1017"/>
        <v/>
      </c>
      <c r="BA174" s="332" t="str">
        <f t="shared" si="1018"/>
        <v>0</v>
      </c>
      <c r="BB174" s="122" t="e">
        <f t="shared" ref="BB174:BD174" si="1056">AY174+AU174+AQ174</f>
        <v>#VALUE!</v>
      </c>
      <c r="BC174" s="326" t="e">
        <f t="shared" si="1056"/>
        <v>#VALUE!</v>
      </c>
      <c r="BD174" s="332">
        <f t="shared" si="1056"/>
        <v>0</v>
      </c>
      <c r="BE174" s="122" t="e">
        <f>BB174+AK174</f>
        <v>#VALUE!</v>
      </c>
      <c r="BF174" s="326" t="e">
        <f t="shared" ref="BF174:BG174" si="1057">AL174+BC174</f>
        <v>#VALUE!</v>
      </c>
      <c r="BG174" s="435">
        <f t="shared" si="1057"/>
        <v>0</v>
      </c>
      <c r="BH174" s="125">
        <f t="shared" si="977"/>
        <v>506667.41</v>
      </c>
      <c r="BI174" s="140" t="e">
        <f>BK174-BJ174</f>
        <v>#VALUE!</v>
      </c>
      <c r="BJ174" s="123" t="str">
        <f>IFERROR(VLOOKUP(M174,LAGALIM,9,FALSE),"")</f>
        <v/>
      </c>
      <c r="BK174" s="125" t="str">
        <f>IFERROR(VLOOKUP(M174,LAGEFC,9,FALSE),"0")</f>
        <v>0</v>
      </c>
      <c r="BL174" s="125">
        <f t="shared" si="1036"/>
        <v>0</v>
      </c>
      <c r="BM174" s="716" t="e">
        <f>BO174-BN174</f>
        <v>#VALUE!</v>
      </c>
      <c r="BN174" s="716" t="str">
        <f>IFERROR(VLOOKUP(M174,LAGALIM,10,FALSE),"")</f>
        <v/>
      </c>
      <c r="BO174" s="716" t="str">
        <f>IFERROR(VLOOKUP(M174,LAGEFC,10,FALSE),"0")</f>
        <v>0</v>
      </c>
      <c r="BP174" s="716">
        <f t="shared" si="1037"/>
        <v>0</v>
      </c>
      <c r="BQ174" s="716" t="e">
        <f>BS174-BR174</f>
        <v>#VALUE!</v>
      </c>
      <c r="BR174" s="716" t="str">
        <f>IFERROR(VLOOKUP(M174,LAGALIM,11,FALSE),"")</f>
        <v/>
      </c>
      <c r="BS174" s="716" t="str">
        <f>IFERROR(VLOOKUP(M174,LAGEFC,11,FALSE),"0")</f>
        <v>0</v>
      </c>
      <c r="BT174" s="716" t="e">
        <f t="shared" ref="BT174:BV174" si="1058">SUM(BQ174,BM174,BI174)</f>
        <v>#VALUE!</v>
      </c>
      <c r="BU174" s="716">
        <f t="shared" si="1058"/>
        <v>0</v>
      </c>
      <c r="BV174" s="716">
        <f t="shared" si="1058"/>
        <v>0</v>
      </c>
      <c r="BW174" s="123">
        <f t="shared" si="1004"/>
        <v>0</v>
      </c>
      <c r="BX174" s="794" t="e">
        <f t="shared" si="1005"/>
        <v>#VALUE!</v>
      </c>
      <c r="BY174" s="794" t="str">
        <f t="shared" si="1006"/>
        <v/>
      </c>
      <c r="BZ174" s="795" t="str">
        <f t="shared" si="1007"/>
        <v>0</v>
      </c>
      <c r="CA174" s="123">
        <f t="shared" si="1008"/>
        <v>0</v>
      </c>
      <c r="CB174" s="333">
        <f t="shared" si="1009"/>
        <v>0</v>
      </c>
      <c r="CY174" s="294"/>
      <c r="DF174" s="296"/>
    </row>
    <row r="175" spans="1:119" ht="13">
      <c r="A175" s="800" t="e">
        <f>VLOOKUP(M175,LAGECARTERA,3,FALSE)</f>
        <v>#N/A</v>
      </c>
      <c r="B175" s="337" t="e">
        <f t="shared" si="982"/>
        <v>#N/A</v>
      </c>
      <c r="C175" s="801" t="str">
        <f t="shared" si="983"/>
        <v/>
      </c>
      <c r="D175" s="801" t="str">
        <f t="shared" si="984"/>
        <v/>
      </c>
      <c r="E175" s="801" t="str">
        <f t="shared" si="985"/>
        <v/>
      </c>
      <c r="F175" s="802"/>
      <c r="G175" s="801"/>
      <c r="H175" s="801"/>
      <c r="I175" s="801"/>
      <c r="J175" s="644"/>
      <c r="K175" s="801"/>
      <c r="L175" s="801"/>
      <c r="M175" s="803" t="s">
        <v>677</v>
      </c>
      <c r="N175" s="507">
        <f t="shared" si="1026"/>
        <v>194397.23</v>
      </c>
      <c r="O175" s="340">
        <f>(N175*1.601)*1.05</f>
        <v>326791.46349150006</v>
      </c>
      <c r="P175" s="340" t="e">
        <f t="shared" si="986"/>
        <v>#VALUE!</v>
      </c>
      <c r="Q175" s="340" t="str">
        <f t="shared" si="987"/>
        <v/>
      </c>
      <c r="R175" s="804" t="str">
        <f t="shared" si="988"/>
        <v>0</v>
      </c>
      <c r="S175" s="340">
        <f t="shared" si="1027"/>
        <v>-326791.46349150006</v>
      </c>
      <c r="T175" s="338">
        <f>IFERROR(R175/O175,"")</f>
        <v>0</v>
      </c>
      <c r="U175" s="340">
        <f t="shared" si="1028"/>
        <v>0</v>
      </c>
      <c r="V175" s="340">
        <f>(U175*1.7245)*1.03</f>
        <v>0</v>
      </c>
      <c r="W175" s="340" t="e">
        <f t="shared" si="989"/>
        <v>#VALUE!</v>
      </c>
      <c r="X175" s="340" t="str">
        <f t="shared" si="990"/>
        <v/>
      </c>
      <c r="Y175" s="804" t="str">
        <f t="shared" si="991"/>
        <v>0</v>
      </c>
      <c r="Z175" s="340">
        <f t="shared" si="1029"/>
        <v>0</v>
      </c>
      <c r="AA175" s="338" t="str">
        <f>IFERROR(Y175/V175,"")</f>
        <v/>
      </c>
      <c r="AB175" s="340">
        <f>IFERROR(VLOOKUP(M175,LAGE24,5,FALSE),"")</f>
        <v>139017.04</v>
      </c>
      <c r="AC175" s="340">
        <f>(AB175*1.5955)*1.05</f>
        <v>232891.77168599999</v>
      </c>
      <c r="AD175" s="340" t="e">
        <f t="shared" si="992"/>
        <v>#VALUE!</v>
      </c>
      <c r="AE175" s="340" t="str">
        <f t="shared" si="993"/>
        <v/>
      </c>
      <c r="AF175" s="804" t="str">
        <f t="shared" si="994"/>
        <v>0</v>
      </c>
      <c r="AG175" s="340">
        <f t="shared" si="995"/>
        <v>-232891.77168599999</v>
      </c>
      <c r="AH175" s="338">
        <f>IFERROR(AF175/AC175,"")</f>
        <v>0</v>
      </c>
      <c r="AI175" s="340">
        <f t="shared" si="996"/>
        <v>559683.23517750006</v>
      </c>
      <c r="AJ175" s="340" t="str">
        <f t="shared" si="997"/>
        <v>0</v>
      </c>
      <c r="AK175" s="340">
        <f t="shared" si="998"/>
        <v>0</v>
      </c>
      <c r="AL175" s="340">
        <f t="shared" ref="AL175:AM175" si="1059">SUM(AE175,X175,Q175)</f>
        <v>0</v>
      </c>
      <c r="AM175" s="340">
        <f t="shared" si="1059"/>
        <v>0</v>
      </c>
      <c r="AN175" s="340">
        <f t="shared" si="1000"/>
        <v>-559683.23517750006</v>
      </c>
      <c r="AO175" s="338">
        <f>IFERROR(AM175/AI175,"")</f>
        <v>0</v>
      </c>
      <c r="AP175" s="805">
        <f t="shared" si="1032"/>
        <v>129926.59</v>
      </c>
      <c r="AQ175" s="340" t="e">
        <f t="shared" si="1013"/>
        <v>#VALUE!</v>
      </c>
      <c r="AR175" s="506" t="str">
        <f t="shared" si="1014"/>
        <v/>
      </c>
      <c r="AS175" s="348" t="str">
        <f t="shared" si="1015"/>
        <v>0</v>
      </c>
      <c r="AT175" s="805">
        <f t="shared" si="1033"/>
        <v>0</v>
      </c>
      <c r="AU175" s="259" t="e">
        <f t="shared" si="978"/>
        <v>#VALUE!</v>
      </c>
      <c r="AV175" s="340" t="str">
        <f t="shared" si="979"/>
        <v/>
      </c>
      <c r="AW175" s="348" t="str">
        <f t="shared" si="980"/>
        <v>0</v>
      </c>
      <c r="AX175" s="805">
        <f t="shared" si="1034"/>
        <v>0</v>
      </c>
      <c r="AY175" s="805"/>
      <c r="AZ175" s="506"/>
      <c r="BA175" s="506"/>
      <c r="BB175" s="506"/>
      <c r="BC175" s="506"/>
      <c r="BD175" s="506"/>
      <c r="BE175" s="506"/>
      <c r="BF175" s="506"/>
      <c r="BG175" s="506"/>
      <c r="BH175" s="340">
        <f t="shared" si="977"/>
        <v>0</v>
      </c>
      <c r="BI175" s="506"/>
      <c r="BJ175" s="506"/>
      <c r="BK175" s="506"/>
      <c r="BL175" s="805">
        <f t="shared" si="1036"/>
        <v>0</v>
      </c>
      <c r="BM175" s="806"/>
      <c r="BN175" s="804"/>
      <c r="BO175" s="804"/>
      <c r="BP175" s="806">
        <f t="shared" si="1037"/>
        <v>0</v>
      </c>
      <c r="BQ175" s="806"/>
      <c r="BR175" s="806"/>
      <c r="BS175" s="806"/>
      <c r="BT175" s="806"/>
      <c r="BU175" s="806"/>
      <c r="BV175" s="806"/>
      <c r="BW175" s="349">
        <f t="shared" si="1004"/>
        <v>0</v>
      </c>
      <c r="BX175" s="807" t="e">
        <f t="shared" si="1005"/>
        <v>#VALUE!</v>
      </c>
      <c r="BY175" s="807" t="str">
        <f t="shared" si="1006"/>
        <v/>
      </c>
      <c r="BZ175" s="808" t="str">
        <f t="shared" si="1007"/>
        <v>0</v>
      </c>
      <c r="CA175" s="349">
        <f t="shared" si="1008"/>
        <v>0</v>
      </c>
      <c r="CB175" s="348">
        <f t="shared" si="1009"/>
        <v>0</v>
      </c>
      <c r="CY175" s="294"/>
      <c r="DF175" s="296"/>
    </row>
    <row r="176" spans="1:119" ht="13">
      <c r="B176" s="294"/>
      <c r="F176" s="296"/>
      <c r="J176" s="302"/>
      <c r="M176" s="809" t="s">
        <v>678</v>
      </c>
      <c r="R176" s="188"/>
      <c r="T176" s="295"/>
      <c r="Y176" s="188"/>
      <c r="AA176" s="295"/>
      <c r="AF176" s="188"/>
      <c r="AH176" s="295"/>
      <c r="AI176" s="188"/>
      <c r="AJ176" s="188"/>
      <c r="AK176" s="188"/>
      <c r="AL176" s="188"/>
      <c r="AM176" s="188"/>
      <c r="AN176" s="188"/>
      <c r="AO176" s="299"/>
      <c r="AS176" s="296"/>
      <c r="AW176" s="296"/>
      <c r="BH176" s="296" t="str">
        <f t="shared" si="977"/>
        <v/>
      </c>
      <c r="BN176" s="296"/>
      <c r="BO176" s="296"/>
      <c r="CY176" s="294"/>
      <c r="DF176" s="296"/>
    </row>
    <row r="177" spans="2:114" ht="13">
      <c r="B177" s="294"/>
      <c r="F177" s="296"/>
      <c r="J177" s="302"/>
      <c r="M177" s="484" t="s">
        <v>354</v>
      </c>
      <c r="R177" s="188"/>
      <c r="T177" s="295"/>
      <c r="Y177" s="188"/>
      <c r="AA177" s="295"/>
      <c r="AF177" s="188"/>
      <c r="AH177" s="295"/>
      <c r="AI177" s="188"/>
      <c r="AJ177" s="188"/>
      <c r="AK177" s="188"/>
      <c r="AL177" s="188"/>
      <c r="AM177" s="188"/>
      <c r="AN177" s="188"/>
      <c r="AO177" s="299"/>
      <c r="AS177" s="296"/>
      <c r="AW177" s="296"/>
      <c r="BN177" s="296"/>
      <c r="BO177" s="296"/>
      <c r="CY177" s="294"/>
      <c r="DF177" s="296"/>
    </row>
    <row r="178" spans="2:114" ht="13">
      <c r="B178" s="294"/>
      <c r="F178" s="296"/>
      <c r="J178" s="302"/>
      <c r="M178" s="619" t="s">
        <v>355</v>
      </c>
      <c r="R178" s="188"/>
      <c r="T178" s="295"/>
      <c r="Y178" s="188"/>
      <c r="AA178" s="295"/>
      <c r="AF178" s="188"/>
      <c r="AH178" s="295"/>
      <c r="AI178" s="188"/>
      <c r="AJ178" s="188"/>
      <c r="AK178" s="188"/>
      <c r="AL178" s="188"/>
      <c r="AM178" s="188"/>
      <c r="AN178" s="188"/>
      <c r="AO178" s="299"/>
      <c r="AS178" s="296"/>
      <c r="AW178" s="296"/>
      <c r="BN178" s="296"/>
      <c r="BO178" s="296"/>
      <c r="CY178" s="294"/>
      <c r="DF178" s="296"/>
    </row>
    <row r="179" spans="2:114" ht="13">
      <c r="B179" s="294"/>
      <c r="F179" s="296"/>
      <c r="J179" s="302"/>
      <c r="R179" s="188"/>
      <c r="T179" s="295"/>
      <c r="Y179" s="188"/>
      <c r="AA179" s="295"/>
      <c r="AF179" s="188"/>
      <c r="AH179" s="295"/>
      <c r="AI179" s="188"/>
      <c r="AJ179" s="188"/>
      <c r="AK179" s="188"/>
      <c r="AL179" s="188"/>
      <c r="AM179" s="188"/>
      <c r="AN179" s="188"/>
      <c r="AO179" s="299"/>
      <c r="AS179" s="296"/>
      <c r="AW179" s="296"/>
      <c r="BN179" s="296"/>
      <c r="BO179" s="296"/>
      <c r="CY179" s="294"/>
      <c r="DF179" s="296"/>
    </row>
    <row r="180" spans="2:114" ht="13">
      <c r="B180" s="294"/>
      <c r="F180" s="296"/>
      <c r="J180" s="302"/>
      <c r="R180" s="188"/>
      <c r="T180" s="295"/>
      <c r="Y180" s="188"/>
      <c r="AA180" s="295"/>
      <c r="AF180" s="188"/>
      <c r="AH180" s="295"/>
      <c r="AI180" s="188"/>
      <c r="AJ180" s="188"/>
      <c r="AK180" s="188"/>
      <c r="AL180" s="188"/>
      <c r="AM180" s="188"/>
      <c r="AN180" s="188"/>
      <c r="AO180" s="299"/>
      <c r="AS180" s="296"/>
      <c r="AW180" s="296"/>
      <c r="BN180" s="296"/>
      <c r="BO180" s="296"/>
      <c r="CY180" s="294"/>
      <c r="DF180" s="296"/>
    </row>
    <row r="181" spans="2:114" ht="13">
      <c r="B181" s="294"/>
      <c r="F181" s="296"/>
      <c r="J181" s="302"/>
      <c r="R181" s="188"/>
      <c r="T181" s="295"/>
      <c r="Y181" s="188"/>
      <c r="AA181" s="295"/>
      <c r="AF181" s="188"/>
      <c r="AH181" s="295"/>
      <c r="AI181" s="188"/>
      <c r="AJ181" s="188"/>
      <c r="AK181" s="188"/>
      <c r="AL181" s="188"/>
      <c r="AM181" s="188"/>
      <c r="AN181" s="188"/>
      <c r="AO181" s="299"/>
      <c r="AS181" s="296"/>
      <c r="AW181" s="296"/>
      <c r="BN181" s="296"/>
      <c r="BO181" s="296"/>
      <c r="CY181" s="294"/>
      <c r="DF181" s="296"/>
    </row>
    <row r="182" spans="2:114" ht="13">
      <c r="B182" s="294"/>
      <c r="F182" s="296"/>
      <c r="J182" s="302"/>
      <c r="R182" s="188"/>
      <c r="T182" s="295"/>
      <c r="Y182" s="188"/>
      <c r="AA182" s="295"/>
      <c r="AF182" s="188"/>
      <c r="AH182" s="295"/>
      <c r="AI182" s="188"/>
      <c r="AJ182" s="188"/>
      <c r="AK182" s="188"/>
      <c r="AL182" s="188"/>
      <c r="AM182" s="188"/>
      <c r="AN182" s="188"/>
      <c r="AO182" s="299"/>
      <c r="AS182" s="296"/>
      <c r="AW182" s="296"/>
      <c r="BN182" s="296"/>
      <c r="BO182" s="296"/>
      <c r="CY182" s="294"/>
      <c r="DF182" s="296"/>
    </row>
    <row r="183" spans="2:114" ht="13">
      <c r="B183" s="294"/>
      <c r="F183" s="296"/>
      <c r="J183" s="302"/>
      <c r="R183" s="188"/>
      <c r="T183" s="295"/>
      <c r="Y183" s="188"/>
      <c r="AA183" s="295"/>
      <c r="AF183" s="188"/>
      <c r="AH183" s="295"/>
      <c r="AI183" s="188"/>
      <c r="AJ183" s="188"/>
      <c r="AK183" s="188"/>
      <c r="AL183" s="188"/>
      <c r="AM183" s="188"/>
      <c r="AN183" s="188"/>
      <c r="AO183" s="299"/>
      <c r="AS183" s="296"/>
      <c r="AW183" s="296"/>
      <c r="BN183" s="296"/>
      <c r="BO183" s="296"/>
      <c r="CY183" s="294"/>
      <c r="DF183" s="296"/>
    </row>
    <row r="184" spans="2:114" ht="13">
      <c r="B184" s="294"/>
      <c r="F184" s="296"/>
      <c r="J184" s="302"/>
      <c r="R184" s="188"/>
      <c r="T184" s="295"/>
      <c r="Y184" s="188"/>
      <c r="AA184" s="295"/>
      <c r="AF184" s="188"/>
      <c r="AH184" s="295"/>
      <c r="AI184" s="188"/>
      <c r="AJ184" s="188"/>
      <c r="AK184" s="188"/>
      <c r="AL184" s="188"/>
      <c r="AM184" s="188"/>
      <c r="AN184" s="188"/>
      <c r="AO184" s="299"/>
      <c r="AS184" s="296"/>
      <c r="AW184" s="296"/>
      <c r="BN184" s="296"/>
      <c r="BO184" s="296"/>
      <c r="CY184" s="294"/>
      <c r="DF184" s="296"/>
    </row>
    <row r="185" spans="2:114" ht="13">
      <c r="B185" s="294"/>
      <c r="F185" s="296"/>
      <c r="J185" s="302"/>
      <c r="R185" s="188"/>
      <c r="T185" s="295"/>
      <c r="Y185" s="188"/>
      <c r="AA185" s="295"/>
      <c r="AF185" s="188"/>
      <c r="AH185" s="295"/>
      <c r="AI185" s="188"/>
      <c r="AJ185" s="188"/>
      <c r="AK185" s="188"/>
      <c r="AL185" s="188"/>
      <c r="AM185" s="188"/>
      <c r="AN185" s="188"/>
      <c r="AO185" s="299"/>
      <c r="AS185" s="296"/>
      <c r="AW185" s="296"/>
      <c r="BN185" s="296"/>
      <c r="BO185" s="296"/>
      <c r="CY185" s="294"/>
      <c r="DF185" s="296"/>
    </row>
    <row r="186" spans="2:114" ht="13">
      <c r="B186" s="294"/>
      <c r="F186" s="296"/>
      <c r="J186" s="302"/>
      <c r="R186" s="188"/>
      <c r="T186" s="295"/>
      <c r="Y186" s="188"/>
      <c r="AA186" s="295"/>
      <c r="AF186" s="188"/>
      <c r="AH186" s="295"/>
      <c r="AI186" s="188"/>
      <c r="AJ186" s="188"/>
      <c r="AK186" s="188"/>
      <c r="AL186" s="188"/>
      <c r="AM186" s="188"/>
      <c r="AN186" s="188"/>
      <c r="AO186" s="299"/>
      <c r="AS186" s="296"/>
      <c r="AW186" s="296"/>
      <c r="BN186" s="296"/>
      <c r="BO186" s="296"/>
      <c r="CY186" s="294"/>
      <c r="DF186" s="296"/>
    </row>
    <row r="187" spans="2:114" ht="13">
      <c r="B187" s="294"/>
      <c r="F187" s="296"/>
      <c r="J187" s="302"/>
      <c r="R187" s="188"/>
      <c r="T187" s="295"/>
      <c r="Y187" s="188"/>
      <c r="AA187" s="295"/>
      <c r="AF187" s="188"/>
      <c r="AH187" s="295"/>
      <c r="AI187" s="188"/>
      <c r="AJ187" s="188"/>
      <c r="AK187" s="188"/>
      <c r="AL187" s="188"/>
      <c r="AM187" s="188"/>
      <c r="AN187" s="188"/>
      <c r="AO187" s="299"/>
      <c r="AS187" s="296"/>
      <c r="AW187" s="296"/>
      <c r="BN187" s="296"/>
      <c r="BO187" s="296"/>
      <c r="CY187" s="294"/>
      <c r="DF187" s="296"/>
    </row>
    <row r="188" spans="2:114" ht="13">
      <c r="B188" s="294"/>
      <c r="F188" s="296"/>
      <c r="J188" s="302"/>
      <c r="R188" s="188"/>
      <c r="T188" s="295"/>
      <c r="Y188" s="188"/>
      <c r="AA188" s="295"/>
      <c r="AF188" s="188"/>
      <c r="AH188" s="295"/>
      <c r="AI188" s="188"/>
      <c r="AJ188" s="188"/>
      <c r="AK188" s="188"/>
      <c r="AL188" s="188"/>
      <c r="AM188" s="188"/>
      <c r="AN188" s="188"/>
      <c r="AO188" s="299"/>
      <c r="AS188" s="296"/>
      <c r="AW188" s="296"/>
      <c r="BN188" s="296"/>
      <c r="BO188" s="296"/>
      <c r="CY188" s="294"/>
      <c r="DF188" s="296"/>
    </row>
    <row r="189" spans="2:114" ht="13">
      <c r="B189" s="294"/>
      <c r="F189" s="296"/>
      <c r="J189" s="302"/>
      <c r="R189" s="188"/>
      <c r="T189" s="295"/>
      <c r="Y189" s="188"/>
      <c r="AA189" s="295"/>
      <c r="AF189" s="188"/>
      <c r="AH189" s="295"/>
      <c r="AI189" s="188"/>
      <c r="AJ189" s="188"/>
      <c r="AK189" s="188"/>
      <c r="AL189" s="188"/>
      <c r="AM189" s="188"/>
      <c r="AN189" s="188"/>
      <c r="AO189" s="299"/>
      <c r="AS189" s="296"/>
      <c r="AW189" s="296"/>
      <c r="BN189" s="296"/>
      <c r="BO189" s="296"/>
      <c r="CY189" s="294"/>
      <c r="DF189" s="296"/>
    </row>
    <row r="190" spans="2:114" ht="13">
      <c r="B190" s="294"/>
      <c r="F190" s="296"/>
      <c r="J190" s="302"/>
      <c r="R190" s="188"/>
      <c r="T190" s="295"/>
      <c r="Y190" s="188"/>
      <c r="AA190" s="295"/>
      <c r="AF190" s="188"/>
      <c r="AH190" s="295"/>
      <c r="AI190" s="188"/>
      <c r="AJ190" s="188"/>
      <c r="AK190" s="188"/>
      <c r="AL190" s="188"/>
      <c r="AM190" s="188"/>
      <c r="AN190" s="188"/>
      <c r="AO190" s="299"/>
      <c r="AS190" s="296"/>
      <c r="AW190" s="296"/>
      <c r="BN190" s="296"/>
      <c r="BO190" s="296"/>
      <c r="CY190" s="294"/>
      <c r="DF190" s="296"/>
    </row>
    <row r="191" spans="2:114" ht="13">
      <c r="B191" s="294"/>
      <c r="F191" s="296"/>
      <c r="J191" s="302"/>
      <c r="R191" s="188"/>
      <c r="T191" s="295"/>
      <c r="Y191" s="188"/>
      <c r="AA191" s="295"/>
      <c r="AF191" s="188"/>
      <c r="AH191" s="295"/>
      <c r="AI191" s="188"/>
      <c r="AJ191" s="188"/>
      <c r="AK191" s="188"/>
      <c r="AL191" s="188"/>
      <c r="AM191" s="188"/>
      <c r="AN191" s="188"/>
      <c r="AO191" s="299"/>
      <c r="AS191" s="296"/>
      <c r="AW191" s="296"/>
      <c r="BN191" s="296"/>
      <c r="BO191" s="296"/>
      <c r="CY191" s="294"/>
      <c r="DF191" s="296"/>
    </row>
    <row r="192" spans="2:114" ht="13">
      <c r="B192" s="294"/>
      <c r="F192" s="296"/>
      <c r="J192" s="302"/>
      <c r="R192" s="188"/>
      <c r="T192" s="295"/>
      <c r="Y192" s="188"/>
      <c r="AA192" s="295"/>
      <c r="AF192" s="188"/>
      <c r="AH192" s="295"/>
      <c r="AI192" s="188"/>
      <c r="AJ192" s="188"/>
      <c r="AK192" s="188"/>
      <c r="AL192" s="188"/>
      <c r="AM192" s="188"/>
      <c r="AN192" s="188"/>
      <c r="AO192" s="299"/>
      <c r="AS192" s="296"/>
      <c r="AW192" s="296"/>
      <c r="BN192" s="296"/>
      <c r="BO192" s="296"/>
      <c r="CY192" s="294"/>
      <c r="DB192" s="352">
        <f>DB196-R161</f>
        <v>1.0000050067901611E-2</v>
      </c>
      <c r="DC192" s="352">
        <f>DC196-Y161</f>
        <v>-1.999993622303009E-2</v>
      </c>
      <c r="DD192" s="352">
        <f>DD196-AF161</f>
        <v>-9.9999606609344482E-3</v>
      </c>
      <c r="DE192" s="352">
        <f>DE196-AS161</f>
        <v>-1.0000050067901611E-2</v>
      </c>
      <c r="DF192" s="296">
        <f>DF196-AW161</f>
        <v>9.9999606609344482E-3</v>
      </c>
      <c r="DG192" s="352">
        <f>DG196-BA161</f>
        <v>1.9999995827674866E-2</v>
      </c>
      <c r="DH192" s="352">
        <f>DH196-BK161</f>
        <v>-1.0000079870223999E-2</v>
      </c>
      <c r="DI192" s="352">
        <f>DI196-BO161</f>
        <v>-3.9999872446060181E-2</v>
      </c>
      <c r="DJ192" s="352">
        <f>DJ196-BS161</f>
        <v>-4.0000006556510925E-2</v>
      </c>
    </row>
    <row r="193" spans="2:119" ht="13">
      <c r="B193" s="294"/>
      <c r="F193" s="296"/>
      <c r="J193" s="302"/>
      <c r="R193" s="188"/>
      <c r="T193" s="295"/>
      <c r="Y193" s="188"/>
      <c r="AA193" s="295"/>
      <c r="AF193" s="188"/>
      <c r="AH193" s="295"/>
      <c r="AI193" s="188"/>
      <c r="AJ193" s="188"/>
      <c r="AK193" s="188"/>
      <c r="AL193" s="188"/>
      <c r="AM193" s="188"/>
      <c r="AN193" s="188"/>
      <c r="AO193" s="299"/>
      <c r="AS193" s="296"/>
      <c r="AW193" s="296"/>
      <c r="BN193" s="296"/>
      <c r="BO193" s="296"/>
      <c r="CY193" s="509">
        <v>0</v>
      </c>
      <c r="CZ193" s="354">
        <v>1</v>
      </c>
      <c r="DA193" s="354">
        <v>2</v>
      </c>
      <c r="DB193" s="354">
        <v>3</v>
      </c>
      <c r="DC193" s="354">
        <v>4</v>
      </c>
      <c r="DD193" s="354">
        <v>5</v>
      </c>
      <c r="DE193" s="354">
        <v>6</v>
      </c>
      <c r="DF193" s="810">
        <v>7</v>
      </c>
      <c r="DG193" s="354">
        <v>8</v>
      </c>
      <c r="DH193" s="354">
        <v>9</v>
      </c>
      <c r="DI193" s="354">
        <v>10</v>
      </c>
      <c r="DJ193" s="354">
        <v>11</v>
      </c>
      <c r="DK193" s="354">
        <v>12</v>
      </c>
      <c r="DL193" s="354">
        <v>13</v>
      </c>
      <c r="DM193" s="354">
        <v>14</v>
      </c>
      <c r="DN193" s="354">
        <v>15</v>
      </c>
      <c r="DO193" s="355">
        <v>16</v>
      </c>
    </row>
    <row r="194" spans="2:119" ht="13">
      <c r="B194" s="294"/>
      <c r="F194" s="296"/>
      <c r="J194" s="302"/>
      <c r="R194" s="188"/>
      <c r="T194" s="295"/>
      <c r="Y194" s="188"/>
      <c r="AA194" s="295"/>
      <c r="AF194" s="188"/>
      <c r="AH194" s="295"/>
      <c r="AI194" s="188"/>
      <c r="AJ194" s="188"/>
      <c r="AK194" s="188"/>
      <c r="AL194" s="188"/>
      <c r="AM194" s="188"/>
      <c r="AN194" s="188"/>
      <c r="AO194" s="299"/>
      <c r="AS194" s="296"/>
      <c r="AW194" s="296"/>
      <c r="BN194" s="296"/>
      <c r="BO194" s="296"/>
      <c r="CY194" s="510"/>
      <c r="DB194" s="357">
        <v>45658</v>
      </c>
      <c r="DC194" s="357">
        <v>45689</v>
      </c>
      <c r="DD194" s="357">
        <v>45717</v>
      </c>
      <c r="DE194" s="357">
        <v>45748</v>
      </c>
      <c r="DF194" s="360">
        <v>45778</v>
      </c>
      <c r="DG194" s="357">
        <v>45809</v>
      </c>
      <c r="DH194" s="357">
        <v>45839</v>
      </c>
      <c r="DI194" s="357">
        <v>45870</v>
      </c>
      <c r="DJ194" s="357">
        <v>45901</v>
      </c>
      <c r="DK194" s="357">
        <v>45931</v>
      </c>
      <c r="DL194" s="357">
        <v>45962</v>
      </c>
      <c r="DM194" s="357">
        <v>45992</v>
      </c>
      <c r="DN194" s="357"/>
      <c r="DO194" s="358"/>
    </row>
    <row r="195" spans="2:119" ht="13">
      <c r="B195" s="294"/>
      <c r="F195" s="296"/>
      <c r="J195" s="302"/>
      <c r="R195" s="188"/>
      <c r="T195" s="295"/>
      <c r="Y195" s="188"/>
      <c r="AA195" s="295"/>
      <c r="AF195" s="188"/>
      <c r="AH195" s="295"/>
      <c r="AI195" s="188"/>
      <c r="AJ195" s="188"/>
      <c r="AK195" s="188"/>
      <c r="AL195" s="188"/>
      <c r="AM195" s="188"/>
      <c r="AN195" s="188"/>
      <c r="AO195" s="299"/>
      <c r="AS195" s="296"/>
      <c r="AW195" s="296"/>
      <c r="BN195" s="296"/>
      <c r="BO195" s="296"/>
      <c r="CY195" s="510"/>
      <c r="CZ195" s="511"/>
      <c r="DA195" s="377" t="s">
        <v>241</v>
      </c>
      <c r="DB195" s="360">
        <v>45658</v>
      </c>
      <c r="DC195" s="360">
        <v>45689</v>
      </c>
      <c r="DD195" s="360">
        <v>45717</v>
      </c>
      <c r="DE195" s="360">
        <v>45748</v>
      </c>
      <c r="DF195" s="360">
        <v>45778</v>
      </c>
      <c r="DG195" s="360">
        <v>45809</v>
      </c>
      <c r="DH195" s="360">
        <v>45839</v>
      </c>
      <c r="DI195" s="360">
        <v>45870</v>
      </c>
      <c r="DJ195" s="360">
        <v>45901</v>
      </c>
      <c r="DK195" s="360">
        <v>45931</v>
      </c>
      <c r="DL195" s="360"/>
      <c r="DM195" s="360"/>
      <c r="DN195" s="357"/>
      <c r="DO195" s="358"/>
    </row>
    <row r="196" spans="2:119" ht="13">
      <c r="B196" s="294"/>
      <c r="F196" s="296"/>
      <c r="J196" s="302"/>
      <c r="R196" s="188"/>
      <c r="T196" s="295"/>
      <c r="Y196" s="188"/>
      <c r="AA196" s="295"/>
      <c r="AF196" s="188"/>
      <c r="AH196" s="295"/>
      <c r="AI196" s="188"/>
      <c r="AJ196" s="188"/>
      <c r="AK196" s="188"/>
      <c r="AL196" s="188"/>
      <c r="AM196" s="188"/>
      <c r="AN196" s="188"/>
      <c r="AO196" s="299"/>
      <c r="AS196" s="296"/>
      <c r="AW196" s="296"/>
      <c r="BN196" s="296"/>
      <c r="BO196" s="296"/>
      <c r="CY196" s="510"/>
      <c r="CZ196" s="359" t="s">
        <v>241</v>
      </c>
      <c r="DA196" s="361">
        <v>1338076349.2</v>
      </c>
      <c r="DB196" s="361">
        <v>158182958.62</v>
      </c>
      <c r="DC196" s="361">
        <v>118998005.78</v>
      </c>
      <c r="DD196" s="361">
        <v>135547142.05000001</v>
      </c>
      <c r="DE196" s="361">
        <v>147254685.06</v>
      </c>
      <c r="DF196" s="811">
        <v>141314158.5</v>
      </c>
      <c r="DG196" s="361">
        <v>118990904.26000001</v>
      </c>
      <c r="DH196" s="361">
        <v>119518361</v>
      </c>
      <c r="DI196" s="361">
        <v>137216575.61000001</v>
      </c>
      <c r="DJ196" s="361">
        <v>110280737.92</v>
      </c>
      <c r="DK196" s="361">
        <v>150772820.38</v>
      </c>
      <c r="DL196" s="361"/>
      <c r="DM196" s="361"/>
      <c r="DN196" s="361"/>
      <c r="DO196" s="362"/>
    </row>
    <row r="197" spans="2:119" ht="13">
      <c r="B197" s="294"/>
      <c r="F197" s="296"/>
      <c r="J197" s="302"/>
      <c r="R197" s="188"/>
      <c r="T197" s="295"/>
      <c r="Y197" s="188"/>
      <c r="AA197" s="295"/>
      <c r="AF197" s="188"/>
      <c r="AH197" s="295"/>
      <c r="AI197" s="188"/>
      <c r="AJ197" s="188"/>
      <c r="AK197" s="188"/>
      <c r="AL197" s="188"/>
      <c r="AM197" s="188"/>
      <c r="AN197" s="188"/>
      <c r="AO197" s="299"/>
      <c r="AS197" s="296"/>
      <c r="AW197" s="296"/>
      <c r="BN197" s="296"/>
      <c r="BO197" s="296"/>
      <c r="CX197" s="302">
        <f t="shared" ref="CX197:CX228" si="1060">VLOOKUP(CZ197,LAGECARTERA,3,FALSE)</f>
        <v>112014170</v>
      </c>
      <c r="CY197" s="510">
        <v>1</v>
      </c>
      <c r="CZ197" s="359" t="s">
        <v>513</v>
      </c>
      <c r="DA197" s="361">
        <v>127634558.48</v>
      </c>
      <c r="DB197" s="352">
        <v>11334188.43</v>
      </c>
      <c r="DC197" s="352">
        <v>15581770.210000001</v>
      </c>
      <c r="DD197" s="361">
        <v>16442491.890000001</v>
      </c>
      <c r="DE197" s="361">
        <v>14213110.189999999</v>
      </c>
      <c r="DF197" s="811">
        <v>8716630.0600000005</v>
      </c>
      <c r="DG197" s="361">
        <v>13442612.41</v>
      </c>
      <c r="DH197" s="361">
        <v>9204869.5299999993</v>
      </c>
      <c r="DI197" s="361">
        <v>17651850.91</v>
      </c>
      <c r="DJ197" s="361">
        <v>10575931.77</v>
      </c>
      <c r="DK197" s="361">
        <v>10471103.07</v>
      </c>
      <c r="DL197" s="361"/>
      <c r="DM197" s="361"/>
      <c r="DN197" s="361"/>
      <c r="DO197" s="362"/>
    </row>
    <row r="198" spans="2:119" ht="13">
      <c r="B198" s="294"/>
      <c r="F198" s="296"/>
      <c r="J198" s="302"/>
      <c r="R198" s="188"/>
      <c r="T198" s="295"/>
      <c r="Y198" s="188"/>
      <c r="AA198" s="295"/>
      <c r="AF198" s="188"/>
      <c r="AH198" s="295"/>
      <c r="AI198" s="188"/>
      <c r="AJ198" s="188"/>
      <c r="AK198" s="188"/>
      <c r="AL198" s="188"/>
      <c r="AM198" s="188"/>
      <c r="AN198" s="188"/>
      <c r="AO198" s="299"/>
      <c r="AS198" s="296"/>
      <c r="AW198" s="296"/>
      <c r="BN198" s="296"/>
      <c r="BO198" s="296"/>
      <c r="CX198" s="302">
        <f t="shared" si="1060"/>
        <v>112014087</v>
      </c>
      <c r="CY198" s="510">
        <v>2</v>
      </c>
      <c r="CZ198" s="359" t="s">
        <v>512</v>
      </c>
      <c r="DA198" s="361">
        <v>59916571.619999997</v>
      </c>
      <c r="DB198" s="352">
        <v>9987292.3499999996</v>
      </c>
      <c r="DC198" s="361">
        <v>7543864.5499999998</v>
      </c>
      <c r="DD198" s="361">
        <v>6220562.1100000003</v>
      </c>
      <c r="DE198" s="361">
        <v>3901579.17</v>
      </c>
      <c r="DF198" s="811">
        <v>4987447.51</v>
      </c>
      <c r="DG198" s="361">
        <v>4354957.5999999996</v>
      </c>
      <c r="DH198" s="361">
        <v>2930242.9</v>
      </c>
      <c r="DI198" s="361">
        <v>3654533.46</v>
      </c>
      <c r="DJ198" s="361">
        <v>1683137.21</v>
      </c>
      <c r="DK198" s="361">
        <v>14652954.76</v>
      </c>
      <c r="DL198" s="361"/>
      <c r="DM198" s="361"/>
      <c r="DN198" s="361"/>
      <c r="DO198" s="362"/>
    </row>
    <row r="199" spans="2:119" ht="13">
      <c r="B199" s="294"/>
      <c r="F199" s="296"/>
      <c r="J199" s="302"/>
      <c r="R199" s="188"/>
      <c r="T199" s="295"/>
      <c r="Y199" s="188"/>
      <c r="AA199" s="295"/>
      <c r="AF199" s="188"/>
      <c r="AH199" s="295"/>
      <c r="AI199" s="188"/>
      <c r="AJ199" s="188"/>
      <c r="AK199" s="188"/>
      <c r="AL199" s="188"/>
      <c r="AM199" s="188"/>
      <c r="AN199" s="188"/>
      <c r="AO199" s="299"/>
      <c r="AS199" s="296"/>
      <c r="AW199" s="296"/>
      <c r="BN199" s="296"/>
      <c r="BO199" s="296"/>
      <c r="CX199" s="302">
        <f t="shared" si="1060"/>
        <v>112013271</v>
      </c>
      <c r="CY199" s="510">
        <v>3</v>
      </c>
      <c r="CZ199" s="359" t="s">
        <v>510</v>
      </c>
      <c r="DA199" s="361">
        <v>54417327.030000001</v>
      </c>
      <c r="DB199" s="361">
        <v>4131985.05</v>
      </c>
      <c r="DC199" s="361">
        <v>3150640.02</v>
      </c>
      <c r="DD199" s="361">
        <v>5583773.6600000001</v>
      </c>
      <c r="DE199" s="361">
        <v>4549306.59</v>
      </c>
      <c r="DF199" s="811">
        <v>10551795.210000001</v>
      </c>
      <c r="DG199" s="361">
        <v>3617641.51</v>
      </c>
      <c r="DH199" s="361">
        <v>6299741.3499999996</v>
      </c>
      <c r="DI199" s="361">
        <v>7394145.8200000003</v>
      </c>
      <c r="DJ199" s="361">
        <v>3207020.21</v>
      </c>
      <c r="DK199" s="361">
        <v>5931277.5999999996</v>
      </c>
      <c r="DL199" s="361"/>
      <c r="DM199" s="361"/>
      <c r="DN199" s="361"/>
      <c r="DO199" s="362"/>
    </row>
    <row r="200" spans="2:119" ht="13">
      <c r="B200" s="294"/>
      <c r="F200" s="296"/>
      <c r="J200" s="302"/>
      <c r="R200" s="188"/>
      <c r="T200" s="295"/>
      <c r="Y200" s="188"/>
      <c r="AA200" s="295"/>
      <c r="AF200" s="188"/>
      <c r="AH200" s="295"/>
      <c r="AI200" s="188"/>
      <c r="AJ200" s="188"/>
      <c r="AK200" s="188"/>
      <c r="AL200" s="188"/>
      <c r="AM200" s="188"/>
      <c r="AN200" s="188"/>
      <c r="AO200" s="299"/>
      <c r="AS200" s="296"/>
      <c r="AW200" s="296"/>
      <c r="BN200" s="296"/>
      <c r="BO200" s="296"/>
      <c r="CX200" s="302">
        <f t="shared" si="1060"/>
        <v>112014477</v>
      </c>
      <c r="CY200" s="510">
        <v>4</v>
      </c>
      <c r="CZ200" s="302" t="s">
        <v>522</v>
      </c>
      <c r="DA200" s="352">
        <v>51648922.280000001</v>
      </c>
      <c r="DB200" s="352">
        <v>3255008.3</v>
      </c>
      <c r="DC200" s="352">
        <v>4292496.5199999996</v>
      </c>
      <c r="DD200" s="352">
        <v>8144273.8600000003</v>
      </c>
      <c r="DE200" s="352">
        <v>16843780.48</v>
      </c>
      <c r="DF200" s="296">
        <v>1098323.46</v>
      </c>
      <c r="DG200" s="352">
        <v>3492989.53</v>
      </c>
      <c r="DH200" s="361">
        <v>0.01</v>
      </c>
      <c r="DI200" s="361">
        <v>10756426.109999999</v>
      </c>
      <c r="DJ200" s="361">
        <v>232184.72</v>
      </c>
      <c r="DK200" s="361">
        <v>3533439.3</v>
      </c>
      <c r="DL200" s="361"/>
      <c r="DM200" s="361"/>
      <c r="DN200" s="361"/>
      <c r="DO200" s="362"/>
    </row>
    <row r="201" spans="2:119" ht="13">
      <c r="B201" s="294"/>
      <c r="F201" s="296"/>
      <c r="J201" s="302"/>
      <c r="R201" s="188"/>
      <c r="T201" s="295"/>
      <c r="Y201" s="188"/>
      <c r="AA201" s="295"/>
      <c r="AF201" s="188"/>
      <c r="AH201" s="295"/>
      <c r="AI201" s="188"/>
      <c r="AJ201" s="188"/>
      <c r="AK201" s="188"/>
      <c r="AL201" s="188"/>
      <c r="AM201" s="188"/>
      <c r="AN201" s="188"/>
      <c r="AO201" s="299"/>
      <c r="AS201" s="296"/>
      <c r="AW201" s="296"/>
      <c r="BN201" s="296"/>
      <c r="BO201" s="296"/>
      <c r="CX201" s="302">
        <f t="shared" si="1060"/>
        <v>112012718</v>
      </c>
      <c r="CY201" s="510">
        <v>5</v>
      </c>
      <c r="CZ201" s="359" t="s">
        <v>555</v>
      </c>
      <c r="DA201" s="361">
        <v>50856646.159999996</v>
      </c>
      <c r="DB201" s="361">
        <v>3455111.26</v>
      </c>
      <c r="DC201" s="361">
        <v>7325224.3099999996</v>
      </c>
      <c r="DD201" s="361">
        <v>6802002.5999999996</v>
      </c>
      <c r="DE201" s="361">
        <v>3719540.75</v>
      </c>
      <c r="DF201" s="811">
        <v>12600566.210000001</v>
      </c>
      <c r="DG201" s="361">
        <v>18007873.579999998</v>
      </c>
      <c r="DH201" s="361">
        <v>-1402306.91</v>
      </c>
      <c r="DI201" s="361">
        <v>0</v>
      </c>
      <c r="DJ201" s="361">
        <v>0</v>
      </c>
      <c r="DK201" s="361">
        <v>348634.37</v>
      </c>
      <c r="DL201" s="361"/>
      <c r="DM201" s="361"/>
      <c r="DN201" s="361"/>
      <c r="DO201" s="362"/>
    </row>
    <row r="202" spans="2:119" ht="13">
      <c r="B202" s="294"/>
      <c r="F202" s="296"/>
      <c r="J202" s="302"/>
      <c r="R202" s="188"/>
      <c r="T202" s="295"/>
      <c r="Y202" s="188"/>
      <c r="AA202" s="295"/>
      <c r="AF202" s="188"/>
      <c r="AH202" s="295"/>
      <c r="AI202" s="188"/>
      <c r="AJ202" s="188"/>
      <c r="AK202" s="188"/>
      <c r="AL202" s="188"/>
      <c r="AM202" s="188"/>
      <c r="AN202" s="188"/>
      <c r="AO202" s="299"/>
      <c r="AS202" s="296"/>
      <c r="AW202" s="296"/>
      <c r="BN202" s="296"/>
      <c r="BO202" s="296"/>
      <c r="CX202" s="302">
        <f t="shared" si="1060"/>
        <v>112013279</v>
      </c>
      <c r="CY202" s="510">
        <v>6</v>
      </c>
      <c r="CZ202" s="359" t="s">
        <v>521</v>
      </c>
      <c r="DA202" s="361">
        <v>45970716.909999996</v>
      </c>
      <c r="DB202" s="361">
        <v>6070016.2699999996</v>
      </c>
      <c r="DC202" s="361">
        <v>3135256.38</v>
      </c>
      <c r="DD202" s="361">
        <v>4911328.33</v>
      </c>
      <c r="DE202" s="352">
        <v>4253123.59</v>
      </c>
      <c r="DF202" s="296">
        <v>3682810.14</v>
      </c>
      <c r="DG202" s="352">
        <v>5047823.97</v>
      </c>
      <c r="DH202" s="361">
        <v>5647434.9800000004</v>
      </c>
      <c r="DI202" s="361">
        <v>3467323.01</v>
      </c>
      <c r="DJ202" s="361">
        <v>5377799.3899999997</v>
      </c>
      <c r="DK202" s="361">
        <v>4377800.8499999996</v>
      </c>
      <c r="DL202" s="361"/>
      <c r="DM202" s="361"/>
      <c r="DN202" s="361"/>
      <c r="DO202" s="362"/>
    </row>
    <row r="203" spans="2:119" ht="13">
      <c r="B203" s="294"/>
      <c r="F203" s="296"/>
      <c r="J203" s="302"/>
      <c r="R203" s="188"/>
      <c r="T203" s="295"/>
      <c r="Y203" s="188"/>
      <c r="AA203" s="295"/>
      <c r="AF203" s="188"/>
      <c r="AH203" s="295"/>
      <c r="AI203" s="188"/>
      <c r="AJ203" s="188"/>
      <c r="AK203" s="188"/>
      <c r="AL203" s="188"/>
      <c r="AM203" s="188"/>
      <c r="AN203" s="188"/>
      <c r="AO203" s="299"/>
      <c r="AS203" s="296"/>
      <c r="AW203" s="296"/>
      <c r="BN203" s="296"/>
      <c r="BO203" s="296"/>
      <c r="CX203" s="302">
        <f t="shared" si="1060"/>
        <v>112014583</v>
      </c>
      <c r="CY203" s="510">
        <v>7</v>
      </c>
      <c r="CZ203" s="359" t="s">
        <v>515</v>
      </c>
      <c r="DA203" s="361">
        <v>45615264.219999999</v>
      </c>
      <c r="DB203" s="361">
        <v>3136105.89</v>
      </c>
      <c r="DC203" s="361">
        <v>2627273.73</v>
      </c>
      <c r="DD203" s="361">
        <v>1035392.53</v>
      </c>
      <c r="DE203" s="361">
        <v>1971791.33</v>
      </c>
      <c r="DF203" s="811">
        <v>14003677.939999999</v>
      </c>
      <c r="DG203" s="361">
        <v>1576392.8</v>
      </c>
      <c r="DH203" s="361">
        <v>3316408.7</v>
      </c>
      <c r="DI203" s="361">
        <v>228076.99</v>
      </c>
      <c r="DJ203" s="361">
        <v>5147250.5199999996</v>
      </c>
      <c r="DK203" s="361">
        <v>12572893.810000001</v>
      </c>
      <c r="DL203" s="361"/>
      <c r="DM203" s="361"/>
      <c r="DN203" s="361"/>
      <c r="DO203" s="362"/>
    </row>
    <row r="204" spans="2:119" ht="13">
      <c r="B204" s="294"/>
      <c r="F204" s="296"/>
      <c r="J204" s="302"/>
      <c r="R204" s="188"/>
      <c r="T204" s="295"/>
      <c r="Y204" s="188"/>
      <c r="AA204" s="295"/>
      <c r="AF204" s="188"/>
      <c r="AH204" s="295"/>
      <c r="AI204" s="188"/>
      <c r="AJ204" s="188"/>
      <c r="AK204" s="188"/>
      <c r="AL204" s="188"/>
      <c r="AM204" s="188"/>
      <c r="AN204" s="188"/>
      <c r="AO204" s="299"/>
      <c r="AS204" s="296"/>
      <c r="AW204" s="296"/>
      <c r="BN204" s="296"/>
      <c r="BO204" s="296"/>
      <c r="CX204" s="302">
        <f t="shared" si="1060"/>
        <v>112014505</v>
      </c>
      <c r="CY204" s="510">
        <v>8</v>
      </c>
      <c r="CZ204" s="359" t="s">
        <v>509</v>
      </c>
      <c r="DA204" s="361">
        <v>43491963.369999997</v>
      </c>
      <c r="DB204" s="361">
        <v>32855470.710000001</v>
      </c>
      <c r="DC204" s="361">
        <v>-142788.07999999999</v>
      </c>
      <c r="DD204" s="361">
        <v>5429592.1500000004</v>
      </c>
      <c r="DE204" s="361">
        <v>353579.15</v>
      </c>
      <c r="DF204" s="811">
        <v>0</v>
      </c>
      <c r="DG204" s="361">
        <v>0</v>
      </c>
      <c r="DH204" s="361">
        <v>775117.57</v>
      </c>
      <c r="DI204" s="361">
        <v>2267575.7400000002</v>
      </c>
      <c r="DJ204" s="361">
        <v>150440.26</v>
      </c>
      <c r="DK204" s="361">
        <v>1802975.86</v>
      </c>
      <c r="DL204" s="361"/>
      <c r="DM204" s="361"/>
      <c r="DN204" s="361"/>
      <c r="DO204" s="362"/>
    </row>
    <row r="205" spans="2:119" ht="13">
      <c r="B205" s="294"/>
      <c r="F205" s="296"/>
      <c r="J205" s="302"/>
      <c r="R205" s="188"/>
      <c r="T205" s="295"/>
      <c r="Y205" s="188"/>
      <c r="AA205" s="295"/>
      <c r="AF205" s="188"/>
      <c r="AH205" s="295"/>
      <c r="AI205" s="188"/>
      <c r="AJ205" s="188"/>
      <c r="AK205" s="188"/>
      <c r="AL205" s="188"/>
      <c r="AM205" s="188"/>
      <c r="AN205" s="188"/>
      <c r="AO205" s="299"/>
      <c r="AS205" s="296"/>
      <c r="AW205" s="296"/>
      <c r="BN205" s="296"/>
      <c r="BO205" s="296"/>
      <c r="CX205" s="302">
        <f t="shared" si="1060"/>
        <v>112013770</v>
      </c>
      <c r="CY205" s="510">
        <v>9</v>
      </c>
      <c r="CZ205" s="359" t="s">
        <v>511</v>
      </c>
      <c r="DA205" s="361">
        <v>42544720.920000002</v>
      </c>
      <c r="DB205" s="361">
        <v>4277047.26</v>
      </c>
      <c r="DC205" s="361">
        <v>6552178.3200000003</v>
      </c>
      <c r="DD205" s="361">
        <v>5847782.9400000004</v>
      </c>
      <c r="DE205" s="361">
        <v>6126441.4900000002</v>
      </c>
      <c r="DF205" s="811">
        <v>3775798.4</v>
      </c>
      <c r="DG205" s="361">
        <v>2206635.89</v>
      </c>
      <c r="DH205" s="361">
        <v>2365802.23</v>
      </c>
      <c r="DI205" s="361">
        <v>7698947.1299999999</v>
      </c>
      <c r="DJ205" s="361">
        <v>1815270.94</v>
      </c>
      <c r="DK205" s="361">
        <v>1878816.31</v>
      </c>
      <c r="DL205" s="361"/>
      <c r="DM205" s="361"/>
      <c r="DN205" s="361"/>
      <c r="DO205" s="362"/>
    </row>
    <row r="206" spans="2:119" ht="13">
      <c r="B206" s="294"/>
      <c r="F206" s="296"/>
      <c r="J206" s="302"/>
      <c r="R206" s="188"/>
      <c r="T206" s="295"/>
      <c r="Y206" s="188"/>
      <c r="AA206" s="295"/>
      <c r="AF206" s="188"/>
      <c r="AH206" s="295"/>
      <c r="AI206" s="188"/>
      <c r="AJ206" s="188"/>
      <c r="AK206" s="188"/>
      <c r="AL206" s="188"/>
      <c r="AM206" s="188"/>
      <c r="AN206" s="188"/>
      <c r="AO206" s="299"/>
      <c r="AS206" s="296"/>
      <c r="AW206" s="296"/>
      <c r="BN206" s="296"/>
      <c r="BO206" s="296"/>
      <c r="CX206" s="302">
        <f t="shared" si="1060"/>
        <v>112010947</v>
      </c>
      <c r="CY206" s="510">
        <v>10</v>
      </c>
      <c r="CZ206" s="359" t="s">
        <v>604</v>
      </c>
      <c r="DA206" s="361">
        <v>38429791.32</v>
      </c>
      <c r="DB206" s="361">
        <v>0</v>
      </c>
      <c r="DC206" s="361">
        <v>0</v>
      </c>
      <c r="DD206" s="361">
        <v>4770651.2</v>
      </c>
      <c r="DE206" s="352">
        <v>4474535.9800000004</v>
      </c>
      <c r="DF206" s="296">
        <v>4857070.42</v>
      </c>
      <c r="DG206" s="352">
        <v>4027845.98</v>
      </c>
      <c r="DH206" s="361">
        <v>4606084.1100000003</v>
      </c>
      <c r="DI206" s="361">
        <v>3812315.71</v>
      </c>
      <c r="DJ206" s="361">
        <v>6277293.6299999999</v>
      </c>
      <c r="DK206" s="361">
        <v>5603994.29</v>
      </c>
      <c r="DL206" s="361"/>
      <c r="DM206" s="361"/>
      <c r="DN206" s="361"/>
      <c r="DO206" s="362"/>
    </row>
    <row r="207" spans="2:119" ht="13">
      <c r="B207" s="294"/>
      <c r="F207" s="296"/>
      <c r="J207" s="302"/>
      <c r="R207" s="188"/>
      <c r="T207" s="295"/>
      <c r="Y207" s="188"/>
      <c r="AA207" s="295"/>
      <c r="AF207" s="188"/>
      <c r="AH207" s="295"/>
      <c r="AI207" s="188"/>
      <c r="AJ207" s="188"/>
      <c r="AK207" s="188"/>
      <c r="AL207" s="188"/>
      <c r="AM207" s="188"/>
      <c r="AN207" s="188"/>
      <c r="AO207" s="299"/>
      <c r="AS207" s="296"/>
      <c r="AW207" s="296"/>
      <c r="BN207" s="296"/>
      <c r="BO207" s="296"/>
      <c r="CX207" s="302">
        <f t="shared" si="1060"/>
        <v>112014643</v>
      </c>
      <c r="CY207" s="510">
        <v>11</v>
      </c>
      <c r="CZ207" s="302" t="s">
        <v>562</v>
      </c>
      <c r="DA207" s="352">
        <v>38169685.060000002</v>
      </c>
      <c r="DB207" s="352">
        <v>3126534.72</v>
      </c>
      <c r="DC207" s="352">
        <v>3812520.05</v>
      </c>
      <c r="DD207" s="352">
        <v>4355057.05</v>
      </c>
      <c r="DE207" s="361">
        <v>4694999.3899999997</v>
      </c>
      <c r="DF207" s="811">
        <v>1024979.96</v>
      </c>
      <c r="DG207" s="361">
        <v>4446393.25</v>
      </c>
      <c r="DH207" s="361">
        <v>4120057.79</v>
      </c>
      <c r="DI207" s="361">
        <v>4590860.21</v>
      </c>
      <c r="DJ207" s="361">
        <v>5795633.7699999996</v>
      </c>
      <c r="DK207" s="361">
        <v>2202648.88</v>
      </c>
      <c r="DL207" s="361"/>
      <c r="DM207" s="361"/>
      <c r="DN207" s="361"/>
      <c r="DO207" s="362"/>
    </row>
    <row r="208" spans="2:119" ht="13">
      <c r="B208" s="294"/>
      <c r="F208" s="296"/>
      <c r="J208" s="302"/>
      <c r="R208" s="188"/>
      <c r="T208" s="295"/>
      <c r="Y208" s="188"/>
      <c r="AA208" s="295"/>
      <c r="AF208" s="188"/>
      <c r="AH208" s="295"/>
      <c r="AI208" s="188"/>
      <c r="AJ208" s="188"/>
      <c r="AK208" s="188"/>
      <c r="AL208" s="188"/>
      <c r="AM208" s="188"/>
      <c r="AN208" s="188"/>
      <c r="AO208" s="299"/>
      <c r="AS208" s="296"/>
      <c r="AW208" s="296"/>
      <c r="BN208" s="296"/>
      <c r="BO208" s="296"/>
      <c r="CX208" s="302">
        <f t="shared" si="1060"/>
        <v>112014413</v>
      </c>
      <c r="CY208" s="510">
        <v>12</v>
      </c>
      <c r="CZ208" s="359" t="s">
        <v>506</v>
      </c>
      <c r="DA208" s="361">
        <v>37711340.799999997</v>
      </c>
      <c r="DB208" s="361">
        <v>4459010.8499999996</v>
      </c>
      <c r="DC208" s="361">
        <v>2293310.12</v>
      </c>
      <c r="DD208" s="361">
        <v>3408123.9</v>
      </c>
      <c r="DE208" s="352">
        <v>7582322.5300000003</v>
      </c>
      <c r="DF208" s="296">
        <v>13169012.68</v>
      </c>
      <c r="DG208" s="352">
        <v>0.03</v>
      </c>
      <c r="DH208" s="361">
        <v>856512.58</v>
      </c>
      <c r="DI208" s="361">
        <v>3705003.23</v>
      </c>
      <c r="DJ208" s="361">
        <v>1713642.92</v>
      </c>
      <c r="DK208" s="361">
        <v>524401.98</v>
      </c>
      <c r="DL208" s="361"/>
      <c r="DM208" s="361"/>
      <c r="DN208" s="361"/>
      <c r="DO208" s="362"/>
    </row>
    <row r="209" spans="2:119" ht="13">
      <c r="B209" s="294"/>
      <c r="F209" s="296"/>
      <c r="J209" s="302"/>
      <c r="R209" s="188"/>
      <c r="T209" s="295"/>
      <c r="Y209" s="188"/>
      <c r="AA209" s="295"/>
      <c r="AF209" s="188"/>
      <c r="AH209" s="295"/>
      <c r="AI209" s="188"/>
      <c r="AJ209" s="188"/>
      <c r="AK209" s="188"/>
      <c r="AL209" s="188"/>
      <c r="AM209" s="188"/>
      <c r="AN209" s="188"/>
      <c r="AO209" s="299"/>
      <c r="AS209" s="296"/>
      <c r="AW209" s="296"/>
      <c r="BN209" s="296"/>
      <c r="BO209" s="296"/>
      <c r="CX209" s="302">
        <f t="shared" si="1060"/>
        <v>112014179</v>
      </c>
      <c r="CY209" s="510">
        <v>13</v>
      </c>
      <c r="CZ209" s="359" t="s">
        <v>507</v>
      </c>
      <c r="DA209" s="361">
        <v>33973344.149999999</v>
      </c>
      <c r="DB209" s="361">
        <v>2359957.69</v>
      </c>
      <c r="DC209" s="361">
        <v>2179872.0099999998</v>
      </c>
      <c r="DD209" s="361">
        <v>3623929.54</v>
      </c>
      <c r="DE209" s="361">
        <v>3707533.9</v>
      </c>
      <c r="DF209" s="811">
        <v>3849944.45</v>
      </c>
      <c r="DG209" s="361">
        <v>2408208.2200000002</v>
      </c>
      <c r="DH209" s="361">
        <v>3643923.02</v>
      </c>
      <c r="DI209" s="361">
        <v>2311142.21</v>
      </c>
      <c r="DJ209" s="361">
        <v>5105556.2</v>
      </c>
      <c r="DK209" s="361">
        <v>4783276.93</v>
      </c>
      <c r="DL209" s="361"/>
      <c r="DM209" s="361"/>
      <c r="DN209" s="361"/>
      <c r="DO209" s="362"/>
    </row>
    <row r="210" spans="2:119" ht="13">
      <c r="B210" s="294"/>
      <c r="F210" s="296"/>
      <c r="J210" s="302"/>
      <c r="R210" s="188"/>
      <c r="T210" s="295"/>
      <c r="Y210" s="188"/>
      <c r="AA210" s="295"/>
      <c r="AF210" s="188"/>
      <c r="AH210" s="295"/>
      <c r="AI210" s="188"/>
      <c r="AJ210" s="188"/>
      <c r="AK210" s="188"/>
      <c r="AL210" s="188"/>
      <c r="AM210" s="188"/>
      <c r="AN210" s="188"/>
      <c r="AO210" s="299"/>
      <c r="AS210" s="296"/>
      <c r="AW210" s="296"/>
      <c r="BN210" s="296"/>
      <c r="BO210" s="296"/>
      <c r="CX210" s="302">
        <f t="shared" si="1060"/>
        <v>112014328</v>
      </c>
      <c r="CY210" s="510">
        <v>14</v>
      </c>
      <c r="CZ210" s="302" t="s">
        <v>508</v>
      </c>
      <c r="DA210" s="352">
        <v>29807340.170000002</v>
      </c>
      <c r="DB210" s="352">
        <v>7147182.1699999999</v>
      </c>
      <c r="DC210" s="352">
        <v>5306106.54</v>
      </c>
      <c r="DD210" s="352">
        <v>1276140.8999999999</v>
      </c>
      <c r="DE210" s="361">
        <v>1492187.97</v>
      </c>
      <c r="DF210" s="811">
        <v>2673294.94</v>
      </c>
      <c r="DG210" s="361">
        <v>1411544.86</v>
      </c>
      <c r="DH210" s="361">
        <v>3423944.12</v>
      </c>
      <c r="DI210" s="361">
        <v>4293172.33</v>
      </c>
      <c r="DJ210" s="361">
        <v>1085606.8799999999</v>
      </c>
      <c r="DK210" s="361">
        <v>1698159.46</v>
      </c>
      <c r="DL210" s="361"/>
      <c r="DM210" s="361"/>
      <c r="DN210" s="361"/>
      <c r="DO210" s="362"/>
    </row>
    <row r="211" spans="2:119" ht="13">
      <c r="B211" s="294"/>
      <c r="F211" s="296"/>
      <c r="J211" s="302"/>
      <c r="R211" s="188"/>
      <c r="T211" s="295"/>
      <c r="Y211" s="188"/>
      <c r="AA211" s="295"/>
      <c r="AF211" s="188"/>
      <c r="AH211" s="295"/>
      <c r="AI211" s="188"/>
      <c r="AJ211" s="188"/>
      <c r="AK211" s="188"/>
      <c r="AL211" s="188"/>
      <c r="AM211" s="188"/>
      <c r="AN211" s="188"/>
      <c r="AO211" s="299"/>
      <c r="AS211" s="296"/>
      <c r="AW211" s="296"/>
      <c r="BN211" s="296"/>
      <c r="BO211" s="296"/>
      <c r="CX211" s="302">
        <f t="shared" si="1060"/>
        <v>112014380</v>
      </c>
      <c r="CY211" s="510">
        <v>15</v>
      </c>
      <c r="CZ211" s="359" t="s">
        <v>531</v>
      </c>
      <c r="DA211" s="361">
        <v>29689100.899999999</v>
      </c>
      <c r="DB211" s="361">
        <v>3221342.55</v>
      </c>
      <c r="DC211" s="361">
        <v>1937637.26</v>
      </c>
      <c r="DD211" s="361">
        <v>2520750.2200000002</v>
      </c>
      <c r="DE211" s="361">
        <v>4454863.9400000004</v>
      </c>
      <c r="DF211" s="811">
        <v>1328888.44</v>
      </c>
      <c r="DG211" s="361">
        <v>2076952.93</v>
      </c>
      <c r="DH211" s="361">
        <v>2966462.95</v>
      </c>
      <c r="DI211" s="361">
        <v>1851276.22</v>
      </c>
      <c r="DJ211" s="361">
        <v>2943108.13</v>
      </c>
      <c r="DK211" s="361">
        <v>6387818.2699999996</v>
      </c>
      <c r="DL211" s="365"/>
      <c r="DM211" s="365"/>
      <c r="DN211" s="365"/>
      <c r="DO211" s="366"/>
    </row>
    <row r="212" spans="2:119" ht="13">
      <c r="B212" s="294"/>
      <c r="F212" s="296"/>
      <c r="J212" s="302"/>
      <c r="R212" s="188"/>
      <c r="T212" s="295"/>
      <c r="Y212" s="188"/>
      <c r="AA212" s="295"/>
      <c r="AF212" s="188"/>
      <c r="AH212" s="295"/>
      <c r="AI212" s="188"/>
      <c r="AJ212" s="188"/>
      <c r="AK212" s="188"/>
      <c r="AL212" s="188"/>
      <c r="AM212" s="188"/>
      <c r="AN212" s="188"/>
      <c r="AO212" s="299"/>
      <c r="AS212" s="296"/>
      <c r="AW212" s="296"/>
      <c r="BN212" s="296"/>
      <c r="BO212" s="296"/>
      <c r="CX212" s="302">
        <f t="shared" si="1060"/>
        <v>112014341</v>
      </c>
      <c r="CY212" s="510">
        <v>16</v>
      </c>
      <c r="CZ212" s="359" t="s">
        <v>528</v>
      </c>
      <c r="DA212" s="361">
        <v>26445541.079999998</v>
      </c>
      <c r="DB212" s="361">
        <v>2411735.83</v>
      </c>
      <c r="DC212" s="361">
        <v>2377739.48</v>
      </c>
      <c r="DD212" s="361">
        <v>1889818.77</v>
      </c>
      <c r="DE212" s="361">
        <v>4386832.37</v>
      </c>
      <c r="DF212" s="811">
        <v>1822841.77</v>
      </c>
      <c r="DG212" s="361">
        <v>3475352.56</v>
      </c>
      <c r="DH212" s="361">
        <v>2149140.9900000002</v>
      </c>
      <c r="DI212" s="361">
        <v>2388297.94</v>
      </c>
      <c r="DJ212" s="361">
        <v>4176694.57</v>
      </c>
      <c r="DK212" s="361">
        <v>1367086.82</v>
      </c>
      <c r="DL212" s="361"/>
      <c r="DM212" s="361"/>
      <c r="DN212" s="361"/>
      <c r="DO212" s="362"/>
    </row>
    <row r="213" spans="2:119" ht="13">
      <c r="B213" s="294"/>
      <c r="F213" s="296"/>
      <c r="J213" s="302"/>
      <c r="R213" s="188"/>
      <c r="T213" s="295"/>
      <c r="Y213" s="188"/>
      <c r="AA213" s="295"/>
      <c r="AF213" s="188"/>
      <c r="AH213" s="295"/>
      <c r="AI213" s="188"/>
      <c r="AJ213" s="188"/>
      <c r="AK213" s="188"/>
      <c r="AL213" s="188"/>
      <c r="AM213" s="188"/>
      <c r="AN213" s="188"/>
      <c r="AO213" s="299"/>
      <c r="AS213" s="296"/>
      <c r="AW213" s="296"/>
      <c r="BN213" s="296"/>
      <c r="BO213" s="296"/>
      <c r="CX213" s="302">
        <f t="shared" si="1060"/>
        <v>112014223</v>
      </c>
      <c r="CY213" s="510">
        <v>17</v>
      </c>
      <c r="CZ213" s="359" t="s">
        <v>524</v>
      </c>
      <c r="DA213" s="361">
        <v>22454783.870000001</v>
      </c>
      <c r="DB213" s="352">
        <v>2320735.1</v>
      </c>
      <c r="DC213" s="361">
        <v>1967074.46</v>
      </c>
      <c r="DD213" s="361">
        <v>2610826.4300000002</v>
      </c>
      <c r="DE213" s="361">
        <v>2314498.21</v>
      </c>
      <c r="DF213" s="811">
        <v>1725981.16</v>
      </c>
      <c r="DG213" s="361">
        <v>1884951.19</v>
      </c>
      <c r="DH213" s="361">
        <v>2282246.59</v>
      </c>
      <c r="DI213" s="361">
        <v>2257029.8199999998</v>
      </c>
      <c r="DJ213" s="361">
        <v>2511141.2799999998</v>
      </c>
      <c r="DK213" s="361">
        <v>2580299.62</v>
      </c>
      <c r="DL213" s="361"/>
      <c r="DM213" s="361"/>
      <c r="DN213" s="361"/>
      <c r="DO213" s="362"/>
    </row>
    <row r="214" spans="2:119" ht="13">
      <c r="B214" s="294"/>
      <c r="F214" s="296"/>
      <c r="J214" s="302"/>
      <c r="R214" s="188"/>
      <c r="T214" s="295"/>
      <c r="Y214" s="188"/>
      <c r="AA214" s="295"/>
      <c r="AF214" s="188"/>
      <c r="AH214" s="295"/>
      <c r="AI214" s="188"/>
      <c r="AJ214" s="188"/>
      <c r="AK214" s="188"/>
      <c r="AL214" s="188"/>
      <c r="AM214" s="188"/>
      <c r="AN214" s="188"/>
      <c r="AO214" s="299"/>
      <c r="AS214" s="296"/>
      <c r="AW214" s="296"/>
      <c r="BN214" s="296"/>
      <c r="BO214" s="296"/>
      <c r="CX214" s="302">
        <f t="shared" si="1060"/>
        <v>112014074</v>
      </c>
      <c r="CY214" s="510">
        <v>18</v>
      </c>
      <c r="CZ214" s="302" t="s">
        <v>516</v>
      </c>
      <c r="DA214" s="352">
        <v>21470152.73</v>
      </c>
      <c r="DB214" s="352">
        <v>2590629.12</v>
      </c>
      <c r="DC214" s="352">
        <v>2467408.21</v>
      </c>
      <c r="DD214" s="352">
        <v>1579908.73</v>
      </c>
      <c r="DE214" s="361">
        <v>1594732.91</v>
      </c>
      <c r="DF214" s="811">
        <v>1818125.31</v>
      </c>
      <c r="DG214" s="361">
        <v>854661.3</v>
      </c>
      <c r="DH214" s="361">
        <v>2138476.52</v>
      </c>
      <c r="DI214" s="361">
        <v>2046447.62</v>
      </c>
      <c r="DJ214" s="361">
        <v>2052287</v>
      </c>
      <c r="DK214" s="361">
        <v>4327476</v>
      </c>
      <c r="DL214" s="361"/>
      <c r="DM214" s="361"/>
      <c r="DN214" s="361"/>
      <c r="DO214" s="362"/>
    </row>
    <row r="215" spans="2:119" ht="13">
      <c r="B215" s="294"/>
      <c r="F215" s="296"/>
      <c r="J215" s="302"/>
      <c r="R215" s="188"/>
      <c r="T215" s="295"/>
      <c r="Y215" s="188"/>
      <c r="AA215" s="295"/>
      <c r="AF215" s="188"/>
      <c r="AH215" s="295"/>
      <c r="AI215" s="188"/>
      <c r="AJ215" s="188"/>
      <c r="AK215" s="188"/>
      <c r="AL215" s="188"/>
      <c r="AM215" s="188"/>
      <c r="AN215" s="188"/>
      <c r="AO215" s="299"/>
      <c r="AS215" s="296"/>
      <c r="AW215" s="296"/>
      <c r="BN215" s="296"/>
      <c r="BO215" s="296"/>
      <c r="CX215" s="302">
        <f t="shared" si="1060"/>
        <v>112014202</v>
      </c>
      <c r="CY215" s="510">
        <v>19</v>
      </c>
      <c r="CZ215" s="359" t="s">
        <v>520</v>
      </c>
      <c r="DA215" s="361">
        <v>20548568.02</v>
      </c>
      <c r="DB215" s="361">
        <v>2901883.17</v>
      </c>
      <c r="DC215" s="361">
        <v>1376770.04</v>
      </c>
      <c r="DD215" s="361">
        <v>3226366.9</v>
      </c>
      <c r="DE215" s="361">
        <v>2203311.04</v>
      </c>
      <c r="DF215" s="811">
        <v>2065047.75</v>
      </c>
      <c r="DG215" s="361">
        <v>1436640.26</v>
      </c>
      <c r="DH215" s="361">
        <v>4305568.8099999996</v>
      </c>
      <c r="DI215" s="361">
        <v>3032980.05</v>
      </c>
      <c r="DJ215" s="361">
        <v>0</v>
      </c>
      <c r="DK215" s="361">
        <v>0</v>
      </c>
      <c r="DL215" s="361"/>
      <c r="DM215" s="361"/>
      <c r="DN215" s="361"/>
      <c r="DO215" s="362"/>
    </row>
    <row r="216" spans="2:119" ht="13">
      <c r="B216" s="294"/>
      <c r="F216" s="296"/>
      <c r="J216" s="302"/>
      <c r="R216" s="188"/>
      <c r="T216" s="295"/>
      <c r="Y216" s="188"/>
      <c r="AA216" s="295"/>
      <c r="AF216" s="188"/>
      <c r="AH216" s="295"/>
      <c r="AI216" s="188"/>
      <c r="AJ216" s="188"/>
      <c r="AK216" s="188"/>
      <c r="AL216" s="188"/>
      <c r="AM216" s="188"/>
      <c r="AN216" s="188"/>
      <c r="AO216" s="299"/>
      <c r="AS216" s="296"/>
      <c r="AW216" s="296"/>
      <c r="BN216" s="296"/>
      <c r="BO216" s="296"/>
      <c r="CX216" s="302">
        <f t="shared" si="1060"/>
        <v>112014077</v>
      </c>
      <c r="CY216" s="510">
        <v>20</v>
      </c>
      <c r="CZ216" s="359" t="s">
        <v>536</v>
      </c>
      <c r="DA216" s="361">
        <v>18533554.739999998</v>
      </c>
      <c r="DB216" s="361">
        <v>3930324.12</v>
      </c>
      <c r="DC216" s="361">
        <v>1659040.74</v>
      </c>
      <c r="DD216" s="361">
        <v>0</v>
      </c>
      <c r="DE216" s="361">
        <v>762402.19</v>
      </c>
      <c r="DF216" s="811">
        <v>2712414.09</v>
      </c>
      <c r="DG216" s="361">
        <v>2155636.36</v>
      </c>
      <c r="DH216" s="361">
        <v>2750987.43</v>
      </c>
      <c r="DI216" s="361">
        <v>1935147.07</v>
      </c>
      <c r="DJ216" s="361">
        <v>2372906.73</v>
      </c>
      <c r="DK216" s="361">
        <v>254696</v>
      </c>
      <c r="DL216" s="361"/>
      <c r="DM216" s="361"/>
      <c r="DN216" s="361"/>
      <c r="DO216" s="362"/>
    </row>
    <row r="217" spans="2:119" ht="13">
      <c r="B217" s="294"/>
      <c r="F217" s="296"/>
      <c r="J217" s="302"/>
      <c r="R217" s="188"/>
      <c r="T217" s="295"/>
      <c r="Y217" s="188"/>
      <c r="AA217" s="295"/>
      <c r="AF217" s="188"/>
      <c r="AH217" s="295"/>
      <c r="AI217" s="188"/>
      <c r="AJ217" s="188"/>
      <c r="AK217" s="188"/>
      <c r="AL217" s="188"/>
      <c r="AM217" s="188"/>
      <c r="AN217" s="188"/>
      <c r="AO217" s="299"/>
      <c r="AS217" s="296"/>
      <c r="AW217" s="296"/>
      <c r="BN217" s="296"/>
      <c r="BO217" s="296"/>
      <c r="CX217" s="302">
        <f t="shared" si="1060"/>
        <v>112010446</v>
      </c>
      <c r="CY217" s="510">
        <v>21</v>
      </c>
      <c r="CZ217" s="359" t="s">
        <v>543</v>
      </c>
      <c r="DA217" s="361">
        <v>17815093.809999999</v>
      </c>
      <c r="DB217" s="361">
        <v>0</v>
      </c>
      <c r="DC217" s="361">
        <v>0</v>
      </c>
      <c r="DD217" s="361">
        <v>2062129.64</v>
      </c>
      <c r="DE217" s="361">
        <v>1783125.05</v>
      </c>
      <c r="DF217" s="811">
        <v>930299.41</v>
      </c>
      <c r="DG217" s="361">
        <v>1997149.9</v>
      </c>
      <c r="DH217" s="361">
        <v>2571131.34</v>
      </c>
      <c r="DI217" s="361">
        <v>2557398.58</v>
      </c>
      <c r="DJ217" s="361">
        <v>3230671.92</v>
      </c>
      <c r="DK217" s="361">
        <v>2683187.9700000002</v>
      </c>
      <c r="DL217" s="361"/>
      <c r="DM217" s="361"/>
      <c r="DN217" s="361"/>
      <c r="DO217" s="362"/>
    </row>
    <row r="218" spans="2:119" ht="13">
      <c r="B218" s="294"/>
      <c r="F218" s="296"/>
      <c r="J218" s="302"/>
      <c r="R218" s="188"/>
      <c r="T218" s="295"/>
      <c r="Y218" s="188"/>
      <c r="AA218" s="295"/>
      <c r="AF218" s="188"/>
      <c r="AH218" s="295"/>
      <c r="AI218" s="188"/>
      <c r="AJ218" s="188"/>
      <c r="AK218" s="188"/>
      <c r="AL218" s="188"/>
      <c r="AM218" s="188"/>
      <c r="AN218" s="188"/>
      <c r="AO218" s="299"/>
      <c r="AS218" s="296"/>
      <c r="AW218" s="296"/>
      <c r="BN218" s="296"/>
      <c r="BO218" s="296"/>
      <c r="CX218" s="302">
        <f t="shared" si="1060"/>
        <v>112010484</v>
      </c>
      <c r="CY218" s="510">
        <v>22</v>
      </c>
      <c r="CZ218" s="359" t="s">
        <v>514</v>
      </c>
      <c r="DA218" s="361">
        <v>17702524.390000001</v>
      </c>
      <c r="DB218" s="361">
        <v>1575813.32</v>
      </c>
      <c r="DC218" s="361">
        <v>1591622.26</v>
      </c>
      <c r="DD218" s="361">
        <v>2320391.12</v>
      </c>
      <c r="DE218" s="361">
        <v>1667546.56</v>
      </c>
      <c r="DF218" s="811">
        <v>1098664.81</v>
      </c>
      <c r="DG218" s="361">
        <v>1716961.76</v>
      </c>
      <c r="DH218" s="361">
        <v>2110795.4700000002</v>
      </c>
      <c r="DI218" s="361">
        <v>1005354.96</v>
      </c>
      <c r="DJ218" s="361">
        <v>1965425.9</v>
      </c>
      <c r="DK218" s="361">
        <v>2649948.2200000002</v>
      </c>
      <c r="DL218" s="361"/>
      <c r="DM218" s="361"/>
      <c r="DN218" s="361"/>
      <c r="DO218" s="362"/>
    </row>
    <row r="219" spans="2:119" ht="13">
      <c r="B219" s="294"/>
      <c r="F219" s="296"/>
      <c r="J219" s="302"/>
      <c r="R219" s="188"/>
      <c r="T219" s="295"/>
      <c r="Y219" s="188"/>
      <c r="AA219" s="295"/>
      <c r="AF219" s="188"/>
      <c r="AH219" s="295"/>
      <c r="AI219" s="188"/>
      <c r="AJ219" s="188"/>
      <c r="AK219" s="188"/>
      <c r="AL219" s="188"/>
      <c r="AM219" s="188"/>
      <c r="AN219" s="188"/>
      <c r="AO219" s="299"/>
      <c r="AS219" s="296"/>
      <c r="AW219" s="296"/>
      <c r="BN219" s="296"/>
      <c r="BO219" s="296"/>
      <c r="CX219" s="302">
        <f t="shared" si="1060"/>
        <v>112013220</v>
      </c>
      <c r="CY219" s="510">
        <v>23</v>
      </c>
      <c r="CZ219" s="359" t="s">
        <v>523</v>
      </c>
      <c r="DA219" s="361">
        <v>16637596.800000001</v>
      </c>
      <c r="DB219" s="361">
        <v>1936052.4</v>
      </c>
      <c r="DC219" s="361">
        <v>2899500.55</v>
      </c>
      <c r="DD219" s="361">
        <v>1211824.74</v>
      </c>
      <c r="DE219" s="352">
        <v>1487826.8</v>
      </c>
      <c r="DF219" s="296">
        <v>1145446.43</v>
      </c>
      <c r="DG219" s="352">
        <v>1366665.59</v>
      </c>
      <c r="DH219" s="361">
        <v>1370541.2</v>
      </c>
      <c r="DI219" s="361">
        <v>1390709.04</v>
      </c>
      <c r="DJ219" s="361">
        <v>1422660.25</v>
      </c>
      <c r="DK219" s="361">
        <v>2406369.79</v>
      </c>
      <c r="DL219" s="361"/>
      <c r="DM219" s="361"/>
      <c r="DN219" s="361"/>
      <c r="DO219" s="362"/>
    </row>
    <row r="220" spans="2:119" ht="13">
      <c r="B220" s="294"/>
      <c r="F220" s="296"/>
      <c r="J220" s="302"/>
      <c r="R220" s="188"/>
      <c r="T220" s="295"/>
      <c r="Y220" s="188"/>
      <c r="AA220" s="295"/>
      <c r="AF220" s="188"/>
      <c r="AH220" s="295"/>
      <c r="AI220" s="188"/>
      <c r="AJ220" s="188"/>
      <c r="AK220" s="188"/>
      <c r="AL220" s="188"/>
      <c r="AM220" s="188"/>
      <c r="AN220" s="188"/>
      <c r="AO220" s="299"/>
      <c r="AS220" s="296"/>
      <c r="AW220" s="296"/>
      <c r="BN220" s="296"/>
      <c r="BO220" s="296"/>
      <c r="CX220" s="302">
        <f t="shared" si="1060"/>
        <v>112012470</v>
      </c>
      <c r="CY220" s="510">
        <v>24</v>
      </c>
      <c r="CZ220" s="302" t="s">
        <v>540</v>
      </c>
      <c r="DA220" s="352">
        <v>16499720.779999999</v>
      </c>
      <c r="DB220" s="352">
        <v>0</v>
      </c>
      <c r="DC220" s="352">
        <v>0</v>
      </c>
      <c r="DD220" s="352">
        <v>2226378.79</v>
      </c>
      <c r="DE220" s="352">
        <v>2036674.72</v>
      </c>
      <c r="DF220" s="296">
        <v>1731733.59</v>
      </c>
      <c r="DG220" s="352">
        <v>2137648.41</v>
      </c>
      <c r="DH220" s="361">
        <v>1823471.63</v>
      </c>
      <c r="DI220" s="361">
        <v>1892215.91</v>
      </c>
      <c r="DJ220" s="361">
        <v>2147506.5099999998</v>
      </c>
      <c r="DK220" s="361">
        <v>2504091.21</v>
      </c>
      <c r="DL220" s="361"/>
      <c r="DM220" s="361"/>
      <c r="DN220" s="361"/>
      <c r="DO220" s="362"/>
    </row>
    <row r="221" spans="2:119" ht="13">
      <c r="B221" s="294"/>
      <c r="F221" s="296"/>
      <c r="J221" s="302"/>
      <c r="R221" s="188"/>
      <c r="T221" s="295"/>
      <c r="Y221" s="188"/>
      <c r="AA221" s="295"/>
      <c r="AF221" s="188"/>
      <c r="AH221" s="295"/>
      <c r="AI221" s="188"/>
      <c r="AJ221" s="188"/>
      <c r="AK221" s="188"/>
      <c r="AL221" s="188"/>
      <c r="AM221" s="188"/>
      <c r="AN221" s="188"/>
      <c r="AO221" s="299"/>
      <c r="AS221" s="296"/>
      <c r="AW221" s="296"/>
      <c r="BN221" s="296"/>
      <c r="BO221" s="296"/>
      <c r="CX221" s="302">
        <f t="shared" si="1060"/>
        <v>112012893</v>
      </c>
      <c r="CY221" s="510">
        <v>25</v>
      </c>
      <c r="CZ221" s="359" t="s">
        <v>537</v>
      </c>
      <c r="DA221" s="361">
        <v>16042552.619999999</v>
      </c>
      <c r="DB221" s="361">
        <v>2458568.5699999998</v>
      </c>
      <c r="DC221" s="361">
        <v>1393464.4</v>
      </c>
      <c r="DD221" s="361">
        <v>962185.05</v>
      </c>
      <c r="DE221" s="352">
        <v>1964893.99</v>
      </c>
      <c r="DF221" s="296">
        <v>2112156.0499999998</v>
      </c>
      <c r="DG221" s="352">
        <v>124219.64</v>
      </c>
      <c r="DH221" s="361">
        <v>2170399.87</v>
      </c>
      <c r="DI221" s="361">
        <v>536768.38</v>
      </c>
      <c r="DJ221" s="361">
        <v>2501255.25</v>
      </c>
      <c r="DK221" s="361">
        <v>1818641.42</v>
      </c>
      <c r="DL221" s="365"/>
      <c r="DM221" s="365"/>
      <c r="DN221" s="365"/>
      <c r="DO221" s="366"/>
    </row>
    <row r="222" spans="2:119" ht="13">
      <c r="B222" s="294"/>
      <c r="F222" s="296"/>
      <c r="J222" s="302"/>
      <c r="R222" s="188"/>
      <c r="T222" s="295"/>
      <c r="Y222" s="188"/>
      <c r="AA222" s="295"/>
      <c r="AF222" s="188"/>
      <c r="AH222" s="295"/>
      <c r="AI222" s="188"/>
      <c r="AJ222" s="188"/>
      <c r="AK222" s="188"/>
      <c r="AL222" s="188"/>
      <c r="AM222" s="188"/>
      <c r="AN222" s="188"/>
      <c r="AO222" s="299"/>
      <c r="AS222" s="296"/>
      <c r="AW222" s="296"/>
      <c r="BN222" s="296"/>
      <c r="BO222" s="296"/>
      <c r="CX222" s="302">
        <f t="shared" si="1060"/>
        <v>112013247</v>
      </c>
      <c r="CY222" s="510">
        <v>26</v>
      </c>
      <c r="CZ222" s="359" t="s">
        <v>518</v>
      </c>
      <c r="DA222" s="361">
        <v>15682629.08</v>
      </c>
      <c r="DB222" s="361">
        <v>2285405.19</v>
      </c>
      <c r="DC222" s="361">
        <v>1910843.73</v>
      </c>
      <c r="DD222" s="361">
        <v>3141734.68</v>
      </c>
      <c r="DE222" s="361">
        <v>1252960.94</v>
      </c>
      <c r="DF222" s="811">
        <v>1771544.39</v>
      </c>
      <c r="DG222" s="361">
        <v>158643.31</v>
      </c>
      <c r="DH222" s="361">
        <v>949464.38</v>
      </c>
      <c r="DI222" s="361">
        <v>982058.47</v>
      </c>
      <c r="DJ222" s="361">
        <v>1667403.07</v>
      </c>
      <c r="DK222" s="361">
        <v>1562570.92</v>
      </c>
      <c r="DL222" s="361"/>
      <c r="DM222" s="361"/>
      <c r="DN222" s="361"/>
      <c r="DO222" s="362"/>
    </row>
    <row r="223" spans="2:119" ht="13">
      <c r="B223" s="294"/>
      <c r="F223" s="296"/>
      <c r="J223" s="302"/>
      <c r="R223" s="188"/>
      <c r="T223" s="295"/>
      <c r="Y223" s="188"/>
      <c r="AA223" s="295"/>
      <c r="AF223" s="188"/>
      <c r="AH223" s="295"/>
      <c r="AI223" s="188"/>
      <c r="AJ223" s="188"/>
      <c r="AK223" s="188"/>
      <c r="AL223" s="188"/>
      <c r="AM223" s="188"/>
      <c r="AN223" s="188"/>
      <c r="AO223" s="299"/>
      <c r="AS223" s="296"/>
      <c r="AW223" s="296"/>
      <c r="BN223" s="296"/>
      <c r="BO223" s="296"/>
      <c r="CX223" s="302">
        <f t="shared" si="1060"/>
        <v>112014136</v>
      </c>
      <c r="CY223" s="510">
        <v>27</v>
      </c>
      <c r="CZ223" s="359" t="s">
        <v>561</v>
      </c>
      <c r="DA223" s="361">
        <v>15385411.970000001</v>
      </c>
      <c r="DB223" s="352">
        <v>889478.59</v>
      </c>
      <c r="DC223" s="361">
        <v>2358742.15</v>
      </c>
      <c r="DD223" s="361">
        <v>2013057.13</v>
      </c>
      <c r="DE223" s="361">
        <v>867801.63</v>
      </c>
      <c r="DF223" s="811">
        <v>1298043.29</v>
      </c>
      <c r="DG223" s="361">
        <v>1361693.26</v>
      </c>
      <c r="DH223" s="361">
        <v>2330690.98</v>
      </c>
      <c r="DI223" s="361">
        <v>1277838.49</v>
      </c>
      <c r="DJ223" s="361">
        <v>1473124.73</v>
      </c>
      <c r="DK223" s="361">
        <v>1514941.74</v>
      </c>
      <c r="DL223" s="361"/>
      <c r="DM223" s="361"/>
      <c r="DN223" s="361"/>
      <c r="DO223" s="362"/>
    </row>
    <row r="224" spans="2:119" ht="13">
      <c r="B224" s="294"/>
      <c r="F224" s="296"/>
      <c r="J224" s="302"/>
      <c r="R224" s="188"/>
      <c r="T224" s="295"/>
      <c r="Y224" s="188"/>
      <c r="AA224" s="295"/>
      <c r="AF224" s="188"/>
      <c r="AH224" s="295"/>
      <c r="AI224" s="188"/>
      <c r="AJ224" s="188"/>
      <c r="AK224" s="188"/>
      <c r="AL224" s="188"/>
      <c r="AM224" s="188"/>
      <c r="AN224" s="188"/>
      <c r="AO224" s="299"/>
      <c r="AS224" s="296"/>
      <c r="AW224" s="296"/>
      <c r="BN224" s="296"/>
      <c r="BO224" s="296"/>
      <c r="CX224" s="302">
        <f t="shared" si="1060"/>
        <v>112013208</v>
      </c>
      <c r="CY224" s="510">
        <v>28</v>
      </c>
      <c r="CZ224" s="302" t="s">
        <v>625</v>
      </c>
      <c r="DA224" s="352">
        <v>15367335.5</v>
      </c>
      <c r="DB224" s="352">
        <v>1317491.7</v>
      </c>
      <c r="DC224" s="352">
        <v>896922.13</v>
      </c>
      <c r="DD224" s="352">
        <v>1803130.62</v>
      </c>
      <c r="DE224" s="352">
        <v>1420719.02</v>
      </c>
      <c r="DF224" s="296">
        <v>1743071.38</v>
      </c>
      <c r="DG224" s="352">
        <v>1988124.6</v>
      </c>
      <c r="DH224" s="361">
        <v>1906119.53</v>
      </c>
      <c r="DI224" s="361">
        <v>2289898</v>
      </c>
      <c r="DJ224" s="361">
        <v>1403013.32</v>
      </c>
      <c r="DK224" s="361">
        <v>598845.19999999995</v>
      </c>
      <c r="DL224" s="361"/>
      <c r="DM224" s="361"/>
      <c r="DN224" s="361"/>
      <c r="DO224" s="362"/>
    </row>
    <row r="225" spans="2:119" ht="13">
      <c r="B225" s="294"/>
      <c r="F225" s="296"/>
      <c r="J225" s="302"/>
      <c r="R225" s="188"/>
      <c r="T225" s="295"/>
      <c r="Y225" s="188"/>
      <c r="AA225" s="295"/>
      <c r="AF225" s="188"/>
      <c r="AH225" s="295"/>
      <c r="AI225" s="188"/>
      <c r="AJ225" s="188"/>
      <c r="AK225" s="188"/>
      <c r="AL225" s="188"/>
      <c r="AM225" s="188"/>
      <c r="AN225" s="188"/>
      <c r="AO225" s="299"/>
      <c r="AS225" s="296"/>
      <c r="AW225" s="296"/>
      <c r="BN225" s="296"/>
      <c r="BO225" s="296"/>
      <c r="CX225" s="302">
        <f t="shared" si="1060"/>
        <v>112013870</v>
      </c>
      <c r="CY225" s="510">
        <v>29</v>
      </c>
      <c r="CZ225" s="359" t="s">
        <v>634</v>
      </c>
      <c r="DA225" s="361">
        <v>14303430.630000001</v>
      </c>
      <c r="DB225" s="361">
        <v>2205376.34</v>
      </c>
      <c r="DC225" s="361">
        <v>1552987.52</v>
      </c>
      <c r="DD225" s="361">
        <v>852150.08</v>
      </c>
      <c r="DE225" s="361">
        <v>1362247.55</v>
      </c>
      <c r="DF225" s="811">
        <v>1394796.96</v>
      </c>
      <c r="DG225" s="361">
        <v>1417353.92</v>
      </c>
      <c r="DH225" s="361">
        <v>1828226.31</v>
      </c>
      <c r="DI225" s="361">
        <v>1661428.63</v>
      </c>
      <c r="DJ225" s="361">
        <v>400204.56</v>
      </c>
      <c r="DK225" s="361">
        <v>1628658.77</v>
      </c>
      <c r="DL225" s="365"/>
      <c r="DM225" s="365"/>
      <c r="DN225" s="365"/>
      <c r="DO225" s="366"/>
    </row>
    <row r="226" spans="2:119" ht="13">
      <c r="B226" s="294"/>
      <c r="F226" s="296"/>
      <c r="J226" s="302"/>
      <c r="R226" s="188"/>
      <c r="T226" s="295"/>
      <c r="Y226" s="188"/>
      <c r="AA226" s="295"/>
      <c r="AF226" s="188"/>
      <c r="AH226" s="295"/>
      <c r="AI226" s="188"/>
      <c r="AJ226" s="188"/>
      <c r="AK226" s="188"/>
      <c r="AL226" s="188"/>
      <c r="AM226" s="188"/>
      <c r="AN226" s="188"/>
      <c r="AO226" s="299"/>
      <c r="AS226" s="296"/>
      <c r="AW226" s="296"/>
      <c r="BN226" s="296"/>
      <c r="BO226" s="296"/>
      <c r="CX226" s="302">
        <f t="shared" si="1060"/>
        <v>112014327</v>
      </c>
      <c r="CY226" s="510">
        <v>30</v>
      </c>
      <c r="CZ226" s="359" t="s">
        <v>563</v>
      </c>
      <c r="DA226" s="361">
        <v>13305496.199999999</v>
      </c>
      <c r="DB226" s="361">
        <v>1802663.19</v>
      </c>
      <c r="DC226" s="361">
        <v>772932.71</v>
      </c>
      <c r="DD226" s="361">
        <v>1424748.49</v>
      </c>
      <c r="DE226" s="361">
        <v>583633.81999999995</v>
      </c>
      <c r="DF226" s="811">
        <v>1544375.33</v>
      </c>
      <c r="DG226" s="361">
        <v>1080022.1000000001</v>
      </c>
      <c r="DH226" s="361">
        <v>2449370.62</v>
      </c>
      <c r="DI226" s="361">
        <v>1459154.99</v>
      </c>
      <c r="DJ226" s="361">
        <v>1177546.76</v>
      </c>
      <c r="DK226" s="361">
        <v>1011048.19</v>
      </c>
      <c r="DL226" s="361"/>
      <c r="DM226" s="361"/>
      <c r="DN226" s="361"/>
      <c r="DO226" s="362"/>
    </row>
    <row r="227" spans="2:119" ht="13">
      <c r="B227" s="294"/>
      <c r="F227" s="296"/>
      <c r="J227" s="302"/>
      <c r="R227" s="188"/>
      <c r="T227" s="295"/>
      <c r="Y227" s="188"/>
      <c r="AA227" s="295"/>
      <c r="AF227" s="188"/>
      <c r="AH227" s="295"/>
      <c r="AI227" s="188"/>
      <c r="AJ227" s="188"/>
      <c r="AK227" s="188"/>
      <c r="AL227" s="188"/>
      <c r="AM227" s="188"/>
      <c r="AN227" s="188"/>
      <c r="AO227" s="299"/>
      <c r="AS227" s="296"/>
      <c r="AW227" s="296"/>
      <c r="BN227" s="296"/>
      <c r="BO227" s="296"/>
      <c r="CX227" s="302">
        <f t="shared" si="1060"/>
        <v>112014210</v>
      </c>
      <c r="CY227" s="510">
        <v>31</v>
      </c>
      <c r="CZ227" s="359" t="s">
        <v>527</v>
      </c>
      <c r="DA227" s="361">
        <v>11538030.18</v>
      </c>
      <c r="DB227" s="361">
        <v>71550.289999999994</v>
      </c>
      <c r="DC227" s="361">
        <v>148396.12</v>
      </c>
      <c r="DD227" s="361">
        <v>1231688.74</v>
      </c>
      <c r="DE227" s="361">
        <v>1656340.37</v>
      </c>
      <c r="DF227" s="811">
        <v>1170719.07</v>
      </c>
      <c r="DG227" s="361">
        <v>953007.08</v>
      </c>
      <c r="DH227" s="361">
        <v>1450715.86</v>
      </c>
      <c r="DI227" s="361">
        <v>1351096.72</v>
      </c>
      <c r="DJ227" s="361">
        <v>1951637.24</v>
      </c>
      <c r="DK227" s="361">
        <v>1552878.7</v>
      </c>
      <c r="DL227" s="361"/>
      <c r="DM227" s="361"/>
      <c r="DN227" s="361"/>
      <c r="DO227" s="362"/>
    </row>
    <row r="228" spans="2:119" ht="13">
      <c r="B228" s="294"/>
      <c r="F228" s="296"/>
      <c r="J228" s="302"/>
      <c r="R228" s="188"/>
      <c r="T228" s="295"/>
      <c r="Y228" s="188"/>
      <c r="AA228" s="295"/>
      <c r="AF228" s="188"/>
      <c r="AH228" s="295"/>
      <c r="AI228" s="188"/>
      <c r="AJ228" s="188"/>
      <c r="AK228" s="188"/>
      <c r="AL228" s="188"/>
      <c r="AM228" s="188"/>
      <c r="AN228" s="188"/>
      <c r="AO228" s="299"/>
      <c r="AS228" s="296"/>
      <c r="AW228" s="296"/>
      <c r="BN228" s="296"/>
      <c r="BO228" s="296"/>
      <c r="CX228" s="302">
        <f t="shared" si="1060"/>
        <v>112014064</v>
      </c>
      <c r="CY228" s="510">
        <v>32</v>
      </c>
      <c r="CZ228" s="302" t="s">
        <v>635</v>
      </c>
      <c r="DA228" s="352">
        <v>11149644</v>
      </c>
      <c r="DB228" s="352">
        <v>734263.6</v>
      </c>
      <c r="DC228" s="352">
        <v>1061792.54</v>
      </c>
      <c r="DD228" s="352">
        <v>980543.52</v>
      </c>
      <c r="DE228" s="361">
        <v>1046610.16</v>
      </c>
      <c r="DF228" s="811">
        <v>1239501.75</v>
      </c>
      <c r="DG228" s="361">
        <v>1114224.74</v>
      </c>
      <c r="DH228" s="361">
        <v>1572755.04</v>
      </c>
      <c r="DI228" s="361">
        <v>822201.06</v>
      </c>
      <c r="DJ228" s="361">
        <v>1259374.8799999999</v>
      </c>
      <c r="DK228" s="361">
        <v>1318376.7</v>
      </c>
      <c r="DL228" s="361"/>
      <c r="DM228" s="361"/>
      <c r="DN228" s="361"/>
      <c r="DO228" s="362"/>
    </row>
    <row r="229" spans="2:119" ht="13">
      <c r="B229" s="294"/>
      <c r="F229" s="296"/>
      <c r="J229" s="302"/>
      <c r="R229" s="188"/>
      <c r="T229" s="295"/>
      <c r="Y229" s="188"/>
      <c r="AA229" s="295"/>
      <c r="AF229" s="188"/>
      <c r="AH229" s="295"/>
      <c r="AI229" s="188"/>
      <c r="AJ229" s="188"/>
      <c r="AK229" s="188"/>
      <c r="AL229" s="188"/>
      <c r="AM229" s="188"/>
      <c r="AN229" s="188"/>
      <c r="AO229" s="299"/>
      <c r="AS229" s="296"/>
      <c r="AW229" s="296"/>
      <c r="BN229" s="296"/>
      <c r="BO229" s="296"/>
      <c r="CX229" s="302">
        <f t="shared" ref="CX229:CX260" si="1061">VLOOKUP(CZ229,LAGECARTERA,3,FALSE)</f>
        <v>112014211</v>
      </c>
      <c r="CY229" s="510">
        <v>33</v>
      </c>
      <c r="CZ229" s="359" t="s">
        <v>517</v>
      </c>
      <c r="DA229" s="361">
        <v>10612228.77</v>
      </c>
      <c r="DB229" s="361">
        <v>4266714.95</v>
      </c>
      <c r="DC229" s="361">
        <v>0</v>
      </c>
      <c r="DD229" s="361">
        <v>457205.57</v>
      </c>
      <c r="DE229" s="361">
        <v>1639488.73</v>
      </c>
      <c r="DF229" s="811">
        <v>1472419.02</v>
      </c>
      <c r="DG229" s="361">
        <v>1040945.04</v>
      </c>
      <c r="DH229" s="361">
        <v>1573340.74</v>
      </c>
      <c r="DI229" s="361">
        <v>162114.72</v>
      </c>
      <c r="DJ229" s="361">
        <v>0</v>
      </c>
      <c r="DK229" s="365">
        <v>0</v>
      </c>
      <c r="DL229" s="365"/>
      <c r="DM229" s="365"/>
      <c r="DN229" s="365"/>
      <c r="DO229" s="366"/>
    </row>
    <row r="230" spans="2:119" ht="13">
      <c r="B230" s="294"/>
      <c r="F230" s="296"/>
      <c r="J230" s="302"/>
      <c r="R230" s="188"/>
      <c r="T230" s="295"/>
      <c r="Y230" s="188"/>
      <c r="AA230" s="295"/>
      <c r="AF230" s="188"/>
      <c r="AH230" s="295"/>
      <c r="AI230" s="188"/>
      <c r="AJ230" s="188"/>
      <c r="AK230" s="188"/>
      <c r="AL230" s="188"/>
      <c r="AM230" s="188"/>
      <c r="AN230" s="188"/>
      <c r="AO230" s="299"/>
      <c r="AS230" s="296"/>
      <c r="AW230" s="296"/>
      <c r="BN230" s="296"/>
      <c r="BO230" s="296"/>
      <c r="CX230" s="302">
        <f t="shared" si="1061"/>
        <v>112014459</v>
      </c>
      <c r="CY230" s="510">
        <v>34</v>
      </c>
      <c r="CZ230" s="359" t="s">
        <v>566</v>
      </c>
      <c r="DA230" s="361">
        <v>10389680.43</v>
      </c>
      <c r="DB230" s="361">
        <v>1286138.52</v>
      </c>
      <c r="DC230" s="361">
        <v>3454171.63</v>
      </c>
      <c r="DD230" s="361">
        <v>634838.28</v>
      </c>
      <c r="DE230" s="361">
        <v>0</v>
      </c>
      <c r="DF230" s="811">
        <v>344019.06</v>
      </c>
      <c r="DG230" s="361">
        <v>1392679.04</v>
      </c>
      <c r="DH230" s="361">
        <v>1338922.51</v>
      </c>
      <c r="DI230" s="361">
        <v>796536.62</v>
      </c>
      <c r="DJ230" s="361">
        <v>1142374.77</v>
      </c>
      <c r="DK230" s="361">
        <v>0</v>
      </c>
      <c r="DL230" s="361"/>
      <c r="DM230" s="361"/>
      <c r="DN230" s="361"/>
      <c r="DO230" s="362"/>
    </row>
    <row r="231" spans="2:119" ht="13">
      <c r="B231" s="294"/>
      <c r="F231" s="296"/>
      <c r="J231" s="302"/>
      <c r="R231" s="188"/>
      <c r="T231" s="295"/>
      <c r="Y231" s="188"/>
      <c r="AA231" s="295"/>
      <c r="AF231" s="188"/>
      <c r="AH231" s="295"/>
      <c r="AI231" s="188"/>
      <c r="AJ231" s="188"/>
      <c r="AK231" s="188"/>
      <c r="AL231" s="188"/>
      <c r="AM231" s="188"/>
      <c r="AN231" s="188"/>
      <c r="AO231" s="299"/>
      <c r="AS231" s="296"/>
      <c r="AW231" s="296"/>
      <c r="BN231" s="296"/>
      <c r="BO231" s="296"/>
      <c r="CX231" s="302">
        <f t="shared" si="1061"/>
        <v>112014330</v>
      </c>
      <c r="CY231" s="510">
        <v>35</v>
      </c>
      <c r="CZ231" s="359" t="s">
        <v>554</v>
      </c>
      <c r="DA231" s="361">
        <v>10313907.529999999</v>
      </c>
      <c r="DB231" s="352">
        <v>973864.95</v>
      </c>
      <c r="DC231" s="352">
        <v>670645.99</v>
      </c>
      <c r="DD231" s="361">
        <v>1273820.8899999999</v>
      </c>
      <c r="DE231" s="361">
        <v>981504.26</v>
      </c>
      <c r="DF231" s="811">
        <v>1983131.57</v>
      </c>
      <c r="DG231" s="361">
        <v>682529.7</v>
      </c>
      <c r="DH231" s="361">
        <v>1352123.53</v>
      </c>
      <c r="DI231" s="361">
        <v>839131.17</v>
      </c>
      <c r="DJ231" s="361">
        <v>773197.83</v>
      </c>
      <c r="DK231" s="361">
        <v>783957.63</v>
      </c>
      <c r="DL231" s="361"/>
      <c r="DM231" s="361"/>
      <c r="DN231" s="361"/>
      <c r="DO231" s="362"/>
    </row>
    <row r="232" spans="2:119" ht="13">
      <c r="B232" s="294"/>
      <c r="F232" s="296"/>
      <c r="J232" s="302"/>
      <c r="R232" s="188"/>
      <c r="T232" s="295"/>
      <c r="Y232" s="188"/>
      <c r="AA232" s="295"/>
      <c r="AF232" s="188"/>
      <c r="AH232" s="295"/>
      <c r="AI232" s="188"/>
      <c r="AJ232" s="188"/>
      <c r="AK232" s="188"/>
      <c r="AL232" s="188"/>
      <c r="AM232" s="188"/>
      <c r="AN232" s="188"/>
      <c r="AO232" s="299"/>
      <c r="AS232" s="296"/>
      <c r="AW232" s="296"/>
      <c r="BN232" s="296"/>
      <c r="BO232" s="296"/>
      <c r="CX232" s="302">
        <f t="shared" si="1061"/>
        <v>112014315</v>
      </c>
      <c r="CY232" s="510">
        <v>36</v>
      </c>
      <c r="CZ232" s="359" t="s">
        <v>534</v>
      </c>
      <c r="DA232" s="361">
        <v>10219390.33</v>
      </c>
      <c r="DB232" s="361">
        <v>334742.96000000002</v>
      </c>
      <c r="DC232" s="361">
        <v>1297266.1599999999</v>
      </c>
      <c r="DD232" s="361">
        <v>994905.03</v>
      </c>
      <c r="DE232" s="352">
        <v>354759.84</v>
      </c>
      <c r="DF232" s="296">
        <v>610268.07999999996</v>
      </c>
      <c r="DG232" s="352">
        <v>1060321.52</v>
      </c>
      <c r="DH232" s="361">
        <v>1560391.27</v>
      </c>
      <c r="DI232" s="361">
        <v>976903.05</v>
      </c>
      <c r="DJ232" s="361">
        <v>927280.08</v>
      </c>
      <c r="DK232" s="361">
        <v>2102552.35</v>
      </c>
      <c r="DL232" s="361"/>
      <c r="DM232" s="361"/>
      <c r="DN232" s="361"/>
      <c r="DO232" s="362"/>
    </row>
    <row r="233" spans="2:119" ht="13">
      <c r="B233" s="294"/>
      <c r="F233" s="296"/>
      <c r="J233" s="302"/>
      <c r="R233" s="188"/>
      <c r="T233" s="295"/>
      <c r="Y233" s="188"/>
      <c r="AA233" s="295"/>
      <c r="AF233" s="188"/>
      <c r="AH233" s="295"/>
      <c r="AI233" s="188"/>
      <c r="AJ233" s="188"/>
      <c r="AK233" s="188"/>
      <c r="AL233" s="188"/>
      <c r="AM233" s="188"/>
      <c r="AN233" s="188"/>
      <c r="AO233" s="299"/>
      <c r="AS233" s="296"/>
      <c r="AW233" s="296"/>
      <c r="BN233" s="296"/>
      <c r="BO233" s="296"/>
      <c r="CX233" s="302">
        <f t="shared" si="1061"/>
        <v>112013222</v>
      </c>
      <c r="CY233" s="510">
        <v>37</v>
      </c>
      <c r="CZ233" s="359" t="s">
        <v>628</v>
      </c>
      <c r="DA233" s="361">
        <v>9628893.8100000005</v>
      </c>
      <c r="DB233" s="361">
        <v>707437.44</v>
      </c>
      <c r="DC233" s="361">
        <v>650950.56000000006</v>
      </c>
      <c r="DD233" s="361">
        <v>974860.48</v>
      </c>
      <c r="DE233" s="352">
        <v>792126.24</v>
      </c>
      <c r="DF233" s="296">
        <v>879871.31</v>
      </c>
      <c r="DG233" s="352">
        <v>1383013.86</v>
      </c>
      <c r="DH233" s="361">
        <v>1367945.76</v>
      </c>
      <c r="DI233" s="361">
        <v>899386.69</v>
      </c>
      <c r="DJ233" s="361">
        <v>662802.80000000005</v>
      </c>
      <c r="DK233" s="361">
        <v>1310498.67</v>
      </c>
      <c r="DL233" s="361"/>
      <c r="DM233" s="361"/>
      <c r="DN233" s="361"/>
      <c r="DO233" s="362"/>
    </row>
    <row r="234" spans="2:119" ht="13">
      <c r="B234" s="294"/>
      <c r="F234" s="296"/>
      <c r="J234" s="302"/>
      <c r="R234" s="188"/>
      <c r="T234" s="295"/>
      <c r="Y234" s="188"/>
      <c r="AA234" s="295"/>
      <c r="AF234" s="188"/>
      <c r="AH234" s="295"/>
      <c r="AI234" s="188"/>
      <c r="AJ234" s="188"/>
      <c r="AK234" s="188"/>
      <c r="AL234" s="188"/>
      <c r="AM234" s="188"/>
      <c r="AN234" s="188"/>
      <c r="AO234" s="299"/>
      <c r="AS234" s="296"/>
      <c r="AW234" s="296"/>
      <c r="BN234" s="296"/>
      <c r="BO234" s="296"/>
      <c r="CX234" s="302">
        <f t="shared" si="1061"/>
        <v>112013315</v>
      </c>
      <c r="CY234" s="510">
        <v>38</v>
      </c>
      <c r="CZ234" s="359" t="s">
        <v>631</v>
      </c>
      <c r="DA234" s="361">
        <v>9438746.8499999996</v>
      </c>
      <c r="DB234" s="361">
        <v>929299.91</v>
      </c>
      <c r="DC234" s="361">
        <v>1589043.08</v>
      </c>
      <c r="DD234" s="361">
        <v>409460.62</v>
      </c>
      <c r="DE234" s="361">
        <v>808568.94</v>
      </c>
      <c r="DF234" s="811">
        <v>954183.28</v>
      </c>
      <c r="DG234" s="361">
        <v>784446.08</v>
      </c>
      <c r="DH234" s="361">
        <v>603042.64</v>
      </c>
      <c r="DI234" s="361">
        <v>786531.28</v>
      </c>
      <c r="DJ234" s="361">
        <v>954430</v>
      </c>
      <c r="DK234" s="361">
        <v>1619741.02</v>
      </c>
      <c r="DL234" s="361"/>
      <c r="DM234" s="361"/>
      <c r="DN234" s="361"/>
      <c r="DO234" s="362"/>
    </row>
    <row r="235" spans="2:119" ht="13">
      <c r="B235" s="294"/>
      <c r="F235" s="296"/>
      <c r="J235" s="302"/>
      <c r="R235" s="188"/>
      <c r="T235" s="295"/>
      <c r="Y235" s="188"/>
      <c r="AA235" s="295"/>
      <c r="AF235" s="188"/>
      <c r="AH235" s="295"/>
      <c r="AI235" s="188"/>
      <c r="AJ235" s="188"/>
      <c r="AK235" s="188"/>
      <c r="AL235" s="188"/>
      <c r="AM235" s="188"/>
      <c r="AN235" s="188"/>
      <c r="AO235" s="299"/>
      <c r="AS235" s="296"/>
      <c r="AW235" s="296"/>
      <c r="BN235" s="296"/>
      <c r="BO235" s="296"/>
      <c r="CX235" s="302">
        <f t="shared" si="1061"/>
        <v>112014419</v>
      </c>
      <c r="CY235" s="510">
        <v>39</v>
      </c>
      <c r="CZ235" s="359" t="s">
        <v>564</v>
      </c>
      <c r="DA235" s="361">
        <v>9429628.6600000001</v>
      </c>
      <c r="DB235" s="361">
        <v>0</v>
      </c>
      <c r="DC235" s="361">
        <v>405813.93</v>
      </c>
      <c r="DD235" s="361">
        <v>351593.16</v>
      </c>
      <c r="DE235" s="361">
        <v>776521.09</v>
      </c>
      <c r="DF235" s="811">
        <v>967111.33</v>
      </c>
      <c r="DG235" s="361">
        <v>795718.46</v>
      </c>
      <c r="DH235" s="361">
        <v>2788880.5</v>
      </c>
      <c r="DI235" s="361">
        <v>671668.16</v>
      </c>
      <c r="DJ235" s="361">
        <v>2012178.24</v>
      </c>
      <c r="DK235" s="361">
        <v>660143.80000000005</v>
      </c>
      <c r="DL235" s="361"/>
      <c r="DM235" s="361"/>
      <c r="DN235" s="361"/>
      <c r="DO235" s="362"/>
    </row>
    <row r="236" spans="2:119" ht="13">
      <c r="B236" s="294"/>
      <c r="F236" s="296"/>
      <c r="J236" s="302"/>
      <c r="R236" s="188"/>
      <c r="T236" s="295"/>
      <c r="Y236" s="188"/>
      <c r="AA236" s="295"/>
      <c r="AF236" s="188"/>
      <c r="AH236" s="295"/>
      <c r="AI236" s="188"/>
      <c r="AJ236" s="188"/>
      <c r="AK236" s="188"/>
      <c r="AL236" s="188"/>
      <c r="AM236" s="188"/>
      <c r="AN236" s="188"/>
      <c r="AO236" s="299"/>
      <c r="AS236" s="296"/>
      <c r="AW236" s="296"/>
      <c r="BN236" s="296"/>
      <c r="BO236" s="296"/>
      <c r="CX236" s="302">
        <f t="shared" si="1061"/>
        <v>112013232</v>
      </c>
      <c r="CY236" s="510">
        <v>40</v>
      </c>
      <c r="CZ236" s="359" t="s">
        <v>630</v>
      </c>
      <c r="DA236" s="361">
        <v>8835967.8599999994</v>
      </c>
      <c r="DB236" s="361">
        <v>1254188.24</v>
      </c>
      <c r="DC236" s="361">
        <v>934109.85</v>
      </c>
      <c r="DD236" s="361">
        <v>1191896.75</v>
      </c>
      <c r="DE236" s="361">
        <v>363350.59</v>
      </c>
      <c r="DF236" s="811">
        <v>900384.08</v>
      </c>
      <c r="DG236" s="361">
        <v>1375134.4</v>
      </c>
      <c r="DH236" s="361">
        <v>604273.56000000006</v>
      </c>
      <c r="DI236" s="361">
        <v>763501.69</v>
      </c>
      <c r="DJ236" s="361">
        <v>761560.9</v>
      </c>
      <c r="DK236" s="361">
        <v>687567.8</v>
      </c>
      <c r="DL236" s="361"/>
      <c r="DM236" s="361"/>
      <c r="DN236" s="361"/>
      <c r="DO236" s="362"/>
    </row>
    <row r="237" spans="2:119" ht="13">
      <c r="B237" s="294"/>
      <c r="F237" s="296"/>
      <c r="J237" s="302"/>
      <c r="R237" s="188"/>
      <c r="T237" s="295"/>
      <c r="Y237" s="188"/>
      <c r="AA237" s="295"/>
      <c r="AF237" s="188"/>
      <c r="AH237" s="295"/>
      <c r="AI237" s="188"/>
      <c r="AJ237" s="188"/>
      <c r="AK237" s="188"/>
      <c r="AL237" s="188"/>
      <c r="AM237" s="188"/>
      <c r="AN237" s="188"/>
      <c r="AO237" s="299"/>
      <c r="AS237" s="296"/>
      <c r="AW237" s="296"/>
      <c r="BN237" s="296"/>
      <c r="BO237" s="296"/>
      <c r="CX237" s="302">
        <f t="shared" si="1061"/>
        <v>112012487</v>
      </c>
      <c r="CY237" s="510">
        <v>41</v>
      </c>
      <c r="CZ237" s="302" t="s">
        <v>542</v>
      </c>
      <c r="DA237" s="352">
        <v>8691161.5899999999</v>
      </c>
      <c r="DB237" s="352">
        <v>1348569.42</v>
      </c>
      <c r="DC237" s="352">
        <v>1227122.97</v>
      </c>
      <c r="DD237" s="352">
        <v>864634.49</v>
      </c>
      <c r="DE237" s="352">
        <v>2058691.7</v>
      </c>
      <c r="DF237" s="296">
        <v>0</v>
      </c>
      <c r="DG237" s="352">
        <v>80702.350000000006</v>
      </c>
      <c r="DH237" s="361">
        <v>291868.74</v>
      </c>
      <c r="DI237" s="361">
        <v>273629.8</v>
      </c>
      <c r="DJ237" s="361">
        <v>462405.2</v>
      </c>
      <c r="DK237" s="361">
        <v>2083536.92</v>
      </c>
      <c r="DL237" s="361"/>
      <c r="DM237" s="361"/>
      <c r="DN237" s="361"/>
      <c r="DO237" s="362"/>
    </row>
    <row r="238" spans="2:119" ht="13">
      <c r="B238" s="294"/>
      <c r="F238" s="296"/>
      <c r="J238" s="302"/>
      <c r="R238" s="188"/>
      <c r="T238" s="295"/>
      <c r="Y238" s="188"/>
      <c r="AA238" s="295"/>
      <c r="AF238" s="188"/>
      <c r="AH238" s="295"/>
      <c r="AI238" s="188"/>
      <c r="AJ238" s="188"/>
      <c r="AK238" s="188"/>
      <c r="AL238" s="188"/>
      <c r="AM238" s="188"/>
      <c r="AN238" s="188"/>
      <c r="AO238" s="299"/>
      <c r="AS238" s="296"/>
      <c r="AW238" s="296"/>
      <c r="BN238" s="296"/>
      <c r="BO238" s="296"/>
      <c r="CX238" s="302">
        <f t="shared" si="1061"/>
        <v>112014278</v>
      </c>
      <c r="CY238" s="510">
        <v>42</v>
      </c>
      <c r="CZ238" s="359" t="s">
        <v>578</v>
      </c>
      <c r="DA238" s="361">
        <v>8652599.8100000005</v>
      </c>
      <c r="DB238" s="361">
        <v>1226988.71</v>
      </c>
      <c r="DC238" s="361">
        <v>1019212.94</v>
      </c>
      <c r="DD238" s="361">
        <v>877750.72</v>
      </c>
      <c r="DE238" s="361">
        <v>972615.63</v>
      </c>
      <c r="DF238" s="811">
        <v>1044627.4</v>
      </c>
      <c r="DG238" s="361">
        <v>969424.2</v>
      </c>
      <c r="DH238" s="361">
        <v>593078.81000000006</v>
      </c>
      <c r="DI238" s="361">
        <v>631484.16000000003</v>
      </c>
      <c r="DJ238" s="361">
        <v>282595.84000000003</v>
      </c>
      <c r="DK238" s="361">
        <v>1034821.4</v>
      </c>
      <c r="DL238" s="361"/>
      <c r="DM238" s="361"/>
      <c r="DN238" s="361"/>
      <c r="DO238" s="362"/>
    </row>
    <row r="239" spans="2:119" ht="13">
      <c r="B239" s="294"/>
      <c r="F239" s="296"/>
      <c r="J239" s="302"/>
      <c r="R239" s="188"/>
      <c r="T239" s="295"/>
      <c r="Y239" s="188"/>
      <c r="AA239" s="295"/>
      <c r="AF239" s="188"/>
      <c r="AH239" s="295"/>
      <c r="AI239" s="188"/>
      <c r="AJ239" s="188"/>
      <c r="AK239" s="188"/>
      <c r="AL239" s="188"/>
      <c r="AM239" s="188"/>
      <c r="AN239" s="188"/>
      <c r="AO239" s="299"/>
      <c r="AS239" s="296"/>
      <c r="AW239" s="296"/>
      <c r="BN239" s="296"/>
      <c r="BO239" s="296"/>
      <c r="CX239" s="302">
        <f t="shared" si="1061"/>
        <v>112014609</v>
      </c>
      <c r="CY239" s="510">
        <v>43</v>
      </c>
      <c r="CZ239" s="359" t="s">
        <v>589</v>
      </c>
      <c r="DA239" s="361">
        <v>8371740.0999999996</v>
      </c>
      <c r="DB239" s="361">
        <v>894500.98</v>
      </c>
      <c r="DC239" s="361">
        <v>0</v>
      </c>
      <c r="DD239" s="361">
        <v>929092.23</v>
      </c>
      <c r="DE239" s="352">
        <v>963310.97</v>
      </c>
      <c r="DF239" s="296">
        <v>421727.5</v>
      </c>
      <c r="DG239" s="352">
        <v>343326.49</v>
      </c>
      <c r="DH239" s="361">
        <v>435886.4</v>
      </c>
      <c r="DI239" s="361">
        <v>541912.1</v>
      </c>
      <c r="DJ239" s="361">
        <v>1006892.64</v>
      </c>
      <c r="DK239" s="361">
        <v>2835090.79</v>
      </c>
      <c r="DL239" s="365"/>
      <c r="DM239" s="365"/>
      <c r="DN239" s="365"/>
      <c r="DO239" s="366"/>
    </row>
    <row r="240" spans="2:119" ht="13">
      <c r="B240" s="294"/>
      <c r="F240" s="296"/>
      <c r="J240" s="302"/>
      <c r="R240" s="188"/>
      <c r="T240" s="295"/>
      <c r="Y240" s="188"/>
      <c r="AA240" s="295"/>
      <c r="AF240" s="188"/>
      <c r="AH240" s="295"/>
      <c r="AI240" s="188"/>
      <c r="AJ240" s="188"/>
      <c r="AK240" s="188"/>
      <c r="AL240" s="188"/>
      <c r="AM240" s="188"/>
      <c r="AN240" s="188"/>
      <c r="AO240" s="299"/>
      <c r="AS240" s="296"/>
      <c r="AW240" s="296"/>
      <c r="BN240" s="296"/>
      <c r="BO240" s="296"/>
      <c r="CX240" s="302">
        <f t="shared" si="1061"/>
        <v>112014104</v>
      </c>
      <c r="CY240" s="510">
        <v>44</v>
      </c>
      <c r="CZ240" s="359" t="s">
        <v>519</v>
      </c>
      <c r="DA240" s="361">
        <v>8212108.1100000003</v>
      </c>
      <c r="DB240" s="361">
        <v>2289996.48</v>
      </c>
      <c r="DC240" s="361">
        <v>204300</v>
      </c>
      <c r="DD240" s="361">
        <v>345257.29</v>
      </c>
      <c r="DE240" s="361">
        <v>5122887.59</v>
      </c>
      <c r="DF240" s="811">
        <v>0</v>
      </c>
      <c r="DG240" s="361">
        <v>54621.02</v>
      </c>
      <c r="DH240" s="361">
        <v>39366.9</v>
      </c>
      <c r="DI240" s="361">
        <v>155678.84</v>
      </c>
      <c r="DJ240" s="361">
        <v>0</v>
      </c>
      <c r="DK240" s="361">
        <v>0</v>
      </c>
      <c r="DL240" s="361"/>
      <c r="DM240" s="361"/>
      <c r="DN240" s="361"/>
      <c r="DO240" s="362"/>
    </row>
    <row r="241" spans="2:119" ht="13">
      <c r="B241" s="294"/>
      <c r="F241" s="296"/>
      <c r="J241" s="302"/>
      <c r="R241" s="188"/>
      <c r="T241" s="295"/>
      <c r="Y241" s="188"/>
      <c r="AA241" s="295"/>
      <c r="AF241" s="188"/>
      <c r="AH241" s="295"/>
      <c r="AI241" s="188"/>
      <c r="AJ241" s="188"/>
      <c r="AK241" s="188"/>
      <c r="AL241" s="188"/>
      <c r="AM241" s="188"/>
      <c r="AN241" s="188"/>
      <c r="AO241" s="299"/>
      <c r="AS241" s="296"/>
      <c r="AW241" s="296"/>
      <c r="BN241" s="296"/>
      <c r="BO241" s="296"/>
      <c r="CX241" s="302">
        <f t="shared" si="1061"/>
        <v>112014169</v>
      </c>
      <c r="CY241" s="510">
        <v>45</v>
      </c>
      <c r="CZ241" s="359" t="s">
        <v>529</v>
      </c>
      <c r="DA241" s="361">
        <v>7960204.75</v>
      </c>
      <c r="DB241" s="361">
        <v>782884.08</v>
      </c>
      <c r="DC241" s="361">
        <v>494631.2</v>
      </c>
      <c r="DD241" s="361">
        <v>781604.96</v>
      </c>
      <c r="DE241" s="361">
        <v>2469089.7000000002</v>
      </c>
      <c r="DF241" s="811">
        <v>0</v>
      </c>
      <c r="DG241" s="361">
        <v>814015.14</v>
      </c>
      <c r="DH241" s="361">
        <v>0</v>
      </c>
      <c r="DI241" s="361">
        <v>815966.86</v>
      </c>
      <c r="DJ241" s="361">
        <v>171071.6</v>
      </c>
      <c r="DK241" s="361">
        <v>1630941.2</v>
      </c>
      <c r="DL241" s="365"/>
      <c r="DM241" s="365"/>
      <c r="DN241" s="365"/>
      <c r="DO241" s="366"/>
    </row>
    <row r="242" spans="2:119" ht="13">
      <c r="B242" s="294"/>
      <c r="F242" s="296"/>
      <c r="J242" s="302"/>
      <c r="R242" s="188"/>
      <c r="T242" s="295"/>
      <c r="Y242" s="188"/>
      <c r="AA242" s="295"/>
      <c r="AF242" s="188"/>
      <c r="AH242" s="295"/>
      <c r="AI242" s="188"/>
      <c r="AJ242" s="188"/>
      <c r="AK242" s="188"/>
      <c r="AL242" s="188"/>
      <c r="AM242" s="188"/>
      <c r="AN242" s="188"/>
      <c r="AO242" s="299"/>
      <c r="AS242" s="296"/>
      <c r="AW242" s="296"/>
      <c r="BN242" s="296"/>
      <c r="BO242" s="296"/>
      <c r="CX242" s="302">
        <f t="shared" si="1061"/>
        <v>112014036</v>
      </c>
      <c r="CY242" s="510">
        <v>46</v>
      </c>
      <c r="CZ242" s="359" t="s">
        <v>552</v>
      </c>
      <c r="DA242" s="361">
        <v>7946347.7300000004</v>
      </c>
      <c r="DB242" s="361">
        <v>48266.55</v>
      </c>
      <c r="DC242" s="361">
        <v>740135.79</v>
      </c>
      <c r="DD242" s="361">
        <v>1086285.6100000001</v>
      </c>
      <c r="DE242" s="352">
        <v>1138511.43</v>
      </c>
      <c r="DF242" s="296">
        <v>541034.73</v>
      </c>
      <c r="DG242" s="352">
        <v>1338681.5900000001</v>
      </c>
      <c r="DH242" s="361">
        <v>902449.35</v>
      </c>
      <c r="DI242" s="361">
        <v>518469.25</v>
      </c>
      <c r="DJ242" s="361">
        <v>901716.53</v>
      </c>
      <c r="DK242" s="361">
        <v>730796.91</v>
      </c>
      <c r="DL242" s="361"/>
      <c r="DM242" s="361"/>
      <c r="DN242" s="361"/>
      <c r="DO242" s="362"/>
    </row>
    <row r="243" spans="2:119" ht="13">
      <c r="B243" s="294"/>
      <c r="F243" s="296"/>
      <c r="J243" s="302"/>
      <c r="R243" s="188"/>
      <c r="T243" s="295"/>
      <c r="Y243" s="188"/>
      <c r="AA243" s="295"/>
      <c r="AF243" s="188"/>
      <c r="AH243" s="295"/>
      <c r="AI243" s="188"/>
      <c r="AJ243" s="188"/>
      <c r="AK243" s="188"/>
      <c r="AL243" s="188"/>
      <c r="AM243" s="188"/>
      <c r="AN243" s="188"/>
      <c r="AO243" s="299"/>
      <c r="AS243" s="296"/>
      <c r="AW243" s="296"/>
      <c r="BN243" s="296"/>
      <c r="BO243" s="296"/>
      <c r="CX243" s="302">
        <f t="shared" si="1061"/>
        <v>112014489</v>
      </c>
      <c r="CY243" s="510">
        <v>47</v>
      </c>
      <c r="CZ243" s="302" t="s">
        <v>569</v>
      </c>
      <c r="DA243" s="352">
        <v>7879979.1200000001</v>
      </c>
      <c r="DB243" s="352">
        <v>927364.77</v>
      </c>
      <c r="DC243" s="352">
        <v>1713288.42</v>
      </c>
      <c r="DD243" s="352">
        <v>932232.53</v>
      </c>
      <c r="DE243" s="361">
        <v>310302.84000000003</v>
      </c>
      <c r="DF243" s="811">
        <v>1063787.07</v>
      </c>
      <c r="DG243" s="361">
        <v>1005209.13</v>
      </c>
      <c r="DH243" s="361">
        <v>930857.83</v>
      </c>
      <c r="DI243" s="361">
        <v>996936.53</v>
      </c>
      <c r="DJ243" s="361">
        <v>0</v>
      </c>
      <c r="DK243" s="361">
        <v>0</v>
      </c>
      <c r="DL243" s="361"/>
      <c r="DM243" s="361"/>
      <c r="DN243" s="361"/>
      <c r="DO243" s="362"/>
    </row>
    <row r="244" spans="2:119" ht="13">
      <c r="B244" s="294"/>
      <c r="F244" s="296"/>
      <c r="J244" s="302"/>
      <c r="R244" s="188"/>
      <c r="T244" s="295"/>
      <c r="Y244" s="188"/>
      <c r="AA244" s="295"/>
      <c r="AF244" s="188"/>
      <c r="AH244" s="295"/>
      <c r="AI244" s="188"/>
      <c r="AJ244" s="188"/>
      <c r="AK244" s="188"/>
      <c r="AL244" s="188"/>
      <c r="AM244" s="188"/>
      <c r="AN244" s="188"/>
      <c r="AO244" s="299"/>
      <c r="AS244" s="296"/>
      <c r="AW244" s="296"/>
      <c r="BN244" s="296"/>
      <c r="BO244" s="296"/>
      <c r="CX244" s="302">
        <f t="shared" si="1061"/>
        <v>112014517</v>
      </c>
      <c r="CY244" s="510">
        <v>48</v>
      </c>
      <c r="CZ244" s="359" t="s">
        <v>533</v>
      </c>
      <c r="DA244" s="361">
        <v>7420081.2699999996</v>
      </c>
      <c r="DB244" s="352">
        <v>990081.39</v>
      </c>
      <c r="DC244" s="352">
        <v>1190756.56</v>
      </c>
      <c r="DD244" s="361">
        <v>1118197.82</v>
      </c>
      <c r="DE244" s="361">
        <v>0</v>
      </c>
      <c r="DF244" s="811">
        <v>31057.599999999999</v>
      </c>
      <c r="DG244" s="361">
        <v>1209956.3899999999</v>
      </c>
      <c r="DH244" s="361">
        <v>716929.54</v>
      </c>
      <c r="DI244" s="361">
        <v>934365.37</v>
      </c>
      <c r="DJ244" s="361">
        <v>542384.97</v>
      </c>
      <c r="DK244" s="361">
        <v>686351.64</v>
      </c>
      <c r="DL244" s="361"/>
      <c r="DM244" s="361"/>
      <c r="DN244" s="361"/>
      <c r="DO244" s="362"/>
    </row>
    <row r="245" spans="2:119" ht="13">
      <c r="B245" s="294"/>
      <c r="F245" s="296"/>
      <c r="J245" s="302"/>
      <c r="R245" s="188"/>
      <c r="T245" s="295"/>
      <c r="Y245" s="188"/>
      <c r="AA245" s="295"/>
      <c r="AF245" s="188"/>
      <c r="AH245" s="295"/>
      <c r="AI245" s="188"/>
      <c r="AJ245" s="188"/>
      <c r="AK245" s="188"/>
      <c r="AL245" s="188"/>
      <c r="AM245" s="188"/>
      <c r="AN245" s="188"/>
      <c r="AO245" s="299"/>
      <c r="AS245" s="296"/>
      <c r="AW245" s="296"/>
      <c r="BN245" s="296"/>
      <c r="BO245" s="296"/>
      <c r="CX245" s="302">
        <f t="shared" si="1061"/>
        <v>112014436</v>
      </c>
      <c r="CY245" s="510">
        <v>49</v>
      </c>
      <c r="CZ245" s="302" t="s">
        <v>565</v>
      </c>
      <c r="DA245" s="352">
        <v>6934987.7300000004</v>
      </c>
      <c r="DB245" s="352">
        <v>1773796.75</v>
      </c>
      <c r="DC245" s="352">
        <v>0</v>
      </c>
      <c r="DD245" s="352">
        <v>126513.25</v>
      </c>
      <c r="DE245" s="361">
        <v>576880.61</v>
      </c>
      <c r="DF245" s="811">
        <v>4091740.65</v>
      </c>
      <c r="DG245" s="361">
        <v>366056.46</v>
      </c>
      <c r="DH245" s="361">
        <v>0</v>
      </c>
      <c r="DI245" s="361">
        <v>0</v>
      </c>
      <c r="DJ245" s="361">
        <v>0</v>
      </c>
      <c r="DK245" s="361">
        <v>0</v>
      </c>
      <c r="DL245" s="361"/>
      <c r="DM245" s="361"/>
      <c r="DN245" s="361"/>
      <c r="DO245" s="362"/>
    </row>
    <row r="246" spans="2:119" ht="13">
      <c r="B246" s="294"/>
      <c r="F246" s="296"/>
      <c r="J246" s="302"/>
      <c r="R246" s="188"/>
      <c r="T246" s="295"/>
      <c r="Y246" s="188"/>
      <c r="AA246" s="295"/>
      <c r="AF246" s="188"/>
      <c r="AH246" s="295"/>
      <c r="AI246" s="188"/>
      <c r="AJ246" s="188"/>
      <c r="AK246" s="188"/>
      <c r="AL246" s="188"/>
      <c r="AM246" s="188"/>
      <c r="AN246" s="188"/>
      <c r="AO246" s="299"/>
      <c r="AS246" s="296"/>
      <c r="AW246" s="296"/>
      <c r="BN246" s="296"/>
      <c r="BO246" s="296"/>
      <c r="CX246" s="302">
        <f t="shared" si="1061"/>
        <v>112014227</v>
      </c>
      <c r="CY246" s="510">
        <v>50</v>
      </c>
      <c r="CZ246" s="359" t="s">
        <v>618</v>
      </c>
      <c r="DA246" s="361">
        <v>6790976.4299999997</v>
      </c>
      <c r="DB246" s="361">
        <v>727031.3</v>
      </c>
      <c r="DC246" s="361">
        <v>744211.93</v>
      </c>
      <c r="DD246" s="361">
        <v>783950.17</v>
      </c>
      <c r="DE246" s="361">
        <v>646443.68999999994</v>
      </c>
      <c r="DF246" s="811">
        <v>282928.34999999998</v>
      </c>
      <c r="DG246" s="361">
        <v>458277.76</v>
      </c>
      <c r="DH246" s="361">
        <v>1026100.34</v>
      </c>
      <c r="DI246" s="361">
        <v>441648.54</v>
      </c>
      <c r="DJ246" s="361">
        <v>517254.43</v>
      </c>
      <c r="DK246" s="361">
        <v>1163129.92</v>
      </c>
      <c r="DL246" s="361"/>
      <c r="DM246" s="361"/>
      <c r="DN246" s="361"/>
      <c r="DO246" s="362"/>
    </row>
    <row r="247" spans="2:119" ht="13">
      <c r="B247" s="294"/>
      <c r="F247" s="296"/>
      <c r="J247" s="302"/>
      <c r="R247" s="188"/>
      <c r="T247" s="295"/>
      <c r="Y247" s="188"/>
      <c r="AA247" s="295"/>
      <c r="AF247" s="188"/>
      <c r="AH247" s="295"/>
      <c r="AI247" s="188"/>
      <c r="AJ247" s="188"/>
      <c r="AK247" s="188"/>
      <c r="AL247" s="188"/>
      <c r="AM247" s="188"/>
      <c r="AN247" s="188"/>
      <c r="AO247" s="299"/>
      <c r="AS247" s="296"/>
      <c r="AW247" s="296"/>
      <c r="BN247" s="296"/>
      <c r="BO247" s="296"/>
      <c r="CX247" s="302">
        <f t="shared" si="1061"/>
        <v>112013254</v>
      </c>
      <c r="CY247" s="510">
        <v>51</v>
      </c>
      <c r="CZ247" s="359" t="s">
        <v>619</v>
      </c>
      <c r="DA247" s="361">
        <v>5767870.29</v>
      </c>
      <c r="DB247" s="361">
        <v>556589.23</v>
      </c>
      <c r="DC247" s="361">
        <v>274801.09999999998</v>
      </c>
      <c r="DD247" s="361">
        <v>289439.51</v>
      </c>
      <c r="DE247" s="361">
        <v>988346</v>
      </c>
      <c r="DF247" s="811">
        <v>880696.87</v>
      </c>
      <c r="DG247" s="361">
        <v>810097.65</v>
      </c>
      <c r="DH247" s="361">
        <v>929776.96</v>
      </c>
      <c r="DI247" s="361">
        <v>33703.449999999997</v>
      </c>
      <c r="DJ247" s="361">
        <v>469567.03</v>
      </c>
      <c r="DK247" s="361">
        <v>534852.5</v>
      </c>
      <c r="DL247" s="365"/>
      <c r="DM247" s="365"/>
      <c r="DN247" s="365"/>
      <c r="DO247" s="366"/>
    </row>
    <row r="248" spans="2:119" ht="13">
      <c r="B248" s="294"/>
      <c r="F248" s="296"/>
      <c r="J248" s="302"/>
      <c r="R248" s="188"/>
      <c r="T248" s="295"/>
      <c r="Y248" s="188"/>
      <c r="AA248" s="295"/>
      <c r="AF248" s="188"/>
      <c r="AH248" s="295"/>
      <c r="AI248" s="188"/>
      <c r="AJ248" s="188"/>
      <c r="AK248" s="188"/>
      <c r="AL248" s="188"/>
      <c r="AM248" s="188"/>
      <c r="AN248" s="188"/>
      <c r="AO248" s="299"/>
      <c r="AS248" s="296"/>
      <c r="AW248" s="296"/>
      <c r="BN248" s="296"/>
      <c r="BO248" s="296"/>
      <c r="CX248" s="302">
        <f t="shared" si="1061"/>
        <v>112014368</v>
      </c>
      <c r="CY248" s="510">
        <v>52</v>
      </c>
      <c r="CZ248" s="359" t="s">
        <v>570</v>
      </c>
      <c r="DA248" s="361">
        <v>5417454.3099999996</v>
      </c>
      <c r="DB248" s="361">
        <v>475180.57</v>
      </c>
      <c r="DC248" s="361">
        <v>486169.7</v>
      </c>
      <c r="DD248" s="361">
        <v>548622.34</v>
      </c>
      <c r="DE248" s="361">
        <v>356640.61</v>
      </c>
      <c r="DF248" s="811">
        <v>390912.65</v>
      </c>
      <c r="DG248" s="361">
        <v>519499.66</v>
      </c>
      <c r="DH248" s="361">
        <v>326666.40000000002</v>
      </c>
      <c r="DI248" s="361">
        <v>823817.69</v>
      </c>
      <c r="DJ248" s="361">
        <v>458544.36</v>
      </c>
      <c r="DK248" s="361">
        <v>1031400.33</v>
      </c>
      <c r="DL248" s="361"/>
      <c r="DM248" s="361"/>
      <c r="DN248" s="361"/>
      <c r="DO248" s="362"/>
    </row>
    <row r="249" spans="2:119" ht="13">
      <c r="B249" s="294"/>
      <c r="F249" s="296"/>
      <c r="J249" s="302"/>
      <c r="R249" s="188"/>
      <c r="T249" s="295"/>
      <c r="Y249" s="188"/>
      <c r="AA249" s="295"/>
      <c r="AF249" s="188"/>
      <c r="AH249" s="295"/>
      <c r="AI249" s="188"/>
      <c r="AJ249" s="188"/>
      <c r="AK249" s="188"/>
      <c r="AL249" s="188"/>
      <c r="AM249" s="188"/>
      <c r="AN249" s="188"/>
      <c r="AO249" s="299"/>
      <c r="AS249" s="296"/>
      <c r="AW249" s="296"/>
      <c r="BN249" s="296"/>
      <c r="BO249" s="296"/>
      <c r="CX249" s="302">
        <f t="shared" si="1061"/>
        <v>112014678</v>
      </c>
      <c r="CY249" s="510">
        <v>53</v>
      </c>
      <c r="CZ249" s="359" t="s">
        <v>580</v>
      </c>
      <c r="DA249" s="361">
        <v>5409971.1900000004</v>
      </c>
      <c r="DB249" s="361">
        <v>0</v>
      </c>
      <c r="DC249" s="361">
        <v>0</v>
      </c>
      <c r="DD249" s="361">
        <v>0</v>
      </c>
      <c r="DE249" s="361">
        <v>642660</v>
      </c>
      <c r="DF249" s="811">
        <v>514757.87</v>
      </c>
      <c r="DG249" s="361">
        <v>714081.65</v>
      </c>
      <c r="DH249" s="361">
        <v>645714.88</v>
      </c>
      <c r="DI249" s="361">
        <v>951609.86</v>
      </c>
      <c r="DJ249" s="361">
        <v>355361.79</v>
      </c>
      <c r="DK249" s="361">
        <v>1585785.14</v>
      </c>
      <c r="DL249" s="361"/>
      <c r="DM249" s="361"/>
      <c r="DN249" s="361"/>
      <c r="DO249" s="362"/>
    </row>
    <row r="250" spans="2:119" ht="13">
      <c r="B250" s="294"/>
      <c r="F250" s="296"/>
      <c r="J250" s="302"/>
      <c r="R250" s="188"/>
      <c r="T250" s="295"/>
      <c r="Y250" s="188"/>
      <c r="AA250" s="295"/>
      <c r="AF250" s="188"/>
      <c r="AH250" s="295"/>
      <c r="AI250" s="188"/>
      <c r="AJ250" s="188"/>
      <c r="AK250" s="188"/>
      <c r="AL250" s="188"/>
      <c r="AM250" s="188"/>
      <c r="AN250" s="188"/>
      <c r="AO250" s="299"/>
      <c r="AS250" s="296"/>
      <c r="AW250" s="296"/>
      <c r="BN250" s="296"/>
      <c r="BO250" s="296"/>
      <c r="CX250" s="302">
        <f t="shared" si="1061"/>
        <v>112013822</v>
      </c>
      <c r="CY250" s="510">
        <v>54</v>
      </c>
      <c r="CZ250" s="302" t="s">
        <v>658</v>
      </c>
      <c r="DA250" s="352">
        <v>5317291.46</v>
      </c>
      <c r="DB250" s="352">
        <v>0</v>
      </c>
      <c r="DC250" s="352">
        <v>0</v>
      </c>
      <c r="DD250" s="352">
        <v>0</v>
      </c>
      <c r="DE250" s="352">
        <v>3101746.49</v>
      </c>
      <c r="DF250" s="296">
        <v>504736.84</v>
      </c>
      <c r="DG250" s="352">
        <v>347565.15</v>
      </c>
      <c r="DH250" s="361">
        <v>0</v>
      </c>
      <c r="DI250" s="361">
        <v>1363242.98</v>
      </c>
      <c r="DJ250" s="361">
        <v>0</v>
      </c>
      <c r="DK250" s="361">
        <v>0</v>
      </c>
      <c r="DL250" s="361"/>
      <c r="DM250" s="361"/>
      <c r="DN250" s="361"/>
      <c r="DO250" s="362"/>
    </row>
    <row r="251" spans="2:119" ht="13">
      <c r="B251" s="294"/>
      <c r="F251" s="296"/>
      <c r="J251" s="302"/>
      <c r="R251" s="188"/>
      <c r="T251" s="295"/>
      <c r="Y251" s="188"/>
      <c r="AA251" s="295"/>
      <c r="AF251" s="188"/>
      <c r="AH251" s="295"/>
      <c r="AI251" s="188"/>
      <c r="AJ251" s="188"/>
      <c r="AK251" s="188"/>
      <c r="AL251" s="188"/>
      <c r="AM251" s="188"/>
      <c r="AN251" s="188"/>
      <c r="AO251" s="299"/>
      <c r="AS251" s="296"/>
      <c r="AW251" s="296"/>
      <c r="BN251" s="296"/>
      <c r="BO251" s="296"/>
      <c r="CX251" s="302">
        <f t="shared" si="1061"/>
        <v>112014471</v>
      </c>
      <c r="CY251" s="510">
        <v>55</v>
      </c>
      <c r="CZ251" s="302" t="s">
        <v>559</v>
      </c>
      <c r="DA251" s="352">
        <v>5159933.45</v>
      </c>
      <c r="DB251" s="352">
        <v>602275.93999999994</v>
      </c>
      <c r="DC251" s="352">
        <v>931281.39</v>
      </c>
      <c r="DD251" s="352">
        <v>650613.56999999995</v>
      </c>
      <c r="DE251" s="352">
        <v>155193.26999999999</v>
      </c>
      <c r="DF251" s="296">
        <v>440750.2</v>
      </c>
      <c r="DG251" s="352">
        <v>277995.75</v>
      </c>
      <c r="DH251" s="361">
        <v>107494.39999999999</v>
      </c>
      <c r="DI251" s="361">
        <v>901650.76</v>
      </c>
      <c r="DJ251" s="361">
        <v>529699.28</v>
      </c>
      <c r="DK251" s="361">
        <v>562978.9</v>
      </c>
      <c r="DL251" s="365"/>
      <c r="DM251" s="365"/>
      <c r="DN251" s="365"/>
      <c r="DO251" s="366"/>
    </row>
    <row r="252" spans="2:119" ht="13">
      <c r="B252" s="294"/>
      <c r="F252" s="296"/>
      <c r="J252" s="302"/>
      <c r="R252" s="188"/>
      <c r="T252" s="295"/>
      <c r="Y252" s="188"/>
      <c r="AA252" s="295"/>
      <c r="AF252" s="188"/>
      <c r="AH252" s="295"/>
      <c r="AI252" s="188"/>
      <c r="AJ252" s="188"/>
      <c r="AK252" s="188"/>
      <c r="AL252" s="188"/>
      <c r="AM252" s="188"/>
      <c r="AN252" s="188"/>
      <c r="AO252" s="299"/>
      <c r="AS252" s="296"/>
      <c r="AW252" s="296"/>
      <c r="BN252" s="296"/>
      <c r="BO252" s="296"/>
      <c r="CX252" s="302">
        <f t="shared" si="1061"/>
        <v>112012514</v>
      </c>
      <c r="CY252" s="510">
        <v>56</v>
      </c>
      <c r="CZ252" s="302" t="s">
        <v>541</v>
      </c>
      <c r="DA252" s="352">
        <v>5112839.1100000003</v>
      </c>
      <c r="DB252" s="352">
        <v>0</v>
      </c>
      <c r="DC252" s="352">
        <v>505390.89</v>
      </c>
      <c r="DD252" s="352">
        <v>878633.02</v>
      </c>
      <c r="DE252" s="352">
        <v>190200.51</v>
      </c>
      <c r="DF252" s="296">
        <v>142930.51999999999</v>
      </c>
      <c r="DG252" s="352">
        <v>782440.61</v>
      </c>
      <c r="DH252" s="361">
        <v>766551.92</v>
      </c>
      <c r="DI252" s="361">
        <v>-68426.39</v>
      </c>
      <c r="DJ252" s="361">
        <v>1063019.33</v>
      </c>
      <c r="DK252" s="361">
        <v>852098.7</v>
      </c>
      <c r="DL252" s="365"/>
      <c r="DM252" s="365"/>
      <c r="DN252" s="365"/>
      <c r="DO252" s="366"/>
    </row>
    <row r="253" spans="2:119" ht="13">
      <c r="B253" s="294"/>
      <c r="F253" s="296"/>
      <c r="J253" s="302"/>
      <c r="R253" s="188"/>
      <c r="T253" s="295"/>
      <c r="Y253" s="188"/>
      <c r="AA253" s="295"/>
      <c r="AF253" s="188"/>
      <c r="AH253" s="295"/>
      <c r="AI253" s="188"/>
      <c r="AJ253" s="188"/>
      <c r="AK253" s="188"/>
      <c r="AL253" s="188"/>
      <c r="AM253" s="188"/>
      <c r="AN253" s="188"/>
      <c r="AO253" s="299"/>
      <c r="AS253" s="296"/>
      <c r="AW253" s="296"/>
      <c r="BN253" s="296"/>
      <c r="BO253" s="296"/>
      <c r="CX253" s="302">
        <f t="shared" si="1061"/>
        <v>112010841</v>
      </c>
      <c r="CY253" s="510">
        <v>57</v>
      </c>
      <c r="CZ253" s="359" t="s">
        <v>664</v>
      </c>
      <c r="DA253" s="361">
        <v>5090169.91</v>
      </c>
      <c r="DB253" s="361">
        <v>0</v>
      </c>
      <c r="DC253" s="361">
        <v>0</v>
      </c>
      <c r="DD253" s="361">
        <v>1291749.81</v>
      </c>
      <c r="DE253" s="361">
        <v>555777.19999999995</v>
      </c>
      <c r="DF253" s="811">
        <v>729234.69</v>
      </c>
      <c r="DG253" s="361">
        <v>514420.8</v>
      </c>
      <c r="DH253" s="361">
        <v>597270.77</v>
      </c>
      <c r="DI253" s="361">
        <v>434409.44</v>
      </c>
      <c r="DJ253" s="361">
        <v>640589.41</v>
      </c>
      <c r="DK253" s="361">
        <v>326717.78999999998</v>
      </c>
      <c r="DL253" s="361"/>
      <c r="DM253" s="361"/>
      <c r="DN253" s="361"/>
      <c r="DO253" s="362"/>
    </row>
    <row r="254" spans="2:119" ht="13">
      <c r="B254" s="294"/>
      <c r="F254" s="296"/>
      <c r="J254" s="302"/>
      <c r="R254" s="188"/>
      <c r="T254" s="295"/>
      <c r="Y254" s="188"/>
      <c r="AA254" s="295"/>
      <c r="AF254" s="188"/>
      <c r="AH254" s="295"/>
      <c r="AI254" s="188"/>
      <c r="AJ254" s="188"/>
      <c r="AK254" s="188"/>
      <c r="AL254" s="188"/>
      <c r="AM254" s="188"/>
      <c r="AN254" s="188"/>
      <c r="AO254" s="299"/>
      <c r="AS254" s="296"/>
      <c r="AW254" s="296"/>
      <c r="BN254" s="296"/>
      <c r="BO254" s="296"/>
      <c r="CX254" s="302">
        <f t="shared" si="1061"/>
        <v>112013215</v>
      </c>
      <c r="CY254" s="510">
        <v>58</v>
      </c>
      <c r="CZ254" s="359" t="s">
        <v>551</v>
      </c>
      <c r="DA254" s="361">
        <v>4867600.21</v>
      </c>
      <c r="DB254" s="361">
        <v>535794.12</v>
      </c>
      <c r="DC254" s="361">
        <v>398208.44</v>
      </c>
      <c r="DD254" s="361">
        <v>863905.95</v>
      </c>
      <c r="DE254" s="361">
        <v>590887.37</v>
      </c>
      <c r="DF254" s="811">
        <v>618464.71</v>
      </c>
      <c r="DG254" s="361">
        <v>594564.47</v>
      </c>
      <c r="DH254" s="361">
        <v>1013727.94</v>
      </c>
      <c r="DI254" s="361">
        <v>252047.21</v>
      </c>
      <c r="DJ254" s="361">
        <v>0</v>
      </c>
      <c r="DK254" s="361">
        <v>0</v>
      </c>
      <c r="DL254" s="361"/>
      <c r="DM254" s="361"/>
      <c r="DN254" s="361"/>
      <c r="DO254" s="362"/>
    </row>
    <row r="255" spans="2:119" ht="13">
      <c r="B255" s="294"/>
      <c r="F255" s="296"/>
      <c r="J255" s="302"/>
      <c r="R255" s="188"/>
      <c r="T255" s="295"/>
      <c r="Y255" s="188"/>
      <c r="AA255" s="295"/>
      <c r="AF255" s="188"/>
      <c r="AH255" s="295"/>
      <c r="AI255" s="188"/>
      <c r="AJ255" s="188"/>
      <c r="AK255" s="188"/>
      <c r="AL255" s="188"/>
      <c r="AM255" s="188"/>
      <c r="AN255" s="188"/>
      <c r="AO255" s="299"/>
      <c r="AS255" s="296"/>
      <c r="AW255" s="296"/>
      <c r="BN255" s="296"/>
      <c r="BO255" s="296"/>
      <c r="CX255" s="302">
        <f t="shared" si="1061"/>
        <v>112014156</v>
      </c>
      <c r="CY255" s="510">
        <v>59</v>
      </c>
      <c r="CZ255" s="359" t="s">
        <v>623</v>
      </c>
      <c r="DA255" s="361">
        <v>4801383.4400000004</v>
      </c>
      <c r="DB255" s="361">
        <v>0</v>
      </c>
      <c r="DC255" s="361">
        <v>782728.35</v>
      </c>
      <c r="DD255" s="361">
        <v>170159</v>
      </c>
      <c r="DE255" s="361">
        <v>1257389.98</v>
      </c>
      <c r="DF255" s="811">
        <v>52182</v>
      </c>
      <c r="DG255" s="361">
        <v>377216.84</v>
      </c>
      <c r="DH255" s="361">
        <v>841448.33</v>
      </c>
      <c r="DI255" s="361">
        <v>1320258.94</v>
      </c>
      <c r="DJ255" s="361">
        <v>0</v>
      </c>
      <c r="DK255" s="361">
        <v>0</v>
      </c>
      <c r="DL255" s="361"/>
      <c r="DM255" s="361"/>
      <c r="DN255" s="361"/>
      <c r="DO255" s="362"/>
    </row>
    <row r="256" spans="2:119" ht="13">
      <c r="B256" s="294"/>
      <c r="F256" s="296"/>
      <c r="J256" s="302"/>
      <c r="R256" s="188"/>
      <c r="T256" s="295"/>
      <c r="Y256" s="188"/>
      <c r="AA256" s="295"/>
      <c r="AF256" s="188"/>
      <c r="AH256" s="295"/>
      <c r="AI256" s="188"/>
      <c r="AJ256" s="188"/>
      <c r="AK256" s="188"/>
      <c r="AL256" s="188"/>
      <c r="AM256" s="188"/>
      <c r="AN256" s="188"/>
      <c r="AO256" s="299"/>
      <c r="AS256" s="296"/>
      <c r="AW256" s="296"/>
      <c r="BN256" s="296"/>
      <c r="BO256" s="296"/>
      <c r="CX256" s="302">
        <f t="shared" si="1061"/>
        <v>112014395</v>
      </c>
      <c r="CY256" s="510">
        <v>60</v>
      </c>
      <c r="CZ256" s="359" t="s">
        <v>588</v>
      </c>
      <c r="DA256" s="361">
        <v>4612842.99</v>
      </c>
      <c r="DB256" s="361">
        <v>0</v>
      </c>
      <c r="DC256" s="361">
        <v>0</v>
      </c>
      <c r="DD256" s="361">
        <v>0</v>
      </c>
      <c r="DE256" s="361">
        <v>0</v>
      </c>
      <c r="DF256" s="811">
        <v>0</v>
      </c>
      <c r="DG256" s="361">
        <v>174026.56</v>
      </c>
      <c r="DH256" s="361">
        <v>537765.38</v>
      </c>
      <c r="DI256" s="361">
        <v>1199740.3500000001</v>
      </c>
      <c r="DJ256" s="361">
        <v>733251.9</v>
      </c>
      <c r="DK256" s="361">
        <v>1968058.8</v>
      </c>
      <c r="DL256" s="361"/>
      <c r="DM256" s="361"/>
      <c r="DN256" s="361"/>
      <c r="DO256" s="362"/>
    </row>
    <row r="257" spans="2:119" ht="13">
      <c r="B257" s="294"/>
      <c r="F257" s="296"/>
      <c r="J257" s="302"/>
      <c r="R257" s="188"/>
      <c r="T257" s="295"/>
      <c r="Y257" s="188"/>
      <c r="AA257" s="295"/>
      <c r="AF257" s="188"/>
      <c r="AH257" s="295"/>
      <c r="AI257" s="188"/>
      <c r="AJ257" s="188"/>
      <c r="AK257" s="188"/>
      <c r="AL257" s="188"/>
      <c r="AM257" s="188"/>
      <c r="AN257" s="188"/>
      <c r="AO257" s="299"/>
      <c r="AS257" s="296"/>
      <c r="AW257" s="296"/>
      <c r="BN257" s="296"/>
      <c r="BO257" s="296"/>
      <c r="CX257" s="302">
        <f t="shared" si="1061"/>
        <v>112014281</v>
      </c>
      <c r="CY257" s="510">
        <v>61</v>
      </c>
      <c r="CZ257" s="359" t="s">
        <v>612</v>
      </c>
      <c r="DA257" s="361">
        <v>4421232.9000000004</v>
      </c>
      <c r="DB257" s="361">
        <v>248999.31</v>
      </c>
      <c r="DC257" s="361">
        <v>0</v>
      </c>
      <c r="DD257" s="361">
        <v>0</v>
      </c>
      <c r="DE257" s="361">
        <v>119106.52</v>
      </c>
      <c r="DF257" s="811">
        <v>861158.89</v>
      </c>
      <c r="DG257" s="361">
        <v>0</v>
      </c>
      <c r="DH257" s="361">
        <v>1109613.27</v>
      </c>
      <c r="DI257" s="361">
        <v>850022.42</v>
      </c>
      <c r="DJ257" s="361">
        <v>517318.34</v>
      </c>
      <c r="DK257" s="361">
        <v>715014.15</v>
      </c>
      <c r="DL257" s="361"/>
      <c r="DM257" s="361"/>
      <c r="DN257" s="361"/>
      <c r="DO257" s="362"/>
    </row>
    <row r="258" spans="2:119" ht="13">
      <c r="B258" s="294"/>
      <c r="F258" s="296"/>
      <c r="J258" s="302"/>
      <c r="R258" s="188"/>
      <c r="T258" s="295"/>
      <c r="Y258" s="188"/>
      <c r="AA258" s="295"/>
      <c r="AF258" s="188"/>
      <c r="AH258" s="295"/>
      <c r="AI258" s="188"/>
      <c r="AJ258" s="188"/>
      <c r="AK258" s="188"/>
      <c r="AL258" s="188"/>
      <c r="AM258" s="188"/>
      <c r="AN258" s="188"/>
      <c r="AO258" s="299"/>
      <c r="AS258" s="296"/>
      <c r="AW258" s="296"/>
      <c r="BN258" s="296"/>
      <c r="BO258" s="296"/>
      <c r="CX258" s="302">
        <f t="shared" si="1061"/>
        <v>112014748</v>
      </c>
      <c r="CY258" s="510">
        <v>62</v>
      </c>
      <c r="CZ258" s="359" t="s">
        <v>644</v>
      </c>
      <c r="DA258" s="361">
        <v>4342353.57</v>
      </c>
      <c r="DB258" s="361">
        <v>0</v>
      </c>
      <c r="DC258" s="361">
        <v>0</v>
      </c>
      <c r="DD258" s="361">
        <v>0</v>
      </c>
      <c r="DE258" s="361">
        <v>0</v>
      </c>
      <c r="DF258" s="811">
        <v>0</v>
      </c>
      <c r="DG258" s="361">
        <v>0</v>
      </c>
      <c r="DH258" s="361">
        <v>0</v>
      </c>
      <c r="DI258" s="361">
        <v>1343618.3</v>
      </c>
      <c r="DJ258" s="361">
        <v>1320258.94</v>
      </c>
      <c r="DK258" s="361">
        <v>1678476.33</v>
      </c>
      <c r="DL258" s="361"/>
      <c r="DM258" s="361"/>
      <c r="DN258" s="361"/>
      <c r="DO258" s="362"/>
    </row>
    <row r="259" spans="2:119" ht="13">
      <c r="B259" s="294"/>
      <c r="F259" s="296"/>
      <c r="J259" s="302"/>
      <c r="R259" s="188"/>
      <c r="T259" s="295"/>
      <c r="Y259" s="188"/>
      <c r="AA259" s="295"/>
      <c r="AF259" s="188"/>
      <c r="AH259" s="295"/>
      <c r="AI259" s="188"/>
      <c r="AJ259" s="188"/>
      <c r="AK259" s="188"/>
      <c r="AL259" s="188"/>
      <c r="AM259" s="188"/>
      <c r="AN259" s="188"/>
      <c r="AO259" s="299"/>
      <c r="AS259" s="296"/>
      <c r="AW259" s="296"/>
      <c r="BN259" s="296"/>
      <c r="BO259" s="296"/>
      <c r="CX259" s="302" t="e">
        <f t="shared" si="1061"/>
        <v>#N/A</v>
      </c>
      <c r="CY259" s="510">
        <v>63</v>
      </c>
      <c r="CZ259" s="359" t="s">
        <v>544</v>
      </c>
      <c r="DA259" s="361">
        <v>4256879.6900000004</v>
      </c>
      <c r="DB259" s="361">
        <v>0</v>
      </c>
      <c r="DC259" s="361">
        <v>0</v>
      </c>
      <c r="DD259" s="361">
        <v>0</v>
      </c>
      <c r="DE259" s="352">
        <v>0</v>
      </c>
      <c r="DF259" s="296">
        <v>0</v>
      </c>
      <c r="DG259" s="352">
        <v>0</v>
      </c>
      <c r="DH259" s="361">
        <v>0</v>
      </c>
      <c r="DI259" s="361">
        <v>0</v>
      </c>
      <c r="DJ259" s="361">
        <v>685663.55</v>
      </c>
      <c r="DK259" s="361">
        <v>3571216.14</v>
      </c>
      <c r="DL259" s="361"/>
      <c r="DM259" s="361"/>
      <c r="DN259" s="361"/>
      <c r="DO259" s="362"/>
    </row>
    <row r="260" spans="2:119" ht="13">
      <c r="B260" s="294"/>
      <c r="F260" s="296"/>
      <c r="J260" s="302"/>
      <c r="R260" s="188"/>
      <c r="T260" s="295"/>
      <c r="Y260" s="188"/>
      <c r="AA260" s="295"/>
      <c r="AF260" s="188"/>
      <c r="AH260" s="295"/>
      <c r="AI260" s="188"/>
      <c r="AJ260" s="188"/>
      <c r="AK260" s="188"/>
      <c r="AL260" s="188"/>
      <c r="AM260" s="188"/>
      <c r="AN260" s="188"/>
      <c r="AO260" s="299"/>
      <c r="AS260" s="296"/>
      <c r="AW260" s="296"/>
      <c r="BN260" s="296"/>
      <c r="BO260" s="296"/>
      <c r="CX260" s="302">
        <f t="shared" si="1061"/>
        <v>112014638</v>
      </c>
      <c r="CY260" s="510">
        <v>64</v>
      </c>
      <c r="CZ260" s="359" t="s">
        <v>640</v>
      </c>
      <c r="DA260" s="361">
        <v>3998124.96</v>
      </c>
      <c r="DB260" s="352">
        <v>0</v>
      </c>
      <c r="DC260" s="361">
        <v>79792.100000000006</v>
      </c>
      <c r="DD260" s="361">
        <v>260776.38</v>
      </c>
      <c r="DE260" s="361">
        <v>206644.56</v>
      </c>
      <c r="DF260" s="811">
        <v>254151.06</v>
      </c>
      <c r="DG260" s="361">
        <v>391913.6</v>
      </c>
      <c r="DH260" s="361">
        <v>604503.46</v>
      </c>
      <c r="DI260" s="361">
        <v>391913.6</v>
      </c>
      <c r="DJ260" s="361">
        <v>392482.56</v>
      </c>
      <c r="DK260" s="361">
        <v>1415947.63</v>
      </c>
      <c r="DL260" s="365"/>
      <c r="DM260" s="365"/>
      <c r="DN260" s="365"/>
      <c r="DO260" s="366"/>
    </row>
    <row r="261" spans="2:119" ht="13">
      <c r="B261" s="294"/>
      <c r="F261" s="296"/>
      <c r="J261" s="302"/>
      <c r="R261" s="188"/>
      <c r="T261" s="295"/>
      <c r="Y261" s="188"/>
      <c r="AA261" s="295"/>
      <c r="AF261" s="188"/>
      <c r="AH261" s="295"/>
      <c r="AI261" s="188"/>
      <c r="AJ261" s="188"/>
      <c r="AK261" s="188"/>
      <c r="AL261" s="188"/>
      <c r="AM261" s="188"/>
      <c r="AN261" s="188"/>
      <c r="AO261" s="299"/>
      <c r="AS261" s="296"/>
      <c r="AW261" s="296"/>
      <c r="BN261" s="296"/>
      <c r="BO261" s="296"/>
      <c r="CX261" s="302">
        <f t="shared" ref="CX261:CX292" si="1062">VLOOKUP(CZ261,LAGECARTERA,3,FALSE)</f>
        <v>112014506</v>
      </c>
      <c r="CY261" s="510">
        <v>65</v>
      </c>
      <c r="CZ261" s="359" t="s">
        <v>557</v>
      </c>
      <c r="DA261" s="361">
        <v>3799941.62</v>
      </c>
      <c r="DB261" s="361">
        <v>504202.9</v>
      </c>
      <c r="DC261" s="361">
        <v>386538.46</v>
      </c>
      <c r="DD261" s="361">
        <v>202122.84</v>
      </c>
      <c r="DE261" s="361">
        <v>359254.28</v>
      </c>
      <c r="DF261" s="811">
        <v>283717.2</v>
      </c>
      <c r="DG261" s="361">
        <v>283110.06</v>
      </c>
      <c r="DH261" s="361">
        <v>951608.89</v>
      </c>
      <c r="DI261" s="361">
        <v>293302.99</v>
      </c>
      <c r="DJ261" s="361">
        <v>0</v>
      </c>
      <c r="DK261" s="361">
        <v>536083.99</v>
      </c>
      <c r="DL261" s="361"/>
      <c r="DM261" s="361"/>
      <c r="DN261" s="361"/>
      <c r="DO261" s="362"/>
    </row>
    <row r="262" spans="2:119" ht="13">
      <c r="B262" s="294"/>
      <c r="F262" s="296"/>
      <c r="J262" s="302"/>
      <c r="R262" s="188"/>
      <c r="T262" s="295"/>
      <c r="Y262" s="188"/>
      <c r="AA262" s="295"/>
      <c r="AF262" s="188"/>
      <c r="AH262" s="295"/>
      <c r="AI262" s="188"/>
      <c r="AJ262" s="188"/>
      <c r="AK262" s="188"/>
      <c r="AL262" s="188"/>
      <c r="AM262" s="188"/>
      <c r="AN262" s="188"/>
      <c r="AO262" s="299"/>
      <c r="AS262" s="296"/>
      <c r="AW262" s="296"/>
      <c r="BN262" s="296"/>
      <c r="BO262" s="296"/>
      <c r="CX262" s="302">
        <f t="shared" si="1062"/>
        <v>112013219</v>
      </c>
      <c r="CY262" s="510">
        <v>66</v>
      </c>
      <c r="CZ262" s="302" t="s">
        <v>626</v>
      </c>
      <c r="DA262" s="352">
        <v>3677232.21</v>
      </c>
      <c r="DB262" s="352">
        <v>202791.28</v>
      </c>
      <c r="DC262" s="352">
        <v>395119.84</v>
      </c>
      <c r="DD262" s="352">
        <v>360272.84</v>
      </c>
      <c r="DE262" s="361">
        <v>314711.40000000002</v>
      </c>
      <c r="DF262" s="811">
        <v>128765.69</v>
      </c>
      <c r="DG262" s="361">
        <v>676241.6</v>
      </c>
      <c r="DH262" s="361">
        <v>475761.91999999998</v>
      </c>
      <c r="DI262" s="361">
        <v>308340.53000000003</v>
      </c>
      <c r="DJ262" s="361">
        <v>373882.48</v>
      </c>
      <c r="DK262" s="361">
        <v>441344.63</v>
      </c>
      <c r="DL262" s="361"/>
      <c r="DM262" s="361"/>
      <c r="DN262" s="361"/>
      <c r="DO262" s="362"/>
    </row>
    <row r="263" spans="2:119" ht="13">
      <c r="B263" s="294"/>
      <c r="F263" s="296"/>
      <c r="J263" s="302"/>
      <c r="R263" s="188"/>
      <c r="T263" s="295"/>
      <c r="Y263" s="188"/>
      <c r="AA263" s="295"/>
      <c r="AF263" s="188"/>
      <c r="AH263" s="295"/>
      <c r="AI263" s="188"/>
      <c r="AJ263" s="188"/>
      <c r="AK263" s="188"/>
      <c r="AL263" s="188"/>
      <c r="AM263" s="188"/>
      <c r="AN263" s="188"/>
      <c r="AO263" s="299"/>
      <c r="AS263" s="296"/>
      <c r="AW263" s="296"/>
      <c r="BN263" s="296"/>
      <c r="BO263" s="296"/>
      <c r="CX263" s="302">
        <f t="shared" si="1062"/>
        <v>112014515</v>
      </c>
      <c r="CY263" s="510">
        <v>67</v>
      </c>
      <c r="CZ263" s="359" t="s">
        <v>568</v>
      </c>
      <c r="DA263" s="361">
        <v>3484691.3</v>
      </c>
      <c r="DB263" s="361">
        <v>0</v>
      </c>
      <c r="DC263" s="361">
        <v>2215977.62</v>
      </c>
      <c r="DD263" s="361">
        <v>0</v>
      </c>
      <c r="DE263" s="361">
        <v>0</v>
      </c>
      <c r="DF263" s="811">
        <v>0</v>
      </c>
      <c r="DG263" s="361">
        <v>377216.84</v>
      </c>
      <c r="DH263" s="361">
        <v>397632.62</v>
      </c>
      <c r="DI263" s="361">
        <v>493864.22</v>
      </c>
      <c r="DJ263" s="361">
        <v>0</v>
      </c>
      <c r="DK263" s="361">
        <v>0</v>
      </c>
      <c r="DL263" s="361"/>
      <c r="DM263" s="361"/>
      <c r="DN263" s="361"/>
      <c r="DO263" s="362"/>
    </row>
    <row r="264" spans="2:119" ht="13">
      <c r="B264" s="294"/>
      <c r="F264" s="296"/>
      <c r="J264" s="302"/>
      <c r="R264" s="188"/>
      <c r="T264" s="295"/>
      <c r="Y264" s="188"/>
      <c r="AA264" s="295"/>
      <c r="AF264" s="188"/>
      <c r="AH264" s="295"/>
      <c r="AI264" s="188"/>
      <c r="AJ264" s="188"/>
      <c r="AK264" s="188"/>
      <c r="AL264" s="188"/>
      <c r="AM264" s="188"/>
      <c r="AN264" s="188"/>
      <c r="AO264" s="299"/>
      <c r="AS264" s="296"/>
      <c r="AW264" s="296"/>
      <c r="BN264" s="296"/>
      <c r="BO264" s="296"/>
      <c r="CX264" s="302">
        <f t="shared" si="1062"/>
        <v>112013449</v>
      </c>
      <c r="CY264" s="510">
        <v>68</v>
      </c>
      <c r="CZ264" s="359" t="s">
        <v>632</v>
      </c>
      <c r="DA264" s="361">
        <v>3467628.42</v>
      </c>
      <c r="DB264" s="361">
        <v>324056.44</v>
      </c>
      <c r="DC264" s="361">
        <v>149200.95999999999</v>
      </c>
      <c r="DD264" s="361">
        <v>0</v>
      </c>
      <c r="DE264" s="361">
        <v>1204358.58</v>
      </c>
      <c r="DF264" s="811">
        <v>453568.72</v>
      </c>
      <c r="DG264" s="361">
        <v>254317.68</v>
      </c>
      <c r="DH264" s="361">
        <v>462220.76</v>
      </c>
      <c r="DI264" s="361">
        <v>362756.22</v>
      </c>
      <c r="DJ264" s="361">
        <v>82148.800000000003</v>
      </c>
      <c r="DK264" s="361">
        <v>175000.27</v>
      </c>
      <c r="DL264" s="365"/>
      <c r="DM264" s="365"/>
      <c r="DN264" s="365"/>
      <c r="DO264" s="366"/>
    </row>
    <row r="265" spans="2:119" ht="13">
      <c r="B265" s="294"/>
      <c r="F265" s="296"/>
      <c r="J265" s="302"/>
      <c r="R265" s="188"/>
      <c r="T265" s="295"/>
      <c r="Y265" s="188"/>
      <c r="AA265" s="295"/>
      <c r="AF265" s="188"/>
      <c r="AH265" s="295"/>
      <c r="AI265" s="188"/>
      <c r="AJ265" s="188"/>
      <c r="AK265" s="188"/>
      <c r="AL265" s="188"/>
      <c r="AM265" s="188"/>
      <c r="AN265" s="188"/>
      <c r="AO265" s="299"/>
      <c r="AS265" s="296"/>
      <c r="AW265" s="296"/>
      <c r="BN265" s="296"/>
      <c r="BO265" s="296"/>
      <c r="CX265" s="302">
        <f t="shared" si="1062"/>
        <v>112014649</v>
      </c>
      <c r="CY265" s="510">
        <v>69</v>
      </c>
      <c r="CZ265" s="302" t="s">
        <v>596</v>
      </c>
      <c r="DA265" s="352">
        <v>3423808.21</v>
      </c>
      <c r="DB265" s="352">
        <v>106402.48</v>
      </c>
      <c r="DC265" s="352">
        <v>408530.88</v>
      </c>
      <c r="DD265" s="352">
        <v>131084.16</v>
      </c>
      <c r="DE265" s="352">
        <v>72546.720000000001</v>
      </c>
      <c r="DF265" s="296">
        <v>0</v>
      </c>
      <c r="DG265" s="352">
        <v>413496.96</v>
      </c>
      <c r="DH265" s="361">
        <v>862846.27</v>
      </c>
      <c r="DI265" s="361">
        <v>567373.04</v>
      </c>
      <c r="DJ265" s="361">
        <v>861527.7</v>
      </c>
      <c r="DK265" s="361">
        <v>0</v>
      </c>
      <c r="DL265" s="361"/>
      <c r="DM265" s="361"/>
      <c r="DN265" s="361"/>
      <c r="DO265" s="362"/>
    </row>
    <row r="266" spans="2:119" ht="13">
      <c r="B266" s="294"/>
      <c r="F266" s="296"/>
      <c r="J266" s="302"/>
      <c r="R266" s="188"/>
      <c r="T266" s="295"/>
      <c r="Y266" s="188"/>
      <c r="AA266" s="295"/>
      <c r="AF266" s="188"/>
      <c r="AH266" s="295"/>
      <c r="AI266" s="188"/>
      <c r="AJ266" s="188"/>
      <c r="AK266" s="188"/>
      <c r="AL266" s="188"/>
      <c r="AM266" s="188"/>
      <c r="AN266" s="188"/>
      <c r="AO266" s="299"/>
      <c r="AS266" s="296"/>
      <c r="AW266" s="296"/>
      <c r="BN266" s="296"/>
      <c r="BO266" s="296"/>
      <c r="CX266" s="302">
        <f t="shared" si="1062"/>
        <v>112014118</v>
      </c>
      <c r="CY266" s="510">
        <v>70</v>
      </c>
      <c r="CZ266" s="302" t="s">
        <v>636</v>
      </c>
      <c r="DA266" s="352">
        <v>3366529.14</v>
      </c>
      <c r="DB266" s="352">
        <v>268397.12</v>
      </c>
      <c r="DC266" s="352">
        <v>431098.66</v>
      </c>
      <c r="DD266" s="352">
        <v>613222.52</v>
      </c>
      <c r="DE266" s="361">
        <v>348386.36</v>
      </c>
      <c r="DF266" s="811">
        <v>429748.16</v>
      </c>
      <c r="DG266" s="361">
        <v>376519.44</v>
      </c>
      <c r="DH266" s="361">
        <v>251457.04</v>
      </c>
      <c r="DI266" s="361">
        <v>535179.28</v>
      </c>
      <c r="DJ266" s="361">
        <v>112520.56</v>
      </c>
      <c r="DK266" s="361">
        <v>0</v>
      </c>
      <c r="DL266" s="361"/>
      <c r="DM266" s="361"/>
      <c r="DN266" s="361"/>
      <c r="DO266" s="362"/>
    </row>
    <row r="267" spans="2:119" ht="13">
      <c r="B267" s="294"/>
      <c r="F267" s="296"/>
      <c r="J267" s="302"/>
      <c r="R267" s="188"/>
      <c r="T267" s="295"/>
      <c r="Y267" s="188"/>
      <c r="AA267" s="295"/>
      <c r="AF267" s="188"/>
      <c r="AH267" s="295"/>
      <c r="AI267" s="188"/>
      <c r="AJ267" s="188"/>
      <c r="AK267" s="188"/>
      <c r="AL267" s="188"/>
      <c r="AM267" s="188"/>
      <c r="AN267" s="188"/>
      <c r="AO267" s="299"/>
      <c r="AS267" s="296"/>
      <c r="AW267" s="296"/>
      <c r="BN267" s="296"/>
      <c r="BO267" s="296"/>
      <c r="CX267" s="302">
        <f t="shared" si="1062"/>
        <v>112014573</v>
      </c>
      <c r="CY267" s="510">
        <v>71</v>
      </c>
      <c r="CZ267" s="359" t="s">
        <v>624</v>
      </c>
      <c r="DA267" s="361">
        <v>3330368.64</v>
      </c>
      <c r="DB267" s="361">
        <v>0</v>
      </c>
      <c r="DC267" s="361">
        <v>0</v>
      </c>
      <c r="DD267" s="361">
        <v>0</v>
      </c>
      <c r="DE267" s="361">
        <v>0</v>
      </c>
      <c r="DF267" s="811">
        <v>0</v>
      </c>
      <c r="DG267" s="361">
        <v>433232</v>
      </c>
      <c r="DH267" s="361">
        <v>0</v>
      </c>
      <c r="DI267" s="361">
        <v>614807.05000000005</v>
      </c>
      <c r="DJ267" s="361">
        <v>769857.02</v>
      </c>
      <c r="DK267" s="361">
        <v>1512472.58</v>
      </c>
      <c r="DL267" s="361"/>
      <c r="DM267" s="361"/>
      <c r="DN267" s="361"/>
      <c r="DO267" s="362"/>
    </row>
    <row r="268" spans="2:119" ht="13">
      <c r="B268" s="294"/>
      <c r="F268" s="296"/>
      <c r="J268" s="302"/>
      <c r="R268" s="188"/>
      <c r="T268" s="295"/>
      <c r="Y268" s="188"/>
      <c r="AA268" s="295"/>
      <c r="AF268" s="188"/>
      <c r="AH268" s="295"/>
      <c r="AI268" s="188"/>
      <c r="AJ268" s="188"/>
      <c r="AK268" s="188"/>
      <c r="AL268" s="188"/>
      <c r="AM268" s="188"/>
      <c r="AN268" s="188"/>
      <c r="AO268" s="299"/>
      <c r="AS268" s="296"/>
      <c r="AW268" s="296"/>
      <c r="BN268" s="296"/>
      <c r="BO268" s="296"/>
      <c r="CX268" s="302">
        <f t="shared" si="1062"/>
        <v>112014367</v>
      </c>
      <c r="CY268" s="510">
        <v>72</v>
      </c>
      <c r="CZ268" s="359" t="s">
        <v>593</v>
      </c>
      <c r="DA268" s="361">
        <v>3167767.74</v>
      </c>
      <c r="DB268" s="361">
        <v>199203.19</v>
      </c>
      <c r="DC268" s="361">
        <v>433650.75</v>
      </c>
      <c r="DD268" s="361">
        <v>314221.57</v>
      </c>
      <c r="DE268" s="361">
        <v>397734.19</v>
      </c>
      <c r="DF268" s="811">
        <v>293332.78999999998</v>
      </c>
      <c r="DG268" s="361">
        <v>126922.99</v>
      </c>
      <c r="DH268" s="361">
        <v>244952.38</v>
      </c>
      <c r="DI268" s="361">
        <v>283782.34000000003</v>
      </c>
      <c r="DJ268" s="361">
        <v>200929.56</v>
      </c>
      <c r="DK268" s="361">
        <v>673037.98</v>
      </c>
      <c r="DL268" s="361"/>
      <c r="DM268" s="361"/>
      <c r="DN268" s="361"/>
      <c r="DO268" s="362"/>
    </row>
    <row r="269" spans="2:119" ht="13">
      <c r="B269" s="294"/>
      <c r="F269" s="296"/>
      <c r="J269" s="302"/>
      <c r="R269" s="188"/>
      <c r="T269" s="295"/>
      <c r="Y269" s="188"/>
      <c r="AA269" s="295"/>
      <c r="AF269" s="188"/>
      <c r="AH269" s="295"/>
      <c r="AI269" s="188"/>
      <c r="AJ269" s="188"/>
      <c r="AK269" s="188"/>
      <c r="AL269" s="188"/>
      <c r="AM269" s="188"/>
      <c r="AN269" s="188"/>
      <c r="AO269" s="299"/>
      <c r="AS269" s="296"/>
      <c r="AW269" s="296"/>
      <c r="BN269" s="296"/>
      <c r="BO269" s="296"/>
      <c r="CX269" s="302">
        <f t="shared" si="1062"/>
        <v>112013228</v>
      </c>
      <c r="CY269" s="510">
        <v>73</v>
      </c>
      <c r="CZ269" s="359" t="s">
        <v>629</v>
      </c>
      <c r="DA269" s="361">
        <v>3143990.1</v>
      </c>
      <c r="DB269" s="361">
        <v>688479.88</v>
      </c>
      <c r="DC269" s="361">
        <v>354688.96</v>
      </c>
      <c r="DD269" s="361">
        <v>420103.56</v>
      </c>
      <c r="DE269" s="361">
        <v>135694.64000000001</v>
      </c>
      <c r="DF269" s="811">
        <v>230612.9</v>
      </c>
      <c r="DG269" s="361">
        <v>165508.38</v>
      </c>
      <c r="DH269" s="361">
        <v>507880.34</v>
      </c>
      <c r="DI269" s="361">
        <v>114683.28</v>
      </c>
      <c r="DJ269" s="361">
        <v>362951.78</v>
      </c>
      <c r="DK269" s="361">
        <v>163386.38</v>
      </c>
      <c r="DL269" s="361"/>
      <c r="DM269" s="361"/>
      <c r="DN269" s="361"/>
      <c r="DO269" s="362"/>
    </row>
    <row r="270" spans="2:119" ht="13">
      <c r="B270" s="294"/>
      <c r="F270" s="296"/>
      <c r="J270" s="302"/>
      <c r="R270" s="188"/>
      <c r="T270" s="295"/>
      <c r="Y270" s="188"/>
      <c r="AA270" s="295"/>
      <c r="AF270" s="188"/>
      <c r="AH270" s="295"/>
      <c r="AI270" s="188"/>
      <c r="AJ270" s="188"/>
      <c r="AK270" s="188"/>
      <c r="AL270" s="188"/>
      <c r="AM270" s="188"/>
      <c r="AN270" s="188"/>
      <c r="AO270" s="299"/>
      <c r="AS270" s="296"/>
      <c r="AW270" s="296"/>
      <c r="BN270" s="296"/>
      <c r="BO270" s="296"/>
      <c r="CX270" s="302">
        <f t="shared" si="1062"/>
        <v>112014407</v>
      </c>
      <c r="CY270" s="510">
        <v>74</v>
      </c>
      <c r="CZ270" s="359" t="s">
        <v>605</v>
      </c>
      <c r="DA270" s="361">
        <v>3024626.19</v>
      </c>
      <c r="DB270" s="361">
        <v>0</v>
      </c>
      <c r="DC270" s="361">
        <v>0</v>
      </c>
      <c r="DD270" s="361">
        <v>0</v>
      </c>
      <c r="DE270" s="361">
        <v>86559.28</v>
      </c>
      <c r="DF270" s="811">
        <v>100512.4</v>
      </c>
      <c r="DG270" s="361">
        <v>449268.12</v>
      </c>
      <c r="DH270" s="361">
        <v>713896.2</v>
      </c>
      <c r="DI270" s="361">
        <v>574125.88</v>
      </c>
      <c r="DJ270" s="361">
        <v>509488.42</v>
      </c>
      <c r="DK270" s="361">
        <v>590775.89</v>
      </c>
      <c r="DL270" s="365"/>
      <c r="DM270" s="365"/>
      <c r="DN270" s="365"/>
      <c r="DO270" s="366"/>
    </row>
    <row r="271" spans="2:119" ht="13">
      <c r="B271" s="294"/>
      <c r="F271" s="296"/>
      <c r="J271" s="302"/>
      <c r="R271" s="188"/>
      <c r="T271" s="295"/>
      <c r="Y271" s="188"/>
      <c r="AA271" s="295"/>
      <c r="AF271" s="188"/>
      <c r="AH271" s="295"/>
      <c r="AI271" s="188"/>
      <c r="AJ271" s="188"/>
      <c r="AK271" s="188"/>
      <c r="AL271" s="188"/>
      <c r="AM271" s="188"/>
      <c r="AN271" s="188"/>
      <c r="AO271" s="299"/>
      <c r="AS271" s="296"/>
      <c r="AW271" s="296"/>
      <c r="BN271" s="296"/>
      <c r="BO271" s="296"/>
      <c r="CX271" s="302" t="e">
        <f t="shared" si="1062"/>
        <v>#N/A</v>
      </c>
      <c r="CY271" s="510">
        <v>75</v>
      </c>
      <c r="CZ271" s="359" t="s">
        <v>546</v>
      </c>
      <c r="DA271" s="361">
        <v>3015703.19</v>
      </c>
      <c r="DB271" s="361">
        <v>0</v>
      </c>
      <c r="DC271" s="361">
        <v>0</v>
      </c>
      <c r="DD271" s="361">
        <v>0</v>
      </c>
      <c r="DE271" s="361">
        <v>0</v>
      </c>
      <c r="DF271" s="811">
        <v>0</v>
      </c>
      <c r="DG271" s="361">
        <v>0</v>
      </c>
      <c r="DH271" s="361">
        <v>0</v>
      </c>
      <c r="DI271" s="361">
        <v>1285747.0900000001</v>
      </c>
      <c r="DJ271" s="361">
        <v>812611.59</v>
      </c>
      <c r="DK271" s="361">
        <v>917344.51</v>
      </c>
      <c r="DL271" s="361"/>
      <c r="DM271" s="361"/>
      <c r="DN271" s="361"/>
      <c r="DO271" s="362"/>
    </row>
    <row r="272" spans="2:119" ht="13">
      <c r="B272" s="294"/>
      <c r="F272" s="296"/>
      <c r="J272" s="302"/>
      <c r="R272" s="188"/>
      <c r="T272" s="295"/>
      <c r="Y272" s="188"/>
      <c r="AA272" s="295"/>
      <c r="AF272" s="188"/>
      <c r="AH272" s="295"/>
      <c r="AI272" s="188"/>
      <c r="AJ272" s="188"/>
      <c r="AK272" s="188"/>
      <c r="AL272" s="188"/>
      <c r="AM272" s="188"/>
      <c r="AN272" s="188"/>
      <c r="AO272" s="299"/>
      <c r="AS272" s="296"/>
      <c r="AW272" s="296"/>
      <c r="BN272" s="296"/>
      <c r="BO272" s="296"/>
      <c r="CX272" s="302">
        <f t="shared" si="1062"/>
        <v>112011741</v>
      </c>
      <c r="CY272" s="510">
        <v>76</v>
      </c>
      <c r="CZ272" s="359" t="s">
        <v>646</v>
      </c>
      <c r="DA272" s="361">
        <v>2867824.99</v>
      </c>
      <c r="DB272" s="361">
        <v>0</v>
      </c>
      <c r="DC272" s="361">
        <v>197713.62</v>
      </c>
      <c r="DD272" s="361">
        <v>340900.04</v>
      </c>
      <c r="DE272" s="361">
        <v>572645.12</v>
      </c>
      <c r="DF272" s="811">
        <v>602439.43000000005</v>
      </c>
      <c r="DG272" s="361">
        <v>308165.71999999997</v>
      </c>
      <c r="DH272" s="361">
        <v>365818.24</v>
      </c>
      <c r="DI272" s="361">
        <v>108516.56</v>
      </c>
      <c r="DJ272" s="361">
        <v>164736.4</v>
      </c>
      <c r="DK272" s="361">
        <v>206889.86</v>
      </c>
      <c r="DL272" s="361"/>
      <c r="DM272" s="361"/>
      <c r="DN272" s="361"/>
      <c r="DO272" s="362"/>
    </row>
    <row r="273" spans="2:119" ht="13">
      <c r="B273" s="294"/>
      <c r="F273" s="296"/>
      <c r="J273" s="302"/>
      <c r="R273" s="188"/>
      <c r="T273" s="295"/>
      <c r="Y273" s="188"/>
      <c r="AA273" s="295"/>
      <c r="AF273" s="188"/>
      <c r="AH273" s="295"/>
      <c r="AI273" s="188"/>
      <c r="AJ273" s="188"/>
      <c r="AK273" s="188"/>
      <c r="AL273" s="188"/>
      <c r="AM273" s="188"/>
      <c r="AN273" s="188"/>
      <c r="AO273" s="299"/>
      <c r="AS273" s="296"/>
      <c r="AW273" s="296"/>
      <c r="BN273" s="296"/>
      <c r="BO273" s="296"/>
      <c r="CX273" s="302">
        <f t="shared" si="1062"/>
        <v>112013673</v>
      </c>
      <c r="CY273" s="510">
        <v>77</v>
      </c>
      <c r="CZ273" s="359" t="s">
        <v>633</v>
      </c>
      <c r="DA273" s="361">
        <v>2520420.91</v>
      </c>
      <c r="DB273" s="361">
        <v>419337.6</v>
      </c>
      <c r="DC273" s="361">
        <v>204264.8</v>
      </c>
      <c r="DD273" s="361">
        <v>70882.559999999998</v>
      </c>
      <c r="DE273" s="361">
        <v>0</v>
      </c>
      <c r="DF273" s="811">
        <v>214828.4</v>
      </c>
      <c r="DG273" s="361">
        <v>128997.2</v>
      </c>
      <c r="DH273" s="361">
        <v>86365.68</v>
      </c>
      <c r="DI273" s="361">
        <v>513687.74</v>
      </c>
      <c r="DJ273" s="361">
        <v>378905.04</v>
      </c>
      <c r="DK273" s="361">
        <v>503151.89</v>
      </c>
      <c r="DL273" s="361"/>
      <c r="DM273" s="361"/>
      <c r="DN273" s="361"/>
      <c r="DO273" s="362"/>
    </row>
    <row r="274" spans="2:119" ht="13">
      <c r="B274" s="294"/>
      <c r="F274" s="296"/>
      <c r="J274" s="302"/>
      <c r="R274" s="188"/>
      <c r="T274" s="295"/>
      <c r="Y274" s="188"/>
      <c r="AA274" s="295"/>
      <c r="AF274" s="188"/>
      <c r="AH274" s="295"/>
      <c r="AI274" s="188"/>
      <c r="AJ274" s="188"/>
      <c r="AK274" s="188"/>
      <c r="AL274" s="188"/>
      <c r="AM274" s="188"/>
      <c r="AN274" s="188"/>
      <c r="AO274" s="299"/>
      <c r="AS274" s="296"/>
      <c r="AW274" s="296"/>
      <c r="BN274" s="296"/>
      <c r="BO274" s="296"/>
      <c r="CX274" s="302">
        <f t="shared" si="1062"/>
        <v>112014406</v>
      </c>
      <c r="CY274" s="510">
        <v>78</v>
      </c>
      <c r="CZ274" s="359" t="s">
        <v>601</v>
      </c>
      <c r="DA274" s="361">
        <v>2457601.4900000002</v>
      </c>
      <c r="DB274" s="361">
        <v>257576.52</v>
      </c>
      <c r="DC274" s="361">
        <v>332786.08</v>
      </c>
      <c r="DD274" s="361">
        <v>0</v>
      </c>
      <c r="DE274" s="361">
        <v>91060.160000000003</v>
      </c>
      <c r="DF274" s="811">
        <v>295715.03999999998</v>
      </c>
      <c r="DG274" s="361">
        <v>311623.44</v>
      </c>
      <c r="DH274" s="361">
        <v>327162</v>
      </c>
      <c r="DI274" s="361">
        <v>214453.44</v>
      </c>
      <c r="DJ274" s="361">
        <v>524666.4</v>
      </c>
      <c r="DK274" s="361">
        <v>102558.41</v>
      </c>
      <c r="DL274" s="361"/>
      <c r="DM274" s="361"/>
      <c r="DN274" s="361"/>
      <c r="DO274" s="362"/>
    </row>
    <row r="275" spans="2:119" ht="13">
      <c r="B275" s="294"/>
      <c r="F275" s="296"/>
      <c r="J275" s="302"/>
      <c r="R275" s="188"/>
      <c r="T275" s="295"/>
      <c r="Y275" s="188"/>
      <c r="AA275" s="295"/>
      <c r="AF275" s="188"/>
      <c r="AH275" s="295"/>
      <c r="AI275" s="188"/>
      <c r="AJ275" s="188"/>
      <c r="AK275" s="188"/>
      <c r="AL275" s="188"/>
      <c r="AM275" s="188"/>
      <c r="AN275" s="188"/>
      <c r="AO275" s="299"/>
      <c r="AS275" s="296"/>
      <c r="AW275" s="296"/>
      <c r="BN275" s="296"/>
      <c r="BO275" s="296"/>
      <c r="CX275" s="302">
        <f t="shared" si="1062"/>
        <v>112014665</v>
      </c>
      <c r="CY275" s="510">
        <v>79</v>
      </c>
      <c r="CZ275" s="359" t="s">
        <v>549</v>
      </c>
      <c r="DA275" s="361">
        <v>2429947.9</v>
      </c>
      <c r="DB275" s="361">
        <v>0</v>
      </c>
      <c r="DC275" s="361">
        <v>0</v>
      </c>
      <c r="DD275" s="361">
        <v>230392.36</v>
      </c>
      <c r="DE275" s="361">
        <v>606912.65</v>
      </c>
      <c r="DF275" s="811">
        <v>163066.74</v>
      </c>
      <c r="DG275" s="361">
        <v>221930.23</v>
      </c>
      <c r="DH275" s="361">
        <v>482406.3</v>
      </c>
      <c r="DI275" s="361">
        <v>122518.59</v>
      </c>
      <c r="DJ275" s="361">
        <v>367509.44</v>
      </c>
      <c r="DK275" s="361">
        <v>235211.59</v>
      </c>
      <c r="DL275" s="365"/>
      <c r="DM275" s="365"/>
      <c r="DN275" s="365"/>
      <c r="DO275" s="366"/>
    </row>
    <row r="276" spans="2:119" ht="13">
      <c r="B276" s="294"/>
      <c r="F276" s="296"/>
      <c r="J276" s="302"/>
      <c r="R276" s="188"/>
      <c r="T276" s="295"/>
      <c r="Y276" s="188"/>
      <c r="AA276" s="295"/>
      <c r="AF276" s="188"/>
      <c r="AH276" s="295"/>
      <c r="AI276" s="188"/>
      <c r="AJ276" s="188"/>
      <c r="AK276" s="188"/>
      <c r="AL276" s="188"/>
      <c r="AM276" s="188"/>
      <c r="AN276" s="188"/>
      <c r="AO276" s="299"/>
      <c r="AS276" s="296"/>
      <c r="AW276" s="296"/>
      <c r="BN276" s="296"/>
      <c r="BO276" s="296"/>
      <c r="CX276" s="302">
        <f t="shared" si="1062"/>
        <v>112014685</v>
      </c>
      <c r="CY276" s="510">
        <v>80</v>
      </c>
      <c r="CZ276" s="302" t="s">
        <v>594</v>
      </c>
      <c r="DA276" s="352">
        <v>2230225.9</v>
      </c>
      <c r="DB276" s="352">
        <v>0</v>
      </c>
      <c r="DC276" s="352">
        <v>0</v>
      </c>
      <c r="DD276" s="352">
        <v>0</v>
      </c>
      <c r="DE276" s="352">
        <v>114125</v>
      </c>
      <c r="DF276" s="296">
        <v>451493.18</v>
      </c>
      <c r="DG276" s="352">
        <v>593212.26</v>
      </c>
      <c r="DH276" s="361">
        <v>508163.42</v>
      </c>
      <c r="DI276" s="361">
        <v>0</v>
      </c>
      <c r="DJ276" s="361">
        <v>357215.76</v>
      </c>
      <c r="DK276" s="361">
        <v>206016.28</v>
      </c>
      <c r="DL276" s="361"/>
      <c r="DM276" s="361"/>
      <c r="DN276" s="361"/>
      <c r="DO276" s="362"/>
    </row>
    <row r="277" spans="2:119" ht="13">
      <c r="B277" s="294"/>
      <c r="F277" s="296"/>
      <c r="J277" s="302"/>
      <c r="R277" s="188"/>
      <c r="T277" s="295"/>
      <c r="Y277" s="188"/>
      <c r="AA277" s="295"/>
      <c r="AF277" s="188"/>
      <c r="AH277" s="295"/>
      <c r="AI277" s="188"/>
      <c r="AJ277" s="188"/>
      <c r="AK277" s="188"/>
      <c r="AL277" s="188"/>
      <c r="AM277" s="188"/>
      <c r="AN277" s="188"/>
      <c r="AO277" s="299"/>
      <c r="AS277" s="296"/>
      <c r="AW277" s="296"/>
      <c r="BN277" s="296"/>
      <c r="BO277" s="296"/>
      <c r="CX277" s="302">
        <f t="shared" si="1062"/>
        <v>112014469</v>
      </c>
      <c r="CY277" s="510">
        <v>81</v>
      </c>
      <c r="CZ277" s="359" t="s">
        <v>595</v>
      </c>
      <c r="DA277" s="361">
        <v>2223475.71</v>
      </c>
      <c r="DB277" s="361">
        <v>353709.57</v>
      </c>
      <c r="DC277" s="361">
        <v>164841.87</v>
      </c>
      <c r="DD277" s="361">
        <v>367830.51</v>
      </c>
      <c r="DE277" s="361">
        <v>218868.66</v>
      </c>
      <c r="DF277" s="811">
        <v>225002.49</v>
      </c>
      <c r="DG277" s="361">
        <v>0</v>
      </c>
      <c r="DH277" s="361">
        <v>289339.62</v>
      </c>
      <c r="DI277" s="361">
        <v>95510.31</v>
      </c>
      <c r="DJ277" s="361">
        <v>343149.45</v>
      </c>
      <c r="DK277" s="361">
        <v>165223.23000000001</v>
      </c>
      <c r="DL277" s="361"/>
      <c r="DM277" s="361"/>
      <c r="DN277" s="361"/>
      <c r="DO277" s="362"/>
    </row>
    <row r="278" spans="2:119" ht="13">
      <c r="B278" s="294"/>
      <c r="F278" s="296"/>
      <c r="J278" s="302"/>
      <c r="R278" s="188"/>
      <c r="T278" s="295"/>
      <c r="Y278" s="188"/>
      <c r="AA278" s="295"/>
      <c r="AF278" s="188"/>
      <c r="AH278" s="295"/>
      <c r="AI278" s="188"/>
      <c r="AJ278" s="188"/>
      <c r="AK278" s="188"/>
      <c r="AL278" s="188"/>
      <c r="AM278" s="188"/>
      <c r="AN278" s="188"/>
      <c r="AO278" s="299"/>
      <c r="AS278" s="296"/>
      <c r="AW278" s="296"/>
      <c r="BN278" s="296"/>
      <c r="BO278" s="296"/>
      <c r="CX278" s="302">
        <f t="shared" si="1062"/>
        <v>112013887</v>
      </c>
      <c r="CY278" s="510">
        <v>82</v>
      </c>
      <c r="CZ278" s="359" t="s">
        <v>611</v>
      </c>
      <c r="DA278" s="361">
        <v>2077509.93</v>
      </c>
      <c r="DB278" s="361">
        <v>0</v>
      </c>
      <c r="DC278" s="361">
        <v>498842.1</v>
      </c>
      <c r="DD278" s="361">
        <v>317905.28999999998</v>
      </c>
      <c r="DE278" s="361">
        <v>0</v>
      </c>
      <c r="DF278" s="811">
        <v>74239.289999999994</v>
      </c>
      <c r="DG278" s="361">
        <v>388682.08</v>
      </c>
      <c r="DH278" s="361">
        <v>411837.77</v>
      </c>
      <c r="DI278" s="361">
        <v>386003.4</v>
      </c>
      <c r="DJ278" s="361">
        <v>0</v>
      </c>
      <c r="DK278" s="365">
        <v>0</v>
      </c>
      <c r="DL278" s="365"/>
      <c r="DM278" s="365"/>
      <c r="DN278" s="365"/>
      <c r="DO278" s="366"/>
    </row>
    <row r="279" spans="2:119" ht="13">
      <c r="B279" s="294"/>
      <c r="F279" s="296"/>
      <c r="J279" s="302"/>
      <c r="R279" s="188"/>
      <c r="T279" s="295"/>
      <c r="Y279" s="188"/>
      <c r="AA279" s="295"/>
      <c r="AF279" s="188"/>
      <c r="AH279" s="295"/>
      <c r="AI279" s="188"/>
      <c r="AJ279" s="188"/>
      <c r="AK279" s="188"/>
      <c r="AL279" s="188"/>
      <c r="AM279" s="188"/>
      <c r="AN279" s="188"/>
      <c r="AO279" s="299"/>
      <c r="AS279" s="296"/>
      <c r="AW279" s="296"/>
      <c r="BN279" s="296"/>
      <c r="BO279" s="296"/>
      <c r="CX279" s="302">
        <f t="shared" si="1062"/>
        <v>112014333</v>
      </c>
      <c r="CY279" s="510">
        <v>83</v>
      </c>
      <c r="CZ279" s="359" t="s">
        <v>585</v>
      </c>
      <c r="DA279" s="361">
        <v>2002513.4</v>
      </c>
      <c r="DB279" s="361">
        <v>345617.51</v>
      </c>
      <c r="DC279" s="361">
        <v>218079.42</v>
      </c>
      <c r="DD279" s="361">
        <v>438171.07</v>
      </c>
      <c r="DE279" s="361">
        <v>244695.84</v>
      </c>
      <c r="DF279" s="811">
        <v>63566.38</v>
      </c>
      <c r="DG279" s="361">
        <v>167858.37</v>
      </c>
      <c r="DH279" s="361">
        <v>156683.66</v>
      </c>
      <c r="DI279" s="361">
        <v>147211.46</v>
      </c>
      <c r="DJ279" s="361">
        <v>92402.07</v>
      </c>
      <c r="DK279" s="361">
        <v>128227.62</v>
      </c>
      <c r="DL279" s="361"/>
      <c r="DM279" s="361"/>
      <c r="DN279" s="361"/>
      <c r="DO279" s="362"/>
    </row>
    <row r="280" spans="2:119" ht="13">
      <c r="B280" s="294"/>
      <c r="F280" s="296"/>
      <c r="J280" s="302"/>
      <c r="R280" s="188"/>
      <c r="T280" s="295"/>
      <c r="Y280" s="188"/>
      <c r="AA280" s="295"/>
      <c r="AF280" s="188"/>
      <c r="AH280" s="295"/>
      <c r="AI280" s="188"/>
      <c r="AJ280" s="188"/>
      <c r="AK280" s="188"/>
      <c r="AL280" s="188"/>
      <c r="AM280" s="188"/>
      <c r="AN280" s="188"/>
      <c r="AO280" s="299"/>
      <c r="AS280" s="296"/>
      <c r="AW280" s="296"/>
      <c r="BN280" s="296"/>
      <c r="BO280" s="296"/>
      <c r="CX280" s="302">
        <f t="shared" si="1062"/>
        <v>112013756</v>
      </c>
      <c r="CY280" s="510">
        <v>84</v>
      </c>
      <c r="CZ280" s="359" t="s">
        <v>583</v>
      </c>
      <c r="DA280" s="361">
        <v>2001136.51</v>
      </c>
      <c r="DB280" s="361">
        <v>169263.76</v>
      </c>
      <c r="DC280" s="361">
        <v>150378.23999999999</v>
      </c>
      <c r="DD280" s="361">
        <v>100852.8</v>
      </c>
      <c r="DE280" s="361">
        <v>451158.32</v>
      </c>
      <c r="DF280" s="811">
        <v>31057.599999999999</v>
      </c>
      <c r="DG280" s="361">
        <v>147742.9</v>
      </c>
      <c r="DH280" s="361">
        <v>299441.68</v>
      </c>
      <c r="DI280" s="361">
        <v>280200.14</v>
      </c>
      <c r="DJ280" s="361">
        <v>371041.08</v>
      </c>
      <c r="DK280" s="361">
        <v>0</v>
      </c>
      <c r="DL280" s="365"/>
      <c r="DM280" s="365"/>
      <c r="DN280" s="365"/>
      <c r="DO280" s="366"/>
    </row>
    <row r="281" spans="2:119" ht="13">
      <c r="B281" s="294"/>
      <c r="F281" s="296"/>
      <c r="J281" s="302"/>
      <c r="R281" s="188"/>
      <c r="T281" s="295"/>
      <c r="Y281" s="188"/>
      <c r="AA281" s="295"/>
      <c r="AF281" s="188"/>
      <c r="AH281" s="295"/>
      <c r="AI281" s="188"/>
      <c r="AJ281" s="188"/>
      <c r="AK281" s="188"/>
      <c r="AL281" s="188"/>
      <c r="AM281" s="188"/>
      <c r="AN281" s="188"/>
      <c r="AO281" s="299"/>
      <c r="AS281" s="296"/>
      <c r="AW281" s="296"/>
      <c r="BN281" s="296"/>
      <c r="BO281" s="296"/>
      <c r="CX281" s="302" t="e">
        <f t="shared" si="1062"/>
        <v>#N/A</v>
      </c>
      <c r="CY281" s="510">
        <v>85</v>
      </c>
      <c r="CZ281" s="302" t="s">
        <v>545</v>
      </c>
      <c r="DA281" s="352">
        <v>1977622.11</v>
      </c>
      <c r="DB281" s="352">
        <v>0</v>
      </c>
      <c r="DC281" s="352">
        <v>0</v>
      </c>
      <c r="DD281" s="352">
        <v>0</v>
      </c>
      <c r="DE281" s="361">
        <v>0</v>
      </c>
      <c r="DF281" s="811">
        <v>0</v>
      </c>
      <c r="DG281" s="361">
        <v>0</v>
      </c>
      <c r="DH281" s="361">
        <v>0</v>
      </c>
      <c r="DI281" s="365">
        <v>0</v>
      </c>
      <c r="DJ281" s="365">
        <v>0</v>
      </c>
      <c r="DK281" s="361">
        <v>1977622.11</v>
      </c>
      <c r="DL281" s="365"/>
      <c r="DM281" s="365"/>
      <c r="DN281" s="365"/>
      <c r="DO281" s="366"/>
    </row>
    <row r="282" spans="2:119" ht="13">
      <c r="B282" s="294"/>
      <c r="F282" s="296"/>
      <c r="J282" s="302"/>
      <c r="R282" s="188"/>
      <c r="T282" s="295"/>
      <c r="Y282" s="188"/>
      <c r="AA282" s="295"/>
      <c r="AF282" s="188"/>
      <c r="AH282" s="295"/>
      <c r="AI282" s="188"/>
      <c r="AJ282" s="188"/>
      <c r="AK282" s="188"/>
      <c r="AL282" s="188"/>
      <c r="AM282" s="188"/>
      <c r="AN282" s="188"/>
      <c r="AO282" s="299"/>
      <c r="AS282" s="296"/>
      <c r="AW282" s="296"/>
      <c r="BN282" s="296"/>
      <c r="BO282" s="296"/>
      <c r="CX282" s="302">
        <f t="shared" si="1062"/>
        <v>112011776</v>
      </c>
      <c r="CY282" s="510">
        <v>86</v>
      </c>
      <c r="CZ282" s="302" t="s">
        <v>622</v>
      </c>
      <c r="DA282" s="352">
        <v>1847497.91</v>
      </c>
      <c r="DB282" s="352">
        <v>0</v>
      </c>
      <c r="DC282" s="352">
        <v>287708.46999999997</v>
      </c>
      <c r="DD282" s="352">
        <v>127502.62</v>
      </c>
      <c r="DE282" s="361">
        <v>100386.88</v>
      </c>
      <c r="DF282" s="811">
        <v>232860.02</v>
      </c>
      <c r="DG282" s="361">
        <v>0</v>
      </c>
      <c r="DH282" s="361">
        <v>76324.2</v>
      </c>
      <c r="DI282" s="361">
        <v>77964.600000000006</v>
      </c>
      <c r="DJ282" s="361">
        <v>93943.49</v>
      </c>
      <c r="DK282" s="361">
        <v>850807.63</v>
      </c>
      <c r="DL282" s="365"/>
      <c r="DM282" s="365"/>
      <c r="DN282" s="365"/>
      <c r="DO282" s="366"/>
    </row>
    <row r="283" spans="2:119" ht="13">
      <c r="B283" s="294"/>
      <c r="F283" s="296"/>
      <c r="J283" s="302"/>
      <c r="R283" s="188"/>
      <c r="T283" s="295"/>
      <c r="Y283" s="188"/>
      <c r="AA283" s="295"/>
      <c r="AF283" s="188"/>
      <c r="AH283" s="295"/>
      <c r="AI283" s="188"/>
      <c r="AJ283" s="188"/>
      <c r="AK283" s="188"/>
      <c r="AL283" s="188"/>
      <c r="AM283" s="188"/>
      <c r="AN283" s="188"/>
      <c r="AO283" s="299"/>
      <c r="AS283" s="296"/>
      <c r="AW283" s="296"/>
      <c r="BN283" s="296"/>
      <c r="BO283" s="296"/>
      <c r="CX283" s="302">
        <f t="shared" si="1062"/>
        <v>112014684</v>
      </c>
      <c r="CY283" s="510">
        <v>87</v>
      </c>
      <c r="CZ283" s="359" t="s">
        <v>579</v>
      </c>
      <c r="DA283" s="361">
        <v>1703206.87</v>
      </c>
      <c r="DB283" s="361">
        <v>0</v>
      </c>
      <c r="DC283" s="361">
        <v>0</v>
      </c>
      <c r="DD283" s="361">
        <v>0</v>
      </c>
      <c r="DE283" s="361">
        <v>0</v>
      </c>
      <c r="DF283" s="811">
        <v>200352.95</v>
      </c>
      <c r="DG283" s="361">
        <v>347971.44</v>
      </c>
      <c r="DH283" s="361">
        <v>277773.94</v>
      </c>
      <c r="DI283" s="361">
        <v>393307.07</v>
      </c>
      <c r="DJ283" s="361">
        <v>398068.43</v>
      </c>
      <c r="DK283" s="361">
        <v>85733.04</v>
      </c>
      <c r="DL283" s="365"/>
      <c r="DM283" s="365"/>
      <c r="DN283" s="365"/>
      <c r="DO283" s="366"/>
    </row>
    <row r="284" spans="2:119" ht="13">
      <c r="B284" s="294"/>
      <c r="F284" s="296"/>
      <c r="J284" s="302"/>
      <c r="R284" s="188"/>
      <c r="T284" s="295"/>
      <c r="Y284" s="188"/>
      <c r="AA284" s="295"/>
      <c r="AF284" s="188"/>
      <c r="AH284" s="295"/>
      <c r="AI284" s="188"/>
      <c r="AJ284" s="188"/>
      <c r="AK284" s="188"/>
      <c r="AL284" s="188"/>
      <c r="AM284" s="188"/>
      <c r="AN284" s="188"/>
      <c r="AO284" s="299"/>
      <c r="AS284" s="296"/>
      <c r="AW284" s="296"/>
      <c r="BN284" s="296"/>
      <c r="BO284" s="296"/>
      <c r="CX284" s="302">
        <f t="shared" si="1062"/>
        <v>112014523</v>
      </c>
      <c r="CY284" s="510">
        <v>88</v>
      </c>
      <c r="CZ284" s="302" t="s">
        <v>586</v>
      </c>
      <c r="DA284" s="352">
        <v>1688395.16</v>
      </c>
      <c r="DB284" s="352">
        <v>738460.29</v>
      </c>
      <c r="DC284" s="352">
        <v>0</v>
      </c>
      <c r="DD284" s="352">
        <v>0</v>
      </c>
      <c r="DE284" s="361">
        <v>589720.07999999996</v>
      </c>
      <c r="DF284" s="811">
        <v>360214.79</v>
      </c>
      <c r="DG284" s="361">
        <v>0</v>
      </c>
      <c r="DH284" s="361">
        <v>0</v>
      </c>
      <c r="DI284" s="361">
        <v>0</v>
      </c>
      <c r="DJ284" s="361">
        <v>0</v>
      </c>
      <c r="DK284" s="361">
        <v>0</v>
      </c>
      <c r="DL284" s="361"/>
      <c r="DM284" s="361"/>
      <c r="DN284" s="361"/>
      <c r="DO284" s="362"/>
    </row>
    <row r="285" spans="2:119" ht="13">
      <c r="B285" s="294"/>
      <c r="F285" s="296"/>
      <c r="J285" s="302"/>
      <c r="R285" s="188"/>
      <c r="T285" s="295"/>
      <c r="Y285" s="188"/>
      <c r="AA285" s="295"/>
      <c r="AF285" s="188"/>
      <c r="AH285" s="295"/>
      <c r="AI285" s="188"/>
      <c r="AJ285" s="188"/>
      <c r="AK285" s="188"/>
      <c r="AL285" s="188"/>
      <c r="AM285" s="188"/>
      <c r="AN285" s="188"/>
      <c r="AO285" s="299"/>
      <c r="AS285" s="296"/>
      <c r="AW285" s="296"/>
      <c r="BN285" s="296"/>
      <c r="BO285" s="296"/>
      <c r="CX285" s="302">
        <f t="shared" si="1062"/>
        <v>112010441</v>
      </c>
      <c r="CY285" s="510">
        <v>89</v>
      </c>
      <c r="CZ285" s="302" t="s">
        <v>620</v>
      </c>
      <c r="DA285" s="352">
        <v>1566463.89</v>
      </c>
      <c r="DB285" s="352">
        <v>0</v>
      </c>
      <c r="DC285" s="352">
        <v>191010.3</v>
      </c>
      <c r="DD285" s="352">
        <v>0</v>
      </c>
      <c r="DE285" s="361">
        <v>122237.46</v>
      </c>
      <c r="DF285" s="811">
        <v>48052.91</v>
      </c>
      <c r="DG285" s="361">
        <v>191802.23</v>
      </c>
      <c r="DH285" s="352">
        <v>388568.83</v>
      </c>
      <c r="DI285" s="352">
        <v>225377.33</v>
      </c>
      <c r="DJ285" s="352">
        <v>95338</v>
      </c>
      <c r="DK285" s="352">
        <v>304076.82</v>
      </c>
      <c r="DO285" s="367"/>
    </row>
    <row r="286" spans="2:119" ht="13">
      <c r="B286" s="294"/>
      <c r="F286" s="296"/>
      <c r="J286" s="302"/>
      <c r="R286" s="188"/>
      <c r="T286" s="295"/>
      <c r="Y286" s="188"/>
      <c r="AA286" s="295"/>
      <c r="AF286" s="188"/>
      <c r="AH286" s="295"/>
      <c r="AI286" s="188"/>
      <c r="AJ286" s="188"/>
      <c r="AK286" s="188"/>
      <c r="AL286" s="188"/>
      <c r="AM286" s="188"/>
      <c r="AN286" s="188"/>
      <c r="AO286" s="299"/>
      <c r="AS286" s="296"/>
      <c r="AW286" s="296"/>
      <c r="BN286" s="296"/>
      <c r="BO286" s="296"/>
      <c r="CX286" s="302">
        <f t="shared" si="1062"/>
        <v>112013930</v>
      </c>
      <c r="CY286" s="510">
        <v>90</v>
      </c>
      <c r="CZ286" s="302" t="s">
        <v>656</v>
      </c>
      <c r="DA286" s="352">
        <v>1461882.64</v>
      </c>
      <c r="DB286" s="352">
        <v>46339.54</v>
      </c>
      <c r="DC286" s="352">
        <v>-36405.550000000003</v>
      </c>
      <c r="DD286" s="352">
        <v>173018.54</v>
      </c>
      <c r="DE286" s="361">
        <v>172481.99</v>
      </c>
      <c r="DF286" s="811">
        <v>371662.1</v>
      </c>
      <c r="DG286" s="361">
        <v>0</v>
      </c>
      <c r="DH286" s="352">
        <v>213156.94</v>
      </c>
      <c r="DI286" s="352">
        <v>170682.12</v>
      </c>
      <c r="DJ286" s="352">
        <v>0</v>
      </c>
      <c r="DK286" s="352">
        <v>350946.96</v>
      </c>
      <c r="DO286" s="367"/>
    </row>
    <row r="287" spans="2:119" ht="13">
      <c r="B287" s="294"/>
      <c r="F287" s="296"/>
      <c r="J287" s="302"/>
      <c r="R287" s="188"/>
      <c r="T287" s="295"/>
      <c r="Y287" s="188"/>
      <c r="AA287" s="295"/>
      <c r="AF287" s="188"/>
      <c r="AH287" s="295"/>
      <c r="AI287" s="188"/>
      <c r="AJ287" s="188"/>
      <c r="AK287" s="188"/>
      <c r="AL287" s="188"/>
      <c r="AM287" s="188"/>
      <c r="AN287" s="188"/>
      <c r="AO287" s="299"/>
      <c r="AS287" s="296"/>
      <c r="AW287" s="296"/>
      <c r="BN287" s="296"/>
      <c r="BO287" s="296"/>
      <c r="CX287" s="302">
        <f t="shared" si="1062"/>
        <v>112014502</v>
      </c>
      <c r="CY287" s="510">
        <v>91</v>
      </c>
      <c r="CZ287" s="359" t="s">
        <v>567</v>
      </c>
      <c r="DA287" s="361">
        <v>1295554.3899999999</v>
      </c>
      <c r="DB287" s="361">
        <v>153910.22</v>
      </c>
      <c r="DC287" s="361">
        <v>318145.13</v>
      </c>
      <c r="DD287" s="361">
        <v>180876.7</v>
      </c>
      <c r="DE287" s="352">
        <v>83679.75</v>
      </c>
      <c r="DF287" s="296">
        <v>91108.36</v>
      </c>
      <c r="DG287" s="352">
        <v>150206.94</v>
      </c>
      <c r="DH287" s="352">
        <v>227282.94</v>
      </c>
      <c r="DI287" s="352">
        <v>34243.72</v>
      </c>
      <c r="DJ287" s="352">
        <v>31057.599999999999</v>
      </c>
      <c r="DK287" s="352">
        <v>25043.040000000001</v>
      </c>
      <c r="DO287" s="367"/>
    </row>
    <row r="288" spans="2:119" ht="13">
      <c r="B288" s="294"/>
      <c r="F288" s="296"/>
      <c r="J288" s="302"/>
      <c r="R288" s="188"/>
      <c r="T288" s="295"/>
      <c r="Y288" s="188"/>
      <c r="AA288" s="295"/>
      <c r="AF288" s="188"/>
      <c r="AH288" s="295"/>
      <c r="AI288" s="188"/>
      <c r="AJ288" s="188"/>
      <c r="AK288" s="188"/>
      <c r="AL288" s="188"/>
      <c r="AM288" s="188"/>
      <c r="AN288" s="188"/>
      <c r="AO288" s="299"/>
      <c r="AS288" s="296"/>
      <c r="AW288" s="296"/>
      <c r="BN288" s="296"/>
      <c r="BO288" s="296"/>
      <c r="CX288" s="302">
        <f t="shared" si="1062"/>
        <v>112014739</v>
      </c>
      <c r="CY288" s="510">
        <v>92</v>
      </c>
      <c r="CZ288" s="359" t="s">
        <v>538</v>
      </c>
      <c r="DA288" s="361">
        <v>1279367.52</v>
      </c>
      <c r="DB288" s="361">
        <v>0</v>
      </c>
      <c r="DC288" s="361">
        <v>0</v>
      </c>
      <c r="DD288" s="361">
        <v>0</v>
      </c>
      <c r="DE288" s="361">
        <v>0</v>
      </c>
      <c r="DF288" s="811">
        <v>0</v>
      </c>
      <c r="DG288" s="361">
        <v>0</v>
      </c>
      <c r="DH288" s="352">
        <v>0</v>
      </c>
      <c r="DI288" s="352">
        <v>1279367.52</v>
      </c>
      <c r="DJ288" s="302">
        <v>0</v>
      </c>
      <c r="DK288" s="302">
        <v>0</v>
      </c>
      <c r="DO288" s="367"/>
    </row>
    <row r="289" spans="2:119" ht="13">
      <c r="B289" s="294"/>
      <c r="F289" s="296"/>
      <c r="J289" s="302"/>
      <c r="R289" s="188"/>
      <c r="T289" s="295"/>
      <c r="Y289" s="188"/>
      <c r="AA289" s="295"/>
      <c r="AF289" s="188"/>
      <c r="AH289" s="295"/>
      <c r="AI289" s="188"/>
      <c r="AJ289" s="188"/>
      <c r="AK289" s="188"/>
      <c r="AL289" s="188"/>
      <c r="AM289" s="188"/>
      <c r="AN289" s="188"/>
      <c r="AO289" s="299"/>
      <c r="AS289" s="296"/>
      <c r="AW289" s="296"/>
      <c r="BN289" s="296"/>
      <c r="BO289" s="296"/>
      <c r="CX289" s="302">
        <f t="shared" si="1062"/>
        <v>112014245</v>
      </c>
      <c r="CY289" s="510">
        <v>93</v>
      </c>
      <c r="CZ289" s="359" t="s">
        <v>638</v>
      </c>
      <c r="DA289" s="361">
        <v>1234531.8999999999</v>
      </c>
      <c r="DB289" s="361">
        <v>136282.16</v>
      </c>
      <c r="DC289" s="361">
        <v>89890</v>
      </c>
      <c r="DD289" s="361">
        <v>33036</v>
      </c>
      <c r="DE289" s="361">
        <v>68080.479999999996</v>
      </c>
      <c r="DF289" s="811">
        <v>146418.07999999999</v>
      </c>
      <c r="DG289" s="361">
        <v>122975.2</v>
      </c>
      <c r="DH289" s="352">
        <v>192869.68</v>
      </c>
      <c r="DI289" s="352">
        <v>198470.38</v>
      </c>
      <c r="DJ289" s="352">
        <v>287584.32</v>
      </c>
      <c r="DK289" s="352">
        <v>-41074.400000000001</v>
      </c>
      <c r="DO289" s="367"/>
    </row>
    <row r="290" spans="2:119" ht="13">
      <c r="B290" s="294"/>
      <c r="F290" s="296"/>
      <c r="J290" s="302"/>
      <c r="R290" s="188"/>
      <c r="T290" s="295"/>
      <c r="Y290" s="188"/>
      <c r="AA290" s="295"/>
      <c r="AF290" s="188"/>
      <c r="AH290" s="295"/>
      <c r="AI290" s="188"/>
      <c r="AJ290" s="188"/>
      <c r="AK290" s="188"/>
      <c r="AL290" s="188"/>
      <c r="AM290" s="188"/>
      <c r="AN290" s="188"/>
      <c r="AO290" s="299"/>
      <c r="AS290" s="296"/>
      <c r="AW290" s="296"/>
      <c r="BN290" s="296"/>
      <c r="BO290" s="296"/>
      <c r="CX290" s="302">
        <f t="shared" si="1062"/>
        <v>112014396</v>
      </c>
      <c r="CY290" s="510">
        <v>94</v>
      </c>
      <c r="CZ290" s="359" t="s">
        <v>582</v>
      </c>
      <c r="DA290" s="361">
        <v>1123065.25</v>
      </c>
      <c r="DB290" s="352">
        <v>290059.65000000002</v>
      </c>
      <c r="DC290" s="361">
        <v>242655.2</v>
      </c>
      <c r="DD290" s="361">
        <v>0</v>
      </c>
      <c r="DE290" s="352">
        <v>184261.44</v>
      </c>
      <c r="DF290" s="296">
        <v>0</v>
      </c>
      <c r="DG290" s="352">
        <v>125457.28</v>
      </c>
      <c r="DH290" s="352">
        <v>280631.67999999999</v>
      </c>
      <c r="DI290" s="352">
        <v>0</v>
      </c>
      <c r="DJ290" s="352">
        <v>0</v>
      </c>
      <c r="DK290" s="302">
        <v>0</v>
      </c>
      <c r="DO290" s="367"/>
    </row>
    <row r="291" spans="2:119" ht="13">
      <c r="B291" s="294"/>
      <c r="F291" s="296"/>
      <c r="J291" s="302"/>
      <c r="R291" s="188"/>
      <c r="T291" s="295"/>
      <c r="Y291" s="188"/>
      <c r="AA291" s="295"/>
      <c r="AF291" s="188"/>
      <c r="AH291" s="295"/>
      <c r="AI291" s="188"/>
      <c r="AJ291" s="188"/>
      <c r="AK291" s="188"/>
      <c r="AL291" s="188"/>
      <c r="AM291" s="188"/>
      <c r="AN291" s="188"/>
      <c r="AO291" s="299"/>
      <c r="AS291" s="296"/>
      <c r="AW291" s="296"/>
      <c r="BN291" s="296"/>
      <c r="BO291" s="296"/>
      <c r="CX291" s="302">
        <f t="shared" si="1062"/>
        <v>112014031</v>
      </c>
      <c r="CY291" s="510">
        <v>95</v>
      </c>
      <c r="CZ291" s="302" t="s">
        <v>649</v>
      </c>
      <c r="DA291" s="352">
        <v>1072933.9099999999</v>
      </c>
      <c r="DB291" s="352">
        <v>0</v>
      </c>
      <c r="DC291" s="352">
        <v>0</v>
      </c>
      <c r="DD291" s="352">
        <v>0</v>
      </c>
      <c r="DE291" s="352">
        <v>0</v>
      </c>
      <c r="DF291" s="296">
        <v>0</v>
      </c>
      <c r="DG291" s="352">
        <v>21402</v>
      </c>
      <c r="DH291" s="352">
        <v>0</v>
      </c>
      <c r="DI291" s="352">
        <v>990047.71</v>
      </c>
      <c r="DJ291" s="352">
        <v>61484.2</v>
      </c>
      <c r="DK291" s="302">
        <v>0</v>
      </c>
      <c r="DO291" s="367"/>
    </row>
    <row r="292" spans="2:119" ht="13">
      <c r="B292" s="294"/>
      <c r="F292" s="296"/>
      <c r="J292" s="302"/>
      <c r="R292" s="188"/>
      <c r="T292" s="295"/>
      <c r="Y292" s="188"/>
      <c r="AA292" s="295"/>
      <c r="AF292" s="188"/>
      <c r="AH292" s="295"/>
      <c r="AI292" s="188"/>
      <c r="AJ292" s="188"/>
      <c r="AK292" s="188"/>
      <c r="AL292" s="188"/>
      <c r="AM292" s="188"/>
      <c r="AN292" s="188"/>
      <c r="AO292" s="299"/>
      <c r="AS292" s="296"/>
      <c r="AW292" s="296"/>
      <c r="BN292" s="296"/>
      <c r="BO292" s="296"/>
      <c r="CX292" s="302">
        <f t="shared" si="1062"/>
        <v>112014313</v>
      </c>
      <c r="CY292" s="510">
        <v>96</v>
      </c>
      <c r="CZ292" s="359" t="s">
        <v>599</v>
      </c>
      <c r="DA292" s="361">
        <v>1035929.69</v>
      </c>
      <c r="DB292" s="361">
        <v>279998.81</v>
      </c>
      <c r="DC292" s="361">
        <v>111875.49</v>
      </c>
      <c r="DD292" s="361">
        <v>186738.77</v>
      </c>
      <c r="DE292" s="361">
        <v>0</v>
      </c>
      <c r="DF292" s="811">
        <v>139555.28</v>
      </c>
      <c r="DG292" s="361">
        <v>0</v>
      </c>
      <c r="DH292" s="352">
        <v>0</v>
      </c>
      <c r="DI292" s="352">
        <v>190170.62</v>
      </c>
      <c r="DJ292" s="352">
        <v>127590.72</v>
      </c>
      <c r="DK292" s="302">
        <v>0</v>
      </c>
      <c r="DO292" s="367"/>
    </row>
    <row r="293" spans="2:119" ht="13">
      <c r="B293" s="294"/>
      <c r="F293" s="296"/>
      <c r="J293" s="302"/>
      <c r="R293" s="188"/>
      <c r="T293" s="295"/>
      <c r="Y293" s="188"/>
      <c r="AA293" s="295"/>
      <c r="AF293" s="188"/>
      <c r="AH293" s="295"/>
      <c r="AI293" s="188"/>
      <c r="AJ293" s="188"/>
      <c r="AK293" s="188"/>
      <c r="AL293" s="188"/>
      <c r="AM293" s="188"/>
      <c r="AN293" s="188"/>
      <c r="AO293" s="299"/>
      <c r="AS293" s="296"/>
      <c r="AW293" s="296"/>
      <c r="BN293" s="296"/>
      <c r="BO293" s="296"/>
      <c r="CX293" s="302">
        <f t="shared" ref="CX293:CX316" si="1063">VLOOKUP(CZ293,LAGECARTERA,3,FALSE)</f>
        <v>112011938</v>
      </c>
      <c r="CY293" s="510">
        <v>97</v>
      </c>
      <c r="CZ293" s="359" t="s">
        <v>665</v>
      </c>
      <c r="DA293" s="361">
        <v>1020480.32</v>
      </c>
      <c r="DB293" s="361">
        <v>0</v>
      </c>
      <c r="DC293" s="361">
        <v>0</v>
      </c>
      <c r="DD293" s="361">
        <v>152241.29999999999</v>
      </c>
      <c r="DE293" s="361">
        <v>389953.33</v>
      </c>
      <c r="DF293" s="811">
        <v>183456.24</v>
      </c>
      <c r="DG293" s="361">
        <v>0</v>
      </c>
      <c r="DH293" s="352">
        <v>0</v>
      </c>
      <c r="DI293" s="352">
        <v>294829.45</v>
      </c>
      <c r="DJ293" s="302">
        <v>0</v>
      </c>
      <c r="DK293" s="302">
        <v>0</v>
      </c>
      <c r="DO293" s="367"/>
    </row>
    <row r="294" spans="2:119" ht="13">
      <c r="B294" s="294"/>
      <c r="F294" s="296"/>
      <c r="J294" s="302"/>
      <c r="R294" s="188"/>
      <c r="T294" s="295"/>
      <c r="Y294" s="188"/>
      <c r="AA294" s="295"/>
      <c r="AF294" s="188"/>
      <c r="AH294" s="295"/>
      <c r="AI294" s="188"/>
      <c r="AJ294" s="188"/>
      <c r="AK294" s="188"/>
      <c r="AL294" s="188"/>
      <c r="AM294" s="188"/>
      <c r="AN294" s="188"/>
      <c r="AO294" s="299"/>
      <c r="AS294" s="296"/>
      <c r="AW294" s="296"/>
      <c r="BN294" s="296"/>
      <c r="BO294" s="296"/>
      <c r="CX294" s="302">
        <f t="shared" si="1063"/>
        <v>112013200</v>
      </c>
      <c r="CY294" s="510">
        <v>98</v>
      </c>
      <c r="CZ294" s="359" t="s">
        <v>648</v>
      </c>
      <c r="DA294" s="361">
        <v>1003653.6</v>
      </c>
      <c r="DB294" s="352">
        <v>0</v>
      </c>
      <c r="DC294" s="361">
        <v>295518.38</v>
      </c>
      <c r="DD294" s="361">
        <v>0</v>
      </c>
      <c r="DE294" s="361">
        <v>75197.8</v>
      </c>
      <c r="DF294" s="811">
        <v>112339.37</v>
      </c>
      <c r="DG294" s="361">
        <v>0</v>
      </c>
      <c r="DH294" s="352">
        <v>77125.69</v>
      </c>
      <c r="DI294" s="352">
        <v>111813.8</v>
      </c>
      <c r="DJ294" s="352">
        <v>44285</v>
      </c>
      <c r="DK294" s="352">
        <v>287373.56</v>
      </c>
      <c r="DO294" s="367"/>
    </row>
    <row r="295" spans="2:119" ht="13">
      <c r="B295" s="294"/>
      <c r="F295" s="296"/>
      <c r="J295" s="302"/>
      <c r="R295" s="188"/>
      <c r="T295" s="295"/>
      <c r="Y295" s="188"/>
      <c r="AA295" s="295"/>
      <c r="AF295" s="188"/>
      <c r="AH295" s="295"/>
      <c r="AI295" s="188"/>
      <c r="AJ295" s="188"/>
      <c r="AK295" s="188"/>
      <c r="AL295" s="188"/>
      <c r="AM295" s="188"/>
      <c r="AN295" s="188"/>
      <c r="AO295" s="299"/>
      <c r="AS295" s="296"/>
      <c r="AW295" s="296"/>
      <c r="BN295" s="296"/>
      <c r="BO295" s="296"/>
      <c r="CX295" s="302">
        <f t="shared" si="1063"/>
        <v>112014109</v>
      </c>
      <c r="CY295" s="510">
        <v>99</v>
      </c>
      <c r="CZ295" s="302" t="s">
        <v>532</v>
      </c>
      <c r="DA295" s="352">
        <v>986262.28</v>
      </c>
      <c r="DB295" s="352">
        <v>0</v>
      </c>
      <c r="DC295" s="352">
        <v>0</v>
      </c>
      <c r="DD295" s="352">
        <v>0</v>
      </c>
      <c r="DE295" s="361">
        <v>0</v>
      </c>
      <c r="DF295" s="811">
        <v>0</v>
      </c>
      <c r="DG295" s="361">
        <v>0</v>
      </c>
      <c r="DH295" s="352">
        <v>169549.2</v>
      </c>
      <c r="DI295" s="352">
        <v>386055.6</v>
      </c>
      <c r="DJ295" s="352">
        <v>292907.28000000003</v>
      </c>
      <c r="DK295" s="352">
        <v>137750.20000000001</v>
      </c>
      <c r="DO295" s="367"/>
    </row>
    <row r="296" spans="2:119" ht="13">
      <c r="B296" s="294"/>
      <c r="F296" s="296"/>
      <c r="J296" s="302"/>
      <c r="R296" s="188"/>
      <c r="T296" s="295"/>
      <c r="Y296" s="188"/>
      <c r="AA296" s="295"/>
      <c r="AF296" s="188"/>
      <c r="AH296" s="295"/>
      <c r="AI296" s="188"/>
      <c r="AJ296" s="188"/>
      <c r="AK296" s="188"/>
      <c r="AL296" s="188"/>
      <c r="AM296" s="188"/>
      <c r="AN296" s="188"/>
      <c r="AO296" s="299"/>
      <c r="AS296" s="296"/>
      <c r="AW296" s="296"/>
      <c r="BN296" s="296"/>
      <c r="BO296" s="296"/>
      <c r="CX296" s="302">
        <f t="shared" si="1063"/>
        <v>112013338</v>
      </c>
      <c r="CY296" s="510">
        <v>100</v>
      </c>
      <c r="CZ296" s="302" t="s">
        <v>558</v>
      </c>
      <c r="DA296" s="352">
        <v>973371.29</v>
      </c>
      <c r="DB296" s="352">
        <v>-223605.3</v>
      </c>
      <c r="DC296" s="352">
        <v>249018</v>
      </c>
      <c r="DD296" s="352">
        <v>270817.05</v>
      </c>
      <c r="DE296" s="361">
        <v>609691.39</v>
      </c>
      <c r="DF296" s="811">
        <v>0</v>
      </c>
      <c r="DG296" s="361">
        <v>67450.149999999994</v>
      </c>
      <c r="DH296" s="352">
        <v>0</v>
      </c>
      <c r="DI296" s="302">
        <v>0</v>
      </c>
      <c r="DJ296" s="302">
        <v>0</v>
      </c>
      <c r="DK296" s="302">
        <v>0</v>
      </c>
      <c r="DO296" s="367"/>
    </row>
    <row r="297" spans="2:119" ht="13">
      <c r="B297" s="294"/>
      <c r="F297" s="296"/>
      <c r="J297" s="302"/>
      <c r="R297" s="188"/>
      <c r="T297" s="295"/>
      <c r="Y297" s="188"/>
      <c r="AA297" s="295"/>
      <c r="AF297" s="188"/>
      <c r="AH297" s="295"/>
      <c r="AI297" s="188"/>
      <c r="AJ297" s="188"/>
      <c r="AK297" s="188"/>
      <c r="AL297" s="188"/>
      <c r="AM297" s="188"/>
      <c r="AN297" s="188"/>
      <c r="AO297" s="299"/>
      <c r="AS297" s="296"/>
      <c r="AW297" s="296"/>
      <c r="BN297" s="296"/>
      <c r="BO297" s="296"/>
      <c r="CX297" s="302" t="e">
        <f t="shared" si="1063"/>
        <v>#N/A</v>
      </c>
      <c r="CY297" s="510">
        <v>101</v>
      </c>
      <c r="CZ297" s="359" t="s">
        <v>642</v>
      </c>
      <c r="DA297" s="361">
        <v>958871.79</v>
      </c>
      <c r="DB297" s="361">
        <v>0</v>
      </c>
      <c r="DC297" s="361">
        <v>0</v>
      </c>
      <c r="DD297" s="361">
        <v>0</v>
      </c>
      <c r="DE297" s="361">
        <v>0</v>
      </c>
      <c r="DF297" s="811">
        <v>0</v>
      </c>
      <c r="DG297" s="361">
        <v>0</v>
      </c>
      <c r="DH297" s="352">
        <v>0</v>
      </c>
      <c r="DI297" s="352">
        <v>333130.28999999998</v>
      </c>
      <c r="DJ297" s="352">
        <v>267213.26</v>
      </c>
      <c r="DK297" s="352">
        <v>358528.24</v>
      </c>
      <c r="DO297" s="367"/>
    </row>
    <row r="298" spans="2:119" ht="13">
      <c r="B298" s="294"/>
      <c r="F298" s="296"/>
      <c r="J298" s="302"/>
      <c r="R298" s="188"/>
      <c r="T298" s="295"/>
      <c r="Y298" s="188"/>
      <c r="AA298" s="295"/>
      <c r="AF298" s="188"/>
      <c r="AH298" s="295"/>
      <c r="AI298" s="188"/>
      <c r="AJ298" s="188"/>
      <c r="AK298" s="188"/>
      <c r="AL298" s="188"/>
      <c r="AM298" s="188"/>
      <c r="AN298" s="188"/>
      <c r="AO298" s="299"/>
      <c r="AS298" s="296"/>
      <c r="AW298" s="296"/>
      <c r="BN298" s="296"/>
      <c r="BO298" s="296"/>
      <c r="CX298" s="302">
        <f t="shared" si="1063"/>
        <v>112013376</v>
      </c>
      <c r="CY298" s="510">
        <v>102</v>
      </c>
      <c r="CZ298" s="302" t="s">
        <v>615</v>
      </c>
      <c r="DA298" s="352">
        <v>820253.77</v>
      </c>
      <c r="DB298" s="352">
        <v>80271</v>
      </c>
      <c r="DC298" s="352">
        <v>66478.820000000007</v>
      </c>
      <c r="DD298" s="352">
        <v>340522.44</v>
      </c>
      <c r="DE298" s="352">
        <v>259509.47</v>
      </c>
      <c r="DF298" s="296">
        <v>73472.039999999994</v>
      </c>
      <c r="DG298" s="302">
        <v>0</v>
      </c>
      <c r="DH298" s="302">
        <v>0</v>
      </c>
      <c r="DI298" s="302">
        <v>0</v>
      </c>
      <c r="DJ298" s="302">
        <v>0</v>
      </c>
      <c r="DK298" s="302">
        <v>0</v>
      </c>
      <c r="DO298" s="367"/>
    </row>
    <row r="299" spans="2:119" ht="13">
      <c r="B299" s="294"/>
      <c r="F299" s="296"/>
      <c r="J299" s="302"/>
      <c r="R299" s="188"/>
      <c r="T299" s="295"/>
      <c r="Y299" s="188"/>
      <c r="AA299" s="295"/>
      <c r="AF299" s="188"/>
      <c r="AH299" s="295"/>
      <c r="AI299" s="188"/>
      <c r="AJ299" s="188"/>
      <c r="AK299" s="188"/>
      <c r="AL299" s="188"/>
      <c r="AM299" s="188"/>
      <c r="AN299" s="188"/>
      <c r="AO299" s="299"/>
      <c r="AS299" s="296"/>
      <c r="AW299" s="296"/>
      <c r="BN299" s="296"/>
      <c r="BO299" s="296"/>
      <c r="CX299" s="302">
        <f t="shared" si="1063"/>
        <v>112013205</v>
      </c>
      <c r="CY299" s="510">
        <v>103</v>
      </c>
      <c r="CZ299" s="359" t="s">
        <v>577</v>
      </c>
      <c r="DA299" s="361">
        <v>811128.25</v>
      </c>
      <c r="DB299" s="361">
        <v>0</v>
      </c>
      <c r="DC299" s="361">
        <v>0</v>
      </c>
      <c r="DD299" s="361">
        <v>0</v>
      </c>
      <c r="DE299" s="361">
        <v>0</v>
      </c>
      <c r="DF299" s="811">
        <v>0</v>
      </c>
      <c r="DG299" s="361">
        <v>0</v>
      </c>
      <c r="DH299" s="352">
        <v>148935.44</v>
      </c>
      <c r="DI299" s="352">
        <v>476226.65</v>
      </c>
      <c r="DJ299" s="352">
        <v>185966.16</v>
      </c>
      <c r="DK299" s="352">
        <v>0</v>
      </c>
      <c r="DO299" s="367"/>
    </row>
    <row r="300" spans="2:119" ht="13">
      <c r="B300" s="294"/>
      <c r="F300" s="296"/>
      <c r="J300" s="302"/>
      <c r="R300" s="188"/>
      <c r="T300" s="295"/>
      <c r="Y300" s="188"/>
      <c r="AA300" s="295"/>
      <c r="AF300" s="188"/>
      <c r="AH300" s="295"/>
      <c r="AI300" s="188"/>
      <c r="AJ300" s="188"/>
      <c r="AK300" s="188"/>
      <c r="AL300" s="188"/>
      <c r="AM300" s="188"/>
      <c r="AN300" s="188"/>
      <c r="AO300" s="299"/>
      <c r="AS300" s="296"/>
      <c r="AW300" s="296"/>
      <c r="BN300" s="296"/>
      <c r="BO300" s="296"/>
      <c r="CX300" s="302" t="e">
        <f t="shared" si="1063"/>
        <v>#N/A</v>
      </c>
      <c r="CY300" s="510">
        <v>104</v>
      </c>
      <c r="CZ300" s="359" t="s">
        <v>668</v>
      </c>
      <c r="DA300" s="361">
        <v>785659.67</v>
      </c>
      <c r="DB300" s="361">
        <v>0</v>
      </c>
      <c r="DC300" s="361">
        <v>0</v>
      </c>
      <c r="DD300" s="361">
        <v>506139.74</v>
      </c>
      <c r="DE300" s="361">
        <v>250258.32</v>
      </c>
      <c r="DF300" s="811">
        <v>29261.61</v>
      </c>
      <c r="DG300" s="361">
        <v>0</v>
      </c>
      <c r="DH300" s="352">
        <v>0</v>
      </c>
      <c r="DI300" s="352">
        <v>0</v>
      </c>
      <c r="DJ300" s="352">
        <v>0</v>
      </c>
      <c r="DK300" s="352">
        <v>0</v>
      </c>
      <c r="DO300" s="367"/>
    </row>
    <row r="301" spans="2:119" ht="13">
      <c r="B301" s="294"/>
      <c r="F301" s="296"/>
      <c r="J301" s="302"/>
      <c r="R301" s="188"/>
      <c r="T301" s="295"/>
      <c r="Y301" s="188"/>
      <c r="AA301" s="295"/>
      <c r="AF301" s="188"/>
      <c r="AH301" s="295"/>
      <c r="AI301" s="188"/>
      <c r="AJ301" s="188"/>
      <c r="AK301" s="188"/>
      <c r="AL301" s="188"/>
      <c r="AM301" s="188"/>
      <c r="AN301" s="188"/>
      <c r="AO301" s="299"/>
      <c r="AS301" s="296"/>
      <c r="AW301" s="296"/>
      <c r="BN301" s="296"/>
      <c r="BO301" s="296"/>
      <c r="CX301" s="302">
        <f t="shared" si="1063"/>
        <v>112014738</v>
      </c>
      <c r="CY301" s="510">
        <v>105</v>
      </c>
      <c r="CZ301" s="359" t="s">
        <v>535</v>
      </c>
      <c r="DA301" s="361">
        <v>714174.43</v>
      </c>
      <c r="DB301" s="361">
        <v>0</v>
      </c>
      <c r="DC301" s="361">
        <v>0</v>
      </c>
      <c r="DD301" s="361">
        <v>0</v>
      </c>
      <c r="DE301" s="361">
        <v>0</v>
      </c>
      <c r="DF301" s="811">
        <v>0</v>
      </c>
      <c r="DG301" s="361">
        <v>0</v>
      </c>
      <c r="DH301" s="352">
        <v>0</v>
      </c>
      <c r="DI301" s="352">
        <v>379957.01</v>
      </c>
      <c r="DJ301" s="352">
        <v>80220.490000000005</v>
      </c>
      <c r="DK301" s="352">
        <v>253996.93</v>
      </c>
      <c r="DO301" s="367"/>
    </row>
    <row r="302" spans="2:119" ht="13">
      <c r="B302" s="294"/>
      <c r="F302" s="296"/>
      <c r="J302" s="302"/>
      <c r="R302" s="188"/>
      <c r="T302" s="295"/>
      <c r="Y302" s="188"/>
      <c r="AA302" s="295"/>
      <c r="AF302" s="188"/>
      <c r="AH302" s="295"/>
      <c r="AI302" s="188"/>
      <c r="AJ302" s="188"/>
      <c r="AK302" s="188"/>
      <c r="AL302" s="188"/>
      <c r="AM302" s="188"/>
      <c r="AN302" s="188"/>
      <c r="AO302" s="299"/>
      <c r="AS302" s="296"/>
      <c r="AW302" s="296"/>
      <c r="BN302" s="296"/>
      <c r="BO302" s="296"/>
      <c r="CX302" s="302">
        <f t="shared" si="1063"/>
        <v>112014588</v>
      </c>
      <c r="CY302" s="510">
        <v>106</v>
      </c>
      <c r="CZ302" s="359" t="s">
        <v>571</v>
      </c>
      <c r="DA302" s="361">
        <v>711327.29</v>
      </c>
      <c r="DB302" s="361">
        <v>182164.63</v>
      </c>
      <c r="DC302" s="361">
        <v>237265.65</v>
      </c>
      <c r="DD302" s="361">
        <v>102926.59</v>
      </c>
      <c r="DE302" s="361">
        <v>102584.18</v>
      </c>
      <c r="DF302" s="811">
        <v>86386.240000000005</v>
      </c>
      <c r="DG302" s="361">
        <v>0</v>
      </c>
      <c r="DH302" s="352">
        <v>0</v>
      </c>
      <c r="DI302" s="352">
        <v>0</v>
      </c>
      <c r="DJ302" s="302">
        <v>0</v>
      </c>
      <c r="DK302" s="302">
        <v>0</v>
      </c>
      <c r="DO302" s="367"/>
    </row>
    <row r="303" spans="2:119" ht="13">
      <c r="B303" s="294"/>
      <c r="F303" s="296"/>
      <c r="J303" s="302"/>
      <c r="R303" s="188"/>
      <c r="T303" s="295"/>
      <c r="Y303" s="188"/>
      <c r="AA303" s="295"/>
      <c r="AF303" s="188"/>
      <c r="AH303" s="295"/>
      <c r="AI303" s="188"/>
      <c r="AJ303" s="188"/>
      <c r="AK303" s="188"/>
      <c r="AL303" s="188"/>
      <c r="AM303" s="188"/>
      <c r="AN303" s="188"/>
      <c r="AO303" s="299"/>
      <c r="AS303" s="296"/>
      <c r="AW303" s="296"/>
      <c r="BN303" s="296"/>
      <c r="BO303" s="296"/>
      <c r="CX303" s="302">
        <f t="shared" si="1063"/>
        <v>112014732</v>
      </c>
      <c r="CY303" s="510">
        <v>107</v>
      </c>
      <c r="CZ303" s="302" t="s">
        <v>556</v>
      </c>
      <c r="DA303" s="352">
        <v>651788.67000000004</v>
      </c>
      <c r="DB303" s="352">
        <v>0</v>
      </c>
      <c r="DC303" s="352">
        <v>0</v>
      </c>
      <c r="DD303" s="352">
        <v>0</v>
      </c>
      <c r="DE303" s="302">
        <v>0</v>
      </c>
      <c r="DF303" s="296">
        <v>0</v>
      </c>
      <c r="DG303" s="302">
        <v>0</v>
      </c>
      <c r="DH303" s="352">
        <v>0</v>
      </c>
      <c r="DI303" s="352">
        <v>0</v>
      </c>
      <c r="DJ303" s="352">
        <v>287779.57</v>
      </c>
      <c r="DK303" s="352">
        <v>364009.1</v>
      </c>
      <c r="DO303" s="367"/>
    </row>
    <row r="304" spans="2:119" ht="13">
      <c r="B304" s="294"/>
      <c r="F304" s="296"/>
      <c r="J304" s="302"/>
      <c r="R304" s="188"/>
      <c r="T304" s="295"/>
      <c r="Y304" s="188"/>
      <c r="AA304" s="295"/>
      <c r="AF304" s="188"/>
      <c r="AH304" s="295"/>
      <c r="AI304" s="188"/>
      <c r="AJ304" s="188"/>
      <c r="AK304" s="188"/>
      <c r="AL304" s="188"/>
      <c r="AM304" s="188"/>
      <c r="AN304" s="188"/>
      <c r="AO304" s="299"/>
      <c r="AS304" s="296"/>
      <c r="AW304" s="296"/>
      <c r="BN304" s="296"/>
      <c r="BO304" s="296"/>
      <c r="CX304" s="302">
        <f t="shared" si="1063"/>
        <v>112014373</v>
      </c>
      <c r="CY304" s="510">
        <v>108</v>
      </c>
      <c r="CZ304" s="359" t="s">
        <v>581</v>
      </c>
      <c r="DA304" s="361">
        <v>641973.26</v>
      </c>
      <c r="DB304" s="361">
        <v>303401.82</v>
      </c>
      <c r="DC304" s="361">
        <v>161861.07999999999</v>
      </c>
      <c r="DD304" s="361">
        <v>0</v>
      </c>
      <c r="DE304" s="361">
        <v>0</v>
      </c>
      <c r="DF304" s="811">
        <v>0</v>
      </c>
      <c r="DG304" s="361">
        <v>0</v>
      </c>
      <c r="DH304" s="352">
        <v>0</v>
      </c>
      <c r="DI304" s="352">
        <v>54141.66</v>
      </c>
      <c r="DJ304" s="302">
        <v>0</v>
      </c>
      <c r="DK304" s="352">
        <v>122568.7</v>
      </c>
      <c r="DO304" s="367"/>
    </row>
    <row r="305" spans="2:119" ht="13">
      <c r="B305" s="294"/>
      <c r="F305" s="296"/>
      <c r="J305" s="302"/>
      <c r="R305" s="188"/>
      <c r="T305" s="295"/>
      <c r="Y305" s="188"/>
      <c r="AA305" s="295"/>
      <c r="AF305" s="188"/>
      <c r="AH305" s="295"/>
      <c r="AI305" s="188"/>
      <c r="AJ305" s="188"/>
      <c r="AK305" s="188"/>
      <c r="AL305" s="188"/>
      <c r="AM305" s="188"/>
      <c r="AN305" s="188"/>
      <c r="AO305" s="299"/>
      <c r="AS305" s="296"/>
      <c r="AW305" s="296"/>
      <c r="BN305" s="296"/>
      <c r="BO305" s="296"/>
      <c r="CX305" s="302">
        <f t="shared" si="1063"/>
        <v>112014240</v>
      </c>
      <c r="CY305" s="510">
        <v>109</v>
      </c>
      <c r="CZ305" s="359" t="s">
        <v>637</v>
      </c>
      <c r="DA305" s="361">
        <v>583603.93999999994</v>
      </c>
      <c r="DB305" s="361">
        <v>61404.52</v>
      </c>
      <c r="DC305" s="361">
        <v>0</v>
      </c>
      <c r="DD305" s="361">
        <v>0</v>
      </c>
      <c r="DE305" s="352">
        <v>72546.720000000001</v>
      </c>
      <c r="DF305" s="296">
        <v>0</v>
      </c>
      <c r="DG305" s="352">
        <v>119403.5</v>
      </c>
      <c r="DH305" s="352">
        <v>220793.84</v>
      </c>
      <c r="DI305" s="352">
        <v>109455.36</v>
      </c>
      <c r="DJ305" s="352">
        <v>0</v>
      </c>
      <c r="DK305" s="302">
        <v>0</v>
      </c>
      <c r="DO305" s="367"/>
    </row>
    <row r="306" spans="2:119" ht="13">
      <c r="B306" s="294"/>
      <c r="F306" s="296"/>
      <c r="J306" s="302"/>
      <c r="R306" s="188"/>
      <c r="T306" s="295"/>
      <c r="Y306" s="188"/>
      <c r="AA306" s="295"/>
      <c r="AF306" s="188"/>
      <c r="AH306" s="295"/>
      <c r="AI306" s="188"/>
      <c r="AJ306" s="188"/>
      <c r="AK306" s="188"/>
      <c r="AL306" s="188"/>
      <c r="AM306" s="188"/>
      <c r="AN306" s="188"/>
      <c r="AO306" s="299"/>
      <c r="AS306" s="296"/>
      <c r="AW306" s="296"/>
      <c r="BN306" s="296"/>
      <c r="BO306" s="296"/>
      <c r="CX306" s="302">
        <f t="shared" si="1063"/>
        <v>112014472</v>
      </c>
      <c r="CY306" s="510">
        <v>110</v>
      </c>
      <c r="CZ306" s="359" t="s">
        <v>560</v>
      </c>
      <c r="DA306" s="361">
        <v>545873.88</v>
      </c>
      <c r="DB306" s="361">
        <v>0</v>
      </c>
      <c r="DC306" s="361">
        <v>0</v>
      </c>
      <c r="DD306" s="361">
        <v>0</v>
      </c>
      <c r="DE306" s="361">
        <v>0</v>
      </c>
      <c r="DF306" s="811">
        <v>436318.5</v>
      </c>
      <c r="DG306" s="361">
        <v>0</v>
      </c>
      <c r="DH306" s="352">
        <v>109555.38</v>
      </c>
      <c r="DI306" s="302">
        <v>0</v>
      </c>
      <c r="DJ306" s="302">
        <v>0</v>
      </c>
      <c r="DK306" s="302">
        <v>0</v>
      </c>
      <c r="DO306" s="367"/>
    </row>
    <row r="307" spans="2:119" ht="13">
      <c r="B307" s="294"/>
      <c r="F307" s="296"/>
      <c r="J307" s="302"/>
      <c r="R307" s="188"/>
      <c r="T307" s="295"/>
      <c r="Y307" s="188"/>
      <c r="AA307" s="295"/>
      <c r="AF307" s="188"/>
      <c r="AH307" s="295"/>
      <c r="AI307" s="188"/>
      <c r="AJ307" s="188"/>
      <c r="AK307" s="188"/>
      <c r="AL307" s="188"/>
      <c r="AM307" s="188"/>
      <c r="AN307" s="188"/>
      <c r="AO307" s="299"/>
      <c r="AS307" s="296"/>
      <c r="AW307" s="296"/>
      <c r="BN307" s="296"/>
      <c r="BO307" s="296"/>
      <c r="CX307" s="302" t="e">
        <f t="shared" si="1063"/>
        <v>#N/A</v>
      </c>
      <c r="CY307" s="510">
        <v>111</v>
      </c>
      <c r="CZ307" s="359" t="s">
        <v>530</v>
      </c>
      <c r="DA307" s="361">
        <v>532252.07999999996</v>
      </c>
      <c r="DB307" s="361">
        <v>0</v>
      </c>
      <c r="DC307" s="361">
        <v>0</v>
      </c>
      <c r="DD307" s="361">
        <v>0</v>
      </c>
      <c r="DE307" s="361">
        <v>0</v>
      </c>
      <c r="DF307" s="811">
        <v>0</v>
      </c>
      <c r="DG307" s="361">
        <v>0</v>
      </c>
      <c r="DH307" s="352">
        <v>0</v>
      </c>
      <c r="DI307" s="352">
        <v>0</v>
      </c>
      <c r="DJ307" s="302">
        <v>0</v>
      </c>
      <c r="DK307" s="352">
        <v>532252.07999999996</v>
      </c>
      <c r="DO307" s="367"/>
    </row>
    <row r="308" spans="2:119" ht="13">
      <c r="B308" s="294"/>
      <c r="F308" s="296"/>
      <c r="J308" s="302"/>
      <c r="R308" s="188"/>
      <c r="T308" s="295"/>
      <c r="Y308" s="188"/>
      <c r="AA308" s="295"/>
      <c r="AF308" s="188"/>
      <c r="AH308" s="295"/>
      <c r="AI308" s="188"/>
      <c r="AJ308" s="188"/>
      <c r="AK308" s="188"/>
      <c r="AL308" s="188"/>
      <c r="AM308" s="188"/>
      <c r="AN308" s="188"/>
      <c r="AO308" s="299"/>
      <c r="AS308" s="296"/>
      <c r="AW308" s="296"/>
      <c r="BN308" s="296"/>
      <c r="BO308" s="296"/>
      <c r="CX308" s="302" t="e">
        <f t="shared" si="1063"/>
        <v>#N/A</v>
      </c>
      <c r="CY308" s="510">
        <v>112</v>
      </c>
      <c r="CZ308" s="359" t="s">
        <v>667</v>
      </c>
      <c r="DA308" s="361">
        <v>502125.16</v>
      </c>
      <c r="DB308" s="361">
        <v>174839.16</v>
      </c>
      <c r="DC308" s="361">
        <v>145287.69</v>
      </c>
      <c r="DD308" s="361">
        <v>181998.31</v>
      </c>
      <c r="DE308" s="302">
        <v>0</v>
      </c>
      <c r="DF308" s="296">
        <v>0</v>
      </c>
      <c r="DG308" s="302">
        <v>0</v>
      </c>
      <c r="DH308" s="302">
        <v>0</v>
      </c>
      <c r="DI308" s="302">
        <v>0</v>
      </c>
      <c r="DJ308" s="352">
        <v>0</v>
      </c>
      <c r="DK308" s="302">
        <v>0</v>
      </c>
      <c r="DO308" s="367"/>
    </row>
    <row r="309" spans="2:119" ht="13">
      <c r="B309" s="294"/>
      <c r="F309" s="296"/>
      <c r="J309" s="302"/>
      <c r="R309" s="188"/>
      <c r="T309" s="295"/>
      <c r="Y309" s="188"/>
      <c r="AA309" s="295"/>
      <c r="AF309" s="188"/>
      <c r="AH309" s="295"/>
      <c r="AI309" s="188"/>
      <c r="AJ309" s="188"/>
      <c r="AK309" s="188"/>
      <c r="AL309" s="188"/>
      <c r="AM309" s="188"/>
      <c r="AN309" s="188"/>
      <c r="AO309" s="299"/>
      <c r="AS309" s="296"/>
      <c r="AW309" s="296"/>
      <c r="BN309" s="296"/>
      <c r="BO309" s="296"/>
      <c r="CX309" s="302">
        <f t="shared" si="1063"/>
        <v>112014424</v>
      </c>
      <c r="CY309" s="510">
        <v>113</v>
      </c>
      <c r="CZ309" s="359" t="s">
        <v>608</v>
      </c>
      <c r="DA309" s="361">
        <v>434825</v>
      </c>
      <c r="DB309" s="361">
        <v>363231.8</v>
      </c>
      <c r="DC309" s="361">
        <v>0</v>
      </c>
      <c r="DD309" s="361">
        <v>0</v>
      </c>
      <c r="DE309" s="361">
        <v>0</v>
      </c>
      <c r="DF309" s="811">
        <v>0</v>
      </c>
      <c r="DG309" s="361">
        <v>0</v>
      </c>
      <c r="DH309" s="352">
        <v>71593.2</v>
      </c>
      <c r="DI309" s="352">
        <v>0</v>
      </c>
      <c r="DJ309" s="302">
        <v>0</v>
      </c>
      <c r="DK309" s="302">
        <v>0</v>
      </c>
      <c r="DO309" s="367"/>
    </row>
    <row r="310" spans="2:119" ht="13">
      <c r="B310" s="294"/>
      <c r="F310" s="296"/>
      <c r="J310" s="302"/>
      <c r="R310" s="188"/>
      <c r="T310" s="295"/>
      <c r="Y310" s="188"/>
      <c r="AA310" s="295"/>
      <c r="AF310" s="188"/>
      <c r="AH310" s="295"/>
      <c r="AI310" s="188"/>
      <c r="AJ310" s="188"/>
      <c r="AK310" s="188"/>
      <c r="AL310" s="188"/>
      <c r="AM310" s="188"/>
      <c r="AN310" s="188"/>
      <c r="AO310" s="299"/>
      <c r="AS310" s="296"/>
      <c r="AW310" s="296"/>
      <c r="BN310" s="296"/>
      <c r="BO310" s="296"/>
      <c r="CX310" s="302">
        <f t="shared" si="1063"/>
        <v>112014263</v>
      </c>
      <c r="CY310" s="510">
        <v>114</v>
      </c>
      <c r="CZ310" s="359" t="s">
        <v>616</v>
      </c>
      <c r="DA310" s="361">
        <v>372271.64</v>
      </c>
      <c r="DB310" s="361">
        <v>0</v>
      </c>
      <c r="DC310" s="361">
        <v>0</v>
      </c>
      <c r="DD310" s="361">
        <v>0</v>
      </c>
      <c r="DE310" s="361">
        <v>0</v>
      </c>
      <c r="DF310" s="811">
        <v>137763.9</v>
      </c>
      <c r="DG310" s="361">
        <v>0</v>
      </c>
      <c r="DH310" s="352">
        <v>0</v>
      </c>
      <c r="DI310" s="352">
        <v>0</v>
      </c>
      <c r="DJ310" s="302">
        <v>0</v>
      </c>
      <c r="DK310" s="352">
        <v>234507.74</v>
      </c>
      <c r="DO310" s="367"/>
    </row>
    <row r="311" spans="2:119" ht="13">
      <c r="B311" s="294"/>
      <c r="F311" s="296"/>
      <c r="J311" s="302"/>
      <c r="R311" s="188"/>
      <c r="T311" s="295"/>
      <c r="Y311" s="188"/>
      <c r="AA311" s="295"/>
      <c r="AF311" s="188"/>
      <c r="AH311" s="295"/>
      <c r="AI311" s="188"/>
      <c r="AJ311" s="188"/>
      <c r="AK311" s="188"/>
      <c r="AL311" s="188"/>
      <c r="AM311" s="188"/>
      <c r="AN311" s="188"/>
      <c r="AO311" s="299"/>
      <c r="AS311" s="296"/>
      <c r="AW311" s="296"/>
      <c r="BN311" s="296"/>
      <c r="BO311" s="296"/>
      <c r="CX311" s="302">
        <f t="shared" si="1063"/>
        <v>112014025</v>
      </c>
      <c r="CY311" s="510">
        <v>115</v>
      </c>
      <c r="CZ311" s="359" t="s">
        <v>614</v>
      </c>
      <c r="DA311" s="361">
        <v>347045.01</v>
      </c>
      <c r="DB311" s="361">
        <v>0</v>
      </c>
      <c r="DC311" s="361">
        <v>0</v>
      </c>
      <c r="DD311" s="361">
        <v>0</v>
      </c>
      <c r="DE311" s="352">
        <v>0</v>
      </c>
      <c r="DF311" s="296">
        <v>0</v>
      </c>
      <c r="DG311" s="352">
        <v>20479.32</v>
      </c>
      <c r="DH311" s="352">
        <v>95911.93</v>
      </c>
      <c r="DI311" s="352">
        <v>55114.64</v>
      </c>
      <c r="DJ311" s="302">
        <v>0</v>
      </c>
      <c r="DK311" s="352">
        <v>175539.12</v>
      </c>
      <c r="DO311" s="367"/>
    </row>
    <row r="312" spans="2:119" ht="13">
      <c r="B312" s="294"/>
      <c r="F312" s="296"/>
      <c r="J312" s="302"/>
      <c r="R312" s="188"/>
      <c r="T312" s="295"/>
      <c r="Y312" s="188"/>
      <c r="AA312" s="295"/>
      <c r="AF312" s="188"/>
      <c r="AH312" s="295"/>
      <c r="AI312" s="188"/>
      <c r="AJ312" s="188"/>
      <c r="AK312" s="188"/>
      <c r="AL312" s="188"/>
      <c r="AM312" s="188"/>
      <c r="AN312" s="188"/>
      <c r="AO312" s="299"/>
      <c r="AS312" s="296"/>
      <c r="AW312" s="296"/>
      <c r="BN312" s="296"/>
      <c r="BO312" s="296"/>
      <c r="CX312" s="302">
        <f t="shared" si="1063"/>
        <v>112014711</v>
      </c>
      <c r="CY312" s="510">
        <v>116</v>
      </c>
      <c r="CZ312" s="302" t="s">
        <v>575</v>
      </c>
      <c r="DA312" s="352">
        <v>333101.96000000002</v>
      </c>
      <c r="DB312" s="352">
        <v>0</v>
      </c>
      <c r="DC312" s="302">
        <v>0</v>
      </c>
      <c r="DD312" s="352">
        <v>0</v>
      </c>
      <c r="DE312" s="302">
        <v>0</v>
      </c>
      <c r="DF312" s="296">
        <v>0</v>
      </c>
      <c r="DG312" s="352">
        <v>0</v>
      </c>
      <c r="DH312" s="352">
        <v>150299.23000000001</v>
      </c>
      <c r="DI312" s="352">
        <v>107377.73</v>
      </c>
      <c r="DJ312" s="302">
        <v>0</v>
      </c>
      <c r="DK312" s="352">
        <v>75425</v>
      </c>
      <c r="DO312" s="367"/>
    </row>
    <row r="313" spans="2:119" ht="13">
      <c r="B313" s="294"/>
      <c r="F313" s="296"/>
      <c r="J313" s="302"/>
      <c r="R313" s="188"/>
      <c r="T313" s="295"/>
      <c r="Y313" s="188"/>
      <c r="AA313" s="295"/>
      <c r="AF313" s="188"/>
      <c r="AH313" s="295"/>
      <c r="AI313" s="188"/>
      <c r="AJ313" s="188"/>
      <c r="AK313" s="188"/>
      <c r="AL313" s="188"/>
      <c r="AM313" s="188"/>
      <c r="AN313" s="188"/>
      <c r="AO313" s="299"/>
      <c r="AS313" s="296"/>
      <c r="AW313" s="296"/>
      <c r="BN313" s="296"/>
      <c r="BO313" s="296"/>
      <c r="CX313" s="302" t="e">
        <f t="shared" si="1063"/>
        <v>#N/A</v>
      </c>
      <c r="CY313" s="510">
        <v>117</v>
      </c>
      <c r="CZ313" s="302" t="s">
        <v>643</v>
      </c>
      <c r="DA313" s="352">
        <v>280879.49</v>
      </c>
      <c r="DB313" s="352">
        <v>0</v>
      </c>
      <c r="DC313" s="352">
        <v>0</v>
      </c>
      <c r="DD313" s="302">
        <v>0</v>
      </c>
      <c r="DE313" s="302">
        <v>0</v>
      </c>
      <c r="DF313" s="296">
        <v>0</v>
      </c>
      <c r="DG313" s="352">
        <v>0</v>
      </c>
      <c r="DH313" s="302">
        <v>0</v>
      </c>
      <c r="DI313" s="352">
        <v>280879.49</v>
      </c>
      <c r="DJ313" s="302">
        <v>0</v>
      </c>
      <c r="DK313" s="302">
        <v>0</v>
      </c>
      <c r="DO313" s="367"/>
    </row>
    <row r="314" spans="2:119" ht="13">
      <c r="B314" s="294"/>
      <c r="F314" s="296"/>
      <c r="J314" s="302"/>
      <c r="R314" s="188"/>
      <c r="T314" s="295"/>
      <c r="Y314" s="188"/>
      <c r="AA314" s="295"/>
      <c r="AF314" s="188"/>
      <c r="AH314" s="295"/>
      <c r="AI314" s="188"/>
      <c r="AJ314" s="188"/>
      <c r="AK314" s="188"/>
      <c r="AL314" s="188"/>
      <c r="AM314" s="188"/>
      <c r="AN314" s="188"/>
      <c r="AO314" s="299"/>
      <c r="AS314" s="296"/>
      <c r="AW314" s="296"/>
      <c r="BN314" s="296"/>
      <c r="BO314" s="296"/>
      <c r="CX314" s="302">
        <f t="shared" si="1063"/>
        <v>112014171</v>
      </c>
      <c r="CY314" s="510">
        <v>118</v>
      </c>
      <c r="CZ314" s="302" t="s">
        <v>603</v>
      </c>
      <c r="DA314" s="352">
        <v>262065.83</v>
      </c>
      <c r="DB314" s="352">
        <v>0</v>
      </c>
      <c r="DC314" s="352">
        <v>0</v>
      </c>
      <c r="DD314" s="302">
        <v>0</v>
      </c>
      <c r="DE314" s="302">
        <v>0</v>
      </c>
      <c r="DF314" s="296">
        <v>0</v>
      </c>
      <c r="DG314" s="302">
        <v>0</v>
      </c>
      <c r="DH314" s="352">
        <v>185599.4</v>
      </c>
      <c r="DI314" s="352">
        <v>76466.429999999993</v>
      </c>
      <c r="DJ314" s="302">
        <v>0</v>
      </c>
      <c r="DK314" s="302">
        <v>0</v>
      </c>
      <c r="DO314" s="367"/>
    </row>
    <row r="315" spans="2:119" ht="13">
      <c r="B315" s="294"/>
      <c r="F315" s="296"/>
      <c r="J315" s="302"/>
      <c r="R315" s="188"/>
      <c r="T315" s="295"/>
      <c r="Y315" s="188"/>
      <c r="AA315" s="295"/>
      <c r="AF315" s="188"/>
      <c r="AH315" s="295"/>
      <c r="AI315" s="188"/>
      <c r="AJ315" s="188"/>
      <c r="AK315" s="188"/>
      <c r="AL315" s="188"/>
      <c r="AM315" s="188"/>
      <c r="AN315" s="188"/>
      <c r="AO315" s="299"/>
      <c r="AS315" s="296"/>
      <c r="AW315" s="296"/>
      <c r="BN315" s="296"/>
      <c r="BO315" s="296"/>
      <c r="CX315" s="302">
        <f t="shared" si="1063"/>
        <v>112014144</v>
      </c>
      <c r="CY315" s="510">
        <v>119</v>
      </c>
      <c r="CZ315" s="302" t="s">
        <v>584</v>
      </c>
      <c r="DA315" s="352">
        <v>230804.15</v>
      </c>
      <c r="DB315" s="352">
        <v>48505.39</v>
      </c>
      <c r="DC315" s="302">
        <v>0</v>
      </c>
      <c r="DD315" s="352">
        <v>97414.32</v>
      </c>
      <c r="DE315" s="352">
        <v>84884.44</v>
      </c>
      <c r="DF315" s="296">
        <v>0</v>
      </c>
      <c r="DG315" s="302">
        <v>0</v>
      </c>
      <c r="DH315" s="352">
        <v>0</v>
      </c>
      <c r="DI315" s="302">
        <v>0</v>
      </c>
      <c r="DJ315" s="302">
        <v>0</v>
      </c>
      <c r="DK315" s="302">
        <v>0</v>
      </c>
      <c r="DO315" s="367"/>
    </row>
    <row r="316" spans="2:119" ht="13">
      <c r="B316" s="294"/>
      <c r="F316" s="296"/>
      <c r="J316" s="302"/>
      <c r="R316" s="188"/>
      <c r="T316" s="295"/>
      <c r="Y316" s="188"/>
      <c r="AA316" s="295"/>
      <c r="AF316" s="188"/>
      <c r="AH316" s="295"/>
      <c r="AI316" s="188"/>
      <c r="AJ316" s="188"/>
      <c r="AK316" s="188"/>
      <c r="AL316" s="188"/>
      <c r="AM316" s="188"/>
      <c r="AN316" s="188"/>
      <c r="AO316" s="299"/>
      <c r="AS316" s="296"/>
      <c r="AW316" s="296"/>
      <c r="BN316" s="296"/>
      <c r="BO316" s="296"/>
      <c r="CX316" s="302">
        <f t="shared" si="1063"/>
        <v>112014126</v>
      </c>
      <c r="CY316" s="510">
        <v>120</v>
      </c>
      <c r="CZ316" s="302" t="s">
        <v>598</v>
      </c>
      <c r="DA316" s="352">
        <v>224895.51</v>
      </c>
      <c r="DB316" s="352">
        <v>133768.26</v>
      </c>
      <c r="DC316" s="302">
        <v>0</v>
      </c>
      <c r="DD316" s="352">
        <v>91127.25</v>
      </c>
      <c r="DE316" s="302">
        <v>0</v>
      </c>
      <c r="DF316" s="296">
        <v>0</v>
      </c>
      <c r="DG316" s="352">
        <v>0</v>
      </c>
      <c r="DH316" s="352">
        <v>0</v>
      </c>
      <c r="DI316" s="352">
        <v>0</v>
      </c>
      <c r="DJ316" s="302">
        <v>0</v>
      </c>
      <c r="DK316" s="302">
        <v>0</v>
      </c>
      <c r="DO316" s="367"/>
    </row>
    <row r="317" spans="2:119" ht="13">
      <c r="B317" s="294"/>
      <c r="F317" s="296"/>
      <c r="J317" s="302"/>
      <c r="R317" s="188"/>
      <c r="T317" s="295"/>
      <c r="Y317" s="188"/>
      <c r="AA317" s="295"/>
      <c r="AF317" s="188"/>
      <c r="AH317" s="295"/>
      <c r="AI317" s="188"/>
      <c r="AJ317" s="188"/>
      <c r="AK317" s="188"/>
      <c r="AL317" s="188"/>
      <c r="AM317" s="188"/>
      <c r="AN317" s="188"/>
      <c r="AO317" s="299"/>
      <c r="AS317" s="296"/>
      <c r="AW317" s="296"/>
      <c r="BN317" s="296"/>
      <c r="BO317" s="296"/>
      <c r="CY317" s="510">
        <v>121</v>
      </c>
      <c r="CZ317" s="302" t="s">
        <v>576</v>
      </c>
      <c r="DA317" s="352">
        <v>194048.92</v>
      </c>
      <c r="DB317" s="352">
        <v>0</v>
      </c>
      <c r="DC317" s="352">
        <v>194048.92</v>
      </c>
      <c r="DD317" s="352">
        <v>0</v>
      </c>
      <c r="DE317" s="302">
        <v>0</v>
      </c>
      <c r="DF317" s="296">
        <v>0</v>
      </c>
      <c r="DG317" s="302">
        <v>0</v>
      </c>
      <c r="DH317" s="302">
        <v>0</v>
      </c>
      <c r="DI317" s="302">
        <v>0</v>
      </c>
      <c r="DJ317" s="352">
        <v>0</v>
      </c>
      <c r="DK317" s="302">
        <v>0</v>
      </c>
      <c r="DO317" s="367"/>
    </row>
    <row r="318" spans="2:119" ht="13">
      <c r="B318" s="294"/>
      <c r="F318" s="296"/>
      <c r="J318" s="302"/>
      <c r="R318" s="188"/>
      <c r="T318" s="295"/>
      <c r="Y318" s="188"/>
      <c r="AA318" s="295"/>
      <c r="AF318" s="188"/>
      <c r="AH318" s="295"/>
      <c r="AI318" s="188"/>
      <c r="AJ318" s="188"/>
      <c r="AK318" s="188"/>
      <c r="AL318" s="188"/>
      <c r="AM318" s="188"/>
      <c r="AN318" s="188"/>
      <c r="AO318" s="299"/>
      <c r="AS318" s="296"/>
      <c r="AW318" s="296"/>
      <c r="BN318" s="296"/>
      <c r="BO318" s="296"/>
      <c r="CY318" s="510">
        <v>122</v>
      </c>
      <c r="CZ318" s="302" t="s">
        <v>607</v>
      </c>
      <c r="DA318" s="352">
        <v>181549.11</v>
      </c>
      <c r="DB318" s="352">
        <v>181549.11</v>
      </c>
      <c r="DC318" s="302">
        <v>0</v>
      </c>
      <c r="DD318" s="302">
        <v>0</v>
      </c>
      <c r="DE318" s="302">
        <v>0</v>
      </c>
      <c r="DF318" s="296">
        <v>0</v>
      </c>
      <c r="DG318" s="302">
        <v>0</v>
      </c>
      <c r="DH318" s="352">
        <v>0</v>
      </c>
      <c r="DI318" s="302">
        <v>0</v>
      </c>
      <c r="DJ318" s="302">
        <v>0</v>
      </c>
      <c r="DK318" s="302">
        <v>0</v>
      </c>
      <c r="DO318" s="367"/>
    </row>
    <row r="319" spans="2:119" ht="13">
      <c r="B319" s="294"/>
      <c r="F319" s="296"/>
      <c r="J319" s="302"/>
      <c r="R319" s="188"/>
      <c r="T319" s="295"/>
      <c r="Y319" s="188"/>
      <c r="AA319" s="295"/>
      <c r="AF319" s="188"/>
      <c r="AH319" s="295"/>
      <c r="AI319" s="188"/>
      <c r="AJ319" s="188"/>
      <c r="AK319" s="188"/>
      <c r="AL319" s="188"/>
      <c r="AM319" s="188"/>
      <c r="AN319" s="188"/>
      <c r="AO319" s="299"/>
      <c r="AS319" s="296"/>
      <c r="AW319" s="296"/>
      <c r="BN319" s="296"/>
      <c r="BO319" s="296"/>
      <c r="CY319" s="510">
        <v>123</v>
      </c>
      <c r="CZ319" s="302" t="s">
        <v>602</v>
      </c>
      <c r="DA319" s="352">
        <v>172226.62</v>
      </c>
      <c r="DB319" s="352">
        <v>42500.7</v>
      </c>
      <c r="DC319" s="302">
        <v>0</v>
      </c>
      <c r="DD319" s="302">
        <v>0</v>
      </c>
      <c r="DE319" s="302">
        <v>0</v>
      </c>
      <c r="DF319" s="296">
        <v>0</v>
      </c>
      <c r="DG319" s="302">
        <v>0</v>
      </c>
      <c r="DH319" s="352">
        <v>129725.92</v>
      </c>
      <c r="DI319" s="302">
        <v>0</v>
      </c>
      <c r="DJ319" s="302">
        <v>0</v>
      </c>
      <c r="DK319" s="302">
        <v>0</v>
      </c>
      <c r="DO319" s="367"/>
    </row>
    <row r="320" spans="2:119" ht="13">
      <c r="B320" s="294"/>
      <c r="F320" s="296"/>
      <c r="J320" s="302"/>
      <c r="R320" s="188"/>
      <c r="T320" s="295"/>
      <c r="Y320" s="188"/>
      <c r="AA320" s="295"/>
      <c r="AF320" s="188"/>
      <c r="AH320" s="295"/>
      <c r="AI320" s="188"/>
      <c r="AJ320" s="188"/>
      <c r="AK320" s="188"/>
      <c r="AL320" s="188"/>
      <c r="AM320" s="188"/>
      <c r="AN320" s="188"/>
      <c r="AO320" s="299"/>
      <c r="AS320" s="296"/>
      <c r="AW320" s="296"/>
      <c r="BN320" s="296"/>
      <c r="BO320" s="296"/>
      <c r="CY320" s="510">
        <v>124</v>
      </c>
      <c r="CZ320" s="302" t="s">
        <v>645</v>
      </c>
      <c r="DA320" s="352">
        <v>157031.04999999999</v>
      </c>
      <c r="DB320" s="352">
        <v>-78092</v>
      </c>
      <c r="DC320" s="302">
        <v>0</v>
      </c>
      <c r="DD320" s="302">
        <v>0</v>
      </c>
      <c r="DE320" s="302">
        <v>0</v>
      </c>
      <c r="DF320" s="296">
        <v>0</v>
      </c>
      <c r="DG320" s="302">
        <v>0</v>
      </c>
      <c r="DH320" s="302">
        <v>0</v>
      </c>
      <c r="DI320" s="352">
        <v>0</v>
      </c>
      <c r="DJ320" s="352">
        <v>235123.05</v>
      </c>
      <c r="DK320" s="302">
        <v>0</v>
      </c>
      <c r="DO320" s="367"/>
    </row>
    <row r="321" spans="2:119" ht="13">
      <c r="B321" s="294"/>
      <c r="F321" s="296"/>
      <c r="J321" s="302"/>
      <c r="R321" s="188"/>
      <c r="T321" s="295"/>
      <c r="Y321" s="188"/>
      <c r="AA321" s="295"/>
      <c r="AF321" s="188"/>
      <c r="AH321" s="295"/>
      <c r="AI321" s="188"/>
      <c r="AJ321" s="188"/>
      <c r="AK321" s="188"/>
      <c r="AL321" s="188"/>
      <c r="AM321" s="188"/>
      <c r="AN321" s="188"/>
      <c r="AO321" s="299"/>
      <c r="AS321" s="296"/>
      <c r="AW321" s="296"/>
      <c r="BN321" s="296"/>
      <c r="BO321" s="296"/>
      <c r="CY321" s="510">
        <v>125</v>
      </c>
      <c r="CZ321" s="302" t="s">
        <v>550</v>
      </c>
      <c r="DA321" s="352">
        <v>155741.54999999999</v>
      </c>
      <c r="DB321" s="302">
        <v>0</v>
      </c>
      <c r="DC321" s="352">
        <v>0</v>
      </c>
      <c r="DD321" s="302">
        <v>0</v>
      </c>
      <c r="DE321" s="302">
        <v>0</v>
      </c>
      <c r="DF321" s="296">
        <v>0</v>
      </c>
      <c r="DG321" s="302">
        <v>0</v>
      </c>
      <c r="DH321" s="352">
        <v>155741.54999999999</v>
      </c>
      <c r="DI321" s="302">
        <v>0</v>
      </c>
      <c r="DJ321" s="302">
        <v>0</v>
      </c>
      <c r="DK321" s="302">
        <v>0</v>
      </c>
      <c r="DO321" s="367"/>
    </row>
    <row r="322" spans="2:119" ht="13">
      <c r="B322" s="294"/>
      <c r="F322" s="296"/>
      <c r="J322" s="302"/>
      <c r="R322" s="188"/>
      <c r="T322" s="295"/>
      <c r="Y322" s="188"/>
      <c r="AA322" s="295"/>
      <c r="AF322" s="188"/>
      <c r="AH322" s="295"/>
      <c r="AI322" s="188"/>
      <c r="AJ322" s="188"/>
      <c r="AK322" s="188"/>
      <c r="AL322" s="188"/>
      <c r="AM322" s="188"/>
      <c r="AN322" s="188"/>
      <c r="AO322" s="299"/>
      <c r="AS322" s="296"/>
      <c r="AW322" s="296"/>
      <c r="BN322" s="296"/>
      <c r="BO322" s="296"/>
      <c r="CY322" s="510">
        <v>126</v>
      </c>
      <c r="CZ322" s="302" t="s">
        <v>539</v>
      </c>
      <c r="DA322" s="352">
        <v>117284.66</v>
      </c>
      <c r="DB322" s="302">
        <v>0</v>
      </c>
      <c r="DC322" s="302">
        <v>0</v>
      </c>
      <c r="DD322" s="352">
        <v>0</v>
      </c>
      <c r="DE322" s="302">
        <v>0</v>
      </c>
      <c r="DF322" s="296">
        <v>0</v>
      </c>
      <c r="DG322" s="302">
        <v>0</v>
      </c>
      <c r="DH322" s="302">
        <v>0</v>
      </c>
      <c r="DI322" s="352">
        <v>117284.66</v>
      </c>
      <c r="DJ322" s="302">
        <v>0</v>
      </c>
      <c r="DK322" s="302">
        <v>0</v>
      </c>
      <c r="DO322" s="367"/>
    </row>
    <row r="323" spans="2:119" ht="13">
      <c r="B323" s="294"/>
      <c r="F323" s="296"/>
      <c r="J323" s="302"/>
      <c r="R323" s="188"/>
      <c r="T323" s="295"/>
      <c r="Y323" s="188"/>
      <c r="AA323" s="295"/>
      <c r="AF323" s="188"/>
      <c r="AH323" s="295"/>
      <c r="AI323" s="188"/>
      <c r="AJ323" s="188"/>
      <c r="AK323" s="188"/>
      <c r="AL323" s="188"/>
      <c r="AM323" s="188"/>
      <c r="AN323" s="188"/>
      <c r="AO323" s="299"/>
      <c r="AS323" s="296"/>
      <c r="AW323" s="296"/>
      <c r="BN323" s="296"/>
      <c r="BO323" s="296"/>
      <c r="CY323" s="510">
        <v>127</v>
      </c>
      <c r="CZ323" s="302" t="s">
        <v>654</v>
      </c>
      <c r="DA323" s="352">
        <v>77304</v>
      </c>
      <c r="DB323" s="302">
        <v>0</v>
      </c>
      <c r="DC323" s="352">
        <v>77304</v>
      </c>
      <c r="DD323" s="352">
        <v>0</v>
      </c>
      <c r="DE323" s="302">
        <v>0</v>
      </c>
      <c r="DF323" s="296">
        <v>0</v>
      </c>
      <c r="DG323" s="302">
        <v>0</v>
      </c>
      <c r="DH323" s="302">
        <v>0</v>
      </c>
      <c r="DI323" s="302">
        <v>0</v>
      </c>
      <c r="DJ323" s="302">
        <v>0</v>
      </c>
      <c r="DK323" s="302">
        <v>0</v>
      </c>
      <c r="DO323" s="367"/>
    </row>
    <row r="324" spans="2:119" ht="13">
      <c r="B324" s="294"/>
      <c r="F324" s="296"/>
      <c r="J324" s="302"/>
      <c r="R324" s="188"/>
      <c r="T324" s="295"/>
      <c r="Y324" s="188"/>
      <c r="AA324" s="295"/>
      <c r="AF324" s="188"/>
      <c r="AH324" s="295"/>
      <c r="AI324" s="188"/>
      <c r="AJ324" s="188"/>
      <c r="AK324" s="188"/>
      <c r="AL324" s="188"/>
      <c r="AM324" s="188"/>
      <c r="AN324" s="188"/>
      <c r="AO324" s="299"/>
      <c r="AS324" s="296"/>
      <c r="AW324" s="296"/>
      <c r="BN324" s="296"/>
      <c r="BO324" s="296"/>
      <c r="CY324" s="510">
        <v>128</v>
      </c>
      <c r="CZ324" s="302" t="s">
        <v>450</v>
      </c>
      <c r="DA324" s="352">
        <v>69876.37</v>
      </c>
      <c r="DB324" s="302">
        <v>0</v>
      </c>
      <c r="DC324" s="302">
        <v>0</v>
      </c>
      <c r="DD324" s="352">
        <v>69876.37</v>
      </c>
      <c r="DE324" s="302">
        <v>0</v>
      </c>
      <c r="DF324" s="296">
        <v>0</v>
      </c>
      <c r="DG324" s="302">
        <v>0</v>
      </c>
      <c r="DH324" s="302">
        <v>0</v>
      </c>
      <c r="DI324" s="302">
        <v>0</v>
      </c>
      <c r="DJ324" s="302">
        <v>0</v>
      </c>
      <c r="DK324" s="302">
        <v>0</v>
      </c>
      <c r="DO324" s="367"/>
    </row>
    <row r="325" spans="2:119" ht="13">
      <c r="B325" s="294"/>
      <c r="F325" s="296"/>
      <c r="J325" s="302"/>
      <c r="R325" s="188"/>
      <c r="T325" s="295"/>
      <c r="Y325" s="188"/>
      <c r="AA325" s="295"/>
      <c r="AF325" s="188"/>
      <c r="AH325" s="295"/>
      <c r="AI325" s="188"/>
      <c r="AJ325" s="188"/>
      <c r="AK325" s="188"/>
      <c r="AL325" s="188"/>
      <c r="AM325" s="188"/>
      <c r="AN325" s="188"/>
      <c r="AO325" s="299"/>
      <c r="AS325" s="296"/>
      <c r="AW325" s="296"/>
      <c r="BN325" s="296"/>
      <c r="BO325" s="296"/>
      <c r="CY325" s="510">
        <v>129</v>
      </c>
      <c r="CZ325" s="302" t="s">
        <v>647</v>
      </c>
      <c r="DA325" s="352">
        <v>65429</v>
      </c>
      <c r="DB325" s="302">
        <v>0</v>
      </c>
      <c r="DC325" s="302">
        <v>0</v>
      </c>
      <c r="DD325" s="352">
        <v>65429</v>
      </c>
      <c r="DE325" s="302">
        <v>0</v>
      </c>
      <c r="DF325" s="296">
        <v>0</v>
      </c>
      <c r="DG325" s="302">
        <v>0</v>
      </c>
      <c r="DH325" s="352">
        <v>0</v>
      </c>
      <c r="DI325" s="302">
        <v>0</v>
      </c>
      <c r="DJ325" s="302">
        <v>0</v>
      </c>
      <c r="DK325" s="302">
        <v>0</v>
      </c>
      <c r="DO325" s="367"/>
    </row>
    <row r="326" spans="2:119" ht="13">
      <c r="B326" s="294"/>
      <c r="F326" s="296"/>
      <c r="J326" s="302"/>
      <c r="R326" s="188"/>
      <c r="T326" s="295"/>
      <c r="Y326" s="188"/>
      <c r="AA326" s="295"/>
      <c r="AF326" s="188"/>
      <c r="AH326" s="295"/>
      <c r="AI326" s="188"/>
      <c r="AJ326" s="188"/>
      <c r="AK326" s="188"/>
      <c r="AL326" s="188"/>
      <c r="AM326" s="188"/>
      <c r="AN326" s="188"/>
      <c r="AO326" s="299"/>
      <c r="AS326" s="296"/>
      <c r="AW326" s="296"/>
      <c r="BN326" s="296"/>
      <c r="BO326" s="296"/>
      <c r="CY326" s="510">
        <v>130</v>
      </c>
      <c r="CZ326" s="302" t="s">
        <v>669</v>
      </c>
      <c r="DA326" s="352">
        <v>62779.199999999997</v>
      </c>
      <c r="DB326" s="302">
        <v>0</v>
      </c>
      <c r="DC326" s="302">
        <v>0</v>
      </c>
      <c r="DD326" s="352">
        <v>62779.199999999997</v>
      </c>
      <c r="DE326" s="302">
        <v>0</v>
      </c>
      <c r="DF326" s="296">
        <v>0</v>
      </c>
      <c r="DG326" s="302">
        <v>0</v>
      </c>
      <c r="DH326" s="302">
        <v>0</v>
      </c>
      <c r="DI326" s="302">
        <v>0</v>
      </c>
      <c r="DJ326" s="302">
        <v>0</v>
      </c>
      <c r="DK326" s="302">
        <v>0</v>
      </c>
      <c r="DO326" s="367"/>
    </row>
    <row r="327" spans="2:119" ht="13">
      <c r="B327" s="294"/>
      <c r="F327" s="296"/>
      <c r="J327" s="302"/>
      <c r="R327" s="188"/>
      <c r="T327" s="295"/>
      <c r="Y327" s="188"/>
      <c r="AA327" s="295"/>
      <c r="AF327" s="188"/>
      <c r="AH327" s="295"/>
      <c r="AI327" s="188"/>
      <c r="AJ327" s="188"/>
      <c r="AK327" s="188"/>
      <c r="AL327" s="188"/>
      <c r="AM327" s="188"/>
      <c r="AN327" s="188"/>
      <c r="AO327" s="299"/>
      <c r="AS327" s="296"/>
      <c r="AW327" s="296"/>
      <c r="BN327" s="296"/>
      <c r="BO327" s="296"/>
      <c r="CY327" s="510">
        <v>131</v>
      </c>
      <c r="CZ327" s="302" t="s">
        <v>572</v>
      </c>
      <c r="DA327" s="352">
        <v>31057.599999999999</v>
      </c>
      <c r="DB327" s="302">
        <v>0</v>
      </c>
      <c r="DC327" s="302">
        <v>0</v>
      </c>
      <c r="DD327" s="302">
        <v>0</v>
      </c>
      <c r="DE327" s="302">
        <v>0</v>
      </c>
      <c r="DF327" s="296">
        <v>0</v>
      </c>
      <c r="DG327" s="302">
        <v>0</v>
      </c>
      <c r="DH327" s="352">
        <v>31057.599999999999</v>
      </c>
      <c r="DI327" s="302">
        <v>0</v>
      </c>
      <c r="DJ327" s="302">
        <v>0</v>
      </c>
      <c r="DK327" s="302">
        <v>0</v>
      </c>
      <c r="DO327" s="367"/>
    </row>
    <row r="328" spans="2:119" ht="13">
      <c r="B328" s="294"/>
      <c r="F328" s="296"/>
      <c r="J328" s="302"/>
      <c r="R328" s="188"/>
      <c r="T328" s="295"/>
      <c r="Y328" s="188"/>
      <c r="AA328" s="295"/>
      <c r="AF328" s="188"/>
      <c r="AH328" s="295"/>
      <c r="AI328" s="188"/>
      <c r="AJ328" s="188"/>
      <c r="AK328" s="188"/>
      <c r="AL328" s="188"/>
      <c r="AM328" s="188"/>
      <c r="AN328" s="188"/>
      <c r="AO328" s="299"/>
      <c r="AS328" s="296"/>
      <c r="AW328" s="296"/>
      <c r="BN328" s="296"/>
      <c r="BO328" s="296"/>
      <c r="CY328" s="510">
        <v>132</v>
      </c>
      <c r="CZ328" s="302" t="s">
        <v>547</v>
      </c>
      <c r="DA328" s="302">
        <v>0</v>
      </c>
      <c r="DB328" s="302">
        <v>0</v>
      </c>
      <c r="DC328" s="302">
        <v>0</v>
      </c>
      <c r="DD328" s="302">
        <v>0</v>
      </c>
      <c r="DE328" s="302">
        <v>0</v>
      </c>
      <c r="DF328" s="296">
        <v>0</v>
      </c>
      <c r="DG328" s="302">
        <v>0</v>
      </c>
      <c r="DH328" s="302">
        <v>0</v>
      </c>
      <c r="DI328" s="302">
        <v>0</v>
      </c>
      <c r="DJ328" s="302">
        <v>0</v>
      </c>
      <c r="DK328" s="302">
        <v>0</v>
      </c>
      <c r="DO328" s="367"/>
    </row>
    <row r="329" spans="2:119" ht="13">
      <c r="B329" s="294"/>
      <c r="F329" s="296"/>
      <c r="J329" s="302"/>
      <c r="R329" s="188"/>
      <c r="T329" s="295"/>
      <c r="Y329" s="188"/>
      <c r="AA329" s="295"/>
      <c r="AF329" s="188"/>
      <c r="AH329" s="295"/>
      <c r="AI329" s="188"/>
      <c r="AJ329" s="188"/>
      <c r="AK329" s="188"/>
      <c r="AL329" s="188"/>
      <c r="AM329" s="188"/>
      <c r="AN329" s="188"/>
      <c r="AO329" s="299"/>
      <c r="AS329" s="296"/>
      <c r="AW329" s="296"/>
      <c r="BN329" s="296"/>
      <c r="BO329" s="296"/>
      <c r="CY329" s="510">
        <v>133</v>
      </c>
      <c r="CZ329" s="302" t="s">
        <v>670</v>
      </c>
      <c r="DA329" s="302">
        <v>0</v>
      </c>
      <c r="DB329" s="302">
        <v>0</v>
      </c>
      <c r="DC329" s="302">
        <v>0</v>
      </c>
      <c r="DD329" s="302">
        <v>0</v>
      </c>
      <c r="DE329" s="302">
        <v>0</v>
      </c>
      <c r="DF329" s="296">
        <v>0</v>
      </c>
      <c r="DG329" s="302">
        <v>0</v>
      </c>
      <c r="DH329" s="302">
        <v>0</v>
      </c>
      <c r="DI329" s="302">
        <v>0</v>
      </c>
      <c r="DJ329" s="302">
        <v>0</v>
      </c>
      <c r="DK329" s="302">
        <v>0</v>
      </c>
      <c r="DO329" s="367"/>
    </row>
    <row r="330" spans="2:119" ht="13">
      <c r="B330" s="294"/>
      <c r="F330" s="296"/>
      <c r="J330" s="302"/>
      <c r="R330" s="188"/>
      <c r="T330" s="295"/>
      <c r="Y330" s="188"/>
      <c r="AA330" s="295"/>
      <c r="AF330" s="188"/>
      <c r="AH330" s="295"/>
      <c r="AI330" s="188"/>
      <c r="AJ330" s="188"/>
      <c r="AK330" s="188"/>
      <c r="AL330" s="188"/>
      <c r="AM330" s="188"/>
      <c r="AN330" s="188"/>
      <c r="AO330" s="299"/>
      <c r="AS330" s="296"/>
      <c r="AW330" s="296"/>
      <c r="BN330" s="296"/>
      <c r="BO330" s="296"/>
      <c r="CY330" s="510">
        <v>134</v>
      </c>
      <c r="DF330" s="296"/>
      <c r="DO330" s="367"/>
    </row>
    <row r="331" spans="2:119" ht="13">
      <c r="B331" s="294"/>
      <c r="F331" s="296"/>
      <c r="J331" s="302"/>
      <c r="R331" s="188"/>
      <c r="T331" s="295"/>
      <c r="Y331" s="188"/>
      <c r="AA331" s="295"/>
      <c r="AF331" s="188"/>
      <c r="AH331" s="295"/>
      <c r="AI331" s="188"/>
      <c r="AJ331" s="188"/>
      <c r="AK331" s="188"/>
      <c r="AL331" s="188"/>
      <c r="AM331" s="188"/>
      <c r="AN331" s="188"/>
      <c r="AO331" s="299"/>
      <c r="AS331" s="296"/>
      <c r="AW331" s="296"/>
      <c r="BN331" s="296"/>
      <c r="BO331" s="296"/>
      <c r="CY331" s="510">
        <v>135</v>
      </c>
      <c r="DF331" s="296"/>
      <c r="DO331" s="367"/>
    </row>
    <row r="332" spans="2:119" ht="13">
      <c r="B332" s="294"/>
      <c r="F332" s="296"/>
      <c r="J332" s="302"/>
      <c r="R332" s="188"/>
      <c r="T332" s="295"/>
      <c r="Y332" s="188"/>
      <c r="AA332" s="295"/>
      <c r="AF332" s="188"/>
      <c r="AH332" s="295"/>
      <c r="AI332" s="188"/>
      <c r="AJ332" s="188"/>
      <c r="AK332" s="188"/>
      <c r="AL332" s="188"/>
      <c r="AM332" s="188"/>
      <c r="AN332" s="188"/>
      <c r="AO332" s="299"/>
      <c r="AS332" s="296"/>
      <c r="AW332" s="296"/>
      <c r="BN332" s="296"/>
      <c r="BO332" s="296"/>
      <c r="CY332" s="510">
        <v>136</v>
      </c>
      <c r="DF332" s="296"/>
      <c r="DO332" s="367"/>
    </row>
    <row r="333" spans="2:119" ht="13">
      <c r="B333" s="294"/>
      <c r="F333" s="296"/>
      <c r="J333" s="302"/>
      <c r="R333" s="188"/>
      <c r="T333" s="295"/>
      <c r="Y333" s="188"/>
      <c r="AA333" s="295"/>
      <c r="AF333" s="188"/>
      <c r="AH333" s="295"/>
      <c r="AI333" s="188"/>
      <c r="AJ333" s="188"/>
      <c r="AK333" s="188"/>
      <c r="AL333" s="188"/>
      <c r="AM333" s="188"/>
      <c r="AN333" s="188"/>
      <c r="AO333" s="299"/>
      <c r="AS333" s="296"/>
      <c r="AW333" s="296"/>
      <c r="BN333" s="296"/>
      <c r="BO333" s="296"/>
      <c r="CY333" s="510">
        <v>137</v>
      </c>
      <c r="DF333" s="296"/>
      <c r="DO333" s="367"/>
    </row>
    <row r="334" spans="2:119" ht="13">
      <c r="B334" s="294"/>
      <c r="F334" s="296"/>
      <c r="J334" s="302"/>
      <c r="R334" s="188"/>
      <c r="T334" s="295"/>
      <c r="Y334" s="188"/>
      <c r="AA334" s="295"/>
      <c r="AF334" s="188"/>
      <c r="AH334" s="295"/>
      <c r="AI334" s="188"/>
      <c r="AJ334" s="188"/>
      <c r="AK334" s="188"/>
      <c r="AL334" s="188"/>
      <c r="AM334" s="188"/>
      <c r="AN334" s="188"/>
      <c r="AO334" s="299"/>
      <c r="AS334" s="296"/>
      <c r="AW334" s="296"/>
      <c r="BN334" s="296"/>
      <c r="BO334" s="296"/>
      <c r="CY334" s="510">
        <v>138</v>
      </c>
      <c r="DF334" s="296"/>
      <c r="DO334" s="367"/>
    </row>
    <row r="335" spans="2:119" ht="13">
      <c r="B335" s="294"/>
      <c r="F335" s="296"/>
      <c r="J335" s="302"/>
      <c r="R335" s="188"/>
      <c r="T335" s="295"/>
      <c r="Y335" s="188"/>
      <c r="AA335" s="295"/>
      <c r="AF335" s="188"/>
      <c r="AH335" s="295"/>
      <c r="AI335" s="188"/>
      <c r="AJ335" s="188"/>
      <c r="AK335" s="188"/>
      <c r="AL335" s="188"/>
      <c r="AM335" s="188"/>
      <c r="AN335" s="188"/>
      <c r="AO335" s="299"/>
      <c r="AS335" s="296"/>
      <c r="AW335" s="296"/>
      <c r="BN335" s="296"/>
      <c r="BO335" s="296"/>
      <c r="CY335" s="510">
        <v>139</v>
      </c>
      <c r="DF335" s="296"/>
      <c r="DO335" s="367"/>
    </row>
    <row r="336" spans="2:119" ht="13">
      <c r="B336" s="294"/>
      <c r="F336" s="296"/>
      <c r="J336" s="302"/>
      <c r="R336" s="188"/>
      <c r="T336" s="295"/>
      <c r="Y336" s="188"/>
      <c r="AA336" s="295"/>
      <c r="AF336" s="188"/>
      <c r="AH336" s="295"/>
      <c r="AI336" s="188"/>
      <c r="AJ336" s="188"/>
      <c r="AK336" s="188"/>
      <c r="AL336" s="188"/>
      <c r="AM336" s="188"/>
      <c r="AN336" s="188"/>
      <c r="AO336" s="299"/>
      <c r="AS336" s="296"/>
      <c r="AW336" s="296"/>
      <c r="BN336" s="296"/>
      <c r="BO336" s="296"/>
      <c r="CY336" s="510">
        <v>140</v>
      </c>
      <c r="DF336" s="296"/>
      <c r="DO336" s="367"/>
    </row>
    <row r="337" spans="2:119" ht="13">
      <c r="B337" s="294"/>
      <c r="F337" s="296"/>
      <c r="J337" s="302"/>
      <c r="R337" s="188"/>
      <c r="T337" s="295"/>
      <c r="Y337" s="188"/>
      <c r="AA337" s="295"/>
      <c r="AF337" s="188"/>
      <c r="AH337" s="295"/>
      <c r="AI337" s="188"/>
      <c r="AJ337" s="188"/>
      <c r="AK337" s="188"/>
      <c r="AL337" s="188"/>
      <c r="AM337" s="188"/>
      <c r="AN337" s="188"/>
      <c r="AO337" s="299"/>
      <c r="AS337" s="296"/>
      <c r="AW337" s="296"/>
      <c r="BN337" s="296"/>
      <c r="BO337" s="296"/>
      <c r="CY337" s="512">
        <v>141</v>
      </c>
      <c r="CZ337" s="369"/>
      <c r="DA337" s="369"/>
      <c r="DB337" s="369"/>
      <c r="DC337" s="369"/>
      <c r="DD337" s="369"/>
      <c r="DE337" s="369"/>
      <c r="DF337" s="812"/>
      <c r="DG337" s="369"/>
      <c r="DH337" s="369"/>
      <c r="DI337" s="369"/>
      <c r="DJ337" s="369"/>
      <c r="DK337" s="369"/>
      <c r="DL337" s="369"/>
      <c r="DM337" s="369"/>
      <c r="DN337" s="369"/>
      <c r="DO337" s="370"/>
    </row>
    <row r="338" spans="2:119" ht="13">
      <c r="B338" s="294"/>
      <c r="F338" s="296"/>
      <c r="J338" s="302"/>
      <c r="R338" s="188"/>
      <c r="T338" s="295"/>
      <c r="Y338" s="188"/>
      <c r="AA338" s="295"/>
      <c r="AF338" s="188"/>
      <c r="AH338" s="295"/>
      <c r="AI338" s="188"/>
      <c r="AJ338" s="188"/>
      <c r="AK338" s="188"/>
      <c r="AL338" s="188"/>
      <c r="AM338" s="188"/>
      <c r="AN338" s="188"/>
      <c r="AO338" s="299"/>
      <c r="AS338" s="296"/>
      <c r="AW338" s="296"/>
      <c r="BN338" s="296"/>
      <c r="BO338" s="296"/>
      <c r="CY338" s="294"/>
      <c r="DF338" s="296"/>
    </row>
    <row r="339" spans="2:119" ht="13">
      <c r="B339" s="294"/>
      <c r="F339" s="296"/>
      <c r="J339" s="302"/>
      <c r="R339" s="188"/>
      <c r="T339" s="295"/>
      <c r="Y339" s="188"/>
      <c r="AA339" s="295"/>
      <c r="AF339" s="188"/>
      <c r="AH339" s="295"/>
      <c r="AI339" s="188"/>
      <c r="AJ339" s="188"/>
      <c r="AK339" s="188"/>
      <c r="AL339" s="188"/>
      <c r="AM339" s="188"/>
      <c r="AN339" s="188"/>
      <c r="AO339" s="299"/>
      <c r="AS339" s="296"/>
      <c r="AW339" s="296"/>
      <c r="BN339" s="296"/>
      <c r="BO339" s="296"/>
      <c r="CY339" s="294"/>
      <c r="DB339" s="352">
        <f>DB343-Q161</f>
        <v>-3.0000001192092896E-2</v>
      </c>
      <c r="DC339" s="352">
        <f>DC343-X161</f>
        <v>-1.0000020265579224E-2</v>
      </c>
      <c r="DD339" s="352">
        <f>DD343-AE161</f>
        <v>-2.000001072883606E-2</v>
      </c>
      <c r="DE339" s="352">
        <f>DE343-AR161</f>
        <v>9.9999979138374329E-3</v>
      </c>
      <c r="DF339" s="296">
        <f>DF343-AV161</f>
        <v>0</v>
      </c>
      <c r="DG339" s="352">
        <f>DG343-AZ161</f>
        <v>0</v>
      </c>
      <c r="DH339" s="296">
        <f>BJ161-DH343</f>
        <v>0</v>
      </c>
      <c r="DI339" s="352">
        <f>DI343-BN161</f>
        <v>0</v>
      </c>
      <c r="DJ339" s="352">
        <f>DJ343-BR161</f>
        <v>-1.9999995827674866E-2</v>
      </c>
    </row>
    <row r="340" spans="2:119" ht="13">
      <c r="B340" s="294"/>
      <c r="F340" s="296"/>
      <c r="J340" s="302"/>
      <c r="R340" s="188"/>
      <c r="T340" s="295"/>
      <c r="Y340" s="188"/>
      <c r="AA340" s="295"/>
      <c r="AF340" s="188"/>
      <c r="AH340" s="295"/>
      <c r="AI340" s="188"/>
      <c r="AJ340" s="188"/>
      <c r="AK340" s="188"/>
      <c r="AL340" s="188"/>
      <c r="AM340" s="188"/>
      <c r="AN340" s="188"/>
      <c r="AO340" s="299"/>
      <c r="AS340" s="296"/>
      <c r="AW340" s="296"/>
      <c r="BN340" s="296"/>
      <c r="BO340" s="296"/>
      <c r="CY340" s="371"/>
      <c r="CZ340" s="372">
        <v>1</v>
      </c>
      <c r="DA340" s="372">
        <v>2</v>
      </c>
      <c r="DB340" s="372">
        <v>3</v>
      </c>
      <c r="DC340" s="372">
        <v>4</v>
      </c>
      <c r="DD340" s="372">
        <v>5</v>
      </c>
      <c r="DE340" s="372">
        <v>6</v>
      </c>
      <c r="DF340" s="813">
        <v>7</v>
      </c>
      <c r="DG340" s="372">
        <v>8</v>
      </c>
      <c r="DH340" s="372">
        <v>9</v>
      </c>
      <c r="DI340" s="372">
        <v>10</v>
      </c>
      <c r="DJ340" s="372">
        <v>11</v>
      </c>
      <c r="DK340" s="372">
        <v>12</v>
      </c>
      <c r="DL340" s="372">
        <v>13</v>
      </c>
      <c r="DM340" s="372">
        <v>14</v>
      </c>
      <c r="DN340" s="372">
        <v>15</v>
      </c>
      <c r="DO340" s="373">
        <v>16</v>
      </c>
    </row>
    <row r="341" spans="2:119" ht="13">
      <c r="B341" s="294"/>
      <c r="F341" s="296"/>
      <c r="J341" s="302"/>
      <c r="R341" s="188"/>
      <c r="T341" s="295"/>
      <c r="Y341" s="188"/>
      <c r="AA341" s="295"/>
      <c r="AF341" s="188"/>
      <c r="AH341" s="295"/>
      <c r="AI341" s="188"/>
      <c r="AJ341" s="188"/>
      <c r="AK341" s="188"/>
      <c r="AL341" s="188"/>
      <c r="AM341" s="188"/>
      <c r="AN341" s="188"/>
      <c r="AO341" s="299"/>
      <c r="AS341" s="296"/>
      <c r="AW341" s="296"/>
      <c r="BN341" s="296"/>
      <c r="BO341" s="296"/>
      <c r="CY341" s="374"/>
      <c r="DB341" s="357">
        <v>45658</v>
      </c>
      <c r="DC341" s="357">
        <v>45689</v>
      </c>
      <c r="DD341" s="357">
        <v>45717</v>
      </c>
      <c r="DE341" s="357">
        <v>45748</v>
      </c>
      <c r="DF341" s="814">
        <v>45778</v>
      </c>
      <c r="DG341" s="357">
        <v>45809</v>
      </c>
      <c r="DH341" s="357">
        <v>45839</v>
      </c>
      <c r="DI341" s="357">
        <v>45870</v>
      </c>
      <c r="DJ341" s="357">
        <v>45901</v>
      </c>
      <c r="DK341" s="357">
        <v>45931</v>
      </c>
      <c r="DL341" s="357">
        <v>45962</v>
      </c>
      <c r="DM341" s="357">
        <v>45992</v>
      </c>
      <c r="DN341" s="357"/>
      <c r="DO341" s="375"/>
    </row>
    <row r="342" spans="2:119" ht="13">
      <c r="B342" s="294"/>
      <c r="F342" s="296"/>
      <c r="J342" s="302"/>
      <c r="R342" s="188"/>
      <c r="T342" s="295"/>
      <c r="Y342" s="188"/>
      <c r="AA342" s="295"/>
      <c r="AF342" s="188"/>
      <c r="AH342" s="295"/>
      <c r="AI342" s="188"/>
      <c r="AJ342" s="188"/>
      <c r="AK342" s="188"/>
      <c r="AL342" s="188"/>
      <c r="AM342" s="188"/>
      <c r="AN342" s="188"/>
      <c r="AO342" s="299"/>
      <c r="AS342" s="296"/>
      <c r="AW342" s="296"/>
      <c r="BN342" s="296"/>
      <c r="BO342" s="296"/>
      <c r="CY342" s="374"/>
      <c r="CZ342" s="376"/>
      <c r="DA342" s="377" t="s">
        <v>241</v>
      </c>
      <c r="DB342" s="360">
        <v>45658</v>
      </c>
      <c r="DC342" s="360">
        <v>45689</v>
      </c>
      <c r="DD342" s="360">
        <v>45717</v>
      </c>
      <c r="DE342" s="360">
        <v>45748</v>
      </c>
      <c r="DF342" s="360">
        <v>45778</v>
      </c>
      <c r="DG342" s="360">
        <v>45809</v>
      </c>
      <c r="DH342" s="360">
        <v>45839</v>
      </c>
      <c r="DI342" s="360">
        <v>45870</v>
      </c>
      <c r="DJ342" s="360">
        <v>45901</v>
      </c>
      <c r="DK342" s="360">
        <v>45931</v>
      </c>
      <c r="DL342" s="360"/>
      <c r="DM342" s="360"/>
      <c r="DN342" s="357"/>
      <c r="DO342" s="375"/>
    </row>
    <row r="343" spans="2:119" ht="13">
      <c r="B343" s="294"/>
      <c r="F343" s="296"/>
      <c r="J343" s="302"/>
      <c r="R343" s="188"/>
      <c r="T343" s="295"/>
      <c r="Y343" s="188"/>
      <c r="AA343" s="295"/>
      <c r="AF343" s="188"/>
      <c r="AH343" s="295"/>
      <c r="AI343" s="188"/>
      <c r="AJ343" s="188"/>
      <c r="AK343" s="188"/>
      <c r="AL343" s="188"/>
      <c r="AM343" s="188"/>
      <c r="AN343" s="188"/>
      <c r="AO343" s="299"/>
      <c r="AS343" s="296"/>
      <c r="AW343" s="296"/>
      <c r="BN343" s="296"/>
      <c r="BO343" s="296"/>
      <c r="CY343" s="374"/>
      <c r="CZ343" s="359" t="s">
        <v>241</v>
      </c>
      <c r="DA343" s="361">
        <v>698368069.98000002</v>
      </c>
      <c r="DB343" s="361">
        <v>91569598.799999997</v>
      </c>
      <c r="DC343" s="361">
        <v>69319479.790000007</v>
      </c>
      <c r="DD343" s="361">
        <v>67815197.420000002</v>
      </c>
      <c r="DE343" s="361">
        <v>60152969.840000004</v>
      </c>
      <c r="DF343" s="811">
        <v>68621413.349999994</v>
      </c>
      <c r="DG343" s="361">
        <v>76707193.170000002</v>
      </c>
      <c r="DH343" s="361">
        <v>69734461.090000004</v>
      </c>
      <c r="DI343" s="361">
        <v>76513677.109999999</v>
      </c>
      <c r="DJ343" s="361">
        <v>58840592.670000002</v>
      </c>
      <c r="DK343" s="361">
        <v>59093486.75</v>
      </c>
      <c r="DL343" s="361"/>
      <c r="DM343" s="361"/>
      <c r="DN343" s="361"/>
      <c r="DO343" s="378"/>
    </row>
    <row r="344" spans="2:119" ht="13">
      <c r="B344" s="294"/>
      <c r="F344" s="296"/>
      <c r="J344" s="302"/>
      <c r="R344" s="188"/>
      <c r="T344" s="295"/>
      <c r="Y344" s="188"/>
      <c r="AA344" s="295"/>
      <c r="AF344" s="188"/>
      <c r="AH344" s="295"/>
      <c r="AI344" s="188"/>
      <c r="AJ344" s="188"/>
      <c r="AK344" s="188"/>
      <c r="AL344" s="188"/>
      <c r="AM344" s="188"/>
      <c r="AN344" s="188"/>
      <c r="AO344" s="299"/>
      <c r="AS344" s="296"/>
      <c r="AW344" s="296"/>
      <c r="BN344" s="296"/>
      <c r="BO344" s="296"/>
      <c r="CX344" s="302">
        <f t="shared" ref="CX344:CX375" si="1064">VLOOKUP(CZ344,LAGECARTERA,3,FALSE)</f>
        <v>112014170</v>
      </c>
      <c r="CY344" s="374">
        <v>1</v>
      </c>
      <c r="CZ344" s="359" t="s">
        <v>513</v>
      </c>
      <c r="DA344" s="361">
        <v>71167658.329999998</v>
      </c>
      <c r="DB344" s="361">
        <v>6488649.1100000003</v>
      </c>
      <c r="DC344" s="361">
        <v>9853520.75</v>
      </c>
      <c r="DD344" s="361">
        <v>9248954.1899999995</v>
      </c>
      <c r="DE344" s="361">
        <v>3838688.7</v>
      </c>
      <c r="DF344" s="811">
        <v>7008377.9199999999</v>
      </c>
      <c r="DG344" s="361">
        <v>7466791.6100000003</v>
      </c>
      <c r="DH344" s="361">
        <v>6870620.9900000002</v>
      </c>
      <c r="DI344" s="361">
        <v>8954483.6899999995</v>
      </c>
      <c r="DJ344" s="361">
        <v>8501857.4399999995</v>
      </c>
      <c r="DK344" s="361">
        <v>2935713.94</v>
      </c>
      <c r="DL344" s="361"/>
      <c r="DM344" s="361"/>
      <c r="DN344" s="361"/>
      <c r="DO344" s="378"/>
    </row>
    <row r="345" spans="2:119" ht="13">
      <c r="B345" s="294"/>
      <c r="F345" s="296"/>
      <c r="J345" s="302"/>
      <c r="R345" s="188"/>
      <c r="T345" s="295"/>
      <c r="Y345" s="188"/>
      <c r="AA345" s="295"/>
      <c r="AF345" s="188"/>
      <c r="AH345" s="295"/>
      <c r="AI345" s="188"/>
      <c r="AJ345" s="188"/>
      <c r="AK345" s="188"/>
      <c r="AL345" s="188"/>
      <c r="AM345" s="188"/>
      <c r="AN345" s="188"/>
      <c r="AO345" s="299"/>
      <c r="AS345" s="296"/>
      <c r="AW345" s="296"/>
      <c r="BN345" s="296"/>
      <c r="BO345" s="296"/>
      <c r="CX345" s="302">
        <f t="shared" si="1064"/>
        <v>112012718</v>
      </c>
      <c r="CY345" s="374">
        <v>2</v>
      </c>
      <c r="CZ345" s="359" t="s">
        <v>555</v>
      </c>
      <c r="DA345" s="361">
        <v>50771495.119999997</v>
      </c>
      <c r="DB345" s="361">
        <v>3455111.26</v>
      </c>
      <c r="DC345" s="361">
        <v>7325224.3099999996</v>
      </c>
      <c r="DD345" s="361">
        <v>6802002.5999999996</v>
      </c>
      <c r="DE345" s="361">
        <v>3719540.75</v>
      </c>
      <c r="DF345" s="811">
        <v>12600566.210000001</v>
      </c>
      <c r="DG345" s="361">
        <v>18007873.579999998</v>
      </c>
      <c r="DH345" s="361">
        <v>-1402306.91</v>
      </c>
      <c r="DI345" s="361">
        <v>0</v>
      </c>
      <c r="DJ345" s="361">
        <v>0</v>
      </c>
      <c r="DK345" s="361">
        <v>263483.33</v>
      </c>
      <c r="DL345" s="361"/>
      <c r="DM345" s="361"/>
      <c r="DN345" s="361"/>
      <c r="DO345" s="378"/>
    </row>
    <row r="346" spans="2:119" ht="13">
      <c r="B346" s="294"/>
      <c r="F346" s="296"/>
      <c r="J346" s="302"/>
      <c r="R346" s="188"/>
      <c r="T346" s="295"/>
      <c r="Y346" s="188"/>
      <c r="AA346" s="295"/>
      <c r="AF346" s="188"/>
      <c r="AH346" s="295"/>
      <c r="AI346" s="188"/>
      <c r="AJ346" s="188"/>
      <c r="AK346" s="188"/>
      <c r="AL346" s="188"/>
      <c r="AM346" s="188"/>
      <c r="AN346" s="188"/>
      <c r="AO346" s="299"/>
      <c r="AS346" s="296"/>
      <c r="AW346" s="296"/>
      <c r="BN346" s="296"/>
      <c r="BO346" s="296"/>
      <c r="CX346" s="302">
        <f t="shared" si="1064"/>
        <v>112014505</v>
      </c>
      <c r="CY346" s="374">
        <v>3</v>
      </c>
      <c r="CZ346" s="359" t="s">
        <v>509</v>
      </c>
      <c r="DA346" s="361">
        <v>40107861.939999998</v>
      </c>
      <c r="DB346" s="361">
        <v>29471369.289999999</v>
      </c>
      <c r="DC346" s="361">
        <v>-142788.07999999999</v>
      </c>
      <c r="DD346" s="361">
        <v>5429592.1500000004</v>
      </c>
      <c r="DE346" s="361">
        <v>353579.15</v>
      </c>
      <c r="DF346" s="811">
        <v>0</v>
      </c>
      <c r="DG346" s="361">
        <v>0</v>
      </c>
      <c r="DH346" s="361">
        <v>775117.57</v>
      </c>
      <c r="DI346" s="361">
        <v>2267575.7400000002</v>
      </c>
      <c r="DJ346" s="361">
        <v>150440.26</v>
      </c>
      <c r="DK346" s="361">
        <v>1802975.86</v>
      </c>
      <c r="DL346" s="361"/>
      <c r="DM346" s="361"/>
      <c r="DN346" s="361"/>
      <c r="DO346" s="378"/>
    </row>
    <row r="347" spans="2:119" ht="13">
      <c r="B347" s="294"/>
      <c r="F347" s="296"/>
      <c r="J347" s="302"/>
      <c r="R347" s="188"/>
      <c r="T347" s="295"/>
      <c r="Y347" s="188"/>
      <c r="AA347" s="295"/>
      <c r="AF347" s="188"/>
      <c r="AH347" s="295"/>
      <c r="AI347" s="188"/>
      <c r="AJ347" s="188"/>
      <c r="AK347" s="188"/>
      <c r="AL347" s="188"/>
      <c r="AM347" s="188"/>
      <c r="AN347" s="188"/>
      <c r="AO347" s="299"/>
      <c r="AS347" s="296"/>
      <c r="AW347" s="296"/>
      <c r="BN347" s="296"/>
      <c r="BO347" s="296"/>
      <c r="CX347" s="302">
        <f t="shared" si="1064"/>
        <v>112013279</v>
      </c>
      <c r="CY347" s="374">
        <v>4</v>
      </c>
      <c r="CZ347" s="359" t="s">
        <v>521</v>
      </c>
      <c r="DA347" s="361">
        <v>38885332.590000004</v>
      </c>
      <c r="DB347" s="361">
        <v>3534645.88</v>
      </c>
      <c r="DC347" s="361">
        <v>3031729.38</v>
      </c>
      <c r="DD347" s="361">
        <v>3408598.04</v>
      </c>
      <c r="DE347" s="361">
        <v>4159508.58</v>
      </c>
      <c r="DF347" s="811">
        <v>3016822.23</v>
      </c>
      <c r="DG347" s="361">
        <v>4682468.45</v>
      </c>
      <c r="DH347" s="361">
        <v>5254929.2</v>
      </c>
      <c r="DI347" s="361">
        <v>3467323.01</v>
      </c>
      <c r="DJ347" s="361">
        <v>5077615.82</v>
      </c>
      <c r="DK347" s="361">
        <v>3251692</v>
      </c>
      <c r="DL347" s="361"/>
      <c r="DM347" s="361"/>
      <c r="DN347" s="361"/>
      <c r="DO347" s="378"/>
    </row>
    <row r="348" spans="2:119" ht="13">
      <c r="B348" s="294"/>
      <c r="F348" s="296"/>
      <c r="J348" s="302"/>
      <c r="R348" s="188"/>
      <c r="T348" s="295"/>
      <c r="Y348" s="188"/>
      <c r="AA348" s="295"/>
      <c r="AF348" s="188"/>
      <c r="AH348" s="295"/>
      <c r="AI348" s="188"/>
      <c r="AJ348" s="188"/>
      <c r="AK348" s="188"/>
      <c r="AL348" s="188"/>
      <c r="AM348" s="188"/>
      <c r="AN348" s="188"/>
      <c r="AO348" s="299"/>
      <c r="AS348" s="296"/>
      <c r="AW348" s="296"/>
      <c r="BN348" s="296"/>
      <c r="BO348" s="296"/>
      <c r="CX348" s="302">
        <f t="shared" si="1064"/>
        <v>112010947</v>
      </c>
      <c r="CY348" s="374">
        <v>5</v>
      </c>
      <c r="CZ348" s="359" t="s">
        <v>604</v>
      </c>
      <c r="DA348" s="361">
        <v>37371765.369999997</v>
      </c>
      <c r="DB348" s="361">
        <v>0</v>
      </c>
      <c r="DC348" s="361">
        <v>0</v>
      </c>
      <c r="DD348" s="361">
        <v>4770651.2</v>
      </c>
      <c r="DE348" s="361">
        <v>4390288.24</v>
      </c>
      <c r="DF348" s="811">
        <v>4697440.32</v>
      </c>
      <c r="DG348" s="361">
        <v>3893422.88</v>
      </c>
      <c r="DH348" s="361">
        <v>4430698</v>
      </c>
      <c r="DI348" s="361">
        <v>3426485.68</v>
      </c>
      <c r="DJ348" s="361">
        <v>6223853.2800000003</v>
      </c>
      <c r="DK348" s="361">
        <v>5538925.7699999996</v>
      </c>
      <c r="DL348" s="361"/>
      <c r="DM348" s="361"/>
      <c r="DN348" s="361"/>
      <c r="DO348" s="378"/>
    </row>
    <row r="349" spans="2:119" ht="13">
      <c r="B349" s="294"/>
      <c r="F349" s="296"/>
      <c r="J349" s="302"/>
      <c r="R349" s="188"/>
      <c r="T349" s="295"/>
      <c r="Y349" s="188"/>
      <c r="AA349" s="295"/>
      <c r="AF349" s="188"/>
      <c r="AH349" s="295"/>
      <c r="AI349" s="188"/>
      <c r="AJ349" s="188"/>
      <c r="AK349" s="188"/>
      <c r="AL349" s="188"/>
      <c r="AM349" s="188"/>
      <c r="AN349" s="188"/>
      <c r="AO349" s="299"/>
      <c r="AS349" s="296"/>
      <c r="AW349" s="296"/>
      <c r="BN349" s="296"/>
      <c r="BO349" s="296"/>
      <c r="CX349" s="302">
        <f t="shared" si="1064"/>
        <v>112014643</v>
      </c>
      <c r="CY349" s="374">
        <v>6</v>
      </c>
      <c r="CZ349" s="359" t="s">
        <v>562</v>
      </c>
      <c r="DA349" s="361">
        <v>36408640.979999997</v>
      </c>
      <c r="DB349" s="361">
        <v>2885277.32</v>
      </c>
      <c r="DC349" s="361">
        <v>3487376.51</v>
      </c>
      <c r="DD349" s="361">
        <v>4002555.74</v>
      </c>
      <c r="DE349" s="361">
        <v>4694999.3899999997</v>
      </c>
      <c r="DF349" s="811">
        <v>1024979.96</v>
      </c>
      <c r="DG349" s="361">
        <v>4037264.23</v>
      </c>
      <c r="DH349" s="361">
        <v>4120057.79</v>
      </c>
      <c r="DI349" s="361">
        <v>4405073.21</v>
      </c>
      <c r="DJ349" s="361">
        <v>5795633.7699999996</v>
      </c>
      <c r="DK349" s="361">
        <v>1955423.08</v>
      </c>
      <c r="DL349" s="361"/>
      <c r="DM349" s="361"/>
      <c r="DN349" s="361"/>
      <c r="DO349" s="378"/>
    </row>
    <row r="350" spans="2:119" ht="13">
      <c r="B350" s="294"/>
      <c r="F350" s="296"/>
      <c r="J350" s="302"/>
      <c r="R350" s="188"/>
      <c r="T350" s="295"/>
      <c r="Y350" s="188"/>
      <c r="AA350" s="295"/>
      <c r="AF350" s="188"/>
      <c r="AH350" s="295"/>
      <c r="AI350" s="188"/>
      <c r="AJ350" s="188"/>
      <c r="AK350" s="188"/>
      <c r="AL350" s="188"/>
      <c r="AM350" s="188"/>
      <c r="AN350" s="188"/>
      <c r="AO350" s="299"/>
      <c r="AS350" s="296"/>
      <c r="AW350" s="296"/>
      <c r="BN350" s="296"/>
      <c r="BO350" s="296"/>
      <c r="CX350" s="302">
        <f t="shared" si="1064"/>
        <v>112014477</v>
      </c>
      <c r="CY350" s="374">
        <v>7</v>
      </c>
      <c r="CZ350" s="359" t="s">
        <v>522</v>
      </c>
      <c r="DA350" s="361">
        <v>30618444.859999999</v>
      </c>
      <c r="DB350" s="361">
        <v>3255008.3</v>
      </c>
      <c r="DC350" s="361">
        <v>4292496.5199999996</v>
      </c>
      <c r="DD350" s="361">
        <v>4091432.27</v>
      </c>
      <c r="DE350" s="361">
        <v>6943560.7400000002</v>
      </c>
      <c r="DF350" s="811">
        <v>1098323.46</v>
      </c>
      <c r="DG350" s="361">
        <v>3492989.53</v>
      </c>
      <c r="DH350" s="361">
        <v>0.01</v>
      </c>
      <c r="DI350" s="361">
        <v>6209226.9900000002</v>
      </c>
      <c r="DJ350" s="361">
        <v>232184.72</v>
      </c>
      <c r="DK350" s="361">
        <v>1003222.34</v>
      </c>
      <c r="DL350" s="361"/>
      <c r="DM350" s="361"/>
      <c r="DN350" s="361"/>
      <c r="DO350" s="378"/>
    </row>
    <row r="351" spans="2:119" ht="13">
      <c r="B351" s="294"/>
      <c r="F351" s="296"/>
      <c r="J351" s="302"/>
      <c r="R351" s="188"/>
      <c r="T351" s="295"/>
      <c r="Y351" s="188"/>
      <c r="AA351" s="295"/>
      <c r="AF351" s="188"/>
      <c r="AH351" s="295"/>
      <c r="AI351" s="188"/>
      <c r="AJ351" s="188"/>
      <c r="AK351" s="188"/>
      <c r="AL351" s="188"/>
      <c r="AM351" s="188"/>
      <c r="AN351" s="188"/>
      <c r="AO351" s="299"/>
      <c r="AS351" s="296"/>
      <c r="AW351" s="296"/>
      <c r="BN351" s="296"/>
      <c r="BO351" s="296"/>
      <c r="CX351" s="302">
        <f t="shared" si="1064"/>
        <v>112013271</v>
      </c>
      <c r="CY351" s="374">
        <v>8</v>
      </c>
      <c r="CZ351" s="359" t="s">
        <v>510</v>
      </c>
      <c r="DA351" s="361">
        <v>25082258.469999999</v>
      </c>
      <c r="DB351" s="361">
        <v>1761985.46</v>
      </c>
      <c r="DC351" s="361">
        <v>2850687.88</v>
      </c>
      <c r="DD351" s="361">
        <v>2865995.84</v>
      </c>
      <c r="DE351" s="361">
        <v>1987961.21</v>
      </c>
      <c r="DF351" s="811">
        <v>2312556.0499999998</v>
      </c>
      <c r="DG351" s="361">
        <v>855342.57</v>
      </c>
      <c r="DH351" s="361">
        <v>3729889.57</v>
      </c>
      <c r="DI351" s="361">
        <v>2718207.65</v>
      </c>
      <c r="DJ351" s="361">
        <v>1428421.98</v>
      </c>
      <c r="DK351" s="361">
        <v>4571210.28</v>
      </c>
      <c r="DL351" s="361"/>
      <c r="DM351" s="361"/>
      <c r="DN351" s="361"/>
      <c r="DO351" s="378"/>
    </row>
    <row r="352" spans="2:119" ht="13">
      <c r="B352" s="294"/>
      <c r="F352" s="296"/>
      <c r="J352" s="302"/>
      <c r="R352" s="188"/>
      <c r="T352" s="295"/>
      <c r="Y352" s="188"/>
      <c r="AA352" s="295"/>
      <c r="AF352" s="188"/>
      <c r="AH352" s="295"/>
      <c r="AI352" s="188"/>
      <c r="AJ352" s="188"/>
      <c r="AK352" s="188"/>
      <c r="AL352" s="188"/>
      <c r="AM352" s="188"/>
      <c r="AN352" s="188"/>
      <c r="AO352" s="299"/>
      <c r="AS352" s="296"/>
      <c r="AW352" s="296"/>
      <c r="BN352" s="296"/>
      <c r="BO352" s="296"/>
      <c r="CX352" s="302">
        <f t="shared" si="1064"/>
        <v>112014328</v>
      </c>
      <c r="CY352" s="374">
        <v>9</v>
      </c>
      <c r="CZ352" s="359" t="s">
        <v>508</v>
      </c>
      <c r="DA352" s="361">
        <v>19530779.760000002</v>
      </c>
      <c r="DB352" s="361">
        <v>5673099.5199999996</v>
      </c>
      <c r="DC352" s="361">
        <v>3024838.46</v>
      </c>
      <c r="DD352" s="361">
        <v>1158258.1100000001</v>
      </c>
      <c r="DE352" s="361">
        <v>369488.37</v>
      </c>
      <c r="DF352" s="811">
        <v>1892695.73</v>
      </c>
      <c r="DG352" s="361">
        <v>430943.74</v>
      </c>
      <c r="DH352" s="361">
        <v>3075467.84</v>
      </c>
      <c r="DI352" s="361">
        <v>3905987.98</v>
      </c>
      <c r="DJ352" s="361">
        <v>0</v>
      </c>
      <c r="DK352" s="361">
        <v>0</v>
      </c>
      <c r="DL352" s="361"/>
      <c r="DM352" s="361"/>
      <c r="DN352" s="361"/>
      <c r="DO352" s="378"/>
    </row>
    <row r="353" spans="2:119" ht="13">
      <c r="B353" s="294"/>
      <c r="F353" s="296"/>
      <c r="J353" s="302"/>
      <c r="R353" s="188"/>
      <c r="T353" s="295"/>
      <c r="Y353" s="188"/>
      <c r="AA353" s="295"/>
      <c r="AF353" s="188"/>
      <c r="AH353" s="295"/>
      <c r="AI353" s="188"/>
      <c r="AJ353" s="188"/>
      <c r="AK353" s="188"/>
      <c r="AL353" s="188"/>
      <c r="AM353" s="188"/>
      <c r="AN353" s="188"/>
      <c r="AO353" s="299"/>
      <c r="AS353" s="296"/>
      <c r="AW353" s="296"/>
      <c r="BN353" s="296"/>
      <c r="BO353" s="296"/>
      <c r="CX353" s="302">
        <f t="shared" si="1064"/>
        <v>112014583</v>
      </c>
      <c r="CY353" s="374">
        <v>10</v>
      </c>
      <c r="CZ353" s="359" t="s">
        <v>515</v>
      </c>
      <c r="DA353" s="361">
        <v>18977853.210000001</v>
      </c>
      <c r="DB353" s="361">
        <v>3136105.89</v>
      </c>
      <c r="DC353" s="361">
        <v>2627273.73</v>
      </c>
      <c r="DD353" s="361">
        <v>1035392.53</v>
      </c>
      <c r="DE353" s="361">
        <v>1549600.13</v>
      </c>
      <c r="DF353" s="811">
        <v>1590363.01</v>
      </c>
      <c r="DG353" s="361">
        <v>515772.18</v>
      </c>
      <c r="DH353" s="361">
        <v>-295492.89</v>
      </c>
      <c r="DI353" s="361">
        <v>0</v>
      </c>
      <c r="DJ353" s="361">
        <v>2566357.84</v>
      </c>
      <c r="DK353" s="361">
        <v>6252480.8099999996</v>
      </c>
      <c r="DL353" s="361"/>
      <c r="DM353" s="361"/>
      <c r="DN353" s="361"/>
      <c r="DO353" s="378"/>
    </row>
    <row r="354" spans="2:119" ht="13">
      <c r="B354" s="294"/>
      <c r="F354" s="296"/>
      <c r="J354" s="302"/>
      <c r="R354" s="188"/>
      <c r="T354" s="295"/>
      <c r="Y354" s="188"/>
      <c r="AA354" s="295"/>
      <c r="AF354" s="188"/>
      <c r="AH354" s="295"/>
      <c r="AI354" s="188"/>
      <c r="AJ354" s="188"/>
      <c r="AK354" s="188"/>
      <c r="AL354" s="188"/>
      <c r="AM354" s="188"/>
      <c r="AN354" s="188"/>
      <c r="AO354" s="299"/>
      <c r="AS354" s="296"/>
      <c r="AW354" s="296"/>
      <c r="BN354" s="296"/>
      <c r="BO354" s="296"/>
      <c r="CX354" s="302">
        <f t="shared" si="1064"/>
        <v>112013770</v>
      </c>
      <c r="CY354" s="374">
        <v>11</v>
      </c>
      <c r="CZ354" s="359" t="s">
        <v>511</v>
      </c>
      <c r="DA354" s="361">
        <v>16935098.210000001</v>
      </c>
      <c r="DB354" s="361">
        <v>3684814.61</v>
      </c>
      <c r="DC354" s="361">
        <v>2128578.14</v>
      </c>
      <c r="DD354" s="361">
        <v>3405044.3</v>
      </c>
      <c r="DE354" s="361">
        <v>2768944.56</v>
      </c>
      <c r="DF354" s="811">
        <v>1656242.17</v>
      </c>
      <c r="DG354" s="361">
        <v>2206635.89</v>
      </c>
      <c r="DH354" s="361">
        <v>729939.29</v>
      </c>
      <c r="DI354" s="361">
        <v>354899.24</v>
      </c>
      <c r="DJ354" s="361">
        <v>0</v>
      </c>
      <c r="DK354" s="361">
        <v>0</v>
      </c>
      <c r="DL354" s="361"/>
      <c r="DM354" s="361"/>
      <c r="DN354" s="361"/>
      <c r="DO354" s="378"/>
    </row>
    <row r="355" spans="2:119" ht="13">
      <c r="B355" s="294"/>
      <c r="F355" s="296"/>
      <c r="J355" s="302"/>
      <c r="R355" s="188"/>
      <c r="T355" s="295"/>
      <c r="Y355" s="188"/>
      <c r="AA355" s="295"/>
      <c r="AF355" s="188"/>
      <c r="AH355" s="295"/>
      <c r="AI355" s="188"/>
      <c r="AJ355" s="188"/>
      <c r="AK355" s="188"/>
      <c r="AL355" s="188"/>
      <c r="AM355" s="188"/>
      <c r="AN355" s="188"/>
      <c r="AO355" s="299"/>
      <c r="AS355" s="296"/>
      <c r="AW355" s="296"/>
      <c r="BN355" s="296"/>
      <c r="BO355" s="296"/>
      <c r="CX355" s="302">
        <f t="shared" si="1064"/>
        <v>112014179</v>
      </c>
      <c r="CY355" s="374">
        <v>12</v>
      </c>
      <c r="CZ355" s="359" t="s">
        <v>507</v>
      </c>
      <c r="DA355" s="361">
        <v>15401474.33</v>
      </c>
      <c r="DB355" s="361">
        <v>283809.05</v>
      </c>
      <c r="DC355" s="361">
        <v>613667.98</v>
      </c>
      <c r="DD355" s="361">
        <v>1565598.71</v>
      </c>
      <c r="DE355" s="361">
        <v>1938429.34</v>
      </c>
      <c r="DF355" s="811">
        <v>1210134.73</v>
      </c>
      <c r="DG355" s="361">
        <v>1969120.33</v>
      </c>
      <c r="DH355" s="361">
        <v>1837908.87</v>
      </c>
      <c r="DI355" s="361">
        <v>2055560.98</v>
      </c>
      <c r="DJ355" s="361">
        <v>2389095.94</v>
      </c>
      <c r="DK355" s="361">
        <v>1538148.39</v>
      </c>
      <c r="DL355" s="361"/>
      <c r="DM355" s="361"/>
      <c r="DN355" s="361"/>
      <c r="DO355" s="378"/>
    </row>
    <row r="356" spans="2:119" ht="13">
      <c r="B356" s="294"/>
      <c r="F356" s="296"/>
      <c r="J356" s="302"/>
      <c r="R356" s="188"/>
      <c r="T356" s="295"/>
      <c r="Y356" s="188"/>
      <c r="AA356" s="295"/>
      <c r="AF356" s="188"/>
      <c r="AH356" s="295"/>
      <c r="AI356" s="188"/>
      <c r="AJ356" s="188"/>
      <c r="AK356" s="188"/>
      <c r="AL356" s="188"/>
      <c r="AM356" s="188"/>
      <c r="AN356" s="188"/>
      <c r="AO356" s="299"/>
      <c r="AS356" s="296"/>
      <c r="AW356" s="296"/>
      <c r="BN356" s="296"/>
      <c r="BO356" s="296"/>
      <c r="CX356" s="302">
        <f t="shared" si="1064"/>
        <v>112013208</v>
      </c>
      <c r="CY356" s="374">
        <v>13</v>
      </c>
      <c r="CZ356" s="359" t="s">
        <v>625</v>
      </c>
      <c r="DA356" s="361">
        <v>15356013.76</v>
      </c>
      <c r="DB356" s="361">
        <v>1317491.7</v>
      </c>
      <c r="DC356" s="361">
        <v>896922.13</v>
      </c>
      <c r="DD356" s="361">
        <v>1791808.88</v>
      </c>
      <c r="DE356" s="361">
        <v>1420719.02</v>
      </c>
      <c r="DF356" s="811">
        <v>1743071.38</v>
      </c>
      <c r="DG356" s="361">
        <v>1988124.6</v>
      </c>
      <c r="DH356" s="361">
        <v>1906119.53</v>
      </c>
      <c r="DI356" s="361">
        <v>2289898</v>
      </c>
      <c r="DJ356" s="361">
        <v>1403013.32</v>
      </c>
      <c r="DK356" s="361">
        <v>598845.19999999995</v>
      </c>
      <c r="DL356" s="361"/>
      <c r="DM356" s="361"/>
      <c r="DN356" s="361"/>
      <c r="DO356" s="378"/>
    </row>
    <row r="357" spans="2:119" ht="13">
      <c r="B357" s="294"/>
      <c r="F357" s="296"/>
      <c r="J357" s="302"/>
      <c r="R357" s="188"/>
      <c r="T357" s="295"/>
      <c r="Y357" s="188"/>
      <c r="AA357" s="295"/>
      <c r="AF357" s="188"/>
      <c r="AH357" s="295"/>
      <c r="AI357" s="188"/>
      <c r="AJ357" s="188"/>
      <c r="AK357" s="188"/>
      <c r="AL357" s="188"/>
      <c r="AM357" s="188"/>
      <c r="AN357" s="188"/>
      <c r="AO357" s="299"/>
      <c r="AS357" s="296"/>
      <c r="AW357" s="296"/>
      <c r="BN357" s="296"/>
      <c r="BO357" s="296"/>
      <c r="CX357" s="302">
        <f t="shared" si="1064"/>
        <v>112014136</v>
      </c>
      <c r="CY357" s="374">
        <v>14</v>
      </c>
      <c r="CZ357" s="359" t="s">
        <v>561</v>
      </c>
      <c r="DA357" s="361">
        <v>14484205.970000001</v>
      </c>
      <c r="DB357" s="361">
        <v>889478.59</v>
      </c>
      <c r="DC357" s="361">
        <v>2050140.25</v>
      </c>
      <c r="DD357" s="361">
        <v>1420453.03</v>
      </c>
      <c r="DE357" s="361">
        <v>867801.63</v>
      </c>
      <c r="DF357" s="811">
        <v>1298043.29</v>
      </c>
      <c r="DG357" s="361">
        <v>1361693.26</v>
      </c>
      <c r="DH357" s="361">
        <v>2330690.98</v>
      </c>
      <c r="DI357" s="361">
        <v>1277838.49</v>
      </c>
      <c r="DJ357" s="361">
        <v>1473124.73</v>
      </c>
      <c r="DK357" s="361">
        <v>1514941.74</v>
      </c>
      <c r="DL357" s="361"/>
      <c r="DM357" s="361"/>
      <c r="DN357" s="361"/>
      <c r="DO357" s="378"/>
    </row>
    <row r="358" spans="2:119" ht="13">
      <c r="B358" s="294"/>
      <c r="F358" s="296"/>
      <c r="J358" s="302"/>
      <c r="R358" s="188"/>
      <c r="T358" s="295"/>
      <c r="Y358" s="188"/>
      <c r="AA358" s="295"/>
      <c r="AF358" s="188"/>
      <c r="AH358" s="295"/>
      <c r="AI358" s="188"/>
      <c r="AJ358" s="188"/>
      <c r="AK358" s="188"/>
      <c r="AL358" s="188"/>
      <c r="AM358" s="188"/>
      <c r="AN358" s="188"/>
      <c r="AO358" s="299"/>
      <c r="AS358" s="296"/>
      <c r="AW358" s="296"/>
      <c r="BN358" s="296"/>
      <c r="BO358" s="296"/>
      <c r="CX358" s="302">
        <f t="shared" si="1064"/>
        <v>112013870</v>
      </c>
      <c r="CY358" s="374">
        <v>15</v>
      </c>
      <c r="CZ358" s="359" t="s">
        <v>634</v>
      </c>
      <c r="DA358" s="361">
        <v>14211163.289999999</v>
      </c>
      <c r="DB358" s="361">
        <v>2205376.34</v>
      </c>
      <c r="DC358" s="361">
        <v>1552987.52</v>
      </c>
      <c r="DD358" s="361">
        <v>852150.08</v>
      </c>
      <c r="DE358" s="361">
        <v>1362247.55</v>
      </c>
      <c r="DF358" s="811">
        <v>1394796.96</v>
      </c>
      <c r="DG358" s="361">
        <v>1417353.92</v>
      </c>
      <c r="DH358" s="361">
        <v>1785744.96</v>
      </c>
      <c r="DI358" s="361">
        <v>1611642.64</v>
      </c>
      <c r="DJ358" s="361">
        <v>400204.56</v>
      </c>
      <c r="DK358" s="361">
        <v>1628658.77</v>
      </c>
      <c r="DL358" s="365"/>
      <c r="DM358" s="365"/>
      <c r="DN358" s="365"/>
      <c r="DO358" s="379"/>
    </row>
    <row r="359" spans="2:119" ht="13">
      <c r="B359" s="294"/>
      <c r="F359" s="296"/>
      <c r="J359" s="302"/>
      <c r="R359" s="188"/>
      <c r="T359" s="295"/>
      <c r="Y359" s="188"/>
      <c r="AA359" s="295"/>
      <c r="AF359" s="188"/>
      <c r="AH359" s="295"/>
      <c r="AI359" s="188"/>
      <c r="AJ359" s="188"/>
      <c r="AK359" s="188"/>
      <c r="AL359" s="188"/>
      <c r="AM359" s="188"/>
      <c r="AN359" s="188"/>
      <c r="AO359" s="299"/>
      <c r="AS359" s="296"/>
      <c r="AW359" s="296"/>
      <c r="BN359" s="296"/>
      <c r="BO359" s="296"/>
      <c r="CX359" s="302">
        <f t="shared" si="1064"/>
        <v>112014327</v>
      </c>
      <c r="CY359" s="374">
        <v>16</v>
      </c>
      <c r="CZ359" s="359" t="s">
        <v>563</v>
      </c>
      <c r="DA359" s="361">
        <v>12521388.619999999</v>
      </c>
      <c r="DB359" s="361">
        <v>1761704.55</v>
      </c>
      <c r="DC359" s="361">
        <v>441311.87</v>
      </c>
      <c r="DD359" s="361">
        <v>1013220.38</v>
      </c>
      <c r="DE359" s="361">
        <v>583633.81999999995</v>
      </c>
      <c r="DF359" s="811">
        <v>1544375.33</v>
      </c>
      <c r="DG359" s="361">
        <v>1080022.1000000001</v>
      </c>
      <c r="DH359" s="361">
        <v>2449370.62</v>
      </c>
      <c r="DI359" s="361">
        <v>1459154.99</v>
      </c>
      <c r="DJ359" s="361">
        <v>1177546.76</v>
      </c>
      <c r="DK359" s="361">
        <v>1011048.19</v>
      </c>
      <c r="DL359" s="361"/>
      <c r="DM359" s="361"/>
      <c r="DN359" s="361"/>
      <c r="DO359" s="378"/>
    </row>
    <row r="360" spans="2:119" ht="13">
      <c r="B360" s="294"/>
      <c r="F360" s="296"/>
      <c r="J360" s="302"/>
      <c r="R360" s="188"/>
      <c r="T360" s="295"/>
      <c r="Y360" s="188"/>
      <c r="AA360" s="295"/>
      <c r="AF360" s="188"/>
      <c r="AH360" s="295"/>
      <c r="AI360" s="188"/>
      <c r="AJ360" s="188"/>
      <c r="AK360" s="188"/>
      <c r="AL360" s="188"/>
      <c r="AM360" s="188"/>
      <c r="AN360" s="188"/>
      <c r="AO360" s="299"/>
      <c r="AS360" s="296"/>
      <c r="AW360" s="296"/>
      <c r="BN360" s="296"/>
      <c r="BO360" s="296"/>
      <c r="CX360" s="302">
        <f t="shared" si="1064"/>
        <v>112014202</v>
      </c>
      <c r="CY360" s="374">
        <v>17</v>
      </c>
      <c r="CZ360" s="359" t="s">
        <v>520</v>
      </c>
      <c r="DA360" s="361">
        <v>12203278.220000001</v>
      </c>
      <c r="DB360" s="361">
        <v>1540463.02</v>
      </c>
      <c r="DC360" s="361">
        <v>918783.6</v>
      </c>
      <c r="DD360" s="361">
        <v>1438494.42</v>
      </c>
      <c r="DE360" s="361">
        <v>1394532.93</v>
      </c>
      <c r="DF360" s="811">
        <v>1458468.58</v>
      </c>
      <c r="DG360" s="361">
        <v>969219.36</v>
      </c>
      <c r="DH360" s="361">
        <v>3085438.38</v>
      </c>
      <c r="DI360" s="361">
        <v>1397877.92</v>
      </c>
      <c r="DJ360" s="361">
        <v>0</v>
      </c>
      <c r="DK360" s="361">
        <v>0</v>
      </c>
      <c r="DL360" s="361"/>
      <c r="DM360" s="361"/>
      <c r="DN360" s="361"/>
      <c r="DO360" s="378"/>
    </row>
    <row r="361" spans="2:119" ht="13">
      <c r="B361" s="294"/>
      <c r="F361" s="296"/>
      <c r="J361" s="302"/>
      <c r="R361" s="188"/>
      <c r="T361" s="295"/>
      <c r="Y361" s="188"/>
      <c r="AA361" s="295"/>
      <c r="AF361" s="188"/>
      <c r="AH361" s="295"/>
      <c r="AI361" s="188"/>
      <c r="AJ361" s="188"/>
      <c r="AK361" s="188"/>
      <c r="AL361" s="188"/>
      <c r="AM361" s="188"/>
      <c r="AN361" s="188"/>
      <c r="AO361" s="299"/>
      <c r="AS361" s="296"/>
      <c r="AW361" s="296"/>
      <c r="BN361" s="296"/>
      <c r="BO361" s="296"/>
      <c r="CX361" s="302">
        <f t="shared" si="1064"/>
        <v>112014064</v>
      </c>
      <c r="CY361" s="374">
        <v>18</v>
      </c>
      <c r="CZ361" s="359" t="s">
        <v>635</v>
      </c>
      <c r="DA361" s="361">
        <v>11149640.25</v>
      </c>
      <c r="DB361" s="361">
        <v>734263.6</v>
      </c>
      <c r="DC361" s="361">
        <v>1061792.54</v>
      </c>
      <c r="DD361" s="361">
        <v>980543.52</v>
      </c>
      <c r="DE361" s="361">
        <v>1046610.16</v>
      </c>
      <c r="DF361" s="811">
        <v>1239498</v>
      </c>
      <c r="DG361" s="361">
        <v>1114224.74</v>
      </c>
      <c r="DH361" s="361">
        <v>1572755.04</v>
      </c>
      <c r="DI361" s="361">
        <v>822201.06</v>
      </c>
      <c r="DJ361" s="361">
        <v>1259374.8799999999</v>
      </c>
      <c r="DK361" s="361">
        <v>1318376.7</v>
      </c>
      <c r="DL361" s="361"/>
      <c r="DM361" s="361"/>
      <c r="DN361" s="361"/>
      <c r="DO361" s="378"/>
    </row>
    <row r="362" spans="2:119" ht="13">
      <c r="B362" s="294"/>
      <c r="F362" s="296"/>
      <c r="J362" s="302"/>
      <c r="R362" s="188"/>
      <c r="T362" s="295"/>
      <c r="Y362" s="188"/>
      <c r="AA362" s="295"/>
      <c r="AF362" s="188"/>
      <c r="AH362" s="295"/>
      <c r="AI362" s="188"/>
      <c r="AJ362" s="188"/>
      <c r="AK362" s="188"/>
      <c r="AL362" s="188"/>
      <c r="AM362" s="188"/>
      <c r="AN362" s="188"/>
      <c r="AO362" s="299"/>
      <c r="AS362" s="296"/>
      <c r="AW362" s="296"/>
      <c r="BN362" s="296"/>
      <c r="BO362" s="296"/>
      <c r="CX362" s="302">
        <f t="shared" si="1064"/>
        <v>112013220</v>
      </c>
      <c r="CY362" s="374">
        <v>19</v>
      </c>
      <c r="CZ362" s="359" t="s">
        <v>523</v>
      </c>
      <c r="DA362" s="361">
        <v>9844925.9100000001</v>
      </c>
      <c r="DB362" s="361">
        <v>1265486.6399999999</v>
      </c>
      <c r="DC362" s="361">
        <v>1318534.48</v>
      </c>
      <c r="DD362" s="361">
        <v>345950.39</v>
      </c>
      <c r="DE362" s="361">
        <v>811064.64</v>
      </c>
      <c r="DF362" s="811">
        <v>754665.6</v>
      </c>
      <c r="DG362" s="361">
        <v>1318191.95</v>
      </c>
      <c r="DH362" s="361">
        <v>975199.04</v>
      </c>
      <c r="DI362" s="361">
        <v>1200135.8400000001</v>
      </c>
      <c r="DJ362" s="361">
        <v>673458.32</v>
      </c>
      <c r="DK362" s="361">
        <v>1182239.01</v>
      </c>
      <c r="DL362" s="361"/>
      <c r="DM362" s="361"/>
      <c r="DN362" s="361"/>
      <c r="DO362" s="378"/>
    </row>
    <row r="363" spans="2:119" ht="13">
      <c r="B363" s="294"/>
      <c r="F363" s="296"/>
      <c r="J363" s="302"/>
      <c r="R363" s="188"/>
      <c r="T363" s="295"/>
      <c r="Y363" s="188"/>
      <c r="AA363" s="295"/>
      <c r="AF363" s="188"/>
      <c r="AH363" s="295"/>
      <c r="AI363" s="188"/>
      <c r="AJ363" s="188"/>
      <c r="AK363" s="188"/>
      <c r="AL363" s="188"/>
      <c r="AM363" s="188"/>
      <c r="AN363" s="188"/>
      <c r="AO363" s="299"/>
      <c r="AS363" s="296"/>
      <c r="AW363" s="296"/>
      <c r="BN363" s="296"/>
      <c r="BO363" s="296"/>
      <c r="CX363" s="302">
        <f t="shared" si="1064"/>
        <v>112013222</v>
      </c>
      <c r="CY363" s="374">
        <v>20</v>
      </c>
      <c r="CZ363" s="359" t="s">
        <v>628</v>
      </c>
      <c r="DA363" s="361">
        <v>9587935.1699999999</v>
      </c>
      <c r="DB363" s="361">
        <v>707437.44</v>
      </c>
      <c r="DC363" s="361">
        <v>609991.92000000004</v>
      </c>
      <c r="DD363" s="361">
        <v>974860.48</v>
      </c>
      <c r="DE363" s="361">
        <v>792126.24</v>
      </c>
      <c r="DF363" s="811">
        <v>879871.31</v>
      </c>
      <c r="DG363" s="361">
        <v>1383013.86</v>
      </c>
      <c r="DH363" s="361">
        <v>1367945.76</v>
      </c>
      <c r="DI363" s="361">
        <v>899386.69</v>
      </c>
      <c r="DJ363" s="361">
        <v>662802.80000000005</v>
      </c>
      <c r="DK363" s="361">
        <v>1310498.67</v>
      </c>
      <c r="DL363" s="361"/>
      <c r="DM363" s="361"/>
      <c r="DN363" s="361"/>
      <c r="DO363" s="378"/>
    </row>
    <row r="364" spans="2:119" ht="13">
      <c r="B364" s="294"/>
      <c r="F364" s="296"/>
      <c r="J364" s="302"/>
      <c r="R364" s="188"/>
      <c r="T364" s="295"/>
      <c r="Y364" s="188"/>
      <c r="AA364" s="295"/>
      <c r="AF364" s="188"/>
      <c r="AH364" s="295"/>
      <c r="AI364" s="188"/>
      <c r="AJ364" s="188"/>
      <c r="AK364" s="188"/>
      <c r="AL364" s="188"/>
      <c r="AM364" s="188"/>
      <c r="AN364" s="188"/>
      <c r="AO364" s="299"/>
      <c r="AS364" s="296"/>
      <c r="AW364" s="296"/>
      <c r="BN364" s="296"/>
      <c r="BO364" s="296"/>
      <c r="CX364" s="302">
        <f t="shared" si="1064"/>
        <v>112013315</v>
      </c>
      <c r="CY364" s="374">
        <v>21</v>
      </c>
      <c r="CZ364" s="359" t="s">
        <v>631</v>
      </c>
      <c r="DA364" s="361">
        <v>9249440.8800000008</v>
      </c>
      <c r="DB364" s="361">
        <v>824114</v>
      </c>
      <c r="DC364" s="361">
        <v>1563091.84</v>
      </c>
      <c r="DD364" s="361">
        <v>363659.46</v>
      </c>
      <c r="DE364" s="361">
        <v>796201.28</v>
      </c>
      <c r="DF364" s="811">
        <v>954183.28</v>
      </c>
      <c r="DG364" s="361">
        <v>784446.08</v>
      </c>
      <c r="DH364" s="361">
        <v>603042.64</v>
      </c>
      <c r="DI364" s="361">
        <v>786531.28</v>
      </c>
      <c r="DJ364" s="361">
        <v>954430</v>
      </c>
      <c r="DK364" s="361">
        <v>1619741.02</v>
      </c>
      <c r="DL364" s="361"/>
      <c r="DM364" s="361"/>
      <c r="DN364" s="361"/>
      <c r="DO364" s="378"/>
    </row>
    <row r="365" spans="2:119" ht="13">
      <c r="B365" s="294"/>
      <c r="F365" s="296"/>
      <c r="J365" s="302"/>
      <c r="R365" s="188"/>
      <c r="T365" s="295"/>
      <c r="Y365" s="188"/>
      <c r="AA365" s="295"/>
      <c r="AF365" s="188"/>
      <c r="AH365" s="295"/>
      <c r="AI365" s="188"/>
      <c r="AJ365" s="188"/>
      <c r="AK365" s="188"/>
      <c r="AL365" s="188"/>
      <c r="AM365" s="188"/>
      <c r="AN365" s="188"/>
      <c r="AO365" s="299"/>
      <c r="AS365" s="296"/>
      <c r="AW365" s="296"/>
      <c r="BN365" s="296"/>
      <c r="BO365" s="296"/>
      <c r="CX365" s="302">
        <f t="shared" si="1064"/>
        <v>112014315</v>
      </c>
      <c r="CY365" s="374">
        <v>22</v>
      </c>
      <c r="CZ365" s="359" t="s">
        <v>534</v>
      </c>
      <c r="DA365" s="361">
        <v>8808794.4199999999</v>
      </c>
      <c r="DB365" s="361">
        <v>334742.96000000002</v>
      </c>
      <c r="DC365" s="361">
        <v>569896.48</v>
      </c>
      <c r="DD365" s="361">
        <v>577895.92000000004</v>
      </c>
      <c r="DE365" s="361">
        <v>354759.84</v>
      </c>
      <c r="DF365" s="811">
        <v>610268.07999999996</v>
      </c>
      <c r="DG365" s="361">
        <v>1060321.52</v>
      </c>
      <c r="DH365" s="361">
        <v>1294174.1499999999</v>
      </c>
      <c r="DI365" s="361">
        <v>976903.05</v>
      </c>
      <c r="DJ365" s="361">
        <v>927280.08</v>
      </c>
      <c r="DK365" s="361">
        <v>2102552.35</v>
      </c>
      <c r="DL365" s="361"/>
      <c r="DM365" s="361"/>
      <c r="DN365" s="361"/>
      <c r="DO365" s="378"/>
    </row>
    <row r="366" spans="2:119" ht="13">
      <c r="B366" s="294"/>
      <c r="F366" s="296"/>
      <c r="J366" s="302"/>
      <c r="R366" s="188"/>
      <c r="T366" s="295"/>
      <c r="Y366" s="188"/>
      <c r="AA366" s="295"/>
      <c r="AF366" s="188"/>
      <c r="AH366" s="295"/>
      <c r="AI366" s="188"/>
      <c r="AJ366" s="188"/>
      <c r="AK366" s="188"/>
      <c r="AL366" s="188"/>
      <c r="AM366" s="188"/>
      <c r="AN366" s="188"/>
      <c r="AO366" s="299"/>
      <c r="AS366" s="296"/>
      <c r="AW366" s="296"/>
      <c r="BN366" s="296"/>
      <c r="BO366" s="296"/>
      <c r="CX366" s="302">
        <f t="shared" si="1064"/>
        <v>112014380</v>
      </c>
      <c r="CY366" s="374">
        <v>23</v>
      </c>
      <c r="CZ366" s="359" t="s">
        <v>531</v>
      </c>
      <c r="DA366" s="361">
        <v>8273478.5700000003</v>
      </c>
      <c r="DB366" s="361">
        <v>716598.08</v>
      </c>
      <c r="DC366" s="361">
        <v>961180.08</v>
      </c>
      <c r="DD366" s="361">
        <v>342677.22</v>
      </c>
      <c r="DE366" s="361">
        <v>1401551.76</v>
      </c>
      <c r="DF366" s="811">
        <v>778722.08</v>
      </c>
      <c r="DG366" s="361">
        <v>855860.16</v>
      </c>
      <c r="DH366" s="361">
        <v>1096493.2</v>
      </c>
      <c r="DI366" s="361">
        <v>591133.43999999994</v>
      </c>
      <c r="DJ366" s="361">
        <v>772208.64000000001</v>
      </c>
      <c r="DK366" s="361">
        <v>757053.91</v>
      </c>
      <c r="DL366" s="361"/>
      <c r="DM366" s="361"/>
      <c r="DN366" s="361"/>
      <c r="DO366" s="378"/>
    </row>
    <row r="367" spans="2:119" ht="13">
      <c r="B367" s="294"/>
      <c r="F367" s="296"/>
      <c r="J367" s="302"/>
      <c r="R367" s="188"/>
      <c r="T367" s="295"/>
      <c r="Y367" s="188"/>
      <c r="AA367" s="295"/>
      <c r="AF367" s="188"/>
      <c r="AH367" s="295"/>
      <c r="AI367" s="188"/>
      <c r="AJ367" s="188"/>
      <c r="AK367" s="188"/>
      <c r="AL367" s="188"/>
      <c r="AM367" s="188"/>
      <c r="AN367" s="188"/>
      <c r="AO367" s="299"/>
      <c r="AS367" s="296"/>
      <c r="AW367" s="296"/>
      <c r="BN367" s="296"/>
      <c r="BO367" s="296"/>
      <c r="CX367" s="302">
        <f t="shared" si="1064"/>
        <v>112014077</v>
      </c>
      <c r="CY367" s="374">
        <v>24</v>
      </c>
      <c r="CZ367" s="359" t="s">
        <v>536</v>
      </c>
      <c r="DA367" s="361">
        <v>8206861.6600000001</v>
      </c>
      <c r="DB367" s="361">
        <v>1301199.92</v>
      </c>
      <c r="DC367" s="361">
        <v>872228.95</v>
      </c>
      <c r="DD367" s="361">
        <v>0</v>
      </c>
      <c r="DE367" s="361">
        <v>0</v>
      </c>
      <c r="DF367" s="811">
        <v>1315287.04</v>
      </c>
      <c r="DG367" s="361">
        <v>1365093.2</v>
      </c>
      <c r="DH367" s="361">
        <v>1018948.98</v>
      </c>
      <c r="DI367" s="361">
        <v>1092255.69</v>
      </c>
      <c r="DJ367" s="361">
        <v>987151.88</v>
      </c>
      <c r="DK367" s="361">
        <v>254696</v>
      </c>
      <c r="DL367" s="361"/>
      <c r="DM367" s="361"/>
      <c r="DN367" s="361"/>
      <c r="DO367" s="378"/>
    </row>
    <row r="368" spans="2:119" ht="13">
      <c r="B368" s="294"/>
      <c r="F368" s="296"/>
      <c r="J368" s="302"/>
      <c r="R368" s="188"/>
      <c r="T368" s="295"/>
      <c r="Y368" s="188"/>
      <c r="AA368" s="295"/>
      <c r="AF368" s="188"/>
      <c r="AH368" s="295"/>
      <c r="AI368" s="188"/>
      <c r="AJ368" s="188"/>
      <c r="AK368" s="188"/>
      <c r="AL368" s="188"/>
      <c r="AM368" s="188"/>
      <c r="AN368" s="188"/>
      <c r="AO368" s="299"/>
      <c r="AS368" s="296"/>
      <c r="AW368" s="296"/>
      <c r="BN368" s="296"/>
      <c r="BO368" s="296"/>
      <c r="CX368" s="302">
        <f t="shared" si="1064"/>
        <v>112014459</v>
      </c>
      <c r="CY368" s="374">
        <v>25</v>
      </c>
      <c r="CZ368" s="359" t="s">
        <v>566</v>
      </c>
      <c r="DA368" s="361">
        <v>8092212.6799999997</v>
      </c>
      <c r="DB368" s="361">
        <v>1203087.8700000001</v>
      </c>
      <c r="DC368" s="361">
        <v>2498789.5099999998</v>
      </c>
      <c r="DD368" s="361">
        <v>634838.28</v>
      </c>
      <c r="DE368" s="361">
        <v>0</v>
      </c>
      <c r="DF368" s="811">
        <v>344019.06</v>
      </c>
      <c r="DG368" s="361">
        <v>583871.67000000004</v>
      </c>
      <c r="DH368" s="361">
        <v>1018143.69</v>
      </c>
      <c r="DI368" s="361">
        <v>667087.81999999995</v>
      </c>
      <c r="DJ368" s="361">
        <v>1142374.77</v>
      </c>
      <c r="DK368" s="365">
        <v>0</v>
      </c>
      <c r="DL368" s="365"/>
      <c r="DM368" s="365"/>
      <c r="DN368" s="365"/>
      <c r="DO368" s="379"/>
    </row>
    <row r="369" spans="2:119" ht="13">
      <c r="B369" s="294"/>
      <c r="F369" s="296"/>
      <c r="J369" s="302"/>
      <c r="R369" s="188"/>
      <c r="T369" s="295"/>
      <c r="Y369" s="188"/>
      <c r="AA369" s="295"/>
      <c r="AF369" s="188"/>
      <c r="AH369" s="295"/>
      <c r="AI369" s="188"/>
      <c r="AJ369" s="188"/>
      <c r="AK369" s="188"/>
      <c r="AL369" s="188"/>
      <c r="AM369" s="188"/>
      <c r="AN369" s="188"/>
      <c r="AO369" s="299"/>
      <c r="AS369" s="296"/>
      <c r="AW369" s="296"/>
      <c r="BN369" s="296"/>
      <c r="BO369" s="296"/>
      <c r="CX369" s="302">
        <f t="shared" si="1064"/>
        <v>112014489</v>
      </c>
      <c r="CY369" s="374">
        <v>26</v>
      </c>
      <c r="CZ369" s="359" t="s">
        <v>569</v>
      </c>
      <c r="DA369" s="361">
        <v>7595038.8799999999</v>
      </c>
      <c r="DB369" s="361">
        <v>886406.13</v>
      </c>
      <c r="DC369" s="361">
        <v>1713288.42</v>
      </c>
      <c r="DD369" s="361">
        <v>932232.53</v>
      </c>
      <c r="DE369" s="361">
        <v>310302.84000000003</v>
      </c>
      <c r="DF369" s="811">
        <v>1063786.72</v>
      </c>
      <c r="DG369" s="361">
        <v>1005209.13</v>
      </c>
      <c r="DH369" s="361">
        <v>837924.4</v>
      </c>
      <c r="DI369" s="361">
        <v>845888.7</v>
      </c>
      <c r="DJ369" s="361">
        <v>0</v>
      </c>
      <c r="DK369" s="361">
        <v>0</v>
      </c>
      <c r="DL369" s="361"/>
      <c r="DM369" s="361"/>
      <c r="DN369" s="361"/>
      <c r="DO369" s="378"/>
    </row>
    <row r="370" spans="2:119" ht="13">
      <c r="B370" s="294"/>
      <c r="F370" s="296"/>
      <c r="J370" s="302"/>
      <c r="R370" s="188"/>
      <c r="T370" s="295"/>
      <c r="Y370" s="188"/>
      <c r="AA370" s="295"/>
      <c r="AF370" s="188"/>
      <c r="AH370" s="295"/>
      <c r="AI370" s="188"/>
      <c r="AJ370" s="188"/>
      <c r="AK370" s="188"/>
      <c r="AL370" s="188"/>
      <c r="AM370" s="188"/>
      <c r="AN370" s="188"/>
      <c r="AO370" s="299"/>
      <c r="AS370" s="296"/>
      <c r="AW370" s="296"/>
      <c r="BN370" s="296"/>
      <c r="BO370" s="296"/>
      <c r="CX370" s="302">
        <f t="shared" si="1064"/>
        <v>112014036</v>
      </c>
      <c r="CY370" s="374">
        <v>27</v>
      </c>
      <c r="CZ370" s="359" t="s">
        <v>552</v>
      </c>
      <c r="DA370" s="361">
        <v>7103288.6900000004</v>
      </c>
      <c r="DB370" s="361">
        <v>0</v>
      </c>
      <c r="DC370" s="361">
        <v>702088.29</v>
      </c>
      <c r="DD370" s="361">
        <v>928896.05</v>
      </c>
      <c r="DE370" s="361">
        <v>1020890.77</v>
      </c>
      <c r="DF370" s="811">
        <v>506588.78</v>
      </c>
      <c r="DG370" s="361">
        <v>1287994.4099999999</v>
      </c>
      <c r="DH370" s="361">
        <v>864114.03</v>
      </c>
      <c r="DI370" s="361">
        <v>458001.95</v>
      </c>
      <c r="DJ370" s="361">
        <v>844816.53</v>
      </c>
      <c r="DK370" s="361">
        <v>489897.89</v>
      </c>
      <c r="DL370" s="361"/>
      <c r="DM370" s="361"/>
      <c r="DN370" s="361"/>
      <c r="DO370" s="378"/>
    </row>
    <row r="371" spans="2:119" ht="13">
      <c r="B371" s="294"/>
      <c r="F371" s="296"/>
      <c r="J371" s="302"/>
      <c r="R371" s="188"/>
      <c r="T371" s="295"/>
      <c r="Y371" s="188"/>
      <c r="AA371" s="295"/>
      <c r="AF371" s="188"/>
      <c r="AH371" s="295"/>
      <c r="AI371" s="188"/>
      <c r="AJ371" s="188"/>
      <c r="AK371" s="188"/>
      <c r="AL371" s="188"/>
      <c r="AM371" s="188"/>
      <c r="AN371" s="188"/>
      <c r="AO371" s="299"/>
      <c r="AS371" s="296"/>
      <c r="AW371" s="296"/>
      <c r="BN371" s="296"/>
      <c r="BO371" s="296"/>
      <c r="CX371" s="302">
        <f t="shared" si="1064"/>
        <v>112014419</v>
      </c>
      <c r="CY371" s="374">
        <v>28</v>
      </c>
      <c r="CZ371" s="359" t="s">
        <v>564</v>
      </c>
      <c r="DA371" s="361">
        <v>7084576.7300000004</v>
      </c>
      <c r="DB371" s="361">
        <v>0</v>
      </c>
      <c r="DC371" s="361">
        <v>271827.33</v>
      </c>
      <c r="DD371" s="361">
        <v>328189.71000000002</v>
      </c>
      <c r="DE371" s="361">
        <v>465374.29</v>
      </c>
      <c r="DF371" s="811">
        <v>504705.51</v>
      </c>
      <c r="DG371" s="361">
        <v>692713.87</v>
      </c>
      <c r="DH371" s="361">
        <v>1920919.21</v>
      </c>
      <c r="DI371" s="361">
        <v>536847.22</v>
      </c>
      <c r="DJ371" s="361">
        <v>1911892.24</v>
      </c>
      <c r="DK371" s="361">
        <v>452107.36</v>
      </c>
      <c r="DL371" s="361"/>
      <c r="DM371" s="361"/>
      <c r="DN371" s="361"/>
      <c r="DO371" s="378"/>
    </row>
    <row r="372" spans="2:119" ht="13">
      <c r="B372" s="294"/>
      <c r="F372" s="296"/>
      <c r="J372" s="302"/>
      <c r="R372" s="188"/>
      <c r="T372" s="295"/>
      <c r="Y372" s="188"/>
      <c r="AA372" s="295"/>
      <c r="AF372" s="188"/>
      <c r="AH372" s="295"/>
      <c r="AI372" s="188"/>
      <c r="AJ372" s="188"/>
      <c r="AK372" s="188"/>
      <c r="AL372" s="188"/>
      <c r="AM372" s="188"/>
      <c r="AN372" s="188"/>
      <c r="AO372" s="299"/>
      <c r="AS372" s="296"/>
      <c r="AW372" s="296"/>
      <c r="BN372" s="296"/>
      <c r="BO372" s="296"/>
      <c r="CX372" s="302">
        <f t="shared" si="1064"/>
        <v>112014436</v>
      </c>
      <c r="CY372" s="374">
        <v>29</v>
      </c>
      <c r="CZ372" s="359" t="s">
        <v>565</v>
      </c>
      <c r="DA372" s="361">
        <v>6808474.4800000004</v>
      </c>
      <c r="DB372" s="361">
        <v>1773796.75</v>
      </c>
      <c r="DC372" s="361">
        <v>0</v>
      </c>
      <c r="DD372" s="361">
        <v>0</v>
      </c>
      <c r="DE372" s="361">
        <v>576880.61</v>
      </c>
      <c r="DF372" s="811">
        <v>4091740.65</v>
      </c>
      <c r="DG372" s="361">
        <v>366056.46</v>
      </c>
      <c r="DH372" s="361">
        <v>0</v>
      </c>
      <c r="DI372" s="361">
        <v>0</v>
      </c>
      <c r="DJ372" s="365">
        <v>0</v>
      </c>
      <c r="DK372" s="365">
        <v>0</v>
      </c>
      <c r="DL372" s="365"/>
      <c r="DM372" s="365"/>
      <c r="DN372" s="365"/>
      <c r="DO372" s="379"/>
    </row>
    <row r="373" spans="2:119" ht="13">
      <c r="B373" s="294"/>
      <c r="F373" s="296"/>
      <c r="J373" s="302"/>
      <c r="R373" s="188"/>
      <c r="T373" s="295"/>
      <c r="Y373" s="188"/>
      <c r="AA373" s="295"/>
      <c r="AF373" s="188"/>
      <c r="AH373" s="295"/>
      <c r="AI373" s="188"/>
      <c r="AJ373" s="188"/>
      <c r="AK373" s="188"/>
      <c r="AL373" s="188"/>
      <c r="AM373" s="188"/>
      <c r="AN373" s="188"/>
      <c r="AO373" s="299"/>
      <c r="AS373" s="296"/>
      <c r="AW373" s="296"/>
      <c r="BN373" s="296"/>
      <c r="BO373" s="296"/>
      <c r="CX373" s="302">
        <f t="shared" si="1064"/>
        <v>112014211</v>
      </c>
      <c r="CY373" s="374">
        <v>30</v>
      </c>
      <c r="CZ373" s="359" t="s">
        <v>517</v>
      </c>
      <c r="DA373" s="361">
        <v>6758181.6500000004</v>
      </c>
      <c r="DB373" s="361">
        <v>2218992.6</v>
      </c>
      <c r="DC373" s="361">
        <v>0</v>
      </c>
      <c r="DD373" s="361">
        <v>33188.32</v>
      </c>
      <c r="DE373" s="361">
        <v>1034338.61</v>
      </c>
      <c r="DF373" s="811">
        <v>862537.78</v>
      </c>
      <c r="DG373" s="361">
        <v>873668.88</v>
      </c>
      <c r="DH373" s="361">
        <v>1573340.74</v>
      </c>
      <c r="DI373" s="361">
        <v>162114.72</v>
      </c>
      <c r="DJ373" s="361">
        <v>0</v>
      </c>
      <c r="DK373" s="361">
        <v>0</v>
      </c>
      <c r="DL373" s="361"/>
      <c r="DM373" s="361"/>
      <c r="DN373" s="361"/>
      <c r="DO373" s="378"/>
    </row>
    <row r="374" spans="2:119" ht="13">
      <c r="B374" s="294"/>
      <c r="F374" s="296"/>
      <c r="J374" s="302"/>
      <c r="R374" s="188"/>
      <c r="T374" s="295"/>
      <c r="Y374" s="188"/>
      <c r="AA374" s="295"/>
      <c r="AF374" s="188"/>
      <c r="AH374" s="295"/>
      <c r="AI374" s="188"/>
      <c r="AJ374" s="188"/>
      <c r="AK374" s="188"/>
      <c r="AL374" s="188"/>
      <c r="AM374" s="188"/>
      <c r="AN374" s="188"/>
      <c r="AO374" s="299"/>
      <c r="AS374" s="296"/>
      <c r="AW374" s="296"/>
      <c r="BN374" s="296"/>
      <c r="BO374" s="296"/>
      <c r="CX374" s="302">
        <f t="shared" si="1064"/>
        <v>112013232</v>
      </c>
      <c r="CY374" s="374">
        <v>31</v>
      </c>
      <c r="CZ374" s="359" t="s">
        <v>630</v>
      </c>
      <c r="DA374" s="361">
        <v>6516311.5700000003</v>
      </c>
      <c r="DB374" s="361">
        <v>685741.94</v>
      </c>
      <c r="DC374" s="361">
        <v>657280.74</v>
      </c>
      <c r="DD374" s="361">
        <v>875353.51</v>
      </c>
      <c r="DE374" s="361">
        <v>188811.01</v>
      </c>
      <c r="DF374" s="811">
        <v>782504.07</v>
      </c>
      <c r="DG374" s="361">
        <v>1107581.42</v>
      </c>
      <c r="DH374" s="361">
        <v>476496.59</v>
      </c>
      <c r="DI374" s="361">
        <v>522015.11</v>
      </c>
      <c r="DJ374" s="361">
        <v>678347.6</v>
      </c>
      <c r="DK374" s="361">
        <v>542179.57999999996</v>
      </c>
      <c r="DL374" s="361"/>
      <c r="DM374" s="361"/>
      <c r="DN374" s="361"/>
      <c r="DO374" s="378"/>
    </row>
    <row r="375" spans="2:119" ht="13">
      <c r="B375" s="294"/>
      <c r="F375" s="296"/>
      <c r="J375" s="302"/>
      <c r="R375" s="188"/>
      <c r="T375" s="295"/>
      <c r="Y375" s="188"/>
      <c r="AA375" s="295"/>
      <c r="AF375" s="188"/>
      <c r="AH375" s="295"/>
      <c r="AI375" s="188"/>
      <c r="AJ375" s="188"/>
      <c r="AK375" s="188"/>
      <c r="AL375" s="188"/>
      <c r="AM375" s="188"/>
      <c r="AN375" s="188"/>
      <c r="AO375" s="299"/>
      <c r="AS375" s="296"/>
      <c r="AW375" s="296"/>
      <c r="BN375" s="296"/>
      <c r="BO375" s="296"/>
      <c r="CX375" s="302">
        <f t="shared" si="1064"/>
        <v>112014074</v>
      </c>
      <c r="CY375" s="374">
        <v>32</v>
      </c>
      <c r="CZ375" s="359" t="s">
        <v>516</v>
      </c>
      <c r="DA375" s="361">
        <v>6088898.6500000004</v>
      </c>
      <c r="DB375" s="361">
        <v>548837.99</v>
      </c>
      <c r="DC375" s="361">
        <v>945556.25</v>
      </c>
      <c r="DD375" s="361">
        <v>297327.28000000003</v>
      </c>
      <c r="DE375" s="361">
        <v>708811.18</v>
      </c>
      <c r="DF375" s="811">
        <v>732696.2</v>
      </c>
      <c r="DG375" s="361">
        <v>219666.02</v>
      </c>
      <c r="DH375" s="361">
        <v>934760.3</v>
      </c>
      <c r="DI375" s="361">
        <v>809662.52</v>
      </c>
      <c r="DJ375" s="361">
        <v>484187</v>
      </c>
      <c r="DK375" s="361">
        <v>407393.91</v>
      </c>
      <c r="DL375" s="361"/>
      <c r="DM375" s="361"/>
      <c r="DN375" s="361"/>
      <c r="DO375" s="378"/>
    </row>
    <row r="376" spans="2:119" ht="13">
      <c r="B376" s="294"/>
      <c r="F376" s="296"/>
      <c r="J376" s="302"/>
      <c r="R376" s="188"/>
      <c r="T376" s="295"/>
      <c r="Y376" s="188"/>
      <c r="AA376" s="295"/>
      <c r="AF376" s="188"/>
      <c r="AH376" s="295"/>
      <c r="AI376" s="188"/>
      <c r="AJ376" s="188"/>
      <c r="AK376" s="188"/>
      <c r="AL376" s="188"/>
      <c r="AM376" s="188"/>
      <c r="AN376" s="188"/>
      <c r="AO376" s="299"/>
      <c r="AS376" s="296"/>
      <c r="AW376" s="296"/>
      <c r="BN376" s="296"/>
      <c r="BO376" s="296"/>
      <c r="CX376" s="302">
        <f t="shared" ref="CX376:CX407" si="1065">VLOOKUP(CZ376,LAGECARTERA,3,FALSE)</f>
        <v>112014330</v>
      </c>
      <c r="CY376" s="374">
        <v>33</v>
      </c>
      <c r="CZ376" s="359" t="s">
        <v>554</v>
      </c>
      <c r="DA376" s="361">
        <v>5642443.7999999998</v>
      </c>
      <c r="DB376" s="361">
        <v>804741.19</v>
      </c>
      <c r="DC376" s="361">
        <v>670645.99</v>
      </c>
      <c r="DD376" s="361">
        <v>580467.46</v>
      </c>
      <c r="DE376" s="361">
        <v>250189.92</v>
      </c>
      <c r="DF376" s="811">
        <v>662809</v>
      </c>
      <c r="DG376" s="361">
        <v>248614.42</v>
      </c>
      <c r="DH376" s="361">
        <v>265452.96000000002</v>
      </c>
      <c r="DI376" s="361">
        <v>602367.4</v>
      </c>
      <c r="DJ376" s="361">
        <v>773197.83</v>
      </c>
      <c r="DK376" s="361">
        <v>783957.63</v>
      </c>
      <c r="DL376" s="365"/>
      <c r="DM376" s="365"/>
      <c r="DN376" s="365"/>
      <c r="DO376" s="379"/>
    </row>
    <row r="377" spans="2:119" ht="13">
      <c r="B377" s="294"/>
      <c r="F377" s="296"/>
      <c r="J377" s="302"/>
      <c r="R377" s="188"/>
      <c r="T377" s="295"/>
      <c r="Y377" s="188"/>
      <c r="AA377" s="295"/>
      <c r="AF377" s="188"/>
      <c r="AH377" s="295"/>
      <c r="AI377" s="188"/>
      <c r="AJ377" s="188"/>
      <c r="AK377" s="188"/>
      <c r="AL377" s="188"/>
      <c r="AM377" s="188"/>
      <c r="AN377" s="188"/>
      <c r="AO377" s="299"/>
      <c r="AS377" s="296"/>
      <c r="AW377" s="296"/>
      <c r="BN377" s="296"/>
      <c r="BO377" s="296"/>
      <c r="CX377" s="302">
        <f t="shared" si="1065"/>
        <v>112014278</v>
      </c>
      <c r="CY377" s="374">
        <v>34</v>
      </c>
      <c r="CZ377" s="359" t="s">
        <v>578</v>
      </c>
      <c r="DA377" s="361">
        <v>4736215.41</v>
      </c>
      <c r="DB377" s="361">
        <v>540557.04</v>
      </c>
      <c r="DC377" s="361">
        <v>795611.28</v>
      </c>
      <c r="DD377" s="361">
        <v>451712.25</v>
      </c>
      <c r="DE377" s="361">
        <v>490690.56</v>
      </c>
      <c r="DF377" s="811">
        <v>871902.08</v>
      </c>
      <c r="DG377" s="361">
        <v>563973.68999999994</v>
      </c>
      <c r="DH377" s="361">
        <v>380237.72</v>
      </c>
      <c r="DI377" s="361">
        <v>491518.2</v>
      </c>
      <c r="DJ377" s="361">
        <v>0</v>
      </c>
      <c r="DK377" s="361">
        <v>150012.6</v>
      </c>
      <c r="DL377" s="361"/>
      <c r="DM377" s="361"/>
      <c r="DN377" s="361"/>
      <c r="DO377" s="378"/>
    </row>
    <row r="378" spans="2:119" ht="13">
      <c r="B378" s="294"/>
      <c r="F378" s="296"/>
      <c r="J378" s="302"/>
      <c r="R378" s="188"/>
      <c r="T378" s="295"/>
      <c r="Y378" s="188"/>
      <c r="AA378" s="295"/>
      <c r="AF378" s="188"/>
      <c r="AH378" s="295"/>
      <c r="AI378" s="188"/>
      <c r="AJ378" s="188"/>
      <c r="AK378" s="188"/>
      <c r="AL378" s="188"/>
      <c r="AM378" s="188"/>
      <c r="AN378" s="188"/>
      <c r="AO378" s="299"/>
      <c r="AS378" s="296"/>
      <c r="AW378" s="296"/>
      <c r="BN378" s="296"/>
      <c r="BO378" s="296"/>
      <c r="CX378" s="302">
        <f t="shared" si="1065"/>
        <v>112014471</v>
      </c>
      <c r="CY378" s="374">
        <v>35</v>
      </c>
      <c r="CZ378" s="359" t="s">
        <v>559</v>
      </c>
      <c r="DA378" s="361">
        <v>4695880.8499999996</v>
      </c>
      <c r="DB378" s="361">
        <v>440087.66</v>
      </c>
      <c r="DC378" s="361">
        <v>871024.59</v>
      </c>
      <c r="DD378" s="361">
        <v>650613.56999999995</v>
      </c>
      <c r="DE378" s="361">
        <v>139045.74</v>
      </c>
      <c r="DF378" s="811">
        <v>440750.2</v>
      </c>
      <c r="DG378" s="361">
        <v>277995.75</v>
      </c>
      <c r="DH378" s="361">
        <v>107494.39999999999</v>
      </c>
      <c r="DI378" s="361">
        <v>871522.36</v>
      </c>
      <c r="DJ378" s="361">
        <v>334367.69</v>
      </c>
      <c r="DK378" s="361">
        <v>562978.9</v>
      </c>
      <c r="DL378" s="361"/>
      <c r="DM378" s="361"/>
      <c r="DN378" s="361"/>
      <c r="DO378" s="378"/>
    </row>
    <row r="379" spans="2:119" ht="13">
      <c r="B379" s="294"/>
      <c r="F379" s="296"/>
      <c r="J379" s="302"/>
      <c r="R379" s="188"/>
      <c r="T379" s="295"/>
      <c r="Y379" s="188"/>
      <c r="AA379" s="295"/>
      <c r="AF379" s="188"/>
      <c r="AH379" s="295"/>
      <c r="AI379" s="188"/>
      <c r="AJ379" s="188"/>
      <c r="AK379" s="188"/>
      <c r="AL379" s="188"/>
      <c r="AM379" s="188"/>
      <c r="AN379" s="188"/>
      <c r="AO379" s="299"/>
      <c r="AS379" s="296"/>
      <c r="AW379" s="296"/>
      <c r="BN379" s="296"/>
      <c r="BO379" s="296"/>
      <c r="CX379" s="302">
        <f t="shared" si="1065"/>
        <v>112014156</v>
      </c>
      <c r="CY379" s="374">
        <v>36</v>
      </c>
      <c r="CZ379" s="359" t="s">
        <v>623</v>
      </c>
      <c r="DA379" s="361">
        <v>4424859.99</v>
      </c>
      <c r="DB379" s="352">
        <v>0</v>
      </c>
      <c r="DC379" s="352">
        <v>677838.7</v>
      </c>
      <c r="DD379" s="361">
        <v>0</v>
      </c>
      <c r="DE379" s="361">
        <v>1257389.98</v>
      </c>
      <c r="DF379" s="811">
        <v>0</v>
      </c>
      <c r="DG379" s="361">
        <v>377216.84</v>
      </c>
      <c r="DH379" s="361">
        <v>792155.53</v>
      </c>
      <c r="DI379" s="361">
        <v>1320258.94</v>
      </c>
      <c r="DJ379" s="361">
        <v>0</v>
      </c>
      <c r="DK379" s="361">
        <v>0</v>
      </c>
      <c r="DL379" s="361"/>
      <c r="DM379" s="361"/>
      <c r="DN379" s="361"/>
      <c r="DO379" s="378"/>
    </row>
    <row r="380" spans="2:119" ht="13">
      <c r="B380" s="294"/>
      <c r="F380" s="296"/>
      <c r="J380" s="302"/>
      <c r="R380" s="188"/>
      <c r="T380" s="295"/>
      <c r="Y380" s="188"/>
      <c r="AA380" s="295"/>
      <c r="AF380" s="188"/>
      <c r="AH380" s="295"/>
      <c r="AI380" s="188"/>
      <c r="AJ380" s="188"/>
      <c r="AK380" s="188"/>
      <c r="AL380" s="188"/>
      <c r="AM380" s="188"/>
      <c r="AN380" s="188"/>
      <c r="AO380" s="299"/>
      <c r="AS380" s="296"/>
      <c r="AW380" s="296"/>
      <c r="BN380" s="296"/>
      <c r="BO380" s="296"/>
      <c r="CX380" s="302">
        <f t="shared" si="1065"/>
        <v>112014678</v>
      </c>
      <c r="CY380" s="374">
        <v>37</v>
      </c>
      <c r="CZ380" s="359" t="s">
        <v>580</v>
      </c>
      <c r="DA380" s="361">
        <v>4378733.05</v>
      </c>
      <c r="DB380" s="352">
        <v>0</v>
      </c>
      <c r="DC380" s="352">
        <v>0</v>
      </c>
      <c r="DD380" s="361">
        <v>0</v>
      </c>
      <c r="DE380" s="361">
        <v>642660</v>
      </c>
      <c r="DF380" s="811">
        <v>217664.8</v>
      </c>
      <c r="DG380" s="361">
        <v>570691.43999999994</v>
      </c>
      <c r="DH380" s="361">
        <v>645714.88</v>
      </c>
      <c r="DI380" s="361">
        <v>858223.28</v>
      </c>
      <c r="DJ380" s="361">
        <v>323768.40000000002</v>
      </c>
      <c r="DK380" s="361">
        <v>1120010.25</v>
      </c>
      <c r="DL380" s="361"/>
      <c r="DM380" s="361"/>
      <c r="DN380" s="361"/>
      <c r="DO380" s="378"/>
    </row>
    <row r="381" spans="2:119" ht="13">
      <c r="B381" s="294"/>
      <c r="F381" s="296"/>
      <c r="J381" s="302"/>
      <c r="R381" s="188"/>
      <c r="T381" s="295"/>
      <c r="Y381" s="188"/>
      <c r="AA381" s="295"/>
      <c r="AF381" s="188"/>
      <c r="AH381" s="295"/>
      <c r="AI381" s="188"/>
      <c r="AJ381" s="188"/>
      <c r="AK381" s="188"/>
      <c r="AL381" s="188"/>
      <c r="AM381" s="188"/>
      <c r="AN381" s="188"/>
      <c r="AO381" s="299"/>
      <c r="AS381" s="296"/>
      <c r="AW381" s="296"/>
      <c r="BN381" s="296"/>
      <c r="BO381" s="296"/>
      <c r="CX381" s="302">
        <f t="shared" si="1065"/>
        <v>112014748</v>
      </c>
      <c r="CY381" s="374">
        <v>38</v>
      </c>
      <c r="CZ381" s="359" t="s">
        <v>644</v>
      </c>
      <c r="DA381" s="361">
        <v>4256417.07</v>
      </c>
      <c r="DB381" s="361">
        <v>0</v>
      </c>
      <c r="DC381" s="361">
        <v>0</v>
      </c>
      <c r="DD381" s="361">
        <v>0</v>
      </c>
      <c r="DE381" s="361">
        <v>0</v>
      </c>
      <c r="DF381" s="811">
        <v>0</v>
      </c>
      <c r="DG381" s="361">
        <v>0</v>
      </c>
      <c r="DH381" s="361">
        <v>0</v>
      </c>
      <c r="DI381" s="361">
        <v>1343618.3</v>
      </c>
      <c r="DJ381" s="361">
        <v>1320258.94</v>
      </c>
      <c r="DK381" s="361">
        <v>1592539.83</v>
      </c>
      <c r="DL381" s="361"/>
      <c r="DM381" s="361"/>
      <c r="DN381" s="361"/>
      <c r="DO381" s="378"/>
    </row>
    <row r="382" spans="2:119" ht="13">
      <c r="B382" s="294"/>
      <c r="F382" s="296"/>
      <c r="J382" s="302"/>
      <c r="R382" s="188"/>
      <c r="T382" s="295"/>
      <c r="Y382" s="188"/>
      <c r="AA382" s="295"/>
      <c r="AF382" s="188"/>
      <c r="AH382" s="295"/>
      <c r="AI382" s="188"/>
      <c r="AJ382" s="188"/>
      <c r="AK382" s="188"/>
      <c r="AL382" s="188"/>
      <c r="AM382" s="188"/>
      <c r="AN382" s="188"/>
      <c r="AO382" s="299"/>
      <c r="AS382" s="296"/>
      <c r="AW382" s="296"/>
      <c r="BN382" s="296"/>
      <c r="BO382" s="296"/>
      <c r="CX382" s="302">
        <f t="shared" si="1065"/>
        <v>112013247</v>
      </c>
      <c r="CY382" s="374">
        <v>39</v>
      </c>
      <c r="CZ382" s="359" t="s">
        <v>518</v>
      </c>
      <c r="DA382" s="361">
        <v>4238868.9800000004</v>
      </c>
      <c r="DB382" s="361">
        <v>465393.12</v>
      </c>
      <c r="DC382" s="361">
        <v>552985.97</v>
      </c>
      <c r="DD382" s="361">
        <v>156762.88</v>
      </c>
      <c r="DE382" s="361">
        <v>538881.42000000004</v>
      </c>
      <c r="DF382" s="811">
        <v>780528.8</v>
      </c>
      <c r="DG382" s="361">
        <v>0</v>
      </c>
      <c r="DH382" s="361">
        <v>445328.23</v>
      </c>
      <c r="DI382" s="361">
        <v>982058.47</v>
      </c>
      <c r="DJ382" s="361">
        <v>0</v>
      </c>
      <c r="DK382" s="361">
        <v>316930.09999999998</v>
      </c>
      <c r="DL382" s="361"/>
      <c r="DM382" s="361"/>
      <c r="DN382" s="361"/>
      <c r="DO382" s="378"/>
    </row>
    <row r="383" spans="2:119" ht="13">
      <c r="B383" s="294"/>
      <c r="F383" s="296"/>
      <c r="J383" s="302"/>
      <c r="R383" s="188"/>
      <c r="T383" s="295"/>
      <c r="Y383" s="188"/>
      <c r="AA383" s="295"/>
      <c r="AF383" s="188"/>
      <c r="AH383" s="295"/>
      <c r="AI383" s="188"/>
      <c r="AJ383" s="188"/>
      <c r="AK383" s="188"/>
      <c r="AL383" s="188"/>
      <c r="AM383" s="188"/>
      <c r="AN383" s="188"/>
      <c r="AO383" s="299"/>
      <c r="AS383" s="296"/>
      <c r="AW383" s="296"/>
      <c r="BN383" s="296"/>
      <c r="BO383" s="296"/>
      <c r="CX383" s="302">
        <f t="shared" si="1065"/>
        <v>112014506</v>
      </c>
      <c r="CY383" s="374">
        <v>40</v>
      </c>
      <c r="CZ383" s="359" t="s">
        <v>557</v>
      </c>
      <c r="DA383" s="361">
        <v>3799941.62</v>
      </c>
      <c r="DB383" s="361">
        <v>504202.9</v>
      </c>
      <c r="DC383" s="361">
        <v>386538.46</v>
      </c>
      <c r="DD383" s="361">
        <v>202122.84</v>
      </c>
      <c r="DE383" s="361">
        <v>359254.28</v>
      </c>
      <c r="DF383" s="811">
        <v>283717.2</v>
      </c>
      <c r="DG383" s="361">
        <v>283110.06</v>
      </c>
      <c r="DH383" s="361">
        <v>951608.89</v>
      </c>
      <c r="DI383" s="361">
        <v>293302.99</v>
      </c>
      <c r="DJ383" s="361">
        <v>0</v>
      </c>
      <c r="DK383" s="361">
        <v>536083.99</v>
      </c>
      <c r="DL383" s="361"/>
      <c r="DM383" s="361"/>
      <c r="DN383" s="361"/>
      <c r="DO383" s="378"/>
    </row>
    <row r="384" spans="2:119" ht="13">
      <c r="B384" s="294"/>
      <c r="F384" s="296"/>
      <c r="J384" s="302"/>
      <c r="R384" s="188"/>
      <c r="T384" s="295"/>
      <c r="Y384" s="188"/>
      <c r="AA384" s="295"/>
      <c r="AF384" s="188"/>
      <c r="AH384" s="295"/>
      <c r="AI384" s="188"/>
      <c r="AJ384" s="188"/>
      <c r="AK384" s="188"/>
      <c r="AL384" s="188"/>
      <c r="AM384" s="188"/>
      <c r="AN384" s="188"/>
      <c r="AO384" s="299"/>
      <c r="AS384" s="296"/>
      <c r="AW384" s="296"/>
      <c r="BN384" s="296"/>
      <c r="BO384" s="296"/>
      <c r="CX384" s="302">
        <f t="shared" si="1065"/>
        <v>112014413</v>
      </c>
      <c r="CY384" s="374">
        <v>41</v>
      </c>
      <c r="CZ384" s="359" t="s">
        <v>506</v>
      </c>
      <c r="DA384" s="361">
        <v>3711050.32</v>
      </c>
      <c r="DB384" s="361">
        <v>0</v>
      </c>
      <c r="DC384" s="361">
        <v>285000</v>
      </c>
      <c r="DD384" s="361">
        <v>0</v>
      </c>
      <c r="DE384" s="361">
        <v>0</v>
      </c>
      <c r="DF384" s="811">
        <v>0</v>
      </c>
      <c r="DG384" s="361">
        <v>0</v>
      </c>
      <c r="DH384" s="361">
        <v>856512.58</v>
      </c>
      <c r="DI384" s="361">
        <v>2569537.7400000002</v>
      </c>
      <c r="DJ384" s="361">
        <v>0</v>
      </c>
      <c r="DK384" s="361">
        <v>0</v>
      </c>
      <c r="DL384" s="361"/>
      <c r="DM384" s="361"/>
      <c r="DN384" s="361"/>
      <c r="DO384" s="378"/>
    </row>
    <row r="385" spans="2:119" ht="13">
      <c r="B385" s="294"/>
      <c r="F385" s="296"/>
      <c r="J385" s="302"/>
      <c r="R385" s="188"/>
      <c r="T385" s="295"/>
      <c r="Y385" s="188"/>
      <c r="AA385" s="295"/>
      <c r="AF385" s="188"/>
      <c r="AH385" s="295"/>
      <c r="AI385" s="188"/>
      <c r="AJ385" s="188"/>
      <c r="AK385" s="188"/>
      <c r="AL385" s="188"/>
      <c r="AM385" s="188"/>
      <c r="AN385" s="188"/>
      <c r="AO385" s="299"/>
      <c r="AS385" s="296"/>
      <c r="AW385" s="296"/>
      <c r="BN385" s="296"/>
      <c r="BO385" s="296"/>
      <c r="CX385" s="302">
        <f t="shared" si="1065"/>
        <v>112014395</v>
      </c>
      <c r="CY385" s="374">
        <v>42</v>
      </c>
      <c r="CZ385" s="359" t="s">
        <v>588</v>
      </c>
      <c r="DA385" s="361">
        <v>3594207.05</v>
      </c>
      <c r="DB385" s="352">
        <v>0</v>
      </c>
      <c r="DC385" s="352">
        <v>0</v>
      </c>
      <c r="DD385" s="361">
        <v>0</v>
      </c>
      <c r="DE385" s="361">
        <v>0</v>
      </c>
      <c r="DF385" s="811">
        <v>0</v>
      </c>
      <c r="DG385" s="361">
        <v>174026.56</v>
      </c>
      <c r="DH385" s="361">
        <v>537765.38</v>
      </c>
      <c r="DI385" s="361">
        <v>1199740.3500000001</v>
      </c>
      <c r="DJ385" s="361">
        <v>733251.9</v>
      </c>
      <c r="DK385" s="361">
        <v>949422.86</v>
      </c>
      <c r="DL385" s="361"/>
      <c r="DM385" s="361"/>
      <c r="DN385" s="361"/>
      <c r="DO385" s="378"/>
    </row>
    <row r="386" spans="2:119" ht="13">
      <c r="B386" s="294"/>
      <c r="F386" s="296"/>
      <c r="J386" s="302"/>
      <c r="R386" s="188"/>
      <c r="T386" s="295"/>
      <c r="Y386" s="188"/>
      <c r="AA386" s="295"/>
      <c r="AF386" s="188"/>
      <c r="AH386" s="295"/>
      <c r="AI386" s="188"/>
      <c r="AJ386" s="188"/>
      <c r="AK386" s="188"/>
      <c r="AL386" s="188"/>
      <c r="AM386" s="188"/>
      <c r="AN386" s="188"/>
      <c r="AO386" s="299"/>
      <c r="AS386" s="296"/>
      <c r="AW386" s="296"/>
      <c r="BN386" s="296"/>
      <c r="BO386" s="296"/>
      <c r="CX386" s="302">
        <f t="shared" si="1065"/>
        <v>112013219</v>
      </c>
      <c r="CY386" s="374">
        <v>43</v>
      </c>
      <c r="CZ386" s="359" t="s">
        <v>626</v>
      </c>
      <c r="DA386" s="361">
        <v>3425248.44</v>
      </c>
      <c r="DB386" s="361">
        <v>188997.92</v>
      </c>
      <c r="DC386" s="361">
        <v>395119.84</v>
      </c>
      <c r="DD386" s="361">
        <v>297309.61</v>
      </c>
      <c r="DE386" s="361">
        <v>281327.2</v>
      </c>
      <c r="DF386" s="811">
        <v>108004.24</v>
      </c>
      <c r="DG386" s="361">
        <v>607931.6</v>
      </c>
      <c r="DH386" s="361">
        <v>475761.91999999998</v>
      </c>
      <c r="DI386" s="361">
        <v>270324</v>
      </c>
      <c r="DJ386" s="361">
        <v>373882.48</v>
      </c>
      <c r="DK386" s="361">
        <v>426589.63</v>
      </c>
      <c r="DL386" s="365"/>
      <c r="DM386" s="365"/>
      <c r="DN386" s="365"/>
      <c r="DO386" s="379"/>
    </row>
    <row r="387" spans="2:119" ht="13">
      <c r="B387" s="294"/>
      <c r="F387" s="296"/>
      <c r="J387" s="302"/>
      <c r="R387" s="188"/>
      <c r="T387" s="295"/>
      <c r="Y387" s="188"/>
      <c r="AA387" s="295"/>
      <c r="AF387" s="188"/>
      <c r="AH387" s="295"/>
      <c r="AI387" s="188"/>
      <c r="AJ387" s="188"/>
      <c r="AK387" s="188"/>
      <c r="AL387" s="188"/>
      <c r="AM387" s="188"/>
      <c r="AN387" s="188"/>
      <c r="AO387" s="299"/>
      <c r="AS387" s="296"/>
      <c r="AW387" s="296"/>
      <c r="BN387" s="296"/>
      <c r="BO387" s="296"/>
      <c r="CX387" s="302">
        <f t="shared" si="1065"/>
        <v>112014649</v>
      </c>
      <c r="CY387" s="374">
        <v>44</v>
      </c>
      <c r="CZ387" s="359" t="s">
        <v>596</v>
      </c>
      <c r="DA387" s="361">
        <v>3423808.21</v>
      </c>
      <c r="DB387" s="361">
        <v>106402.48</v>
      </c>
      <c r="DC387" s="361">
        <v>408530.88</v>
      </c>
      <c r="DD387" s="361">
        <v>131084.16</v>
      </c>
      <c r="DE387" s="361">
        <v>72546.720000000001</v>
      </c>
      <c r="DF387" s="811">
        <v>0</v>
      </c>
      <c r="DG387" s="361">
        <v>413496.96</v>
      </c>
      <c r="DH387" s="361">
        <v>862846.27</v>
      </c>
      <c r="DI387" s="361">
        <v>567373.04</v>
      </c>
      <c r="DJ387" s="361">
        <v>861527.7</v>
      </c>
      <c r="DK387" s="361">
        <v>0</v>
      </c>
      <c r="DL387" s="361"/>
      <c r="DM387" s="361"/>
      <c r="DN387" s="361"/>
      <c r="DO387" s="378"/>
    </row>
    <row r="388" spans="2:119" ht="13">
      <c r="B388" s="294"/>
      <c r="F388" s="296"/>
      <c r="J388" s="302"/>
      <c r="R388" s="188"/>
      <c r="T388" s="295"/>
      <c r="Y388" s="188"/>
      <c r="AA388" s="295"/>
      <c r="AF388" s="188"/>
      <c r="AH388" s="295"/>
      <c r="AI388" s="188"/>
      <c r="AJ388" s="188"/>
      <c r="AK388" s="188"/>
      <c r="AL388" s="188"/>
      <c r="AM388" s="188"/>
      <c r="AN388" s="188"/>
      <c r="AO388" s="299"/>
      <c r="AS388" s="296"/>
      <c r="AW388" s="296"/>
      <c r="BN388" s="296"/>
      <c r="BO388" s="296"/>
      <c r="CX388" s="302" t="e">
        <f t="shared" si="1065"/>
        <v>#N/A</v>
      </c>
      <c r="CY388" s="374">
        <v>45</v>
      </c>
      <c r="CZ388" s="359" t="s">
        <v>546</v>
      </c>
      <c r="DA388" s="361">
        <v>3015703.19</v>
      </c>
      <c r="DB388" s="361">
        <v>0</v>
      </c>
      <c r="DC388" s="361">
        <v>0</v>
      </c>
      <c r="DD388" s="361">
        <v>0</v>
      </c>
      <c r="DE388" s="361">
        <v>0</v>
      </c>
      <c r="DF388" s="811">
        <v>0</v>
      </c>
      <c r="DG388" s="361">
        <v>0</v>
      </c>
      <c r="DH388" s="361">
        <v>0</v>
      </c>
      <c r="DI388" s="361">
        <v>1285747.0900000001</v>
      </c>
      <c r="DJ388" s="361">
        <v>812611.59</v>
      </c>
      <c r="DK388" s="361">
        <v>917344.51</v>
      </c>
      <c r="DL388" s="365"/>
      <c r="DM388" s="365"/>
      <c r="DN388" s="365"/>
      <c r="DO388" s="379"/>
    </row>
    <row r="389" spans="2:119" ht="13">
      <c r="B389" s="294"/>
      <c r="F389" s="296"/>
      <c r="J389" s="302"/>
      <c r="R389" s="188"/>
      <c r="T389" s="295"/>
      <c r="Y389" s="188"/>
      <c r="AA389" s="295"/>
      <c r="AF389" s="188"/>
      <c r="AH389" s="295"/>
      <c r="AI389" s="188"/>
      <c r="AJ389" s="188"/>
      <c r="AK389" s="188"/>
      <c r="AL389" s="188"/>
      <c r="AM389" s="188"/>
      <c r="AN389" s="188"/>
      <c r="AO389" s="299"/>
      <c r="AS389" s="296"/>
      <c r="AW389" s="296"/>
      <c r="BN389" s="296"/>
      <c r="BO389" s="296"/>
      <c r="CX389" s="302">
        <f t="shared" si="1065"/>
        <v>112013449</v>
      </c>
      <c r="CY389" s="374">
        <v>46</v>
      </c>
      <c r="CZ389" s="359" t="s">
        <v>632</v>
      </c>
      <c r="DA389" s="361">
        <v>2864958.35</v>
      </c>
      <c r="DB389" s="352">
        <v>324056.44</v>
      </c>
      <c r="DC389" s="352">
        <v>149200.95999999999</v>
      </c>
      <c r="DD389" s="361">
        <v>0</v>
      </c>
      <c r="DE389" s="361">
        <v>859537.58</v>
      </c>
      <c r="DF389" s="811">
        <v>413288.72</v>
      </c>
      <c r="DG389" s="361">
        <v>240664.8</v>
      </c>
      <c r="DH389" s="361">
        <v>329515.92</v>
      </c>
      <c r="DI389" s="361">
        <v>291544.86</v>
      </c>
      <c r="DJ389" s="361">
        <v>82148.800000000003</v>
      </c>
      <c r="DK389" s="361">
        <v>175000.27</v>
      </c>
      <c r="DL389" s="361"/>
      <c r="DM389" s="361"/>
      <c r="DN389" s="361"/>
      <c r="DO389" s="378"/>
    </row>
    <row r="390" spans="2:119" ht="13">
      <c r="B390" s="294"/>
      <c r="F390" s="296"/>
      <c r="J390" s="302"/>
      <c r="R390" s="188"/>
      <c r="T390" s="295"/>
      <c r="Y390" s="188"/>
      <c r="AA390" s="295"/>
      <c r="AF390" s="188"/>
      <c r="AH390" s="295"/>
      <c r="AI390" s="188"/>
      <c r="AJ390" s="188"/>
      <c r="AK390" s="188"/>
      <c r="AL390" s="188"/>
      <c r="AM390" s="188"/>
      <c r="AN390" s="188"/>
      <c r="AO390" s="299"/>
      <c r="AS390" s="296"/>
      <c r="AW390" s="296"/>
      <c r="BN390" s="296"/>
      <c r="BO390" s="296"/>
      <c r="CX390" s="302">
        <f t="shared" si="1065"/>
        <v>112014368</v>
      </c>
      <c r="CY390" s="374">
        <v>47</v>
      </c>
      <c r="CZ390" s="359" t="s">
        <v>570</v>
      </c>
      <c r="DA390" s="361">
        <v>2816521.53</v>
      </c>
      <c r="DB390" s="361">
        <v>385917.92</v>
      </c>
      <c r="DC390" s="361">
        <v>114491.9</v>
      </c>
      <c r="DD390" s="361">
        <v>271736.38</v>
      </c>
      <c r="DE390" s="361">
        <v>170906.01</v>
      </c>
      <c r="DF390" s="811">
        <v>270315.26</v>
      </c>
      <c r="DG390" s="361">
        <v>186363.42</v>
      </c>
      <c r="DH390" s="361">
        <v>258083.7</v>
      </c>
      <c r="DI390" s="361">
        <v>591030.09</v>
      </c>
      <c r="DJ390" s="361">
        <v>134902.74</v>
      </c>
      <c r="DK390" s="361">
        <v>432774.1</v>
      </c>
      <c r="DL390" s="361"/>
      <c r="DM390" s="361"/>
      <c r="DN390" s="361"/>
      <c r="DO390" s="378"/>
    </row>
    <row r="391" spans="2:119" ht="13">
      <c r="B391" s="294"/>
      <c r="F391" s="296"/>
      <c r="J391" s="302"/>
      <c r="R391" s="188"/>
      <c r="T391" s="295"/>
      <c r="Y391" s="188"/>
      <c r="AA391" s="295"/>
      <c r="AF391" s="188"/>
      <c r="AH391" s="295"/>
      <c r="AI391" s="188"/>
      <c r="AJ391" s="188"/>
      <c r="AK391" s="188"/>
      <c r="AL391" s="188"/>
      <c r="AM391" s="188"/>
      <c r="AN391" s="188"/>
      <c r="AO391" s="299"/>
      <c r="AS391" s="296"/>
      <c r="AW391" s="296"/>
      <c r="BN391" s="296"/>
      <c r="BO391" s="296"/>
      <c r="CX391" s="302">
        <f t="shared" si="1065"/>
        <v>112014638</v>
      </c>
      <c r="CY391" s="374">
        <v>48</v>
      </c>
      <c r="CZ391" s="359" t="s">
        <v>640</v>
      </c>
      <c r="DA391" s="361">
        <v>2555442.29</v>
      </c>
      <c r="DB391" s="361">
        <v>0</v>
      </c>
      <c r="DC391" s="361">
        <v>0</v>
      </c>
      <c r="DD391" s="361">
        <v>228530.88</v>
      </c>
      <c r="DE391" s="361">
        <v>206644.56</v>
      </c>
      <c r="DF391" s="811">
        <v>235148.16</v>
      </c>
      <c r="DG391" s="361">
        <v>391913.6</v>
      </c>
      <c r="DH391" s="361">
        <v>551052.16</v>
      </c>
      <c r="DI391" s="361">
        <v>391913.6</v>
      </c>
      <c r="DJ391" s="361">
        <v>392482.56</v>
      </c>
      <c r="DK391" s="361">
        <v>157756.76999999999</v>
      </c>
      <c r="DL391" s="361"/>
      <c r="DM391" s="361"/>
      <c r="DN391" s="361"/>
      <c r="DO391" s="378"/>
    </row>
    <row r="392" spans="2:119" ht="13">
      <c r="B392" s="294"/>
      <c r="F392" s="296"/>
      <c r="J392" s="302"/>
      <c r="R392" s="188"/>
      <c r="T392" s="295"/>
      <c r="Y392" s="188"/>
      <c r="AA392" s="295"/>
      <c r="AF392" s="188"/>
      <c r="AH392" s="295"/>
      <c r="AI392" s="188"/>
      <c r="AJ392" s="188"/>
      <c r="AK392" s="188"/>
      <c r="AL392" s="188"/>
      <c r="AM392" s="188"/>
      <c r="AN392" s="188"/>
      <c r="AO392" s="299"/>
      <c r="AS392" s="296"/>
      <c r="AW392" s="296"/>
      <c r="BN392" s="296"/>
      <c r="BO392" s="296"/>
      <c r="CX392" s="302">
        <f t="shared" si="1065"/>
        <v>112014407</v>
      </c>
      <c r="CY392" s="374">
        <v>49</v>
      </c>
      <c r="CZ392" s="359" t="s">
        <v>605</v>
      </c>
      <c r="DA392" s="361">
        <v>2547928.11</v>
      </c>
      <c r="DB392" s="361">
        <v>0</v>
      </c>
      <c r="DC392" s="361">
        <v>0</v>
      </c>
      <c r="DD392" s="361">
        <v>0</v>
      </c>
      <c r="DE392" s="361">
        <v>86559.28</v>
      </c>
      <c r="DF392" s="811">
        <v>100512.4</v>
      </c>
      <c r="DG392" s="361">
        <v>449268.12</v>
      </c>
      <c r="DH392" s="361">
        <v>713896.2</v>
      </c>
      <c r="DI392" s="361">
        <v>574125.88</v>
      </c>
      <c r="DJ392" s="361">
        <v>251606.23</v>
      </c>
      <c r="DK392" s="361">
        <v>371960</v>
      </c>
      <c r="DL392" s="361"/>
      <c r="DM392" s="361"/>
      <c r="DN392" s="361"/>
      <c r="DO392" s="378"/>
    </row>
    <row r="393" spans="2:119" ht="13">
      <c r="B393" s="294"/>
      <c r="F393" s="296"/>
      <c r="J393" s="302"/>
      <c r="R393" s="188"/>
      <c r="T393" s="295"/>
      <c r="Y393" s="188"/>
      <c r="AA393" s="295"/>
      <c r="AF393" s="188"/>
      <c r="AH393" s="295"/>
      <c r="AI393" s="188"/>
      <c r="AJ393" s="188"/>
      <c r="AK393" s="188"/>
      <c r="AL393" s="188"/>
      <c r="AM393" s="188"/>
      <c r="AN393" s="188"/>
      <c r="AO393" s="299"/>
      <c r="AS393" s="296"/>
      <c r="AW393" s="296"/>
      <c r="BN393" s="296"/>
      <c r="BO393" s="296"/>
      <c r="CX393" s="302">
        <f t="shared" si="1065"/>
        <v>112013673</v>
      </c>
      <c r="CY393" s="374">
        <v>50</v>
      </c>
      <c r="CZ393" s="359" t="s">
        <v>633</v>
      </c>
      <c r="DA393" s="361">
        <v>2520420.91</v>
      </c>
      <c r="DB393" s="361">
        <v>419337.6</v>
      </c>
      <c r="DC393" s="361">
        <v>204264.8</v>
      </c>
      <c r="DD393" s="361">
        <v>70882.559999999998</v>
      </c>
      <c r="DE393" s="361">
        <v>0</v>
      </c>
      <c r="DF393" s="811">
        <v>214828.4</v>
      </c>
      <c r="DG393" s="361">
        <v>128997.2</v>
      </c>
      <c r="DH393" s="361">
        <v>86365.68</v>
      </c>
      <c r="DI393" s="361">
        <v>513687.74</v>
      </c>
      <c r="DJ393" s="361">
        <v>378905.04</v>
      </c>
      <c r="DK393" s="361">
        <v>503151.89</v>
      </c>
      <c r="DL393" s="361"/>
      <c r="DM393" s="361"/>
      <c r="DN393" s="361"/>
      <c r="DO393" s="378"/>
    </row>
    <row r="394" spans="2:119" ht="13">
      <c r="B394" s="294"/>
      <c r="F394" s="296"/>
      <c r="J394" s="302"/>
      <c r="R394" s="188"/>
      <c r="T394" s="295"/>
      <c r="Y394" s="188"/>
      <c r="AA394" s="295"/>
      <c r="AF394" s="188"/>
      <c r="AH394" s="295"/>
      <c r="AI394" s="188"/>
      <c r="AJ394" s="188"/>
      <c r="AK394" s="188"/>
      <c r="AL394" s="188"/>
      <c r="AM394" s="188"/>
      <c r="AN394" s="188"/>
      <c r="AO394" s="299"/>
      <c r="AS394" s="296"/>
      <c r="AW394" s="296"/>
      <c r="BN394" s="296"/>
      <c r="BO394" s="296"/>
      <c r="CX394" s="302">
        <f t="shared" si="1065"/>
        <v>112014118</v>
      </c>
      <c r="CY394" s="374">
        <v>51</v>
      </c>
      <c r="CZ394" s="359" t="s">
        <v>636</v>
      </c>
      <c r="DA394" s="361">
        <v>2470785.36</v>
      </c>
      <c r="DB394" s="361">
        <v>268397.12</v>
      </c>
      <c r="DC394" s="361">
        <v>297904.88</v>
      </c>
      <c r="DD394" s="361">
        <v>351749.84</v>
      </c>
      <c r="DE394" s="361">
        <v>102944.16</v>
      </c>
      <c r="DF394" s="811">
        <v>307145.03999999998</v>
      </c>
      <c r="DG394" s="361">
        <v>344443.44</v>
      </c>
      <c r="DH394" s="361">
        <v>251457.04</v>
      </c>
      <c r="DI394" s="361">
        <v>434223.28</v>
      </c>
      <c r="DJ394" s="361">
        <v>112520.56</v>
      </c>
      <c r="DK394" s="365">
        <v>0</v>
      </c>
      <c r="DL394" s="365"/>
      <c r="DM394" s="365"/>
      <c r="DN394" s="365"/>
      <c r="DO394" s="379"/>
    </row>
    <row r="395" spans="2:119" ht="13">
      <c r="B395" s="294"/>
      <c r="F395" s="296"/>
      <c r="J395" s="302"/>
      <c r="R395" s="188"/>
      <c r="T395" s="295"/>
      <c r="Y395" s="188"/>
      <c r="AA395" s="295"/>
      <c r="AF395" s="188"/>
      <c r="AH395" s="295"/>
      <c r="AI395" s="188"/>
      <c r="AJ395" s="188"/>
      <c r="AK395" s="188"/>
      <c r="AL395" s="188"/>
      <c r="AM395" s="188"/>
      <c r="AN395" s="188"/>
      <c r="AO395" s="299"/>
      <c r="AS395" s="296"/>
      <c r="AW395" s="296"/>
      <c r="BN395" s="296"/>
      <c r="BO395" s="296"/>
      <c r="CX395" s="302">
        <f t="shared" si="1065"/>
        <v>112014406</v>
      </c>
      <c r="CY395" s="374">
        <v>52</v>
      </c>
      <c r="CZ395" s="359" t="s">
        <v>601</v>
      </c>
      <c r="DA395" s="361">
        <v>2457601.4900000002</v>
      </c>
      <c r="DB395" s="361">
        <v>257576.52</v>
      </c>
      <c r="DC395" s="361">
        <v>332786.08</v>
      </c>
      <c r="DD395" s="361">
        <v>0</v>
      </c>
      <c r="DE395" s="361">
        <v>91060.160000000003</v>
      </c>
      <c r="DF395" s="811">
        <v>295715.03999999998</v>
      </c>
      <c r="DG395" s="361">
        <v>311623.44</v>
      </c>
      <c r="DH395" s="361">
        <v>327162</v>
      </c>
      <c r="DI395" s="361">
        <v>214453.44</v>
      </c>
      <c r="DJ395" s="361">
        <v>524666.4</v>
      </c>
      <c r="DK395" s="361">
        <v>102558.41</v>
      </c>
      <c r="DL395" s="361"/>
      <c r="DM395" s="361"/>
      <c r="DN395" s="361"/>
      <c r="DO395" s="378"/>
    </row>
    <row r="396" spans="2:119" ht="13">
      <c r="B396" s="294"/>
      <c r="F396" s="296"/>
      <c r="J396" s="302"/>
      <c r="R396" s="188"/>
      <c r="T396" s="295"/>
      <c r="Y396" s="188"/>
      <c r="AA396" s="295"/>
      <c r="AF396" s="188"/>
      <c r="AH396" s="295"/>
      <c r="AI396" s="188"/>
      <c r="AJ396" s="188"/>
      <c r="AK396" s="188"/>
      <c r="AL396" s="188"/>
      <c r="AM396" s="188"/>
      <c r="AN396" s="188"/>
      <c r="AO396" s="299"/>
      <c r="AS396" s="296"/>
      <c r="AW396" s="296"/>
      <c r="BN396" s="296"/>
      <c r="BO396" s="296"/>
      <c r="CX396" s="302">
        <f t="shared" si="1065"/>
        <v>112014515</v>
      </c>
      <c r="CY396" s="374">
        <v>53</v>
      </c>
      <c r="CZ396" s="359" t="s">
        <v>568</v>
      </c>
      <c r="DA396" s="361">
        <v>2368623.36</v>
      </c>
      <c r="DB396" s="361">
        <v>0</v>
      </c>
      <c r="DC396" s="361">
        <v>1099909.68</v>
      </c>
      <c r="DD396" s="361">
        <v>0</v>
      </c>
      <c r="DE396" s="361">
        <v>0</v>
      </c>
      <c r="DF396" s="811">
        <v>0</v>
      </c>
      <c r="DG396" s="361">
        <v>377216.84</v>
      </c>
      <c r="DH396" s="361">
        <v>397632.62</v>
      </c>
      <c r="DI396" s="361">
        <v>493864.22</v>
      </c>
      <c r="DJ396" s="361">
        <v>0</v>
      </c>
      <c r="DK396" s="361">
        <v>0</v>
      </c>
      <c r="DL396" s="361"/>
      <c r="DM396" s="361"/>
      <c r="DN396" s="361"/>
      <c r="DO396" s="378"/>
    </row>
    <row r="397" spans="2:119" ht="13">
      <c r="B397" s="294"/>
      <c r="F397" s="296"/>
      <c r="J397" s="302"/>
      <c r="R397" s="188"/>
      <c r="T397" s="295"/>
      <c r="Y397" s="188"/>
      <c r="AA397" s="295"/>
      <c r="AF397" s="188"/>
      <c r="AH397" s="295"/>
      <c r="AI397" s="188"/>
      <c r="AJ397" s="188"/>
      <c r="AK397" s="188"/>
      <c r="AL397" s="188"/>
      <c r="AM397" s="188"/>
      <c r="AN397" s="188"/>
      <c r="AO397" s="299"/>
      <c r="AS397" s="296"/>
      <c r="AW397" s="296"/>
      <c r="BN397" s="296"/>
      <c r="BO397" s="296"/>
      <c r="CX397" s="302">
        <f t="shared" si="1065"/>
        <v>112014517</v>
      </c>
      <c r="CY397" s="374">
        <v>54</v>
      </c>
      <c r="CZ397" s="359" t="s">
        <v>533</v>
      </c>
      <c r="DA397" s="361">
        <v>2172514.75</v>
      </c>
      <c r="DB397" s="361">
        <v>0</v>
      </c>
      <c r="DC397" s="361">
        <v>276433.17</v>
      </c>
      <c r="DD397" s="361">
        <v>588942.01</v>
      </c>
      <c r="DE397" s="361">
        <v>0</v>
      </c>
      <c r="DF397" s="811">
        <v>31057.599999999999</v>
      </c>
      <c r="DG397" s="361">
        <v>316336.8</v>
      </c>
      <c r="DH397" s="361">
        <v>257445.39</v>
      </c>
      <c r="DI397" s="361">
        <v>331948.43</v>
      </c>
      <c r="DJ397" s="361">
        <v>113549.04</v>
      </c>
      <c r="DK397" s="361">
        <v>256802.31</v>
      </c>
      <c r="DL397" s="361"/>
      <c r="DM397" s="361"/>
      <c r="DN397" s="361"/>
      <c r="DO397" s="378"/>
    </row>
    <row r="398" spans="2:119" ht="13">
      <c r="B398" s="294"/>
      <c r="F398" s="296"/>
      <c r="J398" s="302"/>
      <c r="R398" s="188"/>
      <c r="T398" s="295"/>
      <c r="Y398" s="188"/>
      <c r="AA398" s="295"/>
      <c r="AF398" s="188"/>
      <c r="AH398" s="295"/>
      <c r="AI398" s="188"/>
      <c r="AJ398" s="188"/>
      <c r="AK398" s="188"/>
      <c r="AL398" s="188"/>
      <c r="AM398" s="188"/>
      <c r="AN398" s="188"/>
      <c r="AO398" s="299"/>
      <c r="AS398" s="296"/>
      <c r="AW398" s="296"/>
      <c r="BN398" s="296"/>
      <c r="BO398" s="296"/>
      <c r="CX398" s="302">
        <f t="shared" si="1065"/>
        <v>112012893</v>
      </c>
      <c r="CY398" s="374">
        <v>55</v>
      </c>
      <c r="CZ398" s="359" t="s">
        <v>537</v>
      </c>
      <c r="DA398" s="361">
        <v>2019525.01</v>
      </c>
      <c r="DB398" s="361">
        <v>364592.21</v>
      </c>
      <c r="DC398" s="361">
        <v>556707.68000000005</v>
      </c>
      <c r="DD398" s="361">
        <v>0</v>
      </c>
      <c r="DE398" s="361">
        <v>255008.32</v>
      </c>
      <c r="DF398" s="811">
        <v>245753.76</v>
      </c>
      <c r="DG398" s="361">
        <v>0</v>
      </c>
      <c r="DH398" s="361">
        <v>369917.44</v>
      </c>
      <c r="DI398" s="361">
        <v>0</v>
      </c>
      <c r="DJ398" s="361">
        <v>227545.60000000001</v>
      </c>
      <c r="DK398" s="365">
        <v>0</v>
      </c>
      <c r="DL398" s="365"/>
      <c r="DM398" s="365"/>
      <c r="DN398" s="365"/>
      <c r="DO398" s="379"/>
    </row>
    <row r="399" spans="2:119" ht="13">
      <c r="B399" s="294"/>
      <c r="F399" s="296"/>
      <c r="J399" s="302"/>
      <c r="R399" s="188"/>
      <c r="T399" s="295"/>
      <c r="Y399" s="188"/>
      <c r="AA399" s="295"/>
      <c r="AF399" s="188"/>
      <c r="AH399" s="295"/>
      <c r="AI399" s="188"/>
      <c r="AJ399" s="188"/>
      <c r="AK399" s="188"/>
      <c r="AL399" s="188"/>
      <c r="AM399" s="188"/>
      <c r="AN399" s="188"/>
      <c r="AO399" s="299"/>
      <c r="AS399" s="296"/>
      <c r="AW399" s="296"/>
      <c r="BN399" s="296"/>
      <c r="BO399" s="296"/>
      <c r="CX399" s="302" t="e">
        <f t="shared" si="1065"/>
        <v>#N/A</v>
      </c>
      <c r="CY399" s="374">
        <v>56</v>
      </c>
      <c r="CZ399" s="359" t="s">
        <v>545</v>
      </c>
      <c r="DA399" s="361">
        <v>1977622.11</v>
      </c>
      <c r="DB399" s="361">
        <v>0</v>
      </c>
      <c r="DC399" s="361">
        <v>0</v>
      </c>
      <c r="DD399" s="361">
        <v>0</v>
      </c>
      <c r="DE399" s="361">
        <v>0</v>
      </c>
      <c r="DF399" s="811">
        <v>0</v>
      </c>
      <c r="DG399" s="361">
        <v>0</v>
      </c>
      <c r="DH399" s="361">
        <v>0</v>
      </c>
      <c r="DI399" s="361">
        <v>0</v>
      </c>
      <c r="DJ399" s="361">
        <v>0</v>
      </c>
      <c r="DK399" s="361">
        <v>1977622.11</v>
      </c>
      <c r="DL399" s="365"/>
      <c r="DM399" s="365"/>
      <c r="DN399" s="365"/>
      <c r="DO399" s="379"/>
    </row>
    <row r="400" spans="2:119" ht="13">
      <c r="B400" s="294"/>
      <c r="F400" s="296"/>
      <c r="J400" s="302"/>
      <c r="R400" s="188"/>
      <c r="T400" s="295"/>
      <c r="Y400" s="188"/>
      <c r="AA400" s="295"/>
      <c r="AF400" s="188"/>
      <c r="AH400" s="295"/>
      <c r="AI400" s="188"/>
      <c r="AJ400" s="188"/>
      <c r="AK400" s="188"/>
      <c r="AL400" s="188"/>
      <c r="AM400" s="188"/>
      <c r="AN400" s="188"/>
      <c r="AO400" s="299"/>
      <c r="AS400" s="296"/>
      <c r="AW400" s="296"/>
      <c r="BN400" s="296"/>
      <c r="BO400" s="296"/>
      <c r="CX400" s="302" t="e">
        <f t="shared" si="1065"/>
        <v>#N/A</v>
      </c>
      <c r="CY400" s="374">
        <v>57</v>
      </c>
      <c r="CZ400" s="359" t="s">
        <v>544</v>
      </c>
      <c r="DA400" s="361">
        <v>1949952.96</v>
      </c>
      <c r="DB400" s="361">
        <v>0</v>
      </c>
      <c r="DC400" s="361">
        <v>0</v>
      </c>
      <c r="DD400" s="361">
        <v>0</v>
      </c>
      <c r="DE400" s="361">
        <v>0</v>
      </c>
      <c r="DF400" s="811">
        <v>0</v>
      </c>
      <c r="DG400" s="361">
        <v>0</v>
      </c>
      <c r="DH400" s="361">
        <v>0</v>
      </c>
      <c r="DI400" s="361">
        <v>0</v>
      </c>
      <c r="DJ400" s="361">
        <v>143204.6</v>
      </c>
      <c r="DK400" s="361">
        <v>1806748.36</v>
      </c>
      <c r="DL400" s="361"/>
      <c r="DM400" s="361"/>
      <c r="DN400" s="361"/>
      <c r="DO400" s="378"/>
    </row>
    <row r="401" spans="2:119" ht="13">
      <c r="B401" s="294"/>
      <c r="F401" s="296"/>
      <c r="J401" s="302"/>
      <c r="R401" s="188"/>
      <c r="T401" s="295"/>
      <c r="Y401" s="188"/>
      <c r="AA401" s="295"/>
      <c r="AF401" s="188"/>
      <c r="AH401" s="295"/>
      <c r="AI401" s="188"/>
      <c r="AJ401" s="188"/>
      <c r="AK401" s="188"/>
      <c r="AL401" s="188"/>
      <c r="AM401" s="188"/>
      <c r="AN401" s="188"/>
      <c r="AO401" s="299"/>
      <c r="AS401" s="296"/>
      <c r="AW401" s="296"/>
      <c r="BN401" s="296"/>
      <c r="BO401" s="296"/>
      <c r="CX401" s="302">
        <f t="shared" si="1065"/>
        <v>112014609</v>
      </c>
      <c r="CY401" s="374">
        <v>58</v>
      </c>
      <c r="CZ401" s="359" t="s">
        <v>589</v>
      </c>
      <c r="DA401" s="361">
        <v>1900560.22</v>
      </c>
      <c r="DB401" s="361">
        <v>0</v>
      </c>
      <c r="DC401" s="361">
        <v>0</v>
      </c>
      <c r="DD401" s="361">
        <v>0</v>
      </c>
      <c r="DE401" s="361">
        <v>456478</v>
      </c>
      <c r="DF401" s="811">
        <v>397265.5</v>
      </c>
      <c r="DG401" s="361">
        <v>114095.52</v>
      </c>
      <c r="DH401" s="361">
        <v>386116</v>
      </c>
      <c r="DI401" s="361">
        <v>391913.6</v>
      </c>
      <c r="DJ401" s="361">
        <v>154691.6</v>
      </c>
      <c r="DK401" s="361">
        <v>0</v>
      </c>
      <c r="DL401" s="361"/>
      <c r="DM401" s="361"/>
      <c r="DN401" s="361"/>
      <c r="DO401" s="378"/>
    </row>
    <row r="402" spans="2:119" ht="13">
      <c r="B402" s="294"/>
      <c r="F402" s="296"/>
      <c r="J402" s="302"/>
      <c r="R402" s="188"/>
      <c r="T402" s="295"/>
      <c r="Y402" s="188"/>
      <c r="AA402" s="295"/>
      <c r="AF402" s="188"/>
      <c r="AH402" s="295"/>
      <c r="AI402" s="188"/>
      <c r="AJ402" s="188"/>
      <c r="AK402" s="188"/>
      <c r="AL402" s="188"/>
      <c r="AM402" s="188"/>
      <c r="AN402" s="188"/>
      <c r="AO402" s="299"/>
      <c r="AS402" s="296"/>
      <c r="AW402" s="296"/>
      <c r="BN402" s="296"/>
      <c r="BO402" s="296"/>
      <c r="CX402" s="302">
        <f t="shared" si="1065"/>
        <v>112012514</v>
      </c>
      <c r="CY402" s="374">
        <v>59</v>
      </c>
      <c r="CZ402" s="359" t="s">
        <v>541</v>
      </c>
      <c r="DA402" s="361">
        <v>1527799.64</v>
      </c>
      <c r="DB402" s="361">
        <v>0</v>
      </c>
      <c r="DC402" s="361">
        <v>254438.27</v>
      </c>
      <c r="DD402" s="361">
        <v>225966.17</v>
      </c>
      <c r="DE402" s="361">
        <v>0</v>
      </c>
      <c r="DF402" s="811">
        <v>142930.51999999999</v>
      </c>
      <c r="DG402" s="361">
        <v>285861.03999999998</v>
      </c>
      <c r="DH402" s="361">
        <v>371619.35</v>
      </c>
      <c r="DI402" s="361">
        <v>-142930.51999999999</v>
      </c>
      <c r="DJ402" s="361">
        <v>142930.51999999999</v>
      </c>
      <c r="DK402" s="361">
        <v>246984.29</v>
      </c>
      <c r="DL402" s="361"/>
      <c r="DM402" s="361"/>
      <c r="DN402" s="361"/>
      <c r="DO402" s="378"/>
    </row>
    <row r="403" spans="2:119" ht="13">
      <c r="B403" s="294"/>
      <c r="F403" s="296"/>
      <c r="J403" s="302"/>
      <c r="R403" s="188"/>
      <c r="T403" s="295"/>
      <c r="Y403" s="188"/>
      <c r="AA403" s="295"/>
      <c r="AF403" s="188"/>
      <c r="AH403" s="295"/>
      <c r="AI403" s="188"/>
      <c r="AJ403" s="188"/>
      <c r="AK403" s="188"/>
      <c r="AL403" s="188"/>
      <c r="AM403" s="188"/>
      <c r="AN403" s="188"/>
      <c r="AO403" s="299"/>
      <c r="AS403" s="296"/>
      <c r="AW403" s="296"/>
      <c r="BN403" s="296"/>
      <c r="BO403" s="296"/>
      <c r="CX403" s="302">
        <f t="shared" si="1065"/>
        <v>112013228</v>
      </c>
      <c r="CY403" s="374">
        <v>60</v>
      </c>
      <c r="CZ403" s="359" t="s">
        <v>629</v>
      </c>
      <c r="DA403" s="361">
        <v>1409400.28</v>
      </c>
      <c r="DB403" s="361">
        <v>262540.24</v>
      </c>
      <c r="DC403" s="361">
        <v>214038.64</v>
      </c>
      <c r="DD403" s="361">
        <v>38031.839999999997</v>
      </c>
      <c r="DE403" s="361">
        <v>135694.64000000001</v>
      </c>
      <c r="DF403" s="811">
        <v>154461.20000000001</v>
      </c>
      <c r="DG403" s="361">
        <v>50222.86</v>
      </c>
      <c r="DH403" s="361">
        <v>143634.23999999999</v>
      </c>
      <c r="DI403" s="361">
        <v>114683.28</v>
      </c>
      <c r="DJ403" s="361">
        <v>132706.96</v>
      </c>
      <c r="DK403" s="361">
        <v>163386.38</v>
      </c>
      <c r="DL403" s="361"/>
      <c r="DM403" s="361"/>
      <c r="DN403" s="361"/>
      <c r="DO403" s="378"/>
    </row>
    <row r="404" spans="2:119" ht="13">
      <c r="B404" s="294"/>
      <c r="F404" s="296"/>
      <c r="J404" s="302"/>
      <c r="R404" s="188"/>
      <c r="T404" s="295"/>
      <c r="Y404" s="188"/>
      <c r="AA404" s="295"/>
      <c r="AF404" s="188"/>
      <c r="AH404" s="295"/>
      <c r="AI404" s="188"/>
      <c r="AJ404" s="188"/>
      <c r="AK404" s="188"/>
      <c r="AL404" s="188"/>
      <c r="AM404" s="188"/>
      <c r="AN404" s="188"/>
      <c r="AO404" s="299"/>
      <c r="AS404" s="296"/>
      <c r="AW404" s="296"/>
      <c r="BN404" s="296"/>
      <c r="BO404" s="296"/>
      <c r="CX404" s="302">
        <f t="shared" si="1065"/>
        <v>112014685</v>
      </c>
      <c r="CY404" s="374">
        <v>61</v>
      </c>
      <c r="CZ404" s="359" t="s">
        <v>594</v>
      </c>
      <c r="DA404" s="361">
        <v>1385163.91</v>
      </c>
      <c r="DB404" s="361">
        <v>0</v>
      </c>
      <c r="DC404" s="361">
        <v>0</v>
      </c>
      <c r="DD404" s="361">
        <v>0</v>
      </c>
      <c r="DE404" s="361">
        <v>114125</v>
      </c>
      <c r="DF404" s="811">
        <v>167203.75</v>
      </c>
      <c r="DG404" s="361">
        <v>389745.33</v>
      </c>
      <c r="DH404" s="361">
        <v>468796.48</v>
      </c>
      <c r="DI404" s="361">
        <v>0</v>
      </c>
      <c r="DJ404" s="361">
        <v>156765.48000000001</v>
      </c>
      <c r="DK404" s="361">
        <v>88527.87</v>
      </c>
      <c r="DL404" s="361"/>
      <c r="DM404" s="361"/>
      <c r="DN404" s="361"/>
      <c r="DO404" s="378"/>
    </row>
    <row r="405" spans="2:119" ht="13">
      <c r="B405" s="294"/>
      <c r="F405" s="296"/>
      <c r="J405" s="302"/>
      <c r="R405" s="188"/>
      <c r="T405" s="295"/>
      <c r="Y405" s="188"/>
      <c r="AA405" s="295"/>
      <c r="AF405" s="188"/>
      <c r="AH405" s="295"/>
      <c r="AI405" s="188"/>
      <c r="AJ405" s="188"/>
      <c r="AK405" s="188"/>
      <c r="AL405" s="188"/>
      <c r="AM405" s="188"/>
      <c r="AN405" s="188"/>
      <c r="AO405" s="299"/>
      <c r="AS405" s="296"/>
      <c r="AW405" s="296"/>
      <c r="BN405" s="296"/>
      <c r="BO405" s="296"/>
      <c r="CX405" s="302">
        <f t="shared" si="1065"/>
        <v>112014684</v>
      </c>
      <c r="CY405" s="374">
        <v>62</v>
      </c>
      <c r="CZ405" s="359" t="s">
        <v>579</v>
      </c>
      <c r="DA405" s="361">
        <v>1310363.42</v>
      </c>
      <c r="DB405" s="361">
        <v>0</v>
      </c>
      <c r="DC405" s="361">
        <v>0</v>
      </c>
      <c r="DD405" s="361">
        <v>0</v>
      </c>
      <c r="DE405" s="361">
        <v>0</v>
      </c>
      <c r="DF405" s="811">
        <v>180785.35</v>
      </c>
      <c r="DG405" s="361">
        <v>336051.51</v>
      </c>
      <c r="DH405" s="361">
        <v>211391.93</v>
      </c>
      <c r="DI405" s="361">
        <v>223506</v>
      </c>
      <c r="DJ405" s="361">
        <v>335780.97</v>
      </c>
      <c r="DK405" s="361">
        <v>22847.66</v>
      </c>
      <c r="DL405" s="361"/>
      <c r="DM405" s="361"/>
      <c r="DN405" s="361"/>
      <c r="DO405" s="378"/>
    </row>
    <row r="406" spans="2:119" ht="13">
      <c r="B406" s="294"/>
      <c r="F406" s="296"/>
      <c r="J406" s="302"/>
      <c r="R406" s="188"/>
      <c r="T406" s="295"/>
      <c r="Y406" s="188"/>
      <c r="AA406" s="295"/>
      <c r="AF406" s="188"/>
      <c r="AH406" s="295"/>
      <c r="AI406" s="188"/>
      <c r="AJ406" s="188"/>
      <c r="AK406" s="188"/>
      <c r="AL406" s="188"/>
      <c r="AM406" s="188"/>
      <c r="AN406" s="188"/>
      <c r="AO406" s="299"/>
      <c r="AS406" s="296"/>
      <c r="AW406" s="296"/>
      <c r="BN406" s="296"/>
      <c r="BO406" s="296"/>
      <c r="CX406" s="302">
        <f t="shared" si="1065"/>
        <v>112014333</v>
      </c>
      <c r="CY406" s="374">
        <v>63</v>
      </c>
      <c r="CZ406" s="359" t="s">
        <v>585</v>
      </c>
      <c r="DA406" s="361">
        <v>1225255.69</v>
      </c>
      <c r="DB406" s="361">
        <v>200452.01</v>
      </c>
      <c r="DC406" s="361">
        <v>119930.16</v>
      </c>
      <c r="DD406" s="361">
        <v>279984.99</v>
      </c>
      <c r="DE406" s="361">
        <v>169501.44</v>
      </c>
      <c r="DF406" s="811">
        <v>0</v>
      </c>
      <c r="DG406" s="361">
        <v>41187.800000000003</v>
      </c>
      <c r="DH406" s="361">
        <v>92394.94</v>
      </c>
      <c r="DI406" s="361">
        <v>101174.66</v>
      </c>
      <c r="DJ406" s="361">
        <v>92402.07</v>
      </c>
      <c r="DK406" s="361">
        <v>128227.62</v>
      </c>
      <c r="DL406" s="361"/>
      <c r="DM406" s="361"/>
      <c r="DN406" s="361"/>
      <c r="DO406" s="378"/>
    </row>
    <row r="407" spans="2:119" ht="13">
      <c r="B407" s="294"/>
      <c r="F407" s="296"/>
      <c r="J407" s="302"/>
      <c r="R407" s="188"/>
      <c r="T407" s="295"/>
      <c r="Y407" s="188"/>
      <c r="AA407" s="295"/>
      <c r="AF407" s="188"/>
      <c r="AH407" s="295"/>
      <c r="AI407" s="188"/>
      <c r="AJ407" s="188"/>
      <c r="AK407" s="188"/>
      <c r="AL407" s="188"/>
      <c r="AM407" s="188"/>
      <c r="AN407" s="188"/>
      <c r="AO407" s="299"/>
      <c r="AS407" s="296"/>
      <c r="AW407" s="296"/>
      <c r="BN407" s="296"/>
      <c r="BO407" s="296"/>
      <c r="CX407" s="302">
        <f t="shared" si="1065"/>
        <v>112014502</v>
      </c>
      <c r="CY407" s="374">
        <v>64</v>
      </c>
      <c r="CZ407" s="359" t="s">
        <v>567</v>
      </c>
      <c r="DA407" s="361">
        <v>1194007.96</v>
      </c>
      <c r="DB407" s="361">
        <v>153910.22</v>
      </c>
      <c r="DC407" s="361">
        <v>307435.13</v>
      </c>
      <c r="DD407" s="361">
        <v>149327.01999999999</v>
      </c>
      <c r="DE407" s="361">
        <v>83679.75</v>
      </c>
      <c r="DF407" s="811">
        <v>91108.36</v>
      </c>
      <c r="DG407" s="361">
        <v>150206.94</v>
      </c>
      <c r="DH407" s="361">
        <v>227282.94</v>
      </c>
      <c r="DI407" s="361">
        <v>0</v>
      </c>
      <c r="DJ407" s="361">
        <v>31057.599999999999</v>
      </c>
      <c r="DK407" s="365">
        <v>0</v>
      </c>
      <c r="DL407" s="365"/>
      <c r="DM407" s="365"/>
      <c r="DN407" s="365"/>
      <c r="DO407" s="379"/>
    </row>
    <row r="408" spans="2:119" ht="13">
      <c r="B408" s="294"/>
      <c r="F408" s="296"/>
      <c r="J408" s="302"/>
      <c r="R408" s="188"/>
      <c r="T408" s="295"/>
      <c r="Y408" s="188"/>
      <c r="AA408" s="295"/>
      <c r="AF408" s="188"/>
      <c r="AH408" s="295"/>
      <c r="AI408" s="188"/>
      <c r="AJ408" s="188"/>
      <c r="AK408" s="188"/>
      <c r="AL408" s="188"/>
      <c r="AM408" s="188"/>
      <c r="AN408" s="188"/>
      <c r="AO408" s="299"/>
      <c r="AS408" s="296"/>
      <c r="AW408" s="296"/>
      <c r="BN408" s="296"/>
      <c r="BO408" s="296"/>
      <c r="CX408" s="302">
        <f t="shared" ref="CX408:CX429" si="1066">VLOOKUP(CZ408,LAGECARTERA,3,FALSE)</f>
        <v>112013756</v>
      </c>
      <c r="CY408" s="374">
        <v>65</v>
      </c>
      <c r="CZ408" s="359" t="s">
        <v>583</v>
      </c>
      <c r="DA408" s="361">
        <v>1136172.58</v>
      </c>
      <c r="DB408" s="361">
        <v>169263.76</v>
      </c>
      <c r="DC408" s="361">
        <v>150378.23999999999</v>
      </c>
      <c r="DD408" s="361">
        <v>100852.8</v>
      </c>
      <c r="DE408" s="361">
        <v>73075.92</v>
      </c>
      <c r="DF408" s="811">
        <v>31057.599999999999</v>
      </c>
      <c r="DG408" s="361">
        <v>0</v>
      </c>
      <c r="DH408" s="361">
        <v>282104.98</v>
      </c>
      <c r="DI408" s="361">
        <v>211865.2</v>
      </c>
      <c r="DJ408" s="361">
        <v>117574.08</v>
      </c>
      <c r="DK408" s="361">
        <v>0</v>
      </c>
      <c r="DL408" s="361"/>
      <c r="DM408" s="361"/>
      <c r="DN408" s="361"/>
      <c r="DO408" s="378"/>
    </row>
    <row r="409" spans="2:119" ht="13">
      <c r="B409" s="294"/>
      <c r="F409" s="296"/>
      <c r="J409" s="302"/>
      <c r="R409" s="188"/>
      <c r="T409" s="295"/>
      <c r="Y409" s="188"/>
      <c r="AA409" s="295"/>
      <c r="AF409" s="188"/>
      <c r="AH409" s="295"/>
      <c r="AI409" s="188"/>
      <c r="AJ409" s="188"/>
      <c r="AK409" s="188"/>
      <c r="AL409" s="188"/>
      <c r="AM409" s="188"/>
      <c r="AN409" s="188"/>
      <c r="AO409" s="299"/>
      <c r="AS409" s="296"/>
      <c r="AW409" s="296"/>
      <c r="BN409" s="296"/>
      <c r="BO409" s="296"/>
      <c r="CX409" s="302">
        <f t="shared" si="1066"/>
        <v>112014245</v>
      </c>
      <c r="CY409" s="374">
        <v>66</v>
      </c>
      <c r="CZ409" s="359" t="s">
        <v>638</v>
      </c>
      <c r="DA409" s="361">
        <v>1128902.92</v>
      </c>
      <c r="DB409" s="361">
        <v>136282.16</v>
      </c>
      <c r="DC409" s="361">
        <v>73372</v>
      </c>
      <c r="DD409" s="361">
        <v>0</v>
      </c>
      <c r="DE409" s="361">
        <v>68080.479999999996</v>
      </c>
      <c r="DF409" s="811">
        <v>146418.07999999999</v>
      </c>
      <c r="DG409" s="361">
        <v>122975.2</v>
      </c>
      <c r="DH409" s="361">
        <v>153147.51999999999</v>
      </c>
      <c r="DI409" s="361">
        <v>182117.56</v>
      </c>
      <c r="DJ409" s="361">
        <v>287584.32</v>
      </c>
      <c r="DK409" s="361">
        <v>-41074.400000000001</v>
      </c>
      <c r="DL409" s="361"/>
      <c r="DM409" s="361"/>
      <c r="DN409" s="361"/>
      <c r="DO409" s="378"/>
    </row>
    <row r="410" spans="2:119" ht="13">
      <c r="B410" s="294"/>
      <c r="F410" s="296"/>
      <c r="J410" s="302"/>
      <c r="R410" s="188"/>
      <c r="T410" s="295"/>
      <c r="Y410" s="188"/>
      <c r="AA410" s="295"/>
      <c r="AF410" s="188"/>
      <c r="AH410" s="295"/>
      <c r="AI410" s="188"/>
      <c r="AJ410" s="188"/>
      <c r="AK410" s="188"/>
      <c r="AL410" s="188"/>
      <c r="AM410" s="188"/>
      <c r="AN410" s="188"/>
      <c r="AO410" s="299"/>
      <c r="AS410" s="296"/>
      <c r="AW410" s="296"/>
      <c r="BN410" s="296"/>
      <c r="BO410" s="296"/>
      <c r="CX410" s="302">
        <f t="shared" si="1066"/>
        <v>112014169</v>
      </c>
      <c r="CY410" s="374">
        <v>67</v>
      </c>
      <c r="CZ410" s="359" t="s">
        <v>529</v>
      </c>
      <c r="DA410" s="361">
        <v>1078253.1200000001</v>
      </c>
      <c r="DB410" s="361">
        <v>0</v>
      </c>
      <c r="DC410" s="361">
        <v>494631.2</v>
      </c>
      <c r="DD410" s="361">
        <v>0</v>
      </c>
      <c r="DE410" s="361">
        <v>0</v>
      </c>
      <c r="DF410" s="811">
        <v>0</v>
      </c>
      <c r="DG410" s="361">
        <v>190079.52</v>
      </c>
      <c r="DH410" s="361">
        <v>0</v>
      </c>
      <c r="DI410" s="361">
        <v>222470.8</v>
      </c>
      <c r="DJ410" s="361">
        <v>171071.6</v>
      </c>
      <c r="DK410" s="361">
        <v>0</v>
      </c>
      <c r="DL410" s="361"/>
      <c r="DM410" s="361"/>
      <c r="DN410" s="361"/>
      <c r="DO410" s="378"/>
    </row>
    <row r="411" spans="2:119" ht="13">
      <c r="B411" s="294"/>
      <c r="F411" s="296"/>
      <c r="J411" s="302"/>
      <c r="R411" s="188"/>
      <c r="T411" s="295"/>
      <c r="Y411" s="188"/>
      <c r="AA411" s="295"/>
      <c r="AF411" s="188"/>
      <c r="AH411" s="295"/>
      <c r="AI411" s="188"/>
      <c r="AJ411" s="188"/>
      <c r="AK411" s="188"/>
      <c r="AL411" s="188"/>
      <c r="AM411" s="188"/>
      <c r="AN411" s="188"/>
      <c r="AO411" s="299"/>
      <c r="AS411" s="296"/>
      <c r="AW411" s="296"/>
      <c r="BN411" s="296"/>
      <c r="BO411" s="296"/>
      <c r="CX411" s="302">
        <f t="shared" si="1066"/>
        <v>112014109</v>
      </c>
      <c r="CY411" s="374">
        <v>68</v>
      </c>
      <c r="CZ411" s="359" t="s">
        <v>532</v>
      </c>
      <c r="DA411" s="361">
        <v>986262.28</v>
      </c>
      <c r="DB411" s="361">
        <v>0</v>
      </c>
      <c r="DC411" s="361">
        <v>0</v>
      </c>
      <c r="DD411" s="361">
        <v>0</v>
      </c>
      <c r="DE411" s="361">
        <v>0</v>
      </c>
      <c r="DF411" s="811">
        <v>0</v>
      </c>
      <c r="DG411" s="361">
        <v>0</v>
      </c>
      <c r="DH411" s="361">
        <v>169549.2</v>
      </c>
      <c r="DI411" s="361">
        <v>386055.6</v>
      </c>
      <c r="DJ411" s="361">
        <v>292907.28000000003</v>
      </c>
      <c r="DK411" s="361">
        <v>137750.20000000001</v>
      </c>
      <c r="DL411" s="365"/>
      <c r="DM411" s="365"/>
      <c r="DN411" s="365"/>
      <c r="DO411" s="379"/>
    </row>
    <row r="412" spans="2:119" ht="13">
      <c r="B412" s="294"/>
      <c r="F412" s="296"/>
      <c r="J412" s="302"/>
      <c r="R412" s="188"/>
      <c r="T412" s="295"/>
      <c r="Y412" s="188"/>
      <c r="AA412" s="295"/>
      <c r="AF412" s="188"/>
      <c r="AH412" s="295"/>
      <c r="AI412" s="188"/>
      <c r="AJ412" s="188"/>
      <c r="AK412" s="188"/>
      <c r="AL412" s="188"/>
      <c r="AM412" s="188"/>
      <c r="AN412" s="188"/>
      <c r="AO412" s="299"/>
      <c r="AS412" s="296"/>
      <c r="AW412" s="296"/>
      <c r="BN412" s="296"/>
      <c r="BO412" s="296"/>
      <c r="CX412" s="302">
        <f t="shared" si="1066"/>
        <v>112013338</v>
      </c>
      <c r="CY412" s="374">
        <v>69</v>
      </c>
      <c r="CZ412" s="359" t="s">
        <v>558</v>
      </c>
      <c r="DA412" s="361">
        <v>973371.29</v>
      </c>
      <c r="DB412" s="361">
        <v>-223605.3</v>
      </c>
      <c r="DC412" s="361">
        <v>249018</v>
      </c>
      <c r="DD412" s="361">
        <v>270817.05</v>
      </c>
      <c r="DE412" s="361">
        <v>609691.39</v>
      </c>
      <c r="DF412" s="811">
        <v>0</v>
      </c>
      <c r="DG412" s="361">
        <v>67450.149999999994</v>
      </c>
      <c r="DH412" s="361">
        <v>0</v>
      </c>
      <c r="DI412" s="361">
        <v>0</v>
      </c>
      <c r="DJ412" s="361">
        <v>0</v>
      </c>
      <c r="DK412" s="361">
        <v>0</v>
      </c>
      <c r="DL412" s="361"/>
      <c r="DM412" s="361"/>
      <c r="DN412" s="361"/>
      <c r="DO412" s="378"/>
    </row>
    <row r="413" spans="2:119" ht="13">
      <c r="B413" s="294"/>
      <c r="F413" s="296"/>
      <c r="J413" s="302"/>
      <c r="R413" s="188"/>
      <c r="T413" s="295"/>
      <c r="Y413" s="188"/>
      <c r="AA413" s="295"/>
      <c r="AF413" s="188"/>
      <c r="AH413" s="295"/>
      <c r="AI413" s="188"/>
      <c r="AJ413" s="188"/>
      <c r="AK413" s="188"/>
      <c r="AL413" s="188"/>
      <c r="AM413" s="188"/>
      <c r="AN413" s="188"/>
      <c r="AO413" s="299"/>
      <c r="AS413" s="296"/>
      <c r="AW413" s="296"/>
      <c r="BN413" s="296"/>
      <c r="BO413" s="296"/>
      <c r="CX413" s="302">
        <f t="shared" si="1066"/>
        <v>112014104</v>
      </c>
      <c r="CY413" s="374">
        <v>70</v>
      </c>
      <c r="CZ413" s="359" t="s">
        <v>519</v>
      </c>
      <c r="DA413" s="361">
        <v>853636.31</v>
      </c>
      <c r="DB413" s="361">
        <v>508379.03</v>
      </c>
      <c r="DC413" s="361">
        <v>0</v>
      </c>
      <c r="DD413" s="361">
        <v>345257.29</v>
      </c>
      <c r="DE413" s="361">
        <v>0</v>
      </c>
      <c r="DF413" s="811">
        <v>0</v>
      </c>
      <c r="DG413" s="361">
        <v>0</v>
      </c>
      <c r="DH413" s="361">
        <v>0</v>
      </c>
      <c r="DI413" s="361">
        <v>0</v>
      </c>
      <c r="DJ413" s="361">
        <v>0</v>
      </c>
      <c r="DK413" s="361">
        <v>0</v>
      </c>
      <c r="DL413" s="361"/>
      <c r="DM413" s="361"/>
      <c r="DN413" s="361"/>
      <c r="DO413" s="378"/>
    </row>
    <row r="414" spans="2:119" ht="13">
      <c r="B414" s="294"/>
      <c r="F414" s="296"/>
      <c r="J414" s="302"/>
      <c r="R414" s="188"/>
      <c r="T414" s="295"/>
      <c r="Y414" s="188"/>
      <c r="AA414" s="295"/>
      <c r="AF414" s="188"/>
      <c r="AH414" s="295"/>
      <c r="AI414" s="188"/>
      <c r="AJ414" s="188"/>
      <c r="AK414" s="188"/>
      <c r="AL414" s="188"/>
      <c r="AM414" s="188"/>
      <c r="AN414" s="188"/>
      <c r="AO414" s="299"/>
      <c r="AS414" s="296"/>
      <c r="AW414" s="296"/>
      <c r="BN414" s="296"/>
      <c r="BO414" s="296"/>
      <c r="CX414" s="302">
        <f t="shared" si="1066"/>
        <v>112014396</v>
      </c>
      <c r="CY414" s="374">
        <v>71</v>
      </c>
      <c r="CZ414" s="359" t="s">
        <v>582</v>
      </c>
      <c r="DA414" s="361">
        <v>833005.6</v>
      </c>
      <c r="DB414" s="361">
        <v>0</v>
      </c>
      <c r="DC414" s="361">
        <v>242655.2</v>
      </c>
      <c r="DD414" s="361">
        <v>0</v>
      </c>
      <c r="DE414" s="361">
        <v>184261.44</v>
      </c>
      <c r="DF414" s="811">
        <v>0</v>
      </c>
      <c r="DG414" s="361">
        <v>125457.28</v>
      </c>
      <c r="DH414" s="361">
        <v>280631.67999999999</v>
      </c>
      <c r="DI414" s="361">
        <v>0</v>
      </c>
      <c r="DJ414" s="361">
        <v>0</v>
      </c>
      <c r="DK414" s="361">
        <v>0</v>
      </c>
      <c r="DL414" s="361"/>
      <c r="DM414" s="361"/>
      <c r="DN414" s="361"/>
      <c r="DO414" s="378"/>
    </row>
    <row r="415" spans="2:119" ht="13">
      <c r="B415" s="294"/>
      <c r="F415" s="296"/>
      <c r="J415" s="302"/>
      <c r="R415" s="188"/>
      <c r="T415" s="295"/>
      <c r="Y415" s="188"/>
      <c r="AA415" s="295"/>
      <c r="AF415" s="188"/>
      <c r="AH415" s="295"/>
      <c r="AI415" s="188"/>
      <c r="AJ415" s="188"/>
      <c r="AK415" s="188"/>
      <c r="AL415" s="188"/>
      <c r="AM415" s="188"/>
      <c r="AN415" s="188"/>
      <c r="AO415" s="299"/>
      <c r="AS415" s="296"/>
      <c r="AW415" s="296"/>
      <c r="BN415" s="296"/>
      <c r="BO415" s="296"/>
      <c r="CX415" s="302">
        <f t="shared" si="1066"/>
        <v>112014739</v>
      </c>
      <c r="CY415" s="374">
        <v>72</v>
      </c>
      <c r="CZ415" s="359" t="s">
        <v>538</v>
      </c>
      <c r="DA415" s="361">
        <v>789415.52</v>
      </c>
      <c r="DB415" s="361">
        <v>0</v>
      </c>
      <c r="DC415" s="361">
        <v>0</v>
      </c>
      <c r="DD415" s="361">
        <v>0</v>
      </c>
      <c r="DE415" s="361">
        <v>0</v>
      </c>
      <c r="DF415" s="811">
        <v>0</v>
      </c>
      <c r="DG415" s="361">
        <v>0</v>
      </c>
      <c r="DH415" s="361">
        <v>0</v>
      </c>
      <c r="DI415" s="361">
        <v>789415.52</v>
      </c>
      <c r="DJ415" s="361">
        <v>0</v>
      </c>
      <c r="DK415" s="361">
        <v>0</v>
      </c>
      <c r="DL415" s="361"/>
      <c r="DM415" s="361"/>
      <c r="DN415" s="361"/>
      <c r="DO415" s="378"/>
    </row>
    <row r="416" spans="2:119" ht="13">
      <c r="B416" s="294"/>
      <c r="F416" s="296"/>
      <c r="J416" s="302"/>
      <c r="R416" s="188"/>
      <c r="T416" s="295"/>
      <c r="Y416" s="188"/>
      <c r="AA416" s="295"/>
      <c r="AF416" s="188"/>
      <c r="AH416" s="295"/>
      <c r="AI416" s="188"/>
      <c r="AJ416" s="188"/>
      <c r="AK416" s="188"/>
      <c r="AL416" s="188"/>
      <c r="AM416" s="188"/>
      <c r="AN416" s="188"/>
      <c r="AO416" s="299"/>
      <c r="AS416" s="296"/>
      <c r="AW416" s="296"/>
      <c r="BN416" s="296"/>
      <c r="BO416" s="296"/>
      <c r="CX416" s="302">
        <f t="shared" si="1066"/>
        <v>112014732</v>
      </c>
      <c r="CY416" s="374">
        <v>73</v>
      </c>
      <c r="CZ416" s="359" t="s">
        <v>556</v>
      </c>
      <c r="DA416" s="361">
        <v>651788.67000000004</v>
      </c>
      <c r="DB416" s="361">
        <v>0</v>
      </c>
      <c r="DC416" s="361">
        <v>0</v>
      </c>
      <c r="DD416" s="361">
        <v>0</v>
      </c>
      <c r="DE416" s="361">
        <v>0</v>
      </c>
      <c r="DF416" s="811">
        <v>0</v>
      </c>
      <c r="DG416" s="361">
        <v>0</v>
      </c>
      <c r="DH416" s="361">
        <v>0</v>
      </c>
      <c r="DI416" s="361">
        <v>0</v>
      </c>
      <c r="DJ416" s="361">
        <v>287779.57</v>
      </c>
      <c r="DK416" s="361">
        <v>364009.1</v>
      </c>
      <c r="DL416" s="361"/>
      <c r="DM416" s="361"/>
      <c r="DN416" s="361"/>
      <c r="DO416" s="378"/>
    </row>
    <row r="417" spans="2:119" ht="13">
      <c r="B417" s="294"/>
      <c r="F417" s="296"/>
      <c r="J417" s="302"/>
      <c r="R417" s="188"/>
      <c r="T417" s="295"/>
      <c r="Y417" s="188"/>
      <c r="AA417" s="295"/>
      <c r="AF417" s="188"/>
      <c r="AH417" s="295"/>
      <c r="AI417" s="188"/>
      <c r="AJ417" s="188"/>
      <c r="AK417" s="188"/>
      <c r="AL417" s="188"/>
      <c r="AM417" s="188"/>
      <c r="AN417" s="188"/>
      <c r="AO417" s="299"/>
      <c r="AS417" s="296"/>
      <c r="AW417" s="296"/>
      <c r="BN417" s="296"/>
      <c r="BO417" s="296"/>
      <c r="CX417" s="302">
        <f t="shared" si="1066"/>
        <v>112014738</v>
      </c>
      <c r="CY417" s="374">
        <v>74</v>
      </c>
      <c r="CZ417" s="359" t="s">
        <v>535</v>
      </c>
      <c r="DA417" s="361">
        <v>639104.41</v>
      </c>
      <c r="DB417" s="361">
        <v>0</v>
      </c>
      <c r="DC417" s="361">
        <v>0</v>
      </c>
      <c r="DD417" s="361">
        <v>0</v>
      </c>
      <c r="DE417" s="361">
        <v>0</v>
      </c>
      <c r="DF417" s="811">
        <v>0</v>
      </c>
      <c r="DG417" s="365">
        <v>0</v>
      </c>
      <c r="DH417" s="365">
        <v>0</v>
      </c>
      <c r="DI417" s="361">
        <v>379957.01</v>
      </c>
      <c r="DJ417" s="361">
        <v>80220.490000000005</v>
      </c>
      <c r="DK417" s="361">
        <v>178926.91</v>
      </c>
      <c r="DL417" s="365"/>
      <c r="DM417" s="365"/>
      <c r="DN417" s="365"/>
      <c r="DO417" s="379"/>
    </row>
    <row r="418" spans="2:119" ht="13">
      <c r="B418" s="294"/>
      <c r="F418" s="296"/>
      <c r="J418" s="302"/>
      <c r="R418" s="188"/>
      <c r="T418" s="295"/>
      <c r="Y418" s="188"/>
      <c r="AA418" s="295"/>
      <c r="AF418" s="188"/>
      <c r="AH418" s="295"/>
      <c r="AI418" s="188"/>
      <c r="AJ418" s="188"/>
      <c r="AK418" s="188"/>
      <c r="AL418" s="188"/>
      <c r="AM418" s="188"/>
      <c r="AN418" s="188"/>
      <c r="AO418" s="299"/>
      <c r="AS418" s="296"/>
      <c r="AW418" s="296"/>
      <c r="BN418" s="296"/>
      <c r="BO418" s="296"/>
      <c r="CX418" s="302">
        <f t="shared" si="1066"/>
        <v>112013254</v>
      </c>
      <c r="CY418" s="374">
        <v>75</v>
      </c>
      <c r="CZ418" s="359" t="s">
        <v>619</v>
      </c>
      <c r="DA418" s="361">
        <v>626561.98</v>
      </c>
      <c r="DB418" s="361">
        <v>65853.77</v>
      </c>
      <c r="DC418" s="361">
        <v>36405.58</v>
      </c>
      <c r="DD418" s="361">
        <v>77179.83</v>
      </c>
      <c r="DE418" s="361">
        <v>70688.429999999993</v>
      </c>
      <c r="DF418" s="811">
        <v>44536.09</v>
      </c>
      <c r="DG418" s="361">
        <v>40519.410000000003</v>
      </c>
      <c r="DH418" s="361">
        <v>120329.09</v>
      </c>
      <c r="DI418" s="361">
        <v>33703.449999999997</v>
      </c>
      <c r="DJ418" s="361">
        <v>87083.41</v>
      </c>
      <c r="DK418" s="361">
        <v>50262.93</v>
      </c>
      <c r="DL418" s="361"/>
      <c r="DM418" s="361"/>
      <c r="DN418" s="361"/>
      <c r="DO418" s="378"/>
    </row>
    <row r="419" spans="2:119" ht="13">
      <c r="B419" s="294"/>
      <c r="F419" s="296"/>
      <c r="J419" s="302"/>
      <c r="R419" s="188"/>
      <c r="T419" s="295"/>
      <c r="Y419" s="188"/>
      <c r="AA419" s="295"/>
      <c r="AF419" s="188"/>
      <c r="AH419" s="295"/>
      <c r="AI419" s="188"/>
      <c r="AJ419" s="188"/>
      <c r="AK419" s="188"/>
      <c r="AL419" s="188"/>
      <c r="AM419" s="188"/>
      <c r="AN419" s="188"/>
      <c r="AO419" s="299"/>
      <c r="AS419" s="296"/>
      <c r="AW419" s="296"/>
      <c r="BN419" s="296"/>
      <c r="BO419" s="296"/>
      <c r="CX419" s="302">
        <f t="shared" si="1066"/>
        <v>112014341</v>
      </c>
      <c r="CY419" s="374">
        <v>76</v>
      </c>
      <c r="CZ419" s="359" t="s">
        <v>528</v>
      </c>
      <c r="DA419" s="361">
        <v>622706.66</v>
      </c>
      <c r="DB419" s="352">
        <v>103524.32</v>
      </c>
      <c r="DC419" s="361">
        <v>0</v>
      </c>
      <c r="DD419" s="361">
        <v>0</v>
      </c>
      <c r="DE419" s="361">
        <v>0</v>
      </c>
      <c r="DF419" s="811">
        <v>320186.84999999998</v>
      </c>
      <c r="DG419" s="361">
        <v>93172.800000000003</v>
      </c>
      <c r="DH419" s="361">
        <v>105822.69</v>
      </c>
      <c r="DI419" s="361">
        <v>0</v>
      </c>
      <c r="DJ419" s="361">
        <v>0</v>
      </c>
      <c r="DK419" s="361">
        <v>0</v>
      </c>
      <c r="DL419" s="361"/>
      <c r="DM419" s="361"/>
      <c r="DN419" s="361"/>
      <c r="DO419" s="378"/>
    </row>
    <row r="420" spans="2:119" ht="13">
      <c r="B420" s="294"/>
      <c r="F420" s="296"/>
      <c r="J420" s="302"/>
      <c r="R420" s="188"/>
      <c r="T420" s="295"/>
      <c r="Y420" s="188"/>
      <c r="AA420" s="295"/>
      <c r="AF420" s="188"/>
      <c r="AH420" s="295"/>
      <c r="AI420" s="188"/>
      <c r="AJ420" s="188"/>
      <c r="AK420" s="188"/>
      <c r="AL420" s="188"/>
      <c r="AM420" s="188"/>
      <c r="AN420" s="188"/>
      <c r="AO420" s="299"/>
      <c r="AS420" s="296"/>
      <c r="AW420" s="296"/>
      <c r="BN420" s="296"/>
      <c r="BO420" s="296"/>
      <c r="CX420" s="302">
        <f t="shared" si="1066"/>
        <v>112014373</v>
      </c>
      <c r="CY420" s="374">
        <v>77</v>
      </c>
      <c r="CZ420" s="359" t="s">
        <v>581</v>
      </c>
      <c r="DA420" s="361">
        <v>600501.26</v>
      </c>
      <c r="DB420" s="361">
        <v>261929.82</v>
      </c>
      <c r="DC420" s="361">
        <v>161861.07999999999</v>
      </c>
      <c r="DD420" s="361">
        <v>0</v>
      </c>
      <c r="DE420" s="361">
        <v>0</v>
      </c>
      <c r="DF420" s="811">
        <v>0</v>
      </c>
      <c r="DG420" s="361">
        <v>0</v>
      </c>
      <c r="DH420" s="361">
        <v>0</v>
      </c>
      <c r="DI420" s="361">
        <v>54141.66</v>
      </c>
      <c r="DJ420" s="361">
        <v>0</v>
      </c>
      <c r="DK420" s="361">
        <v>122568.7</v>
      </c>
      <c r="DL420" s="361"/>
      <c r="DM420" s="361"/>
      <c r="DN420" s="361"/>
      <c r="DO420" s="378"/>
    </row>
    <row r="421" spans="2:119" ht="13">
      <c r="B421" s="294"/>
      <c r="F421" s="296"/>
      <c r="J421" s="302"/>
      <c r="R421" s="188"/>
      <c r="T421" s="295"/>
      <c r="Y421" s="188"/>
      <c r="AA421" s="295"/>
      <c r="AF421" s="188"/>
      <c r="AH421" s="295"/>
      <c r="AI421" s="188"/>
      <c r="AJ421" s="188"/>
      <c r="AK421" s="188"/>
      <c r="AL421" s="188"/>
      <c r="AM421" s="188"/>
      <c r="AN421" s="188"/>
      <c r="AO421" s="299"/>
      <c r="AS421" s="296"/>
      <c r="AW421" s="296"/>
      <c r="BN421" s="296"/>
      <c r="BO421" s="296"/>
      <c r="CX421" s="302">
        <f t="shared" si="1066"/>
        <v>112013205</v>
      </c>
      <c r="CY421" s="374">
        <v>78</v>
      </c>
      <c r="CZ421" s="359" t="s">
        <v>577</v>
      </c>
      <c r="DA421" s="361">
        <v>432947.12</v>
      </c>
      <c r="DB421" s="361">
        <v>0</v>
      </c>
      <c r="DC421" s="361">
        <v>0</v>
      </c>
      <c r="DD421" s="361">
        <v>0</v>
      </c>
      <c r="DE421" s="361">
        <v>0</v>
      </c>
      <c r="DF421" s="811">
        <v>0</v>
      </c>
      <c r="DG421" s="361">
        <v>0</v>
      </c>
      <c r="DH421" s="361">
        <v>148935.44</v>
      </c>
      <c r="DI421" s="361">
        <v>98045.52</v>
      </c>
      <c r="DJ421" s="361">
        <v>185966.16</v>
      </c>
      <c r="DK421" s="361">
        <v>0</v>
      </c>
      <c r="DL421" s="361"/>
      <c r="DM421" s="361"/>
      <c r="DN421" s="361"/>
      <c r="DO421" s="378"/>
    </row>
    <row r="422" spans="2:119" ht="13">
      <c r="B422" s="294"/>
      <c r="F422" s="296"/>
      <c r="J422" s="302"/>
      <c r="R422" s="188"/>
      <c r="T422" s="295"/>
      <c r="Y422" s="188"/>
      <c r="AA422" s="295"/>
      <c r="AF422" s="188"/>
      <c r="AH422" s="295"/>
      <c r="AI422" s="188"/>
      <c r="AJ422" s="188"/>
      <c r="AK422" s="188"/>
      <c r="AL422" s="188"/>
      <c r="AM422" s="188"/>
      <c r="AN422" s="188"/>
      <c r="AO422" s="299"/>
      <c r="AS422" s="296"/>
      <c r="AW422" s="296"/>
      <c r="BN422" s="296"/>
      <c r="BO422" s="296"/>
      <c r="CX422" s="302" t="e">
        <f t="shared" si="1066"/>
        <v>#N/A</v>
      </c>
      <c r="CY422" s="374">
        <v>79</v>
      </c>
      <c r="CZ422" s="359" t="s">
        <v>642</v>
      </c>
      <c r="DA422" s="361">
        <v>419679.2</v>
      </c>
      <c r="DB422" s="361">
        <v>0</v>
      </c>
      <c r="DC422" s="361">
        <v>0</v>
      </c>
      <c r="DD422" s="361">
        <v>0</v>
      </c>
      <c r="DE422" s="361">
        <v>0</v>
      </c>
      <c r="DF422" s="811">
        <v>0</v>
      </c>
      <c r="DG422" s="361">
        <v>0</v>
      </c>
      <c r="DH422" s="361">
        <v>0</v>
      </c>
      <c r="DI422" s="361">
        <v>167654.88</v>
      </c>
      <c r="DJ422" s="361">
        <v>252024.32000000001</v>
      </c>
      <c r="DK422" s="365">
        <v>0</v>
      </c>
      <c r="DL422" s="365"/>
      <c r="DM422" s="365"/>
      <c r="DN422" s="365"/>
      <c r="DO422" s="379"/>
    </row>
    <row r="423" spans="2:119" ht="13">
      <c r="B423" s="294"/>
      <c r="F423" s="296"/>
      <c r="J423" s="302"/>
      <c r="R423" s="188"/>
      <c r="T423" s="295"/>
      <c r="Y423" s="188"/>
      <c r="AA423" s="295"/>
      <c r="AF423" s="188"/>
      <c r="AH423" s="295"/>
      <c r="AI423" s="188"/>
      <c r="AJ423" s="188"/>
      <c r="AK423" s="188"/>
      <c r="AL423" s="188"/>
      <c r="AM423" s="188"/>
      <c r="AN423" s="188"/>
      <c r="AO423" s="299"/>
      <c r="AS423" s="296"/>
      <c r="AW423" s="296"/>
      <c r="BN423" s="296"/>
      <c r="BO423" s="296"/>
      <c r="CX423" s="302">
        <f t="shared" si="1066"/>
        <v>112014240</v>
      </c>
      <c r="CY423" s="374">
        <v>80</v>
      </c>
      <c r="CZ423" s="359" t="s">
        <v>637</v>
      </c>
      <c r="DA423" s="361">
        <v>373704.64</v>
      </c>
      <c r="DB423" s="352">
        <v>39976.720000000001</v>
      </c>
      <c r="DC423" s="361">
        <v>0</v>
      </c>
      <c r="DD423" s="361">
        <v>0</v>
      </c>
      <c r="DE423" s="361">
        <v>72546.720000000001</v>
      </c>
      <c r="DF423" s="811">
        <v>0</v>
      </c>
      <c r="DG423" s="361">
        <v>0</v>
      </c>
      <c r="DH423" s="361">
        <v>151725.84</v>
      </c>
      <c r="DI423" s="361">
        <v>109455.36</v>
      </c>
      <c r="DJ423" s="361">
        <v>0</v>
      </c>
      <c r="DK423" s="361">
        <v>0</v>
      </c>
      <c r="DL423" s="361"/>
      <c r="DM423" s="361"/>
      <c r="DN423" s="361"/>
      <c r="DO423" s="378"/>
    </row>
    <row r="424" spans="2:119" ht="13">
      <c r="B424" s="294"/>
      <c r="F424" s="296"/>
      <c r="J424" s="302"/>
      <c r="R424" s="188"/>
      <c r="T424" s="295"/>
      <c r="Y424" s="188"/>
      <c r="AA424" s="295"/>
      <c r="AF424" s="188"/>
      <c r="AH424" s="295"/>
      <c r="AI424" s="188"/>
      <c r="AJ424" s="188"/>
      <c r="AK424" s="188"/>
      <c r="AL424" s="188"/>
      <c r="AM424" s="188"/>
      <c r="AN424" s="188"/>
      <c r="AO424" s="299"/>
      <c r="AS424" s="296"/>
      <c r="AW424" s="296"/>
      <c r="BN424" s="296"/>
      <c r="BO424" s="296"/>
      <c r="CX424" s="302" t="e">
        <f t="shared" si="1066"/>
        <v>#N/A</v>
      </c>
      <c r="CY424" s="374">
        <v>81</v>
      </c>
      <c r="CZ424" s="359" t="s">
        <v>667</v>
      </c>
      <c r="DA424" s="361">
        <v>366186.05</v>
      </c>
      <c r="DB424" s="352">
        <v>146361.14000000001</v>
      </c>
      <c r="DC424" s="361">
        <v>97749.08</v>
      </c>
      <c r="DD424" s="361">
        <v>122075.83</v>
      </c>
      <c r="DE424" s="361">
        <v>0</v>
      </c>
      <c r="DF424" s="811">
        <v>0</v>
      </c>
      <c r="DG424" s="361">
        <v>0</v>
      </c>
      <c r="DH424" s="361">
        <v>0</v>
      </c>
      <c r="DI424" s="361">
        <v>0</v>
      </c>
      <c r="DJ424" s="361">
        <v>0</v>
      </c>
      <c r="DK424" s="361">
        <v>0</v>
      </c>
      <c r="DL424" s="361"/>
      <c r="DM424" s="361"/>
      <c r="DN424" s="361"/>
      <c r="DO424" s="378"/>
    </row>
    <row r="425" spans="2:119" ht="13">
      <c r="B425" s="294"/>
      <c r="F425" s="296"/>
      <c r="J425" s="302"/>
      <c r="R425" s="188"/>
      <c r="T425" s="295"/>
      <c r="Y425" s="188"/>
      <c r="AA425" s="295"/>
      <c r="AF425" s="188"/>
      <c r="AH425" s="295"/>
      <c r="AI425" s="188"/>
      <c r="AJ425" s="188"/>
      <c r="AK425" s="188"/>
      <c r="AL425" s="188"/>
      <c r="AM425" s="188"/>
      <c r="AN425" s="188"/>
      <c r="AO425" s="299"/>
      <c r="AS425" s="296"/>
      <c r="AW425" s="296"/>
      <c r="BN425" s="296"/>
      <c r="BO425" s="296"/>
      <c r="CX425" s="302">
        <f t="shared" si="1066"/>
        <v>112013822</v>
      </c>
      <c r="CY425" s="374">
        <v>82</v>
      </c>
      <c r="CZ425" s="359" t="s">
        <v>658</v>
      </c>
      <c r="DA425" s="361">
        <v>316798.40000000002</v>
      </c>
      <c r="DB425" s="361">
        <v>0</v>
      </c>
      <c r="DC425" s="361">
        <v>0</v>
      </c>
      <c r="DD425" s="361">
        <v>0</v>
      </c>
      <c r="DE425" s="361">
        <v>158399.20000000001</v>
      </c>
      <c r="DF425" s="811">
        <v>158399.20000000001</v>
      </c>
      <c r="DG425" s="365">
        <v>0</v>
      </c>
      <c r="DH425" s="365">
        <v>0</v>
      </c>
      <c r="DI425" s="361">
        <v>0</v>
      </c>
      <c r="DJ425" s="365">
        <v>0</v>
      </c>
      <c r="DK425" s="365">
        <v>0</v>
      </c>
      <c r="DL425" s="365"/>
      <c r="DM425" s="365"/>
      <c r="DN425" s="365"/>
      <c r="DO425" s="379"/>
    </row>
    <row r="426" spans="2:119" ht="13">
      <c r="B426" s="294"/>
      <c r="F426" s="296"/>
      <c r="J426" s="302"/>
      <c r="R426" s="188"/>
      <c r="T426" s="295"/>
      <c r="Y426" s="188"/>
      <c r="AA426" s="295"/>
      <c r="AF426" s="188"/>
      <c r="AH426" s="295"/>
      <c r="AI426" s="188"/>
      <c r="AJ426" s="188"/>
      <c r="AK426" s="188"/>
      <c r="AL426" s="188"/>
      <c r="AM426" s="188"/>
      <c r="AN426" s="188"/>
      <c r="AO426" s="299"/>
      <c r="AS426" s="296"/>
      <c r="AW426" s="296"/>
      <c r="BN426" s="296"/>
      <c r="BO426" s="296"/>
      <c r="CX426" s="302" t="e">
        <f t="shared" si="1066"/>
        <v>#N/A</v>
      </c>
      <c r="CY426" s="374">
        <v>83</v>
      </c>
      <c r="CZ426" s="359" t="s">
        <v>643</v>
      </c>
      <c r="DA426" s="361">
        <v>280879.49</v>
      </c>
      <c r="DB426" s="361">
        <v>0</v>
      </c>
      <c r="DC426" s="361">
        <v>0</v>
      </c>
      <c r="DD426" s="361">
        <v>0</v>
      </c>
      <c r="DE426" s="361">
        <v>0</v>
      </c>
      <c r="DF426" s="811">
        <v>0</v>
      </c>
      <c r="DG426" s="361">
        <v>0</v>
      </c>
      <c r="DH426" s="361">
        <v>0</v>
      </c>
      <c r="DI426" s="361">
        <v>280879.49</v>
      </c>
      <c r="DJ426" s="361">
        <v>0</v>
      </c>
      <c r="DK426" s="361">
        <v>0</v>
      </c>
      <c r="DL426" s="361"/>
      <c r="DM426" s="361"/>
      <c r="DN426" s="361"/>
      <c r="DO426" s="378"/>
    </row>
    <row r="427" spans="2:119" ht="13">
      <c r="B427" s="294"/>
      <c r="F427" s="296"/>
      <c r="J427" s="302"/>
      <c r="R427" s="188"/>
      <c r="T427" s="295"/>
      <c r="Y427" s="188"/>
      <c r="AA427" s="295"/>
      <c r="AF427" s="188"/>
      <c r="AH427" s="295"/>
      <c r="AI427" s="188"/>
      <c r="AJ427" s="188"/>
      <c r="AK427" s="188"/>
      <c r="AL427" s="188"/>
      <c r="AM427" s="188"/>
      <c r="AN427" s="188"/>
      <c r="AO427" s="299"/>
      <c r="AS427" s="296"/>
      <c r="AW427" s="296"/>
      <c r="BN427" s="296"/>
      <c r="BO427" s="296"/>
      <c r="CX427" s="302">
        <f t="shared" si="1066"/>
        <v>112013930</v>
      </c>
      <c r="CY427" s="374">
        <v>84</v>
      </c>
      <c r="CZ427" s="359" t="s">
        <v>656</v>
      </c>
      <c r="DA427" s="361">
        <v>271039.3</v>
      </c>
      <c r="DB427" s="361">
        <v>0</v>
      </c>
      <c r="DC427" s="361">
        <v>-36405.550000000003</v>
      </c>
      <c r="DD427" s="361">
        <v>69388.12</v>
      </c>
      <c r="DE427" s="365">
        <v>0</v>
      </c>
      <c r="DF427" s="811">
        <v>41756.959999999999</v>
      </c>
      <c r="DG427" s="361">
        <v>0</v>
      </c>
      <c r="DH427" s="361">
        <v>70739.14</v>
      </c>
      <c r="DI427" s="361">
        <v>40085.03</v>
      </c>
      <c r="DJ427" s="365">
        <v>0</v>
      </c>
      <c r="DK427" s="361">
        <v>85475.59</v>
      </c>
      <c r="DL427" s="365"/>
      <c r="DM427" s="365"/>
      <c r="DN427" s="365"/>
      <c r="DO427" s="379"/>
    </row>
    <row r="428" spans="2:119" ht="13">
      <c r="B428" s="294"/>
      <c r="F428" s="296"/>
      <c r="J428" s="302"/>
      <c r="R428" s="188"/>
      <c r="T428" s="295"/>
      <c r="Y428" s="188"/>
      <c r="AA428" s="295"/>
      <c r="AF428" s="188"/>
      <c r="AH428" s="295"/>
      <c r="AI428" s="188"/>
      <c r="AJ428" s="188"/>
      <c r="AK428" s="188"/>
      <c r="AL428" s="188"/>
      <c r="AM428" s="188"/>
      <c r="AN428" s="188"/>
      <c r="AO428" s="299"/>
      <c r="AS428" s="296"/>
      <c r="AW428" s="296"/>
      <c r="BN428" s="296"/>
      <c r="BO428" s="296"/>
      <c r="CX428" s="302" t="e">
        <f t="shared" si="1066"/>
        <v>#N/A</v>
      </c>
      <c r="CY428" s="374">
        <v>85</v>
      </c>
      <c r="CZ428" s="359" t="s">
        <v>668</v>
      </c>
      <c r="DA428" s="361">
        <v>236992.08</v>
      </c>
      <c r="DB428" s="361">
        <v>0</v>
      </c>
      <c r="DC428" s="361">
        <v>0</v>
      </c>
      <c r="DD428" s="361">
        <v>95211.21</v>
      </c>
      <c r="DE428" s="361">
        <v>99974.09</v>
      </c>
      <c r="DF428" s="811">
        <v>41806.78</v>
      </c>
      <c r="DG428" s="365">
        <v>0</v>
      </c>
      <c r="DH428" s="361">
        <v>0</v>
      </c>
      <c r="DI428" s="365">
        <v>0</v>
      </c>
      <c r="DJ428" s="365">
        <v>0</v>
      </c>
      <c r="DK428" s="365">
        <v>0</v>
      </c>
      <c r="DL428" s="365"/>
      <c r="DM428" s="365"/>
      <c r="DN428" s="365"/>
      <c r="DO428" s="379"/>
    </row>
    <row r="429" spans="2:119" ht="13">
      <c r="B429" s="294"/>
      <c r="F429" s="296"/>
      <c r="J429" s="302"/>
      <c r="R429" s="188"/>
      <c r="T429" s="295"/>
      <c r="Y429" s="188"/>
      <c r="AA429" s="295"/>
      <c r="AF429" s="188"/>
      <c r="AH429" s="295"/>
      <c r="AI429" s="188"/>
      <c r="AJ429" s="188"/>
      <c r="AK429" s="188"/>
      <c r="AL429" s="188"/>
      <c r="AM429" s="188"/>
      <c r="AN429" s="188"/>
      <c r="AO429" s="299"/>
      <c r="AS429" s="296"/>
      <c r="AW429" s="296"/>
      <c r="BN429" s="296"/>
      <c r="BO429" s="296"/>
      <c r="CX429" s="302">
        <f t="shared" si="1066"/>
        <v>112014588</v>
      </c>
      <c r="CY429" s="374">
        <v>86</v>
      </c>
      <c r="CZ429" s="359" t="s">
        <v>571</v>
      </c>
      <c r="DA429" s="361">
        <v>232780.29</v>
      </c>
      <c r="DB429" s="361">
        <v>43467.46</v>
      </c>
      <c r="DC429" s="361">
        <v>0</v>
      </c>
      <c r="DD429" s="361">
        <v>102926.59</v>
      </c>
      <c r="DE429" s="365">
        <v>0</v>
      </c>
      <c r="DF429" s="811">
        <v>86386.240000000005</v>
      </c>
      <c r="DG429" s="361">
        <v>0</v>
      </c>
      <c r="DH429" s="361">
        <v>0</v>
      </c>
      <c r="DI429" s="365">
        <v>0</v>
      </c>
      <c r="DJ429" s="365">
        <v>0</v>
      </c>
      <c r="DK429" s="365">
        <v>0</v>
      </c>
      <c r="DL429" s="365"/>
      <c r="DM429" s="365"/>
      <c r="DN429" s="365"/>
      <c r="DO429" s="379"/>
    </row>
    <row r="430" spans="2:119" ht="13">
      <c r="B430" s="294"/>
      <c r="F430" s="296"/>
      <c r="J430" s="302"/>
      <c r="R430" s="188"/>
      <c r="T430" s="295"/>
      <c r="Y430" s="188"/>
      <c r="AA430" s="295"/>
      <c r="AF430" s="188"/>
      <c r="AH430" s="295"/>
      <c r="AI430" s="188"/>
      <c r="AJ430" s="188"/>
      <c r="AK430" s="188"/>
      <c r="AL430" s="188"/>
      <c r="AM430" s="188"/>
      <c r="AN430" s="188"/>
      <c r="AO430" s="299"/>
      <c r="AS430" s="296"/>
      <c r="AW430" s="296"/>
      <c r="BN430" s="296"/>
      <c r="BO430" s="296"/>
      <c r="CY430" s="374">
        <v>87</v>
      </c>
      <c r="CZ430" s="359" t="s">
        <v>665</v>
      </c>
      <c r="DA430" s="361">
        <v>231937.7</v>
      </c>
      <c r="DB430" s="361">
        <v>0</v>
      </c>
      <c r="DC430" s="361">
        <v>0</v>
      </c>
      <c r="DD430" s="361">
        <v>0</v>
      </c>
      <c r="DE430" s="361">
        <v>200880.1</v>
      </c>
      <c r="DF430" s="811">
        <v>31057.599999999999</v>
      </c>
      <c r="DG430" s="365">
        <v>0</v>
      </c>
      <c r="DH430" s="361">
        <v>0</v>
      </c>
      <c r="DI430" s="361">
        <v>0</v>
      </c>
      <c r="DJ430" s="365">
        <v>0</v>
      </c>
      <c r="DK430" s="365">
        <v>0</v>
      </c>
      <c r="DL430" s="365"/>
      <c r="DM430" s="365"/>
      <c r="DN430" s="365"/>
      <c r="DO430" s="379"/>
    </row>
    <row r="431" spans="2:119" ht="13">
      <c r="B431" s="294"/>
      <c r="F431" s="296"/>
      <c r="J431" s="302"/>
      <c r="R431" s="188"/>
      <c r="T431" s="295"/>
      <c r="Y431" s="188"/>
      <c r="AA431" s="295"/>
      <c r="AF431" s="188"/>
      <c r="AH431" s="295"/>
      <c r="AI431" s="188"/>
      <c r="AJ431" s="188"/>
      <c r="AK431" s="188"/>
      <c r="AL431" s="188"/>
      <c r="AM431" s="188"/>
      <c r="AN431" s="188"/>
      <c r="AO431" s="299"/>
      <c r="AS431" s="296"/>
      <c r="AW431" s="296"/>
      <c r="BN431" s="296"/>
      <c r="BO431" s="296"/>
      <c r="CY431" s="374">
        <v>88</v>
      </c>
      <c r="CZ431" s="359" t="s">
        <v>551</v>
      </c>
      <c r="DA431" s="361">
        <v>230441.34</v>
      </c>
      <c r="DB431" s="361">
        <v>39954.879999999997</v>
      </c>
      <c r="DC431" s="361">
        <v>28500</v>
      </c>
      <c r="DD431" s="361">
        <v>0</v>
      </c>
      <c r="DE431" s="361">
        <v>0</v>
      </c>
      <c r="DF431" s="811">
        <v>31057.599999999999</v>
      </c>
      <c r="DG431" s="361">
        <v>43331.23</v>
      </c>
      <c r="DH431" s="361">
        <v>87597.63</v>
      </c>
      <c r="DI431" s="361">
        <v>0</v>
      </c>
      <c r="DJ431" s="361">
        <v>0</v>
      </c>
      <c r="DK431" s="361">
        <v>0</v>
      </c>
      <c r="DL431" s="361"/>
      <c r="DM431" s="361"/>
      <c r="DN431" s="361"/>
      <c r="DO431" s="378"/>
    </row>
    <row r="432" spans="2:119" ht="13">
      <c r="B432" s="294"/>
      <c r="F432" s="296"/>
      <c r="J432" s="302"/>
      <c r="R432" s="188"/>
      <c r="T432" s="295"/>
      <c r="Y432" s="188"/>
      <c r="AA432" s="295"/>
      <c r="AF432" s="188"/>
      <c r="AH432" s="295"/>
      <c r="AI432" s="188"/>
      <c r="AJ432" s="188"/>
      <c r="AK432" s="188"/>
      <c r="AL432" s="188"/>
      <c r="AM432" s="188"/>
      <c r="AN432" s="188"/>
      <c r="AO432" s="299"/>
      <c r="AS432" s="296"/>
      <c r="AW432" s="296"/>
      <c r="BN432" s="296"/>
      <c r="BO432" s="296"/>
      <c r="CY432" s="374">
        <v>89</v>
      </c>
      <c r="CZ432" s="302" t="s">
        <v>514</v>
      </c>
      <c r="DA432" s="352">
        <v>188090.01</v>
      </c>
      <c r="DB432" s="352">
        <v>15986.48</v>
      </c>
      <c r="DC432" s="352">
        <v>0</v>
      </c>
      <c r="DD432" s="302">
        <v>0</v>
      </c>
      <c r="DE432" s="302">
        <v>0</v>
      </c>
      <c r="DF432" s="296">
        <v>55682.559999999998</v>
      </c>
      <c r="DG432" s="302">
        <v>0</v>
      </c>
      <c r="DH432" s="302">
        <v>0</v>
      </c>
      <c r="DI432" s="352">
        <v>75443.37</v>
      </c>
      <c r="DJ432" s="302">
        <v>0</v>
      </c>
      <c r="DK432" s="352">
        <v>40977.599999999999</v>
      </c>
      <c r="DO432" s="380"/>
    </row>
    <row r="433" spans="2:119" ht="13">
      <c r="B433" s="294"/>
      <c r="F433" s="296"/>
      <c r="J433" s="302"/>
      <c r="R433" s="188"/>
      <c r="T433" s="295"/>
      <c r="Y433" s="188"/>
      <c r="AA433" s="295"/>
      <c r="AF433" s="188"/>
      <c r="AH433" s="295"/>
      <c r="AI433" s="188"/>
      <c r="AJ433" s="188"/>
      <c r="AK433" s="188"/>
      <c r="AL433" s="188"/>
      <c r="AM433" s="188"/>
      <c r="AN433" s="188"/>
      <c r="AO433" s="299"/>
      <c r="AS433" s="296"/>
      <c r="AW433" s="296"/>
      <c r="BN433" s="296"/>
      <c r="BO433" s="296"/>
      <c r="CY433" s="374">
        <v>90</v>
      </c>
      <c r="CZ433" s="302" t="s">
        <v>599</v>
      </c>
      <c r="DA433" s="352">
        <v>172297.61</v>
      </c>
      <c r="DB433" s="302">
        <v>0</v>
      </c>
      <c r="DC433" s="352">
        <v>111875.49</v>
      </c>
      <c r="DD433" s="352">
        <v>40449.120000000003</v>
      </c>
      <c r="DE433" s="302">
        <v>0</v>
      </c>
      <c r="DF433" s="296">
        <v>0</v>
      </c>
      <c r="DG433" s="302">
        <v>0</v>
      </c>
      <c r="DH433" s="352">
        <v>0</v>
      </c>
      <c r="DI433" s="302">
        <v>0</v>
      </c>
      <c r="DJ433" s="352">
        <v>19973</v>
      </c>
      <c r="DK433" s="302">
        <v>0</v>
      </c>
      <c r="DO433" s="380"/>
    </row>
    <row r="434" spans="2:119" ht="13">
      <c r="B434" s="294"/>
      <c r="F434" s="296"/>
      <c r="J434" s="302"/>
      <c r="R434" s="188"/>
      <c r="T434" s="295"/>
      <c r="Y434" s="188"/>
      <c r="AA434" s="295"/>
      <c r="AF434" s="188"/>
      <c r="AH434" s="295"/>
      <c r="AI434" s="188"/>
      <c r="AJ434" s="188"/>
      <c r="AK434" s="188"/>
      <c r="AL434" s="188"/>
      <c r="AM434" s="188"/>
      <c r="AN434" s="188"/>
      <c r="AO434" s="299"/>
      <c r="AS434" s="296"/>
      <c r="AW434" s="296"/>
      <c r="BN434" s="296"/>
      <c r="BO434" s="296"/>
      <c r="CY434" s="374">
        <v>91</v>
      </c>
      <c r="CZ434" s="302" t="s">
        <v>602</v>
      </c>
      <c r="DA434" s="352">
        <v>129725.92</v>
      </c>
      <c r="DB434" s="302">
        <v>0</v>
      </c>
      <c r="DC434" s="302">
        <v>0</v>
      </c>
      <c r="DD434" s="302">
        <v>0</v>
      </c>
      <c r="DE434" s="302">
        <v>0</v>
      </c>
      <c r="DF434" s="296">
        <v>0</v>
      </c>
      <c r="DG434" s="302">
        <v>0</v>
      </c>
      <c r="DH434" s="352">
        <v>129725.92</v>
      </c>
      <c r="DI434" s="352">
        <v>0</v>
      </c>
      <c r="DJ434" s="302">
        <v>0</v>
      </c>
      <c r="DK434" s="302">
        <v>0</v>
      </c>
      <c r="DO434" s="380"/>
    </row>
    <row r="435" spans="2:119" ht="13">
      <c r="B435" s="294"/>
      <c r="F435" s="296"/>
      <c r="J435" s="302"/>
      <c r="R435" s="188"/>
      <c r="T435" s="295"/>
      <c r="Y435" s="188"/>
      <c r="AA435" s="295"/>
      <c r="AF435" s="188"/>
      <c r="AH435" s="295"/>
      <c r="AI435" s="188"/>
      <c r="AJ435" s="188"/>
      <c r="AK435" s="188"/>
      <c r="AL435" s="188"/>
      <c r="AM435" s="188"/>
      <c r="AN435" s="188"/>
      <c r="AO435" s="299"/>
      <c r="AS435" s="296"/>
      <c r="AW435" s="296"/>
      <c r="BN435" s="296"/>
      <c r="BO435" s="296"/>
      <c r="CY435" s="374">
        <v>92</v>
      </c>
      <c r="CZ435" s="302" t="s">
        <v>539</v>
      </c>
      <c r="DA435" s="352">
        <v>117284.66</v>
      </c>
      <c r="DB435" s="302">
        <v>0</v>
      </c>
      <c r="DC435" s="352">
        <v>0</v>
      </c>
      <c r="DD435" s="302">
        <v>0</v>
      </c>
      <c r="DE435" s="302">
        <v>0</v>
      </c>
      <c r="DF435" s="296">
        <v>0</v>
      </c>
      <c r="DG435" s="302">
        <v>0</v>
      </c>
      <c r="DH435" s="302">
        <v>0</v>
      </c>
      <c r="DI435" s="352">
        <v>117284.66</v>
      </c>
      <c r="DJ435" s="302">
        <v>0</v>
      </c>
      <c r="DK435" s="302">
        <v>0</v>
      </c>
      <c r="DO435" s="380"/>
    </row>
    <row r="436" spans="2:119" ht="13">
      <c r="B436" s="294"/>
      <c r="F436" s="296"/>
      <c r="J436" s="302"/>
      <c r="R436" s="188"/>
      <c r="T436" s="295"/>
      <c r="Y436" s="188"/>
      <c r="AA436" s="295"/>
      <c r="AF436" s="188"/>
      <c r="AH436" s="295"/>
      <c r="AI436" s="188"/>
      <c r="AJ436" s="188"/>
      <c r="AK436" s="188"/>
      <c r="AL436" s="188"/>
      <c r="AM436" s="188"/>
      <c r="AN436" s="188"/>
      <c r="AO436" s="299"/>
      <c r="AS436" s="296"/>
      <c r="AW436" s="296"/>
      <c r="BN436" s="296"/>
      <c r="BO436" s="296"/>
      <c r="CY436" s="374">
        <v>93</v>
      </c>
      <c r="CZ436" s="302" t="s">
        <v>527</v>
      </c>
      <c r="DA436" s="352">
        <v>54968.7</v>
      </c>
      <c r="DB436" s="302">
        <v>0</v>
      </c>
      <c r="DC436" s="352">
        <v>11804.64</v>
      </c>
      <c r="DD436" s="302">
        <v>0</v>
      </c>
      <c r="DE436" s="302">
        <v>0</v>
      </c>
      <c r="DF436" s="296">
        <v>13510.4</v>
      </c>
      <c r="DG436" s="302">
        <v>0</v>
      </c>
      <c r="DH436" s="302">
        <v>0</v>
      </c>
      <c r="DI436" s="352">
        <v>12969.98</v>
      </c>
      <c r="DJ436" s="302">
        <v>0</v>
      </c>
      <c r="DK436" s="352">
        <v>16683.669999999998</v>
      </c>
      <c r="DO436" s="380"/>
    </row>
    <row r="437" spans="2:119" ht="13">
      <c r="B437" s="294"/>
      <c r="F437" s="296"/>
      <c r="J437" s="302"/>
      <c r="R437" s="188"/>
      <c r="T437" s="295"/>
      <c r="Y437" s="188"/>
      <c r="AA437" s="295"/>
      <c r="AF437" s="188"/>
      <c r="AH437" s="295"/>
      <c r="AI437" s="188"/>
      <c r="AJ437" s="188"/>
      <c r="AK437" s="188"/>
      <c r="AL437" s="188"/>
      <c r="AM437" s="188"/>
      <c r="AN437" s="188"/>
      <c r="AO437" s="299"/>
      <c r="AS437" s="296"/>
      <c r="AW437" s="296"/>
      <c r="BN437" s="296"/>
      <c r="BO437" s="296"/>
      <c r="CY437" s="374">
        <v>94</v>
      </c>
      <c r="CZ437" s="302" t="s">
        <v>648</v>
      </c>
      <c r="DA437" s="352">
        <v>31057.599999999999</v>
      </c>
      <c r="DB437" s="302">
        <v>0</v>
      </c>
      <c r="DC437" s="302">
        <v>0</v>
      </c>
      <c r="DD437" s="302">
        <v>0</v>
      </c>
      <c r="DE437" s="302">
        <v>0</v>
      </c>
      <c r="DF437" s="296">
        <v>0</v>
      </c>
      <c r="DG437" s="302">
        <v>0</v>
      </c>
      <c r="DH437" s="352">
        <v>0</v>
      </c>
      <c r="DI437" s="302">
        <v>0</v>
      </c>
      <c r="DJ437" s="302">
        <v>0</v>
      </c>
      <c r="DK437" s="352">
        <v>31057.599999999999</v>
      </c>
      <c r="DO437" s="380"/>
    </row>
    <row r="438" spans="2:119" ht="13">
      <c r="B438" s="294"/>
      <c r="F438" s="296"/>
      <c r="J438" s="302"/>
      <c r="R438" s="188"/>
      <c r="T438" s="295"/>
      <c r="Y438" s="188"/>
      <c r="AA438" s="295"/>
      <c r="AF438" s="188"/>
      <c r="AH438" s="295"/>
      <c r="AI438" s="188"/>
      <c r="AJ438" s="188"/>
      <c r="AK438" s="188"/>
      <c r="AL438" s="188"/>
      <c r="AM438" s="188"/>
      <c r="AN438" s="188"/>
      <c r="AO438" s="299"/>
      <c r="AS438" s="296"/>
      <c r="AW438" s="296"/>
      <c r="BN438" s="296"/>
      <c r="BO438" s="296"/>
      <c r="CY438" s="374">
        <v>95</v>
      </c>
      <c r="CZ438" s="302" t="s">
        <v>572</v>
      </c>
      <c r="DA438" s="352">
        <v>31057.599999999999</v>
      </c>
      <c r="DB438" s="352">
        <v>0</v>
      </c>
      <c r="DC438" s="302">
        <v>0</v>
      </c>
      <c r="DD438" s="302">
        <v>0</v>
      </c>
      <c r="DE438" s="302">
        <v>0</v>
      </c>
      <c r="DF438" s="296">
        <v>0</v>
      </c>
      <c r="DG438" s="302">
        <v>0</v>
      </c>
      <c r="DH438" s="352">
        <v>31057.599999999999</v>
      </c>
      <c r="DI438" s="302">
        <v>0</v>
      </c>
      <c r="DJ438" s="302">
        <v>0</v>
      </c>
      <c r="DK438" s="302">
        <v>0</v>
      </c>
      <c r="DO438" s="380"/>
    </row>
    <row r="439" spans="2:119" ht="13">
      <c r="B439" s="294"/>
      <c r="F439" s="296"/>
      <c r="J439" s="302"/>
      <c r="R439" s="188"/>
      <c r="T439" s="295"/>
      <c r="Y439" s="188"/>
      <c r="AA439" s="295"/>
      <c r="AF439" s="188"/>
      <c r="AH439" s="295"/>
      <c r="AI439" s="188"/>
      <c r="AJ439" s="188"/>
      <c r="AK439" s="188"/>
      <c r="AL439" s="188"/>
      <c r="AM439" s="188"/>
      <c r="AN439" s="188"/>
      <c r="AO439" s="299"/>
      <c r="AS439" s="296"/>
      <c r="AW439" s="296"/>
      <c r="BN439" s="296"/>
      <c r="BO439" s="296"/>
      <c r="CY439" s="374">
        <v>96</v>
      </c>
      <c r="CZ439" s="302" t="s">
        <v>595</v>
      </c>
      <c r="DA439" s="352">
        <v>29966.19</v>
      </c>
      <c r="DB439" s="352">
        <v>29966.19</v>
      </c>
      <c r="DC439" s="352">
        <v>0</v>
      </c>
      <c r="DD439" s="302">
        <v>0</v>
      </c>
      <c r="DE439" s="302">
        <v>0</v>
      </c>
      <c r="DF439" s="296">
        <v>0</v>
      </c>
      <c r="DG439" s="302">
        <v>0</v>
      </c>
      <c r="DH439" s="302">
        <v>0</v>
      </c>
      <c r="DI439" s="302">
        <v>0</v>
      </c>
      <c r="DJ439" s="302">
        <v>0</v>
      </c>
      <c r="DK439" s="302">
        <v>0</v>
      </c>
      <c r="DO439" s="380"/>
    </row>
    <row r="440" spans="2:119" ht="13">
      <c r="B440" s="294"/>
      <c r="F440" s="296"/>
      <c r="J440" s="302"/>
      <c r="R440" s="188"/>
      <c r="T440" s="295"/>
      <c r="Y440" s="188"/>
      <c r="AA440" s="295"/>
      <c r="AF440" s="188"/>
      <c r="AH440" s="295"/>
      <c r="AI440" s="188"/>
      <c r="AJ440" s="188"/>
      <c r="AK440" s="188"/>
      <c r="AL440" s="188"/>
      <c r="AM440" s="188"/>
      <c r="AN440" s="188"/>
      <c r="AO440" s="299"/>
      <c r="AS440" s="296"/>
      <c r="AW440" s="296"/>
      <c r="BN440" s="296"/>
      <c r="BO440" s="296"/>
      <c r="CY440" s="374">
        <v>97</v>
      </c>
      <c r="CZ440" s="302" t="s">
        <v>654</v>
      </c>
      <c r="DA440" s="352">
        <v>28500</v>
      </c>
      <c r="DB440" s="302">
        <v>0</v>
      </c>
      <c r="DC440" s="352">
        <v>28500</v>
      </c>
      <c r="DD440" s="302">
        <v>0</v>
      </c>
      <c r="DE440" s="302">
        <v>0</v>
      </c>
      <c r="DF440" s="296">
        <v>0</v>
      </c>
      <c r="DG440" s="302">
        <v>0</v>
      </c>
      <c r="DH440" s="302">
        <v>0</v>
      </c>
      <c r="DI440" s="302">
        <v>0</v>
      </c>
      <c r="DJ440" s="302">
        <v>0</v>
      </c>
      <c r="DK440" s="302">
        <v>0</v>
      </c>
      <c r="DO440" s="380"/>
    </row>
    <row r="441" spans="2:119" ht="13">
      <c r="B441" s="294"/>
      <c r="F441" s="296"/>
      <c r="J441" s="302"/>
      <c r="R441" s="188"/>
      <c r="T441" s="295"/>
      <c r="Y441" s="188"/>
      <c r="AA441" s="295"/>
      <c r="AF441" s="188"/>
      <c r="AH441" s="295"/>
      <c r="AI441" s="188"/>
      <c r="AJ441" s="188"/>
      <c r="AK441" s="188"/>
      <c r="AL441" s="188"/>
      <c r="AM441" s="188"/>
      <c r="AN441" s="188"/>
      <c r="AO441" s="299"/>
      <c r="AS441" s="296"/>
      <c r="AW441" s="296"/>
      <c r="BN441" s="296"/>
      <c r="BO441" s="296"/>
      <c r="CY441" s="374">
        <v>98</v>
      </c>
      <c r="CZ441" s="302" t="s">
        <v>524</v>
      </c>
      <c r="DA441" s="352">
        <v>19165.259999999998</v>
      </c>
      <c r="DB441" s="302">
        <v>0</v>
      </c>
      <c r="DC441" s="302">
        <v>0</v>
      </c>
      <c r="DD441" s="302">
        <v>0</v>
      </c>
      <c r="DE441" s="302">
        <v>0</v>
      </c>
      <c r="DF441" s="296">
        <v>19165.259999999998</v>
      </c>
      <c r="DG441" s="302">
        <v>0</v>
      </c>
      <c r="DH441" s="302">
        <v>0</v>
      </c>
      <c r="DI441" s="302">
        <v>0</v>
      </c>
      <c r="DJ441" s="302">
        <v>0</v>
      </c>
      <c r="DK441" s="302">
        <v>0</v>
      </c>
      <c r="DO441" s="380"/>
    </row>
    <row r="442" spans="2:119" ht="13">
      <c r="B442" s="294"/>
      <c r="F442" s="296"/>
      <c r="J442" s="302"/>
      <c r="R442" s="188"/>
      <c r="T442" s="295"/>
      <c r="Y442" s="188"/>
      <c r="AA442" s="295"/>
      <c r="AF442" s="188"/>
      <c r="AH442" s="295"/>
      <c r="AI442" s="188"/>
      <c r="AJ442" s="188"/>
      <c r="AK442" s="188"/>
      <c r="AL442" s="188"/>
      <c r="AM442" s="188"/>
      <c r="AN442" s="188"/>
      <c r="AO442" s="299"/>
      <c r="AS442" s="296"/>
      <c r="AW442" s="296"/>
      <c r="BN442" s="296"/>
      <c r="BO442" s="296"/>
      <c r="CY442" s="374">
        <v>99</v>
      </c>
      <c r="CZ442" s="302" t="s">
        <v>646</v>
      </c>
      <c r="DA442" s="352">
        <v>19165.259999999998</v>
      </c>
      <c r="DB442" s="302">
        <v>0</v>
      </c>
      <c r="DC442" s="302">
        <v>0</v>
      </c>
      <c r="DD442" s="302">
        <v>0</v>
      </c>
      <c r="DE442" s="302">
        <v>0</v>
      </c>
      <c r="DF442" s="296">
        <v>19165.259999999998</v>
      </c>
      <c r="DG442" s="302">
        <v>0</v>
      </c>
      <c r="DH442" s="302">
        <v>0</v>
      </c>
      <c r="DI442" s="302">
        <v>0</v>
      </c>
      <c r="DJ442" s="302">
        <v>0</v>
      </c>
      <c r="DK442" s="302">
        <v>0</v>
      </c>
      <c r="DO442" s="380"/>
    </row>
    <row r="443" spans="2:119" ht="13">
      <c r="B443" s="294"/>
      <c r="F443" s="296"/>
      <c r="J443" s="302"/>
      <c r="R443" s="188"/>
      <c r="T443" s="295"/>
      <c r="Y443" s="188"/>
      <c r="AA443" s="295"/>
      <c r="AF443" s="188"/>
      <c r="AH443" s="295"/>
      <c r="AI443" s="188"/>
      <c r="AJ443" s="188"/>
      <c r="AK443" s="188"/>
      <c r="AL443" s="188"/>
      <c r="AM443" s="188"/>
      <c r="AN443" s="188"/>
      <c r="AO443" s="299"/>
      <c r="AS443" s="296"/>
      <c r="AW443" s="296"/>
      <c r="BN443" s="296"/>
      <c r="BO443" s="296"/>
      <c r="CY443" s="374">
        <v>100</v>
      </c>
      <c r="CZ443" s="302" t="s">
        <v>540</v>
      </c>
      <c r="DA443" s="352">
        <v>13124.48</v>
      </c>
      <c r="DB443" s="302">
        <v>0</v>
      </c>
      <c r="DC443" s="302">
        <v>0</v>
      </c>
      <c r="DD443" s="302">
        <v>0</v>
      </c>
      <c r="DE443" s="302">
        <v>0</v>
      </c>
      <c r="DF443" s="296">
        <v>0</v>
      </c>
      <c r="DG443" s="302">
        <v>0</v>
      </c>
      <c r="DH443" s="302">
        <v>0</v>
      </c>
      <c r="DI443" s="302">
        <v>0</v>
      </c>
      <c r="DJ443" s="302">
        <v>0</v>
      </c>
      <c r="DK443" s="352">
        <v>13124.48</v>
      </c>
      <c r="DO443" s="380"/>
    </row>
    <row r="444" spans="2:119" ht="13">
      <c r="B444" s="294"/>
      <c r="F444" s="296"/>
      <c r="J444" s="302"/>
      <c r="R444" s="188"/>
      <c r="T444" s="295"/>
      <c r="Y444" s="188"/>
      <c r="AA444" s="295"/>
      <c r="AF444" s="188"/>
      <c r="AH444" s="295"/>
      <c r="AI444" s="188"/>
      <c r="AJ444" s="188"/>
      <c r="AK444" s="188"/>
      <c r="AL444" s="188"/>
      <c r="AM444" s="188"/>
      <c r="AN444" s="188"/>
      <c r="AO444" s="299"/>
      <c r="AS444" s="296"/>
      <c r="AW444" s="296"/>
      <c r="BN444" s="296"/>
      <c r="BO444" s="296"/>
      <c r="CY444" s="374">
        <v>101</v>
      </c>
      <c r="DF444" s="296"/>
      <c r="DO444" s="380"/>
    </row>
    <row r="445" spans="2:119" ht="13">
      <c r="B445" s="294"/>
      <c r="F445" s="296"/>
      <c r="J445" s="302"/>
      <c r="R445" s="188"/>
      <c r="T445" s="295"/>
      <c r="Y445" s="188"/>
      <c r="AA445" s="295"/>
      <c r="AF445" s="188"/>
      <c r="AH445" s="295"/>
      <c r="AI445" s="188"/>
      <c r="AJ445" s="188"/>
      <c r="AK445" s="188"/>
      <c r="AL445" s="188"/>
      <c r="AM445" s="188"/>
      <c r="AN445" s="188"/>
      <c r="AO445" s="299"/>
      <c r="AS445" s="296"/>
      <c r="AW445" s="296"/>
      <c r="BN445" s="296"/>
      <c r="BO445" s="296"/>
      <c r="CY445" s="374">
        <v>102</v>
      </c>
      <c r="DF445" s="296"/>
      <c r="DO445" s="380"/>
    </row>
    <row r="446" spans="2:119" ht="13">
      <c r="B446" s="294"/>
      <c r="F446" s="296"/>
      <c r="J446" s="302"/>
      <c r="R446" s="188"/>
      <c r="T446" s="295"/>
      <c r="Y446" s="188"/>
      <c r="AA446" s="295"/>
      <c r="AF446" s="188"/>
      <c r="AH446" s="295"/>
      <c r="AI446" s="188"/>
      <c r="AJ446" s="188"/>
      <c r="AK446" s="188"/>
      <c r="AL446" s="188"/>
      <c r="AM446" s="188"/>
      <c r="AN446" s="188"/>
      <c r="AO446" s="299"/>
      <c r="AS446" s="296"/>
      <c r="AW446" s="296"/>
      <c r="BN446" s="296"/>
      <c r="BO446" s="296"/>
      <c r="CY446" s="374">
        <v>103</v>
      </c>
      <c r="DF446" s="296"/>
      <c r="DO446" s="380"/>
    </row>
    <row r="447" spans="2:119" ht="13">
      <c r="B447" s="294"/>
      <c r="F447" s="296"/>
      <c r="J447" s="302"/>
      <c r="R447" s="188"/>
      <c r="T447" s="295"/>
      <c r="Y447" s="188"/>
      <c r="AA447" s="295"/>
      <c r="AF447" s="188"/>
      <c r="AH447" s="295"/>
      <c r="AI447" s="188"/>
      <c r="AJ447" s="188"/>
      <c r="AK447" s="188"/>
      <c r="AL447" s="188"/>
      <c r="AM447" s="188"/>
      <c r="AN447" s="188"/>
      <c r="AO447" s="299"/>
      <c r="AS447" s="296"/>
      <c r="AW447" s="296"/>
      <c r="BN447" s="296"/>
      <c r="BO447" s="296"/>
      <c r="CY447" s="374">
        <v>104</v>
      </c>
      <c r="DF447" s="296"/>
      <c r="DO447" s="380"/>
    </row>
    <row r="448" spans="2:119" ht="13">
      <c r="B448" s="294"/>
      <c r="F448" s="296"/>
      <c r="J448" s="302"/>
      <c r="R448" s="188"/>
      <c r="T448" s="295"/>
      <c r="Y448" s="188"/>
      <c r="AA448" s="295"/>
      <c r="AF448" s="188"/>
      <c r="AH448" s="295"/>
      <c r="AI448" s="188"/>
      <c r="AJ448" s="188"/>
      <c r="AK448" s="188"/>
      <c r="AL448" s="188"/>
      <c r="AM448" s="188"/>
      <c r="AN448" s="188"/>
      <c r="AO448" s="299"/>
      <c r="AS448" s="296"/>
      <c r="AW448" s="296"/>
      <c r="BN448" s="296"/>
      <c r="BO448" s="296"/>
      <c r="CY448" s="374">
        <v>105</v>
      </c>
      <c r="DF448" s="296"/>
      <c r="DO448" s="380"/>
    </row>
    <row r="449" spans="2:119" ht="13">
      <c r="B449" s="294"/>
      <c r="F449" s="296"/>
      <c r="J449" s="302"/>
      <c r="R449" s="188"/>
      <c r="T449" s="295"/>
      <c r="Y449" s="188"/>
      <c r="AA449" s="295"/>
      <c r="AF449" s="188"/>
      <c r="AH449" s="295"/>
      <c r="AI449" s="188"/>
      <c r="AJ449" s="188"/>
      <c r="AK449" s="188"/>
      <c r="AL449" s="188"/>
      <c r="AM449" s="188"/>
      <c r="AN449" s="188"/>
      <c r="AO449" s="299"/>
      <c r="AS449" s="296"/>
      <c r="AW449" s="296"/>
      <c r="BN449" s="296"/>
      <c r="BO449" s="296"/>
      <c r="CY449" s="374">
        <v>106</v>
      </c>
      <c r="DF449" s="296"/>
      <c r="DO449" s="380"/>
    </row>
    <row r="450" spans="2:119" ht="13">
      <c r="B450" s="294"/>
      <c r="F450" s="296"/>
      <c r="J450" s="302"/>
      <c r="R450" s="188"/>
      <c r="T450" s="295"/>
      <c r="Y450" s="188"/>
      <c r="AA450" s="295"/>
      <c r="AF450" s="188"/>
      <c r="AH450" s="295"/>
      <c r="AI450" s="188"/>
      <c r="AJ450" s="188"/>
      <c r="AK450" s="188"/>
      <c r="AL450" s="188"/>
      <c r="AM450" s="188"/>
      <c r="AN450" s="188"/>
      <c r="AO450" s="299"/>
      <c r="AS450" s="296"/>
      <c r="AW450" s="296"/>
      <c r="BN450" s="296"/>
      <c r="BO450" s="296"/>
      <c r="CY450" s="374">
        <v>107</v>
      </c>
      <c r="DF450" s="296"/>
      <c r="DO450" s="380"/>
    </row>
    <row r="451" spans="2:119" ht="13">
      <c r="B451" s="294"/>
      <c r="F451" s="296"/>
      <c r="J451" s="302"/>
      <c r="R451" s="188"/>
      <c r="T451" s="295"/>
      <c r="Y451" s="188"/>
      <c r="AA451" s="295"/>
      <c r="AF451" s="188"/>
      <c r="AH451" s="295"/>
      <c r="AI451" s="188"/>
      <c r="AJ451" s="188"/>
      <c r="AK451" s="188"/>
      <c r="AL451" s="188"/>
      <c r="AM451" s="188"/>
      <c r="AN451" s="188"/>
      <c r="AO451" s="299"/>
      <c r="AS451" s="296"/>
      <c r="AW451" s="296"/>
      <c r="BN451" s="296"/>
      <c r="BO451" s="296"/>
      <c r="CY451" s="374">
        <v>108</v>
      </c>
      <c r="DF451" s="296"/>
      <c r="DO451" s="380"/>
    </row>
    <row r="452" spans="2:119" ht="13">
      <c r="B452" s="294"/>
      <c r="F452" s="296"/>
      <c r="J452" s="302"/>
      <c r="R452" s="188"/>
      <c r="T452" s="295"/>
      <c r="Y452" s="188"/>
      <c r="AA452" s="295"/>
      <c r="AF452" s="188"/>
      <c r="AH452" s="295"/>
      <c r="AI452" s="188"/>
      <c r="AJ452" s="188"/>
      <c r="AK452" s="188"/>
      <c r="AL452" s="188"/>
      <c r="AM452" s="188"/>
      <c r="AN452" s="188"/>
      <c r="AO452" s="299"/>
      <c r="AS452" s="296"/>
      <c r="AW452" s="296"/>
      <c r="BN452" s="296"/>
      <c r="BO452" s="296"/>
      <c r="CY452" s="374">
        <v>109</v>
      </c>
      <c r="DF452" s="296"/>
      <c r="DO452" s="380"/>
    </row>
    <row r="453" spans="2:119" ht="13">
      <c r="B453" s="294"/>
      <c r="F453" s="296"/>
      <c r="J453" s="302"/>
      <c r="R453" s="188"/>
      <c r="T453" s="295"/>
      <c r="Y453" s="188"/>
      <c r="AA453" s="295"/>
      <c r="AF453" s="188"/>
      <c r="AH453" s="295"/>
      <c r="AI453" s="188"/>
      <c r="AJ453" s="188"/>
      <c r="AK453" s="188"/>
      <c r="AL453" s="188"/>
      <c r="AM453" s="188"/>
      <c r="AN453" s="188"/>
      <c r="AO453" s="299"/>
      <c r="AS453" s="296"/>
      <c r="AW453" s="296"/>
      <c r="BN453" s="296"/>
      <c r="BO453" s="296"/>
      <c r="CY453" s="374">
        <v>110</v>
      </c>
      <c r="DF453" s="296"/>
      <c r="DO453" s="380"/>
    </row>
    <row r="454" spans="2:119" ht="13">
      <c r="B454" s="294"/>
      <c r="F454" s="296"/>
      <c r="J454" s="302"/>
      <c r="R454" s="188"/>
      <c r="T454" s="295"/>
      <c r="Y454" s="188"/>
      <c r="AA454" s="295"/>
      <c r="AF454" s="188"/>
      <c r="AH454" s="295"/>
      <c r="AI454" s="188"/>
      <c r="AJ454" s="188"/>
      <c r="AK454" s="188"/>
      <c r="AL454" s="188"/>
      <c r="AM454" s="188"/>
      <c r="AN454" s="188"/>
      <c r="AO454" s="299"/>
      <c r="AS454" s="296"/>
      <c r="AW454" s="296"/>
      <c r="BN454" s="296"/>
      <c r="BO454" s="296"/>
      <c r="CY454" s="374">
        <v>111</v>
      </c>
      <c r="DF454" s="296"/>
      <c r="DO454" s="380"/>
    </row>
    <row r="455" spans="2:119" ht="13">
      <c r="B455" s="294"/>
      <c r="F455" s="296"/>
      <c r="J455" s="302"/>
      <c r="R455" s="188"/>
      <c r="T455" s="295"/>
      <c r="Y455" s="188"/>
      <c r="AA455" s="295"/>
      <c r="AF455" s="188"/>
      <c r="AH455" s="295"/>
      <c r="AI455" s="188"/>
      <c r="AJ455" s="188"/>
      <c r="AK455" s="188"/>
      <c r="AL455" s="188"/>
      <c r="AM455" s="188"/>
      <c r="AN455" s="188"/>
      <c r="AO455" s="299"/>
      <c r="AS455" s="296"/>
      <c r="AW455" s="296"/>
      <c r="BN455" s="296"/>
      <c r="BO455" s="296"/>
      <c r="CY455" s="374">
        <v>112</v>
      </c>
      <c r="DF455" s="296"/>
      <c r="DO455" s="380"/>
    </row>
    <row r="456" spans="2:119" ht="13">
      <c r="B456" s="294"/>
      <c r="F456" s="296"/>
      <c r="J456" s="302"/>
      <c r="R456" s="188"/>
      <c r="T456" s="295"/>
      <c r="Y456" s="188"/>
      <c r="AA456" s="295"/>
      <c r="AF456" s="188"/>
      <c r="AH456" s="295"/>
      <c r="AI456" s="188"/>
      <c r="AJ456" s="188"/>
      <c r="AK456" s="188"/>
      <c r="AL456" s="188"/>
      <c r="AM456" s="188"/>
      <c r="AN456" s="188"/>
      <c r="AO456" s="299"/>
      <c r="AS456" s="296"/>
      <c r="AW456" s="296"/>
      <c r="BN456" s="296"/>
      <c r="BO456" s="296"/>
      <c r="CY456" s="374">
        <v>113</v>
      </c>
      <c r="DF456" s="296"/>
      <c r="DO456" s="380"/>
    </row>
    <row r="457" spans="2:119" ht="13">
      <c r="B457" s="294"/>
      <c r="F457" s="296"/>
      <c r="J457" s="302"/>
      <c r="R457" s="188"/>
      <c r="T457" s="295"/>
      <c r="Y457" s="188"/>
      <c r="AA457" s="295"/>
      <c r="AF457" s="188"/>
      <c r="AH457" s="295"/>
      <c r="AI457" s="188"/>
      <c r="AJ457" s="188"/>
      <c r="AK457" s="188"/>
      <c r="AL457" s="188"/>
      <c r="AM457" s="188"/>
      <c r="AN457" s="188"/>
      <c r="AO457" s="299"/>
      <c r="AS457" s="296"/>
      <c r="AW457" s="296"/>
      <c r="BN457" s="296"/>
      <c r="BO457" s="296"/>
      <c r="CY457" s="374">
        <v>114</v>
      </c>
      <c r="DF457" s="296"/>
      <c r="DO457" s="380"/>
    </row>
    <row r="458" spans="2:119" ht="13">
      <c r="B458" s="294"/>
      <c r="F458" s="296"/>
      <c r="J458" s="302"/>
      <c r="R458" s="188"/>
      <c r="T458" s="295"/>
      <c r="Y458" s="188"/>
      <c r="AA458" s="295"/>
      <c r="AF458" s="188"/>
      <c r="AH458" s="295"/>
      <c r="AI458" s="188"/>
      <c r="AJ458" s="188"/>
      <c r="AK458" s="188"/>
      <c r="AL458" s="188"/>
      <c r="AM458" s="188"/>
      <c r="AN458" s="188"/>
      <c r="AO458" s="299"/>
      <c r="AS458" s="296"/>
      <c r="AW458" s="296"/>
      <c r="BN458" s="296"/>
      <c r="BO458" s="296"/>
      <c r="CY458" s="374">
        <v>115</v>
      </c>
      <c r="DF458" s="296"/>
      <c r="DO458" s="380"/>
    </row>
    <row r="459" spans="2:119" ht="13">
      <c r="B459" s="294"/>
      <c r="F459" s="296"/>
      <c r="J459" s="302"/>
      <c r="R459" s="188"/>
      <c r="T459" s="295"/>
      <c r="Y459" s="188"/>
      <c r="AA459" s="295"/>
      <c r="AF459" s="188"/>
      <c r="AH459" s="295"/>
      <c r="AI459" s="188"/>
      <c r="AJ459" s="188"/>
      <c r="AK459" s="188"/>
      <c r="AL459" s="188"/>
      <c r="AM459" s="188"/>
      <c r="AN459" s="188"/>
      <c r="AO459" s="299"/>
      <c r="AS459" s="296"/>
      <c r="AW459" s="296"/>
      <c r="BN459" s="296"/>
      <c r="BO459" s="296"/>
      <c r="CY459" s="374">
        <v>116</v>
      </c>
      <c r="DF459" s="296"/>
      <c r="DO459" s="380"/>
    </row>
    <row r="460" spans="2:119" ht="13">
      <c r="B460" s="294"/>
      <c r="F460" s="296"/>
      <c r="J460" s="302"/>
      <c r="R460" s="188"/>
      <c r="T460" s="295"/>
      <c r="Y460" s="188"/>
      <c r="AA460" s="295"/>
      <c r="AF460" s="188"/>
      <c r="AH460" s="295"/>
      <c r="AI460" s="188"/>
      <c r="AJ460" s="188"/>
      <c r="AK460" s="188"/>
      <c r="AL460" s="188"/>
      <c r="AM460" s="188"/>
      <c r="AN460" s="188"/>
      <c r="AO460" s="299"/>
      <c r="AS460" s="296"/>
      <c r="AW460" s="296"/>
      <c r="BN460" s="296"/>
      <c r="BO460" s="296"/>
      <c r="CY460" s="374">
        <v>117</v>
      </c>
      <c r="DF460" s="296"/>
      <c r="DO460" s="380"/>
    </row>
    <row r="461" spans="2:119" ht="13">
      <c r="B461" s="294"/>
      <c r="F461" s="296"/>
      <c r="J461" s="302"/>
      <c r="R461" s="188"/>
      <c r="T461" s="295"/>
      <c r="Y461" s="188"/>
      <c r="AA461" s="295"/>
      <c r="AF461" s="188"/>
      <c r="AH461" s="295"/>
      <c r="AI461" s="188"/>
      <c r="AJ461" s="188"/>
      <c r="AK461" s="188"/>
      <c r="AL461" s="188"/>
      <c r="AM461" s="188"/>
      <c r="AN461" s="188"/>
      <c r="AO461" s="299"/>
      <c r="AS461" s="296"/>
      <c r="AW461" s="296"/>
      <c r="BN461" s="296"/>
      <c r="BO461" s="296"/>
      <c r="CY461" s="374">
        <v>118</v>
      </c>
      <c r="DF461" s="296"/>
      <c r="DO461" s="380"/>
    </row>
    <row r="462" spans="2:119" ht="13">
      <c r="B462" s="294"/>
      <c r="F462" s="296"/>
      <c r="J462" s="302"/>
      <c r="R462" s="188"/>
      <c r="T462" s="295"/>
      <c r="Y462" s="188"/>
      <c r="AA462" s="295"/>
      <c r="AF462" s="188"/>
      <c r="AH462" s="295"/>
      <c r="AI462" s="188"/>
      <c r="AJ462" s="188"/>
      <c r="AK462" s="188"/>
      <c r="AL462" s="188"/>
      <c r="AM462" s="188"/>
      <c r="AN462" s="188"/>
      <c r="AO462" s="299"/>
      <c r="AS462" s="296"/>
      <c r="AW462" s="296"/>
      <c r="BN462" s="296"/>
      <c r="BO462" s="296"/>
      <c r="CY462" s="374">
        <v>119</v>
      </c>
      <c r="DF462" s="296"/>
      <c r="DO462" s="380"/>
    </row>
    <row r="463" spans="2:119" ht="13">
      <c r="B463" s="294"/>
      <c r="F463" s="296"/>
      <c r="J463" s="302"/>
      <c r="R463" s="188"/>
      <c r="T463" s="295"/>
      <c r="Y463" s="188"/>
      <c r="AA463" s="295"/>
      <c r="AF463" s="188"/>
      <c r="AH463" s="295"/>
      <c r="AI463" s="188"/>
      <c r="AJ463" s="188"/>
      <c r="AK463" s="188"/>
      <c r="AL463" s="188"/>
      <c r="AM463" s="188"/>
      <c r="AN463" s="188"/>
      <c r="AO463" s="299"/>
      <c r="AS463" s="296"/>
      <c r="AW463" s="296"/>
      <c r="BN463" s="296"/>
      <c r="BO463" s="296"/>
      <c r="CY463" s="374">
        <v>120</v>
      </c>
      <c r="DF463" s="296"/>
      <c r="DO463" s="380"/>
    </row>
    <row r="464" spans="2:119" ht="13">
      <c r="B464" s="294"/>
      <c r="F464" s="296"/>
      <c r="J464" s="302"/>
      <c r="R464" s="188"/>
      <c r="T464" s="295"/>
      <c r="Y464" s="188"/>
      <c r="AA464" s="295"/>
      <c r="AF464" s="188"/>
      <c r="AH464" s="295"/>
      <c r="AI464" s="188"/>
      <c r="AJ464" s="188"/>
      <c r="AK464" s="188"/>
      <c r="AL464" s="188"/>
      <c r="AM464" s="188"/>
      <c r="AN464" s="188"/>
      <c r="AO464" s="299"/>
      <c r="AS464" s="296"/>
      <c r="AW464" s="296"/>
      <c r="BN464" s="296"/>
      <c r="BO464" s="296"/>
      <c r="CY464" s="374">
        <v>121</v>
      </c>
      <c r="DF464" s="296"/>
      <c r="DO464" s="380"/>
    </row>
    <row r="465" spans="2:119" ht="13">
      <c r="B465" s="294"/>
      <c r="F465" s="296"/>
      <c r="J465" s="302"/>
      <c r="R465" s="188"/>
      <c r="T465" s="295"/>
      <c r="Y465" s="188"/>
      <c r="AA465" s="295"/>
      <c r="AF465" s="188"/>
      <c r="AH465" s="295"/>
      <c r="AI465" s="188"/>
      <c r="AJ465" s="188"/>
      <c r="AK465" s="188"/>
      <c r="AL465" s="188"/>
      <c r="AM465" s="188"/>
      <c r="AN465" s="188"/>
      <c r="AO465" s="299"/>
      <c r="AS465" s="296"/>
      <c r="AW465" s="296"/>
      <c r="BN465" s="296"/>
      <c r="BO465" s="296"/>
      <c r="CY465" s="374">
        <v>122</v>
      </c>
      <c r="DF465" s="296"/>
      <c r="DO465" s="380"/>
    </row>
    <row r="466" spans="2:119" ht="13">
      <c r="B466" s="294"/>
      <c r="F466" s="296"/>
      <c r="J466" s="302"/>
      <c r="R466" s="188"/>
      <c r="T466" s="295"/>
      <c r="Y466" s="188"/>
      <c r="AA466" s="295"/>
      <c r="AF466" s="188"/>
      <c r="AH466" s="295"/>
      <c r="AI466" s="188"/>
      <c r="AJ466" s="188"/>
      <c r="AK466" s="188"/>
      <c r="AL466" s="188"/>
      <c r="AM466" s="188"/>
      <c r="AN466" s="188"/>
      <c r="AO466" s="299"/>
      <c r="AS466" s="296"/>
      <c r="AW466" s="296"/>
      <c r="BN466" s="296"/>
      <c r="BO466" s="296"/>
      <c r="CY466" s="374">
        <v>123</v>
      </c>
      <c r="DF466" s="296"/>
      <c r="DO466" s="380"/>
    </row>
    <row r="467" spans="2:119" ht="13">
      <c r="B467" s="294"/>
      <c r="F467" s="296"/>
      <c r="J467" s="302"/>
      <c r="R467" s="188"/>
      <c r="T467" s="295"/>
      <c r="Y467" s="188"/>
      <c r="AA467" s="295"/>
      <c r="AF467" s="188"/>
      <c r="AH467" s="295"/>
      <c r="AI467" s="188"/>
      <c r="AJ467" s="188"/>
      <c r="AK467" s="188"/>
      <c r="AL467" s="188"/>
      <c r="AM467" s="188"/>
      <c r="AN467" s="188"/>
      <c r="AO467" s="299"/>
      <c r="AS467" s="296"/>
      <c r="AW467" s="296"/>
      <c r="BN467" s="296"/>
      <c r="BO467" s="296"/>
      <c r="CY467" s="374">
        <v>124</v>
      </c>
      <c r="DF467" s="296"/>
      <c r="DO467" s="380"/>
    </row>
    <row r="468" spans="2:119" ht="13">
      <c r="B468" s="294"/>
      <c r="F468" s="296"/>
      <c r="J468" s="302"/>
      <c r="R468" s="188"/>
      <c r="T468" s="295"/>
      <c r="Y468" s="188"/>
      <c r="AA468" s="295"/>
      <c r="AF468" s="188"/>
      <c r="AH468" s="295"/>
      <c r="AI468" s="188"/>
      <c r="AJ468" s="188"/>
      <c r="AK468" s="188"/>
      <c r="AL468" s="188"/>
      <c r="AM468" s="188"/>
      <c r="AN468" s="188"/>
      <c r="AO468" s="299"/>
      <c r="AS468" s="296"/>
      <c r="AW468" s="296"/>
      <c r="BN468" s="296"/>
      <c r="BO468" s="296"/>
      <c r="CY468" s="374">
        <v>125</v>
      </c>
      <c r="DF468" s="296"/>
      <c r="DO468" s="380"/>
    </row>
    <row r="469" spans="2:119" ht="13">
      <c r="B469" s="294"/>
      <c r="F469" s="296"/>
      <c r="J469" s="302"/>
      <c r="R469" s="188"/>
      <c r="T469" s="295"/>
      <c r="Y469" s="188"/>
      <c r="AA469" s="295"/>
      <c r="AF469" s="188"/>
      <c r="AH469" s="295"/>
      <c r="AI469" s="188"/>
      <c r="AJ469" s="188"/>
      <c r="AK469" s="188"/>
      <c r="AL469" s="188"/>
      <c r="AM469" s="188"/>
      <c r="AN469" s="188"/>
      <c r="AO469" s="299"/>
      <c r="AS469" s="296"/>
      <c r="AW469" s="296"/>
      <c r="BN469" s="296"/>
      <c r="BO469" s="296"/>
      <c r="CY469" s="374">
        <v>126</v>
      </c>
      <c r="DF469" s="296"/>
      <c r="DO469" s="380"/>
    </row>
    <row r="470" spans="2:119" ht="13">
      <c r="B470" s="294"/>
      <c r="F470" s="296"/>
      <c r="J470" s="302"/>
      <c r="R470" s="188"/>
      <c r="T470" s="295"/>
      <c r="Y470" s="188"/>
      <c r="AA470" s="295"/>
      <c r="AF470" s="188"/>
      <c r="AH470" s="295"/>
      <c r="AI470" s="188"/>
      <c r="AJ470" s="188"/>
      <c r="AK470" s="188"/>
      <c r="AL470" s="188"/>
      <c r="AM470" s="188"/>
      <c r="AN470" s="188"/>
      <c r="AO470" s="299"/>
      <c r="AS470" s="296"/>
      <c r="AW470" s="296"/>
      <c r="BN470" s="296"/>
      <c r="BO470" s="296"/>
      <c r="CY470" s="374">
        <v>127</v>
      </c>
      <c r="DF470" s="296"/>
      <c r="DO470" s="380"/>
    </row>
    <row r="471" spans="2:119" ht="13">
      <c r="B471" s="294"/>
      <c r="F471" s="296"/>
      <c r="J471" s="302"/>
      <c r="R471" s="188"/>
      <c r="T471" s="295"/>
      <c r="Y471" s="188"/>
      <c r="AA471" s="295"/>
      <c r="AF471" s="188"/>
      <c r="AH471" s="295"/>
      <c r="AI471" s="188"/>
      <c r="AJ471" s="188"/>
      <c r="AK471" s="188"/>
      <c r="AL471" s="188"/>
      <c r="AM471" s="188"/>
      <c r="AN471" s="188"/>
      <c r="AO471" s="299"/>
      <c r="AS471" s="296"/>
      <c r="AW471" s="296"/>
      <c r="BN471" s="296"/>
      <c r="BO471" s="296"/>
      <c r="CY471" s="374">
        <v>128</v>
      </c>
      <c r="DF471" s="296"/>
      <c r="DO471" s="380"/>
    </row>
    <row r="472" spans="2:119" ht="13">
      <c r="B472" s="294"/>
      <c r="F472" s="296"/>
      <c r="J472" s="302"/>
      <c r="R472" s="188"/>
      <c r="T472" s="295"/>
      <c r="Y472" s="188"/>
      <c r="AA472" s="295"/>
      <c r="AF472" s="188"/>
      <c r="AH472" s="295"/>
      <c r="AI472" s="188"/>
      <c r="AJ472" s="188"/>
      <c r="AK472" s="188"/>
      <c r="AL472" s="188"/>
      <c r="AM472" s="188"/>
      <c r="AN472" s="188"/>
      <c r="AO472" s="299"/>
      <c r="AS472" s="296"/>
      <c r="AW472" s="296"/>
      <c r="BN472" s="296"/>
      <c r="BO472" s="296"/>
      <c r="CY472" s="374">
        <v>129</v>
      </c>
      <c r="DF472" s="296"/>
      <c r="DO472" s="380"/>
    </row>
    <row r="473" spans="2:119" ht="13">
      <c r="B473" s="294"/>
      <c r="F473" s="296"/>
      <c r="J473" s="302"/>
      <c r="R473" s="188"/>
      <c r="T473" s="295"/>
      <c r="Y473" s="188"/>
      <c r="AA473" s="295"/>
      <c r="AF473" s="188"/>
      <c r="AH473" s="295"/>
      <c r="AI473" s="188"/>
      <c r="AJ473" s="188"/>
      <c r="AK473" s="188"/>
      <c r="AL473" s="188"/>
      <c r="AM473" s="188"/>
      <c r="AN473" s="188"/>
      <c r="AO473" s="299"/>
      <c r="AS473" s="296"/>
      <c r="AW473" s="296"/>
      <c r="BN473" s="296"/>
      <c r="BO473" s="296"/>
      <c r="CY473" s="374">
        <v>130</v>
      </c>
      <c r="DF473" s="296"/>
      <c r="DO473" s="380"/>
    </row>
    <row r="474" spans="2:119" ht="13">
      <c r="B474" s="294"/>
      <c r="F474" s="296"/>
      <c r="J474" s="302"/>
      <c r="R474" s="188"/>
      <c r="T474" s="295"/>
      <c r="Y474" s="188"/>
      <c r="AA474" s="295"/>
      <c r="AF474" s="188"/>
      <c r="AH474" s="295"/>
      <c r="AI474" s="188"/>
      <c r="AJ474" s="188"/>
      <c r="AK474" s="188"/>
      <c r="AL474" s="188"/>
      <c r="AM474" s="188"/>
      <c r="AN474" s="188"/>
      <c r="AO474" s="299"/>
      <c r="AS474" s="296"/>
      <c r="AW474" s="296"/>
      <c r="BN474" s="296"/>
      <c r="BO474" s="296"/>
      <c r="CY474" s="374">
        <v>131</v>
      </c>
      <c r="DF474" s="296"/>
      <c r="DO474" s="380"/>
    </row>
    <row r="475" spans="2:119" ht="13">
      <c r="B475" s="294"/>
      <c r="F475" s="296"/>
      <c r="J475" s="302"/>
      <c r="R475" s="188"/>
      <c r="T475" s="295"/>
      <c r="Y475" s="188"/>
      <c r="AA475" s="295"/>
      <c r="AF475" s="188"/>
      <c r="AH475" s="295"/>
      <c r="AI475" s="188"/>
      <c r="AJ475" s="188"/>
      <c r="AK475" s="188"/>
      <c r="AL475" s="188"/>
      <c r="AM475" s="188"/>
      <c r="AN475" s="188"/>
      <c r="AO475" s="299"/>
      <c r="AS475" s="296"/>
      <c r="AW475" s="296"/>
      <c r="BN475" s="296"/>
      <c r="BO475" s="296"/>
      <c r="CY475" s="374">
        <v>132</v>
      </c>
      <c r="DF475" s="296"/>
      <c r="DO475" s="380"/>
    </row>
    <row r="476" spans="2:119" ht="13">
      <c r="B476" s="294"/>
      <c r="F476" s="296"/>
      <c r="J476" s="302"/>
      <c r="R476" s="188"/>
      <c r="T476" s="295"/>
      <c r="Y476" s="188"/>
      <c r="AA476" s="295"/>
      <c r="AF476" s="188"/>
      <c r="AH476" s="295"/>
      <c r="AI476" s="188"/>
      <c r="AJ476" s="188"/>
      <c r="AK476" s="188"/>
      <c r="AL476" s="188"/>
      <c r="AM476" s="188"/>
      <c r="AN476" s="188"/>
      <c r="AO476" s="299"/>
      <c r="AS476" s="296"/>
      <c r="AW476" s="296"/>
      <c r="BN476" s="296"/>
      <c r="BO476" s="296"/>
      <c r="CY476" s="374">
        <v>133</v>
      </c>
      <c r="DF476" s="296"/>
      <c r="DO476" s="380"/>
    </row>
    <row r="477" spans="2:119" ht="13">
      <c r="B477" s="294"/>
      <c r="F477" s="296"/>
      <c r="J477" s="302"/>
      <c r="R477" s="188"/>
      <c r="T477" s="295"/>
      <c r="Y477" s="188"/>
      <c r="AA477" s="295"/>
      <c r="AF477" s="188"/>
      <c r="AH477" s="295"/>
      <c r="AI477" s="188"/>
      <c r="AJ477" s="188"/>
      <c r="AK477" s="188"/>
      <c r="AL477" s="188"/>
      <c r="AM477" s="188"/>
      <c r="AN477" s="188"/>
      <c r="AO477" s="299"/>
      <c r="AS477" s="296"/>
      <c r="AW477" s="296"/>
      <c r="BN477" s="296"/>
      <c r="BO477" s="296"/>
      <c r="CY477" s="374">
        <v>134</v>
      </c>
      <c r="DF477" s="296"/>
      <c r="DO477" s="380"/>
    </row>
    <row r="478" spans="2:119" ht="13">
      <c r="B478" s="294"/>
      <c r="F478" s="296"/>
      <c r="J478" s="302"/>
      <c r="R478" s="188"/>
      <c r="T478" s="295"/>
      <c r="Y478" s="188"/>
      <c r="AA478" s="295"/>
      <c r="AF478" s="188"/>
      <c r="AH478" s="295"/>
      <c r="AI478" s="188"/>
      <c r="AJ478" s="188"/>
      <c r="AK478" s="188"/>
      <c r="AL478" s="188"/>
      <c r="AM478" s="188"/>
      <c r="AN478" s="188"/>
      <c r="AO478" s="299"/>
      <c r="AS478" s="296"/>
      <c r="AW478" s="296"/>
      <c r="BN478" s="296"/>
      <c r="BO478" s="296"/>
      <c r="CY478" s="374">
        <v>135</v>
      </c>
      <c r="DF478" s="296"/>
      <c r="DO478" s="380"/>
    </row>
    <row r="479" spans="2:119" ht="13">
      <c r="B479" s="294"/>
      <c r="F479" s="296"/>
      <c r="J479" s="302"/>
      <c r="R479" s="188"/>
      <c r="T479" s="295"/>
      <c r="Y479" s="188"/>
      <c r="AA479" s="295"/>
      <c r="AF479" s="188"/>
      <c r="AH479" s="295"/>
      <c r="AI479" s="188"/>
      <c r="AJ479" s="188"/>
      <c r="AK479" s="188"/>
      <c r="AL479" s="188"/>
      <c r="AM479" s="188"/>
      <c r="AN479" s="188"/>
      <c r="AO479" s="299"/>
      <c r="AS479" s="296"/>
      <c r="AW479" s="296"/>
      <c r="BN479" s="296"/>
      <c r="BO479" s="296"/>
      <c r="CY479" s="374">
        <v>136</v>
      </c>
      <c r="DF479" s="296"/>
      <c r="DO479" s="380"/>
    </row>
    <row r="480" spans="2:119" ht="13">
      <c r="B480" s="294"/>
      <c r="F480" s="296"/>
      <c r="J480" s="302"/>
      <c r="R480" s="188"/>
      <c r="T480" s="295"/>
      <c r="Y480" s="188"/>
      <c r="AA480" s="295"/>
      <c r="AF480" s="188"/>
      <c r="AH480" s="295"/>
      <c r="AI480" s="188"/>
      <c r="AJ480" s="188"/>
      <c r="AK480" s="188"/>
      <c r="AL480" s="188"/>
      <c r="AM480" s="188"/>
      <c r="AN480" s="188"/>
      <c r="AO480" s="299"/>
      <c r="AS480" s="296"/>
      <c r="AW480" s="296"/>
      <c r="BN480" s="296"/>
      <c r="BO480" s="296"/>
      <c r="CY480" s="374">
        <v>137</v>
      </c>
      <c r="DF480" s="296"/>
      <c r="DO480" s="380"/>
    </row>
    <row r="481" spans="2:119" ht="13">
      <c r="B481" s="294"/>
      <c r="F481" s="296"/>
      <c r="J481" s="302"/>
      <c r="R481" s="188"/>
      <c r="T481" s="295"/>
      <c r="Y481" s="188"/>
      <c r="AA481" s="295"/>
      <c r="AF481" s="188"/>
      <c r="AH481" s="295"/>
      <c r="AI481" s="188"/>
      <c r="AJ481" s="188"/>
      <c r="AK481" s="188"/>
      <c r="AL481" s="188"/>
      <c r="AM481" s="188"/>
      <c r="AN481" s="188"/>
      <c r="AO481" s="299"/>
      <c r="AS481" s="296"/>
      <c r="AW481" s="296"/>
      <c r="BN481" s="296"/>
      <c r="BO481" s="296"/>
      <c r="CY481" s="374">
        <v>138</v>
      </c>
      <c r="DF481" s="296"/>
      <c r="DO481" s="380"/>
    </row>
    <row r="482" spans="2:119" ht="13">
      <c r="B482" s="294"/>
      <c r="F482" s="296"/>
      <c r="J482" s="302"/>
      <c r="R482" s="188"/>
      <c r="T482" s="295"/>
      <c r="Y482" s="188"/>
      <c r="AA482" s="295"/>
      <c r="AF482" s="188"/>
      <c r="AH482" s="295"/>
      <c r="AI482" s="188"/>
      <c r="AJ482" s="188"/>
      <c r="AK482" s="188"/>
      <c r="AL482" s="188"/>
      <c r="AM482" s="188"/>
      <c r="AN482" s="188"/>
      <c r="AO482" s="299"/>
      <c r="AS482" s="296"/>
      <c r="AW482" s="296"/>
      <c r="BN482" s="296"/>
      <c r="BO482" s="296"/>
      <c r="CY482" s="374">
        <v>139</v>
      </c>
      <c r="DF482" s="296"/>
      <c r="DO482" s="380"/>
    </row>
    <row r="483" spans="2:119" ht="13">
      <c r="B483" s="294"/>
      <c r="F483" s="296"/>
      <c r="J483" s="302"/>
      <c r="R483" s="188"/>
      <c r="T483" s="295"/>
      <c r="Y483" s="188"/>
      <c r="AA483" s="295"/>
      <c r="AF483" s="188"/>
      <c r="AH483" s="295"/>
      <c r="AI483" s="188"/>
      <c r="AJ483" s="188"/>
      <c r="AK483" s="188"/>
      <c r="AL483" s="188"/>
      <c r="AM483" s="188"/>
      <c r="AN483" s="188"/>
      <c r="AO483" s="299"/>
      <c r="AS483" s="296"/>
      <c r="AW483" s="296"/>
      <c r="BN483" s="296"/>
      <c r="BO483" s="296"/>
      <c r="CY483" s="381">
        <v>140</v>
      </c>
      <c r="CZ483" s="382"/>
      <c r="DA483" s="382"/>
      <c r="DB483" s="382"/>
      <c r="DC483" s="382"/>
      <c r="DD483" s="382"/>
      <c r="DE483" s="382"/>
      <c r="DF483" s="815"/>
      <c r="DG483" s="382"/>
      <c r="DH483" s="382"/>
      <c r="DI483" s="382"/>
      <c r="DJ483" s="382"/>
      <c r="DK483" s="382"/>
      <c r="DL483" s="382"/>
      <c r="DM483" s="382"/>
      <c r="DN483" s="382"/>
      <c r="DO483" s="383"/>
    </row>
    <row r="484" spans="2:119" ht="13">
      <c r="B484" s="294"/>
      <c r="F484" s="296"/>
      <c r="J484" s="302"/>
      <c r="R484" s="188"/>
      <c r="T484" s="295"/>
      <c r="Y484" s="188"/>
      <c r="AA484" s="295"/>
      <c r="AF484" s="188"/>
      <c r="AH484" s="295"/>
      <c r="AI484" s="188"/>
      <c r="AJ484" s="188"/>
      <c r="AK484" s="188"/>
      <c r="AL484" s="188"/>
      <c r="AM484" s="188"/>
      <c r="AN484" s="188"/>
      <c r="AO484" s="299"/>
      <c r="AS484" s="296"/>
      <c r="AW484" s="296"/>
      <c r="BN484" s="296"/>
      <c r="BO484" s="296"/>
      <c r="CY484" s="294"/>
      <c r="DF484" s="296"/>
    </row>
    <row r="485" spans="2:119" ht="13">
      <c r="B485" s="294"/>
      <c r="F485" s="296"/>
      <c r="J485" s="302"/>
      <c r="R485" s="188"/>
      <c r="T485" s="295"/>
      <c r="Y485" s="188"/>
      <c r="AA485" s="295"/>
      <c r="AF485" s="188"/>
      <c r="AH485" s="295"/>
      <c r="AI485" s="188"/>
      <c r="AJ485" s="188"/>
      <c r="AK485" s="188"/>
      <c r="AL485" s="188"/>
      <c r="AM485" s="188"/>
      <c r="AN485" s="188"/>
      <c r="AO485" s="299"/>
      <c r="AS485" s="296"/>
      <c r="AW485" s="296"/>
      <c r="BN485" s="296"/>
      <c r="BO485" s="296"/>
      <c r="CY485" s="294"/>
      <c r="DF485" s="296"/>
    </row>
    <row r="486" spans="2:119" ht="13">
      <c r="B486" s="294"/>
      <c r="F486" s="296"/>
      <c r="J486" s="302"/>
      <c r="R486" s="188"/>
      <c r="T486" s="295"/>
      <c r="Y486" s="188"/>
      <c r="AA486" s="295"/>
      <c r="AF486" s="188"/>
      <c r="AH486" s="295"/>
      <c r="AI486" s="188"/>
      <c r="AJ486" s="188"/>
      <c r="AK486" s="188"/>
      <c r="AL486" s="188"/>
      <c r="AM486" s="188"/>
      <c r="AN486" s="188"/>
      <c r="AO486" s="299"/>
      <c r="AS486" s="296"/>
      <c r="AW486" s="296"/>
      <c r="BN486" s="296"/>
      <c r="BO486" s="296"/>
      <c r="CY486" s="294"/>
      <c r="DF486" s="296"/>
    </row>
    <row r="487" spans="2:119" ht="13">
      <c r="B487" s="294"/>
      <c r="F487" s="296"/>
      <c r="J487" s="302"/>
      <c r="R487" s="188"/>
      <c r="T487" s="295"/>
      <c r="Y487" s="188"/>
      <c r="AA487" s="295"/>
      <c r="AF487" s="188"/>
      <c r="AH487" s="295"/>
      <c r="AI487" s="188"/>
      <c r="AJ487" s="188"/>
      <c r="AK487" s="188"/>
      <c r="AL487" s="188"/>
      <c r="AM487" s="188"/>
      <c r="AN487" s="188"/>
      <c r="AO487" s="299"/>
      <c r="AS487" s="296"/>
      <c r="AW487" s="296"/>
      <c r="BN487" s="296"/>
      <c r="BO487" s="296"/>
      <c r="CY487" s="294"/>
      <c r="DF487" s="296"/>
    </row>
    <row r="488" spans="2:119" ht="13">
      <c r="B488" s="294"/>
      <c r="F488" s="296"/>
      <c r="J488" s="302"/>
      <c r="R488" s="188"/>
      <c r="T488" s="295"/>
      <c r="Y488" s="188"/>
      <c r="AA488" s="295"/>
      <c r="AF488" s="188"/>
      <c r="AH488" s="295"/>
      <c r="AI488" s="188"/>
      <c r="AJ488" s="188"/>
      <c r="AK488" s="188"/>
      <c r="AL488" s="188"/>
      <c r="AM488" s="188"/>
      <c r="AN488" s="188"/>
      <c r="AO488" s="299"/>
      <c r="AS488" s="296"/>
      <c r="AW488" s="296"/>
      <c r="BN488" s="296"/>
      <c r="BO488" s="296"/>
      <c r="CY488" s="294"/>
      <c r="DF488" s="296"/>
    </row>
    <row r="489" spans="2:119" ht="13">
      <c r="B489" s="294"/>
      <c r="F489" s="296"/>
      <c r="J489" s="302"/>
      <c r="R489" s="188"/>
      <c r="T489" s="295"/>
      <c r="Y489" s="188"/>
      <c r="AA489" s="295"/>
      <c r="AF489" s="188"/>
      <c r="AH489" s="295"/>
      <c r="AI489" s="188"/>
      <c r="AJ489" s="188"/>
      <c r="AK489" s="188"/>
      <c r="AL489" s="188"/>
      <c r="AM489" s="188"/>
      <c r="AN489" s="188"/>
      <c r="AO489" s="299"/>
      <c r="AS489" s="296"/>
      <c r="AW489" s="296"/>
      <c r="BN489" s="296"/>
      <c r="BO489" s="296"/>
      <c r="CY489" s="294"/>
      <c r="DF489" s="296"/>
    </row>
    <row r="490" spans="2:119" ht="13">
      <c r="B490" s="294"/>
      <c r="F490" s="296"/>
      <c r="J490" s="302"/>
      <c r="R490" s="188"/>
      <c r="T490" s="295"/>
      <c r="Y490" s="188"/>
      <c r="AA490" s="295"/>
      <c r="AF490" s="188"/>
      <c r="AH490" s="295"/>
      <c r="AI490" s="188"/>
      <c r="AJ490" s="188"/>
      <c r="AK490" s="188"/>
      <c r="AL490" s="188"/>
      <c r="AM490" s="188"/>
      <c r="AN490" s="188"/>
      <c r="AO490" s="299"/>
      <c r="AS490" s="296"/>
      <c r="AW490" s="296"/>
      <c r="BN490" s="296"/>
      <c r="BO490" s="296"/>
      <c r="CY490" s="294"/>
      <c r="DF490" s="296"/>
    </row>
    <row r="491" spans="2:119" ht="13">
      <c r="B491" s="294"/>
      <c r="F491" s="296"/>
      <c r="J491" s="302"/>
      <c r="R491" s="188"/>
      <c r="T491" s="295"/>
      <c r="Y491" s="188"/>
      <c r="AA491" s="295"/>
      <c r="AF491" s="188"/>
      <c r="AH491" s="295"/>
      <c r="AI491" s="188"/>
      <c r="AJ491" s="188"/>
      <c r="AK491" s="188"/>
      <c r="AL491" s="188"/>
      <c r="AM491" s="188"/>
      <c r="AN491" s="188"/>
      <c r="AO491" s="299"/>
      <c r="AS491" s="296"/>
      <c r="AW491" s="296"/>
      <c r="BN491" s="296"/>
      <c r="BO491" s="296"/>
      <c r="CY491" s="294"/>
      <c r="DF491" s="296"/>
    </row>
    <row r="492" spans="2:119" ht="13">
      <c r="B492" s="294"/>
      <c r="F492" s="296"/>
      <c r="J492" s="302"/>
      <c r="R492" s="188"/>
      <c r="T492" s="295"/>
      <c r="Y492" s="188"/>
      <c r="AA492" s="295"/>
      <c r="AF492" s="188"/>
      <c r="AH492" s="295"/>
      <c r="AI492" s="188"/>
      <c r="AJ492" s="188"/>
      <c r="AK492" s="188"/>
      <c r="AL492" s="188"/>
      <c r="AM492" s="188"/>
      <c r="AN492" s="188"/>
      <c r="AO492" s="299"/>
      <c r="AS492" s="296"/>
      <c r="AW492" s="296"/>
      <c r="BN492" s="296"/>
      <c r="BO492" s="296"/>
      <c r="CY492" s="294"/>
      <c r="DF492" s="296"/>
    </row>
    <row r="493" spans="2:119" ht="13">
      <c r="B493" s="294"/>
      <c r="F493" s="296"/>
      <c r="J493" s="302"/>
      <c r="R493" s="188"/>
      <c r="T493" s="295"/>
      <c r="Y493" s="188"/>
      <c r="AA493" s="295"/>
      <c r="AF493" s="188"/>
      <c r="AH493" s="295"/>
      <c r="AI493" s="188"/>
      <c r="AJ493" s="188"/>
      <c r="AK493" s="188"/>
      <c r="AL493" s="188"/>
      <c r="AM493" s="188"/>
      <c r="AN493" s="188"/>
      <c r="AO493" s="299"/>
      <c r="AS493" s="296"/>
      <c r="AW493" s="296"/>
      <c r="BN493" s="296"/>
      <c r="BO493" s="296"/>
      <c r="CY493" s="294"/>
      <c r="DF493" s="296"/>
    </row>
    <row r="494" spans="2:119" ht="13">
      <c r="B494" s="294"/>
      <c r="F494" s="296"/>
      <c r="J494" s="302"/>
      <c r="R494" s="188"/>
      <c r="T494" s="295"/>
      <c r="Y494" s="188"/>
      <c r="AA494" s="295"/>
      <c r="AF494" s="188"/>
      <c r="AH494" s="295"/>
      <c r="AI494" s="188"/>
      <c r="AJ494" s="188"/>
      <c r="AK494" s="188"/>
      <c r="AL494" s="188"/>
      <c r="AM494" s="188"/>
      <c r="AN494" s="188"/>
      <c r="AO494" s="299"/>
      <c r="AS494" s="296"/>
      <c r="AW494" s="296"/>
      <c r="BN494" s="296"/>
      <c r="BO494" s="296"/>
      <c r="CY494" s="294"/>
      <c r="DF494" s="296"/>
    </row>
    <row r="495" spans="2:119" ht="13">
      <c r="B495" s="294"/>
      <c r="F495" s="296"/>
      <c r="J495" s="302"/>
      <c r="R495" s="188"/>
      <c r="T495" s="295"/>
      <c r="Y495" s="188"/>
      <c r="AA495" s="295"/>
      <c r="AF495" s="188"/>
      <c r="AH495" s="295"/>
      <c r="AI495" s="188"/>
      <c r="AJ495" s="188"/>
      <c r="AK495" s="188"/>
      <c r="AL495" s="188"/>
      <c r="AM495" s="188"/>
      <c r="AN495" s="188"/>
      <c r="AO495" s="299"/>
      <c r="AS495" s="296"/>
      <c r="AW495" s="296"/>
      <c r="BN495" s="296"/>
      <c r="BO495" s="296"/>
      <c r="CY495" s="294"/>
      <c r="DF495" s="296"/>
    </row>
    <row r="496" spans="2:119" ht="13">
      <c r="B496" s="294"/>
      <c r="F496" s="296"/>
      <c r="J496" s="302"/>
      <c r="R496" s="188"/>
      <c r="T496" s="295"/>
      <c r="Y496" s="188"/>
      <c r="AA496" s="295"/>
      <c r="AF496" s="188"/>
      <c r="AH496" s="295"/>
      <c r="AI496" s="188"/>
      <c r="AJ496" s="188"/>
      <c r="AK496" s="188"/>
      <c r="AL496" s="188"/>
      <c r="AM496" s="188"/>
      <c r="AN496" s="188"/>
      <c r="AO496" s="299"/>
      <c r="AS496" s="296"/>
      <c r="AW496" s="296"/>
      <c r="BN496" s="296"/>
      <c r="BO496" s="296"/>
      <c r="CY496" s="294"/>
      <c r="DF496" s="296"/>
    </row>
    <row r="497" spans="2:110" ht="13">
      <c r="B497" s="294"/>
      <c r="F497" s="296"/>
      <c r="J497" s="302"/>
      <c r="R497" s="188"/>
      <c r="T497" s="295"/>
      <c r="Y497" s="188"/>
      <c r="AA497" s="295"/>
      <c r="AF497" s="188"/>
      <c r="AH497" s="295"/>
      <c r="AI497" s="188"/>
      <c r="AJ497" s="188"/>
      <c r="AK497" s="188"/>
      <c r="AL497" s="188"/>
      <c r="AM497" s="188"/>
      <c r="AN497" s="188"/>
      <c r="AO497" s="299"/>
      <c r="AS497" s="296"/>
      <c r="AW497" s="296"/>
      <c r="BN497" s="296"/>
      <c r="BO497" s="296"/>
      <c r="CY497" s="294"/>
      <c r="DF497" s="296"/>
    </row>
    <row r="498" spans="2:110" ht="13">
      <c r="B498" s="294"/>
      <c r="F498" s="296"/>
      <c r="J498" s="302"/>
      <c r="R498" s="188"/>
      <c r="T498" s="295"/>
      <c r="Y498" s="188"/>
      <c r="AA498" s="295"/>
      <c r="AF498" s="188"/>
      <c r="AH498" s="295"/>
      <c r="AI498" s="188"/>
      <c r="AJ498" s="188"/>
      <c r="AK498" s="188"/>
      <c r="AL498" s="188"/>
      <c r="AM498" s="188"/>
      <c r="AN498" s="188"/>
      <c r="AO498" s="299"/>
      <c r="AS498" s="296"/>
      <c r="AW498" s="296"/>
      <c r="BN498" s="296"/>
      <c r="BO498" s="296"/>
      <c r="CY498" s="294"/>
      <c r="DF498" s="296"/>
    </row>
    <row r="499" spans="2:110" ht="13">
      <c r="B499" s="294"/>
      <c r="F499" s="296"/>
      <c r="J499" s="302"/>
      <c r="R499" s="188"/>
      <c r="T499" s="295"/>
      <c r="Y499" s="188"/>
      <c r="AA499" s="295"/>
      <c r="AF499" s="188"/>
      <c r="AH499" s="295"/>
      <c r="AI499" s="188"/>
      <c r="AJ499" s="188"/>
      <c r="AK499" s="188"/>
      <c r="AL499" s="188"/>
      <c r="AM499" s="188"/>
      <c r="AN499" s="188"/>
      <c r="AO499" s="299"/>
      <c r="AS499" s="296"/>
      <c r="AW499" s="296"/>
      <c r="BN499" s="296"/>
      <c r="BO499" s="296"/>
      <c r="CY499" s="294"/>
      <c r="DF499" s="296"/>
    </row>
    <row r="500" spans="2:110" ht="13">
      <c r="B500" s="294"/>
      <c r="F500" s="296"/>
      <c r="J500" s="302"/>
      <c r="R500" s="188"/>
      <c r="T500" s="295"/>
      <c r="Y500" s="188"/>
      <c r="AA500" s="295"/>
      <c r="AF500" s="188"/>
      <c r="AH500" s="295"/>
      <c r="AI500" s="188"/>
      <c r="AJ500" s="188"/>
      <c r="AK500" s="188"/>
      <c r="AL500" s="188"/>
      <c r="AM500" s="188"/>
      <c r="AN500" s="188"/>
      <c r="AO500" s="299"/>
      <c r="AS500" s="296"/>
      <c r="AW500" s="296"/>
      <c r="BN500" s="296"/>
      <c r="BO500" s="296"/>
      <c r="CY500" s="294"/>
      <c r="DF500" s="296"/>
    </row>
    <row r="501" spans="2:110" ht="13">
      <c r="B501" s="294"/>
      <c r="F501" s="296"/>
      <c r="J501" s="302"/>
      <c r="R501" s="188"/>
      <c r="T501" s="295"/>
      <c r="Y501" s="188"/>
      <c r="AA501" s="295"/>
      <c r="AF501" s="188"/>
      <c r="AH501" s="295"/>
      <c r="AI501" s="188"/>
      <c r="AJ501" s="188"/>
      <c r="AK501" s="188"/>
      <c r="AL501" s="188"/>
      <c r="AM501" s="188"/>
      <c r="AN501" s="188"/>
      <c r="AO501" s="299"/>
      <c r="AS501" s="296"/>
      <c r="AW501" s="296"/>
      <c r="BN501" s="296"/>
      <c r="BO501" s="296"/>
      <c r="CY501" s="294"/>
      <c r="DF501" s="296"/>
    </row>
    <row r="502" spans="2:110" ht="13">
      <c r="B502" s="294"/>
      <c r="F502" s="296"/>
      <c r="J502" s="302"/>
      <c r="R502" s="188"/>
      <c r="T502" s="295"/>
      <c r="Y502" s="188"/>
      <c r="AA502" s="295"/>
      <c r="AF502" s="188"/>
      <c r="AH502" s="295"/>
      <c r="AI502" s="188"/>
      <c r="AJ502" s="188"/>
      <c r="AK502" s="188"/>
      <c r="AL502" s="188"/>
      <c r="AM502" s="188"/>
      <c r="AN502" s="188"/>
      <c r="AO502" s="299"/>
      <c r="AS502" s="296"/>
      <c r="AW502" s="296"/>
      <c r="BN502" s="296"/>
      <c r="BO502" s="296"/>
      <c r="CY502" s="294"/>
      <c r="DF502" s="296"/>
    </row>
    <row r="503" spans="2:110" ht="13">
      <c r="B503" s="294"/>
      <c r="F503" s="296"/>
      <c r="J503" s="302"/>
      <c r="R503" s="188"/>
      <c r="T503" s="295"/>
      <c r="Y503" s="188"/>
      <c r="AA503" s="295"/>
      <c r="AF503" s="188"/>
      <c r="AH503" s="295"/>
      <c r="AI503" s="188"/>
      <c r="AJ503" s="188"/>
      <c r="AK503" s="188"/>
      <c r="AL503" s="188"/>
      <c r="AM503" s="188"/>
      <c r="AN503" s="188"/>
      <c r="AO503" s="299"/>
      <c r="AS503" s="296"/>
      <c r="AW503" s="296"/>
      <c r="BN503" s="296"/>
      <c r="BO503" s="296"/>
      <c r="CY503" s="294"/>
      <c r="DF503" s="296"/>
    </row>
    <row r="504" spans="2:110" ht="13">
      <c r="B504" s="294"/>
      <c r="F504" s="296"/>
      <c r="J504" s="302"/>
      <c r="R504" s="188"/>
      <c r="T504" s="295"/>
      <c r="Y504" s="188"/>
      <c r="AA504" s="295"/>
      <c r="AF504" s="188"/>
      <c r="AH504" s="295"/>
      <c r="AI504" s="188"/>
      <c r="AJ504" s="188"/>
      <c r="AK504" s="188"/>
      <c r="AL504" s="188"/>
      <c r="AM504" s="188"/>
      <c r="AN504" s="188"/>
      <c r="AO504" s="299"/>
      <c r="AS504" s="296"/>
      <c r="AW504" s="296"/>
      <c r="BN504" s="296"/>
      <c r="BO504" s="296"/>
      <c r="CY504" s="294"/>
      <c r="DF504" s="296"/>
    </row>
    <row r="505" spans="2:110" ht="13">
      <c r="B505" s="294"/>
      <c r="F505" s="296"/>
      <c r="J505" s="302"/>
      <c r="R505" s="188"/>
      <c r="T505" s="295"/>
      <c r="Y505" s="188"/>
      <c r="AA505" s="295"/>
      <c r="AF505" s="188"/>
      <c r="AH505" s="295"/>
      <c r="AI505" s="188"/>
      <c r="AJ505" s="188"/>
      <c r="AK505" s="188"/>
      <c r="AL505" s="188"/>
      <c r="AM505" s="188"/>
      <c r="AN505" s="188"/>
      <c r="AO505" s="299"/>
      <c r="AS505" s="296"/>
      <c r="AW505" s="296"/>
      <c r="BN505" s="296"/>
      <c r="BO505" s="296"/>
      <c r="CY505" s="294"/>
      <c r="DF505" s="296"/>
    </row>
    <row r="506" spans="2:110" ht="13">
      <c r="B506" s="294"/>
      <c r="F506" s="296"/>
      <c r="J506" s="302"/>
      <c r="R506" s="188"/>
      <c r="T506" s="295"/>
      <c r="Y506" s="188"/>
      <c r="AA506" s="295"/>
      <c r="AF506" s="188"/>
      <c r="AH506" s="295"/>
      <c r="AI506" s="188"/>
      <c r="AJ506" s="188"/>
      <c r="AK506" s="188"/>
      <c r="AL506" s="188"/>
      <c r="AM506" s="188"/>
      <c r="AN506" s="188"/>
      <c r="AO506" s="299"/>
      <c r="AS506" s="296"/>
      <c r="AW506" s="296"/>
      <c r="BN506" s="296"/>
      <c r="BO506" s="296"/>
      <c r="CY506" s="294"/>
      <c r="DF506" s="296"/>
    </row>
    <row r="507" spans="2:110" ht="13">
      <c r="B507" s="294"/>
      <c r="F507" s="296"/>
      <c r="J507" s="302"/>
      <c r="R507" s="188"/>
      <c r="T507" s="295"/>
      <c r="Y507" s="188"/>
      <c r="AA507" s="295"/>
      <c r="AF507" s="188"/>
      <c r="AH507" s="295"/>
      <c r="AI507" s="188"/>
      <c r="AJ507" s="188"/>
      <c r="AK507" s="188"/>
      <c r="AL507" s="188"/>
      <c r="AM507" s="188"/>
      <c r="AN507" s="188"/>
      <c r="AO507" s="299"/>
      <c r="AS507" s="296"/>
      <c r="AW507" s="296"/>
      <c r="BN507" s="296"/>
      <c r="BO507" s="296"/>
      <c r="CY507" s="294"/>
      <c r="DF507" s="296"/>
    </row>
    <row r="508" spans="2:110" ht="13">
      <c r="B508" s="294"/>
      <c r="F508" s="296"/>
      <c r="J508" s="302"/>
      <c r="R508" s="188"/>
      <c r="T508" s="295"/>
      <c r="Y508" s="188"/>
      <c r="AA508" s="295"/>
      <c r="AF508" s="188"/>
      <c r="AH508" s="295"/>
      <c r="AI508" s="188"/>
      <c r="AJ508" s="188"/>
      <c r="AK508" s="188"/>
      <c r="AL508" s="188"/>
      <c r="AM508" s="188"/>
      <c r="AN508" s="188"/>
      <c r="AO508" s="299"/>
      <c r="AS508" s="296"/>
      <c r="AW508" s="296"/>
      <c r="BN508" s="296"/>
      <c r="BO508" s="296"/>
      <c r="CY508" s="294"/>
      <c r="DF508" s="296"/>
    </row>
    <row r="509" spans="2:110" ht="13">
      <c r="B509" s="294"/>
      <c r="F509" s="296"/>
      <c r="J509" s="302"/>
      <c r="R509" s="188"/>
      <c r="T509" s="295"/>
      <c r="Y509" s="188"/>
      <c r="AA509" s="295"/>
      <c r="AF509" s="188"/>
      <c r="AH509" s="295"/>
      <c r="AI509" s="188"/>
      <c r="AJ509" s="188"/>
      <c r="AK509" s="188"/>
      <c r="AL509" s="188"/>
      <c r="AM509" s="188"/>
      <c r="AN509" s="188"/>
      <c r="AO509" s="299"/>
      <c r="AS509" s="296"/>
      <c r="AW509" s="296"/>
      <c r="BN509" s="296"/>
      <c r="BO509" s="296"/>
      <c r="CY509" s="294"/>
      <c r="DF509" s="296"/>
    </row>
    <row r="510" spans="2:110" ht="13">
      <c r="B510" s="294"/>
      <c r="F510" s="296"/>
      <c r="J510" s="302"/>
      <c r="R510" s="188"/>
      <c r="T510" s="295"/>
      <c r="Y510" s="188"/>
      <c r="AA510" s="295"/>
      <c r="AF510" s="188"/>
      <c r="AH510" s="295"/>
      <c r="AI510" s="188"/>
      <c r="AJ510" s="188"/>
      <c r="AK510" s="188"/>
      <c r="AL510" s="188"/>
      <c r="AM510" s="188"/>
      <c r="AN510" s="188"/>
      <c r="AO510" s="299"/>
      <c r="AS510" s="296"/>
      <c r="AW510" s="296"/>
      <c r="BN510" s="296"/>
      <c r="BO510" s="296"/>
      <c r="CY510" s="294"/>
      <c r="DF510" s="296"/>
    </row>
    <row r="511" spans="2:110" ht="13">
      <c r="B511" s="294"/>
      <c r="F511" s="296"/>
      <c r="J511" s="302"/>
      <c r="R511" s="188"/>
      <c r="T511" s="295"/>
      <c r="Y511" s="188"/>
      <c r="AA511" s="295"/>
      <c r="AF511" s="188"/>
      <c r="AH511" s="295"/>
      <c r="AI511" s="188"/>
      <c r="AJ511" s="188"/>
      <c r="AK511" s="188"/>
      <c r="AL511" s="188"/>
      <c r="AM511" s="188"/>
      <c r="AN511" s="188"/>
      <c r="AO511" s="299"/>
      <c r="AS511" s="296"/>
      <c r="AW511" s="296"/>
      <c r="BN511" s="296"/>
      <c r="BO511" s="296"/>
      <c r="CY511" s="294"/>
      <c r="DF511" s="296"/>
    </row>
    <row r="512" spans="2:110" ht="13">
      <c r="B512" s="294"/>
      <c r="F512" s="296"/>
      <c r="J512" s="302"/>
      <c r="R512" s="188"/>
      <c r="T512" s="295"/>
      <c r="Y512" s="188"/>
      <c r="AA512" s="295"/>
      <c r="AF512" s="188"/>
      <c r="AH512" s="295"/>
      <c r="AI512" s="188"/>
      <c r="AJ512" s="188"/>
      <c r="AK512" s="188"/>
      <c r="AL512" s="188"/>
      <c r="AM512" s="188"/>
      <c r="AN512" s="188"/>
      <c r="AO512" s="299"/>
      <c r="AS512" s="296"/>
      <c r="AW512" s="296"/>
      <c r="BN512" s="296"/>
      <c r="BO512" s="296"/>
      <c r="CY512" s="294"/>
      <c r="DF512" s="296"/>
    </row>
    <row r="513" spans="2:110" ht="13">
      <c r="B513" s="294"/>
      <c r="F513" s="296"/>
      <c r="J513" s="302"/>
      <c r="R513" s="188"/>
      <c r="T513" s="295"/>
      <c r="Y513" s="188"/>
      <c r="AA513" s="295"/>
      <c r="AF513" s="188"/>
      <c r="AH513" s="295"/>
      <c r="AI513" s="188"/>
      <c r="AJ513" s="188"/>
      <c r="AK513" s="188"/>
      <c r="AL513" s="188"/>
      <c r="AM513" s="188"/>
      <c r="AN513" s="188"/>
      <c r="AO513" s="299"/>
      <c r="AS513" s="296"/>
      <c r="AW513" s="296"/>
      <c r="BN513" s="296"/>
      <c r="BO513" s="296"/>
      <c r="CY513" s="294"/>
      <c r="DF513" s="296"/>
    </row>
    <row r="514" spans="2:110" ht="13">
      <c r="B514" s="294"/>
      <c r="F514" s="296"/>
      <c r="J514" s="302"/>
      <c r="R514" s="188"/>
      <c r="T514" s="295"/>
      <c r="Y514" s="188"/>
      <c r="AA514" s="295"/>
      <c r="AF514" s="188"/>
      <c r="AH514" s="295"/>
      <c r="AI514" s="188"/>
      <c r="AJ514" s="188"/>
      <c r="AK514" s="188"/>
      <c r="AL514" s="188"/>
      <c r="AM514" s="188"/>
      <c r="AN514" s="188"/>
      <c r="AO514" s="299"/>
      <c r="AS514" s="296"/>
      <c r="AW514" s="296"/>
      <c r="BN514" s="296"/>
      <c r="BO514" s="296"/>
      <c r="CY514" s="294"/>
      <c r="DF514" s="296"/>
    </row>
    <row r="515" spans="2:110" ht="13">
      <c r="B515" s="294"/>
      <c r="F515" s="296"/>
      <c r="J515" s="302"/>
      <c r="R515" s="188"/>
      <c r="T515" s="295"/>
      <c r="Y515" s="188"/>
      <c r="AA515" s="295"/>
      <c r="AF515" s="188"/>
      <c r="AH515" s="295"/>
      <c r="AI515" s="188"/>
      <c r="AJ515" s="188"/>
      <c r="AK515" s="188"/>
      <c r="AL515" s="188"/>
      <c r="AM515" s="188"/>
      <c r="AN515" s="188"/>
      <c r="AO515" s="299"/>
      <c r="AS515" s="296"/>
      <c r="AW515" s="296"/>
      <c r="BN515" s="296"/>
      <c r="BO515" s="296"/>
      <c r="CY515" s="294"/>
      <c r="DF515" s="296"/>
    </row>
    <row r="516" spans="2:110" ht="13">
      <c r="B516" s="294"/>
      <c r="F516" s="296"/>
      <c r="J516" s="302"/>
      <c r="R516" s="188"/>
      <c r="T516" s="295"/>
      <c r="Y516" s="188"/>
      <c r="AA516" s="295"/>
      <c r="AF516" s="188"/>
      <c r="AH516" s="295"/>
      <c r="AI516" s="188"/>
      <c r="AJ516" s="188"/>
      <c r="AK516" s="188"/>
      <c r="AL516" s="188"/>
      <c r="AM516" s="188"/>
      <c r="AN516" s="188"/>
      <c r="AO516" s="299"/>
      <c r="AS516" s="296"/>
      <c r="AW516" s="296"/>
      <c r="BN516" s="296"/>
      <c r="BO516" s="296"/>
      <c r="CY516" s="294"/>
      <c r="DF516" s="296"/>
    </row>
    <row r="517" spans="2:110" ht="13">
      <c r="B517" s="294"/>
      <c r="F517" s="296"/>
      <c r="J517" s="302"/>
      <c r="R517" s="188"/>
      <c r="T517" s="295"/>
      <c r="Y517" s="188"/>
      <c r="AA517" s="295"/>
      <c r="AF517" s="188"/>
      <c r="AH517" s="295"/>
      <c r="AI517" s="188"/>
      <c r="AJ517" s="188"/>
      <c r="AK517" s="188"/>
      <c r="AL517" s="188"/>
      <c r="AM517" s="188"/>
      <c r="AN517" s="188"/>
      <c r="AO517" s="299"/>
      <c r="AS517" s="296"/>
      <c r="AW517" s="296"/>
      <c r="BN517" s="296"/>
      <c r="BO517" s="296"/>
      <c r="CY517" s="294"/>
      <c r="DF517" s="296"/>
    </row>
    <row r="518" spans="2:110" ht="13">
      <c r="B518" s="294"/>
      <c r="F518" s="296"/>
      <c r="J518" s="302"/>
      <c r="R518" s="188"/>
      <c r="T518" s="295"/>
      <c r="Y518" s="188"/>
      <c r="AA518" s="295"/>
      <c r="AF518" s="188"/>
      <c r="AH518" s="295"/>
      <c r="AI518" s="188"/>
      <c r="AJ518" s="188"/>
      <c r="AK518" s="188"/>
      <c r="AL518" s="188"/>
      <c r="AM518" s="188"/>
      <c r="AN518" s="188"/>
      <c r="AO518" s="299"/>
      <c r="AS518" s="296"/>
      <c r="AW518" s="296"/>
      <c r="BN518" s="296"/>
      <c r="BO518" s="296"/>
      <c r="CY518" s="294"/>
      <c r="DF518" s="296"/>
    </row>
    <row r="519" spans="2:110" ht="13">
      <c r="B519" s="294"/>
      <c r="F519" s="296"/>
      <c r="J519" s="302"/>
      <c r="R519" s="188"/>
      <c r="T519" s="295"/>
      <c r="Y519" s="188"/>
      <c r="AA519" s="295"/>
      <c r="AF519" s="188"/>
      <c r="AH519" s="295"/>
      <c r="AI519" s="188"/>
      <c r="AJ519" s="188"/>
      <c r="AK519" s="188"/>
      <c r="AL519" s="188"/>
      <c r="AM519" s="188"/>
      <c r="AN519" s="188"/>
      <c r="AO519" s="299"/>
      <c r="AS519" s="296"/>
      <c r="AW519" s="296"/>
      <c r="BN519" s="296"/>
      <c r="BO519" s="296"/>
      <c r="CY519" s="294"/>
      <c r="DF519" s="296"/>
    </row>
    <row r="520" spans="2:110" ht="13">
      <c r="B520" s="294"/>
      <c r="F520" s="296"/>
      <c r="J520" s="302"/>
      <c r="R520" s="188"/>
      <c r="T520" s="295"/>
      <c r="Y520" s="188"/>
      <c r="AA520" s="295"/>
      <c r="AF520" s="188"/>
      <c r="AH520" s="295"/>
      <c r="AI520" s="188"/>
      <c r="AJ520" s="188"/>
      <c r="AK520" s="188"/>
      <c r="AL520" s="188"/>
      <c r="AM520" s="188"/>
      <c r="AN520" s="188"/>
      <c r="AO520" s="299"/>
      <c r="AS520" s="296"/>
      <c r="AW520" s="296"/>
      <c r="BN520" s="296"/>
      <c r="BO520" s="296"/>
      <c r="CY520" s="294"/>
      <c r="DF520" s="296"/>
    </row>
    <row r="521" spans="2:110" ht="13">
      <c r="B521" s="294"/>
      <c r="F521" s="296"/>
      <c r="J521" s="302"/>
      <c r="R521" s="188"/>
      <c r="T521" s="295"/>
      <c r="Y521" s="188"/>
      <c r="AA521" s="295"/>
      <c r="AF521" s="188"/>
      <c r="AH521" s="295"/>
      <c r="AI521" s="188"/>
      <c r="AJ521" s="188"/>
      <c r="AK521" s="188"/>
      <c r="AL521" s="188"/>
      <c r="AM521" s="188"/>
      <c r="AN521" s="188"/>
      <c r="AO521" s="299"/>
      <c r="AS521" s="296"/>
      <c r="AW521" s="296"/>
      <c r="BN521" s="296"/>
      <c r="BO521" s="296"/>
      <c r="CY521" s="294"/>
      <c r="DF521" s="296"/>
    </row>
    <row r="522" spans="2:110" ht="13">
      <c r="B522" s="294"/>
      <c r="F522" s="296"/>
      <c r="J522" s="302"/>
      <c r="R522" s="188"/>
      <c r="T522" s="295"/>
      <c r="Y522" s="188"/>
      <c r="AA522" s="295"/>
      <c r="AF522" s="188"/>
      <c r="AH522" s="295"/>
      <c r="AI522" s="188"/>
      <c r="AJ522" s="188"/>
      <c r="AK522" s="188"/>
      <c r="AL522" s="188"/>
      <c r="AM522" s="188"/>
      <c r="AN522" s="188"/>
      <c r="AO522" s="299"/>
      <c r="AS522" s="296"/>
      <c r="AW522" s="296"/>
      <c r="BN522" s="296"/>
      <c r="BO522" s="296"/>
      <c r="CY522" s="294"/>
      <c r="DF522" s="296"/>
    </row>
    <row r="523" spans="2:110" ht="13">
      <c r="B523" s="294"/>
      <c r="F523" s="296"/>
      <c r="J523" s="302"/>
      <c r="R523" s="188"/>
      <c r="T523" s="295"/>
      <c r="Y523" s="188"/>
      <c r="AA523" s="295"/>
      <c r="AF523" s="188"/>
      <c r="AH523" s="295"/>
      <c r="AI523" s="188"/>
      <c r="AJ523" s="188"/>
      <c r="AK523" s="188"/>
      <c r="AL523" s="188"/>
      <c r="AM523" s="188"/>
      <c r="AN523" s="188"/>
      <c r="AO523" s="299"/>
      <c r="AS523" s="296"/>
      <c r="AW523" s="296"/>
      <c r="BN523" s="296"/>
      <c r="BO523" s="296"/>
      <c r="CY523" s="294"/>
      <c r="DF523" s="296"/>
    </row>
    <row r="524" spans="2:110" ht="13">
      <c r="B524" s="294"/>
      <c r="F524" s="296"/>
      <c r="J524" s="302"/>
      <c r="R524" s="188"/>
      <c r="T524" s="295"/>
      <c r="Y524" s="188"/>
      <c r="AA524" s="295"/>
      <c r="AF524" s="188"/>
      <c r="AH524" s="295"/>
      <c r="AI524" s="188"/>
      <c r="AJ524" s="188"/>
      <c r="AK524" s="188"/>
      <c r="AL524" s="188"/>
      <c r="AM524" s="188"/>
      <c r="AN524" s="188"/>
      <c r="AO524" s="299"/>
      <c r="AS524" s="296"/>
      <c r="AW524" s="296"/>
      <c r="BN524" s="296"/>
      <c r="BO524" s="296"/>
      <c r="CY524" s="294"/>
      <c r="DF524" s="296"/>
    </row>
    <row r="525" spans="2:110" ht="13">
      <c r="B525" s="294"/>
      <c r="F525" s="296"/>
      <c r="J525" s="302"/>
      <c r="R525" s="188"/>
      <c r="T525" s="295"/>
      <c r="Y525" s="188"/>
      <c r="AA525" s="295"/>
      <c r="AF525" s="188"/>
      <c r="AH525" s="295"/>
      <c r="AI525" s="188"/>
      <c r="AJ525" s="188"/>
      <c r="AK525" s="188"/>
      <c r="AL525" s="188"/>
      <c r="AM525" s="188"/>
      <c r="AN525" s="188"/>
      <c r="AO525" s="299"/>
      <c r="AS525" s="296"/>
      <c r="AW525" s="296"/>
      <c r="BN525" s="296"/>
      <c r="BO525" s="296"/>
      <c r="CY525" s="294"/>
      <c r="DF525" s="296"/>
    </row>
    <row r="526" spans="2:110" ht="13">
      <c r="B526" s="294"/>
      <c r="F526" s="296"/>
      <c r="J526" s="302"/>
      <c r="R526" s="188"/>
      <c r="T526" s="295"/>
      <c r="Y526" s="188"/>
      <c r="AA526" s="295"/>
      <c r="AF526" s="188"/>
      <c r="AH526" s="295"/>
      <c r="AI526" s="188"/>
      <c r="AJ526" s="188"/>
      <c r="AK526" s="188"/>
      <c r="AL526" s="188"/>
      <c r="AM526" s="188"/>
      <c r="AN526" s="188"/>
      <c r="AO526" s="299"/>
      <c r="AS526" s="296"/>
      <c r="AW526" s="296"/>
      <c r="BN526" s="296"/>
      <c r="BO526" s="296"/>
      <c r="CY526" s="294"/>
      <c r="DF526" s="296"/>
    </row>
    <row r="527" spans="2:110" ht="13">
      <c r="B527" s="294"/>
      <c r="F527" s="296"/>
      <c r="J527" s="302"/>
      <c r="R527" s="188"/>
      <c r="T527" s="295"/>
      <c r="Y527" s="188"/>
      <c r="AA527" s="295"/>
      <c r="AF527" s="188"/>
      <c r="AH527" s="295"/>
      <c r="AI527" s="188"/>
      <c r="AJ527" s="188"/>
      <c r="AK527" s="188"/>
      <c r="AL527" s="188"/>
      <c r="AM527" s="188"/>
      <c r="AN527" s="188"/>
      <c r="AO527" s="299"/>
      <c r="AS527" s="296"/>
      <c r="AW527" s="296"/>
      <c r="BN527" s="296"/>
      <c r="BO527" s="296"/>
      <c r="CY527" s="294"/>
      <c r="DF527" s="296"/>
    </row>
    <row r="528" spans="2:110" ht="13">
      <c r="B528" s="294"/>
      <c r="F528" s="296"/>
      <c r="J528" s="302"/>
      <c r="R528" s="188"/>
      <c r="T528" s="295"/>
      <c r="Y528" s="188"/>
      <c r="AA528" s="295"/>
      <c r="AF528" s="188"/>
      <c r="AH528" s="295"/>
      <c r="AI528" s="188"/>
      <c r="AJ528" s="188"/>
      <c r="AK528" s="188"/>
      <c r="AL528" s="188"/>
      <c r="AM528" s="188"/>
      <c r="AN528" s="188"/>
      <c r="AO528" s="299"/>
      <c r="AS528" s="296"/>
      <c r="AW528" s="296"/>
      <c r="BN528" s="296"/>
      <c r="BO528" s="296"/>
      <c r="CY528" s="294"/>
      <c r="DF528" s="296"/>
    </row>
    <row r="529" spans="2:110" ht="13">
      <c r="B529" s="294"/>
      <c r="F529" s="296"/>
      <c r="J529" s="302"/>
      <c r="R529" s="188"/>
      <c r="T529" s="295"/>
      <c r="Y529" s="188"/>
      <c r="AA529" s="295"/>
      <c r="AF529" s="188"/>
      <c r="AH529" s="295"/>
      <c r="AI529" s="188"/>
      <c r="AJ529" s="188"/>
      <c r="AK529" s="188"/>
      <c r="AL529" s="188"/>
      <c r="AM529" s="188"/>
      <c r="AN529" s="188"/>
      <c r="AO529" s="299"/>
      <c r="AS529" s="296"/>
      <c r="AW529" s="296"/>
      <c r="BN529" s="296"/>
      <c r="BO529" s="296"/>
      <c r="CY529" s="294"/>
      <c r="DF529" s="296"/>
    </row>
    <row r="530" spans="2:110" ht="13">
      <c r="B530" s="294"/>
      <c r="F530" s="296"/>
      <c r="J530" s="302"/>
      <c r="R530" s="188"/>
      <c r="T530" s="295"/>
      <c r="Y530" s="188"/>
      <c r="AA530" s="295"/>
      <c r="AF530" s="188"/>
      <c r="AH530" s="295"/>
      <c r="AI530" s="188"/>
      <c r="AJ530" s="188"/>
      <c r="AK530" s="188"/>
      <c r="AL530" s="188"/>
      <c r="AM530" s="188"/>
      <c r="AN530" s="188"/>
      <c r="AO530" s="299"/>
      <c r="AS530" s="296"/>
      <c r="AW530" s="296"/>
      <c r="BN530" s="296"/>
      <c r="BO530" s="296"/>
      <c r="CY530" s="294"/>
      <c r="DF530" s="296"/>
    </row>
    <row r="531" spans="2:110" ht="13">
      <c r="B531" s="294"/>
      <c r="F531" s="296"/>
      <c r="J531" s="302"/>
      <c r="R531" s="188"/>
      <c r="T531" s="295"/>
      <c r="Y531" s="188"/>
      <c r="AA531" s="295"/>
      <c r="AF531" s="188"/>
      <c r="AH531" s="295"/>
      <c r="AI531" s="188"/>
      <c r="AJ531" s="188"/>
      <c r="AK531" s="188"/>
      <c r="AL531" s="188"/>
      <c r="AM531" s="188"/>
      <c r="AN531" s="188"/>
      <c r="AO531" s="299"/>
      <c r="AS531" s="296"/>
      <c r="AW531" s="296"/>
      <c r="BN531" s="296"/>
      <c r="BO531" s="296"/>
      <c r="CY531" s="294"/>
      <c r="DF531" s="296"/>
    </row>
    <row r="532" spans="2:110" ht="13">
      <c r="B532" s="294"/>
      <c r="F532" s="296"/>
      <c r="J532" s="302"/>
      <c r="R532" s="188"/>
      <c r="T532" s="295"/>
      <c r="Y532" s="188"/>
      <c r="AA532" s="295"/>
      <c r="AF532" s="188"/>
      <c r="AH532" s="295"/>
      <c r="AI532" s="188"/>
      <c r="AJ532" s="188"/>
      <c r="AK532" s="188"/>
      <c r="AL532" s="188"/>
      <c r="AM532" s="188"/>
      <c r="AN532" s="188"/>
      <c r="AO532" s="299"/>
      <c r="AS532" s="296"/>
      <c r="AW532" s="296"/>
      <c r="BN532" s="296"/>
      <c r="BO532" s="296"/>
      <c r="CY532" s="294"/>
      <c r="DF532" s="296"/>
    </row>
    <row r="533" spans="2:110" ht="13">
      <c r="B533" s="294"/>
      <c r="F533" s="296"/>
      <c r="J533" s="302"/>
      <c r="R533" s="188"/>
      <c r="T533" s="295"/>
      <c r="Y533" s="188"/>
      <c r="AA533" s="295"/>
      <c r="AF533" s="188"/>
      <c r="AH533" s="295"/>
      <c r="AI533" s="188"/>
      <c r="AJ533" s="188"/>
      <c r="AK533" s="188"/>
      <c r="AL533" s="188"/>
      <c r="AM533" s="188"/>
      <c r="AN533" s="188"/>
      <c r="AO533" s="299"/>
      <c r="AS533" s="296"/>
      <c r="AW533" s="296"/>
      <c r="BN533" s="296"/>
      <c r="BO533" s="296"/>
      <c r="CY533" s="294"/>
      <c r="DF533" s="296"/>
    </row>
    <row r="534" spans="2:110" ht="13">
      <c r="B534" s="294"/>
      <c r="F534" s="296"/>
      <c r="J534" s="302"/>
      <c r="R534" s="188"/>
      <c r="T534" s="295"/>
      <c r="Y534" s="188"/>
      <c r="AA534" s="295"/>
      <c r="AF534" s="188"/>
      <c r="AH534" s="295"/>
      <c r="AI534" s="188"/>
      <c r="AJ534" s="188"/>
      <c r="AK534" s="188"/>
      <c r="AL534" s="188"/>
      <c r="AM534" s="188"/>
      <c r="AN534" s="188"/>
      <c r="AO534" s="299"/>
      <c r="AS534" s="296"/>
      <c r="AW534" s="296"/>
      <c r="BN534" s="296"/>
      <c r="BO534" s="296"/>
      <c r="CY534" s="294"/>
      <c r="DF534" s="296"/>
    </row>
    <row r="535" spans="2:110" ht="13">
      <c r="B535" s="294"/>
      <c r="F535" s="296"/>
      <c r="J535" s="302"/>
      <c r="R535" s="188"/>
      <c r="T535" s="295"/>
      <c r="Y535" s="188"/>
      <c r="AA535" s="295"/>
      <c r="AF535" s="188"/>
      <c r="AH535" s="295"/>
      <c r="AI535" s="188"/>
      <c r="AJ535" s="188"/>
      <c r="AK535" s="188"/>
      <c r="AL535" s="188"/>
      <c r="AM535" s="188"/>
      <c r="AN535" s="188"/>
      <c r="AO535" s="299"/>
      <c r="AS535" s="296"/>
      <c r="AW535" s="296"/>
      <c r="BN535" s="296"/>
      <c r="BO535" s="296"/>
      <c r="CY535" s="294"/>
      <c r="DF535" s="296"/>
    </row>
    <row r="536" spans="2:110" ht="13">
      <c r="B536" s="294"/>
      <c r="F536" s="296"/>
      <c r="J536" s="302"/>
      <c r="R536" s="188"/>
      <c r="T536" s="295"/>
      <c r="Y536" s="188"/>
      <c r="AA536" s="295"/>
      <c r="AF536" s="188"/>
      <c r="AH536" s="295"/>
      <c r="AI536" s="188"/>
      <c r="AJ536" s="188"/>
      <c r="AK536" s="188"/>
      <c r="AL536" s="188"/>
      <c r="AM536" s="188"/>
      <c r="AN536" s="188"/>
      <c r="AO536" s="299"/>
      <c r="AS536" s="296"/>
      <c r="AW536" s="296"/>
      <c r="BN536" s="296"/>
      <c r="BO536" s="296"/>
      <c r="CY536" s="294"/>
      <c r="DF536" s="296"/>
    </row>
    <row r="537" spans="2:110" ht="13">
      <c r="B537" s="294"/>
      <c r="F537" s="296"/>
      <c r="J537" s="302"/>
      <c r="R537" s="188"/>
      <c r="T537" s="295"/>
      <c r="Y537" s="188"/>
      <c r="AA537" s="295"/>
      <c r="AF537" s="188"/>
      <c r="AH537" s="295"/>
      <c r="AI537" s="188"/>
      <c r="AJ537" s="188"/>
      <c r="AK537" s="188"/>
      <c r="AL537" s="188"/>
      <c r="AM537" s="188"/>
      <c r="AN537" s="188"/>
      <c r="AO537" s="299"/>
      <c r="AS537" s="296"/>
      <c r="AW537" s="296"/>
      <c r="BN537" s="296"/>
      <c r="BO537" s="296"/>
      <c r="CY537" s="294"/>
      <c r="DF537" s="296"/>
    </row>
    <row r="538" spans="2:110" ht="13">
      <c r="B538" s="294"/>
      <c r="F538" s="296"/>
      <c r="J538" s="302"/>
      <c r="R538" s="188"/>
      <c r="T538" s="295"/>
      <c r="Y538" s="188"/>
      <c r="AA538" s="295"/>
      <c r="AF538" s="188"/>
      <c r="AH538" s="295"/>
      <c r="AI538" s="188"/>
      <c r="AJ538" s="188"/>
      <c r="AK538" s="188"/>
      <c r="AL538" s="188"/>
      <c r="AM538" s="188"/>
      <c r="AN538" s="188"/>
      <c r="AO538" s="299"/>
      <c r="AS538" s="296"/>
      <c r="AW538" s="296"/>
      <c r="BN538" s="296"/>
      <c r="BO538" s="296"/>
      <c r="CY538" s="294"/>
      <c r="DF538" s="296"/>
    </row>
    <row r="539" spans="2:110" ht="13">
      <c r="B539" s="294"/>
      <c r="F539" s="296"/>
      <c r="J539" s="302"/>
      <c r="R539" s="188"/>
      <c r="T539" s="295"/>
      <c r="Y539" s="188"/>
      <c r="AA539" s="295"/>
      <c r="AF539" s="188"/>
      <c r="AH539" s="295"/>
      <c r="AI539" s="188"/>
      <c r="AJ539" s="188"/>
      <c r="AK539" s="188"/>
      <c r="AL539" s="188"/>
      <c r="AM539" s="188"/>
      <c r="AN539" s="188"/>
      <c r="AO539" s="299"/>
      <c r="AS539" s="296"/>
      <c r="AW539" s="296"/>
      <c r="BN539" s="296"/>
      <c r="BO539" s="296"/>
      <c r="CY539" s="294"/>
      <c r="DF539" s="296"/>
    </row>
    <row r="540" spans="2:110" ht="13">
      <c r="B540" s="294"/>
      <c r="F540" s="296"/>
      <c r="J540" s="302"/>
      <c r="R540" s="188"/>
      <c r="T540" s="295"/>
      <c r="Y540" s="188"/>
      <c r="AA540" s="295"/>
      <c r="AF540" s="188"/>
      <c r="AH540" s="295"/>
      <c r="AI540" s="188"/>
      <c r="AJ540" s="188"/>
      <c r="AK540" s="188"/>
      <c r="AL540" s="188"/>
      <c r="AM540" s="188"/>
      <c r="AN540" s="188"/>
      <c r="AO540" s="299"/>
      <c r="AS540" s="296"/>
      <c r="AW540" s="296"/>
      <c r="BN540" s="296"/>
      <c r="BO540" s="296"/>
      <c r="CY540" s="294"/>
      <c r="DF540" s="296"/>
    </row>
    <row r="541" spans="2:110" ht="13">
      <c r="B541" s="294"/>
      <c r="F541" s="296"/>
      <c r="J541" s="302"/>
      <c r="R541" s="188"/>
      <c r="T541" s="295"/>
      <c r="Y541" s="188"/>
      <c r="AA541" s="295"/>
      <c r="AF541" s="188"/>
      <c r="AH541" s="295"/>
      <c r="AI541" s="188"/>
      <c r="AJ541" s="188"/>
      <c r="AK541" s="188"/>
      <c r="AL541" s="188"/>
      <c r="AM541" s="188"/>
      <c r="AN541" s="188"/>
      <c r="AO541" s="299"/>
      <c r="AS541" s="296"/>
      <c r="AW541" s="296"/>
      <c r="BN541" s="296"/>
      <c r="BO541" s="296"/>
      <c r="CY541" s="294"/>
      <c r="DF541" s="296"/>
    </row>
    <row r="542" spans="2:110" ht="13">
      <c r="B542" s="294"/>
      <c r="F542" s="296"/>
      <c r="J542" s="302"/>
      <c r="R542" s="188"/>
      <c r="T542" s="295"/>
      <c r="Y542" s="188"/>
      <c r="AA542" s="295"/>
      <c r="AF542" s="188"/>
      <c r="AH542" s="295"/>
      <c r="AI542" s="188"/>
      <c r="AJ542" s="188"/>
      <c r="AK542" s="188"/>
      <c r="AL542" s="188"/>
      <c r="AM542" s="188"/>
      <c r="AN542" s="188"/>
      <c r="AO542" s="299"/>
      <c r="AS542" s="296"/>
      <c r="AW542" s="296"/>
      <c r="BN542" s="296"/>
      <c r="BO542" s="296"/>
      <c r="CY542" s="294"/>
      <c r="DF542" s="296"/>
    </row>
    <row r="543" spans="2:110" ht="13">
      <c r="B543" s="294"/>
      <c r="F543" s="296"/>
      <c r="J543" s="302"/>
      <c r="R543" s="188"/>
      <c r="T543" s="295"/>
      <c r="Y543" s="188"/>
      <c r="AA543" s="295"/>
      <c r="AF543" s="188"/>
      <c r="AH543" s="295"/>
      <c r="AI543" s="188"/>
      <c r="AJ543" s="188"/>
      <c r="AK543" s="188"/>
      <c r="AL543" s="188"/>
      <c r="AM543" s="188"/>
      <c r="AN543" s="188"/>
      <c r="AO543" s="299"/>
      <c r="AS543" s="296"/>
      <c r="AW543" s="296"/>
      <c r="BN543" s="296"/>
      <c r="BO543" s="296"/>
      <c r="CY543" s="294"/>
      <c r="DF543" s="296"/>
    </row>
    <row r="544" spans="2:110" ht="13">
      <c r="B544" s="294"/>
      <c r="F544" s="296"/>
      <c r="J544" s="302"/>
      <c r="R544" s="188"/>
      <c r="T544" s="295"/>
      <c r="Y544" s="188"/>
      <c r="AA544" s="295"/>
      <c r="AF544" s="188"/>
      <c r="AH544" s="295"/>
      <c r="AI544" s="188"/>
      <c r="AJ544" s="188"/>
      <c r="AK544" s="188"/>
      <c r="AL544" s="188"/>
      <c r="AM544" s="188"/>
      <c r="AN544" s="188"/>
      <c r="AO544" s="299"/>
      <c r="AS544" s="296"/>
      <c r="AW544" s="296"/>
      <c r="BN544" s="296"/>
      <c r="BO544" s="296"/>
      <c r="CY544" s="294"/>
      <c r="DF544" s="296"/>
    </row>
    <row r="545" spans="2:110" ht="13">
      <c r="B545" s="294"/>
      <c r="F545" s="296"/>
      <c r="J545" s="302"/>
      <c r="R545" s="188"/>
      <c r="T545" s="295"/>
      <c r="Y545" s="188"/>
      <c r="AA545" s="295"/>
      <c r="AF545" s="188"/>
      <c r="AH545" s="295"/>
      <c r="AI545" s="188"/>
      <c r="AJ545" s="188"/>
      <c r="AK545" s="188"/>
      <c r="AL545" s="188"/>
      <c r="AM545" s="188"/>
      <c r="AN545" s="188"/>
      <c r="AO545" s="299"/>
      <c r="AS545" s="296"/>
      <c r="AW545" s="296"/>
      <c r="BN545" s="296"/>
      <c r="BO545" s="296"/>
      <c r="CY545" s="294"/>
      <c r="DF545" s="296"/>
    </row>
    <row r="546" spans="2:110" ht="13">
      <c r="B546" s="294"/>
      <c r="F546" s="296"/>
      <c r="J546" s="302"/>
      <c r="R546" s="188"/>
      <c r="T546" s="295"/>
      <c r="Y546" s="188"/>
      <c r="AA546" s="295"/>
      <c r="AF546" s="188"/>
      <c r="AH546" s="295"/>
      <c r="AI546" s="188"/>
      <c r="AJ546" s="188"/>
      <c r="AK546" s="188"/>
      <c r="AL546" s="188"/>
      <c r="AM546" s="188"/>
      <c r="AN546" s="188"/>
      <c r="AO546" s="299"/>
      <c r="AS546" s="296"/>
      <c r="AW546" s="296"/>
      <c r="BN546" s="296"/>
      <c r="BO546" s="296"/>
      <c r="CY546" s="294"/>
      <c r="DF546" s="296"/>
    </row>
    <row r="547" spans="2:110" ht="13">
      <c r="B547" s="294"/>
      <c r="F547" s="296"/>
      <c r="J547" s="302"/>
      <c r="R547" s="188"/>
      <c r="T547" s="295"/>
      <c r="Y547" s="188"/>
      <c r="AA547" s="295"/>
      <c r="AF547" s="188"/>
      <c r="AH547" s="295"/>
      <c r="AI547" s="188"/>
      <c r="AJ547" s="188"/>
      <c r="AK547" s="188"/>
      <c r="AL547" s="188"/>
      <c r="AM547" s="188"/>
      <c r="AN547" s="188"/>
      <c r="AO547" s="299"/>
      <c r="AS547" s="296"/>
      <c r="AW547" s="296"/>
      <c r="BN547" s="296"/>
      <c r="BO547" s="296"/>
      <c r="CY547" s="294"/>
      <c r="DF547" s="296"/>
    </row>
    <row r="548" spans="2:110" ht="13">
      <c r="B548" s="294"/>
      <c r="F548" s="296"/>
      <c r="J548" s="302"/>
      <c r="R548" s="188"/>
      <c r="T548" s="295"/>
      <c r="Y548" s="188"/>
      <c r="AA548" s="295"/>
      <c r="AF548" s="188"/>
      <c r="AH548" s="295"/>
      <c r="AI548" s="188"/>
      <c r="AJ548" s="188"/>
      <c r="AK548" s="188"/>
      <c r="AL548" s="188"/>
      <c r="AM548" s="188"/>
      <c r="AN548" s="188"/>
      <c r="AO548" s="299"/>
      <c r="AS548" s="296"/>
      <c r="AW548" s="296"/>
      <c r="BN548" s="296"/>
      <c r="BO548" s="296"/>
      <c r="CY548" s="294"/>
      <c r="DF548" s="296"/>
    </row>
    <row r="549" spans="2:110" ht="13">
      <c r="B549" s="294"/>
      <c r="F549" s="296"/>
      <c r="J549" s="302"/>
      <c r="R549" s="188"/>
      <c r="T549" s="295"/>
      <c r="Y549" s="188"/>
      <c r="AA549" s="295"/>
      <c r="AF549" s="188"/>
      <c r="AH549" s="295"/>
      <c r="AI549" s="188"/>
      <c r="AJ549" s="188"/>
      <c r="AK549" s="188"/>
      <c r="AL549" s="188"/>
      <c r="AM549" s="188"/>
      <c r="AN549" s="188"/>
      <c r="AO549" s="299"/>
      <c r="AS549" s="296"/>
      <c r="AW549" s="296"/>
      <c r="BN549" s="296"/>
      <c r="BO549" s="296"/>
      <c r="CY549" s="294"/>
      <c r="DF549" s="296"/>
    </row>
    <row r="550" spans="2:110" ht="13">
      <c r="B550" s="294"/>
      <c r="F550" s="296"/>
      <c r="J550" s="302"/>
      <c r="R550" s="188"/>
      <c r="T550" s="295"/>
      <c r="Y550" s="188"/>
      <c r="AA550" s="295"/>
      <c r="AF550" s="188"/>
      <c r="AH550" s="295"/>
      <c r="AI550" s="188"/>
      <c r="AJ550" s="188"/>
      <c r="AK550" s="188"/>
      <c r="AL550" s="188"/>
      <c r="AM550" s="188"/>
      <c r="AN550" s="188"/>
      <c r="AO550" s="299"/>
      <c r="AS550" s="296"/>
      <c r="AW550" s="296"/>
      <c r="BN550" s="296"/>
      <c r="BO550" s="296"/>
      <c r="CY550" s="294"/>
      <c r="DF550" s="296"/>
    </row>
    <row r="551" spans="2:110" ht="13">
      <c r="B551" s="294"/>
      <c r="F551" s="296"/>
      <c r="J551" s="302"/>
      <c r="R551" s="188"/>
      <c r="T551" s="295"/>
      <c r="Y551" s="188"/>
      <c r="AA551" s="295"/>
      <c r="AF551" s="188"/>
      <c r="AH551" s="295"/>
      <c r="AI551" s="188"/>
      <c r="AJ551" s="188"/>
      <c r="AK551" s="188"/>
      <c r="AL551" s="188"/>
      <c r="AM551" s="188"/>
      <c r="AN551" s="188"/>
      <c r="AO551" s="299"/>
      <c r="AS551" s="296"/>
      <c r="AW551" s="296"/>
      <c r="BN551" s="296"/>
      <c r="BO551" s="296"/>
      <c r="CY551" s="294"/>
      <c r="DF551" s="296"/>
    </row>
    <row r="552" spans="2:110" ht="13">
      <c r="B552" s="294"/>
      <c r="F552" s="296"/>
      <c r="J552" s="302"/>
      <c r="R552" s="188"/>
      <c r="T552" s="295"/>
      <c r="Y552" s="188"/>
      <c r="AA552" s="295"/>
      <c r="AF552" s="188"/>
      <c r="AH552" s="295"/>
      <c r="AI552" s="188"/>
      <c r="AJ552" s="188"/>
      <c r="AK552" s="188"/>
      <c r="AL552" s="188"/>
      <c r="AM552" s="188"/>
      <c r="AN552" s="188"/>
      <c r="AO552" s="299"/>
      <c r="AS552" s="296"/>
      <c r="AW552" s="296"/>
      <c r="BN552" s="296"/>
      <c r="BO552" s="296"/>
      <c r="CY552" s="294"/>
      <c r="DF552" s="296"/>
    </row>
    <row r="553" spans="2:110" ht="13">
      <c r="B553" s="294"/>
      <c r="F553" s="296"/>
      <c r="J553" s="302"/>
      <c r="R553" s="188"/>
      <c r="T553" s="295"/>
      <c r="Y553" s="188"/>
      <c r="AA553" s="295"/>
      <c r="AF553" s="188"/>
      <c r="AH553" s="295"/>
      <c r="AI553" s="188"/>
      <c r="AJ553" s="188"/>
      <c r="AK553" s="188"/>
      <c r="AL553" s="188"/>
      <c r="AM553" s="188"/>
      <c r="AN553" s="188"/>
      <c r="AO553" s="299"/>
      <c r="AS553" s="296"/>
      <c r="AW553" s="296"/>
      <c r="BN553" s="296"/>
      <c r="BO553" s="296"/>
      <c r="CY553" s="294"/>
      <c r="DF553" s="296"/>
    </row>
    <row r="554" spans="2:110" ht="13">
      <c r="B554" s="294"/>
      <c r="F554" s="296"/>
      <c r="J554" s="302"/>
      <c r="R554" s="188"/>
      <c r="T554" s="295"/>
      <c r="Y554" s="188"/>
      <c r="AA554" s="295"/>
      <c r="AF554" s="188"/>
      <c r="AH554" s="295"/>
      <c r="AI554" s="188"/>
      <c r="AJ554" s="188"/>
      <c r="AK554" s="188"/>
      <c r="AL554" s="188"/>
      <c r="AM554" s="188"/>
      <c r="AN554" s="188"/>
      <c r="AO554" s="299"/>
      <c r="AS554" s="296"/>
      <c r="AW554" s="296"/>
      <c r="BN554" s="296"/>
      <c r="BO554" s="296"/>
      <c r="CY554" s="294"/>
      <c r="DF554" s="296"/>
    </row>
    <row r="555" spans="2:110" ht="13">
      <c r="B555" s="294"/>
      <c r="F555" s="296"/>
      <c r="J555" s="302"/>
      <c r="R555" s="188"/>
      <c r="T555" s="295"/>
      <c r="Y555" s="188"/>
      <c r="AA555" s="295"/>
      <c r="AF555" s="188"/>
      <c r="AH555" s="295"/>
      <c r="AI555" s="188"/>
      <c r="AJ555" s="188"/>
      <c r="AK555" s="188"/>
      <c r="AL555" s="188"/>
      <c r="AM555" s="188"/>
      <c r="AN555" s="188"/>
      <c r="AO555" s="299"/>
      <c r="AS555" s="296"/>
      <c r="AW555" s="296"/>
      <c r="BN555" s="296"/>
      <c r="BO555" s="296"/>
      <c r="CY555" s="294"/>
      <c r="DF555" s="296"/>
    </row>
    <row r="556" spans="2:110" ht="13">
      <c r="B556" s="294"/>
      <c r="F556" s="296"/>
      <c r="J556" s="302"/>
      <c r="R556" s="188"/>
      <c r="T556" s="295"/>
      <c r="Y556" s="188"/>
      <c r="AA556" s="295"/>
      <c r="AF556" s="188"/>
      <c r="AH556" s="295"/>
      <c r="AI556" s="188"/>
      <c r="AJ556" s="188"/>
      <c r="AK556" s="188"/>
      <c r="AL556" s="188"/>
      <c r="AM556" s="188"/>
      <c r="AN556" s="188"/>
      <c r="AO556" s="299"/>
      <c r="AS556" s="296"/>
      <c r="AW556" s="296"/>
      <c r="BN556" s="296"/>
      <c r="BO556" s="296"/>
      <c r="CY556" s="294"/>
      <c r="DF556" s="296"/>
    </row>
    <row r="557" spans="2:110" ht="13">
      <c r="B557" s="294"/>
      <c r="F557" s="296"/>
      <c r="J557" s="302"/>
      <c r="R557" s="188"/>
      <c r="T557" s="295"/>
      <c r="Y557" s="188"/>
      <c r="AA557" s="295"/>
      <c r="AF557" s="188"/>
      <c r="AH557" s="295"/>
      <c r="AI557" s="188"/>
      <c r="AJ557" s="188"/>
      <c r="AK557" s="188"/>
      <c r="AL557" s="188"/>
      <c r="AM557" s="188"/>
      <c r="AN557" s="188"/>
      <c r="AO557" s="299"/>
      <c r="AS557" s="296"/>
      <c r="AW557" s="296"/>
      <c r="BN557" s="296"/>
      <c r="BO557" s="296"/>
      <c r="CY557" s="294"/>
      <c r="DF557" s="296"/>
    </row>
    <row r="558" spans="2:110" ht="13">
      <c r="B558" s="294"/>
      <c r="F558" s="296"/>
      <c r="J558" s="302"/>
      <c r="R558" s="188"/>
      <c r="T558" s="295"/>
      <c r="Y558" s="188"/>
      <c r="AA558" s="295"/>
      <c r="AF558" s="188"/>
      <c r="AH558" s="295"/>
      <c r="AI558" s="188"/>
      <c r="AJ558" s="188"/>
      <c r="AK558" s="188"/>
      <c r="AL558" s="188"/>
      <c r="AM558" s="188"/>
      <c r="AN558" s="188"/>
      <c r="AO558" s="299"/>
      <c r="AS558" s="296"/>
      <c r="AW558" s="296"/>
      <c r="BN558" s="296"/>
      <c r="BO558" s="296"/>
      <c r="CY558" s="294"/>
      <c r="DF558" s="296"/>
    </row>
    <row r="559" spans="2:110" ht="13">
      <c r="B559" s="294"/>
      <c r="F559" s="296"/>
      <c r="J559" s="302"/>
      <c r="R559" s="188"/>
      <c r="T559" s="295"/>
      <c r="Y559" s="188"/>
      <c r="AA559" s="295"/>
      <c r="AF559" s="188"/>
      <c r="AH559" s="295"/>
      <c r="AI559" s="188"/>
      <c r="AJ559" s="188"/>
      <c r="AK559" s="188"/>
      <c r="AL559" s="188"/>
      <c r="AM559" s="188"/>
      <c r="AN559" s="188"/>
      <c r="AO559" s="299"/>
      <c r="AS559" s="296"/>
      <c r="AW559" s="296"/>
      <c r="BN559" s="296"/>
      <c r="BO559" s="296"/>
      <c r="CY559" s="294"/>
      <c r="DF559" s="296"/>
    </row>
    <row r="560" spans="2:110" ht="13">
      <c r="B560" s="294"/>
      <c r="F560" s="296"/>
      <c r="J560" s="302"/>
      <c r="R560" s="188"/>
      <c r="T560" s="295"/>
      <c r="Y560" s="188"/>
      <c r="AA560" s="295"/>
      <c r="AF560" s="188"/>
      <c r="AH560" s="295"/>
      <c r="AI560" s="188"/>
      <c r="AJ560" s="188"/>
      <c r="AK560" s="188"/>
      <c r="AL560" s="188"/>
      <c r="AM560" s="188"/>
      <c r="AN560" s="188"/>
      <c r="AO560" s="299"/>
      <c r="AS560" s="296"/>
      <c r="AW560" s="296"/>
      <c r="BN560" s="296"/>
      <c r="BO560" s="296"/>
      <c r="CY560" s="294"/>
      <c r="DF560" s="296"/>
    </row>
    <row r="561" spans="2:110" ht="13">
      <c r="B561" s="294"/>
      <c r="F561" s="296"/>
      <c r="J561" s="302"/>
      <c r="R561" s="188"/>
      <c r="T561" s="295"/>
      <c r="Y561" s="188"/>
      <c r="AA561" s="295"/>
      <c r="AF561" s="188"/>
      <c r="AH561" s="295"/>
      <c r="AI561" s="188"/>
      <c r="AJ561" s="188"/>
      <c r="AK561" s="188"/>
      <c r="AL561" s="188"/>
      <c r="AM561" s="188"/>
      <c r="AN561" s="188"/>
      <c r="AO561" s="299"/>
      <c r="AS561" s="296"/>
      <c r="AW561" s="296"/>
      <c r="BN561" s="296"/>
      <c r="BO561" s="296"/>
      <c r="CY561" s="294"/>
      <c r="DF561" s="296"/>
    </row>
    <row r="562" spans="2:110" ht="13">
      <c r="B562" s="294"/>
      <c r="F562" s="296"/>
      <c r="J562" s="302"/>
      <c r="R562" s="188"/>
      <c r="T562" s="295"/>
      <c r="Y562" s="188"/>
      <c r="AA562" s="295"/>
      <c r="AF562" s="188"/>
      <c r="AH562" s="295"/>
      <c r="AI562" s="188"/>
      <c r="AJ562" s="188"/>
      <c r="AK562" s="188"/>
      <c r="AL562" s="188"/>
      <c r="AM562" s="188"/>
      <c r="AN562" s="188"/>
      <c r="AO562" s="299"/>
      <c r="AS562" s="296"/>
      <c r="AW562" s="296"/>
      <c r="BN562" s="296"/>
      <c r="BO562" s="296"/>
      <c r="CY562" s="294"/>
      <c r="DF562" s="296"/>
    </row>
    <row r="563" spans="2:110" ht="13">
      <c r="B563" s="294"/>
      <c r="F563" s="296"/>
      <c r="J563" s="302"/>
      <c r="R563" s="188"/>
      <c r="T563" s="295"/>
      <c r="Y563" s="188"/>
      <c r="AA563" s="295"/>
      <c r="AF563" s="188"/>
      <c r="AH563" s="295"/>
      <c r="AI563" s="188"/>
      <c r="AJ563" s="188"/>
      <c r="AK563" s="188"/>
      <c r="AL563" s="188"/>
      <c r="AM563" s="188"/>
      <c r="AN563" s="188"/>
      <c r="AO563" s="299"/>
      <c r="AS563" s="296"/>
      <c r="AW563" s="296"/>
      <c r="BN563" s="296"/>
      <c r="BO563" s="296"/>
      <c r="CY563" s="294"/>
      <c r="DF563" s="296"/>
    </row>
    <row r="564" spans="2:110" ht="13">
      <c r="B564" s="294"/>
      <c r="F564" s="296"/>
      <c r="J564" s="302"/>
      <c r="R564" s="188"/>
      <c r="T564" s="295"/>
      <c r="Y564" s="188"/>
      <c r="AA564" s="295"/>
      <c r="AF564" s="188"/>
      <c r="AH564" s="295"/>
      <c r="AI564" s="188"/>
      <c r="AJ564" s="188"/>
      <c r="AK564" s="188"/>
      <c r="AL564" s="188"/>
      <c r="AM564" s="188"/>
      <c r="AN564" s="188"/>
      <c r="AO564" s="299"/>
      <c r="AS564" s="296"/>
      <c r="AW564" s="296"/>
      <c r="BN564" s="296"/>
      <c r="BO564" s="296"/>
      <c r="CY564" s="294"/>
      <c r="DF564" s="296"/>
    </row>
    <row r="565" spans="2:110" ht="13">
      <c r="B565" s="294"/>
      <c r="F565" s="296"/>
      <c r="J565" s="302"/>
      <c r="R565" s="188"/>
      <c r="T565" s="295"/>
      <c r="Y565" s="188"/>
      <c r="AA565" s="295"/>
      <c r="AF565" s="188"/>
      <c r="AH565" s="295"/>
      <c r="AI565" s="188"/>
      <c r="AJ565" s="188"/>
      <c r="AK565" s="188"/>
      <c r="AL565" s="188"/>
      <c r="AM565" s="188"/>
      <c r="AN565" s="188"/>
      <c r="AO565" s="299"/>
      <c r="AS565" s="296"/>
      <c r="AW565" s="296"/>
      <c r="BN565" s="296"/>
      <c r="BO565" s="296"/>
      <c r="CY565" s="294"/>
      <c r="DF565" s="296"/>
    </row>
    <row r="566" spans="2:110" ht="13">
      <c r="B566" s="294"/>
      <c r="F566" s="296"/>
      <c r="J566" s="302"/>
      <c r="R566" s="188"/>
      <c r="T566" s="295"/>
      <c r="Y566" s="188"/>
      <c r="AA566" s="295"/>
      <c r="AF566" s="188"/>
      <c r="AH566" s="295"/>
      <c r="AI566" s="188"/>
      <c r="AJ566" s="188"/>
      <c r="AK566" s="188"/>
      <c r="AL566" s="188"/>
      <c r="AM566" s="188"/>
      <c r="AN566" s="188"/>
      <c r="AO566" s="299"/>
      <c r="AS566" s="296"/>
      <c r="AW566" s="296"/>
      <c r="BN566" s="296"/>
      <c r="BO566" s="296"/>
      <c r="CY566" s="294"/>
      <c r="DF566" s="296"/>
    </row>
    <row r="567" spans="2:110" ht="13">
      <c r="B567" s="294"/>
      <c r="F567" s="296"/>
      <c r="J567" s="302"/>
      <c r="R567" s="188"/>
      <c r="T567" s="295"/>
      <c r="Y567" s="188"/>
      <c r="AA567" s="295"/>
      <c r="AF567" s="188"/>
      <c r="AH567" s="295"/>
      <c r="AI567" s="188"/>
      <c r="AJ567" s="188"/>
      <c r="AK567" s="188"/>
      <c r="AL567" s="188"/>
      <c r="AM567" s="188"/>
      <c r="AN567" s="188"/>
      <c r="AO567" s="299"/>
      <c r="AS567" s="296"/>
      <c r="AW567" s="296"/>
      <c r="BN567" s="296"/>
      <c r="BO567" s="296"/>
      <c r="CY567" s="294"/>
      <c r="DF567" s="296"/>
    </row>
    <row r="568" spans="2:110" ht="13">
      <c r="B568" s="294"/>
      <c r="F568" s="296"/>
      <c r="J568" s="302"/>
      <c r="R568" s="188"/>
      <c r="T568" s="295"/>
      <c r="Y568" s="188"/>
      <c r="AA568" s="295"/>
      <c r="AF568" s="188"/>
      <c r="AH568" s="295"/>
      <c r="AI568" s="188"/>
      <c r="AJ568" s="188"/>
      <c r="AK568" s="188"/>
      <c r="AL568" s="188"/>
      <c r="AM568" s="188"/>
      <c r="AN568" s="188"/>
      <c r="AO568" s="299"/>
      <c r="AS568" s="296"/>
      <c r="AW568" s="296"/>
      <c r="BN568" s="296"/>
      <c r="BO568" s="296"/>
      <c r="CY568" s="294"/>
      <c r="DF568" s="296"/>
    </row>
    <row r="569" spans="2:110" ht="13">
      <c r="B569" s="294"/>
      <c r="F569" s="296"/>
      <c r="J569" s="302"/>
      <c r="R569" s="188"/>
      <c r="T569" s="295"/>
      <c r="Y569" s="188"/>
      <c r="AA569" s="295"/>
      <c r="AF569" s="188"/>
      <c r="AH569" s="295"/>
      <c r="AI569" s="188"/>
      <c r="AJ569" s="188"/>
      <c r="AK569" s="188"/>
      <c r="AL569" s="188"/>
      <c r="AM569" s="188"/>
      <c r="AN569" s="188"/>
      <c r="AO569" s="299"/>
      <c r="AS569" s="296"/>
      <c r="AW569" s="296"/>
      <c r="BN569" s="296"/>
      <c r="BO569" s="296"/>
      <c r="CY569" s="294"/>
      <c r="DF569" s="296"/>
    </row>
    <row r="570" spans="2:110" ht="13">
      <c r="B570" s="294"/>
      <c r="F570" s="296"/>
      <c r="J570" s="302"/>
      <c r="R570" s="188"/>
      <c r="T570" s="295"/>
      <c r="Y570" s="188"/>
      <c r="AA570" s="295"/>
      <c r="AF570" s="188"/>
      <c r="AH570" s="295"/>
      <c r="AI570" s="188"/>
      <c r="AJ570" s="188"/>
      <c r="AK570" s="188"/>
      <c r="AL570" s="188"/>
      <c r="AM570" s="188"/>
      <c r="AN570" s="188"/>
      <c r="AO570" s="299"/>
      <c r="AS570" s="296"/>
      <c r="AW570" s="296"/>
      <c r="BN570" s="296"/>
      <c r="BO570" s="296"/>
      <c r="CY570" s="294"/>
      <c r="DF570" s="296"/>
    </row>
    <row r="571" spans="2:110" ht="13">
      <c r="B571" s="294"/>
      <c r="F571" s="296"/>
      <c r="J571" s="302"/>
      <c r="R571" s="188"/>
      <c r="T571" s="295"/>
      <c r="Y571" s="188"/>
      <c r="AA571" s="295"/>
      <c r="AF571" s="188"/>
      <c r="AH571" s="295"/>
      <c r="AI571" s="188"/>
      <c r="AJ571" s="188"/>
      <c r="AK571" s="188"/>
      <c r="AL571" s="188"/>
      <c r="AM571" s="188"/>
      <c r="AN571" s="188"/>
      <c r="AO571" s="299"/>
      <c r="AS571" s="296"/>
      <c r="AW571" s="296"/>
      <c r="BN571" s="296"/>
      <c r="BO571" s="296"/>
      <c r="CY571" s="294"/>
      <c r="DF571" s="296"/>
    </row>
    <row r="572" spans="2:110" ht="13">
      <c r="B572" s="294"/>
      <c r="F572" s="296"/>
      <c r="J572" s="302"/>
      <c r="R572" s="188"/>
      <c r="T572" s="295"/>
      <c r="Y572" s="188"/>
      <c r="AA572" s="295"/>
      <c r="AF572" s="188"/>
      <c r="AH572" s="295"/>
      <c r="AI572" s="188"/>
      <c r="AJ572" s="188"/>
      <c r="AK572" s="188"/>
      <c r="AL572" s="188"/>
      <c r="AM572" s="188"/>
      <c r="AN572" s="188"/>
      <c r="AO572" s="299"/>
      <c r="AS572" s="296"/>
      <c r="AW572" s="296"/>
      <c r="BN572" s="296"/>
      <c r="BO572" s="296"/>
      <c r="CY572" s="294"/>
      <c r="DF572" s="296"/>
    </row>
    <row r="573" spans="2:110" ht="13">
      <c r="B573" s="294"/>
      <c r="F573" s="296"/>
      <c r="J573" s="302"/>
      <c r="R573" s="188"/>
      <c r="T573" s="295"/>
      <c r="Y573" s="188"/>
      <c r="AA573" s="295"/>
      <c r="AF573" s="188"/>
      <c r="AH573" s="295"/>
      <c r="AI573" s="188"/>
      <c r="AJ573" s="188"/>
      <c r="AK573" s="188"/>
      <c r="AL573" s="188"/>
      <c r="AM573" s="188"/>
      <c r="AN573" s="188"/>
      <c r="AO573" s="299"/>
      <c r="AS573" s="296"/>
      <c r="AW573" s="296"/>
      <c r="BN573" s="296"/>
      <c r="BO573" s="296"/>
      <c r="CY573" s="294"/>
      <c r="DF573" s="296"/>
    </row>
    <row r="574" spans="2:110" ht="13">
      <c r="B574" s="294"/>
      <c r="F574" s="296"/>
      <c r="J574" s="302"/>
      <c r="R574" s="188"/>
      <c r="T574" s="295"/>
      <c r="Y574" s="188"/>
      <c r="AA574" s="295"/>
      <c r="AF574" s="188"/>
      <c r="AH574" s="295"/>
      <c r="AI574" s="188"/>
      <c r="AJ574" s="188"/>
      <c r="AK574" s="188"/>
      <c r="AL574" s="188"/>
      <c r="AM574" s="188"/>
      <c r="AN574" s="188"/>
      <c r="AO574" s="299"/>
      <c r="AS574" s="296"/>
      <c r="AW574" s="296"/>
      <c r="BN574" s="296"/>
      <c r="BO574" s="296"/>
      <c r="CY574" s="294"/>
      <c r="DF574" s="296"/>
    </row>
    <row r="575" spans="2:110" ht="13">
      <c r="B575" s="294"/>
      <c r="F575" s="296"/>
      <c r="J575" s="302"/>
      <c r="R575" s="188"/>
      <c r="T575" s="295"/>
      <c r="Y575" s="188"/>
      <c r="AA575" s="295"/>
      <c r="AF575" s="188"/>
      <c r="AH575" s="295"/>
      <c r="AI575" s="188"/>
      <c r="AJ575" s="188"/>
      <c r="AK575" s="188"/>
      <c r="AL575" s="188"/>
      <c r="AM575" s="188"/>
      <c r="AN575" s="188"/>
      <c r="AO575" s="299"/>
      <c r="AS575" s="296"/>
      <c r="AW575" s="296"/>
      <c r="BN575" s="296"/>
      <c r="BO575" s="296"/>
      <c r="CY575" s="294"/>
      <c r="DF575" s="296"/>
    </row>
    <row r="576" spans="2:110" ht="13">
      <c r="B576" s="294"/>
      <c r="F576" s="296"/>
      <c r="J576" s="302"/>
      <c r="R576" s="188"/>
      <c r="T576" s="295"/>
      <c r="Y576" s="188"/>
      <c r="AA576" s="295"/>
      <c r="AF576" s="188"/>
      <c r="AH576" s="295"/>
      <c r="AI576" s="188"/>
      <c r="AJ576" s="188"/>
      <c r="AK576" s="188"/>
      <c r="AL576" s="188"/>
      <c r="AM576" s="188"/>
      <c r="AN576" s="188"/>
      <c r="AO576" s="299"/>
      <c r="AS576" s="296"/>
      <c r="AW576" s="296"/>
      <c r="BN576" s="296"/>
      <c r="BO576" s="296"/>
      <c r="CY576" s="294"/>
      <c r="DF576" s="296"/>
    </row>
    <row r="577" spans="2:110" ht="13">
      <c r="B577" s="294"/>
      <c r="F577" s="296"/>
      <c r="J577" s="302"/>
      <c r="R577" s="188"/>
      <c r="T577" s="295"/>
      <c r="Y577" s="188"/>
      <c r="AA577" s="295"/>
      <c r="AF577" s="188"/>
      <c r="AH577" s="295"/>
      <c r="AI577" s="188"/>
      <c r="AJ577" s="188"/>
      <c r="AK577" s="188"/>
      <c r="AL577" s="188"/>
      <c r="AM577" s="188"/>
      <c r="AN577" s="188"/>
      <c r="AO577" s="299"/>
      <c r="AS577" s="296"/>
      <c r="AW577" s="296"/>
      <c r="BN577" s="296"/>
      <c r="BO577" s="296"/>
      <c r="CY577" s="294"/>
      <c r="DF577" s="296"/>
    </row>
    <row r="578" spans="2:110" ht="13">
      <c r="B578" s="294"/>
      <c r="F578" s="296"/>
      <c r="J578" s="302"/>
      <c r="R578" s="188"/>
      <c r="T578" s="295"/>
      <c r="Y578" s="188"/>
      <c r="AA578" s="295"/>
      <c r="AF578" s="188"/>
      <c r="AH578" s="295"/>
      <c r="AI578" s="188"/>
      <c r="AJ578" s="188"/>
      <c r="AK578" s="188"/>
      <c r="AL578" s="188"/>
      <c r="AM578" s="188"/>
      <c r="AN578" s="188"/>
      <c r="AO578" s="299"/>
      <c r="AS578" s="296"/>
      <c r="AW578" s="296"/>
      <c r="BN578" s="296"/>
      <c r="BO578" s="296"/>
      <c r="CY578" s="294"/>
      <c r="DF578" s="296"/>
    </row>
    <row r="579" spans="2:110" ht="13">
      <c r="B579" s="294"/>
      <c r="F579" s="296"/>
      <c r="J579" s="302"/>
      <c r="R579" s="188"/>
      <c r="T579" s="295"/>
      <c r="Y579" s="188"/>
      <c r="AA579" s="295"/>
      <c r="AF579" s="188"/>
      <c r="AH579" s="295"/>
      <c r="AI579" s="188"/>
      <c r="AJ579" s="188"/>
      <c r="AK579" s="188"/>
      <c r="AL579" s="188"/>
      <c r="AM579" s="188"/>
      <c r="AN579" s="188"/>
      <c r="AO579" s="299"/>
      <c r="AS579" s="296"/>
      <c r="AW579" s="296"/>
      <c r="BN579" s="296"/>
      <c r="BO579" s="296"/>
      <c r="CY579" s="294"/>
      <c r="DF579" s="296"/>
    </row>
    <row r="580" spans="2:110" ht="13">
      <c r="B580" s="294"/>
      <c r="F580" s="296"/>
      <c r="J580" s="302"/>
      <c r="R580" s="188"/>
      <c r="T580" s="295"/>
      <c r="Y580" s="188"/>
      <c r="AA580" s="295"/>
      <c r="AF580" s="188"/>
      <c r="AH580" s="295"/>
      <c r="AI580" s="188"/>
      <c r="AJ580" s="188"/>
      <c r="AK580" s="188"/>
      <c r="AL580" s="188"/>
      <c r="AM580" s="188"/>
      <c r="AN580" s="188"/>
      <c r="AO580" s="299"/>
      <c r="AS580" s="296"/>
      <c r="AW580" s="296"/>
      <c r="BN580" s="296"/>
      <c r="BO580" s="296"/>
      <c r="CY580" s="294"/>
      <c r="DF580" s="296"/>
    </row>
    <row r="581" spans="2:110" ht="13">
      <c r="B581" s="294"/>
      <c r="F581" s="296"/>
      <c r="J581" s="302"/>
      <c r="R581" s="188"/>
      <c r="T581" s="295"/>
      <c r="Y581" s="188"/>
      <c r="AA581" s="295"/>
      <c r="AF581" s="188"/>
      <c r="AH581" s="295"/>
      <c r="AI581" s="188"/>
      <c r="AJ581" s="188"/>
      <c r="AK581" s="188"/>
      <c r="AL581" s="188"/>
      <c r="AM581" s="188"/>
      <c r="AN581" s="188"/>
      <c r="AO581" s="299"/>
      <c r="AS581" s="296"/>
      <c r="AW581" s="296"/>
      <c r="BN581" s="296"/>
      <c r="BO581" s="296"/>
      <c r="CY581" s="294"/>
      <c r="DF581" s="296"/>
    </row>
    <row r="582" spans="2:110" ht="13">
      <c r="B582" s="294"/>
      <c r="F582" s="296"/>
      <c r="J582" s="302"/>
      <c r="R582" s="188"/>
      <c r="T582" s="295"/>
      <c r="Y582" s="188"/>
      <c r="AA582" s="295"/>
      <c r="AF582" s="188"/>
      <c r="AH582" s="295"/>
      <c r="AI582" s="188"/>
      <c r="AJ582" s="188"/>
      <c r="AK582" s="188"/>
      <c r="AL582" s="188"/>
      <c r="AM582" s="188"/>
      <c r="AN582" s="188"/>
      <c r="AO582" s="299"/>
      <c r="AS582" s="296"/>
      <c r="AW582" s="296"/>
      <c r="BN582" s="296"/>
      <c r="BO582" s="296"/>
      <c r="CY582" s="294"/>
      <c r="DF582" s="296"/>
    </row>
    <row r="583" spans="2:110" ht="13">
      <c r="B583" s="294"/>
      <c r="F583" s="296"/>
      <c r="J583" s="302"/>
      <c r="R583" s="188"/>
      <c r="T583" s="295"/>
      <c r="Y583" s="188"/>
      <c r="AA583" s="295"/>
      <c r="AF583" s="188"/>
      <c r="AH583" s="295"/>
      <c r="AI583" s="188"/>
      <c r="AJ583" s="188"/>
      <c r="AK583" s="188"/>
      <c r="AL583" s="188"/>
      <c r="AM583" s="188"/>
      <c r="AN583" s="188"/>
      <c r="AO583" s="299"/>
      <c r="AS583" s="296"/>
      <c r="AW583" s="296"/>
      <c r="BN583" s="296"/>
      <c r="BO583" s="296"/>
      <c r="CY583" s="294"/>
      <c r="DF583" s="296"/>
    </row>
    <row r="584" spans="2:110" ht="13">
      <c r="B584" s="294"/>
      <c r="F584" s="296"/>
      <c r="J584" s="302"/>
      <c r="R584" s="188"/>
      <c r="T584" s="295"/>
      <c r="Y584" s="188"/>
      <c r="AA584" s="295"/>
      <c r="AF584" s="188"/>
      <c r="AH584" s="295"/>
      <c r="AI584" s="188"/>
      <c r="AJ584" s="188"/>
      <c r="AK584" s="188"/>
      <c r="AL584" s="188"/>
      <c r="AM584" s="188"/>
      <c r="AN584" s="188"/>
      <c r="AO584" s="299"/>
      <c r="AS584" s="296"/>
      <c r="AW584" s="296"/>
      <c r="BN584" s="296"/>
      <c r="BO584" s="296"/>
      <c r="CY584" s="294"/>
      <c r="DF584" s="296"/>
    </row>
    <row r="585" spans="2:110" ht="13">
      <c r="B585" s="294"/>
      <c r="F585" s="296"/>
      <c r="J585" s="302"/>
      <c r="R585" s="188"/>
      <c r="T585" s="295"/>
      <c r="Y585" s="188"/>
      <c r="AA585" s="295"/>
      <c r="AF585" s="188"/>
      <c r="AH585" s="295"/>
      <c r="AI585" s="188"/>
      <c r="AJ585" s="188"/>
      <c r="AK585" s="188"/>
      <c r="AL585" s="188"/>
      <c r="AM585" s="188"/>
      <c r="AN585" s="188"/>
      <c r="AO585" s="299"/>
      <c r="AS585" s="296"/>
      <c r="AW585" s="296"/>
      <c r="BN585" s="296"/>
      <c r="BO585" s="296"/>
      <c r="CY585" s="294"/>
      <c r="DF585" s="296"/>
    </row>
    <row r="586" spans="2:110" ht="13">
      <c r="B586" s="294"/>
      <c r="F586" s="296"/>
      <c r="J586" s="302"/>
      <c r="R586" s="188"/>
      <c r="T586" s="295"/>
      <c r="Y586" s="188"/>
      <c r="AA586" s="295"/>
      <c r="AF586" s="188"/>
      <c r="AH586" s="295"/>
      <c r="AI586" s="188"/>
      <c r="AJ586" s="188"/>
      <c r="AK586" s="188"/>
      <c r="AL586" s="188"/>
      <c r="AM586" s="188"/>
      <c r="AN586" s="188"/>
      <c r="AO586" s="299"/>
      <c r="AS586" s="296"/>
      <c r="AW586" s="296"/>
      <c r="BN586" s="296"/>
      <c r="BO586" s="296"/>
      <c r="CY586" s="294"/>
      <c r="DF586" s="296"/>
    </row>
    <row r="587" spans="2:110" ht="13">
      <c r="B587" s="294"/>
      <c r="F587" s="296"/>
      <c r="J587" s="302"/>
      <c r="R587" s="188"/>
      <c r="T587" s="295"/>
      <c r="Y587" s="188"/>
      <c r="AA587" s="295"/>
      <c r="AF587" s="188"/>
      <c r="AH587" s="295"/>
      <c r="AI587" s="188"/>
      <c r="AJ587" s="188"/>
      <c r="AK587" s="188"/>
      <c r="AL587" s="188"/>
      <c r="AM587" s="188"/>
      <c r="AN587" s="188"/>
      <c r="AO587" s="299"/>
      <c r="AS587" s="296"/>
      <c r="AW587" s="296"/>
      <c r="BN587" s="296"/>
      <c r="BO587" s="296"/>
      <c r="CY587" s="294"/>
      <c r="DF587" s="296"/>
    </row>
    <row r="588" spans="2:110" ht="13">
      <c r="B588" s="294"/>
      <c r="F588" s="296"/>
      <c r="J588" s="302"/>
      <c r="R588" s="188"/>
      <c r="T588" s="295"/>
      <c r="Y588" s="188"/>
      <c r="AA588" s="295"/>
      <c r="AF588" s="188"/>
      <c r="AH588" s="295"/>
      <c r="AI588" s="188"/>
      <c r="AJ588" s="188"/>
      <c r="AK588" s="188"/>
      <c r="AL588" s="188"/>
      <c r="AM588" s="188"/>
      <c r="AN588" s="188"/>
      <c r="AO588" s="299"/>
      <c r="AS588" s="296"/>
      <c r="AW588" s="296"/>
      <c r="BN588" s="296"/>
      <c r="BO588" s="296"/>
      <c r="CY588" s="294"/>
      <c r="DF588" s="296"/>
    </row>
    <row r="589" spans="2:110" ht="13">
      <c r="B589" s="294"/>
      <c r="F589" s="296"/>
      <c r="J589" s="302"/>
      <c r="R589" s="188"/>
      <c r="T589" s="295"/>
      <c r="Y589" s="188"/>
      <c r="AA589" s="295"/>
      <c r="AF589" s="188"/>
      <c r="AH589" s="295"/>
      <c r="AI589" s="188"/>
      <c r="AJ589" s="188"/>
      <c r="AK589" s="188"/>
      <c r="AL589" s="188"/>
      <c r="AM589" s="188"/>
      <c r="AN589" s="188"/>
      <c r="AO589" s="299"/>
      <c r="AS589" s="296"/>
      <c r="AW589" s="296"/>
      <c r="BN589" s="296"/>
      <c r="BO589" s="296"/>
      <c r="CY589" s="294"/>
      <c r="DF589" s="296"/>
    </row>
    <row r="590" spans="2:110" ht="13">
      <c r="B590" s="294"/>
      <c r="F590" s="296"/>
      <c r="J590" s="302"/>
      <c r="R590" s="188"/>
      <c r="T590" s="295"/>
      <c r="Y590" s="188"/>
      <c r="AA590" s="295"/>
      <c r="AF590" s="188"/>
      <c r="AH590" s="295"/>
      <c r="AI590" s="188"/>
      <c r="AJ590" s="188"/>
      <c r="AK590" s="188"/>
      <c r="AL590" s="188"/>
      <c r="AM590" s="188"/>
      <c r="AN590" s="188"/>
      <c r="AO590" s="299"/>
      <c r="AS590" s="296"/>
      <c r="AW590" s="296"/>
      <c r="BN590" s="296"/>
      <c r="BO590" s="296"/>
      <c r="CY590" s="294"/>
      <c r="DF590" s="296"/>
    </row>
    <row r="591" spans="2:110" ht="13">
      <c r="B591" s="294"/>
      <c r="F591" s="296"/>
      <c r="J591" s="302"/>
      <c r="R591" s="188"/>
      <c r="T591" s="295"/>
      <c r="Y591" s="188"/>
      <c r="AA591" s="295"/>
      <c r="AF591" s="188"/>
      <c r="AH591" s="295"/>
      <c r="AI591" s="188"/>
      <c r="AJ591" s="188"/>
      <c r="AK591" s="188"/>
      <c r="AL591" s="188"/>
      <c r="AM591" s="188"/>
      <c r="AN591" s="188"/>
      <c r="AO591" s="299"/>
      <c r="AS591" s="296"/>
      <c r="AW591" s="296"/>
      <c r="BN591" s="296"/>
      <c r="BO591" s="296"/>
      <c r="CY591" s="294"/>
      <c r="DF591" s="296"/>
    </row>
    <row r="592" spans="2:110" ht="13">
      <c r="B592" s="294"/>
      <c r="F592" s="296"/>
      <c r="J592" s="302"/>
      <c r="R592" s="188"/>
      <c r="T592" s="295"/>
      <c r="Y592" s="188"/>
      <c r="AA592" s="295"/>
      <c r="AF592" s="188"/>
      <c r="AH592" s="295"/>
      <c r="AI592" s="188"/>
      <c r="AJ592" s="188"/>
      <c r="AK592" s="188"/>
      <c r="AL592" s="188"/>
      <c r="AM592" s="188"/>
      <c r="AN592" s="188"/>
      <c r="AO592" s="299"/>
      <c r="AS592" s="296"/>
      <c r="AW592" s="296"/>
      <c r="BN592" s="296"/>
      <c r="BO592" s="296"/>
      <c r="CY592" s="294"/>
      <c r="DF592" s="296"/>
    </row>
    <row r="593" spans="2:110" ht="13">
      <c r="B593" s="294"/>
      <c r="F593" s="296"/>
      <c r="J593" s="302"/>
      <c r="R593" s="188"/>
      <c r="T593" s="295"/>
      <c r="Y593" s="188"/>
      <c r="AA593" s="295"/>
      <c r="AF593" s="188"/>
      <c r="AH593" s="295"/>
      <c r="AI593" s="188"/>
      <c r="AJ593" s="188"/>
      <c r="AK593" s="188"/>
      <c r="AL593" s="188"/>
      <c r="AM593" s="188"/>
      <c r="AN593" s="188"/>
      <c r="AO593" s="299"/>
      <c r="AS593" s="296"/>
      <c r="AW593" s="296"/>
      <c r="BN593" s="296"/>
      <c r="BO593" s="296"/>
      <c r="CY593" s="294"/>
      <c r="DF593" s="296"/>
    </row>
    <row r="594" spans="2:110" ht="13">
      <c r="B594" s="294"/>
      <c r="F594" s="296"/>
      <c r="J594" s="302"/>
      <c r="R594" s="188"/>
      <c r="T594" s="295"/>
      <c r="Y594" s="188"/>
      <c r="AA594" s="295"/>
      <c r="AF594" s="188"/>
      <c r="AH594" s="295"/>
      <c r="AI594" s="188"/>
      <c r="AJ594" s="188"/>
      <c r="AK594" s="188"/>
      <c r="AL594" s="188"/>
      <c r="AM594" s="188"/>
      <c r="AN594" s="188"/>
      <c r="AO594" s="299"/>
      <c r="AS594" s="296"/>
      <c r="AW594" s="296"/>
      <c r="BN594" s="296"/>
      <c r="BO594" s="296"/>
      <c r="CY594" s="294"/>
      <c r="DF594" s="296"/>
    </row>
    <row r="595" spans="2:110" ht="13">
      <c r="B595" s="294"/>
      <c r="F595" s="296"/>
      <c r="J595" s="302"/>
      <c r="R595" s="188"/>
      <c r="T595" s="295"/>
      <c r="Y595" s="188"/>
      <c r="AA595" s="295"/>
      <c r="AF595" s="188"/>
      <c r="AH595" s="295"/>
      <c r="AI595" s="188"/>
      <c r="AJ595" s="188"/>
      <c r="AK595" s="188"/>
      <c r="AL595" s="188"/>
      <c r="AM595" s="188"/>
      <c r="AN595" s="188"/>
      <c r="AO595" s="299"/>
      <c r="AS595" s="296"/>
      <c r="AW595" s="296"/>
      <c r="BN595" s="296"/>
      <c r="BO595" s="296"/>
      <c r="CY595" s="294"/>
      <c r="DF595" s="296"/>
    </row>
    <row r="596" spans="2:110" ht="13">
      <c r="B596" s="294"/>
      <c r="F596" s="296"/>
      <c r="J596" s="302"/>
      <c r="R596" s="188"/>
      <c r="T596" s="295"/>
      <c r="Y596" s="188"/>
      <c r="AA596" s="295"/>
      <c r="AF596" s="188"/>
      <c r="AH596" s="295"/>
      <c r="AI596" s="188"/>
      <c r="AJ596" s="188"/>
      <c r="AK596" s="188"/>
      <c r="AL596" s="188"/>
      <c r="AM596" s="188"/>
      <c r="AN596" s="188"/>
      <c r="AO596" s="299"/>
      <c r="AS596" s="296"/>
      <c r="AW596" s="296"/>
      <c r="BN596" s="296"/>
      <c r="BO596" s="296"/>
      <c r="CY596" s="294"/>
      <c r="DF596" s="296"/>
    </row>
    <row r="597" spans="2:110" ht="13">
      <c r="B597" s="294"/>
      <c r="F597" s="296"/>
      <c r="J597" s="302"/>
      <c r="R597" s="188"/>
      <c r="T597" s="295"/>
      <c r="Y597" s="188"/>
      <c r="AA597" s="295"/>
      <c r="AF597" s="188"/>
      <c r="AH597" s="295"/>
      <c r="AI597" s="188"/>
      <c r="AJ597" s="188"/>
      <c r="AK597" s="188"/>
      <c r="AL597" s="188"/>
      <c r="AM597" s="188"/>
      <c r="AN597" s="188"/>
      <c r="AO597" s="299"/>
      <c r="AS597" s="296"/>
      <c r="AW597" s="296"/>
      <c r="BN597" s="296"/>
      <c r="BO597" s="296"/>
      <c r="CY597" s="294"/>
      <c r="DF597" s="296"/>
    </row>
    <row r="598" spans="2:110" ht="13">
      <c r="B598" s="294"/>
      <c r="F598" s="296"/>
      <c r="J598" s="302"/>
      <c r="R598" s="188"/>
      <c r="T598" s="295"/>
      <c r="Y598" s="188"/>
      <c r="AA598" s="295"/>
      <c r="AF598" s="188"/>
      <c r="AH598" s="295"/>
      <c r="AI598" s="188"/>
      <c r="AJ598" s="188"/>
      <c r="AK598" s="188"/>
      <c r="AL598" s="188"/>
      <c r="AM598" s="188"/>
      <c r="AN598" s="188"/>
      <c r="AO598" s="299"/>
      <c r="AS598" s="296"/>
      <c r="AW598" s="296"/>
      <c r="BN598" s="296"/>
      <c r="BO598" s="296"/>
      <c r="CY598" s="294"/>
      <c r="DF598" s="296"/>
    </row>
    <row r="599" spans="2:110" ht="13">
      <c r="B599" s="294"/>
      <c r="F599" s="296"/>
      <c r="J599" s="302"/>
      <c r="R599" s="188"/>
      <c r="T599" s="295"/>
      <c r="Y599" s="188"/>
      <c r="AA599" s="295"/>
      <c r="AF599" s="188"/>
      <c r="AH599" s="295"/>
      <c r="AI599" s="188"/>
      <c r="AJ599" s="188"/>
      <c r="AK599" s="188"/>
      <c r="AL599" s="188"/>
      <c r="AM599" s="188"/>
      <c r="AN599" s="188"/>
      <c r="AO599" s="299"/>
      <c r="AS599" s="296"/>
      <c r="AW599" s="296"/>
      <c r="BN599" s="296"/>
      <c r="BO599" s="296"/>
      <c r="CY599" s="294"/>
      <c r="DF599" s="296"/>
    </row>
    <row r="600" spans="2:110" ht="13">
      <c r="B600" s="294"/>
      <c r="F600" s="296"/>
      <c r="J600" s="302"/>
      <c r="R600" s="188"/>
      <c r="T600" s="295"/>
      <c r="Y600" s="188"/>
      <c r="AA600" s="295"/>
      <c r="AF600" s="188"/>
      <c r="AH600" s="295"/>
      <c r="AI600" s="188"/>
      <c r="AJ600" s="188"/>
      <c r="AK600" s="188"/>
      <c r="AL600" s="188"/>
      <c r="AM600" s="188"/>
      <c r="AN600" s="188"/>
      <c r="AO600" s="299"/>
      <c r="AS600" s="296"/>
      <c r="AW600" s="296"/>
      <c r="BN600" s="296"/>
      <c r="BO600" s="296"/>
      <c r="CY600" s="294"/>
      <c r="DF600" s="296"/>
    </row>
    <row r="601" spans="2:110" ht="13">
      <c r="B601" s="294"/>
      <c r="F601" s="296"/>
      <c r="J601" s="302"/>
      <c r="R601" s="188"/>
      <c r="T601" s="295"/>
      <c r="Y601" s="188"/>
      <c r="AA601" s="295"/>
      <c r="AF601" s="188"/>
      <c r="AH601" s="295"/>
      <c r="AI601" s="188"/>
      <c r="AJ601" s="188"/>
      <c r="AK601" s="188"/>
      <c r="AL601" s="188"/>
      <c r="AM601" s="188"/>
      <c r="AN601" s="188"/>
      <c r="AO601" s="299"/>
      <c r="AS601" s="296"/>
      <c r="AW601" s="296"/>
      <c r="BN601" s="296"/>
      <c r="BO601" s="296"/>
      <c r="CY601" s="294"/>
      <c r="DF601" s="296"/>
    </row>
    <row r="602" spans="2:110" ht="13">
      <c r="B602" s="294"/>
      <c r="F602" s="296"/>
      <c r="J602" s="302"/>
      <c r="R602" s="188"/>
      <c r="T602" s="295"/>
      <c r="Y602" s="188"/>
      <c r="AA602" s="295"/>
      <c r="AF602" s="188"/>
      <c r="AH602" s="295"/>
      <c r="AI602" s="188"/>
      <c r="AJ602" s="188"/>
      <c r="AK602" s="188"/>
      <c r="AL602" s="188"/>
      <c r="AM602" s="188"/>
      <c r="AN602" s="188"/>
      <c r="AO602" s="299"/>
      <c r="AS602" s="296"/>
      <c r="AW602" s="296"/>
      <c r="BN602" s="296"/>
      <c r="BO602" s="296"/>
      <c r="CY602" s="294"/>
      <c r="DF602" s="296"/>
    </row>
    <row r="603" spans="2:110" ht="13">
      <c r="B603" s="294"/>
      <c r="F603" s="296"/>
      <c r="J603" s="302"/>
      <c r="R603" s="188"/>
      <c r="T603" s="295"/>
      <c r="Y603" s="188"/>
      <c r="AA603" s="295"/>
      <c r="AF603" s="188"/>
      <c r="AH603" s="295"/>
      <c r="AI603" s="188"/>
      <c r="AJ603" s="188"/>
      <c r="AK603" s="188"/>
      <c r="AL603" s="188"/>
      <c r="AM603" s="188"/>
      <c r="AN603" s="188"/>
      <c r="AO603" s="299"/>
      <c r="AS603" s="296"/>
      <c r="AW603" s="296"/>
      <c r="BN603" s="296"/>
      <c r="BO603" s="296"/>
      <c r="CY603" s="294"/>
      <c r="DF603" s="296"/>
    </row>
    <row r="604" spans="2:110" ht="13">
      <c r="B604" s="294"/>
      <c r="F604" s="296"/>
      <c r="J604" s="302"/>
      <c r="R604" s="188"/>
      <c r="T604" s="295"/>
      <c r="Y604" s="188"/>
      <c r="AA604" s="295"/>
      <c r="AF604" s="188"/>
      <c r="AH604" s="295"/>
      <c r="AI604" s="188"/>
      <c r="AJ604" s="188"/>
      <c r="AK604" s="188"/>
      <c r="AL604" s="188"/>
      <c r="AM604" s="188"/>
      <c r="AN604" s="188"/>
      <c r="AO604" s="299"/>
      <c r="AS604" s="296"/>
      <c r="AW604" s="296"/>
      <c r="BN604" s="296"/>
      <c r="BO604" s="296"/>
      <c r="CY604" s="294"/>
      <c r="DF604" s="296"/>
    </row>
    <row r="605" spans="2:110" ht="13">
      <c r="B605" s="294"/>
      <c r="F605" s="296"/>
      <c r="J605" s="302"/>
      <c r="R605" s="188"/>
      <c r="T605" s="295"/>
      <c r="Y605" s="188"/>
      <c r="AA605" s="295"/>
      <c r="AF605" s="188"/>
      <c r="AH605" s="295"/>
      <c r="AI605" s="188"/>
      <c r="AJ605" s="188"/>
      <c r="AK605" s="188"/>
      <c r="AL605" s="188"/>
      <c r="AM605" s="188"/>
      <c r="AN605" s="188"/>
      <c r="AO605" s="299"/>
      <c r="AS605" s="296"/>
      <c r="AW605" s="296"/>
      <c r="BN605" s="296"/>
      <c r="BO605" s="296"/>
      <c r="CY605" s="294"/>
      <c r="DF605" s="296"/>
    </row>
    <row r="606" spans="2:110" ht="13">
      <c r="B606" s="294"/>
      <c r="F606" s="296"/>
      <c r="J606" s="302"/>
      <c r="R606" s="188"/>
      <c r="T606" s="295"/>
      <c r="Y606" s="188"/>
      <c r="AA606" s="295"/>
      <c r="AF606" s="188"/>
      <c r="AH606" s="295"/>
      <c r="AI606" s="188"/>
      <c r="AJ606" s="188"/>
      <c r="AK606" s="188"/>
      <c r="AL606" s="188"/>
      <c r="AM606" s="188"/>
      <c r="AN606" s="188"/>
      <c r="AO606" s="299"/>
      <c r="AS606" s="296"/>
      <c r="AW606" s="296"/>
      <c r="BN606" s="296"/>
      <c r="BO606" s="296"/>
      <c r="CY606" s="294"/>
      <c r="DF606" s="296"/>
    </row>
    <row r="607" spans="2:110" ht="13">
      <c r="B607" s="294"/>
      <c r="F607" s="296"/>
      <c r="J607" s="302"/>
      <c r="R607" s="188"/>
      <c r="T607" s="295"/>
      <c r="Y607" s="188"/>
      <c r="AA607" s="295"/>
      <c r="AF607" s="188"/>
      <c r="AH607" s="295"/>
      <c r="AI607" s="188"/>
      <c r="AJ607" s="188"/>
      <c r="AK607" s="188"/>
      <c r="AL607" s="188"/>
      <c r="AM607" s="188"/>
      <c r="AN607" s="188"/>
      <c r="AO607" s="299"/>
      <c r="AS607" s="296"/>
      <c r="AW607" s="296"/>
      <c r="BN607" s="296"/>
      <c r="BO607" s="296"/>
      <c r="CY607" s="294"/>
      <c r="DF607" s="296"/>
    </row>
    <row r="608" spans="2:110" ht="13">
      <c r="B608" s="294"/>
      <c r="F608" s="296"/>
      <c r="J608" s="302"/>
      <c r="R608" s="188"/>
      <c r="T608" s="295"/>
      <c r="Y608" s="188"/>
      <c r="AA608" s="295"/>
      <c r="AF608" s="188"/>
      <c r="AH608" s="295"/>
      <c r="AI608" s="188"/>
      <c r="AJ608" s="188"/>
      <c r="AK608" s="188"/>
      <c r="AL608" s="188"/>
      <c r="AM608" s="188"/>
      <c r="AN608" s="188"/>
      <c r="AO608" s="299"/>
      <c r="AS608" s="296"/>
      <c r="AW608" s="296"/>
      <c r="BN608" s="296"/>
      <c r="BO608" s="296"/>
      <c r="CY608" s="294"/>
      <c r="DF608" s="296"/>
    </row>
    <row r="609" spans="2:110" ht="13">
      <c r="B609" s="294"/>
      <c r="F609" s="296"/>
      <c r="J609" s="302"/>
      <c r="R609" s="188"/>
      <c r="T609" s="295"/>
      <c r="Y609" s="188"/>
      <c r="AA609" s="295"/>
      <c r="AF609" s="188"/>
      <c r="AH609" s="295"/>
      <c r="AI609" s="188"/>
      <c r="AJ609" s="188"/>
      <c r="AK609" s="188"/>
      <c r="AL609" s="188"/>
      <c r="AM609" s="188"/>
      <c r="AN609" s="188"/>
      <c r="AO609" s="299"/>
      <c r="AS609" s="296"/>
      <c r="AW609" s="296"/>
      <c r="BN609" s="296"/>
      <c r="BO609" s="296"/>
      <c r="CY609" s="294"/>
      <c r="DF609" s="296"/>
    </row>
    <row r="610" spans="2:110" ht="13">
      <c r="B610" s="294"/>
      <c r="F610" s="296"/>
      <c r="J610" s="302"/>
      <c r="R610" s="188"/>
      <c r="T610" s="295"/>
      <c r="Y610" s="188"/>
      <c r="AA610" s="295"/>
      <c r="AF610" s="188"/>
      <c r="AH610" s="295"/>
      <c r="AI610" s="188"/>
      <c r="AJ610" s="188"/>
      <c r="AK610" s="188"/>
      <c r="AL610" s="188"/>
      <c r="AM610" s="188"/>
      <c r="AN610" s="188"/>
      <c r="AO610" s="299"/>
      <c r="AS610" s="296"/>
      <c r="AW610" s="296"/>
      <c r="BN610" s="296"/>
      <c r="BO610" s="296"/>
      <c r="CY610" s="294"/>
      <c r="DF610" s="296"/>
    </row>
    <row r="611" spans="2:110" ht="13">
      <c r="B611" s="294"/>
      <c r="F611" s="296"/>
      <c r="J611" s="302"/>
      <c r="R611" s="188"/>
      <c r="T611" s="295"/>
      <c r="Y611" s="188"/>
      <c r="AA611" s="295"/>
      <c r="AF611" s="188"/>
      <c r="AH611" s="295"/>
      <c r="AI611" s="188"/>
      <c r="AJ611" s="188"/>
      <c r="AK611" s="188"/>
      <c r="AL611" s="188"/>
      <c r="AM611" s="188"/>
      <c r="AN611" s="188"/>
      <c r="AO611" s="299"/>
      <c r="AS611" s="296"/>
      <c r="AW611" s="296"/>
      <c r="BN611" s="296"/>
      <c r="BO611" s="296"/>
      <c r="CY611" s="294"/>
      <c r="DF611" s="296"/>
    </row>
    <row r="612" spans="2:110" ht="13">
      <c r="B612" s="294"/>
      <c r="F612" s="296"/>
      <c r="J612" s="302"/>
      <c r="R612" s="188"/>
      <c r="T612" s="295"/>
      <c r="Y612" s="188"/>
      <c r="AA612" s="295"/>
      <c r="AF612" s="188"/>
      <c r="AH612" s="295"/>
      <c r="AI612" s="188"/>
      <c r="AJ612" s="188"/>
      <c r="AK612" s="188"/>
      <c r="AL612" s="188"/>
      <c r="AM612" s="188"/>
      <c r="AN612" s="188"/>
      <c r="AO612" s="299"/>
      <c r="AS612" s="296"/>
      <c r="AW612" s="296"/>
      <c r="BN612" s="296"/>
      <c r="BO612" s="296"/>
      <c r="CY612" s="294"/>
      <c r="DF612" s="296"/>
    </row>
    <row r="613" spans="2:110" ht="13">
      <c r="B613" s="294"/>
      <c r="F613" s="296"/>
      <c r="J613" s="302"/>
      <c r="R613" s="188"/>
      <c r="T613" s="295"/>
      <c r="Y613" s="188"/>
      <c r="AA613" s="295"/>
      <c r="AF613" s="188"/>
      <c r="AH613" s="295"/>
      <c r="AI613" s="188"/>
      <c r="AJ613" s="188"/>
      <c r="AK613" s="188"/>
      <c r="AL613" s="188"/>
      <c r="AM613" s="188"/>
      <c r="AN613" s="188"/>
      <c r="AO613" s="299"/>
      <c r="AS613" s="296"/>
      <c r="AW613" s="296"/>
      <c r="BN613" s="296"/>
      <c r="BO613" s="296"/>
      <c r="CY613" s="294"/>
      <c r="DF613" s="296"/>
    </row>
    <row r="614" spans="2:110" ht="13">
      <c r="B614" s="294"/>
      <c r="F614" s="296"/>
      <c r="J614" s="302"/>
      <c r="R614" s="188"/>
      <c r="T614" s="295"/>
      <c r="Y614" s="188"/>
      <c r="AA614" s="295"/>
      <c r="AF614" s="188"/>
      <c r="AH614" s="295"/>
      <c r="AI614" s="188"/>
      <c r="AJ614" s="188"/>
      <c r="AK614" s="188"/>
      <c r="AL614" s="188"/>
      <c r="AM614" s="188"/>
      <c r="AN614" s="188"/>
      <c r="AO614" s="299"/>
      <c r="AS614" s="296"/>
      <c r="AW614" s="296"/>
      <c r="BN614" s="296"/>
      <c r="BO614" s="296"/>
      <c r="CY614" s="294"/>
      <c r="DF614" s="296"/>
    </row>
    <row r="615" spans="2:110" ht="13">
      <c r="B615" s="294"/>
      <c r="F615" s="296"/>
      <c r="J615" s="302"/>
      <c r="R615" s="188"/>
      <c r="T615" s="295"/>
      <c r="Y615" s="188"/>
      <c r="AA615" s="295"/>
      <c r="AF615" s="188"/>
      <c r="AH615" s="295"/>
      <c r="AI615" s="188"/>
      <c r="AJ615" s="188"/>
      <c r="AK615" s="188"/>
      <c r="AL615" s="188"/>
      <c r="AM615" s="188"/>
      <c r="AN615" s="188"/>
      <c r="AO615" s="299"/>
      <c r="AS615" s="296"/>
      <c r="AW615" s="296"/>
      <c r="BN615" s="296"/>
      <c r="BO615" s="296"/>
      <c r="CY615" s="294"/>
      <c r="DF615" s="296"/>
    </row>
    <row r="616" spans="2:110" ht="13">
      <c r="B616" s="294"/>
      <c r="F616" s="296"/>
      <c r="J616" s="302"/>
      <c r="R616" s="188"/>
      <c r="T616" s="295"/>
      <c r="Y616" s="188"/>
      <c r="AA616" s="295"/>
      <c r="AF616" s="188"/>
      <c r="AH616" s="295"/>
      <c r="AI616" s="188"/>
      <c r="AJ616" s="188"/>
      <c r="AK616" s="188"/>
      <c r="AL616" s="188"/>
      <c r="AM616" s="188"/>
      <c r="AN616" s="188"/>
      <c r="AO616" s="299"/>
      <c r="AS616" s="296"/>
      <c r="AW616" s="296"/>
      <c r="BN616" s="296"/>
      <c r="BO616" s="296"/>
      <c r="CY616" s="294"/>
      <c r="DF616" s="296"/>
    </row>
    <row r="617" spans="2:110" ht="13">
      <c r="B617" s="294"/>
      <c r="F617" s="296"/>
      <c r="J617" s="302"/>
      <c r="R617" s="188"/>
      <c r="T617" s="295"/>
      <c r="Y617" s="188"/>
      <c r="AA617" s="295"/>
      <c r="AF617" s="188"/>
      <c r="AH617" s="295"/>
      <c r="AI617" s="188"/>
      <c r="AJ617" s="188"/>
      <c r="AK617" s="188"/>
      <c r="AL617" s="188"/>
      <c r="AM617" s="188"/>
      <c r="AN617" s="188"/>
      <c r="AO617" s="299"/>
      <c r="AS617" s="296"/>
      <c r="AW617" s="296"/>
      <c r="BN617" s="296"/>
      <c r="BO617" s="296"/>
      <c r="CY617" s="294"/>
      <c r="DF617" s="296"/>
    </row>
    <row r="618" spans="2:110" ht="13">
      <c r="B618" s="294"/>
      <c r="F618" s="296"/>
      <c r="J618" s="302"/>
      <c r="R618" s="188"/>
      <c r="T618" s="295"/>
      <c r="Y618" s="188"/>
      <c r="AA618" s="295"/>
      <c r="AF618" s="188"/>
      <c r="AH618" s="295"/>
      <c r="AI618" s="188"/>
      <c r="AJ618" s="188"/>
      <c r="AK618" s="188"/>
      <c r="AL618" s="188"/>
      <c r="AM618" s="188"/>
      <c r="AN618" s="188"/>
      <c r="AO618" s="299"/>
      <c r="AS618" s="296"/>
      <c r="AW618" s="296"/>
      <c r="BN618" s="296"/>
      <c r="BO618" s="296"/>
      <c r="CY618" s="294"/>
      <c r="DF618" s="296"/>
    </row>
    <row r="619" spans="2:110" ht="13">
      <c r="B619" s="294"/>
      <c r="F619" s="296"/>
      <c r="J619" s="302"/>
      <c r="R619" s="188"/>
      <c r="T619" s="295"/>
      <c r="Y619" s="188"/>
      <c r="AA619" s="295"/>
      <c r="AF619" s="188"/>
      <c r="AH619" s="295"/>
      <c r="AI619" s="188"/>
      <c r="AJ619" s="188"/>
      <c r="AK619" s="188"/>
      <c r="AL619" s="188"/>
      <c r="AM619" s="188"/>
      <c r="AN619" s="188"/>
      <c r="AO619" s="299"/>
      <c r="AS619" s="296"/>
      <c r="AW619" s="296"/>
      <c r="BN619" s="296"/>
      <c r="BO619" s="296"/>
      <c r="CY619" s="294"/>
      <c r="DF619" s="296"/>
    </row>
    <row r="620" spans="2:110" ht="13">
      <c r="B620" s="294"/>
      <c r="F620" s="296"/>
      <c r="J620" s="302"/>
      <c r="R620" s="188"/>
      <c r="T620" s="295"/>
      <c r="Y620" s="188"/>
      <c r="AA620" s="295"/>
      <c r="AF620" s="188"/>
      <c r="AH620" s="295"/>
      <c r="AI620" s="188"/>
      <c r="AJ620" s="188"/>
      <c r="AK620" s="188"/>
      <c r="AL620" s="188"/>
      <c r="AM620" s="188"/>
      <c r="AN620" s="188"/>
      <c r="AO620" s="299"/>
      <c r="AS620" s="296"/>
      <c r="AW620" s="296"/>
      <c r="BN620" s="296"/>
      <c r="BO620" s="296"/>
      <c r="CY620" s="294"/>
      <c r="DF620" s="296"/>
    </row>
    <row r="621" spans="2:110" ht="13">
      <c r="B621" s="294"/>
      <c r="F621" s="296"/>
      <c r="J621" s="302"/>
      <c r="R621" s="188"/>
      <c r="T621" s="295"/>
      <c r="Y621" s="188"/>
      <c r="AA621" s="295"/>
      <c r="AF621" s="188"/>
      <c r="AH621" s="295"/>
      <c r="AI621" s="188"/>
      <c r="AJ621" s="188"/>
      <c r="AK621" s="188"/>
      <c r="AL621" s="188"/>
      <c r="AM621" s="188"/>
      <c r="AN621" s="188"/>
      <c r="AO621" s="299"/>
      <c r="AS621" s="296"/>
      <c r="AW621" s="296"/>
      <c r="BN621" s="296"/>
      <c r="BO621" s="296"/>
      <c r="CY621" s="294"/>
      <c r="DF621" s="296"/>
    </row>
    <row r="622" spans="2:110" ht="13">
      <c r="B622" s="294"/>
      <c r="F622" s="296"/>
      <c r="J622" s="302"/>
      <c r="R622" s="188"/>
      <c r="T622" s="295"/>
      <c r="Y622" s="188"/>
      <c r="AA622" s="295"/>
      <c r="AF622" s="188"/>
      <c r="AH622" s="295"/>
      <c r="AI622" s="188"/>
      <c r="AJ622" s="188"/>
      <c r="AK622" s="188"/>
      <c r="AL622" s="188"/>
      <c r="AM622" s="188"/>
      <c r="AN622" s="188"/>
      <c r="AO622" s="299"/>
      <c r="AS622" s="296"/>
      <c r="AW622" s="296"/>
      <c r="BN622" s="296"/>
      <c r="BO622" s="296"/>
      <c r="CY622" s="294"/>
      <c r="DF622" s="296"/>
    </row>
    <row r="623" spans="2:110" ht="13">
      <c r="B623" s="294"/>
      <c r="F623" s="296"/>
      <c r="J623" s="302"/>
      <c r="R623" s="188"/>
      <c r="T623" s="295"/>
      <c r="Y623" s="188"/>
      <c r="AA623" s="295"/>
      <c r="AF623" s="188"/>
      <c r="AH623" s="295"/>
      <c r="AI623" s="188"/>
      <c r="AJ623" s="188"/>
      <c r="AK623" s="188"/>
      <c r="AL623" s="188"/>
      <c r="AM623" s="188"/>
      <c r="AN623" s="188"/>
      <c r="AO623" s="299"/>
      <c r="AS623" s="296"/>
      <c r="AW623" s="296"/>
      <c r="BN623" s="296"/>
      <c r="BO623" s="296"/>
      <c r="CY623" s="294"/>
      <c r="DF623" s="296"/>
    </row>
    <row r="624" spans="2:110" ht="13">
      <c r="B624" s="294"/>
      <c r="F624" s="296"/>
      <c r="J624" s="302"/>
      <c r="R624" s="188"/>
      <c r="T624" s="295"/>
      <c r="Y624" s="188"/>
      <c r="AA624" s="295"/>
      <c r="AF624" s="188"/>
      <c r="AH624" s="295"/>
      <c r="AI624" s="188"/>
      <c r="AJ624" s="188"/>
      <c r="AK624" s="188"/>
      <c r="AL624" s="188"/>
      <c r="AM624" s="188"/>
      <c r="AN624" s="188"/>
      <c r="AO624" s="299"/>
      <c r="AS624" s="296"/>
      <c r="AW624" s="296"/>
      <c r="BN624" s="296"/>
      <c r="BO624" s="296"/>
      <c r="CY624" s="294"/>
      <c r="DF624" s="296"/>
    </row>
    <row r="625" spans="2:110" ht="13">
      <c r="B625" s="294"/>
      <c r="F625" s="296"/>
      <c r="J625" s="302"/>
      <c r="R625" s="188"/>
      <c r="T625" s="295"/>
      <c r="Y625" s="188"/>
      <c r="AA625" s="295"/>
      <c r="AF625" s="188"/>
      <c r="AH625" s="295"/>
      <c r="AI625" s="188"/>
      <c r="AJ625" s="188"/>
      <c r="AK625" s="188"/>
      <c r="AL625" s="188"/>
      <c r="AM625" s="188"/>
      <c r="AN625" s="188"/>
      <c r="AO625" s="299"/>
      <c r="AS625" s="296"/>
      <c r="AW625" s="296"/>
      <c r="BN625" s="296"/>
      <c r="BO625" s="296"/>
      <c r="CY625" s="294"/>
      <c r="DF625" s="296"/>
    </row>
    <row r="626" spans="2:110" ht="13">
      <c r="B626" s="294"/>
      <c r="F626" s="296"/>
      <c r="J626" s="302"/>
      <c r="R626" s="188"/>
      <c r="T626" s="295"/>
      <c r="Y626" s="188"/>
      <c r="AA626" s="295"/>
      <c r="AF626" s="188"/>
      <c r="AH626" s="295"/>
      <c r="AI626" s="188"/>
      <c r="AJ626" s="188"/>
      <c r="AK626" s="188"/>
      <c r="AL626" s="188"/>
      <c r="AM626" s="188"/>
      <c r="AN626" s="188"/>
      <c r="AO626" s="299"/>
      <c r="AS626" s="296"/>
      <c r="AW626" s="296"/>
      <c r="BN626" s="296"/>
      <c r="BO626" s="296"/>
      <c r="CY626" s="294"/>
      <c r="DF626" s="296"/>
    </row>
    <row r="627" spans="2:110" ht="13">
      <c r="B627" s="294"/>
      <c r="F627" s="296"/>
      <c r="J627" s="302"/>
      <c r="R627" s="188"/>
      <c r="T627" s="295"/>
      <c r="Y627" s="188"/>
      <c r="AA627" s="295"/>
      <c r="AF627" s="188"/>
      <c r="AH627" s="295"/>
      <c r="AI627" s="188"/>
      <c r="AJ627" s="188"/>
      <c r="AK627" s="188"/>
      <c r="AL627" s="188"/>
      <c r="AM627" s="188"/>
      <c r="AN627" s="188"/>
      <c r="AO627" s="299"/>
      <c r="AS627" s="296"/>
      <c r="AW627" s="296"/>
      <c r="BN627" s="296"/>
      <c r="BO627" s="296"/>
      <c r="CY627" s="294"/>
      <c r="DF627" s="296"/>
    </row>
    <row r="628" spans="2:110" ht="13">
      <c r="B628" s="294"/>
      <c r="F628" s="296"/>
      <c r="J628" s="302"/>
      <c r="R628" s="188"/>
      <c r="T628" s="295"/>
      <c r="Y628" s="188"/>
      <c r="AA628" s="295"/>
      <c r="AF628" s="188"/>
      <c r="AH628" s="295"/>
      <c r="AI628" s="188"/>
      <c r="AJ628" s="188"/>
      <c r="AK628" s="188"/>
      <c r="AL628" s="188"/>
      <c r="AM628" s="188"/>
      <c r="AN628" s="188"/>
      <c r="AO628" s="299"/>
      <c r="AS628" s="296"/>
      <c r="AW628" s="296"/>
      <c r="BN628" s="296"/>
      <c r="BO628" s="296"/>
      <c r="CY628" s="294"/>
      <c r="DF628" s="296"/>
    </row>
    <row r="629" spans="2:110" ht="13">
      <c r="B629" s="294"/>
      <c r="F629" s="296"/>
      <c r="J629" s="302"/>
      <c r="R629" s="188"/>
      <c r="T629" s="295"/>
      <c r="Y629" s="188"/>
      <c r="AA629" s="295"/>
      <c r="AF629" s="188"/>
      <c r="AH629" s="295"/>
      <c r="AI629" s="188"/>
      <c r="AJ629" s="188"/>
      <c r="AK629" s="188"/>
      <c r="AL629" s="188"/>
      <c r="AM629" s="188"/>
      <c r="AN629" s="188"/>
      <c r="AO629" s="299"/>
      <c r="AS629" s="296"/>
      <c r="AW629" s="296"/>
      <c r="BN629" s="296"/>
      <c r="BO629" s="296"/>
      <c r="CY629" s="294"/>
      <c r="DF629" s="296"/>
    </row>
    <row r="630" spans="2:110" ht="13">
      <c r="B630" s="294"/>
      <c r="F630" s="296"/>
      <c r="J630" s="302"/>
      <c r="R630" s="188"/>
      <c r="T630" s="295"/>
      <c r="Y630" s="188"/>
      <c r="AA630" s="295"/>
      <c r="AF630" s="188"/>
      <c r="AH630" s="295"/>
      <c r="AI630" s="188"/>
      <c r="AJ630" s="188"/>
      <c r="AK630" s="188"/>
      <c r="AL630" s="188"/>
      <c r="AM630" s="188"/>
      <c r="AN630" s="188"/>
      <c r="AO630" s="299"/>
      <c r="AS630" s="296"/>
      <c r="AW630" s="296"/>
      <c r="BN630" s="296"/>
      <c r="BO630" s="296"/>
      <c r="CY630" s="294"/>
      <c r="DF630" s="296"/>
    </row>
    <row r="631" spans="2:110" ht="13">
      <c r="B631" s="294"/>
      <c r="F631" s="296"/>
      <c r="J631" s="302"/>
      <c r="R631" s="188"/>
      <c r="T631" s="295"/>
      <c r="Y631" s="188"/>
      <c r="AA631" s="295"/>
      <c r="AF631" s="188"/>
      <c r="AH631" s="295"/>
      <c r="AI631" s="188"/>
      <c r="AJ631" s="188"/>
      <c r="AK631" s="188"/>
      <c r="AL631" s="188"/>
      <c r="AM631" s="188"/>
      <c r="AN631" s="188"/>
      <c r="AO631" s="299"/>
      <c r="AS631" s="296"/>
      <c r="AW631" s="296"/>
      <c r="BN631" s="296"/>
      <c r="BO631" s="296"/>
      <c r="CY631" s="294"/>
      <c r="DF631" s="296"/>
    </row>
    <row r="632" spans="2:110" ht="13">
      <c r="B632" s="294"/>
      <c r="F632" s="296"/>
      <c r="J632" s="302"/>
      <c r="R632" s="188"/>
      <c r="T632" s="295"/>
      <c r="Y632" s="188"/>
      <c r="AA632" s="295"/>
      <c r="AF632" s="188"/>
      <c r="AH632" s="295"/>
      <c r="AI632" s="188"/>
      <c r="AJ632" s="188"/>
      <c r="AK632" s="188"/>
      <c r="AL632" s="188"/>
      <c r="AM632" s="188"/>
      <c r="AN632" s="188"/>
      <c r="AO632" s="299"/>
      <c r="AS632" s="296"/>
      <c r="AW632" s="296"/>
      <c r="BN632" s="296"/>
      <c r="BO632" s="296"/>
      <c r="CY632" s="294"/>
      <c r="DF632" s="296"/>
    </row>
    <row r="633" spans="2:110" ht="13">
      <c r="B633" s="294"/>
      <c r="F633" s="296"/>
      <c r="J633" s="302"/>
      <c r="R633" s="188"/>
      <c r="T633" s="295"/>
      <c r="Y633" s="188"/>
      <c r="AA633" s="295"/>
      <c r="AF633" s="188"/>
      <c r="AH633" s="295"/>
      <c r="AI633" s="188"/>
      <c r="AJ633" s="188"/>
      <c r="AK633" s="188"/>
      <c r="AL633" s="188"/>
      <c r="AM633" s="188"/>
      <c r="AN633" s="188"/>
      <c r="AO633" s="299"/>
      <c r="AS633" s="296"/>
      <c r="AW633" s="296"/>
      <c r="BN633" s="296"/>
      <c r="BO633" s="296"/>
      <c r="CY633" s="294"/>
      <c r="DF633" s="296"/>
    </row>
    <row r="634" spans="2:110" ht="13">
      <c r="B634" s="294"/>
      <c r="F634" s="296"/>
      <c r="J634" s="302"/>
      <c r="R634" s="188"/>
      <c r="T634" s="295"/>
      <c r="Y634" s="188"/>
      <c r="AA634" s="295"/>
      <c r="AF634" s="188"/>
      <c r="AH634" s="295"/>
      <c r="AI634" s="188"/>
      <c r="AJ634" s="188"/>
      <c r="AK634" s="188"/>
      <c r="AL634" s="188"/>
      <c r="AM634" s="188"/>
      <c r="AN634" s="188"/>
      <c r="AO634" s="299"/>
      <c r="AS634" s="296"/>
      <c r="AW634" s="296"/>
      <c r="BN634" s="296"/>
      <c r="BO634" s="296"/>
      <c r="CY634" s="294"/>
      <c r="DF634" s="296"/>
    </row>
    <row r="635" spans="2:110" ht="13">
      <c r="B635" s="294"/>
      <c r="F635" s="296"/>
      <c r="J635" s="302"/>
      <c r="R635" s="188"/>
      <c r="T635" s="295"/>
      <c r="Y635" s="188"/>
      <c r="AA635" s="295"/>
      <c r="AF635" s="188"/>
      <c r="AH635" s="295"/>
      <c r="AI635" s="188"/>
      <c r="AJ635" s="188"/>
      <c r="AK635" s="188"/>
      <c r="AL635" s="188"/>
      <c r="AM635" s="188"/>
      <c r="AN635" s="188"/>
      <c r="AO635" s="299"/>
      <c r="AS635" s="296"/>
      <c r="AW635" s="296"/>
      <c r="BN635" s="296"/>
      <c r="BO635" s="296"/>
      <c r="CY635" s="294"/>
      <c r="DF635" s="296"/>
    </row>
    <row r="636" spans="2:110" ht="13">
      <c r="B636" s="294"/>
      <c r="F636" s="296"/>
      <c r="J636" s="302"/>
      <c r="R636" s="188"/>
      <c r="T636" s="295"/>
      <c r="Y636" s="188"/>
      <c r="AA636" s="295"/>
      <c r="AF636" s="188"/>
      <c r="AH636" s="295"/>
      <c r="AI636" s="188"/>
      <c r="AJ636" s="188"/>
      <c r="AK636" s="188"/>
      <c r="AL636" s="188"/>
      <c r="AM636" s="188"/>
      <c r="AN636" s="188"/>
      <c r="AO636" s="299"/>
      <c r="AS636" s="296"/>
      <c r="AW636" s="296"/>
      <c r="BN636" s="296"/>
      <c r="BO636" s="296"/>
      <c r="CY636" s="294"/>
      <c r="DF636" s="296"/>
    </row>
    <row r="637" spans="2:110" ht="13">
      <c r="B637" s="294"/>
      <c r="F637" s="296"/>
      <c r="J637" s="302"/>
      <c r="R637" s="188"/>
      <c r="T637" s="295"/>
      <c r="Y637" s="188"/>
      <c r="AA637" s="295"/>
      <c r="AF637" s="188"/>
      <c r="AH637" s="295"/>
      <c r="AI637" s="188"/>
      <c r="AJ637" s="188"/>
      <c r="AK637" s="188"/>
      <c r="AL637" s="188"/>
      <c r="AM637" s="188"/>
      <c r="AN637" s="188"/>
      <c r="AO637" s="299"/>
      <c r="AS637" s="296"/>
      <c r="AW637" s="296"/>
      <c r="BN637" s="296"/>
      <c r="BO637" s="296"/>
      <c r="CY637" s="294"/>
      <c r="DF637" s="296"/>
    </row>
    <row r="638" spans="2:110" ht="13">
      <c r="B638" s="294"/>
      <c r="F638" s="296"/>
      <c r="J638" s="302"/>
      <c r="R638" s="188"/>
      <c r="T638" s="295"/>
      <c r="Y638" s="188"/>
      <c r="AA638" s="295"/>
      <c r="AF638" s="188"/>
      <c r="AH638" s="295"/>
      <c r="AI638" s="188"/>
      <c r="AJ638" s="188"/>
      <c r="AK638" s="188"/>
      <c r="AL638" s="188"/>
      <c r="AM638" s="188"/>
      <c r="AN638" s="188"/>
      <c r="AO638" s="299"/>
      <c r="AS638" s="296"/>
      <c r="AW638" s="296"/>
      <c r="BN638" s="296"/>
      <c r="BO638" s="296"/>
      <c r="CY638" s="294"/>
      <c r="DF638" s="296"/>
    </row>
    <row r="639" spans="2:110" ht="13">
      <c r="B639" s="294"/>
      <c r="F639" s="296"/>
      <c r="J639" s="302"/>
      <c r="R639" s="188"/>
      <c r="T639" s="295"/>
      <c r="Y639" s="188"/>
      <c r="AA639" s="295"/>
      <c r="AF639" s="188"/>
      <c r="AH639" s="295"/>
      <c r="AI639" s="188"/>
      <c r="AJ639" s="188"/>
      <c r="AK639" s="188"/>
      <c r="AL639" s="188"/>
      <c r="AM639" s="188"/>
      <c r="AN639" s="188"/>
      <c r="AO639" s="299"/>
      <c r="AS639" s="296"/>
      <c r="AW639" s="296"/>
      <c r="BN639" s="296"/>
      <c r="BO639" s="296"/>
      <c r="CY639" s="294"/>
      <c r="DF639" s="296"/>
    </row>
    <row r="640" spans="2:110" ht="13">
      <c r="B640" s="294"/>
      <c r="F640" s="296"/>
      <c r="J640" s="302"/>
      <c r="R640" s="188"/>
      <c r="T640" s="295"/>
      <c r="Y640" s="188"/>
      <c r="AA640" s="295"/>
      <c r="AF640" s="188"/>
      <c r="AH640" s="295"/>
      <c r="AI640" s="188"/>
      <c r="AJ640" s="188"/>
      <c r="AK640" s="188"/>
      <c r="AL640" s="188"/>
      <c r="AM640" s="188"/>
      <c r="AN640" s="188"/>
      <c r="AO640" s="299"/>
      <c r="AS640" s="296"/>
      <c r="AW640" s="296"/>
      <c r="BN640" s="296"/>
      <c r="BO640" s="296"/>
      <c r="CY640" s="294"/>
      <c r="DF640" s="296"/>
    </row>
    <row r="641" spans="2:110" ht="13">
      <c r="B641" s="294"/>
      <c r="F641" s="296"/>
      <c r="J641" s="302"/>
      <c r="R641" s="188"/>
      <c r="T641" s="295"/>
      <c r="Y641" s="188"/>
      <c r="AA641" s="295"/>
      <c r="AF641" s="188"/>
      <c r="AH641" s="295"/>
      <c r="AI641" s="188"/>
      <c r="AJ641" s="188"/>
      <c r="AK641" s="188"/>
      <c r="AL641" s="188"/>
      <c r="AM641" s="188"/>
      <c r="AN641" s="188"/>
      <c r="AO641" s="299"/>
      <c r="AS641" s="296"/>
      <c r="AW641" s="296"/>
      <c r="BN641" s="296"/>
      <c r="BO641" s="296"/>
      <c r="CY641" s="294"/>
      <c r="DF641" s="296"/>
    </row>
    <row r="642" spans="2:110" ht="13">
      <c r="B642" s="294"/>
      <c r="F642" s="296"/>
      <c r="J642" s="302"/>
      <c r="R642" s="188"/>
      <c r="T642" s="295"/>
      <c r="Y642" s="188"/>
      <c r="AA642" s="295"/>
      <c r="AF642" s="188"/>
      <c r="AH642" s="295"/>
      <c r="AI642" s="188"/>
      <c r="AJ642" s="188"/>
      <c r="AK642" s="188"/>
      <c r="AL642" s="188"/>
      <c r="AM642" s="188"/>
      <c r="AN642" s="188"/>
      <c r="AO642" s="299"/>
      <c r="AS642" s="296"/>
      <c r="AW642" s="296"/>
      <c r="BN642" s="296"/>
      <c r="BO642" s="296"/>
      <c r="CY642" s="294"/>
      <c r="DF642" s="296"/>
    </row>
    <row r="643" spans="2:110" ht="13">
      <c r="B643" s="294"/>
      <c r="F643" s="296"/>
      <c r="J643" s="302"/>
      <c r="R643" s="188"/>
      <c r="T643" s="295"/>
      <c r="Y643" s="188"/>
      <c r="AA643" s="295"/>
      <c r="AF643" s="188"/>
      <c r="AH643" s="295"/>
      <c r="AI643" s="188"/>
      <c r="AJ643" s="188"/>
      <c r="AK643" s="188"/>
      <c r="AL643" s="188"/>
      <c r="AM643" s="188"/>
      <c r="AN643" s="188"/>
      <c r="AO643" s="299"/>
      <c r="AS643" s="296"/>
      <c r="AW643" s="296"/>
      <c r="BN643" s="296"/>
      <c r="BO643" s="296"/>
      <c r="CY643" s="294"/>
      <c r="DF643" s="296"/>
    </row>
    <row r="644" spans="2:110" ht="13">
      <c r="B644" s="294"/>
      <c r="F644" s="296"/>
      <c r="J644" s="302"/>
      <c r="R644" s="188"/>
      <c r="T644" s="295"/>
      <c r="Y644" s="188"/>
      <c r="AA644" s="295"/>
      <c r="AF644" s="188"/>
      <c r="AH644" s="295"/>
      <c r="AI644" s="188"/>
      <c r="AJ644" s="188"/>
      <c r="AK644" s="188"/>
      <c r="AL644" s="188"/>
      <c r="AM644" s="188"/>
      <c r="AN644" s="188"/>
      <c r="AO644" s="299"/>
      <c r="AS644" s="296"/>
      <c r="AW644" s="296"/>
      <c r="BN644" s="296"/>
      <c r="BO644" s="296"/>
      <c r="CY644" s="294"/>
      <c r="DF644" s="296"/>
    </row>
    <row r="645" spans="2:110" ht="13">
      <c r="B645" s="294"/>
      <c r="F645" s="296"/>
      <c r="J645" s="302"/>
      <c r="R645" s="188"/>
      <c r="T645" s="295"/>
      <c r="Y645" s="188"/>
      <c r="AA645" s="295"/>
      <c r="AF645" s="188"/>
      <c r="AH645" s="295"/>
      <c r="AI645" s="188"/>
      <c r="AJ645" s="188"/>
      <c r="AK645" s="188"/>
      <c r="AL645" s="188"/>
      <c r="AM645" s="188"/>
      <c r="AN645" s="188"/>
      <c r="AO645" s="299"/>
      <c r="AS645" s="296"/>
      <c r="AW645" s="296"/>
      <c r="BN645" s="296"/>
      <c r="BO645" s="296"/>
      <c r="CY645" s="294"/>
      <c r="DF645" s="296"/>
    </row>
    <row r="646" spans="2:110" ht="13">
      <c r="B646" s="294"/>
      <c r="F646" s="296"/>
      <c r="J646" s="302"/>
      <c r="R646" s="188"/>
      <c r="T646" s="295"/>
      <c r="Y646" s="188"/>
      <c r="AA646" s="295"/>
      <c r="AF646" s="188"/>
      <c r="AH646" s="295"/>
      <c r="AI646" s="188"/>
      <c r="AJ646" s="188"/>
      <c r="AK646" s="188"/>
      <c r="AL646" s="188"/>
      <c r="AM646" s="188"/>
      <c r="AN646" s="188"/>
      <c r="AO646" s="299"/>
      <c r="AS646" s="296"/>
      <c r="AW646" s="296"/>
      <c r="BN646" s="296"/>
      <c r="BO646" s="296"/>
      <c r="CY646" s="294"/>
      <c r="DF646" s="296"/>
    </row>
    <row r="647" spans="2:110" ht="13">
      <c r="B647" s="294"/>
      <c r="F647" s="296"/>
      <c r="J647" s="302"/>
      <c r="R647" s="188"/>
      <c r="T647" s="295"/>
      <c r="Y647" s="188"/>
      <c r="AA647" s="295"/>
      <c r="AF647" s="188"/>
      <c r="AH647" s="295"/>
      <c r="AI647" s="188"/>
      <c r="AJ647" s="188"/>
      <c r="AK647" s="188"/>
      <c r="AL647" s="188"/>
      <c r="AM647" s="188"/>
      <c r="AN647" s="188"/>
      <c r="AO647" s="299"/>
      <c r="AS647" s="296"/>
      <c r="AW647" s="296"/>
      <c r="BN647" s="296"/>
      <c r="BO647" s="296"/>
      <c r="CY647" s="294"/>
      <c r="DF647" s="296"/>
    </row>
    <row r="648" spans="2:110" ht="13">
      <c r="B648" s="294"/>
      <c r="F648" s="296"/>
      <c r="J648" s="302"/>
      <c r="R648" s="188"/>
      <c r="T648" s="295"/>
      <c r="Y648" s="188"/>
      <c r="AA648" s="295"/>
      <c r="AF648" s="188"/>
      <c r="AH648" s="295"/>
      <c r="AI648" s="188"/>
      <c r="AJ648" s="188"/>
      <c r="AK648" s="188"/>
      <c r="AL648" s="188"/>
      <c r="AM648" s="188"/>
      <c r="AN648" s="188"/>
      <c r="AO648" s="299"/>
      <c r="AS648" s="296"/>
      <c r="AW648" s="296"/>
      <c r="BN648" s="296"/>
      <c r="BO648" s="296"/>
      <c r="CY648" s="294"/>
      <c r="DF648" s="296"/>
    </row>
    <row r="649" spans="2:110" ht="13">
      <c r="B649" s="294"/>
      <c r="F649" s="296"/>
      <c r="J649" s="302"/>
      <c r="R649" s="188"/>
      <c r="T649" s="295"/>
      <c r="Y649" s="188"/>
      <c r="AA649" s="295"/>
      <c r="AF649" s="188"/>
      <c r="AH649" s="295"/>
      <c r="AI649" s="188"/>
      <c r="AJ649" s="188"/>
      <c r="AK649" s="188"/>
      <c r="AL649" s="188"/>
      <c r="AM649" s="188"/>
      <c r="AN649" s="188"/>
      <c r="AO649" s="299"/>
      <c r="AS649" s="296"/>
      <c r="AW649" s="296"/>
      <c r="BN649" s="296"/>
      <c r="BO649" s="296"/>
      <c r="CY649" s="294"/>
      <c r="DF649" s="296"/>
    </row>
    <row r="650" spans="2:110" ht="13">
      <c r="B650" s="294"/>
      <c r="F650" s="296"/>
      <c r="J650" s="302"/>
      <c r="R650" s="188"/>
      <c r="T650" s="295"/>
      <c r="Y650" s="188"/>
      <c r="AA650" s="295"/>
      <c r="AF650" s="188"/>
      <c r="AH650" s="295"/>
      <c r="AI650" s="188"/>
      <c r="AJ650" s="188"/>
      <c r="AK650" s="188"/>
      <c r="AL650" s="188"/>
      <c r="AM650" s="188"/>
      <c r="AN650" s="188"/>
      <c r="AO650" s="299"/>
      <c r="AS650" s="296"/>
      <c r="AW650" s="296"/>
      <c r="BN650" s="296"/>
      <c r="BO650" s="296"/>
      <c r="CY650" s="294"/>
      <c r="DF650" s="296"/>
    </row>
    <row r="651" spans="2:110" ht="13">
      <c r="B651" s="294"/>
      <c r="F651" s="296"/>
      <c r="J651" s="302"/>
      <c r="R651" s="188"/>
      <c r="T651" s="295"/>
      <c r="Y651" s="188"/>
      <c r="AA651" s="295"/>
      <c r="AF651" s="188"/>
      <c r="AH651" s="295"/>
      <c r="AI651" s="188"/>
      <c r="AJ651" s="188"/>
      <c r="AK651" s="188"/>
      <c r="AL651" s="188"/>
      <c r="AM651" s="188"/>
      <c r="AN651" s="188"/>
      <c r="AO651" s="299"/>
      <c r="AS651" s="296"/>
      <c r="AW651" s="296"/>
      <c r="BN651" s="296"/>
      <c r="BO651" s="296"/>
      <c r="CY651" s="294"/>
      <c r="DF651" s="296"/>
    </row>
    <row r="652" spans="2:110" ht="13">
      <c r="B652" s="294"/>
      <c r="F652" s="296"/>
      <c r="J652" s="302"/>
      <c r="R652" s="188"/>
      <c r="T652" s="295"/>
      <c r="Y652" s="188"/>
      <c r="AA652" s="295"/>
      <c r="AF652" s="188"/>
      <c r="AH652" s="295"/>
      <c r="AI652" s="188"/>
      <c r="AJ652" s="188"/>
      <c r="AK652" s="188"/>
      <c r="AL652" s="188"/>
      <c r="AM652" s="188"/>
      <c r="AN652" s="188"/>
      <c r="AO652" s="299"/>
      <c r="AS652" s="296"/>
      <c r="AW652" s="296"/>
      <c r="BN652" s="296"/>
      <c r="BO652" s="296"/>
      <c r="CY652" s="294"/>
      <c r="DF652" s="296"/>
    </row>
    <row r="653" spans="2:110" ht="13">
      <c r="B653" s="294"/>
      <c r="F653" s="296"/>
      <c r="J653" s="302"/>
      <c r="R653" s="188"/>
      <c r="T653" s="295"/>
      <c r="Y653" s="188"/>
      <c r="AA653" s="295"/>
      <c r="AF653" s="188"/>
      <c r="AH653" s="295"/>
      <c r="AI653" s="188"/>
      <c r="AJ653" s="188"/>
      <c r="AK653" s="188"/>
      <c r="AL653" s="188"/>
      <c r="AM653" s="188"/>
      <c r="AN653" s="188"/>
      <c r="AO653" s="299"/>
      <c r="AS653" s="296"/>
      <c r="AW653" s="296"/>
      <c r="BN653" s="296"/>
      <c r="BO653" s="296"/>
      <c r="CY653" s="294"/>
      <c r="DF653" s="296"/>
    </row>
    <row r="654" spans="2:110" ht="13">
      <c r="B654" s="294"/>
      <c r="F654" s="296"/>
      <c r="J654" s="302"/>
      <c r="R654" s="188"/>
      <c r="T654" s="295"/>
      <c r="Y654" s="188"/>
      <c r="AA654" s="295"/>
      <c r="AF654" s="188"/>
      <c r="AH654" s="295"/>
      <c r="AI654" s="188"/>
      <c r="AJ654" s="188"/>
      <c r="AK654" s="188"/>
      <c r="AL654" s="188"/>
      <c r="AM654" s="188"/>
      <c r="AN654" s="188"/>
      <c r="AO654" s="299"/>
      <c r="AS654" s="296"/>
      <c r="AW654" s="296"/>
      <c r="BN654" s="296"/>
      <c r="BO654" s="296"/>
      <c r="CY654" s="294"/>
      <c r="DF654" s="296"/>
    </row>
    <row r="655" spans="2:110" ht="13">
      <c r="B655" s="294"/>
      <c r="F655" s="296"/>
      <c r="J655" s="302"/>
      <c r="R655" s="188"/>
      <c r="T655" s="295"/>
      <c r="Y655" s="188"/>
      <c r="AA655" s="295"/>
      <c r="AF655" s="188"/>
      <c r="AH655" s="295"/>
      <c r="AI655" s="188"/>
      <c r="AJ655" s="188"/>
      <c r="AK655" s="188"/>
      <c r="AL655" s="188"/>
      <c r="AM655" s="188"/>
      <c r="AN655" s="188"/>
      <c r="AO655" s="299"/>
      <c r="AS655" s="296"/>
      <c r="AW655" s="296"/>
      <c r="BN655" s="296"/>
      <c r="BO655" s="296"/>
      <c r="CY655" s="294"/>
      <c r="DF655" s="296"/>
    </row>
    <row r="656" spans="2:110" ht="13">
      <c r="B656" s="294"/>
      <c r="F656" s="296"/>
      <c r="J656" s="302"/>
      <c r="R656" s="188"/>
      <c r="T656" s="295"/>
      <c r="Y656" s="188"/>
      <c r="AA656" s="295"/>
      <c r="AF656" s="188"/>
      <c r="AH656" s="295"/>
      <c r="AI656" s="188"/>
      <c r="AJ656" s="188"/>
      <c r="AK656" s="188"/>
      <c r="AL656" s="188"/>
      <c r="AM656" s="188"/>
      <c r="AN656" s="188"/>
      <c r="AO656" s="299"/>
      <c r="AS656" s="296"/>
      <c r="AW656" s="296"/>
      <c r="BN656" s="296"/>
      <c r="BO656" s="296"/>
      <c r="CY656" s="294"/>
      <c r="DF656" s="296"/>
    </row>
    <row r="657" spans="2:110" ht="13">
      <c r="B657" s="294"/>
      <c r="F657" s="296"/>
      <c r="J657" s="302"/>
      <c r="R657" s="188"/>
      <c r="T657" s="295"/>
      <c r="Y657" s="188"/>
      <c r="AA657" s="295"/>
      <c r="AF657" s="188"/>
      <c r="AH657" s="295"/>
      <c r="AI657" s="188"/>
      <c r="AJ657" s="188"/>
      <c r="AK657" s="188"/>
      <c r="AL657" s="188"/>
      <c r="AM657" s="188"/>
      <c r="AN657" s="188"/>
      <c r="AO657" s="299"/>
      <c r="AS657" s="296"/>
      <c r="AW657" s="296"/>
      <c r="BN657" s="296"/>
      <c r="BO657" s="296"/>
      <c r="CY657" s="294"/>
      <c r="DF657" s="296"/>
    </row>
    <row r="658" spans="2:110" ht="13">
      <c r="B658" s="294"/>
      <c r="F658" s="296"/>
      <c r="J658" s="302"/>
      <c r="R658" s="188"/>
      <c r="T658" s="295"/>
      <c r="Y658" s="188"/>
      <c r="AA658" s="295"/>
      <c r="AF658" s="188"/>
      <c r="AH658" s="295"/>
      <c r="AI658" s="188"/>
      <c r="AJ658" s="188"/>
      <c r="AK658" s="188"/>
      <c r="AL658" s="188"/>
      <c r="AM658" s="188"/>
      <c r="AN658" s="188"/>
      <c r="AO658" s="299"/>
      <c r="AS658" s="296"/>
      <c r="AW658" s="296"/>
      <c r="BN658" s="296"/>
      <c r="BO658" s="296"/>
      <c r="CY658" s="294"/>
      <c r="DF658" s="296"/>
    </row>
    <row r="659" spans="2:110" ht="13">
      <c r="B659" s="294"/>
      <c r="F659" s="296"/>
      <c r="J659" s="302"/>
      <c r="R659" s="188"/>
      <c r="T659" s="295"/>
      <c r="Y659" s="188"/>
      <c r="AA659" s="295"/>
      <c r="AF659" s="188"/>
      <c r="AH659" s="295"/>
      <c r="AI659" s="188"/>
      <c r="AJ659" s="188"/>
      <c r="AK659" s="188"/>
      <c r="AL659" s="188"/>
      <c r="AM659" s="188"/>
      <c r="AN659" s="188"/>
      <c r="AO659" s="299"/>
      <c r="AS659" s="296"/>
      <c r="AW659" s="296"/>
      <c r="BN659" s="296"/>
      <c r="BO659" s="296"/>
      <c r="CY659" s="294"/>
      <c r="DF659" s="296"/>
    </row>
    <row r="660" spans="2:110" ht="13">
      <c r="B660" s="294"/>
      <c r="F660" s="296"/>
      <c r="J660" s="302"/>
      <c r="R660" s="188"/>
      <c r="T660" s="295"/>
      <c r="Y660" s="188"/>
      <c r="AA660" s="295"/>
      <c r="AF660" s="188"/>
      <c r="AH660" s="295"/>
      <c r="AI660" s="188"/>
      <c r="AJ660" s="188"/>
      <c r="AK660" s="188"/>
      <c r="AL660" s="188"/>
      <c r="AM660" s="188"/>
      <c r="AN660" s="188"/>
      <c r="AO660" s="299"/>
      <c r="AS660" s="296"/>
      <c r="AW660" s="296"/>
      <c r="BN660" s="296"/>
      <c r="BO660" s="296"/>
      <c r="CY660" s="294"/>
      <c r="DF660" s="296"/>
    </row>
    <row r="661" spans="2:110" ht="13">
      <c r="B661" s="294"/>
      <c r="F661" s="296"/>
      <c r="J661" s="302"/>
      <c r="R661" s="188"/>
      <c r="T661" s="295"/>
      <c r="Y661" s="188"/>
      <c r="AA661" s="295"/>
      <c r="AF661" s="188"/>
      <c r="AH661" s="295"/>
      <c r="AI661" s="188"/>
      <c r="AJ661" s="188"/>
      <c r="AK661" s="188"/>
      <c r="AL661" s="188"/>
      <c r="AM661" s="188"/>
      <c r="AN661" s="188"/>
      <c r="AO661" s="299"/>
      <c r="AS661" s="296"/>
      <c r="AW661" s="296"/>
      <c r="BN661" s="296"/>
      <c r="BO661" s="296"/>
      <c r="CY661" s="294"/>
      <c r="DF661" s="296"/>
    </row>
    <row r="662" spans="2:110" ht="13">
      <c r="B662" s="294"/>
      <c r="F662" s="296"/>
      <c r="J662" s="302"/>
      <c r="R662" s="188"/>
      <c r="T662" s="295"/>
      <c r="Y662" s="188"/>
      <c r="AA662" s="295"/>
      <c r="AF662" s="188"/>
      <c r="AH662" s="295"/>
      <c r="AI662" s="188"/>
      <c r="AJ662" s="188"/>
      <c r="AK662" s="188"/>
      <c r="AL662" s="188"/>
      <c r="AM662" s="188"/>
      <c r="AN662" s="188"/>
      <c r="AO662" s="299"/>
      <c r="AS662" s="296"/>
      <c r="AW662" s="296"/>
      <c r="BN662" s="296"/>
      <c r="BO662" s="296"/>
      <c r="CY662" s="294"/>
      <c r="DF662" s="296"/>
    </row>
    <row r="663" spans="2:110" ht="13">
      <c r="B663" s="294"/>
      <c r="F663" s="296"/>
      <c r="J663" s="302"/>
      <c r="R663" s="188"/>
      <c r="T663" s="295"/>
      <c r="Y663" s="188"/>
      <c r="AA663" s="295"/>
      <c r="AF663" s="188"/>
      <c r="AH663" s="295"/>
      <c r="AI663" s="188"/>
      <c r="AJ663" s="188"/>
      <c r="AK663" s="188"/>
      <c r="AL663" s="188"/>
      <c r="AM663" s="188"/>
      <c r="AN663" s="188"/>
      <c r="AO663" s="299"/>
      <c r="AS663" s="296"/>
      <c r="AW663" s="296"/>
      <c r="BN663" s="296"/>
      <c r="BO663" s="296"/>
      <c r="CY663" s="294"/>
      <c r="DF663" s="296"/>
    </row>
    <row r="664" spans="2:110" ht="13">
      <c r="B664" s="294"/>
      <c r="F664" s="296"/>
      <c r="J664" s="302"/>
      <c r="R664" s="188"/>
      <c r="T664" s="295"/>
      <c r="Y664" s="188"/>
      <c r="AA664" s="295"/>
      <c r="AF664" s="188"/>
      <c r="AH664" s="295"/>
      <c r="AI664" s="188"/>
      <c r="AJ664" s="188"/>
      <c r="AK664" s="188"/>
      <c r="AL664" s="188"/>
      <c r="AM664" s="188"/>
      <c r="AN664" s="188"/>
      <c r="AO664" s="299"/>
      <c r="AS664" s="296"/>
      <c r="AW664" s="296"/>
      <c r="BN664" s="296"/>
      <c r="BO664" s="296"/>
      <c r="CY664" s="294"/>
      <c r="DF664" s="296"/>
    </row>
    <row r="665" spans="2:110" ht="13">
      <c r="B665" s="294"/>
      <c r="F665" s="296"/>
      <c r="J665" s="302"/>
      <c r="R665" s="188"/>
      <c r="T665" s="295"/>
      <c r="Y665" s="188"/>
      <c r="AA665" s="295"/>
      <c r="AF665" s="188"/>
      <c r="AH665" s="295"/>
      <c r="AI665" s="188"/>
      <c r="AJ665" s="188"/>
      <c r="AK665" s="188"/>
      <c r="AL665" s="188"/>
      <c r="AM665" s="188"/>
      <c r="AN665" s="188"/>
      <c r="AO665" s="299"/>
      <c r="AS665" s="296"/>
      <c r="AW665" s="296"/>
      <c r="BN665" s="296"/>
      <c r="BO665" s="296"/>
      <c r="CY665" s="294"/>
      <c r="DF665" s="296"/>
    </row>
    <row r="666" spans="2:110" ht="13">
      <c r="B666" s="294"/>
      <c r="F666" s="296"/>
      <c r="J666" s="302"/>
      <c r="R666" s="188"/>
      <c r="T666" s="295"/>
      <c r="Y666" s="188"/>
      <c r="AA666" s="295"/>
      <c r="AF666" s="188"/>
      <c r="AH666" s="295"/>
      <c r="AI666" s="188"/>
      <c r="AJ666" s="188"/>
      <c r="AK666" s="188"/>
      <c r="AL666" s="188"/>
      <c r="AM666" s="188"/>
      <c r="AN666" s="188"/>
      <c r="AO666" s="299"/>
      <c r="AS666" s="296"/>
      <c r="AW666" s="296"/>
      <c r="BN666" s="296"/>
      <c r="BO666" s="296"/>
      <c r="CY666" s="294"/>
      <c r="DF666" s="296"/>
    </row>
    <row r="667" spans="2:110" ht="13">
      <c r="B667" s="294"/>
      <c r="F667" s="296"/>
      <c r="J667" s="302"/>
      <c r="R667" s="188"/>
      <c r="T667" s="295"/>
      <c r="Y667" s="188"/>
      <c r="AA667" s="295"/>
      <c r="AF667" s="188"/>
      <c r="AH667" s="295"/>
      <c r="AI667" s="188"/>
      <c r="AJ667" s="188"/>
      <c r="AK667" s="188"/>
      <c r="AL667" s="188"/>
      <c r="AM667" s="188"/>
      <c r="AN667" s="188"/>
      <c r="AO667" s="299"/>
      <c r="AS667" s="296"/>
      <c r="AW667" s="296"/>
      <c r="BN667" s="296"/>
      <c r="BO667" s="296"/>
      <c r="CY667" s="294"/>
      <c r="DF667" s="296"/>
    </row>
    <row r="668" spans="2:110" ht="13">
      <c r="B668" s="294"/>
      <c r="F668" s="296"/>
      <c r="J668" s="302"/>
      <c r="R668" s="188"/>
      <c r="T668" s="295"/>
      <c r="Y668" s="188"/>
      <c r="AA668" s="295"/>
      <c r="AF668" s="188"/>
      <c r="AH668" s="295"/>
      <c r="AI668" s="188"/>
      <c r="AJ668" s="188"/>
      <c r="AK668" s="188"/>
      <c r="AL668" s="188"/>
      <c r="AM668" s="188"/>
      <c r="AN668" s="188"/>
      <c r="AO668" s="299"/>
      <c r="AS668" s="296"/>
      <c r="AW668" s="296"/>
      <c r="BN668" s="296"/>
      <c r="BO668" s="296"/>
      <c r="CY668" s="294"/>
      <c r="DF668" s="296"/>
    </row>
    <row r="669" spans="2:110" ht="13">
      <c r="B669" s="294"/>
      <c r="F669" s="296"/>
      <c r="J669" s="302"/>
      <c r="R669" s="188"/>
      <c r="T669" s="295"/>
      <c r="Y669" s="188"/>
      <c r="AA669" s="295"/>
      <c r="AF669" s="188"/>
      <c r="AH669" s="295"/>
      <c r="AI669" s="188"/>
      <c r="AJ669" s="188"/>
      <c r="AK669" s="188"/>
      <c r="AL669" s="188"/>
      <c r="AM669" s="188"/>
      <c r="AN669" s="188"/>
      <c r="AO669" s="299"/>
      <c r="AS669" s="296"/>
      <c r="AW669" s="296"/>
      <c r="BN669" s="296"/>
      <c r="BO669" s="296"/>
      <c r="CY669" s="294"/>
      <c r="DF669" s="296"/>
    </row>
    <row r="670" spans="2:110" ht="13">
      <c r="B670" s="294"/>
      <c r="F670" s="296"/>
      <c r="J670" s="302"/>
      <c r="R670" s="188"/>
      <c r="T670" s="295"/>
      <c r="Y670" s="188"/>
      <c r="AA670" s="295"/>
      <c r="AF670" s="188"/>
      <c r="AH670" s="295"/>
      <c r="AI670" s="188"/>
      <c r="AJ670" s="188"/>
      <c r="AK670" s="188"/>
      <c r="AL670" s="188"/>
      <c r="AM670" s="188"/>
      <c r="AN670" s="188"/>
      <c r="AO670" s="299"/>
      <c r="AS670" s="296"/>
      <c r="AW670" s="296"/>
      <c r="BN670" s="296"/>
      <c r="BO670" s="296"/>
      <c r="CY670" s="294"/>
      <c r="DF670" s="296"/>
    </row>
    <row r="671" spans="2:110" ht="13">
      <c r="B671" s="294"/>
      <c r="F671" s="296"/>
      <c r="J671" s="302"/>
      <c r="R671" s="188"/>
      <c r="T671" s="295"/>
      <c r="Y671" s="188"/>
      <c r="AA671" s="295"/>
      <c r="AF671" s="188"/>
      <c r="AH671" s="295"/>
      <c r="AI671" s="188"/>
      <c r="AJ671" s="188"/>
      <c r="AK671" s="188"/>
      <c r="AL671" s="188"/>
      <c r="AM671" s="188"/>
      <c r="AN671" s="188"/>
      <c r="AO671" s="299"/>
      <c r="AS671" s="296"/>
      <c r="AW671" s="296"/>
      <c r="BN671" s="296"/>
      <c r="BO671" s="296"/>
      <c r="CY671" s="294"/>
      <c r="DF671" s="296"/>
    </row>
    <row r="672" spans="2:110" ht="13">
      <c r="B672" s="294"/>
      <c r="F672" s="296"/>
      <c r="J672" s="302"/>
      <c r="R672" s="188"/>
      <c r="T672" s="295"/>
      <c r="Y672" s="188"/>
      <c r="AA672" s="295"/>
      <c r="AF672" s="188"/>
      <c r="AH672" s="295"/>
      <c r="AI672" s="188"/>
      <c r="AJ672" s="188"/>
      <c r="AK672" s="188"/>
      <c r="AL672" s="188"/>
      <c r="AM672" s="188"/>
      <c r="AN672" s="188"/>
      <c r="AO672" s="299"/>
      <c r="AS672" s="296"/>
      <c r="AW672" s="296"/>
      <c r="BN672" s="296"/>
      <c r="BO672" s="296"/>
      <c r="CY672" s="294"/>
      <c r="DF672" s="296"/>
    </row>
    <row r="673" spans="2:110" ht="13">
      <c r="B673" s="294"/>
      <c r="F673" s="296"/>
      <c r="J673" s="302"/>
      <c r="R673" s="188"/>
      <c r="T673" s="295"/>
      <c r="Y673" s="188"/>
      <c r="AA673" s="295"/>
      <c r="AF673" s="188"/>
      <c r="AH673" s="295"/>
      <c r="AI673" s="188"/>
      <c r="AJ673" s="188"/>
      <c r="AK673" s="188"/>
      <c r="AL673" s="188"/>
      <c r="AM673" s="188"/>
      <c r="AN673" s="188"/>
      <c r="AO673" s="299"/>
      <c r="AS673" s="296"/>
      <c r="AW673" s="296"/>
      <c r="BN673" s="296"/>
      <c r="BO673" s="296"/>
      <c r="CY673" s="294"/>
      <c r="DF673" s="296"/>
    </row>
    <row r="674" spans="2:110" ht="13">
      <c r="B674" s="294"/>
      <c r="F674" s="296"/>
      <c r="J674" s="302"/>
      <c r="R674" s="188"/>
      <c r="T674" s="295"/>
      <c r="Y674" s="188"/>
      <c r="AA674" s="295"/>
      <c r="AF674" s="188"/>
      <c r="AH674" s="295"/>
      <c r="AI674" s="188"/>
      <c r="AJ674" s="188"/>
      <c r="AK674" s="188"/>
      <c r="AL674" s="188"/>
      <c r="AM674" s="188"/>
      <c r="AN674" s="188"/>
      <c r="AO674" s="299"/>
      <c r="AS674" s="296"/>
      <c r="AW674" s="296"/>
      <c r="BN674" s="296"/>
      <c r="BO674" s="296"/>
      <c r="CY674" s="294"/>
      <c r="DF674" s="296"/>
    </row>
    <row r="675" spans="2:110" ht="13">
      <c r="B675" s="294"/>
      <c r="F675" s="296"/>
      <c r="J675" s="302"/>
      <c r="R675" s="188"/>
      <c r="T675" s="295"/>
      <c r="Y675" s="188"/>
      <c r="AA675" s="295"/>
      <c r="AF675" s="188"/>
      <c r="AH675" s="295"/>
      <c r="AI675" s="188"/>
      <c r="AJ675" s="188"/>
      <c r="AK675" s="188"/>
      <c r="AL675" s="188"/>
      <c r="AM675" s="188"/>
      <c r="AN675" s="188"/>
      <c r="AO675" s="299"/>
      <c r="AS675" s="296"/>
      <c r="AW675" s="296"/>
      <c r="BN675" s="296"/>
      <c r="BO675" s="296"/>
      <c r="CY675" s="294"/>
      <c r="DF675" s="296"/>
    </row>
    <row r="676" spans="2:110" ht="13">
      <c r="B676" s="294"/>
      <c r="F676" s="296"/>
      <c r="J676" s="302"/>
      <c r="R676" s="188"/>
      <c r="T676" s="295"/>
      <c r="Y676" s="188"/>
      <c r="AA676" s="295"/>
      <c r="AF676" s="188"/>
      <c r="AH676" s="295"/>
      <c r="AI676" s="188"/>
      <c r="AJ676" s="188"/>
      <c r="AK676" s="188"/>
      <c r="AL676" s="188"/>
      <c r="AM676" s="188"/>
      <c r="AN676" s="188"/>
      <c r="AO676" s="299"/>
      <c r="AS676" s="296"/>
      <c r="AW676" s="296"/>
      <c r="BN676" s="296"/>
      <c r="BO676" s="296"/>
      <c r="CY676" s="294"/>
      <c r="DF676" s="296"/>
    </row>
    <row r="677" spans="2:110" ht="13">
      <c r="B677" s="294"/>
      <c r="F677" s="296"/>
      <c r="J677" s="302"/>
      <c r="R677" s="188"/>
      <c r="T677" s="295"/>
      <c r="Y677" s="188"/>
      <c r="AA677" s="295"/>
      <c r="AF677" s="188"/>
      <c r="AH677" s="295"/>
      <c r="AI677" s="188"/>
      <c r="AJ677" s="188"/>
      <c r="AK677" s="188"/>
      <c r="AL677" s="188"/>
      <c r="AM677" s="188"/>
      <c r="AN677" s="188"/>
      <c r="AO677" s="299"/>
      <c r="AS677" s="296"/>
      <c r="AW677" s="296"/>
      <c r="BN677" s="296"/>
      <c r="BO677" s="296"/>
      <c r="CY677" s="294"/>
      <c r="DF677" s="296"/>
    </row>
    <row r="678" spans="2:110" ht="13">
      <c r="B678" s="294"/>
      <c r="F678" s="296"/>
      <c r="J678" s="302"/>
      <c r="R678" s="188"/>
      <c r="T678" s="295"/>
      <c r="Y678" s="188"/>
      <c r="AA678" s="295"/>
      <c r="AF678" s="188"/>
      <c r="AH678" s="295"/>
      <c r="AI678" s="188"/>
      <c r="AJ678" s="188"/>
      <c r="AK678" s="188"/>
      <c r="AL678" s="188"/>
      <c r="AM678" s="188"/>
      <c r="AN678" s="188"/>
      <c r="AO678" s="299"/>
      <c r="AS678" s="296"/>
      <c r="AW678" s="296"/>
      <c r="BN678" s="296"/>
      <c r="BO678" s="296"/>
      <c r="CY678" s="294"/>
      <c r="DF678" s="296"/>
    </row>
    <row r="679" spans="2:110" ht="13">
      <c r="B679" s="294"/>
      <c r="F679" s="296"/>
      <c r="J679" s="302"/>
      <c r="R679" s="188"/>
      <c r="T679" s="295"/>
      <c r="Y679" s="188"/>
      <c r="AA679" s="295"/>
      <c r="AF679" s="188"/>
      <c r="AH679" s="295"/>
      <c r="AI679" s="188"/>
      <c r="AJ679" s="188"/>
      <c r="AK679" s="188"/>
      <c r="AL679" s="188"/>
      <c r="AM679" s="188"/>
      <c r="AN679" s="188"/>
      <c r="AO679" s="299"/>
      <c r="AS679" s="296"/>
      <c r="AW679" s="296"/>
      <c r="BN679" s="296"/>
      <c r="BO679" s="296"/>
      <c r="CY679" s="294"/>
      <c r="DF679" s="296"/>
    </row>
    <row r="680" spans="2:110" ht="13">
      <c r="B680" s="294"/>
      <c r="F680" s="296"/>
      <c r="J680" s="302"/>
      <c r="R680" s="188"/>
      <c r="T680" s="295"/>
      <c r="Y680" s="188"/>
      <c r="AA680" s="295"/>
      <c r="AF680" s="188"/>
      <c r="AH680" s="295"/>
      <c r="AI680" s="188"/>
      <c r="AJ680" s="188"/>
      <c r="AK680" s="188"/>
      <c r="AL680" s="188"/>
      <c r="AM680" s="188"/>
      <c r="AN680" s="188"/>
      <c r="AO680" s="299"/>
      <c r="AS680" s="296"/>
      <c r="AW680" s="296"/>
      <c r="BN680" s="296"/>
      <c r="BO680" s="296"/>
      <c r="CY680" s="294"/>
      <c r="DF680" s="296"/>
    </row>
    <row r="681" spans="2:110" ht="13">
      <c r="B681" s="294"/>
      <c r="F681" s="296"/>
      <c r="J681" s="302"/>
      <c r="R681" s="188"/>
      <c r="T681" s="295"/>
      <c r="Y681" s="188"/>
      <c r="AA681" s="295"/>
      <c r="AF681" s="188"/>
      <c r="AH681" s="295"/>
      <c r="AI681" s="188"/>
      <c r="AJ681" s="188"/>
      <c r="AK681" s="188"/>
      <c r="AL681" s="188"/>
      <c r="AM681" s="188"/>
      <c r="AN681" s="188"/>
      <c r="AO681" s="299"/>
      <c r="AS681" s="296"/>
      <c r="AW681" s="296"/>
      <c r="BN681" s="296"/>
      <c r="BO681" s="296"/>
      <c r="CY681" s="294"/>
      <c r="DF681" s="296"/>
    </row>
    <row r="682" spans="2:110" ht="13">
      <c r="B682" s="294"/>
      <c r="F682" s="296"/>
      <c r="J682" s="302"/>
      <c r="R682" s="188"/>
      <c r="T682" s="295"/>
      <c r="Y682" s="188"/>
      <c r="AA682" s="295"/>
      <c r="AF682" s="188"/>
      <c r="AH682" s="295"/>
      <c r="AI682" s="188"/>
      <c r="AJ682" s="188"/>
      <c r="AK682" s="188"/>
      <c r="AL682" s="188"/>
      <c r="AM682" s="188"/>
      <c r="AN682" s="188"/>
      <c r="AO682" s="299"/>
      <c r="AS682" s="296"/>
      <c r="AW682" s="296"/>
      <c r="BN682" s="296"/>
      <c r="BO682" s="296"/>
      <c r="CY682" s="294"/>
      <c r="DF682" s="296"/>
    </row>
    <row r="683" spans="2:110" ht="13">
      <c r="B683" s="294"/>
      <c r="F683" s="296"/>
      <c r="J683" s="302"/>
      <c r="R683" s="188"/>
      <c r="T683" s="295"/>
      <c r="Y683" s="188"/>
      <c r="AA683" s="295"/>
      <c r="AF683" s="188"/>
      <c r="AH683" s="295"/>
      <c r="AI683" s="188"/>
      <c r="AJ683" s="188"/>
      <c r="AK683" s="188"/>
      <c r="AL683" s="188"/>
      <c r="AM683" s="188"/>
      <c r="AN683" s="188"/>
      <c r="AO683" s="299"/>
      <c r="AS683" s="296"/>
      <c r="AW683" s="296"/>
      <c r="BN683" s="296"/>
      <c r="BO683" s="296"/>
      <c r="CY683" s="294"/>
      <c r="DF683" s="296"/>
    </row>
    <row r="684" spans="2:110" ht="13">
      <c r="B684" s="294"/>
      <c r="F684" s="296"/>
      <c r="J684" s="302"/>
      <c r="R684" s="188"/>
      <c r="T684" s="295"/>
      <c r="Y684" s="188"/>
      <c r="AA684" s="295"/>
      <c r="AF684" s="188"/>
      <c r="AH684" s="295"/>
      <c r="AI684" s="188"/>
      <c r="AJ684" s="188"/>
      <c r="AK684" s="188"/>
      <c r="AL684" s="188"/>
      <c r="AM684" s="188"/>
      <c r="AN684" s="188"/>
      <c r="AO684" s="299"/>
      <c r="AS684" s="296"/>
      <c r="AW684" s="296"/>
      <c r="BN684" s="296"/>
      <c r="BO684" s="296"/>
      <c r="CY684" s="294"/>
      <c r="DF684" s="296"/>
    </row>
    <row r="685" spans="2:110" ht="13">
      <c r="B685" s="294"/>
      <c r="F685" s="296"/>
      <c r="J685" s="302"/>
      <c r="R685" s="188"/>
      <c r="T685" s="295"/>
      <c r="Y685" s="188"/>
      <c r="AA685" s="295"/>
      <c r="AF685" s="188"/>
      <c r="AH685" s="295"/>
      <c r="AI685" s="188"/>
      <c r="AJ685" s="188"/>
      <c r="AK685" s="188"/>
      <c r="AL685" s="188"/>
      <c r="AM685" s="188"/>
      <c r="AN685" s="188"/>
      <c r="AO685" s="299"/>
      <c r="AS685" s="296"/>
      <c r="AW685" s="296"/>
      <c r="BN685" s="296"/>
      <c r="BO685" s="296"/>
      <c r="CY685" s="294"/>
      <c r="DF685" s="296"/>
    </row>
    <row r="686" spans="2:110" ht="13">
      <c r="B686" s="294"/>
      <c r="F686" s="296"/>
      <c r="J686" s="302"/>
      <c r="R686" s="188"/>
      <c r="T686" s="295"/>
      <c r="Y686" s="188"/>
      <c r="AA686" s="295"/>
      <c r="AF686" s="188"/>
      <c r="AH686" s="295"/>
      <c r="AI686" s="188"/>
      <c r="AJ686" s="188"/>
      <c r="AK686" s="188"/>
      <c r="AL686" s="188"/>
      <c r="AM686" s="188"/>
      <c r="AN686" s="188"/>
      <c r="AO686" s="299"/>
      <c r="AS686" s="296"/>
      <c r="AW686" s="296"/>
      <c r="BN686" s="296"/>
      <c r="BO686" s="296"/>
      <c r="CY686" s="294"/>
      <c r="DF686" s="296"/>
    </row>
    <row r="687" spans="2:110" ht="13">
      <c r="B687" s="294"/>
      <c r="F687" s="296"/>
      <c r="J687" s="302"/>
      <c r="R687" s="188"/>
      <c r="T687" s="295"/>
      <c r="Y687" s="188"/>
      <c r="AA687" s="295"/>
      <c r="AF687" s="188"/>
      <c r="AH687" s="295"/>
      <c r="AI687" s="188"/>
      <c r="AJ687" s="188"/>
      <c r="AK687" s="188"/>
      <c r="AL687" s="188"/>
      <c r="AM687" s="188"/>
      <c r="AN687" s="188"/>
      <c r="AO687" s="299"/>
      <c r="AS687" s="296"/>
      <c r="AW687" s="296"/>
      <c r="BN687" s="296"/>
      <c r="BO687" s="296"/>
      <c r="CY687" s="294"/>
      <c r="DF687" s="296"/>
    </row>
    <row r="688" spans="2:110" ht="13">
      <c r="B688" s="294"/>
      <c r="F688" s="296"/>
      <c r="J688" s="302"/>
      <c r="R688" s="188"/>
      <c r="T688" s="295"/>
      <c r="Y688" s="188"/>
      <c r="AA688" s="295"/>
      <c r="AF688" s="188"/>
      <c r="AH688" s="295"/>
      <c r="AI688" s="188"/>
      <c r="AJ688" s="188"/>
      <c r="AK688" s="188"/>
      <c r="AL688" s="188"/>
      <c r="AM688" s="188"/>
      <c r="AN688" s="188"/>
      <c r="AO688" s="299"/>
      <c r="AS688" s="296"/>
      <c r="AW688" s="296"/>
      <c r="BN688" s="296"/>
      <c r="BO688" s="296"/>
      <c r="CY688" s="294"/>
      <c r="DF688" s="296"/>
    </row>
    <row r="689" spans="2:110" ht="13">
      <c r="B689" s="294"/>
      <c r="F689" s="296"/>
      <c r="J689" s="302"/>
      <c r="R689" s="188"/>
      <c r="T689" s="295"/>
      <c r="Y689" s="188"/>
      <c r="AA689" s="295"/>
      <c r="AF689" s="188"/>
      <c r="AH689" s="295"/>
      <c r="AI689" s="188"/>
      <c r="AJ689" s="188"/>
      <c r="AK689" s="188"/>
      <c r="AL689" s="188"/>
      <c r="AM689" s="188"/>
      <c r="AN689" s="188"/>
      <c r="AO689" s="299"/>
      <c r="AS689" s="296"/>
      <c r="AW689" s="296"/>
      <c r="BN689" s="296"/>
      <c r="BO689" s="296"/>
      <c r="CY689" s="294"/>
      <c r="DF689" s="296"/>
    </row>
    <row r="690" spans="2:110" ht="13">
      <c r="B690" s="294"/>
      <c r="F690" s="296"/>
      <c r="J690" s="302"/>
      <c r="R690" s="188"/>
      <c r="T690" s="295"/>
      <c r="Y690" s="188"/>
      <c r="AA690" s="295"/>
      <c r="AF690" s="188"/>
      <c r="AH690" s="295"/>
      <c r="AI690" s="188"/>
      <c r="AJ690" s="188"/>
      <c r="AK690" s="188"/>
      <c r="AL690" s="188"/>
      <c r="AM690" s="188"/>
      <c r="AN690" s="188"/>
      <c r="AO690" s="299"/>
      <c r="AS690" s="296"/>
      <c r="AW690" s="296"/>
      <c r="BN690" s="296"/>
      <c r="BO690" s="296"/>
      <c r="CY690" s="294"/>
      <c r="DF690" s="296"/>
    </row>
    <row r="691" spans="2:110" ht="13">
      <c r="B691" s="294"/>
      <c r="F691" s="296"/>
      <c r="J691" s="302"/>
      <c r="R691" s="188"/>
      <c r="T691" s="295"/>
      <c r="Y691" s="188"/>
      <c r="AA691" s="295"/>
      <c r="AF691" s="188"/>
      <c r="AH691" s="295"/>
      <c r="AI691" s="188"/>
      <c r="AJ691" s="188"/>
      <c r="AK691" s="188"/>
      <c r="AL691" s="188"/>
      <c r="AM691" s="188"/>
      <c r="AN691" s="188"/>
      <c r="AO691" s="299"/>
      <c r="AS691" s="296"/>
      <c r="AW691" s="296"/>
      <c r="BN691" s="296"/>
      <c r="BO691" s="296"/>
      <c r="CY691" s="294"/>
      <c r="DF691" s="296"/>
    </row>
    <row r="692" spans="2:110" ht="13">
      <c r="B692" s="294"/>
      <c r="F692" s="296"/>
      <c r="J692" s="302"/>
      <c r="R692" s="188"/>
      <c r="T692" s="295"/>
      <c r="Y692" s="188"/>
      <c r="AA692" s="295"/>
      <c r="AF692" s="188"/>
      <c r="AH692" s="295"/>
      <c r="AI692" s="188"/>
      <c r="AJ692" s="188"/>
      <c r="AK692" s="188"/>
      <c r="AL692" s="188"/>
      <c r="AM692" s="188"/>
      <c r="AN692" s="188"/>
      <c r="AO692" s="299"/>
      <c r="AS692" s="296"/>
      <c r="AW692" s="296"/>
      <c r="BN692" s="296"/>
      <c r="BO692" s="296"/>
      <c r="CY692" s="294"/>
      <c r="DF692" s="296"/>
    </row>
    <row r="693" spans="2:110" ht="13">
      <c r="B693" s="294"/>
      <c r="F693" s="296"/>
      <c r="J693" s="302"/>
      <c r="R693" s="188"/>
      <c r="T693" s="295"/>
      <c r="Y693" s="188"/>
      <c r="AA693" s="295"/>
      <c r="AF693" s="188"/>
      <c r="AH693" s="295"/>
      <c r="AI693" s="188"/>
      <c r="AJ693" s="188"/>
      <c r="AK693" s="188"/>
      <c r="AL693" s="188"/>
      <c r="AM693" s="188"/>
      <c r="AN693" s="188"/>
      <c r="AO693" s="299"/>
      <c r="AS693" s="296"/>
      <c r="AW693" s="296"/>
      <c r="BN693" s="296"/>
      <c r="BO693" s="296"/>
      <c r="CY693" s="294"/>
      <c r="DF693" s="296"/>
    </row>
    <row r="694" spans="2:110" ht="13">
      <c r="B694" s="294"/>
      <c r="F694" s="296"/>
      <c r="J694" s="302"/>
      <c r="R694" s="188"/>
      <c r="T694" s="295"/>
      <c r="Y694" s="188"/>
      <c r="AA694" s="295"/>
      <c r="AF694" s="188"/>
      <c r="AH694" s="295"/>
      <c r="AI694" s="188"/>
      <c r="AJ694" s="188"/>
      <c r="AK694" s="188"/>
      <c r="AL694" s="188"/>
      <c r="AM694" s="188"/>
      <c r="AN694" s="188"/>
      <c r="AO694" s="299"/>
      <c r="AS694" s="296"/>
      <c r="AW694" s="296"/>
      <c r="BN694" s="296"/>
      <c r="BO694" s="296"/>
      <c r="CY694" s="294"/>
      <c r="DF694" s="296"/>
    </row>
    <row r="695" spans="2:110" ht="13">
      <c r="B695" s="294"/>
      <c r="F695" s="296"/>
      <c r="J695" s="302"/>
      <c r="R695" s="188"/>
      <c r="T695" s="295"/>
      <c r="Y695" s="188"/>
      <c r="AA695" s="295"/>
      <c r="AF695" s="188"/>
      <c r="AH695" s="295"/>
      <c r="AI695" s="188"/>
      <c r="AJ695" s="188"/>
      <c r="AK695" s="188"/>
      <c r="AL695" s="188"/>
      <c r="AM695" s="188"/>
      <c r="AN695" s="188"/>
      <c r="AO695" s="299"/>
      <c r="AS695" s="296"/>
      <c r="AW695" s="296"/>
      <c r="BN695" s="296"/>
      <c r="BO695" s="296"/>
      <c r="CY695" s="294"/>
      <c r="DF695" s="296"/>
    </row>
    <row r="696" spans="2:110" ht="13">
      <c r="B696" s="294"/>
      <c r="F696" s="296"/>
      <c r="J696" s="302"/>
      <c r="R696" s="188"/>
      <c r="T696" s="295"/>
      <c r="Y696" s="188"/>
      <c r="AA696" s="295"/>
      <c r="AF696" s="188"/>
      <c r="AH696" s="295"/>
      <c r="AI696" s="188"/>
      <c r="AJ696" s="188"/>
      <c r="AK696" s="188"/>
      <c r="AL696" s="188"/>
      <c r="AM696" s="188"/>
      <c r="AN696" s="188"/>
      <c r="AO696" s="299"/>
      <c r="AS696" s="296"/>
      <c r="AW696" s="296"/>
      <c r="BN696" s="296"/>
      <c r="BO696" s="296"/>
      <c r="CY696" s="294"/>
      <c r="DF696" s="296"/>
    </row>
    <row r="697" spans="2:110" ht="13">
      <c r="B697" s="294"/>
      <c r="F697" s="296"/>
      <c r="J697" s="302"/>
      <c r="R697" s="188"/>
      <c r="T697" s="295"/>
      <c r="Y697" s="188"/>
      <c r="AA697" s="295"/>
      <c r="AF697" s="188"/>
      <c r="AH697" s="295"/>
      <c r="AI697" s="188"/>
      <c r="AJ697" s="188"/>
      <c r="AK697" s="188"/>
      <c r="AL697" s="188"/>
      <c r="AM697" s="188"/>
      <c r="AN697" s="188"/>
      <c r="AO697" s="299"/>
      <c r="AS697" s="296"/>
      <c r="AW697" s="296"/>
      <c r="BN697" s="296"/>
      <c r="BO697" s="296"/>
      <c r="CY697" s="294"/>
      <c r="DF697" s="296"/>
    </row>
    <row r="698" spans="2:110" ht="13">
      <c r="B698" s="294"/>
      <c r="F698" s="296"/>
      <c r="J698" s="302"/>
      <c r="R698" s="188"/>
      <c r="T698" s="295"/>
      <c r="Y698" s="188"/>
      <c r="AA698" s="295"/>
      <c r="AF698" s="188"/>
      <c r="AH698" s="295"/>
      <c r="AI698" s="188"/>
      <c r="AJ698" s="188"/>
      <c r="AK698" s="188"/>
      <c r="AL698" s="188"/>
      <c r="AM698" s="188"/>
      <c r="AN698" s="188"/>
      <c r="AO698" s="299"/>
      <c r="AS698" s="296"/>
      <c r="AW698" s="296"/>
      <c r="BN698" s="296"/>
      <c r="BO698" s="296"/>
      <c r="CY698" s="294"/>
      <c r="DF698" s="296"/>
    </row>
    <row r="699" spans="2:110" ht="13">
      <c r="B699" s="294"/>
      <c r="F699" s="296"/>
      <c r="J699" s="302"/>
      <c r="R699" s="188"/>
      <c r="T699" s="295"/>
      <c r="Y699" s="188"/>
      <c r="AA699" s="295"/>
      <c r="AF699" s="188"/>
      <c r="AH699" s="295"/>
      <c r="AI699" s="188"/>
      <c r="AJ699" s="188"/>
      <c r="AK699" s="188"/>
      <c r="AL699" s="188"/>
      <c r="AM699" s="188"/>
      <c r="AN699" s="188"/>
      <c r="AO699" s="299"/>
      <c r="AS699" s="296"/>
      <c r="AW699" s="296"/>
      <c r="BN699" s="296"/>
      <c r="BO699" s="296"/>
      <c r="CY699" s="294"/>
      <c r="DF699" s="296"/>
    </row>
    <row r="700" spans="2:110" ht="13">
      <c r="B700" s="294"/>
      <c r="F700" s="296"/>
      <c r="J700" s="302"/>
      <c r="R700" s="188"/>
      <c r="T700" s="295"/>
      <c r="Y700" s="188"/>
      <c r="AA700" s="295"/>
      <c r="AF700" s="188"/>
      <c r="AH700" s="295"/>
      <c r="AI700" s="188"/>
      <c r="AJ700" s="188"/>
      <c r="AK700" s="188"/>
      <c r="AL700" s="188"/>
      <c r="AM700" s="188"/>
      <c r="AN700" s="188"/>
      <c r="AO700" s="299"/>
      <c r="AS700" s="296"/>
      <c r="AW700" s="296"/>
      <c r="BN700" s="296"/>
      <c r="BO700" s="296"/>
      <c r="CY700" s="294"/>
      <c r="DF700" s="296"/>
    </row>
    <row r="701" spans="2:110" ht="13">
      <c r="B701" s="294"/>
      <c r="F701" s="296"/>
      <c r="J701" s="302"/>
      <c r="R701" s="188"/>
      <c r="T701" s="295"/>
      <c r="Y701" s="188"/>
      <c r="AA701" s="295"/>
      <c r="AF701" s="188"/>
      <c r="AH701" s="295"/>
      <c r="AI701" s="188"/>
      <c r="AJ701" s="188"/>
      <c r="AK701" s="188"/>
      <c r="AL701" s="188"/>
      <c r="AM701" s="188"/>
      <c r="AN701" s="188"/>
      <c r="AO701" s="299"/>
      <c r="AS701" s="296"/>
      <c r="AW701" s="296"/>
      <c r="BN701" s="296"/>
      <c r="BO701" s="296"/>
      <c r="CY701" s="294"/>
      <c r="DF701" s="296"/>
    </row>
    <row r="702" spans="2:110" ht="13">
      <c r="B702" s="294"/>
      <c r="F702" s="296"/>
      <c r="J702" s="302"/>
      <c r="R702" s="188"/>
      <c r="T702" s="295"/>
      <c r="Y702" s="188"/>
      <c r="AA702" s="295"/>
      <c r="AF702" s="188"/>
      <c r="AH702" s="295"/>
      <c r="AI702" s="188"/>
      <c r="AJ702" s="188"/>
      <c r="AK702" s="188"/>
      <c r="AL702" s="188"/>
      <c r="AM702" s="188"/>
      <c r="AN702" s="188"/>
      <c r="AO702" s="299"/>
      <c r="AS702" s="296"/>
      <c r="AW702" s="296"/>
      <c r="BN702" s="296"/>
      <c r="BO702" s="296"/>
      <c r="CY702" s="294"/>
      <c r="DF702" s="296"/>
    </row>
    <row r="703" spans="2:110" ht="13">
      <c r="B703" s="294"/>
      <c r="F703" s="296"/>
      <c r="J703" s="302"/>
      <c r="R703" s="188"/>
      <c r="T703" s="295"/>
      <c r="Y703" s="188"/>
      <c r="AA703" s="295"/>
      <c r="AF703" s="188"/>
      <c r="AH703" s="295"/>
      <c r="AI703" s="188"/>
      <c r="AJ703" s="188"/>
      <c r="AK703" s="188"/>
      <c r="AL703" s="188"/>
      <c r="AM703" s="188"/>
      <c r="AN703" s="188"/>
      <c r="AO703" s="299"/>
      <c r="AS703" s="296"/>
      <c r="AW703" s="296"/>
      <c r="BN703" s="296"/>
      <c r="BO703" s="296"/>
      <c r="CY703" s="294"/>
      <c r="DF703" s="296"/>
    </row>
    <row r="704" spans="2:110" ht="13">
      <c r="B704" s="294"/>
      <c r="F704" s="296"/>
      <c r="J704" s="302"/>
      <c r="R704" s="188"/>
      <c r="T704" s="295"/>
      <c r="Y704" s="188"/>
      <c r="AA704" s="295"/>
      <c r="AF704" s="188"/>
      <c r="AH704" s="295"/>
      <c r="AI704" s="188"/>
      <c r="AJ704" s="188"/>
      <c r="AK704" s="188"/>
      <c r="AL704" s="188"/>
      <c r="AM704" s="188"/>
      <c r="AN704" s="188"/>
      <c r="AO704" s="299"/>
      <c r="AS704" s="296"/>
      <c r="AW704" s="296"/>
      <c r="BN704" s="296"/>
      <c r="BO704" s="296"/>
      <c r="CY704" s="294"/>
      <c r="DF704" s="296"/>
    </row>
    <row r="705" spans="2:110" ht="13">
      <c r="B705" s="294"/>
      <c r="F705" s="296"/>
      <c r="J705" s="302"/>
      <c r="R705" s="188"/>
      <c r="T705" s="295"/>
      <c r="Y705" s="188"/>
      <c r="AA705" s="295"/>
      <c r="AF705" s="188"/>
      <c r="AH705" s="295"/>
      <c r="AI705" s="188"/>
      <c r="AJ705" s="188"/>
      <c r="AK705" s="188"/>
      <c r="AL705" s="188"/>
      <c r="AM705" s="188"/>
      <c r="AN705" s="188"/>
      <c r="AO705" s="299"/>
      <c r="AS705" s="296"/>
      <c r="AW705" s="296"/>
      <c r="BN705" s="296"/>
      <c r="BO705" s="296"/>
      <c r="CY705" s="294"/>
      <c r="DF705" s="296"/>
    </row>
    <row r="706" spans="2:110" ht="13">
      <c r="B706" s="294"/>
      <c r="F706" s="296"/>
      <c r="J706" s="302"/>
      <c r="R706" s="188"/>
      <c r="T706" s="295"/>
      <c r="Y706" s="188"/>
      <c r="AA706" s="295"/>
      <c r="AF706" s="188"/>
      <c r="AH706" s="295"/>
      <c r="AI706" s="188"/>
      <c r="AJ706" s="188"/>
      <c r="AK706" s="188"/>
      <c r="AL706" s="188"/>
      <c r="AM706" s="188"/>
      <c r="AN706" s="188"/>
      <c r="AO706" s="299"/>
      <c r="AS706" s="296"/>
      <c r="AW706" s="296"/>
      <c r="BN706" s="296"/>
      <c r="BO706" s="296"/>
      <c r="CY706" s="294"/>
      <c r="DF706" s="296"/>
    </row>
    <row r="707" spans="2:110" ht="13">
      <c r="B707" s="294"/>
      <c r="F707" s="296"/>
      <c r="J707" s="302"/>
      <c r="R707" s="188"/>
      <c r="T707" s="295"/>
      <c r="Y707" s="188"/>
      <c r="AA707" s="295"/>
      <c r="AF707" s="188"/>
      <c r="AH707" s="295"/>
      <c r="AI707" s="188"/>
      <c r="AJ707" s="188"/>
      <c r="AK707" s="188"/>
      <c r="AL707" s="188"/>
      <c r="AM707" s="188"/>
      <c r="AN707" s="188"/>
      <c r="AO707" s="299"/>
      <c r="AS707" s="296"/>
      <c r="AW707" s="296"/>
      <c r="BN707" s="296"/>
      <c r="BO707" s="296"/>
      <c r="CY707" s="294"/>
      <c r="DF707" s="296"/>
    </row>
    <row r="708" spans="2:110" ht="13">
      <c r="B708" s="294"/>
      <c r="F708" s="296"/>
      <c r="J708" s="302"/>
      <c r="R708" s="188"/>
      <c r="T708" s="295"/>
      <c r="Y708" s="188"/>
      <c r="AA708" s="295"/>
      <c r="AF708" s="188"/>
      <c r="AH708" s="295"/>
      <c r="AI708" s="188"/>
      <c r="AJ708" s="188"/>
      <c r="AK708" s="188"/>
      <c r="AL708" s="188"/>
      <c r="AM708" s="188"/>
      <c r="AN708" s="188"/>
      <c r="AO708" s="299"/>
      <c r="AS708" s="296"/>
      <c r="AW708" s="296"/>
      <c r="BN708" s="296"/>
      <c r="BO708" s="296"/>
      <c r="CY708" s="294"/>
      <c r="DF708" s="296"/>
    </row>
    <row r="709" spans="2:110" ht="13">
      <c r="B709" s="294"/>
      <c r="F709" s="296"/>
      <c r="J709" s="302"/>
      <c r="R709" s="188"/>
      <c r="T709" s="295"/>
      <c r="Y709" s="188"/>
      <c r="AA709" s="295"/>
      <c r="AF709" s="188"/>
      <c r="AH709" s="295"/>
      <c r="AI709" s="188"/>
      <c r="AJ709" s="188"/>
      <c r="AK709" s="188"/>
      <c r="AL709" s="188"/>
      <c r="AM709" s="188"/>
      <c r="AN709" s="188"/>
      <c r="AO709" s="299"/>
      <c r="AS709" s="296"/>
      <c r="AW709" s="296"/>
      <c r="BN709" s="296"/>
      <c r="BO709" s="296"/>
      <c r="CY709" s="294"/>
      <c r="DF709" s="296"/>
    </row>
    <row r="710" spans="2:110" ht="13">
      <c r="B710" s="294"/>
      <c r="F710" s="296"/>
      <c r="J710" s="302"/>
      <c r="R710" s="188"/>
      <c r="T710" s="295"/>
      <c r="Y710" s="188"/>
      <c r="AA710" s="295"/>
      <c r="AF710" s="188"/>
      <c r="AH710" s="295"/>
      <c r="AI710" s="188"/>
      <c r="AJ710" s="188"/>
      <c r="AK710" s="188"/>
      <c r="AL710" s="188"/>
      <c r="AM710" s="188"/>
      <c r="AN710" s="188"/>
      <c r="AO710" s="299"/>
      <c r="AS710" s="296"/>
      <c r="AW710" s="296"/>
      <c r="BN710" s="296"/>
      <c r="BO710" s="296"/>
      <c r="CY710" s="294"/>
      <c r="DF710" s="296"/>
    </row>
    <row r="711" spans="2:110" ht="13">
      <c r="B711" s="294"/>
      <c r="F711" s="296"/>
      <c r="J711" s="302"/>
      <c r="R711" s="188"/>
      <c r="T711" s="295"/>
      <c r="Y711" s="188"/>
      <c r="AA711" s="295"/>
      <c r="AF711" s="188"/>
      <c r="AH711" s="295"/>
      <c r="AI711" s="188"/>
      <c r="AJ711" s="188"/>
      <c r="AK711" s="188"/>
      <c r="AL711" s="188"/>
      <c r="AM711" s="188"/>
      <c r="AN711" s="188"/>
      <c r="AO711" s="299"/>
      <c r="AS711" s="296"/>
      <c r="AW711" s="296"/>
      <c r="BN711" s="296"/>
      <c r="BO711" s="296"/>
      <c r="CY711" s="294"/>
      <c r="DF711" s="296"/>
    </row>
    <row r="712" spans="2:110" ht="13">
      <c r="B712" s="294"/>
      <c r="F712" s="296"/>
      <c r="J712" s="302"/>
      <c r="R712" s="188"/>
      <c r="T712" s="295"/>
      <c r="Y712" s="188"/>
      <c r="AA712" s="295"/>
      <c r="AF712" s="188"/>
      <c r="AH712" s="295"/>
      <c r="AI712" s="188"/>
      <c r="AJ712" s="188"/>
      <c r="AK712" s="188"/>
      <c r="AL712" s="188"/>
      <c r="AM712" s="188"/>
      <c r="AN712" s="188"/>
      <c r="AO712" s="299"/>
      <c r="AS712" s="296"/>
      <c r="AW712" s="296"/>
      <c r="BN712" s="296"/>
      <c r="BO712" s="296"/>
      <c r="CY712" s="294"/>
      <c r="DF712" s="296"/>
    </row>
    <row r="713" spans="2:110" ht="13">
      <c r="B713" s="294"/>
      <c r="F713" s="296"/>
      <c r="J713" s="302"/>
      <c r="R713" s="188"/>
      <c r="T713" s="295"/>
      <c r="Y713" s="188"/>
      <c r="AA713" s="295"/>
      <c r="AF713" s="188"/>
      <c r="AH713" s="295"/>
      <c r="AI713" s="188"/>
      <c r="AJ713" s="188"/>
      <c r="AK713" s="188"/>
      <c r="AL713" s="188"/>
      <c r="AM713" s="188"/>
      <c r="AN713" s="188"/>
      <c r="AO713" s="299"/>
      <c r="AS713" s="296"/>
      <c r="AW713" s="296"/>
      <c r="BN713" s="296"/>
      <c r="BO713" s="296"/>
      <c r="CY713" s="294"/>
      <c r="DF713" s="296"/>
    </row>
    <row r="714" spans="2:110" ht="13">
      <c r="B714" s="294"/>
      <c r="F714" s="296"/>
      <c r="J714" s="302"/>
      <c r="R714" s="188"/>
      <c r="T714" s="295"/>
      <c r="Y714" s="188"/>
      <c r="AA714" s="295"/>
      <c r="AF714" s="188"/>
      <c r="AH714" s="295"/>
      <c r="AI714" s="188"/>
      <c r="AJ714" s="188"/>
      <c r="AK714" s="188"/>
      <c r="AL714" s="188"/>
      <c r="AM714" s="188"/>
      <c r="AN714" s="188"/>
      <c r="AO714" s="299"/>
      <c r="AS714" s="296"/>
      <c r="AW714" s="296"/>
      <c r="BN714" s="296"/>
      <c r="BO714" s="296"/>
      <c r="CY714" s="294"/>
      <c r="DF714" s="296"/>
    </row>
    <row r="715" spans="2:110" ht="13">
      <c r="B715" s="294"/>
      <c r="F715" s="296"/>
      <c r="J715" s="302"/>
      <c r="R715" s="188"/>
      <c r="T715" s="295"/>
      <c r="Y715" s="188"/>
      <c r="AA715" s="295"/>
      <c r="AF715" s="188"/>
      <c r="AH715" s="295"/>
      <c r="AI715" s="188"/>
      <c r="AJ715" s="188"/>
      <c r="AK715" s="188"/>
      <c r="AL715" s="188"/>
      <c r="AM715" s="188"/>
      <c r="AN715" s="188"/>
      <c r="AO715" s="299"/>
      <c r="AS715" s="296"/>
      <c r="AW715" s="296"/>
      <c r="BN715" s="296"/>
      <c r="BO715" s="296"/>
      <c r="CY715" s="294"/>
      <c r="DF715" s="296"/>
    </row>
    <row r="716" spans="2:110" ht="13">
      <c r="B716" s="294"/>
      <c r="F716" s="296"/>
      <c r="J716" s="302"/>
      <c r="R716" s="188"/>
      <c r="T716" s="295"/>
      <c r="Y716" s="188"/>
      <c r="AA716" s="295"/>
      <c r="AF716" s="188"/>
      <c r="AH716" s="295"/>
      <c r="AI716" s="188"/>
      <c r="AJ716" s="188"/>
      <c r="AK716" s="188"/>
      <c r="AL716" s="188"/>
      <c r="AM716" s="188"/>
      <c r="AN716" s="188"/>
      <c r="AO716" s="299"/>
      <c r="AS716" s="296"/>
      <c r="AW716" s="296"/>
      <c r="BN716" s="296"/>
      <c r="BO716" s="296"/>
      <c r="CY716" s="294"/>
      <c r="DF716" s="296"/>
    </row>
    <row r="717" spans="2:110" ht="13">
      <c r="B717" s="294"/>
      <c r="F717" s="296"/>
      <c r="J717" s="302"/>
      <c r="R717" s="188"/>
      <c r="T717" s="295"/>
      <c r="Y717" s="188"/>
      <c r="AA717" s="295"/>
      <c r="AF717" s="188"/>
      <c r="AH717" s="295"/>
      <c r="AI717" s="188"/>
      <c r="AJ717" s="188"/>
      <c r="AK717" s="188"/>
      <c r="AL717" s="188"/>
      <c r="AM717" s="188"/>
      <c r="AN717" s="188"/>
      <c r="AO717" s="299"/>
      <c r="AS717" s="296"/>
      <c r="AW717" s="296"/>
      <c r="BN717" s="296"/>
      <c r="BO717" s="296"/>
      <c r="CY717" s="294"/>
      <c r="DF717" s="296"/>
    </row>
    <row r="718" spans="2:110" ht="13">
      <c r="B718" s="294"/>
      <c r="F718" s="296"/>
      <c r="J718" s="302"/>
      <c r="R718" s="188"/>
      <c r="T718" s="295"/>
      <c r="Y718" s="188"/>
      <c r="AA718" s="295"/>
      <c r="AF718" s="188"/>
      <c r="AH718" s="295"/>
      <c r="AI718" s="188"/>
      <c r="AJ718" s="188"/>
      <c r="AK718" s="188"/>
      <c r="AL718" s="188"/>
      <c r="AM718" s="188"/>
      <c r="AN718" s="188"/>
      <c r="AO718" s="299"/>
      <c r="AS718" s="296"/>
      <c r="AW718" s="296"/>
      <c r="BN718" s="296"/>
      <c r="BO718" s="296"/>
      <c r="CY718" s="294"/>
      <c r="DF718" s="296"/>
    </row>
    <row r="719" spans="2:110" ht="13">
      <c r="B719" s="294"/>
      <c r="F719" s="296"/>
      <c r="J719" s="302"/>
      <c r="R719" s="188"/>
      <c r="T719" s="295"/>
      <c r="Y719" s="188"/>
      <c r="AA719" s="295"/>
      <c r="AF719" s="188"/>
      <c r="AH719" s="295"/>
      <c r="AI719" s="188"/>
      <c r="AJ719" s="188"/>
      <c r="AK719" s="188"/>
      <c r="AL719" s="188"/>
      <c r="AM719" s="188"/>
      <c r="AN719" s="188"/>
      <c r="AO719" s="299"/>
      <c r="AS719" s="296"/>
      <c r="AW719" s="296"/>
      <c r="BN719" s="296"/>
      <c r="BO719" s="296"/>
      <c r="CY719" s="294"/>
      <c r="DF719" s="296"/>
    </row>
    <row r="720" spans="2:110" ht="13">
      <c r="B720" s="294"/>
      <c r="F720" s="296"/>
      <c r="J720" s="302"/>
      <c r="R720" s="188"/>
      <c r="T720" s="295"/>
      <c r="Y720" s="188"/>
      <c r="AA720" s="295"/>
      <c r="AF720" s="188"/>
      <c r="AH720" s="295"/>
      <c r="AI720" s="188"/>
      <c r="AJ720" s="188"/>
      <c r="AK720" s="188"/>
      <c r="AL720" s="188"/>
      <c r="AM720" s="188"/>
      <c r="AN720" s="188"/>
      <c r="AO720" s="299"/>
      <c r="AS720" s="296"/>
      <c r="AW720" s="296"/>
      <c r="BN720" s="296"/>
      <c r="BO720" s="296"/>
      <c r="CY720" s="294"/>
      <c r="DF720" s="296"/>
    </row>
    <row r="721" spans="2:110" ht="13">
      <c r="B721" s="294"/>
      <c r="F721" s="296"/>
      <c r="J721" s="302"/>
      <c r="R721" s="188"/>
      <c r="T721" s="295"/>
      <c r="Y721" s="188"/>
      <c r="AA721" s="295"/>
      <c r="AF721" s="188"/>
      <c r="AH721" s="295"/>
      <c r="AI721" s="188"/>
      <c r="AJ721" s="188"/>
      <c r="AK721" s="188"/>
      <c r="AL721" s="188"/>
      <c r="AM721" s="188"/>
      <c r="AN721" s="188"/>
      <c r="AO721" s="299"/>
      <c r="AS721" s="296"/>
      <c r="AW721" s="296"/>
      <c r="BN721" s="296"/>
      <c r="BO721" s="296"/>
      <c r="CY721" s="294"/>
      <c r="DF721" s="296"/>
    </row>
    <row r="722" spans="2:110" ht="13">
      <c r="B722" s="294"/>
      <c r="F722" s="296"/>
      <c r="J722" s="302"/>
      <c r="R722" s="188"/>
      <c r="T722" s="295"/>
      <c r="Y722" s="188"/>
      <c r="AA722" s="295"/>
      <c r="AF722" s="188"/>
      <c r="AH722" s="295"/>
      <c r="AI722" s="188"/>
      <c r="AJ722" s="188"/>
      <c r="AK722" s="188"/>
      <c r="AL722" s="188"/>
      <c r="AM722" s="188"/>
      <c r="AN722" s="188"/>
      <c r="AO722" s="299"/>
      <c r="AS722" s="296"/>
      <c r="AW722" s="296"/>
      <c r="BN722" s="296"/>
      <c r="BO722" s="296"/>
      <c r="CY722" s="294"/>
      <c r="DF722" s="296"/>
    </row>
    <row r="723" spans="2:110" ht="13">
      <c r="B723" s="294"/>
      <c r="F723" s="296"/>
      <c r="J723" s="302"/>
      <c r="R723" s="188"/>
      <c r="T723" s="295"/>
      <c r="Y723" s="188"/>
      <c r="AA723" s="295"/>
      <c r="AF723" s="188"/>
      <c r="AH723" s="295"/>
      <c r="AI723" s="188"/>
      <c r="AJ723" s="188"/>
      <c r="AK723" s="188"/>
      <c r="AL723" s="188"/>
      <c r="AM723" s="188"/>
      <c r="AN723" s="188"/>
      <c r="AO723" s="299"/>
      <c r="AS723" s="296"/>
      <c r="AW723" s="296"/>
      <c r="BN723" s="296"/>
      <c r="BO723" s="296"/>
      <c r="CY723" s="294"/>
      <c r="DF723" s="296"/>
    </row>
    <row r="724" spans="2:110" ht="13">
      <c r="B724" s="294"/>
      <c r="F724" s="296"/>
      <c r="J724" s="302"/>
      <c r="R724" s="188"/>
      <c r="T724" s="295"/>
      <c r="Y724" s="188"/>
      <c r="AA724" s="295"/>
      <c r="AF724" s="188"/>
      <c r="AH724" s="295"/>
      <c r="AI724" s="188"/>
      <c r="AJ724" s="188"/>
      <c r="AK724" s="188"/>
      <c r="AL724" s="188"/>
      <c r="AM724" s="188"/>
      <c r="AN724" s="188"/>
      <c r="AO724" s="299"/>
      <c r="AS724" s="296"/>
      <c r="AW724" s="296"/>
      <c r="BN724" s="296"/>
      <c r="BO724" s="296"/>
      <c r="CY724" s="294"/>
      <c r="DF724" s="296"/>
    </row>
    <row r="725" spans="2:110" ht="13">
      <c r="B725" s="294"/>
      <c r="F725" s="296"/>
      <c r="J725" s="302"/>
      <c r="R725" s="188"/>
      <c r="T725" s="295"/>
      <c r="Y725" s="188"/>
      <c r="AA725" s="295"/>
      <c r="AF725" s="188"/>
      <c r="AH725" s="295"/>
      <c r="AI725" s="188"/>
      <c r="AJ725" s="188"/>
      <c r="AK725" s="188"/>
      <c r="AL725" s="188"/>
      <c r="AM725" s="188"/>
      <c r="AN725" s="188"/>
      <c r="AO725" s="299"/>
      <c r="AS725" s="296"/>
      <c r="AW725" s="296"/>
      <c r="BN725" s="296"/>
      <c r="BO725" s="296"/>
      <c r="CY725" s="294"/>
      <c r="DF725" s="296"/>
    </row>
    <row r="726" spans="2:110" ht="13">
      <c r="B726" s="294"/>
      <c r="F726" s="296"/>
      <c r="J726" s="302"/>
      <c r="R726" s="188"/>
      <c r="T726" s="295"/>
      <c r="Y726" s="188"/>
      <c r="AA726" s="295"/>
      <c r="AF726" s="188"/>
      <c r="AH726" s="295"/>
      <c r="AI726" s="188"/>
      <c r="AJ726" s="188"/>
      <c r="AK726" s="188"/>
      <c r="AL726" s="188"/>
      <c r="AM726" s="188"/>
      <c r="AN726" s="188"/>
      <c r="AO726" s="299"/>
      <c r="AS726" s="296"/>
      <c r="AW726" s="296"/>
      <c r="BN726" s="296"/>
      <c r="BO726" s="296"/>
      <c r="CY726" s="294"/>
      <c r="DF726" s="296"/>
    </row>
    <row r="727" spans="2:110" ht="13">
      <c r="B727" s="294"/>
      <c r="F727" s="296"/>
      <c r="J727" s="302"/>
      <c r="R727" s="188"/>
      <c r="T727" s="295"/>
      <c r="Y727" s="188"/>
      <c r="AA727" s="295"/>
      <c r="AF727" s="188"/>
      <c r="AH727" s="295"/>
      <c r="AI727" s="188"/>
      <c r="AJ727" s="188"/>
      <c r="AK727" s="188"/>
      <c r="AL727" s="188"/>
      <c r="AM727" s="188"/>
      <c r="AN727" s="188"/>
      <c r="AO727" s="299"/>
      <c r="AS727" s="296"/>
      <c r="AW727" s="296"/>
      <c r="BN727" s="296"/>
      <c r="BO727" s="296"/>
      <c r="CY727" s="294"/>
      <c r="DF727" s="296"/>
    </row>
    <row r="728" spans="2:110" ht="13">
      <c r="B728" s="294"/>
      <c r="F728" s="296"/>
      <c r="J728" s="302"/>
      <c r="R728" s="188"/>
      <c r="T728" s="295"/>
      <c r="Y728" s="188"/>
      <c r="AA728" s="295"/>
      <c r="AF728" s="188"/>
      <c r="AH728" s="295"/>
      <c r="AI728" s="188"/>
      <c r="AJ728" s="188"/>
      <c r="AK728" s="188"/>
      <c r="AL728" s="188"/>
      <c r="AM728" s="188"/>
      <c r="AN728" s="188"/>
      <c r="AO728" s="299"/>
      <c r="AS728" s="296"/>
      <c r="AW728" s="296"/>
      <c r="BN728" s="296"/>
      <c r="BO728" s="296"/>
      <c r="CY728" s="294"/>
      <c r="DF728" s="296"/>
    </row>
    <row r="729" spans="2:110" ht="13">
      <c r="B729" s="294"/>
      <c r="F729" s="296"/>
      <c r="J729" s="302"/>
      <c r="R729" s="188"/>
      <c r="T729" s="295"/>
      <c r="Y729" s="188"/>
      <c r="AA729" s="295"/>
      <c r="AF729" s="188"/>
      <c r="AH729" s="295"/>
      <c r="AI729" s="188"/>
      <c r="AJ729" s="188"/>
      <c r="AK729" s="188"/>
      <c r="AL729" s="188"/>
      <c r="AM729" s="188"/>
      <c r="AN729" s="188"/>
      <c r="AO729" s="299"/>
      <c r="AS729" s="296"/>
      <c r="AW729" s="296"/>
      <c r="BN729" s="296"/>
      <c r="BO729" s="296"/>
      <c r="CY729" s="294"/>
      <c r="DF729" s="296"/>
    </row>
    <row r="730" spans="2:110" ht="13">
      <c r="B730" s="294"/>
      <c r="F730" s="296"/>
      <c r="J730" s="302"/>
      <c r="R730" s="188"/>
      <c r="T730" s="295"/>
      <c r="Y730" s="188"/>
      <c r="AA730" s="295"/>
      <c r="AF730" s="188"/>
      <c r="AH730" s="295"/>
      <c r="AI730" s="188"/>
      <c r="AJ730" s="188"/>
      <c r="AK730" s="188"/>
      <c r="AL730" s="188"/>
      <c r="AM730" s="188"/>
      <c r="AN730" s="188"/>
      <c r="AO730" s="299"/>
      <c r="AS730" s="296"/>
      <c r="AW730" s="296"/>
      <c r="BN730" s="296"/>
      <c r="BO730" s="296"/>
      <c r="CY730" s="294"/>
      <c r="DF730" s="296"/>
    </row>
    <row r="731" spans="2:110" ht="13">
      <c r="B731" s="294"/>
      <c r="F731" s="296"/>
      <c r="J731" s="302"/>
      <c r="R731" s="188"/>
      <c r="T731" s="295"/>
      <c r="Y731" s="188"/>
      <c r="AA731" s="295"/>
      <c r="AF731" s="188"/>
      <c r="AH731" s="295"/>
      <c r="AI731" s="188"/>
      <c r="AJ731" s="188"/>
      <c r="AK731" s="188"/>
      <c r="AL731" s="188"/>
      <c r="AM731" s="188"/>
      <c r="AN731" s="188"/>
      <c r="AO731" s="299"/>
      <c r="AS731" s="296"/>
      <c r="AW731" s="296"/>
      <c r="BN731" s="296"/>
      <c r="BO731" s="296"/>
      <c r="CY731" s="294"/>
      <c r="DF731" s="296"/>
    </row>
    <row r="732" spans="2:110" ht="13">
      <c r="B732" s="294"/>
      <c r="F732" s="296"/>
      <c r="J732" s="302"/>
      <c r="R732" s="188"/>
      <c r="T732" s="295"/>
      <c r="Y732" s="188"/>
      <c r="AA732" s="295"/>
      <c r="AF732" s="188"/>
      <c r="AH732" s="295"/>
      <c r="AI732" s="188"/>
      <c r="AJ732" s="188"/>
      <c r="AK732" s="188"/>
      <c r="AL732" s="188"/>
      <c r="AM732" s="188"/>
      <c r="AN732" s="188"/>
      <c r="AO732" s="299"/>
      <c r="AS732" s="296"/>
      <c r="AW732" s="296"/>
      <c r="BN732" s="296"/>
      <c r="BO732" s="296"/>
      <c r="CY732" s="294"/>
      <c r="DF732" s="296"/>
    </row>
    <row r="733" spans="2:110" ht="13">
      <c r="B733" s="294"/>
      <c r="F733" s="296"/>
      <c r="J733" s="302"/>
      <c r="R733" s="188"/>
      <c r="T733" s="295"/>
      <c r="Y733" s="188"/>
      <c r="AA733" s="295"/>
      <c r="AF733" s="188"/>
      <c r="AH733" s="295"/>
      <c r="AI733" s="188"/>
      <c r="AJ733" s="188"/>
      <c r="AK733" s="188"/>
      <c r="AL733" s="188"/>
      <c r="AM733" s="188"/>
      <c r="AN733" s="188"/>
      <c r="AO733" s="299"/>
      <c r="AS733" s="296"/>
      <c r="AW733" s="296"/>
      <c r="BN733" s="296"/>
      <c r="BO733" s="296"/>
      <c r="CY733" s="294"/>
      <c r="DF733" s="296"/>
    </row>
    <row r="734" spans="2:110" ht="13">
      <c r="B734" s="294"/>
      <c r="F734" s="296"/>
      <c r="J734" s="302"/>
      <c r="R734" s="188"/>
      <c r="T734" s="295"/>
      <c r="Y734" s="188"/>
      <c r="AA734" s="295"/>
      <c r="AF734" s="188"/>
      <c r="AH734" s="295"/>
      <c r="AI734" s="188"/>
      <c r="AJ734" s="188"/>
      <c r="AK734" s="188"/>
      <c r="AL734" s="188"/>
      <c r="AM734" s="188"/>
      <c r="AN734" s="188"/>
      <c r="AO734" s="299"/>
      <c r="AS734" s="296"/>
      <c r="AW734" s="296"/>
      <c r="BN734" s="296"/>
      <c r="BO734" s="296"/>
      <c r="CY734" s="294"/>
      <c r="DF734" s="296"/>
    </row>
    <row r="735" spans="2:110" ht="13">
      <c r="B735" s="294"/>
      <c r="F735" s="296"/>
      <c r="J735" s="302"/>
      <c r="R735" s="188"/>
      <c r="T735" s="295"/>
      <c r="Y735" s="188"/>
      <c r="AA735" s="295"/>
      <c r="AF735" s="188"/>
      <c r="AH735" s="295"/>
      <c r="AI735" s="188"/>
      <c r="AJ735" s="188"/>
      <c r="AK735" s="188"/>
      <c r="AL735" s="188"/>
      <c r="AM735" s="188"/>
      <c r="AN735" s="188"/>
      <c r="AO735" s="299"/>
      <c r="AS735" s="296"/>
      <c r="AW735" s="296"/>
      <c r="BN735" s="296"/>
      <c r="BO735" s="296"/>
      <c r="CY735" s="294"/>
      <c r="DF735" s="296"/>
    </row>
    <row r="736" spans="2:110" ht="13">
      <c r="B736" s="294"/>
      <c r="F736" s="296"/>
      <c r="J736" s="302"/>
      <c r="R736" s="188"/>
      <c r="T736" s="295"/>
      <c r="Y736" s="188"/>
      <c r="AA736" s="295"/>
      <c r="AF736" s="188"/>
      <c r="AH736" s="295"/>
      <c r="AI736" s="188"/>
      <c r="AJ736" s="188"/>
      <c r="AK736" s="188"/>
      <c r="AL736" s="188"/>
      <c r="AM736" s="188"/>
      <c r="AN736" s="188"/>
      <c r="AO736" s="299"/>
      <c r="AS736" s="296"/>
      <c r="AW736" s="296"/>
      <c r="BN736" s="296"/>
      <c r="BO736" s="296"/>
      <c r="CY736" s="294"/>
      <c r="DF736" s="296"/>
    </row>
    <row r="737" spans="2:110" ht="13">
      <c r="B737" s="294"/>
      <c r="F737" s="296"/>
      <c r="J737" s="302"/>
      <c r="R737" s="188"/>
      <c r="T737" s="295"/>
      <c r="Y737" s="188"/>
      <c r="AA737" s="295"/>
      <c r="AF737" s="188"/>
      <c r="AH737" s="295"/>
      <c r="AI737" s="188"/>
      <c r="AJ737" s="188"/>
      <c r="AK737" s="188"/>
      <c r="AL737" s="188"/>
      <c r="AM737" s="188"/>
      <c r="AN737" s="188"/>
      <c r="AO737" s="299"/>
      <c r="AS737" s="296"/>
      <c r="AW737" s="296"/>
      <c r="BN737" s="296"/>
      <c r="BO737" s="296"/>
      <c r="CY737" s="294"/>
      <c r="DF737" s="296"/>
    </row>
    <row r="738" spans="2:110" ht="13">
      <c r="B738" s="294"/>
      <c r="F738" s="296"/>
      <c r="J738" s="302"/>
      <c r="R738" s="188"/>
      <c r="T738" s="295"/>
      <c r="Y738" s="188"/>
      <c r="AA738" s="295"/>
      <c r="AF738" s="188"/>
      <c r="AH738" s="295"/>
      <c r="AI738" s="188"/>
      <c r="AJ738" s="188"/>
      <c r="AK738" s="188"/>
      <c r="AL738" s="188"/>
      <c r="AM738" s="188"/>
      <c r="AN738" s="188"/>
      <c r="AO738" s="299"/>
      <c r="AS738" s="296"/>
      <c r="AW738" s="296"/>
      <c r="BN738" s="296"/>
      <c r="BO738" s="296"/>
      <c r="CY738" s="294"/>
      <c r="DF738" s="296"/>
    </row>
    <row r="739" spans="2:110" ht="13">
      <c r="B739" s="294"/>
      <c r="F739" s="296"/>
      <c r="J739" s="302"/>
      <c r="R739" s="188"/>
      <c r="T739" s="295"/>
      <c r="Y739" s="188"/>
      <c r="AA739" s="295"/>
      <c r="AF739" s="188"/>
      <c r="AH739" s="295"/>
      <c r="AI739" s="188"/>
      <c r="AJ739" s="188"/>
      <c r="AK739" s="188"/>
      <c r="AL739" s="188"/>
      <c r="AM739" s="188"/>
      <c r="AN739" s="188"/>
      <c r="AO739" s="299"/>
      <c r="AS739" s="296"/>
      <c r="AW739" s="296"/>
      <c r="BN739" s="296"/>
      <c r="BO739" s="296"/>
      <c r="CY739" s="294"/>
      <c r="DF739" s="296"/>
    </row>
    <row r="740" spans="2:110" ht="13">
      <c r="B740" s="294"/>
      <c r="F740" s="296"/>
      <c r="J740" s="302"/>
      <c r="R740" s="188"/>
      <c r="T740" s="295"/>
      <c r="Y740" s="188"/>
      <c r="AA740" s="295"/>
      <c r="AF740" s="188"/>
      <c r="AH740" s="295"/>
      <c r="AI740" s="188"/>
      <c r="AJ740" s="188"/>
      <c r="AK740" s="188"/>
      <c r="AL740" s="188"/>
      <c r="AM740" s="188"/>
      <c r="AN740" s="188"/>
      <c r="AO740" s="299"/>
      <c r="AS740" s="296"/>
      <c r="AW740" s="296"/>
      <c r="BN740" s="296"/>
      <c r="BO740" s="296"/>
      <c r="CY740" s="294"/>
      <c r="DF740" s="296"/>
    </row>
    <row r="741" spans="2:110" ht="13">
      <c r="B741" s="294"/>
      <c r="F741" s="296"/>
      <c r="J741" s="302"/>
      <c r="R741" s="188"/>
      <c r="T741" s="295"/>
      <c r="Y741" s="188"/>
      <c r="AA741" s="295"/>
      <c r="AF741" s="188"/>
      <c r="AH741" s="295"/>
      <c r="AI741" s="188"/>
      <c r="AJ741" s="188"/>
      <c r="AK741" s="188"/>
      <c r="AL741" s="188"/>
      <c r="AM741" s="188"/>
      <c r="AN741" s="188"/>
      <c r="AO741" s="299"/>
      <c r="AS741" s="296"/>
      <c r="AW741" s="296"/>
      <c r="BN741" s="296"/>
      <c r="BO741" s="296"/>
      <c r="CY741" s="294"/>
      <c r="DF741" s="296"/>
    </row>
    <row r="742" spans="2:110" ht="13">
      <c r="B742" s="294"/>
      <c r="F742" s="296"/>
      <c r="J742" s="302"/>
      <c r="R742" s="188"/>
      <c r="T742" s="295"/>
      <c r="Y742" s="188"/>
      <c r="AA742" s="295"/>
      <c r="AF742" s="188"/>
      <c r="AH742" s="295"/>
      <c r="AI742" s="188"/>
      <c r="AJ742" s="188"/>
      <c r="AK742" s="188"/>
      <c r="AL742" s="188"/>
      <c r="AM742" s="188"/>
      <c r="AN742" s="188"/>
      <c r="AO742" s="299"/>
      <c r="AS742" s="296"/>
      <c r="AW742" s="296"/>
      <c r="BN742" s="296"/>
      <c r="BO742" s="296"/>
      <c r="CY742" s="294"/>
      <c r="DF742" s="296"/>
    </row>
    <row r="743" spans="2:110" ht="13">
      <c r="B743" s="294"/>
      <c r="F743" s="296"/>
      <c r="J743" s="302"/>
      <c r="R743" s="188"/>
      <c r="T743" s="295"/>
      <c r="Y743" s="188"/>
      <c r="AA743" s="295"/>
      <c r="AF743" s="188"/>
      <c r="AH743" s="295"/>
      <c r="AI743" s="188"/>
      <c r="AJ743" s="188"/>
      <c r="AK743" s="188"/>
      <c r="AL743" s="188"/>
      <c r="AM743" s="188"/>
      <c r="AN743" s="188"/>
      <c r="AO743" s="299"/>
      <c r="AS743" s="296"/>
      <c r="AW743" s="296"/>
      <c r="BN743" s="296"/>
      <c r="BO743" s="296"/>
      <c r="CY743" s="294"/>
      <c r="DF743" s="296"/>
    </row>
    <row r="744" spans="2:110" ht="13">
      <c r="B744" s="294"/>
      <c r="F744" s="296"/>
      <c r="J744" s="302"/>
      <c r="R744" s="188"/>
      <c r="T744" s="295"/>
      <c r="Y744" s="188"/>
      <c r="AA744" s="295"/>
      <c r="AF744" s="188"/>
      <c r="AH744" s="295"/>
      <c r="AI744" s="188"/>
      <c r="AJ744" s="188"/>
      <c r="AK744" s="188"/>
      <c r="AL744" s="188"/>
      <c r="AM744" s="188"/>
      <c r="AN744" s="188"/>
      <c r="AO744" s="299"/>
      <c r="AS744" s="296"/>
      <c r="AW744" s="296"/>
      <c r="BN744" s="296"/>
      <c r="BO744" s="296"/>
      <c r="CY744" s="294"/>
      <c r="DF744" s="296"/>
    </row>
    <row r="745" spans="2:110" ht="13">
      <c r="B745" s="294"/>
      <c r="F745" s="296"/>
      <c r="J745" s="302"/>
      <c r="R745" s="188"/>
      <c r="T745" s="295"/>
      <c r="Y745" s="188"/>
      <c r="AA745" s="295"/>
      <c r="AF745" s="188"/>
      <c r="AH745" s="295"/>
      <c r="AI745" s="188"/>
      <c r="AJ745" s="188"/>
      <c r="AK745" s="188"/>
      <c r="AL745" s="188"/>
      <c r="AM745" s="188"/>
      <c r="AN745" s="188"/>
      <c r="AO745" s="299"/>
      <c r="AS745" s="296"/>
      <c r="AW745" s="296"/>
      <c r="BN745" s="296"/>
      <c r="BO745" s="296"/>
      <c r="CY745" s="294"/>
      <c r="DF745" s="296"/>
    </row>
    <row r="746" spans="2:110" ht="13">
      <c r="B746" s="294"/>
      <c r="F746" s="296"/>
      <c r="J746" s="302"/>
      <c r="R746" s="188"/>
      <c r="T746" s="295"/>
      <c r="Y746" s="188"/>
      <c r="AA746" s="295"/>
      <c r="AF746" s="188"/>
      <c r="AH746" s="295"/>
      <c r="AI746" s="188"/>
      <c r="AJ746" s="188"/>
      <c r="AK746" s="188"/>
      <c r="AL746" s="188"/>
      <c r="AM746" s="188"/>
      <c r="AN746" s="188"/>
      <c r="AO746" s="299"/>
      <c r="AS746" s="296"/>
      <c r="AW746" s="296"/>
      <c r="BN746" s="296"/>
      <c r="BO746" s="296"/>
      <c r="CY746" s="294"/>
      <c r="DF746" s="296"/>
    </row>
    <row r="747" spans="2:110" ht="13">
      <c r="B747" s="294"/>
      <c r="F747" s="296"/>
      <c r="J747" s="302"/>
      <c r="R747" s="188"/>
      <c r="T747" s="295"/>
      <c r="Y747" s="188"/>
      <c r="AA747" s="295"/>
      <c r="AF747" s="188"/>
      <c r="AH747" s="295"/>
      <c r="AI747" s="188"/>
      <c r="AJ747" s="188"/>
      <c r="AK747" s="188"/>
      <c r="AL747" s="188"/>
      <c r="AM747" s="188"/>
      <c r="AN747" s="188"/>
      <c r="AO747" s="299"/>
      <c r="AS747" s="296"/>
      <c r="AW747" s="296"/>
      <c r="BN747" s="296"/>
      <c r="BO747" s="296"/>
      <c r="CY747" s="294"/>
      <c r="DF747" s="296"/>
    </row>
    <row r="748" spans="2:110" ht="13">
      <c r="B748" s="294"/>
      <c r="F748" s="296"/>
      <c r="J748" s="302"/>
      <c r="R748" s="188"/>
      <c r="T748" s="295"/>
      <c r="Y748" s="188"/>
      <c r="AA748" s="295"/>
      <c r="AF748" s="188"/>
      <c r="AH748" s="295"/>
      <c r="AI748" s="188"/>
      <c r="AJ748" s="188"/>
      <c r="AK748" s="188"/>
      <c r="AL748" s="188"/>
      <c r="AM748" s="188"/>
      <c r="AN748" s="188"/>
      <c r="AO748" s="299"/>
      <c r="AS748" s="296"/>
      <c r="AW748" s="296"/>
      <c r="BN748" s="296"/>
      <c r="BO748" s="296"/>
      <c r="CY748" s="294"/>
      <c r="DF748" s="296"/>
    </row>
    <row r="749" spans="2:110" ht="13">
      <c r="B749" s="294"/>
      <c r="F749" s="296"/>
      <c r="J749" s="302"/>
      <c r="R749" s="188"/>
      <c r="T749" s="295"/>
      <c r="Y749" s="188"/>
      <c r="AA749" s="295"/>
      <c r="AF749" s="188"/>
      <c r="AH749" s="295"/>
      <c r="AI749" s="188"/>
      <c r="AJ749" s="188"/>
      <c r="AK749" s="188"/>
      <c r="AL749" s="188"/>
      <c r="AM749" s="188"/>
      <c r="AN749" s="188"/>
      <c r="AO749" s="299"/>
      <c r="AS749" s="296"/>
      <c r="AW749" s="296"/>
      <c r="BN749" s="296"/>
      <c r="BO749" s="296"/>
      <c r="CY749" s="294"/>
      <c r="DF749" s="296"/>
    </row>
    <row r="750" spans="2:110" ht="13">
      <c r="B750" s="294"/>
      <c r="F750" s="296"/>
      <c r="J750" s="302"/>
      <c r="R750" s="188"/>
      <c r="T750" s="295"/>
      <c r="Y750" s="188"/>
      <c r="AA750" s="295"/>
      <c r="AF750" s="188"/>
      <c r="AH750" s="295"/>
      <c r="AI750" s="188"/>
      <c r="AJ750" s="188"/>
      <c r="AK750" s="188"/>
      <c r="AL750" s="188"/>
      <c r="AM750" s="188"/>
      <c r="AN750" s="188"/>
      <c r="AO750" s="299"/>
      <c r="AS750" s="296"/>
      <c r="AW750" s="296"/>
      <c r="BN750" s="296"/>
      <c r="BO750" s="296"/>
      <c r="CY750" s="294"/>
      <c r="DF750" s="296"/>
    </row>
    <row r="751" spans="2:110" ht="13">
      <c r="B751" s="294"/>
      <c r="F751" s="296"/>
      <c r="J751" s="302"/>
      <c r="R751" s="188"/>
      <c r="T751" s="295"/>
      <c r="Y751" s="188"/>
      <c r="AA751" s="295"/>
      <c r="AF751" s="188"/>
      <c r="AH751" s="295"/>
      <c r="AI751" s="188"/>
      <c r="AJ751" s="188"/>
      <c r="AK751" s="188"/>
      <c r="AL751" s="188"/>
      <c r="AM751" s="188"/>
      <c r="AN751" s="188"/>
      <c r="AO751" s="299"/>
      <c r="AS751" s="296"/>
      <c r="AW751" s="296"/>
      <c r="BN751" s="296"/>
      <c r="BO751" s="296"/>
      <c r="CY751" s="294"/>
      <c r="DF751" s="296"/>
    </row>
    <row r="752" spans="2:110" ht="13">
      <c r="B752" s="294"/>
      <c r="F752" s="296"/>
      <c r="J752" s="302"/>
      <c r="R752" s="188"/>
      <c r="T752" s="295"/>
      <c r="Y752" s="188"/>
      <c r="AA752" s="295"/>
      <c r="AF752" s="188"/>
      <c r="AH752" s="295"/>
      <c r="AI752" s="188"/>
      <c r="AJ752" s="188"/>
      <c r="AK752" s="188"/>
      <c r="AL752" s="188"/>
      <c r="AM752" s="188"/>
      <c r="AN752" s="188"/>
      <c r="AO752" s="299"/>
      <c r="AS752" s="296"/>
      <c r="AW752" s="296"/>
      <c r="BN752" s="296"/>
      <c r="BO752" s="296"/>
      <c r="CY752" s="294"/>
      <c r="DF752" s="296"/>
    </row>
    <row r="753" spans="2:110" ht="13">
      <c r="B753" s="294"/>
      <c r="F753" s="296"/>
      <c r="J753" s="302"/>
      <c r="R753" s="188"/>
      <c r="T753" s="295"/>
      <c r="Y753" s="188"/>
      <c r="AA753" s="295"/>
      <c r="AF753" s="188"/>
      <c r="AH753" s="295"/>
      <c r="AI753" s="188"/>
      <c r="AJ753" s="188"/>
      <c r="AK753" s="188"/>
      <c r="AL753" s="188"/>
      <c r="AM753" s="188"/>
      <c r="AN753" s="188"/>
      <c r="AO753" s="299"/>
      <c r="AS753" s="296"/>
      <c r="AW753" s="296"/>
      <c r="BN753" s="296"/>
      <c r="BO753" s="296"/>
      <c r="CY753" s="294"/>
      <c r="DF753" s="296"/>
    </row>
    <row r="754" spans="2:110" ht="13">
      <c r="B754" s="294"/>
      <c r="F754" s="296"/>
      <c r="J754" s="302"/>
      <c r="R754" s="188"/>
      <c r="T754" s="295"/>
      <c r="Y754" s="188"/>
      <c r="AA754" s="295"/>
      <c r="AF754" s="188"/>
      <c r="AH754" s="295"/>
      <c r="AI754" s="188"/>
      <c r="AJ754" s="188"/>
      <c r="AK754" s="188"/>
      <c r="AL754" s="188"/>
      <c r="AM754" s="188"/>
      <c r="AN754" s="188"/>
      <c r="AO754" s="299"/>
      <c r="AS754" s="296"/>
      <c r="AW754" s="296"/>
      <c r="BN754" s="296"/>
      <c r="BO754" s="296"/>
      <c r="CY754" s="294"/>
      <c r="DF754" s="296"/>
    </row>
    <row r="755" spans="2:110" ht="13">
      <c r="B755" s="294"/>
      <c r="F755" s="296"/>
      <c r="J755" s="302"/>
      <c r="R755" s="188"/>
      <c r="T755" s="295"/>
      <c r="Y755" s="188"/>
      <c r="AA755" s="295"/>
      <c r="AF755" s="188"/>
      <c r="AH755" s="295"/>
      <c r="AI755" s="188"/>
      <c r="AJ755" s="188"/>
      <c r="AK755" s="188"/>
      <c r="AL755" s="188"/>
      <c r="AM755" s="188"/>
      <c r="AN755" s="188"/>
      <c r="AO755" s="299"/>
      <c r="AS755" s="296"/>
      <c r="AW755" s="296"/>
      <c r="BN755" s="296"/>
      <c r="BO755" s="296"/>
      <c r="CY755" s="294"/>
      <c r="DF755" s="296"/>
    </row>
    <row r="756" spans="2:110" ht="13">
      <c r="B756" s="294"/>
      <c r="F756" s="296"/>
      <c r="J756" s="302"/>
      <c r="R756" s="188"/>
      <c r="T756" s="295"/>
      <c r="Y756" s="188"/>
      <c r="AA756" s="295"/>
      <c r="AF756" s="188"/>
      <c r="AH756" s="295"/>
      <c r="AI756" s="188"/>
      <c r="AJ756" s="188"/>
      <c r="AK756" s="188"/>
      <c r="AL756" s="188"/>
      <c r="AM756" s="188"/>
      <c r="AN756" s="188"/>
      <c r="AO756" s="299"/>
      <c r="AS756" s="296"/>
      <c r="AW756" s="296"/>
      <c r="BN756" s="296"/>
      <c r="BO756" s="296"/>
      <c r="CY756" s="294"/>
      <c r="DF756" s="296"/>
    </row>
    <row r="757" spans="2:110" ht="13">
      <c r="B757" s="294"/>
      <c r="F757" s="296"/>
      <c r="J757" s="302"/>
      <c r="R757" s="188"/>
      <c r="T757" s="295"/>
      <c r="Y757" s="188"/>
      <c r="AA757" s="295"/>
      <c r="AF757" s="188"/>
      <c r="AH757" s="295"/>
      <c r="AI757" s="188"/>
      <c r="AJ757" s="188"/>
      <c r="AK757" s="188"/>
      <c r="AL757" s="188"/>
      <c r="AM757" s="188"/>
      <c r="AN757" s="188"/>
      <c r="AO757" s="299"/>
      <c r="AS757" s="296"/>
      <c r="AW757" s="296"/>
      <c r="BN757" s="296"/>
      <c r="BO757" s="296"/>
      <c r="CY757" s="294"/>
      <c r="DF757" s="296"/>
    </row>
    <row r="758" spans="2:110" ht="13">
      <c r="B758" s="294"/>
      <c r="F758" s="296"/>
      <c r="J758" s="302"/>
      <c r="R758" s="188"/>
      <c r="T758" s="295"/>
      <c r="Y758" s="188"/>
      <c r="AA758" s="295"/>
      <c r="AF758" s="188"/>
      <c r="AH758" s="295"/>
      <c r="AI758" s="188"/>
      <c r="AJ758" s="188"/>
      <c r="AK758" s="188"/>
      <c r="AL758" s="188"/>
      <c r="AM758" s="188"/>
      <c r="AN758" s="188"/>
      <c r="AO758" s="299"/>
      <c r="AS758" s="296"/>
      <c r="AW758" s="296"/>
      <c r="BN758" s="296"/>
      <c r="BO758" s="296"/>
      <c r="CY758" s="294"/>
      <c r="DF758" s="296"/>
    </row>
    <row r="759" spans="2:110" ht="13">
      <c r="B759" s="294"/>
      <c r="F759" s="296"/>
      <c r="J759" s="302"/>
      <c r="R759" s="188"/>
      <c r="T759" s="295"/>
      <c r="Y759" s="188"/>
      <c r="AA759" s="295"/>
      <c r="AF759" s="188"/>
      <c r="AH759" s="295"/>
      <c r="AI759" s="188"/>
      <c r="AJ759" s="188"/>
      <c r="AK759" s="188"/>
      <c r="AL759" s="188"/>
      <c r="AM759" s="188"/>
      <c r="AN759" s="188"/>
      <c r="AO759" s="299"/>
      <c r="AS759" s="296"/>
      <c r="AW759" s="296"/>
      <c r="BN759" s="296"/>
      <c r="BO759" s="296"/>
      <c r="CY759" s="294"/>
      <c r="DF759" s="296"/>
    </row>
    <row r="760" spans="2:110" ht="13">
      <c r="B760" s="294"/>
      <c r="F760" s="296"/>
      <c r="J760" s="302"/>
      <c r="R760" s="188"/>
      <c r="T760" s="295"/>
      <c r="Y760" s="188"/>
      <c r="AA760" s="295"/>
      <c r="AF760" s="188"/>
      <c r="AH760" s="295"/>
      <c r="AI760" s="188"/>
      <c r="AJ760" s="188"/>
      <c r="AK760" s="188"/>
      <c r="AL760" s="188"/>
      <c r="AM760" s="188"/>
      <c r="AN760" s="188"/>
      <c r="AO760" s="299"/>
      <c r="AS760" s="296"/>
      <c r="AW760" s="296"/>
      <c r="BN760" s="296"/>
      <c r="BO760" s="296"/>
      <c r="CY760" s="294"/>
      <c r="DF760" s="296"/>
    </row>
    <row r="761" spans="2:110" ht="13">
      <c r="B761" s="294"/>
      <c r="F761" s="296"/>
      <c r="J761" s="302"/>
      <c r="R761" s="188"/>
      <c r="T761" s="295"/>
      <c r="Y761" s="188"/>
      <c r="AA761" s="295"/>
      <c r="AF761" s="188"/>
      <c r="AH761" s="295"/>
      <c r="AI761" s="188"/>
      <c r="AJ761" s="188"/>
      <c r="AK761" s="188"/>
      <c r="AL761" s="188"/>
      <c r="AM761" s="188"/>
      <c r="AN761" s="188"/>
      <c r="AO761" s="299"/>
      <c r="AS761" s="296"/>
      <c r="AW761" s="296"/>
      <c r="BN761" s="296"/>
      <c r="BO761" s="296"/>
      <c r="CY761" s="294"/>
      <c r="DF761" s="296"/>
    </row>
    <row r="762" spans="2:110" ht="13">
      <c r="B762" s="294"/>
      <c r="F762" s="296"/>
      <c r="J762" s="302"/>
      <c r="R762" s="188"/>
      <c r="T762" s="295"/>
      <c r="Y762" s="188"/>
      <c r="AA762" s="295"/>
      <c r="AF762" s="188"/>
      <c r="AH762" s="295"/>
      <c r="AI762" s="188"/>
      <c r="AJ762" s="188"/>
      <c r="AK762" s="188"/>
      <c r="AL762" s="188"/>
      <c r="AM762" s="188"/>
      <c r="AN762" s="188"/>
      <c r="AO762" s="299"/>
      <c r="AS762" s="296"/>
      <c r="AW762" s="296"/>
      <c r="BN762" s="296"/>
      <c r="BO762" s="296"/>
      <c r="CY762" s="294"/>
      <c r="DF762" s="296"/>
    </row>
    <row r="763" spans="2:110" ht="13">
      <c r="B763" s="294"/>
      <c r="F763" s="296"/>
      <c r="J763" s="302"/>
      <c r="R763" s="188"/>
      <c r="T763" s="295"/>
      <c r="Y763" s="188"/>
      <c r="AA763" s="295"/>
      <c r="AF763" s="188"/>
      <c r="AH763" s="295"/>
      <c r="AI763" s="188"/>
      <c r="AJ763" s="188"/>
      <c r="AK763" s="188"/>
      <c r="AL763" s="188"/>
      <c r="AM763" s="188"/>
      <c r="AN763" s="188"/>
      <c r="AO763" s="299"/>
      <c r="AS763" s="296"/>
      <c r="AW763" s="296"/>
      <c r="BN763" s="296"/>
      <c r="BO763" s="296"/>
      <c r="CY763" s="294"/>
      <c r="DF763" s="296"/>
    </row>
    <row r="764" spans="2:110" ht="13">
      <c r="B764" s="294"/>
      <c r="F764" s="296"/>
      <c r="J764" s="302"/>
      <c r="R764" s="188"/>
      <c r="T764" s="295"/>
      <c r="Y764" s="188"/>
      <c r="AA764" s="295"/>
      <c r="AF764" s="188"/>
      <c r="AH764" s="295"/>
      <c r="AI764" s="188"/>
      <c r="AJ764" s="188"/>
      <c r="AK764" s="188"/>
      <c r="AL764" s="188"/>
      <c r="AM764" s="188"/>
      <c r="AN764" s="188"/>
      <c r="AO764" s="299"/>
      <c r="AS764" s="296"/>
      <c r="AW764" s="296"/>
      <c r="BN764" s="296"/>
      <c r="BO764" s="296"/>
      <c r="CY764" s="294"/>
      <c r="DF764" s="296"/>
    </row>
    <row r="765" spans="2:110" ht="13">
      <c r="B765" s="294"/>
      <c r="F765" s="296"/>
      <c r="J765" s="302"/>
      <c r="R765" s="188"/>
      <c r="T765" s="295"/>
      <c r="Y765" s="188"/>
      <c r="AA765" s="295"/>
      <c r="AF765" s="188"/>
      <c r="AH765" s="295"/>
      <c r="AI765" s="188"/>
      <c r="AJ765" s="188"/>
      <c r="AK765" s="188"/>
      <c r="AL765" s="188"/>
      <c r="AM765" s="188"/>
      <c r="AN765" s="188"/>
      <c r="AO765" s="299"/>
      <c r="AS765" s="296"/>
      <c r="AW765" s="296"/>
      <c r="BN765" s="296"/>
      <c r="BO765" s="296"/>
      <c r="CY765" s="294"/>
      <c r="DF765" s="296"/>
    </row>
    <row r="766" spans="2:110" ht="13">
      <c r="B766" s="294"/>
      <c r="F766" s="296"/>
      <c r="J766" s="302"/>
      <c r="R766" s="188"/>
      <c r="T766" s="295"/>
      <c r="Y766" s="188"/>
      <c r="AA766" s="295"/>
      <c r="AF766" s="188"/>
      <c r="AH766" s="295"/>
      <c r="AI766" s="188"/>
      <c r="AJ766" s="188"/>
      <c r="AK766" s="188"/>
      <c r="AL766" s="188"/>
      <c r="AM766" s="188"/>
      <c r="AN766" s="188"/>
      <c r="AO766" s="299"/>
      <c r="AS766" s="296"/>
      <c r="AW766" s="296"/>
      <c r="BN766" s="296"/>
      <c r="BO766" s="296"/>
      <c r="CY766" s="294"/>
      <c r="DF766" s="296"/>
    </row>
    <row r="767" spans="2:110" ht="13">
      <c r="B767" s="294"/>
      <c r="F767" s="296"/>
      <c r="J767" s="302"/>
      <c r="R767" s="188"/>
      <c r="T767" s="295"/>
      <c r="Y767" s="188"/>
      <c r="AA767" s="295"/>
      <c r="AF767" s="188"/>
      <c r="AH767" s="295"/>
      <c r="AI767" s="188"/>
      <c r="AJ767" s="188"/>
      <c r="AK767" s="188"/>
      <c r="AL767" s="188"/>
      <c r="AM767" s="188"/>
      <c r="AN767" s="188"/>
      <c r="AO767" s="299"/>
      <c r="AS767" s="296"/>
      <c r="AW767" s="296"/>
      <c r="BN767" s="296"/>
      <c r="BO767" s="296"/>
      <c r="CY767" s="294"/>
      <c r="DF767" s="296"/>
    </row>
    <row r="768" spans="2:110" ht="13">
      <c r="B768" s="294"/>
      <c r="F768" s="296"/>
      <c r="J768" s="302"/>
      <c r="R768" s="188"/>
      <c r="T768" s="295"/>
      <c r="Y768" s="188"/>
      <c r="AA768" s="295"/>
      <c r="AF768" s="188"/>
      <c r="AH768" s="295"/>
      <c r="AI768" s="188"/>
      <c r="AJ768" s="188"/>
      <c r="AK768" s="188"/>
      <c r="AL768" s="188"/>
      <c r="AM768" s="188"/>
      <c r="AN768" s="188"/>
      <c r="AO768" s="299"/>
      <c r="AS768" s="296"/>
      <c r="AW768" s="296"/>
      <c r="BN768" s="296"/>
      <c r="BO768" s="296"/>
      <c r="CY768" s="294"/>
      <c r="DF768" s="296"/>
    </row>
    <row r="769" spans="2:110" ht="13">
      <c r="B769" s="294"/>
      <c r="F769" s="296"/>
      <c r="J769" s="302"/>
      <c r="R769" s="188"/>
      <c r="T769" s="295"/>
      <c r="Y769" s="188"/>
      <c r="AA769" s="295"/>
      <c r="AF769" s="188"/>
      <c r="AH769" s="295"/>
      <c r="AI769" s="188"/>
      <c r="AJ769" s="188"/>
      <c r="AK769" s="188"/>
      <c r="AL769" s="188"/>
      <c r="AM769" s="188"/>
      <c r="AN769" s="188"/>
      <c r="AO769" s="299"/>
      <c r="AS769" s="296"/>
      <c r="AW769" s="296"/>
      <c r="BN769" s="296"/>
      <c r="BO769" s="296"/>
      <c r="CY769" s="294"/>
      <c r="DF769" s="296"/>
    </row>
    <row r="770" spans="2:110" ht="13">
      <c r="B770" s="294"/>
      <c r="F770" s="296"/>
      <c r="J770" s="302"/>
      <c r="R770" s="188"/>
      <c r="T770" s="295"/>
      <c r="Y770" s="188"/>
      <c r="AA770" s="295"/>
      <c r="AF770" s="188"/>
      <c r="AH770" s="295"/>
      <c r="AI770" s="188"/>
      <c r="AJ770" s="188"/>
      <c r="AK770" s="188"/>
      <c r="AL770" s="188"/>
      <c r="AM770" s="188"/>
      <c r="AN770" s="188"/>
      <c r="AO770" s="299"/>
      <c r="AS770" s="296"/>
      <c r="AW770" s="296"/>
      <c r="BN770" s="296"/>
      <c r="BO770" s="296"/>
      <c r="CY770" s="294"/>
      <c r="DF770" s="296"/>
    </row>
    <row r="771" spans="2:110" ht="13">
      <c r="B771" s="294"/>
      <c r="F771" s="296"/>
      <c r="J771" s="302"/>
      <c r="R771" s="188"/>
      <c r="T771" s="295"/>
      <c r="Y771" s="188"/>
      <c r="AA771" s="295"/>
      <c r="AF771" s="188"/>
      <c r="AH771" s="295"/>
      <c r="AI771" s="188"/>
      <c r="AJ771" s="188"/>
      <c r="AK771" s="188"/>
      <c r="AL771" s="188"/>
      <c r="AM771" s="188"/>
      <c r="AN771" s="188"/>
      <c r="AO771" s="299"/>
      <c r="AS771" s="296"/>
      <c r="AW771" s="296"/>
      <c r="BN771" s="296"/>
      <c r="BO771" s="296"/>
      <c r="CY771" s="294"/>
      <c r="DF771" s="296"/>
    </row>
    <row r="772" spans="2:110" ht="13">
      <c r="B772" s="294"/>
      <c r="F772" s="296"/>
      <c r="J772" s="302"/>
      <c r="R772" s="188"/>
      <c r="T772" s="295"/>
      <c r="Y772" s="188"/>
      <c r="AA772" s="295"/>
      <c r="AF772" s="188"/>
      <c r="AH772" s="295"/>
      <c r="AI772" s="188"/>
      <c r="AJ772" s="188"/>
      <c r="AK772" s="188"/>
      <c r="AL772" s="188"/>
      <c r="AM772" s="188"/>
      <c r="AN772" s="188"/>
      <c r="AO772" s="299"/>
      <c r="AS772" s="296"/>
      <c r="AW772" s="296"/>
      <c r="BN772" s="296"/>
      <c r="BO772" s="296"/>
      <c r="CY772" s="294"/>
      <c r="DF772" s="296"/>
    </row>
    <row r="773" spans="2:110" ht="13">
      <c r="B773" s="294"/>
      <c r="F773" s="296"/>
      <c r="J773" s="302"/>
      <c r="R773" s="188"/>
      <c r="T773" s="295"/>
      <c r="Y773" s="188"/>
      <c r="AA773" s="295"/>
      <c r="AF773" s="188"/>
      <c r="AH773" s="295"/>
      <c r="AI773" s="188"/>
      <c r="AJ773" s="188"/>
      <c r="AK773" s="188"/>
      <c r="AL773" s="188"/>
      <c r="AM773" s="188"/>
      <c r="AN773" s="188"/>
      <c r="AO773" s="299"/>
      <c r="AS773" s="296"/>
      <c r="AW773" s="296"/>
      <c r="BN773" s="296"/>
      <c r="BO773" s="296"/>
      <c r="CY773" s="294"/>
      <c r="DF773" s="296"/>
    </row>
    <row r="774" spans="2:110" ht="13">
      <c r="B774" s="294"/>
      <c r="F774" s="296"/>
      <c r="J774" s="302"/>
      <c r="R774" s="188"/>
      <c r="T774" s="295"/>
      <c r="Y774" s="188"/>
      <c r="AA774" s="295"/>
      <c r="AF774" s="188"/>
      <c r="AH774" s="295"/>
      <c r="AI774" s="188"/>
      <c r="AJ774" s="188"/>
      <c r="AK774" s="188"/>
      <c r="AL774" s="188"/>
      <c r="AM774" s="188"/>
      <c r="AN774" s="188"/>
      <c r="AO774" s="299"/>
      <c r="AS774" s="296"/>
      <c r="AW774" s="296"/>
      <c r="BN774" s="296"/>
      <c r="BO774" s="296"/>
      <c r="CY774" s="294"/>
      <c r="DF774" s="296"/>
    </row>
    <row r="775" spans="2:110" ht="13">
      <c r="B775" s="294"/>
      <c r="F775" s="296"/>
      <c r="J775" s="302"/>
      <c r="R775" s="188"/>
      <c r="T775" s="295"/>
      <c r="Y775" s="188"/>
      <c r="AA775" s="295"/>
      <c r="AF775" s="188"/>
      <c r="AH775" s="295"/>
      <c r="AI775" s="188"/>
      <c r="AJ775" s="188"/>
      <c r="AK775" s="188"/>
      <c r="AL775" s="188"/>
      <c r="AM775" s="188"/>
      <c r="AN775" s="188"/>
      <c r="AO775" s="299"/>
      <c r="AS775" s="296"/>
      <c r="AW775" s="296"/>
      <c r="BN775" s="296"/>
      <c r="BO775" s="296"/>
      <c r="CY775" s="294"/>
      <c r="DF775" s="296"/>
    </row>
    <row r="776" spans="2:110" ht="13">
      <c r="B776" s="294"/>
      <c r="F776" s="296"/>
      <c r="J776" s="302"/>
      <c r="R776" s="188"/>
      <c r="T776" s="295"/>
      <c r="Y776" s="188"/>
      <c r="AA776" s="295"/>
      <c r="AF776" s="188"/>
      <c r="AH776" s="295"/>
      <c r="AI776" s="188"/>
      <c r="AJ776" s="188"/>
      <c r="AK776" s="188"/>
      <c r="AL776" s="188"/>
      <c r="AM776" s="188"/>
      <c r="AN776" s="188"/>
      <c r="AO776" s="299"/>
      <c r="AS776" s="296"/>
      <c r="AW776" s="296"/>
      <c r="BN776" s="296"/>
      <c r="BO776" s="296"/>
      <c r="CY776" s="294"/>
      <c r="DF776" s="296"/>
    </row>
    <row r="777" spans="2:110" ht="13">
      <c r="B777" s="294"/>
      <c r="F777" s="296"/>
      <c r="J777" s="302"/>
      <c r="R777" s="188"/>
      <c r="T777" s="295"/>
      <c r="Y777" s="188"/>
      <c r="AA777" s="295"/>
      <c r="AF777" s="188"/>
      <c r="AH777" s="295"/>
      <c r="AI777" s="188"/>
      <c r="AJ777" s="188"/>
      <c r="AK777" s="188"/>
      <c r="AL777" s="188"/>
      <c r="AM777" s="188"/>
      <c r="AN777" s="188"/>
      <c r="AO777" s="299"/>
      <c r="AS777" s="296"/>
      <c r="AW777" s="296"/>
      <c r="BN777" s="296"/>
      <c r="BO777" s="296"/>
      <c r="CY777" s="294"/>
      <c r="DF777" s="296"/>
    </row>
    <row r="778" spans="2:110" ht="13">
      <c r="B778" s="294"/>
      <c r="F778" s="296"/>
      <c r="J778" s="302"/>
      <c r="R778" s="188"/>
      <c r="T778" s="295"/>
      <c r="Y778" s="188"/>
      <c r="AA778" s="295"/>
      <c r="AF778" s="188"/>
      <c r="AH778" s="295"/>
      <c r="AI778" s="188"/>
      <c r="AJ778" s="188"/>
      <c r="AK778" s="188"/>
      <c r="AL778" s="188"/>
      <c r="AM778" s="188"/>
      <c r="AN778" s="188"/>
      <c r="AO778" s="299"/>
      <c r="AS778" s="296"/>
      <c r="AW778" s="296"/>
      <c r="BN778" s="296"/>
      <c r="BO778" s="296"/>
      <c r="CY778" s="294"/>
      <c r="DF778" s="296"/>
    </row>
    <row r="779" spans="2:110" ht="13">
      <c r="B779" s="294"/>
      <c r="F779" s="296"/>
      <c r="J779" s="302"/>
      <c r="R779" s="188"/>
      <c r="T779" s="295"/>
      <c r="Y779" s="188"/>
      <c r="AA779" s="295"/>
      <c r="AF779" s="188"/>
      <c r="AH779" s="295"/>
      <c r="AI779" s="188"/>
      <c r="AJ779" s="188"/>
      <c r="AK779" s="188"/>
      <c r="AL779" s="188"/>
      <c r="AM779" s="188"/>
      <c r="AN779" s="188"/>
      <c r="AO779" s="299"/>
      <c r="AS779" s="296"/>
      <c r="AW779" s="296"/>
      <c r="BN779" s="296"/>
      <c r="BO779" s="296"/>
      <c r="CY779" s="294"/>
      <c r="DF779" s="296"/>
    </row>
    <row r="780" spans="2:110" ht="13">
      <c r="B780" s="294"/>
      <c r="F780" s="296"/>
      <c r="J780" s="302"/>
      <c r="R780" s="188"/>
      <c r="T780" s="295"/>
      <c r="Y780" s="188"/>
      <c r="AA780" s="295"/>
      <c r="AF780" s="188"/>
      <c r="AH780" s="295"/>
      <c r="AI780" s="188"/>
      <c r="AJ780" s="188"/>
      <c r="AK780" s="188"/>
      <c r="AL780" s="188"/>
      <c r="AM780" s="188"/>
      <c r="AN780" s="188"/>
      <c r="AO780" s="299"/>
      <c r="AS780" s="296"/>
      <c r="AW780" s="296"/>
      <c r="BN780" s="296"/>
      <c r="BO780" s="296"/>
      <c r="CY780" s="294"/>
      <c r="DF780" s="296"/>
    </row>
    <row r="781" spans="2:110" ht="13">
      <c r="B781" s="294"/>
      <c r="F781" s="296"/>
      <c r="J781" s="302"/>
      <c r="R781" s="188"/>
      <c r="T781" s="295"/>
      <c r="Y781" s="188"/>
      <c r="AA781" s="295"/>
      <c r="AF781" s="188"/>
      <c r="AH781" s="295"/>
      <c r="AI781" s="188"/>
      <c r="AJ781" s="188"/>
      <c r="AK781" s="188"/>
      <c r="AL781" s="188"/>
      <c r="AM781" s="188"/>
      <c r="AN781" s="188"/>
      <c r="AO781" s="299"/>
      <c r="AS781" s="296"/>
      <c r="AW781" s="296"/>
      <c r="BN781" s="296"/>
      <c r="BO781" s="296"/>
      <c r="CY781" s="294"/>
      <c r="DF781" s="296"/>
    </row>
    <row r="782" spans="2:110" ht="13">
      <c r="B782" s="294"/>
      <c r="F782" s="296"/>
      <c r="J782" s="302"/>
      <c r="R782" s="188"/>
      <c r="T782" s="295"/>
      <c r="Y782" s="188"/>
      <c r="AA782" s="295"/>
      <c r="AF782" s="188"/>
      <c r="AH782" s="295"/>
      <c r="AI782" s="188"/>
      <c r="AJ782" s="188"/>
      <c r="AK782" s="188"/>
      <c r="AL782" s="188"/>
      <c r="AM782" s="188"/>
      <c r="AN782" s="188"/>
      <c r="AO782" s="299"/>
      <c r="AS782" s="296"/>
      <c r="AW782" s="296"/>
      <c r="BN782" s="296"/>
      <c r="BO782" s="296"/>
      <c r="CY782" s="294"/>
      <c r="DF782" s="296"/>
    </row>
    <row r="783" spans="2:110" ht="13">
      <c r="B783" s="294"/>
      <c r="F783" s="296"/>
      <c r="J783" s="302"/>
      <c r="R783" s="188"/>
      <c r="T783" s="295"/>
      <c r="Y783" s="188"/>
      <c r="AA783" s="295"/>
      <c r="AF783" s="188"/>
      <c r="AH783" s="295"/>
      <c r="AI783" s="188"/>
      <c r="AJ783" s="188"/>
      <c r="AK783" s="188"/>
      <c r="AL783" s="188"/>
      <c r="AM783" s="188"/>
      <c r="AN783" s="188"/>
      <c r="AO783" s="299"/>
      <c r="AS783" s="296"/>
      <c r="AW783" s="296"/>
      <c r="BN783" s="296"/>
      <c r="BO783" s="296"/>
      <c r="CY783" s="294"/>
      <c r="DF783" s="296"/>
    </row>
    <row r="784" spans="2:110" ht="13">
      <c r="B784" s="294"/>
      <c r="F784" s="296"/>
      <c r="J784" s="302"/>
      <c r="R784" s="188"/>
      <c r="T784" s="295"/>
      <c r="Y784" s="188"/>
      <c r="AA784" s="295"/>
      <c r="AF784" s="188"/>
      <c r="AH784" s="295"/>
      <c r="AI784" s="188"/>
      <c r="AJ784" s="188"/>
      <c r="AK784" s="188"/>
      <c r="AL784" s="188"/>
      <c r="AM784" s="188"/>
      <c r="AN784" s="188"/>
      <c r="AO784" s="299"/>
      <c r="AS784" s="296"/>
      <c r="AW784" s="296"/>
      <c r="BN784" s="296"/>
      <c r="BO784" s="296"/>
      <c r="CY784" s="294"/>
      <c r="DF784" s="296"/>
    </row>
    <row r="785" spans="2:110" ht="13">
      <c r="B785" s="294"/>
      <c r="F785" s="296"/>
      <c r="J785" s="302"/>
      <c r="R785" s="188"/>
      <c r="T785" s="295"/>
      <c r="Y785" s="188"/>
      <c r="AA785" s="295"/>
      <c r="AF785" s="188"/>
      <c r="AH785" s="295"/>
      <c r="AI785" s="188"/>
      <c r="AJ785" s="188"/>
      <c r="AK785" s="188"/>
      <c r="AL785" s="188"/>
      <c r="AM785" s="188"/>
      <c r="AN785" s="188"/>
      <c r="AO785" s="299"/>
      <c r="AS785" s="296"/>
      <c r="AW785" s="296"/>
      <c r="BN785" s="296"/>
      <c r="BO785" s="296"/>
      <c r="CY785" s="294"/>
      <c r="DF785" s="296"/>
    </row>
    <row r="786" spans="2:110" ht="13">
      <c r="B786" s="294"/>
      <c r="F786" s="296"/>
      <c r="J786" s="302"/>
      <c r="R786" s="188"/>
      <c r="T786" s="295"/>
      <c r="Y786" s="188"/>
      <c r="AA786" s="295"/>
      <c r="AF786" s="188"/>
      <c r="AH786" s="295"/>
      <c r="AI786" s="188"/>
      <c r="AJ786" s="188"/>
      <c r="AK786" s="188"/>
      <c r="AL786" s="188"/>
      <c r="AM786" s="188"/>
      <c r="AN786" s="188"/>
      <c r="AO786" s="299"/>
      <c r="AS786" s="296"/>
      <c r="AW786" s="296"/>
      <c r="BN786" s="296"/>
      <c r="BO786" s="296"/>
      <c r="CY786" s="294"/>
      <c r="DF786" s="296"/>
    </row>
    <row r="787" spans="2:110" ht="13">
      <c r="B787" s="294"/>
      <c r="F787" s="296"/>
      <c r="J787" s="302"/>
      <c r="R787" s="188"/>
      <c r="T787" s="295"/>
      <c r="Y787" s="188"/>
      <c r="AA787" s="295"/>
      <c r="AF787" s="188"/>
      <c r="AH787" s="295"/>
      <c r="AI787" s="188"/>
      <c r="AJ787" s="188"/>
      <c r="AK787" s="188"/>
      <c r="AL787" s="188"/>
      <c r="AM787" s="188"/>
      <c r="AN787" s="188"/>
      <c r="AO787" s="299"/>
      <c r="AS787" s="296"/>
      <c r="AW787" s="296"/>
      <c r="BN787" s="296"/>
      <c r="BO787" s="296"/>
      <c r="CY787" s="294"/>
      <c r="DF787" s="296"/>
    </row>
    <row r="788" spans="2:110" ht="13">
      <c r="B788" s="294"/>
      <c r="F788" s="296"/>
      <c r="J788" s="302"/>
      <c r="R788" s="188"/>
      <c r="T788" s="295"/>
      <c r="Y788" s="188"/>
      <c r="AA788" s="295"/>
      <c r="AF788" s="188"/>
      <c r="AH788" s="295"/>
      <c r="AI788" s="188"/>
      <c r="AJ788" s="188"/>
      <c r="AK788" s="188"/>
      <c r="AL788" s="188"/>
      <c r="AM788" s="188"/>
      <c r="AN788" s="188"/>
      <c r="AO788" s="299"/>
      <c r="AS788" s="296"/>
      <c r="AW788" s="296"/>
      <c r="BN788" s="296"/>
      <c r="BO788" s="296"/>
      <c r="CY788" s="294"/>
      <c r="DF788" s="296"/>
    </row>
    <row r="789" spans="2:110" ht="13">
      <c r="B789" s="294"/>
      <c r="F789" s="296"/>
      <c r="J789" s="302"/>
      <c r="R789" s="188"/>
      <c r="T789" s="295"/>
      <c r="Y789" s="188"/>
      <c r="AA789" s="295"/>
      <c r="AF789" s="188"/>
      <c r="AH789" s="295"/>
      <c r="AI789" s="188"/>
      <c r="AJ789" s="188"/>
      <c r="AK789" s="188"/>
      <c r="AL789" s="188"/>
      <c r="AM789" s="188"/>
      <c r="AN789" s="188"/>
      <c r="AO789" s="299"/>
      <c r="AS789" s="296"/>
      <c r="AW789" s="296"/>
      <c r="BN789" s="296"/>
      <c r="BO789" s="296"/>
      <c r="CY789" s="294"/>
      <c r="DF789" s="296"/>
    </row>
    <row r="790" spans="2:110" ht="13">
      <c r="B790" s="294"/>
      <c r="F790" s="296"/>
      <c r="J790" s="302"/>
      <c r="R790" s="188"/>
      <c r="T790" s="295"/>
      <c r="Y790" s="188"/>
      <c r="AA790" s="295"/>
      <c r="AF790" s="188"/>
      <c r="AH790" s="295"/>
      <c r="AI790" s="188"/>
      <c r="AJ790" s="188"/>
      <c r="AK790" s="188"/>
      <c r="AL790" s="188"/>
      <c r="AM790" s="188"/>
      <c r="AN790" s="188"/>
      <c r="AO790" s="299"/>
      <c r="AS790" s="296"/>
      <c r="AW790" s="296"/>
      <c r="BN790" s="296"/>
      <c r="BO790" s="296"/>
      <c r="CY790" s="294"/>
      <c r="DF790" s="296"/>
    </row>
    <row r="791" spans="2:110" ht="13">
      <c r="B791" s="294"/>
      <c r="F791" s="296"/>
      <c r="J791" s="302"/>
      <c r="R791" s="188"/>
      <c r="T791" s="295"/>
      <c r="Y791" s="188"/>
      <c r="AA791" s="295"/>
      <c r="AF791" s="188"/>
      <c r="AH791" s="295"/>
      <c r="AI791" s="188"/>
      <c r="AJ791" s="188"/>
      <c r="AK791" s="188"/>
      <c r="AL791" s="188"/>
      <c r="AM791" s="188"/>
      <c r="AN791" s="188"/>
      <c r="AO791" s="299"/>
      <c r="AS791" s="296"/>
      <c r="AW791" s="296"/>
      <c r="BN791" s="296"/>
      <c r="BO791" s="296"/>
      <c r="CY791" s="294"/>
      <c r="DF791" s="296"/>
    </row>
    <row r="792" spans="2:110" ht="13">
      <c r="B792" s="294"/>
      <c r="F792" s="296"/>
      <c r="J792" s="302"/>
      <c r="R792" s="188"/>
      <c r="T792" s="295"/>
      <c r="Y792" s="188"/>
      <c r="AA792" s="295"/>
      <c r="AF792" s="188"/>
      <c r="AH792" s="295"/>
      <c r="AI792" s="188"/>
      <c r="AJ792" s="188"/>
      <c r="AK792" s="188"/>
      <c r="AL792" s="188"/>
      <c r="AM792" s="188"/>
      <c r="AN792" s="188"/>
      <c r="AO792" s="299"/>
      <c r="AS792" s="296"/>
      <c r="AW792" s="296"/>
      <c r="BN792" s="296"/>
      <c r="BO792" s="296"/>
      <c r="CY792" s="294"/>
      <c r="DF792" s="296"/>
    </row>
    <row r="793" spans="2:110" ht="13">
      <c r="B793" s="294"/>
      <c r="F793" s="296"/>
      <c r="J793" s="302"/>
      <c r="R793" s="188"/>
      <c r="T793" s="295"/>
      <c r="Y793" s="188"/>
      <c r="AA793" s="295"/>
      <c r="AF793" s="188"/>
      <c r="AH793" s="295"/>
      <c r="AI793" s="188"/>
      <c r="AJ793" s="188"/>
      <c r="AK793" s="188"/>
      <c r="AL793" s="188"/>
      <c r="AM793" s="188"/>
      <c r="AN793" s="188"/>
      <c r="AO793" s="299"/>
      <c r="AS793" s="296"/>
      <c r="AW793" s="296"/>
      <c r="BN793" s="296"/>
      <c r="BO793" s="296"/>
      <c r="CY793" s="294"/>
      <c r="DF793" s="296"/>
    </row>
    <row r="794" spans="2:110" ht="13">
      <c r="B794" s="294"/>
      <c r="F794" s="296"/>
      <c r="J794" s="302"/>
      <c r="R794" s="188"/>
      <c r="T794" s="295"/>
      <c r="Y794" s="188"/>
      <c r="AA794" s="295"/>
      <c r="AF794" s="188"/>
      <c r="AH794" s="295"/>
      <c r="AI794" s="188"/>
      <c r="AJ794" s="188"/>
      <c r="AK794" s="188"/>
      <c r="AL794" s="188"/>
      <c r="AM794" s="188"/>
      <c r="AN794" s="188"/>
      <c r="AO794" s="299"/>
      <c r="AS794" s="296"/>
      <c r="AW794" s="296"/>
      <c r="BN794" s="296"/>
      <c r="BO794" s="296"/>
      <c r="CY794" s="294"/>
      <c r="DF794" s="296"/>
    </row>
    <row r="795" spans="2:110" ht="13">
      <c r="B795" s="294"/>
      <c r="F795" s="296"/>
      <c r="J795" s="302"/>
      <c r="R795" s="188"/>
      <c r="T795" s="295"/>
      <c r="Y795" s="188"/>
      <c r="AA795" s="295"/>
      <c r="AF795" s="188"/>
      <c r="AH795" s="295"/>
      <c r="AI795" s="188"/>
      <c r="AJ795" s="188"/>
      <c r="AK795" s="188"/>
      <c r="AL795" s="188"/>
      <c r="AM795" s="188"/>
      <c r="AN795" s="188"/>
      <c r="AO795" s="299"/>
      <c r="AS795" s="296"/>
      <c r="AW795" s="296"/>
      <c r="BN795" s="296"/>
      <c r="BO795" s="296"/>
      <c r="CY795" s="294"/>
      <c r="DF795" s="296"/>
    </row>
    <row r="796" spans="2:110" ht="13">
      <c r="B796" s="294"/>
      <c r="F796" s="296"/>
      <c r="J796" s="302"/>
      <c r="R796" s="188"/>
      <c r="T796" s="295"/>
      <c r="Y796" s="188"/>
      <c r="AA796" s="295"/>
      <c r="AF796" s="188"/>
      <c r="AH796" s="295"/>
      <c r="AI796" s="188"/>
      <c r="AJ796" s="188"/>
      <c r="AK796" s="188"/>
      <c r="AL796" s="188"/>
      <c r="AM796" s="188"/>
      <c r="AN796" s="188"/>
      <c r="AO796" s="299"/>
      <c r="AS796" s="296"/>
      <c r="AW796" s="296"/>
      <c r="BN796" s="296"/>
      <c r="BO796" s="296"/>
      <c r="CY796" s="294"/>
      <c r="DF796" s="296"/>
    </row>
    <row r="797" spans="2:110" ht="13">
      <c r="B797" s="294"/>
      <c r="F797" s="296"/>
      <c r="J797" s="302"/>
      <c r="R797" s="188"/>
      <c r="T797" s="295"/>
      <c r="Y797" s="188"/>
      <c r="AA797" s="295"/>
      <c r="AF797" s="188"/>
      <c r="AH797" s="295"/>
      <c r="AI797" s="188"/>
      <c r="AJ797" s="188"/>
      <c r="AK797" s="188"/>
      <c r="AL797" s="188"/>
      <c r="AM797" s="188"/>
      <c r="AN797" s="188"/>
      <c r="AO797" s="299"/>
      <c r="AS797" s="296"/>
      <c r="AW797" s="296"/>
      <c r="BN797" s="296"/>
      <c r="BO797" s="296"/>
      <c r="CY797" s="294"/>
      <c r="DF797" s="296"/>
    </row>
    <row r="798" spans="2:110" ht="13">
      <c r="B798" s="294"/>
      <c r="F798" s="296"/>
      <c r="J798" s="302"/>
      <c r="R798" s="188"/>
      <c r="T798" s="295"/>
      <c r="Y798" s="188"/>
      <c r="AA798" s="295"/>
      <c r="AF798" s="188"/>
      <c r="AH798" s="295"/>
      <c r="AI798" s="188"/>
      <c r="AJ798" s="188"/>
      <c r="AK798" s="188"/>
      <c r="AL798" s="188"/>
      <c r="AM798" s="188"/>
      <c r="AN798" s="188"/>
      <c r="AO798" s="299"/>
      <c r="AS798" s="296"/>
      <c r="AW798" s="296"/>
      <c r="BN798" s="296"/>
      <c r="BO798" s="296"/>
      <c r="CY798" s="294"/>
      <c r="DF798" s="296"/>
    </row>
    <row r="799" spans="2:110" ht="13">
      <c r="B799" s="294"/>
      <c r="F799" s="296"/>
      <c r="J799" s="302"/>
      <c r="R799" s="188"/>
      <c r="T799" s="295"/>
      <c r="Y799" s="188"/>
      <c r="AA799" s="295"/>
      <c r="AF799" s="188"/>
      <c r="AH799" s="295"/>
      <c r="AI799" s="188"/>
      <c r="AJ799" s="188"/>
      <c r="AK799" s="188"/>
      <c r="AL799" s="188"/>
      <c r="AM799" s="188"/>
      <c r="AN799" s="188"/>
      <c r="AO799" s="299"/>
      <c r="AS799" s="296"/>
      <c r="AW799" s="296"/>
      <c r="BN799" s="296"/>
      <c r="BO799" s="296"/>
      <c r="CY799" s="294"/>
      <c r="DF799" s="296"/>
    </row>
    <row r="800" spans="2:110" ht="13">
      <c r="B800" s="294"/>
      <c r="F800" s="296"/>
      <c r="J800" s="302"/>
      <c r="R800" s="188"/>
      <c r="T800" s="295"/>
      <c r="Y800" s="188"/>
      <c r="AA800" s="295"/>
      <c r="AF800" s="188"/>
      <c r="AH800" s="295"/>
      <c r="AI800" s="188"/>
      <c r="AJ800" s="188"/>
      <c r="AK800" s="188"/>
      <c r="AL800" s="188"/>
      <c r="AM800" s="188"/>
      <c r="AN800" s="188"/>
      <c r="AO800" s="299"/>
      <c r="AS800" s="296"/>
      <c r="AW800" s="296"/>
      <c r="BN800" s="296"/>
      <c r="BO800" s="296"/>
      <c r="CY800" s="294"/>
      <c r="DF800" s="296"/>
    </row>
    <row r="801" spans="2:110" ht="13">
      <c r="B801" s="294"/>
      <c r="F801" s="296"/>
      <c r="J801" s="302"/>
      <c r="R801" s="188"/>
      <c r="T801" s="295"/>
      <c r="Y801" s="188"/>
      <c r="AA801" s="295"/>
      <c r="AF801" s="188"/>
      <c r="AH801" s="295"/>
      <c r="AI801" s="188"/>
      <c r="AJ801" s="188"/>
      <c r="AK801" s="188"/>
      <c r="AL801" s="188"/>
      <c r="AM801" s="188"/>
      <c r="AN801" s="188"/>
      <c r="AO801" s="299"/>
      <c r="AS801" s="296"/>
      <c r="AW801" s="296"/>
      <c r="BN801" s="296"/>
      <c r="BO801" s="296"/>
      <c r="CY801" s="294"/>
      <c r="DF801" s="296"/>
    </row>
    <row r="802" spans="2:110" ht="13">
      <c r="B802" s="294"/>
      <c r="F802" s="296"/>
      <c r="J802" s="302"/>
      <c r="R802" s="188"/>
      <c r="T802" s="295"/>
      <c r="Y802" s="188"/>
      <c r="AA802" s="295"/>
      <c r="AF802" s="188"/>
      <c r="AH802" s="295"/>
      <c r="AI802" s="188"/>
      <c r="AJ802" s="188"/>
      <c r="AK802" s="188"/>
      <c r="AL802" s="188"/>
      <c r="AM802" s="188"/>
      <c r="AN802" s="188"/>
      <c r="AO802" s="299"/>
      <c r="AS802" s="296"/>
      <c r="AW802" s="296"/>
      <c r="BN802" s="296"/>
      <c r="BO802" s="296"/>
      <c r="CY802" s="294"/>
      <c r="DF802" s="296"/>
    </row>
    <row r="803" spans="2:110" ht="13">
      <c r="B803" s="294"/>
      <c r="F803" s="296"/>
      <c r="J803" s="302"/>
      <c r="R803" s="188"/>
      <c r="T803" s="295"/>
      <c r="Y803" s="188"/>
      <c r="AA803" s="295"/>
      <c r="AF803" s="188"/>
      <c r="AH803" s="295"/>
      <c r="AI803" s="188"/>
      <c r="AJ803" s="188"/>
      <c r="AK803" s="188"/>
      <c r="AL803" s="188"/>
      <c r="AM803" s="188"/>
      <c r="AN803" s="188"/>
      <c r="AO803" s="299"/>
      <c r="AS803" s="296"/>
      <c r="AW803" s="296"/>
      <c r="BN803" s="296"/>
      <c r="BO803" s="296"/>
      <c r="CY803" s="294"/>
      <c r="DF803" s="296"/>
    </row>
    <row r="804" spans="2:110" ht="13">
      <c r="B804" s="294"/>
      <c r="F804" s="296"/>
      <c r="J804" s="302"/>
      <c r="R804" s="188"/>
      <c r="T804" s="295"/>
      <c r="Y804" s="188"/>
      <c r="AA804" s="295"/>
      <c r="AF804" s="188"/>
      <c r="AH804" s="295"/>
      <c r="AI804" s="188"/>
      <c r="AJ804" s="188"/>
      <c r="AK804" s="188"/>
      <c r="AL804" s="188"/>
      <c r="AM804" s="188"/>
      <c r="AN804" s="188"/>
      <c r="AO804" s="299"/>
      <c r="AS804" s="296"/>
      <c r="AW804" s="296"/>
      <c r="BN804" s="296"/>
      <c r="BO804" s="296"/>
      <c r="CY804" s="294"/>
      <c r="DF804" s="296"/>
    </row>
    <row r="805" spans="2:110" ht="13">
      <c r="B805" s="294"/>
      <c r="F805" s="296"/>
      <c r="J805" s="302"/>
      <c r="R805" s="188"/>
      <c r="T805" s="295"/>
      <c r="Y805" s="188"/>
      <c r="AA805" s="295"/>
      <c r="AF805" s="188"/>
      <c r="AH805" s="295"/>
      <c r="AI805" s="188"/>
      <c r="AJ805" s="188"/>
      <c r="AK805" s="188"/>
      <c r="AL805" s="188"/>
      <c r="AM805" s="188"/>
      <c r="AN805" s="188"/>
      <c r="AO805" s="299"/>
      <c r="AS805" s="296"/>
      <c r="AW805" s="296"/>
      <c r="BN805" s="296"/>
      <c r="BO805" s="296"/>
      <c r="CY805" s="294"/>
      <c r="DF805" s="296"/>
    </row>
    <row r="806" spans="2:110" ht="13">
      <c r="B806" s="294"/>
      <c r="F806" s="296"/>
      <c r="J806" s="302"/>
      <c r="R806" s="188"/>
      <c r="T806" s="295"/>
      <c r="Y806" s="188"/>
      <c r="AA806" s="295"/>
      <c r="AF806" s="188"/>
      <c r="AH806" s="295"/>
      <c r="AI806" s="188"/>
      <c r="AJ806" s="188"/>
      <c r="AK806" s="188"/>
      <c r="AL806" s="188"/>
      <c r="AM806" s="188"/>
      <c r="AN806" s="188"/>
      <c r="AO806" s="299"/>
      <c r="AS806" s="296"/>
      <c r="AW806" s="296"/>
      <c r="BN806" s="296"/>
      <c r="BO806" s="296"/>
      <c r="CY806" s="294"/>
      <c r="DF806" s="296"/>
    </row>
    <row r="807" spans="2:110" ht="13">
      <c r="B807" s="294"/>
      <c r="F807" s="296"/>
      <c r="J807" s="302"/>
      <c r="R807" s="188"/>
      <c r="T807" s="295"/>
      <c r="Y807" s="188"/>
      <c r="AA807" s="295"/>
      <c r="AF807" s="188"/>
      <c r="AH807" s="295"/>
      <c r="AI807" s="188"/>
      <c r="AJ807" s="188"/>
      <c r="AK807" s="188"/>
      <c r="AL807" s="188"/>
      <c r="AM807" s="188"/>
      <c r="AN807" s="188"/>
      <c r="AO807" s="299"/>
      <c r="AS807" s="296"/>
      <c r="AW807" s="296"/>
      <c r="BN807" s="296"/>
      <c r="BO807" s="296"/>
      <c r="CY807" s="294"/>
      <c r="DF807" s="296"/>
    </row>
    <row r="808" spans="2:110" ht="13">
      <c r="B808" s="294"/>
      <c r="F808" s="296"/>
      <c r="J808" s="302"/>
      <c r="R808" s="188"/>
      <c r="T808" s="295"/>
      <c r="Y808" s="188"/>
      <c r="AA808" s="295"/>
      <c r="AF808" s="188"/>
      <c r="AH808" s="295"/>
      <c r="AI808" s="188"/>
      <c r="AJ808" s="188"/>
      <c r="AK808" s="188"/>
      <c r="AL808" s="188"/>
      <c r="AM808" s="188"/>
      <c r="AN808" s="188"/>
      <c r="AO808" s="299"/>
      <c r="AS808" s="296"/>
      <c r="AW808" s="296"/>
      <c r="BN808" s="296"/>
      <c r="BO808" s="296"/>
      <c r="CY808" s="294"/>
      <c r="DF808" s="296"/>
    </row>
    <row r="809" spans="2:110" ht="13">
      <c r="B809" s="294"/>
      <c r="F809" s="296"/>
      <c r="J809" s="302"/>
      <c r="R809" s="188"/>
      <c r="T809" s="295"/>
      <c r="Y809" s="188"/>
      <c r="AA809" s="295"/>
      <c r="AF809" s="188"/>
      <c r="AH809" s="295"/>
      <c r="AI809" s="188"/>
      <c r="AJ809" s="188"/>
      <c r="AK809" s="188"/>
      <c r="AL809" s="188"/>
      <c r="AM809" s="188"/>
      <c r="AN809" s="188"/>
      <c r="AO809" s="299"/>
      <c r="AS809" s="296"/>
      <c r="AW809" s="296"/>
      <c r="BN809" s="296"/>
      <c r="BO809" s="296"/>
      <c r="CY809" s="294"/>
      <c r="DF809" s="296"/>
    </row>
    <row r="810" spans="2:110" ht="13">
      <c r="B810" s="294"/>
      <c r="F810" s="296"/>
      <c r="J810" s="302"/>
      <c r="R810" s="188"/>
      <c r="T810" s="295"/>
      <c r="Y810" s="188"/>
      <c r="AA810" s="295"/>
      <c r="AF810" s="188"/>
      <c r="AH810" s="295"/>
      <c r="AI810" s="188"/>
      <c r="AJ810" s="188"/>
      <c r="AK810" s="188"/>
      <c r="AL810" s="188"/>
      <c r="AM810" s="188"/>
      <c r="AN810" s="188"/>
      <c r="AO810" s="299"/>
      <c r="AS810" s="296"/>
      <c r="AW810" s="296"/>
      <c r="BN810" s="296"/>
      <c r="BO810" s="296"/>
      <c r="CY810" s="294"/>
      <c r="DF810" s="296"/>
    </row>
    <row r="811" spans="2:110" ht="13">
      <c r="B811" s="294"/>
      <c r="F811" s="296"/>
      <c r="J811" s="302"/>
      <c r="R811" s="188"/>
      <c r="T811" s="295"/>
      <c r="Y811" s="188"/>
      <c r="AA811" s="295"/>
      <c r="AF811" s="188"/>
      <c r="AH811" s="295"/>
      <c r="AI811" s="188"/>
      <c r="AJ811" s="188"/>
      <c r="AK811" s="188"/>
      <c r="AL811" s="188"/>
      <c r="AM811" s="188"/>
      <c r="AN811" s="188"/>
      <c r="AO811" s="299"/>
      <c r="AS811" s="296"/>
      <c r="AW811" s="296"/>
      <c r="BN811" s="296"/>
      <c r="BO811" s="296"/>
      <c r="CY811" s="294"/>
      <c r="DF811" s="296"/>
    </row>
    <row r="812" spans="2:110" ht="13">
      <c r="B812" s="294"/>
      <c r="F812" s="296"/>
      <c r="J812" s="302"/>
      <c r="R812" s="188"/>
      <c r="T812" s="295"/>
      <c r="Y812" s="188"/>
      <c r="AA812" s="295"/>
      <c r="AF812" s="188"/>
      <c r="AH812" s="295"/>
      <c r="AI812" s="188"/>
      <c r="AJ812" s="188"/>
      <c r="AK812" s="188"/>
      <c r="AL812" s="188"/>
      <c r="AM812" s="188"/>
      <c r="AN812" s="188"/>
      <c r="AO812" s="299"/>
      <c r="AS812" s="296"/>
      <c r="AW812" s="296"/>
      <c r="BN812" s="296"/>
      <c r="BO812" s="296"/>
      <c r="CY812" s="294"/>
      <c r="DF812" s="296"/>
    </row>
    <row r="813" spans="2:110" ht="13">
      <c r="B813" s="294"/>
      <c r="F813" s="296"/>
      <c r="J813" s="302"/>
      <c r="R813" s="188"/>
      <c r="T813" s="295"/>
      <c r="Y813" s="188"/>
      <c r="AA813" s="295"/>
      <c r="AF813" s="188"/>
      <c r="AH813" s="295"/>
      <c r="AI813" s="188"/>
      <c r="AJ813" s="188"/>
      <c r="AK813" s="188"/>
      <c r="AL813" s="188"/>
      <c r="AM813" s="188"/>
      <c r="AN813" s="188"/>
      <c r="AO813" s="299"/>
      <c r="AS813" s="296"/>
      <c r="AW813" s="296"/>
      <c r="BN813" s="296"/>
      <c r="BO813" s="296"/>
      <c r="CY813" s="294"/>
      <c r="DF813" s="296"/>
    </row>
    <row r="814" spans="2:110" ht="13">
      <c r="B814" s="294"/>
      <c r="F814" s="296"/>
      <c r="J814" s="302"/>
      <c r="R814" s="188"/>
      <c r="T814" s="295"/>
      <c r="Y814" s="188"/>
      <c r="AA814" s="295"/>
      <c r="AF814" s="188"/>
      <c r="AH814" s="295"/>
      <c r="AI814" s="188"/>
      <c r="AJ814" s="188"/>
      <c r="AK814" s="188"/>
      <c r="AL814" s="188"/>
      <c r="AM814" s="188"/>
      <c r="AN814" s="188"/>
      <c r="AO814" s="299"/>
      <c r="AS814" s="296"/>
      <c r="AW814" s="296"/>
      <c r="BN814" s="296"/>
      <c r="BO814" s="296"/>
      <c r="CY814" s="294"/>
      <c r="DF814" s="296"/>
    </row>
    <row r="815" spans="2:110" ht="13">
      <c r="B815" s="294"/>
      <c r="F815" s="296"/>
      <c r="J815" s="302"/>
      <c r="R815" s="188"/>
      <c r="T815" s="295"/>
      <c r="Y815" s="188"/>
      <c r="AA815" s="295"/>
      <c r="AF815" s="188"/>
      <c r="AH815" s="295"/>
      <c r="AI815" s="188"/>
      <c r="AJ815" s="188"/>
      <c r="AK815" s="188"/>
      <c r="AL815" s="188"/>
      <c r="AM815" s="188"/>
      <c r="AN815" s="188"/>
      <c r="AO815" s="299"/>
      <c r="AS815" s="296"/>
      <c r="AW815" s="296"/>
      <c r="BN815" s="296"/>
      <c r="BO815" s="296"/>
      <c r="CY815" s="294"/>
      <c r="DF815" s="296"/>
    </row>
    <row r="816" spans="2:110" ht="13">
      <c r="B816" s="294"/>
      <c r="F816" s="296"/>
      <c r="J816" s="302"/>
      <c r="R816" s="188"/>
      <c r="T816" s="295"/>
      <c r="Y816" s="188"/>
      <c r="AA816" s="295"/>
      <c r="AF816" s="188"/>
      <c r="AH816" s="295"/>
      <c r="AI816" s="188"/>
      <c r="AJ816" s="188"/>
      <c r="AK816" s="188"/>
      <c r="AL816" s="188"/>
      <c r="AM816" s="188"/>
      <c r="AN816" s="188"/>
      <c r="AO816" s="299"/>
      <c r="AS816" s="296"/>
      <c r="AW816" s="296"/>
      <c r="BN816" s="296"/>
      <c r="BO816" s="296"/>
      <c r="CY816" s="294"/>
      <c r="DF816" s="296"/>
    </row>
    <row r="817" spans="2:110" ht="13">
      <c r="B817" s="294"/>
      <c r="F817" s="296"/>
      <c r="J817" s="302"/>
      <c r="R817" s="188"/>
      <c r="T817" s="295"/>
      <c r="Y817" s="188"/>
      <c r="AA817" s="295"/>
      <c r="AF817" s="188"/>
      <c r="AH817" s="295"/>
      <c r="AI817" s="188"/>
      <c r="AJ817" s="188"/>
      <c r="AK817" s="188"/>
      <c r="AL817" s="188"/>
      <c r="AM817" s="188"/>
      <c r="AN817" s="188"/>
      <c r="AO817" s="299"/>
      <c r="AS817" s="296"/>
      <c r="AW817" s="296"/>
      <c r="BN817" s="296"/>
      <c r="BO817" s="296"/>
      <c r="CY817" s="294"/>
      <c r="DF817" s="296"/>
    </row>
    <row r="818" spans="2:110" ht="13">
      <c r="B818" s="294"/>
      <c r="F818" s="296"/>
      <c r="J818" s="302"/>
      <c r="R818" s="188"/>
      <c r="T818" s="295"/>
      <c r="Y818" s="188"/>
      <c r="AA818" s="295"/>
      <c r="AF818" s="188"/>
      <c r="AH818" s="295"/>
      <c r="AI818" s="188"/>
      <c r="AJ818" s="188"/>
      <c r="AK818" s="188"/>
      <c r="AL818" s="188"/>
      <c r="AM818" s="188"/>
      <c r="AN818" s="188"/>
      <c r="AO818" s="299"/>
      <c r="AS818" s="296"/>
      <c r="AW818" s="296"/>
      <c r="BN818" s="296"/>
      <c r="BO818" s="296"/>
      <c r="CY818" s="294"/>
      <c r="DF818" s="296"/>
    </row>
    <row r="819" spans="2:110" ht="13">
      <c r="B819" s="294"/>
      <c r="F819" s="296"/>
      <c r="J819" s="302"/>
      <c r="R819" s="188"/>
      <c r="T819" s="295"/>
      <c r="Y819" s="188"/>
      <c r="AA819" s="295"/>
      <c r="AF819" s="188"/>
      <c r="AH819" s="295"/>
      <c r="AI819" s="188"/>
      <c r="AJ819" s="188"/>
      <c r="AK819" s="188"/>
      <c r="AL819" s="188"/>
      <c r="AM819" s="188"/>
      <c r="AN819" s="188"/>
      <c r="AO819" s="299"/>
      <c r="AS819" s="296"/>
      <c r="AW819" s="296"/>
      <c r="BN819" s="296"/>
      <c r="BO819" s="296"/>
      <c r="CY819" s="294"/>
      <c r="DF819" s="296"/>
    </row>
    <row r="820" spans="2:110" ht="13">
      <c r="B820" s="294"/>
      <c r="F820" s="296"/>
      <c r="J820" s="302"/>
      <c r="R820" s="188"/>
      <c r="T820" s="295"/>
      <c r="Y820" s="188"/>
      <c r="AA820" s="295"/>
      <c r="AF820" s="188"/>
      <c r="AH820" s="295"/>
      <c r="AI820" s="188"/>
      <c r="AJ820" s="188"/>
      <c r="AK820" s="188"/>
      <c r="AL820" s="188"/>
      <c r="AM820" s="188"/>
      <c r="AN820" s="188"/>
      <c r="AO820" s="299"/>
      <c r="AS820" s="296"/>
      <c r="AW820" s="296"/>
      <c r="BN820" s="296"/>
      <c r="BO820" s="296"/>
      <c r="CY820" s="294"/>
      <c r="DF820" s="296"/>
    </row>
    <row r="821" spans="2:110" ht="13">
      <c r="B821" s="294"/>
      <c r="F821" s="296"/>
      <c r="J821" s="302"/>
      <c r="R821" s="188"/>
      <c r="T821" s="295"/>
      <c r="Y821" s="188"/>
      <c r="AA821" s="295"/>
      <c r="AF821" s="188"/>
      <c r="AH821" s="295"/>
      <c r="AI821" s="188"/>
      <c r="AJ821" s="188"/>
      <c r="AK821" s="188"/>
      <c r="AL821" s="188"/>
      <c r="AM821" s="188"/>
      <c r="AN821" s="188"/>
      <c r="AO821" s="299"/>
      <c r="AS821" s="296"/>
      <c r="AW821" s="296"/>
      <c r="BN821" s="296"/>
      <c r="BO821" s="296"/>
      <c r="CY821" s="294"/>
      <c r="DF821" s="296"/>
    </row>
    <row r="822" spans="2:110" ht="13">
      <c r="B822" s="294"/>
      <c r="F822" s="296"/>
      <c r="J822" s="302"/>
      <c r="R822" s="188"/>
      <c r="T822" s="295"/>
      <c r="Y822" s="188"/>
      <c r="AA822" s="295"/>
      <c r="AF822" s="188"/>
      <c r="AH822" s="295"/>
      <c r="AI822" s="188"/>
      <c r="AJ822" s="188"/>
      <c r="AK822" s="188"/>
      <c r="AL822" s="188"/>
      <c r="AM822" s="188"/>
      <c r="AN822" s="188"/>
      <c r="AO822" s="299"/>
      <c r="AS822" s="296"/>
      <c r="AW822" s="296"/>
      <c r="BN822" s="296"/>
      <c r="BO822" s="296"/>
      <c r="CY822" s="294"/>
      <c r="DF822" s="296"/>
    </row>
    <row r="823" spans="2:110" ht="13">
      <c r="B823" s="294"/>
      <c r="F823" s="296"/>
      <c r="J823" s="302"/>
      <c r="R823" s="188"/>
      <c r="T823" s="295"/>
      <c r="Y823" s="188"/>
      <c r="AA823" s="295"/>
      <c r="AF823" s="188"/>
      <c r="AH823" s="295"/>
      <c r="AI823" s="188"/>
      <c r="AJ823" s="188"/>
      <c r="AK823" s="188"/>
      <c r="AL823" s="188"/>
      <c r="AM823" s="188"/>
      <c r="AN823" s="188"/>
      <c r="AO823" s="299"/>
      <c r="AS823" s="296"/>
      <c r="AW823" s="296"/>
      <c r="BN823" s="296"/>
      <c r="BO823" s="296"/>
      <c r="CY823" s="294"/>
      <c r="DF823" s="296"/>
    </row>
    <row r="824" spans="2:110" ht="13">
      <c r="B824" s="294"/>
      <c r="F824" s="296"/>
      <c r="J824" s="302"/>
      <c r="R824" s="188"/>
      <c r="T824" s="295"/>
      <c r="Y824" s="188"/>
      <c r="AA824" s="295"/>
      <c r="AF824" s="188"/>
      <c r="AH824" s="295"/>
      <c r="AI824" s="188"/>
      <c r="AJ824" s="188"/>
      <c r="AK824" s="188"/>
      <c r="AL824" s="188"/>
      <c r="AM824" s="188"/>
      <c r="AN824" s="188"/>
      <c r="AO824" s="299"/>
      <c r="AS824" s="296"/>
      <c r="AW824" s="296"/>
      <c r="BN824" s="296"/>
      <c r="BO824" s="296"/>
      <c r="CY824" s="294"/>
      <c r="DF824" s="296"/>
    </row>
    <row r="825" spans="2:110" ht="13">
      <c r="B825" s="294"/>
      <c r="F825" s="296"/>
      <c r="J825" s="302"/>
      <c r="R825" s="188"/>
      <c r="T825" s="295"/>
      <c r="Y825" s="188"/>
      <c r="AA825" s="295"/>
      <c r="AF825" s="188"/>
      <c r="AH825" s="295"/>
      <c r="AI825" s="188"/>
      <c r="AJ825" s="188"/>
      <c r="AK825" s="188"/>
      <c r="AL825" s="188"/>
      <c r="AM825" s="188"/>
      <c r="AN825" s="188"/>
      <c r="AO825" s="299"/>
      <c r="AS825" s="296"/>
      <c r="AW825" s="296"/>
      <c r="BN825" s="296"/>
      <c r="BO825" s="296"/>
      <c r="CY825" s="294"/>
      <c r="DF825" s="296"/>
    </row>
    <row r="826" spans="2:110" ht="13">
      <c r="B826" s="294"/>
      <c r="F826" s="296"/>
      <c r="J826" s="302"/>
      <c r="R826" s="188"/>
      <c r="T826" s="295"/>
      <c r="Y826" s="188"/>
      <c r="AA826" s="295"/>
      <c r="AF826" s="188"/>
      <c r="AH826" s="295"/>
      <c r="AI826" s="188"/>
      <c r="AJ826" s="188"/>
      <c r="AK826" s="188"/>
      <c r="AL826" s="188"/>
      <c r="AM826" s="188"/>
      <c r="AN826" s="188"/>
      <c r="AO826" s="299"/>
      <c r="AS826" s="296"/>
      <c r="AW826" s="296"/>
      <c r="BN826" s="296"/>
      <c r="BO826" s="296"/>
      <c r="CY826" s="294"/>
      <c r="DF826" s="296"/>
    </row>
    <row r="827" spans="2:110" ht="13">
      <c r="B827" s="294"/>
      <c r="F827" s="296"/>
      <c r="J827" s="302"/>
      <c r="R827" s="188"/>
      <c r="T827" s="295"/>
      <c r="Y827" s="188"/>
      <c r="AA827" s="295"/>
      <c r="AF827" s="188"/>
      <c r="AH827" s="295"/>
      <c r="AI827" s="188"/>
      <c r="AJ827" s="188"/>
      <c r="AK827" s="188"/>
      <c r="AL827" s="188"/>
      <c r="AM827" s="188"/>
      <c r="AN827" s="188"/>
      <c r="AO827" s="299"/>
      <c r="AS827" s="296"/>
      <c r="AW827" s="296"/>
      <c r="BN827" s="296"/>
      <c r="BO827" s="296"/>
      <c r="CY827" s="294"/>
      <c r="DF827" s="296"/>
    </row>
    <row r="828" spans="2:110" ht="13">
      <c r="B828" s="294"/>
      <c r="F828" s="296"/>
      <c r="J828" s="302"/>
      <c r="R828" s="188"/>
      <c r="T828" s="295"/>
      <c r="Y828" s="188"/>
      <c r="AA828" s="295"/>
      <c r="AF828" s="188"/>
      <c r="AH828" s="295"/>
      <c r="AI828" s="188"/>
      <c r="AJ828" s="188"/>
      <c r="AK828" s="188"/>
      <c r="AL828" s="188"/>
      <c r="AM828" s="188"/>
      <c r="AN828" s="188"/>
      <c r="AO828" s="299"/>
      <c r="AS828" s="296"/>
      <c r="AW828" s="296"/>
      <c r="BN828" s="296"/>
      <c r="BO828" s="296"/>
      <c r="CY828" s="294"/>
      <c r="DF828" s="296"/>
    </row>
    <row r="829" spans="2:110" ht="13">
      <c r="B829" s="294"/>
      <c r="F829" s="296"/>
      <c r="J829" s="302"/>
      <c r="R829" s="188"/>
      <c r="T829" s="295"/>
      <c r="Y829" s="188"/>
      <c r="AA829" s="295"/>
      <c r="AF829" s="188"/>
      <c r="AH829" s="295"/>
      <c r="AI829" s="188"/>
      <c r="AJ829" s="188"/>
      <c r="AK829" s="188"/>
      <c r="AL829" s="188"/>
      <c r="AM829" s="188"/>
      <c r="AN829" s="188"/>
      <c r="AO829" s="299"/>
      <c r="AS829" s="296"/>
      <c r="AW829" s="296"/>
      <c r="BN829" s="296"/>
      <c r="BO829" s="296"/>
      <c r="CY829" s="294"/>
      <c r="DF829" s="296"/>
    </row>
    <row r="830" spans="2:110" ht="13">
      <c r="B830" s="294"/>
      <c r="F830" s="296"/>
      <c r="J830" s="302"/>
      <c r="R830" s="188"/>
      <c r="T830" s="295"/>
      <c r="Y830" s="188"/>
      <c r="AA830" s="295"/>
      <c r="AF830" s="188"/>
      <c r="AH830" s="295"/>
      <c r="AI830" s="188"/>
      <c r="AJ830" s="188"/>
      <c r="AK830" s="188"/>
      <c r="AL830" s="188"/>
      <c r="AM830" s="188"/>
      <c r="AN830" s="188"/>
      <c r="AO830" s="299"/>
      <c r="AS830" s="296"/>
      <c r="AW830" s="296"/>
      <c r="BN830" s="296"/>
      <c r="BO830" s="296"/>
      <c r="CY830" s="294"/>
      <c r="DF830" s="296"/>
    </row>
    <row r="831" spans="2:110" ht="13">
      <c r="B831" s="294"/>
      <c r="F831" s="296"/>
      <c r="J831" s="302"/>
      <c r="R831" s="188"/>
      <c r="T831" s="295"/>
      <c r="Y831" s="188"/>
      <c r="AA831" s="295"/>
      <c r="AF831" s="188"/>
      <c r="AH831" s="295"/>
      <c r="AI831" s="188"/>
      <c r="AJ831" s="188"/>
      <c r="AK831" s="188"/>
      <c r="AL831" s="188"/>
      <c r="AM831" s="188"/>
      <c r="AN831" s="188"/>
      <c r="AO831" s="299"/>
      <c r="AS831" s="296"/>
      <c r="AW831" s="296"/>
      <c r="BN831" s="296"/>
      <c r="BO831" s="296"/>
      <c r="CY831" s="294"/>
      <c r="DF831" s="296"/>
    </row>
    <row r="832" spans="2:110" ht="13">
      <c r="B832" s="294"/>
      <c r="F832" s="296"/>
      <c r="J832" s="302"/>
      <c r="R832" s="188"/>
      <c r="T832" s="295"/>
      <c r="Y832" s="188"/>
      <c r="AA832" s="295"/>
      <c r="AF832" s="188"/>
      <c r="AH832" s="295"/>
      <c r="AI832" s="188"/>
      <c r="AJ832" s="188"/>
      <c r="AK832" s="188"/>
      <c r="AL832" s="188"/>
      <c r="AM832" s="188"/>
      <c r="AN832" s="188"/>
      <c r="AO832" s="299"/>
      <c r="AS832" s="296"/>
      <c r="AW832" s="296"/>
      <c r="BN832" s="296"/>
      <c r="BO832" s="296"/>
      <c r="CY832" s="294"/>
      <c r="DF832" s="296"/>
    </row>
    <row r="833" spans="2:110" ht="13">
      <c r="B833" s="294"/>
      <c r="F833" s="296"/>
      <c r="J833" s="302"/>
      <c r="R833" s="188"/>
      <c r="T833" s="295"/>
      <c r="Y833" s="188"/>
      <c r="AA833" s="295"/>
      <c r="AF833" s="188"/>
      <c r="AH833" s="295"/>
      <c r="AI833" s="188"/>
      <c r="AJ833" s="188"/>
      <c r="AK833" s="188"/>
      <c r="AL833" s="188"/>
      <c r="AM833" s="188"/>
      <c r="AN833" s="188"/>
      <c r="AO833" s="299"/>
      <c r="AS833" s="296"/>
      <c r="AW833" s="296"/>
      <c r="BN833" s="296"/>
      <c r="BO833" s="296"/>
      <c r="CY833" s="294"/>
      <c r="DF833" s="296"/>
    </row>
    <row r="834" spans="2:110" ht="13">
      <c r="B834" s="294"/>
      <c r="F834" s="296"/>
      <c r="J834" s="302"/>
      <c r="R834" s="188"/>
      <c r="T834" s="295"/>
      <c r="Y834" s="188"/>
      <c r="AA834" s="295"/>
      <c r="AF834" s="188"/>
      <c r="AH834" s="295"/>
      <c r="AI834" s="188"/>
      <c r="AJ834" s="188"/>
      <c r="AK834" s="188"/>
      <c r="AL834" s="188"/>
      <c r="AM834" s="188"/>
      <c r="AN834" s="188"/>
      <c r="AO834" s="299"/>
      <c r="AS834" s="296"/>
      <c r="AW834" s="296"/>
      <c r="BN834" s="296"/>
      <c r="BO834" s="296"/>
      <c r="CY834" s="294"/>
      <c r="DF834" s="296"/>
    </row>
    <row r="835" spans="2:110" ht="13">
      <c r="B835" s="294"/>
      <c r="F835" s="296"/>
      <c r="J835" s="302"/>
      <c r="R835" s="188"/>
      <c r="T835" s="295"/>
      <c r="Y835" s="188"/>
      <c r="AA835" s="295"/>
      <c r="AF835" s="188"/>
      <c r="AH835" s="295"/>
      <c r="AI835" s="188"/>
      <c r="AJ835" s="188"/>
      <c r="AK835" s="188"/>
      <c r="AL835" s="188"/>
      <c r="AM835" s="188"/>
      <c r="AN835" s="188"/>
      <c r="AO835" s="299"/>
      <c r="AS835" s="296"/>
      <c r="AW835" s="296"/>
      <c r="BN835" s="296"/>
      <c r="BO835" s="296"/>
      <c r="CY835" s="294"/>
      <c r="DF835" s="296"/>
    </row>
    <row r="836" spans="2:110" ht="13">
      <c r="B836" s="294"/>
      <c r="F836" s="296"/>
      <c r="J836" s="302"/>
      <c r="R836" s="188"/>
      <c r="T836" s="295"/>
      <c r="Y836" s="188"/>
      <c r="AA836" s="295"/>
      <c r="AF836" s="188"/>
      <c r="AH836" s="295"/>
      <c r="AI836" s="188"/>
      <c r="AJ836" s="188"/>
      <c r="AK836" s="188"/>
      <c r="AL836" s="188"/>
      <c r="AM836" s="188"/>
      <c r="AN836" s="188"/>
      <c r="AO836" s="299"/>
      <c r="AS836" s="296"/>
      <c r="AW836" s="296"/>
      <c r="BN836" s="296"/>
      <c r="BO836" s="296"/>
      <c r="CY836" s="294"/>
      <c r="DF836" s="296"/>
    </row>
    <row r="837" spans="2:110" ht="13">
      <c r="B837" s="294"/>
      <c r="F837" s="296"/>
      <c r="J837" s="302"/>
      <c r="R837" s="188"/>
      <c r="T837" s="295"/>
      <c r="Y837" s="188"/>
      <c r="AA837" s="295"/>
      <c r="AF837" s="188"/>
      <c r="AH837" s="295"/>
      <c r="AI837" s="188"/>
      <c r="AJ837" s="188"/>
      <c r="AK837" s="188"/>
      <c r="AL837" s="188"/>
      <c r="AM837" s="188"/>
      <c r="AN837" s="188"/>
      <c r="AO837" s="299"/>
      <c r="AS837" s="296"/>
      <c r="AW837" s="296"/>
      <c r="BN837" s="296"/>
      <c r="BO837" s="296"/>
      <c r="CY837" s="294"/>
      <c r="DF837" s="296"/>
    </row>
    <row r="838" spans="2:110" ht="13">
      <c r="B838" s="294"/>
      <c r="F838" s="296"/>
      <c r="J838" s="302"/>
      <c r="R838" s="188"/>
      <c r="T838" s="295"/>
      <c r="Y838" s="188"/>
      <c r="AA838" s="295"/>
      <c r="AF838" s="188"/>
      <c r="AH838" s="295"/>
      <c r="AI838" s="188"/>
      <c r="AJ838" s="188"/>
      <c r="AK838" s="188"/>
      <c r="AL838" s="188"/>
      <c r="AM838" s="188"/>
      <c r="AN838" s="188"/>
      <c r="AO838" s="299"/>
      <c r="AS838" s="296"/>
      <c r="AW838" s="296"/>
      <c r="BN838" s="296"/>
      <c r="BO838" s="296"/>
      <c r="CY838" s="294"/>
      <c r="DF838" s="296"/>
    </row>
    <row r="839" spans="2:110" ht="13">
      <c r="B839" s="294"/>
      <c r="F839" s="296"/>
      <c r="J839" s="302"/>
      <c r="R839" s="188"/>
      <c r="T839" s="295"/>
      <c r="Y839" s="188"/>
      <c r="AA839" s="295"/>
      <c r="AF839" s="188"/>
      <c r="AH839" s="295"/>
      <c r="AI839" s="188"/>
      <c r="AJ839" s="188"/>
      <c r="AK839" s="188"/>
      <c r="AL839" s="188"/>
      <c r="AM839" s="188"/>
      <c r="AN839" s="188"/>
      <c r="AO839" s="299"/>
      <c r="AS839" s="296"/>
      <c r="AW839" s="296"/>
      <c r="BN839" s="296"/>
      <c r="BO839" s="296"/>
      <c r="CY839" s="294"/>
      <c r="DF839" s="296"/>
    </row>
    <row r="840" spans="2:110" ht="13">
      <c r="B840" s="294"/>
      <c r="F840" s="296"/>
      <c r="J840" s="302"/>
      <c r="R840" s="188"/>
      <c r="T840" s="295"/>
      <c r="Y840" s="188"/>
      <c r="AA840" s="295"/>
      <c r="AF840" s="188"/>
      <c r="AH840" s="295"/>
      <c r="AI840" s="188"/>
      <c r="AJ840" s="188"/>
      <c r="AK840" s="188"/>
      <c r="AL840" s="188"/>
      <c r="AM840" s="188"/>
      <c r="AN840" s="188"/>
      <c r="AO840" s="299"/>
      <c r="AS840" s="296"/>
      <c r="AW840" s="296"/>
      <c r="BN840" s="296"/>
      <c r="BO840" s="296"/>
      <c r="CY840" s="294"/>
      <c r="DF840" s="296"/>
    </row>
    <row r="841" spans="2:110" ht="13">
      <c r="B841" s="294"/>
      <c r="F841" s="296"/>
      <c r="J841" s="302"/>
      <c r="R841" s="188"/>
      <c r="T841" s="295"/>
      <c r="Y841" s="188"/>
      <c r="AA841" s="295"/>
      <c r="AF841" s="188"/>
      <c r="AH841" s="295"/>
      <c r="AI841" s="188"/>
      <c r="AJ841" s="188"/>
      <c r="AK841" s="188"/>
      <c r="AL841" s="188"/>
      <c r="AM841" s="188"/>
      <c r="AN841" s="188"/>
      <c r="AO841" s="299"/>
      <c r="AS841" s="296"/>
      <c r="AW841" s="296"/>
      <c r="BN841" s="296"/>
      <c r="BO841" s="296"/>
      <c r="CY841" s="294"/>
      <c r="DF841" s="296"/>
    </row>
    <row r="842" spans="2:110" ht="13">
      <c r="B842" s="294"/>
      <c r="F842" s="296"/>
      <c r="J842" s="302"/>
      <c r="R842" s="188"/>
      <c r="T842" s="295"/>
      <c r="Y842" s="188"/>
      <c r="AA842" s="295"/>
      <c r="AF842" s="188"/>
      <c r="AH842" s="295"/>
      <c r="AI842" s="188"/>
      <c r="AJ842" s="188"/>
      <c r="AK842" s="188"/>
      <c r="AL842" s="188"/>
      <c r="AM842" s="188"/>
      <c r="AN842" s="188"/>
      <c r="AO842" s="299"/>
      <c r="AS842" s="296"/>
      <c r="AW842" s="296"/>
      <c r="BN842" s="296"/>
      <c r="BO842" s="296"/>
      <c r="CY842" s="294"/>
      <c r="DF842" s="296"/>
    </row>
    <row r="843" spans="2:110" ht="13">
      <c r="B843" s="294"/>
      <c r="F843" s="296"/>
      <c r="J843" s="302"/>
      <c r="R843" s="188"/>
      <c r="T843" s="295"/>
      <c r="Y843" s="188"/>
      <c r="AA843" s="295"/>
      <c r="AF843" s="188"/>
      <c r="AH843" s="295"/>
      <c r="AI843" s="188"/>
      <c r="AJ843" s="188"/>
      <c r="AK843" s="188"/>
      <c r="AL843" s="188"/>
      <c r="AM843" s="188"/>
      <c r="AN843" s="188"/>
      <c r="AO843" s="299"/>
      <c r="AS843" s="296"/>
      <c r="AW843" s="296"/>
      <c r="BN843" s="296"/>
      <c r="BO843" s="296"/>
      <c r="CY843" s="294"/>
      <c r="DF843" s="296"/>
    </row>
    <row r="844" spans="2:110" ht="13">
      <c r="B844" s="294"/>
      <c r="F844" s="296"/>
      <c r="J844" s="302"/>
      <c r="R844" s="188"/>
      <c r="T844" s="295"/>
      <c r="Y844" s="188"/>
      <c r="AA844" s="295"/>
      <c r="AF844" s="188"/>
      <c r="AH844" s="295"/>
      <c r="AI844" s="188"/>
      <c r="AJ844" s="188"/>
      <c r="AK844" s="188"/>
      <c r="AL844" s="188"/>
      <c r="AM844" s="188"/>
      <c r="AN844" s="188"/>
      <c r="AO844" s="299"/>
      <c r="AS844" s="296"/>
      <c r="AW844" s="296"/>
      <c r="BN844" s="296"/>
      <c r="BO844" s="296"/>
      <c r="CY844" s="294"/>
      <c r="DF844" s="296"/>
    </row>
    <row r="845" spans="2:110" ht="13">
      <c r="B845" s="294"/>
      <c r="F845" s="296"/>
      <c r="J845" s="302"/>
      <c r="R845" s="188"/>
      <c r="T845" s="295"/>
      <c r="Y845" s="188"/>
      <c r="AA845" s="295"/>
      <c r="AF845" s="188"/>
      <c r="AH845" s="295"/>
      <c r="AI845" s="188"/>
      <c r="AJ845" s="188"/>
      <c r="AK845" s="188"/>
      <c r="AL845" s="188"/>
      <c r="AM845" s="188"/>
      <c r="AN845" s="188"/>
      <c r="AO845" s="299"/>
      <c r="AS845" s="296"/>
      <c r="AW845" s="296"/>
      <c r="BN845" s="296"/>
      <c r="BO845" s="296"/>
      <c r="CY845" s="294"/>
      <c r="DF845" s="296"/>
    </row>
    <row r="846" spans="2:110" ht="13">
      <c r="B846" s="294"/>
      <c r="F846" s="296"/>
      <c r="J846" s="302"/>
      <c r="R846" s="188"/>
      <c r="T846" s="295"/>
      <c r="Y846" s="188"/>
      <c r="AA846" s="295"/>
      <c r="AF846" s="188"/>
      <c r="AH846" s="295"/>
      <c r="AI846" s="188"/>
      <c r="AJ846" s="188"/>
      <c r="AK846" s="188"/>
      <c r="AL846" s="188"/>
      <c r="AM846" s="188"/>
      <c r="AN846" s="188"/>
      <c r="AO846" s="299"/>
      <c r="AS846" s="296"/>
      <c r="AW846" s="296"/>
      <c r="BN846" s="296"/>
      <c r="BO846" s="296"/>
      <c r="CY846" s="294"/>
      <c r="DF846" s="296"/>
    </row>
    <row r="847" spans="2:110" ht="13">
      <c r="B847" s="294"/>
      <c r="F847" s="296"/>
      <c r="J847" s="302"/>
      <c r="R847" s="188"/>
      <c r="T847" s="295"/>
      <c r="Y847" s="188"/>
      <c r="AA847" s="295"/>
      <c r="AF847" s="188"/>
      <c r="AH847" s="295"/>
      <c r="AI847" s="188"/>
      <c r="AJ847" s="188"/>
      <c r="AK847" s="188"/>
      <c r="AL847" s="188"/>
      <c r="AM847" s="188"/>
      <c r="AN847" s="188"/>
      <c r="AO847" s="299"/>
      <c r="AS847" s="296"/>
      <c r="AW847" s="296"/>
      <c r="BN847" s="296"/>
      <c r="BO847" s="296"/>
      <c r="CY847" s="294"/>
      <c r="DF847" s="296"/>
    </row>
    <row r="848" spans="2:110" ht="13">
      <c r="B848" s="294"/>
      <c r="F848" s="296"/>
      <c r="J848" s="302"/>
      <c r="R848" s="188"/>
      <c r="T848" s="295"/>
      <c r="Y848" s="188"/>
      <c r="AA848" s="295"/>
      <c r="AF848" s="188"/>
      <c r="AH848" s="295"/>
      <c r="AI848" s="188"/>
      <c r="AJ848" s="188"/>
      <c r="AK848" s="188"/>
      <c r="AL848" s="188"/>
      <c r="AM848" s="188"/>
      <c r="AN848" s="188"/>
      <c r="AO848" s="299"/>
      <c r="AS848" s="296"/>
      <c r="AW848" s="296"/>
      <c r="BN848" s="296"/>
      <c r="BO848" s="296"/>
      <c r="CY848" s="294"/>
      <c r="DF848" s="296"/>
    </row>
    <row r="849" spans="2:110" ht="13">
      <c r="B849" s="294"/>
      <c r="F849" s="296"/>
      <c r="J849" s="302"/>
      <c r="R849" s="188"/>
      <c r="T849" s="295"/>
      <c r="Y849" s="188"/>
      <c r="AA849" s="295"/>
      <c r="AF849" s="188"/>
      <c r="AH849" s="295"/>
      <c r="AI849" s="188"/>
      <c r="AJ849" s="188"/>
      <c r="AK849" s="188"/>
      <c r="AL849" s="188"/>
      <c r="AM849" s="188"/>
      <c r="AN849" s="188"/>
      <c r="AO849" s="299"/>
      <c r="AS849" s="296"/>
      <c r="AW849" s="296"/>
      <c r="BN849" s="296"/>
      <c r="BO849" s="296"/>
      <c r="CY849" s="294"/>
      <c r="DF849" s="296"/>
    </row>
    <row r="850" spans="2:110" ht="13">
      <c r="B850" s="294"/>
      <c r="F850" s="296"/>
      <c r="J850" s="302"/>
      <c r="R850" s="188"/>
      <c r="T850" s="295"/>
      <c r="Y850" s="188"/>
      <c r="AA850" s="295"/>
      <c r="AF850" s="188"/>
      <c r="AH850" s="295"/>
      <c r="AI850" s="188"/>
      <c r="AJ850" s="188"/>
      <c r="AK850" s="188"/>
      <c r="AL850" s="188"/>
      <c r="AM850" s="188"/>
      <c r="AN850" s="188"/>
      <c r="AO850" s="299"/>
      <c r="AS850" s="296"/>
      <c r="AW850" s="296"/>
      <c r="BN850" s="296"/>
      <c r="BO850" s="296"/>
      <c r="CY850" s="294"/>
      <c r="DF850" s="296"/>
    </row>
    <row r="851" spans="2:110" ht="13">
      <c r="B851" s="294"/>
      <c r="F851" s="296"/>
      <c r="J851" s="302"/>
      <c r="R851" s="188"/>
      <c r="T851" s="295"/>
      <c r="Y851" s="188"/>
      <c r="AA851" s="295"/>
      <c r="AF851" s="188"/>
      <c r="AH851" s="295"/>
      <c r="AI851" s="188"/>
      <c r="AJ851" s="188"/>
      <c r="AK851" s="188"/>
      <c r="AL851" s="188"/>
      <c r="AM851" s="188"/>
      <c r="AN851" s="188"/>
      <c r="AO851" s="299"/>
      <c r="AS851" s="296"/>
      <c r="AW851" s="296"/>
      <c r="BN851" s="296"/>
      <c r="BO851" s="296"/>
      <c r="CY851" s="294"/>
      <c r="DF851" s="296"/>
    </row>
    <row r="852" spans="2:110" ht="13">
      <c r="B852" s="294"/>
      <c r="F852" s="296"/>
      <c r="J852" s="302"/>
      <c r="R852" s="188"/>
      <c r="T852" s="295"/>
      <c r="Y852" s="188"/>
      <c r="AA852" s="295"/>
      <c r="AF852" s="188"/>
      <c r="AH852" s="295"/>
      <c r="AI852" s="188"/>
      <c r="AJ852" s="188"/>
      <c r="AK852" s="188"/>
      <c r="AL852" s="188"/>
      <c r="AM852" s="188"/>
      <c r="AN852" s="188"/>
      <c r="AO852" s="299"/>
      <c r="AS852" s="296"/>
      <c r="AW852" s="296"/>
      <c r="BN852" s="296"/>
      <c r="BO852" s="296"/>
      <c r="CY852" s="294"/>
      <c r="DF852" s="296"/>
    </row>
    <row r="853" spans="2:110" ht="13">
      <c r="B853" s="294"/>
      <c r="F853" s="296"/>
      <c r="J853" s="302"/>
      <c r="R853" s="188"/>
      <c r="T853" s="295"/>
      <c r="Y853" s="188"/>
      <c r="AA853" s="295"/>
      <c r="AF853" s="188"/>
      <c r="AH853" s="295"/>
      <c r="AI853" s="188"/>
      <c r="AJ853" s="188"/>
      <c r="AK853" s="188"/>
      <c r="AL853" s="188"/>
      <c r="AM853" s="188"/>
      <c r="AN853" s="188"/>
      <c r="AO853" s="299"/>
      <c r="AS853" s="296"/>
      <c r="AW853" s="296"/>
      <c r="BN853" s="296"/>
      <c r="BO853" s="296"/>
      <c r="CY853" s="294"/>
      <c r="DF853" s="296"/>
    </row>
    <row r="854" spans="2:110" ht="13">
      <c r="B854" s="294"/>
      <c r="F854" s="296"/>
      <c r="J854" s="302"/>
      <c r="R854" s="188"/>
      <c r="T854" s="295"/>
      <c r="Y854" s="188"/>
      <c r="AA854" s="295"/>
      <c r="AF854" s="188"/>
      <c r="AH854" s="295"/>
      <c r="AI854" s="188"/>
      <c r="AJ854" s="188"/>
      <c r="AK854" s="188"/>
      <c r="AL854" s="188"/>
      <c r="AM854" s="188"/>
      <c r="AN854" s="188"/>
      <c r="AO854" s="299"/>
      <c r="AS854" s="296"/>
      <c r="AW854" s="296"/>
      <c r="BN854" s="296"/>
      <c r="BO854" s="296"/>
      <c r="CY854" s="294"/>
      <c r="DF854" s="296"/>
    </row>
    <row r="855" spans="2:110" ht="13">
      <c r="B855" s="294"/>
      <c r="F855" s="296"/>
      <c r="J855" s="302"/>
      <c r="R855" s="188"/>
      <c r="T855" s="295"/>
      <c r="Y855" s="188"/>
      <c r="AA855" s="295"/>
      <c r="AF855" s="188"/>
      <c r="AH855" s="295"/>
      <c r="AI855" s="188"/>
      <c r="AJ855" s="188"/>
      <c r="AK855" s="188"/>
      <c r="AL855" s="188"/>
      <c r="AM855" s="188"/>
      <c r="AN855" s="188"/>
      <c r="AO855" s="299"/>
      <c r="AS855" s="296"/>
      <c r="AW855" s="296"/>
      <c r="BN855" s="296"/>
      <c r="BO855" s="296"/>
      <c r="CY855" s="294"/>
      <c r="DF855" s="296"/>
    </row>
    <row r="856" spans="2:110" ht="13">
      <c r="B856" s="294"/>
      <c r="F856" s="296"/>
      <c r="J856" s="302"/>
      <c r="R856" s="188"/>
      <c r="T856" s="295"/>
      <c r="Y856" s="188"/>
      <c r="AA856" s="295"/>
      <c r="AF856" s="188"/>
      <c r="AH856" s="295"/>
      <c r="AI856" s="188"/>
      <c r="AJ856" s="188"/>
      <c r="AK856" s="188"/>
      <c r="AL856" s="188"/>
      <c r="AM856" s="188"/>
      <c r="AN856" s="188"/>
      <c r="AO856" s="299"/>
      <c r="AS856" s="296"/>
      <c r="AW856" s="296"/>
      <c r="BN856" s="296"/>
      <c r="BO856" s="296"/>
      <c r="CY856" s="294"/>
      <c r="DF856" s="296"/>
    </row>
    <row r="857" spans="2:110" ht="13">
      <c r="B857" s="294"/>
      <c r="F857" s="296"/>
      <c r="J857" s="302"/>
      <c r="R857" s="188"/>
      <c r="T857" s="295"/>
      <c r="Y857" s="188"/>
      <c r="AA857" s="295"/>
      <c r="AF857" s="188"/>
      <c r="AH857" s="295"/>
      <c r="AI857" s="188"/>
      <c r="AJ857" s="188"/>
      <c r="AK857" s="188"/>
      <c r="AL857" s="188"/>
      <c r="AM857" s="188"/>
      <c r="AN857" s="188"/>
      <c r="AO857" s="299"/>
      <c r="AS857" s="296"/>
      <c r="AW857" s="296"/>
      <c r="BN857" s="296"/>
      <c r="BO857" s="296"/>
      <c r="CY857" s="294"/>
      <c r="DF857" s="296"/>
    </row>
    <row r="858" spans="2:110" ht="13">
      <c r="B858" s="294"/>
      <c r="F858" s="296"/>
      <c r="J858" s="302"/>
      <c r="R858" s="188"/>
      <c r="T858" s="295"/>
      <c r="Y858" s="188"/>
      <c r="AA858" s="295"/>
      <c r="AF858" s="188"/>
      <c r="AH858" s="295"/>
      <c r="AI858" s="188"/>
      <c r="AJ858" s="188"/>
      <c r="AK858" s="188"/>
      <c r="AL858" s="188"/>
      <c r="AM858" s="188"/>
      <c r="AN858" s="188"/>
      <c r="AO858" s="299"/>
      <c r="AS858" s="296"/>
      <c r="AW858" s="296"/>
      <c r="BN858" s="296"/>
      <c r="BO858" s="296"/>
      <c r="CY858" s="294"/>
      <c r="DF858" s="296"/>
    </row>
    <row r="859" spans="2:110" ht="13">
      <c r="B859" s="294"/>
      <c r="F859" s="296"/>
      <c r="J859" s="302"/>
      <c r="R859" s="188"/>
      <c r="T859" s="295"/>
      <c r="Y859" s="188"/>
      <c r="AA859" s="295"/>
      <c r="AF859" s="188"/>
      <c r="AH859" s="295"/>
      <c r="AI859" s="188"/>
      <c r="AJ859" s="188"/>
      <c r="AK859" s="188"/>
      <c r="AL859" s="188"/>
      <c r="AM859" s="188"/>
      <c r="AN859" s="188"/>
      <c r="AO859" s="299"/>
      <c r="AS859" s="296"/>
      <c r="AW859" s="296"/>
      <c r="BN859" s="296"/>
      <c r="BO859" s="296"/>
      <c r="CY859" s="294"/>
      <c r="DF859" s="296"/>
    </row>
    <row r="860" spans="2:110" ht="13">
      <c r="B860" s="294"/>
      <c r="F860" s="296"/>
      <c r="J860" s="302"/>
      <c r="R860" s="188"/>
      <c r="T860" s="295"/>
      <c r="Y860" s="188"/>
      <c r="AA860" s="295"/>
      <c r="AF860" s="188"/>
      <c r="AH860" s="295"/>
      <c r="AI860" s="188"/>
      <c r="AJ860" s="188"/>
      <c r="AK860" s="188"/>
      <c r="AL860" s="188"/>
      <c r="AM860" s="188"/>
      <c r="AN860" s="188"/>
      <c r="AO860" s="299"/>
      <c r="AS860" s="296"/>
      <c r="AW860" s="296"/>
      <c r="BN860" s="296"/>
      <c r="BO860" s="296"/>
      <c r="CY860" s="294"/>
      <c r="DF860" s="296"/>
    </row>
    <row r="861" spans="2:110" ht="13">
      <c r="B861" s="294"/>
      <c r="F861" s="296"/>
      <c r="J861" s="302"/>
      <c r="R861" s="188"/>
      <c r="T861" s="295"/>
      <c r="Y861" s="188"/>
      <c r="AA861" s="295"/>
      <c r="AF861" s="188"/>
      <c r="AH861" s="295"/>
      <c r="AI861" s="188"/>
      <c r="AJ861" s="188"/>
      <c r="AK861" s="188"/>
      <c r="AL861" s="188"/>
      <c r="AM861" s="188"/>
      <c r="AN861" s="188"/>
      <c r="AO861" s="299"/>
      <c r="AS861" s="296"/>
      <c r="AW861" s="296"/>
      <c r="BN861" s="296"/>
      <c r="BO861" s="296"/>
      <c r="CY861" s="294"/>
      <c r="DF861" s="296"/>
    </row>
    <row r="862" spans="2:110" ht="13">
      <c r="B862" s="294"/>
      <c r="F862" s="296"/>
      <c r="J862" s="302"/>
      <c r="R862" s="188"/>
      <c r="T862" s="295"/>
      <c r="Y862" s="188"/>
      <c r="AA862" s="295"/>
      <c r="AF862" s="188"/>
      <c r="AH862" s="295"/>
      <c r="AI862" s="188"/>
      <c r="AJ862" s="188"/>
      <c r="AK862" s="188"/>
      <c r="AL862" s="188"/>
      <c r="AM862" s="188"/>
      <c r="AN862" s="188"/>
      <c r="AO862" s="299"/>
      <c r="AS862" s="296"/>
      <c r="AW862" s="296"/>
      <c r="BN862" s="296"/>
      <c r="BO862" s="296"/>
      <c r="CY862" s="294"/>
      <c r="DF862" s="296"/>
    </row>
    <row r="863" spans="2:110" ht="13">
      <c r="B863" s="294"/>
      <c r="F863" s="296"/>
      <c r="J863" s="302"/>
      <c r="R863" s="188"/>
      <c r="T863" s="295"/>
      <c r="Y863" s="188"/>
      <c r="AA863" s="295"/>
      <c r="AF863" s="188"/>
      <c r="AH863" s="295"/>
      <c r="AI863" s="188"/>
      <c r="AJ863" s="188"/>
      <c r="AK863" s="188"/>
      <c r="AL863" s="188"/>
      <c r="AM863" s="188"/>
      <c r="AN863" s="188"/>
      <c r="AO863" s="299"/>
      <c r="AS863" s="296"/>
      <c r="AW863" s="296"/>
      <c r="BN863" s="296"/>
      <c r="BO863" s="296"/>
      <c r="CY863" s="294"/>
      <c r="DF863" s="296"/>
    </row>
    <row r="864" spans="2:110" ht="13">
      <c r="B864" s="294"/>
      <c r="F864" s="296"/>
      <c r="J864" s="302"/>
      <c r="R864" s="188"/>
      <c r="T864" s="295"/>
      <c r="Y864" s="188"/>
      <c r="AA864" s="295"/>
      <c r="AF864" s="188"/>
      <c r="AH864" s="295"/>
      <c r="AI864" s="188"/>
      <c r="AJ864" s="188"/>
      <c r="AK864" s="188"/>
      <c r="AL864" s="188"/>
      <c r="AM864" s="188"/>
      <c r="AN864" s="188"/>
      <c r="AO864" s="299"/>
      <c r="AS864" s="296"/>
      <c r="AW864" s="296"/>
      <c r="BN864" s="296"/>
      <c r="BO864" s="296"/>
      <c r="CY864" s="294"/>
      <c r="DF864" s="296"/>
    </row>
    <row r="865" spans="2:110" ht="13">
      <c r="B865" s="294"/>
      <c r="F865" s="296"/>
      <c r="J865" s="302"/>
      <c r="R865" s="188"/>
      <c r="T865" s="295"/>
      <c r="Y865" s="188"/>
      <c r="AA865" s="295"/>
      <c r="AF865" s="188"/>
      <c r="AH865" s="295"/>
      <c r="AI865" s="188"/>
      <c r="AJ865" s="188"/>
      <c r="AK865" s="188"/>
      <c r="AL865" s="188"/>
      <c r="AM865" s="188"/>
      <c r="AN865" s="188"/>
      <c r="AO865" s="299"/>
      <c r="AS865" s="296"/>
      <c r="AW865" s="296"/>
      <c r="BN865" s="296"/>
      <c r="BO865" s="296"/>
      <c r="CY865" s="294"/>
      <c r="DF865" s="296"/>
    </row>
    <row r="866" spans="2:110" ht="13">
      <c r="B866" s="294"/>
      <c r="F866" s="296"/>
      <c r="J866" s="302"/>
      <c r="R866" s="188"/>
      <c r="T866" s="295"/>
      <c r="Y866" s="188"/>
      <c r="AA866" s="295"/>
      <c r="AF866" s="188"/>
      <c r="AH866" s="295"/>
      <c r="AI866" s="188"/>
      <c r="AJ866" s="188"/>
      <c r="AK866" s="188"/>
      <c r="AL866" s="188"/>
      <c r="AM866" s="188"/>
      <c r="AN866" s="188"/>
      <c r="AO866" s="299"/>
      <c r="AS866" s="296"/>
      <c r="AW866" s="296"/>
      <c r="BN866" s="296"/>
      <c r="BO866" s="296"/>
      <c r="CY866" s="294"/>
      <c r="DF866" s="296"/>
    </row>
    <row r="867" spans="2:110" ht="13">
      <c r="B867" s="294"/>
      <c r="F867" s="296"/>
      <c r="J867" s="302"/>
      <c r="R867" s="188"/>
      <c r="T867" s="295"/>
      <c r="Y867" s="188"/>
      <c r="AA867" s="295"/>
      <c r="AF867" s="188"/>
      <c r="AH867" s="295"/>
      <c r="AI867" s="188"/>
      <c r="AJ867" s="188"/>
      <c r="AK867" s="188"/>
      <c r="AL867" s="188"/>
      <c r="AM867" s="188"/>
      <c r="AN867" s="188"/>
      <c r="AO867" s="299"/>
      <c r="AS867" s="296"/>
      <c r="AW867" s="296"/>
      <c r="BN867" s="296"/>
      <c r="BO867" s="296"/>
      <c r="CY867" s="294"/>
      <c r="DF867" s="296"/>
    </row>
    <row r="868" spans="2:110" ht="13">
      <c r="B868" s="294"/>
      <c r="F868" s="296"/>
      <c r="J868" s="302"/>
      <c r="R868" s="188"/>
      <c r="T868" s="295"/>
      <c r="Y868" s="188"/>
      <c r="AA868" s="295"/>
      <c r="AF868" s="188"/>
      <c r="AH868" s="295"/>
      <c r="AI868" s="188"/>
      <c r="AJ868" s="188"/>
      <c r="AK868" s="188"/>
      <c r="AL868" s="188"/>
      <c r="AM868" s="188"/>
      <c r="AN868" s="188"/>
      <c r="AO868" s="299"/>
      <c r="AS868" s="296"/>
      <c r="AW868" s="296"/>
      <c r="BN868" s="296"/>
      <c r="BO868" s="296"/>
      <c r="CY868" s="294"/>
      <c r="DF868" s="296"/>
    </row>
    <row r="869" spans="2:110" ht="13">
      <c r="B869" s="294"/>
      <c r="F869" s="296"/>
      <c r="J869" s="302"/>
      <c r="R869" s="188"/>
      <c r="T869" s="295"/>
      <c r="Y869" s="188"/>
      <c r="AA869" s="295"/>
      <c r="AF869" s="188"/>
      <c r="AH869" s="295"/>
      <c r="AI869" s="188"/>
      <c r="AJ869" s="188"/>
      <c r="AK869" s="188"/>
      <c r="AL869" s="188"/>
      <c r="AM869" s="188"/>
      <c r="AN869" s="188"/>
      <c r="AO869" s="299"/>
      <c r="AS869" s="296"/>
      <c r="AW869" s="296"/>
      <c r="BN869" s="296"/>
      <c r="BO869" s="296"/>
      <c r="CY869" s="294"/>
      <c r="DF869" s="296"/>
    </row>
    <row r="870" spans="2:110" ht="13">
      <c r="B870" s="294"/>
      <c r="F870" s="296"/>
      <c r="J870" s="302"/>
      <c r="R870" s="188"/>
      <c r="T870" s="295"/>
      <c r="Y870" s="188"/>
      <c r="AA870" s="295"/>
      <c r="AF870" s="188"/>
      <c r="AH870" s="295"/>
      <c r="AI870" s="188"/>
      <c r="AJ870" s="188"/>
      <c r="AK870" s="188"/>
      <c r="AL870" s="188"/>
      <c r="AM870" s="188"/>
      <c r="AN870" s="188"/>
      <c r="AO870" s="299"/>
      <c r="AS870" s="296"/>
      <c r="AW870" s="296"/>
      <c r="BN870" s="296"/>
      <c r="BO870" s="296"/>
      <c r="CY870" s="294"/>
      <c r="DF870" s="296"/>
    </row>
    <row r="871" spans="2:110" ht="13">
      <c r="B871" s="294"/>
      <c r="F871" s="296"/>
      <c r="J871" s="302"/>
      <c r="R871" s="188"/>
      <c r="T871" s="295"/>
      <c r="Y871" s="188"/>
      <c r="AA871" s="295"/>
      <c r="AF871" s="188"/>
      <c r="AH871" s="295"/>
      <c r="AI871" s="188"/>
      <c r="AJ871" s="188"/>
      <c r="AK871" s="188"/>
      <c r="AL871" s="188"/>
      <c r="AM871" s="188"/>
      <c r="AN871" s="188"/>
      <c r="AO871" s="299"/>
      <c r="AS871" s="296"/>
      <c r="AW871" s="296"/>
      <c r="BN871" s="296"/>
      <c r="BO871" s="296"/>
      <c r="CY871" s="294"/>
      <c r="DF871" s="296"/>
    </row>
    <row r="872" spans="2:110" ht="13">
      <c r="B872" s="294"/>
      <c r="F872" s="296"/>
      <c r="J872" s="302"/>
      <c r="R872" s="188"/>
      <c r="T872" s="295"/>
      <c r="Y872" s="188"/>
      <c r="AA872" s="295"/>
      <c r="AF872" s="188"/>
      <c r="AH872" s="295"/>
      <c r="AI872" s="188"/>
      <c r="AJ872" s="188"/>
      <c r="AK872" s="188"/>
      <c r="AL872" s="188"/>
      <c r="AM872" s="188"/>
      <c r="AN872" s="188"/>
      <c r="AO872" s="299"/>
      <c r="AS872" s="296"/>
      <c r="AW872" s="296"/>
      <c r="BN872" s="296"/>
      <c r="BO872" s="296"/>
      <c r="CY872" s="294"/>
      <c r="DF872" s="296"/>
    </row>
    <row r="873" spans="2:110" ht="13">
      <c r="B873" s="294"/>
      <c r="F873" s="296"/>
      <c r="J873" s="302"/>
      <c r="R873" s="188"/>
      <c r="T873" s="295"/>
      <c r="Y873" s="188"/>
      <c r="AA873" s="295"/>
      <c r="AF873" s="188"/>
      <c r="AH873" s="295"/>
      <c r="AI873" s="188"/>
      <c r="AJ873" s="188"/>
      <c r="AK873" s="188"/>
      <c r="AL873" s="188"/>
      <c r="AM873" s="188"/>
      <c r="AN873" s="188"/>
      <c r="AO873" s="299"/>
      <c r="AS873" s="296"/>
      <c r="AW873" s="296"/>
      <c r="BN873" s="296"/>
      <c r="BO873" s="296"/>
      <c r="CY873" s="294"/>
      <c r="DF873" s="296"/>
    </row>
    <row r="874" spans="2:110" ht="13">
      <c r="B874" s="294"/>
      <c r="F874" s="296"/>
      <c r="J874" s="302"/>
      <c r="R874" s="188"/>
      <c r="T874" s="295"/>
      <c r="Y874" s="188"/>
      <c r="AA874" s="295"/>
      <c r="AF874" s="188"/>
      <c r="AH874" s="295"/>
      <c r="AI874" s="188"/>
      <c r="AJ874" s="188"/>
      <c r="AK874" s="188"/>
      <c r="AL874" s="188"/>
      <c r="AM874" s="188"/>
      <c r="AN874" s="188"/>
      <c r="AO874" s="299"/>
      <c r="AS874" s="296"/>
      <c r="AW874" s="296"/>
      <c r="BN874" s="296"/>
      <c r="BO874" s="296"/>
      <c r="CY874" s="294"/>
      <c r="DF874" s="296"/>
    </row>
    <row r="875" spans="2:110" ht="13">
      <c r="B875" s="294"/>
      <c r="F875" s="296"/>
      <c r="J875" s="302"/>
      <c r="R875" s="188"/>
      <c r="T875" s="295"/>
      <c r="Y875" s="188"/>
      <c r="AA875" s="295"/>
      <c r="AF875" s="188"/>
      <c r="AH875" s="295"/>
      <c r="AI875" s="188"/>
      <c r="AJ875" s="188"/>
      <c r="AK875" s="188"/>
      <c r="AL875" s="188"/>
      <c r="AM875" s="188"/>
      <c r="AN875" s="188"/>
      <c r="AO875" s="299"/>
      <c r="AS875" s="296"/>
      <c r="AW875" s="296"/>
      <c r="BN875" s="296"/>
      <c r="BO875" s="296"/>
      <c r="CY875" s="294"/>
      <c r="DF875" s="296"/>
    </row>
    <row r="876" spans="2:110" ht="13">
      <c r="B876" s="294"/>
      <c r="F876" s="296"/>
      <c r="J876" s="302"/>
      <c r="R876" s="188"/>
      <c r="T876" s="295"/>
      <c r="Y876" s="188"/>
      <c r="AA876" s="295"/>
      <c r="AF876" s="188"/>
      <c r="AH876" s="295"/>
      <c r="AI876" s="188"/>
      <c r="AJ876" s="188"/>
      <c r="AK876" s="188"/>
      <c r="AL876" s="188"/>
      <c r="AM876" s="188"/>
      <c r="AN876" s="188"/>
      <c r="AO876" s="299"/>
      <c r="AS876" s="296"/>
      <c r="AW876" s="296"/>
      <c r="BN876" s="296"/>
      <c r="BO876" s="296"/>
      <c r="CY876" s="294"/>
      <c r="DF876" s="296"/>
    </row>
    <row r="877" spans="2:110" ht="13">
      <c r="B877" s="294"/>
      <c r="F877" s="296"/>
      <c r="J877" s="302"/>
      <c r="R877" s="188"/>
      <c r="T877" s="295"/>
      <c r="Y877" s="188"/>
      <c r="AA877" s="295"/>
      <c r="AF877" s="188"/>
      <c r="AH877" s="295"/>
      <c r="AI877" s="188"/>
      <c r="AJ877" s="188"/>
      <c r="AK877" s="188"/>
      <c r="AL877" s="188"/>
      <c r="AM877" s="188"/>
      <c r="AN877" s="188"/>
      <c r="AO877" s="299"/>
      <c r="AS877" s="296"/>
      <c r="AW877" s="296"/>
      <c r="BN877" s="296"/>
      <c r="BO877" s="296"/>
      <c r="CY877" s="294"/>
      <c r="DF877" s="296"/>
    </row>
    <row r="878" spans="2:110" ht="13">
      <c r="B878" s="294"/>
      <c r="F878" s="296"/>
      <c r="J878" s="302"/>
      <c r="R878" s="188"/>
      <c r="T878" s="295"/>
      <c r="Y878" s="188"/>
      <c r="AA878" s="295"/>
      <c r="AF878" s="188"/>
      <c r="AH878" s="295"/>
      <c r="AI878" s="188"/>
      <c r="AJ878" s="188"/>
      <c r="AK878" s="188"/>
      <c r="AL878" s="188"/>
      <c r="AM878" s="188"/>
      <c r="AN878" s="188"/>
      <c r="AO878" s="299"/>
      <c r="AS878" s="296"/>
      <c r="AW878" s="296"/>
      <c r="BN878" s="296"/>
      <c r="BO878" s="296"/>
      <c r="CY878" s="294"/>
      <c r="DF878" s="296"/>
    </row>
    <row r="879" spans="2:110" ht="13">
      <c r="B879" s="294"/>
      <c r="F879" s="296"/>
      <c r="J879" s="302"/>
      <c r="R879" s="188"/>
      <c r="T879" s="295"/>
      <c r="Y879" s="188"/>
      <c r="AA879" s="295"/>
      <c r="AF879" s="188"/>
      <c r="AH879" s="295"/>
      <c r="AI879" s="188"/>
      <c r="AJ879" s="188"/>
      <c r="AK879" s="188"/>
      <c r="AL879" s="188"/>
      <c r="AM879" s="188"/>
      <c r="AN879" s="188"/>
      <c r="AO879" s="299"/>
      <c r="AS879" s="296"/>
      <c r="AW879" s="296"/>
      <c r="BN879" s="296"/>
      <c r="BO879" s="296"/>
      <c r="CY879" s="294"/>
      <c r="DF879" s="296"/>
    </row>
    <row r="880" spans="2:110" ht="13">
      <c r="B880" s="294"/>
      <c r="F880" s="296"/>
      <c r="J880" s="302"/>
      <c r="R880" s="188"/>
      <c r="T880" s="295"/>
      <c r="Y880" s="188"/>
      <c r="AA880" s="295"/>
      <c r="AF880" s="188"/>
      <c r="AH880" s="295"/>
      <c r="AI880" s="188"/>
      <c r="AJ880" s="188"/>
      <c r="AK880" s="188"/>
      <c r="AL880" s="188"/>
      <c r="AM880" s="188"/>
      <c r="AN880" s="188"/>
      <c r="AO880" s="299"/>
      <c r="AS880" s="296"/>
      <c r="AW880" s="296"/>
      <c r="BN880" s="296"/>
      <c r="BO880" s="296"/>
      <c r="CY880" s="294"/>
      <c r="DF880" s="296"/>
    </row>
    <row r="881" spans="2:110" ht="13">
      <c r="B881" s="294"/>
      <c r="F881" s="296"/>
      <c r="J881" s="302"/>
      <c r="R881" s="188"/>
      <c r="T881" s="295"/>
      <c r="Y881" s="188"/>
      <c r="AA881" s="295"/>
      <c r="AF881" s="188"/>
      <c r="AH881" s="295"/>
      <c r="AI881" s="188"/>
      <c r="AJ881" s="188"/>
      <c r="AK881" s="188"/>
      <c r="AL881" s="188"/>
      <c r="AM881" s="188"/>
      <c r="AN881" s="188"/>
      <c r="AO881" s="299"/>
      <c r="AS881" s="296"/>
      <c r="AW881" s="296"/>
      <c r="BN881" s="296"/>
      <c r="BO881" s="296"/>
      <c r="CY881" s="294"/>
      <c r="DF881" s="296"/>
    </row>
    <row r="882" spans="2:110" ht="13">
      <c r="B882" s="294"/>
      <c r="F882" s="296"/>
      <c r="J882" s="302"/>
      <c r="R882" s="188"/>
      <c r="T882" s="295"/>
      <c r="Y882" s="188"/>
      <c r="AA882" s="295"/>
      <c r="AF882" s="188"/>
      <c r="AH882" s="295"/>
      <c r="AI882" s="188"/>
      <c r="AJ882" s="188"/>
      <c r="AK882" s="188"/>
      <c r="AL882" s="188"/>
      <c r="AM882" s="188"/>
      <c r="AN882" s="188"/>
      <c r="AO882" s="299"/>
      <c r="AS882" s="296"/>
      <c r="AW882" s="296"/>
      <c r="BN882" s="296"/>
      <c r="BO882" s="296"/>
      <c r="CY882" s="294"/>
      <c r="DF882" s="296"/>
    </row>
    <row r="883" spans="2:110" ht="13">
      <c r="B883" s="294"/>
      <c r="F883" s="296"/>
      <c r="J883" s="302"/>
      <c r="R883" s="188"/>
      <c r="T883" s="295"/>
      <c r="Y883" s="188"/>
      <c r="AA883" s="295"/>
      <c r="AF883" s="188"/>
      <c r="AH883" s="295"/>
      <c r="AI883" s="188"/>
      <c r="AJ883" s="188"/>
      <c r="AK883" s="188"/>
      <c r="AL883" s="188"/>
      <c r="AM883" s="188"/>
      <c r="AN883" s="188"/>
      <c r="AO883" s="299"/>
      <c r="AS883" s="296"/>
      <c r="AW883" s="296"/>
      <c r="BN883" s="296"/>
      <c r="BO883" s="296"/>
      <c r="CY883" s="294"/>
      <c r="DF883" s="296"/>
    </row>
    <row r="884" spans="2:110" ht="13">
      <c r="B884" s="294"/>
      <c r="F884" s="296"/>
      <c r="J884" s="302"/>
      <c r="R884" s="188"/>
      <c r="T884" s="295"/>
      <c r="Y884" s="188"/>
      <c r="AA884" s="295"/>
      <c r="AF884" s="188"/>
      <c r="AH884" s="295"/>
      <c r="AI884" s="188"/>
      <c r="AJ884" s="188"/>
      <c r="AK884" s="188"/>
      <c r="AL884" s="188"/>
      <c r="AM884" s="188"/>
      <c r="AN884" s="188"/>
      <c r="AO884" s="299"/>
      <c r="AS884" s="296"/>
      <c r="AW884" s="296"/>
      <c r="BN884" s="296"/>
      <c r="BO884" s="296"/>
      <c r="CY884" s="294"/>
      <c r="DF884" s="296"/>
    </row>
    <row r="885" spans="2:110" ht="13">
      <c r="B885" s="294"/>
      <c r="F885" s="296"/>
      <c r="J885" s="302"/>
      <c r="R885" s="188"/>
      <c r="T885" s="295"/>
      <c r="Y885" s="188"/>
      <c r="AA885" s="295"/>
      <c r="AF885" s="188"/>
      <c r="AH885" s="295"/>
      <c r="AI885" s="188"/>
      <c r="AJ885" s="188"/>
      <c r="AK885" s="188"/>
      <c r="AL885" s="188"/>
      <c r="AM885" s="188"/>
      <c r="AN885" s="188"/>
      <c r="AO885" s="299"/>
      <c r="AS885" s="296"/>
      <c r="AW885" s="296"/>
      <c r="BN885" s="296"/>
      <c r="BO885" s="296"/>
      <c r="CY885" s="294"/>
      <c r="DF885" s="296"/>
    </row>
    <row r="886" spans="2:110" ht="13">
      <c r="B886" s="294"/>
      <c r="F886" s="296"/>
      <c r="J886" s="302"/>
      <c r="R886" s="188"/>
      <c r="T886" s="295"/>
      <c r="Y886" s="188"/>
      <c r="AA886" s="295"/>
      <c r="AF886" s="188"/>
      <c r="AH886" s="295"/>
      <c r="AI886" s="188"/>
      <c r="AJ886" s="188"/>
      <c r="AK886" s="188"/>
      <c r="AL886" s="188"/>
      <c r="AM886" s="188"/>
      <c r="AN886" s="188"/>
      <c r="AO886" s="299"/>
      <c r="AS886" s="296"/>
      <c r="AW886" s="296"/>
      <c r="BN886" s="296"/>
      <c r="BO886" s="296"/>
      <c r="CY886" s="294"/>
      <c r="DF886" s="296"/>
    </row>
    <row r="887" spans="2:110" ht="13">
      <c r="B887" s="294"/>
      <c r="F887" s="296"/>
      <c r="J887" s="302"/>
      <c r="R887" s="188"/>
      <c r="T887" s="295"/>
      <c r="Y887" s="188"/>
      <c r="AA887" s="295"/>
      <c r="AF887" s="188"/>
      <c r="AH887" s="295"/>
      <c r="AI887" s="188"/>
      <c r="AJ887" s="188"/>
      <c r="AK887" s="188"/>
      <c r="AL887" s="188"/>
      <c r="AM887" s="188"/>
      <c r="AN887" s="188"/>
      <c r="AO887" s="299"/>
      <c r="AS887" s="296"/>
      <c r="AW887" s="296"/>
      <c r="BN887" s="296"/>
      <c r="BO887" s="296"/>
      <c r="CY887" s="294"/>
      <c r="DF887" s="296"/>
    </row>
    <row r="888" spans="2:110" ht="13">
      <c r="B888" s="294"/>
      <c r="F888" s="296"/>
      <c r="J888" s="302"/>
      <c r="R888" s="188"/>
      <c r="T888" s="295"/>
      <c r="Y888" s="188"/>
      <c r="AA888" s="295"/>
      <c r="AF888" s="188"/>
      <c r="AH888" s="295"/>
      <c r="AI888" s="188"/>
      <c r="AJ888" s="188"/>
      <c r="AK888" s="188"/>
      <c r="AL888" s="188"/>
      <c r="AM888" s="188"/>
      <c r="AN888" s="188"/>
      <c r="AO888" s="299"/>
      <c r="AS888" s="296"/>
      <c r="AW888" s="296"/>
      <c r="BN888" s="296"/>
      <c r="BO888" s="296"/>
      <c r="CY888" s="294"/>
      <c r="DF888" s="296"/>
    </row>
    <row r="889" spans="2:110" ht="13">
      <c r="B889" s="294"/>
      <c r="F889" s="296"/>
      <c r="J889" s="302"/>
      <c r="R889" s="188"/>
      <c r="T889" s="295"/>
      <c r="Y889" s="188"/>
      <c r="AA889" s="295"/>
      <c r="AF889" s="188"/>
      <c r="AH889" s="295"/>
      <c r="AI889" s="188"/>
      <c r="AJ889" s="188"/>
      <c r="AK889" s="188"/>
      <c r="AL889" s="188"/>
      <c r="AM889" s="188"/>
      <c r="AN889" s="188"/>
      <c r="AO889" s="299"/>
      <c r="AS889" s="296"/>
      <c r="AW889" s="296"/>
      <c r="BN889" s="296"/>
      <c r="BO889" s="296"/>
      <c r="CY889" s="294"/>
      <c r="DF889" s="296"/>
    </row>
    <row r="890" spans="2:110" ht="13">
      <c r="B890" s="294"/>
      <c r="F890" s="296"/>
      <c r="J890" s="302"/>
      <c r="R890" s="188"/>
      <c r="T890" s="295"/>
      <c r="Y890" s="188"/>
      <c r="AA890" s="295"/>
      <c r="AF890" s="188"/>
      <c r="AH890" s="295"/>
      <c r="AI890" s="188"/>
      <c r="AJ890" s="188"/>
      <c r="AK890" s="188"/>
      <c r="AL890" s="188"/>
      <c r="AM890" s="188"/>
      <c r="AN890" s="188"/>
      <c r="AO890" s="299"/>
      <c r="AS890" s="296"/>
      <c r="AW890" s="296"/>
      <c r="BN890" s="296"/>
      <c r="BO890" s="296"/>
      <c r="CY890" s="294"/>
      <c r="DF890" s="296"/>
    </row>
    <row r="891" spans="2:110" ht="13">
      <c r="B891" s="294"/>
      <c r="F891" s="296"/>
      <c r="J891" s="302"/>
      <c r="R891" s="188"/>
      <c r="T891" s="295"/>
      <c r="Y891" s="188"/>
      <c r="AA891" s="295"/>
      <c r="AF891" s="188"/>
      <c r="AH891" s="295"/>
      <c r="AI891" s="188"/>
      <c r="AJ891" s="188"/>
      <c r="AK891" s="188"/>
      <c r="AL891" s="188"/>
      <c r="AM891" s="188"/>
      <c r="AN891" s="188"/>
      <c r="AO891" s="299"/>
      <c r="AS891" s="296"/>
      <c r="AW891" s="296"/>
      <c r="BN891" s="296"/>
      <c r="BO891" s="296"/>
      <c r="CY891" s="294"/>
      <c r="DF891" s="296"/>
    </row>
    <row r="892" spans="2:110" ht="13">
      <c r="B892" s="294"/>
      <c r="F892" s="296"/>
      <c r="J892" s="302"/>
      <c r="R892" s="188"/>
      <c r="T892" s="295"/>
      <c r="Y892" s="188"/>
      <c r="AA892" s="295"/>
      <c r="AF892" s="188"/>
      <c r="AH892" s="295"/>
      <c r="AI892" s="188"/>
      <c r="AJ892" s="188"/>
      <c r="AK892" s="188"/>
      <c r="AL892" s="188"/>
      <c r="AM892" s="188"/>
      <c r="AN892" s="188"/>
      <c r="AO892" s="299"/>
      <c r="AS892" s="296"/>
      <c r="AW892" s="296"/>
      <c r="BN892" s="296"/>
      <c r="BO892" s="296"/>
      <c r="CY892" s="294"/>
      <c r="DF892" s="296"/>
    </row>
    <row r="893" spans="2:110" ht="13">
      <c r="B893" s="294"/>
      <c r="F893" s="296"/>
      <c r="J893" s="302"/>
      <c r="R893" s="188"/>
      <c r="T893" s="295"/>
      <c r="Y893" s="188"/>
      <c r="AA893" s="295"/>
      <c r="AF893" s="188"/>
      <c r="AH893" s="295"/>
      <c r="AI893" s="188"/>
      <c r="AJ893" s="188"/>
      <c r="AK893" s="188"/>
      <c r="AL893" s="188"/>
      <c r="AM893" s="188"/>
      <c r="AN893" s="188"/>
      <c r="AO893" s="299"/>
      <c r="AS893" s="296"/>
      <c r="AW893" s="296"/>
      <c r="BN893" s="296"/>
      <c r="BO893" s="296"/>
      <c r="CY893" s="294"/>
      <c r="DF893" s="296"/>
    </row>
    <row r="894" spans="2:110" ht="13">
      <c r="B894" s="294"/>
      <c r="F894" s="296"/>
      <c r="J894" s="302"/>
      <c r="R894" s="188"/>
      <c r="T894" s="295"/>
      <c r="Y894" s="188"/>
      <c r="AA894" s="295"/>
      <c r="AF894" s="188"/>
      <c r="AH894" s="295"/>
      <c r="AI894" s="188"/>
      <c r="AJ894" s="188"/>
      <c r="AK894" s="188"/>
      <c r="AL894" s="188"/>
      <c r="AM894" s="188"/>
      <c r="AN894" s="188"/>
      <c r="AO894" s="299"/>
      <c r="AS894" s="296"/>
      <c r="AW894" s="296"/>
      <c r="BN894" s="296"/>
      <c r="BO894" s="296"/>
      <c r="CY894" s="294"/>
      <c r="DF894" s="296"/>
    </row>
    <row r="895" spans="2:110" ht="13">
      <c r="B895" s="294"/>
      <c r="F895" s="296"/>
      <c r="J895" s="302"/>
      <c r="R895" s="188"/>
      <c r="T895" s="295"/>
      <c r="Y895" s="188"/>
      <c r="AA895" s="295"/>
      <c r="AF895" s="188"/>
      <c r="AH895" s="295"/>
      <c r="AI895" s="188"/>
      <c r="AJ895" s="188"/>
      <c r="AK895" s="188"/>
      <c r="AL895" s="188"/>
      <c r="AM895" s="188"/>
      <c r="AN895" s="188"/>
      <c r="AO895" s="299"/>
      <c r="AS895" s="296"/>
      <c r="AW895" s="296"/>
      <c r="BN895" s="296"/>
      <c r="BO895" s="296"/>
      <c r="CY895" s="294"/>
      <c r="DF895" s="296"/>
    </row>
    <row r="896" spans="2:110" ht="13">
      <c r="B896" s="294"/>
      <c r="F896" s="296"/>
      <c r="J896" s="302"/>
      <c r="R896" s="188"/>
      <c r="T896" s="295"/>
      <c r="Y896" s="188"/>
      <c r="AA896" s="295"/>
      <c r="AF896" s="188"/>
      <c r="AH896" s="295"/>
      <c r="AI896" s="188"/>
      <c r="AJ896" s="188"/>
      <c r="AK896" s="188"/>
      <c r="AL896" s="188"/>
      <c r="AM896" s="188"/>
      <c r="AN896" s="188"/>
      <c r="AO896" s="299"/>
      <c r="AS896" s="296"/>
      <c r="AW896" s="296"/>
      <c r="BN896" s="296"/>
      <c r="BO896" s="296"/>
      <c r="CY896" s="294"/>
      <c r="DF896" s="296"/>
    </row>
    <row r="897" spans="2:110" ht="13">
      <c r="B897" s="294"/>
      <c r="F897" s="296"/>
      <c r="J897" s="302"/>
      <c r="R897" s="188"/>
      <c r="T897" s="295"/>
      <c r="Y897" s="188"/>
      <c r="AA897" s="295"/>
      <c r="AF897" s="188"/>
      <c r="AH897" s="295"/>
      <c r="AI897" s="188"/>
      <c r="AJ897" s="188"/>
      <c r="AK897" s="188"/>
      <c r="AL897" s="188"/>
      <c r="AM897" s="188"/>
      <c r="AN897" s="188"/>
      <c r="AO897" s="299"/>
      <c r="AS897" s="296"/>
      <c r="AW897" s="296"/>
      <c r="BN897" s="296"/>
      <c r="BO897" s="296"/>
      <c r="CY897" s="294"/>
      <c r="DF897" s="296"/>
    </row>
    <row r="898" spans="2:110" ht="13">
      <c r="B898" s="294"/>
      <c r="F898" s="296"/>
      <c r="J898" s="302"/>
      <c r="R898" s="188"/>
      <c r="T898" s="295"/>
      <c r="Y898" s="188"/>
      <c r="AA898" s="295"/>
      <c r="AF898" s="188"/>
      <c r="AH898" s="295"/>
      <c r="AI898" s="188"/>
      <c r="AJ898" s="188"/>
      <c r="AK898" s="188"/>
      <c r="AL898" s="188"/>
      <c r="AM898" s="188"/>
      <c r="AN898" s="188"/>
      <c r="AO898" s="299"/>
      <c r="AS898" s="296"/>
      <c r="AW898" s="296"/>
      <c r="BN898" s="296"/>
      <c r="BO898" s="296"/>
      <c r="CY898" s="294"/>
      <c r="DF898" s="296"/>
    </row>
    <row r="899" spans="2:110" ht="13">
      <c r="B899" s="294"/>
      <c r="F899" s="296"/>
      <c r="J899" s="302"/>
      <c r="R899" s="188"/>
      <c r="T899" s="295"/>
      <c r="Y899" s="188"/>
      <c r="AA899" s="295"/>
      <c r="AF899" s="188"/>
      <c r="AH899" s="295"/>
      <c r="AI899" s="188"/>
      <c r="AJ899" s="188"/>
      <c r="AK899" s="188"/>
      <c r="AL899" s="188"/>
      <c r="AM899" s="188"/>
      <c r="AN899" s="188"/>
      <c r="AO899" s="299"/>
      <c r="AS899" s="296"/>
      <c r="AW899" s="296"/>
      <c r="BN899" s="296"/>
      <c r="BO899" s="296"/>
      <c r="CY899" s="294"/>
      <c r="DF899" s="296"/>
    </row>
    <row r="900" spans="2:110" ht="13">
      <c r="B900" s="294"/>
      <c r="F900" s="296"/>
      <c r="J900" s="302"/>
      <c r="R900" s="188"/>
      <c r="T900" s="295"/>
      <c r="Y900" s="188"/>
      <c r="AA900" s="295"/>
      <c r="AF900" s="188"/>
      <c r="AH900" s="295"/>
      <c r="AI900" s="188"/>
      <c r="AJ900" s="188"/>
      <c r="AK900" s="188"/>
      <c r="AL900" s="188"/>
      <c r="AM900" s="188"/>
      <c r="AN900" s="188"/>
      <c r="AO900" s="299"/>
      <c r="AS900" s="296"/>
      <c r="AW900" s="296"/>
      <c r="BN900" s="296"/>
      <c r="BO900" s="296"/>
      <c r="CY900" s="294"/>
      <c r="DF900" s="296"/>
    </row>
    <row r="901" spans="2:110" ht="13">
      <c r="B901" s="294"/>
      <c r="F901" s="296"/>
      <c r="J901" s="302"/>
      <c r="R901" s="188"/>
      <c r="T901" s="295"/>
      <c r="Y901" s="188"/>
      <c r="AA901" s="295"/>
      <c r="AF901" s="188"/>
      <c r="AH901" s="295"/>
      <c r="AI901" s="188"/>
      <c r="AJ901" s="188"/>
      <c r="AK901" s="188"/>
      <c r="AL901" s="188"/>
      <c r="AM901" s="188"/>
      <c r="AN901" s="188"/>
      <c r="AO901" s="299"/>
      <c r="AS901" s="296"/>
      <c r="AW901" s="296"/>
      <c r="BN901" s="296"/>
      <c r="BO901" s="296"/>
      <c r="CY901" s="294"/>
      <c r="DF901" s="296"/>
    </row>
    <row r="902" spans="2:110" ht="13">
      <c r="B902" s="294"/>
      <c r="F902" s="296"/>
      <c r="J902" s="302"/>
      <c r="R902" s="188"/>
      <c r="T902" s="295"/>
      <c r="Y902" s="188"/>
      <c r="AA902" s="295"/>
      <c r="AF902" s="188"/>
      <c r="AH902" s="295"/>
      <c r="AI902" s="188"/>
      <c r="AJ902" s="188"/>
      <c r="AK902" s="188"/>
      <c r="AL902" s="188"/>
      <c r="AM902" s="188"/>
      <c r="AN902" s="188"/>
      <c r="AO902" s="299"/>
      <c r="AS902" s="296"/>
      <c r="AW902" s="296"/>
      <c r="BN902" s="296"/>
      <c r="BO902" s="296"/>
      <c r="CY902" s="294"/>
      <c r="DF902" s="296"/>
    </row>
    <row r="903" spans="2:110" ht="13">
      <c r="B903" s="294"/>
      <c r="F903" s="296"/>
      <c r="J903" s="302"/>
      <c r="R903" s="188"/>
      <c r="T903" s="295"/>
      <c r="Y903" s="188"/>
      <c r="AA903" s="295"/>
      <c r="AF903" s="188"/>
      <c r="AH903" s="295"/>
      <c r="AI903" s="188"/>
      <c r="AJ903" s="188"/>
      <c r="AK903" s="188"/>
      <c r="AL903" s="188"/>
      <c r="AM903" s="188"/>
      <c r="AN903" s="188"/>
      <c r="AO903" s="299"/>
      <c r="AS903" s="296"/>
      <c r="AW903" s="296"/>
      <c r="BN903" s="296"/>
      <c r="BO903" s="296"/>
      <c r="CY903" s="294"/>
      <c r="DF903" s="296"/>
    </row>
    <row r="904" spans="2:110" ht="13">
      <c r="B904" s="294"/>
      <c r="F904" s="296"/>
      <c r="J904" s="302"/>
      <c r="R904" s="188"/>
      <c r="T904" s="295"/>
      <c r="Y904" s="188"/>
      <c r="AA904" s="295"/>
      <c r="AF904" s="188"/>
      <c r="AH904" s="295"/>
      <c r="AI904" s="188"/>
      <c r="AJ904" s="188"/>
      <c r="AK904" s="188"/>
      <c r="AL904" s="188"/>
      <c r="AM904" s="188"/>
      <c r="AN904" s="188"/>
      <c r="AO904" s="299"/>
      <c r="AS904" s="296"/>
      <c r="AW904" s="296"/>
      <c r="BN904" s="296"/>
      <c r="BO904" s="296"/>
      <c r="CY904" s="294"/>
      <c r="DF904" s="296"/>
    </row>
    <row r="905" spans="2:110" ht="13">
      <c r="B905" s="294"/>
      <c r="F905" s="296"/>
      <c r="J905" s="302"/>
      <c r="R905" s="188"/>
      <c r="T905" s="295"/>
      <c r="Y905" s="188"/>
      <c r="AA905" s="295"/>
      <c r="AF905" s="188"/>
      <c r="AH905" s="295"/>
      <c r="AI905" s="188"/>
      <c r="AJ905" s="188"/>
      <c r="AK905" s="188"/>
      <c r="AL905" s="188"/>
      <c r="AM905" s="188"/>
      <c r="AN905" s="188"/>
      <c r="AO905" s="299"/>
      <c r="AS905" s="296"/>
      <c r="AW905" s="296"/>
      <c r="BN905" s="296"/>
      <c r="BO905" s="296"/>
      <c r="CY905" s="294"/>
      <c r="DF905" s="296"/>
    </row>
    <row r="906" spans="2:110" ht="13">
      <c r="B906" s="294"/>
      <c r="F906" s="296"/>
      <c r="J906" s="302"/>
      <c r="R906" s="188"/>
      <c r="T906" s="295"/>
      <c r="Y906" s="188"/>
      <c r="AA906" s="295"/>
      <c r="AF906" s="188"/>
      <c r="AH906" s="295"/>
      <c r="AI906" s="188"/>
      <c r="AJ906" s="188"/>
      <c r="AK906" s="188"/>
      <c r="AL906" s="188"/>
      <c r="AM906" s="188"/>
      <c r="AN906" s="188"/>
      <c r="AO906" s="299"/>
      <c r="AS906" s="296"/>
      <c r="AW906" s="296"/>
      <c r="BN906" s="296"/>
      <c r="BO906" s="296"/>
      <c r="CY906" s="294"/>
      <c r="DF906" s="296"/>
    </row>
    <row r="907" spans="2:110" ht="13">
      <c r="B907" s="294"/>
      <c r="F907" s="296"/>
      <c r="J907" s="302"/>
      <c r="R907" s="188"/>
      <c r="T907" s="295"/>
      <c r="Y907" s="188"/>
      <c r="AA907" s="295"/>
      <c r="AF907" s="188"/>
      <c r="AH907" s="295"/>
      <c r="AI907" s="188"/>
      <c r="AJ907" s="188"/>
      <c r="AK907" s="188"/>
      <c r="AL907" s="188"/>
      <c r="AM907" s="188"/>
      <c r="AN907" s="188"/>
      <c r="AO907" s="299"/>
      <c r="AS907" s="296"/>
      <c r="AW907" s="296"/>
      <c r="BN907" s="296"/>
      <c r="BO907" s="296"/>
      <c r="CY907" s="294"/>
      <c r="DF907" s="296"/>
    </row>
    <row r="908" spans="2:110" ht="13">
      <c r="B908" s="294"/>
      <c r="F908" s="296"/>
      <c r="J908" s="302"/>
      <c r="R908" s="188"/>
      <c r="T908" s="295"/>
      <c r="Y908" s="188"/>
      <c r="AA908" s="295"/>
      <c r="AF908" s="188"/>
      <c r="AH908" s="295"/>
      <c r="AI908" s="188"/>
      <c r="AJ908" s="188"/>
      <c r="AK908" s="188"/>
      <c r="AL908" s="188"/>
      <c r="AM908" s="188"/>
      <c r="AN908" s="188"/>
      <c r="AO908" s="299"/>
      <c r="AS908" s="296"/>
      <c r="AW908" s="296"/>
      <c r="BN908" s="296"/>
      <c r="BO908" s="296"/>
      <c r="CY908" s="294"/>
      <c r="DF908" s="296"/>
    </row>
    <row r="909" spans="2:110" ht="13">
      <c r="B909" s="294"/>
      <c r="F909" s="296"/>
      <c r="J909" s="302"/>
      <c r="R909" s="188"/>
      <c r="T909" s="295"/>
      <c r="Y909" s="188"/>
      <c r="AA909" s="295"/>
      <c r="AF909" s="188"/>
      <c r="AH909" s="295"/>
      <c r="AI909" s="188"/>
      <c r="AJ909" s="188"/>
      <c r="AK909" s="188"/>
      <c r="AL909" s="188"/>
      <c r="AM909" s="188"/>
      <c r="AN909" s="188"/>
      <c r="AO909" s="299"/>
      <c r="AS909" s="296"/>
      <c r="AW909" s="296"/>
      <c r="BN909" s="296"/>
      <c r="BO909" s="296"/>
      <c r="CY909" s="294"/>
      <c r="DF909" s="296"/>
    </row>
    <row r="910" spans="2:110" ht="13">
      <c r="B910" s="294"/>
      <c r="F910" s="296"/>
      <c r="J910" s="302"/>
      <c r="R910" s="188"/>
      <c r="T910" s="295"/>
      <c r="Y910" s="188"/>
      <c r="AA910" s="295"/>
      <c r="AF910" s="188"/>
      <c r="AH910" s="295"/>
      <c r="AI910" s="188"/>
      <c r="AJ910" s="188"/>
      <c r="AK910" s="188"/>
      <c r="AL910" s="188"/>
      <c r="AM910" s="188"/>
      <c r="AN910" s="188"/>
      <c r="AO910" s="299"/>
      <c r="AS910" s="296"/>
      <c r="AW910" s="296"/>
      <c r="BN910" s="296"/>
      <c r="BO910" s="296"/>
      <c r="CY910" s="294"/>
      <c r="DF910" s="296"/>
    </row>
    <row r="911" spans="2:110" ht="13">
      <c r="B911" s="294"/>
      <c r="F911" s="296"/>
      <c r="J911" s="302"/>
      <c r="R911" s="188"/>
      <c r="T911" s="295"/>
      <c r="Y911" s="188"/>
      <c r="AA911" s="295"/>
      <c r="AF911" s="188"/>
      <c r="AH911" s="295"/>
      <c r="AI911" s="188"/>
      <c r="AJ911" s="188"/>
      <c r="AK911" s="188"/>
      <c r="AL911" s="188"/>
      <c r="AM911" s="188"/>
      <c r="AN911" s="188"/>
      <c r="AO911" s="299"/>
      <c r="AS911" s="296"/>
      <c r="AW911" s="296"/>
      <c r="BN911" s="296"/>
      <c r="BO911" s="296"/>
      <c r="CY911" s="294"/>
      <c r="DF911" s="296"/>
    </row>
    <row r="912" spans="2:110" ht="13">
      <c r="B912" s="294"/>
      <c r="F912" s="296"/>
      <c r="J912" s="302"/>
      <c r="R912" s="188"/>
      <c r="T912" s="295"/>
      <c r="Y912" s="188"/>
      <c r="AA912" s="295"/>
      <c r="AF912" s="188"/>
      <c r="AH912" s="295"/>
      <c r="AI912" s="188"/>
      <c r="AJ912" s="188"/>
      <c r="AK912" s="188"/>
      <c r="AL912" s="188"/>
      <c r="AM912" s="188"/>
      <c r="AN912" s="188"/>
      <c r="AO912" s="299"/>
      <c r="AS912" s="296"/>
      <c r="AW912" s="296"/>
      <c r="BN912" s="296"/>
      <c r="BO912" s="296"/>
      <c r="CY912" s="294"/>
      <c r="DF912" s="296"/>
    </row>
    <row r="913" spans="2:110" ht="13">
      <c r="B913" s="294"/>
      <c r="F913" s="296"/>
      <c r="J913" s="302"/>
      <c r="R913" s="188"/>
      <c r="T913" s="295"/>
      <c r="Y913" s="188"/>
      <c r="AA913" s="295"/>
      <c r="AF913" s="188"/>
      <c r="AH913" s="295"/>
      <c r="AI913" s="188"/>
      <c r="AJ913" s="188"/>
      <c r="AK913" s="188"/>
      <c r="AL913" s="188"/>
      <c r="AM913" s="188"/>
      <c r="AN913" s="188"/>
      <c r="AO913" s="299"/>
      <c r="AS913" s="296"/>
      <c r="AW913" s="296"/>
      <c r="BN913" s="296"/>
      <c r="BO913" s="296"/>
      <c r="CY913" s="294"/>
      <c r="DF913" s="296"/>
    </row>
    <row r="914" spans="2:110" ht="13">
      <c r="B914" s="294"/>
      <c r="F914" s="296"/>
      <c r="J914" s="302"/>
      <c r="R914" s="188"/>
      <c r="T914" s="295"/>
      <c r="Y914" s="188"/>
      <c r="AA914" s="295"/>
      <c r="AF914" s="188"/>
      <c r="AH914" s="295"/>
      <c r="AI914" s="188"/>
      <c r="AJ914" s="188"/>
      <c r="AK914" s="188"/>
      <c r="AL914" s="188"/>
      <c r="AM914" s="188"/>
      <c r="AN914" s="188"/>
      <c r="AO914" s="299"/>
      <c r="AS914" s="296"/>
      <c r="AW914" s="296"/>
      <c r="BN914" s="296"/>
      <c r="BO914" s="296"/>
      <c r="CY914" s="294"/>
      <c r="DF914" s="296"/>
    </row>
    <row r="915" spans="2:110" ht="13">
      <c r="B915" s="294"/>
      <c r="F915" s="296"/>
      <c r="J915" s="302"/>
      <c r="R915" s="188"/>
      <c r="T915" s="295"/>
      <c r="Y915" s="188"/>
      <c r="AA915" s="295"/>
      <c r="AF915" s="188"/>
      <c r="AH915" s="295"/>
      <c r="AI915" s="188"/>
      <c r="AJ915" s="188"/>
      <c r="AK915" s="188"/>
      <c r="AL915" s="188"/>
      <c r="AM915" s="188"/>
      <c r="AN915" s="188"/>
      <c r="AO915" s="299"/>
      <c r="AS915" s="296"/>
      <c r="AW915" s="296"/>
      <c r="BN915" s="296"/>
      <c r="BO915" s="296"/>
      <c r="CY915" s="294"/>
      <c r="DF915" s="296"/>
    </row>
    <row r="916" spans="2:110" ht="13">
      <c r="B916" s="294"/>
      <c r="F916" s="296"/>
      <c r="J916" s="302"/>
      <c r="R916" s="188"/>
      <c r="T916" s="295"/>
      <c r="Y916" s="188"/>
      <c r="AA916" s="295"/>
      <c r="AF916" s="188"/>
      <c r="AH916" s="295"/>
      <c r="AI916" s="188"/>
      <c r="AJ916" s="188"/>
      <c r="AK916" s="188"/>
      <c r="AL916" s="188"/>
      <c r="AM916" s="188"/>
      <c r="AN916" s="188"/>
      <c r="AO916" s="299"/>
      <c r="AS916" s="296"/>
      <c r="AW916" s="296"/>
      <c r="BN916" s="296"/>
      <c r="BO916" s="296"/>
      <c r="CY916" s="294"/>
      <c r="DF916" s="296"/>
    </row>
    <row r="917" spans="2:110" ht="13">
      <c r="B917" s="294"/>
      <c r="F917" s="296"/>
      <c r="J917" s="302"/>
      <c r="R917" s="188"/>
      <c r="T917" s="295"/>
      <c r="Y917" s="188"/>
      <c r="AA917" s="295"/>
      <c r="AF917" s="188"/>
      <c r="AH917" s="295"/>
      <c r="AI917" s="188"/>
      <c r="AJ917" s="188"/>
      <c r="AK917" s="188"/>
      <c r="AL917" s="188"/>
      <c r="AM917" s="188"/>
      <c r="AN917" s="188"/>
      <c r="AO917" s="299"/>
      <c r="AS917" s="296"/>
      <c r="AW917" s="296"/>
      <c r="BN917" s="296"/>
      <c r="BO917" s="296"/>
      <c r="CY917" s="294"/>
      <c r="DF917" s="296"/>
    </row>
    <row r="918" spans="2:110" ht="13">
      <c r="B918" s="294"/>
      <c r="F918" s="296"/>
      <c r="J918" s="302"/>
      <c r="R918" s="188"/>
      <c r="T918" s="295"/>
      <c r="Y918" s="188"/>
      <c r="AA918" s="295"/>
      <c r="AF918" s="188"/>
      <c r="AH918" s="295"/>
      <c r="AI918" s="188"/>
      <c r="AJ918" s="188"/>
      <c r="AK918" s="188"/>
      <c r="AL918" s="188"/>
      <c r="AM918" s="188"/>
      <c r="AN918" s="188"/>
      <c r="AO918" s="299"/>
      <c r="AS918" s="296"/>
      <c r="AW918" s="296"/>
      <c r="BN918" s="296"/>
      <c r="BO918" s="296"/>
      <c r="CY918" s="294"/>
      <c r="DF918" s="296"/>
    </row>
    <row r="919" spans="2:110" ht="13">
      <c r="B919" s="294"/>
      <c r="F919" s="296"/>
      <c r="J919" s="302"/>
      <c r="R919" s="188"/>
      <c r="T919" s="295"/>
      <c r="Y919" s="188"/>
      <c r="AA919" s="295"/>
      <c r="AF919" s="188"/>
      <c r="AH919" s="295"/>
      <c r="AI919" s="188"/>
      <c r="AJ919" s="188"/>
      <c r="AK919" s="188"/>
      <c r="AL919" s="188"/>
      <c r="AM919" s="188"/>
      <c r="AN919" s="188"/>
      <c r="AO919" s="299"/>
      <c r="AS919" s="296"/>
      <c r="AW919" s="296"/>
      <c r="BN919" s="296"/>
      <c r="BO919" s="296"/>
      <c r="CY919" s="294"/>
      <c r="DF919" s="296"/>
    </row>
    <row r="920" spans="2:110" ht="13">
      <c r="B920" s="294"/>
      <c r="F920" s="296"/>
      <c r="J920" s="302"/>
      <c r="R920" s="188"/>
      <c r="T920" s="295"/>
      <c r="Y920" s="188"/>
      <c r="AA920" s="295"/>
      <c r="AF920" s="188"/>
      <c r="AH920" s="295"/>
      <c r="AI920" s="188"/>
      <c r="AJ920" s="188"/>
      <c r="AK920" s="188"/>
      <c r="AL920" s="188"/>
      <c r="AM920" s="188"/>
      <c r="AN920" s="188"/>
      <c r="AO920" s="299"/>
      <c r="AS920" s="296"/>
      <c r="AW920" s="296"/>
      <c r="BN920" s="296"/>
      <c r="BO920" s="296"/>
      <c r="CY920" s="294"/>
      <c r="DF920" s="296"/>
    </row>
    <row r="921" spans="2:110" ht="13">
      <c r="B921" s="294"/>
      <c r="F921" s="296"/>
      <c r="J921" s="302"/>
      <c r="R921" s="188"/>
      <c r="T921" s="295"/>
      <c r="Y921" s="188"/>
      <c r="AA921" s="295"/>
      <c r="AF921" s="188"/>
      <c r="AH921" s="295"/>
      <c r="AI921" s="188"/>
      <c r="AJ921" s="188"/>
      <c r="AK921" s="188"/>
      <c r="AL921" s="188"/>
      <c r="AM921" s="188"/>
      <c r="AN921" s="188"/>
      <c r="AO921" s="299"/>
      <c r="AS921" s="296"/>
      <c r="AW921" s="296"/>
      <c r="BN921" s="296"/>
      <c r="BO921" s="296"/>
      <c r="CY921" s="294"/>
      <c r="DF921" s="296"/>
    </row>
    <row r="922" spans="2:110" ht="13">
      <c r="B922" s="294"/>
      <c r="F922" s="296"/>
      <c r="J922" s="302"/>
      <c r="R922" s="188"/>
      <c r="T922" s="295"/>
      <c r="Y922" s="188"/>
      <c r="AA922" s="295"/>
      <c r="AF922" s="188"/>
      <c r="AH922" s="295"/>
      <c r="AI922" s="188"/>
      <c r="AJ922" s="188"/>
      <c r="AK922" s="188"/>
      <c r="AL922" s="188"/>
      <c r="AM922" s="188"/>
      <c r="AN922" s="188"/>
      <c r="AO922" s="299"/>
      <c r="AS922" s="296"/>
      <c r="AW922" s="296"/>
      <c r="BN922" s="296"/>
      <c r="BO922" s="296"/>
      <c r="CY922" s="294"/>
      <c r="DF922" s="296"/>
    </row>
    <row r="923" spans="2:110" ht="13">
      <c r="B923" s="294"/>
      <c r="F923" s="296"/>
      <c r="J923" s="302"/>
      <c r="R923" s="188"/>
      <c r="T923" s="295"/>
      <c r="Y923" s="188"/>
      <c r="AA923" s="295"/>
      <c r="AF923" s="188"/>
      <c r="AH923" s="295"/>
      <c r="AI923" s="188"/>
      <c r="AJ923" s="188"/>
      <c r="AK923" s="188"/>
      <c r="AL923" s="188"/>
      <c r="AM923" s="188"/>
      <c r="AN923" s="188"/>
      <c r="AO923" s="299"/>
      <c r="AS923" s="296"/>
      <c r="AW923" s="296"/>
      <c r="BN923" s="296"/>
      <c r="BO923" s="296"/>
      <c r="CY923" s="294"/>
      <c r="DF923" s="296"/>
    </row>
    <row r="924" spans="2:110" ht="13">
      <c r="B924" s="294"/>
      <c r="F924" s="296"/>
      <c r="J924" s="302"/>
      <c r="R924" s="188"/>
      <c r="T924" s="295"/>
      <c r="Y924" s="188"/>
      <c r="AA924" s="295"/>
      <c r="AF924" s="188"/>
      <c r="AH924" s="295"/>
      <c r="AI924" s="188"/>
      <c r="AJ924" s="188"/>
      <c r="AK924" s="188"/>
      <c r="AL924" s="188"/>
      <c r="AM924" s="188"/>
      <c r="AN924" s="188"/>
      <c r="AO924" s="299"/>
      <c r="AS924" s="296"/>
      <c r="AW924" s="296"/>
      <c r="BN924" s="296"/>
      <c r="BO924" s="296"/>
      <c r="CY924" s="294"/>
      <c r="DF924" s="296"/>
    </row>
    <row r="925" spans="2:110" ht="13">
      <c r="B925" s="294"/>
      <c r="F925" s="296"/>
      <c r="J925" s="302"/>
      <c r="R925" s="188"/>
      <c r="T925" s="295"/>
      <c r="Y925" s="188"/>
      <c r="AA925" s="295"/>
      <c r="AF925" s="188"/>
      <c r="AH925" s="295"/>
      <c r="AI925" s="188"/>
      <c r="AJ925" s="188"/>
      <c r="AK925" s="188"/>
      <c r="AL925" s="188"/>
      <c r="AM925" s="188"/>
      <c r="AN925" s="188"/>
      <c r="AO925" s="299"/>
      <c r="AS925" s="296"/>
      <c r="AW925" s="296"/>
      <c r="BN925" s="296"/>
      <c r="BO925" s="296"/>
      <c r="CY925" s="294"/>
      <c r="DF925" s="296"/>
    </row>
    <row r="926" spans="2:110" ht="13">
      <c r="B926" s="294"/>
      <c r="F926" s="296"/>
      <c r="J926" s="302"/>
      <c r="R926" s="188"/>
      <c r="T926" s="295"/>
      <c r="Y926" s="188"/>
      <c r="AA926" s="295"/>
      <c r="AF926" s="188"/>
      <c r="AH926" s="295"/>
      <c r="AI926" s="188"/>
      <c r="AJ926" s="188"/>
      <c r="AK926" s="188"/>
      <c r="AL926" s="188"/>
      <c r="AM926" s="188"/>
      <c r="AN926" s="188"/>
      <c r="AO926" s="299"/>
      <c r="AS926" s="296"/>
      <c r="AW926" s="296"/>
      <c r="BN926" s="296"/>
      <c r="BO926" s="296"/>
      <c r="CY926" s="294"/>
      <c r="DF926" s="296"/>
    </row>
    <row r="927" spans="2:110" ht="13">
      <c r="B927" s="294"/>
      <c r="F927" s="296"/>
      <c r="J927" s="302"/>
      <c r="R927" s="188"/>
      <c r="T927" s="295"/>
      <c r="Y927" s="188"/>
      <c r="AA927" s="295"/>
      <c r="AF927" s="188"/>
      <c r="AH927" s="295"/>
      <c r="AI927" s="188"/>
      <c r="AJ927" s="188"/>
      <c r="AK927" s="188"/>
      <c r="AL927" s="188"/>
      <c r="AM927" s="188"/>
      <c r="AN927" s="188"/>
      <c r="AO927" s="299"/>
      <c r="AS927" s="296"/>
      <c r="AW927" s="296"/>
      <c r="BN927" s="296"/>
      <c r="BO927" s="296"/>
      <c r="CY927" s="294"/>
      <c r="DF927" s="296"/>
    </row>
    <row r="928" spans="2:110" ht="13">
      <c r="B928" s="294"/>
      <c r="F928" s="296"/>
      <c r="J928" s="302"/>
      <c r="R928" s="188"/>
      <c r="T928" s="295"/>
      <c r="Y928" s="188"/>
      <c r="AA928" s="295"/>
      <c r="AF928" s="188"/>
      <c r="AH928" s="295"/>
      <c r="AI928" s="188"/>
      <c r="AJ928" s="188"/>
      <c r="AK928" s="188"/>
      <c r="AL928" s="188"/>
      <c r="AM928" s="188"/>
      <c r="AN928" s="188"/>
      <c r="AO928" s="299"/>
      <c r="AS928" s="296"/>
      <c r="AW928" s="296"/>
      <c r="BN928" s="296"/>
      <c r="BO928" s="296"/>
      <c r="CY928" s="294"/>
      <c r="DF928" s="296"/>
    </row>
    <row r="929" spans="2:110" ht="13">
      <c r="B929" s="294"/>
      <c r="F929" s="296"/>
      <c r="J929" s="302"/>
      <c r="R929" s="188"/>
      <c r="T929" s="295"/>
      <c r="Y929" s="188"/>
      <c r="AA929" s="295"/>
      <c r="AF929" s="188"/>
      <c r="AH929" s="295"/>
      <c r="AI929" s="188"/>
      <c r="AJ929" s="188"/>
      <c r="AK929" s="188"/>
      <c r="AL929" s="188"/>
      <c r="AM929" s="188"/>
      <c r="AN929" s="188"/>
      <c r="AO929" s="299"/>
      <c r="AS929" s="296"/>
      <c r="AW929" s="296"/>
      <c r="BN929" s="296"/>
      <c r="BO929" s="296"/>
      <c r="CY929" s="294"/>
      <c r="DF929" s="296"/>
    </row>
    <row r="930" spans="2:110" ht="13">
      <c r="B930" s="294"/>
      <c r="F930" s="296"/>
      <c r="J930" s="302"/>
      <c r="R930" s="188"/>
      <c r="T930" s="295"/>
      <c r="Y930" s="188"/>
      <c r="AA930" s="295"/>
      <c r="AF930" s="188"/>
      <c r="AH930" s="295"/>
      <c r="AI930" s="188"/>
      <c r="AJ930" s="188"/>
      <c r="AK930" s="188"/>
      <c r="AL930" s="188"/>
      <c r="AM930" s="188"/>
      <c r="AN930" s="188"/>
      <c r="AO930" s="299"/>
      <c r="AS930" s="296"/>
      <c r="AW930" s="296"/>
      <c r="BN930" s="296"/>
      <c r="BO930" s="296"/>
      <c r="CY930" s="294"/>
      <c r="DF930" s="296"/>
    </row>
    <row r="931" spans="2:110" ht="13">
      <c r="B931" s="294"/>
      <c r="F931" s="296"/>
      <c r="J931" s="302"/>
      <c r="R931" s="188"/>
      <c r="T931" s="295"/>
      <c r="Y931" s="188"/>
      <c r="AA931" s="295"/>
      <c r="AF931" s="188"/>
      <c r="AH931" s="295"/>
      <c r="AI931" s="188"/>
      <c r="AJ931" s="188"/>
      <c r="AK931" s="188"/>
      <c r="AL931" s="188"/>
      <c r="AM931" s="188"/>
      <c r="AN931" s="188"/>
      <c r="AO931" s="299"/>
      <c r="AS931" s="296"/>
      <c r="AW931" s="296"/>
      <c r="BN931" s="296"/>
      <c r="BO931" s="296"/>
      <c r="CY931" s="294"/>
      <c r="DF931" s="296"/>
    </row>
    <row r="932" spans="2:110" ht="13">
      <c r="B932" s="294"/>
      <c r="F932" s="296"/>
      <c r="J932" s="302"/>
      <c r="R932" s="188"/>
      <c r="T932" s="295"/>
      <c r="Y932" s="188"/>
      <c r="AA932" s="295"/>
      <c r="AF932" s="188"/>
      <c r="AH932" s="295"/>
      <c r="AI932" s="188"/>
      <c r="AJ932" s="188"/>
      <c r="AK932" s="188"/>
      <c r="AL932" s="188"/>
      <c r="AM932" s="188"/>
      <c r="AN932" s="188"/>
      <c r="AO932" s="299"/>
      <c r="AS932" s="296"/>
      <c r="AW932" s="296"/>
      <c r="BN932" s="296"/>
      <c r="BO932" s="296"/>
      <c r="CY932" s="294"/>
      <c r="DF932" s="296"/>
    </row>
    <row r="933" spans="2:110" ht="13">
      <c r="B933" s="294"/>
      <c r="F933" s="296"/>
      <c r="J933" s="302"/>
      <c r="R933" s="188"/>
      <c r="T933" s="295"/>
      <c r="Y933" s="188"/>
      <c r="AA933" s="295"/>
      <c r="AF933" s="188"/>
      <c r="AH933" s="295"/>
      <c r="AI933" s="188"/>
      <c r="AJ933" s="188"/>
      <c r="AK933" s="188"/>
      <c r="AL933" s="188"/>
      <c r="AM933" s="188"/>
      <c r="AN933" s="188"/>
      <c r="AO933" s="299"/>
      <c r="AS933" s="296"/>
      <c r="AW933" s="296"/>
      <c r="BN933" s="296"/>
      <c r="BO933" s="296"/>
      <c r="CY933" s="294"/>
      <c r="DF933" s="296"/>
    </row>
    <row r="934" spans="2:110" ht="13">
      <c r="B934" s="294"/>
      <c r="F934" s="296"/>
      <c r="J934" s="302"/>
      <c r="R934" s="188"/>
      <c r="T934" s="295"/>
      <c r="Y934" s="188"/>
      <c r="AA934" s="295"/>
      <c r="AF934" s="188"/>
      <c r="AH934" s="295"/>
      <c r="AI934" s="188"/>
      <c r="AJ934" s="188"/>
      <c r="AK934" s="188"/>
      <c r="AL934" s="188"/>
      <c r="AM934" s="188"/>
      <c r="AN934" s="188"/>
      <c r="AO934" s="299"/>
      <c r="AS934" s="296"/>
      <c r="AW934" s="296"/>
      <c r="BN934" s="296"/>
      <c r="BO934" s="296"/>
      <c r="CY934" s="294"/>
      <c r="DF934" s="296"/>
    </row>
    <row r="935" spans="2:110" ht="13">
      <c r="B935" s="294"/>
      <c r="F935" s="296"/>
      <c r="J935" s="302"/>
      <c r="R935" s="188"/>
      <c r="T935" s="295"/>
      <c r="Y935" s="188"/>
      <c r="AA935" s="295"/>
      <c r="AF935" s="188"/>
      <c r="AH935" s="295"/>
      <c r="AI935" s="188"/>
      <c r="AJ935" s="188"/>
      <c r="AK935" s="188"/>
      <c r="AL935" s="188"/>
      <c r="AM935" s="188"/>
      <c r="AN935" s="188"/>
      <c r="AO935" s="299"/>
      <c r="AS935" s="296"/>
      <c r="AW935" s="296"/>
      <c r="BN935" s="296"/>
      <c r="BO935" s="296"/>
      <c r="CY935" s="294"/>
      <c r="DF935" s="296"/>
    </row>
    <row r="936" spans="2:110" ht="13">
      <c r="B936" s="294"/>
      <c r="F936" s="296"/>
      <c r="J936" s="302"/>
      <c r="R936" s="188"/>
      <c r="T936" s="295"/>
      <c r="Y936" s="188"/>
      <c r="AA936" s="295"/>
      <c r="AF936" s="188"/>
      <c r="AH936" s="295"/>
      <c r="AI936" s="188"/>
      <c r="AJ936" s="188"/>
      <c r="AK936" s="188"/>
      <c r="AL936" s="188"/>
      <c r="AM936" s="188"/>
      <c r="AN936" s="188"/>
      <c r="AO936" s="299"/>
      <c r="AS936" s="296"/>
      <c r="AW936" s="296"/>
      <c r="BN936" s="296"/>
      <c r="BO936" s="296"/>
      <c r="CY936" s="294"/>
      <c r="DF936" s="296"/>
    </row>
    <row r="937" spans="2:110" ht="13">
      <c r="B937" s="294"/>
      <c r="F937" s="296"/>
      <c r="J937" s="302"/>
      <c r="R937" s="188"/>
      <c r="T937" s="295"/>
      <c r="Y937" s="188"/>
      <c r="AA937" s="295"/>
      <c r="AF937" s="188"/>
      <c r="AH937" s="295"/>
      <c r="AI937" s="188"/>
      <c r="AJ937" s="188"/>
      <c r="AK937" s="188"/>
      <c r="AL937" s="188"/>
      <c r="AM937" s="188"/>
      <c r="AN937" s="188"/>
      <c r="AO937" s="299"/>
      <c r="AS937" s="296"/>
      <c r="AW937" s="296"/>
      <c r="BN937" s="296"/>
      <c r="BO937" s="296"/>
      <c r="CY937" s="294"/>
      <c r="DF937" s="296"/>
    </row>
    <row r="938" spans="2:110" ht="13">
      <c r="B938" s="294"/>
      <c r="F938" s="296"/>
      <c r="J938" s="302"/>
      <c r="R938" s="188"/>
      <c r="T938" s="295"/>
      <c r="Y938" s="188"/>
      <c r="AA938" s="295"/>
      <c r="AF938" s="188"/>
      <c r="AH938" s="295"/>
      <c r="AI938" s="188"/>
      <c r="AJ938" s="188"/>
      <c r="AK938" s="188"/>
      <c r="AL938" s="188"/>
      <c r="AM938" s="188"/>
      <c r="AN938" s="188"/>
      <c r="AO938" s="299"/>
      <c r="AS938" s="296"/>
      <c r="AW938" s="296"/>
      <c r="BN938" s="296"/>
      <c r="BO938" s="296"/>
      <c r="CY938" s="294"/>
      <c r="DF938" s="296"/>
    </row>
    <row r="939" spans="2:110" ht="13">
      <c r="B939" s="294"/>
      <c r="F939" s="296"/>
      <c r="J939" s="302"/>
      <c r="R939" s="188"/>
      <c r="T939" s="295"/>
      <c r="Y939" s="188"/>
      <c r="AA939" s="295"/>
      <c r="AF939" s="188"/>
      <c r="AH939" s="295"/>
      <c r="AI939" s="188"/>
      <c r="AJ939" s="188"/>
      <c r="AK939" s="188"/>
      <c r="AL939" s="188"/>
      <c r="AM939" s="188"/>
      <c r="AN939" s="188"/>
      <c r="AO939" s="299"/>
      <c r="AS939" s="296"/>
      <c r="AW939" s="296"/>
      <c r="BN939" s="296"/>
      <c r="BO939" s="296"/>
      <c r="CY939" s="294"/>
      <c r="DF939" s="296"/>
    </row>
    <row r="940" spans="2:110" ht="13">
      <c r="B940" s="294"/>
      <c r="F940" s="296"/>
      <c r="J940" s="302"/>
      <c r="R940" s="188"/>
      <c r="T940" s="295"/>
      <c r="Y940" s="188"/>
      <c r="AA940" s="295"/>
      <c r="AF940" s="188"/>
      <c r="AH940" s="295"/>
      <c r="AI940" s="188"/>
      <c r="AJ940" s="188"/>
      <c r="AK940" s="188"/>
      <c r="AL940" s="188"/>
      <c r="AM940" s="188"/>
      <c r="AN940" s="188"/>
      <c r="AO940" s="299"/>
      <c r="AS940" s="296"/>
      <c r="AW940" s="296"/>
      <c r="BN940" s="296"/>
      <c r="BO940" s="296"/>
      <c r="CY940" s="294"/>
      <c r="DF940" s="296"/>
    </row>
    <row r="941" spans="2:110" ht="13">
      <c r="B941" s="294"/>
      <c r="F941" s="296"/>
      <c r="J941" s="302"/>
      <c r="R941" s="188"/>
      <c r="T941" s="295"/>
      <c r="Y941" s="188"/>
      <c r="AA941" s="295"/>
      <c r="AF941" s="188"/>
      <c r="AH941" s="295"/>
      <c r="AI941" s="188"/>
      <c r="AJ941" s="188"/>
      <c r="AK941" s="188"/>
      <c r="AL941" s="188"/>
      <c r="AM941" s="188"/>
      <c r="AN941" s="188"/>
      <c r="AO941" s="299"/>
      <c r="AS941" s="296"/>
      <c r="AW941" s="296"/>
      <c r="BN941" s="296"/>
      <c r="BO941" s="296"/>
      <c r="CY941" s="294"/>
      <c r="DF941" s="296"/>
    </row>
    <row r="942" spans="2:110" ht="13">
      <c r="B942" s="294"/>
      <c r="F942" s="296"/>
      <c r="J942" s="302"/>
      <c r="R942" s="188"/>
      <c r="T942" s="295"/>
      <c r="Y942" s="188"/>
      <c r="AA942" s="295"/>
      <c r="AF942" s="188"/>
      <c r="AH942" s="295"/>
      <c r="AI942" s="188"/>
      <c r="AJ942" s="188"/>
      <c r="AK942" s="188"/>
      <c r="AL942" s="188"/>
      <c r="AM942" s="188"/>
      <c r="AN942" s="188"/>
      <c r="AO942" s="299"/>
      <c r="AS942" s="296"/>
      <c r="AW942" s="296"/>
      <c r="BN942" s="296"/>
      <c r="BO942" s="296"/>
      <c r="CY942" s="294"/>
      <c r="DF942" s="296"/>
    </row>
    <row r="943" spans="2:110" ht="13">
      <c r="B943" s="294"/>
      <c r="F943" s="296"/>
      <c r="J943" s="302"/>
      <c r="R943" s="188"/>
      <c r="T943" s="295"/>
      <c r="Y943" s="188"/>
      <c r="AA943" s="295"/>
      <c r="AF943" s="188"/>
      <c r="AH943" s="295"/>
      <c r="AI943" s="188"/>
      <c r="AJ943" s="188"/>
      <c r="AK943" s="188"/>
      <c r="AL943" s="188"/>
      <c r="AM943" s="188"/>
      <c r="AN943" s="188"/>
      <c r="AO943" s="299"/>
      <c r="AS943" s="296"/>
      <c r="AW943" s="296"/>
      <c r="BN943" s="296"/>
      <c r="BO943" s="296"/>
      <c r="CY943" s="294"/>
      <c r="DF943" s="296"/>
    </row>
    <row r="944" spans="2:110" ht="13">
      <c r="B944" s="294"/>
      <c r="F944" s="296"/>
      <c r="J944" s="302"/>
      <c r="R944" s="188"/>
      <c r="T944" s="295"/>
      <c r="Y944" s="188"/>
      <c r="AA944" s="295"/>
      <c r="AF944" s="188"/>
      <c r="AH944" s="295"/>
      <c r="AI944" s="188"/>
      <c r="AJ944" s="188"/>
      <c r="AK944" s="188"/>
      <c r="AL944" s="188"/>
      <c r="AM944" s="188"/>
      <c r="AN944" s="188"/>
      <c r="AO944" s="299"/>
      <c r="AS944" s="296"/>
      <c r="AW944" s="296"/>
      <c r="BN944" s="296"/>
      <c r="BO944" s="296"/>
      <c r="CY944" s="294"/>
      <c r="DF944" s="296"/>
    </row>
    <row r="945" spans="2:110" ht="13">
      <c r="B945" s="294"/>
      <c r="F945" s="296"/>
      <c r="J945" s="302"/>
      <c r="R945" s="188"/>
      <c r="T945" s="295"/>
      <c r="Y945" s="188"/>
      <c r="AA945" s="295"/>
      <c r="AF945" s="188"/>
      <c r="AH945" s="295"/>
      <c r="AI945" s="188"/>
      <c r="AJ945" s="188"/>
      <c r="AK945" s="188"/>
      <c r="AL945" s="188"/>
      <c r="AM945" s="188"/>
      <c r="AN945" s="188"/>
      <c r="AO945" s="299"/>
      <c r="AS945" s="296"/>
      <c r="AW945" s="296"/>
      <c r="BN945" s="296"/>
      <c r="BO945" s="296"/>
      <c r="CY945" s="294"/>
      <c r="DF945" s="296"/>
    </row>
    <row r="946" spans="2:110" ht="13">
      <c r="B946" s="294"/>
      <c r="F946" s="296"/>
      <c r="J946" s="302"/>
      <c r="R946" s="188"/>
      <c r="T946" s="295"/>
      <c r="Y946" s="188"/>
      <c r="AA946" s="295"/>
      <c r="AF946" s="188"/>
      <c r="AH946" s="295"/>
      <c r="AI946" s="188"/>
      <c r="AJ946" s="188"/>
      <c r="AK946" s="188"/>
      <c r="AL946" s="188"/>
      <c r="AM946" s="188"/>
      <c r="AN946" s="188"/>
      <c r="AO946" s="299"/>
      <c r="AS946" s="296"/>
      <c r="AW946" s="296"/>
      <c r="BN946" s="296"/>
      <c r="BO946" s="296"/>
      <c r="CY946" s="294"/>
      <c r="DF946" s="296"/>
    </row>
    <row r="947" spans="2:110" ht="13">
      <c r="B947" s="294"/>
      <c r="F947" s="296"/>
      <c r="J947" s="302"/>
      <c r="R947" s="188"/>
      <c r="T947" s="295"/>
      <c r="Y947" s="188"/>
      <c r="AA947" s="295"/>
      <c r="AF947" s="188"/>
      <c r="AH947" s="295"/>
      <c r="AI947" s="188"/>
      <c r="AJ947" s="188"/>
      <c r="AK947" s="188"/>
      <c r="AL947" s="188"/>
      <c r="AM947" s="188"/>
      <c r="AN947" s="188"/>
      <c r="AO947" s="299"/>
      <c r="AS947" s="296"/>
      <c r="AW947" s="296"/>
      <c r="BN947" s="296"/>
      <c r="BO947" s="296"/>
      <c r="CY947" s="294"/>
      <c r="DF947" s="296"/>
    </row>
    <row r="948" spans="2:110" ht="13">
      <c r="B948" s="294"/>
      <c r="F948" s="296"/>
      <c r="J948" s="302"/>
      <c r="R948" s="188"/>
      <c r="T948" s="295"/>
      <c r="Y948" s="188"/>
      <c r="AA948" s="295"/>
      <c r="AF948" s="188"/>
      <c r="AH948" s="295"/>
      <c r="AI948" s="188"/>
      <c r="AJ948" s="188"/>
      <c r="AK948" s="188"/>
      <c r="AL948" s="188"/>
      <c r="AM948" s="188"/>
      <c r="AN948" s="188"/>
      <c r="AO948" s="299"/>
      <c r="AS948" s="296"/>
      <c r="AW948" s="296"/>
      <c r="BN948" s="296"/>
      <c r="BO948" s="296"/>
      <c r="CY948" s="294"/>
      <c r="DF948" s="296"/>
    </row>
    <row r="949" spans="2:110" ht="13">
      <c r="B949" s="294"/>
      <c r="F949" s="296"/>
      <c r="J949" s="302"/>
      <c r="R949" s="188"/>
      <c r="T949" s="295"/>
      <c r="Y949" s="188"/>
      <c r="AA949" s="295"/>
      <c r="AF949" s="188"/>
      <c r="AH949" s="295"/>
      <c r="AI949" s="188"/>
      <c r="AJ949" s="188"/>
      <c r="AK949" s="188"/>
      <c r="AL949" s="188"/>
      <c r="AM949" s="188"/>
      <c r="AN949" s="188"/>
      <c r="AO949" s="299"/>
      <c r="AS949" s="296"/>
      <c r="AW949" s="296"/>
      <c r="BN949" s="296"/>
      <c r="BO949" s="296"/>
      <c r="CY949" s="294"/>
      <c r="DF949" s="296"/>
    </row>
    <row r="950" spans="2:110" ht="13">
      <c r="B950" s="294"/>
      <c r="F950" s="296"/>
      <c r="J950" s="302"/>
      <c r="R950" s="188"/>
      <c r="T950" s="295"/>
      <c r="Y950" s="188"/>
      <c r="AA950" s="295"/>
      <c r="AF950" s="188"/>
      <c r="AH950" s="295"/>
      <c r="AI950" s="188"/>
      <c r="AJ950" s="188"/>
      <c r="AK950" s="188"/>
      <c r="AL950" s="188"/>
      <c r="AM950" s="188"/>
      <c r="AN950" s="188"/>
      <c r="AO950" s="299"/>
      <c r="AS950" s="296"/>
      <c r="AW950" s="296"/>
      <c r="BN950" s="296"/>
      <c r="BO950" s="296"/>
      <c r="CY950" s="294"/>
      <c r="DF950" s="296"/>
    </row>
    <row r="951" spans="2:110" ht="13">
      <c r="B951" s="294"/>
      <c r="F951" s="296"/>
      <c r="J951" s="302"/>
      <c r="R951" s="188"/>
      <c r="T951" s="295"/>
      <c r="Y951" s="188"/>
      <c r="AA951" s="295"/>
      <c r="AF951" s="188"/>
      <c r="AH951" s="295"/>
      <c r="AI951" s="188"/>
      <c r="AJ951" s="188"/>
      <c r="AK951" s="188"/>
      <c r="AL951" s="188"/>
      <c r="AM951" s="188"/>
      <c r="AN951" s="188"/>
      <c r="AO951" s="299"/>
      <c r="AS951" s="296"/>
      <c r="AW951" s="296"/>
      <c r="BN951" s="296"/>
      <c r="BO951" s="296"/>
      <c r="CY951" s="294"/>
      <c r="DF951" s="296"/>
    </row>
    <row r="952" spans="2:110" ht="13">
      <c r="B952" s="294"/>
      <c r="F952" s="296"/>
      <c r="J952" s="302"/>
      <c r="R952" s="188"/>
      <c r="T952" s="295"/>
      <c r="Y952" s="188"/>
      <c r="AA952" s="295"/>
      <c r="AF952" s="188"/>
      <c r="AH952" s="295"/>
      <c r="AI952" s="188"/>
      <c r="AJ952" s="188"/>
      <c r="AK952" s="188"/>
      <c r="AL952" s="188"/>
      <c r="AM952" s="188"/>
      <c r="AN952" s="188"/>
      <c r="AO952" s="299"/>
      <c r="AS952" s="296"/>
      <c r="AW952" s="296"/>
      <c r="BN952" s="296"/>
      <c r="BO952" s="296"/>
      <c r="CY952" s="294"/>
      <c r="DF952" s="296"/>
    </row>
    <row r="953" spans="2:110" ht="13">
      <c r="B953" s="294"/>
      <c r="F953" s="296"/>
      <c r="J953" s="302"/>
      <c r="R953" s="188"/>
      <c r="T953" s="295"/>
      <c r="Y953" s="188"/>
      <c r="AA953" s="295"/>
      <c r="AF953" s="188"/>
      <c r="AH953" s="295"/>
      <c r="AI953" s="188"/>
      <c r="AJ953" s="188"/>
      <c r="AK953" s="188"/>
      <c r="AL953" s="188"/>
      <c r="AM953" s="188"/>
      <c r="AN953" s="188"/>
      <c r="AO953" s="299"/>
      <c r="AS953" s="296"/>
      <c r="AW953" s="296"/>
      <c r="BN953" s="296"/>
      <c r="BO953" s="296"/>
      <c r="CY953" s="294"/>
      <c r="DF953" s="296"/>
    </row>
    <row r="954" spans="2:110" ht="13">
      <c r="B954" s="294"/>
      <c r="F954" s="296"/>
      <c r="J954" s="302"/>
      <c r="R954" s="188"/>
      <c r="T954" s="295"/>
      <c r="Y954" s="188"/>
      <c r="AA954" s="295"/>
      <c r="AF954" s="188"/>
      <c r="AH954" s="295"/>
      <c r="AI954" s="188"/>
      <c r="AJ954" s="188"/>
      <c r="AK954" s="188"/>
      <c r="AL954" s="188"/>
      <c r="AM954" s="188"/>
      <c r="AN954" s="188"/>
      <c r="AO954" s="299"/>
      <c r="AS954" s="296"/>
      <c r="AW954" s="296"/>
      <c r="BN954" s="296"/>
      <c r="BO954" s="296"/>
      <c r="CY954" s="294"/>
      <c r="DF954" s="296"/>
    </row>
    <row r="955" spans="2:110" ht="13">
      <c r="B955" s="294"/>
      <c r="F955" s="296"/>
      <c r="J955" s="302"/>
      <c r="R955" s="188"/>
      <c r="T955" s="295"/>
      <c r="Y955" s="188"/>
      <c r="AA955" s="295"/>
      <c r="AF955" s="188"/>
      <c r="AH955" s="295"/>
      <c r="AI955" s="188"/>
      <c r="AJ955" s="188"/>
      <c r="AK955" s="188"/>
      <c r="AL955" s="188"/>
      <c r="AM955" s="188"/>
      <c r="AN955" s="188"/>
      <c r="AO955" s="299"/>
      <c r="AS955" s="296"/>
      <c r="AW955" s="296"/>
      <c r="BN955" s="296"/>
      <c r="BO955" s="296"/>
      <c r="CY955" s="294"/>
      <c r="DF955" s="296"/>
    </row>
    <row r="956" spans="2:110" ht="13">
      <c r="B956" s="294"/>
      <c r="F956" s="296"/>
      <c r="J956" s="302"/>
      <c r="R956" s="188"/>
      <c r="T956" s="295"/>
      <c r="Y956" s="188"/>
      <c r="AA956" s="295"/>
      <c r="AF956" s="188"/>
      <c r="AH956" s="295"/>
      <c r="AI956" s="188"/>
      <c r="AJ956" s="188"/>
      <c r="AK956" s="188"/>
      <c r="AL956" s="188"/>
      <c r="AM956" s="188"/>
      <c r="AN956" s="188"/>
      <c r="AO956" s="299"/>
      <c r="AS956" s="296"/>
      <c r="AW956" s="296"/>
      <c r="BN956" s="296"/>
      <c r="BO956" s="296"/>
      <c r="CY956" s="294"/>
      <c r="DF956" s="296"/>
    </row>
    <row r="957" spans="2:110" ht="13">
      <c r="B957" s="294"/>
      <c r="F957" s="296"/>
      <c r="J957" s="302"/>
      <c r="R957" s="188"/>
      <c r="T957" s="295"/>
      <c r="Y957" s="188"/>
      <c r="AA957" s="295"/>
      <c r="AF957" s="188"/>
      <c r="AH957" s="295"/>
      <c r="AI957" s="188"/>
      <c r="AJ957" s="188"/>
      <c r="AK957" s="188"/>
      <c r="AL957" s="188"/>
      <c r="AM957" s="188"/>
      <c r="AN957" s="188"/>
      <c r="AO957" s="299"/>
      <c r="AS957" s="296"/>
      <c r="AW957" s="296"/>
      <c r="BN957" s="296"/>
      <c r="BO957" s="296"/>
      <c r="CY957" s="294"/>
      <c r="DF957" s="296"/>
    </row>
    <row r="958" spans="2:110" ht="13">
      <c r="B958" s="294"/>
      <c r="F958" s="296"/>
      <c r="J958" s="302"/>
      <c r="R958" s="188"/>
      <c r="T958" s="295"/>
      <c r="Y958" s="188"/>
      <c r="AA958" s="295"/>
      <c r="AF958" s="188"/>
      <c r="AH958" s="295"/>
      <c r="AI958" s="188"/>
      <c r="AJ958" s="188"/>
      <c r="AK958" s="188"/>
      <c r="AL958" s="188"/>
      <c r="AM958" s="188"/>
      <c r="AN958" s="188"/>
      <c r="AO958" s="299"/>
      <c r="AS958" s="296"/>
      <c r="AW958" s="296"/>
      <c r="BN958" s="296"/>
      <c r="BO958" s="296"/>
      <c r="CY958" s="294"/>
      <c r="DF958" s="296"/>
    </row>
    <row r="959" spans="2:110" ht="13">
      <c r="B959" s="294"/>
      <c r="F959" s="296"/>
      <c r="J959" s="302"/>
      <c r="R959" s="188"/>
      <c r="T959" s="295"/>
      <c r="Y959" s="188"/>
      <c r="AA959" s="295"/>
      <c r="AF959" s="188"/>
      <c r="AH959" s="295"/>
      <c r="AI959" s="188"/>
      <c r="AJ959" s="188"/>
      <c r="AK959" s="188"/>
      <c r="AL959" s="188"/>
      <c r="AM959" s="188"/>
      <c r="AN959" s="188"/>
      <c r="AO959" s="299"/>
      <c r="AS959" s="296"/>
      <c r="AW959" s="296"/>
      <c r="BN959" s="296"/>
      <c r="BO959" s="296"/>
      <c r="CY959" s="294"/>
      <c r="DF959" s="296"/>
    </row>
    <row r="960" spans="2:110" ht="13">
      <c r="B960" s="294"/>
      <c r="F960" s="296"/>
      <c r="J960" s="302"/>
      <c r="R960" s="188"/>
      <c r="T960" s="295"/>
      <c r="Y960" s="188"/>
      <c r="AA960" s="295"/>
      <c r="AF960" s="188"/>
      <c r="AH960" s="295"/>
      <c r="AI960" s="188"/>
      <c r="AJ960" s="188"/>
      <c r="AK960" s="188"/>
      <c r="AL960" s="188"/>
      <c r="AM960" s="188"/>
      <c r="AN960" s="188"/>
      <c r="AO960" s="299"/>
      <c r="AS960" s="296"/>
      <c r="AW960" s="296"/>
      <c r="BN960" s="296"/>
      <c r="BO960" s="296"/>
      <c r="CY960" s="294"/>
      <c r="DF960" s="296"/>
    </row>
    <row r="961" spans="2:110" ht="13">
      <c r="B961" s="294"/>
      <c r="F961" s="296"/>
      <c r="J961" s="302"/>
      <c r="R961" s="188"/>
      <c r="T961" s="295"/>
      <c r="Y961" s="188"/>
      <c r="AA961" s="295"/>
      <c r="AF961" s="188"/>
      <c r="AH961" s="295"/>
      <c r="AI961" s="188"/>
      <c r="AJ961" s="188"/>
      <c r="AK961" s="188"/>
      <c r="AL961" s="188"/>
      <c r="AM961" s="188"/>
      <c r="AN961" s="188"/>
      <c r="AO961" s="299"/>
      <c r="AS961" s="296"/>
      <c r="AW961" s="296"/>
      <c r="BN961" s="296"/>
      <c r="BO961" s="296"/>
      <c r="CY961" s="294"/>
      <c r="DF961" s="296"/>
    </row>
    <row r="962" spans="2:110" ht="13">
      <c r="B962" s="294"/>
      <c r="F962" s="296"/>
      <c r="J962" s="302"/>
      <c r="R962" s="188"/>
      <c r="T962" s="295"/>
      <c r="Y962" s="188"/>
      <c r="AA962" s="295"/>
      <c r="AF962" s="188"/>
      <c r="AH962" s="295"/>
      <c r="AI962" s="188"/>
      <c r="AJ962" s="188"/>
      <c r="AK962" s="188"/>
      <c r="AL962" s="188"/>
      <c r="AM962" s="188"/>
      <c r="AN962" s="188"/>
      <c r="AO962" s="299"/>
      <c r="AS962" s="296"/>
      <c r="AW962" s="296"/>
      <c r="BN962" s="296"/>
      <c r="BO962" s="296"/>
      <c r="CY962" s="294"/>
      <c r="DF962" s="296"/>
    </row>
    <row r="963" spans="2:110" ht="13">
      <c r="B963" s="294"/>
      <c r="F963" s="296"/>
      <c r="J963" s="302"/>
      <c r="R963" s="188"/>
      <c r="T963" s="295"/>
      <c r="Y963" s="188"/>
      <c r="AA963" s="295"/>
      <c r="AF963" s="188"/>
      <c r="AH963" s="295"/>
      <c r="AI963" s="188"/>
      <c r="AJ963" s="188"/>
      <c r="AK963" s="188"/>
      <c r="AL963" s="188"/>
      <c r="AM963" s="188"/>
      <c r="AN963" s="188"/>
      <c r="AO963" s="299"/>
      <c r="AS963" s="296"/>
      <c r="AW963" s="296"/>
      <c r="BN963" s="296"/>
      <c r="BO963" s="296"/>
      <c r="CY963" s="294"/>
      <c r="DF963" s="296"/>
    </row>
    <row r="964" spans="2:110" ht="13">
      <c r="B964" s="294"/>
      <c r="F964" s="296"/>
      <c r="J964" s="302"/>
      <c r="R964" s="188"/>
      <c r="T964" s="295"/>
      <c r="Y964" s="188"/>
      <c r="AA964" s="295"/>
      <c r="AF964" s="188"/>
      <c r="AH964" s="295"/>
      <c r="AI964" s="188"/>
      <c r="AJ964" s="188"/>
      <c r="AK964" s="188"/>
      <c r="AL964" s="188"/>
      <c r="AM964" s="188"/>
      <c r="AN964" s="188"/>
      <c r="AO964" s="299"/>
      <c r="AS964" s="296"/>
      <c r="AW964" s="296"/>
      <c r="BN964" s="296"/>
      <c r="BO964" s="296"/>
      <c r="CY964" s="294"/>
      <c r="DF964" s="296"/>
    </row>
    <row r="965" spans="2:110" ht="13">
      <c r="B965" s="294"/>
      <c r="F965" s="296"/>
      <c r="J965" s="302"/>
      <c r="R965" s="188"/>
      <c r="T965" s="295"/>
      <c r="Y965" s="188"/>
      <c r="AA965" s="295"/>
      <c r="AF965" s="188"/>
      <c r="AH965" s="295"/>
      <c r="AI965" s="188"/>
      <c r="AJ965" s="188"/>
      <c r="AK965" s="188"/>
      <c r="AL965" s="188"/>
      <c r="AM965" s="188"/>
      <c r="AN965" s="188"/>
      <c r="AO965" s="299"/>
      <c r="AS965" s="296"/>
      <c r="AW965" s="296"/>
      <c r="BN965" s="296"/>
      <c r="BO965" s="296"/>
      <c r="CY965" s="294"/>
      <c r="DF965" s="296"/>
    </row>
    <row r="966" spans="2:110" ht="13">
      <c r="B966" s="294"/>
      <c r="F966" s="296"/>
      <c r="J966" s="302"/>
      <c r="R966" s="188"/>
      <c r="T966" s="295"/>
      <c r="Y966" s="188"/>
      <c r="AA966" s="295"/>
      <c r="AF966" s="188"/>
      <c r="AH966" s="295"/>
      <c r="AI966" s="188"/>
      <c r="AJ966" s="188"/>
      <c r="AK966" s="188"/>
      <c r="AL966" s="188"/>
      <c r="AM966" s="188"/>
      <c r="AN966" s="188"/>
      <c r="AO966" s="299"/>
      <c r="AS966" s="296"/>
      <c r="AW966" s="296"/>
      <c r="BN966" s="296"/>
      <c r="BO966" s="296"/>
      <c r="CY966" s="294"/>
      <c r="DF966" s="296"/>
    </row>
    <row r="967" spans="2:110" ht="13">
      <c r="B967" s="294"/>
      <c r="F967" s="296"/>
      <c r="J967" s="302"/>
      <c r="R967" s="188"/>
      <c r="T967" s="295"/>
      <c r="Y967" s="188"/>
      <c r="AA967" s="295"/>
      <c r="AF967" s="188"/>
      <c r="AH967" s="295"/>
      <c r="AI967" s="188"/>
      <c r="AJ967" s="188"/>
      <c r="AK967" s="188"/>
      <c r="AL967" s="188"/>
      <c r="AM967" s="188"/>
      <c r="AN967" s="188"/>
      <c r="AO967" s="299"/>
      <c r="AS967" s="296"/>
      <c r="AW967" s="296"/>
      <c r="BN967" s="296"/>
      <c r="BO967" s="296"/>
      <c r="CY967" s="294"/>
      <c r="DF967" s="296"/>
    </row>
    <row r="968" spans="2:110" ht="13">
      <c r="B968" s="294"/>
      <c r="F968" s="296"/>
      <c r="J968" s="302"/>
      <c r="R968" s="188"/>
      <c r="T968" s="295"/>
      <c r="Y968" s="188"/>
      <c r="AA968" s="295"/>
      <c r="AF968" s="188"/>
      <c r="AH968" s="295"/>
      <c r="AI968" s="188"/>
      <c r="AJ968" s="188"/>
      <c r="AK968" s="188"/>
      <c r="AL968" s="188"/>
      <c r="AM968" s="188"/>
      <c r="AN968" s="188"/>
      <c r="AO968" s="299"/>
      <c r="AS968" s="296"/>
      <c r="AW968" s="296"/>
      <c r="BN968" s="296"/>
      <c r="BO968" s="296"/>
      <c r="CY968" s="294"/>
      <c r="DF968" s="296"/>
    </row>
    <row r="969" spans="2:110" ht="13">
      <c r="B969" s="294"/>
      <c r="F969" s="296"/>
      <c r="J969" s="302"/>
      <c r="R969" s="188"/>
      <c r="T969" s="295"/>
      <c r="Y969" s="188"/>
      <c r="AA969" s="295"/>
      <c r="AF969" s="188"/>
      <c r="AH969" s="295"/>
      <c r="AI969" s="188"/>
      <c r="AJ969" s="188"/>
      <c r="AK969" s="188"/>
      <c r="AL969" s="188"/>
      <c r="AM969" s="188"/>
      <c r="AN969" s="188"/>
      <c r="AO969" s="299"/>
      <c r="AS969" s="296"/>
      <c r="AW969" s="296"/>
      <c r="BN969" s="296"/>
      <c r="BO969" s="296"/>
      <c r="CY969" s="294"/>
      <c r="DF969" s="296"/>
    </row>
    <row r="970" spans="2:110" ht="13">
      <c r="B970" s="294"/>
      <c r="F970" s="296"/>
      <c r="J970" s="302"/>
      <c r="R970" s="188"/>
      <c r="T970" s="295"/>
      <c r="Y970" s="188"/>
      <c r="AA970" s="295"/>
      <c r="AF970" s="188"/>
      <c r="AH970" s="295"/>
      <c r="AI970" s="188"/>
      <c r="AJ970" s="188"/>
      <c r="AK970" s="188"/>
      <c r="AL970" s="188"/>
      <c r="AM970" s="188"/>
      <c r="AN970" s="188"/>
      <c r="AO970" s="299"/>
      <c r="AS970" s="296"/>
      <c r="AW970" s="296"/>
      <c r="BN970" s="296"/>
      <c r="BO970" s="296"/>
      <c r="CY970" s="294"/>
      <c r="DF970" s="296"/>
    </row>
    <row r="971" spans="2:110" ht="13">
      <c r="B971" s="294"/>
      <c r="F971" s="296"/>
      <c r="J971" s="302"/>
      <c r="R971" s="188"/>
      <c r="T971" s="295"/>
      <c r="Y971" s="188"/>
      <c r="AA971" s="295"/>
      <c r="AF971" s="188"/>
      <c r="AH971" s="295"/>
      <c r="AI971" s="188"/>
      <c r="AJ971" s="188"/>
      <c r="AK971" s="188"/>
      <c r="AL971" s="188"/>
      <c r="AM971" s="188"/>
      <c r="AN971" s="188"/>
      <c r="AO971" s="299"/>
      <c r="AS971" s="296"/>
      <c r="AW971" s="296"/>
      <c r="BN971" s="296"/>
      <c r="BO971" s="296"/>
      <c r="CY971" s="294"/>
      <c r="DF971" s="296"/>
    </row>
    <row r="972" spans="2:110" ht="13">
      <c r="B972" s="294"/>
      <c r="F972" s="296"/>
      <c r="J972" s="302"/>
      <c r="R972" s="188"/>
      <c r="T972" s="295"/>
      <c r="Y972" s="188"/>
      <c r="AA972" s="295"/>
      <c r="AF972" s="188"/>
      <c r="AH972" s="295"/>
      <c r="AI972" s="188"/>
      <c r="AJ972" s="188"/>
      <c r="AK972" s="188"/>
      <c r="AL972" s="188"/>
      <c r="AM972" s="188"/>
      <c r="AN972" s="188"/>
      <c r="AO972" s="299"/>
      <c r="AS972" s="296"/>
      <c r="AW972" s="296"/>
      <c r="BN972" s="296"/>
      <c r="BO972" s="296"/>
      <c r="CY972" s="294"/>
      <c r="DF972" s="296"/>
    </row>
    <row r="973" spans="2:110" ht="13">
      <c r="B973" s="294"/>
      <c r="F973" s="296"/>
      <c r="J973" s="302"/>
      <c r="R973" s="188"/>
      <c r="T973" s="295"/>
      <c r="Y973" s="188"/>
      <c r="AA973" s="295"/>
      <c r="AF973" s="188"/>
      <c r="AH973" s="295"/>
      <c r="AI973" s="188"/>
      <c r="AJ973" s="188"/>
      <c r="AK973" s="188"/>
      <c r="AL973" s="188"/>
      <c r="AM973" s="188"/>
      <c r="AN973" s="188"/>
      <c r="AO973" s="299"/>
      <c r="AS973" s="296"/>
      <c r="AW973" s="296"/>
      <c r="BN973" s="296"/>
      <c r="BO973" s="296"/>
      <c r="CY973" s="294"/>
      <c r="DF973" s="296"/>
    </row>
    <row r="974" spans="2:110" ht="13">
      <c r="B974" s="294"/>
      <c r="F974" s="296"/>
      <c r="J974" s="302"/>
      <c r="R974" s="188"/>
      <c r="T974" s="295"/>
      <c r="Y974" s="188"/>
      <c r="AA974" s="295"/>
      <c r="AF974" s="188"/>
      <c r="AH974" s="295"/>
      <c r="AI974" s="188"/>
      <c r="AJ974" s="188"/>
      <c r="AK974" s="188"/>
      <c r="AL974" s="188"/>
      <c r="AM974" s="188"/>
      <c r="AN974" s="188"/>
      <c r="AO974" s="299"/>
      <c r="AS974" s="296"/>
      <c r="AW974" s="296"/>
      <c r="BN974" s="296"/>
      <c r="BO974" s="296"/>
      <c r="CY974" s="294"/>
      <c r="DF974" s="296"/>
    </row>
    <row r="975" spans="2:110" ht="13">
      <c r="B975" s="294"/>
      <c r="F975" s="296"/>
      <c r="J975" s="302"/>
      <c r="R975" s="188"/>
      <c r="T975" s="295"/>
      <c r="Y975" s="188"/>
      <c r="AA975" s="295"/>
      <c r="AF975" s="188"/>
      <c r="AH975" s="295"/>
      <c r="AI975" s="188"/>
      <c r="AJ975" s="188"/>
      <c r="AK975" s="188"/>
      <c r="AL975" s="188"/>
      <c r="AM975" s="188"/>
      <c r="AN975" s="188"/>
      <c r="AO975" s="299"/>
      <c r="AS975" s="296"/>
      <c r="AW975" s="296"/>
      <c r="BN975" s="296"/>
      <c r="BO975" s="296"/>
      <c r="CY975" s="294"/>
      <c r="DF975" s="296"/>
    </row>
    <row r="976" spans="2:110" ht="13">
      <c r="B976" s="294"/>
      <c r="F976" s="296"/>
      <c r="J976" s="302"/>
      <c r="R976" s="188"/>
      <c r="T976" s="295"/>
      <c r="Y976" s="188"/>
      <c r="AA976" s="295"/>
      <c r="AF976" s="188"/>
      <c r="AH976" s="295"/>
      <c r="AI976" s="188"/>
      <c r="AJ976" s="188"/>
      <c r="AK976" s="188"/>
      <c r="AL976" s="188"/>
      <c r="AM976" s="188"/>
      <c r="AN976" s="188"/>
      <c r="AO976" s="299"/>
      <c r="AS976" s="296"/>
      <c r="AW976" s="296"/>
      <c r="BN976" s="296"/>
      <c r="BO976" s="296"/>
      <c r="CY976" s="294"/>
      <c r="DF976" s="296"/>
    </row>
    <row r="977" spans="2:110" ht="13">
      <c r="B977" s="294"/>
      <c r="F977" s="296"/>
      <c r="J977" s="302"/>
      <c r="R977" s="188"/>
      <c r="T977" s="295"/>
      <c r="Y977" s="188"/>
      <c r="AA977" s="295"/>
      <c r="AF977" s="188"/>
      <c r="AH977" s="295"/>
      <c r="AI977" s="188"/>
      <c r="AJ977" s="188"/>
      <c r="AK977" s="188"/>
      <c r="AL977" s="188"/>
      <c r="AM977" s="188"/>
      <c r="AN977" s="188"/>
      <c r="AO977" s="299"/>
      <c r="AS977" s="296"/>
      <c r="AW977" s="296"/>
      <c r="BN977" s="296"/>
      <c r="BO977" s="296"/>
      <c r="CY977" s="294"/>
      <c r="DF977" s="296"/>
    </row>
    <row r="978" spans="2:110" ht="13">
      <c r="B978" s="294"/>
      <c r="F978" s="296"/>
      <c r="J978" s="302"/>
      <c r="R978" s="188"/>
      <c r="T978" s="295"/>
      <c r="Y978" s="188"/>
      <c r="AA978" s="295"/>
      <c r="AF978" s="188"/>
      <c r="AH978" s="295"/>
      <c r="AI978" s="188"/>
      <c r="AJ978" s="188"/>
      <c r="AK978" s="188"/>
      <c r="AL978" s="188"/>
      <c r="AM978" s="188"/>
      <c r="AN978" s="188"/>
      <c r="AO978" s="299"/>
      <c r="AS978" s="296"/>
      <c r="AW978" s="296"/>
      <c r="BN978" s="296"/>
      <c r="BO978" s="296"/>
      <c r="CY978" s="294"/>
      <c r="DF978" s="296"/>
    </row>
    <row r="979" spans="2:110" ht="13">
      <c r="B979" s="294"/>
      <c r="F979" s="296"/>
      <c r="J979" s="302"/>
      <c r="R979" s="188"/>
      <c r="T979" s="295"/>
      <c r="Y979" s="188"/>
      <c r="AA979" s="295"/>
      <c r="AF979" s="188"/>
      <c r="AH979" s="295"/>
      <c r="AI979" s="188"/>
      <c r="AJ979" s="188"/>
      <c r="AK979" s="188"/>
      <c r="AL979" s="188"/>
      <c r="AM979" s="188"/>
      <c r="AN979" s="188"/>
      <c r="AO979" s="299"/>
      <c r="AS979" s="296"/>
      <c r="AW979" s="296"/>
      <c r="BN979" s="296"/>
      <c r="BO979" s="296"/>
      <c r="CY979" s="294"/>
      <c r="DF979" s="296"/>
    </row>
    <row r="980" spans="2:110" ht="13">
      <c r="B980" s="294"/>
      <c r="F980" s="296"/>
      <c r="J980" s="302"/>
      <c r="R980" s="188"/>
      <c r="T980" s="295"/>
      <c r="Y980" s="188"/>
      <c r="AA980" s="295"/>
      <c r="AF980" s="188"/>
      <c r="AH980" s="295"/>
      <c r="AI980" s="188"/>
      <c r="AJ980" s="188"/>
      <c r="AK980" s="188"/>
      <c r="AL980" s="188"/>
      <c r="AM980" s="188"/>
      <c r="AN980" s="188"/>
      <c r="AO980" s="299"/>
      <c r="AS980" s="296"/>
      <c r="AW980" s="296"/>
      <c r="BN980" s="296"/>
      <c r="BO980" s="296"/>
      <c r="CY980" s="294"/>
      <c r="DF980" s="296"/>
    </row>
    <row r="981" spans="2:110" ht="13">
      <c r="B981" s="294"/>
      <c r="F981" s="296"/>
      <c r="J981" s="302"/>
      <c r="R981" s="188"/>
      <c r="T981" s="295"/>
      <c r="Y981" s="188"/>
      <c r="AA981" s="295"/>
      <c r="AF981" s="188"/>
      <c r="AH981" s="295"/>
      <c r="AI981" s="188"/>
      <c r="AJ981" s="188"/>
      <c r="AK981" s="188"/>
      <c r="AL981" s="188"/>
      <c r="AM981" s="188"/>
      <c r="AN981" s="188"/>
      <c r="AO981" s="299"/>
      <c r="AS981" s="296"/>
      <c r="AW981" s="296"/>
      <c r="BN981" s="296"/>
      <c r="BO981" s="296"/>
      <c r="CY981" s="294"/>
      <c r="DF981" s="296"/>
    </row>
    <row r="982" spans="2:110" ht="13">
      <c r="B982" s="294"/>
      <c r="F982" s="296"/>
      <c r="J982" s="302"/>
      <c r="R982" s="188"/>
      <c r="T982" s="295"/>
      <c r="Y982" s="188"/>
      <c r="AA982" s="295"/>
      <c r="AF982" s="188"/>
      <c r="AH982" s="295"/>
      <c r="AI982" s="188"/>
      <c r="AJ982" s="188"/>
      <c r="AK982" s="188"/>
      <c r="AL982" s="188"/>
      <c r="AM982" s="188"/>
      <c r="AN982" s="188"/>
      <c r="AO982" s="299"/>
      <c r="AS982" s="296"/>
      <c r="AW982" s="296"/>
      <c r="BN982" s="296"/>
      <c r="BO982" s="296"/>
      <c r="CY982" s="294"/>
      <c r="DF982" s="296"/>
    </row>
    <row r="983" spans="2:110" ht="13">
      <c r="B983" s="294"/>
      <c r="F983" s="296"/>
      <c r="J983" s="302"/>
      <c r="R983" s="188"/>
      <c r="T983" s="295"/>
      <c r="Y983" s="188"/>
      <c r="AA983" s="295"/>
      <c r="AF983" s="188"/>
      <c r="AH983" s="295"/>
      <c r="AI983" s="188"/>
      <c r="AJ983" s="188"/>
      <c r="AK983" s="188"/>
      <c r="AL983" s="188"/>
      <c r="AM983" s="188"/>
      <c r="AN983" s="188"/>
      <c r="AO983" s="299"/>
      <c r="AS983" s="296"/>
      <c r="AW983" s="296"/>
      <c r="BN983" s="296"/>
      <c r="BO983" s="296"/>
      <c r="CY983" s="294"/>
      <c r="DF983" s="296"/>
    </row>
    <row r="984" spans="2:110" ht="13">
      <c r="B984" s="294"/>
      <c r="F984" s="296"/>
      <c r="J984" s="302"/>
      <c r="R984" s="188"/>
      <c r="T984" s="295"/>
      <c r="Y984" s="188"/>
      <c r="AA984" s="295"/>
      <c r="AF984" s="188"/>
      <c r="AH984" s="295"/>
      <c r="AI984" s="188"/>
      <c r="AJ984" s="188"/>
      <c r="AK984" s="188"/>
      <c r="AL984" s="188"/>
      <c r="AM984" s="188"/>
      <c r="AN984" s="188"/>
      <c r="AO984" s="299"/>
      <c r="AS984" s="296"/>
      <c r="AW984" s="296"/>
      <c r="BN984" s="296"/>
      <c r="BO984" s="296"/>
      <c r="CY984" s="294"/>
      <c r="DF984" s="296"/>
    </row>
    <row r="985" spans="2:110" ht="13">
      <c r="B985" s="294"/>
      <c r="F985" s="296"/>
      <c r="J985" s="302"/>
      <c r="R985" s="188"/>
      <c r="T985" s="295"/>
      <c r="Y985" s="188"/>
      <c r="AA985" s="295"/>
      <c r="AF985" s="188"/>
      <c r="AH985" s="295"/>
      <c r="AI985" s="188"/>
      <c r="AJ985" s="188"/>
      <c r="AK985" s="188"/>
      <c r="AL985" s="188"/>
      <c r="AM985" s="188"/>
      <c r="AN985" s="188"/>
      <c r="AO985" s="299"/>
      <c r="AS985" s="296"/>
      <c r="AW985" s="296"/>
      <c r="BN985" s="296"/>
      <c r="BO985" s="296"/>
      <c r="CY985" s="294"/>
      <c r="DF985" s="296"/>
    </row>
    <row r="986" spans="2:110" ht="13">
      <c r="B986" s="294"/>
      <c r="F986" s="296"/>
      <c r="J986" s="302"/>
      <c r="R986" s="188"/>
      <c r="T986" s="295"/>
      <c r="Y986" s="188"/>
      <c r="AA986" s="295"/>
      <c r="AF986" s="188"/>
      <c r="AH986" s="295"/>
      <c r="AI986" s="188"/>
      <c r="AJ986" s="188"/>
      <c r="AK986" s="188"/>
      <c r="AL986" s="188"/>
      <c r="AM986" s="188"/>
      <c r="AN986" s="188"/>
      <c r="AO986" s="299"/>
      <c r="AS986" s="296"/>
      <c r="AW986" s="296"/>
      <c r="BN986" s="296"/>
      <c r="BO986" s="296"/>
      <c r="CY986" s="294"/>
      <c r="DF986" s="296"/>
    </row>
    <row r="987" spans="2:110" ht="13">
      <c r="B987" s="294"/>
      <c r="F987" s="296"/>
      <c r="J987" s="302"/>
      <c r="R987" s="188"/>
      <c r="T987" s="295"/>
      <c r="Y987" s="188"/>
      <c r="AA987" s="295"/>
      <c r="AF987" s="188"/>
      <c r="AH987" s="295"/>
      <c r="AI987" s="188"/>
      <c r="AJ987" s="188"/>
      <c r="AK987" s="188"/>
      <c r="AL987" s="188"/>
      <c r="AM987" s="188"/>
      <c r="AN987" s="188"/>
      <c r="AO987" s="299"/>
      <c r="AS987" s="296"/>
      <c r="AW987" s="296"/>
      <c r="BN987" s="296"/>
      <c r="BO987" s="296"/>
      <c r="CY987" s="294"/>
      <c r="DF987" s="296"/>
    </row>
    <row r="988" spans="2:110" ht="13">
      <c r="B988" s="294"/>
      <c r="F988" s="296"/>
      <c r="J988" s="302"/>
      <c r="R988" s="188"/>
      <c r="T988" s="295"/>
      <c r="Y988" s="188"/>
      <c r="AA988" s="295"/>
      <c r="AF988" s="188"/>
      <c r="AH988" s="295"/>
      <c r="AI988" s="188"/>
      <c r="AJ988" s="188"/>
      <c r="AK988" s="188"/>
      <c r="AL988" s="188"/>
      <c r="AM988" s="188"/>
      <c r="AN988" s="188"/>
      <c r="AO988" s="299"/>
      <c r="AS988" s="296"/>
      <c r="AW988" s="296"/>
      <c r="BN988" s="296"/>
      <c r="BO988" s="296"/>
      <c r="CY988" s="294"/>
      <c r="DF988" s="296"/>
    </row>
    <row r="989" spans="2:110" ht="13">
      <c r="B989" s="294"/>
      <c r="F989" s="296"/>
      <c r="J989" s="302"/>
      <c r="R989" s="188"/>
      <c r="T989" s="295"/>
      <c r="Y989" s="188"/>
      <c r="AA989" s="295"/>
      <c r="AF989" s="188"/>
      <c r="AH989" s="295"/>
      <c r="AI989" s="188"/>
      <c r="AJ989" s="188"/>
      <c r="AK989" s="188"/>
      <c r="AL989" s="188"/>
      <c r="AM989" s="188"/>
      <c r="AN989" s="188"/>
      <c r="AO989" s="299"/>
      <c r="AS989" s="296"/>
      <c r="AW989" s="296"/>
      <c r="BN989" s="296"/>
      <c r="BO989" s="296"/>
      <c r="CY989" s="294"/>
      <c r="DF989" s="296"/>
    </row>
    <row r="990" spans="2:110" ht="13">
      <c r="B990" s="294"/>
      <c r="F990" s="296"/>
      <c r="J990" s="302"/>
      <c r="R990" s="188"/>
      <c r="T990" s="295"/>
      <c r="Y990" s="188"/>
      <c r="AA990" s="295"/>
      <c r="AF990" s="188"/>
      <c r="AH990" s="295"/>
      <c r="AI990" s="188"/>
      <c r="AJ990" s="188"/>
      <c r="AK990" s="188"/>
      <c r="AL990" s="188"/>
      <c r="AM990" s="188"/>
      <c r="AN990" s="188"/>
      <c r="AO990" s="299"/>
      <c r="AS990" s="296"/>
      <c r="AW990" s="296"/>
      <c r="BN990" s="296"/>
      <c r="BO990" s="296"/>
      <c r="CY990" s="294"/>
      <c r="DF990" s="296"/>
    </row>
    <row r="991" spans="2:110" ht="13">
      <c r="B991" s="294"/>
      <c r="F991" s="296"/>
      <c r="J991" s="302"/>
      <c r="R991" s="188"/>
      <c r="T991" s="295"/>
      <c r="Y991" s="188"/>
      <c r="AA991" s="295"/>
      <c r="AF991" s="188"/>
      <c r="AH991" s="295"/>
      <c r="AI991" s="188"/>
      <c r="AJ991" s="188"/>
      <c r="AK991" s="188"/>
      <c r="AL991" s="188"/>
      <c r="AM991" s="188"/>
      <c r="AN991" s="188"/>
      <c r="AO991" s="299"/>
      <c r="AS991" s="296"/>
      <c r="AW991" s="296"/>
      <c r="BN991" s="296"/>
      <c r="BO991" s="296"/>
      <c r="CY991" s="294"/>
      <c r="DF991" s="296"/>
    </row>
    <row r="992" spans="2:110" ht="13">
      <c r="B992" s="294"/>
      <c r="F992" s="296"/>
      <c r="J992" s="302"/>
      <c r="R992" s="188"/>
      <c r="T992" s="295"/>
      <c r="Y992" s="188"/>
      <c r="AA992" s="295"/>
      <c r="AF992" s="188"/>
      <c r="AH992" s="295"/>
      <c r="AI992" s="188"/>
      <c r="AJ992" s="188"/>
      <c r="AK992" s="188"/>
      <c r="AL992" s="188"/>
      <c r="AM992" s="188"/>
      <c r="AN992" s="188"/>
      <c r="AO992" s="299"/>
      <c r="AS992" s="296"/>
      <c r="AW992" s="296"/>
      <c r="BN992" s="296"/>
      <c r="BO992" s="296"/>
      <c r="CY992" s="294"/>
      <c r="DF992" s="296"/>
    </row>
    <row r="993" spans="2:110" ht="13">
      <c r="B993" s="294"/>
      <c r="F993" s="296"/>
      <c r="J993" s="302"/>
      <c r="R993" s="188"/>
      <c r="T993" s="295"/>
      <c r="Y993" s="188"/>
      <c r="AA993" s="295"/>
      <c r="AF993" s="188"/>
      <c r="AH993" s="295"/>
      <c r="AI993" s="188"/>
      <c r="AJ993" s="188"/>
      <c r="AK993" s="188"/>
      <c r="AL993" s="188"/>
      <c r="AM993" s="188"/>
      <c r="AN993" s="188"/>
      <c r="AO993" s="299"/>
      <c r="AS993" s="296"/>
      <c r="AW993" s="296"/>
      <c r="BN993" s="296"/>
      <c r="BO993" s="296"/>
      <c r="CY993" s="294"/>
      <c r="DF993" s="296"/>
    </row>
    <row r="994" spans="2:110" ht="13">
      <c r="B994" s="294"/>
      <c r="F994" s="296"/>
      <c r="J994" s="302"/>
      <c r="R994" s="188"/>
      <c r="T994" s="295"/>
      <c r="Y994" s="188"/>
      <c r="AA994" s="295"/>
      <c r="AF994" s="188"/>
      <c r="AH994" s="295"/>
      <c r="AI994" s="188"/>
      <c r="AJ994" s="188"/>
      <c r="AK994" s="188"/>
      <c r="AL994" s="188"/>
      <c r="AM994" s="188"/>
      <c r="AN994" s="188"/>
      <c r="AO994" s="299"/>
      <c r="AS994" s="296"/>
      <c r="AW994" s="296"/>
      <c r="BN994" s="296"/>
      <c r="BO994" s="296"/>
      <c r="CY994" s="294"/>
      <c r="DF994" s="296"/>
    </row>
    <row r="995" spans="2:110" ht="13">
      <c r="B995" s="294"/>
      <c r="F995" s="296"/>
      <c r="J995" s="302"/>
      <c r="R995" s="188"/>
      <c r="T995" s="295"/>
      <c r="Y995" s="188"/>
      <c r="AA995" s="295"/>
      <c r="AF995" s="188"/>
      <c r="AH995" s="295"/>
      <c r="AI995" s="188"/>
      <c r="AJ995" s="188"/>
      <c r="AK995" s="188"/>
      <c r="AL995" s="188"/>
      <c r="AM995" s="188"/>
      <c r="AN995" s="188"/>
      <c r="AO995" s="299"/>
      <c r="AS995" s="296"/>
      <c r="AW995" s="296"/>
      <c r="BN995" s="296"/>
      <c r="BO995" s="296"/>
      <c r="CY995" s="294"/>
      <c r="DF995" s="296"/>
    </row>
    <row r="996" spans="2:110" ht="13">
      <c r="B996" s="294"/>
      <c r="F996" s="296"/>
      <c r="J996" s="302"/>
      <c r="R996" s="188"/>
      <c r="T996" s="295"/>
      <c r="Y996" s="188"/>
      <c r="AA996" s="295"/>
      <c r="AF996" s="188"/>
      <c r="AH996" s="295"/>
      <c r="AI996" s="188"/>
      <c r="AJ996" s="188"/>
      <c r="AK996" s="188"/>
      <c r="AL996" s="188"/>
      <c r="AM996" s="188"/>
      <c r="AN996" s="188"/>
      <c r="AO996" s="299"/>
      <c r="AS996" s="296"/>
      <c r="AW996" s="296"/>
      <c r="BN996" s="296"/>
      <c r="BO996" s="296"/>
      <c r="CY996" s="294"/>
      <c r="DF996" s="296"/>
    </row>
    <row r="997" spans="2:110" ht="13">
      <c r="B997" s="294"/>
      <c r="F997" s="296"/>
      <c r="J997" s="302"/>
      <c r="R997" s="188"/>
      <c r="T997" s="295"/>
      <c r="Y997" s="188"/>
      <c r="AA997" s="295"/>
      <c r="AF997" s="188"/>
      <c r="AH997" s="295"/>
      <c r="AI997" s="188"/>
      <c r="AJ997" s="188"/>
      <c r="AK997" s="188"/>
      <c r="AL997" s="188"/>
      <c r="AM997" s="188"/>
      <c r="AN997" s="188"/>
      <c r="AO997" s="299"/>
      <c r="AS997" s="296"/>
      <c r="AW997" s="296"/>
      <c r="BN997" s="296"/>
      <c r="BO997" s="296"/>
      <c r="CY997" s="294"/>
      <c r="DF997" s="296"/>
    </row>
    <row r="998" spans="2:110" ht="13">
      <c r="B998" s="294"/>
      <c r="F998" s="296"/>
      <c r="J998" s="302"/>
      <c r="R998" s="188"/>
      <c r="T998" s="295"/>
      <c r="Y998" s="188"/>
      <c r="AA998" s="295"/>
      <c r="AF998" s="188"/>
      <c r="AH998" s="295"/>
      <c r="AI998" s="188"/>
      <c r="AJ998" s="188"/>
      <c r="AK998" s="188"/>
      <c r="AL998" s="188"/>
      <c r="AM998" s="188"/>
      <c r="AN998" s="188"/>
      <c r="AO998" s="299"/>
      <c r="AS998" s="296"/>
      <c r="AW998" s="296"/>
      <c r="BN998" s="296"/>
      <c r="BO998" s="296"/>
      <c r="CY998" s="294"/>
      <c r="DF998" s="296"/>
    </row>
    <row r="999" spans="2:110" ht="13">
      <c r="B999" s="294"/>
      <c r="F999" s="296"/>
      <c r="J999" s="302"/>
      <c r="R999" s="188"/>
      <c r="T999" s="295"/>
      <c r="Y999" s="188"/>
      <c r="AA999" s="295"/>
      <c r="AF999" s="188"/>
      <c r="AH999" s="295"/>
      <c r="AI999" s="188"/>
      <c r="AJ999" s="188"/>
      <c r="AK999" s="188"/>
      <c r="AL999" s="188"/>
      <c r="AM999" s="188"/>
      <c r="AN999" s="188"/>
      <c r="AO999" s="299"/>
      <c r="AS999" s="296"/>
      <c r="AW999" s="296"/>
      <c r="BN999" s="296"/>
      <c r="BO999" s="296"/>
      <c r="CY999" s="294"/>
      <c r="DF999" s="296"/>
    </row>
    <row r="1000" spans="2:110" ht="13">
      <c r="B1000" s="294"/>
      <c r="F1000" s="296"/>
      <c r="J1000" s="302"/>
      <c r="R1000" s="188"/>
      <c r="T1000" s="295"/>
      <c r="Y1000" s="188"/>
      <c r="AA1000" s="295"/>
      <c r="AF1000" s="188"/>
      <c r="AH1000" s="295"/>
      <c r="AI1000" s="188"/>
      <c r="AJ1000" s="188"/>
      <c r="AK1000" s="188"/>
      <c r="AL1000" s="188"/>
      <c r="AM1000" s="188"/>
      <c r="AN1000" s="188"/>
      <c r="AO1000" s="299"/>
      <c r="AS1000" s="296"/>
      <c r="AW1000" s="296"/>
      <c r="BN1000" s="296"/>
      <c r="BO1000" s="296"/>
      <c r="CY1000" s="294"/>
      <c r="DF1000" s="296"/>
    </row>
    <row r="1001" spans="2:110" ht="13">
      <c r="B1001" s="294"/>
      <c r="F1001" s="296"/>
      <c r="J1001" s="302"/>
      <c r="R1001" s="188"/>
      <c r="T1001" s="295"/>
      <c r="Y1001" s="188"/>
      <c r="AA1001" s="295"/>
      <c r="AF1001" s="188"/>
      <c r="AH1001" s="295"/>
      <c r="AI1001" s="188"/>
      <c r="AJ1001" s="188"/>
      <c r="AK1001" s="188"/>
      <c r="AL1001" s="188"/>
      <c r="AM1001" s="188"/>
      <c r="AN1001" s="188"/>
      <c r="AO1001" s="299"/>
      <c r="AS1001" s="296"/>
      <c r="AW1001" s="296"/>
      <c r="BN1001" s="296"/>
      <c r="BO1001" s="296"/>
      <c r="CY1001" s="294"/>
      <c r="DF1001" s="296"/>
    </row>
    <row r="1002" spans="2:110" ht="13">
      <c r="B1002" s="294"/>
      <c r="F1002" s="296"/>
      <c r="J1002" s="302"/>
      <c r="R1002" s="188"/>
      <c r="T1002" s="295"/>
      <c r="Y1002" s="188"/>
      <c r="AA1002" s="295"/>
      <c r="AF1002" s="188"/>
      <c r="AH1002" s="295"/>
      <c r="AI1002" s="188"/>
      <c r="AJ1002" s="188"/>
      <c r="AK1002" s="188"/>
      <c r="AL1002" s="188"/>
      <c r="AM1002" s="188"/>
      <c r="AN1002" s="188"/>
      <c r="AO1002" s="299"/>
      <c r="AS1002" s="296"/>
      <c r="AW1002" s="296"/>
      <c r="BN1002" s="296"/>
      <c r="BO1002" s="296"/>
      <c r="CY1002" s="294"/>
      <c r="DF1002" s="296"/>
    </row>
    <row r="1003" spans="2:110" ht="13">
      <c r="B1003" s="294"/>
      <c r="F1003" s="296"/>
      <c r="J1003" s="302"/>
      <c r="R1003" s="188"/>
      <c r="T1003" s="295"/>
      <c r="Y1003" s="188"/>
      <c r="AA1003" s="295"/>
      <c r="AF1003" s="188"/>
      <c r="AH1003" s="295"/>
      <c r="AI1003" s="188"/>
      <c r="AJ1003" s="188"/>
      <c r="AK1003" s="188"/>
      <c r="AL1003" s="188"/>
      <c r="AM1003" s="188"/>
      <c r="AN1003" s="188"/>
      <c r="AO1003" s="299"/>
      <c r="AS1003" s="296"/>
      <c r="AW1003" s="296"/>
      <c r="BN1003" s="296"/>
      <c r="BO1003" s="296"/>
      <c r="CY1003" s="294"/>
      <c r="DF1003" s="296"/>
    </row>
    <row r="1004" spans="2:110" ht="13">
      <c r="B1004" s="294"/>
      <c r="F1004" s="296"/>
      <c r="J1004" s="302"/>
      <c r="R1004" s="188"/>
      <c r="T1004" s="295"/>
      <c r="Y1004" s="188"/>
      <c r="AA1004" s="295"/>
      <c r="AF1004" s="188"/>
      <c r="AH1004" s="295"/>
      <c r="AI1004" s="188"/>
      <c r="AJ1004" s="188"/>
      <c r="AK1004" s="188"/>
      <c r="AL1004" s="188"/>
      <c r="AM1004" s="188"/>
      <c r="AN1004" s="188"/>
      <c r="AO1004" s="299"/>
      <c r="AS1004" s="296"/>
      <c r="AW1004" s="296"/>
      <c r="BN1004" s="296"/>
      <c r="BO1004" s="296"/>
      <c r="CY1004" s="294"/>
      <c r="DF1004" s="296"/>
    </row>
    <row r="1005" spans="2:110" ht="13">
      <c r="B1005" s="294"/>
      <c r="F1005" s="296"/>
      <c r="J1005" s="302"/>
      <c r="R1005" s="188"/>
      <c r="T1005" s="295"/>
      <c r="Y1005" s="188"/>
      <c r="AA1005" s="295"/>
      <c r="AF1005" s="188"/>
      <c r="AH1005" s="295"/>
      <c r="AI1005" s="188"/>
      <c r="AJ1005" s="188"/>
      <c r="AK1005" s="188"/>
      <c r="AL1005" s="188"/>
      <c r="AM1005" s="188"/>
      <c r="AN1005" s="188"/>
      <c r="AO1005" s="299"/>
      <c r="AS1005" s="296"/>
      <c r="AW1005" s="296"/>
      <c r="BN1005" s="296"/>
      <c r="BO1005" s="296"/>
      <c r="CY1005" s="294"/>
      <c r="DF1005" s="296"/>
    </row>
    <row r="1006" spans="2:110" ht="13">
      <c r="B1006" s="294"/>
      <c r="F1006" s="296"/>
      <c r="J1006" s="302"/>
      <c r="R1006" s="188"/>
      <c r="T1006" s="295"/>
      <c r="Y1006" s="188"/>
      <c r="AA1006" s="295"/>
      <c r="AF1006" s="188"/>
      <c r="AH1006" s="295"/>
      <c r="AI1006" s="188"/>
      <c r="AJ1006" s="188"/>
      <c r="AK1006" s="188"/>
      <c r="AL1006" s="188"/>
      <c r="AM1006" s="188"/>
      <c r="AN1006" s="188"/>
      <c r="AO1006" s="299"/>
      <c r="AS1006" s="296"/>
      <c r="AW1006" s="296"/>
      <c r="BN1006" s="296"/>
      <c r="BO1006" s="296"/>
      <c r="CY1006" s="294"/>
      <c r="DF1006" s="296"/>
    </row>
    <row r="1007" spans="2:110" ht="13">
      <c r="B1007" s="294"/>
      <c r="F1007" s="296"/>
      <c r="J1007" s="302"/>
      <c r="R1007" s="188"/>
      <c r="T1007" s="295"/>
      <c r="Y1007" s="188"/>
      <c r="AA1007" s="295"/>
      <c r="AF1007" s="188"/>
      <c r="AH1007" s="295"/>
      <c r="AI1007" s="188"/>
      <c r="AJ1007" s="188"/>
      <c r="AK1007" s="188"/>
      <c r="AL1007" s="188"/>
      <c r="AM1007" s="188"/>
      <c r="AN1007" s="188"/>
      <c r="AO1007" s="299"/>
      <c r="AS1007" s="296"/>
      <c r="AW1007" s="296"/>
      <c r="BN1007" s="296"/>
      <c r="BO1007" s="296"/>
      <c r="CY1007" s="294"/>
      <c r="DF1007" s="296"/>
    </row>
    <row r="1008" spans="2:110" ht="13">
      <c r="B1008" s="294"/>
      <c r="F1008" s="296"/>
      <c r="J1008" s="302"/>
      <c r="R1008" s="188"/>
      <c r="T1008" s="295"/>
      <c r="Y1008" s="188"/>
      <c r="AA1008" s="295"/>
      <c r="AF1008" s="188"/>
      <c r="AH1008" s="295"/>
      <c r="AI1008" s="188"/>
      <c r="AJ1008" s="188"/>
      <c r="AK1008" s="188"/>
      <c r="AL1008" s="188"/>
      <c r="AM1008" s="188"/>
      <c r="AN1008" s="188"/>
      <c r="AO1008" s="299"/>
      <c r="AS1008" s="296"/>
      <c r="AW1008" s="296"/>
      <c r="BN1008" s="296"/>
      <c r="BO1008" s="296"/>
      <c r="CY1008" s="294"/>
      <c r="DF1008" s="296"/>
    </row>
    <row r="1009" spans="2:110" ht="13">
      <c r="B1009" s="294"/>
      <c r="F1009" s="296"/>
      <c r="J1009" s="302"/>
      <c r="R1009" s="188"/>
      <c r="T1009" s="295"/>
      <c r="Y1009" s="188"/>
      <c r="AA1009" s="295"/>
      <c r="AF1009" s="188"/>
      <c r="AH1009" s="295"/>
      <c r="AI1009" s="188"/>
      <c r="AJ1009" s="188"/>
      <c r="AK1009" s="188"/>
      <c r="AL1009" s="188"/>
      <c r="AM1009" s="188"/>
      <c r="AN1009" s="188"/>
      <c r="AO1009" s="299"/>
      <c r="AS1009" s="296"/>
      <c r="AW1009" s="296"/>
      <c r="BN1009" s="296"/>
      <c r="BO1009" s="296"/>
      <c r="CY1009" s="294"/>
      <c r="DF1009" s="296"/>
    </row>
    <row r="1010" spans="2:110" ht="13">
      <c r="B1010" s="294"/>
      <c r="F1010" s="296"/>
      <c r="J1010" s="302"/>
      <c r="R1010" s="188"/>
      <c r="T1010" s="295"/>
      <c r="Y1010" s="188"/>
      <c r="AA1010" s="295"/>
      <c r="AF1010" s="188"/>
      <c r="AH1010" s="295"/>
      <c r="AI1010" s="188"/>
      <c r="AJ1010" s="188"/>
      <c r="AK1010" s="188"/>
      <c r="AL1010" s="188"/>
      <c r="AM1010" s="188"/>
      <c r="AN1010" s="188"/>
      <c r="AO1010" s="299"/>
      <c r="AS1010" s="296"/>
      <c r="AW1010" s="296"/>
      <c r="BN1010" s="296"/>
      <c r="BO1010" s="296"/>
      <c r="CY1010" s="294"/>
      <c r="DF1010" s="296"/>
    </row>
    <row r="1011" spans="2:110" ht="13">
      <c r="B1011" s="294"/>
      <c r="F1011" s="296"/>
      <c r="J1011" s="302"/>
      <c r="R1011" s="188"/>
      <c r="T1011" s="295"/>
      <c r="Y1011" s="188"/>
      <c r="AA1011" s="295"/>
      <c r="AF1011" s="188"/>
      <c r="AH1011" s="295"/>
      <c r="AI1011" s="188"/>
      <c r="AJ1011" s="188"/>
      <c r="AK1011" s="188"/>
      <c r="AL1011" s="188"/>
      <c r="AM1011" s="188"/>
      <c r="AN1011" s="188"/>
      <c r="AO1011" s="299"/>
      <c r="AS1011" s="296"/>
      <c r="AW1011" s="296"/>
      <c r="BN1011" s="296"/>
      <c r="BO1011" s="296"/>
      <c r="CY1011" s="294"/>
      <c r="DF1011" s="296"/>
    </row>
    <row r="1012" spans="2:110" ht="13">
      <c r="B1012" s="294"/>
      <c r="F1012" s="296"/>
      <c r="J1012" s="302"/>
      <c r="R1012" s="188"/>
      <c r="T1012" s="295"/>
      <c r="Y1012" s="188"/>
      <c r="AA1012" s="295"/>
      <c r="AF1012" s="188"/>
      <c r="AH1012" s="295"/>
      <c r="AI1012" s="188"/>
      <c r="AJ1012" s="188"/>
      <c r="AK1012" s="188"/>
      <c r="AL1012" s="188"/>
      <c r="AM1012" s="188"/>
      <c r="AN1012" s="188"/>
      <c r="AO1012" s="299"/>
      <c r="AS1012" s="296"/>
      <c r="AW1012" s="296"/>
      <c r="BN1012" s="296"/>
      <c r="BO1012" s="296"/>
      <c r="CY1012" s="294"/>
      <c r="DF1012" s="296"/>
    </row>
    <row r="1013" spans="2:110" ht="13">
      <c r="B1013" s="294"/>
      <c r="F1013" s="296"/>
      <c r="J1013" s="302"/>
      <c r="R1013" s="188"/>
      <c r="T1013" s="295"/>
      <c r="Y1013" s="188"/>
      <c r="AA1013" s="295"/>
      <c r="AF1013" s="188"/>
      <c r="AH1013" s="295"/>
      <c r="AI1013" s="188"/>
      <c r="AJ1013" s="188"/>
      <c r="AK1013" s="188"/>
      <c r="AL1013" s="188"/>
      <c r="AM1013" s="188"/>
      <c r="AN1013" s="188"/>
      <c r="AO1013" s="299"/>
      <c r="AS1013" s="296"/>
      <c r="AW1013" s="296"/>
      <c r="BN1013" s="296"/>
      <c r="BO1013" s="296"/>
      <c r="CY1013" s="294"/>
      <c r="DF1013" s="296"/>
    </row>
    <row r="1014" spans="2:110" ht="13">
      <c r="B1014" s="294"/>
      <c r="F1014" s="296"/>
      <c r="J1014" s="302"/>
      <c r="R1014" s="188"/>
      <c r="T1014" s="295"/>
      <c r="Y1014" s="188"/>
      <c r="AA1014" s="295"/>
      <c r="AF1014" s="188"/>
      <c r="AH1014" s="295"/>
      <c r="AI1014" s="188"/>
      <c r="AJ1014" s="188"/>
      <c r="AK1014" s="188"/>
      <c r="AL1014" s="188"/>
      <c r="AM1014" s="188"/>
      <c r="AN1014" s="188"/>
      <c r="AO1014" s="299"/>
      <c r="AS1014" s="296"/>
      <c r="AW1014" s="296"/>
      <c r="BN1014" s="296"/>
      <c r="BO1014" s="296"/>
      <c r="CY1014" s="294"/>
      <c r="DF1014" s="296"/>
    </row>
    <row r="1015" spans="2:110" ht="13">
      <c r="B1015" s="294"/>
      <c r="F1015" s="296"/>
      <c r="J1015" s="302"/>
      <c r="R1015" s="188"/>
      <c r="T1015" s="295"/>
      <c r="Y1015" s="188"/>
      <c r="AA1015" s="295"/>
      <c r="AF1015" s="188"/>
      <c r="AH1015" s="295"/>
      <c r="AI1015" s="188"/>
      <c r="AJ1015" s="188"/>
      <c r="AK1015" s="188"/>
      <c r="AL1015" s="188"/>
      <c r="AM1015" s="188"/>
      <c r="AN1015" s="188"/>
      <c r="AO1015" s="299"/>
      <c r="AS1015" s="296"/>
      <c r="AW1015" s="296"/>
      <c r="BN1015" s="296"/>
      <c r="BO1015" s="296"/>
      <c r="CY1015" s="294"/>
      <c r="DF1015" s="296"/>
    </row>
    <row r="1016" spans="2:110" ht="13">
      <c r="B1016" s="294"/>
      <c r="F1016" s="296"/>
      <c r="J1016" s="302"/>
      <c r="R1016" s="188"/>
      <c r="T1016" s="295"/>
      <c r="Y1016" s="188"/>
      <c r="AA1016" s="295"/>
      <c r="AF1016" s="188"/>
      <c r="AH1016" s="295"/>
      <c r="AI1016" s="188"/>
      <c r="AJ1016" s="188"/>
      <c r="AK1016" s="188"/>
      <c r="AL1016" s="188"/>
      <c r="AM1016" s="188"/>
      <c r="AN1016" s="188"/>
      <c r="AO1016" s="299"/>
      <c r="AS1016" s="296"/>
      <c r="AW1016" s="296"/>
      <c r="BN1016" s="296"/>
      <c r="BO1016" s="296"/>
      <c r="CY1016" s="294"/>
      <c r="DF1016" s="296"/>
    </row>
    <row r="1017" spans="2:110" ht="13">
      <c r="B1017" s="294"/>
      <c r="F1017" s="296"/>
      <c r="J1017" s="302"/>
      <c r="R1017" s="188"/>
      <c r="T1017" s="295"/>
      <c r="Y1017" s="188"/>
      <c r="AA1017" s="295"/>
      <c r="AF1017" s="188"/>
      <c r="AH1017" s="295"/>
      <c r="AI1017" s="188"/>
      <c r="AJ1017" s="188"/>
      <c r="AK1017" s="188"/>
      <c r="AL1017" s="188"/>
      <c r="AM1017" s="188"/>
      <c r="AN1017" s="188"/>
      <c r="AO1017" s="299"/>
      <c r="AS1017" s="296"/>
      <c r="AW1017" s="296"/>
      <c r="BN1017" s="296"/>
      <c r="BO1017" s="296"/>
      <c r="CY1017" s="294"/>
      <c r="DF1017" s="296"/>
    </row>
    <row r="1018" spans="2:110" ht="13">
      <c r="B1018" s="294"/>
      <c r="F1018" s="296"/>
      <c r="J1018" s="302"/>
      <c r="R1018" s="188"/>
      <c r="T1018" s="295"/>
      <c r="Y1018" s="188"/>
      <c r="AA1018" s="295"/>
      <c r="AF1018" s="188"/>
      <c r="AH1018" s="295"/>
      <c r="AI1018" s="188"/>
      <c r="AJ1018" s="188"/>
      <c r="AK1018" s="188"/>
      <c r="AL1018" s="188"/>
      <c r="AM1018" s="188"/>
      <c r="AN1018" s="188"/>
      <c r="AO1018" s="299"/>
      <c r="AS1018" s="296"/>
      <c r="AW1018" s="296"/>
      <c r="BN1018" s="296"/>
      <c r="BO1018" s="296"/>
      <c r="CY1018" s="294"/>
      <c r="DF1018" s="296"/>
    </row>
    <row r="1019" spans="2:110" ht="13">
      <c r="B1019" s="294"/>
      <c r="F1019" s="296"/>
      <c r="J1019" s="302"/>
      <c r="R1019" s="188"/>
      <c r="T1019" s="295"/>
      <c r="Y1019" s="188"/>
      <c r="AA1019" s="295"/>
      <c r="AF1019" s="188"/>
      <c r="AH1019" s="295"/>
      <c r="AI1019" s="188"/>
      <c r="AJ1019" s="188"/>
      <c r="AK1019" s="188"/>
      <c r="AL1019" s="188"/>
      <c r="AM1019" s="188"/>
      <c r="AN1019" s="188"/>
      <c r="AO1019" s="299"/>
      <c r="AS1019" s="296"/>
      <c r="AW1019" s="296"/>
      <c r="BN1019" s="296"/>
      <c r="BO1019" s="296"/>
      <c r="CY1019" s="294"/>
      <c r="DF1019" s="296"/>
    </row>
    <row r="1020" spans="2:110" ht="13">
      <c r="B1020" s="294"/>
      <c r="F1020" s="296"/>
      <c r="J1020" s="302"/>
      <c r="R1020" s="188"/>
      <c r="T1020" s="295"/>
      <c r="Y1020" s="188"/>
      <c r="AA1020" s="295"/>
      <c r="AF1020" s="188"/>
      <c r="AH1020" s="295"/>
      <c r="AI1020" s="188"/>
      <c r="AJ1020" s="188"/>
      <c r="AK1020" s="188"/>
      <c r="AL1020" s="188"/>
      <c r="AM1020" s="188"/>
      <c r="AN1020" s="188"/>
      <c r="AO1020" s="299"/>
      <c r="AS1020" s="296"/>
      <c r="AW1020" s="296"/>
      <c r="BN1020" s="296"/>
      <c r="BO1020" s="296"/>
      <c r="CY1020" s="294"/>
      <c r="DF1020" s="296"/>
    </row>
    <row r="1021" spans="2:110" ht="13">
      <c r="B1021" s="294"/>
      <c r="F1021" s="296"/>
      <c r="J1021" s="302"/>
      <c r="R1021" s="188"/>
      <c r="T1021" s="295"/>
      <c r="Y1021" s="188"/>
      <c r="AA1021" s="295"/>
      <c r="AF1021" s="188"/>
      <c r="AH1021" s="295"/>
      <c r="AI1021" s="188"/>
      <c r="AJ1021" s="188"/>
      <c r="AK1021" s="188"/>
      <c r="AL1021" s="188"/>
      <c r="AM1021" s="188"/>
      <c r="AN1021" s="188"/>
      <c r="AO1021" s="299"/>
      <c r="AS1021" s="296"/>
      <c r="AW1021" s="296"/>
      <c r="BN1021" s="296"/>
      <c r="BO1021" s="296"/>
      <c r="CY1021" s="294"/>
      <c r="DF1021" s="296"/>
    </row>
    <row r="1022" spans="2:110" ht="13">
      <c r="B1022" s="294"/>
      <c r="F1022" s="296"/>
      <c r="J1022" s="302"/>
      <c r="R1022" s="188"/>
      <c r="T1022" s="295"/>
      <c r="Y1022" s="188"/>
      <c r="AA1022" s="295"/>
      <c r="AF1022" s="188"/>
      <c r="AH1022" s="295"/>
      <c r="AI1022" s="188"/>
      <c r="AJ1022" s="188"/>
      <c r="AK1022" s="188"/>
      <c r="AL1022" s="188"/>
      <c r="AM1022" s="188"/>
      <c r="AN1022" s="188"/>
      <c r="AO1022" s="299"/>
      <c r="AS1022" s="296"/>
      <c r="AW1022" s="296"/>
      <c r="BN1022" s="296"/>
      <c r="BO1022" s="296"/>
      <c r="CY1022" s="294"/>
      <c r="DF1022" s="296"/>
    </row>
    <row r="1023" spans="2:110" ht="13">
      <c r="B1023" s="294"/>
      <c r="F1023" s="296"/>
      <c r="J1023" s="302"/>
      <c r="R1023" s="188"/>
      <c r="T1023" s="295"/>
      <c r="Y1023" s="188"/>
      <c r="AA1023" s="295"/>
      <c r="AF1023" s="188"/>
      <c r="AH1023" s="295"/>
      <c r="AI1023" s="188"/>
      <c r="AJ1023" s="188"/>
      <c r="AK1023" s="188"/>
      <c r="AL1023" s="188"/>
      <c r="AM1023" s="188"/>
      <c r="AN1023" s="188"/>
      <c r="AO1023" s="299"/>
      <c r="AS1023" s="296"/>
      <c r="AW1023" s="296"/>
      <c r="BN1023" s="296"/>
      <c r="BO1023" s="296"/>
      <c r="CY1023" s="294"/>
      <c r="DF1023" s="296"/>
    </row>
    <row r="1024" spans="2:110" ht="13">
      <c r="B1024" s="294"/>
      <c r="F1024" s="296"/>
      <c r="J1024" s="302"/>
      <c r="R1024" s="188"/>
      <c r="T1024" s="295"/>
      <c r="Y1024" s="188"/>
      <c r="AA1024" s="295"/>
      <c r="AF1024" s="188"/>
      <c r="AH1024" s="295"/>
      <c r="AI1024" s="188"/>
      <c r="AJ1024" s="188"/>
      <c r="AK1024" s="188"/>
      <c r="AL1024" s="188"/>
      <c r="AM1024" s="188"/>
      <c r="AN1024" s="188"/>
      <c r="AO1024" s="299"/>
      <c r="AS1024" s="296"/>
      <c r="AW1024" s="296"/>
      <c r="BN1024" s="296"/>
      <c r="BO1024" s="296"/>
      <c r="CY1024" s="294"/>
      <c r="DF1024" s="296"/>
    </row>
    <row r="1025" spans="2:110" ht="13">
      <c r="B1025" s="294"/>
      <c r="F1025" s="296"/>
      <c r="J1025" s="302"/>
      <c r="R1025" s="188"/>
      <c r="T1025" s="295"/>
      <c r="Y1025" s="188"/>
      <c r="AA1025" s="295"/>
      <c r="AF1025" s="188"/>
      <c r="AH1025" s="295"/>
      <c r="AI1025" s="188"/>
      <c r="AJ1025" s="188"/>
      <c r="AK1025" s="188"/>
      <c r="AL1025" s="188"/>
      <c r="AM1025" s="188"/>
      <c r="AN1025" s="188"/>
      <c r="AO1025" s="299"/>
      <c r="AS1025" s="296"/>
      <c r="AW1025" s="296"/>
      <c r="BN1025" s="296"/>
      <c r="BO1025" s="296"/>
      <c r="CY1025" s="294"/>
      <c r="DF1025" s="296"/>
    </row>
    <row r="1026" spans="2:110" ht="13">
      <c r="B1026" s="294"/>
      <c r="F1026" s="296"/>
      <c r="J1026" s="302"/>
      <c r="R1026" s="188"/>
      <c r="T1026" s="295"/>
      <c r="Y1026" s="188"/>
      <c r="AA1026" s="295"/>
      <c r="AF1026" s="188"/>
      <c r="AH1026" s="295"/>
      <c r="AI1026" s="188"/>
      <c r="AJ1026" s="188"/>
      <c r="AK1026" s="188"/>
      <c r="AL1026" s="188"/>
      <c r="AM1026" s="188"/>
      <c r="AN1026" s="188"/>
      <c r="AO1026" s="299"/>
      <c r="AS1026" s="296"/>
      <c r="AW1026" s="296"/>
      <c r="BN1026" s="296"/>
      <c r="BO1026" s="296"/>
      <c r="CY1026" s="294"/>
      <c r="DF1026" s="296"/>
    </row>
    <row r="1027" spans="2:110" ht="13">
      <c r="B1027" s="294"/>
      <c r="F1027" s="296"/>
      <c r="J1027" s="302"/>
      <c r="R1027" s="188"/>
      <c r="T1027" s="295"/>
      <c r="Y1027" s="188"/>
      <c r="AA1027" s="295"/>
      <c r="AF1027" s="188"/>
      <c r="AH1027" s="295"/>
      <c r="AI1027" s="188"/>
      <c r="AJ1027" s="188"/>
      <c r="AK1027" s="188"/>
      <c r="AL1027" s="188"/>
      <c r="AM1027" s="188"/>
      <c r="AN1027" s="188"/>
      <c r="AO1027" s="299"/>
      <c r="AS1027" s="296"/>
      <c r="AW1027" s="296"/>
      <c r="BN1027" s="296"/>
      <c r="BO1027" s="296"/>
      <c r="CY1027" s="294"/>
      <c r="DF1027" s="296"/>
    </row>
    <row r="1028" spans="2:110" ht="13">
      <c r="B1028" s="294"/>
      <c r="F1028" s="296"/>
      <c r="J1028" s="302"/>
      <c r="R1028" s="188"/>
      <c r="T1028" s="295"/>
      <c r="Y1028" s="188"/>
      <c r="AA1028" s="295"/>
      <c r="AF1028" s="188"/>
      <c r="AH1028" s="295"/>
      <c r="AI1028" s="188"/>
      <c r="AJ1028" s="188"/>
      <c r="AK1028" s="188"/>
      <c r="AL1028" s="188"/>
      <c r="AM1028" s="188"/>
      <c r="AN1028" s="188"/>
      <c r="AO1028" s="299"/>
      <c r="AS1028" s="296"/>
      <c r="AW1028" s="296"/>
      <c r="BN1028" s="296"/>
      <c r="BO1028" s="296"/>
      <c r="CY1028" s="294"/>
      <c r="DF1028" s="296"/>
    </row>
    <row r="1029" spans="2:110" ht="13">
      <c r="B1029" s="294"/>
      <c r="F1029" s="296"/>
      <c r="J1029" s="302"/>
      <c r="R1029" s="188"/>
      <c r="T1029" s="295"/>
      <c r="Y1029" s="188"/>
      <c r="AA1029" s="295"/>
      <c r="AF1029" s="188"/>
      <c r="AH1029" s="295"/>
      <c r="AI1029" s="188"/>
      <c r="AJ1029" s="188"/>
      <c r="AK1029" s="188"/>
      <c r="AL1029" s="188"/>
      <c r="AM1029" s="188"/>
      <c r="AN1029" s="188"/>
      <c r="AO1029" s="299"/>
      <c r="AS1029" s="296"/>
      <c r="AW1029" s="296"/>
      <c r="BN1029" s="296"/>
      <c r="BO1029" s="296"/>
      <c r="CY1029" s="294"/>
      <c r="DF1029" s="296"/>
    </row>
    <row r="1030" spans="2:110" ht="13">
      <c r="B1030" s="294"/>
      <c r="F1030" s="296"/>
      <c r="J1030" s="302"/>
      <c r="R1030" s="188"/>
      <c r="T1030" s="295"/>
      <c r="Y1030" s="188"/>
      <c r="AA1030" s="295"/>
      <c r="AF1030" s="188"/>
      <c r="AH1030" s="295"/>
      <c r="AI1030" s="188"/>
      <c r="AJ1030" s="188"/>
      <c r="AK1030" s="188"/>
      <c r="AL1030" s="188"/>
      <c r="AM1030" s="188"/>
      <c r="AN1030" s="188"/>
      <c r="AO1030" s="299"/>
      <c r="AS1030" s="296"/>
      <c r="AW1030" s="296"/>
      <c r="BN1030" s="296"/>
      <c r="BO1030" s="296"/>
      <c r="CY1030" s="294"/>
      <c r="DF1030" s="296"/>
    </row>
    <row r="1031" spans="2:110" ht="13">
      <c r="B1031" s="294"/>
      <c r="F1031" s="296"/>
      <c r="J1031" s="302"/>
      <c r="R1031" s="188"/>
      <c r="T1031" s="295"/>
      <c r="Y1031" s="188"/>
      <c r="AA1031" s="295"/>
      <c r="AF1031" s="188"/>
      <c r="AH1031" s="295"/>
      <c r="AI1031" s="188"/>
      <c r="AJ1031" s="188"/>
      <c r="AK1031" s="188"/>
      <c r="AL1031" s="188"/>
      <c r="AM1031" s="188"/>
      <c r="AN1031" s="188"/>
      <c r="AO1031" s="299"/>
      <c r="AS1031" s="296"/>
      <c r="AW1031" s="296"/>
      <c r="BN1031" s="296"/>
      <c r="BO1031" s="296"/>
      <c r="CY1031" s="294"/>
      <c r="DF1031" s="296"/>
    </row>
    <row r="1032" spans="2:110" ht="13">
      <c r="B1032" s="294"/>
      <c r="F1032" s="296"/>
      <c r="J1032" s="302"/>
      <c r="R1032" s="188"/>
      <c r="T1032" s="295"/>
      <c r="Y1032" s="188"/>
      <c r="AA1032" s="295"/>
      <c r="AF1032" s="188"/>
      <c r="AH1032" s="295"/>
      <c r="AI1032" s="188"/>
      <c r="AJ1032" s="188"/>
      <c r="AK1032" s="188"/>
      <c r="AL1032" s="188"/>
      <c r="AM1032" s="188"/>
      <c r="AN1032" s="188"/>
      <c r="AO1032" s="299"/>
      <c r="AS1032" s="296"/>
      <c r="AW1032" s="296"/>
      <c r="BN1032" s="296"/>
      <c r="BO1032" s="296"/>
      <c r="CY1032" s="294"/>
      <c r="DF1032" s="296"/>
    </row>
    <row r="1033" spans="2:110" ht="13">
      <c r="B1033" s="294"/>
      <c r="F1033" s="296"/>
      <c r="J1033" s="302"/>
      <c r="R1033" s="188"/>
      <c r="T1033" s="295"/>
      <c r="Y1033" s="188"/>
      <c r="AA1033" s="295"/>
      <c r="AF1033" s="188"/>
      <c r="AH1033" s="295"/>
      <c r="AI1033" s="188"/>
      <c r="AJ1033" s="188"/>
      <c r="AK1033" s="188"/>
      <c r="AL1033" s="188"/>
      <c r="AM1033" s="188"/>
      <c r="AN1033" s="188"/>
      <c r="AO1033" s="299"/>
      <c r="AS1033" s="296"/>
      <c r="AW1033" s="296"/>
      <c r="BN1033" s="296"/>
      <c r="BO1033" s="296"/>
      <c r="CY1033" s="294"/>
      <c r="DF1033" s="296"/>
    </row>
    <row r="1034" spans="2:110" ht="13">
      <c r="B1034" s="294"/>
      <c r="F1034" s="296"/>
      <c r="J1034" s="302"/>
      <c r="R1034" s="188"/>
      <c r="T1034" s="295"/>
      <c r="Y1034" s="188"/>
      <c r="AA1034" s="295"/>
      <c r="AF1034" s="188"/>
      <c r="AH1034" s="295"/>
      <c r="AI1034" s="188"/>
      <c r="AJ1034" s="188"/>
      <c r="AK1034" s="188"/>
      <c r="AL1034" s="188"/>
      <c r="AM1034" s="188"/>
      <c r="AN1034" s="188"/>
      <c r="AO1034" s="299"/>
      <c r="AS1034" s="296"/>
      <c r="AW1034" s="296"/>
      <c r="BN1034" s="296"/>
      <c r="BO1034" s="296"/>
      <c r="CY1034" s="294"/>
      <c r="DF1034" s="296"/>
    </row>
    <row r="1035" spans="2:110" ht="13">
      <c r="B1035" s="294"/>
      <c r="F1035" s="296"/>
      <c r="J1035" s="302"/>
      <c r="R1035" s="188"/>
      <c r="T1035" s="295"/>
      <c r="Y1035" s="188"/>
      <c r="AA1035" s="295"/>
      <c r="AF1035" s="188"/>
      <c r="AH1035" s="295"/>
      <c r="AI1035" s="188"/>
      <c r="AJ1035" s="188"/>
      <c r="AK1035" s="188"/>
      <c r="AL1035" s="188"/>
      <c r="AM1035" s="188"/>
      <c r="AN1035" s="188"/>
      <c r="AO1035" s="299"/>
      <c r="AS1035" s="296"/>
      <c r="AW1035" s="296"/>
      <c r="BN1035" s="296"/>
      <c r="BO1035" s="296"/>
      <c r="CY1035" s="294"/>
      <c r="DF1035" s="296"/>
    </row>
    <row r="1036" spans="2:110" ht="13">
      <c r="B1036" s="294"/>
      <c r="F1036" s="296"/>
      <c r="J1036" s="302"/>
      <c r="R1036" s="188"/>
      <c r="T1036" s="295"/>
      <c r="Y1036" s="188"/>
      <c r="AA1036" s="295"/>
      <c r="AF1036" s="188"/>
      <c r="AH1036" s="295"/>
      <c r="AI1036" s="188"/>
      <c r="AJ1036" s="188"/>
      <c r="AK1036" s="188"/>
      <c r="AL1036" s="188"/>
      <c r="AM1036" s="188"/>
      <c r="AN1036" s="188"/>
      <c r="AO1036" s="299"/>
      <c r="AS1036" s="296"/>
      <c r="AW1036" s="296"/>
      <c r="BN1036" s="296"/>
      <c r="BO1036" s="296"/>
      <c r="CY1036" s="294"/>
      <c r="DF1036" s="296"/>
    </row>
    <row r="1037" spans="2:110" ht="13">
      <c r="B1037" s="294"/>
      <c r="F1037" s="296"/>
      <c r="J1037" s="302"/>
      <c r="R1037" s="188"/>
      <c r="T1037" s="295"/>
      <c r="Y1037" s="188"/>
      <c r="AA1037" s="295"/>
      <c r="AF1037" s="188"/>
      <c r="AH1037" s="295"/>
      <c r="AI1037" s="188"/>
      <c r="AJ1037" s="188"/>
      <c r="AK1037" s="188"/>
      <c r="AL1037" s="188"/>
      <c r="AM1037" s="188"/>
      <c r="AN1037" s="188"/>
      <c r="AO1037" s="299"/>
      <c r="AS1037" s="296"/>
      <c r="AW1037" s="296"/>
      <c r="BN1037" s="296"/>
      <c r="BO1037" s="296"/>
      <c r="CY1037" s="294"/>
      <c r="DF1037" s="296"/>
    </row>
    <row r="1038" spans="2:110" ht="13">
      <c r="B1038" s="294"/>
      <c r="F1038" s="296"/>
      <c r="J1038" s="302"/>
      <c r="R1038" s="188"/>
      <c r="T1038" s="295"/>
      <c r="Y1038" s="188"/>
      <c r="AA1038" s="295"/>
      <c r="AF1038" s="188"/>
      <c r="AH1038" s="295"/>
      <c r="AI1038" s="188"/>
      <c r="AJ1038" s="188"/>
      <c r="AK1038" s="188"/>
      <c r="AL1038" s="188"/>
      <c r="AM1038" s="188"/>
      <c r="AN1038" s="188"/>
      <c r="AO1038" s="299"/>
      <c r="AS1038" s="296"/>
      <c r="AW1038" s="296"/>
      <c r="BN1038" s="296"/>
      <c r="BO1038" s="296"/>
      <c r="CY1038" s="294"/>
      <c r="DF1038" s="296"/>
    </row>
    <row r="1039" spans="2:110" ht="13">
      <c r="B1039" s="294"/>
      <c r="F1039" s="296"/>
      <c r="J1039" s="302"/>
      <c r="R1039" s="188"/>
      <c r="T1039" s="295"/>
      <c r="Y1039" s="188"/>
      <c r="AA1039" s="295"/>
      <c r="AF1039" s="188"/>
      <c r="AH1039" s="295"/>
      <c r="AI1039" s="188"/>
      <c r="AJ1039" s="188"/>
      <c r="AK1039" s="188"/>
      <c r="AL1039" s="188"/>
      <c r="AM1039" s="188"/>
      <c r="AN1039" s="188"/>
      <c r="AO1039" s="299"/>
      <c r="AS1039" s="296"/>
      <c r="AW1039" s="296"/>
      <c r="BN1039" s="296"/>
      <c r="BO1039" s="296"/>
      <c r="CY1039" s="294"/>
      <c r="DF1039" s="296"/>
    </row>
    <row r="1040" spans="2:110" ht="13">
      <c r="B1040" s="294"/>
      <c r="F1040" s="296"/>
      <c r="J1040" s="302"/>
      <c r="R1040" s="188"/>
      <c r="T1040" s="295"/>
      <c r="Y1040" s="188"/>
      <c r="AA1040" s="295"/>
      <c r="AF1040" s="188"/>
      <c r="AH1040" s="295"/>
      <c r="AI1040" s="188"/>
      <c r="AJ1040" s="188"/>
      <c r="AK1040" s="188"/>
      <c r="AL1040" s="188"/>
      <c r="AM1040" s="188"/>
      <c r="AN1040" s="188"/>
      <c r="AO1040" s="299"/>
      <c r="AS1040" s="296"/>
      <c r="AW1040" s="296"/>
      <c r="BN1040" s="296"/>
      <c r="BO1040" s="296"/>
      <c r="CY1040" s="294"/>
      <c r="DF1040" s="296"/>
    </row>
  </sheetData>
  <conditionalFormatting sqref="C1:C160 G1:G188 K2:K200 C174">
    <cfRule type="cellIs" dxfId="340" priority="9" operator="equal">
      <formula>"5%"</formula>
    </cfRule>
  </conditionalFormatting>
  <conditionalFormatting sqref="G1 C1:C160 C164:C175">
    <cfRule type="cellIs" dxfId="339" priority="6" operator="equal">
      <formula>"18%"</formula>
    </cfRule>
  </conditionalFormatting>
  <conditionalFormatting sqref="G1:DO188 C1:C160 C164:C175">
    <cfRule type="cellIs" dxfId="338" priority="7" operator="equal">
      <formula>"15%"</formula>
    </cfRule>
    <cfRule type="cellIs" dxfId="337" priority="8" operator="equal">
      <formula>"12%"</formula>
    </cfRule>
    <cfRule type="cellIs" dxfId="336" priority="10" operator="equal">
      <formula>"10%"</formula>
    </cfRule>
  </conditionalFormatting>
  <conditionalFormatting sqref="M154:M155">
    <cfRule type="containsText" dxfId="335" priority="1" operator="containsText" text="/">
      <formula>NOT(ISERROR(SEARCH(("/"),(M154))))</formula>
    </cfRule>
  </conditionalFormatting>
  <conditionalFormatting sqref="O11 U11:V13 AB11:AC13 O13 O19:O41 U19:V41 AB19:AC41 O43:O105 U43:V105 AB43:AC105 O173 U173:V173 AB173:AC173">
    <cfRule type="cellIs" dxfId="334" priority="12" operator="lessThanOrEqual">
      <formula>1800000</formula>
    </cfRule>
  </conditionalFormatting>
  <conditionalFormatting sqref="O16:O18 U16:V18 AB16:AC18">
    <cfRule type="cellIs" dxfId="333" priority="11" operator="equal">
      <formula>2500000</formula>
    </cfRule>
  </conditionalFormatting>
  <conditionalFormatting sqref="S1:S160 Z1:Z160 AG1:AG160 AN1:AN160 AX54:AX55 S162:S1040 Z162:Z1040 AG162:AG1040 AN162:AN1040">
    <cfRule type="cellIs" dxfId="332" priority="13" operator="lessThan">
      <formula>0</formula>
    </cfRule>
  </conditionalFormatting>
  <conditionalFormatting sqref="T1 AA1 AH1 AO1">
    <cfRule type="cellIs" dxfId="331" priority="2" operator="greaterThanOrEqual">
      <formula>"100%"</formula>
    </cfRule>
    <cfRule type="cellIs" dxfId="330" priority="3" operator="lessThan">
      <formula>"90%"</formula>
    </cfRule>
    <cfRule type="cellIs" dxfId="329" priority="4" operator="lessThan">
      <formula>"100%"</formula>
    </cfRule>
  </conditionalFormatting>
  <conditionalFormatting sqref="T1:T160 AA1:AA160 AH1:AH160 AO1:AO1040 T162:T1040 AA162:AA1040 AH162:AH1040">
    <cfRule type="cellIs" dxfId="328" priority="14" operator="greaterThanOrEqual">
      <formula>"100%"</formula>
    </cfRule>
    <cfRule type="cellIs" dxfId="327" priority="15" operator="lessThan">
      <formula>"90%"</formula>
    </cfRule>
    <cfRule type="cellIs" dxfId="326" priority="16" operator="lessThan">
      <formula>"100%"</formula>
    </cfRule>
  </conditionalFormatting>
  <conditionalFormatting sqref="AQ2:AQ13 AU2:AU13 AY2:AY13 BI2:BI13">
    <cfRule type="cellIs" dxfId="325" priority="25" operator="greaterThanOrEqual">
      <formula>5000000</formula>
    </cfRule>
    <cfRule type="cellIs" dxfId="324" priority="24" operator="lessThan">
      <formula>5000000</formula>
    </cfRule>
    <cfRule type="cellIs" dxfId="323" priority="23" operator="lessThan">
      <formula>4000000</formula>
    </cfRule>
  </conditionalFormatting>
  <conditionalFormatting sqref="AQ14:AQ41 AU14:AU41 AY14:AY41 BI14:BI41 AQ43:AQ114 AU43:AU114 AY43:AY114 BI43:BI114 AQ174 AU174 AY174 BI174">
    <cfRule type="cellIs" dxfId="322" priority="31" operator="greaterThanOrEqual">
      <formula>1500000</formula>
    </cfRule>
    <cfRule type="cellIs" dxfId="321" priority="30" operator="lessThan">
      <formula>1500000</formula>
    </cfRule>
  </conditionalFormatting>
  <conditionalFormatting sqref="AQ14:AQ41 AU14:AU41 AY14:AY41 BI14:BI41 BI43:BI111 AQ43:AQ114 AU43:AU114 AY43:AY114 BI113 AQ174 AU174 AY174 BI174">
    <cfRule type="cellIs" dxfId="320" priority="29" operator="lessThan">
      <formula>1200000</formula>
    </cfRule>
  </conditionalFormatting>
  <conditionalFormatting sqref="BB2:BB41">
    <cfRule type="cellIs" dxfId="319" priority="28" operator="greaterThanOrEqual">
      <formula>15000000</formula>
    </cfRule>
    <cfRule type="cellIs" dxfId="318" priority="26" operator="lessThan">
      <formula>12000000</formula>
    </cfRule>
    <cfRule type="cellIs" dxfId="317" priority="27" operator="lessThan">
      <formula>15000000</formula>
    </cfRule>
  </conditionalFormatting>
  <conditionalFormatting sqref="BB43:BB114 BB174">
    <cfRule type="cellIs" dxfId="316" priority="32" operator="lessThan">
      <formula>12000000</formula>
    </cfRule>
    <cfRule type="cellIs" dxfId="315" priority="33" operator="lessThan">
      <formula>15000000</formula>
    </cfRule>
    <cfRule type="cellIs" dxfId="314" priority="34" operator="greaterThanOrEqual">
      <formula>15000000</formula>
    </cfRule>
  </conditionalFormatting>
  <conditionalFormatting sqref="BD2:BD161 BG2:BG161 BK2:BK161 BI161:BJ161 BL161:CB161 BD174 BG174 BK174">
    <cfRule type="cellIs" dxfId="313" priority="22" operator="equal">
      <formula>0</formula>
    </cfRule>
    <cfRule type="containsBlanks" dxfId="312" priority="21">
      <formula>LEN(TRIM(BD2))=0</formula>
    </cfRule>
  </conditionalFormatting>
  <conditionalFormatting sqref="BM2:BS11">
    <cfRule type="cellIs" dxfId="311" priority="36" operator="greaterThanOrEqual">
      <formula>5000000</formula>
    </cfRule>
    <cfRule type="cellIs" dxfId="310" priority="37" operator="lessThan">
      <formula>5000000</formula>
    </cfRule>
  </conditionalFormatting>
  <conditionalFormatting sqref="BQ12:BS41">
    <cfRule type="cellIs" dxfId="309" priority="40" operator="greaterThanOrEqual">
      <formula>1500000</formula>
    </cfRule>
    <cfRule type="cellIs" dxfId="308" priority="41" operator="lessThan">
      <formula>1500000</formula>
    </cfRule>
  </conditionalFormatting>
  <conditionalFormatting sqref="BQ1:BV1 BX1:BZ1 BM1:BO1040 BI161:BL161 BP161:CB161">
    <cfRule type="cellIs" dxfId="307" priority="35" operator="equal">
      <formula>0</formula>
    </cfRule>
  </conditionalFormatting>
  <conditionalFormatting sqref="BT2:BV11">
    <cfRule type="cellIs" dxfId="306" priority="38" operator="greaterThanOrEqual">
      <formula>15000000</formula>
    </cfRule>
    <cfRule type="cellIs" dxfId="305" priority="39" operator="lessThan">
      <formula>15000000</formula>
    </cfRule>
  </conditionalFormatting>
  <conditionalFormatting sqref="BT12:BV41">
    <cfRule type="cellIs" dxfId="304" priority="42" operator="greaterThanOrEqual">
      <formula>4500000</formula>
    </cfRule>
    <cfRule type="cellIs" dxfId="303" priority="43" operator="lessThan">
      <formula>4500000</formula>
    </cfRule>
  </conditionalFormatting>
  <conditionalFormatting sqref="CD1:CG1">
    <cfRule type="notContainsBlanks" dxfId="302" priority="5">
      <formula>LEN(TRIM(CD1))&gt;0</formula>
    </cfRule>
  </conditionalFormatting>
  <conditionalFormatting sqref="CZ1:CZ1040">
    <cfRule type="containsText" dxfId="301" priority="20" operator="containsText" text="1836">
      <formula>NOT(ISERROR(SEARCH(("1836"),(CZ1))))</formula>
    </cfRule>
    <cfRule type="containsText" dxfId="300" priority="19" operator="containsText" text="silva carlos">
      <formula>NOT(ISERROR(SEARCH(("silva carlos"),(CZ1))))</formula>
    </cfRule>
    <cfRule type="containsText" dxfId="299" priority="18" operator="containsText" text="entre mascotas">
      <formula>NOT(ISERROR(SEARCH(("entre mascotas"),(CZ1))))</formula>
    </cfRule>
    <cfRule type="containsText" dxfId="298" priority="17" operator="containsText" text="simone elena">
      <formula>NOT(ISERROR(SEARCH(("simone elena"),(CZ1))))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  <pageSetUpPr fitToPage="1"/>
  </sheetPr>
  <dimension ref="A1:DK1038"/>
  <sheetViews>
    <sheetView showGridLines="0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N2" sqref="N2"/>
    </sheetView>
  </sheetViews>
  <sheetFormatPr baseColWidth="10" defaultColWidth="12.6640625" defaultRowHeight="15.75" customHeight="1"/>
  <cols>
    <col min="1" max="1" width="10" customWidth="1"/>
    <col min="2" max="12" width="5.1640625" customWidth="1"/>
    <col min="13" max="13" width="36.1640625" customWidth="1"/>
    <col min="14" max="14" width="12.6640625" hidden="1" customWidth="1"/>
    <col min="15" max="15" width="11" hidden="1" customWidth="1"/>
    <col min="16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0.6640625" hidden="1" customWidth="1"/>
    <col min="65" max="65" width="10.6640625" customWidth="1"/>
    <col min="66" max="66" width="10.6640625" hidden="1" customWidth="1"/>
    <col min="67" max="67" width="10.6640625" customWidth="1"/>
    <col min="68" max="68" width="10.6640625" hidden="1" customWidth="1"/>
    <col min="69" max="69" width="10.6640625" customWidth="1"/>
    <col min="70" max="70" width="10.6640625" hidden="1" customWidth="1"/>
    <col min="71" max="72" width="10.6640625" customWidth="1"/>
    <col min="73" max="73" width="10.6640625" hidden="1" customWidth="1"/>
    <col min="74" max="74" width="10.1640625" customWidth="1"/>
    <col min="75" max="75" width="10.1640625" hidden="1" customWidth="1"/>
    <col min="76" max="76" width="10.1640625" customWidth="1"/>
    <col min="77" max="77" width="10.1640625" hidden="1" customWidth="1"/>
    <col min="78" max="78" width="10.1640625" customWidth="1"/>
    <col min="79" max="80" width="12.6640625" hidden="1"/>
    <col min="83" max="83" width="12" customWidth="1"/>
    <col min="84" max="92" width="10.1640625" customWidth="1"/>
    <col min="93" max="93" width="10.6640625" customWidth="1"/>
    <col min="94" max="94" width="11.33203125" customWidth="1"/>
    <col min="100" max="100" width="39.1640625" customWidth="1"/>
  </cols>
  <sheetData>
    <row r="1" spans="1:115" ht="42">
      <c r="A1" s="816" t="s">
        <v>19</v>
      </c>
      <c r="B1" s="513" t="s">
        <v>20</v>
      </c>
      <c r="C1" s="514" t="s">
        <v>21</v>
      </c>
      <c r="D1" s="514" t="s">
        <v>22</v>
      </c>
      <c r="E1" s="515" t="s">
        <v>23</v>
      </c>
      <c r="F1" s="817" t="s">
        <v>20</v>
      </c>
      <c r="G1" s="818" t="s">
        <v>21</v>
      </c>
      <c r="H1" s="819" t="s">
        <v>22</v>
      </c>
      <c r="I1" s="820" t="s">
        <v>23</v>
      </c>
      <c r="J1" s="821" t="s">
        <v>20</v>
      </c>
      <c r="K1" s="822" t="s">
        <v>21</v>
      </c>
      <c r="L1" s="823" t="s">
        <v>22</v>
      </c>
      <c r="M1" s="824" t="s">
        <v>24</v>
      </c>
      <c r="N1" s="396">
        <v>45681</v>
      </c>
      <c r="O1" s="517" t="s">
        <v>25</v>
      </c>
      <c r="P1" s="78" t="s">
        <v>26</v>
      </c>
      <c r="Q1" s="79" t="s">
        <v>27</v>
      </c>
      <c r="R1" s="825" t="s">
        <v>28</v>
      </c>
      <c r="S1" s="519" t="s">
        <v>29</v>
      </c>
      <c r="T1" s="520" t="s">
        <v>30</v>
      </c>
      <c r="U1" s="521">
        <v>45712</v>
      </c>
      <c r="V1" s="826" t="s">
        <v>31</v>
      </c>
      <c r="W1" s="78" t="s">
        <v>26</v>
      </c>
      <c r="X1" s="79" t="s">
        <v>27</v>
      </c>
      <c r="Y1" s="825" t="s">
        <v>32</v>
      </c>
      <c r="Z1" s="519" t="s">
        <v>29</v>
      </c>
      <c r="AA1" s="520" t="s">
        <v>30</v>
      </c>
      <c r="AB1" s="396">
        <v>45740</v>
      </c>
      <c r="AC1" s="517" t="s">
        <v>679</v>
      </c>
      <c r="AD1" s="78" t="s">
        <v>26</v>
      </c>
      <c r="AE1" s="79" t="s">
        <v>27</v>
      </c>
      <c r="AF1" s="825" t="s">
        <v>34</v>
      </c>
      <c r="AG1" s="519" t="s">
        <v>29</v>
      </c>
      <c r="AH1" s="520" t="s">
        <v>30</v>
      </c>
      <c r="AI1" s="827" t="s">
        <v>35</v>
      </c>
      <c r="AJ1" s="528" t="s">
        <v>36</v>
      </c>
      <c r="AK1" s="523" t="s">
        <v>26</v>
      </c>
      <c r="AL1" s="79" t="s">
        <v>27</v>
      </c>
      <c r="AM1" s="828" t="s">
        <v>37</v>
      </c>
      <c r="AN1" s="525" t="s">
        <v>29</v>
      </c>
      <c r="AO1" s="520" t="s">
        <v>30</v>
      </c>
      <c r="AP1" s="77">
        <v>45771</v>
      </c>
      <c r="AQ1" s="78" t="s">
        <v>26</v>
      </c>
      <c r="AR1" s="79" t="s">
        <v>27</v>
      </c>
      <c r="AS1" s="825" t="s">
        <v>38</v>
      </c>
      <c r="AT1" s="81">
        <v>45801</v>
      </c>
      <c r="AU1" s="78" t="s">
        <v>26</v>
      </c>
      <c r="AV1" s="79" t="s">
        <v>27</v>
      </c>
      <c r="AW1" s="825" t="s">
        <v>39</v>
      </c>
      <c r="AX1" s="829">
        <v>45832</v>
      </c>
      <c r="AY1" s="78" t="s">
        <v>26</v>
      </c>
      <c r="AZ1" s="79" t="s">
        <v>27</v>
      </c>
      <c r="BA1" s="830" t="s">
        <v>40</v>
      </c>
      <c r="BB1" s="530" t="s">
        <v>26</v>
      </c>
      <c r="BC1" s="531" t="s">
        <v>27</v>
      </c>
      <c r="BD1" s="684" t="s">
        <v>41</v>
      </c>
      <c r="BE1" s="71" t="s">
        <v>26</v>
      </c>
      <c r="BF1" s="72" t="s">
        <v>27</v>
      </c>
      <c r="BG1" s="76" t="s">
        <v>42</v>
      </c>
      <c r="BH1" s="535">
        <v>45862</v>
      </c>
      <c r="BI1" s="78" t="s">
        <v>26</v>
      </c>
      <c r="BJ1" s="79" t="s">
        <v>27</v>
      </c>
      <c r="BK1" s="825" t="s">
        <v>43</v>
      </c>
      <c r="BL1" s="81">
        <v>45893</v>
      </c>
      <c r="BM1" s="78" t="s">
        <v>26</v>
      </c>
      <c r="BN1" s="79" t="s">
        <v>27</v>
      </c>
      <c r="BO1" s="825" t="s">
        <v>44</v>
      </c>
      <c r="BP1" s="829">
        <v>45924</v>
      </c>
      <c r="BQ1" s="78" t="s">
        <v>26</v>
      </c>
      <c r="BR1" s="79" t="s">
        <v>27</v>
      </c>
      <c r="BS1" s="831" t="s">
        <v>499</v>
      </c>
      <c r="BT1" s="78" t="s">
        <v>26</v>
      </c>
      <c r="BU1" s="79" t="s">
        <v>27</v>
      </c>
      <c r="BV1" s="831" t="s">
        <v>41</v>
      </c>
      <c r="BW1" s="77">
        <v>45954</v>
      </c>
      <c r="BX1" s="78" t="s">
        <v>26</v>
      </c>
      <c r="BY1" s="79" t="s">
        <v>27</v>
      </c>
      <c r="BZ1" s="831" t="s">
        <v>48</v>
      </c>
      <c r="CA1" s="81">
        <v>45985</v>
      </c>
      <c r="CB1" s="536">
        <v>46015</v>
      </c>
      <c r="CC1" s="82"/>
      <c r="CD1" s="82"/>
      <c r="CE1" s="832" t="s">
        <v>250</v>
      </c>
      <c r="CF1" s="832" t="s">
        <v>51</v>
      </c>
      <c r="CG1" s="833" t="s">
        <v>52</v>
      </c>
      <c r="CH1" s="834" t="s">
        <v>680</v>
      </c>
      <c r="CI1" s="833" t="s">
        <v>681</v>
      </c>
      <c r="CJ1" s="833" t="s">
        <v>682</v>
      </c>
      <c r="CK1" s="833" t="s">
        <v>366</v>
      </c>
      <c r="CL1" s="833" t="s">
        <v>58</v>
      </c>
      <c r="CM1" s="834" t="s">
        <v>503</v>
      </c>
      <c r="CN1" s="834" t="s">
        <v>60</v>
      </c>
      <c r="CO1" s="834" t="s">
        <v>683</v>
      </c>
      <c r="CP1" s="833" t="s">
        <v>372</v>
      </c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</row>
    <row r="2" spans="1:115" ht="13">
      <c r="A2" s="436">
        <f t="shared" ref="A2:A33" si="0">VLOOKUP(M2,BUECART4,3,FALSE)</f>
        <v>112012528</v>
      </c>
      <c r="B2" s="172">
        <f t="shared" ref="B2:B31" si="1">VLOOKUP(M2,BUELACARTERA,2,FALSE)</f>
        <v>51</v>
      </c>
      <c r="C2" s="835">
        <f t="shared" ref="C2:C31" si="2">IFERROR(VLOOKUP(B2,DES,2,FALSE),"")</f>
        <v>0.2</v>
      </c>
      <c r="D2" s="558">
        <f t="shared" ref="D2:D31" si="3">IFERROR(VLOOKUP(B2,DES,3,FALSE),"")</f>
        <v>0.09</v>
      </c>
      <c r="E2" s="559">
        <f t="shared" ref="E2:E31" si="4">IFERROR(VLOOKUP(B2,DES,4,FALSE),"")</f>
        <v>0</v>
      </c>
      <c r="F2" s="836">
        <f t="shared" ref="F2:F33" si="5">VLOOKUP(M2,BUELACART2,2,FALSE)</f>
        <v>51</v>
      </c>
      <c r="G2" s="835">
        <f t="shared" ref="G2:G33" si="6">IFERROR(VLOOKUP(F2,DES,2,FALSE),"")</f>
        <v>0.2</v>
      </c>
      <c r="H2" s="699">
        <f t="shared" ref="H2:H33" si="7">IFERROR(VLOOKUP(F2,DES,3,FALSE),"")</f>
        <v>0.09</v>
      </c>
      <c r="I2" s="702">
        <f t="shared" ref="I2:I33" si="8">IFERROR(VLOOKUP(F2,DES,4,FALSE),"")</f>
        <v>0</v>
      </c>
      <c r="J2" s="837">
        <f t="shared" ref="J2:J33" si="9">VLOOKUP(M2,BUECART4,2,FALSE)</f>
        <v>51</v>
      </c>
      <c r="K2" s="699">
        <f t="shared" ref="K2:K33" si="10">VLOOKUP(J2,A458DC1025,2,FALSE)</f>
        <v>0.2</v>
      </c>
      <c r="L2" s="700">
        <f t="shared" ref="L2:L33" si="11">VLOOKUP(J2,A458DC1025,3,FALSE)</f>
        <v>0.05</v>
      </c>
      <c r="M2" s="838" t="s">
        <v>684</v>
      </c>
      <c r="N2" s="434"/>
      <c r="O2" s="141"/>
      <c r="P2" s="113">
        <f t="shared" ref="P2:P31" si="12">R2-Q2</f>
        <v>0</v>
      </c>
      <c r="Q2" s="116">
        <f t="shared" ref="Q2:Q33" si="13">IFERROR(VLOOKUP(M2,BUEALIM,3,FALSE),"")</f>
        <v>0</v>
      </c>
      <c r="R2" s="117">
        <f t="shared" ref="R2:R33" si="14">IFERROR(VLOOKUP(M2,BUEFC,3,FALSE),"")</f>
        <v>0</v>
      </c>
      <c r="S2" s="114">
        <f t="shared" ref="S2:S31" si="15">R2-O2</f>
        <v>0</v>
      </c>
      <c r="T2" s="413" t="str">
        <f t="shared" ref="T2:T31" si="16">IFERROR(R2/O2,"")</f>
        <v/>
      </c>
      <c r="U2" s="114">
        <f t="shared" ref="U2:U31" si="17">IFERROR(VLOOKUP(M2,BUELA,4,FALSE),"")</f>
        <v>6204533.1299999999</v>
      </c>
      <c r="V2" s="121">
        <f t="shared" ref="V2:V4" si="18">(U2*1.7245)*1.05</f>
        <v>11234703.251819251</v>
      </c>
      <c r="W2" s="113">
        <f t="shared" ref="W2:W130" si="19">Y2-X2</f>
        <v>856664.59</v>
      </c>
      <c r="X2" s="116">
        <f t="shared" ref="X2:X33" si="20">IFERROR(VLOOKUP(M2,BUEALIM,4,FALSE),"")</f>
        <v>0</v>
      </c>
      <c r="Y2" s="117">
        <f t="shared" ref="Y2:Y33" si="21">IFERROR(VLOOKUP(M2,BUEFC,4,FALSE),"")</f>
        <v>856664.59</v>
      </c>
      <c r="Z2" s="114">
        <f t="shared" ref="Z2:Z31" si="22">Y2-V2</f>
        <v>-10378038.661819251</v>
      </c>
      <c r="AA2" s="413">
        <f t="shared" ref="AA2:AA31" si="23">IFERROR(Y2/V2,"")</f>
        <v>7.6251643750472817E-2</v>
      </c>
      <c r="AB2" s="100">
        <f t="shared" ref="AB2:AB31" si="24">IFERROR(VLOOKUP(M2,BUELA,5,FALSE),"")</f>
        <v>5071565.4000000004</v>
      </c>
      <c r="AC2" s="416">
        <f t="shared" ref="AC2:AC4" si="25">(AB2*1.5955)*1.03</f>
        <v>8334433.0735710002</v>
      </c>
      <c r="AD2" s="113">
        <f t="shared" ref="AD2:AD130" si="26">AF2-AE2</f>
        <v>4304826.99</v>
      </c>
      <c r="AE2" s="116">
        <f t="shared" ref="AE2:AE33" si="27">IFERROR(VLOOKUP(M2,BUEALIM,5,FALSE),"")</f>
        <v>80549.17</v>
      </c>
      <c r="AF2" s="117">
        <f t="shared" ref="AF2:AF33" si="28">IFERROR(VLOOKUP(M2,BUEFC,5,FALSE),"")</f>
        <v>4385376.16</v>
      </c>
      <c r="AG2" s="114">
        <f t="shared" ref="AG2:AG31" si="29">AF2-AC2</f>
        <v>-3949056.9135710001</v>
      </c>
      <c r="AH2" s="413">
        <f t="shared" ref="AH2:AH31" si="30">IFERROR(AF2/AC2,"")</f>
        <v>0.52617570040922135</v>
      </c>
      <c r="AI2" s="839">
        <f t="shared" ref="AI2:AI31" si="31">SUM(O2,V2,AC2)</f>
        <v>19569136.325390249</v>
      </c>
      <c r="AJ2" s="840">
        <f t="shared" ref="AJ2:AJ33" si="32">IFERROR(VLOOKUP(M2,trim2024,2,FALSE),"")</f>
        <v>8660786.3200000003</v>
      </c>
      <c r="AK2" s="116">
        <f t="shared" ref="AK2:AK31" si="33">SUM(AD2,W2,P2)</f>
        <v>5161491.58</v>
      </c>
      <c r="AL2" s="116">
        <f t="shared" ref="AL2:AL31" si="34">SUM(AE2,X2,X2,Q2)</f>
        <v>80549.17</v>
      </c>
      <c r="AM2" s="116">
        <f t="shared" ref="AM2:AM31" si="35">SUM(AF2,Y2,R2)</f>
        <v>5242040.75</v>
      </c>
      <c r="AN2" s="116">
        <f t="shared" ref="AN2:AN130" si="36">AM2-AJ2</f>
        <v>-3418745.5700000003</v>
      </c>
      <c r="AO2" s="413">
        <f t="shared" ref="AO2:AO6" si="37">AM2/AJ2</f>
        <v>0.60526152664623178</v>
      </c>
      <c r="AP2" s="434">
        <f t="shared" ref="AP2:AP9" si="38">IFERROR(VLOOKUP(M2,BUELA,6,FALSE),"")</f>
        <v>7120653.9299999997</v>
      </c>
      <c r="AQ2" s="140">
        <f t="shared" ref="AQ2:AQ130" si="39">AS2-AR2</f>
        <v>2812064.14</v>
      </c>
      <c r="AR2" s="123">
        <f t="shared" ref="AR2:AR33" si="40">IFERROR(VLOOKUP(M2,BUEALIM,6,FALSE),"")</f>
        <v>44536.08</v>
      </c>
      <c r="AS2" s="148">
        <f t="shared" ref="AS2:AS33" si="41">IFERROR(VLOOKUP(M2,BUEFC,6,FALSE),"")</f>
        <v>2856600.22</v>
      </c>
      <c r="AT2" s="123">
        <f>IFERROR(VLOOKUP(M2,BUELA,7,FALSE),"")</f>
        <v>4576816.55</v>
      </c>
      <c r="AU2" s="326">
        <f t="shared" ref="AU2:AU130" si="42">AW2-AV2</f>
        <v>2524135.4699999997</v>
      </c>
      <c r="AV2" s="326">
        <f t="shared" ref="AV2:AV33" si="43">IFERROR(VLOOKUP(M2,BUEALIM,7,FALSE),"")</f>
        <v>133608.26</v>
      </c>
      <c r="AW2" s="326">
        <f t="shared" ref="AW2:AW33" si="44">IFERROR(VLOOKUP(M2,BUEFC,7,FALSE),"")</f>
        <v>2657743.73</v>
      </c>
      <c r="AX2" s="332">
        <f>IFERROR(VLOOKUP(M2,BUELA,8,FALSE),"")</f>
        <v>3492987.83</v>
      </c>
      <c r="AY2" s="140">
        <f t="shared" ref="AY2:AY130" si="45">BA2-AZ2</f>
        <v>3070519.38</v>
      </c>
      <c r="AZ2" s="326">
        <f t="shared" ref="AZ2:AZ33" si="46">IFERROR(VLOOKUP(M2,BUEALIM,8,FALSE),"")</f>
        <v>174017.56</v>
      </c>
      <c r="BA2" s="121">
        <f t="shared" ref="BA2:BA33" si="47">IFERROR(VLOOKUP(M2,BUEFC,8,FALSE),"")</f>
        <v>3244536.94</v>
      </c>
      <c r="BB2" s="841">
        <f t="shared" ref="BB2:BD2" si="48">SUM(AY2,AU2,AQ2)</f>
        <v>8406718.9900000002</v>
      </c>
      <c r="BC2" s="116">
        <f t="shared" si="48"/>
        <v>352161.9</v>
      </c>
      <c r="BD2" s="121">
        <f t="shared" si="48"/>
        <v>8758880.8900000006</v>
      </c>
      <c r="BE2" s="113">
        <f t="shared" ref="BE2:BF2" si="49">SUM(BB2,AK2)</f>
        <v>13568210.57</v>
      </c>
      <c r="BF2" s="116">
        <f t="shared" si="49"/>
        <v>432711.07</v>
      </c>
      <c r="BG2" s="119">
        <f t="shared" ref="BG2:BG131" si="50">BD2+AM2</f>
        <v>14000921.640000001</v>
      </c>
      <c r="BH2" s="703">
        <f>IFERROR(VLOOKUP(M2,BUELA,9,FALSE),"")</f>
        <v>6598475.25</v>
      </c>
      <c r="BI2" s="114">
        <f t="shared" ref="BI2:BI130" si="51">BK2-BJ2</f>
        <v>1289779.6600000001</v>
      </c>
      <c r="BJ2" s="114">
        <f t="shared" ref="BJ2:BJ33" si="52">IFERROR(VLOOKUP(M2,BUEALIM,9,FALSE),"")</f>
        <v>89440.71</v>
      </c>
      <c r="BK2" s="115">
        <f t="shared" ref="BK2:BK33" si="53">IFERROR(VLOOKUP(M2,BUEFC,9,FALSE),"")</f>
        <v>1379220.37</v>
      </c>
      <c r="BL2" s="423">
        <f>IFERROR(VLOOKUP(M2,BUELA,10,FALSE),"")</f>
        <v>4374336.3600000003</v>
      </c>
      <c r="BM2" s="123">
        <f t="shared" ref="BM2:BM130" si="54">BO2-BN2</f>
        <v>2185199.7000000002</v>
      </c>
      <c r="BN2" s="123">
        <f t="shared" ref="BN2:BN33" si="55">IFERROR(VLOOKUP(M2,BUEALIM,10,FALSE),"")</f>
        <v>305686.15000000002</v>
      </c>
      <c r="BO2" s="123">
        <f t="shared" ref="BO2:BO33" si="56">IFERROR(VLOOKUP(M2,BUEFC,10,FALSE),"")</f>
        <v>2490885.85</v>
      </c>
      <c r="BP2" s="436">
        <f>IFERROR(VLOOKUP(M2,BUELA,11,FALSE),"")</f>
        <v>6994195.3600000003</v>
      </c>
      <c r="BQ2" s="140">
        <f t="shared" ref="BQ2:BQ130" si="57">BS2-BR2</f>
        <v>3868076.7</v>
      </c>
      <c r="BR2" s="325">
        <f t="shared" ref="BR2:BR33" si="58">IFERROR(VLOOKUP(M2,BUEALIM,11,FALSE),"")</f>
        <v>63432.63</v>
      </c>
      <c r="BS2" s="333">
        <f t="shared" ref="BS2:BS33" si="59">IFERROR(VLOOKUP(M2,BUEFC,11,FALSE),"")</f>
        <v>3931509.33</v>
      </c>
      <c r="BT2" s="140">
        <f t="shared" ref="BT2:BV2" si="60">SUM(BQ2,BM2,BI2)</f>
        <v>7343056.0600000005</v>
      </c>
      <c r="BU2" s="326">
        <f t="shared" si="60"/>
        <v>458559.49000000005</v>
      </c>
      <c r="BV2" s="333">
        <f t="shared" si="60"/>
        <v>7801615.5499999998</v>
      </c>
      <c r="BW2" s="125">
        <f>IFERROR(VLOOKUP(M2,BUELA,12,FALSE),"")</f>
        <v>4394085.6500000004</v>
      </c>
      <c r="BX2" s="140">
        <f t="shared" ref="BX2:BX130" si="61">BZ2-BY2</f>
        <v>2859472.08</v>
      </c>
      <c r="BY2" s="123">
        <f t="shared" ref="BY2:BY33" si="62">IFERROR(VLOOKUP(M2,BUEALIM,12,FALSE),"")</f>
        <v>0</v>
      </c>
      <c r="BZ2" s="148">
        <f t="shared" ref="BZ2:BZ33" si="63">IFERROR(VLOOKUP(M2,BUEFC,12,FALSE),"")</f>
        <v>2859472.08</v>
      </c>
      <c r="CA2" s="123">
        <f>IFERROR(VLOOKUP(M2,BUELA,13,FALSE),"")</f>
        <v>2567739.0499999998</v>
      </c>
      <c r="CB2" s="326">
        <f>IFERROR(VLOOKUP(M2,BUELA,14,FALSE),"")</f>
        <v>1698961.63</v>
      </c>
      <c r="CE2" s="842">
        <v>0.2</v>
      </c>
      <c r="CF2" s="324">
        <v>1</v>
      </c>
      <c r="CG2" s="440"/>
      <c r="CH2" s="441"/>
      <c r="CI2" s="440"/>
      <c r="CJ2" s="440"/>
      <c r="CK2" s="440"/>
      <c r="CL2" s="440">
        <v>1</v>
      </c>
      <c r="CM2" s="441">
        <v>1</v>
      </c>
      <c r="CN2" s="441">
        <v>1</v>
      </c>
      <c r="CO2" s="138">
        <v>1</v>
      </c>
      <c r="CP2" s="324">
        <v>1</v>
      </c>
    </row>
    <row r="3" spans="1:115" ht="15" customHeight="1">
      <c r="A3" s="436">
        <f t="shared" si="0"/>
        <v>112013276</v>
      </c>
      <c r="B3" s="93">
        <f t="shared" si="1"/>
        <v>14</v>
      </c>
      <c r="C3" s="699">
        <f t="shared" si="2"/>
        <v>0.15</v>
      </c>
      <c r="D3" s="699">
        <f t="shared" si="3"/>
        <v>0.2</v>
      </c>
      <c r="E3" s="702">
        <f t="shared" si="4"/>
        <v>0.23</v>
      </c>
      <c r="F3" s="836">
        <f t="shared" si="5"/>
        <v>14</v>
      </c>
      <c r="G3" s="558">
        <f t="shared" si="6"/>
        <v>0.15</v>
      </c>
      <c r="H3" s="558">
        <f t="shared" si="7"/>
        <v>0.2</v>
      </c>
      <c r="I3" s="559">
        <f t="shared" si="8"/>
        <v>0.23</v>
      </c>
      <c r="J3" s="837">
        <f t="shared" si="9"/>
        <v>54</v>
      </c>
      <c r="K3" s="699">
        <f t="shared" si="10"/>
        <v>0.15</v>
      </c>
      <c r="L3" s="700">
        <f t="shared" si="11"/>
        <v>0.11</v>
      </c>
      <c r="M3" s="135" t="s">
        <v>685</v>
      </c>
      <c r="N3" s="843">
        <f>IFERROR(VLOOKUP(M3,BUELA,3,FALSE),"")</f>
        <v>7216590.04</v>
      </c>
      <c r="O3" s="416">
        <f t="shared" ref="O3:O4" si="64">(N3*1.601)*1.05</f>
        <v>12131448.686742</v>
      </c>
      <c r="P3" s="113">
        <f t="shared" si="12"/>
        <v>4741882.38</v>
      </c>
      <c r="Q3" s="116">
        <f t="shared" si="13"/>
        <v>642939.11</v>
      </c>
      <c r="R3" s="117">
        <f t="shared" si="14"/>
        <v>5384821.4900000002</v>
      </c>
      <c r="S3" s="114">
        <f t="shared" si="15"/>
        <v>-6746627.1967420001</v>
      </c>
      <c r="T3" s="413">
        <f t="shared" si="16"/>
        <v>0.44387291485516212</v>
      </c>
      <c r="U3" s="114">
        <f t="shared" si="17"/>
        <v>5207779.1900000004</v>
      </c>
      <c r="V3" s="121">
        <f t="shared" si="18"/>
        <v>9429855.9738127496</v>
      </c>
      <c r="W3" s="113">
        <f t="shared" si="19"/>
        <v>6969629.9199999999</v>
      </c>
      <c r="X3" s="116">
        <f t="shared" si="20"/>
        <v>588785.35</v>
      </c>
      <c r="Y3" s="117">
        <f t="shared" si="21"/>
        <v>7558415.2699999996</v>
      </c>
      <c r="Z3" s="114">
        <f t="shared" si="22"/>
        <v>-1871440.7038127501</v>
      </c>
      <c r="AA3" s="413">
        <f t="shared" si="23"/>
        <v>0.80154090274444822</v>
      </c>
      <c r="AB3" s="100">
        <f t="shared" si="24"/>
        <v>6585421.9900000002</v>
      </c>
      <c r="AC3" s="416">
        <f t="shared" si="25"/>
        <v>10822252.00859635</v>
      </c>
      <c r="AD3" s="113">
        <f t="shared" si="26"/>
        <v>3232737.27</v>
      </c>
      <c r="AE3" s="116">
        <f t="shared" si="27"/>
        <v>28276.400000000001</v>
      </c>
      <c r="AF3" s="117">
        <f t="shared" si="28"/>
        <v>3261013.67</v>
      </c>
      <c r="AG3" s="114">
        <f t="shared" si="29"/>
        <v>-7561238.3385963496</v>
      </c>
      <c r="AH3" s="413">
        <f t="shared" si="30"/>
        <v>0.30132486911316664</v>
      </c>
      <c r="AI3" s="839">
        <f t="shared" si="31"/>
        <v>32383556.669151101</v>
      </c>
      <c r="AJ3" s="840">
        <f t="shared" si="32"/>
        <v>25796523.190000001</v>
      </c>
      <c r="AK3" s="116">
        <f t="shared" si="33"/>
        <v>14944249.57</v>
      </c>
      <c r="AL3" s="116">
        <f t="shared" si="34"/>
        <v>1848786.21</v>
      </c>
      <c r="AM3" s="116">
        <f t="shared" si="35"/>
        <v>16204250.43</v>
      </c>
      <c r="AN3" s="116">
        <f t="shared" si="36"/>
        <v>-9592272.7600000016</v>
      </c>
      <c r="AO3" s="413">
        <f t="shared" si="37"/>
        <v>0.62815637249447487</v>
      </c>
      <c r="AP3" s="434">
        <f t="shared" si="38"/>
        <v>6114528.3200000003</v>
      </c>
      <c r="AQ3" s="140">
        <f t="shared" si="39"/>
        <v>1184078.2200000002</v>
      </c>
      <c r="AR3" s="123">
        <f t="shared" si="40"/>
        <v>80898.399999999994</v>
      </c>
      <c r="AS3" s="148">
        <f t="shared" si="41"/>
        <v>1264976.6200000001</v>
      </c>
      <c r="AT3" s="123">
        <f>IFERROR(VLOOKUP(M3,BUELA,7,FALSE),"")</f>
        <v>1563871</v>
      </c>
      <c r="AU3" s="326">
        <f t="shared" si="42"/>
        <v>1541447.8699999999</v>
      </c>
      <c r="AV3" s="326">
        <f t="shared" si="43"/>
        <v>440149.05</v>
      </c>
      <c r="AW3" s="326">
        <f t="shared" si="44"/>
        <v>1981596.92</v>
      </c>
      <c r="AX3" s="332">
        <f>IFERROR(VLOOKUP(M3,BUELA,8,FALSE),"")</f>
        <v>657107.62</v>
      </c>
      <c r="AY3" s="140">
        <f t="shared" si="45"/>
        <v>2738023.3</v>
      </c>
      <c r="AZ3" s="326">
        <f t="shared" si="46"/>
        <v>179365.45</v>
      </c>
      <c r="BA3" s="332">
        <f t="shared" si="47"/>
        <v>2917388.75</v>
      </c>
      <c r="BB3" s="844">
        <f t="shared" ref="BB3:BD3" si="65">SUM(AY3,AU3,AQ3)</f>
        <v>5463549.3900000006</v>
      </c>
      <c r="BC3" s="326">
        <f t="shared" si="65"/>
        <v>700412.9</v>
      </c>
      <c r="BD3" s="332">
        <f t="shared" si="65"/>
        <v>6163962.29</v>
      </c>
      <c r="BE3" s="140">
        <f t="shared" ref="BE3:BF3" si="66">SUM(BB3,AK3)</f>
        <v>20407798.960000001</v>
      </c>
      <c r="BF3" s="326">
        <f t="shared" si="66"/>
        <v>2549199.11</v>
      </c>
      <c r="BG3" s="435">
        <f t="shared" si="50"/>
        <v>22368212.719999999</v>
      </c>
      <c r="BH3" s="423">
        <f>IFERROR(VLOOKUP(M3,BUELA,9,FALSE),"")</f>
        <v>5232391.22</v>
      </c>
      <c r="BI3" s="123">
        <f t="shared" si="51"/>
        <v>2697860.9200000004</v>
      </c>
      <c r="BJ3" s="123">
        <f t="shared" si="52"/>
        <v>49307.28</v>
      </c>
      <c r="BK3" s="148">
        <f t="shared" si="53"/>
        <v>2747168.2</v>
      </c>
      <c r="BL3" s="423">
        <f>IFERROR(VLOOKUP(M3,BUELA,10,FALSE),"")</f>
        <v>3866229.87</v>
      </c>
      <c r="BM3" s="123">
        <f t="shared" si="54"/>
        <v>5887088.4199999999</v>
      </c>
      <c r="BN3" s="123">
        <f t="shared" si="55"/>
        <v>953889.56</v>
      </c>
      <c r="BO3" s="123">
        <f t="shared" si="56"/>
        <v>6840977.9800000004</v>
      </c>
      <c r="BP3" s="436">
        <f>IFERROR(VLOOKUP(M3,BUELA,11,FALSE),"")</f>
        <v>7167019.96</v>
      </c>
      <c r="BQ3" s="140">
        <f t="shared" si="57"/>
        <v>15710011.529999999</v>
      </c>
      <c r="BR3" s="325">
        <f t="shared" si="58"/>
        <v>122218.17</v>
      </c>
      <c r="BS3" s="333">
        <f t="shared" si="59"/>
        <v>15832229.699999999</v>
      </c>
      <c r="BT3" s="140">
        <f t="shared" ref="BT3:BV3" si="67">SUM(BQ3,BM3,BI3)</f>
        <v>24294960.870000001</v>
      </c>
      <c r="BU3" s="326">
        <f t="shared" si="67"/>
        <v>1125415.01</v>
      </c>
      <c r="BV3" s="333">
        <f t="shared" si="67"/>
        <v>25420375.879999999</v>
      </c>
      <c r="BW3" s="125">
        <f>IFERROR(VLOOKUP(M3,BUELA,12,FALSE),"")</f>
        <v>9964265.8300000001</v>
      </c>
      <c r="BX3" s="140">
        <f t="shared" si="61"/>
        <v>15687498.460000001</v>
      </c>
      <c r="BY3" s="123">
        <f t="shared" si="62"/>
        <v>218325.53</v>
      </c>
      <c r="BZ3" s="148">
        <f t="shared" si="63"/>
        <v>15905823.99</v>
      </c>
      <c r="CA3" s="123">
        <f>IFERROR(VLOOKUP(M3,BUELA,13,FALSE),"")</f>
        <v>7161781.0999999996</v>
      </c>
      <c r="CB3" s="326">
        <f>IFERROR(VLOOKUP(M3,BUELA,14,FALSE),"")</f>
        <v>8670476.2599999998</v>
      </c>
      <c r="CE3" s="190">
        <v>0.15</v>
      </c>
      <c r="CF3" s="440">
        <v>9</v>
      </c>
      <c r="CG3" s="440">
        <v>12</v>
      </c>
      <c r="CH3" s="441">
        <v>10</v>
      </c>
      <c r="CI3" s="324">
        <v>8</v>
      </c>
      <c r="CJ3" s="324">
        <v>8</v>
      </c>
      <c r="CK3" s="324">
        <v>9</v>
      </c>
      <c r="CL3" s="324">
        <v>8</v>
      </c>
      <c r="CM3" s="138">
        <v>8</v>
      </c>
      <c r="CN3" s="138">
        <v>6</v>
      </c>
      <c r="CO3" s="441">
        <v>9</v>
      </c>
      <c r="CP3" s="440">
        <v>9</v>
      </c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</row>
    <row r="4" spans="1:115" ht="13">
      <c r="A4" s="436">
        <f t="shared" si="0"/>
        <v>112013225</v>
      </c>
      <c r="B4" s="172">
        <f t="shared" si="1"/>
        <v>38</v>
      </c>
      <c r="C4" s="558">
        <f t="shared" si="2"/>
        <v>0.15</v>
      </c>
      <c r="D4" s="558">
        <f t="shared" si="3"/>
        <v>0.26</v>
      </c>
      <c r="E4" s="559">
        <f t="shared" si="4"/>
        <v>0</v>
      </c>
      <c r="F4" s="836">
        <f t="shared" si="5"/>
        <v>38</v>
      </c>
      <c r="G4" s="558">
        <f t="shared" si="6"/>
        <v>0.15</v>
      </c>
      <c r="H4" s="558">
        <f t="shared" si="7"/>
        <v>0.26</v>
      </c>
      <c r="I4" s="559">
        <f t="shared" si="8"/>
        <v>0</v>
      </c>
      <c r="J4" s="837">
        <f t="shared" si="9"/>
        <v>52</v>
      </c>
      <c r="K4" s="699">
        <f t="shared" si="10"/>
        <v>0.15</v>
      </c>
      <c r="L4" s="700">
        <f t="shared" si="11"/>
        <v>0.17</v>
      </c>
      <c r="M4" s="498" t="s">
        <v>686</v>
      </c>
      <c r="N4" s="845">
        <f>IFERROR(VLOOKUP(M4,BUELA,3,FALSE),"")</f>
        <v>5171221.58</v>
      </c>
      <c r="O4" s="141">
        <f t="shared" si="64"/>
        <v>8693082.0370589998</v>
      </c>
      <c r="P4" s="140">
        <f t="shared" si="12"/>
        <v>1806291.4299999997</v>
      </c>
      <c r="Q4" s="116">
        <f t="shared" si="13"/>
        <v>11395956.300000001</v>
      </c>
      <c r="R4" s="117">
        <f t="shared" si="14"/>
        <v>13202247.73</v>
      </c>
      <c r="S4" s="123">
        <f t="shared" si="15"/>
        <v>4509165.6929410007</v>
      </c>
      <c r="T4" s="98">
        <f t="shared" si="16"/>
        <v>1.518707366814005</v>
      </c>
      <c r="U4" s="123">
        <f t="shared" si="17"/>
        <v>14959432.34</v>
      </c>
      <c r="V4" s="332">
        <f t="shared" si="18"/>
        <v>27087418.123846497</v>
      </c>
      <c r="W4" s="113">
        <f t="shared" si="19"/>
        <v>14581280.230000002</v>
      </c>
      <c r="X4" s="116">
        <f t="shared" si="20"/>
        <v>11501697.279999999</v>
      </c>
      <c r="Y4" s="117">
        <f t="shared" si="21"/>
        <v>26082977.510000002</v>
      </c>
      <c r="Z4" s="114">
        <f t="shared" si="22"/>
        <v>-1004440.6138464957</v>
      </c>
      <c r="AA4" s="413">
        <f t="shared" si="23"/>
        <v>0.96291855468638288</v>
      </c>
      <c r="AB4" s="125">
        <f t="shared" si="24"/>
        <v>2198584.13</v>
      </c>
      <c r="AC4" s="416">
        <f t="shared" si="25"/>
        <v>3613076.2087974497</v>
      </c>
      <c r="AD4" s="113">
        <f t="shared" si="26"/>
        <v>7766940.3100000005</v>
      </c>
      <c r="AE4" s="116">
        <f t="shared" si="27"/>
        <v>2681746.61</v>
      </c>
      <c r="AF4" s="117">
        <f t="shared" si="28"/>
        <v>10448686.92</v>
      </c>
      <c r="AG4" s="114">
        <f t="shared" si="29"/>
        <v>6835610.7112025507</v>
      </c>
      <c r="AH4" s="413">
        <f t="shared" si="30"/>
        <v>2.8919088101597685</v>
      </c>
      <c r="AI4" s="846">
        <f t="shared" si="31"/>
        <v>39393576.369702943</v>
      </c>
      <c r="AJ4" s="840">
        <f t="shared" si="32"/>
        <v>50303549.18</v>
      </c>
      <c r="AK4" s="116">
        <f t="shared" si="33"/>
        <v>24154511.970000003</v>
      </c>
      <c r="AL4" s="116">
        <f t="shared" si="34"/>
        <v>37081097.469999999</v>
      </c>
      <c r="AM4" s="116">
        <f t="shared" si="35"/>
        <v>49733912.159999996</v>
      </c>
      <c r="AN4" s="116">
        <f t="shared" si="36"/>
        <v>-569637.02000000328</v>
      </c>
      <c r="AO4" s="413">
        <f t="shared" si="37"/>
        <v>0.98867600737352179</v>
      </c>
      <c r="AP4" s="434">
        <f t="shared" si="38"/>
        <v>7147043.8499999996</v>
      </c>
      <c r="AQ4" s="140">
        <f t="shared" si="39"/>
        <v>0</v>
      </c>
      <c r="AR4" s="123">
        <f t="shared" si="40"/>
        <v>6544929.0599999996</v>
      </c>
      <c r="AS4" s="148">
        <f t="shared" si="41"/>
        <v>6544929.0599999996</v>
      </c>
      <c r="AT4" s="123">
        <f>IFERROR(VLOOKUP(M4,BUELA,7,FALSE),"")</f>
        <v>14488613.73</v>
      </c>
      <c r="AU4" s="326">
        <f t="shared" si="42"/>
        <v>1742587.5500000003</v>
      </c>
      <c r="AV4" s="326">
        <f t="shared" si="43"/>
        <v>1309021.17</v>
      </c>
      <c r="AW4" s="326">
        <f t="shared" si="44"/>
        <v>3051608.72</v>
      </c>
      <c r="AX4" s="332">
        <f>IFERROR(VLOOKUP(M4,BUELA,8,FALSE),"")</f>
        <v>12021545.689999999</v>
      </c>
      <c r="AY4" s="140">
        <f t="shared" si="45"/>
        <v>8877892.8200000003</v>
      </c>
      <c r="AZ4" s="326">
        <f t="shared" si="46"/>
        <v>5903226.0599999996</v>
      </c>
      <c r="BA4" s="332">
        <f t="shared" si="47"/>
        <v>14781118.880000001</v>
      </c>
      <c r="BB4" s="844">
        <f t="shared" ref="BB4:BD4" si="68">SUM(AY4,AU4,AQ4)</f>
        <v>10620480.370000001</v>
      </c>
      <c r="BC4" s="326">
        <f t="shared" si="68"/>
        <v>13757176.289999999</v>
      </c>
      <c r="BD4" s="332">
        <f t="shared" si="68"/>
        <v>24377656.66</v>
      </c>
      <c r="BE4" s="140">
        <f t="shared" ref="BE4:BF4" si="69">SUM(BB4,AK4)</f>
        <v>34774992.340000004</v>
      </c>
      <c r="BF4" s="326">
        <f t="shared" si="69"/>
        <v>50838273.759999998</v>
      </c>
      <c r="BG4" s="435">
        <f t="shared" si="50"/>
        <v>74111568.819999993</v>
      </c>
      <c r="BH4" s="423">
        <f>IFERROR(VLOOKUP(M4,BUELA,9,FALSE),"")</f>
        <v>1838233.2</v>
      </c>
      <c r="BI4" s="123">
        <f t="shared" si="51"/>
        <v>1793032.1400000006</v>
      </c>
      <c r="BJ4" s="123">
        <f t="shared" si="52"/>
        <v>9441623.5099999998</v>
      </c>
      <c r="BK4" s="148">
        <f t="shared" si="53"/>
        <v>11234655.65</v>
      </c>
      <c r="BL4" s="423">
        <f>IFERROR(VLOOKUP(M4,BUELA,10,FALSE),"")</f>
        <v>6998473.7300000004</v>
      </c>
      <c r="BM4" s="123">
        <f t="shared" si="54"/>
        <v>1245587.23</v>
      </c>
      <c r="BN4" s="123">
        <f t="shared" si="55"/>
        <v>2705045.11</v>
      </c>
      <c r="BO4" s="123">
        <f t="shared" si="56"/>
        <v>3950632.34</v>
      </c>
      <c r="BP4" s="436">
        <f>IFERROR(VLOOKUP(M4,BUELA,11,FALSE),"")</f>
        <v>12526110.439999999</v>
      </c>
      <c r="BQ4" s="140">
        <f t="shared" si="57"/>
        <v>2010378.5</v>
      </c>
      <c r="BR4" s="325">
        <f t="shared" si="58"/>
        <v>5098254.63</v>
      </c>
      <c r="BS4" s="333">
        <f t="shared" si="59"/>
        <v>7108633.1299999999</v>
      </c>
      <c r="BT4" s="140">
        <f t="shared" ref="BT4:BV4" si="70">SUM(BQ4,BM4,BI4)</f>
        <v>5048997.870000001</v>
      </c>
      <c r="BU4" s="326">
        <f t="shared" si="70"/>
        <v>17244923.25</v>
      </c>
      <c r="BV4" s="333">
        <f t="shared" si="70"/>
        <v>22293921.119999997</v>
      </c>
      <c r="BW4" s="125">
        <f>IFERROR(VLOOKUP(M4,BUELA,12,FALSE),"")</f>
        <v>16396098.029999999</v>
      </c>
      <c r="BX4" s="140">
        <f t="shared" si="61"/>
        <v>16835595.890000001</v>
      </c>
      <c r="BY4" s="123">
        <f t="shared" si="62"/>
        <v>4315646</v>
      </c>
      <c r="BZ4" s="148">
        <f t="shared" si="63"/>
        <v>21151241.890000001</v>
      </c>
      <c r="CA4" s="123">
        <f>IFERROR(VLOOKUP(M4,BUELA,13,FALSE),"")</f>
        <v>27548437.620000001</v>
      </c>
      <c r="CB4" s="326">
        <f>IFERROR(VLOOKUP(M4,BUELA,14,FALSE),"")</f>
        <v>6359013.5300000003</v>
      </c>
      <c r="CE4" s="847">
        <v>0.12</v>
      </c>
      <c r="CF4" s="324">
        <v>5</v>
      </c>
      <c r="CG4" s="440">
        <v>11</v>
      </c>
      <c r="CH4" s="441">
        <v>5</v>
      </c>
      <c r="CI4" s="449">
        <v>4</v>
      </c>
      <c r="CJ4" s="449">
        <v>4</v>
      </c>
      <c r="CK4" s="449">
        <v>4</v>
      </c>
      <c r="CL4" s="449">
        <v>5</v>
      </c>
      <c r="CM4" s="169">
        <v>5</v>
      </c>
      <c r="CN4" s="169">
        <v>5</v>
      </c>
      <c r="CO4" s="138">
        <v>5</v>
      </c>
      <c r="CP4" s="324">
        <v>5</v>
      </c>
    </row>
    <row r="5" spans="1:115" ht="13">
      <c r="A5" s="436">
        <f t="shared" si="0"/>
        <v>112013581</v>
      </c>
      <c r="B5" s="172">
        <f t="shared" si="1"/>
        <v>10</v>
      </c>
      <c r="C5" s="558">
        <f t="shared" si="2"/>
        <v>0.15</v>
      </c>
      <c r="D5" s="558">
        <f t="shared" si="3"/>
        <v>0.23</v>
      </c>
      <c r="E5" s="559">
        <f t="shared" si="4"/>
        <v>0</v>
      </c>
      <c r="F5" s="836">
        <f t="shared" si="5"/>
        <v>10</v>
      </c>
      <c r="G5" s="558">
        <f t="shared" si="6"/>
        <v>0.15</v>
      </c>
      <c r="H5" s="558">
        <f t="shared" si="7"/>
        <v>0.23</v>
      </c>
      <c r="I5" s="559">
        <f t="shared" si="8"/>
        <v>0</v>
      </c>
      <c r="J5" s="837">
        <f t="shared" si="9"/>
        <v>53</v>
      </c>
      <c r="K5" s="699">
        <f t="shared" si="10"/>
        <v>0.15</v>
      </c>
      <c r="L5" s="700">
        <f t="shared" si="11"/>
        <v>0.14000000000000001</v>
      </c>
      <c r="M5" s="498" t="s">
        <v>687</v>
      </c>
      <c r="N5" s="845" t="str">
        <f>IFERROR(VLOOKUP(M5,BUELA,3,FALSE),"")</f>
        <v/>
      </c>
      <c r="O5" s="174">
        <v>3000000</v>
      </c>
      <c r="P5" s="113">
        <f t="shared" si="12"/>
        <v>5057238.54</v>
      </c>
      <c r="Q5" s="116">
        <f t="shared" si="13"/>
        <v>1994566.38</v>
      </c>
      <c r="R5" s="117">
        <f t="shared" si="14"/>
        <v>7051804.9199999999</v>
      </c>
      <c r="S5" s="114">
        <f t="shared" si="15"/>
        <v>4051804.92</v>
      </c>
      <c r="T5" s="413">
        <f t="shared" si="16"/>
        <v>2.3506016399999998</v>
      </c>
      <c r="U5" s="123" t="str">
        <f t="shared" si="17"/>
        <v/>
      </c>
      <c r="V5" s="174">
        <v>3000000</v>
      </c>
      <c r="W5" s="113">
        <f t="shared" si="19"/>
        <v>5673753.2199999997</v>
      </c>
      <c r="X5" s="116">
        <f t="shared" si="20"/>
        <v>2881719.7</v>
      </c>
      <c r="Y5" s="117">
        <f t="shared" si="21"/>
        <v>8555472.9199999999</v>
      </c>
      <c r="Z5" s="114">
        <f t="shared" si="22"/>
        <v>5555472.9199999999</v>
      </c>
      <c r="AA5" s="413">
        <f t="shared" si="23"/>
        <v>2.8518243066666664</v>
      </c>
      <c r="AB5" s="125" t="str">
        <f t="shared" si="24"/>
        <v/>
      </c>
      <c r="AC5" s="174">
        <v>3000000</v>
      </c>
      <c r="AD5" s="113">
        <f t="shared" si="26"/>
        <v>5369863.6799999997</v>
      </c>
      <c r="AE5" s="116">
        <f t="shared" si="27"/>
        <v>937234.28</v>
      </c>
      <c r="AF5" s="117">
        <f t="shared" si="28"/>
        <v>6307097.96</v>
      </c>
      <c r="AG5" s="114">
        <f t="shared" si="29"/>
        <v>3307097.96</v>
      </c>
      <c r="AH5" s="413">
        <f t="shared" si="30"/>
        <v>2.1023659866666669</v>
      </c>
      <c r="AI5" s="846">
        <f t="shared" si="31"/>
        <v>9000000</v>
      </c>
      <c r="AJ5" s="840">
        <f t="shared" si="32"/>
        <v>22363521.010000002</v>
      </c>
      <c r="AK5" s="116">
        <f t="shared" si="33"/>
        <v>16100855.439999998</v>
      </c>
      <c r="AL5" s="116">
        <f t="shared" si="34"/>
        <v>8695240.0600000005</v>
      </c>
      <c r="AM5" s="116">
        <f t="shared" si="35"/>
        <v>21914375.799999997</v>
      </c>
      <c r="AN5" s="116">
        <f t="shared" si="36"/>
        <v>-449145.21000000462</v>
      </c>
      <c r="AO5" s="413">
        <f t="shared" si="37"/>
        <v>0.97991616750335664</v>
      </c>
      <c r="AP5" s="434" t="str">
        <f t="shared" si="38"/>
        <v/>
      </c>
      <c r="AQ5" s="140">
        <f t="shared" si="39"/>
        <v>5121138</v>
      </c>
      <c r="AR5" s="123">
        <f t="shared" si="40"/>
        <v>2325876.7599999998</v>
      </c>
      <c r="AS5" s="148">
        <f t="shared" si="41"/>
        <v>7447014.7599999998</v>
      </c>
      <c r="AT5" s="123" t="str">
        <f>IFERROR(VLOOKUP(M5,BUELA,7,FALSE),"")</f>
        <v/>
      </c>
      <c r="AU5" s="326">
        <f t="shared" si="42"/>
        <v>2484903.69</v>
      </c>
      <c r="AV5" s="326">
        <f t="shared" si="43"/>
        <v>1523069.85</v>
      </c>
      <c r="AW5" s="326">
        <f t="shared" si="44"/>
        <v>4007973.54</v>
      </c>
      <c r="AX5" s="332" t="str">
        <f>IFERROR(VLOOKUP(M5,BUELA,8,FALSE),"")</f>
        <v/>
      </c>
      <c r="AY5" s="140">
        <f t="shared" si="45"/>
        <v>4703432.4700000007</v>
      </c>
      <c r="AZ5" s="326">
        <f t="shared" si="46"/>
        <v>1845707.1</v>
      </c>
      <c r="BA5" s="332">
        <f t="shared" si="47"/>
        <v>6549139.5700000003</v>
      </c>
      <c r="BB5" s="844">
        <f t="shared" ref="BB5:BD5" si="71">SUM(AY5,AU5,AQ5)</f>
        <v>12309474.16</v>
      </c>
      <c r="BC5" s="326">
        <f t="shared" si="71"/>
        <v>5694653.71</v>
      </c>
      <c r="BD5" s="332">
        <f t="shared" si="71"/>
        <v>18004127.869999997</v>
      </c>
      <c r="BE5" s="140">
        <f t="shared" ref="BE5:BF5" si="72">SUM(BB5,AK5)</f>
        <v>28410329.599999998</v>
      </c>
      <c r="BF5" s="326">
        <f t="shared" si="72"/>
        <v>14389893.77</v>
      </c>
      <c r="BG5" s="435">
        <f t="shared" si="50"/>
        <v>39918503.669999994</v>
      </c>
      <c r="BH5" s="423" t="str">
        <f>IFERROR(VLOOKUP(M5,BUELA,9,FALSE),"")</f>
        <v/>
      </c>
      <c r="BI5" s="123">
        <f t="shared" si="51"/>
        <v>4526485.9600000009</v>
      </c>
      <c r="BJ5" s="123">
        <f t="shared" si="52"/>
        <v>3023259.78</v>
      </c>
      <c r="BK5" s="148">
        <f t="shared" si="53"/>
        <v>7549745.7400000002</v>
      </c>
      <c r="BL5" s="423" t="str">
        <f>IFERROR(VLOOKUP(M5,BUELA,10,FALSE),"")</f>
        <v/>
      </c>
      <c r="BM5" s="123">
        <f t="shared" si="54"/>
        <v>4779931.16</v>
      </c>
      <c r="BN5" s="123">
        <f t="shared" si="55"/>
        <v>1655383.76</v>
      </c>
      <c r="BO5" s="123">
        <f t="shared" si="56"/>
        <v>6435314.9199999999</v>
      </c>
      <c r="BP5" s="436" t="str">
        <f>IFERROR(VLOOKUP(M5,BUELA,11,FALSE),"")</f>
        <v/>
      </c>
      <c r="BQ5" s="140">
        <f t="shared" si="57"/>
        <v>5161154.2299999995</v>
      </c>
      <c r="BR5" s="325">
        <f t="shared" si="58"/>
        <v>2385258.58</v>
      </c>
      <c r="BS5" s="333">
        <f t="shared" si="59"/>
        <v>7546412.8099999996</v>
      </c>
      <c r="BT5" s="140">
        <f t="shared" ref="BT5:BV5" si="73">SUM(BQ5,BM5,BI5)</f>
        <v>14467571.350000001</v>
      </c>
      <c r="BU5" s="326">
        <f t="shared" si="73"/>
        <v>7063902.1199999992</v>
      </c>
      <c r="BV5" s="333">
        <f t="shared" si="73"/>
        <v>21531473.469999999</v>
      </c>
      <c r="BW5" s="125" t="str">
        <f>IFERROR(VLOOKUP(M5,BUELA,12,FALSE),"")</f>
        <v/>
      </c>
      <c r="BX5" s="140">
        <f t="shared" si="61"/>
        <v>6678366.9899999993</v>
      </c>
      <c r="BY5" s="123">
        <f t="shared" si="62"/>
        <v>2090743.61</v>
      </c>
      <c r="BZ5" s="148">
        <f t="shared" si="63"/>
        <v>8769110.5999999996</v>
      </c>
      <c r="CA5" s="123" t="str">
        <f>IFERROR(VLOOKUP(M5,BUELA,13,FALSE),"")</f>
        <v/>
      </c>
      <c r="CB5" s="326" t="str">
        <f>IFERROR(VLOOKUP(M5,BUELA,14,FALSE),"")</f>
        <v/>
      </c>
      <c r="CE5" s="848">
        <v>0.1</v>
      </c>
      <c r="CF5" s="449">
        <v>16</v>
      </c>
      <c r="CG5" s="440">
        <v>19</v>
      </c>
      <c r="CH5" s="441">
        <v>21</v>
      </c>
      <c r="CI5" s="324">
        <v>33</v>
      </c>
      <c r="CJ5" s="324">
        <v>37</v>
      </c>
      <c r="CK5" s="324">
        <v>37</v>
      </c>
      <c r="CL5" s="324">
        <v>37</v>
      </c>
      <c r="CM5" s="138">
        <v>38</v>
      </c>
      <c r="CN5" s="138">
        <v>16</v>
      </c>
      <c r="CO5" s="169">
        <v>16</v>
      </c>
      <c r="CP5" s="449">
        <v>16</v>
      </c>
      <c r="CQ5" s="455"/>
      <c r="CR5" s="455"/>
      <c r="CS5" s="455"/>
      <c r="CT5" s="455"/>
      <c r="CU5" s="455"/>
      <c r="CV5" s="455"/>
      <c r="CW5" s="455"/>
      <c r="CX5" s="455"/>
      <c r="CY5" s="455"/>
      <c r="CZ5" s="455"/>
      <c r="DA5" s="455"/>
      <c r="DB5" s="455"/>
      <c r="DC5" s="455"/>
      <c r="DD5" s="455"/>
      <c r="DE5" s="455"/>
      <c r="DF5" s="455"/>
      <c r="DG5" s="455"/>
      <c r="DH5" s="455"/>
      <c r="DI5" s="455"/>
      <c r="DJ5" s="455"/>
      <c r="DK5" s="455"/>
    </row>
    <row r="6" spans="1:115" ht="13">
      <c r="A6" s="436">
        <f t="shared" si="0"/>
        <v>112013562</v>
      </c>
      <c r="B6" s="172">
        <f t="shared" si="1"/>
        <v>12</v>
      </c>
      <c r="C6" s="558">
        <f t="shared" si="2"/>
        <v>0.15</v>
      </c>
      <c r="D6" s="558">
        <f t="shared" si="3"/>
        <v>0.09</v>
      </c>
      <c r="E6" s="559">
        <f t="shared" si="4"/>
        <v>0</v>
      </c>
      <c r="F6" s="836">
        <f t="shared" si="5"/>
        <v>12</v>
      </c>
      <c r="G6" s="558">
        <f t="shared" si="6"/>
        <v>0.15</v>
      </c>
      <c r="H6" s="558">
        <f t="shared" si="7"/>
        <v>0.09</v>
      </c>
      <c r="I6" s="559">
        <f t="shared" si="8"/>
        <v>0</v>
      </c>
      <c r="J6" s="837">
        <f t="shared" si="9"/>
        <v>55</v>
      </c>
      <c r="K6" s="699">
        <f t="shared" si="10"/>
        <v>0.15</v>
      </c>
      <c r="L6" s="700">
        <f t="shared" si="11"/>
        <v>0.05</v>
      </c>
      <c r="M6" s="498" t="s">
        <v>688</v>
      </c>
      <c r="N6" s="845">
        <f>IFERROR(VLOOKUP(M6,BUELA,3,FALSE),"")</f>
        <v>5591904.3300000001</v>
      </c>
      <c r="O6" s="141">
        <f>(N6*1.601)*1.05</f>
        <v>9400270.7739464995</v>
      </c>
      <c r="P6" s="140" t="e">
        <f t="shared" si="12"/>
        <v>#VALUE!</v>
      </c>
      <c r="Q6" s="116" t="str">
        <f t="shared" si="13"/>
        <v/>
      </c>
      <c r="R6" s="117">
        <f t="shared" si="14"/>
        <v>7179315.0800000001</v>
      </c>
      <c r="S6" s="123">
        <f t="shared" si="15"/>
        <v>-2220955.6939464994</v>
      </c>
      <c r="T6" s="98">
        <f t="shared" si="16"/>
        <v>0.76373492345539329</v>
      </c>
      <c r="U6" s="123">
        <f t="shared" si="17"/>
        <v>4183244.14</v>
      </c>
      <c r="V6" s="332">
        <f t="shared" ref="V6:V8" si="74">(U6*1.7245)*1.05</f>
        <v>7574704.7454015007</v>
      </c>
      <c r="W6" s="113" t="e">
        <f t="shared" si="19"/>
        <v>#VALUE!</v>
      </c>
      <c r="X6" s="116" t="str">
        <f t="shared" si="20"/>
        <v/>
      </c>
      <c r="Y6" s="117">
        <f t="shared" si="21"/>
        <v>11180749.119999999</v>
      </c>
      <c r="Z6" s="114">
        <f t="shared" si="22"/>
        <v>3606044.3745984985</v>
      </c>
      <c r="AA6" s="413">
        <f t="shared" si="23"/>
        <v>1.4760640177807165</v>
      </c>
      <c r="AB6" s="125">
        <f t="shared" si="24"/>
        <v>1674229.78</v>
      </c>
      <c r="AC6" s="104">
        <v>3000000</v>
      </c>
      <c r="AD6" s="113" t="e">
        <f t="shared" si="26"/>
        <v>#VALUE!</v>
      </c>
      <c r="AE6" s="116" t="str">
        <f t="shared" si="27"/>
        <v/>
      </c>
      <c r="AF6" s="117">
        <f t="shared" si="28"/>
        <v>13220151.92</v>
      </c>
      <c r="AG6" s="114">
        <f t="shared" si="29"/>
        <v>10220151.92</v>
      </c>
      <c r="AH6" s="413">
        <f t="shared" si="30"/>
        <v>4.4067173066666667</v>
      </c>
      <c r="AI6" s="846">
        <f t="shared" si="31"/>
        <v>19974975.519347999</v>
      </c>
      <c r="AJ6" s="840">
        <f t="shared" si="32"/>
        <v>33407734.32</v>
      </c>
      <c r="AK6" s="116" t="e">
        <f t="shared" si="33"/>
        <v>#VALUE!</v>
      </c>
      <c r="AL6" s="116">
        <f t="shared" si="34"/>
        <v>0</v>
      </c>
      <c r="AM6" s="116">
        <f t="shared" si="35"/>
        <v>31580216.119999997</v>
      </c>
      <c r="AN6" s="116">
        <f t="shared" si="36"/>
        <v>-1827518.200000003</v>
      </c>
      <c r="AO6" s="413">
        <f t="shared" si="37"/>
        <v>0.94529655371133825</v>
      </c>
      <c r="AP6" s="434">
        <f t="shared" si="38"/>
        <v>3628875.07</v>
      </c>
      <c r="AQ6" s="140" t="e">
        <f t="shared" si="39"/>
        <v>#VALUE!</v>
      </c>
      <c r="AR6" s="123" t="str">
        <f t="shared" si="40"/>
        <v/>
      </c>
      <c r="AS6" s="148">
        <f t="shared" si="41"/>
        <v>5240526.1100000003</v>
      </c>
      <c r="AT6" s="123">
        <f>IFERROR(VLOOKUP(M6,BUELA,7,FALSE),"")</f>
        <v>6053986.29</v>
      </c>
      <c r="AU6" s="326" t="e">
        <f t="shared" si="42"/>
        <v>#VALUE!</v>
      </c>
      <c r="AV6" s="326" t="str">
        <f t="shared" si="43"/>
        <v/>
      </c>
      <c r="AW6" s="326">
        <f t="shared" si="44"/>
        <v>5174787.6399999997</v>
      </c>
      <c r="AX6" s="332">
        <f>IFERROR(VLOOKUP(M6,BUELA,8,FALSE),"")</f>
        <v>2199843.23</v>
      </c>
      <c r="AY6" s="140" t="e">
        <f t="shared" si="45"/>
        <v>#VALUE!</v>
      </c>
      <c r="AZ6" s="326" t="str">
        <f t="shared" si="46"/>
        <v/>
      </c>
      <c r="BA6" s="332">
        <f t="shared" si="47"/>
        <v>9996680.3200000003</v>
      </c>
      <c r="BB6" s="849" t="e">
        <f t="shared" ref="BB6:BD6" si="75">SUM(AY6,AU6,AQ6)</f>
        <v>#VALUE!</v>
      </c>
      <c r="BC6" s="326">
        <f t="shared" si="75"/>
        <v>0</v>
      </c>
      <c r="BD6" s="332">
        <f t="shared" si="75"/>
        <v>20411994.07</v>
      </c>
      <c r="BE6" s="140" t="e">
        <f t="shared" ref="BE6:BF6" si="76">SUM(BB6,AK6)</f>
        <v>#VALUE!</v>
      </c>
      <c r="BF6" s="326">
        <f t="shared" si="76"/>
        <v>0</v>
      </c>
      <c r="BG6" s="435">
        <f t="shared" si="50"/>
        <v>51992210.189999998</v>
      </c>
      <c r="BH6" s="423">
        <f>IFERROR(VLOOKUP(M6,BUELA,9,FALSE),"")</f>
        <v>0</v>
      </c>
      <c r="BI6" s="123" t="e">
        <f t="shared" si="51"/>
        <v>#VALUE!</v>
      </c>
      <c r="BJ6" s="123" t="str">
        <f t="shared" si="52"/>
        <v/>
      </c>
      <c r="BK6" s="148">
        <f t="shared" si="53"/>
        <v>1385243.39</v>
      </c>
      <c r="BL6" s="423">
        <f>IFERROR(VLOOKUP(M6,BUELA,10,FALSE),"")</f>
        <v>1139839.3700000001</v>
      </c>
      <c r="BM6" s="123" t="e">
        <f t="shared" si="54"/>
        <v>#VALUE!</v>
      </c>
      <c r="BN6" s="123" t="str">
        <f t="shared" si="55"/>
        <v/>
      </c>
      <c r="BO6" s="123">
        <f t="shared" si="56"/>
        <v>3030374.43</v>
      </c>
      <c r="BP6" s="436">
        <f>IFERROR(VLOOKUP(M6,BUELA,11,FALSE),"")</f>
        <v>495240.99</v>
      </c>
      <c r="BQ6" s="140" t="e">
        <f t="shared" si="57"/>
        <v>#VALUE!</v>
      </c>
      <c r="BR6" s="325" t="str">
        <f t="shared" si="58"/>
        <v/>
      </c>
      <c r="BS6" s="333">
        <f t="shared" si="59"/>
        <v>19391360.359999999</v>
      </c>
      <c r="BT6" s="140" t="e">
        <f t="shared" ref="BT6:BV6" si="77">SUM(BQ6,BM6,BI6)</f>
        <v>#VALUE!</v>
      </c>
      <c r="BU6" s="326">
        <f t="shared" si="77"/>
        <v>0</v>
      </c>
      <c r="BV6" s="333">
        <f t="shared" si="77"/>
        <v>23806978.18</v>
      </c>
      <c r="BW6" s="125">
        <f>IFERROR(VLOOKUP(M6,BUELA,12,FALSE),"")</f>
        <v>6023177.1600000001</v>
      </c>
      <c r="BX6" s="140" t="e">
        <f t="shared" si="61"/>
        <v>#VALUE!</v>
      </c>
      <c r="BY6" s="123" t="str">
        <f t="shared" si="62"/>
        <v/>
      </c>
      <c r="BZ6" s="148">
        <f t="shared" si="63"/>
        <v>21747027.489999998</v>
      </c>
      <c r="CA6" s="123">
        <f>IFERROR(VLOOKUP(M6,BUELA,13,FALSE),"")</f>
        <v>6920873.4400000004</v>
      </c>
      <c r="CB6" s="326">
        <f>IFERROR(VLOOKUP(M6,BUELA,14,FALSE),"")</f>
        <v>20463683.719999999</v>
      </c>
      <c r="CE6" s="850">
        <v>0.05</v>
      </c>
      <c r="CF6" s="324">
        <v>1</v>
      </c>
      <c r="CG6" s="449">
        <v>0</v>
      </c>
      <c r="CH6" s="169"/>
      <c r="CI6" s="324">
        <v>2</v>
      </c>
      <c r="CJ6" s="324">
        <v>2</v>
      </c>
      <c r="CK6" s="324">
        <v>2</v>
      </c>
      <c r="CL6" s="324">
        <v>2</v>
      </c>
      <c r="CM6" s="138">
        <v>2</v>
      </c>
      <c r="CN6" s="138">
        <v>1</v>
      </c>
      <c r="CO6" s="138">
        <v>1</v>
      </c>
      <c r="CP6" s="324">
        <v>1</v>
      </c>
    </row>
    <row r="7" spans="1:115" ht="13">
      <c r="A7" s="436">
        <f t="shared" si="0"/>
        <v>112014705</v>
      </c>
      <c r="B7" s="172">
        <f t="shared" si="1"/>
        <v>10</v>
      </c>
      <c r="C7" s="558">
        <f t="shared" si="2"/>
        <v>0.15</v>
      </c>
      <c r="D7" s="558">
        <f t="shared" si="3"/>
        <v>0.23</v>
      </c>
      <c r="E7" s="559">
        <f t="shared" si="4"/>
        <v>0</v>
      </c>
      <c r="F7" s="836">
        <f t="shared" si="5"/>
        <v>10</v>
      </c>
      <c r="G7" s="558">
        <f t="shared" si="6"/>
        <v>0.15</v>
      </c>
      <c r="H7" s="558">
        <f t="shared" si="7"/>
        <v>0.23</v>
      </c>
      <c r="I7" s="559">
        <f t="shared" si="8"/>
        <v>0</v>
      </c>
      <c r="J7" s="837">
        <f t="shared" si="9"/>
        <v>53</v>
      </c>
      <c r="K7" s="699">
        <f t="shared" si="10"/>
        <v>0.15</v>
      </c>
      <c r="L7" s="700">
        <f t="shared" si="11"/>
        <v>0.14000000000000001</v>
      </c>
      <c r="M7" s="851" t="s">
        <v>689</v>
      </c>
      <c r="N7" s="845"/>
      <c r="O7" s="174"/>
      <c r="P7" s="113" t="e">
        <f t="shared" si="12"/>
        <v>#VALUE!</v>
      </c>
      <c r="Q7" s="116" t="str">
        <f t="shared" si="13"/>
        <v/>
      </c>
      <c r="R7" s="117" t="str">
        <f t="shared" si="14"/>
        <v/>
      </c>
      <c r="S7" s="114" t="e">
        <f t="shared" si="15"/>
        <v>#VALUE!</v>
      </c>
      <c r="T7" s="413" t="str">
        <f t="shared" si="16"/>
        <v/>
      </c>
      <c r="U7" s="123" t="str">
        <f t="shared" si="17"/>
        <v/>
      </c>
      <c r="V7" s="332" t="e">
        <f t="shared" si="74"/>
        <v>#VALUE!</v>
      </c>
      <c r="W7" s="113" t="e">
        <f t="shared" si="19"/>
        <v>#VALUE!</v>
      </c>
      <c r="X7" s="116" t="str">
        <f t="shared" si="20"/>
        <v/>
      </c>
      <c r="Y7" s="117" t="str">
        <f t="shared" si="21"/>
        <v/>
      </c>
      <c r="Z7" s="114" t="e">
        <f t="shared" si="22"/>
        <v>#VALUE!</v>
      </c>
      <c r="AA7" s="413" t="str">
        <f t="shared" si="23"/>
        <v/>
      </c>
      <c r="AB7" s="125" t="str">
        <f t="shared" si="24"/>
        <v/>
      </c>
      <c r="AC7" s="174">
        <v>3000000</v>
      </c>
      <c r="AD7" s="113" t="e">
        <f t="shared" si="26"/>
        <v>#VALUE!</v>
      </c>
      <c r="AE7" s="116" t="str">
        <f t="shared" si="27"/>
        <v/>
      </c>
      <c r="AF7" s="117" t="str">
        <f t="shared" si="28"/>
        <v/>
      </c>
      <c r="AG7" s="114" t="e">
        <f t="shared" si="29"/>
        <v>#VALUE!</v>
      </c>
      <c r="AH7" s="413" t="str">
        <f t="shared" si="30"/>
        <v/>
      </c>
      <c r="AI7" s="846" t="e">
        <f t="shared" si="31"/>
        <v>#VALUE!</v>
      </c>
      <c r="AJ7" s="840" t="str">
        <f t="shared" si="32"/>
        <v/>
      </c>
      <c r="AK7" s="116" t="e">
        <f t="shared" si="33"/>
        <v>#VALUE!</v>
      </c>
      <c r="AL7" s="116">
        <f t="shared" si="34"/>
        <v>0</v>
      </c>
      <c r="AM7" s="116">
        <f t="shared" si="35"/>
        <v>0</v>
      </c>
      <c r="AN7" s="116" t="e">
        <f t="shared" si="36"/>
        <v>#VALUE!</v>
      </c>
      <c r="AO7" s="413" t="str">
        <f t="shared" ref="AO7:AO8" si="78">IFERROR(AM7/AJ7,"")</f>
        <v/>
      </c>
      <c r="AP7" s="434" t="str">
        <f t="shared" si="38"/>
        <v/>
      </c>
      <c r="AQ7" s="140" t="e">
        <f t="shared" si="39"/>
        <v>#VALUE!</v>
      </c>
      <c r="AR7" s="123" t="str">
        <f t="shared" si="40"/>
        <v/>
      </c>
      <c r="AS7" s="148" t="str">
        <f t="shared" si="41"/>
        <v/>
      </c>
      <c r="AT7" s="123"/>
      <c r="AU7" s="326" t="e">
        <f t="shared" si="42"/>
        <v>#VALUE!</v>
      </c>
      <c r="AV7" s="326" t="str">
        <f t="shared" si="43"/>
        <v/>
      </c>
      <c r="AW7" s="326" t="str">
        <f t="shared" si="44"/>
        <v/>
      </c>
      <c r="AX7" s="332"/>
      <c r="AY7" s="140" t="e">
        <f t="shared" si="45"/>
        <v>#VALUE!</v>
      </c>
      <c r="AZ7" s="326" t="str">
        <f t="shared" si="46"/>
        <v/>
      </c>
      <c r="BA7" s="332" t="str">
        <f t="shared" si="47"/>
        <v/>
      </c>
      <c r="BB7" s="844" t="e">
        <f t="shared" ref="BB7:BD7" si="79">SUM(AY7,AU7,AQ7)</f>
        <v>#VALUE!</v>
      </c>
      <c r="BC7" s="326">
        <f t="shared" si="79"/>
        <v>0</v>
      </c>
      <c r="BD7" s="332">
        <f t="shared" si="79"/>
        <v>0</v>
      </c>
      <c r="BE7" s="140" t="e">
        <f t="shared" ref="BE7:BF7" si="80">SUM(BB7,AK7)</f>
        <v>#VALUE!</v>
      </c>
      <c r="BF7" s="326">
        <f t="shared" si="80"/>
        <v>0</v>
      </c>
      <c r="BG7" s="435">
        <f t="shared" si="50"/>
        <v>0</v>
      </c>
      <c r="BH7" s="423"/>
      <c r="BI7" s="123" t="e">
        <f t="shared" si="51"/>
        <v>#VALUE!</v>
      </c>
      <c r="BJ7" s="123" t="str">
        <f t="shared" si="52"/>
        <v/>
      </c>
      <c r="BK7" s="148" t="str">
        <f t="shared" si="53"/>
        <v/>
      </c>
      <c r="BL7" s="423"/>
      <c r="BM7" s="123" t="e">
        <f t="shared" si="54"/>
        <v>#VALUE!</v>
      </c>
      <c r="BN7" s="123" t="str">
        <f t="shared" si="55"/>
        <v/>
      </c>
      <c r="BO7" s="123" t="str">
        <f t="shared" si="56"/>
        <v/>
      </c>
      <c r="BP7" s="436"/>
      <c r="BQ7" s="140" t="e">
        <f t="shared" si="57"/>
        <v>#VALUE!</v>
      </c>
      <c r="BR7" s="325" t="str">
        <f t="shared" si="58"/>
        <v/>
      </c>
      <c r="BS7" s="333" t="str">
        <f t="shared" si="59"/>
        <v/>
      </c>
      <c r="BT7" s="140" t="e">
        <f t="shared" ref="BT7:BV7" si="81">SUM(BQ7,BM7,BI7)</f>
        <v>#VALUE!</v>
      </c>
      <c r="BU7" s="326">
        <f t="shared" si="81"/>
        <v>0</v>
      </c>
      <c r="BV7" s="333">
        <f t="shared" si="81"/>
        <v>0</v>
      </c>
      <c r="BW7" s="125"/>
      <c r="BX7" s="140" t="e">
        <f t="shared" si="61"/>
        <v>#VALUE!</v>
      </c>
      <c r="BY7" s="123" t="str">
        <f t="shared" si="62"/>
        <v/>
      </c>
      <c r="BZ7" s="148" t="str">
        <f t="shared" si="63"/>
        <v/>
      </c>
      <c r="CA7" s="123"/>
      <c r="CB7" s="326"/>
      <c r="CE7" s="852" t="s">
        <v>4</v>
      </c>
      <c r="CF7" s="449">
        <v>96</v>
      </c>
      <c r="CG7" s="449">
        <v>45</v>
      </c>
      <c r="CH7" s="169">
        <v>52</v>
      </c>
      <c r="CI7" s="449">
        <v>75</v>
      </c>
      <c r="CJ7" s="449">
        <v>74</v>
      </c>
      <c r="CK7" s="449">
        <v>74</v>
      </c>
      <c r="CL7" s="449">
        <v>65</v>
      </c>
      <c r="CM7" s="169">
        <v>65</v>
      </c>
      <c r="CN7" s="169">
        <v>95</v>
      </c>
      <c r="CO7" s="169">
        <v>97</v>
      </c>
      <c r="CP7" s="449">
        <v>96</v>
      </c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</row>
    <row r="8" spans="1:115" ht="13">
      <c r="A8" s="436">
        <f t="shared" si="0"/>
        <v>112014766</v>
      </c>
      <c r="B8" s="172" t="e">
        <f t="shared" si="1"/>
        <v>#N/A</v>
      </c>
      <c r="C8" s="558" t="str">
        <f t="shared" si="2"/>
        <v/>
      </c>
      <c r="D8" s="558" t="str">
        <f t="shared" si="3"/>
        <v/>
      </c>
      <c r="E8" s="559" t="str">
        <f t="shared" si="4"/>
        <v/>
      </c>
      <c r="F8" s="836">
        <f t="shared" si="5"/>
        <v>10</v>
      </c>
      <c r="G8" s="558">
        <f t="shared" si="6"/>
        <v>0.15</v>
      </c>
      <c r="H8" s="558">
        <f t="shared" si="7"/>
        <v>0.23</v>
      </c>
      <c r="I8" s="559">
        <f t="shared" si="8"/>
        <v>0</v>
      </c>
      <c r="J8" s="837">
        <f t="shared" si="9"/>
        <v>53</v>
      </c>
      <c r="K8" s="699">
        <f t="shared" si="10"/>
        <v>0.15</v>
      </c>
      <c r="L8" s="700">
        <f t="shared" si="11"/>
        <v>0.14000000000000001</v>
      </c>
      <c r="M8" s="498" t="s">
        <v>690</v>
      </c>
      <c r="N8" s="845"/>
      <c r="O8" s="174"/>
      <c r="P8" s="113">
        <f t="shared" si="12"/>
        <v>0</v>
      </c>
      <c r="Q8" s="116">
        <f t="shared" si="13"/>
        <v>0</v>
      </c>
      <c r="R8" s="117">
        <f t="shared" si="14"/>
        <v>0</v>
      </c>
      <c r="S8" s="114">
        <f t="shared" si="15"/>
        <v>0</v>
      </c>
      <c r="T8" s="413" t="str">
        <f t="shared" si="16"/>
        <v/>
      </c>
      <c r="U8" s="123" t="str">
        <f t="shared" si="17"/>
        <v/>
      </c>
      <c r="V8" s="141" t="e">
        <f t="shared" si="74"/>
        <v>#VALUE!</v>
      </c>
      <c r="W8" s="113">
        <f t="shared" si="19"/>
        <v>0</v>
      </c>
      <c r="X8" s="116">
        <f t="shared" si="20"/>
        <v>0</v>
      </c>
      <c r="Y8" s="117">
        <f t="shared" si="21"/>
        <v>0</v>
      </c>
      <c r="Z8" s="123" t="e">
        <f t="shared" si="22"/>
        <v>#VALUE!</v>
      </c>
      <c r="AA8" s="98" t="str">
        <f t="shared" si="23"/>
        <v/>
      </c>
      <c r="AB8" s="123" t="str">
        <f t="shared" si="24"/>
        <v/>
      </c>
      <c r="AC8" s="432">
        <v>3000000</v>
      </c>
      <c r="AD8" s="113">
        <f t="shared" si="26"/>
        <v>0</v>
      </c>
      <c r="AE8" s="116">
        <f t="shared" si="27"/>
        <v>0</v>
      </c>
      <c r="AF8" s="117">
        <f t="shared" si="28"/>
        <v>0</v>
      </c>
      <c r="AG8" s="123">
        <f t="shared" si="29"/>
        <v>-3000000</v>
      </c>
      <c r="AH8" s="494">
        <f t="shared" si="30"/>
        <v>0</v>
      </c>
      <c r="AI8" s="846" t="e">
        <f t="shared" si="31"/>
        <v>#VALUE!</v>
      </c>
      <c r="AJ8" s="840" t="str">
        <f t="shared" si="32"/>
        <v/>
      </c>
      <c r="AK8" s="326">
        <f t="shared" si="33"/>
        <v>0</v>
      </c>
      <c r="AL8" s="326">
        <f t="shared" si="34"/>
        <v>0</v>
      </c>
      <c r="AM8" s="326">
        <f t="shared" si="35"/>
        <v>0</v>
      </c>
      <c r="AN8" s="116" t="e">
        <f t="shared" si="36"/>
        <v>#VALUE!</v>
      </c>
      <c r="AO8" s="413" t="str">
        <f t="shared" si="78"/>
        <v/>
      </c>
      <c r="AP8" s="434" t="str">
        <f t="shared" si="38"/>
        <v/>
      </c>
      <c r="AQ8" s="140">
        <f t="shared" si="39"/>
        <v>0</v>
      </c>
      <c r="AR8" s="123">
        <f t="shared" si="40"/>
        <v>0</v>
      </c>
      <c r="AS8" s="148">
        <f t="shared" si="41"/>
        <v>0</v>
      </c>
      <c r="AT8" s="123"/>
      <c r="AU8" s="326">
        <f t="shared" si="42"/>
        <v>0</v>
      </c>
      <c r="AV8" s="326">
        <f t="shared" si="43"/>
        <v>0</v>
      </c>
      <c r="AW8" s="326">
        <f t="shared" si="44"/>
        <v>0</v>
      </c>
      <c r="AX8" s="332"/>
      <c r="AY8" s="140">
        <f t="shared" si="45"/>
        <v>0</v>
      </c>
      <c r="AZ8" s="326">
        <f t="shared" si="46"/>
        <v>0</v>
      </c>
      <c r="BA8" s="332">
        <f t="shared" si="47"/>
        <v>0</v>
      </c>
      <c r="BB8" s="844">
        <f t="shared" ref="BB8:BD8" si="82">SUM(AY8,AU8,AQ8)</f>
        <v>0</v>
      </c>
      <c r="BC8" s="326">
        <f t="shared" si="82"/>
        <v>0</v>
      </c>
      <c r="BD8" s="332">
        <f t="shared" si="82"/>
        <v>0</v>
      </c>
      <c r="BE8" s="140">
        <f t="shared" ref="BE8:BF8" si="83">SUM(BB8,AK8)</f>
        <v>0</v>
      </c>
      <c r="BF8" s="326">
        <f t="shared" si="83"/>
        <v>0</v>
      </c>
      <c r="BG8" s="435">
        <f t="shared" si="50"/>
        <v>0</v>
      </c>
      <c r="BH8" s="423"/>
      <c r="BI8" s="123">
        <f t="shared" si="51"/>
        <v>0</v>
      </c>
      <c r="BJ8" s="123">
        <f t="shared" si="52"/>
        <v>0</v>
      </c>
      <c r="BK8" s="148">
        <f t="shared" si="53"/>
        <v>0</v>
      </c>
      <c r="BL8" s="423"/>
      <c r="BM8" s="123">
        <f t="shared" si="54"/>
        <v>0</v>
      </c>
      <c r="BN8" s="123">
        <f t="shared" si="55"/>
        <v>0</v>
      </c>
      <c r="BO8" s="123">
        <f t="shared" si="56"/>
        <v>0</v>
      </c>
      <c r="BP8" s="436"/>
      <c r="BQ8" s="140">
        <f t="shared" si="57"/>
        <v>920521.54</v>
      </c>
      <c r="BR8" s="325">
        <f t="shared" si="58"/>
        <v>870656.56</v>
      </c>
      <c r="BS8" s="333">
        <f t="shared" si="59"/>
        <v>1791178.1</v>
      </c>
      <c r="BT8" s="140">
        <f t="shared" ref="BT8:BV8" si="84">SUM(BQ8,BM8,BI8)</f>
        <v>920521.54</v>
      </c>
      <c r="BU8" s="326">
        <f t="shared" si="84"/>
        <v>870656.56</v>
      </c>
      <c r="BV8" s="333">
        <f t="shared" si="84"/>
        <v>1791178.1</v>
      </c>
      <c r="BW8" s="125"/>
      <c r="BX8" s="140">
        <f t="shared" si="61"/>
        <v>4478063.9399999995</v>
      </c>
      <c r="BY8" s="123">
        <f t="shared" si="62"/>
        <v>1093078.08</v>
      </c>
      <c r="BZ8" s="148">
        <f t="shared" si="63"/>
        <v>5571142.0199999996</v>
      </c>
      <c r="CA8" s="123"/>
      <c r="CB8" s="326"/>
      <c r="CE8" s="853" t="s">
        <v>17</v>
      </c>
      <c r="CF8" s="854">
        <f t="shared" ref="CF8:CP8" si="85">SUM(CF2:CF7)</f>
        <v>128</v>
      </c>
      <c r="CG8" s="854">
        <f t="shared" si="85"/>
        <v>87</v>
      </c>
      <c r="CH8" s="855">
        <f t="shared" si="85"/>
        <v>88</v>
      </c>
      <c r="CI8" s="855">
        <f t="shared" si="85"/>
        <v>122</v>
      </c>
      <c r="CJ8" s="856">
        <f t="shared" si="85"/>
        <v>125</v>
      </c>
      <c r="CK8" s="856">
        <f t="shared" si="85"/>
        <v>126</v>
      </c>
      <c r="CL8" s="856">
        <f t="shared" si="85"/>
        <v>118</v>
      </c>
      <c r="CM8" s="857">
        <f t="shared" si="85"/>
        <v>119</v>
      </c>
      <c r="CN8" s="857">
        <f t="shared" si="85"/>
        <v>124</v>
      </c>
      <c r="CO8" s="857">
        <f t="shared" si="85"/>
        <v>129</v>
      </c>
      <c r="CP8" s="856">
        <f t="shared" si="85"/>
        <v>128</v>
      </c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/>
      <c r="DK8" s="136"/>
    </row>
    <row r="9" spans="1:115" ht="13">
      <c r="A9" s="436">
        <f t="shared" si="0"/>
        <v>112014465</v>
      </c>
      <c r="B9" s="172">
        <f t="shared" si="1"/>
        <v>11</v>
      </c>
      <c r="C9" s="558">
        <f t="shared" si="2"/>
        <v>0.15</v>
      </c>
      <c r="D9" s="558">
        <f t="shared" si="3"/>
        <v>0.2</v>
      </c>
      <c r="E9" s="559">
        <f t="shared" si="4"/>
        <v>0</v>
      </c>
      <c r="F9" s="836">
        <f t="shared" si="5"/>
        <v>11</v>
      </c>
      <c r="G9" s="558">
        <f t="shared" si="6"/>
        <v>0.15</v>
      </c>
      <c r="H9" s="558">
        <f t="shared" si="7"/>
        <v>0.2</v>
      </c>
      <c r="I9" s="559">
        <f t="shared" si="8"/>
        <v>0</v>
      </c>
      <c r="J9" s="837">
        <f t="shared" si="9"/>
        <v>54</v>
      </c>
      <c r="K9" s="699">
        <f t="shared" si="10"/>
        <v>0.15</v>
      </c>
      <c r="L9" s="700">
        <f t="shared" si="11"/>
        <v>0.11</v>
      </c>
      <c r="M9" s="498" t="s">
        <v>691</v>
      </c>
      <c r="N9" s="845">
        <f>IFERROR(VLOOKUP(M9,BUELA,3,FALSE),"")</f>
        <v>0</v>
      </c>
      <c r="O9" s="174">
        <v>3000000</v>
      </c>
      <c r="P9" s="113">
        <f t="shared" si="12"/>
        <v>2111466.7799999998</v>
      </c>
      <c r="Q9" s="116">
        <f t="shared" si="13"/>
        <v>1490967.77</v>
      </c>
      <c r="R9" s="117">
        <f t="shared" si="14"/>
        <v>3602434.55</v>
      </c>
      <c r="S9" s="114">
        <f t="shared" si="15"/>
        <v>602434.54999999981</v>
      </c>
      <c r="T9" s="413">
        <f t="shared" si="16"/>
        <v>1.2008115166666666</v>
      </c>
      <c r="U9" s="123">
        <f t="shared" si="17"/>
        <v>0</v>
      </c>
      <c r="V9" s="432">
        <v>3000001</v>
      </c>
      <c r="W9" s="113">
        <f t="shared" si="19"/>
        <v>5008263.72</v>
      </c>
      <c r="X9" s="116">
        <f t="shared" si="20"/>
        <v>0</v>
      </c>
      <c r="Y9" s="117">
        <f t="shared" si="21"/>
        <v>5008263.72</v>
      </c>
      <c r="Z9" s="114">
        <f t="shared" si="22"/>
        <v>2008262.7199999997</v>
      </c>
      <c r="AA9" s="413">
        <f t="shared" si="23"/>
        <v>1.6694206835264387</v>
      </c>
      <c r="AB9" s="125">
        <f t="shared" si="24"/>
        <v>0</v>
      </c>
      <c r="AC9" s="174">
        <v>3000000</v>
      </c>
      <c r="AD9" s="113">
        <f t="shared" si="26"/>
        <v>1052376.83</v>
      </c>
      <c r="AE9" s="116">
        <f t="shared" si="27"/>
        <v>0</v>
      </c>
      <c r="AF9" s="117">
        <f t="shared" si="28"/>
        <v>1052376.83</v>
      </c>
      <c r="AG9" s="114">
        <f t="shared" si="29"/>
        <v>-1947623.17</v>
      </c>
      <c r="AH9" s="413">
        <f t="shared" si="30"/>
        <v>0.35079227666666668</v>
      </c>
      <c r="AI9" s="846">
        <f t="shared" si="31"/>
        <v>9000001</v>
      </c>
      <c r="AJ9" s="840">
        <f t="shared" si="32"/>
        <v>19765248.219999999</v>
      </c>
      <c r="AK9" s="116">
        <f t="shared" si="33"/>
        <v>8172107.3300000001</v>
      </c>
      <c r="AL9" s="116">
        <f t="shared" si="34"/>
        <v>1490967.77</v>
      </c>
      <c r="AM9" s="116">
        <f t="shared" si="35"/>
        <v>9663075.0999999996</v>
      </c>
      <c r="AN9" s="116">
        <f t="shared" si="36"/>
        <v>-10102173.119999999</v>
      </c>
      <c r="AO9" s="413">
        <f t="shared" ref="AO9:AO15" si="86">AM9/AJ9</f>
        <v>0.48889217036101557</v>
      </c>
      <c r="AP9" s="434">
        <f t="shared" si="38"/>
        <v>0</v>
      </c>
      <c r="AQ9" s="140">
        <f t="shared" si="39"/>
        <v>2817773.52</v>
      </c>
      <c r="AR9" s="123">
        <f t="shared" si="40"/>
        <v>0</v>
      </c>
      <c r="AS9" s="148">
        <f t="shared" si="41"/>
        <v>2817773.52</v>
      </c>
      <c r="AT9" s="123">
        <f>IFERROR(VLOOKUP(M9,BUELA,7,FALSE),"")</f>
        <v>0</v>
      </c>
      <c r="AU9" s="326">
        <f t="shared" si="42"/>
        <v>5853879.6900000004</v>
      </c>
      <c r="AV9" s="326">
        <f t="shared" si="43"/>
        <v>0</v>
      </c>
      <c r="AW9" s="326">
        <f t="shared" si="44"/>
        <v>5853879.6900000004</v>
      </c>
      <c r="AX9" s="332">
        <f>IFERROR(VLOOKUP(M9,BUELA,8,FALSE),"")</f>
        <v>261836.76</v>
      </c>
      <c r="AY9" s="140">
        <f t="shared" si="45"/>
        <v>672828.54</v>
      </c>
      <c r="AZ9" s="326">
        <f t="shared" si="46"/>
        <v>146627.1</v>
      </c>
      <c r="BA9" s="332">
        <f t="shared" si="47"/>
        <v>819455.64</v>
      </c>
      <c r="BB9" s="844">
        <f t="shared" ref="BB9:BD9" si="87">SUM(AY9,AU9,AQ9)</f>
        <v>9344481.75</v>
      </c>
      <c r="BC9" s="326">
        <f t="shared" si="87"/>
        <v>146627.1</v>
      </c>
      <c r="BD9" s="332">
        <f t="shared" si="87"/>
        <v>9491108.8499999996</v>
      </c>
      <c r="BE9" s="140">
        <f t="shared" ref="BE9:BF9" si="88">SUM(BB9,AK9)</f>
        <v>17516589.079999998</v>
      </c>
      <c r="BF9" s="326">
        <f t="shared" si="88"/>
        <v>1637594.87</v>
      </c>
      <c r="BG9" s="435">
        <f t="shared" si="50"/>
        <v>19154183.949999999</v>
      </c>
      <c r="BH9" s="423">
        <f>IFERROR(VLOOKUP(M9,BUELA,9,FALSE),"")</f>
        <v>274199.95</v>
      </c>
      <c r="BI9" s="123">
        <f t="shared" si="51"/>
        <v>2692602.53</v>
      </c>
      <c r="BJ9" s="123">
        <f t="shared" si="52"/>
        <v>0</v>
      </c>
      <c r="BK9" s="148">
        <f t="shared" si="53"/>
        <v>2692602.53</v>
      </c>
      <c r="BL9" s="423">
        <f>IFERROR(VLOOKUP(M9,BUELA,10,FALSE),"")</f>
        <v>0</v>
      </c>
      <c r="BM9" s="123">
        <f t="shared" si="54"/>
        <v>2680200.0099999998</v>
      </c>
      <c r="BN9" s="123">
        <f t="shared" si="55"/>
        <v>155288</v>
      </c>
      <c r="BO9" s="123">
        <f t="shared" si="56"/>
        <v>2835488.01</v>
      </c>
      <c r="BP9" s="436">
        <f>IFERROR(VLOOKUP(M9,BUELA,11,FALSE),"")</f>
        <v>2219040.9</v>
      </c>
      <c r="BQ9" s="140">
        <f t="shared" si="57"/>
        <v>424112.26</v>
      </c>
      <c r="BR9" s="325">
        <f t="shared" si="58"/>
        <v>0</v>
      </c>
      <c r="BS9" s="333">
        <f t="shared" si="59"/>
        <v>424112.26</v>
      </c>
      <c r="BT9" s="140">
        <f t="shared" ref="BT9:BV9" si="89">SUM(BQ9,BM9,BI9)</f>
        <v>5796914.7999999989</v>
      </c>
      <c r="BU9" s="326">
        <f t="shared" si="89"/>
        <v>155288</v>
      </c>
      <c r="BV9" s="333">
        <f t="shared" si="89"/>
        <v>5952202.7999999989</v>
      </c>
      <c r="BW9" s="125">
        <f>IFERROR(VLOOKUP(M9,BUELA,12,FALSE),"")</f>
        <v>9265298.4100000001</v>
      </c>
      <c r="BX9" s="140">
        <f t="shared" si="61"/>
        <v>2251606.73</v>
      </c>
      <c r="BY9" s="123">
        <f t="shared" si="62"/>
        <v>155288</v>
      </c>
      <c r="BZ9" s="148">
        <f t="shared" si="63"/>
        <v>2406894.73</v>
      </c>
      <c r="CA9" s="123">
        <f>IFERROR(VLOOKUP(M9,BUELA,13,FALSE),"")</f>
        <v>7317398.9699999997</v>
      </c>
      <c r="CB9" s="326">
        <f>IFERROR(VLOOKUP(M9,BUELA,14,FALSE),"")</f>
        <v>3182550.85</v>
      </c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</row>
    <row r="10" spans="1:115" ht="13">
      <c r="A10" s="436">
        <f t="shared" si="0"/>
        <v>112014776</v>
      </c>
      <c r="B10" s="172" t="e">
        <f t="shared" si="1"/>
        <v>#N/A</v>
      </c>
      <c r="C10" s="558" t="str">
        <f t="shared" si="2"/>
        <v/>
      </c>
      <c r="D10" s="558" t="str">
        <f t="shared" si="3"/>
        <v/>
      </c>
      <c r="E10" s="559" t="str">
        <f t="shared" si="4"/>
        <v/>
      </c>
      <c r="F10" s="836" t="e">
        <f t="shared" si="5"/>
        <v>#N/A</v>
      </c>
      <c r="G10" s="558" t="str">
        <f t="shared" si="6"/>
        <v/>
      </c>
      <c r="H10" s="558" t="str">
        <f t="shared" si="7"/>
        <v/>
      </c>
      <c r="I10" s="559" t="str">
        <f t="shared" si="8"/>
        <v/>
      </c>
      <c r="J10" s="837">
        <f t="shared" si="9"/>
        <v>53</v>
      </c>
      <c r="K10" s="699">
        <f t="shared" si="10"/>
        <v>0.15</v>
      </c>
      <c r="L10" s="700">
        <f t="shared" si="11"/>
        <v>0.14000000000000001</v>
      </c>
      <c r="M10" s="858" t="s">
        <v>692</v>
      </c>
      <c r="N10" s="434"/>
      <c r="O10" s="141"/>
      <c r="P10" s="113" t="e">
        <f t="shared" si="12"/>
        <v>#VALUE!</v>
      </c>
      <c r="Q10" s="116" t="str">
        <f t="shared" si="13"/>
        <v/>
      </c>
      <c r="R10" s="117" t="str">
        <f t="shared" si="14"/>
        <v/>
      </c>
      <c r="S10" s="114" t="e">
        <f t="shared" si="15"/>
        <v>#VALUE!</v>
      </c>
      <c r="T10" s="413" t="str">
        <f t="shared" si="16"/>
        <v/>
      </c>
      <c r="U10" s="123" t="str">
        <f t="shared" si="17"/>
        <v/>
      </c>
      <c r="V10" s="332"/>
      <c r="W10" s="113" t="e">
        <f t="shared" si="19"/>
        <v>#VALUE!</v>
      </c>
      <c r="X10" s="116" t="str">
        <f t="shared" si="20"/>
        <v/>
      </c>
      <c r="Y10" s="117" t="str">
        <f t="shared" si="21"/>
        <v/>
      </c>
      <c r="Z10" s="114" t="e">
        <f t="shared" si="22"/>
        <v>#VALUE!</v>
      </c>
      <c r="AA10" s="413" t="str">
        <f t="shared" si="23"/>
        <v/>
      </c>
      <c r="AB10" s="125" t="str">
        <f t="shared" si="24"/>
        <v/>
      </c>
      <c r="AC10" s="141" t="e">
        <f t="shared" ref="AC10:AC13" si="90">(AB10*1.5955)*1.03</f>
        <v>#VALUE!</v>
      </c>
      <c r="AD10" s="113" t="e">
        <f t="shared" si="26"/>
        <v>#VALUE!</v>
      </c>
      <c r="AE10" s="116" t="str">
        <f t="shared" si="27"/>
        <v/>
      </c>
      <c r="AF10" s="117" t="str">
        <f t="shared" si="28"/>
        <v/>
      </c>
      <c r="AG10" s="114" t="e">
        <f t="shared" si="29"/>
        <v>#VALUE!</v>
      </c>
      <c r="AH10" s="413" t="str">
        <f t="shared" si="30"/>
        <v/>
      </c>
      <c r="AI10" s="846" t="e">
        <f t="shared" si="31"/>
        <v>#VALUE!</v>
      </c>
      <c r="AJ10" s="840" t="str">
        <f t="shared" si="32"/>
        <v/>
      </c>
      <c r="AK10" s="116" t="e">
        <f t="shared" si="33"/>
        <v>#VALUE!</v>
      </c>
      <c r="AL10" s="116">
        <f t="shared" si="34"/>
        <v>0</v>
      </c>
      <c r="AM10" s="116">
        <f t="shared" si="35"/>
        <v>0</v>
      </c>
      <c r="AN10" s="116" t="e">
        <f t="shared" si="36"/>
        <v>#VALUE!</v>
      </c>
      <c r="AO10" s="413" t="e">
        <f t="shared" si="86"/>
        <v>#VALUE!</v>
      </c>
      <c r="AP10" s="434"/>
      <c r="AQ10" s="140" t="e">
        <f t="shared" si="39"/>
        <v>#VALUE!</v>
      </c>
      <c r="AR10" s="123" t="str">
        <f t="shared" si="40"/>
        <v/>
      </c>
      <c r="AS10" s="148" t="str">
        <f t="shared" si="41"/>
        <v/>
      </c>
      <c r="AT10" s="123"/>
      <c r="AU10" s="326" t="e">
        <f t="shared" si="42"/>
        <v>#VALUE!</v>
      </c>
      <c r="AV10" s="326" t="str">
        <f t="shared" si="43"/>
        <v/>
      </c>
      <c r="AW10" s="326" t="str">
        <f t="shared" si="44"/>
        <v/>
      </c>
      <c r="AX10" s="332"/>
      <c r="AY10" s="140" t="e">
        <f t="shared" si="45"/>
        <v>#VALUE!</v>
      </c>
      <c r="AZ10" s="326" t="str">
        <f t="shared" si="46"/>
        <v/>
      </c>
      <c r="BA10" s="332" t="str">
        <f t="shared" si="47"/>
        <v/>
      </c>
      <c r="BB10" s="844" t="e">
        <f t="shared" ref="BB10:BD10" si="91">SUM(AY10,AU10,AQ10)</f>
        <v>#VALUE!</v>
      </c>
      <c r="BC10" s="326">
        <f t="shared" si="91"/>
        <v>0</v>
      </c>
      <c r="BD10" s="332">
        <f t="shared" si="91"/>
        <v>0</v>
      </c>
      <c r="BE10" s="140" t="e">
        <f t="shared" ref="BE10:BF10" si="92">SUM(BB10,AK10)</f>
        <v>#VALUE!</v>
      </c>
      <c r="BF10" s="326">
        <f t="shared" si="92"/>
        <v>0</v>
      </c>
      <c r="BG10" s="435">
        <f t="shared" si="50"/>
        <v>0</v>
      </c>
      <c r="BH10" s="423"/>
      <c r="BI10" s="123" t="e">
        <f t="shared" si="51"/>
        <v>#VALUE!</v>
      </c>
      <c r="BJ10" s="123" t="str">
        <f t="shared" si="52"/>
        <v/>
      </c>
      <c r="BK10" s="148" t="str">
        <f t="shared" si="53"/>
        <v/>
      </c>
      <c r="BL10" s="423"/>
      <c r="BM10" s="123" t="e">
        <f t="shared" si="54"/>
        <v>#VALUE!</v>
      </c>
      <c r="BN10" s="123" t="str">
        <f t="shared" si="55"/>
        <v/>
      </c>
      <c r="BO10" s="123" t="str">
        <f t="shared" si="56"/>
        <v/>
      </c>
      <c r="BP10" s="436"/>
      <c r="BQ10" s="140" t="e">
        <f t="shared" si="57"/>
        <v>#VALUE!</v>
      </c>
      <c r="BR10" s="325" t="str">
        <f t="shared" si="58"/>
        <v/>
      </c>
      <c r="BS10" s="333" t="str">
        <f t="shared" si="59"/>
        <v/>
      </c>
      <c r="BT10" s="140" t="e">
        <f t="shared" ref="BT10:BV10" si="93">SUM(BQ10,BM10,BI10)</f>
        <v>#VALUE!</v>
      </c>
      <c r="BU10" s="326">
        <f t="shared" si="93"/>
        <v>0</v>
      </c>
      <c r="BV10" s="333">
        <f t="shared" si="93"/>
        <v>0</v>
      </c>
      <c r="BW10" s="125"/>
      <c r="BX10" s="140" t="e">
        <f t="shared" si="61"/>
        <v>#VALUE!</v>
      </c>
      <c r="BY10" s="123" t="str">
        <f t="shared" si="62"/>
        <v/>
      </c>
      <c r="BZ10" s="148" t="str">
        <f t="shared" si="63"/>
        <v/>
      </c>
      <c r="CA10" s="123"/>
      <c r="CB10" s="326"/>
      <c r="CM10" s="171"/>
      <c r="CN10" s="171"/>
      <c r="CO10" s="171"/>
      <c r="CP10" s="171"/>
      <c r="CQ10" s="171"/>
      <c r="CR10" s="171"/>
      <c r="CS10" s="171"/>
      <c r="CT10" s="171"/>
      <c r="CU10" s="171"/>
      <c r="CV10" s="171"/>
      <c r="CW10" s="171"/>
      <c r="CX10" s="171"/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71"/>
    </row>
    <row r="11" spans="1:115" ht="13">
      <c r="A11" s="436">
        <f t="shared" si="0"/>
        <v>112013693</v>
      </c>
      <c r="B11" s="172">
        <f t="shared" si="1"/>
        <v>9</v>
      </c>
      <c r="C11" s="558">
        <f t="shared" si="2"/>
        <v>0.12</v>
      </c>
      <c r="D11" s="558">
        <f t="shared" si="3"/>
        <v>0.23</v>
      </c>
      <c r="E11" s="559">
        <f t="shared" si="4"/>
        <v>0</v>
      </c>
      <c r="F11" s="836">
        <f t="shared" si="5"/>
        <v>9</v>
      </c>
      <c r="G11" s="558">
        <f t="shared" si="6"/>
        <v>0.12</v>
      </c>
      <c r="H11" s="558">
        <f t="shared" si="7"/>
        <v>0.23</v>
      </c>
      <c r="I11" s="559">
        <f t="shared" si="8"/>
        <v>0</v>
      </c>
      <c r="J11" s="837">
        <f t="shared" si="9"/>
        <v>53</v>
      </c>
      <c r="K11" s="699">
        <f t="shared" si="10"/>
        <v>0.15</v>
      </c>
      <c r="L11" s="700">
        <f t="shared" si="11"/>
        <v>0.14000000000000001</v>
      </c>
      <c r="M11" s="498" t="s">
        <v>693</v>
      </c>
      <c r="N11" s="845">
        <f>IFERROR(VLOOKUP(M11,BUELA,3,FALSE),"")</f>
        <v>4010056.93</v>
      </c>
      <c r="O11" s="141">
        <f>(N11*1.601)*1.05</f>
        <v>6741106.202176501</v>
      </c>
      <c r="P11" s="113">
        <f t="shared" si="12"/>
        <v>534025.40000000037</v>
      </c>
      <c r="Q11" s="116">
        <f t="shared" si="13"/>
        <v>5084491.38</v>
      </c>
      <c r="R11" s="117">
        <f t="shared" si="14"/>
        <v>5618516.7800000003</v>
      </c>
      <c r="S11" s="114">
        <f t="shared" si="15"/>
        <v>-1122589.4221765008</v>
      </c>
      <c r="T11" s="413">
        <f t="shared" si="16"/>
        <v>0.83347103746651396</v>
      </c>
      <c r="U11" s="123">
        <f t="shared" si="17"/>
        <v>1099692.6000000001</v>
      </c>
      <c r="V11" s="432">
        <v>3000000</v>
      </c>
      <c r="W11" s="113">
        <f t="shared" si="19"/>
        <v>420333.06000000006</v>
      </c>
      <c r="X11" s="116">
        <f t="shared" si="20"/>
        <v>1299301.97</v>
      </c>
      <c r="Y11" s="117">
        <f t="shared" si="21"/>
        <v>1719635.03</v>
      </c>
      <c r="Z11" s="123">
        <f t="shared" si="22"/>
        <v>-1280364.97</v>
      </c>
      <c r="AA11" s="98">
        <f t="shared" si="23"/>
        <v>0.57321167666666673</v>
      </c>
      <c r="AB11" s="123">
        <f t="shared" si="24"/>
        <v>4216543.6900000004</v>
      </c>
      <c r="AC11" s="332">
        <f t="shared" si="90"/>
        <v>6929320.3211168507</v>
      </c>
      <c r="AD11" s="113">
        <f t="shared" si="26"/>
        <v>2579441.8499999996</v>
      </c>
      <c r="AE11" s="116">
        <f t="shared" si="27"/>
        <v>5456307.4199999999</v>
      </c>
      <c r="AF11" s="117">
        <f t="shared" si="28"/>
        <v>8035749.2699999996</v>
      </c>
      <c r="AG11" s="123">
        <f t="shared" si="29"/>
        <v>1106428.9488831488</v>
      </c>
      <c r="AH11" s="494">
        <f t="shared" si="30"/>
        <v>1.1596735174027599</v>
      </c>
      <c r="AI11" s="846">
        <f t="shared" si="31"/>
        <v>16670426.52329335</v>
      </c>
      <c r="AJ11" s="840">
        <f t="shared" si="32"/>
        <v>11948114.33</v>
      </c>
      <c r="AK11" s="326">
        <f t="shared" si="33"/>
        <v>3533800.31</v>
      </c>
      <c r="AL11" s="326">
        <f t="shared" si="34"/>
        <v>13139402.739999998</v>
      </c>
      <c r="AM11" s="326">
        <f t="shared" si="35"/>
        <v>15373901.079999998</v>
      </c>
      <c r="AN11" s="116">
        <f t="shared" si="36"/>
        <v>3425786.7499999981</v>
      </c>
      <c r="AO11" s="413">
        <f t="shared" si="86"/>
        <v>1.2867219592466017</v>
      </c>
      <c r="AP11" s="434">
        <f>IFERROR(VLOOKUP(M11,BUELA,6,FALSE),"")</f>
        <v>2401917.19</v>
      </c>
      <c r="AQ11" s="140">
        <f t="shared" si="39"/>
        <v>1225897.5900000003</v>
      </c>
      <c r="AR11" s="123">
        <f t="shared" si="40"/>
        <v>3189663.98</v>
      </c>
      <c r="AS11" s="148">
        <f t="shared" si="41"/>
        <v>4415561.57</v>
      </c>
      <c r="AT11" s="123">
        <f>IFERROR(VLOOKUP(M11,BUELA,7,FALSE),"")</f>
        <v>10642738.66</v>
      </c>
      <c r="AU11" s="326">
        <f t="shared" si="42"/>
        <v>266213.93999999994</v>
      </c>
      <c r="AV11" s="326">
        <f t="shared" si="43"/>
        <v>1698843.84</v>
      </c>
      <c r="AW11" s="326">
        <f t="shared" si="44"/>
        <v>1965057.78</v>
      </c>
      <c r="AX11" s="332">
        <f>IFERROR(VLOOKUP(M11,BUELA,8,FALSE),"")</f>
        <v>3717698.73</v>
      </c>
      <c r="AY11" s="140">
        <f t="shared" si="45"/>
        <v>558057.12000000011</v>
      </c>
      <c r="AZ11" s="326">
        <f t="shared" si="46"/>
        <v>4597640.46</v>
      </c>
      <c r="BA11" s="332">
        <f t="shared" si="47"/>
        <v>5155697.58</v>
      </c>
      <c r="BB11" s="844">
        <f t="shared" ref="BB11:BD11" si="94">SUM(AY11,AU11,AQ11)</f>
        <v>2050168.6500000004</v>
      </c>
      <c r="BC11" s="326">
        <f t="shared" si="94"/>
        <v>9486148.2799999993</v>
      </c>
      <c r="BD11" s="332">
        <f t="shared" si="94"/>
        <v>11536316.93</v>
      </c>
      <c r="BE11" s="140">
        <f t="shared" ref="BE11:BF11" si="95">SUM(BB11,AK11)</f>
        <v>5583968.9600000009</v>
      </c>
      <c r="BF11" s="326">
        <f t="shared" si="95"/>
        <v>22625551.019999996</v>
      </c>
      <c r="BG11" s="435">
        <f t="shared" si="50"/>
        <v>26910218.009999998</v>
      </c>
      <c r="BH11" s="423">
        <f>IFERROR(VLOOKUP(M11,BUELA,9,FALSE),"")</f>
        <v>2419380.08</v>
      </c>
      <c r="BI11" s="123">
        <f t="shared" si="51"/>
        <v>223008.43000000063</v>
      </c>
      <c r="BJ11" s="123">
        <f t="shared" si="52"/>
        <v>6150452.7699999996</v>
      </c>
      <c r="BK11" s="148">
        <f t="shared" si="53"/>
        <v>6373461.2000000002</v>
      </c>
      <c r="BL11" s="423">
        <f>IFERROR(VLOOKUP(M11,BUELA,10,FALSE),"")</f>
        <v>5564601.7199999997</v>
      </c>
      <c r="BM11" s="123">
        <f t="shared" si="54"/>
        <v>1777541.5199999996</v>
      </c>
      <c r="BN11" s="123">
        <f t="shared" si="55"/>
        <v>2807498.62</v>
      </c>
      <c r="BO11" s="123">
        <f t="shared" si="56"/>
        <v>4585040.1399999997</v>
      </c>
      <c r="BP11" s="436">
        <f>IFERROR(VLOOKUP(M11,BUELA,11,FALSE),"")</f>
        <v>4459201.84</v>
      </c>
      <c r="BQ11" s="140">
        <f t="shared" si="57"/>
        <v>-229328.97</v>
      </c>
      <c r="BR11" s="325">
        <f t="shared" si="58"/>
        <v>255759.74</v>
      </c>
      <c r="BS11" s="333">
        <f t="shared" si="59"/>
        <v>26430.77</v>
      </c>
      <c r="BT11" s="140">
        <f t="shared" ref="BT11:BV11" si="96">SUM(BQ11,BM11,BI11)</f>
        <v>1771220.9800000002</v>
      </c>
      <c r="BU11" s="326">
        <f t="shared" si="96"/>
        <v>9213711.129999999</v>
      </c>
      <c r="BV11" s="333">
        <f t="shared" si="96"/>
        <v>10984932.109999999</v>
      </c>
      <c r="BW11" s="125">
        <f>IFERROR(VLOOKUP(M11,BUELA,12,FALSE),"")</f>
        <v>1996001.11</v>
      </c>
      <c r="BX11" s="140">
        <f t="shared" si="61"/>
        <v>813162.44000000006</v>
      </c>
      <c r="BY11" s="123">
        <f t="shared" si="62"/>
        <v>19434.82</v>
      </c>
      <c r="BZ11" s="148">
        <f t="shared" si="63"/>
        <v>832597.26</v>
      </c>
      <c r="CA11" s="123">
        <f>IFERROR(VLOOKUP(M11,BUELA,13,FALSE),"")</f>
        <v>6018461.7999999998</v>
      </c>
      <c r="CB11" s="326">
        <f>IFERROR(VLOOKUP(M11,BUELA,14,FALSE),"")</f>
        <v>3933651.42</v>
      </c>
      <c r="CI11" s="136"/>
      <c r="CJ11" s="136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36"/>
      <c r="DJ11" s="136"/>
      <c r="DK11" s="136"/>
    </row>
    <row r="12" spans="1:115" ht="13">
      <c r="A12" s="436">
        <f t="shared" si="0"/>
        <v>112011130</v>
      </c>
      <c r="B12" s="172" t="e">
        <f t="shared" si="1"/>
        <v>#N/A</v>
      </c>
      <c r="C12" s="558" t="str">
        <f t="shared" si="2"/>
        <v/>
      </c>
      <c r="D12" s="558" t="str">
        <f t="shared" si="3"/>
        <v/>
      </c>
      <c r="E12" s="559" t="str">
        <f t="shared" si="4"/>
        <v/>
      </c>
      <c r="F12" s="836">
        <f t="shared" si="5"/>
        <v>25</v>
      </c>
      <c r="G12" s="558">
        <f t="shared" si="6"/>
        <v>0.12</v>
      </c>
      <c r="H12" s="558">
        <f t="shared" si="7"/>
        <v>0.2</v>
      </c>
      <c r="I12" s="559">
        <f t="shared" si="8"/>
        <v>0</v>
      </c>
      <c r="J12" s="837">
        <f t="shared" si="9"/>
        <v>58</v>
      </c>
      <c r="K12" s="699">
        <f t="shared" si="10"/>
        <v>0.12</v>
      </c>
      <c r="L12" s="700">
        <f t="shared" si="11"/>
        <v>0.11</v>
      </c>
      <c r="M12" s="859" t="s">
        <v>694</v>
      </c>
      <c r="N12" s="434"/>
      <c r="O12" s="141"/>
      <c r="P12" s="113">
        <f t="shared" si="12"/>
        <v>0</v>
      </c>
      <c r="Q12" s="116">
        <f t="shared" si="13"/>
        <v>0</v>
      </c>
      <c r="R12" s="117">
        <f t="shared" si="14"/>
        <v>0</v>
      </c>
      <c r="S12" s="114">
        <f t="shared" si="15"/>
        <v>0</v>
      </c>
      <c r="T12" s="413" t="str">
        <f t="shared" si="16"/>
        <v/>
      </c>
      <c r="U12" s="123" t="str">
        <f t="shared" si="17"/>
        <v/>
      </c>
      <c r="V12" s="332"/>
      <c r="W12" s="113">
        <f t="shared" si="19"/>
        <v>0</v>
      </c>
      <c r="X12" s="116">
        <f t="shared" si="20"/>
        <v>0</v>
      </c>
      <c r="Y12" s="117">
        <f t="shared" si="21"/>
        <v>0</v>
      </c>
      <c r="Z12" s="114">
        <f t="shared" si="22"/>
        <v>0</v>
      </c>
      <c r="AA12" s="413" t="str">
        <f t="shared" si="23"/>
        <v/>
      </c>
      <c r="AB12" s="125" t="str">
        <f t="shared" si="24"/>
        <v/>
      </c>
      <c r="AC12" s="141" t="e">
        <f t="shared" si="90"/>
        <v>#VALUE!</v>
      </c>
      <c r="AD12" s="113">
        <f t="shared" si="26"/>
        <v>389685.76000000001</v>
      </c>
      <c r="AE12" s="116">
        <f t="shared" si="27"/>
        <v>0</v>
      </c>
      <c r="AF12" s="117">
        <f t="shared" si="28"/>
        <v>389685.76000000001</v>
      </c>
      <c r="AG12" s="114" t="e">
        <f t="shared" si="29"/>
        <v>#VALUE!</v>
      </c>
      <c r="AH12" s="413" t="str">
        <f t="shared" si="30"/>
        <v/>
      </c>
      <c r="AI12" s="846" t="e">
        <f t="shared" si="31"/>
        <v>#VALUE!</v>
      </c>
      <c r="AJ12" s="840" t="str">
        <f t="shared" si="32"/>
        <v/>
      </c>
      <c r="AK12" s="116">
        <f t="shared" si="33"/>
        <v>389685.76000000001</v>
      </c>
      <c r="AL12" s="116">
        <f t="shared" si="34"/>
        <v>0</v>
      </c>
      <c r="AM12" s="116">
        <f t="shared" si="35"/>
        <v>389685.76000000001</v>
      </c>
      <c r="AN12" s="116" t="e">
        <f t="shared" si="36"/>
        <v>#VALUE!</v>
      </c>
      <c r="AO12" s="413" t="e">
        <f t="shared" si="86"/>
        <v>#VALUE!</v>
      </c>
      <c r="AP12" s="434"/>
      <c r="AQ12" s="140">
        <f t="shared" si="39"/>
        <v>208235.34000000003</v>
      </c>
      <c r="AR12" s="123">
        <f t="shared" si="40"/>
        <v>110207.86</v>
      </c>
      <c r="AS12" s="148">
        <f t="shared" si="41"/>
        <v>318443.2</v>
      </c>
      <c r="AT12" s="123"/>
      <c r="AU12" s="326">
        <f t="shared" si="42"/>
        <v>573905.28</v>
      </c>
      <c r="AV12" s="326">
        <f t="shared" si="43"/>
        <v>55819.98</v>
      </c>
      <c r="AW12" s="326">
        <f t="shared" si="44"/>
        <v>629725.26</v>
      </c>
      <c r="AX12" s="332"/>
      <c r="AY12" s="140">
        <f t="shared" si="45"/>
        <v>363263.91000000003</v>
      </c>
      <c r="AZ12" s="326">
        <f t="shared" si="46"/>
        <v>163756.63</v>
      </c>
      <c r="BA12" s="332">
        <f t="shared" si="47"/>
        <v>527020.54</v>
      </c>
      <c r="BB12" s="844">
        <f t="shared" ref="BB12:BD12" si="97">SUM(AY12,AU12,AQ12)</f>
        <v>1145404.53</v>
      </c>
      <c r="BC12" s="326">
        <f t="shared" si="97"/>
        <v>329784.47000000003</v>
      </c>
      <c r="BD12" s="332">
        <f t="shared" si="97"/>
        <v>1475189</v>
      </c>
      <c r="BE12" s="140">
        <f t="shared" ref="BE12:BF12" si="98">SUM(BB12,AK12)</f>
        <v>1535090.29</v>
      </c>
      <c r="BF12" s="326">
        <f t="shared" si="98"/>
        <v>329784.47000000003</v>
      </c>
      <c r="BG12" s="435">
        <f t="shared" si="50"/>
        <v>1864874.76</v>
      </c>
      <c r="BH12" s="423"/>
      <c r="BI12" s="123">
        <f t="shared" si="51"/>
        <v>527744.90999999992</v>
      </c>
      <c r="BJ12" s="123">
        <f t="shared" si="52"/>
        <v>220778.94</v>
      </c>
      <c r="BK12" s="148">
        <f t="shared" si="53"/>
        <v>748523.85</v>
      </c>
      <c r="BL12" s="423"/>
      <c r="BM12" s="123">
        <f t="shared" si="54"/>
        <v>324530.52</v>
      </c>
      <c r="BN12" s="123">
        <f t="shared" si="55"/>
        <v>72906.78</v>
      </c>
      <c r="BO12" s="123">
        <f t="shared" si="56"/>
        <v>397437.3</v>
      </c>
      <c r="BP12" s="436"/>
      <c r="BQ12" s="140">
        <f t="shared" si="57"/>
        <v>44075.75</v>
      </c>
      <c r="BR12" s="325">
        <f t="shared" si="58"/>
        <v>280496.3</v>
      </c>
      <c r="BS12" s="333">
        <f t="shared" si="59"/>
        <v>324572.05</v>
      </c>
      <c r="BT12" s="140">
        <f t="shared" ref="BT12:BV12" si="99">SUM(BQ12,BM12,BI12)</f>
        <v>896351.17999999993</v>
      </c>
      <c r="BU12" s="326">
        <f t="shared" si="99"/>
        <v>574182.02</v>
      </c>
      <c r="BV12" s="333">
        <f t="shared" si="99"/>
        <v>1470533.2</v>
      </c>
      <c r="BW12" s="125"/>
      <c r="BX12" s="140">
        <f t="shared" si="61"/>
        <v>28103.729999999996</v>
      </c>
      <c r="BY12" s="123">
        <f t="shared" si="62"/>
        <v>48491.64</v>
      </c>
      <c r="BZ12" s="148">
        <f t="shared" si="63"/>
        <v>76595.37</v>
      </c>
      <c r="CA12" s="123"/>
      <c r="CB12" s="326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</row>
    <row r="13" spans="1:115" ht="13">
      <c r="A13" s="436">
        <f t="shared" si="0"/>
        <v>112013341</v>
      </c>
      <c r="B13" s="172">
        <f t="shared" si="1"/>
        <v>27</v>
      </c>
      <c r="C13" s="558">
        <f t="shared" si="2"/>
        <v>0.12</v>
      </c>
      <c r="D13" s="558">
        <f t="shared" si="3"/>
        <v>0.2</v>
      </c>
      <c r="E13" s="559">
        <f t="shared" si="4"/>
        <v>0.23</v>
      </c>
      <c r="F13" s="836">
        <f t="shared" si="5"/>
        <v>27</v>
      </c>
      <c r="G13" s="558">
        <f t="shared" si="6"/>
        <v>0.12</v>
      </c>
      <c r="H13" s="558">
        <f t="shared" si="7"/>
        <v>0.2</v>
      </c>
      <c r="I13" s="559">
        <f t="shared" si="8"/>
        <v>0.23</v>
      </c>
      <c r="J13" s="837">
        <f t="shared" si="9"/>
        <v>57</v>
      </c>
      <c r="K13" s="699">
        <f t="shared" si="10"/>
        <v>0.12</v>
      </c>
      <c r="L13" s="700">
        <f t="shared" si="11"/>
        <v>0.14000000000000001</v>
      </c>
      <c r="M13" s="498" t="s">
        <v>695</v>
      </c>
      <c r="N13" s="845">
        <f t="shared" ref="N13:N19" si="100">IFERROR(VLOOKUP(M13,BUELA,3,FALSE),"")</f>
        <v>2331080.4</v>
      </c>
      <c r="O13" s="141">
        <f>(N13*1.601)*1.05</f>
        <v>3918662.7064200002</v>
      </c>
      <c r="P13" s="113">
        <f t="shared" si="12"/>
        <v>0</v>
      </c>
      <c r="Q13" s="116">
        <f t="shared" si="13"/>
        <v>2946012.9</v>
      </c>
      <c r="R13" s="117">
        <f t="shared" si="14"/>
        <v>2946012.9</v>
      </c>
      <c r="S13" s="114">
        <f t="shared" si="15"/>
        <v>-972649.80642000027</v>
      </c>
      <c r="T13" s="413">
        <f t="shared" si="16"/>
        <v>0.75179037358165723</v>
      </c>
      <c r="U13" s="123">
        <f t="shared" si="17"/>
        <v>3191262.39</v>
      </c>
      <c r="V13" s="141">
        <f>(U13*1.7245)*1.05</f>
        <v>5778498.5911327498</v>
      </c>
      <c r="W13" s="113">
        <f t="shared" si="19"/>
        <v>1193912.1500000004</v>
      </c>
      <c r="X13" s="116">
        <f t="shared" si="20"/>
        <v>3183260.42</v>
      </c>
      <c r="Y13" s="117">
        <f t="shared" si="21"/>
        <v>4377172.57</v>
      </c>
      <c r="Z13" s="123">
        <f t="shared" si="22"/>
        <v>-1401326.0211327495</v>
      </c>
      <c r="AA13" s="98">
        <f t="shared" si="23"/>
        <v>0.75749305826895597</v>
      </c>
      <c r="AB13" s="123">
        <f t="shared" si="24"/>
        <v>3187212.54</v>
      </c>
      <c r="AC13" s="332">
        <f t="shared" si="90"/>
        <v>5237753.5357971005</v>
      </c>
      <c r="AD13" s="113">
        <f t="shared" si="26"/>
        <v>0</v>
      </c>
      <c r="AE13" s="116">
        <f t="shared" si="27"/>
        <v>2451747.9300000002</v>
      </c>
      <c r="AF13" s="117">
        <f t="shared" si="28"/>
        <v>2451747.9300000002</v>
      </c>
      <c r="AG13" s="123">
        <f t="shared" si="29"/>
        <v>-2786005.6057971003</v>
      </c>
      <c r="AH13" s="494">
        <f t="shared" si="30"/>
        <v>0.46809150397086874</v>
      </c>
      <c r="AI13" s="846">
        <f t="shared" si="31"/>
        <v>14934914.83334985</v>
      </c>
      <c r="AJ13" s="840">
        <f t="shared" si="32"/>
        <v>12799929.65</v>
      </c>
      <c r="AK13" s="326">
        <f t="shared" si="33"/>
        <v>1193912.1500000004</v>
      </c>
      <c r="AL13" s="326">
        <f t="shared" si="34"/>
        <v>11764281.67</v>
      </c>
      <c r="AM13" s="326">
        <f t="shared" si="35"/>
        <v>9774933.4000000004</v>
      </c>
      <c r="AN13" s="116">
        <f t="shared" si="36"/>
        <v>-3024996.25</v>
      </c>
      <c r="AO13" s="413">
        <f t="shared" si="86"/>
        <v>0.76367086908169057</v>
      </c>
      <c r="AP13" s="434">
        <f t="shared" ref="AP13:AP19" si="101">IFERROR(VLOOKUP(M13,BUELA,6,FALSE),"")</f>
        <v>2400847.25</v>
      </c>
      <c r="AQ13" s="140">
        <f t="shared" si="39"/>
        <v>0</v>
      </c>
      <c r="AR13" s="123">
        <f t="shared" si="40"/>
        <v>3418987.74</v>
      </c>
      <c r="AS13" s="148">
        <f t="shared" si="41"/>
        <v>3418987.74</v>
      </c>
      <c r="AT13" s="123">
        <f t="shared" ref="AT13:AT19" si="102">IFERROR(VLOOKUP(M13,BUELA,7,FALSE),"")</f>
        <v>2894238.94</v>
      </c>
      <c r="AU13" s="326">
        <f t="shared" si="42"/>
        <v>0</v>
      </c>
      <c r="AV13" s="326">
        <f t="shared" si="43"/>
        <v>3907613.39</v>
      </c>
      <c r="AW13" s="326">
        <f t="shared" si="44"/>
        <v>3907613.39</v>
      </c>
      <c r="AX13" s="332">
        <f t="shared" ref="AX13:AX19" si="103">IFERROR(VLOOKUP(M13,BUELA,8,FALSE),"")</f>
        <v>2758147.01</v>
      </c>
      <c r="AY13" s="140">
        <f t="shared" si="45"/>
        <v>0</v>
      </c>
      <c r="AZ13" s="326">
        <f t="shared" si="46"/>
        <v>4523581.62</v>
      </c>
      <c r="BA13" s="332">
        <f t="shared" si="47"/>
        <v>4523581.62</v>
      </c>
      <c r="BB13" s="844">
        <f t="shared" ref="BB13:BD13" si="104">SUM(AY13,AU13,AQ13)</f>
        <v>0</v>
      </c>
      <c r="BC13" s="326">
        <f t="shared" si="104"/>
        <v>11850182.75</v>
      </c>
      <c r="BD13" s="332">
        <f t="shared" si="104"/>
        <v>11850182.75</v>
      </c>
      <c r="BE13" s="140">
        <f t="shared" ref="BE13:BF13" si="105">SUM(BB13,AK13)</f>
        <v>1193912.1500000004</v>
      </c>
      <c r="BF13" s="326">
        <f t="shared" si="105"/>
        <v>23614464.420000002</v>
      </c>
      <c r="BG13" s="435">
        <f t="shared" si="50"/>
        <v>21625116.149999999</v>
      </c>
      <c r="BH13" s="423">
        <f t="shared" ref="BH13:BH19" si="106">IFERROR(VLOOKUP(M13,BUELA,9,FALSE),"")</f>
        <v>3495891.07</v>
      </c>
      <c r="BI13" s="123">
        <f t="shared" si="51"/>
        <v>0</v>
      </c>
      <c r="BJ13" s="123">
        <f t="shared" si="52"/>
        <v>4199799.5</v>
      </c>
      <c r="BK13" s="148">
        <f t="shared" si="53"/>
        <v>4199799.5</v>
      </c>
      <c r="BL13" s="423">
        <f t="shared" ref="BL13:BL19" si="107">IFERROR(VLOOKUP(M13,BUELA,10,FALSE),"")</f>
        <v>3033927.37</v>
      </c>
      <c r="BM13" s="123">
        <f t="shared" si="54"/>
        <v>0</v>
      </c>
      <c r="BN13" s="123">
        <f t="shared" si="55"/>
        <v>3273800.7</v>
      </c>
      <c r="BO13" s="123">
        <f t="shared" si="56"/>
        <v>3273800.7</v>
      </c>
      <c r="BP13" s="436">
        <f t="shared" ref="BP13:BP19" si="108">IFERROR(VLOOKUP(M13,BUELA,11,FALSE),"")</f>
        <v>2483991.37</v>
      </c>
      <c r="BQ13" s="140">
        <f t="shared" si="57"/>
        <v>0</v>
      </c>
      <c r="BR13" s="325">
        <f t="shared" si="58"/>
        <v>3785785.57</v>
      </c>
      <c r="BS13" s="333">
        <f t="shared" si="59"/>
        <v>3785785.57</v>
      </c>
      <c r="BT13" s="140">
        <f t="shared" ref="BT13:BV13" si="109">SUM(BQ13,BM13,BI13)</f>
        <v>0</v>
      </c>
      <c r="BU13" s="326">
        <f t="shared" si="109"/>
        <v>11259385.77</v>
      </c>
      <c r="BV13" s="333">
        <f t="shared" si="109"/>
        <v>11259385.77</v>
      </c>
      <c r="BW13" s="125">
        <f t="shared" ref="BW13:BW19" si="110">IFERROR(VLOOKUP(M13,BUELA,12,FALSE),"")</f>
        <v>4023930.44</v>
      </c>
      <c r="BX13" s="140">
        <f t="shared" si="61"/>
        <v>0</v>
      </c>
      <c r="BY13" s="123">
        <f t="shared" si="62"/>
        <v>4365913.37</v>
      </c>
      <c r="BZ13" s="148">
        <f t="shared" si="63"/>
        <v>4365913.37</v>
      </c>
      <c r="CA13" s="123">
        <f t="shared" ref="CA13:CA19" si="111">IFERROR(VLOOKUP(M13,BUELA,13,FALSE),"")</f>
        <v>3611572.63</v>
      </c>
      <c r="CB13" s="326">
        <f t="shared" ref="CB13:CB19" si="112">IFERROR(VLOOKUP(M13,BUELA,14,FALSE),"")</f>
        <v>5164426.59</v>
      </c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</row>
    <row r="14" spans="1:115" ht="13">
      <c r="A14" s="436">
        <f t="shared" si="0"/>
        <v>112012722</v>
      </c>
      <c r="B14" s="172">
        <f t="shared" si="1"/>
        <v>24</v>
      </c>
      <c r="C14" s="558">
        <f t="shared" si="2"/>
        <v>0.12</v>
      </c>
      <c r="D14" s="558">
        <f t="shared" si="3"/>
        <v>0.09</v>
      </c>
      <c r="E14" s="559">
        <f t="shared" si="4"/>
        <v>0</v>
      </c>
      <c r="F14" s="836">
        <f t="shared" si="5"/>
        <v>24</v>
      </c>
      <c r="G14" s="558">
        <f t="shared" si="6"/>
        <v>0.12</v>
      </c>
      <c r="H14" s="558">
        <f t="shared" si="7"/>
        <v>0.09</v>
      </c>
      <c r="I14" s="559">
        <f t="shared" si="8"/>
        <v>0</v>
      </c>
      <c r="J14" s="837">
        <f t="shared" si="9"/>
        <v>59</v>
      </c>
      <c r="K14" s="699">
        <f t="shared" si="10"/>
        <v>0.12</v>
      </c>
      <c r="L14" s="700">
        <f t="shared" si="11"/>
        <v>0.05</v>
      </c>
      <c r="M14" s="498" t="s">
        <v>696</v>
      </c>
      <c r="N14" s="845">
        <f t="shared" si="100"/>
        <v>0</v>
      </c>
      <c r="O14" s="251">
        <v>2500000</v>
      </c>
      <c r="P14" s="140" t="e">
        <f t="shared" si="12"/>
        <v>#VALUE!</v>
      </c>
      <c r="Q14" s="116" t="str">
        <f t="shared" si="13"/>
        <v/>
      </c>
      <c r="R14" s="117">
        <f t="shared" si="14"/>
        <v>0</v>
      </c>
      <c r="S14" s="123">
        <f t="shared" si="15"/>
        <v>-2500000</v>
      </c>
      <c r="T14" s="98">
        <f t="shared" si="16"/>
        <v>0</v>
      </c>
      <c r="U14" s="123">
        <f t="shared" si="17"/>
        <v>0</v>
      </c>
      <c r="V14" s="860">
        <v>2500000</v>
      </c>
      <c r="W14" s="113" t="e">
        <f t="shared" si="19"/>
        <v>#VALUE!</v>
      </c>
      <c r="X14" s="116" t="str">
        <f t="shared" si="20"/>
        <v/>
      </c>
      <c r="Y14" s="117">
        <f t="shared" si="21"/>
        <v>16848.61</v>
      </c>
      <c r="Z14" s="123">
        <f t="shared" si="22"/>
        <v>-2483151.39</v>
      </c>
      <c r="AA14" s="98">
        <f t="shared" si="23"/>
        <v>6.7394439999999998E-3</v>
      </c>
      <c r="AB14" s="123">
        <f t="shared" si="24"/>
        <v>0</v>
      </c>
      <c r="AC14" s="860">
        <v>2500000</v>
      </c>
      <c r="AD14" s="113" t="e">
        <f t="shared" si="26"/>
        <v>#VALUE!</v>
      </c>
      <c r="AE14" s="116" t="str">
        <f t="shared" si="27"/>
        <v/>
      </c>
      <c r="AF14" s="117">
        <f t="shared" si="28"/>
        <v>1110882.03</v>
      </c>
      <c r="AG14" s="123">
        <f t="shared" si="29"/>
        <v>-1389117.97</v>
      </c>
      <c r="AH14" s="494">
        <f t="shared" si="30"/>
        <v>0.44435281199999999</v>
      </c>
      <c r="AI14" s="846">
        <f t="shared" si="31"/>
        <v>7500000</v>
      </c>
      <c r="AJ14" s="840">
        <f t="shared" si="32"/>
        <v>1457773.53</v>
      </c>
      <c r="AK14" s="326" t="e">
        <f t="shared" si="33"/>
        <v>#VALUE!</v>
      </c>
      <c r="AL14" s="326">
        <f t="shared" si="34"/>
        <v>0</v>
      </c>
      <c r="AM14" s="326">
        <f t="shared" si="35"/>
        <v>1127730.6400000001</v>
      </c>
      <c r="AN14" s="116">
        <f t="shared" si="36"/>
        <v>-330042.8899999999</v>
      </c>
      <c r="AO14" s="413">
        <f t="shared" si="86"/>
        <v>0.7735979675800535</v>
      </c>
      <c r="AP14" s="434">
        <f t="shared" si="101"/>
        <v>85284.800000000003</v>
      </c>
      <c r="AQ14" s="140" t="e">
        <f t="shared" si="39"/>
        <v>#VALUE!</v>
      </c>
      <c r="AR14" s="123" t="str">
        <f t="shared" si="40"/>
        <v/>
      </c>
      <c r="AS14" s="148">
        <f t="shared" si="41"/>
        <v>775235.65</v>
      </c>
      <c r="AT14" s="123">
        <f t="shared" si="102"/>
        <v>39275.879999999997</v>
      </c>
      <c r="AU14" s="326" t="e">
        <f t="shared" si="42"/>
        <v>#VALUE!</v>
      </c>
      <c r="AV14" s="326" t="str">
        <f t="shared" si="43"/>
        <v/>
      </c>
      <c r="AW14" s="326">
        <f t="shared" si="44"/>
        <v>80600.929999999993</v>
      </c>
      <c r="AX14" s="332">
        <f t="shared" si="103"/>
        <v>0</v>
      </c>
      <c r="AY14" s="140" t="e">
        <f t="shared" si="45"/>
        <v>#VALUE!</v>
      </c>
      <c r="AZ14" s="326" t="str">
        <f t="shared" si="46"/>
        <v/>
      </c>
      <c r="BA14" s="332">
        <f t="shared" si="47"/>
        <v>452983.6</v>
      </c>
      <c r="BB14" s="844" t="e">
        <f t="shared" ref="BB14:BD14" si="113">SUM(AY14,AU14,AQ14)</f>
        <v>#VALUE!</v>
      </c>
      <c r="BC14" s="326">
        <f t="shared" si="113"/>
        <v>0</v>
      </c>
      <c r="BD14" s="332">
        <f t="shared" si="113"/>
        <v>1308820.1800000002</v>
      </c>
      <c r="BE14" s="140" t="e">
        <f t="shared" ref="BE14:BF14" si="114">SUM(BB14,AK14)</f>
        <v>#VALUE!</v>
      </c>
      <c r="BF14" s="326">
        <f t="shared" si="114"/>
        <v>0</v>
      </c>
      <c r="BG14" s="435">
        <f t="shared" si="50"/>
        <v>2436550.8200000003</v>
      </c>
      <c r="BH14" s="423">
        <f t="shared" si="106"/>
        <v>0</v>
      </c>
      <c r="BI14" s="123" t="e">
        <f t="shared" si="51"/>
        <v>#VALUE!</v>
      </c>
      <c r="BJ14" s="123" t="str">
        <f t="shared" si="52"/>
        <v/>
      </c>
      <c r="BK14" s="148">
        <f t="shared" si="53"/>
        <v>369009.78</v>
      </c>
      <c r="BL14" s="423">
        <f t="shared" si="107"/>
        <v>0</v>
      </c>
      <c r="BM14" s="123" t="e">
        <f t="shared" si="54"/>
        <v>#VALUE!</v>
      </c>
      <c r="BN14" s="123" t="str">
        <f t="shared" si="55"/>
        <v/>
      </c>
      <c r="BO14" s="123">
        <f t="shared" si="56"/>
        <v>0</v>
      </c>
      <c r="BP14" s="436">
        <f t="shared" si="108"/>
        <v>0</v>
      </c>
      <c r="BQ14" s="140" t="e">
        <f t="shared" si="57"/>
        <v>#VALUE!</v>
      </c>
      <c r="BR14" s="325" t="str">
        <f t="shared" si="58"/>
        <v/>
      </c>
      <c r="BS14" s="333">
        <f t="shared" si="59"/>
        <v>404510.86</v>
      </c>
      <c r="BT14" s="140" t="e">
        <f t="shared" ref="BT14:BV14" si="115">SUM(BQ14,BM14,BI14)</f>
        <v>#VALUE!</v>
      </c>
      <c r="BU14" s="326">
        <f t="shared" si="115"/>
        <v>0</v>
      </c>
      <c r="BV14" s="333">
        <f t="shared" si="115"/>
        <v>773520.64</v>
      </c>
      <c r="BW14" s="125">
        <f t="shared" si="110"/>
        <v>586579.65</v>
      </c>
      <c r="BX14" s="140" t="e">
        <f t="shared" si="61"/>
        <v>#VALUE!</v>
      </c>
      <c r="BY14" s="123" t="str">
        <f t="shared" si="62"/>
        <v/>
      </c>
      <c r="BZ14" s="148">
        <f t="shared" si="63"/>
        <v>140673.85999999999</v>
      </c>
      <c r="CA14" s="123">
        <f t="shared" si="111"/>
        <v>718505.74</v>
      </c>
      <c r="CB14" s="326">
        <f t="shared" si="112"/>
        <v>152688.14000000001</v>
      </c>
      <c r="CI14" s="294"/>
      <c r="CJ14" s="294"/>
    </row>
    <row r="15" spans="1:115" ht="13">
      <c r="A15" s="436">
        <f t="shared" si="0"/>
        <v>112013826</v>
      </c>
      <c r="B15" s="172">
        <f t="shared" si="1"/>
        <v>9</v>
      </c>
      <c r="C15" s="558">
        <f t="shared" si="2"/>
        <v>0.12</v>
      </c>
      <c r="D15" s="558">
        <f t="shared" si="3"/>
        <v>0.23</v>
      </c>
      <c r="E15" s="559">
        <f t="shared" si="4"/>
        <v>0</v>
      </c>
      <c r="F15" s="836">
        <f t="shared" si="5"/>
        <v>9</v>
      </c>
      <c r="G15" s="558">
        <f t="shared" si="6"/>
        <v>0.12</v>
      </c>
      <c r="H15" s="558">
        <f t="shared" si="7"/>
        <v>0.23</v>
      </c>
      <c r="I15" s="559">
        <f t="shared" si="8"/>
        <v>0</v>
      </c>
      <c r="J15" s="837">
        <f t="shared" si="9"/>
        <v>57</v>
      </c>
      <c r="K15" s="699">
        <f t="shared" si="10"/>
        <v>0.12</v>
      </c>
      <c r="L15" s="700">
        <f t="shared" si="11"/>
        <v>0.14000000000000001</v>
      </c>
      <c r="M15" s="498" t="s">
        <v>697</v>
      </c>
      <c r="N15" s="845">
        <f t="shared" si="100"/>
        <v>2040870.48</v>
      </c>
      <c r="O15" s="141">
        <f>(N15*1.601)*1.05</f>
        <v>3430805.3204039996</v>
      </c>
      <c r="P15" s="113">
        <f t="shared" si="12"/>
        <v>0</v>
      </c>
      <c r="Q15" s="116">
        <f t="shared" si="13"/>
        <v>1783610.54</v>
      </c>
      <c r="R15" s="117">
        <f t="shared" si="14"/>
        <v>1783610.54</v>
      </c>
      <c r="S15" s="114">
        <f t="shared" si="15"/>
        <v>-1647194.7804039996</v>
      </c>
      <c r="T15" s="413">
        <f t="shared" si="16"/>
        <v>0.51988101143260679</v>
      </c>
      <c r="U15" s="123">
        <f t="shared" si="17"/>
        <v>246233.44</v>
      </c>
      <c r="V15" s="174">
        <v>3000000</v>
      </c>
      <c r="W15" s="113">
        <f t="shared" si="19"/>
        <v>2395267.9899999998</v>
      </c>
      <c r="X15" s="116">
        <f t="shared" si="20"/>
        <v>439770.18</v>
      </c>
      <c r="Y15" s="117">
        <f t="shared" si="21"/>
        <v>2835038.17</v>
      </c>
      <c r="Z15" s="114">
        <f t="shared" si="22"/>
        <v>-164961.83000000007</v>
      </c>
      <c r="AA15" s="413">
        <f t="shared" si="23"/>
        <v>0.9450127233333333</v>
      </c>
      <c r="AB15" s="125">
        <f t="shared" si="24"/>
        <v>153231.76</v>
      </c>
      <c r="AC15" s="104">
        <v>3000000</v>
      </c>
      <c r="AD15" s="113">
        <f t="shared" si="26"/>
        <v>0</v>
      </c>
      <c r="AE15" s="116">
        <f t="shared" si="27"/>
        <v>562829.11</v>
      </c>
      <c r="AF15" s="117">
        <f t="shared" si="28"/>
        <v>562829.11</v>
      </c>
      <c r="AG15" s="114">
        <f t="shared" si="29"/>
        <v>-2437170.89</v>
      </c>
      <c r="AH15" s="413">
        <f t="shared" si="30"/>
        <v>0.18760970333333332</v>
      </c>
      <c r="AI15" s="846">
        <f t="shared" si="31"/>
        <v>9430805.3204040006</v>
      </c>
      <c r="AJ15" s="840">
        <f t="shared" si="32"/>
        <v>7070127.0700000003</v>
      </c>
      <c r="AK15" s="116">
        <f t="shared" si="33"/>
        <v>2395267.9899999998</v>
      </c>
      <c r="AL15" s="116">
        <f t="shared" si="34"/>
        <v>3225980.01</v>
      </c>
      <c r="AM15" s="116">
        <f t="shared" si="35"/>
        <v>5181477.82</v>
      </c>
      <c r="AN15" s="116">
        <f t="shared" si="36"/>
        <v>-1888649.25</v>
      </c>
      <c r="AO15" s="413">
        <f t="shared" si="86"/>
        <v>0.73286912225185796</v>
      </c>
      <c r="AP15" s="434">
        <f t="shared" si="101"/>
        <v>249152.01</v>
      </c>
      <c r="AQ15" s="140">
        <f t="shared" si="39"/>
        <v>1094003.51</v>
      </c>
      <c r="AR15" s="123">
        <f t="shared" si="40"/>
        <v>1235036.57</v>
      </c>
      <c r="AS15" s="148">
        <f t="shared" si="41"/>
        <v>2329040.08</v>
      </c>
      <c r="AT15" s="123">
        <f t="shared" si="102"/>
        <v>61950.78</v>
      </c>
      <c r="AU15" s="326">
        <f t="shared" si="42"/>
        <v>1750326.77</v>
      </c>
      <c r="AV15" s="326">
        <f t="shared" si="43"/>
        <v>864450.59</v>
      </c>
      <c r="AW15" s="326">
        <f t="shared" si="44"/>
        <v>2614777.36</v>
      </c>
      <c r="AX15" s="332">
        <f t="shared" si="103"/>
        <v>58308.71</v>
      </c>
      <c r="AY15" s="140">
        <f t="shared" si="45"/>
        <v>0</v>
      </c>
      <c r="AZ15" s="326">
        <f t="shared" si="46"/>
        <v>363184.65</v>
      </c>
      <c r="BA15" s="332">
        <f t="shared" si="47"/>
        <v>363184.65</v>
      </c>
      <c r="BB15" s="844">
        <f t="shared" ref="BB15:BD15" si="116">SUM(AY15,AU15,AQ15)</f>
        <v>2844330.2800000003</v>
      </c>
      <c r="BC15" s="326">
        <f t="shared" si="116"/>
        <v>2462671.81</v>
      </c>
      <c r="BD15" s="332">
        <f t="shared" si="116"/>
        <v>5307002.09</v>
      </c>
      <c r="BE15" s="140">
        <f t="shared" ref="BE15:BF15" si="117">SUM(BB15,AK15)</f>
        <v>5239598.2699999996</v>
      </c>
      <c r="BF15" s="326">
        <f t="shared" si="117"/>
        <v>5688651.8200000003</v>
      </c>
      <c r="BG15" s="435">
        <f t="shared" si="50"/>
        <v>10488479.91</v>
      </c>
      <c r="BH15" s="423">
        <f t="shared" si="106"/>
        <v>108973.96</v>
      </c>
      <c r="BI15" s="123">
        <f t="shared" si="51"/>
        <v>1145388.42</v>
      </c>
      <c r="BJ15" s="123">
        <f t="shared" si="52"/>
        <v>1512446.25</v>
      </c>
      <c r="BK15" s="148">
        <f t="shared" si="53"/>
        <v>2657834.67</v>
      </c>
      <c r="BL15" s="423">
        <f t="shared" si="107"/>
        <v>645925.34</v>
      </c>
      <c r="BM15" s="123">
        <f t="shared" si="54"/>
        <v>1226522.43</v>
      </c>
      <c r="BN15" s="123">
        <f t="shared" si="55"/>
        <v>460648.27</v>
      </c>
      <c r="BO15" s="123">
        <f t="shared" si="56"/>
        <v>1687170.7</v>
      </c>
      <c r="BP15" s="436">
        <f t="shared" si="108"/>
        <v>1214408.1000000001</v>
      </c>
      <c r="BQ15" s="140">
        <f t="shared" si="57"/>
        <v>0</v>
      </c>
      <c r="BR15" s="325">
        <f t="shared" si="58"/>
        <v>80498.23</v>
      </c>
      <c r="BS15" s="333">
        <f t="shared" si="59"/>
        <v>80498.23</v>
      </c>
      <c r="BT15" s="140">
        <f t="shared" ref="BT15:BV15" si="118">SUM(BQ15,BM15,BI15)</f>
        <v>2371910.8499999996</v>
      </c>
      <c r="BU15" s="326">
        <f t="shared" si="118"/>
        <v>2053592.75</v>
      </c>
      <c r="BV15" s="333">
        <f t="shared" si="118"/>
        <v>4425503.5999999996</v>
      </c>
      <c r="BW15" s="125">
        <f t="shared" si="110"/>
        <v>3167579.36</v>
      </c>
      <c r="BX15" s="140">
        <f t="shared" si="61"/>
        <v>0</v>
      </c>
      <c r="BY15" s="123">
        <f t="shared" si="62"/>
        <v>464919.35</v>
      </c>
      <c r="BZ15" s="148">
        <f t="shared" si="63"/>
        <v>464919.35</v>
      </c>
      <c r="CA15" s="123">
        <f t="shared" si="111"/>
        <v>2371637.17</v>
      </c>
      <c r="CB15" s="326">
        <f t="shared" si="112"/>
        <v>1530910.54</v>
      </c>
      <c r="CI15" s="294"/>
      <c r="CJ15" s="294"/>
    </row>
    <row r="16" spans="1:115" ht="13">
      <c r="A16" s="436">
        <f t="shared" si="0"/>
        <v>112013272</v>
      </c>
      <c r="B16" s="172">
        <f t="shared" si="1"/>
        <v>22</v>
      </c>
      <c r="C16" s="558">
        <f t="shared" si="2"/>
        <v>0.1</v>
      </c>
      <c r="D16" s="558">
        <f t="shared" si="3"/>
        <v>0.09</v>
      </c>
      <c r="E16" s="559">
        <f t="shared" si="4"/>
        <v>0</v>
      </c>
      <c r="F16" s="836">
        <f t="shared" si="5"/>
        <v>9</v>
      </c>
      <c r="G16" s="558">
        <f t="shared" si="6"/>
        <v>0.12</v>
      </c>
      <c r="H16" s="558">
        <f t="shared" si="7"/>
        <v>0.23</v>
      </c>
      <c r="I16" s="559">
        <f t="shared" si="8"/>
        <v>0</v>
      </c>
      <c r="J16" s="837">
        <f t="shared" si="9"/>
        <v>57</v>
      </c>
      <c r="K16" s="699">
        <f t="shared" si="10"/>
        <v>0.12</v>
      </c>
      <c r="L16" s="700">
        <f t="shared" si="11"/>
        <v>0.14000000000000001</v>
      </c>
      <c r="M16" s="498" t="s">
        <v>698</v>
      </c>
      <c r="N16" s="845" t="str">
        <f t="shared" si="100"/>
        <v/>
      </c>
      <c r="O16" s="237">
        <v>1800000</v>
      </c>
      <c r="P16" s="140" t="e">
        <f t="shared" si="12"/>
        <v>#VALUE!</v>
      </c>
      <c r="Q16" s="116" t="str">
        <f t="shared" si="13"/>
        <v/>
      </c>
      <c r="R16" s="117">
        <f t="shared" si="14"/>
        <v>0</v>
      </c>
      <c r="S16" s="123">
        <f t="shared" si="15"/>
        <v>-1800000</v>
      </c>
      <c r="T16" s="98">
        <f t="shared" si="16"/>
        <v>0</v>
      </c>
      <c r="U16" s="123" t="str">
        <f t="shared" si="17"/>
        <v/>
      </c>
      <c r="V16" s="456">
        <v>1800000</v>
      </c>
      <c r="W16" s="113" t="e">
        <f t="shared" si="19"/>
        <v>#VALUE!</v>
      </c>
      <c r="X16" s="116" t="str">
        <f t="shared" si="20"/>
        <v/>
      </c>
      <c r="Y16" s="117">
        <f t="shared" si="21"/>
        <v>321157.17</v>
      </c>
      <c r="Z16" s="123">
        <f t="shared" si="22"/>
        <v>-1478842.83</v>
      </c>
      <c r="AA16" s="98">
        <f t="shared" si="23"/>
        <v>0.17842064999999999</v>
      </c>
      <c r="AB16" s="123" t="str">
        <f t="shared" si="24"/>
        <v/>
      </c>
      <c r="AC16" s="456">
        <v>1800000</v>
      </c>
      <c r="AD16" s="113" t="e">
        <f t="shared" si="26"/>
        <v>#VALUE!</v>
      </c>
      <c r="AE16" s="116" t="str">
        <f t="shared" si="27"/>
        <v/>
      </c>
      <c r="AF16" s="117">
        <f t="shared" si="28"/>
        <v>820006.57</v>
      </c>
      <c r="AG16" s="123">
        <f t="shared" si="29"/>
        <v>-979993.43</v>
      </c>
      <c r="AH16" s="494">
        <f t="shared" si="30"/>
        <v>0.45555920555555551</v>
      </c>
      <c r="AI16" s="846">
        <f t="shared" si="31"/>
        <v>5400000</v>
      </c>
      <c r="AJ16" s="840" t="str">
        <f t="shared" si="32"/>
        <v/>
      </c>
      <c r="AK16" s="326" t="e">
        <f t="shared" si="33"/>
        <v>#VALUE!</v>
      </c>
      <c r="AL16" s="326">
        <f t="shared" si="34"/>
        <v>0</v>
      </c>
      <c r="AM16" s="326">
        <f t="shared" si="35"/>
        <v>1141163.74</v>
      </c>
      <c r="AN16" s="116" t="e">
        <f t="shared" si="36"/>
        <v>#VALUE!</v>
      </c>
      <c r="AO16" s="413" t="str">
        <f>IFERROR(AM16/AJ16,"")</f>
        <v/>
      </c>
      <c r="AP16" s="434" t="str">
        <f t="shared" si="101"/>
        <v/>
      </c>
      <c r="AQ16" s="140" t="e">
        <f t="shared" si="39"/>
        <v>#VALUE!</v>
      </c>
      <c r="AR16" s="123" t="str">
        <f t="shared" si="40"/>
        <v/>
      </c>
      <c r="AS16" s="148">
        <f t="shared" si="41"/>
        <v>0</v>
      </c>
      <c r="AT16" s="123" t="str">
        <f t="shared" si="102"/>
        <v/>
      </c>
      <c r="AU16" s="326" t="e">
        <f t="shared" si="42"/>
        <v>#VALUE!</v>
      </c>
      <c r="AV16" s="326" t="str">
        <f t="shared" si="43"/>
        <v/>
      </c>
      <c r="AW16" s="326">
        <f t="shared" si="44"/>
        <v>0</v>
      </c>
      <c r="AX16" s="332" t="str">
        <f t="shared" si="103"/>
        <v/>
      </c>
      <c r="AY16" s="140" t="e">
        <f t="shared" si="45"/>
        <v>#VALUE!</v>
      </c>
      <c r="AZ16" s="326" t="str">
        <f t="shared" si="46"/>
        <v/>
      </c>
      <c r="BA16" s="332">
        <f t="shared" si="47"/>
        <v>0</v>
      </c>
      <c r="BB16" s="844" t="e">
        <f t="shared" ref="BB16:BD16" si="119">SUM(AY16,AU16,AQ16)</f>
        <v>#VALUE!</v>
      </c>
      <c r="BC16" s="326">
        <f t="shared" si="119"/>
        <v>0</v>
      </c>
      <c r="BD16" s="332">
        <f t="shared" si="119"/>
        <v>0</v>
      </c>
      <c r="BE16" s="140" t="e">
        <f t="shared" ref="BE16:BF16" si="120">SUM(BB16,AK16)</f>
        <v>#VALUE!</v>
      </c>
      <c r="BF16" s="326">
        <f t="shared" si="120"/>
        <v>0</v>
      </c>
      <c r="BG16" s="435">
        <f t="shared" si="50"/>
        <v>1141163.74</v>
      </c>
      <c r="BH16" s="423" t="str">
        <f t="shared" si="106"/>
        <v/>
      </c>
      <c r="BI16" s="123" t="e">
        <f t="shared" si="51"/>
        <v>#VALUE!</v>
      </c>
      <c r="BJ16" s="123" t="str">
        <f t="shared" si="52"/>
        <v/>
      </c>
      <c r="BK16" s="148">
        <f t="shared" si="53"/>
        <v>0</v>
      </c>
      <c r="BL16" s="423" t="str">
        <f t="shared" si="107"/>
        <v/>
      </c>
      <c r="BM16" s="123" t="e">
        <f t="shared" si="54"/>
        <v>#VALUE!</v>
      </c>
      <c r="BN16" s="123" t="str">
        <f t="shared" si="55"/>
        <v/>
      </c>
      <c r="BO16" s="123">
        <f t="shared" si="56"/>
        <v>0</v>
      </c>
      <c r="BP16" s="436" t="str">
        <f t="shared" si="108"/>
        <v/>
      </c>
      <c r="BQ16" s="140" t="e">
        <f t="shared" si="57"/>
        <v>#VALUE!</v>
      </c>
      <c r="BR16" s="325" t="str">
        <f t="shared" si="58"/>
        <v/>
      </c>
      <c r="BS16" s="333">
        <f t="shared" si="59"/>
        <v>0</v>
      </c>
      <c r="BT16" s="140" t="e">
        <f t="shared" ref="BT16:BV16" si="121">SUM(BQ16,BM16,BI16)</f>
        <v>#VALUE!</v>
      </c>
      <c r="BU16" s="326">
        <f t="shared" si="121"/>
        <v>0</v>
      </c>
      <c r="BV16" s="333">
        <f t="shared" si="121"/>
        <v>0</v>
      </c>
      <c r="BW16" s="125" t="str">
        <f t="shared" si="110"/>
        <v/>
      </c>
      <c r="BX16" s="140" t="e">
        <f t="shared" si="61"/>
        <v>#VALUE!</v>
      </c>
      <c r="BY16" s="123" t="str">
        <f t="shared" si="62"/>
        <v/>
      </c>
      <c r="BZ16" s="148">
        <f t="shared" si="63"/>
        <v>0</v>
      </c>
      <c r="CA16" s="123" t="str">
        <f t="shared" si="111"/>
        <v/>
      </c>
      <c r="CB16" s="326" t="str">
        <f t="shared" si="112"/>
        <v/>
      </c>
      <c r="CE16" s="231" t="s">
        <v>78</v>
      </c>
      <c r="CF16" s="232"/>
      <c r="CG16" s="232"/>
      <c r="CI16" s="294"/>
      <c r="CJ16" s="294"/>
    </row>
    <row r="17" spans="1:115" ht="13">
      <c r="A17" s="436">
        <f t="shared" si="0"/>
        <v>112013321</v>
      </c>
      <c r="B17" s="172">
        <f t="shared" si="1"/>
        <v>31</v>
      </c>
      <c r="C17" s="558">
        <f t="shared" si="2"/>
        <v>0.1</v>
      </c>
      <c r="D17" s="558">
        <f t="shared" si="3"/>
        <v>0.23</v>
      </c>
      <c r="E17" s="559">
        <f t="shared" si="4"/>
        <v>0</v>
      </c>
      <c r="F17" s="836">
        <f t="shared" si="5"/>
        <v>31</v>
      </c>
      <c r="G17" s="558">
        <f t="shared" si="6"/>
        <v>0.1</v>
      </c>
      <c r="H17" s="558">
        <f t="shared" si="7"/>
        <v>0.23</v>
      </c>
      <c r="I17" s="559">
        <f t="shared" si="8"/>
        <v>0</v>
      </c>
      <c r="J17" s="837">
        <f t="shared" si="9"/>
        <v>61</v>
      </c>
      <c r="K17" s="699">
        <f t="shared" si="10"/>
        <v>0.1</v>
      </c>
      <c r="L17" s="700">
        <f t="shared" si="11"/>
        <v>0.14000000000000001</v>
      </c>
      <c r="M17" s="498" t="s">
        <v>699</v>
      </c>
      <c r="N17" s="845">
        <f t="shared" si="100"/>
        <v>1124800.43</v>
      </c>
      <c r="O17" s="251">
        <v>2500000</v>
      </c>
      <c r="P17" s="140">
        <f t="shared" si="12"/>
        <v>760802.38000000012</v>
      </c>
      <c r="Q17" s="116">
        <f t="shared" si="13"/>
        <v>1937439.91</v>
      </c>
      <c r="R17" s="117">
        <f t="shared" si="14"/>
        <v>2698242.29</v>
      </c>
      <c r="S17" s="123">
        <f t="shared" si="15"/>
        <v>198242.29000000004</v>
      </c>
      <c r="T17" s="98">
        <f t="shared" si="16"/>
        <v>1.0792969160000001</v>
      </c>
      <c r="U17" s="123">
        <f t="shared" si="17"/>
        <v>653844.85</v>
      </c>
      <c r="V17" s="860">
        <v>2500000</v>
      </c>
      <c r="W17" s="113">
        <f t="shared" si="19"/>
        <v>646964.53000000026</v>
      </c>
      <c r="X17" s="116">
        <f t="shared" si="20"/>
        <v>2134030.44</v>
      </c>
      <c r="Y17" s="117">
        <f t="shared" si="21"/>
        <v>2780994.97</v>
      </c>
      <c r="Z17" s="123">
        <f t="shared" si="22"/>
        <v>280994.9700000002</v>
      </c>
      <c r="AA17" s="98">
        <f t="shared" si="23"/>
        <v>1.1123979880000001</v>
      </c>
      <c r="AB17" s="123">
        <f t="shared" si="24"/>
        <v>963526.05</v>
      </c>
      <c r="AC17" s="860">
        <v>2500000</v>
      </c>
      <c r="AD17" s="113">
        <f t="shared" si="26"/>
        <v>429099.40999999992</v>
      </c>
      <c r="AE17" s="116">
        <f t="shared" si="27"/>
        <v>1885776.11</v>
      </c>
      <c r="AF17" s="117">
        <f t="shared" si="28"/>
        <v>2314875.52</v>
      </c>
      <c r="AG17" s="123">
        <f t="shared" si="29"/>
        <v>-185124.47999999998</v>
      </c>
      <c r="AH17" s="494">
        <f t="shared" si="30"/>
        <v>0.92595020800000005</v>
      </c>
      <c r="AI17" s="846">
        <f t="shared" si="31"/>
        <v>7500000</v>
      </c>
      <c r="AJ17" s="840">
        <f t="shared" si="32"/>
        <v>10443424.4</v>
      </c>
      <c r="AK17" s="326">
        <f t="shared" si="33"/>
        <v>1836866.3200000003</v>
      </c>
      <c r="AL17" s="326">
        <f t="shared" si="34"/>
        <v>8091276.9000000004</v>
      </c>
      <c r="AM17" s="326">
        <f t="shared" si="35"/>
        <v>7794112.7800000003</v>
      </c>
      <c r="AN17" s="116">
        <f t="shared" si="36"/>
        <v>-2649311.62</v>
      </c>
      <c r="AO17" s="413">
        <f t="shared" ref="AO17:AO27" si="122">AM17/AJ17</f>
        <v>0.74631772888593895</v>
      </c>
      <c r="AP17" s="434">
        <f t="shared" si="101"/>
        <v>704395.16</v>
      </c>
      <c r="AQ17" s="140">
        <f t="shared" si="39"/>
        <v>1072636.1000000001</v>
      </c>
      <c r="AR17" s="123">
        <f t="shared" si="40"/>
        <v>2638670.04</v>
      </c>
      <c r="AS17" s="148">
        <f t="shared" si="41"/>
        <v>3711306.14</v>
      </c>
      <c r="AT17" s="123">
        <f t="shared" si="102"/>
        <v>1224864.08</v>
      </c>
      <c r="AU17" s="326">
        <f t="shared" si="42"/>
        <v>240809.85999999987</v>
      </c>
      <c r="AV17" s="326">
        <f t="shared" si="43"/>
        <v>2299386.06</v>
      </c>
      <c r="AW17" s="326">
        <f t="shared" si="44"/>
        <v>2540195.92</v>
      </c>
      <c r="AX17" s="332">
        <f t="shared" si="103"/>
        <v>888098.14</v>
      </c>
      <c r="AY17" s="140">
        <f t="shared" si="45"/>
        <v>539646.89999999991</v>
      </c>
      <c r="AZ17" s="326">
        <f t="shared" si="46"/>
        <v>2482086.6</v>
      </c>
      <c r="BA17" s="332">
        <f t="shared" si="47"/>
        <v>3021733.5</v>
      </c>
      <c r="BB17" s="844">
        <f t="shared" ref="BB17:BD17" si="123">SUM(AY17,AU17,AQ17)</f>
        <v>1853092.8599999999</v>
      </c>
      <c r="BC17" s="326">
        <f t="shared" si="123"/>
        <v>7420142.7000000002</v>
      </c>
      <c r="BD17" s="332">
        <f t="shared" si="123"/>
        <v>9273235.5600000005</v>
      </c>
      <c r="BE17" s="140">
        <f t="shared" ref="BE17:BF17" si="124">SUM(BB17,AK17)</f>
        <v>3689959.18</v>
      </c>
      <c r="BF17" s="326">
        <f t="shared" si="124"/>
        <v>15511419.600000001</v>
      </c>
      <c r="BG17" s="435">
        <f t="shared" si="50"/>
        <v>17067348.34</v>
      </c>
      <c r="BH17" s="423">
        <f t="shared" si="106"/>
        <v>2049400.42</v>
      </c>
      <c r="BI17" s="123">
        <f t="shared" si="51"/>
        <v>384109.00999999978</v>
      </c>
      <c r="BJ17" s="123">
        <f t="shared" si="52"/>
        <v>3244740.93</v>
      </c>
      <c r="BK17" s="148">
        <f t="shared" si="53"/>
        <v>3628849.94</v>
      </c>
      <c r="BL17" s="423">
        <f t="shared" si="107"/>
        <v>2980101.13</v>
      </c>
      <c r="BM17" s="123">
        <f t="shared" si="54"/>
        <v>701560.01999999955</v>
      </c>
      <c r="BN17" s="123">
        <f t="shared" si="55"/>
        <v>5337957.2</v>
      </c>
      <c r="BO17" s="123">
        <f t="shared" si="56"/>
        <v>6039517.2199999997</v>
      </c>
      <c r="BP17" s="436">
        <f t="shared" si="108"/>
        <v>1672402.61</v>
      </c>
      <c r="BQ17" s="140">
        <f t="shared" si="57"/>
        <v>1020791.7999999999</v>
      </c>
      <c r="BR17" s="325">
        <f t="shared" si="58"/>
        <v>817182.83</v>
      </c>
      <c r="BS17" s="333">
        <f t="shared" si="59"/>
        <v>1837974.63</v>
      </c>
      <c r="BT17" s="140">
        <f t="shared" ref="BT17:BV17" si="125">SUM(BQ17,BM17,BI17)</f>
        <v>2106460.8299999991</v>
      </c>
      <c r="BU17" s="326">
        <f t="shared" si="125"/>
        <v>9399880.9600000009</v>
      </c>
      <c r="BV17" s="333">
        <f t="shared" si="125"/>
        <v>11506341.789999999</v>
      </c>
      <c r="BW17" s="125">
        <f t="shared" si="110"/>
        <v>3169427.14</v>
      </c>
      <c r="BX17" s="140">
        <f t="shared" si="61"/>
        <v>1488494.33</v>
      </c>
      <c r="BY17" s="123">
        <f t="shared" si="62"/>
        <v>2921862.34</v>
      </c>
      <c r="BZ17" s="148">
        <f t="shared" si="63"/>
        <v>4410356.67</v>
      </c>
      <c r="CA17" s="123">
        <f t="shared" si="111"/>
        <v>3663867.64</v>
      </c>
      <c r="CB17" s="326">
        <f t="shared" si="112"/>
        <v>3610129.62</v>
      </c>
      <c r="CE17" s="231" t="s">
        <v>80</v>
      </c>
      <c r="CF17" s="231"/>
      <c r="CG17" s="231"/>
      <c r="CI17" s="294"/>
      <c r="CJ17" s="294"/>
    </row>
    <row r="18" spans="1:115" ht="13">
      <c r="A18" s="436">
        <f t="shared" si="0"/>
        <v>112013206</v>
      </c>
      <c r="B18" s="172">
        <f t="shared" si="1"/>
        <v>7</v>
      </c>
      <c r="C18" s="558">
        <f t="shared" si="2"/>
        <v>0.1</v>
      </c>
      <c r="D18" s="558">
        <f t="shared" si="3"/>
        <v>0.2</v>
      </c>
      <c r="E18" s="559">
        <f t="shared" si="4"/>
        <v>0</v>
      </c>
      <c r="F18" s="836">
        <f t="shared" si="5"/>
        <v>7</v>
      </c>
      <c r="G18" s="558">
        <f t="shared" si="6"/>
        <v>0.1</v>
      </c>
      <c r="H18" s="558">
        <f t="shared" si="7"/>
        <v>0.2</v>
      </c>
      <c r="I18" s="559">
        <f t="shared" si="8"/>
        <v>0</v>
      </c>
      <c r="J18" s="837">
        <f t="shared" si="9"/>
        <v>62</v>
      </c>
      <c r="K18" s="699">
        <f t="shared" si="10"/>
        <v>0.1</v>
      </c>
      <c r="L18" s="700">
        <f t="shared" si="11"/>
        <v>0.11</v>
      </c>
      <c r="M18" s="498" t="s">
        <v>700</v>
      </c>
      <c r="N18" s="845">
        <f t="shared" si="100"/>
        <v>1029754.19</v>
      </c>
      <c r="O18" s="237">
        <v>1800000</v>
      </c>
      <c r="P18" s="113">
        <f t="shared" si="12"/>
        <v>520676.49</v>
      </c>
      <c r="Q18" s="116">
        <f t="shared" si="13"/>
        <v>933995.98</v>
      </c>
      <c r="R18" s="117">
        <f t="shared" si="14"/>
        <v>1454672.47</v>
      </c>
      <c r="S18" s="114">
        <f t="shared" si="15"/>
        <v>-345327.53</v>
      </c>
      <c r="T18" s="413">
        <f t="shared" si="16"/>
        <v>0.80815137222222222</v>
      </c>
      <c r="U18" s="123">
        <f t="shared" si="17"/>
        <v>232697.16</v>
      </c>
      <c r="V18" s="237">
        <v>1800000</v>
      </c>
      <c r="W18" s="113">
        <f t="shared" si="19"/>
        <v>1465458.86</v>
      </c>
      <c r="X18" s="116">
        <f t="shared" si="20"/>
        <v>1148297.76</v>
      </c>
      <c r="Y18" s="117">
        <f t="shared" si="21"/>
        <v>2613756.62</v>
      </c>
      <c r="Z18" s="123">
        <f t="shared" si="22"/>
        <v>813756.62000000011</v>
      </c>
      <c r="AA18" s="98">
        <f t="shared" si="23"/>
        <v>1.4520870111111113</v>
      </c>
      <c r="AB18" s="123">
        <f t="shared" si="24"/>
        <v>980318.02</v>
      </c>
      <c r="AC18" s="332">
        <f t="shared" ref="AC18:AC21" si="126">(AB18*1.5955)*1.03</f>
        <v>1611020.3229373</v>
      </c>
      <c r="AD18" s="113">
        <f t="shared" si="26"/>
        <v>230990.11000000004</v>
      </c>
      <c r="AE18" s="116">
        <f t="shared" si="27"/>
        <v>126110.42</v>
      </c>
      <c r="AF18" s="117">
        <f t="shared" si="28"/>
        <v>357100.53</v>
      </c>
      <c r="AG18" s="123">
        <f t="shared" si="29"/>
        <v>-1253919.7929372999</v>
      </c>
      <c r="AH18" s="494">
        <f t="shared" si="30"/>
        <v>0.22166109571412165</v>
      </c>
      <c r="AI18" s="846">
        <f t="shared" si="31"/>
        <v>5211020.3229373004</v>
      </c>
      <c r="AJ18" s="840">
        <f t="shared" si="32"/>
        <v>3255275.93</v>
      </c>
      <c r="AK18" s="326">
        <f t="shared" si="33"/>
        <v>2217125.46</v>
      </c>
      <c r="AL18" s="326">
        <f t="shared" si="34"/>
        <v>3356701.92</v>
      </c>
      <c r="AM18" s="326">
        <f t="shared" si="35"/>
        <v>4425529.62</v>
      </c>
      <c r="AN18" s="116">
        <f t="shared" si="36"/>
        <v>1170253.69</v>
      </c>
      <c r="AO18" s="413">
        <f t="shared" si="122"/>
        <v>1.3594944684151551</v>
      </c>
      <c r="AP18" s="434">
        <f t="shared" si="101"/>
        <v>909111.29</v>
      </c>
      <c r="AQ18" s="140">
        <f t="shared" si="39"/>
        <v>139965.27000000002</v>
      </c>
      <c r="AR18" s="123">
        <f t="shared" si="40"/>
        <v>1140975.4099999999</v>
      </c>
      <c r="AS18" s="148">
        <f t="shared" si="41"/>
        <v>1280940.68</v>
      </c>
      <c r="AT18" s="123">
        <f t="shared" si="102"/>
        <v>917977.62</v>
      </c>
      <c r="AU18" s="326">
        <f t="shared" si="42"/>
        <v>758124.03</v>
      </c>
      <c r="AV18" s="326">
        <f t="shared" si="43"/>
        <v>582109.03</v>
      </c>
      <c r="AW18" s="326">
        <f t="shared" si="44"/>
        <v>1340233.06</v>
      </c>
      <c r="AX18" s="332">
        <f t="shared" si="103"/>
        <v>1236068.3400000001</v>
      </c>
      <c r="AY18" s="140">
        <f t="shared" si="45"/>
        <v>563756.74000000011</v>
      </c>
      <c r="AZ18" s="326">
        <f t="shared" si="46"/>
        <v>660202.07999999996</v>
      </c>
      <c r="BA18" s="332">
        <f t="shared" si="47"/>
        <v>1223958.82</v>
      </c>
      <c r="BB18" s="844">
        <f t="shared" ref="BB18:BD18" si="127">SUM(AY18,AU18,AQ18)</f>
        <v>1461846.04</v>
      </c>
      <c r="BC18" s="326">
        <f t="shared" si="127"/>
        <v>2383286.5199999996</v>
      </c>
      <c r="BD18" s="332">
        <f t="shared" si="127"/>
        <v>3845132.5599999996</v>
      </c>
      <c r="BE18" s="140">
        <f t="shared" ref="BE18:BF18" si="128">SUM(BB18,AK18)</f>
        <v>3678971.5</v>
      </c>
      <c r="BF18" s="326">
        <f t="shared" si="128"/>
        <v>5739988.4399999995</v>
      </c>
      <c r="BG18" s="435">
        <f t="shared" si="50"/>
        <v>8270662.1799999997</v>
      </c>
      <c r="BH18" s="423">
        <f t="shared" si="106"/>
        <v>934454</v>
      </c>
      <c r="BI18" s="123">
        <f t="shared" si="51"/>
        <v>71113.839999999851</v>
      </c>
      <c r="BJ18" s="123">
        <f t="shared" si="52"/>
        <v>1227608.81</v>
      </c>
      <c r="BK18" s="148">
        <f t="shared" si="53"/>
        <v>1298722.6499999999</v>
      </c>
      <c r="BL18" s="423">
        <f t="shared" si="107"/>
        <v>1633354.67</v>
      </c>
      <c r="BM18" s="123">
        <f t="shared" si="54"/>
        <v>912593.02</v>
      </c>
      <c r="BN18" s="123">
        <f t="shared" si="55"/>
        <v>1250626.92</v>
      </c>
      <c r="BO18" s="123">
        <f t="shared" si="56"/>
        <v>2163219.94</v>
      </c>
      <c r="BP18" s="436">
        <f t="shared" si="108"/>
        <v>504902.59</v>
      </c>
      <c r="BQ18" s="140">
        <f t="shared" si="57"/>
        <v>795156.45</v>
      </c>
      <c r="BR18" s="325">
        <f t="shared" si="58"/>
        <v>1134066.48</v>
      </c>
      <c r="BS18" s="333">
        <f t="shared" si="59"/>
        <v>1929222.93</v>
      </c>
      <c r="BT18" s="140">
        <f t="shared" ref="BT18:BV18" si="129">SUM(BQ18,BM18,BI18)</f>
        <v>1778863.3099999998</v>
      </c>
      <c r="BU18" s="326">
        <f t="shared" si="129"/>
        <v>3612302.21</v>
      </c>
      <c r="BV18" s="333">
        <f t="shared" si="129"/>
        <v>5391165.5199999996</v>
      </c>
      <c r="BW18" s="125">
        <f t="shared" si="110"/>
        <v>1146797.5900000001</v>
      </c>
      <c r="BX18" s="140">
        <f t="shared" si="61"/>
        <v>985550.24999999988</v>
      </c>
      <c r="BY18" s="123">
        <f t="shared" si="62"/>
        <v>506812.15</v>
      </c>
      <c r="BZ18" s="148">
        <f t="shared" si="63"/>
        <v>1492362.4</v>
      </c>
      <c r="CA18" s="123">
        <f t="shared" si="111"/>
        <v>1188192.1299999999</v>
      </c>
      <c r="CB18" s="326">
        <f t="shared" si="112"/>
        <v>920286.21</v>
      </c>
      <c r="CE18" s="231" t="s">
        <v>82</v>
      </c>
      <c r="CF18" s="232"/>
      <c r="CG18" s="232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</row>
    <row r="19" spans="1:115" ht="13">
      <c r="A19" s="436">
        <f t="shared" si="0"/>
        <v>112014742</v>
      </c>
      <c r="B19" s="172" t="e">
        <f t="shared" si="1"/>
        <v>#N/A</v>
      </c>
      <c r="C19" s="558" t="str">
        <f t="shared" si="2"/>
        <v/>
      </c>
      <c r="D19" s="558" t="str">
        <f t="shared" si="3"/>
        <v/>
      </c>
      <c r="E19" s="559" t="str">
        <f t="shared" si="4"/>
        <v/>
      </c>
      <c r="F19" s="836">
        <f t="shared" si="5"/>
        <v>7</v>
      </c>
      <c r="G19" s="558">
        <f t="shared" si="6"/>
        <v>0.1</v>
      </c>
      <c r="H19" s="558">
        <f t="shared" si="7"/>
        <v>0.2</v>
      </c>
      <c r="I19" s="559">
        <f t="shared" si="8"/>
        <v>0</v>
      </c>
      <c r="J19" s="837">
        <f t="shared" si="9"/>
        <v>62</v>
      </c>
      <c r="K19" s="699">
        <f t="shared" si="10"/>
        <v>0.1</v>
      </c>
      <c r="L19" s="700">
        <f t="shared" si="11"/>
        <v>0.11</v>
      </c>
      <c r="M19" s="498" t="s">
        <v>701</v>
      </c>
      <c r="N19" s="845" t="str">
        <f t="shared" si="100"/>
        <v/>
      </c>
      <c r="O19" s="237">
        <v>1800000</v>
      </c>
      <c r="P19" s="140" t="e">
        <f t="shared" si="12"/>
        <v>#VALUE!</v>
      </c>
      <c r="Q19" s="116" t="str">
        <f t="shared" si="13"/>
        <v/>
      </c>
      <c r="R19" s="117" t="str">
        <f t="shared" si="14"/>
        <v/>
      </c>
      <c r="S19" s="123" t="e">
        <f t="shared" si="15"/>
        <v>#VALUE!</v>
      </c>
      <c r="T19" s="98" t="str">
        <f t="shared" si="16"/>
        <v/>
      </c>
      <c r="U19" s="123" t="str">
        <f t="shared" si="17"/>
        <v/>
      </c>
      <c r="V19" s="456">
        <v>1800000</v>
      </c>
      <c r="W19" s="113" t="e">
        <f t="shared" si="19"/>
        <v>#VALUE!</v>
      </c>
      <c r="X19" s="116" t="str">
        <f t="shared" si="20"/>
        <v/>
      </c>
      <c r="Y19" s="117" t="str">
        <f t="shared" si="21"/>
        <v/>
      </c>
      <c r="Z19" s="123" t="e">
        <f t="shared" si="22"/>
        <v>#VALUE!</v>
      </c>
      <c r="AA19" s="98" t="str">
        <f t="shared" si="23"/>
        <v/>
      </c>
      <c r="AB19" s="123" t="str">
        <f t="shared" si="24"/>
        <v/>
      </c>
      <c r="AC19" s="332" t="e">
        <f t="shared" si="126"/>
        <v>#VALUE!</v>
      </c>
      <c r="AD19" s="113" t="e">
        <f t="shared" si="26"/>
        <v>#VALUE!</v>
      </c>
      <c r="AE19" s="116" t="str">
        <f t="shared" si="27"/>
        <v/>
      </c>
      <c r="AF19" s="117" t="str">
        <f t="shared" si="28"/>
        <v/>
      </c>
      <c r="AG19" s="123" t="e">
        <f t="shared" si="29"/>
        <v>#VALUE!</v>
      </c>
      <c r="AH19" s="494" t="str">
        <f t="shared" si="30"/>
        <v/>
      </c>
      <c r="AI19" s="846" t="e">
        <f t="shared" si="31"/>
        <v>#VALUE!</v>
      </c>
      <c r="AJ19" s="840" t="str">
        <f t="shared" si="32"/>
        <v/>
      </c>
      <c r="AK19" s="326" t="e">
        <f t="shared" si="33"/>
        <v>#VALUE!</v>
      </c>
      <c r="AL19" s="326">
        <f t="shared" si="34"/>
        <v>0</v>
      </c>
      <c r="AM19" s="326">
        <f t="shared" si="35"/>
        <v>0</v>
      </c>
      <c r="AN19" s="116" t="e">
        <f t="shared" si="36"/>
        <v>#VALUE!</v>
      </c>
      <c r="AO19" s="413" t="e">
        <f t="shared" si="122"/>
        <v>#VALUE!</v>
      </c>
      <c r="AP19" s="434" t="str">
        <f t="shared" si="101"/>
        <v/>
      </c>
      <c r="AQ19" s="140" t="e">
        <f t="shared" si="39"/>
        <v>#VALUE!</v>
      </c>
      <c r="AR19" s="123" t="str">
        <f t="shared" si="40"/>
        <v/>
      </c>
      <c r="AS19" s="148" t="str">
        <f t="shared" si="41"/>
        <v/>
      </c>
      <c r="AT19" s="123" t="str">
        <f t="shared" si="102"/>
        <v/>
      </c>
      <c r="AU19" s="326" t="e">
        <f t="shared" si="42"/>
        <v>#VALUE!</v>
      </c>
      <c r="AV19" s="326" t="str">
        <f t="shared" si="43"/>
        <v/>
      </c>
      <c r="AW19" s="326" t="str">
        <f t="shared" si="44"/>
        <v/>
      </c>
      <c r="AX19" s="332" t="str">
        <f t="shared" si="103"/>
        <v/>
      </c>
      <c r="AY19" s="140" t="e">
        <f t="shared" si="45"/>
        <v>#VALUE!</v>
      </c>
      <c r="AZ19" s="326" t="str">
        <f t="shared" si="46"/>
        <v/>
      </c>
      <c r="BA19" s="332" t="str">
        <f t="shared" si="47"/>
        <v/>
      </c>
      <c r="BB19" s="844" t="e">
        <f t="shared" ref="BB19:BD19" si="130">SUM(AY19,AU19,AQ19)</f>
        <v>#VALUE!</v>
      </c>
      <c r="BC19" s="326">
        <f t="shared" si="130"/>
        <v>0</v>
      </c>
      <c r="BD19" s="332">
        <f t="shared" si="130"/>
        <v>0</v>
      </c>
      <c r="BE19" s="140" t="e">
        <f t="shared" ref="BE19:BF19" si="131">SUM(BB19,AK19)</f>
        <v>#VALUE!</v>
      </c>
      <c r="BF19" s="326">
        <f t="shared" si="131"/>
        <v>0</v>
      </c>
      <c r="BG19" s="435">
        <f t="shared" si="50"/>
        <v>0</v>
      </c>
      <c r="BH19" s="423" t="str">
        <f t="shared" si="106"/>
        <v/>
      </c>
      <c r="BI19" s="123" t="e">
        <f t="shared" si="51"/>
        <v>#VALUE!</v>
      </c>
      <c r="BJ19" s="123" t="str">
        <f t="shared" si="52"/>
        <v/>
      </c>
      <c r="BK19" s="148" t="str">
        <f t="shared" si="53"/>
        <v/>
      </c>
      <c r="BL19" s="423" t="str">
        <f t="shared" si="107"/>
        <v/>
      </c>
      <c r="BM19" s="123" t="e">
        <f t="shared" si="54"/>
        <v>#VALUE!</v>
      </c>
      <c r="BN19" s="123" t="str">
        <f t="shared" si="55"/>
        <v/>
      </c>
      <c r="BO19" s="123" t="str">
        <f t="shared" si="56"/>
        <v/>
      </c>
      <c r="BP19" s="436" t="str">
        <f t="shared" si="108"/>
        <v/>
      </c>
      <c r="BQ19" s="140" t="e">
        <f t="shared" si="57"/>
        <v>#VALUE!</v>
      </c>
      <c r="BR19" s="325" t="str">
        <f t="shared" si="58"/>
        <v/>
      </c>
      <c r="BS19" s="333" t="str">
        <f t="shared" si="59"/>
        <v/>
      </c>
      <c r="BT19" s="140" t="e">
        <f t="shared" ref="BT19:BV19" si="132">SUM(BQ19,BM19,BI19)</f>
        <v>#VALUE!</v>
      </c>
      <c r="BU19" s="326">
        <f t="shared" si="132"/>
        <v>0</v>
      </c>
      <c r="BV19" s="333">
        <f t="shared" si="132"/>
        <v>0</v>
      </c>
      <c r="BW19" s="125" t="str">
        <f t="shared" si="110"/>
        <v/>
      </c>
      <c r="BX19" s="140" t="e">
        <f t="shared" si="61"/>
        <v>#VALUE!</v>
      </c>
      <c r="BY19" s="123" t="str">
        <f t="shared" si="62"/>
        <v/>
      </c>
      <c r="BZ19" s="148" t="str">
        <f t="shared" si="63"/>
        <v/>
      </c>
      <c r="CA19" s="123" t="str">
        <f t="shared" si="111"/>
        <v/>
      </c>
      <c r="CB19" s="326" t="str">
        <f t="shared" si="112"/>
        <v/>
      </c>
      <c r="CE19" s="231" t="s">
        <v>84</v>
      </c>
      <c r="CF19" s="231"/>
      <c r="CG19" s="231"/>
      <c r="CI19" s="294"/>
      <c r="CJ19" s="294"/>
    </row>
    <row r="20" spans="1:115" ht="13">
      <c r="A20" s="436">
        <f t="shared" si="0"/>
        <v>112013734</v>
      </c>
      <c r="B20" s="172">
        <f t="shared" si="1"/>
        <v>7</v>
      </c>
      <c r="C20" s="558">
        <f t="shared" si="2"/>
        <v>0.1</v>
      </c>
      <c r="D20" s="558">
        <f t="shared" si="3"/>
        <v>0.2</v>
      </c>
      <c r="E20" s="559">
        <f t="shared" si="4"/>
        <v>0</v>
      </c>
      <c r="F20" s="836">
        <f t="shared" si="5"/>
        <v>7</v>
      </c>
      <c r="G20" s="558">
        <f t="shared" si="6"/>
        <v>0.1</v>
      </c>
      <c r="H20" s="558">
        <f t="shared" si="7"/>
        <v>0.2</v>
      </c>
      <c r="I20" s="559">
        <f t="shared" si="8"/>
        <v>0</v>
      </c>
      <c r="J20" s="837">
        <f t="shared" si="9"/>
        <v>62</v>
      </c>
      <c r="K20" s="699">
        <f t="shared" si="10"/>
        <v>0.1</v>
      </c>
      <c r="L20" s="700">
        <f t="shared" si="11"/>
        <v>0.11</v>
      </c>
      <c r="M20" s="859" t="s">
        <v>702</v>
      </c>
      <c r="N20" s="434"/>
      <c r="O20" s="141"/>
      <c r="P20" s="140">
        <f t="shared" si="12"/>
        <v>0</v>
      </c>
      <c r="Q20" s="116">
        <f t="shared" si="13"/>
        <v>0</v>
      </c>
      <c r="R20" s="117">
        <f t="shared" si="14"/>
        <v>0</v>
      </c>
      <c r="S20" s="123">
        <f t="shared" si="15"/>
        <v>0</v>
      </c>
      <c r="T20" s="98" t="str">
        <f t="shared" si="16"/>
        <v/>
      </c>
      <c r="U20" s="123">
        <f t="shared" si="17"/>
        <v>602642.82999999996</v>
      </c>
      <c r="V20" s="332"/>
      <c r="W20" s="113">
        <f t="shared" si="19"/>
        <v>972744.52999999991</v>
      </c>
      <c r="X20" s="116">
        <f t="shared" si="20"/>
        <v>543885.87</v>
      </c>
      <c r="Y20" s="117">
        <f t="shared" si="21"/>
        <v>1516630.4</v>
      </c>
      <c r="Z20" s="123">
        <f t="shared" si="22"/>
        <v>1516630.4</v>
      </c>
      <c r="AA20" s="98" t="str">
        <f t="shared" si="23"/>
        <v/>
      </c>
      <c r="AB20" s="123">
        <f t="shared" si="24"/>
        <v>1049339.08</v>
      </c>
      <c r="AC20" s="332">
        <f t="shared" si="126"/>
        <v>1724447.1172042</v>
      </c>
      <c r="AD20" s="113">
        <f t="shared" si="26"/>
        <v>0</v>
      </c>
      <c r="AE20" s="116">
        <f t="shared" si="27"/>
        <v>892228.8</v>
      </c>
      <c r="AF20" s="117">
        <f t="shared" si="28"/>
        <v>892228.8</v>
      </c>
      <c r="AG20" s="123">
        <f t="shared" si="29"/>
        <v>-832218.31720419996</v>
      </c>
      <c r="AH20" s="494">
        <f t="shared" si="30"/>
        <v>0.51739991971835397</v>
      </c>
      <c r="AI20" s="846">
        <f t="shared" si="31"/>
        <v>1724447.1172042</v>
      </c>
      <c r="AJ20" s="840">
        <f t="shared" si="32"/>
        <v>3405552.96</v>
      </c>
      <c r="AK20" s="326">
        <f t="shared" si="33"/>
        <v>972744.52999999991</v>
      </c>
      <c r="AL20" s="326">
        <f t="shared" si="34"/>
        <v>1980000.54</v>
      </c>
      <c r="AM20" s="326">
        <f t="shared" si="35"/>
        <v>2408859.2000000002</v>
      </c>
      <c r="AN20" s="116">
        <f t="shared" si="36"/>
        <v>-996693.75999999978</v>
      </c>
      <c r="AO20" s="413">
        <f t="shared" si="122"/>
        <v>0.70733276748102614</v>
      </c>
      <c r="AP20" s="434"/>
      <c r="AQ20" s="140">
        <f t="shared" si="39"/>
        <v>103316.67000000004</v>
      </c>
      <c r="AR20" s="123">
        <f t="shared" si="40"/>
        <v>981855.6</v>
      </c>
      <c r="AS20" s="148">
        <f t="shared" si="41"/>
        <v>1085172.27</v>
      </c>
      <c r="AT20" s="123"/>
      <c r="AU20" s="326">
        <f t="shared" si="42"/>
        <v>0</v>
      </c>
      <c r="AV20" s="326">
        <f t="shared" si="43"/>
        <v>666466.96</v>
      </c>
      <c r="AW20" s="326">
        <f t="shared" si="44"/>
        <v>666466.96</v>
      </c>
      <c r="AX20" s="332"/>
      <c r="AY20" s="140">
        <f t="shared" si="45"/>
        <v>0</v>
      </c>
      <c r="AZ20" s="326">
        <f t="shared" si="46"/>
        <v>1382539.92</v>
      </c>
      <c r="BA20" s="332">
        <f t="shared" si="47"/>
        <v>1382539.92</v>
      </c>
      <c r="BB20" s="844">
        <f t="shared" ref="BB20:BD20" si="133">SUM(AY20,AU20,AQ20)</f>
        <v>103316.67000000004</v>
      </c>
      <c r="BC20" s="326">
        <f t="shared" si="133"/>
        <v>3030862.48</v>
      </c>
      <c r="BD20" s="332">
        <f t="shared" si="133"/>
        <v>3134179.15</v>
      </c>
      <c r="BE20" s="140">
        <f t="shared" ref="BE20:BF20" si="134">SUM(BB20,AK20)</f>
        <v>1076061.2</v>
      </c>
      <c r="BF20" s="326">
        <f t="shared" si="134"/>
        <v>5010863.0199999996</v>
      </c>
      <c r="BG20" s="435">
        <f t="shared" si="50"/>
        <v>5543038.3499999996</v>
      </c>
      <c r="BH20" s="423"/>
      <c r="BI20" s="123">
        <f t="shared" si="51"/>
        <v>192884.71999999997</v>
      </c>
      <c r="BJ20" s="123">
        <f t="shared" si="52"/>
        <v>1304388.56</v>
      </c>
      <c r="BK20" s="148">
        <f t="shared" si="53"/>
        <v>1497273.28</v>
      </c>
      <c r="BL20" s="423"/>
      <c r="BM20" s="123">
        <f t="shared" si="54"/>
        <v>979851.16999999993</v>
      </c>
      <c r="BN20" s="123">
        <f t="shared" si="55"/>
        <v>642828.48</v>
      </c>
      <c r="BO20" s="123">
        <f t="shared" si="56"/>
        <v>1622679.65</v>
      </c>
      <c r="BP20" s="436"/>
      <c r="BQ20" s="140">
        <f t="shared" si="57"/>
        <v>829046.02</v>
      </c>
      <c r="BR20" s="325">
        <f t="shared" si="58"/>
        <v>1144265.04</v>
      </c>
      <c r="BS20" s="333">
        <f t="shared" si="59"/>
        <v>1973311.06</v>
      </c>
      <c r="BT20" s="140">
        <f t="shared" ref="BT20:BV20" si="135">SUM(BQ20,BM20,BI20)</f>
        <v>2001781.91</v>
      </c>
      <c r="BU20" s="326">
        <f t="shared" si="135"/>
        <v>3091482.08</v>
      </c>
      <c r="BV20" s="333">
        <f t="shared" si="135"/>
        <v>5093263.99</v>
      </c>
      <c r="BW20" s="125"/>
      <c r="BX20" s="140">
        <f t="shared" si="61"/>
        <v>3173867.51</v>
      </c>
      <c r="BY20" s="123">
        <f t="shared" si="62"/>
        <v>879021.41</v>
      </c>
      <c r="BZ20" s="148">
        <f t="shared" si="63"/>
        <v>4052888.92</v>
      </c>
      <c r="CA20" s="123"/>
      <c r="CB20" s="326"/>
      <c r="CE20" s="231" t="s">
        <v>86</v>
      </c>
      <c r="CF20" s="232"/>
      <c r="CG20" s="232"/>
      <c r="CI20" s="294"/>
      <c r="CJ20" s="294"/>
    </row>
    <row r="21" spans="1:115" ht="13">
      <c r="A21" s="436">
        <f t="shared" si="0"/>
        <v>112014488</v>
      </c>
      <c r="B21" s="172">
        <f t="shared" si="1"/>
        <v>7</v>
      </c>
      <c r="C21" s="558">
        <f t="shared" si="2"/>
        <v>0.1</v>
      </c>
      <c r="D21" s="558">
        <f t="shared" si="3"/>
        <v>0.2</v>
      </c>
      <c r="E21" s="559">
        <f t="shared" si="4"/>
        <v>0</v>
      </c>
      <c r="F21" s="836">
        <f t="shared" si="5"/>
        <v>7</v>
      </c>
      <c r="G21" s="558">
        <f t="shared" si="6"/>
        <v>0.1</v>
      </c>
      <c r="H21" s="558">
        <f t="shared" si="7"/>
        <v>0.2</v>
      </c>
      <c r="I21" s="559">
        <f t="shared" si="8"/>
        <v>0</v>
      </c>
      <c r="J21" s="837">
        <f t="shared" si="9"/>
        <v>62</v>
      </c>
      <c r="K21" s="699">
        <f t="shared" si="10"/>
        <v>0.1</v>
      </c>
      <c r="L21" s="700">
        <f t="shared" si="11"/>
        <v>0.11</v>
      </c>
      <c r="M21" s="859" t="s">
        <v>703</v>
      </c>
      <c r="N21" s="434"/>
      <c r="O21" s="141"/>
      <c r="P21" s="140">
        <f t="shared" si="12"/>
        <v>0</v>
      </c>
      <c r="Q21" s="116">
        <f t="shared" si="13"/>
        <v>0</v>
      </c>
      <c r="R21" s="117">
        <f t="shared" si="14"/>
        <v>0</v>
      </c>
      <c r="S21" s="123">
        <f t="shared" si="15"/>
        <v>0</v>
      </c>
      <c r="T21" s="98" t="str">
        <f t="shared" si="16"/>
        <v/>
      </c>
      <c r="U21" s="123">
        <f t="shared" si="17"/>
        <v>0</v>
      </c>
      <c r="V21" s="332"/>
      <c r="W21" s="113">
        <f t="shared" si="19"/>
        <v>110153.54</v>
      </c>
      <c r="X21" s="116">
        <f t="shared" si="20"/>
        <v>0</v>
      </c>
      <c r="Y21" s="117">
        <f t="shared" si="21"/>
        <v>110153.54</v>
      </c>
      <c r="Z21" s="123">
        <f t="shared" si="22"/>
        <v>110153.54</v>
      </c>
      <c r="AA21" s="98" t="str">
        <f t="shared" si="23"/>
        <v/>
      </c>
      <c r="AB21" s="123">
        <f t="shared" si="24"/>
        <v>0</v>
      </c>
      <c r="AC21" s="332">
        <f t="shared" si="126"/>
        <v>0</v>
      </c>
      <c r="AD21" s="113">
        <f t="shared" si="26"/>
        <v>163886.85</v>
      </c>
      <c r="AE21" s="116">
        <f t="shared" si="27"/>
        <v>93877.85</v>
      </c>
      <c r="AF21" s="117">
        <f t="shared" si="28"/>
        <v>257764.7</v>
      </c>
      <c r="AG21" s="123">
        <f t="shared" si="29"/>
        <v>257764.7</v>
      </c>
      <c r="AH21" s="494" t="str">
        <f t="shared" si="30"/>
        <v/>
      </c>
      <c r="AI21" s="846">
        <f t="shared" si="31"/>
        <v>0</v>
      </c>
      <c r="AJ21" s="840">
        <f t="shared" si="32"/>
        <v>367966.25</v>
      </c>
      <c r="AK21" s="326">
        <f t="shared" si="33"/>
        <v>274040.39</v>
      </c>
      <c r="AL21" s="326">
        <f t="shared" si="34"/>
        <v>93877.85</v>
      </c>
      <c r="AM21" s="326">
        <f t="shared" si="35"/>
        <v>367918.24</v>
      </c>
      <c r="AN21" s="116">
        <f t="shared" si="36"/>
        <v>-48.010000000009313</v>
      </c>
      <c r="AO21" s="413">
        <f t="shared" si="122"/>
        <v>0.99986952607745949</v>
      </c>
      <c r="AP21" s="434"/>
      <c r="AQ21" s="140">
        <f t="shared" si="39"/>
        <v>604909.19999999995</v>
      </c>
      <c r="AR21" s="123">
        <f t="shared" si="40"/>
        <v>0</v>
      </c>
      <c r="AS21" s="148">
        <f t="shared" si="41"/>
        <v>604909.19999999995</v>
      </c>
      <c r="AT21" s="123"/>
      <c r="AU21" s="326">
        <f t="shared" si="42"/>
        <v>0</v>
      </c>
      <c r="AV21" s="326">
        <f t="shared" si="43"/>
        <v>0</v>
      </c>
      <c r="AW21" s="326">
        <f t="shared" si="44"/>
        <v>0</v>
      </c>
      <c r="AX21" s="332"/>
      <c r="AY21" s="140">
        <f t="shared" si="45"/>
        <v>0</v>
      </c>
      <c r="AZ21" s="326">
        <f t="shared" si="46"/>
        <v>0</v>
      </c>
      <c r="BA21" s="332">
        <f t="shared" si="47"/>
        <v>0</v>
      </c>
      <c r="BB21" s="844">
        <f t="shared" ref="BB21:BD21" si="136">SUM(AY21,AU21,AQ21)</f>
        <v>604909.19999999995</v>
      </c>
      <c r="BC21" s="326">
        <f t="shared" si="136"/>
        <v>0</v>
      </c>
      <c r="BD21" s="332">
        <f t="shared" si="136"/>
        <v>604909.19999999995</v>
      </c>
      <c r="BE21" s="140">
        <f t="shared" ref="BE21:BF21" si="137">SUM(BB21,AK21)</f>
        <v>878949.59</v>
      </c>
      <c r="BF21" s="326">
        <f t="shared" si="137"/>
        <v>93877.85</v>
      </c>
      <c r="BG21" s="435">
        <f t="shared" si="50"/>
        <v>972827.44</v>
      </c>
      <c r="BH21" s="423"/>
      <c r="BI21" s="123">
        <f t="shared" si="51"/>
        <v>0</v>
      </c>
      <c r="BJ21" s="123">
        <f t="shared" si="52"/>
        <v>0</v>
      </c>
      <c r="BK21" s="148">
        <f t="shared" si="53"/>
        <v>0</v>
      </c>
      <c r="BL21" s="423"/>
      <c r="BM21" s="123">
        <f t="shared" si="54"/>
        <v>319201.25</v>
      </c>
      <c r="BN21" s="123">
        <f t="shared" si="55"/>
        <v>0</v>
      </c>
      <c r="BO21" s="123">
        <f t="shared" si="56"/>
        <v>319201.25</v>
      </c>
      <c r="BP21" s="436"/>
      <c r="BQ21" s="140">
        <f t="shared" si="57"/>
        <v>241756.83</v>
      </c>
      <c r="BR21" s="325">
        <f t="shared" si="58"/>
        <v>0</v>
      </c>
      <c r="BS21" s="333">
        <f t="shared" si="59"/>
        <v>241756.83</v>
      </c>
      <c r="BT21" s="140">
        <f t="shared" ref="BT21:BV21" si="138">SUM(BQ21,BM21,BI21)</f>
        <v>560958.07999999996</v>
      </c>
      <c r="BU21" s="326">
        <f t="shared" si="138"/>
        <v>0</v>
      </c>
      <c r="BV21" s="333">
        <f t="shared" si="138"/>
        <v>560958.07999999996</v>
      </c>
      <c r="BW21" s="125"/>
      <c r="BX21" s="140">
        <f t="shared" si="61"/>
        <v>117244.39</v>
      </c>
      <c r="BY21" s="123">
        <f t="shared" si="62"/>
        <v>0</v>
      </c>
      <c r="BZ21" s="148">
        <f t="shared" si="63"/>
        <v>117244.39</v>
      </c>
      <c r="CA21" s="123"/>
      <c r="CB21" s="326"/>
      <c r="CE21" s="231" t="s">
        <v>88</v>
      </c>
      <c r="CF21" s="231"/>
      <c r="CG21" s="231"/>
      <c r="CI21" s="294"/>
      <c r="CJ21" s="294"/>
    </row>
    <row r="22" spans="1:115" ht="13">
      <c r="A22" s="436">
        <f t="shared" si="0"/>
        <v>112014576</v>
      </c>
      <c r="B22" s="172">
        <f t="shared" si="1"/>
        <v>7</v>
      </c>
      <c r="C22" s="558">
        <f t="shared" si="2"/>
        <v>0.1</v>
      </c>
      <c r="D22" s="558">
        <f t="shared" si="3"/>
        <v>0.2</v>
      </c>
      <c r="E22" s="559">
        <f t="shared" si="4"/>
        <v>0</v>
      </c>
      <c r="F22" s="836">
        <f t="shared" si="5"/>
        <v>7</v>
      </c>
      <c r="G22" s="558">
        <f t="shared" si="6"/>
        <v>0.1</v>
      </c>
      <c r="H22" s="558">
        <f t="shared" si="7"/>
        <v>0.2</v>
      </c>
      <c r="I22" s="559">
        <f t="shared" si="8"/>
        <v>0</v>
      </c>
      <c r="J22" s="837">
        <f t="shared" si="9"/>
        <v>62</v>
      </c>
      <c r="K22" s="699">
        <f t="shared" si="10"/>
        <v>0.1</v>
      </c>
      <c r="L22" s="700">
        <f t="shared" si="11"/>
        <v>0.11</v>
      </c>
      <c r="M22" s="498" t="s">
        <v>704</v>
      </c>
      <c r="N22" s="845">
        <f>IFERROR(VLOOKUP(M22,BUELA,3,FALSE),"")</f>
        <v>0</v>
      </c>
      <c r="O22" s="237">
        <v>1800000</v>
      </c>
      <c r="P22" s="140">
        <f t="shared" si="12"/>
        <v>221692.78999999998</v>
      </c>
      <c r="Q22" s="116">
        <f t="shared" si="13"/>
        <v>459716.16</v>
      </c>
      <c r="R22" s="117">
        <f t="shared" si="14"/>
        <v>681408.95</v>
      </c>
      <c r="S22" s="123">
        <f t="shared" si="15"/>
        <v>-1118591.05</v>
      </c>
      <c r="T22" s="98">
        <f t="shared" si="16"/>
        <v>0.37856052777777777</v>
      </c>
      <c r="U22" s="123">
        <f t="shared" si="17"/>
        <v>0</v>
      </c>
      <c r="V22" s="456">
        <v>1800000</v>
      </c>
      <c r="W22" s="113">
        <f t="shared" si="19"/>
        <v>115165.34000000003</v>
      </c>
      <c r="X22" s="116">
        <f t="shared" si="20"/>
        <v>349879.35</v>
      </c>
      <c r="Y22" s="117">
        <f t="shared" si="21"/>
        <v>465044.69</v>
      </c>
      <c r="Z22" s="123">
        <f t="shared" si="22"/>
        <v>-1334955.31</v>
      </c>
      <c r="AA22" s="98">
        <f t="shared" si="23"/>
        <v>0.2583581611111111</v>
      </c>
      <c r="AB22" s="123">
        <f t="shared" si="24"/>
        <v>0</v>
      </c>
      <c r="AC22" s="456">
        <v>1800000</v>
      </c>
      <c r="AD22" s="113">
        <f t="shared" si="26"/>
        <v>136055.42000000004</v>
      </c>
      <c r="AE22" s="116">
        <f t="shared" si="27"/>
        <v>377844.73</v>
      </c>
      <c r="AF22" s="117">
        <f t="shared" si="28"/>
        <v>513900.15</v>
      </c>
      <c r="AG22" s="123">
        <f t="shared" si="29"/>
        <v>-1286099.8500000001</v>
      </c>
      <c r="AH22" s="494">
        <f t="shared" si="30"/>
        <v>0.28550008333333332</v>
      </c>
      <c r="AI22" s="846">
        <f t="shared" si="31"/>
        <v>5400000</v>
      </c>
      <c r="AJ22" s="840">
        <f t="shared" si="32"/>
        <v>1344098.38</v>
      </c>
      <c r="AK22" s="326">
        <f t="shared" si="33"/>
        <v>472913.55000000005</v>
      </c>
      <c r="AL22" s="326">
        <f t="shared" si="34"/>
        <v>1537319.5899999999</v>
      </c>
      <c r="AM22" s="326">
        <f t="shared" si="35"/>
        <v>1660353.79</v>
      </c>
      <c r="AN22" s="116">
        <f t="shared" si="36"/>
        <v>316255.41000000015</v>
      </c>
      <c r="AO22" s="413">
        <f t="shared" si="122"/>
        <v>1.2352918615972144</v>
      </c>
      <c r="AP22" s="434">
        <f>IFERROR(VLOOKUP(M22,BUELA,6,FALSE),"")</f>
        <v>0</v>
      </c>
      <c r="AQ22" s="140">
        <f t="shared" si="39"/>
        <v>50463.179999999993</v>
      </c>
      <c r="AR22" s="123">
        <f t="shared" si="40"/>
        <v>488001.59</v>
      </c>
      <c r="AS22" s="148">
        <f t="shared" si="41"/>
        <v>538464.77</v>
      </c>
      <c r="AT22" s="123">
        <f>IFERROR(VLOOKUP(M22,BUELA,7,FALSE),"")</f>
        <v>0</v>
      </c>
      <c r="AU22" s="326">
        <f t="shared" si="42"/>
        <v>30079.940000000031</v>
      </c>
      <c r="AV22" s="326">
        <f t="shared" si="43"/>
        <v>259720.65</v>
      </c>
      <c r="AW22" s="326">
        <f t="shared" si="44"/>
        <v>289800.59000000003</v>
      </c>
      <c r="AX22" s="332">
        <f>IFERROR(VLOOKUP(M22,BUELA,8,FALSE),"")</f>
        <v>0</v>
      </c>
      <c r="AY22" s="140">
        <f t="shared" si="45"/>
        <v>32650.649999999965</v>
      </c>
      <c r="AZ22" s="326">
        <f t="shared" si="46"/>
        <v>397544.32</v>
      </c>
      <c r="BA22" s="332">
        <f t="shared" si="47"/>
        <v>430194.97</v>
      </c>
      <c r="BB22" s="844">
        <f t="shared" ref="BB22:BD22" si="139">SUM(AY22,AU22,AQ22)</f>
        <v>113193.76999999999</v>
      </c>
      <c r="BC22" s="326">
        <f t="shared" si="139"/>
        <v>1145266.56</v>
      </c>
      <c r="BD22" s="332">
        <f t="shared" si="139"/>
        <v>1258460.33</v>
      </c>
      <c r="BE22" s="140">
        <f t="shared" ref="BE22:BF22" si="140">SUM(BB22,AK22)</f>
        <v>586107.32000000007</v>
      </c>
      <c r="BF22" s="326">
        <f t="shared" si="140"/>
        <v>2682586.15</v>
      </c>
      <c r="BG22" s="435">
        <f t="shared" si="50"/>
        <v>2918814.12</v>
      </c>
      <c r="BH22" s="423">
        <f>IFERROR(VLOOKUP(M22,BUELA,9,FALSE),"")</f>
        <v>0</v>
      </c>
      <c r="BI22" s="123">
        <f t="shared" si="51"/>
        <v>0</v>
      </c>
      <c r="BJ22" s="123">
        <f t="shared" si="52"/>
        <v>161972.18</v>
      </c>
      <c r="BK22" s="148">
        <f t="shared" si="53"/>
        <v>161972.18</v>
      </c>
      <c r="BL22" s="423">
        <f>IFERROR(VLOOKUP(M22,BUELA,10,FALSE),"")</f>
        <v>0</v>
      </c>
      <c r="BM22" s="123">
        <f t="shared" si="54"/>
        <v>610451.64</v>
      </c>
      <c r="BN22" s="123">
        <f t="shared" si="55"/>
        <v>375193.74</v>
      </c>
      <c r="BO22" s="123">
        <f t="shared" si="56"/>
        <v>985645.38</v>
      </c>
      <c r="BP22" s="436">
        <f>IFERROR(VLOOKUP(M22,BUELA,11,FALSE),"")</f>
        <v>0</v>
      </c>
      <c r="BQ22" s="140">
        <f t="shared" si="57"/>
        <v>616330.32000000007</v>
      </c>
      <c r="BR22" s="325">
        <f t="shared" si="58"/>
        <v>63514.239999999998</v>
      </c>
      <c r="BS22" s="333">
        <f t="shared" si="59"/>
        <v>679844.56</v>
      </c>
      <c r="BT22" s="140">
        <f t="shared" ref="BT22:BV22" si="141">SUM(BQ22,BM22,BI22)</f>
        <v>1226781.96</v>
      </c>
      <c r="BU22" s="326">
        <f t="shared" si="141"/>
        <v>600680.15999999992</v>
      </c>
      <c r="BV22" s="333">
        <f t="shared" si="141"/>
        <v>1827462.1199999999</v>
      </c>
      <c r="BW22" s="125">
        <f>IFERROR(VLOOKUP(M22,BUELA,12,FALSE),"")</f>
        <v>229370.32</v>
      </c>
      <c r="BX22" s="140">
        <f t="shared" si="61"/>
        <v>579479.40999999992</v>
      </c>
      <c r="BY22" s="123">
        <f t="shared" si="62"/>
        <v>318997.59000000003</v>
      </c>
      <c r="BZ22" s="148">
        <f t="shared" si="63"/>
        <v>898477</v>
      </c>
      <c r="CA22" s="123">
        <f>IFERROR(VLOOKUP(M22,BUELA,13,FALSE),"")</f>
        <v>422991.73</v>
      </c>
      <c r="CB22" s="326">
        <f>IFERROR(VLOOKUP(M22,BUELA,14,FALSE),"")</f>
        <v>691736.33</v>
      </c>
      <c r="CE22" s="231" t="s">
        <v>90</v>
      </c>
      <c r="CF22" s="231"/>
      <c r="CG22" s="231"/>
      <c r="CI22" s="294"/>
      <c r="CJ22" s="294"/>
    </row>
    <row r="23" spans="1:115" ht="13">
      <c r="A23" s="436">
        <f t="shared" si="0"/>
        <v>112013132</v>
      </c>
      <c r="B23" s="172">
        <f t="shared" si="1"/>
        <v>7</v>
      </c>
      <c r="C23" s="558">
        <f t="shared" si="2"/>
        <v>0.1</v>
      </c>
      <c r="D23" s="558">
        <f t="shared" si="3"/>
        <v>0.2</v>
      </c>
      <c r="E23" s="559">
        <f t="shared" si="4"/>
        <v>0</v>
      </c>
      <c r="F23" s="836">
        <f t="shared" si="5"/>
        <v>7</v>
      </c>
      <c r="G23" s="558">
        <f t="shared" si="6"/>
        <v>0.1</v>
      </c>
      <c r="H23" s="558">
        <f t="shared" si="7"/>
        <v>0.2</v>
      </c>
      <c r="I23" s="559">
        <f t="shared" si="8"/>
        <v>0</v>
      </c>
      <c r="J23" s="837">
        <f t="shared" si="9"/>
        <v>62</v>
      </c>
      <c r="K23" s="699">
        <f t="shared" si="10"/>
        <v>0.1</v>
      </c>
      <c r="L23" s="700">
        <f t="shared" si="11"/>
        <v>0.11</v>
      </c>
      <c r="M23" s="859" t="s">
        <v>705</v>
      </c>
      <c r="N23" s="434"/>
      <c r="O23" s="141"/>
      <c r="P23" s="140">
        <f t="shared" si="12"/>
        <v>0</v>
      </c>
      <c r="Q23" s="116">
        <f t="shared" si="13"/>
        <v>0</v>
      </c>
      <c r="R23" s="117">
        <f t="shared" si="14"/>
        <v>0</v>
      </c>
      <c r="S23" s="123">
        <f t="shared" si="15"/>
        <v>0</v>
      </c>
      <c r="T23" s="98" t="str">
        <f t="shared" si="16"/>
        <v/>
      </c>
      <c r="U23" s="123">
        <f t="shared" si="17"/>
        <v>1400968.98</v>
      </c>
      <c r="V23" s="332"/>
      <c r="W23" s="113">
        <f t="shared" si="19"/>
        <v>396430.46</v>
      </c>
      <c r="X23" s="116">
        <f t="shared" si="20"/>
        <v>132063.67999999999</v>
      </c>
      <c r="Y23" s="117">
        <f t="shared" si="21"/>
        <v>528494.14</v>
      </c>
      <c r="Z23" s="123">
        <f t="shared" si="22"/>
        <v>528494.14</v>
      </c>
      <c r="AA23" s="98" t="str">
        <f t="shared" si="23"/>
        <v/>
      </c>
      <c r="AB23" s="123">
        <f t="shared" si="24"/>
        <v>1039724.74</v>
      </c>
      <c r="AC23" s="332">
        <f>(AB23*1.5955)*1.03</f>
        <v>1708647.2473501</v>
      </c>
      <c r="AD23" s="113">
        <f t="shared" si="26"/>
        <v>844478.23</v>
      </c>
      <c r="AE23" s="116">
        <f t="shared" si="27"/>
        <v>102926.64</v>
      </c>
      <c r="AF23" s="117">
        <f t="shared" si="28"/>
        <v>947404.87</v>
      </c>
      <c r="AG23" s="123">
        <f t="shared" si="29"/>
        <v>-761242.37735009997</v>
      </c>
      <c r="AH23" s="494">
        <f t="shared" si="30"/>
        <v>0.55447657289666286</v>
      </c>
      <c r="AI23" s="846">
        <f t="shared" si="31"/>
        <v>1708647.2473501</v>
      </c>
      <c r="AJ23" s="840">
        <f t="shared" si="32"/>
        <v>4159221.46</v>
      </c>
      <c r="AK23" s="326">
        <f t="shared" si="33"/>
        <v>1240908.69</v>
      </c>
      <c r="AL23" s="326">
        <f t="shared" si="34"/>
        <v>367054</v>
      </c>
      <c r="AM23" s="326">
        <f t="shared" si="35"/>
        <v>1475899.01</v>
      </c>
      <c r="AN23" s="116">
        <f t="shared" si="36"/>
        <v>-2683322.4500000002</v>
      </c>
      <c r="AO23" s="413">
        <f t="shared" si="122"/>
        <v>0.35484982566905682</v>
      </c>
      <c r="AP23" s="434"/>
      <c r="AQ23" s="140">
        <f t="shared" si="39"/>
        <v>328406.08</v>
      </c>
      <c r="AR23" s="123">
        <f t="shared" si="40"/>
        <v>128297.44</v>
      </c>
      <c r="AS23" s="148">
        <f t="shared" si="41"/>
        <v>456703.52</v>
      </c>
      <c r="AT23" s="123"/>
      <c r="AU23" s="326">
        <f t="shared" si="42"/>
        <v>514182.12999999995</v>
      </c>
      <c r="AV23" s="326">
        <f t="shared" si="43"/>
        <v>59380.32</v>
      </c>
      <c r="AW23" s="326">
        <f t="shared" si="44"/>
        <v>573562.44999999995</v>
      </c>
      <c r="AX23" s="332"/>
      <c r="AY23" s="140">
        <f t="shared" si="45"/>
        <v>609701.31999999995</v>
      </c>
      <c r="AZ23" s="326">
        <f t="shared" si="46"/>
        <v>0</v>
      </c>
      <c r="BA23" s="332">
        <f t="shared" si="47"/>
        <v>609701.31999999995</v>
      </c>
      <c r="BB23" s="844">
        <f t="shared" ref="BB23:BD23" si="142">SUM(AY23,AU23,AQ23)</f>
        <v>1452289.53</v>
      </c>
      <c r="BC23" s="326">
        <f t="shared" si="142"/>
        <v>187677.76</v>
      </c>
      <c r="BD23" s="332">
        <f t="shared" si="142"/>
        <v>1639967.29</v>
      </c>
      <c r="BE23" s="140">
        <f t="shared" ref="BE23:BF23" si="143">SUM(BB23,AK23)</f>
        <v>2693198.2199999997</v>
      </c>
      <c r="BF23" s="326">
        <f t="shared" si="143"/>
        <v>554731.76</v>
      </c>
      <c r="BG23" s="435">
        <f t="shared" si="50"/>
        <v>3115866.3</v>
      </c>
      <c r="BH23" s="423"/>
      <c r="BI23" s="123">
        <f t="shared" si="51"/>
        <v>649872.93999999994</v>
      </c>
      <c r="BJ23" s="123">
        <f t="shared" si="52"/>
        <v>0</v>
      </c>
      <c r="BK23" s="148">
        <f t="shared" si="53"/>
        <v>649872.93999999994</v>
      </c>
      <c r="BL23" s="423"/>
      <c r="BM23" s="123">
        <f t="shared" si="54"/>
        <v>970420.7</v>
      </c>
      <c r="BN23" s="123">
        <f t="shared" si="55"/>
        <v>0</v>
      </c>
      <c r="BO23" s="123">
        <f t="shared" si="56"/>
        <v>970420.7</v>
      </c>
      <c r="BP23" s="436"/>
      <c r="BQ23" s="140">
        <f t="shared" si="57"/>
        <v>964672.69</v>
      </c>
      <c r="BR23" s="325">
        <f t="shared" si="58"/>
        <v>0</v>
      </c>
      <c r="BS23" s="333">
        <f t="shared" si="59"/>
        <v>964672.69</v>
      </c>
      <c r="BT23" s="140">
        <f t="shared" ref="BT23:BV23" si="144">SUM(BQ23,BM23,BI23)</f>
        <v>2584966.33</v>
      </c>
      <c r="BU23" s="326">
        <f t="shared" si="144"/>
        <v>0</v>
      </c>
      <c r="BV23" s="333">
        <f t="shared" si="144"/>
        <v>2584966.33</v>
      </c>
      <c r="BW23" s="125"/>
      <c r="BX23" s="140">
        <f t="shared" si="61"/>
        <v>975439.72</v>
      </c>
      <c r="BY23" s="123">
        <f t="shared" si="62"/>
        <v>0</v>
      </c>
      <c r="BZ23" s="148">
        <f t="shared" si="63"/>
        <v>975439.72</v>
      </c>
      <c r="CA23" s="123"/>
      <c r="CB23" s="326"/>
      <c r="CE23" s="231" t="s">
        <v>92</v>
      </c>
      <c r="CF23" s="231"/>
      <c r="CG23" s="231"/>
      <c r="CI23" s="294"/>
      <c r="CJ23" s="294"/>
    </row>
    <row r="24" spans="1:115" ht="13">
      <c r="A24" s="436">
        <f t="shared" si="0"/>
        <v>112014731</v>
      </c>
      <c r="B24" s="861">
        <f t="shared" si="1"/>
        <v>7</v>
      </c>
      <c r="C24" s="862">
        <f t="shared" si="2"/>
        <v>0.1</v>
      </c>
      <c r="D24" s="863">
        <f t="shared" si="3"/>
        <v>0.2</v>
      </c>
      <c r="E24" s="864">
        <f t="shared" si="4"/>
        <v>0</v>
      </c>
      <c r="F24" s="836">
        <f t="shared" si="5"/>
        <v>7</v>
      </c>
      <c r="G24" s="558">
        <f t="shared" si="6"/>
        <v>0.1</v>
      </c>
      <c r="H24" s="558">
        <f t="shared" si="7"/>
        <v>0.2</v>
      </c>
      <c r="I24" s="559">
        <f t="shared" si="8"/>
        <v>0</v>
      </c>
      <c r="J24" s="837">
        <f t="shared" si="9"/>
        <v>62</v>
      </c>
      <c r="K24" s="699">
        <f t="shared" si="10"/>
        <v>0.1</v>
      </c>
      <c r="L24" s="700">
        <f t="shared" si="11"/>
        <v>0.11</v>
      </c>
      <c r="M24" s="865" t="s">
        <v>706</v>
      </c>
      <c r="N24" s="866" t="str">
        <f>IFERROR(VLOOKUP(M24,BUELA,3,FALSE),"")</f>
        <v/>
      </c>
      <c r="O24" s="867" t="e">
        <f t="shared" ref="O24:O25" si="145">(N24*1.601)*1.05</f>
        <v>#VALUE!</v>
      </c>
      <c r="P24" s="868">
        <f t="shared" si="12"/>
        <v>0</v>
      </c>
      <c r="Q24" s="869">
        <f t="shared" si="13"/>
        <v>0</v>
      </c>
      <c r="R24" s="870">
        <f t="shared" si="14"/>
        <v>0</v>
      </c>
      <c r="S24" s="871" t="e">
        <f t="shared" si="15"/>
        <v>#VALUE!</v>
      </c>
      <c r="T24" s="207" t="str">
        <f t="shared" si="16"/>
        <v/>
      </c>
      <c r="U24" s="872" t="str">
        <f t="shared" si="17"/>
        <v/>
      </c>
      <c r="V24" s="873">
        <v>1800000</v>
      </c>
      <c r="W24" s="874">
        <f t="shared" si="19"/>
        <v>0</v>
      </c>
      <c r="X24" s="869">
        <f t="shared" si="20"/>
        <v>0</v>
      </c>
      <c r="Y24" s="870">
        <f t="shared" si="21"/>
        <v>0</v>
      </c>
      <c r="Z24" s="871">
        <f t="shared" si="22"/>
        <v>-1800000</v>
      </c>
      <c r="AA24" s="207">
        <f t="shared" si="23"/>
        <v>0</v>
      </c>
      <c r="AB24" s="872" t="str">
        <f t="shared" si="24"/>
        <v/>
      </c>
      <c r="AC24" s="873">
        <v>1800000</v>
      </c>
      <c r="AD24" s="874">
        <f t="shared" si="26"/>
        <v>0</v>
      </c>
      <c r="AE24" s="869">
        <f t="shared" si="27"/>
        <v>0</v>
      </c>
      <c r="AF24" s="870">
        <f t="shared" si="28"/>
        <v>0</v>
      </c>
      <c r="AG24" s="871">
        <f t="shared" si="29"/>
        <v>-1800000</v>
      </c>
      <c r="AH24" s="875">
        <f t="shared" si="30"/>
        <v>0</v>
      </c>
      <c r="AI24" s="876" t="e">
        <f t="shared" si="31"/>
        <v>#VALUE!</v>
      </c>
      <c r="AJ24" s="877" t="str">
        <f t="shared" si="32"/>
        <v/>
      </c>
      <c r="AK24" s="878">
        <f t="shared" si="33"/>
        <v>0</v>
      </c>
      <c r="AL24" s="878">
        <f t="shared" si="34"/>
        <v>0</v>
      </c>
      <c r="AM24" s="878">
        <f t="shared" si="35"/>
        <v>0</v>
      </c>
      <c r="AN24" s="879" t="e">
        <f t="shared" si="36"/>
        <v>#VALUE!</v>
      </c>
      <c r="AO24" s="880" t="e">
        <f t="shared" si="122"/>
        <v>#VALUE!</v>
      </c>
      <c r="AP24" s="866" t="str">
        <f>IFERROR(VLOOKUP(M24,BUELA,6,FALSE),"")</f>
        <v/>
      </c>
      <c r="AQ24" s="868">
        <f t="shared" si="39"/>
        <v>0</v>
      </c>
      <c r="AR24" s="872">
        <f t="shared" si="40"/>
        <v>0</v>
      </c>
      <c r="AS24" s="881">
        <f t="shared" si="41"/>
        <v>0</v>
      </c>
      <c r="AT24" s="872" t="str">
        <f>IFERROR(VLOOKUP(M24,BUELA,7,FALSE),"")</f>
        <v/>
      </c>
      <c r="AU24" s="878">
        <f t="shared" si="42"/>
        <v>0</v>
      </c>
      <c r="AV24" s="878">
        <f t="shared" si="43"/>
        <v>0</v>
      </c>
      <c r="AW24" s="878">
        <f t="shared" si="44"/>
        <v>0</v>
      </c>
      <c r="AX24" s="882" t="str">
        <f>IFERROR(VLOOKUP(M24,BUELA,8,FALSE),"")</f>
        <v/>
      </c>
      <c r="AY24" s="868">
        <f t="shared" si="45"/>
        <v>0</v>
      </c>
      <c r="AZ24" s="878">
        <f t="shared" si="46"/>
        <v>0</v>
      </c>
      <c r="BA24" s="882">
        <f t="shared" si="47"/>
        <v>0</v>
      </c>
      <c r="BB24" s="883">
        <f t="shared" ref="BB24:BD24" si="146">SUM(AY24,AU24,AQ24)</f>
        <v>0</v>
      </c>
      <c r="BC24" s="878">
        <f t="shared" si="146"/>
        <v>0</v>
      </c>
      <c r="BD24" s="884">
        <f t="shared" si="146"/>
        <v>0</v>
      </c>
      <c r="BE24" s="868">
        <f t="shared" ref="BE24:BF24" si="147">SUM(BB24,AK24)</f>
        <v>0</v>
      </c>
      <c r="BF24" s="878">
        <f t="shared" si="147"/>
        <v>0</v>
      </c>
      <c r="BG24" s="885">
        <f t="shared" si="50"/>
        <v>0</v>
      </c>
      <c r="BH24" s="886" t="str">
        <f>IFERROR(VLOOKUP(M24,BUELA,9,FALSE),"")</f>
        <v/>
      </c>
      <c r="BI24" s="872">
        <f t="shared" si="51"/>
        <v>0</v>
      </c>
      <c r="BJ24" s="872">
        <f t="shared" si="52"/>
        <v>31057.599999999999</v>
      </c>
      <c r="BK24" s="887">
        <f t="shared" si="53"/>
        <v>31057.599999999999</v>
      </c>
      <c r="BL24" s="888" t="str">
        <f>IFERROR(VLOOKUP(M24,BUELA,10,FALSE),"")</f>
        <v/>
      </c>
      <c r="BM24" s="123">
        <f t="shared" si="54"/>
        <v>0</v>
      </c>
      <c r="BN24" s="123">
        <f t="shared" si="55"/>
        <v>0</v>
      </c>
      <c r="BO24" s="123">
        <f t="shared" si="56"/>
        <v>0</v>
      </c>
      <c r="BP24" s="889" t="str">
        <f>IFERROR(VLOOKUP(M24,BUELA,11,FALSE),"")</f>
        <v/>
      </c>
      <c r="BQ24" s="140">
        <f t="shared" si="57"/>
        <v>0</v>
      </c>
      <c r="BR24" s="325">
        <f t="shared" si="58"/>
        <v>0</v>
      </c>
      <c r="BS24" s="333">
        <f t="shared" si="59"/>
        <v>0</v>
      </c>
      <c r="BT24" s="140">
        <f t="shared" ref="BT24:BV24" si="148">SUM(BQ24,BM24,BI24)</f>
        <v>0</v>
      </c>
      <c r="BU24" s="326">
        <f t="shared" si="148"/>
        <v>31057.599999999999</v>
      </c>
      <c r="BV24" s="333">
        <f t="shared" si="148"/>
        <v>31057.599999999999</v>
      </c>
      <c r="BW24" s="221" t="str">
        <f>IFERROR(VLOOKUP(M24,BUELA,12,FALSE),"")</f>
        <v/>
      </c>
      <c r="BX24" s="140">
        <f t="shared" si="61"/>
        <v>0</v>
      </c>
      <c r="BY24" s="123">
        <f t="shared" si="62"/>
        <v>0</v>
      </c>
      <c r="BZ24" s="148">
        <f t="shared" si="63"/>
        <v>0</v>
      </c>
      <c r="CA24" s="142" t="str">
        <f>IFERROR(VLOOKUP(M24,BUELA,13,FALSE),"")</f>
        <v/>
      </c>
      <c r="CB24" s="145" t="str">
        <f>IFERROR(VLOOKUP(M24,BUELA,14,FALSE),"")</f>
        <v/>
      </c>
      <c r="CC24" s="229"/>
      <c r="CE24" s="231" t="s">
        <v>94</v>
      </c>
      <c r="CF24" s="231"/>
      <c r="CG24" s="231"/>
      <c r="CI24" s="294"/>
      <c r="CJ24" s="294"/>
    </row>
    <row r="25" spans="1:115" ht="13">
      <c r="A25" s="436">
        <f t="shared" si="0"/>
        <v>112014772</v>
      </c>
      <c r="B25" s="861" t="e">
        <f t="shared" si="1"/>
        <v>#N/A</v>
      </c>
      <c r="C25" s="862" t="str">
        <f t="shared" si="2"/>
        <v/>
      </c>
      <c r="D25" s="863" t="str">
        <f t="shared" si="3"/>
        <v/>
      </c>
      <c r="E25" s="864" t="str">
        <f t="shared" si="4"/>
        <v/>
      </c>
      <c r="F25" s="836" t="e">
        <f t="shared" si="5"/>
        <v>#N/A</v>
      </c>
      <c r="G25" s="558" t="str">
        <f t="shared" si="6"/>
        <v/>
      </c>
      <c r="H25" s="558" t="str">
        <f t="shared" si="7"/>
        <v/>
      </c>
      <c r="I25" s="559" t="str">
        <f t="shared" si="8"/>
        <v/>
      </c>
      <c r="J25" s="837">
        <f t="shared" si="9"/>
        <v>62</v>
      </c>
      <c r="K25" s="699">
        <f t="shared" si="10"/>
        <v>0.1</v>
      </c>
      <c r="L25" s="700">
        <f t="shared" si="11"/>
        <v>0.11</v>
      </c>
      <c r="M25" s="890" t="s">
        <v>707</v>
      </c>
      <c r="N25" s="866" t="str">
        <f>IFERROR(VLOOKUP(M25,BUELA,3,FALSE),"")</f>
        <v/>
      </c>
      <c r="O25" s="867" t="e">
        <f t="shared" si="145"/>
        <v>#VALUE!</v>
      </c>
      <c r="P25" s="868" t="e">
        <f t="shared" si="12"/>
        <v>#VALUE!</v>
      </c>
      <c r="Q25" s="869" t="str">
        <f t="shared" si="13"/>
        <v/>
      </c>
      <c r="R25" s="870">
        <f t="shared" si="14"/>
        <v>0</v>
      </c>
      <c r="S25" s="871" t="e">
        <f t="shared" si="15"/>
        <v>#VALUE!</v>
      </c>
      <c r="T25" s="207" t="str">
        <f t="shared" si="16"/>
        <v/>
      </c>
      <c r="U25" s="872" t="str">
        <f t="shared" si="17"/>
        <v/>
      </c>
      <c r="V25" s="873">
        <v>1800000</v>
      </c>
      <c r="W25" s="874" t="e">
        <f t="shared" si="19"/>
        <v>#VALUE!</v>
      </c>
      <c r="X25" s="869" t="str">
        <f t="shared" si="20"/>
        <v/>
      </c>
      <c r="Y25" s="870">
        <f t="shared" si="21"/>
        <v>0</v>
      </c>
      <c r="Z25" s="871">
        <f t="shared" si="22"/>
        <v>-1800000</v>
      </c>
      <c r="AA25" s="207">
        <f t="shared" si="23"/>
        <v>0</v>
      </c>
      <c r="AB25" s="872" t="str">
        <f t="shared" si="24"/>
        <v/>
      </c>
      <c r="AC25" s="873">
        <v>1800000</v>
      </c>
      <c r="AD25" s="874" t="e">
        <f t="shared" si="26"/>
        <v>#VALUE!</v>
      </c>
      <c r="AE25" s="869" t="str">
        <f t="shared" si="27"/>
        <v/>
      </c>
      <c r="AF25" s="870">
        <f t="shared" si="28"/>
        <v>0</v>
      </c>
      <c r="AG25" s="871">
        <f t="shared" si="29"/>
        <v>-1800000</v>
      </c>
      <c r="AH25" s="875">
        <f t="shared" si="30"/>
        <v>0</v>
      </c>
      <c r="AI25" s="876" t="e">
        <f t="shared" si="31"/>
        <v>#VALUE!</v>
      </c>
      <c r="AJ25" s="877" t="str">
        <f t="shared" si="32"/>
        <v/>
      </c>
      <c r="AK25" s="878" t="e">
        <f t="shared" si="33"/>
        <v>#VALUE!</v>
      </c>
      <c r="AL25" s="878">
        <f t="shared" si="34"/>
        <v>0</v>
      </c>
      <c r="AM25" s="878">
        <f t="shared" si="35"/>
        <v>0</v>
      </c>
      <c r="AN25" s="879" t="e">
        <f t="shared" si="36"/>
        <v>#VALUE!</v>
      </c>
      <c r="AO25" s="880" t="e">
        <f t="shared" si="122"/>
        <v>#VALUE!</v>
      </c>
      <c r="AP25" s="866" t="str">
        <f>IFERROR(VLOOKUP(M25,BUELA,6,FALSE),"")</f>
        <v/>
      </c>
      <c r="AQ25" s="868" t="e">
        <f t="shared" si="39"/>
        <v>#VALUE!</v>
      </c>
      <c r="AR25" s="872" t="str">
        <f t="shared" si="40"/>
        <v/>
      </c>
      <c r="AS25" s="881">
        <f t="shared" si="41"/>
        <v>0</v>
      </c>
      <c r="AT25" s="872" t="str">
        <f>IFERROR(VLOOKUP(M25,BUELA,7,FALSE),"")</f>
        <v/>
      </c>
      <c r="AU25" s="878" t="e">
        <f t="shared" si="42"/>
        <v>#VALUE!</v>
      </c>
      <c r="AV25" s="878" t="str">
        <f t="shared" si="43"/>
        <v/>
      </c>
      <c r="AW25" s="878">
        <f t="shared" si="44"/>
        <v>0</v>
      </c>
      <c r="AX25" s="882" t="str">
        <f>IFERROR(VLOOKUP(M25,BUELA,8,FALSE),"")</f>
        <v/>
      </c>
      <c r="AY25" s="868" t="e">
        <f t="shared" si="45"/>
        <v>#VALUE!</v>
      </c>
      <c r="AZ25" s="878" t="str">
        <f t="shared" si="46"/>
        <v/>
      </c>
      <c r="BA25" s="882">
        <f t="shared" si="47"/>
        <v>0</v>
      </c>
      <c r="BB25" s="883" t="e">
        <f t="shared" ref="BB25:BD25" si="149">SUM(AY25,AU25,AQ25)</f>
        <v>#VALUE!</v>
      </c>
      <c r="BC25" s="878">
        <f t="shared" si="149"/>
        <v>0</v>
      </c>
      <c r="BD25" s="884">
        <f t="shared" si="149"/>
        <v>0</v>
      </c>
      <c r="BE25" s="868" t="e">
        <f t="shared" ref="BE25:BF25" si="150">SUM(BB25,AK25)</f>
        <v>#VALUE!</v>
      </c>
      <c r="BF25" s="878">
        <f t="shared" si="150"/>
        <v>0</v>
      </c>
      <c r="BG25" s="885">
        <f t="shared" si="50"/>
        <v>0</v>
      </c>
      <c r="BH25" s="886" t="str">
        <f>IFERROR(VLOOKUP(M25,BUELA,9,FALSE),"")</f>
        <v/>
      </c>
      <c r="BI25" s="872" t="e">
        <f t="shared" si="51"/>
        <v>#VALUE!</v>
      </c>
      <c r="BJ25" s="872" t="str">
        <f t="shared" si="52"/>
        <v/>
      </c>
      <c r="BK25" s="887">
        <f t="shared" si="53"/>
        <v>0</v>
      </c>
      <c r="BL25" s="888" t="str">
        <f>IFERROR(VLOOKUP(M25,BUELA,10,FALSE),"")</f>
        <v/>
      </c>
      <c r="BM25" s="123" t="e">
        <f t="shared" si="54"/>
        <v>#VALUE!</v>
      </c>
      <c r="BN25" s="123" t="str">
        <f t="shared" si="55"/>
        <v/>
      </c>
      <c r="BO25" s="123">
        <f t="shared" si="56"/>
        <v>0</v>
      </c>
      <c r="BP25" s="889" t="str">
        <f>IFERROR(VLOOKUP(M25,BUELA,11,FALSE),"")</f>
        <v/>
      </c>
      <c r="BQ25" s="140" t="e">
        <f t="shared" si="57"/>
        <v>#VALUE!</v>
      </c>
      <c r="BR25" s="325" t="str">
        <f t="shared" si="58"/>
        <v/>
      </c>
      <c r="BS25" s="333">
        <f t="shared" si="59"/>
        <v>0</v>
      </c>
      <c r="BT25" s="140" t="e">
        <f t="shared" ref="BT25:BV25" si="151">SUM(BQ25,BM25,BI25)</f>
        <v>#VALUE!</v>
      </c>
      <c r="BU25" s="326">
        <f t="shared" si="151"/>
        <v>0</v>
      </c>
      <c r="BV25" s="333">
        <f t="shared" si="151"/>
        <v>0</v>
      </c>
      <c r="BW25" s="221" t="str">
        <f>IFERROR(VLOOKUP(M25,BUELA,12,FALSE),"")</f>
        <v/>
      </c>
      <c r="BX25" s="140" t="e">
        <f t="shared" si="61"/>
        <v>#VALUE!</v>
      </c>
      <c r="BY25" s="123" t="str">
        <f t="shared" si="62"/>
        <v/>
      </c>
      <c r="BZ25" s="148">
        <f t="shared" si="63"/>
        <v>1036195.21</v>
      </c>
      <c r="CA25" s="142" t="str">
        <f>IFERROR(VLOOKUP(M25,BUELA,13,FALSE),"")</f>
        <v/>
      </c>
      <c r="CB25" s="145" t="str">
        <f>IFERROR(VLOOKUP(M25,BUELA,14,FALSE),"")</f>
        <v/>
      </c>
      <c r="CC25" s="229"/>
      <c r="CE25" s="231" t="s">
        <v>96</v>
      </c>
      <c r="CF25" s="231"/>
      <c r="CG25" s="231"/>
      <c r="CI25" s="294"/>
      <c r="CJ25" s="294"/>
    </row>
    <row r="26" spans="1:115" ht="13">
      <c r="A26" s="436">
        <f t="shared" si="0"/>
        <v>112014542</v>
      </c>
      <c r="B26" s="172">
        <f t="shared" si="1"/>
        <v>22</v>
      </c>
      <c r="C26" s="558">
        <f t="shared" si="2"/>
        <v>0.1</v>
      </c>
      <c r="D26" s="558">
        <f t="shared" si="3"/>
        <v>0.09</v>
      </c>
      <c r="E26" s="559">
        <f t="shared" si="4"/>
        <v>0</v>
      </c>
      <c r="F26" s="836">
        <f t="shared" si="5"/>
        <v>22</v>
      </c>
      <c r="G26" s="558">
        <f t="shared" si="6"/>
        <v>0.1</v>
      </c>
      <c r="H26" s="558">
        <f t="shared" si="7"/>
        <v>0.09</v>
      </c>
      <c r="I26" s="559">
        <f t="shared" si="8"/>
        <v>0</v>
      </c>
      <c r="J26" s="837">
        <f t="shared" si="9"/>
        <v>63</v>
      </c>
      <c r="K26" s="699">
        <f t="shared" si="10"/>
        <v>0.1</v>
      </c>
      <c r="L26" s="700">
        <f t="shared" si="11"/>
        <v>0.05</v>
      </c>
      <c r="M26" s="498" t="s">
        <v>708</v>
      </c>
      <c r="N26" s="845">
        <f>IFERROR(VLOOKUP(M26,BUELA,3,FALSE),"")</f>
        <v>330160.48</v>
      </c>
      <c r="O26" s="237">
        <v>1800000</v>
      </c>
      <c r="P26" s="140">
        <f t="shared" si="12"/>
        <v>2544149.6700000004</v>
      </c>
      <c r="Q26" s="116">
        <f t="shared" si="13"/>
        <v>45428.55</v>
      </c>
      <c r="R26" s="117">
        <f t="shared" si="14"/>
        <v>2589578.2200000002</v>
      </c>
      <c r="S26" s="123">
        <f t="shared" si="15"/>
        <v>789578.2200000002</v>
      </c>
      <c r="T26" s="98">
        <f t="shared" si="16"/>
        <v>1.4386545666666668</v>
      </c>
      <c r="U26" s="123">
        <f t="shared" si="17"/>
        <v>560993.75</v>
      </c>
      <c r="V26" s="456">
        <v>1800000</v>
      </c>
      <c r="W26" s="113">
        <f t="shared" si="19"/>
        <v>4201063.71</v>
      </c>
      <c r="X26" s="116">
        <f t="shared" si="20"/>
        <v>245208.45</v>
      </c>
      <c r="Y26" s="117">
        <f t="shared" si="21"/>
        <v>4446272.16</v>
      </c>
      <c r="Z26" s="123">
        <f t="shared" si="22"/>
        <v>2646272.16</v>
      </c>
      <c r="AA26" s="98">
        <f t="shared" si="23"/>
        <v>2.4701512000000001</v>
      </c>
      <c r="AB26" s="123">
        <f t="shared" si="24"/>
        <v>547132.68999999994</v>
      </c>
      <c r="AC26" s="332">
        <f>(AB26*1.5955)*1.03</f>
        <v>899138.71310184989</v>
      </c>
      <c r="AD26" s="113">
        <f t="shared" si="26"/>
        <v>3004287.0300000003</v>
      </c>
      <c r="AE26" s="116">
        <f t="shared" si="27"/>
        <v>120775.57</v>
      </c>
      <c r="AF26" s="117">
        <f t="shared" si="28"/>
        <v>3125062.6</v>
      </c>
      <c r="AG26" s="123">
        <f t="shared" si="29"/>
        <v>2225923.8868981502</v>
      </c>
      <c r="AH26" s="494">
        <f t="shared" si="30"/>
        <v>3.4756178935051691</v>
      </c>
      <c r="AI26" s="846">
        <f t="shared" si="31"/>
        <v>4499138.7131018499</v>
      </c>
      <c r="AJ26" s="840">
        <f t="shared" si="32"/>
        <v>7582611.4199999999</v>
      </c>
      <c r="AK26" s="326">
        <f t="shared" si="33"/>
        <v>9749500.4100000001</v>
      </c>
      <c r="AL26" s="326">
        <f t="shared" si="34"/>
        <v>656621.02</v>
      </c>
      <c r="AM26" s="326">
        <f t="shared" si="35"/>
        <v>10160912.98</v>
      </c>
      <c r="AN26" s="116">
        <f t="shared" si="36"/>
        <v>2578301.5600000005</v>
      </c>
      <c r="AO26" s="413">
        <f t="shared" si="122"/>
        <v>1.3400281798958387</v>
      </c>
      <c r="AP26" s="434">
        <f>IFERROR(VLOOKUP(M26,BUELA,6,FALSE),"")</f>
        <v>649213.46</v>
      </c>
      <c r="AQ26" s="140">
        <f t="shared" si="39"/>
        <v>893703.55</v>
      </c>
      <c r="AR26" s="123">
        <f t="shared" si="40"/>
        <v>0</v>
      </c>
      <c r="AS26" s="148">
        <f t="shared" si="41"/>
        <v>893703.55</v>
      </c>
      <c r="AT26" s="123">
        <f>IFERROR(VLOOKUP(M26,BUELA,7,FALSE),"")</f>
        <v>605799.07999999996</v>
      </c>
      <c r="AU26" s="326">
        <f t="shared" si="42"/>
        <v>0</v>
      </c>
      <c r="AV26" s="326">
        <f t="shared" si="43"/>
        <v>0</v>
      </c>
      <c r="AW26" s="326">
        <f t="shared" si="44"/>
        <v>0</v>
      </c>
      <c r="AX26" s="332">
        <f>IFERROR(VLOOKUP(M26,BUELA,8,FALSE),"")</f>
        <v>825456.57</v>
      </c>
      <c r="AY26" s="140">
        <f t="shared" si="45"/>
        <v>0</v>
      </c>
      <c r="AZ26" s="326">
        <f t="shared" si="46"/>
        <v>0</v>
      </c>
      <c r="BA26" s="332">
        <f t="shared" si="47"/>
        <v>0</v>
      </c>
      <c r="BB26" s="844">
        <f t="shared" ref="BB26:BD26" si="152">SUM(AY26,AU26,AQ26)</f>
        <v>893703.55</v>
      </c>
      <c r="BC26" s="326">
        <f t="shared" si="152"/>
        <v>0</v>
      </c>
      <c r="BD26" s="332">
        <f t="shared" si="152"/>
        <v>893703.55</v>
      </c>
      <c r="BE26" s="140">
        <f t="shared" ref="BE26:BF26" si="153">SUM(BB26,AK26)</f>
        <v>10643203.960000001</v>
      </c>
      <c r="BF26" s="326">
        <f t="shared" si="153"/>
        <v>656621.02</v>
      </c>
      <c r="BG26" s="435">
        <f t="shared" si="50"/>
        <v>11054616.530000001</v>
      </c>
      <c r="BH26" s="423">
        <f>IFERROR(VLOOKUP(M26,BUELA,9,FALSE),"")</f>
        <v>1286316.1399999999</v>
      </c>
      <c r="BI26" s="123">
        <f t="shared" si="51"/>
        <v>3823934.8</v>
      </c>
      <c r="BJ26" s="123">
        <f t="shared" si="52"/>
        <v>107968.72</v>
      </c>
      <c r="BK26" s="148">
        <f t="shared" si="53"/>
        <v>3931903.52</v>
      </c>
      <c r="BL26" s="423">
        <f>IFERROR(VLOOKUP(M26,BUELA,10,FALSE),"")</f>
        <v>1805100.1</v>
      </c>
      <c r="BM26" s="123">
        <f t="shared" si="54"/>
        <v>429037.58999999997</v>
      </c>
      <c r="BN26" s="123">
        <f t="shared" si="55"/>
        <v>95098.13</v>
      </c>
      <c r="BO26" s="123">
        <f t="shared" si="56"/>
        <v>524135.72</v>
      </c>
      <c r="BP26" s="436">
        <f>IFERROR(VLOOKUP(M26,BUELA,11,FALSE),"")</f>
        <v>1792975.38</v>
      </c>
      <c r="BQ26" s="140">
        <f t="shared" si="57"/>
        <v>420760.5</v>
      </c>
      <c r="BR26" s="325">
        <f t="shared" si="58"/>
        <v>294844.51</v>
      </c>
      <c r="BS26" s="333">
        <f t="shared" si="59"/>
        <v>715605.01</v>
      </c>
      <c r="BT26" s="140">
        <f t="shared" ref="BT26:BV26" si="154">SUM(BQ26,BM26,BI26)</f>
        <v>4673732.8899999997</v>
      </c>
      <c r="BU26" s="326">
        <f t="shared" si="154"/>
        <v>497911.36</v>
      </c>
      <c r="BV26" s="333">
        <f t="shared" si="154"/>
        <v>5171644.25</v>
      </c>
      <c r="BW26" s="125">
        <f>IFERROR(VLOOKUP(M26,BUELA,12,FALSE),"")</f>
        <v>2184227.34</v>
      </c>
      <c r="BX26" s="140">
        <f t="shared" si="61"/>
        <v>1401321.5</v>
      </c>
      <c r="BY26" s="123">
        <f t="shared" si="62"/>
        <v>169950.97</v>
      </c>
      <c r="BZ26" s="148">
        <f t="shared" si="63"/>
        <v>1571272.47</v>
      </c>
      <c r="CA26" s="123">
        <f>IFERROR(VLOOKUP(M26,BUELA,13,FALSE),"")</f>
        <v>2142146.87</v>
      </c>
      <c r="CB26" s="326">
        <f>IFERROR(VLOOKUP(M26,BUELA,14,FALSE),"")</f>
        <v>3256237.21</v>
      </c>
      <c r="CE26" s="231" t="s">
        <v>709</v>
      </c>
      <c r="CF26" s="231"/>
      <c r="CG26" s="231"/>
      <c r="CI26" s="294"/>
      <c r="CJ26" s="294"/>
    </row>
    <row r="27" spans="1:115" ht="13">
      <c r="A27" s="436">
        <f t="shared" si="0"/>
        <v>112014592</v>
      </c>
      <c r="B27" s="172">
        <f t="shared" si="1"/>
        <v>22</v>
      </c>
      <c r="C27" s="558">
        <f t="shared" si="2"/>
        <v>0.1</v>
      </c>
      <c r="D27" s="558">
        <f t="shared" si="3"/>
        <v>0.09</v>
      </c>
      <c r="E27" s="559">
        <f t="shared" si="4"/>
        <v>0</v>
      </c>
      <c r="F27" s="836">
        <f t="shared" si="5"/>
        <v>22</v>
      </c>
      <c r="G27" s="558">
        <f t="shared" si="6"/>
        <v>0.1</v>
      </c>
      <c r="H27" s="558">
        <f t="shared" si="7"/>
        <v>0.09</v>
      </c>
      <c r="I27" s="559">
        <f t="shared" si="8"/>
        <v>0</v>
      </c>
      <c r="J27" s="837">
        <f t="shared" si="9"/>
        <v>63</v>
      </c>
      <c r="K27" s="699">
        <f t="shared" si="10"/>
        <v>0.1</v>
      </c>
      <c r="L27" s="700">
        <f t="shared" si="11"/>
        <v>0.05</v>
      </c>
      <c r="M27" s="498" t="s">
        <v>710</v>
      </c>
      <c r="N27" s="845">
        <f>IFERROR(VLOOKUP(M27,BUELA,3,FALSE),"")</f>
        <v>0</v>
      </c>
      <c r="O27" s="237">
        <v>1800000</v>
      </c>
      <c r="P27" s="140" t="e">
        <f t="shared" si="12"/>
        <v>#VALUE!</v>
      </c>
      <c r="Q27" s="116" t="str">
        <f t="shared" si="13"/>
        <v/>
      </c>
      <c r="R27" s="117">
        <f t="shared" si="14"/>
        <v>336422.49</v>
      </c>
      <c r="S27" s="123">
        <f t="shared" si="15"/>
        <v>-1463577.51</v>
      </c>
      <c r="T27" s="98">
        <f t="shared" si="16"/>
        <v>0.18690138333333334</v>
      </c>
      <c r="U27" s="123">
        <f t="shared" si="17"/>
        <v>0</v>
      </c>
      <c r="V27" s="456">
        <v>1800000</v>
      </c>
      <c r="W27" s="113" t="e">
        <f t="shared" si="19"/>
        <v>#VALUE!</v>
      </c>
      <c r="X27" s="116" t="str">
        <f t="shared" si="20"/>
        <v/>
      </c>
      <c r="Y27" s="117">
        <f t="shared" si="21"/>
        <v>895725.66</v>
      </c>
      <c r="Z27" s="123">
        <f t="shared" si="22"/>
        <v>-904274.34</v>
      </c>
      <c r="AA27" s="98">
        <f t="shared" si="23"/>
        <v>0.49762536666666668</v>
      </c>
      <c r="AB27" s="123">
        <f t="shared" si="24"/>
        <v>0</v>
      </c>
      <c r="AC27" s="456">
        <v>1800000</v>
      </c>
      <c r="AD27" s="113" t="e">
        <f t="shared" si="26"/>
        <v>#VALUE!</v>
      </c>
      <c r="AE27" s="116" t="str">
        <f t="shared" si="27"/>
        <v/>
      </c>
      <c r="AF27" s="117">
        <f t="shared" si="28"/>
        <v>620391.74</v>
      </c>
      <c r="AG27" s="123">
        <f t="shared" si="29"/>
        <v>-1179608.26</v>
      </c>
      <c r="AH27" s="494">
        <f t="shared" si="30"/>
        <v>0.3446620777777778</v>
      </c>
      <c r="AI27" s="846">
        <f t="shared" si="31"/>
        <v>5400000</v>
      </c>
      <c r="AJ27" s="840">
        <f t="shared" si="32"/>
        <v>2252960.64</v>
      </c>
      <c r="AK27" s="326" t="e">
        <f t="shared" si="33"/>
        <v>#VALUE!</v>
      </c>
      <c r="AL27" s="326">
        <f t="shared" si="34"/>
        <v>0</v>
      </c>
      <c r="AM27" s="326">
        <f t="shared" si="35"/>
        <v>1852539.89</v>
      </c>
      <c r="AN27" s="116">
        <f t="shared" si="36"/>
        <v>-400420.75000000023</v>
      </c>
      <c r="AO27" s="413">
        <f t="shared" si="122"/>
        <v>0.82226908766590778</v>
      </c>
      <c r="AP27" s="434">
        <f>IFERROR(VLOOKUP(M27,BUELA,6,FALSE),"")</f>
        <v>0</v>
      </c>
      <c r="AQ27" s="140" t="e">
        <f t="shared" si="39"/>
        <v>#VALUE!</v>
      </c>
      <c r="AR27" s="123" t="str">
        <f t="shared" si="40"/>
        <v/>
      </c>
      <c r="AS27" s="148">
        <f t="shared" si="41"/>
        <v>631301.31000000006</v>
      </c>
      <c r="AT27" s="123">
        <f>IFERROR(VLOOKUP(M27,BUELA,7,FALSE),"")</f>
        <v>0</v>
      </c>
      <c r="AU27" s="326" t="e">
        <f t="shared" si="42"/>
        <v>#VALUE!</v>
      </c>
      <c r="AV27" s="326" t="str">
        <f t="shared" si="43"/>
        <v/>
      </c>
      <c r="AW27" s="326">
        <f t="shared" si="44"/>
        <v>0</v>
      </c>
      <c r="AX27" s="332">
        <f>IFERROR(VLOOKUP(M27,BUELA,8,FALSE),"")</f>
        <v>0</v>
      </c>
      <c r="AY27" s="140" t="e">
        <f t="shared" si="45"/>
        <v>#VALUE!</v>
      </c>
      <c r="AZ27" s="326" t="str">
        <f t="shared" si="46"/>
        <v/>
      </c>
      <c r="BA27" s="332">
        <f t="shared" si="47"/>
        <v>0</v>
      </c>
      <c r="BB27" s="844" t="e">
        <f t="shared" ref="BB27:BD27" si="155">SUM(AY27,AU27,AQ27)</f>
        <v>#VALUE!</v>
      </c>
      <c r="BC27" s="326">
        <f t="shared" si="155"/>
        <v>0</v>
      </c>
      <c r="BD27" s="332">
        <f t="shared" si="155"/>
        <v>631301.31000000006</v>
      </c>
      <c r="BE27" s="140" t="e">
        <f t="shared" ref="BE27:BF27" si="156">SUM(BB27,AK27)</f>
        <v>#VALUE!</v>
      </c>
      <c r="BF27" s="326">
        <f t="shared" si="156"/>
        <v>0</v>
      </c>
      <c r="BG27" s="435">
        <f t="shared" si="50"/>
        <v>2483841.2000000002</v>
      </c>
      <c r="BH27" s="423">
        <f>IFERROR(VLOOKUP(M27,BUELA,9,FALSE),"")</f>
        <v>0</v>
      </c>
      <c r="BI27" s="123" t="e">
        <f t="shared" si="51"/>
        <v>#VALUE!</v>
      </c>
      <c r="BJ27" s="123" t="str">
        <f t="shared" si="52"/>
        <v/>
      </c>
      <c r="BK27" s="148">
        <f t="shared" si="53"/>
        <v>0</v>
      </c>
      <c r="BL27" s="423">
        <f>IFERROR(VLOOKUP(M27,BUELA,10,FALSE),"")</f>
        <v>0</v>
      </c>
      <c r="BM27" s="123" t="e">
        <f t="shared" si="54"/>
        <v>#VALUE!</v>
      </c>
      <c r="BN27" s="123" t="str">
        <f t="shared" si="55"/>
        <v/>
      </c>
      <c r="BO27" s="123">
        <f t="shared" si="56"/>
        <v>0</v>
      </c>
      <c r="BP27" s="436">
        <f>IFERROR(VLOOKUP(M27,BUELA,11,FALSE),"")</f>
        <v>0</v>
      </c>
      <c r="BQ27" s="140" t="e">
        <f t="shared" si="57"/>
        <v>#VALUE!</v>
      </c>
      <c r="BR27" s="325" t="str">
        <f t="shared" si="58"/>
        <v/>
      </c>
      <c r="BS27" s="333">
        <f t="shared" si="59"/>
        <v>0</v>
      </c>
      <c r="BT27" s="140" t="e">
        <f t="shared" ref="BT27:BV27" si="157">SUM(BQ27,BM27,BI27)</f>
        <v>#VALUE!</v>
      </c>
      <c r="BU27" s="326">
        <f t="shared" si="157"/>
        <v>0</v>
      </c>
      <c r="BV27" s="333">
        <f t="shared" si="157"/>
        <v>0</v>
      </c>
      <c r="BW27" s="125">
        <f>IFERROR(VLOOKUP(M27,BUELA,12,FALSE),"")</f>
        <v>139937.79999999999</v>
      </c>
      <c r="BX27" s="140" t="e">
        <f t="shared" si="61"/>
        <v>#VALUE!</v>
      </c>
      <c r="BY27" s="123" t="str">
        <f t="shared" si="62"/>
        <v/>
      </c>
      <c r="BZ27" s="148">
        <f t="shared" si="63"/>
        <v>695618.76</v>
      </c>
      <c r="CA27" s="123">
        <f>IFERROR(VLOOKUP(M27,BUELA,13,FALSE),"")</f>
        <v>919560.16</v>
      </c>
      <c r="CB27" s="326">
        <f>IFERROR(VLOOKUP(M27,BUELA,14,FALSE),"")</f>
        <v>1193462.67</v>
      </c>
      <c r="CE27" s="245" t="s">
        <v>100</v>
      </c>
      <c r="CF27" s="484"/>
      <c r="CG27" s="484"/>
      <c r="CI27" s="294"/>
      <c r="CJ27" s="294"/>
    </row>
    <row r="28" spans="1:115" ht="13">
      <c r="A28" s="436">
        <f t="shared" si="0"/>
        <v>112012839</v>
      </c>
      <c r="B28" s="172">
        <f t="shared" si="1"/>
        <v>22</v>
      </c>
      <c r="C28" s="558">
        <f t="shared" si="2"/>
        <v>0.1</v>
      </c>
      <c r="D28" s="558">
        <f t="shared" si="3"/>
        <v>0.09</v>
      </c>
      <c r="E28" s="559">
        <f t="shared" si="4"/>
        <v>0</v>
      </c>
      <c r="F28" s="836">
        <f t="shared" si="5"/>
        <v>22</v>
      </c>
      <c r="G28" s="558">
        <f t="shared" si="6"/>
        <v>0.1</v>
      </c>
      <c r="H28" s="558">
        <f t="shared" si="7"/>
        <v>0.09</v>
      </c>
      <c r="I28" s="559">
        <f t="shared" si="8"/>
        <v>0</v>
      </c>
      <c r="J28" s="837">
        <f t="shared" si="9"/>
        <v>63</v>
      </c>
      <c r="K28" s="699">
        <f t="shared" si="10"/>
        <v>0.1</v>
      </c>
      <c r="L28" s="700">
        <f t="shared" si="11"/>
        <v>0.05</v>
      </c>
      <c r="M28" s="498" t="s">
        <v>711</v>
      </c>
      <c r="N28" s="845">
        <f>IFERROR(VLOOKUP(M28,BUELA,3,FALSE),"")</f>
        <v>117929.46</v>
      </c>
      <c r="O28" s="237">
        <v>1800000</v>
      </c>
      <c r="P28" s="140">
        <f t="shared" si="12"/>
        <v>406111.13</v>
      </c>
      <c r="Q28" s="116">
        <f t="shared" si="13"/>
        <v>0</v>
      </c>
      <c r="R28" s="117">
        <f t="shared" si="14"/>
        <v>406111.13</v>
      </c>
      <c r="S28" s="123">
        <f t="shared" si="15"/>
        <v>-1393888.87</v>
      </c>
      <c r="T28" s="98">
        <f t="shared" si="16"/>
        <v>0.22561729444444445</v>
      </c>
      <c r="U28" s="123">
        <f t="shared" si="17"/>
        <v>138541.74</v>
      </c>
      <c r="V28" s="456">
        <v>1800000</v>
      </c>
      <c r="W28" s="113">
        <f t="shared" si="19"/>
        <v>560721.18000000005</v>
      </c>
      <c r="X28" s="116">
        <f t="shared" si="20"/>
        <v>0</v>
      </c>
      <c r="Y28" s="117">
        <f t="shared" si="21"/>
        <v>560721.18000000005</v>
      </c>
      <c r="Z28" s="123">
        <f t="shared" si="22"/>
        <v>-1239278.8199999998</v>
      </c>
      <c r="AA28" s="98">
        <f t="shared" si="23"/>
        <v>0.31151176666666669</v>
      </c>
      <c r="AB28" s="123">
        <f t="shared" si="24"/>
        <v>242218.5</v>
      </c>
      <c r="AC28" s="332">
        <f t="shared" ref="AC28:AC29" si="158">(AB28*1.5955)*1.03</f>
        <v>398053.40525249997</v>
      </c>
      <c r="AD28" s="113">
        <f t="shared" si="26"/>
        <v>295289.86</v>
      </c>
      <c r="AE28" s="116">
        <f t="shared" si="27"/>
        <v>0</v>
      </c>
      <c r="AF28" s="117">
        <f t="shared" si="28"/>
        <v>295289.86</v>
      </c>
      <c r="AG28" s="123">
        <f t="shared" si="29"/>
        <v>-102763.54525249999</v>
      </c>
      <c r="AH28" s="494">
        <f t="shared" si="30"/>
        <v>0.7418347792118164</v>
      </c>
      <c r="AI28" s="846">
        <f t="shared" si="31"/>
        <v>3998053.4052525</v>
      </c>
      <c r="AJ28" s="840">
        <f t="shared" si="32"/>
        <v>836118.45</v>
      </c>
      <c r="AK28" s="326">
        <f t="shared" si="33"/>
        <v>1262122.17</v>
      </c>
      <c r="AL28" s="326">
        <f t="shared" si="34"/>
        <v>0</v>
      </c>
      <c r="AM28" s="326">
        <f t="shared" si="35"/>
        <v>1262122.17</v>
      </c>
      <c r="AN28" s="116">
        <f t="shared" si="36"/>
        <v>426003.72</v>
      </c>
      <c r="AO28" s="413">
        <f t="shared" ref="AO28:AO33" si="159">IFERROR(AM28/AJ28,"")</f>
        <v>1.5095016381949231</v>
      </c>
      <c r="AP28" s="434">
        <f>IFERROR(VLOOKUP(M28,BUELA,6,FALSE),"")</f>
        <v>315779.77</v>
      </c>
      <c r="AQ28" s="140">
        <f t="shared" si="39"/>
        <v>582601.28</v>
      </c>
      <c r="AR28" s="123">
        <f t="shared" si="40"/>
        <v>0</v>
      </c>
      <c r="AS28" s="148">
        <f t="shared" si="41"/>
        <v>582601.28</v>
      </c>
      <c r="AT28" s="123">
        <f>IFERROR(VLOOKUP(M28,BUELA,7,FALSE),"")</f>
        <v>58506.41</v>
      </c>
      <c r="AU28" s="326">
        <f t="shared" si="42"/>
        <v>385374.57999999996</v>
      </c>
      <c r="AV28" s="326">
        <f t="shared" si="43"/>
        <v>22359.47</v>
      </c>
      <c r="AW28" s="326">
        <f t="shared" si="44"/>
        <v>407734.05</v>
      </c>
      <c r="AX28" s="332">
        <f>IFERROR(VLOOKUP(M28,BUELA,8,FALSE),"")</f>
        <v>663082.37</v>
      </c>
      <c r="AY28" s="140">
        <f t="shared" si="45"/>
        <v>0</v>
      </c>
      <c r="AZ28" s="326">
        <f t="shared" si="46"/>
        <v>0</v>
      </c>
      <c r="BA28" s="332">
        <f t="shared" si="47"/>
        <v>0</v>
      </c>
      <c r="BB28" s="844">
        <f t="shared" ref="BB28:BD28" si="160">SUM(AY28,AU28,AQ28)</f>
        <v>967975.86</v>
      </c>
      <c r="BC28" s="326">
        <f t="shared" si="160"/>
        <v>22359.47</v>
      </c>
      <c r="BD28" s="332">
        <f t="shared" si="160"/>
        <v>990335.33000000007</v>
      </c>
      <c r="BE28" s="140">
        <f t="shared" ref="BE28:BF28" si="161">SUM(BB28,AK28)</f>
        <v>2230098.0299999998</v>
      </c>
      <c r="BF28" s="326">
        <f t="shared" si="161"/>
        <v>22359.47</v>
      </c>
      <c r="BG28" s="435">
        <f t="shared" si="50"/>
        <v>2252457.5</v>
      </c>
      <c r="BH28" s="423">
        <f>IFERROR(VLOOKUP(M28,BUELA,9,FALSE),"")</f>
        <v>170797.6</v>
      </c>
      <c r="BI28" s="123">
        <f t="shared" si="51"/>
        <v>259447.19000000003</v>
      </c>
      <c r="BJ28" s="123">
        <f t="shared" si="52"/>
        <v>82016.399999999994</v>
      </c>
      <c r="BK28" s="148">
        <f t="shared" si="53"/>
        <v>341463.59</v>
      </c>
      <c r="BL28" s="423">
        <f>IFERROR(VLOOKUP(M28,BUELA,10,FALSE),"")</f>
        <v>80724.990000000005</v>
      </c>
      <c r="BM28" s="123">
        <f t="shared" si="54"/>
        <v>0</v>
      </c>
      <c r="BN28" s="123">
        <f t="shared" si="55"/>
        <v>0</v>
      </c>
      <c r="BO28" s="123">
        <f t="shared" si="56"/>
        <v>0</v>
      </c>
      <c r="BP28" s="436">
        <f>IFERROR(VLOOKUP(M28,BUELA,11,FALSE),"")</f>
        <v>324552.09999999998</v>
      </c>
      <c r="BQ28" s="140">
        <f t="shared" si="57"/>
        <v>226521.98</v>
      </c>
      <c r="BR28" s="325">
        <f t="shared" si="58"/>
        <v>0</v>
      </c>
      <c r="BS28" s="333">
        <f t="shared" si="59"/>
        <v>226521.98</v>
      </c>
      <c r="BT28" s="140">
        <f t="shared" ref="BT28:BV28" si="162">SUM(BQ28,BM28,BI28)</f>
        <v>485969.17000000004</v>
      </c>
      <c r="BU28" s="326">
        <f t="shared" si="162"/>
        <v>82016.399999999994</v>
      </c>
      <c r="BV28" s="333">
        <f t="shared" si="162"/>
        <v>567985.57000000007</v>
      </c>
      <c r="BW28" s="125">
        <f>IFERROR(VLOOKUP(M28,BUELA,12,FALSE),"")</f>
        <v>503935.99</v>
      </c>
      <c r="BX28" s="140">
        <f t="shared" si="61"/>
        <v>373742.22</v>
      </c>
      <c r="BY28" s="123">
        <f t="shared" si="62"/>
        <v>0</v>
      </c>
      <c r="BZ28" s="148">
        <f t="shared" si="63"/>
        <v>373742.22</v>
      </c>
      <c r="CA28" s="123">
        <f>IFERROR(VLOOKUP(M28,BUELA,13,FALSE),"")</f>
        <v>203361.44</v>
      </c>
      <c r="CB28" s="326">
        <f>IFERROR(VLOOKUP(M28,BUELA,14,FALSE),"")</f>
        <v>128821.01</v>
      </c>
      <c r="CI28" s="294"/>
      <c r="CJ28" s="294"/>
    </row>
    <row r="29" spans="1:115" ht="13">
      <c r="A29" s="436">
        <f t="shared" si="0"/>
        <v>112010514</v>
      </c>
      <c r="B29" s="172">
        <f t="shared" si="1"/>
        <v>22</v>
      </c>
      <c r="C29" s="558">
        <f t="shared" si="2"/>
        <v>0.1</v>
      </c>
      <c r="D29" s="558">
        <f t="shared" si="3"/>
        <v>0.09</v>
      </c>
      <c r="E29" s="559">
        <f t="shared" si="4"/>
        <v>0</v>
      </c>
      <c r="F29" s="836">
        <f t="shared" si="5"/>
        <v>22</v>
      </c>
      <c r="G29" s="558">
        <f t="shared" si="6"/>
        <v>0.1</v>
      </c>
      <c r="H29" s="558">
        <f t="shared" si="7"/>
        <v>0.09</v>
      </c>
      <c r="I29" s="559">
        <f t="shared" si="8"/>
        <v>0</v>
      </c>
      <c r="J29" s="837">
        <f t="shared" si="9"/>
        <v>63</v>
      </c>
      <c r="K29" s="699">
        <f t="shared" si="10"/>
        <v>0.1</v>
      </c>
      <c r="L29" s="700">
        <f t="shared" si="11"/>
        <v>0.05</v>
      </c>
      <c r="M29" s="859" t="s">
        <v>712</v>
      </c>
      <c r="N29" s="434"/>
      <c r="O29" s="141"/>
      <c r="P29" s="140">
        <f t="shared" si="12"/>
        <v>0</v>
      </c>
      <c r="Q29" s="116">
        <f t="shared" si="13"/>
        <v>0</v>
      </c>
      <c r="R29" s="117">
        <f t="shared" si="14"/>
        <v>0</v>
      </c>
      <c r="S29" s="123">
        <f t="shared" si="15"/>
        <v>0</v>
      </c>
      <c r="T29" s="98" t="str">
        <f t="shared" si="16"/>
        <v/>
      </c>
      <c r="U29" s="123">
        <f t="shared" si="17"/>
        <v>1509609.52</v>
      </c>
      <c r="V29" s="332"/>
      <c r="W29" s="113">
        <f t="shared" si="19"/>
        <v>2584794.5299999998</v>
      </c>
      <c r="X29" s="116">
        <f t="shared" si="20"/>
        <v>28500</v>
      </c>
      <c r="Y29" s="117">
        <f t="shared" si="21"/>
        <v>2613294.5299999998</v>
      </c>
      <c r="Z29" s="123">
        <f t="shared" si="22"/>
        <v>2613294.5299999998</v>
      </c>
      <c r="AA29" s="98" t="str">
        <f t="shared" si="23"/>
        <v/>
      </c>
      <c r="AB29" s="123">
        <f t="shared" si="24"/>
        <v>1411941.17</v>
      </c>
      <c r="AC29" s="332">
        <f t="shared" si="158"/>
        <v>2320334.7008370496</v>
      </c>
      <c r="AD29" s="113">
        <f t="shared" si="26"/>
        <v>2902313.8</v>
      </c>
      <c r="AE29" s="116">
        <f t="shared" si="27"/>
        <v>0</v>
      </c>
      <c r="AF29" s="117">
        <f t="shared" si="28"/>
        <v>2902313.8</v>
      </c>
      <c r="AG29" s="123">
        <f t="shared" si="29"/>
        <v>581979.09916295018</v>
      </c>
      <c r="AH29" s="494">
        <f t="shared" si="30"/>
        <v>1.2508168752348547</v>
      </c>
      <c r="AI29" s="846">
        <f t="shared" si="31"/>
        <v>2320334.7008370496</v>
      </c>
      <c r="AJ29" s="840" t="str">
        <f t="shared" si="32"/>
        <v/>
      </c>
      <c r="AK29" s="326">
        <f t="shared" si="33"/>
        <v>5487108.3300000001</v>
      </c>
      <c r="AL29" s="326">
        <f t="shared" si="34"/>
        <v>57000</v>
      </c>
      <c r="AM29" s="326">
        <f t="shared" si="35"/>
        <v>5515608.3300000001</v>
      </c>
      <c r="AN29" s="116" t="e">
        <f t="shared" si="36"/>
        <v>#VALUE!</v>
      </c>
      <c r="AO29" s="413" t="str">
        <f t="shared" si="159"/>
        <v/>
      </c>
      <c r="AP29" s="434"/>
      <c r="AQ29" s="140">
        <f t="shared" si="39"/>
        <v>1631239.56</v>
      </c>
      <c r="AR29" s="123">
        <f t="shared" si="40"/>
        <v>0</v>
      </c>
      <c r="AS29" s="148">
        <f t="shared" si="41"/>
        <v>1631239.56</v>
      </c>
      <c r="AT29" s="123"/>
      <c r="AU29" s="326">
        <f t="shared" si="42"/>
        <v>877771.72</v>
      </c>
      <c r="AV29" s="326">
        <f t="shared" si="43"/>
        <v>60030.69</v>
      </c>
      <c r="AW29" s="326">
        <f t="shared" si="44"/>
        <v>937802.41</v>
      </c>
      <c r="AX29" s="332"/>
      <c r="AY29" s="140">
        <f t="shared" si="45"/>
        <v>1248531.25</v>
      </c>
      <c r="AZ29" s="326">
        <f t="shared" si="46"/>
        <v>0</v>
      </c>
      <c r="BA29" s="332">
        <f t="shared" si="47"/>
        <v>1248531.25</v>
      </c>
      <c r="BB29" s="844">
        <f t="shared" ref="BB29:BD29" si="163">SUM(AY29,AU29,AQ29)</f>
        <v>3757542.53</v>
      </c>
      <c r="BC29" s="326">
        <f t="shared" si="163"/>
        <v>60030.69</v>
      </c>
      <c r="BD29" s="332">
        <f t="shared" si="163"/>
        <v>3817573.22</v>
      </c>
      <c r="BE29" s="140">
        <f t="shared" ref="BE29:BF29" si="164">SUM(BB29,AK29)</f>
        <v>9244650.8599999994</v>
      </c>
      <c r="BF29" s="326">
        <f t="shared" si="164"/>
        <v>117030.69</v>
      </c>
      <c r="BG29" s="435">
        <f t="shared" si="50"/>
        <v>9333181.5500000007</v>
      </c>
      <c r="BH29" s="423"/>
      <c r="BI29" s="123">
        <f t="shared" si="51"/>
        <v>1026325.75</v>
      </c>
      <c r="BJ29" s="123">
        <f t="shared" si="52"/>
        <v>62502.19</v>
      </c>
      <c r="BK29" s="148">
        <f t="shared" si="53"/>
        <v>1088827.94</v>
      </c>
      <c r="BL29" s="423"/>
      <c r="BM29" s="123">
        <f t="shared" si="54"/>
        <v>1012957.93</v>
      </c>
      <c r="BN29" s="123">
        <f t="shared" si="55"/>
        <v>0</v>
      </c>
      <c r="BO29" s="123">
        <f t="shared" si="56"/>
        <v>1012957.93</v>
      </c>
      <c r="BP29" s="436"/>
      <c r="BQ29" s="140">
        <f t="shared" si="57"/>
        <v>507902.37999999995</v>
      </c>
      <c r="BR29" s="325">
        <f t="shared" si="58"/>
        <v>31444.59</v>
      </c>
      <c r="BS29" s="333">
        <f t="shared" si="59"/>
        <v>539346.97</v>
      </c>
      <c r="BT29" s="140">
        <f t="shared" ref="BT29:BV29" si="165">SUM(BQ29,BM29,BI29)</f>
        <v>2547186.06</v>
      </c>
      <c r="BU29" s="326">
        <f t="shared" si="165"/>
        <v>93946.78</v>
      </c>
      <c r="BV29" s="333">
        <f t="shared" si="165"/>
        <v>2641132.84</v>
      </c>
      <c r="BW29" s="125"/>
      <c r="BX29" s="140">
        <f t="shared" si="61"/>
        <v>1985557.45</v>
      </c>
      <c r="BY29" s="123">
        <f t="shared" si="62"/>
        <v>67750.009999999995</v>
      </c>
      <c r="BZ29" s="148">
        <f t="shared" si="63"/>
        <v>2053307.46</v>
      </c>
      <c r="CA29" s="123"/>
      <c r="CB29" s="326"/>
      <c r="CI29" s="294"/>
      <c r="CJ29" s="294"/>
    </row>
    <row r="30" spans="1:115" ht="13">
      <c r="A30" s="436">
        <f t="shared" si="0"/>
        <v>112012876</v>
      </c>
      <c r="B30" s="172">
        <f t="shared" si="1"/>
        <v>21</v>
      </c>
      <c r="C30" s="558">
        <f t="shared" si="2"/>
        <v>0.1</v>
      </c>
      <c r="D30" s="558">
        <f t="shared" si="3"/>
        <v>0</v>
      </c>
      <c r="E30" s="559">
        <f t="shared" si="4"/>
        <v>0</v>
      </c>
      <c r="F30" s="836">
        <f t="shared" si="5"/>
        <v>21</v>
      </c>
      <c r="G30" s="558">
        <f t="shared" si="6"/>
        <v>0.1</v>
      </c>
      <c r="H30" s="558">
        <f t="shared" si="7"/>
        <v>0</v>
      </c>
      <c r="I30" s="559">
        <f t="shared" si="8"/>
        <v>0</v>
      </c>
      <c r="J30" s="837">
        <f t="shared" si="9"/>
        <v>21</v>
      </c>
      <c r="K30" s="699">
        <f t="shared" si="10"/>
        <v>0.1</v>
      </c>
      <c r="L30" s="700">
        <f t="shared" si="11"/>
        <v>0</v>
      </c>
      <c r="M30" s="498" t="s">
        <v>713</v>
      </c>
      <c r="N30" s="845">
        <f>IFERROR(VLOOKUP(M30,BUELA,3,FALSE),"")</f>
        <v>459987.23</v>
      </c>
      <c r="O30" s="237">
        <v>1800000</v>
      </c>
      <c r="P30" s="113" t="e">
        <f t="shared" si="12"/>
        <v>#VALUE!</v>
      </c>
      <c r="Q30" s="116" t="str">
        <f t="shared" si="13"/>
        <v/>
      </c>
      <c r="R30" s="117">
        <f t="shared" si="14"/>
        <v>0</v>
      </c>
      <c r="S30" s="114">
        <f t="shared" si="15"/>
        <v>-1800000</v>
      </c>
      <c r="T30" s="413">
        <f t="shared" si="16"/>
        <v>0</v>
      </c>
      <c r="U30" s="123">
        <f t="shared" si="17"/>
        <v>796307.05</v>
      </c>
      <c r="V30" s="141">
        <f t="shared" ref="V30:V31" si="166">(U30*1.7245)*1.05</f>
        <v>1441893.0831112501</v>
      </c>
      <c r="W30" s="113" t="e">
        <f t="shared" si="19"/>
        <v>#VALUE!</v>
      </c>
      <c r="X30" s="116" t="str">
        <f t="shared" si="20"/>
        <v/>
      </c>
      <c r="Y30" s="117">
        <f t="shared" si="21"/>
        <v>1920923.58</v>
      </c>
      <c r="Z30" s="123">
        <f t="shared" si="22"/>
        <v>479030.49688875</v>
      </c>
      <c r="AA30" s="98">
        <f t="shared" si="23"/>
        <v>1.3322233128791492</v>
      </c>
      <c r="AB30" s="123">
        <f t="shared" si="24"/>
        <v>246010.89</v>
      </c>
      <c r="AC30" s="456">
        <v>1800000</v>
      </c>
      <c r="AD30" s="113" t="e">
        <f t="shared" si="26"/>
        <v>#VALUE!</v>
      </c>
      <c r="AE30" s="116" t="str">
        <f t="shared" si="27"/>
        <v/>
      </c>
      <c r="AF30" s="117">
        <f t="shared" si="28"/>
        <v>17171.46</v>
      </c>
      <c r="AG30" s="123">
        <f t="shared" si="29"/>
        <v>-1782828.54</v>
      </c>
      <c r="AH30" s="494">
        <f t="shared" si="30"/>
        <v>9.5396999999999999E-3</v>
      </c>
      <c r="AI30" s="846">
        <f t="shared" si="31"/>
        <v>5041893.0831112498</v>
      </c>
      <c r="AJ30" s="840">
        <f t="shared" si="32"/>
        <v>1436198.77</v>
      </c>
      <c r="AK30" s="326" t="e">
        <f t="shared" si="33"/>
        <v>#VALUE!</v>
      </c>
      <c r="AL30" s="326">
        <f t="shared" si="34"/>
        <v>0</v>
      </c>
      <c r="AM30" s="326">
        <f t="shared" si="35"/>
        <v>1938095.04</v>
      </c>
      <c r="AN30" s="116">
        <f t="shared" si="36"/>
        <v>501896.27</v>
      </c>
      <c r="AO30" s="413">
        <f t="shared" si="159"/>
        <v>1.3494615651286208</v>
      </c>
      <c r="AP30" s="434"/>
      <c r="AQ30" s="140" t="e">
        <f t="shared" si="39"/>
        <v>#VALUE!</v>
      </c>
      <c r="AR30" s="123" t="str">
        <f t="shared" si="40"/>
        <v/>
      </c>
      <c r="AS30" s="148">
        <f t="shared" si="41"/>
        <v>746995.56</v>
      </c>
      <c r="AT30" s="123"/>
      <c r="AU30" s="326" t="e">
        <f t="shared" si="42"/>
        <v>#VALUE!</v>
      </c>
      <c r="AV30" s="326" t="str">
        <f t="shared" si="43"/>
        <v/>
      </c>
      <c r="AW30" s="326">
        <f t="shared" si="44"/>
        <v>315617.23</v>
      </c>
      <c r="AX30" s="332">
        <f>IFERROR(VLOOKUP(M30,BUELA,8,FALSE),"")</f>
        <v>352754.79</v>
      </c>
      <c r="AY30" s="140" t="e">
        <f t="shared" si="45"/>
        <v>#VALUE!</v>
      </c>
      <c r="AZ30" s="326" t="str">
        <f t="shared" si="46"/>
        <v/>
      </c>
      <c r="BA30" s="332">
        <f t="shared" si="47"/>
        <v>546906.91</v>
      </c>
      <c r="BB30" s="844" t="e">
        <f t="shared" ref="BB30:BD30" si="167">SUM(AY30,AU30,AQ30)</f>
        <v>#VALUE!</v>
      </c>
      <c r="BC30" s="326">
        <f t="shared" si="167"/>
        <v>0</v>
      </c>
      <c r="BD30" s="332">
        <f t="shared" si="167"/>
        <v>1609519.7000000002</v>
      </c>
      <c r="BE30" s="140" t="e">
        <f t="shared" ref="BE30:BF30" si="168">SUM(BB30,AK30)</f>
        <v>#VALUE!</v>
      </c>
      <c r="BF30" s="326">
        <f t="shared" si="168"/>
        <v>0</v>
      </c>
      <c r="BG30" s="435">
        <f t="shared" si="50"/>
        <v>3547614.74</v>
      </c>
      <c r="BH30" s="423">
        <f>IFERROR(VLOOKUP(M30,BUELA,9,FALSE),"")</f>
        <v>597844.92000000004</v>
      </c>
      <c r="BI30" s="123" t="e">
        <f t="shared" si="51"/>
        <v>#VALUE!</v>
      </c>
      <c r="BJ30" s="123" t="str">
        <f t="shared" si="52"/>
        <v/>
      </c>
      <c r="BK30" s="148">
        <f t="shared" si="53"/>
        <v>848817.4</v>
      </c>
      <c r="BL30" s="423">
        <f>IFERROR(VLOOKUP(M30,BUELA,10,FALSE),"")</f>
        <v>545651.1</v>
      </c>
      <c r="BM30" s="123" t="e">
        <f t="shared" si="54"/>
        <v>#VALUE!</v>
      </c>
      <c r="BN30" s="123" t="str">
        <f t="shared" si="55"/>
        <v/>
      </c>
      <c r="BO30" s="123">
        <f t="shared" si="56"/>
        <v>478229.35</v>
      </c>
      <c r="BP30" s="436">
        <f>IFERROR(VLOOKUP(M30,BUELA,11,FALSE),"")</f>
        <v>720538.28</v>
      </c>
      <c r="BQ30" s="140" t="e">
        <f t="shared" si="57"/>
        <v>#VALUE!</v>
      </c>
      <c r="BR30" s="325" t="str">
        <f t="shared" si="58"/>
        <v/>
      </c>
      <c r="BS30" s="333">
        <f t="shared" si="59"/>
        <v>374268.57</v>
      </c>
      <c r="BT30" s="140" t="e">
        <f t="shared" ref="BT30:BV30" si="169">SUM(BQ30,BM30,BI30)</f>
        <v>#VALUE!</v>
      </c>
      <c r="BU30" s="326">
        <f t="shared" si="169"/>
        <v>0</v>
      </c>
      <c r="BV30" s="333">
        <f t="shared" si="169"/>
        <v>1701315.3199999998</v>
      </c>
      <c r="BW30" s="125">
        <f>IFERROR(VLOOKUP(M30,BUELA,12,FALSE),"")</f>
        <v>51756.55</v>
      </c>
      <c r="BX30" s="140" t="e">
        <f t="shared" si="61"/>
        <v>#VALUE!</v>
      </c>
      <c r="BY30" s="123" t="str">
        <f t="shared" si="62"/>
        <v/>
      </c>
      <c r="BZ30" s="148">
        <f t="shared" si="63"/>
        <v>916549.12</v>
      </c>
      <c r="CA30" s="123">
        <f>IFERROR(VLOOKUP(M30,BUELA,13,FALSE),"")</f>
        <v>865558.92</v>
      </c>
      <c r="CB30" s="326">
        <f>IFERROR(VLOOKUP(M30,BUELA,14,FALSE),"")</f>
        <v>518883.3</v>
      </c>
      <c r="CI30" s="294"/>
      <c r="CJ30" s="294"/>
    </row>
    <row r="31" spans="1:115" ht="13">
      <c r="A31" s="436">
        <f t="shared" si="0"/>
        <v>112014723</v>
      </c>
      <c r="B31" s="172">
        <f t="shared" si="1"/>
        <v>31</v>
      </c>
      <c r="C31" s="558">
        <f t="shared" si="2"/>
        <v>0.1</v>
      </c>
      <c r="D31" s="558">
        <f t="shared" si="3"/>
        <v>0.23</v>
      </c>
      <c r="E31" s="559">
        <f t="shared" si="4"/>
        <v>0</v>
      </c>
      <c r="F31" s="836">
        <f t="shared" si="5"/>
        <v>31</v>
      </c>
      <c r="G31" s="558">
        <f t="shared" si="6"/>
        <v>0.1</v>
      </c>
      <c r="H31" s="558">
        <f t="shared" si="7"/>
        <v>0.23</v>
      </c>
      <c r="I31" s="559">
        <f t="shared" si="8"/>
        <v>0</v>
      </c>
      <c r="J31" s="837">
        <f t="shared" si="9"/>
        <v>61</v>
      </c>
      <c r="K31" s="699">
        <f t="shared" si="10"/>
        <v>0.1</v>
      </c>
      <c r="L31" s="700">
        <f t="shared" si="11"/>
        <v>0.14000000000000001</v>
      </c>
      <c r="M31" s="891" t="s">
        <v>714</v>
      </c>
      <c r="N31" s="434"/>
      <c r="O31" s="422"/>
      <c r="P31" s="113" t="e">
        <f t="shared" si="12"/>
        <v>#VALUE!</v>
      </c>
      <c r="Q31" s="116" t="str">
        <f t="shared" si="13"/>
        <v/>
      </c>
      <c r="R31" s="117" t="str">
        <f t="shared" si="14"/>
        <v/>
      </c>
      <c r="S31" s="114" t="e">
        <f t="shared" si="15"/>
        <v>#VALUE!</v>
      </c>
      <c r="T31" s="413" t="str">
        <f t="shared" si="16"/>
        <v/>
      </c>
      <c r="U31" s="123" t="str">
        <f t="shared" si="17"/>
        <v/>
      </c>
      <c r="V31" s="141" t="e">
        <f t="shared" si="166"/>
        <v>#VALUE!</v>
      </c>
      <c r="W31" s="113" t="e">
        <f t="shared" si="19"/>
        <v>#VALUE!</v>
      </c>
      <c r="X31" s="116" t="str">
        <f t="shared" si="20"/>
        <v/>
      </c>
      <c r="Y31" s="117" t="str">
        <f t="shared" si="21"/>
        <v/>
      </c>
      <c r="Z31" s="123" t="e">
        <f t="shared" si="22"/>
        <v>#VALUE!</v>
      </c>
      <c r="AA31" s="98" t="str">
        <f t="shared" si="23"/>
        <v/>
      </c>
      <c r="AB31" s="123" t="str">
        <f t="shared" si="24"/>
        <v/>
      </c>
      <c r="AC31" s="456">
        <v>1800000</v>
      </c>
      <c r="AD31" s="113" t="e">
        <f t="shared" si="26"/>
        <v>#VALUE!</v>
      </c>
      <c r="AE31" s="116" t="str">
        <f t="shared" si="27"/>
        <v/>
      </c>
      <c r="AF31" s="117" t="str">
        <f t="shared" si="28"/>
        <v/>
      </c>
      <c r="AG31" s="123" t="e">
        <f t="shared" si="29"/>
        <v>#VALUE!</v>
      </c>
      <c r="AH31" s="494" t="str">
        <f t="shared" si="30"/>
        <v/>
      </c>
      <c r="AI31" s="846" t="e">
        <f t="shared" si="31"/>
        <v>#VALUE!</v>
      </c>
      <c r="AJ31" s="840" t="str">
        <f t="shared" si="32"/>
        <v/>
      </c>
      <c r="AK31" s="326" t="e">
        <f t="shared" si="33"/>
        <v>#VALUE!</v>
      </c>
      <c r="AL31" s="326">
        <f t="shared" si="34"/>
        <v>0</v>
      </c>
      <c r="AM31" s="326">
        <f t="shared" si="35"/>
        <v>0</v>
      </c>
      <c r="AN31" s="116" t="e">
        <f t="shared" si="36"/>
        <v>#VALUE!</v>
      </c>
      <c r="AO31" s="413" t="str">
        <f t="shared" si="159"/>
        <v/>
      </c>
      <c r="AP31" s="434"/>
      <c r="AQ31" s="140" t="e">
        <f t="shared" si="39"/>
        <v>#VALUE!</v>
      </c>
      <c r="AR31" s="123" t="str">
        <f t="shared" si="40"/>
        <v/>
      </c>
      <c r="AS31" s="148" t="str">
        <f t="shared" si="41"/>
        <v/>
      </c>
      <c r="AT31" s="123"/>
      <c r="AU31" s="326" t="e">
        <f t="shared" si="42"/>
        <v>#VALUE!</v>
      </c>
      <c r="AV31" s="326" t="str">
        <f t="shared" si="43"/>
        <v/>
      </c>
      <c r="AW31" s="326" t="str">
        <f t="shared" si="44"/>
        <v/>
      </c>
      <c r="AX31" s="332"/>
      <c r="AY31" s="140" t="e">
        <f t="shared" si="45"/>
        <v>#VALUE!</v>
      </c>
      <c r="AZ31" s="326" t="str">
        <f t="shared" si="46"/>
        <v/>
      </c>
      <c r="BA31" s="332" t="str">
        <f t="shared" si="47"/>
        <v/>
      </c>
      <c r="BB31" s="844" t="e">
        <f t="shared" ref="BB31:BD31" si="170">SUM(AY31,AU31,AQ31)</f>
        <v>#VALUE!</v>
      </c>
      <c r="BC31" s="326">
        <f t="shared" si="170"/>
        <v>0</v>
      </c>
      <c r="BD31" s="332">
        <f t="shared" si="170"/>
        <v>0</v>
      </c>
      <c r="BE31" s="140" t="e">
        <f t="shared" ref="BE31:BF31" si="171">SUM(BB31,AK31)</f>
        <v>#VALUE!</v>
      </c>
      <c r="BF31" s="326">
        <f t="shared" si="171"/>
        <v>0</v>
      </c>
      <c r="BG31" s="435">
        <f t="shared" si="50"/>
        <v>0</v>
      </c>
      <c r="BH31" s="423"/>
      <c r="BI31" s="123" t="e">
        <f t="shared" si="51"/>
        <v>#VALUE!</v>
      </c>
      <c r="BJ31" s="123" t="str">
        <f t="shared" si="52"/>
        <v/>
      </c>
      <c r="BK31" s="148" t="str">
        <f t="shared" si="53"/>
        <v/>
      </c>
      <c r="BL31" s="423"/>
      <c r="BM31" s="123" t="e">
        <f t="shared" si="54"/>
        <v>#VALUE!</v>
      </c>
      <c r="BN31" s="123" t="str">
        <f t="shared" si="55"/>
        <v/>
      </c>
      <c r="BO31" s="123" t="str">
        <f t="shared" si="56"/>
        <v/>
      </c>
      <c r="BP31" s="436"/>
      <c r="BQ31" s="140" t="e">
        <f t="shared" si="57"/>
        <v>#VALUE!</v>
      </c>
      <c r="BR31" s="325" t="str">
        <f t="shared" si="58"/>
        <v/>
      </c>
      <c r="BS31" s="333" t="str">
        <f t="shared" si="59"/>
        <v/>
      </c>
      <c r="BT31" s="140" t="e">
        <f t="shared" ref="BT31:BV31" si="172">SUM(BQ31,BM31,BI31)</f>
        <v>#VALUE!</v>
      </c>
      <c r="BU31" s="326">
        <f t="shared" si="172"/>
        <v>0</v>
      </c>
      <c r="BV31" s="333">
        <f t="shared" si="172"/>
        <v>0</v>
      </c>
      <c r="BW31" s="125"/>
      <c r="BX31" s="140" t="e">
        <f t="shared" si="61"/>
        <v>#VALUE!</v>
      </c>
      <c r="BY31" s="123" t="str">
        <f t="shared" si="62"/>
        <v/>
      </c>
      <c r="BZ31" s="148" t="str">
        <f t="shared" si="63"/>
        <v/>
      </c>
      <c r="CA31" s="123"/>
      <c r="CB31" s="326"/>
      <c r="CI31" s="294"/>
      <c r="CJ31" s="294"/>
    </row>
    <row r="32" spans="1:115" ht="13">
      <c r="A32" s="436">
        <f t="shared" si="0"/>
        <v>112013626</v>
      </c>
      <c r="B32" s="172"/>
      <c r="C32" s="558"/>
      <c r="D32" s="558"/>
      <c r="E32" s="559"/>
      <c r="F32" s="836">
        <f t="shared" si="5"/>
        <v>22</v>
      </c>
      <c r="G32" s="558">
        <f t="shared" si="6"/>
        <v>0.1</v>
      </c>
      <c r="H32" s="558">
        <f t="shared" si="7"/>
        <v>0.09</v>
      </c>
      <c r="I32" s="559">
        <f t="shared" si="8"/>
        <v>0</v>
      </c>
      <c r="J32" s="837">
        <f t="shared" si="9"/>
        <v>63</v>
      </c>
      <c r="K32" s="699">
        <f t="shared" si="10"/>
        <v>0.1</v>
      </c>
      <c r="L32" s="700">
        <f t="shared" si="11"/>
        <v>0.05</v>
      </c>
      <c r="M32" s="859" t="s">
        <v>669</v>
      </c>
      <c r="N32" s="434"/>
      <c r="O32" s="141"/>
      <c r="P32" s="113"/>
      <c r="Q32" s="116">
        <f t="shared" si="13"/>
        <v>0</v>
      </c>
      <c r="R32" s="117">
        <f t="shared" si="14"/>
        <v>0</v>
      </c>
      <c r="S32" s="114"/>
      <c r="T32" s="413"/>
      <c r="U32" s="123"/>
      <c r="V32" s="141"/>
      <c r="W32" s="113">
        <f t="shared" si="19"/>
        <v>-25848.28</v>
      </c>
      <c r="X32" s="116">
        <f t="shared" si="20"/>
        <v>0</v>
      </c>
      <c r="Y32" s="117">
        <f t="shared" si="21"/>
        <v>-25848.28</v>
      </c>
      <c r="Z32" s="123"/>
      <c r="AA32" s="98"/>
      <c r="AB32" s="123"/>
      <c r="AC32" s="332"/>
      <c r="AD32" s="113">
        <f t="shared" si="26"/>
        <v>0</v>
      </c>
      <c r="AE32" s="116">
        <f t="shared" si="27"/>
        <v>0</v>
      </c>
      <c r="AF32" s="117">
        <f t="shared" si="28"/>
        <v>0</v>
      </c>
      <c r="AG32" s="123"/>
      <c r="AH32" s="494"/>
      <c r="AI32" s="846"/>
      <c r="AJ32" s="840">
        <f t="shared" si="32"/>
        <v>794281.73</v>
      </c>
      <c r="AK32" s="326"/>
      <c r="AL32" s="326"/>
      <c r="AM32" s="326"/>
      <c r="AN32" s="116">
        <f t="shared" si="36"/>
        <v>-794281.73</v>
      </c>
      <c r="AO32" s="413">
        <f t="shared" si="159"/>
        <v>0</v>
      </c>
      <c r="AP32" s="434"/>
      <c r="AQ32" s="140">
        <f t="shared" si="39"/>
        <v>0</v>
      </c>
      <c r="AR32" s="123">
        <f t="shared" si="40"/>
        <v>0</v>
      </c>
      <c r="AS32" s="148">
        <f t="shared" si="41"/>
        <v>0</v>
      </c>
      <c r="AT32" s="123"/>
      <c r="AU32" s="326">
        <f t="shared" si="42"/>
        <v>455404.39</v>
      </c>
      <c r="AV32" s="326">
        <f t="shared" si="43"/>
        <v>0</v>
      </c>
      <c r="AW32" s="326">
        <f t="shared" si="44"/>
        <v>455404.39</v>
      </c>
      <c r="AX32" s="332"/>
      <c r="AY32" s="140">
        <f t="shared" si="45"/>
        <v>616906.89</v>
      </c>
      <c r="AZ32" s="326">
        <f t="shared" si="46"/>
        <v>0</v>
      </c>
      <c r="BA32" s="332">
        <f t="shared" si="47"/>
        <v>616906.89</v>
      </c>
      <c r="BB32" s="122">
        <f t="shared" ref="BB32:BD32" si="173">SUM(AY32,AU32,AQ32)</f>
        <v>1072311.28</v>
      </c>
      <c r="BC32" s="326">
        <f t="shared" si="173"/>
        <v>0</v>
      </c>
      <c r="BD32" s="332">
        <f t="shared" si="173"/>
        <v>1072311.28</v>
      </c>
      <c r="BE32" s="140">
        <f t="shared" ref="BE32:BF32" si="174">SUM(BB32,AK32)</f>
        <v>1072311.28</v>
      </c>
      <c r="BF32" s="326">
        <f t="shared" si="174"/>
        <v>0</v>
      </c>
      <c r="BG32" s="435">
        <f t="shared" si="50"/>
        <v>1072311.28</v>
      </c>
      <c r="BH32" s="423"/>
      <c r="BI32" s="123">
        <f t="shared" si="51"/>
        <v>54491.399999999994</v>
      </c>
      <c r="BJ32" s="123">
        <f t="shared" si="52"/>
        <v>53454.3</v>
      </c>
      <c r="BK32" s="148">
        <f t="shared" si="53"/>
        <v>107945.7</v>
      </c>
      <c r="BL32" s="423"/>
      <c r="BM32" s="123">
        <f t="shared" si="54"/>
        <v>332209.55</v>
      </c>
      <c r="BN32" s="123">
        <f t="shared" si="55"/>
        <v>62115.199999999997</v>
      </c>
      <c r="BO32" s="123">
        <f t="shared" si="56"/>
        <v>394324.75</v>
      </c>
      <c r="BP32" s="436"/>
      <c r="BQ32" s="140">
        <f t="shared" si="57"/>
        <v>563930.61</v>
      </c>
      <c r="BR32" s="325">
        <f t="shared" si="58"/>
        <v>0</v>
      </c>
      <c r="BS32" s="333">
        <f t="shared" si="59"/>
        <v>563930.61</v>
      </c>
      <c r="BT32" s="140">
        <f t="shared" ref="BT32:BV32" si="175">SUM(BQ32,BM32,BI32)</f>
        <v>950631.55999999994</v>
      </c>
      <c r="BU32" s="326">
        <f t="shared" si="175"/>
        <v>115569.5</v>
      </c>
      <c r="BV32" s="333">
        <f t="shared" si="175"/>
        <v>1066201.06</v>
      </c>
      <c r="BW32" s="125"/>
      <c r="BX32" s="140">
        <f t="shared" si="61"/>
        <v>1786073.92</v>
      </c>
      <c r="BY32" s="123">
        <f t="shared" si="62"/>
        <v>68347</v>
      </c>
      <c r="BZ32" s="148">
        <f t="shared" si="63"/>
        <v>1854420.92</v>
      </c>
      <c r="CA32" s="123"/>
      <c r="CB32" s="326"/>
      <c r="CI32" s="294"/>
      <c r="CJ32" s="294"/>
    </row>
    <row r="33" spans="1:115" ht="13">
      <c r="A33" s="436">
        <f t="shared" si="0"/>
        <v>112011463</v>
      </c>
      <c r="B33" s="172">
        <f t="shared" ref="B33:B64" si="176">VLOOKUP(M33,BUELACARTERA,2,FALSE)</f>
        <v>20</v>
      </c>
      <c r="C33" s="558">
        <f t="shared" ref="C33:C64" si="177">IFERROR(VLOOKUP(B33,DES,2,FALSE),"")</f>
        <v>0.05</v>
      </c>
      <c r="D33" s="558">
        <f t="shared" ref="D33:D64" si="178">IFERROR(VLOOKUP(B33,DES,3,FALSE),"")</f>
        <v>0.09</v>
      </c>
      <c r="E33" s="559">
        <f t="shared" ref="E33:E64" si="179">IFERROR(VLOOKUP(B33,DES,4,FALSE),"")</f>
        <v>0</v>
      </c>
      <c r="F33" s="836">
        <f t="shared" si="5"/>
        <v>20</v>
      </c>
      <c r="G33" s="558">
        <f t="shared" si="6"/>
        <v>0.05</v>
      </c>
      <c r="H33" s="558">
        <f t="shared" si="7"/>
        <v>0.09</v>
      </c>
      <c r="I33" s="559">
        <f t="shared" si="8"/>
        <v>0</v>
      </c>
      <c r="J33" s="837">
        <f t="shared" si="9"/>
        <v>67</v>
      </c>
      <c r="K33" s="699">
        <f t="shared" si="10"/>
        <v>0.05</v>
      </c>
      <c r="L33" s="700">
        <f t="shared" si="11"/>
        <v>0.05</v>
      </c>
      <c r="M33" s="859" t="s">
        <v>715</v>
      </c>
      <c r="N33" s="434"/>
      <c r="O33" s="141">
        <f>(N33*1.601)*1.05</f>
        <v>0</v>
      </c>
      <c r="P33" s="113">
        <f t="shared" ref="P33:P130" si="180">R33-Q33</f>
        <v>0</v>
      </c>
      <c r="Q33" s="116">
        <f t="shared" si="13"/>
        <v>0</v>
      </c>
      <c r="R33" s="117">
        <f t="shared" si="14"/>
        <v>0</v>
      </c>
      <c r="S33" s="114">
        <f t="shared" ref="S33:S130" si="181">R33-O33</f>
        <v>0</v>
      </c>
      <c r="T33" s="413" t="str">
        <f t="shared" ref="T33:T130" si="182">IFERROR(R33/O33,"")</f>
        <v/>
      </c>
      <c r="U33" s="123">
        <f t="shared" ref="U33:U64" si="183">IFERROR(VLOOKUP(M33,BUELA,4,FALSE),"")</f>
        <v>1473055.51</v>
      </c>
      <c r="V33" s="332"/>
      <c r="W33" s="113">
        <f t="shared" si="19"/>
        <v>1958830.71</v>
      </c>
      <c r="X33" s="116">
        <f t="shared" si="20"/>
        <v>0</v>
      </c>
      <c r="Y33" s="117">
        <f t="shared" si="21"/>
        <v>1958830.71</v>
      </c>
      <c r="Z33" s="123">
        <f t="shared" ref="Z33:Z130" si="184">Y33-V33</f>
        <v>1958830.71</v>
      </c>
      <c r="AA33" s="98" t="str">
        <f t="shared" ref="AA33:AA130" si="185">IFERROR(Y33/V33,"")</f>
        <v/>
      </c>
      <c r="AB33" s="123">
        <f t="shared" ref="AB33:AB64" si="186">IFERROR(VLOOKUP(M33,BUELA,5,FALSE),"")</f>
        <v>1623645.06</v>
      </c>
      <c r="AC33" s="332">
        <f>(AB33*1.5955)*1.03</f>
        <v>2668241.4640269</v>
      </c>
      <c r="AD33" s="113">
        <f t="shared" si="26"/>
        <v>1648471.3699999999</v>
      </c>
      <c r="AE33" s="116">
        <f t="shared" si="27"/>
        <v>96308.6</v>
      </c>
      <c r="AF33" s="117">
        <f t="shared" si="28"/>
        <v>1744779.97</v>
      </c>
      <c r="AG33" s="123">
        <f t="shared" ref="AG33:AG130" si="187">AF33-AC33</f>
        <v>-923461.49402690004</v>
      </c>
      <c r="AH33" s="494">
        <f t="shared" ref="AH33:AH130" si="188">IFERROR(AF33/AC33,"")</f>
        <v>0.65390632501707124</v>
      </c>
      <c r="AI33" s="846">
        <f t="shared" ref="AI33:AI130" si="189">SUM(O33,V33,AC33)</f>
        <v>2668241.4640269</v>
      </c>
      <c r="AJ33" s="840">
        <f t="shared" si="32"/>
        <v>6517004.8099999996</v>
      </c>
      <c r="AK33" s="326">
        <f t="shared" ref="AK33:AK130" si="190">SUM(AD33,W33,P33)</f>
        <v>3607302.08</v>
      </c>
      <c r="AL33" s="326">
        <f t="shared" ref="AL33:AL130" si="191">SUM(AE33,X33,X33,Q33)</f>
        <v>96308.6</v>
      </c>
      <c r="AM33" s="326">
        <f t="shared" ref="AM33:AM130" si="192">SUM(AF33,Y33,R33)</f>
        <v>3703610.6799999997</v>
      </c>
      <c r="AN33" s="116">
        <f t="shared" si="36"/>
        <v>-2813394.13</v>
      </c>
      <c r="AO33" s="413">
        <f t="shared" si="159"/>
        <v>0.5682995161085358</v>
      </c>
      <c r="AP33" s="434"/>
      <c r="AQ33" s="140">
        <f t="shared" si="39"/>
        <v>612486.63</v>
      </c>
      <c r="AR33" s="123">
        <f t="shared" si="40"/>
        <v>173902.83</v>
      </c>
      <c r="AS33" s="148">
        <f t="shared" si="41"/>
        <v>786389.46</v>
      </c>
      <c r="AT33" s="123"/>
      <c r="AU33" s="326">
        <f t="shared" si="42"/>
        <v>1002949.61</v>
      </c>
      <c r="AV33" s="326">
        <f t="shared" si="43"/>
        <v>0</v>
      </c>
      <c r="AW33" s="326">
        <f t="shared" si="44"/>
        <v>1002949.61</v>
      </c>
      <c r="AX33" s="332"/>
      <c r="AY33" s="140">
        <f t="shared" si="45"/>
        <v>867415.74</v>
      </c>
      <c r="AZ33" s="326">
        <f t="shared" si="46"/>
        <v>89072.16</v>
      </c>
      <c r="BA33" s="332">
        <f t="shared" si="47"/>
        <v>956487.9</v>
      </c>
      <c r="BB33" s="122">
        <f t="shared" ref="BB33:BD33" si="193">SUM(AY33,AU33,AQ33)</f>
        <v>2482851.98</v>
      </c>
      <c r="BC33" s="326">
        <f t="shared" si="193"/>
        <v>262974.99</v>
      </c>
      <c r="BD33" s="332">
        <f t="shared" si="193"/>
        <v>2745826.9699999997</v>
      </c>
      <c r="BE33" s="140">
        <f t="shared" ref="BE33:BF33" si="194">SUM(BB33,AK33)</f>
        <v>6090154.0600000005</v>
      </c>
      <c r="BF33" s="326">
        <f t="shared" si="194"/>
        <v>359283.58999999997</v>
      </c>
      <c r="BG33" s="435">
        <f t="shared" si="50"/>
        <v>6449437.6499999994</v>
      </c>
      <c r="BH33" s="423"/>
      <c r="BI33" s="123">
        <f t="shared" si="51"/>
        <v>1104444.5499999998</v>
      </c>
      <c r="BJ33" s="123">
        <f t="shared" si="52"/>
        <v>101124.1</v>
      </c>
      <c r="BK33" s="148">
        <f t="shared" si="53"/>
        <v>1205568.6499999999</v>
      </c>
      <c r="BL33" s="423"/>
      <c r="BM33" s="123">
        <f t="shared" si="54"/>
        <v>756374.94</v>
      </c>
      <c r="BN33" s="123">
        <f t="shared" si="55"/>
        <v>0</v>
      </c>
      <c r="BO33" s="123">
        <f t="shared" si="56"/>
        <v>756374.94</v>
      </c>
      <c r="BP33" s="436"/>
      <c r="BQ33" s="140">
        <f t="shared" si="57"/>
        <v>1250275.78</v>
      </c>
      <c r="BR33" s="325">
        <f t="shared" si="58"/>
        <v>0</v>
      </c>
      <c r="BS33" s="333">
        <f t="shared" si="59"/>
        <v>1250275.78</v>
      </c>
      <c r="BT33" s="586">
        <f t="shared" ref="BT33:BV33" si="195">SUM(BQ33,BM33,BI33)</f>
        <v>3111095.2699999996</v>
      </c>
      <c r="BU33" s="738">
        <f t="shared" si="195"/>
        <v>101124.1</v>
      </c>
      <c r="BV33" s="737">
        <f t="shared" si="195"/>
        <v>3212219.37</v>
      </c>
      <c r="BW33" s="125"/>
      <c r="BX33" s="140">
        <f t="shared" si="61"/>
        <v>2778006.28</v>
      </c>
      <c r="BY33" s="123">
        <f t="shared" si="62"/>
        <v>262752.2</v>
      </c>
      <c r="BZ33" s="148">
        <f t="shared" si="63"/>
        <v>3040758.48</v>
      </c>
      <c r="CA33" s="123"/>
      <c r="CB33" s="326"/>
      <c r="CI33" s="294"/>
      <c r="CJ33" s="294"/>
    </row>
    <row r="34" spans="1:115" ht="13">
      <c r="A34" s="436">
        <f t="shared" ref="A34:A65" si="196">VLOOKUP(M34,BUECART4,3,FALSE)</f>
        <v>112013102</v>
      </c>
      <c r="B34" s="172">
        <f t="shared" si="176"/>
        <v>14</v>
      </c>
      <c r="C34" s="558">
        <f t="shared" si="177"/>
        <v>0.15</v>
      </c>
      <c r="D34" s="558">
        <f t="shared" si="178"/>
        <v>0.2</v>
      </c>
      <c r="E34" s="559">
        <f t="shared" si="179"/>
        <v>0.23</v>
      </c>
      <c r="F34" s="836">
        <f t="shared" ref="F34:F65" si="197">VLOOKUP(M34,BUELACART2,2,FALSE)</f>
        <v>3</v>
      </c>
      <c r="G34" s="558" t="str">
        <f t="shared" ref="G34:G65" si="198">IFERROR(VLOOKUP(F34,DES,2,FALSE),"")</f>
        <v>Lista</v>
      </c>
      <c r="H34" s="558">
        <f t="shared" ref="H34:H65" si="199">IFERROR(VLOOKUP(F34,DES,3,FALSE),"")</f>
        <v>0.2</v>
      </c>
      <c r="I34" s="559">
        <f t="shared" ref="I34:I65" si="200">IFERROR(VLOOKUP(F34,DES,4,FALSE),"")</f>
        <v>0.23</v>
      </c>
      <c r="J34" s="837">
        <f t="shared" ref="J34:J65" si="201">VLOOKUP(M34,BUECART4,2,FALSE)</f>
        <v>70</v>
      </c>
      <c r="K34" s="699" t="str">
        <f t="shared" ref="K34:K65" si="202">VLOOKUP(J34,A458DC1025,2,FALSE)</f>
        <v>Lista</v>
      </c>
      <c r="L34" s="700">
        <f t="shared" ref="L34:L65" si="203">VLOOKUP(J34,A458DC1025,3,FALSE)</f>
        <v>0.11</v>
      </c>
      <c r="M34" s="498" t="s">
        <v>716</v>
      </c>
      <c r="N34" s="845">
        <f t="shared" ref="N34:N50" si="204">IFERROR(VLOOKUP(M34,BUELA,3,FALSE),"")</f>
        <v>449408.4</v>
      </c>
      <c r="O34" s="174">
        <v>3000000</v>
      </c>
      <c r="P34" s="140">
        <f t="shared" si="180"/>
        <v>0</v>
      </c>
      <c r="Q34" s="116">
        <f t="shared" ref="Q34:Q65" si="205">IFERROR(VLOOKUP(M34,BUEALIM,3,FALSE),"")</f>
        <v>2049949.79</v>
      </c>
      <c r="R34" s="117">
        <f t="shared" ref="R34:R65" si="206">IFERROR(VLOOKUP(M34,BUEFC,3,FALSE),"")</f>
        <v>2049949.79</v>
      </c>
      <c r="S34" s="123">
        <f t="shared" si="181"/>
        <v>-950050.21</v>
      </c>
      <c r="T34" s="98">
        <f t="shared" si="182"/>
        <v>0.68331659666666666</v>
      </c>
      <c r="U34" s="123">
        <f t="shared" si="183"/>
        <v>1637355.23</v>
      </c>
      <c r="V34" s="432">
        <v>3000000</v>
      </c>
      <c r="W34" s="113">
        <f t="shared" si="19"/>
        <v>0</v>
      </c>
      <c r="X34" s="116">
        <f t="shared" ref="X34:X65" si="207">IFERROR(VLOOKUP(M34,BUEALIM,4,FALSE),"")</f>
        <v>326048.09000000003</v>
      </c>
      <c r="Y34" s="117">
        <f t="shared" ref="Y34:Y65" si="208">IFERROR(VLOOKUP(M34,BUEFC,4,FALSE),"")</f>
        <v>326048.09000000003</v>
      </c>
      <c r="Z34" s="123">
        <f t="shared" si="184"/>
        <v>-2673951.91</v>
      </c>
      <c r="AA34" s="98">
        <f t="shared" si="185"/>
        <v>0.10868269666666668</v>
      </c>
      <c r="AB34" s="123">
        <f t="shared" si="186"/>
        <v>1069534.82</v>
      </c>
      <c r="AC34" s="432">
        <v>3000000</v>
      </c>
      <c r="AD34" s="113">
        <f t="shared" si="26"/>
        <v>0</v>
      </c>
      <c r="AE34" s="116">
        <f t="shared" ref="AE34:AE65" si="209">IFERROR(VLOOKUP(M34,BUEALIM,5,FALSE),"")</f>
        <v>0</v>
      </c>
      <c r="AF34" s="117">
        <f t="shared" ref="AF34:AF65" si="210">IFERROR(VLOOKUP(M34,BUEFC,5,FALSE),"")</f>
        <v>0</v>
      </c>
      <c r="AG34" s="123">
        <f t="shared" si="187"/>
        <v>-3000000</v>
      </c>
      <c r="AH34" s="494">
        <f t="shared" si="188"/>
        <v>0</v>
      </c>
      <c r="AI34" s="846">
        <f t="shared" si="189"/>
        <v>9000000</v>
      </c>
      <c r="AJ34" s="840">
        <f t="shared" ref="AJ34:AJ65" si="211">IFERROR(VLOOKUP(M34,trim2024,2,FALSE),"")</f>
        <v>1971367.02</v>
      </c>
      <c r="AK34" s="326">
        <f t="shared" si="190"/>
        <v>0</v>
      </c>
      <c r="AL34" s="326">
        <f t="shared" si="191"/>
        <v>2702045.97</v>
      </c>
      <c r="AM34" s="326">
        <f t="shared" si="192"/>
        <v>2375997.88</v>
      </c>
      <c r="AN34" s="116">
        <f t="shared" si="36"/>
        <v>404630.85999999987</v>
      </c>
      <c r="AO34" s="413">
        <f t="shared" ref="AO34:AO53" si="212">AM34/AJ34</f>
        <v>1.205253946066319</v>
      </c>
      <c r="AP34" s="434">
        <f t="shared" ref="AP34:AP50" si="213">IFERROR(VLOOKUP(M34,BUELA,6,FALSE),"")</f>
        <v>390969.67</v>
      </c>
      <c r="AQ34" s="140">
        <f t="shared" si="39"/>
        <v>0</v>
      </c>
      <c r="AR34" s="123">
        <f t="shared" ref="AR34:AR65" si="214">IFERROR(VLOOKUP(M34,BUEALIM,6,FALSE),"")</f>
        <v>337630.35</v>
      </c>
      <c r="AS34" s="148">
        <f t="shared" ref="AS34:AS65" si="215">IFERROR(VLOOKUP(M34,BUEFC,6,FALSE),"")</f>
        <v>337630.35</v>
      </c>
      <c r="AT34" s="123">
        <f t="shared" ref="AT34:AT50" si="216">IFERROR(VLOOKUP(M34,BUELA,7,FALSE),"")</f>
        <v>0</v>
      </c>
      <c r="AU34" s="326">
        <f t="shared" si="42"/>
        <v>0</v>
      </c>
      <c r="AV34" s="326">
        <f t="shared" ref="AV34:AV65" si="217">IFERROR(VLOOKUP(M34,BUEALIM,7,FALSE),"")</f>
        <v>0</v>
      </c>
      <c r="AW34" s="326">
        <f t="shared" ref="AW34:AW65" si="218">IFERROR(VLOOKUP(M34,BUEFC,7,FALSE),"")</f>
        <v>0</v>
      </c>
      <c r="AX34" s="332">
        <f t="shared" ref="AX34:AX50" si="219">IFERROR(VLOOKUP(M34,BUELA,8,FALSE),"")</f>
        <v>0</v>
      </c>
      <c r="AY34" s="140">
        <f t="shared" si="45"/>
        <v>0</v>
      </c>
      <c r="AZ34" s="326">
        <f t="shared" ref="AZ34:AZ65" si="220">IFERROR(VLOOKUP(M34,BUEALIM,8,FALSE),"")</f>
        <v>0</v>
      </c>
      <c r="BA34" s="332">
        <f t="shared" ref="BA34:BA65" si="221">IFERROR(VLOOKUP(M34,BUEFC,8,FALSE),"")</f>
        <v>0</v>
      </c>
      <c r="BB34" s="844">
        <f t="shared" ref="BB34:BD34" si="222">SUM(AY34,AU34,AQ34)</f>
        <v>0</v>
      </c>
      <c r="BC34" s="326">
        <f t="shared" si="222"/>
        <v>337630.35</v>
      </c>
      <c r="BD34" s="332">
        <f t="shared" si="222"/>
        <v>337630.35</v>
      </c>
      <c r="BE34" s="140">
        <f t="shared" ref="BE34:BF34" si="223">SUM(BB34,AK34)</f>
        <v>0</v>
      </c>
      <c r="BF34" s="326">
        <f t="shared" si="223"/>
        <v>3039676.3200000003</v>
      </c>
      <c r="BG34" s="435">
        <f t="shared" si="50"/>
        <v>2713628.23</v>
      </c>
      <c r="BH34" s="423">
        <f t="shared" ref="BH34:BH50" si="224">IFERROR(VLOOKUP(M34,BUELA,9,FALSE),"")</f>
        <v>0</v>
      </c>
      <c r="BI34" s="123">
        <f t="shared" si="51"/>
        <v>0</v>
      </c>
      <c r="BJ34" s="123">
        <f t="shared" ref="BJ34:BJ65" si="225">IFERROR(VLOOKUP(M34,BUEALIM,9,FALSE),"")</f>
        <v>0</v>
      </c>
      <c r="BK34" s="148">
        <f t="shared" ref="BK34:BK65" si="226">IFERROR(VLOOKUP(M34,BUEFC,9,FALSE),"")</f>
        <v>0</v>
      </c>
      <c r="BL34" s="423">
        <f t="shared" ref="BL34:BL50" si="227">IFERROR(VLOOKUP(M34,BUELA,10,FALSE),"")</f>
        <v>0</v>
      </c>
      <c r="BM34" s="123">
        <f t="shared" si="54"/>
        <v>0</v>
      </c>
      <c r="BN34" s="123">
        <f t="shared" ref="BN34:BN65" si="228">IFERROR(VLOOKUP(M34,BUEALIM,10,FALSE),"")</f>
        <v>0</v>
      </c>
      <c r="BO34" s="123">
        <f t="shared" ref="BO34:BO65" si="229">IFERROR(VLOOKUP(M34,BUEFC,10,FALSE),"")</f>
        <v>0</v>
      </c>
      <c r="BP34" s="436">
        <f t="shared" ref="BP34:BP50" si="230">IFERROR(VLOOKUP(M34,BUELA,11,FALSE),"")</f>
        <v>578961.91</v>
      </c>
      <c r="BQ34" s="140">
        <f t="shared" si="57"/>
        <v>0</v>
      </c>
      <c r="BR34" s="325">
        <f t="shared" ref="BR34:BR65" si="231">IFERROR(VLOOKUP(M34,BUEALIM,11,FALSE),"")</f>
        <v>0</v>
      </c>
      <c r="BS34" s="333">
        <f t="shared" ref="BS34:BS65" si="232">IFERROR(VLOOKUP(M34,BUEFC,11,FALSE),"")</f>
        <v>0</v>
      </c>
      <c r="BT34" s="140">
        <f t="shared" ref="BT34:BV34" si="233">SUM(BQ34,BM34,BI34)</f>
        <v>0</v>
      </c>
      <c r="BU34" s="326">
        <f t="shared" si="233"/>
        <v>0</v>
      </c>
      <c r="BV34" s="333">
        <f t="shared" si="233"/>
        <v>0</v>
      </c>
      <c r="BW34" s="125">
        <f t="shared" ref="BW34:BW50" si="234">IFERROR(VLOOKUP(M34,BUELA,12,FALSE),"")</f>
        <v>598353.37</v>
      </c>
      <c r="BX34" s="140">
        <f t="shared" si="61"/>
        <v>0</v>
      </c>
      <c r="BY34" s="123">
        <f t="shared" ref="BY34:BY65" si="235">IFERROR(VLOOKUP(M34,BUEALIM,12,FALSE),"")</f>
        <v>0</v>
      </c>
      <c r="BZ34" s="148">
        <f t="shared" ref="BZ34:BZ65" si="236">IFERROR(VLOOKUP(M34,BUEFC,12,FALSE),"")</f>
        <v>0</v>
      </c>
      <c r="CA34" s="123">
        <f t="shared" ref="CA34:CA50" si="237">IFERROR(VLOOKUP(M34,BUELA,13,FALSE),"")</f>
        <v>864634.63</v>
      </c>
      <c r="CB34" s="326">
        <f t="shared" ref="CB34:CB50" si="238">IFERROR(VLOOKUP(M34,BUELA,14,FALSE),"")</f>
        <v>508379.03</v>
      </c>
      <c r="CI34" s="294"/>
      <c r="CJ34" s="294"/>
    </row>
    <row r="35" spans="1:115" ht="13">
      <c r="A35" s="436">
        <f t="shared" si="196"/>
        <v>112014069</v>
      </c>
      <c r="B35" s="172">
        <f t="shared" si="176"/>
        <v>9</v>
      </c>
      <c r="C35" s="558">
        <f t="shared" si="177"/>
        <v>0.12</v>
      </c>
      <c r="D35" s="558">
        <f t="shared" si="178"/>
        <v>0.23</v>
      </c>
      <c r="E35" s="559">
        <f t="shared" si="179"/>
        <v>0</v>
      </c>
      <c r="F35" s="836">
        <f t="shared" si="197"/>
        <v>18</v>
      </c>
      <c r="G35" s="558" t="str">
        <f t="shared" si="198"/>
        <v>Lista</v>
      </c>
      <c r="H35" s="558">
        <f t="shared" si="199"/>
        <v>0.23</v>
      </c>
      <c r="I35" s="559">
        <f t="shared" si="200"/>
        <v>0</v>
      </c>
      <c r="J35" s="837">
        <f t="shared" si="201"/>
        <v>69</v>
      </c>
      <c r="K35" s="699" t="str">
        <f t="shared" si="202"/>
        <v>Lista</v>
      </c>
      <c r="L35" s="700">
        <f t="shared" si="203"/>
        <v>0.14000000000000001</v>
      </c>
      <c r="M35" s="498" t="s">
        <v>717</v>
      </c>
      <c r="N35" s="845">
        <f t="shared" si="204"/>
        <v>2838688.85</v>
      </c>
      <c r="O35" s="141">
        <f>(N35*1.601)*1.05</f>
        <v>4771977.8912925003</v>
      </c>
      <c r="P35" s="140">
        <f t="shared" si="180"/>
        <v>59367.760000000009</v>
      </c>
      <c r="Q35" s="116">
        <f t="shared" si="205"/>
        <v>1853930.11</v>
      </c>
      <c r="R35" s="117">
        <f t="shared" si="206"/>
        <v>1913297.87</v>
      </c>
      <c r="S35" s="123">
        <f t="shared" si="181"/>
        <v>-2858680.0212925002</v>
      </c>
      <c r="T35" s="98">
        <f t="shared" si="182"/>
        <v>0.40094441206260062</v>
      </c>
      <c r="U35" s="123">
        <f t="shared" si="183"/>
        <v>4127510.44</v>
      </c>
      <c r="V35" s="332">
        <f>(U35*1.7245)*1.05</f>
        <v>7473786.3414690001</v>
      </c>
      <c r="W35" s="113">
        <f t="shared" si="19"/>
        <v>0</v>
      </c>
      <c r="X35" s="116">
        <f t="shared" si="207"/>
        <v>672942.72</v>
      </c>
      <c r="Y35" s="117">
        <f t="shared" si="208"/>
        <v>672942.72</v>
      </c>
      <c r="Z35" s="123">
        <f t="shared" si="184"/>
        <v>-6800843.6214690004</v>
      </c>
      <c r="AA35" s="98">
        <f t="shared" si="185"/>
        <v>9.0040401110493967E-2</v>
      </c>
      <c r="AB35" s="123">
        <f t="shared" si="186"/>
        <v>2154456.92</v>
      </c>
      <c r="AC35" s="332">
        <f>(AB35*1.5955)*1.03</f>
        <v>3540559.0963357999</v>
      </c>
      <c r="AD35" s="113">
        <f t="shared" si="26"/>
        <v>27045.930000000051</v>
      </c>
      <c r="AE35" s="116">
        <f t="shared" si="209"/>
        <v>893069.95</v>
      </c>
      <c r="AF35" s="117">
        <f t="shared" si="210"/>
        <v>920115.88</v>
      </c>
      <c r="AG35" s="123">
        <f t="shared" si="187"/>
        <v>-2620443.2163358</v>
      </c>
      <c r="AH35" s="494">
        <f t="shared" si="188"/>
        <v>0.25987869569872385</v>
      </c>
      <c r="AI35" s="846">
        <f t="shared" si="189"/>
        <v>15786323.329097301</v>
      </c>
      <c r="AJ35" s="840">
        <f t="shared" si="211"/>
        <v>7597154.9500000002</v>
      </c>
      <c r="AK35" s="326">
        <f t="shared" si="190"/>
        <v>86413.690000000061</v>
      </c>
      <c r="AL35" s="326">
        <f t="shared" si="191"/>
        <v>4092885.5</v>
      </c>
      <c r="AM35" s="326">
        <f t="shared" si="192"/>
        <v>3506356.47</v>
      </c>
      <c r="AN35" s="116">
        <f t="shared" si="36"/>
        <v>-4090798.48</v>
      </c>
      <c r="AO35" s="413">
        <f t="shared" si="212"/>
        <v>0.46153546861644568</v>
      </c>
      <c r="AP35" s="434">
        <f t="shared" si="213"/>
        <v>2727341</v>
      </c>
      <c r="AQ35" s="140">
        <f t="shared" si="39"/>
        <v>314195.65000000037</v>
      </c>
      <c r="AR35" s="123">
        <f t="shared" si="214"/>
        <v>3318693.32</v>
      </c>
      <c r="AS35" s="148">
        <f t="shared" si="215"/>
        <v>3632888.97</v>
      </c>
      <c r="AT35" s="123">
        <f t="shared" si="216"/>
        <v>908073.66</v>
      </c>
      <c r="AU35" s="326">
        <f t="shared" si="42"/>
        <v>0</v>
      </c>
      <c r="AV35" s="326">
        <f t="shared" si="217"/>
        <v>637568.31999999995</v>
      </c>
      <c r="AW35" s="326">
        <f t="shared" si="218"/>
        <v>637568.31999999995</v>
      </c>
      <c r="AX35" s="332">
        <f t="shared" si="219"/>
        <v>0</v>
      </c>
      <c r="AY35" s="140">
        <f t="shared" si="45"/>
        <v>0</v>
      </c>
      <c r="AZ35" s="326">
        <f t="shared" si="220"/>
        <v>1460733.47</v>
      </c>
      <c r="BA35" s="332">
        <f t="shared" si="221"/>
        <v>1460733.47</v>
      </c>
      <c r="BB35" s="844">
        <f t="shared" ref="BB35:BD35" si="239">SUM(AY35,AU35,AQ35)</f>
        <v>314195.65000000037</v>
      </c>
      <c r="BC35" s="326">
        <f t="shared" si="239"/>
        <v>5416995.1099999994</v>
      </c>
      <c r="BD35" s="332">
        <f t="shared" si="239"/>
        <v>5731190.7599999998</v>
      </c>
      <c r="BE35" s="140">
        <f t="shared" ref="BE35:BF35" si="240">SUM(BB35,AK35)</f>
        <v>400609.34000000043</v>
      </c>
      <c r="BF35" s="326">
        <f t="shared" si="240"/>
        <v>9509880.6099999994</v>
      </c>
      <c r="BG35" s="435">
        <f t="shared" si="50"/>
        <v>9237547.2300000004</v>
      </c>
      <c r="BH35" s="423">
        <f t="shared" si="224"/>
        <v>2018668.58</v>
      </c>
      <c r="BI35" s="123">
        <f t="shared" si="51"/>
        <v>0</v>
      </c>
      <c r="BJ35" s="123">
        <f t="shared" si="225"/>
        <v>2760727.74</v>
      </c>
      <c r="BK35" s="148">
        <f t="shared" si="226"/>
        <v>2760727.74</v>
      </c>
      <c r="BL35" s="423">
        <f t="shared" si="227"/>
        <v>3055110.14</v>
      </c>
      <c r="BM35" s="123">
        <f t="shared" si="54"/>
        <v>0</v>
      </c>
      <c r="BN35" s="123">
        <f t="shared" si="228"/>
        <v>1160636.71</v>
      </c>
      <c r="BO35" s="123">
        <f t="shared" si="229"/>
        <v>1160636.71</v>
      </c>
      <c r="BP35" s="436">
        <f t="shared" si="230"/>
        <v>2417455.66</v>
      </c>
      <c r="BQ35" s="140">
        <f t="shared" si="57"/>
        <v>0</v>
      </c>
      <c r="BR35" s="325">
        <f t="shared" si="231"/>
        <v>1870086.76</v>
      </c>
      <c r="BS35" s="333">
        <f t="shared" si="232"/>
        <v>1870086.76</v>
      </c>
      <c r="BT35" s="140">
        <f t="shared" ref="BT35:BV35" si="241">SUM(BQ35,BM35,BI35)</f>
        <v>0</v>
      </c>
      <c r="BU35" s="326">
        <f t="shared" si="241"/>
        <v>5791451.21</v>
      </c>
      <c r="BV35" s="333">
        <f t="shared" si="241"/>
        <v>5791451.21</v>
      </c>
      <c r="BW35" s="125">
        <f t="shared" si="234"/>
        <v>2171398.54</v>
      </c>
      <c r="BX35" s="140">
        <f t="shared" si="61"/>
        <v>0</v>
      </c>
      <c r="BY35" s="123">
        <f t="shared" si="235"/>
        <v>682697.76</v>
      </c>
      <c r="BZ35" s="148">
        <f t="shared" si="236"/>
        <v>682697.76</v>
      </c>
      <c r="CA35" s="123">
        <f t="shared" si="237"/>
        <v>1656609.57</v>
      </c>
      <c r="CB35" s="326">
        <f t="shared" si="238"/>
        <v>3769146.84</v>
      </c>
      <c r="CI35" s="294"/>
      <c r="CJ35" s="294"/>
    </row>
    <row r="36" spans="1:115" ht="13">
      <c r="A36" s="436">
        <f t="shared" si="196"/>
        <v>112014633</v>
      </c>
      <c r="B36" s="172">
        <f t="shared" si="176"/>
        <v>31</v>
      </c>
      <c r="C36" s="558">
        <f t="shared" si="177"/>
        <v>0.1</v>
      </c>
      <c r="D36" s="558">
        <f t="shared" si="178"/>
        <v>0.23</v>
      </c>
      <c r="E36" s="559">
        <f t="shared" si="179"/>
        <v>0</v>
      </c>
      <c r="F36" s="836">
        <f t="shared" si="197"/>
        <v>18</v>
      </c>
      <c r="G36" s="558" t="str">
        <f t="shared" si="198"/>
        <v>Lista</v>
      </c>
      <c r="H36" s="558">
        <f t="shared" si="199"/>
        <v>0.23</v>
      </c>
      <c r="I36" s="559">
        <f t="shared" si="200"/>
        <v>0</v>
      </c>
      <c r="J36" s="837">
        <f t="shared" si="201"/>
        <v>69</v>
      </c>
      <c r="K36" s="699" t="str">
        <f t="shared" si="202"/>
        <v>Lista</v>
      </c>
      <c r="L36" s="700">
        <f t="shared" si="203"/>
        <v>0.14000000000000001</v>
      </c>
      <c r="M36" s="892" t="s">
        <v>718</v>
      </c>
      <c r="N36" s="893">
        <f t="shared" si="204"/>
        <v>330099.90000000002</v>
      </c>
      <c r="O36" s="251">
        <v>2500000</v>
      </c>
      <c r="P36" s="140">
        <f t="shared" si="180"/>
        <v>566232.96</v>
      </c>
      <c r="Q36" s="116">
        <f t="shared" si="205"/>
        <v>65836.77</v>
      </c>
      <c r="R36" s="117">
        <f t="shared" si="206"/>
        <v>632069.73</v>
      </c>
      <c r="S36" s="123">
        <f t="shared" si="181"/>
        <v>-1867930.27</v>
      </c>
      <c r="T36" s="98">
        <f t="shared" si="182"/>
        <v>0.252827892</v>
      </c>
      <c r="U36" s="123">
        <f t="shared" si="183"/>
        <v>378799.93</v>
      </c>
      <c r="V36" s="860">
        <v>2500000</v>
      </c>
      <c r="W36" s="113">
        <f t="shared" si="19"/>
        <v>47426.44</v>
      </c>
      <c r="X36" s="116">
        <f t="shared" si="207"/>
        <v>0</v>
      </c>
      <c r="Y36" s="117">
        <f t="shared" si="208"/>
        <v>47426.44</v>
      </c>
      <c r="Z36" s="123">
        <f t="shared" si="184"/>
        <v>-2452573.56</v>
      </c>
      <c r="AA36" s="98">
        <f t="shared" si="185"/>
        <v>1.8970575999999999E-2</v>
      </c>
      <c r="AB36" s="123">
        <f t="shared" si="186"/>
        <v>460643.2</v>
      </c>
      <c r="AC36" s="860">
        <v>2500000</v>
      </c>
      <c r="AD36" s="113">
        <f t="shared" si="26"/>
        <v>108887.42</v>
      </c>
      <c r="AE36" s="116">
        <f t="shared" si="209"/>
        <v>0</v>
      </c>
      <c r="AF36" s="117">
        <f t="shared" si="210"/>
        <v>108887.42</v>
      </c>
      <c r="AG36" s="123">
        <f t="shared" si="187"/>
        <v>-2391112.58</v>
      </c>
      <c r="AH36" s="494">
        <f t="shared" si="188"/>
        <v>4.3554967999999999E-2</v>
      </c>
      <c r="AI36" s="846">
        <f t="shared" si="189"/>
        <v>7500000</v>
      </c>
      <c r="AJ36" s="840">
        <f t="shared" si="211"/>
        <v>1159380.48</v>
      </c>
      <c r="AK36" s="326">
        <f t="shared" si="190"/>
        <v>722546.82</v>
      </c>
      <c r="AL36" s="326">
        <f t="shared" si="191"/>
        <v>65836.77</v>
      </c>
      <c r="AM36" s="326">
        <f t="shared" si="192"/>
        <v>788383.59</v>
      </c>
      <c r="AN36" s="116">
        <f t="shared" si="36"/>
        <v>-370996.89</v>
      </c>
      <c r="AO36" s="413">
        <f t="shared" si="212"/>
        <v>0.68000419499903952</v>
      </c>
      <c r="AP36" s="434">
        <f t="shared" si="213"/>
        <v>67949.81</v>
      </c>
      <c r="AQ36" s="140">
        <f t="shared" si="39"/>
        <v>67322.510000000009</v>
      </c>
      <c r="AR36" s="123">
        <f t="shared" si="214"/>
        <v>57338.13</v>
      </c>
      <c r="AS36" s="148">
        <f t="shared" si="215"/>
        <v>124660.64</v>
      </c>
      <c r="AT36" s="123">
        <f t="shared" si="216"/>
        <v>259548.11</v>
      </c>
      <c r="AU36" s="326">
        <f t="shared" si="42"/>
        <v>201579.13</v>
      </c>
      <c r="AV36" s="326">
        <f t="shared" si="217"/>
        <v>0</v>
      </c>
      <c r="AW36" s="326">
        <f t="shared" si="218"/>
        <v>201579.13</v>
      </c>
      <c r="AX36" s="332">
        <f t="shared" si="219"/>
        <v>104032.2</v>
      </c>
      <c r="AY36" s="140">
        <f t="shared" si="45"/>
        <v>0</v>
      </c>
      <c r="AZ36" s="326">
        <f t="shared" si="220"/>
        <v>211091.8</v>
      </c>
      <c r="BA36" s="332">
        <f t="shared" si="221"/>
        <v>211091.8</v>
      </c>
      <c r="BB36" s="844">
        <f t="shared" ref="BB36:BD36" si="242">SUM(AY36,AU36,AQ36)</f>
        <v>268901.64</v>
      </c>
      <c r="BC36" s="326">
        <f t="shared" si="242"/>
        <v>268429.93</v>
      </c>
      <c r="BD36" s="332">
        <f t="shared" si="242"/>
        <v>537331.56999999995</v>
      </c>
      <c r="BE36" s="140">
        <f t="shared" ref="BE36:BF36" si="243">SUM(BB36,AK36)</f>
        <v>991448.46</v>
      </c>
      <c r="BF36" s="326">
        <f t="shared" si="243"/>
        <v>334266.7</v>
      </c>
      <c r="BG36" s="435">
        <f t="shared" si="50"/>
        <v>1325715.1599999999</v>
      </c>
      <c r="BH36" s="423">
        <f t="shared" si="224"/>
        <v>332701.61</v>
      </c>
      <c r="BI36" s="123">
        <f t="shared" si="51"/>
        <v>251405.24</v>
      </c>
      <c r="BJ36" s="123">
        <f t="shared" si="225"/>
        <v>299873.64</v>
      </c>
      <c r="BK36" s="148">
        <f t="shared" si="226"/>
        <v>551278.88</v>
      </c>
      <c r="BL36" s="423">
        <f t="shared" si="227"/>
        <v>1092641.68</v>
      </c>
      <c r="BM36" s="123">
        <f t="shared" si="54"/>
        <v>42981.289999999994</v>
      </c>
      <c r="BN36" s="123">
        <f t="shared" si="228"/>
        <v>75443.38</v>
      </c>
      <c r="BO36" s="123">
        <f t="shared" si="229"/>
        <v>118424.67</v>
      </c>
      <c r="BP36" s="436">
        <f t="shared" si="230"/>
        <v>147027.26999999999</v>
      </c>
      <c r="BQ36" s="140">
        <f t="shared" si="57"/>
        <v>0</v>
      </c>
      <c r="BR36" s="325">
        <f t="shared" si="231"/>
        <v>0</v>
      </c>
      <c r="BS36" s="333">
        <f t="shared" si="232"/>
        <v>0</v>
      </c>
      <c r="BT36" s="140">
        <f t="shared" ref="BT36:BV36" si="244">SUM(BQ36,BM36,BI36)</f>
        <v>294386.52999999997</v>
      </c>
      <c r="BU36" s="326">
        <f t="shared" si="244"/>
        <v>375317.02</v>
      </c>
      <c r="BV36" s="333">
        <f t="shared" si="244"/>
        <v>669703.55000000005</v>
      </c>
      <c r="BW36" s="125">
        <f t="shared" si="234"/>
        <v>358078.89</v>
      </c>
      <c r="BX36" s="140">
        <f t="shared" si="61"/>
        <v>0</v>
      </c>
      <c r="BY36" s="123">
        <f t="shared" si="235"/>
        <v>0</v>
      </c>
      <c r="BZ36" s="148">
        <f t="shared" si="236"/>
        <v>0</v>
      </c>
      <c r="CA36" s="123">
        <f t="shared" si="237"/>
        <v>0</v>
      </c>
      <c r="CB36" s="326">
        <f t="shared" si="238"/>
        <v>801301.59</v>
      </c>
      <c r="CI36" s="294"/>
      <c r="CJ36" s="294"/>
    </row>
    <row r="37" spans="1:115" ht="13">
      <c r="A37" s="436">
        <f t="shared" si="196"/>
        <v>112013704</v>
      </c>
      <c r="B37" s="172">
        <f t="shared" si="176"/>
        <v>31</v>
      </c>
      <c r="C37" s="558">
        <f t="shared" si="177"/>
        <v>0.1</v>
      </c>
      <c r="D37" s="558">
        <f t="shared" si="178"/>
        <v>0.23</v>
      </c>
      <c r="E37" s="559">
        <f t="shared" si="179"/>
        <v>0</v>
      </c>
      <c r="F37" s="836">
        <f t="shared" si="197"/>
        <v>18</v>
      </c>
      <c r="G37" s="558" t="str">
        <f t="shared" si="198"/>
        <v>Lista</v>
      </c>
      <c r="H37" s="558">
        <f t="shared" si="199"/>
        <v>0.23</v>
      </c>
      <c r="I37" s="559">
        <f t="shared" si="200"/>
        <v>0</v>
      </c>
      <c r="J37" s="837">
        <f t="shared" si="201"/>
        <v>69</v>
      </c>
      <c r="K37" s="699" t="str">
        <f t="shared" si="202"/>
        <v>Lista</v>
      </c>
      <c r="L37" s="700">
        <f t="shared" si="203"/>
        <v>0.14000000000000001</v>
      </c>
      <c r="M37" s="498" t="s">
        <v>719</v>
      </c>
      <c r="N37" s="845">
        <f t="shared" si="204"/>
        <v>1556208.04</v>
      </c>
      <c r="O37" s="141">
        <f>(N37*1.601)*1.05</f>
        <v>2616063.5256420001</v>
      </c>
      <c r="P37" s="140">
        <f t="shared" si="180"/>
        <v>0</v>
      </c>
      <c r="Q37" s="116">
        <f t="shared" si="205"/>
        <v>1306543.7</v>
      </c>
      <c r="R37" s="117">
        <f t="shared" si="206"/>
        <v>1306543.7</v>
      </c>
      <c r="S37" s="123">
        <f t="shared" si="181"/>
        <v>-1309519.8256420002</v>
      </c>
      <c r="T37" s="98">
        <f t="shared" si="182"/>
        <v>0.49943118245928875</v>
      </c>
      <c r="U37" s="123">
        <f t="shared" si="183"/>
        <v>3453423.75</v>
      </c>
      <c r="V37" s="332">
        <f>(U37*1.7245)*1.05</f>
        <v>6253200.7197187506</v>
      </c>
      <c r="W37" s="113">
        <f t="shared" si="19"/>
        <v>0</v>
      </c>
      <c r="X37" s="116">
        <f t="shared" si="207"/>
        <v>1607175.57</v>
      </c>
      <c r="Y37" s="117">
        <f t="shared" si="208"/>
        <v>1607175.57</v>
      </c>
      <c r="Z37" s="114">
        <f t="shared" si="184"/>
        <v>-4646025.1497187503</v>
      </c>
      <c r="AA37" s="413">
        <f t="shared" si="185"/>
        <v>0.25701646917105292</v>
      </c>
      <c r="AB37" s="125">
        <f t="shared" si="186"/>
        <v>683087.02</v>
      </c>
      <c r="AC37" s="416">
        <f>(AB37*1.5955)*1.03</f>
        <v>1122561.3006223</v>
      </c>
      <c r="AD37" s="113">
        <f t="shared" si="26"/>
        <v>0</v>
      </c>
      <c r="AE37" s="116">
        <f t="shared" si="209"/>
        <v>718508.56</v>
      </c>
      <c r="AF37" s="117">
        <f t="shared" si="210"/>
        <v>718508.56</v>
      </c>
      <c r="AG37" s="114">
        <f t="shared" si="187"/>
        <v>-404052.74062229996</v>
      </c>
      <c r="AH37" s="413">
        <f t="shared" si="188"/>
        <v>0.64006175841060053</v>
      </c>
      <c r="AI37" s="846">
        <f t="shared" si="189"/>
        <v>9991825.54598305</v>
      </c>
      <c r="AJ37" s="840">
        <f t="shared" si="211"/>
        <v>3296134.54</v>
      </c>
      <c r="AK37" s="116">
        <f t="shared" si="190"/>
        <v>0</v>
      </c>
      <c r="AL37" s="116">
        <f t="shared" si="191"/>
        <v>5239403.4000000004</v>
      </c>
      <c r="AM37" s="116">
        <f t="shared" si="192"/>
        <v>3632227.83</v>
      </c>
      <c r="AN37" s="116">
        <f t="shared" si="36"/>
        <v>336093.29000000004</v>
      </c>
      <c r="AO37" s="413">
        <f t="shared" si="212"/>
        <v>1.1019658894142106</v>
      </c>
      <c r="AP37" s="434">
        <f t="shared" si="213"/>
        <v>1979725.14</v>
      </c>
      <c r="AQ37" s="140">
        <f t="shared" si="39"/>
        <v>0</v>
      </c>
      <c r="AR37" s="123">
        <f t="shared" si="214"/>
        <v>0</v>
      </c>
      <c r="AS37" s="148">
        <f t="shared" si="215"/>
        <v>0</v>
      </c>
      <c r="AT37" s="123">
        <f t="shared" si="216"/>
        <v>4023755.92</v>
      </c>
      <c r="AU37" s="326">
        <f t="shared" si="42"/>
        <v>0</v>
      </c>
      <c r="AV37" s="326">
        <f t="shared" si="217"/>
        <v>187657.86</v>
      </c>
      <c r="AW37" s="326">
        <f t="shared" si="218"/>
        <v>187657.86</v>
      </c>
      <c r="AX37" s="332">
        <f t="shared" si="219"/>
        <v>221020.03</v>
      </c>
      <c r="AY37" s="140">
        <f t="shared" si="45"/>
        <v>0</v>
      </c>
      <c r="AZ37" s="326">
        <f t="shared" si="220"/>
        <v>1053180.1299999999</v>
      </c>
      <c r="BA37" s="332">
        <f t="shared" si="221"/>
        <v>1053180.1299999999</v>
      </c>
      <c r="BB37" s="844">
        <f t="shared" ref="BB37:BD37" si="245">SUM(AY37,AU37,AQ37)</f>
        <v>0</v>
      </c>
      <c r="BC37" s="326">
        <f t="shared" si="245"/>
        <v>1240837.9899999998</v>
      </c>
      <c r="BD37" s="332">
        <f t="shared" si="245"/>
        <v>1240837.9899999998</v>
      </c>
      <c r="BE37" s="140">
        <f t="shared" ref="BE37:BF37" si="246">SUM(BB37,AK37)</f>
        <v>0</v>
      </c>
      <c r="BF37" s="326">
        <f t="shared" si="246"/>
        <v>6480241.3900000006</v>
      </c>
      <c r="BG37" s="435">
        <f t="shared" si="50"/>
        <v>4873065.82</v>
      </c>
      <c r="BH37" s="423">
        <f t="shared" si="224"/>
        <v>874734.63</v>
      </c>
      <c r="BI37" s="123">
        <f t="shared" si="51"/>
        <v>0</v>
      </c>
      <c r="BJ37" s="123">
        <f t="shared" si="225"/>
        <v>2668747.7400000002</v>
      </c>
      <c r="BK37" s="148">
        <f t="shared" si="226"/>
        <v>2668747.7400000002</v>
      </c>
      <c r="BL37" s="423">
        <f t="shared" si="227"/>
        <v>0</v>
      </c>
      <c r="BM37" s="123">
        <f t="shared" si="54"/>
        <v>0</v>
      </c>
      <c r="BN37" s="123">
        <f t="shared" si="228"/>
        <v>1136814.1399999999</v>
      </c>
      <c r="BO37" s="123">
        <f t="shared" si="229"/>
        <v>1136814.1399999999</v>
      </c>
      <c r="BP37" s="436">
        <f t="shared" si="230"/>
        <v>2168432.96</v>
      </c>
      <c r="BQ37" s="140">
        <f t="shared" si="57"/>
        <v>0</v>
      </c>
      <c r="BR37" s="325">
        <f t="shared" si="231"/>
        <v>996500.51</v>
      </c>
      <c r="BS37" s="333">
        <f t="shared" si="232"/>
        <v>996500.51</v>
      </c>
      <c r="BT37" s="140">
        <f t="shared" ref="BT37:BV37" si="247">SUM(BQ37,BM37,BI37)</f>
        <v>0</v>
      </c>
      <c r="BU37" s="326">
        <f t="shared" si="247"/>
        <v>4802062.3900000006</v>
      </c>
      <c r="BV37" s="333">
        <f t="shared" si="247"/>
        <v>4802062.3900000006</v>
      </c>
      <c r="BW37" s="125">
        <f t="shared" si="234"/>
        <v>1085633.55</v>
      </c>
      <c r="BX37" s="140">
        <f t="shared" si="61"/>
        <v>0</v>
      </c>
      <c r="BY37" s="123">
        <f t="shared" si="235"/>
        <v>516577.06</v>
      </c>
      <c r="BZ37" s="148">
        <f t="shared" si="236"/>
        <v>516577.06</v>
      </c>
      <c r="CA37" s="123">
        <f t="shared" si="237"/>
        <v>0</v>
      </c>
      <c r="CB37" s="326">
        <f t="shared" si="238"/>
        <v>2210500.9900000002</v>
      </c>
      <c r="CI37" s="294"/>
      <c r="CJ37" s="294"/>
    </row>
    <row r="38" spans="1:115" ht="13">
      <c r="A38" s="436">
        <f t="shared" si="196"/>
        <v>112013819</v>
      </c>
      <c r="B38" s="172">
        <f t="shared" si="176"/>
        <v>31</v>
      </c>
      <c r="C38" s="558">
        <f t="shared" si="177"/>
        <v>0.1</v>
      </c>
      <c r="D38" s="558">
        <f t="shared" si="178"/>
        <v>0.23</v>
      </c>
      <c r="E38" s="559">
        <f t="shared" si="179"/>
        <v>0</v>
      </c>
      <c r="F38" s="836">
        <f t="shared" si="197"/>
        <v>18</v>
      </c>
      <c r="G38" s="558" t="str">
        <f t="shared" si="198"/>
        <v>Lista</v>
      </c>
      <c r="H38" s="558">
        <f t="shared" si="199"/>
        <v>0.23</v>
      </c>
      <c r="I38" s="559">
        <f t="shared" si="200"/>
        <v>0</v>
      </c>
      <c r="J38" s="837">
        <f t="shared" si="201"/>
        <v>69</v>
      </c>
      <c r="K38" s="699" t="str">
        <f t="shared" si="202"/>
        <v>Lista</v>
      </c>
      <c r="L38" s="700">
        <f t="shared" si="203"/>
        <v>0.14000000000000001</v>
      </c>
      <c r="M38" s="498" t="s">
        <v>720</v>
      </c>
      <c r="N38" s="845">
        <f t="shared" si="204"/>
        <v>0</v>
      </c>
      <c r="O38" s="237">
        <v>1800000</v>
      </c>
      <c r="P38" s="140">
        <f t="shared" si="180"/>
        <v>0</v>
      </c>
      <c r="Q38" s="116">
        <f t="shared" si="205"/>
        <v>0</v>
      </c>
      <c r="R38" s="117">
        <f t="shared" si="206"/>
        <v>0</v>
      </c>
      <c r="S38" s="123">
        <f t="shared" si="181"/>
        <v>-1800000</v>
      </c>
      <c r="T38" s="98">
        <f t="shared" si="182"/>
        <v>0</v>
      </c>
      <c r="U38" s="123">
        <f t="shared" si="183"/>
        <v>0</v>
      </c>
      <c r="V38" s="456">
        <v>1800000</v>
      </c>
      <c r="W38" s="113">
        <f t="shared" si="19"/>
        <v>0</v>
      </c>
      <c r="X38" s="116">
        <f t="shared" si="207"/>
        <v>132810.76</v>
      </c>
      <c r="Y38" s="117">
        <f t="shared" si="208"/>
        <v>132810.76</v>
      </c>
      <c r="Z38" s="114">
        <f t="shared" si="184"/>
        <v>-1667189.24</v>
      </c>
      <c r="AA38" s="413">
        <f t="shared" si="185"/>
        <v>7.3783755555555566E-2</v>
      </c>
      <c r="AB38" s="125">
        <f t="shared" si="186"/>
        <v>0</v>
      </c>
      <c r="AC38" s="244">
        <v>1800000</v>
      </c>
      <c r="AD38" s="113">
        <f t="shared" si="26"/>
        <v>0</v>
      </c>
      <c r="AE38" s="116">
        <f t="shared" si="209"/>
        <v>0</v>
      </c>
      <c r="AF38" s="117">
        <f t="shared" si="210"/>
        <v>0</v>
      </c>
      <c r="AG38" s="114">
        <f t="shared" si="187"/>
        <v>-1800000</v>
      </c>
      <c r="AH38" s="413">
        <f t="shared" si="188"/>
        <v>0</v>
      </c>
      <c r="AI38" s="846">
        <f t="shared" si="189"/>
        <v>5400000</v>
      </c>
      <c r="AJ38" s="840">
        <f t="shared" si="211"/>
        <v>212076.38</v>
      </c>
      <c r="AK38" s="116">
        <f t="shared" si="190"/>
        <v>0</v>
      </c>
      <c r="AL38" s="116">
        <f t="shared" si="191"/>
        <v>265621.52</v>
      </c>
      <c r="AM38" s="116">
        <f t="shared" si="192"/>
        <v>132810.76</v>
      </c>
      <c r="AN38" s="116">
        <f t="shared" si="36"/>
        <v>-79265.62</v>
      </c>
      <c r="AO38" s="413">
        <f t="shared" si="212"/>
        <v>0.62624022533768264</v>
      </c>
      <c r="AP38" s="434">
        <f t="shared" si="213"/>
        <v>0</v>
      </c>
      <c r="AQ38" s="140">
        <f t="shared" si="39"/>
        <v>0</v>
      </c>
      <c r="AR38" s="123">
        <f t="shared" si="214"/>
        <v>235656.34</v>
      </c>
      <c r="AS38" s="148">
        <f t="shared" si="215"/>
        <v>235656.34</v>
      </c>
      <c r="AT38" s="123">
        <f t="shared" si="216"/>
        <v>82712.039999999994</v>
      </c>
      <c r="AU38" s="326">
        <f t="shared" si="42"/>
        <v>0</v>
      </c>
      <c r="AV38" s="326">
        <f t="shared" si="217"/>
        <v>193712.37</v>
      </c>
      <c r="AW38" s="326">
        <f t="shared" si="218"/>
        <v>193712.37</v>
      </c>
      <c r="AX38" s="332">
        <f t="shared" si="219"/>
        <v>140212.35</v>
      </c>
      <c r="AY38" s="140">
        <f t="shared" si="45"/>
        <v>0</v>
      </c>
      <c r="AZ38" s="326">
        <f t="shared" si="220"/>
        <v>173370.12</v>
      </c>
      <c r="BA38" s="332">
        <f t="shared" si="221"/>
        <v>173370.12</v>
      </c>
      <c r="BB38" s="844">
        <f t="shared" ref="BB38:BD38" si="248">SUM(AY38,AU38,AQ38)</f>
        <v>0</v>
      </c>
      <c r="BC38" s="326">
        <f t="shared" si="248"/>
        <v>602738.82999999996</v>
      </c>
      <c r="BD38" s="332">
        <f t="shared" si="248"/>
        <v>602738.82999999996</v>
      </c>
      <c r="BE38" s="140">
        <f t="shared" ref="BE38:BF38" si="249">SUM(BB38,AK38)</f>
        <v>0</v>
      </c>
      <c r="BF38" s="326">
        <f t="shared" si="249"/>
        <v>868360.35</v>
      </c>
      <c r="BG38" s="435">
        <f t="shared" si="50"/>
        <v>735549.59</v>
      </c>
      <c r="BH38" s="423">
        <f t="shared" si="224"/>
        <v>180153.15</v>
      </c>
      <c r="BI38" s="123">
        <f t="shared" si="51"/>
        <v>0</v>
      </c>
      <c r="BJ38" s="123">
        <f t="shared" si="225"/>
        <v>161094.63</v>
      </c>
      <c r="BK38" s="148">
        <f t="shared" si="226"/>
        <v>161094.63</v>
      </c>
      <c r="BL38" s="423">
        <f t="shared" si="227"/>
        <v>39940.65</v>
      </c>
      <c r="BM38" s="123">
        <f t="shared" si="54"/>
        <v>0</v>
      </c>
      <c r="BN38" s="123">
        <f t="shared" si="228"/>
        <v>0</v>
      </c>
      <c r="BO38" s="123">
        <f t="shared" si="229"/>
        <v>0</v>
      </c>
      <c r="BP38" s="436">
        <f t="shared" si="230"/>
        <v>194565.38</v>
      </c>
      <c r="BQ38" s="140">
        <f t="shared" si="57"/>
        <v>0</v>
      </c>
      <c r="BR38" s="325">
        <f t="shared" si="231"/>
        <v>365249.73</v>
      </c>
      <c r="BS38" s="333">
        <f t="shared" si="232"/>
        <v>365249.73</v>
      </c>
      <c r="BT38" s="140">
        <f t="shared" ref="BT38:BV38" si="250">SUM(BQ38,BM38,BI38)</f>
        <v>0</v>
      </c>
      <c r="BU38" s="326">
        <f t="shared" si="250"/>
        <v>526344.36</v>
      </c>
      <c r="BV38" s="333">
        <f t="shared" si="250"/>
        <v>526344.36</v>
      </c>
      <c r="BW38" s="125">
        <f t="shared" si="234"/>
        <v>0</v>
      </c>
      <c r="BX38" s="140">
        <f t="shared" si="61"/>
        <v>0</v>
      </c>
      <c r="BY38" s="123">
        <f t="shared" si="235"/>
        <v>182004.55</v>
      </c>
      <c r="BZ38" s="148">
        <f t="shared" si="236"/>
        <v>182004.55</v>
      </c>
      <c r="CA38" s="123">
        <f t="shared" si="237"/>
        <v>0</v>
      </c>
      <c r="CB38" s="326">
        <f t="shared" si="238"/>
        <v>212076.38</v>
      </c>
      <c r="CI38" s="294"/>
      <c r="CJ38" s="294"/>
    </row>
    <row r="39" spans="1:115" ht="13">
      <c r="A39" s="436">
        <f t="shared" si="196"/>
        <v>112013270</v>
      </c>
      <c r="B39" s="172">
        <f t="shared" si="176"/>
        <v>31</v>
      </c>
      <c r="C39" s="558">
        <f t="shared" si="177"/>
        <v>0.1</v>
      </c>
      <c r="D39" s="558">
        <f t="shared" si="178"/>
        <v>0.23</v>
      </c>
      <c r="E39" s="559">
        <f t="shared" si="179"/>
        <v>0</v>
      </c>
      <c r="F39" s="836">
        <f t="shared" si="197"/>
        <v>18</v>
      </c>
      <c r="G39" s="558" t="str">
        <f t="shared" si="198"/>
        <v>Lista</v>
      </c>
      <c r="H39" s="558">
        <f t="shared" si="199"/>
        <v>0.23</v>
      </c>
      <c r="I39" s="559">
        <f t="shared" si="200"/>
        <v>0</v>
      </c>
      <c r="J39" s="837">
        <f t="shared" si="201"/>
        <v>69</v>
      </c>
      <c r="K39" s="699" t="str">
        <f t="shared" si="202"/>
        <v>Lista</v>
      </c>
      <c r="L39" s="700">
        <f t="shared" si="203"/>
        <v>0.14000000000000001</v>
      </c>
      <c r="M39" s="498" t="s">
        <v>721</v>
      </c>
      <c r="N39" s="845">
        <f t="shared" si="204"/>
        <v>1027922.24</v>
      </c>
      <c r="O39" s="237">
        <v>1800000</v>
      </c>
      <c r="P39" s="140">
        <f t="shared" si="180"/>
        <v>214792.93</v>
      </c>
      <c r="Q39" s="116">
        <f t="shared" si="205"/>
        <v>114338.76</v>
      </c>
      <c r="R39" s="117">
        <f t="shared" si="206"/>
        <v>329131.69</v>
      </c>
      <c r="S39" s="123">
        <f t="shared" si="181"/>
        <v>-1470868.31</v>
      </c>
      <c r="T39" s="98">
        <f t="shared" si="182"/>
        <v>0.1828509388888889</v>
      </c>
      <c r="U39" s="123">
        <f t="shared" si="183"/>
        <v>439182.96</v>
      </c>
      <c r="V39" s="456">
        <v>1800000</v>
      </c>
      <c r="W39" s="113">
        <f t="shared" si="19"/>
        <v>475807.78</v>
      </c>
      <c r="X39" s="116">
        <f t="shared" si="207"/>
        <v>985389.56</v>
      </c>
      <c r="Y39" s="117">
        <f t="shared" si="208"/>
        <v>1461197.34</v>
      </c>
      <c r="Z39" s="114">
        <f t="shared" si="184"/>
        <v>-338802.65999999992</v>
      </c>
      <c r="AA39" s="413">
        <f t="shared" si="185"/>
        <v>0.81177630000000001</v>
      </c>
      <c r="AB39" s="125">
        <f t="shared" si="186"/>
        <v>614063.49</v>
      </c>
      <c r="AC39" s="416">
        <f>(AB39*1.5955)*1.03</f>
        <v>1009130.44724385</v>
      </c>
      <c r="AD39" s="113">
        <f t="shared" si="26"/>
        <v>160949.37000000002</v>
      </c>
      <c r="AE39" s="116">
        <f t="shared" si="209"/>
        <v>28142.27</v>
      </c>
      <c r="AF39" s="117">
        <f t="shared" si="210"/>
        <v>189091.64</v>
      </c>
      <c r="AG39" s="114">
        <f t="shared" si="187"/>
        <v>-820038.80724384997</v>
      </c>
      <c r="AH39" s="413">
        <f t="shared" si="188"/>
        <v>0.18738076976712925</v>
      </c>
      <c r="AI39" s="846">
        <f t="shared" si="189"/>
        <v>4609130.4472438497</v>
      </c>
      <c r="AJ39" s="840">
        <f t="shared" si="211"/>
        <v>1822382.95</v>
      </c>
      <c r="AK39" s="116">
        <f t="shared" si="190"/>
        <v>851550.08000000007</v>
      </c>
      <c r="AL39" s="116">
        <f t="shared" si="191"/>
        <v>2113260.15</v>
      </c>
      <c r="AM39" s="116">
        <f t="shared" si="192"/>
        <v>1979420.67</v>
      </c>
      <c r="AN39" s="116">
        <f t="shared" si="36"/>
        <v>157037.71999999997</v>
      </c>
      <c r="AO39" s="413">
        <f t="shared" si="212"/>
        <v>1.0861716358792755</v>
      </c>
      <c r="AP39" s="434">
        <f t="shared" si="213"/>
        <v>580842.30000000005</v>
      </c>
      <c r="AQ39" s="140">
        <f t="shared" si="39"/>
        <v>487154.24999999994</v>
      </c>
      <c r="AR39" s="123">
        <f t="shared" si="214"/>
        <v>65527.46</v>
      </c>
      <c r="AS39" s="148">
        <f t="shared" si="215"/>
        <v>552681.71</v>
      </c>
      <c r="AT39" s="123">
        <f t="shared" si="216"/>
        <v>866334.45</v>
      </c>
      <c r="AU39" s="326">
        <f t="shared" si="42"/>
        <v>0</v>
      </c>
      <c r="AV39" s="326">
        <f t="shared" si="217"/>
        <v>933957.21</v>
      </c>
      <c r="AW39" s="326">
        <f t="shared" si="218"/>
        <v>933957.21</v>
      </c>
      <c r="AX39" s="332">
        <f t="shared" si="219"/>
        <v>556684.67000000004</v>
      </c>
      <c r="AY39" s="140">
        <f t="shared" si="45"/>
        <v>0</v>
      </c>
      <c r="AZ39" s="326">
        <f t="shared" si="220"/>
        <v>588807.41</v>
      </c>
      <c r="BA39" s="332">
        <f t="shared" si="221"/>
        <v>588807.41</v>
      </c>
      <c r="BB39" s="844">
        <f t="shared" ref="BB39:BD39" si="251">SUM(AY39,AU39,AQ39)</f>
        <v>487154.24999999994</v>
      </c>
      <c r="BC39" s="326">
        <f t="shared" si="251"/>
        <v>1588292.08</v>
      </c>
      <c r="BD39" s="332">
        <f t="shared" si="251"/>
        <v>2075446.33</v>
      </c>
      <c r="BE39" s="140">
        <f t="shared" ref="BE39:BF39" si="252">SUM(BB39,AK39)</f>
        <v>1338704.33</v>
      </c>
      <c r="BF39" s="326">
        <f t="shared" si="252"/>
        <v>3701552.23</v>
      </c>
      <c r="BG39" s="435">
        <f t="shared" si="50"/>
        <v>4054867</v>
      </c>
      <c r="BH39" s="423">
        <f t="shared" si="224"/>
        <v>442931.18</v>
      </c>
      <c r="BI39" s="123">
        <f t="shared" si="51"/>
        <v>59720.40000000014</v>
      </c>
      <c r="BJ39" s="123">
        <f t="shared" si="225"/>
        <v>1851544.17</v>
      </c>
      <c r="BK39" s="148">
        <f t="shared" si="226"/>
        <v>1911264.57</v>
      </c>
      <c r="BL39" s="423">
        <f t="shared" si="227"/>
        <v>1768084.17</v>
      </c>
      <c r="BM39" s="123">
        <f t="shared" si="54"/>
        <v>112022.69000000018</v>
      </c>
      <c r="BN39" s="123">
        <f t="shared" si="228"/>
        <v>1050108.4099999999</v>
      </c>
      <c r="BO39" s="123">
        <f t="shared" si="229"/>
        <v>1162131.1000000001</v>
      </c>
      <c r="BP39" s="436">
        <f t="shared" si="230"/>
        <v>901529.59</v>
      </c>
      <c r="BQ39" s="140">
        <f t="shared" si="57"/>
        <v>0</v>
      </c>
      <c r="BR39" s="325">
        <f t="shared" si="231"/>
        <v>1205793.76</v>
      </c>
      <c r="BS39" s="333">
        <f t="shared" si="232"/>
        <v>1205793.76</v>
      </c>
      <c r="BT39" s="140">
        <f t="shared" ref="BT39:BV39" si="253">SUM(BQ39,BM39,BI39)</f>
        <v>171743.09000000032</v>
      </c>
      <c r="BU39" s="326">
        <f t="shared" si="253"/>
        <v>4107446.34</v>
      </c>
      <c r="BV39" s="333">
        <f t="shared" si="253"/>
        <v>4279189.4300000006</v>
      </c>
      <c r="BW39" s="125">
        <f t="shared" si="234"/>
        <v>399659.86</v>
      </c>
      <c r="BX39" s="140">
        <f t="shared" si="61"/>
        <v>0</v>
      </c>
      <c r="BY39" s="123">
        <f t="shared" si="235"/>
        <v>1113117.6100000001</v>
      </c>
      <c r="BZ39" s="148">
        <f t="shared" si="236"/>
        <v>1113117.6100000001</v>
      </c>
      <c r="CA39" s="123">
        <f t="shared" si="237"/>
        <v>543680.82999999996</v>
      </c>
      <c r="CB39" s="326">
        <f t="shared" si="238"/>
        <v>879042.27</v>
      </c>
      <c r="CI39" s="294"/>
      <c r="CJ39" s="294"/>
    </row>
    <row r="40" spans="1:115" ht="13">
      <c r="A40" s="436">
        <f t="shared" si="196"/>
        <v>112012912</v>
      </c>
      <c r="B40" s="172">
        <f t="shared" si="176"/>
        <v>8</v>
      </c>
      <c r="C40" s="558">
        <f t="shared" si="177"/>
        <v>0.1</v>
      </c>
      <c r="D40" s="558">
        <f t="shared" si="178"/>
        <v>0.2</v>
      </c>
      <c r="E40" s="559">
        <f t="shared" si="179"/>
        <v>0.23</v>
      </c>
      <c r="F40" s="836">
        <f t="shared" si="197"/>
        <v>3</v>
      </c>
      <c r="G40" s="558" t="str">
        <f t="shared" si="198"/>
        <v>Lista</v>
      </c>
      <c r="H40" s="558">
        <f t="shared" si="199"/>
        <v>0.2</v>
      </c>
      <c r="I40" s="559">
        <f t="shared" si="200"/>
        <v>0.23</v>
      </c>
      <c r="J40" s="837">
        <f t="shared" si="201"/>
        <v>70</v>
      </c>
      <c r="K40" s="699" t="str">
        <f t="shared" si="202"/>
        <v>Lista</v>
      </c>
      <c r="L40" s="700">
        <f t="shared" si="203"/>
        <v>0.11</v>
      </c>
      <c r="M40" s="498" t="s">
        <v>722</v>
      </c>
      <c r="N40" s="845">
        <f t="shared" si="204"/>
        <v>1724405.95</v>
      </c>
      <c r="O40" s="174">
        <v>3000000</v>
      </c>
      <c r="P40" s="140">
        <f t="shared" si="180"/>
        <v>595566.87</v>
      </c>
      <c r="Q40" s="116">
        <f t="shared" si="205"/>
        <v>476915.63</v>
      </c>
      <c r="R40" s="117">
        <f t="shared" si="206"/>
        <v>1072482.5</v>
      </c>
      <c r="S40" s="123">
        <f t="shared" si="181"/>
        <v>-1927517.5</v>
      </c>
      <c r="T40" s="98">
        <f t="shared" si="182"/>
        <v>0.35749416666666667</v>
      </c>
      <c r="U40" s="123">
        <f t="shared" si="183"/>
        <v>864668.43</v>
      </c>
      <c r="V40" s="432">
        <v>3000000</v>
      </c>
      <c r="W40" s="113">
        <f t="shared" si="19"/>
        <v>24564.619999999995</v>
      </c>
      <c r="X40" s="116">
        <f t="shared" si="207"/>
        <v>481901.45</v>
      </c>
      <c r="Y40" s="117">
        <f t="shared" si="208"/>
        <v>506466.07</v>
      </c>
      <c r="Z40" s="114">
        <f t="shared" si="184"/>
        <v>-2493533.9300000002</v>
      </c>
      <c r="AA40" s="413">
        <f t="shared" si="185"/>
        <v>0.16882202333333335</v>
      </c>
      <c r="AB40" s="125">
        <f t="shared" si="186"/>
        <v>152775.16</v>
      </c>
      <c r="AC40" s="104">
        <v>3000000</v>
      </c>
      <c r="AD40" s="113">
        <f t="shared" si="26"/>
        <v>0</v>
      </c>
      <c r="AE40" s="116">
        <f t="shared" si="209"/>
        <v>45144.72</v>
      </c>
      <c r="AF40" s="117">
        <f t="shared" si="210"/>
        <v>45144.72</v>
      </c>
      <c r="AG40" s="114">
        <f t="shared" si="187"/>
        <v>-2954855.28</v>
      </c>
      <c r="AH40" s="413">
        <f t="shared" si="188"/>
        <v>1.5048240000000001E-2</v>
      </c>
      <c r="AI40" s="846">
        <f t="shared" si="189"/>
        <v>9000000</v>
      </c>
      <c r="AJ40" s="840">
        <f t="shared" si="211"/>
        <v>2613137.5699999998</v>
      </c>
      <c r="AK40" s="116">
        <f t="shared" si="190"/>
        <v>620131.49</v>
      </c>
      <c r="AL40" s="116">
        <f t="shared" si="191"/>
        <v>1485863.25</v>
      </c>
      <c r="AM40" s="116">
        <f t="shared" si="192"/>
        <v>1624093.29</v>
      </c>
      <c r="AN40" s="116">
        <f t="shared" si="36"/>
        <v>-989044.2799999998</v>
      </c>
      <c r="AO40" s="413">
        <f t="shared" si="212"/>
        <v>0.62151082615983366</v>
      </c>
      <c r="AP40" s="434">
        <f t="shared" si="213"/>
        <v>850522.97</v>
      </c>
      <c r="AQ40" s="140">
        <f t="shared" si="39"/>
        <v>0</v>
      </c>
      <c r="AR40" s="123">
        <f t="shared" si="214"/>
        <v>266020.23</v>
      </c>
      <c r="AS40" s="148">
        <f t="shared" si="215"/>
        <v>266020.23</v>
      </c>
      <c r="AT40" s="123">
        <f t="shared" si="216"/>
        <v>1062841.31</v>
      </c>
      <c r="AU40" s="326">
        <f t="shared" si="42"/>
        <v>0</v>
      </c>
      <c r="AV40" s="326">
        <f t="shared" si="217"/>
        <v>108727.97</v>
      </c>
      <c r="AW40" s="326">
        <f t="shared" si="218"/>
        <v>108727.97</v>
      </c>
      <c r="AX40" s="332">
        <f t="shared" si="219"/>
        <v>1569484.26</v>
      </c>
      <c r="AY40" s="140">
        <f t="shared" si="45"/>
        <v>0</v>
      </c>
      <c r="AZ40" s="326">
        <f t="shared" si="220"/>
        <v>624825.54</v>
      </c>
      <c r="BA40" s="332">
        <f t="shared" si="221"/>
        <v>624825.54</v>
      </c>
      <c r="BB40" s="844">
        <f t="shared" ref="BB40:BD40" si="254">SUM(AY40,AU40,AQ40)</f>
        <v>0</v>
      </c>
      <c r="BC40" s="326">
        <f t="shared" si="254"/>
        <v>999573.74</v>
      </c>
      <c r="BD40" s="332">
        <f t="shared" si="254"/>
        <v>999573.74</v>
      </c>
      <c r="BE40" s="140">
        <f t="shared" ref="BE40:BF40" si="255">SUM(BB40,AK40)</f>
        <v>620131.49</v>
      </c>
      <c r="BF40" s="326">
        <f t="shared" si="255"/>
        <v>2485436.9900000002</v>
      </c>
      <c r="BG40" s="435">
        <f t="shared" si="50"/>
        <v>2623667.0300000003</v>
      </c>
      <c r="BH40" s="423">
        <f t="shared" si="224"/>
        <v>420442.11</v>
      </c>
      <c r="BI40" s="123">
        <f t="shared" si="51"/>
        <v>0</v>
      </c>
      <c r="BJ40" s="123">
        <f t="shared" si="225"/>
        <v>63315.42</v>
      </c>
      <c r="BK40" s="148">
        <f t="shared" si="226"/>
        <v>63315.42</v>
      </c>
      <c r="BL40" s="423">
        <f t="shared" si="227"/>
        <v>1541760.19</v>
      </c>
      <c r="BM40" s="123">
        <f t="shared" si="54"/>
        <v>0</v>
      </c>
      <c r="BN40" s="123">
        <f t="shared" si="228"/>
        <v>497917.86</v>
      </c>
      <c r="BO40" s="123">
        <f t="shared" si="229"/>
        <v>497917.86</v>
      </c>
      <c r="BP40" s="436">
        <f t="shared" si="230"/>
        <v>230178.42</v>
      </c>
      <c r="BQ40" s="140">
        <f t="shared" si="57"/>
        <v>0</v>
      </c>
      <c r="BR40" s="325">
        <f t="shared" si="231"/>
        <v>301074.03999999998</v>
      </c>
      <c r="BS40" s="333">
        <f t="shared" si="232"/>
        <v>301074.03999999998</v>
      </c>
      <c r="BT40" s="140">
        <f t="shared" ref="BT40:BV40" si="256">SUM(BQ40,BM40,BI40)</f>
        <v>0</v>
      </c>
      <c r="BU40" s="326">
        <f t="shared" si="256"/>
        <v>862307.32</v>
      </c>
      <c r="BV40" s="333">
        <f t="shared" si="256"/>
        <v>862307.32</v>
      </c>
      <c r="BW40" s="125">
        <f t="shared" si="234"/>
        <v>427607.67</v>
      </c>
      <c r="BX40" s="140">
        <f t="shared" si="61"/>
        <v>0</v>
      </c>
      <c r="BY40" s="123">
        <f t="shared" si="235"/>
        <v>83095.09</v>
      </c>
      <c r="BZ40" s="148">
        <f t="shared" si="236"/>
        <v>83095.09</v>
      </c>
      <c r="CA40" s="123">
        <f t="shared" si="237"/>
        <v>1141521.24</v>
      </c>
      <c r="CB40" s="326">
        <f t="shared" si="238"/>
        <v>1044008.67</v>
      </c>
      <c r="CI40" s="294"/>
      <c r="CJ40" s="294"/>
    </row>
    <row r="41" spans="1:115" ht="13">
      <c r="A41" s="436">
        <f t="shared" si="196"/>
        <v>112013432</v>
      </c>
      <c r="B41" s="172">
        <f t="shared" si="176"/>
        <v>8</v>
      </c>
      <c r="C41" s="558">
        <f t="shared" si="177"/>
        <v>0.1</v>
      </c>
      <c r="D41" s="558">
        <f t="shared" si="178"/>
        <v>0.2</v>
      </c>
      <c r="E41" s="559">
        <f t="shared" si="179"/>
        <v>0.23</v>
      </c>
      <c r="F41" s="836">
        <f t="shared" si="197"/>
        <v>3</v>
      </c>
      <c r="G41" s="558" t="str">
        <f t="shared" si="198"/>
        <v>Lista</v>
      </c>
      <c r="H41" s="558">
        <f t="shared" si="199"/>
        <v>0.2</v>
      </c>
      <c r="I41" s="559">
        <f t="shared" si="200"/>
        <v>0.23</v>
      </c>
      <c r="J41" s="837">
        <f t="shared" si="201"/>
        <v>70</v>
      </c>
      <c r="K41" s="699" t="str">
        <f t="shared" si="202"/>
        <v>Lista</v>
      </c>
      <c r="L41" s="700">
        <f t="shared" si="203"/>
        <v>0.11</v>
      </c>
      <c r="M41" s="498" t="s">
        <v>723</v>
      </c>
      <c r="N41" s="845">
        <f t="shared" si="204"/>
        <v>925502.87</v>
      </c>
      <c r="O41" s="237">
        <v>1800000</v>
      </c>
      <c r="P41" s="113">
        <f t="shared" si="180"/>
        <v>70511.620000000112</v>
      </c>
      <c r="Q41" s="116">
        <f t="shared" si="205"/>
        <v>1077605.8999999999</v>
      </c>
      <c r="R41" s="117">
        <f t="shared" si="206"/>
        <v>1148117.52</v>
      </c>
      <c r="S41" s="114">
        <f t="shared" si="181"/>
        <v>-651882.48</v>
      </c>
      <c r="T41" s="413">
        <f t="shared" si="182"/>
        <v>0.63784306666666668</v>
      </c>
      <c r="U41" s="123">
        <f t="shared" si="183"/>
        <v>302339.73</v>
      </c>
      <c r="V41" s="237">
        <v>1800000</v>
      </c>
      <c r="W41" s="113">
        <f t="shared" si="19"/>
        <v>680241.6</v>
      </c>
      <c r="X41" s="116">
        <f t="shared" si="207"/>
        <v>0</v>
      </c>
      <c r="Y41" s="117">
        <f t="shared" si="208"/>
        <v>680241.6</v>
      </c>
      <c r="Z41" s="114">
        <f t="shared" si="184"/>
        <v>-1119758.3999999999</v>
      </c>
      <c r="AA41" s="413">
        <f t="shared" si="185"/>
        <v>0.37791199999999997</v>
      </c>
      <c r="AB41" s="125">
        <f t="shared" si="186"/>
        <v>1480282.25</v>
      </c>
      <c r="AC41" s="416">
        <f>(AB41*1.5955)*1.03</f>
        <v>2432644.03977125</v>
      </c>
      <c r="AD41" s="113">
        <f t="shared" si="26"/>
        <v>0</v>
      </c>
      <c r="AE41" s="116">
        <f t="shared" si="209"/>
        <v>538881.42000000004</v>
      </c>
      <c r="AF41" s="117">
        <f t="shared" si="210"/>
        <v>538881.42000000004</v>
      </c>
      <c r="AG41" s="114">
        <f t="shared" si="187"/>
        <v>-1893762.6197712501</v>
      </c>
      <c r="AH41" s="413">
        <f t="shared" si="188"/>
        <v>0.22152086831852019</v>
      </c>
      <c r="AI41" s="846">
        <f t="shared" si="189"/>
        <v>6032644.0397712495</v>
      </c>
      <c r="AJ41" s="840">
        <f t="shared" si="211"/>
        <v>1716517.08</v>
      </c>
      <c r="AK41" s="116">
        <f t="shared" si="190"/>
        <v>750753.22000000009</v>
      </c>
      <c r="AL41" s="116">
        <f t="shared" si="191"/>
        <v>1616487.3199999998</v>
      </c>
      <c r="AM41" s="116">
        <f t="shared" si="192"/>
        <v>2367240.54</v>
      </c>
      <c r="AN41" s="116">
        <f t="shared" si="36"/>
        <v>650723.46</v>
      </c>
      <c r="AO41" s="413">
        <f t="shared" si="212"/>
        <v>1.3790952432585173</v>
      </c>
      <c r="AP41" s="434">
        <f t="shared" si="213"/>
        <v>263608.46999999997</v>
      </c>
      <c r="AQ41" s="140">
        <f t="shared" si="39"/>
        <v>1386488.7</v>
      </c>
      <c r="AR41" s="123">
        <f t="shared" si="214"/>
        <v>0</v>
      </c>
      <c r="AS41" s="148">
        <f t="shared" si="215"/>
        <v>1386488.7</v>
      </c>
      <c r="AT41" s="123">
        <f t="shared" si="216"/>
        <v>562093.72</v>
      </c>
      <c r="AU41" s="326">
        <f t="shared" si="42"/>
        <v>0</v>
      </c>
      <c r="AV41" s="326">
        <f t="shared" si="217"/>
        <v>377216.84</v>
      </c>
      <c r="AW41" s="326">
        <f t="shared" si="218"/>
        <v>377216.84</v>
      </c>
      <c r="AX41" s="332">
        <f t="shared" si="219"/>
        <v>0</v>
      </c>
      <c r="AY41" s="140">
        <f t="shared" si="45"/>
        <v>0</v>
      </c>
      <c r="AZ41" s="326">
        <f t="shared" si="220"/>
        <v>377216.84</v>
      </c>
      <c r="BA41" s="332">
        <f t="shared" si="221"/>
        <v>377216.84</v>
      </c>
      <c r="BB41" s="844">
        <f t="shared" ref="BB41:BD41" si="257">SUM(AY41,AU41,AQ41)</f>
        <v>1386488.7</v>
      </c>
      <c r="BC41" s="326">
        <f t="shared" si="257"/>
        <v>754433.68</v>
      </c>
      <c r="BD41" s="332">
        <f t="shared" si="257"/>
        <v>2140922.38</v>
      </c>
      <c r="BE41" s="140">
        <f t="shared" ref="BE41:BF41" si="258">SUM(BB41,AK41)</f>
        <v>2137241.92</v>
      </c>
      <c r="BF41" s="326">
        <f t="shared" si="258"/>
        <v>2370921</v>
      </c>
      <c r="BG41" s="435">
        <f t="shared" si="50"/>
        <v>4508162.92</v>
      </c>
      <c r="BH41" s="423">
        <f t="shared" si="224"/>
        <v>596724.84</v>
      </c>
      <c r="BI41" s="123">
        <f t="shared" si="51"/>
        <v>196834.59000000003</v>
      </c>
      <c r="BJ41" s="123">
        <f t="shared" si="225"/>
        <v>377216.84</v>
      </c>
      <c r="BK41" s="148">
        <f t="shared" si="226"/>
        <v>574051.43000000005</v>
      </c>
      <c r="BL41" s="423">
        <f t="shared" si="227"/>
        <v>745602</v>
      </c>
      <c r="BM41" s="123">
        <f t="shared" si="54"/>
        <v>181720.94</v>
      </c>
      <c r="BN41" s="123">
        <f t="shared" si="228"/>
        <v>377216.84</v>
      </c>
      <c r="BO41" s="123">
        <f t="shared" si="229"/>
        <v>558937.78</v>
      </c>
      <c r="BP41" s="436">
        <f t="shared" si="230"/>
        <v>124836.07</v>
      </c>
      <c r="BQ41" s="140">
        <f t="shared" si="57"/>
        <v>0</v>
      </c>
      <c r="BR41" s="325">
        <f t="shared" si="231"/>
        <v>0</v>
      </c>
      <c r="BS41" s="333">
        <f t="shared" si="232"/>
        <v>0</v>
      </c>
      <c r="BT41" s="140">
        <f t="shared" ref="BT41:BV41" si="259">SUM(BQ41,BM41,BI41)</f>
        <v>378555.53</v>
      </c>
      <c r="BU41" s="326">
        <f t="shared" si="259"/>
        <v>754433.68</v>
      </c>
      <c r="BV41" s="333">
        <f t="shared" si="259"/>
        <v>1132989.21</v>
      </c>
      <c r="BW41" s="125">
        <f t="shared" si="234"/>
        <v>780699.83</v>
      </c>
      <c r="BX41" s="140">
        <f t="shared" si="61"/>
        <v>0</v>
      </c>
      <c r="BY41" s="123">
        <f t="shared" si="235"/>
        <v>407393.91</v>
      </c>
      <c r="BZ41" s="148">
        <f t="shared" si="236"/>
        <v>407393.91</v>
      </c>
      <c r="CA41" s="123">
        <f t="shared" si="237"/>
        <v>397014.3</v>
      </c>
      <c r="CB41" s="326">
        <f t="shared" si="238"/>
        <v>538802.94999999995</v>
      </c>
      <c r="CI41" s="294"/>
      <c r="CJ41" s="294"/>
    </row>
    <row r="42" spans="1:115" ht="13">
      <c r="A42" s="436">
        <f t="shared" si="196"/>
        <v>112013868</v>
      </c>
      <c r="B42" s="172">
        <f t="shared" si="176"/>
        <v>31</v>
      </c>
      <c r="C42" s="558">
        <f t="shared" si="177"/>
        <v>0.1</v>
      </c>
      <c r="D42" s="558">
        <f t="shared" si="178"/>
        <v>0.23</v>
      </c>
      <c r="E42" s="559">
        <f t="shared" si="179"/>
        <v>0</v>
      </c>
      <c r="F42" s="836">
        <f t="shared" si="197"/>
        <v>18</v>
      </c>
      <c r="G42" s="558" t="str">
        <f t="shared" si="198"/>
        <v>Lista</v>
      </c>
      <c r="H42" s="558">
        <f t="shared" si="199"/>
        <v>0.23</v>
      </c>
      <c r="I42" s="559">
        <f t="shared" si="200"/>
        <v>0</v>
      </c>
      <c r="J42" s="837">
        <f t="shared" si="201"/>
        <v>69</v>
      </c>
      <c r="K42" s="699" t="str">
        <f t="shared" si="202"/>
        <v>Lista</v>
      </c>
      <c r="L42" s="700">
        <f t="shared" si="203"/>
        <v>0.14000000000000001</v>
      </c>
      <c r="M42" s="498" t="s">
        <v>724</v>
      </c>
      <c r="N42" s="845">
        <f t="shared" si="204"/>
        <v>613486.97</v>
      </c>
      <c r="O42" s="237">
        <v>1800000</v>
      </c>
      <c r="P42" s="113">
        <f t="shared" si="180"/>
        <v>177969.03000000003</v>
      </c>
      <c r="Q42" s="116">
        <f t="shared" si="205"/>
        <v>703698.48</v>
      </c>
      <c r="R42" s="117">
        <f t="shared" si="206"/>
        <v>881667.51</v>
      </c>
      <c r="S42" s="114">
        <f t="shared" si="181"/>
        <v>-918332.49</v>
      </c>
      <c r="T42" s="413">
        <f t="shared" si="182"/>
        <v>0.48981528333333335</v>
      </c>
      <c r="U42" s="123">
        <f t="shared" si="183"/>
        <v>663346.34</v>
      </c>
      <c r="V42" s="141">
        <f>(U42*1.7245)*1.05</f>
        <v>1201137.8014965001</v>
      </c>
      <c r="W42" s="113">
        <f t="shared" si="19"/>
        <v>52911.359999999986</v>
      </c>
      <c r="X42" s="116">
        <f t="shared" si="207"/>
        <v>758369.36</v>
      </c>
      <c r="Y42" s="117">
        <f t="shared" si="208"/>
        <v>811280.72</v>
      </c>
      <c r="Z42" s="114">
        <f t="shared" si="184"/>
        <v>-389857.08149650018</v>
      </c>
      <c r="AA42" s="413">
        <f t="shared" si="185"/>
        <v>0.67542684860073809</v>
      </c>
      <c r="AB42" s="125">
        <f t="shared" si="186"/>
        <v>390222.08000000002</v>
      </c>
      <c r="AC42" s="237">
        <v>1800000</v>
      </c>
      <c r="AD42" s="113">
        <f t="shared" si="26"/>
        <v>0</v>
      </c>
      <c r="AE42" s="116">
        <f t="shared" si="209"/>
        <v>495656</v>
      </c>
      <c r="AF42" s="117">
        <f t="shared" si="210"/>
        <v>495656</v>
      </c>
      <c r="AG42" s="114">
        <f t="shared" si="187"/>
        <v>-1304344</v>
      </c>
      <c r="AH42" s="413">
        <f t="shared" si="188"/>
        <v>0.27536444444444447</v>
      </c>
      <c r="AI42" s="846">
        <f t="shared" si="189"/>
        <v>4801137.8014965001</v>
      </c>
      <c r="AJ42" s="840">
        <f t="shared" si="211"/>
        <v>3275372.43</v>
      </c>
      <c r="AK42" s="116">
        <f t="shared" si="190"/>
        <v>230880.39</v>
      </c>
      <c r="AL42" s="116">
        <f t="shared" si="191"/>
        <v>2716093.1999999997</v>
      </c>
      <c r="AM42" s="116">
        <f t="shared" si="192"/>
        <v>2188604.23</v>
      </c>
      <c r="AN42" s="116">
        <f t="shared" si="36"/>
        <v>-1086768.2000000002</v>
      </c>
      <c r="AO42" s="413">
        <f t="shared" si="212"/>
        <v>0.66820011365852516</v>
      </c>
      <c r="AP42" s="434">
        <f t="shared" si="213"/>
        <v>459570.24</v>
      </c>
      <c r="AQ42" s="140">
        <f t="shared" si="39"/>
        <v>103314.71999999997</v>
      </c>
      <c r="AR42" s="123">
        <f t="shared" si="214"/>
        <v>992465.04</v>
      </c>
      <c r="AS42" s="148">
        <f t="shared" si="215"/>
        <v>1095779.76</v>
      </c>
      <c r="AT42" s="123">
        <f t="shared" si="216"/>
        <v>375132.48</v>
      </c>
      <c r="AU42" s="326">
        <f t="shared" si="42"/>
        <v>0</v>
      </c>
      <c r="AV42" s="326">
        <f t="shared" si="217"/>
        <v>470710.75</v>
      </c>
      <c r="AW42" s="326">
        <f t="shared" si="218"/>
        <v>470710.75</v>
      </c>
      <c r="AX42" s="332">
        <f t="shared" si="219"/>
        <v>387201.4</v>
      </c>
      <c r="AY42" s="140">
        <f t="shared" si="45"/>
        <v>25353</v>
      </c>
      <c r="AZ42" s="326">
        <f t="shared" si="220"/>
        <v>617828.21</v>
      </c>
      <c r="BA42" s="332">
        <f t="shared" si="221"/>
        <v>643181.21</v>
      </c>
      <c r="BB42" s="844">
        <f t="shared" ref="BB42:BD42" si="260">SUM(AY42,AU42,AQ42)</f>
        <v>128667.71999999997</v>
      </c>
      <c r="BC42" s="326">
        <f t="shared" si="260"/>
        <v>2081004</v>
      </c>
      <c r="BD42" s="332">
        <f t="shared" si="260"/>
        <v>2209671.7199999997</v>
      </c>
      <c r="BE42" s="140">
        <f t="shared" ref="BE42:BF42" si="261">SUM(BB42,AK42)</f>
        <v>359548.11</v>
      </c>
      <c r="BF42" s="326">
        <f t="shared" si="261"/>
        <v>4797097.1999999993</v>
      </c>
      <c r="BG42" s="435">
        <f t="shared" si="50"/>
        <v>4398275.9499999993</v>
      </c>
      <c r="BH42" s="423">
        <f t="shared" si="224"/>
        <v>816517.28</v>
      </c>
      <c r="BI42" s="123">
        <f t="shared" si="51"/>
        <v>0</v>
      </c>
      <c r="BJ42" s="123">
        <f t="shared" si="225"/>
        <v>637866.54</v>
      </c>
      <c r="BK42" s="148">
        <f t="shared" si="226"/>
        <v>637866.54</v>
      </c>
      <c r="BL42" s="423">
        <f t="shared" si="227"/>
        <v>912413.2</v>
      </c>
      <c r="BM42" s="123">
        <f t="shared" si="54"/>
        <v>0</v>
      </c>
      <c r="BN42" s="123">
        <f t="shared" si="228"/>
        <v>1678029.97</v>
      </c>
      <c r="BO42" s="123">
        <f t="shared" si="229"/>
        <v>1678029.97</v>
      </c>
      <c r="BP42" s="436">
        <f t="shared" si="230"/>
        <v>1058912.32</v>
      </c>
      <c r="BQ42" s="140">
        <f t="shared" si="57"/>
        <v>0</v>
      </c>
      <c r="BR42" s="325">
        <f t="shared" si="231"/>
        <v>631625.53</v>
      </c>
      <c r="BS42" s="333">
        <f t="shared" si="232"/>
        <v>631625.53</v>
      </c>
      <c r="BT42" s="140">
        <f t="shared" ref="BT42:BV42" si="262">SUM(BQ42,BM42,BI42)</f>
        <v>0</v>
      </c>
      <c r="BU42" s="326">
        <f t="shared" si="262"/>
        <v>2947522.04</v>
      </c>
      <c r="BV42" s="333">
        <f t="shared" si="262"/>
        <v>2947522.04</v>
      </c>
      <c r="BW42" s="125">
        <f t="shared" si="234"/>
        <v>1208412.56</v>
      </c>
      <c r="BX42" s="140">
        <f t="shared" si="61"/>
        <v>285608</v>
      </c>
      <c r="BY42" s="123">
        <f t="shared" si="235"/>
        <v>810445.46</v>
      </c>
      <c r="BZ42" s="148">
        <f t="shared" si="236"/>
        <v>1096053.46</v>
      </c>
      <c r="CA42" s="123">
        <f t="shared" si="237"/>
        <v>1154987.72</v>
      </c>
      <c r="CB42" s="326">
        <f t="shared" si="238"/>
        <v>911972.16</v>
      </c>
      <c r="CI42" s="294"/>
      <c r="CJ42" s="294"/>
    </row>
    <row r="43" spans="1:115" ht="13">
      <c r="A43" s="436">
        <f t="shared" si="196"/>
        <v>112013294</v>
      </c>
      <c r="B43" s="172">
        <f t="shared" si="176"/>
        <v>7</v>
      </c>
      <c r="C43" s="558">
        <f t="shared" si="177"/>
        <v>0.1</v>
      </c>
      <c r="D43" s="558">
        <f t="shared" si="178"/>
        <v>0.2</v>
      </c>
      <c r="E43" s="559">
        <f t="shared" si="179"/>
        <v>0</v>
      </c>
      <c r="F43" s="836">
        <f t="shared" si="197"/>
        <v>4</v>
      </c>
      <c r="G43" s="558" t="str">
        <f t="shared" si="198"/>
        <v>Lista</v>
      </c>
      <c r="H43" s="558">
        <f t="shared" si="199"/>
        <v>0.2</v>
      </c>
      <c r="I43" s="559">
        <f t="shared" si="200"/>
        <v>0</v>
      </c>
      <c r="J43" s="837">
        <f t="shared" si="201"/>
        <v>70</v>
      </c>
      <c r="K43" s="699" t="str">
        <f t="shared" si="202"/>
        <v>Lista</v>
      </c>
      <c r="L43" s="700">
        <f t="shared" si="203"/>
        <v>0.11</v>
      </c>
      <c r="M43" s="498" t="s">
        <v>725</v>
      </c>
      <c r="N43" s="434">
        <f t="shared" si="204"/>
        <v>0</v>
      </c>
      <c r="O43" s="237">
        <v>1800000</v>
      </c>
      <c r="P43" s="113">
        <f t="shared" si="180"/>
        <v>258417</v>
      </c>
      <c r="Q43" s="116">
        <f t="shared" si="205"/>
        <v>0</v>
      </c>
      <c r="R43" s="117">
        <f t="shared" si="206"/>
        <v>258417</v>
      </c>
      <c r="S43" s="114">
        <f t="shared" si="181"/>
        <v>-1541583</v>
      </c>
      <c r="T43" s="413">
        <f t="shared" si="182"/>
        <v>0.143565</v>
      </c>
      <c r="U43" s="123">
        <f t="shared" si="183"/>
        <v>0</v>
      </c>
      <c r="V43" s="237">
        <v>1800000</v>
      </c>
      <c r="W43" s="113">
        <f t="shared" si="19"/>
        <v>0</v>
      </c>
      <c r="X43" s="116">
        <f t="shared" si="207"/>
        <v>0</v>
      </c>
      <c r="Y43" s="117">
        <f t="shared" si="208"/>
        <v>0</v>
      </c>
      <c r="Z43" s="114">
        <f t="shared" si="184"/>
        <v>-1800000</v>
      </c>
      <c r="AA43" s="413">
        <f t="shared" si="185"/>
        <v>0</v>
      </c>
      <c r="AB43" s="125">
        <f t="shared" si="186"/>
        <v>0</v>
      </c>
      <c r="AC43" s="237">
        <v>1800000</v>
      </c>
      <c r="AD43" s="113">
        <f t="shared" si="26"/>
        <v>1473629.05</v>
      </c>
      <c r="AE43" s="116">
        <f t="shared" si="209"/>
        <v>32928.639999999999</v>
      </c>
      <c r="AF43" s="117">
        <f t="shared" si="210"/>
        <v>1506557.69</v>
      </c>
      <c r="AG43" s="114">
        <f t="shared" si="187"/>
        <v>-293442.31000000006</v>
      </c>
      <c r="AH43" s="413">
        <f t="shared" si="188"/>
        <v>0.83697649444444444</v>
      </c>
      <c r="AI43" s="846">
        <f t="shared" si="189"/>
        <v>5400000</v>
      </c>
      <c r="AJ43" s="840">
        <f t="shared" si="211"/>
        <v>864033.01</v>
      </c>
      <c r="AK43" s="116">
        <f t="shared" si="190"/>
        <v>1732046.05</v>
      </c>
      <c r="AL43" s="116">
        <f t="shared" si="191"/>
        <v>32928.639999999999</v>
      </c>
      <c r="AM43" s="116">
        <f t="shared" si="192"/>
        <v>1764974.69</v>
      </c>
      <c r="AN43" s="116">
        <f t="shared" si="36"/>
        <v>900941.67999999993</v>
      </c>
      <c r="AO43" s="413">
        <f t="shared" si="212"/>
        <v>2.0427167360191483</v>
      </c>
      <c r="AP43" s="434">
        <f t="shared" si="213"/>
        <v>0</v>
      </c>
      <c r="AQ43" s="140">
        <f t="shared" si="39"/>
        <v>41322.869999999995</v>
      </c>
      <c r="AR43" s="123">
        <f t="shared" si="214"/>
        <v>65857.279999999999</v>
      </c>
      <c r="AS43" s="148">
        <f t="shared" si="215"/>
        <v>107180.15</v>
      </c>
      <c r="AT43" s="123">
        <f t="shared" si="216"/>
        <v>0</v>
      </c>
      <c r="AU43" s="326">
        <f t="shared" si="42"/>
        <v>298467.18</v>
      </c>
      <c r="AV43" s="326">
        <f t="shared" si="217"/>
        <v>69150.240000000005</v>
      </c>
      <c r="AW43" s="326">
        <f t="shared" si="218"/>
        <v>367617.42</v>
      </c>
      <c r="AX43" s="332">
        <f t="shared" si="219"/>
        <v>103526.89</v>
      </c>
      <c r="AY43" s="140">
        <f t="shared" si="45"/>
        <v>0</v>
      </c>
      <c r="AZ43" s="326">
        <f t="shared" si="220"/>
        <v>0</v>
      </c>
      <c r="BA43" s="332">
        <f t="shared" si="221"/>
        <v>0</v>
      </c>
      <c r="BB43" s="844">
        <f t="shared" ref="BB43:BD43" si="263">SUM(AY43,AU43,AQ43)</f>
        <v>339790.05</v>
      </c>
      <c r="BC43" s="326">
        <f t="shared" si="263"/>
        <v>135007.52000000002</v>
      </c>
      <c r="BD43" s="332">
        <f t="shared" si="263"/>
        <v>474797.56999999995</v>
      </c>
      <c r="BE43" s="140">
        <f t="shared" ref="BE43:BF43" si="264">SUM(BB43,AK43)</f>
        <v>2071836.1</v>
      </c>
      <c r="BF43" s="326">
        <f t="shared" si="264"/>
        <v>167936.16000000003</v>
      </c>
      <c r="BG43" s="435">
        <f t="shared" si="50"/>
        <v>2239772.2599999998</v>
      </c>
      <c r="BH43" s="423">
        <f t="shared" si="224"/>
        <v>184271.66</v>
      </c>
      <c r="BI43" s="123">
        <f t="shared" si="51"/>
        <v>41322.869999999995</v>
      </c>
      <c r="BJ43" s="123">
        <f t="shared" si="225"/>
        <v>69150.240000000005</v>
      </c>
      <c r="BK43" s="148">
        <f t="shared" si="226"/>
        <v>110473.11</v>
      </c>
      <c r="BL43" s="423">
        <f t="shared" si="227"/>
        <v>192448.4</v>
      </c>
      <c r="BM43" s="123">
        <f t="shared" si="54"/>
        <v>263569.27</v>
      </c>
      <c r="BN43" s="123">
        <f t="shared" si="228"/>
        <v>34575.120000000003</v>
      </c>
      <c r="BO43" s="123">
        <f t="shared" si="229"/>
        <v>298144.39</v>
      </c>
      <c r="BP43" s="436">
        <f t="shared" si="230"/>
        <v>228002.26</v>
      </c>
      <c r="BQ43" s="140">
        <f t="shared" si="57"/>
        <v>0</v>
      </c>
      <c r="BR43" s="325">
        <f t="shared" si="231"/>
        <v>0</v>
      </c>
      <c r="BS43" s="333">
        <f t="shared" si="232"/>
        <v>0</v>
      </c>
      <c r="BT43" s="140">
        <f t="shared" ref="BT43:BV43" si="265">SUM(BQ43,BM43,BI43)</f>
        <v>304892.14</v>
      </c>
      <c r="BU43" s="326">
        <f t="shared" si="265"/>
        <v>103725.36000000002</v>
      </c>
      <c r="BV43" s="333">
        <f t="shared" si="265"/>
        <v>408617.5</v>
      </c>
      <c r="BW43" s="125">
        <f t="shared" si="234"/>
        <v>480156.37</v>
      </c>
      <c r="BX43" s="140">
        <f t="shared" si="61"/>
        <v>843872</v>
      </c>
      <c r="BY43" s="123">
        <f t="shared" si="235"/>
        <v>112023.36</v>
      </c>
      <c r="BZ43" s="148">
        <f t="shared" si="236"/>
        <v>955895.36</v>
      </c>
      <c r="CA43" s="123">
        <f t="shared" si="237"/>
        <v>189188.95</v>
      </c>
      <c r="CB43" s="326">
        <f t="shared" si="238"/>
        <v>194687.69</v>
      </c>
      <c r="CD43" s="229"/>
      <c r="CE43" s="229"/>
      <c r="CF43" s="229"/>
      <c r="CG43" s="229"/>
      <c r="CH43" s="229"/>
      <c r="CI43" s="229"/>
      <c r="CJ43" s="229"/>
      <c r="CK43" s="229"/>
      <c r="CL43" s="229"/>
      <c r="CM43" s="229"/>
      <c r="CN43" s="229"/>
      <c r="CO43" s="229"/>
      <c r="CP43" s="229"/>
      <c r="CQ43" s="229"/>
      <c r="CR43" s="229"/>
      <c r="CS43" s="229"/>
      <c r="CT43" s="229"/>
      <c r="CU43" s="229"/>
      <c r="CV43" s="229"/>
      <c r="CW43" s="229"/>
      <c r="CX43" s="229"/>
      <c r="CY43" s="229"/>
      <c r="CZ43" s="229"/>
      <c r="DA43" s="229"/>
      <c r="DB43" s="229"/>
      <c r="DC43" s="229"/>
      <c r="DD43" s="229"/>
      <c r="DE43" s="229"/>
      <c r="DF43" s="229"/>
      <c r="DG43" s="229"/>
      <c r="DH43" s="229"/>
      <c r="DI43" s="229"/>
      <c r="DJ43" s="229"/>
      <c r="DK43" s="229"/>
    </row>
    <row r="44" spans="1:115" ht="13">
      <c r="A44" s="436">
        <f t="shared" si="196"/>
        <v>112013900</v>
      </c>
      <c r="B44" s="172">
        <f t="shared" si="176"/>
        <v>7</v>
      </c>
      <c r="C44" s="558">
        <f t="shared" si="177"/>
        <v>0.1</v>
      </c>
      <c r="D44" s="558">
        <f t="shared" si="178"/>
        <v>0.2</v>
      </c>
      <c r="E44" s="559">
        <f t="shared" si="179"/>
        <v>0</v>
      </c>
      <c r="F44" s="836">
        <f t="shared" si="197"/>
        <v>4</v>
      </c>
      <c r="G44" s="558" t="str">
        <f t="shared" si="198"/>
        <v>Lista</v>
      </c>
      <c r="H44" s="558">
        <f t="shared" si="199"/>
        <v>0.2</v>
      </c>
      <c r="I44" s="559">
        <f t="shared" si="200"/>
        <v>0</v>
      </c>
      <c r="J44" s="837">
        <f t="shared" si="201"/>
        <v>70</v>
      </c>
      <c r="K44" s="699" t="str">
        <f t="shared" si="202"/>
        <v>Lista</v>
      </c>
      <c r="L44" s="700">
        <f t="shared" si="203"/>
        <v>0.11</v>
      </c>
      <c r="M44" s="498" t="s">
        <v>726</v>
      </c>
      <c r="N44" s="845">
        <f t="shared" si="204"/>
        <v>820676.7</v>
      </c>
      <c r="O44" s="251">
        <v>2500000</v>
      </c>
      <c r="P44" s="113">
        <f t="shared" si="180"/>
        <v>162418.40999999992</v>
      </c>
      <c r="Q44" s="116">
        <f t="shared" si="205"/>
        <v>1122692.51</v>
      </c>
      <c r="R44" s="117">
        <f t="shared" si="206"/>
        <v>1285110.92</v>
      </c>
      <c r="S44" s="114">
        <f t="shared" si="181"/>
        <v>-1214889.08</v>
      </c>
      <c r="T44" s="413">
        <f t="shared" si="182"/>
        <v>0.51404436799999997</v>
      </c>
      <c r="U44" s="123">
        <f t="shared" si="183"/>
        <v>1608823.98</v>
      </c>
      <c r="V44" s="141">
        <f>(U44*1.7245)*1.05</f>
        <v>2913137.8011854999</v>
      </c>
      <c r="W44" s="113">
        <f t="shared" si="19"/>
        <v>257873.19999999995</v>
      </c>
      <c r="X44" s="116">
        <f t="shared" si="207"/>
        <v>919452.25</v>
      </c>
      <c r="Y44" s="117">
        <f t="shared" si="208"/>
        <v>1177325.45</v>
      </c>
      <c r="Z44" s="114">
        <f t="shared" si="184"/>
        <v>-1735812.3511854999</v>
      </c>
      <c r="AA44" s="413">
        <f t="shared" si="185"/>
        <v>0.40414341179496832</v>
      </c>
      <c r="AB44" s="125">
        <f t="shared" si="186"/>
        <v>668373.61</v>
      </c>
      <c r="AC44" s="251">
        <v>2500000</v>
      </c>
      <c r="AD44" s="113">
        <f t="shared" si="26"/>
        <v>342411.64999999991</v>
      </c>
      <c r="AE44" s="116">
        <f t="shared" si="209"/>
        <v>722598.29</v>
      </c>
      <c r="AF44" s="117">
        <f t="shared" si="210"/>
        <v>1065009.94</v>
      </c>
      <c r="AG44" s="114">
        <f t="shared" si="187"/>
        <v>-1434990.06</v>
      </c>
      <c r="AH44" s="413">
        <f t="shared" si="188"/>
        <v>0.42600397599999995</v>
      </c>
      <c r="AI44" s="846">
        <f t="shared" si="189"/>
        <v>7913137.8011854999</v>
      </c>
      <c r="AJ44" s="840">
        <f t="shared" si="211"/>
        <v>4914460.92</v>
      </c>
      <c r="AK44" s="116">
        <f t="shared" si="190"/>
        <v>762703.25999999978</v>
      </c>
      <c r="AL44" s="116">
        <f t="shared" si="191"/>
        <v>3684195.3</v>
      </c>
      <c r="AM44" s="116">
        <f t="shared" si="192"/>
        <v>3527446.3099999996</v>
      </c>
      <c r="AN44" s="116">
        <f t="shared" si="36"/>
        <v>-1387014.6100000003</v>
      </c>
      <c r="AO44" s="413">
        <f t="shared" si="212"/>
        <v>0.71776871714344603</v>
      </c>
      <c r="AP44" s="434">
        <f t="shared" si="213"/>
        <v>1315176.96</v>
      </c>
      <c r="AQ44" s="140">
        <f t="shared" si="39"/>
        <v>211431.54999999993</v>
      </c>
      <c r="AR44" s="123">
        <f t="shared" si="214"/>
        <v>986054.84</v>
      </c>
      <c r="AS44" s="148">
        <f t="shared" si="215"/>
        <v>1197486.3899999999</v>
      </c>
      <c r="AT44" s="123">
        <f t="shared" si="216"/>
        <v>891694.56</v>
      </c>
      <c r="AU44" s="326">
        <f t="shared" si="42"/>
        <v>249046.32999999996</v>
      </c>
      <c r="AV44" s="326">
        <f t="shared" si="217"/>
        <v>1029333.34</v>
      </c>
      <c r="AW44" s="326">
        <f t="shared" si="218"/>
        <v>1278379.67</v>
      </c>
      <c r="AX44" s="332">
        <f t="shared" si="219"/>
        <v>1554176.95</v>
      </c>
      <c r="AY44" s="140">
        <f t="shared" si="45"/>
        <v>300290.64000000013</v>
      </c>
      <c r="AZ44" s="326">
        <f t="shared" si="220"/>
        <v>1178453.8999999999</v>
      </c>
      <c r="BA44" s="332">
        <f t="shared" si="221"/>
        <v>1478744.54</v>
      </c>
      <c r="BB44" s="844">
        <f t="shared" ref="BB44:BD44" si="266">SUM(AY44,AU44,AQ44)</f>
        <v>760768.52</v>
      </c>
      <c r="BC44" s="326">
        <f t="shared" si="266"/>
        <v>3193842.0799999996</v>
      </c>
      <c r="BD44" s="332">
        <f t="shared" si="266"/>
        <v>3954610.5999999996</v>
      </c>
      <c r="BE44" s="140">
        <f t="shared" ref="BE44:BF44" si="267">SUM(BB44,AK44)</f>
        <v>1523471.7799999998</v>
      </c>
      <c r="BF44" s="326">
        <f t="shared" si="267"/>
        <v>6878037.379999999</v>
      </c>
      <c r="BG44" s="435">
        <f t="shared" si="50"/>
        <v>7482056.9099999992</v>
      </c>
      <c r="BH44" s="423">
        <f t="shared" si="224"/>
        <v>643605.59</v>
      </c>
      <c r="BI44" s="123">
        <f t="shared" si="51"/>
        <v>12680.099999999977</v>
      </c>
      <c r="BJ44" s="123">
        <f t="shared" si="225"/>
        <v>952085.86</v>
      </c>
      <c r="BK44" s="148">
        <f t="shared" si="226"/>
        <v>964765.96</v>
      </c>
      <c r="BL44" s="423">
        <f t="shared" si="227"/>
        <v>1253228.68</v>
      </c>
      <c r="BM44" s="123">
        <f t="shared" si="54"/>
        <v>326136.38000000012</v>
      </c>
      <c r="BN44" s="123">
        <f t="shared" si="228"/>
        <v>1185741.74</v>
      </c>
      <c r="BO44" s="123">
        <f t="shared" si="229"/>
        <v>1511878.12</v>
      </c>
      <c r="BP44" s="436">
        <f t="shared" si="230"/>
        <v>1329234.1299999999</v>
      </c>
      <c r="BQ44" s="140">
        <f t="shared" si="57"/>
        <v>438636.67999999993</v>
      </c>
      <c r="BR44" s="325">
        <f t="shared" si="231"/>
        <v>1160202.47</v>
      </c>
      <c r="BS44" s="333">
        <f t="shared" si="232"/>
        <v>1598839.15</v>
      </c>
      <c r="BT44" s="140">
        <f t="shared" ref="BT44:BV44" si="268">SUM(BQ44,BM44,BI44)</f>
        <v>777453.16</v>
      </c>
      <c r="BU44" s="326">
        <f t="shared" si="268"/>
        <v>3298030.07</v>
      </c>
      <c r="BV44" s="333">
        <f t="shared" si="268"/>
        <v>4075483.23</v>
      </c>
      <c r="BW44" s="125">
        <f t="shared" si="234"/>
        <v>1426781.41</v>
      </c>
      <c r="BX44" s="140">
        <f t="shared" si="61"/>
        <v>547160.25</v>
      </c>
      <c r="BY44" s="123">
        <f t="shared" si="235"/>
        <v>1194556.94</v>
      </c>
      <c r="BZ44" s="148">
        <f t="shared" si="236"/>
        <v>1741717.19</v>
      </c>
      <c r="CA44" s="123">
        <f t="shared" si="237"/>
        <v>1437350.17</v>
      </c>
      <c r="CB44" s="326">
        <f t="shared" si="238"/>
        <v>2050329.34</v>
      </c>
      <c r="CI44" s="294"/>
      <c r="CJ44" s="294"/>
    </row>
    <row r="45" spans="1:115" ht="13">
      <c r="A45" s="436">
        <f t="shared" si="196"/>
        <v>112013377</v>
      </c>
      <c r="B45" s="172">
        <f t="shared" si="176"/>
        <v>31</v>
      </c>
      <c r="C45" s="558">
        <f t="shared" si="177"/>
        <v>0.1</v>
      </c>
      <c r="D45" s="558">
        <f t="shared" si="178"/>
        <v>0.23</v>
      </c>
      <c r="E45" s="559">
        <f t="shared" si="179"/>
        <v>0</v>
      </c>
      <c r="F45" s="836">
        <f t="shared" si="197"/>
        <v>18</v>
      </c>
      <c r="G45" s="558" t="str">
        <f t="shared" si="198"/>
        <v>Lista</v>
      </c>
      <c r="H45" s="558">
        <f t="shared" si="199"/>
        <v>0.23</v>
      </c>
      <c r="I45" s="559">
        <f t="shared" si="200"/>
        <v>0</v>
      </c>
      <c r="J45" s="837">
        <f t="shared" si="201"/>
        <v>69</v>
      </c>
      <c r="K45" s="699" t="str">
        <f t="shared" si="202"/>
        <v>Lista</v>
      </c>
      <c r="L45" s="700">
        <f t="shared" si="203"/>
        <v>0.14000000000000001</v>
      </c>
      <c r="M45" s="498" t="s">
        <v>727</v>
      </c>
      <c r="N45" s="845">
        <f t="shared" si="204"/>
        <v>965482.8</v>
      </c>
      <c r="O45" s="237">
        <v>1800000</v>
      </c>
      <c r="P45" s="113">
        <f t="shared" si="180"/>
        <v>0</v>
      </c>
      <c r="Q45" s="116">
        <f t="shared" si="205"/>
        <v>1449757.16</v>
      </c>
      <c r="R45" s="117">
        <f t="shared" si="206"/>
        <v>1449757.16</v>
      </c>
      <c r="S45" s="114">
        <f t="shared" si="181"/>
        <v>-350242.84000000008</v>
      </c>
      <c r="T45" s="413">
        <f t="shared" si="182"/>
        <v>0.80542064444444439</v>
      </c>
      <c r="U45" s="123">
        <f t="shared" si="183"/>
        <v>471178.8</v>
      </c>
      <c r="V45" s="237">
        <v>1800000</v>
      </c>
      <c r="W45" s="113">
        <f t="shared" si="19"/>
        <v>1559543.4</v>
      </c>
      <c r="X45" s="116">
        <f t="shared" si="207"/>
        <v>524604</v>
      </c>
      <c r="Y45" s="117">
        <f t="shared" si="208"/>
        <v>2084147.4</v>
      </c>
      <c r="Z45" s="114">
        <f t="shared" si="184"/>
        <v>284147.39999999991</v>
      </c>
      <c r="AA45" s="413">
        <f t="shared" si="185"/>
        <v>1.1578596666666665</v>
      </c>
      <c r="AB45" s="125">
        <f t="shared" si="186"/>
        <v>480630.8</v>
      </c>
      <c r="AC45" s="237">
        <v>1800000</v>
      </c>
      <c r="AD45" s="113">
        <f t="shared" si="26"/>
        <v>1445860.8199999998</v>
      </c>
      <c r="AE45" s="116">
        <f t="shared" si="209"/>
        <v>1437016.81</v>
      </c>
      <c r="AF45" s="117">
        <f t="shared" si="210"/>
        <v>2882877.63</v>
      </c>
      <c r="AG45" s="114">
        <f t="shared" si="187"/>
        <v>1082877.6299999999</v>
      </c>
      <c r="AH45" s="413">
        <f t="shared" si="188"/>
        <v>1.6015986833333333</v>
      </c>
      <c r="AI45" s="846">
        <f t="shared" si="189"/>
        <v>5400000</v>
      </c>
      <c r="AJ45" s="840">
        <f t="shared" si="211"/>
        <v>5004914.38</v>
      </c>
      <c r="AK45" s="116">
        <f t="shared" si="190"/>
        <v>3005404.2199999997</v>
      </c>
      <c r="AL45" s="116">
        <f t="shared" si="191"/>
        <v>3935981.9699999997</v>
      </c>
      <c r="AM45" s="116">
        <f t="shared" si="192"/>
        <v>6416782.1899999995</v>
      </c>
      <c r="AN45" s="116">
        <f t="shared" si="36"/>
        <v>1411867.8099999996</v>
      </c>
      <c r="AO45" s="413">
        <f t="shared" si="212"/>
        <v>1.2820962963206575</v>
      </c>
      <c r="AP45" s="434">
        <f t="shared" si="213"/>
        <v>1425143.47</v>
      </c>
      <c r="AQ45" s="140">
        <f t="shared" si="39"/>
        <v>0</v>
      </c>
      <c r="AR45" s="123">
        <f t="shared" si="214"/>
        <v>791810.8</v>
      </c>
      <c r="AS45" s="148">
        <f t="shared" si="215"/>
        <v>791810.8</v>
      </c>
      <c r="AT45" s="123">
        <f t="shared" si="216"/>
        <v>380158.44</v>
      </c>
      <c r="AU45" s="326">
        <f t="shared" si="42"/>
        <v>0</v>
      </c>
      <c r="AV45" s="326">
        <f t="shared" si="217"/>
        <v>0</v>
      </c>
      <c r="AW45" s="326">
        <f t="shared" si="218"/>
        <v>0</v>
      </c>
      <c r="AX45" s="332">
        <f t="shared" si="219"/>
        <v>918704.8</v>
      </c>
      <c r="AY45" s="140">
        <f t="shared" si="45"/>
        <v>0</v>
      </c>
      <c r="AZ45" s="326">
        <f t="shared" si="220"/>
        <v>803218.26</v>
      </c>
      <c r="BA45" s="332">
        <f t="shared" si="221"/>
        <v>803218.26</v>
      </c>
      <c r="BB45" s="844">
        <f t="shared" ref="BB45:BD45" si="269">SUM(AY45,AU45,AQ45)</f>
        <v>0</v>
      </c>
      <c r="BC45" s="326">
        <f t="shared" si="269"/>
        <v>1595029.06</v>
      </c>
      <c r="BD45" s="332">
        <f t="shared" si="269"/>
        <v>1595029.06</v>
      </c>
      <c r="BE45" s="140">
        <f t="shared" ref="BE45:BF45" si="270">SUM(BB45,AK45)</f>
        <v>3005404.2199999997</v>
      </c>
      <c r="BF45" s="326">
        <f t="shared" si="270"/>
        <v>5531011.0299999993</v>
      </c>
      <c r="BG45" s="435">
        <f t="shared" si="50"/>
        <v>8011811.25</v>
      </c>
      <c r="BH45" s="423">
        <f t="shared" si="224"/>
        <v>1398925.2</v>
      </c>
      <c r="BI45" s="123">
        <f t="shared" si="51"/>
        <v>0</v>
      </c>
      <c r="BJ45" s="123">
        <f t="shared" si="225"/>
        <v>2912746.22</v>
      </c>
      <c r="BK45" s="148">
        <f t="shared" si="226"/>
        <v>2912746.22</v>
      </c>
      <c r="BL45" s="423">
        <f t="shared" si="227"/>
        <v>1700752.4</v>
      </c>
      <c r="BM45" s="123">
        <f t="shared" si="54"/>
        <v>0</v>
      </c>
      <c r="BN45" s="123">
        <f t="shared" si="228"/>
        <v>617955.26</v>
      </c>
      <c r="BO45" s="123">
        <f t="shared" si="229"/>
        <v>617955.26</v>
      </c>
      <c r="BP45" s="436">
        <f t="shared" si="230"/>
        <v>983452.8</v>
      </c>
      <c r="BQ45" s="140">
        <f t="shared" si="57"/>
        <v>0</v>
      </c>
      <c r="BR45" s="325">
        <f t="shared" si="231"/>
        <v>1757074.17</v>
      </c>
      <c r="BS45" s="333">
        <f t="shared" si="232"/>
        <v>1757074.17</v>
      </c>
      <c r="BT45" s="140">
        <f t="shared" ref="BT45:BV45" si="271">SUM(BQ45,BM45,BI45)</f>
        <v>0</v>
      </c>
      <c r="BU45" s="326">
        <f t="shared" si="271"/>
        <v>5287775.6500000004</v>
      </c>
      <c r="BV45" s="333">
        <f t="shared" si="271"/>
        <v>5287775.6500000004</v>
      </c>
      <c r="BW45" s="125">
        <f t="shared" si="234"/>
        <v>2277423.58</v>
      </c>
      <c r="BX45" s="140">
        <f t="shared" si="61"/>
        <v>0</v>
      </c>
      <c r="BY45" s="123">
        <f t="shared" si="235"/>
        <v>4121150.38</v>
      </c>
      <c r="BZ45" s="148">
        <f t="shared" si="236"/>
        <v>4121150.38</v>
      </c>
      <c r="CA45" s="123">
        <f t="shared" si="237"/>
        <v>1270712.8</v>
      </c>
      <c r="CB45" s="326">
        <f t="shared" si="238"/>
        <v>1456778</v>
      </c>
      <c r="CI45" s="294"/>
      <c r="CJ45" s="294"/>
    </row>
    <row r="46" spans="1:115" ht="13">
      <c r="A46" s="436">
        <f t="shared" si="196"/>
        <v>112014603</v>
      </c>
      <c r="B46" s="172">
        <f t="shared" si="176"/>
        <v>7</v>
      </c>
      <c r="C46" s="558">
        <f t="shared" si="177"/>
        <v>0.1</v>
      </c>
      <c r="D46" s="558">
        <f t="shared" si="178"/>
        <v>0.2</v>
      </c>
      <c r="E46" s="559">
        <f t="shared" si="179"/>
        <v>0</v>
      </c>
      <c r="F46" s="836">
        <f t="shared" si="197"/>
        <v>4</v>
      </c>
      <c r="G46" s="558" t="str">
        <f t="shared" si="198"/>
        <v>Lista</v>
      </c>
      <c r="H46" s="558">
        <f t="shared" si="199"/>
        <v>0.2</v>
      </c>
      <c r="I46" s="559">
        <f t="shared" si="200"/>
        <v>0</v>
      </c>
      <c r="J46" s="837">
        <f t="shared" si="201"/>
        <v>70</v>
      </c>
      <c r="K46" s="699" t="str">
        <f t="shared" si="202"/>
        <v>Lista</v>
      </c>
      <c r="L46" s="700">
        <f t="shared" si="203"/>
        <v>0.11</v>
      </c>
      <c r="M46" s="498" t="s">
        <v>728</v>
      </c>
      <c r="N46" s="845">
        <f t="shared" si="204"/>
        <v>0</v>
      </c>
      <c r="O46" s="237">
        <v>1800000</v>
      </c>
      <c r="P46" s="113">
        <f t="shared" si="180"/>
        <v>52627.19</v>
      </c>
      <c r="Q46" s="116">
        <f t="shared" si="205"/>
        <v>29982.080000000002</v>
      </c>
      <c r="R46" s="117">
        <f t="shared" si="206"/>
        <v>82609.27</v>
      </c>
      <c r="S46" s="114">
        <f t="shared" si="181"/>
        <v>-1717390.73</v>
      </c>
      <c r="T46" s="413">
        <f t="shared" si="182"/>
        <v>4.5894038888888891E-2</v>
      </c>
      <c r="U46" s="123">
        <f t="shared" si="183"/>
        <v>0</v>
      </c>
      <c r="V46" s="456">
        <v>1800000</v>
      </c>
      <c r="W46" s="113">
        <f t="shared" si="19"/>
        <v>82081.17</v>
      </c>
      <c r="X46" s="116">
        <f t="shared" si="207"/>
        <v>31813.31</v>
      </c>
      <c r="Y46" s="117">
        <f t="shared" si="208"/>
        <v>113894.48</v>
      </c>
      <c r="Z46" s="114">
        <f t="shared" si="184"/>
        <v>-1686105.52</v>
      </c>
      <c r="AA46" s="413">
        <f t="shared" si="185"/>
        <v>6.3274711111111104E-2</v>
      </c>
      <c r="AB46" s="125">
        <f t="shared" si="186"/>
        <v>0</v>
      </c>
      <c r="AC46" s="237">
        <v>1800000</v>
      </c>
      <c r="AD46" s="113">
        <f t="shared" si="26"/>
        <v>78907.5</v>
      </c>
      <c r="AE46" s="116">
        <f t="shared" si="209"/>
        <v>105405.59</v>
      </c>
      <c r="AF46" s="117">
        <f t="shared" si="210"/>
        <v>184313.09</v>
      </c>
      <c r="AG46" s="114">
        <f t="shared" si="187"/>
        <v>-1615686.91</v>
      </c>
      <c r="AH46" s="413">
        <f t="shared" si="188"/>
        <v>0.10239616111111111</v>
      </c>
      <c r="AI46" s="846">
        <f t="shared" si="189"/>
        <v>5400000</v>
      </c>
      <c r="AJ46" s="840">
        <f t="shared" si="211"/>
        <v>236611.48</v>
      </c>
      <c r="AK46" s="116">
        <f t="shared" si="190"/>
        <v>213615.86</v>
      </c>
      <c r="AL46" s="116">
        <f t="shared" si="191"/>
        <v>199014.28999999998</v>
      </c>
      <c r="AM46" s="116">
        <f t="shared" si="192"/>
        <v>380816.84</v>
      </c>
      <c r="AN46" s="116">
        <f t="shared" si="36"/>
        <v>144205.36000000002</v>
      </c>
      <c r="AO46" s="413">
        <f t="shared" si="212"/>
        <v>1.6094605384320322</v>
      </c>
      <c r="AP46" s="434">
        <f t="shared" si="213"/>
        <v>0</v>
      </c>
      <c r="AQ46" s="140">
        <f t="shared" si="39"/>
        <v>26362.98000000001</v>
      </c>
      <c r="AR46" s="123">
        <f t="shared" si="214"/>
        <v>68080.479999999996</v>
      </c>
      <c r="AS46" s="148">
        <f t="shared" si="215"/>
        <v>94443.46</v>
      </c>
      <c r="AT46" s="123">
        <f t="shared" si="216"/>
        <v>0</v>
      </c>
      <c r="AU46" s="326">
        <f t="shared" si="42"/>
        <v>26362.98</v>
      </c>
      <c r="AV46" s="326">
        <f t="shared" si="217"/>
        <v>0</v>
      </c>
      <c r="AW46" s="326">
        <f t="shared" si="218"/>
        <v>26362.98</v>
      </c>
      <c r="AX46" s="332">
        <f t="shared" si="219"/>
        <v>0</v>
      </c>
      <c r="AY46" s="140">
        <f t="shared" si="45"/>
        <v>0</v>
      </c>
      <c r="AZ46" s="326">
        <f t="shared" si="220"/>
        <v>0</v>
      </c>
      <c r="BA46" s="332">
        <f t="shared" si="221"/>
        <v>0</v>
      </c>
      <c r="BB46" s="844">
        <f t="shared" ref="BB46:BD46" si="272">SUM(AY46,AU46,AQ46)</f>
        <v>52725.960000000006</v>
      </c>
      <c r="BC46" s="326">
        <f t="shared" si="272"/>
        <v>68080.479999999996</v>
      </c>
      <c r="BD46" s="332">
        <f t="shared" si="272"/>
        <v>120806.44</v>
      </c>
      <c r="BE46" s="140">
        <f t="shared" ref="BE46:BF46" si="273">SUM(BB46,AK46)</f>
        <v>266341.82</v>
      </c>
      <c r="BF46" s="326">
        <f t="shared" si="273"/>
        <v>267094.76999999996</v>
      </c>
      <c r="BG46" s="435">
        <f t="shared" si="50"/>
        <v>501623.28</v>
      </c>
      <c r="BH46" s="423">
        <f t="shared" si="224"/>
        <v>0</v>
      </c>
      <c r="BI46" s="123">
        <f t="shared" si="51"/>
        <v>58908.3</v>
      </c>
      <c r="BJ46" s="123">
        <f t="shared" si="225"/>
        <v>0</v>
      </c>
      <c r="BK46" s="148">
        <f t="shared" si="226"/>
        <v>58908.3</v>
      </c>
      <c r="BL46" s="423">
        <f t="shared" si="227"/>
        <v>0</v>
      </c>
      <c r="BM46" s="123">
        <f t="shared" si="54"/>
        <v>0</v>
      </c>
      <c r="BN46" s="123">
        <f t="shared" si="228"/>
        <v>0</v>
      </c>
      <c r="BO46" s="123">
        <f t="shared" si="229"/>
        <v>0</v>
      </c>
      <c r="BP46" s="436">
        <f t="shared" si="230"/>
        <v>0</v>
      </c>
      <c r="BQ46" s="140">
        <f t="shared" si="57"/>
        <v>0</v>
      </c>
      <c r="BR46" s="325">
        <f t="shared" si="231"/>
        <v>0</v>
      </c>
      <c r="BS46" s="333">
        <f t="shared" si="232"/>
        <v>0</v>
      </c>
      <c r="BT46" s="140">
        <f t="shared" ref="BT46:BV46" si="274">SUM(BQ46,BM46,BI46)</f>
        <v>58908.3</v>
      </c>
      <c r="BU46" s="326">
        <f t="shared" si="274"/>
        <v>0</v>
      </c>
      <c r="BV46" s="333">
        <f t="shared" si="274"/>
        <v>58908.3</v>
      </c>
      <c r="BW46" s="125">
        <f t="shared" si="234"/>
        <v>0</v>
      </c>
      <c r="BX46" s="140">
        <f t="shared" si="61"/>
        <v>0</v>
      </c>
      <c r="BY46" s="123">
        <f t="shared" si="235"/>
        <v>0</v>
      </c>
      <c r="BZ46" s="148">
        <f t="shared" si="236"/>
        <v>0</v>
      </c>
      <c r="CA46" s="123">
        <f t="shared" si="237"/>
        <v>124736.67</v>
      </c>
      <c r="CB46" s="326">
        <f t="shared" si="238"/>
        <v>111874.81</v>
      </c>
      <c r="CI46" s="294"/>
      <c r="CJ46" s="294"/>
    </row>
    <row r="47" spans="1:115" ht="13">
      <c r="A47" s="436">
        <f t="shared" si="196"/>
        <v>112014495</v>
      </c>
      <c r="B47" s="172">
        <f t="shared" si="176"/>
        <v>7</v>
      </c>
      <c r="C47" s="558">
        <f t="shared" si="177"/>
        <v>0.1</v>
      </c>
      <c r="D47" s="558">
        <f t="shared" si="178"/>
        <v>0.2</v>
      </c>
      <c r="E47" s="559">
        <f t="shared" si="179"/>
        <v>0</v>
      </c>
      <c r="F47" s="836">
        <f t="shared" si="197"/>
        <v>4</v>
      </c>
      <c r="G47" s="558" t="str">
        <f t="shared" si="198"/>
        <v>Lista</v>
      </c>
      <c r="H47" s="558">
        <f t="shared" si="199"/>
        <v>0.2</v>
      </c>
      <c r="I47" s="559">
        <f t="shared" si="200"/>
        <v>0</v>
      </c>
      <c r="J47" s="837">
        <f t="shared" si="201"/>
        <v>70</v>
      </c>
      <c r="K47" s="699" t="str">
        <f t="shared" si="202"/>
        <v>Lista</v>
      </c>
      <c r="L47" s="700">
        <f t="shared" si="203"/>
        <v>0.11</v>
      </c>
      <c r="M47" s="498" t="s">
        <v>729</v>
      </c>
      <c r="N47" s="845">
        <f t="shared" si="204"/>
        <v>0</v>
      </c>
      <c r="O47" s="237">
        <v>1800000</v>
      </c>
      <c r="P47" s="113">
        <f t="shared" si="180"/>
        <v>140039.06</v>
      </c>
      <c r="Q47" s="116">
        <f t="shared" si="205"/>
        <v>348324.94</v>
      </c>
      <c r="R47" s="117">
        <f t="shared" si="206"/>
        <v>488364</v>
      </c>
      <c r="S47" s="114">
        <f t="shared" si="181"/>
        <v>-1311636</v>
      </c>
      <c r="T47" s="413">
        <f t="shared" si="182"/>
        <v>0.27131333333333335</v>
      </c>
      <c r="U47" s="123">
        <f t="shared" si="183"/>
        <v>0</v>
      </c>
      <c r="V47" s="237">
        <v>1800000</v>
      </c>
      <c r="W47" s="113">
        <f t="shared" si="19"/>
        <v>242603.64</v>
      </c>
      <c r="X47" s="116">
        <f t="shared" si="207"/>
        <v>217266.86</v>
      </c>
      <c r="Y47" s="117">
        <f t="shared" si="208"/>
        <v>459870.5</v>
      </c>
      <c r="Z47" s="114">
        <f t="shared" si="184"/>
        <v>-1340129.5</v>
      </c>
      <c r="AA47" s="413">
        <f t="shared" si="185"/>
        <v>0.25548361111111112</v>
      </c>
      <c r="AB47" s="125">
        <f t="shared" si="186"/>
        <v>0</v>
      </c>
      <c r="AC47" s="237">
        <v>1800000</v>
      </c>
      <c r="AD47" s="113">
        <f t="shared" si="26"/>
        <v>106444.78999999998</v>
      </c>
      <c r="AE47" s="116">
        <f t="shared" si="209"/>
        <v>319279.89</v>
      </c>
      <c r="AF47" s="117">
        <f t="shared" si="210"/>
        <v>425724.68</v>
      </c>
      <c r="AG47" s="114">
        <f t="shared" si="187"/>
        <v>-1374275.32</v>
      </c>
      <c r="AH47" s="413">
        <f t="shared" si="188"/>
        <v>0.23651371111111111</v>
      </c>
      <c r="AI47" s="846">
        <f t="shared" si="189"/>
        <v>5400000</v>
      </c>
      <c r="AJ47" s="840">
        <f t="shared" si="211"/>
        <v>1209879.48</v>
      </c>
      <c r="AK47" s="116">
        <f t="shared" si="190"/>
        <v>489087.49</v>
      </c>
      <c r="AL47" s="116">
        <f t="shared" si="191"/>
        <v>1102138.55</v>
      </c>
      <c r="AM47" s="116">
        <f t="shared" si="192"/>
        <v>1373959.18</v>
      </c>
      <c r="AN47" s="116">
        <f t="shared" si="36"/>
        <v>164079.69999999995</v>
      </c>
      <c r="AO47" s="413">
        <f t="shared" si="212"/>
        <v>1.1356165657095034</v>
      </c>
      <c r="AP47" s="434">
        <f t="shared" si="213"/>
        <v>0</v>
      </c>
      <c r="AQ47" s="140">
        <f t="shared" si="39"/>
        <v>124989.12</v>
      </c>
      <c r="AR47" s="123">
        <f t="shared" si="214"/>
        <v>342697.63</v>
      </c>
      <c r="AS47" s="148">
        <f t="shared" si="215"/>
        <v>467686.75</v>
      </c>
      <c r="AT47" s="123">
        <f t="shared" si="216"/>
        <v>0</v>
      </c>
      <c r="AU47" s="326">
        <f t="shared" si="42"/>
        <v>122686.98999999993</v>
      </c>
      <c r="AV47" s="326">
        <f t="shared" si="217"/>
        <v>491871.7</v>
      </c>
      <c r="AW47" s="326">
        <f t="shared" si="218"/>
        <v>614558.68999999994</v>
      </c>
      <c r="AX47" s="332">
        <f t="shared" si="219"/>
        <v>0</v>
      </c>
      <c r="AY47" s="140">
        <f t="shared" si="45"/>
        <v>22841.459999999963</v>
      </c>
      <c r="AZ47" s="326">
        <f t="shared" si="220"/>
        <v>564223.06000000006</v>
      </c>
      <c r="BA47" s="332">
        <f t="shared" si="221"/>
        <v>587064.52</v>
      </c>
      <c r="BB47" s="844">
        <f t="shared" ref="BB47:BD47" si="275">SUM(AY47,AU47,AQ47)</f>
        <v>270517.56999999989</v>
      </c>
      <c r="BC47" s="326">
        <f t="shared" si="275"/>
        <v>1398792.3900000001</v>
      </c>
      <c r="BD47" s="332">
        <f t="shared" si="275"/>
        <v>1669309.96</v>
      </c>
      <c r="BE47" s="140">
        <f t="shared" ref="BE47:BF47" si="276">SUM(BB47,AK47)</f>
        <v>759605.05999999982</v>
      </c>
      <c r="BF47" s="326">
        <f t="shared" si="276"/>
        <v>2500930.9400000004</v>
      </c>
      <c r="BG47" s="435">
        <f t="shared" si="50"/>
        <v>3043269.1399999997</v>
      </c>
      <c r="BH47" s="423">
        <f t="shared" si="224"/>
        <v>405724</v>
      </c>
      <c r="BI47" s="123">
        <f t="shared" si="51"/>
        <v>143511.20000000007</v>
      </c>
      <c r="BJ47" s="123">
        <f t="shared" si="225"/>
        <v>636969.11</v>
      </c>
      <c r="BK47" s="148">
        <f t="shared" si="226"/>
        <v>780480.31</v>
      </c>
      <c r="BL47" s="423">
        <f t="shared" si="227"/>
        <v>137617.23000000001</v>
      </c>
      <c r="BM47" s="123">
        <f t="shared" si="54"/>
        <v>183901.13</v>
      </c>
      <c r="BN47" s="123">
        <f t="shared" si="228"/>
        <v>321465.01</v>
      </c>
      <c r="BO47" s="123">
        <f t="shared" si="229"/>
        <v>505366.14</v>
      </c>
      <c r="BP47" s="436">
        <f t="shared" si="230"/>
        <v>143254.42000000001</v>
      </c>
      <c r="BQ47" s="140">
        <f t="shared" si="57"/>
        <v>114878.01000000001</v>
      </c>
      <c r="BR47" s="325">
        <f t="shared" si="231"/>
        <v>405818.12</v>
      </c>
      <c r="BS47" s="333">
        <f t="shared" si="232"/>
        <v>520696.13</v>
      </c>
      <c r="BT47" s="140">
        <f t="shared" ref="BT47:BV47" si="277">SUM(BQ47,BM47,BI47)</f>
        <v>442290.34000000008</v>
      </c>
      <c r="BU47" s="326">
        <f t="shared" si="277"/>
        <v>1364252.24</v>
      </c>
      <c r="BV47" s="333">
        <f t="shared" si="277"/>
        <v>1806542.58</v>
      </c>
      <c r="BW47" s="125">
        <f t="shared" si="234"/>
        <v>321130.18</v>
      </c>
      <c r="BX47" s="140">
        <f t="shared" si="61"/>
        <v>123789.57000000004</v>
      </c>
      <c r="BY47" s="123">
        <f t="shared" si="235"/>
        <v>173949.08</v>
      </c>
      <c r="BZ47" s="148">
        <f t="shared" si="236"/>
        <v>297738.65000000002</v>
      </c>
      <c r="CA47" s="123">
        <f t="shared" si="237"/>
        <v>412279.89</v>
      </c>
      <c r="CB47" s="326">
        <f t="shared" si="238"/>
        <v>476469.4</v>
      </c>
      <c r="CI47" s="294"/>
      <c r="CJ47" s="294"/>
    </row>
    <row r="48" spans="1:115" ht="13">
      <c r="A48" s="436">
        <f t="shared" si="196"/>
        <v>112013896</v>
      </c>
      <c r="B48" s="172">
        <f t="shared" si="176"/>
        <v>7</v>
      </c>
      <c r="C48" s="558">
        <f t="shared" si="177"/>
        <v>0.1</v>
      </c>
      <c r="D48" s="558">
        <f t="shared" si="178"/>
        <v>0.2</v>
      </c>
      <c r="E48" s="559">
        <f t="shared" si="179"/>
        <v>0</v>
      </c>
      <c r="F48" s="836">
        <f t="shared" si="197"/>
        <v>4</v>
      </c>
      <c r="G48" s="558" t="str">
        <f t="shared" si="198"/>
        <v>Lista</v>
      </c>
      <c r="H48" s="558">
        <f t="shared" si="199"/>
        <v>0.2</v>
      </c>
      <c r="I48" s="559">
        <f t="shared" si="200"/>
        <v>0</v>
      </c>
      <c r="J48" s="837">
        <f t="shared" si="201"/>
        <v>70</v>
      </c>
      <c r="K48" s="699" t="str">
        <f t="shared" si="202"/>
        <v>Lista</v>
      </c>
      <c r="L48" s="700">
        <f t="shared" si="203"/>
        <v>0.11</v>
      </c>
      <c r="M48" s="498" t="s">
        <v>730</v>
      </c>
      <c r="N48" s="845">
        <f t="shared" si="204"/>
        <v>886450.98</v>
      </c>
      <c r="O48" s="237">
        <v>1800000</v>
      </c>
      <c r="P48" s="140">
        <f t="shared" si="180"/>
        <v>237106.03</v>
      </c>
      <c r="Q48" s="116">
        <f t="shared" si="205"/>
        <v>0</v>
      </c>
      <c r="R48" s="117">
        <f t="shared" si="206"/>
        <v>237106.03</v>
      </c>
      <c r="S48" s="123">
        <f t="shared" si="181"/>
        <v>-1562893.97</v>
      </c>
      <c r="T48" s="98">
        <f t="shared" si="182"/>
        <v>0.13172557222222223</v>
      </c>
      <c r="U48" s="123">
        <f t="shared" si="183"/>
        <v>593341.65</v>
      </c>
      <c r="V48" s="456">
        <v>1800000</v>
      </c>
      <c r="W48" s="113">
        <f t="shared" si="19"/>
        <v>374625.29000000004</v>
      </c>
      <c r="X48" s="116">
        <f t="shared" si="207"/>
        <v>442856.13</v>
      </c>
      <c r="Y48" s="117">
        <f t="shared" si="208"/>
        <v>817481.42</v>
      </c>
      <c r="Z48" s="123">
        <f t="shared" si="184"/>
        <v>-982518.58</v>
      </c>
      <c r="AA48" s="98">
        <f t="shared" si="185"/>
        <v>0.45415634444444447</v>
      </c>
      <c r="AB48" s="123">
        <f t="shared" si="186"/>
        <v>324427.15000000002</v>
      </c>
      <c r="AC48" s="456">
        <v>1800000</v>
      </c>
      <c r="AD48" s="113">
        <f t="shared" si="26"/>
        <v>319371.12</v>
      </c>
      <c r="AE48" s="116">
        <f t="shared" si="209"/>
        <v>97343.039999999994</v>
      </c>
      <c r="AF48" s="117">
        <f t="shared" si="210"/>
        <v>416714.16</v>
      </c>
      <c r="AG48" s="123">
        <f t="shared" si="187"/>
        <v>-1383285.84</v>
      </c>
      <c r="AH48" s="494">
        <f t="shared" si="188"/>
        <v>0.23150786666666665</v>
      </c>
      <c r="AI48" s="846">
        <f t="shared" si="189"/>
        <v>5400000</v>
      </c>
      <c r="AJ48" s="840">
        <f t="shared" si="211"/>
        <v>1807203.75</v>
      </c>
      <c r="AK48" s="326">
        <f t="shared" si="190"/>
        <v>931102.44000000006</v>
      </c>
      <c r="AL48" s="326">
        <f t="shared" si="191"/>
        <v>983055.3</v>
      </c>
      <c r="AM48" s="326">
        <f t="shared" si="192"/>
        <v>1471301.61</v>
      </c>
      <c r="AN48" s="116">
        <f t="shared" si="36"/>
        <v>-335902.1399999999</v>
      </c>
      <c r="AO48" s="413">
        <f t="shared" si="212"/>
        <v>0.81413156098198669</v>
      </c>
      <c r="AP48" s="434">
        <f t="shared" si="213"/>
        <v>1228849.49</v>
      </c>
      <c r="AQ48" s="140">
        <f t="shared" si="39"/>
        <v>0</v>
      </c>
      <c r="AR48" s="123">
        <f t="shared" si="214"/>
        <v>0</v>
      </c>
      <c r="AS48" s="148">
        <f t="shared" si="215"/>
        <v>0</v>
      </c>
      <c r="AT48" s="123">
        <f t="shared" si="216"/>
        <v>154922.72</v>
      </c>
      <c r="AU48" s="326">
        <f t="shared" si="42"/>
        <v>237228.55</v>
      </c>
      <c r="AV48" s="326">
        <f t="shared" si="217"/>
        <v>197143.36</v>
      </c>
      <c r="AW48" s="326">
        <f t="shared" si="218"/>
        <v>434371.91</v>
      </c>
      <c r="AX48" s="332">
        <f t="shared" si="219"/>
        <v>123024.54</v>
      </c>
      <c r="AY48" s="140">
        <f t="shared" si="45"/>
        <v>385135.60000000003</v>
      </c>
      <c r="AZ48" s="326">
        <f t="shared" si="220"/>
        <v>125784.55</v>
      </c>
      <c r="BA48" s="332">
        <f t="shared" si="221"/>
        <v>510920.15</v>
      </c>
      <c r="BB48" s="844">
        <f t="shared" ref="BB48:BD48" si="278">SUM(AY48,AU48,AQ48)</f>
        <v>622364.15</v>
      </c>
      <c r="BC48" s="326">
        <f t="shared" si="278"/>
        <v>322927.90999999997</v>
      </c>
      <c r="BD48" s="332">
        <f t="shared" si="278"/>
        <v>945292.06</v>
      </c>
      <c r="BE48" s="140">
        <f t="shared" ref="BE48:BF48" si="279">SUM(BB48,AK48)</f>
        <v>1553466.59</v>
      </c>
      <c r="BF48" s="326">
        <f t="shared" si="279"/>
        <v>1305983.21</v>
      </c>
      <c r="BG48" s="435">
        <f t="shared" si="50"/>
        <v>2416593.67</v>
      </c>
      <c r="BH48" s="423">
        <f t="shared" si="224"/>
        <v>842257.62</v>
      </c>
      <c r="BI48" s="123">
        <f t="shared" si="51"/>
        <v>0</v>
      </c>
      <c r="BJ48" s="123">
        <f t="shared" si="225"/>
        <v>208933.02</v>
      </c>
      <c r="BK48" s="148">
        <f t="shared" si="226"/>
        <v>208933.02</v>
      </c>
      <c r="BL48" s="423">
        <f t="shared" si="227"/>
        <v>500608.22</v>
      </c>
      <c r="BM48" s="123">
        <f t="shared" si="54"/>
        <v>0</v>
      </c>
      <c r="BN48" s="123">
        <f t="shared" si="228"/>
        <v>0</v>
      </c>
      <c r="BO48" s="123">
        <f t="shared" si="229"/>
        <v>0</v>
      </c>
      <c r="BP48" s="436">
        <f t="shared" si="230"/>
        <v>339836.4</v>
      </c>
      <c r="BQ48" s="140">
        <f t="shared" si="57"/>
        <v>323726.5</v>
      </c>
      <c r="BR48" s="325">
        <f t="shared" si="231"/>
        <v>447743.98</v>
      </c>
      <c r="BS48" s="333">
        <f t="shared" si="232"/>
        <v>771470.48</v>
      </c>
      <c r="BT48" s="140">
        <f t="shared" ref="BT48:BV48" si="280">SUM(BQ48,BM48,BI48)</f>
        <v>323726.5</v>
      </c>
      <c r="BU48" s="326">
        <f t="shared" si="280"/>
        <v>656677</v>
      </c>
      <c r="BV48" s="333">
        <f t="shared" si="280"/>
        <v>980403.5</v>
      </c>
      <c r="BW48" s="125">
        <f t="shared" si="234"/>
        <v>787220.87</v>
      </c>
      <c r="BX48" s="140">
        <f t="shared" si="61"/>
        <v>372575.34</v>
      </c>
      <c r="BY48" s="123">
        <f t="shared" si="235"/>
        <v>267409.06</v>
      </c>
      <c r="BZ48" s="148">
        <f t="shared" si="236"/>
        <v>639984.4</v>
      </c>
      <c r="CA48" s="123">
        <f t="shared" si="237"/>
        <v>176852.18</v>
      </c>
      <c r="CB48" s="326">
        <f t="shared" si="238"/>
        <v>843130.7</v>
      </c>
      <c r="CI48" s="294"/>
      <c r="CJ48" s="294"/>
    </row>
    <row r="49" spans="1:88" ht="13">
      <c r="A49" s="436">
        <f t="shared" si="196"/>
        <v>112013859</v>
      </c>
      <c r="B49" s="172">
        <f t="shared" si="176"/>
        <v>7</v>
      </c>
      <c r="C49" s="558">
        <f t="shared" si="177"/>
        <v>0.1</v>
      </c>
      <c r="D49" s="558">
        <f t="shared" si="178"/>
        <v>0.2</v>
      </c>
      <c r="E49" s="559">
        <f t="shared" si="179"/>
        <v>0</v>
      </c>
      <c r="F49" s="836">
        <f t="shared" si="197"/>
        <v>4</v>
      </c>
      <c r="G49" s="558" t="str">
        <f t="shared" si="198"/>
        <v>Lista</v>
      </c>
      <c r="H49" s="558">
        <f t="shared" si="199"/>
        <v>0.2</v>
      </c>
      <c r="I49" s="559">
        <f t="shared" si="200"/>
        <v>0</v>
      </c>
      <c r="J49" s="837">
        <f t="shared" si="201"/>
        <v>70</v>
      </c>
      <c r="K49" s="699" t="str">
        <f t="shared" si="202"/>
        <v>Lista</v>
      </c>
      <c r="L49" s="700">
        <f t="shared" si="203"/>
        <v>0.11</v>
      </c>
      <c r="M49" s="498" t="s">
        <v>731</v>
      </c>
      <c r="N49" s="434">
        <f t="shared" si="204"/>
        <v>2656336.2400000002</v>
      </c>
      <c r="O49" s="141">
        <f t="shared" ref="O49:O50" si="281">(N49*1.601)*1.05</f>
        <v>4465434.0362520004</v>
      </c>
      <c r="P49" s="140">
        <f t="shared" si="180"/>
        <v>0</v>
      </c>
      <c r="Q49" s="116">
        <f t="shared" si="205"/>
        <v>2607707.54</v>
      </c>
      <c r="R49" s="117">
        <f t="shared" si="206"/>
        <v>2607707.54</v>
      </c>
      <c r="S49" s="123">
        <f t="shared" si="181"/>
        <v>-1857726.4962520003</v>
      </c>
      <c r="T49" s="98">
        <f t="shared" si="182"/>
        <v>0.58397627617599812</v>
      </c>
      <c r="U49" s="123">
        <f t="shared" si="183"/>
        <v>1974514</v>
      </c>
      <c r="V49" s="332">
        <f t="shared" ref="V49:V50" si="282">(U49*1.7245)*1.05</f>
        <v>3575301.86265</v>
      </c>
      <c r="W49" s="113">
        <f t="shared" si="19"/>
        <v>0</v>
      </c>
      <c r="X49" s="116">
        <f t="shared" si="207"/>
        <v>2949446.8</v>
      </c>
      <c r="Y49" s="117">
        <f t="shared" si="208"/>
        <v>2949446.8</v>
      </c>
      <c r="Z49" s="123">
        <f t="shared" si="184"/>
        <v>-625855.06265000021</v>
      </c>
      <c r="AA49" s="98">
        <f t="shared" si="185"/>
        <v>0.82495042749030456</v>
      </c>
      <c r="AB49" s="123">
        <f t="shared" si="186"/>
        <v>2840151.36</v>
      </c>
      <c r="AC49" s="332">
        <f t="shared" ref="AC49:AC51" si="283">(AB49*1.5955)*1.03</f>
        <v>4667405.3397263996</v>
      </c>
      <c r="AD49" s="113">
        <f t="shared" si="26"/>
        <v>0</v>
      </c>
      <c r="AE49" s="116">
        <f t="shared" si="209"/>
        <v>2653425.2400000002</v>
      </c>
      <c r="AF49" s="117">
        <f t="shared" si="210"/>
        <v>2653425.2400000002</v>
      </c>
      <c r="AG49" s="123">
        <f t="shared" si="187"/>
        <v>-2013980.0997263994</v>
      </c>
      <c r="AH49" s="494">
        <f t="shared" si="188"/>
        <v>0.56850113646987055</v>
      </c>
      <c r="AI49" s="846">
        <f t="shared" si="189"/>
        <v>12708141.2386284</v>
      </c>
      <c r="AJ49" s="840">
        <f t="shared" si="211"/>
        <v>10098152.26</v>
      </c>
      <c r="AK49" s="326">
        <f t="shared" si="190"/>
        <v>0</v>
      </c>
      <c r="AL49" s="326">
        <f t="shared" si="191"/>
        <v>11160026.379999999</v>
      </c>
      <c r="AM49" s="326">
        <f t="shared" si="192"/>
        <v>8210579.5800000001</v>
      </c>
      <c r="AN49" s="116">
        <f t="shared" si="36"/>
        <v>-1887572.6799999997</v>
      </c>
      <c r="AO49" s="413">
        <f t="shared" si="212"/>
        <v>0.81307741937335376</v>
      </c>
      <c r="AP49" s="434">
        <f t="shared" si="213"/>
        <v>3192410.56</v>
      </c>
      <c r="AQ49" s="140">
        <f t="shared" si="39"/>
        <v>0</v>
      </c>
      <c r="AR49" s="123">
        <f t="shared" si="214"/>
        <v>5661783.4400000004</v>
      </c>
      <c r="AS49" s="148">
        <f t="shared" si="215"/>
        <v>5661783.4400000004</v>
      </c>
      <c r="AT49" s="123">
        <f t="shared" si="216"/>
        <v>3232944.86</v>
      </c>
      <c r="AU49" s="326">
        <f t="shared" si="42"/>
        <v>0</v>
      </c>
      <c r="AV49" s="326">
        <f t="shared" si="217"/>
        <v>3496489.36</v>
      </c>
      <c r="AW49" s="326">
        <f t="shared" si="218"/>
        <v>3496489.36</v>
      </c>
      <c r="AX49" s="332">
        <f t="shared" si="219"/>
        <v>1845254.82</v>
      </c>
      <c r="AY49" s="140">
        <f t="shared" si="45"/>
        <v>0</v>
      </c>
      <c r="AZ49" s="326">
        <f t="shared" si="220"/>
        <v>3403558.2</v>
      </c>
      <c r="BA49" s="332">
        <f t="shared" si="221"/>
        <v>3403558.2</v>
      </c>
      <c r="BB49" s="844">
        <f t="shared" ref="BB49:BD49" si="284">SUM(AY49,AU49,AQ49)</f>
        <v>0</v>
      </c>
      <c r="BC49" s="326">
        <f t="shared" si="284"/>
        <v>12561831</v>
      </c>
      <c r="BD49" s="332">
        <f t="shared" si="284"/>
        <v>12561831</v>
      </c>
      <c r="BE49" s="140">
        <f t="shared" ref="BE49:BF49" si="285">SUM(BB49,AK49)</f>
        <v>0</v>
      </c>
      <c r="BF49" s="326">
        <f t="shared" si="285"/>
        <v>23721857.379999999</v>
      </c>
      <c r="BG49" s="435">
        <f t="shared" si="50"/>
        <v>20772410.579999998</v>
      </c>
      <c r="BH49" s="423">
        <f t="shared" si="224"/>
        <v>3494586.16</v>
      </c>
      <c r="BI49" s="123">
        <f t="shared" si="51"/>
        <v>0</v>
      </c>
      <c r="BJ49" s="123">
        <f t="shared" si="225"/>
        <v>4744920.34</v>
      </c>
      <c r="BK49" s="148">
        <f t="shared" si="226"/>
        <v>4744920.34</v>
      </c>
      <c r="BL49" s="423">
        <f t="shared" si="227"/>
        <v>3195061.92</v>
      </c>
      <c r="BM49" s="123">
        <f t="shared" si="54"/>
        <v>0</v>
      </c>
      <c r="BN49" s="123">
        <f t="shared" si="228"/>
        <v>3062280.64</v>
      </c>
      <c r="BO49" s="123">
        <f t="shared" si="229"/>
        <v>3062280.64</v>
      </c>
      <c r="BP49" s="436">
        <f t="shared" si="230"/>
        <v>2183393.04</v>
      </c>
      <c r="BQ49" s="140">
        <f t="shared" si="57"/>
        <v>0</v>
      </c>
      <c r="BR49" s="325">
        <f t="shared" si="231"/>
        <v>4519895</v>
      </c>
      <c r="BS49" s="333">
        <f t="shared" si="232"/>
        <v>4519895</v>
      </c>
      <c r="BT49" s="140">
        <f t="shared" ref="BT49:BV49" si="286">SUM(BQ49,BM49,BI49)</f>
        <v>0</v>
      </c>
      <c r="BU49" s="326">
        <f t="shared" si="286"/>
        <v>12327095.98</v>
      </c>
      <c r="BV49" s="333">
        <f t="shared" si="286"/>
        <v>12327095.98</v>
      </c>
      <c r="BW49" s="125">
        <f t="shared" si="234"/>
        <v>3193146.08</v>
      </c>
      <c r="BX49" s="140">
        <f t="shared" si="61"/>
        <v>0</v>
      </c>
      <c r="BY49" s="123">
        <f t="shared" si="235"/>
        <v>2286390.14</v>
      </c>
      <c r="BZ49" s="148">
        <f t="shared" si="236"/>
        <v>2286390.14</v>
      </c>
      <c r="CA49" s="123">
        <f t="shared" si="237"/>
        <v>3332379.6</v>
      </c>
      <c r="CB49" s="326">
        <f t="shared" si="238"/>
        <v>3572626.58</v>
      </c>
      <c r="CI49" s="294"/>
      <c r="CJ49" s="294"/>
    </row>
    <row r="50" spans="1:88" ht="13">
      <c r="A50" s="436">
        <f t="shared" si="196"/>
        <v>112013242</v>
      </c>
      <c r="B50" s="172">
        <f t="shared" si="176"/>
        <v>7</v>
      </c>
      <c r="C50" s="558">
        <f t="shared" si="177"/>
        <v>0.1</v>
      </c>
      <c r="D50" s="558">
        <f t="shared" si="178"/>
        <v>0.2</v>
      </c>
      <c r="E50" s="559">
        <f t="shared" si="179"/>
        <v>0</v>
      </c>
      <c r="F50" s="836">
        <f t="shared" si="197"/>
        <v>4</v>
      </c>
      <c r="G50" s="558" t="str">
        <f t="shared" si="198"/>
        <v>Lista</v>
      </c>
      <c r="H50" s="558">
        <f t="shared" si="199"/>
        <v>0.2</v>
      </c>
      <c r="I50" s="559">
        <f t="shared" si="200"/>
        <v>0</v>
      </c>
      <c r="J50" s="837">
        <f t="shared" si="201"/>
        <v>70</v>
      </c>
      <c r="K50" s="699" t="str">
        <f t="shared" si="202"/>
        <v>Lista</v>
      </c>
      <c r="L50" s="700">
        <f t="shared" si="203"/>
        <v>0.11</v>
      </c>
      <c r="M50" s="498" t="s">
        <v>732</v>
      </c>
      <c r="N50" s="434">
        <f t="shared" si="204"/>
        <v>1129090.18</v>
      </c>
      <c r="O50" s="141">
        <f t="shared" si="281"/>
        <v>1898057.0470889998</v>
      </c>
      <c r="P50" s="140">
        <f t="shared" si="180"/>
        <v>49990.75</v>
      </c>
      <c r="Q50" s="116">
        <f t="shared" si="205"/>
        <v>123127.44</v>
      </c>
      <c r="R50" s="117">
        <f t="shared" si="206"/>
        <v>173118.19</v>
      </c>
      <c r="S50" s="123">
        <f t="shared" si="181"/>
        <v>-1724938.8570889998</v>
      </c>
      <c r="T50" s="98">
        <f t="shared" si="182"/>
        <v>9.1208106871975642E-2</v>
      </c>
      <c r="U50" s="123">
        <f t="shared" si="183"/>
        <v>2085788.6</v>
      </c>
      <c r="V50" s="332">
        <f t="shared" si="282"/>
        <v>3776789.5627350002</v>
      </c>
      <c r="W50" s="113">
        <f t="shared" si="19"/>
        <v>0</v>
      </c>
      <c r="X50" s="116">
        <f t="shared" si="207"/>
        <v>608821.84</v>
      </c>
      <c r="Y50" s="117">
        <f t="shared" si="208"/>
        <v>608821.84</v>
      </c>
      <c r="Z50" s="123">
        <f t="shared" si="184"/>
        <v>-3167967.7227350003</v>
      </c>
      <c r="AA50" s="98">
        <f t="shared" si="185"/>
        <v>0.16120089030301055</v>
      </c>
      <c r="AB50" s="123">
        <f t="shared" si="186"/>
        <v>2038961.69</v>
      </c>
      <c r="AC50" s="332">
        <f t="shared" si="283"/>
        <v>3350758.2776868497</v>
      </c>
      <c r="AD50" s="113">
        <f t="shared" si="26"/>
        <v>0</v>
      </c>
      <c r="AE50" s="116">
        <f t="shared" si="209"/>
        <v>510872</v>
      </c>
      <c r="AF50" s="117">
        <f t="shared" si="210"/>
        <v>510872</v>
      </c>
      <c r="AG50" s="123">
        <f t="shared" si="187"/>
        <v>-2839886.2776868497</v>
      </c>
      <c r="AH50" s="494">
        <f t="shared" si="188"/>
        <v>0.15246459388072409</v>
      </c>
      <c r="AI50" s="846">
        <f t="shared" si="189"/>
        <v>9025604.8875108492</v>
      </c>
      <c r="AJ50" s="840">
        <f t="shared" si="211"/>
        <v>4448301.25</v>
      </c>
      <c r="AK50" s="326">
        <f t="shared" si="190"/>
        <v>49990.75</v>
      </c>
      <c r="AL50" s="326">
        <f t="shared" si="191"/>
        <v>1851643.1199999996</v>
      </c>
      <c r="AM50" s="326">
        <f t="shared" si="192"/>
        <v>1292812.0299999998</v>
      </c>
      <c r="AN50" s="116">
        <f t="shared" si="36"/>
        <v>-3155489.22</v>
      </c>
      <c r="AO50" s="413">
        <f t="shared" si="212"/>
        <v>0.29063050304877613</v>
      </c>
      <c r="AP50" s="434">
        <f t="shared" si="213"/>
        <v>1396375.27</v>
      </c>
      <c r="AQ50" s="140">
        <f t="shared" si="39"/>
        <v>325399.30000000005</v>
      </c>
      <c r="AR50" s="123">
        <f t="shared" si="214"/>
        <v>1026706.8</v>
      </c>
      <c r="AS50" s="148">
        <f t="shared" si="215"/>
        <v>1352106.1</v>
      </c>
      <c r="AT50" s="123">
        <f t="shared" si="216"/>
        <v>2961620.03</v>
      </c>
      <c r="AU50" s="326">
        <f t="shared" si="42"/>
        <v>220604.23</v>
      </c>
      <c r="AV50" s="326">
        <f t="shared" si="217"/>
        <v>66200.399999999994</v>
      </c>
      <c r="AW50" s="326">
        <f t="shared" si="218"/>
        <v>286804.63</v>
      </c>
      <c r="AX50" s="332">
        <f t="shared" si="219"/>
        <v>1940897.31</v>
      </c>
      <c r="AY50" s="140">
        <f t="shared" si="45"/>
        <v>0</v>
      </c>
      <c r="AZ50" s="326">
        <f t="shared" si="220"/>
        <v>856231.58</v>
      </c>
      <c r="BA50" s="332">
        <f t="shared" si="221"/>
        <v>856231.58</v>
      </c>
      <c r="BB50" s="844">
        <f t="shared" ref="BB50:BD50" si="287">SUM(AY50,AU50,AQ50)</f>
        <v>546003.53</v>
      </c>
      <c r="BC50" s="326">
        <f t="shared" si="287"/>
        <v>1949138.78</v>
      </c>
      <c r="BD50" s="332">
        <f t="shared" si="287"/>
        <v>2495142.31</v>
      </c>
      <c r="BE50" s="140">
        <f t="shared" ref="BE50:BF50" si="288">SUM(BB50,AK50)</f>
        <v>595994.28</v>
      </c>
      <c r="BF50" s="326">
        <f t="shared" si="288"/>
        <v>3800781.8999999994</v>
      </c>
      <c r="BG50" s="435">
        <f t="shared" si="50"/>
        <v>3787954.34</v>
      </c>
      <c r="BH50" s="423">
        <f t="shared" si="224"/>
        <v>1222845.68</v>
      </c>
      <c r="BI50" s="123">
        <f t="shared" si="51"/>
        <v>752363.62</v>
      </c>
      <c r="BJ50" s="123">
        <f t="shared" si="225"/>
        <v>794922.4</v>
      </c>
      <c r="BK50" s="148">
        <f t="shared" si="226"/>
        <v>1547286.02</v>
      </c>
      <c r="BL50" s="423">
        <f t="shared" si="227"/>
        <v>1291791.03</v>
      </c>
      <c r="BM50" s="123">
        <f t="shared" si="54"/>
        <v>0</v>
      </c>
      <c r="BN50" s="123">
        <f t="shared" si="228"/>
        <v>758392</v>
      </c>
      <c r="BO50" s="123">
        <f t="shared" si="229"/>
        <v>758392</v>
      </c>
      <c r="BP50" s="436">
        <f t="shared" si="230"/>
        <v>1583847.61</v>
      </c>
      <c r="BQ50" s="140">
        <f t="shared" si="57"/>
        <v>0</v>
      </c>
      <c r="BR50" s="325">
        <f t="shared" si="231"/>
        <v>106667.52</v>
      </c>
      <c r="BS50" s="333">
        <f t="shared" si="232"/>
        <v>106667.52</v>
      </c>
      <c r="BT50" s="140">
        <f t="shared" ref="BT50:BV50" si="289">SUM(BQ50,BM50,BI50)</f>
        <v>752363.62</v>
      </c>
      <c r="BU50" s="326">
        <f t="shared" si="289"/>
        <v>1659981.92</v>
      </c>
      <c r="BV50" s="333">
        <f t="shared" si="289"/>
        <v>2412345.54</v>
      </c>
      <c r="BW50" s="125">
        <f t="shared" si="234"/>
        <v>1302136.22</v>
      </c>
      <c r="BX50" s="140">
        <f t="shared" si="61"/>
        <v>806230.25999999989</v>
      </c>
      <c r="BY50" s="123">
        <f t="shared" si="235"/>
        <v>806588.39</v>
      </c>
      <c r="BZ50" s="148">
        <f t="shared" si="236"/>
        <v>1612818.65</v>
      </c>
      <c r="CA50" s="123">
        <f t="shared" si="237"/>
        <v>1426229.05</v>
      </c>
      <c r="CB50" s="326">
        <f t="shared" si="238"/>
        <v>1719935.98</v>
      </c>
      <c r="CI50" s="294"/>
      <c r="CJ50" s="294"/>
    </row>
    <row r="51" spans="1:88" ht="13">
      <c r="A51" s="436">
        <f t="shared" si="196"/>
        <v>112010639</v>
      </c>
      <c r="B51" s="172">
        <f t="shared" si="176"/>
        <v>7</v>
      </c>
      <c r="C51" s="558">
        <f t="shared" si="177"/>
        <v>0.1</v>
      </c>
      <c r="D51" s="558">
        <f t="shared" si="178"/>
        <v>0.2</v>
      </c>
      <c r="E51" s="559">
        <f t="shared" si="179"/>
        <v>0</v>
      </c>
      <c r="F51" s="836">
        <f t="shared" si="197"/>
        <v>4</v>
      </c>
      <c r="G51" s="558" t="str">
        <f t="shared" si="198"/>
        <v>Lista</v>
      </c>
      <c r="H51" s="558">
        <f t="shared" si="199"/>
        <v>0.2</v>
      </c>
      <c r="I51" s="559">
        <f t="shared" si="200"/>
        <v>0</v>
      </c>
      <c r="J51" s="837">
        <f t="shared" si="201"/>
        <v>70</v>
      </c>
      <c r="K51" s="699" t="str">
        <f t="shared" si="202"/>
        <v>Lista</v>
      </c>
      <c r="L51" s="700">
        <f t="shared" si="203"/>
        <v>0.11</v>
      </c>
      <c r="M51" s="859" t="s">
        <v>733</v>
      </c>
      <c r="N51" s="434"/>
      <c r="O51" s="141"/>
      <c r="P51" s="140" t="e">
        <f t="shared" si="180"/>
        <v>#VALUE!</v>
      </c>
      <c r="Q51" s="116" t="str">
        <f t="shared" si="205"/>
        <v/>
      </c>
      <c r="R51" s="117" t="str">
        <f t="shared" si="206"/>
        <v/>
      </c>
      <c r="S51" s="123" t="e">
        <f t="shared" si="181"/>
        <v>#VALUE!</v>
      </c>
      <c r="T51" s="98" t="str">
        <f t="shared" si="182"/>
        <v/>
      </c>
      <c r="U51" s="123">
        <f t="shared" si="183"/>
        <v>0</v>
      </c>
      <c r="V51" s="332"/>
      <c r="W51" s="113" t="e">
        <f t="shared" si="19"/>
        <v>#VALUE!</v>
      </c>
      <c r="X51" s="116" t="str">
        <f t="shared" si="207"/>
        <v/>
      </c>
      <c r="Y51" s="117" t="str">
        <f t="shared" si="208"/>
        <v/>
      </c>
      <c r="Z51" s="123" t="e">
        <f t="shared" si="184"/>
        <v>#VALUE!</v>
      </c>
      <c r="AA51" s="98" t="str">
        <f t="shared" si="185"/>
        <v/>
      </c>
      <c r="AB51" s="123">
        <f t="shared" si="186"/>
        <v>0</v>
      </c>
      <c r="AC51" s="332">
        <f t="shared" si="283"/>
        <v>0</v>
      </c>
      <c r="AD51" s="113" t="e">
        <f t="shared" si="26"/>
        <v>#VALUE!</v>
      </c>
      <c r="AE51" s="116" t="str">
        <f t="shared" si="209"/>
        <v/>
      </c>
      <c r="AF51" s="117" t="str">
        <f t="shared" si="210"/>
        <v/>
      </c>
      <c r="AG51" s="123" t="e">
        <f t="shared" si="187"/>
        <v>#VALUE!</v>
      </c>
      <c r="AH51" s="494" t="str">
        <f t="shared" si="188"/>
        <v/>
      </c>
      <c r="AI51" s="846">
        <f t="shared" si="189"/>
        <v>0</v>
      </c>
      <c r="AJ51" s="840">
        <f t="shared" si="211"/>
        <v>230267.81</v>
      </c>
      <c r="AK51" s="326" t="e">
        <f t="shared" si="190"/>
        <v>#VALUE!</v>
      </c>
      <c r="AL51" s="326">
        <f t="shared" si="191"/>
        <v>0</v>
      </c>
      <c r="AM51" s="326">
        <f t="shared" si="192"/>
        <v>0</v>
      </c>
      <c r="AN51" s="116">
        <f t="shared" si="36"/>
        <v>-230267.81</v>
      </c>
      <c r="AO51" s="413">
        <f t="shared" si="212"/>
        <v>0</v>
      </c>
      <c r="AP51" s="434"/>
      <c r="AQ51" s="140" t="e">
        <f t="shared" si="39"/>
        <v>#VALUE!</v>
      </c>
      <c r="AR51" s="123" t="str">
        <f t="shared" si="214"/>
        <v/>
      </c>
      <c r="AS51" s="148" t="str">
        <f t="shared" si="215"/>
        <v/>
      </c>
      <c r="AT51" s="123"/>
      <c r="AU51" s="326" t="e">
        <f t="shared" si="42"/>
        <v>#VALUE!</v>
      </c>
      <c r="AV51" s="326" t="str">
        <f t="shared" si="217"/>
        <v/>
      </c>
      <c r="AW51" s="326" t="str">
        <f t="shared" si="218"/>
        <v/>
      </c>
      <c r="AX51" s="332"/>
      <c r="AY51" s="140" t="e">
        <f t="shared" si="45"/>
        <v>#VALUE!</v>
      </c>
      <c r="AZ51" s="326" t="str">
        <f t="shared" si="220"/>
        <v/>
      </c>
      <c r="BA51" s="332" t="str">
        <f t="shared" si="221"/>
        <v/>
      </c>
      <c r="BB51" s="844" t="e">
        <f t="shared" ref="BB51:BD51" si="290">SUM(AY51,AU51,AQ51)</f>
        <v>#VALUE!</v>
      </c>
      <c r="BC51" s="326">
        <f t="shared" si="290"/>
        <v>0</v>
      </c>
      <c r="BD51" s="332">
        <f t="shared" si="290"/>
        <v>0</v>
      </c>
      <c r="BE51" s="140" t="e">
        <f t="shared" ref="BE51:BF51" si="291">SUM(BB51,AK51)</f>
        <v>#VALUE!</v>
      </c>
      <c r="BF51" s="326">
        <f t="shared" si="291"/>
        <v>0</v>
      </c>
      <c r="BG51" s="435">
        <f t="shared" si="50"/>
        <v>0</v>
      </c>
      <c r="BH51" s="423"/>
      <c r="BI51" s="123" t="e">
        <f t="shared" si="51"/>
        <v>#VALUE!</v>
      </c>
      <c r="BJ51" s="123" t="str">
        <f t="shared" si="225"/>
        <v/>
      </c>
      <c r="BK51" s="148" t="str">
        <f t="shared" si="226"/>
        <v/>
      </c>
      <c r="BL51" s="423"/>
      <c r="BM51" s="123" t="e">
        <f t="shared" si="54"/>
        <v>#VALUE!</v>
      </c>
      <c r="BN51" s="123" t="str">
        <f t="shared" si="228"/>
        <v/>
      </c>
      <c r="BO51" s="123" t="str">
        <f t="shared" si="229"/>
        <v/>
      </c>
      <c r="BP51" s="436"/>
      <c r="BQ51" s="140" t="e">
        <f t="shared" si="57"/>
        <v>#VALUE!</v>
      </c>
      <c r="BR51" s="325" t="str">
        <f t="shared" si="231"/>
        <v/>
      </c>
      <c r="BS51" s="333" t="str">
        <f t="shared" si="232"/>
        <v/>
      </c>
      <c r="BT51" s="140" t="e">
        <f t="shared" ref="BT51:BV51" si="292">SUM(BQ51,BM51,BI51)</f>
        <v>#VALUE!</v>
      </c>
      <c r="BU51" s="326">
        <f t="shared" si="292"/>
        <v>0</v>
      </c>
      <c r="BV51" s="333">
        <f t="shared" si="292"/>
        <v>0</v>
      </c>
      <c r="BW51" s="125"/>
      <c r="BX51" s="140" t="e">
        <f t="shared" si="61"/>
        <v>#VALUE!</v>
      </c>
      <c r="BY51" s="123" t="str">
        <f t="shared" si="235"/>
        <v/>
      </c>
      <c r="BZ51" s="148" t="str">
        <f t="shared" si="236"/>
        <v/>
      </c>
      <c r="CA51" s="123"/>
      <c r="CB51" s="326"/>
      <c r="CI51" s="294"/>
      <c r="CJ51" s="294"/>
    </row>
    <row r="52" spans="1:88" ht="13">
      <c r="A52" s="436">
        <f t="shared" si="196"/>
        <v>112012929</v>
      </c>
      <c r="B52" s="172">
        <f t="shared" si="176"/>
        <v>7</v>
      </c>
      <c r="C52" s="558">
        <f t="shared" si="177"/>
        <v>0.1</v>
      </c>
      <c r="D52" s="558">
        <f t="shared" si="178"/>
        <v>0.2</v>
      </c>
      <c r="E52" s="559">
        <f t="shared" si="179"/>
        <v>0</v>
      </c>
      <c r="F52" s="836">
        <f t="shared" si="197"/>
        <v>4</v>
      </c>
      <c r="G52" s="558" t="str">
        <f t="shared" si="198"/>
        <v>Lista</v>
      </c>
      <c r="H52" s="558">
        <f t="shared" si="199"/>
        <v>0.2</v>
      </c>
      <c r="I52" s="559">
        <f t="shared" si="200"/>
        <v>0</v>
      </c>
      <c r="J52" s="837">
        <f t="shared" si="201"/>
        <v>70</v>
      </c>
      <c r="K52" s="699" t="str">
        <f t="shared" si="202"/>
        <v>Lista</v>
      </c>
      <c r="L52" s="700">
        <f t="shared" si="203"/>
        <v>0.11</v>
      </c>
      <c r="M52" s="498" t="s">
        <v>734</v>
      </c>
      <c r="N52" s="434">
        <f>IFERROR(VLOOKUP(M52,BUELA,3,FALSE),"")</f>
        <v>1129015.6599999999</v>
      </c>
      <c r="O52" s="141">
        <f>(N52*1.601)*1.05</f>
        <v>1897931.7752429999</v>
      </c>
      <c r="P52" s="140">
        <f t="shared" si="180"/>
        <v>223605.03000000003</v>
      </c>
      <c r="Q52" s="116">
        <f t="shared" si="205"/>
        <v>176062</v>
      </c>
      <c r="R52" s="117">
        <f t="shared" si="206"/>
        <v>399667.03</v>
      </c>
      <c r="S52" s="123">
        <f t="shared" si="181"/>
        <v>-1498264.7452429999</v>
      </c>
      <c r="T52" s="98">
        <f t="shared" si="182"/>
        <v>0.21058029335581835</v>
      </c>
      <c r="U52" s="123">
        <f t="shared" si="183"/>
        <v>596585.62</v>
      </c>
      <c r="V52" s="456">
        <v>1800000</v>
      </c>
      <c r="W52" s="113">
        <f t="shared" si="19"/>
        <v>0</v>
      </c>
      <c r="X52" s="116">
        <f t="shared" si="207"/>
        <v>0</v>
      </c>
      <c r="Y52" s="117">
        <f t="shared" si="208"/>
        <v>0</v>
      </c>
      <c r="Z52" s="123">
        <f t="shared" si="184"/>
        <v>-1800000</v>
      </c>
      <c r="AA52" s="98">
        <f t="shared" si="185"/>
        <v>0</v>
      </c>
      <c r="AB52" s="123">
        <f t="shared" si="186"/>
        <v>0</v>
      </c>
      <c r="AC52" s="456">
        <v>1800000</v>
      </c>
      <c r="AD52" s="113">
        <f t="shared" si="26"/>
        <v>0</v>
      </c>
      <c r="AE52" s="116">
        <f t="shared" si="209"/>
        <v>0</v>
      </c>
      <c r="AF52" s="117">
        <f t="shared" si="210"/>
        <v>0</v>
      </c>
      <c r="AG52" s="123">
        <f t="shared" si="187"/>
        <v>-1800000</v>
      </c>
      <c r="AH52" s="494">
        <f t="shared" si="188"/>
        <v>0</v>
      </c>
      <c r="AI52" s="846">
        <f t="shared" si="189"/>
        <v>5497931.7752430001</v>
      </c>
      <c r="AJ52" s="840">
        <f t="shared" si="211"/>
        <v>1734085.31</v>
      </c>
      <c r="AK52" s="326">
        <f t="shared" si="190"/>
        <v>223605.03000000003</v>
      </c>
      <c r="AL52" s="326">
        <f t="shared" si="191"/>
        <v>176062</v>
      </c>
      <c r="AM52" s="326">
        <f t="shared" si="192"/>
        <v>399667.03</v>
      </c>
      <c r="AN52" s="116">
        <f t="shared" si="36"/>
        <v>-1334418.28</v>
      </c>
      <c r="AO52" s="413">
        <f t="shared" si="212"/>
        <v>0.23047714417233603</v>
      </c>
      <c r="AP52" s="434">
        <f>IFERROR(VLOOKUP(M52,BUELA,6,FALSE),"")</f>
        <v>405694.43</v>
      </c>
      <c r="AQ52" s="140">
        <f t="shared" si="39"/>
        <v>0</v>
      </c>
      <c r="AR52" s="123">
        <f t="shared" si="214"/>
        <v>0</v>
      </c>
      <c r="AS52" s="148">
        <f t="shared" si="215"/>
        <v>0</v>
      </c>
      <c r="AT52" s="123">
        <f>IFERROR(VLOOKUP(M52,BUELA,7,FALSE),"")</f>
        <v>1097873.81</v>
      </c>
      <c r="AU52" s="326">
        <f t="shared" si="42"/>
        <v>0</v>
      </c>
      <c r="AV52" s="326">
        <f t="shared" si="217"/>
        <v>0</v>
      </c>
      <c r="AW52" s="326">
        <f t="shared" si="218"/>
        <v>0</v>
      </c>
      <c r="AX52" s="332">
        <f>IFERROR(VLOOKUP(M52,BUELA,8,FALSE),"")</f>
        <v>0</v>
      </c>
      <c r="AY52" s="140">
        <f t="shared" si="45"/>
        <v>0</v>
      </c>
      <c r="AZ52" s="326">
        <f t="shared" si="220"/>
        <v>0</v>
      </c>
      <c r="BA52" s="332">
        <f t="shared" si="221"/>
        <v>0</v>
      </c>
      <c r="BB52" s="844">
        <f t="shared" ref="BB52:BD52" si="293">SUM(AY52,AU52,AQ52)</f>
        <v>0</v>
      </c>
      <c r="BC52" s="326">
        <f t="shared" si="293"/>
        <v>0</v>
      </c>
      <c r="BD52" s="332">
        <f t="shared" si="293"/>
        <v>0</v>
      </c>
      <c r="BE52" s="140">
        <f t="shared" ref="BE52:BF52" si="294">SUM(BB52,AK52)</f>
        <v>223605.03000000003</v>
      </c>
      <c r="BF52" s="326">
        <f t="shared" si="294"/>
        <v>176062</v>
      </c>
      <c r="BG52" s="435">
        <f t="shared" si="50"/>
        <v>399667.03</v>
      </c>
      <c r="BH52" s="423">
        <f>IFERROR(VLOOKUP(M52,BUELA,9,FALSE),"")</f>
        <v>448205.24</v>
      </c>
      <c r="BI52" s="123">
        <f t="shared" si="51"/>
        <v>0</v>
      </c>
      <c r="BJ52" s="123">
        <f t="shared" si="225"/>
        <v>0</v>
      </c>
      <c r="BK52" s="148">
        <f t="shared" si="226"/>
        <v>0</v>
      </c>
      <c r="BL52" s="423">
        <f>IFERROR(VLOOKUP(M52,BUELA,10,FALSE),"")</f>
        <v>769836.53</v>
      </c>
      <c r="BM52" s="123">
        <f t="shared" si="54"/>
        <v>0</v>
      </c>
      <c r="BN52" s="123">
        <f t="shared" si="228"/>
        <v>0</v>
      </c>
      <c r="BO52" s="123">
        <f t="shared" si="229"/>
        <v>0</v>
      </c>
      <c r="BP52" s="436">
        <f>IFERROR(VLOOKUP(M52,BUELA,11,FALSE),"")</f>
        <v>0</v>
      </c>
      <c r="BQ52" s="140">
        <f t="shared" si="57"/>
        <v>211252.85</v>
      </c>
      <c r="BR52" s="325">
        <f t="shared" si="231"/>
        <v>0</v>
      </c>
      <c r="BS52" s="333">
        <f t="shared" si="232"/>
        <v>211252.85</v>
      </c>
      <c r="BT52" s="140">
        <f t="shared" ref="BT52:BV52" si="295">SUM(BQ52,BM52,BI52)</f>
        <v>211252.85</v>
      </c>
      <c r="BU52" s="326">
        <f t="shared" si="295"/>
        <v>0</v>
      </c>
      <c r="BV52" s="333">
        <f t="shared" si="295"/>
        <v>211252.85</v>
      </c>
      <c r="BW52" s="125">
        <f>IFERROR(VLOOKUP(M52,BUELA,12,FALSE),"")</f>
        <v>549415.98</v>
      </c>
      <c r="BX52" s="140">
        <f t="shared" si="61"/>
        <v>192260</v>
      </c>
      <c r="BY52" s="123">
        <f t="shared" si="235"/>
        <v>0</v>
      </c>
      <c r="BZ52" s="148">
        <f t="shared" si="236"/>
        <v>192260</v>
      </c>
      <c r="CA52" s="123">
        <f>IFERROR(VLOOKUP(M52,BUELA,13,FALSE),"")</f>
        <v>538014.63</v>
      </c>
      <c r="CB52" s="326">
        <f>IFERROR(VLOOKUP(M52,BUELA,14,FALSE),"")</f>
        <v>646654.69999999995</v>
      </c>
      <c r="CI52" s="294"/>
      <c r="CJ52" s="294"/>
    </row>
    <row r="53" spans="1:88" ht="13">
      <c r="A53" s="436">
        <f t="shared" si="196"/>
        <v>112011891</v>
      </c>
      <c r="B53" s="172">
        <f t="shared" si="176"/>
        <v>22</v>
      </c>
      <c r="C53" s="558">
        <f t="shared" si="177"/>
        <v>0.1</v>
      </c>
      <c r="D53" s="558">
        <f t="shared" si="178"/>
        <v>0.09</v>
      </c>
      <c r="E53" s="559">
        <f t="shared" si="179"/>
        <v>0</v>
      </c>
      <c r="F53" s="836">
        <f t="shared" si="197"/>
        <v>1</v>
      </c>
      <c r="G53" s="558" t="str">
        <f t="shared" si="198"/>
        <v>Lista</v>
      </c>
      <c r="H53" s="558">
        <f t="shared" si="199"/>
        <v>0.09</v>
      </c>
      <c r="I53" s="559">
        <f t="shared" si="200"/>
        <v>0</v>
      </c>
      <c r="J53" s="837">
        <f t="shared" si="201"/>
        <v>71</v>
      </c>
      <c r="K53" s="699" t="str">
        <f t="shared" si="202"/>
        <v>Lista</v>
      </c>
      <c r="L53" s="700">
        <f t="shared" si="203"/>
        <v>0.05</v>
      </c>
      <c r="M53" s="894" t="s">
        <v>735</v>
      </c>
      <c r="N53" s="302"/>
      <c r="O53" s="296"/>
      <c r="P53" s="140">
        <f t="shared" si="180"/>
        <v>0</v>
      </c>
      <c r="Q53" s="116">
        <f t="shared" si="205"/>
        <v>0</v>
      </c>
      <c r="R53" s="117">
        <f t="shared" si="206"/>
        <v>0</v>
      </c>
      <c r="S53" s="123">
        <f t="shared" si="181"/>
        <v>0</v>
      </c>
      <c r="T53" s="98" t="str">
        <f t="shared" si="182"/>
        <v/>
      </c>
      <c r="U53" s="123">
        <f t="shared" si="183"/>
        <v>39595.589999999997</v>
      </c>
      <c r="V53" s="332"/>
      <c r="W53" s="113">
        <f t="shared" si="19"/>
        <v>0</v>
      </c>
      <c r="X53" s="116">
        <f t="shared" si="207"/>
        <v>0</v>
      </c>
      <c r="Y53" s="117">
        <f t="shared" si="208"/>
        <v>0</v>
      </c>
      <c r="Z53" s="123">
        <f t="shared" si="184"/>
        <v>0</v>
      </c>
      <c r="AA53" s="98" t="str">
        <f t="shared" si="185"/>
        <v/>
      </c>
      <c r="AB53" s="123">
        <f t="shared" si="186"/>
        <v>370762.55</v>
      </c>
      <c r="AC53" s="332">
        <f t="shared" ref="AC53:AC54" si="296">(AB53*1.5955)*1.03</f>
        <v>609298.19798075</v>
      </c>
      <c r="AD53" s="113">
        <f t="shared" si="26"/>
        <v>86753.39</v>
      </c>
      <c r="AE53" s="116">
        <f t="shared" si="209"/>
        <v>0</v>
      </c>
      <c r="AF53" s="117">
        <f t="shared" si="210"/>
        <v>86753.39</v>
      </c>
      <c r="AG53" s="123">
        <f t="shared" si="187"/>
        <v>-522544.80798074999</v>
      </c>
      <c r="AH53" s="494">
        <f t="shared" si="188"/>
        <v>0.14238248248149399</v>
      </c>
      <c r="AI53" s="846">
        <f t="shared" si="189"/>
        <v>609298.19798075</v>
      </c>
      <c r="AJ53" s="840">
        <f t="shared" si="211"/>
        <v>1341510.29</v>
      </c>
      <c r="AK53" s="326">
        <f t="shared" si="190"/>
        <v>86753.39</v>
      </c>
      <c r="AL53" s="326">
        <f t="shared" si="191"/>
        <v>0</v>
      </c>
      <c r="AM53" s="326">
        <f t="shared" si="192"/>
        <v>86753.39</v>
      </c>
      <c r="AN53" s="116">
        <f t="shared" si="36"/>
        <v>-1254756.9000000001</v>
      </c>
      <c r="AO53" s="413">
        <f t="shared" si="212"/>
        <v>6.4668449170076803E-2</v>
      </c>
      <c r="AP53" s="434"/>
      <c r="AQ53" s="140">
        <f t="shared" si="39"/>
        <v>447732.32</v>
      </c>
      <c r="AR53" s="123">
        <f t="shared" si="214"/>
        <v>31716.32</v>
      </c>
      <c r="AS53" s="148">
        <f t="shared" si="215"/>
        <v>479448.64</v>
      </c>
      <c r="AT53" s="123"/>
      <c r="AU53" s="326">
        <f t="shared" si="42"/>
        <v>456615.16</v>
      </c>
      <c r="AV53" s="326">
        <f t="shared" si="217"/>
        <v>31716.32</v>
      </c>
      <c r="AW53" s="326">
        <f t="shared" si="218"/>
        <v>488331.48</v>
      </c>
      <c r="AX53" s="332"/>
      <c r="AY53" s="140">
        <f t="shared" si="45"/>
        <v>192848.76</v>
      </c>
      <c r="AZ53" s="326">
        <f t="shared" si="220"/>
        <v>0</v>
      </c>
      <c r="BA53" s="332">
        <f t="shared" si="221"/>
        <v>192848.76</v>
      </c>
      <c r="BB53" s="844">
        <f t="shared" ref="BB53:BD53" si="297">SUM(AY53,AU53,AQ53)</f>
        <v>1097196.24</v>
      </c>
      <c r="BC53" s="326">
        <f t="shared" si="297"/>
        <v>63432.639999999999</v>
      </c>
      <c r="BD53" s="332">
        <f t="shared" si="297"/>
        <v>1160628.8799999999</v>
      </c>
      <c r="BE53" s="140">
        <f t="shared" ref="BE53:BF53" si="298">SUM(BB53,AK53)</f>
        <v>1183949.6299999999</v>
      </c>
      <c r="BF53" s="326">
        <f t="shared" si="298"/>
        <v>63432.639999999999</v>
      </c>
      <c r="BG53" s="435">
        <f t="shared" si="50"/>
        <v>1247382.2699999998</v>
      </c>
      <c r="BH53" s="302"/>
      <c r="BI53" s="123">
        <f t="shared" si="51"/>
        <v>613013.86</v>
      </c>
      <c r="BJ53" s="123">
        <f t="shared" si="225"/>
        <v>0</v>
      </c>
      <c r="BK53" s="148">
        <f t="shared" si="226"/>
        <v>613013.86</v>
      </c>
      <c r="BM53" s="123">
        <f t="shared" si="54"/>
        <v>459341.49000000005</v>
      </c>
      <c r="BN53" s="123">
        <f t="shared" si="228"/>
        <v>51974.1</v>
      </c>
      <c r="BO53" s="123">
        <f t="shared" si="229"/>
        <v>511315.59</v>
      </c>
      <c r="BQ53" s="140">
        <f t="shared" si="57"/>
        <v>310491.56</v>
      </c>
      <c r="BR53" s="325">
        <f t="shared" si="231"/>
        <v>0</v>
      </c>
      <c r="BS53" s="333">
        <f t="shared" si="232"/>
        <v>310491.56</v>
      </c>
      <c r="BT53" s="140">
        <f t="shared" ref="BT53:BV53" si="299">SUM(BQ53,BM53,BI53)</f>
        <v>1382846.9100000001</v>
      </c>
      <c r="BU53" s="326">
        <f t="shared" si="299"/>
        <v>51974.1</v>
      </c>
      <c r="BV53" s="333">
        <f t="shared" si="299"/>
        <v>1434821.01</v>
      </c>
      <c r="BW53" s="296"/>
      <c r="BX53" s="140">
        <f t="shared" si="61"/>
        <v>1629134.27</v>
      </c>
      <c r="BY53" s="123">
        <f t="shared" si="235"/>
        <v>0</v>
      </c>
      <c r="BZ53" s="148">
        <f t="shared" si="236"/>
        <v>1629134.27</v>
      </c>
      <c r="CA53" s="296"/>
      <c r="CB53" s="296"/>
    </row>
    <row r="54" spans="1:88" ht="13">
      <c r="A54" s="436">
        <f t="shared" si="196"/>
        <v>112011754</v>
      </c>
      <c r="B54" s="172">
        <f t="shared" si="176"/>
        <v>22</v>
      </c>
      <c r="C54" s="558">
        <f t="shared" si="177"/>
        <v>0.1</v>
      </c>
      <c r="D54" s="558">
        <f t="shared" si="178"/>
        <v>0.09</v>
      </c>
      <c r="E54" s="559">
        <f t="shared" si="179"/>
        <v>0</v>
      </c>
      <c r="F54" s="836">
        <f t="shared" si="197"/>
        <v>1</v>
      </c>
      <c r="G54" s="558" t="str">
        <f t="shared" si="198"/>
        <v>Lista</v>
      </c>
      <c r="H54" s="558">
        <f t="shared" si="199"/>
        <v>0.09</v>
      </c>
      <c r="I54" s="559">
        <f t="shared" si="200"/>
        <v>0</v>
      </c>
      <c r="J54" s="837">
        <f t="shared" si="201"/>
        <v>71</v>
      </c>
      <c r="K54" s="699" t="str">
        <f t="shared" si="202"/>
        <v>Lista</v>
      </c>
      <c r="L54" s="700">
        <f t="shared" si="203"/>
        <v>0.05</v>
      </c>
      <c r="M54" s="859" t="s">
        <v>736</v>
      </c>
      <c r="N54" s="434"/>
      <c r="O54" s="141"/>
      <c r="P54" s="140" t="e">
        <f t="shared" si="180"/>
        <v>#VALUE!</v>
      </c>
      <c r="Q54" s="116" t="str">
        <f t="shared" si="205"/>
        <v/>
      </c>
      <c r="R54" s="117">
        <f t="shared" si="206"/>
        <v>0</v>
      </c>
      <c r="S54" s="123">
        <f t="shared" si="181"/>
        <v>0</v>
      </c>
      <c r="T54" s="98" t="str">
        <f t="shared" si="182"/>
        <v/>
      </c>
      <c r="U54" s="123">
        <f t="shared" si="183"/>
        <v>898345.92</v>
      </c>
      <c r="V54" s="332"/>
      <c r="W54" s="113" t="e">
        <f t="shared" si="19"/>
        <v>#VALUE!</v>
      </c>
      <c r="X54" s="116" t="str">
        <f t="shared" si="207"/>
        <v/>
      </c>
      <c r="Y54" s="117">
        <f t="shared" si="208"/>
        <v>147525.84</v>
      </c>
      <c r="Z54" s="123">
        <f t="shared" si="184"/>
        <v>147525.84</v>
      </c>
      <c r="AA54" s="98" t="str">
        <f t="shared" si="185"/>
        <v/>
      </c>
      <c r="AB54" s="123">
        <f t="shared" si="186"/>
        <v>383752.02</v>
      </c>
      <c r="AC54" s="332">
        <f t="shared" si="296"/>
        <v>630644.6383473</v>
      </c>
      <c r="AD54" s="113" t="e">
        <f t="shared" si="26"/>
        <v>#VALUE!</v>
      </c>
      <c r="AE54" s="116" t="str">
        <f t="shared" si="209"/>
        <v/>
      </c>
      <c r="AF54" s="117">
        <f t="shared" si="210"/>
        <v>0</v>
      </c>
      <c r="AG54" s="123">
        <f t="shared" si="187"/>
        <v>-630644.6383473</v>
      </c>
      <c r="AH54" s="494">
        <f t="shared" si="188"/>
        <v>0</v>
      </c>
      <c r="AI54" s="846">
        <f t="shared" si="189"/>
        <v>630644.6383473</v>
      </c>
      <c r="AJ54" s="840">
        <f t="shared" si="211"/>
        <v>2741374.05</v>
      </c>
      <c r="AK54" s="326" t="e">
        <f t="shared" si="190"/>
        <v>#VALUE!</v>
      </c>
      <c r="AL54" s="326">
        <f t="shared" si="191"/>
        <v>0</v>
      </c>
      <c r="AM54" s="326">
        <f t="shared" si="192"/>
        <v>147525.84</v>
      </c>
      <c r="AN54" s="116">
        <f t="shared" si="36"/>
        <v>-2593848.21</v>
      </c>
      <c r="AO54" s="413">
        <f t="shared" ref="AO54:AO129" si="300">IFERROR(AM54/AJ54,"")</f>
        <v>5.3814560621524815E-2</v>
      </c>
      <c r="AP54" s="434"/>
      <c r="AQ54" s="140" t="e">
        <f t="shared" si="39"/>
        <v>#VALUE!</v>
      </c>
      <c r="AR54" s="123" t="str">
        <f t="shared" si="214"/>
        <v/>
      </c>
      <c r="AS54" s="148">
        <f t="shared" si="215"/>
        <v>0</v>
      </c>
      <c r="AT54" s="123"/>
      <c r="AU54" s="326" t="e">
        <f t="shared" si="42"/>
        <v>#VALUE!</v>
      </c>
      <c r="AV54" s="326" t="str">
        <f t="shared" si="217"/>
        <v/>
      </c>
      <c r="AW54" s="326">
        <f t="shared" si="218"/>
        <v>0</v>
      </c>
      <c r="AX54" s="332"/>
      <c r="AY54" s="140" t="e">
        <f t="shared" si="45"/>
        <v>#VALUE!</v>
      </c>
      <c r="AZ54" s="326" t="str">
        <f t="shared" si="220"/>
        <v/>
      </c>
      <c r="BA54" s="332">
        <f t="shared" si="221"/>
        <v>0</v>
      </c>
      <c r="BB54" s="844" t="e">
        <f t="shared" ref="BB54:BD54" si="301">SUM(AY54,AU54,AQ54)</f>
        <v>#VALUE!</v>
      </c>
      <c r="BC54" s="326">
        <f t="shared" si="301"/>
        <v>0</v>
      </c>
      <c r="BD54" s="332">
        <f t="shared" si="301"/>
        <v>0</v>
      </c>
      <c r="BE54" s="140" t="e">
        <f t="shared" ref="BE54:BF54" si="302">SUM(BB54,AK54)</f>
        <v>#VALUE!</v>
      </c>
      <c r="BF54" s="326">
        <f t="shared" si="302"/>
        <v>0</v>
      </c>
      <c r="BG54" s="435">
        <f t="shared" si="50"/>
        <v>147525.84</v>
      </c>
      <c r="BH54" s="423"/>
      <c r="BI54" s="123" t="e">
        <f t="shared" si="51"/>
        <v>#VALUE!</v>
      </c>
      <c r="BJ54" s="123" t="str">
        <f t="shared" si="225"/>
        <v/>
      </c>
      <c r="BK54" s="148">
        <f t="shared" si="226"/>
        <v>0</v>
      </c>
      <c r="BL54" s="423"/>
      <c r="BM54" s="123" t="e">
        <f t="shared" si="54"/>
        <v>#VALUE!</v>
      </c>
      <c r="BN54" s="123" t="str">
        <f t="shared" si="228"/>
        <v/>
      </c>
      <c r="BO54" s="123">
        <f t="shared" si="229"/>
        <v>0</v>
      </c>
      <c r="BP54" s="436"/>
      <c r="BQ54" s="140" t="e">
        <f t="shared" si="57"/>
        <v>#VALUE!</v>
      </c>
      <c r="BR54" s="325" t="str">
        <f t="shared" si="231"/>
        <v/>
      </c>
      <c r="BS54" s="333">
        <f t="shared" si="232"/>
        <v>0</v>
      </c>
      <c r="BT54" s="140" t="e">
        <f t="shared" ref="BT54:BV54" si="303">SUM(BQ54,BM54,BI54)</f>
        <v>#VALUE!</v>
      </c>
      <c r="BU54" s="326">
        <f t="shared" si="303"/>
        <v>0</v>
      </c>
      <c r="BV54" s="333">
        <f t="shared" si="303"/>
        <v>0</v>
      </c>
      <c r="BW54" s="125"/>
      <c r="BX54" s="140" t="e">
        <f t="shared" si="61"/>
        <v>#VALUE!</v>
      </c>
      <c r="BY54" s="123" t="str">
        <f t="shared" si="235"/>
        <v/>
      </c>
      <c r="BZ54" s="148">
        <f t="shared" si="236"/>
        <v>0</v>
      </c>
      <c r="CA54" s="123"/>
      <c r="CB54" s="326"/>
      <c r="CI54" s="294"/>
      <c r="CJ54" s="294"/>
    </row>
    <row r="55" spans="1:88" ht="13">
      <c r="A55" s="436">
        <f t="shared" si="196"/>
        <v>112013922</v>
      </c>
      <c r="B55" s="172">
        <f t="shared" si="176"/>
        <v>22</v>
      </c>
      <c r="C55" s="558">
        <f t="shared" si="177"/>
        <v>0.1</v>
      </c>
      <c r="D55" s="558">
        <f t="shared" si="178"/>
        <v>0.09</v>
      </c>
      <c r="E55" s="559">
        <f t="shared" si="179"/>
        <v>0</v>
      </c>
      <c r="F55" s="836">
        <f t="shared" si="197"/>
        <v>1</v>
      </c>
      <c r="G55" s="558" t="str">
        <f t="shared" si="198"/>
        <v>Lista</v>
      </c>
      <c r="H55" s="558">
        <f t="shared" si="199"/>
        <v>0.09</v>
      </c>
      <c r="I55" s="559">
        <f t="shared" si="200"/>
        <v>0</v>
      </c>
      <c r="J55" s="837">
        <f t="shared" si="201"/>
        <v>71</v>
      </c>
      <c r="K55" s="699" t="str">
        <f t="shared" si="202"/>
        <v>Lista</v>
      </c>
      <c r="L55" s="700">
        <f t="shared" si="203"/>
        <v>0.05</v>
      </c>
      <c r="M55" s="498" t="s">
        <v>737</v>
      </c>
      <c r="N55" s="845">
        <f>IFERROR(VLOOKUP(M55,BUELA,3,FALSE),"")</f>
        <v>117181.77</v>
      </c>
      <c r="O55" s="237">
        <v>1800000</v>
      </c>
      <c r="P55" s="140" t="e">
        <f t="shared" si="180"/>
        <v>#VALUE!</v>
      </c>
      <c r="Q55" s="116" t="str">
        <f t="shared" si="205"/>
        <v/>
      </c>
      <c r="R55" s="117" t="str">
        <f t="shared" si="206"/>
        <v/>
      </c>
      <c r="S55" s="123" t="e">
        <f t="shared" si="181"/>
        <v>#VALUE!</v>
      </c>
      <c r="T55" s="98" t="str">
        <f t="shared" si="182"/>
        <v/>
      </c>
      <c r="U55" s="123">
        <f t="shared" si="183"/>
        <v>146028.12</v>
      </c>
      <c r="V55" s="456">
        <v>1800000</v>
      </c>
      <c r="W55" s="113" t="e">
        <f t="shared" si="19"/>
        <v>#VALUE!</v>
      </c>
      <c r="X55" s="116" t="str">
        <f t="shared" si="207"/>
        <v/>
      </c>
      <c r="Y55" s="117" t="str">
        <f t="shared" si="208"/>
        <v/>
      </c>
      <c r="Z55" s="123" t="e">
        <f t="shared" si="184"/>
        <v>#VALUE!</v>
      </c>
      <c r="AA55" s="98" t="str">
        <f t="shared" si="185"/>
        <v/>
      </c>
      <c r="AB55" s="123">
        <f t="shared" si="186"/>
        <v>200091.95</v>
      </c>
      <c r="AC55" s="456">
        <v>1800000</v>
      </c>
      <c r="AD55" s="113" t="e">
        <f t="shared" si="26"/>
        <v>#VALUE!</v>
      </c>
      <c r="AE55" s="116" t="str">
        <f t="shared" si="209"/>
        <v/>
      </c>
      <c r="AF55" s="117" t="str">
        <f t="shared" si="210"/>
        <v/>
      </c>
      <c r="AG55" s="123" t="e">
        <f t="shared" si="187"/>
        <v>#VALUE!</v>
      </c>
      <c r="AH55" s="494" t="str">
        <f t="shared" si="188"/>
        <v/>
      </c>
      <c r="AI55" s="846">
        <f t="shared" si="189"/>
        <v>5400000</v>
      </c>
      <c r="AJ55" s="840">
        <f t="shared" si="211"/>
        <v>243165.7</v>
      </c>
      <c r="AK55" s="326" t="e">
        <f t="shared" si="190"/>
        <v>#VALUE!</v>
      </c>
      <c r="AL55" s="326">
        <f t="shared" si="191"/>
        <v>0</v>
      </c>
      <c r="AM55" s="326">
        <f t="shared" si="192"/>
        <v>0</v>
      </c>
      <c r="AN55" s="116">
        <f t="shared" si="36"/>
        <v>-243165.7</v>
      </c>
      <c r="AO55" s="413">
        <f t="shared" si="300"/>
        <v>0</v>
      </c>
      <c r="AP55" s="434">
        <f>IFERROR(VLOOKUP(M55,BUELA,6,FALSE),"")</f>
        <v>143812.98000000001</v>
      </c>
      <c r="AQ55" s="140" t="e">
        <f t="shared" si="39"/>
        <v>#VALUE!</v>
      </c>
      <c r="AR55" s="123" t="str">
        <f t="shared" si="214"/>
        <v/>
      </c>
      <c r="AS55" s="148" t="str">
        <f t="shared" si="215"/>
        <v/>
      </c>
      <c r="AT55" s="123">
        <f>IFERROR(VLOOKUP(M55,BUELA,7,FALSE),"")</f>
        <v>216718.91</v>
      </c>
      <c r="AU55" s="326" t="e">
        <f t="shared" si="42"/>
        <v>#VALUE!</v>
      </c>
      <c r="AV55" s="326" t="str">
        <f t="shared" si="217"/>
        <v/>
      </c>
      <c r="AW55" s="326" t="str">
        <f t="shared" si="218"/>
        <v/>
      </c>
      <c r="AX55" s="332">
        <f>IFERROR(VLOOKUP(M55,BUELA,8,FALSE),"")</f>
        <v>0</v>
      </c>
      <c r="AY55" s="140" t="e">
        <f t="shared" si="45"/>
        <v>#VALUE!</v>
      </c>
      <c r="AZ55" s="326" t="str">
        <f t="shared" si="220"/>
        <v/>
      </c>
      <c r="BA55" s="332" t="str">
        <f t="shared" si="221"/>
        <v/>
      </c>
      <c r="BB55" s="844" t="e">
        <f t="shared" ref="BB55:BD55" si="304">SUM(AY55,AU55,AQ55)</f>
        <v>#VALUE!</v>
      </c>
      <c r="BC55" s="326">
        <f t="shared" si="304"/>
        <v>0</v>
      </c>
      <c r="BD55" s="332">
        <f t="shared" si="304"/>
        <v>0</v>
      </c>
      <c r="BE55" s="140" t="e">
        <f t="shared" ref="BE55:BF55" si="305">SUM(BB55,AK55)</f>
        <v>#VALUE!</v>
      </c>
      <c r="BF55" s="326">
        <f t="shared" si="305"/>
        <v>0</v>
      </c>
      <c r="BG55" s="435">
        <f t="shared" si="50"/>
        <v>0</v>
      </c>
      <c r="BH55" s="423">
        <f>IFERROR(VLOOKUP(M55,BUELA,9,FALSE),"")</f>
        <v>0</v>
      </c>
      <c r="BI55" s="123" t="e">
        <f t="shared" si="51"/>
        <v>#VALUE!</v>
      </c>
      <c r="BJ55" s="123" t="str">
        <f t="shared" si="225"/>
        <v/>
      </c>
      <c r="BK55" s="148" t="str">
        <f t="shared" si="226"/>
        <v/>
      </c>
      <c r="BL55" s="423">
        <f>IFERROR(VLOOKUP(M55,BUELA,10,FALSE),"")</f>
        <v>0</v>
      </c>
      <c r="BM55" s="123" t="e">
        <f t="shared" si="54"/>
        <v>#VALUE!</v>
      </c>
      <c r="BN55" s="123" t="str">
        <f t="shared" si="228"/>
        <v/>
      </c>
      <c r="BO55" s="123" t="str">
        <f t="shared" si="229"/>
        <v/>
      </c>
      <c r="BP55" s="436">
        <f>IFERROR(VLOOKUP(M55,BUELA,11,FALSE),"")</f>
        <v>0</v>
      </c>
      <c r="BQ55" s="140" t="e">
        <f t="shared" si="57"/>
        <v>#VALUE!</v>
      </c>
      <c r="BR55" s="325" t="str">
        <f t="shared" si="231"/>
        <v/>
      </c>
      <c r="BS55" s="333" t="str">
        <f t="shared" si="232"/>
        <v/>
      </c>
      <c r="BT55" s="140" t="e">
        <f t="shared" ref="BT55:BV55" si="306">SUM(BQ55,BM55,BI55)</f>
        <v>#VALUE!</v>
      </c>
      <c r="BU55" s="326">
        <f t="shared" si="306"/>
        <v>0</v>
      </c>
      <c r="BV55" s="333">
        <f t="shared" si="306"/>
        <v>0</v>
      </c>
      <c r="BW55" s="125">
        <f>IFERROR(VLOOKUP(M55,BUELA,12,FALSE),"")</f>
        <v>243165.7</v>
      </c>
      <c r="BX55" s="140" t="e">
        <f t="shared" si="61"/>
        <v>#VALUE!</v>
      </c>
      <c r="BY55" s="123" t="str">
        <f t="shared" si="235"/>
        <v/>
      </c>
      <c r="BZ55" s="148" t="str">
        <f t="shared" si="236"/>
        <v/>
      </c>
      <c r="CA55" s="123">
        <f>IFERROR(VLOOKUP(M55,BUELA,13,FALSE),"")</f>
        <v>0</v>
      </c>
      <c r="CB55" s="326">
        <f>IFERROR(VLOOKUP(M55,BUELA,14,FALSE),"")</f>
        <v>0</v>
      </c>
      <c r="CI55" s="294"/>
      <c r="CJ55" s="294"/>
    </row>
    <row r="56" spans="1:88" ht="13">
      <c r="A56" s="436">
        <f t="shared" si="196"/>
        <v>112013046</v>
      </c>
      <c r="B56" s="172">
        <f t="shared" si="176"/>
        <v>22</v>
      </c>
      <c r="C56" s="558">
        <f t="shared" si="177"/>
        <v>0.1</v>
      </c>
      <c r="D56" s="558">
        <f t="shared" si="178"/>
        <v>0.09</v>
      </c>
      <c r="E56" s="559">
        <f t="shared" si="179"/>
        <v>0</v>
      </c>
      <c r="F56" s="836">
        <f t="shared" si="197"/>
        <v>1</v>
      </c>
      <c r="G56" s="558" t="str">
        <f t="shared" si="198"/>
        <v>Lista</v>
      </c>
      <c r="H56" s="558">
        <f t="shared" si="199"/>
        <v>0.09</v>
      </c>
      <c r="I56" s="559">
        <f t="shared" si="200"/>
        <v>0</v>
      </c>
      <c r="J56" s="837">
        <f t="shared" si="201"/>
        <v>71</v>
      </c>
      <c r="K56" s="699" t="str">
        <f t="shared" si="202"/>
        <v>Lista</v>
      </c>
      <c r="L56" s="700">
        <f t="shared" si="203"/>
        <v>0.05</v>
      </c>
      <c r="M56" s="498" t="s">
        <v>738</v>
      </c>
      <c r="N56" s="434"/>
      <c r="O56" s="141"/>
      <c r="P56" s="140" t="e">
        <f t="shared" si="180"/>
        <v>#VALUE!</v>
      </c>
      <c r="Q56" s="116" t="str">
        <f t="shared" si="205"/>
        <v/>
      </c>
      <c r="R56" s="117">
        <f t="shared" si="206"/>
        <v>0</v>
      </c>
      <c r="S56" s="123">
        <f t="shared" si="181"/>
        <v>0</v>
      </c>
      <c r="T56" s="98" t="str">
        <f t="shared" si="182"/>
        <v/>
      </c>
      <c r="U56" s="123" t="str">
        <f t="shared" si="183"/>
        <v/>
      </c>
      <c r="V56" s="332" t="e">
        <f t="shared" ref="V56:V59" si="307">(U56*1.7245)*1.05</f>
        <v>#VALUE!</v>
      </c>
      <c r="W56" s="113" t="e">
        <f t="shared" si="19"/>
        <v>#VALUE!</v>
      </c>
      <c r="X56" s="116" t="str">
        <f t="shared" si="207"/>
        <v/>
      </c>
      <c r="Y56" s="117">
        <f t="shared" si="208"/>
        <v>0</v>
      </c>
      <c r="Z56" s="123" t="e">
        <f t="shared" si="184"/>
        <v>#VALUE!</v>
      </c>
      <c r="AA56" s="98" t="str">
        <f t="shared" si="185"/>
        <v/>
      </c>
      <c r="AB56" s="123" t="str">
        <f t="shared" si="186"/>
        <v/>
      </c>
      <c r="AC56" s="456">
        <v>1800000</v>
      </c>
      <c r="AD56" s="113" t="e">
        <f t="shared" si="26"/>
        <v>#VALUE!</v>
      </c>
      <c r="AE56" s="116" t="str">
        <f t="shared" si="209"/>
        <v/>
      </c>
      <c r="AF56" s="117">
        <f t="shared" si="210"/>
        <v>0</v>
      </c>
      <c r="AG56" s="123">
        <f t="shared" si="187"/>
        <v>-1800000</v>
      </c>
      <c r="AH56" s="494">
        <f t="shared" si="188"/>
        <v>0</v>
      </c>
      <c r="AI56" s="846" t="e">
        <f t="shared" si="189"/>
        <v>#VALUE!</v>
      </c>
      <c r="AJ56" s="840" t="str">
        <f t="shared" si="211"/>
        <v/>
      </c>
      <c r="AK56" s="326" t="e">
        <f t="shared" si="190"/>
        <v>#VALUE!</v>
      </c>
      <c r="AL56" s="326">
        <f t="shared" si="191"/>
        <v>0</v>
      </c>
      <c r="AM56" s="326">
        <f t="shared" si="192"/>
        <v>0</v>
      </c>
      <c r="AN56" s="116" t="e">
        <f t="shared" si="36"/>
        <v>#VALUE!</v>
      </c>
      <c r="AO56" s="413" t="str">
        <f t="shared" si="300"/>
        <v/>
      </c>
      <c r="AP56" s="434"/>
      <c r="AQ56" s="140" t="e">
        <f t="shared" si="39"/>
        <v>#VALUE!</v>
      </c>
      <c r="AR56" s="123" t="str">
        <f t="shared" si="214"/>
        <v/>
      </c>
      <c r="AS56" s="148">
        <f t="shared" si="215"/>
        <v>0</v>
      </c>
      <c r="AT56" s="123"/>
      <c r="AU56" s="326" t="e">
        <f t="shared" si="42"/>
        <v>#VALUE!</v>
      </c>
      <c r="AV56" s="326" t="str">
        <f t="shared" si="217"/>
        <v/>
      </c>
      <c r="AW56" s="326">
        <f t="shared" si="218"/>
        <v>34636.1</v>
      </c>
      <c r="AX56" s="332" t="str">
        <f>IFERROR(VLOOKUP(M56,BUELA,8,FALSE),"")</f>
        <v/>
      </c>
      <c r="AY56" s="140" t="e">
        <f t="shared" si="45"/>
        <v>#VALUE!</v>
      </c>
      <c r="AZ56" s="326" t="str">
        <f t="shared" si="220"/>
        <v/>
      </c>
      <c r="BA56" s="332">
        <f t="shared" si="221"/>
        <v>0</v>
      </c>
      <c r="BB56" s="844" t="e">
        <f t="shared" ref="BB56:BD56" si="308">SUM(AY56,AU56,AQ56)</f>
        <v>#VALUE!</v>
      </c>
      <c r="BC56" s="326">
        <f t="shared" si="308"/>
        <v>0</v>
      </c>
      <c r="BD56" s="332">
        <f t="shared" si="308"/>
        <v>34636.1</v>
      </c>
      <c r="BE56" s="140" t="e">
        <f t="shared" ref="BE56:BF56" si="309">SUM(BB56,AK56)</f>
        <v>#VALUE!</v>
      </c>
      <c r="BF56" s="326">
        <f t="shared" si="309"/>
        <v>0</v>
      </c>
      <c r="BG56" s="435">
        <f t="shared" si="50"/>
        <v>34636.1</v>
      </c>
      <c r="BH56" s="423"/>
      <c r="BI56" s="123" t="e">
        <f t="shared" si="51"/>
        <v>#VALUE!</v>
      </c>
      <c r="BJ56" s="123" t="str">
        <f t="shared" si="225"/>
        <v/>
      </c>
      <c r="BK56" s="148">
        <f t="shared" si="226"/>
        <v>0</v>
      </c>
      <c r="BL56" s="423"/>
      <c r="BM56" s="123" t="e">
        <f t="shared" si="54"/>
        <v>#VALUE!</v>
      </c>
      <c r="BN56" s="123" t="str">
        <f t="shared" si="228"/>
        <v/>
      </c>
      <c r="BO56" s="123">
        <f t="shared" si="229"/>
        <v>0</v>
      </c>
      <c r="BP56" s="436"/>
      <c r="BQ56" s="140" t="e">
        <f t="shared" si="57"/>
        <v>#VALUE!</v>
      </c>
      <c r="BR56" s="325" t="str">
        <f t="shared" si="231"/>
        <v/>
      </c>
      <c r="BS56" s="333">
        <f t="shared" si="232"/>
        <v>0</v>
      </c>
      <c r="BT56" s="140" t="e">
        <f t="shared" ref="BT56:BV56" si="310">SUM(BQ56,BM56,BI56)</f>
        <v>#VALUE!</v>
      </c>
      <c r="BU56" s="326">
        <f t="shared" si="310"/>
        <v>0</v>
      </c>
      <c r="BV56" s="333">
        <f t="shared" si="310"/>
        <v>0</v>
      </c>
      <c r="BW56" s="125"/>
      <c r="BX56" s="140" t="e">
        <f t="shared" si="61"/>
        <v>#VALUE!</v>
      </c>
      <c r="BY56" s="123" t="str">
        <f t="shared" si="235"/>
        <v/>
      </c>
      <c r="BZ56" s="148">
        <f t="shared" si="236"/>
        <v>0</v>
      </c>
      <c r="CA56" s="123"/>
      <c r="CB56" s="326"/>
      <c r="CI56" s="294"/>
      <c r="CJ56" s="294"/>
    </row>
    <row r="57" spans="1:88" ht="13">
      <c r="A57" s="436">
        <f t="shared" si="196"/>
        <v>112013133</v>
      </c>
      <c r="B57" s="172">
        <f t="shared" si="176"/>
        <v>22</v>
      </c>
      <c r="C57" s="558">
        <f t="shared" si="177"/>
        <v>0.1</v>
      </c>
      <c r="D57" s="558">
        <f t="shared" si="178"/>
        <v>0.09</v>
      </c>
      <c r="E57" s="559">
        <f t="shared" si="179"/>
        <v>0</v>
      </c>
      <c r="F57" s="836">
        <f t="shared" si="197"/>
        <v>1</v>
      </c>
      <c r="G57" s="558" t="str">
        <f t="shared" si="198"/>
        <v>Lista</v>
      </c>
      <c r="H57" s="558">
        <f t="shared" si="199"/>
        <v>0.09</v>
      </c>
      <c r="I57" s="559">
        <f t="shared" si="200"/>
        <v>0</v>
      </c>
      <c r="J57" s="837">
        <f t="shared" si="201"/>
        <v>71</v>
      </c>
      <c r="K57" s="699" t="str">
        <f t="shared" si="202"/>
        <v>Lista</v>
      </c>
      <c r="L57" s="700">
        <f t="shared" si="203"/>
        <v>0.05</v>
      </c>
      <c r="M57" s="498" t="s">
        <v>739</v>
      </c>
      <c r="N57" s="434"/>
      <c r="O57" s="141"/>
      <c r="P57" s="140" t="e">
        <f t="shared" si="180"/>
        <v>#VALUE!</v>
      </c>
      <c r="Q57" s="116" t="str">
        <f t="shared" si="205"/>
        <v/>
      </c>
      <c r="R57" s="117" t="str">
        <f t="shared" si="206"/>
        <v/>
      </c>
      <c r="S57" s="123" t="e">
        <f t="shared" si="181"/>
        <v>#VALUE!</v>
      </c>
      <c r="T57" s="98" t="str">
        <f t="shared" si="182"/>
        <v/>
      </c>
      <c r="U57" s="123">
        <f t="shared" si="183"/>
        <v>8466</v>
      </c>
      <c r="V57" s="332">
        <f t="shared" si="307"/>
        <v>15329.59785</v>
      </c>
      <c r="W57" s="113" t="e">
        <f t="shared" si="19"/>
        <v>#VALUE!</v>
      </c>
      <c r="X57" s="116" t="str">
        <f t="shared" si="207"/>
        <v/>
      </c>
      <c r="Y57" s="117" t="str">
        <f t="shared" si="208"/>
        <v/>
      </c>
      <c r="Z57" s="114" t="e">
        <f t="shared" si="184"/>
        <v>#VALUE!</v>
      </c>
      <c r="AA57" s="413" t="str">
        <f t="shared" si="185"/>
        <v/>
      </c>
      <c r="AB57" s="125">
        <f t="shared" si="186"/>
        <v>17995.5</v>
      </c>
      <c r="AC57" s="244">
        <v>1800000</v>
      </c>
      <c r="AD57" s="113" t="e">
        <f t="shared" si="26"/>
        <v>#VALUE!</v>
      </c>
      <c r="AE57" s="116" t="str">
        <f t="shared" si="209"/>
        <v/>
      </c>
      <c r="AF57" s="117" t="str">
        <f t="shared" si="210"/>
        <v/>
      </c>
      <c r="AG57" s="114" t="e">
        <f t="shared" si="187"/>
        <v>#VALUE!</v>
      </c>
      <c r="AH57" s="413" t="str">
        <f t="shared" si="188"/>
        <v/>
      </c>
      <c r="AI57" s="846">
        <f t="shared" si="189"/>
        <v>1815329.59785</v>
      </c>
      <c r="AJ57" s="840">
        <f t="shared" si="211"/>
        <v>26859.919999999998</v>
      </c>
      <c r="AK57" s="116" t="e">
        <f t="shared" si="190"/>
        <v>#VALUE!</v>
      </c>
      <c r="AL57" s="116">
        <f t="shared" si="191"/>
        <v>0</v>
      </c>
      <c r="AM57" s="116">
        <f t="shared" si="192"/>
        <v>0</v>
      </c>
      <c r="AN57" s="116">
        <f t="shared" si="36"/>
        <v>-26859.919999999998</v>
      </c>
      <c r="AO57" s="413">
        <f t="shared" si="300"/>
        <v>0</v>
      </c>
      <c r="AP57" s="434"/>
      <c r="AQ57" s="140" t="e">
        <f t="shared" si="39"/>
        <v>#VALUE!</v>
      </c>
      <c r="AR57" s="123" t="str">
        <f t="shared" si="214"/>
        <v/>
      </c>
      <c r="AS57" s="148" t="str">
        <f t="shared" si="215"/>
        <v/>
      </c>
      <c r="AT57" s="123"/>
      <c r="AU57" s="326" t="e">
        <f t="shared" si="42"/>
        <v>#VALUE!</v>
      </c>
      <c r="AV57" s="326" t="str">
        <f t="shared" si="217"/>
        <v/>
      </c>
      <c r="AW57" s="326" t="str">
        <f t="shared" si="218"/>
        <v/>
      </c>
      <c r="AX57" s="332"/>
      <c r="AY57" s="140" t="e">
        <f t="shared" si="45"/>
        <v>#VALUE!</v>
      </c>
      <c r="AZ57" s="326" t="str">
        <f t="shared" si="220"/>
        <v/>
      </c>
      <c r="BA57" s="332" t="str">
        <f t="shared" si="221"/>
        <v/>
      </c>
      <c r="BB57" s="844" t="e">
        <f t="shared" ref="BB57:BD57" si="311">SUM(AY57,AU57,AQ57)</f>
        <v>#VALUE!</v>
      </c>
      <c r="BC57" s="326">
        <f t="shared" si="311"/>
        <v>0</v>
      </c>
      <c r="BD57" s="332">
        <f t="shared" si="311"/>
        <v>0</v>
      </c>
      <c r="BE57" s="140" t="e">
        <f t="shared" ref="BE57:BF57" si="312">SUM(BB57,AK57)</f>
        <v>#VALUE!</v>
      </c>
      <c r="BF57" s="326">
        <f t="shared" si="312"/>
        <v>0</v>
      </c>
      <c r="BG57" s="435">
        <f t="shared" si="50"/>
        <v>0</v>
      </c>
      <c r="BH57" s="423">
        <f>IFERROR(VLOOKUP(M57,BUELA,9,FALSE),"")</f>
        <v>0</v>
      </c>
      <c r="BI57" s="123" t="e">
        <f t="shared" si="51"/>
        <v>#VALUE!</v>
      </c>
      <c r="BJ57" s="123" t="str">
        <f t="shared" si="225"/>
        <v/>
      </c>
      <c r="BK57" s="148" t="str">
        <f t="shared" si="226"/>
        <v/>
      </c>
      <c r="BL57" s="423">
        <f>IFERROR(VLOOKUP(M57,BUELA,10,FALSE),"")</f>
        <v>0</v>
      </c>
      <c r="BM57" s="123" t="e">
        <f t="shared" si="54"/>
        <v>#VALUE!</v>
      </c>
      <c r="BN57" s="123" t="str">
        <f t="shared" si="228"/>
        <v/>
      </c>
      <c r="BO57" s="123" t="str">
        <f t="shared" si="229"/>
        <v/>
      </c>
      <c r="BP57" s="436">
        <f>IFERROR(VLOOKUP(M57,BUELA,11,FALSE),"")</f>
        <v>0</v>
      </c>
      <c r="BQ57" s="140" t="e">
        <f t="shared" si="57"/>
        <v>#VALUE!</v>
      </c>
      <c r="BR57" s="325" t="str">
        <f t="shared" si="231"/>
        <v/>
      </c>
      <c r="BS57" s="333" t="str">
        <f t="shared" si="232"/>
        <v/>
      </c>
      <c r="BT57" s="140" t="e">
        <f t="shared" ref="BT57:BV57" si="313">SUM(BQ57,BM57,BI57)</f>
        <v>#VALUE!</v>
      </c>
      <c r="BU57" s="326">
        <f t="shared" si="313"/>
        <v>0</v>
      </c>
      <c r="BV57" s="333">
        <f t="shared" si="313"/>
        <v>0</v>
      </c>
      <c r="BW57" s="125">
        <f>IFERROR(VLOOKUP(M57,BUELA,12,FALSE),"")</f>
        <v>26859.919999999998</v>
      </c>
      <c r="BX57" s="140" t="e">
        <f t="shared" si="61"/>
        <v>#VALUE!</v>
      </c>
      <c r="BY57" s="123" t="str">
        <f t="shared" si="235"/>
        <v/>
      </c>
      <c r="BZ57" s="148" t="str">
        <f t="shared" si="236"/>
        <v/>
      </c>
      <c r="CA57" s="123">
        <f>IFERROR(VLOOKUP(M57,BUELA,13,FALSE),"")</f>
        <v>0</v>
      </c>
      <c r="CB57" s="326">
        <f>IFERROR(VLOOKUP(M57,BUELA,14,FALSE),"")</f>
        <v>0</v>
      </c>
      <c r="CI57" s="294"/>
      <c r="CJ57" s="294"/>
    </row>
    <row r="58" spans="1:88" ht="13">
      <c r="A58" s="436">
        <f t="shared" si="196"/>
        <v>112014687</v>
      </c>
      <c r="B58" s="172">
        <f t="shared" si="176"/>
        <v>22</v>
      </c>
      <c r="C58" s="558">
        <f t="shared" si="177"/>
        <v>0.1</v>
      </c>
      <c r="D58" s="558">
        <f t="shared" si="178"/>
        <v>0.09</v>
      </c>
      <c r="E58" s="559">
        <f t="shared" si="179"/>
        <v>0</v>
      </c>
      <c r="F58" s="836">
        <f t="shared" si="197"/>
        <v>1</v>
      </c>
      <c r="G58" s="558" t="str">
        <f t="shared" si="198"/>
        <v>Lista</v>
      </c>
      <c r="H58" s="558">
        <f t="shared" si="199"/>
        <v>0.09</v>
      </c>
      <c r="I58" s="559">
        <f t="shared" si="200"/>
        <v>0</v>
      </c>
      <c r="J58" s="837">
        <f t="shared" si="201"/>
        <v>71</v>
      </c>
      <c r="K58" s="699" t="str">
        <f t="shared" si="202"/>
        <v>Lista</v>
      </c>
      <c r="L58" s="700">
        <f t="shared" si="203"/>
        <v>0.05</v>
      </c>
      <c r="M58" s="851" t="s">
        <v>740</v>
      </c>
      <c r="N58" s="434"/>
      <c r="O58" s="141"/>
      <c r="P58" s="140" t="e">
        <f t="shared" si="180"/>
        <v>#VALUE!</v>
      </c>
      <c r="Q58" s="116" t="str">
        <f t="shared" si="205"/>
        <v/>
      </c>
      <c r="R58" s="117" t="str">
        <f t="shared" si="206"/>
        <v/>
      </c>
      <c r="S58" s="123" t="e">
        <f t="shared" si="181"/>
        <v>#VALUE!</v>
      </c>
      <c r="T58" s="98" t="str">
        <f t="shared" si="182"/>
        <v/>
      </c>
      <c r="U58" s="123" t="str">
        <f t="shared" si="183"/>
        <v/>
      </c>
      <c r="V58" s="332" t="e">
        <f t="shared" si="307"/>
        <v>#VALUE!</v>
      </c>
      <c r="W58" s="113" t="e">
        <f t="shared" si="19"/>
        <v>#VALUE!</v>
      </c>
      <c r="X58" s="116" t="str">
        <f t="shared" si="207"/>
        <v/>
      </c>
      <c r="Y58" s="117" t="str">
        <f t="shared" si="208"/>
        <v/>
      </c>
      <c r="Z58" s="123" t="e">
        <f t="shared" si="184"/>
        <v>#VALUE!</v>
      </c>
      <c r="AA58" s="98" t="str">
        <f t="shared" si="185"/>
        <v/>
      </c>
      <c r="AB58" s="123" t="str">
        <f t="shared" si="186"/>
        <v/>
      </c>
      <c r="AC58" s="456">
        <v>1800000</v>
      </c>
      <c r="AD58" s="113" t="e">
        <f t="shared" si="26"/>
        <v>#VALUE!</v>
      </c>
      <c r="AE58" s="116" t="str">
        <f t="shared" si="209"/>
        <v/>
      </c>
      <c r="AF58" s="117" t="str">
        <f t="shared" si="210"/>
        <v/>
      </c>
      <c r="AG58" s="123" t="e">
        <f t="shared" si="187"/>
        <v>#VALUE!</v>
      </c>
      <c r="AH58" s="494" t="str">
        <f t="shared" si="188"/>
        <v/>
      </c>
      <c r="AI58" s="846" t="e">
        <f t="shared" si="189"/>
        <v>#VALUE!</v>
      </c>
      <c r="AJ58" s="840" t="str">
        <f t="shared" si="211"/>
        <v/>
      </c>
      <c r="AK58" s="326" t="e">
        <f t="shared" si="190"/>
        <v>#VALUE!</v>
      </c>
      <c r="AL58" s="326">
        <f t="shared" si="191"/>
        <v>0</v>
      </c>
      <c r="AM58" s="326">
        <f t="shared" si="192"/>
        <v>0</v>
      </c>
      <c r="AN58" s="116" t="e">
        <f t="shared" si="36"/>
        <v>#VALUE!</v>
      </c>
      <c r="AO58" s="413" t="str">
        <f t="shared" si="300"/>
        <v/>
      </c>
      <c r="AP58" s="434" t="str">
        <f>IFERROR(VLOOKUP(M58,BUELA,6,FALSE),"")</f>
        <v/>
      </c>
      <c r="AQ58" s="140" t="e">
        <f t="shared" si="39"/>
        <v>#VALUE!</v>
      </c>
      <c r="AR58" s="123" t="str">
        <f t="shared" si="214"/>
        <v/>
      </c>
      <c r="AS58" s="148" t="str">
        <f t="shared" si="215"/>
        <v/>
      </c>
      <c r="AT58" s="123"/>
      <c r="AU58" s="326" t="e">
        <f t="shared" si="42"/>
        <v>#VALUE!</v>
      </c>
      <c r="AV58" s="326" t="str">
        <f t="shared" si="217"/>
        <v/>
      </c>
      <c r="AW58" s="326" t="str">
        <f t="shared" si="218"/>
        <v/>
      </c>
      <c r="AX58" s="332"/>
      <c r="AY58" s="140" t="e">
        <f t="shared" si="45"/>
        <v>#VALUE!</v>
      </c>
      <c r="AZ58" s="326" t="str">
        <f t="shared" si="220"/>
        <v/>
      </c>
      <c r="BA58" s="332" t="str">
        <f t="shared" si="221"/>
        <v/>
      </c>
      <c r="BB58" s="844" t="e">
        <f t="shared" ref="BB58:BD58" si="314">SUM(AY58,AU58,AQ58)</f>
        <v>#VALUE!</v>
      </c>
      <c r="BC58" s="326">
        <f t="shared" si="314"/>
        <v>0</v>
      </c>
      <c r="BD58" s="332">
        <f t="shared" si="314"/>
        <v>0</v>
      </c>
      <c r="BE58" s="140" t="e">
        <f t="shared" ref="BE58:BF58" si="315">SUM(BB58,AK58)</f>
        <v>#VALUE!</v>
      </c>
      <c r="BF58" s="326">
        <f t="shared" si="315"/>
        <v>0</v>
      </c>
      <c r="BG58" s="435">
        <f t="shared" si="50"/>
        <v>0</v>
      </c>
      <c r="BH58" s="423"/>
      <c r="BI58" s="123" t="e">
        <f t="shared" si="51"/>
        <v>#VALUE!</v>
      </c>
      <c r="BJ58" s="123" t="str">
        <f t="shared" si="225"/>
        <v/>
      </c>
      <c r="BK58" s="148" t="str">
        <f t="shared" si="226"/>
        <v/>
      </c>
      <c r="BL58" s="423"/>
      <c r="BM58" s="123" t="e">
        <f t="shared" si="54"/>
        <v>#VALUE!</v>
      </c>
      <c r="BN58" s="123" t="str">
        <f t="shared" si="228"/>
        <v/>
      </c>
      <c r="BO58" s="123" t="str">
        <f t="shared" si="229"/>
        <v/>
      </c>
      <c r="BP58" s="436"/>
      <c r="BQ58" s="140" t="e">
        <f t="shared" si="57"/>
        <v>#VALUE!</v>
      </c>
      <c r="BR58" s="325" t="str">
        <f t="shared" si="231"/>
        <v/>
      </c>
      <c r="BS58" s="333" t="str">
        <f t="shared" si="232"/>
        <v/>
      </c>
      <c r="BT58" s="140" t="e">
        <f t="shared" ref="BT58:BV58" si="316">SUM(BQ58,BM58,BI58)</f>
        <v>#VALUE!</v>
      </c>
      <c r="BU58" s="326">
        <f t="shared" si="316"/>
        <v>0</v>
      </c>
      <c r="BV58" s="333">
        <f t="shared" si="316"/>
        <v>0</v>
      </c>
      <c r="BW58" s="125"/>
      <c r="BX58" s="140" t="e">
        <f t="shared" si="61"/>
        <v>#VALUE!</v>
      </c>
      <c r="BY58" s="123" t="str">
        <f t="shared" si="235"/>
        <v/>
      </c>
      <c r="BZ58" s="148" t="str">
        <f t="shared" si="236"/>
        <v/>
      </c>
      <c r="CA58" s="123"/>
      <c r="CB58" s="326"/>
      <c r="CI58" s="294"/>
      <c r="CJ58" s="294"/>
    </row>
    <row r="59" spans="1:88" ht="13">
      <c r="A59" s="436">
        <f t="shared" si="196"/>
        <v>112012879</v>
      </c>
      <c r="B59" s="172">
        <f t="shared" si="176"/>
        <v>22</v>
      </c>
      <c r="C59" s="558">
        <f t="shared" si="177"/>
        <v>0.1</v>
      </c>
      <c r="D59" s="558">
        <f t="shared" si="178"/>
        <v>0.09</v>
      </c>
      <c r="E59" s="559">
        <f t="shared" si="179"/>
        <v>0</v>
      </c>
      <c r="F59" s="836">
        <f t="shared" si="197"/>
        <v>1</v>
      </c>
      <c r="G59" s="558" t="str">
        <f t="shared" si="198"/>
        <v>Lista</v>
      </c>
      <c r="H59" s="558">
        <f t="shared" si="199"/>
        <v>0.09</v>
      </c>
      <c r="I59" s="559">
        <f t="shared" si="200"/>
        <v>0</v>
      </c>
      <c r="J59" s="837">
        <f t="shared" si="201"/>
        <v>71</v>
      </c>
      <c r="K59" s="699" t="str">
        <f t="shared" si="202"/>
        <v>Lista</v>
      </c>
      <c r="L59" s="700">
        <f t="shared" si="203"/>
        <v>0.05</v>
      </c>
      <c r="M59" s="498" t="s">
        <v>741</v>
      </c>
      <c r="N59" s="434">
        <f>IFERROR(VLOOKUP(M59,BUELA,3,FALSE),"")</f>
        <v>45208.33</v>
      </c>
      <c r="O59" s="141">
        <f t="shared" ref="O59:O130" si="317">(N59*1.601)*1.05</f>
        <v>75997.463146500013</v>
      </c>
      <c r="P59" s="140" t="e">
        <f t="shared" si="180"/>
        <v>#VALUE!</v>
      </c>
      <c r="Q59" s="116" t="str">
        <f t="shared" si="205"/>
        <v/>
      </c>
      <c r="R59" s="117">
        <f t="shared" si="206"/>
        <v>124431.54</v>
      </c>
      <c r="S59" s="123">
        <f t="shared" si="181"/>
        <v>48434.076853499981</v>
      </c>
      <c r="T59" s="98">
        <f t="shared" si="182"/>
        <v>1.6373117581587402</v>
      </c>
      <c r="U59" s="123">
        <f t="shared" si="183"/>
        <v>49475.53</v>
      </c>
      <c r="V59" s="332">
        <f t="shared" si="307"/>
        <v>89586.579059249998</v>
      </c>
      <c r="W59" s="113" t="e">
        <f t="shared" si="19"/>
        <v>#VALUE!</v>
      </c>
      <c r="X59" s="116" t="str">
        <f t="shared" si="207"/>
        <v/>
      </c>
      <c r="Y59" s="117">
        <f t="shared" si="208"/>
        <v>0</v>
      </c>
      <c r="Z59" s="123">
        <f t="shared" si="184"/>
        <v>-89586.579059249998</v>
      </c>
      <c r="AA59" s="98">
        <f t="shared" si="185"/>
        <v>0</v>
      </c>
      <c r="AB59" s="123">
        <f t="shared" si="186"/>
        <v>65734.02</v>
      </c>
      <c r="AC59" s="332">
        <f t="shared" ref="AC59:AC130" si="318">(AB59*1.5955)*1.03</f>
        <v>108024.9877773</v>
      </c>
      <c r="AD59" s="113" t="e">
        <f t="shared" si="26"/>
        <v>#VALUE!</v>
      </c>
      <c r="AE59" s="116" t="str">
        <f t="shared" si="209"/>
        <v/>
      </c>
      <c r="AF59" s="117">
        <f t="shared" si="210"/>
        <v>0</v>
      </c>
      <c r="AG59" s="123">
        <f t="shared" si="187"/>
        <v>-108024.9877773</v>
      </c>
      <c r="AH59" s="494">
        <f t="shared" si="188"/>
        <v>0</v>
      </c>
      <c r="AI59" s="846">
        <f t="shared" si="189"/>
        <v>273609.02998305002</v>
      </c>
      <c r="AJ59" s="840">
        <f t="shared" si="211"/>
        <v>124431.54</v>
      </c>
      <c r="AK59" s="326" t="e">
        <f t="shared" si="190"/>
        <v>#VALUE!</v>
      </c>
      <c r="AL59" s="326">
        <f t="shared" si="191"/>
        <v>0</v>
      </c>
      <c r="AM59" s="326">
        <f t="shared" si="192"/>
        <v>124431.54</v>
      </c>
      <c r="AN59" s="116">
        <f t="shared" si="36"/>
        <v>0</v>
      </c>
      <c r="AO59" s="413">
        <f t="shared" si="300"/>
        <v>1</v>
      </c>
      <c r="AP59" s="434">
        <f>IFERROR(VLOOKUP(M59,BUELA,6,FALSE),"")</f>
        <v>0</v>
      </c>
      <c r="AQ59" s="140" t="e">
        <f t="shared" si="39"/>
        <v>#VALUE!</v>
      </c>
      <c r="AR59" s="123" t="str">
        <f t="shared" si="214"/>
        <v/>
      </c>
      <c r="AS59" s="148">
        <f t="shared" si="215"/>
        <v>73062.899999999994</v>
      </c>
      <c r="AT59" s="123">
        <f>IFERROR(VLOOKUP(M59,BUELA,7,FALSE),"")</f>
        <v>115463.33</v>
      </c>
      <c r="AU59" s="326" t="e">
        <f t="shared" si="42"/>
        <v>#VALUE!</v>
      </c>
      <c r="AV59" s="326" t="str">
        <f t="shared" si="217"/>
        <v/>
      </c>
      <c r="AW59" s="326">
        <f t="shared" si="218"/>
        <v>111259.51</v>
      </c>
      <c r="AX59" s="332">
        <f>IFERROR(VLOOKUP(M59,BUELA,8,FALSE),"")</f>
        <v>0</v>
      </c>
      <c r="AY59" s="140" t="e">
        <f t="shared" si="45"/>
        <v>#VALUE!</v>
      </c>
      <c r="AZ59" s="326" t="str">
        <f t="shared" si="220"/>
        <v/>
      </c>
      <c r="BA59" s="332">
        <f t="shared" si="221"/>
        <v>0</v>
      </c>
      <c r="BB59" s="844" t="e">
        <f t="shared" ref="BB59:BD59" si="319">SUM(AY59,AU59,AQ59)</f>
        <v>#VALUE!</v>
      </c>
      <c r="BC59" s="326">
        <f t="shared" si="319"/>
        <v>0</v>
      </c>
      <c r="BD59" s="332">
        <f t="shared" si="319"/>
        <v>184322.40999999997</v>
      </c>
      <c r="BE59" s="140" t="e">
        <f t="shared" ref="BE59:BF59" si="320">SUM(BB59,AK59)</f>
        <v>#VALUE!</v>
      </c>
      <c r="BF59" s="326">
        <f t="shared" si="320"/>
        <v>0</v>
      </c>
      <c r="BG59" s="435">
        <f t="shared" si="50"/>
        <v>308753.94999999995</v>
      </c>
      <c r="BH59" s="423">
        <f>IFERROR(VLOOKUP(M59,BUELA,9,FALSE),"")</f>
        <v>0</v>
      </c>
      <c r="BI59" s="123" t="e">
        <f t="shared" si="51"/>
        <v>#VALUE!</v>
      </c>
      <c r="BJ59" s="123" t="str">
        <f t="shared" si="225"/>
        <v/>
      </c>
      <c r="BK59" s="148">
        <f t="shared" si="226"/>
        <v>133076.43</v>
      </c>
      <c r="BL59" s="423">
        <f>IFERROR(VLOOKUP(M59,BUELA,10,FALSE),"")</f>
        <v>72307</v>
      </c>
      <c r="BM59" s="123" t="e">
        <f t="shared" si="54"/>
        <v>#VALUE!</v>
      </c>
      <c r="BN59" s="123" t="str">
        <f t="shared" si="228"/>
        <v/>
      </c>
      <c r="BO59" s="123">
        <f t="shared" si="229"/>
        <v>26536.98</v>
      </c>
      <c r="BP59" s="436">
        <f>IFERROR(VLOOKUP(M59,BUELA,11,FALSE),"")</f>
        <v>0</v>
      </c>
      <c r="BQ59" s="140" t="e">
        <f t="shared" si="57"/>
        <v>#VALUE!</v>
      </c>
      <c r="BR59" s="325" t="str">
        <f t="shared" si="231"/>
        <v/>
      </c>
      <c r="BS59" s="333">
        <f t="shared" si="232"/>
        <v>81949.5</v>
      </c>
      <c r="BT59" s="140" t="e">
        <f t="shared" ref="BT59:BV59" si="321">SUM(BQ59,BM59,BI59)</f>
        <v>#VALUE!</v>
      </c>
      <c r="BU59" s="326">
        <f t="shared" si="321"/>
        <v>0</v>
      </c>
      <c r="BV59" s="333">
        <f t="shared" si="321"/>
        <v>241562.90999999997</v>
      </c>
      <c r="BW59" s="125">
        <f>IFERROR(VLOOKUP(M59,BUELA,12,FALSE),"")</f>
        <v>0</v>
      </c>
      <c r="BX59" s="140" t="e">
        <f t="shared" si="61"/>
        <v>#VALUE!</v>
      </c>
      <c r="BY59" s="123" t="str">
        <f t="shared" si="235"/>
        <v/>
      </c>
      <c r="BZ59" s="148">
        <f t="shared" si="236"/>
        <v>14072.42</v>
      </c>
      <c r="CA59" s="123">
        <f>IFERROR(VLOOKUP(M59,BUELA,13,FALSE),"")</f>
        <v>124431.54</v>
      </c>
      <c r="CB59" s="326">
        <f>IFERROR(VLOOKUP(M59,BUELA,14,FALSE),"")</f>
        <v>0</v>
      </c>
      <c r="CI59" s="294"/>
      <c r="CJ59" s="294"/>
    </row>
    <row r="60" spans="1:88" ht="13">
      <c r="A60" s="436">
        <f t="shared" si="196"/>
        <v>112010927</v>
      </c>
      <c r="B60" s="172">
        <f t="shared" si="176"/>
        <v>20</v>
      </c>
      <c r="C60" s="558">
        <f t="shared" si="177"/>
        <v>0.05</v>
      </c>
      <c r="D60" s="558">
        <f t="shared" si="178"/>
        <v>0.09</v>
      </c>
      <c r="E60" s="559">
        <f t="shared" si="179"/>
        <v>0</v>
      </c>
      <c r="F60" s="836">
        <f t="shared" si="197"/>
        <v>1</v>
      </c>
      <c r="G60" s="558" t="str">
        <f t="shared" si="198"/>
        <v>Lista</v>
      </c>
      <c r="H60" s="558">
        <f t="shared" si="199"/>
        <v>0.09</v>
      </c>
      <c r="I60" s="559">
        <f t="shared" si="200"/>
        <v>0</v>
      </c>
      <c r="J60" s="837">
        <f t="shared" si="201"/>
        <v>71</v>
      </c>
      <c r="K60" s="699" t="str">
        <f t="shared" si="202"/>
        <v>Lista</v>
      </c>
      <c r="L60" s="700">
        <f t="shared" si="203"/>
        <v>0.05</v>
      </c>
      <c r="M60" s="859" t="s">
        <v>742</v>
      </c>
      <c r="N60" s="434"/>
      <c r="O60" s="141">
        <f t="shared" si="317"/>
        <v>0</v>
      </c>
      <c r="P60" s="140" t="e">
        <f t="shared" si="180"/>
        <v>#VALUE!</v>
      </c>
      <c r="Q60" s="116" t="str">
        <f t="shared" si="205"/>
        <v/>
      </c>
      <c r="R60" s="117">
        <f t="shared" si="206"/>
        <v>0</v>
      </c>
      <c r="S60" s="123">
        <f t="shared" si="181"/>
        <v>0</v>
      </c>
      <c r="T60" s="98" t="str">
        <f t="shared" si="182"/>
        <v/>
      </c>
      <c r="U60" s="123">
        <f t="shared" si="183"/>
        <v>458879.49</v>
      </c>
      <c r="V60" s="332"/>
      <c r="W60" s="113" t="e">
        <f t="shared" si="19"/>
        <v>#VALUE!</v>
      </c>
      <c r="X60" s="116" t="str">
        <f t="shared" si="207"/>
        <v/>
      </c>
      <c r="Y60" s="117">
        <f t="shared" si="208"/>
        <v>61499.57</v>
      </c>
      <c r="Z60" s="123">
        <f t="shared" si="184"/>
        <v>61499.57</v>
      </c>
      <c r="AA60" s="98" t="str">
        <f t="shared" si="185"/>
        <v/>
      </c>
      <c r="AB60" s="123">
        <f t="shared" si="186"/>
        <v>529079.09</v>
      </c>
      <c r="AC60" s="332">
        <f t="shared" si="318"/>
        <v>869470.05873784993</v>
      </c>
      <c r="AD60" s="113" t="e">
        <f t="shared" si="26"/>
        <v>#VALUE!</v>
      </c>
      <c r="AE60" s="116" t="str">
        <f t="shared" si="209"/>
        <v/>
      </c>
      <c r="AF60" s="117">
        <f t="shared" si="210"/>
        <v>0</v>
      </c>
      <c r="AG60" s="123">
        <f t="shared" si="187"/>
        <v>-869470.05873784993</v>
      </c>
      <c r="AH60" s="494">
        <f t="shared" si="188"/>
        <v>0</v>
      </c>
      <c r="AI60" s="846">
        <f t="shared" si="189"/>
        <v>869470.05873784993</v>
      </c>
      <c r="AJ60" s="840">
        <f t="shared" si="211"/>
        <v>894341.76</v>
      </c>
      <c r="AK60" s="326" t="e">
        <f t="shared" si="190"/>
        <v>#VALUE!</v>
      </c>
      <c r="AL60" s="326">
        <f t="shared" si="191"/>
        <v>0</v>
      </c>
      <c r="AM60" s="326">
        <f t="shared" si="192"/>
        <v>61499.57</v>
      </c>
      <c r="AN60" s="116">
        <f t="shared" si="36"/>
        <v>-832842.19000000006</v>
      </c>
      <c r="AO60" s="413">
        <f t="shared" si="300"/>
        <v>6.8765177643052247E-2</v>
      </c>
      <c r="AP60" s="434"/>
      <c r="AQ60" s="140" t="e">
        <f t="shared" si="39"/>
        <v>#VALUE!</v>
      </c>
      <c r="AR60" s="123" t="str">
        <f t="shared" si="214"/>
        <v/>
      </c>
      <c r="AS60" s="148">
        <f t="shared" si="215"/>
        <v>154812.06</v>
      </c>
      <c r="AT60" s="123"/>
      <c r="AU60" s="326" t="e">
        <f t="shared" si="42"/>
        <v>#VALUE!</v>
      </c>
      <c r="AV60" s="326" t="str">
        <f t="shared" si="217"/>
        <v/>
      </c>
      <c r="AW60" s="326">
        <f t="shared" si="218"/>
        <v>188725.94</v>
      </c>
      <c r="AX60" s="332"/>
      <c r="AY60" s="140" t="e">
        <f t="shared" si="45"/>
        <v>#VALUE!</v>
      </c>
      <c r="AZ60" s="326" t="str">
        <f t="shared" si="220"/>
        <v/>
      </c>
      <c r="BA60" s="332">
        <f t="shared" si="221"/>
        <v>0</v>
      </c>
      <c r="BB60" s="122" t="e">
        <f t="shared" ref="BB60:BD60" si="322">SUM(AY60,AU60,AQ60)</f>
        <v>#VALUE!</v>
      </c>
      <c r="BC60" s="326">
        <f t="shared" si="322"/>
        <v>0</v>
      </c>
      <c r="BD60" s="332">
        <f t="shared" si="322"/>
        <v>343538</v>
      </c>
      <c r="BE60" s="140" t="e">
        <f t="shared" ref="BE60:BF60" si="323">SUM(BB60,AK60)</f>
        <v>#VALUE!</v>
      </c>
      <c r="BF60" s="326">
        <f t="shared" si="323"/>
        <v>0</v>
      </c>
      <c r="BG60" s="435">
        <f t="shared" si="50"/>
        <v>405037.57</v>
      </c>
      <c r="BH60" s="423"/>
      <c r="BI60" s="123" t="e">
        <f t="shared" si="51"/>
        <v>#VALUE!</v>
      </c>
      <c r="BJ60" s="123" t="str">
        <f t="shared" si="225"/>
        <v/>
      </c>
      <c r="BK60" s="148">
        <f t="shared" si="226"/>
        <v>0</v>
      </c>
      <c r="BL60" s="423"/>
      <c r="BM60" s="123" t="e">
        <f t="shared" si="54"/>
        <v>#VALUE!</v>
      </c>
      <c r="BN60" s="123" t="str">
        <f t="shared" si="228"/>
        <v/>
      </c>
      <c r="BO60" s="123">
        <f t="shared" si="229"/>
        <v>0</v>
      </c>
      <c r="BP60" s="436"/>
      <c r="BQ60" s="140" t="e">
        <f t="shared" si="57"/>
        <v>#VALUE!</v>
      </c>
      <c r="BR60" s="325" t="str">
        <f t="shared" si="231"/>
        <v/>
      </c>
      <c r="BS60" s="333">
        <f t="shared" si="232"/>
        <v>0</v>
      </c>
      <c r="BT60" s="140" t="e">
        <f t="shared" ref="BT60:BV60" si="324">SUM(BQ60,BM60,BI60)</f>
        <v>#VALUE!</v>
      </c>
      <c r="BU60" s="326">
        <f t="shared" si="324"/>
        <v>0</v>
      </c>
      <c r="BV60" s="333">
        <f t="shared" si="324"/>
        <v>0</v>
      </c>
      <c r="BW60" s="125"/>
      <c r="BX60" s="140" t="e">
        <f t="shared" si="61"/>
        <v>#VALUE!</v>
      </c>
      <c r="BY60" s="123" t="str">
        <f t="shared" si="235"/>
        <v/>
      </c>
      <c r="BZ60" s="148">
        <f t="shared" si="236"/>
        <v>0</v>
      </c>
      <c r="CA60" s="123"/>
      <c r="CB60" s="326"/>
      <c r="CI60" s="294"/>
      <c r="CJ60" s="294"/>
    </row>
    <row r="61" spans="1:88" ht="13">
      <c r="A61" s="436">
        <f t="shared" si="196"/>
        <v>112014236</v>
      </c>
      <c r="B61" s="172">
        <f t="shared" si="176"/>
        <v>18</v>
      </c>
      <c r="C61" s="558" t="str">
        <f t="shared" si="177"/>
        <v>Lista</v>
      </c>
      <c r="D61" s="558">
        <f t="shared" si="178"/>
        <v>0.23</v>
      </c>
      <c r="E61" s="559">
        <f t="shared" si="179"/>
        <v>0</v>
      </c>
      <c r="F61" s="836">
        <f t="shared" si="197"/>
        <v>18</v>
      </c>
      <c r="G61" s="558" t="str">
        <f t="shared" si="198"/>
        <v>Lista</v>
      </c>
      <c r="H61" s="558">
        <f t="shared" si="199"/>
        <v>0.23</v>
      </c>
      <c r="I61" s="559">
        <f t="shared" si="200"/>
        <v>0</v>
      </c>
      <c r="J61" s="837">
        <f t="shared" si="201"/>
        <v>69</v>
      </c>
      <c r="K61" s="699" t="str">
        <f t="shared" si="202"/>
        <v>Lista</v>
      </c>
      <c r="L61" s="700">
        <f t="shared" si="203"/>
        <v>0.14000000000000001</v>
      </c>
      <c r="M61" s="498" t="s">
        <v>743</v>
      </c>
      <c r="N61" s="434">
        <f t="shared" ref="N61:N67" si="325">IFERROR(VLOOKUP(M61,BUELA,3,FALSE),"")</f>
        <v>386964.72</v>
      </c>
      <c r="O61" s="141">
        <f t="shared" si="317"/>
        <v>650507.04255599994</v>
      </c>
      <c r="P61" s="140">
        <f t="shared" si="180"/>
        <v>0</v>
      </c>
      <c r="Q61" s="116">
        <f t="shared" si="205"/>
        <v>582267.84</v>
      </c>
      <c r="R61" s="117">
        <f t="shared" si="206"/>
        <v>582267.84</v>
      </c>
      <c r="S61" s="123">
        <f t="shared" si="181"/>
        <v>-68239.202555999975</v>
      </c>
      <c r="T61" s="98">
        <f t="shared" si="182"/>
        <v>0.89509844153589546</v>
      </c>
      <c r="U61" s="123">
        <f t="shared" si="183"/>
        <v>1167565.31</v>
      </c>
      <c r="V61" s="332">
        <f t="shared" ref="V61:V66" si="326">(U61*1.7245)*1.05</f>
        <v>2114139.69594975</v>
      </c>
      <c r="W61" s="113">
        <f t="shared" si="19"/>
        <v>0</v>
      </c>
      <c r="X61" s="116">
        <f t="shared" si="207"/>
        <v>1492051.02</v>
      </c>
      <c r="Y61" s="117">
        <f t="shared" si="208"/>
        <v>1492051.02</v>
      </c>
      <c r="Z61" s="123">
        <f t="shared" si="184"/>
        <v>-622088.67594975</v>
      </c>
      <c r="AA61" s="98">
        <f t="shared" si="185"/>
        <v>0.7057485476756612</v>
      </c>
      <c r="AB61" s="123">
        <f t="shared" si="186"/>
        <v>1030954.93</v>
      </c>
      <c r="AC61" s="332">
        <f t="shared" si="318"/>
        <v>1694235.2485394501</v>
      </c>
      <c r="AD61" s="113">
        <f t="shared" si="26"/>
        <v>0</v>
      </c>
      <c r="AE61" s="116">
        <f t="shared" si="209"/>
        <v>904002.64</v>
      </c>
      <c r="AF61" s="117">
        <f t="shared" si="210"/>
        <v>904002.64</v>
      </c>
      <c r="AG61" s="123">
        <f t="shared" si="187"/>
        <v>-790232.6085394501</v>
      </c>
      <c r="AH61" s="494">
        <f t="shared" si="188"/>
        <v>0.53357562993646479</v>
      </c>
      <c r="AI61" s="846">
        <f t="shared" si="189"/>
        <v>4458881.9870452005</v>
      </c>
      <c r="AJ61" s="840">
        <f t="shared" si="211"/>
        <v>3604637.02</v>
      </c>
      <c r="AK61" s="326">
        <f t="shared" si="190"/>
        <v>0</v>
      </c>
      <c r="AL61" s="326">
        <f t="shared" si="191"/>
        <v>4470372.5200000005</v>
      </c>
      <c r="AM61" s="326">
        <f t="shared" si="192"/>
        <v>2978321.5</v>
      </c>
      <c r="AN61" s="116">
        <f t="shared" si="36"/>
        <v>-626315.52000000002</v>
      </c>
      <c r="AO61" s="413">
        <f t="shared" si="300"/>
        <v>0.82624727080009852</v>
      </c>
      <c r="AP61" s="434"/>
      <c r="AQ61" s="140">
        <f t="shared" si="39"/>
        <v>0</v>
      </c>
      <c r="AR61" s="123">
        <f t="shared" si="214"/>
        <v>1748140.55</v>
      </c>
      <c r="AS61" s="148">
        <f t="shared" si="215"/>
        <v>1748140.55</v>
      </c>
      <c r="AT61" s="123"/>
      <c r="AU61" s="326">
        <f t="shared" si="42"/>
        <v>0</v>
      </c>
      <c r="AV61" s="326">
        <f t="shared" si="217"/>
        <v>923334.64</v>
      </c>
      <c r="AW61" s="326">
        <f t="shared" si="218"/>
        <v>923334.64</v>
      </c>
      <c r="AX61" s="332"/>
      <c r="AY61" s="140">
        <f t="shared" si="45"/>
        <v>20479.320000000065</v>
      </c>
      <c r="AZ61" s="326">
        <f t="shared" si="220"/>
        <v>1622326.16</v>
      </c>
      <c r="BA61" s="332">
        <f t="shared" si="221"/>
        <v>1642805.48</v>
      </c>
      <c r="BB61" s="122">
        <f t="shared" ref="BB61:BD61" si="327">SUM(AY61,AU61,AQ61)</f>
        <v>20479.320000000065</v>
      </c>
      <c r="BC61" s="326">
        <f t="shared" si="327"/>
        <v>4293801.3499999996</v>
      </c>
      <c r="BD61" s="332">
        <f t="shared" si="327"/>
        <v>4314280.67</v>
      </c>
      <c r="BE61" s="140">
        <f t="shared" ref="BE61:BF61" si="328">SUM(BB61,AK61)</f>
        <v>20479.320000000065</v>
      </c>
      <c r="BF61" s="326">
        <f t="shared" si="328"/>
        <v>8764173.870000001</v>
      </c>
      <c r="BG61" s="435">
        <f t="shared" si="50"/>
        <v>7292602.1699999999</v>
      </c>
      <c r="BH61" s="423"/>
      <c r="BI61" s="123">
        <f t="shared" si="51"/>
        <v>0</v>
      </c>
      <c r="BJ61" s="123">
        <f t="shared" si="225"/>
        <v>1880863.99</v>
      </c>
      <c r="BK61" s="148">
        <f t="shared" si="226"/>
        <v>1880863.99</v>
      </c>
      <c r="BL61" s="423">
        <f>IFERROR(VLOOKUP(M61,BUELA,10,FALSE),"")</f>
        <v>1542234.16</v>
      </c>
      <c r="BM61" s="123">
        <f t="shared" si="54"/>
        <v>0</v>
      </c>
      <c r="BN61" s="123">
        <f t="shared" si="228"/>
        <v>1284282.8500000001</v>
      </c>
      <c r="BO61" s="123">
        <f t="shared" si="229"/>
        <v>1284282.8500000001</v>
      </c>
      <c r="BP61" s="436"/>
      <c r="BQ61" s="140">
        <f t="shared" si="57"/>
        <v>0</v>
      </c>
      <c r="BR61" s="325">
        <f t="shared" si="231"/>
        <v>1447559.5</v>
      </c>
      <c r="BS61" s="333">
        <f t="shared" si="232"/>
        <v>1447559.5</v>
      </c>
      <c r="BT61" s="140">
        <f t="shared" ref="BT61:BV61" si="329">SUM(BQ61,BM61,BI61)</f>
        <v>0</v>
      </c>
      <c r="BU61" s="326">
        <f t="shared" si="329"/>
        <v>4612706.34</v>
      </c>
      <c r="BV61" s="333">
        <f t="shared" si="329"/>
        <v>4612706.34</v>
      </c>
      <c r="BW61" s="125"/>
      <c r="BX61" s="140">
        <f t="shared" si="61"/>
        <v>0</v>
      </c>
      <c r="BY61" s="123">
        <f t="shared" si="235"/>
        <v>1271466.1499999999</v>
      </c>
      <c r="BZ61" s="148">
        <f t="shared" si="236"/>
        <v>1271466.1499999999</v>
      </c>
      <c r="CA61" s="123"/>
      <c r="CB61" s="326"/>
      <c r="CI61" s="294"/>
      <c r="CJ61" s="294"/>
    </row>
    <row r="62" spans="1:88" ht="13">
      <c r="A62" s="436">
        <f t="shared" si="196"/>
        <v>112013296</v>
      </c>
      <c r="B62" s="172">
        <f t="shared" si="176"/>
        <v>4</v>
      </c>
      <c r="C62" s="558" t="str">
        <f t="shared" si="177"/>
        <v>Lista</v>
      </c>
      <c r="D62" s="558">
        <f t="shared" si="178"/>
        <v>0.2</v>
      </c>
      <c r="E62" s="559">
        <f t="shared" si="179"/>
        <v>0</v>
      </c>
      <c r="F62" s="836">
        <f t="shared" si="197"/>
        <v>4</v>
      </c>
      <c r="G62" s="558" t="str">
        <f t="shared" si="198"/>
        <v>Lista</v>
      </c>
      <c r="H62" s="558">
        <f t="shared" si="199"/>
        <v>0.2</v>
      </c>
      <c r="I62" s="559">
        <f t="shared" si="200"/>
        <v>0</v>
      </c>
      <c r="J62" s="837">
        <f t="shared" si="201"/>
        <v>70</v>
      </c>
      <c r="K62" s="699" t="str">
        <f t="shared" si="202"/>
        <v>Lista</v>
      </c>
      <c r="L62" s="700">
        <f t="shared" si="203"/>
        <v>0.11</v>
      </c>
      <c r="M62" s="498" t="s">
        <v>744</v>
      </c>
      <c r="N62" s="434">
        <f t="shared" si="325"/>
        <v>110944.4</v>
      </c>
      <c r="O62" s="141">
        <f t="shared" si="317"/>
        <v>186503.08361999999</v>
      </c>
      <c r="P62" s="140">
        <f t="shared" si="180"/>
        <v>0</v>
      </c>
      <c r="Q62" s="116">
        <f t="shared" si="205"/>
        <v>68141.600000000006</v>
      </c>
      <c r="R62" s="117">
        <f t="shared" si="206"/>
        <v>68141.600000000006</v>
      </c>
      <c r="S62" s="123">
        <f t="shared" si="181"/>
        <v>-118361.48361999998</v>
      </c>
      <c r="T62" s="98">
        <f t="shared" si="182"/>
        <v>0.36536446839044501</v>
      </c>
      <c r="U62" s="123">
        <f t="shared" si="183"/>
        <v>248090.88</v>
      </c>
      <c r="V62" s="332">
        <f t="shared" si="326"/>
        <v>449224.35868800001</v>
      </c>
      <c r="W62" s="113">
        <f t="shared" si="19"/>
        <v>0</v>
      </c>
      <c r="X62" s="116">
        <f t="shared" si="207"/>
        <v>142280.07999999999</v>
      </c>
      <c r="Y62" s="117">
        <f t="shared" si="208"/>
        <v>142280.07999999999</v>
      </c>
      <c r="Z62" s="123">
        <f t="shared" si="184"/>
        <v>-306944.27868800005</v>
      </c>
      <c r="AA62" s="98">
        <f t="shared" si="185"/>
        <v>0.3167238758279754</v>
      </c>
      <c r="AB62" s="123">
        <f t="shared" si="186"/>
        <v>0</v>
      </c>
      <c r="AC62" s="332">
        <f t="shared" si="318"/>
        <v>0</v>
      </c>
      <c r="AD62" s="113">
        <f t="shared" si="26"/>
        <v>0</v>
      </c>
      <c r="AE62" s="116">
        <f t="shared" si="209"/>
        <v>0</v>
      </c>
      <c r="AF62" s="117">
        <f t="shared" si="210"/>
        <v>0</v>
      </c>
      <c r="AG62" s="123">
        <f t="shared" si="187"/>
        <v>0</v>
      </c>
      <c r="AH62" s="494" t="str">
        <f t="shared" si="188"/>
        <v/>
      </c>
      <c r="AI62" s="846">
        <f t="shared" si="189"/>
        <v>635727.44230800006</v>
      </c>
      <c r="AJ62" s="840">
        <f t="shared" si="211"/>
        <v>133778.4</v>
      </c>
      <c r="AK62" s="326">
        <f t="shared" si="190"/>
        <v>0</v>
      </c>
      <c r="AL62" s="326">
        <f t="shared" si="191"/>
        <v>352701.76</v>
      </c>
      <c r="AM62" s="326">
        <f t="shared" si="192"/>
        <v>210421.68</v>
      </c>
      <c r="AN62" s="116">
        <f t="shared" si="36"/>
        <v>76643.28</v>
      </c>
      <c r="AO62" s="413">
        <f t="shared" si="300"/>
        <v>1.5729122190129348</v>
      </c>
      <c r="AP62" s="434">
        <f>IFERROR(VLOOKUP(M62,BUELA,6,FALSE),"")</f>
        <v>272719.25</v>
      </c>
      <c r="AQ62" s="140">
        <f t="shared" si="39"/>
        <v>0</v>
      </c>
      <c r="AR62" s="123">
        <f t="shared" si="214"/>
        <v>124504.8</v>
      </c>
      <c r="AS62" s="148">
        <f t="shared" si="215"/>
        <v>124504.8</v>
      </c>
      <c r="AT62" s="123">
        <f>IFERROR(VLOOKUP(M62,BUELA,7,FALSE),"")</f>
        <v>88046.53</v>
      </c>
      <c r="AU62" s="326">
        <f t="shared" si="42"/>
        <v>0</v>
      </c>
      <c r="AV62" s="326">
        <f t="shared" si="217"/>
        <v>0</v>
      </c>
      <c r="AW62" s="326">
        <f t="shared" si="218"/>
        <v>0</v>
      </c>
      <c r="AX62" s="332">
        <f>IFERROR(VLOOKUP(M62,BUELA,8,FALSE),"")</f>
        <v>57884.4</v>
      </c>
      <c r="AY62" s="140">
        <f t="shared" si="45"/>
        <v>0</v>
      </c>
      <c r="AZ62" s="326">
        <f t="shared" si="220"/>
        <v>0</v>
      </c>
      <c r="BA62" s="332">
        <f t="shared" si="221"/>
        <v>0</v>
      </c>
      <c r="BB62" s="122">
        <f t="shared" ref="BB62:BD62" si="330">SUM(AY62,AU62,AQ62)</f>
        <v>0</v>
      </c>
      <c r="BC62" s="326">
        <f t="shared" si="330"/>
        <v>124504.8</v>
      </c>
      <c r="BD62" s="332">
        <f t="shared" si="330"/>
        <v>124504.8</v>
      </c>
      <c r="BE62" s="140">
        <f t="shared" ref="BE62:BF62" si="331">SUM(BB62,AK62)</f>
        <v>0</v>
      </c>
      <c r="BF62" s="326">
        <f t="shared" si="331"/>
        <v>477206.56</v>
      </c>
      <c r="BG62" s="435">
        <f t="shared" si="50"/>
        <v>334926.48</v>
      </c>
      <c r="BH62" s="423">
        <f>IFERROR(VLOOKUP(M62,BUELA,9,FALSE),"")</f>
        <v>0</v>
      </c>
      <c r="BI62" s="123">
        <f t="shared" si="51"/>
        <v>0</v>
      </c>
      <c r="BJ62" s="123">
        <f t="shared" si="225"/>
        <v>0</v>
      </c>
      <c r="BK62" s="148">
        <f t="shared" si="226"/>
        <v>0</v>
      </c>
      <c r="BL62" s="423"/>
      <c r="BM62" s="123">
        <f t="shared" si="54"/>
        <v>0</v>
      </c>
      <c r="BN62" s="123">
        <f t="shared" si="228"/>
        <v>0</v>
      </c>
      <c r="BO62" s="123">
        <f t="shared" si="229"/>
        <v>0</v>
      </c>
      <c r="BP62" s="436">
        <f>IFERROR(VLOOKUP(M62,BUELA,11,FALSE),"")</f>
        <v>143035</v>
      </c>
      <c r="BQ62" s="140">
        <f t="shared" si="57"/>
        <v>0</v>
      </c>
      <c r="BR62" s="325">
        <f t="shared" si="231"/>
        <v>0</v>
      </c>
      <c r="BS62" s="333">
        <f t="shared" si="232"/>
        <v>0</v>
      </c>
      <c r="BT62" s="140">
        <f t="shared" ref="BT62:BV62" si="332">SUM(BQ62,BM62,BI62)</f>
        <v>0</v>
      </c>
      <c r="BU62" s="326">
        <f t="shared" si="332"/>
        <v>0</v>
      </c>
      <c r="BV62" s="333">
        <f t="shared" si="332"/>
        <v>0</v>
      </c>
      <c r="BW62" s="125">
        <f>IFERROR(VLOOKUP(M62,BUELA,12,FALSE),"")</f>
        <v>46011.6</v>
      </c>
      <c r="BX62" s="140">
        <f t="shared" si="61"/>
        <v>0</v>
      </c>
      <c r="BY62" s="123">
        <f t="shared" si="235"/>
        <v>0</v>
      </c>
      <c r="BZ62" s="148">
        <f t="shared" si="236"/>
        <v>0</v>
      </c>
      <c r="CA62" s="123">
        <f>IFERROR(VLOOKUP(M62,BUELA,13,FALSE),"")</f>
        <v>87766.8</v>
      </c>
      <c r="CB62" s="326">
        <f>IFERROR(VLOOKUP(M62,BUELA,14,FALSE),"")</f>
        <v>0</v>
      </c>
      <c r="CI62" s="294"/>
      <c r="CJ62" s="294"/>
    </row>
    <row r="63" spans="1:88" ht="13">
      <c r="A63" s="436">
        <f t="shared" si="196"/>
        <v>112013825</v>
      </c>
      <c r="B63" s="172">
        <f t="shared" si="176"/>
        <v>4</v>
      </c>
      <c r="C63" s="558" t="str">
        <f t="shared" si="177"/>
        <v>Lista</v>
      </c>
      <c r="D63" s="558">
        <f t="shared" si="178"/>
        <v>0.2</v>
      </c>
      <c r="E63" s="559">
        <f t="shared" si="179"/>
        <v>0</v>
      </c>
      <c r="F63" s="836">
        <f t="shared" si="197"/>
        <v>4</v>
      </c>
      <c r="G63" s="558" t="str">
        <f t="shared" si="198"/>
        <v>Lista</v>
      </c>
      <c r="H63" s="558">
        <f t="shared" si="199"/>
        <v>0.2</v>
      </c>
      <c r="I63" s="559">
        <f t="shared" si="200"/>
        <v>0</v>
      </c>
      <c r="J63" s="837">
        <f t="shared" si="201"/>
        <v>70</v>
      </c>
      <c r="K63" s="699" t="str">
        <f t="shared" si="202"/>
        <v>Lista</v>
      </c>
      <c r="L63" s="700">
        <f t="shared" si="203"/>
        <v>0.11</v>
      </c>
      <c r="M63" s="498" t="s">
        <v>745</v>
      </c>
      <c r="N63" s="434">
        <f t="shared" si="325"/>
        <v>55593.77</v>
      </c>
      <c r="O63" s="141">
        <f t="shared" si="317"/>
        <v>93455.907058500001</v>
      </c>
      <c r="P63" s="140">
        <f t="shared" si="180"/>
        <v>83117.05</v>
      </c>
      <c r="Q63" s="116">
        <f t="shared" si="205"/>
        <v>0</v>
      </c>
      <c r="R63" s="117">
        <f t="shared" si="206"/>
        <v>83117.05</v>
      </c>
      <c r="S63" s="123">
        <f t="shared" si="181"/>
        <v>-10338.857058499998</v>
      </c>
      <c r="T63" s="98">
        <f t="shared" si="182"/>
        <v>0.88937181839101676</v>
      </c>
      <c r="U63" s="123">
        <f t="shared" si="183"/>
        <v>0</v>
      </c>
      <c r="V63" s="332">
        <f t="shared" si="326"/>
        <v>0</v>
      </c>
      <c r="W63" s="113">
        <f t="shared" si="19"/>
        <v>29663.56</v>
      </c>
      <c r="X63" s="116">
        <f t="shared" si="207"/>
        <v>0</v>
      </c>
      <c r="Y63" s="117">
        <f t="shared" si="208"/>
        <v>29663.56</v>
      </c>
      <c r="Z63" s="123">
        <f t="shared" si="184"/>
        <v>29663.56</v>
      </c>
      <c r="AA63" s="98" t="str">
        <f t="shared" si="185"/>
        <v/>
      </c>
      <c r="AB63" s="123">
        <f t="shared" si="186"/>
        <v>17276.18</v>
      </c>
      <c r="AC63" s="332">
        <f t="shared" si="318"/>
        <v>28391.0695457</v>
      </c>
      <c r="AD63" s="113">
        <f t="shared" si="26"/>
        <v>85152.72</v>
      </c>
      <c r="AE63" s="116">
        <f t="shared" si="209"/>
        <v>0</v>
      </c>
      <c r="AF63" s="117">
        <f t="shared" si="210"/>
        <v>85152.72</v>
      </c>
      <c r="AG63" s="123">
        <f t="shared" si="187"/>
        <v>56761.650454300005</v>
      </c>
      <c r="AH63" s="494">
        <f t="shared" si="188"/>
        <v>2.9992783421890103</v>
      </c>
      <c r="AI63" s="846">
        <f t="shared" si="189"/>
        <v>121846.9766042</v>
      </c>
      <c r="AJ63" s="840">
        <f t="shared" si="211"/>
        <v>642612.11</v>
      </c>
      <c r="AK63" s="326">
        <f t="shared" si="190"/>
        <v>197933.33000000002</v>
      </c>
      <c r="AL63" s="326">
        <f t="shared" si="191"/>
        <v>0</v>
      </c>
      <c r="AM63" s="326">
        <f t="shared" si="192"/>
        <v>197933.33000000002</v>
      </c>
      <c r="AN63" s="116">
        <f t="shared" si="36"/>
        <v>-444678.77999999997</v>
      </c>
      <c r="AO63" s="413">
        <f t="shared" si="300"/>
        <v>0.30801369429530362</v>
      </c>
      <c r="AP63" s="434"/>
      <c r="AQ63" s="140">
        <f t="shared" si="39"/>
        <v>0</v>
      </c>
      <c r="AR63" s="123">
        <f t="shared" si="214"/>
        <v>117574.08</v>
      </c>
      <c r="AS63" s="148">
        <f t="shared" si="215"/>
        <v>117574.08</v>
      </c>
      <c r="AT63" s="123"/>
      <c r="AU63" s="326">
        <f t="shared" si="42"/>
        <v>0</v>
      </c>
      <c r="AV63" s="326">
        <f t="shared" si="217"/>
        <v>0</v>
      </c>
      <c r="AW63" s="326">
        <f t="shared" si="218"/>
        <v>0</v>
      </c>
      <c r="AX63" s="332"/>
      <c r="AY63" s="140">
        <f t="shared" si="45"/>
        <v>0</v>
      </c>
      <c r="AZ63" s="326">
        <f t="shared" si="220"/>
        <v>195956.8</v>
      </c>
      <c r="BA63" s="332">
        <f t="shared" si="221"/>
        <v>195956.8</v>
      </c>
      <c r="BB63" s="122">
        <f t="shared" ref="BB63:BD63" si="333">SUM(AY63,AU63,AQ63)</f>
        <v>0</v>
      </c>
      <c r="BC63" s="326">
        <f t="shared" si="333"/>
        <v>313530.88</v>
      </c>
      <c r="BD63" s="332">
        <f t="shared" si="333"/>
        <v>313530.88</v>
      </c>
      <c r="BE63" s="140">
        <f t="shared" ref="BE63:BF63" si="334">SUM(BB63,AK63)</f>
        <v>197933.33000000002</v>
      </c>
      <c r="BF63" s="326">
        <f t="shared" si="334"/>
        <v>313530.88</v>
      </c>
      <c r="BG63" s="435">
        <f t="shared" si="50"/>
        <v>511464.21</v>
      </c>
      <c r="BH63" s="423"/>
      <c r="BI63" s="123">
        <f t="shared" si="51"/>
        <v>0</v>
      </c>
      <c r="BJ63" s="123">
        <f t="shared" si="225"/>
        <v>0</v>
      </c>
      <c r="BK63" s="148">
        <f t="shared" si="226"/>
        <v>0</v>
      </c>
      <c r="BL63" s="302">
        <f>IFERROR(VLOOKUP(M63,BUELA,10,FALSE),"")</f>
        <v>149560</v>
      </c>
      <c r="BM63" s="123">
        <f t="shared" si="54"/>
        <v>0</v>
      </c>
      <c r="BN63" s="123">
        <f t="shared" si="228"/>
        <v>0</v>
      </c>
      <c r="BO63" s="123">
        <f t="shared" si="229"/>
        <v>0</v>
      </c>
      <c r="BP63" s="436"/>
      <c r="BQ63" s="140">
        <f t="shared" si="57"/>
        <v>0</v>
      </c>
      <c r="BR63" s="325">
        <f t="shared" si="231"/>
        <v>0</v>
      </c>
      <c r="BS63" s="333">
        <f t="shared" si="232"/>
        <v>0</v>
      </c>
      <c r="BT63" s="140">
        <f t="shared" ref="BT63:BV63" si="335">SUM(BQ63,BM63,BI63)</f>
        <v>0</v>
      </c>
      <c r="BU63" s="326">
        <f t="shared" si="335"/>
        <v>0</v>
      </c>
      <c r="BV63" s="333">
        <f t="shared" si="335"/>
        <v>0</v>
      </c>
      <c r="BW63" s="125"/>
      <c r="BX63" s="140">
        <f t="shared" si="61"/>
        <v>0</v>
      </c>
      <c r="BY63" s="123">
        <f t="shared" si="235"/>
        <v>0</v>
      </c>
      <c r="BZ63" s="148">
        <f t="shared" si="236"/>
        <v>0</v>
      </c>
      <c r="CA63" s="123"/>
      <c r="CB63" s="326"/>
      <c r="CI63" s="294"/>
      <c r="CJ63" s="294"/>
    </row>
    <row r="64" spans="1:88" ht="13">
      <c r="A64" s="436">
        <f t="shared" si="196"/>
        <v>112014510</v>
      </c>
      <c r="B64" s="172">
        <f t="shared" si="176"/>
        <v>18</v>
      </c>
      <c r="C64" s="558" t="str">
        <f t="shared" si="177"/>
        <v>Lista</v>
      </c>
      <c r="D64" s="558">
        <f t="shared" si="178"/>
        <v>0.23</v>
      </c>
      <c r="E64" s="559">
        <f t="shared" si="179"/>
        <v>0</v>
      </c>
      <c r="F64" s="836">
        <f t="shared" si="197"/>
        <v>18</v>
      </c>
      <c r="G64" s="558" t="str">
        <f t="shared" si="198"/>
        <v>Lista</v>
      </c>
      <c r="H64" s="558">
        <f t="shared" si="199"/>
        <v>0.23</v>
      </c>
      <c r="I64" s="559">
        <f t="shared" si="200"/>
        <v>0</v>
      </c>
      <c r="J64" s="837">
        <f t="shared" si="201"/>
        <v>69</v>
      </c>
      <c r="K64" s="699" t="str">
        <f t="shared" si="202"/>
        <v>Lista</v>
      </c>
      <c r="L64" s="700">
        <f t="shared" si="203"/>
        <v>0.14000000000000001</v>
      </c>
      <c r="M64" s="498" t="s">
        <v>746</v>
      </c>
      <c r="N64" s="434">
        <f t="shared" si="325"/>
        <v>0</v>
      </c>
      <c r="O64" s="141">
        <f t="shared" si="317"/>
        <v>0</v>
      </c>
      <c r="P64" s="113">
        <f t="shared" si="180"/>
        <v>0</v>
      </c>
      <c r="Q64" s="116">
        <f t="shared" si="205"/>
        <v>0</v>
      </c>
      <c r="R64" s="117">
        <f t="shared" si="206"/>
        <v>0</v>
      </c>
      <c r="S64" s="114">
        <f t="shared" si="181"/>
        <v>0</v>
      </c>
      <c r="T64" s="413" t="str">
        <f t="shared" si="182"/>
        <v/>
      </c>
      <c r="U64" s="123">
        <f t="shared" si="183"/>
        <v>0</v>
      </c>
      <c r="V64" s="332">
        <f t="shared" si="326"/>
        <v>0</v>
      </c>
      <c r="W64" s="113">
        <f t="shared" si="19"/>
        <v>0</v>
      </c>
      <c r="X64" s="116">
        <f t="shared" si="207"/>
        <v>0</v>
      </c>
      <c r="Y64" s="117">
        <f t="shared" si="208"/>
        <v>0</v>
      </c>
      <c r="Z64" s="114">
        <f t="shared" si="184"/>
        <v>0</v>
      </c>
      <c r="AA64" s="413" t="str">
        <f t="shared" si="185"/>
        <v/>
      </c>
      <c r="AB64" s="125">
        <f t="shared" si="186"/>
        <v>0</v>
      </c>
      <c r="AC64" s="416">
        <f t="shared" si="318"/>
        <v>0</v>
      </c>
      <c r="AD64" s="113">
        <f t="shared" si="26"/>
        <v>0</v>
      </c>
      <c r="AE64" s="116">
        <f t="shared" si="209"/>
        <v>0</v>
      </c>
      <c r="AF64" s="117">
        <f t="shared" si="210"/>
        <v>0</v>
      </c>
      <c r="AG64" s="114">
        <f t="shared" si="187"/>
        <v>0</v>
      </c>
      <c r="AH64" s="413" t="str">
        <f t="shared" si="188"/>
        <v/>
      </c>
      <c r="AI64" s="846">
        <f t="shared" si="189"/>
        <v>0</v>
      </c>
      <c r="AJ64" s="840">
        <f t="shared" si="211"/>
        <v>305740.15999999997</v>
      </c>
      <c r="AK64" s="116">
        <f t="shared" si="190"/>
        <v>0</v>
      </c>
      <c r="AL64" s="116">
        <f t="shared" si="191"/>
        <v>0</v>
      </c>
      <c r="AM64" s="116">
        <f t="shared" si="192"/>
        <v>0</v>
      </c>
      <c r="AN64" s="116">
        <f t="shared" si="36"/>
        <v>-305740.15999999997</v>
      </c>
      <c r="AO64" s="413">
        <f t="shared" si="300"/>
        <v>0</v>
      </c>
      <c r="AP64" s="434"/>
      <c r="AQ64" s="140">
        <f t="shared" si="39"/>
        <v>0</v>
      </c>
      <c r="AR64" s="123">
        <f t="shared" si="214"/>
        <v>44133.599999999999</v>
      </c>
      <c r="AS64" s="148">
        <f t="shared" si="215"/>
        <v>44133.599999999999</v>
      </c>
      <c r="AT64" s="123"/>
      <c r="AU64" s="326">
        <f t="shared" si="42"/>
        <v>0</v>
      </c>
      <c r="AV64" s="326">
        <f t="shared" si="217"/>
        <v>684340.43</v>
      </c>
      <c r="AW64" s="326">
        <f t="shared" si="218"/>
        <v>684340.43</v>
      </c>
      <c r="AX64" s="332"/>
      <c r="AY64" s="140">
        <f t="shared" si="45"/>
        <v>0</v>
      </c>
      <c r="AZ64" s="326">
        <f t="shared" si="220"/>
        <v>797096.18</v>
      </c>
      <c r="BA64" s="332">
        <f t="shared" si="221"/>
        <v>797096.18</v>
      </c>
      <c r="BB64" s="122">
        <f t="shared" ref="BB64:BD64" si="336">SUM(AY64,AU64,AQ64)</f>
        <v>0</v>
      </c>
      <c r="BC64" s="326">
        <f t="shared" si="336"/>
        <v>1525570.2100000002</v>
      </c>
      <c r="BD64" s="332">
        <f t="shared" si="336"/>
        <v>1525570.2100000002</v>
      </c>
      <c r="BE64" s="140">
        <f t="shared" ref="BE64:BF64" si="337">SUM(BB64,AK64)</f>
        <v>0</v>
      </c>
      <c r="BF64" s="326">
        <f t="shared" si="337"/>
        <v>1525570.2100000002</v>
      </c>
      <c r="BG64" s="435">
        <f t="shared" si="50"/>
        <v>1525570.2100000002</v>
      </c>
      <c r="BH64" s="423"/>
      <c r="BI64" s="123">
        <f t="shared" si="51"/>
        <v>796277.44000000006</v>
      </c>
      <c r="BJ64" s="123">
        <f t="shared" si="225"/>
        <v>964764.57</v>
      </c>
      <c r="BK64" s="148">
        <f t="shared" si="226"/>
        <v>1761042.01</v>
      </c>
      <c r="BL64" s="423"/>
      <c r="BM64" s="123">
        <f t="shared" si="54"/>
        <v>0</v>
      </c>
      <c r="BN64" s="123">
        <f t="shared" si="228"/>
        <v>638992.19999999995</v>
      </c>
      <c r="BO64" s="123">
        <f t="shared" si="229"/>
        <v>638992.19999999995</v>
      </c>
      <c r="BP64" s="436"/>
      <c r="BQ64" s="140">
        <f t="shared" si="57"/>
        <v>0</v>
      </c>
      <c r="BR64" s="325">
        <f t="shared" si="231"/>
        <v>918901.21</v>
      </c>
      <c r="BS64" s="333">
        <f t="shared" si="232"/>
        <v>918901.21</v>
      </c>
      <c r="BT64" s="140">
        <f t="shared" ref="BT64:BV64" si="338">SUM(BQ64,BM64,BI64)</f>
        <v>796277.44000000006</v>
      </c>
      <c r="BU64" s="326">
        <f t="shared" si="338"/>
        <v>2522657.98</v>
      </c>
      <c r="BV64" s="333">
        <f t="shared" si="338"/>
        <v>3318935.42</v>
      </c>
      <c r="BW64" s="125"/>
      <c r="BX64" s="140">
        <f t="shared" si="61"/>
        <v>698355.60000000009</v>
      </c>
      <c r="BY64" s="123">
        <f t="shared" si="235"/>
        <v>1142778.49</v>
      </c>
      <c r="BZ64" s="148">
        <f t="shared" si="236"/>
        <v>1841134.09</v>
      </c>
      <c r="CA64" s="123"/>
      <c r="CB64" s="326"/>
      <c r="CI64" s="294"/>
      <c r="CJ64" s="294"/>
    </row>
    <row r="65" spans="1:88" ht="13">
      <c r="A65" s="436">
        <f t="shared" si="196"/>
        <v>112014375</v>
      </c>
      <c r="B65" s="172">
        <f t="shared" ref="B65:B96" si="339">VLOOKUP(M65,BUELACARTERA,2,FALSE)</f>
        <v>4</v>
      </c>
      <c r="C65" s="558" t="str">
        <f t="shared" ref="C65:C96" si="340">IFERROR(VLOOKUP(B65,DES,2,FALSE),"")</f>
        <v>Lista</v>
      </c>
      <c r="D65" s="558">
        <f t="shared" ref="D65:D96" si="341">IFERROR(VLOOKUP(B65,DES,3,FALSE),"")</f>
        <v>0.2</v>
      </c>
      <c r="E65" s="559">
        <f t="shared" ref="E65:E96" si="342">IFERROR(VLOOKUP(B65,DES,4,FALSE),"")</f>
        <v>0</v>
      </c>
      <c r="F65" s="836">
        <f t="shared" si="197"/>
        <v>4</v>
      </c>
      <c r="G65" s="558" t="str">
        <f t="shared" si="198"/>
        <v>Lista</v>
      </c>
      <c r="H65" s="558">
        <f t="shared" si="199"/>
        <v>0.2</v>
      </c>
      <c r="I65" s="559">
        <f t="shared" si="200"/>
        <v>0</v>
      </c>
      <c r="J65" s="837">
        <f t="shared" si="201"/>
        <v>70</v>
      </c>
      <c r="K65" s="699" t="str">
        <f t="shared" si="202"/>
        <v>Lista</v>
      </c>
      <c r="L65" s="700">
        <f t="shared" si="203"/>
        <v>0.11</v>
      </c>
      <c r="M65" s="498" t="s">
        <v>747</v>
      </c>
      <c r="N65" s="434">
        <f t="shared" si="325"/>
        <v>345498.65</v>
      </c>
      <c r="O65" s="141">
        <f t="shared" si="317"/>
        <v>580800.50558250013</v>
      </c>
      <c r="P65" s="113">
        <f t="shared" si="180"/>
        <v>0</v>
      </c>
      <c r="Q65" s="116">
        <f t="shared" si="205"/>
        <v>156272.64000000001</v>
      </c>
      <c r="R65" s="117">
        <f t="shared" si="206"/>
        <v>156272.64000000001</v>
      </c>
      <c r="S65" s="114">
        <f t="shared" si="181"/>
        <v>-424527.86558250012</v>
      </c>
      <c r="T65" s="413">
        <f t="shared" si="182"/>
        <v>0.26906422859131307</v>
      </c>
      <c r="U65" s="123">
        <f t="shared" ref="U65:U96" si="343">IFERROR(VLOOKUP(M65,BUELA,4,FALSE),"")</f>
        <v>597095.52</v>
      </c>
      <c r="V65" s="332">
        <f t="shared" si="326"/>
        <v>1081175.7854520001</v>
      </c>
      <c r="W65" s="113">
        <f t="shared" si="19"/>
        <v>0</v>
      </c>
      <c r="X65" s="116">
        <f t="shared" si="207"/>
        <v>455224.96</v>
      </c>
      <c r="Y65" s="117">
        <f t="shared" si="208"/>
        <v>455224.96</v>
      </c>
      <c r="Z65" s="114">
        <f t="shared" si="184"/>
        <v>-625950.82545200014</v>
      </c>
      <c r="AA65" s="413">
        <f t="shared" si="185"/>
        <v>0.42104620370283924</v>
      </c>
      <c r="AB65" s="125">
        <f t="shared" ref="AB65:AB96" si="344">IFERROR(VLOOKUP(M65,BUELA,5,FALSE),"")</f>
        <v>506042.12</v>
      </c>
      <c r="AC65" s="416">
        <f t="shared" si="318"/>
        <v>831611.90853379993</v>
      </c>
      <c r="AD65" s="113">
        <f t="shared" si="26"/>
        <v>0</v>
      </c>
      <c r="AE65" s="116">
        <f t="shared" si="209"/>
        <v>715236.08</v>
      </c>
      <c r="AF65" s="117">
        <f t="shared" si="210"/>
        <v>715236.08</v>
      </c>
      <c r="AG65" s="114">
        <f t="shared" si="187"/>
        <v>-116375.82853379997</v>
      </c>
      <c r="AH65" s="413">
        <f t="shared" si="188"/>
        <v>0.86005993019149984</v>
      </c>
      <c r="AI65" s="846">
        <f t="shared" si="189"/>
        <v>2493588.1995683</v>
      </c>
      <c r="AJ65" s="840">
        <f t="shared" si="211"/>
        <v>1658958.32</v>
      </c>
      <c r="AK65" s="116">
        <f t="shared" si="190"/>
        <v>0</v>
      </c>
      <c r="AL65" s="116">
        <f t="shared" si="191"/>
        <v>1781958.6400000001</v>
      </c>
      <c r="AM65" s="116">
        <f t="shared" si="192"/>
        <v>1326733.6800000002</v>
      </c>
      <c r="AN65" s="116">
        <f t="shared" si="36"/>
        <v>-332224.6399999999</v>
      </c>
      <c r="AO65" s="413">
        <f t="shared" si="300"/>
        <v>0.79973900730670566</v>
      </c>
      <c r="AP65" s="434"/>
      <c r="AQ65" s="140">
        <f t="shared" si="39"/>
        <v>0</v>
      </c>
      <c r="AR65" s="123">
        <f t="shared" si="214"/>
        <v>218331.04</v>
      </c>
      <c r="AS65" s="148">
        <f t="shared" si="215"/>
        <v>218331.04</v>
      </c>
      <c r="AT65" s="123"/>
      <c r="AU65" s="326">
        <f t="shared" si="42"/>
        <v>0</v>
      </c>
      <c r="AV65" s="326">
        <f t="shared" si="217"/>
        <v>206562.4</v>
      </c>
      <c r="AW65" s="326">
        <f t="shared" si="218"/>
        <v>206562.4</v>
      </c>
      <c r="AX65" s="332"/>
      <c r="AY65" s="140">
        <f t="shared" si="45"/>
        <v>0</v>
      </c>
      <c r="AZ65" s="326">
        <f t="shared" si="220"/>
        <v>225271.83</v>
      </c>
      <c r="BA65" s="332">
        <f t="shared" si="221"/>
        <v>225271.83</v>
      </c>
      <c r="BB65" s="122">
        <f t="shared" ref="BB65:BD65" si="345">SUM(AY65,AU65,AQ65)</f>
        <v>0</v>
      </c>
      <c r="BC65" s="326">
        <f t="shared" si="345"/>
        <v>650165.27</v>
      </c>
      <c r="BD65" s="332">
        <f t="shared" si="345"/>
        <v>650165.27</v>
      </c>
      <c r="BE65" s="140">
        <f t="shared" ref="BE65:BF65" si="346">SUM(BB65,AK65)</f>
        <v>0</v>
      </c>
      <c r="BF65" s="326">
        <f t="shared" si="346"/>
        <v>2432123.91</v>
      </c>
      <c r="BG65" s="435">
        <f t="shared" si="50"/>
        <v>1976898.9500000002</v>
      </c>
      <c r="BH65" s="423"/>
      <c r="BI65" s="123">
        <f t="shared" si="51"/>
        <v>0</v>
      </c>
      <c r="BJ65" s="123">
        <f t="shared" si="225"/>
        <v>0</v>
      </c>
      <c r="BK65" s="148">
        <f t="shared" si="226"/>
        <v>0</v>
      </c>
      <c r="BL65" s="423"/>
      <c r="BM65" s="123">
        <f t="shared" si="54"/>
        <v>0</v>
      </c>
      <c r="BN65" s="123">
        <f t="shared" si="228"/>
        <v>0</v>
      </c>
      <c r="BO65" s="123">
        <f t="shared" si="229"/>
        <v>0</v>
      </c>
      <c r="BP65" s="436"/>
      <c r="BQ65" s="140">
        <f t="shared" si="57"/>
        <v>0</v>
      </c>
      <c r="BR65" s="325">
        <f t="shared" si="231"/>
        <v>180760.64</v>
      </c>
      <c r="BS65" s="333">
        <f t="shared" si="232"/>
        <v>180760.64</v>
      </c>
      <c r="BT65" s="140">
        <f t="shared" ref="BT65:BV65" si="347">SUM(BQ65,BM65,BI65)</f>
        <v>0</v>
      </c>
      <c r="BU65" s="326">
        <f t="shared" si="347"/>
        <v>180760.64</v>
      </c>
      <c r="BV65" s="333">
        <f t="shared" si="347"/>
        <v>180760.64</v>
      </c>
      <c r="BW65" s="125"/>
      <c r="BX65" s="140">
        <f t="shared" si="61"/>
        <v>0</v>
      </c>
      <c r="BY65" s="123">
        <f t="shared" si="235"/>
        <v>221835.04</v>
      </c>
      <c r="BZ65" s="148">
        <f t="shared" si="236"/>
        <v>221835.04</v>
      </c>
      <c r="CA65" s="123"/>
      <c r="CB65" s="326"/>
      <c r="CI65" s="294"/>
      <c r="CJ65" s="294"/>
    </row>
    <row r="66" spans="1:88" ht="13">
      <c r="A66" s="436">
        <f t="shared" ref="A66:A97" si="348">VLOOKUP(M66,BUECART4,3,FALSE)</f>
        <v>112013320</v>
      </c>
      <c r="B66" s="172">
        <f t="shared" si="339"/>
        <v>4</v>
      </c>
      <c r="C66" s="558" t="str">
        <f t="shared" si="340"/>
        <v>Lista</v>
      </c>
      <c r="D66" s="558">
        <f t="shared" si="341"/>
        <v>0.2</v>
      </c>
      <c r="E66" s="559">
        <f t="shared" si="342"/>
        <v>0</v>
      </c>
      <c r="F66" s="836">
        <f t="shared" ref="F66:F97" si="349">VLOOKUP(M66,BUELACART2,2,FALSE)</f>
        <v>4</v>
      </c>
      <c r="G66" s="558" t="str">
        <f t="shared" ref="G66:G97" si="350">IFERROR(VLOOKUP(F66,DES,2,FALSE),"")</f>
        <v>Lista</v>
      </c>
      <c r="H66" s="558">
        <f t="shared" ref="H66:H97" si="351">IFERROR(VLOOKUP(F66,DES,3,FALSE),"")</f>
        <v>0.2</v>
      </c>
      <c r="I66" s="559">
        <f t="shared" ref="I66:I97" si="352">IFERROR(VLOOKUP(F66,DES,4,FALSE),"")</f>
        <v>0</v>
      </c>
      <c r="J66" s="837">
        <f t="shared" ref="J66:J97" si="353">VLOOKUP(M66,BUECART4,2,FALSE)</f>
        <v>70</v>
      </c>
      <c r="K66" s="699" t="str">
        <f t="shared" ref="K66:K97" si="354">VLOOKUP(J66,A458DC1025,2,FALSE)</f>
        <v>Lista</v>
      </c>
      <c r="L66" s="700">
        <f t="shared" ref="L66:L97" si="355">VLOOKUP(J66,A458DC1025,3,FALSE)</f>
        <v>0.11</v>
      </c>
      <c r="M66" s="498" t="s">
        <v>748</v>
      </c>
      <c r="N66" s="434">
        <f t="shared" si="325"/>
        <v>111229.84</v>
      </c>
      <c r="O66" s="141">
        <f t="shared" si="317"/>
        <v>186982.922532</v>
      </c>
      <c r="P66" s="113">
        <f t="shared" si="180"/>
        <v>0</v>
      </c>
      <c r="Q66" s="116">
        <f t="shared" ref="Q66:Q97" si="356">IFERROR(VLOOKUP(M66,BUEALIM,3,FALSE),"")</f>
        <v>0</v>
      </c>
      <c r="R66" s="117">
        <f t="shared" ref="R66:R97" si="357">IFERROR(VLOOKUP(M66,BUEFC,3,FALSE),"")</f>
        <v>0</v>
      </c>
      <c r="S66" s="114">
        <f t="shared" si="181"/>
        <v>-186982.922532</v>
      </c>
      <c r="T66" s="413">
        <f t="shared" si="182"/>
        <v>0</v>
      </c>
      <c r="U66" s="123">
        <f t="shared" si="343"/>
        <v>133739.64000000001</v>
      </c>
      <c r="V66" s="332">
        <f t="shared" si="326"/>
        <v>242165.70963900004</v>
      </c>
      <c r="W66" s="113">
        <f t="shared" si="19"/>
        <v>0</v>
      </c>
      <c r="X66" s="116">
        <f t="shared" ref="X66:X97" si="358">IFERROR(VLOOKUP(M66,BUEALIM,4,FALSE),"")</f>
        <v>106300.88</v>
      </c>
      <c r="Y66" s="117">
        <f t="shared" ref="Y66:Y97" si="359">IFERROR(VLOOKUP(M66,BUEFC,4,FALSE),"")</f>
        <v>106300.88</v>
      </c>
      <c r="Z66" s="114">
        <f t="shared" si="184"/>
        <v>-135864.82963900003</v>
      </c>
      <c r="AA66" s="413">
        <f t="shared" si="185"/>
        <v>0.43895925710731004</v>
      </c>
      <c r="AB66" s="125">
        <f t="shared" si="344"/>
        <v>110411.26</v>
      </c>
      <c r="AC66" s="416">
        <f t="shared" si="318"/>
        <v>181446.0002899</v>
      </c>
      <c r="AD66" s="113">
        <f t="shared" si="26"/>
        <v>0</v>
      </c>
      <c r="AE66" s="116">
        <f t="shared" ref="AE66:AE97" si="360">IFERROR(VLOOKUP(M66,BUEALIM,5,FALSE),"")</f>
        <v>0</v>
      </c>
      <c r="AF66" s="117">
        <f t="shared" ref="AF66:AF97" si="361">IFERROR(VLOOKUP(M66,BUEFC,5,FALSE),"")</f>
        <v>0</v>
      </c>
      <c r="AG66" s="114">
        <f t="shared" si="187"/>
        <v>-181446.0002899</v>
      </c>
      <c r="AH66" s="413">
        <f t="shared" si="188"/>
        <v>0</v>
      </c>
      <c r="AI66" s="846">
        <f t="shared" si="189"/>
        <v>610594.6324609</v>
      </c>
      <c r="AJ66" s="840">
        <f t="shared" ref="AJ66:AJ97" si="362">IFERROR(VLOOKUP(M66,trim2024,2,FALSE),"")</f>
        <v>244495.76</v>
      </c>
      <c r="AK66" s="116">
        <f t="shared" si="190"/>
        <v>0</v>
      </c>
      <c r="AL66" s="116">
        <f t="shared" si="191"/>
        <v>212601.76</v>
      </c>
      <c r="AM66" s="116">
        <f t="shared" si="192"/>
        <v>106300.88</v>
      </c>
      <c r="AN66" s="116">
        <f t="shared" si="36"/>
        <v>-138194.88</v>
      </c>
      <c r="AO66" s="413">
        <f t="shared" si="300"/>
        <v>0.43477596503105004</v>
      </c>
      <c r="AP66" s="434"/>
      <c r="AQ66" s="140">
        <f t="shared" si="39"/>
        <v>0</v>
      </c>
      <c r="AR66" s="123">
        <f t="shared" ref="AR66:AR97" si="363">IFERROR(VLOOKUP(M66,BUEALIM,6,FALSE),"")</f>
        <v>126030.16</v>
      </c>
      <c r="AS66" s="148">
        <f t="shared" ref="AS66:AS97" si="364">IFERROR(VLOOKUP(M66,BUEFC,6,FALSE),"")</f>
        <v>126030.16</v>
      </c>
      <c r="AT66" s="123"/>
      <c r="AU66" s="326">
        <f t="shared" si="42"/>
        <v>0</v>
      </c>
      <c r="AV66" s="326">
        <f t="shared" ref="AV66:AV97" si="365">IFERROR(VLOOKUP(M66,BUEALIM,7,FALSE),"")</f>
        <v>0</v>
      </c>
      <c r="AW66" s="326">
        <f t="shared" ref="AW66:AW97" si="366">IFERROR(VLOOKUP(M66,BUEFC,7,FALSE),"")</f>
        <v>0</v>
      </c>
      <c r="AX66" s="332"/>
      <c r="AY66" s="140">
        <f t="shared" si="45"/>
        <v>0</v>
      </c>
      <c r="AZ66" s="326">
        <f t="shared" ref="AZ66:AZ97" si="367">IFERROR(VLOOKUP(M66,BUEALIM,8,FALSE),"")</f>
        <v>94297.600000000006</v>
      </c>
      <c r="BA66" s="332">
        <f t="shared" ref="BA66:BA97" si="368">IFERROR(VLOOKUP(M66,BUEFC,8,FALSE),"")</f>
        <v>94297.600000000006</v>
      </c>
      <c r="BB66" s="122">
        <f t="shared" ref="BB66:BD66" si="369">SUM(AY66,AU66,AQ66)</f>
        <v>0</v>
      </c>
      <c r="BC66" s="326">
        <f t="shared" si="369"/>
        <v>220327.76</v>
      </c>
      <c r="BD66" s="332">
        <f t="shared" si="369"/>
        <v>220327.76</v>
      </c>
      <c r="BE66" s="140">
        <f t="shared" ref="BE66:BF66" si="370">SUM(BB66,AK66)</f>
        <v>0</v>
      </c>
      <c r="BF66" s="326">
        <f t="shared" si="370"/>
        <v>432929.52</v>
      </c>
      <c r="BG66" s="435">
        <f t="shared" si="50"/>
        <v>326628.64</v>
      </c>
      <c r="BH66" s="423"/>
      <c r="BI66" s="123">
        <f t="shared" si="51"/>
        <v>0</v>
      </c>
      <c r="BJ66" s="123">
        <f t="shared" ref="BJ66:BJ97" si="371">IFERROR(VLOOKUP(M66,BUEALIM,9,FALSE),"")</f>
        <v>126909.92</v>
      </c>
      <c r="BK66" s="148">
        <f t="shared" ref="BK66:BK97" si="372">IFERROR(VLOOKUP(M66,BUEFC,9,FALSE),"")</f>
        <v>126909.92</v>
      </c>
      <c r="BL66" s="423">
        <f>IFERROR(VLOOKUP(M66,BUELA,10,FALSE),"")</f>
        <v>29822.14</v>
      </c>
      <c r="BM66" s="123">
        <f t="shared" si="54"/>
        <v>0</v>
      </c>
      <c r="BN66" s="123">
        <f t="shared" ref="BN66:BN97" si="373">IFERROR(VLOOKUP(M66,BUEALIM,10,FALSE),"")</f>
        <v>89311.44</v>
      </c>
      <c r="BO66" s="123">
        <f t="shared" ref="BO66:BO97" si="374">IFERROR(VLOOKUP(M66,BUEFC,10,FALSE),"")</f>
        <v>89311.44</v>
      </c>
      <c r="BP66" s="436"/>
      <c r="BQ66" s="140">
        <f t="shared" si="57"/>
        <v>0</v>
      </c>
      <c r="BR66" s="325">
        <f t="shared" ref="BR66:BR97" si="375">IFERROR(VLOOKUP(M66,BUEALIM,11,FALSE),"")</f>
        <v>102850.88</v>
      </c>
      <c r="BS66" s="333">
        <f t="shared" ref="BS66:BS97" si="376">IFERROR(VLOOKUP(M66,BUEFC,11,FALSE),"")</f>
        <v>102850.88</v>
      </c>
      <c r="BT66" s="140">
        <f t="shared" ref="BT66:BV66" si="377">SUM(BQ66,BM66,BI66)</f>
        <v>0</v>
      </c>
      <c r="BU66" s="326">
        <f t="shared" si="377"/>
        <v>319072.24</v>
      </c>
      <c r="BV66" s="333">
        <f t="shared" si="377"/>
        <v>319072.24</v>
      </c>
      <c r="BW66" s="125"/>
      <c r="BX66" s="140">
        <f t="shared" si="61"/>
        <v>0</v>
      </c>
      <c r="BY66" s="123">
        <f t="shared" ref="BY66:BY97" si="378">IFERROR(VLOOKUP(M66,BUEALIM,12,FALSE),"")</f>
        <v>156687.51</v>
      </c>
      <c r="BZ66" s="148">
        <f t="shared" ref="BZ66:BZ97" si="379">IFERROR(VLOOKUP(M66,BUEFC,12,FALSE),"")</f>
        <v>156687.51</v>
      </c>
      <c r="CA66" s="123"/>
      <c r="CB66" s="326"/>
      <c r="CI66" s="294"/>
      <c r="CJ66" s="294"/>
    </row>
    <row r="67" spans="1:88" ht="13">
      <c r="A67" s="436">
        <f t="shared" si="348"/>
        <v>112013448</v>
      </c>
      <c r="B67" s="172">
        <f t="shared" si="339"/>
        <v>4</v>
      </c>
      <c r="C67" s="137" t="str">
        <f t="shared" si="340"/>
        <v>Lista</v>
      </c>
      <c r="D67" s="137">
        <f t="shared" si="341"/>
        <v>0.2</v>
      </c>
      <c r="E67" s="98">
        <f t="shared" si="342"/>
        <v>0</v>
      </c>
      <c r="F67" s="836">
        <f t="shared" si="349"/>
        <v>4</v>
      </c>
      <c r="G67" s="558" t="str">
        <f t="shared" si="350"/>
        <v>Lista</v>
      </c>
      <c r="H67" s="558">
        <f t="shared" si="351"/>
        <v>0.2</v>
      </c>
      <c r="I67" s="559">
        <f t="shared" si="352"/>
        <v>0</v>
      </c>
      <c r="J67" s="837">
        <f t="shared" si="353"/>
        <v>70</v>
      </c>
      <c r="K67" s="699" t="str">
        <f t="shared" si="354"/>
        <v>Lista</v>
      </c>
      <c r="L67" s="700">
        <f t="shared" si="355"/>
        <v>0.11</v>
      </c>
      <c r="M67" s="498" t="s">
        <v>749</v>
      </c>
      <c r="N67" s="434">
        <f t="shared" si="325"/>
        <v>252632.4</v>
      </c>
      <c r="O67" s="141">
        <f t="shared" si="317"/>
        <v>424687.69601999997</v>
      </c>
      <c r="P67" s="113">
        <f t="shared" si="180"/>
        <v>0</v>
      </c>
      <c r="Q67" s="116">
        <f t="shared" si="356"/>
        <v>499238.24</v>
      </c>
      <c r="R67" s="117">
        <f t="shared" si="357"/>
        <v>499238.24</v>
      </c>
      <c r="S67" s="114">
        <f t="shared" si="181"/>
        <v>74550.543980000017</v>
      </c>
      <c r="T67" s="413">
        <f t="shared" si="182"/>
        <v>1.1755420387231779</v>
      </c>
      <c r="U67" s="123">
        <f t="shared" si="343"/>
        <v>160200.79999999999</v>
      </c>
      <c r="V67" s="895">
        <v>1500000</v>
      </c>
      <c r="W67" s="113">
        <f t="shared" si="19"/>
        <v>0</v>
      </c>
      <c r="X67" s="116">
        <f t="shared" si="358"/>
        <v>305004.32</v>
      </c>
      <c r="Y67" s="117">
        <f t="shared" si="359"/>
        <v>305004.32</v>
      </c>
      <c r="Z67" s="114">
        <f t="shared" si="184"/>
        <v>-1194995.68</v>
      </c>
      <c r="AA67" s="413">
        <f t="shared" si="185"/>
        <v>0.20333621333333335</v>
      </c>
      <c r="AB67" s="125">
        <f t="shared" si="344"/>
        <v>0</v>
      </c>
      <c r="AC67" s="416">
        <f t="shared" si="318"/>
        <v>0</v>
      </c>
      <c r="AD67" s="113">
        <f t="shared" si="26"/>
        <v>0</v>
      </c>
      <c r="AE67" s="116">
        <f t="shared" si="360"/>
        <v>0</v>
      </c>
      <c r="AF67" s="117">
        <f t="shared" si="361"/>
        <v>0</v>
      </c>
      <c r="AG67" s="114">
        <f t="shared" si="187"/>
        <v>0</v>
      </c>
      <c r="AH67" s="413" t="str">
        <f t="shared" si="188"/>
        <v/>
      </c>
      <c r="AI67" s="846">
        <f t="shared" si="189"/>
        <v>1924687.6960199999</v>
      </c>
      <c r="AJ67" s="840" t="str">
        <f t="shared" si="362"/>
        <v/>
      </c>
      <c r="AK67" s="116">
        <f t="shared" si="190"/>
        <v>0</v>
      </c>
      <c r="AL67" s="116">
        <f t="shared" si="191"/>
        <v>1109246.8799999999</v>
      </c>
      <c r="AM67" s="116">
        <f t="shared" si="192"/>
        <v>804242.56</v>
      </c>
      <c r="AN67" s="116" t="e">
        <f t="shared" si="36"/>
        <v>#VALUE!</v>
      </c>
      <c r="AO67" s="413" t="str">
        <f t="shared" si="300"/>
        <v/>
      </c>
      <c r="AP67" s="434"/>
      <c r="AQ67" s="140">
        <f t="shared" si="39"/>
        <v>0</v>
      </c>
      <c r="AR67" s="123">
        <f t="shared" si="363"/>
        <v>182857.92</v>
      </c>
      <c r="AS67" s="148">
        <f t="shared" si="364"/>
        <v>182857.92</v>
      </c>
      <c r="AT67" s="123"/>
      <c r="AU67" s="326">
        <f t="shared" si="42"/>
        <v>0</v>
      </c>
      <c r="AV67" s="326">
        <f t="shared" si="365"/>
        <v>296044.40000000002</v>
      </c>
      <c r="AW67" s="326">
        <f t="shared" si="366"/>
        <v>296044.40000000002</v>
      </c>
      <c r="AX67" s="332"/>
      <c r="AY67" s="140">
        <f t="shared" si="45"/>
        <v>0</v>
      </c>
      <c r="AZ67" s="326">
        <f t="shared" si="367"/>
        <v>0</v>
      </c>
      <c r="BA67" s="332">
        <f t="shared" si="368"/>
        <v>0</v>
      </c>
      <c r="BB67" s="122">
        <f t="shared" ref="BB67:BD67" si="380">SUM(AY67,AU67,AQ67)</f>
        <v>0</v>
      </c>
      <c r="BC67" s="326">
        <f t="shared" si="380"/>
        <v>478902.32000000007</v>
      </c>
      <c r="BD67" s="332">
        <f t="shared" si="380"/>
        <v>478902.32000000007</v>
      </c>
      <c r="BE67" s="140">
        <f t="shared" ref="BE67:BF67" si="381">SUM(BB67,AK67)</f>
        <v>0</v>
      </c>
      <c r="BF67" s="326">
        <f t="shared" si="381"/>
        <v>1588149.2</v>
      </c>
      <c r="BG67" s="435">
        <f t="shared" si="50"/>
        <v>1283144.8800000001</v>
      </c>
      <c r="BH67" s="423"/>
      <c r="BI67" s="123">
        <f t="shared" si="51"/>
        <v>0</v>
      </c>
      <c r="BJ67" s="123">
        <f t="shared" si="371"/>
        <v>477876.32</v>
      </c>
      <c r="BK67" s="148">
        <f t="shared" si="372"/>
        <v>477876.32</v>
      </c>
      <c r="BL67" s="423"/>
      <c r="BM67" s="123">
        <f t="shared" si="54"/>
        <v>0</v>
      </c>
      <c r="BN67" s="123">
        <f t="shared" si="373"/>
        <v>0</v>
      </c>
      <c r="BO67" s="123">
        <f t="shared" si="374"/>
        <v>0</v>
      </c>
      <c r="BP67" s="436"/>
      <c r="BQ67" s="140">
        <f t="shared" si="57"/>
        <v>0</v>
      </c>
      <c r="BR67" s="325">
        <f t="shared" si="375"/>
        <v>735632.8</v>
      </c>
      <c r="BS67" s="333">
        <f t="shared" si="376"/>
        <v>735632.8</v>
      </c>
      <c r="BT67" s="140">
        <f t="shared" ref="BT67:BV67" si="382">SUM(BQ67,BM67,BI67)</f>
        <v>0</v>
      </c>
      <c r="BU67" s="326">
        <f t="shared" si="382"/>
        <v>1213509.1200000001</v>
      </c>
      <c r="BV67" s="333">
        <f t="shared" si="382"/>
        <v>1213509.1200000001</v>
      </c>
      <c r="BW67" s="125"/>
      <c r="BX67" s="140">
        <f t="shared" si="61"/>
        <v>0</v>
      </c>
      <c r="BY67" s="123">
        <f t="shared" si="378"/>
        <v>0</v>
      </c>
      <c r="BZ67" s="148">
        <f t="shared" si="379"/>
        <v>0</v>
      </c>
      <c r="CA67" s="123"/>
      <c r="CB67" s="326"/>
      <c r="CI67" s="294"/>
      <c r="CJ67" s="294"/>
    </row>
    <row r="68" spans="1:88" ht="13">
      <c r="A68" s="436">
        <f t="shared" si="348"/>
        <v>112014752</v>
      </c>
      <c r="B68" s="172" t="e">
        <f t="shared" si="339"/>
        <v>#N/A</v>
      </c>
      <c r="C68" s="558" t="str">
        <f t="shared" si="340"/>
        <v/>
      </c>
      <c r="D68" s="558" t="str">
        <f t="shared" si="341"/>
        <v/>
      </c>
      <c r="E68" s="559" t="str">
        <f t="shared" si="342"/>
        <v/>
      </c>
      <c r="F68" s="836">
        <f t="shared" si="349"/>
        <v>4</v>
      </c>
      <c r="G68" s="558" t="str">
        <f t="shared" si="350"/>
        <v>Lista</v>
      </c>
      <c r="H68" s="558">
        <f t="shared" si="351"/>
        <v>0.2</v>
      </c>
      <c r="I68" s="559">
        <f t="shared" si="352"/>
        <v>0</v>
      </c>
      <c r="J68" s="837">
        <f t="shared" si="353"/>
        <v>70</v>
      </c>
      <c r="K68" s="699" t="str">
        <f t="shared" si="354"/>
        <v>Lista</v>
      </c>
      <c r="L68" s="700">
        <f t="shared" si="355"/>
        <v>0.11</v>
      </c>
      <c r="M68" s="859" t="s">
        <v>750</v>
      </c>
      <c r="N68" s="434"/>
      <c r="O68" s="141">
        <f t="shared" si="317"/>
        <v>0</v>
      </c>
      <c r="P68" s="113">
        <f t="shared" si="180"/>
        <v>0</v>
      </c>
      <c r="Q68" s="116">
        <f t="shared" si="356"/>
        <v>0</v>
      </c>
      <c r="R68" s="117">
        <f t="shared" si="357"/>
        <v>0</v>
      </c>
      <c r="S68" s="114">
        <f t="shared" si="181"/>
        <v>0</v>
      </c>
      <c r="T68" s="413" t="str">
        <f t="shared" si="182"/>
        <v/>
      </c>
      <c r="U68" s="123" t="str">
        <f t="shared" si="343"/>
        <v/>
      </c>
      <c r="V68" s="332" t="e">
        <f t="shared" ref="V68:V82" si="383">(U68*1.7245)*1.05</f>
        <v>#VALUE!</v>
      </c>
      <c r="W68" s="113">
        <f t="shared" si="19"/>
        <v>0</v>
      </c>
      <c r="X68" s="116">
        <f t="shared" si="358"/>
        <v>0</v>
      </c>
      <c r="Y68" s="117">
        <f t="shared" si="359"/>
        <v>0</v>
      </c>
      <c r="Z68" s="114" t="e">
        <f t="shared" si="184"/>
        <v>#VALUE!</v>
      </c>
      <c r="AA68" s="413" t="str">
        <f t="shared" si="185"/>
        <v/>
      </c>
      <c r="AB68" s="125" t="str">
        <f t="shared" si="344"/>
        <v/>
      </c>
      <c r="AC68" s="416" t="e">
        <f t="shared" si="318"/>
        <v>#VALUE!</v>
      </c>
      <c r="AD68" s="113">
        <f t="shared" si="26"/>
        <v>0</v>
      </c>
      <c r="AE68" s="116">
        <f t="shared" si="360"/>
        <v>0</v>
      </c>
      <c r="AF68" s="117">
        <f t="shared" si="361"/>
        <v>0</v>
      </c>
      <c r="AG68" s="114" t="e">
        <f t="shared" si="187"/>
        <v>#VALUE!</v>
      </c>
      <c r="AH68" s="413" t="str">
        <f t="shared" si="188"/>
        <v/>
      </c>
      <c r="AI68" s="846" t="e">
        <f t="shared" si="189"/>
        <v>#VALUE!</v>
      </c>
      <c r="AJ68" s="840" t="str">
        <f t="shared" si="362"/>
        <v/>
      </c>
      <c r="AK68" s="116">
        <f t="shared" si="190"/>
        <v>0</v>
      </c>
      <c r="AL68" s="116">
        <f t="shared" si="191"/>
        <v>0</v>
      </c>
      <c r="AM68" s="116">
        <f t="shared" si="192"/>
        <v>0</v>
      </c>
      <c r="AN68" s="116" t="e">
        <f t="shared" si="36"/>
        <v>#VALUE!</v>
      </c>
      <c r="AO68" s="413" t="str">
        <f t="shared" si="300"/>
        <v/>
      </c>
      <c r="AP68" s="434"/>
      <c r="AQ68" s="140">
        <f t="shared" si="39"/>
        <v>0</v>
      </c>
      <c r="AR68" s="123">
        <f t="shared" si="363"/>
        <v>0</v>
      </c>
      <c r="AS68" s="148">
        <f t="shared" si="364"/>
        <v>0</v>
      </c>
      <c r="AT68" s="123"/>
      <c r="AU68" s="326">
        <f t="shared" si="42"/>
        <v>0</v>
      </c>
      <c r="AV68" s="326">
        <f t="shared" si="365"/>
        <v>0</v>
      </c>
      <c r="AW68" s="326">
        <f t="shared" si="366"/>
        <v>0</v>
      </c>
      <c r="AX68" s="332"/>
      <c r="AY68" s="140">
        <f t="shared" si="45"/>
        <v>0</v>
      </c>
      <c r="AZ68" s="326">
        <f t="shared" si="367"/>
        <v>0</v>
      </c>
      <c r="BA68" s="332">
        <f t="shared" si="368"/>
        <v>0</v>
      </c>
      <c r="BB68" s="122">
        <f t="shared" ref="BB68:BD68" si="384">SUM(AY68,AU68,AQ68)</f>
        <v>0</v>
      </c>
      <c r="BC68" s="326">
        <f t="shared" si="384"/>
        <v>0</v>
      </c>
      <c r="BD68" s="332">
        <f t="shared" si="384"/>
        <v>0</v>
      </c>
      <c r="BE68" s="140">
        <f t="shared" ref="BE68:BF68" si="385">SUM(BB68,AK68)</f>
        <v>0</v>
      </c>
      <c r="BF68" s="326">
        <f t="shared" si="385"/>
        <v>0</v>
      </c>
      <c r="BG68" s="435">
        <f t="shared" si="50"/>
        <v>0</v>
      </c>
      <c r="BH68" s="423"/>
      <c r="BI68" s="123">
        <f t="shared" si="51"/>
        <v>0</v>
      </c>
      <c r="BJ68" s="123">
        <f t="shared" si="371"/>
        <v>0</v>
      </c>
      <c r="BK68" s="148">
        <f t="shared" si="372"/>
        <v>0</v>
      </c>
      <c r="BL68" s="423" t="str">
        <f>IFERROR(VLOOKUP(M68,BUELA,10,FALSE),"")</f>
        <v/>
      </c>
      <c r="BM68" s="123">
        <f t="shared" si="54"/>
        <v>0</v>
      </c>
      <c r="BN68" s="123">
        <f t="shared" si="373"/>
        <v>0</v>
      </c>
      <c r="BO68" s="123">
        <f t="shared" si="374"/>
        <v>0</v>
      </c>
      <c r="BP68" s="436"/>
      <c r="BQ68" s="140">
        <f t="shared" si="57"/>
        <v>0</v>
      </c>
      <c r="BR68" s="325">
        <f t="shared" si="375"/>
        <v>118927.46</v>
      </c>
      <c r="BS68" s="333">
        <f t="shared" si="376"/>
        <v>118927.46</v>
      </c>
      <c r="BT68" s="140">
        <f t="shared" ref="BT68:BV68" si="386">SUM(BQ68,BM68,BI68)</f>
        <v>0</v>
      </c>
      <c r="BU68" s="326">
        <f t="shared" si="386"/>
        <v>118927.46</v>
      </c>
      <c r="BV68" s="333">
        <f t="shared" si="386"/>
        <v>118927.46</v>
      </c>
      <c r="BW68" s="125"/>
      <c r="BX68" s="140">
        <f t="shared" si="61"/>
        <v>0</v>
      </c>
      <c r="BY68" s="123">
        <f t="shared" si="378"/>
        <v>0</v>
      </c>
      <c r="BZ68" s="148">
        <f t="shared" si="379"/>
        <v>0</v>
      </c>
      <c r="CA68" s="123"/>
      <c r="CB68" s="326"/>
      <c r="CI68" s="294"/>
      <c r="CJ68" s="294"/>
    </row>
    <row r="69" spans="1:88" ht="13">
      <c r="A69" s="436">
        <f t="shared" si="348"/>
        <v>112014474</v>
      </c>
      <c r="B69" s="172">
        <f t="shared" si="339"/>
        <v>4</v>
      </c>
      <c r="C69" s="558" t="str">
        <f t="shared" si="340"/>
        <v>Lista</v>
      </c>
      <c r="D69" s="558">
        <f t="shared" si="341"/>
        <v>0.2</v>
      </c>
      <c r="E69" s="559">
        <f t="shared" si="342"/>
        <v>0</v>
      </c>
      <c r="F69" s="836">
        <f t="shared" si="349"/>
        <v>4</v>
      </c>
      <c r="G69" s="558" t="str">
        <f t="shared" si="350"/>
        <v>Lista</v>
      </c>
      <c r="H69" s="558">
        <f t="shared" si="351"/>
        <v>0.2</v>
      </c>
      <c r="I69" s="559">
        <f t="shared" si="352"/>
        <v>0</v>
      </c>
      <c r="J69" s="837">
        <f t="shared" si="353"/>
        <v>70</v>
      </c>
      <c r="K69" s="699" t="str">
        <f t="shared" si="354"/>
        <v>Lista</v>
      </c>
      <c r="L69" s="700">
        <f t="shared" si="355"/>
        <v>0.11</v>
      </c>
      <c r="M69" s="859" t="s">
        <v>751</v>
      </c>
      <c r="N69" s="434"/>
      <c r="O69" s="141">
        <f t="shared" si="317"/>
        <v>0</v>
      </c>
      <c r="P69" s="113" t="e">
        <f t="shared" si="180"/>
        <v>#VALUE!</v>
      </c>
      <c r="Q69" s="116" t="str">
        <f t="shared" si="356"/>
        <v/>
      </c>
      <c r="R69" s="117" t="str">
        <f t="shared" si="357"/>
        <v/>
      </c>
      <c r="S69" s="114" t="e">
        <f t="shared" si="181"/>
        <v>#VALUE!</v>
      </c>
      <c r="T69" s="413" t="str">
        <f t="shared" si="182"/>
        <v/>
      </c>
      <c r="U69" s="123">
        <f t="shared" si="343"/>
        <v>0</v>
      </c>
      <c r="V69" s="332">
        <f t="shared" si="383"/>
        <v>0</v>
      </c>
      <c r="W69" s="113" t="e">
        <f t="shared" si="19"/>
        <v>#VALUE!</v>
      </c>
      <c r="X69" s="116" t="str">
        <f t="shared" si="358"/>
        <v/>
      </c>
      <c r="Y69" s="117" t="str">
        <f t="shared" si="359"/>
        <v/>
      </c>
      <c r="Z69" s="114" t="e">
        <f t="shared" si="184"/>
        <v>#VALUE!</v>
      </c>
      <c r="AA69" s="413" t="str">
        <f t="shared" si="185"/>
        <v/>
      </c>
      <c r="AB69" s="125">
        <f t="shared" si="344"/>
        <v>0</v>
      </c>
      <c r="AC69" s="416">
        <f t="shared" si="318"/>
        <v>0</v>
      </c>
      <c r="AD69" s="113" t="e">
        <f t="shared" si="26"/>
        <v>#VALUE!</v>
      </c>
      <c r="AE69" s="116" t="str">
        <f t="shared" si="360"/>
        <v/>
      </c>
      <c r="AF69" s="117" t="str">
        <f t="shared" si="361"/>
        <v/>
      </c>
      <c r="AG69" s="114" t="e">
        <f t="shared" si="187"/>
        <v>#VALUE!</v>
      </c>
      <c r="AH69" s="413" t="str">
        <f t="shared" si="188"/>
        <v/>
      </c>
      <c r="AI69" s="846">
        <f t="shared" si="189"/>
        <v>0</v>
      </c>
      <c r="AJ69" s="840">
        <f t="shared" si="362"/>
        <v>381547.92</v>
      </c>
      <c r="AK69" s="116" t="e">
        <f t="shared" si="190"/>
        <v>#VALUE!</v>
      </c>
      <c r="AL69" s="116">
        <f t="shared" si="191"/>
        <v>0</v>
      </c>
      <c r="AM69" s="116">
        <f t="shared" si="192"/>
        <v>0</v>
      </c>
      <c r="AN69" s="116">
        <f t="shared" si="36"/>
        <v>-381547.92</v>
      </c>
      <c r="AO69" s="413">
        <f t="shared" si="300"/>
        <v>0</v>
      </c>
      <c r="AP69" s="434"/>
      <c r="AQ69" s="140" t="e">
        <f t="shared" si="39"/>
        <v>#VALUE!</v>
      </c>
      <c r="AR69" s="123" t="str">
        <f t="shared" si="363"/>
        <v/>
      </c>
      <c r="AS69" s="148" t="str">
        <f t="shared" si="364"/>
        <v/>
      </c>
      <c r="AT69" s="123"/>
      <c r="AU69" s="326" t="e">
        <f t="shared" si="42"/>
        <v>#VALUE!</v>
      </c>
      <c r="AV69" s="326" t="str">
        <f t="shared" si="365"/>
        <v/>
      </c>
      <c r="AW69" s="326" t="str">
        <f t="shared" si="366"/>
        <v/>
      </c>
      <c r="AX69" s="332"/>
      <c r="AY69" s="140" t="e">
        <f t="shared" si="45"/>
        <v>#VALUE!</v>
      </c>
      <c r="AZ69" s="326" t="str">
        <f t="shared" si="367"/>
        <v/>
      </c>
      <c r="BA69" s="332" t="str">
        <f t="shared" si="368"/>
        <v/>
      </c>
      <c r="BB69" s="122" t="e">
        <f t="shared" ref="BB69:BD69" si="387">SUM(AY69,AU69,AQ69)</f>
        <v>#VALUE!</v>
      </c>
      <c r="BC69" s="326">
        <f t="shared" si="387"/>
        <v>0</v>
      </c>
      <c r="BD69" s="332">
        <f t="shared" si="387"/>
        <v>0</v>
      </c>
      <c r="BE69" s="140" t="e">
        <f t="shared" ref="BE69:BF69" si="388">SUM(BB69,AK69)</f>
        <v>#VALUE!</v>
      </c>
      <c r="BF69" s="326">
        <f t="shared" si="388"/>
        <v>0</v>
      </c>
      <c r="BG69" s="435">
        <f t="shared" si="50"/>
        <v>0</v>
      </c>
      <c r="BH69" s="423"/>
      <c r="BI69" s="123" t="e">
        <f t="shared" si="51"/>
        <v>#VALUE!</v>
      </c>
      <c r="BJ69" s="123" t="str">
        <f t="shared" si="371"/>
        <v/>
      </c>
      <c r="BK69" s="148" t="str">
        <f t="shared" si="372"/>
        <v/>
      </c>
      <c r="BL69" s="423"/>
      <c r="BM69" s="123" t="e">
        <f t="shared" si="54"/>
        <v>#VALUE!</v>
      </c>
      <c r="BN69" s="123" t="str">
        <f t="shared" si="373"/>
        <v/>
      </c>
      <c r="BO69" s="123" t="str">
        <f t="shared" si="374"/>
        <v/>
      </c>
      <c r="BP69" s="436"/>
      <c r="BQ69" s="140" t="e">
        <f t="shared" si="57"/>
        <v>#VALUE!</v>
      </c>
      <c r="BR69" s="325" t="str">
        <f t="shared" si="375"/>
        <v/>
      </c>
      <c r="BS69" s="333" t="str">
        <f t="shared" si="376"/>
        <v/>
      </c>
      <c r="BT69" s="140" t="e">
        <f t="shared" ref="BT69:BV69" si="389">SUM(BQ69,BM69,BI69)</f>
        <v>#VALUE!</v>
      </c>
      <c r="BU69" s="326">
        <f t="shared" si="389"/>
        <v>0</v>
      </c>
      <c r="BV69" s="333">
        <f t="shared" si="389"/>
        <v>0</v>
      </c>
      <c r="BW69" s="125"/>
      <c r="BX69" s="140" t="e">
        <f t="shared" si="61"/>
        <v>#VALUE!</v>
      </c>
      <c r="BY69" s="123" t="str">
        <f t="shared" si="378"/>
        <v/>
      </c>
      <c r="BZ69" s="148" t="str">
        <f t="shared" si="379"/>
        <v/>
      </c>
      <c r="CA69" s="123"/>
      <c r="CB69" s="326"/>
      <c r="CI69" s="294"/>
      <c r="CJ69" s="294"/>
    </row>
    <row r="70" spans="1:88" ht="13">
      <c r="A70" s="436">
        <f t="shared" si="348"/>
        <v>112013839</v>
      </c>
      <c r="B70" s="172" t="e">
        <f t="shared" si="339"/>
        <v>#N/A</v>
      </c>
      <c r="C70" s="558" t="str">
        <f t="shared" si="340"/>
        <v/>
      </c>
      <c r="D70" s="558" t="str">
        <f t="shared" si="341"/>
        <v/>
      </c>
      <c r="E70" s="559" t="str">
        <f t="shared" si="342"/>
        <v/>
      </c>
      <c r="F70" s="836">
        <f t="shared" si="349"/>
        <v>4</v>
      </c>
      <c r="G70" s="558" t="str">
        <f t="shared" si="350"/>
        <v>Lista</v>
      </c>
      <c r="H70" s="558">
        <f t="shared" si="351"/>
        <v>0.2</v>
      </c>
      <c r="I70" s="559">
        <f t="shared" si="352"/>
        <v>0</v>
      </c>
      <c r="J70" s="837">
        <f t="shared" si="353"/>
        <v>70</v>
      </c>
      <c r="K70" s="699" t="str">
        <f t="shared" si="354"/>
        <v>Lista</v>
      </c>
      <c r="L70" s="700">
        <f t="shared" si="355"/>
        <v>0.11</v>
      </c>
      <c r="M70" s="859" t="s">
        <v>752</v>
      </c>
      <c r="N70" s="434"/>
      <c r="O70" s="141">
        <f t="shared" si="317"/>
        <v>0</v>
      </c>
      <c r="P70" s="113">
        <f t="shared" si="180"/>
        <v>0</v>
      </c>
      <c r="Q70" s="116">
        <f t="shared" si="356"/>
        <v>0</v>
      </c>
      <c r="R70" s="117">
        <f t="shared" si="357"/>
        <v>0</v>
      </c>
      <c r="S70" s="114">
        <f t="shared" si="181"/>
        <v>0</v>
      </c>
      <c r="T70" s="413" t="str">
        <f t="shared" si="182"/>
        <v/>
      </c>
      <c r="U70" s="123" t="str">
        <f t="shared" si="343"/>
        <v/>
      </c>
      <c r="V70" s="332" t="e">
        <f t="shared" si="383"/>
        <v>#VALUE!</v>
      </c>
      <c r="W70" s="113">
        <f t="shared" si="19"/>
        <v>0</v>
      </c>
      <c r="X70" s="116">
        <f t="shared" si="358"/>
        <v>0</v>
      </c>
      <c r="Y70" s="117">
        <f t="shared" si="359"/>
        <v>0</v>
      </c>
      <c r="Z70" s="114" t="e">
        <f t="shared" si="184"/>
        <v>#VALUE!</v>
      </c>
      <c r="AA70" s="413" t="str">
        <f t="shared" si="185"/>
        <v/>
      </c>
      <c r="AB70" s="125" t="str">
        <f t="shared" si="344"/>
        <v/>
      </c>
      <c r="AC70" s="416" t="e">
        <f t="shared" si="318"/>
        <v>#VALUE!</v>
      </c>
      <c r="AD70" s="113">
        <f t="shared" si="26"/>
        <v>0</v>
      </c>
      <c r="AE70" s="116">
        <f t="shared" si="360"/>
        <v>0</v>
      </c>
      <c r="AF70" s="117">
        <f t="shared" si="361"/>
        <v>0</v>
      </c>
      <c r="AG70" s="114" t="e">
        <f t="shared" si="187"/>
        <v>#VALUE!</v>
      </c>
      <c r="AH70" s="413" t="str">
        <f t="shared" si="188"/>
        <v/>
      </c>
      <c r="AI70" s="846" t="e">
        <f t="shared" si="189"/>
        <v>#VALUE!</v>
      </c>
      <c r="AJ70" s="840" t="str">
        <f t="shared" si="362"/>
        <v/>
      </c>
      <c r="AK70" s="116">
        <f t="shared" si="190"/>
        <v>0</v>
      </c>
      <c r="AL70" s="116">
        <f t="shared" si="191"/>
        <v>0</v>
      </c>
      <c r="AM70" s="116">
        <f t="shared" si="192"/>
        <v>0</v>
      </c>
      <c r="AN70" s="116" t="e">
        <f t="shared" si="36"/>
        <v>#VALUE!</v>
      </c>
      <c r="AO70" s="413" t="str">
        <f t="shared" si="300"/>
        <v/>
      </c>
      <c r="AP70" s="434"/>
      <c r="AQ70" s="140">
        <f t="shared" si="39"/>
        <v>0</v>
      </c>
      <c r="AR70" s="123">
        <f t="shared" si="363"/>
        <v>0</v>
      </c>
      <c r="AS70" s="148">
        <f t="shared" si="364"/>
        <v>0</v>
      </c>
      <c r="AT70" s="123"/>
      <c r="AU70" s="326">
        <f t="shared" si="42"/>
        <v>0</v>
      </c>
      <c r="AV70" s="326">
        <f t="shared" si="365"/>
        <v>0</v>
      </c>
      <c r="AW70" s="326">
        <f t="shared" si="366"/>
        <v>0</v>
      </c>
      <c r="AX70" s="332"/>
      <c r="AY70" s="140">
        <f t="shared" si="45"/>
        <v>0</v>
      </c>
      <c r="AZ70" s="326">
        <f t="shared" si="367"/>
        <v>0</v>
      </c>
      <c r="BA70" s="332">
        <f t="shared" si="368"/>
        <v>0</v>
      </c>
      <c r="BB70" s="122">
        <f t="shared" ref="BB70:BD70" si="390">SUM(AY70,AU70,AQ70)</f>
        <v>0</v>
      </c>
      <c r="BC70" s="326">
        <f t="shared" si="390"/>
        <v>0</v>
      </c>
      <c r="BD70" s="332">
        <f t="shared" si="390"/>
        <v>0</v>
      </c>
      <c r="BE70" s="140">
        <f t="shared" ref="BE70:BF70" si="391">SUM(BB70,AK70)</f>
        <v>0</v>
      </c>
      <c r="BF70" s="326">
        <f t="shared" si="391"/>
        <v>0</v>
      </c>
      <c r="BG70" s="435">
        <f t="shared" si="50"/>
        <v>0</v>
      </c>
      <c r="BH70" s="423"/>
      <c r="BI70" s="123">
        <f t="shared" si="51"/>
        <v>0</v>
      </c>
      <c r="BJ70" s="123">
        <f t="shared" si="371"/>
        <v>0</v>
      </c>
      <c r="BK70" s="148">
        <f t="shared" si="372"/>
        <v>0</v>
      </c>
      <c r="BL70" s="423"/>
      <c r="BM70" s="123">
        <f t="shared" si="54"/>
        <v>0</v>
      </c>
      <c r="BN70" s="123">
        <f t="shared" si="373"/>
        <v>0</v>
      </c>
      <c r="BO70" s="123">
        <f t="shared" si="374"/>
        <v>0</v>
      </c>
      <c r="BP70" s="436"/>
      <c r="BQ70" s="140">
        <f t="shared" si="57"/>
        <v>0</v>
      </c>
      <c r="BR70" s="325">
        <f t="shared" si="375"/>
        <v>0</v>
      </c>
      <c r="BS70" s="333">
        <f t="shared" si="376"/>
        <v>0</v>
      </c>
      <c r="BT70" s="140">
        <f t="shared" ref="BT70:BV70" si="392">SUM(BQ70,BM70,BI70)</f>
        <v>0</v>
      </c>
      <c r="BU70" s="326">
        <f t="shared" si="392"/>
        <v>0</v>
      </c>
      <c r="BV70" s="333">
        <f t="shared" si="392"/>
        <v>0</v>
      </c>
      <c r="BW70" s="125"/>
      <c r="BX70" s="140">
        <f t="shared" si="61"/>
        <v>0</v>
      </c>
      <c r="BY70" s="123">
        <f t="shared" si="378"/>
        <v>78076.850000000006</v>
      </c>
      <c r="BZ70" s="148">
        <f t="shared" si="379"/>
        <v>78076.850000000006</v>
      </c>
      <c r="CA70" s="123"/>
      <c r="CB70" s="326"/>
      <c r="CI70" s="294"/>
      <c r="CJ70" s="294"/>
    </row>
    <row r="71" spans="1:88" ht="13">
      <c r="A71" s="436">
        <f t="shared" si="348"/>
        <v>112013630</v>
      </c>
      <c r="B71" s="172">
        <f t="shared" si="339"/>
        <v>4</v>
      </c>
      <c r="C71" s="558" t="str">
        <f t="shared" si="340"/>
        <v>Lista</v>
      </c>
      <c r="D71" s="558">
        <f t="shared" si="341"/>
        <v>0.2</v>
      </c>
      <c r="E71" s="559">
        <f t="shared" si="342"/>
        <v>0</v>
      </c>
      <c r="F71" s="836">
        <f t="shared" si="349"/>
        <v>4</v>
      </c>
      <c r="G71" s="558" t="str">
        <f t="shared" si="350"/>
        <v>Lista</v>
      </c>
      <c r="H71" s="558">
        <f t="shared" si="351"/>
        <v>0.2</v>
      </c>
      <c r="I71" s="559">
        <f t="shared" si="352"/>
        <v>0</v>
      </c>
      <c r="J71" s="837">
        <f t="shared" si="353"/>
        <v>70</v>
      </c>
      <c r="K71" s="699" t="str">
        <f t="shared" si="354"/>
        <v>Lista</v>
      </c>
      <c r="L71" s="700">
        <f t="shared" si="355"/>
        <v>0.11</v>
      </c>
      <c r="M71" s="498" t="s">
        <v>753</v>
      </c>
      <c r="N71" s="434">
        <f t="shared" ref="N71:N82" si="393">IFERROR(VLOOKUP(M71,BUELA,3,FALSE),"")</f>
        <v>1350284.48</v>
      </c>
      <c r="O71" s="141">
        <f t="shared" si="317"/>
        <v>2269895.725104</v>
      </c>
      <c r="P71" s="113">
        <f t="shared" si="180"/>
        <v>320245.24</v>
      </c>
      <c r="Q71" s="116">
        <f t="shared" si="356"/>
        <v>1408825.36</v>
      </c>
      <c r="R71" s="117">
        <f t="shared" si="357"/>
        <v>1729070.6</v>
      </c>
      <c r="S71" s="114">
        <f t="shared" si="181"/>
        <v>-540825.12510399986</v>
      </c>
      <c r="T71" s="413">
        <f t="shared" si="182"/>
        <v>0.76174010148452043</v>
      </c>
      <c r="U71" s="123">
        <f t="shared" si="343"/>
        <v>1732345.71</v>
      </c>
      <c r="V71" s="332">
        <f t="shared" si="383"/>
        <v>3136801.6857397496</v>
      </c>
      <c r="W71" s="113">
        <f t="shared" si="19"/>
        <v>578780.82000000007</v>
      </c>
      <c r="X71" s="116">
        <f t="shared" si="358"/>
        <v>1467912.7</v>
      </c>
      <c r="Y71" s="117">
        <f t="shared" si="359"/>
        <v>2046693.52</v>
      </c>
      <c r="Z71" s="114">
        <f t="shared" si="184"/>
        <v>-1090108.1657397496</v>
      </c>
      <c r="AA71" s="413">
        <f t="shared" si="185"/>
        <v>0.65247781818802797</v>
      </c>
      <c r="AB71" s="125">
        <f t="shared" si="344"/>
        <v>1194454.6100000001</v>
      </c>
      <c r="AC71" s="416">
        <f t="shared" si="318"/>
        <v>1962924.9001626503</v>
      </c>
      <c r="AD71" s="113">
        <f t="shared" si="26"/>
        <v>603872.12999999989</v>
      </c>
      <c r="AE71" s="116">
        <f t="shared" si="360"/>
        <v>1373314.03</v>
      </c>
      <c r="AF71" s="117">
        <f t="shared" si="361"/>
        <v>1977186.16</v>
      </c>
      <c r="AG71" s="114">
        <f t="shared" si="187"/>
        <v>14261.259837349644</v>
      </c>
      <c r="AH71" s="413">
        <f t="shared" si="188"/>
        <v>1.00726531098371</v>
      </c>
      <c r="AI71" s="846">
        <f t="shared" si="189"/>
        <v>7369622.3110063998</v>
      </c>
      <c r="AJ71" s="840">
        <f t="shared" si="362"/>
        <v>5870892.6500000004</v>
      </c>
      <c r="AK71" s="116">
        <f t="shared" si="190"/>
        <v>1502898.19</v>
      </c>
      <c r="AL71" s="116">
        <f t="shared" si="191"/>
        <v>5717964.79</v>
      </c>
      <c r="AM71" s="116">
        <f t="shared" si="192"/>
        <v>5752950.2799999993</v>
      </c>
      <c r="AN71" s="116">
        <f t="shared" si="36"/>
        <v>-117942.37000000104</v>
      </c>
      <c r="AO71" s="413">
        <f t="shared" si="300"/>
        <v>0.97991065804958966</v>
      </c>
      <c r="AP71" s="434"/>
      <c r="AQ71" s="140">
        <f t="shared" si="39"/>
        <v>483440.26</v>
      </c>
      <c r="AR71" s="123">
        <f t="shared" si="363"/>
        <v>1775431.78</v>
      </c>
      <c r="AS71" s="148">
        <f t="shared" si="364"/>
        <v>2258872.04</v>
      </c>
      <c r="AT71" s="123"/>
      <c r="AU71" s="326">
        <f t="shared" si="42"/>
        <v>466721.1100000001</v>
      </c>
      <c r="AV71" s="326">
        <f t="shared" si="365"/>
        <v>1318616.95</v>
      </c>
      <c r="AW71" s="326">
        <f t="shared" si="366"/>
        <v>1785338.06</v>
      </c>
      <c r="AX71" s="332"/>
      <c r="AY71" s="140">
        <f t="shared" si="45"/>
        <v>380789</v>
      </c>
      <c r="AZ71" s="326">
        <f t="shared" si="367"/>
        <v>1587778.73</v>
      </c>
      <c r="BA71" s="332">
        <f t="shared" si="368"/>
        <v>1968567.73</v>
      </c>
      <c r="BB71" s="122">
        <f t="shared" ref="BB71:BD71" si="394">SUM(AY71,AU71,AQ71)</f>
        <v>1330950.3700000001</v>
      </c>
      <c r="BC71" s="326">
        <f t="shared" si="394"/>
        <v>4681827.46</v>
      </c>
      <c r="BD71" s="332">
        <f t="shared" si="394"/>
        <v>6012777.8300000001</v>
      </c>
      <c r="BE71" s="140">
        <f t="shared" ref="BE71:BF71" si="395">SUM(BB71,AK71)</f>
        <v>2833848.56</v>
      </c>
      <c r="BF71" s="326">
        <f t="shared" si="395"/>
        <v>10399792.25</v>
      </c>
      <c r="BG71" s="435">
        <f t="shared" si="50"/>
        <v>11765728.109999999</v>
      </c>
      <c r="BH71" s="423"/>
      <c r="BI71" s="123">
        <f t="shared" si="51"/>
        <v>604977.90000000014</v>
      </c>
      <c r="BJ71" s="123">
        <f t="shared" si="371"/>
        <v>1597726.34</v>
      </c>
      <c r="BK71" s="148">
        <f t="shared" si="372"/>
        <v>2202704.2400000002</v>
      </c>
      <c r="BL71" s="423">
        <f>IFERROR(VLOOKUP(M71,BUELA,10,FALSE),"")</f>
        <v>1748087.12</v>
      </c>
      <c r="BM71" s="123">
        <f t="shared" si="54"/>
        <v>655035.72999999975</v>
      </c>
      <c r="BN71" s="123">
        <f t="shared" si="373"/>
        <v>1829255.11</v>
      </c>
      <c r="BO71" s="123">
        <f t="shared" si="374"/>
        <v>2484290.84</v>
      </c>
      <c r="BP71" s="436"/>
      <c r="BQ71" s="140">
        <f t="shared" si="57"/>
        <v>602139.58000000007</v>
      </c>
      <c r="BR71" s="325">
        <f t="shared" si="375"/>
        <v>1244007.48</v>
      </c>
      <c r="BS71" s="333">
        <f t="shared" si="376"/>
        <v>1846147.06</v>
      </c>
      <c r="BT71" s="140">
        <f t="shared" ref="BT71:BV71" si="396">SUM(BQ71,BM71,BI71)</f>
        <v>1862153.21</v>
      </c>
      <c r="BU71" s="326">
        <f t="shared" si="396"/>
        <v>4670988.93</v>
      </c>
      <c r="BV71" s="333">
        <f t="shared" si="396"/>
        <v>6533142.1400000006</v>
      </c>
      <c r="BW71" s="125"/>
      <c r="BX71" s="140">
        <f t="shared" si="61"/>
        <v>1069022.69</v>
      </c>
      <c r="BY71" s="123">
        <f t="shared" si="378"/>
        <v>1741304.5</v>
      </c>
      <c r="BZ71" s="148">
        <f t="shared" si="379"/>
        <v>2810327.19</v>
      </c>
      <c r="CA71" s="123"/>
      <c r="CB71" s="326"/>
      <c r="CI71" s="294"/>
      <c r="CJ71" s="294"/>
    </row>
    <row r="72" spans="1:88" ht="13">
      <c r="A72" s="436">
        <f t="shared" si="348"/>
        <v>112014758</v>
      </c>
      <c r="B72" s="172" t="e">
        <f t="shared" si="339"/>
        <v>#N/A</v>
      </c>
      <c r="C72" s="558" t="str">
        <f t="shared" si="340"/>
        <v/>
      </c>
      <c r="D72" s="558" t="str">
        <f t="shared" si="341"/>
        <v/>
      </c>
      <c r="E72" s="559" t="str">
        <f t="shared" si="342"/>
        <v/>
      </c>
      <c r="F72" s="836">
        <f t="shared" si="349"/>
        <v>4</v>
      </c>
      <c r="G72" s="558" t="str">
        <f t="shared" si="350"/>
        <v>Lista</v>
      </c>
      <c r="H72" s="558">
        <f t="shared" si="351"/>
        <v>0.2</v>
      </c>
      <c r="I72" s="559">
        <f t="shared" si="352"/>
        <v>0</v>
      </c>
      <c r="J72" s="837">
        <f t="shared" si="353"/>
        <v>70</v>
      </c>
      <c r="K72" s="699" t="str">
        <f t="shared" si="354"/>
        <v>Lista</v>
      </c>
      <c r="L72" s="700">
        <f t="shared" si="355"/>
        <v>0.11</v>
      </c>
      <c r="M72" s="498" t="s">
        <v>754</v>
      </c>
      <c r="N72" s="434" t="str">
        <f t="shared" si="393"/>
        <v/>
      </c>
      <c r="O72" s="141" t="e">
        <f t="shared" si="317"/>
        <v>#VALUE!</v>
      </c>
      <c r="P72" s="113" t="e">
        <f t="shared" si="180"/>
        <v>#VALUE!</v>
      </c>
      <c r="Q72" s="116" t="str">
        <f t="shared" si="356"/>
        <v/>
      </c>
      <c r="R72" s="117">
        <f t="shared" si="357"/>
        <v>0</v>
      </c>
      <c r="S72" s="114" t="e">
        <f t="shared" si="181"/>
        <v>#VALUE!</v>
      </c>
      <c r="T72" s="413" t="str">
        <f t="shared" si="182"/>
        <v/>
      </c>
      <c r="U72" s="123" t="str">
        <f t="shared" si="343"/>
        <v/>
      </c>
      <c r="V72" s="332" t="e">
        <f t="shared" si="383"/>
        <v>#VALUE!</v>
      </c>
      <c r="W72" s="113" t="e">
        <f t="shared" si="19"/>
        <v>#VALUE!</v>
      </c>
      <c r="X72" s="116" t="str">
        <f t="shared" si="358"/>
        <v/>
      </c>
      <c r="Y72" s="117">
        <f t="shared" si="359"/>
        <v>0</v>
      </c>
      <c r="Z72" s="114" t="e">
        <f t="shared" si="184"/>
        <v>#VALUE!</v>
      </c>
      <c r="AA72" s="413" t="str">
        <f t="shared" si="185"/>
        <v/>
      </c>
      <c r="AB72" s="125" t="str">
        <f t="shared" si="344"/>
        <v/>
      </c>
      <c r="AC72" s="416" t="e">
        <f t="shared" si="318"/>
        <v>#VALUE!</v>
      </c>
      <c r="AD72" s="113" t="e">
        <f t="shared" si="26"/>
        <v>#VALUE!</v>
      </c>
      <c r="AE72" s="116" t="str">
        <f t="shared" si="360"/>
        <v/>
      </c>
      <c r="AF72" s="117">
        <f t="shared" si="361"/>
        <v>0</v>
      </c>
      <c r="AG72" s="114" t="e">
        <f t="shared" si="187"/>
        <v>#VALUE!</v>
      </c>
      <c r="AH72" s="413" t="str">
        <f t="shared" si="188"/>
        <v/>
      </c>
      <c r="AI72" s="846" t="e">
        <f t="shared" si="189"/>
        <v>#VALUE!</v>
      </c>
      <c r="AJ72" s="840" t="str">
        <f t="shared" si="362"/>
        <v/>
      </c>
      <c r="AK72" s="116" t="e">
        <f t="shared" si="190"/>
        <v>#VALUE!</v>
      </c>
      <c r="AL72" s="116">
        <f t="shared" si="191"/>
        <v>0</v>
      </c>
      <c r="AM72" s="116">
        <f t="shared" si="192"/>
        <v>0</v>
      </c>
      <c r="AN72" s="116" t="e">
        <f t="shared" si="36"/>
        <v>#VALUE!</v>
      </c>
      <c r="AO72" s="413" t="str">
        <f t="shared" si="300"/>
        <v/>
      </c>
      <c r="AP72" s="434"/>
      <c r="AQ72" s="140" t="e">
        <f t="shared" si="39"/>
        <v>#VALUE!</v>
      </c>
      <c r="AR72" s="123" t="str">
        <f t="shared" si="363"/>
        <v/>
      </c>
      <c r="AS72" s="148">
        <f t="shared" si="364"/>
        <v>0</v>
      </c>
      <c r="AT72" s="123"/>
      <c r="AU72" s="326" t="e">
        <f t="shared" si="42"/>
        <v>#VALUE!</v>
      </c>
      <c r="AV72" s="326" t="str">
        <f t="shared" si="365"/>
        <v/>
      </c>
      <c r="AW72" s="326">
        <f t="shared" si="366"/>
        <v>0</v>
      </c>
      <c r="AX72" s="332"/>
      <c r="AY72" s="140" t="e">
        <f t="shared" si="45"/>
        <v>#VALUE!</v>
      </c>
      <c r="AZ72" s="326" t="str">
        <f t="shared" si="367"/>
        <v/>
      </c>
      <c r="BA72" s="332">
        <f t="shared" si="368"/>
        <v>0</v>
      </c>
      <c r="BB72" s="122" t="e">
        <f t="shared" ref="BB72:BD72" si="397">SUM(AY72,AU72,AQ72)</f>
        <v>#VALUE!</v>
      </c>
      <c r="BC72" s="326">
        <f t="shared" si="397"/>
        <v>0</v>
      </c>
      <c r="BD72" s="332">
        <f t="shared" si="397"/>
        <v>0</v>
      </c>
      <c r="BE72" s="140" t="e">
        <f t="shared" ref="BE72:BF72" si="398">SUM(BB72,AK72)</f>
        <v>#VALUE!</v>
      </c>
      <c r="BF72" s="326">
        <f t="shared" si="398"/>
        <v>0</v>
      </c>
      <c r="BG72" s="435">
        <f t="shared" si="50"/>
        <v>0</v>
      </c>
      <c r="BH72" s="423"/>
      <c r="BI72" s="123" t="e">
        <f t="shared" si="51"/>
        <v>#VALUE!</v>
      </c>
      <c r="BJ72" s="123" t="str">
        <f t="shared" si="371"/>
        <v/>
      </c>
      <c r="BK72" s="148">
        <f t="shared" si="372"/>
        <v>0</v>
      </c>
      <c r="BL72" s="423" t="str">
        <f>IFERROR(VLOOKUP(M72,BUELA,10,FALSE),"")</f>
        <v/>
      </c>
      <c r="BM72" s="123" t="e">
        <f t="shared" si="54"/>
        <v>#VALUE!</v>
      </c>
      <c r="BN72" s="123" t="str">
        <f t="shared" si="373"/>
        <v/>
      </c>
      <c r="BO72" s="123">
        <f t="shared" si="374"/>
        <v>620754.41</v>
      </c>
      <c r="BP72" s="436"/>
      <c r="BQ72" s="140" t="e">
        <f t="shared" si="57"/>
        <v>#VALUE!</v>
      </c>
      <c r="BR72" s="325" t="str">
        <f t="shared" si="375"/>
        <v/>
      </c>
      <c r="BS72" s="333">
        <f t="shared" si="376"/>
        <v>0</v>
      </c>
      <c r="BT72" s="140" t="e">
        <f t="shared" ref="BT72:BV72" si="399">SUM(BQ72,BM72,BI72)</f>
        <v>#VALUE!</v>
      </c>
      <c r="BU72" s="326">
        <f t="shared" si="399"/>
        <v>0</v>
      </c>
      <c r="BV72" s="333">
        <f t="shared" si="399"/>
        <v>620754.41</v>
      </c>
      <c r="BW72" s="125"/>
      <c r="BX72" s="140" t="e">
        <f t="shared" si="61"/>
        <v>#VALUE!</v>
      </c>
      <c r="BY72" s="123" t="str">
        <f t="shared" si="378"/>
        <v/>
      </c>
      <c r="BZ72" s="148">
        <f t="shared" si="379"/>
        <v>128891.5</v>
      </c>
      <c r="CA72" s="123"/>
      <c r="CB72" s="326"/>
      <c r="CI72" s="294"/>
      <c r="CJ72" s="294"/>
    </row>
    <row r="73" spans="1:88" ht="13">
      <c r="A73" s="436">
        <f t="shared" si="348"/>
        <v>112014751</v>
      </c>
      <c r="B73" s="172" t="e">
        <f t="shared" si="339"/>
        <v>#N/A</v>
      </c>
      <c r="C73" s="558" t="str">
        <f t="shared" si="340"/>
        <v/>
      </c>
      <c r="D73" s="558" t="str">
        <f t="shared" si="341"/>
        <v/>
      </c>
      <c r="E73" s="559" t="str">
        <f t="shared" si="342"/>
        <v/>
      </c>
      <c r="F73" s="836">
        <f t="shared" si="349"/>
        <v>4</v>
      </c>
      <c r="G73" s="558" t="str">
        <f t="shared" si="350"/>
        <v>Lista</v>
      </c>
      <c r="H73" s="558">
        <f t="shared" si="351"/>
        <v>0.2</v>
      </c>
      <c r="I73" s="559">
        <f t="shared" si="352"/>
        <v>0</v>
      </c>
      <c r="J73" s="837">
        <f t="shared" si="353"/>
        <v>70</v>
      </c>
      <c r="K73" s="699" t="str">
        <f t="shared" si="354"/>
        <v>Lista</v>
      </c>
      <c r="L73" s="700">
        <f t="shared" si="355"/>
        <v>0.11</v>
      </c>
      <c r="M73" s="498" t="s">
        <v>755</v>
      </c>
      <c r="N73" s="434" t="str">
        <f t="shared" si="393"/>
        <v/>
      </c>
      <c r="O73" s="141" t="e">
        <f t="shared" si="317"/>
        <v>#VALUE!</v>
      </c>
      <c r="P73" s="113">
        <f t="shared" si="180"/>
        <v>0</v>
      </c>
      <c r="Q73" s="116">
        <f t="shared" si="356"/>
        <v>0</v>
      </c>
      <c r="R73" s="117">
        <f t="shared" si="357"/>
        <v>0</v>
      </c>
      <c r="S73" s="114" t="e">
        <f t="shared" si="181"/>
        <v>#VALUE!</v>
      </c>
      <c r="T73" s="413" t="str">
        <f t="shared" si="182"/>
        <v/>
      </c>
      <c r="U73" s="123" t="str">
        <f t="shared" si="343"/>
        <v/>
      </c>
      <c r="V73" s="332" t="e">
        <f t="shared" si="383"/>
        <v>#VALUE!</v>
      </c>
      <c r="W73" s="113">
        <f t="shared" si="19"/>
        <v>0</v>
      </c>
      <c r="X73" s="116">
        <f t="shared" si="358"/>
        <v>0</v>
      </c>
      <c r="Y73" s="117">
        <f t="shared" si="359"/>
        <v>0</v>
      </c>
      <c r="Z73" s="114" t="e">
        <f t="shared" si="184"/>
        <v>#VALUE!</v>
      </c>
      <c r="AA73" s="413" t="str">
        <f t="shared" si="185"/>
        <v/>
      </c>
      <c r="AB73" s="125" t="str">
        <f t="shared" si="344"/>
        <v/>
      </c>
      <c r="AC73" s="416" t="e">
        <f t="shared" si="318"/>
        <v>#VALUE!</v>
      </c>
      <c r="AD73" s="113">
        <f t="shared" si="26"/>
        <v>0</v>
      </c>
      <c r="AE73" s="116">
        <f t="shared" si="360"/>
        <v>0</v>
      </c>
      <c r="AF73" s="117">
        <f t="shared" si="361"/>
        <v>0</v>
      </c>
      <c r="AG73" s="114" t="e">
        <f t="shared" si="187"/>
        <v>#VALUE!</v>
      </c>
      <c r="AH73" s="413" t="str">
        <f t="shared" si="188"/>
        <v/>
      </c>
      <c r="AI73" s="846" t="e">
        <f t="shared" si="189"/>
        <v>#VALUE!</v>
      </c>
      <c r="AJ73" s="840" t="str">
        <f t="shared" si="362"/>
        <v/>
      </c>
      <c r="AK73" s="116">
        <f t="shared" si="190"/>
        <v>0</v>
      </c>
      <c r="AL73" s="116">
        <f t="shared" si="191"/>
        <v>0</v>
      </c>
      <c r="AM73" s="116">
        <f t="shared" si="192"/>
        <v>0</v>
      </c>
      <c r="AN73" s="116" t="e">
        <f t="shared" si="36"/>
        <v>#VALUE!</v>
      </c>
      <c r="AO73" s="413" t="str">
        <f t="shared" si="300"/>
        <v/>
      </c>
      <c r="AP73" s="434"/>
      <c r="AQ73" s="140">
        <f t="shared" si="39"/>
        <v>0</v>
      </c>
      <c r="AR73" s="123">
        <f t="shared" si="363"/>
        <v>0</v>
      </c>
      <c r="AS73" s="148">
        <f t="shared" si="364"/>
        <v>0</v>
      </c>
      <c r="AT73" s="123"/>
      <c r="AU73" s="326">
        <f t="shared" si="42"/>
        <v>0</v>
      </c>
      <c r="AV73" s="326">
        <f t="shared" si="365"/>
        <v>0</v>
      </c>
      <c r="AW73" s="326">
        <f t="shared" si="366"/>
        <v>0</v>
      </c>
      <c r="AX73" s="332"/>
      <c r="AY73" s="140">
        <f t="shared" si="45"/>
        <v>0</v>
      </c>
      <c r="AZ73" s="326">
        <f t="shared" si="367"/>
        <v>0</v>
      </c>
      <c r="BA73" s="332">
        <f t="shared" si="368"/>
        <v>0</v>
      </c>
      <c r="BB73" s="122">
        <f t="shared" ref="BB73:BD73" si="400">SUM(AY73,AU73,AQ73)</f>
        <v>0</v>
      </c>
      <c r="BC73" s="326">
        <f t="shared" si="400"/>
        <v>0</v>
      </c>
      <c r="BD73" s="332">
        <f t="shared" si="400"/>
        <v>0</v>
      </c>
      <c r="BE73" s="140">
        <f t="shared" ref="BE73:BF73" si="401">SUM(BB73,AK73)</f>
        <v>0</v>
      </c>
      <c r="BF73" s="326">
        <f t="shared" si="401"/>
        <v>0</v>
      </c>
      <c r="BG73" s="435">
        <f t="shared" si="50"/>
        <v>0</v>
      </c>
      <c r="BH73" s="423"/>
      <c r="BI73" s="123">
        <f t="shared" si="51"/>
        <v>0</v>
      </c>
      <c r="BJ73" s="123">
        <f t="shared" si="371"/>
        <v>0</v>
      </c>
      <c r="BK73" s="148">
        <f t="shared" si="372"/>
        <v>0</v>
      </c>
      <c r="BL73" s="423"/>
      <c r="BM73" s="123">
        <f t="shared" si="54"/>
        <v>155942.07999999999</v>
      </c>
      <c r="BN73" s="123">
        <f t="shared" si="373"/>
        <v>158152.82999999999</v>
      </c>
      <c r="BO73" s="123">
        <f t="shared" si="374"/>
        <v>314094.90999999997</v>
      </c>
      <c r="BP73" s="436"/>
      <c r="BQ73" s="140">
        <f t="shared" si="57"/>
        <v>242398.39</v>
      </c>
      <c r="BR73" s="325">
        <f t="shared" si="375"/>
        <v>304416</v>
      </c>
      <c r="BS73" s="333">
        <f t="shared" si="376"/>
        <v>546814.39</v>
      </c>
      <c r="BT73" s="140">
        <f t="shared" ref="BT73:BV73" si="402">SUM(BQ73,BM73,BI73)</f>
        <v>398340.47</v>
      </c>
      <c r="BU73" s="326">
        <f t="shared" si="402"/>
        <v>462568.82999999996</v>
      </c>
      <c r="BV73" s="333">
        <f t="shared" si="402"/>
        <v>860909.3</v>
      </c>
      <c r="BW73" s="125"/>
      <c r="BX73" s="140">
        <f t="shared" si="61"/>
        <v>556139.98</v>
      </c>
      <c r="BY73" s="123">
        <f t="shared" si="378"/>
        <v>247251.8</v>
      </c>
      <c r="BZ73" s="148">
        <f t="shared" si="379"/>
        <v>803391.78</v>
      </c>
      <c r="CA73" s="123"/>
      <c r="CB73" s="326"/>
      <c r="CI73" s="294"/>
      <c r="CJ73" s="294"/>
    </row>
    <row r="74" spans="1:88" ht="13">
      <c r="A74" s="436">
        <f t="shared" si="348"/>
        <v>112013297</v>
      </c>
      <c r="B74" s="172">
        <f t="shared" si="339"/>
        <v>18</v>
      </c>
      <c r="C74" s="558" t="str">
        <f t="shared" si="340"/>
        <v>Lista</v>
      </c>
      <c r="D74" s="558">
        <f t="shared" si="341"/>
        <v>0.23</v>
      </c>
      <c r="E74" s="559">
        <f t="shared" si="342"/>
        <v>0</v>
      </c>
      <c r="F74" s="836">
        <f t="shared" si="349"/>
        <v>18</v>
      </c>
      <c r="G74" s="558" t="str">
        <f t="shared" si="350"/>
        <v>Lista</v>
      </c>
      <c r="H74" s="558">
        <f t="shared" si="351"/>
        <v>0.23</v>
      </c>
      <c r="I74" s="559">
        <f t="shared" si="352"/>
        <v>0</v>
      </c>
      <c r="J74" s="837">
        <f t="shared" si="353"/>
        <v>69</v>
      </c>
      <c r="K74" s="699" t="str">
        <f t="shared" si="354"/>
        <v>Lista</v>
      </c>
      <c r="L74" s="700">
        <f t="shared" si="355"/>
        <v>0.14000000000000001</v>
      </c>
      <c r="M74" s="498" t="s">
        <v>756</v>
      </c>
      <c r="N74" s="434">
        <f t="shared" si="393"/>
        <v>619984.72</v>
      </c>
      <c r="O74" s="141">
        <f t="shared" si="317"/>
        <v>1042225.313556</v>
      </c>
      <c r="P74" s="113">
        <f t="shared" si="180"/>
        <v>0</v>
      </c>
      <c r="Q74" s="116">
        <f t="shared" si="356"/>
        <v>579977.52</v>
      </c>
      <c r="R74" s="117">
        <f t="shared" si="357"/>
        <v>579977.52</v>
      </c>
      <c r="S74" s="114">
        <f t="shared" si="181"/>
        <v>-462247.79355599999</v>
      </c>
      <c r="T74" s="413">
        <f t="shared" si="182"/>
        <v>0.55647997842343433</v>
      </c>
      <c r="U74" s="123">
        <f t="shared" si="343"/>
        <v>443533.76</v>
      </c>
      <c r="V74" s="332">
        <f t="shared" si="383"/>
        <v>803117.66757600009</v>
      </c>
      <c r="W74" s="113">
        <f t="shared" si="19"/>
        <v>0</v>
      </c>
      <c r="X74" s="116">
        <f t="shared" si="358"/>
        <v>374376.59</v>
      </c>
      <c r="Y74" s="117">
        <f t="shared" si="359"/>
        <v>374376.59</v>
      </c>
      <c r="Z74" s="114">
        <f t="shared" si="184"/>
        <v>-428741.07757600007</v>
      </c>
      <c r="AA74" s="413">
        <f t="shared" si="185"/>
        <v>0.46615409561335824</v>
      </c>
      <c r="AB74" s="125">
        <f t="shared" si="344"/>
        <v>807438.48</v>
      </c>
      <c r="AC74" s="416">
        <f t="shared" si="318"/>
        <v>1326916.1376852</v>
      </c>
      <c r="AD74" s="113">
        <f t="shared" si="26"/>
        <v>0</v>
      </c>
      <c r="AE74" s="116">
        <f t="shared" si="360"/>
        <v>937469.81</v>
      </c>
      <c r="AF74" s="117">
        <f t="shared" si="361"/>
        <v>937469.81</v>
      </c>
      <c r="AG74" s="114">
        <f t="shared" si="187"/>
        <v>-389446.32768519991</v>
      </c>
      <c r="AH74" s="413">
        <f t="shared" si="188"/>
        <v>0.70650268195201282</v>
      </c>
      <c r="AI74" s="846">
        <f t="shared" si="189"/>
        <v>3172259.1188172</v>
      </c>
      <c r="AJ74" s="840">
        <f t="shared" si="362"/>
        <v>1929987.04</v>
      </c>
      <c r="AK74" s="116">
        <f t="shared" si="190"/>
        <v>0</v>
      </c>
      <c r="AL74" s="116">
        <f t="shared" si="191"/>
        <v>2266200.5100000002</v>
      </c>
      <c r="AM74" s="116">
        <f t="shared" si="192"/>
        <v>1891823.9200000002</v>
      </c>
      <c r="AN74" s="116">
        <f t="shared" si="36"/>
        <v>-38163.119999999879</v>
      </c>
      <c r="AO74" s="413">
        <f t="shared" si="300"/>
        <v>0.98022622991292219</v>
      </c>
      <c r="AP74" s="434"/>
      <c r="AQ74" s="140">
        <f t="shared" si="39"/>
        <v>0</v>
      </c>
      <c r="AR74" s="123">
        <f t="shared" si="363"/>
        <v>1178136.1100000001</v>
      </c>
      <c r="AS74" s="148">
        <f t="shared" si="364"/>
        <v>1178136.1100000001</v>
      </c>
      <c r="AT74" s="123"/>
      <c r="AU74" s="326">
        <f t="shared" si="42"/>
        <v>0</v>
      </c>
      <c r="AV74" s="326">
        <f t="shared" si="365"/>
        <v>1250776.99</v>
      </c>
      <c r="AW74" s="326">
        <f t="shared" si="366"/>
        <v>1250776.99</v>
      </c>
      <c r="AX74" s="332"/>
      <c r="AY74" s="140">
        <f t="shared" si="45"/>
        <v>0</v>
      </c>
      <c r="AZ74" s="326">
        <f t="shared" si="367"/>
        <v>1635414.96</v>
      </c>
      <c r="BA74" s="332">
        <f t="shared" si="368"/>
        <v>1635414.96</v>
      </c>
      <c r="BB74" s="122">
        <f t="shared" ref="BB74:BD74" si="403">SUM(AY74,AU74,AQ74)</f>
        <v>0</v>
      </c>
      <c r="BC74" s="326">
        <f t="shared" si="403"/>
        <v>4064328.0600000005</v>
      </c>
      <c r="BD74" s="332">
        <f t="shared" si="403"/>
        <v>4064328.0600000005</v>
      </c>
      <c r="BE74" s="140">
        <f t="shared" ref="BE74:BF74" si="404">SUM(BB74,AK74)</f>
        <v>0</v>
      </c>
      <c r="BF74" s="326">
        <f t="shared" si="404"/>
        <v>6330528.5700000003</v>
      </c>
      <c r="BG74" s="435">
        <f t="shared" si="50"/>
        <v>5956151.9800000004</v>
      </c>
      <c r="BH74" s="423"/>
      <c r="BI74" s="123">
        <f t="shared" si="51"/>
        <v>0</v>
      </c>
      <c r="BJ74" s="123">
        <f t="shared" si="371"/>
        <v>1667711.23</v>
      </c>
      <c r="BK74" s="148">
        <f t="shared" si="372"/>
        <v>1667711.23</v>
      </c>
      <c r="BL74" s="302">
        <f>IFERROR(VLOOKUP(M74,BUELA,10,FALSE),"")</f>
        <v>1262896.32</v>
      </c>
      <c r="BM74" s="123">
        <f t="shared" si="54"/>
        <v>0</v>
      </c>
      <c r="BN74" s="123">
        <f t="shared" si="373"/>
        <v>1238564.17</v>
      </c>
      <c r="BO74" s="123">
        <f t="shared" si="374"/>
        <v>1238564.17</v>
      </c>
      <c r="BP74" s="436"/>
      <c r="BQ74" s="140">
        <f t="shared" si="57"/>
        <v>0</v>
      </c>
      <c r="BR74" s="325">
        <f t="shared" si="375"/>
        <v>1583679.52</v>
      </c>
      <c r="BS74" s="333">
        <f t="shared" si="376"/>
        <v>1583679.52</v>
      </c>
      <c r="BT74" s="140">
        <f t="shared" ref="BT74:BV74" si="405">SUM(BQ74,BM74,BI74)</f>
        <v>0</v>
      </c>
      <c r="BU74" s="326">
        <f t="shared" si="405"/>
        <v>4489954.92</v>
      </c>
      <c r="BV74" s="333">
        <f t="shared" si="405"/>
        <v>4489954.92</v>
      </c>
      <c r="BW74" s="125"/>
      <c r="BX74" s="140">
        <f t="shared" si="61"/>
        <v>0</v>
      </c>
      <c r="BY74" s="123">
        <f t="shared" si="378"/>
        <v>721991.62</v>
      </c>
      <c r="BZ74" s="148">
        <f t="shared" si="379"/>
        <v>721991.62</v>
      </c>
      <c r="CA74" s="123"/>
      <c r="CB74" s="326"/>
      <c r="CI74" s="294"/>
      <c r="CJ74" s="294"/>
    </row>
    <row r="75" spans="1:88" ht="13">
      <c r="A75" s="436">
        <f t="shared" si="348"/>
        <v>112013885</v>
      </c>
      <c r="B75" s="172">
        <f t="shared" si="339"/>
        <v>4</v>
      </c>
      <c r="C75" s="558" t="str">
        <f t="shared" si="340"/>
        <v>Lista</v>
      </c>
      <c r="D75" s="558">
        <f t="shared" si="341"/>
        <v>0.2</v>
      </c>
      <c r="E75" s="559">
        <f t="shared" si="342"/>
        <v>0</v>
      </c>
      <c r="F75" s="836">
        <f t="shared" si="349"/>
        <v>4</v>
      </c>
      <c r="G75" s="558" t="str">
        <f t="shared" si="350"/>
        <v>Lista</v>
      </c>
      <c r="H75" s="558">
        <f t="shared" si="351"/>
        <v>0.2</v>
      </c>
      <c r="I75" s="559">
        <f t="shared" si="352"/>
        <v>0</v>
      </c>
      <c r="J75" s="837">
        <f t="shared" si="353"/>
        <v>70</v>
      </c>
      <c r="K75" s="699" t="str">
        <f t="shared" si="354"/>
        <v>Lista</v>
      </c>
      <c r="L75" s="700">
        <f t="shared" si="355"/>
        <v>0.11</v>
      </c>
      <c r="M75" s="498" t="s">
        <v>757</v>
      </c>
      <c r="N75" s="434">
        <f t="shared" si="393"/>
        <v>0</v>
      </c>
      <c r="O75" s="141">
        <f t="shared" si="317"/>
        <v>0</v>
      </c>
      <c r="P75" s="113">
        <f t="shared" si="180"/>
        <v>0</v>
      </c>
      <c r="Q75" s="116">
        <f t="shared" si="356"/>
        <v>0</v>
      </c>
      <c r="R75" s="117">
        <f t="shared" si="357"/>
        <v>0</v>
      </c>
      <c r="S75" s="114">
        <f t="shared" si="181"/>
        <v>0</v>
      </c>
      <c r="T75" s="413" t="str">
        <f t="shared" si="182"/>
        <v/>
      </c>
      <c r="U75" s="123">
        <f t="shared" si="343"/>
        <v>244809.92</v>
      </c>
      <c r="V75" s="332">
        <f t="shared" si="383"/>
        <v>443283.44239200006</v>
      </c>
      <c r="W75" s="113">
        <f t="shared" si="19"/>
        <v>0</v>
      </c>
      <c r="X75" s="116">
        <f t="shared" si="358"/>
        <v>0</v>
      </c>
      <c r="Y75" s="117">
        <f t="shared" si="359"/>
        <v>0</v>
      </c>
      <c r="Z75" s="114">
        <f t="shared" si="184"/>
        <v>-443283.44239200006</v>
      </c>
      <c r="AA75" s="413">
        <f t="shared" si="185"/>
        <v>0</v>
      </c>
      <c r="AB75" s="125">
        <f t="shared" si="344"/>
        <v>0</v>
      </c>
      <c r="AC75" s="416">
        <f t="shared" si="318"/>
        <v>0</v>
      </c>
      <c r="AD75" s="113">
        <f t="shared" si="26"/>
        <v>0</v>
      </c>
      <c r="AE75" s="116">
        <f t="shared" si="360"/>
        <v>0</v>
      </c>
      <c r="AF75" s="117">
        <f t="shared" si="361"/>
        <v>0</v>
      </c>
      <c r="AG75" s="114">
        <f t="shared" si="187"/>
        <v>0</v>
      </c>
      <c r="AH75" s="413" t="str">
        <f t="shared" si="188"/>
        <v/>
      </c>
      <c r="AI75" s="846">
        <f t="shared" si="189"/>
        <v>443283.44239200006</v>
      </c>
      <c r="AJ75" s="840">
        <f t="shared" si="362"/>
        <v>420746.88</v>
      </c>
      <c r="AK75" s="116">
        <f t="shared" si="190"/>
        <v>0</v>
      </c>
      <c r="AL75" s="116">
        <f t="shared" si="191"/>
        <v>0</v>
      </c>
      <c r="AM75" s="116">
        <f t="shared" si="192"/>
        <v>0</v>
      </c>
      <c r="AN75" s="116">
        <f t="shared" si="36"/>
        <v>-420746.88</v>
      </c>
      <c r="AO75" s="413">
        <f t="shared" si="300"/>
        <v>0</v>
      </c>
      <c r="AP75" s="434"/>
      <c r="AQ75" s="140">
        <f t="shared" si="39"/>
        <v>0</v>
      </c>
      <c r="AR75" s="123">
        <f t="shared" si="363"/>
        <v>0</v>
      </c>
      <c r="AS75" s="148">
        <f t="shared" si="364"/>
        <v>0</v>
      </c>
      <c r="AT75" s="123"/>
      <c r="AU75" s="326">
        <f t="shared" si="42"/>
        <v>0</v>
      </c>
      <c r="AV75" s="326">
        <f t="shared" si="365"/>
        <v>427816.08</v>
      </c>
      <c r="AW75" s="326">
        <f t="shared" si="366"/>
        <v>427816.08</v>
      </c>
      <c r="AX75" s="332"/>
      <c r="AY75" s="140">
        <f t="shared" si="45"/>
        <v>0</v>
      </c>
      <c r="AZ75" s="326">
        <f t="shared" si="367"/>
        <v>0</v>
      </c>
      <c r="BA75" s="332">
        <f t="shared" si="368"/>
        <v>0</v>
      </c>
      <c r="BB75" s="122">
        <f t="shared" ref="BB75:BD75" si="406">SUM(AY75,AU75,AQ75)</f>
        <v>0</v>
      </c>
      <c r="BC75" s="326">
        <f t="shared" si="406"/>
        <v>427816.08</v>
      </c>
      <c r="BD75" s="332">
        <f t="shared" si="406"/>
        <v>427816.08</v>
      </c>
      <c r="BE75" s="140">
        <f t="shared" ref="BE75:BF75" si="407">SUM(BB75,AK75)</f>
        <v>0</v>
      </c>
      <c r="BF75" s="326">
        <f t="shared" si="407"/>
        <v>427816.08</v>
      </c>
      <c r="BG75" s="435">
        <f t="shared" si="50"/>
        <v>427816.08</v>
      </c>
      <c r="BH75" s="423"/>
      <c r="BI75" s="123">
        <f t="shared" si="51"/>
        <v>0</v>
      </c>
      <c r="BJ75" s="123">
        <f t="shared" si="371"/>
        <v>0</v>
      </c>
      <c r="BK75" s="148">
        <f t="shared" si="372"/>
        <v>0</v>
      </c>
      <c r="BL75" s="423"/>
      <c r="BM75" s="123">
        <f t="shared" si="54"/>
        <v>0</v>
      </c>
      <c r="BN75" s="123">
        <f t="shared" si="373"/>
        <v>0</v>
      </c>
      <c r="BO75" s="123">
        <f t="shared" si="374"/>
        <v>0</v>
      </c>
      <c r="BP75" s="436"/>
      <c r="BQ75" s="140">
        <f t="shared" si="57"/>
        <v>0</v>
      </c>
      <c r="BR75" s="325">
        <f t="shared" si="375"/>
        <v>253959.84</v>
      </c>
      <c r="BS75" s="333">
        <f t="shared" si="376"/>
        <v>253959.84</v>
      </c>
      <c r="BT75" s="140">
        <f t="shared" ref="BT75:BV75" si="408">SUM(BQ75,BM75,BI75)</f>
        <v>0</v>
      </c>
      <c r="BU75" s="326">
        <f t="shared" si="408"/>
        <v>253959.84</v>
      </c>
      <c r="BV75" s="333">
        <f t="shared" si="408"/>
        <v>253959.84</v>
      </c>
      <c r="BW75" s="125"/>
      <c r="BX75" s="140">
        <f t="shared" si="61"/>
        <v>0</v>
      </c>
      <c r="BY75" s="123">
        <f t="shared" si="378"/>
        <v>0</v>
      </c>
      <c r="BZ75" s="148">
        <f t="shared" si="379"/>
        <v>0</v>
      </c>
      <c r="CA75" s="123"/>
      <c r="CB75" s="326"/>
      <c r="CI75" s="294"/>
      <c r="CJ75" s="294"/>
    </row>
    <row r="76" spans="1:88" ht="13">
      <c r="A76" s="436">
        <f t="shared" si="348"/>
        <v>112013277</v>
      </c>
      <c r="B76" s="172">
        <f t="shared" si="339"/>
        <v>4</v>
      </c>
      <c r="C76" s="558" t="str">
        <f t="shared" si="340"/>
        <v>Lista</v>
      </c>
      <c r="D76" s="558">
        <f t="shared" si="341"/>
        <v>0.2</v>
      </c>
      <c r="E76" s="559">
        <f t="shared" si="342"/>
        <v>0</v>
      </c>
      <c r="F76" s="836">
        <f t="shared" si="349"/>
        <v>4</v>
      </c>
      <c r="G76" s="558" t="str">
        <f t="shared" si="350"/>
        <v>Lista</v>
      </c>
      <c r="H76" s="558">
        <f t="shared" si="351"/>
        <v>0.2</v>
      </c>
      <c r="I76" s="559">
        <f t="shared" si="352"/>
        <v>0</v>
      </c>
      <c r="J76" s="837">
        <f t="shared" si="353"/>
        <v>70</v>
      </c>
      <c r="K76" s="699" t="str">
        <f t="shared" si="354"/>
        <v>Lista</v>
      </c>
      <c r="L76" s="700">
        <f t="shared" si="355"/>
        <v>0.11</v>
      </c>
      <c r="M76" s="498" t="s">
        <v>758</v>
      </c>
      <c r="N76" s="434">
        <f t="shared" si="393"/>
        <v>476847.54</v>
      </c>
      <c r="O76" s="141">
        <f t="shared" si="317"/>
        <v>801604.55711699999</v>
      </c>
      <c r="P76" s="113">
        <f t="shared" si="180"/>
        <v>0</v>
      </c>
      <c r="Q76" s="116">
        <f t="shared" si="356"/>
        <v>621813.43999999994</v>
      </c>
      <c r="R76" s="117">
        <f t="shared" si="357"/>
        <v>621813.43999999994</v>
      </c>
      <c r="S76" s="114">
        <f t="shared" si="181"/>
        <v>-179791.11711700005</v>
      </c>
      <c r="T76" s="413">
        <f t="shared" si="182"/>
        <v>0.77571095932435141</v>
      </c>
      <c r="U76" s="123">
        <f t="shared" si="343"/>
        <v>590116.16</v>
      </c>
      <c r="V76" s="332">
        <f t="shared" si="383"/>
        <v>1068538.083816</v>
      </c>
      <c r="W76" s="113">
        <f t="shared" si="19"/>
        <v>0</v>
      </c>
      <c r="X76" s="116">
        <f t="shared" si="358"/>
        <v>614467.98</v>
      </c>
      <c r="Y76" s="117">
        <f t="shared" si="359"/>
        <v>614467.98</v>
      </c>
      <c r="Z76" s="114">
        <f t="shared" si="184"/>
        <v>-454070.10381600005</v>
      </c>
      <c r="AA76" s="413">
        <f t="shared" si="185"/>
        <v>0.57505482425632481</v>
      </c>
      <c r="AB76" s="125">
        <f t="shared" si="344"/>
        <v>291218.32</v>
      </c>
      <c r="AC76" s="416">
        <f t="shared" si="318"/>
        <v>478577.99444679997</v>
      </c>
      <c r="AD76" s="113">
        <f t="shared" si="26"/>
        <v>0</v>
      </c>
      <c r="AE76" s="116">
        <f t="shared" si="360"/>
        <v>409824.64</v>
      </c>
      <c r="AF76" s="117">
        <f t="shared" si="361"/>
        <v>409824.64</v>
      </c>
      <c r="AG76" s="114">
        <f t="shared" si="187"/>
        <v>-68753.35444679996</v>
      </c>
      <c r="AH76" s="413">
        <f t="shared" si="188"/>
        <v>0.85633824529213121</v>
      </c>
      <c r="AI76" s="846">
        <f t="shared" si="189"/>
        <v>2348720.6353798001</v>
      </c>
      <c r="AJ76" s="840">
        <f t="shared" si="362"/>
        <v>1636774.64</v>
      </c>
      <c r="AK76" s="116">
        <f t="shared" si="190"/>
        <v>0</v>
      </c>
      <c r="AL76" s="116">
        <f t="shared" si="191"/>
        <v>2260574.04</v>
      </c>
      <c r="AM76" s="116">
        <f t="shared" si="192"/>
        <v>1646106.06</v>
      </c>
      <c r="AN76" s="116">
        <f t="shared" si="36"/>
        <v>9331.4200000001583</v>
      </c>
      <c r="AO76" s="413">
        <f t="shared" si="300"/>
        <v>1.005701102504863</v>
      </c>
      <c r="AP76" s="434"/>
      <c r="AQ76" s="140">
        <f t="shared" si="39"/>
        <v>0</v>
      </c>
      <c r="AR76" s="123">
        <f t="shared" si="363"/>
        <v>477451.96</v>
      </c>
      <c r="AS76" s="148">
        <f t="shared" si="364"/>
        <v>477451.96</v>
      </c>
      <c r="AT76" s="123"/>
      <c r="AU76" s="326">
        <f t="shared" si="42"/>
        <v>0</v>
      </c>
      <c r="AV76" s="326">
        <f t="shared" si="365"/>
        <v>447548.29</v>
      </c>
      <c r="AW76" s="326">
        <f t="shared" si="366"/>
        <v>447548.29</v>
      </c>
      <c r="AX76" s="332"/>
      <c r="AY76" s="140">
        <f t="shared" si="45"/>
        <v>0</v>
      </c>
      <c r="AZ76" s="326">
        <f t="shared" si="367"/>
        <v>589988.07999999996</v>
      </c>
      <c r="BA76" s="332">
        <f t="shared" si="368"/>
        <v>589988.07999999996</v>
      </c>
      <c r="BB76" s="122">
        <f t="shared" ref="BB76:BD76" si="409">SUM(AY76,AU76,AQ76)</f>
        <v>0</v>
      </c>
      <c r="BC76" s="326">
        <f t="shared" si="409"/>
        <v>1514988.3299999998</v>
      </c>
      <c r="BD76" s="332">
        <f t="shared" si="409"/>
        <v>1514988.3299999998</v>
      </c>
      <c r="BE76" s="140">
        <f t="shared" ref="BE76:BF76" si="410">SUM(BB76,AK76)</f>
        <v>0</v>
      </c>
      <c r="BF76" s="326">
        <f t="shared" si="410"/>
        <v>3775562.37</v>
      </c>
      <c r="BG76" s="435">
        <f t="shared" si="50"/>
        <v>3161094.3899999997</v>
      </c>
      <c r="BH76" s="423"/>
      <c r="BI76" s="123">
        <f t="shared" si="51"/>
        <v>0</v>
      </c>
      <c r="BJ76" s="123">
        <f t="shared" si="371"/>
        <v>416550.84</v>
      </c>
      <c r="BK76" s="148">
        <f t="shared" si="372"/>
        <v>416550.84</v>
      </c>
      <c r="BL76" s="423"/>
      <c r="BM76" s="123">
        <f t="shared" si="54"/>
        <v>0</v>
      </c>
      <c r="BN76" s="123">
        <f t="shared" si="373"/>
        <v>738851.68</v>
      </c>
      <c r="BO76" s="123">
        <f t="shared" si="374"/>
        <v>738851.68</v>
      </c>
      <c r="BP76" s="436"/>
      <c r="BQ76" s="140">
        <f t="shared" si="57"/>
        <v>0</v>
      </c>
      <c r="BR76" s="325">
        <f t="shared" si="375"/>
        <v>593669.52</v>
      </c>
      <c r="BS76" s="333">
        <f t="shared" si="376"/>
        <v>593669.52</v>
      </c>
      <c r="BT76" s="140">
        <f t="shared" ref="BT76:BV76" si="411">SUM(BQ76,BM76,BI76)</f>
        <v>0</v>
      </c>
      <c r="BU76" s="326">
        <f t="shared" si="411"/>
        <v>1749072.0400000003</v>
      </c>
      <c r="BV76" s="333">
        <f t="shared" si="411"/>
        <v>1749072.0400000003</v>
      </c>
      <c r="BW76" s="125"/>
      <c r="BX76" s="140">
        <f t="shared" si="61"/>
        <v>0</v>
      </c>
      <c r="BY76" s="123">
        <f t="shared" si="378"/>
        <v>660170.4</v>
      </c>
      <c r="BZ76" s="148">
        <f t="shared" si="379"/>
        <v>660170.4</v>
      </c>
      <c r="CA76" s="123"/>
      <c r="CB76" s="326"/>
      <c r="CI76" s="294"/>
      <c r="CJ76" s="294"/>
    </row>
    <row r="77" spans="1:88" ht="13">
      <c r="A77" s="436">
        <f t="shared" si="348"/>
        <v>112013918</v>
      </c>
      <c r="B77" s="172">
        <f t="shared" si="339"/>
        <v>4</v>
      </c>
      <c r="C77" s="558" t="str">
        <f t="shared" si="340"/>
        <v>Lista</v>
      </c>
      <c r="D77" s="558">
        <f t="shared" si="341"/>
        <v>0.2</v>
      </c>
      <c r="E77" s="559">
        <f t="shared" si="342"/>
        <v>0</v>
      </c>
      <c r="F77" s="836">
        <f t="shared" si="349"/>
        <v>4</v>
      </c>
      <c r="G77" s="558" t="str">
        <f t="shared" si="350"/>
        <v>Lista</v>
      </c>
      <c r="H77" s="558">
        <f t="shared" si="351"/>
        <v>0.2</v>
      </c>
      <c r="I77" s="559">
        <f t="shared" si="352"/>
        <v>0</v>
      </c>
      <c r="J77" s="837">
        <f t="shared" si="353"/>
        <v>70</v>
      </c>
      <c r="K77" s="699" t="str">
        <f t="shared" si="354"/>
        <v>Lista</v>
      </c>
      <c r="L77" s="700">
        <f t="shared" si="355"/>
        <v>0.11</v>
      </c>
      <c r="M77" s="498" t="s">
        <v>759</v>
      </c>
      <c r="N77" s="434">
        <f t="shared" si="393"/>
        <v>220739.38</v>
      </c>
      <c r="O77" s="141">
        <f t="shared" si="317"/>
        <v>371073.93474900001</v>
      </c>
      <c r="P77" s="113">
        <f t="shared" si="180"/>
        <v>0</v>
      </c>
      <c r="Q77" s="116">
        <f t="shared" si="356"/>
        <v>59861.68</v>
      </c>
      <c r="R77" s="117">
        <f t="shared" si="357"/>
        <v>59861.68</v>
      </c>
      <c r="S77" s="114">
        <f t="shared" si="181"/>
        <v>-311212.25474900001</v>
      </c>
      <c r="T77" s="413">
        <f t="shared" si="182"/>
        <v>0.16132008851683788</v>
      </c>
      <c r="U77" s="123">
        <f t="shared" si="343"/>
        <v>-18673.27</v>
      </c>
      <c r="V77" s="332">
        <f t="shared" si="383"/>
        <v>-33812.156820750002</v>
      </c>
      <c r="W77" s="113">
        <f t="shared" si="19"/>
        <v>0</v>
      </c>
      <c r="X77" s="116">
        <f t="shared" si="358"/>
        <v>73918.559999999998</v>
      </c>
      <c r="Y77" s="117">
        <f t="shared" si="359"/>
        <v>73918.559999999998</v>
      </c>
      <c r="Z77" s="114">
        <f t="shared" si="184"/>
        <v>107730.71682075001</v>
      </c>
      <c r="AA77" s="413">
        <f t="shared" si="185"/>
        <v>-2.1861533528271497</v>
      </c>
      <c r="AB77" s="125">
        <f t="shared" si="344"/>
        <v>88925.28</v>
      </c>
      <c r="AC77" s="416">
        <f t="shared" si="318"/>
        <v>146136.69276719997</v>
      </c>
      <c r="AD77" s="113">
        <f t="shared" si="26"/>
        <v>0</v>
      </c>
      <c r="AE77" s="116">
        <f t="shared" si="360"/>
        <v>65601.52</v>
      </c>
      <c r="AF77" s="117">
        <f t="shared" si="361"/>
        <v>65601.52</v>
      </c>
      <c r="AG77" s="114">
        <f t="shared" si="187"/>
        <v>-80535.172767199969</v>
      </c>
      <c r="AH77" s="413">
        <f t="shared" si="188"/>
        <v>0.44890519114528715</v>
      </c>
      <c r="AI77" s="846">
        <f t="shared" si="189"/>
        <v>483398.47069544997</v>
      </c>
      <c r="AJ77" s="840">
        <f t="shared" si="362"/>
        <v>321180.44</v>
      </c>
      <c r="AK77" s="116">
        <f t="shared" si="190"/>
        <v>0</v>
      </c>
      <c r="AL77" s="116">
        <f t="shared" si="191"/>
        <v>273300.32</v>
      </c>
      <c r="AM77" s="116">
        <f t="shared" si="192"/>
        <v>199381.76000000001</v>
      </c>
      <c r="AN77" s="116">
        <f t="shared" si="36"/>
        <v>-121798.68</v>
      </c>
      <c r="AO77" s="413">
        <f t="shared" si="300"/>
        <v>0.6207780274539757</v>
      </c>
      <c r="AP77" s="434"/>
      <c r="AQ77" s="140">
        <f t="shared" si="39"/>
        <v>0</v>
      </c>
      <c r="AR77" s="123">
        <f t="shared" si="363"/>
        <v>123654.24</v>
      </c>
      <c r="AS77" s="148">
        <f t="shared" si="364"/>
        <v>123654.24</v>
      </c>
      <c r="AT77" s="123"/>
      <c r="AU77" s="326">
        <f t="shared" si="42"/>
        <v>0</v>
      </c>
      <c r="AV77" s="326">
        <f t="shared" si="365"/>
        <v>0</v>
      </c>
      <c r="AW77" s="326">
        <f t="shared" si="366"/>
        <v>0</v>
      </c>
      <c r="AX77" s="332"/>
      <c r="AY77" s="140">
        <f t="shared" si="45"/>
        <v>0</v>
      </c>
      <c r="AZ77" s="326">
        <f t="shared" si="367"/>
        <v>86638.32</v>
      </c>
      <c r="BA77" s="332">
        <f t="shared" si="368"/>
        <v>86638.32</v>
      </c>
      <c r="BB77" s="122">
        <f t="shared" ref="BB77:BD77" si="412">SUM(AY77,AU77,AQ77)</f>
        <v>0</v>
      </c>
      <c r="BC77" s="326">
        <f t="shared" si="412"/>
        <v>210292.56</v>
      </c>
      <c r="BD77" s="332">
        <f t="shared" si="412"/>
        <v>210292.56</v>
      </c>
      <c r="BE77" s="140">
        <f t="shared" ref="BE77:BF77" si="413">SUM(BB77,AK77)</f>
        <v>0</v>
      </c>
      <c r="BF77" s="326">
        <f t="shared" si="413"/>
        <v>483592.88</v>
      </c>
      <c r="BG77" s="435">
        <f t="shared" si="50"/>
        <v>409674.32</v>
      </c>
      <c r="BH77" s="423"/>
      <c r="BI77" s="123">
        <f t="shared" si="51"/>
        <v>0</v>
      </c>
      <c r="BJ77" s="123">
        <f t="shared" si="371"/>
        <v>105502.16</v>
      </c>
      <c r="BK77" s="148">
        <f t="shared" si="372"/>
        <v>105502.16</v>
      </c>
      <c r="BL77" s="423">
        <f>IFERROR(VLOOKUP(M77,BUELA,10,FALSE),"")</f>
        <v>163639.04000000001</v>
      </c>
      <c r="BM77" s="123">
        <f t="shared" si="54"/>
        <v>0</v>
      </c>
      <c r="BN77" s="123">
        <f t="shared" si="373"/>
        <v>145842.34</v>
      </c>
      <c r="BO77" s="123">
        <f t="shared" si="374"/>
        <v>145842.34</v>
      </c>
      <c r="BP77" s="436"/>
      <c r="BQ77" s="140">
        <f t="shared" si="57"/>
        <v>0</v>
      </c>
      <c r="BR77" s="325">
        <f t="shared" si="375"/>
        <v>242721.47</v>
      </c>
      <c r="BS77" s="333">
        <f t="shared" si="376"/>
        <v>242721.47</v>
      </c>
      <c r="BT77" s="140">
        <f t="shared" ref="BT77:BV77" si="414">SUM(BQ77,BM77,BI77)</f>
        <v>0</v>
      </c>
      <c r="BU77" s="326">
        <f t="shared" si="414"/>
        <v>494065.97</v>
      </c>
      <c r="BV77" s="333">
        <f t="shared" si="414"/>
        <v>494065.97</v>
      </c>
      <c r="BW77" s="125"/>
      <c r="BX77" s="140">
        <f t="shared" si="61"/>
        <v>0</v>
      </c>
      <c r="BY77" s="123">
        <f t="shared" si="378"/>
        <v>262102.5</v>
      </c>
      <c r="BZ77" s="148">
        <f t="shared" si="379"/>
        <v>262102.5</v>
      </c>
      <c r="CA77" s="123"/>
      <c r="CB77" s="326"/>
      <c r="CI77" s="294"/>
      <c r="CJ77" s="294"/>
    </row>
    <row r="78" spans="1:88" ht="13">
      <c r="A78" s="436">
        <f t="shared" si="348"/>
        <v>112013584</v>
      </c>
      <c r="B78" s="172">
        <f t="shared" si="339"/>
        <v>18</v>
      </c>
      <c r="C78" s="558" t="str">
        <f t="shared" si="340"/>
        <v>Lista</v>
      </c>
      <c r="D78" s="558">
        <f t="shared" si="341"/>
        <v>0.23</v>
      </c>
      <c r="E78" s="559">
        <f t="shared" si="342"/>
        <v>0</v>
      </c>
      <c r="F78" s="836">
        <f t="shared" si="349"/>
        <v>18</v>
      </c>
      <c r="G78" s="558" t="str">
        <f t="shared" si="350"/>
        <v>Lista</v>
      </c>
      <c r="H78" s="558">
        <f t="shared" si="351"/>
        <v>0.23</v>
      </c>
      <c r="I78" s="559">
        <f t="shared" si="352"/>
        <v>0</v>
      </c>
      <c r="J78" s="837">
        <f t="shared" si="353"/>
        <v>69</v>
      </c>
      <c r="K78" s="699" t="str">
        <f t="shared" si="354"/>
        <v>Lista</v>
      </c>
      <c r="L78" s="700">
        <f t="shared" si="355"/>
        <v>0.14000000000000001</v>
      </c>
      <c r="M78" s="498" t="s">
        <v>760</v>
      </c>
      <c r="N78" s="434">
        <f t="shared" si="393"/>
        <v>343296.64</v>
      </c>
      <c r="O78" s="141">
        <f t="shared" si="317"/>
        <v>577098.8166720001</v>
      </c>
      <c r="P78" s="113">
        <f t="shared" si="180"/>
        <v>0</v>
      </c>
      <c r="Q78" s="116">
        <f t="shared" si="356"/>
        <v>120577.60000000001</v>
      </c>
      <c r="R78" s="117">
        <f t="shared" si="357"/>
        <v>120577.60000000001</v>
      </c>
      <c r="S78" s="114">
        <f t="shared" si="181"/>
        <v>-456521.21667200013</v>
      </c>
      <c r="T78" s="413">
        <f t="shared" si="182"/>
        <v>0.20893752771032192</v>
      </c>
      <c r="U78" s="123">
        <f t="shared" si="343"/>
        <v>0</v>
      </c>
      <c r="V78" s="332">
        <f t="shared" si="383"/>
        <v>0</v>
      </c>
      <c r="W78" s="113">
        <f t="shared" si="19"/>
        <v>0</v>
      </c>
      <c r="X78" s="116">
        <f t="shared" si="358"/>
        <v>310061.52</v>
      </c>
      <c r="Y78" s="117">
        <f t="shared" si="359"/>
        <v>310061.52</v>
      </c>
      <c r="Z78" s="114">
        <f t="shared" si="184"/>
        <v>310061.52</v>
      </c>
      <c r="AA78" s="413" t="str">
        <f t="shared" si="185"/>
        <v/>
      </c>
      <c r="AB78" s="125">
        <f t="shared" si="344"/>
        <v>437665.68</v>
      </c>
      <c r="AC78" s="416">
        <f t="shared" si="318"/>
        <v>719244.46021319996</v>
      </c>
      <c r="AD78" s="113">
        <f t="shared" si="26"/>
        <v>0</v>
      </c>
      <c r="AE78" s="116">
        <f t="shared" si="360"/>
        <v>74650.240000000005</v>
      </c>
      <c r="AF78" s="117">
        <f t="shared" si="361"/>
        <v>74650.240000000005</v>
      </c>
      <c r="AG78" s="114">
        <f t="shared" si="187"/>
        <v>-644594.22021319997</v>
      </c>
      <c r="AH78" s="413">
        <f t="shared" si="188"/>
        <v>0.10378980183993634</v>
      </c>
      <c r="AI78" s="846">
        <f t="shared" si="189"/>
        <v>1296343.2768852001</v>
      </c>
      <c r="AJ78" s="840">
        <f t="shared" si="362"/>
        <v>696974.96</v>
      </c>
      <c r="AK78" s="116">
        <f t="shared" si="190"/>
        <v>0</v>
      </c>
      <c r="AL78" s="116">
        <f t="shared" si="191"/>
        <v>815350.88</v>
      </c>
      <c r="AM78" s="116">
        <f t="shared" si="192"/>
        <v>505289.36</v>
      </c>
      <c r="AN78" s="116">
        <f t="shared" si="36"/>
        <v>-191685.59999999998</v>
      </c>
      <c r="AO78" s="413">
        <f t="shared" si="300"/>
        <v>0.72497491158075467</v>
      </c>
      <c r="AP78" s="434"/>
      <c r="AQ78" s="140">
        <f t="shared" si="39"/>
        <v>0</v>
      </c>
      <c r="AR78" s="123">
        <f t="shared" si="363"/>
        <v>52228.49</v>
      </c>
      <c r="AS78" s="148">
        <f t="shared" si="364"/>
        <v>52228.49</v>
      </c>
      <c r="AT78" s="123"/>
      <c r="AU78" s="326">
        <f t="shared" si="42"/>
        <v>0</v>
      </c>
      <c r="AV78" s="326">
        <f t="shared" si="365"/>
        <v>371962.9</v>
      </c>
      <c r="AW78" s="326">
        <f t="shared" si="366"/>
        <v>371962.9</v>
      </c>
      <c r="AX78" s="332"/>
      <c r="AY78" s="140">
        <f t="shared" si="45"/>
        <v>0</v>
      </c>
      <c r="AZ78" s="326">
        <f t="shared" si="367"/>
        <v>0</v>
      </c>
      <c r="BA78" s="332">
        <f t="shared" si="368"/>
        <v>0</v>
      </c>
      <c r="BB78" s="122">
        <f t="shared" ref="BB78:BD78" si="415">SUM(AY78,AU78,AQ78)</f>
        <v>0</v>
      </c>
      <c r="BC78" s="326">
        <f t="shared" si="415"/>
        <v>424191.39</v>
      </c>
      <c r="BD78" s="332">
        <f t="shared" si="415"/>
        <v>424191.39</v>
      </c>
      <c r="BE78" s="140">
        <f t="shared" ref="BE78:BF78" si="416">SUM(BB78,AK78)</f>
        <v>0</v>
      </c>
      <c r="BF78" s="326">
        <f t="shared" si="416"/>
        <v>1239542.27</v>
      </c>
      <c r="BG78" s="435">
        <f t="shared" si="50"/>
        <v>929480.75</v>
      </c>
      <c r="BH78" s="423"/>
      <c r="BI78" s="123">
        <f t="shared" si="51"/>
        <v>0</v>
      </c>
      <c r="BJ78" s="123">
        <f t="shared" si="371"/>
        <v>0</v>
      </c>
      <c r="BK78" s="148">
        <f t="shared" si="372"/>
        <v>0</v>
      </c>
      <c r="BL78" s="423"/>
      <c r="BM78" s="123">
        <f t="shared" si="54"/>
        <v>0</v>
      </c>
      <c r="BN78" s="123">
        <f t="shared" si="373"/>
        <v>142262.1</v>
      </c>
      <c r="BO78" s="123">
        <f t="shared" si="374"/>
        <v>142262.1</v>
      </c>
      <c r="BP78" s="436"/>
      <c r="BQ78" s="140">
        <f t="shared" si="57"/>
        <v>0</v>
      </c>
      <c r="BR78" s="325">
        <f t="shared" si="375"/>
        <v>0</v>
      </c>
      <c r="BS78" s="333">
        <f t="shared" si="376"/>
        <v>0</v>
      </c>
      <c r="BT78" s="140">
        <f t="shared" ref="BT78:BV78" si="417">SUM(BQ78,BM78,BI78)</f>
        <v>0</v>
      </c>
      <c r="BU78" s="326">
        <f t="shared" si="417"/>
        <v>142262.1</v>
      </c>
      <c r="BV78" s="333">
        <f t="shared" si="417"/>
        <v>142262.1</v>
      </c>
      <c r="BW78" s="125"/>
      <c r="BX78" s="140">
        <f t="shared" si="61"/>
        <v>0</v>
      </c>
      <c r="BY78" s="123">
        <f t="shared" si="378"/>
        <v>204340.11</v>
      </c>
      <c r="BZ78" s="148">
        <f t="shared" si="379"/>
        <v>204340.11</v>
      </c>
      <c r="CA78" s="123"/>
      <c r="CB78" s="326"/>
      <c r="CI78" s="294"/>
      <c r="CJ78" s="294"/>
    </row>
    <row r="79" spans="1:88" ht="13">
      <c r="A79" s="436">
        <f t="shared" si="348"/>
        <v>112014046</v>
      </c>
      <c r="B79" s="172">
        <f t="shared" si="339"/>
        <v>4</v>
      </c>
      <c r="C79" s="558" t="str">
        <f t="shared" si="340"/>
        <v>Lista</v>
      </c>
      <c r="D79" s="558">
        <f t="shared" si="341"/>
        <v>0.2</v>
      </c>
      <c r="E79" s="559">
        <f t="shared" si="342"/>
        <v>0</v>
      </c>
      <c r="F79" s="836">
        <f t="shared" si="349"/>
        <v>4</v>
      </c>
      <c r="G79" s="558" t="str">
        <f t="shared" si="350"/>
        <v>Lista</v>
      </c>
      <c r="H79" s="558">
        <f t="shared" si="351"/>
        <v>0.2</v>
      </c>
      <c r="I79" s="559">
        <f t="shared" si="352"/>
        <v>0</v>
      </c>
      <c r="J79" s="837">
        <f t="shared" si="353"/>
        <v>70</v>
      </c>
      <c r="K79" s="699" t="str">
        <f t="shared" si="354"/>
        <v>Lista</v>
      </c>
      <c r="L79" s="700">
        <f t="shared" si="355"/>
        <v>0.11</v>
      </c>
      <c r="M79" s="498" t="s">
        <v>761</v>
      </c>
      <c r="N79" s="434">
        <f t="shared" si="393"/>
        <v>272531.40000000002</v>
      </c>
      <c r="O79" s="141">
        <f t="shared" si="317"/>
        <v>458138.90997000004</v>
      </c>
      <c r="P79" s="113">
        <f t="shared" si="180"/>
        <v>448216.52</v>
      </c>
      <c r="Q79" s="116">
        <f t="shared" si="356"/>
        <v>225040.74</v>
      </c>
      <c r="R79" s="117">
        <f t="shared" si="357"/>
        <v>673257.26</v>
      </c>
      <c r="S79" s="114">
        <f t="shared" si="181"/>
        <v>215118.35002999997</v>
      </c>
      <c r="T79" s="413">
        <f t="shared" si="182"/>
        <v>1.4695483080537437</v>
      </c>
      <c r="U79" s="123">
        <f t="shared" si="343"/>
        <v>884321.56</v>
      </c>
      <c r="V79" s="332">
        <f t="shared" si="383"/>
        <v>1601263.1567310002</v>
      </c>
      <c r="W79" s="113">
        <f t="shared" si="19"/>
        <v>423023.41</v>
      </c>
      <c r="X79" s="116">
        <f t="shared" si="358"/>
        <v>177018.44</v>
      </c>
      <c r="Y79" s="117">
        <f t="shared" si="359"/>
        <v>600041.85</v>
      </c>
      <c r="Z79" s="114">
        <f t="shared" si="184"/>
        <v>-1001221.3067310002</v>
      </c>
      <c r="AA79" s="413">
        <f t="shared" si="185"/>
        <v>0.37473031679876612</v>
      </c>
      <c r="AB79" s="125">
        <f t="shared" si="344"/>
        <v>585066.34</v>
      </c>
      <c r="AC79" s="416">
        <f t="shared" si="318"/>
        <v>961477.54583409999</v>
      </c>
      <c r="AD79" s="113">
        <f t="shared" si="26"/>
        <v>296381.77</v>
      </c>
      <c r="AE79" s="116">
        <f t="shared" si="360"/>
        <v>132404.65</v>
      </c>
      <c r="AF79" s="117">
        <f t="shared" si="361"/>
        <v>428786.42</v>
      </c>
      <c r="AG79" s="114">
        <f t="shared" si="187"/>
        <v>-532691.12583409995</v>
      </c>
      <c r="AH79" s="413">
        <f t="shared" si="188"/>
        <v>0.44596612979455452</v>
      </c>
      <c r="AI79" s="846">
        <f t="shared" si="189"/>
        <v>3020879.6125351</v>
      </c>
      <c r="AJ79" s="840">
        <f t="shared" si="362"/>
        <v>1576917.33</v>
      </c>
      <c r="AK79" s="116">
        <f t="shared" si="190"/>
        <v>1167621.7</v>
      </c>
      <c r="AL79" s="116">
        <f t="shared" si="191"/>
        <v>711482.27</v>
      </c>
      <c r="AM79" s="116">
        <f t="shared" si="192"/>
        <v>1702085.53</v>
      </c>
      <c r="AN79" s="116">
        <f t="shared" si="36"/>
        <v>125168.19999999995</v>
      </c>
      <c r="AO79" s="413">
        <f t="shared" si="300"/>
        <v>1.0793752453719307</v>
      </c>
      <c r="AP79" s="434"/>
      <c r="AQ79" s="140">
        <f t="shared" si="39"/>
        <v>222768.43000000002</v>
      </c>
      <c r="AR79" s="123">
        <f t="shared" si="363"/>
        <v>136253.28</v>
      </c>
      <c r="AS79" s="148">
        <f t="shared" si="364"/>
        <v>359021.71</v>
      </c>
      <c r="AT79" s="123"/>
      <c r="AU79" s="326">
        <f t="shared" si="42"/>
        <v>23855.629999999976</v>
      </c>
      <c r="AV79" s="326">
        <f t="shared" si="365"/>
        <v>228081.73</v>
      </c>
      <c r="AW79" s="326">
        <f t="shared" si="366"/>
        <v>251937.36</v>
      </c>
      <c r="AX79" s="332"/>
      <c r="AY79" s="140">
        <f t="shared" si="45"/>
        <v>117640.63</v>
      </c>
      <c r="AZ79" s="326">
        <f t="shared" si="367"/>
        <v>62618.25</v>
      </c>
      <c r="BA79" s="332">
        <f t="shared" si="368"/>
        <v>180258.88</v>
      </c>
      <c r="BB79" s="122">
        <f t="shared" ref="BB79:BD79" si="418">SUM(AY79,AU79,AQ79)</f>
        <v>364264.69</v>
      </c>
      <c r="BC79" s="326">
        <f t="shared" si="418"/>
        <v>426953.26</v>
      </c>
      <c r="BD79" s="332">
        <f t="shared" si="418"/>
        <v>791217.95</v>
      </c>
      <c r="BE79" s="140">
        <f t="shared" ref="BE79:BF79" si="419">SUM(BB79,AK79)</f>
        <v>1531886.39</v>
      </c>
      <c r="BF79" s="326">
        <f t="shared" si="419"/>
        <v>1138435.53</v>
      </c>
      <c r="BG79" s="435">
        <f t="shared" si="50"/>
        <v>2493303.48</v>
      </c>
      <c r="BH79" s="423"/>
      <c r="BI79" s="123">
        <f t="shared" si="51"/>
        <v>0</v>
      </c>
      <c r="BJ79" s="123">
        <f t="shared" si="371"/>
        <v>78396.240000000005</v>
      </c>
      <c r="BK79" s="148">
        <f t="shared" si="372"/>
        <v>78396.240000000005</v>
      </c>
      <c r="BL79" s="423">
        <f>IFERROR(VLOOKUP(M79,BUELA,10,FALSE),"")</f>
        <v>585605.9</v>
      </c>
      <c r="BM79" s="123">
        <f t="shared" si="54"/>
        <v>0</v>
      </c>
      <c r="BN79" s="123">
        <f t="shared" si="373"/>
        <v>0</v>
      </c>
      <c r="BO79" s="123">
        <f t="shared" si="374"/>
        <v>0</v>
      </c>
      <c r="BP79" s="436"/>
      <c r="BQ79" s="140">
        <f t="shared" si="57"/>
        <v>0</v>
      </c>
      <c r="BR79" s="325">
        <f t="shared" si="375"/>
        <v>0</v>
      </c>
      <c r="BS79" s="333">
        <f t="shared" si="376"/>
        <v>0</v>
      </c>
      <c r="BT79" s="140">
        <f t="shared" ref="BT79:BV79" si="420">SUM(BQ79,BM79,BI79)</f>
        <v>0</v>
      </c>
      <c r="BU79" s="326">
        <f t="shared" si="420"/>
        <v>78396.240000000005</v>
      </c>
      <c r="BV79" s="333">
        <f t="shared" si="420"/>
        <v>78396.240000000005</v>
      </c>
      <c r="BW79" s="125"/>
      <c r="BX79" s="140">
        <f t="shared" si="61"/>
        <v>0</v>
      </c>
      <c r="BY79" s="123">
        <f t="shared" si="378"/>
        <v>0</v>
      </c>
      <c r="BZ79" s="148">
        <f t="shared" si="379"/>
        <v>0</v>
      </c>
      <c r="CA79" s="123"/>
      <c r="CB79" s="326"/>
      <c r="CI79" s="294"/>
      <c r="CJ79" s="294"/>
    </row>
    <row r="80" spans="1:88" ht="13">
      <c r="A80" s="436">
        <f t="shared" si="348"/>
        <v>112013268</v>
      </c>
      <c r="B80" s="172">
        <f t="shared" si="339"/>
        <v>4</v>
      </c>
      <c r="C80" s="558" t="str">
        <f t="shared" si="340"/>
        <v>Lista</v>
      </c>
      <c r="D80" s="558">
        <f t="shared" si="341"/>
        <v>0.2</v>
      </c>
      <c r="E80" s="559">
        <f t="shared" si="342"/>
        <v>0</v>
      </c>
      <c r="F80" s="836">
        <f t="shared" si="349"/>
        <v>4</v>
      </c>
      <c r="G80" s="558" t="str">
        <f t="shared" si="350"/>
        <v>Lista</v>
      </c>
      <c r="H80" s="558">
        <f t="shared" si="351"/>
        <v>0.2</v>
      </c>
      <c r="I80" s="559">
        <f t="shared" si="352"/>
        <v>0</v>
      </c>
      <c r="J80" s="837">
        <f t="shared" si="353"/>
        <v>70</v>
      </c>
      <c r="K80" s="699" t="str">
        <f t="shared" si="354"/>
        <v>Lista</v>
      </c>
      <c r="L80" s="700">
        <f t="shared" si="355"/>
        <v>0.11</v>
      </c>
      <c r="M80" s="498" t="s">
        <v>762</v>
      </c>
      <c r="N80" s="434">
        <f t="shared" si="393"/>
        <v>105386.5</v>
      </c>
      <c r="O80" s="141">
        <f t="shared" si="317"/>
        <v>177159.975825</v>
      </c>
      <c r="P80" s="113">
        <f t="shared" si="180"/>
        <v>0</v>
      </c>
      <c r="Q80" s="116">
        <f t="shared" si="356"/>
        <v>467508.4</v>
      </c>
      <c r="R80" s="117">
        <f t="shared" si="357"/>
        <v>467508.4</v>
      </c>
      <c r="S80" s="114">
        <f t="shared" si="181"/>
        <v>290348.42417500005</v>
      </c>
      <c r="T80" s="413">
        <f t="shared" si="182"/>
        <v>2.638905304784013</v>
      </c>
      <c r="U80" s="123">
        <f t="shared" si="343"/>
        <v>309370.40000000002</v>
      </c>
      <c r="V80" s="332">
        <f t="shared" si="383"/>
        <v>560184.71753999998</v>
      </c>
      <c r="W80" s="113">
        <f t="shared" si="19"/>
        <v>0</v>
      </c>
      <c r="X80" s="116">
        <f t="shared" si="358"/>
        <v>239750.39999999999</v>
      </c>
      <c r="Y80" s="117">
        <f t="shared" si="359"/>
        <v>239750.39999999999</v>
      </c>
      <c r="Z80" s="114">
        <f t="shared" si="184"/>
        <v>-320434.31753999996</v>
      </c>
      <c r="AA80" s="413">
        <f t="shared" si="185"/>
        <v>0.42798454240744371</v>
      </c>
      <c r="AB80" s="125">
        <f t="shared" si="344"/>
        <v>243726.96</v>
      </c>
      <c r="AC80" s="416">
        <f t="shared" si="318"/>
        <v>400532.35562039993</v>
      </c>
      <c r="AD80" s="113">
        <f t="shared" si="26"/>
        <v>0</v>
      </c>
      <c r="AE80" s="116">
        <f t="shared" si="360"/>
        <v>199779.44</v>
      </c>
      <c r="AF80" s="117">
        <f t="shared" si="361"/>
        <v>199779.44</v>
      </c>
      <c r="AG80" s="114">
        <f t="shared" si="187"/>
        <v>-200752.91562039993</v>
      </c>
      <c r="AH80" s="413">
        <f t="shared" si="188"/>
        <v>0.49878477280706562</v>
      </c>
      <c r="AI80" s="846">
        <f t="shared" si="189"/>
        <v>1137877.0489853998</v>
      </c>
      <c r="AJ80" s="840">
        <f t="shared" si="362"/>
        <v>628424.31999999995</v>
      </c>
      <c r="AK80" s="116">
        <f t="shared" si="190"/>
        <v>0</v>
      </c>
      <c r="AL80" s="116">
        <f t="shared" si="191"/>
        <v>1146788.6400000001</v>
      </c>
      <c r="AM80" s="116">
        <f t="shared" si="192"/>
        <v>907038.24</v>
      </c>
      <c r="AN80" s="116">
        <f t="shared" si="36"/>
        <v>278613.92000000004</v>
      </c>
      <c r="AO80" s="413">
        <f t="shared" si="300"/>
        <v>1.4433531789476257</v>
      </c>
      <c r="AP80" s="434"/>
      <c r="AQ80" s="140">
        <f t="shared" si="39"/>
        <v>0</v>
      </c>
      <c r="AR80" s="123">
        <f t="shared" si="363"/>
        <v>78382.720000000001</v>
      </c>
      <c r="AS80" s="148">
        <f t="shared" si="364"/>
        <v>78382.720000000001</v>
      </c>
      <c r="AT80" s="123"/>
      <c r="AU80" s="326">
        <f t="shared" si="42"/>
        <v>0</v>
      </c>
      <c r="AV80" s="326">
        <f t="shared" si="365"/>
        <v>93585.600000000006</v>
      </c>
      <c r="AW80" s="326">
        <f t="shared" si="366"/>
        <v>93585.600000000006</v>
      </c>
      <c r="AX80" s="332"/>
      <c r="AY80" s="140">
        <f t="shared" si="45"/>
        <v>0</v>
      </c>
      <c r="AZ80" s="326">
        <f t="shared" si="367"/>
        <v>412518.08</v>
      </c>
      <c r="BA80" s="332">
        <f t="shared" si="368"/>
        <v>412518.08</v>
      </c>
      <c r="BB80" s="122">
        <f t="shared" ref="BB80:BD80" si="421">SUM(AY80,AU80,AQ80)</f>
        <v>0</v>
      </c>
      <c r="BC80" s="326">
        <f t="shared" si="421"/>
        <v>584486.40000000002</v>
      </c>
      <c r="BD80" s="332">
        <f t="shared" si="421"/>
        <v>584486.40000000002</v>
      </c>
      <c r="BE80" s="140">
        <f t="shared" ref="BE80:BF80" si="422">SUM(BB80,AK80)</f>
        <v>0</v>
      </c>
      <c r="BF80" s="326">
        <f t="shared" si="422"/>
        <v>1731275.04</v>
      </c>
      <c r="BG80" s="435">
        <f t="shared" si="50"/>
        <v>1491524.6400000001</v>
      </c>
      <c r="BH80" s="423"/>
      <c r="BI80" s="123">
        <f t="shared" si="51"/>
        <v>0</v>
      </c>
      <c r="BJ80" s="123">
        <f t="shared" si="371"/>
        <v>170251.2</v>
      </c>
      <c r="BK80" s="148">
        <f t="shared" si="372"/>
        <v>170251.2</v>
      </c>
      <c r="BL80" s="423">
        <f>IFERROR(VLOOKUP(M80,BUELA,10,FALSE),"")</f>
        <v>39052.559999999998</v>
      </c>
      <c r="BM80" s="123">
        <f t="shared" si="54"/>
        <v>0</v>
      </c>
      <c r="BN80" s="123">
        <f t="shared" si="373"/>
        <v>0</v>
      </c>
      <c r="BO80" s="123">
        <f t="shared" si="374"/>
        <v>0</v>
      </c>
      <c r="BP80" s="436"/>
      <c r="BQ80" s="140">
        <f t="shared" si="57"/>
        <v>0</v>
      </c>
      <c r="BR80" s="325">
        <f t="shared" si="375"/>
        <v>44494.16</v>
      </c>
      <c r="BS80" s="333">
        <f t="shared" si="376"/>
        <v>44494.16</v>
      </c>
      <c r="BT80" s="140">
        <f t="shared" ref="BT80:BV80" si="423">SUM(BQ80,BM80,BI80)</f>
        <v>0</v>
      </c>
      <c r="BU80" s="326">
        <f t="shared" si="423"/>
        <v>214745.36000000002</v>
      </c>
      <c r="BV80" s="333">
        <f t="shared" si="423"/>
        <v>214745.36000000002</v>
      </c>
      <c r="BW80" s="125"/>
      <c r="BX80" s="140">
        <f t="shared" si="61"/>
        <v>0</v>
      </c>
      <c r="BY80" s="123">
        <f t="shared" si="378"/>
        <v>0</v>
      </c>
      <c r="BZ80" s="148">
        <f t="shared" si="379"/>
        <v>0</v>
      </c>
      <c r="CA80" s="123"/>
      <c r="CB80" s="326"/>
      <c r="CI80" s="294"/>
      <c r="CJ80" s="294"/>
    </row>
    <row r="81" spans="1:88" ht="13">
      <c r="A81" s="436">
        <f t="shared" si="348"/>
        <v>112014353</v>
      </c>
      <c r="B81" s="172">
        <f t="shared" si="339"/>
        <v>4</v>
      </c>
      <c r="C81" s="558" t="str">
        <f t="shared" si="340"/>
        <v>Lista</v>
      </c>
      <c r="D81" s="558">
        <f t="shared" si="341"/>
        <v>0.2</v>
      </c>
      <c r="E81" s="559">
        <f t="shared" si="342"/>
        <v>0</v>
      </c>
      <c r="F81" s="836">
        <f t="shared" si="349"/>
        <v>4</v>
      </c>
      <c r="G81" s="558" t="str">
        <f t="shared" si="350"/>
        <v>Lista</v>
      </c>
      <c r="H81" s="558">
        <f t="shared" si="351"/>
        <v>0.2</v>
      </c>
      <c r="I81" s="559">
        <f t="shared" si="352"/>
        <v>0</v>
      </c>
      <c r="J81" s="837">
        <f t="shared" si="353"/>
        <v>70</v>
      </c>
      <c r="K81" s="699" t="str">
        <f t="shared" si="354"/>
        <v>Lista</v>
      </c>
      <c r="L81" s="700">
        <f t="shared" si="355"/>
        <v>0.11</v>
      </c>
      <c r="M81" s="498" t="s">
        <v>763</v>
      </c>
      <c r="N81" s="434">
        <f t="shared" si="393"/>
        <v>113195.84</v>
      </c>
      <c r="O81" s="141">
        <f t="shared" si="317"/>
        <v>190287.866832</v>
      </c>
      <c r="P81" s="113">
        <f t="shared" si="180"/>
        <v>13141.69</v>
      </c>
      <c r="Q81" s="116">
        <f t="shared" si="356"/>
        <v>0</v>
      </c>
      <c r="R81" s="117">
        <f t="shared" si="357"/>
        <v>13141.69</v>
      </c>
      <c r="S81" s="114">
        <f t="shared" si="181"/>
        <v>-177146.176832</v>
      </c>
      <c r="T81" s="413">
        <f t="shared" si="182"/>
        <v>6.9062154191903591E-2</v>
      </c>
      <c r="U81" s="123">
        <f t="shared" si="343"/>
        <v>57832.3</v>
      </c>
      <c r="V81" s="332">
        <f t="shared" si="383"/>
        <v>104718.3914175</v>
      </c>
      <c r="W81" s="113">
        <f t="shared" si="19"/>
        <v>56635.469999999994</v>
      </c>
      <c r="X81" s="116">
        <f t="shared" si="358"/>
        <v>35212.400000000001</v>
      </c>
      <c r="Y81" s="117">
        <f t="shared" si="359"/>
        <v>91847.87</v>
      </c>
      <c r="Z81" s="114">
        <f t="shared" si="184"/>
        <v>-12870.5214175</v>
      </c>
      <c r="AA81" s="413">
        <f t="shared" si="185"/>
        <v>0.87709397324308835</v>
      </c>
      <c r="AB81" s="125">
        <f t="shared" si="344"/>
        <v>3425.13</v>
      </c>
      <c r="AC81" s="416">
        <f t="shared" si="318"/>
        <v>5628.7387624499997</v>
      </c>
      <c r="AD81" s="113">
        <f t="shared" si="26"/>
        <v>72218</v>
      </c>
      <c r="AE81" s="116">
        <f t="shared" si="360"/>
        <v>37325.120000000003</v>
      </c>
      <c r="AF81" s="117">
        <f t="shared" si="361"/>
        <v>109543.12</v>
      </c>
      <c r="AG81" s="114">
        <f t="shared" si="187"/>
        <v>103914.38123755</v>
      </c>
      <c r="AH81" s="413">
        <f t="shared" si="188"/>
        <v>19.461397059457699</v>
      </c>
      <c r="AI81" s="846">
        <f t="shared" si="189"/>
        <v>300634.99701195001</v>
      </c>
      <c r="AJ81" s="840">
        <f t="shared" si="362"/>
        <v>221114.23</v>
      </c>
      <c r="AK81" s="116">
        <f t="shared" si="190"/>
        <v>141995.16</v>
      </c>
      <c r="AL81" s="116">
        <f t="shared" si="191"/>
        <v>107749.92000000001</v>
      </c>
      <c r="AM81" s="116">
        <f t="shared" si="192"/>
        <v>214532.68</v>
      </c>
      <c r="AN81" s="116">
        <f t="shared" si="36"/>
        <v>-6581.5500000000175</v>
      </c>
      <c r="AO81" s="413">
        <f t="shared" si="300"/>
        <v>0.9702346158363484</v>
      </c>
      <c r="AP81" s="434"/>
      <c r="AQ81" s="140">
        <f t="shared" si="39"/>
        <v>56678.1</v>
      </c>
      <c r="AR81" s="123">
        <f t="shared" si="363"/>
        <v>0</v>
      </c>
      <c r="AS81" s="148">
        <f t="shared" si="364"/>
        <v>56678.1</v>
      </c>
      <c r="AT81" s="123"/>
      <c r="AU81" s="326">
        <f t="shared" si="42"/>
        <v>28668.560000000001</v>
      </c>
      <c r="AV81" s="326">
        <f t="shared" si="365"/>
        <v>0</v>
      </c>
      <c r="AW81" s="326">
        <f t="shared" si="366"/>
        <v>28668.560000000001</v>
      </c>
      <c r="AX81" s="332"/>
      <c r="AY81" s="140">
        <f t="shared" si="45"/>
        <v>0</v>
      </c>
      <c r="AZ81" s="326">
        <f t="shared" si="367"/>
        <v>0</v>
      </c>
      <c r="BA81" s="332">
        <f t="shared" si="368"/>
        <v>0</v>
      </c>
      <c r="BB81" s="122">
        <f t="shared" ref="BB81:BD81" si="424">SUM(AY81,AU81,AQ81)</f>
        <v>85346.66</v>
      </c>
      <c r="BC81" s="326">
        <f t="shared" si="424"/>
        <v>0</v>
      </c>
      <c r="BD81" s="332">
        <f t="shared" si="424"/>
        <v>85346.66</v>
      </c>
      <c r="BE81" s="140">
        <f t="shared" ref="BE81:BF81" si="425">SUM(BB81,AK81)</f>
        <v>227341.82</v>
      </c>
      <c r="BF81" s="326">
        <f t="shared" si="425"/>
        <v>107749.92000000001</v>
      </c>
      <c r="BG81" s="435">
        <f t="shared" si="50"/>
        <v>299879.33999999997</v>
      </c>
      <c r="BH81" s="423"/>
      <c r="BI81" s="123">
        <f t="shared" si="51"/>
        <v>0</v>
      </c>
      <c r="BJ81" s="123">
        <f t="shared" si="371"/>
        <v>0</v>
      </c>
      <c r="BK81" s="148">
        <f t="shared" si="372"/>
        <v>0</v>
      </c>
      <c r="BL81" s="423"/>
      <c r="BM81" s="123">
        <f t="shared" si="54"/>
        <v>0</v>
      </c>
      <c r="BN81" s="123">
        <f t="shared" si="373"/>
        <v>0</v>
      </c>
      <c r="BO81" s="123">
        <f t="shared" si="374"/>
        <v>0</v>
      </c>
      <c r="BP81" s="436"/>
      <c r="BQ81" s="140">
        <f t="shared" si="57"/>
        <v>0</v>
      </c>
      <c r="BR81" s="325">
        <f t="shared" si="375"/>
        <v>0</v>
      </c>
      <c r="BS81" s="333">
        <f t="shared" si="376"/>
        <v>0</v>
      </c>
      <c r="BT81" s="140">
        <f t="shared" ref="BT81:BV81" si="426">SUM(BQ81,BM81,BI81)</f>
        <v>0</v>
      </c>
      <c r="BU81" s="326">
        <f t="shared" si="426"/>
        <v>0</v>
      </c>
      <c r="BV81" s="333">
        <f t="shared" si="426"/>
        <v>0</v>
      </c>
      <c r="BW81" s="125"/>
      <c r="BX81" s="140">
        <f t="shared" si="61"/>
        <v>0</v>
      </c>
      <c r="BY81" s="123">
        <f t="shared" si="378"/>
        <v>0</v>
      </c>
      <c r="BZ81" s="148">
        <f t="shared" si="379"/>
        <v>0</v>
      </c>
      <c r="CA81" s="123"/>
      <c r="CB81" s="326"/>
      <c r="CI81" s="294"/>
      <c r="CJ81" s="294"/>
    </row>
    <row r="82" spans="1:88" ht="13">
      <c r="A82" s="436">
        <f t="shared" si="348"/>
        <v>112013251</v>
      </c>
      <c r="B82" s="172">
        <f t="shared" si="339"/>
        <v>4</v>
      </c>
      <c r="C82" s="558" t="str">
        <f t="shared" si="340"/>
        <v>Lista</v>
      </c>
      <c r="D82" s="558">
        <f t="shared" si="341"/>
        <v>0.2</v>
      </c>
      <c r="E82" s="559">
        <f t="shared" si="342"/>
        <v>0</v>
      </c>
      <c r="F82" s="836">
        <f t="shared" si="349"/>
        <v>4</v>
      </c>
      <c r="G82" s="558" t="str">
        <f t="shared" si="350"/>
        <v>Lista</v>
      </c>
      <c r="H82" s="558">
        <f t="shared" si="351"/>
        <v>0.2</v>
      </c>
      <c r="I82" s="559">
        <f t="shared" si="352"/>
        <v>0</v>
      </c>
      <c r="J82" s="837">
        <f t="shared" si="353"/>
        <v>70</v>
      </c>
      <c r="K82" s="699" t="str">
        <f t="shared" si="354"/>
        <v>Lista</v>
      </c>
      <c r="L82" s="700">
        <f t="shared" si="355"/>
        <v>0.11</v>
      </c>
      <c r="M82" s="498" t="s">
        <v>764</v>
      </c>
      <c r="N82" s="434">
        <f t="shared" si="393"/>
        <v>129390.56</v>
      </c>
      <c r="O82" s="141">
        <f t="shared" si="317"/>
        <v>217512.00088800001</v>
      </c>
      <c r="P82" s="113" t="e">
        <f t="shared" si="180"/>
        <v>#VALUE!</v>
      </c>
      <c r="Q82" s="116" t="str">
        <f t="shared" si="356"/>
        <v/>
      </c>
      <c r="R82" s="117" t="str">
        <f t="shared" si="357"/>
        <v/>
      </c>
      <c r="S82" s="114" t="e">
        <f t="shared" si="181"/>
        <v>#VALUE!</v>
      </c>
      <c r="T82" s="413" t="str">
        <f t="shared" si="182"/>
        <v/>
      </c>
      <c r="U82" s="123">
        <f t="shared" si="343"/>
        <v>118634.38</v>
      </c>
      <c r="V82" s="332">
        <f t="shared" si="383"/>
        <v>214814.23772549999</v>
      </c>
      <c r="W82" s="113" t="e">
        <f t="shared" si="19"/>
        <v>#VALUE!</v>
      </c>
      <c r="X82" s="116" t="str">
        <f t="shared" si="358"/>
        <v/>
      </c>
      <c r="Y82" s="117" t="str">
        <f t="shared" si="359"/>
        <v/>
      </c>
      <c r="Z82" s="114" t="e">
        <f t="shared" si="184"/>
        <v>#VALUE!</v>
      </c>
      <c r="AA82" s="413" t="str">
        <f t="shared" si="185"/>
        <v/>
      </c>
      <c r="AB82" s="125">
        <f t="shared" si="344"/>
        <v>141940.16</v>
      </c>
      <c r="AC82" s="416">
        <f t="shared" si="318"/>
        <v>233259.49103840001</v>
      </c>
      <c r="AD82" s="113" t="e">
        <f t="shared" si="26"/>
        <v>#VALUE!</v>
      </c>
      <c r="AE82" s="116" t="str">
        <f t="shared" si="360"/>
        <v/>
      </c>
      <c r="AF82" s="117" t="str">
        <f t="shared" si="361"/>
        <v/>
      </c>
      <c r="AG82" s="114" t="e">
        <f t="shared" si="187"/>
        <v>#VALUE!</v>
      </c>
      <c r="AH82" s="413" t="str">
        <f t="shared" si="188"/>
        <v/>
      </c>
      <c r="AI82" s="846">
        <f t="shared" si="189"/>
        <v>665585.72965190001</v>
      </c>
      <c r="AJ82" s="840" t="str">
        <f t="shared" si="362"/>
        <v/>
      </c>
      <c r="AK82" s="116" t="e">
        <f t="shared" si="190"/>
        <v>#VALUE!</v>
      </c>
      <c r="AL82" s="116">
        <f t="shared" si="191"/>
        <v>0</v>
      </c>
      <c r="AM82" s="116">
        <f t="shared" si="192"/>
        <v>0</v>
      </c>
      <c r="AN82" s="116" t="e">
        <f t="shared" si="36"/>
        <v>#VALUE!</v>
      </c>
      <c r="AO82" s="413" t="str">
        <f t="shared" si="300"/>
        <v/>
      </c>
      <c r="AP82" s="434"/>
      <c r="AQ82" s="140" t="e">
        <f t="shared" si="39"/>
        <v>#VALUE!</v>
      </c>
      <c r="AR82" s="123" t="str">
        <f t="shared" si="363"/>
        <v/>
      </c>
      <c r="AS82" s="148" t="str">
        <f t="shared" si="364"/>
        <v/>
      </c>
      <c r="AT82" s="123"/>
      <c r="AU82" s="326" t="e">
        <f t="shared" si="42"/>
        <v>#VALUE!</v>
      </c>
      <c r="AV82" s="326" t="str">
        <f t="shared" si="365"/>
        <v/>
      </c>
      <c r="AW82" s="326" t="str">
        <f t="shared" si="366"/>
        <v/>
      </c>
      <c r="AX82" s="332"/>
      <c r="AY82" s="140" t="e">
        <f t="shared" si="45"/>
        <v>#VALUE!</v>
      </c>
      <c r="AZ82" s="326" t="str">
        <f t="shared" si="367"/>
        <v/>
      </c>
      <c r="BA82" s="332" t="str">
        <f t="shared" si="368"/>
        <v/>
      </c>
      <c r="BB82" s="122" t="e">
        <f t="shared" ref="BB82:BD82" si="427">SUM(AY82,AU82,AQ82)</f>
        <v>#VALUE!</v>
      </c>
      <c r="BC82" s="326">
        <f t="shared" si="427"/>
        <v>0</v>
      </c>
      <c r="BD82" s="332">
        <f t="shared" si="427"/>
        <v>0</v>
      </c>
      <c r="BE82" s="140" t="e">
        <f t="shared" ref="BE82:BF82" si="428">SUM(BB82,AK82)</f>
        <v>#VALUE!</v>
      </c>
      <c r="BF82" s="326">
        <f t="shared" si="428"/>
        <v>0</v>
      </c>
      <c r="BG82" s="435">
        <f t="shared" si="50"/>
        <v>0</v>
      </c>
      <c r="BH82" s="423"/>
      <c r="BI82" s="123" t="e">
        <f t="shared" si="51"/>
        <v>#VALUE!</v>
      </c>
      <c r="BJ82" s="123" t="str">
        <f t="shared" si="371"/>
        <v/>
      </c>
      <c r="BK82" s="148" t="str">
        <f t="shared" si="372"/>
        <v/>
      </c>
      <c r="BL82" s="302">
        <f>IFERROR(VLOOKUP(M82,BUELA,10,FALSE),"")</f>
        <v>0</v>
      </c>
      <c r="BM82" s="123" t="e">
        <f t="shared" si="54"/>
        <v>#VALUE!</v>
      </c>
      <c r="BN82" s="123" t="str">
        <f t="shared" si="373"/>
        <v/>
      </c>
      <c r="BO82" s="123" t="str">
        <f t="shared" si="374"/>
        <v/>
      </c>
      <c r="BP82" s="436"/>
      <c r="BQ82" s="140" t="e">
        <f t="shared" si="57"/>
        <v>#VALUE!</v>
      </c>
      <c r="BR82" s="325" t="str">
        <f t="shared" si="375"/>
        <v/>
      </c>
      <c r="BS82" s="333" t="str">
        <f t="shared" si="376"/>
        <v/>
      </c>
      <c r="BT82" s="140" t="e">
        <f t="shared" ref="BT82:BV82" si="429">SUM(BQ82,BM82,BI82)</f>
        <v>#VALUE!</v>
      </c>
      <c r="BU82" s="326">
        <f t="shared" si="429"/>
        <v>0</v>
      </c>
      <c r="BV82" s="333">
        <f t="shared" si="429"/>
        <v>0</v>
      </c>
      <c r="BW82" s="125"/>
      <c r="BX82" s="140" t="e">
        <f t="shared" si="61"/>
        <v>#VALUE!</v>
      </c>
      <c r="BY82" s="123" t="str">
        <f t="shared" si="378"/>
        <v/>
      </c>
      <c r="BZ82" s="148" t="str">
        <f t="shared" si="379"/>
        <v/>
      </c>
      <c r="CA82" s="123"/>
      <c r="CB82" s="326"/>
      <c r="CI82" s="294"/>
      <c r="CJ82" s="294"/>
    </row>
    <row r="83" spans="1:88" ht="13">
      <c r="A83" s="436">
        <f t="shared" si="348"/>
        <v>112011588</v>
      </c>
      <c r="B83" s="172">
        <f t="shared" si="339"/>
        <v>1</v>
      </c>
      <c r="C83" s="558" t="str">
        <f t="shared" si="340"/>
        <v>Lista</v>
      </c>
      <c r="D83" s="558">
        <f t="shared" si="341"/>
        <v>0.09</v>
      </c>
      <c r="E83" s="559">
        <f t="shared" si="342"/>
        <v>0</v>
      </c>
      <c r="F83" s="836">
        <f t="shared" si="349"/>
        <v>1</v>
      </c>
      <c r="G83" s="558" t="str">
        <f t="shared" si="350"/>
        <v>Lista</v>
      </c>
      <c r="H83" s="558">
        <f t="shared" si="351"/>
        <v>0.09</v>
      </c>
      <c r="I83" s="559">
        <f t="shared" si="352"/>
        <v>0</v>
      </c>
      <c r="J83" s="837">
        <f t="shared" si="353"/>
        <v>71</v>
      </c>
      <c r="K83" s="699" t="str">
        <f t="shared" si="354"/>
        <v>Lista</v>
      </c>
      <c r="L83" s="700">
        <f t="shared" si="355"/>
        <v>0.05</v>
      </c>
      <c r="M83" s="859" t="s">
        <v>765</v>
      </c>
      <c r="N83" s="434"/>
      <c r="O83" s="141">
        <f t="shared" si="317"/>
        <v>0</v>
      </c>
      <c r="P83" s="113" t="e">
        <f t="shared" si="180"/>
        <v>#VALUE!</v>
      </c>
      <c r="Q83" s="116" t="str">
        <f t="shared" si="356"/>
        <v/>
      </c>
      <c r="R83" s="117">
        <f t="shared" si="357"/>
        <v>0</v>
      </c>
      <c r="S83" s="114">
        <f t="shared" si="181"/>
        <v>0</v>
      </c>
      <c r="T83" s="413" t="str">
        <f t="shared" si="182"/>
        <v/>
      </c>
      <c r="U83" s="123">
        <f t="shared" si="343"/>
        <v>0</v>
      </c>
      <c r="V83" s="332"/>
      <c r="W83" s="113" t="e">
        <f t="shared" si="19"/>
        <v>#VALUE!</v>
      </c>
      <c r="X83" s="116" t="str">
        <f t="shared" si="358"/>
        <v/>
      </c>
      <c r="Y83" s="117">
        <f t="shared" si="359"/>
        <v>0</v>
      </c>
      <c r="Z83" s="114">
        <f t="shared" si="184"/>
        <v>0</v>
      </c>
      <c r="AA83" s="413" t="str">
        <f t="shared" si="185"/>
        <v/>
      </c>
      <c r="AB83" s="125">
        <f t="shared" si="344"/>
        <v>0</v>
      </c>
      <c r="AC83" s="416">
        <f t="shared" si="318"/>
        <v>0</v>
      </c>
      <c r="AD83" s="113" t="e">
        <f t="shared" si="26"/>
        <v>#VALUE!</v>
      </c>
      <c r="AE83" s="116" t="str">
        <f t="shared" si="360"/>
        <v/>
      </c>
      <c r="AF83" s="117">
        <f t="shared" si="361"/>
        <v>0</v>
      </c>
      <c r="AG83" s="114">
        <f t="shared" si="187"/>
        <v>0</v>
      </c>
      <c r="AH83" s="413" t="str">
        <f t="shared" si="188"/>
        <v/>
      </c>
      <c r="AI83" s="846">
        <f t="shared" si="189"/>
        <v>0</v>
      </c>
      <c r="AJ83" s="840">
        <f t="shared" si="362"/>
        <v>892800.25</v>
      </c>
      <c r="AK83" s="116" t="e">
        <f t="shared" si="190"/>
        <v>#VALUE!</v>
      </c>
      <c r="AL83" s="116">
        <f t="shared" si="191"/>
        <v>0</v>
      </c>
      <c r="AM83" s="116">
        <f t="shared" si="192"/>
        <v>0</v>
      </c>
      <c r="AN83" s="116">
        <f t="shared" si="36"/>
        <v>-892800.25</v>
      </c>
      <c r="AO83" s="413">
        <f t="shared" si="300"/>
        <v>0</v>
      </c>
      <c r="AP83" s="434">
        <f t="shared" ref="AP83:AP98" si="430">IFERROR(VLOOKUP(M83,BUELA,6,FALSE),"")</f>
        <v>0</v>
      </c>
      <c r="AQ83" s="140" t="e">
        <f t="shared" si="39"/>
        <v>#VALUE!</v>
      </c>
      <c r="AR83" s="123" t="str">
        <f t="shared" si="363"/>
        <v/>
      </c>
      <c r="AS83" s="148">
        <f t="shared" si="364"/>
        <v>438242.26</v>
      </c>
      <c r="AT83" s="123">
        <f t="shared" ref="AT83:AT98" si="431">IFERROR(VLOOKUP(M83,BUELA,7,FALSE),"")</f>
        <v>66839.199999999997</v>
      </c>
      <c r="AU83" s="326" t="e">
        <f t="shared" si="42"/>
        <v>#VALUE!</v>
      </c>
      <c r="AV83" s="326" t="str">
        <f t="shared" si="365"/>
        <v/>
      </c>
      <c r="AW83" s="326">
        <f t="shared" si="366"/>
        <v>580592.75</v>
      </c>
      <c r="AX83" s="332">
        <f t="shared" ref="AX83:AX98" si="432">IFERROR(VLOOKUP(M83,BUELA,8,FALSE),"")</f>
        <v>0</v>
      </c>
      <c r="AY83" s="140" t="e">
        <f t="shared" si="45"/>
        <v>#VALUE!</v>
      </c>
      <c r="AZ83" s="326" t="str">
        <f t="shared" si="367"/>
        <v/>
      </c>
      <c r="BA83" s="332">
        <f t="shared" si="368"/>
        <v>194937.66</v>
      </c>
      <c r="BB83" s="122" t="e">
        <f t="shared" ref="BB83:BD83" si="433">SUM(AY83,AU83,AQ83)</f>
        <v>#VALUE!</v>
      </c>
      <c r="BC83" s="326">
        <f t="shared" si="433"/>
        <v>0</v>
      </c>
      <c r="BD83" s="332">
        <f t="shared" si="433"/>
        <v>1213772.67</v>
      </c>
      <c r="BE83" s="140" t="e">
        <f t="shared" ref="BE83:BF83" si="434">SUM(BB83,AK83)</f>
        <v>#VALUE!</v>
      </c>
      <c r="BF83" s="326">
        <f t="shared" si="434"/>
        <v>0</v>
      </c>
      <c r="BG83" s="435">
        <f t="shared" si="50"/>
        <v>1213772.67</v>
      </c>
      <c r="BH83" s="423">
        <f t="shared" ref="BH83:BH98" si="435">IFERROR(VLOOKUP(M83,BUELA,9,FALSE),"")</f>
        <v>0</v>
      </c>
      <c r="BI83" s="123" t="e">
        <f t="shared" si="51"/>
        <v>#VALUE!</v>
      </c>
      <c r="BJ83" s="123" t="str">
        <f t="shared" si="371"/>
        <v/>
      </c>
      <c r="BK83" s="148">
        <f t="shared" si="372"/>
        <v>180832.63</v>
      </c>
      <c r="BL83" s="423"/>
      <c r="BM83" s="123" t="e">
        <f t="shared" si="54"/>
        <v>#VALUE!</v>
      </c>
      <c r="BN83" s="123" t="str">
        <f t="shared" si="373"/>
        <v/>
      </c>
      <c r="BO83" s="123">
        <f t="shared" si="374"/>
        <v>745750.92</v>
      </c>
      <c r="BP83" s="436">
        <f t="shared" ref="BP83:BP98" si="436">IFERROR(VLOOKUP(M83,BUELA,11,FALSE),"")</f>
        <v>0</v>
      </c>
      <c r="BQ83" s="140" t="e">
        <f t="shared" si="57"/>
        <v>#VALUE!</v>
      </c>
      <c r="BR83" s="325" t="str">
        <f t="shared" si="375"/>
        <v/>
      </c>
      <c r="BS83" s="333">
        <f t="shared" si="376"/>
        <v>287658.64</v>
      </c>
      <c r="BT83" s="140" t="e">
        <f t="shared" ref="BT83:BV83" si="437">SUM(BQ83,BM83,BI83)</f>
        <v>#VALUE!</v>
      </c>
      <c r="BU83" s="326">
        <f t="shared" si="437"/>
        <v>0</v>
      </c>
      <c r="BV83" s="333">
        <f t="shared" si="437"/>
        <v>1214242.19</v>
      </c>
      <c r="BW83" s="125">
        <f t="shared" ref="BW83:BW98" si="438">IFERROR(VLOOKUP(M83,BUELA,12,FALSE),"")</f>
        <v>800408.25</v>
      </c>
      <c r="BX83" s="140" t="e">
        <f t="shared" si="61"/>
        <v>#VALUE!</v>
      </c>
      <c r="BY83" s="123" t="str">
        <f t="shared" si="378"/>
        <v/>
      </c>
      <c r="BZ83" s="148">
        <f t="shared" si="379"/>
        <v>522128.39</v>
      </c>
      <c r="CA83" s="123">
        <f t="shared" ref="CA83:CA98" si="439">IFERROR(VLOOKUP(M83,BUELA,13,FALSE),"")</f>
        <v>92392</v>
      </c>
      <c r="CB83" s="326">
        <f t="shared" ref="CB83:CB98" si="440">IFERROR(VLOOKUP(M83,BUELA,14,FALSE),"")</f>
        <v>0</v>
      </c>
      <c r="CI83" s="294"/>
      <c r="CJ83" s="294"/>
    </row>
    <row r="84" spans="1:88" ht="13">
      <c r="A84" s="436">
        <f t="shared" si="348"/>
        <v>112012133</v>
      </c>
      <c r="B84" s="172">
        <f t="shared" si="339"/>
        <v>1</v>
      </c>
      <c r="C84" s="558" t="str">
        <f t="shared" si="340"/>
        <v>Lista</v>
      </c>
      <c r="D84" s="558">
        <f t="shared" si="341"/>
        <v>0.09</v>
      </c>
      <c r="E84" s="559">
        <f t="shared" si="342"/>
        <v>0</v>
      </c>
      <c r="F84" s="836">
        <f t="shared" si="349"/>
        <v>1</v>
      </c>
      <c r="G84" s="558" t="str">
        <f t="shared" si="350"/>
        <v>Lista</v>
      </c>
      <c r="H84" s="558">
        <f t="shared" si="351"/>
        <v>0.09</v>
      </c>
      <c r="I84" s="559">
        <f t="shared" si="352"/>
        <v>0</v>
      </c>
      <c r="J84" s="837">
        <f t="shared" si="353"/>
        <v>71</v>
      </c>
      <c r="K84" s="699" t="str">
        <f t="shared" si="354"/>
        <v>Lista</v>
      </c>
      <c r="L84" s="700">
        <f t="shared" si="355"/>
        <v>0.05</v>
      </c>
      <c r="M84" s="859" t="s">
        <v>766</v>
      </c>
      <c r="N84" s="434"/>
      <c r="O84" s="141">
        <f t="shared" si="317"/>
        <v>0</v>
      </c>
      <c r="P84" s="113" t="e">
        <f t="shared" si="180"/>
        <v>#VALUE!</v>
      </c>
      <c r="Q84" s="116" t="str">
        <f t="shared" si="356"/>
        <v/>
      </c>
      <c r="R84" s="117">
        <f t="shared" si="357"/>
        <v>0</v>
      </c>
      <c r="S84" s="114">
        <f t="shared" si="181"/>
        <v>0</v>
      </c>
      <c r="T84" s="413" t="str">
        <f t="shared" si="182"/>
        <v/>
      </c>
      <c r="U84" s="123">
        <f t="shared" si="343"/>
        <v>254796</v>
      </c>
      <c r="V84" s="332"/>
      <c r="W84" s="113" t="e">
        <f t="shared" si="19"/>
        <v>#VALUE!</v>
      </c>
      <c r="X84" s="116" t="str">
        <f t="shared" si="358"/>
        <v/>
      </c>
      <c r="Y84" s="117">
        <f t="shared" si="359"/>
        <v>0</v>
      </c>
      <c r="Z84" s="114">
        <f t="shared" si="184"/>
        <v>0</v>
      </c>
      <c r="AA84" s="413" t="str">
        <f t="shared" si="185"/>
        <v/>
      </c>
      <c r="AB84" s="125">
        <f t="shared" si="344"/>
        <v>0</v>
      </c>
      <c r="AC84" s="416">
        <f t="shared" si="318"/>
        <v>0</v>
      </c>
      <c r="AD84" s="113" t="e">
        <f t="shared" si="26"/>
        <v>#VALUE!</v>
      </c>
      <c r="AE84" s="116" t="str">
        <f t="shared" si="360"/>
        <v/>
      </c>
      <c r="AF84" s="117">
        <f t="shared" si="361"/>
        <v>322592</v>
      </c>
      <c r="AG84" s="114">
        <f t="shared" si="187"/>
        <v>322592</v>
      </c>
      <c r="AH84" s="413" t="str">
        <f t="shared" si="188"/>
        <v/>
      </c>
      <c r="AI84" s="846">
        <f t="shared" si="189"/>
        <v>0</v>
      </c>
      <c r="AJ84" s="840">
        <f t="shared" si="362"/>
        <v>371562.9</v>
      </c>
      <c r="AK84" s="116" t="e">
        <f t="shared" si="190"/>
        <v>#VALUE!</v>
      </c>
      <c r="AL84" s="116">
        <f t="shared" si="191"/>
        <v>0</v>
      </c>
      <c r="AM84" s="116">
        <f t="shared" si="192"/>
        <v>322592</v>
      </c>
      <c r="AN84" s="116">
        <f t="shared" si="36"/>
        <v>-48970.900000000023</v>
      </c>
      <c r="AO84" s="413">
        <f t="shared" si="300"/>
        <v>0.86820293414654692</v>
      </c>
      <c r="AP84" s="434">
        <f t="shared" si="430"/>
        <v>510356.7</v>
      </c>
      <c r="AQ84" s="140" t="e">
        <f t="shared" si="39"/>
        <v>#VALUE!</v>
      </c>
      <c r="AR84" s="123" t="str">
        <f t="shared" si="363"/>
        <v/>
      </c>
      <c r="AS84" s="148">
        <f t="shared" si="364"/>
        <v>0</v>
      </c>
      <c r="AT84" s="123">
        <f t="shared" si="431"/>
        <v>48204.1</v>
      </c>
      <c r="AU84" s="326" t="e">
        <f t="shared" si="42"/>
        <v>#VALUE!</v>
      </c>
      <c r="AV84" s="326" t="str">
        <f t="shared" si="365"/>
        <v/>
      </c>
      <c r="AW84" s="326">
        <f t="shared" si="366"/>
        <v>0</v>
      </c>
      <c r="AX84" s="332">
        <f t="shared" si="432"/>
        <v>129292.8</v>
      </c>
      <c r="AY84" s="140" t="e">
        <f t="shared" si="45"/>
        <v>#VALUE!</v>
      </c>
      <c r="AZ84" s="326" t="str">
        <f t="shared" si="367"/>
        <v/>
      </c>
      <c r="BA84" s="332">
        <f t="shared" si="368"/>
        <v>151407.6</v>
      </c>
      <c r="BB84" s="122" t="e">
        <f t="shared" ref="BB84:BD84" si="441">SUM(AY84,AU84,AQ84)</f>
        <v>#VALUE!</v>
      </c>
      <c r="BC84" s="326">
        <f t="shared" si="441"/>
        <v>0</v>
      </c>
      <c r="BD84" s="332">
        <f t="shared" si="441"/>
        <v>151407.6</v>
      </c>
      <c r="BE84" s="140" t="e">
        <f t="shared" ref="BE84:BF84" si="442">SUM(BB84,AK84)</f>
        <v>#VALUE!</v>
      </c>
      <c r="BF84" s="326">
        <f t="shared" si="442"/>
        <v>0</v>
      </c>
      <c r="BG84" s="435">
        <f t="shared" si="50"/>
        <v>473999.6</v>
      </c>
      <c r="BH84" s="423">
        <f t="shared" si="435"/>
        <v>294183.67999999999</v>
      </c>
      <c r="BI84" s="123" t="e">
        <f t="shared" si="51"/>
        <v>#VALUE!</v>
      </c>
      <c r="BJ84" s="123" t="str">
        <f t="shared" si="371"/>
        <v/>
      </c>
      <c r="BK84" s="148">
        <f t="shared" si="372"/>
        <v>0</v>
      </c>
      <c r="BL84" s="423"/>
      <c r="BM84" s="123" t="e">
        <f t="shared" si="54"/>
        <v>#VALUE!</v>
      </c>
      <c r="BN84" s="123" t="str">
        <f t="shared" si="373"/>
        <v/>
      </c>
      <c r="BO84" s="123">
        <f t="shared" si="374"/>
        <v>171084.78</v>
      </c>
      <c r="BP84" s="436">
        <f t="shared" si="436"/>
        <v>0</v>
      </c>
      <c r="BQ84" s="140" t="e">
        <f t="shared" si="57"/>
        <v>#VALUE!</v>
      </c>
      <c r="BR84" s="325" t="str">
        <f t="shared" si="375"/>
        <v/>
      </c>
      <c r="BS84" s="333">
        <f t="shared" si="376"/>
        <v>406849.58</v>
      </c>
      <c r="BT84" s="140" t="e">
        <f t="shared" ref="BT84:BV84" si="443">SUM(BQ84,BM84,BI84)</f>
        <v>#VALUE!</v>
      </c>
      <c r="BU84" s="326">
        <f t="shared" si="443"/>
        <v>0</v>
      </c>
      <c r="BV84" s="333">
        <f t="shared" si="443"/>
        <v>577934.36</v>
      </c>
      <c r="BW84" s="125">
        <f t="shared" si="438"/>
        <v>102086.52</v>
      </c>
      <c r="BX84" s="140" t="e">
        <f t="shared" si="61"/>
        <v>#VALUE!</v>
      </c>
      <c r="BY84" s="123" t="str">
        <f t="shared" si="378"/>
        <v/>
      </c>
      <c r="BZ84" s="148">
        <f t="shared" si="379"/>
        <v>-67876.929999999993</v>
      </c>
      <c r="CA84" s="123">
        <f t="shared" si="439"/>
        <v>0</v>
      </c>
      <c r="CB84" s="326">
        <f t="shared" si="440"/>
        <v>269476.38</v>
      </c>
      <c r="CI84" s="294"/>
      <c r="CJ84" s="294"/>
    </row>
    <row r="85" spans="1:88" ht="13">
      <c r="A85" s="436">
        <f t="shared" si="348"/>
        <v>112013989</v>
      </c>
      <c r="B85" s="172">
        <f t="shared" si="339"/>
        <v>1</v>
      </c>
      <c r="C85" s="558" t="str">
        <f t="shared" si="340"/>
        <v>Lista</v>
      </c>
      <c r="D85" s="558">
        <f t="shared" si="341"/>
        <v>0.09</v>
      </c>
      <c r="E85" s="559">
        <f t="shared" si="342"/>
        <v>0</v>
      </c>
      <c r="F85" s="836">
        <f t="shared" si="349"/>
        <v>1</v>
      </c>
      <c r="G85" s="558" t="str">
        <f t="shared" si="350"/>
        <v>Lista</v>
      </c>
      <c r="H85" s="558">
        <f t="shared" si="351"/>
        <v>0.09</v>
      </c>
      <c r="I85" s="559">
        <f t="shared" si="352"/>
        <v>0</v>
      </c>
      <c r="J85" s="837">
        <f t="shared" si="353"/>
        <v>71</v>
      </c>
      <c r="K85" s="699" t="str">
        <f t="shared" si="354"/>
        <v>Lista</v>
      </c>
      <c r="L85" s="700">
        <f t="shared" si="355"/>
        <v>0.05</v>
      </c>
      <c r="M85" s="859" t="s">
        <v>767</v>
      </c>
      <c r="N85" s="434"/>
      <c r="O85" s="141">
        <f t="shared" si="317"/>
        <v>0</v>
      </c>
      <c r="P85" s="113" t="e">
        <f t="shared" si="180"/>
        <v>#VALUE!</v>
      </c>
      <c r="Q85" s="116" t="str">
        <f t="shared" si="356"/>
        <v/>
      </c>
      <c r="R85" s="117">
        <f t="shared" si="357"/>
        <v>0</v>
      </c>
      <c r="S85" s="114">
        <f t="shared" si="181"/>
        <v>0</v>
      </c>
      <c r="T85" s="413" t="str">
        <f t="shared" si="182"/>
        <v/>
      </c>
      <c r="U85" s="123">
        <f t="shared" si="343"/>
        <v>301454.06</v>
      </c>
      <c r="V85" s="332"/>
      <c r="W85" s="113" t="e">
        <f t="shared" si="19"/>
        <v>#VALUE!</v>
      </c>
      <c r="X85" s="116" t="str">
        <f t="shared" si="358"/>
        <v/>
      </c>
      <c r="Y85" s="117">
        <f t="shared" si="359"/>
        <v>80490.84</v>
      </c>
      <c r="Z85" s="114">
        <f t="shared" si="184"/>
        <v>80490.84</v>
      </c>
      <c r="AA85" s="413" t="str">
        <f t="shared" si="185"/>
        <v/>
      </c>
      <c r="AB85" s="125">
        <f t="shared" si="344"/>
        <v>151603.34</v>
      </c>
      <c r="AC85" s="416">
        <f t="shared" si="318"/>
        <v>249139.62283909999</v>
      </c>
      <c r="AD85" s="113" t="e">
        <f t="shared" si="26"/>
        <v>#VALUE!</v>
      </c>
      <c r="AE85" s="116" t="str">
        <f t="shared" si="360"/>
        <v/>
      </c>
      <c r="AF85" s="117">
        <f t="shared" si="361"/>
        <v>99127.8</v>
      </c>
      <c r="AG85" s="114">
        <f t="shared" si="187"/>
        <v>-150011.82283909997</v>
      </c>
      <c r="AH85" s="413">
        <f t="shared" si="188"/>
        <v>0.39788050921157164</v>
      </c>
      <c r="AI85" s="846">
        <f t="shared" si="189"/>
        <v>249139.62283909999</v>
      </c>
      <c r="AJ85" s="840">
        <f t="shared" si="362"/>
        <v>723227.97</v>
      </c>
      <c r="AK85" s="116" t="e">
        <f t="shared" si="190"/>
        <v>#VALUE!</v>
      </c>
      <c r="AL85" s="116">
        <f t="shared" si="191"/>
        <v>0</v>
      </c>
      <c r="AM85" s="116">
        <f t="shared" si="192"/>
        <v>179618.64</v>
      </c>
      <c r="AN85" s="116">
        <f t="shared" si="36"/>
        <v>-543609.32999999996</v>
      </c>
      <c r="AO85" s="413">
        <f t="shared" si="300"/>
        <v>0.24835687701624706</v>
      </c>
      <c r="AP85" s="434">
        <f t="shared" si="430"/>
        <v>177925.62</v>
      </c>
      <c r="AQ85" s="140" t="e">
        <f t="shared" si="39"/>
        <v>#VALUE!</v>
      </c>
      <c r="AR85" s="123" t="str">
        <f t="shared" si="363"/>
        <v/>
      </c>
      <c r="AS85" s="148">
        <f t="shared" si="364"/>
        <v>603001.28</v>
      </c>
      <c r="AT85" s="123">
        <f t="shared" si="431"/>
        <v>142680.75</v>
      </c>
      <c r="AU85" s="326" t="e">
        <f t="shared" si="42"/>
        <v>#VALUE!</v>
      </c>
      <c r="AV85" s="326" t="str">
        <f t="shared" si="365"/>
        <v/>
      </c>
      <c r="AW85" s="326">
        <f t="shared" si="366"/>
        <v>423127.07</v>
      </c>
      <c r="AX85" s="332">
        <f t="shared" si="432"/>
        <v>78866.539999999994</v>
      </c>
      <c r="AY85" s="140" t="e">
        <f t="shared" si="45"/>
        <v>#VALUE!</v>
      </c>
      <c r="AZ85" s="326" t="str">
        <f t="shared" si="367"/>
        <v/>
      </c>
      <c r="BA85" s="332">
        <f t="shared" si="368"/>
        <v>311807.46999999997</v>
      </c>
      <c r="BB85" s="122" t="e">
        <f t="shared" ref="BB85:BD85" si="444">SUM(AY85,AU85,AQ85)</f>
        <v>#VALUE!</v>
      </c>
      <c r="BC85" s="326">
        <f t="shared" si="444"/>
        <v>0</v>
      </c>
      <c r="BD85" s="332">
        <f t="shared" si="444"/>
        <v>1337935.82</v>
      </c>
      <c r="BE85" s="140" t="e">
        <f t="shared" ref="BE85:BF85" si="445">SUM(BB85,AK85)</f>
        <v>#VALUE!</v>
      </c>
      <c r="BF85" s="326">
        <f t="shared" si="445"/>
        <v>0</v>
      </c>
      <c r="BG85" s="435">
        <f t="shared" si="50"/>
        <v>1517554.46</v>
      </c>
      <c r="BH85" s="423">
        <f t="shared" si="435"/>
        <v>274405.53999999998</v>
      </c>
      <c r="BI85" s="123" t="e">
        <f t="shared" si="51"/>
        <v>#VALUE!</v>
      </c>
      <c r="BJ85" s="123" t="str">
        <f t="shared" si="371"/>
        <v/>
      </c>
      <c r="BK85" s="148">
        <f t="shared" si="372"/>
        <v>230015.18</v>
      </c>
      <c r="BL85" s="423">
        <f>IFERROR(VLOOKUP(M85,BUELA,10,FALSE),"")</f>
        <v>231041.02</v>
      </c>
      <c r="BM85" s="123" t="e">
        <f t="shared" si="54"/>
        <v>#VALUE!</v>
      </c>
      <c r="BN85" s="123" t="str">
        <f t="shared" si="373"/>
        <v/>
      </c>
      <c r="BO85" s="123">
        <f t="shared" si="374"/>
        <v>179955.61</v>
      </c>
      <c r="BP85" s="436">
        <f t="shared" si="436"/>
        <v>104586.46</v>
      </c>
      <c r="BQ85" s="140" t="e">
        <f t="shared" si="57"/>
        <v>#VALUE!</v>
      </c>
      <c r="BR85" s="325" t="str">
        <f t="shared" si="375"/>
        <v/>
      </c>
      <c r="BS85" s="333">
        <f t="shared" si="376"/>
        <v>0</v>
      </c>
      <c r="BT85" s="140" t="e">
        <f t="shared" ref="BT85:BV85" si="446">SUM(BQ85,BM85,BI85)</f>
        <v>#VALUE!</v>
      </c>
      <c r="BU85" s="326">
        <f t="shared" si="446"/>
        <v>0</v>
      </c>
      <c r="BV85" s="333">
        <f t="shared" si="446"/>
        <v>409970.79</v>
      </c>
      <c r="BW85" s="125">
        <f t="shared" si="438"/>
        <v>382938.23</v>
      </c>
      <c r="BX85" s="140" t="e">
        <f t="shared" si="61"/>
        <v>#VALUE!</v>
      </c>
      <c r="BY85" s="123" t="str">
        <f t="shared" si="378"/>
        <v/>
      </c>
      <c r="BZ85" s="148">
        <f t="shared" si="379"/>
        <v>130799.75</v>
      </c>
      <c r="CA85" s="123">
        <f t="shared" si="439"/>
        <v>309571.03999999998</v>
      </c>
      <c r="CB85" s="326">
        <f t="shared" si="440"/>
        <v>30718.7</v>
      </c>
      <c r="CD85" s="302"/>
      <c r="CI85" s="294"/>
      <c r="CJ85" s="294"/>
    </row>
    <row r="86" spans="1:88" ht="13">
      <c r="A86" s="436">
        <f t="shared" si="348"/>
        <v>112010910</v>
      </c>
      <c r="B86" s="172">
        <f t="shared" si="339"/>
        <v>1</v>
      </c>
      <c r="C86" s="558" t="str">
        <f t="shared" si="340"/>
        <v>Lista</v>
      </c>
      <c r="D86" s="558">
        <f t="shared" si="341"/>
        <v>0.09</v>
      </c>
      <c r="E86" s="559">
        <f t="shared" si="342"/>
        <v>0</v>
      </c>
      <c r="F86" s="836">
        <f t="shared" si="349"/>
        <v>1</v>
      </c>
      <c r="G86" s="558" t="str">
        <f t="shared" si="350"/>
        <v>Lista</v>
      </c>
      <c r="H86" s="558">
        <f t="shared" si="351"/>
        <v>0.09</v>
      </c>
      <c r="I86" s="559">
        <f t="shared" si="352"/>
        <v>0</v>
      </c>
      <c r="J86" s="837">
        <f t="shared" si="353"/>
        <v>71</v>
      </c>
      <c r="K86" s="699" t="str">
        <f t="shared" si="354"/>
        <v>Lista</v>
      </c>
      <c r="L86" s="700">
        <f t="shared" si="355"/>
        <v>0.05</v>
      </c>
      <c r="M86" s="859" t="s">
        <v>768</v>
      </c>
      <c r="N86" s="434"/>
      <c r="O86" s="141">
        <f t="shared" si="317"/>
        <v>0</v>
      </c>
      <c r="P86" s="113" t="e">
        <f t="shared" si="180"/>
        <v>#VALUE!</v>
      </c>
      <c r="Q86" s="116" t="str">
        <f t="shared" si="356"/>
        <v/>
      </c>
      <c r="R86" s="117">
        <f t="shared" si="357"/>
        <v>0</v>
      </c>
      <c r="S86" s="114">
        <f t="shared" si="181"/>
        <v>0</v>
      </c>
      <c r="T86" s="413" t="str">
        <f t="shared" si="182"/>
        <v/>
      </c>
      <c r="U86" s="123" t="str">
        <f t="shared" si="343"/>
        <v/>
      </c>
      <c r="V86" s="332"/>
      <c r="W86" s="113" t="e">
        <f t="shared" si="19"/>
        <v>#VALUE!</v>
      </c>
      <c r="X86" s="116" t="str">
        <f t="shared" si="358"/>
        <v/>
      </c>
      <c r="Y86" s="117">
        <f t="shared" si="359"/>
        <v>0</v>
      </c>
      <c r="Z86" s="114">
        <f t="shared" si="184"/>
        <v>0</v>
      </c>
      <c r="AA86" s="413" t="str">
        <f t="shared" si="185"/>
        <v/>
      </c>
      <c r="AB86" s="125" t="str">
        <f t="shared" si="344"/>
        <v/>
      </c>
      <c r="AC86" s="416" t="e">
        <f t="shared" si="318"/>
        <v>#VALUE!</v>
      </c>
      <c r="AD86" s="113" t="e">
        <f t="shared" si="26"/>
        <v>#VALUE!</v>
      </c>
      <c r="AE86" s="116" t="str">
        <f t="shared" si="360"/>
        <v/>
      </c>
      <c r="AF86" s="117">
        <f t="shared" si="361"/>
        <v>0</v>
      </c>
      <c r="AG86" s="114" t="e">
        <f t="shared" si="187"/>
        <v>#VALUE!</v>
      </c>
      <c r="AH86" s="413" t="str">
        <f t="shared" si="188"/>
        <v/>
      </c>
      <c r="AI86" s="846" t="e">
        <f t="shared" si="189"/>
        <v>#VALUE!</v>
      </c>
      <c r="AJ86" s="840" t="str">
        <f t="shared" si="362"/>
        <v/>
      </c>
      <c r="AK86" s="116" t="e">
        <f t="shared" si="190"/>
        <v>#VALUE!</v>
      </c>
      <c r="AL86" s="116">
        <f t="shared" si="191"/>
        <v>0</v>
      </c>
      <c r="AM86" s="116">
        <f t="shared" si="192"/>
        <v>0</v>
      </c>
      <c r="AN86" s="116" t="e">
        <f t="shared" si="36"/>
        <v>#VALUE!</v>
      </c>
      <c r="AO86" s="413" t="str">
        <f t="shared" si="300"/>
        <v/>
      </c>
      <c r="AP86" s="434" t="str">
        <f t="shared" si="430"/>
        <v/>
      </c>
      <c r="AQ86" s="140" t="e">
        <f t="shared" si="39"/>
        <v>#VALUE!</v>
      </c>
      <c r="AR86" s="123" t="str">
        <f t="shared" si="363"/>
        <v/>
      </c>
      <c r="AS86" s="148">
        <f t="shared" si="364"/>
        <v>97646.04</v>
      </c>
      <c r="AT86" s="123" t="str">
        <f t="shared" si="431"/>
        <v/>
      </c>
      <c r="AU86" s="326" t="e">
        <f t="shared" si="42"/>
        <v>#VALUE!</v>
      </c>
      <c r="AV86" s="326" t="str">
        <f t="shared" si="365"/>
        <v/>
      </c>
      <c r="AW86" s="326">
        <f t="shared" si="366"/>
        <v>0</v>
      </c>
      <c r="AX86" s="332" t="str">
        <f t="shared" si="432"/>
        <v/>
      </c>
      <c r="AY86" s="140" t="e">
        <f t="shared" si="45"/>
        <v>#VALUE!</v>
      </c>
      <c r="AZ86" s="326" t="str">
        <f t="shared" si="367"/>
        <v/>
      </c>
      <c r="BA86" s="332">
        <f t="shared" si="368"/>
        <v>0</v>
      </c>
      <c r="BB86" s="122" t="e">
        <f t="shared" ref="BB86:BD86" si="447">SUM(AY86,AU86,AQ86)</f>
        <v>#VALUE!</v>
      </c>
      <c r="BC86" s="326">
        <f t="shared" si="447"/>
        <v>0</v>
      </c>
      <c r="BD86" s="332">
        <f t="shared" si="447"/>
        <v>97646.04</v>
      </c>
      <c r="BE86" s="140" t="e">
        <f t="shared" ref="BE86:BF86" si="448">SUM(BB86,AK86)</f>
        <v>#VALUE!</v>
      </c>
      <c r="BF86" s="326">
        <f t="shared" si="448"/>
        <v>0</v>
      </c>
      <c r="BG86" s="435">
        <f t="shared" si="50"/>
        <v>97646.04</v>
      </c>
      <c r="BH86" s="423" t="str">
        <f t="shared" si="435"/>
        <v/>
      </c>
      <c r="BI86" s="123" t="e">
        <f t="shared" si="51"/>
        <v>#VALUE!</v>
      </c>
      <c r="BJ86" s="123" t="str">
        <f t="shared" si="371"/>
        <v/>
      </c>
      <c r="BK86" s="148">
        <f t="shared" si="372"/>
        <v>0</v>
      </c>
      <c r="BL86" s="423"/>
      <c r="BM86" s="123" t="e">
        <f t="shared" si="54"/>
        <v>#VALUE!</v>
      </c>
      <c r="BN86" s="123" t="str">
        <f t="shared" si="373"/>
        <v/>
      </c>
      <c r="BO86" s="123">
        <f t="shared" si="374"/>
        <v>119328</v>
      </c>
      <c r="BP86" s="436" t="str">
        <f t="shared" si="436"/>
        <v/>
      </c>
      <c r="BQ86" s="140" t="e">
        <f t="shared" si="57"/>
        <v>#VALUE!</v>
      </c>
      <c r="BR86" s="325" t="str">
        <f t="shared" si="375"/>
        <v/>
      </c>
      <c r="BS86" s="333">
        <f t="shared" si="376"/>
        <v>0</v>
      </c>
      <c r="BT86" s="140" t="e">
        <f t="shared" ref="BT86:BV86" si="449">SUM(BQ86,BM86,BI86)</f>
        <v>#VALUE!</v>
      </c>
      <c r="BU86" s="326">
        <f t="shared" si="449"/>
        <v>0</v>
      </c>
      <c r="BV86" s="333">
        <f t="shared" si="449"/>
        <v>119328</v>
      </c>
      <c r="BW86" s="125" t="str">
        <f t="shared" si="438"/>
        <v/>
      </c>
      <c r="BX86" s="140" t="e">
        <f t="shared" si="61"/>
        <v>#VALUE!</v>
      </c>
      <c r="BY86" s="123" t="str">
        <f t="shared" si="378"/>
        <v/>
      </c>
      <c r="BZ86" s="148">
        <f t="shared" si="379"/>
        <v>0</v>
      </c>
      <c r="CA86" s="123" t="str">
        <f t="shared" si="439"/>
        <v/>
      </c>
      <c r="CB86" s="326" t="str">
        <f t="shared" si="440"/>
        <v/>
      </c>
      <c r="CI86" s="294"/>
      <c r="CJ86" s="294"/>
    </row>
    <row r="87" spans="1:88" ht="13">
      <c r="A87" s="436">
        <f t="shared" si="348"/>
        <v>112013104</v>
      </c>
      <c r="B87" s="172">
        <f t="shared" si="339"/>
        <v>1</v>
      </c>
      <c r="C87" s="558" t="str">
        <f t="shared" si="340"/>
        <v>Lista</v>
      </c>
      <c r="D87" s="558">
        <f t="shared" si="341"/>
        <v>0.09</v>
      </c>
      <c r="E87" s="559">
        <f t="shared" si="342"/>
        <v>0</v>
      </c>
      <c r="F87" s="836">
        <f t="shared" si="349"/>
        <v>1</v>
      </c>
      <c r="G87" s="558" t="str">
        <f t="shared" si="350"/>
        <v>Lista</v>
      </c>
      <c r="H87" s="558">
        <f t="shared" si="351"/>
        <v>0.09</v>
      </c>
      <c r="I87" s="559">
        <f t="shared" si="352"/>
        <v>0</v>
      </c>
      <c r="J87" s="837">
        <f t="shared" si="353"/>
        <v>71</v>
      </c>
      <c r="K87" s="699" t="str">
        <f t="shared" si="354"/>
        <v>Lista</v>
      </c>
      <c r="L87" s="700">
        <f t="shared" si="355"/>
        <v>0.05</v>
      </c>
      <c r="M87" s="859" t="s">
        <v>769</v>
      </c>
      <c r="N87" s="434"/>
      <c r="O87" s="141">
        <f t="shared" si="317"/>
        <v>0</v>
      </c>
      <c r="P87" s="113" t="e">
        <f t="shared" si="180"/>
        <v>#VALUE!</v>
      </c>
      <c r="Q87" s="116" t="str">
        <f t="shared" si="356"/>
        <v/>
      </c>
      <c r="R87" s="117" t="str">
        <f t="shared" si="357"/>
        <v/>
      </c>
      <c r="S87" s="114" t="e">
        <f t="shared" si="181"/>
        <v>#VALUE!</v>
      </c>
      <c r="T87" s="413" t="str">
        <f t="shared" si="182"/>
        <v/>
      </c>
      <c r="U87" s="123">
        <f t="shared" si="343"/>
        <v>0</v>
      </c>
      <c r="V87" s="332"/>
      <c r="W87" s="113" t="e">
        <f t="shared" si="19"/>
        <v>#VALUE!</v>
      </c>
      <c r="X87" s="116" t="str">
        <f t="shared" si="358"/>
        <v/>
      </c>
      <c r="Y87" s="117" t="str">
        <f t="shared" si="359"/>
        <v/>
      </c>
      <c r="Z87" s="114" t="e">
        <f t="shared" si="184"/>
        <v>#VALUE!</v>
      </c>
      <c r="AA87" s="413" t="str">
        <f t="shared" si="185"/>
        <v/>
      </c>
      <c r="AB87" s="125">
        <f t="shared" si="344"/>
        <v>0</v>
      </c>
      <c r="AC87" s="416">
        <f t="shared" si="318"/>
        <v>0</v>
      </c>
      <c r="AD87" s="113" t="e">
        <f t="shared" si="26"/>
        <v>#VALUE!</v>
      </c>
      <c r="AE87" s="116" t="str">
        <f t="shared" si="360"/>
        <v/>
      </c>
      <c r="AF87" s="117" t="str">
        <f t="shared" si="361"/>
        <v/>
      </c>
      <c r="AG87" s="114" t="e">
        <f t="shared" si="187"/>
        <v>#VALUE!</v>
      </c>
      <c r="AH87" s="413" t="str">
        <f t="shared" si="188"/>
        <v/>
      </c>
      <c r="AI87" s="846">
        <f t="shared" si="189"/>
        <v>0</v>
      </c>
      <c r="AJ87" s="840" t="str">
        <f t="shared" si="362"/>
        <v/>
      </c>
      <c r="AK87" s="116" t="e">
        <f t="shared" si="190"/>
        <v>#VALUE!</v>
      </c>
      <c r="AL87" s="116">
        <f t="shared" si="191"/>
        <v>0</v>
      </c>
      <c r="AM87" s="116">
        <f t="shared" si="192"/>
        <v>0</v>
      </c>
      <c r="AN87" s="116" t="e">
        <f t="shared" si="36"/>
        <v>#VALUE!</v>
      </c>
      <c r="AO87" s="413" t="str">
        <f t="shared" si="300"/>
        <v/>
      </c>
      <c r="AP87" s="434">
        <f t="shared" si="430"/>
        <v>0</v>
      </c>
      <c r="AQ87" s="140" t="e">
        <f t="shared" si="39"/>
        <v>#VALUE!</v>
      </c>
      <c r="AR87" s="123" t="str">
        <f t="shared" si="363"/>
        <v/>
      </c>
      <c r="AS87" s="148" t="str">
        <f t="shared" si="364"/>
        <v/>
      </c>
      <c r="AT87" s="123">
        <f t="shared" si="431"/>
        <v>0</v>
      </c>
      <c r="AU87" s="326" t="e">
        <f t="shared" si="42"/>
        <v>#VALUE!</v>
      </c>
      <c r="AV87" s="326" t="str">
        <f t="shared" si="365"/>
        <v/>
      </c>
      <c r="AW87" s="326" t="str">
        <f t="shared" si="366"/>
        <v/>
      </c>
      <c r="AX87" s="332">
        <f t="shared" si="432"/>
        <v>7033.02</v>
      </c>
      <c r="AY87" s="140" t="e">
        <f t="shared" si="45"/>
        <v>#VALUE!</v>
      </c>
      <c r="AZ87" s="326" t="str">
        <f t="shared" si="367"/>
        <v/>
      </c>
      <c r="BA87" s="332" t="str">
        <f t="shared" si="368"/>
        <v/>
      </c>
      <c r="BB87" s="122" t="e">
        <f t="shared" ref="BB87:BD87" si="450">SUM(AY87,AU87,AQ87)</f>
        <v>#VALUE!</v>
      </c>
      <c r="BC87" s="326">
        <f t="shared" si="450"/>
        <v>0</v>
      </c>
      <c r="BD87" s="332">
        <f t="shared" si="450"/>
        <v>0</v>
      </c>
      <c r="BE87" s="140" t="e">
        <f t="shared" ref="BE87:BF87" si="451">SUM(BB87,AK87)</f>
        <v>#VALUE!</v>
      </c>
      <c r="BF87" s="326">
        <f t="shared" si="451"/>
        <v>0</v>
      </c>
      <c r="BG87" s="435">
        <f t="shared" si="50"/>
        <v>0</v>
      </c>
      <c r="BH87" s="423">
        <f t="shared" si="435"/>
        <v>30710.03</v>
      </c>
      <c r="BI87" s="123" t="e">
        <f t="shared" si="51"/>
        <v>#VALUE!</v>
      </c>
      <c r="BJ87" s="123" t="str">
        <f t="shared" si="371"/>
        <v/>
      </c>
      <c r="BK87" s="148" t="str">
        <f t="shared" si="372"/>
        <v/>
      </c>
      <c r="BL87" s="423">
        <f>IFERROR(VLOOKUP(M87,BUELA,10,FALSE),"")</f>
        <v>0</v>
      </c>
      <c r="BM87" s="123" t="e">
        <f t="shared" si="54"/>
        <v>#VALUE!</v>
      </c>
      <c r="BN87" s="123" t="str">
        <f t="shared" si="373"/>
        <v/>
      </c>
      <c r="BO87" s="123" t="str">
        <f t="shared" si="374"/>
        <v/>
      </c>
      <c r="BP87" s="436">
        <f t="shared" si="436"/>
        <v>0</v>
      </c>
      <c r="BQ87" s="140" t="e">
        <f t="shared" si="57"/>
        <v>#VALUE!</v>
      </c>
      <c r="BR87" s="325" t="str">
        <f t="shared" si="375"/>
        <v/>
      </c>
      <c r="BS87" s="333" t="str">
        <f t="shared" si="376"/>
        <v/>
      </c>
      <c r="BT87" s="140" t="e">
        <f t="shared" ref="BT87:BV87" si="452">SUM(BQ87,BM87,BI87)</f>
        <v>#VALUE!</v>
      </c>
      <c r="BU87" s="326">
        <f t="shared" si="452"/>
        <v>0</v>
      </c>
      <c r="BV87" s="333">
        <f t="shared" si="452"/>
        <v>0</v>
      </c>
      <c r="BW87" s="125">
        <f t="shared" si="438"/>
        <v>0</v>
      </c>
      <c r="BX87" s="140" t="e">
        <f t="shared" si="61"/>
        <v>#VALUE!</v>
      </c>
      <c r="BY87" s="123" t="str">
        <f t="shared" si="378"/>
        <v/>
      </c>
      <c r="BZ87" s="148" t="str">
        <f t="shared" si="379"/>
        <v/>
      </c>
      <c r="CA87" s="123">
        <f t="shared" si="439"/>
        <v>0</v>
      </c>
      <c r="CB87" s="326">
        <f t="shared" si="440"/>
        <v>0</v>
      </c>
      <c r="CI87" s="294"/>
      <c r="CJ87" s="294"/>
    </row>
    <row r="88" spans="1:88" ht="13">
      <c r="A88" s="436">
        <f t="shared" si="348"/>
        <v>112014102</v>
      </c>
      <c r="B88" s="172">
        <f t="shared" si="339"/>
        <v>1</v>
      </c>
      <c r="C88" s="558" t="str">
        <f t="shared" si="340"/>
        <v>Lista</v>
      </c>
      <c r="D88" s="558">
        <f t="shared" si="341"/>
        <v>0.09</v>
      </c>
      <c r="E88" s="559">
        <f t="shared" si="342"/>
        <v>0</v>
      </c>
      <c r="F88" s="836">
        <f t="shared" si="349"/>
        <v>1</v>
      </c>
      <c r="G88" s="558" t="str">
        <f t="shared" si="350"/>
        <v>Lista</v>
      </c>
      <c r="H88" s="558">
        <f t="shared" si="351"/>
        <v>0.09</v>
      </c>
      <c r="I88" s="559">
        <f t="shared" si="352"/>
        <v>0</v>
      </c>
      <c r="J88" s="837">
        <f t="shared" si="353"/>
        <v>71</v>
      </c>
      <c r="K88" s="699" t="str">
        <f t="shared" si="354"/>
        <v>Lista</v>
      </c>
      <c r="L88" s="700">
        <f t="shared" si="355"/>
        <v>0.05</v>
      </c>
      <c r="M88" s="859" t="s">
        <v>770</v>
      </c>
      <c r="N88" s="434"/>
      <c r="O88" s="141">
        <f t="shared" si="317"/>
        <v>0</v>
      </c>
      <c r="P88" s="113">
        <f t="shared" si="180"/>
        <v>35729.21</v>
      </c>
      <c r="Q88" s="116">
        <f t="shared" si="356"/>
        <v>28500</v>
      </c>
      <c r="R88" s="117">
        <f t="shared" si="357"/>
        <v>64229.21</v>
      </c>
      <c r="S88" s="114">
        <f t="shared" si="181"/>
        <v>64229.21</v>
      </c>
      <c r="T88" s="413" t="str">
        <f t="shared" si="182"/>
        <v/>
      </c>
      <c r="U88" s="123">
        <f t="shared" si="343"/>
        <v>0</v>
      </c>
      <c r="V88" s="332"/>
      <c r="W88" s="113">
        <f t="shared" si="19"/>
        <v>143800.4</v>
      </c>
      <c r="X88" s="116">
        <f t="shared" si="358"/>
        <v>0</v>
      </c>
      <c r="Y88" s="117">
        <f t="shared" si="359"/>
        <v>143800.4</v>
      </c>
      <c r="Z88" s="114">
        <f t="shared" si="184"/>
        <v>143800.4</v>
      </c>
      <c r="AA88" s="413" t="str">
        <f t="shared" si="185"/>
        <v/>
      </c>
      <c r="AB88" s="125">
        <f t="shared" si="344"/>
        <v>104885.2</v>
      </c>
      <c r="AC88" s="416">
        <f t="shared" si="318"/>
        <v>172364.66669799999</v>
      </c>
      <c r="AD88" s="113">
        <f t="shared" si="26"/>
        <v>0</v>
      </c>
      <c r="AE88" s="116">
        <f t="shared" si="360"/>
        <v>0</v>
      </c>
      <c r="AF88" s="117">
        <f t="shared" si="361"/>
        <v>0</v>
      </c>
      <c r="AG88" s="114">
        <f t="shared" si="187"/>
        <v>-172364.66669799999</v>
      </c>
      <c r="AH88" s="413">
        <f t="shared" si="188"/>
        <v>0</v>
      </c>
      <c r="AI88" s="846">
        <f t="shared" si="189"/>
        <v>172364.66669799999</v>
      </c>
      <c r="AJ88" s="840">
        <f t="shared" si="362"/>
        <v>483918.98</v>
      </c>
      <c r="AK88" s="116">
        <f t="shared" si="190"/>
        <v>179529.61</v>
      </c>
      <c r="AL88" s="116">
        <f t="shared" si="191"/>
        <v>28500</v>
      </c>
      <c r="AM88" s="116">
        <f t="shared" si="192"/>
        <v>208029.61</v>
      </c>
      <c r="AN88" s="116">
        <f t="shared" si="36"/>
        <v>-275889.37</v>
      </c>
      <c r="AO88" s="413">
        <f t="shared" si="300"/>
        <v>0.42988520516388917</v>
      </c>
      <c r="AP88" s="434">
        <f t="shared" si="430"/>
        <v>108090.16</v>
      </c>
      <c r="AQ88" s="140">
        <f t="shared" si="39"/>
        <v>49856</v>
      </c>
      <c r="AR88" s="123">
        <f t="shared" si="363"/>
        <v>0</v>
      </c>
      <c r="AS88" s="148">
        <f t="shared" si="364"/>
        <v>49856</v>
      </c>
      <c r="AT88" s="123">
        <f t="shared" si="431"/>
        <v>298458.95</v>
      </c>
      <c r="AU88" s="326">
        <f t="shared" si="42"/>
        <v>0</v>
      </c>
      <c r="AV88" s="326">
        <f t="shared" si="365"/>
        <v>0</v>
      </c>
      <c r="AW88" s="326">
        <f t="shared" si="366"/>
        <v>0</v>
      </c>
      <c r="AX88" s="332">
        <f t="shared" si="432"/>
        <v>114522.25</v>
      </c>
      <c r="AY88" s="140">
        <f t="shared" si="45"/>
        <v>67233.2</v>
      </c>
      <c r="AZ88" s="326">
        <f t="shared" si="367"/>
        <v>0</v>
      </c>
      <c r="BA88" s="332">
        <f t="shared" si="368"/>
        <v>67233.2</v>
      </c>
      <c r="BB88" s="122">
        <f t="shared" ref="BB88:BD88" si="453">SUM(AY88,AU88,AQ88)</f>
        <v>117089.2</v>
      </c>
      <c r="BC88" s="326">
        <f t="shared" si="453"/>
        <v>0</v>
      </c>
      <c r="BD88" s="332">
        <f t="shared" si="453"/>
        <v>117089.2</v>
      </c>
      <c r="BE88" s="140">
        <f t="shared" ref="BE88:BF88" si="454">SUM(BB88,AK88)</f>
        <v>296618.81</v>
      </c>
      <c r="BF88" s="326">
        <f t="shared" si="454"/>
        <v>28500</v>
      </c>
      <c r="BG88" s="435">
        <f t="shared" si="50"/>
        <v>325118.81</v>
      </c>
      <c r="BH88" s="423">
        <f t="shared" si="435"/>
        <v>245271.99</v>
      </c>
      <c r="BI88" s="123">
        <f t="shared" si="51"/>
        <v>0</v>
      </c>
      <c r="BJ88" s="123">
        <f t="shared" si="371"/>
        <v>0</v>
      </c>
      <c r="BK88" s="148">
        <f t="shared" si="372"/>
        <v>0</v>
      </c>
      <c r="BL88" s="423"/>
      <c r="BM88" s="123">
        <f t="shared" si="54"/>
        <v>0</v>
      </c>
      <c r="BN88" s="123">
        <f t="shared" si="373"/>
        <v>0</v>
      </c>
      <c r="BO88" s="123">
        <f t="shared" si="374"/>
        <v>0</v>
      </c>
      <c r="BP88" s="436">
        <f t="shared" si="436"/>
        <v>450378.57</v>
      </c>
      <c r="BQ88" s="140">
        <f t="shared" si="57"/>
        <v>0</v>
      </c>
      <c r="BR88" s="325">
        <f t="shared" si="375"/>
        <v>0</v>
      </c>
      <c r="BS88" s="333">
        <f t="shared" si="376"/>
        <v>0</v>
      </c>
      <c r="BT88" s="140">
        <f t="shared" ref="BT88:BV88" si="455">SUM(BQ88,BM88,BI88)</f>
        <v>0</v>
      </c>
      <c r="BU88" s="326">
        <f t="shared" si="455"/>
        <v>0</v>
      </c>
      <c r="BV88" s="333">
        <f t="shared" si="455"/>
        <v>0</v>
      </c>
      <c r="BW88" s="125">
        <f t="shared" si="438"/>
        <v>254583.47</v>
      </c>
      <c r="BX88" s="140">
        <f t="shared" si="61"/>
        <v>0</v>
      </c>
      <c r="BY88" s="123">
        <f t="shared" si="378"/>
        <v>0</v>
      </c>
      <c r="BZ88" s="148">
        <f t="shared" si="379"/>
        <v>0</v>
      </c>
      <c r="CA88" s="123">
        <f t="shared" si="439"/>
        <v>0</v>
      </c>
      <c r="CB88" s="326">
        <f t="shared" si="440"/>
        <v>229335.5</v>
      </c>
      <c r="CI88" s="294"/>
      <c r="CJ88" s="294"/>
    </row>
    <row r="89" spans="1:88" ht="13">
      <c r="A89" s="436">
        <f t="shared" si="348"/>
        <v>112014590</v>
      </c>
      <c r="B89" s="172">
        <f t="shared" si="339"/>
        <v>1</v>
      </c>
      <c r="C89" s="558" t="str">
        <f t="shared" si="340"/>
        <v>Lista</v>
      </c>
      <c r="D89" s="558">
        <f t="shared" si="341"/>
        <v>0.09</v>
      </c>
      <c r="E89" s="559">
        <f t="shared" si="342"/>
        <v>0</v>
      </c>
      <c r="F89" s="836">
        <f t="shared" si="349"/>
        <v>1</v>
      </c>
      <c r="G89" s="558" t="str">
        <f t="shared" si="350"/>
        <v>Lista</v>
      </c>
      <c r="H89" s="558">
        <f t="shared" si="351"/>
        <v>0.09</v>
      </c>
      <c r="I89" s="559">
        <f t="shared" si="352"/>
        <v>0</v>
      </c>
      <c r="J89" s="837">
        <f t="shared" si="353"/>
        <v>71</v>
      </c>
      <c r="K89" s="699" t="str">
        <f t="shared" si="354"/>
        <v>Lista</v>
      </c>
      <c r="L89" s="700">
        <f t="shared" si="355"/>
        <v>0.05</v>
      </c>
      <c r="M89" s="498" t="s">
        <v>771</v>
      </c>
      <c r="N89" s="434">
        <f>IFERROR(VLOOKUP(M89,BUELA,3,FALSE),"")</f>
        <v>0</v>
      </c>
      <c r="O89" s="141">
        <f t="shared" si="317"/>
        <v>0</v>
      </c>
      <c r="P89" s="113" t="e">
        <f t="shared" si="180"/>
        <v>#VALUE!</v>
      </c>
      <c r="Q89" s="116" t="str">
        <f t="shared" si="356"/>
        <v/>
      </c>
      <c r="R89" s="117" t="str">
        <f t="shared" si="357"/>
        <v/>
      </c>
      <c r="S89" s="114" t="e">
        <f t="shared" si="181"/>
        <v>#VALUE!</v>
      </c>
      <c r="T89" s="413" t="str">
        <f t="shared" si="182"/>
        <v/>
      </c>
      <c r="U89" s="123">
        <f t="shared" si="343"/>
        <v>0</v>
      </c>
      <c r="V89" s="332">
        <f t="shared" ref="V89:V90" si="456">(U89*1.7245)*1.05</f>
        <v>0</v>
      </c>
      <c r="W89" s="113" t="e">
        <f t="shared" si="19"/>
        <v>#VALUE!</v>
      </c>
      <c r="X89" s="116" t="str">
        <f t="shared" si="358"/>
        <v/>
      </c>
      <c r="Y89" s="117" t="str">
        <f t="shared" si="359"/>
        <v/>
      </c>
      <c r="Z89" s="114" t="e">
        <f t="shared" si="184"/>
        <v>#VALUE!</v>
      </c>
      <c r="AA89" s="413" t="str">
        <f t="shared" si="185"/>
        <v/>
      </c>
      <c r="AB89" s="125">
        <f t="shared" si="344"/>
        <v>0</v>
      </c>
      <c r="AC89" s="416">
        <f t="shared" si="318"/>
        <v>0</v>
      </c>
      <c r="AD89" s="113" t="e">
        <f t="shared" si="26"/>
        <v>#VALUE!</v>
      </c>
      <c r="AE89" s="116" t="str">
        <f t="shared" si="360"/>
        <v/>
      </c>
      <c r="AF89" s="117" t="str">
        <f t="shared" si="361"/>
        <v/>
      </c>
      <c r="AG89" s="114" t="e">
        <f t="shared" si="187"/>
        <v>#VALUE!</v>
      </c>
      <c r="AH89" s="413" t="str">
        <f t="shared" si="188"/>
        <v/>
      </c>
      <c r="AI89" s="846">
        <f t="shared" si="189"/>
        <v>0</v>
      </c>
      <c r="AJ89" s="840">
        <f t="shared" si="362"/>
        <v>121718.08</v>
      </c>
      <c r="AK89" s="116" t="e">
        <f t="shared" si="190"/>
        <v>#VALUE!</v>
      </c>
      <c r="AL89" s="116">
        <f t="shared" si="191"/>
        <v>0</v>
      </c>
      <c r="AM89" s="116">
        <f t="shared" si="192"/>
        <v>0</v>
      </c>
      <c r="AN89" s="116">
        <f t="shared" si="36"/>
        <v>-121718.08</v>
      </c>
      <c r="AO89" s="413">
        <f t="shared" si="300"/>
        <v>0</v>
      </c>
      <c r="AP89" s="434">
        <f t="shared" si="430"/>
        <v>0</v>
      </c>
      <c r="AQ89" s="140" t="e">
        <f t="shared" si="39"/>
        <v>#VALUE!</v>
      </c>
      <c r="AR89" s="123" t="str">
        <f t="shared" si="363"/>
        <v/>
      </c>
      <c r="AS89" s="148" t="str">
        <f t="shared" si="364"/>
        <v/>
      </c>
      <c r="AT89" s="123">
        <f t="shared" si="431"/>
        <v>0</v>
      </c>
      <c r="AU89" s="326" t="e">
        <f t="shared" si="42"/>
        <v>#VALUE!</v>
      </c>
      <c r="AV89" s="326" t="str">
        <f t="shared" si="365"/>
        <v/>
      </c>
      <c r="AW89" s="326" t="str">
        <f t="shared" si="366"/>
        <v/>
      </c>
      <c r="AX89" s="332">
        <f t="shared" si="432"/>
        <v>0</v>
      </c>
      <c r="AY89" s="140" t="e">
        <f t="shared" si="45"/>
        <v>#VALUE!</v>
      </c>
      <c r="AZ89" s="326" t="str">
        <f t="shared" si="367"/>
        <v/>
      </c>
      <c r="BA89" s="332" t="str">
        <f t="shared" si="368"/>
        <v/>
      </c>
      <c r="BB89" s="122" t="e">
        <f t="shared" ref="BB89:BD89" si="457">SUM(AY89,AU89,AQ89)</f>
        <v>#VALUE!</v>
      </c>
      <c r="BC89" s="326">
        <f t="shared" si="457"/>
        <v>0</v>
      </c>
      <c r="BD89" s="332">
        <f t="shared" si="457"/>
        <v>0</v>
      </c>
      <c r="BE89" s="140" t="e">
        <f t="shared" ref="BE89:BF89" si="458">SUM(BB89,AK89)</f>
        <v>#VALUE!</v>
      </c>
      <c r="BF89" s="326">
        <f t="shared" si="458"/>
        <v>0</v>
      </c>
      <c r="BG89" s="435">
        <f t="shared" si="50"/>
        <v>0</v>
      </c>
      <c r="BH89" s="423">
        <f t="shared" si="435"/>
        <v>0</v>
      </c>
      <c r="BI89" s="123" t="e">
        <f t="shared" si="51"/>
        <v>#VALUE!</v>
      </c>
      <c r="BJ89" s="123" t="str">
        <f t="shared" si="371"/>
        <v/>
      </c>
      <c r="BK89" s="148" t="str">
        <f t="shared" si="372"/>
        <v/>
      </c>
      <c r="BL89" s="423"/>
      <c r="BM89" s="123" t="e">
        <f t="shared" si="54"/>
        <v>#VALUE!</v>
      </c>
      <c r="BN89" s="123" t="str">
        <f t="shared" si="373"/>
        <v/>
      </c>
      <c r="BO89" s="123" t="str">
        <f t="shared" si="374"/>
        <v/>
      </c>
      <c r="BP89" s="436">
        <f t="shared" si="436"/>
        <v>0</v>
      </c>
      <c r="BQ89" s="140" t="e">
        <f t="shared" si="57"/>
        <v>#VALUE!</v>
      </c>
      <c r="BR89" s="325" t="str">
        <f t="shared" si="375"/>
        <v/>
      </c>
      <c r="BS89" s="333" t="str">
        <f t="shared" si="376"/>
        <v/>
      </c>
      <c r="BT89" s="140" t="e">
        <f t="shared" ref="BT89:BV89" si="459">SUM(BQ89,BM89,BI89)</f>
        <v>#VALUE!</v>
      </c>
      <c r="BU89" s="326">
        <f t="shared" si="459"/>
        <v>0</v>
      </c>
      <c r="BV89" s="333">
        <f t="shared" si="459"/>
        <v>0</v>
      </c>
      <c r="BW89" s="125">
        <f t="shared" si="438"/>
        <v>121718.08</v>
      </c>
      <c r="BX89" s="140" t="e">
        <f t="shared" si="61"/>
        <v>#VALUE!</v>
      </c>
      <c r="BY89" s="123" t="str">
        <f t="shared" si="378"/>
        <v/>
      </c>
      <c r="BZ89" s="148" t="str">
        <f t="shared" si="379"/>
        <v/>
      </c>
      <c r="CA89" s="123">
        <f t="shared" si="439"/>
        <v>0</v>
      </c>
      <c r="CB89" s="326">
        <f t="shared" si="440"/>
        <v>0</v>
      </c>
      <c r="CI89" s="294"/>
      <c r="CJ89" s="294"/>
    </row>
    <row r="90" spans="1:88" ht="13">
      <c r="A90" s="436">
        <f t="shared" si="348"/>
        <v>112012921</v>
      </c>
      <c r="B90" s="172">
        <f t="shared" si="339"/>
        <v>1</v>
      </c>
      <c r="C90" s="558" t="str">
        <f t="shared" si="340"/>
        <v>Lista</v>
      </c>
      <c r="D90" s="558">
        <f t="shared" si="341"/>
        <v>0.09</v>
      </c>
      <c r="E90" s="559">
        <f t="shared" si="342"/>
        <v>0</v>
      </c>
      <c r="F90" s="836">
        <f t="shared" si="349"/>
        <v>1</v>
      </c>
      <c r="G90" s="558" t="str">
        <f t="shared" si="350"/>
        <v>Lista</v>
      </c>
      <c r="H90" s="558">
        <f t="shared" si="351"/>
        <v>0.09</v>
      </c>
      <c r="I90" s="559">
        <f t="shared" si="352"/>
        <v>0</v>
      </c>
      <c r="J90" s="837">
        <f t="shared" si="353"/>
        <v>71</v>
      </c>
      <c r="K90" s="699" t="str">
        <f t="shared" si="354"/>
        <v>Lista</v>
      </c>
      <c r="L90" s="700">
        <f t="shared" si="355"/>
        <v>0.05</v>
      </c>
      <c r="M90" s="498" t="s">
        <v>772</v>
      </c>
      <c r="N90" s="434">
        <f>IFERROR(VLOOKUP(M90,BUELA,3,FALSE),"")</f>
        <v>994801.58</v>
      </c>
      <c r="O90" s="141">
        <f t="shared" si="317"/>
        <v>1672311.196059</v>
      </c>
      <c r="P90" s="113" t="e">
        <f t="shared" si="180"/>
        <v>#VALUE!</v>
      </c>
      <c r="Q90" s="116" t="str">
        <f t="shared" si="356"/>
        <v/>
      </c>
      <c r="R90" s="117">
        <f t="shared" si="357"/>
        <v>1802590.45</v>
      </c>
      <c r="S90" s="114">
        <f t="shared" si="181"/>
        <v>130279.25394099997</v>
      </c>
      <c r="T90" s="413">
        <f t="shared" si="182"/>
        <v>1.0779037144809043</v>
      </c>
      <c r="U90" s="123">
        <f t="shared" si="343"/>
        <v>-303541.26</v>
      </c>
      <c r="V90" s="332">
        <f t="shared" si="456"/>
        <v>-549629.74801350001</v>
      </c>
      <c r="W90" s="113" t="e">
        <f t="shared" si="19"/>
        <v>#VALUE!</v>
      </c>
      <c r="X90" s="116" t="str">
        <f t="shared" si="358"/>
        <v/>
      </c>
      <c r="Y90" s="117">
        <f t="shared" si="359"/>
        <v>1139597.01</v>
      </c>
      <c r="Z90" s="114">
        <f t="shared" si="184"/>
        <v>1689226.7580134999</v>
      </c>
      <c r="AA90" s="413">
        <f t="shared" si="185"/>
        <v>-2.0733903398038223</v>
      </c>
      <c r="AB90" s="125">
        <f t="shared" si="344"/>
        <v>271152.68</v>
      </c>
      <c r="AC90" s="416">
        <f t="shared" si="318"/>
        <v>445602.82396820001</v>
      </c>
      <c r="AD90" s="113" t="e">
        <f t="shared" si="26"/>
        <v>#VALUE!</v>
      </c>
      <c r="AE90" s="116" t="str">
        <f t="shared" si="360"/>
        <v/>
      </c>
      <c r="AF90" s="117">
        <f t="shared" si="361"/>
        <v>119790</v>
      </c>
      <c r="AG90" s="114">
        <f t="shared" si="187"/>
        <v>-325812.82396820001</v>
      </c>
      <c r="AH90" s="413">
        <f t="shared" si="188"/>
        <v>0.26882684210400942</v>
      </c>
      <c r="AI90" s="846">
        <f t="shared" si="189"/>
        <v>1568284.2720137001</v>
      </c>
      <c r="AJ90" s="840">
        <f t="shared" si="362"/>
        <v>1740443.4</v>
      </c>
      <c r="AK90" s="116" t="e">
        <f t="shared" si="190"/>
        <v>#VALUE!</v>
      </c>
      <c r="AL90" s="116">
        <f t="shared" si="191"/>
        <v>0</v>
      </c>
      <c r="AM90" s="116">
        <f t="shared" si="192"/>
        <v>3061977.46</v>
      </c>
      <c r="AN90" s="116">
        <f t="shared" si="36"/>
        <v>1321534.06</v>
      </c>
      <c r="AO90" s="413">
        <f t="shared" si="300"/>
        <v>1.7593088404943247</v>
      </c>
      <c r="AP90" s="434">
        <f t="shared" si="430"/>
        <v>231485.44</v>
      </c>
      <c r="AQ90" s="140" t="e">
        <f t="shared" si="39"/>
        <v>#VALUE!</v>
      </c>
      <c r="AR90" s="123" t="str">
        <f t="shared" si="363"/>
        <v/>
      </c>
      <c r="AS90" s="148">
        <f t="shared" si="364"/>
        <v>357375</v>
      </c>
      <c r="AT90" s="123">
        <f t="shared" si="431"/>
        <v>649734.26</v>
      </c>
      <c r="AU90" s="326" t="e">
        <f t="shared" si="42"/>
        <v>#VALUE!</v>
      </c>
      <c r="AV90" s="326" t="str">
        <f t="shared" si="365"/>
        <v/>
      </c>
      <c r="AW90" s="326">
        <f t="shared" si="366"/>
        <v>573847.46</v>
      </c>
      <c r="AX90" s="332">
        <f t="shared" si="432"/>
        <v>459524.07</v>
      </c>
      <c r="AY90" s="140" t="e">
        <f t="shared" si="45"/>
        <v>#VALUE!</v>
      </c>
      <c r="AZ90" s="326" t="str">
        <f t="shared" si="367"/>
        <v/>
      </c>
      <c r="BA90" s="332">
        <f t="shared" si="368"/>
        <v>346275.67</v>
      </c>
      <c r="BB90" s="122" t="e">
        <f t="shared" ref="BB90:BD90" si="460">SUM(AY90,AU90,AQ90)</f>
        <v>#VALUE!</v>
      </c>
      <c r="BC90" s="326">
        <f t="shared" si="460"/>
        <v>0</v>
      </c>
      <c r="BD90" s="332">
        <f t="shared" si="460"/>
        <v>1277498.1299999999</v>
      </c>
      <c r="BE90" s="140" t="e">
        <f t="shared" ref="BE90:BF90" si="461">SUM(BB90,AK90)</f>
        <v>#VALUE!</v>
      </c>
      <c r="BF90" s="326">
        <f t="shared" si="461"/>
        <v>0</v>
      </c>
      <c r="BG90" s="435">
        <f t="shared" si="50"/>
        <v>4339475.59</v>
      </c>
      <c r="BH90" s="423">
        <f t="shared" si="435"/>
        <v>713090.84</v>
      </c>
      <c r="BI90" s="123" t="e">
        <f t="shared" si="51"/>
        <v>#VALUE!</v>
      </c>
      <c r="BJ90" s="123" t="str">
        <f t="shared" si="371"/>
        <v/>
      </c>
      <c r="BK90" s="148">
        <f t="shared" si="372"/>
        <v>550436.98</v>
      </c>
      <c r="BL90" s="423">
        <f>IFERROR(VLOOKUP(M90,BUELA,10,FALSE),"")</f>
        <v>777003.74</v>
      </c>
      <c r="BM90" s="123" t="e">
        <f t="shared" si="54"/>
        <v>#VALUE!</v>
      </c>
      <c r="BN90" s="123" t="str">
        <f t="shared" si="373"/>
        <v/>
      </c>
      <c r="BO90" s="123">
        <f t="shared" si="374"/>
        <v>226592.44</v>
      </c>
      <c r="BP90" s="436">
        <f t="shared" si="436"/>
        <v>811496.4</v>
      </c>
      <c r="BQ90" s="140" t="e">
        <f t="shared" si="57"/>
        <v>#VALUE!</v>
      </c>
      <c r="BR90" s="325" t="str">
        <f t="shared" si="375"/>
        <v/>
      </c>
      <c r="BS90" s="333">
        <f t="shared" si="376"/>
        <v>1222206.7</v>
      </c>
      <c r="BT90" s="140" t="e">
        <f t="shared" ref="BT90:BV90" si="462">SUM(BQ90,BM90,BI90)</f>
        <v>#VALUE!</v>
      </c>
      <c r="BU90" s="326">
        <f t="shared" si="462"/>
        <v>0</v>
      </c>
      <c r="BV90" s="333">
        <f t="shared" si="462"/>
        <v>1999236.1199999999</v>
      </c>
      <c r="BW90" s="125">
        <f t="shared" si="438"/>
        <v>774741.04</v>
      </c>
      <c r="BX90" s="140" t="e">
        <f t="shared" si="61"/>
        <v>#VALUE!</v>
      </c>
      <c r="BY90" s="123" t="str">
        <f t="shared" si="378"/>
        <v/>
      </c>
      <c r="BZ90" s="148">
        <f t="shared" si="379"/>
        <v>531050.91</v>
      </c>
      <c r="CA90" s="123">
        <f t="shared" si="439"/>
        <v>741436.06</v>
      </c>
      <c r="CB90" s="326">
        <f t="shared" si="440"/>
        <v>224266.3</v>
      </c>
      <c r="CI90" s="294"/>
      <c r="CJ90" s="294"/>
    </row>
    <row r="91" spans="1:88" ht="13">
      <c r="A91" s="436">
        <f t="shared" si="348"/>
        <v>112012086</v>
      </c>
      <c r="B91" s="172">
        <f t="shared" si="339"/>
        <v>1</v>
      </c>
      <c r="C91" s="558" t="str">
        <f t="shared" si="340"/>
        <v>Lista</v>
      </c>
      <c r="D91" s="558">
        <f t="shared" si="341"/>
        <v>0.09</v>
      </c>
      <c r="E91" s="559">
        <f t="shared" si="342"/>
        <v>0</v>
      </c>
      <c r="F91" s="836">
        <f t="shared" si="349"/>
        <v>1</v>
      </c>
      <c r="G91" s="558" t="str">
        <f t="shared" si="350"/>
        <v>Lista</v>
      </c>
      <c r="H91" s="558">
        <f t="shared" si="351"/>
        <v>0.09</v>
      </c>
      <c r="I91" s="559">
        <f t="shared" si="352"/>
        <v>0</v>
      </c>
      <c r="J91" s="837">
        <f t="shared" si="353"/>
        <v>71</v>
      </c>
      <c r="K91" s="699" t="str">
        <f t="shared" si="354"/>
        <v>Lista</v>
      </c>
      <c r="L91" s="700">
        <f t="shared" si="355"/>
        <v>0.05</v>
      </c>
      <c r="M91" s="859" t="s">
        <v>773</v>
      </c>
      <c r="N91" s="434"/>
      <c r="O91" s="141">
        <f t="shared" si="317"/>
        <v>0</v>
      </c>
      <c r="P91" s="113">
        <f t="shared" si="180"/>
        <v>0</v>
      </c>
      <c r="Q91" s="116">
        <f t="shared" si="356"/>
        <v>0</v>
      </c>
      <c r="R91" s="117">
        <f t="shared" si="357"/>
        <v>0</v>
      </c>
      <c r="S91" s="114">
        <f t="shared" si="181"/>
        <v>0</v>
      </c>
      <c r="T91" s="413" t="str">
        <f t="shared" si="182"/>
        <v/>
      </c>
      <c r="U91" s="123">
        <f t="shared" si="343"/>
        <v>0</v>
      </c>
      <c r="V91" s="332"/>
      <c r="W91" s="113">
        <f t="shared" si="19"/>
        <v>0</v>
      </c>
      <c r="X91" s="116">
        <f t="shared" si="358"/>
        <v>0</v>
      </c>
      <c r="Y91" s="117">
        <f t="shared" si="359"/>
        <v>0</v>
      </c>
      <c r="Z91" s="114">
        <f t="shared" si="184"/>
        <v>0</v>
      </c>
      <c r="AA91" s="413" t="str">
        <f t="shared" si="185"/>
        <v/>
      </c>
      <c r="AB91" s="125">
        <f t="shared" si="344"/>
        <v>145433.73000000001</v>
      </c>
      <c r="AC91" s="416">
        <f t="shared" si="318"/>
        <v>239000.70170145002</v>
      </c>
      <c r="AD91" s="113">
        <f t="shared" si="26"/>
        <v>0</v>
      </c>
      <c r="AE91" s="116">
        <f t="shared" si="360"/>
        <v>0</v>
      </c>
      <c r="AF91" s="117">
        <f t="shared" si="361"/>
        <v>0</v>
      </c>
      <c r="AG91" s="114">
        <f t="shared" si="187"/>
        <v>-239000.70170145002</v>
      </c>
      <c r="AH91" s="413">
        <f t="shared" si="188"/>
        <v>0</v>
      </c>
      <c r="AI91" s="846">
        <f t="shared" si="189"/>
        <v>239000.70170145002</v>
      </c>
      <c r="AJ91" s="840">
        <f t="shared" si="362"/>
        <v>58553.39</v>
      </c>
      <c r="AK91" s="116">
        <f t="shared" si="190"/>
        <v>0</v>
      </c>
      <c r="AL91" s="116">
        <f t="shared" si="191"/>
        <v>0</v>
      </c>
      <c r="AM91" s="116">
        <f t="shared" si="192"/>
        <v>0</v>
      </c>
      <c r="AN91" s="116">
        <f t="shared" si="36"/>
        <v>-58553.39</v>
      </c>
      <c r="AO91" s="413">
        <f t="shared" si="300"/>
        <v>0</v>
      </c>
      <c r="AP91" s="434">
        <f t="shared" si="430"/>
        <v>90135.360000000001</v>
      </c>
      <c r="AQ91" s="140">
        <f t="shared" si="39"/>
        <v>0</v>
      </c>
      <c r="AR91" s="123">
        <f t="shared" si="363"/>
        <v>19800.02</v>
      </c>
      <c r="AS91" s="148">
        <f t="shared" si="364"/>
        <v>19800.02</v>
      </c>
      <c r="AT91" s="123">
        <f t="shared" si="431"/>
        <v>143621.18</v>
      </c>
      <c r="AU91" s="326">
        <f t="shared" si="42"/>
        <v>0</v>
      </c>
      <c r="AV91" s="326">
        <f t="shared" si="365"/>
        <v>0</v>
      </c>
      <c r="AW91" s="326">
        <f t="shared" si="366"/>
        <v>0</v>
      </c>
      <c r="AX91" s="332">
        <f t="shared" si="432"/>
        <v>39709.800000000003</v>
      </c>
      <c r="AY91" s="140">
        <f t="shared" si="45"/>
        <v>0</v>
      </c>
      <c r="AZ91" s="326">
        <f t="shared" si="367"/>
        <v>68551.03</v>
      </c>
      <c r="BA91" s="332">
        <f t="shared" si="368"/>
        <v>68551.03</v>
      </c>
      <c r="BB91" s="122">
        <f t="shared" ref="BB91:BD91" si="463">SUM(AY91,AU91,AQ91)</f>
        <v>0</v>
      </c>
      <c r="BC91" s="326">
        <f t="shared" si="463"/>
        <v>88351.05</v>
      </c>
      <c r="BD91" s="332">
        <f t="shared" si="463"/>
        <v>88351.05</v>
      </c>
      <c r="BE91" s="140">
        <f t="shared" ref="BE91:BF91" si="464">SUM(BB91,AK91)</f>
        <v>0</v>
      </c>
      <c r="BF91" s="326">
        <f t="shared" si="464"/>
        <v>88351.05</v>
      </c>
      <c r="BG91" s="435">
        <f t="shared" si="50"/>
        <v>88351.05</v>
      </c>
      <c r="BH91" s="423">
        <f t="shared" si="435"/>
        <v>42942.07</v>
      </c>
      <c r="BI91" s="123">
        <f t="shared" si="51"/>
        <v>0</v>
      </c>
      <c r="BJ91" s="123">
        <f t="shared" si="371"/>
        <v>0</v>
      </c>
      <c r="BK91" s="148">
        <f t="shared" si="372"/>
        <v>0</v>
      </c>
      <c r="BL91" s="423"/>
      <c r="BM91" s="123">
        <f t="shared" si="54"/>
        <v>0</v>
      </c>
      <c r="BN91" s="123">
        <f t="shared" si="373"/>
        <v>0</v>
      </c>
      <c r="BO91" s="123">
        <f t="shared" si="374"/>
        <v>0</v>
      </c>
      <c r="BP91" s="436">
        <f t="shared" si="436"/>
        <v>64724.37</v>
      </c>
      <c r="BQ91" s="140">
        <f t="shared" si="57"/>
        <v>0</v>
      </c>
      <c r="BR91" s="325">
        <f t="shared" si="375"/>
        <v>0</v>
      </c>
      <c r="BS91" s="333">
        <f t="shared" si="376"/>
        <v>0</v>
      </c>
      <c r="BT91" s="140">
        <f t="shared" ref="BT91:BV91" si="465">SUM(BQ91,BM91,BI91)</f>
        <v>0</v>
      </c>
      <c r="BU91" s="326">
        <f t="shared" si="465"/>
        <v>0</v>
      </c>
      <c r="BV91" s="333">
        <f t="shared" si="465"/>
        <v>0</v>
      </c>
      <c r="BW91" s="125">
        <f t="shared" si="438"/>
        <v>58553.39</v>
      </c>
      <c r="BX91" s="140">
        <f t="shared" si="61"/>
        <v>0</v>
      </c>
      <c r="BY91" s="123">
        <f t="shared" si="378"/>
        <v>0</v>
      </c>
      <c r="BZ91" s="148">
        <f t="shared" si="379"/>
        <v>0</v>
      </c>
      <c r="CA91" s="123">
        <f t="shared" si="439"/>
        <v>0</v>
      </c>
      <c r="CB91" s="326">
        <f t="shared" si="440"/>
        <v>0</v>
      </c>
      <c r="CI91" s="294"/>
      <c r="CJ91" s="294"/>
    </row>
    <row r="92" spans="1:88" ht="13">
      <c r="A92" s="436">
        <f t="shared" si="348"/>
        <v>112013227</v>
      </c>
      <c r="B92" s="172">
        <f t="shared" si="339"/>
        <v>1</v>
      </c>
      <c r="C92" s="558" t="str">
        <f t="shared" si="340"/>
        <v>Lista</v>
      </c>
      <c r="D92" s="558">
        <f t="shared" si="341"/>
        <v>0.09</v>
      </c>
      <c r="E92" s="559">
        <f t="shared" si="342"/>
        <v>0</v>
      </c>
      <c r="F92" s="836">
        <f t="shared" si="349"/>
        <v>1</v>
      </c>
      <c r="G92" s="558" t="str">
        <f t="shared" si="350"/>
        <v>Lista</v>
      </c>
      <c r="H92" s="558">
        <f t="shared" si="351"/>
        <v>0.09</v>
      </c>
      <c r="I92" s="559">
        <f t="shared" si="352"/>
        <v>0</v>
      </c>
      <c r="J92" s="837">
        <f t="shared" si="353"/>
        <v>71</v>
      </c>
      <c r="K92" s="699" t="str">
        <f t="shared" si="354"/>
        <v>Lista</v>
      </c>
      <c r="L92" s="700">
        <f t="shared" si="355"/>
        <v>0.05</v>
      </c>
      <c r="M92" s="498" t="s">
        <v>774</v>
      </c>
      <c r="N92" s="434">
        <f>IFERROR(VLOOKUP(M92,BUELA,3,FALSE),"")</f>
        <v>198447.22</v>
      </c>
      <c r="O92" s="141">
        <f t="shared" si="317"/>
        <v>333599.699181</v>
      </c>
      <c r="P92" s="113" t="e">
        <f t="shared" si="180"/>
        <v>#VALUE!</v>
      </c>
      <c r="Q92" s="116" t="str">
        <f t="shared" si="356"/>
        <v/>
      </c>
      <c r="R92" s="117" t="str">
        <f t="shared" si="357"/>
        <v/>
      </c>
      <c r="S92" s="114" t="e">
        <f t="shared" si="181"/>
        <v>#VALUE!</v>
      </c>
      <c r="T92" s="413" t="str">
        <f t="shared" si="182"/>
        <v/>
      </c>
      <c r="U92" s="123">
        <f t="shared" si="343"/>
        <v>124601.9</v>
      </c>
      <c r="V92" s="332">
        <f t="shared" ref="V92:V95" si="466">(U92*1.7245)*1.05</f>
        <v>225619.77537749999</v>
      </c>
      <c r="W92" s="113" t="e">
        <f t="shared" si="19"/>
        <v>#VALUE!</v>
      </c>
      <c r="X92" s="116" t="str">
        <f t="shared" si="358"/>
        <v/>
      </c>
      <c r="Y92" s="117" t="str">
        <f t="shared" si="359"/>
        <v/>
      </c>
      <c r="Z92" s="114" t="e">
        <f t="shared" si="184"/>
        <v>#VALUE!</v>
      </c>
      <c r="AA92" s="413" t="str">
        <f t="shared" si="185"/>
        <v/>
      </c>
      <c r="AB92" s="125">
        <f t="shared" si="344"/>
        <v>404768.74</v>
      </c>
      <c r="AC92" s="416">
        <f t="shared" si="318"/>
        <v>665182.78041010001</v>
      </c>
      <c r="AD92" s="113" t="e">
        <f t="shared" si="26"/>
        <v>#VALUE!</v>
      </c>
      <c r="AE92" s="116" t="str">
        <f t="shared" si="360"/>
        <v/>
      </c>
      <c r="AF92" s="117" t="str">
        <f t="shared" si="361"/>
        <v/>
      </c>
      <c r="AG92" s="114" t="e">
        <f t="shared" si="187"/>
        <v>#VALUE!</v>
      </c>
      <c r="AH92" s="413" t="str">
        <f t="shared" si="188"/>
        <v/>
      </c>
      <c r="AI92" s="846">
        <f t="shared" si="189"/>
        <v>1224402.2549685999</v>
      </c>
      <c r="AJ92" s="840" t="str">
        <f t="shared" si="362"/>
        <v/>
      </c>
      <c r="AK92" s="116" t="e">
        <f t="shared" si="190"/>
        <v>#VALUE!</v>
      </c>
      <c r="AL92" s="116">
        <f t="shared" si="191"/>
        <v>0</v>
      </c>
      <c r="AM92" s="116">
        <f t="shared" si="192"/>
        <v>0</v>
      </c>
      <c r="AN92" s="116" t="e">
        <f t="shared" si="36"/>
        <v>#VALUE!</v>
      </c>
      <c r="AO92" s="413" t="str">
        <f t="shared" si="300"/>
        <v/>
      </c>
      <c r="AP92" s="434">
        <f t="shared" si="430"/>
        <v>164372.25</v>
      </c>
      <c r="AQ92" s="140" t="e">
        <f t="shared" si="39"/>
        <v>#VALUE!</v>
      </c>
      <c r="AR92" s="123" t="str">
        <f t="shared" si="363"/>
        <v/>
      </c>
      <c r="AS92" s="148" t="str">
        <f t="shared" si="364"/>
        <v/>
      </c>
      <c r="AT92" s="123">
        <f t="shared" si="431"/>
        <v>222700.78</v>
      </c>
      <c r="AU92" s="326" t="e">
        <f t="shared" si="42"/>
        <v>#VALUE!</v>
      </c>
      <c r="AV92" s="326" t="str">
        <f t="shared" si="365"/>
        <v/>
      </c>
      <c r="AW92" s="326" t="str">
        <f t="shared" si="366"/>
        <v/>
      </c>
      <c r="AX92" s="332">
        <f t="shared" si="432"/>
        <v>0</v>
      </c>
      <c r="AY92" s="140" t="e">
        <f t="shared" si="45"/>
        <v>#VALUE!</v>
      </c>
      <c r="AZ92" s="326" t="str">
        <f t="shared" si="367"/>
        <v/>
      </c>
      <c r="BA92" s="332" t="str">
        <f t="shared" si="368"/>
        <v/>
      </c>
      <c r="BB92" s="122" t="e">
        <f t="shared" ref="BB92:BD92" si="467">SUM(AY92,AU92,AQ92)</f>
        <v>#VALUE!</v>
      </c>
      <c r="BC92" s="326">
        <f t="shared" si="467"/>
        <v>0</v>
      </c>
      <c r="BD92" s="332">
        <f t="shared" si="467"/>
        <v>0</v>
      </c>
      <c r="BE92" s="140" t="e">
        <f t="shared" ref="BE92:BF92" si="468">SUM(BB92,AK92)</f>
        <v>#VALUE!</v>
      </c>
      <c r="BF92" s="326">
        <f t="shared" si="468"/>
        <v>0</v>
      </c>
      <c r="BG92" s="435">
        <f t="shared" si="50"/>
        <v>0</v>
      </c>
      <c r="BH92" s="423">
        <f t="shared" si="435"/>
        <v>91300.06</v>
      </c>
      <c r="BI92" s="123" t="e">
        <f t="shared" si="51"/>
        <v>#VALUE!</v>
      </c>
      <c r="BJ92" s="123" t="str">
        <f t="shared" si="371"/>
        <v/>
      </c>
      <c r="BK92" s="148" t="str">
        <f t="shared" si="372"/>
        <v/>
      </c>
      <c r="BL92" s="423">
        <f>IFERROR(VLOOKUP(M92,BUELA,10,FALSE),"")</f>
        <v>0</v>
      </c>
      <c r="BM92" s="123" t="e">
        <f t="shared" si="54"/>
        <v>#VALUE!</v>
      </c>
      <c r="BN92" s="123" t="str">
        <f t="shared" si="373"/>
        <v/>
      </c>
      <c r="BO92" s="123" t="str">
        <f t="shared" si="374"/>
        <v/>
      </c>
      <c r="BP92" s="436">
        <f t="shared" si="436"/>
        <v>0</v>
      </c>
      <c r="BQ92" s="140" t="e">
        <f t="shared" si="57"/>
        <v>#VALUE!</v>
      </c>
      <c r="BR92" s="325" t="str">
        <f t="shared" si="375"/>
        <v/>
      </c>
      <c r="BS92" s="333" t="str">
        <f t="shared" si="376"/>
        <v/>
      </c>
      <c r="BT92" s="140" t="e">
        <f t="shared" ref="BT92:BV92" si="469">SUM(BQ92,BM92,BI92)</f>
        <v>#VALUE!</v>
      </c>
      <c r="BU92" s="326">
        <f t="shared" si="469"/>
        <v>0</v>
      </c>
      <c r="BV92" s="333">
        <f t="shared" si="469"/>
        <v>0</v>
      </c>
      <c r="BW92" s="125">
        <f t="shared" si="438"/>
        <v>0</v>
      </c>
      <c r="BX92" s="140" t="e">
        <f t="shared" si="61"/>
        <v>#VALUE!</v>
      </c>
      <c r="BY92" s="123" t="str">
        <f t="shared" si="378"/>
        <v/>
      </c>
      <c r="BZ92" s="148" t="str">
        <f t="shared" si="379"/>
        <v/>
      </c>
      <c r="CA92" s="123">
        <f t="shared" si="439"/>
        <v>0</v>
      </c>
      <c r="CB92" s="326">
        <f t="shared" si="440"/>
        <v>0</v>
      </c>
      <c r="CI92" s="294"/>
      <c r="CJ92" s="294"/>
    </row>
    <row r="93" spans="1:88" ht="13">
      <c r="A93" s="436">
        <f t="shared" si="348"/>
        <v>112013322</v>
      </c>
      <c r="B93" s="172">
        <f t="shared" si="339"/>
        <v>1</v>
      </c>
      <c r="C93" s="558" t="str">
        <f t="shared" si="340"/>
        <v>Lista</v>
      </c>
      <c r="D93" s="558">
        <f t="shared" si="341"/>
        <v>0.09</v>
      </c>
      <c r="E93" s="559">
        <f t="shared" si="342"/>
        <v>0</v>
      </c>
      <c r="F93" s="836">
        <f t="shared" si="349"/>
        <v>1</v>
      </c>
      <c r="G93" s="558" t="str">
        <f t="shared" si="350"/>
        <v>Lista</v>
      </c>
      <c r="H93" s="558">
        <f t="shared" si="351"/>
        <v>0.09</v>
      </c>
      <c r="I93" s="559">
        <f t="shared" si="352"/>
        <v>0</v>
      </c>
      <c r="J93" s="837">
        <f t="shared" si="353"/>
        <v>71</v>
      </c>
      <c r="K93" s="699" t="str">
        <f t="shared" si="354"/>
        <v>Lista</v>
      </c>
      <c r="L93" s="700">
        <f t="shared" si="355"/>
        <v>0.05</v>
      </c>
      <c r="M93" s="498" t="s">
        <v>775</v>
      </c>
      <c r="N93" s="434">
        <f>IFERROR(VLOOKUP(M93,BUELA,3,FALSE),"")</f>
        <v>119467.76</v>
      </c>
      <c r="O93" s="141">
        <f t="shared" si="317"/>
        <v>200831.277948</v>
      </c>
      <c r="P93" s="113" t="e">
        <f t="shared" si="180"/>
        <v>#VALUE!</v>
      </c>
      <c r="Q93" s="116" t="str">
        <f t="shared" si="356"/>
        <v/>
      </c>
      <c r="R93" s="117">
        <f t="shared" si="357"/>
        <v>92762.6</v>
      </c>
      <c r="S93" s="114">
        <f t="shared" si="181"/>
        <v>-108068.677948</v>
      </c>
      <c r="T93" s="413">
        <f t="shared" si="182"/>
        <v>0.46189319187630951</v>
      </c>
      <c r="U93" s="123">
        <f t="shared" si="343"/>
        <v>6024.31</v>
      </c>
      <c r="V93" s="332">
        <f t="shared" si="466"/>
        <v>10908.36872475</v>
      </c>
      <c r="W93" s="113" t="e">
        <f t="shared" si="19"/>
        <v>#VALUE!</v>
      </c>
      <c r="X93" s="116" t="str">
        <f t="shared" si="358"/>
        <v/>
      </c>
      <c r="Y93" s="117">
        <f t="shared" si="359"/>
        <v>0</v>
      </c>
      <c r="Z93" s="114">
        <f t="shared" si="184"/>
        <v>-10908.36872475</v>
      </c>
      <c r="AA93" s="413">
        <f t="shared" si="185"/>
        <v>0</v>
      </c>
      <c r="AB93" s="125">
        <f t="shared" si="344"/>
        <v>123766.81</v>
      </c>
      <c r="AC93" s="416">
        <f t="shared" si="318"/>
        <v>203394.04371564998</v>
      </c>
      <c r="AD93" s="113" t="e">
        <f t="shared" si="26"/>
        <v>#VALUE!</v>
      </c>
      <c r="AE93" s="116" t="str">
        <f t="shared" si="360"/>
        <v/>
      </c>
      <c r="AF93" s="117">
        <f t="shared" si="361"/>
        <v>92762.63</v>
      </c>
      <c r="AG93" s="114">
        <f t="shared" si="187"/>
        <v>-110631.41371564998</v>
      </c>
      <c r="AH93" s="413">
        <f t="shared" si="188"/>
        <v>0.45607348330064429</v>
      </c>
      <c r="AI93" s="846">
        <f t="shared" si="189"/>
        <v>415133.69038839999</v>
      </c>
      <c r="AJ93" s="840">
        <f t="shared" si="362"/>
        <v>286686.15999999997</v>
      </c>
      <c r="AK93" s="116" t="e">
        <f t="shared" si="190"/>
        <v>#VALUE!</v>
      </c>
      <c r="AL93" s="116">
        <f t="shared" si="191"/>
        <v>0</v>
      </c>
      <c r="AM93" s="116">
        <f t="shared" si="192"/>
        <v>185525.23</v>
      </c>
      <c r="AN93" s="116">
        <f t="shared" si="36"/>
        <v>-101160.92999999996</v>
      </c>
      <c r="AO93" s="413">
        <f t="shared" si="300"/>
        <v>0.64713702956571051</v>
      </c>
      <c r="AP93" s="434">
        <f t="shared" si="430"/>
        <v>0</v>
      </c>
      <c r="AQ93" s="140" t="e">
        <f t="shared" si="39"/>
        <v>#VALUE!</v>
      </c>
      <c r="AR93" s="123" t="str">
        <f t="shared" si="363"/>
        <v/>
      </c>
      <c r="AS93" s="148">
        <f t="shared" si="364"/>
        <v>0</v>
      </c>
      <c r="AT93" s="123">
        <f t="shared" si="431"/>
        <v>0</v>
      </c>
      <c r="AU93" s="326" t="e">
        <f t="shared" si="42"/>
        <v>#VALUE!</v>
      </c>
      <c r="AV93" s="326" t="str">
        <f t="shared" si="365"/>
        <v/>
      </c>
      <c r="AW93" s="326">
        <f t="shared" si="366"/>
        <v>206448.67</v>
      </c>
      <c r="AX93" s="332">
        <f t="shared" si="432"/>
        <v>0</v>
      </c>
      <c r="AY93" s="140" t="e">
        <f t="shared" si="45"/>
        <v>#VALUE!</v>
      </c>
      <c r="AZ93" s="326" t="str">
        <f t="shared" si="367"/>
        <v/>
      </c>
      <c r="BA93" s="332">
        <f t="shared" si="368"/>
        <v>27755</v>
      </c>
      <c r="BB93" s="122" t="e">
        <f t="shared" ref="BB93:BD93" si="470">SUM(AY93,AU93,AQ93)</f>
        <v>#VALUE!</v>
      </c>
      <c r="BC93" s="326">
        <f t="shared" si="470"/>
        <v>0</v>
      </c>
      <c r="BD93" s="332">
        <f t="shared" si="470"/>
        <v>234203.67</v>
      </c>
      <c r="BE93" s="140" t="e">
        <f t="shared" ref="BE93:BF93" si="471">SUM(BB93,AK93)</f>
        <v>#VALUE!</v>
      </c>
      <c r="BF93" s="326">
        <f t="shared" si="471"/>
        <v>0</v>
      </c>
      <c r="BG93" s="435">
        <f t="shared" si="50"/>
        <v>419728.9</v>
      </c>
      <c r="BH93" s="423">
        <f t="shared" si="435"/>
        <v>129459.8</v>
      </c>
      <c r="BI93" s="123" t="e">
        <f t="shared" si="51"/>
        <v>#VALUE!</v>
      </c>
      <c r="BJ93" s="123" t="str">
        <f t="shared" si="371"/>
        <v/>
      </c>
      <c r="BK93" s="148">
        <f t="shared" si="372"/>
        <v>110283.8</v>
      </c>
      <c r="BL93" s="423">
        <f>IFERROR(VLOOKUP(M93,BUELA,10,FALSE),"")</f>
        <v>81167.28</v>
      </c>
      <c r="BM93" s="123" t="e">
        <f t="shared" si="54"/>
        <v>#VALUE!</v>
      </c>
      <c r="BN93" s="123" t="str">
        <f t="shared" si="373"/>
        <v/>
      </c>
      <c r="BO93" s="123">
        <f t="shared" si="374"/>
        <v>92975</v>
      </c>
      <c r="BP93" s="436">
        <f t="shared" si="436"/>
        <v>81167.28</v>
      </c>
      <c r="BQ93" s="140" t="e">
        <f t="shared" si="57"/>
        <v>#VALUE!</v>
      </c>
      <c r="BR93" s="325" t="str">
        <f t="shared" si="375"/>
        <v/>
      </c>
      <c r="BS93" s="333">
        <f t="shared" si="376"/>
        <v>111944.96000000001</v>
      </c>
      <c r="BT93" s="140" t="e">
        <f t="shared" ref="BT93:BV93" si="472">SUM(BQ93,BM93,BI93)</f>
        <v>#VALUE!</v>
      </c>
      <c r="BU93" s="326">
        <f t="shared" si="472"/>
        <v>0</v>
      </c>
      <c r="BV93" s="333">
        <f t="shared" si="472"/>
        <v>315203.76</v>
      </c>
      <c r="BW93" s="125">
        <f t="shared" si="438"/>
        <v>81167.28</v>
      </c>
      <c r="BX93" s="140" t="e">
        <f t="shared" si="61"/>
        <v>#VALUE!</v>
      </c>
      <c r="BY93" s="123" t="str">
        <f t="shared" si="378"/>
        <v/>
      </c>
      <c r="BZ93" s="148">
        <f t="shared" si="379"/>
        <v>215826.22</v>
      </c>
      <c r="CA93" s="123">
        <f t="shared" si="439"/>
        <v>205518.89</v>
      </c>
      <c r="CB93" s="326">
        <f t="shared" si="440"/>
        <v>0</v>
      </c>
      <c r="CI93" s="294"/>
      <c r="CJ93" s="294"/>
    </row>
    <row r="94" spans="1:88" ht="13">
      <c r="A94" s="436">
        <f t="shared" si="348"/>
        <v>112013782</v>
      </c>
      <c r="B94" s="172">
        <f t="shared" si="339"/>
        <v>1</v>
      </c>
      <c r="C94" s="558" t="str">
        <f t="shared" si="340"/>
        <v>Lista</v>
      </c>
      <c r="D94" s="558">
        <f t="shared" si="341"/>
        <v>0.09</v>
      </c>
      <c r="E94" s="559">
        <f t="shared" si="342"/>
        <v>0</v>
      </c>
      <c r="F94" s="836">
        <f t="shared" si="349"/>
        <v>1</v>
      </c>
      <c r="G94" s="558" t="str">
        <f t="shared" si="350"/>
        <v>Lista</v>
      </c>
      <c r="H94" s="558">
        <f t="shared" si="351"/>
        <v>0.09</v>
      </c>
      <c r="I94" s="559">
        <f t="shared" si="352"/>
        <v>0</v>
      </c>
      <c r="J94" s="837">
        <f t="shared" si="353"/>
        <v>71</v>
      </c>
      <c r="K94" s="699" t="str">
        <f t="shared" si="354"/>
        <v>Lista</v>
      </c>
      <c r="L94" s="700">
        <f t="shared" si="355"/>
        <v>0.05</v>
      </c>
      <c r="M94" s="498" t="s">
        <v>776</v>
      </c>
      <c r="N94" s="434">
        <f>IFERROR(VLOOKUP(M94,BUELA,3,FALSE),"")</f>
        <v>495250.16</v>
      </c>
      <c r="O94" s="141">
        <f t="shared" si="317"/>
        <v>832540.28146800003</v>
      </c>
      <c r="P94" s="113" t="e">
        <f t="shared" si="180"/>
        <v>#VALUE!</v>
      </c>
      <c r="Q94" s="116" t="str">
        <f t="shared" si="356"/>
        <v/>
      </c>
      <c r="R94" s="117">
        <f t="shared" si="357"/>
        <v>0</v>
      </c>
      <c r="S94" s="114">
        <f t="shared" si="181"/>
        <v>-832540.28146800003</v>
      </c>
      <c r="T94" s="413">
        <f t="shared" si="182"/>
        <v>0</v>
      </c>
      <c r="U94" s="123">
        <f t="shared" si="343"/>
        <v>315333.15999999997</v>
      </c>
      <c r="V94" s="332">
        <f t="shared" si="466"/>
        <v>570981.63614099997</v>
      </c>
      <c r="W94" s="113" t="e">
        <f t="shared" si="19"/>
        <v>#VALUE!</v>
      </c>
      <c r="X94" s="116" t="str">
        <f t="shared" si="358"/>
        <v/>
      </c>
      <c r="Y94" s="117">
        <f t="shared" si="359"/>
        <v>-314004.2</v>
      </c>
      <c r="Z94" s="114">
        <f t="shared" si="184"/>
        <v>-884985.83614100004</v>
      </c>
      <c r="AA94" s="413">
        <f t="shared" si="185"/>
        <v>-0.54993747631221335</v>
      </c>
      <c r="AB94" s="125">
        <f t="shared" si="344"/>
        <v>261101.29</v>
      </c>
      <c r="AC94" s="416">
        <f t="shared" si="318"/>
        <v>429084.72144085</v>
      </c>
      <c r="AD94" s="113" t="e">
        <f t="shared" si="26"/>
        <v>#VALUE!</v>
      </c>
      <c r="AE94" s="116" t="str">
        <f t="shared" si="360"/>
        <v/>
      </c>
      <c r="AF94" s="117">
        <f t="shared" si="361"/>
        <v>0</v>
      </c>
      <c r="AG94" s="114">
        <f t="shared" si="187"/>
        <v>-429084.72144085</v>
      </c>
      <c r="AH94" s="413">
        <f t="shared" si="188"/>
        <v>0</v>
      </c>
      <c r="AI94" s="846">
        <f t="shared" si="189"/>
        <v>1832606.6390498502</v>
      </c>
      <c r="AJ94" s="840">
        <f t="shared" si="362"/>
        <v>2683173.21</v>
      </c>
      <c r="AK94" s="116" t="e">
        <f t="shared" si="190"/>
        <v>#VALUE!</v>
      </c>
      <c r="AL94" s="116">
        <f t="shared" si="191"/>
        <v>0</v>
      </c>
      <c r="AM94" s="116">
        <f t="shared" si="192"/>
        <v>-314004.2</v>
      </c>
      <c r="AN94" s="116">
        <f t="shared" si="36"/>
        <v>-2997177.41</v>
      </c>
      <c r="AO94" s="413">
        <f t="shared" si="300"/>
        <v>-0.11702718215496793</v>
      </c>
      <c r="AP94" s="434">
        <f t="shared" si="430"/>
        <v>412794.14</v>
      </c>
      <c r="AQ94" s="140" t="e">
        <f t="shared" si="39"/>
        <v>#VALUE!</v>
      </c>
      <c r="AR94" s="123" t="str">
        <f t="shared" si="363"/>
        <v/>
      </c>
      <c r="AS94" s="148">
        <f t="shared" si="364"/>
        <v>0</v>
      </c>
      <c r="AT94" s="123">
        <f t="shared" si="431"/>
        <v>577446.26</v>
      </c>
      <c r="AU94" s="326" t="e">
        <f t="shared" si="42"/>
        <v>#VALUE!</v>
      </c>
      <c r="AV94" s="326" t="str">
        <f t="shared" si="365"/>
        <v/>
      </c>
      <c r="AW94" s="326">
        <f t="shared" si="366"/>
        <v>0</v>
      </c>
      <c r="AX94" s="332">
        <f t="shared" si="432"/>
        <v>209879.51</v>
      </c>
      <c r="AY94" s="140" t="e">
        <f t="shared" si="45"/>
        <v>#VALUE!</v>
      </c>
      <c r="AZ94" s="326" t="str">
        <f t="shared" si="367"/>
        <v/>
      </c>
      <c r="BA94" s="332">
        <f t="shared" si="368"/>
        <v>0</v>
      </c>
      <c r="BB94" s="122" t="e">
        <f t="shared" ref="BB94:BD94" si="473">SUM(AY94,AU94,AQ94)</f>
        <v>#VALUE!</v>
      </c>
      <c r="BC94" s="326">
        <f t="shared" si="473"/>
        <v>0</v>
      </c>
      <c r="BD94" s="332">
        <f t="shared" si="473"/>
        <v>0</v>
      </c>
      <c r="BE94" s="140" t="e">
        <f t="shared" ref="BE94:BF94" si="474">SUM(BB94,AK94)</f>
        <v>#VALUE!</v>
      </c>
      <c r="BF94" s="326">
        <f t="shared" si="474"/>
        <v>0</v>
      </c>
      <c r="BG94" s="435">
        <f t="shared" si="50"/>
        <v>-314004.2</v>
      </c>
      <c r="BH94" s="423">
        <f t="shared" si="435"/>
        <v>0</v>
      </c>
      <c r="BI94" s="123" t="e">
        <f t="shared" si="51"/>
        <v>#VALUE!</v>
      </c>
      <c r="BJ94" s="123" t="str">
        <f t="shared" si="371"/>
        <v/>
      </c>
      <c r="BK94" s="148">
        <f t="shared" si="372"/>
        <v>0</v>
      </c>
      <c r="BL94" s="423"/>
      <c r="BM94" s="123" t="e">
        <f t="shared" si="54"/>
        <v>#VALUE!</v>
      </c>
      <c r="BN94" s="123" t="str">
        <f t="shared" si="373"/>
        <v/>
      </c>
      <c r="BO94" s="123">
        <f t="shared" si="374"/>
        <v>0</v>
      </c>
      <c r="BP94" s="436">
        <f t="shared" si="436"/>
        <v>216218.64</v>
      </c>
      <c r="BQ94" s="140" t="e">
        <f t="shared" si="57"/>
        <v>#VALUE!</v>
      </c>
      <c r="BR94" s="325" t="str">
        <f t="shared" si="375"/>
        <v/>
      </c>
      <c r="BS94" s="333">
        <f t="shared" si="376"/>
        <v>0</v>
      </c>
      <c r="BT94" s="140" t="e">
        <f t="shared" ref="BT94:BV94" si="475">SUM(BQ94,BM94,BI94)</f>
        <v>#VALUE!</v>
      </c>
      <c r="BU94" s="326">
        <f t="shared" si="475"/>
        <v>0</v>
      </c>
      <c r="BV94" s="333">
        <f t="shared" si="475"/>
        <v>0</v>
      </c>
      <c r="BW94" s="125">
        <f t="shared" si="438"/>
        <v>1166147.51</v>
      </c>
      <c r="BX94" s="140" t="e">
        <f t="shared" si="61"/>
        <v>#VALUE!</v>
      </c>
      <c r="BY94" s="123" t="str">
        <f t="shared" si="378"/>
        <v/>
      </c>
      <c r="BZ94" s="148">
        <f t="shared" si="379"/>
        <v>0</v>
      </c>
      <c r="CA94" s="123">
        <f t="shared" si="439"/>
        <v>1351447.93</v>
      </c>
      <c r="CB94" s="326">
        <f t="shared" si="440"/>
        <v>165577.76</v>
      </c>
      <c r="CI94" s="294"/>
      <c r="CJ94" s="294"/>
    </row>
    <row r="95" spans="1:88" ht="13">
      <c r="A95" s="436">
        <f t="shared" si="348"/>
        <v>112012497</v>
      </c>
      <c r="B95" s="172">
        <f t="shared" si="339"/>
        <v>1</v>
      </c>
      <c r="C95" s="558" t="str">
        <f t="shared" si="340"/>
        <v>Lista</v>
      </c>
      <c r="D95" s="558">
        <f t="shared" si="341"/>
        <v>0.09</v>
      </c>
      <c r="E95" s="559">
        <f t="shared" si="342"/>
        <v>0</v>
      </c>
      <c r="F95" s="836">
        <f t="shared" si="349"/>
        <v>1</v>
      </c>
      <c r="G95" s="558" t="str">
        <f t="shared" si="350"/>
        <v>Lista</v>
      </c>
      <c r="H95" s="558">
        <f t="shared" si="351"/>
        <v>0.09</v>
      </c>
      <c r="I95" s="559">
        <f t="shared" si="352"/>
        <v>0</v>
      </c>
      <c r="J95" s="837">
        <f t="shared" si="353"/>
        <v>71</v>
      </c>
      <c r="K95" s="699" t="str">
        <f t="shared" si="354"/>
        <v>Lista</v>
      </c>
      <c r="L95" s="700">
        <f t="shared" si="355"/>
        <v>0.05</v>
      </c>
      <c r="M95" s="498" t="s">
        <v>777</v>
      </c>
      <c r="N95" s="434">
        <f>IFERROR(VLOOKUP(M95,BUELA,3,FALSE),"")</f>
        <v>0</v>
      </c>
      <c r="O95" s="141">
        <f t="shared" si="317"/>
        <v>0</v>
      </c>
      <c r="P95" s="113" t="e">
        <f t="shared" si="180"/>
        <v>#VALUE!</v>
      </c>
      <c r="Q95" s="116" t="str">
        <f t="shared" si="356"/>
        <v/>
      </c>
      <c r="R95" s="117">
        <f t="shared" si="357"/>
        <v>128847.03999999999</v>
      </c>
      <c r="S95" s="114">
        <f t="shared" si="181"/>
        <v>128847.03999999999</v>
      </c>
      <c r="T95" s="413" t="str">
        <f t="shared" si="182"/>
        <v/>
      </c>
      <c r="U95" s="123">
        <f t="shared" si="343"/>
        <v>78599.64</v>
      </c>
      <c r="V95" s="332">
        <f t="shared" si="466"/>
        <v>142322.33313899999</v>
      </c>
      <c r="W95" s="113" t="e">
        <f t="shared" si="19"/>
        <v>#VALUE!</v>
      </c>
      <c r="X95" s="116" t="str">
        <f t="shared" si="358"/>
        <v/>
      </c>
      <c r="Y95" s="117">
        <f t="shared" si="359"/>
        <v>0</v>
      </c>
      <c r="Z95" s="114">
        <f t="shared" si="184"/>
        <v>-142322.33313899999</v>
      </c>
      <c r="AA95" s="413">
        <f t="shared" si="185"/>
        <v>0</v>
      </c>
      <c r="AB95" s="125">
        <f t="shared" si="344"/>
        <v>0</v>
      </c>
      <c r="AC95" s="416">
        <f t="shared" si="318"/>
        <v>0</v>
      </c>
      <c r="AD95" s="113" t="e">
        <f t="shared" si="26"/>
        <v>#VALUE!</v>
      </c>
      <c r="AE95" s="116" t="str">
        <f t="shared" si="360"/>
        <v/>
      </c>
      <c r="AF95" s="117">
        <f t="shared" si="361"/>
        <v>0</v>
      </c>
      <c r="AG95" s="114">
        <f t="shared" si="187"/>
        <v>0</v>
      </c>
      <c r="AH95" s="413" t="str">
        <f t="shared" si="188"/>
        <v/>
      </c>
      <c r="AI95" s="846">
        <f t="shared" si="189"/>
        <v>142322.33313899999</v>
      </c>
      <c r="AJ95" s="840">
        <f t="shared" si="362"/>
        <v>151940.79999999999</v>
      </c>
      <c r="AK95" s="116" t="e">
        <f t="shared" si="190"/>
        <v>#VALUE!</v>
      </c>
      <c r="AL95" s="116">
        <f t="shared" si="191"/>
        <v>0</v>
      </c>
      <c r="AM95" s="116">
        <f t="shared" si="192"/>
        <v>128847.03999999999</v>
      </c>
      <c r="AN95" s="116">
        <f t="shared" si="36"/>
        <v>-23093.759999999995</v>
      </c>
      <c r="AO95" s="413">
        <f t="shared" si="300"/>
        <v>0.84800817160367725</v>
      </c>
      <c r="AP95" s="434">
        <f t="shared" si="430"/>
        <v>165223.79999999999</v>
      </c>
      <c r="AQ95" s="140" t="e">
        <f t="shared" si="39"/>
        <v>#VALUE!</v>
      </c>
      <c r="AR95" s="123" t="str">
        <f t="shared" si="363"/>
        <v/>
      </c>
      <c r="AS95" s="148">
        <f t="shared" si="364"/>
        <v>110266.28</v>
      </c>
      <c r="AT95" s="123">
        <f t="shared" si="431"/>
        <v>0</v>
      </c>
      <c r="AU95" s="326" t="e">
        <f t="shared" si="42"/>
        <v>#VALUE!</v>
      </c>
      <c r="AV95" s="326" t="str">
        <f t="shared" si="365"/>
        <v/>
      </c>
      <c r="AW95" s="326">
        <f t="shared" si="366"/>
        <v>0</v>
      </c>
      <c r="AX95" s="332">
        <f t="shared" si="432"/>
        <v>0</v>
      </c>
      <c r="AY95" s="140" t="e">
        <f t="shared" si="45"/>
        <v>#VALUE!</v>
      </c>
      <c r="AZ95" s="326" t="str">
        <f t="shared" si="367"/>
        <v/>
      </c>
      <c r="BA95" s="332">
        <f t="shared" si="368"/>
        <v>0</v>
      </c>
      <c r="BB95" s="122" t="e">
        <f t="shared" ref="BB95:BD95" si="476">SUM(AY95,AU95,AQ95)</f>
        <v>#VALUE!</v>
      </c>
      <c r="BC95" s="326">
        <f t="shared" si="476"/>
        <v>0</v>
      </c>
      <c r="BD95" s="332">
        <f t="shared" si="476"/>
        <v>110266.28</v>
      </c>
      <c r="BE95" s="140" t="e">
        <f t="shared" ref="BE95:BF95" si="477">SUM(BB95,AK95)</f>
        <v>#VALUE!</v>
      </c>
      <c r="BF95" s="326">
        <f t="shared" si="477"/>
        <v>0</v>
      </c>
      <c r="BG95" s="435">
        <f t="shared" si="50"/>
        <v>239113.32</v>
      </c>
      <c r="BH95" s="423">
        <f t="shared" si="435"/>
        <v>88091.94</v>
      </c>
      <c r="BI95" s="123" t="e">
        <f t="shared" si="51"/>
        <v>#VALUE!</v>
      </c>
      <c r="BJ95" s="123" t="str">
        <f t="shared" si="371"/>
        <v/>
      </c>
      <c r="BK95" s="148">
        <f t="shared" si="372"/>
        <v>161058.79999999999</v>
      </c>
      <c r="BL95" s="302">
        <f>IFERROR(VLOOKUP(M95,BUELA,10,FALSE),"")</f>
        <v>0</v>
      </c>
      <c r="BM95" s="123" t="e">
        <f t="shared" si="54"/>
        <v>#VALUE!</v>
      </c>
      <c r="BN95" s="123" t="str">
        <f t="shared" si="373"/>
        <v/>
      </c>
      <c r="BO95" s="123">
        <f t="shared" si="374"/>
        <v>0</v>
      </c>
      <c r="BP95" s="436">
        <f t="shared" si="436"/>
        <v>91164.479999999996</v>
      </c>
      <c r="BQ95" s="140" t="e">
        <f t="shared" si="57"/>
        <v>#VALUE!</v>
      </c>
      <c r="BR95" s="325" t="str">
        <f t="shared" si="375"/>
        <v/>
      </c>
      <c r="BS95" s="333">
        <f t="shared" si="376"/>
        <v>0</v>
      </c>
      <c r="BT95" s="140" t="e">
        <f t="shared" ref="BT95:BV95" si="478">SUM(BQ95,BM95,BI95)</f>
        <v>#VALUE!</v>
      </c>
      <c r="BU95" s="326">
        <f t="shared" si="478"/>
        <v>0</v>
      </c>
      <c r="BV95" s="333">
        <f t="shared" si="478"/>
        <v>161058.79999999999</v>
      </c>
      <c r="BW95" s="125">
        <f t="shared" si="438"/>
        <v>151940.79999999999</v>
      </c>
      <c r="BX95" s="140" t="e">
        <f t="shared" si="61"/>
        <v>#VALUE!</v>
      </c>
      <c r="BY95" s="123" t="str">
        <f t="shared" si="378"/>
        <v/>
      </c>
      <c r="BZ95" s="148">
        <f t="shared" si="379"/>
        <v>176000</v>
      </c>
      <c r="CA95" s="123">
        <f t="shared" si="439"/>
        <v>0</v>
      </c>
      <c r="CB95" s="326">
        <f t="shared" si="440"/>
        <v>0</v>
      </c>
      <c r="CI95" s="294"/>
      <c r="CJ95" s="294"/>
    </row>
    <row r="96" spans="1:88" ht="13">
      <c r="A96" s="436">
        <f t="shared" si="348"/>
        <v>112013566</v>
      </c>
      <c r="B96" s="172">
        <f t="shared" si="339"/>
        <v>1</v>
      </c>
      <c r="C96" s="558" t="str">
        <f t="shared" si="340"/>
        <v>Lista</v>
      </c>
      <c r="D96" s="558">
        <f t="shared" si="341"/>
        <v>0.09</v>
      </c>
      <c r="E96" s="559">
        <f t="shared" si="342"/>
        <v>0</v>
      </c>
      <c r="F96" s="836">
        <f t="shared" si="349"/>
        <v>1</v>
      </c>
      <c r="G96" s="558" t="str">
        <f t="shared" si="350"/>
        <v>Lista</v>
      </c>
      <c r="H96" s="558">
        <f t="shared" si="351"/>
        <v>0.09</v>
      </c>
      <c r="I96" s="559">
        <f t="shared" si="352"/>
        <v>0</v>
      </c>
      <c r="J96" s="837">
        <f t="shared" si="353"/>
        <v>71</v>
      </c>
      <c r="K96" s="699" t="str">
        <f t="shared" si="354"/>
        <v>Lista</v>
      </c>
      <c r="L96" s="700">
        <f t="shared" si="355"/>
        <v>0.05</v>
      </c>
      <c r="M96" s="859" t="s">
        <v>778</v>
      </c>
      <c r="N96" s="434"/>
      <c r="O96" s="141">
        <f t="shared" si="317"/>
        <v>0</v>
      </c>
      <c r="P96" s="113" t="e">
        <f t="shared" si="180"/>
        <v>#VALUE!</v>
      </c>
      <c r="Q96" s="116" t="str">
        <f t="shared" si="356"/>
        <v/>
      </c>
      <c r="R96" s="117" t="str">
        <f t="shared" si="357"/>
        <v/>
      </c>
      <c r="S96" s="114" t="e">
        <f t="shared" si="181"/>
        <v>#VALUE!</v>
      </c>
      <c r="T96" s="413" t="str">
        <f t="shared" si="182"/>
        <v/>
      </c>
      <c r="U96" s="123">
        <f t="shared" si="343"/>
        <v>0</v>
      </c>
      <c r="V96" s="332"/>
      <c r="W96" s="113" t="e">
        <f t="shared" si="19"/>
        <v>#VALUE!</v>
      </c>
      <c r="X96" s="116" t="str">
        <f t="shared" si="358"/>
        <v/>
      </c>
      <c r="Y96" s="117" t="str">
        <f t="shared" si="359"/>
        <v/>
      </c>
      <c r="Z96" s="114" t="e">
        <f t="shared" si="184"/>
        <v>#VALUE!</v>
      </c>
      <c r="AA96" s="413" t="str">
        <f t="shared" si="185"/>
        <v/>
      </c>
      <c r="AB96" s="125">
        <f t="shared" si="344"/>
        <v>0</v>
      </c>
      <c r="AC96" s="416">
        <f t="shared" si="318"/>
        <v>0</v>
      </c>
      <c r="AD96" s="113" t="e">
        <f t="shared" si="26"/>
        <v>#VALUE!</v>
      </c>
      <c r="AE96" s="116" t="str">
        <f t="shared" si="360"/>
        <v/>
      </c>
      <c r="AF96" s="117" t="str">
        <f t="shared" si="361"/>
        <v/>
      </c>
      <c r="AG96" s="114" t="e">
        <f t="shared" si="187"/>
        <v>#VALUE!</v>
      </c>
      <c r="AH96" s="413" t="str">
        <f t="shared" si="188"/>
        <v/>
      </c>
      <c r="AI96" s="846">
        <f t="shared" si="189"/>
        <v>0</v>
      </c>
      <c r="AJ96" s="840" t="str">
        <f t="shared" si="362"/>
        <v/>
      </c>
      <c r="AK96" s="116" t="e">
        <f t="shared" si="190"/>
        <v>#VALUE!</v>
      </c>
      <c r="AL96" s="116">
        <f t="shared" si="191"/>
        <v>0</v>
      </c>
      <c r="AM96" s="116">
        <f t="shared" si="192"/>
        <v>0</v>
      </c>
      <c r="AN96" s="116" t="e">
        <f t="shared" si="36"/>
        <v>#VALUE!</v>
      </c>
      <c r="AO96" s="413" t="str">
        <f t="shared" si="300"/>
        <v/>
      </c>
      <c r="AP96" s="434">
        <f t="shared" si="430"/>
        <v>0</v>
      </c>
      <c r="AQ96" s="140" t="e">
        <f t="shared" si="39"/>
        <v>#VALUE!</v>
      </c>
      <c r="AR96" s="123" t="str">
        <f t="shared" si="363"/>
        <v/>
      </c>
      <c r="AS96" s="148" t="str">
        <f t="shared" si="364"/>
        <v/>
      </c>
      <c r="AT96" s="123">
        <f t="shared" si="431"/>
        <v>0</v>
      </c>
      <c r="AU96" s="326" t="e">
        <f t="shared" si="42"/>
        <v>#VALUE!</v>
      </c>
      <c r="AV96" s="326" t="str">
        <f t="shared" si="365"/>
        <v/>
      </c>
      <c r="AW96" s="326" t="str">
        <f t="shared" si="366"/>
        <v/>
      </c>
      <c r="AX96" s="332">
        <f t="shared" si="432"/>
        <v>15380.32</v>
      </c>
      <c r="AY96" s="140" t="e">
        <f t="shared" si="45"/>
        <v>#VALUE!</v>
      </c>
      <c r="AZ96" s="326" t="str">
        <f t="shared" si="367"/>
        <v/>
      </c>
      <c r="BA96" s="332" t="str">
        <f t="shared" si="368"/>
        <v/>
      </c>
      <c r="BB96" s="122" t="e">
        <f t="shared" ref="BB96:BD96" si="479">SUM(AY96,AU96,AQ96)</f>
        <v>#VALUE!</v>
      </c>
      <c r="BC96" s="326">
        <f t="shared" si="479"/>
        <v>0</v>
      </c>
      <c r="BD96" s="332">
        <f t="shared" si="479"/>
        <v>0</v>
      </c>
      <c r="BE96" s="140" t="e">
        <f t="shared" ref="BE96:BF96" si="480">SUM(BB96,AK96)</f>
        <v>#VALUE!</v>
      </c>
      <c r="BF96" s="326">
        <f t="shared" si="480"/>
        <v>0</v>
      </c>
      <c r="BG96" s="435">
        <f t="shared" si="50"/>
        <v>0</v>
      </c>
      <c r="BH96" s="423">
        <f t="shared" si="435"/>
        <v>0</v>
      </c>
      <c r="BI96" s="123" t="e">
        <f t="shared" si="51"/>
        <v>#VALUE!</v>
      </c>
      <c r="BJ96" s="123" t="str">
        <f t="shared" si="371"/>
        <v/>
      </c>
      <c r="BK96" s="148" t="str">
        <f t="shared" si="372"/>
        <v/>
      </c>
      <c r="BL96" s="423"/>
      <c r="BM96" s="123" t="e">
        <f t="shared" si="54"/>
        <v>#VALUE!</v>
      </c>
      <c r="BN96" s="123" t="str">
        <f t="shared" si="373"/>
        <v/>
      </c>
      <c r="BO96" s="123" t="str">
        <f t="shared" si="374"/>
        <v/>
      </c>
      <c r="BP96" s="436">
        <f t="shared" si="436"/>
        <v>0</v>
      </c>
      <c r="BQ96" s="140" t="e">
        <f t="shared" si="57"/>
        <v>#VALUE!</v>
      </c>
      <c r="BR96" s="325" t="str">
        <f t="shared" si="375"/>
        <v/>
      </c>
      <c r="BS96" s="333" t="str">
        <f t="shared" si="376"/>
        <v/>
      </c>
      <c r="BT96" s="140" t="e">
        <f t="shared" ref="BT96:BV96" si="481">SUM(BQ96,BM96,BI96)</f>
        <v>#VALUE!</v>
      </c>
      <c r="BU96" s="326">
        <f t="shared" si="481"/>
        <v>0</v>
      </c>
      <c r="BV96" s="333">
        <f t="shared" si="481"/>
        <v>0</v>
      </c>
      <c r="BW96" s="125">
        <f t="shared" si="438"/>
        <v>0</v>
      </c>
      <c r="BX96" s="140" t="e">
        <f t="shared" si="61"/>
        <v>#VALUE!</v>
      </c>
      <c r="BY96" s="123" t="str">
        <f t="shared" si="378"/>
        <v/>
      </c>
      <c r="BZ96" s="148" t="str">
        <f t="shared" si="379"/>
        <v/>
      </c>
      <c r="CA96" s="123">
        <f t="shared" si="439"/>
        <v>0</v>
      </c>
      <c r="CB96" s="326">
        <f t="shared" si="440"/>
        <v>0</v>
      </c>
      <c r="CI96" s="294"/>
      <c r="CJ96" s="294"/>
    </row>
    <row r="97" spans="1:88" ht="13">
      <c r="A97" s="436">
        <f t="shared" si="348"/>
        <v>112011416</v>
      </c>
      <c r="B97" s="172">
        <f t="shared" ref="B97:B130" si="482">VLOOKUP(M97,BUELACARTERA,2,FALSE)</f>
        <v>1</v>
      </c>
      <c r="C97" s="558" t="str">
        <f t="shared" ref="C97:C128" si="483">IFERROR(VLOOKUP(B97,DES,2,FALSE),"")</f>
        <v>Lista</v>
      </c>
      <c r="D97" s="558">
        <f t="shared" ref="D97:D130" si="484">IFERROR(VLOOKUP(B97,DES,3,FALSE),"")</f>
        <v>0.09</v>
      </c>
      <c r="E97" s="559">
        <f t="shared" ref="E97:E130" si="485">IFERROR(VLOOKUP(B97,DES,4,FALSE),"")</f>
        <v>0</v>
      </c>
      <c r="F97" s="836">
        <f t="shared" si="349"/>
        <v>1</v>
      </c>
      <c r="G97" s="558" t="str">
        <f t="shared" si="350"/>
        <v>Lista</v>
      </c>
      <c r="H97" s="558">
        <f t="shared" si="351"/>
        <v>0.09</v>
      </c>
      <c r="I97" s="559">
        <f t="shared" si="352"/>
        <v>0</v>
      </c>
      <c r="J97" s="837">
        <f t="shared" si="353"/>
        <v>71</v>
      </c>
      <c r="K97" s="699" t="str">
        <f t="shared" si="354"/>
        <v>Lista</v>
      </c>
      <c r="L97" s="700">
        <f t="shared" si="355"/>
        <v>0.05</v>
      </c>
      <c r="M97" s="859" t="s">
        <v>779</v>
      </c>
      <c r="N97" s="434"/>
      <c r="O97" s="141">
        <f t="shared" si="317"/>
        <v>0</v>
      </c>
      <c r="P97" s="113" t="e">
        <f t="shared" si="180"/>
        <v>#VALUE!</v>
      </c>
      <c r="Q97" s="116" t="str">
        <f t="shared" si="356"/>
        <v/>
      </c>
      <c r="R97" s="117" t="str">
        <f t="shared" si="357"/>
        <v/>
      </c>
      <c r="S97" s="114" t="e">
        <f t="shared" si="181"/>
        <v>#VALUE!</v>
      </c>
      <c r="T97" s="413" t="str">
        <f t="shared" si="182"/>
        <v/>
      </c>
      <c r="U97" s="123">
        <f t="shared" ref="U97:U130" si="486">IFERROR(VLOOKUP(M97,BUELA,4,FALSE),"")</f>
        <v>0</v>
      </c>
      <c r="V97" s="332"/>
      <c r="W97" s="113" t="e">
        <f t="shared" si="19"/>
        <v>#VALUE!</v>
      </c>
      <c r="X97" s="116" t="str">
        <f t="shared" si="358"/>
        <v/>
      </c>
      <c r="Y97" s="117" t="str">
        <f t="shared" si="359"/>
        <v/>
      </c>
      <c r="Z97" s="114" t="e">
        <f t="shared" si="184"/>
        <v>#VALUE!</v>
      </c>
      <c r="AA97" s="413" t="str">
        <f t="shared" si="185"/>
        <v/>
      </c>
      <c r="AB97" s="125">
        <f t="shared" ref="AB97:AB130" si="487">IFERROR(VLOOKUP(M97,BUELA,5,FALSE),"")</f>
        <v>0</v>
      </c>
      <c r="AC97" s="416">
        <f t="shared" si="318"/>
        <v>0</v>
      </c>
      <c r="AD97" s="113" t="e">
        <f t="shared" si="26"/>
        <v>#VALUE!</v>
      </c>
      <c r="AE97" s="116" t="str">
        <f t="shared" si="360"/>
        <v/>
      </c>
      <c r="AF97" s="117" t="str">
        <f t="shared" si="361"/>
        <v/>
      </c>
      <c r="AG97" s="114" t="e">
        <f t="shared" si="187"/>
        <v>#VALUE!</v>
      </c>
      <c r="AH97" s="413" t="str">
        <f t="shared" si="188"/>
        <v/>
      </c>
      <c r="AI97" s="846">
        <f t="shared" si="189"/>
        <v>0</v>
      </c>
      <c r="AJ97" s="840">
        <f t="shared" si="362"/>
        <v>181152.9</v>
      </c>
      <c r="AK97" s="116" t="e">
        <f t="shared" si="190"/>
        <v>#VALUE!</v>
      </c>
      <c r="AL97" s="116">
        <f t="shared" si="191"/>
        <v>0</v>
      </c>
      <c r="AM97" s="116">
        <f t="shared" si="192"/>
        <v>0</v>
      </c>
      <c r="AN97" s="116">
        <f t="shared" si="36"/>
        <v>-181152.9</v>
      </c>
      <c r="AO97" s="413">
        <f t="shared" si="300"/>
        <v>0</v>
      </c>
      <c r="AP97" s="434">
        <f t="shared" si="430"/>
        <v>117752.64</v>
      </c>
      <c r="AQ97" s="140" t="e">
        <f t="shared" si="39"/>
        <v>#VALUE!</v>
      </c>
      <c r="AR97" s="123" t="str">
        <f t="shared" si="363"/>
        <v/>
      </c>
      <c r="AS97" s="148" t="str">
        <f t="shared" si="364"/>
        <v/>
      </c>
      <c r="AT97" s="123">
        <f t="shared" si="431"/>
        <v>18927</v>
      </c>
      <c r="AU97" s="326" t="e">
        <f t="shared" si="42"/>
        <v>#VALUE!</v>
      </c>
      <c r="AV97" s="326" t="str">
        <f t="shared" si="365"/>
        <v/>
      </c>
      <c r="AW97" s="326" t="str">
        <f t="shared" si="366"/>
        <v/>
      </c>
      <c r="AX97" s="332">
        <f t="shared" si="432"/>
        <v>27489.759999999998</v>
      </c>
      <c r="AY97" s="140" t="e">
        <f t="shared" si="45"/>
        <v>#VALUE!</v>
      </c>
      <c r="AZ97" s="326" t="str">
        <f t="shared" si="367"/>
        <v/>
      </c>
      <c r="BA97" s="332" t="str">
        <f t="shared" si="368"/>
        <v/>
      </c>
      <c r="BB97" s="122" t="e">
        <f t="shared" ref="BB97:BD97" si="488">SUM(AY97,AU97,AQ97)</f>
        <v>#VALUE!</v>
      </c>
      <c r="BC97" s="326">
        <f t="shared" si="488"/>
        <v>0</v>
      </c>
      <c r="BD97" s="332">
        <f t="shared" si="488"/>
        <v>0</v>
      </c>
      <c r="BE97" s="140" t="e">
        <f t="shared" ref="BE97:BF97" si="489">SUM(BB97,AK97)</f>
        <v>#VALUE!</v>
      </c>
      <c r="BF97" s="326">
        <f t="shared" si="489"/>
        <v>0</v>
      </c>
      <c r="BG97" s="435">
        <f t="shared" si="50"/>
        <v>0</v>
      </c>
      <c r="BH97" s="423">
        <f t="shared" si="435"/>
        <v>140213.82</v>
      </c>
      <c r="BI97" s="123" t="e">
        <f t="shared" si="51"/>
        <v>#VALUE!</v>
      </c>
      <c r="BJ97" s="123" t="str">
        <f t="shared" si="371"/>
        <v/>
      </c>
      <c r="BK97" s="148" t="str">
        <f t="shared" si="372"/>
        <v/>
      </c>
      <c r="BL97" s="423"/>
      <c r="BM97" s="123" t="e">
        <f t="shared" si="54"/>
        <v>#VALUE!</v>
      </c>
      <c r="BN97" s="123" t="str">
        <f t="shared" si="373"/>
        <v/>
      </c>
      <c r="BO97" s="123" t="str">
        <f t="shared" si="374"/>
        <v/>
      </c>
      <c r="BP97" s="436">
        <f t="shared" si="436"/>
        <v>185009.38</v>
      </c>
      <c r="BQ97" s="140" t="e">
        <f t="shared" si="57"/>
        <v>#VALUE!</v>
      </c>
      <c r="BR97" s="325" t="str">
        <f t="shared" si="375"/>
        <v/>
      </c>
      <c r="BS97" s="333" t="str">
        <f t="shared" si="376"/>
        <v/>
      </c>
      <c r="BT97" s="140" t="e">
        <f t="shared" ref="BT97:BV97" si="490">SUM(BQ97,BM97,BI97)</f>
        <v>#VALUE!</v>
      </c>
      <c r="BU97" s="326">
        <f t="shared" si="490"/>
        <v>0</v>
      </c>
      <c r="BV97" s="333">
        <f t="shared" si="490"/>
        <v>0</v>
      </c>
      <c r="BW97" s="125">
        <f t="shared" si="438"/>
        <v>111219.36</v>
      </c>
      <c r="BX97" s="140" t="e">
        <f t="shared" si="61"/>
        <v>#VALUE!</v>
      </c>
      <c r="BY97" s="123" t="str">
        <f t="shared" si="378"/>
        <v/>
      </c>
      <c r="BZ97" s="148" t="str">
        <f t="shared" si="379"/>
        <v/>
      </c>
      <c r="CA97" s="123">
        <f t="shared" si="439"/>
        <v>69933.539999999994</v>
      </c>
      <c r="CB97" s="326">
        <f t="shared" si="440"/>
        <v>0</v>
      </c>
      <c r="CI97" s="294"/>
      <c r="CJ97" s="294"/>
    </row>
    <row r="98" spans="1:88" ht="13">
      <c r="A98" s="436">
        <f t="shared" ref="A98:A130" si="491">VLOOKUP(M98,BUECART4,3,FALSE)</f>
        <v>112013942</v>
      </c>
      <c r="B98" s="172">
        <f t="shared" si="482"/>
        <v>1</v>
      </c>
      <c r="C98" s="558" t="str">
        <f t="shared" si="483"/>
        <v>Lista</v>
      </c>
      <c r="D98" s="558">
        <f t="shared" si="484"/>
        <v>0.09</v>
      </c>
      <c r="E98" s="559">
        <f t="shared" si="485"/>
        <v>0</v>
      </c>
      <c r="F98" s="836">
        <f t="shared" ref="F98:F130" si="492">VLOOKUP(M98,BUELACART2,2,FALSE)</f>
        <v>1</v>
      </c>
      <c r="G98" s="558" t="str">
        <f t="shared" ref="G98:G129" si="493">IFERROR(VLOOKUP(F98,DES,2,FALSE),"")</f>
        <v>Lista</v>
      </c>
      <c r="H98" s="558">
        <f t="shared" ref="H98:H130" si="494">IFERROR(VLOOKUP(F98,DES,3,FALSE),"")</f>
        <v>0.09</v>
      </c>
      <c r="I98" s="559">
        <f t="shared" ref="I98:I130" si="495">IFERROR(VLOOKUP(F98,DES,4,FALSE),"")</f>
        <v>0</v>
      </c>
      <c r="J98" s="837">
        <f t="shared" ref="J98:J130" si="496">VLOOKUP(M98,BUECART4,2,FALSE)</f>
        <v>71</v>
      </c>
      <c r="K98" s="699" t="str">
        <f t="shared" ref="K98:K129" si="497">VLOOKUP(J98,A458DC1025,2,FALSE)</f>
        <v>Lista</v>
      </c>
      <c r="L98" s="700">
        <f t="shared" ref="L98:L116" si="498">VLOOKUP(J98,A458DC1025,3,FALSE)</f>
        <v>0.05</v>
      </c>
      <c r="M98" s="498" t="s">
        <v>780</v>
      </c>
      <c r="N98" s="434" t="str">
        <f>IFERROR(VLOOKUP(M98,BUELA,3,FALSE),"")</f>
        <v/>
      </c>
      <c r="O98" s="141" t="e">
        <f t="shared" si="317"/>
        <v>#VALUE!</v>
      </c>
      <c r="P98" s="113" t="e">
        <f t="shared" si="180"/>
        <v>#VALUE!</v>
      </c>
      <c r="Q98" s="116" t="str">
        <f t="shared" ref="Q98:Q130" si="499">IFERROR(VLOOKUP(M98,BUEALIM,3,FALSE),"")</f>
        <v/>
      </c>
      <c r="R98" s="117" t="str">
        <f t="shared" ref="R98:R130" si="500">IFERROR(VLOOKUP(M98,BUEFC,3,FALSE),"")</f>
        <v/>
      </c>
      <c r="S98" s="114" t="e">
        <f t="shared" si="181"/>
        <v>#VALUE!</v>
      </c>
      <c r="T98" s="413" t="str">
        <f t="shared" si="182"/>
        <v/>
      </c>
      <c r="U98" s="123" t="str">
        <f t="shared" si="486"/>
        <v/>
      </c>
      <c r="V98" s="332" t="e">
        <f>(U98*1.7245)*1.05</f>
        <v>#VALUE!</v>
      </c>
      <c r="W98" s="113" t="e">
        <f t="shared" si="19"/>
        <v>#VALUE!</v>
      </c>
      <c r="X98" s="116" t="str">
        <f t="shared" ref="X98:X130" si="501">IFERROR(VLOOKUP(M98,BUEALIM,4,FALSE),"")</f>
        <v/>
      </c>
      <c r="Y98" s="117" t="str">
        <f t="shared" ref="Y98:Y130" si="502">IFERROR(VLOOKUP(M98,BUEFC,4,FALSE),"")</f>
        <v/>
      </c>
      <c r="Z98" s="114" t="e">
        <f t="shared" si="184"/>
        <v>#VALUE!</v>
      </c>
      <c r="AA98" s="413" t="str">
        <f t="shared" si="185"/>
        <v/>
      </c>
      <c r="AB98" s="125" t="str">
        <f t="shared" si="487"/>
        <v/>
      </c>
      <c r="AC98" s="416" t="e">
        <f t="shared" si="318"/>
        <v>#VALUE!</v>
      </c>
      <c r="AD98" s="113" t="e">
        <f t="shared" si="26"/>
        <v>#VALUE!</v>
      </c>
      <c r="AE98" s="116" t="str">
        <f t="shared" ref="AE98:AE130" si="503">IFERROR(VLOOKUP(M98,BUEALIM,5,FALSE),"")</f>
        <v/>
      </c>
      <c r="AF98" s="117" t="str">
        <f t="shared" ref="AF98:AF130" si="504">IFERROR(VLOOKUP(M98,BUEFC,5,FALSE),"")</f>
        <v/>
      </c>
      <c r="AG98" s="114" t="e">
        <f t="shared" si="187"/>
        <v>#VALUE!</v>
      </c>
      <c r="AH98" s="413" t="str">
        <f t="shared" si="188"/>
        <v/>
      </c>
      <c r="AI98" s="846" t="e">
        <f t="shared" si="189"/>
        <v>#VALUE!</v>
      </c>
      <c r="AJ98" s="840" t="str">
        <f t="shared" ref="AJ98:AJ130" si="505">IFERROR(VLOOKUP(M98,trim2024,2,FALSE),"")</f>
        <v/>
      </c>
      <c r="AK98" s="116" t="e">
        <f t="shared" si="190"/>
        <v>#VALUE!</v>
      </c>
      <c r="AL98" s="116">
        <f t="shared" si="191"/>
        <v>0</v>
      </c>
      <c r="AM98" s="116">
        <f t="shared" si="192"/>
        <v>0</v>
      </c>
      <c r="AN98" s="116" t="e">
        <f t="shared" si="36"/>
        <v>#VALUE!</v>
      </c>
      <c r="AO98" s="413" t="str">
        <f t="shared" si="300"/>
        <v/>
      </c>
      <c r="AP98" s="434" t="str">
        <f t="shared" si="430"/>
        <v/>
      </c>
      <c r="AQ98" s="140" t="e">
        <f t="shared" si="39"/>
        <v>#VALUE!</v>
      </c>
      <c r="AR98" s="123" t="str">
        <f t="shared" ref="AR98:AR130" si="506">IFERROR(VLOOKUP(M98,BUEALIM,6,FALSE),"")</f>
        <v/>
      </c>
      <c r="AS98" s="148" t="str">
        <f t="shared" ref="AS98:AS130" si="507">IFERROR(VLOOKUP(M98,BUEFC,6,FALSE),"")</f>
        <v/>
      </c>
      <c r="AT98" s="123" t="str">
        <f t="shared" si="431"/>
        <v/>
      </c>
      <c r="AU98" s="326" t="e">
        <f t="shared" si="42"/>
        <v>#VALUE!</v>
      </c>
      <c r="AV98" s="326" t="str">
        <f t="shared" ref="AV98:AV130" si="508">IFERROR(VLOOKUP(M98,BUEALIM,7,FALSE),"")</f>
        <v/>
      </c>
      <c r="AW98" s="326" t="str">
        <f t="shared" ref="AW98:AW130" si="509">IFERROR(VLOOKUP(M98,BUEFC,7,FALSE),"")</f>
        <v/>
      </c>
      <c r="AX98" s="332" t="str">
        <f t="shared" si="432"/>
        <v/>
      </c>
      <c r="AY98" s="140" t="e">
        <f t="shared" si="45"/>
        <v>#VALUE!</v>
      </c>
      <c r="AZ98" s="326" t="str">
        <f t="shared" ref="AZ98:AZ130" si="510">IFERROR(VLOOKUP(M98,BUEALIM,8,FALSE),"")</f>
        <v/>
      </c>
      <c r="BA98" s="332" t="str">
        <f t="shared" ref="BA98:BA130" si="511">IFERROR(VLOOKUP(M98,BUEFC,8,FALSE),"")</f>
        <v/>
      </c>
      <c r="BB98" s="122" t="e">
        <f t="shared" ref="BB98:BD98" si="512">SUM(AY98,AU98,AQ98)</f>
        <v>#VALUE!</v>
      </c>
      <c r="BC98" s="326">
        <f t="shared" si="512"/>
        <v>0</v>
      </c>
      <c r="BD98" s="332">
        <f t="shared" si="512"/>
        <v>0</v>
      </c>
      <c r="BE98" s="140" t="e">
        <f t="shared" ref="BE98:BF98" si="513">SUM(BB98,AK98)</f>
        <v>#VALUE!</v>
      </c>
      <c r="BF98" s="326">
        <f t="shared" si="513"/>
        <v>0</v>
      </c>
      <c r="BG98" s="435">
        <f t="shared" si="50"/>
        <v>0</v>
      </c>
      <c r="BH98" s="423" t="str">
        <f t="shared" si="435"/>
        <v/>
      </c>
      <c r="BI98" s="123" t="e">
        <f t="shared" si="51"/>
        <v>#VALUE!</v>
      </c>
      <c r="BJ98" s="123" t="str">
        <f t="shared" ref="BJ98:BJ130" si="514">IFERROR(VLOOKUP(M98,BUEALIM,9,FALSE),"")</f>
        <v/>
      </c>
      <c r="BK98" s="148" t="str">
        <f t="shared" ref="BK98:BK130" si="515">IFERROR(VLOOKUP(M98,BUEFC,9,FALSE),"")</f>
        <v/>
      </c>
      <c r="BL98" s="423" t="str">
        <f>IFERROR(VLOOKUP(M98,BUELA,10,FALSE),"")</f>
        <v/>
      </c>
      <c r="BM98" s="123" t="e">
        <f t="shared" si="54"/>
        <v>#VALUE!</v>
      </c>
      <c r="BN98" s="123" t="str">
        <f t="shared" ref="BN98:BN130" si="516">IFERROR(VLOOKUP(M98,BUEALIM,10,FALSE),"")</f>
        <v/>
      </c>
      <c r="BO98" s="123" t="str">
        <f t="shared" ref="BO98:BO130" si="517">IFERROR(VLOOKUP(M98,BUEFC,10,FALSE),"")</f>
        <v/>
      </c>
      <c r="BP98" s="436" t="str">
        <f t="shared" si="436"/>
        <v/>
      </c>
      <c r="BQ98" s="140" t="e">
        <f t="shared" si="57"/>
        <v>#VALUE!</v>
      </c>
      <c r="BR98" s="325" t="str">
        <f t="shared" ref="BR98:BR130" si="518">IFERROR(VLOOKUP(M98,BUEALIM,11,FALSE),"")</f>
        <v/>
      </c>
      <c r="BS98" s="333" t="str">
        <f t="shared" ref="BS98:BS130" si="519">IFERROR(VLOOKUP(M98,BUEFC,11,FALSE),"")</f>
        <v/>
      </c>
      <c r="BT98" s="140" t="e">
        <f t="shared" ref="BT98:BV98" si="520">SUM(BQ98,BM98,BI98)</f>
        <v>#VALUE!</v>
      </c>
      <c r="BU98" s="326">
        <f t="shared" si="520"/>
        <v>0</v>
      </c>
      <c r="BV98" s="333">
        <f t="shared" si="520"/>
        <v>0</v>
      </c>
      <c r="BW98" s="125" t="str">
        <f t="shared" si="438"/>
        <v/>
      </c>
      <c r="BX98" s="140" t="e">
        <f t="shared" si="61"/>
        <v>#VALUE!</v>
      </c>
      <c r="BY98" s="123" t="str">
        <f t="shared" ref="BY98:BY130" si="521">IFERROR(VLOOKUP(M98,BUEALIM,12,FALSE),"")</f>
        <v/>
      </c>
      <c r="BZ98" s="148" t="str">
        <f t="shared" ref="BZ98:BZ130" si="522">IFERROR(VLOOKUP(M98,BUEFC,12,FALSE),"")</f>
        <v/>
      </c>
      <c r="CA98" s="123" t="str">
        <f t="shared" si="439"/>
        <v/>
      </c>
      <c r="CB98" s="326" t="str">
        <f t="shared" si="440"/>
        <v/>
      </c>
      <c r="CI98" s="294"/>
      <c r="CJ98" s="294"/>
    </row>
    <row r="99" spans="1:88" ht="13">
      <c r="A99" s="436">
        <f t="shared" si="491"/>
        <v>112010867</v>
      </c>
      <c r="B99" s="172">
        <f t="shared" si="482"/>
        <v>1</v>
      </c>
      <c r="C99" s="558" t="str">
        <f t="shared" si="483"/>
        <v>Lista</v>
      </c>
      <c r="D99" s="558">
        <f t="shared" si="484"/>
        <v>0.09</v>
      </c>
      <c r="E99" s="559">
        <f t="shared" si="485"/>
        <v>0</v>
      </c>
      <c r="F99" s="836">
        <f t="shared" si="492"/>
        <v>1</v>
      </c>
      <c r="G99" s="558" t="str">
        <f t="shared" si="493"/>
        <v>Lista</v>
      </c>
      <c r="H99" s="558">
        <f t="shared" si="494"/>
        <v>0.09</v>
      </c>
      <c r="I99" s="559">
        <f t="shared" si="495"/>
        <v>0</v>
      </c>
      <c r="J99" s="837">
        <f t="shared" si="496"/>
        <v>71</v>
      </c>
      <c r="K99" s="699" t="str">
        <f t="shared" si="497"/>
        <v>Lista</v>
      </c>
      <c r="L99" s="700">
        <f t="shared" si="498"/>
        <v>0.05</v>
      </c>
      <c r="M99" s="859" t="s">
        <v>781</v>
      </c>
      <c r="N99" s="434"/>
      <c r="O99" s="141">
        <f t="shared" si="317"/>
        <v>0</v>
      </c>
      <c r="P99" s="113">
        <f t="shared" si="180"/>
        <v>84811.04</v>
      </c>
      <c r="Q99" s="116">
        <f t="shared" si="499"/>
        <v>22701.86</v>
      </c>
      <c r="R99" s="117">
        <f t="shared" si="500"/>
        <v>107512.9</v>
      </c>
      <c r="S99" s="114">
        <f t="shared" si="181"/>
        <v>107512.9</v>
      </c>
      <c r="T99" s="413" t="str">
        <f t="shared" si="182"/>
        <v/>
      </c>
      <c r="U99" s="123">
        <f t="shared" si="486"/>
        <v>226047.11</v>
      </c>
      <c r="V99" s="332"/>
      <c r="W99" s="113">
        <f t="shared" si="19"/>
        <v>0</v>
      </c>
      <c r="X99" s="116">
        <f t="shared" si="501"/>
        <v>0</v>
      </c>
      <c r="Y99" s="117">
        <f t="shared" si="502"/>
        <v>0</v>
      </c>
      <c r="Z99" s="114">
        <f t="shared" si="184"/>
        <v>0</v>
      </c>
      <c r="AA99" s="413" t="str">
        <f t="shared" si="185"/>
        <v/>
      </c>
      <c r="AB99" s="125">
        <f t="shared" si="487"/>
        <v>333940.77</v>
      </c>
      <c r="AC99" s="416">
        <f t="shared" si="318"/>
        <v>548786.57349105005</v>
      </c>
      <c r="AD99" s="113">
        <f t="shared" si="26"/>
        <v>50619.05</v>
      </c>
      <c r="AE99" s="116">
        <f t="shared" si="503"/>
        <v>0</v>
      </c>
      <c r="AF99" s="117">
        <f t="shared" si="504"/>
        <v>50619.05</v>
      </c>
      <c r="AG99" s="114">
        <f t="shared" si="187"/>
        <v>-498167.52349105006</v>
      </c>
      <c r="AH99" s="413">
        <f t="shared" si="188"/>
        <v>9.2238134905509916E-2</v>
      </c>
      <c r="AI99" s="846">
        <f t="shared" si="189"/>
        <v>548786.57349105005</v>
      </c>
      <c r="AJ99" s="840">
        <f t="shared" si="505"/>
        <v>661468.52</v>
      </c>
      <c r="AK99" s="116">
        <f t="shared" si="190"/>
        <v>135430.09</v>
      </c>
      <c r="AL99" s="116">
        <f t="shared" si="191"/>
        <v>22701.86</v>
      </c>
      <c r="AM99" s="116">
        <f t="shared" si="192"/>
        <v>158131.95000000001</v>
      </c>
      <c r="AN99" s="116">
        <f t="shared" si="36"/>
        <v>-503336.57</v>
      </c>
      <c r="AO99" s="413">
        <f t="shared" si="300"/>
        <v>0.23906194356762436</v>
      </c>
      <c r="AP99" s="434"/>
      <c r="AQ99" s="140">
        <f t="shared" si="39"/>
        <v>230270.15</v>
      </c>
      <c r="AR99" s="123">
        <f t="shared" si="506"/>
        <v>25982.26</v>
      </c>
      <c r="AS99" s="148">
        <f t="shared" si="507"/>
        <v>256252.41</v>
      </c>
      <c r="AT99" s="123"/>
      <c r="AU99" s="326">
        <f t="shared" si="42"/>
        <v>41974.98</v>
      </c>
      <c r="AV99" s="326">
        <f t="shared" si="508"/>
        <v>0</v>
      </c>
      <c r="AW99" s="326">
        <f t="shared" si="509"/>
        <v>41974.98</v>
      </c>
      <c r="AX99" s="332"/>
      <c r="AY99" s="140">
        <f t="shared" si="45"/>
        <v>0</v>
      </c>
      <c r="AZ99" s="326">
        <f t="shared" si="510"/>
        <v>0</v>
      </c>
      <c r="BA99" s="332">
        <f t="shared" si="511"/>
        <v>0</v>
      </c>
      <c r="BB99" s="122">
        <f t="shared" ref="BB99:BD99" si="523">SUM(AY99,AU99,AQ99)</f>
        <v>272245.13</v>
      </c>
      <c r="BC99" s="326">
        <f t="shared" si="523"/>
        <v>25982.26</v>
      </c>
      <c r="BD99" s="332">
        <f t="shared" si="523"/>
        <v>298227.39</v>
      </c>
      <c r="BE99" s="140">
        <f t="shared" ref="BE99:BF99" si="524">SUM(BB99,AK99)</f>
        <v>407675.22</v>
      </c>
      <c r="BF99" s="326">
        <f t="shared" si="524"/>
        <v>48684.119999999995</v>
      </c>
      <c r="BG99" s="435">
        <f t="shared" si="50"/>
        <v>456359.34</v>
      </c>
      <c r="BH99" s="423"/>
      <c r="BI99" s="123">
        <f t="shared" si="51"/>
        <v>368275.57</v>
      </c>
      <c r="BJ99" s="123">
        <f t="shared" si="514"/>
        <v>25982.26</v>
      </c>
      <c r="BK99" s="148">
        <f t="shared" si="515"/>
        <v>394257.83</v>
      </c>
      <c r="BL99" s="423"/>
      <c r="BM99" s="123">
        <f t="shared" si="54"/>
        <v>0</v>
      </c>
      <c r="BN99" s="123">
        <f t="shared" si="516"/>
        <v>0</v>
      </c>
      <c r="BO99" s="123">
        <f t="shared" si="517"/>
        <v>0</v>
      </c>
      <c r="BP99" s="436"/>
      <c r="BQ99" s="140">
        <f t="shared" si="57"/>
        <v>174749.9</v>
      </c>
      <c r="BR99" s="325">
        <f t="shared" si="518"/>
        <v>0</v>
      </c>
      <c r="BS99" s="333">
        <f t="shared" si="519"/>
        <v>174749.9</v>
      </c>
      <c r="BT99" s="140">
        <f t="shared" ref="BT99:BV99" si="525">SUM(BQ99,BM99,BI99)</f>
        <v>543025.47</v>
      </c>
      <c r="BU99" s="326">
        <f t="shared" si="525"/>
        <v>25982.26</v>
      </c>
      <c r="BV99" s="333">
        <f t="shared" si="525"/>
        <v>569007.73</v>
      </c>
      <c r="BW99" s="125"/>
      <c r="BX99" s="140">
        <f t="shared" si="61"/>
        <v>0</v>
      </c>
      <c r="BY99" s="123">
        <f t="shared" si="521"/>
        <v>0</v>
      </c>
      <c r="BZ99" s="148">
        <f t="shared" si="522"/>
        <v>0</v>
      </c>
      <c r="CA99" s="123"/>
      <c r="CB99" s="326"/>
      <c r="CI99" s="294"/>
      <c r="CJ99" s="294"/>
    </row>
    <row r="100" spans="1:88" ht="13">
      <c r="A100" s="436">
        <f t="shared" si="491"/>
        <v>112013438</v>
      </c>
      <c r="B100" s="172">
        <f t="shared" si="482"/>
        <v>1</v>
      </c>
      <c r="C100" s="558" t="str">
        <f t="shared" si="483"/>
        <v>Lista</v>
      </c>
      <c r="D100" s="558">
        <f t="shared" si="484"/>
        <v>0.09</v>
      </c>
      <c r="E100" s="559">
        <f t="shared" si="485"/>
        <v>0</v>
      </c>
      <c r="F100" s="836">
        <f t="shared" si="492"/>
        <v>1</v>
      </c>
      <c r="G100" s="558" t="str">
        <f t="shared" si="493"/>
        <v>Lista</v>
      </c>
      <c r="H100" s="558">
        <f t="shared" si="494"/>
        <v>0.09</v>
      </c>
      <c r="I100" s="559">
        <f t="shared" si="495"/>
        <v>0</v>
      </c>
      <c r="J100" s="837">
        <f t="shared" si="496"/>
        <v>71</v>
      </c>
      <c r="K100" s="699" t="str">
        <f t="shared" si="497"/>
        <v>Lista</v>
      </c>
      <c r="L100" s="700">
        <f t="shared" si="498"/>
        <v>0.05</v>
      </c>
      <c r="M100" s="498" t="s">
        <v>782</v>
      </c>
      <c r="N100" s="434">
        <f>IFERROR(VLOOKUP(M100,BUELA,3,FALSE),"")</f>
        <v>165918.62</v>
      </c>
      <c r="O100" s="141">
        <f t="shared" si="317"/>
        <v>278917.49615099997</v>
      </c>
      <c r="P100" s="113">
        <f t="shared" si="180"/>
        <v>0</v>
      </c>
      <c r="Q100" s="116">
        <f t="shared" si="499"/>
        <v>230528.67</v>
      </c>
      <c r="R100" s="117">
        <f t="shared" si="500"/>
        <v>230528.67</v>
      </c>
      <c r="S100" s="114">
        <f t="shared" si="181"/>
        <v>-48388.826150999957</v>
      </c>
      <c r="T100" s="413">
        <f t="shared" si="182"/>
        <v>0.82651204453375959</v>
      </c>
      <c r="U100" s="123">
        <f t="shared" si="486"/>
        <v>188362.66</v>
      </c>
      <c r="V100" s="332">
        <f t="shared" ref="V100:V101" si="526">(U100*1.7245)*1.05</f>
        <v>341072.97752849996</v>
      </c>
      <c r="W100" s="113">
        <f t="shared" si="19"/>
        <v>0</v>
      </c>
      <c r="X100" s="116">
        <f t="shared" si="501"/>
        <v>199382.27</v>
      </c>
      <c r="Y100" s="117">
        <f t="shared" si="502"/>
        <v>199382.27</v>
      </c>
      <c r="Z100" s="114">
        <f t="shared" si="184"/>
        <v>-141690.70752849997</v>
      </c>
      <c r="AA100" s="413">
        <f t="shared" si="185"/>
        <v>0.58457363419633457</v>
      </c>
      <c r="AB100" s="125">
        <f t="shared" si="487"/>
        <v>431448.77</v>
      </c>
      <c r="AC100" s="416">
        <f t="shared" si="318"/>
        <v>709027.80791105004</v>
      </c>
      <c r="AD100" s="113">
        <f t="shared" si="26"/>
        <v>0</v>
      </c>
      <c r="AE100" s="116">
        <f t="shared" si="503"/>
        <v>311970.3</v>
      </c>
      <c r="AF100" s="117">
        <f t="shared" si="504"/>
        <v>311970.3</v>
      </c>
      <c r="AG100" s="114">
        <f t="shared" si="187"/>
        <v>-397057.50791105005</v>
      </c>
      <c r="AH100" s="413">
        <f t="shared" si="188"/>
        <v>0.43999727023278856</v>
      </c>
      <c r="AI100" s="846">
        <f t="shared" si="189"/>
        <v>1329018.28159055</v>
      </c>
      <c r="AJ100" s="840">
        <f t="shared" si="505"/>
        <v>578862.73</v>
      </c>
      <c r="AK100" s="116">
        <f t="shared" si="190"/>
        <v>0</v>
      </c>
      <c r="AL100" s="116">
        <f t="shared" si="191"/>
        <v>941263.51</v>
      </c>
      <c r="AM100" s="116">
        <f t="shared" si="192"/>
        <v>741881.24</v>
      </c>
      <c r="AN100" s="116">
        <f t="shared" si="36"/>
        <v>163018.51</v>
      </c>
      <c r="AO100" s="413">
        <f t="shared" si="300"/>
        <v>1.2816185972104301</v>
      </c>
      <c r="AP100" s="434">
        <f t="shared" ref="AP100:AP116" si="527">IFERROR(VLOOKUP(M100,BUELA,6,FALSE),"")</f>
        <v>230090.21</v>
      </c>
      <c r="AQ100" s="140">
        <f t="shared" si="39"/>
        <v>0</v>
      </c>
      <c r="AR100" s="123">
        <f t="shared" si="506"/>
        <v>381743.73</v>
      </c>
      <c r="AS100" s="148">
        <f t="shared" si="507"/>
        <v>381743.73</v>
      </c>
      <c r="AT100" s="123">
        <f t="shared" ref="AT100:AT116" si="528">IFERROR(VLOOKUP(M100,BUELA,7,FALSE),"")</f>
        <v>363834.46</v>
      </c>
      <c r="AU100" s="326">
        <f t="shared" si="42"/>
        <v>0</v>
      </c>
      <c r="AV100" s="326">
        <f t="shared" si="508"/>
        <v>249225.42</v>
      </c>
      <c r="AW100" s="326">
        <f t="shared" si="509"/>
        <v>249225.42</v>
      </c>
      <c r="AX100" s="332">
        <f t="shared" ref="AX100:AX116" si="529">IFERROR(VLOOKUP(M100,BUELA,8,FALSE),"")</f>
        <v>269910.71999999997</v>
      </c>
      <c r="AY100" s="140">
        <f t="shared" si="45"/>
        <v>0</v>
      </c>
      <c r="AZ100" s="326">
        <f t="shared" si="510"/>
        <v>225746.26</v>
      </c>
      <c r="BA100" s="332">
        <f t="shared" si="511"/>
        <v>225746.26</v>
      </c>
      <c r="BB100" s="122">
        <f t="shared" ref="BB100:BD100" si="530">SUM(AY100,AU100,AQ100)</f>
        <v>0</v>
      </c>
      <c r="BC100" s="326">
        <f t="shared" si="530"/>
        <v>856715.41</v>
      </c>
      <c r="BD100" s="332">
        <f t="shared" si="530"/>
        <v>856715.41</v>
      </c>
      <c r="BE100" s="140">
        <f t="shared" ref="BE100:BF100" si="531">SUM(BB100,AK100)</f>
        <v>0</v>
      </c>
      <c r="BF100" s="326">
        <f t="shared" si="531"/>
        <v>1797978.92</v>
      </c>
      <c r="BG100" s="435">
        <f t="shared" si="50"/>
        <v>1598596.65</v>
      </c>
      <c r="BH100" s="423">
        <f t="shared" ref="BH100:BH116" si="532">IFERROR(VLOOKUP(M100,BUELA,9,FALSE),"")</f>
        <v>117164.34</v>
      </c>
      <c r="BI100" s="123">
        <f t="shared" si="51"/>
        <v>0</v>
      </c>
      <c r="BJ100" s="123">
        <f t="shared" si="514"/>
        <v>275962.76</v>
      </c>
      <c r="BK100" s="148">
        <f t="shared" si="515"/>
        <v>275962.76</v>
      </c>
      <c r="BL100" s="423">
        <f>IFERROR(VLOOKUP(M100,BUELA,10,FALSE),"")</f>
        <v>169952.51</v>
      </c>
      <c r="BM100" s="123">
        <f t="shared" si="54"/>
        <v>0</v>
      </c>
      <c r="BN100" s="123">
        <f t="shared" si="516"/>
        <v>236156.27</v>
      </c>
      <c r="BO100" s="123">
        <f t="shared" si="517"/>
        <v>236156.27</v>
      </c>
      <c r="BP100" s="436">
        <f t="shared" ref="BP100:BP116" si="533">IFERROR(VLOOKUP(M100,BUELA,11,FALSE),"")</f>
        <v>230124.31</v>
      </c>
      <c r="BQ100" s="140">
        <f t="shared" si="57"/>
        <v>0</v>
      </c>
      <c r="BR100" s="325">
        <f t="shared" si="518"/>
        <v>335233.44</v>
      </c>
      <c r="BS100" s="333">
        <f t="shared" si="519"/>
        <v>335233.44</v>
      </c>
      <c r="BT100" s="140">
        <f t="shared" ref="BT100:BV100" si="534">SUM(BQ100,BM100,BI100)</f>
        <v>0</v>
      </c>
      <c r="BU100" s="326">
        <f t="shared" si="534"/>
        <v>847352.47</v>
      </c>
      <c r="BV100" s="333">
        <f t="shared" si="534"/>
        <v>847352.47</v>
      </c>
      <c r="BW100" s="125">
        <f t="shared" ref="BW100:BW116" si="535">IFERROR(VLOOKUP(M100,BUELA,12,FALSE),"")</f>
        <v>124680.34</v>
      </c>
      <c r="BX100" s="140">
        <f t="shared" si="61"/>
        <v>0</v>
      </c>
      <c r="BY100" s="123">
        <f t="shared" si="521"/>
        <v>283839.09000000003</v>
      </c>
      <c r="BZ100" s="148">
        <f t="shared" si="522"/>
        <v>283839.09000000003</v>
      </c>
      <c r="CA100" s="123">
        <f t="shared" ref="CA100:CA116" si="536">IFERROR(VLOOKUP(M100,BUELA,13,FALSE),"")</f>
        <v>73924.740000000005</v>
      </c>
      <c r="CB100" s="326">
        <f t="shared" ref="CB100:CB116" si="537">IFERROR(VLOOKUP(M100,BUELA,14,FALSE),"")</f>
        <v>380257.66</v>
      </c>
      <c r="CI100" s="294"/>
      <c r="CJ100" s="294"/>
    </row>
    <row r="101" spans="1:88" ht="13">
      <c r="A101" s="436">
        <f t="shared" si="491"/>
        <v>112013823</v>
      </c>
      <c r="B101" s="172">
        <f t="shared" si="482"/>
        <v>1</v>
      </c>
      <c r="C101" s="558" t="str">
        <f t="shared" si="483"/>
        <v>Lista</v>
      </c>
      <c r="D101" s="558">
        <f t="shared" si="484"/>
        <v>0.09</v>
      </c>
      <c r="E101" s="559">
        <f t="shared" si="485"/>
        <v>0</v>
      </c>
      <c r="F101" s="836">
        <f t="shared" si="492"/>
        <v>1</v>
      </c>
      <c r="G101" s="558" t="str">
        <f t="shared" si="493"/>
        <v>Lista</v>
      </c>
      <c r="H101" s="558">
        <f t="shared" si="494"/>
        <v>0.09</v>
      </c>
      <c r="I101" s="559">
        <f t="shared" si="495"/>
        <v>0</v>
      </c>
      <c r="J101" s="837">
        <f t="shared" si="496"/>
        <v>71</v>
      </c>
      <c r="K101" s="699" t="str">
        <f t="shared" si="497"/>
        <v>Lista</v>
      </c>
      <c r="L101" s="700">
        <f t="shared" si="498"/>
        <v>0.05</v>
      </c>
      <c r="M101" s="498" t="s">
        <v>783</v>
      </c>
      <c r="N101" s="434">
        <f>IFERROR(VLOOKUP(M101,BUELA,3,FALSE),"")</f>
        <v>57137.2</v>
      </c>
      <c r="O101" s="141">
        <f t="shared" si="317"/>
        <v>96050.490059999996</v>
      </c>
      <c r="P101" s="113">
        <f t="shared" si="180"/>
        <v>0</v>
      </c>
      <c r="Q101" s="116">
        <f t="shared" si="499"/>
        <v>61437.4</v>
      </c>
      <c r="R101" s="117">
        <f t="shared" si="500"/>
        <v>61437.4</v>
      </c>
      <c r="S101" s="114">
        <f t="shared" si="181"/>
        <v>-34613.090059999995</v>
      </c>
      <c r="T101" s="413">
        <f t="shared" si="182"/>
        <v>0.63963650744126155</v>
      </c>
      <c r="U101" s="123">
        <f t="shared" si="486"/>
        <v>138227.99</v>
      </c>
      <c r="V101" s="332">
        <f t="shared" si="526"/>
        <v>250292.87719274996</v>
      </c>
      <c r="W101" s="113">
        <f t="shared" si="19"/>
        <v>0</v>
      </c>
      <c r="X101" s="116">
        <f t="shared" si="501"/>
        <v>30718.7</v>
      </c>
      <c r="Y101" s="117">
        <f t="shared" si="502"/>
        <v>30718.7</v>
      </c>
      <c r="Z101" s="114">
        <f t="shared" si="184"/>
        <v>-219574.17719274995</v>
      </c>
      <c r="AA101" s="413">
        <f t="shared" si="185"/>
        <v>0.12273101953414201</v>
      </c>
      <c r="AB101" s="125">
        <f t="shared" si="487"/>
        <v>61315.19</v>
      </c>
      <c r="AC101" s="416">
        <f t="shared" si="318"/>
        <v>100763.23721435001</v>
      </c>
      <c r="AD101" s="113">
        <f t="shared" si="26"/>
        <v>0</v>
      </c>
      <c r="AE101" s="116">
        <f t="shared" si="503"/>
        <v>28393.919999999998</v>
      </c>
      <c r="AF101" s="117">
        <f t="shared" si="504"/>
        <v>28393.919999999998</v>
      </c>
      <c r="AG101" s="114">
        <f t="shared" si="187"/>
        <v>-72369.317214350012</v>
      </c>
      <c r="AH101" s="413">
        <f t="shared" si="188"/>
        <v>0.28178848541357038</v>
      </c>
      <c r="AI101" s="846">
        <f t="shared" si="189"/>
        <v>447106.6044671</v>
      </c>
      <c r="AJ101" s="840">
        <f t="shared" si="505"/>
        <v>272653.28000000003</v>
      </c>
      <c r="AK101" s="116">
        <f t="shared" si="190"/>
        <v>0</v>
      </c>
      <c r="AL101" s="116">
        <f t="shared" si="191"/>
        <v>151268.72</v>
      </c>
      <c r="AM101" s="116">
        <f t="shared" si="192"/>
        <v>120550.01999999999</v>
      </c>
      <c r="AN101" s="116">
        <f t="shared" si="36"/>
        <v>-152103.26000000004</v>
      </c>
      <c r="AO101" s="413">
        <f t="shared" si="300"/>
        <v>0.44213669463283178</v>
      </c>
      <c r="AP101" s="434">
        <f t="shared" si="527"/>
        <v>75591.05</v>
      </c>
      <c r="AQ101" s="140">
        <f t="shared" si="39"/>
        <v>0</v>
      </c>
      <c r="AR101" s="123">
        <f t="shared" si="506"/>
        <v>68640.88</v>
      </c>
      <c r="AS101" s="148">
        <f t="shared" si="507"/>
        <v>68640.88</v>
      </c>
      <c r="AT101" s="123">
        <f t="shared" si="528"/>
        <v>60085.93</v>
      </c>
      <c r="AU101" s="326">
        <f t="shared" si="42"/>
        <v>0</v>
      </c>
      <c r="AV101" s="326">
        <f t="shared" si="508"/>
        <v>0</v>
      </c>
      <c r="AW101" s="326">
        <f t="shared" si="509"/>
        <v>0</v>
      </c>
      <c r="AX101" s="332">
        <f t="shared" si="529"/>
        <v>26094.720000000001</v>
      </c>
      <c r="AY101" s="140">
        <f t="shared" si="45"/>
        <v>0</v>
      </c>
      <c r="AZ101" s="326">
        <f t="shared" si="510"/>
        <v>79877.98</v>
      </c>
      <c r="BA101" s="332">
        <f t="shared" si="511"/>
        <v>79877.98</v>
      </c>
      <c r="BB101" s="122">
        <f t="shared" ref="BB101:BD101" si="538">SUM(AY101,AU101,AQ101)</f>
        <v>0</v>
      </c>
      <c r="BC101" s="326">
        <f t="shared" si="538"/>
        <v>148518.85999999999</v>
      </c>
      <c r="BD101" s="332">
        <f t="shared" si="538"/>
        <v>148518.85999999999</v>
      </c>
      <c r="BE101" s="140">
        <f t="shared" ref="BE101:BF101" si="539">SUM(BB101,AK101)</f>
        <v>0</v>
      </c>
      <c r="BF101" s="326">
        <f t="shared" si="539"/>
        <v>299787.57999999996</v>
      </c>
      <c r="BG101" s="435">
        <f t="shared" si="50"/>
        <v>269068.88</v>
      </c>
      <c r="BH101" s="423">
        <f t="shared" si="532"/>
        <v>17887.41</v>
      </c>
      <c r="BI101" s="123">
        <f t="shared" si="51"/>
        <v>0</v>
      </c>
      <c r="BJ101" s="123">
        <f t="shared" si="514"/>
        <v>74534.05</v>
      </c>
      <c r="BK101" s="148">
        <f t="shared" si="515"/>
        <v>74534.05</v>
      </c>
      <c r="BL101" s="423"/>
      <c r="BM101" s="123">
        <f t="shared" si="54"/>
        <v>0</v>
      </c>
      <c r="BN101" s="123">
        <f t="shared" si="516"/>
        <v>110935.58</v>
      </c>
      <c r="BO101" s="123">
        <f t="shared" si="517"/>
        <v>110935.58</v>
      </c>
      <c r="BP101" s="436">
        <f t="shared" si="533"/>
        <v>60847.24</v>
      </c>
      <c r="BQ101" s="140">
        <f t="shared" si="57"/>
        <v>0</v>
      </c>
      <c r="BR101" s="325">
        <f t="shared" si="518"/>
        <v>0</v>
      </c>
      <c r="BS101" s="333">
        <f t="shared" si="519"/>
        <v>0</v>
      </c>
      <c r="BT101" s="140">
        <f t="shared" ref="BT101:BV101" si="540">SUM(BQ101,BM101,BI101)</f>
        <v>0</v>
      </c>
      <c r="BU101" s="326">
        <f t="shared" si="540"/>
        <v>185469.63</v>
      </c>
      <c r="BV101" s="333">
        <f t="shared" si="540"/>
        <v>185469.63</v>
      </c>
      <c r="BW101" s="125">
        <f t="shared" si="535"/>
        <v>88645.87</v>
      </c>
      <c r="BX101" s="140">
        <f t="shared" si="61"/>
        <v>0</v>
      </c>
      <c r="BY101" s="123">
        <f t="shared" si="521"/>
        <v>33647.279999999999</v>
      </c>
      <c r="BZ101" s="148">
        <f t="shared" si="522"/>
        <v>33647.279999999999</v>
      </c>
      <c r="CA101" s="123">
        <f t="shared" si="536"/>
        <v>113277.4</v>
      </c>
      <c r="CB101" s="326">
        <f t="shared" si="537"/>
        <v>70730.009999999995</v>
      </c>
      <c r="CI101" s="294"/>
      <c r="CJ101" s="294"/>
    </row>
    <row r="102" spans="1:88" ht="13">
      <c r="A102" s="436">
        <f t="shared" si="491"/>
        <v>112011935</v>
      </c>
      <c r="B102" s="172">
        <f t="shared" si="482"/>
        <v>1</v>
      </c>
      <c r="C102" s="558" t="str">
        <f t="shared" si="483"/>
        <v>Lista</v>
      </c>
      <c r="D102" s="558">
        <f t="shared" si="484"/>
        <v>0.09</v>
      </c>
      <c r="E102" s="559">
        <f t="shared" si="485"/>
        <v>0</v>
      </c>
      <c r="F102" s="836">
        <f t="shared" si="492"/>
        <v>1</v>
      </c>
      <c r="G102" s="558" t="str">
        <f t="shared" si="493"/>
        <v>Lista</v>
      </c>
      <c r="H102" s="558">
        <f t="shared" si="494"/>
        <v>0.09</v>
      </c>
      <c r="I102" s="559">
        <f t="shared" si="495"/>
        <v>0</v>
      </c>
      <c r="J102" s="837">
        <f t="shared" si="496"/>
        <v>71</v>
      </c>
      <c r="K102" s="699" t="str">
        <f t="shared" si="497"/>
        <v>Lista</v>
      </c>
      <c r="L102" s="700">
        <f t="shared" si="498"/>
        <v>0.05</v>
      </c>
      <c r="M102" s="859" t="s">
        <v>784</v>
      </c>
      <c r="N102" s="434"/>
      <c r="O102" s="141">
        <f t="shared" si="317"/>
        <v>0</v>
      </c>
      <c r="P102" s="113" t="e">
        <f t="shared" si="180"/>
        <v>#VALUE!</v>
      </c>
      <c r="Q102" s="116" t="str">
        <f t="shared" si="499"/>
        <v/>
      </c>
      <c r="R102" s="117">
        <f t="shared" si="500"/>
        <v>0</v>
      </c>
      <c r="S102" s="114">
        <f t="shared" si="181"/>
        <v>0</v>
      </c>
      <c r="T102" s="413" t="str">
        <f t="shared" si="182"/>
        <v/>
      </c>
      <c r="U102" s="123">
        <f t="shared" si="486"/>
        <v>191560.41</v>
      </c>
      <c r="V102" s="332"/>
      <c r="W102" s="113" t="e">
        <f t="shared" si="19"/>
        <v>#VALUE!</v>
      </c>
      <c r="X102" s="116" t="str">
        <f t="shared" si="501"/>
        <v/>
      </c>
      <c r="Y102" s="117">
        <f t="shared" si="502"/>
        <v>0</v>
      </c>
      <c r="Z102" s="114">
        <f t="shared" si="184"/>
        <v>0</v>
      </c>
      <c r="AA102" s="413" t="str">
        <f t="shared" si="185"/>
        <v/>
      </c>
      <c r="AB102" s="125">
        <f t="shared" si="487"/>
        <v>153828.10999999999</v>
      </c>
      <c r="AC102" s="416">
        <f t="shared" si="318"/>
        <v>252795.73199014997</v>
      </c>
      <c r="AD102" s="113" t="e">
        <f t="shared" si="26"/>
        <v>#VALUE!</v>
      </c>
      <c r="AE102" s="116" t="str">
        <f t="shared" si="503"/>
        <v/>
      </c>
      <c r="AF102" s="117">
        <f t="shared" si="504"/>
        <v>134749.63</v>
      </c>
      <c r="AG102" s="114">
        <f t="shared" si="187"/>
        <v>-118046.10199014997</v>
      </c>
      <c r="AH102" s="413">
        <f t="shared" si="188"/>
        <v>0.533037598930865</v>
      </c>
      <c r="AI102" s="846">
        <f t="shared" si="189"/>
        <v>252795.73199014997</v>
      </c>
      <c r="AJ102" s="840">
        <f t="shared" si="505"/>
        <v>685982.12</v>
      </c>
      <c r="AK102" s="116" t="e">
        <f t="shared" si="190"/>
        <v>#VALUE!</v>
      </c>
      <c r="AL102" s="116">
        <f t="shared" si="191"/>
        <v>0</v>
      </c>
      <c r="AM102" s="116">
        <f t="shared" si="192"/>
        <v>134749.63</v>
      </c>
      <c r="AN102" s="116">
        <f t="shared" si="36"/>
        <v>-551232.49</v>
      </c>
      <c r="AO102" s="413">
        <f t="shared" si="300"/>
        <v>0.19643315193113198</v>
      </c>
      <c r="AP102" s="434">
        <f t="shared" si="527"/>
        <v>244836.34</v>
      </c>
      <c r="AQ102" s="140" t="e">
        <f t="shared" si="39"/>
        <v>#VALUE!</v>
      </c>
      <c r="AR102" s="123" t="str">
        <f t="shared" si="506"/>
        <v/>
      </c>
      <c r="AS102" s="148">
        <f t="shared" si="507"/>
        <v>114614.63</v>
      </c>
      <c r="AT102" s="123">
        <f t="shared" si="528"/>
        <v>0</v>
      </c>
      <c r="AU102" s="326" t="e">
        <f t="shared" si="42"/>
        <v>#VALUE!</v>
      </c>
      <c r="AV102" s="326" t="str">
        <f t="shared" si="508"/>
        <v/>
      </c>
      <c r="AW102" s="326">
        <f t="shared" si="509"/>
        <v>207269.22</v>
      </c>
      <c r="AX102" s="332">
        <f t="shared" si="529"/>
        <v>115893.89</v>
      </c>
      <c r="AY102" s="140" t="e">
        <f t="shared" si="45"/>
        <v>#VALUE!</v>
      </c>
      <c r="AZ102" s="326" t="str">
        <f t="shared" si="510"/>
        <v/>
      </c>
      <c r="BA102" s="332">
        <f t="shared" si="511"/>
        <v>32711.72</v>
      </c>
      <c r="BB102" s="122" t="e">
        <f t="shared" ref="BB102:BD102" si="541">SUM(AY102,AU102,AQ102)</f>
        <v>#VALUE!</v>
      </c>
      <c r="BC102" s="326">
        <f t="shared" si="541"/>
        <v>0</v>
      </c>
      <c r="BD102" s="332">
        <f t="shared" si="541"/>
        <v>354595.57</v>
      </c>
      <c r="BE102" s="140" t="e">
        <f t="shared" ref="BE102:BF102" si="542">SUM(BB102,AK102)</f>
        <v>#VALUE!</v>
      </c>
      <c r="BF102" s="326">
        <f t="shared" si="542"/>
        <v>0</v>
      </c>
      <c r="BG102" s="435">
        <f t="shared" si="50"/>
        <v>489345.2</v>
      </c>
      <c r="BH102" s="423">
        <f t="shared" si="532"/>
        <v>326342.15000000002</v>
      </c>
      <c r="BI102" s="123" t="e">
        <f t="shared" si="51"/>
        <v>#VALUE!</v>
      </c>
      <c r="BJ102" s="123" t="str">
        <f t="shared" si="514"/>
        <v/>
      </c>
      <c r="BK102" s="148">
        <f t="shared" si="515"/>
        <v>88080.26</v>
      </c>
      <c r="BL102" s="423">
        <f t="shared" ref="BL102:BL116" si="543">IFERROR(VLOOKUP(M102,BUELA,10,FALSE),"")</f>
        <v>225336.38</v>
      </c>
      <c r="BM102" s="123" t="e">
        <f t="shared" si="54"/>
        <v>#VALUE!</v>
      </c>
      <c r="BN102" s="123" t="str">
        <f t="shared" si="516"/>
        <v/>
      </c>
      <c r="BO102" s="123">
        <f t="shared" si="517"/>
        <v>168529.5</v>
      </c>
      <c r="BP102" s="436">
        <f t="shared" si="533"/>
        <v>278061.17</v>
      </c>
      <c r="BQ102" s="140" t="e">
        <f t="shared" si="57"/>
        <v>#VALUE!</v>
      </c>
      <c r="BR102" s="325" t="str">
        <f t="shared" si="518"/>
        <v/>
      </c>
      <c r="BS102" s="333">
        <f t="shared" si="519"/>
        <v>276184.75</v>
      </c>
      <c r="BT102" s="140" t="e">
        <f t="shared" ref="BT102:BV102" si="544">SUM(BQ102,BM102,BI102)</f>
        <v>#VALUE!</v>
      </c>
      <c r="BU102" s="326">
        <f t="shared" si="544"/>
        <v>0</v>
      </c>
      <c r="BV102" s="333">
        <f t="shared" si="544"/>
        <v>532794.51</v>
      </c>
      <c r="BW102" s="125">
        <f t="shared" si="535"/>
        <v>265461.2</v>
      </c>
      <c r="BX102" s="140" t="e">
        <f t="shared" si="61"/>
        <v>#VALUE!</v>
      </c>
      <c r="BY102" s="123" t="str">
        <f t="shared" si="521"/>
        <v/>
      </c>
      <c r="BZ102" s="148">
        <f t="shared" si="522"/>
        <v>145755.60999999999</v>
      </c>
      <c r="CA102" s="123">
        <f t="shared" si="536"/>
        <v>156215.07999999999</v>
      </c>
      <c r="CB102" s="326">
        <f t="shared" si="537"/>
        <v>264305.84000000003</v>
      </c>
      <c r="CI102" s="294"/>
      <c r="CJ102" s="294"/>
    </row>
    <row r="103" spans="1:88" ht="13">
      <c r="A103" s="436">
        <f t="shared" si="491"/>
        <v>112014507</v>
      </c>
      <c r="B103" s="172">
        <f t="shared" si="482"/>
        <v>1</v>
      </c>
      <c r="C103" s="558" t="str">
        <f t="shared" si="483"/>
        <v>Lista</v>
      </c>
      <c r="D103" s="558">
        <f t="shared" si="484"/>
        <v>0.09</v>
      </c>
      <c r="E103" s="559">
        <f t="shared" si="485"/>
        <v>0</v>
      </c>
      <c r="F103" s="836">
        <f t="shared" si="492"/>
        <v>1</v>
      </c>
      <c r="G103" s="558" t="str">
        <f t="shared" si="493"/>
        <v>Lista</v>
      </c>
      <c r="H103" s="558">
        <f t="shared" si="494"/>
        <v>0.09</v>
      </c>
      <c r="I103" s="559">
        <f t="shared" si="495"/>
        <v>0</v>
      </c>
      <c r="J103" s="837">
        <f t="shared" si="496"/>
        <v>71</v>
      </c>
      <c r="K103" s="699" t="str">
        <f t="shared" si="497"/>
        <v>Lista</v>
      </c>
      <c r="L103" s="700">
        <f t="shared" si="498"/>
        <v>0.05</v>
      </c>
      <c r="M103" s="498" t="s">
        <v>785</v>
      </c>
      <c r="N103" s="434">
        <f>IFERROR(VLOOKUP(M103,BUELA,3,FALSE),"")</f>
        <v>0</v>
      </c>
      <c r="O103" s="141">
        <f t="shared" si="317"/>
        <v>0</v>
      </c>
      <c r="P103" s="113" t="e">
        <f t="shared" si="180"/>
        <v>#VALUE!</v>
      </c>
      <c r="Q103" s="116" t="str">
        <f t="shared" si="499"/>
        <v/>
      </c>
      <c r="R103" s="117">
        <f t="shared" si="500"/>
        <v>0</v>
      </c>
      <c r="S103" s="114">
        <f t="shared" si="181"/>
        <v>0</v>
      </c>
      <c r="T103" s="413" t="str">
        <f t="shared" si="182"/>
        <v/>
      </c>
      <c r="U103" s="123">
        <f t="shared" si="486"/>
        <v>0</v>
      </c>
      <c r="V103" s="332">
        <f t="shared" ref="V103:V105" si="545">(U103*1.7245)*1.05</f>
        <v>0</v>
      </c>
      <c r="W103" s="113" t="e">
        <f t="shared" si="19"/>
        <v>#VALUE!</v>
      </c>
      <c r="X103" s="116" t="str">
        <f t="shared" si="501"/>
        <v/>
      </c>
      <c r="Y103" s="117">
        <f t="shared" si="502"/>
        <v>0</v>
      </c>
      <c r="Z103" s="114">
        <f t="shared" si="184"/>
        <v>0</v>
      </c>
      <c r="AA103" s="413" t="str">
        <f t="shared" si="185"/>
        <v/>
      </c>
      <c r="AB103" s="125">
        <f t="shared" si="487"/>
        <v>0</v>
      </c>
      <c r="AC103" s="416">
        <f t="shared" si="318"/>
        <v>0</v>
      </c>
      <c r="AD103" s="113" t="e">
        <f t="shared" si="26"/>
        <v>#VALUE!</v>
      </c>
      <c r="AE103" s="116" t="str">
        <f t="shared" si="503"/>
        <v/>
      </c>
      <c r="AF103" s="117">
        <f t="shared" si="504"/>
        <v>16199.97</v>
      </c>
      <c r="AG103" s="114">
        <f t="shared" si="187"/>
        <v>16199.97</v>
      </c>
      <c r="AH103" s="413" t="str">
        <f t="shared" si="188"/>
        <v/>
      </c>
      <c r="AI103" s="846">
        <f t="shared" si="189"/>
        <v>0</v>
      </c>
      <c r="AJ103" s="840" t="str">
        <f t="shared" si="505"/>
        <v/>
      </c>
      <c r="AK103" s="116" t="e">
        <f t="shared" si="190"/>
        <v>#VALUE!</v>
      </c>
      <c r="AL103" s="116">
        <f t="shared" si="191"/>
        <v>0</v>
      </c>
      <c r="AM103" s="116">
        <f t="shared" si="192"/>
        <v>16199.97</v>
      </c>
      <c r="AN103" s="116" t="e">
        <f t="shared" si="36"/>
        <v>#VALUE!</v>
      </c>
      <c r="AO103" s="413" t="str">
        <f t="shared" si="300"/>
        <v/>
      </c>
      <c r="AP103" s="434">
        <f t="shared" si="527"/>
        <v>0</v>
      </c>
      <c r="AQ103" s="140" t="e">
        <f t="shared" si="39"/>
        <v>#VALUE!</v>
      </c>
      <c r="AR103" s="123" t="str">
        <f t="shared" si="506"/>
        <v/>
      </c>
      <c r="AS103" s="148">
        <f t="shared" si="507"/>
        <v>0</v>
      </c>
      <c r="AT103" s="123">
        <f t="shared" si="528"/>
        <v>0</v>
      </c>
      <c r="AU103" s="326" t="e">
        <f t="shared" si="42"/>
        <v>#VALUE!</v>
      </c>
      <c r="AV103" s="326" t="str">
        <f t="shared" si="508"/>
        <v/>
      </c>
      <c r="AW103" s="326">
        <f t="shared" si="509"/>
        <v>0</v>
      </c>
      <c r="AX103" s="332">
        <f t="shared" si="529"/>
        <v>0</v>
      </c>
      <c r="AY103" s="140" t="e">
        <f t="shared" si="45"/>
        <v>#VALUE!</v>
      </c>
      <c r="AZ103" s="326" t="str">
        <f t="shared" si="510"/>
        <v/>
      </c>
      <c r="BA103" s="332">
        <f t="shared" si="511"/>
        <v>0</v>
      </c>
      <c r="BB103" s="122" t="e">
        <f t="shared" ref="BB103:BD103" si="546">SUM(AY103,AU103,AQ103)</f>
        <v>#VALUE!</v>
      </c>
      <c r="BC103" s="326">
        <f t="shared" si="546"/>
        <v>0</v>
      </c>
      <c r="BD103" s="332">
        <f t="shared" si="546"/>
        <v>0</v>
      </c>
      <c r="BE103" s="140" t="e">
        <f t="shared" ref="BE103:BF103" si="547">SUM(BB103,AK103)</f>
        <v>#VALUE!</v>
      </c>
      <c r="BF103" s="326">
        <f t="shared" si="547"/>
        <v>0</v>
      </c>
      <c r="BG103" s="435">
        <f t="shared" si="50"/>
        <v>16199.97</v>
      </c>
      <c r="BH103" s="423">
        <f t="shared" si="532"/>
        <v>0</v>
      </c>
      <c r="BI103" s="123" t="e">
        <f t="shared" si="51"/>
        <v>#VALUE!</v>
      </c>
      <c r="BJ103" s="123" t="str">
        <f t="shared" si="514"/>
        <v/>
      </c>
      <c r="BK103" s="148">
        <f t="shared" si="515"/>
        <v>0</v>
      </c>
      <c r="BL103" s="423">
        <f t="shared" si="543"/>
        <v>30486.55</v>
      </c>
      <c r="BM103" s="123" t="e">
        <f t="shared" si="54"/>
        <v>#VALUE!</v>
      </c>
      <c r="BN103" s="123" t="str">
        <f t="shared" si="516"/>
        <v/>
      </c>
      <c r="BO103" s="123">
        <f t="shared" si="517"/>
        <v>0</v>
      </c>
      <c r="BP103" s="436">
        <f t="shared" si="533"/>
        <v>0</v>
      </c>
      <c r="BQ103" s="140" t="e">
        <f t="shared" si="57"/>
        <v>#VALUE!</v>
      </c>
      <c r="BR103" s="325" t="str">
        <f t="shared" si="518"/>
        <v/>
      </c>
      <c r="BS103" s="333">
        <f t="shared" si="519"/>
        <v>0</v>
      </c>
      <c r="BT103" s="140" t="e">
        <f t="shared" ref="BT103:BV103" si="548">SUM(BQ103,BM103,BI103)</f>
        <v>#VALUE!</v>
      </c>
      <c r="BU103" s="326">
        <f t="shared" si="548"/>
        <v>0</v>
      </c>
      <c r="BV103" s="333">
        <f t="shared" si="548"/>
        <v>0</v>
      </c>
      <c r="BW103" s="125">
        <f t="shared" si="535"/>
        <v>0</v>
      </c>
      <c r="BX103" s="140" t="e">
        <f t="shared" si="61"/>
        <v>#VALUE!</v>
      </c>
      <c r="BY103" s="123" t="str">
        <f t="shared" si="521"/>
        <v/>
      </c>
      <c r="BZ103" s="148">
        <f t="shared" si="522"/>
        <v>0</v>
      </c>
      <c r="CA103" s="123">
        <f t="shared" si="536"/>
        <v>0</v>
      </c>
      <c r="CB103" s="326">
        <f t="shared" si="537"/>
        <v>0</v>
      </c>
      <c r="CI103" s="294"/>
      <c r="CJ103" s="294"/>
    </row>
    <row r="104" spans="1:88" ht="13">
      <c r="A104" s="436">
        <f t="shared" si="491"/>
        <v>112014579</v>
      </c>
      <c r="B104" s="172">
        <f t="shared" si="482"/>
        <v>1</v>
      </c>
      <c r="C104" s="558" t="str">
        <f t="shared" si="483"/>
        <v>Lista</v>
      </c>
      <c r="D104" s="558">
        <f t="shared" si="484"/>
        <v>0.09</v>
      </c>
      <c r="E104" s="559">
        <f t="shared" si="485"/>
        <v>0</v>
      </c>
      <c r="F104" s="836">
        <f t="shared" si="492"/>
        <v>1</v>
      </c>
      <c r="G104" s="558" t="str">
        <f t="shared" si="493"/>
        <v>Lista</v>
      </c>
      <c r="H104" s="558">
        <f t="shared" si="494"/>
        <v>0.09</v>
      </c>
      <c r="I104" s="559">
        <f t="shared" si="495"/>
        <v>0</v>
      </c>
      <c r="J104" s="837">
        <f t="shared" si="496"/>
        <v>71</v>
      </c>
      <c r="K104" s="699" t="str">
        <f t="shared" si="497"/>
        <v>Lista</v>
      </c>
      <c r="L104" s="700">
        <f t="shared" si="498"/>
        <v>0.05</v>
      </c>
      <c r="M104" s="498" t="s">
        <v>786</v>
      </c>
      <c r="N104" s="434">
        <f>IFERROR(VLOOKUP(M104,BUELA,3,FALSE),"")</f>
        <v>0</v>
      </c>
      <c r="O104" s="141">
        <f t="shared" si="317"/>
        <v>0</v>
      </c>
      <c r="P104" s="113" t="e">
        <f t="shared" si="180"/>
        <v>#VALUE!</v>
      </c>
      <c r="Q104" s="116" t="str">
        <f t="shared" si="499"/>
        <v/>
      </c>
      <c r="R104" s="117">
        <f t="shared" si="500"/>
        <v>0</v>
      </c>
      <c r="S104" s="114">
        <f t="shared" si="181"/>
        <v>0</v>
      </c>
      <c r="T104" s="413" t="str">
        <f t="shared" si="182"/>
        <v/>
      </c>
      <c r="U104" s="123">
        <f t="shared" si="486"/>
        <v>0</v>
      </c>
      <c r="V104" s="332">
        <f t="shared" si="545"/>
        <v>0</v>
      </c>
      <c r="W104" s="113" t="e">
        <f t="shared" si="19"/>
        <v>#VALUE!</v>
      </c>
      <c r="X104" s="116" t="str">
        <f t="shared" si="501"/>
        <v/>
      </c>
      <c r="Y104" s="117">
        <f t="shared" si="502"/>
        <v>0</v>
      </c>
      <c r="Z104" s="114">
        <f t="shared" si="184"/>
        <v>0</v>
      </c>
      <c r="AA104" s="413" t="str">
        <f t="shared" si="185"/>
        <v/>
      </c>
      <c r="AB104" s="125">
        <f t="shared" si="487"/>
        <v>0</v>
      </c>
      <c r="AC104" s="416">
        <f t="shared" si="318"/>
        <v>0</v>
      </c>
      <c r="AD104" s="113" t="e">
        <f t="shared" si="26"/>
        <v>#VALUE!</v>
      </c>
      <c r="AE104" s="116" t="str">
        <f t="shared" si="503"/>
        <v/>
      </c>
      <c r="AF104" s="117">
        <f t="shared" si="504"/>
        <v>0</v>
      </c>
      <c r="AG104" s="114">
        <f t="shared" si="187"/>
        <v>0</v>
      </c>
      <c r="AH104" s="413" t="str">
        <f t="shared" si="188"/>
        <v/>
      </c>
      <c r="AI104" s="846">
        <f t="shared" si="189"/>
        <v>0</v>
      </c>
      <c r="AJ104" s="840">
        <f t="shared" si="505"/>
        <v>58712.1</v>
      </c>
      <c r="AK104" s="116" t="e">
        <f t="shared" si="190"/>
        <v>#VALUE!</v>
      </c>
      <c r="AL104" s="116">
        <f t="shared" si="191"/>
        <v>0</v>
      </c>
      <c r="AM104" s="116">
        <f t="shared" si="192"/>
        <v>0</v>
      </c>
      <c r="AN104" s="116">
        <f t="shared" si="36"/>
        <v>-58712.1</v>
      </c>
      <c r="AO104" s="413">
        <f t="shared" si="300"/>
        <v>0</v>
      </c>
      <c r="AP104" s="434">
        <f t="shared" si="527"/>
        <v>0</v>
      </c>
      <c r="AQ104" s="140" t="e">
        <f t="shared" si="39"/>
        <v>#VALUE!</v>
      </c>
      <c r="AR104" s="123" t="str">
        <f t="shared" si="506"/>
        <v/>
      </c>
      <c r="AS104" s="148">
        <f t="shared" si="507"/>
        <v>0</v>
      </c>
      <c r="AT104" s="123">
        <f t="shared" si="528"/>
        <v>0</v>
      </c>
      <c r="AU104" s="326" t="e">
        <f t="shared" si="42"/>
        <v>#VALUE!</v>
      </c>
      <c r="AV104" s="326" t="str">
        <f t="shared" si="508"/>
        <v/>
      </c>
      <c r="AW104" s="326">
        <f t="shared" si="509"/>
        <v>0</v>
      </c>
      <c r="AX104" s="332">
        <f t="shared" si="529"/>
        <v>0</v>
      </c>
      <c r="AY104" s="140" t="e">
        <f t="shared" si="45"/>
        <v>#VALUE!</v>
      </c>
      <c r="AZ104" s="326" t="str">
        <f t="shared" si="510"/>
        <v/>
      </c>
      <c r="BA104" s="332">
        <f t="shared" si="511"/>
        <v>0</v>
      </c>
      <c r="BB104" s="122" t="e">
        <f t="shared" ref="BB104:BD104" si="549">SUM(AY104,AU104,AQ104)</f>
        <v>#VALUE!</v>
      </c>
      <c r="BC104" s="326">
        <f t="shared" si="549"/>
        <v>0</v>
      </c>
      <c r="BD104" s="332">
        <f t="shared" si="549"/>
        <v>0</v>
      </c>
      <c r="BE104" s="140" t="e">
        <f t="shared" ref="BE104:BF104" si="550">SUM(BB104,AK104)</f>
        <v>#VALUE!</v>
      </c>
      <c r="BF104" s="326">
        <f t="shared" si="550"/>
        <v>0</v>
      </c>
      <c r="BG104" s="435">
        <f t="shared" si="50"/>
        <v>0</v>
      </c>
      <c r="BH104" s="423">
        <f t="shared" si="532"/>
        <v>0</v>
      </c>
      <c r="BI104" s="123" t="e">
        <f t="shared" si="51"/>
        <v>#VALUE!</v>
      </c>
      <c r="BJ104" s="123" t="str">
        <f t="shared" si="514"/>
        <v/>
      </c>
      <c r="BK104" s="148">
        <f t="shared" si="515"/>
        <v>0</v>
      </c>
      <c r="BL104" s="423">
        <f t="shared" si="543"/>
        <v>0</v>
      </c>
      <c r="BM104" s="123" t="e">
        <f t="shared" si="54"/>
        <v>#VALUE!</v>
      </c>
      <c r="BN104" s="123" t="str">
        <f t="shared" si="516"/>
        <v/>
      </c>
      <c r="BO104" s="123">
        <f t="shared" si="517"/>
        <v>0</v>
      </c>
      <c r="BP104" s="436">
        <f t="shared" si="533"/>
        <v>0</v>
      </c>
      <c r="BQ104" s="140" t="e">
        <f t="shared" si="57"/>
        <v>#VALUE!</v>
      </c>
      <c r="BR104" s="325" t="str">
        <f t="shared" si="518"/>
        <v/>
      </c>
      <c r="BS104" s="333">
        <f t="shared" si="519"/>
        <v>0</v>
      </c>
      <c r="BT104" s="140" t="e">
        <f t="shared" ref="BT104:BV104" si="551">SUM(BQ104,BM104,BI104)</f>
        <v>#VALUE!</v>
      </c>
      <c r="BU104" s="326">
        <f t="shared" si="551"/>
        <v>0</v>
      </c>
      <c r="BV104" s="333">
        <f t="shared" si="551"/>
        <v>0</v>
      </c>
      <c r="BW104" s="125">
        <f t="shared" si="535"/>
        <v>13548.95</v>
      </c>
      <c r="BX104" s="140" t="e">
        <f t="shared" si="61"/>
        <v>#VALUE!</v>
      </c>
      <c r="BY104" s="123" t="str">
        <f t="shared" si="521"/>
        <v/>
      </c>
      <c r="BZ104" s="148">
        <f t="shared" si="522"/>
        <v>68557.679999999993</v>
      </c>
      <c r="CA104" s="123">
        <f t="shared" si="536"/>
        <v>45163.15</v>
      </c>
      <c r="CB104" s="326">
        <f t="shared" si="537"/>
        <v>0</v>
      </c>
      <c r="CI104" s="294"/>
      <c r="CJ104" s="294"/>
    </row>
    <row r="105" spans="1:88" ht="13">
      <c r="A105" s="436">
        <f t="shared" si="491"/>
        <v>112013054</v>
      </c>
      <c r="B105" s="172">
        <f t="shared" si="482"/>
        <v>1</v>
      </c>
      <c r="C105" s="558" t="str">
        <f t="shared" si="483"/>
        <v>Lista</v>
      </c>
      <c r="D105" s="558">
        <f t="shared" si="484"/>
        <v>0.09</v>
      </c>
      <c r="E105" s="559">
        <f t="shared" si="485"/>
        <v>0</v>
      </c>
      <c r="F105" s="836">
        <f t="shared" si="492"/>
        <v>1</v>
      </c>
      <c r="G105" s="558" t="str">
        <f t="shared" si="493"/>
        <v>Lista</v>
      </c>
      <c r="H105" s="558">
        <f t="shared" si="494"/>
        <v>0.09</v>
      </c>
      <c r="I105" s="559">
        <f t="shared" si="495"/>
        <v>0</v>
      </c>
      <c r="J105" s="837">
        <f t="shared" si="496"/>
        <v>71</v>
      </c>
      <c r="K105" s="699" t="str">
        <f t="shared" si="497"/>
        <v>Lista</v>
      </c>
      <c r="L105" s="700">
        <f t="shared" si="498"/>
        <v>0.05</v>
      </c>
      <c r="M105" s="498" t="s">
        <v>787</v>
      </c>
      <c r="N105" s="434" t="str">
        <f>IFERROR(VLOOKUP(M105,BUELA,3,FALSE),"")</f>
        <v/>
      </c>
      <c r="O105" s="141" t="e">
        <f t="shared" si="317"/>
        <v>#VALUE!</v>
      </c>
      <c r="P105" s="113" t="e">
        <f t="shared" si="180"/>
        <v>#VALUE!</v>
      </c>
      <c r="Q105" s="116" t="str">
        <f t="shared" si="499"/>
        <v/>
      </c>
      <c r="R105" s="117" t="str">
        <f t="shared" si="500"/>
        <v/>
      </c>
      <c r="S105" s="114" t="e">
        <f t="shared" si="181"/>
        <v>#VALUE!</v>
      </c>
      <c r="T105" s="413" t="str">
        <f t="shared" si="182"/>
        <v/>
      </c>
      <c r="U105" s="123" t="str">
        <f t="shared" si="486"/>
        <v/>
      </c>
      <c r="V105" s="332" t="e">
        <f t="shared" si="545"/>
        <v>#VALUE!</v>
      </c>
      <c r="W105" s="113" t="e">
        <f t="shared" si="19"/>
        <v>#VALUE!</v>
      </c>
      <c r="X105" s="116" t="str">
        <f t="shared" si="501"/>
        <v/>
      </c>
      <c r="Y105" s="117" t="str">
        <f t="shared" si="502"/>
        <v/>
      </c>
      <c r="Z105" s="114" t="e">
        <f t="shared" si="184"/>
        <v>#VALUE!</v>
      </c>
      <c r="AA105" s="413" t="str">
        <f t="shared" si="185"/>
        <v/>
      </c>
      <c r="AB105" s="125" t="str">
        <f t="shared" si="487"/>
        <v/>
      </c>
      <c r="AC105" s="416" t="e">
        <f t="shared" si="318"/>
        <v>#VALUE!</v>
      </c>
      <c r="AD105" s="113" t="e">
        <f t="shared" si="26"/>
        <v>#VALUE!</v>
      </c>
      <c r="AE105" s="116" t="str">
        <f t="shared" si="503"/>
        <v/>
      </c>
      <c r="AF105" s="117" t="str">
        <f t="shared" si="504"/>
        <v/>
      </c>
      <c r="AG105" s="114" t="e">
        <f t="shared" si="187"/>
        <v>#VALUE!</v>
      </c>
      <c r="AH105" s="413" t="str">
        <f t="shared" si="188"/>
        <v/>
      </c>
      <c r="AI105" s="846" t="e">
        <f t="shared" si="189"/>
        <v>#VALUE!</v>
      </c>
      <c r="AJ105" s="840" t="str">
        <f t="shared" si="505"/>
        <v/>
      </c>
      <c r="AK105" s="116" t="e">
        <f t="shared" si="190"/>
        <v>#VALUE!</v>
      </c>
      <c r="AL105" s="116">
        <f t="shared" si="191"/>
        <v>0</v>
      </c>
      <c r="AM105" s="116">
        <f t="shared" si="192"/>
        <v>0</v>
      </c>
      <c r="AN105" s="116" t="e">
        <f t="shared" si="36"/>
        <v>#VALUE!</v>
      </c>
      <c r="AO105" s="413" t="str">
        <f t="shared" si="300"/>
        <v/>
      </c>
      <c r="AP105" s="434" t="str">
        <f t="shared" si="527"/>
        <v/>
      </c>
      <c r="AQ105" s="140" t="e">
        <f t="shared" si="39"/>
        <v>#VALUE!</v>
      </c>
      <c r="AR105" s="123" t="str">
        <f t="shared" si="506"/>
        <v/>
      </c>
      <c r="AS105" s="148" t="str">
        <f t="shared" si="507"/>
        <v/>
      </c>
      <c r="AT105" s="123" t="str">
        <f t="shared" si="528"/>
        <v/>
      </c>
      <c r="AU105" s="326" t="e">
        <f t="shared" si="42"/>
        <v>#VALUE!</v>
      </c>
      <c r="AV105" s="326" t="str">
        <f t="shared" si="508"/>
        <v/>
      </c>
      <c r="AW105" s="326" t="str">
        <f t="shared" si="509"/>
        <v/>
      </c>
      <c r="AX105" s="332" t="str">
        <f t="shared" si="529"/>
        <v/>
      </c>
      <c r="AY105" s="140" t="e">
        <f t="shared" si="45"/>
        <v>#VALUE!</v>
      </c>
      <c r="AZ105" s="326" t="str">
        <f t="shared" si="510"/>
        <v/>
      </c>
      <c r="BA105" s="332" t="str">
        <f t="shared" si="511"/>
        <v/>
      </c>
      <c r="BB105" s="122" t="e">
        <f t="shared" ref="BB105:BD105" si="552">SUM(AY105,AU105,AQ105)</f>
        <v>#VALUE!</v>
      </c>
      <c r="BC105" s="326">
        <f t="shared" si="552"/>
        <v>0</v>
      </c>
      <c r="BD105" s="332">
        <f t="shared" si="552"/>
        <v>0</v>
      </c>
      <c r="BE105" s="140" t="e">
        <f t="shared" ref="BE105:BF105" si="553">SUM(BB105,AK105)</f>
        <v>#VALUE!</v>
      </c>
      <c r="BF105" s="326">
        <f t="shared" si="553"/>
        <v>0</v>
      </c>
      <c r="BG105" s="435">
        <f t="shared" si="50"/>
        <v>0</v>
      </c>
      <c r="BH105" s="423" t="str">
        <f t="shared" si="532"/>
        <v/>
      </c>
      <c r="BI105" s="123" t="e">
        <f t="shared" si="51"/>
        <v>#VALUE!</v>
      </c>
      <c r="BJ105" s="123" t="str">
        <f t="shared" si="514"/>
        <v/>
      </c>
      <c r="BK105" s="148" t="str">
        <f t="shared" si="515"/>
        <v/>
      </c>
      <c r="BL105" s="423" t="str">
        <f t="shared" si="543"/>
        <v/>
      </c>
      <c r="BM105" s="123" t="e">
        <f t="shared" si="54"/>
        <v>#VALUE!</v>
      </c>
      <c r="BN105" s="123" t="str">
        <f t="shared" si="516"/>
        <v/>
      </c>
      <c r="BO105" s="123" t="str">
        <f t="shared" si="517"/>
        <v/>
      </c>
      <c r="BP105" s="436" t="str">
        <f t="shared" si="533"/>
        <v/>
      </c>
      <c r="BQ105" s="140" t="e">
        <f t="shared" si="57"/>
        <v>#VALUE!</v>
      </c>
      <c r="BR105" s="325" t="str">
        <f t="shared" si="518"/>
        <v/>
      </c>
      <c r="BS105" s="333" t="str">
        <f t="shared" si="519"/>
        <v/>
      </c>
      <c r="BT105" s="140" t="e">
        <f t="shared" ref="BT105:BV105" si="554">SUM(BQ105,BM105,BI105)</f>
        <v>#VALUE!</v>
      </c>
      <c r="BU105" s="326">
        <f t="shared" si="554"/>
        <v>0</v>
      </c>
      <c r="BV105" s="333">
        <f t="shared" si="554"/>
        <v>0</v>
      </c>
      <c r="BW105" s="125" t="str">
        <f t="shared" si="535"/>
        <v/>
      </c>
      <c r="BX105" s="140" t="e">
        <f t="shared" si="61"/>
        <v>#VALUE!</v>
      </c>
      <c r="BY105" s="123" t="str">
        <f t="shared" si="521"/>
        <v/>
      </c>
      <c r="BZ105" s="148" t="str">
        <f t="shared" si="522"/>
        <v/>
      </c>
      <c r="CA105" s="123" t="str">
        <f t="shared" si="536"/>
        <v/>
      </c>
      <c r="CB105" s="326" t="str">
        <f t="shared" si="537"/>
        <v/>
      </c>
      <c r="CI105" s="294"/>
      <c r="CJ105" s="294"/>
    </row>
    <row r="106" spans="1:88" ht="13">
      <c r="A106" s="436">
        <f t="shared" si="491"/>
        <v>112012050</v>
      </c>
      <c r="B106" s="172">
        <f t="shared" si="482"/>
        <v>1</v>
      </c>
      <c r="C106" s="558" t="str">
        <f t="shared" si="483"/>
        <v>Lista</v>
      </c>
      <c r="D106" s="558">
        <f t="shared" si="484"/>
        <v>0.09</v>
      </c>
      <c r="E106" s="559">
        <f t="shared" si="485"/>
        <v>0</v>
      </c>
      <c r="F106" s="836">
        <f t="shared" si="492"/>
        <v>1</v>
      </c>
      <c r="G106" s="558" t="str">
        <f t="shared" si="493"/>
        <v>Lista</v>
      </c>
      <c r="H106" s="558">
        <f t="shared" si="494"/>
        <v>0.09</v>
      </c>
      <c r="I106" s="559">
        <f t="shared" si="495"/>
        <v>0</v>
      </c>
      <c r="J106" s="837">
        <f t="shared" si="496"/>
        <v>71</v>
      </c>
      <c r="K106" s="699" t="str">
        <f t="shared" si="497"/>
        <v>Lista</v>
      </c>
      <c r="L106" s="700">
        <f t="shared" si="498"/>
        <v>0.05</v>
      </c>
      <c r="M106" s="859" t="s">
        <v>788</v>
      </c>
      <c r="N106" s="434"/>
      <c r="O106" s="141">
        <f t="shared" si="317"/>
        <v>0</v>
      </c>
      <c r="P106" s="113">
        <f t="shared" si="180"/>
        <v>307965.5</v>
      </c>
      <c r="Q106" s="116">
        <f t="shared" si="499"/>
        <v>0</v>
      </c>
      <c r="R106" s="117">
        <f t="shared" si="500"/>
        <v>307965.5</v>
      </c>
      <c r="S106" s="114">
        <f t="shared" si="181"/>
        <v>307965.5</v>
      </c>
      <c r="T106" s="413" t="str">
        <f t="shared" si="182"/>
        <v/>
      </c>
      <c r="U106" s="123">
        <f t="shared" si="486"/>
        <v>148470.91</v>
      </c>
      <c r="V106" s="332"/>
      <c r="W106" s="113">
        <f t="shared" si="19"/>
        <v>38832.29</v>
      </c>
      <c r="X106" s="116">
        <f t="shared" si="501"/>
        <v>0</v>
      </c>
      <c r="Y106" s="117">
        <f t="shared" si="502"/>
        <v>38832.29</v>
      </c>
      <c r="Z106" s="114">
        <f t="shared" si="184"/>
        <v>38832.29</v>
      </c>
      <c r="AA106" s="413" t="str">
        <f t="shared" si="185"/>
        <v/>
      </c>
      <c r="AB106" s="125">
        <f t="shared" si="487"/>
        <v>372304.05</v>
      </c>
      <c r="AC106" s="416">
        <f t="shared" si="318"/>
        <v>611831.44512825005</v>
      </c>
      <c r="AD106" s="113">
        <f t="shared" si="26"/>
        <v>368211.58</v>
      </c>
      <c r="AE106" s="116">
        <f t="shared" si="503"/>
        <v>0</v>
      </c>
      <c r="AF106" s="117">
        <f t="shared" si="504"/>
        <v>368211.58</v>
      </c>
      <c r="AG106" s="114">
        <f t="shared" si="187"/>
        <v>-243619.86512825004</v>
      </c>
      <c r="AH106" s="413">
        <f t="shared" si="188"/>
        <v>0.60181865925968669</v>
      </c>
      <c r="AI106" s="846">
        <f t="shared" si="189"/>
        <v>611831.44512825005</v>
      </c>
      <c r="AJ106" s="840">
        <f t="shared" si="505"/>
        <v>2284160.09</v>
      </c>
      <c r="AK106" s="116">
        <f t="shared" si="190"/>
        <v>715009.37</v>
      </c>
      <c r="AL106" s="116">
        <f t="shared" si="191"/>
        <v>0</v>
      </c>
      <c r="AM106" s="116">
        <f t="shared" si="192"/>
        <v>715009.37</v>
      </c>
      <c r="AN106" s="116">
        <f t="shared" si="36"/>
        <v>-1569150.7199999997</v>
      </c>
      <c r="AO106" s="413">
        <f t="shared" si="300"/>
        <v>0.31302944707347552</v>
      </c>
      <c r="AP106" s="434">
        <f t="shared" si="527"/>
        <v>296098.89</v>
      </c>
      <c r="AQ106" s="140">
        <f t="shared" si="39"/>
        <v>409236.88</v>
      </c>
      <c r="AR106" s="123">
        <f t="shared" si="506"/>
        <v>0</v>
      </c>
      <c r="AS106" s="148">
        <f t="shared" si="507"/>
        <v>409236.88</v>
      </c>
      <c r="AT106" s="123">
        <f t="shared" si="528"/>
        <v>581831.39</v>
      </c>
      <c r="AU106" s="326">
        <f t="shared" si="42"/>
        <v>278900</v>
      </c>
      <c r="AV106" s="326">
        <f t="shared" si="508"/>
        <v>0</v>
      </c>
      <c r="AW106" s="326">
        <f t="shared" si="509"/>
        <v>278900</v>
      </c>
      <c r="AX106" s="332">
        <f t="shared" si="529"/>
        <v>364510.35</v>
      </c>
      <c r="AY106" s="140">
        <f t="shared" si="45"/>
        <v>108990.52999999998</v>
      </c>
      <c r="AZ106" s="326">
        <f t="shared" si="510"/>
        <v>26544.99</v>
      </c>
      <c r="BA106" s="332">
        <f t="shared" si="511"/>
        <v>135535.51999999999</v>
      </c>
      <c r="BB106" s="122">
        <f t="shared" ref="BB106:BD106" si="555">SUM(AY106,AU106,AQ106)</f>
        <v>797127.40999999992</v>
      </c>
      <c r="BC106" s="326">
        <f t="shared" si="555"/>
        <v>26544.99</v>
      </c>
      <c r="BD106" s="332">
        <f t="shared" si="555"/>
        <v>823672.4</v>
      </c>
      <c r="BE106" s="140">
        <f t="shared" ref="BE106:BF106" si="556">SUM(BB106,AK106)</f>
        <v>1512136.7799999998</v>
      </c>
      <c r="BF106" s="326">
        <f t="shared" si="556"/>
        <v>26544.99</v>
      </c>
      <c r="BG106" s="435">
        <f t="shared" si="50"/>
        <v>1538681.77</v>
      </c>
      <c r="BH106" s="423">
        <f t="shared" si="532"/>
        <v>335668.85</v>
      </c>
      <c r="BI106" s="123">
        <f t="shared" si="51"/>
        <v>751889.33</v>
      </c>
      <c r="BJ106" s="123">
        <f t="shared" si="514"/>
        <v>0</v>
      </c>
      <c r="BK106" s="148">
        <f t="shared" si="515"/>
        <v>751889.33</v>
      </c>
      <c r="BL106" s="423">
        <f t="shared" si="543"/>
        <v>445219.77</v>
      </c>
      <c r="BM106" s="123">
        <f t="shared" si="54"/>
        <v>410051.51</v>
      </c>
      <c r="BN106" s="123">
        <f t="shared" si="516"/>
        <v>0</v>
      </c>
      <c r="BO106" s="123">
        <f t="shared" si="517"/>
        <v>410051.51</v>
      </c>
      <c r="BP106" s="436">
        <f t="shared" si="533"/>
        <v>699856.43</v>
      </c>
      <c r="BQ106" s="140">
        <f t="shared" si="57"/>
        <v>1730880.79</v>
      </c>
      <c r="BR106" s="325">
        <f t="shared" si="518"/>
        <v>0</v>
      </c>
      <c r="BS106" s="333">
        <f t="shared" si="519"/>
        <v>1730880.79</v>
      </c>
      <c r="BT106" s="140">
        <f t="shared" ref="BT106:BV106" si="557">SUM(BQ106,BM106,BI106)</f>
        <v>2892821.63</v>
      </c>
      <c r="BU106" s="326">
        <f t="shared" si="557"/>
        <v>0</v>
      </c>
      <c r="BV106" s="333">
        <f t="shared" si="557"/>
        <v>2892821.63</v>
      </c>
      <c r="BW106" s="125">
        <f t="shared" si="535"/>
        <v>872032.11</v>
      </c>
      <c r="BX106" s="140">
        <f t="shared" si="61"/>
        <v>983081.54</v>
      </c>
      <c r="BY106" s="123">
        <f t="shared" si="521"/>
        <v>0</v>
      </c>
      <c r="BZ106" s="148">
        <f t="shared" si="522"/>
        <v>983081.54</v>
      </c>
      <c r="CA106" s="123">
        <f t="shared" si="536"/>
        <v>833612.77</v>
      </c>
      <c r="CB106" s="326">
        <f t="shared" si="537"/>
        <v>578515.21</v>
      </c>
      <c r="CI106" s="294"/>
      <c r="CJ106" s="294"/>
    </row>
    <row r="107" spans="1:88" ht="13">
      <c r="A107" s="436">
        <f t="shared" si="491"/>
        <v>112012840</v>
      </c>
      <c r="B107" s="172">
        <f t="shared" si="482"/>
        <v>1</v>
      </c>
      <c r="C107" s="558" t="str">
        <f t="shared" si="483"/>
        <v>Lista</v>
      </c>
      <c r="D107" s="558">
        <f t="shared" si="484"/>
        <v>0.09</v>
      </c>
      <c r="E107" s="559">
        <f t="shared" si="485"/>
        <v>0</v>
      </c>
      <c r="F107" s="836">
        <f t="shared" si="492"/>
        <v>1</v>
      </c>
      <c r="G107" s="558" t="str">
        <f t="shared" si="493"/>
        <v>Lista</v>
      </c>
      <c r="H107" s="558">
        <f t="shared" si="494"/>
        <v>0.09</v>
      </c>
      <c r="I107" s="559">
        <f t="shared" si="495"/>
        <v>0</v>
      </c>
      <c r="J107" s="837">
        <f t="shared" si="496"/>
        <v>71</v>
      </c>
      <c r="K107" s="699" t="str">
        <f t="shared" si="497"/>
        <v>Lista</v>
      </c>
      <c r="L107" s="700">
        <f t="shared" si="498"/>
        <v>0.05</v>
      </c>
      <c r="M107" s="498" t="s">
        <v>789</v>
      </c>
      <c r="N107" s="434">
        <f>IFERROR(VLOOKUP(M107,BUELA,3,FALSE),"")</f>
        <v>0</v>
      </c>
      <c r="O107" s="141">
        <f t="shared" si="317"/>
        <v>0</v>
      </c>
      <c r="P107" s="113" t="e">
        <f t="shared" si="180"/>
        <v>#VALUE!</v>
      </c>
      <c r="Q107" s="116" t="str">
        <f t="shared" si="499"/>
        <v/>
      </c>
      <c r="R107" s="117">
        <f t="shared" si="500"/>
        <v>0</v>
      </c>
      <c r="S107" s="114">
        <f t="shared" si="181"/>
        <v>0</v>
      </c>
      <c r="T107" s="413" t="str">
        <f t="shared" si="182"/>
        <v/>
      </c>
      <c r="U107" s="123">
        <f t="shared" si="486"/>
        <v>0</v>
      </c>
      <c r="V107" s="332">
        <f>(U107*1.7245)*1.05</f>
        <v>0</v>
      </c>
      <c r="W107" s="113" t="e">
        <f t="shared" si="19"/>
        <v>#VALUE!</v>
      </c>
      <c r="X107" s="116" t="str">
        <f t="shared" si="501"/>
        <v/>
      </c>
      <c r="Y107" s="117">
        <f t="shared" si="502"/>
        <v>0</v>
      </c>
      <c r="Z107" s="114">
        <f t="shared" si="184"/>
        <v>0</v>
      </c>
      <c r="AA107" s="413" t="str">
        <f t="shared" si="185"/>
        <v/>
      </c>
      <c r="AB107" s="125">
        <f t="shared" si="487"/>
        <v>0</v>
      </c>
      <c r="AC107" s="416">
        <f t="shared" si="318"/>
        <v>0</v>
      </c>
      <c r="AD107" s="113" t="e">
        <f t="shared" si="26"/>
        <v>#VALUE!</v>
      </c>
      <c r="AE107" s="116" t="str">
        <f t="shared" si="503"/>
        <v/>
      </c>
      <c r="AF107" s="117">
        <f t="shared" si="504"/>
        <v>0</v>
      </c>
      <c r="AG107" s="114">
        <f t="shared" si="187"/>
        <v>0</v>
      </c>
      <c r="AH107" s="413" t="str">
        <f t="shared" si="188"/>
        <v/>
      </c>
      <c r="AI107" s="846">
        <f t="shared" si="189"/>
        <v>0</v>
      </c>
      <c r="AJ107" s="840">
        <f t="shared" si="505"/>
        <v>72825</v>
      </c>
      <c r="AK107" s="116" t="e">
        <f t="shared" si="190"/>
        <v>#VALUE!</v>
      </c>
      <c r="AL107" s="116">
        <f t="shared" si="191"/>
        <v>0</v>
      </c>
      <c r="AM107" s="116">
        <f t="shared" si="192"/>
        <v>0</v>
      </c>
      <c r="AN107" s="116">
        <f t="shared" si="36"/>
        <v>-72825</v>
      </c>
      <c r="AO107" s="413">
        <f t="shared" si="300"/>
        <v>0</v>
      </c>
      <c r="AP107" s="434">
        <f t="shared" si="527"/>
        <v>0</v>
      </c>
      <c r="AQ107" s="140" t="e">
        <f t="shared" si="39"/>
        <v>#VALUE!</v>
      </c>
      <c r="AR107" s="123" t="str">
        <f t="shared" si="506"/>
        <v/>
      </c>
      <c r="AS107" s="148">
        <f t="shared" si="507"/>
        <v>87390</v>
      </c>
      <c r="AT107" s="123">
        <f t="shared" si="528"/>
        <v>0</v>
      </c>
      <c r="AU107" s="326" t="e">
        <f t="shared" si="42"/>
        <v>#VALUE!</v>
      </c>
      <c r="AV107" s="326" t="str">
        <f t="shared" si="508"/>
        <v/>
      </c>
      <c r="AW107" s="326">
        <f t="shared" si="509"/>
        <v>0</v>
      </c>
      <c r="AX107" s="332">
        <f t="shared" si="529"/>
        <v>0</v>
      </c>
      <c r="AY107" s="140" t="e">
        <f t="shared" si="45"/>
        <v>#VALUE!</v>
      </c>
      <c r="AZ107" s="326" t="str">
        <f t="shared" si="510"/>
        <v/>
      </c>
      <c r="BA107" s="332">
        <f t="shared" si="511"/>
        <v>0</v>
      </c>
      <c r="BB107" s="122" t="e">
        <f t="shared" ref="BB107:BD107" si="558">SUM(AY107,AU107,AQ107)</f>
        <v>#VALUE!</v>
      </c>
      <c r="BC107" s="326">
        <f t="shared" si="558"/>
        <v>0</v>
      </c>
      <c r="BD107" s="332">
        <f t="shared" si="558"/>
        <v>87390</v>
      </c>
      <c r="BE107" s="140" t="e">
        <f t="shared" ref="BE107:BF107" si="559">SUM(BB107,AK107)</f>
        <v>#VALUE!</v>
      </c>
      <c r="BF107" s="326">
        <f t="shared" si="559"/>
        <v>0</v>
      </c>
      <c r="BG107" s="435">
        <f t="shared" si="50"/>
        <v>87390</v>
      </c>
      <c r="BH107" s="423">
        <f t="shared" si="532"/>
        <v>0</v>
      </c>
      <c r="BI107" s="123" t="e">
        <f t="shared" si="51"/>
        <v>#VALUE!</v>
      </c>
      <c r="BJ107" s="123" t="str">
        <f t="shared" si="514"/>
        <v/>
      </c>
      <c r="BK107" s="148">
        <f t="shared" si="515"/>
        <v>0</v>
      </c>
      <c r="BL107" s="423">
        <f t="shared" si="543"/>
        <v>0</v>
      </c>
      <c r="BM107" s="123" t="e">
        <f t="shared" si="54"/>
        <v>#VALUE!</v>
      </c>
      <c r="BN107" s="123" t="str">
        <f t="shared" si="516"/>
        <v/>
      </c>
      <c r="BO107" s="123">
        <f t="shared" si="517"/>
        <v>192260</v>
      </c>
      <c r="BP107" s="436">
        <f t="shared" si="533"/>
        <v>0</v>
      </c>
      <c r="BQ107" s="140" t="e">
        <f t="shared" si="57"/>
        <v>#VALUE!</v>
      </c>
      <c r="BR107" s="325" t="str">
        <f t="shared" si="518"/>
        <v/>
      </c>
      <c r="BS107" s="333">
        <f t="shared" si="519"/>
        <v>195281.14</v>
      </c>
      <c r="BT107" s="140" t="e">
        <f t="shared" ref="BT107:BV107" si="560">SUM(BQ107,BM107,BI107)</f>
        <v>#VALUE!</v>
      </c>
      <c r="BU107" s="326">
        <f t="shared" si="560"/>
        <v>0</v>
      </c>
      <c r="BV107" s="333">
        <f t="shared" si="560"/>
        <v>387541.14</v>
      </c>
      <c r="BW107" s="125">
        <f t="shared" si="535"/>
        <v>0</v>
      </c>
      <c r="BX107" s="140" t="e">
        <f t="shared" si="61"/>
        <v>#VALUE!</v>
      </c>
      <c r="BY107" s="123" t="str">
        <f t="shared" si="521"/>
        <v/>
      </c>
      <c r="BZ107" s="148">
        <f t="shared" si="522"/>
        <v>297362</v>
      </c>
      <c r="CA107" s="123">
        <f t="shared" si="536"/>
        <v>72825</v>
      </c>
      <c r="CB107" s="326">
        <f t="shared" si="537"/>
        <v>0</v>
      </c>
      <c r="CI107" s="294"/>
      <c r="CJ107" s="294"/>
    </row>
    <row r="108" spans="1:88" ht="13">
      <c r="A108" s="436">
        <f t="shared" si="491"/>
        <v>112013196</v>
      </c>
      <c r="B108" s="172">
        <f t="shared" si="482"/>
        <v>1</v>
      </c>
      <c r="C108" s="558" t="str">
        <f t="shared" si="483"/>
        <v>Lista</v>
      </c>
      <c r="D108" s="558">
        <f t="shared" si="484"/>
        <v>0.09</v>
      </c>
      <c r="E108" s="559">
        <f t="shared" si="485"/>
        <v>0</v>
      </c>
      <c r="F108" s="836">
        <f t="shared" si="492"/>
        <v>1</v>
      </c>
      <c r="G108" s="558" t="str">
        <f t="shared" si="493"/>
        <v>Lista</v>
      </c>
      <c r="H108" s="558">
        <f t="shared" si="494"/>
        <v>0.09</v>
      </c>
      <c r="I108" s="559">
        <f t="shared" si="495"/>
        <v>0</v>
      </c>
      <c r="J108" s="837">
        <f t="shared" si="496"/>
        <v>71</v>
      </c>
      <c r="K108" s="699" t="str">
        <f t="shared" si="497"/>
        <v>Lista</v>
      </c>
      <c r="L108" s="700">
        <f t="shared" si="498"/>
        <v>0.05</v>
      </c>
      <c r="M108" s="859" t="s">
        <v>790</v>
      </c>
      <c r="N108" s="434"/>
      <c r="O108" s="141">
        <f t="shared" si="317"/>
        <v>0</v>
      </c>
      <c r="P108" s="140" t="e">
        <f t="shared" si="180"/>
        <v>#VALUE!</v>
      </c>
      <c r="Q108" s="116" t="str">
        <f t="shared" si="499"/>
        <v/>
      </c>
      <c r="R108" s="117" t="str">
        <f t="shared" si="500"/>
        <v/>
      </c>
      <c r="S108" s="123" t="e">
        <f t="shared" si="181"/>
        <v>#VALUE!</v>
      </c>
      <c r="T108" s="98" t="str">
        <f t="shared" si="182"/>
        <v/>
      </c>
      <c r="U108" s="123">
        <f t="shared" si="486"/>
        <v>255803.91</v>
      </c>
      <c r="V108" s="332"/>
      <c r="W108" s="113" t="e">
        <f t="shared" si="19"/>
        <v>#VALUE!</v>
      </c>
      <c r="X108" s="116" t="str">
        <f t="shared" si="501"/>
        <v/>
      </c>
      <c r="Y108" s="117" t="str">
        <f t="shared" si="502"/>
        <v/>
      </c>
      <c r="Z108" s="114" t="e">
        <f t="shared" si="184"/>
        <v>#VALUE!</v>
      </c>
      <c r="AA108" s="413" t="str">
        <f t="shared" si="185"/>
        <v/>
      </c>
      <c r="AB108" s="125">
        <f t="shared" si="487"/>
        <v>377375.91</v>
      </c>
      <c r="AC108" s="416">
        <f t="shared" si="318"/>
        <v>620166.36233714991</v>
      </c>
      <c r="AD108" s="113" t="e">
        <f t="shared" si="26"/>
        <v>#VALUE!</v>
      </c>
      <c r="AE108" s="116" t="str">
        <f t="shared" si="503"/>
        <v/>
      </c>
      <c r="AF108" s="117" t="str">
        <f t="shared" si="504"/>
        <v/>
      </c>
      <c r="AG108" s="114" t="e">
        <f t="shared" si="187"/>
        <v>#VALUE!</v>
      </c>
      <c r="AH108" s="413" t="str">
        <f t="shared" si="188"/>
        <v/>
      </c>
      <c r="AI108" s="846">
        <f t="shared" si="189"/>
        <v>620166.36233714991</v>
      </c>
      <c r="AJ108" s="840" t="str">
        <f t="shared" si="505"/>
        <v/>
      </c>
      <c r="AK108" s="116" t="e">
        <f t="shared" si="190"/>
        <v>#VALUE!</v>
      </c>
      <c r="AL108" s="116">
        <f t="shared" si="191"/>
        <v>0</v>
      </c>
      <c r="AM108" s="116">
        <f t="shared" si="192"/>
        <v>0</v>
      </c>
      <c r="AN108" s="116" t="e">
        <f t="shared" si="36"/>
        <v>#VALUE!</v>
      </c>
      <c r="AO108" s="413" t="str">
        <f t="shared" si="300"/>
        <v/>
      </c>
      <c r="AP108" s="434">
        <f t="shared" si="527"/>
        <v>244449.17</v>
      </c>
      <c r="AQ108" s="140" t="e">
        <f t="shared" si="39"/>
        <v>#VALUE!</v>
      </c>
      <c r="AR108" s="123" t="str">
        <f t="shared" si="506"/>
        <v/>
      </c>
      <c r="AS108" s="148" t="str">
        <f t="shared" si="507"/>
        <v/>
      </c>
      <c r="AT108" s="123">
        <f t="shared" si="528"/>
        <v>90194.86</v>
      </c>
      <c r="AU108" s="326" t="e">
        <f t="shared" si="42"/>
        <v>#VALUE!</v>
      </c>
      <c r="AV108" s="326" t="str">
        <f t="shared" si="508"/>
        <v/>
      </c>
      <c r="AW108" s="326" t="str">
        <f t="shared" si="509"/>
        <v/>
      </c>
      <c r="AX108" s="332">
        <f t="shared" si="529"/>
        <v>146820.92000000001</v>
      </c>
      <c r="AY108" s="140" t="e">
        <f t="shared" si="45"/>
        <v>#VALUE!</v>
      </c>
      <c r="AZ108" s="326" t="str">
        <f t="shared" si="510"/>
        <v/>
      </c>
      <c r="BA108" s="332" t="str">
        <f t="shared" si="511"/>
        <v/>
      </c>
      <c r="BB108" s="122" t="e">
        <f t="shared" ref="BB108:BD108" si="561">SUM(AY108,AU108,AQ108)</f>
        <v>#VALUE!</v>
      </c>
      <c r="BC108" s="326">
        <f t="shared" si="561"/>
        <v>0</v>
      </c>
      <c r="BD108" s="332">
        <f t="shared" si="561"/>
        <v>0</v>
      </c>
      <c r="BE108" s="140" t="e">
        <f t="shared" ref="BE108:BF108" si="562">SUM(BB108,AK108)</f>
        <v>#VALUE!</v>
      </c>
      <c r="BF108" s="326">
        <f t="shared" si="562"/>
        <v>0</v>
      </c>
      <c r="BG108" s="435">
        <f t="shared" si="50"/>
        <v>0</v>
      </c>
      <c r="BH108" s="423">
        <f t="shared" si="532"/>
        <v>208427.15</v>
      </c>
      <c r="BI108" s="123" t="e">
        <f t="shared" si="51"/>
        <v>#VALUE!</v>
      </c>
      <c r="BJ108" s="123" t="str">
        <f t="shared" si="514"/>
        <v/>
      </c>
      <c r="BK108" s="148" t="str">
        <f t="shared" si="515"/>
        <v/>
      </c>
      <c r="BL108" s="423">
        <f t="shared" si="543"/>
        <v>0</v>
      </c>
      <c r="BM108" s="123" t="e">
        <f t="shared" si="54"/>
        <v>#VALUE!</v>
      </c>
      <c r="BN108" s="123" t="str">
        <f t="shared" si="516"/>
        <v/>
      </c>
      <c r="BO108" s="123" t="str">
        <f t="shared" si="517"/>
        <v/>
      </c>
      <c r="BP108" s="436">
        <f t="shared" si="533"/>
        <v>0</v>
      </c>
      <c r="BQ108" s="140" t="e">
        <f t="shared" si="57"/>
        <v>#VALUE!</v>
      </c>
      <c r="BR108" s="325" t="str">
        <f t="shared" si="518"/>
        <v/>
      </c>
      <c r="BS108" s="333" t="str">
        <f t="shared" si="519"/>
        <v/>
      </c>
      <c r="BT108" s="140" t="e">
        <f t="shared" ref="BT108:BV108" si="563">SUM(BQ108,BM108,BI108)</f>
        <v>#VALUE!</v>
      </c>
      <c r="BU108" s="326">
        <f t="shared" si="563"/>
        <v>0</v>
      </c>
      <c r="BV108" s="333">
        <f t="shared" si="563"/>
        <v>0</v>
      </c>
      <c r="BW108" s="125">
        <f t="shared" si="535"/>
        <v>0</v>
      </c>
      <c r="BX108" s="140" t="e">
        <f t="shared" si="61"/>
        <v>#VALUE!</v>
      </c>
      <c r="BY108" s="123" t="str">
        <f t="shared" si="521"/>
        <v/>
      </c>
      <c r="BZ108" s="148" t="str">
        <f t="shared" si="522"/>
        <v/>
      </c>
      <c r="CA108" s="123">
        <f t="shared" si="536"/>
        <v>0</v>
      </c>
      <c r="CB108" s="326">
        <f t="shared" si="537"/>
        <v>0</v>
      </c>
      <c r="CI108" s="294"/>
      <c r="CJ108" s="294"/>
    </row>
    <row r="109" spans="1:88" ht="13">
      <c r="A109" s="436">
        <f t="shared" si="491"/>
        <v>112012875</v>
      </c>
      <c r="B109" s="172">
        <f t="shared" si="482"/>
        <v>1</v>
      </c>
      <c r="C109" s="558" t="str">
        <f t="shared" si="483"/>
        <v>Lista</v>
      </c>
      <c r="D109" s="558">
        <f t="shared" si="484"/>
        <v>0.09</v>
      </c>
      <c r="E109" s="559">
        <f t="shared" si="485"/>
        <v>0</v>
      </c>
      <c r="F109" s="836">
        <f t="shared" si="492"/>
        <v>1</v>
      </c>
      <c r="G109" s="558" t="str">
        <f t="shared" si="493"/>
        <v>Lista</v>
      </c>
      <c r="H109" s="558">
        <f t="shared" si="494"/>
        <v>0.09</v>
      </c>
      <c r="I109" s="559">
        <f t="shared" si="495"/>
        <v>0</v>
      </c>
      <c r="J109" s="837">
        <f t="shared" si="496"/>
        <v>71</v>
      </c>
      <c r="K109" s="699" t="str">
        <f t="shared" si="497"/>
        <v>Lista</v>
      </c>
      <c r="L109" s="700">
        <f t="shared" si="498"/>
        <v>0.05</v>
      </c>
      <c r="M109" s="498" t="s">
        <v>791</v>
      </c>
      <c r="N109" s="434">
        <f>IFERROR(VLOOKUP(M109,BUELA,3,FALSE),"")</f>
        <v>405871.7</v>
      </c>
      <c r="O109" s="141">
        <f t="shared" si="317"/>
        <v>682290.621285</v>
      </c>
      <c r="P109" s="140" t="e">
        <f t="shared" si="180"/>
        <v>#VALUE!</v>
      </c>
      <c r="Q109" s="116" t="str">
        <f t="shared" si="499"/>
        <v/>
      </c>
      <c r="R109" s="117">
        <f t="shared" si="500"/>
        <v>411765.12</v>
      </c>
      <c r="S109" s="123">
        <f t="shared" si="181"/>
        <v>-270525.50128500001</v>
      </c>
      <c r="T109" s="98">
        <f t="shared" si="182"/>
        <v>0.60350400130738624</v>
      </c>
      <c r="U109" s="123">
        <f t="shared" si="486"/>
        <v>111408.86</v>
      </c>
      <c r="V109" s="332">
        <f>(U109*1.7245)*1.05</f>
        <v>201730.80802349999</v>
      </c>
      <c r="W109" s="113" t="e">
        <f t="shared" si="19"/>
        <v>#VALUE!</v>
      </c>
      <c r="X109" s="116" t="str">
        <f t="shared" si="501"/>
        <v/>
      </c>
      <c r="Y109" s="117">
        <f t="shared" si="502"/>
        <v>253505.9</v>
      </c>
      <c r="Z109" s="114">
        <f t="shared" si="184"/>
        <v>51775.0919765</v>
      </c>
      <c r="AA109" s="413">
        <f t="shared" si="185"/>
        <v>1.2566543627310938</v>
      </c>
      <c r="AB109" s="125">
        <f t="shared" si="487"/>
        <v>0</v>
      </c>
      <c r="AC109" s="416">
        <f t="shared" si="318"/>
        <v>0</v>
      </c>
      <c r="AD109" s="113" t="e">
        <f t="shared" si="26"/>
        <v>#VALUE!</v>
      </c>
      <c r="AE109" s="116" t="str">
        <f t="shared" si="503"/>
        <v/>
      </c>
      <c r="AF109" s="117">
        <f t="shared" si="504"/>
        <v>312126.51</v>
      </c>
      <c r="AG109" s="114">
        <f t="shared" si="187"/>
        <v>312126.51</v>
      </c>
      <c r="AH109" s="413" t="str">
        <f t="shared" si="188"/>
        <v/>
      </c>
      <c r="AI109" s="846">
        <f t="shared" si="189"/>
        <v>884021.42930850002</v>
      </c>
      <c r="AJ109" s="840">
        <f t="shared" si="505"/>
        <v>466460.05</v>
      </c>
      <c r="AK109" s="116" t="e">
        <f t="shared" si="190"/>
        <v>#VALUE!</v>
      </c>
      <c r="AL109" s="116">
        <f t="shared" si="191"/>
        <v>0</v>
      </c>
      <c r="AM109" s="116">
        <f t="shared" si="192"/>
        <v>977397.53</v>
      </c>
      <c r="AN109" s="116">
        <f t="shared" si="36"/>
        <v>510937.48000000004</v>
      </c>
      <c r="AO109" s="413">
        <f t="shared" si="300"/>
        <v>2.0953509952245644</v>
      </c>
      <c r="AP109" s="434">
        <f t="shared" si="527"/>
        <v>324229.87</v>
      </c>
      <c r="AQ109" s="140" t="e">
        <f t="shared" si="39"/>
        <v>#VALUE!</v>
      </c>
      <c r="AR109" s="123" t="str">
        <f t="shared" si="506"/>
        <v/>
      </c>
      <c r="AS109" s="148">
        <f t="shared" si="507"/>
        <v>223107.36</v>
      </c>
      <c r="AT109" s="123">
        <f t="shared" si="528"/>
        <v>211840.53</v>
      </c>
      <c r="AU109" s="326" t="e">
        <f t="shared" si="42"/>
        <v>#VALUE!</v>
      </c>
      <c r="AV109" s="326" t="str">
        <f t="shared" si="508"/>
        <v/>
      </c>
      <c r="AW109" s="326">
        <f t="shared" si="509"/>
        <v>28965.83</v>
      </c>
      <c r="AX109" s="332">
        <f t="shared" si="529"/>
        <v>37350.83</v>
      </c>
      <c r="AY109" s="140" t="e">
        <f t="shared" si="45"/>
        <v>#VALUE!</v>
      </c>
      <c r="AZ109" s="326" t="str">
        <f t="shared" si="510"/>
        <v/>
      </c>
      <c r="BA109" s="332">
        <f t="shared" si="511"/>
        <v>397418.55</v>
      </c>
      <c r="BB109" s="122" t="e">
        <f t="shared" ref="BB109:BD109" si="564">SUM(AY109,AU109,AQ109)</f>
        <v>#VALUE!</v>
      </c>
      <c r="BC109" s="326">
        <f t="shared" si="564"/>
        <v>0</v>
      </c>
      <c r="BD109" s="332">
        <f t="shared" si="564"/>
        <v>649491.74</v>
      </c>
      <c r="BE109" s="140" t="e">
        <f t="shared" ref="BE109:BF109" si="565">SUM(BB109,AK109)</f>
        <v>#VALUE!</v>
      </c>
      <c r="BF109" s="326">
        <f t="shared" si="565"/>
        <v>0</v>
      </c>
      <c r="BG109" s="435">
        <f t="shared" si="50"/>
        <v>1626889.27</v>
      </c>
      <c r="BH109" s="423">
        <f t="shared" si="532"/>
        <v>171566.94</v>
      </c>
      <c r="BI109" s="123" t="e">
        <f t="shared" si="51"/>
        <v>#VALUE!</v>
      </c>
      <c r="BJ109" s="123" t="str">
        <f t="shared" si="514"/>
        <v/>
      </c>
      <c r="BK109" s="148">
        <f t="shared" si="515"/>
        <v>362142.31</v>
      </c>
      <c r="BL109" s="423">
        <f t="shared" si="543"/>
        <v>249826.1</v>
      </c>
      <c r="BM109" s="123" t="e">
        <f t="shared" si="54"/>
        <v>#VALUE!</v>
      </c>
      <c r="BN109" s="123" t="str">
        <f t="shared" si="516"/>
        <v/>
      </c>
      <c r="BO109" s="123">
        <f t="shared" si="517"/>
        <v>0</v>
      </c>
      <c r="BP109" s="436">
        <f t="shared" si="533"/>
        <v>0</v>
      </c>
      <c r="BQ109" s="140" t="e">
        <f t="shared" si="57"/>
        <v>#VALUE!</v>
      </c>
      <c r="BR109" s="325" t="str">
        <f t="shared" si="518"/>
        <v/>
      </c>
      <c r="BS109" s="333">
        <f t="shared" si="519"/>
        <v>642548.18000000005</v>
      </c>
      <c r="BT109" s="140" t="e">
        <f t="shared" ref="BT109:BV109" si="566">SUM(BQ109,BM109,BI109)</f>
        <v>#VALUE!</v>
      </c>
      <c r="BU109" s="326">
        <f t="shared" si="566"/>
        <v>0</v>
      </c>
      <c r="BV109" s="333">
        <f t="shared" si="566"/>
        <v>1004690.49</v>
      </c>
      <c r="BW109" s="125">
        <f t="shared" si="535"/>
        <v>66883.64</v>
      </c>
      <c r="BX109" s="140" t="e">
        <f t="shared" si="61"/>
        <v>#VALUE!</v>
      </c>
      <c r="BY109" s="123" t="str">
        <f t="shared" si="521"/>
        <v/>
      </c>
      <c r="BZ109" s="148">
        <f t="shared" si="522"/>
        <v>77580</v>
      </c>
      <c r="CA109" s="123">
        <f t="shared" si="536"/>
        <v>82241.210000000006</v>
      </c>
      <c r="CB109" s="326">
        <f t="shared" si="537"/>
        <v>317335.2</v>
      </c>
      <c r="CI109" s="294"/>
      <c r="CJ109" s="294"/>
    </row>
    <row r="110" spans="1:88" ht="13">
      <c r="A110" s="436">
        <f t="shared" si="491"/>
        <v>112012083</v>
      </c>
      <c r="B110" s="172">
        <f t="shared" si="482"/>
        <v>1</v>
      </c>
      <c r="C110" s="558" t="str">
        <f t="shared" si="483"/>
        <v>Lista</v>
      </c>
      <c r="D110" s="558">
        <f t="shared" si="484"/>
        <v>0.09</v>
      </c>
      <c r="E110" s="559">
        <f t="shared" si="485"/>
        <v>0</v>
      </c>
      <c r="F110" s="836">
        <f t="shared" si="492"/>
        <v>1</v>
      </c>
      <c r="G110" s="558" t="str">
        <f t="shared" si="493"/>
        <v>Lista</v>
      </c>
      <c r="H110" s="558">
        <f t="shared" si="494"/>
        <v>0.09</v>
      </c>
      <c r="I110" s="559">
        <f t="shared" si="495"/>
        <v>0</v>
      </c>
      <c r="J110" s="837">
        <f t="shared" si="496"/>
        <v>71</v>
      </c>
      <c r="K110" s="699" t="str">
        <f t="shared" si="497"/>
        <v>Lista</v>
      </c>
      <c r="L110" s="700">
        <f t="shared" si="498"/>
        <v>0.05</v>
      </c>
      <c r="M110" s="859" t="s">
        <v>792</v>
      </c>
      <c r="N110" s="434"/>
      <c r="O110" s="141">
        <f t="shared" si="317"/>
        <v>0</v>
      </c>
      <c r="P110" s="140" t="e">
        <f t="shared" si="180"/>
        <v>#VALUE!</v>
      </c>
      <c r="Q110" s="116" t="str">
        <f t="shared" si="499"/>
        <v/>
      </c>
      <c r="R110" s="117">
        <f t="shared" si="500"/>
        <v>0</v>
      </c>
      <c r="S110" s="123">
        <f t="shared" si="181"/>
        <v>0</v>
      </c>
      <c r="T110" s="98" t="str">
        <f t="shared" si="182"/>
        <v/>
      </c>
      <c r="U110" s="123">
        <f t="shared" si="486"/>
        <v>76740</v>
      </c>
      <c r="V110" s="332"/>
      <c r="W110" s="113" t="e">
        <f t="shared" si="19"/>
        <v>#VALUE!</v>
      </c>
      <c r="X110" s="116" t="str">
        <f t="shared" si="501"/>
        <v/>
      </c>
      <c r="Y110" s="117">
        <f t="shared" si="502"/>
        <v>0</v>
      </c>
      <c r="Z110" s="114">
        <f t="shared" si="184"/>
        <v>0</v>
      </c>
      <c r="AA110" s="413" t="str">
        <f t="shared" si="185"/>
        <v/>
      </c>
      <c r="AB110" s="125">
        <f t="shared" si="487"/>
        <v>0</v>
      </c>
      <c r="AC110" s="416">
        <f t="shared" si="318"/>
        <v>0</v>
      </c>
      <c r="AD110" s="113" t="e">
        <f t="shared" si="26"/>
        <v>#VALUE!</v>
      </c>
      <c r="AE110" s="116" t="str">
        <f t="shared" si="503"/>
        <v/>
      </c>
      <c r="AF110" s="117">
        <f t="shared" si="504"/>
        <v>0</v>
      </c>
      <c r="AG110" s="114">
        <f t="shared" si="187"/>
        <v>0</v>
      </c>
      <c r="AH110" s="413" t="str">
        <f t="shared" si="188"/>
        <v/>
      </c>
      <c r="AI110" s="846">
        <f t="shared" si="189"/>
        <v>0</v>
      </c>
      <c r="AJ110" s="840">
        <f t="shared" si="505"/>
        <v>226560</v>
      </c>
      <c r="AK110" s="116" t="e">
        <f t="shared" si="190"/>
        <v>#VALUE!</v>
      </c>
      <c r="AL110" s="116">
        <f t="shared" si="191"/>
        <v>0</v>
      </c>
      <c r="AM110" s="116">
        <f t="shared" si="192"/>
        <v>0</v>
      </c>
      <c r="AN110" s="116">
        <f t="shared" si="36"/>
        <v>-226560</v>
      </c>
      <c r="AO110" s="413">
        <f t="shared" si="300"/>
        <v>0</v>
      </c>
      <c r="AP110" s="434">
        <f t="shared" si="527"/>
        <v>0</v>
      </c>
      <c r="AQ110" s="140" t="e">
        <f t="shared" si="39"/>
        <v>#VALUE!</v>
      </c>
      <c r="AR110" s="123" t="str">
        <f t="shared" si="506"/>
        <v/>
      </c>
      <c r="AS110" s="148">
        <f t="shared" si="507"/>
        <v>1342200.33</v>
      </c>
      <c r="AT110" s="123">
        <f t="shared" si="528"/>
        <v>580290.48</v>
      </c>
      <c r="AU110" s="326" t="e">
        <f t="shared" si="42"/>
        <v>#VALUE!</v>
      </c>
      <c r="AV110" s="326" t="str">
        <f t="shared" si="508"/>
        <v/>
      </c>
      <c r="AW110" s="326">
        <f t="shared" si="509"/>
        <v>0</v>
      </c>
      <c r="AX110" s="332">
        <f t="shared" si="529"/>
        <v>0</v>
      </c>
      <c r="AY110" s="140" t="e">
        <f t="shared" si="45"/>
        <v>#VALUE!</v>
      </c>
      <c r="AZ110" s="326" t="str">
        <f t="shared" si="510"/>
        <v/>
      </c>
      <c r="BA110" s="332">
        <f t="shared" si="511"/>
        <v>1097463.76</v>
      </c>
      <c r="BB110" s="122" t="e">
        <f t="shared" ref="BB110:BD110" si="567">SUM(AY110,AU110,AQ110)</f>
        <v>#VALUE!</v>
      </c>
      <c r="BC110" s="326">
        <f t="shared" si="567"/>
        <v>0</v>
      </c>
      <c r="BD110" s="332">
        <f t="shared" si="567"/>
        <v>2439664.09</v>
      </c>
      <c r="BE110" s="140" t="e">
        <f t="shared" ref="BE110:BF110" si="568">SUM(BB110,AK110)</f>
        <v>#VALUE!</v>
      </c>
      <c r="BF110" s="326">
        <f t="shared" si="568"/>
        <v>0</v>
      </c>
      <c r="BG110" s="435">
        <f t="shared" si="50"/>
        <v>2439664.09</v>
      </c>
      <c r="BH110" s="423">
        <f t="shared" si="532"/>
        <v>791244.78</v>
      </c>
      <c r="BI110" s="123" t="e">
        <f t="shared" si="51"/>
        <v>#VALUE!</v>
      </c>
      <c r="BJ110" s="123" t="str">
        <f t="shared" si="514"/>
        <v/>
      </c>
      <c r="BK110" s="148">
        <f t="shared" si="515"/>
        <v>0</v>
      </c>
      <c r="BL110" s="423">
        <f t="shared" si="543"/>
        <v>0</v>
      </c>
      <c r="BM110" s="123" t="e">
        <f t="shared" si="54"/>
        <v>#VALUE!</v>
      </c>
      <c r="BN110" s="123" t="str">
        <f t="shared" si="516"/>
        <v/>
      </c>
      <c r="BO110" s="123">
        <f t="shared" si="517"/>
        <v>574737.56999999995</v>
      </c>
      <c r="BP110" s="436">
        <f t="shared" si="533"/>
        <v>0</v>
      </c>
      <c r="BQ110" s="140" t="e">
        <f t="shared" si="57"/>
        <v>#VALUE!</v>
      </c>
      <c r="BR110" s="325" t="str">
        <f t="shared" si="518"/>
        <v/>
      </c>
      <c r="BS110" s="333">
        <f t="shared" si="519"/>
        <v>0</v>
      </c>
      <c r="BT110" s="140" t="e">
        <f t="shared" ref="BT110:BV110" si="569">SUM(BQ110,BM110,BI110)</f>
        <v>#VALUE!</v>
      </c>
      <c r="BU110" s="326">
        <f t="shared" si="569"/>
        <v>0</v>
      </c>
      <c r="BV110" s="333">
        <f t="shared" si="569"/>
        <v>574737.56999999995</v>
      </c>
      <c r="BW110" s="125">
        <f t="shared" si="535"/>
        <v>0</v>
      </c>
      <c r="BX110" s="140" t="e">
        <f t="shared" si="61"/>
        <v>#VALUE!</v>
      </c>
      <c r="BY110" s="123" t="str">
        <f t="shared" si="521"/>
        <v/>
      </c>
      <c r="BZ110" s="148">
        <f t="shared" si="522"/>
        <v>1509842.34</v>
      </c>
      <c r="CA110" s="123">
        <f t="shared" si="536"/>
        <v>226560</v>
      </c>
      <c r="CB110" s="326">
        <f t="shared" si="537"/>
        <v>0</v>
      </c>
      <c r="CI110" s="294"/>
      <c r="CJ110" s="294"/>
    </row>
    <row r="111" spans="1:88" ht="13">
      <c r="A111" s="436">
        <f t="shared" si="491"/>
        <v>112011473</v>
      </c>
      <c r="B111" s="172">
        <f t="shared" si="482"/>
        <v>1</v>
      </c>
      <c r="C111" s="558" t="str">
        <f t="shared" si="483"/>
        <v>Lista</v>
      </c>
      <c r="D111" s="558">
        <f t="shared" si="484"/>
        <v>0.09</v>
      </c>
      <c r="E111" s="559">
        <f t="shared" si="485"/>
        <v>0</v>
      </c>
      <c r="F111" s="836">
        <f t="shared" si="492"/>
        <v>1</v>
      </c>
      <c r="G111" s="558" t="str">
        <f t="shared" si="493"/>
        <v>Lista</v>
      </c>
      <c r="H111" s="558">
        <f t="shared" si="494"/>
        <v>0.09</v>
      </c>
      <c r="I111" s="559">
        <f t="shared" si="495"/>
        <v>0</v>
      </c>
      <c r="J111" s="837">
        <f t="shared" si="496"/>
        <v>71</v>
      </c>
      <c r="K111" s="699" t="str">
        <f t="shared" si="497"/>
        <v>Lista</v>
      </c>
      <c r="L111" s="700">
        <f t="shared" si="498"/>
        <v>0.05</v>
      </c>
      <c r="M111" s="859" t="s">
        <v>793</v>
      </c>
      <c r="N111" s="434"/>
      <c r="O111" s="141">
        <f t="shared" si="317"/>
        <v>0</v>
      </c>
      <c r="P111" s="140" t="e">
        <f t="shared" si="180"/>
        <v>#VALUE!</v>
      </c>
      <c r="Q111" s="116" t="str">
        <f t="shared" si="499"/>
        <v/>
      </c>
      <c r="R111" s="117">
        <f t="shared" si="500"/>
        <v>0</v>
      </c>
      <c r="S111" s="123">
        <f t="shared" si="181"/>
        <v>0</v>
      </c>
      <c r="T111" s="98" t="str">
        <f t="shared" si="182"/>
        <v/>
      </c>
      <c r="U111" s="123">
        <f t="shared" si="486"/>
        <v>269696.67</v>
      </c>
      <c r="V111" s="332"/>
      <c r="W111" s="113" t="e">
        <f t="shared" si="19"/>
        <v>#VALUE!</v>
      </c>
      <c r="X111" s="116" t="str">
        <f t="shared" si="501"/>
        <v/>
      </c>
      <c r="Y111" s="117">
        <f t="shared" si="502"/>
        <v>269877.5</v>
      </c>
      <c r="Z111" s="114">
        <f t="shared" si="184"/>
        <v>269877.5</v>
      </c>
      <c r="AA111" s="413" t="str">
        <f t="shared" si="185"/>
        <v/>
      </c>
      <c r="AB111" s="125">
        <f t="shared" si="487"/>
        <v>0</v>
      </c>
      <c r="AC111" s="416">
        <f t="shared" si="318"/>
        <v>0</v>
      </c>
      <c r="AD111" s="113" t="e">
        <f t="shared" si="26"/>
        <v>#VALUE!</v>
      </c>
      <c r="AE111" s="116" t="str">
        <f t="shared" si="503"/>
        <v/>
      </c>
      <c r="AF111" s="117">
        <f t="shared" si="504"/>
        <v>0</v>
      </c>
      <c r="AG111" s="114">
        <f t="shared" si="187"/>
        <v>0</v>
      </c>
      <c r="AH111" s="413" t="str">
        <f t="shared" si="188"/>
        <v/>
      </c>
      <c r="AI111" s="846">
        <f t="shared" si="189"/>
        <v>0</v>
      </c>
      <c r="AJ111" s="840">
        <f t="shared" si="505"/>
        <v>1730878.44</v>
      </c>
      <c r="AK111" s="116" t="e">
        <f t="shared" si="190"/>
        <v>#VALUE!</v>
      </c>
      <c r="AL111" s="116">
        <f t="shared" si="191"/>
        <v>0</v>
      </c>
      <c r="AM111" s="116">
        <f t="shared" si="192"/>
        <v>269877.5</v>
      </c>
      <c r="AN111" s="116">
        <f t="shared" si="36"/>
        <v>-1461000.94</v>
      </c>
      <c r="AO111" s="413">
        <f t="shared" si="300"/>
        <v>0.15591938391698959</v>
      </c>
      <c r="AP111" s="434">
        <f t="shared" si="527"/>
        <v>185020.2</v>
      </c>
      <c r="AQ111" s="140" t="e">
        <f t="shared" si="39"/>
        <v>#VALUE!</v>
      </c>
      <c r="AR111" s="123" t="str">
        <f t="shared" si="506"/>
        <v/>
      </c>
      <c r="AS111" s="148">
        <f t="shared" si="507"/>
        <v>0</v>
      </c>
      <c r="AT111" s="123">
        <f t="shared" si="528"/>
        <v>372073.14</v>
      </c>
      <c r="AU111" s="326" t="e">
        <f t="shared" si="42"/>
        <v>#VALUE!</v>
      </c>
      <c r="AV111" s="326" t="str">
        <f t="shared" si="508"/>
        <v/>
      </c>
      <c r="AW111" s="326">
        <f t="shared" si="509"/>
        <v>0</v>
      </c>
      <c r="AX111" s="332">
        <f t="shared" si="529"/>
        <v>185873.44</v>
      </c>
      <c r="AY111" s="140" t="e">
        <f t="shared" si="45"/>
        <v>#VALUE!</v>
      </c>
      <c r="AZ111" s="326" t="str">
        <f t="shared" si="510"/>
        <v/>
      </c>
      <c r="BA111" s="332">
        <f t="shared" si="511"/>
        <v>0</v>
      </c>
      <c r="BB111" s="122" t="e">
        <f t="shared" ref="BB111:BD111" si="570">SUM(AY111,AU111,AQ111)</f>
        <v>#VALUE!</v>
      </c>
      <c r="BC111" s="326">
        <f t="shared" si="570"/>
        <v>0</v>
      </c>
      <c r="BD111" s="332">
        <f t="shared" si="570"/>
        <v>0</v>
      </c>
      <c r="BE111" s="140" t="e">
        <f t="shared" ref="BE111:BF111" si="571">SUM(BB111,AK111)</f>
        <v>#VALUE!</v>
      </c>
      <c r="BF111" s="326">
        <f t="shared" si="571"/>
        <v>0</v>
      </c>
      <c r="BG111" s="435">
        <f t="shared" si="50"/>
        <v>269877.5</v>
      </c>
      <c r="BH111" s="423">
        <f t="shared" si="532"/>
        <v>824446.91</v>
      </c>
      <c r="BI111" s="123" t="e">
        <f t="shared" si="51"/>
        <v>#VALUE!</v>
      </c>
      <c r="BJ111" s="123" t="str">
        <f t="shared" si="514"/>
        <v/>
      </c>
      <c r="BK111" s="148">
        <f t="shared" si="515"/>
        <v>0</v>
      </c>
      <c r="BL111" s="423">
        <f t="shared" si="543"/>
        <v>150118</v>
      </c>
      <c r="BM111" s="123" t="e">
        <f t="shared" si="54"/>
        <v>#VALUE!</v>
      </c>
      <c r="BN111" s="123" t="str">
        <f t="shared" si="516"/>
        <v/>
      </c>
      <c r="BO111" s="123">
        <f t="shared" si="517"/>
        <v>0</v>
      </c>
      <c r="BP111" s="436">
        <f t="shared" si="533"/>
        <v>269667.45</v>
      </c>
      <c r="BQ111" s="140" t="e">
        <f t="shared" si="57"/>
        <v>#VALUE!</v>
      </c>
      <c r="BR111" s="325" t="str">
        <f t="shared" si="518"/>
        <v/>
      </c>
      <c r="BS111" s="333">
        <f t="shared" si="519"/>
        <v>0</v>
      </c>
      <c r="BT111" s="140" t="e">
        <f t="shared" ref="BT111:BV111" si="572">SUM(BQ111,BM111,BI111)</f>
        <v>#VALUE!</v>
      </c>
      <c r="BU111" s="326">
        <f t="shared" si="572"/>
        <v>0</v>
      </c>
      <c r="BV111" s="333">
        <f t="shared" si="572"/>
        <v>0</v>
      </c>
      <c r="BW111" s="125">
        <f t="shared" si="535"/>
        <v>415402.84</v>
      </c>
      <c r="BX111" s="140" t="e">
        <f t="shared" si="61"/>
        <v>#VALUE!</v>
      </c>
      <c r="BY111" s="123" t="str">
        <f t="shared" si="521"/>
        <v/>
      </c>
      <c r="BZ111" s="148">
        <f t="shared" si="522"/>
        <v>0</v>
      </c>
      <c r="CA111" s="123">
        <f t="shared" si="536"/>
        <v>0</v>
      </c>
      <c r="CB111" s="326">
        <f t="shared" si="537"/>
        <v>1315475.6000000001</v>
      </c>
      <c r="CI111" s="294"/>
      <c r="CJ111" s="294"/>
    </row>
    <row r="112" spans="1:88" ht="13">
      <c r="A112" s="436">
        <f t="shared" si="491"/>
        <v>112010547</v>
      </c>
      <c r="B112" s="172">
        <f t="shared" si="482"/>
        <v>1</v>
      </c>
      <c r="C112" s="558" t="str">
        <f t="shared" si="483"/>
        <v>Lista</v>
      </c>
      <c r="D112" s="558">
        <f t="shared" si="484"/>
        <v>0.09</v>
      </c>
      <c r="E112" s="559">
        <f t="shared" si="485"/>
        <v>0</v>
      </c>
      <c r="F112" s="836">
        <f t="shared" si="492"/>
        <v>1</v>
      </c>
      <c r="G112" s="558" t="str">
        <f t="shared" si="493"/>
        <v>Lista</v>
      </c>
      <c r="H112" s="558">
        <f t="shared" si="494"/>
        <v>0.09</v>
      </c>
      <c r="I112" s="559">
        <f t="shared" si="495"/>
        <v>0</v>
      </c>
      <c r="J112" s="837">
        <f t="shared" si="496"/>
        <v>71</v>
      </c>
      <c r="K112" s="699" t="str">
        <f t="shared" si="497"/>
        <v>Lista</v>
      </c>
      <c r="L112" s="700">
        <f t="shared" si="498"/>
        <v>0.05</v>
      </c>
      <c r="M112" s="859" t="s">
        <v>794</v>
      </c>
      <c r="N112" s="434"/>
      <c r="O112" s="141">
        <f t="shared" si="317"/>
        <v>0</v>
      </c>
      <c r="P112" s="140" t="e">
        <f t="shared" si="180"/>
        <v>#VALUE!</v>
      </c>
      <c r="Q112" s="116" t="str">
        <f t="shared" si="499"/>
        <v/>
      </c>
      <c r="R112" s="117">
        <f t="shared" si="500"/>
        <v>0</v>
      </c>
      <c r="S112" s="123">
        <f t="shared" si="181"/>
        <v>0</v>
      </c>
      <c r="T112" s="98" t="str">
        <f t="shared" si="182"/>
        <v/>
      </c>
      <c r="U112" s="123">
        <f t="shared" si="486"/>
        <v>0</v>
      </c>
      <c r="V112" s="332"/>
      <c r="W112" s="113" t="e">
        <f t="shared" si="19"/>
        <v>#VALUE!</v>
      </c>
      <c r="X112" s="116" t="str">
        <f t="shared" si="501"/>
        <v/>
      </c>
      <c r="Y112" s="117">
        <f t="shared" si="502"/>
        <v>209607.08</v>
      </c>
      <c r="Z112" s="114">
        <f t="shared" si="184"/>
        <v>209607.08</v>
      </c>
      <c r="AA112" s="413" t="str">
        <f t="shared" si="185"/>
        <v/>
      </c>
      <c r="AB112" s="125">
        <f t="shared" si="487"/>
        <v>0</v>
      </c>
      <c r="AC112" s="416">
        <f t="shared" si="318"/>
        <v>0</v>
      </c>
      <c r="AD112" s="113" t="e">
        <f t="shared" si="26"/>
        <v>#VALUE!</v>
      </c>
      <c r="AE112" s="116" t="str">
        <f t="shared" si="503"/>
        <v/>
      </c>
      <c r="AF112" s="117">
        <f t="shared" si="504"/>
        <v>0</v>
      </c>
      <c r="AG112" s="114">
        <f t="shared" si="187"/>
        <v>0</v>
      </c>
      <c r="AH112" s="413" t="str">
        <f t="shared" si="188"/>
        <v/>
      </c>
      <c r="AI112" s="846">
        <f t="shared" si="189"/>
        <v>0</v>
      </c>
      <c r="AJ112" s="840" t="str">
        <f t="shared" si="505"/>
        <v/>
      </c>
      <c r="AK112" s="116" t="e">
        <f t="shared" si="190"/>
        <v>#VALUE!</v>
      </c>
      <c r="AL112" s="116">
        <f t="shared" si="191"/>
        <v>0</v>
      </c>
      <c r="AM112" s="116">
        <f t="shared" si="192"/>
        <v>209607.08</v>
      </c>
      <c r="AN112" s="116" t="e">
        <f t="shared" si="36"/>
        <v>#VALUE!</v>
      </c>
      <c r="AO112" s="413" t="str">
        <f t="shared" si="300"/>
        <v/>
      </c>
      <c r="AP112" s="434">
        <f t="shared" si="527"/>
        <v>0</v>
      </c>
      <c r="AQ112" s="140" t="e">
        <f t="shared" si="39"/>
        <v>#VALUE!</v>
      </c>
      <c r="AR112" s="123" t="str">
        <f t="shared" si="506"/>
        <v/>
      </c>
      <c r="AS112" s="148">
        <f t="shared" si="507"/>
        <v>0</v>
      </c>
      <c r="AT112" s="123">
        <f t="shared" si="528"/>
        <v>0</v>
      </c>
      <c r="AU112" s="326" t="e">
        <f t="shared" si="42"/>
        <v>#VALUE!</v>
      </c>
      <c r="AV112" s="326" t="str">
        <f t="shared" si="508"/>
        <v/>
      </c>
      <c r="AW112" s="326">
        <f t="shared" si="509"/>
        <v>0</v>
      </c>
      <c r="AX112" s="332">
        <f t="shared" si="529"/>
        <v>0</v>
      </c>
      <c r="AY112" s="140" t="e">
        <f t="shared" si="45"/>
        <v>#VALUE!</v>
      </c>
      <c r="AZ112" s="326" t="str">
        <f t="shared" si="510"/>
        <v/>
      </c>
      <c r="BA112" s="332">
        <f t="shared" si="511"/>
        <v>0</v>
      </c>
      <c r="BB112" s="122" t="e">
        <f t="shared" ref="BB112:BD112" si="573">SUM(AY112,AU112,AQ112)</f>
        <v>#VALUE!</v>
      </c>
      <c r="BC112" s="326">
        <f t="shared" si="573"/>
        <v>0</v>
      </c>
      <c r="BD112" s="332">
        <f t="shared" si="573"/>
        <v>0</v>
      </c>
      <c r="BE112" s="140" t="e">
        <f t="shared" ref="BE112:BF112" si="574">SUM(BB112,AK112)</f>
        <v>#VALUE!</v>
      </c>
      <c r="BF112" s="326">
        <f t="shared" si="574"/>
        <v>0</v>
      </c>
      <c r="BG112" s="435">
        <f t="shared" si="50"/>
        <v>209607.08</v>
      </c>
      <c r="BH112" s="423">
        <f t="shared" si="532"/>
        <v>0</v>
      </c>
      <c r="BI112" s="123" t="e">
        <f t="shared" si="51"/>
        <v>#VALUE!</v>
      </c>
      <c r="BJ112" s="123" t="str">
        <f t="shared" si="514"/>
        <v/>
      </c>
      <c r="BK112" s="148">
        <f t="shared" si="515"/>
        <v>0</v>
      </c>
      <c r="BL112" s="423">
        <f t="shared" si="543"/>
        <v>0</v>
      </c>
      <c r="BM112" s="123" t="e">
        <f t="shared" si="54"/>
        <v>#VALUE!</v>
      </c>
      <c r="BN112" s="123" t="str">
        <f t="shared" si="516"/>
        <v/>
      </c>
      <c r="BO112" s="123">
        <f t="shared" si="517"/>
        <v>0</v>
      </c>
      <c r="BP112" s="436">
        <f t="shared" si="533"/>
        <v>0</v>
      </c>
      <c r="BQ112" s="140" t="e">
        <f t="shared" si="57"/>
        <v>#VALUE!</v>
      </c>
      <c r="BR112" s="325" t="str">
        <f t="shared" si="518"/>
        <v/>
      </c>
      <c r="BS112" s="333">
        <f t="shared" si="519"/>
        <v>0</v>
      </c>
      <c r="BT112" s="140" t="e">
        <f t="shared" ref="BT112:BV112" si="575">SUM(BQ112,BM112,BI112)</f>
        <v>#VALUE!</v>
      </c>
      <c r="BU112" s="326">
        <f t="shared" si="575"/>
        <v>0</v>
      </c>
      <c r="BV112" s="333">
        <f t="shared" si="575"/>
        <v>0</v>
      </c>
      <c r="BW112" s="125">
        <f t="shared" si="535"/>
        <v>0</v>
      </c>
      <c r="BX112" s="140" t="e">
        <f t="shared" si="61"/>
        <v>#VALUE!</v>
      </c>
      <c r="BY112" s="123" t="str">
        <f t="shared" si="521"/>
        <v/>
      </c>
      <c r="BZ112" s="148">
        <f t="shared" si="522"/>
        <v>0</v>
      </c>
      <c r="CA112" s="123">
        <f t="shared" si="536"/>
        <v>0</v>
      </c>
      <c r="CB112" s="326">
        <f t="shared" si="537"/>
        <v>0</v>
      </c>
      <c r="CI112" s="294"/>
      <c r="CJ112" s="294"/>
    </row>
    <row r="113" spans="1:88" ht="13">
      <c r="A113" s="436">
        <f t="shared" si="491"/>
        <v>112013526</v>
      </c>
      <c r="B113" s="172">
        <f t="shared" si="482"/>
        <v>1</v>
      </c>
      <c r="C113" s="558" t="str">
        <f t="shared" si="483"/>
        <v>Lista</v>
      </c>
      <c r="D113" s="558">
        <f t="shared" si="484"/>
        <v>0.09</v>
      </c>
      <c r="E113" s="559">
        <f t="shared" si="485"/>
        <v>0</v>
      </c>
      <c r="F113" s="836">
        <f t="shared" si="492"/>
        <v>1</v>
      </c>
      <c r="G113" s="558" t="str">
        <f t="shared" si="493"/>
        <v>Lista</v>
      </c>
      <c r="H113" s="558">
        <f t="shared" si="494"/>
        <v>0.09</v>
      </c>
      <c r="I113" s="559">
        <f t="shared" si="495"/>
        <v>0</v>
      </c>
      <c r="J113" s="837">
        <f t="shared" si="496"/>
        <v>71</v>
      </c>
      <c r="K113" s="699" t="str">
        <f t="shared" si="497"/>
        <v>Lista</v>
      </c>
      <c r="L113" s="700">
        <f t="shared" si="498"/>
        <v>0.05</v>
      </c>
      <c r="M113" s="498" t="s">
        <v>795</v>
      </c>
      <c r="N113" s="434">
        <f>IFERROR(VLOOKUP(M113,BUELA,3,FALSE),"")</f>
        <v>0</v>
      </c>
      <c r="O113" s="141">
        <f t="shared" si="317"/>
        <v>0</v>
      </c>
      <c r="P113" s="140" t="e">
        <f t="shared" si="180"/>
        <v>#VALUE!</v>
      </c>
      <c r="Q113" s="116" t="str">
        <f t="shared" si="499"/>
        <v/>
      </c>
      <c r="R113" s="117">
        <f t="shared" si="500"/>
        <v>0</v>
      </c>
      <c r="S113" s="123">
        <f t="shared" si="181"/>
        <v>0</v>
      </c>
      <c r="T113" s="98" t="str">
        <f t="shared" si="182"/>
        <v/>
      </c>
      <c r="U113" s="123">
        <f t="shared" si="486"/>
        <v>0</v>
      </c>
      <c r="V113" s="332">
        <f t="shared" ref="V113:V114" si="576">(U113*1.7245)*1.05</f>
        <v>0</v>
      </c>
      <c r="W113" s="113" t="e">
        <f t="shared" si="19"/>
        <v>#VALUE!</v>
      </c>
      <c r="X113" s="116" t="str">
        <f t="shared" si="501"/>
        <v/>
      </c>
      <c r="Y113" s="117">
        <f t="shared" si="502"/>
        <v>0</v>
      </c>
      <c r="Z113" s="114">
        <f t="shared" si="184"/>
        <v>0</v>
      </c>
      <c r="AA113" s="413" t="str">
        <f t="shared" si="185"/>
        <v/>
      </c>
      <c r="AB113" s="125">
        <f t="shared" si="487"/>
        <v>0</v>
      </c>
      <c r="AC113" s="416">
        <f t="shared" si="318"/>
        <v>0</v>
      </c>
      <c r="AD113" s="113" t="e">
        <f t="shared" si="26"/>
        <v>#VALUE!</v>
      </c>
      <c r="AE113" s="116" t="str">
        <f t="shared" si="503"/>
        <v/>
      </c>
      <c r="AF113" s="117">
        <f t="shared" si="504"/>
        <v>42186.73</v>
      </c>
      <c r="AG113" s="114">
        <f t="shared" si="187"/>
        <v>42186.73</v>
      </c>
      <c r="AH113" s="413" t="str">
        <f t="shared" si="188"/>
        <v/>
      </c>
      <c r="AI113" s="846">
        <f t="shared" si="189"/>
        <v>0</v>
      </c>
      <c r="AJ113" s="840">
        <f t="shared" si="505"/>
        <v>39899.08</v>
      </c>
      <c r="AK113" s="116" t="e">
        <f t="shared" si="190"/>
        <v>#VALUE!</v>
      </c>
      <c r="AL113" s="116">
        <f t="shared" si="191"/>
        <v>0</v>
      </c>
      <c r="AM113" s="116">
        <f t="shared" si="192"/>
        <v>42186.73</v>
      </c>
      <c r="AN113" s="116">
        <f t="shared" si="36"/>
        <v>2287.6500000000015</v>
      </c>
      <c r="AO113" s="413">
        <f t="shared" si="300"/>
        <v>1.0573359084971383</v>
      </c>
      <c r="AP113" s="434">
        <f t="shared" si="527"/>
        <v>17530.2</v>
      </c>
      <c r="AQ113" s="140" t="e">
        <f t="shared" si="39"/>
        <v>#VALUE!</v>
      </c>
      <c r="AR113" s="123" t="str">
        <f t="shared" si="506"/>
        <v/>
      </c>
      <c r="AS113" s="148">
        <f t="shared" si="507"/>
        <v>0</v>
      </c>
      <c r="AT113" s="123">
        <f t="shared" si="528"/>
        <v>0</v>
      </c>
      <c r="AU113" s="326" t="e">
        <f t="shared" si="42"/>
        <v>#VALUE!</v>
      </c>
      <c r="AV113" s="326" t="str">
        <f t="shared" si="508"/>
        <v/>
      </c>
      <c r="AW113" s="326">
        <f t="shared" si="509"/>
        <v>0</v>
      </c>
      <c r="AX113" s="332">
        <f t="shared" si="529"/>
        <v>0</v>
      </c>
      <c r="AY113" s="140" t="e">
        <f t="shared" si="45"/>
        <v>#VALUE!</v>
      </c>
      <c r="AZ113" s="326" t="str">
        <f t="shared" si="510"/>
        <v/>
      </c>
      <c r="BA113" s="332">
        <f t="shared" si="511"/>
        <v>0</v>
      </c>
      <c r="BB113" s="122" t="e">
        <f t="shared" ref="BB113:BD113" si="577">SUM(AY113,AU113,AQ113)</f>
        <v>#VALUE!</v>
      </c>
      <c r="BC113" s="326">
        <f t="shared" si="577"/>
        <v>0</v>
      </c>
      <c r="BD113" s="332">
        <f t="shared" si="577"/>
        <v>0</v>
      </c>
      <c r="BE113" s="140" t="e">
        <f t="shared" ref="BE113:BF113" si="578">SUM(BB113,AK113)</f>
        <v>#VALUE!</v>
      </c>
      <c r="BF113" s="326">
        <f t="shared" si="578"/>
        <v>0</v>
      </c>
      <c r="BG113" s="435">
        <f t="shared" si="50"/>
        <v>42186.73</v>
      </c>
      <c r="BH113" s="423">
        <f t="shared" si="532"/>
        <v>9722</v>
      </c>
      <c r="BI113" s="123" t="e">
        <f t="shared" si="51"/>
        <v>#VALUE!</v>
      </c>
      <c r="BJ113" s="123" t="str">
        <f t="shared" si="514"/>
        <v/>
      </c>
      <c r="BK113" s="148">
        <f t="shared" si="515"/>
        <v>0</v>
      </c>
      <c r="BL113" s="423">
        <f t="shared" si="543"/>
        <v>0</v>
      </c>
      <c r="BM113" s="123" t="e">
        <f t="shared" si="54"/>
        <v>#VALUE!</v>
      </c>
      <c r="BN113" s="123" t="str">
        <f t="shared" si="516"/>
        <v/>
      </c>
      <c r="BO113" s="123">
        <f t="shared" si="517"/>
        <v>40793.58</v>
      </c>
      <c r="BP113" s="436">
        <f t="shared" si="533"/>
        <v>0</v>
      </c>
      <c r="BQ113" s="140" t="e">
        <f t="shared" si="57"/>
        <v>#VALUE!</v>
      </c>
      <c r="BR113" s="325" t="str">
        <f t="shared" si="518"/>
        <v/>
      </c>
      <c r="BS113" s="333">
        <f t="shared" si="519"/>
        <v>0</v>
      </c>
      <c r="BT113" s="140" t="e">
        <f t="shared" ref="BT113:BV113" si="579">SUM(BQ113,BM113,BI113)</f>
        <v>#VALUE!</v>
      </c>
      <c r="BU113" s="326">
        <f t="shared" si="579"/>
        <v>0</v>
      </c>
      <c r="BV113" s="333">
        <f t="shared" si="579"/>
        <v>40793.58</v>
      </c>
      <c r="BW113" s="125">
        <f t="shared" si="535"/>
        <v>0</v>
      </c>
      <c r="BX113" s="140" t="e">
        <f t="shared" si="61"/>
        <v>#VALUE!</v>
      </c>
      <c r="BY113" s="123" t="str">
        <f t="shared" si="521"/>
        <v/>
      </c>
      <c r="BZ113" s="148">
        <f t="shared" si="522"/>
        <v>0</v>
      </c>
      <c r="CA113" s="123">
        <f t="shared" si="536"/>
        <v>39899.08</v>
      </c>
      <c r="CB113" s="326">
        <f t="shared" si="537"/>
        <v>0</v>
      </c>
      <c r="CI113" s="294"/>
      <c r="CJ113" s="294"/>
    </row>
    <row r="114" spans="1:88" ht="13">
      <c r="A114" s="436">
        <f t="shared" si="491"/>
        <v>112013290</v>
      </c>
      <c r="B114" s="172">
        <f t="shared" si="482"/>
        <v>1</v>
      </c>
      <c r="C114" s="558" t="str">
        <f t="shared" si="483"/>
        <v>Lista</v>
      </c>
      <c r="D114" s="558">
        <f t="shared" si="484"/>
        <v>0.09</v>
      </c>
      <c r="E114" s="559">
        <f t="shared" si="485"/>
        <v>0</v>
      </c>
      <c r="F114" s="836">
        <f t="shared" si="492"/>
        <v>1</v>
      </c>
      <c r="G114" s="558" t="str">
        <f t="shared" si="493"/>
        <v>Lista</v>
      </c>
      <c r="H114" s="558">
        <f t="shared" si="494"/>
        <v>0.09</v>
      </c>
      <c r="I114" s="559">
        <f t="shared" si="495"/>
        <v>0</v>
      </c>
      <c r="J114" s="837">
        <f t="shared" si="496"/>
        <v>71</v>
      </c>
      <c r="K114" s="699" t="str">
        <f t="shared" si="497"/>
        <v>Lista</v>
      </c>
      <c r="L114" s="700">
        <f t="shared" si="498"/>
        <v>0.05</v>
      </c>
      <c r="M114" s="498" t="s">
        <v>796</v>
      </c>
      <c r="N114" s="434">
        <f>IFERROR(VLOOKUP(M114,BUELA,3,FALSE),"")</f>
        <v>140773.47</v>
      </c>
      <c r="O114" s="141">
        <f t="shared" si="317"/>
        <v>236647.24174350002</v>
      </c>
      <c r="P114" s="140" t="e">
        <f t="shared" si="180"/>
        <v>#VALUE!</v>
      </c>
      <c r="Q114" s="116" t="str">
        <f t="shared" si="499"/>
        <v/>
      </c>
      <c r="R114" s="117">
        <f t="shared" si="500"/>
        <v>505025.58</v>
      </c>
      <c r="S114" s="123">
        <f t="shared" si="181"/>
        <v>268378.33825649996</v>
      </c>
      <c r="T114" s="98">
        <f t="shared" si="182"/>
        <v>2.134086061089159</v>
      </c>
      <c r="U114" s="123">
        <f t="shared" si="486"/>
        <v>186429.37</v>
      </c>
      <c r="V114" s="332">
        <f t="shared" si="576"/>
        <v>337572.32099325</v>
      </c>
      <c r="W114" s="113" t="e">
        <f t="shared" si="19"/>
        <v>#VALUE!</v>
      </c>
      <c r="X114" s="116" t="str">
        <f t="shared" si="501"/>
        <v/>
      </c>
      <c r="Y114" s="117">
        <f t="shared" si="502"/>
        <v>137551.04000000001</v>
      </c>
      <c r="Z114" s="114">
        <f t="shared" si="184"/>
        <v>-200021.28099324999</v>
      </c>
      <c r="AA114" s="413">
        <f t="shared" si="185"/>
        <v>0.4074713222792648</v>
      </c>
      <c r="AB114" s="125">
        <f t="shared" si="487"/>
        <v>162174.9</v>
      </c>
      <c r="AC114" s="416">
        <f t="shared" si="318"/>
        <v>266512.55453849997</v>
      </c>
      <c r="AD114" s="113" t="e">
        <f t="shared" si="26"/>
        <v>#VALUE!</v>
      </c>
      <c r="AE114" s="116" t="str">
        <f t="shared" si="503"/>
        <v/>
      </c>
      <c r="AF114" s="117">
        <f t="shared" si="504"/>
        <v>0</v>
      </c>
      <c r="AG114" s="114">
        <f t="shared" si="187"/>
        <v>-266512.55453849997</v>
      </c>
      <c r="AH114" s="413">
        <f t="shared" si="188"/>
        <v>0</v>
      </c>
      <c r="AI114" s="846">
        <f t="shared" si="189"/>
        <v>840732.11727524991</v>
      </c>
      <c r="AJ114" s="840">
        <f t="shared" si="505"/>
        <v>407020.53</v>
      </c>
      <c r="AK114" s="116" t="e">
        <f t="shared" si="190"/>
        <v>#VALUE!</v>
      </c>
      <c r="AL114" s="116">
        <f t="shared" si="191"/>
        <v>0</v>
      </c>
      <c r="AM114" s="116">
        <f t="shared" si="192"/>
        <v>642576.62</v>
      </c>
      <c r="AN114" s="116">
        <f t="shared" si="36"/>
        <v>235556.08999999997</v>
      </c>
      <c r="AO114" s="413">
        <f t="shared" si="300"/>
        <v>1.5787326993063469</v>
      </c>
      <c r="AP114" s="434">
        <f t="shared" si="527"/>
        <v>0.02</v>
      </c>
      <c r="AQ114" s="140" t="e">
        <f t="shared" si="39"/>
        <v>#VALUE!</v>
      </c>
      <c r="AR114" s="123" t="str">
        <f t="shared" si="506"/>
        <v/>
      </c>
      <c r="AS114" s="148">
        <f t="shared" si="507"/>
        <v>67388.09</v>
      </c>
      <c r="AT114" s="123">
        <f t="shared" si="528"/>
        <v>0</v>
      </c>
      <c r="AU114" s="326" t="e">
        <f t="shared" si="42"/>
        <v>#VALUE!</v>
      </c>
      <c r="AV114" s="326" t="str">
        <f t="shared" si="508"/>
        <v/>
      </c>
      <c r="AW114" s="326">
        <f t="shared" si="509"/>
        <v>125403</v>
      </c>
      <c r="AX114" s="332">
        <f t="shared" si="529"/>
        <v>393925.25</v>
      </c>
      <c r="AY114" s="140" t="e">
        <f t="shared" si="45"/>
        <v>#VALUE!</v>
      </c>
      <c r="AZ114" s="326" t="str">
        <f t="shared" si="510"/>
        <v/>
      </c>
      <c r="BA114" s="332">
        <f t="shared" si="511"/>
        <v>0</v>
      </c>
      <c r="BB114" s="122" t="e">
        <f t="shared" ref="BB114:BD114" si="580">SUM(AY114,AU114,AQ114)</f>
        <v>#VALUE!</v>
      </c>
      <c r="BC114" s="326">
        <f t="shared" si="580"/>
        <v>0</v>
      </c>
      <c r="BD114" s="332">
        <f t="shared" si="580"/>
        <v>192791.09</v>
      </c>
      <c r="BE114" s="140" t="e">
        <f t="shared" ref="BE114:BF114" si="581">SUM(BB114,AK114)</f>
        <v>#VALUE!</v>
      </c>
      <c r="BF114" s="326">
        <f t="shared" si="581"/>
        <v>0</v>
      </c>
      <c r="BG114" s="435">
        <f t="shared" si="50"/>
        <v>835367.71</v>
      </c>
      <c r="BH114" s="423">
        <f t="shared" si="532"/>
        <v>208669.76</v>
      </c>
      <c r="BI114" s="123" t="e">
        <f t="shared" si="51"/>
        <v>#VALUE!</v>
      </c>
      <c r="BJ114" s="123" t="str">
        <f t="shared" si="514"/>
        <v/>
      </c>
      <c r="BK114" s="148">
        <f t="shared" si="515"/>
        <v>89529</v>
      </c>
      <c r="BL114" s="423">
        <f t="shared" si="543"/>
        <v>0</v>
      </c>
      <c r="BM114" s="123" t="e">
        <f t="shared" si="54"/>
        <v>#VALUE!</v>
      </c>
      <c r="BN114" s="123" t="str">
        <f t="shared" si="516"/>
        <v/>
      </c>
      <c r="BO114" s="123">
        <f t="shared" si="517"/>
        <v>31460</v>
      </c>
      <c r="BP114" s="436">
        <f t="shared" si="533"/>
        <v>0</v>
      </c>
      <c r="BQ114" s="140" t="e">
        <f t="shared" si="57"/>
        <v>#VALUE!</v>
      </c>
      <c r="BR114" s="325" t="str">
        <f t="shared" si="518"/>
        <v/>
      </c>
      <c r="BS114" s="333">
        <f t="shared" si="519"/>
        <v>49410.9</v>
      </c>
      <c r="BT114" s="140" t="e">
        <f t="shared" ref="BT114:BV114" si="582">SUM(BQ114,BM114,BI114)</f>
        <v>#VALUE!</v>
      </c>
      <c r="BU114" s="326">
        <f t="shared" si="582"/>
        <v>0</v>
      </c>
      <c r="BV114" s="333">
        <f t="shared" si="582"/>
        <v>170399.9</v>
      </c>
      <c r="BW114" s="125">
        <f t="shared" si="535"/>
        <v>0</v>
      </c>
      <c r="BX114" s="140" t="e">
        <f t="shared" si="61"/>
        <v>#VALUE!</v>
      </c>
      <c r="BY114" s="123" t="str">
        <f t="shared" si="521"/>
        <v/>
      </c>
      <c r="BZ114" s="148">
        <f t="shared" si="522"/>
        <v>0</v>
      </c>
      <c r="CA114" s="123">
        <f t="shared" si="536"/>
        <v>118967.88</v>
      </c>
      <c r="CB114" s="326">
        <f t="shared" si="537"/>
        <v>288052.65000000002</v>
      </c>
      <c r="CI114" s="294"/>
      <c r="CJ114" s="294"/>
    </row>
    <row r="115" spans="1:88" ht="13">
      <c r="A115" s="436">
        <f t="shared" si="491"/>
        <v>112014385</v>
      </c>
      <c r="B115" s="172">
        <f t="shared" si="482"/>
        <v>1</v>
      </c>
      <c r="C115" s="558" t="str">
        <f t="shared" si="483"/>
        <v>Lista</v>
      </c>
      <c r="D115" s="558">
        <f t="shared" si="484"/>
        <v>0.09</v>
      </c>
      <c r="E115" s="559">
        <f t="shared" si="485"/>
        <v>0</v>
      </c>
      <c r="F115" s="836">
        <f t="shared" si="492"/>
        <v>1</v>
      </c>
      <c r="G115" s="558" t="str">
        <f t="shared" si="493"/>
        <v>Lista</v>
      </c>
      <c r="H115" s="558">
        <f t="shared" si="494"/>
        <v>0.09</v>
      </c>
      <c r="I115" s="559">
        <f t="shared" si="495"/>
        <v>0</v>
      </c>
      <c r="J115" s="837">
        <f t="shared" si="496"/>
        <v>71</v>
      </c>
      <c r="K115" s="699" t="str">
        <f t="shared" si="497"/>
        <v>Lista</v>
      </c>
      <c r="L115" s="700">
        <f t="shared" si="498"/>
        <v>0.05</v>
      </c>
      <c r="M115" s="859" t="s">
        <v>797</v>
      </c>
      <c r="N115" s="434"/>
      <c r="O115" s="141">
        <f t="shared" si="317"/>
        <v>0</v>
      </c>
      <c r="P115" s="140" t="e">
        <f t="shared" si="180"/>
        <v>#VALUE!</v>
      </c>
      <c r="Q115" s="116" t="str">
        <f t="shared" si="499"/>
        <v/>
      </c>
      <c r="R115" s="117">
        <f t="shared" si="500"/>
        <v>0</v>
      </c>
      <c r="S115" s="123">
        <f t="shared" si="181"/>
        <v>0</v>
      </c>
      <c r="T115" s="98" t="str">
        <f t="shared" si="182"/>
        <v/>
      </c>
      <c r="U115" s="123">
        <f t="shared" si="486"/>
        <v>0</v>
      </c>
      <c r="V115" s="332"/>
      <c r="W115" s="113" t="e">
        <f t="shared" si="19"/>
        <v>#VALUE!</v>
      </c>
      <c r="X115" s="116" t="str">
        <f t="shared" si="501"/>
        <v/>
      </c>
      <c r="Y115" s="117">
        <f t="shared" si="502"/>
        <v>0</v>
      </c>
      <c r="Z115" s="114">
        <f t="shared" si="184"/>
        <v>0</v>
      </c>
      <c r="AA115" s="413" t="str">
        <f t="shared" si="185"/>
        <v/>
      </c>
      <c r="AB115" s="125">
        <f t="shared" si="487"/>
        <v>66634.69</v>
      </c>
      <c r="AC115" s="416">
        <f t="shared" si="318"/>
        <v>109505.11733185001</v>
      </c>
      <c r="AD115" s="113" t="e">
        <f t="shared" si="26"/>
        <v>#VALUE!</v>
      </c>
      <c r="AE115" s="116" t="str">
        <f t="shared" si="503"/>
        <v/>
      </c>
      <c r="AF115" s="117">
        <f t="shared" si="504"/>
        <v>0</v>
      </c>
      <c r="AG115" s="114">
        <f t="shared" si="187"/>
        <v>-109505.11733185001</v>
      </c>
      <c r="AH115" s="413">
        <f t="shared" si="188"/>
        <v>0</v>
      </c>
      <c r="AI115" s="846">
        <f t="shared" si="189"/>
        <v>109505.11733185001</v>
      </c>
      <c r="AJ115" s="840">
        <f t="shared" si="505"/>
        <v>102761.21</v>
      </c>
      <c r="AK115" s="116" t="e">
        <f t="shared" si="190"/>
        <v>#VALUE!</v>
      </c>
      <c r="AL115" s="116">
        <f t="shared" si="191"/>
        <v>0</v>
      </c>
      <c r="AM115" s="116">
        <f t="shared" si="192"/>
        <v>0</v>
      </c>
      <c r="AN115" s="116">
        <f t="shared" si="36"/>
        <v>-102761.21</v>
      </c>
      <c r="AO115" s="413">
        <f t="shared" si="300"/>
        <v>0</v>
      </c>
      <c r="AP115" s="434">
        <f t="shared" si="527"/>
        <v>0</v>
      </c>
      <c r="AQ115" s="140" t="e">
        <f t="shared" si="39"/>
        <v>#VALUE!</v>
      </c>
      <c r="AR115" s="123" t="str">
        <f t="shared" si="506"/>
        <v/>
      </c>
      <c r="AS115" s="148">
        <f t="shared" si="507"/>
        <v>0</v>
      </c>
      <c r="AT115" s="123">
        <f t="shared" si="528"/>
        <v>0</v>
      </c>
      <c r="AU115" s="326" t="e">
        <f t="shared" si="42"/>
        <v>#VALUE!</v>
      </c>
      <c r="AV115" s="326" t="str">
        <f t="shared" si="508"/>
        <v/>
      </c>
      <c r="AW115" s="326">
        <f t="shared" si="509"/>
        <v>0</v>
      </c>
      <c r="AX115" s="332">
        <f t="shared" si="529"/>
        <v>0</v>
      </c>
      <c r="AY115" s="140" t="e">
        <f t="shared" si="45"/>
        <v>#VALUE!</v>
      </c>
      <c r="AZ115" s="326" t="str">
        <f t="shared" si="510"/>
        <v/>
      </c>
      <c r="BA115" s="332">
        <f t="shared" si="511"/>
        <v>0</v>
      </c>
      <c r="BB115" s="122" t="e">
        <f t="shared" ref="BB115:BD115" si="583">SUM(AY115,AU115,AQ115)</f>
        <v>#VALUE!</v>
      </c>
      <c r="BC115" s="326">
        <f t="shared" si="583"/>
        <v>0</v>
      </c>
      <c r="BD115" s="332">
        <f t="shared" si="583"/>
        <v>0</v>
      </c>
      <c r="BE115" s="140" t="e">
        <f t="shared" ref="BE115:BF115" si="584">SUM(BB115,AK115)</f>
        <v>#VALUE!</v>
      </c>
      <c r="BF115" s="326">
        <f t="shared" si="584"/>
        <v>0</v>
      </c>
      <c r="BG115" s="435">
        <f t="shared" si="50"/>
        <v>0</v>
      </c>
      <c r="BH115" s="423">
        <f t="shared" si="532"/>
        <v>62391.5</v>
      </c>
      <c r="BI115" s="123" t="e">
        <f t="shared" si="51"/>
        <v>#VALUE!</v>
      </c>
      <c r="BJ115" s="123" t="str">
        <f t="shared" si="514"/>
        <v/>
      </c>
      <c r="BK115" s="148">
        <f t="shared" si="515"/>
        <v>75153.8</v>
      </c>
      <c r="BL115" s="423">
        <f t="shared" si="543"/>
        <v>0</v>
      </c>
      <c r="BM115" s="123" t="e">
        <f t="shared" si="54"/>
        <v>#VALUE!</v>
      </c>
      <c r="BN115" s="123" t="str">
        <f t="shared" si="516"/>
        <v/>
      </c>
      <c r="BO115" s="123">
        <f t="shared" si="517"/>
        <v>0</v>
      </c>
      <c r="BP115" s="436">
        <f t="shared" si="533"/>
        <v>76329.73</v>
      </c>
      <c r="BQ115" s="140" t="e">
        <f t="shared" si="57"/>
        <v>#VALUE!</v>
      </c>
      <c r="BR115" s="325" t="str">
        <f t="shared" si="518"/>
        <v/>
      </c>
      <c r="BS115" s="333">
        <f t="shared" si="519"/>
        <v>0</v>
      </c>
      <c r="BT115" s="140" t="e">
        <f t="shared" ref="BT115:BV115" si="585">SUM(BQ115,BM115,BI115)</f>
        <v>#VALUE!</v>
      </c>
      <c r="BU115" s="326">
        <f t="shared" si="585"/>
        <v>0</v>
      </c>
      <c r="BV115" s="333">
        <f t="shared" si="585"/>
        <v>75153.8</v>
      </c>
      <c r="BW115" s="125">
        <f t="shared" si="535"/>
        <v>0</v>
      </c>
      <c r="BX115" s="140" t="e">
        <f t="shared" si="61"/>
        <v>#VALUE!</v>
      </c>
      <c r="BY115" s="123" t="str">
        <f t="shared" si="521"/>
        <v/>
      </c>
      <c r="BZ115" s="148">
        <f t="shared" si="522"/>
        <v>107695.95</v>
      </c>
      <c r="CA115" s="123">
        <f t="shared" si="536"/>
        <v>56837.51</v>
      </c>
      <c r="CB115" s="326">
        <f t="shared" si="537"/>
        <v>45923.7</v>
      </c>
      <c r="CI115" s="294"/>
      <c r="CJ115" s="294"/>
    </row>
    <row r="116" spans="1:88" ht="13">
      <c r="A116" s="436">
        <f t="shared" si="491"/>
        <v>112013834</v>
      </c>
      <c r="B116" s="172">
        <f t="shared" si="482"/>
        <v>1</v>
      </c>
      <c r="C116" s="558" t="str">
        <f t="shared" si="483"/>
        <v>Lista</v>
      </c>
      <c r="D116" s="558">
        <f t="shared" si="484"/>
        <v>0.09</v>
      </c>
      <c r="E116" s="559">
        <f t="shared" si="485"/>
        <v>0</v>
      </c>
      <c r="F116" s="836">
        <f t="shared" si="492"/>
        <v>1</v>
      </c>
      <c r="G116" s="558" t="str">
        <f t="shared" si="493"/>
        <v>Lista</v>
      </c>
      <c r="H116" s="558">
        <f t="shared" si="494"/>
        <v>0.09</v>
      </c>
      <c r="I116" s="559">
        <f t="shared" si="495"/>
        <v>0</v>
      </c>
      <c r="J116" s="837">
        <f t="shared" si="496"/>
        <v>71</v>
      </c>
      <c r="K116" s="699" t="str">
        <f t="shared" si="497"/>
        <v>Lista</v>
      </c>
      <c r="L116" s="700">
        <f t="shared" si="498"/>
        <v>0.05</v>
      </c>
      <c r="M116" s="498" t="s">
        <v>798</v>
      </c>
      <c r="N116" s="434" t="str">
        <f>IFERROR(VLOOKUP(M116,BUELA,3,FALSE),"")</f>
        <v/>
      </c>
      <c r="O116" s="141" t="e">
        <f t="shared" si="317"/>
        <v>#VALUE!</v>
      </c>
      <c r="P116" s="113" t="e">
        <f t="shared" si="180"/>
        <v>#VALUE!</v>
      </c>
      <c r="Q116" s="116" t="str">
        <f t="shared" si="499"/>
        <v/>
      </c>
      <c r="R116" s="117">
        <f t="shared" si="500"/>
        <v>297725.07</v>
      </c>
      <c r="S116" s="114" t="e">
        <f t="shared" si="181"/>
        <v>#VALUE!</v>
      </c>
      <c r="T116" s="413" t="str">
        <f t="shared" si="182"/>
        <v/>
      </c>
      <c r="U116" s="123" t="str">
        <f t="shared" si="486"/>
        <v/>
      </c>
      <c r="V116" s="332" t="e">
        <f t="shared" ref="V116:V123" si="586">(U116*1.7245)*1.05</f>
        <v>#VALUE!</v>
      </c>
      <c r="W116" s="113" t="e">
        <f t="shared" si="19"/>
        <v>#VALUE!</v>
      </c>
      <c r="X116" s="116" t="str">
        <f t="shared" si="501"/>
        <v/>
      </c>
      <c r="Y116" s="117">
        <f t="shared" si="502"/>
        <v>179500.2</v>
      </c>
      <c r="Z116" s="114" t="e">
        <f t="shared" si="184"/>
        <v>#VALUE!</v>
      </c>
      <c r="AA116" s="413" t="str">
        <f t="shared" si="185"/>
        <v/>
      </c>
      <c r="AB116" s="125" t="str">
        <f t="shared" si="487"/>
        <v/>
      </c>
      <c r="AC116" s="416" t="e">
        <f t="shared" si="318"/>
        <v>#VALUE!</v>
      </c>
      <c r="AD116" s="113" t="e">
        <f t="shared" si="26"/>
        <v>#VALUE!</v>
      </c>
      <c r="AE116" s="116" t="str">
        <f t="shared" si="503"/>
        <v/>
      </c>
      <c r="AF116" s="117">
        <f t="shared" si="504"/>
        <v>199051</v>
      </c>
      <c r="AG116" s="114" t="e">
        <f t="shared" si="187"/>
        <v>#VALUE!</v>
      </c>
      <c r="AH116" s="413" t="str">
        <f t="shared" si="188"/>
        <v/>
      </c>
      <c r="AI116" s="846" t="e">
        <f t="shared" si="189"/>
        <v>#VALUE!</v>
      </c>
      <c r="AJ116" s="840" t="str">
        <f t="shared" si="505"/>
        <v/>
      </c>
      <c r="AK116" s="116" t="e">
        <f t="shared" si="190"/>
        <v>#VALUE!</v>
      </c>
      <c r="AL116" s="116">
        <f t="shared" si="191"/>
        <v>0</v>
      </c>
      <c r="AM116" s="116">
        <f t="shared" si="192"/>
        <v>676276.27</v>
      </c>
      <c r="AN116" s="116" t="e">
        <f t="shared" si="36"/>
        <v>#VALUE!</v>
      </c>
      <c r="AO116" s="413" t="str">
        <f t="shared" si="300"/>
        <v/>
      </c>
      <c r="AP116" s="434" t="str">
        <f t="shared" si="527"/>
        <v/>
      </c>
      <c r="AQ116" s="140" t="e">
        <f t="shared" si="39"/>
        <v>#VALUE!</v>
      </c>
      <c r="AR116" s="123" t="str">
        <f t="shared" si="506"/>
        <v/>
      </c>
      <c r="AS116" s="148">
        <f t="shared" si="507"/>
        <v>0</v>
      </c>
      <c r="AT116" s="123" t="str">
        <f t="shared" si="528"/>
        <v/>
      </c>
      <c r="AU116" s="326" t="e">
        <f t="shared" si="42"/>
        <v>#VALUE!</v>
      </c>
      <c r="AV116" s="326" t="str">
        <f t="shared" si="508"/>
        <v/>
      </c>
      <c r="AW116" s="326">
        <f t="shared" si="509"/>
        <v>0</v>
      </c>
      <c r="AX116" s="332" t="str">
        <f t="shared" si="529"/>
        <v/>
      </c>
      <c r="AY116" s="140" t="e">
        <f t="shared" si="45"/>
        <v>#VALUE!</v>
      </c>
      <c r="AZ116" s="326" t="str">
        <f t="shared" si="510"/>
        <v/>
      </c>
      <c r="BA116" s="332">
        <f t="shared" si="511"/>
        <v>0</v>
      </c>
      <c r="BB116" s="122" t="e">
        <f t="shared" ref="BB116:BD116" si="587">SUM(AY116,AU116,AQ116)</f>
        <v>#VALUE!</v>
      </c>
      <c r="BC116" s="326">
        <f t="shared" si="587"/>
        <v>0</v>
      </c>
      <c r="BD116" s="332">
        <f t="shared" si="587"/>
        <v>0</v>
      </c>
      <c r="BE116" s="140" t="e">
        <f t="shared" ref="BE116:BF116" si="588">SUM(BB116,AK116)</f>
        <v>#VALUE!</v>
      </c>
      <c r="BF116" s="326">
        <f t="shared" si="588"/>
        <v>0</v>
      </c>
      <c r="BG116" s="435">
        <f t="shared" si="50"/>
        <v>676276.27</v>
      </c>
      <c r="BH116" s="423" t="str">
        <f t="shared" si="532"/>
        <v/>
      </c>
      <c r="BI116" s="123" t="e">
        <f t="shared" si="51"/>
        <v>#VALUE!</v>
      </c>
      <c r="BJ116" s="123" t="str">
        <f t="shared" si="514"/>
        <v/>
      </c>
      <c r="BK116" s="148">
        <f t="shared" si="515"/>
        <v>0</v>
      </c>
      <c r="BL116" s="423" t="str">
        <f t="shared" si="543"/>
        <v/>
      </c>
      <c r="BM116" s="123" t="e">
        <f t="shared" si="54"/>
        <v>#VALUE!</v>
      </c>
      <c r="BN116" s="123" t="str">
        <f t="shared" si="516"/>
        <v/>
      </c>
      <c r="BO116" s="123">
        <f t="shared" si="517"/>
        <v>0</v>
      </c>
      <c r="BP116" s="436" t="str">
        <f t="shared" si="533"/>
        <v/>
      </c>
      <c r="BQ116" s="140" t="e">
        <f t="shared" si="57"/>
        <v>#VALUE!</v>
      </c>
      <c r="BR116" s="325" t="str">
        <f t="shared" si="518"/>
        <v/>
      </c>
      <c r="BS116" s="333">
        <f t="shared" si="519"/>
        <v>0</v>
      </c>
      <c r="BT116" s="140" t="e">
        <f t="shared" ref="BT116:BV116" si="589">SUM(BQ116,BM116,BI116)</f>
        <v>#VALUE!</v>
      </c>
      <c r="BU116" s="326">
        <f t="shared" si="589"/>
        <v>0</v>
      </c>
      <c r="BV116" s="333">
        <f t="shared" si="589"/>
        <v>0</v>
      </c>
      <c r="BW116" s="125" t="str">
        <f t="shared" si="535"/>
        <v/>
      </c>
      <c r="BX116" s="140" t="e">
        <f t="shared" si="61"/>
        <v>#VALUE!</v>
      </c>
      <c r="BY116" s="123" t="str">
        <f t="shared" si="521"/>
        <v/>
      </c>
      <c r="BZ116" s="148">
        <f t="shared" si="522"/>
        <v>0</v>
      </c>
      <c r="CA116" s="123" t="str">
        <f t="shared" si="536"/>
        <v/>
      </c>
      <c r="CB116" s="326" t="str">
        <f t="shared" si="537"/>
        <v/>
      </c>
      <c r="CI116" s="294"/>
      <c r="CJ116" s="294"/>
    </row>
    <row r="117" spans="1:88" ht="13">
      <c r="A117" s="436">
        <f t="shared" si="491"/>
        <v>112013400</v>
      </c>
      <c r="B117" s="172">
        <f t="shared" si="482"/>
        <v>0</v>
      </c>
      <c r="C117" s="558" t="str">
        <f t="shared" si="483"/>
        <v/>
      </c>
      <c r="D117" s="558" t="str">
        <f t="shared" si="484"/>
        <v/>
      </c>
      <c r="E117" s="559" t="str">
        <f t="shared" si="485"/>
        <v/>
      </c>
      <c r="F117" s="836">
        <f t="shared" si="492"/>
        <v>0</v>
      </c>
      <c r="G117" s="558" t="str">
        <f t="shared" si="493"/>
        <v/>
      </c>
      <c r="H117" s="558" t="str">
        <f t="shared" si="494"/>
        <v/>
      </c>
      <c r="I117" s="559" t="str">
        <f t="shared" si="495"/>
        <v/>
      </c>
      <c r="J117" s="837">
        <f t="shared" si="496"/>
        <v>0</v>
      </c>
      <c r="K117" s="699" t="str">
        <f t="shared" ref="K117:K130" si="590">IFERROR(VLOOKUP(J117,A458DC1025,2,FALSE),"")</f>
        <v/>
      </c>
      <c r="L117" s="700" t="str">
        <f t="shared" ref="L117:L130" si="591">IFERROR(VLOOKUP(J117,A458DC1025,3,FALSE),"")</f>
        <v/>
      </c>
      <c r="M117" s="498" t="s">
        <v>799</v>
      </c>
      <c r="N117" s="434"/>
      <c r="O117" s="141">
        <f t="shared" si="317"/>
        <v>0</v>
      </c>
      <c r="P117" s="140" t="e">
        <f t="shared" si="180"/>
        <v>#VALUE!</v>
      </c>
      <c r="Q117" s="116" t="str">
        <f t="shared" si="499"/>
        <v/>
      </c>
      <c r="R117" s="117">
        <f t="shared" si="500"/>
        <v>0</v>
      </c>
      <c r="S117" s="123">
        <f t="shared" si="181"/>
        <v>0</v>
      </c>
      <c r="T117" s="98" t="str">
        <f t="shared" si="182"/>
        <v/>
      </c>
      <c r="U117" s="123" t="str">
        <f t="shared" si="486"/>
        <v/>
      </c>
      <c r="V117" s="332" t="e">
        <f t="shared" si="586"/>
        <v>#VALUE!</v>
      </c>
      <c r="W117" s="113" t="e">
        <f t="shared" si="19"/>
        <v>#VALUE!</v>
      </c>
      <c r="X117" s="116" t="str">
        <f t="shared" si="501"/>
        <v/>
      </c>
      <c r="Y117" s="117">
        <f t="shared" si="502"/>
        <v>0</v>
      </c>
      <c r="Z117" s="114" t="e">
        <f t="shared" si="184"/>
        <v>#VALUE!</v>
      </c>
      <c r="AA117" s="413" t="str">
        <f t="shared" si="185"/>
        <v/>
      </c>
      <c r="AB117" s="125" t="str">
        <f t="shared" si="487"/>
        <v/>
      </c>
      <c r="AC117" s="416" t="e">
        <f t="shared" si="318"/>
        <v>#VALUE!</v>
      </c>
      <c r="AD117" s="113" t="e">
        <f t="shared" si="26"/>
        <v>#VALUE!</v>
      </c>
      <c r="AE117" s="116" t="str">
        <f t="shared" si="503"/>
        <v/>
      </c>
      <c r="AF117" s="117">
        <f t="shared" si="504"/>
        <v>0</v>
      </c>
      <c r="AG117" s="114" t="e">
        <f t="shared" si="187"/>
        <v>#VALUE!</v>
      </c>
      <c r="AH117" s="413" t="str">
        <f t="shared" si="188"/>
        <v/>
      </c>
      <c r="AI117" s="846" t="e">
        <f t="shared" si="189"/>
        <v>#VALUE!</v>
      </c>
      <c r="AJ117" s="840" t="str">
        <f t="shared" si="505"/>
        <v/>
      </c>
      <c r="AK117" s="116" t="e">
        <f t="shared" si="190"/>
        <v>#VALUE!</v>
      </c>
      <c r="AL117" s="116">
        <f t="shared" si="191"/>
        <v>0</v>
      </c>
      <c r="AM117" s="116">
        <f t="shared" si="192"/>
        <v>0</v>
      </c>
      <c r="AN117" s="116" t="e">
        <f t="shared" si="36"/>
        <v>#VALUE!</v>
      </c>
      <c r="AO117" s="413" t="str">
        <f t="shared" si="300"/>
        <v/>
      </c>
      <c r="AP117" s="434"/>
      <c r="AQ117" s="140" t="e">
        <f t="shared" si="39"/>
        <v>#VALUE!</v>
      </c>
      <c r="AR117" s="123" t="str">
        <f t="shared" si="506"/>
        <v/>
      </c>
      <c r="AS117" s="148">
        <f t="shared" si="507"/>
        <v>52828.74</v>
      </c>
      <c r="AT117" s="123"/>
      <c r="AU117" s="326" t="e">
        <f t="shared" si="42"/>
        <v>#VALUE!</v>
      </c>
      <c r="AV117" s="326" t="str">
        <f t="shared" si="508"/>
        <v/>
      </c>
      <c r="AW117" s="326">
        <f t="shared" si="509"/>
        <v>0</v>
      </c>
      <c r="AX117" s="332"/>
      <c r="AY117" s="140" t="e">
        <f t="shared" si="45"/>
        <v>#VALUE!</v>
      </c>
      <c r="AZ117" s="326" t="str">
        <f t="shared" si="510"/>
        <v/>
      </c>
      <c r="BA117" s="332">
        <f t="shared" si="511"/>
        <v>0</v>
      </c>
      <c r="BB117" s="122" t="e">
        <f t="shared" ref="BB117:BD117" si="592">SUM(AY117,AU117,AQ117)</f>
        <v>#VALUE!</v>
      </c>
      <c r="BC117" s="326">
        <f t="shared" si="592"/>
        <v>0</v>
      </c>
      <c r="BD117" s="332">
        <f t="shared" si="592"/>
        <v>52828.74</v>
      </c>
      <c r="BE117" s="140" t="e">
        <f t="shared" ref="BE117:BF117" si="593">SUM(BB117,AK117)</f>
        <v>#VALUE!</v>
      </c>
      <c r="BF117" s="326">
        <f t="shared" si="593"/>
        <v>0</v>
      </c>
      <c r="BG117" s="435">
        <f t="shared" si="50"/>
        <v>52828.74</v>
      </c>
      <c r="BH117" s="423"/>
      <c r="BI117" s="123" t="e">
        <f t="shared" si="51"/>
        <v>#VALUE!</v>
      </c>
      <c r="BJ117" s="123" t="str">
        <f t="shared" si="514"/>
        <v/>
      </c>
      <c r="BK117" s="148">
        <f t="shared" si="515"/>
        <v>0</v>
      </c>
      <c r="BL117" s="423"/>
      <c r="BM117" s="123" t="e">
        <f t="shared" si="54"/>
        <v>#VALUE!</v>
      </c>
      <c r="BN117" s="123" t="str">
        <f t="shared" si="516"/>
        <v/>
      </c>
      <c r="BO117" s="123">
        <f t="shared" si="517"/>
        <v>0</v>
      </c>
      <c r="BP117" s="436"/>
      <c r="BQ117" s="140" t="e">
        <f t="shared" si="57"/>
        <v>#VALUE!</v>
      </c>
      <c r="BR117" s="325" t="str">
        <f t="shared" si="518"/>
        <v/>
      </c>
      <c r="BS117" s="333">
        <f t="shared" si="519"/>
        <v>0</v>
      </c>
      <c r="BT117" s="140" t="e">
        <f t="shared" ref="BT117:BV117" si="594">SUM(BQ117,BM117,BI117)</f>
        <v>#VALUE!</v>
      </c>
      <c r="BU117" s="326">
        <f t="shared" si="594"/>
        <v>0</v>
      </c>
      <c r="BV117" s="333">
        <f t="shared" si="594"/>
        <v>0</v>
      </c>
      <c r="BW117" s="125"/>
      <c r="BX117" s="140" t="e">
        <f t="shared" si="61"/>
        <v>#VALUE!</v>
      </c>
      <c r="BY117" s="123" t="str">
        <f t="shared" si="521"/>
        <v/>
      </c>
      <c r="BZ117" s="148">
        <f t="shared" si="522"/>
        <v>61880</v>
      </c>
      <c r="CA117" s="123"/>
      <c r="CB117" s="326"/>
      <c r="CI117" s="294"/>
      <c r="CJ117" s="294"/>
    </row>
    <row r="118" spans="1:88" ht="13">
      <c r="A118" s="436">
        <f t="shared" si="491"/>
        <v>112012966</v>
      </c>
      <c r="B118" s="172" t="e">
        <f t="shared" si="482"/>
        <v>#N/A</v>
      </c>
      <c r="C118" s="558" t="str">
        <f t="shared" si="483"/>
        <v/>
      </c>
      <c r="D118" s="558" t="str">
        <f t="shared" si="484"/>
        <v/>
      </c>
      <c r="E118" s="559" t="str">
        <f t="shared" si="485"/>
        <v/>
      </c>
      <c r="F118" s="836" t="e">
        <f t="shared" si="492"/>
        <v>#N/A</v>
      </c>
      <c r="G118" s="558" t="str">
        <f t="shared" si="493"/>
        <v/>
      </c>
      <c r="H118" s="558" t="str">
        <f t="shared" si="494"/>
        <v/>
      </c>
      <c r="I118" s="559" t="str">
        <f t="shared" si="495"/>
        <v/>
      </c>
      <c r="J118" s="837">
        <f t="shared" si="496"/>
        <v>0</v>
      </c>
      <c r="K118" s="699" t="str">
        <f t="shared" si="590"/>
        <v/>
      </c>
      <c r="L118" s="700" t="str">
        <f t="shared" si="591"/>
        <v/>
      </c>
      <c r="M118" s="858" t="s">
        <v>800</v>
      </c>
      <c r="N118" s="434" t="str">
        <f t="shared" ref="N118:N123" si="595">IFERROR(VLOOKUP(M118,BUELA,3,FALSE),"")</f>
        <v/>
      </c>
      <c r="O118" s="141" t="e">
        <f t="shared" si="317"/>
        <v>#VALUE!</v>
      </c>
      <c r="P118" s="113" t="e">
        <f t="shared" si="180"/>
        <v>#VALUE!</v>
      </c>
      <c r="Q118" s="116" t="str">
        <f t="shared" si="499"/>
        <v/>
      </c>
      <c r="R118" s="117">
        <f t="shared" si="500"/>
        <v>0</v>
      </c>
      <c r="S118" s="114" t="e">
        <f t="shared" si="181"/>
        <v>#VALUE!</v>
      </c>
      <c r="T118" s="413" t="str">
        <f t="shared" si="182"/>
        <v/>
      </c>
      <c r="U118" s="123" t="str">
        <f t="shared" si="486"/>
        <v/>
      </c>
      <c r="V118" s="332" t="e">
        <f t="shared" si="586"/>
        <v>#VALUE!</v>
      </c>
      <c r="W118" s="113" t="e">
        <f t="shared" si="19"/>
        <v>#VALUE!</v>
      </c>
      <c r="X118" s="116" t="str">
        <f t="shared" si="501"/>
        <v/>
      </c>
      <c r="Y118" s="117">
        <f t="shared" si="502"/>
        <v>0</v>
      </c>
      <c r="Z118" s="114" t="e">
        <f t="shared" si="184"/>
        <v>#VALUE!</v>
      </c>
      <c r="AA118" s="413" t="str">
        <f t="shared" si="185"/>
        <v/>
      </c>
      <c r="AB118" s="125" t="str">
        <f t="shared" si="487"/>
        <v/>
      </c>
      <c r="AC118" s="416" t="e">
        <f t="shared" si="318"/>
        <v>#VALUE!</v>
      </c>
      <c r="AD118" s="113" t="e">
        <f t="shared" si="26"/>
        <v>#VALUE!</v>
      </c>
      <c r="AE118" s="116" t="str">
        <f t="shared" si="503"/>
        <v/>
      </c>
      <c r="AF118" s="117">
        <f t="shared" si="504"/>
        <v>0</v>
      </c>
      <c r="AG118" s="114" t="e">
        <f t="shared" si="187"/>
        <v>#VALUE!</v>
      </c>
      <c r="AH118" s="413" t="str">
        <f t="shared" si="188"/>
        <v/>
      </c>
      <c r="AI118" s="846" t="e">
        <f t="shared" si="189"/>
        <v>#VALUE!</v>
      </c>
      <c r="AJ118" s="840" t="str">
        <f t="shared" si="505"/>
        <v/>
      </c>
      <c r="AK118" s="116" t="e">
        <f t="shared" si="190"/>
        <v>#VALUE!</v>
      </c>
      <c r="AL118" s="116">
        <f t="shared" si="191"/>
        <v>0</v>
      </c>
      <c r="AM118" s="116">
        <f t="shared" si="192"/>
        <v>0</v>
      </c>
      <c r="AN118" s="116" t="e">
        <f t="shared" si="36"/>
        <v>#VALUE!</v>
      </c>
      <c r="AO118" s="413" t="str">
        <f t="shared" si="300"/>
        <v/>
      </c>
      <c r="AP118" s="434" t="str">
        <f t="shared" ref="AP118:AP125" si="596">IFERROR(VLOOKUP(M118,BUELA,6,FALSE),"")</f>
        <v/>
      </c>
      <c r="AQ118" s="140" t="e">
        <f t="shared" si="39"/>
        <v>#VALUE!</v>
      </c>
      <c r="AR118" s="123" t="str">
        <f t="shared" si="506"/>
        <v/>
      </c>
      <c r="AS118" s="148">
        <f t="shared" si="507"/>
        <v>0</v>
      </c>
      <c r="AT118" s="123" t="str">
        <f t="shared" ref="AT118:AT125" si="597">IFERROR(VLOOKUP(M118,BUELA,7,FALSE),"")</f>
        <v/>
      </c>
      <c r="AU118" s="326" t="e">
        <f t="shared" si="42"/>
        <v>#VALUE!</v>
      </c>
      <c r="AV118" s="326" t="str">
        <f t="shared" si="508"/>
        <v/>
      </c>
      <c r="AW118" s="326">
        <f t="shared" si="509"/>
        <v>0</v>
      </c>
      <c r="AX118" s="332" t="str">
        <f t="shared" ref="AX118:AX125" si="598">IFERROR(VLOOKUP(M118,BUELA,8,FALSE),"")</f>
        <v/>
      </c>
      <c r="AY118" s="140" t="e">
        <f t="shared" si="45"/>
        <v>#VALUE!</v>
      </c>
      <c r="AZ118" s="326" t="str">
        <f t="shared" si="510"/>
        <v/>
      </c>
      <c r="BA118" s="332">
        <f t="shared" si="511"/>
        <v>0</v>
      </c>
      <c r="BB118" s="122" t="e">
        <f t="shared" ref="BB118:BD118" si="599">SUM(AY118,AU118,AQ118)</f>
        <v>#VALUE!</v>
      </c>
      <c r="BC118" s="326">
        <f t="shared" si="599"/>
        <v>0</v>
      </c>
      <c r="BD118" s="332">
        <f t="shared" si="599"/>
        <v>0</v>
      </c>
      <c r="BE118" s="140" t="e">
        <f t="shared" ref="BE118:BF118" si="600">SUM(BB118,AK118)</f>
        <v>#VALUE!</v>
      </c>
      <c r="BF118" s="326">
        <f t="shared" si="600"/>
        <v>0</v>
      </c>
      <c r="BG118" s="435">
        <f t="shared" si="50"/>
        <v>0</v>
      </c>
      <c r="BH118" s="423" t="str">
        <f t="shared" ref="BH118:BH125" si="601">IFERROR(VLOOKUP(M118,BUELA,9,FALSE),"")</f>
        <v/>
      </c>
      <c r="BI118" s="123" t="e">
        <f t="shared" si="51"/>
        <v>#VALUE!</v>
      </c>
      <c r="BJ118" s="123" t="str">
        <f t="shared" si="514"/>
        <v/>
      </c>
      <c r="BK118" s="148">
        <f t="shared" si="515"/>
        <v>0</v>
      </c>
      <c r="BL118" s="423" t="str">
        <f t="shared" ref="BL118:BL125" si="602">IFERROR(VLOOKUP(M118,BUELA,10,FALSE),"")</f>
        <v/>
      </c>
      <c r="BM118" s="123" t="e">
        <f t="shared" si="54"/>
        <v>#VALUE!</v>
      </c>
      <c r="BN118" s="123" t="str">
        <f t="shared" si="516"/>
        <v/>
      </c>
      <c r="BO118" s="123">
        <f t="shared" si="517"/>
        <v>0</v>
      </c>
      <c r="BP118" s="436" t="str">
        <f t="shared" ref="BP118:BP125" si="603">IFERROR(VLOOKUP(M118,BUELA,11,FALSE),"")</f>
        <v/>
      </c>
      <c r="BQ118" s="140" t="e">
        <f t="shared" si="57"/>
        <v>#VALUE!</v>
      </c>
      <c r="BR118" s="325" t="str">
        <f t="shared" si="518"/>
        <v/>
      </c>
      <c r="BS118" s="333">
        <f t="shared" si="519"/>
        <v>0</v>
      </c>
      <c r="BT118" s="140" t="e">
        <f t="shared" ref="BT118:BV118" si="604">SUM(BQ118,BM118,BI118)</f>
        <v>#VALUE!</v>
      </c>
      <c r="BU118" s="326">
        <f t="shared" si="604"/>
        <v>0</v>
      </c>
      <c r="BV118" s="333">
        <f t="shared" si="604"/>
        <v>0</v>
      </c>
      <c r="BW118" s="125" t="str">
        <f t="shared" ref="BW118:BW125" si="605">IFERROR(VLOOKUP(M118,BUELA,12,FALSE),"")</f>
        <v/>
      </c>
      <c r="BX118" s="140" t="e">
        <f t="shared" si="61"/>
        <v>#VALUE!</v>
      </c>
      <c r="BY118" s="123" t="str">
        <f t="shared" si="521"/>
        <v/>
      </c>
      <c r="BZ118" s="148">
        <f t="shared" si="522"/>
        <v>0</v>
      </c>
      <c r="CA118" s="123" t="str">
        <f t="shared" ref="CA118:CA125" si="606">IFERROR(VLOOKUP(M118,BUELA,13,FALSE),"")</f>
        <v/>
      </c>
      <c r="CB118" s="326" t="str">
        <f t="shared" ref="CB118:CB125" si="607">IFERROR(VLOOKUP(M118,BUELA,14,FALSE),"")</f>
        <v/>
      </c>
      <c r="CI118" s="294"/>
      <c r="CJ118" s="294"/>
    </row>
    <row r="119" spans="1:88" ht="13">
      <c r="A119" s="436">
        <f t="shared" si="491"/>
        <v>112014405</v>
      </c>
      <c r="B119" s="172">
        <f t="shared" si="482"/>
        <v>0</v>
      </c>
      <c r="C119" s="558" t="str">
        <f t="shared" si="483"/>
        <v/>
      </c>
      <c r="D119" s="558" t="str">
        <f t="shared" si="484"/>
        <v/>
      </c>
      <c r="E119" s="559" t="str">
        <f t="shared" si="485"/>
        <v/>
      </c>
      <c r="F119" s="836">
        <f t="shared" si="492"/>
        <v>0</v>
      </c>
      <c r="G119" s="558" t="str">
        <f t="shared" si="493"/>
        <v/>
      </c>
      <c r="H119" s="558" t="str">
        <f t="shared" si="494"/>
        <v/>
      </c>
      <c r="I119" s="559" t="str">
        <f t="shared" si="495"/>
        <v/>
      </c>
      <c r="J119" s="837">
        <f t="shared" si="496"/>
        <v>0</v>
      </c>
      <c r="K119" s="699" t="str">
        <f t="shared" si="590"/>
        <v/>
      </c>
      <c r="L119" s="700" t="str">
        <f t="shared" si="591"/>
        <v/>
      </c>
      <c r="M119" s="498" t="s">
        <v>801</v>
      </c>
      <c r="N119" s="434">
        <f t="shared" si="595"/>
        <v>0</v>
      </c>
      <c r="O119" s="141">
        <f t="shared" si="317"/>
        <v>0</v>
      </c>
      <c r="P119" s="140" t="e">
        <f t="shared" si="180"/>
        <v>#VALUE!</v>
      </c>
      <c r="Q119" s="116" t="str">
        <f t="shared" si="499"/>
        <v/>
      </c>
      <c r="R119" s="117" t="str">
        <f t="shared" si="500"/>
        <v/>
      </c>
      <c r="S119" s="123" t="e">
        <f t="shared" si="181"/>
        <v>#VALUE!</v>
      </c>
      <c r="T119" s="98" t="str">
        <f t="shared" si="182"/>
        <v/>
      </c>
      <c r="U119" s="123">
        <f t="shared" si="486"/>
        <v>0</v>
      </c>
      <c r="V119" s="332">
        <f t="shared" si="586"/>
        <v>0</v>
      </c>
      <c r="W119" s="113" t="e">
        <f t="shared" si="19"/>
        <v>#VALUE!</v>
      </c>
      <c r="X119" s="116" t="str">
        <f t="shared" si="501"/>
        <v/>
      </c>
      <c r="Y119" s="117" t="str">
        <f t="shared" si="502"/>
        <v/>
      </c>
      <c r="Z119" s="114" t="e">
        <f t="shared" si="184"/>
        <v>#VALUE!</v>
      </c>
      <c r="AA119" s="413" t="str">
        <f t="shared" si="185"/>
        <v/>
      </c>
      <c r="AB119" s="125">
        <f t="shared" si="487"/>
        <v>0</v>
      </c>
      <c r="AC119" s="416">
        <f t="shared" si="318"/>
        <v>0</v>
      </c>
      <c r="AD119" s="113" t="e">
        <f t="shared" si="26"/>
        <v>#VALUE!</v>
      </c>
      <c r="AE119" s="116" t="str">
        <f t="shared" si="503"/>
        <v/>
      </c>
      <c r="AF119" s="117" t="str">
        <f t="shared" si="504"/>
        <v/>
      </c>
      <c r="AG119" s="114" t="e">
        <f t="shared" si="187"/>
        <v>#VALUE!</v>
      </c>
      <c r="AH119" s="413" t="str">
        <f t="shared" si="188"/>
        <v/>
      </c>
      <c r="AI119" s="846">
        <f t="shared" si="189"/>
        <v>0</v>
      </c>
      <c r="AJ119" s="840" t="str">
        <f t="shared" si="505"/>
        <v/>
      </c>
      <c r="AK119" s="116" t="e">
        <f t="shared" si="190"/>
        <v>#VALUE!</v>
      </c>
      <c r="AL119" s="116">
        <f t="shared" si="191"/>
        <v>0</v>
      </c>
      <c r="AM119" s="116">
        <f t="shared" si="192"/>
        <v>0</v>
      </c>
      <c r="AN119" s="116" t="e">
        <f t="shared" si="36"/>
        <v>#VALUE!</v>
      </c>
      <c r="AO119" s="413" t="str">
        <f t="shared" si="300"/>
        <v/>
      </c>
      <c r="AP119" s="434">
        <f t="shared" si="596"/>
        <v>29559.599999999999</v>
      </c>
      <c r="AQ119" s="140" t="e">
        <f t="shared" si="39"/>
        <v>#VALUE!</v>
      </c>
      <c r="AR119" s="123" t="str">
        <f t="shared" si="506"/>
        <v/>
      </c>
      <c r="AS119" s="148" t="str">
        <f t="shared" si="507"/>
        <v/>
      </c>
      <c r="AT119" s="123">
        <f t="shared" si="597"/>
        <v>0</v>
      </c>
      <c r="AU119" s="326" t="e">
        <f t="shared" si="42"/>
        <v>#VALUE!</v>
      </c>
      <c r="AV119" s="326" t="str">
        <f t="shared" si="508"/>
        <v/>
      </c>
      <c r="AW119" s="326" t="str">
        <f t="shared" si="509"/>
        <v/>
      </c>
      <c r="AX119" s="332">
        <f t="shared" si="598"/>
        <v>0</v>
      </c>
      <c r="AY119" s="140" t="e">
        <f t="shared" si="45"/>
        <v>#VALUE!</v>
      </c>
      <c r="AZ119" s="326" t="str">
        <f t="shared" si="510"/>
        <v/>
      </c>
      <c r="BA119" s="332" t="str">
        <f t="shared" si="511"/>
        <v/>
      </c>
      <c r="BB119" s="122" t="e">
        <f t="shared" ref="BB119:BD119" si="608">SUM(AY119,AU119,AQ119)</f>
        <v>#VALUE!</v>
      </c>
      <c r="BC119" s="326">
        <f t="shared" si="608"/>
        <v>0</v>
      </c>
      <c r="BD119" s="332">
        <f t="shared" si="608"/>
        <v>0</v>
      </c>
      <c r="BE119" s="140" t="e">
        <f t="shared" ref="BE119:BF119" si="609">SUM(BB119,AK119)</f>
        <v>#VALUE!</v>
      </c>
      <c r="BF119" s="326">
        <f t="shared" si="609"/>
        <v>0</v>
      </c>
      <c r="BG119" s="435">
        <f t="shared" si="50"/>
        <v>0</v>
      </c>
      <c r="BH119" s="423">
        <f t="shared" si="601"/>
        <v>0</v>
      </c>
      <c r="BI119" s="123" t="e">
        <f t="shared" si="51"/>
        <v>#VALUE!</v>
      </c>
      <c r="BJ119" s="123" t="str">
        <f t="shared" si="514"/>
        <v/>
      </c>
      <c r="BK119" s="148" t="str">
        <f t="shared" si="515"/>
        <v/>
      </c>
      <c r="BL119" s="423">
        <f t="shared" si="602"/>
        <v>0</v>
      </c>
      <c r="BM119" s="123" t="e">
        <f t="shared" si="54"/>
        <v>#VALUE!</v>
      </c>
      <c r="BN119" s="123" t="str">
        <f t="shared" si="516"/>
        <v/>
      </c>
      <c r="BO119" s="123" t="str">
        <f t="shared" si="517"/>
        <v/>
      </c>
      <c r="BP119" s="436">
        <f t="shared" si="603"/>
        <v>0</v>
      </c>
      <c r="BQ119" s="140" t="e">
        <f t="shared" si="57"/>
        <v>#VALUE!</v>
      </c>
      <c r="BR119" s="325" t="str">
        <f t="shared" si="518"/>
        <v/>
      </c>
      <c r="BS119" s="333" t="str">
        <f t="shared" si="519"/>
        <v/>
      </c>
      <c r="BT119" s="140" t="e">
        <f t="shared" ref="BT119:BV119" si="610">SUM(BQ119,BM119,BI119)</f>
        <v>#VALUE!</v>
      </c>
      <c r="BU119" s="326">
        <f t="shared" si="610"/>
        <v>0</v>
      </c>
      <c r="BV119" s="333">
        <f t="shared" si="610"/>
        <v>0</v>
      </c>
      <c r="BW119" s="125">
        <f t="shared" si="605"/>
        <v>0</v>
      </c>
      <c r="BX119" s="140" t="e">
        <f t="shared" si="61"/>
        <v>#VALUE!</v>
      </c>
      <c r="BY119" s="123" t="str">
        <f t="shared" si="521"/>
        <v/>
      </c>
      <c r="BZ119" s="148" t="str">
        <f t="shared" si="522"/>
        <v/>
      </c>
      <c r="CA119" s="123">
        <f t="shared" si="606"/>
        <v>0</v>
      </c>
      <c r="CB119" s="326">
        <f t="shared" si="607"/>
        <v>0</v>
      </c>
      <c r="CI119" s="294"/>
      <c r="CJ119" s="294"/>
    </row>
    <row r="120" spans="1:88" ht="13">
      <c r="A120" s="436">
        <f t="shared" si="491"/>
        <v>11201394201</v>
      </c>
      <c r="B120" s="172">
        <f t="shared" si="482"/>
        <v>0</v>
      </c>
      <c r="C120" s="558" t="str">
        <f t="shared" si="483"/>
        <v/>
      </c>
      <c r="D120" s="558" t="str">
        <f t="shared" si="484"/>
        <v/>
      </c>
      <c r="E120" s="559" t="str">
        <f t="shared" si="485"/>
        <v/>
      </c>
      <c r="F120" s="836">
        <f t="shared" si="492"/>
        <v>0</v>
      </c>
      <c r="G120" s="558" t="str">
        <f t="shared" si="493"/>
        <v/>
      </c>
      <c r="H120" s="558" t="str">
        <f t="shared" si="494"/>
        <v/>
      </c>
      <c r="I120" s="559" t="str">
        <f t="shared" si="495"/>
        <v/>
      </c>
      <c r="J120" s="837">
        <f t="shared" si="496"/>
        <v>0</v>
      </c>
      <c r="K120" s="699" t="str">
        <f t="shared" si="590"/>
        <v/>
      </c>
      <c r="L120" s="700" t="str">
        <f t="shared" si="591"/>
        <v/>
      </c>
      <c r="M120" s="498" t="s">
        <v>802</v>
      </c>
      <c r="N120" s="434" t="str">
        <f t="shared" si="595"/>
        <v/>
      </c>
      <c r="O120" s="141" t="e">
        <f t="shared" si="317"/>
        <v>#VALUE!</v>
      </c>
      <c r="P120" s="140" t="e">
        <f t="shared" si="180"/>
        <v>#VALUE!</v>
      </c>
      <c r="Q120" s="116" t="str">
        <f t="shared" si="499"/>
        <v/>
      </c>
      <c r="R120" s="117" t="str">
        <f t="shared" si="500"/>
        <v/>
      </c>
      <c r="S120" s="123" t="e">
        <f t="shared" si="181"/>
        <v>#VALUE!</v>
      </c>
      <c r="T120" s="98" t="str">
        <f t="shared" si="182"/>
        <v/>
      </c>
      <c r="U120" s="123" t="str">
        <f t="shared" si="486"/>
        <v/>
      </c>
      <c r="V120" s="332" t="e">
        <f t="shared" si="586"/>
        <v>#VALUE!</v>
      </c>
      <c r="W120" s="113" t="e">
        <f t="shared" si="19"/>
        <v>#VALUE!</v>
      </c>
      <c r="X120" s="116" t="str">
        <f t="shared" si="501"/>
        <v/>
      </c>
      <c r="Y120" s="117" t="str">
        <f t="shared" si="502"/>
        <v/>
      </c>
      <c r="Z120" s="114" t="e">
        <f t="shared" si="184"/>
        <v>#VALUE!</v>
      </c>
      <c r="AA120" s="413" t="str">
        <f t="shared" si="185"/>
        <v/>
      </c>
      <c r="AB120" s="125" t="str">
        <f t="shared" si="487"/>
        <v/>
      </c>
      <c r="AC120" s="416" t="e">
        <f t="shared" si="318"/>
        <v>#VALUE!</v>
      </c>
      <c r="AD120" s="113" t="e">
        <f t="shared" si="26"/>
        <v>#VALUE!</v>
      </c>
      <c r="AE120" s="116" t="str">
        <f t="shared" si="503"/>
        <v/>
      </c>
      <c r="AF120" s="117" t="str">
        <f t="shared" si="504"/>
        <v/>
      </c>
      <c r="AG120" s="114" t="e">
        <f t="shared" si="187"/>
        <v>#VALUE!</v>
      </c>
      <c r="AH120" s="413" t="str">
        <f t="shared" si="188"/>
        <v/>
      </c>
      <c r="AI120" s="846" t="e">
        <f t="shared" si="189"/>
        <v>#VALUE!</v>
      </c>
      <c r="AJ120" s="840" t="str">
        <f t="shared" si="505"/>
        <v/>
      </c>
      <c r="AK120" s="116" t="e">
        <f t="shared" si="190"/>
        <v>#VALUE!</v>
      </c>
      <c r="AL120" s="116">
        <f t="shared" si="191"/>
        <v>0</v>
      </c>
      <c r="AM120" s="116">
        <f t="shared" si="192"/>
        <v>0</v>
      </c>
      <c r="AN120" s="116" t="e">
        <f t="shared" si="36"/>
        <v>#VALUE!</v>
      </c>
      <c r="AO120" s="413" t="str">
        <f t="shared" si="300"/>
        <v/>
      </c>
      <c r="AP120" s="434" t="str">
        <f t="shared" si="596"/>
        <v/>
      </c>
      <c r="AQ120" s="140" t="e">
        <f t="shared" si="39"/>
        <v>#VALUE!</v>
      </c>
      <c r="AR120" s="123" t="str">
        <f t="shared" si="506"/>
        <v/>
      </c>
      <c r="AS120" s="148" t="str">
        <f t="shared" si="507"/>
        <v/>
      </c>
      <c r="AT120" s="123" t="str">
        <f t="shared" si="597"/>
        <v/>
      </c>
      <c r="AU120" s="326" t="e">
        <f t="shared" si="42"/>
        <v>#VALUE!</v>
      </c>
      <c r="AV120" s="326" t="str">
        <f t="shared" si="508"/>
        <v/>
      </c>
      <c r="AW120" s="326" t="str">
        <f t="shared" si="509"/>
        <v/>
      </c>
      <c r="AX120" s="332" t="str">
        <f t="shared" si="598"/>
        <v/>
      </c>
      <c r="AY120" s="140" t="e">
        <f t="shared" si="45"/>
        <v>#VALUE!</v>
      </c>
      <c r="AZ120" s="326" t="str">
        <f t="shared" si="510"/>
        <v/>
      </c>
      <c r="BA120" s="332" t="str">
        <f t="shared" si="511"/>
        <v/>
      </c>
      <c r="BB120" s="122" t="e">
        <f t="shared" ref="BB120:BD120" si="611">SUM(AY120,AU120,AQ120)</f>
        <v>#VALUE!</v>
      </c>
      <c r="BC120" s="326">
        <f t="shared" si="611"/>
        <v>0</v>
      </c>
      <c r="BD120" s="332">
        <f t="shared" si="611"/>
        <v>0</v>
      </c>
      <c r="BE120" s="140" t="e">
        <f t="shared" ref="BE120:BF120" si="612">SUM(BB120,AK120)</f>
        <v>#VALUE!</v>
      </c>
      <c r="BF120" s="326">
        <f t="shared" si="612"/>
        <v>0</v>
      </c>
      <c r="BG120" s="435">
        <f t="shared" si="50"/>
        <v>0</v>
      </c>
      <c r="BH120" s="423" t="str">
        <f t="shared" si="601"/>
        <v/>
      </c>
      <c r="BI120" s="123" t="e">
        <f t="shared" si="51"/>
        <v>#VALUE!</v>
      </c>
      <c r="BJ120" s="123" t="str">
        <f t="shared" si="514"/>
        <v/>
      </c>
      <c r="BK120" s="148" t="str">
        <f t="shared" si="515"/>
        <v/>
      </c>
      <c r="BL120" s="423" t="str">
        <f t="shared" si="602"/>
        <v/>
      </c>
      <c r="BM120" s="123" t="e">
        <f t="shared" si="54"/>
        <v>#VALUE!</v>
      </c>
      <c r="BN120" s="123" t="str">
        <f t="shared" si="516"/>
        <v/>
      </c>
      <c r="BO120" s="123" t="str">
        <f t="shared" si="517"/>
        <v/>
      </c>
      <c r="BP120" s="436" t="str">
        <f t="shared" si="603"/>
        <v/>
      </c>
      <c r="BQ120" s="140" t="e">
        <f t="shared" si="57"/>
        <v>#VALUE!</v>
      </c>
      <c r="BR120" s="325" t="str">
        <f t="shared" si="518"/>
        <v/>
      </c>
      <c r="BS120" s="333" t="str">
        <f t="shared" si="519"/>
        <v/>
      </c>
      <c r="BT120" s="140" t="e">
        <f t="shared" ref="BT120:BV120" si="613">SUM(BQ120,BM120,BI120)</f>
        <v>#VALUE!</v>
      </c>
      <c r="BU120" s="326">
        <f t="shared" si="613"/>
        <v>0</v>
      </c>
      <c r="BV120" s="333">
        <f t="shared" si="613"/>
        <v>0</v>
      </c>
      <c r="BW120" s="125" t="str">
        <f t="shared" si="605"/>
        <v/>
      </c>
      <c r="BX120" s="140" t="e">
        <f t="shared" si="61"/>
        <v>#VALUE!</v>
      </c>
      <c r="BY120" s="123" t="str">
        <f t="shared" si="521"/>
        <v/>
      </c>
      <c r="BZ120" s="148" t="str">
        <f t="shared" si="522"/>
        <v/>
      </c>
      <c r="CA120" s="123" t="str">
        <f t="shared" si="606"/>
        <v/>
      </c>
      <c r="CB120" s="326" t="str">
        <f t="shared" si="607"/>
        <v/>
      </c>
      <c r="CI120" s="294"/>
      <c r="CJ120" s="294"/>
    </row>
    <row r="121" spans="1:88" ht="13">
      <c r="A121" s="436">
        <f t="shared" si="491"/>
        <v>112014166</v>
      </c>
      <c r="B121" s="172" t="e">
        <f t="shared" si="482"/>
        <v>#N/A</v>
      </c>
      <c r="C121" s="558" t="str">
        <f t="shared" si="483"/>
        <v/>
      </c>
      <c r="D121" s="558" t="str">
        <f t="shared" si="484"/>
        <v/>
      </c>
      <c r="E121" s="559" t="str">
        <f t="shared" si="485"/>
        <v/>
      </c>
      <c r="F121" s="836">
        <f t="shared" si="492"/>
        <v>0</v>
      </c>
      <c r="G121" s="558" t="str">
        <f t="shared" si="493"/>
        <v/>
      </c>
      <c r="H121" s="558" t="str">
        <f t="shared" si="494"/>
        <v/>
      </c>
      <c r="I121" s="559" t="str">
        <f t="shared" si="495"/>
        <v/>
      </c>
      <c r="J121" s="837">
        <f t="shared" si="496"/>
        <v>0</v>
      </c>
      <c r="K121" s="699" t="str">
        <f t="shared" si="590"/>
        <v/>
      </c>
      <c r="L121" s="700" t="str">
        <f t="shared" si="591"/>
        <v/>
      </c>
      <c r="M121" s="498" t="s">
        <v>803</v>
      </c>
      <c r="N121" s="434" t="str">
        <f t="shared" si="595"/>
        <v/>
      </c>
      <c r="O121" s="141" t="e">
        <f t="shared" si="317"/>
        <v>#VALUE!</v>
      </c>
      <c r="P121" s="140" t="e">
        <f t="shared" si="180"/>
        <v>#VALUE!</v>
      </c>
      <c r="Q121" s="116" t="str">
        <f t="shared" si="499"/>
        <v/>
      </c>
      <c r="R121" s="117">
        <f t="shared" si="500"/>
        <v>0</v>
      </c>
      <c r="S121" s="123" t="e">
        <f t="shared" si="181"/>
        <v>#VALUE!</v>
      </c>
      <c r="T121" s="98" t="str">
        <f t="shared" si="182"/>
        <v/>
      </c>
      <c r="U121" s="123" t="str">
        <f t="shared" si="486"/>
        <v/>
      </c>
      <c r="V121" s="332" t="e">
        <f t="shared" si="586"/>
        <v>#VALUE!</v>
      </c>
      <c r="W121" s="113" t="e">
        <f t="shared" si="19"/>
        <v>#VALUE!</v>
      </c>
      <c r="X121" s="116" t="str">
        <f t="shared" si="501"/>
        <v/>
      </c>
      <c r="Y121" s="117">
        <f t="shared" si="502"/>
        <v>0</v>
      </c>
      <c r="Z121" s="114" t="e">
        <f t="shared" si="184"/>
        <v>#VALUE!</v>
      </c>
      <c r="AA121" s="413" t="str">
        <f t="shared" si="185"/>
        <v/>
      </c>
      <c r="AB121" s="125" t="str">
        <f t="shared" si="487"/>
        <v/>
      </c>
      <c r="AC121" s="416" t="e">
        <f t="shared" si="318"/>
        <v>#VALUE!</v>
      </c>
      <c r="AD121" s="113" t="e">
        <f t="shared" si="26"/>
        <v>#VALUE!</v>
      </c>
      <c r="AE121" s="116" t="str">
        <f t="shared" si="503"/>
        <v/>
      </c>
      <c r="AF121" s="117">
        <f t="shared" si="504"/>
        <v>0</v>
      </c>
      <c r="AG121" s="114" t="e">
        <f t="shared" si="187"/>
        <v>#VALUE!</v>
      </c>
      <c r="AH121" s="413" t="str">
        <f t="shared" si="188"/>
        <v/>
      </c>
      <c r="AI121" s="846" t="e">
        <f t="shared" si="189"/>
        <v>#VALUE!</v>
      </c>
      <c r="AJ121" s="840" t="str">
        <f t="shared" si="505"/>
        <v/>
      </c>
      <c r="AK121" s="116" t="e">
        <f t="shared" si="190"/>
        <v>#VALUE!</v>
      </c>
      <c r="AL121" s="116">
        <f t="shared" si="191"/>
        <v>0</v>
      </c>
      <c r="AM121" s="116">
        <f t="shared" si="192"/>
        <v>0</v>
      </c>
      <c r="AN121" s="116" t="e">
        <f t="shared" si="36"/>
        <v>#VALUE!</v>
      </c>
      <c r="AO121" s="413" t="str">
        <f t="shared" si="300"/>
        <v/>
      </c>
      <c r="AP121" s="434" t="str">
        <f t="shared" si="596"/>
        <v/>
      </c>
      <c r="AQ121" s="140" t="e">
        <f t="shared" si="39"/>
        <v>#VALUE!</v>
      </c>
      <c r="AR121" s="123" t="str">
        <f t="shared" si="506"/>
        <v/>
      </c>
      <c r="AS121" s="148">
        <f t="shared" si="507"/>
        <v>0</v>
      </c>
      <c r="AT121" s="123" t="str">
        <f t="shared" si="597"/>
        <v/>
      </c>
      <c r="AU121" s="326" t="e">
        <f t="shared" si="42"/>
        <v>#VALUE!</v>
      </c>
      <c r="AV121" s="326" t="str">
        <f t="shared" si="508"/>
        <v/>
      </c>
      <c r="AW121" s="326">
        <f t="shared" si="509"/>
        <v>0</v>
      </c>
      <c r="AX121" s="332" t="str">
        <f t="shared" si="598"/>
        <v/>
      </c>
      <c r="AY121" s="140" t="e">
        <f t="shared" si="45"/>
        <v>#VALUE!</v>
      </c>
      <c r="AZ121" s="326" t="str">
        <f t="shared" si="510"/>
        <v/>
      </c>
      <c r="BA121" s="332">
        <f t="shared" si="511"/>
        <v>0</v>
      </c>
      <c r="BB121" s="122" t="e">
        <f t="shared" ref="BB121:BD121" si="614">SUM(AY121,AU121,AQ121)</f>
        <v>#VALUE!</v>
      </c>
      <c r="BC121" s="326">
        <f t="shared" si="614"/>
        <v>0</v>
      </c>
      <c r="BD121" s="332">
        <f t="shared" si="614"/>
        <v>0</v>
      </c>
      <c r="BE121" s="140" t="e">
        <f t="shared" ref="BE121:BF121" si="615">SUM(BB121,AK121)</f>
        <v>#VALUE!</v>
      </c>
      <c r="BF121" s="326">
        <f t="shared" si="615"/>
        <v>0</v>
      </c>
      <c r="BG121" s="435">
        <f t="shared" si="50"/>
        <v>0</v>
      </c>
      <c r="BH121" s="423" t="str">
        <f t="shared" si="601"/>
        <v/>
      </c>
      <c r="BI121" s="123" t="e">
        <f t="shared" si="51"/>
        <v>#VALUE!</v>
      </c>
      <c r="BJ121" s="123" t="str">
        <f t="shared" si="514"/>
        <v/>
      </c>
      <c r="BK121" s="148">
        <f t="shared" si="515"/>
        <v>0</v>
      </c>
      <c r="BL121" s="423" t="str">
        <f t="shared" si="602"/>
        <v/>
      </c>
      <c r="BM121" s="123" t="e">
        <f t="shared" si="54"/>
        <v>#VALUE!</v>
      </c>
      <c r="BN121" s="123" t="str">
        <f t="shared" si="516"/>
        <v/>
      </c>
      <c r="BO121" s="123">
        <f t="shared" si="517"/>
        <v>0</v>
      </c>
      <c r="BP121" s="436" t="str">
        <f t="shared" si="603"/>
        <v/>
      </c>
      <c r="BQ121" s="140" t="e">
        <f t="shared" si="57"/>
        <v>#VALUE!</v>
      </c>
      <c r="BR121" s="325" t="str">
        <f t="shared" si="518"/>
        <v/>
      </c>
      <c r="BS121" s="333">
        <f t="shared" si="519"/>
        <v>44953.59</v>
      </c>
      <c r="BT121" s="140" t="e">
        <f t="shared" ref="BT121:BV121" si="616">SUM(BQ121,BM121,BI121)</f>
        <v>#VALUE!</v>
      </c>
      <c r="BU121" s="326">
        <f t="shared" si="616"/>
        <v>0</v>
      </c>
      <c r="BV121" s="333">
        <f t="shared" si="616"/>
        <v>44953.59</v>
      </c>
      <c r="BW121" s="125" t="str">
        <f t="shared" si="605"/>
        <v/>
      </c>
      <c r="BX121" s="140" t="e">
        <f t="shared" si="61"/>
        <v>#VALUE!</v>
      </c>
      <c r="BY121" s="123" t="str">
        <f t="shared" si="521"/>
        <v/>
      </c>
      <c r="BZ121" s="148">
        <f t="shared" si="522"/>
        <v>0</v>
      </c>
      <c r="CA121" s="123" t="str">
        <f t="shared" si="606"/>
        <v/>
      </c>
      <c r="CB121" s="326" t="str">
        <f t="shared" si="607"/>
        <v/>
      </c>
      <c r="CI121" s="294"/>
      <c r="CJ121" s="294"/>
    </row>
    <row r="122" spans="1:88" ht="13">
      <c r="A122" s="436">
        <f t="shared" si="491"/>
        <v>112013335</v>
      </c>
      <c r="B122" s="172">
        <f t="shared" si="482"/>
        <v>0</v>
      </c>
      <c r="C122" s="558" t="str">
        <f t="shared" si="483"/>
        <v/>
      </c>
      <c r="D122" s="558" t="str">
        <f t="shared" si="484"/>
        <v/>
      </c>
      <c r="E122" s="559" t="str">
        <f t="shared" si="485"/>
        <v/>
      </c>
      <c r="F122" s="836">
        <f t="shared" si="492"/>
        <v>0</v>
      </c>
      <c r="G122" s="558" t="str">
        <f t="shared" si="493"/>
        <v/>
      </c>
      <c r="H122" s="558" t="str">
        <f t="shared" si="494"/>
        <v/>
      </c>
      <c r="I122" s="559" t="str">
        <f t="shared" si="495"/>
        <v/>
      </c>
      <c r="J122" s="837">
        <f t="shared" si="496"/>
        <v>0</v>
      </c>
      <c r="K122" s="699" t="str">
        <f t="shared" si="590"/>
        <v/>
      </c>
      <c r="L122" s="700" t="str">
        <f t="shared" si="591"/>
        <v/>
      </c>
      <c r="M122" s="498" t="s">
        <v>804</v>
      </c>
      <c r="N122" s="434">
        <f t="shared" si="595"/>
        <v>131837.64000000001</v>
      </c>
      <c r="O122" s="141">
        <f t="shared" si="317"/>
        <v>221625.66472200005</v>
      </c>
      <c r="P122" s="140">
        <f t="shared" si="180"/>
        <v>72010</v>
      </c>
      <c r="Q122" s="116">
        <f t="shared" si="499"/>
        <v>47699.5</v>
      </c>
      <c r="R122" s="117">
        <f t="shared" si="500"/>
        <v>119709.5</v>
      </c>
      <c r="S122" s="123">
        <f t="shared" si="181"/>
        <v>-101916.16472200005</v>
      </c>
      <c r="T122" s="98">
        <f t="shared" si="182"/>
        <v>0.54014276798745153</v>
      </c>
      <c r="U122" s="123">
        <f t="shared" si="486"/>
        <v>107674.06</v>
      </c>
      <c r="V122" s="332">
        <f t="shared" si="586"/>
        <v>194968.11229350002</v>
      </c>
      <c r="W122" s="113">
        <f t="shared" si="19"/>
        <v>22643.479999999996</v>
      </c>
      <c r="X122" s="116">
        <f t="shared" si="501"/>
        <v>69591.56</v>
      </c>
      <c r="Y122" s="117">
        <f t="shared" si="502"/>
        <v>92235.04</v>
      </c>
      <c r="Z122" s="114">
        <f t="shared" si="184"/>
        <v>-102733.07229350002</v>
      </c>
      <c r="AA122" s="413">
        <f t="shared" si="185"/>
        <v>0.47307756594140749</v>
      </c>
      <c r="AB122" s="125">
        <f t="shared" si="487"/>
        <v>98195.23</v>
      </c>
      <c r="AC122" s="416">
        <f t="shared" si="318"/>
        <v>161370.60414894999</v>
      </c>
      <c r="AD122" s="113">
        <f t="shared" si="26"/>
        <v>182873.84999999998</v>
      </c>
      <c r="AE122" s="116">
        <f t="shared" si="503"/>
        <v>71304.2</v>
      </c>
      <c r="AF122" s="117">
        <f t="shared" si="504"/>
        <v>254178.05</v>
      </c>
      <c r="AG122" s="114">
        <f t="shared" si="187"/>
        <v>92807.445851049997</v>
      </c>
      <c r="AH122" s="413">
        <f t="shared" si="188"/>
        <v>1.5751199008053902</v>
      </c>
      <c r="AI122" s="846">
        <f t="shared" si="189"/>
        <v>577964.38116445008</v>
      </c>
      <c r="AJ122" s="840">
        <f t="shared" si="505"/>
        <v>830669.45</v>
      </c>
      <c r="AK122" s="116">
        <f t="shared" si="190"/>
        <v>277527.32999999996</v>
      </c>
      <c r="AL122" s="116">
        <f t="shared" si="191"/>
        <v>258186.82</v>
      </c>
      <c r="AM122" s="116">
        <f t="shared" si="192"/>
        <v>466122.58999999997</v>
      </c>
      <c r="AN122" s="116">
        <f t="shared" si="36"/>
        <v>-364546.86</v>
      </c>
      <c r="AO122" s="413">
        <f t="shared" si="300"/>
        <v>0.56114088462023015</v>
      </c>
      <c r="AP122" s="434">
        <f t="shared" si="596"/>
        <v>130720.08</v>
      </c>
      <c r="AQ122" s="140">
        <f t="shared" si="39"/>
        <v>118116.35</v>
      </c>
      <c r="AR122" s="123">
        <f t="shared" si="506"/>
        <v>81290.19</v>
      </c>
      <c r="AS122" s="148">
        <f t="shared" si="507"/>
        <v>199406.54</v>
      </c>
      <c r="AT122" s="123">
        <f t="shared" si="597"/>
        <v>98538.64</v>
      </c>
      <c r="AU122" s="326">
        <f t="shared" si="42"/>
        <v>33229.999999999985</v>
      </c>
      <c r="AV122" s="326">
        <f t="shared" si="508"/>
        <v>111591.46</v>
      </c>
      <c r="AW122" s="326">
        <f t="shared" si="509"/>
        <v>144821.46</v>
      </c>
      <c r="AX122" s="332">
        <f t="shared" si="598"/>
        <v>92377.9</v>
      </c>
      <c r="AY122" s="140">
        <f t="shared" si="45"/>
        <v>110366.8</v>
      </c>
      <c r="AZ122" s="326">
        <f t="shared" si="510"/>
        <v>114921.24</v>
      </c>
      <c r="BA122" s="332">
        <f t="shared" si="511"/>
        <v>225288.04</v>
      </c>
      <c r="BB122" s="122">
        <f t="shared" ref="BB122:BD122" si="617">SUM(AY122,AU122,AQ122)</f>
        <v>261713.15</v>
      </c>
      <c r="BC122" s="326">
        <f t="shared" si="617"/>
        <v>307802.89</v>
      </c>
      <c r="BD122" s="332">
        <f t="shared" si="617"/>
        <v>569516.04</v>
      </c>
      <c r="BE122" s="140">
        <f t="shared" ref="BE122:BF122" si="618">SUM(BB122,AK122)</f>
        <v>539240.48</v>
      </c>
      <c r="BF122" s="326">
        <f t="shared" si="618"/>
        <v>565989.71</v>
      </c>
      <c r="BG122" s="435">
        <f t="shared" si="50"/>
        <v>1035638.63</v>
      </c>
      <c r="BH122" s="423">
        <f t="shared" si="601"/>
        <v>113337.82</v>
      </c>
      <c r="BI122" s="123">
        <f t="shared" si="51"/>
        <v>190298.98000000004</v>
      </c>
      <c r="BJ122" s="123">
        <f t="shared" si="514"/>
        <v>87181.11</v>
      </c>
      <c r="BK122" s="148">
        <f t="shared" si="515"/>
        <v>277480.09000000003</v>
      </c>
      <c r="BL122" s="423">
        <f t="shared" si="602"/>
        <v>191329.65</v>
      </c>
      <c r="BM122" s="123">
        <f t="shared" si="54"/>
        <v>260494.32</v>
      </c>
      <c r="BN122" s="123">
        <f t="shared" si="516"/>
        <v>36583.800000000003</v>
      </c>
      <c r="BO122" s="123">
        <f t="shared" si="517"/>
        <v>297078.12</v>
      </c>
      <c r="BP122" s="436">
        <f t="shared" si="603"/>
        <v>193693.11</v>
      </c>
      <c r="BQ122" s="140">
        <f t="shared" si="57"/>
        <v>84229.8</v>
      </c>
      <c r="BR122" s="325">
        <f t="shared" si="518"/>
        <v>81619.83</v>
      </c>
      <c r="BS122" s="333">
        <f t="shared" si="519"/>
        <v>165849.63</v>
      </c>
      <c r="BT122" s="140">
        <f t="shared" ref="BT122:BV122" si="619">SUM(BQ122,BM122,BI122)</f>
        <v>535023.10000000009</v>
      </c>
      <c r="BU122" s="326">
        <f t="shared" si="619"/>
        <v>205384.74</v>
      </c>
      <c r="BV122" s="333">
        <f t="shared" si="619"/>
        <v>740407.84000000008</v>
      </c>
      <c r="BW122" s="125">
        <f t="shared" si="605"/>
        <v>254245.7</v>
      </c>
      <c r="BX122" s="140">
        <f t="shared" si="61"/>
        <v>397834.09</v>
      </c>
      <c r="BY122" s="123">
        <f t="shared" si="521"/>
        <v>22021</v>
      </c>
      <c r="BZ122" s="148">
        <f t="shared" si="522"/>
        <v>419855.09</v>
      </c>
      <c r="CA122" s="123">
        <f t="shared" si="606"/>
        <v>290786.65000000002</v>
      </c>
      <c r="CB122" s="326">
        <f t="shared" si="607"/>
        <v>285637.09999999998</v>
      </c>
      <c r="CI122" s="294"/>
      <c r="CJ122" s="294"/>
    </row>
    <row r="123" spans="1:88" ht="13">
      <c r="A123" s="436">
        <f t="shared" si="491"/>
        <v>112012669</v>
      </c>
      <c r="B123" s="172">
        <f t="shared" si="482"/>
        <v>0</v>
      </c>
      <c r="C123" s="558" t="str">
        <f t="shared" si="483"/>
        <v/>
      </c>
      <c r="D123" s="558" t="str">
        <f t="shared" si="484"/>
        <v/>
      </c>
      <c r="E123" s="559" t="str">
        <f t="shared" si="485"/>
        <v/>
      </c>
      <c r="F123" s="836">
        <f t="shared" si="492"/>
        <v>0</v>
      </c>
      <c r="G123" s="558" t="str">
        <f t="shared" si="493"/>
        <v/>
      </c>
      <c r="H123" s="558" t="str">
        <f t="shared" si="494"/>
        <v/>
      </c>
      <c r="I123" s="559" t="str">
        <f t="shared" si="495"/>
        <v/>
      </c>
      <c r="J123" s="837">
        <f t="shared" si="496"/>
        <v>0</v>
      </c>
      <c r="K123" s="699" t="str">
        <f t="shared" si="590"/>
        <v/>
      </c>
      <c r="L123" s="700" t="str">
        <f t="shared" si="591"/>
        <v/>
      </c>
      <c r="M123" s="498" t="s">
        <v>805</v>
      </c>
      <c r="N123" s="434">
        <f t="shared" si="595"/>
        <v>0</v>
      </c>
      <c r="O123" s="141">
        <f t="shared" si="317"/>
        <v>0</v>
      </c>
      <c r="P123" s="140" t="e">
        <f t="shared" si="180"/>
        <v>#VALUE!</v>
      </c>
      <c r="Q123" s="116" t="str">
        <f t="shared" si="499"/>
        <v/>
      </c>
      <c r="R123" s="117" t="str">
        <f t="shared" si="500"/>
        <v/>
      </c>
      <c r="S123" s="123" t="e">
        <f t="shared" si="181"/>
        <v>#VALUE!</v>
      </c>
      <c r="T123" s="98" t="str">
        <f t="shared" si="182"/>
        <v/>
      </c>
      <c r="U123" s="123">
        <f t="shared" si="486"/>
        <v>0</v>
      </c>
      <c r="V123" s="332">
        <f t="shared" si="586"/>
        <v>0</v>
      </c>
      <c r="W123" s="113" t="e">
        <f t="shared" si="19"/>
        <v>#VALUE!</v>
      </c>
      <c r="X123" s="116" t="str">
        <f t="shared" si="501"/>
        <v/>
      </c>
      <c r="Y123" s="117" t="str">
        <f t="shared" si="502"/>
        <v/>
      </c>
      <c r="Z123" s="114" t="e">
        <f t="shared" si="184"/>
        <v>#VALUE!</v>
      </c>
      <c r="AA123" s="413" t="str">
        <f t="shared" si="185"/>
        <v/>
      </c>
      <c r="AB123" s="125">
        <f t="shared" si="487"/>
        <v>0</v>
      </c>
      <c r="AC123" s="416">
        <f t="shared" si="318"/>
        <v>0</v>
      </c>
      <c r="AD123" s="113" t="e">
        <f t="shared" si="26"/>
        <v>#VALUE!</v>
      </c>
      <c r="AE123" s="116" t="str">
        <f t="shared" si="503"/>
        <v/>
      </c>
      <c r="AF123" s="117" t="str">
        <f t="shared" si="504"/>
        <v/>
      </c>
      <c r="AG123" s="114" t="e">
        <f t="shared" si="187"/>
        <v>#VALUE!</v>
      </c>
      <c r="AH123" s="413" t="str">
        <f t="shared" si="188"/>
        <v/>
      </c>
      <c r="AI123" s="846">
        <f t="shared" si="189"/>
        <v>0</v>
      </c>
      <c r="AJ123" s="840">
        <f t="shared" si="505"/>
        <v>14851.5</v>
      </c>
      <c r="AK123" s="116" t="e">
        <f t="shared" si="190"/>
        <v>#VALUE!</v>
      </c>
      <c r="AL123" s="116">
        <f t="shared" si="191"/>
        <v>0</v>
      </c>
      <c r="AM123" s="116">
        <f t="shared" si="192"/>
        <v>0</v>
      </c>
      <c r="AN123" s="116">
        <f t="shared" si="36"/>
        <v>-14851.5</v>
      </c>
      <c r="AO123" s="413">
        <f t="shared" si="300"/>
        <v>0</v>
      </c>
      <c r="AP123" s="434">
        <f t="shared" si="596"/>
        <v>0</v>
      </c>
      <c r="AQ123" s="140" t="e">
        <f t="shared" si="39"/>
        <v>#VALUE!</v>
      </c>
      <c r="AR123" s="123" t="str">
        <f t="shared" si="506"/>
        <v/>
      </c>
      <c r="AS123" s="148" t="str">
        <f t="shared" si="507"/>
        <v/>
      </c>
      <c r="AT123" s="123">
        <f t="shared" si="597"/>
        <v>0</v>
      </c>
      <c r="AU123" s="326" t="e">
        <f t="shared" si="42"/>
        <v>#VALUE!</v>
      </c>
      <c r="AV123" s="326" t="str">
        <f t="shared" si="508"/>
        <v/>
      </c>
      <c r="AW123" s="326" t="str">
        <f t="shared" si="509"/>
        <v/>
      </c>
      <c r="AX123" s="332">
        <f t="shared" si="598"/>
        <v>0</v>
      </c>
      <c r="AY123" s="140" t="e">
        <f t="shared" si="45"/>
        <v>#VALUE!</v>
      </c>
      <c r="AZ123" s="326" t="str">
        <f t="shared" si="510"/>
        <v/>
      </c>
      <c r="BA123" s="332" t="str">
        <f t="shared" si="511"/>
        <v/>
      </c>
      <c r="BB123" s="122" t="e">
        <f t="shared" ref="BB123:BD123" si="620">SUM(AY123,AU123,AQ123)</f>
        <v>#VALUE!</v>
      </c>
      <c r="BC123" s="326">
        <f t="shared" si="620"/>
        <v>0</v>
      </c>
      <c r="BD123" s="332">
        <f t="shared" si="620"/>
        <v>0</v>
      </c>
      <c r="BE123" s="140" t="e">
        <f t="shared" ref="BE123:BF123" si="621">SUM(BB123,AK123)</f>
        <v>#VALUE!</v>
      </c>
      <c r="BF123" s="326">
        <f t="shared" si="621"/>
        <v>0</v>
      </c>
      <c r="BG123" s="435">
        <f t="shared" si="50"/>
        <v>0</v>
      </c>
      <c r="BH123" s="423">
        <f t="shared" si="601"/>
        <v>0</v>
      </c>
      <c r="BI123" s="123" t="e">
        <f t="shared" si="51"/>
        <v>#VALUE!</v>
      </c>
      <c r="BJ123" s="123" t="str">
        <f t="shared" si="514"/>
        <v/>
      </c>
      <c r="BK123" s="148" t="str">
        <f t="shared" si="515"/>
        <v/>
      </c>
      <c r="BL123" s="423">
        <f t="shared" si="602"/>
        <v>0</v>
      </c>
      <c r="BM123" s="123" t="e">
        <f t="shared" si="54"/>
        <v>#VALUE!</v>
      </c>
      <c r="BN123" s="123" t="str">
        <f t="shared" si="516"/>
        <v/>
      </c>
      <c r="BO123" s="123" t="str">
        <f t="shared" si="517"/>
        <v/>
      </c>
      <c r="BP123" s="436">
        <f t="shared" si="603"/>
        <v>0</v>
      </c>
      <c r="BQ123" s="140" t="e">
        <f t="shared" si="57"/>
        <v>#VALUE!</v>
      </c>
      <c r="BR123" s="325" t="str">
        <f t="shared" si="518"/>
        <v/>
      </c>
      <c r="BS123" s="333" t="str">
        <f t="shared" si="519"/>
        <v/>
      </c>
      <c r="BT123" s="140" t="e">
        <f t="shared" ref="BT123:BV123" si="622">SUM(BQ123,BM123,BI123)</f>
        <v>#VALUE!</v>
      </c>
      <c r="BU123" s="326">
        <f t="shared" si="622"/>
        <v>0</v>
      </c>
      <c r="BV123" s="333">
        <f t="shared" si="622"/>
        <v>0</v>
      </c>
      <c r="BW123" s="125">
        <f t="shared" si="605"/>
        <v>14851.5</v>
      </c>
      <c r="BX123" s="140" t="e">
        <f t="shared" si="61"/>
        <v>#VALUE!</v>
      </c>
      <c r="BY123" s="123" t="str">
        <f t="shared" si="521"/>
        <v/>
      </c>
      <c r="BZ123" s="148" t="str">
        <f t="shared" si="522"/>
        <v/>
      </c>
      <c r="CA123" s="123">
        <f t="shared" si="606"/>
        <v>0</v>
      </c>
      <c r="CB123" s="326">
        <f t="shared" si="607"/>
        <v>0</v>
      </c>
      <c r="CI123" s="294"/>
      <c r="CJ123" s="294"/>
    </row>
    <row r="124" spans="1:88" ht="13">
      <c r="A124" s="436">
        <f t="shared" si="491"/>
        <v>112012899</v>
      </c>
      <c r="B124" s="172">
        <f t="shared" si="482"/>
        <v>0</v>
      </c>
      <c r="C124" s="558" t="str">
        <f t="shared" si="483"/>
        <v/>
      </c>
      <c r="D124" s="558" t="str">
        <f t="shared" si="484"/>
        <v/>
      </c>
      <c r="E124" s="559" t="str">
        <f t="shared" si="485"/>
        <v/>
      </c>
      <c r="F124" s="836">
        <f t="shared" si="492"/>
        <v>0</v>
      </c>
      <c r="G124" s="558" t="str">
        <f t="shared" si="493"/>
        <v/>
      </c>
      <c r="H124" s="558" t="str">
        <f t="shared" si="494"/>
        <v/>
      </c>
      <c r="I124" s="559" t="str">
        <f t="shared" si="495"/>
        <v/>
      </c>
      <c r="J124" s="837">
        <f t="shared" si="496"/>
        <v>0</v>
      </c>
      <c r="K124" s="699" t="str">
        <f t="shared" si="590"/>
        <v/>
      </c>
      <c r="L124" s="700" t="str">
        <f t="shared" si="591"/>
        <v/>
      </c>
      <c r="M124" s="859" t="s">
        <v>806</v>
      </c>
      <c r="N124" s="434"/>
      <c r="O124" s="141">
        <f t="shared" si="317"/>
        <v>0</v>
      </c>
      <c r="P124" s="140" t="e">
        <f t="shared" si="180"/>
        <v>#VALUE!</v>
      </c>
      <c r="Q124" s="116" t="str">
        <f t="shared" si="499"/>
        <v/>
      </c>
      <c r="R124" s="117">
        <f t="shared" si="500"/>
        <v>0</v>
      </c>
      <c r="S124" s="123">
        <f t="shared" si="181"/>
        <v>0</v>
      </c>
      <c r="T124" s="98" t="str">
        <f t="shared" si="182"/>
        <v/>
      </c>
      <c r="U124" s="123">
        <f t="shared" si="486"/>
        <v>542559.5</v>
      </c>
      <c r="V124" s="332"/>
      <c r="W124" s="113" t="e">
        <f t="shared" si="19"/>
        <v>#VALUE!</v>
      </c>
      <c r="X124" s="116" t="str">
        <f t="shared" si="501"/>
        <v/>
      </c>
      <c r="Y124" s="117">
        <f t="shared" si="502"/>
        <v>785285.12</v>
      </c>
      <c r="Z124" s="114">
        <f t="shared" si="184"/>
        <v>785285.12</v>
      </c>
      <c r="AA124" s="413" t="str">
        <f t="shared" si="185"/>
        <v/>
      </c>
      <c r="AB124" s="125">
        <f t="shared" si="487"/>
        <v>0</v>
      </c>
      <c r="AC124" s="416">
        <f t="shared" si="318"/>
        <v>0</v>
      </c>
      <c r="AD124" s="113" t="e">
        <f t="shared" si="26"/>
        <v>#VALUE!</v>
      </c>
      <c r="AE124" s="116" t="str">
        <f t="shared" si="503"/>
        <v/>
      </c>
      <c r="AF124" s="117">
        <f t="shared" si="504"/>
        <v>0</v>
      </c>
      <c r="AG124" s="114">
        <f t="shared" si="187"/>
        <v>0</v>
      </c>
      <c r="AH124" s="413" t="str">
        <f t="shared" si="188"/>
        <v/>
      </c>
      <c r="AI124" s="846">
        <f t="shared" si="189"/>
        <v>0</v>
      </c>
      <c r="AJ124" s="840">
        <f t="shared" si="505"/>
        <v>506423.14</v>
      </c>
      <c r="AK124" s="116" t="e">
        <f t="shared" si="190"/>
        <v>#VALUE!</v>
      </c>
      <c r="AL124" s="116">
        <f t="shared" si="191"/>
        <v>0</v>
      </c>
      <c r="AM124" s="116">
        <f t="shared" si="192"/>
        <v>785285.12</v>
      </c>
      <c r="AN124" s="116">
        <f t="shared" si="36"/>
        <v>278861.98</v>
      </c>
      <c r="AO124" s="413">
        <f t="shared" si="300"/>
        <v>1.550650153940438</v>
      </c>
      <c r="AP124" s="434">
        <f t="shared" si="596"/>
        <v>322124.78999999998</v>
      </c>
      <c r="AQ124" s="140" t="e">
        <f t="shared" si="39"/>
        <v>#VALUE!</v>
      </c>
      <c r="AR124" s="123" t="str">
        <f t="shared" si="506"/>
        <v/>
      </c>
      <c r="AS124" s="148">
        <f t="shared" si="507"/>
        <v>0</v>
      </c>
      <c r="AT124" s="123">
        <f t="shared" si="597"/>
        <v>0</v>
      </c>
      <c r="AU124" s="326" t="e">
        <f t="shared" si="42"/>
        <v>#VALUE!</v>
      </c>
      <c r="AV124" s="326" t="str">
        <f t="shared" si="508"/>
        <v/>
      </c>
      <c r="AW124" s="326">
        <f t="shared" si="509"/>
        <v>0</v>
      </c>
      <c r="AX124" s="332">
        <f t="shared" si="598"/>
        <v>1138514.8799999999</v>
      </c>
      <c r="AY124" s="140" t="e">
        <f t="shared" si="45"/>
        <v>#VALUE!</v>
      </c>
      <c r="AZ124" s="326" t="str">
        <f t="shared" si="510"/>
        <v/>
      </c>
      <c r="BA124" s="332">
        <f t="shared" si="511"/>
        <v>0</v>
      </c>
      <c r="BB124" s="122" t="e">
        <f t="shared" ref="BB124:BD124" si="623">SUM(AY124,AU124,AQ124)</f>
        <v>#VALUE!</v>
      </c>
      <c r="BC124" s="326">
        <f t="shared" si="623"/>
        <v>0</v>
      </c>
      <c r="BD124" s="332">
        <f t="shared" si="623"/>
        <v>0</v>
      </c>
      <c r="BE124" s="140" t="e">
        <f t="shared" ref="BE124:BF124" si="624">SUM(BB124,AK124)</f>
        <v>#VALUE!</v>
      </c>
      <c r="BF124" s="326">
        <f t="shared" si="624"/>
        <v>0</v>
      </c>
      <c r="BG124" s="435">
        <f t="shared" si="50"/>
        <v>785285.12</v>
      </c>
      <c r="BH124" s="423">
        <f t="shared" si="601"/>
        <v>590950.41</v>
      </c>
      <c r="BI124" s="123" t="e">
        <f t="shared" si="51"/>
        <v>#VALUE!</v>
      </c>
      <c r="BJ124" s="123" t="str">
        <f t="shared" si="514"/>
        <v/>
      </c>
      <c r="BK124" s="148">
        <f t="shared" si="515"/>
        <v>0</v>
      </c>
      <c r="BL124" s="423">
        <f t="shared" si="602"/>
        <v>0</v>
      </c>
      <c r="BM124" s="123" t="e">
        <f t="shared" si="54"/>
        <v>#VALUE!</v>
      </c>
      <c r="BN124" s="123" t="str">
        <f t="shared" si="516"/>
        <v/>
      </c>
      <c r="BO124" s="123">
        <f t="shared" si="517"/>
        <v>0</v>
      </c>
      <c r="BP124" s="436">
        <f t="shared" si="603"/>
        <v>1017239.67</v>
      </c>
      <c r="BQ124" s="140" t="e">
        <f t="shared" si="57"/>
        <v>#VALUE!</v>
      </c>
      <c r="BR124" s="325" t="str">
        <f t="shared" si="518"/>
        <v/>
      </c>
      <c r="BS124" s="333">
        <f t="shared" si="519"/>
        <v>1346270.25</v>
      </c>
      <c r="BT124" s="140" t="e">
        <f t="shared" ref="BT124:BV124" si="625">SUM(BQ124,BM124,BI124)</f>
        <v>#VALUE!</v>
      </c>
      <c r="BU124" s="326">
        <f t="shared" si="625"/>
        <v>0</v>
      </c>
      <c r="BV124" s="333">
        <f t="shared" si="625"/>
        <v>1346270.25</v>
      </c>
      <c r="BW124" s="125">
        <f t="shared" si="605"/>
        <v>0</v>
      </c>
      <c r="BX124" s="140" t="e">
        <f t="shared" si="61"/>
        <v>#VALUE!</v>
      </c>
      <c r="BY124" s="123" t="str">
        <f t="shared" si="521"/>
        <v/>
      </c>
      <c r="BZ124" s="148">
        <f t="shared" si="522"/>
        <v>0</v>
      </c>
      <c r="CA124" s="123">
        <f t="shared" si="606"/>
        <v>0</v>
      </c>
      <c r="CB124" s="326">
        <f t="shared" si="607"/>
        <v>506423.14</v>
      </c>
      <c r="CI124" s="294"/>
      <c r="CJ124" s="294"/>
    </row>
    <row r="125" spans="1:88" ht="13">
      <c r="A125" s="436">
        <f t="shared" si="491"/>
        <v>112014386</v>
      </c>
      <c r="B125" s="172">
        <f t="shared" si="482"/>
        <v>0</v>
      </c>
      <c r="C125" s="558" t="str">
        <f t="shared" si="483"/>
        <v/>
      </c>
      <c r="D125" s="558" t="str">
        <f t="shared" si="484"/>
        <v/>
      </c>
      <c r="E125" s="559" t="str">
        <f t="shared" si="485"/>
        <v/>
      </c>
      <c r="F125" s="836">
        <f t="shared" si="492"/>
        <v>0</v>
      </c>
      <c r="G125" s="558" t="str">
        <f t="shared" si="493"/>
        <v/>
      </c>
      <c r="H125" s="558" t="str">
        <f t="shared" si="494"/>
        <v/>
      </c>
      <c r="I125" s="559" t="str">
        <f t="shared" si="495"/>
        <v/>
      </c>
      <c r="J125" s="837">
        <f t="shared" si="496"/>
        <v>0</v>
      </c>
      <c r="K125" s="699" t="str">
        <f t="shared" si="590"/>
        <v/>
      </c>
      <c r="L125" s="700" t="str">
        <f t="shared" si="591"/>
        <v/>
      </c>
      <c r="M125" s="859" t="s">
        <v>807</v>
      </c>
      <c r="N125" s="434"/>
      <c r="O125" s="141">
        <f t="shared" si="317"/>
        <v>0</v>
      </c>
      <c r="P125" s="140" t="e">
        <f t="shared" si="180"/>
        <v>#VALUE!</v>
      </c>
      <c r="Q125" s="116" t="str">
        <f t="shared" si="499"/>
        <v/>
      </c>
      <c r="R125" s="117">
        <f t="shared" si="500"/>
        <v>0</v>
      </c>
      <c r="S125" s="123">
        <f t="shared" si="181"/>
        <v>0</v>
      </c>
      <c r="T125" s="98" t="str">
        <f t="shared" si="182"/>
        <v/>
      </c>
      <c r="U125" s="123">
        <f t="shared" si="486"/>
        <v>0</v>
      </c>
      <c r="V125" s="332"/>
      <c r="W125" s="113" t="e">
        <f t="shared" si="19"/>
        <v>#VALUE!</v>
      </c>
      <c r="X125" s="116" t="str">
        <f t="shared" si="501"/>
        <v/>
      </c>
      <c r="Y125" s="117">
        <f t="shared" si="502"/>
        <v>0</v>
      </c>
      <c r="Z125" s="114">
        <f t="shared" si="184"/>
        <v>0</v>
      </c>
      <c r="AA125" s="413" t="str">
        <f t="shared" si="185"/>
        <v/>
      </c>
      <c r="AB125" s="125">
        <f t="shared" si="487"/>
        <v>0</v>
      </c>
      <c r="AC125" s="416">
        <f t="shared" si="318"/>
        <v>0</v>
      </c>
      <c r="AD125" s="113" t="e">
        <f t="shared" si="26"/>
        <v>#VALUE!</v>
      </c>
      <c r="AE125" s="116" t="str">
        <f t="shared" si="503"/>
        <v/>
      </c>
      <c r="AF125" s="117">
        <f t="shared" si="504"/>
        <v>0</v>
      </c>
      <c r="AG125" s="114">
        <f t="shared" si="187"/>
        <v>0</v>
      </c>
      <c r="AH125" s="413" t="str">
        <f t="shared" si="188"/>
        <v/>
      </c>
      <c r="AI125" s="846">
        <f t="shared" si="189"/>
        <v>0</v>
      </c>
      <c r="AJ125" s="840">
        <f t="shared" si="505"/>
        <v>1565956.2</v>
      </c>
      <c r="AK125" s="116" t="e">
        <f t="shared" si="190"/>
        <v>#VALUE!</v>
      </c>
      <c r="AL125" s="116">
        <f t="shared" si="191"/>
        <v>0</v>
      </c>
      <c r="AM125" s="116">
        <f t="shared" si="192"/>
        <v>0</v>
      </c>
      <c r="AN125" s="116">
        <f t="shared" si="36"/>
        <v>-1565956.2</v>
      </c>
      <c r="AO125" s="413">
        <f t="shared" si="300"/>
        <v>0</v>
      </c>
      <c r="AP125" s="434">
        <f t="shared" si="596"/>
        <v>187000.83</v>
      </c>
      <c r="AQ125" s="140" t="e">
        <f t="shared" si="39"/>
        <v>#VALUE!</v>
      </c>
      <c r="AR125" s="123" t="str">
        <f t="shared" si="506"/>
        <v/>
      </c>
      <c r="AS125" s="148">
        <f t="shared" si="507"/>
        <v>0</v>
      </c>
      <c r="AT125" s="123">
        <f t="shared" si="597"/>
        <v>15638.02</v>
      </c>
      <c r="AU125" s="326" t="e">
        <f t="shared" si="42"/>
        <v>#VALUE!</v>
      </c>
      <c r="AV125" s="326" t="str">
        <f t="shared" si="508"/>
        <v/>
      </c>
      <c r="AW125" s="326">
        <f t="shared" si="509"/>
        <v>0</v>
      </c>
      <c r="AX125" s="332">
        <f t="shared" si="598"/>
        <v>59095.040000000001</v>
      </c>
      <c r="AY125" s="140" t="e">
        <f t="shared" si="45"/>
        <v>#VALUE!</v>
      </c>
      <c r="AZ125" s="326" t="str">
        <f t="shared" si="510"/>
        <v/>
      </c>
      <c r="BA125" s="332">
        <f t="shared" si="511"/>
        <v>0</v>
      </c>
      <c r="BB125" s="122" t="e">
        <f t="shared" ref="BB125:BD125" si="626">SUM(AY125,AU125,AQ125)</f>
        <v>#VALUE!</v>
      </c>
      <c r="BC125" s="326">
        <f t="shared" si="626"/>
        <v>0</v>
      </c>
      <c r="BD125" s="332">
        <f t="shared" si="626"/>
        <v>0</v>
      </c>
      <c r="BE125" s="140" t="e">
        <f t="shared" ref="BE125:BF125" si="627">SUM(BB125,AK125)</f>
        <v>#VALUE!</v>
      </c>
      <c r="BF125" s="326">
        <f t="shared" si="627"/>
        <v>0</v>
      </c>
      <c r="BG125" s="435">
        <f t="shared" si="50"/>
        <v>0</v>
      </c>
      <c r="BH125" s="423">
        <f t="shared" si="601"/>
        <v>168721.49</v>
      </c>
      <c r="BI125" s="123" t="e">
        <f t="shared" si="51"/>
        <v>#VALUE!</v>
      </c>
      <c r="BJ125" s="123" t="str">
        <f t="shared" si="514"/>
        <v/>
      </c>
      <c r="BK125" s="148">
        <f t="shared" si="515"/>
        <v>0</v>
      </c>
      <c r="BL125" s="423">
        <f t="shared" si="602"/>
        <v>0</v>
      </c>
      <c r="BM125" s="123" t="e">
        <f t="shared" si="54"/>
        <v>#VALUE!</v>
      </c>
      <c r="BN125" s="123" t="str">
        <f t="shared" si="516"/>
        <v/>
      </c>
      <c r="BO125" s="123">
        <f t="shared" si="517"/>
        <v>1014683.38</v>
      </c>
      <c r="BP125" s="436">
        <f t="shared" si="603"/>
        <v>0</v>
      </c>
      <c r="BQ125" s="140" t="e">
        <f t="shared" si="57"/>
        <v>#VALUE!</v>
      </c>
      <c r="BR125" s="325" t="str">
        <f t="shared" si="518"/>
        <v/>
      </c>
      <c r="BS125" s="333">
        <f t="shared" si="519"/>
        <v>0</v>
      </c>
      <c r="BT125" s="140" t="e">
        <f t="shared" ref="BT125:BV125" si="628">SUM(BQ125,BM125,BI125)</f>
        <v>#VALUE!</v>
      </c>
      <c r="BU125" s="326">
        <f t="shared" si="628"/>
        <v>0</v>
      </c>
      <c r="BV125" s="333">
        <f t="shared" si="628"/>
        <v>1014683.38</v>
      </c>
      <c r="BW125" s="125">
        <f t="shared" si="605"/>
        <v>701304.96</v>
      </c>
      <c r="BX125" s="140" t="e">
        <f t="shared" si="61"/>
        <v>#VALUE!</v>
      </c>
      <c r="BY125" s="123" t="str">
        <f t="shared" si="521"/>
        <v/>
      </c>
      <c r="BZ125" s="148">
        <f t="shared" si="522"/>
        <v>0</v>
      </c>
      <c r="CA125" s="123">
        <f t="shared" si="606"/>
        <v>864651.24</v>
      </c>
      <c r="CB125" s="326">
        <f t="shared" si="607"/>
        <v>0</v>
      </c>
      <c r="CI125" s="294"/>
      <c r="CJ125" s="294"/>
    </row>
    <row r="126" spans="1:88" ht="13">
      <c r="A126" s="436">
        <f t="shared" si="491"/>
        <v>112012846</v>
      </c>
      <c r="B126" s="172">
        <f t="shared" si="482"/>
        <v>0</v>
      </c>
      <c r="C126" s="558" t="str">
        <f t="shared" si="483"/>
        <v/>
      </c>
      <c r="D126" s="558" t="str">
        <f t="shared" si="484"/>
        <v/>
      </c>
      <c r="E126" s="559" t="str">
        <f t="shared" si="485"/>
        <v/>
      </c>
      <c r="F126" s="836">
        <f t="shared" si="492"/>
        <v>0</v>
      </c>
      <c r="G126" s="558" t="str">
        <f t="shared" si="493"/>
        <v/>
      </c>
      <c r="H126" s="558" t="str">
        <f t="shared" si="494"/>
        <v/>
      </c>
      <c r="I126" s="559" t="str">
        <f t="shared" si="495"/>
        <v/>
      </c>
      <c r="J126" s="837">
        <f t="shared" si="496"/>
        <v>0</v>
      </c>
      <c r="K126" s="699" t="str">
        <f t="shared" si="590"/>
        <v/>
      </c>
      <c r="L126" s="700" t="str">
        <f t="shared" si="591"/>
        <v/>
      </c>
      <c r="M126" s="498" t="s">
        <v>808</v>
      </c>
      <c r="N126" s="434">
        <f>IFERROR(VLOOKUP(M126,BUELA,3,FALSE),"")</f>
        <v>326174.39</v>
      </c>
      <c r="O126" s="141">
        <f t="shared" si="317"/>
        <v>548315.45830950001</v>
      </c>
      <c r="P126" s="140">
        <f t="shared" si="180"/>
        <v>395337.7</v>
      </c>
      <c r="Q126" s="116">
        <f t="shared" si="499"/>
        <v>0</v>
      </c>
      <c r="R126" s="117">
        <f t="shared" si="500"/>
        <v>395337.7</v>
      </c>
      <c r="S126" s="123">
        <f t="shared" si="181"/>
        <v>-152977.7583095</v>
      </c>
      <c r="T126" s="98">
        <f t="shared" si="182"/>
        <v>0.72100411179151769</v>
      </c>
      <c r="U126" s="123">
        <f t="shared" si="486"/>
        <v>331723.87</v>
      </c>
      <c r="V126" s="332">
        <f t="shared" ref="V126:V127" si="629">(U126*1.7245)*1.05</f>
        <v>600660.70450574998</v>
      </c>
      <c r="W126" s="113">
        <f t="shared" si="19"/>
        <v>580900.51</v>
      </c>
      <c r="X126" s="116">
        <f t="shared" si="501"/>
        <v>19983.099999999999</v>
      </c>
      <c r="Y126" s="117">
        <f t="shared" si="502"/>
        <v>600883.61</v>
      </c>
      <c r="Z126" s="114">
        <f t="shared" si="184"/>
        <v>222.90549425000791</v>
      </c>
      <c r="AA126" s="413">
        <f t="shared" si="185"/>
        <v>1.000371100510784</v>
      </c>
      <c r="AB126" s="125">
        <f t="shared" si="487"/>
        <v>104049.2</v>
      </c>
      <c r="AC126" s="416">
        <f t="shared" si="318"/>
        <v>170990.81355799999</v>
      </c>
      <c r="AD126" s="113">
        <f t="shared" si="26"/>
        <v>421462.69</v>
      </c>
      <c r="AE126" s="116">
        <f t="shared" si="503"/>
        <v>0</v>
      </c>
      <c r="AF126" s="117">
        <f t="shared" si="504"/>
        <v>421462.69</v>
      </c>
      <c r="AG126" s="114">
        <f t="shared" si="187"/>
        <v>250471.87644200001</v>
      </c>
      <c r="AH126" s="413">
        <f t="shared" si="188"/>
        <v>2.4648265086886676</v>
      </c>
      <c r="AI126" s="846">
        <f t="shared" si="189"/>
        <v>1319966.9763732499</v>
      </c>
      <c r="AJ126" s="840">
        <f t="shared" si="505"/>
        <v>2138748.62</v>
      </c>
      <c r="AK126" s="116">
        <f t="shared" si="190"/>
        <v>1397700.9</v>
      </c>
      <c r="AL126" s="116">
        <f t="shared" si="191"/>
        <v>39966.199999999997</v>
      </c>
      <c r="AM126" s="116">
        <f t="shared" si="192"/>
        <v>1417684</v>
      </c>
      <c r="AN126" s="116">
        <f t="shared" si="36"/>
        <v>-721064.62000000011</v>
      </c>
      <c r="AO126" s="413">
        <f t="shared" si="300"/>
        <v>0.6628567690203816</v>
      </c>
      <c r="AP126" s="434"/>
      <c r="AQ126" s="140">
        <f t="shared" si="39"/>
        <v>429979.92</v>
      </c>
      <c r="AR126" s="123">
        <f t="shared" si="506"/>
        <v>0</v>
      </c>
      <c r="AS126" s="148">
        <f t="shared" si="507"/>
        <v>429979.92</v>
      </c>
      <c r="AT126" s="123"/>
      <c r="AU126" s="326">
        <f t="shared" si="42"/>
        <v>338593.92</v>
      </c>
      <c r="AV126" s="326">
        <f t="shared" si="508"/>
        <v>0</v>
      </c>
      <c r="AW126" s="326">
        <f t="shared" si="509"/>
        <v>338593.92</v>
      </c>
      <c r="AX126" s="332"/>
      <c r="AY126" s="140">
        <f t="shared" si="45"/>
        <v>550172.28</v>
      </c>
      <c r="AZ126" s="326">
        <f t="shared" si="510"/>
        <v>0</v>
      </c>
      <c r="BA126" s="332">
        <f t="shared" si="511"/>
        <v>550172.28</v>
      </c>
      <c r="BB126" s="122">
        <f t="shared" ref="BB126:BD126" si="630">SUM(AY126,AU126,AQ126)</f>
        <v>1318746.1199999999</v>
      </c>
      <c r="BC126" s="326">
        <f t="shared" si="630"/>
        <v>0</v>
      </c>
      <c r="BD126" s="332">
        <f t="shared" si="630"/>
        <v>1318746.1199999999</v>
      </c>
      <c r="BE126" s="140">
        <f t="shared" ref="BE126:BF126" si="631">SUM(BB126,AK126)</f>
        <v>2716447.0199999996</v>
      </c>
      <c r="BF126" s="326">
        <f t="shared" si="631"/>
        <v>39966.199999999997</v>
      </c>
      <c r="BG126" s="435">
        <f t="shared" si="50"/>
        <v>2736430.12</v>
      </c>
      <c r="BH126" s="423"/>
      <c r="BI126" s="123">
        <f t="shared" si="51"/>
        <v>813171.84</v>
      </c>
      <c r="BJ126" s="123">
        <f t="shared" si="514"/>
        <v>0</v>
      </c>
      <c r="BK126" s="148">
        <f t="shared" si="515"/>
        <v>813171.84</v>
      </c>
      <c r="BL126" s="423"/>
      <c r="BM126" s="123">
        <f t="shared" si="54"/>
        <v>550501.53</v>
      </c>
      <c r="BN126" s="123">
        <f t="shared" si="516"/>
        <v>0</v>
      </c>
      <c r="BO126" s="123">
        <f t="shared" si="517"/>
        <v>550501.53</v>
      </c>
      <c r="BP126" s="436"/>
      <c r="BQ126" s="140">
        <f t="shared" si="57"/>
        <v>779313.65</v>
      </c>
      <c r="BR126" s="325">
        <f t="shared" si="518"/>
        <v>0</v>
      </c>
      <c r="BS126" s="333">
        <f t="shared" si="519"/>
        <v>779313.65</v>
      </c>
      <c r="BT126" s="140">
        <f t="shared" ref="BT126:BV126" si="632">SUM(BQ126,BM126,BI126)</f>
        <v>2142987.02</v>
      </c>
      <c r="BU126" s="326">
        <f t="shared" si="632"/>
        <v>0</v>
      </c>
      <c r="BV126" s="333">
        <f t="shared" si="632"/>
        <v>2142987.02</v>
      </c>
      <c r="BW126" s="125"/>
      <c r="BX126" s="140">
        <f t="shared" si="61"/>
        <v>434242.42</v>
      </c>
      <c r="BY126" s="123">
        <f t="shared" si="521"/>
        <v>0</v>
      </c>
      <c r="BZ126" s="148">
        <f t="shared" si="522"/>
        <v>434242.42</v>
      </c>
      <c r="CA126" s="123"/>
      <c r="CB126" s="326"/>
      <c r="CI126" s="294"/>
      <c r="CJ126" s="294"/>
    </row>
    <row r="127" spans="1:88" ht="13">
      <c r="A127" s="436">
        <f t="shared" si="491"/>
        <v>112013317</v>
      </c>
      <c r="B127" s="172">
        <f t="shared" si="482"/>
        <v>0</v>
      </c>
      <c r="C127" s="558" t="str">
        <f t="shared" si="483"/>
        <v/>
      </c>
      <c r="D127" s="558" t="str">
        <f t="shared" si="484"/>
        <v/>
      </c>
      <c r="E127" s="559" t="str">
        <f t="shared" si="485"/>
        <v/>
      </c>
      <c r="F127" s="836">
        <f t="shared" si="492"/>
        <v>0</v>
      </c>
      <c r="G127" s="558" t="str">
        <f t="shared" si="493"/>
        <v/>
      </c>
      <c r="H127" s="558" t="str">
        <f t="shared" si="494"/>
        <v/>
      </c>
      <c r="I127" s="559" t="str">
        <f t="shared" si="495"/>
        <v/>
      </c>
      <c r="J127" s="837">
        <f t="shared" si="496"/>
        <v>0</v>
      </c>
      <c r="K127" s="699" t="str">
        <f t="shared" si="590"/>
        <v/>
      </c>
      <c r="L127" s="700" t="str">
        <f t="shared" si="591"/>
        <v/>
      </c>
      <c r="M127" s="896" t="s">
        <v>809</v>
      </c>
      <c r="N127" s="434">
        <f>IFERROR(VLOOKUP(M127,BUELA,3,FALSE),"")</f>
        <v>0</v>
      </c>
      <c r="O127" s="141">
        <f t="shared" si="317"/>
        <v>0</v>
      </c>
      <c r="P127" s="140" t="e">
        <f t="shared" si="180"/>
        <v>#VALUE!</v>
      </c>
      <c r="Q127" s="116" t="str">
        <f t="shared" si="499"/>
        <v/>
      </c>
      <c r="R127" s="117" t="str">
        <f t="shared" si="500"/>
        <v/>
      </c>
      <c r="S127" s="123" t="e">
        <f t="shared" si="181"/>
        <v>#VALUE!</v>
      </c>
      <c r="T127" s="98" t="str">
        <f t="shared" si="182"/>
        <v/>
      </c>
      <c r="U127" s="123">
        <f t="shared" si="486"/>
        <v>0</v>
      </c>
      <c r="V127" s="332">
        <f t="shared" si="629"/>
        <v>0</v>
      </c>
      <c r="W127" s="113" t="e">
        <f t="shared" si="19"/>
        <v>#VALUE!</v>
      </c>
      <c r="X127" s="116" t="str">
        <f t="shared" si="501"/>
        <v/>
      </c>
      <c r="Y127" s="117" t="str">
        <f t="shared" si="502"/>
        <v/>
      </c>
      <c r="Z127" s="114" t="e">
        <f t="shared" si="184"/>
        <v>#VALUE!</v>
      </c>
      <c r="AA127" s="413" t="str">
        <f t="shared" si="185"/>
        <v/>
      </c>
      <c r="AB127" s="125">
        <f t="shared" si="487"/>
        <v>0</v>
      </c>
      <c r="AC127" s="416">
        <f t="shared" si="318"/>
        <v>0</v>
      </c>
      <c r="AD127" s="113" t="e">
        <f t="shared" si="26"/>
        <v>#VALUE!</v>
      </c>
      <c r="AE127" s="116" t="str">
        <f t="shared" si="503"/>
        <v/>
      </c>
      <c r="AF127" s="117" t="str">
        <f t="shared" si="504"/>
        <v/>
      </c>
      <c r="AG127" s="114" t="e">
        <f t="shared" si="187"/>
        <v>#VALUE!</v>
      </c>
      <c r="AH127" s="413" t="str">
        <f t="shared" si="188"/>
        <v/>
      </c>
      <c r="AI127" s="846">
        <f t="shared" si="189"/>
        <v>0</v>
      </c>
      <c r="AJ127" s="840" t="str">
        <f t="shared" si="505"/>
        <v/>
      </c>
      <c r="AK127" s="116" t="e">
        <f t="shared" si="190"/>
        <v>#VALUE!</v>
      </c>
      <c r="AL127" s="116">
        <f t="shared" si="191"/>
        <v>0</v>
      </c>
      <c r="AM127" s="116">
        <f t="shared" si="192"/>
        <v>0</v>
      </c>
      <c r="AN127" s="116" t="e">
        <f t="shared" si="36"/>
        <v>#VALUE!</v>
      </c>
      <c r="AO127" s="413" t="str">
        <f t="shared" si="300"/>
        <v/>
      </c>
      <c r="AP127" s="434"/>
      <c r="AQ127" s="140" t="e">
        <f t="shared" si="39"/>
        <v>#VALUE!</v>
      </c>
      <c r="AR127" s="123" t="str">
        <f t="shared" si="506"/>
        <v/>
      </c>
      <c r="AS127" s="148" t="str">
        <f t="shared" si="507"/>
        <v/>
      </c>
      <c r="AT127" s="123"/>
      <c r="AU127" s="326" t="e">
        <f t="shared" si="42"/>
        <v>#VALUE!</v>
      </c>
      <c r="AV127" s="326" t="str">
        <f t="shared" si="508"/>
        <v/>
      </c>
      <c r="AW127" s="326" t="str">
        <f t="shared" si="509"/>
        <v/>
      </c>
      <c r="AX127" s="332"/>
      <c r="AY127" s="140" t="e">
        <f t="shared" si="45"/>
        <v>#VALUE!</v>
      </c>
      <c r="AZ127" s="326" t="str">
        <f t="shared" si="510"/>
        <v/>
      </c>
      <c r="BA127" s="332" t="str">
        <f t="shared" si="511"/>
        <v/>
      </c>
      <c r="BB127" s="122" t="e">
        <f t="shared" ref="BB127:BD127" si="633">SUM(AY127,AU127,AQ127)</f>
        <v>#VALUE!</v>
      </c>
      <c r="BC127" s="326">
        <f t="shared" si="633"/>
        <v>0</v>
      </c>
      <c r="BD127" s="332">
        <f t="shared" si="633"/>
        <v>0</v>
      </c>
      <c r="BE127" s="140" t="e">
        <f t="shared" ref="BE127:BF127" si="634">SUM(BB127,AK127)</f>
        <v>#VALUE!</v>
      </c>
      <c r="BF127" s="326">
        <f t="shared" si="634"/>
        <v>0</v>
      </c>
      <c r="BG127" s="435">
        <f t="shared" si="50"/>
        <v>0</v>
      </c>
      <c r="BH127" s="423"/>
      <c r="BI127" s="123" t="e">
        <f t="shared" si="51"/>
        <v>#VALUE!</v>
      </c>
      <c r="BJ127" s="123" t="str">
        <f t="shared" si="514"/>
        <v/>
      </c>
      <c r="BK127" s="148" t="str">
        <f t="shared" si="515"/>
        <v/>
      </c>
      <c r="BL127" s="423"/>
      <c r="BM127" s="123" t="e">
        <f t="shared" si="54"/>
        <v>#VALUE!</v>
      </c>
      <c r="BN127" s="123" t="str">
        <f t="shared" si="516"/>
        <v/>
      </c>
      <c r="BO127" s="123" t="str">
        <f t="shared" si="517"/>
        <v/>
      </c>
      <c r="BP127" s="436"/>
      <c r="BQ127" s="140" t="e">
        <f t="shared" si="57"/>
        <v>#VALUE!</v>
      </c>
      <c r="BR127" s="325" t="str">
        <f t="shared" si="518"/>
        <v/>
      </c>
      <c r="BS127" s="333" t="str">
        <f t="shared" si="519"/>
        <v/>
      </c>
      <c r="BT127" s="140" t="e">
        <f t="shared" ref="BT127:BV127" si="635">SUM(BQ127,BM127,BI127)</f>
        <v>#VALUE!</v>
      </c>
      <c r="BU127" s="326">
        <f t="shared" si="635"/>
        <v>0</v>
      </c>
      <c r="BV127" s="333">
        <f t="shared" si="635"/>
        <v>0</v>
      </c>
      <c r="BW127" s="125"/>
      <c r="BX127" s="140" t="e">
        <f t="shared" si="61"/>
        <v>#VALUE!</v>
      </c>
      <c r="BY127" s="123" t="str">
        <f t="shared" si="521"/>
        <v/>
      </c>
      <c r="BZ127" s="148" t="str">
        <f t="shared" si="522"/>
        <v/>
      </c>
      <c r="CA127" s="123"/>
      <c r="CB127" s="326"/>
      <c r="CI127" s="294"/>
      <c r="CJ127" s="294"/>
    </row>
    <row r="128" spans="1:88" ht="13">
      <c r="A128" s="436">
        <f t="shared" si="491"/>
        <v>112011823</v>
      </c>
      <c r="B128" s="172">
        <f t="shared" si="482"/>
        <v>0</v>
      </c>
      <c r="C128" s="558" t="str">
        <f t="shared" si="483"/>
        <v/>
      </c>
      <c r="D128" s="558" t="str">
        <f t="shared" si="484"/>
        <v/>
      </c>
      <c r="E128" s="559" t="str">
        <f t="shared" si="485"/>
        <v/>
      </c>
      <c r="F128" s="836">
        <f t="shared" si="492"/>
        <v>0</v>
      </c>
      <c r="G128" s="558" t="str">
        <f t="shared" si="493"/>
        <v/>
      </c>
      <c r="H128" s="558" t="str">
        <f t="shared" si="494"/>
        <v/>
      </c>
      <c r="I128" s="559" t="str">
        <f t="shared" si="495"/>
        <v/>
      </c>
      <c r="J128" s="837">
        <f t="shared" si="496"/>
        <v>0</v>
      </c>
      <c r="K128" s="699" t="str">
        <f t="shared" si="590"/>
        <v/>
      </c>
      <c r="L128" s="700" t="str">
        <f t="shared" si="591"/>
        <v/>
      </c>
      <c r="M128" s="859" t="s">
        <v>810</v>
      </c>
      <c r="N128" s="434"/>
      <c r="O128" s="141">
        <f t="shared" si="317"/>
        <v>0</v>
      </c>
      <c r="P128" s="140" t="e">
        <f t="shared" si="180"/>
        <v>#VALUE!</v>
      </c>
      <c r="Q128" s="116" t="str">
        <f t="shared" si="499"/>
        <v/>
      </c>
      <c r="R128" s="117" t="str">
        <f t="shared" si="500"/>
        <v/>
      </c>
      <c r="S128" s="123" t="e">
        <f t="shared" si="181"/>
        <v>#VALUE!</v>
      </c>
      <c r="T128" s="98" t="str">
        <f t="shared" si="182"/>
        <v/>
      </c>
      <c r="U128" s="123">
        <f t="shared" si="486"/>
        <v>0</v>
      </c>
      <c r="V128" s="332"/>
      <c r="W128" s="113" t="e">
        <f t="shared" si="19"/>
        <v>#VALUE!</v>
      </c>
      <c r="X128" s="116" t="str">
        <f t="shared" si="501"/>
        <v/>
      </c>
      <c r="Y128" s="117" t="str">
        <f t="shared" si="502"/>
        <v/>
      </c>
      <c r="Z128" s="114" t="e">
        <f t="shared" si="184"/>
        <v>#VALUE!</v>
      </c>
      <c r="AA128" s="413" t="str">
        <f t="shared" si="185"/>
        <v/>
      </c>
      <c r="AB128" s="125">
        <f t="shared" si="487"/>
        <v>0</v>
      </c>
      <c r="AC128" s="416">
        <f t="shared" si="318"/>
        <v>0</v>
      </c>
      <c r="AD128" s="113" t="e">
        <f t="shared" si="26"/>
        <v>#VALUE!</v>
      </c>
      <c r="AE128" s="116" t="str">
        <f t="shared" si="503"/>
        <v/>
      </c>
      <c r="AF128" s="117" t="str">
        <f t="shared" si="504"/>
        <v/>
      </c>
      <c r="AG128" s="114" t="e">
        <f t="shared" si="187"/>
        <v>#VALUE!</v>
      </c>
      <c r="AH128" s="413" t="str">
        <f t="shared" si="188"/>
        <v/>
      </c>
      <c r="AI128" s="846">
        <f t="shared" si="189"/>
        <v>0</v>
      </c>
      <c r="AJ128" s="840" t="str">
        <f t="shared" si="505"/>
        <v/>
      </c>
      <c r="AK128" s="116" t="e">
        <f t="shared" si="190"/>
        <v>#VALUE!</v>
      </c>
      <c r="AL128" s="116">
        <f t="shared" si="191"/>
        <v>0</v>
      </c>
      <c r="AM128" s="116">
        <f t="shared" si="192"/>
        <v>0</v>
      </c>
      <c r="AN128" s="116" t="e">
        <f t="shared" si="36"/>
        <v>#VALUE!</v>
      </c>
      <c r="AO128" s="413" t="str">
        <f t="shared" si="300"/>
        <v/>
      </c>
      <c r="AP128" s="434"/>
      <c r="AQ128" s="140" t="e">
        <f t="shared" si="39"/>
        <v>#VALUE!</v>
      </c>
      <c r="AR128" s="123" t="str">
        <f t="shared" si="506"/>
        <v/>
      </c>
      <c r="AS128" s="148" t="str">
        <f t="shared" si="507"/>
        <v/>
      </c>
      <c r="AT128" s="123"/>
      <c r="AU128" s="326" t="e">
        <f t="shared" si="42"/>
        <v>#VALUE!</v>
      </c>
      <c r="AV128" s="326" t="str">
        <f t="shared" si="508"/>
        <v/>
      </c>
      <c r="AW128" s="326" t="str">
        <f t="shared" si="509"/>
        <v/>
      </c>
      <c r="AX128" s="332"/>
      <c r="AY128" s="140" t="e">
        <f t="shared" si="45"/>
        <v>#VALUE!</v>
      </c>
      <c r="AZ128" s="326" t="str">
        <f t="shared" si="510"/>
        <v/>
      </c>
      <c r="BA128" s="332" t="str">
        <f t="shared" si="511"/>
        <v/>
      </c>
      <c r="BB128" s="122" t="e">
        <f t="shared" ref="BB128:BD128" si="636">SUM(AY128,AU128,AQ128)</f>
        <v>#VALUE!</v>
      </c>
      <c r="BC128" s="326">
        <f t="shared" si="636"/>
        <v>0</v>
      </c>
      <c r="BD128" s="332">
        <f t="shared" si="636"/>
        <v>0</v>
      </c>
      <c r="BE128" s="140" t="e">
        <f t="shared" ref="BE128:BF128" si="637">SUM(BB128,AK128)</f>
        <v>#VALUE!</v>
      </c>
      <c r="BF128" s="326">
        <f t="shared" si="637"/>
        <v>0</v>
      </c>
      <c r="BG128" s="435">
        <f t="shared" si="50"/>
        <v>0</v>
      </c>
      <c r="BH128" s="423"/>
      <c r="BI128" s="123" t="e">
        <f t="shared" si="51"/>
        <v>#VALUE!</v>
      </c>
      <c r="BJ128" s="123" t="str">
        <f t="shared" si="514"/>
        <v/>
      </c>
      <c r="BK128" s="148" t="str">
        <f t="shared" si="515"/>
        <v/>
      </c>
      <c r="BL128" s="423"/>
      <c r="BM128" s="123" t="e">
        <f t="shared" si="54"/>
        <v>#VALUE!</v>
      </c>
      <c r="BN128" s="123" t="str">
        <f t="shared" si="516"/>
        <v/>
      </c>
      <c r="BO128" s="123" t="str">
        <f t="shared" si="517"/>
        <v/>
      </c>
      <c r="BP128" s="436"/>
      <c r="BQ128" s="140" t="e">
        <f t="shared" si="57"/>
        <v>#VALUE!</v>
      </c>
      <c r="BR128" s="325" t="str">
        <f t="shared" si="518"/>
        <v/>
      </c>
      <c r="BS128" s="333" t="str">
        <f t="shared" si="519"/>
        <v/>
      </c>
      <c r="BT128" s="140" t="e">
        <f t="shared" ref="BT128:BV128" si="638">SUM(BQ128,BM128,BI128)</f>
        <v>#VALUE!</v>
      </c>
      <c r="BU128" s="326">
        <f t="shared" si="638"/>
        <v>0</v>
      </c>
      <c r="BV128" s="333">
        <f t="shared" si="638"/>
        <v>0</v>
      </c>
      <c r="BW128" s="125"/>
      <c r="BX128" s="140" t="e">
        <f t="shared" si="61"/>
        <v>#VALUE!</v>
      </c>
      <c r="BY128" s="123" t="str">
        <f t="shared" si="521"/>
        <v/>
      </c>
      <c r="BZ128" s="148" t="str">
        <f t="shared" si="522"/>
        <v/>
      </c>
      <c r="CA128" s="123"/>
      <c r="CB128" s="326"/>
      <c r="CI128" s="294"/>
      <c r="CJ128" s="294"/>
    </row>
    <row r="129" spans="1:115" ht="13">
      <c r="A129" s="436">
        <f t="shared" si="491"/>
        <v>112013416</v>
      </c>
      <c r="B129" s="172">
        <f t="shared" si="482"/>
        <v>0</v>
      </c>
      <c r="C129" s="558" t="str">
        <f t="shared" ref="C129:C160" si="639">IFERROR(VLOOKUP(B129,DES,2,FALSE),"")</f>
        <v/>
      </c>
      <c r="D129" s="558" t="str">
        <f t="shared" si="484"/>
        <v/>
      </c>
      <c r="E129" s="559" t="str">
        <f t="shared" si="485"/>
        <v/>
      </c>
      <c r="F129" s="836">
        <f t="shared" si="492"/>
        <v>0</v>
      </c>
      <c r="G129" s="558" t="str">
        <f t="shared" si="493"/>
        <v/>
      </c>
      <c r="H129" s="558" t="str">
        <f t="shared" si="494"/>
        <v/>
      </c>
      <c r="I129" s="559" t="str">
        <f t="shared" si="495"/>
        <v/>
      </c>
      <c r="J129" s="837">
        <f t="shared" si="496"/>
        <v>0</v>
      </c>
      <c r="K129" s="699" t="str">
        <f t="shared" si="590"/>
        <v/>
      </c>
      <c r="L129" s="700" t="str">
        <f t="shared" si="591"/>
        <v/>
      </c>
      <c r="M129" s="892" t="s">
        <v>811</v>
      </c>
      <c r="N129" s="473">
        <f>IFERROR(VLOOKUP(M129,BUELA,3,FALSE),"")</f>
        <v>0</v>
      </c>
      <c r="O129" s="141">
        <f t="shared" si="317"/>
        <v>0</v>
      </c>
      <c r="P129" s="140" t="e">
        <f t="shared" si="180"/>
        <v>#VALUE!</v>
      </c>
      <c r="Q129" s="116" t="str">
        <f t="shared" si="499"/>
        <v/>
      </c>
      <c r="R129" s="117">
        <f t="shared" si="500"/>
        <v>0</v>
      </c>
      <c r="S129" s="123">
        <f t="shared" si="181"/>
        <v>0</v>
      </c>
      <c r="T129" s="98" t="str">
        <f t="shared" si="182"/>
        <v/>
      </c>
      <c r="U129" s="123">
        <f t="shared" si="486"/>
        <v>226708.43</v>
      </c>
      <c r="V129" s="332">
        <f>(U129*1.7245)*1.05</f>
        <v>410506.62191175</v>
      </c>
      <c r="W129" s="113" t="e">
        <f t="shared" si="19"/>
        <v>#VALUE!</v>
      </c>
      <c r="X129" s="116" t="str">
        <f t="shared" si="501"/>
        <v/>
      </c>
      <c r="Y129" s="117">
        <f t="shared" si="502"/>
        <v>0</v>
      </c>
      <c r="Z129" s="114">
        <f t="shared" si="184"/>
        <v>-410506.62191175</v>
      </c>
      <c r="AA129" s="413">
        <f t="shared" si="185"/>
        <v>0</v>
      </c>
      <c r="AB129" s="125">
        <f t="shared" si="487"/>
        <v>-34133.4</v>
      </c>
      <c r="AC129" s="416">
        <f t="shared" si="318"/>
        <v>-56093.634891000002</v>
      </c>
      <c r="AD129" s="113" t="e">
        <f t="shared" si="26"/>
        <v>#VALUE!</v>
      </c>
      <c r="AE129" s="116" t="str">
        <f t="shared" si="503"/>
        <v/>
      </c>
      <c r="AF129" s="117">
        <f t="shared" si="504"/>
        <v>0</v>
      </c>
      <c r="AG129" s="114">
        <f t="shared" si="187"/>
        <v>56093.634891000002</v>
      </c>
      <c r="AH129" s="413">
        <f t="shared" si="188"/>
        <v>0</v>
      </c>
      <c r="AI129" s="846">
        <f t="shared" si="189"/>
        <v>354412.98702075001</v>
      </c>
      <c r="AJ129" s="840" t="str">
        <f t="shared" si="505"/>
        <v/>
      </c>
      <c r="AK129" s="116" t="e">
        <f t="shared" si="190"/>
        <v>#VALUE!</v>
      </c>
      <c r="AL129" s="116">
        <f t="shared" si="191"/>
        <v>0</v>
      </c>
      <c r="AM129" s="116">
        <f t="shared" si="192"/>
        <v>0</v>
      </c>
      <c r="AN129" s="116" t="e">
        <f t="shared" si="36"/>
        <v>#VALUE!</v>
      </c>
      <c r="AO129" s="413" t="str">
        <f t="shared" si="300"/>
        <v/>
      </c>
      <c r="AP129" s="434"/>
      <c r="AQ129" s="140" t="e">
        <f t="shared" si="39"/>
        <v>#VALUE!</v>
      </c>
      <c r="AR129" s="123" t="str">
        <f t="shared" si="506"/>
        <v/>
      </c>
      <c r="AS129" s="148">
        <f t="shared" si="507"/>
        <v>0</v>
      </c>
      <c r="AT129" s="123"/>
      <c r="AU129" s="326" t="e">
        <f t="shared" si="42"/>
        <v>#VALUE!</v>
      </c>
      <c r="AV129" s="326" t="str">
        <f t="shared" si="508"/>
        <v/>
      </c>
      <c r="AW129" s="326">
        <f t="shared" si="509"/>
        <v>0</v>
      </c>
      <c r="AX129" s="332"/>
      <c r="AY129" s="140" t="e">
        <f t="shared" si="45"/>
        <v>#VALUE!</v>
      </c>
      <c r="AZ129" s="326" t="str">
        <f t="shared" si="510"/>
        <v/>
      </c>
      <c r="BA129" s="332">
        <f t="shared" si="511"/>
        <v>0</v>
      </c>
      <c r="BB129" s="122" t="e">
        <f t="shared" ref="BB129:BD129" si="640">SUM(AY129,AU129,AQ129)</f>
        <v>#VALUE!</v>
      </c>
      <c r="BC129" s="326">
        <f t="shared" si="640"/>
        <v>0</v>
      </c>
      <c r="BD129" s="332">
        <f t="shared" si="640"/>
        <v>0</v>
      </c>
      <c r="BE129" s="140" t="e">
        <f t="shared" ref="BE129:BF129" si="641">SUM(BB129,AK129)</f>
        <v>#VALUE!</v>
      </c>
      <c r="BF129" s="326">
        <f t="shared" si="641"/>
        <v>0</v>
      </c>
      <c r="BG129" s="435">
        <f t="shared" si="50"/>
        <v>0</v>
      </c>
      <c r="BH129" s="423"/>
      <c r="BI129" s="123" t="e">
        <f t="shared" si="51"/>
        <v>#VALUE!</v>
      </c>
      <c r="BJ129" s="123" t="str">
        <f t="shared" si="514"/>
        <v/>
      </c>
      <c r="BK129" s="148">
        <f t="shared" si="515"/>
        <v>0</v>
      </c>
      <c r="BL129" s="423"/>
      <c r="BM129" s="123" t="e">
        <f t="shared" si="54"/>
        <v>#VALUE!</v>
      </c>
      <c r="BN129" s="123" t="str">
        <f t="shared" si="516"/>
        <v/>
      </c>
      <c r="BO129" s="123">
        <f t="shared" si="517"/>
        <v>40536.519999999997</v>
      </c>
      <c r="BP129" s="436"/>
      <c r="BQ129" s="140" t="e">
        <f t="shared" si="57"/>
        <v>#VALUE!</v>
      </c>
      <c r="BR129" s="325" t="str">
        <f t="shared" si="518"/>
        <v/>
      </c>
      <c r="BS129" s="333">
        <f t="shared" si="519"/>
        <v>0</v>
      </c>
      <c r="BT129" s="140" t="e">
        <f t="shared" ref="BT129:BV129" si="642">SUM(BQ129,BM129,BI129)</f>
        <v>#VALUE!</v>
      </c>
      <c r="BU129" s="326">
        <f t="shared" si="642"/>
        <v>0</v>
      </c>
      <c r="BV129" s="333">
        <f t="shared" si="642"/>
        <v>40536.519999999997</v>
      </c>
      <c r="BW129" s="125"/>
      <c r="BX129" s="140" t="e">
        <f t="shared" si="61"/>
        <v>#VALUE!</v>
      </c>
      <c r="BY129" s="123" t="str">
        <f t="shared" si="521"/>
        <v/>
      </c>
      <c r="BZ129" s="148">
        <f t="shared" si="522"/>
        <v>0</v>
      </c>
      <c r="CA129" s="123"/>
      <c r="CB129" s="326"/>
      <c r="CI129" s="294"/>
      <c r="CJ129" s="294"/>
    </row>
    <row r="130" spans="1:115" ht="13">
      <c r="A130" s="436">
        <f t="shared" si="491"/>
        <v>112014159</v>
      </c>
      <c r="B130" s="897">
        <f t="shared" si="482"/>
        <v>0</v>
      </c>
      <c r="C130" s="743" t="str">
        <f t="shared" si="639"/>
        <v/>
      </c>
      <c r="D130" s="743" t="str">
        <f t="shared" si="484"/>
        <v/>
      </c>
      <c r="E130" s="898" t="str">
        <f t="shared" si="485"/>
        <v/>
      </c>
      <c r="F130" s="836">
        <f t="shared" si="492"/>
        <v>0</v>
      </c>
      <c r="G130" s="558" t="str">
        <f t="shared" ref="G130:G161" si="643">IFERROR(VLOOKUP(F130,DES,2,FALSE),"")</f>
        <v/>
      </c>
      <c r="H130" s="801" t="str">
        <f t="shared" si="494"/>
        <v/>
      </c>
      <c r="I130" s="899" t="str">
        <f t="shared" si="495"/>
        <v/>
      </c>
      <c r="J130" s="900">
        <f t="shared" si="496"/>
        <v>0</v>
      </c>
      <c r="K130" s="901" t="str">
        <f t="shared" si="590"/>
        <v/>
      </c>
      <c r="L130" s="902" t="str">
        <f t="shared" si="591"/>
        <v/>
      </c>
      <c r="M130" s="903" t="s">
        <v>812</v>
      </c>
      <c r="N130" s="473"/>
      <c r="O130" s="260">
        <f t="shared" si="317"/>
        <v>0</v>
      </c>
      <c r="P130" s="164" t="e">
        <f t="shared" si="180"/>
        <v>#VALUE!</v>
      </c>
      <c r="Q130" s="267" t="str">
        <f t="shared" si="499"/>
        <v/>
      </c>
      <c r="R130" s="753">
        <f t="shared" si="500"/>
        <v>0</v>
      </c>
      <c r="S130" s="274">
        <f t="shared" si="181"/>
        <v>0</v>
      </c>
      <c r="T130" s="608" t="str">
        <f t="shared" si="182"/>
        <v/>
      </c>
      <c r="U130" s="274">
        <f t="shared" si="486"/>
        <v>112044.23</v>
      </c>
      <c r="V130" s="467"/>
      <c r="W130" s="752" t="e">
        <f t="shared" si="19"/>
        <v>#VALUE!</v>
      </c>
      <c r="X130" s="267" t="str">
        <f t="shared" si="501"/>
        <v/>
      </c>
      <c r="Y130" s="753">
        <f t="shared" si="502"/>
        <v>0</v>
      </c>
      <c r="Z130" s="114">
        <f t="shared" si="184"/>
        <v>0</v>
      </c>
      <c r="AA130" s="413" t="str">
        <f t="shared" si="185"/>
        <v/>
      </c>
      <c r="AB130" s="125">
        <f t="shared" si="487"/>
        <v>111386.14</v>
      </c>
      <c r="AC130" s="416">
        <f t="shared" si="318"/>
        <v>183048.08396109997</v>
      </c>
      <c r="AD130" s="113" t="e">
        <f t="shared" si="26"/>
        <v>#VALUE!</v>
      </c>
      <c r="AE130" s="116" t="str">
        <f t="shared" si="503"/>
        <v/>
      </c>
      <c r="AF130" s="117">
        <f t="shared" si="504"/>
        <v>0</v>
      </c>
      <c r="AG130" s="114">
        <f t="shared" si="187"/>
        <v>-183048.08396109997</v>
      </c>
      <c r="AH130" s="413">
        <f t="shared" si="188"/>
        <v>0</v>
      </c>
      <c r="AI130" s="846">
        <f t="shared" si="189"/>
        <v>183048.08396109997</v>
      </c>
      <c r="AJ130" s="904">
        <f t="shared" si="505"/>
        <v>429179.77</v>
      </c>
      <c r="AK130" s="267" t="e">
        <f t="shared" si="190"/>
        <v>#VALUE!</v>
      </c>
      <c r="AL130" s="267">
        <f t="shared" si="191"/>
        <v>0</v>
      </c>
      <c r="AM130" s="267">
        <f t="shared" si="192"/>
        <v>0</v>
      </c>
      <c r="AN130" s="116">
        <f t="shared" si="36"/>
        <v>-429179.77</v>
      </c>
      <c r="AO130" s="413">
        <f>AM130/AJ130</f>
        <v>0</v>
      </c>
      <c r="AP130" s="434"/>
      <c r="AQ130" s="140" t="e">
        <f t="shared" si="39"/>
        <v>#VALUE!</v>
      </c>
      <c r="AR130" s="123" t="str">
        <f t="shared" si="506"/>
        <v/>
      </c>
      <c r="AS130" s="148">
        <f t="shared" si="507"/>
        <v>23534.799999999999</v>
      </c>
      <c r="AT130" s="123"/>
      <c r="AU130" s="326" t="e">
        <f t="shared" si="42"/>
        <v>#VALUE!</v>
      </c>
      <c r="AV130" s="326" t="str">
        <f t="shared" si="508"/>
        <v/>
      </c>
      <c r="AW130" s="326">
        <f t="shared" si="509"/>
        <v>0</v>
      </c>
      <c r="AX130" s="332"/>
      <c r="AY130" s="140" t="e">
        <f t="shared" si="45"/>
        <v>#VALUE!</v>
      </c>
      <c r="AZ130" s="326" t="str">
        <f t="shared" si="510"/>
        <v/>
      </c>
      <c r="BA130" s="332">
        <f t="shared" si="511"/>
        <v>0</v>
      </c>
      <c r="BB130" s="275" t="e">
        <f t="shared" ref="BB130:BD130" si="644">SUM(AY130,AU130,AQ130)</f>
        <v>#VALUE!</v>
      </c>
      <c r="BC130" s="471">
        <f t="shared" si="644"/>
        <v>0</v>
      </c>
      <c r="BD130" s="467">
        <f t="shared" si="644"/>
        <v>23534.799999999999</v>
      </c>
      <c r="BE130" s="164" t="e">
        <f t="shared" ref="BE130:BF130" si="645">SUM(BB130,AK130)</f>
        <v>#VALUE!</v>
      </c>
      <c r="BF130" s="471">
        <f t="shared" si="645"/>
        <v>0</v>
      </c>
      <c r="BG130" s="611">
        <f t="shared" si="50"/>
        <v>23534.799999999999</v>
      </c>
      <c r="BH130" s="475"/>
      <c r="BI130" s="274" t="e">
        <f t="shared" si="51"/>
        <v>#VALUE!</v>
      </c>
      <c r="BJ130" s="274" t="str">
        <f t="shared" si="514"/>
        <v/>
      </c>
      <c r="BK130" s="610">
        <f t="shared" si="515"/>
        <v>0</v>
      </c>
      <c r="BL130" s="475"/>
      <c r="BM130" s="123" t="e">
        <f t="shared" si="54"/>
        <v>#VALUE!</v>
      </c>
      <c r="BN130" s="123" t="str">
        <f t="shared" si="516"/>
        <v/>
      </c>
      <c r="BO130" s="123">
        <f t="shared" si="517"/>
        <v>0</v>
      </c>
      <c r="BP130" s="436"/>
      <c r="BQ130" s="140" t="e">
        <f t="shared" si="57"/>
        <v>#VALUE!</v>
      </c>
      <c r="BR130" s="325" t="str">
        <f t="shared" si="518"/>
        <v/>
      </c>
      <c r="BS130" s="333">
        <f t="shared" si="519"/>
        <v>0</v>
      </c>
      <c r="BT130" s="140" t="e">
        <f t="shared" ref="BT130:BV130" si="646">SUM(BQ130,BM130,BI130)</f>
        <v>#VALUE!</v>
      </c>
      <c r="BU130" s="326">
        <f t="shared" si="646"/>
        <v>0</v>
      </c>
      <c r="BV130" s="333">
        <f t="shared" si="646"/>
        <v>0</v>
      </c>
      <c r="BW130" s="125"/>
      <c r="BX130" s="140" t="e">
        <f t="shared" si="61"/>
        <v>#VALUE!</v>
      </c>
      <c r="BY130" s="123" t="str">
        <f t="shared" si="521"/>
        <v/>
      </c>
      <c r="BZ130" s="148">
        <f t="shared" si="522"/>
        <v>-15796.7</v>
      </c>
      <c r="CA130" s="123"/>
      <c r="CB130" s="332"/>
      <c r="CI130" s="294"/>
      <c r="CJ130" s="294"/>
    </row>
    <row r="131" spans="1:115" ht="13">
      <c r="A131" s="905"/>
      <c r="B131" s="754"/>
      <c r="C131" s="906"/>
      <c r="D131" s="906"/>
      <c r="E131" s="907"/>
      <c r="F131" s="908"/>
      <c r="G131" s="906"/>
      <c r="H131" s="909"/>
      <c r="I131" s="910"/>
      <c r="J131" s="909"/>
      <c r="K131" s="909"/>
      <c r="L131" s="909"/>
      <c r="M131" s="909" t="s">
        <v>813</v>
      </c>
      <c r="N131" s="911"/>
      <c r="O131" s="912" t="e">
        <f>SUM(O3:O130)</f>
        <v>#VALUE!</v>
      </c>
      <c r="P131" s="913" t="e">
        <f t="shared" ref="P131:BA131" si="647">SUM(P2:P130,P138:P149)</f>
        <v>#VALUE!</v>
      </c>
      <c r="Q131" s="913">
        <f t="shared" si="647"/>
        <v>47401990.279999986</v>
      </c>
      <c r="R131" s="913">
        <f t="shared" si="647"/>
        <v>81761187.829999998</v>
      </c>
      <c r="S131" s="913" t="e">
        <f t="shared" si="647"/>
        <v>#VALUE!</v>
      </c>
      <c r="T131" s="913">
        <f t="shared" si="647"/>
        <v>38.41718763550336</v>
      </c>
      <c r="U131" s="913">
        <f t="shared" si="647"/>
        <v>74078333.620000005</v>
      </c>
      <c r="V131" s="913" t="e">
        <f t="shared" si="647"/>
        <v>#VALUE!</v>
      </c>
      <c r="W131" s="913" t="e">
        <f t="shared" si="647"/>
        <v>#VALUE!</v>
      </c>
      <c r="X131" s="913">
        <f t="shared" si="647"/>
        <v>41248554.630000018</v>
      </c>
      <c r="Y131" s="913">
        <f t="shared" si="647"/>
        <v>114579683.48000003</v>
      </c>
      <c r="Z131" s="913" t="e">
        <f t="shared" si="647"/>
        <v>#VALUE!</v>
      </c>
      <c r="AA131" s="913">
        <f t="shared" si="647"/>
        <v>29.31959661233288</v>
      </c>
      <c r="AB131" s="913">
        <f t="shared" si="647"/>
        <v>55970767.859999992</v>
      </c>
      <c r="AC131" s="913" t="e">
        <f t="shared" si="647"/>
        <v>#VALUE!</v>
      </c>
      <c r="AD131" s="913" t="e">
        <f t="shared" si="647"/>
        <v>#VALUE!</v>
      </c>
      <c r="AE131" s="913">
        <f t="shared" si="647"/>
        <v>29754088.649999995</v>
      </c>
      <c r="AF131" s="913">
        <f t="shared" si="647"/>
        <v>87739947.589999989</v>
      </c>
      <c r="AG131" s="913" t="e">
        <f t="shared" si="647"/>
        <v>#VALUE!</v>
      </c>
      <c r="AH131" s="913">
        <f t="shared" si="647"/>
        <v>64.304311405157236</v>
      </c>
      <c r="AI131" s="913" t="e">
        <f t="shared" si="647"/>
        <v>#VALUE!</v>
      </c>
      <c r="AJ131" s="913">
        <f t="shared" si="647"/>
        <v>337599517.47999984</v>
      </c>
      <c r="AK131" s="913" t="e">
        <f t="shared" si="647"/>
        <v>#VALUE!</v>
      </c>
      <c r="AL131" s="913">
        <f t="shared" si="647"/>
        <v>159653188.18999991</v>
      </c>
      <c r="AM131" s="913">
        <f t="shared" si="647"/>
        <v>284106667.17999983</v>
      </c>
      <c r="AN131" s="913" t="e">
        <f t="shared" si="647"/>
        <v>#VALUE!</v>
      </c>
      <c r="AO131" s="913" t="e">
        <f t="shared" si="647"/>
        <v>#VALUE!</v>
      </c>
      <c r="AP131" s="913">
        <f t="shared" si="647"/>
        <v>53286650.860000007</v>
      </c>
      <c r="AQ131" s="913" t="e">
        <f t="shared" si="647"/>
        <v>#VALUE!</v>
      </c>
      <c r="AR131" s="913">
        <f t="shared" si="647"/>
        <v>43737670.529999994</v>
      </c>
      <c r="AS131" s="913">
        <f t="shared" si="647"/>
        <v>80924346.829999983</v>
      </c>
      <c r="AT131" s="913">
        <f t="shared" si="647"/>
        <v>65139843.609999999</v>
      </c>
      <c r="AU131" s="913" t="e">
        <f t="shared" si="647"/>
        <v>#VALUE!</v>
      </c>
      <c r="AV131" s="913">
        <f t="shared" si="647"/>
        <v>28782972.639999993</v>
      </c>
      <c r="AW131" s="913">
        <f t="shared" si="647"/>
        <v>60969448.059999995</v>
      </c>
      <c r="AX131" s="913">
        <f t="shared" si="647"/>
        <v>42720979.560000002</v>
      </c>
      <c r="AY131" s="913" t="e">
        <f t="shared" si="647"/>
        <v>#VALUE!</v>
      </c>
      <c r="AZ131" s="913">
        <f t="shared" si="647"/>
        <v>42772621.269999981</v>
      </c>
      <c r="BA131" s="912">
        <f t="shared" si="647"/>
        <v>84073737.779999986</v>
      </c>
      <c r="BB131" s="914" t="e">
        <f t="shared" ref="BB131:BD131" si="648">SUM(AY131,AU131,AQ131)</f>
        <v>#VALUE!</v>
      </c>
      <c r="BC131" s="915">
        <f t="shared" si="648"/>
        <v>115293264.43999997</v>
      </c>
      <c r="BD131" s="916">
        <f t="shared" si="648"/>
        <v>225967532.66999996</v>
      </c>
      <c r="BE131" s="917" t="e">
        <f t="shared" ref="BE131:BF131" si="649">SUM(BB131,AK131)</f>
        <v>#VALUE!</v>
      </c>
      <c r="BF131" s="915">
        <f t="shared" si="649"/>
        <v>274946452.62999988</v>
      </c>
      <c r="BG131" s="918">
        <f t="shared" si="50"/>
        <v>510074199.84999979</v>
      </c>
      <c r="BH131" s="919">
        <f t="shared" ref="BH131:CB131" si="650">SUM(BH2:BH130,BH138:BH149)</f>
        <v>45426853.479999997</v>
      </c>
      <c r="BI131" s="913" t="e">
        <f t="shared" si="650"/>
        <v>#VALUE!</v>
      </c>
      <c r="BJ131" s="913">
        <f t="shared" si="650"/>
        <v>58154269.430000007</v>
      </c>
      <c r="BK131" s="920">
        <f t="shared" si="650"/>
        <v>90855127.600000024</v>
      </c>
      <c r="BL131" s="913">
        <f t="shared" si="650"/>
        <v>59009847.43</v>
      </c>
      <c r="BM131" s="283" t="e">
        <f t="shared" si="650"/>
        <v>#VALUE!</v>
      </c>
      <c r="BN131" s="283">
        <f t="shared" si="650"/>
        <v>38811708.170000002</v>
      </c>
      <c r="BO131" s="283">
        <f t="shared" si="650"/>
        <v>77299247.799999997</v>
      </c>
      <c r="BP131" s="483">
        <f t="shared" si="650"/>
        <v>62368410.580000006</v>
      </c>
      <c r="BQ131" s="483" t="e">
        <f t="shared" si="650"/>
        <v>#VALUE!</v>
      </c>
      <c r="BR131" s="483">
        <f t="shared" si="650"/>
        <v>38383843.440000005</v>
      </c>
      <c r="BS131" s="483">
        <f t="shared" si="650"/>
        <v>103578086.03000002</v>
      </c>
      <c r="BT131" s="483" t="e">
        <f t="shared" si="650"/>
        <v>#VALUE!</v>
      </c>
      <c r="BU131" s="483">
        <f t="shared" si="650"/>
        <v>135349821.03999999</v>
      </c>
      <c r="BV131" s="292">
        <f t="shared" si="650"/>
        <v>271732461.42999995</v>
      </c>
      <c r="BW131" s="292">
        <f t="shared" si="650"/>
        <v>88091592.14000003</v>
      </c>
      <c r="BX131" s="292" t="e">
        <f t="shared" si="650"/>
        <v>#VALUE!</v>
      </c>
      <c r="BY131" s="292">
        <f t="shared" si="650"/>
        <v>37772245.199999996</v>
      </c>
      <c r="BZ131" s="292">
        <f t="shared" si="650"/>
        <v>140428032.03000003</v>
      </c>
      <c r="CA131" s="912">
        <f t="shared" si="650"/>
        <v>94544745.449999988</v>
      </c>
      <c r="CB131" s="912">
        <f t="shared" si="650"/>
        <v>88777737.109999999</v>
      </c>
      <c r="CC131" s="293"/>
      <c r="CD131" s="188"/>
      <c r="CE131" s="188"/>
      <c r="CF131" s="188"/>
      <c r="CG131" s="188"/>
      <c r="CH131" s="188"/>
      <c r="CI131" s="572"/>
      <c r="CJ131" s="572"/>
      <c r="CK131" s="188"/>
      <c r="CL131" s="188"/>
      <c r="CM131" s="188"/>
      <c r="CN131" s="188"/>
      <c r="CO131" s="188"/>
      <c r="CP131" s="188"/>
      <c r="CQ131" s="188"/>
      <c r="CR131" s="188"/>
      <c r="CS131" s="188"/>
      <c r="CT131" s="188"/>
      <c r="CU131" s="188"/>
      <c r="CV131" s="188"/>
      <c r="CW131" s="188"/>
      <c r="CX131" s="188"/>
      <c r="CY131" s="188"/>
      <c r="CZ131" s="188"/>
      <c r="DA131" s="188"/>
      <c r="DB131" s="188"/>
      <c r="DC131" s="188"/>
      <c r="DD131" s="188"/>
      <c r="DE131" s="188"/>
      <c r="DF131" s="188"/>
      <c r="DG131" s="188"/>
      <c r="DH131" s="188"/>
      <c r="DI131" s="188"/>
      <c r="DJ131" s="188"/>
      <c r="DK131" s="188"/>
    </row>
    <row r="132" spans="1:115" ht="13">
      <c r="B132" s="294"/>
      <c r="F132" s="296"/>
      <c r="J132" s="302"/>
      <c r="T132" s="295"/>
      <c r="AA132" s="295"/>
      <c r="AH132" s="295"/>
      <c r="AI132" s="188"/>
      <c r="AJ132" s="188"/>
      <c r="AK132" s="188"/>
      <c r="AL132" s="188"/>
      <c r="AM132" s="188"/>
      <c r="AN132" s="188"/>
      <c r="AO132" s="299"/>
      <c r="CI132" s="294"/>
      <c r="CJ132" s="294"/>
    </row>
    <row r="133" spans="1:115" ht="13">
      <c r="B133" s="294"/>
      <c r="F133" s="296"/>
      <c r="J133" s="302"/>
      <c r="M133" s="921" t="s">
        <v>229</v>
      </c>
      <c r="T133" s="295"/>
      <c r="AA133" s="295"/>
      <c r="AH133" s="295"/>
      <c r="AI133" s="188"/>
      <c r="AJ133" s="188"/>
      <c r="AK133" s="188"/>
      <c r="AL133" s="188"/>
      <c r="AM133" s="188"/>
      <c r="AN133" s="188"/>
      <c r="AO133" s="299"/>
      <c r="CI133" s="294"/>
      <c r="CJ133" s="294"/>
    </row>
    <row r="134" spans="1:115" ht="13">
      <c r="B134" s="294"/>
      <c r="F134" s="296"/>
      <c r="J134" s="302"/>
      <c r="M134" s="922" t="s">
        <v>814</v>
      </c>
      <c r="T134" s="295"/>
      <c r="AA134" s="295"/>
      <c r="AH134" s="295"/>
      <c r="AI134" s="188"/>
      <c r="AJ134" s="188"/>
      <c r="AK134" s="188"/>
      <c r="AL134" s="188"/>
      <c r="AM134" s="188"/>
      <c r="AN134" s="188"/>
      <c r="AO134" s="299"/>
      <c r="CI134" s="294"/>
      <c r="CJ134" s="294"/>
    </row>
    <row r="135" spans="1:115" ht="13">
      <c r="B135" s="294"/>
      <c r="F135" s="296"/>
      <c r="J135" s="302"/>
      <c r="M135" s="484" t="s">
        <v>815</v>
      </c>
      <c r="T135" s="295"/>
      <c r="AA135" s="295"/>
      <c r="AH135" s="295"/>
      <c r="AI135" s="188"/>
      <c r="AJ135" s="188"/>
      <c r="AK135" s="188"/>
      <c r="AL135" s="188"/>
      <c r="AM135" s="188"/>
      <c r="AN135" s="188"/>
      <c r="AO135" s="299"/>
      <c r="CI135" s="294"/>
      <c r="CJ135" s="294"/>
    </row>
    <row r="136" spans="1:115" ht="13">
      <c r="B136" s="294"/>
      <c r="F136" s="296"/>
      <c r="J136" s="302"/>
      <c r="M136" s="923" t="s">
        <v>816</v>
      </c>
      <c r="T136" s="295"/>
      <c r="AA136" s="295"/>
      <c r="AH136" s="295"/>
      <c r="AI136" s="188"/>
      <c r="AJ136" s="188"/>
      <c r="AK136" s="188"/>
      <c r="AL136" s="188"/>
      <c r="AM136" s="188"/>
      <c r="AN136" s="188"/>
      <c r="AO136" s="299"/>
      <c r="CI136" s="294"/>
      <c r="CJ136" s="294"/>
    </row>
    <row r="137" spans="1:115" ht="13">
      <c r="B137" s="485" t="s">
        <v>486</v>
      </c>
      <c r="C137" s="772" t="s">
        <v>666</v>
      </c>
      <c r="F137" s="296"/>
      <c r="J137" s="302"/>
      <c r="T137" s="295"/>
      <c r="AA137" s="295"/>
      <c r="AH137" s="295"/>
      <c r="AI137" s="188"/>
      <c r="AJ137" s="188"/>
      <c r="AK137" s="188"/>
      <c r="AL137" s="188"/>
      <c r="AM137" s="188"/>
      <c r="AN137" s="188"/>
      <c r="AO137" s="299"/>
      <c r="CI137" s="294"/>
      <c r="CJ137" s="294"/>
    </row>
    <row r="138" spans="1:115" ht="13">
      <c r="A138" s="325" t="e">
        <f>VLOOKUP(M138,BUELACARTERA,3,FALSE)</f>
        <v>#N/A</v>
      </c>
      <c r="B138" s="324" t="s">
        <v>817</v>
      </c>
      <c r="C138" s="558" t="str">
        <f>IFERROR(VLOOKUP(B138,DES,2,FALSE),"")</f>
        <v/>
      </c>
      <c r="D138" s="558" t="str">
        <f>IFERROR(VLOOKUP(B138,DES,3,FALSE),"")</f>
        <v/>
      </c>
      <c r="E138" s="558" t="str">
        <f>IFERROR(VLOOKUP(B138,DES,4,FALSE),"")</f>
        <v/>
      </c>
      <c r="F138" s="798"/>
      <c r="G138" s="558"/>
      <c r="H138" s="558"/>
      <c r="I138" s="558"/>
      <c r="J138" s="637"/>
      <c r="K138" s="558"/>
      <c r="L138" s="558"/>
      <c r="M138" s="924" t="s">
        <v>818</v>
      </c>
      <c r="N138" s="325"/>
      <c r="O138" s="332">
        <f t="shared" ref="O138:O139" si="651">(N138*1.601)*1.05</f>
        <v>0</v>
      </c>
      <c r="P138" s="296" t="e">
        <f t="shared" ref="P138:P149" si="652">R138-Q138</f>
        <v>#VALUE!</v>
      </c>
      <c r="Q138" s="296" t="str">
        <f t="shared" ref="Q138:Q149" si="653">IFERROR(VLOOKUP(M138,BUEALIM,3,FALSE),"")</f>
        <v/>
      </c>
      <c r="R138" s="296">
        <f t="shared" ref="R138:R149" si="654">IFERROR(VLOOKUP(M138,BUEFC,3,FALSE),"")</f>
        <v>0</v>
      </c>
      <c r="S138" s="296">
        <f t="shared" ref="S138:S149" si="655">R138-O138</f>
        <v>0</v>
      </c>
      <c r="T138" s="295" t="str">
        <f t="shared" ref="T138:T149" si="656">IFERROR(R138/O138,"")</f>
        <v/>
      </c>
      <c r="U138" s="296" t="str">
        <f t="shared" ref="U138:U149" si="657">IFERROR(VLOOKUP(M138,BUELA,4,FALSE),"")</f>
        <v/>
      </c>
      <c r="V138" s="296"/>
      <c r="W138" s="296" t="e">
        <f t="shared" ref="W138:W149" si="658">Y138-X138</f>
        <v>#VALUE!</v>
      </c>
      <c r="X138" s="296" t="str">
        <f t="shared" ref="X138:X149" si="659">IFERROR(VLOOKUP(M138,BUEALIM,4,FALSE),"")</f>
        <v/>
      </c>
      <c r="Y138" s="296">
        <f t="shared" ref="Y138:Y149" si="660">IFERROR(VLOOKUP(M138,BUEFC,4,FALSE),"")</f>
        <v>0</v>
      </c>
      <c r="Z138" s="296">
        <f t="shared" ref="Z138:Z149" si="661">Y138-V138</f>
        <v>0</v>
      </c>
      <c r="AA138" s="295" t="str">
        <f t="shared" ref="AA138:AA149" si="662">IFERROR(Y138/V138,"")</f>
        <v/>
      </c>
      <c r="AB138" s="296" t="str">
        <f t="shared" ref="AB138:AB149" si="663">IFERROR(VLOOKUP(M138,BUELA,5,FALSE),"")</f>
        <v/>
      </c>
      <c r="AC138" s="296" t="e">
        <f t="shared" ref="AC138:AC149" si="664">(AB138*1.5955)*1.03</f>
        <v>#VALUE!</v>
      </c>
      <c r="AD138" s="296" t="e">
        <f t="shared" ref="AD138:AD149" si="665">AF138-AE138</f>
        <v>#VALUE!</v>
      </c>
      <c r="AE138" s="296" t="str">
        <f t="shared" ref="AE138:AE149" si="666">IFERROR(VLOOKUP(M138,BUEALIM,5,FALSE),"")</f>
        <v/>
      </c>
      <c r="AF138" s="296">
        <f t="shared" ref="AF138:AF149" si="667">IFERROR(VLOOKUP(M138,BUEFC,5,FALSE),"")</f>
        <v>6701.15</v>
      </c>
      <c r="AG138" s="296" t="e">
        <f t="shared" ref="AG138:AG149" si="668">AF138-AC138</f>
        <v>#VALUE!</v>
      </c>
      <c r="AH138" s="295" t="str">
        <f t="shared" ref="AH138:AH149" si="669">IFERROR(AF138/AC138,"")</f>
        <v/>
      </c>
      <c r="AI138" s="293" t="e">
        <f t="shared" ref="AI138:AI149" si="670">SUM(O138,V138,AC138)</f>
        <v>#VALUE!</v>
      </c>
      <c r="AJ138" s="293"/>
      <c r="AK138" s="296" t="e">
        <f t="shared" ref="AK138:AK149" si="671">SUM(AD138,W138,P138)</f>
        <v>#VALUE!</v>
      </c>
      <c r="AL138" s="296">
        <f t="shared" ref="AL138:AL149" si="672">SUM(AE138,X138,X138,Q138)</f>
        <v>0</v>
      </c>
      <c r="AM138" s="123">
        <f t="shared" ref="AM138:AM149" si="673">SUM(AF138,Y138,R138)</f>
        <v>6701.15</v>
      </c>
      <c r="AN138" s="326" t="e">
        <f>AM138-AI138</f>
        <v>#VALUE!</v>
      </c>
      <c r="AO138" s="137" t="str">
        <f>IFERROR(AM138/AI138,"")</f>
        <v/>
      </c>
      <c r="AP138" s="423" t="str">
        <f t="shared" ref="AP138:AP149" si="674">IFERROR(VLOOKUP(M138,BUELA,6,FALSE),"")</f>
        <v/>
      </c>
      <c r="AQ138" s="423"/>
      <c r="AR138" s="423" t="str">
        <f t="shared" ref="AR138:AR150" si="675">IFERROR(VLOOKUP(M138,BUEALIM,6,FALSE),"")</f>
        <v/>
      </c>
      <c r="AS138" s="423">
        <f t="shared" ref="AS138:AS150" si="676">IFERROR(VLOOKUP(M138,BUEFC,6,FALSE),"")</f>
        <v>0</v>
      </c>
      <c r="AT138" s="325" t="str">
        <f>IFERROR(VLOOKUP(M138,BUELA,7,FALSE),"")</f>
        <v/>
      </c>
      <c r="AU138" s="326" t="e">
        <f t="shared" ref="AU138:AU149" si="677">AW138-AV138</f>
        <v>#VALUE!</v>
      </c>
      <c r="AV138" s="326" t="str">
        <f t="shared" ref="AV138:AV149" si="678">IFERROR(VLOOKUP(M138,BUEALIM,7,FALSE),"")</f>
        <v/>
      </c>
      <c r="AW138" s="326">
        <f t="shared" ref="AW138:AW149" si="679">IFERROR(VLOOKUP(M138,BUEFC,7,FALSE),"")</f>
        <v>0</v>
      </c>
      <c r="AX138" s="332" t="str">
        <f t="shared" ref="AX138:AX149" si="680">IFERROR(VLOOKUP(M138,BUELA,8,FALSE),"")</f>
        <v/>
      </c>
      <c r="AY138" s="140" t="e">
        <f t="shared" ref="AY138:AY149" si="681">BA138-AZ138</f>
        <v>#VALUE!</v>
      </c>
      <c r="AZ138" s="326" t="str">
        <f t="shared" ref="AZ138:AZ149" si="682">IFERROR(VLOOKUP(M138,BUEALIM,8,FALSE),"")</f>
        <v/>
      </c>
      <c r="BA138" s="333">
        <f t="shared" ref="BA138:BA149" si="683">IFERROR(VLOOKUP(M138,BUEFC,8,FALSE),"")</f>
        <v>0</v>
      </c>
      <c r="BB138" s="121"/>
      <c r="BC138" s="121"/>
      <c r="BD138" s="121"/>
      <c r="BE138" s="121"/>
      <c r="BF138" s="121"/>
      <c r="BG138" s="121"/>
      <c r="BH138" s="491" t="str">
        <f>IFERROR(VLOOKUP(M138,BUELA,9,FALSE),"")</f>
        <v/>
      </c>
      <c r="BI138" s="325"/>
      <c r="BJ138" s="325" t="str">
        <f t="shared" ref="BJ138:BJ149" si="684">IFERROR(VLOOKUP(M138,BUEALIM,9,FALSE),"")</f>
        <v/>
      </c>
      <c r="BK138" s="325">
        <f t="shared" ref="BK138:BK149" si="685">IFERROR(VLOOKUP(M138,BUEFC,9,FALSE),"")</f>
        <v>0</v>
      </c>
      <c r="BL138" s="325" t="str">
        <f>IFERROR(VLOOKUP(M138,BUELA,10,FALSE),"")</f>
        <v/>
      </c>
      <c r="BM138" s="325"/>
      <c r="BN138" s="325"/>
      <c r="BO138" s="325"/>
      <c r="BP138" s="325" t="str">
        <f>IFERROR(VLOOKUP(M138,BUELA,11,FALSE),"")</f>
        <v/>
      </c>
      <c r="BQ138" s="325"/>
      <c r="BR138" s="325"/>
      <c r="BS138" s="325"/>
      <c r="BT138" s="325"/>
      <c r="BU138" s="325"/>
      <c r="BV138" s="325"/>
      <c r="BW138" s="325" t="str">
        <f>IFERROR(VLOOKUP(M138,BUELA,12,FALSE),"")</f>
        <v/>
      </c>
      <c r="BX138" s="325"/>
      <c r="BY138" s="325"/>
      <c r="BZ138" s="325"/>
      <c r="CA138" s="325" t="str">
        <f>IFERROR(VLOOKUP(M138,BUELA,13,FALSE),"")</f>
        <v/>
      </c>
      <c r="CB138" s="325" t="str">
        <f>IFERROR(VLOOKUP(M138,BUELA,14,FALSE),"")</f>
        <v/>
      </c>
      <c r="CI138" s="294"/>
      <c r="CJ138" s="294"/>
    </row>
    <row r="139" spans="1:115" ht="13">
      <c r="A139" s="436" t="s">
        <v>230</v>
      </c>
      <c r="B139" s="172">
        <f>VLOOKUP(M139,BUELACARTERA,2,FALSE)</f>
        <v>1</v>
      </c>
      <c r="C139" s="558" t="str">
        <f>IFERROR(VLOOKUP(B139,DES,2,FALSE),"")</f>
        <v>Lista</v>
      </c>
      <c r="D139" s="558">
        <f>IFERROR(VLOOKUP(B139,DES,3,FALSE),"")</f>
        <v>0.09</v>
      </c>
      <c r="E139" s="559">
        <f>IFERROR(VLOOKUP(B139,DES,4,FALSE),"")</f>
        <v>0</v>
      </c>
      <c r="F139" s="836">
        <f>VLOOKUP(M139,BUELACART2,2,FALSE)</f>
        <v>1</v>
      </c>
      <c r="G139" s="558" t="str">
        <f>IFERROR(VLOOKUP(F139,DES,2,FALSE),"")</f>
        <v>Lista</v>
      </c>
      <c r="H139" s="558">
        <f>IFERROR(VLOOKUP(F139,DES,3,FALSE),"")</f>
        <v>0.09</v>
      </c>
      <c r="I139" s="559">
        <f>IFERROR(VLOOKUP(F139,DES,4,FALSE),"")</f>
        <v>0</v>
      </c>
      <c r="J139" s="837" t="e">
        <f>VLOOKUP(M139,BUECART4,2,FALSE)</f>
        <v>#N/A</v>
      </c>
      <c r="K139" s="699" t="str">
        <f>IFERROR(VLOOKUP(J139,A458DC1025,2,FALSE),"")</f>
        <v/>
      </c>
      <c r="L139" s="700" t="str">
        <f>IFERROR(VLOOKUP(J139,A458DC1025,3,FALSE),"")</f>
        <v/>
      </c>
      <c r="M139" s="498" t="s">
        <v>819</v>
      </c>
      <c r="N139" s="434">
        <f>IFERROR(VLOOKUP(M139,BUELA,3,FALSE),"")</f>
        <v>166940.98000000001</v>
      </c>
      <c r="O139" s="141">
        <f t="shared" si="651"/>
        <v>280636.13442899997</v>
      </c>
      <c r="P139" s="113" t="e">
        <f t="shared" si="652"/>
        <v>#VALUE!</v>
      </c>
      <c r="Q139" s="116" t="str">
        <f t="shared" si="653"/>
        <v/>
      </c>
      <c r="R139" s="117">
        <f t="shared" si="654"/>
        <v>206757</v>
      </c>
      <c r="S139" s="114">
        <f t="shared" si="655"/>
        <v>-73879.134428999969</v>
      </c>
      <c r="T139" s="413">
        <f t="shared" si="656"/>
        <v>0.73674404196266763</v>
      </c>
      <c r="U139" s="123">
        <f t="shared" si="657"/>
        <v>133749.15</v>
      </c>
      <c r="V139" s="332">
        <f>(U139*1.7245)*1.05</f>
        <v>242182.92963375</v>
      </c>
      <c r="W139" s="113" t="e">
        <f t="shared" si="658"/>
        <v>#VALUE!</v>
      </c>
      <c r="X139" s="116" t="str">
        <f t="shared" si="659"/>
        <v/>
      </c>
      <c r="Y139" s="117">
        <f t="shared" si="660"/>
        <v>287746.38</v>
      </c>
      <c r="Z139" s="114">
        <f t="shared" si="661"/>
        <v>45563.450366250006</v>
      </c>
      <c r="AA139" s="413">
        <f t="shared" si="662"/>
        <v>1.1881365067106711</v>
      </c>
      <c r="AB139" s="125">
        <f t="shared" si="663"/>
        <v>156014.98000000001</v>
      </c>
      <c r="AC139" s="416">
        <f t="shared" si="664"/>
        <v>256389.5576077</v>
      </c>
      <c r="AD139" s="113" t="e">
        <f t="shared" si="665"/>
        <v>#VALUE!</v>
      </c>
      <c r="AE139" s="116" t="str">
        <f t="shared" si="666"/>
        <v/>
      </c>
      <c r="AF139" s="117">
        <f t="shared" si="667"/>
        <v>270170.2</v>
      </c>
      <c r="AG139" s="114">
        <f t="shared" si="668"/>
        <v>13780.642392300011</v>
      </c>
      <c r="AH139" s="413">
        <f t="shared" si="669"/>
        <v>1.0537488442231555</v>
      </c>
      <c r="AI139" s="846">
        <f t="shared" si="670"/>
        <v>779208.62167044997</v>
      </c>
      <c r="AJ139" s="840">
        <f>IFERROR(VLOOKUP(M139,trim2024,2,FALSE),"")</f>
        <v>1004347.1</v>
      </c>
      <c r="AK139" s="116" t="e">
        <f t="shared" si="671"/>
        <v>#VALUE!</v>
      </c>
      <c r="AL139" s="116">
        <f t="shared" si="672"/>
        <v>0</v>
      </c>
      <c r="AM139" s="116">
        <f t="shared" si="673"/>
        <v>764673.58000000007</v>
      </c>
      <c r="AN139" s="116">
        <f>AM139-AJ139</f>
        <v>-239673.5199999999</v>
      </c>
      <c r="AO139" s="413">
        <f>IFERROR(AM139/AJ139,"")</f>
        <v>0.76136385518512484</v>
      </c>
      <c r="AP139" s="434">
        <f t="shared" si="674"/>
        <v>240212.89</v>
      </c>
      <c r="AQ139" s="140" t="e">
        <f>AS139-AR139</f>
        <v>#VALUE!</v>
      </c>
      <c r="AR139" s="123" t="str">
        <f t="shared" si="675"/>
        <v/>
      </c>
      <c r="AS139" s="148">
        <f t="shared" si="676"/>
        <v>28170</v>
      </c>
      <c r="AT139" s="123">
        <f>IFERROR(VLOOKUP(M139,BUELA,7,FALSE),"")</f>
        <v>188329.78</v>
      </c>
      <c r="AU139" s="326" t="e">
        <f t="shared" si="677"/>
        <v>#VALUE!</v>
      </c>
      <c r="AV139" s="326" t="str">
        <f t="shared" si="678"/>
        <v/>
      </c>
      <c r="AW139" s="326">
        <f t="shared" si="679"/>
        <v>108562.8</v>
      </c>
      <c r="AX139" s="332">
        <f t="shared" si="680"/>
        <v>153873.14000000001</v>
      </c>
      <c r="AY139" s="140" t="e">
        <f t="shared" si="681"/>
        <v>#VALUE!</v>
      </c>
      <c r="AZ139" s="326" t="str">
        <f t="shared" si="682"/>
        <v/>
      </c>
      <c r="BA139" s="332">
        <f t="shared" si="683"/>
        <v>0</v>
      </c>
      <c r="BB139" s="122" t="e">
        <f t="shared" ref="BB139:BD139" si="686">SUM(AY139,AU139,AQ139)</f>
        <v>#VALUE!</v>
      </c>
      <c r="BC139" s="326">
        <f t="shared" si="686"/>
        <v>0</v>
      </c>
      <c r="BD139" s="332">
        <f t="shared" si="686"/>
        <v>136732.79999999999</v>
      </c>
      <c r="BE139" s="140" t="e">
        <f t="shared" ref="BE139:BF139" si="687">SUM(BB139,AK139)</f>
        <v>#VALUE!</v>
      </c>
      <c r="BF139" s="326">
        <f t="shared" si="687"/>
        <v>0</v>
      </c>
      <c r="BG139" s="435">
        <f>BD139+AM139</f>
        <v>901406.38000000012</v>
      </c>
      <c r="BH139" s="423">
        <f>IFERROR(VLOOKUP(M139,BUELA,9,FALSE),"")</f>
        <v>100989.86</v>
      </c>
      <c r="BI139" s="326" t="e">
        <f>BK139-BJ139</f>
        <v>#VALUE!</v>
      </c>
      <c r="BJ139" s="326" t="str">
        <f t="shared" si="684"/>
        <v/>
      </c>
      <c r="BK139" s="326">
        <f t="shared" si="685"/>
        <v>0</v>
      </c>
      <c r="BL139" s="325"/>
      <c r="BM139" s="326" t="e">
        <f>BO139-BN139</f>
        <v>#VALUE!</v>
      </c>
      <c r="BN139" s="326" t="str">
        <f>IFERROR(VLOOKUP(M139,BUEALIM,10,FALSE),"")</f>
        <v/>
      </c>
      <c r="BO139" s="326">
        <f>IFERROR(VLOOKUP(M139,BUEFC,10,FALSE),"")</f>
        <v>0</v>
      </c>
      <c r="BP139" s="325">
        <f>IFERROR(VLOOKUP(M139,BUELA,11,FALSE),"")</f>
        <v>207310.73</v>
      </c>
      <c r="BQ139" s="326" t="e">
        <f>BS139-BR139</f>
        <v>#VALUE!</v>
      </c>
      <c r="BR139" s="325" t="str">
        <f>IFERROR(VLOOKUP(M139,BUEALIM,11,FALSE),"")</f>
        <v/>
      </c>
      <c r="BS139" s="326">
        <f>IFERROR(VLOOKUP(M139,BUEFC,11,FALSE),"")</f>
        <v>0</v>
      </c>
      <c r="BT139" s="326" t="e">
        <f t="shared" ref="BT139:BV139" si="688">SUM(BQ139,BM139,BI139)</f>
        <v>#VALUE!</v>
      </c>
      <c r="BU139" s="326">
        <f t="shared" si="688"/>
        <v>0</v>
      </c>
      <c r="BV139" s="326">
        <f t="shared" si="688"/>
        <v>0</v>
      </c>
      <c r="BW139" s="326">
        <f>IFERROR(VLOOKUP(M139,BUELA,12,FALSE),"")</f>
        <v>343270.55</v>
      </c>
      <c r="BX139" s="326" t="e">
        <f>BZ139-BY139</f>
        <v>#VALUE!</v>
      </c>
      <c r="BY139" s="326" t="str">
        <f>IFERROR(VLOOKUP(M139,BUEALIM,12,FALSE),"")</f>
        <v/>
      </c>
      <c r="BZ139" s="326">
        <f>IFERROR(VLOOKUP(M139,BUEFC,12,FALSE),"")</f>
        <v>0</v>
      </c>
      <c r="CA139" s="123">
        <f>IFERROR(VLOOKUP(M139,BUELA,13,FALSE),"")</f>
        <v>279007.3</v>
      </c>
      <c r="CB139" s="326">
        <f>IFERROR(VLOOKUP(M139,BUELA,14,FALSE),"")</f>
        <v>382069.25</v>
      </c>
      <c r="CI139" s="294"/>
      <c r="CJ139" s="294"/>
    </row>
    <row r="140" spans="1:115" ht="13">
      <c r="A140" s="325"/>
      <c r="B140" s="324"/>
      <c r="C140" s="325"/>
      <c r="D140" s="325"/>
      <c r="E140" s="325"/>
      <c r="F140" s="326"/>
      <c r="G140" s="325"/>
      <c r="H140" s="325"/>
      <c r="I140" s="325"/>
      <c r="J140" s="325"/>
      <c r="K140" s="325"/>
      <c r="L140" s="325"/>
      <c r="M140" s="325" t="s">
        <v>450</v>
      </c>
      <c r="N140" s="325"/>
      <c r="O140" s="436"/>
      <c r="P140" s="296">
        <f t="shared" si="652"/>
        <v>0</v>
      </c>
      <c r="Q140" s="296">
        <f t="shared" si="653"/>
        <v>0</v>
      </c>
      <c r="R140" s="296">
        <f t="shared" si="654"/>
        <v>0</v>
      </c>
      <c r="S140" s="296">
        <f t="shared" si="655"/>
        <v>0</v>
      </c>
      <c r="T140" s="295" t="str">
        <f t="shared" si="656"/>
        <v/>
      </c>
      <c r="U140" s="296" t="str">
        <f t="shared" si="657"/>
        <v/>
      </c>
      <c r="V140" s="296"/>
      <c r="W140" s="296">
        <f t="shared" si="658"/>
        <v>0</v>
      </c>
      <c r="X140" s="296">
        <f t="shared" si="659"/>
        <v>0</v>
      </c>
      <c r="Y140" s="296">
        <f t="shared" si="660"/>
        <v>0</v>
      </c>
      <c r="Z140" s="296">
        <f t="shared" si="661"/>
        <v>0</v>
      </c>
      <c r="AA140" s="295" t="str">
        <f t="shared" si="662"/>
        <v/>
      </c>
      <c r="AB140" s="296" t="str">
        <f t="shared" si="663"/>
        <v/>
      </c>
      <c r="AC140" s="296" t="e">
        <f t="shared" si="664"/>
        <v>#VALUE!</v>
      </c>
      <c r="AD140" s="296">
        <f t="shared" si="665"/>
        <v>0</v>
      </c>
      <c r="AE140" s="296">
        <f t="shared" si="666"/>
        <v>0</v>
      </c>
      <c r="AF140" s="296">
        <f t="shared" si="667"/>
        <v>0</v>
      </c>
      <c r="AG140" s="296" t="e">
        <f t="shared" si="668"/>
        <v>#VALUE!</v>
      </c>
      <c r="AH140" s="295" t="str">
        <f t="shared" si="669"/>
        <v/>
      </c>
      <c r="AI140" s="293" t="e">
        <f t="shared" si="670"/>
        <v>#VALUE!</v>
      </c>
      <c r="AJ140" s="293"/>
      <c r="AK140" s="296">
        <f t="shared" si="671"/>
        <v>0</v>
      </c>
      <c r="AL140" s="296">
        <f t="shared" si="672"/>
        <v>0</v>
      </c>
      <c r="AM140" s="123">
        <f t="shared" si="673"/>
        <v>0</v>
      </c>
      <c r="AN140" s="326" t="e">
        <f t="shared" ref="AN140:AN149" si="689">AM140-AI140</f>
        <v>#VALUE!</v>
      </c>
      <c r="AO140" s="137" t="str">
        <f t="shared" ref="AO140:AO149" si="690">IFERROR(AM140/AI140,"")</f>
        <v/>
      </c>
      <c r="AP140" s="423" t="str">
        <f t="shared" si="674"/>
        <v/>
      </c>
      <c r="AQ140" s="423"/>
      <c r="AR140" s="423">
        <f t="shared" si="675"/>
        <v>27224.9</v>
      </c>
      <c r="AS140" s="423">
        <f t="shared" si="676"/>
        <v>27224.9</v>
      </c>
      <c r="AU140" s="326">
        <f t="shared" si="677"/>
        <v>0</v>
      </c>
      <c r="AV140" s="326">
        <f t="shared" si="678"/>
        <v>0</v>
      </c>
      <c r="AW140" s="326">
        <f t="shared" si="679"/>
        <v>0</v>
      </c>
      <c r="AX140" s="332" t="str">
        <f t="shared" si="680"/>
        <v/>
      </c>
      <c r="AY140" s="140">
        <f t="shared" si="681"/>
        <v>0</v>
      </c>
      <c r="AZ140" s="326">
        <f t="shared" si="682"/>
        <v>0</v>
      </c>
      <c r="BA140" s="333">
        <f t="shared" si="683"/>
        <v>0</v>
      </c>
      <c r="BB140" s="296"/>
      <c r="BC140" s="296"/>
      <c r="BD140" s="296"/>
      <c r="BE140" s="296"/>
      <c r="BF140" s="296"/>
      <c r="BG140" s="296"/>
      <c r="BI140" s="325"/>
      <c r="BJ140" s="325">
        <f t="shared" si="684"/>
        <v>0</v>
      </c>
      <c r="BK140" s="325">
        <f t="shared" si="685"/>
        <v>0</v>
      </c>
      <c r="BL140" s="325"/>
      <c r="BM140" s="325"/>
      <c r="BN140" s="325"/>
      <c r="BO140" s="325"/>
      <c r="BP140" s="325"/>
      <c r="BQ140" s="325"/>
      <c r="BR140" s="325"/>
      <c r="BS140" s="325"/>
      <c r="BT140" s="325"/>
      <c r="BU140" s="325"/>
      <c r="BV140" s="325"/>
      <c r="BW140" s="325"/>
      <c r="BX140" s="325"/>
      <c r="BY140" s="325"/>
      <c r="BZ140" s="325"/>
      <c r="CI140" s="294"/>
      <c r="CJ140" s="294"/>
    </row>
    <row r="141" spans="1:115" ht="13">
      <c r="A141" s="325" t="e">
        <f t="shared" ref="A141:A149" si="691">VLOOKUP(M141,BUELACARTERA,3,FALSE)</f>
        <v>#N/A</v>
      </c>
      <c r="B141" s="324" t="e">
        <f t="shared" ref="B141:B149" si="692">VLOOKUP(M141,BUELACARTERA,2,FALSE)</f>
        <v>#N/A</v>
      </c>
      <c r="C141" s="558" t="str">
        <f t="shared" ref="C141:C149" si="693">IFERROR(VLOOKUP(B141,DES,2,FALSE),"")</f>
        <v/>
      </c>
      <c r="D141" s="558" t="str">
        <f t="shared" ref="D141:D149" si="694">IFERROR(VLOOKUP(B141,DES,3,FALSE),"")</f>
        <v/>
      </c>
      <c r="E141" s="558" t="str">
        <f t="shared" ref="E141:E149" si="695">IFERROR(VLOOKUP(B141,DES,4,FALSE),"")</f>
        <v/>
      </c>
      <c r="F141" s="798"/>
      <c r="G141" s="558"/>
      <c r="H141" s="558"/>
      <c r="I141" s="558"/>
      <c r="J141" s="637"/>
      <c r="K141" s="558"/>
      <c r="L141" s="558"/>
      <c r="M141" s="325" t="s">
        <v>820</v>
      </c>
      <c r="N141" s="436" t="str">
        <f t="shared" ref="N141:N149" si="696">IFERROR(VLOOKUP(M141,BUELA,3,FALSE),"")</f>
        <v/>
      </c>
      <c r="O141" s="141" t="e">
        <f t="shared" ref="O141:O149" si="697">(N141*1.601)*1.05</f>
        <v>#VALUE!</v>
      </c>
      <c r="P141" s="296" t="e">
        <f t="shared" si="652"/>
        <v>#VALUE!</v>
      </c>
      <c r="Q141" s="296" t="str">
        <f t="shared" si="653"/>
        <v/>
      </c>
      <c r="R141" s="296" t="str">
        <f t="shared" si="654"/>
        <v/>
      </c>
      <c r="S141" s="296" t="e">
        <f t="shared" si="655"/>
        <v>#VALUE!</v>
      </c>
      <c r="T141" s="295" t="str">
        <f t="shared" si="656"/>
        <v/>
      </c>
      <c r="U141" s="296" t="str">
        <f t="shared" si="657"/>
        <v/>
      </c>
      <c r="V141" s="296"/>
      <c r="W141" s="296" t="e">
        <f t="shared" si="658"/>
        <v>#VALUE!</v>
      </c>
      <c r="X141" s="296" t="str">
        <f t="shared" si="659"/>
        <v/>
      </c>
      <c r="Y141" s="296" t="str">
        <f t="shared" si="660"/>
        <v/>
      </c>
      <c r="Z141" s="296" t="e">
        <f t="shared" si="661"/>
        <v>#VALUE!</v>
      </c>
      <c r="AA141" s="295" t="str">
        <f t="shared" si="662"/>
        <v/>
      </c>
      <c r="AB141" s="296" t="str">
        <f t="shared" si="663"/>
        <v/>
      </c>
      <c r="AC141" s="296" t="e">
        <f t="shared" si="664"/>
        <v>#VALUE!</v>
      </c>
      <c r="AD141" s="296" t="e">
        <f t="shared" si="665"/>
        <v>#VALUE!</v>
      </c>
      <c r="AE141" s="296" t="str">
        <f t="shared" si="666"/>
        <v/>
      </c>
      <c r="AF141" s="296" t="str">
        <f t="shared" si="667"/>
        <v/>
      </c>
      <c r="AG141" s="296" t="e">
        <f t="shared" si="668"/>
        <v>#VALUE!</v>
      </c>
      <c r="AH141" s="295" t="str">
        <f t="shared" si="669"/>
        <v/>
      </c>
      <c r="AI141" s="293" t="e">
        <f t="shared" si="670"/>
        <v>#VALUE!</v>
      </c>
      <c r="AJ141" s="293"/>
      <c r="AK141" s="296" t="e">
        <f t="shared" si="671"/>
        <v>#VALUE!</v>
      </c>
      <c r="AL141" s="296">
        <f t="shared" si="672"/>
        <v>0</v>
      </c>
      <c r="AM141" s="123">
        <f t="shared" si="673"/>
        <v>0</v>
      </c>
      <c r="AN141" s="326" t="e">
        <f t="shared" si="689"/>
        <v>#VALUE!</v>
      </c>
      <c r="AO141" s="137" t="str">
        <f t="shared" si="690"/>
        <v/>
      </c>
      <c r="AP141" s="423" t="str">
        <f t="shared" si="674"/>
        <v/>
      </c>
      <c r="AQ141" s="423"/>
      <c r="AR141" s="423" t="str">
        <f t="shared" si="675"/>
        <v/>
      </c>
      <c r="AS141" s="423" t="str">
        <f t="shared" si="676"/>
        <v/>
      </c>
      <c r="AT141" s="123" t="str">
        <f t="shared" ref="AT141:AT149" si="698">IFERROR(VLOOKUP(M141,BUELA,7,FALSE),"")</f>
        <v/>
      </c>
      <c r="AU141" s="326" t="e">
        <f t="shared" si="677"/>
        <v>#VALUE!</v>
      </c>
      <c r="AV141" s="326" t="str">
        <f t="shared" si="678"/>
        <v/>
      </c>
      <c r="AW141" s="326" t="str">
        <f t="shared" si="679"/>
        <v/>
      </c>
      <c r="AX141" s="332" t="str">
        <f t="shared" si="680"/>
        <v/>
      </c>
      <c r="AY141" s="140" t="e">
        <f t="shared" si="681"/>
        <v>#VALUE!</v>
      </c>
      <c r="AZ141" s="326" t="str">
        <f t="shared" si="682"/>
        <v/>
      </c>
      <c r="BA141" s="333" t="str">
        <f t="shared" si="683"/>
        <v/>
      </c>
      <c r="BB141" s="125"/>
      <c r="BC141" s="125"/>
      <c r="BD141" s="125"/>
      <c r="BE141" s="125"/>
      <c r="BF141" s="125"/>
      <c r="BG141" s="125"/>
      <c r="BH141" s="423" t="str">
        <f t="shared" ref="BH141:BH149" si="699">IFERROR(VLOOKUP(M141,BUELA,9,FALSE),"")</f>
        <v/>
      </c>
      <c r="BI141" s="325"/>
      <c r="BJ141" s="325" t="str">
        <f t="shared" si="684"/>
        <v/>
      </c>
      <c r="BK141" s="325" t="str">
        <f t="shared" si="685"/>
        <v/>
      </c>
      <c r="BL141" s="325" t="str">
        <f t="shared" ref="BL141:BL149" si="700">IFERROR(VLOOKUP(M141,BUELA,10,FALSE),"")</f>
        <v/>
      </c>
      <c r="BM141" s="325"/>
      <c r="BN141" s="325"/>
      <c r="BO141" s="325"/>
      <c r="BP141" s="325" t="str">
        <f t="shared" ref="BP141:BP149" si="701">IFERROR(VLOOKUP(M141,BUELA,11,FALSE),"")</f>
        <v/>
      </c>
      <c r="BQ141" s="325"/>
      <c r="BR141" s="325"/>
      <c r="BS141" s="325"/>
      <c r="BT141" s="325"/>
      <c r="BU141" s="325"/>
      <c r="BV141" s="325"/>
      <c r="BW141" s="325" t="str">
        <f t="shared" ref="BW141:BW149" si="702">IFERROR(VLOOKUP(M141,BUELA,12,FALSE),"")</f>
        <v/>
      </c>
      <c r="BX141" s="325"/>
      <c r="BY141" s="325"/>
      <c r="BZ141" s="325"/>
      <c r="CA141" s="325" t="str">
        <f t="shared" ref="CA141:CA149" si="703">IFERROR(VLOOKUP(M141,BUELA,13,FALSE),"")</f>
        <v/>
      </c>
      <c r="CB141" s="325" t="str">
        <f t="shared" ref="CB141:CB149" si="704">IFERROR(VLOOKUP(M141,BUELA,14,FALSE),"")</f>
        <v/>
      </c>
      <c r="CI141" s="294"/>
      <c r="CJ141" s="294"/>
    </row>
    <row r="142" spans="1:115" ht="13">
      <c r="A142" s="325" t="e">
        <f t="shared" si="691"/>
        <v>#N/A</v>
      </c>
      <c r="B142" s="324" t="e">
        <f t="shared" si="692"/>
        <v>#N/A</v>
      </c>
      <c r="C142" s="558" t="str">
        <f t="shared" si="693"/>
        <v/>
      </c>
      <c r="D142" s="558" t="str">
        <f t="shared" si="694"/>
        <v/>
      </c>
      <c r="E142" s="558" t="str">
        <f t="shared" si="695"/>
        <v/>
      </c>
      <c r="F142" s="798"/>
      <c r="G142" s="558"/>
      <c r="H142" s="558"/>
      <c r="I142" s="558"/>
      <c r="J142" s="637"/>
      <c r="K142" s="558"/>
      <c r="L142" s="558"/>
      <c r="M142" s="325" t="s">
        <v>821</v>
      </c>
      <c r="N142" s="436">
        <f t="shared" si="696"/>
        <v>272319.7</v>
      </c>
      <c r="O142" s="141">
        <f t="shared" si="697"/>
        <v>457783.03168500005</v>
      </c>
      <c r="P142" s="296" t="e">
        <f t="shared" si="652"/>
        <v>#VALUE!</v>
      </c>
      <c r="Q142" s="296" t="str">
        <f t="shared" si="653"/>
        <v/>
      </c>
      <c r="R142" s="296" t="str">
        <f t="shared" si="654"/>
        <v/>
      </c>
      <c r="S142" s="296" t="e">
        <f t="shared" si="655"/>
        <v>#VALUE!</v>
      </c>
      <c r="T142" s="295" t="str">
        <f t="shared" si="656"/>
        <v/>
      </c>
      <c r="U142" s="296">
        <f t="shared" si="657"/>
        <v>109884.42</v>
      </c>
      <c r="V142" s="296"/>
      <c r="W142" s="296" t="e">
        <f t="shared" si="658"/>
        <v>#VALUE!</v>
      </c>
      <c r="X142" s="296" t="str">
        <f t="shared" si="659"/>
        <v/>
      </c>
      <c r="Y142" s="296" t="str">
        <f t="shared" si="660"/>
        <v/>
      </c>
      <c r="Z142" s="296" t="e">
        <f t="shared" si="661"/>
        <v>#VALUE!</v>
      </c>
      <c r="AA142" s="295" t="str">
        <f t="shared" si="662"/>
        <v/>
      </c>
      <c r="AB142" s="296">
        <f t="shared" si="663"/>
        <v>83679.5</v>
      </c>
      <c r="AC142" s="296">
        <f t="shared" si="664"/>
        <v>137515.96151750002</v>
      </c>
      <c r="AD142" s="296" t="e">
        <f t="shared" si="665"/>
        <v>#VALUE!</v>
      </c>
      <c r="AE142" s="296" t="str">
        <f t="shared" si="666"/>
        <v/>
      </c>
      <c r="AF142" s="296" t="str">
        <f t="shared" si="667"/>
        <v/>
      </c>
      <c r="AG142" s="296" t="e">
        <f t="shared" si="668"/>
        <v>#VALUE!</v>
      </c>
      <c r="AH142" s="295" t="str">
        <f t="shared" si="669"/>
        <v/>
      </c>
      <c r="AI142" s="293">
        <f t="shared" si="670"/>
        <v>595298.99320250005</v>
      </c>
      <c r="AJ142" s="293"/>
      <c r="AK142" s="296" t="e">
        <f t="shared" si="671"/>
        <v>#VALUE!</v>
      </c>
      <c r="AL142" s="296">
        <f t="shared" si="672"/>
        <v>0</v>
      </c>
      <c r="AM142" s="123">
        <f t="shared" si="673"/>
        <v>0</v>
      </c>
      <c r="AN142" s="326">
        <f t="shared" si="689"/>
        <v>-595298.99320250005</v>
      </c>
      <c r="AO142" s="137">
        <f t="shared" si="690"/>
        <v>0</v>
      </c>
      <c r="AP142" s="423">
        <f t="shared" si="674"/>
        <v>213024.3</v>
      </c>
      <c r="AQ142" s="423"/>
      <c r="AR142" s="423" t="str">
        <f t="shared" si="675"/>
        <v/>
      </c>
      <c r="AS142" s="423" t="str">
        <f t="shared" si="676"/>
        <v/>
      </c>
      <c r="AT142" s="123">
        <f t="shared" si="698"/>
        <v>0</v>
      </c>
      <c r="AU142" s="326" t="e">
        <f t="shared" si="677"/>
        <v>#VALUE!</v>
      </c>
      <c r="AV142" s="326" t="str">
        <f t="shared" si="678"/>
        <v/>
      </c>
      <c r="AW142" s="326" t="str">
        <f t="shared" si="679"/>
        <v/>
      </c>
      <c r="AX142" s="332">
        <f t="shared" si="680"/>
        <v>0</v>
      </c>
      <c r="AY142" s="140" t="e">
        <f t="shared" si="681"/>
        <v>#VALUE!</v>
      </c>
      <c r="AZ142" s="326" t="str">
        <f t="shared" si="682"/>
        <v/>
      </c>
      <c r="BA142" s="333" t="str">
        <f t="shared" si="683"/>
        <v/>
      </c>
      <c r="BB142" s="125"/>
      <c r="BC142" s="125"/>
      <c r="BD142" s="125"/>
      <c r="BE142" s="125"/>
      <c r="BF142" s="125"/>
      <c r="BG142" s="125"/>
      <c r="BH142" s="423">
        <f t="shared" si="699"/>
        <v>0</v>
      </c>
      <c r="BI142" s="325"/>
      <c r="BJ142" s="325" t="str">
        <f t="shared" si="684"/>
        <v/>
      </c>
      <c r="BK142" s="325" t="str">
        <f t="shared" si="685"/>
        <v/>
      </c>
      <c r="BL142" s="325">
        <f t="shared" si="700"/>
        <v>0</v>
      </c>
      <c r="BM142" s="325"/>
      <c r="BN142" s="325"/>
      <c r="BO142" s="325"/>
      <c r="BP142" s="325">
        <f t="shared" si="701"/>
        <v>0</v>
      </c>
      <c r="BQ142" s="325"/>
      <c r="BR142" s="325"/>
      <c r="BS142" s="325"/>
      <c r="BT142" s="325"/>
      <c r="BU142" s="325"/>
      <c r="BV142" s="325"/>
      <c r="BW142" s="325">
        <f t="shared" si="702"/>
        <v>0</v>
      </c>
      <c r="BX142" s="325"/>
      <c r="BY142" s="325"/>
      <c r="BZ142" s="325"/>
      <c r="CA142" s="325">
        <f t="shared" si="703"/>
        <v>0</v>
      </c>
      <c r="CB142" s="325">
        <f t="shared" si="704"/>
        <v>0</v>
      </c>
      <c r="CI142" s="294"/>
      <c r="CJ142" s="294"/>
    </row>
    <row r="143" spans="1:115" ht="13">
      <c r="A143" s="325" t="e">
        <f t="shared" si="691"/>
        <v>#N/A</v>
      </c>
      <c r="B143" s="324" t="e">
        <f t="shared" si="692"/>
        <v>#N/A</v>
      </c>
      <c r="C143" s="558" t="str">
        <f t="shared" si="693"/>
        <v/>
      </c>
      <c r="D143" s="558" t="str">
        <f t="shared" si="694"/>
        <v/>
      </c>
      <c r="E143" s="558" t="str">
        <f t="shared" si="695"/>
        <v/>
      </c>
      <c r="F143" s="798"/>
      <c r="G143" s="558"/>
      <c r="H143" s="558"/>
      <c r="I143" s="558"/>
      <c r="J143" s="637"/>
      <c r="K143" s="558"/>
      <c r="L143" s="558"/>
      <c r="M143" s="325" t="s">
        <v>822</v>
      </c>
      <c r="N143" s="436" t="str">
        <f t="shared" si="696"/>
        <v/>
      </c>
      <c r="O143" s="141" t="e">
        <f t="shared" si="697"/>
        <v>#VALUE!</v>
      </c>
      <c r="P143" s="296" t="e">
        <f t="shared" si="652"/>
        <v>#VALUE!</v>
      </c>
      <c r="Q143" s="296" t="str">
        <f t="shared" si="653"/>
        <v/>
      </c>
      <c r="R143" s="296" t="str">
        <f t="shared" si="654"/>
        <v/>
      </c>
      <c r="S143" s="296" t="e">
        <f t="shared" si="655"/>
        <v>#VALUE!</v>
      </c>
      <c r="T143" s="295" t="str">
        <f t="shared" si="656"/>
        <v/>
      </c>
      <c r="U143" s="296" t="str">
        <f t="shared" si="657"/>
        <v/>
      </c>
      <c r="V143" s="296"/>
      <c r="W143" s="296" t="e">
        <f t="shared" si="658"/>
        <v>#VALUE!</v>
      </c>
      <c r="X143" s="296" t="str">
        <f t="shared" si="659"/>
        <v/>
      </c>
      <c r="Y143" s="296" t="str">
        <f t="shared" si="660"/>
        <v/>
      </c>
      <c r="Z143" s="296" t="e">
        <f t="shared" si="661"/>
        <v>#VALUE!</v>
      </c>
      <c r="AA143" s="295" t="str">
        <f t="shared" si="662"/>
        <v/>
      </c>
      <c r="AB143" s="296" t="str">
        <f t="shared" si="663"/>
        <v/>
      </c>
      <c r="AC143" s="296" t="e">
        <f t="shared" si="664"/>
        <v>#VALUE!</v>
      </c>
      <c r="AD143" s="296" t="e">
        <f t="shared" si="665"/>
        <v>#VALUE!</v>
      </c>
      <c r="AE143" s="296" t="str">
        <f t="shared" si="666"/>
        <v/>
      </c>
      <c r="AF143" s="296" t="str">
        <f t="shared" si="667"/>
        <v/>
      </c>
      <c r="AG143" s="296" t="e">
        <f t="shared" si="668"/>
        <v>#VALUE!</v>
      </c>
      <c r="AH143" s="295" t="str">
        <f t="shared" si="669"/>
        <v/>
      </c>
      <c r="AI143" s="293" t="e">
        <f t="shared" si="670"/>
        <v>#VALUE!</v>
      </c>
      <c r="AJ143" s="293"/>
      <c r="AK143" s="296" t="e">
        <f t="shared" si="671"/>
        <v>#VALUE!</v>
      </c>
      <c r="AL143" s="296">
        <f t="shared" si="672"/>
        <v>0</v>
      </c>
      <c r="AM143" s="123">
        <f t="shared" si="673"/>
        <v>0</v>
      </c>
      <c r="AN143" s="326" t="e">
        <f t="shared" si="689"/>
        <v>#VALUE!</v>
      </c>
      <c r="AO143" s="137" t="str">
        <f t="shared" si="690"/>
        <v/>
      </c>
      <c r="AP143" s="423" t="str">
        <f t="shared" si="674"/>
        <v/>
      </c>
      <c r="AQ143" s="423"/>
      <c r="AR143" s="423" t="str">
        <f t="shared" si="675"/>
        <v/>
      </c>
      <c r="AS143" s="423" t="str">
        <f t="shared" si="676"/>
        <v/>
      </c>
      <c r="AT143" s="123" t="str">
        <f t="shared" si="698"/>
        <v/>
      </c>
      <c r="AU143" s="326" t="e">
        <f t="shared" si="677"/>
        <v>#VALUE!</v>
      </c>
      <c r="AV143" s="326" t="str">
        <f t="shared" si="678"/>
        <v/>
      </c>
      <c r="AW143" s="326" t="str">
        <f t="shared" si="679"/>
        <v/>
      </c>
      <c r="AX143" s="332" t="str">
        <f t="shared" si="680"/>
        <v/>
      </c>
      <c r="AY143" s="140" t="e">
        <f t="shared" si="681"/>
        <v>#VALUE!</v>
      </c>
      <c r="AZ143" s="326" t="str">
        <f t="shared" si="682"/>
        <v/>
      </c>
      <c r="BA143" s="333" t="str">
        <f t="shared" si="683"/>
        <v/>
      </c>
      <c r="BB143" s="125"/>
      <c r="BC143" s="125"/>
      <c r="BD143" s="125"/>
      <c r="BE143" s="125"/>
      <c r="BF143" s="125"/>
      <c r="BG143" s="125"/>
      <c r="BH143" s="423" t="str">
        <f t="shared" si="699"/>
        <v/>
      </c>
      <c r="BI143" s="325"/>
      <c r="BJ143" s="325" t="str">
        <f t="shared" si="684"/>
        <v/>
      </c>
      <c r="BK143" s="325" t="str">
        <f t="shared" si="685"/>
        <v/>
      </c>
      <c r="BL143" s="325" t="str">
        <f t="shared" si="700"/>
        <v/>
      </c>
      <c r="BM143" s="325"/>
      <c r="BN143" s="325"/>
      <c r="BO143" s="325"/>
      <c r="BP143" s="325" t="str">
        <f t="shared" si="701"/>
        <v/>
      </c>
      <c r="BQ143" s="325"/>
      <c r="BR143" s="325"/>
      <c r="BS143" s="325"/>
      <c r="BT143" s="325"/>
      <c r="BU143" s="325"/>
      <c r="BV143" s="325"/>
      <c r="BW143" s="325" t="str">
        <f t="shared" si="702"/>
        <v/>
      </c>
      <c r="BX143" s="325"/>
      <c r="BY143" s="325"/>
      <c r="BZ143" s="325"/>
      <c r="CA143" s="325" t="str">
        <f t="shared" si="703"/>
        <v/>
      </c>
      <c r="CB143" s="325" t="str">
        <f t="shared" si="704"/>
        <v/>
      </c>
      <c r="CI143" s="294"/>
      <c r="CJ143" s="294"/>
    </row>
    <row r="144" spans="1:115" ht="13">
      <c r="A144" s="325" t="e">
        <f t="shared" si="691"/>
        <v>#N/A</v>
      </c>
      <c r="B144" s="324" t="e">
        <f t="shared" si="692"/>
        <v>#N/A</v>
      </c>
      <c r="C144" s="558" t="str">
        <f t="shared" si="693"/>
        <v/>
      </c>
      <c r="D144" s="558" t="str">
        <f t="shared" si="694"/>
        <v/>
      </c>
      <c r="E144" s="558" t="str">
        <f t="shared" si="695"/>
        <v/>
      </c>
      <c r="F144" s="798"/>
      <c r="G144" s="558"/>
      <c r="H144" s="558"/>
      <c r="I144" s="558"/>
      <c r="J144" s="637"/>
      <c r="K144" s="558"/>
      <c r="L144" s="558"/>
      <c r="M144" s="325" t="s">
        <v>823</v>
      </c>
      <c r="N144" s="436" t="str">
        <f t="shared" si="696"/>
        <v/>
      </c>
      <c r="O144" s="141" t="e">
        <f t="shared" si="697"/>
        <v>#VALUE!</v>
      </c>
      <c r="P144" s="296" t="e">
        <f t="shared" si="652"/>
        <v>#VALUE!</v>
      </c>
      <c r="Q144" s="296" t="str">
        <f t="shared" si="653"/>
        <v/>
      </c>
      <c r="R144" s="296" t="str">
        <f t="shared" si="654"/>
        <v/>
      </c>
      <c r="S144" s="296" t="e">
        <f t="shared" si="655"/>
        <v>#VALUE!</v>
      </c>
      <c r="T144" s="295" t="str">
        <f t="shared" si="656"/>
        <v/>
      </c>
      <c r="U144" s="296" t="str">
        <f t="shared" si="657"/>
        <v/>
      </c>
      <c r="V144" s="296"/>
      <c r="W144" s="296" t="e">
        <f t="shared" si="658"/>
        <v>#VALUE!</v>
      </c>
      <c r="X144" s="296" t="str">
        <f t="shared" si="659"/>
        <v/>
      </c>
      <c r="Y144" s="296" t="str">
        <f t="shared" si="660"/>
        <v/>
      </c>
      <c r="Z144" s="296" t="e">
        <f t="shared" si="661"/>
        <v>#VALUE!</v>
      </c>
      <c r="AA144" s="295" t="str">
        <f t="shared" si="662"/>
        <v/>
      </c>
      <c r="AB144" s="296" t="str">
        <f t="shared" si="663"/>
        <v/>
      </c>
      <c r="AC144" s="296" t="e">
        <f t="shared" si="664"/>
        <v>#VALUE!</v>
      </c>
      <c r="AD144" s="296" t="e">
        <f t="shared" si="665"/>
        <v>#VALUE!</v>
      </c>
      <c r="AE144" s="296" t="str">
        <f t="shared" si="666"/>
        <v/>
      </c>
      <c r="AF144" s="296" t="str">
        <f t="shared" si="667"/>
        <v/>
      </c>
      <c r="AG144" s="296" t="e">
        <f t="shared" si="668"/>
        <v>#VALUE!</v>
      </c>
      <c r="AH144" s="295" t="str">
        <f t="shared" si="669"/>
        <v/>
      </c>
      <c r="AI144" s="293" t="e">
        <f t="shared" si="670"/>
        <v>#VALUE!</v>
      </c>
      <c r="AJ144" s="293"/>
      <c r="AK144" s="296" t="e">
        <f t="shared" si="671"/>
        <v>#VALUE!</v>
      </c>
      <c r="AL144" s="296">
        <f t="shared" si="672"/>
        <v>0</v>
      </c>
      <c r="AM144" s="123">
        <f t="shared" si="673"/>
        <v>0</v>
      </c>
      <c r="AN144" s="326" t="e">
        <f t="shared" si="689"/>
        <v>#VALUE!</v>
      </c>
      <c r="AO144" s="137" t="str">
        <f t="shared" si="690"/>
        <v/>
      </c>
      <c r="AP144" s="423" t="str">
        <f t="shared" si="674"/>
        <v/>
      </c>
      <c r="AQ144" s="423"/>
      <c r="AR144" s="423" t="str">
        <f t="shared" si="675"/>
        <v/>
      </c>
      <c r="AS144" s="423" t="str">
        <f t="shared" si="676"/>
        <v/>
      </c>
      <c r="AT144" s="123" t="str">
        <f t="shared" si="698"/>
        <v/>
      </c>
      <c r="AU144" s="326" t="e">
        <f t="shared" si="677"/>
        <v>#VALUE!</v>
      </c>
      <c r="AV144" s="326" t="str">
        <f t="shared" si="678"/>
        <v/>
      </c>
      <c r="AW144" s="326" t="str">
        <f t="shared" si="679"/>
        <v/>
      </c>
      <c r="AX144" s="332" t="str">
        <f t="shared" si="680"/>
        <v/>
      </c>
      <c r="AY144" s="140" t="e">
        <f t="shared" si="681"/>
        <v>#VALUE!</v>
      </c>
      <c r="AZ144" s="326" t="str">
        <f t="shared" si="682"/>
        <v/>
      </c>
      <c r="BA144" s="333" t="str">
        <f t="shared" si="683"/>
        <v/>
      </c>
      <c r="BB144" s="125"/>
      <c r="BC144" s="125"/>
      <c r="BD144" s="125"/>
      <c r="BE144" s="125"/>
      <c r="BF144" s="125"/>
      <c r="BG144" s="125"/>
      <c r="BH144" s="423" t="str">
        <f t="shared" si="699"/>
        <v/>
      </c>
      <c r="BI144" s="325"/>
      <c r="BJ144" s="325" t="str">
        <f t="shared" si="684"/>
        <v/>
      </c>
      <c r="BK144" s="325" t="str">
        <f t="shared" si="685"/>
        <v/>
      </c>
      <c r="BL144" s="325" t="str">
        <f t="shared" si="700"/>
        <v/>
      </c>
      <c r="BM144" s="325"/>
      <c r="BN144" s="325"/>
      <c r="BO144" s="325"/>
      <c r="BP144" s="325" t="str">
        <f t="shared" si="701"/>
        <v/>
      </c>
      <c r="BQ144" s="325"/>
      <c r="BR144" s="325"/>
      <c r="BS144" s="325"/>
      <c r="BT144" s="325"/>
      <c r="BU144" s="325"/>
      <c r="BV144" s="325"/>
      <c r="BW144" s="325" t="str">
        <f t="shared" si="702"/>
        <v/>
      </c>
      <c r="BX144" s="325"/>
      <c r="BY144" s="325"/>
      <c r="BZ144" s="325"/>
      <c r="CA144" s="325" t="str">
        <f t="shared" si="703"/>
        <v/>
      </c>
      <c r="CB144" s="325" t="str">
        <f t="shared" si="704"/>
        <v/>
      </c>
      <c r="CI144" s="294"/>
      <c r="CJ144" s="294"/>
    </row>
    <row r="145" spans="1:88" ht="13">
      <c r="A145" s="925" t="e">
        <f t="shared" si="691"/>
        <v>#N/A</v>
      </c>
      <c r="B145" s="574" t="e">
        <f t="shared" si="692"/>
        <v>#N/A</v>
      </c>
      <c r="C145" s="743" t="str">
        <f t="shared" si="693"/>
        <v/>
      </c>
      <c r="D145" s="743" t="str">
        <f t="shared" si="694"/>
        <v/>
      </c>
      <c r="E145" s="743" t="str">
        <f t="shared" si="695"/>
        <v/>
      </c>
      <c r="F145" s="926"/>
      <c r="G145" s="743"/>
      <c r="H145" s="743"/>
      <c r="I145" s="743"/>
      <c r="J145" s="927"/>
      <c r="K145" s="743"/>
      <c r="L145" s="743"/>
      <c r="M145" s="925" t="s">
        <v>824</v>
      </c>
      <c r="N145" s="476" t="str">
        <f t="shared" si="696"/>
        <v/>
      </c>
      <c r="O145" s="260" t="e">
        <f t="shared" si="697"/>
        <v>#VALUE!</v>
      </c>
      <c r="P145" s="296" t="e">
        <f t="shared" si="652"/>
        <v>#VALUE!</v>
      </c>
      <c r="Q145" s="296" t="str">
        <f t="shared" si="653"/>
        <v/>
      </c>
      <c r="R145" s="296" t="str">
        <f t="shared" si="654"/>
        <v/>
      </c>
      <c r="S145" s="296" t="e">
        <f t="shared" si="655"/>
        <v>#VALUE!</v>
      </c>
      <c r="T145" s="295" t="str">
        <f t="shared" si="656"/>
        <v/>
      </c>
      <c r="U145" s="296" t="str">
        <f t="shared" si="657"/>
        <v/>
      </c>
      <c r="V145" s="296"/>
      <c r="W145" s="296" t="e">
        <f t="shared" si="658"/>
        <v>#VALUE!</v>
      </c>
      <c r="X145" s="296" t="str">
        <f t="shared" si="659"/>
        <v/>
      </c>
      <c r="Y145" s="296" t="str">
        <f t="shared" si="660"/>
        <v/>
      </c>
      <c r="Z145" s="296" t="e">
        <f t="shared" si="661"/>
        <v>#VALUE!</v>
      </c>
      <c r="AA145" s="295" t="str">
        <f t="shared" si="662"/>
        <v/>
      </c>
      <c r="AB145" s="296" t="str">
        <f t="shared" si="663"/>
        <v/>
      </c>
      <c r="AC145" s="296" t="e">
        <f t="shared" si="664"/>
        <v>#VALUE!</v>
      </c>
      <c r="AD145" s="296" t="e">
        <f t="shared" si="665"/>
        <v>#VALUE!</v>
      </c>
      <c r="AE145" s="296" t="str">
        <f t="shared" si="666"/>
        <v/>
      </c>
      <c r="AF145" s="296" t="str">
        <f t="shared" si="667"/>
        <v/>
      </c>
      <c r="AG145" s="296" t="e">
        <f t="shared" si="668"/>
        <v>#VALUE!</v>
      </c>
      <c r="AH145" s="295" t="str">
        <f t="shared" si="669"/>
        <v/>
      </c>
      <c r="AI145" s="293" t="e">
        <f t="shared" si="670"/>
        <v>#VALUE!</v>
      </c>
      <c r="AJ145" s="293"/>
      <c r="AK145" s="296" t="e">
        <f t="shared" si="671"/>
        <v>#VALUE!</v>
      </c>
      <c r="AL145" s="296">
        <f t="shared" si="672"/>
        <v>0</v>
      </c>
      <c r="AM145" s="274">
        <f t="shared" si="673"/>
        <v>0</v>
      </c>
      <c r="AN145" s="471" t="e">
        <f t="shared" si="689"/>
        <v>#VALUE!</v>
      </c>
      <c r="AO145" s="161" t="str">
        <f t="shared" si="690"/>
        <v/>
      </c>
      <c r="AP145" s="475" t="str">
        <f t="shared" si="674"/>
        <v/>
      </c>
      <c r="AQ145" s="475"/>
      <c r="AR145" s="475" t="str">
        <f t="shared" si="675"/>
        <v/>
      </c>
      <c r="AS145" s="475" t="str">
        <f t="shared" si="676"/>
        <v/>
      </c>
      <c r="AT145" s="274" t="str">
        <f t="shared" si="698"/>
        <v/>
      </c>
      <c r="AU145" s="471" t="e">
        <f t="shared" si="677"/>
        <v>#VALUE!</v>
      </c>
      <c r="AV145" s="471" t="str">
        <f t="shared" si="678"/>
        <v/>
      </c>
      <c r="AW145" s="471" t="str">
        <f t="shared" si="679"/>
        <v/>
      </c>
      <c r="AX145" s="467" t="str">
        <f t="shared" si="680"/>
        <v/>
      </c>
      <c r="AY145" s="164" t="e">
        <f t="shared" si="681"/>
        <v>#VALUE!</v>
      </c>
      <c r="AZ145" s="471" t="str">
        <f t="shared" si="682"/>
        <v/>
      </c>
      <c r="BA145" s="472" t="str">
        <f t="shared" si="683"/>
        <v/>
      </c>
      <c r="BB145" s="271"/>
      <c r="BC145" s="271"/>
      <c r="BD145" s="271"/>
      <c r="BE145" s="271"/>
      <c r="BF145" s="271"/>
      <c r="BG145" s="271"/>
      <c r="BH145" s="423" t="str">
        <f t="shared" si="699"/>
        <v/>
      </c>
      <c r="BI145" s="325"/>
      <c r="BJ145" s="325" t="str">
        <f t="shared" si="684"/>
        <v/>
      </c>
      <c r="BK145" s="325" t="str">
        <f t="shared" si="685"/>
        <v/>
      </c>
      <c r="BL145" s="325" t="str">
        <f t="shared" si="700"/>
        <v/>
      </c>
      <c r="BM145" s="325"/>
      <c r="BN145" s="325"/>
      <c r="BO145" s="325"/>
      <c r="BP145" s="325" t="str">
        <f t="shared" si="701"/>
        <v/>
      </c>
      <c r="BQ145" s="325"/>
      <c r="BR145" s="325"/>
      <c r="BS145" s="325"/>
      <c r="BT145" s="325"/>
      <c r="BU145" s="325"/>
      <c r="BV145" s="325"/>
      <c r="BW145" s="325" t="str">
        <f t="shared" si="702"/>
        <v/>
      </c>
      <c r="BX145" s="325"/>
      <c r="BY145" s="325"/>
      <c r="BZ145" s="325"/>
      <c r="CA145" s="325" t="str">
        <f t="shared" si="703"/>
        <v/>
      </c>
      <c r="CB145" s="325" t="str">
        <f t="shared" si="704"/>
        <v/>
      </c>
      <c r="CI145" s="294"/>
      <c r="CJ145" s="294"/>
    </row>
    <row r="146" spans="1:88" ht="13">
      <c r="A146" s="325" t="e">
        <f t="shared" si="691"/>
        <v>#N/A</v>
      </c>
      <c r="B146" s="324" t="e">
        <f t="shared" si="692"/>
        <v>#N/A</v>
      </c>
      <c r="C146" s="558" t="str">
        <f t="shared" si="693"/>
        <v/>
      </c>
      <c r="D146" s="558" t="str">
        <f t="shared" si="694"/>
        <v/>
      </c>
      <c r="E146" s="558" t="str">
        <f t="shared" si="695"/>
        <v/>
      </c>
      <c r="F146" s="798"/>
      <c r="G146" s="558"/>
      <c r="H146" s="558"/>
      <c r="I146" s="558"/>
      <c r="J146" s="637"/>
      <c r="K146" s="558"/>
      <c r="L146" s="558"/>
      <c r="M146" s="325" t="s">
        <v>825</v>
      </c>
      <c r="N146" s="325">
        <f t="shared" si="696"/>
        <v>0</v>
      </c>
      <c r="O146" s="332">
        <f t="shared" si="697"/>
        <v>0</v>
      </c>
      <c r="P146" s="296" t="e">
        <f t="shared" si="652"/>
        <v>#VALUE!</v>
      </c>
      <c r="Q146" s="296" t="str">
        <f t="shared" si="653"/>
        <v/>
      </c>
      <c r="R146" s="296" t="str">
        <f t="shared" si="654"/>
        <v/>
      </c>
      <c r="S146" s="296" t="e">
        <f t="shared" si="655"/>
        <v>#VALUE!</v>
      </c>
      <c r="T146" s="295" t="str">
        <f t="shared" si="656"/>
        <v/>
      </c>
      <c r="U146" s="296">
        <f t="shared" si="657"/>
        <v>16502.46</v>
      </c>
      <c r="V146" s="296"/>
      <c r="W146" s="296" t="e">
        <f t="shared" si="658"/>
        <v>#VALUE!</v>
      </c>
      <c r="X146" s="296" t="str">
        <f t="shared" si="659"/>
        <v/>
      </c>
      <c r="Y146" s="296" t="str">
        <f t="shared" si="660"/>
        <v/>
      </c>
      <c r="Z146" s="296" t="e">
        <f t="shared" si="661"/>
        <v>#VALUE!</v>
      </c>
      <c r="AA146" s="295" t="str">
        <f t="shared" si="662"/>
        <v/>
      </c>
      <c r="AB146" s="296">
        <f t="shared" si="663"/>
        <v>0</v>
      </c>
      <c r="AC146" s="296">
        <f t="shared" si="664"/>
        <v>0</v>
      </c>
      <c r="AD146" s="296" t="e">
        <f t="shared" si="665"/>
        <v>#VALUE!</v>
      </c>
      <c r="AE146" s="296" t="str">
        <f t="shared" si="666"/>
        <v/>
      </c>
      <c r="AF146" s="296" t="str">
        <f t="shared" si="667"/>
        <v/>
      </c>
      <c r="AG146" s="296" t="e">
        <f t="shared" si="668"/>
        <v>#VALUE!</v>
      </c>
      <c r="AH146" s="295" t="str">
        <f t="shared" si="669"/>
        <v/>
      </c>
      <c r="AI146" s="293">
        <f t="shared" si="670"/>
        <v>0</v>
      </c>
      <c r="AJ146" s="293"/>
      <c r="AK146" s="296" t="e">
        <f t="shared" si="671"/>
        <v>#VALUE!</v>
      </c>
      <c r="AL146" s="296">
        <f t="shared" si="672"/>
        <v>0</v>
      </c>
      <c r="AM146" s="123">
        <f t="shared" si="673"/>
        <v>0</v>
      </c>
      <c r="AN146" s="326">
        <f t="shared" si="689"/>
        <v>0</v>
      </c>
      <c r="AO146" s="137" t="str">
        <f t="shared" si="690"/>
        <v/>
      </c>
      <c r="AP146" s="325">
        <f t="shared" si="674"/>
        <v>14190.4</v>
      </c>
      <c r="AQ146" s="325"/>
      <c r="AR146" s="325" t="str">
        <f t="shared" si="675"/>
        <v/>
      </c>
      <c r="AS146" s="325" t="str">
        <f t="shared" si="676"/>
        <v/>
      </c>
      <c r="AT146" s="326">
        <f t="shared" si="698"/>
        <v>0</v>
      </c>
      <c r="AU146" s="326" t="e">
        <f t="shared" si="677"/>
        <v>#VALUE!</v>
      </c>
      <c r="AV146" s="326" t="str">
        <f t="shared" si="678"/>
        <v/>
      </c>
      <c r="AW146" s="326" t="str">
        <f t="shared" si="679"/>
        <v/>
      </c>
      <c r="AX146" s="326">
        <f t="shared" si="680"/>
        <v>0</v>
      </c>
      <c r="AY146" s="326" t="e">
        <f t="shared" si="681"/>
        <v>#VALUE!</v>
      </c>
      <c r="AZ146" s="326" t="str">
        <f t="shared" si="682"/>
        <v/>
      </c>
      <c r="BA146" s="326" t="str">
        <f t="shared" si="683"/>
        <v/>
      </c>
      <c r="BB146" s="123"/>
      <c r="BC146" s="123"/>
      <c r="BD146" s="123"/>
      <c r="BE146" s="123"/>
      <c r="BF146" s="123"/>
      <c r="BG146" s="123"/>
      <c r="BH146" s="423">
        <f t="shared" si="699"/>
        <v>0</v>
      </c>
      <c r="BI146" s="325"/>
      <c r="BJ146" s="325" t="str">
        <f t="shared" si="684"/>
        <v/>
      </c>
      <c r="BK146" s="325" t="str">
        <f t="shared" si="685"/>
        <v/>
      </c>
      <c r="BL146" s="325">
        <f t="shared" si="700"/>
        <v>0</v>
      </c>
      <c r="BM146" s="325"/>
      <c r="BN146" s="325"/>
      <c r="BO146" s="325"/>
      <c r="BP146" s="325">
        <f t="shared" si="701"/>
        <v>0</v>
      </c>
      <c r="BQ146" s="325"/>
      <c r="BR146" s="325"/>
      <c r="BS146" s="325"/>
      <c r="BT146" s="325"/>
      <c r="BU146" s="325"/>
      <c r="BV146" s="325"/>
      <c r="BW146" s="325">
        <f t="shared" si="702"/>
        <v>0</v>
      </c>
      <c r="BX146" s="325"/>
      <c r="BY146" s="325"/>
      <c r="BZ146" s="325"/>
      <c r="CA146" s="325">
        <f t="shared" si="703"/>
        <v>0</v>
      </c>
      <c r="CB146" s="325">
        <f t="shared" si="704"/>
        <v>0</v>
      </c>
      <c r="CI146" s="294"/>
      <c r="CJ146" s="294"/>
    </row>
    <row r="147" spans="1:88" ht="13">
      <c r="A147" s="325" t="e">
        <f t="shared" si="691"/>
        <v>#N/A</v>
      </c>
      <c r="B147" s="324" t="e">
        <f t="shared" si="692"/>
        <v>#N/A</v>
      </c>
      <c r="C147" s="558" t="str">
        <f t="shared" si="693"/>
        <v/>
      </c>
      <c r="D147" s="558" t="str">
        <f t="shared" si="694"/>
        <v/>
      </c>
      <c r="E147" s="558" t="str">
        <f t="shared" si="695"/>
        <v/>
      </c>
      <c r="F147" s="798"/>
      <c r="G147" s="558"/>
      <c r="H147" s="558"/>
      <c r="I147" s="558"/>
      <c r="J147" s="637"/>
      <c r="K147" s="558"/>
      <c r="L147" s="558"/>
      <c r="M147" s="325" t="s">
        <v>826</v>
      </c>
      <c r="N147" s="325" t="str">
        <f t="shared" si="696"/>
        <v/>
      </c>
      <c r="O147" s="332" t="e">
        <f t="shared" si="697"/>
        <v>#VALUE!</v>
      </c>
      <c r="P147" s="296" t="e">
        <f t="shared" si="652"/>
        <v>#VALUE!</v>
      </c>
      <c r="Q147" s="296" t="str">
        <f t="shared" si="653"/>
        <v/>
      </c>
      <c r="R147" s="296" t="str">
        <f t="shared" si="654"/>
        <v/>
      </c>
      <c r="S147" s="296" t="e">
        <f t="shared" si="655"/>
        <v>#VALUE!</v>
      </c>
      <c r="T147" s="295" t="str">
        <f t="shared" si="656"/>
        <v/>
      </c>
      <c r="U147" s="296" t="str">
        <f t="shared" si="657"/>
        <v/>
      </c>
      <c r="V147" s="296"/>
      <c r="W147" s="296" t="e">
        <f t="shared" si="658"/>
        <v>#VALUE!</v>
      </c>
      <c r="X147" s="296" t="str">
        <f t="shared" si="659"/>
        <v/>
      </c>
      <c r="Y147" s="296" t="str">
        <f t="shared" si="660"/>
        <v/>
      </c>
      <c r="Z147" s="296" t="e">
        <f t="shared" si="661"/>
        <v>#VALUE!</v>
      </c>
      <c r="AA147" s="295" t="str">
        <f t="shared" si="662"/>
        <v/>
      </c>
      <c r="AB147" s="296" t="str">
        <f t="shared" si="663"/>
        <v/>
      </c>
      <c r="AC147" s="296" t="e">
        <f t="shared" si="664"/>
        <v>#VALUE!</v>
      </c>
      <c r="AD147" s="296" t="e">
        <f t="shared" si="665"/>
        <v>#VALUE!</v>
      </c>
      <c r="AE147" s="296" t="str">
        <f t="shared" si="666"/>
        <v/>
      </c>
      <c r="AF147" s="296" t="str">
        <f t="shared" si="667"/>
        <v/>
      </c>
      <c r="AG147" s="296" t="e">
        <f t="shared" si="668"/>
        <v>#VALUE!</v>
      </c>
      <c r="AH147" s="295" t="str">
        <f t="shared" si="669"/>
        <v/>
      </c>
      <c r="AI147" s="293" t="e">
        <f t="shared" si="670"/>
        <v>#VALUE!</v>
      </c>
      <c r="AJ147" s="293"/>
      <c r="AK147" s="296" t="e">
        <f t="shared" si="671"/>
        <v>#VALUE!</v>
      </c>
      <c r="AL147" s="296">
        <f t="shared" si="672"/>
        <v>0</v>
      </c>
      <c r="AM147" s="123">
        <f t="shared" si="673"/>
        <v>0</v>
      </c>
      <c r="AN147" s="326" t="e">
        <f t="shared" si="689"/>
        <v>#VALUE!</v>
      </c>
      <c r="AO147" s="137" t="str">
        <f t="shared" si="690"/>
        <v/>
      </c>
      <c r="AP147" s="325" t="str">
        <f t="shared" si="674"/>
        <v/>
      </c>
      <c r="AQ147" s="325"/>
      <c r="AR147" s="325" t="str">
        <f t="shared" si="675"/>
        <v/>
      </c>
      <c r="AS147" s="325" t="str">
        <f t="shared" si="676"/>
        <v/>
      </c>
      <c r="AT147" s="326" t="str">
        <f t="shared" si="698"/>
        <v/>
      </c>
      <c r="AU147" s="326" t="e">
        <f t="shared" si="677"/>
        <v>#VALUE!</v>
      </c>
      <c r="AV147" s="326" t="str">
        <f t="shared" si="678"/>
        <v/>
      </c>
      <c r="AW147" s="326" t="str">
        <f t="shared" si="679"/>
        <v/>
      </c>
      <c r="AX147" s="326" t="str">
        <f t="shared" si="680"/>
        <v/>
      </c>
      <c r="AY147" s="326" t="e">
        <f t="shared" si="681"/>
        <v>#VALUE!</v>
      </c>
      <c r="AZ147" s="326" t="str">
        <f t="shared" si="682"/>
        <v/>
      </c>
      <c r="BA147" s="326" t="str">
        <f t="shared" si="683"/>
        <v/>
      </c>
      <c r="BB147" s="123"/>
      <c r="BC147" s="123"/>
      <c r="BD147" s="123"/>
      <c r="BE147" s="123"/>
      <c r="BF147" s="123"/>
      <c r="BG147" s="123"/>
      <c r="BH147" s="423" t="str">
        <f t="shared" si="699"/>
        <v/>
      </c>
      <c r="BI147" s="325"/>
      <c r="BJ147" s="325" t="str">
        <f t="shared" si="684"/>
        <v/>
      </c>
      <c r="BK147" s="325" t="str">
        <f t="shared" si="685"/>
        <v/>
      </c>
      <c r="BL147" s="325" t="str">
        <f t="shared" si="700"/>
        <v/>
      </c>
      <c r="BM147" s="325"/>
      <c r="BN147" s="325"/>
      <c r="BO147" s="325"/>
      <c r="BP147" s="325" t="str">
        <f t="shared" si="701"/>
        <v/>
      </c>
      <c r="BQ147" s="325"/>
      <c r="BR147" s="325"/>
      <c r="BS147" s="325"/>
      <c r="BT147" s="325"/>
      <c r="BU147" s="325"/>
      <c r="BV147" s="325"/>
      <c r="BW147" s="325" t="str">
        <f t="shared" si="702"/>
        <v/>
      </c>
      <c r="BX147" s="325"/>
      <c r="BY147" s="325"/>
      <c r="BZ147" s="325"/>
      <c r="CA147" s="325" t="str">
        <f t="shared" si="703"/>
        <v/>
      </c>
      <c r="CB147" s="325" t="str">
        <f t="shared" si="704"/>
        <v/>
      </c>
      <c r="CI147" s="294"/>
      <c r="CJ147" s="294"/>
    </row>
    <row r="148" spans="1:88" ht="13">
      <c r="A148" s="325" t="e">
        <f t="shared" si="691"/>
        <v>#N/A</v>
      </c>
      <c r="B148" s="324" t="e">
        <f t="shared" si="692"/>
        <v>#N/A</v>
      </c>
      <c r="C148" s="558" t="str">
        <f t="shared" si="693"/>
        <v/>
      </c>
      <c r="D148" s="558" t="str">
        <f t="shared" si="694"/>
        <v/>
      </c>
      <c r="E148" s="558" t="str">
        <f t="shared" si="695"/>
        <v/>
      </c>
      <c r="F148" s="798"/>
      <c r="G148" s="558"/>
      <c r="H148" s="558"/>
      <c r="I148" s="558"/>
      <c r="J148" s="637"/>
      <c r="K148" s="558"/>
      <c r="L148" s="558"/>
      <c r="M148" s="325" t="s">
        <v>827</v>
      </c>
      <c r="N148" s="325" t="str">
        <f t="shared" si="696"/>
        <v/>
      </c>
      <c r="O148" s="332" t="e">
        <f t="shared" si="697"/>
        <v>#VALUE!</v>
      </c>
      <c r="P148" s="296" t="e">
        <f t="shared" si="652"/>
        <v>#VALUE!</v>
      </c>
      <c r="Q148" s="296" t="str">
        <f t="shared" si="653"/>
        <v/>
      </c>
      <c r="R148" s="296" t="str">
        <f t="shared" si="654"/>
        <v/>
      </c>
      <c r="S148" s="296" t="e">
        <f t="shared" si="655"/>
        <v>#VALUE!</v>
      </c>
      <c r="T148" s="295" t="str">
        <f t="shared" si="656"/>
        <v/>
      </c>
      <c r="U148" s="296" t="str">
        <f t="shared" si="657"/>
        <v/>
      </c>
      <c r="V148" s="296"/>
      <c r="W148" s="296" t="e">
        <f t="shared" si="658"/>
        <v>#VALUE!</v>
      </c>
      <c r="X148" s="296" t="str">
        <f t="shared" si="659"/>
        <v/>
      </c>
      <c r="Y148" s="296" t="str">
        <f t="shared" si="660"/>
        <v/>
      </c>
      <c r="Z148" s="296" t="e">
        <f t="shared" si="661"/>
        <v>#VALUE!</v>
      </c>
      <c r="AA148" s="295" t="str">
        <f t="shared" si="662"/>
        <v/>
      </c>
      <c r="AB148" s="296" t="str">
        <f t="shared" si="663"/>
        <v/>
      </c>
      <c r="AC148" s="296" t="e">
        <f t="shared" si="664"/>
        <v>#VALUE!</v>
      </c>
      <c r="AD148" s="296" t="e">
        <f t="shared" si="665"/>
        <v>#VALUE!</v>
      </c>
      <c r="AE148" s="296" t="str">
        <f t="shared" si="666"/>
        <v/>
      </c>
      <c r="AF148" s="296" t="str">
        <f t="shared" si="667"/>
        <v/>
      </c>
      <c r="AG148" s="296" t="e">
        <f t="shared" si="668"/>
        <v>#VALUE!</v>
      </c>
      <c r="AH148" s="295" t="str">
        <f t="shared" si="669"/>
        <v/>
      </c>
      <c r="AI148" s="293" t="e">
        <f t="shared" si="670"/>
        <v>#VALUE!</v>
      </c>
      <c r="AJ148" s="293"/>
      <c r="AK148" s="296" t="e">
        <f t="shared" si="671"/>
        <v>#VALUE!</v>
      </c>
      <c r="AL148" s="296">
        <f t="shared" si="672"/>
        <v>0</v>
      </c>
      <c r="AM148" s="123">
        <f t="shared" si="673"/>
        <v>0</v>
      </c>
      <c r="AN148" s="326" t="e">
        <f t="shared" si="689"/>
        <v>#VALUE!</v>
      </c>
      <c r="AO148" s="137" t="str">
        <f t="shared" si="690"/>
        <v/>
      </c>
      <c r="AP148" s="325" t="str">
        <f t="shared" si="674"/>
        <v/>
      </c>
      <c r="AQ148" s="325"/>
      <c r="AR148" s="325" t="str">
        <f t="shared" si="675"/>
        <v/>
      </c>
      <c r="AS148" s="325" t="str">
        <f t="shared" si="676"/>
        <v/>
      </c>
      <c r="AT148" s="326" t="str">
        <f t="shared" si="698"/>
        <v/>
      </c>
      <c r="AU148" s="326" t="e">
        <f t="shared" si="677"/>
        <v>#VALUE!</v>
      </c>
      <c r="AV148" s="326" t="str">
        <f t="shared" si="678"/>
        <v/>
      </c>
      <c r="AW148" s="326" t="str">
        <f t="shared" si="679"/>
        <v/>
      </c>
      <c r="AX148" s="326" t="str">
        <f t="shared" si="680"/>
        <v/>
      </c>
      <c r="AY148" s="326" t="e">
        <f t="shared" si="681"/>
        <v>#VALUE!</v>
      </c>
      <c r="AZ148" s="326" t="str">
        <f t="shared" si="682"/>
        <v/>
      </c>
      <c r="BA148" s="326" t="str">
        <f t="shared" si="683"/>
        <v/>
      </c>
      <c r="BB148" s="123"/>
      <c r="BC148" s="123"/>
      <c r="BD148" s="123"/>
      <c r="BE148" s="123"/>
      <c r="BF148" s="123"/>
      <c r="BG148" s="123"/>
      <c r="BH148" s="423" t="str">
        <f t="shared" si="699"/>
        <v/>
      </c>
      <c r="BI148" s="325"/>
      <c r="BJ148" s="325" t="str">
        <f t="shared" si="684"/>
        <v/>
      </c>
      <c r="BK148" s="325" t="str">
        <f t="shared" si="685"/>
        <v/>
      </c>
      <c r="BL148" s="325" t="str">
        <f t="shared" si="700"/>
        <v/>
      </c>
      <c r="BM148" s="325"/>
      <c r="BN148" s="325"/>
      <c r="BO148" s="325"/>
      <c r="BP148" s="325" t="str">
        <f t="shared" si="701"/>
        <v/>
      </c>
      <c r="BQ148" s="325"/>
      <c r="BR148" s="325"/>
      <c r="BS148" s="325"/>
      <c r="BT148" s="325"/>
      <c r="BU148" s="325"/>
      <c r="BV148" s="325"/>
      <c r="BW148" s="325" t="str">
        <f t="shared" si="702"/>
        <v/>
      </c>
      <c r="BX148" s="325"/>
      <c r="BY148" s="325"/>
      <c r="BZ148" s="325"/>
      <c r="CA148" s="325" t="str">
        <f t="shared" si="703"/>
        <v/>
      </c>
      <c r="CB148" s="325" t="str">
        <f t="shared" si="704"/>
        <v/>
      </c>
      <c r="CI148" s="294"/>
      <c r="CJ148" s="294"/>
    </row>
    <row r="149" spans="1:88" ht="13">
      <c r="A149" s="325" t="e">
        <f t="shared" si="691"/>
        <v>#N/A</v>
      </c>
      <c r="B149" s="324" t="e">
        <f t="shared" si="692"/>
        <v>#N/A</v>
      </c>
      <c r="C149" s="558" t="str">
        <f t="shared" si="693"/>
        <v/>
      </c>
      <c r="D149" s="558" t="str">
        <f t="shared" si="694"/>
        <v/>
      </c>
      <c r="E149" s="558" t="str">
        <f t="shared" si="695"/>
        <v/>
      </c>
      <c r="F149" s="798"/>
      <c r="G149" s="558"/>
      <c r="H149" s="558"/>
      <c r="I149" s="558"/>
      <c r="J149" s="637"/>
      <c r="K149" s="558"/>
      <c r="L149" s="558"/>
      <c r="M149" s="325" t="s">
        <v>828</v>
      </c>
      <c r="N149" s="325">
        <f t="shared" si="696"/>
        <v>66872.72</v>
      </c>
      <c r="O149" s="332">
        <f t="shared" si="697"/>
        <v>112416.385956</v>
      </c>
      <c r="P149" s="296" t="e">
        <f t="shared" si="652"/>
        <v>#VALUE!</v>
      </c>
      <c r="Q149" s="296" t="str">
        <f t="shared" si="653"/>
        <v/>
      </c>
      <c r="R149" s="296" t="str">
        <f t="shared" si="654"/>
        <v/>
      </c>
      <c r="S149" s="296" t="e">
        <f t="shared" si="655"/>
        <v>#VALUE!</v>
      </c>
      <c r="T149" s="295" t="str">
        <f t="shared" si="656"/>
        <v/>
      </c>
      <c r="U149" s="296">
        <f t="shared" si="657"/>
        <v>0</v>
      </c>
      <c r="V149" s="296"/>
      <c r="W149" s="296" t="e">
        <f t="shared" si="658"/>
        <v>#VALUE!</v>
      </c>
      <c r="X149" s="296" t="str">
        <f t="shared" si="659"/>
        <v/>
      </c>
      <c r="Y149" s="296" t="str">
        <f t="shared" si="660"/>
        <v/>
      </c>
      <c r="Z149" s="296" t="e">
        <f t="shared" si="661"/>
        <v>#VALUE!</v>
      </c>
      <c r="AA149" s="295" t="str">
        <f t="shared" si="662"/>
        <v/>
      </c>
      <c r="AB149" s="296">
        <f t="shared" si="663"/>
        <v>455626.41</v>
      </c>
      <c r="AC149" s="296">
        <f t="shared" si="664"/>
        <v>748760.49526964989</v>
      </c>
      <c r="AD149" s="296" t="e">
        <f t="shared" si="665"/>
        <v>#VALUE!</v>
      </c>
      <c r="AE149" s="296" t="str">
        <f t="shared" si="666"/>
        <v/>
      </c>
      <c r="AF149" s="296" t="str">
        <f t="shared" si="667"/>
        <v/>
      </c>
      <c r="AG149" s="296" t="e">
        <f t="shared" si="668"/>
        <v>#VALUE!</v>
      </c>
      <c r="AH149" s="295" t="str">
        <f t="shared" si="669"/>
        <v/>
      </c>
      <c r="AI149" s="293">
        <f t="shared" si="670"/>
        <v>861176.88122564985</v>
      </c>
      <c r="AJ149" s="293"/>
      <c r="AK149" s="296" t="e">
        <f t="shared" si="671"/>
        <v>#VALUE!</v>
      </c>
      <c r="AL149" s="296">
        <f t="shared" si="672"/>
        <v>0</v>
      </c>
      <c r="AM149" s="123">
        <f t="shared" si="673"/>
        <v>0</v>
      </c>
      <c r="AN149" s="326">
        <f t="shared" si="689"/>
        <v>-861176.88122564985</v>
      </c>
      <c r="AO149" s="137">
        <f t="shared" si="690"/>
        <v>0</v>
      </c>
      <c r="AP149" s="325">
        <f t="shared" si="674"/>
        <v>126321.8</v>
      </c>
      <c r="AQ149" s="325"/>
      <c r="AR149" s="325" t="str">
        <f t="shared" si="675"/>
        <v/>
      </c>
      <c r="AS149" s="325" t="str">
        <f t="shared" si="676"/>
        <v/>
      </c>
      <c r="AT149" s="326">
        <f t="shared" si="698"/>
        <v>0</v>
      </c>
      <c r="AU149" s="326" t="e">
        <f t="shared" si="677"/>
        <v>#VALUE!</v>
      </c>
      <c r="AV149" s="326" t="str">
        <f t="shared" si="678"/>
        <v/>
      </c>
      <c r="AW149" s="326" t="str">
        <f t="shared" si="679"/>
        <v/>
      </c>
      <c r="AX149" s="326">
        <f t="shared" si="680"/>
        <v>0</v>
      </c>
      <c r="AY149" s="326" t="e">
        <f t="shared" si="681"/>
        <v>#VALUE!</v>
      </c>
      <c r="AZ149" s="326" t="str">
        <f t="shared" si="682"/>
        <v/>
      </c>
      <c r="BA149" s="326" t="str">
        <f t="shared" si="683"/>
        <v/>
      </c>
      <c r="BB149" s="123"/>
      <c r="BC149" s="123"/>
      <c r="BD149" s="123"/>
      <c r="BE149" s="123"/>
      <c r="BF149" s="123"/>
      <c r="BG149" s="123"/>
      <c r="BH149" s="423">
        <f t="shared" si="699"/>
        <v>0</v>
      </c>
      <c r="BI149" s="325"/>
      <c r="BJ149" s="325" t="str">
        <f t="shared" si="684"/>
        <v/>
      </c>
      <c r="BK149" s="325" t="str">
        <f t="shared" si="685"/>
        <v/>
      </c>
      <c r="BL149" s="325">
        <f t="shared" si="700"/>
        <v>0</v>
      </c>
      <c r="BM149" s="325"/>
      <c r="BN149" s="325"/>
      <c r="BO149" s="325"/>
      <c r="BP149" s="325">
        <f t="shared" si="701"/>
        <v>0</v>
      </c>
      <c r="BQ149" s="325"/>
      <c r="BR149" s="325"/>
      <c r="BS149" s="325"/>
      <c r="BT149" s="325"/>
      <c r="BU149" s="325"/>
      <c r="BV149" s="325"/>
      <c r="BW149" s="325">
        <f t="shared" si="702"/>
        <v>0</v>
      </c>
      <c r="BX149" s="325"/>
      <c r="BY149" s="325"/>
      <c r="BZ149" s="325"/>
      <c r="CA149" s="325">
        <f t="shared" si="703"/>
        <v>0</v>
      </c>
      <c r="CB149" s="325">
        <f t="shared" si="704"/>
        <v>0</v>
      </c>
      <c r="CI149" s="294"/>
      <c r="CJ149" s="294"/>
    </row>
    <row r="150" spans="1:88" ht="13">
      <c r="B150" s="294"/>
      <c r="F150" s="296"/>
      <c r="J150" s="302"/>
      <c r="M150" s="619" t="s">
        <v>829</v>
      </c>
      <c r="P150" s="296"/>
      <c r="Q150" s="296"/>
      <c r="R150" s="296"/>
      <c r="S150" s="296"/>
      <c r="T150" s="295"/>
      <c r="U150" s="296"/>
      <c r="V150" s="296"/>
      <c r="W150" s="296"/>
      <c r="X150" s="296"/>
      <c r="Y150" s="296"/>
      <c r="Z150" s="296"/>
      <c r="AA150" s="295"/>
      <c r="AB150" s="296"/>
      <c r="AC150" s="296"/>
      <c r="AD150" s="296"/>
      <c r="AE150" s="296"/>
      <c r="AF150" s="296"/>
      <c r="AG150" s="296"/>
      <c r="AH150" s="295"/>
      <c r="AI150" s="293"/>
      <c r="AJ150" s="293"/>
      <c r="AK150" s="296"/>
      <c r="AL150" s="188"/>
      <c r="AM150" s="188"/>
      <c r="AN150" s="188"/>
      <c r="AO150" s="299"/>
      <c r="AR150" s="302" t="str">
        <f t="shared" si="675"/>
        <v/>
      </c>
      <c r="AS150" s="302" t="str">
        <f t="shared" si="676"/>
        <v/>
      </c>
      <c r="CI150" s="294"/>
      <c r="CJ150" s="294"/>
    </row>
    <row r="151" spans="1:88" ht="13">
      <c r="B151" s="294"/>
      <c r="F151" s="296"/>
      <c r="J151" s="302"/>
      <c r="T151" s="295"/>
      <c r="AA151" s="295"/>
      <c r="AH151" s="295"/>
      <c r="AI151" s="188"/>
      <c r="AJ151" s="188"/>
      <c r="AK151" s="188"/>
      <c r="AL151" s="188"/>
      <c r="AM151" s="188"/>
      <c r="AN151" s="188"/>
      <c r="AO151" s="299"/>
      <c r="CI151" s="294"/>
      <c r="CJ151" s="294"/>
    </row>
    <row r="152" spans="1:88" ht="13">
      <c r="B152" s="294"/>
      <c r="F152" s="296"/>
      <c r="J152" s="302"/>
      <c r="T152" s="295"/>
      <c r="AA152" s="295"/>
      <c r="AH152" s="295"/>
      <c r="AI152" s="188"/>
      <c r="AJ152" s="188"/>
      <c r="AK152" s="188"/>
      <c r="AL152" s="188"/>
      <c r="AM152" s="188"/>
      <c r="AN152" s="188"/>
      <c r="AO152" s="299"/>
      <c r="CI152" s="294"/>
      <c r="CJ152" s="294"/>
    </row>
    <row r="153" spans="1:88" ht="13">
      <c r="B153" s="294"/>
      <c r="F153" s="296"/>
      <c r="J153" s="302"/>
      <c r="T153" s="295"/>
      <c r="AA153" s="295"/>
      <c r="AH153" s="295"/>
      <c r="AI153" s="188"/>
      <c r="AJ153" s="188"/>
      <c r="AK153" s="188"/>
      <c r="AL153" s="188"/>
      <c r="AM153" s="188"/>
      <c r="AN153" s="188"/>
      <c r="AO153" s="299"/>
      <c r="CI153" s="294"/>
      <c r="CJ153" s="294"/>
    </row>
    <row r="154" spans="1:88" ht="13">
      <c r="B154" s="294"/>
      <c r="F154" s="296"/>
      <c r="J154" s="302"/>
      <c r="T154" s="295"/>
      <c r="AA154" s="295"/>
      <c r="AH154" s="295"/>
      <c r="AI154" s="188"/>
      <c r="AJ154" s="188"/>
      <c r="AK154" s="188"/>
      <c r="AL154" s="188"/>
      <c r="AM154" s="188"/>
      <c r="AN154" s="188"/>
      <c r="AO154" s="299"/>
      <c r="CI154" s="294"/>
      <c r="CJ154" s="294"/>
    </row>
    <row r="155" spans="1:88" ht="13">
      <c r="B155" s="294"/>
      <c r="F155" s="296"/>
      <c r="J155" s="302"/>
      <c r="T155" s="295"/>
      <c r="AA155" s="295"/>
      <c r="AH155" s="295"/>
      <c r="AI155" s="188"/>
      <c r="AJ155" s="188"/>
      <c r="AK155" s="188"/>
      <c r="AL155" s="188"/>
      <c r="AM155" s="188"/>
      <c r="AN155" s="188"/>
      <c r="AO155" s="299"/>
      <c r="CI155" s="294"/>
      <c r="CJ155" s="294"/>
    </row>
    <row r="156" spans="1:88" ht="13">
      <c r="B156" s="294"/>
      <c r="F156" s="296"/>
      <c r="J156" s="302"/>
      <c r="T156" s="295"/>
      <c r="AA156" s="295"/>
      <c r="AH156" s="295"/>
      <c r="AI156" s="188"/>
      <c r="AJ156" s="188"/>
      <c r="AK156" s="188"/>
      <c r="AL156" s="188"/>
      <c r="AM156" s="188"/>
      <c r="AN156" s="188"/>
      <c r="AO156" s="299"/>
      <c r="CI156" s="294"/>
      <c r="CJ156" s="294"/>
    </row>
    <row r="157" spans="1:88" ht="13">
      <c r="B157" s="294"/>
      <c r="F157" s="296"/>
      <c r="J157" s="302"/>
      <c r="T157" s="295"/>
      <c r="AA157" s="295"/>
      <c r="AH157" s="295"/>
      <c r="AI157" s="188"/>
      <c r="AJ157" s="188"/>
      <c r="AK157" s="188"/>
      <c r="AL157" s="188"/>
      <c r="AM157" s="188"/>
      <c r="AN157" s="188"/>
      <c r="AO157" s="299"/>
      <c r="CI157" s="294"/>
      <c r="CJ157" s="294"/>
    </row>
    <row r="158" spans="1:88" ht="13">
      <c r="B158" s="294"/>
      <c r="F158" s="296"/>
      <c r="J158" s="302"/>
      <c r="T158" s="295"/>
      <c r="AA158" s="295"/>
      <c r="AH158" s="295"/>
      <c r="AI158" s="188"/>
      <c r="AJ158" s="188"/>
      <c r="AK158" s="188"/>
      <c r="AL158" s="188"/>
      <c r="AM158" s="188"/>
      <c r="AN158" s="188"/>
      <c r="AO158" s="299"/>
      <c r="CI158" s="294"/>
      <c r="CJ158" s="294"/>
    </row>
    <row r="159" spans="1:88" ht="13">
      <c r="B159" s="294"/>
      <c r="F159" s="296"/>
      <c r="J159" s="302"/>
      <c r="T159" s="295"/>
      <c r="AA159" s="295"/>
      <c r="AH159" s="295"/>
      <c r="AI159" s="188"/>
      <c r="AJ159" s="188"/>
      <c r="AK159" s="188"/>
      <c r="AL159" s="188"/>
      <c r="AM159" s="188"/>
      <c r="AN159" s="188"/>
      <c r="AO159" s="299"/>
      <c r="CI159" s="294"/>
      <c r="CJ159" s="294"/>
    </row>
    <row r="160" spans="1:88" ht="13">
      <c r="B160" s="294"/>
      <c r="F160" s="296"/>
      <c r="J160" s="302"/>
      <c r="T160" s="295"/>
      <c r="AA160" s="295"/>
      <c r="AH160" s="295"/>
      <c r="AI160" s="188"/>
      <c r="AJ160" s="188"/>
      <c r="AK160" s="188"/>
      <c r="AL160" s="188"/>
      <c r="AM160" s="188"/>
      <c r="AN160" s="188"/>
      <c r="AO160" s="299"/>
      <c r="CI160" s="294"/>
      <c r="CJ160" s="294"/>
    </row>
    <row r="161" spans="2:115" ht="13">
      <c r="B161" s="294"/>
      <c r="F161" s="296"/>
      <c r="J161" s="302"/>
      <c r="T161" s="295"/>
      <c r="AA161" s="295"/>
      <c r="AH161" s="295"/>
      <c r="AI161" s="188"/>
      <c r="AJ161" s="188"/>
      <c r="AK161" s="188"/>
      <c r="AL161" s="188"/>
      <c r="AM161" s="188"/>
      <c r="AN161" s="188"/>
      <c r="AO161" s="299"/>
      <c r="CI161" s="294"/>
      <c r="CJ161" s="294"/>
    </row>
    <row r="162" spans="2:115" ht="13">
      <c r="B162" s="294"/>
      <c r="F162" s="296"/>
      <c r="J162" s="302"/>
      <c r="T162" s="295"/>
      <c r="AA162" s="295"/>
      <c r="AH162" s="295"/>
      <c r="AI162" s="188"/>
      <c r="AJ162" s="188"/>
      <c r="AK162" s="188"/>
      <c r="AL162" s="188"/>
      <c r="AM162" s="188"/>
      <c r="AN162" s="188"/>
      <c r="AO162" s="299"/>
      <c r="CI162" s="294"/>
      <c r="CJ162" s="294"/>
    </row>
    <row r="163" spans="2:115" ht="13">
      <c r="B163" s="294"/>
      <c r="F163" s="296"/>
      <c r="J163" s="302"/>
      <c r="T163" s="295"/>
      <c r="AA163" s="295"/>
      <c r="AH163" s="295"/>
      <c r="AI163" s="188"/>
      <c r="AJ163" s="188"/>
      <c r="AK163" s="188"/>
      <c r="AL163" s="188"/>
      <c r="AM163" s="188"/>
      <c r="AN163" s="188"/>
      <c r="AO163" s="299"/>
      <c r="CI163" s="294"/>
      <c r="CJ163" s="294"/>
    </row>
    <row r="164" spans="2:115" ht="13">
      <c r="B164" s="294"/>
      <c r="F164" s="296"/>
      <c r="J164" s="302"/>
      <c r="T164" s="295"/>
      <c r="AA164" s="295"/>
      <c r="AH164" s="295"/>
      <c r="AI164" s="188"/>
      <c r="AJ164" s="188"/>
      <c r="AK164" s="188"/>
      <c r="AL164" s="188"/>
      <c r="AM164" s="188"/>
      <c r="AN164" s="188"/>
      <c r="AO164" s="299"/>
      <c r="CI164" s="294"/>
      <c r="CJ164" s="294"/>
    </row>
    <row r="165" spans="2:115" ht="13">
      <c r="B165" s="294"/>
      <c r="F165" s="296"/>
      <c r="J165" s="302"/>
      <c r="T165" s="295"/>
      <c r="AA165" s="295"/>
      <c r="AH165" s="295"/>
      <c r="AI165" s="188"/>
      <c r="AJ165" s="188"/>
      <c r="AK165" s="188"/>
      <c r="AL165" s="188"/>
      <c r="AM165" s="188"/>
      <c r="AN165" s="188"/>
      <c r="AO165" s="299"/>
      <c r="CI165" s="294"/>
      <c r="CJ165" s="294"/>
    </row>
    <row r="166" spans="2:115" ht="13">
      <c r="B166" s="294"/>
      <c r="F166" s="296"/>
      <c r="J166" s="302"/>
      <c r="T166" s="295"/>
      <c r="AA166" s="295"/>
      <c r="AH166" s="295"/>
      <c r="AI166" s="188"/>
      <c r="AJ166" s="188"/>
      <c r="AK166" s="188"/>
      <c r="AL166" s="188"/>
      <c r="AM166" s="188"/>
      <c r="AN166" s="188"/>
      <c r="AO166" s="299"/>
      <c r="CI166" s="294"/>
      <c r="CJ166" s="294"/>
    </row>
    <row r="167" spans="2:115" ht="13">
      <c r="B167" s="294"/>
      <c r="F167" s="296"/>
      <c r="J167" s="302"/>
      <c r="T167" s="295"/>
      <c r="AA167" s="295"/>
      <c r="AH167" s="295"/>
      <c r="AI167" s="188"/>
      <c r="AJ167" s="188"/>
      <c r="AK167" s="188"/>
      <c r="AL167" s="188"/>
      <c r="AM167" s="188"/>
      <c r="AN167" s="188"/>
      <c r="AO167" s="299"/>
      <c r="CI167" s="294"/>
      <c r="CJ167" s="294"/>
    </row>
    <row r="168" spans="2:115" ht="13">
      <c r="B168" s="294"/>
      <c r="F168" s="296"/>
      <c r="J168" s="302"/>
      <c r="T168" s="295"/>
      <c r="AA168" s="295"/>
      <c r="AH168" s="295"/>
      <c r="AI168" s="188"/>
      <c r="AJ168" s="188"/>
      <c r="AK168" s="188"/>
      <c r="AL168" s="188"/>
      <c r="AM168" s="188"/>
      <c r="AN168" s="188"/>
      <c r="AO168" s="299"/>
      <c r="CI168" s="294"/>
      <c r="CJ168" s="294"/>
    </row>
    <row r="169" spans="2:115" ht="13">
      <c r="B169" s="294"/>
      <c r="F169" s="296"/>
      <c r="J169" s="302"/>
      <c r="T169" s="295"/>
      <c r="AA169" s="295"/>
      <c r="AH169" s="295"/>
      <c r="AI169" s="188"/>
      <c r="AJ169" s="188"/>
      <c r="AK169" s="188"/>
      <c r="AL169" s="188"/>
      <c r="AM169" s="188"/>
      <c r="AN169" s="188"/>
      <c r="AO169" s="299"/>
      <c r="CI169" s="294"/>
      <c r="CJ169" s="294"/>
    </row>
    <row r="170" spans="2:115" ht="13">
      <c r="B170" s="294"/>
      <c r="F170" s="296"/>
      <c r="J170" s="302"/>
      <c r="T170" s="295"/>
      <c r="AA170" s="295"/>
      <c r="AH170" s="295"/>
      <c r="AI170" s="188"/>
      <c r="AJ170" s="188"/>
      <c r="AK170" s="188"/>
      <c r="AL170" s="188"/>
      <c r="AM170" s="188"/>
      <c r="AN170" s="188"/>
      <c r="AO170" s="299"/>
      <c r="CI170" s="294"/>
      <c r="CJ170" s="294"/>
    </row>
    <row r="171" spans="2:115" ht="13">
      <c r="B171" s="294"/>
      <c r="F171" s="296"/>
      <c r="J171" s="302"/>
      <c r="T171" s="295"/>
      <c r="AA171" s="295"/>
      <c r="AH171" s="295"/>
      <c r="AI171" s="188"/>
      <c r="AJ171" s="188"/>
      <c r="AK171" s="188"/>
      <c r="AL171" s="188"/>
      <c r="AM171" s="188"/>
      <c r="AN171" s="188"/>
      <c r="AO171" s="299"/>
      <c r="CI171" s="294"/>
      <c r="CJ171" s="294"/>
      <c r="CX171" s="352">
        <f>CX175-R131</f>
        <v>-6.0000002384185791E-2</v>
      </c>
      <c r="CY171" s="352">
        <f>CY175-Y131</f>
        <v>1.9999966025352478E-2</v>
      </c>
      <c r="CZ171" s="352">
        <f>CZ175-AF131</f>
        <v>-9.9999904632568359E-3</v>
      </c>
      <c r="DA171" s="352">
        <f>DA175-AS131</f>
        <v>0</v>
      </c>
      <c r="DB171" s="352">
        <f>DB175-AW131</f>
        <v>-4.9999997019767761E-2</v>
      </c>
      <c r="DC171" s="352">
        <f>DC175-BA131</f>
        <v>1.0000020265579224E-2</v>
      </c>
      <c r="DD171" s="352">
        <f>DD175-BK131</f>
        <v>-4.0000021457672119E-2</v>
      </c>
      <c r="DE171" s="352">
        <f>DE175-BO131</f>
        <v>-1.9999995827674866E-2</v>
      </c>
      <c r="DF171" s="352">
        <f>DF175-BS131</f>
        <v>-2.000001072883606E-2</v>
      </c>
      <c r="DG171" s="352">
        <f>DG175-BZ131</f>
        <v>-1.0000020265579224E-2</v>
      </c>
    </row>
    <row r="172" spans="2:115" ht="13">
      <c r="B172" s="294"/>
      <c r="F172" s="296"/>
      <c r="J172" s="302"/>
      <c r="T172" s="295"/>
      <c r="AA172" s="295"/>
      <c r="AH172" s="295"/>
      <c r="AI172" s="188"/>
      <c r="AJ172" s="188"/>
      <c r="AK172" s="188"/>
      <c r="AL172" s="188"/>
      <c r="AM172" s="188"/>
      <c r="AN172" s="188"/>
      <c r="AO172" s="299"/>
      <c r="CI172" s="294"/>
      <c r="CJ172" s="294"/>
      <c r="CU172" s="509">
        <v>0</v>
      </c>
      <c r="CV172" s="354">
        <v>1</v>
      </c>
      <c r="CW172" s="354">
        <v>2</v>
      </c>
      <c r="CX172" s="354">
        <v>3</v>
      </c>
      <c r="CY172" s="354">
        <v>4</v>
      </c>
      <c r="CZ172" s="354">
        <v>5</v>
      </c>
      <c r="DA172" s="354">
        <v>6</v>
      </c>
      <c r="DB172" s="354">
        <v>7</v>
      </c>
      <c r="DC172" s="354">
        <v>8</v>
      </c>
      <c r="DD172" s="354">
        <v>9</v>
      </c>
      <c r="DE172" s="354">
        <v>10</v>
      </c>
      <c r="DF172" s="354">
        <v>11</v>
      </c>
      <c r="DG172" s="354">
        <v>12</v>
      </c>
      <c r="DH172" s="354">
        <v>13</v>
      </c>
      <c r="DI172" s="354">
        <v>14</v>
      </c>
      <c r="DJ172" s="354">
        <v>15</v>
      </c>
      <c r="DK172" s="355">
        <v>16</v>
      </c>
    </row>
    <row r="173" spans="2:115" ht="13">
      <c r="B173" s="294"/>
      <c r="F173" s="296"/>
      <c r="J173" s="302"/>
      <c r="T173" s="295"/>
      <c r="AA173" s="295"/>
      <c r="AH173" s="295"/>
      <c r="AI173" s="188"/>
      <c r="AJ173" s="188"/>
      <c r="AK173" s="188"/>
      <c r="AL173" s="188"/>
      <c r="AM173" s="188"/>
      <c r="AN173" s="188"/>
      <c r="AO173" s="299"/>
      <c r="CI173" s="294"/>
      <c r="CJ173" s="294"/>
      <c r="CU173" s="510"/>
      <c r="CX173" s="357">
        <v>45658</v>
      </c>
      <c r="CY173" s="357">
        <v>45689</v>
      </c>
      <c r="CZ173" s="357">
        <v>45717</v>
      </c>
      <c r="DA173" s="357">
        <v>45748</v>
      </c>
      <c r="DB173" s="357">
        <v>45778</v>
      </c>
      <c r="DC173" s="357">
        <v>45809</v>
      </c>
      <c r="DD173" s="357">
        <v>45839</v>
      </c>
      <c r="DE173" s="357">
        <v>45870</v>
      </c>
      <c r="DF173" s="357">
        <v>45901</v>
      </c>
      <c r="DG173" s="357">
        <v>45931</v>
      </c>
      <c r="DH173" s="357">
        <v>45962</v>
      </c>
      <c r="DI173" s="357">
        <v>45992</v>
      </c>
      <c r="DJ173" s="357"/>
      <c r="DK173" s="358"/>
    </row>
    <row r="174" spans="2:115" ht="13">
      <c r="B174" s="294"/>
      <c r="F174" s="296"/>
      <c r="J174" s="302"/>
      <c r="T174" s="295"/>
      <c r="AA174" s="295"/>
      <c r="AH174" s="295"/>
      <c r="AI174" s="188"/>
      <c r="AJ174" s="188"/>
      <c r="AK174" s="188"/>
      <c r="AL174" s="188"/>
      <c r="AM174" s="188"/>
      <c r="AN174" s="188"/>
      <c r="AO174" s="299"/>
      <c r="CI174" s="294"/>
      <c r="CJ174" s="294"/>
      <c r="CU174" s="510"/>
      <c r="CV174" s="359"/>
      <c r="CW174" s="359" t="s">
        <v>241</v>
      </c>
      <c r="CX174" s="357">
        <v>45658</v>
      </c>
      <c r="CY174" s="357">
        <v>45689</v>
      </c>
      <c r="CZ174" s="357">
        <v>45717</v>
      </c>
      <c r="DA174" s="357">
        <v>45748</v>
      </c>
      <c r="DB174" s="357">
        <v>45778</v>
      </c>
      <c r="DC174" s="357">
        <v>45809</v>
      </c>
      <c r="DD174" s="357">
        <v>45839</v>
      </c>
      <c r="DE174" s="357">
        <v>45870</v>
      </c>
      <c r="DF174" s="360">
        <v>45901</v>
      </c>
      <c r="DG174" s="360">
        <v>45931</v>
      </c>
      <c r="DH174" s="360"/>
      <c r="DI174" s="360"/>
      <c r="DJ174" s="357"/>
      <c r="DK174" s="358"/>
    </row>
    <row r="175" spans="2:115" ht="13">
      <c r="B175" s="294"/>
      <c r="F175" s="296"/>
      <c r="J175" s="302"/>
      <c r="T175" s="295"/>
      <c r="AA175" s="295"/>
      <c r="AH175" s="295"/>
      <c r="AI175" s="188"/>
      <c r="AJ175" s="188"/>
      <c r="AK175" s="188"/>
      <c r="AL175" s="188"/>
      <c r="AM175" s="188"/>
      <c r="AN175" s="188"/>
      <c r="AO175" s="299"/>
      <c r="CI175" s="294"/>
      <c r="CJ175" s="294"/>
      <c r="CU175" s="510"/>
      <c r="CV175" s="359" t="s">
        <v>241</v>
      </c>
      <c r="CW175" s="361">
        <v>922208844.85000002</v>
      </c>
      <c r="CX175" s="361">
        <v>81761187.769999996</v>
      </c>
      <c r="CY175" s="361">
        <v>114579683.5</v>
      </c>
      <c r="CZ175" s="361">
        <v>87739947.579999998</v>
      </c>
      <c r="DA175" s="361">
        <v>80924346.829999998</v>
      </c>
      <c r="DB175" s="361">
        <v>60969448.009999998</v>
      </c>
      <c r="DC175" s="361">
        <v>84073737.790000007</v>
      </c>
      <c r="DD175" s="361">
        <v>90855127.560000002</v>
      </c>
      <c r="DE175" s="361">
        <v>77299247.780000001</v>
      </c>
      <c r="DF175" s="361">
        <v>103578086.01000001</v>
      </c>
      <c r="DG175" s="361">
        <v>140428032.02000001</v>
      </c>
      <c r="DH175" s="361"/>
      <c r="DI175" s="361"/>
      <c r="DJ175" s="361"/>
      <c r="DK175" s="362"/>
    </row>
    <row r="176" spans="2:115" ht="13">
      <c r="B176" s="294"/>
      <c r="F176" s="296"/>
      <c r="J176" s="302"/>
      <c r="T176" s="295"/>
      <c r="AA176" s="295"/>
      <c r="AH176" s="295"/>
      <c r="AI176" s="188"/>
      <c r="AJ176" s="188"/>
      <c r="AK176" s="188"/>
      <c r="AL176" s="188"/>
      <c r="AM176" s="188"/>
      <c r="AN176" s="188"/>
      <c r="AO176" s="299"/>
      <c r="CI176" s="294"/>
      <c r="CJ176" s="294"/>
      <c r="CT176" s="302">
        <f t="shared" ref="CT176:CT207" si="705">VLOOKUP(CV176,BUELACARTERA,3,FALSE)</f>
        <v>112013225</v>
      </c>
      <c r="CU176" s="510">
        <v>1</v>
      </c>
      <c r="CV176" s="359" t="s">
        <v>686</v>
      </c>
      <c r="CW176" s="361">
        <v>117556731.83</v>
      </c>
      <c r="CX176" s="361">
        <v>13202247.73</v>
      </c>
      <c r="CY176" s="361">
        <v>26082977.510000002</v>
      </c>
      <c r="CZ176" s="361">
        <v>10448686.92</v>
      </c>
      <c r="DA176" s="361">
        <v>6544929.0599999996</v>
      </c>
      <c r="DB176" s="361">
        <v>3051608.72</v>
      </c>
      <c r="DC176" s="361">
        <v>14781118.880000001</v>
      </c>
      <c r="DD176" s="361">
        <v>11234655.65</v>
      </c>
      <c r="DE176" s="361">
        <v>3950632.34</v>
      </c>
      <c r="DF176" s="361">
        <v>7108633.1299999999</v>
      </c>
      <c r="DG176" s="361">
        <v>21151241.890000001</v>
      </c>
      <c r="DH176" s="361"/>
      <c r="DI176" s="361"/>
      <c r="DJ176" s="361"/>
      <c r="DK176" s="362"/>
    </row>
    <row r="177" spans="2:115" ht="13">
      <c r="B177" s="294"/>
      <c r="F177" s="296"/>
      <c r="J177" s="302"/>
      <c r="T177" s="295"/>
      <c r="AA177" s="295"/>
      <c r="AH177" s="295"/>
      <c r="AI177" s="188"/>
      <c r="AJ177" s="188"/>
      <c r="AK177" s="188"/>
      <c r="AL177" s="188"/>
      <c r="AM177" s="188"/>
      <c r="AN177" s="188"/>
      <c r="AO177" s="299"/>
      <c r="CI177" s="294"/>
      <c r="CJ177" s="294"/>
      <c r="CT177" s="302">
        <f t="shared" si="705"/>
        <v>112013562</v>
      </c>
      <c r="CU177" s="510">
        <v>2</v>
      </c>
      <c r="CV177" s="359" t="s">
        <v>688</v>
      </c>
      <c r="CW177" s="361">
        <v>97546215.840000004</v>
      </c>
      <c r="CX177" s="361">
        <v>7179315.0800000001</v>
      </c>
      <c r="CY177" s="361">
        <v>11180749.119999999</v>
      </c>
      <c r="CZ177" s="361">
        <v>13220151.92</v>
      </c>
      <c r="DA177" s="361">
        <v>5240526.1100000003</v>
      </c>
      <c r="DB177" s="361">
        <v>5174787.6399999997</v>
      </c>
      <c r="DC177" s="361">
        <v>9996680.3200000003</v>
      </c>
      <c r="DD177" s="361">
        <v>1385243.39</v>
      </c>
      <c r="DE177" s="361">
        <v>3030374.43</v>
      </c>
      <c r="DF177" s="361">
        <v>19391360.359999999</v>
      </c>
      <c r="DG177" s="361">
        <v>21747027.489999998</v>
      </c>
      <c r="DH177" s="361"/>
      <c r="DI177" s="361"/>
      <c r="DJ177" s="361"/>
      <c r="DK177" s="362"/>
    </row>
    <row r="178" spans="2:115" ht="13">
      <c r="B178" s="294"/>
      <c r="F178" s="296"/>
      <c r="J178" s="302"/>
      <c r="T178" s="295"/>
      <c r="AA178" s="295"/>
      <c r="AH178" s="295"/>
      <c r="AI178" s="188"/>
      <c r="AJ178" s="188"/>
      <c r="AK178" s="188"/>
      <c r="AL178" s="188"/>
      <c r="AM178" s="188"/>
      <c r="AN178" s="188"/>
      <c r="AO178" s="299"/>
      <c r="CI178" s="294"/>
      <c r="CJ178" s="294"/>
      <c r="CT178" s="302">
        <f t="shared" si="705"/>
        <v>112014652</v>
      </c>
      <c r="CU178" s="510">
        <v>3</v>
      </c>
      <c r="CV178" s="359" t="s">
        <v>687</v>
      </c>
      <c r="CW178" s="361">
        <v>70219087.739999995</v>
      </c>
      <c r="CX178" s="361">
        <v>7051804.9199999999</v>
      </c>
      <c r="CY178" s="361">
        <v>8555472.9199999999</v>
      </c>
      <c r="CZ178" s="361">
        <v>6307097.96</v>
      </c>
      <c r="DA178" s="361">
        <v>7447014.7599999998</v>
      </c>
      <c r="DB178" s="361">
        <v>4007973.54</v>
      </c>
      <c r="DC178" s="361">
        <v>6549139.5700000003</v>
      </c>
      <c r="DD178" s="361">
        <v>7549745.7400000002</v>
      </c>
      <c r="DE178" s="361">
        <v>6435314.9199999999</v>
      </c>
      <c r="DF178" s="361">
        <v>7546412.8099999996</v>
      </c>
      <c r="DG178" s="361">
        <v>8769110.5999999996</v>
      </c>
      <c r="DH178" s="361"/>
      <c r="DI178" s="361"/>
      <c r="DJ178" s="361"/>
      <c r="DK178" s="362"/>
    </row>
    <row r="179" spans="2:115" ht="13">
      <c r="B179" s="294"/>
      <c r="F179" s="296"/>
      <c r="J179" s="302"/>
      <c r="T179" s="295"/>
      <c r="AA179" s="295"/>
      <c r="AH179" s="295"/>
      <c r="AI179" s="188"/>
      <c r="AJ179" s="188"/>
      <c r="AK179" s="188"/>
      <c r="AL179" s="188"/>
      <c r="AM179" s="188"/>
      <c r="AN179" s="188"/>
      <c r="AO179" s="299"/>
      <c r="CI179" s="294"/>
      <c r="CJ179" s="294"/>
      <c r="CT179" s="302">
        <f t="shared" si="705"/>
        <v>112014640</v>
      </c>
      <c r="CU179" s="510">
        <v>4</v>
      </c>
      <c r="CV179" s="359" t="s">
        <v>685</v>
      </c>
      <c r="CW179" s="361">
        <v>63694412.590000004</v>
      </c>
      <c r="CX179" s="361">
        <v>5384821.4900000002</v>
      </c>
      <c r="CY179" s="361">
        <v>7558415.2699999996</v>
      </c>
      <c r="CZ179" s="361">
        <v>3261013.67</v>
      </c>
      <c r="DA179" s="361">
        <v>1264976.6200000001</v>
      </c>
      <c r="DB179" s="361">
        <v>1981596.92</v>
      </c>
      <c r="DC179" s="361">
        <v>2917388.75</v>
      </c>
      <c r="DD179" s="361">
        <v>2747168.2</v>
      </c>
      <c r="DE179" s="361">
        <v>6840977.9800000004</v>
      </c>
      <c r="DF179" s="361">
        <v>15832229.699999999</v>
      </c>
      <c r="DG179" s="361">
        <v>15905823.99</v>
      </c>
      <c r="DH179" s="361"/>
      <c r="DI179" s="361"/>
      <c r="DJ179" s="361"/>
      <c r="DK179" s="362"/>
    </row>
    <row r="180" spans="2:115" ht="13">
      <c r="B180" s="294"/>
      <c r="F180" s="296"/>
      <c r="J180" s="302"/>
      <c r="T180" s="295"/>
      <c r="AA180" s="295"/>
      <c r="AH180" s="295"/>
      <c r="AI180" s="188"/>
      <c r="AJ180" s="188"/>
      <c r="AK180" s="188"/>
      <c r="AL180" s="188"/>
      <c r="AM180" s="188"/>
      <c r="AN180" s="188"/>
      <c r="AO180" s="299"/>
      <c r="CI180" s="294"/>
      <c r="CJ180" s="294"/>
      <c r="CT180" s="302">
        <f t="shared" si="705"/>
        <v>112013693</v>
      </c>
      <c r="CU180" s="510">
        <v>5</v>
      </c>
      <c r="CV180" s="359" t="s">
        <v>693</v>
      </c>
      <c r="CW180" s="361">
        <v>38727747.390000001</v>
      </c>
      <c r="CX180" s="361">
        <v>5618516.7800000003</v>
      </c>
      <c r="CY180" s="361">
        <v>1719635.03</v>
      </c>
      <c r="CZ180" s="361">
        <v>8035749.2699999996</v>
      </c>
      <c r="DA180" s="361">
        <v>4415561.57</v>
      </c>
      <c r="DB180" s="361">
        <v>1965057.78</v>
      </c>
      <c r="DC180" s="361">
        <v>5155697.58</v>
      </c>
      <c r="DD180" s="361">
        <v>6373461.2000000002</v>
      </c>
      <c r="DE180" s="361">
        <v>4585040.1399999997</v>
      </c>
      <c r="DF180" s="361">
        <v>26430.77</v>
      </c>
      <c r="DG180" s="361">
        <v>832597.26</v>
      </c>
      <c r="DH180" s="361"/>
      <c r="DI180" s="361"/>
      <c r="DJ180" s="361"/>
      <c r="DK180" s="362"/>
    </row>
    <row r="181" spans="2:115" ht="13">
      <c r="B181" s="294"/>
      <c r="F181" s="296"/>
      <c r="J181" s="302"/>
      <c r="T181" s="295"/>
      <c r="AA181" s="295"/>
      <c r="AH181" s="295"/>
      <c r="AI181" s="188"/>
      <c r="AJ181" s="188"/>
      <c r="AK181" s="188"/>
      <c r="AL181" s="188"/>
      <c r="AM181" s="188"/>
      <c r="AN181" s="188"/>
      <c r="AO181" s="299"/>
      <c r="CI181" s="294"/>
      <c r="CJ181" s="294"/>
      <c r="CT181" s="302">
        <f t="shared" si="705"/>
        <v>112013341</v>
      </c>
      <c r="CU181" s="510">
        <v>6</v>
      </c>
      <c r="CV181" s="359" t="s">
        <v>695</v>
      </c>
      <c r="CW181" s="361">
        <v>37250415.270000003</v>
      </c>
      <c r="CX181" s="361">
        <v>2946012.9</v>
      </c>
      <c r="CY181" s="361">
        <v>4377172.57</v>
      </c>
      <c r="CZ181" s="361">
        <v>2451747.9300000002</v>
      </c>
      <c r="DA181" s="361">
        <v>3418987.74</v>
      </c>
      <c r="DB181" s="361">
        <v>3907613.39</v>
      </c>
      <c r="DC181" s="361">
        <v>4523581.62</v>
      </c>
      <c r="DD181" s="361">
        <v>4199799.5</v>
      </c>
      <c r="DE181" s="361">
        <v>3273800.7</v>
      </c>
      <c r="DF181" s="361">
        <v>3785785.57</v>
      </c>
      <c r="DG181" s="361">
        <v>4365913.37</v>
      </c>
      <c r="DH181" s="361"/>
      <c r="DI181" s="361"/>
      <c r="DJ181" s="361"/>
      <c r="DK181" s="362"/>
    </row>
    <row r="182" spans="2:115" ht="13">
      <c r="B182" s="294"/>
      <c r="F182" s="296"/>
      <c r="J182" s="302"/>
      <c r="T182" s="295"/>
      <c r="AA182" s="295"/>
      <c r="AH182" s="295"/>
      <c r="AI182" s="188"/>
      <c r="AJ182" s="188"/>
      <c r="AK182" s="188"/>
      <c r="AL182" s="188"/>
      <c r="AM182" s="188"/>
      <c r="AN182" s="188"/>
      <c r="AO182" s="299"/>
      <c r="CI182" s="294"/>
      <c r="CJ182" s="294"/>
      <c r="CT182" s="302">
        <f t="shared" si="705"/>
        <v>112013859</v>
      </c>
      <c r="CU182" s="510">
        <v>7</v>
      </c>
      <c r="CV182" s="359" t="s">
        <v>731</v>
      </c>
      <c r="CW182" s="361">
        <v>35385896.700000003</v>
      </c>
      <c r="CX182" s="361">
        <v>2607707.54</v>
      </c>
      <c r="CY182" s="361">
        <v>2949446.8</v>
      </c>
      <c r="CZ182" s="361">
        <v>2653425.2400000002</v>
      </c>
      <c r="DA182" s="361">
        <v>5661783.4400000004</v>
      </c>
      <c r="DB182" s="361">
        <v>3496489.36</v>
      </c>
      <c r="DC182" s="361">
        <v>3403558.2</v>
      </c>
      <c r="DD182" s="361">
        <v>4744920.34</v>
      </c>
      <c r="DE182" s="361">
        <v>3062280.64</v>
      </c>
      <c r="DF182" s="361">
        <v>4519895</v>
      </c>
      <c r="DG182" s="361">
        <v>2286390.14</v>
      </c>
      <c r="DH182" s="361"/>
      <c r="DI182" s="361"/>
      <c r="DJ182" s="361"/>
      <c r="DK182" s="362"/>
    </row>
    <row r="183" spans="2:115" ht="13">
      <c r="B183" s="294"/>
      <c r="F183" s="296"/>
      <c r="J183" s="302"/>
      <c r="T183" s="295"/>
      <c r="AA183" s="295"/>
      <c r="AH183" s="295"/>
      <c r="AI183" s="188"/>
      <c r="AJ183" s="188"/>
      <c r="AK183" s="188"/>
      <c r="AL183" s="188"/>
      <c r="AM183" s="188"/>
      <c r="AN183" s="188"/>
      <c r="AO183" s="299"/>
      <c r="CI183" s="294"/>
      <c r="CJ183" s="294"/>
      <c r="CT183" s="302">
        <f t="shared" si="705"/>
        <v>112013321</v>
      </c>
      <c r="CU183" s="510">
        <v>8</v>
      </c>
      <c r="CV183" s="359" t="s">
        <v>699</v>
      </c>
      <c r="CW183" s="361">
        <v>32984046.809999999</v>
      </c>
      <c r="CX183" s="361">
        <v>2698242.29</v>
      </c>
      <c r="CY183" s="361">
        <v>2780994.97</v>
      </c>
      <c r="CZ183" s="361">
        <v>2314875.52</v>
      </c>
      <c r="DA183" s="361">
        <v>3711306.14</v>
      </c>
      <c r="DB183" s="361">
        <v>2540195.92</v>
      </c>
      <c r="DC183" s="361">
        <v>3021733.5</v>
      </c>
      <c r="DD183" s="361">
        <v>3628849.94</v>
      </c>
      <c r="DE183" s="361">
        <v>6039517.2199999997</v>
      </c>
      <c r="DF183" s="361">
        <v>1837974.63</v>
      </c>
      <c r="DG183" s="361">
        <v>4410356.67</v>
      </c>
      <c r="DH183" s="361"/>
      <c r="DI183" s="361"/>
      <c r="DJ183" s="361"/>
      <c r="DK183" s="362"/>
    </row>
    <row r="184" spans="2:115" ht="13">
      <c r="B184" s="294"/>
      <c r="F184" s="296"/>
      <c r="J184" s="302"/>
      <c r="T184" s="295"/>
      <c r="AA184" s="295"/>
      <c r="AH184" s="295"/>
      <c r="AI184" s="188"/>
      <c r="AJ184" s="188"/>
      <c r="AK184" s="188"/>
      <c r="AL184" s="188"/>
      <c r="AM184" s="188"/>
      <c r="AN184" s="188"/>
      <c r="AO184" s="299"/>
      <c r="CI184" s="294"/>
      <c r="CJ184" s="294"/>
      <c r="CT184" s="302">
        <f t="shared" si="705"/>
        <v>112014465</v>
      </c>
      <c r="CU184" s="510">
        <v>9</v>
      </c>
      <c r="CV184" s="359" t="s">
        <v>691</v>
      </c>
      <c r="CW184" s="361">
        <v>27513281.489999998</v>
      </c>
      <c r="CX184" s="361">
        <v>3602434.55</v>
      </c>
      <c r="CY184" s="361">
        <v>5008263.72</v>
      </c>
      <c r="CZ184" s="361">
        <v>1052376.83</v>
      </c>
      <c r="DA184" s="361">
        <v>2817773.52</v>
      </c>
      <c r="DB184" s="361">
        <v>5853879.6900000004</v>
      </c>
      <c r="DC184" s="361">
        <v>819455.64</v>
      </c>
      <c r="DD184" s="361">
        <v>2692602.53</v>
      </c>
      <c r="DE184" s="361">
        <v>2835488.01</v>
      </c>
      <c r="DF184" s="361">
        <v>424112.26</v>
      </c>
      <c r="DG184" s="361">
        <v>2406894.73</v>
      </c>
      <c r="DH184" s="361"/>
      <c r="DI184" s="361"/>
      <c r="DJ184" s="361"/>
      <c r="DK184" s="362"/>
    </row>
    <row r="185" spans="2:115" ht="13">
      <c r="B185" s="294"/>
      <c r="F185" s="296"/>
      <c r="J185" s="302"/>
      <c r="T185" s="295"/>
      <c r="AA185" s="295"/>
      <c r="AH185" s="295"/>
      <c r="AI185" s="188"/>
      <c r="AJ185" s="188"/>
      <c r="AK185" s="188"/>
      <c r="AL185" s="188"/>
      <c r="AM185" s="188"/>
      <c r="AN185" s="188"/>
      <c r="AO185" s="299"/>
      <c r="CI185" s="294"/>
      <c r="CJ185" s="294"/>
      <c r="CT185" s="302">
        <f t="shared" si="705"/>
        <v>112012528</v>
      </c>
      <c r="CU185" s="510">
        <v>10</v>
      </c>
      <c r="CV185" s="359" t="s">
        <v>684</v>
      </c>
      <c r="CW185" s="361">
        <v>24662009.25</v>
      </c>
      <c r="CX185" s="361">
        <v>0</v>
      </c>
      <c r="CY185" s="361">
        <v>856664.59</v>
      </c>
      <c r="CZ185" s="361">
        <v>4385376.16</v>
      </c>
      <c r="DA185" s="361">
        <v>2856600.22</v>
      </c>
      <c r="DB185" s="361">
        <v>2657743.73</v>
      </c>
      <c r="DC185" s="361">
        <v>3244536.94</v>
      </c>
      <c r="DD185" s="361">
        <v>1379220.37</v>
      </c>
      <c r="DE185" s="361">
        <v>2490885.85</v>
      </c>
      <c r="DF185" s="361">
        <v>3931509.33</v>
      </c>
      <c r="DG185" s="361">
        <v>2859472.08</v>
      </c>
      <c r="DH185" s="361"/>
      <c r="DI185" s="361"/>
      <c r="DJ185" s="361"/>
      <c r="DK185" s="362"/>
    </row>
    <row r="186" spans="2:115" ht="13">
      <c r="B186" s="294"/>
      <c r="F186" s="296"/>
      <c r="J186" s="302"/>
      <c r="T186" s="295"/>
      <c r="AA186" s="295"/>
      <c r="AH186" s="295"/>
      <c r="AI186" s="188"/>
      <c r="AJ186" s="188"/>
      <c r="AK186" s="188"/>
      <c r="AL186" s="188"/>
      <c r="AM186" s="188"/>
      <c r="AN186" s="188"/>
      <c r="AO186" s="299"/>
      <c r="CI186" s="294"/>
      <c r="CJ186" s="294"/>
      <c r="CT186" s="302">
        <f t="shared" si="705"/>
        <v>112014131</v>
      </c>
      <c r="CU186" s="510">
        <v>11</v>
      </c>
      <c r="CV186" s="359" t="s">
        <v>753</v>
      </c>
      <c r="CW186" s="361">
        <v>21109197.440000001</v>
      </c>
      <c r="CX186" s="361">
        <v>1729070.6</v>
      </c>
      <c r="CY186" s="361">
        <v>2046693.52</v>
      </c>
      <c r="CZ186" s="361">
        <v>1977186.16</v>
      </c>
      <c r="DA186" s="361">
        <v>2258872.04</v>
      </c>
      <c r="DB186" s="361">
        <v>1785338.06</v>
      </c>
      <c r="DC186" s="361">
        <v>1968567.73</v>
      </c>
      <c r="DD186" s="361">
        <v>2202704.2400000002</v>
      </c>
      <c r="DE186" s="361">
        <v>2484290.84</v>
      </c>
      <c r="DF186" s="361">
        <v>1846147.06</v>
      </c>
      <c r="DG186" s="361">
        <v>2810327.19</v>
      </c>
      <c r="DH186" s="361"/>
      <c r="DI186" s="361"/>
      <c r="DJ186" s="361"/>
      <c r="DK186" s="362"/>
    </row>
    <row r="187" spans="2:115" ht="13">
      <c r="B187" s="294"/>
      <c r="F187" s="296"/>
      <c r="J187" s="302"/>
      <c r="T187" s="295"/>
      <c r="AA187" s="295"/>
      <c r="AH187" s="295"/>
      <c r="AI187" s="188"/>
      <c r="AJ187" s="188"/>
      <c r="AK187" s="188"/>
      <c r="AL187" s="188"/>
      <c r="AM187" s="188"/>
      <c r="AN187" s="188"/>
      <c r="AO187" s="299"/>
      <c r="CI187" s="294"/>
      <c r="CJ187" s="294"/>
      <c r="CT187" s="302">
        <f t="shared" si="705"/>
        <v>112014542</v>
      </c>
      <c r="CU187" s="510">
        <v>12</v>
      </c>
      <c r="CV187" s="359" t="s">
        <v>708</v>
      </c>
      <c r="CW187" s="361">
        <v>17797533.25</v>
      </c>
      <c r="CX187" s="361">
        <v>2589578.2200000002</v>
      </c>
      <c r="CY187" s="361">
        <v>4446272.16</v>
      </c>
      <c r="CZ187" s="361">
        <v>3125062.6</v>
      </c>
      <c r="DA187" s="361">
        <v>893703.55</v>
      </c>
      <c r="DB187" s="361">
        <v>0</v>
      </c>
      <c r="DC187" s="361">
        <v>0</v>
      </c>
      <c r="DD187" s="361">
        <v>3931903.52</v>
      </c>
      <c r="DE187" s="361">
        <v>524135.72</v>
      </c>
      <c r="DF187" s="361">
        <v>715605.01</v>
      </c>
      <c r="DG187" s="361">
        <v>1571272.47</v>
      </c>
      <c r="DH187" s="361"/>
      <c r="DI187" s="361"/>
      <c r="DJ187" s="361"/>
      <c r="DK187" s="362"/>
    </row>
    <row r="188" spans="2:115" ht="13">
      <c r="B188" s="294"/>
      <c r="F188" s="296"/>
      <c r="J188" s="302"/>
      <c r="T188" s="295"/>
      <c r="AA188" s="295"/>
      <c r="AH188" s="295"/>
      <c r="AI188" s="188"/>
      <c r="AJ188" s="188"/>
      <c r="AK188" s="188"/>
      <c r="AL188" s="188"/>
      <c r="AM188" s="188"/>
      <c r="AN188" s="188"/>
      <c r="AO188" s="299"/>
      <c r="CI188" s="294"/>
      <c r="CJ188" s="294"/>
      <c r="CT188" s="302">
        <f t="shared" si="705"/>
        <v>112013377</v>
      </c>
      <c r="CU188" s="510">
        <v>13</v>
      </c>
      <c r="CV188" s="359" t="s">
        <v>727</v>
      </c>
      <c r="CW188" s="361">
        <v>17420737.280000001</v>
      </c>
      <c r="CX188" s="361">
        <v>1449757.16</v>
      </c>
      <c r="CY188" s="361">
        <v>2084147.4</v>
      </c>
      <c r="CZ188" s="361">
        <v>2882877.63</v>
      </c>
      <c r="DA188" s="361">
        <v>791810.8</v>
      </c>
      <c r="DB188" s="361">
        <v>0</v>
      </c>
      <c r="DC188" s="361">
        <v>803218.26</v>
      </c>
      <c r="DD188" s="361">
        <v>2912746.22</v>
      </c>
      <c r="DE188" s="361">
        <v>617955.26</v>
      </c>
      <c r="DF188" s="361">
        <v>1757074.17</v>
      </c>
      <c r="DG188" s="361">
        <v>4121150.38</v>
      </c>
      <c r="DH188" s="361"/>
      <c r="DI188" s="361"/>
      <c r="DJ188" s="361"/>
      <c r="DK188" s="362"/>
    </row>
    <row r="189" spans="2:115" ht="13">
      <c r="B189" s="294"/>
      <c r="F189" s="296"/>
      <c r="J189" s="302"/>
      <c r="T189" s="295"/>
      <c r="AA189" s="295"/>
      <c r="AH189" s="295"/>
      <c r="AI189" s="188"/>
      <c r="AJ189" s="188"/>
      <c r="AK189" s="188"/>
      <c r="AL189" s="188"/>
      <c r="AM189" s="188"/>
      <c r="AN189" s="188"/>
      <c r="AO189" s="299"/>
      <c r="CI189" s="294"/>
      <c r="CJ189" s="294"/>
      <c r="CT189" s="302">
        <f t="shared" si="705"/>
        <v>112014069</v>
      </c>
      <c r="CU189" s="510">
        <v>14</v>
      </c>
      <c r="CV189" s="359" t="s">
        <v>717</v>
      </c>
      <c r="CW189" s="361">
        <v>15711696.199999999</v>
      </c>
      <c r="CX189" s="361">
        <v>1913297.87</v>
      </c>
      <c r="CY189" s="361">
        <v>672942.72</v>
      </c>
      <c r="CZ189" s="361">
        <v>920115.88</v>
      </c>
      <c r="DA189" s="361">
        <v>3632888.97</v>
      </c>
      <c r="DB189" s="361">
        <v>637568.31999999995</v>
      </c>
      <c r="DC189" s="361">
        <v>1460733.47</v>
      </c>
      <c r="DD189" s="361">
        <v>2760727.74</v>
      </c>
      <c r="DE189" s="361">
        <v>1160636.71</v>
      </c>
      <c r="DF189" s="361">
        <v>1870086.76</v>
      </c>
      <c r="DG189" s="361">
        <v>682697.76</v>
      </c>
      <c r="DH189" s="361"/>
      <c r="DI189" s="361"/>
      <c r="DJ189" s="361"/>
      <c r="DK189" s="362"/>
    </row>
    <row r="190" spans="2:115" ht="13">
      <c r="B190" s="294"/>
      <c r="F190" s="296"/>
      <c r="J190" s="302"/>
      <c r="T190" s="295"/>
      <c r="AA190" s="295"/>
      <c r="AH190" s="295"/>
      <c r="AI190" s="188"/>
      <c r="AJ190" s="188"/>
      <c r="AK190" s="188"/>
      <c r="AL190" s="188"/>
      <c r="AM190" s="188"/>
      <c r="AN190" s="188"/>
      <c r="AO190" s="299"/>
      <c r="CI190" s="294"/>
      <c r="CJ190" s="294"/>
      <c r="CT190" s="302">
        <f t="shared" si="705"/>
        <v>112013826</v>
      </c>
      <c r="CU190" s="510">
        <v>15</v>
      </c>
      <c r="CV190" s="359" t="s">
        <v>697</v>
      </c>
      <c r="CW190" s="361">
        <v>15378902.869999999</v>
      </c>
      <c r="CX190" s="361">
        <v>1783610.54</v>
      </c>
      <c r="CY190" s="361">
        <v>2835038.17</v>
      </c>
      <c r="CZ190" s="361">
        <v>562829.11</v>
      </c>
      <c r="DA190" s="361">
        <v>2329040.08</v>
      </c>
      <c r="DB190" s="361">
        <v>2614777.36</v>
      </c>
      <c r="DC190" s="361">
        <v>363184.65</v>
      </c>
      <c r="DD190" s="361">
        <v>2657834.67</v>
      </c>
      <c r="DE190" s="361">
        <v>1687170.7</v>
      </c>
      <c r="DF190" s="361">
        <v>80498.23</v>
      </c>
      <c r="DG190" s="361">
        <v>464919.35</v>
      </c>
      <c r="DH190" s="365"/>
      <c r="DI190" s="365"/>
      <c r="DJ190" s="365"/>
      <c r="DK190" s="366"/>
    </row>
    <row r="191" spans="2:115" ht="13">
      <c r="B191" s="294"/>
      <c r="F191" s="296"/>
      <c r="J191" s="302"/>
      <c r="T191" s="295"/>
      <c r="AA191" s="295"/>
      <c r="AH191" s="295"/>
      <c r="AI191" s="188"/>
      <c r="AJ191" s="188"/>
      <c r="AK191" s="188"/>
      <c r="AL191" s="188"/>
      <c r="AM191" s="188"/>
      <c r="AN191" s="188"/>
      <c r="AO191" s="299"/>
      <c r="CI191" s="294"/>
      <c r="CJ191" s="294"/>
      <c r="CT191" s="302">
        <f t="shared" si="705"/>
        <v>112013206</v>
      </c>
      <c r="CU191" s="510">
        <v>16</v>
      </c>
      <c r="CV191" s="359" t="s">
        <v>700</v>
      </c>
      <c r="CW191" s="361">
        <v>15154190.09</v>
      </c>
      <c r="CX191" s="361">
        <v>1454672.47</v>
      </c>
      <c r="CY191" s="361">
        <v>2613756.62</v>
      </c>
      <c r="CZ191" s="361">
        <v>357100.53</v>
      </c>
      <c r="DA191" s="361">
        <v>1280940.68</v>
      </c>
      <c r="DB191" s="361">
        <v>1340233.06</v>
      </c>
      <c r="DC191" s="361">
        <v>1223958.82</v>
      </c>
      <c r="DD191" s="361">
        <v>1298722.6499999999</v>
      </c>
      <c r="DE191" s="361">
        <v>2163219.94</v>
      </c>
      <c r="DF191" s="361">
        <v>1929222.93</v>
      </c>
      <c r="DG191" s="361">
        <v>1492362.4</v>
      </c>
      <c r="DH191" s="361"/>
      <c r="DI191" s="361"/>
      <c r="DJ191" s="361"/>
      <c r="DK191" s="362"/>
    </row>
    <row r="192" spans="2:115" ht="13">
      <c r="B192" s="294"/>
      <c r="F192" s="296"/>
      <c r="J192" s="302"/>
      <c r="T192" s="295"/>
      <c r="AA192" s="295"/>
      <c r="AH192" s="295"/>
      <c r="AI192" s="188"/>
      <c r="AJ192" s="188"/>
      <c r="AK192" s="188"/>
      <c r="AL192" s="188"/>
      <c r="AM192" s="188"/>
      <c r="AN192" s="188"/>
      <c r="AO192" s="299"/>
      <c r="CI192" s="294"/>
      <c r="CJ192" s="294"/>
      <c r="CT192" s="302">
        <f t="shared" si="705"/>
        <v>112013734</v>
      </c>
      <c r="CU192" s="510">
        <v>17</v>
      </c>
      <c r="CV192" s="664" t="s">
        <v>702</v>
      </c>
      <c r="CW192" s="361">
        <v>14689191.25</v>
      </c>
      <c r="CX192" s="361">
        <v>0</v>
      </c>
      <c r="CY192" s="361">
        <v>1516630.4</v>
      </c>
      <c r="CZ192" s="361">
        <v>892228.8</v>
      </c>
      <c r="DA192" s="361">
        <v>1085172.27</v>
      </c>
      <c r="DB192" s="361">
        <v>666466.96</v>
      </c>
      <c r="DC192" s="361">
        <v>1382539.92</v>
      </c>
      <c r="DD192" s="361">
        <v>1497273.28</v>
      </c>
      <c r="DE192" s="361">
        <v>1622679.65</v>
      </c>
      <c r="DF192" s="361">
        <v>1973311.06</v>
      </c>
      <c r="DG192" s="361">
        <v>4052888.92</v>
      </c>
      <c r="DH192" s="361"/>
      <c r="DI192" s="361"/>
      <c r="DJ192" s="361"/>
      <c r="DK192" s="362"/>
    </row>
    <row r="193" spans="2:115" ht="13">
      <c r="B193" s="294"/>
      <c r="F193" s="296"/>
      <c r="J193" s="302"/>
      <c r="T193" s="295"/>
      <c r="AA193" s="295"/>
      <c r="AH193" s="295"/>
      <c r="AI193" s="188"/>
      <c r="AJ193" s="188"/>
      <c r="AK193" s="188"/>
      <c r="AL193" s="188"/>
      <c r="AM193" s="188"/>
      <c r="AN193" s="188"/>
      <c r="AO193" s="299"/>
      <c r="CI193" s="294"/>
      <c r="CJ193" s="294"/>
      <c r="CT193" s="302">
        <f t="shared" si="705"/>
        <v>112010514</v>
      </c>
      <c r="CU193" s="510">
        <v>18</v>
      </c>
      <c r="CV193" s="359" t="s">
        <v>712</v>
      </c>
      <c r="CW193" s="361">
        <v>14027621.83</v>
      </c>
      <c r="CX193" s="361">
        <v>0</v>
      </c>
      <c r="CY193" s="361">
        <v>2613294.5299999998</v>
      </c>
      <c r="CZ193" s="361">
        <v>2902313.8</v>
      </c>
      <c r="DA193" s="361">
        <v>1631239.56</v>
      </c>
      <c r="DB193" s="361">
        <v>937802.41</v>
      </c>
      <c r="DC193" s="361">
        <v>1248531.25</v>
      </c>
      <c r="DD193" s="361">
        <v>1088827.94</v>
      </c>
      <c r="DE193" s="361">
        <v>1012957.93</v>
      </c>
      <c r="DF193" s="361">
        <v>539346.97</v>
      </c>
      <c r="DG193" s="361">
        <v>2053307.46</v>
      </c>
      <c r="DH193" s="361"/>
      <c r="DI193" s="361"/>
      <c r="DJ193" s="361"/>
      <c r="DK193" s="362"/>
    </row>
    <row r="194" spans="2:115" ht="13">
      <c r="B194" s="294"/>
      <c r="F194" s="296"/>
      <c r="J194" s="302"/>
      <c r="T194" s="295"/>
      <c r="AA194" s="295"/>
      <c r="AH194" s="295"/>
      <c r="AI194" s="188"/>
      <c r="AJ194" s="188"/>
      <c r="AK194" s="188"/>
      <c r="AL194" s="188"/>
      <c r="AM194" s="188"/>
      <c r="AN194" s="188"/>
      <c r="AO194" s="299"/>
      <c r="CI194" s="294"/>
      <c r="CJ194" s="294"/>
      <c r="CT194" s="302">
        <f t="shared" si="705"/>
        <v>112013900</v>
      </c>
      <c r="CU194" s="510">
        <v>19</v>
      </c>
      <c r="CV194" s="359" t="s">
        <v>726</v>
      </c>
      <c r="CW194" s="361">
        <v>13299257.33</v>
      </c>
      <c r="CX194" s="361">
        <v>1285110.92</v>
      </c>
      <c r="CY194" s="361">
        <v>1177325.45</v>
      </c>
      <c r="CZ194" s="361">
        <v>1065009.94</v>
      </c>
      <c r="DA194" s="361">
        <v>1197486.3899999999</v>
      </c>
      <c r="DB194" s="361">
        <v>1278379.67</v>
      </c>
      <c r="DC194" s="361">
        <v>1478744.54</v>
      </c>
      <c r="DD194" s="361">
        <v>964765.96</v>
      </c>
      <c r="DE194" s="361">
        <v>1511878.12</v>
      </c>
      <c r="DF194" s="361">
        <v>1598839.15</v>
      </c>
      <c r="DG194" s="361">
        <v>1741717.19</v>
      </c>
      <c r="DH194" s="361"/>
      <c r="DI194" s="361"/>
      <c r="DJ194" s="361"/>
      <c r="DK194" s="362"/>
    </row>
    <row r="195" spans="2:115" ht="13">
      <c r="B195" s="294"/>
      <c r="F195" s="296"/>
      <c r="J195" s="302"/>
      <c r="T195" s="295"/>
      <c r="AA195" s="295"/>
      <c r="AH195" s="295"/>
      <c r="AI195" s="188"/>
      <c r="AJ195" s="188"/>
      <c r="AK195" s="188"/>
      <c r="AL195" s="188"/>
      <c r="AM195" s="188"/>
      <c r="AN195" s="188"/>
      <c r="AO195" s="299"/>
      <c r="CI195" s="294"/>
      <c r="CJ195" s="294"/>
      <c r="CT195" s="302">
        <f t="shared" si="705"/>
        <v>112014236</v>
      </c>
      <c r="CU195" s="510">
        <v>20</v>
      </c>
      <c r="CV195" s="359" t="s">
        <v>743</v>
      </c>
      <c r="CW195" s="361">
        <v>13176774.65</v>
      </c>
      <c r="CX195" s="361">
        <v>582267.84</v>
      </c>
      <c r="CY195" s="361">
        <v>1492051.02</v>
      </c>
      <c r="CZ195" s="361">
        <v>904002.64</v>
      </c>
      <c r="DA195" s="361">
        <v>1748140.55</v>
      </c>
      <c r="DB195" s="361">
        <v>923334.64</v>
      </c>
      <c r="DC195" s="361">
        <v>1642805.48</v>
      </c>
      <c r="DD195" s="361">
        <v>1880863.99</v>
      </c>
      <c r="DE195" s="361">
        <v>1284282.8500000001</v>
      </c>
      <c r="DF195" s="361">
        <v>1447559.5</v>
      </c>
      <c r="DG195" s="361">
        <v>1271466.1499999999</v>
      </c>
      <c r="DH195" s="361"/>
      <c r="DI195" s="361"/>
      <c r="DJ195" s="361"/>
      <c r="DK195" s="362"/>
    </row>
    <row r="196" spans="2:115" ht="13">
      <c r="B196" s="294"/>
      <c r="F196" s="296"/>
      <c r="J196" s="302"/>
      <c r="T196" s="295"/>
      <c r="AA196" s="295"/>
      <c r="AH196" s="295"/>
      <c r="AI196" s="188"/>
      <c r="AJ196" s="188"/>
      <c r="AK196" s="188"/>
      <c r="AL196" s="188"/>
      <c r="AM196" s="188"/>
      <c r="AN196" s="188"/>
      <c r="AO196" s="299"/>
      <c r="CI196" s="294"/>
      <c r="CJ196" s="294"/>
      <c r="CT196" s="302">
        <f t="shared" si="705"/>
        <v>112011463</v>
      </c>
      <c r="CU196" s="510">
        <v>21</v>
      </c>
      <c r="CV196" s="359" t="s">
        <v>715</v>
      </c>
      <c r="CW196" s="361">
        <v>12702415.49</v>
      </c>
      <c r="CX196" s="361">
        <v>0</v>
      </c>
      <c r="CY196" s="361">
        <v>1958830.71</v>
      </c>
      <c r="CZ196" s="361">
        <v>1744779.97</v>
      </c>
      <c r="DA196" s="361">
        <v>786389.46</v>
      </c>
      <c r="DB196" s="361">
        <v>1002949.61</v>
      </c>
      <c r="DC196" s="361">
        <v>956487.9</v>
      </c>
      <c r="DD196" s="361">
        <v>1205568.6499999999</v>
      </c>
      <c r="DE196" s="361">
        <v>756374.94</v>
      </c>
      <c r="DF196" s="361">
        <v>1250275.78</v>
      </c>
      <c r="DG196" s="361">
        <v>3040758.48</v>
      </c>
      <c r="DH196" s="361"/>
      <c r="DI196" s="361"/>
      <c r="DJ196" s="361"/>
      <c r="DK196" s="362"/>
    </row>
    <row r="197" spans="2:115" ht="13">
      <c r="B197" s="294"/>
      <c r="F197" s="296"/>
      <c r="J197" s="302"/>
      <c r="T197" s="295"/>
      <c r="AA197" s="295"/>
      <c r="AH197" s="295"/>
      <c r="AI197" s="188"/>
      <c r="AJ197" s="188"/>
      <c r="AK197" s="188"/>
      <c r="AL197" s="188"/>
      <c r="AM197" s="188"/>
      <c r="AN197" s="188"/>
      <c r="AO197" s="299"/>
      <c r="CI197" s="294"/>
      <c r="CJ197" s="294"/>
      <c r="CT197" s="302">
        <f t="shared" si="705"/>
        <v>112013297</v>
      </c>
      <c r="CU197" s="510">
        <v>22</v>
      </c>
      <c r="CV197" s="359" t="s">
        <v>756</v>
      </c>
      <c r="CW197" s="361">
        <v>11168098.52</v>
      </c>
      <c r="CX197" s="361">
        <v>579977.52</v>
      </c>
      <c r="CY197" s="361">
        <v>374376.59</v>
      </c>
      <c r="CZ197" s="361">
        <v>937469.81</v>
      </c>
      <c r="DA197" s="361">
        <v>1178136.1100000001</v>
      </c>
      <c r="DB197" s="361">
        <v>1250776.99</v>
      </c>
      <c r="DC197" s="361">
        <v>1635414.96</v>
      </c>
      <c r="DD197" s="361">
        <v>1667711.23</v>
      </c>
      <c r="DE197" s="361">
        <v>1238564.17</v>
      </c>
      <c r="DF197" s="361">
        <v>1583679.52</v>
      </c>
      <c r="DG197" s="361">
        <v>721991.62</v>
      </c>
      <c r="DH197" s="361"/>
      <c r="DI197" s="361"/>
      <c r="DJ197" s="361"/>
      <c r="DK197" s="362"/>
    </row>
    <row r="198" spans="2:115" ht="13">
      <c r="B198" s="294"/>
      <c r="F198" s="296"/>
      <c r="J198" s="302"/>
      <c r="T198" s="295"/>
      <c r="AA198" s="295"/>
      <c r="AH198" s="295"/>
      <c r="AI198" s="188"/>
      <c r="AJ198" s="188"/>
      <c r="AK198" s="188"/>
      <c r="AL198" s="188"/>
      <c r="AM198" s="188"/>
      <c r="AN198" s="188"/>
      <c r="AO198" s="299"/>
      <c r="CI198" s="294"/>
      <c r="CJ198" s="294"/>
      <c r="CT198" s="302">
        <f t="shared" si="705"/>
        <v>112013705</v>
      </c>
      <c r="CU198" s="510">
        <v>23</v>
      </c>
      <c r="CV198" s="359" t="s">
        <v>719</v>
      </c>
      <c r="CW198" s="361">
        <v>10191705.25</v>
      </c>
      <c r="CX198" s="361">
        <v>1306543.7</v>
      </c>
      <c r="CY198" s="361">
        <v>1607175.57</v>
      </c>
      <c r="CZ198" s="361">
        <v>718508.56</v>
      </c>
      <c r="DA198" s="361">
        <v>0</v>
      </c>
      <c r="DB198" s="361">
        <v>187657.86</v>
      </c>
      <c r="DC198" s="361">
        <v>1053180.1299999999</v>
      </c>
      <c r="DD198" s="361">
        <v>2668747.7400000002</v>
      </c>
      <c r="DE198" s="361">
        <v>1136814.1399999999</v>
      </c>
      <c r="DF198" s="361">
        <v>996500.51</v>
      </c>
      <c r="DG198" s="361">
        <v>516577.06</v>
      </c>
      <c r="DH198" s="361"/>
      <c r="DI198" s="361"/>
      <c r="DJ198" s="361"/>
      <c r="DK198" s="362"/>
    </row>
    <row r="199" spans="2:115" ht="13">
      <c r="B199" s="294"/>
      <c r="F199" s="296"/>
      <c r="J199" s="302"/>
      <c r="T199" s="295"/>
      <c r="AA199" s="295"/>
      <c r="AH199" s="295"/>
      <c r="AI199" s="188"/>
      <c r="AJ199" s="188"/>
      <c r="AK199" s="188"/>
      <c r="AL199" s="188"/>
      <c r="AM199" s="188"/>
      <c r="AN199" s="188"/>
      <c r="AO199" s="299"/>
      <c r="CI199" s="294"/>
      <c r="CJ199" s="294"/>
      <c r="CT199" s="302">
        <f t="shared" si="705"/>
        <v>112013270</v>
      </c>
      <c r="CU199" s="510">
        <v>24</v>
      </c>
      <c r="CV199" s="359" t="s">
        <v>721</v>
      </c>
      <c r="CW199" s="361">
        <v>9447174.0500000007</v>
      </c>
      <c r="CX199" s="361">
        <v>329131.69</v>
      </c>
      <c r="CY199" s="361">
        <v>1461197.34</v>
      </c>
      <c r="CZ199" s="361">
        <v>189091.64</v>
      </c>
      <c r="DA199" s="361">
        <v>552681.71</v>
      </c>
      <c r="DB199" s="361">
        <v>933957.21</v>
      </c>
      <c r="DC199" s="361">
        <v>588807.41</v>
      </c>
      <c r="DD199" s="361">
        <v>1911264.57</v>
      </c>
      <c r="DE199" s="361">
        <v>1162131.1000000001</v>
      </c>
      <c r="DF199" s="361">
        <v>1205793.76</v>
      </c>
      <c r="DG199" s="361">
        <v>1113117.6100000001</v>
      </c>
      <c r="DH199" s="361"/>
      <c r="DI199" s="361"/>
      <c r="DJ199" s="361"/>
      <c r="DK199" s="362"/>
    </row>
    <row r="200" spans="2:115" ht="13">
      <c r="B200" s="294"/>
      <c r="F200" s="296"/>
      <c r="J200" s="302"/>
      <c r="T200" s="295"/>
      <c r="AA200" s="295"/>
      <c r="AH200" s="295"/>
      <c r="AI200" s="188"/>
      <c r="AJ200" s="188"/>
      <c r="AK200" s="188"/>
      <c r="AL200" s="188"/>
      <c r="AM200" s="188"/>
      <c r="AN200" s="188"/>
      <c r="AO200" s="299"/>
      <c r="CI200" s="294"/>
      <c r="CJ200" s="294"/>
      <c r="CT200" s="302">
        <f t="shared" si="705"/>
        <v>112013868</v>
      </c>
      <c r="CU200" s="510">
        <v>25</v>
      </c>
      <c r="CV200" s="359" t="s">
        <v>724</v>
      </c>
      <c r="CW200" s="361">
        <v>8441851.4399999995</v>
      </c>
      <c r="CX200" s="361">
        <v>881667.51</v>
      </c>
      <c r="CY200" s="361">
        <v>811280.72</v>
      </c>
      <c r="CZ200" s="361">
        <v>495656</v>
      </c>
      <c r="DA200" s="361">
        <v>1095779.76</v>
      </c>
      <c r="DB200" s="361">
        <v>470710.75</v>
      </c>
      <c r="DC200" s="361">
        <v>643181.21</v>
      </c>
      <c r="DD200" s="361">
        <v>637866.54</v>
      </c>
      <c r="DE200" s="361">
        <v>1678029.97</v>
      </c>
      <c r="DF200" s="361">
        <v>631625.53</v>
      </c>
      <c r="DG200" s="361">
        <v>1096053.46</v>
      </c>
      <c r="DH200" s="365"/>
      <c r="DI200" s="365"/>
      <c r="DJ200" s="365"/>
      <c r="DK200" s="366"/>
    </row>
    <row r="201" spans="2:115" ht="13">
      <c r="B201" s="294"/>
      <c r="F201" s="296"/>
      <c r="J201" s="302"/>
      <c r="T201" s="295"/>
      <c r="AA201" s="295"/>
      <c r="AH201" s="295"/>
      <c r="AI201" s="188"/>
      <c r="AJ201" s="188"/>
      <c r="AK201" s="188"/>
      <c r="AL201" s="188"/>
      <c r="AM201" s="188"/>
      <c r="AN201" s="188"/>
      <c r="AO201" s="299"/>
      <c r="CI201" s="294"/>
      <c r="CJ201" s="294"/>
      <c r="CT201" s="302">
        <f t="shared" si="705"/>
        <v>112013242</v>
      </c>
      <c r="CU201" s="510">
        <v>26</v>
      </c>
      <c r="CV201" s="359" t="s">
        <v>732</v>
      </c>
      <c r="CW201" s="361">
        <v>7813118.5300000003</v>
      </c>
      <c r="CX201" s="361">
        <v>173118.19</v>
      </c>
      <c r="CY201" s="361">
        <v>608821.84</v>
      </c>
      <c r="CZ201" s="361">
        <v>510872</v>
      </c>
      <c r="DA201" s="361">
        <v>1352106.1</v>
      </c>
      <c r="DB201" s="361">
        <v>286804.63</v>
      </c>
      <c r="DC201" s="361">
        <v>856231.58</v>
      </c>
      <c r="DD201" s="361">
        <v>1547286.02</v>
      </c>
      <c r="DE201" s="361">
        <v>758392</v>
      </c>
      <c r="DF201" s="361">
        <v>106667.52</v>
      </c>
      <c r="DG201" s="361">
        <v>1612818.65</v>
      </c>
      <c r="DH201" s="361"/>
      <c r="DI201" s="361"/>
      <c r="DJ201" s="361"/>
      <c r="DK201" s="362"/>
    </row>
    <row r="202" spans="2:115" ht="13">
      <c r="B202" s="294"/>
      <c r="F202" s="296"/>
      <c r="J202" s="302"/>
      <c r="T202" s="295"/>
      <c r="AA202" s="295"/>
      <c r="AH202" s="295"/>
      <c r="AI202" s="188"/>
      <c r="AJ202" s="188"/>
      <c r="AK202" s="188"/>
      <c r="AL202" s="188"/>
      <c r="AM202" s="188"/>
      <c r="AN202" s="188"/>
      <c r="AO202" s="299"/>
      <c r="CI202" s="294"/>
      <c r="CJ202" s="294"/>
      <c r="CT202" s="302" t="e">
        <f t="shared" si="705"/>
        <v>#N/A</v>
      </c>
      <c r="CU202" s="510">
        <v>27</v>
      </c>
      <c r="CV202" s="359" t="s">
        <v>690</v>
      </c>
      <c r="CW202" s="361">
        <v>7362320.1100000003</v>
      </c>
      <c r="CX202" s="361">
        <v>0</v>
      </c>
      <c r="CY202" s="361">
        <v>0</v>
      </c>
      <c r="CZ202" s="361">
        <v>0</v>
      </c>
      <c r="DA202" s="361">
        <v>0</v>
      </c>
      <c r="DB202" s="361">
        <v>0</v>
      </c>
      <c r="DC202" s="361">
        <v>0</v>
      </c>
      <c r="DD202" s="361">
        <v>0</v>
      </c>
      <c r="DE202" s="361">
        <v>0</v>
      </c>
      <c r="DF202" s="361">
        <v>1791178.1</v>
      </c>
      <c r="DG202" s="361">
        <v>5571142.0199999996</v>
      </c>
      <c r="DH202" s="361"/>
      <c r="DI202" s="361"/>
      <c r="DJ202" s="361"/>
      <c r="DK202" s="362"/>
    </row>
    <row r="203" spans="2:115" ht="13">
      <c r="B203" s="294"/>
      <c r="F203" s="296"/>
      <c r="J203" s="302"/>
      <c r="T203" s="295"/>
      <c r="AA203" s="295"/>
      <c r="AH203" s="295"/>
      <c r="AI203" s="188"/>
      <c r="AJ203" s="188"/>
      <c r="AK203" s="188"/>
      <c r="AL203" s="188"/>
      <c r="AM203" s="188"/>
      <c r="AN203" s="188"/>
      <c r="AO203" s="299"/>
      <c r="CI203" s="294"/>
      <c r="CJ203" s="294"/>
      <c r="CT203" s="302">
        <f t="shared" si="705"/>
        <v>112012921</v>
      </c>
      <c r="CU203" s="510">
        <v>28</v>
      </c>
      <c r="CV203" s="359" t="s">
        <v>772</v>
      </c>
      <c r="CW203" s="361">
        <v>6869762.6200000001</v>
      </c>
      <c r="CX203" s="361">
        <v>1802590.45</v>
      </c>
      <c r="CY203" s="361">
        <v>1139597.01</v>
      </c>
      <c r="CZ203" s="361">
        <v>119790</v>
      </c>
      <c r="DA203" s="361">
        <v>357375</v>
      </c>
      <c r="DB203" s="361">
        <v>573847.46</v>
      </c>
      <c r="DC203" s="361">
        <v>346275.67</v>
      </c>
      <c r="DD203" s="361">
        <v>550436.98</v>
      </c>
      <c r="DE203" s="361">
        <v>226592.44</v>
      </c>
      <c r="DF203" s="361">
        <v>1222206.7</v>
      </c>
      <c r="DG203" s="361">
        <v>531050.91</v>
      </c>
      <c r="DH203" s="361"/>
      <c r="DI203" s="361"/>
      <c r="DJ203" s="361"/>
      <c r="DK203" s="362"/>
    </row>
    <row r="204" spans="2:115" ht="13">
      <c r="B204" s="294"/>
      <c r="F204" s="296"/>
      <c r="J204" s="302"/>
      <c r="T204" s="295"/>
      <c r="AA204" s="295"/>
      <c r="AH204" s="295"/>
      <c r="AI204" s="188"/>
      <c r="AJ204" s="188"/>
      <c r="AK204" s="188"/>
      <c r="AL204" s="188"/>
      <c r="AM204" s="188"/>
      <c r="AN204" s="188"/>
      <c r="AO204" s="299"/>
      <c r="CI204" s="294"/>
      <c r="CJ204" s="294"/>
      <c r="CT204" s="302">
        <f t="shared" si="705"/>
        <v>112014510</v>
      </c>
      <c r="CU204" s="510">
        <v>29</v>
      </c>
      <c r="CV204" s="359" t="s">
        <v>746</v>
      </c>
      <c r="CW204" s="361">
        <v>6685639.7199999997</v>
      </c>
      <c r="CX204" s="361">
        <v>0</v>
      </c>
      <c r="CY204" s="361">
        <v>0</v>
      </c>
      <c r="CZ204" s="361">
        <v>0</v>
      </c>
      <c r="DA204" s="361">
        <v>44133.599999999999</v>
      </c>
      <c r="DB204" s="361">
        <v>684340.43</v>
      </c>
      <c r="DC204" s="361">
        <v>797096.18</v>
      </c>
      <c r="DD204" s="361">
        <v>1761042.01</v>
      </c>
      <c r="DE204" s="361">
        <v>638992.19999999995</v>
      </c>
      <c r="DF204" s="361">
        <v>918901.21</v>
      </c>
      <c r="DG204" s="361">
        <v>1841134.09</v>
      </c>
      <c r="DH204" s="365"/>
      <c r="DI204" s="365"/>
      <c r="DJ204" s="365"/>
      <c r="DK204" s="366"/>
    </row>
    <row r="205" spans="2:115" ht="13">
      <c r="B205" s="294"/>
      <c r="F205" s="296"/>
      <c r="J205" s="302"/>
      <c r="T205" s="295"/>
      <c r="AA205" s="295"/>
      <c r="AH205" s="295"/>
      <c r="AI205" s="188"/>
      <c r="AJ205" s="188"/>
      <c r="AK205" s="188"/>
      <c r="AL205" s="188"/>
      <c r="AM205" s="188"/>
      <c r="AN205" s="188"/>
      <c r="AO205" s="299"/>
      <c r="CI205" s="294"/>
      <c r="CJ205" s="294"/>
      <c r="CT205" s="302">
        <f t="shared" si="705"/>
        <v>112013132</v>
      </c>
      <c r="CU205" s="510">
        <v>30</v>
      </c>
      <c r="CV205" s="359" t="s">
        <v>705</v>
      </c>
      <c r="CW205" s="361">
        <v>6676272.3600000003</v>
      </c>
      <c r="CX205" s="361">
        <v>0</v>
      </c>
      <c r="CY205" s="361">
        <v>528494.14</v>
      </c>
      <c r="CZ205" s="361">
        <v>947404.87</v>
      </c>
      <c r="DA205" s="361">
        <v>456703.52</v>
      </c>
      <c r="DB205" s="361">
        <v>573562.44999999995</v>
      </c>
      <c r="DC205" s="361">
        <v>609701.31999999995</v>
      </c>
      <c r="DD205" s="361">
        <v>649872.93999999994</v>
      </c>
      <c r="DE205" s="361">
        <v>970420.7</v>
      </c>
      <c r="DF205" s="361">
        <v>964672.69</v>
      </c>
      <c r="DG205" s="361">
        <v>975439.72</v>
      </c>
      <c r="DH205" s="361"/>
      <c r="DI205" s="361"/>
      <c r="DJ205" s="361"/>
      <c r="DK205" s="362"/>
    </row>
    <row r="206" spans="2:115" ht="13">
      <c r="B206" s="294"/>
      <c r="F206" s="296"/>
      <c r="J206" s="302"/>
      <c r="T206" s="295"/>
      <c r="AA206" s="295"/>
      <c r="AH206" s="295"/>
      <c r="AI206" s="188"/>
      <c r="AJ206" s="188"/>
      <c r="AK206" s="188"/>
      <c r="AL206" s="188"/>
      <c r="AM206" s="188"/>
      <c r="AN206" s="188"/>
      <c r="AO206" s="299"/>
      <c r="CI206" s="294"/>
      <c r="CJ206" s="294"/>
      <c r="CT206" s="302">
        <f t="shared" si="705"/>
        <v>112012876</v>
      </c>
      <c r="CU206" s="510">
        <v>31</v>
      </c>
      <c r="CV206" s="359" t="s">
        <v>713</v>
      </c>
      <c r="CW206" s="361">
        <v>6165479.1699999999</v>
      </c>
      <c r="CX206" s="361">
        <v>0</v>
      </c>
      <c r="CY206" s="361">
        <v>1920923.58</v>
      </c>
      <c r="CZ206" s="361">
        <v>17171.46</v>
      </c>
      <c r="DA206" s="361">
        <v>746995.56</v>
      </c>
      <c r="DB206" s="361">
        <v>315617.23</v>
      </c>
      <c r="DC206" s="361">
        <v>546906.91</v>
      </c>
      <c r="DD206" s="361">
        <v>848817.4</v>
      </c>
      <c r="DE206" s="361">
        <v>478229.35</v>
      </c>
      <c r="DF206" s="361">
        <v>374268.57</v>
      </c>
      <c r="DG206" s="361">
        <v>916549.12</v>
      </c>
      <c r="DH206" s="361"/>
      <c r="DI206" s="361"/>
      <c r="DJ206" s="361"/>
      <c r="DK206" s="362"/>
    </row>
    <row r="207" spans="2:115" ht="13">
      <c r="B207" s="294"/>
      <c r="F207" s="296"/>
      <c r="J207" s="302"/>
      <c r="T207" s="295"/>
      <c r="AA207" s="295"/>
      <c r="AH207" s="295"/>
      <c r="AI207" s="188"/>
      <c r="AJ207" s="188"/>
      <c r="AK207" s="188"/>
      <c r="AL207" s="188"/>
      <c r="AM207" s="188"/>
      <c r="AN207" s="188"/>
      <c r="AO207" s="299"/>
      <c r="CI207" s="294"/>
      <c r="CJ207" s="294"/>
      <c r="CT207" s="302">
        <f t="shared" si="705"/>
        <v>112013432</v>
      </c>
      <c r="CU207" s="510">
        <v>32</v>
      </c>
      <c r="CV207" s="359" t="s">
        <v>723</v>
      </c>
      <c r="CW207" s="361">
        <v>6048546.04</v>
      </c>
      <c r="CX207" s="361">
        <v>1148117.52</v>
      </c>
      <c r="CY207" s="361">
        <v>680241.6</v>
      </c>
      <c r="CZ207" s="361">
        <v>538881.42000000004</v>
      </c>
      <c r="DA207" s="361">
        <v>1386488.7</v>
      </c>
      <c r="DB207" s="361">
        <v>377216.84</v>
      </c>
      <c r="DC207" s="361">
        <v>377216.84</v>
      </c>
      <c r="DD207" s="361">
        <v>574051.43000000005</v>
      </c>
      <c r="DE207" s="361">
        <v>558937.78</v>
      </c>
      <c r="DF207" s="361">
        <v>0</v>
      </c>
      <c r="DG207" s="361">
        <v>407393.91</v>
      </c>
      <c r="DH207" s="361"/>
      <c r="DI207" s="361"/>
      <c r="DJ207" s="361"/>
      <c r="DK207" s="362"/>
    </row>
    <row r="208" spans="2:115" ht="13">
      <c r="B208" s="294"/>
      <c r="F208" s="296"/>
      <c r="J208" s="302"/>
      <c r="T208" s="295"/>
      <c r="AA208" s="295"/>
      <c r="AH208" s="295"/>
      <c r="AI208" s="188"/>
      <c r="AJ208" s="188"/>
      <c r="AK208" s="188"/>
      <c r="AL208" s="188"/>
      <c r="AM208" s="188"/>
      <c r="AN208" s="188"/>
      <c r="AO208" s="299"/>
      <c r="CI208" s="294"/>
      <c r="CJ208" s="294"/>
      <c r="CT208" s="302">
        <f t="shared" ref="CT208:CT239" si="706">VLOOKUP(CV208,BUELACARTERA,3,FALSE)</f>
        <v>112014576</v>
      </c>
      <c r="CU208" s="510">
        <v>33</v>
      </c>
      <c r="CV208" s="359" t="s">
        <v>704</v>
      </c>
      <c r="CW208" s="361">
        <v>5644753.2400000002</v>
      </c>
      <c r="CX208" s="361">
        <v>681408.95</v>
      </c>
      <c r="CY208" s="361">
        <v>465044.69</v>
      </c>
      <c r="CZ208" s="361">
        <v>513900.15</v>
      </c>
      <c r="DA208" s="361">
        <v>538464.77</v>
      </c>
      <c r="DB208" s="361">
        <v>289800.59000000003</v>
      </c>
      <c r="DC208" s="361">
        <v>430194.97</v>
      </c>
      <c r="DD208" s="361">
        <v>161972.18</v>
      </c>
      <c r="DE208" s="361">
        <v>985645.38</v>
      </c>
      <c r="DF208" s="361">
        <v>679844.56</v>
      </c>
      <c r="DG208" s="361">
        <v>898477</v>
      </c>
      <c r="DH208" s="365"/>
      <c r="DI208" s="365"/>
      <c r="DJ208" s="365"/>
      <c r="DK208" s="366"/>
    </row>
    <row r="209" spans="2:115" ht="13">
      <c r="B209" s="294"/>
      <c r="F209" s="296"/>
      <c r="J209" s="302"/>
      <c r="T209" s="295"/>
      <c r="AA209" s="295"/>
      <c r="AH209" s="295"/>
      <c r="AI209" s="188"/>
      <c r="AJ209" s="188"/>
      <c r="AK209" s="188"/>
      <c r="AL209" s="188"/>
      <c r="AM209" s="188"/>
      <c r="AN209" s="188"/>
      <c r="AO209" s="299"/>
      <c r="CI209" s="294"/>
      <c r="CJ209" s="294"/>
      <c r="CT209" s="302">
        <f t="shared" si="706"/>
        <v>112013277</v>
      </c>
      <c r="CU209" s="510">
        <v>34</v>
      </c>
      <c r="CV209" s="359" t="s">
        <v>758</v>
      </c>
      <c r="CW209" s="361">
        <v>5570336.8300000001</v>
      </c>
      <c r="CX209" s="361">
        <v>621813.43999999994</v>
      </c>
      <c r="CY209" s="361">
        <v>614467.98</v>
      </c>
      <c r="CZ209" s="361">
        <v>409824.64</v>
      </c>
      <c r="DA209" s="361">
        <v>477451.96</v>
      </c>
      <c r="DB209" s="361">
        <v>447548.29</v>
      </c>
      <c r="DC209" s="361">
        <v>589988.07999999996</v>
      </c>
      <c r="DD209" s="361">
        <v>416550.84</v>
      </c>
      <c r="DE209" s="361">
        <v>738851.68</v>
      </c>
      <c r="DF209" s="361">
        <v>593669.52</v>
      </c>
      <c r="DG209" s="361">
        <v>660170.4</v>
      </c>
      <c r="DH209" s="361"/>
      <c r="DI209" s="361"/>
      <c r="DJ209" s="361"/>
      <c r="DK209" s="362"/>
    </row>
    <row r="210" spans="2:115" ht="13">
      <c r="B210" s="294"/>
      <c r="F210" s="296"/>
      <c r="J210" s="302"/>
      <c r="T210" s="295"/>
      <c r="AA210" s="295"/>
      <c r="AH210" s="295"/>
      <c r="AI210" s="188"/>
      <c r="AJ210" s="188"/>
      <c r="AK210" s="188"/>
      <c r="AL210" s="188"/>
      <c r="AM210" s="188"/>
      <c r="AN210" s="188"/>
      <c r="AO210" s="299"/>
      <c r="CI210" s="294"/>
      <c r="CJ210" s="294"/>
      <c r="CT210" s="302">
        <f t="shared" si="706"/>
        <v>112012050</v>
      </c>
      <c r="CU210" s="510">
        <v>35</v>
      </c>
      <c r="CV210" s="359" t="s">
        <v>788</v>
      </c>
      <c r="CW210" s="361">
        <v>5414584.9299999997</v>
      </c>
      <c r="CX210" s="361">
        <v>307965.5</v>
      </c>
      <c r="CY210" s="361">
        <v>38832.29</v>
      </c>
      <c r="CZ210" s="361">
        <v>368211.58</v>
      </c>
      <c r="DA210" s="361">
        <v>409236.88</v>
      </c>
      <c r="DB210" s="361">
        <v>278900</v>
      </c>
      <c r="DC210" s="361">
        <v>135535.51999999999</v>
      </c>
      <c r="DD210" s="361">
        <v>751889.33</v>
      </c>
      <c r="DE210" s="361">
        <v>410051.51</v>
      </c>
      <c r="DF210" s="361">
        <v>1730880.79</v>
      </c>
      <c r="DG210" s="361">
        <v>983081.54</v>
      </c>
      <c r="DH210" s="361"/>
      <c r="DI210" s="361"/>
      <c r="DJ210" s="361"/>
      <c r="DK210" s="362"/>
    </row>
    <row r="211" spans="2:115" ht="13">
      <c r="B211" s="294"/>
      <c r="F211" s="296"/>
      <c r="J211" s="302"/>
      <c r="T211" s="295"/>
      <c r="AA211" s="295"/>
      <c r="AH211" s="295"/>
      <c r="AI211" s="188"/>
      <c r="AJ211" s="188"/>
      <c r="AK211" s="188"/>
      <c r="AL211" s="188"/>
      <c r="AM211" s="188"/>
      <c r="AN211" s="188"/>
      <c r="AO211" s="299"/>
      <c r="CI211" s="294"/>
      <c r="CJ211" s="294"/>
      <c r="CT211" s="302">
        <f t="shared" si="706"/>
        <v>112012846</v>
      </c>
      <c r="CU211" s="510">
        <v>36</v>
      </c>
      <c r="CV211" s="359" t="s">
        <v>808</v>
      </c>
      <c r="CW211" s="361">
        <v>5313659.55</v>
      </c>
      <c r="CX211" s="361">
        <v>395337.7</v>
      </c>
      <c r="CY211" s="361">
        <v>600883.61</v>
      </c>
      <c r="CZ211" s="361">
        <v>421462.69</v>
      </c>
      <c r="DA211" s="361">
        <v>429979.92</v>
      </c>
      <c r="DB211" s="361">
        <v>338593.92</v>
      </c>
      <c r="DC211" s="361">
        <v>550172.28</v>
      </c>
      <c r="DD211" s="361">
        <v>813171.84</v>
      </c>
      <c r="DE211" s="361">
        <v>550501.53</v>
      </c>
      <c r="DF211" s="361">
        <v>779313.65</v>
      </c>
      <c r="DG211" s="361">
        <v>434242.42</v>
      </c>
      <c r="DH211" s="361"/>
      <c r="DI211" s="361"/>
      <c r="DJ211" s="361"/>
      <c r="DK211" s="362"/>
    </row>
    <row r="212" spans="2:115" ht="13">
      <c r="B212" s="294"/>
      <c r="F212" s="296"/>
      <c r="J212" s="302"/>
      <c r="T212" s="295"/>
      <c r="AA212" s="295"/>
      <c r="AH212" s="295"/>
      <c r="AI212" s="188"/>
      <c r="AJ212" s="188"/>
      <c r="AK212" s="188"/>
      <c r="AL212" s="188"/>
      <c r="AM212" s="188"/>
      <c r="AN212" s="188"/>
      <c r="AO212" s="299"/>
      <c r="CI212" s="294"/>
      <c r="CJ212" s="294"/>
      <c r="CT212" s="302">
        <f t="shared" si="706"/>
        <v>112014495</v>
      </c>
      <c r="CU212" s="510">
        <v>37</v>
      </c>
      <c r="CV212" s="359" t="s">
        <v>729</v>
      </c>
      <c r="CW212" s="361">
        <v>5147550.3600000003</v>
      </c>
      <c r="CX212" s="361">
        <v>488364</v>
      </c>
      <c r="CY212" s="361">
        <v>459870.5</v>
      </c>
      <c r="CZ212" s="361">
        <v>425724.68</v>
      </c>
      <c r="DA212" s="361">
        <v>467686.75</v>
      </c>
      <c r="DB212" s="361">
        <v>614558.68999999994</v>
      </c>
      <c r="DC212" s="361">
        <v>587064.52</v>
      </c>
      <c r="DD212" s="361">
        <v>780480.31</v>
      </c>
      <c r="DE212" s="361">
        <v>505366.14</v>
      </c>
      <c r="DF212" s="361">
        <v>520696.13</v>
      </c>
      <c r="DG212" s="361">
        <v>297738.65000000002</v>
      </c>
      <c r="DH212" s="361"/>
      <c r="DI212" s="361"/>
      <c r="DJ212" s="361"/>
      <c r="DK212" s="362"/>
    </row>
    <row r="213" spans="2:115" ht="13">
      <c r="B213" s="294"/>
      <c r="F213" s="296"/>
      <c r="J213" s="302"/>
      <c r="T213" s="295"/>
      <c r="AA213" s="295"/>
      <c r="AH213" s="295"/>
      <c r="AI213" s="188"/>
      <c r="AJ213" s="188"/>
      <c r="AK213" s="188"/>
      <c r="AL213" s="188"/>
      <c r="AM213" s="188"/>
      <c r="AN213" s="188"/>
      <c r="AO213" s="299"/>
      <c r="CI213" s="294"/>
      <c r="CJ213" s="294"/>
      <c r="CT213" s="302">
        <f t="shared" si="706"/>
        <v>112012083</v>
      </c>
      <c r="CU213" s="510">
        <v>38</v>
      </c>
      <c r="CV213" s="359" t="s">
        <v>792</v>
      </c>
      <c r="CW213" s="361">
        <v>4524244</v>
      </c>
      <c r="CX213" s="361">
        <v>0</v>
      </c>
      <c r="CY213" s="361">
        <v>0</v>
      </c>
      <c r="CZ213" s="361">
        <v>0</v>
      </c>
      <c r="DA213" s="361">
        <v>1342200.33</v>
      </c>
      <c r="DB213" s="361">
        <v>0</v>
      </c>
      <c r="DC213" s="361">
        <v>1097463.76</v>
      </c>
      <c r="DD213" s="361">
        <v>0</v>
      </c>
      <c r="DE213" s="361">
        <v>574737.56999999995</v>
      </c>
      <c r="DF213" s="361">
        <v>0</v>
      </c>
      <c r="DG213" s="361">
        <v>1509842.34</v>
      </c>
      <c r="DH213" s="361"/>
      <c r="DI213" s="361"/>
      <c r="DJ213" s="361"/>
      <c r="DK213" s="362"/>
    </row>
    <row r="214" spans="2:115" ht="13">
      <c r="B214" s="294"/>
      <c r="F214" s="296"/>
      <c r="J214" s="302"/>
      <c r="T214" s="295"/>
      <c r="AA214" s="295"/>
      <c r="AH214" s="295"/>
      <c r="AI214" s="188"/>
      <c r="AJ214" s="188"/>
      <c r="AK214" s="188"/>
      <c r="AL214" s="188"/>
      <c r="AM214" s="188"/>
      <c r="AN214" s="188"/>
      <c r="AO214" s="299"/>
      <c r="CI214" s="294"/>
      <c r="CJ214" s="294"/>
      <c r="CT214" s="302">
        <f t="shared" si="706"/>
        <v>112011891</v>
      </c>
      <c r="CU214" s="510">
        <v>39</v>
      </c>
      <c r="CV214" s="359" t="s">
        <v>735</v>
      </c>
      <c r="CW214" s="361">
        <v>4311337.54</v>
      </c>
      <c r="CX214" s="361">
        <v>0</v>
      </c>
      <c r="CY214" s="361">
        <v>0</v>
      </c>
      <c r="CZ214" s="361">
        <v>86753.39</v>
      </c>
      <c r="DA214" s="361">
        <v>479448.64</v>
      </c>
      <c r="DB214" s="361">
        <v>488331.48</v>
      </c>
      <c r="DC214" s="361">
        <v>192848.76</v>
      </c>
      <c r="DD214" s="361">
        <v>613013.86</v>
      </c>
      <c r="DE214" s="361">
        <v>511315.59</v>
      </c>
      <c r="DF214" s="361">
        <v>310491.56</v>
      </c>
      <c r="DG214" s="361">
        <v>1629134.27</v>
      </c>
      <c r="DH214" s="361"/>
      <c r="DI214" s="361"/>
      <c r="DJ214" s="361"/>
      <c r="DK214" s="362"/>
    </row>
    <row r="215" spans="2:115" ht="13">
      <c r="B215" s="294"/>
      <c r="F215" s="296"/>
      <c r="J215" s="302"/>
      <c r="T215" s="295"/>
      <c r="AA215" s="295"/>
      <c r="AH215" s="295"/>
      <c r="AI215" s="188"/>
      <c r="AJ215" s="188"/>
      <c r="AK215" s="188"/>
      <c r="AL215" s="188"/>
      <c r="AM215" s="188"/>
      <c r="AN215" s="188"/>
      <c r="AO215" s="299"/>
      <c r="CI215" s="294"/>
      <c r="CJ215" s="294"/>
      <c r="CT215" s="302">
        <f t="shared" si="706"/>
        <v>112013896</v>
      </c>
      <c r="CU215" s="510">
        <v>40</v>
      </c>
      <c r="CV215" s="359" t="s">
        <v>730</v>
      </c>
      <c r="CW215" s="361">
        <v>4036981.58</v>
      </c>
      <c r="CX215" s="361">
        <v>237106.03</v>
      </c>
      <c r="CY215" s="361">
        <v>817481.42</v>
      </c>
      <c r="CZ215" s="361">
        <v>416714.16</v>
      </c>
      <c r="DA215" s="361">
        <v>0</v>
      </c>
      <c r="DB215" s="361">
        <v>434371.91</v>
      </c>
      <c r="DC215" s="361">
        <v>510920.15</v>
      </c>
      <c r="DD215" s="361">
        <v>208933.02</v>
      </c>
      <c r="DE215" s="361">
        <v>0</v>
      </c>
      <c r="DF215" s="361">
        <v>771470.48</v>
      </c>
      <c r="DG215" s="361">
        <v>639984.4</v>
      </c>
      <c r="DH215" s="361"/>
      <c r="DI215" s="361"/>
      <c r="DJ215" s="361"/>
      <c r="DK215" s="362"/>
    </row>
    <row r="216" spans="2:115" ht="13">
      <c r="B216" s="294"/>
      <c r="F216" s="296"/>
      <c r="J216" s="302"/>
      <c r="T216" s="295"/>
      <c r="AA216" s="295"/>
      <c r="AH216" s="295"/>
      <c r="AI216" s="188"/>
      <c r="AJ216" s="188"/>
      <c r="AK216" s="188"/>
      <c r="AL216" s="188"/>
      <c r="AM216" s="188"/>
      <c r="AN216" s="188"/>
      <c r="AO216" s="299"/>
      <c r="CI216" s="294"/>
      <c r="CJ216" s="294"/>
      <c r="CT216" s="302">
        <f t="shared" si="706"/>
        <v>112011888</v>
      </c>
      <c r="CU216" s="510">
        <v>41</v>
      </c>
      <c r="CV216" s="359" t="s">
        <v>669</v>
      </c>
      <c r="CW216" s="361">
        <v>3967084.97</v>
      </c>
      <c r="CX216" s="361">
        <v>0</v>
      </c>
      <c r="CY216" s="361">
        <v>-25848.28</v>
      </c>
      <c r="CZ216" s="361">
        <v>0</v>
      </c>
      <c r="DA216" s="361">
        <v>0</v>
      </c>
      <c r="DB216" s="361">
        <v>455404.39</v>
      </c>
      <c r="DC216" s="361">
        <v>616906.89</v>
      </c>
      <c r="DD216" s="361">
        <v>107945.7</v>
      </c>
      <c r="DE216" s="361">
        <v>394324.75</v>
      </c>
      <c r="DF216" s="361">
        <v>563930.61</v>
      </c>
      <c r="DG216" s="361">
        <v>1854420.92</v>
      </c>
      <c r="DH216" s="361"/>
      <c r="DI216" s="361"/>
      <c r="DJ216" s="361"/>
      <c r="DK216" s="362"/>
    </row>
    <row r="217" spans="2:115" ht="13">
      <c r="B217" s="294"/>
      <c r="F217" s="296"/>
      <c r="J217" s="302"/>
      <c r="T217" s="295"/>
      <c r="AA217" s="295"/>
      <c r="AH217" s="295"/>
      <c r="AI217" s="188"/>
      <c r="AJ217" s="188"/>
      <c r="AK217" s="188"/>
      <c r="AL217" s="188"/>
      <c r="AM217" s="188"/>
      <c r="AN217" s="188"/>
      <c r="AO217" s="299"/>
      <c r="CI217" s="294"/>
      <c r="CJ217" s="294"/>
      <c r="CT217" s="302">
        <f t="shared" si="706"/>
        <v>112013294</v>
      </c>
      <c r="CU217" s="510">
        <v>42</v>
      </c>
      <c r="CV217" s="359" t="s">
        <v>725</v>
      </c>
      <c r="CW217" s="361">
        <v>3604285.12</v>
      </c>
      <c r="CX217" s="361">
        <v>258417</v>
      </c>
      <c r="CY217" s="361">
        <v>0</v>
      </c>
      <c r="CZ217" s="361">
        <v>1506557.69</v>
      </c>
      <c r="DA217" s="361">
        <v>107180.15</v>
      </c>
      <c r="DB217" s="361">
        <v>367617.42</v>
      </c>
      <c r="DC217" s="361">
        <v>0</v>
      </c>
      <c r="DD217" s="361">
        <v>110473.11</v>
      </c>
      <c r="DE217" s="361">
        <v>298144.39</v>
      </c>
      <c r="DF217" s="361">
        <v>0</v>
      </c>
      <c r="DG217" s="361">
        <v>955895.36</v>
      </c>
      <c r="DH217" s="361"/>
      <c r="DI217" s="361"/>
      <c r="DJ217" s="361"/>
      <c r="DK217" s="362"/>
    </row>
    <row r="218" spans="2:115" ht="13">
      <c r="B218" s="294"/>
      <c r="F218" s="296"/>
      <c r="J218" s="302"/>
      <c r="T218" s="295"/>
      <c r="AA218" s="295"/>
      <c r="AH218" s="295"/>
      <c r="AI218" s="188"/>
      <c r="AJ218" s="188"/>
      <c r="AK218" s="188"/>
      <c r="AL218" s="188"/>
      <c r="AM218" s="188"/>
      <c r="AN218" s="188"/>
      <c r="AO218" s="299"/>
      <c r="CI218" s="294"/>
      <c r="CJ218" s="294"/>
      <c r="CT218" s="302">
        <f t="shared" si="706"/>
        <v>112012912</v>
      </c>
      <c r="CU218" s="510">
        <v>43</v>
      </c>
      <c r="CV218" s="359" t="s">
        <v>722</v>
      </c>
      <c r="CW218" s="361">
        <v>3569069.44</v>
      </c>
      <c r="CX218" s="361">
        <v>1072482.5</v>
      </c>
      <c r="CY218" s="361">
        <v>506466.07</v>
      </c>
      <c r="CZ218" s="361">
        <v>45144.72</v>
      </c>
      <c r="DA218" s="361">
        <v>266020.23</v>
      </c>
      <c r="DB218" s="361">
        <v>108727.97</v>
      </c>
      <c r="DC218" s="361">
        <v>624825.54</v>
      </c>
      <c r="DD218" s="361">
        <v>63315.42</v>
      </c>
      <c r="DE218" s="361">
        <v>497917.86</v>
      </c>
      <c r="DF218" s="361">
        <v>301074.03999999998</v>
      </c>
      <c r="DG218" s="361">
        <v>83095.09</v>
      </c>
      <c r="DH218" s="365"/>
      <c r="DI218" s="365"/>
      <c r="DJ218" s="365"/>
      <c r="DK218" s="366"/>
    </row>
    <row r="219" spans="2:115" ht="13">
      <c r="B219" s="294"/>
      <c r="F219" s="296"/>
      <c r="J219" s="302"/>
      <c r="T219" s="295"/>
      <c r="AA219" s="295"/>
      <c r="AH219" s="295"/>
      <c r="AI219" s="188"/>
      <c r="AJ219" s="188"/>
      <c r="AK219" s="188"/>
      <c r="AL219" s="188"/>
      <c r="AM219" s="188"/>
      <c r="AN219" s="188"/>
      <c r="AO219" s="299"/>
      <c r="CI219" s="294"/>
      <c r="CJ219" s="294"/>
      <c r="CT219" s="302" t="e">
        <f t="shared" si="706"/>
        <v>#N/A</v>
      </c>
      <c r="CU219" s="510">
        <v>44</v>
      </c>
      <c r="CV219" s="359" t="s">
        <v>694</v>
      </c>
      <c r="CW219" s="361">
        <v>3412003.32</v>
      </c>
      <c r="CX219" s="361">
        <v>0</v>
      </c>
      <c r="CY219" s="361">
        <v>0</v>
      </c>
      <c r="CZ219" s="361">
        <v>389685.76000000001</v>
      </c>
      <c r="DA219" s="361">
        <v>318443.2</v>
      </c>
      <c r="DB219" s="361">
        <v>629725.26</v>
      </c>
      <c r="DC219" s="361">
        <v>527020.54</v>
      </c>
      <c r="DD219" s="361">
        <v>748523.85</v>
      </c>
      <c r="DE219" s="361">
        <v>397437.3</v>
      </c>
      <c r="DF219" s="361">
        <v>324572.05</v>
      </c>
      <c r="DG219" s="361">
        <v>76595.37</v>
      </c>
      <c r="DH219" s="361"/>
      <c r="DI219" s="361"/>
      <c r="DJ219" s="361"/>
      <c r="DK219" s="362"/>
    </row>
    <row r="220" spans="2:115" ht="13">
      <c r="B220" s="294"/>
      <c r="F220" s="296"/>
      <c r="J220" s="302"/>
      <c r="T220" s="295"/>
      <c r="AA220" s="295"/>
      <c r="AH220" s="295"/>
      <c r="AI220" s="188"/>
      <c r="AJ220" s="188"/>
      <c r="AK220" s="188"/>
      <c r="AL220" s="188"/>
      <c r="AM220" s="188"/>
      <c r="AN220" s="188"/>
      <c r="AO220" s="299"/>
      <c r="CI220" s="294"/>
      <c r="CJ220" s="294"/>
      <c r="CT220" s="302">
        <f t="shared" si="706"/>
        <v>112012722</v>
      </c>
      <c r="CU220" s="510">
        <v>45</v>
      </c>
      <c r="CV220" s="359" t="s">
        <v>696</v>
      </c>
      <c r="CW220" s="361">
        <v>3350745.31</v>
      </c>
      <c r="CX220" s="361">
        <v>0</v>
      </c>
      <c r="CY220" s="361">
        <v>16848.61</v>
      </c>
      <c r="CZ220" s="361">
        <v>1110882.03</v>
      </c>
      <c r="DA220" s="361">
        <v>775235.65</v>
      </c>
      <c r="DB220" s="361">
        <v>80600.929999999993</v>
      </c>
      <c r="DC220" s="361">
        <v>452983.6</v>
      </c>
      <c r="DD220" s="361">
        <v>369009.78</v>
      </c>
      <c r="DE220" s="361">
        <v>0</v>
      </c>
      <c r="DF220" s="361">
        <v>404510.86</v>
      </c>
      <c r="DG220" s="361">
        <v>140673.85999999999</v>
      </c>
      <c r="DH220" s="365"/>
      <c r="DI220" s="365"/>
      <c r="DJ220" s="365"/>
      <c r="DK220" s="366"/>
    </row>
    <row r="221" spans="2:115" ht="13">
      <c r="B221" s="294"/>
      <c r="F221" s="296"/>
      <c r="J221" s="302"/>
      <c r="T221" s="295"/>
      <c r="AA221" s="295"/>
      <c r="AH221" s="295"/>
      <c r="AI221" s="188"/>
      <c r="AJ221" s="188"/>
      <c r="AK221" s="188"/>
      <c r="AL221" s="188"/>
      <c r="AM221" s="188"/>
      <c r="AN221" s="188"/>
      <c r="AO221" s="299"/>
      <c r="CI221" s="294"/>
      <c r="CJ221" s="294"/>
      <c r="CT221" s="302">
        <f t="shared" si="706"/>
        <v>112012839</v>
      </c>
      <c r="CU221" s="510">
        <v>46</v>
      </c>
      <c r="CV221" s="359" t="s">
        <v>711</v>
      </c>
      <c r="CW221" s="361">
        <v>3194185.28</v>
      </c>
      <c r="CX221" s="361">
        <v>406111.13</v>
      </c>
      <c r="CY221" s="361">
        <v>560721.18000000005</v>
      </c>
      <c r="CZ221" s="361">
        <v>295289.86</v>
      </c>
      <c r="DA221" s="361">
        <v>582601.28</v>
      </c>
      <c r="DB221" s="361">
        <v>407734.05</v>
      </c>
      <c r="DC221" s="361">
        <v>0</v>
      </c>
      <c r="DD221" s="361">
        <v>341463.59</v>
      </c>
      <c r="DE221" s="361">
        <v>0</v>
      </c>
      <c r="DF221" s="361">
        <v>226521.98</v>
      </c>
      <c r="DG221" s="361">
        <v>373742.22</v>
      </c>
      <c r="DH221" s="361"/>
      <c r="DI221" s="361"/>
      <c r="DJ221" s="361"/>
      <c r="DK221" s="362"/>
    </row>
    <row r="222" spans="2:115" ht="13">
      <c r="B222" s="294"/>
      <c r="F222" s="296"/>
      <c r="J222" s="302"/>
      <c r="T222" s="295"/>
      <c r="AA222" s="295"/>
      <c r="AH222" s="295"/>
      <c r="AI222" s="188"/>
      <c r="AJ222" s="188"/>
      <c r="AK222" s="188"/>
      <c r="AL222" s="188"/>
      <c r="AM222" s="188"/>
      <c r="AN222" s="188"/>
      <c r="AO222" s="299"/>
      <c r="CI222" s="294"/>
      <c r="CJ222" s="294"/>
      <c r="CT222" s="302">
        <f t="shared" si="706"/>
        <v>112014592</v>
      </c>
      <c r="CU222" s="510">
        <v>47</v>
      </c>
      <c r="CV222" s="359" t="s">
        <v>710</v>
      </c>
      <c r="CW222" s="361">
        <v>3179459.96</v>
      </c>
      <c r="CX222" s="361">
        <v>336422.49</v>
      </c>
      <c r="CY222" s="361">
        <v>895725.66</v>
      </c>
      <c r="CZ222" s="361">
        <v>620391.74</v>
      </c>
      <c r="DA222" s="361">
        <v>631301.31000000006</v>
      </c>
      <c r="DB222" s="361">
        <v>0</v>
      </c>
      <c r="DC222" s="361">
        <v>0</v>
      </c>
      <c r="DD222" s="361">
        <v>0</v>
      </c>
      <c r="DE222" s="361">
        <v>0</v>
      </c>
      <c r="DF222" s="361">
        <v>0</v>
      </c>
      <c r="DG222" s="361">
        <v>695618.76</v>
      </c>
      <c r="DH222" s="361"/>
      <c r="DI222" s="361"/>
      <c r="DJ222" s="361"/>
      <c r="DK222" s="362"/>
    </row>
    <row r="223" spans="2:115" ht="13">
      <c r="B223" s="294"/>
      <c r="F223" s="296"/>
      <c r="J223" s="302"/>
      <c r="T223" s="295"/>
      <c r="AA223" s="295"/>
      <c r="AH223" s="295"/>
      <c r="AI223" s="188"/>
      <c r="AJ223" s="188"/>
      <c r="AK223" s="188"/>
      <c r="AL223" s="188"/>
      <c r="AM223" s="188"/>
      <c r="AN223" s="188"/>
      <c r="AO223" s="299"/>
      <c r="CI223" s="294"/>
      <c r="CJ223" s="294"/>
      <c r="CT223" s="302">
        <f t="shared" si="706"/>
        <v>112011588</v>
      </c>
      <c r="CU223" s="510">
        <v>48</v>
      </c>
      <c r="CV223" s="359" t="s">
        <v>765</v>
      </c>
      <c r="CW223" s="361">
        <v>2950143.25</v>
      </c>
      <c r="CX223" s="361">
        <v>0</v>
      </c>
      <c r="CY223" s="361">
        <v>0</v>
      </c>
      <c r="CZ223" s="361">
        <v>0</v>
      </c>
      <c r="DA223" s="361">
        <v>438242.26</v>
      </c>
      <c r="DB223" s="361">
        <v>580592.75</v>
      </c>
      <c r="DC223" s="361">
        <v>194937.66</v>
      </c>
      <c r="DD223" s="361">
        <v>180832.63</v>
      </c>
      <c r="DE223" s="361">
        <v>745750.92</v>
      </c>
      <c r="DF223" s="361">
        <v>287658.64</v>
      </c>
      <c r="DG223" s="361">
        <v>522128.39</v>
      </c>
      <c r="DH223" s="361"/>
      <c r="DI223" s="361"/>
      <c r="DJ223" s="361"/>
      <c r="DK223" s="362"/>
    </row>
    <row r="224" spans="2:115" ht="13">
      <c r="B224" s="294"/>
      <c r="F224" s="296"/>
      <c r="J224" s="302"/>
      <c r="T224" s="295"/>
      <c r="AA224" s="295"/>
      <c r="AH224" s="295"/>
      <c r="AI224" s="188"/>
      <c r="AJ224" s="188"/>
      <c r="AK224" s="188"/>
      <c r="AL224" s="188"/>
      <c r="AM224" s="188"/>
      <c r="AN224" s="188"/>
      <c r="AO224" s="299"/>
      <c r="CI224" s="294"/>
      <c r="CJ224" s="294"/>
      <c r="CT224" s="302">
        <f t="shared" si="706"/>
        <v>112013438</v>
      </c>
      <c r="CU224" s="510">
        <v>49</v>
      </c>
      <c r="CV224" s="359" t="s">
        <v>782</v>
      </c>
      <c r="CW224" s="361">
        <v>2729788.2</v>
      </c>
      <c r="CX224" s="361">
        <v>230528.67</v>
      </c>
      <c r="CY224" s="361">
        <v>199382.27</v>
      </c>
      <c r="CZ224" s="361">
        <v>311970.3</v>
      </c>
      <c r="DA224" s="361">
        <v>381743.73</v>
      </c>
      <c r="DB224" s="361">
        <v>249225.42</v>
      </c>
      <c r="DC224" s="361">
        <v>225746.26</v>
      </c>
      <c r="DD224" s="361">
        <v>275962.76</v>
      </c>
      <c r="DE224" s="361">
        <v>236156.27</v>
      </c>
      <c r="DF224" s="361">
        <v>335233.44</v>
      </c>
      <c r="DG224" s="361">
        <v>283839.09000000003</v>
      </c>
      <c r="DH224" s="361"/>
      <c r="DI224" s="361"/>
      <c r="DJ224" s="361"/>
      <c r="DK224" s="362"/>
    </row>
    <row r="225" spans="2:115" ht="13">
      <c r="B225" s="294"/>
      <c r="F225" s="296"/>
      <c r="J225" s="302"/>
      <c r="T225" s="295"/>
      <c r="AA225" s="295"/>
      <c r="AH225" s="295"/>
      <c r="AI225" s="188"/>
      <c r="AJ225" s="188"/>
      <c r="AK225" s="188"/>
      <c r="AL225" s="188"/>
      <c r="AM225" s="188"/>
      <c r="AN225" s="188"/>
      <c r="AO225" s="299"/>
      <c r="CI225" s="294"/>
      <c r="CJ225" s="294"/>
      <c r="CT225" s="302">
        <f t="shared" si="706"/>
        <v>112013102</v>
      </c>
      <c r="CU225" s="510">
        <v>50</v>
      </c>
      <c r="CV225" s="359" t="s">
        <v>716</v>
      </c>
      <c r="CW225" s="361">
        <v>2713628.23</v>
      </c>
      <c r="CX225" s="361">
        <v>2049949.79</v>
      </c>
      <c r="CY225" s="361">
        <v>326048.09000000003</v>
      </c>
      <c r="CZ225" s="361">
        <v>0</v>
      </c>
      <c r="DA225" s="361">
        <v>337630.35</v>
      </c>
      <c r="DB225" s="361">
        <v>0</v>
      </c>
      <c r="DC225" s="361">
        <v>0</v>
      </c>
      <c r="DD225" s="361">
        <v>0</v>
      </c>
      <c r="DE225" s="361">
        <v>0</v>
      </c>
      <c r="DF225" s="361">
        <v>0</v>
      </c>
      <c r="DG225" s="361">
        <v>0</v>
      </c>
      <c r="DH225" s="361"/>
      <c r="DI225" s="361"/>
      <c r="DJ225" s="361"/>
      <c r="DK225" s="362"/>
    </row>
    <row r="226" spans="2:115" ht="13">
      <c r="B226" s="294"/>
      <c r="F226" s="296"/>
      <c r="J226" s="302"/>
      <c r="T226" s="295"/>
      <c r="AA226" s="295"/>
      <c r="AH226" s="295"/>
      <c r="AI226" s="188"/>
      <c r="AJ226" s="188"/>
      <c r="AK226" s="188"/>
      <c r="AL226" s="188"/>
      <c r="AM226" s="188"/>
      <c r="AN226" s="188"/>
      <c r="AO226" s="299"/>
      <c r="CI226" s="294"/>
      <c r="CJ226" s="294"/>
      <c r="CT226" s="302">
        <f t="shared" si="706"/>
        <v>112012875</v>
      </c>
      <c r="CU226" s="510">
        <v>51</v>
      </c>
      <c r="CV226" s="359" t="s">
        <v>791</v>
      </c>
      <c r="CW226" s="361">
        <v>2709159.75</v>
      </c>
      <c r="CX226" s="361">
        <v>411765.12</v>
      </c>
      <c r="CY226" s="361">
        <v>253505.9</v>
      </c>
      <c r="CZ226" s="361">
        <v>312126.51</v>
      </c>
      <c r="DA226" s="361">
        <v>223107.36</v>
      </c>
      <c r="DB226" s="361">
        <v>28965.83</v>
      </c>
      <c r="DC226" s="361">
        <v>397418.55</v>
      </c>
      <c r="DD226" s="361">
        <v>362142.31</v>
      </c>
      <c r="DE226" s="361">
        <v>0</v>
      </c>
      <c r="DF226" s="361">
        <v>642548.18000000005</v>
      </c>
      <c r="DG226" s="361">
        <v>77580</v>
      </c>
      <c r="DH226" s="365"/>
      <c r="DI226" s="365"/>
      <c r="DJ226" s="365"/>
      <c r="DK226" s="366"/>
    </row>
    <row r="227" spans="2:115" ht="13">
      <c r="B227" s="294"/>
      <c r="F227" s="296"/>
      <c r="J227" s="302"/>
      <c r="T227" s="295"/>
      <c r="AA227" s="295"/>
      <c r="AH227" s="295"/>
      <c r="AI227" s="188"/>
      <c r="AJ227" s="188"/>
      <c r="AK227" s="188"/>
      <c r="AL227" s="188"/>
      <c r="AM227" s="188"/>
      <c r="AN227" s="188"/>
      <c r="AO227" s="299"/>
      <c r="CI227" s="294"/>
      <c r="CJ227" s="294"/>
      <c r="CT227" s="302">
        <f t="shared" si="706"/>
        <v>112014046</v>
      </c>
      <c r="CU227" s="510">
        <v>52</v>
      </c>
      <c r="CV227" s="359" t="s">
        <v>761</v>
      </c>
      <c r="CW227" s="361">
        <v>2571699.71</v>
      </c>
      <c r="CX227" s="361">
        <v>673257.26</v>
      </c>
      <c r="CY227" s="361">
        <v>600041.85</v>
      </c>
      <c r="CZ227" s="361">
        <v>428786.42</v>
      </c>
      <c r="DA227" s="361">
        <v>359021.71</v>
      </c>
      <c r="DB227" s="361">
        <v>251937.36</v>
      </c>
      <c r="DC227" s="361">
        <v>180258.88</v>
      </c>
      <c r="DD227" s="361">
        <v>78396.240000000005</v>
      </c>
      <c r="DE227" s="361">
        <v>0</v>
      </c>
      <c r="DF227" s="361">
        <v>0</v>
      </c>
      <c r="DG227" s="361">
        <v>0</v>
      </c>
      <c r="DH227" s="361"/>
      <c r="DI227" s="361"/>
      <c r="DJ227" s="361"/>
      <c r="DK227" s="362"/>
    </row>
    <row r="228" spans="2:115" ht="13">
      <c r="B228" s="294"/>
      <c r="F228" s="296"/>
      <c r="J228" s="302"/>
      <c r="T228" s="295"/>
      <c r="AA228" s="295"/>
      <c r="AH228" s="295"/>
      <c r="AI228" s="188"/>
      <c r="AJ228" s="188"/>
      <c r="AK228" s="188"/>
      <c r="AL228" s="188"/>
      <c r="AM228" s="188"/>
      <c r="AN228" s="188"/>
      <c r="AO228" s="299"/>
      <c r="CI228" s="294"/>
      <c r="CJ228" s="294"/>
      <c r="CT228" s="302">
        <f t="shared" si="706"/>
        <v>112013448</v>
      </c>
      <c r="CU228" s="510">
        <v>53</v>
      </c>
      <c r="CV228" s="359" t="s">
        <v>749</v>
      </c>
      <c r="CW228" s="361">
        <v>2496654</v>
      </c>
      <c r="CX228" s="361">
        <v>499238.24</v>
      </c>
      <c r="CY228" s="361">
        <v>305004.32</v>
      </c>
      <c r="CZ228" s="361">
        <v>0</v>
      </c>
      <c r="DA228" s="361">
        <v>182857.92</v>
      </c>
      <c r="DB228" s="361">
        <v>296044.40000000002</v>
      </c>
      <c r="DC228" s="361">
        <v>0</v>
      </c>
      <c r="DD228" s="361">
        <v>477876.32</v>
      </c>
      <c r="DE228" s="361">
        <v>0</v>
      </c>
      <c r="DF228" s="361">
        <v>735632.8</v>
      </c>
      <c r="DG228" s="361">
        <v>0</v>
      </c>
      <c r="DH228" s="361"/>
      <c r="DI228" s="361"/>
      <c r="DJ228" s="361"/>
      <c r="DK228" s="362"/>
    </row>
    <row r="229" spans="2:115" ht="13">
      <c r="B229" s="294"/>
      <c r="F229" s="296"/>
      <c r="J229" s="302"/>
      <c r="T229" s="295"/>
      <c r="AA229" s="295"/>
      <c r="AH229" s="295"/>
      <c r="AI229" s="188"/>
      <c r="AJ229" s="188"/>
      <c r="AK229" s="188"/>
      <c r="AL229" s="188"/>
      <c r="AM229" s="188"/>
      <c r="AN229" s="188"/>
      <c r="AO229" s="299"/>
      <c r="CI229" s="294"/>
      <c r="CJ229" s="294"/>
      <c r="CT229" s="302">
        <f t="shared" si="706"/>
        <v>112014375</v>
      </c>
      <c r="CU229" s="510">
        <v>54</v>
      </c>
      <c r="CV229" s="359" t="s">
        <v>747</v>
      </c>
      <c r="CW229" s="361">
        <v>2379494.63</v>
      </c>
      <c r="CX229" s="361">
        <v>156272.64000000001</v>
      </c>
      <c r="CY229" s="361">
        <v>455224.96</v>
      </c>
      <c r="CZ229" s="361">
        <v>715236.08</v>
      </c>
      <c r="DA229" s="361">
        <v>218331.04</v>
      </c>
      <c r="DB229" s="361">
        <v>206562.4</v>
      </c>
      <c r="DC229" s="361">
        <v>225271.83</v>
      </c>
      <c r="DD229" s="361">
        <v>0</v>
      </c>
      <c r="DE229" s="361">
        <v>0</v>
      </c>
      <c r="DF229" s="361">
        <v>180760.64</v>
      </c>
      <c r="DG229" s="361">
        <v>221835.04</v>
      </c>
      <c r="DH229" s="361"/>
      <c r="DI229" s="361"/>
      <c r="DJ229" s="361"/>
      <c r="DK229" s="362"/>
    </row>
    <row r="230" spans="2:115" ht="13">
      <c r="B230" s="294"/>
      <c r="F230" s="296"/>
      <c r="J230" s="302"/>
      <c r="T230" s="295"/>
      <c r="AA230" s="295"/>
      <c r="AH230" s="295"/>
      <c r="AI230" s="188"/>
      <c r="AJ230" s="188"/>
      <c r="AK230" s="188"/>
      <c r="AL230" s="188"/>
      <c r="AM230" s="188"/>
      <c r="AN230" s="188"/>
      <c r="AO230" s="299"/>
      <c r="CI230" s="294"/>
      <c r="CJ230" s="294"/>
      <c r="CT230" s="302">
        <f t="shared" si="706"/>
        <v>112013335</v>
      </c>
      <c r="CU230" s="510">
        <v>55</v>
      </c>
      <c r="CV230" s="359" t="s">
        <v>804</v>
      </c>
      <c r="CW230" s="361">
        <v>2195901.56</v>
      </c>
      <c r="CX230" s="361">
        <v>119709.5</v>
      </c>
      <c r="CY230" s="361">
        <v>92235.04</v>
      </c>
      <c r="CZ230" s="361">
        <v>254178.05</v>
      </c>
      <c r="DA230" s="361">
        <v>199406.54</v>
      </c>
      <c r="DB230" s="361">
        <v>144821.46</v>
      </c>
      <c r="DC230" s="361">
        <v>225288.04</v>
      </c>
      <c r="DD230" s="361">
        <v>277480.09000000003</v>
      </c>
      <c r="DE230" s="361">
        <v>297078.12</v>
      </c>
      <c r="DF230" s="361">
        <v>165849.63</v>
      </c>
      <c r="DG230" s="361">
        <v>419855.09</v>
      </c>
      <c r="DH230" s="365"/>
      <c r="DI230" s="365"/>
      <c r="DJ230" s="365"/>
      <c r="DK230" s="366"/>
    </row>
    <row r="231" spans="2:115" ht="13">
      <c r="B231" s="294"/>
      <c r="F231" s="296"/>
      <c r="J231" s="302"/>
      <c r="T231" s="295"/>
      <c r="AA231" s="295"/>
      <c r="AH231" s="295"/>
      <c r="AI231" s="188"/>
      <c r="AJ231" s="188"/>
      <c r="AK231" s="188"/>
      <c r="AL231" s="188"/>
      <c r="AM231" s="188"/>
      <c r="AN231" s="188"/>
      <c r="AO231" s="299"/>
      <c r="CI231" s="294"/>
      <c r="CJ231" s="294"/>
      <c r="CT231" s="302">
        <f t="shared" si="706"/>
        <v>112012899</v>
      </c>
      <c r="CU231" s="510">
        <v>56</v>
      </c>
      <c r="CV231" s="359" t="s">
        <v>806</v>
      </c>
      <c r="CW231" s="361">
        <v>2131555.37</v>
      </c>
      <c r="CX231" s="361">
        <v>0</v>
      </c>
      <c r="CY231" s="361">
        <v>785285.12</v>
      </c>
      <c r="CZ231" s="361">
        <v>0</v>
      </c>
      <c r="DA231" s="361">
        <v>0</v>
      </c>
      <c r="DB231" s="361">
        <v>0</v>
      </c>
      <c r="DC231" s="361">
        <v>0</v>
      </c>
      <c r="DD231" s="361">
        <v>0</v>
      </c>
      <c r="DE231" s="361">
        <v>0</v>
      </c>
      <c r="DF231" s="361">
        <v>1346270.25</v>
      </c>
      <c r="DG231" s="361">
        <v>0</v>
      </c>
      <c r="DH231" s="365"/>
      <c r="DI231" s="365"/>
      <c r="DJ231" s="365"/>
      <c r="DK231" s="366"/>
    </row>
    <row r="232" spans="2:115" ht="13">
      <c r="B232" s="294"/>
      <c r="F232" s="296"/>
      <c r="J232" s="302"/>
      <c r="T232" s="295"/>
      <c r="AA232" s="295"/>
      <c r="AH232" s="295"/>
      <c r="AI232" s="188"/>
      <c r="AJ232" s="188"/>
      <c r="AK232" s="188"/>
      <c r="AL232" s="188"/>
      <c r="AM232" s="188"/>
      <c r="AN232" s="188"/>
      <c r="AO232" s="299"/>
      <c r="CI232" s="294"/>
      <c r="CJ232" s="294"/>
      <c r="CT232" s="302">
        <f t="shared" si="706"/>
        <v>112013989</v>
      </c>
      <c r="CU232" s="510">
        <v>57</v>
      </c>
      <c r="CV232" s="359" t="s">
        <v>767</v>
      </c>
      <c r="CW232" s="361">
        <v>2058325</v>
      </c>
      <c r="CX232" s="361">
        <v>0</v>
      </c>
      <c r="CY232" s="361">
        <v>80490.84</v>
      </c>
      <c r="CZ232" s="361">
        <v>99127.8</v>
      </c>
      <c r="DA232" s="361">
        <v>603001.28</v>
      </c>
      <c r="DB232" s="361">
        <v>423127.07</v>
      </c>
      <c r="DC232" s="361">
        <v>311807.46999999997</v>
      </c>
      <c r="DD232" s="361">
        <v>230015.18</v>
      </c>
      <c r="DE232" s="361">
        <v>179955.61</v>
      </c>
      <c r="DF232" s="361">
        <v>0</v>
      </c>
      <c r="DG232" s="361">
        <v>130799.75</v>
      </c>
      <c r="DH232" s="361"/>
      <c r="DI232" s="361"/>
      <c r="DJ232" s="361"/>
      <c r="DK232" s="362"/>
    </row>
    <row r="233" spans="2:115" ht="13">
      <c r="B233" s="294"/>
      <c r="F233" s="296"/>
      <c r="J233" s="302"/>
      <c r="T233" s="295"/>
      <c r="AA233" s="295"/>
      <c r="AH233" s="295"/>
      <c r="AI233" s="188"/>
      <c r="AJ233" s="188"/>
      <c r="AK233" s="188"/>
      <c r="AL233" s="188"/>
      <c r="AM233" s="188"/>
      <c r="AN233" s="188"/>
      <c r="AO233" s="299"/>
      <c r="CI233" s="294"/>
      <c r="CJ233" s="294"/>
      <c r="CT233" s="302">
        <f t="shared" si="706"/>
        <v>112014633</v>
      </c>
      <c r="CU233" s="510">
        <v>58</v>
      </c>
      <c r="CV233" s="359" t="s">
        <v>718</v>
      </c>
      <c r="CW233" s="361">
        <v>1995418.71</v>
      </c>
      <c r="CX233" s="361">
        <v>632069.73</v>
      </c>
      <c r="CY233" s="361">
        <v>47426.44</v>
      </c>
      <c r="CZ233" s="361">
        <v>108887.42</v>
      </c>
      <c r="DA233" s="361">
        <v>124660.64</v>
      </c>
      <c r="DB233" s="361">
        <v>201579.13</v>
      </c>
      <c r="DC233" s="361">
        <v>211091.8</v>
      </c>
      <c r="DD233" s="361">
        <v>551278.88</v>
      </c>
      <c r="DE233" s="361">
        <v>118424.67</v>
      </c>
      <c r="DF233" s="361">
        <v>0</v>
      </c>
      <c r="DG233" s="361">
        <v>0</v>
      </c>
      <c r="DH233" s="361"/>
      <c r="DI233" s="361"/>
      <c r="DJ233" s="361"/>
      <c r="DK233" s="362"/>
    </row>
    <row r="234" spans="2:115" ht="13">
      <c r="B234" s="294"/>
      <c r="F234" s="296"/>
      <c r="J234" s="302"/>
      <c r="T234" s="295"/>
      <c r="AA234" s="295"/>
      <c r="AH234" s="295"/>
      <c r="AI234" s="188"/>
      <c r="AJ234" s="188"/>
      <c r="AK234" s="188"/>
      <c r="AL234" s="188"/>
      <c r="AM234" s="188"/>
      <c r="AN234" s="188"/>
      <c r="AO234" s="299"/>
      <c r="CI234" s="294"/>
      <c r="CJ234" s="294"/>
      <c r="CT234" s="302">
        <f t="shared" si="706"/>
        <v>112013268</v>
      </c>
      <c r="CU234" s="510">
        <v>59</v>
      </c>
      <c r="CV234" s="359" t="s">
        <v>762</v>
      </c>
      <c r="CW234" s="361">
        <v>1706270</v>
      </c>
      <c r="CX234" s="361">
        <v>467508.4</v>
      </c>
      <c r="CY234" s="361">
        <v>239750.39999999999</v>
      </c>
      <c r="CZ234" s="361">
        <v>199779.44</v>
      </c>
      <c r="DA234" s="361">
        <v>78382.720000000001</v>
      </c>
      <c r="DB234" s="361">
        <v>93585.600000000006</v>
      </c>
      <c r="DC234" s="361">
        <v>412518.08</v>
      </c>
      <c r="DD234" s="361">
        <v>170251.2</v>
      </c>
      <c r="DE234" s="361">
        <v>0</v>
      </c>
      <c r="DF234" s="361">
        <v>44494.16</v>
      </c>
      <c r="DG234" s="361">
        <v>0</v>
      </c>
      <c r="DH234" s="361"/>
      <c r="DI234" s="361"/>
      <c r="DJ234" s="361"/>
      <c r="DK234" s="362"/>
    </row>
    <row r="235" spans="2:115" ht="13">
      <c r="B235" s="294"/>
      <c r="F235" s="296"/>
      <c r="J235" s="302"/>
      <c r="T235" s="295"/>
      <c r="AA235" s="295"/>
      <c r="AH235" s="295"/>
      <c r="AI235" s="188"/>
      <c r="AJ235" s="188"/>
      <c r="AK235" s="188"/>
      <c r="AL235" s="188"/>
      <c r="AM235" s="188"/>
      <c r="AN235" s="188"/>
      <c r="AO235" s="299"/>
      <c r="CI235" s="294"/>
      <c r="CJ235" s="294"/>
      <c r="CT235" s="302" t="e">
        <f t="shared" si="706"/>
        <v>#N/A</v>
      </c>
      <c r="CU235" s="510">
        <v>60</v>
      </c>
      <c r="CV235" s="359" t="s">
        <v>755</v>
      </c>
      <c r="CW235" s="361">
        <v>1664301.08</v>
      </c>
      <c r="CX235" s="361">
        <v>0</v>
      </c>
      <c r="CY235" s="361">
        <v>0</v>
      </c>
      <c r="CZ235" s="361">
        <v>0</v>
      </c>
      <c r="DA235" s="361">
        <v>0</v>
      </c>
      <c r="DB235" s="361">
        <v>0</v>
      </c>
      <c r="DC235" s="361">
        <v>0</v>
      </c>
      <c r="DD235" s="361">
        <v>0</v>
      </c>
      <c r="DE235" s="361">
        <v>314094.90999999997</v>
      </c>
      <c r="DF235" s="361">
        <v>546814.39</v>
      </c>
      <c r="DG235" s="361">
        <v>803391.78</v>
      </c>
      <c r="DH235" s="361"/>
      <c r="DI235" s="361"/>
      <c r="DJ235" s="361"/>
      <c r="DK235" s="362"/>
    </row>
    <row r="236" spans="2:115" ht="13">
      <c r="B236" s="294"/>
      <c r="F236" s="296"/>
      <c r="J236" s="302"/>
      <c r="T236" s="295"/>
      <c r="AA236" s="295"/>
      <c r="AH236" s="295"/>
      <c r="AI236" s="188"/>
      <c r="AJ236" s="188"/>
      <c r="AK236" s="188"/>
      <c r="AL236" s="188"/>
      <c r="AM236" s="188"/>
      <c r="AN236" s="188"/>
      <c r="AO236" s="299"/>
      <c r="CI236" s="294"/>
      <c r="CJ236" s="294"/>
      <c r="CT236" s="302">
        <f t="shared" si="706"/>
        <v>112014488</v>
      </c>
      <c r="CU236" s="510">
        <v>61</v>
      </c>
      <c r="CV236" s="359" t="s">
        <v>703</v>
      </c>
      <c r="CW236" s="361">
        <v>1651029.91</v>
      </c>
      <c r="CX236" s="361">
        <v>0</v>
      </c>
      <c r="CY236" s="361">
        <v>110153.54</v>
      </c>
      <c r="CZ236" s="361">
        <v>257764.7</v>
      </c>
      <c r="DA236" s="361">
        <v>604909.19999999995</v>
      </c>
      <c r="DB236" s="361">
        <v>0</v>
      </c>
      <c r="DC236" s="361">
        <v>0</v>
      </c>
      <c r="DD236" s="361">
        <v>0</v>
      </c>
      <c r="DE236" s="361">
        <v>319201.25</v>
      </c>
      <c r="DF236" s="361">
        <v>241756.83</v>
      </c>
      <c r="DG236" s="361">
        <v>117244.39</v>
      </c>
      <c r="DH236" s="361"/>
      <c r="DI236" s="361"/>
      <c r="DJ236" s="361"/>
      <c r="DK236" s="362"/>
    </row>
    <row r="237" spans="2:115" ht="13">
      <c r="B237" s="294"/>
      <c r="F237" s="296"/>
      <c r="J237" s="302"/>
      <c r="T237" s="295"/>
      <c r="AA237" s="295"/>
      <c r="AH237" s="295"/>
      <c r="AI237" s="188"/>
      <c r="AJ237" s="188"/>
      <c r="AK237" s="188"/>
      <c r="AL237" s="188"/>
      <c r="AM237" s="188"/>
      <c r="AN237" s="188"/>
      <c r="AO237" s="299"/>
      <c r="CI237" s="294"/>
      <c r="CJ237" s="294"/>
      <c r="CT237" s="302">
        <f t="shared" si="706"/>
        <v>112013819</v>
      </c>
      <c r="CU237" s="510">
        <v>62</v>
      </c>
      <c r="CV237" s="359" t="s">
        <v>720</v>
      </c>
      <c r="CW237" s="361">
        <v>1443898.49</v>
      </c>
      <c r="CX237" s="361">
        <v>0</v>
      </c>
      <c r="CY237" s="361">
        <v>132810.76</v>
      </c>
      <c r="CZ237" s="361">
        <v>0</v>
      </c>
      <c r="DA237" s="361">
        <v>235656.34</v>
      </c>
      <c r="DB237" s="361">
        <v>193712.37</v>
      </c>
      <c r="DC237" s="361">
        <v>173370.12</v>
      </c>
      <c r="DD237" s="361">
        <v>161094.63</v>
      </c>
      <c r="DE237" s="361">
        <v>0</v>
      </c>
      <c r="DF237" s="361">
        <v>365249.73</v>
      </c>
      <c r="DG237" s="361">
        <v>182004.55</v>
      </c>
      <c r="DH237" s="361"/>
      <c r="DI237" s="361"/>
      <c r="DJ237" s="361"/>
      <c r="DK237" s="362"/>
    </row>
    <row r="238" spans="2:115" ht="13">
      <c r="B238" s="294"/>
      <c r="F238" s="296"/>
      <c r="J238" s="302"/>
      <c r="T238" s="295"/>
      <c r="AA238" s="295"/>
      <c r="AH238" s="295"/>
      <c r="AI238" s="188"/>
      <c r="AJ238" s="188"/>
      <c r="AK238" s="188"/>
      <c r="AL238" s="188"/>
      <c r="AM238" s="188"/>
      <c r="AN238" s="188"/>
      <c r="AO238" s="299"/>
      <c r="CI238" s="294"/>
      <c r="CJ238" s="294"/>
      <c r="CT238" s="302">
        <f t="shared" si="706"/>
        <v>112013584</v>
      </c>
      <c r="CU238" s="510">
        <v>63</v>
      </c>
      <c r="CV238" s="359" t="s">
        <v>760</v>
      </c>
      <c r="CW238" s="361">
        <v>1276082.96</v>
      </c>
      <c r="CX238" s="361">
        <v>120577.60000000001</v>
      </c>
      <c r="CY238" s="361">
        <v>310061.52</v>
      </c>
      <c r="CZ238" s="361">
        <v>74650.240000000005</v>
      </c>
      <c r="DA238" s="361">
        <v>52228.49</v>
      </c>
      <c r="DB238" s="361">
        <v>371962.9</v>
      </c>
      <c r="DC238" s="361">
        <v>0</v>
      </c>
      <c r="DD238" s="361">
        <v>0</v>
      </c>
      <c r="DE238" s="361">
        <v>142262.1</v>
      </c>
      <c r="DF238" s="361">
        <v>0</v>
      </c>
      <c r="DG238" s="361">
        <v>204340.11</v>
      </c>
      <c r="DH238" s="361"/>
      <c r="DI238" s="361"/>
      <c r="DJ238" s="361"/>
      <c r="DK238" s="362"/>
    </row>
    <row r="239" spans="2:115" ht="13">
      <c r="B239" s="294"/>
      <c r="F239" s="296"/>
      <c r="J239" s="302"/>
      <c r="T239" s="295"/>
      <c r="AA239" s="295"/>
      <c r="AH239" s="295"/>
      <c r="AI239" s="188"/>
      <c r="AJ239" s="188"/>
      <c r="AK239" s="188"/>
      <c r="AL239" s="188"/>
      <c r="AM239" s="188"/>
      <c r="AN239" s="188"/>
      <c r="AO239" s="299"/>
      <c r="CI239" s="294"/>
      <c r="CJ239" s="294"/>
      <c r="CT239" s="302">
        <f t="shared" si="706"/>
        <v>112011935</v>
      </c>
      <c r="CU239" s="510">
        <v>64</v>
      </c>
      <c r="CV239" s="359" t="s">
        <v>784</v>
      </c>
      <c r="CW239" s="361">
        <v>1167895.32</v>
      </c>
      <c r="CX239" s="361">
        <v>0</v>
      </c>
      <c r="CY239" s="361">
        <v>0</v>
      </c>
      <c r="CZ239" s="361">
        <v>134749.63</v>
      </c>
      <c r="DA239" s="361">
        <v>114614.63</v>
      </c>
      <c r="DB239" s="361">
        <v>207269.22</v>
      </c>
      <c r="DC239" s="361">
        <v>32711.72</v>
      </c>
      <c r="DD239" s="361">
        <v>88080.26</v>
      </c>
      <c r="DE239" s="361">
        <v>168529.5</v>
      </c>
      <c r="DF239" s="361">
        <v>276184.75</v>
      </c>
      <c r="DG239" s="361">
        <v>145755.60999999999</v>
      </c>
      <c r="DH239" s="365"/>
      <c r="DI239" s="365"/>
      <c r="DJ239" s="365"/>
      <c r="DK239" s="366"/>
    </row>
    <row r="240" spans="2:115" ht="13">
      <c r="B240" s="294"/>
      <c r="F240" s="296"/>
      <c r="J240" s="302"/>
      <c r="T240" s="295"/>
      <c r="AA240" s="295"/>
      <c r="AH240" s="295"/>
      <c r="AI240" s="188"/>
      <c r="AJ240" s="188"/>
      <c r="AK240" s="188"/>
      <c r="AL240" s="188"/>
      <c r="AM240" s="188"/>
      <c r="AN240" s="188"/>
      <c r="AO240" s="299"/>
      <c r="CI240" s="294"/>
      <c r="CJ240" s="294"/>
      <c r="CT240" s="302">
        <f t="shared" ref="CT240:CT271" si="707">VLOOKUP(CV240,BUELACARTERA,3,FALSE)</f>
        <v>112013918</v>
      </c>
      <c r="CU240" s="510">
        <v>65</v>
      </c>
      <c r="CV240" s="359" t="s">
        <v>759</v>
      </c>
      <c r="CW240" s="361">
        <v>1165842.79</v>
      </c>
      <c r="CX240" s="361">
        <v>59861.68</v>
      </c>
      <c r="CY240" s="361">
        <v>73918.559999999998</v>
      </c>
      <c r="CZ240" s="361">
        <v>65601.52</v>
      </c>
      <c r="DA240" s="361">
        <v>123654.24</v>
      </c>
      <c r="DB240" s="361">
        <v>0</v>
      </c>
      <c r="DC240" s="361">
        <v>86638.32</v>
      </c>
      <c r="DD240" s="361">
        <v>105502.16</v>
      </c>
      <c r="DE240" s="361">
        <v>145842.34</v>
      </c>
      <c r="DF240" s="361">
        <v>242721.47</v>
      </c>
      <c r="DG240" s="361">
        <v>262102.5</v>
      </c>
      <c r="DH240" s="361"/>
      <c r="DI240" s="361"/>
      <c r="DJ240" s="361"/>
      <c r="DK240" s="362"/>
    </row>
    <row r="241" spans="2:115" ht="13">
      <c r="B241" s="294"/>
      <c r="F241" s="296"/>
      <c r="J241" s="302"/>
      <c r="T241" s="295"/>
      <c r="AA241" s="295"/>
      <c r="AH241" s="295"/>
      <c r="AI241" s="188"/>
      <c r="AJ241" s="188"/>
      <c r="AK241" s="188"/>
      <c r="AL241" s="188"/>
      <c r="AM241" s="188"/>
      <c r="AN241" s="188"/>
      <c r="AO241" s="299"/>
      <c r="CI241" s="294"/>
      <c r="CJ241" s="294"/>
      <c r="CT241" s="302">
        <f t="shared" si="707"/>
        <v>112013272</v>
      </c>
      <c r="CU241" s="510">
        <v>66</v>
      </c>
      <c r="CV241" s="359" t="s">
        <v>698</v>
      </c>
      <c r="CW241" s="361">
        <v>1141163.74</v>
      </c>
      <c r="CX241" s="361">
        <v>0</v>
      </c>
      <c r="CY241" s="361">
        <v>321157.17</v>
      </c>
      <c r="CZ241" s="361">
        <v>820006.57</v>
      </c>
      <c r="DA241" s="361">
        <v>0</v>
      </c>
      <c r="DB241" s="361">
        <v>0</v>
      </c>
      <c r="DC241" s="361">
        <v>0</v>
      </c>
      <c r="DD241" s="361">
        <v>0</v>
      </c>
      <c r="DE241" s="361">
        <v>0</v>
      </c>
      <c r="DF241" s="361">
        <v>0</v>
      </c>
      <c r="DG241" s="361">
        <v>0</v>
      </c>
      <c r="DH241" s="361"/>
      <c r="DI241" s="361"/>
      <c r="DJ241" s="361"/>
      <c r="DK241" s="362"/>
    </row>
    <row r="242" spans="2:115" ht="13">
      <c r="B242" s="294"/>
      <c r="F242" s="296"/>
      <c r="J242" s="302"/>
      <c r="T242" s="295"/>
      <c r="AA242" s="295"/>
      <c r="AH242" s="295"/>
      <c r="AI242" s="188"/>
      <c r="AJ242" s="188"/>
      <c r="AK242" s="188"/>
      <c r="AL242" s="188"/>
      <c r="AM242" s="188"/>
      <c r="AN242" s="188"/>
      <c r="AO242" s="299"/>
      <c r="CI242" s="294"/>
      <c r="CJ242" s="294"/>
      <c r="CT242" s="302" t="e">
        <f t="shared" si="707"/>
        <v>#N/A</v>
      </c>
      <c r="CU242" s="510">
        <v>67</v>
      </c>
      <c r="CV242" s="359" t="s">
        <v>707</v>
      </c>
      <c r="CW242" s="361">
        <v>1036195.21</v>
      </c>
      <c r="CX242" s="361">
        <v>0</v>
      </c>
      <c r="CY242" s="361">
        <v>0</v>
      </c>
      <c r="CZ242" s="361">
        <v>0</v>
      </c>
      <c r="DA242" s="361">
        <v>0</v>
      </c>
      <c r="DB242" s="361">
        <v>0</v>
      </c>
      <c r="DC242" s="361">
        <v>0</v>
      </c>
      <c r="DD242" s="361">
        <v>0</v>
      </c>
      <c r="DE242" s="361">
        <v>0</v>
      </c>
      <c r="DF242" s="361">
        <v>0</v>
      </c>
      <c r="DG242" s="361">
        <v>1036195.21</v>
      </c>
      <c r="DH242" s="361"/>
      <c r="DI242" s="361"/>
      <c r="DJ242" s="361"/>
      <c r="DK242" s="362"/>
    </row>
    <row r="243" spans="2:115" ht="13">
      <c r="B243" s="294"/>
      <c r="F243" s="296"/>
      <c r="J243" s="302"/>
      <c r="T243" s="295"/>
      <c r="AA243" s="295"/>
      <c r="AH243" s="295"/>
      <c r="AI243" s="188"/>
      <c r="AJ243" s="188"/>
      <c r="AK243" s="188"/>
      <c r="AL243" s="188"/>
      <c r="AM243" s="188"/>
      <c r="AN243" s="188"/>
      <c r="AO243" s="299"/>
      <c r="CI243" s="294"/>
      <c r="CJ243" s="294"/>
      <c r="CT243" s="302">
        <f t="shared" si="707"/>
        <v>112010867</v>
      </c>
      <c r="CU243" s="510">
        <v>68</v>
      </c>
      <c r="CV243" s="359" t="s">
        <v>781</v>
      </c>
      <c r="CW243" s="361">
        <v>1025367.08</v>
      </c>
      <c r="CX243" s="361">
        <v>107512.9</v>
      </c>
      <c r="CY243" s="361">
        <v>0</v>
      </c>
      <c r="CZ243" s="361">
        <v>50619.05</v>
      </c>
      <c r="DA243" s="361">
        <v>256252.41</v>
      </c>
      <c r="DB243" s="361">
        <v>41974.98</v>
      </c>
      <c r="DC243" s="361">
        <v>0</v>
      </c>
      <c r="DD243" s="361">
        <v>394257.83</v>
      </c>
      <c r="DE243" s="361">
        <v>0</v>
      </c>
      <c r="DF243" s="361">
        <v>174749.9</v>
      </c>
      <c r="DG243" s="361">
        <v>0</v>
      </c>
      <c r="DH243" s="365"/>
      <c r="DI243" s="365"/>
      <c r="DJ243" s="365"/>
      <c r="DK243" s="366"/>
    </row>
    <row r="244" spans="2:115" ht="13">
      <c r="B244" s="294"/>
      <c r="F244" s="296"/>
      <c r="J244" s="302"/>
      <c r="T244" s="295"/>
      <c r="AA244" s="295"/>
      <c r="AH244" s="295"/>
      <c r="AI244" s="188"/>
      <c r="AJ244" s="188"/>
      <c r="AK244" s="188"/>
      <c r="AL244" s="188"/>
      <c r="AM244" s="188"/>
      <c r="AN244" s="188"/>
      <c r="AO244" s="299"/>
      <c r="CI244" s="294"/>
      <c r="CJ244" s="294"/>
      <c r="CT244" s="302">
        <f t="shared" si="707"/>
        <v>112014386</v>
      </c>
      <c r="CU244" s="510">
        <v>69</v>
      </c>
      <c r="CV244" s="359" t="s">
        <v>807</v>
      </c>
      <c r="CW244" s="361">
        <v>1014683.38</v>
      </c>
      <c r="CX244" s="361">
        <v>0</v>
      </c>
      <c r="CY244" s="361">
        <v>0</v>
      </c>
      <c r="CZ244" s="361">
        <v>0</v>
      </c>
      <c r="DA244" s="361">
        <v>0</v>
      </c>
      <c r="DB244" s="361">
        <v>0</v>
      </c>
      <c r="DC244" s="361">
        <v>0</v>
      </c>
      <c r="DD244" s="361">
        <v>0</v>
      </c>
      <c r="DE244" s="361">
        <v>1014683.38</v>
      </c>
      <c r="DF244" s="361">
        <v>0</v>
      </c>
      <c r="DG244" s="361">
        <v>0</v>
      </c>
      <c r="DH244" s="361"/>
      <c r="DI244" s="361"/>
      <c r="DJ244" s="361"/>
      <c r="DK244" s="362"/>
    </row>
    <row r="245" spans="2:115" ht="13">
      <c r="B245" s="294"/>
      <c r="F245" s="296"/>
      <c r="J245" s="302"/>
      <c r="T245" s="295"/>
      <c r="AA245" s="295"/>
      <c r="AH245" s="295"/>
      <c r="AI245" s="188"/>
      <c r="AJ245" s="188"/>
      <c r="AK245" s="188"/>
      <c r="AL245" s="188"/>
      <c r="AM245" s="188"/>
      <c r="AN245" s="188"/>
      <c r="AO245" s="299"/>
      <c r="CI245" s="294"/>
      <c r="CJ245" s="294"/>
      <c r="CT245" s="302">
        <f t="shared" si="707"/>
        <v>112013290</v>
      </c>
      <c r="CU245" s="510">
        <v>70</v>
      </c>
      <c r="CV245" s="359" t="s">
        <v>796</v>
      </c>
      <c r="CW245" s="361">
        <v>1005767.6</v>
      </c>
      <c r="CX245" s="361">
        <v>505025.58</v>
      </c>
      <c r="CY245" s="361">
        <v>137551.04000000001</v>
      </c>
      <c r="CZ245" s="361">
        <v>0</v>
      </c>
      <c r="DA245" s="361">
        <v>67388.09</v>
      </c>
      <c r="DB245" s="361">
        <v>125403</v>
      </c>
      <c r="DC245" s="361">
        <v>0</v>
      </c>
      <c r="DD245" s="361">
        <v>89529</v>
      </c>
      <c r="DE245" s="361">
        <v>31460</v>
      </c>
      <c r="DF245" s="361">
        <v>49410.9</v>
      </c>
      <c r="DG245" s="361">
        <v>0</v>
      </c>
      <c r="DH245" s="361"/>
      <c r="DI245" s="361"/>
      <c r="DJ245" s="361"/>
      <c r="DK245" s="362"/>
    </row>
    <row r="246" spans="2:115" ht="13">
      <c r="B246" s="294"/>
      <c r="F246" s="296"/>
      <c r="J246" s="302"/>
      <c r="T246" s="295"/>
      <c r="AA246" s="295"/>
      <c r="AH246" s="295"/>
      <c r="AI246" s="188"/>
      <c r="AJ246" s="188"/>
      <c r="AK246" s="188"/>
      <c r="AL246" s="188"/>
      <c r="AM246" s="188"/>
      <c r="AN246" s="188"/>
      <c r="AO246" s="299"/>
      <c r="CI246" s="294"/>
      <c r="CJ246" s="294"/>
      <c r="CT246" s="302">
        <f t="shared" si="707"/>
        <v>112012133</v>
      </c>
      <c r="CU246" s="510">
        <v>71</v>
      </c>
      <c r="CV246" s="359" t="s">
        <v>766</v>
      </c>
      <c r="CW246" s="361">
        <v>984057.03</v>
      </c>
      <c r="CX246" s="361">
        <v>0</v>
      </c>
      <c r="CY246" s="361">
        <v>0</v>
      </c>
      <c r="CZ246" s="361">
        <v>322592</v>
      </c>
      <c r="DA246" s="361">
        <v>0</v>
      </c>
      <c r="DB246" s="361">
        <v>0</v>
      </c>
      <c r="DC246" s="361">
        <v>151407.6</v>
      </c>
      <c r="DD246" s="361">
        <v>0</v>
      </c>
      <c r="DE246" s="361">
        <v>171084.78</v>
      </c>
      <c r="DF246" s="361">
        <v>406849.58</v>
      </c>
      <c r="DG246" s="361">
        <v>-67876.929999999993</v>
      </c>
      <c r="DH246" s="361"/>
      <c r="DI246" s="361"/>
      <c r="DJ246" s="361"/>
      <c r="DK246" s="362"/>
    </row>
    <row r="247" spans="2:115" ht="13">
      <c r="B247" s="294"/>
      <c r="F247" s="296"/>
      <c r="J247" s="302"/>
      <c r="T247" s="295"/>
      <c r="AA247" s="295"/>
      <c r="AH247" s="295"/>
      <c r="AI247" s="188"/>
      <c r="AJ247" s="188"/>
      <c r="AK247" s="188"/>
      <c r="AL247" s="188"/>
      <c r="AM247" s="188"/>
      <c r="AN247" s="188"/>
      <c r="AO247" s="299"/>
      <c r="CI247" s="294"/>
      <c r="CJ247" s="294"/>
      <c r="CT247" s="302">
        <f t="shared" si="707"/>
        <v>112013322</v>
      </c>
      <c r="CU247" s="510">
        <v>72</v>
      </c>
      <c r="CV247" s="359" t="s">
        <v>775</v>
      </c>
      <c r="CW247" s="361">
        <v>950758.88</v>
      </c>
      <c r="CX247" s="361">
        <v>92762.6</v>
      </c>
      <c r="CY247" s="361">
        <v>0</v>
      </c>
      <c r="CZ247" s="361">
        <v>92762.63</v>
      </c>
      <c r="DA247" s="361">
        <v>0</v>
      </c>
      <c r="DB247" s="361">
        <v>206448.67</v>
      </c>
      <c r="DC247" s="361">
        <v>27755</v>
      </c>
      <c r="DD247" s="361">
        <v>110283.8</v>
      </c>
      <c r="DE247" s="361">
        <v>92975</v>
      </c>
      <c r="DF247" s="361">
        <v>111944.96000000001</v>
      </c>
      <c r="DG247" s="361">
        <v>215826.22</v>
      </c>
      <c r="DH247" s="361"/>
      <c r="DI247" s="361"/>
      <c r="DJ247" s="361"/>
      <c r="DK247" s="362"/>
    </row>
    <row r="248" spans="2:115" ht="13">
      <c r="B248" s="294"/>
      <c r="F248" s="296"/>
      <c r="J248" s="302"/>
      <c r="T248" s="295"/>
      <c r="AA248" s="295"/>
      <c r="AH248" s="295"/>
      <c r="AI248" s="188"/>
      <c r="AJ248" s="188"/>
      <c r="AK248" s="188"/>
      <c r="AL248" s="188"/>
      <c r="AM248" s="188"/>
      <c r="AN248" s="188"/>
      <c r="AO248" s="299"/>
      <c r="CI248" s="294"/>
      <c r="CJ248" s="294"/>
      <c r="CT248" s="302">
        <f t="shared" si="707"/>
        <v>112014246</v>
      </c>
      <c r="CU248" s="510">
        <v>73</v>
      </c>
      <c r="CV248" s="359" t="s">
        <v>819</v>
      </c>
      <c r="CW248" s="361">
        <v>901406.38</v>
      </c>
      <c r="CX248" s="361">
        <v>206757</v>
      </c>
      <c r="CY248" s="361">
        <v>287746.38</v>
      </c>
      <c r="CZ248" s="361">
        <v>270170.2</v>
      </c>
      <c r="DA248" s="361">
        <v>28170</v>
      </c>
      <c r="DB248" s="361">
        <v>108562.8</v>
      </c>
      <c r="DC248" s="361">
        <v>0</v>
      </c>
      <c r="DD248" s="361">
        <v>0</v>
      </c>
      <c r="DE248" s="361">
        <v>0</v>
      </c>
      <c r="DF248" s="361">
        <v>0</v>
      </c>
      <c r="DG248" s="361">
        <v>0</v>
      </c>
      <c r="DH248" s="361"/>
      <c r="DI248" s="361"/>
      <c r="DJ248" s="361"/>
      <c r="DK248" s="362"/>
    </row>
    <row r="249" spans="2:115" ht="13">
      <c r="B249" s="294"/>
      <c r="F249" s="296"/>
      <c r="J249" s="302"/>
      <c r="T249" s="295"/>
      <c r="AA249" s="295"/>
      <c r="AH249" s="295"/>
      <c r="AI249" s="188"/>
      <c r="AJ249" s="188"/>
      <c r="AK249" s="188"/>
      <c r="AL249" s="188"/>
      <c r="AM249" s="188"/>
      <c r="AN249" s="188"/>
      <c r="AO249" s="299"/>
      <c r="CI249" s="294"/>
      <c r="CJ249" s="294"/>
      <c r="CT249" s="302">
        <f t="shared" si="707"/>
        <v>112012929</v>
      </c>
      <c r="CU249" s="510">
        <v>74</v>
      </c>
      <c r="CV249" s="359" t="s">
        <v>734</v>
      </c>
      <c r="CW249" s="361">
        <v>803179.88</v>
      </c>
      <c r="CX249" s="361">
        <v>399667.03</v>
      </c>
      <c r="CY249" s="361">
        <v>0</v>
      </c>
      <c r="CZ249" s="361">
        <v>0</v>
      </c>
      <c r="DA249" s="361">
        <v>0</v>
      </c>
      <c r="DB249" s="361">
        <v>0</v>
      </c>
      <c r="DC249" s="361">
        <v>0</v>
      </c>
      <c r="DD249" s="361">
        <v>0</v>
      </c>
      <c r="DE249" s="361">
        <v>0</v>
      </c>
      <c r="DF249" s="361">
        <v>211252.85</v>
      </c>
      <c r="DG249" s="361">
        <v>192260</v>
      </c>
      <c r="DH249" s="365"/>
      <c r="DI249" s="365"/>
      <c r="DJ249" s="365"/>
      <c r="DK249" s="366"/>
    </row>
    <row r="250" spans="2:115" ht="13">
      <c r="B250" s="294"/>
      <c r="F250" s="296"/>
      <c r="J250" s="302"/>
      <c r="T250" s="295"/>
      <c r="AA250" s="295"/>
      <c r="AH250" s="295"/>
      <c r="AI250" s="188"/>
      <c r="AJ250" s="188"/>
      <c r="AK250" s="188"/>
      <c r="AL250" s="188"/>
      <c r="AM250" s="188"/>
      <c r="AN250" s="188"/>
      <c r="AO250" s="299"/>
      <c r="CI250" s="294"/>
      <c r="CJ250" s="294"/>
      <c r="CT250" s="302">
        <f t="shared" si="707"/>
        <v>112013320</v>
      </c>
      <c r="CU250" s="510">
        <v>75</v>
      </c>
      <c r="CV250" s="359" t="s">
        <v>748</v>
      </c>
      <c r="CW250" s="361">
        <v>802388.39</v>
      </c>
      <c r="CX250" s="361">
        <v>0</v>
      </c>
      <c r="CY250" s="361">
        <v>106300.88</v>
      </c>
      <c r="CZ250" s="361">
        <v>0</v>
      </c>
      <c r="DA250" s="361">
        <v>126030.16</v>
      </c>
      <c r="DB250" s="361">
        <v>0</v>
      </c>
      <c r="DC250" s="361">
        <v>94297.600000000006</v>
      </c>
      <c r="DD250" s="361">
        <v>126909.92</v>
      </c>
      <c r="DE250" s="361">
        <v>89311.44</v>
      </c>
      <c r="DF250" s="361">
        <v>102850.88</v>
      </c>
      <c r="DG250" s="361">
        <v>156687.51</v>
      </c>
      <c r="DH250" s="361"/>
      <c r="DI250" s="361"/>
      <c r="DJ250" s="361"/>
      <c r="DK250" s="362"/>
    </row>
    <row r="251" spans="2:115" ht="13">
      <c r="B251" s="294"/>
      <c r="F251" s="296"/>
      <c r="J251" s="302"/>
      <c r="T251" s="295"/>
      <c r="AA251" s="295"/>
      <c r="AH251" s="295"/>
      <c r="AI251" s="188"/>
      <c r="AJ251" s="188"/>
      <c r="AK251" s="188"/>
      <c r="AL251" s="188"/>
      <c r="AM251" s="188"/>
      <c r="AN251" s="188"/>
      <c r="AO251" s="299"/>
      <c r="CI251" s="294"/>
      <c r="CJ251" s="294"/>
      <c r="CT251" s="302">
        <f t="shared" si="707"/>
        <v>112012840</v>
      </c>
      <c r="CU251" s="510">
        <v>76</v>
      </c>
      <c r="CV251" s="359" t="s">
        <v>789</v>
      </c>
      <c r="CW251" s="361">
        <v>772293.14</v>
      </c>
      <c r="CX251" s="361">
        <v>0</v>
      </c>
      <c r="CY251" s="361">
        <v>0</v>
      </c>
      <c r="CZ251" s="361">
        <v>0</v>
      </c>
      <c r="DA251" s="361">
        <v>87390</v>
      </c>
      <c r="DB251" s="361">
        <v>0</v>
      </c>
      <c r="DC251" s="361">
        <v>0</v>
      </c>
      <c r="DD251" s="361">
        <v>0</v>
      </c>
      <c r="DE251" s="361">
        <v>192260</v>
      </c>
      <c r="DF251" s="361">
        <v>195281.14</v>
      </c>
      <c r="DG251" s="361">
        <v>297362</v>
      </c>
      <c r="DH251" s="361"/>
      <c r="DI251" s="361"/>
      <c r="DJ251" s="361"/>
      <c r="DK251" s="362"/>
    </row>
    <row r="252" spans="2:115" ht="13">
      <c r="B252" s="294"/>
      <c r="F252" s="296"/>
      <c r="J252" s="302"/>
      <c r="T252" s="295"/>
      <c r="AA252" s="295"/>
      <c r="AH252" s="295"/>
      <c r="AI252" s="188"/>
      <c r="AJ252" s="188"/>
      <c r="AK252" s="188"/>
      <c r="AL252" s="188"/>
      <c r="AM252" s="188"/>
      <c r="AN252" s="188"/>
      <c r="AO252" s="299"/>
      <c r="CI252" s="294"/>
      <c r="CJ252" s="294"/>
      <c r="CT252" s="302" t="e">
        <f t="shared" si="707"/>
        <v>#N/A</v>
      </c>
      <c r="CU252" s="510">
        <v>77</v>
      </c>
      <c r="CV252" s="359" t="s">
        <v>754</v>
      </c>
      <c r="CW252" s="361">
        <v>749645.91</v>
      </c>
      <c r="CX252" s="361">
        <v>0</v>
      </c>
      <c r="CY252" s="361">
        <v>0</v>
      </c>
      <c r="CZ252" s="361">
        <v>0</v>
      </c>
      <c r="DA252" s="361">
        <v>0</v>
      </c>
      <c r="DB252" s="361">
        <v>0</v>
      </c>
      <c r="DC252" s="361">
        <v>0</v>
      </c>
      <c r="DD252" s="361">
        <v>0</v>
      </c>
      <c r="DE252" s="361">
        <v>620754.41</v>
      </c>
      <c r="DF252" s="361">
        <v>0</v>
      </c>
      <c r="DG252" s="361">
        <v>128891.5</v>
      </c>
      <c r="DH252" s="361"/>
      <c r="DI252" s="361"/>
      <c r="DJ252" s="361"/>
      <c r="DK252" s="362"/>
    </row>
    <row r="253" spans="2:115" ht="13">
      <c r="B253" s="294"/>
      <c r="F253" s="296"/>
      <c r="J253" s="302"/>
      <c r="T253" s="295"/>
      <c r="AA253" s="295"/>
      <c r="AH253" s="295"/>
      <c r="AI253" s="188"/>
      <c r="AJ253" s="188"/>
      <c r="AK253" s="188"/>
      <c r="AL253" s="188"/>
      <c r="AM253" s="188"/>
      <c r="AN253" s="188"/>
      <c r="AO253" s="299"/>
      <c r="CI253" s="294"/>
      <c r="CJ253" s="294"/>
      <c r="CT253" s="302">
        <f t="shared" si="707"/>
        <v>112013885</v>
      </c>
      <c r="CU253" s="510">
        <v>78</v>
      </c>
      <c r="CV253" s="359" t="s">
        <v>757</v>
      </c>
      <c r="CW253" s="361">
        <v>681775.92</v>
      </c>
      <c r="CX253" s="361">
        <v>0</v>
      </c>
      <c r="CY253" s="361">
        <v>0</v>
      </c>
      <c r="CZ253" s="361">
        <v>0</v>
      </c>
      <c r="DA253" s="361">
        <v>0</v>
      </c>
      <c r="DB253" s="361">
        <v>427816.08</v>
      </c>
      <c r="DC253" s="361">
        <v>0</v>
      </c>
      <c r="DD253" s="361">
        <v>0</v>
      </c>
      <c r="DE253" s="361">
        <v>0</v>
      </c>
      <c r="DF253" s="361">
        <v>253959.84</v>
      </c>
      <c r="DG253" s="361">
        <v>0</v>
      </c>
      <c r="DH253" s="361"/>
      <c r="DI253" s="361"/>
      <c r="DJ253" s="361"/>
      <c r="DK253" s="362"/>
    </row>
    <row r="254" spans="2:115" ht="13">
      <c r="B254" s="294"/>
      <c r="F254" s="296"/>
      <c r="J254" s="302"/>
      <c r="T254" s="295"/>
      <c r="AA254" s="295"/>
      <c r="AH254" s="295"/>
      <c r="AI254" s="188"/>
      <c r="AJ254" s="188"/>
      <c r="AK254" s="188"/>
      <c r="AL254" s="188"/>
      <c r="AM254" s="188"/>
      <c r="AN254" s="188"/>
      <c r="AO254" s="299"/>
      <c r="CI254" s="294"/>
      <c r="CJ254" s="294"/>
      <c r="CT254" s="302">
        <f t="shared" si="707"/>
        <v>112013834</v>
      </c>
      <c r="CU254" s="510">
        <v>79</v>
      </c>
      <c r="CV254" s="359" t="s">
        <v>798</v>
      </c>
      <c r="CW254" s="361">
        <v>676276.27</v>
      </c>
      <c r="CX254" s="361">
        <v>297725.07</v>
      </c>
      <c r="CY254" s="361">
        <v>179500.2</v>
      </c>
      <c r="CZ254" s="361">
        <v>199051</v>
      </c>
      <c r="DA254" s="361">
        <v>0</v>
      </c>
      <c r="DB254" s="361">
        <v>0</v>
      </c>
      <c r="DC254" s="361">
        <v>0</v>
      </c>
      <c r="DD254" s="361">
        <v>0</v>
      </c>
      <c r="DE254" s="361">
        <v>0</v>
      </c>
      <c r="DF254" s="361">
        <v>0</v>
      </c>
      <c r="DG254" s="365">
        <v>0</v>
      </c>
      <c r="DH254" s="365"/>
      <c r="DI254" s="365"/>
      <c r="DJ254" s="365"/>
      <c r="DK254" s="366"/>
    </row>
    <row r="255" spans="2:115" ht="13">
      <c r="B255" s="294"/>
      <c r="F255" s="296"/>
      <c r="J255" s="302"/>
      <c r="T255" s="295"/>
      <c r="AA255" s="295"/>
      <c r="AH255" s="295"/>
      <c r="AI255" s="188"/>
      <c r="AJ255" s="188"/>
      <c r="AK255" s="188"/>
      <c r="AL255" s="188"/>
      <c r="AM255" s="188"/>
      <c r="AN255" s="188"/>
      <c r="AO255" s="299"/>
      <c r="CI255" s="294"/>
      <c r="CJ255" s="294"/>
      <c r="CT255" s="302">
        <f t="shared" si="707"/>
        <v>112012497</v>
      </c>
      <c r="CU255" s="510">
        <v>80</v>
      </c>
      <c r="CV255" s="359" t="s">
        <v>777</v>
      </c>
      <c r="CW255" s="361">
        <v>576172.12</v>
      </c>
      <c r="CX255" s="361">
        <v>128847.03999999999</v>
      </c>
      <c r="CY255" s="361">
        <v>0</v>
      </c>
      <c r="CZ255" s="361">
        <v>0</v>
      </c>
      <c r="DA255" s="361">
        <v>110266.28</v>
      </c>
      <c r="DB255" s="361">
        <v>0</v>
      </c>
      <c r="DC255" s="361">
        <v>0</v>
      </c>
      <c r="DD255" s="361">
        <v>161058.79999999999</v>
      </c>
      <c r="DE255" s="361">
        <v>0</v>
      </c>
      <c r="DF255" s="361">
        <v>0</v>
      </c>
      <c r="DG255" s="361">
        <v>176000</v>
      </c>
      <c r="DH255" s="361"/>
      <c r="DI255" s="361"/>
      <c r="DJ255" s="361"/>
      <c r="DK255" s="362"/>
    </row>
    <row r="256" spans="2:115" ht="13">
      <c r="B256" s="294"/>
      <c r="F256" s="296"/>
      <c r="J256" s="302"/>
      <c r="T256" s="295"/>
      <c r="AA256" s="295"/>
      <c r="AH256" s="295"/>
      <c r="AI256" s="188"/>
      <c r="AJ256" s="188"/>
      <c r="AK256" s="188"/>
      <c r="AL256" s="188"/>
      <c r="AM256" s="188"/>
      <c r="AN256" s="188"/>
      <c r="AO256" s="299"/>
      <c r="CI256" s="294"/>
      <c r="CJ256" s="294"/>
      <c r="CT256" s="302">
        <f t="shared" si="707"/>
        <v>112012879</v>
      </c>
      <c r="CU256" s="510">
        <v>81</v>
      </c>
      <c r="CV256" s="359" t="s">
        <v>741</v>
      </c>
      <c r="CW256" s="361">
        <v>564389.28</v>
      </c>
      <c r="CX256" s="361">
        <v>124431.54</v>
      </c>
      <c r="CY256" s="361">
        <v>0</v>
      </c>
      <c r="CZ256" s="361">
        <v>0</v>
      </c>
      <c r="DA256" s="361">
        <v>73062.899999999994</v>
      </c>
      <c r="DB256" s="361">
        <v>111259.51</v>
      </c>
      <c r="DC256" s="361">
        <v>0</v>
      </c>
      <c r="DD256" s="361">
        <v>133076.43</v>
      </c>
      <c r="DE256" s="361">
        <v>26536.98</v>
      </c>
      <c r="DF256" s="361">
        <v>81949.5</v>
      </c>
      <c r="DG256" s="361">
        <v>14072.42</v>
      </c>
      <c r="DH256" s="361"/>
      <c r="DI256" s="361"/>
      <c r="DJ256" s="361"/>
      <c r="DK256" s="362"/>
    </row>
    <row r="257" spans="2:115" ht="13">
      <c r="B257" s="294"/>
      <c r="F257" s="296"/>
      <c r="J257" s="302"/>
      <c r="T257" s="295"/>
      <c r="AA257" s="295"/>
      <c r="AH257" s="295"/>
      <c r="AI257" s="188"/>
      <c r="AJ257" s="188"/>
      <c r="AK257" s="188"/>
      <c r="AL257" s="188"/>
      <c r="AM257" s="188"/>
      <c r="AN257" s="188"/>
      <c r="AO257" s="299"/>
      <c r="CI257" s="294"/>
      <c r="CJ257" s="294"/>
      <c r="CT257" s="302">
        <f t="shared" si="707"/>
        <v>112014603</v>
      </c>
      <c r="CU257" s="510">
        <v>82</v>
      </c>
      <c r="CV257" s="359" t="s">
        <v>728</v>
      </c>
      <c r="CW257" s="361">
        <v>560531.57999999996</v>
      </c>
      <c r="CX257" s="361">
        <v>82609.27</v>
      </c>
      <c r="CY257" s="361">
        <v>113894.48</v>
      </c>
      <c r="CZ257" s="361">
        <v>184313.09</v>
      </c>
      <c r="DA257" s="361">
        <v>94443.46</v>
      </c>
      <c r="DB257" s="361">
        <v>26362.98</v>
      </c>
      <c r="DC257" s="361">
        <v>0</v>
      </c>
      <c r="DD257" s="361">
        <v>58908.3</v>
      </c>
      <c r="DE257" s="361">
        <v>0</v>
      </c>
      <c r="DF257" s="365">
        <v>0</v>
      </c>
      <c r="DG257" s="365">
        <v>0</v>
      </c>
      <c r="DH257" s="365"/>
      <c r="DI257" s="365"/>
      <c r="DJ257" s="365"/>
      <c r="DK257" s="366"/>
    </row>
    <row r="258" spans="2:115" ht="13">
      <c r="B258" s="294"/>
      <c r="F258" s="296"/>
      <c r="J258" s="302"/>
      <c r="T258" s="295"/>
      <c r="AA258" s="295"/>
      <c r="AH258" s="295"/>
      <c r="AI258" s="188"/>
      <c r="AJ258" s="188"/>
      <c r="AK258" s="188"/>
      <c r="AL258" s="188"/>
      <c r="AM258" s="188"/>
      <c r="AN258" s="188"/>
      <c r="AO258" s="299"/>
      <c r="CI258" s="294"/>
      <c r="CJ258" s="294"/>
      <c r="CT258" s="302">
        <f t="shared" si="707"/>
        <v>112013825</v>
      </c>
      <c r="CU258" s="510">
        <v>83</v>
      </c>
      <c r="CV258" s="359" t="s">
        <v>745</v>
      </c>
      <c r="CW258" s="361">
        <v>511464.22</v>
      </c>
      <c r="CX258" s="361">
        <v>83117.05</v>
      </c>
      <c r="CY258" s="361">
        <v>29663.56</v>
      </c>
      <c r="CZ258" s="361">
        <v>85152.72</v>
      </c>
      <c r="DA258" s="361">
        <v>117574.08</v>
      </c>
      <c r="DB258" s="361">
        <v>0</v>
      </c>
      <c r="DC258" s="361">
        <v>195956.8</v>
      </c>
      <c r="DD258" s="361">
        <v>0</v>
      </c>
      <c r="DE258" s="361">
        <v>0</v>
      </c>
      <c r="DF258" s="361">
        <v>0</v>
      </c>
      <c r="DG258" s="361">
        <v>0</v>
      </c>
      <c r="DH258" s="361"/>
      <c r="DI258" s="361"/>
      <c r="DJ258" s="361"/>
      <c r="DK258" s="362"/>
    </row>
    <row r="259" spans="2:115" ht="13">
      <c r="B259" s="294"/>
      <c r="F259" s="296"/>
      <c r="J259" s="302"/>
      <c r="T259" s="295"/>
      <c r="AA259" s="295"/>
      <c r="AH259" s="295"/>
      <c r="AI259" s="188"/>
      <c r="AJ259" s="188"/>
      <c r="AK259" s="188"/>
      <c r="AL259" s="188"/>
      <c r="AM259" s="188"/>
      <c r="AN259" s="188"/>
      <c r="AO259" s="299"/>
      <c r="CI259" s="294"/>
      <c r="CJ259" s="294"/>
      <c r="CT259" s="302">
        <f t="shared" si="707"/>
        <v>112013823</v>
      </c>
      <c r="CU259" s="510">
        <v>84</v>
      </c>
      <c r="CV259" s="359" t="s">
        <v>783</v>
      </c>
      <c r="CW259" s="361">
        <v>488185.8</v>
      </c>
      <c r="CX259" s="361">
        <v>61437.4</v>
      </c>
      <c r="CY259" s="361">
        <v>30718.7</v>
      </c>
      <c r="CZ259" s="361">
        <v>28393.919999999998</v>
      </c>
      <c r="DA259" s="361">
        <v>68640.88</v>
      </c>
      <c r="DB259" s="365">
        <v>0</v>
      </c>
      <c r="DC259" s="361">
        <v>79877.98</v>
      </c>
      <c r="DD259" s="361">
        <v>74534.05</v>
      </c>
      <c r="DE259" s="361">
        <v>110935.58</v>
      </c>
      <c r="DF259" s="365">
        <v>0</v>
      </c>
      <c r="DG259" s="361">
        <v>33647.279999999999</v>
      </c>
      <c r="DH259" s="365"/>
      <c r="DI259" s="365"/>
      <c r="DJ259" s="365"/>
      <c r="DK259" s="366"/>
    </row>
    <row r="260" spans="2:115" ht="13">
      <c r="B260" s="294"/>
      <c r="F260" s="296"/>
      <c r="J260" s="302"/>
      <c r="T260" s="295"/>
      <c r="AA260" s="295"/>
      <c r="AH260" s="295"/>
      <c r="AI260" s="188"/>
      <c r="AJ260" s="188"/>
      <c r="AK260" s="188"/>
      <c r="AL260" s="188"/>
      <c r="AM260" s="188"/>
      <c r="AN260" s="188"/>
      <c r="AO260" s="299"/>
      <c r="CI260" s="294"/>
      <c r="CJ260" s="294"/>
      <c r="CT260" s="302">
        <f t="shared" si="707"/>
        <v>112010927</v>
      </c>
      <c r="CU260" s="510">
        <v>85</v>
      </c>
      <c r="CV260" s="359" t="s">
        <v>742</v>
      </c>
      <c r="CW260" s="361">
        <v>405037.56</v>
      </c>
      <c r="CX260" s="361">
        <v>0</v>
      </c>
      <c r="CY260" s="361">
        <v>61499.57</v>
      </c>
      <c r="CZ260" s="361">
        <v>0</v>
      </c>
      <c r="DA260" s="361">
        <v>154812.06</v>
      </c>
      <c r="DB260" s="361">
        <v>188725.94</v>
      </c>
      <c r="DC260" s="365">
        <v>0</v>
      </c>
      <c r="DD260" s="365">
        <v>0</v>
      </c>
      <c r="DE260" s="361">
        <v>0</v>
      </c>
      <c r="DF260" s="365">
        <v>0</v>
      </c>
      <c r="DG260" s="365">
        <v>0</v>
      </c>
      <c r="DH260" s="365"/>
      <c r="DI260" s="365"/>
      <c r="DJ260" s="365"/>
      <c r="DK260" s="366"/>
    </row>
    <row r="261" spans="2:115" ht="13">
      <c r="B261" s="294"/>
      <c r="F261" s="296"/>
      <c r="J261" s="302"/>
      <c r="T261" s="295"/>
      <c r="AA261" s="295"/>
      <c r="AH261" s="295"/>
      <c r="AI261" s="188"/>
      <c r="AJ261" s="188"/>
      <c r="AK261" s="188"/>
      <c r="AL261" s="188"/>
      <c r="AM261" s="188"/>
      <c r="AN261" s="188"/>
      <c r="AO261" s="299"/>
      <c r="CI261" s="294"/>
      <c r="CJ261" s="294"/>
      <c r="CT261" s="302">
        <f t="shared" si="707"/>
        <v>112013296</v>
      </c>
      <c r="CU261" s="510">
        <v>86</v>
      </c>
      <c r="CV261" s="359" t="s">
        <v>744</v>
      </c>
      <c r="CW261" s="361">
        <v>334926.48</v>
      </c>
      <c r="CX261" s="361">
        <v>68141.600000000006</v>
      </c>
      <c r="CY261" s="361">
        <v>142280.07999999999</v>
      </c>
      <c r="CZ261" s="365">
        <v>0</v>
      </c>
      <c r="DA261" s="361">
        <v>124504.8</v>
      </c>
      <c r="DB261" s="365">
        <v>0</v>
      </c>
      <c r="DC261" s="361">
        <v>0</v>
      </c>
      <c r="DD261" s="365">
        <v>0</v>
      </c>
      <c r="DE261" s="365">
        <v>0</v>
      </c>
      <c r="DF261" s="365">
        <v>0</v>
      </c>
      <c r="DG261" s="365">
        <v>0</v>
      </c>
      <c r="DH261" s="365"/>
      <c r="DI261" s="365"/>
      <c r="DJ261" s="365"/>
      <c r="DK261" s="366"/>
    </row>
    <row r="262" spans="2:115" ht="13">
      <c r="B262" s="294"/>
      <c r="F262" s="296"/>
      <c r="J262" s="302"/>
      <c r="T262" s="295"/>
      <c r="AA262" s="295"/>
      <c r="AH262" s="295"/>
      <c r="AI262" s="188"/>
      <c r="AJ262" s="188"/>
      <c r="AK262" s="188"/>
      <c r="AL262" s="188"/>
      <c r="AM262" s="188"/>
      <c r="AN262" s="188"/>
      <c r="AO262" s="299"/>
      <c r="CI262" s="294"/>
      <c r="CJ262" s="294"/>
      <c r="CT262" s="302">
        <f t="shared" si="707"/>
        <v>112014102</v>
      </c>
      <c r="CU262" s="510">
        <v>87</v>
      </c>
      <c r="CV262" s="359" t="s">
        <v>770</v>
      </c>
      <c r="CW262" s="361">
        <v>325118.81</v>
      </c>
      <c r="CX262" s="361">
        <v>64229.21</v>
      </c>
      <c r="CY262" s="361">
        <v>143800.4</v>
      </c>
      <c r="CZ262" s="361">
        <v>0</v>
      </c>
      <c r="DA262" s="361">
        <v>49856</v>
      </c>
      <c r="DB262" s="361">
        <v>0</v>
      </c>
      <c r="DC262" s="361">
        <v>67233.2</v>
      </c>
      <c r="DD262" s="365">
        <v>0</v>
      </c>
      <c r="DE262" s="365">
        <v>0</v>
      </c>
      <c r="DF262" s="365">
        <v>0</v>
      </c>
      <c r="DG262" s="365">
        <v>0</v>
      </c>
      <c r="DH262" s="365"/>
      <c r="DI262" s="365"/>
      <c r="DJ262" s="365"/>
      <c r="DK262" s="366"/>
    </row>
    <row r="263" spans="2:115" ht="13">
      <c r="B263" s="294"/>
      <c r="F263" s="296"/>
      <c r="J263" s="302"/>
      <c r="T263" s="295"/>
      <c r="AA263" s="295"/>
      <c r="AH263" s="295"/>
      <c r="AI263" s="188"/>
      <c r="AJ263" s="188"/>
      <c r="AK263" s="188"/>
      <c r="AL263" s="188"/>
      <c r="AM263" s="188"/>
      <c r="AN263" s="188"/>
      <c r="AO263" s="299"/>
      <c r="CI263" s="294"/>
      <c r="CJ263" s="294"/>
      <c r="CT263" s="302">
        <f t="shared" si="707"/>
        <v>112014353</v>
      </c>
      <c r="CU263" s="510">
        <v>88</v>
      </c>
      <c r="CV263" s="359" t="s">
        <v>763</v>
      </c>
      <c r="CW263" s="361">
        <v>299879.33</v>
      </c>
      <c r="CX263" s="361">
        <v>13141.69</v>
      </c>
      <c r="CY263" s="361">
        <v>91847.87</v>
      </c>
      <c r="CZ263" s="361">
        <v>109543.12</v>
      </c>
      <c r="DA263" s="361">
        <v>56678.1</v>
      </c>
      <c r="DB263" s="361">
        <v>28668.560000000001</v>
      </c>
      <c r="DC263" s="361">
        <v>0</v>
      </c>
      <c r="DD263" s="361">
        <v>0</v>
      </c>
      <c r="DE263" s="361">
        <v>0</v>
      </c>
      <c r="DF263" s="361">
        <v>0</v>
      </c>
      <c r="DG263" s="361">
        <v>0</v>
      </c>
      <c r="DH263" s="361"/>
      <c r="DI263" s="361"/>
      <c r="DJ263" s="361"/>
      <c r="DK263" s="362"/>
    </row>
    <row r="264" spans="2:115" ht="13">
      <c r="B264" s="294"/>
      <c r="F264" s="296"/>
      <c r="J264" s="302"/>
      <c r="T264" s="295"/>
      <c r="AA264" s="295"/>
      <c r="AH264" s="295"/>
      <c r="AI264" s="188"/>
      <c r="AJ264" s="188"/>
      <c r="AK264" s="188"/>
      <c r="AL264" s="188"/>
      <c r="AM264" s="188"/>
      <c r="AN264" s="188"/>
      <c r="AO264" s="299"/>
      <c r="CI264" s="294"/>
      <c r="CJ264" s="294"/>
      <c r="CT264" s="302">
        <f t="shared" si="707"/>
        <v>112011473</v>
      </c>
      <c r="CU264" s="510">
        <v>89</v>
      </c>
      <c r="CV264" s="359" t="s">
        <v>793</v>
      </c>
      <c r="CW264" s="361">
        <v>269877.5</v>
      </c>
      <c r="CX264" s="365">
        <v>0</v>
      </c>
      <c r="CY264" s="361">
        <v>269877.5</v>
      </c>
      <c r="CZ264" s="361">
        <v>0</v>
      </c>
      <c r="DA264" s="361">
        <v>0</v>
      </c>
      <c r="DB264" s="365">
        <v>0</v>
      </c>
      <c r="DC264" s="365">
        <v>0</v>
      </c>
      <c r="DD264" s="361">
        <v>0</v>
      </c>
      <c r="DE264" s="361">
        <v>0</v>
      </c>
      <c r="DF264" s="302">
        <v>0</v>
      </c>
      <c r="DG264" s="302">
        <v>0</v>
      </c>
      <c r="DK264" s="367"/>
    </row>
    <row r="265" spans="2:115" ht="13">
      <c r="B265" s="294"/>
      <c r="F265" s="296"/>
      <c r="J265" s="302"/>
      <c r="T265" s="295"/>
      <c r="AA265" s="295"/>
      <c r="AH265" s="295"/>
      <c r="AI265" s="188"/>
      <c r="AJ265" s="188"/>
      <c r="AK265" s="188"/>
      <c r="AL265" s="188"/>
      <c r="AM265" s="188"/>
      <c r="AN265" s="188"/>
      <c r="AO265" s="299"/>
      <c r="CI265" s="294"/>
      <c r="CJ265" s="294"/>
      <c r="CT265" s="302">
        <f t="shared" si="707"/>
        <v>112010910</v>
      </c>
      <c r="CU265" s="510">
        <v>90</v>
      </c>
      <c r="CV265" s="359" t="s">
        <v>768</v>
      </c>
      <c r="CW265" s="361">
        <v>216974.04</v>
      </c>
      <c r="CX265" s="365">
        <v>0</v>
      </c>
      <c r="CY265" s="361">
        <v>0</v>
      </c>
      <c r="CZ265" s="361">
        <v>0</v>
      </c>
      <c r="DA265" s="361">
        <v>97646.04</v>
      </c>
      <c r="DB265" s="361">
        <v>0</v>
      </c>
      <c r="DC265" s="365">
        <v>0</v>
      </c>
      <c r="DD265" s="365">
        <v>0</v>
      </c>
      <c r="DE265" s="361">
        <v>119328</v>
      </c>
      <c r="DF265" s="302">
        <v>0</v>
      </c>
      <c r="DG265" s="302">
        <v>0</v>
      </c>
      <c r="DK265" s="367"/>
    </row>
    <row r="266" spans="2:115" ht="13">
      <c r="B266" s="294"/>
      <c r="F266" s="296"/>
      <c r="J266" s="302"/>
      <c r="T266" s="295"/>
      <c r="AA266" s="295"/>
      <c r="AH266" s="295"/>
      <c r="AI266" s="188"/>
      <c r="AJ266" s="188"/>
      <c r="AK266" s="188"/>
      <c r="AL266" s="188"/>
      <c r="AM266" s="188"/>
      <c r="AN266" s="188"/>
      <c r="AO266" s="299"/>
      <c r="CI266" s="294"/>
      <c r="CJ266" s="294"/>
      <c r="CT266" s="302">
        <f t="shared" si="707"/>
        <v>112010547</v>
      </c>
      <c r="CU266" s="510">
        <v>91</v>
      </c>
      <c r="CV266" s="359" t="s">
        <v>794</v>
      </c>
      <c r="CW266" s="361">
        <v>209607.08</v>
      </c>
      <c r="CX266" s="365">
        <v>0</v>
      </c>
      <c r="CY266" s="361">
        <v>209607.08</v>
      </c>
      <c r="CZ266" s="361">
        <v>0</v>
      </c>
      <c r="DA266" s="361">
        <v>0</v>
      </c>
      <c r="DB266" s="365">
        <v>0</v>
      </c>
      <c r="DC266" s="365">
        <v>0</v>
      </c>
      <c r="DD266" s="361">
        <v>0</v>
      </c>
      <c r="DE266" s="365">
        <v>0</v>
      </c>
      <c r="DF266" s="302">
        <v>0</v>
      </c>
      <c r="DG266" s="352">
        <v>0</v>
      </c>
      <c r="DK266" s="367"/>
    </row>
    <row r="267" spans="2:115" ht="13">
      <c r="B267" s="294"/>
      <c r="F267" s="296"/>
      <c r="J267" s="302"/>
      <c r="T267" s="295"/>
      <c r="AA267" s="295"/>
      <c r="AH267" s="295"/>
      <c r="AI267" s="188"/>
      <c r="AJ267" s="188"/>
      <c r="AK267" s="188"/>
      <c r="AL267" s="188"/>
      <c r="AM267" s="188"/>
      <c r="AN267" s="188"/>
      <c r="AO267" s="299"/>
      <c r="CI267" s="294"/>
      <c r="CJ267" s="294"/>
      <c r="CT267" s="302">
        <f t="shared" si="707"/>
        <v>112014385</v>
      </c>
      <c r="CU267" s="510">
        <v>92</v>
      </c>
      <c r="CV267" s="359" t="s">
        <v>797</v>
      </c>
      <c r="CW267" s="361">
        <v>182849.75</v>
      </c>
      <c r="CX267" s="365">
        <v>0</v>
      </c>
      <c r="CY267" s="361">
        <v>0</v>
      </c>
      <c r="CZ267" s="365">
        <v>0</v>
      </c>
      <c r="DA267" s="361">
        <v>0</v>
      </c>
      <c r="DB267" s="361">
        <v>0</v>
      </c>
      <c r="DC267" s="365">
        <v>0</v>
      </c>
      <c r="DD267" s="361">
        <v>75153.8</v>
      </c>
      <c r="DE267" s="365">
        <v>0</v>
      </c>
      <c r="DF267" s="302">
        <v>0</v>
      </c>
      <c r="DG267" s="352">
        <v>107695.95</v>
      </c>
      <c r="DK267" s="367"/>
    </row>
    <row r="268" spans="2:115" ht="13">
      <c r="B268" s="294"/>
      <c r="F268" s="296"/>
      <c r="J268" s="302"/>
      <c r="T268" s="295"/>
      <c r="AA268" s="295"/>
      <c r="AH268" s="295"/>
      <c r="AI268" s="188"/>
      <c r="AJ268" s="188"/>
      <c r="AK268" s="188"/>
      <c r="AL268" s="188"/>
      <c r="AM268" s="188"/>
      <c r="AN268" s="188"/>
      <c r="AO268" s="299"/>
      <c r="CI268" s="294"/>
      <c r="CJ268" s="294"/>
      <c r="CT268" s="302">
        <f t="shared" si="707"/>
        <v>112011754</v>
      </c>
      <c r="CU268" s="510">
        <v>93</v>
      </c>
      <c r="CV268" s="359" t="s">
        <v>736</v>
      </c>
      <c r="CW268" s="361">
        <v>147525.84</v>
      </c>
      <c r="CX268" s="365">
        <v>0</v>
      </c>
      <c r="CY268" s="361">
        <v>147525.84</v>
      </c>
      <c r="CZ268" s="365">
        <v>0</v>
      </c>
      <c r="DA268" s="361">
        <v>0</v>
      </c>
      <c r="DB268" s="365">
        <v>0</v>
      </c>
      <c r="DC268" s="365">
        <v>0</v>
      </c>
      <c r="DD268" s="365">
        <v>0</v>
      </c>
      <c r="DE268" s="361">
        <v>0</v>
      </c>
      <c r="DF268" s="352">
        <v>0</v>
      </c>
      <c r="DG268" s="302">
        <v>0</v>
      </c>
      <c r="DK268" s="367"/>
    </row>
    <row r="269" spans="2:115" ht="13">
      <c r="B269" s="294"/>
      <c r="F269" s="296"/>
      <c r="J269" s="302"/>
      <c r="T269" s="295"/>
      <c r="AA269" s="295"/>
      <c r="AH269" s="295"/>
      <c r="AI269" s="188"/>
      <c r="AJ269" s="188"/>
      <c r="AK269" s="188"/>
      <c r="AL269" s="188"/>
      <c r="AM269" s="188"/>
      <c r="AN269" s="188"/>
      <c r="AO269" s="299"/>
      <c r="CI269" s="294"/>
      <c r="CJ269" s="294"/>
      <c r="CT269" s="302" t="e">
        <f t="shared" si="707"/>
        <v>#N/A</v>
      </c>
      <c r="CU269" s="510">
        <v>94</v>
      </c>
      <c r="CV269" s="359" t="s">
        <v>750</v>
      </c>
      <c r="CW269" s="361">
        <v>118927.46</v>
      </c>
      <c r="CX269" s="365">
        <v>0</v>
      </c>
      <c r="CY269" s="365">
        <v>0</v>
      </c>
      <c r="CZ269" s="361">
        <v>0</v>
      </c>
      <c r="DA269" s="361">
        <v>0</v>
      </c>
      <c r="DB269" s="361">
        <v>0</v>
      </c>
      <c r="DC269" s="361">
        <v>0</v>
      </c>
      <c r="DD269" s="365">
        <v>0</v>
      </c>
      <c r="DE269" s="365">
        <v>0</v>
      </c>
      <c r="DF269" s="352">
        <v>118927.46</v>
      </c>
      <c r="DG269" s="302">
        <v>0</v>
      </c>
      <c r="DK269" s="367"/>
    </row>
    <row r="270" spans="2:115" ht="13">
      <c r="B270" s="294"/>
      <c r="F270" s="296"/>
      <c r="J270" s="302"/>
      <c r="T270" s="295"/>
      <c r="AA270" s="295"/>
      <c r="AH270" s="295"/>
      <c r="AI270" s="188"/>
      <c r="AJ270" s="188"/>
      <c r="AK270" s="188"/>
      <c r="AL270" s="188"/>
      <c r="AM270" s="188"/>
      <c r="AN270" s="188"/>
      <c r="AO270" s="299"/>
      <c r="CI270" s="294"/>
      <c r="CJ270" s="294"/>
      <c r="CT270" s="302">
        <f t="shared" si="707"/>
        <v>112013400</v>
      </c>
      <c r="CU270" s="510">
        <v>95</v>
      </c>
      <c r="CV270" s="359" t="s">
        <v>799</v>
      </c>
      <c r="CW270" s="361">
        <v>114708.74</v>
      </c>
      <c r="CX270" s="365">
        <v>0</v>
      </c>
      <c r="CY270" s="365">
        <v>0</v>
      </c>
      <c r="CZ270" s="361">
        <v>0</v>
      </c>
      <c r="DA270" s="361">
        <v>52828.74</v>
      </c>
      <c r="DB270" s="365">
        <v>0</v>
      </c>
      <c r="DC270" s="365">
        <v>0</v>
      </c>
      <c r="DD270" s="361">
        <v>0</v>
      </c>
      <c r="DE270" s="361">
        <v>0</v>
      </c>
      <c r="DF270" s="302">
        <v>0</v>
      </c>
      <c r="DG270" s="352">
        <v>61880</v>
      </c>
      <c r="DK270" s="367"/>
    </row>
    <row r="271" spans="2:115" ht="13">
      <c r="B271" s="294"/>
      <c r="F271" s="296"/>
      <c r="J271" s="302"/>
      <c r="T271" s="295"/>
      <c r="AA271" s="295"/>
      <c r="AH271" s="295"/>
      <c r="AI271" s="188"/>
      <c r="AJ271" s="188"/>
      <c r="AK271" s="188"/>
      <c r="AL271" s="188"/>
      <c r="AM271" s="188"/>
      <c r="AN271" s="188"/>
      <c r="AO271" s="299"/>
      <c r="CI271" s="294"/>
      <c r="CJ271" s="294"/>
      <c r="CT271" s="302">
        <f t="shared" si="707"/>
        <v>112012086</v>
      </c>
      <c r="CU271" s="510">
        <v>96</v>
      </c>
      <c r="CV271" s="359" t="s">
        <v>773</v>
      </c>
      <c r="CW271" s="361">
        <v>88351.05</v>
      </c>
      <c r="CX271" s="365">
        <v>0</v>
      </c>
      <c r="CY271" s="361">
        <v>0</v>
      </c>
      <c r="CZ271" s="361">
        <v>0</v>
      </c>
      <c r="DA271" s="361">
        <v>19800.02</v>
      </c>
      <c r="DB271" s="365">
        <v>0</v>
      </c>
      <c r="DC271" s="361">
        <v>68551.03</v>
      </c>
      <c r="DD271" s="365">
        <v>0</v>
      </c>
      <c r="DE271" s="365">
        <v>0</v>
      </c>
      <c r="DF271" s="302">
        <v>0</v>
      </c>
      <c r="DG271" s="302">
        <v>0</v>
      </c>
      <c r="DK271" s="367"/>
    </row>
    <row r="272" spans="2:115" ht="13">
      <c r="B272" s="294"/>
      <c r="F272" s="296"/>
      <c r="J272" s="302"/>
      <c r="T272" s="295"/>
      <c r="AA272" s="295"/>
      <c r="AH272" s="295"/>
      <c r="AI272" s="188"/>
      <c r="AJ272" s="188"/>
      <c r="AK272" s="188"/>
      <c r="AL272" s="188"/>
      <c r="AM272" s="188"/>
      <c r="AN272" s="188"/>
      <c r="AO272" s="299"/>
      <c r="CI272" s="294"/>
      <c r="CJ272" s="294"/>
      <c r="CT272" s="302">
        <f t="shared" ref="CT272:CT284" si="708">VLOOKUP(CV272,BUELACARTERA,3,FALSE)</f>
        <v>112013526</v>
      </c>
      <c r="CU272" s="510">
        <v>97</v>
      </c>
      <c r="CV272" s="359" t="s">
        <v>795</v>
      </c>
      <c r="CW272" s="361">
        <v>82980.31</v>
      </c>
      <c r="CX272" s="365">
        <v>0</v>
      </c>
      <c r="CY272" s="361">
        <v>0</v>
      </c>
      <c r="CZ272" s="361">
        <v>42186.73</v>
      </c>
      <c r="DA272" s="361">
        <v>0</v>
      </c>
      <c r="DB272" s="365">
        <v>0</v>
      </c>
      <c r="DC272" s="365">
        <v>0</v>
      </c>
      <c r="DD272" s="365">
        <v>0</v>
      </c>
      <c r="DE272" s="361">
        <v>40793.58</v>
      </c>
      <c r="DF272" s="352">
        <v>0</v>
      </c>
      <c r="DG272" s="302">
        <v>0</v>
      </c>
      <c r="DK272" s="367"/>
    </row>
    <row r="273" spans="2:115" ht="13">
      <c r="B273" s="294"/>
      <c r="F273" s="296"/>
      <c r="J273" s="302"/>
      <c r="T273" s="295"/>
      <c r="AA273" s="295"/>
      <c r="AH273" s="295"/>
      <c r="AI273" s="188"/>
      <c r="AJ273" s="188"/>
      <c r="AK273" s="188"/>
      <c r="AL273" s="188"/>
      <c r="AM273" s="188"/>
      <c r="AN273" s="188"/>
      <c r="AO273" s="299"/>
      <c r="CI273" s="294"/>
      <c r="CJ273" s="294"/>
      <c r="CT273" s="302" t="e">
        <f t="shared" si="708"/>
        <v>#N/A</v>
      </c>
      <c r="CU273" s="510">
        <v>98</v>
      </c>
      <c r="CV273" s="359" t="s">
        <v>752</v>
      </c>
      <c r="CW273" s="361">
        <v>78076.850000000006</v>
      </c>
      <c r="CX273" s="365">
        <v>0</v>
      </c>
      <c r="CY273" s="365">
        <v>0</v>
      </c>
      <c r="CZ273" s="361">
        <v>0</v>
      </c>
      <c r="DA273" s="365">
        <v>0</v>
      </c>
      <c r="DB273" s="365">
        <v>0</v>
      </c>
      <c r="DC273" s="365">
        <v>0</v>
      </c>
      <c r="DD273" s="365">
        <v>0</v>
      </c>
      <c r="DE273" s="361">
        <v>0</v>
      </c>
      <c r="DF273" s="302">
        <v>0</v>
      </c>
      <c r="DG273" s="352">
        <v>78076.850000000006</v>
      </c>
      <c r="DK273" s="367"/>
    </row>
    <row r="274" spans="2:115" ht="13">
      <c r="B274" s="294"/>
      <c r="F274" s="296"/>
      <c r="J274" s="302"/>
      <c r="T274" s="295"/>
      <c r="AA274" s="295"/>
      <c r="AH274" s="295"/>
      <c r="AI274" s="188"/>
      <c r="AJ274" s="188"/>
      <c r="AK274" s="188"/>
      <c r="AL274" s="188"/>
      <c r="AM274" s="188"/>
      <c r="AN274" s="188"/>
      <c r="AO274" s="299"/>
      <c r="CI274" s="294"/>
      <c r="CJ274" s="294"/>
      <c r="CT274" s="302">
        <f t="shared" si="708"/>
        <v>112014579</v>
      </c>
      <c r="CU274" s="510">
        <v>99</v>
      </c>
      <c r="CV274" s="359" t="s">
        <v>786</v>
      </c>
      <c r="CW274" s="361">
        <v>68557.679999999993</v>
      </c>
      <c r="CX274" s="365">
        <v>0</v>
      </c>
      <c r="CY274" s="365">
        <v>0</v>
      </c>
      <c r="CZ274" s="361">
        <v>0</v>
      </c>
      <c r="DA274" s="365">
        <v>0</v>
      </c>
      <c r="DB274" s="361">
        <v>0</v>
      </c>
      <c r="DC274" s="365">
        <v>0</v>
      </c>
      <c r="DD274" s="365">
        <v>0</v>
      </c>
      <c r="DE274" s="365">
        <v>0</v>
      </c>
      <c r="DF274" s="302">
        <v>0</v>
      </c>
      <c r="DG274" s="352">
        <v>68557.679999999993</v>
      </c>
      <c r="DK274" s="367"/>
    </row>
    <row r="275" spans="2:115" ht="13">
      <c r="B275" s="294"/>
      <c r="F275" s="296"/>
      <c r="J275" s="302"/>
      <c r="T275" s="295"/>
      <c r="AA275" s="295"/>
      <c r="AH275" s="295"/>
      <c r="AI275" s="188"/>
      <c r="AJ275" s="188"/>
      <c r="AK275" s="188"/>
      <c r="AL275" s="188"/>
      <c r="AM275" s="188"/>
      <c r="AN275" s="188"/>
      <c r="AO275" s="299"/>
      <c r="CI275" s="294"/>
      <c r="CJ275" s="294"/>
      <c r="CT275" s="302" t="e">
        <f t="shared" si="708"/>
        <v>#N/A</v>
      </c>
      <c r="CU275" s="510">
        <v>100</v>
      </c>
      <c r="CV275" s="359" t="s">
        <v>803</v>
      </c>
      <c r="CW275" s="361">
        <v>44953.59</v>
      </c>
      <c r="CX275" s="365">
        <v>0</v>
      </c>
      <c r="CY275" s="365">
        <v>0</v>
      </c>
      <c r="CZ275" s="365">
        <v>0</v>
      </c>
      <c r="DA275" s="365">
        <v>0</v>
      </c>
      <c r="DB275" s="365">
        <v>0</v>
      </c>
      <c r="DC275" s="365">
        <v>0</v>
      </c>
      <c r="DD275" s="361">
        <v>0</v>
      </c>
      <c r="DE275" s="365">
        <v>0</v>
      </c>
      <c r="DF275" s="352">
        <v>44953.59</v>
      </c>
      <c r="DG275" s="302">
        <v>0</v>
      </c>
      <c r="DK275" s="367"/>
    </row>
    <row r="276" spans="2:115" ht="13">
      <c r="B276" s="294"/>
      <c r="F276" s="296"/>
      <c r="J276" s="302"/>
      <c r="T276" s="295"/>
      <c r="AA276" s="295"/>
      <c r="AH276" s="295"/>
      <c r="AI276" s="188"/>
      <c r="AJ276" s="188"/>
      <c r="AK276" s="188"/>
      <c r="AL276" s="188"/>
      <c r="AM276" s="188"/>
      <c r="AN276" s="188"/>
      <c r="AO276" s="299"/>
      <c r="CI276" s="294"/>
      <c r="CJ276" s="294"/>
      <c r="CT276" s="302">
        <f t="shared" si="708"/>
        <v>112013416</v>
      </c>
      <c r="CU276" s="510">
        <v>101</v>
      </c>
      <c r="CV276" s="359" t="s">
        <v>811</v>
      </c>
      <c r="CW276" s="361">
        <v>40536.519999999997</v>
      </c>
      <c r="CX276" s="365">
        <v>0</v>
      </c>
      <c r="CY276" s="361">
        <v>0</v>
      </c>
      <c r="CZ276" s="365">
        <v>0</v>
      </c>
      <c r="DA276" s="361">
        <v>0</v>
      </c>
      <c r="DB276" s="365">
        <v>0</v>
      </c>
      <c r="DC276" s="365">
        <v>0</v>
      </c>
      <c r="DD276" s="365">
        <v>0</v>
      </c>
      <c r="DE276" s="361">
        <v>40536.519999999997</v>
      </c>
      <c r="DF276" s="302">
        <v>0</v>
      </c>
      <c r="DG276" s="302">
        <v>0</v>
      </c>
      <c r="DK276" s="367"/>
    </row>
    <row r="277" spans="2:115" ht="13">
      <c r="B277" s="294"/>
      <c r="F277" s="296"/>
      <c r="J277" s="302"/>
      <c r="T277" s="295"/>
      <c r="AA277" s="295"/>
      <c r="AH277" s="295"/>
      <c r="AI277" s="188"/>
      <c r="AJ277" s="188"/>
      <c r="AK277" s="188"/>
      <c r="AL277" s="188"/>
      <c r="AM277" s="188"/>
      <c r="AN277" s="188"/>
      <c r="AO277" s="299"/>
      <c r="CI277" s="294"/>
      <c r="CJ277" s="294"/>
      <c r="CT277" s="302">
        <f t="shared" si="708"/>
        <v>112013046</v>
      </c>
      <c r="CU277" s="510">
        <v>102</v>
      </c>
      <c r="CV277" s="302" t="s">
        <v>738</v>
      </c>
      <c r="CW277" s="352">
        <v>34636.1</v>
      </c>
      <c r="CX277" s="302">
        <v>0</v>
      </c>
      <c r="CY277" s="302">
        <v>0</v>
      </c>
      <c r="CZ277" s="302">
        <v>0</v>
      </c>
      <c r="DA277" s="352">
        <v>0</v>
      </c>
      <c r="DB277" s="352">
        <v>34636.1</v>
      </c>
      <c r="DC277" s="302">
        <v>0</v>
      </c>
      <c r="DD277" s="302">
        <v>0</v>
      </c>
      <c r="DE277" s="302">
        <v>0</v>
      </c>
      <c r="DF277" s="302">
        <v>0</v>
      </c>
      <c r="DG277" s="302">
        <v>0</v>
      </c>
      <c r="DK277" s="367"/>
    </row>
    <row r="278" spans="2:115" ht="13">
      <c r="B278" s="294"/>
      <c r="F278" s="296"/>
      <c r="J278" s="302"/>
      <c r="T278" s="295"/>
      <c r="AA278" s="295"/>
      <c r="AH278" s="295"/>
      <c r="AI278" s="188"/>
      <c r="AJ278" s="188"/>
      <c r="AK278" s="188"/>
      <c r="AL278" s="188"/>
      <c r="AM278" s="188"/>
      <c r="AN278" s="188"/>
      <c r="AO278" s="299"/>
      <c r="CI278" s="294"/>
      <c r="CJ278" s="294"/>
      <c r="CT278" s="302">
        <f t="shared" si="708"/>
        <v>112014731</v>
      </c>
      <c r="CU278" s="510">
        <v>103</v>
      </c>
      <c r="CV278" s="302" t="s">
        <v>706</v>
      </c>
      <c r="CW278" s="352">
        <v>31057.599999999999</v>
      </c>
      <c r="CX278" s="302">
        <v>0</v>
      </c>
      <c r="CY278" s="302">
        <v>0</v>
      </c>
      <c r="CZ278" s="352">
        <v>0</v>
      </c>
      <c r="DA278" s="302">
        <v>0</v>
      </c>
      <c r="DB278" s="302">
        <v>0</v>
      </c>
      <c r="DC278" s="302">
        <v>0</v>
      </c>
      <c r="DD278" s="352">
        <v>31057.599999999999</v>
      </c>
      <c r="DE278" s="302">
        <v>0</v>
      </c>
      <c r="DF278" s="302">
        <v>0</v>
      </c>
      <c r="DG278" s="302">
        <v>0</v>
      </c>
      <c r="DK278" s="367"/>
    </row>
    <row r="279" spans="2:115" ht="13">
      <c r="B279" s="294"/>
      <c r="F279" s="296"/>
      <c r="J279" s="302"/>
      <c r="T279" s="295"/>
      <c r="AA279" s="295"/>
      <c r="AH279" s="295"/>
      <c r="AI279" s="188"/>
      <c r="AJ279" s="188"/>
      <c r="AK279" s="188"/>
      <c r="AL279" s="188"/>
      <c r="AM279" s="188"/>
      <c r="AN279" s="188"/>
      <c r="AO279" s="299"/>
      <c r="CI279" s="294"/>
      <c r="CJ279" s="294"/>
      <c r="CT279" s="302" t="e">
        <f t="shared" si="708"/>
        <v>#N/A</v>
      </c>
      <c r="CU279" s="510">
        <v>104</v>
      </c>
      <c r="CV279" s="302" t="s">
        <v>450</v>
      </c>
      <c r="CW279" s="352">
        <v>27224.9</v>
      </c>
      <c r="CX279" s="302">
        <v>0</v>
      </c>
      <c r="CY279" s="302">
        <v>0</v>
      </c>
      <c r="CZ279" s="352">
        <v>0</v>
      </c>
      <c r="DA279" s="352">
        <v>27224.9</v>
      </c>
      <c r="DB279" s="302">
        <v>0</v>
      </c>
      <c r="DC279" s="302">
        <v>0</v>
      </c>
      <c r="DD279" s="302">
        <v>0</v>
      </c>
      <c r="DE279" s="302">
        <v>0</v>
      </c>
      <c r="DF279" s="302">
        <v>0</v>
      </c>
      <c r="DG279" s="302">
        <v>0</v>
      </c>
      <c r="DK279" s="367"/>
    </row>
    <row r="280" spans="2:115" ht="13">
      <c r="B280" s="294"/>
      <c r="F280" s="296"/>
      <c r="J280" s="302"/>
      <c r="T280" s="295"/>
      <c r="AA280" s="295"/>
      <c r="AH280" s="295"/>
      <c r="AI280" s="188"/>
      <c r="AJ280" s="188"/>
      <c r="AK280" s="188"/>
      <c r="AL280" s="188"/>
      <c r="AM280" s="188"/>
      <c r="AN280" s="188"/>
      <c r="AO280" s="299"/>
      <c r="CI280" s="294"/>
      <c r="CJ280" s="294"/>
      <c r="CT280" s="302">
        <f t="shared" si="708"/>
        <v>112014507</v>
      </c>
      <c r="CU280" s="510">
        <v>105</v>
      </c>
      <c r="CV280" s="302" t="s">
        <v>785</v>
      </c>
      <c r="CW280" s="352">
        <v>16199.97</v>
      </c>
      <c r="CX280" s="302">
        <v>0</v>
      </c>
      <c r="CY280" s="302">
        <v>0</v>
      </c>
      <c r="CZ280" s="352">
        <v>16199.97</v>
      </c>
      <c r="DA280" s="302">
        <v>0</v>
      </c>
      <c r="DB280" s="302">
        <v>0</v>
      </c>
      <c r="DC280" s="302">
        <v>0</v>
      </c>
      <c r="DD280" s="302">
        <v>0</v>
      </c>
      <c r="DE280" s="302">
        <v>0</v>
      </c>
      <c r="DF280" s="302">
        <v>0</v>
      </c>
      <c r="DG280" s="302">
        <v>0</v>
      </c>
      <c r="DK280" s="367"/>
    </row>
    <row r="281" spans="2:115" ht="13">
      <c r="B281" s="294"/>
      <c r="F281" s="296"/>
      <c r="J281" s="302"/>
      <c r="T281" s="295"/>
      <c r="AA281" s="295"/>
      <c r="AH281" s="295"/>
      <c r="AI281" s="188"/>
      <c r="AJ281" s="188"/>
      <c r="AK281" s="188"/>
      <c r="AL281" s="188"/>
      <c r="AM281" s="188"/>
      <c r="AN281" s="188"/>
      <c r="AO281" s="299"/>
      <c r="CI281" s="294"/>
      <c r="CJ281" s="294"/>
      <c r="CT281" s="302">
        <f t="shared" si="708"/>
        <v>112014159</v>
      </c>
      <c r="CU281" s="510">
        <v>106</v>
      </c>
      <c r="CV281" s="302" t="s">
        <v>812</v>
      </c>
      <c r="CW281" s="352">
        <v>7738.11</v>
      </c>
      <c r="CX281" s="302">
        <v>0</v>
      </c>
      <c r="CY281" s="352">
        <v>0</v>
      </c>
      <c r="CZ281" s="302">
        <v>0</v>
      </c>
      <c r="DA281" s="352">
        <v>23534.799999999999</v>
      </c>
      <c r="DB281" s="302">
        <v>0</v>
      </c>
      <c r="DC281" s="302">
        <v>0</v>
      </c>
      <c r="DD281" s="302">
        <v>0</v>
      </c>
      <c r="DE281" s="302">
        <v>0</v>
      </c>
      <c r="DF281" s="302">
        <v>0</v>
      </c>
      <c r="DG281" s="352">
        <v>-15796.7</v>
      </c>
      <c r="DK281" s="367"/>
    </row>
    <row r="282" spans="2:115" ht="13">
      <c r="B282" s="294"/>
      <c r="F282" s="296"/>
      <c r="J282" s="302"/>
      <c r="T282" s="295"/>
      <c r="AA282" s="295"/>
      <c r="AH282" s="295"/>
      <c r="AI282" s="188"/>
      <c r="AJ282" s="188"/>
      <c r="AK282" s="188"/>
      <c r="AL282" s="188"/>
      <c r="AM282" s="188"/>
      <c r="AN282" s="188"/>
      <c r="AO282" s="299"/>
      <c r="CI282" s="294"/>
      <c r="CJ282" s="294"/>
      <c r="CT282" s="302" t="e">
        <f t="shared" si="708"/>
        <v>#N/A</v>
      </c>
      <c r="CU282" s="510">
        <v>107</v>
      </c>
      <c r="CV282" s="302" t="s">
        <v>818</v>
      </c>
      <c r="CW282" s="352">
        <v>6701.15</v>
      </c>
      <c r="CX282" s="302">
        <v>0</v>
      </c>
      <c r="CY282" s="302">
        <v>0</v>
      </c>
      <c r="CZ282" s="352">
        <v>6701.15</v>
      </c>
      <c r="DA282" s="302">
        <v>0</v>
      </c>
      <c r="DB282" s="302">
        <v>0</v>
      </c>
      <c r="DC282" s="302">
        <v>0</v>
      </c>
      <c r="DD282" s="302">
        <v>0</v>
      </c>
      <c r="DE282" s="302">
        <v>0</v>
      </c>
      <c r="DF282" s="302">
        <v>0</v>
      </c>
      <c r="DG282" s="302">
        <v>0</v>
      </c>
      <c r="DK282" s="367"/>
    </row>
    <row r="283" spans="2:115" ht="13">
      <c r="B283" s="294"/>
      <c r="F283" s="296"/>
      <c r="J283" s="302"/>
      <c r="T283" s="295"/>
      <c r="AA283" s="295"/>
      <c r="AH283" s="295"/>
      <c r="AI283" s="188"/>
      <c r="AJ283" s="188"/>
      <c r="AK283" s="188"/>
      <c r="AL283" s="188"/>
      <c r="AM283" s="188"/>
      <c r="AN283" s="188"/>
      <c r="AO283" s="299"/>
      <c r="CI283" s="294"/>
      <c r="CJ283" s="294"/>
      <c r="CT283" s="302" t="e">
        <f t="shared" si="708"/>
        <v>#N/A</v>
      </c>
      <c r="CU283" s="510">
        <v>108</v>
      </c>
      <c r="CV283" s="302" t="s">
        <v>800</v>
      </c>
      <c r="CW283" s="302">
        <v>0</v>
      </c>
      <c r="CX283" s="302">
        <v>0</v>
      </c>
      <c r="CY283" s="302">
        <v>0</v>
      </c>
      <c r="CZ283" s="302">
        <v>0</v>
      </c>
      <c r="DA283" s="302">
        <v>0</v>
      </c>
      <c r="DB283" s="302">
        <v>0</v>
      </c>
      <c r="DC283" s="302">
        <v>0</v>
      </c>
      <c r="DD283" s="302">
        <v>0</v>
      </c>
      <c r="DE283" s="302">
        <v>0</v>
      </c>
      <c r="DF283" s="302">
        <v>0</v>
      </c>
      <c r="DG283" s="302">
        <v>0</v>
      </c>
      <c r="DK283" s="367"/>
    </row>
    <row r="284" spans="2:115" ht="13">
      <c r="B284" s="294"/>
      <c r="F284" s="296"/>
      <c r="J284" s="302"/>
      <c r="T284" s="295"/>
      <c r="AA284" s="295"/>
      <c r="AH284" s="295"/>
      <c r="AI284" s="188"/>
      <c r="AJ284" s="188"/>
      <c r="AK284" s="188"/>
      <c r="AL284" s="188"/>
      <c r="AM284" s="188"/>
      <c r="AN284" s="188"/>
      <c r="AO284" s="299"/>
      <c r="CI284" s="294"/>
      <c r="CJ284" s="294"/>
      <c r="CT284" s="302">
        <f t="shared" si="708"/>
        <v>112013782</v>
      </c>
      <c r="CU284" s="510">
        <v>109</v>
      </c>
      <c r="CV284" s="302" t="s">
        <v>776</v>
      </c>
      <c r="CW284" s="352">
        <v>-314004.2</v>
      </c>
      <c r="CX284" s="302">
        <v>0</v>
      </c>
      <c r="CY284" s="352">
        <v>-314004.2</v>
      </c>
      <c r="CZ284" s="302">
        <v>0</v>
      </c>
      <c r="DA284" s="302">
        <v>0</v>
      </c>
      <c r="DB284" s="302">
        <v>0</v>
      </c>
      <c r="DC284" s="302">
        <v>0</v>
      </c>
      <c r="DD284" s="302">
        <v>0</v>
      </c>
      <c r="DE284" s="302">
        <v>0</v>
      </c>
      <c r="DF284" s="302">
        <v>0</v>
      </c>
      <c r="DG284" s="302">
        <v>0</v>
      </c>
      <c r="DK284" s="367"/>
    </row>
    <row r="285" spans="2:115" ht="13">
      <c r="B285" s="294"/>
      <c r="F285" s="296"/>
      <c r="J285" s="302"/>
      <c r="T285" s="295"/>
      <c r="AA285" s="295"/>
      <c r="AH285" s="295"/>
      <c r="AI285" s="188"/>
      <c r="AJ285" s="188"/>
      <c r="AK285" s="188"/>
      <c r="AL285" s="188"/>
      <c r="AM285" s="188"/>
      <c r="AN285" s="188"/>
      <c r="AO285" s="299"/>
      <c r="CI285" s="294"/>
      <c r="CJ285" s="294"/>
      <c r="CU285" s="510">
        <v>110</v>
      </c>
      <c r="DK285" s="367"/>
    </row>
    <row r="286" spans="2:115" ht="13">
      <c r="B286" s="294"/>
      <c r="F286" s="296"/>
      <c r="J286" s="302"/>
      <c r="T286" s="295"/>
      <c r="AA286" s="295"/>
      <c r="AH286" s="295"/>
      <c r="AI286" s="188"/>
      <c r="AJ286" s="188"/>
      <c r="AK286" s="188"/>
      <c r="AL286" s="188"/>
      <c r="AM286" s="188"/>
      <c r="AN286" s="188"/>
      <c r="AO286" s="299"/>
      <c r="CI286" s="294"/>
      <c r="CJ286" s="294"/>
      <c r="CU286" s="510">
        <v>111</v>
      </c>
      <c r="DK286" s="367"/>
    </row>
    <row r="287" spans="2:115" ht="13">
      <c r="B287" s="294"/>
      <c r="F287" s="296"/>
      <c r="J287" s="302"/>
      <c r="T287" s="295"/>
      <c r="AA287" s="295"/>
      <c r="AH287" s="295"/>
      <c r="AI287" s="188"/>
      <c r="AJ287" s="188"/>
      <c r="AK287" s="188"/>
      <c r="AL287" s="188"/>
      <c r="AM287" s="188"/>
      <c r="AN287" s="188"/>
      <c r="AO287" s="299"/>
      <c r="CI287" s="294"/>
      <c r="CJ287" s="294"/>
      <c r="CU287" s="510">
        <v>112</v>
      </c>
      <c r="DK287" s="367"/>
    </row>
    <row r="288" spans="2:115" ht="13">
      <c r="B288" s="294"/>
      <c r="F288" s="296"/>
      <c r="J288" s="302"/>
      <c r="T288" s="295"/>
      <c r="AA288" s="295"/>
      <c r="AH288" s="295"/>
      <c r="AI288" s="188"/>
      <c r="AJ288" s="188"/>
      <c r="AK288" s="188"/>
      <c r="AL288" s="188"/>
      <c r="AM288" s="188"/>
      <c r="AN288" s="188"/>
      <c r="AO288" s="299"/>
      <c r="CI288" s="294"/>
      <c r="CJ288" s="294"/>
      <c r="CU288" s="510">
        <v>113</v>
      </c>
      <c r="DK288" s="367"/>
    </row>
    <row r="289" spans="2:115" ht="13">
      <c r="B289" s="294"/>
      <c r="F289" s="296"/>
      <c r="J289" s="302"/>
      <c r="T289" s="295"/>
      <c r="AA289" s="295"/>
      <c r="AH289" s="295"/>
      <c r="AI289" s="188"/>
      <c r="AJ289" s="188"/>
      <c r="AK289" s="188"/>
      <c r="AL289" s="188"/>
      <c r="AM289" s="188"/>
      <c r="AN289" s="188"/>
      <c r="AO289" s="299"/>
      <c r="CI289" s="294"/>
      <c r="CJ289" s="294"/>
      <c r="CU289" s="510">
        <v>114</v>
      </c>
      <c r="DK289" s="367"/>
    </row>
    <row r="290" spans="2:115" ht="13">
      <c r="B290" s="294"/>
      <c r="F290" s="296"/>
      <c r="J290" s="302"/>
      <c r="T290" s="295"/>
      <c r="AA290" s="295"/>
      <c r="AH290" s="295"/>
      <c r="AI290" s="188"/>
      <c r="AJ290" s="188"/>
      <c r="AK290" s="188"/>
      <c r="AL290" s="188"/>
      <c r="AM290" s="188"/>
      <c r="AN290" s="188"/>
      <c r="AO290" s="299"/>
      <c r="CI290" s="294"/>
      <c r="CJ290" s="294"/>
      <c r="CU290" s="510">
        <v>115</v>
      </c>
      <c r="DK290" s="367"/>
    </row>
    <row r="291" spans="2:115" ht="13">
      <c r="B291" s="294"/>
      <c r="F291" s="296"/>
      <c r="J291" s="302"/>
      <c r="T291" s="295"/>
      <c r="AA291" s="295"/>
      <c r="AH291" s="295"/>
      <c r="AI291" s="188"/>
      <c r="AJ291" s="188"/>
      <c r="AK291" s="188"/>
      <c r="AL291" s="188"/>
      <c r="AM291" s="188"/>
      <c r="AN291" s="188"/>
      <c r="AO291" s="299"/>
      <c r="CI291" s="294"/>
      <c r="CJ291" s="294"/>
      <c r="CU291" s="510">
        <v>116</v>
      </c>
      <c r="DK291" s="367"/>
    </row>
    <row r="292" spans="2:115" ht="13">
      <c r="B292" s="294"/>
      <c r="F292" s="296"/>
      <c r="J292" s="302"/>
      <c r="T292" s="295"/>
      <c r="AA292" s="295"/>
      <c r="AH292" s="295"/>
      <c r="AI292" s="188"/>
      <c r="AJ292" s="188"/>
      <c r="AK292" s="188"/>
      <c r="AL292" s="188"/>
      <c r="AM292" s="188"/>
      <c r="AN292" s="188"/>
      <c r="AO292" s="299"/>
      <c r="CI292" s="294"/>
      <c r="CJ292" s="294"/>
      <c r="CU292" s="510">
        <v>117</v>
      </c>
      <c r="DK292" s="367"/>
    </row>
    <row r="293" spans="2:115" ht="13">
      <c r="B293" s="294"/>
      <c r="F293" s="296"/>
      <c r="J293" s="302"/>
      <c r="T293" s="295"/>
      <c r="AA293" s="295"/>
      <c r="AH293" s="295"/>
      <c r="AI293" s="188"/>
      <c r="AJ293" s="188"/>
      <c r="AK293" s="188"/>
      <c r="AL293" s="188"/>
      <c r="AM293" s="188"/>
      <c r="AN293" s="188"/>
      <c r="AO293" s="299"/>
      <c r="CI293" s="294"/>
      <c r="CJ293" s="294"/>
      <c r="CU293" s="510">
        <v>118</v>
      </c>
      <c r="DK293" s="367"/>
    </row>
    <row r="294" spans="2:115" ht="13">
      <c r="B294" s="294"/>
      <c r="F294" s="296"/>
      <c r="J294" s="302"/>
      <c r="T294" s="295"/>
      <c r="AA294" s="295"/>
      <c r="AH294" s="295"/>
      <c r="AI294" s="188"/>
      <c r="AJ294" s="188"/>
      <c r="AK294" s="188"/>
      <c r="AL294" s="188"/>
      <c r="AM294" s="188"/>
      <c r="AN294" s="188"/>
      <c r="AO294" s="299"/>
      <c r="CI294" s="294"/>
      <c r="CJ294" s="294"/>
      <c r="CU294" s="510">
        <v>119</v>
      </c>
      <c r="DK294" s="367"/>
    </row>
    <row r="295" spans="2:115" ht="13">
      <c r="B295" s="294"/>
      <c r="F295" s="296"/>
      <c r="J295" s="302"/>
      <c r="T295" s="295"/>
      <c r="AA295" s="295"/>
      <c r="AH295" s="295"/>
      <c r="AI295" s="188"/>
      <c r="AJ295" s="188"/>
      <c r="AK295" s="188"/>
      <c r="AL295" s="188"/>
      <c r="AM295" s="188"/>
      <c r="AN295" s="188"/>
      <c r="AO295" s="299"/>
      <c r="CI295" s="294"/>
      <c r="CJ295" s="294"/>
      <c r="CU295" s="510">
        <v>120</v>
      </c>
      <c r="DK295" s="367"/>
    </row>
    <row r="296" spans="2:115" ht="13">
      <c r="B296" s="294"/>
      <c r="F296" s="296"/>
      <c r="J296" s="302"/>
      <c r="T296" s="295"/>
      <c r="AA296" s="295"/>
      <c r="AH296" s="295"/>
      <c r="AI296" s="188"/>
      <c r="AJ296" s="188"/>
      <c r="AK296" s="188"/>
      <c r="AL296" s="188"/>
      <c r="AM296" s="188"/>
      <c r="AN296" s="188"/>
      <c r="AO296" s="299"/>
      <c r="CI296" s="294"/>
      <c r="CJ296" s="294"/>
      <c r="CU296" s="510">
        <v>121</v>
      </c>
      <c r="DK296" s="367"/>
    </row>
    <row r="297" spans="2:115" ht="13">
      <c r="B297" s="294"/>
      <c r="F297" s="296"/>
      <c r="J297" s="302"/>
      <c r="T297" s="295"/>
      <c r="AA297" s="295"/>
      <c r="AH297" s="295"/>
      <c r="AI297" s="188"/>
      <c r="AJ297" s="188"/>
      <c r="AK297" s="188"/>
      <c r="AL297" s="188"/>
      <c r="AM297" s="188"/>
      <c r="AN297" s="188"/>
      <c r="AO297" s="299"/>
      <c r="CI297" s="294"/>
      <c r="CJ297" s="294"/>
      <c r="CU297" s="510">
        <v>122</v>
      </c>
      <c r="DK297" s="367"/>
    </row>
    <row r="298" spans="2:115" ht="13">
      <c r="B298" s="294"/>
      <c r="F298" s="296"/>
      <c r="J298" s="302"/>
      <c r="T298" s="295"/>
      <c r="AA298" s="295"/>
      <c r="AH298" s="295"/>
      <c r="AI298" s="188"/>
      <c r="AJ298" s="188"/>
      <c r="AK298" s="188"/>
      <c r="AL298" s="188"/>
      <c r="AM298" s="188"/>
      <c r="AN298" s="188"/>
      <c r="AO298" s="299"/>
      <c r="CI298" s="294"/>
      <c r="CJ298" s="294"/>
      <c r="CU298" s="510">
        <v>123</v>
      </c>
      <c r="DK298" s="367"/>
    </row>
    <row r="299" spans="2:115" ht="13">
      <c r="B299" s="294"/>
      <c r="F299" s="296"/>
      <c r="J299" s="302"/>
      <c r="T299" s="295"/>
      <c r="AA299" s="295"/>
      <c r="AH299" s="295"/>
      <c r="AI299" s="188"/>
      <c r="AJ299" s="188"/>
      <c r="AK299" s="188"/>
      <c r="AL299" s="188"/>
      <c r="AM299" s="188"/>
      <c r="AN299" s="188"/>
      <c r="AO299" s="299"/>
      <c r="CI299" s="294"/>
      <c r="CJ299" s="294"/>
      <c r="CU299" s="510">
        <v>124</v>
      </c>
      <c r="DK299" s="367"/>
    </row>
    <row r="300" spans="2:115" ht="13">
      <c r="B300" s="294"/>
      <c r="F300" s="296"/>
      <c r="J300" s="302"/>
      <c r="T300" s="295"/>
      <c r="AA300" s="295"/>
      <c r="AH300" s="295"/>
      <c r="AI300" s="188"/>
      <c r="AJ300" s="188"/>
      <c r="AK300" s="188"/>
      <c r="AL300" s="188"/>
      <c r="AM300" s="188"/>
      <c r="AN300" s="188"/>
      <c r="AO300" s="299"/>
      <c r="CI300" s="294"/>
      <c r="CJ300" s="294"/>
      <c r="CU300" s="510">
        <v>125</v>
      </c>
      <c r="DK300" s="367"/>
    </row>
    <row r="301" spans="2:115" ht="13">
      <c r="B301" s="294"/>
      <c r="F301" s="296"/>
      <c r="J301" s="302"/>
      <c r="T301" s="295"/>
      <c r="AA301" s="295"/>
      <c r="AH301" s="295"/>
      <c r="AI301" s="188"/>
      <c r="AJ301" s="188"/>
      <c r="AK301" s="188"/>
      <c r="AL301" s="188"/>
      <c r="AM301" s="188"/>
      <c r="AN301" s="188"/>
      <c r="AO301" s="299"/>
      <c r="CI301" s="294"/>
      <c r="CJ301" s="294"/>
      <c r="CU301" s="510">
        <v>126</v>
      </c>
      <c r="DK301" s="367"/>
    </row>
    <row r="302" spans="2:115" ht="13">
      <c r="B302" s="294"/>
      <c r="F302" s="296"/>
      <c r="J302" s="302"/>
      <c r="T302" s="295"/>
      <c r="AA302" s="295"/>
      <c r="AH302" s="295"/>
      <c r="AI302" s="188"/>
      <c r="AJ302" s="188"/>
      <c r="AK302" s="188"/>
      <c r="AL302" s="188"/>
      <c r="AM302" s="188"/>
      <c r="AN302" s="188"/>
      <c r="AO302" s="299"/>
      <c r="CI302" s="294"/>
      <c r="CJ302" s="294"/>
      <c r="CU302" s="510">
        <v>127</v>
      </c>
      <c r="DK302" s="367"/>
    </row>
    <row r="303" spans="2:115" ht="13">
      <c r="B303" s="294"/>
      <c r="F303" s="296"/>
      <c r="J303" s="302"/>
      <c r="T303" s="295"/>
      <c r="AA303" s="295"/>
      <c r="AH303" s="295"/>
      <c r="AI303" s="188"/>
      <c r="AJ303" s="188"/>
      <c r="AK303" s="188"/>
      <c r="AL303" s="188"/>
      <c r="AM303" s="188"/>
      <c r="AN303" s="188"/>
      <c r="AO303" s="299"/>
      <c r="CI303" s="294"/>
      <c r="CJ303" s="294"/>
      <c r="CU303" s="510">
        <v>128</v>
      </c>
      <c r="DK303" s="367"/>
    </row>
    <row r="304" spans="2:115" ht="13">
      <c r="B304" s="294"/>
      <c r="F304" s="296"/>
      <c r="J304" s="302"/>
      <c r="T304" s="295"/>
      <c r="AA304" s="295"/>
      <c r="AH304" s="295"/>
      <c r="AI304" s="188"/>
      <c r="AJ304" s="188"/>
      <c r="AK304" s="188"/>
      <c r="AL304" s="188"/>
      <c r="AM304" s="188"/>
      <c r="AN304" s="188"/>
      <c r="AO304" s="299"/>
      <c r="CI304" s="294"/>
      <c r="CJ304" s="294"/>
      <c r="CU304" s="510">
        <v>129</v>
      </c>
      <c r="DK304" s="367"/>
    </row>
    <row r="305" spans="2:115" ht="13">
      <c r="B305" s="294"/>
      <c r="F305" s="296"/>
      <c r="J305" s="302"/>
      <c r="T305" s="295"/>
      <c r="AA305" s="295"/>
      <c r="AH305" s="295"/>
      <c r="AI305" s="188"/>
      <c r="AJ305" s="188"/>
      <c r="AK305" s="188"/>
      <c r="AL305" s="188"/>
      <c r="AM305" s="188"/>
      <c r="AN305" s="188"/>
      <c r="AO305" s="299"/>
      <c r="CI305" s="294"/>
      <c r="CJ305" s="294"/>
      <c r="CU305" s="510">
        <v>130</v>
      </c>
      <c r="DK305" s="367"/>
    </row>
    <row r="306" spans="2:115" ht="13">
      <c r="B306" s="294"/>
      <c r="F306" s="296"/>
      <c r="J306" s="302"/>
      <c r="T306" s="295"/>
      <c r="AA306" s="295"/>
      <c r="AH306" s="295"/>
      <c r="AI306" s="188"/>
      <c r="AJ306" s="188"/>
      <c r="AK306" s="188"/>
      <c r="AL306" s="188"/>
      <c r="AM306" s="188"/>
      <c r="AN306" s="188"/>
      <c r="AO306" s="299"/>
      <c r="CI306" s="294"/>
      <c r="CJ306" s="294"/>
      <c r="CU306" s="510">
        <v>131</v>
      </c>
      <c r="DK306" s="367"/>
    </row>
    <row r="307" spans="2:115" ht="13">
      <c r="B307" s="294"/>
      <c r="F307" s="296"/>
      <c r="J307" s="302"/>
      <c r="T307" s="295"/>
      <c r="AA307" s="295"/>
      <c r="AH307" s="295"/>
      <c r="AI307" s="188"/>
      <c r="AJ307" s="188"/>
      <c r="AK307" s="188"/>
      <c r="AL307" s="188"/>
      <c r="AM307" s="188"/>
      <c r="AN307" s="188"/>
      <c r="AO307" s="299"/>
      <c r="CI307" s="294"/>
      <c r="CJ307" s="294"/>
      <c r="CU307" s="510">
        <v>132</v>
      </c>
      <c r="DK307" s="367"/>
    </row>
    <row r="308" spans="2:115" ht="13">
      <c r="B308" s="294"/>
      <c r="F308" s="296"/>
      <c r="J308" s="302"/>
      <c r="T308" s="295"/>
      <c r="AA308" s="295"/>
      <c r="AH308" s="295"/>
      <c r="AI308" s="188"/>
      <c r="AJ308" s="188"/>
      <c r="AK308" s="188"/>
      <c r="AL308" s="188"/>
      <c r="AM308" s="188"/>
      <c r="AN308" s="188"/>
      <c r="AO308" s="299"/>
      <c r="CI308" s="294"/>
      <c r="CJ308" s="294"/>
      <c r="CU308" s="510">
        <v>133</v>
      </c>
      <c r="DK308" s="367"/>
    </row>
    <row r="309" spans="2:115" ht="13">
      <c r="B309" s="294"/>
      <c r="F309" s="296"/>
      <c r="J309" s="302"/>
      <c r="T309" s="295"/>
      <c r="AA309" s="295"/>
      <c r="AH309" s="295"/>
      <c r="AI309" s="188"/>
      <c r="AJ309" s="188"/>
      <c r="AK309" s="188"/>
      <c r="AL309" s="188"/>
      <c r="AM309" s="188"/>
      <c r="AN309" s="188"/>
      <c r="AO309" s="299"/>
      <c r="CI309" s="294"/>
      <c r="CJ309" s="294"/>
      <c r="CU309" s="510">
        <v>134</v>
      </c>
      <c r="DK309" s="367"/>
    </row>
    <row r="310" spans="2:115" ht="13">
      <c r="B310" s="294"/>
      <c r="F310" s="296"/>
      <c r="J310" s="302"/>
      <c r="T310" s="295"/>
      <c r="AA310" s="295"/>
      <c r="AH310" s="295"/>
      <c r="AI310" s="188"/>
      <c r="AJ310" s="188"/>
      <c r="AK310" s="188"/>
      <c r="AL310" s="188"/>
      <c r="AM310" s="188"/>
      <c r="AN310" s="188"/>
      <c r="AO310" s="299"/>
      <c r="CI310" s="294"/>
      <c r="CJ310" s="294"/>
      <c r="CU310" s="510">
        <v>135</v>
      </c>
      <c r="DK310" s="367"/>
    </row>
    <row r="311" spans="2:115" ht="13">
      <c r="B311" s="294"/>
      <c r="F311" s="296"/>
      <c r="J311" s="302"/>
      <c r="T311" s="295"/>
      <c r="AA311" s="295"/>
      <c r="AH311" s="295"/>
      <c r="AI311" s="188"/>
      <c r="AJ311" s="188"/>
      <c r="AK311" s="188"/>
      <c r="AL311" s="188"/>
      <c r="AM311" s="188"/>
      <c r="AN311" s="188"/>
      <c r="AO311" s="299"/>
      <c r="CI311" s="294"/>
      <c r="CJ311" s="294"/>
      <c r="CU311" s="510">
        <v>136</v>
      </c>
      <c r="DK311" s="367"/>
    </row>
    <row r="312" spans="2:115" ht="13">
      <c r="B312" s="294"/>
      <c r="F312" s="296"/>
      <c r="J312" s="302"/>
      <c r="T312" s="295"/>
      <c r="AA312" s="295"/>
      <c r="AH312" s="295"/>
      <c r="AI312" s="188"/>
      <c r="AJ312" s="188"/>
      <c r="AK312" s="188"/>
      <c r="AL312" s="188"/>
      <c r="AM312" s="188"/>
      <c r="AN312" s="188"/>
      <c r="AO312" s="299"/>
      <c r="CI312" s="294"/>
      <c r="CJ312" s="294"/>
      <c r="CU312" s="510">
        <v>137</v>
      </c>
      <c r="DK312" s="367"/>
    </row>
    <row r="313" spans="2:115" ht="13">
      <c r="B313" s="294"/>
      <c r="F313" s="296"/>
      <c r="J313" s="302"/>
      <c r="T313" s="295"/>
      <c r="AA313" s="295"/>
      <c r="AH313" s="295"/>
      <c r="AI313" s="188"/>
      <c r="AJ313" s="188"/>
      <c r="AK313" s="188"/>
      <c r="AL313" s="188"/>
      <c r="AM313" s="188"/>
      <c r="AN313" s="188"/>
      <c r="AO313" s="299"/>
      <c r="CI313" s="294"/>
      <c r="CJ313" s="294"/>
      <c r="CU313" s="510">
        <v>138</v>
      </c>
      <c r="DK313" s="367"/>
    </row>
    <row r="314" spans="2:115" ht="13">
      <c r="B314" s="294"/>
      <c r="F314" s="296"/>
      <c r="J314" s="302"/>
      <c r="T314" s="295"/>
      <c r="AA314" s="295"/>
      <c r="AH314" s="295"/>
      <c r="AI314" s="188"/>
      <c r="AJ314" s="188"/>
      <c r="AK314" s="188"/>
      <c r="AL314" s="188"/>
      <c r="AM314" s="188"/>
      <c r="AN314" s="188"/>
      <c r="AO314" s="299"/>
      <c r="CI314" s="294"/>
      <c r="CJ314" s="294"/>
      <c r="CU314" s="510">
        <v>139</v>
      </c>
      <c r="DK314" s="367"/>
    </row>
    <row r="315" spans="2:115" ht="13">
      <c r="B315" s="294"/>
      <c r="F315" s="296"/>
      <c r="J315" s="302"/>
      <c r="T315" s="295"/>
      <c r="AA315" s="295"/>
      <c r="AH315" s="295"/>
      <c r="AI315" s="188"/>
      <c r="AJ315" s="188"/>
      <c r="AK315" s="188"/>
      <c r="AL315" s="188"/>
      <c r="AM315" s="188"/>
      <c r="AN315" s="188"/>
      <c r="AO315" s="299"/>
      <c r="CI315" s="294"/>
      <c r="CJ315" s="294"/>
      <c r="CU315" s="510">
        <v>140</v>
      </c>
      <c r="DK315" s="367"/>
    </row>
    <row r="316" spans="2:115" ht="13">
      <c r="B316" s="294"/>
      <c r="F316" s="296"/>
      <c r="J316" s="302"/>
      <c r="T316" s="295"/>
      <c r="AA316" s="295"/>
      <c r="AH316" s="295"/>
      <c r="AI316" s="188"/>
      <c r="AJ316" s="188"/>
      <c r="AK316" s="188"/>
      <c r="AL316" s="188"/>
      <c r="AM316" s="188"/>
      <c r="AN316" s="188"/>
      <c r="AO316" s="299"/>
      <c r="CI316" s="294"/>
      <c r="CJ316" s="294"/>
      <c r="CU316" s="512">
        <v>141</v>
      </c>
      <c r="CV316" s="369"/>
      <c r="CW316" s="369"/>
      <c r="CX316" s="369"/>
      <c r="CY316" s="369"/>
      <c r="CZ316" s="369"/>
      <c r="DA316" s="369"/>
      <c r="DB316" s="369"/>
      <c r="DC316" s="369"/>
      <c r="DD316" s="369"/>
      <c r="DE316" s="369"/>
      <c r="DF316" s="369"/>
      <c r="DG316" s="369"/>
      <c r="DH316" s="369"/>
      <c r="DI316" s="369"/>
      <c r="DJ316" s="369"/>
      <c r="DK316" s="370"/>
    </row>
    <row r="317" spans="2:115" ht="13">
      <c r="B317" s="294"/>
      <c r="F317" s="296"/>
      <c r="J317" s="302"/>
      <c r="T317" s="295"/>
      <c r="AA317" s="295"/>
      <c r="AH317" s="295"/>
      <c r="AI317" s="188"/>
      <c r="AJ317" s="188"/>
      <c r="AK317" s="188"/>
      <c r="AL317" s="188"/>
      <c r="AM317" s="188"/>
      <c r="AN317" s="188"/>
      <c r="AO317" s="299"/>
      <c r="CI317" s="294"/>
      <c r="CJ317" s="294"/>
    </row>
    <row r="318" spans="2:115" ht="13">
      <c r="B318" s="294"/>
      <c r="F318" s="296"/>
      <c r="J318" s="302"/>
      <c r="T318" s="295"/>
      <c r="AA318" s="295"/>
      <c r="AH318" s="295"/>
      <c r="AI318" s="188"/>
      <c r="AJ318" s="188"/>
      <c r="AK318" s="188"/>
      <c r="AL318" s="188"/>
      <c r="AM318" s="188"/>
      <c r="AN318" s="188"/>
      <c r="AO318" s="299"/>
      <c r="CI318" s="294"/>
      <c r="CJ318" s="294"/>
      <c r="CX318" s="352">
        <f>CX322-Q131</f>
        <v>-2.9999986290931702E-2</v>
      </c>
      <c r="DB318" s="352">
        <f>DB322-AV131</f>
        <v>-2.9999993741512299E-2</v>
      </c>
      <c r="DC318" s="352">
        <f>DC322-AZ131</f>
        <v>1.0000020265579224E-2</v>
      </c>
      <c r="DD318" s="352">
        <f>DD322-BJ131</f>
        <v>-1.000000536441803E-2</v>
      </c>
      <c r="DE318" s="352">
        <f>DE322-BN131</f>
        <v>-1.000000536441803E-2</v>
      </c>
      <c r="DF318" s="352">
        <f>DF322-BR131</f>
        <v>0</v>
      </c>
      <c r="DG318" s="352">
        <f>DG322-BY131</f>
        <v>-9.9999979138374329E-3</v>
      </c>
    </row>
    <row r="319" spans="2:115" ht="13">
      <c r="B319" s="294"/>
      <c r="F319" s="296"/>
      <c r="J319" s="302"/>
      <c r="T319" s="295"/>
      <c r="AA319" s="295"/>
      <c r="AH319" s="295"/>
      <c r="AI319" s="188"/>
      <c r="AJ319" s="188"/>
      <c r="AK319" s="188"/>
      <c r="AL319" s="188"/>
      <c r="AM319" s="188"/>
      <c r="AN319" s="188"/>
      <c r="AO319" s="299"/>
      <c r="CI319" s="294"/>
      <c r="CJ319" s="294"/>
      <c r="CU319" s="371"/>
      <c r="CV319" s="372">
        <v>1</v>
      </c>
      <c r="CW319" s="372">
        <v>2</v>
      </c>
      <c r="CX319" s="372">
        <v>3</v>
      </c>
      <c r="CY319" s="372">
        <v>4</v>
      </c>
      <c r="CZ319" s="372">
        <v>5</v>
      </c>
      <c r="DA319" s="372">
        <v>6</v>
      </c>
      <c r="DB319" s="372">
        <v>7</v>
      </c>
      <c r="DC319" s="372">
        <v>8</v>
      </c>
      <c r="DD319" s="372">
        <v>9</v>
      </c>
      <c r="DE319" s="372">
        <v>10</v>
      </c>
      <c r="DF319" s="372">
        <v>11</v>
      </c>
      <c r="DG319" s="372">
        <v>12</v>
      </c>
      <c r="DH319" s="372">
        <v>13</v>
      </c>
      <c r="DI319" s="372">
        <v>14</v>
      </c>
      <c r="DJ319" s="372">
        <v>15</v>
      </c>
      <c r="DK319" s="373">
        <v>16</v>
      </c>
    </row>
    <row r="320" spans="2:115" ht="13">
      <c r="B320" s="294"/>
      <c r="F320" s="296"/>
      <c r="J320" s="302"/>
      <c r="T320" s="295"/>
      <c r="AA320" s="295"/>
      <c r="AH320" s="295"/>
      <c r="AI320" s="188"/>
      <c r="AJ320" s="188"/>
      <c r="AK320" s="188"/>
      <c r="AL320" s="188"/>
      <c r="AM320" s="188"/>
      <c r="AN320" s="188"/>
      <c r="AO320" s="299"/>
      <c r="CI320" s="294"/>
      <c r="CJ320" s="294"/>
      <c r="CU320" s="374"/>
      <c r="CX320" s="357">
        <v>45658</v>
      </c>
      <c r="CY320" s="357">
        <v>45689</v>
      </c>
      <c r="CZ320" s="357">
        <v>45717</v>
      </c>
      <c r="DA320" s="357">
        <v>45748</v>
      </c>
      <c r="DB320" s="357">
        <v>45778</v>
      </c>
      <c r="DC320" s="357">
        <v>45809</v>
      </c>
      <c r="DD320" s="357">
        <v>45839</v>
      </c>
      <c r="DE320" s="357">
        <v>45870</v>
      </c>
      <c r="DF320" s="357">
        <v>45901</v>
      </c>
      <c r="DG320" s="357">
        <v>45931</v>
      </c>
      <c r="DH320" s="357">
        <v>45962</v>
      </c>
      <c r="DI320" s="357">
        <v>45992</v>
      </c>
      <c r="DJ320" s="357"/>
      <c r="DK320" s="375"/>
    </row>
    <row r="321" spans="2:115" ht="13">
      <c r="B321" s="294"/>
      <c r="F321" s="296"/>
      <c r="J321" s="302"/>
      <c r="T321" s="295"/>
      <c r="AA321" s="295"/>
      <c r="AH321" s="295"/>
      <c r="AI321" s="188"/>
      <c r="AJ321" s="188"/>
      <c r="AK321" s="188"/>
      <c r="AL321" s="188"/>
      <c r="AM321" s="188"/>
      <c r="AN321" s="188"/>
      <c r="AO321" s="299"/>
      <c r="CI321" s="294"/>
      <c r="CJ321" s="294"/>
      <c r="CU321" s="374"/>
      <c r="CV321" s="359"/>
      <c r="CW321" s="359" t="s">
        <v>241</v>
      </c>
      <c r="CX321" s="357">
        <v>45658</v>
      </c>
      <c r="CY321" s="357">
        <v>45689</v>
      </c>
      <c r="CZ321" s="357">
        <v>45717</v>
      </c>
      <c r="DA321" s="357">
        <v>45748</v>
      </c>
      <c r="DB321" s="357">
        <v>45778</v>
      </c>
      <c r="DC321" s="357">
        <v>45809</v>
      </c>
      <c r="DD321" s="357">
        <v>45839</v>
      </c>
      <c r="DE321" s="357">
        <v>45870</v>
      </c>
      <c r="DF321" s="360">
        <v>45901</v>
      </c>
      <c r="DG321" s="360">
        <v>45931</v>
      </c>
      <c r="DH321" s="360"/>
      <c r="DI321" s="360"/>
      <c r="DJ321" s="357"/>
      <c r="DK321" s="375"/>
    </row>
    <row r="322" spans="2:115" ht="13">
      <c r="B322" s="294"/>
      <c r="F322" s="296"/>
      <c r="J322" s="302"/>
      <c r="T322" s="295"/>
      <c r="AA322" s="295"/>
      <c r="AH322" s="295"/>
      <c r="AI322" s="188"/>
      <c r="AJ322" s="188"/>
      <c r="AK322" s="188"/>
      <c r="AL322" s="188"/>
      <c r="AM322" s="188"/>
      <c r="AN322" s="188"/>
      <c r="AO322" s="299"/>
      <c r="CI322" s="294"/>
      <c r="CJ322" s="294"/>
      <c r="CU322" s="374"/>
      <c r="CV322" s="359" t="s">
        <v>241</v>
      </c>
      <c r="CW322" s="361">
        <v>406819964.14999998</v>
      </c>
      <c r="CX322" s="361">
        <v>47401990.25</v>
      </c>
      <c r="CY322" s="361">
        <v>41248554.630000003</v>
      </c>
      <c r="CZ322" s="361">
        <v>29754088.629999999</v>
      </c>
      <c r="DA322" s="361">
        <v>43737670.539999999</v>
      </c>
      <c r="DB322" s="361">
        <v>28782972.609999999</v>
      </c>
      <c r="DC322" s="361">
        <v>42772621.280000001</v>
      </c>
      <c r="DD322" s="361">
        <v>58154269.420000002</v>
      </c>
      <c r="DE322" s="361">
        <v>38811708.159999996</v>
      </c>
      <c r="DF322" s="361">
        <v>38383843.439999998</v>
      </c>
      <c r="DG322" s="361">
        <v>37772245.189999998</v>
      </c>
      <c r="DH322" s="361"/>
      <c r="DI322" s="361"/>
      <c r="DJ322" s="361"/>
      <c r="DK322" s="378"/>
    </row>
    <row r="323" spans="2:115" ht="13">
      <c r="B323" s="294"/>
      <c r="F323" s="296"/>
      <c r="J323" s="302"/>
      <c r="T323" s="295"/>
      <c r="AA323" s="295"/>
      <c r="AH323" s="295"/>
      <c r="AI323" s="188"/>
      <c r="AJ323" s="188"/>
      <c r="AK323" s="188"/>
      <c r="AL323" s="188"/>
      <c r="AM323" s="188"/>
      <c r="AN323" s="188"/>
      <c r="AO323" s="299"/>
      <c r="CI323" s="294"/>
      <c r="CJ323" s="294"/>
      <c r="CU323" s="374">
        <v>1</v>
      </c>
      <c r="CV323" s="359" t="s">
        <v>686</v>
      </c>
      <c r="CW323" s="361">
        <v>60897145.740000002</v>
      </c>
      <c r="CX323" s="361">
        <v>11395956.300000001</v>
      </c>
      <c r="CY323" s="361">
        <v>11501697.279999999</v>
      </c>
      <c r="CZ323" s="361">
        <v>2681746.61</v>
      </c>
      <c r="DA323" s="361">
        <v>6544929.0599999996</v>
      </c>
      <c r="DB323" s="361">
        <v>1309021.17</v>
      </c>
      <c r="DC323" s="361">
        <v>5903226.0599999996</v>
      </c>
      <c r="DD323" s="361">
        <v>9441623.5099999998</v>
      </c>
      <c r="DE323" s="361">
        <v>2705045.11</v>
      </c>
      <c r="DF323" s="361">
        <v>5098254.63</v>
      </c>
      <c r="DG323" s="361">
        <v>4315646</v>
      </c>
      <c r="DH323" s="361"/>
      <c r="DI323" s="361"/>
      <c r="DJ323" s="361"/>
      <c r="DK323" s="378"/>
    </row>
    <row r="324" spans="2:115" ht="13">
      <c r="B324" s="294"/>
      <c r="F324" s="296"/>
      <c r="J324" s="302"/>
      <c r="T324" s="295"/>
      <c r="AA324" s="295"/>
      <c r="AH324" s="295"/>
      <c r="AI324" s="188"/>
      <c r="AJ324" s="188"/>
      <c r="AK324" s="188"/>
      <c r="AL324" s="188"/>
      <c r="AM324" s="188"/>
      <c r="AN324" s="188"/>
      <c r="AO324" s="299"/>
      <c r="CI324" s="294"/>
      <c r="CJ324" s="294"/>
      <c r="CU324" s="374">
        <v>2</v>
      </c>
      <c r="CV324" s="359" t="s">
        <v>695</v>
      </c>
      <c r="CW324" s="361">
        <v>36056503.119999997</v>
      </c>
      <c r="CX324" s="361">
        <v>2946012.9</v>
      </c>
      <c r="CY324" s="361">
        <v>3183260.42</v>
      </c>
      <c r="CZ324" s="361">
        <v>2451747.9300000002</v>
      </c>
      <c r="DA324" s="361">
        <v>3418987.74</v>
      </c>
      <c r="DB324" s="361">
        <v>3907613.39</v>
      </c>
      <c r="DC324" s="361">
        <v>4523581.62</v>
      </c>
      <c r="DD324" s="361">
        <v>4199799.5</v>
      </c>
      <c r="DE324" s="361">
        <v>3273800.7</v>
      </c>
      <c r="DF324" s="361">
        <v>3785785.57</v>
      </c>
      <c r="DG324" s="361">
        <v>4365913.37</v>
      </c>
      <c r="DH324" s="361"/>
      <c r="DI324" s="361"/>
      <c r="DJ324" s="361"/>
      <c r="DK324" s="378"/>
    </row>
    <row r="325" spans="2:115" ht="13">
      <c r="B325" s="294"/>
      <c r="F325" s="296"/>
      <c r="J325" s="302"/>
      <c r="T325" s="295"/>
      <c r="AA325" s="295"/>
      <c r="AH325" s="295"/>
      <c r="AI325" s="188"/>
      <c r="AJ325" s="188"/>
      <c r="AK325" s="188"/>
      <c r="AL325" s="188"/>
      <c r="AM325" s="188"/>
      <c r="AN325" s="188"/>
      <c r="AO325" s="299"/>
      <c r="CI325" s="294"/>
      <c r="CJ325" s="294"/>
      <c r="CU325" s="374">
        <v>3</v>
      </c>
      <c r="CV325" s="359" t="s">
        <v>731</v>
      </c>
      <c r="CW325" s="361">
        <v>35385896.700000003</v>
      </c>
      <c r="CX325" s="361">
        <v>2607707.54</v>
      </c>
      <c r="CY325" s="361">
        <v>2949446.8</v>
      </c>
      <c r="CZ325" s="361">
        <v>2653425.2400000002</v>
      </c>
      <c r="DA325" s="361">
        <v>5661783.4400000004</v>
      </c>
      <c r="DB325" s="361">
        <v>3496489.36</v>
      </c>
      <c r="DC325" s="361">
        <v>3403558.2</v>
      </c>
      <c r="DD325" s="361">
        <v>4744920.34</v>
      </c>
      <c r="DE325" s="361">
        <v>3062280.64</v>
      </c>
      <c r="DF325" s="361">
        <v>4519895</v>
      </c>
      <c r="DG325" s="361">
        <v>2286390.14</v>
      </c>
      <c r="DH325" s="361"/>
      <c r="DI325" s="361"/>
      <c r="DJ325" s="361"/>
      <c r="DK325" s="378"/>
    </row>
    <row r="326" spans="2:115" ht="13">
      <c r="B326" s="294"/>
      <c r="F326" s="296"/>
      <c r="J326" s="302"/>
      <c r="T326" s="295"/>
      <c r="AA326" s="295"/>
      <c r="AH326" s="295"/>
      <c r="AI326" s="188"/>
      <c r="AJ326" s="188"/>
      <c r="AK326" s="188"/>
      <c r="AL326" s="188"/>
      <c r="AM326" s="188"/>
      <c r="AN326" s="188"/>
      <c r="AO326" s="299"/>
      <c r="CI326" s="294"/>
      <c r="CJ326" s="294"/>
      <c r="CU326" s="374">
        <v>4</v>
      </c>
      <c r="CV326" s="359" t="s">
        <v>693</v>
      </c>
      <c r="CW326" s="361">
        <v>30559394.989999998</v>
      </c>
      <c r="CX326" s="361">
        <v>5084491.38</v>
      </c>
      <c r="CY326" s="361">
        <v>1299301.97</v>
      </c>
      <c r="CZ326" s="361">
        <v>5456307.4199999999</v>
      </c>
      <c r="DA326" s="361">
        <v>3189663.98</v>
      </c>
      <c r="DB326" s="361">
        <v>1698843.84</v>
      </c>
      <c r="DC326" s="361">
        <v>4597640.46</v>
      </c>
      <c r="DD326" s="361">
        <v>6150452.7699999996</v>
      </c>
      <c r="DE326" s="361">
        <v>2807498.62</v>
      </c>
      <c r="DF326" s="361">
        <v>255759.74</v>
      </c>
      <c r="DG326" s="361">
        <v>19434.82</v>
      </c>
      <c r="DH326" s="361"/>
      <c r="DI326" s="361"/>
      <c r="DJ326" s="361"/>
      <c r="DK326" s="378"/>
    </row>
    <row r="327" spans="2:115" ht="13">
      <c r="B327" s="294"/>
      <c r="F327" s="296"/>
      <c r="J327" s="302"/>
      <c r="T327" s="295"/>
      <c r="AA327" s="295"/>
      <c r="AH327" s="295"/>
      <c r="AI327" s="188"/>
      <c r="AJ327" s="188"/>
      <c r="AK327" s="188"/>
      <c r="AL327" s="188"/>
      <c r="AM327" s="188"/>
      <c r="AN327" s="188"/>
      <c r="AO327" s="299"/>
      <c r="CI327" s="294"/>
      <c r="CJ327" s="294"/>
      <c r="CU327" s="374">
        <v>5</v>
      </c>
      <c r="CV327" s="359" t="s">
        <v>699</v>
      </c>
      <c r="CW327" s="361">
        <v>25699132.460000001</v>
      </c>
      <c r="CX327" s="361">
        <v>1937439.91</v>
      </c>
      <c r="CY327" s="361">
        <v>2134030.44</v>
      </c>
      <c r="CZ327" s="361">
        <v>1885776.11</v>
      </c>
      <c r="DA327" s="361">
        <v>2638670.04</v>
      </c>
      <c r="DB327" s="361">
        <v>2299386.06</v>
      </c>
      <c r="DC327" s="361">
        <v>2482086.6</v>
      </c>
      <c r="DD327" s="361">
        <v>3244740.93</v>
      </c>
      <c r="DE327" s="361">
        <v>5337957.2</v>
      </c>
      <c r="DF327" s="361">
        <v>817182.83</v>
      </c>
      <c r="DG327" s="361">
        <v>2921862.34</v>
      </c>
      <c r="DH327" s="361"/>
      <c r="DI327" s="361"/>
      <c r="DJ327" s="361"/>
      <c r="DK327" s="378"/>
    </row>
    <row r="328" spans="2:115" ht="13">
      <c r="B328" s="294"/>
      <c r="F328" s="296"/>
      <c r="J328" s="302"/>
      <c r="T328" s="295"/>
      <c r="AA328" s="295"/>
      <c r="AH328" s="295"/>
      <c r="AI328" s="188"/>
      <c r="AJ328" s="188"/>
      <c r="AK328" s="188"/>
      <c r="AL328" s="188"/>
      <c r="AM328" s="188"/>
      <c r="AN328" s="188"/>
      <c r="AO328" s="299"/>
      <c r="CI328" s="294"/>
      <c r="CJ328" s="294"/>
      <c r="CU328" s="374">
        <v>6</v>
      </c>
      <c r="CV328" s="359" t="s">
        <v>687</v>
      </c>
      <c r="CW328" s="361">
        <v>20662819.789999999</v>
      </c>
      <c r="CX328" s="361">
        <v>1994566.38</v>
      </c>
      <c r="CY328" s="361">
        <v>2881719.7</v>
      </c>
      <c r="CZ328" s="361">
        <v>937234.28</v>
      </c>
      <c r="DA328" s="361">
        <v>2325876.7599999998</v>
      </c>
      <c r="DB328" s="361">
        <v>1523069.85</v>
      </c>
      <c r="DC328" s="361">
        <v>1845707.1</v>
      </c>
      <c r="DD328" s="361">
        <v>3023259.78</v>
      </c>
      <c r="DE328" s="361">
        <v>1655383.76</v>
      </c>
      <c r="DF328" s="361">
        <v>2385258.58</v>
      </c>
      <c r="DG328" s="361">
        <v>2090743.61</v>
      </c>
      <c r="DH328" s="361"/>
      <c r="DI328" s="361"/>
      <c r="DJ328" s="361"/>
      <c r="DK328" s="378"/>
    </row>
    <row r="329" spans="2:115" ht="13">
      <c r="B329" s="294"/>
      <c r="F329" s="296"/>
      <c r="J329" s="302"/>
      <c r="T329" s="295"/>
      <c r="AA329" s="295"/>
      <c r="AH329" s="295"/>
      <c r="AI329" s="188"/>
      <c r="AJ329" s="188"/>
      <c r="AK329" s="188"/>
      <c r="AL329" s="188"/>
      <c r="AM329" s="188"/>
      <c r="AN329" s="188"/>
      <c r="AO329" s="299"/>
      <c r="CI329" s="294"/>
      <c r="CJ329" s="294"/>
      <c r="CU329" s="374">
        <v>7</v>
      </c>
      <c r="CV329" s="359" t="s">
        <v>753</v>
      </c>
      <c r="CW329" s="361">
        <v>15344172.98</v>
      </c>
      <c r="CX329" s="361">
        <v>1408825.36</v>
      </c>
      <c r="CY329" s="361">
        <v>1467912.7</v>
      </c>
      <c r="CZ329" s="361">
        <v>1373314.03</v>
      </c>
      <c r="DA329" s="361">
        <v>1775431.78</v>
      </c>
      <c r="DB329" s="361">
        <v>1318616.95</v>
      </c>
      <c r="DC329" s="361">
        <v>1587778.73</v>
      </c>
      <c r="DD329" s="361">
        <v>1597726.34</v>
      </c>
      <c r="DE329" s="361">
        <v>1829255.11</v>
      </c>
      <c r="DF329" s="361">
        <v>1244007.48</v>
      </c>
      <c r="DG329" s="361">
        <v>1741304.5</v>
      </c>
      <c r="DH329" s="361"/>
      <c r="DI329" s="361"/>
      <c r="DJ329" s="361"/>
      <c r="DK329" s="378"/>
    </row>
    <row r="330" spans="2:115" ht="13">
      <c r="B330" s="294"/>
      <c r="F330" s="296"/>
      <c r="J330" s="302"/>
      <c r="T330" s="295"/>
      <c r="AA330" s="295"/>
      <c r="AH330" s="295"/>
      <c r="AI330" s="188"/>
      <c r="AJ330" s="188"/>
      <c r="AK330" s="188"/>
      <c r="AL330" s="188"/>
      <c r="AM330" s="188"/>
      <c r="AN330" s="188"/>
      <c r="AO330" s="299"/>
      <c r="CI330" s="294"/>
      <c r="CJ330" s="294"/>
      <c r="CU330" s="374">
        <v>8</v>
      </c>
      <c r="CV330" s="359" t="s">
        <v>717</v>
      </c>
      <c r="CW330" s="361">
        <v>15311086.84</v>
      </c>
      <c r="CX330" s="361">
        <v>1853930.11</v>
      </c>
      <c r="CY330" s="361">
        <v>672942.72</v>
      </c>
      <c r="CZ330" s="361">
        <v>893069.95</v>
      </c>
      <c r="DA330" s="361">
        <v>3318693.32</v>
      </c>
      <c r="DB330" s="361">
        <v>637568.31999999995</v>
      </c>
      <c r="DC330" s="361">
        <v>1460733.47</v>
      </c>
      <c r="DD330" s="361">
        <v>2760727.74</v>
      </c>
      <c r="DE330" s="361">
        <v>1160636.71</v>
      </c>
      <c r="DF330" s="361">
        <v>1870086.76</v>
      </c>
      <c r="DG330" s="361">
        <v>682697.76</v>
      </c>
      <c r="DH330" s="361"/>
      <c r="DI330" s="361"/>
      <c r="DJ330" s="361"/>
      <c r="DK330" s="378"/>
    </row>
    <row r="331" spans="2:115" ht="13">
      <c r="B331" s="294"/>
      <c r="F331" s="296"/>
      <c r="J331" s="302"/>
      <c r="T331" s="295"/>
      <c r="AA331" s="295"/>
      <c r="AH331" s="295"/>
      <c r="AI331" s="188"/>
      <c r="AJ331" s="188"/>
      <c r="AK331" s="188"/>
      <c r="AL331" s="188"/>
      <c r="AM331" s="188"/>
      <c r="AN331" s="188"/>
      <c r="AO331" s="299"/>
      <c r="CI331" s="294"/>
      <c r="CJ331" s="294"/>
      <c r="CU331" s="374">
        <v>9</v>
      </c>
      <c r="CV331" s="359" t="s">
        <v>727</v>
      </c>
      <c r="CW331" s="361">
        <v>14415333.060000001</v>
      </c>
      <c r="CX331" s="361">
        <v>1449757.16</v>
      </c>
      <c r="CY331" s="361">
        <v>524604</v>
      </c>
      <c r="CZ331" s="361">
        <v>1437016.81</v>
      </c>
      <c r="DA331" s="361">
        <v>791810.8</v>
      </c>
      <c r="DB331" s="361">
        <v>0</v>
      </c>
      <c r="DC331" s="361">
        <v>803218.26</v>
      </c>
      <c r="DD331" s="361">
        <v>2912746.22</v>
      </c>
      <c r="DE331" s="361">
        <v>617955.26</v>
      </c>
      <c r="DF331" s="361">
        <v>1757074.17</v>
      </c>
      <c r="DG331" s="361">
        <v>4121150.38</v>
      </c>
      <c r="DH331" s="361"/>
      <c r="DI331" s="361"/>
      <c r="DJ331" s="361"/>
      <c r="DK331" s="378"/>
    </row>
    <row r="332" spans="2:115" ht="13">
      <c r="B332" s="294"/>
      <c r="F332" s="296"/>
      <c r="J332" s="302"/>
      <c r="T332" s="295"/>
      <c r="AA332" s="295"/>
      <c r="AH332" s="295"/>
      <c r="AI332" s="188"/>
      <c r="AJ332" s="188"/>
      <c r="AK332" s="188"/>
      <c r="AL332" s="188"/>
      <c r="AM332" s="188"/>
      <c r="AN332" s="188"/>
      <c r="AO332" s="299"/>
      <c r="CI332" s="294"/>
      <c r="CJ332" s="294"/>
      <c r="CU332" s="374">
        <v>10</v>
      </c>
      <c r="CV332" s="359" t="s">
        <v>743</v>
      </c>
      <c r="CW332" s="361">
        <v>13156295.33</v>
      </c>
      <c r="CX332" s="361">
        <v>582267.84</v>
      </c>
      <c r="CY332" s="361">
        <v>1492051.02</v>
      </c>
      <c r="CZ332" s="361">
        <v>904002.64</v>
      </c>
      <c r="DA332" s="361">
        <v>1748140.55</v>
      </c>
      <c r="DB332" s="361">
        <v>923334.64</v>
      </c>
      <c r="DC332" s="361">
        <v>1622326.16</v>
      </c>
      <c r="DD332" s="361">
        <v>1880863.99</v>
      </c>
      <c r="DE332" s="361">
        <v>1284282.8500000001</v>
      </c>
      <c r="DF332" s="361">
        <v>1447559.5</v>
      </c>
      <c r="DG332" s="361">
        <v>1271466.1499999999</v>
      </c>
      <c r="DH332" s="361"/>
      <c r="DI332" s="361"/>
      <c r="DJ332" s="361"/>
      <c r="DK332" s="378"/>
    </row>
    <row r="333" spans="2:115" ht="13">
      <c r="B333" s="294"/>
      <c r="F333" s="296"/>
      <c r="J333" s="302"/>
      <c r="T333" s="295"/>
      <c r="AA333" s="295"/>
      <c r="AH333" s="295"/>
      <c r="AI333" s="188"/>
      <c r="AJ333" s="188"/>
      <c r="AK333" s="188"/>
      <c r="AL333" s="188"/>
      <c r="AM333" s="188"/>
      <c r="AN333" s="188"/>
      <c r="AO333" s="299"/>
      <c r="CI333" s="294"/>
      <c r="CJ333" s="294"/>
      <c r="CU333" s="374">
        <v>11</v>
      </c>
      <c r="CV333" s="359" t="s">
        <v>756</v>
      </c>
      <c r="CW333" s="361">
        <v>11168098.52</v>
      </c>
      <c r="CX333" s="361">
        <v>579977.52</v>
      </c>
      <c r="CY333" s="361">
        <v>374376.59</v>
      </c>
      <c r="CZ333" s="361">
        <v>937469.81</v>
      </c>
      <c r="DA333" s="361">
        <v>1178136.1100000001</v>
      </c>
      <c r="DB333" s="361">
        <v>1250776.99</v>
      </c>
      <c r="DC333" s="361">
        <v>1635414.96</v>
      </c>
      <c r="DD333" s="361">
        <v>1667711.23</v>
      </c>
      <c r="DE333" s="361">
        <v>1238564.17</v>
      </c>
      <c r="DF333" s="361">
        <v>1583679.52</v>
      </c>
      <c r="DG333" s="361">
        <v>721991.62</v>
      </c>
      <c r="DH333" s="361"/>
      <c r="DI333" s="361"/>
      <c r="DJ333" s="361"/>
      <c r="DK333" s="378"/>
    </row>
    <row r="334" spans="2:115" ht="13">
      <c r="B334" s="294"/>
      <c r="F334" s="296"/>
      <c r="J334" s="302"/>
      <c r="T334" s="295"/>
      <c r="AA334" s="295"/>
      <c r="AH334" s="295"/>
      <c r="AI334" s="188"/>
      <c r="AJ334" s="188"/>
      <c r="AK334" s="188"/>
      <c r="AL334" s="188"/>
      <c r="AM334" s="188"/>
      <c r="AN334" s="188"/>
      <c r="AO334" s="299"/>
      <c r="CI334" s="294"/>
      <c r="CJ334" s="294"/>
      <c r="CU334" s="374">
        <v>12</v>
      </c>
      <c r="CV334" s="359" t="s">
        <v>726</v>
      </c>
      <c r="CW334" s="361">
        <v>10451172.130000001</v>
      </c>
      <c r="CX334" s="361">
        <v>1122692.51</v>
      </c>
      <c r="CY334" s="361">
        <v>919452.25</v>
      </c>
      <c r="CZ334" s="361">
        <v>722598.29</v>
      </c>
      <c r="DA334" s="361">
        <v>986054.84</v>
      </c>
      <c r="DB334" s="361">
        <v>1029333.34</v>
      </c>
      <c r="DC334" s="361">
        <v>1178453.8999999999</v>
      </c>
      <c r="DD334" s="361">
        <v>952085.86</v>
      </c>
      <c r="DE334" s="361">
        <v>1185741.74</v>
      </c>
      <c r="DF334" s="361">
        <v>1160202.47</v>
      </c>
      <c r="DG334" s="361">
        <v>1194556.94</v>
      </c>
      <c r="DH334" s="361"/>
      <c r="DI334" s="361"/>
      <c r="DJ334" s="361"/>
      <c r="DK334" s="378"/>
    </row>
    <row r="335" spans="2:115" ht="13">
      <c r="B335" s="294"/>
      <c r="F335" s="296"/>
      <c r="J335" s="302"/>
      <c r="T335" s="295"/>
      <c r="AA335" s="295"/>
      <c r="AH335" s="295"/>
      <c r="AI335" s="188"/>
      <c r="AJ335" s="188"/>
      <c r="AK335" s="188"/>
      <c r="AL335" s="188"/>
      <c r="AM335" s="188"/>
      <c r="AN335" s="188"/>
      <c r="AO335" s="299"/>
      <c r="CI335" s="294"/>
      <c r="CJ335" s="294"/>
      <c r="CU335" s="374">
        <v>13</v>
      </c>
      <c r="CV335" s="359" t="s">
        <v>719</v>
      </c>
      <c r="CW335" s="361">
        <v>10191705.25</v>
      </c>
      <c r="CX335" s="361">
        <v>1306543.7</v>
      </c>
      <c r="CY335" s="361">
        <v>1607175.57</v>
      </c>
      <c r="CZ335" s="361">
        <v>718508.56</v>
      </c>
      <c r="DA335" s="361">
        <v>0</v>
      </c>
      <c r="DB335" s="361">
        <v>187657.86</v>
      </c>
      <c r="DC335" s="361">
        <v>1053180.1299999999</v>
      </c>
      <c r="DD335" s="361">
        <v>2668747.7400000002</v>
      </c>
      <c r="DE335" s="361">
        <v>1136814.1399999999</v>
      </c>
      <c r="DF335" s="361">
        <v>996500.51</v>
      </c>
      <c r="DG335" s="361">
        <v>516577.06</v>
      </c>
      <c r="DH335" s="361"/>
      <c r="DI335" s="361"/>
      <c r="DJ335" s="361"/>
      <c r="DK335" s="378"/>
    </row>
    <row r="336" spans="2:115" ht="13">
      <c r="B336" s="294"/>
      <c r="F336" s="296"/>
      <c r="J336" s="302"/>
      <c r="T336" s="295"/>
      <c r="AA336" s="295"/>
      <c r="AH336" s="295"/>
      <c r="AI336" s="188"/>
      <c r="AJ336" s="188"/>
      <c r="AK336" s="188"/>
      <c r="AL336" s="188"/>
      <c r="AM336" s="188"/>
      <c r="AN336" s="188"/>
      <c r="AO336" s="299"/>
      <c r="CI336" s="294"/>
      <c r="CJ336" s="294"/>
      <c r="CU336" s="374">
        <v>14</v>
      </c>
      <c r="CV336" s="359" t="s">
        <v>700</v>
      </c>
      <c r="CW336" s="361">
        <v>8710805.0399999991</v>
      </c>
      <c r="CX336" s="361">
        <v>933995.98</v>
      </c>
      <c r="CY336" s="361">
        <v>1148297.76</v>
      </c>
      <c r="CZ336" s="361">
        <v>126110.42</v>
      </c>
      <c r="DA336" s="361">
        <v>1140975.4099999999</v>
      </c>
      <c r="DB336" s="361">
        <v>582109.03</v>
      </c>
      <c r="DC336" s="361">
        <v>660202.07999999996</v>
      </c>
      <c r="DD336" s="361">
        <v>1227608.81</v>
      </c>
      <c r="DE336" s="361">
        <v>1250626.92</v>
      </c>
      <c r="DF336" s="361">
        <v>1134066.48</v>
      </c>
      <c r="DG336" s="361">
        <v>506812.15</v>
      </c>
      <c r="DH336" s="361"/>
      <c r="DI336" s="361"/>
      <c r="DJ336" s="361"/>
      <c r="DK336" s="378"/>
    </row>
    <row r="337" spans="2:115" ht="13">
      <c r="B337" s="294"/>
      <c r="F337" s="296"/>
      <c r="J337" s="302"/>
      <c r="T337" s="295"/>
      <c r="AA337" s="295"/>
      <c r="AH337" s="295"/>
      <c r="AI337" s="188"/>
      <c r="AJ337" s="188"/>
      <c r="AK337" s="188"/>
      <c r="AL337" s="188"/>
      <c r="AM337" s="188"/>
      <c r="AN337" s="188"/>
      <c r="AO337" s="299"/>
      <c r="CI337" s="294"/>
      <c r="CJ337" s="294"/>
      <c r="CU337" s="374">
        <v>15</v>
      </c>
      <c r="CV337" s="359" t="s">
        <v>702</v>
      </c>
      <c r="CW337" s="361">
        <v>8437480.6400000006</v>
      </c>
      <c r="CX337" s="361">
        <v>0</v>
      </c>
      <c r="CY337" s="361">
        <v>543885.87</v>
      </c>
      <c r="CZ337" s="361">
        <v>892228.8</v>
      </c>
      <c r="DA337" s="361">
        <v>981855.6</v>
      </c>
      <c r="DB337" s="361">
        <v>666466.96</v>
      </c>
      <c r="DC337" s="361">
        <v>1382539.92</v>
      </c>
      <c r="DD337" s="361">
        <v>1304388.56</v>
      </c>
      <c r="DE337" s="361">
        <v>642828.48</v>
      </c>
      <c r="DF337" s="361">
        <v>1144265.04</v>
      </c>
      <c r="DG337" s="361">
        <v>879021.41</v>
      </c>
      <c r="DH337" s="365"/>
      <c r="DI337" s="365"/>
      <c r="DJ337" s="365"/>
      <c r="DK337" s="379"/>
    </row>
    <row r="338" spans="2:115" ht="13">
      <c r="B338" s="294"/>
      <c r="F338" s="296"/>
      <c r="J338" s="302"/>
      <c r="T338" s="295"/>
      <c r="AA338" s="295"/>
      <c r="AH338" s="295"/>
      <c r="AI338" s="188"/>
      <c r="AJ338" s="188"/>
      <c r="AK338" s="188"/>
      <c r="AL338" s="188"/>
      <c r="AM338" s="188"/>
      <c r="AN338" s="188"/>
      <c r="AO338" s="299"/>
      <c r="CI338" s="294"/>
      <c r="CJ338" s="294"/>
      <c r="CU338" s="374">
        <v>16</v>
      </c>
      <c r="CV338" s="359" t="s">
        <v>721</v>
      </c>
      <c r="CW338" s="361">
        <v>7936726.6299999999</v>
      </c>
      <c r="CX338" s="361">
        <v>114338.76</v>
      </c>
      <c r="CY338" s="361">
        <v>985389.56</v>
      </c>
      <c r="CZ338" s="361">
        <v>28142.27</v>
      </c>
      <c r="DA338" s="361">
        <v>65527.46</v>
      </c>
      <c r="DB338" s="361">
        <v>933957.21</v>
      </c>
      <c r="DC338" s="361">
        <v>588807.41</v>
      </c>
      <c r="DD338" s="361">
        <v>1851544.17</v>
      </c>
      <c r="DE338" s="361">
        <v>1050108.4099999999</v>
      </c>
      <c r="DF338" s="361">
        <v>1205793.76</v>
      </c>
      <c r="DG338" s="361">
        <v>1113117.6100000001</v>
      </c>
      <c r="DH338" s="361"/>
      <c r="DI338" s="361"/>
      <c r="DJ338" s="361"/>
      <c r="DK338" s="378"/>
    </row>
    <row r="339" spans="2:115" ht="13">
      <c r="B339" s="294"/>
      <c r="F339" s="296"/>
      <c r="J339" s="302"/>
      <c r="T339" s="295"/>
      <c r="AA339" s="295"/>
      <c r="AH339" s="295"/>
      <c r="AI339" s="188"/>
      <c r="AJ339" s="188"/>
      <c r="AK339" s="188"/>
      <c r="AL339" s="188"/>
      <c r="AM339" s="188"/>
      <c r="AN339" s="188"/>
      <c r="AO339" s="299"/>
      <c r="CI339" s="294"/>
      <c r="CJ339" s="294"/>
      <c r="CU339" s="374">
        <v>17</v>
      </c>
      <c r="CV339" s="359" t="s">
        <v>724</v>
      </c>
      <c r="CW339" s="361">
        <v>7796695.3399999999</v>
      </c>
      <c r="CX339" s="361">
        <v>703698.48</v>
      </c>
      <c r="CY339" s="361">
        <v>758369.36</v>
      </c>
      <c r="CZ339" s="361">
        <v>495656</v>
      </c>
      <c r="DA339" s="361">
        <v>992465.04</v>
      </c>
      <c r="DB339" s="361">
        <v>470710.75</v>
      </c>
      <c r="DC339" s="361">
        <v>617828.21</v>
      </c>
      <c r="DD339" s="361">
        <v>637866.54</v>
      </c>
      <c r="DE339" s="361">
        <v>1678029.97</v>
      </c>
      <c r="DF339" s="361">
        <v>631625.53</v>
      </c>
      <c r="DG339" s="361">
        <v>810445.46</v>
      </c>
      <c r="DH339" s="361"/>
      <c r="DI339" s="361"/>
      <c r="DJ339" s="361"/>
      <c r="DK339" s="378"/>
    </row>
    <row r="340" spans="2:115" ht="13">
      <c r="B340" s="294"/>
      <c r="F340" s="296"/>
      <c r="J340" s="302"/>
      <c r="T340" s="295"/>
      <c r="AA340" s="295"/>
      <c r="AH340" s="295"/>
      <c r="AI340" s="188"/>
      <c r="AJ340" s="188"/>
      <c r="AK340" s="188"/>
      <c r="AL340" s="188"/>
      <c r="AM340" s="188"/>
      <c r="AN340" s="188"/>
      <c r="AO340" s="299"/>
      <c r="CI340" s="294"/>
      <c r="CJ340" s="294"/>
      <c r="CU340" s="374">
        <v>18</v>
      </c>
      <c r="CV340" s="359" t="s">
        <v>697</v>
      </c>
      <c r="CW340" s="361">
        <v>7767393.7400000002</v>
      </c>
      <c r="CX340" s="361">
        <v>1783610.54</v>
      </c>
      <c r="CY340" s="361">
        <v>439770.18</v>
      </c>
      <c r="CZ340" s="361">
        <v>562829.11</v>
      </c>
      <c r="DA340" s="361">
        <v>1235036.57</v>
      </c>
      <c r="DB340" s="361">
        <v>864450.59</v>
      </c>
      <c r="DC340" s="361">
        <v>363184.65</v>
      </c>
      <c r="DD340" s="361">
        <v>1512446.25</v>
      </c>
      <c r="DE340" s="361">
        <v>460648.27</v>
      </c>
      <c r="DF340" s="361">
        <v>80498.23</v>
      </c>
      <c r="DG340" s="361">
        <v>464919.35</v>
      </c>
      <c r="DH340" s="361"/>
      <c r="DI340" s="361"/>
      <c r="DJ340" s="361"/>
      <c r="DK340" s="378"/>
    </row>
    <row r="341" spans="2:115" ht="13">
      <c r="B341" s="294"/>
      <c r="F341" s="296"/>
      <c r="J341" s="302"/>
      <c r="T341" s="295"/>
      <c r="AA341" s="295"/>
      <c r="AH341" s="295"/>
      <c r="AI341" s="188"/>
      <c r="AJ341" s="188"/>
      <c r="AK341" s="188"/>
      <c r="AL341" s="188"/>
      <c r="AM341" s="188"/>
      <c r="AN341" s="188"/>
      <c r="AO341" s="299"/>
      <c r="CI341" s="294"/>
      <c r="CJ341" s="294"/>
      <c r="CU341" s="374">
        <v>19</v>
      </c>
      <c r="CV341" s="359" t="s">
        <v>732</v>
      </c>
      <c r="CW341" s="361">
        <v>5658530.3700000001</v>
      </c>
      <c r="CX341" s="361">
        <v>123127.44</v>
      </c>
      <c r="CY341" s="361">
        <v>608821.84</v>
      </c>
      <c r="CZ341" s="361">
        <v>510872</v>
      </c>
      <c r="DA341" s="361">
        <v>1026706.8</v>
      </c>
      <c r="DB341" s="361">
        <v>66200.399999999994</v>
      </c>
      <c r="DC341" s="361">
        <v>856231.58</v>
      </c>
      <c r="DD341" s="361">
        <v>794922.4</v>
      </c>
      <c r="DE341" s="361">
        <v>758392</v>
      </c>
      <c r="DF341" s="361">
        <v>106667.52</v>
      </c>
      <c r="DG341" s="361">
        <v>806588.39</v>
      </c>
      <c r="DH341" s="361"/>
      <c r="DI341" s="361"/>
      <c r="DJ341" s="361"/>
      <c r="DK341" s="378"/>
    </row>
    <row r="342" spans="2:115" ht="13">
      <c r="B342" s="294"/>
      <c r="F342" s="296"/>
      <c r="J342" s="302"/>
      <c r="T342" s="295"/>
      <c r="AA342" s="295"/>
      <c r="AH342" s="295"/>
      <c r="AI342" s="188"/>
      <c r="AJ342" s="188"/>
      <c r="AK342" s="188"/>
      <c r="AL342" s="188"/>
      <c r="AM342" s="188"/>
      <c r="AN342" s="188"/>
      <c r="AO342" s="299"/>
      <c r="CI342" s="294"/>
      <c r="CJ342" s="294"/>
      <c r="CU342" s="374">
        <v>20</v>
      </c>
      <c r="CV342" s="359" t="s">
        <v>758</v>
      </c>
      <c r="CW342" s="361">
        <v>5570336.8300000001</v>
      </c>
      <c r="CX342" s="361">
        <v>621813.43999999994</v>
      </c>
      <c r="CY342" s="361">
        <v>614467.98</v>
      </c>
      <c r="CZ342" s="361">
        <v>409824.64</v>
      </c>
      <c r="DA342" s="361">
        <v>477451.96</v>
      </c>
      <c r="DB342" s="361">
        <v>447548.29</v>
      </c>
      <c r="DC342" s="361">
        <v>589988.07999999996</v>
      </c>
      <c r="DD342" s="361">
        <v>416550.84</v>
      </c>
      <c r="DE342" s="361">
        <v>738851.68</v>
      </c>
      <c r="DF342" s="361">
        <v>593669.52</v>
      </c>
      <c r="DG342" s="361">
        <v>660170.4</v>
      </c>
      <c r="DH342" s="361"/>
      <c r="DI342" s="361"/>
      <c r="DJ342" s="361"/>
      <c r="DK342" s="378"/>
    </row>
    <row r="343" spans="2:115" ht="13">
      <c r="B343" s="294"/>
      <c r="F343" s="296"/>
      <c r="J343" s="302"/>
      <c r="T343" s="295"/>
      <c r="AA343" s="295"/>
      <c r="AH343" s="295"/>
      <c r="AI343" s="188"/>
      <c r="AJ343" s="188"/>
      <c r="AK343" s="188"/>
      <c r="AL343" s="188"/>
      <c r="AM343" s="188"/>
      <c r="AN343" s="188"/>
      <c r="AO343" s="299"/>
      <c r="CI343" s="294"/>
      <c r="CJ343" s="294"/>
      <c r="CU343" s="374">
        <v>21</v>
      </c>
      <c r="CV343" s="359" t="s">
        <v>746</v>
      </c>
      <c r="CW343" s="361">
        <v>5191006.68</v>
      </c>
      <c r="CX343" s="361">
        <v>0</v>
      </c>
      <c r="CY343" s="361">
        <v>0</v>
      </c>
      <c r="CZ343" s="361">
        <v>0</v>
      </c>
      <c r="DA343" s="361">
        <v>44133.599999999999</v>
      </c>
      <c r="DB343" s="361">
        <v>684340.43</v>
      </c>
      <c r="DC343" s="361">
        <v>797096.18</v>
      </c>
      <c r="DD343" s="361">
        <v>964764.57</v>
      </c>
      <c r="DE343" s="361">
        <v>638992.19999999995</v>
      </c>
      <c r="DF343" s="361">
        <v>918901.21</v>
      </c>
      <c r="DG343" s="361">
        <v>1142778.49</v>
      </c>
      <c r="DH343" s="361"/>
      <c r="DI343" s="361"/>
      <c r="DJ343" s="361"/>
      <c r="DK343" s="378"/>
    </row>
    <row r="344" spans="2:115" ht="13">
      <c r="B344" s="294"/>
      <c r="F344" s="296"/>
      <c r="J344" s="302"/>
      <c r="T344" s="295"/>
      <c r="AA344" s="295"/>
      <c r="AH344" s="295"/>
      <c r="AI344" s="188"/>
      <c r="AJ344" s="188"/>
      <c r="AK344" s="188"/>
      <c r="AL344" s="188"/>
      <c r="AM344" s="188"/>
      <c r="AN344" s="188"/>
      <c r="AO344" s="299"/>
      <c r="CI344" s="294"/>
      <c r="CJ344" s="294"/>
      <c r="CU344" s="374">
        <v>22</v>
      </c>
      <c r="CV344" s="359" t="s">
        <v>729</v>
      </c>
      <c r="CW344" s="361">
        <v>3821865.39</v>
      </c>
      <c r="CX344" s="361">
        <v>348324.94</v>
      </c>
      <c r="CY344" s="361">
        <v>217266.86</v>
      </c>
      <c r="CZ344" s="361">
        <v>319279.89</v>
      </c>
      <c r="DA344" s="361">
        <v>342697.63</v>
      </c>
      <c r="DB344" s="361">
        <v>491871.7</v>
      </c>
      <c r="DC344" s="361">
        <v>564223.06000000006</v>
      </c>
      <c r="DD344" s="361">
        <v>636969.11</v>
      </c>
      <c r="DE344" s="361">
        <v>321465.01</v>
      </c>
      <c r="DF344" s="361">
        <v>405818.12</v>
      </c>
      <c r="DG344" s="361">
        <v>173949.08</v>
      </c>
      <c r="DH344" s="361"/>
      <c r="DI344" s="361"/>
      <c r="DJ344" s="361"/>
      <c r="DK344" s="378"/>
    </row>
    <row r="345" spans="2:115" ht="13">
      <c r="B345" s="294"/>
      <c r="F345" s="296"/>
      <c r="J345" s="302"/>
      <c r="T345" s="295"/>
      <c r="AA345" s="295"/>
      <c r="AH345" s="295"/>
      <c r="AI345" s="188"/>
      <c r="AJ345" s="188"/>
      <c r="AK345" s="188"/>
      <c r="AL345" s="188"/>
      <c r="AM345" s="188"/>
      <c r="AN345" s="188"/>
      <c r="AO345" s="299"/>
      <c r="CI345" s="294"/>
      <c r="CJ345" s="294"/>
      <c r="CU345" s="374">
        <v>23</v>
      </c>
      <c r="CV345" s="359" t="s">
        <v>723</v>
      </c>
      <c r="CW345" s="361">
        <v>3532748.59</v>
      </c>
      <c r="CX345" s="361">
        <v>1077605.8999999999</v>
      </c>
      <c r="CY345" s="361">
        <v>0</v>
      </c>
      <c r="CZ345" s="361">
        <v>538881.42000000004</v>
      </c>
      <c r="DA345" s="361">
        <v>0</v>
      </c>
      <c r="DB345" s="361">
        <v>377216.84</v>
      </c>
      <c r="DC345" s="361">
        <v>377216.84</v>
      </c>
      <c r="DD345" s="361">
        <v>377216.84</v>
      </c>
      <c r="DE345" s="361">
        <v>377216.84</v>
      </c>
      <c r="DF345" s="361">
        <v>0</v>
      </c>
      <c r="DG345" s="361">
        <v>407393.91</v>
      </c>
      <c r="DH345" s="361"/>
      <c r="DI345" s="361"/>
      <c r="DJ345" s="361"/>
      <c r="DK345" s="378"/>
    </row>
    <row r="346" spans="2:115" ht="13">
      <c r="B346" s="294"/>
      <c r="F346" s="296"/>
      <c r="J346" s="302"/>
      <c r="T346" s="295"/>
      <c r="AA346" s="295"/>
      <c r="AH346" s="295"/>
      <c r="AI346" s="188"/>
      <c r="AJ346" s="188"/>
      <c r="AK346" s="188"/>
      <c r="AL346" s="188"/>
      <c r="AM346" s="188"/>
      <c r="AN346" s="188"/>
      <c r="AO346" s="299"/>
      <c r="CI346" s="294"/>
      <c r="CJ346" s="294"/>
      <c r="CU346" s="374">
        <v>24</v>
      </c>
      <c r="CV346" s="359" t="s">
        <v>685</v>
      </c>
      <c r="CW346" s="361">
        <v>3304154.31</v>
      </c>
      <c r="CX346" s="361">
        <v>642939.11</v>
      </c>
      <c r="CY346" s="361">
        <v>588785.35</v>
      </c>
      <c r="CZ346" s="361">
        <v>28276.400000000001</v>
      </c>
      <c r="DA346" s="361">
        <v>80898.399999999994</v>
      </c>
      <c r="DB346" s="361">
        <v>440149.05</v>
      </c>
      <c r="DC346" s="361">
        <v>179365.45</v>
      </c>
      <c r="DD346" s="361">
        <v>49307.28</v>
      </c>
      <c r="DE346" s="361">
        <v>953889.56</v>
      </c>
      <c r="DF346" s="361">
        <v>122218.17</v>
      </c>
      <c r="DG346" s="361">
        <v>218325.53</v>
      </c>
      <c r="DH346" s="361"/>
      <c r="DI346" s="361"/>
      <c r="DJ346" s="361"/>
      <c r="DK346" s="378"/>
    </row>
    <row r="347" spans="2:115" ht="13">
      <c r="B347" s="294"/>
      <c r="F347" s="296"/>
      <c r="J347" s="302"/>
      <c r="T347" s="295"/>
      <c r="AA347" s="295"/>
      <c r="AH347" s="295"/>
      <c r="AI347" s="188"/>
      <c r="AJ347" s="188"/>
      <c r="AK347" s="188"/>
      <c r="AL347" s="188"/>
      <c r="AM347" s="188"/>
      <c r="AN347" s="188"/>
      <c r="AO347" s="299"/>
      <c r="CI347" s="294"/>
      <c r="CJ347" s="294"/>
      <c r="CU347" s="374">
        <v>25</v>
      </c>
      <c r="CV347" s="359" t="s">
        <v>704</v>
      </c>
      <c r="CW347" s="361">
        <v>3252384.54</v>
      </c>
      <c r="CX347" s="361">
        <v>459716.16</v>
      </c>
      <c r="CY347" s="361">
        <v>349879.35</v>
      </c>
      <c r="CZ347" s="361">
        <v>377844.73</v>
      </c>
      <c r="DA347" s="361">
        <v>488001.59</v>
      </c>
      <c r="DB347" s="361">
        <v>259720.65</v>
      </c>
      <c r="DC347" s="361">
        <v>397544.32</v>
      </c>
      <c r="DD347" s="361">
        <v>161972.18</v>
      </c>
      <c r="DE347" s="361">
        <v>375193.74</v>
      </c>
      <c r="DF347" s="361">
        <v>63514.239999999998</v>
      </c>
      <c r="DG347" s="361">
        <v>318997.59000000003</v>
      </c>
      <c r="DH347" s="365"/>
      <c r="DI347" s="365"/>
      <c r="DJ347" s="365"/>
      <c r="DK347" s="379"/>
    </row>
    <row r="348" spans="2:115" ht="13">
      <c r="B348" s="294"/>
      <c r="F348" s="296"/>
      <c r="J348" s="302"/>
      <c r="T348" s="295"/>
      <c r="AA348" s="295"/>
      <c r="AH348" s="295"/>
      <c r="AI348" s="188"/>
      <c r="AJ348" s="188"/>
      <c r="AK348" s="188"/>
      <c r="AL348" s="188"/>
      <c r="AM348" s="188"/>
      <c r="AN348" s="188"/>
      <c r="AO348" s="299"/>
      <c r="CI348" s="294"/>
      <c r="CJ348" s="294"/>
      <c r="CU348" s="374">
        <v>26</v>
      </c>
      <c r="CV348" s="359" t="s">
        <v>722</v>
      </c>
      <c r="CW348" s="361">
        <v>2948937.95</v>
      </c>
      <c r="CX348" s="361">
        <v>476915.63</v>
      </c>
      <c r="CY348" s="361">
        <v>481901.45</v>
      </c>
      <c r="CZ348" s="361">
        <v>45144.72</v>
      </c>
      <c r="DA348" s="361">
        <v>266020.23</v>
      </c>
      <c r="DB348" s="361">
        <v>108727.97</v>
      </c>
      <c r="DC348" s="361">
        <v>624825.54</v>
      </c>
      <c r="DD348" s="361">
        <v>63315.42</v>
      </c>
      <c r="DE348" s="361">
        <v>497917.86</v>
      </c>
      <c r="DF348" s="361">
        <v>301074.03999999998</v>
      </c>
      <c r="DG348" s="361">
        <v>83095.09</v>
      </c>
      <c r="DH348" s="361"/>
      <c r="DI348" s="361"/>
      <c r="DJ348" s="361"/>
      <c r="DK348" s="378"/>
    </row>
    <row r="349" spans="2:115" ht="13">
      <c r="B349" s="294"/>
      <c r="F349" s="296"/>
      <c r="J349" s="302"/>
      <c r="T349" s="295"/>
      <c r="AA349" s="295"/>
      <c r="AH349" s="295"/>
      <c r="AI349" s="188"/>
      <c r="AJ349" s="188"/>
      <c r="AK349" s="188"/>
      <c r="AL349" s="188"/>
      <c r="AM349" s="188"/>
      <c r="AN349" s="188"/>
      <c r="AO349" s="299"/>
      <c r="CI349" s="294"/>
      <c r="CJ349" s="294"/>
      <c r="CU349" s="374">
        <v>27</v>
      </c>
      <c r="CV349" s="359" t="s">
        <v>782</v>
      </c>
      <c r="CW349" s="361">
        <v>2729788.2</v>
      </c>
      <c r="CX349" s="361">
        <v>230528.67</v>
      </c>
      <c r="CY349" s="361">
        <v>199382.27</v>
      </c>
      <c r="CZ349" s="361">
        <v>311970.3</v>
      </c>
      <c r="DA349" s="361">
        <v>381743.73</v>
      </c>
      <c r="DB349" s="361">
        <v>249225.42</v>
      </c>
      <c r="DC349" s="361">
        <v>225746.26</v>
      </c>
      <c r="DD349" s="361">
        <v>275962.76</v>
      </c>
      <c r="DE349" s="361">
        <v>236156.27</v>
      </c>
      <c r="DF349" s="361">
        <v>335233.44</v>
      </c>
      <c r="DG349" s="361">
        <v>283839.09000000003</v>
      </c>
      <c r="DH349" s="361"/>
      <c r="DI349" s="361"/>
      <c r="DJ349" s="361"/>
      <c r="DK349" s="378"/>
    </row>
    <row r="350" spans="2:115" ht="13">
      <c r="B350" s="294"/>
      <c r="F350" s="296"/>
      <c r="J350" s="302"/>
      <c r="T350" s="295"/>
      <c r="AA350" s="295"/>
      <c r="AH350" s="295"/>
      <c r="AI350" s="188"/>
      <c r="AJ350" s="188"/>
      <c r="AK350" s="188"/>
      <c r="AL350" s="188"/>
      <c r="AM350" s="188"/>
      <c r="AN350" s="188"/>
      <c r="AO350" s="299"/>
      <c r="CI350" s="294"/>
      <c r="CJ350" s="294"/>
      <c r="CU350" s="374">
        <v>28</v>
      </c>
      <c r="CV350" s="359" t="s">
        <v>716</v>
      </c>
      <c r="CW350" s="361">
        <v>2713628.23</v>
      </c>
      <c r="CX350" s="361">
        <v>2049949.79</v>
      </c>
      <c r="CY350" s="361">
        <v>326048.09000000003</v>
      </c>
      <c r="CZ350" s="361">
        <v>0</v>
      </c>
      <c r="DA350" s="361">
        <v>337630.35</v>
      </c>
      <c r="DB350" s="361">
        <v>0</v>
      </c>
      <c r="DC350" s="361">
        <v>0</v>
      </c>
      <c r="DD350" s="361">
        <v>0</v>
      </c>
      <c r="DE350" s="361">
        <v>0</v>
      </c>
      <c r="DF350" s="361">
        <v>0</v>
      </c>
      <c r="DG350" s="361">
        <v>0</v>
      </c>
      <c r="DH350" s="361"/>
      <c r="DI350" s="361"/>
      <c r="DJ350" s="361"/>
      <c r="DK350" s="378"/>
    </row>
    <row r="351" spans="2:115" ht="13">
      <c r="B351" s="294"/>
      <c r="F351" s="296"/>
      <c r="J351" s="302"/>
      <c r="T351" s="295"/>
      <c r="AA351" s="295"/>
      <c r="AH351" s="295"/>
      <c r="AI351" s="188"/>
      <c r="AJ351" s="188"/>
      <c r="AK351" s="188"/>
      <c r="AL351" s="188"/>
      <c r="AM351" s="188"/>
      <c r="AN351" s="188"/>
      <c r="AO351" s="299"/>
      <c r="CI351" s="294"/>
      <c r="CJ351" s="294"/>
      <c r="CU351" s="374">
        <v>29</v>
      </c>
      <c r="CV351" s="359" t="s">
        <v>749</v>
      </c>
      <c r="CW351" s="361">
        <v>2496654</v>
      </c>
      <c r="CX351" s="361">
        <v>499238.24</v>
      </c>
      <c r="CY351" s="361">
        <v>305004.32</v>
      </c>
      <c r="CZ351" s="361">
        <v>0</v>
      </c>
      <c r="DA351" s="361">
        <v>182857.92</v>
      </c>
      <c r="DB351" s="361">
        <v>296044.40000000002</v>
      </c>
      <c r="DC351" s="361">
        <v>0</v>
      </c>
      <c r="DD351" s="361">
        <v>477876.32</v>
      </c>
      <c r="DE351" s="361">
        <v>0</v>
      </c>
      <c r="DF351" s="361">
        <v>735632.8</v>
      </c>
      <c r="DG351" s="365">
        <v>0</v>
      </c>
      <c r="DH351" s="365"/>
      <c r="DI351" s="365"/>
      <c r="DJ351" s="365"/>
      <c r="DK351" s="379"/>
    </row>
    <row r="352" spans="2:115" ht="13">
      <c r="B352" s="294"/>
      <c r="F352" s="296"/>
      <c r="J352" s="302"/>
      <c r="T352" s="295"/>
      <c r="AA352" s="295"/>
      <c r="AH352" s="295"/>
      <c r="AI352" s="188"/>
      <c r="AJ352" s="188"/>
      <c r="AK352" s="188"/>
      <c r="AL352" s="188"/>
      <c r="AM352" s="188"/>
      <c r="AN352" s="188"/>
      <c r="AO352" s="299"/>
      <c r="CI352" s="294"/>
      <c r="CJ352" s="294"/>
      <c r="CU352" s="374">
        <v>30</v>
      </c>
      <c r="CV352" s="359" t="s">
        <v>747</v>
      </c>
      <c r="CW352" s="361">
        <v>2379494.63</v>
      </c>
      <c r="CX352" s="361">
        <v>156272.64000000001</v>
      </c>
      <c r="CY352" s="361">
        <v>455224.96</v>
      </c>
      <c r="CZ352" s="361">
        <v>715236.08</v>
      </c>
      <c r="DA352" s="361">
        <v>218331.04</v>
      </c>
      <c r="DB352" s="361">
        <v>206562.4</v>
      </c>
      <c r="DC352" s="361">
        <v>225271.83</v>
      </c>
      <c r="DD352" s="361">
        <v>0</v>
      </c>
      <c r="DE352" s="361">
        <v>0</v>
      </c>
      <c r="DF352" s="361">
        <v>180760.64</v>
      </c>
      <c r="DG352" s="361">
        <v>221835.04</v>
      </c>
      <c r="DH352" s="361"/>
      <c r="DI352" s="361"/>
      <c r="DJ352" s="361"/>
      <c r="DK352" s="378"/>
    </row>
    <row r="353" spans="2:115" ht="13">
      <c r="B353" s="294"/>
      <c r="F353" s="296"/>
      <c r="J353" s="302"/>
      <c r="T353" s="295"/>
      <c r="AA353" s="295"/>
      <c r="AH353" s="295"/>
      <c r="AI353" s="188"/>
      <c r="AJ353" s="188"/>
      <c r="AK353" s="188"/>
      <c r="AL353" s="188"/>
      <c r="AM353" s="188"/>
      <c r="AN353" s="188"/>
      <c r="AO353" s="299"/>
      <c r="CI353" s="294"/>
      <c r="CJ353" s="294"/>
      <c r="CU353" s="374">
        <v>31</v>
      </c>
      <c r="CV353" s="359" t="s">
        <v>690</v>
      </c>
      <c r="CW353" s="361">
        <v>1963734.64</v>
      </c>
      <c r="CX353" s="361">
        <v>0</v>
      </c>
      <c r="CY353" s="361">
        <v>0</v>
      </c>
      <c r="CZ353" s="361">
        <v>0</v>
      </c>
      <c r="DA353" s="361">
        <v>0</v>
      </c>
      <c r="DB353" s="361">
        <v>0</v>
      </c>
      <c r="DC353" s="361">
        <v>0</v>
      </c>
      <c r="DD353" s="361">
        <v>0</v>
      </c>
      <c r="DE353" s="361">
        <v>0</v>
      </c>
      <c r="DF353" s="361">
        <v>870656.56</v>
      </c>
      <c r="DG353" s="361">
        <v>1093078.08</v>
      </c>
      <c r="DH353" s="361"/>
      <c r="DI353" s="361"/>
      <c r="DJ353" s="361"/>
      <c r="DK353" s="378"/>
    </row>
    <row r="354" spans="2:115" ht="13">
      <c r="B354" s="294"/>
      <c r="F354" s="296"/>
      <c r="J354" s="302"/>
      <c r="T354" s="295"/>
      <c r="AA354" s="295"/>
      <c r="AH354" s="295"/>
      <c r="AI354" s="188"/>
      <c r="AJ354" s="188"/>
      <c r="AK354" s="188"/>
      <c r="AL354" s="188"/>
      <c r="AM354" s="188"/>
      <c r="AN354" s="188"/>
      <c r="AO354" s="299"/>
      <c r="CI354" s="294"/>
      <c r="CJ354" s="294"/>
      <c r="CU354" s="374">
        <v>32</v>
      </c>
      <c r="CV354" s="359" t="s">
        <v>691</v>
      </c>
      <c r="CW354" s="361">
        <v>1948170.87</v>
      </c>
      <c r="CX354" s="361">
        <v>1490967.77</v>
      </c>
      <c r="CY354" s="361">
        <v>0</v>
      </c>
      <c r="CZ354" s="361">
        <v>0</v>
      </c>
      <c r="DA354" s="361">
        <v>0</v>
      </c>
      <c r="DB354" s="361">
        <v>0</v>
      </c>
      <c r="DC354" s="361">
        <v>146627.1</v>
      </c>
      <c r="DD354" s="361">
        <v>0</v>
      </c>
      <c r="DE354" s="361">
        <v>155288</v>
      </c>
      <c r="DF354" s="361">
        <v>0</v>
      </c>
      <c r="DG354" s="361">
        <v>155288</v>
      </c>
      <c r="DH354" s="361"/>
      <c r="DI354" s="361"/>
      <c r="DJ354" s="361"/>
      <c r="DK354" s="378"/>
    </row>
    <row r="355" spans="2:115" ht="13">
      <c r="B355" s="294"/>
      <c r="F355" s="296"/>
      <c r="J355" s="302"/>
      <c r="T355" s="295"/>
      <c r="AA355" s="295"/>
      <c r="AH355" s="295"/>
      <c r="AI355" s="188"/>
      <c r="AJ355" s="188"/>
      <c r="AK355" s="188"/>
      <c r="AL355" s="188"/>
      <c r="AM355" s="188"/>
      <c r="AN355" s="188"/>
      <c r="AO355" s="299"/>
      <c r="CI355" s="294"/>
      <c r="CJ355" s="294"/>
      <c r="CU355" s="374">
        <v>33</v>
      </c>
      <c r="CV355" s="359" t="s">
        <v>730</v>
      </c>
      <c r="CW355" s="361">
        <v>1787213.15</v>
      </c>
      <c r="CX355" s="361">
        <v>0</v>
      </c>
      <c r="CY355" s="361">
        <v>442856.13</v>
      </c>
      <c r="CZ355" s="361">
        <v>97343.039999999994</v>
      </c>
      <c r="DA355" s="361">
        <v>0</v>
      </c>
      <c r="DB355" s="361">
        <v>197143.36</v>
      </c>
      <c r="DC355" s="361">
        <v>125784.55</v>
      </c>
      <c r="DD355" s="361">
        <v>208933.02</v>
      </c>
      <c r="DE355" s="365">
        <v>0</v>
      </c>
      <c r="DF355" s="361">
        <v>447743.98</v>
      </c>
      <c r="DG355" s="361">
        <v>267409.06</v>
      </c>
      <c r="DH355" s="365"/>
      <c r="DI355" s="365"/>
      <c r="DJ355" s="365"/>
      <c r="DK355" s="379"/>
    </row>
    <row r="356" spans="2:115" ht="13">
      <c r="B356" s="294"/>
      <c r="F356" s="296"/>
      <c r="J356" s="302"/>
      <c r="T356" s="295"/>
      <c r="AA356" s="295"/>
      <c r="AH356" s="295"/>
      <c r="AI356" s="188"/>
      <c r="AJ356" s="188"/>
      <c r="AK356" s="188"/>
      <c r="AL356" s="188"/>
      <c r="AM356" s="188"/>
      <c r="AN356" s="188"/>
      <c r="AO356" s="299"/>
      <c r="CI356" s="294"/>
      <c r="CJ356" s="294"/>
      <c r="CU356" s="374">
        <v>34</v>
      </c>
      <c r="CV356" s="359" t="s">
        <v>762</v>
      </c>
      <c r="CW356" s="361">
        <v>1706270</v>
      </c>
      <c r="CX356" s="361">
        <v>467508.4</v>
      </c>
      <c r="CY356" s="361">
        <v>239750.39999999999</v>
      </c>
      <c r="CZ356" s="361">
        <v>199779.44</v>
      </c>
      <c r="DA356" s="361">
        <v>78382.720000000001</v>
      </c>
      <c r="DB356" s="361">
        <v>93585.600000000006</v>
      </c>
      <c r="DC356" s="361">
        <v>412518.08</v>
      </c>
      <c r="DD356" s="361">
        <v>170251.2</v>
      </c>
      <c r="DE356" s="361">
        <v>0</v>
      </c>
      <c r="DF356" s="361">
        <v>44494.16</v>
      </c>
      <c r="DG356" s="361">
        <v>0</v>
      </c>
      <c r="DH356" s="361"/>
      <c r="DI356" s="361"/>
      <c r="DJ356" s="361"/>
      <c r="DK356" s="378"/>
    </row>
    <row r="357" spans="2:115" ht="13">
      <c r="B357" s="294"/>
      <c r="F357" s="296"/>
      <c r="J357" s="302"/>
      <c r="T357" s="295"/>
      <c r="AA357" s="295"/>
      <c r="AH357" s="295"/>
      <c r="AI357" s="188"/>
      <c r="AJ357" s="188"/>
      <c r="AK357" s="188"/>
      <c r="AL357" s="188"/>
      <c r="AM357" s="188"/>
      <c r="AN357" s="188"/>
      <c r="AO357" s="299"/>
      <c r="CI357" s="294"/>
      <c r="CJ357" s="294"/>
      <c r="CU357" s="374">
        <v>35</v>
      </c>
      <c r="CV357" s="359" t="s">
        <v>720</v>
      </c>
      <c r="CW357" s="361">
        <v>1443898.49</v>
      </c>
      <c r="CX357" s="361">
        <v>0</v>
      </c>
      <c r="CY357" s="361">
        <v>132810.76</v>
      </c>
      <c r="CZ357" s="361">
        <v>0</v>
      </c>
      <c r="DA357" s="361">
        <v>235656.34</v>
      </c>
      <c r="DB357" s="361">
        <v>193712.37</v>
      </c>
      <c r="DC357" s="361">
        <v>173370.12</v>
      </c>
      <c r="DD357" s="361">
        <v>161094.63</v>
      </c>
      <c r="DE357" s="361">
        <v>0</v>
      </c>
      <c r="DF357" s="361">
        <v>365249.73</v>
      </c>
      <c r="DG357" s="361">
        <v>182004.55</v>
      </c>
      <c r="DH357" s="361"/>
      <c r="DI357" s="361"/>
      <c r="DJ357" s="361"/>
      <c r="DK357" s="378"/>
    </row>
    <row r="358" spans="2:115" ht="13">
      <c r="B358" s="294"/>
      <c r="F358" s="296"/>
      <c r="J358" s="302"/>
      <c r="T358" s="295"/>
      <c r="AA358" s="295"/>
      <c r="AH358" s="295"/>
      <c r="AI358" s="188"/>
      <c r="AJ358" s="188"/>
      <c r="AK358" s="188"/>
      <c r="AL358" s="188"/>
      <c r="AM358" s="188"/>
      <c r="AN358" s="188"/>
      <c r="AO358" s="299"/>
      <c r="CI358" s="294"/>
      <c r="CJ358" s="294"/>
      <c r="CU358" s="374">
        <v>36</v>
      </c>
      <c r="CV358" s="359" t="s">
        <v>760</v>
      </c>
      <c r="CW358" s="361">
        <v>1276082.96</v>
      </c>
      <c r="CX358" s="361">
        <v>120577.60000000001</v>
      </c>
      <c r="CY358" s="361">
        <v>310061.52</v>
      </c>
      <c r="CZ358" s="361">
        <v>74650.240000000005</v>
      </c>
      <c r="DA358" s="361">
        <v>52228.49</v>
      </c>
      <c r="DB358" s="361">
        <v>371962.9</v>
      </c>
      <c r="DC358" s="361">
        <v>0</v>
      </c>
      <c r="DD358" s="361">
        <v>0</v>
      </c>
      <c r="DE358" s="361">
        <v>142262.1</v>
      </c>
      <c r="DF358" s="361">
        <v>0</v>
      </c>
      <c r="DG358" s="361">
        <v>204340.11</v>
      </c>
      <c r="DH358" s="361"/>
      <c r="DI358" s="361"/>
      <c r="DJ358" s="361"/>
      <c r="DK358" s="378"/>
    </row>
    <row r="359" spans="2:115" ht="13">
      <c r="B359" s="294"/>
      <c r="F359" s="296"/>
      <c r="J359" s="302"/>
      <c r="T359" s="295"/>
      <c r="AA359" s="295"/>
      <c r="AH359" s="295"/>
      <c r="AI359" s="188"/>
      <c r="AJ359" s="188"/>
      <c r="AK359" s="188"/>
      <c r="AL359" s="188"/>
      <c r="AM359" s="188"/>
      <c r="AN359" s="188"/>
      <c r="AO359" s="299"/>
      <c r="CI359" s="294"/>
      <c r="CJ359" s="294"/>
      <c r="CU359" s="374">
        <v>37</v>
      </c>
      <c r="CV359" s="359" t="s">
        <v>759</v>
      </c>
      <c r="CW359" s="361">
        <v>1165842.79</v>
      </c>
      <c r="CX359" s="361">
        <v>59861.68</v>
      </c>
      <c r="CY359" s="361">
        <v>73918.559999999998</v>
      </c>
      <c r="CZ359" s="361">
        <v>65601.52</v>
      </c>
      <c r="DA359" s="361">
        <v>123654.24</v>
      </c>
      <c r="DB359" s="361">
        <v>0</v>
      </c>
      <c r="DC359" s="361">
        <v>86638.32</v>
      </c>
      <c r="DD359" s="361">
        <v>105502.16</v>
      </c>
      <c r="DE359" s="361">
        <v>145842.34</v>
      </c>
      <c r="DF359" s="361">
        <v>242721.47</v>
      </c>
      <c r="DG359" s="361">
        <v>262102.5</v>
      </c>
      <c r="DH359" s="361"/>
      <c r="DI359" s="361"/>
      <c r="DJ359" s="361"/>
      <c r="DK359" s="378"/>
    </row>
    <row r="360" spans="2:115" ht="13">
      <c r="B360" s="294"/>
      <c r="F360" s="296"/>
      <c r="J360" s="302"/>
      <c r="T360" s="295"/>
      <c r="AA360" s="295"/>
      <c r="AH360" s="295"/>
      <c r="AI360" s="188"/>
      <c r="AJ360" s="188"/>
      <c r="AK360" s="188"/>
      <c r="AL360" s="188"/>
      <c r="AM360" s="188"/>
      <c r="AN360" s="188"/>
      <c r="AO360" s="299"/>
      <c r="CI360" s="294"/>
      <c r="CJ360" s="294"/>
      <c r="CU360" s="374">
        <v>38</v>
      </c>
      <c r="CV360" s="359" t="s">
        <v>708</v>
      </c>
      <c r="CW360" s="361">
        <v>1079274.8999999999</v>
      </c>
      <c r="CX360" s="361">
        <v>45428.55</v>
      </c>
      <c r="CY360" s="361">
        <v>245208.45</v>
      </c>
      <c r="CZ360" s="361">
        <v>120775.57</v>
      </c>
      <c r="DA360" s="361">
        <v>0</v>
      </c>
      <c r="DB360" s="361">
        <v>0</v>
      </c>
      <c r="DC360" s="361">
        <v>0</v>
      </c>
      <c r="DD360" s="361">
        <v>107968.72</v>
      </c>
      <c r="DE360" s="361">
        <v>95098.13</v>
      </c>
      <c r="DF360" s="361">
        <v>294844.51</v>
      </c>
      <c r="DG360" s="361">
        <v>169950.97</v>
      </c>
      <c r="DH360" s="361"/>
      <c r="DI360" s="361"/>
      <c r="DJ360" s="361"/>
      <c r="DK360" s="378"/>
    </row>
    <row r="361" spans="2:115" ht="13">
      <c r="B361" s="294"/>
      <c r="F361" s="296"/>
      <c r="J361" s="302"/>
      <c r="T361" s="295"/>
      <c r="AA361" s="295"/>
      <c r="AH361" s="295"/>
      <c r="AI361" s="188"/>
      <c r="AJ361" s="188"/>
      <c r="AK361" s="188"/>
      <c r="AL361" s="188"/>
      <c r="AM361" s="188"/>
      <c r="AN361" s="188"/>
      <c r="AO361" s="299"/>
      <c r="CI361" s="294"/>
      <c r="CJ361" s="294"/>
      <c r="CU361" s="374">
        <v>39</v>
      </c>
      <c r="CV361" s="359" t="s">
        <v>761</v>
      </c>
      <c r="CW361" s="361">
        <v>1039813.32</v>
      </c>
      <c r="CX361" s="361">
        <v>225040.74</v>
      </c>
      <c r="CY361" s="361">
        <v>177018.44</v>
      </c>
      <c r="CZ361" s="361">
        <v>132404.65</v>
      </c>
      <c r="DA361" s="361">
        <v>136253.28</v>
      </c>
      <c r="DB361" s="361">
        <v>228081.73</v>
      </c>
      <c r="DC361" s="361">
        <v>62618.25</v>
      </c>
      <c r="DD361" s="361">
        <v>78396.240000000005</v>
      </c>
      <c r="DE361" s="361">
        <v>0</v>
      </c>
      <c r="DF361" s="361">
        <v>0</v>
      </c>
      <c r="DG361" s="361">
        <v>0</v>
      </c>
      <c r="DH361" s="361"/>
      <c r="DI361" s="361"/>
      <c r="DJ361" s="361"/>
      <c r="DK361" s="378"/>
    </row>
    <row r="362" spans="2:115" ht="13">
      <c r="B362" s="294"/>
      <c r="F362" s="296"/>
      <c r="J362" s="302"/>
      <c r="T362" s="295"/>
      <c r="AA362" s="295"/>
      <c r="AH362" s="295"/>
      <c r="AI362" s="188"/>
      <c r="AJ362" s="188"/>
      <c r="AK362" s="188"/>
      <c r="AL362" s="188"/>
      <c r="AM362" s="188"/>
      <c r="AN362" s="188"/>
      <c r="AO362" s="299"/>
      <c r="CI362" s="294"/>
      <c r="CJ362" s="294"/>
      <c r="CU362" s="374">
        <v>40</v>
      </c>
      <c r="CV362" s="359" t="s">
        <v>694</v>
      </c>
      <c r="CW362" s="361">
        <v>952458.13</v>
      </c>
      <c r="CX362" s="361">
        <v>0</v>
      </c>
      <c r="CY362" s="361">
        <v>0</v>
      </c>
      <c r="CZ362" s="361">
        <v>0</v>
      </c>
      <c r="DA362" s="361">
        <v>110207.86</v>
      </c>
      <c r="DB362" s="361">
        <v>55819.98</v>
      </c>
      <c r="DC362" s="361">
        <v>163756.63</v>
      </c>
      <c r="DD362" s="361">
        <v>220778.94</v>
      </c>
      <c r="DE362" s="361">
        <v>72906.78</v>
      </c>
      <c r="DF362" s="361">
        <v>280496.3</v>
      </c>
      <c r="DG362" s="361">
        <v>48491.64</v>
      </c>
      <c r="DH362" s="361"/>
      <c r="DI362" s="361"/>
      <c r="DJ362" s="361"/>
      <c r="DK362" s="378"/>
    </row>
    <row r="363" spans="2:115" ht="13">
      <c r="B363" s="294"/>
      <c r="F363" s="296"/>
      <c r="J363" s="302"/>
      <c r="T363" s="295"/>
      <c r="AA363" s="295"/>
      <c r="AH363" s="295"/>
      <c r="AI363" s="188"/>
      <c r="AJ363" s="188"/>
      <c r="AK363" s="188"/>
      <c r="AL363" s="188"/>
      <c r="AM363" s="188"/>
      <c r="AN363" s="188"/>
      <c r="AO363" s="299"/>
      <c r="CI363" s="294"/>
      <c r="CJ363" s="294"/>
      <c r="CU363" s="374">
        <v>41</v>
      </c>
      <c r="CV363" s="359" t="s">
        <v>684</v>
      </c>
      <c r="CW363" s="361">
        <v>891270.57</v>
      </c>
      <c r="CX363" s="361">
        <v>0</v>
      </c>
      <c r="CY363" s="361">
        <v>0</v>
      </c>
      <c r="CZ363" s="361">
        <v>80549.17</v>
      </c>
      <c r="DA363" s="361">
        <v>44536.08</v>
      </c>
      <c r="DB363" s="361">
        <v>133608.26</v>
      </c>
      <c r="DC363" s="361">
        <v>174017.56</v>
      </c>
      <c r="DD363" s="361">
        <v>89440.71</v>
      </c>
      <c r="DE363" s="361">
        <v>305686.15000000002</v>
      </c>
      <c r="DF363" s="361">
        <v>63432.63</v>
      </c>
      <c r="DG363" s="361">
        <v>0</v>
      </c>
      <c r="DH363" s="361"/>
      <c r="DI363" s="361"/>
      <c r="DJ363" s="361"/>
      <c r="DK363" s="378"/>
    </row>
    <row r="364" spans="2:115" ht="13">
      <c r="B364" s="294"/>
      <c r="F364" s="296"/>
      <c r="J364" s="302"/>
      <c r="T364" s="295"/>
      <c r="AA364" s="295"/>
      <c r="AH364" s="295"/>
      <c r="AI364" s="188"/>
      <c r="AJ364" s="188"/>
      <c r="AK364" s="188"/>
      <c r="AL364" s="188"/>
      <c r="AM364" s="188"/>
      <c r="AN364" s="188"/>
      <c r="AO364" s="299"/>
      <c r="CI364" s="294"/>
      <c r="CJ364" s="294"/>
      <c r="CU364" s="374">
        <v>42</v>
      </c>
      <c r="CV364" s="359" t="s">
        <v>748</v>
      </c>
      <c r="CW364" s="361">
        <v>802388.39</v>
      </c>
      <c r="CX364" s="361">
        <v>0</v>
      </c>
      <c r="CY364" s="361">
        <v>106300.88</v>
      </c>
      <c r="CZ364" s="361">
        <v>0</v>
      </c>
      <c r="DA364" s="361">
        <v>126030.16</v>
      </c>
      <c r="DB364" s="361">
        <v>0</v>
      </c>
      <c r="DC364" s="361">
        <v>94297.600000000006</v>
      </c>
      <c r="DD364" s="361">
        <v>126909.92</v>
      </c>
      <c r="DE364" s="361">
        <v>89311.44</v>
      </c>
      <c r="DF364" s="361">
        <v>102850.88</v>
      </c>
      <c r="DG364" s="361">
        <v>156687.51</v>
      </c>
      <c r="DH364" s="361"/>
      <c r="DI364" s="361"/>
      <c r="DJ364" s="361"/>
      <c r="DK364" s="378"/>
    </row>
    <row r="365" spans="2:115" ht="13">
      <c r="B365" s="294"/>
      <c r="F365" s="296"/>
      <c r="J365" s="302"/>
      <c r="T365" s="295"/>
      <c r="AA365" s="295"/>
      <c r="AH365" s="295"/>
      <c r="AI365" s="188"/>
      <c r="AJ365" s="188"/>
      <c r="AK365" s="188"/>
      <c r="AL365" s="188"/>
      <c r="AM365" s="188"/>
      <c r="AN365" s="188"/>
      <c r="AO365" s="299"/>
      <c r="CI365" s="294"/>
      <c r="CJ365" s="294"/>
      <c r="CU365" s="374">
        <v>43</v>
      </c>
      <c r="CV365" s="359" t="s">
        <v>804</v>
      </c>
      <c r="CW365" s="361">
        <v>723803.89</v>
      </c>
      <c r="CX365" s="361">
        <v>47699.5</v>
      </c>
      <c r="CY365" s="361">
        <v>69591.56</v>
      </c>
      <c r="CZ365" s="361">
        <v>71304.2</v>
      </c>
      <c r="DA365" s="361">
        <v>81290.19</v>
      </c>
      <c r="DB365" s="361">
        <v>111591.46</v>
      </c>
      <c r="DC365" s="361">
        <v>114921.24</v>
      </c>
      <c r="DD365" s="361">
        <v>87181.11</v>
      </c>
      <c r="DE365" s="361">
        <v>36583.800000000003</v>
      </c>
      <c r="DF365" s="361">
        <v>81619.83</v>
      </c>
      <c r="DG365" s="361">
        <v>22021</v>
      </c>
      <c r="DH365" s="365"/>
      <c r="DI365" s="365"/>
      <c r="DJ365" s="365"/>
      <c r="DK365" s="379"/>
    </row>
    <row r="366" spans="2:115" ht="13">
      <c r="B366" s="294"/>
      <c r="F366" s="296"/>
      <c r="J366" s="302"/>
      <c r="T366" s="295"/>
      <c r="AA366" s="295"/>
      <c r="AH366" s="295"/>
      <c r="AI366" s="188"/>
      <c r="AJ366" s="188"/>
      <c r="AK366" s="188"/>
      <c r="AL366" s="188"/>
      <c r="AM366" s="188"/>
      <c r="AN366" s="188"/>
      <c r="AO366" s="299"/>
      <c r="CI366" s="294"/>
      <c r="CJ366" s="294"/>
      <c r="CU366" s="374">
        <v>44</v>
      </c>
      <c r="CV366" s="359" t="s">
        <v>715</v>
      </c>
      <c r="CW366" s="361">
        <v>723159.89</v>
      </c>
      <c r="CX366" s="361">
        <v>0</v>
      </c>
      <c r="CY366" s="361">
        <v>0</v>
      </c>
      <c r="CZ366" s="361">
        <v>96308.6</v>
      </c>
      <c r="DA366" s="361">
        <v>173902.83</v>
      </c>
      <c r="DB366" s="361">
        <v>0</v>
      </c>
      <c r="DC366" s="361">
        <v>89072.16</v>
      </c>
      <c r="DD366" s="361">
        <v>101124.1</v>
      </c>
      <c r="DE366" s="361">
        <v>0</v>
      </c>
      <c r="DF366" s="361">
        <v>0</v>
      </c>
      <c r="DG366" s="361">
        <v>262752.2</v>
      </c>
      <c r="DH366" s="361"/>
      <c r="DI366" s="361"/>
      <c r="DJ366" s="361"/>
      <c r="DK366" s="378"/>
    </row>
    <row r="367" spans="2:115" ht="13">
      <c r="B367" s="294"/>
      <c r="F367" s="296"/>
      <c r="J367" s="302"/>
      <c r="T367" s="295"/>
      <c r="AA367" s="295"/>
      <c r="AH367" s="295"/>
      <c r="AI367" s="188"/>
      <c r="AJ367" s="188"/>
      <c r="AK367" s="188"/>
      <c r="AL367" s="188"/>
      <c r="AM367" s="188"/>
      <c r="AN367" s="188"/>
      <c r="AO367" s="299"/>
      <c r="CI367" s="294"/>
      <c r="CJ367" s="294"/>
      <c r="CU367" s="374">
        <v>45</v>
      </c>
      <c r="CV367" s="359" t="s">
        <v>755</v>
      </c>
      <c r="CW367" s="361">
        <v>709820.63</v>
      </c>
      <c r="CX367" s="361">
        <v>0</v>
      </c>
      <c r="CY367" s="361">
        <v>0</v>
      </c>
      <c r="CZ367" s="361">
        <v>0</v>
      </c>
      <c r="DA367" s="361">
        <v>0</v>
      </c>
      <c r="DB367" s="361">
        <v>0</v>
      </c>
      <c r="DC367" s="361">
        <v>0</v>
      </c>
      <c r="DD367" s="365">
        <v>0</v>
      </c>
      <c r="DE367" s="361">
        <v>158152.82999999999</v>
      </c>
      <c r="DF367" s="361">
        <v>304416</v>
      </c>
      <c r="DG367" s="361">
        <v>247251.8</v>
      </c>
      <c r="DH367" s="365"/>
      <c r="DI367" s="365"/>
      <c r="DJ367" s="365"/>
      <c r="DK367" s="379"/>
    </row>
    <row r="368" spans="2:115" ht="13">
      <c r="B368" s="294"/>
      <c r="F368" s="296"/>
      <c r="J368" s="302"/>
      <c r="T368" s="295"/>
      <c r="AA368" s="295"/>
      <c r="AH368" s="295"/>
      <c r="AI368" s="188"/>
      <c r="AJ368" s="188"/>
      <c r="AK368" s="188"/>
      <c r="AL368" s="188"/>
      <c r="AM368" s="188"/>
      <c r="AN368" s="188"/>
      <c r="AO368" s="299"/>
      <c r="CI368" s="294"/>
      <c r="CJ368" s="294"/>
      <c r="CU368" s="374">
        <v>46</v>
      </c>
      <c r="CV368" s="359" t="s">
        <v>718</v>
      </c>
      <c r="CW368" s="361">
        <v>709583.72</v>
      </c>
      <c r="CX368" s="361">
        <v>65836.77</v>
      </c>
      <c r="CY368" s="361">
        <v>0</v>
      </c>
      <c r="CZ368" s="361">
        <v>0</v>
      </c>
      <c r="DA368" s="361">
        <v>57338.13</v>
      </c>
      <c r="DB368" s="361">
        <v>0</v>
      </c>
      <c r="DC368" s="361">
        <v>211091.8</v>
      </c>
      <c r="DD368" s="361">
        <v>299873.64</v>
      </c>
      <c r="DE368" s="361">
        <v>75443.38</v>
      </c>
      <c r="DF368" s="361">
        <v>0</v>
      </c>
      <c r="DG368" s="361">
        <v>0</v>
      </c>
      <c r="DH368" s="361"/>
      <c r="DI368" s="361"/>
      <c r="DJ368" s="361"/>
      <c r="DK368" s="378"/>
    </row>
    <row r="369" spans="2:115" ht="13">
      <c r="B369" s="294"/>
      <c r="F369" s="296"/>
      <c r="J369" s="302"/>
      <c r="T369" s="295"/>
      <c r="AA369" s="295"/>
      <c r="AH369" s="295"/>
      <c r="AI369" s="188"/>
      <c r="AJ369" s="188"/>
      <c r="AK369" s="188"/>
      <c r="AL369" s="188"/>
      <c r="AM369" s="188"/>
      <c r="AN369" s="188"/>
      <c r="AO369" s="299"/>
      <c r="CI369" s="294"/>
      <c r="CJ369" s="294"/>
      <c r="CU369" s="374">
        <v>47</v>
      </c>
      <c r="CV369" s="359" t="s">
        <v>757</v>
      </c>
      <c r="CW369" s="361">
        <v>681775.92</v>
      </c>
      <c r="CX369" s="361">
        <v>0</v>
      </c>
      <c r="CY369" s="361">
        <v>0</v>
      </c>
      <c r="CZ369" s="361">
        <v>0</v>
      </c>
      <c r="DA369" s="361">
        <v>0</v>
      </c>
      <c r="DB369" s="361">
        <v>427816.08</v>
      </c>
      <c r="DC369" s="361">
        <v>0</v>
      </c>
      <c r="DD369" s="361">
        <v>0</v>
      </c>
      <c r="DE369" s="361">
        <v>0</v>
      </c>
      <c r="DF369" s="361">
        <v>253959.84</v>
      </c>
      <c r="DG369" s="361">
        <v>0</v>
      </c>
      <c r="DH369" s="361"/>
      <c r="DI369" s="361"/>
      <c r="DJ369" s="361"/>
      <c r="DK369" s="378"/>
    </row>
    <row r="370" spans="2:115" ht="13">
      <c r="B370" s="294"/>
      <c r="F370" s="296"/>
      <c r="J370" s="302"/>
      <c r="T370" s="295"/>
      <c r="AA370" s="295"/>
      <c r="AH370" s="295"/>
      <c r="AI370" s="188"/>
      <c r="AJ370" s="188"/>
      <c r="AK370" s="188"/>
      <c r="AL370" s="188"/>
      <c r="AM370" s="188"/>
      <c r="AN370" s="188"/>
      <c r="AO370" s="299"/>
      <c r="CI370" s="294"/>
      <c r="CJ370" s="294"/>
      <c r="CU370" s="374">
        <v>48</v>
      </c>
      <c r="CV370" s="359" t="s">
        <v>783</v>
      </c>
      <c r="CW370" s="361">
        <v>488185.8</v>
      </c>
      <c r="CX370" s="361">
        <v>61437.4</v>
      </c>
      <c r="CY370" s="361">
        <v>30718.7</v>
      </c>
      <c r="CZ370" s="361">
        <v>28393.919999999998</v>
      </c>
      <c r="DA370" s="361">
        <v>68640.88</v>
      </c>
      <c r="DB370" s="361">
        <v>0</v>
      </c>
      <c r="DC370" s="361">
        <v>79877.98</v>
      </c>
      <c r="DD370" s="361">
        <v>74534.05</v>
      </c>
      <c r="DE370" s="361">
        <v>110935.58</v>
      </c>
      <c r="DF370" s="361">
        <v>0</v>
      </c>
      <c r="DG370" s="361">
        <v>33647.279999999999</v>
      </c>
      <c r="DH370" s="361"/>
      <c r="DI370" s="361"/>
      <c r="DJ370" s="361"/>
      <c r="DK370" s="378"/>
    </row>
    <row r="371" spans="2:115" ht="13">
      <c r="B371" s="294"/>
      <c r="F371" s="296"/>
      <c r="J371" s="302"/>
      <c r="T371" s="295"/>
      <c r="AA371" s="295"/>
      <c r="AH371" s="295"/>
      <c r="AI371" s="188"/>
      <c r="AJ371" s="188"/>
      <c r="AK371" s="188"/>
      <c r="AL371" s="188"/>
      <c r="AM371" s="188"/>
      <c r="AN371" s="188"/>
      <c r="AO371" s="299"/>
      <c r="CI371" s="294"/>
      <c r="CJ371" s="294"/>
      <c r="CU371" s="374">
        <v>49</v>
      </c>
      <c r="CV371" s="359" t="s">
        <v>705</v>
      </c>
      <c r="CW371" s="361">
        <v>422668.08</v>
      </c>
      <c r="CX371" s="361">
        <v>0</v>
      </c>
      <c r="CY371" s="361">
        <v>132063.67999999999</v>
      </c>
      <c r="CZ371" s="361">
        <v>102926.64</v>
      </c>
      <c r="DA371" s="361">
        <v>128297.44</v>
      </c>
      <c r="DB371" s="361">
        <v>59380.32</v>
      </c>
      <c r="DC371" s="361">
        <v>0</v>
      </c>
      <c r="DD371" s="361">
        <v>0</v>
      </c>
      <c r="DE371" s="361">
        <v>0</v>
      </c>
      <c r="DF371" s="361">
        <v>0</v>
      </c>
      <c r="DG371" s="361">
        <v>0</v>
      </c>
      <c r="DH371" s="361"/>
      <c r="DI371" s="361"/>
      <c r="DJ371" s="361"/>
      <c r="DK371" s="378"/>
    </row>
    <row r="372" spans="2:115" ht="13">
      <c r="B372" s="294"/>
      <c r="F372" s="296"/>
      <c r="J372" s="302"/>
      <c r="T372" s="295"/>
      <c r="AA372" s="295"/>
      <c r="AH372" s="295"/>
      <c r="AI372" s="188"/>
      <c r="AJ372" s="188"/>
      <c r="AK372" s="188"/>
      <c r="AL372" s="188"/>
      <c r="AM372" s="188"/>
      <c r="AN372" s="188"/>
      <c r="AO372" s="299"/>
      <c r="CI372" s="294"/>
      <c r="CJ372" s="294"/>
      <c r="CU372" s="374">
        <v>50</v>
      </c>
      <c r="CV372" s="359" t="s">
        <v>725</v>
      </c>
      <c r="CW372" s="361">
        <v>383684.88</v>
      </c>
      <c r="CX372" s="361">
        <v>0</v>
      </c>
      <c r="CY372" s="361">
        <v>0</v>
      </c>
      <c r="CZ372" s="361">
        <v>32928.639999999999</v>
      </c>
      <c r="DA372" s="361">
        <v>65857.279999999999</v>
      </c>
      <c r="DB372" s="361">
        <v>69150.240000000005</v>
      </c>
      <c r="DC372" s="361">
        <v>0</v>
      </c>
      <c r="DD372" s="361">
        <v>69150.240000000005</v>
      </c>
      <c r="DE372" s="361">
        <v>34575.120000000003</v>
      </c>
      <c r="DF372" s="361">
        <v>0</v>
      </c>
      <c r="DG372" s="361">
        <v>112023.36</v>
      </c>
      <c r="DH372" s="361"/>
      <c r="DI372" s="361"/>
      <c r="DJ372" s="361"/>
      <c r="DK372" s="378"/>
    </row>
    <row r="373" spans="2:115" ht="13">
      <c r="B373" s="294"/>
      <c r="F373" s="296"/>
      <c r="J373" s="302"/>
      <c r="T373" s="295"/>
      <c r="AA373" s="295"/>
      <c r="AH373" s="295"/>
      <c r="AI373" s="188"/>
      <c r="AJ373" s="188"/>
      <c r="AK373" s="188"/>
      <c r="AL373" s="188"/>
      <c r="AM373" s="188"/>
      <c r="AN373" s="188"/>
      <c r="AO373" s="299"/>
      <c r="CI373" s="294"/>
      <c r="CJ373" s="294"/>
      <c r="CU373" s="374">
        <v>51</v>
      </c>
      <c r="CV373" s="359" t="s">
        <v>744</v>
      </c>
      <c r="CW373" s="361">
        <v>334926.48</v>
      </c>
      <c r="CX373" s="361">
        <v>68141.600000000006</v>
      </c>
      <c r="CY373" s="361">
        <v>142280.07999999999</v>
      </c>
      <c r="CZ373" s="361">
        <v>0</v>
      </c>
      <c r="DA373" s="361">
        <v>124504.8</v>
      </c>
      <c r="DB373" s="365">
        <v>0</v>
      </c>
      <c r="DC373" s="365">
        <v>0</v>
      </c>
      <c r="DD373" s="365">
        <v>0</v>
      </c>
      <c r="DE373" s="365">
        <v>0</v>
      </c>
      <c r="DF373" s="365">
        <v>0</v>
      </c>
      <c r="DG373" s="365">
        <v>0</v>
      </c>
      <c r="DH373" s="365"/>
      <c r="DI373" s="365"/>
      <c r="DJ373" s="365"/>
      <c r="DK373" s="379"/>
    </row>
    <row r="374" spans="2:115" ht="13">
      <c r="B374" s="294"/>
      <c r="F374" s="296"/>
      <c r="J374" s="302"/>
      <c r="T374" s="295"/>
      <c r="AA374" s="295"/>
      <c r="AH374" s="295"/>
      <c r="AI374" s="188"/>
      <c r="AJ374" s="188"/>
      <c r="AK374" s="188"/>
      <c r="AL374" s="188"/>
      <c r="AM374" s="188"/>
      <c r="AN374" s="188"/>
      <c r="AO374" s="299"/>
      <c r="CI374" s="294"/>
      <c r="CJ374" s="294"/>
      <c r="CU374" s="374">
        <v>52</v>
      </c>
      <c r="CV374" s="359" t="s">
        <v>745</v>
      </c>
      <c r="CW374" s="361">
        <v>313530.88</v>
      </c>
      <c r="CX374" s="361">
        <v>0</v>
      </c>
      <c r="CY374" s="361">
        <v>0</v>
      </c>
      <c r="CZ374" s="361">
        <v>0</v>
      </c>
      <c r="DA374" s="361">
        <v>117574.08</v>
      </c>
      <c r="DB374" s="361">
        <v>0</v>
      </c>
      <c r="DC374" s="361">
        <v>195956.8</v>
      </c>
      <c r="DD374" s="361">
        <v>0</v>
      </c>
      <c r="DE374" s="361">
        <v>0</v>
      </c>
      <c r="DF374" s="361">
        <v>0</v>
      </c>
      <c r="DG374" s="361">
        <v>0</v>
      </c>
      <c r="DH374" s="361"/>
      <c r="DI374" s="361"/>
      <c r="DJ374" s="361"/>
      <c r="DK374" s="378"/>
    </row>
    <row r="375" spans="2:115" ht="13">
      <c r="B375" s="294"/>
      <c r="F375" s="296"/>
      <c r="J375" s="302"/>
      <c r="T375" s="295"/>
      <c r="AA375" s="295"/>
      <c r="AH375" s="295"/>
      <c r="AI375" s="188"/>
      <c r="AJ375" s="188"/>
      <c r="AK375" s="188"/>
      <c r="AL375" s="188"/>
      <c r="AM375" s="188"/>
      <c r="AN375" s="188"/>
      <c r="AO375" s="299"/>
      <c r="CI375" s="294"/>
      <c r="CJ375" s="294"/>
      <c r="CU375" s="374">
        <v>53</v>
      </c>
      <c r="CV375" s="664" t="s">
        <v>712</v>
      </c>
      <c r="CW375" s="361">
        <v>250227.48</v>
      </c>
      <c r="CX375" s="361">
        <v>0</v>
      </c>
      <c r="CY375" s="361">
        <v>28500</v>
      </c>
      <c r="CZ375" s="361">
        <v>0</v>
      </c>
      <c r="DA375" s="361">
        <v>0</v>
      </c>
      <c r="DB375" s="361">
        <v>60030.69</v>
      </c>
      <c r="DC375" s="361">
        <v>0</v>
      </c>
      <c r="DD375" s="361">
        <v>62502.19</v>
      </c>
      <c r="DE375" s="361">
        <v>0</v>
      </c>
      <c r="DF375" s="361">
        <v>31444.59</v>
      </c>
      <c r="DG375" s="361">
        <v>67750.009999999995</v>
      </c>
      <c r="DH375" s="361"/>
      <c r="DI375" s="361"/>
      <c r="DJ375" s="361"/>
      <c r="DK375" s="378"/>
    </row>
    <row r="376" spans="2:115" ht="13">
      <c r="B376" s="294"/>
      <c r="F376" s="296"/>
      <c r="J376" s="302"/>
      <c r="T376" s="295"/>
      <c r="AA376" s="295"/>
      <c r="AH376" s="295"/>
      <c r="AI376" s="188"/>
      <c r="AJ376" s="188"/>
      <c r="AK376" s="188"/>
      <c r="AL376" s="188"/>
      <c r="AM376" s="188"/>
      <c r="AN376" s="188"/>
      <c r="AO376" s="299"/>
      <c r="CI376" s="294"/>
      <c r="CJ376" s="294"/>
      <c r="CU376" s="374">
        <v>54</v>
      </c>
      <c r="CV376" s="664" t="s">
        <v>728</v>
      </c>
      <c r="CW376" s="361">
        <v>235281.46</v>
      </c>
      <c r="CX376" s="361">
        <v>29982.080000000002</v>
      </c>
      <c r="CY376" s="361">
        <v>31813.31</v>
      </c>
      <c r="CZ376" s="361">
        <v>105405.59</v>
      </c>
      <c r="DA376" s="361">
        <v>68080.479999999996</v>
      </c>
      <c r="DB376" s="361">
        <v>0</v>
      </c>
      <c r="DC376" s="361">
        <v>0</v>
      </c>
      <c r="DD376" s="361">
        <v>0</v>
      </c>
      <c r="DE376" s="361">
        <v>0</v>
      </c>
      <c r="DF376" s="361">
        <v>0</v>
      </c>
      <c r="DG376" s="361">
        <v>0</v>
      </c>
      <c r="DH376" s="361"/>
      <c r="DI376" s="361"/>
      <c r="DJ376" s="361"/>
      <c r="DK376" s="378"/>
    </row>
    <row r="377" spans="2:115" ht="13">
      <c r="B377" s="294"/>
      <c r="F377" s="296"/>
      <c r="J377" s="302"/>
      <c r="T377" s="295"/>
      <c r="AA377" s="295"/>
      <c r="AH377" s="295"/>
      <c r="AI377" s="188"/>
      <c r="AJ377" s="188"/>
      <c r="AK377" s="188"/>
      <c r="AL377" s="188"/>
      <c r="AM377" s="188"/>
      <c r="AN377" s="188"/>
      <c r="AO377" s="299"/>
      <c r="CI377" s="294"/>
      <c r="CJ377" s="294"/>
      <c r="CU377" s="374">
        <v>55</v>
      </c>
      <c r="CV377" s="359" t="s">
        <v>669</v>
      </c>
      <c r="CW377" s="361">
        <v>183916.5</v>
      </c>
      <c r="CX377" s="361">
        <v>0</v>
      </c>
      <c r="CY377" s="361">
        <v>0</v>
      </c>
      <c r="CZ377" s="365">
        <v>0</v>
      </c>
      <c r="DA377" s="361">
        <v>0</v>
      </c>
      <c r="DB377" s="361">
        <v>0</v>
      </c>
      <c r="DC377" s="361">
        <v>0</v>
      </c>
      <c r="DD377" s="361">
        <v>53454.3</v>
      </c>
      <c r="DE377" s="361">
        <v>62115.199999999997</v>
      </c>
      <c r="DF377" s="365">
        <v>0</v>
      </c>
      <c r="DG377" s="361">
        <v>68347</v>
      </c>
      <c r="DH377" s="365"/>
      <c r="DI377" s="365"/>
      <c r="DJ377" s="365"/>
      <c r="DK377" s="379"/>
    </row>
    <row r="378" spans="2:115" ht="13">
      <c r="B378" s="294"/>
      <c r="F378" s="296"/>
      <c r="J378" s="302"/>
      <c r="T378" s="295"/>
      <c r="AA378" s="295"/>
      <c r="AH378" s="295"/>
      <c r="AI378" s="188"/>
      <c r="AJ378" s="188"/>
      <c r="AK378" s="188"/>
      <c r="AL378" s="188"/>
      <c r="AM378" s="188"/>
      <c r="AN378" s="188"/>
      <c r="AO378" s="299"/>
      <c r="CI378" s="294"/>
      <c r="CJ378" s="294"/>
      <c r="CT378" s="302" t="s">
        <v>830</v>
      </c>
      <c r="CU378" s="374">
        <v>56</v>
      </c>
      <c r="CV378" s="359" t="s">
        <v>734</v>
      </c>
      <c r="CW378" s="361">
        <v>176062</v>
      </c>
      <c r="CX378" s="361">
        <v>176062</v>
      </c>
      <c r="CY378" s="361">
        <v>0</v>
      </c>
      <c r="CZ378" s="365">
        <v>0</v>
      </c>
      <c r="DA378" s="361">
        <v>0</v>
      </c>
      <c r="DB378" s="361">
        <v>0</v>
      </c>
      <c r="DC378" s="365">
        <v>0</v>
      </c>
      <c r="DD378" s="361">
        <v>0</v>
      </c>
      <c r="DE378" s="365">
        <v>0</v>
      </c>
      <c r="DF378" s="361">
        <v>0</v>
      </c>
      <c r="DG378" s="365">
        <v>0</v>
      </c>
      <c r="DH378" s="365"/>
      <c r="DI378" s="365"/>
      <c r="DJ378" s="365"/>
      <c r="DK378" s="379"/>
    </row>
    <row r="379" spans="2:115" ht="13">
      <c r="B379" s="294"/>
      <c r="F379" s="296"/>
      <c r="J379" s="302"/>
      <c r="T379" s="295"/>
      <c r="AA379" s="295"/>
      <c r="AH379" s="295"/>
      <c r="AI379" s="188"/>
      <c r="AJ379" s="188"/>
      <c r="AK379" s="188"/>
      <c r="AL379" s="188"/>
      <c r="AM379" s="188"/>
      <c r="AN379" s="188"/>
      <c r="AO379" s="299"/>
      <c r="CI379" s="294"/>
      <c r="CJ379" s="294"/>
      <c r="CU379" s="374">
        <v>57</v>
      </c>
      <c r="CV379" s="359" t="s">
        <v>750</v>
      </c>
      <c r="CW379" s="361">
        <v>118927.46</v>
      </c>
      <c r="CX379" s="361">
        <v>0</v>
      </c>
      <c r="CY379" s="361">
        <v>0</v>
      </c>
      <c r="CZ379" s="361">
        <v>0</v>
      </c>
      <c r="DA379" s="361">
        <v>0</v>
      </c>
      <c r="DB379" s="361">
        <v>0</v>
      </c>
      <c r="DC379" s="361">
        <v>0</v>
      </c>
      <c r="DD379" s="361">
        <v>0</v>
      </c>
      <c r="DE379" s="361">
        <v>0</v>
      </c>
      <c r="DF379" s="361">
        <v>118927.46</v>
      </c>
      <c r="DG379" s="361">
        <v>0</v>
      </c>
      <c r="DH379" s="361"/>
      <c r="DI379" s="361"/>
      <c r="DJ379" s="361"/>
      <c r="DK379" s="378"/>
    </row>
    <row r="380" spans="2:115" ht="13">
      <c r="B380" s="294"/>
      <c r="F380" s="296"/>
      <c r="J380" s="302"/>
      <c r="T380" s="295"/>
      <c r="AA380" s="295"/>
      <c r="AH380" s="295"/>
      <c r="AI380" s="188"/>
      <c r="AJ380" s="188"/>
      <c r="AK380" s="188"/>
      <c r="AL380" s="188"/>
      <c r="AM380" s="188"/>
      <c r="AN380" s="188"/>
      <c r="AO380" s="299"/>
      <c r="CI380" s="294"/>
      <c r="CJ380" s="294"/>
      <c r="CU380" s="374">
        <v>58</v>
      </c>
      <c r="CV380" s="359" t="s">
        <v>735</v>
      </c>
      <c r="CW380" s="361">
        <v>115406.73</v>
      </c>
      <c r="CX380" s="361">
        <v>0</v>
      </c>
      <c r="CY380" s="361">
        <v>0</v>
      </c>
      <c r="CZ380" s="361">
        <v>0</v>
      </c>
      <c r="DA380" s="361">
        <v>31716.32</v>
      </c>
      <c r="DB380" s="361">
        <v>31716.32</v>
      </c>
      <c r="DC380" s="361">
        <v>0</v>
      </c>
      <c r="DD380" s="361">
        <v>0</v>
      </c>
      <c r="DE380" s="361">
        <v>51974.1</v>
      </c>
      <c r="DF380" s="361">
        <v>0</v>
      </c>
      <c r="DG380" s="361">
        <v>0</v>
      </c>
      <c r="DH380" s="361"/>
      <c r="DI380" s="361"/>
      <c r="DJ380" s="361"/>
      <c r="DK380" s="378"/>
    </row>
    <row r="381" spans="2:115" ht="13">
      <c r="B381" s="294"/>
      <c r="F381" s="296"/>
      <c r="J381" s="302"/>
      <c r="T381" s="295"/>
      <c r="AA381" s="295"/>
      <c r="AH381" s="295"/>
      <c r="AI381" s="188"/>
      <c r="AJ381" s="188"/>
      <c r="AK381" s="188"/>
      <c r="AL381" s="188"/>
      <c r="AM381" s="188"/>
      <c r="AN381" s="188"/>
      <c r="AO381" s="299"/>
      <c r="CI381" s="294"/>
      <c r="CJ381" s="294"/>
      <c r="CU381" s="374">
        <v>59</v>
      </c>
      <c r="CV381" s="359" t="s">
        <v>711</v>
      </c>
      <c r="CW381" s="361">
        <v>104375.87</v>
      </c>
      <c r="CX381" s="361">
        <v>0</v>
      </c>
      <c r="CY381" s="361">
        <v>0</v>
      </c>
      <c r="CZ381" s="361">
        <v>0</v>
      </c>
      <c r="DA381" s="361">
        <v>0</v>
      </c>
      <c r="DB381" s="361">
        <v>22359.47</v>
      </c>
      <c r="DC381" s="361">
        <v>0</v>
      </c>
      <c r="DD381" s="361">
        <v>82016.399999999994</v>
      </c>
      <c r="DE381" s="361">
        <v>0</v>
      </c>
      <c r="DF381" s="361">
        <v>0</v>
      </c>
      <c r="DG381" s="361">
        <v>0</v>
      </c>
      <c r="DH381" s="361"/>
      <c r="DI381" s="361"/>
      <c r="DJ381" s="361"/>
      <c r="DK381" s="378"/>
    </row>
    <row r="382" spans="2:115" ht="13">
      <c r="B382" s="294"/>
      <c r="F382" s="296"/>
      <c r="J382" s="302"/>
      <c r="T382" s="295"/>
      <c r="AA382" s="295"/>
      <c r="AH382" s="295"/>
      <c r="AI382" s="188"/>
      <c r="AJ382" s="188"/>
      <c r="AK382" s="188"/>
      <c r="AL382" s="188"/>
      <c r="AM382" s="188"/>
      <c r="AN382" s="188"/>
      <c r="AO382" s="299"/>
      <c r="CI382" s="294"/>
      <c r="CJ382" s="294"/>
      <c r="CU382" s="374">
        <v>60</v>
      </c>
      <c r="CV382" s="359" t="s">
        <v>703</v>
      </c>
      <c r="CW382" s="361">
        <v>93877.85</v>
      </c>
      <c r="CX382" s="361">
        <v>0</v>
      </c>
      <c r="CY382" s="361">
        <v>0</v>
      </c>
      <c r="CZ382" s="361">
        <v>93877.85</v>
      </c>
      <c r="DA382" s="361">
        <v>0</v>
      </c>
      <c r="DB382" s="361">
        <v>0</v>
      </c>
      <c r="DC382" s="361">
        <v>0</v>
      </c>
      <c r="DD382" s="361">
        <v>0</v>
      </c>
      <c r="DE382" s="361">
        <v>0</v>
      </c>
      <c r="DF382" s="361">
        <v>0</v>
      </c>
      <c r="DG382" s="361">
        <v>0</v>
      </c>
      <c r="DH382" s="361"/>
      <c r="DI382" s="361"/>
      <c r="DJ382" s="361"/>
      <c r="DK382" s="378"/>
    </row>
    <row r="383" spans="2:115" ht="13">
      <c r="B383" s="294"/>
      <c r="F383" s="296"/>
      <c r="J383" s="302"/>
      <c r="T383" s="295"/>
      <c r="AA383" s="295"/>
      <c r="AH383" s="295"/>
      <c r="AI383" s="188"/>
      <c r="AJ383" s="188"/>
      <c r="AK383" s="188"/>
      <c r="AL383" s="188"/>
      <c r="AM383" s="188"/>
      <c r="AN383" s="188"/>
      <c r="AO383" s="299"/>
      <c r="CI383" s="294"/>
      <c r="CJ383" s="294"/>
      <c r="CU383" s="374">
        <v>61</v>
      </c>
      <c r="CV383" s="359" t="s">
        <v>773</v>
      </c>
      <c r="CW383" s="361">
        <v>88351.05</v>
      </c>
      <c r="CX383" s="361">
        <v>0</v>
      </c>
      <c r="CY383" s="361">
        <v>0</v>
      </c>
      <c r="CZ383" s="361">
        <v>0</v>
      </c>
      <c r="DA383" s="361">
        <v>19800.02</v>
      </c>
      <c r="DB383" s="361">
        <v>0</v>
      </c>
      <c r="DC383" s="361">
        <v>68551.03</v>
      </c>
      <c r="DD383" s="361">
        <v>0</v>
      </c>
      <c r="DE383" s="361">
        <v>0</v>
      </c>
      <c r="DF383" s="361">
        <v>0</v>
      </c>
      <c r="DG383" s="361">
        <v>0</v>
      </c>
      <c r="DH383" s="361"/>
      <c r="DI383" s="361"/>
      <c r="DJ383" s="361"/>
      <c r="DK383" s="378"/>
    </row>
    <row r="384" spans="2:115" ht="13">
      <c r="B384" s="294"/>
      <c r="F384" s="296"/>
      <c r="J384" s="302"/>
      <c r="T384" s="295"/>
      <c r="AA384" s="295"/>
      <c r="AH384" s="295"/>
      <c r="AI384" s="188"/>
      <c r="AJ384" s="188"/>
      <c r="AK384" s="188"/>
      <c r="AL384" s="188"/>
      <c r="AM384" s="188"/>
      <c r="AN384" s="188"/>
      <c r="AO384" s="299"/>
      <c r="CI384" s="294"/>
      <c r="CJ384" s="294"/>
      <c r="CU384" s="374">
        <v>62</v>
      </c>
      <c r="CV384" s="359" t="s">
        <v>752</v>
      </c>
      <c r="CW384" s="361">
        <v>78076.850000000006</v>
      </c>
      <c r="CX384" s="361">
        <v>0</v>
      </c>
      <c r="CY384" s="361">
        <v>0</v>
      </c>
      <c r="CZ384" s="361">
        <v>0</v>
      </c>
      <c r="DA384" s="361">
        <v>0</v>
      </c>
      <c r="DB384" s="361">
        <v>0</v>
      </c>
      <c r="DC384" s="361">
        <v>0</v>
      </c>
      <c r="DD384" s="361">
        <v>0</v>
      </c>
      <c r="DE384" s="361">
        <v>0</v>
      </c>
      <c r="DF384" s="361">
        <v>0</v>
      </c>
      <c r="DG384" s="361">
        <v>78076.850000000006</v>
      </c>
      <c r="DH384" s="361"/>
      <c r="DI384" s="361"/>
      <c r="DJ384" s="361"/>
      <c r="DK384" s="378"/>
    </row>
    <row r="385" spans="2:115" ht="13">
      <c r="B385" s="294"/>
      <c r="F385" s="296"/>
      <c r="J385" s="302"/>
      <c r="T385" s="295"/>
      <c r="AA385" s="295"/>
      <c r="AH385" s="295"/>
      <c r="AI385" s="188"/>
      <c r="AJ385" s="188"/>
      <c r="AK385" s="188"/>
      <c r="AL385" s="188"/>
      <c r="AM385" s="188"/>
      <c r="AN385" s="188"/>
      <c r="AO385" s="299"/>
      <c r="CI385" s="294"/>
      <c r="CJ385" s="294"/>
      <c r="CU385" s="374">
        <v>63</v>
      </c>
      <c r="CV385" s="359" t="s">
        <v>781</v>
      </c>
      <c r="CW385" s="361">
        <v>74666.38</v>
      </c>
      <c r="CX385" s="361">
        <v>22701.86</v>
      </c>
      <c r="CY385" s="361">
        <v>0</v>
      </c>
      <c r="CZ385" s="361">
        <v>0</v>
      </c>
      <c r="DA385" s="361">
        <v>25982.26</v>
      </c>
      <c r="DB385" s="361">
        <v>0</v>
      </c>
      <c r="DC385" s="361">
        <v>0</v>
      </c>
      <c r="DD385" s="361">
        <v>25982.26</v>
      </c>
      <c r="DE385" s="361">
        <v>0</v>
      </c>
      <c r="DF385" s="361">
        <v>0</v>
      </c>
      <c r="DG385" s="361">
        <v>0</v>
      </c>
      <c r="DH385" s="361"/>
      <c r="DI385" s="361"/>
      <c r="DJ385" s="361"/>
      <c r="DK385" s="378"/>
    </row>
    <row r="386" spans="2:115" ht="13">
      <c r="B386" s="294"/>
      <c r="F386" s="296"/>
      <c r="J386" s="302"/>
      <c r="T386" s="295"/>
      <c r="AA386" s="295"/>
      <c r="AH386" s="295"/>
      <c r="AI386" s="188"/>
      <c r="AJ386" s="188"/>
      <c r="AK386" s="188"/>
      <c r="AL386" s="188"/>
      <c r="AM386" s="188"/>
      <c r="AN386" s="188"/>
      <c r="AO386" s="299"/>
      <c r="CI386" s="294"/>
      <c r="CJ386" s="294"/>
      <c r="CU386" s="374">
        <v>64</v>
      </c>
      <c r="CV386" s="359" t="s">
        <v>763</v>
      </c>
      <c r="CW386" s="361">
        <v>72537.52</v>
      </c>
      <c r="CX386" s="361">
        <v>0</v>
      </c>
      <c r="CY386" s="361">
        <v>35212.400000000001</v>
      </c>
      <c r="CZ386" s="361">
        <v>37325.120000000003</v>
      </c>
      <c r="DA386" s="365">
        <v>0</v>
      </c>
      <c r="DB386" s="365">
        <v>0</v>
      </c>
      <c r="DC386" s="361">
        <v>0</v>
      </c>
      <c r="DD386" s="361">
        <v>0</v>
      </c>
      <c r="DE386" s="365">
        <v>0</v>
      </c>
      <c r="DF386" s="365">
        <v>0</v>
      </c>
      <c r="DG386" s="365">
        <v>0</v>
      </c>
      <c r="DH386" s="365"/>
      <c r="DI386" s="365"/>
      <c r="DJ386" s="365"/>
      <c r="DK386" s="379"/>
    </row>
    <row r="387" spans="2:115" ht="13">
      <c r="B387" s="294"/>
      <c r="F387" s="296"/>
      <c r="J387" s="302"/>
      <c r="T387" s="295"/>
      <c r="AA387" s="295"/>
      <c r="AH387" s="295"/>
      <c r="AI387" s="188"/>
      <c r="AJ387" s="188"/>
      <c r="AK387" s="188"/>
      <c r="AL387" s="188"/>
      <c r="AM387" s="188"/>
      <c r="AN387" s="188"/>
      <c r="AO387" s="299"/>
      <c r="CI387" s="294"/>
      <c r="CJ387" s="294"/>
      <c r="CU387" s="374">
        <v>65</v>
      </c>
      <c r="CV387" s="359" t="s">
        <v>706</v>
      </c>
      <c r="CW387" s="361">
        <v>31057.599999999999</v>
      </c>
      <c r="CX387" s="361">
        <v>0</v>
      </c>
      <c r="CY387" s="361">
        <v>0</v>
      </c>
      <c r="CZ387" s="361">
        <v>0</v>
      </c>
      <c r="DA387" s="361">
        <v>0</v>
      </c>
      <c r="DB387" s="361">
        <v>0</v>
      </c>
      <c r="DC387" s="361">
        <v>0</v>
      </c>
      <c r="DD387" s="361">
        <v>31057.599999999999</v>
      </c>
      <c r="DE387" s="361">
        <v>0</v>
      </c>
      <c r="DF387" s="361">
        <v>0</v>
      </c>
      <c r="DG387" s="361">
        <v>0</v>
      </c>
      <c r="DH387" s="361"/>
      <c r="DI387" s="361"/>
      <c r="DJ387" s="361"/>
      <c r="DK387" s="378"/>
    </row>
    <row r="388" spans="2:115" ht="13">
      <c r="B388" s="294"/>
      <c r="F388" s="296"/>
      <c r="J388" s="302"/>
      <c r="T388" s="295"/>
      <c r="AA388" s="295"/>
      <c r="AH388" s="295"/>
      <c r="AI388" s="188"/>
      <c r="AJ388" s="188"/>
      <c r="AK388" s="188"/>
      <c r="AL388" s="188"/>
      <c r="AM388" s="188"/>
      <c r="AN388" s="188"/>
      <c r="AO388" s="299"/>
      <c r="CI388" s="294"/>
      <c r="CJ388" s="294"/>
      <c r="CU388" s="374">
        <v>66</v>
      </c>
      <c r="CV388" s="359" t="s">
        <v>770</v>
      </c>
      <c r="CW388" s="361">
        <v>28500</v>
      </c>
      <c r="CX388" s="361">
        <v>28500</v>
      </c>
      <c r="CY388" s="361">
        <v>0</v>
      </c>
      <c r="CZ388" s="361">
        <v>0</v>
      </c>
      <c r="DA388" s="361">
        <v>0</v>
      </c>
      <c r="DB388" s="361">
        <v>0</v>
      </c>
      <c r="DC388" s="361">
        <v>0</v>
      </c>
      <c r="DD388" s="361">
        <v>0</v>
      </c>
      <c r="DE388" s="361">
        <v>0</v>
      </c>
      <c r="DF388" s="361">
        <v>0</v>
      </c>
      <c r="DG388" s="361">
        <v>0</v>
      </c>
      <c r="DH388" s="361"/>
      <c r="DI388" s="361"/>
      <c r="DJ388" s="361"/>
      <c r="DK388" s="378"/>
    </row>
    <row r="389" spans="2:115" ht="13">
      <c r="B389" s="294"/>
      <c r="F389" s="296"/>
      <c r="J389" s="302"/>
      <c r="T389" s="295"/>
      <c r="AA389" s="295"/>
      <c r="AH389" s="295"/>
      <c r="AI389" s="188"/>
      <c r="AJ389" s="188"/>
      <c r="AK389" s="188"/>
      <c r="AL389" s="188"/>
      <c r="AM389" s="188"/>
      <c r="AN389" s="188"/>
      <c r="AO389" s="299"/>
      <c r="CI389" s="294"/>
      <c r="CJ389" s="294"/>
      <c r="CU389" s="374">
        <v>67</v>
      </c>
      <c r="CV389" s="359" t="s">
        <v>450</v>
      </c>
      <c r="CW389" s="361">
        <v>27224.9</v>
      </c>
      <c r="CX389" s="361">
        <v>0</v>
      </c>
      <c r="CY389" s="361">
        <v>0</v>
      </c>
      <c r="CZ389" s="361">
        <v>0</v>
      </c>
      <c r="DA389" s="361">
        <v>27224.9</v>
      </c>
      <c r="DB389" s="361">
        <v>0</v>
      </c>
      <c r="DC389" s="361">
        <v>0</v>
      </c>
      <c r="DD389" s="361">
        <v>0</v>
      </c>
      <c r="DE389" s="361">
        <v>0</v>
      </c>
      <c r="DF389" s="361">
        <v>0</v>
      </c>
      <c r="DG389" s="361">
        <v>0</v>
      </c>
      <c r="DH389" s="361"/>
      <c r="DI389" s="361"/>
      <c r="DJ389" s="361"/>
      <c r="DK389" s="378"/>
    </row>
    <row r="390" spans="2:115" ht="13">
      <c r="B390" s="294"/>
      <c r="F390" s="296"/>
      <c r="J390" s="302"/>
      <c r="T390" s="295"/>
      <c r="AA390" s="295"/>
      <c r="AH390" s="295"/>
      <c r="AI390" s="188"/>
      <c r="AJ390" s="188"/>
      <c r="AK390" s="188"/>
      <c r="AL390" s="188"/>
      <c r="AM390" s="188"/>
      <c r="AN390" s="188"/>
      <c r="AO390" s="299"/>
      <c r="CI390" s="294"/>
      <c r="CJ390" s="294"/>
      <c r="CU390" s="374">
        <v>68</v>
      </c>
      <c r="CV390" s="359" t="s">
        <v>788</v>
      </c>
      <c r="CW390" s="361">
        <v>26544.99</v>
      </c>
      <c r="CX390" s="361">
        <v>0</v>
      </c>
      <c r="CY390" s="361">
        <v>0</v>
      </c>
      <c r="CZ390" s="365">
        <v>0</v>
      </c>
      <c r="DA390" s="365">
        <v>0</v>
      </c>
      <c r="DB390" s="365">
        <v>0</v>
      </c>
      <c r="DC390" s="361">
        <v>26544.99</v>
      </c>
      <c r="DD390" s="365">
        <v>0</v>
      </c>
      <c r="DE390" s="365">
        <v>0</v>
      </c>
      <c r="DF390" s="365">
        <v>0</v>
      </c>
      <c r="DG390" s="365">
        <v>0</v>
      </c>
      <c r="DH390" s="365"/>
      <c r="DI390" s="365"/>
      <c r="DJ390" s="365"/>
      <c r="DK390" s="379"/>
    </row>
    <row r="391" spans="2:115" ht="13">
      <c r="B391" s="294"/>
      <c r="F391" s="296"/>
      <c r="J391" s="302"/>
      <c r="T391" s="295"/>
      <c r="AA391" s="295"/>
      <c r="AH391" s="295"/>
      <c r="AI391" s="188"/>
      <c r="AJ391" s="188"/>
      <c r="AK391" s="188"/>
      <c r="AL391" s="188"/>
      <c r="AM391" s="188"/>
      <c r="AN391" s="188"/>
      <c r="AO391" s="299"/>
      <c r="CI391" s="294"/>
      <c r="CJ391" s="294"/>
      <c r="CU391" s="374">
        <v>69</v>
      </c>
      <c r="CV391" s="359" t="s">
        <v>808</v>
      </c>
      <c r="CW391" s="361">
        <v>19983.099999999999</v>
      </c>
      <c r="CX391" s="361">
        <v>0</v>
      </c>
      <c r="CY391" s="361">
        <v>19983.099999999999</v>
      </c>
      <c r="CZ391" s="361">
        <v>0</v>
      </c>
      <c r="DA391" s="361">
        <v>0</v>
      </c>
      <c r="DB391" s="361">
        <v>0</v>
      </c>
      <c r="DC391" s="361">
        <v>0</v>
      </c>
      <c r="DD391" s="361">
        <v>0</v>
      </c>
      <c r="DE391" s="361">
        <v>0</v>
      </c>
      <c r="DF391" s="361">
        <v>0</v>
      </c>
      <c r="DG391" s="361">
        <v>0</v>
      </c>
      <c r="DH391" s="361"/>
      <c r="DI391" s="361"/>
      <c r="DJ391" s="361"/>
      <c r="DK391" s="378"/>
    </row>
    <row r="392" spans="2:115" ht="13">
      <c r="B392" s="294"/>
      <c r="F392" s="296"/>
      <c r="J392" s="302"/>
      <c r="T392" s="295"/>
      <c r="AA392" s="295"/>
      <c r="AH392" s="295"/>
      <c r="AI392" s="188"/>
      <c r="AJ392" s="188"/>
      <c r="AK392" s="188"/>
      <c r="AL392" s="188"/>
      <c r="AM392" s="188"/>
      <c r="AN392" s="188"/>
      <c r="AO392" s="299"/>
      <c r="CI392" s="294"/>
      <c r="CJ392" s="294"/>
      <c r="CU392" s="374">
        <v>70</v>
      </c>
      <c r="CV392" s="359"/>
      <c r="CW392" s="361"/>
      <c r="CX392" s="361"/>
      <c r="CY392" s="361"/>
      <c r="CZ392" s="361"/>
      <c r="DA392" s="361"/>
      <c r="DB392" s="361"/>
      <c r="DC392" s="361"/>
      <c r="DD392" s="361"/>
      <c r="DE392" s="361"/>
      <c r="DF392" s="361"/>
      <c r="DG392" s="361"/>
      <c r="DH392" s="361"/>
      <c r="DI392" s="361"/>
      <c r="DJ392" s="361"/>
      <c r="DK392" s="378"/>
    </row>
    <row r="393" spans="2:115" ht="13">
      <c r="B393" s="294"/>
      <c r="F393" s="296"/>
      <c r="J393" s="302"/>
      <c r="T393" s="295"/>
      <c r="AA393" s="295"/>
      <c r="AH393" s="295"/>
      <c r="AI393" s="188"/>
      <c r="AJ393" s="188"/>
      <c r="AK393" s="188"/>
      <c r="AL393" s="188"/>
      <c r="AM393" s="188"/>
      <c r="AN393" s="188"/>
      <c r="AO393" s="299"/>
      <c r="CI393" s="294"/>
      <c r="CJ393" s="294"/>
      <c r="CU393" s="374">
        <v>71</v>
      </c>
      <c r="CV393" s="359"/>
      <c r="CW393" s="361"/>
      <c r="CX393" s="365"/>
      <c r="CY393" s="361"/>
      <c r="CZ393" s="361"/>
      <c r="DA393" s="361"/>
      <c r="DB393" s="361"/>
      <c r="DC393" s="361"/>
      <c r="DD393" s="361"/>
      <c r="DE393" s="361"/>
      <c r="DF393" s="361"/>
      <c r="DG393" s="361"/>
      <c r="DH393" s="361"/>
      <c r="DI393" s="361"/>
      <c r="DJ393" s="361"/>
      <c r="DK393" s="378"/>
    </row>
    <row r="394" spans="2:115" ht="13">
      <c r="B394" s="294"/>
      <c r="F394" s="296"/>
      <c r="J394" s="302"/>
      <c r="T394" s="295"/>
      <c r="AA394" s="295"/>
      <c r="AH394" s="295"/>
      <c r="AI394" s="188"/>
      <c r="AJ394" s="188"/>
      <c r="AK394" s="188"/>
      <c r="AL394" s="188"/>
      <c r="AM394" s="188"/>
      <c r="AN394" s="188"/>
      <c r="AO394" s="299"/>
      <c r="CI394" s="294"/>
      <c r="CJ394" s="294"/>
      <c r="CU394" s="374">
        <v>72</v>
      </c>
      <c r="CV394" s="359"/>
      <c r="CW394" s="361"/>
      <c r="CX394" s="361"/>
      <c r="CY394" s="361"/>
      <c r="CZ394" s="361"/>
      <c r="DA394" s="361"/>
      <c r="DB394" s="361"/>
      <c r="DC394" s="361"/>
      <c r="DD394" s="361"/>
      <c r="DE394" s="361"/>
      <c r="DF394" s="361"/>
      <c r="DG394" s="361"/>
      <c r="DH394" s="361"/>
      <c r="DI394" s="361"/>
      <c r="DJ394" s="361"/>
      <c r="DK394" s="378"/>
    </row>
    <row r="395" spans="2:115" ht="13">
      <c r="B395" s="294"/>
      <c r="F395" s="296"/>
      <c r="J395" s="302"/>
      <c r="T395" s="295"/>
      <c r="AA395" s="295"/>
      <c r="AH395" s="295"/>
      <c r="AI395" s="188"/>
      <c r="AJ395" s="188"/>
      <c r="AK395" s="188"/>
      <c r="AL395" s="188"/>
      <c r="AM395" s="188"/>
      <c r="AN395" s="188"/>
      <c r="AO395" s="299"/>
      <c r="CI395" s="294"/>
      <c r="CJ395" s="294"/>
      <c r="CU395" s="374">
        <v>73</v>
      </c>
      <c r="CV395" s="359"/>
      <c r="CW395" s="361"/>
      <c r="CX395" s="361"/>
      <c r="CY395" s="361"/>
      <c r="CZ395" s="361"/>
      <c r="DA395" s="361"/>
      <c r="DB395" s="361"/>
      <c r="DC395" s="361"/>
      <c r="DD395" s="361"/>
      <c r="DE395" s="361"/>
      <c r="DF395" s="361"/>
      <c r="DG395" s="361"/>
      <c r="DH395" s="361"/>
      <c r="DI395" s="361"/>
      <c r="DJ395" s="361"/>
      <c r="DK395" s="378"/>
    </row>
    <row r="396" spans="2:115" ht="13">
      <c r="B396" s="294"/>
      <c r="F396" s="296"/>
      <c r="J396" s="302"/>
      <c r="T396" s="295"/>
      <c r="AA396" s="295"/>
      <c r="AH396" s="295"/>
      <c r="AI396" s="188"/>
      <c r="AJ396" s="188"/>
      <c r="AK396" s="188"/>
      <c r="AL396" s="188"/>
      <c r="AM396" s="188"/>
      <c r="AN396" s="188"/>
      <c r="AO396" s="299"/>
      <c r="CI396" s="294"/>
      <c r="CJ396" s="294"/>
      <c r="CU396" s="374">
        <v>74</v>
      </c>
      <c r="CV396" s="359"/>
      <c r="CW396" s="361"/>
      <c r="CX396" s="361"/>
      <c r="CY396" s="361"/>
      <c r="CZ396" s="365"/>
      <c r="DA396" s="365"/>
      <c r="DB396" s="365"/>
      <c r="DC396" s="365"/>
      <c r="DD396" s="365"/>
      <c r="DE396" s="365"/>
      <c r="DF396" s="365"/>
      <c r="DG396" s="365"/>
      <c r="DH396" s="365"/>
      <c r="DI396" s="365"/>
      <c r="DJ396" s="365"/>
      <c r="DK396" s="379"/>
    </row>
    <row r="397" spans="2:115" ht="13">
      <c r="B397" s="294"/>
      <c r="F397" s="296"/>
      <c r="J397" s="302"/>
      <c r="T397" s="295"/>
      <c r="AA397" s="295"/>
      <c r="AH397" s="295"/>
      <c r="AI397" s="188"/>
      <c r="AJ397" s="188"/>
      <c r="AK397" s="188"/>
      <c r="AL397" s="188"/>
      <c r="AM397" s="188"/>
      <c r="AN397" s="188"/>
      <c r="AO397" s="299"/>
      <c r="CI397" s="294"/>
      <c r="CJ397" s="294"/>
      <c r="CU397" s="374">
        <v>75</v>
      </c>
      <c r="CV397" s="359"/>
      <c r="CW397" s="361"/>
      <c r="CX397" s="361"/>
      <c r="CY397" s="361"/>
      <c r="CZ397" s="361"/>
      <c r="DA397" s="361"/>
      <c r="DB397" s="361"/>
      <c r="DC397" s="361"/>
      <c r="DD397" s="361"/>
      <c r="DE397" s="361"/>
      <c r="DF397" s="361"/>
      <c r="DG397" s="361"/>
      <c r="DH397" s="361"/>
      <c r="DI397" s="361"/>
      <c r="DJ397" s="361"/>
      <c r="DK397" s="378"/>
    </row>
    <row r="398" spans="2:115" ht="13">
      <c r="B398" s="294"/>
      <c r="F398" s="296"/>
      <c r="J398" s="302"/>
      <c r="T398" s="295"/>
      <c r="AA398" s="295"/>
      <c r="AH398" s="295"/>
      <c r="AI398" s="188"/>
      <c r="AJ398" s="188"/>
      <c r="AK398" s="188"/>
      <c r="AL398" s="188"/>
      <c r="AM398" s="188"/>
      <c r="AN398" s="188"/>
      <c r="AO398" s="299"/>
      <c r="CI398" s="294"/>
      <c r="CJ398" s="294"/>
      <c r="CU398" s="374">
        <v>76</v>
      </c>
      <c r="CV398" s="359"/>
      <c r="CW398" s="361"/>
      <c r="CX398" s="361"/>
      <c r="CY398" s="361"/>
      <c r="CZ398" s="361"/>
      <c r="DA398" s="361"/>
      <c r="DB398" s="361"/>
      <c r="DC398" s="361"/>
      <c r="DD398" s="361"/>
      <c r="DE398" s="361"/>
      <c r="DF398" s="361"/>
      <c r="DG398" s="361"/>
      <c r="DH398" s="361"/>
      <c r="DI398" s="361"/>
      <c r="DJ398" s="361"/>
      <c r="DK398" s="378"/>
    </row>
    <row r="399" spans="2:115" ht="13">
      <c r="B399" s="294"/>
      <c r="F399" s="296"/>
      <c r="J399" s="302"/>
      <c r="T399" s="295"/>
      <c r="AA399" s="295"/>
      <c r="AH399" s="295"/>
      <c r="AI399" s="188"/>
      <c r="AJ399" s="188"/>
      <c r="AK399" s="188"/>
      <c r="AL399" s="188"/>
      <c r="AM399" s="188"/>
      <c r="AN399" s="188"/>
      <c r="AO399" s="299"/>
      <c r="CI399" s="294"/>
      <c r="CJ399" s="294"/>
      <c r="CU399" s="374">
        <v>77</v>
      </c>
      <c r="CV399" s="359"/>
      <c r="CW399" s="361"/>
      <c r="CX399" s="361"/>
      <c r="CY399" s="361"/>
      <c r="CZ399" s="361"/>
      <c r="DA399" s="361"/>
      <c r="DB399" s="361"/>
      <c r="DC399" s="361"/>
      <c r="DD399" s="361"/>
      <c r="DE399" s="361"/>
      <c r="DF399" s="361"/>
      <c r="DG399" s="361"/>
      <c r="DH399" s="361"/>
      <c r="DI399" s="361"/>
      <c r="DJ399" s="361"/>
      <c r="DK399" s="378"/>
    </row>
    <row r="400" spans="2:115" ht="13">
      <c r="B400" s="294"/>
      <c r="F400" s="296"/>
      <c r="J400" s="302"/>
      <c r="T400" s="295"/>
      <c r="AA400" s="295"/>
      <c r="AH400" s="295"/>
      <c r="AI400" s="188"/>
      <c r="AJ400" s="188"/>
      <c r="AK400" s="188"/>
      <c r="AL400" s="188"/>
      <c r="AM400" s="188"/>
      <c r="AN400" s="188"/>
      <c r="AO400" s="299"/>
      <c r="CI400" s="294"/>
      <c r="CJ400" s="294"/>
      <c r="CU400" s="374">
        <v>78</v>
      </c>
      <c r="CV400" s="359"/>
      <c r="CW400" s="361"/>
      <c r="CX400" s="361"/>
      <c r="CY400" s="361"/>
      <c r="CZ400" s="361"/>
      <c r="DA400" s="361"/>
      <c r="DB400" s="361"/>
      <c r="DC400" s="361"/>
      <c r="DD400" s="361"/>
      <c r="DE400" s="361"/>
      <c r="DF400" s="361"/>
      <c r="DG400" s="361"/>
      <c r="DH400" s="361"/>
      <c r="DI400" s="361"/>
      <c r="DJ400" s="361"/>
      <c r="DK400" s="378"/>
    </row>
    <row r="401" spans="2:115" ht="13">
      <c r="B401" s="294"/>
      <c r="F401" s="296"/>
      <c r="J401" s="302"/>
      <c r="T401" s="295"/>
      <c r="AA401" s="295"/>
      <c r="AH401" s="295"/>
      <c r="AI401" s="188"/>
      <c r="AJ401" s="188"/>
      <c r="AK401" s="188"/>
      <c r="AL401" s="188"/>
      <c r="AM401" s="188"/>
      <c r="AN401" s="188"/>
      <c r="AO401" s="299"/>
      <c r="CI401" s="294"/>
      <c r="CJ401" s="294"/>
      <c r="CU401" s="374">
        <v>79</v>
      </c>
      <c r="CV401" s="359"/>
      <c r="CW401" s="361"/>
      <c r="CX401" s="361"/>
      <c r="CY401" s="365"/>
      <c r="CZ401" s="365"/>
      <c r="DA401" s="365"/>
      <c r="DB401" s="365"/>
      <c r="DC401" s="365"/>
      <c r="DD401" s="365"/>
      <c r="DE401" s="365"/>
      <c r="DF401" s="365"/>
      <c r="DG401" s="365"/>
      <c r="DH401" s="365"/>
      <c r="DI401" s="365"/>
      <c r="DJ401" s="365"/>
      <c r="DK401" s="379"/>
    </row>
    <row r="402" spans="2:115" ht="13">
      <c r="B402" s="294"/>
      <c r="F402" s="296"/>
      <c r="J402" s="302"/>
      <c r="T402" s="295"/>
      <c r="AA402" s="295"/>
      <c r="AH402" s="295"/>
      <c r="AI402" s="188"/>
      <c r="AJ402" s="188"/>
      <c r="AK402" s="188"/>
      <c r="AL402" s="188"/>
      <c r="AM402" s="188"/>
      <c r="AN402" s="188"/>
      <c r="AO402" s="299"/>
      <c r="CI402" s="294"/>
      <c r="CJ402" s="294"/>
      <c r="CU402" s="374">
        <v>80</v>
      </c>
      <c r="CV402" s="359"/>
      <c r="CW402" s="361"/>
      <c r="CX402" s="361"/>
      <c r="CY402" s="361"/>
      <c r="CZ402" s="361"/>
      <c r="DA402" s="361"/>
      <c r="DB402" s="361"/>
      <c r="DC402" s="361"/>
      <c r="DD402" s="361"/>
      <c r="DE402" s="361"/>
      <c r="DF402" s="361"/>
      <c r="DG402" s="361"/>
      <c r="DH402" s="361"/>
      <c r="DI402" s="361"/>
      <c r="DJ402" s="361"/>
      <c r="DK402" s="378"/>
    </row>
    <row r="403" spans="2:115" ht="13">
      <c r="B403" s="294"/>
      <c r="F403" s="296"/>
      <c r="J403" s="302"/>
      <c r="T403" s="295"/>
      <c r="AA403" s="295"/>
      <c r="AH403" s="295"/>
      <c r="AI403" s="188"/>
      <c r="AJ403" s="188"/>
      <c r="AK403" s="188"/>
      <c r="AL403" s="188"/>
      <c r="AM403" s="188"/>
      <c r="AN403" s="188"/>
      <c r="AO403" s="299"/>
      <c r="CI403" s="294"/>
      <c r="CJ403" s="294"/>
      <c r="CU403" s="374">
        <v>81</v>
      </c>
      <c r="CV403" s="359"/>
      <c r="CW403" s="361"/>
      <c r="CX403" s="361"/>
      <c r="CY403" s="361"/>
      <c r="CZ403" s="361"/>
      <c r="DA403" s="361"/>
      <c r="DB403" s="361"/>
      <c r="DC403" s="361"/>
      <c r="DD403" s="361"/>
      <c r="DE403" s="361"/>
      <c r="DF403" s="361"/>
      <c r="DG403" s="361"/>
      <c r="DH403" s="361"/>
      <c r="DI403" s="361"/>
      <c r="DJ403" s="361"/>
      <c r="DK403" s="378"/>
    </row>
    <row r="404" spans="2:115" ht="13">
      <c r="B404" s="294"/>
      <c r="F404" s="296"/>
      <c r="J404" s="302"/>
      <c r="T404" s="295"/>
      <c r="AA404" s="295"/>
      <c r="AH404" s="295"/>
      <c r="AI404" s="188"/>
      <c r="AJ404" s="188"/>
      <c r="AK404" s="188"/>
      <c r="AL404" s="188"/>
      <c r="AM404" s="188"/>
      <c r="AN404" s="188"/>
      <c r="AO404" s="299"/>
      <c r="CI404" s="294"/>
      <c r="CJ404" s="294"/>
      <c r="CU404" s="374">
        <v>82</v>
      </c>
      <c r="CV404" s="359"/>
      <c r="CW404" s="361"/>
      <c r="CX404" s="361"/>
      <c r="CY404" s="365"/>
      <c r="CZ404" s="365"/>
      <c r="DA404" s="365"/>
      <c r="DB404" s="365"/>
      <c r="DC404" s="365"/>
      <c r="DD404" s="365"/>
      <c r="DE404" s="365"/>
      <c r="DF404" s="365"/>
      <c r="DG404" s="365"/>
      <c r="DH404" s="365"/>
      <c r="DI404" s="365"/>
      <c r="DJ404" s="365"/>
      <c r="DK404" s="379"/>
    </row>
    <row r="405" spans="2:115" ht="13">
      <c r="B405" s="294"/>
      <c r="F405" s="296"/>
      <c r="J405" s="302"/>
      <c r="T405" s="295"/>
      <c r="AA405" s="295"/>
      <c r="AH405" s="295"/>
      <c r="AI405" s="188"/>
      <c r="AJ405" s="188"/>
      <c r="AK405" s="188"/>
      <c r="AL405" s="188"/>
      <c r="AM405" s="188"/>
      <c r="AN405" s="188"/>
      <c r="AO405" s="299"/>
      <c r="CI405" s="294"/>
      <c r="CJ405" s="294"/>
      <c r="CU405" s="374">
        <v>83</v>
      </c>
      <c r="CV405" s="359"/>
      <c r="CW405" s="361"/>
      <c r="CX405" s="361"/>
      <c r="CY405" s="361"/>
      <c r="CZ405" s="361"/>
      <c r="DA405" s="361"/>
      <c r="DB405" s="361"/>
      <c r="DC405" s="361"/>
      <c r="DD405" s="361"/>
      <c r="DE405" s="361"/>
      <c r="DF405" s="361"/>
      <c r="DG405" s="361"/>
      <c r="DH405" s="361"/>
      <c r="DI405" s="361"/>
      <c r="DJ405" s="361"/>
      <c r="DK405" s="378"/>
    </row>
    <row r="406" spans="2:115" ht="13">
      <c r="B406" s="294"/>
      <c r="F406" s="296"/>
      <c r="J406" s="302"/>
      <c r="T406" s="295"/>
      <c r="AA406" s="295"/>
      <c r="AH406" s="295"/>
      <c r="AI406" s="188"/>
      <c r="AJ406" s="188"/>
      <c r="AK406" s="188"/>
      <c r="AL406" s="188"/>
      <c r="AM406" s="188"/>
      <c r="AN406" s="188"/>
      <c r="AO406" s="299"/>
      <c r="CI406" s="294"/>
      <c r="CJ406" s="294"/>
      <c r="CU406" s="374">
        <v>84</v>
      </c>
      <c r="CV406" s="359"/>
      <c r="CW406" s="361"/>
      <c r="CX406" s="361"/>
      <c r="CY406" s="361"/>
      <c r="CZ406" s="365"/>
      <c r="DA406" s="365"/>
      <c r="DB406" s="365"/>
      <c r="DC406" s="365"/>
      <c r="DD406" s="365"/>
      <c r="DE406" s="365"/>
      <c r="DF406" s="365"/>
      <c r="DG406" s="365"/>
      <c r="DH406" s="365"/>
      <c r="DI406" s="365"/>
      <c r="DJ406" s="365"/>
      <c r="DK406" s="379"/>
    </row>
    <row r="407" spans="2:115" ht="13">
      <c r="B407" s="294"/>
      <c r="F407" s="296"/>
      <c r="J407" s="302"/>
      <c r="T407" s="295"/>
      <c r="AA407" s="295"/>
      <c r="AH407" s="295"/>
      <c r="AI407" s="188"/>
      <c r="AJ407" s="188"/>
      <c r="AK407" s="188"/>
      <c r="AL407" s="188"/>
      <c r="AM407" s="188"/>
      <c r="AN407" s="188"/>
      <c r="AO407" s="299"/>
      <c r="CI407" s="294"/>
      <c r="CJ407" s="294"/>
      <c r="CU407" s="374">
        <v>85</v>
      </c>
      <c r="CV407" s="359"/>
      <c r="CW407" s="361"/>
      <c r="CX407" s="361"/>
      <c r="CY407" s="365"/>
      <c r="CZ407" s="365"/>
      <c r="DA407" s="365"/>
      <c r="DB407" s="365"/>
      <c r="DC407" s="365"/>
      <c r="DD407" s="365"/>
      <c r="DE407" s="365"/>
      <c r="DF407" s="365"/>
      <c r="DG407" s="365"/>
      <c r="DH407" s="365"/>
      <c r="DI407" s="365"/>
      <c r="DJ407" s="365"/>
      <c r="DK407" s="379"/>
    </row>
    <row r="408" spans="2:115" ht="13">
      <c r="B408" s="294"/>
      <c r="F408" s="296"/>
      <c r="J408" s="302"/>
      <c r="T408" s="295"/>
      <c r="AA408" s="295"/>
      <c r="AH408" s="295"/>
      <c r="AI408" s="188"/>
      <c r="AJ408" s="188"/>
      <c r="AK408" s="188"/>
      <c r="AL408" s="188"/>
      <c r="AM408" s="188"/>
      <c r="AN408" s="188"/>
      <c r="AO408" s="299"/>
      <c r="CI408" s="294"/>
      <c r="CJ408" s="294"/>
      <c r="CU408" s="374">
        <v>86</v>
      </c>
      <c r="CV408" s="359"/>
      <c r="CW408" s="361"/>
      <c r="CX408" s="361"/>
      <c r="CY408" s="365"/>
      <c r="CZ408" s="365"/>
      <c r="DA408" s="365"/>
      <c r="DB408" s="365"/>
      <c r="DC408" s="365"/>
      <c r="DD408" s="365"/>
      <c r="DE408" s="365"/>
      <c r="DF408" s="365"/>
      <c r="DG408" s="365"/>
      <c r="DH408" s="365"/>
      <c r="DI408" s="365"/>
      <c r="DJ408" s="365"/>
      <c r="DK408" s="379"/>
    </row>
    <row r="409" spans="2:115" ht="13">
      <c r="B409" s="294"/>
      <c r="F409" s="296"/>
      <c r="J409" s="302"/>
      <c r="T409" s="295"/>
      <c r="AA409" s="295"/>
      <c r="AH409" s="295"/>
      <c r="AI409" s="188"/>
      <c r="AJ409" s="188"/>
      <c r="AK409" s="188"/>
      <c r="AL409" s="188"/>
      <c r="AM409" s="188"/>
      <c r="AN409" s="188"/>
      <c r="AO409" s="299"/>
      <c r="CI409" s="294"/>
      <c r="CJ409" s="294"/>
      <c r="CU409" s="374">
        <v>87</v>
      </c>
      <c r="CV409" s="359"/>
      <c r="CW409" s="361"/>
      <c r="CX409" s="361"/>
      <c r="CY409" s="365"/>
      <c r="CZ409" s="365"/>
      <c r="DA409" s="365"/>
      <c r="DB409" s="365"/>
      <c r="DC409" s="365"/>
      <c r="DD409" s="365"/>
      <c r="DE409" s="365"/>
      <c r="DF409" s="365"/>
      <c r="DG409" s="365"/>
      <c r="DH409" s="365"/>
      <c r="DI409" s="365"/>
      <c r="DJ409" s="365"/>
      <c r="DK409" s="379"/>
    </row>
    <row r="410" spans="2:115" ht="13">
      <c r="B410" s="294"/>
      <c r="F410" s="296"/>
      <c r="J410" s="302"/>
      <c r="T410" s="295"/>
      <c r="AA410" s="295"/>
      <c r="AH410" s="295"/>
      <c r="AI410" s="188"/>
      <c r="AJ410" s="188"/>
      <c r="AK410" s="188"/>
      <c r="AL410" s="188"/>
      <c r="AM410" s="188"/>
      <c r="AN410" s="188"/>
      <c r="AO410" s="299"/>
      <c r="CI410" s="294"/>
      <c r="CJ410" s="294"/>
      <c r="CU410" s="374">
        <v>88</v>
      </c>
      <c r="CV410" s="359"/>
      <c r="CW410" s="361"/>
      <c r="CX410" s="365"/>
      <c r="CY410" s="361"/>
      <c r="CZ410" s="361"/>
      <c r="DA410" s="361"/>
      <c r="DB410" s="361"/>
      <c r="DC410" s="361"/>
      <c r="DD410" s="361"/>
      <c r="DE410" s="361"/>
      <c r="DF410" s="361"/>
      <c r="DG410" s="361"/>
      <c r="DH410" s="361"/>
      <c r="DI410" s="361"/>
      <c r="DJ410" s="361"/>
      <c r="DK410" s="378"/>
    </row>
    <row r="411" spans="2:115" ht="13">
      <c r="B411" s="294"/>
      <c r="F411" s="296"/>
      <c r="J411" s="302"/>
      <c r="T411" s="295"/>
      <c r="AA411" s="295"/>
      <c r="AH411" s="295"/>
      <c r="AI411" s="188"/>
      <c r="AJ411" s="188"/>
      <c r="AK411" s="188"/>
      <c r="AL411" s="188"/>
      <c r="AM411" s="188"/>
      <c r="AN411" s="188"/>
      <c r="AO411" s="299"/>
      <c r="CI411" s="294"/>
      <c r="CJ411" s="294"/>
      <c r="CU411" s="374">
        <v>89</v>
      </c>
      <c r="DK411" s="380"/>
    </row>
    <row r="412" spans="2:115" ht="13">
      <c r="B412" s="294"/>
      <c r="F412" s="296"/>
      <c r="J412" s="302"/>
      <c r="T412" s="295"/>
      <c r="AA412" s="295"/>
      <c r="AH412" s="295"/>
      <c r="AI412" s="188"/>
      <c r="AJ412" s="188"/>
      <c r="AK412" s="188"/>
      <c r="AL412" s="188"/>
      <c r="AM412" s="188"/>
      <c r="AN412" s="188"/>
      <c r="AO412" s="299"/>
      <c r="CI412" s="294"/>
      <c r="CJ412" s="294"/>
      <c r="CU412" s="374">
        <v>90</v>
      </c>
      <c r="DK412" s="380"/>
    </row>
    <row r="413" spans="2:115" ht="13">
      <c r="B413" s="294"/>
      <c r="F413" s="296"/>
      <c r="J413" s="302"/>
      <c r="T413" s="295"/>
      <c r="AA413" s="295"/>
      <c r="AH413" s="295"/>
      <c r="AI413" s="188"/>
      <c r="AJ413" s="188"/>
      <c r="AK413" s="188"/>
      <c r="AL413" s="188"/>
      <c r="AM413" s="188"/>
      <c r="AN413" s="188"/>
      <c r="AO413" s="299"/>
      <c r="CI413" s="294"/>
      <c r="CJ413" s="294"/>
      <c r="CU413" s="374">
        <v>91</v>
      </c>
      <c r="DK413" s="380"/>
    </row>
    <row r="414" spans="2:115" ht="13">
      <c r="B414" s="294"/>
      <c r="F414" s="296"/>
      <c r="J414" s="302"/>
      <c r="T414" s="295"/>
      <c r="AA414" s="295"/>
      <c r="AH414" s="295"/>
      <c r="AI414" s="188"/>
      <c r="AJ414" s="188"/>
      <c r="AK414" s="188"/>
      <c r="AL414" s="188"/>
      <c r="AM414" s="188"/>
      <c r="AN414" s="188"/>
      <c r="AO414" s="299"/>
      <c r="CI414" s="294"/>
      <c r="CJ414" s="294"/>
      <c r="CU414" s="374">
        <v>92</v>
      </c>
      <c r="DK414" s="380"/>
    </row>
    <row r="415" spans="2:115" ht="13">
      <c r="B415" s="294"/>
      <c r="F415" s="296"/>
      <c r="J415" s="302"/>
      <c r="T415" s="295"/>
      <c r="AA415" s="295"/>
      <c r="AH415" s="295"/>
      <c r="AI415" s="188"/>
      <c r="AJ415" s="188"/>
      <c r="AK415" s="188"/>
      <c r="AL415" s="188"/>
      <c r="AM415" s="188"/>
      <c r="AN415" s="188"/>
      <c r="AO415" s="299"/>
      <c r="CI415" s="294"/>
      <c r="CJ415" s="294"/>
      <c r="CU415" s="374">
        <v>93</v>
      </c>
      <c r="DK415" s="380"/>
    </row>
    <row r="416" spans="2:115" ht="13">
      <c r="B416" s="294"/>
      <c r="F416" s="296"/>
      <c r="J416" s="302"/>
      <c r="T416" s="295"/>
      <c r="AA416" s="295"/>
      <c r="AH416" s="295"/>
      <c r="AI416" s="188"/>
      <c r="AJ416" s="188"/>
      <c r="AK416" s="188"/>
      <c r="AL416" s="188"/>
      <c r="AM416" s="188"/>
      <c r="AN416" s="188"/>
      <c r="AO416" s="299"/>
      <c r="CI416" s="294"/>
      <c r="CJ416" s="294"/>
      <c r="CU416" s="374">
        <v>94</v>
      </c>
      <c r="DK416" s="380"/>
    </row>
    <row r="417" spans="2:115" ht="13">
      <c r="B417" s="294"/>
      <c r="F417" s="296"/>
      <c r="J417" s="302"/>
      <c r="T417" s="295"/>
      <c r="AA417" s="295"/>
      <c r="AH417" s="295"/>
      <c r="AI417" s="188"/>
      <c r="AJ417" s="188"/>
      <c r="AK417" s="188"/>
      <c r="AL417" s="188"/>
      <c r="AM417" s="188"/>
      <c r="AN417" s="188"/>
      <c r="AO417" s="299"/>
      <c r="CI417" s="294"/>
      <c r="CJ417" s="294"/>
      <c r="CU417" s="374">
        <v>95</v>
      </c>
      <c r="DK417" s="380"/>
    </row>
    <row r="418" spans="2:115" ht="13">
      <c r="B418" s="294"/>
      <c r="F418" s="296"/>
      <c r="J418" s="302"/>
      <c r="T418" s="295"/>
      <c r="AA418" s="295"/>
      <c r="AH418" s="295"/>
      <c r="AI418" s="188"/>
      <c r="AJ418" s="188"/>
      <c r="AK418" s="188"/>
      <c r="AL418" s="188"/>
      <c r="AM418" s="188"/>
      <c r="AN418" s="188"/>
      <c r="AO418" s="299"/>
      <c r="CI418" s="294"/>
      <c r="CJ418" s="294"/>
      <c r="CU418" s="374">
        <v>96</v>
      </c>
      <c r="DK418" s="380"/>
    </row>
    <row r="419" spans="2:115" ht="13">
      <c r="B419" s="294"/>
      <c r="F419" s="296"/>
      <c r="J419" s="302"/>
      <c r="T419" s="295"/>
      <c r="AA419" s="295"/>
      <c r="AH419" s="295"/>
      <c r="AI419" s="188"/>
      <c r="AJ419" s="188"/>
      <c r="AK419" s="188"/>
      <c r="AL419" s="188"/>
      <c r="AM419" s="188"/>
      <c r="AN419" s="188"/>
      <c r="AO419" s="299"/>
      <c r="CI419" s="294"/>
      <c r="CJ419" s="294"/>
      <c r="CU419" s="374">
        <v>97</v>
      </c>
      <c r="DK419" s="380"/>
    </row>
    <row r="420" spans="2:115" ht="13">
      <c r="B420" s="294"/>
      <c r="F420" s="296"/>
      <c r="J420" s="302"/>
      <c r="T420" s="295"/>
      <c r="AA420" s="295"/>
      <c r="AH420" s="295"/>
      <c r="AI420" s="188"/>
      <c r="AJ420" s="188"/>
      <c r="AK420" s="188"/>
      <c r="AL420" s="188"/>
      <c r="AM420" s="188"/>
      <c r="AN420" s="188"/>
      <c r="AO420" s="299"/>
      <c r="CI420" s="294"/>
      <c r="CJ420" s="294"/>
      <c r="CU420" s="374">
        <v>98</v>
      </c>
      <c r="DK420" s="380"/>
    </row>
    <row r="421" spans="2:115" ht="13">
      <c r="B421" s="294"/>
      <c r="F421" s="296"/>
      <c r="J421" s="302"/>
      <c r="T421" s="295"/>
      <c r="AA421" s="295"/>
      <c r="AH421" s="295"/>
      <c r="AI421" s="188"/>
      <c r="AJ421" s="188"/>
      <c r="AK421" s="188"/>
      <c r="AL421" s="188"/>
      <c r="AM421" s="188"/>
      <c r="AN421" s="188"/>
      <c r="AO421" s="299"/>
      <c r="CI421" s="294"/>
      <c r="CJ421" s="294"/>
      <c r="CU421" s="374">
        <v>99</v>
      </c>
      <c r="DK421" s="380"/>
    </row>
    <row r="422" spans="2:115" ht="13">
      <c r="B422" s="294"/>
      <c r="F422" s="296"/>
      <c r="J422" s="302"/>
      <c r="T422" s="295"/>
      <c r="AA422" s="295"/>
      <c r="AH422" s="295"/>
      <c r="AI422" s="188"/>
      <c r="AJ422" s="188"/>
      <c r="AK422" s="188"/>
      <c r="AL422" s="188"/>
      <c r="AM422" s="188"/>
      <c r="AN422" s="188"/>
      <c r="AO422" s="299"/>
      <c r="CI422" s="294"/>
      <c r="CJ422" s="294"/>
      <c r="CU422" s="374">
        <v>100</v>
      </c>
      <c r="DK422" s="380"/>
    </row>
    <row r="423" spans="2:115" ht="13">
      <c r="B423" s="294"/>
      <c r="F423" s="296"/>
      <c r="J423" s="302"/>
      <c r="T423" s="295"/>
      <c r="AA423" s="295"/>
      <c r="AH423" s="295"/>
      <c r="AI423" s="188"/>
      <c r="AJ423" s="188"/>
      <c r="AK423" s="188"/>
      <c r="AL423" s="188"/>
      <c r="AM423" s="188"/>
      <c r="AN423" s="188"/>
      <c r="AO423" s="299"/>
      <c r="CI423" s="294"/>
      <c r="CJ423" s="294"/>
      <c r="CU423" s="374">
        <v>101</v>
      </c>
      <c r="DK423" s="380"/>
    </row>
    <row r="424" spans="2:115" ht="13">
      <c r="B424" s="294"/>
      <c r="F424" s="296"/>
      <c r="J424" s="302"/>
      <c r="T424" s="295"/>
      <c r="AA424" s="295"/>
      <c r="AH424" s="295"/>
      <c r="AI424" s="188"/>
      <c r="AJ424" s="188"/>
      <c r="AK424" s="188"/>
      <c r="AL424" s="188"/>
      <c r="AM424" s="188"/>
      <c r="AN424" s="188"/>
      <c r="AO424" s="299"/>
      <c r="CI424" s="294"/>
      <c r="CJ424" s="294"/>
      <c r="CU424" s="374">
        <v>102</v>
      </c>
      <c r="DK424" s="380"/>
    </row>
    <row r="425" spans="2:115" ht="13">
      <c r="B425" s="294"/>
      <c r="F425" s="296"/>
      <c r="J425" s="302"/>
      <c r="T425" s="295"/>
      <c r="AA425" s="295"/>
      <c r="AH425" s="295"/>
      <c r="AI425" s="188"/>
      <c r="AJ425" s="188"/>
      <c r="AK425" s="188"/>
      <c r="AL425" s="188"/>
      <c r="AM425" s="188"/>
      <c r="AN425" s="188"/>
      <c r="AO425" s="299"/>
      <c r="CI425" s="294"/>
      <c r="CJ425" s="294"/>
      <c r="CU425" s="374">
        <v>103</v>
      </c>
      <c r="DK425" s="380"/>
    </row>
    <row r="426" spans="2:115" ht="13">
      <c r="B426" s="294"/>
      <c r="F426" s="296"/>
      <c r="J426" s="302"/>
      <c r="T426" s="295"/>
      <c r="AA426" s="295"/>
      <c r="AH426" s="295"/>
      <c r="AI426" s="188"/>
      <c r="AJ426" s="188"/>
      <c r="AK426" s="188"/>
      <c r="AL426" s="188"/>
      <c r="AM426" s="188"/>
      <c r="AN426" s="188"/>
      <c r="AO426" s="299"/>
      <c r="CI426" s="294"/>
      <c r="CJ426" s="294"/>
      <c r="CU426" s="374">
        <v>104</v>
      </c>
      <c r="DK426" s="380"/>
    </row>
    <row r="427" spans="2:115" ht="13">
      <c r="B427" s="294"/>
      <c r="F427" s="296"/>
      <c r="J427" s="302"/>
      <c r="T427" s="295"/>
      <c r="AA427" s="295"/>
      <c r="AH427" s="295"/>
      <c r="AI427" s="188"/>
      <c r="AJ427" s="188"/>
      <c r="AK427" s="188"/>
      <c r="AL427" s="188"/>
      <c r="AM427" s="188"/>
      <c r="AN427" s="188"/>
      <c r="AO427" s="299"/>
      <c r="CI427" s="294"/>
      <c r="CJ427" s="294"/>
      <c r="CU427" s="374">
        <v>105</v>
      </c>
      <c r="DK427" s="380"/>
    </row>
    <row r="428" spans="2:115" ht="13">
      <c r="B428" s="294"/>
      <c r="F428" s="296"/>
      <c r="J428" s="302"/>
      <c r="T428" s="295"/>
      <c r="AA428" s="295"/>
      <c r="AH428" s="295"/>
      <c r="AI428" s="188"/>
      <c r="AJ428" s="188"/>
      <c r="AK428" s="188"/>
      <c r="AL428" s="188"/>
      <c r="AM428" s="188"/>
      <c r="AN428" s="188"/>
      <c r="AO428" s="299"/>
      <c r="CI428" s="294"/>
      <c r="CJ428" s="294"/>
      <c r="CU428" s="374">
        <v>106</v>
      </c>
      <c r="DK428" s="380"/>
    </row>
    <row r="429" spans="2:115" ht="13">
      <c r="B429" s="294"/>
      <c r="F429" s="296"/>
      <c r="J429" s="302"/>
      <c r="T429" s="295"/>
      <c r="AA429" s="295"/>
      <c r="AH429" s="295"/>
      <c r="AI429" s="188"/>
      <c r="AJ429" s="188"/>
      <c r="AK429" s="188"/>
      <c r="AL429" s="188"/>
      <c r="AM429" s="188"/>
      <c r="AN429" s="188"/>
      <c r="AO429" s="299"/>
      <c r="CI429" s="294"/>
      <c r="CJ429" s="294"/>
      <c r="CU429" s="374">
        <v>107</v>
      </c>
      <c r="DK429" s="380"/>
    </row>
    <row r="430" spans="2:115" ht="13">
      <c r="B430" s="294"/>
      <c r="F430" s="296"/>
      <c r="J430" s="302"/>
      <c r="T430" s="295"/>
      <c r="AA430" s="295"/>
      <c r="AH430" s="295"/>
      <c r="AI430" s="188"/>
      <c r="AJ430" s="188"/>
      <c r="AK430" s="188"/>
      <c r="AL430" s="188"/>
      <c r="AM430" s="188"/>
      <c r="AN430" s="188"/>
      <c r="AO430" s="299"/>
      <c r="CI430" s="294"/>
      <c r="CJ430" s="294"/>
      <c r="CU430" s="374">
        <v>108</v>
      </c>
      <c r="DK430" s="380"/>
    </row>
    <row r="431" spans="2:115" ht="13">
      <c r="B431" s="294"/>
      <c r="F431" s="296"/>
      <c r="J431" s="302"/>
      <c r="T431" s="295"/>
      <c r="AA431" s="295"/>
      <c r="AH431" s="295"/>
      <c r="AI431" s="188"/>
      <c r="AJ431" s="188"/>
      <c r="AK431" s="188"/>
      <c r="AL431" s="188"/>
      <c r="AM431" s="188"/>
      <c r="AN431" s="188"/>
      <c r="AO431" s="299"/>
      <c r="CI431" s="294"/>
      <c r="CJ431" s="294"/>
      <c r="CU431" s="374">
        <v>109</v>
      </c>
      <c r="DK431" s="380"/>
    </row>
    <row r="432" spans="2:115" ht="13">
      <c r="B432" s="294"/>
      <c r="F432" s="296"/>
      <c r="J432" s="302"/>
      <c r="T432" s="295"/>
      <c r="AA432" s="295"/>
      <c r="AH432" s="295"/>
      <c r="AI432" s="188"/>
      <c r="AJ432" s="188"/>
      <c r="AK432" s="188"/>
      <c r="AL432" s="188"/>
      <c r="AM432" s="188"/>
      <c r="AN432" s="188"/>
      <c r="AO432" s="299"/>
      <c r="CI432" s="294"/>
      <c r="CJ432" s="294"/>
      <c r="CU432" s="374">
        <v>110</v>
      </c>
      <c r="DK432" s="380"/>
    </row>
    <row r="433" spans="2:115" ht="13">
      <c r="B433" s="294"/>
      <c r="F433" s="296"/>
      <c r="J433" s="302"/>
      <c r="T433" s="295"/>
      <c r="AA433" s="295"/>
      <c r="AH433" s="295"/>
      <c r="AI433" s="188"/>
      <c r="AJ433" s="188"/>
      <c r="AK433" s="188"/>
      <c r="AL433" s="188"/>
      <c r="AM433" s="188"/>
      <c r="AN433" s="188"/>
      <c r="AO433" s="299"/>
      <c r="CI433" s="294"/>
      <c r="CJ433" s="294"/>
      <c r="CU433" s="374">
        <v>111</v>
      </c>
      <c r="DK433" s="380"/>
    </row>
    <row r="434" spans="2:115" ht="13">
      <c r="B434" s="294"/>
      <c r="F434" s="296"/>
      <c r="J434" s="302"/>
      <c r="T434" s="295"/>
      <c r="AA434" s="295"/>
      <c r="AH434" s="295"/>
      <c r="AI434" s="188"/>
      <c r="AJ434" s="188"/>
      <c r="AK434" s="188"/>
      <c r="AL434" s="188"/>
      <c r="AM434" s="188"/>
      <c r="AN434" s="188"/>
      <c r="AO434" s="299"/>
      <c r="CI434" s="294"/>
      <c r="CJ434" s="294"/>
      <c r="CU434" s="374">
        <v>112</v>
      </c>
      <c r="DK434" s="380"/>
    </row>
    <row r="435" spans="2:115" ht="13">
      <c r="B435" s="294"/>
      <c r="F435" s="296"/>
      <c r="J435" s="302"/>
      <c r="T435" s="295"/>
      <c r="AA435" s="295"/>
      <c r="AH435" s="295"/>
      <c r="AI435" s="188"/>
      <c r="AJ435" s="188"/>
      <c r="AK435" s="188"/>
      <c r="AL435" s="188"/>
      <c r="AM435" s="188"/>
      <c r="AN435" s="188"/>
      <c r="AO435" s="299"/>
      <c r="CI435" s="294"/>
      <c r="CJ435" s="294"/>
      <c r="CU435" s="374">
        <v>113</v>
      </c>
      <c r="DK435" s="380"/>
    </row>
    <row r="436" spans="2:115" ht="13">
      <c r="B436" s="294"/>
      <c r="F436" s="296"/>
      <c r="J436" s="302"/>
      <c r="T436" s="295"/>
      <c r="AA436" s="295"/>
      <c r="AH436" s="295"/>
      <c r="AI436" s="188"/>
      <c r="AJ436" s="188"/>
      <c r="AK436" s="188"/>
      <c r="AL436" s="188"/>
      <c r="AM436" s="188"/>
      <c r="AN436" s="188"/>
      <c r="AO436" s="299"/>
      <c r="CI436" s="294"/>
      <c r="CJ436" s="294"/>
      <c r="CU436" s="374">
        <v>114</v>
      </c>
      <c r="DK436" s="380"/>
    </row>
    <row r="437" spans="2:115" ht="13">
      <c r="B437" s="294"/>
      <c r="F437" s="296"/>
      <c r="J437" s="302"/>
      <c r="T437" s="295"/>
      <c r="AA437" s="295"/>
      <c r="AH437" s="295"/>
      <c r="AI437" s="188"/>
      <c r="AJ437" s="188"/>
      <c r="AK437" s="188"/>
      <c r="AL437" s="188"/>
      <c r="AM437" s="188"/>
      <c r="AN437" s="188"/>
      <c r="AO437" s="299"/>
      <c r="CI437" s="294"/>
      <c r="CJ437" s="294"/>
      <c r="CU437" s="374">
        <v>115</v>
      </c>
      <c r="DK437" s="380"/>
    </row>
    <row r="438" spans="2:115" ht="13">
      <c r="B438" s="294"/>
      <c r="F438" s="296"/>
      <c r="J438" s="302"/>
      <c r="T438" s="295"/>
      <c r="AA438" s="295"/>
      <c r="AH438" s="295"/>
      <c r="AI438" s="188"/>
      <c r="AJ438" s="188"/>
      <c r="AK438" s="188"/>
      <c r="AL438" s="188"/>
      <c r="AM438" s="188"/>
      <c r="AN438" s="188"/>
      <c r="AO438" s="299"/>
      <c r="CI438" s="294"/>
      <c r="CJ438" s="294"/>
      <c r="CU438" s="374">
        <v>116</v>
      </c>
      <c r="DK438" s="380"/>
    </row>
    <row r="439" spans="2:115" ht="13">
      <c r="B439" s="294"/>
      <c r="F439" s="296"/>
      <c r="J439" s="302"/>
      <c r="T439" s="295"/>
      <c r="AA439" s="295"/>
      <c r="AH439" s="295"/>
      <c r="AI439" s="188"/>
      <c r="AJ439" s="188"/>
      <c r="AK439" s="188"/>
      <c r="AL439" s="188"/>
      <c r="AM439" s="188"/>
      <c r="AN439" s="188"/>
      <c r="AO439" s="299"/>
      <c r="CI439" s="294"/>
      <c r="CJ439" s="294"/>
      <c r="CU439" s="374">
        <v>117</v>
      </c>
      <c r="DK439" s="380"/>
    </row>
    <row r="440" spans="2:115" ht="13">
      <c r="B440" s="294"/>
      <c r="F440" s="296"/>
      <c r="J440" s="302"/>
      <c r="T440" s="295"/>
      <c r="AA440" s="295"/>
      <c r="AH440" s="295"/>
      <c r="AI440" s="188"/>
      <c r="AJ440" s="188"/>
      <c r="AK440" s="188"/>
      <c r="AL440" s="188"/>
      <c r="AM440" s="188"/>
      <c r="AN440" s="188"/>
      <c r="AO440" s="299"/>
      <c r="CI440" s="294"/>
      <c r="CJ440" s="294"/>
      <c r="CU440" s="374">
        <v>118</v>
      </c>
      <c r="DK440" s="380"/>
    </row>
    <row r="441" spans="2:115" ht="13">
      <c r="B441" s="294"/>
      <c r="F441" s="296"/>
      <c r="J441" s="302"/>
      <c r="T441" s="295"/>
      <c r="AA441" s="295"/>
      <c r="AH441" s="295"/>
      <c r="AI441" s="188"/>
      <c r="AJ441" s="188"/>
      <c r="AK441" s="188"/>
      <c r="AL441" s="188"/>
      <c r="AM441" s="188"/>
      <c r="AN441" s="188"/>
      <c r="AO441" s="299"/>
      <c r="CI441" s="294"/>
      <c r="CJ441" s="294"/>
      <c r="CU441" s="374">
        <v>119</v>
      </c>
      <c r="DK441" s="380"/>
    </row>
    <row r="442" spans="2:115" ht="13">
      <c r="B442" s="294"/>
      <c r="F442" s="296"/>
      <c r="J442" s="302"/>
      <c r="T442" s="295"/>
      <c r="AA442" s="295"/>
      <c r="AH442" s="295"/>
      <c r="AI442" s="188"/>
      <c r="AJ442" s="188"/>
      <c r="AK442" s="188"/>
      <c r="AL442" s="188"/>
      <c r="AM442" s="188"/>
      <c r="AN442" s="188"/>
      <c r="AO442" s="299"/>
      <c r="CI442" s="294"/>
      <c r="CJ442" s="294"/>
      <c r="CU442" s="374">
        <v>120</v>
      </c>
      <c r="DK442" s="380"/>
    </row>
    <row r="443" spans="2:115" ht="13">
      <c r="B443" s="294"/>
      <c r="F443" s="296"/>
      <c r="J443" s="302"/>
      <c r="T443" s="295"/>
      <c r="AA443" s="295"/>
      <c r="AH443" s="295"/>
      <c r="AI443" s="188"/>
      <c r="AJ443" s="188"/>
      <c r="AK443" s="188"/>
      <c r="AL443" s="188"/>
      <c r="AM443" s="188"/>
      <c r="AN443" s="188"/>
      <c r="AO443" s="299"/>
      <c r="CI443" s="294"/>
      <c r="CJ443" s="294"/>
      <c r="CU443" s="374">
        <v>121</v>
      </c>
      <c r="DK443" s="380"/>
    </row>
    <row r="444" spans="2:115" ht="13">
      <c r="B444" s="294"/>
      <c r="F444" s="296"/>
      <c r="J444" s="302"/>
      <c r="T444" s="295"/>
      <c r="AA444" s="295"/>
      <c r="AH444" s="295"/>
      <c r="AI444" s="188"/>
      <c r="AJ444" s="188"/>
      <c r="AK444" s="188"/>
      <c r="AL444" s="188"/>
      <c r="AM444" s="188"/>
      <c r="AN444" s="188"/>
      <c r="AO444" s="299"/>
      <c r="CI444" s="294"/>
      <c r="CJ444" s="294"/>
      <c r="CU444" s="374">
        <v>122</v>
      </c>
      <c r="DK444" s="380"/>
    </row>
    <row r="445" spans="2:115" ht="13">
      <c r="B445" s="294"/>
      <c r="F445" s="296"/>
      <c r="J445" s="302"/>
      <c r="T445" s="295"/>
      <c r="AA445" s="295"/>
      <c r="AH445" s="295"/>
      <c r="AI445" s="188"/>
      <c r="AJ445" s="188"/>
      <c r="AK445" s="188"/>
      <c r="AL445" s="188"/>
      <c r="AM445" s="188"/>
      <c r="AN445" s="188"/>
      <c r="AO445" s="299"/>
      <c r="CI445" s="294"/>
      <c r="CJ445" s="294"/>
      <c r="CU445" s="374">
        <v>123</v>
      </c>
      <c r="DK445" s="380"/>
    </row>
    <row r="446" spans="2:115" ht="13">
      <c r="B446" s="294"/>
      <c r="F446" s="296"/>
      <c r="J446" s="302"/>
      <c r="T446" s="295"/>
      <c r="AA446" s="295"/>
      <c r="AH446" s="295"/>
      <c r="AI446" s="188"/>
      <c r="AJ446" s="188"/>
      <c r="AK446" s="188"/>
      <c r="AL446" s="188"/>
      <c r="AM446" s="188"/>
      <c r="AN446" s="188"/>
      <c r="AO446" s="299"/>
      <c r="CI446" s="294"/>
      <c r="CJ446" s="294"/>
      <c r="CU446" s="374">
        <v>124</v>
      </c>
      <c r="DK446" s="380"/>
    </row>
    <row r="447" spans="2:115" ht="13">
      <c r="B447" s="294"/>
      <c r="F447" s="296"/>
      <c r="J447" s="302"/>
      <c r="T447" s="295"/>
      <c r="AA447" s="295"/>
      <c r="AH447" s="295"/>
      <c r="AI447" s="188"/>
      <c r="AJ447" s="188"/>
      <c r="AK447" s="188"/>
      <c r="AL447" s="188"/>
      <c r="AM447" s="188"/>
      <c r="AN447" s="188"/>
      <c r="AO447" s="299"/>
      <c r="CI447" s="294"/>
      <c r="CJ447" s="294"/>
      <c r="CU447" s="374">
        <v>125</v>
      </c>
      <c r="DK447" s="380"/>
    </row>
    <row r="448" spans="2:115" ht="13">
      <c r="B448" s="294"/>
      <c r="F448" s="296"/>
      <c r="J448" s="302"/>
      <c r="T448" s="295"/>
      <c r="AA448" s="295"/>
      <c r="AH448" s="295"/>
      <c r="AI448" s="188"/>
      <c r="AJ448" s="188"/>
      <c r="AK448" s="188"/>
      <c r="AL448" s="188"/>
      <c r="AM448" s="188"/>
      <c r="AN448" s="188"/>
      <c r="AO448" s="299"/>
      <c r="CI448" s="294"/>
      <c r="CJ448" s="294"/>
      <c r="CU448" s="374">
        <v>126</v>
      </c>
      <c r="DK448" s="380"/>
    </row>
    <row r="449" spans="2:115" ht="13">
      <c r="B449" s="294"/>
      <c r="F449" s="296"/>
      <c r="J449" s="302"/>
      <c r="T449" s="295"/>
      <c r="AA449" s="295"/>
      <c r="AH449" s="295"/>
      <c r="AI449" s="188"/>
      <c r="AJ449" s="188"/>
      <c r="AK449" s="188"/>
      <c r="AL449" s="188"/>
      <c r="AM449" s="188"/>
      <c r="AN449" s="188"/>
      <c r="AO449" s="299"/>
      <c r="CI449" s="294"/>
      <c r="CJ449" s="294"/>
      <c r="CU449" s="374">
        <v>127</v>
      </c>
      <c r="DK449" s="380"/>
    </row>
    <row r="450" spans="2:115" ht="13">
      <c r="B450" s="294"/>
      <c r="F450" s="296"/>
      <c r="J450" s="302"/>
      <c r="T450" s="295"/>
      <c r="AA450" s="295"/>
      <c r="AH450" s="295"/>
      <c r="AI450" s="188"/>
      <c r="AJ450" s="188"/>
      <c r="AK450" s="188"/>
      <c r="AL450" s="188"/>
      <c r="AM450" s="188"/>
      <c r="AN450" s="188"/>
      <c r="AO450" s="299"/>
      <c r="CI450" s="294"/>
      <c r="CJ450" s="294"/>
      <c r="CU450" s="374">
        <v>128</v>
      </c>
      <c r="DK450" s="380"/>
    </row>
    <row r="451" spans="2:115" ht="13">
      <c r="B451" s="294"/>
      <c r="F451" s="296"/>
      <c r="J451" s="302"/>
      <c r="T451" s="295"/>
      <c r="AA451" s="295"/>
      <c r="AH451" s="295"/>
      <c r="AI451" s="188"/>
      <c r="AJ451" s="188"/>
      <c r="AK451" s="188"/>
      <c r="AL451" s="188"/>
      <c r="AM451" s="188"/>
      <c r="AN451" s="188"/>
      <c r="AO451" s="299"/>
      <c r="CI451" s="294"/>
      <c r="CJ451" s="294"/>
      <c r="CU451" s="374">
        <v>129</v>
      </c>
      <c r="DK451" s="380"/>
    </row>
    <row r="452" spans="2:115" ht="13">
      <c r="B452" s="294"/>
      <c r="F452" s="296"/>
      <c r="J452" s="302"/>
      <c r="T452" s="295"/>
      <c r="AA452" s="295"/>
      <c r="AH452" s="295"/>
      <c r="AI452" s="188"/>
      <c r="AJ452" s="188"/>
      <c r="AK452" s="188"/>
      <c r="AL452" s="188"/>
      <c r="AM452" s="188"/>
      <c r="AN452" s="188"/>
      <c r="AO452" s="299"/>
      <c r="CI452" s="294"/>
      <c r="CJ452" s="294"/>
      <c r="CU452" s="374">
        <v>130</v>
      </c>
      <c r="DK452" s="380"/>
    </row>
    <row r="453" spans="2:115" ht="13">
      <c r="B453" s="294"/>
      <c r="F453" s="296"/>
      <c r="J453" s="302"/>
      <c r="T453" s="295"/>
      <c r="AA453" s="295"/>
      <c r="AH453" s="295"/>
      <c r="AI453" s="188"/>
      <c r="AJ453" s="188"/>
      <c r="AK453" s="188"/>
      <c r="AL453" s="188"/>
      <c r="AM453" s="188"/>
      <c r="AN453" s="188"/>
      <c r="AO453" s="299"/>
      <c r="CI453" s="294"/>
      <c r="CJ453" s="294"/>
      <c r="CU453" s="374">
        <v>131</v>
      </c>
      <c r="DK453" s="380"/>
    </row>
    <row r="454" spans="2:115" ht="13">
      <c r="B454" s="294"/>
      <c r="F454" s="296"/>
      <c r="J454" s="302"/>
      <c r="T454" s="295"/>
      <c r="AA454" s="295"/>
      <c r="AH454" s="295"/>
      <c r="AI454" s="188"/>
      <c r="AJ454" s="188"/>
      <c r="AK454" s="188"/>
      <c r="AL454" s="188"/>
      <c r="AM454" s="188"/>
      <c r="AN454" s="188"/>
      <c r="AO454" s="299"/>
      <c r="CI454" s="294"/>
      <c r="CJ454" s="294"/>
      <c r="CU454" s="374">
        <v>132</v>
      </c>
      <c r="DK454" s="380"/>
    </row>
    <row r="455" spans="2:115" ht="13">
      <c r="B455" s="294"/>
      <c r="F455" s="296"/>
      <c r="J455" s="302"/>
      <c r="T455" s="295"/>
      <c r="AA455" s="295"/>
      <c r="AH455" s="295"/>
      <c r="AI455" s="188"/>
      <c r="AJ455" s="188"/>
      <c r="AK455" s="188"/>
      <c r="AL455" s="188"/>
      <c r="AM455" s="188"/>
      <c r="AN455" s="188"/>
      <c r="AO455" s="299"/>
      <c r="CI455" s="294"/>
      <c r="CJ455" s="294"/>
      <c r="CU455" s="374">
        <v>133</v>
      </c>
      <c r="DK455" s="380"/>
    </row>
    <row r="456" spans="2:115" ht="13">
      <c r="B456" s="294"/>
      <c r="F456" s="296"/>
      <c r="J456" s="302"/>
      <c r="T456" s="295"/>
      <c r="AA456" s="295"/>
      <c r="AH456" s="295"/>
      <c r="AI456" s="188"/>
      <c r="AJ456" s="188"/>
      <c r="AK456" s="188"/>
      <c r="AL456" s="188"/>
      <c r="AM456" s="188"/>
      <c r="AN456" s="188"/>
      <c r="AO456" s="299"/>
      <c r="CI456" s="294"/>
      <c r="CJ456" s="294"/>
      <c r="CU456" s="374">
        <v>134</v>
      </c>
      <c r="DK456" s="380"/>
    </row>
    <row r="457" spans="2:115" ht="13">
      <c r="B457" s="294"/>
      <c r="F457" s="296"/>
      <c r="J457" s="302"/>
      <c r="T457" s="295"/>
      <c r="AA457" s="295"/>
      <c r="AH457" s="295"/>
      <c r="AI457" s="188"/>
      <c r="AJ457" s="188"/>
      <c r="AK457" s="188"/>
      <c r="AL457" s="188"/>
      <c r="AM457" s="188"/>
      <c r="AN457" s="188"/>
      <c r="AO457" s="299"/>
      <c r="CI457" s="294"/>
      <c r="CJ457" s="294"/>
      <c r="CU457" s="374">
        <v>135</v>
      </c>
      <c r="DK457" s="380"/>
    </row>
    <row r="458" spans="2:115" ht="13">
      <c r="B458" s="294"/>
      <c r="F458" s="296"/>
      <c r="J458" s="302"/>
      <c r="T458" s="295"/>
      <c r="AA458" s="295"/>
      <c r="AH458" s="295"/>
      <c r="AI458" s="188"/>
      <c r="AJ458" s="188"/>
      <c r="AK458" s="188"/>
      <c r="AL458" s="188"/>
      <c r="AM458" s="188"/>
      <c r="AN458" s="188"/>
      <c r="AO458" s="299"/>
      <c r="CI458" s="294"/>
      <c r="CJ458" s="294"/>
      <c r="CU458" s="374">
        <v>136</v>
      </c>
      <c r="DK458" s="380"/>
    </row>
    <row r="459" spans="2:115" ht="13">
      <c r="B459" s="294"/>
      <c r="F459" s="296"/>
      <c r="J459" s="302"/>
      <c r="T459" s="295"/>
      <c r="AA459" s="295"/>
      <c r="AH459" s="295"/>
      <c r="AI459" s="188"/>
      <c r="AJ459" s="188"/>
      <c r="AK459" s="188"/>
      <c r="AL459" s="188"/>
      <c r="AM459" s="188"/>
      <c r="AN459" s="188"/>
      <c r="AO459" s="299"/>
      <c r="CI459" s="294"/>
      <c r="CJ459" s="294"/>
      <c r="CU459" s="374">
        <v>137</v>
      </c>
      <c r="DK459" s="380"/>
    </row>
    <row r="460" spans="2:115" ht="13">
      <c r="B460" s="294"/>
      <c r="F460" s="296"/>
      <c r="J460" s="302"/>
      <c r="T460" s="295"/>
      <c r="AA460" s="295"/>
      <c r="AH460" s="295"/>
      <c r="AI460" s="188"/>
      <c r="AJ460" s="188"/>
      <c r="AK460" s="188"/>
      <c r="AL460" s="188"/>
      <c r="AM460" s="188"/>
      <c r="AN460" s="188"/>
      <c r="AO460" s="299"/>
      <c r="CI460" s="294"/>
      <c r="CJ460" s="294"/>
      <c r="CU460" s="374">
        <v>138</v>
      </c>
      <c r="DK460" s="380"/>
    </row>
    <row r="461" spans="2:115" ht="13">
      <c r="B461" s="294"/>
      <c r="F461" s="296"/>
      <c r="J461" s="302"/>
      <c r="T461" s="295"/>
      <c r="AA461" s="295"/>
      <c r="AH461" s="295"/>
      <c r="AI461" s="188"/>
      <c r="AJ461" s="188"/>
      <c r="AK461" s="188"/>
      <c r="AL461" s="188"/>
      <c r="AM461" s="188"/>
      <c r="AN461" s="188"/>
      <c r="AO461" s="299"/>
      <c r="CI461" s="294"/>
      <c r="CJ461" s="294"/>
      <c r="CU461" s="374">
        <v>139</v>
      </c>
      <c r="DK461" s="380"/>
    </row>
    <row r="462" spans="2:115" ht="13">
      <c r="B462" s="294"/>
      <c r="F462" s="296"/>
      <c r="J462" s="302"/>
      <c r="T462" s="295"/>
      <c r="AA462" s="295"/>
      <c r="AH462" s="295"/>
      <c r="AI462" s="188"/>
      <c r="AJ462" s="188"/>
      <c r="AK462" s="188"/>
      <c r="AL462" s="188"/>
      <c r="AM462" s="188"/>
      <c r="AN462" s="188"/>
      <c r="AO462" s="299"/>
      <c r="CI462" s="294"/>
      <c r="CJ462" s="294"/>
      <c r="CU462" s="381">
        <v>140</v>
      </c>
      <c r="CV462" s="382"/>
      <c r="CW462" s="382"/>
      <c r="CX462" s="382"/>
      <c r="CY462" s="382"/>
      <c r="CZ462" s="382"/>
      <c r="DA462" s="382"/>
      <c r="DB462" s="382"/>
      <c r="DC462" s="382"/>
      <c r="DD462" s="382"/>
      <c r="DE462" s="382"/>
      <c r="DF462" s="382"/>
      <c r="DG462" s="382"/>
      <c r="DH462" s="382"/>
      <c r="DI462" s="382"/>
      <c r="DJ462" s="382"/>
      <c r="DK462" s="383"/>
    </row>
    <row r="463" spans="2:115" ht="13">
      <c r="B463" s="294"/>
      <c r="F463" s="296"/>
      <c r="J463" s="302"/>
      <c r="T463" s="295"/>
      <c r="AA463" s="295"/>
      <c r="AH463" s="295"/>
      <c r="AI463" s="188"/>
      <c r="AJ463" s="188"/>
      <c r="AK463" s="188"/>
      <c r="AL463" s="188"/>
      <c r="AM463" s="188"/>
      <c r="AN463" s="188"/>
      <c r="AO463" s="299"/>
      <c r="CI463" s="294"/>
      <c r="CJ463" s="294"/>
    </row>
    <row r="464" spans="2:115" ht="13">
      <c r="B464" s="294"/>
      <c r="F464" s="296"/>
      <c r="J464" s="302"/>
      <c r="T464" s="295"/>
      <c r="AA464" s="295"/>
      <c r="AH464" s="295"/>
      <c r="AI464" s="188"/>
      <c r="AJ464" s="188"/>
      <c r="AK464" s="188"/>
      <c r="AL464" s="188"/>
      <c r="AM464" s="188"/>
      <c r="AN464" s="188"/>
      <c r="AO464" s="299"/>
      <c r="CI464" s="294"/>
      <c r="CJ464" s="294"/>
    </row>
    <row r="465" spans="2:88" ht="13">
      <c r="B465" s="294"/>
      <c r="F465" s="296"/>
      <c r="J465" s="302"/>
      <c r="T465" s="295"/>
      <c r="AA465" s="295"/>
      <c r="AH465" s="295"/>
      <c r="AI465" s="188"/>
      <c r="AJ465" s="188"/>
      <c r="AK465" s="188"/>
      <c r="AL465" s="188"/>
      <c r="AM465" s="188"/>
      <c r="AN465" s="188"/>
      <c r="AO465" s="299"/>
      <c r="CI465" s="294"/>
      <c r="CJ465" s="294"/>
    </row>
    <row r="466" spans="2:88" ht="13">
      <c r="B466" s="294"/>
      <c r="F466" s="296"/>
      <c r="J466" s="302"/>
      <c r="T466" s="295"/>
      <c r="AA466" s="295"/>
      <c r="AH466" s="295"/>
      <c r="AI466" s="188"/>
      <c r="AJ466" s="188"/>
      <c r="AK466" s="188"/>
      <c r="AL466" s="188"/>
      <c r="AM466" s="188"/>
      <c r="AN466" s="188"/>
      <c r="AO466" s="299"/>
      <c r="CI466" s="294"/>
      <c r="CJ466" s="294"/>
    </row>
    <row r="467" spans="2:88" ht="13">
      <c r="B467" s="294"/>
      <c r="F467" s="296"/>
      <c r="J467" s="302"/>
      <c r="T467" s="295"/>
      <c r="AA467" s="295"/>
      <c r="AH467" s="295"/>
      <c r="AI467" s="188"/>
      <c r="AJ467" s="188"/>
      <c r="AK467" s="188"/>
      <c r="AL467" s="188"/>
      <c r="AM467" s="188"/>
      <c r="AN467" s="188"/>
      <c r="AO467" s="299"/>
      <c r="CI467" s="294"/>
      <c r="CJ467" s="294"/>
    </row>
    <row r="468" spans="2:88" ht="13">
      <c r="B468" s="294"/>
      <c r="F468" s="296"/>
      <c r="J468" s="302"/>
      <c r="T468" s="295"/>
      <c r="AA468" s="295"/>
      <c r="AH468" s="295"/>
      <c r="AI468" s="188"/>
      <c r="AJ468" s="188"/>
      <c r="AK468" s="188"/>
      <c r="AL468" s="188"/>
      <c r="AM468" s="188"/>
      <c r="AN468" s="188"/>
      <c r="AO468" s="299"/>
      <c r="CI468" s="294"/>
      <c r="CJ468" s="294"/>
    </row>
    <row r="469" spans="2:88" ht="13">
      <c r="B469" s="294"/>
      <c r="F469" s="296"/>
      <c r="J469" s="302"/>
      <c r="T469" s="295"/>
      <c r="AA469" s="295"/>
      <c r="AH469" s="295"/>
      <c r="AI469" s="188"/>
      <c r="AJ469" s="188"/>
      <c r="AK469" s="188"/>
      <c r="AL469" s="188"/>
      <c r="AM469" s="188"/>
      <c r="AN469" s="188"/>
      <c r="AO469" s="299"/>
      <c r="CI469" s="294"/>
      <c r="CJ469" s="294"/>
    </row>
    <row r="470" spans="2:88" ht="13">
      <c r="B470" s="294"/>
      <c r="F470" s="296"/>
      <c r="J470" s="302"/>
      <c r="T470" s="295"/>
      <c r="AA470" s="295"/>
      <c r="AH470" s="295"/>
      <c r="AI470" s="188"/>
      <c r="AJ470" s="188"/>
      <c r="AK470" s="188"/>
      <c r="AL470" s="188"/>
      <c r="AM470" s="188"/>
      <c r="AN470" s="188"/>
      <c r="AO470" s="299"/>
      <c r="CI470" s="294"/>
      <c r="CJ470" s="294"/>
    </row>
    <row r="471" spans="2:88" ht="13">
      <c r="B471" s="294"/>
      <c r="F471" s="296"/>
      <c r="J471" s="302"/>
      <c r="T471" s="295"/>
      <c r="AA471" s="295"/>
      <c r="AH471" s="295"/>
      <c r="AI471" s="188"/>
      <c r="AJ471" s="188"/>
      <c r="AK471" s="188"/>
      <c r="AL471" s="188"/>
      <c r="AM471" s="188"/>
      <c r="AN471" s="188"/>
      <c r="AO471" s="299"/>
      <c r="CI471" s="294"/>
      <c r="CJ471" s="294"/>
    </row>
    <row r="472" spans="2:88" ht="13">
      <c r="B472" s="294"/>
      <c r="F472" s="296"/>
      <c r="J472" s="302"/>
      <c r="T472" s="295"/>
      <c r="AA472" s="295"/>
      <c r="AH472" s="295"/>
      <c r="AI472" s="188"/>
      <c r="AJ472" s="188"/>
      <c r="AK472" s="188"/>
      <c r="AL472" s="188"/>
      <c r="AM472" s="188"/>
      <c r="AN472" s="188"/>
      <c r="AO472" s="299"/>
      <c r="CI472" s="294"/>
      <c r="CJ472" s="294"/>
    </row>
    <row r="473" spans="2:88" ht="13">
      <c r="B473" s="294"/>
      <c r="F473" s="296"/>
      <c r="J473" s="302"/>
      <c r="T473" s="295"/>
      <c r="AA473" s="295"/>
      <c r="AH473" s="295"/>
      <c r="AI473" s="188"/>
      <c r="AJ473" s="188"/>
      <c r="AK473" s="188"/>
      <c r="AL473" s="188"/>
      <c r="AM473" s="188"/>
      <c r="AN473" s="188"/>
      <c r="AO473" s="299"/>
      <c r="CI473" s="294"/>
      <c r="CJ473" s="294"/>
    </row>
    <row r="474" spans="2:88" ht="13">
      <c r="B474" s="294"/>
      <c r="F474" s="296"/>
      <c r="J474" s="302"/>
      <c r="T474" s="295"/>
      <c r="AA474" s="295"/>
      <c r="AH474" s="295"/>
      <c r="AI474" s="188"/>
      <c r="AJ474" s="188"/>
      <c r="AK474" s="188"/>
      <c r="AL474" s="188"/>
      <c r="AM474" s="188"/>
      <c r="AN474" s="188"/>
      <c r="AO474" s="299"/>
      <c r="CI474" s="294"/>
      <c r="CJ474" s="294"/>
    </row>
    <row r="475" spans="2:88" ht="13">
      <c r="B475" s="294"/>
      <c r="F475" s="296"/>
      <c r="J475" s="302"/>
      <c r="T475" s="295"/>
      <c r="AA475" s="295"/>
      <c r="AH475" s="295"/>
      <c r="AI475" s="188"/>
      <c r="AJ475" s="188"/>
      <c r="AK475" s="188"/>
      <c r="AL475" s="188"/>
      <c r="AM475" s="188"/>
      <c r="AN475" s="188"/>
      <c r="AO475" s="299"/>
      <c r="CI475" s="294"/>
      <c r="CJ475" s="294"/>
    </row>
    <row r="476" spans="2:88" ht="13">
      <c r="B476" s="294"/>
      <c r="F476" s="296"/>
      <c r="J476" s="302"/>
      <c r="T476" s="295"/>
      <c r="AA476" s="295"/>
      <c r="AH476" s="295"/>
      <c r="AI476" s="188"/>
      <c r="AJ476" s="188"/>
      <c r="AK476" s="188"/>
      <c r="AL476" s="188"/>
      <c r="AM476" s="188"/>
      <c r="AN476" s="188"/>
      <c r="AO476" s="299"/>
      <c r="CI476" s="294"/>
      <c r="CJ476" s="294"/>
    </row>
    <row r="477" spans="2:88" ht="13">
      <c r="B477" s="294"/>
      <c r="F477" s="296"/>
      <c r="J477" s="302"/>
      <c r="T477" s="295"/>
      <c r="AA477" s="295"/>
      <c r="AH477" s="295"/>
      <c r="AI477" s="188"/>
      <c r="AJ477" s="188"/>
      <c r="AK477" s="188"/>
      <c r="AL477" s="188"/>
      <c r="AM477" s="188"/>
      <c r="AN477" s="188"/>
      <c r="AO477" s="299"/>
      <c r="CI477" s="294"/>
      <c r="CJ477" s="294"/>
    </row>
    <row r="478" spans="2:88" ht="13">
      <c r="B478" s="294"/>
      <c r="F478" s="296"/>
      <c r="J478" s="302"/>
      <c r="T478" s="295"/>
      <c r="AA478" s="295"/>
      <c r="AH478" s="295"/>
      <c r="AI478" s="188"/>
      <c r="AJ478" s="188"/>
      <c r="AK478" s="188"/>
      <c r="AL478" s="188"/>
      <c r="AM478" s="188"/>
      <c r="AN478" s="188"/>
      <c r="AO478" s="299"/>
      <c r="CI478" s="294"/>
      <c r="CJ478" s="294"/>
    </row>
    <row r="479" spans="2:88" ht="13">
      <c r="B479" s="294"/>
      <c r="F479" s="296"/>
      <c r="J479" s="302"/>
      <c r="T479" s="295"/>
      <c r="AA479" s="295"/>
      <c r="AH479" s="295"/>
      <c r="AI479" s="188"/>
      <c r="AJ479" s="188"/>
      <c r="AK479" s="188"/>
      <c r="AL479" s="188"/>
      <c r="AM479" s="188"/>
      <c r="AN479" s="188"/>
      <c r="AO479" s="299"/>
      <c r="CI479" s="294"/>
      <c r="CJ479" s="294"/>
    </row>
    <row r="480" spans="2:88" ht="13">
      <c r="B480" s="294"/>
      <c r="F480" s="296"/>
      <c r="J480" s="302"/>
      <c r="T480" s="295"/>
      <c r="AA480" s="295"/>
      <c r="AH480" s="295"/>
      <c r="AI480" s="188"/>
      <c r="AJ480" s="188"/>
      <c r="AK480" s="188"/>
      <c r="AL480" s="188"/>
      <c r="AM480" s="188"/>
      <c r="AN480" s="188"/>
      <c r="AO480" s="299"/>
      <c r="CI480" s="294"/>
      <c r="CJ480" s="294"/>
    </row>
    <row r="481" spans="2:88" ht="13">
      <c r="B481" s="294"/>
      <c r="F481" s="296"/>
      <c r="J481" s="302"/>
      <c r="T481" s="295"/>
      <c r="AA481" s="295"/>
      <c r="AH481" s="295"/>
      <c r="AI481" s="188"/>
      <c r="AJ481" s="188"/>
      <c r="AK481" s="188"/>
      <c r="AL481" s="188"/>
      <c r="AM481" s="188"/>
      <c r="AN481" s="188"/>
      <c r="AO481" s="299"/>
      <c r="CI481" s="294"/>
      <c r="CJ481" s="294"/>
    </row>
    <row r="482" spans="2:88" ht="13">
      <c r="B482" s="294"/>
      <c r="F482" s="296"/>
      <c r="J482" s="302"/>
      <c r="T482" s="295"/>
      <c r="AA482" s="295"/>
      <c r="AH482" s="295"/>
      <c r="AI482" s="188"/>
      <c r="AJ482" s="188"/>
      <c r="AK482" s="188"/>
      <c r="AL482" s="188"/>
      <c r="AM482" s="188"/>
      <c r="AN482" s="188"/>
      <c r="AO482" s="299"/>
      <c r="CI482" s="294"/>
      <c r="CJ482" s="294"/>
    </row>
    <row r="483" spans="2:88" ht="13">
      <c r="B483" s="294"/>
      <c r="F483" s="296"/>
      <c r="J483" s="302"/>
      <c r="T483" s="295"/>
      <c r="AA483" s="295"/>
      <c r="AH483" s="295"/>
      <c r="AI483" s="188"/>
      <c r="AJ483" s="188"/>
      <c r="AK483" s="188"/>
      <c r="AL483" s="188"/>
      <c r="AM483" s="188"/>
      <c r="AN483" s="188"/>
      <c r="AO483" s="299"/>
      <c r="CI483" s="294"/>
      <c r="CJ483" s="294"/>
    </row>
    <row r="484" spans="2:88" ht="13">
      <c r="B484" s="294"/>
      <c r="F484" s="296"/>
      <c r="J484" s="302"/>
      <c r="T484" s="295"/>
      <c r="AA484" s="295"/>
      <c r="AH484" s="295"/>
      <c r="AI484" s="188"/>
      <c r="AJ484" s="188"/>
      <c r="AK484" s="188"/>
      <c r="AL484" s="188"/>
      <c r="AM484" s="188"/>
      <c r="AN484" s="188"/>
      <c r="AO484" s="299"/>
      <c r="CI484" s="294"/>
      <c r="CJ484" s="294"/>
    </row>
    <row r="485" spans="2:88" ht="13">
      <c r="B485" s="294"/>
      <c r="F485" s="296"/>
      <c r="J485" s="302"/>
      <c r="T485" s="295"/>
      <c r="AA485" s="295"/>
      <c r="AH485" s="295"/>
      <c r="AI485" s="188"/>
      <c r="AJ485" s="188"/>
      <c r="AK485" s="188"/>
      <c r="AL485" s="188"/>
      <c r="AM485" s="188"/>
      <c r="AN485" s="188"/>
      <c r="AO485" s="299"/>
      <c r="CI485" s="294"/>
      <c r="CJ485" s="294"/>
    </row>
    <row r="486" spans="2:88" ht="13">
      <c r="B486" s="294"/>
      <c r="F486" s="296"/>
      <c r="J486" s="302"/>
      <c r="T486" s="295"/>
      <c r="AA486" s="295"/>
      <c r="AH486" s="295"/>
      <c r="AI486" s="188"/>
      <c r="AJ486" s="188"/>
      <c r="AK486" s="188"/>
      <c r="AL486" s="188"/>
      <c r="AM486" s="188"/>
      <c r="AN486" s="188"/>
      <c r="AO486" s="299"/>
      <c r="CI486" s="294"/>
      <c r="CJ486" s="294"/>
    </row>
    <row r="487" spans="2:88" ht="13">
      <c r="B487" s="294"/>
      <c r="F487" s="296"/>
      <c r="J487" s="302"/>
      <c r="T487" s="295"/>
      <c r="AA487" s="295"/>
      <c r="AH487" s="295"/>
      <c r="AI487" s="188"/>
      <c r="AJ487" s="188"/>
      <c r="AK487" s="188"/>
      <c r="AL487" s="188"/>
      <c r="AM487" s="188"/>
      <c r="AN487" s="188"/>
      <c r="AO487" s="299"/>
      <c r="CI487" s="294"/>
      <c r="CJ487" s="294"/>
    </row>
    <row r="488" spans="2:88" ht="13">
      <c r="B488" s="294"/>
      <c r="F488" s="296"/>
      <c r="J488" s="302"/>
      <c r="T488" s="295"/>
      <c r="AA488" s="295"/>
      <c r="AH488" s="295"/>
      <c r="AI488" s="188"/>
      <c r="AJ488" s="188"/>
      <c r="AK488" s="188"/>
      <c r="AL488" s="188"/>
      <c r="AM488" s="188"/>
      <c r="AN488" s="188"/>
      <c r="AO488" s="299"/>
      <c r="CI488" s="294"/>
      <c r="CJ488" s="294"/>
    </row>
    <row r="489" spans="2:88" ht="13">
      <c r="B489" s="294"/>
      <c r="F489" s="296"/>
      <c r="J489" s="302"/>
      <c r="T489" s="295"/>
      <c r="AA489" s="295"/>
      <c r="AH489" s="295"/>
      <c r="AI489" s="188"/>
      <c r="AJ489" s="188"/>
      <c r="AK489" s="188"/>
      <c r="AL489" s="188"/>
      <c r="AM489" s="188"/>
      <c r="AN489" s="188"/>
      <c r="AO489" s="299"/>
      <c r="CI489" s="294"/>
      <c r="CJ489" s="294"/>
    </row>
    <row r="490" spans="2:88" ht="13">
      <c r="B490" s="294"/>
      <c r="F490" s="296"/>
      <c r="J490" s="302"/>
      <c r="T490" s="295"/>
      <c r="AA490" s="295"/>
      <c r="AH490" s="295"/>
      <c r="AI490" s="188"/>
      <c r="AJ490" s="188"/>
      <c r="AK490" s="188"/>
      <c r="AL490" s="188"/>
      <c r="AM490" s="188"/>
      <c r="AN490" s="188"/>
      <c r="AO490" s="299"/>
      <c r="CI490" s="294"/>
      <c r="CJ490" s="294"/>
    </row>
    <row r="491" spans="2:88" ht="13">
      <c r="B491" s="294"/>
      <c r="F491" s="296"/>
      <c r="J491" s="302"/>
      <c r="T491" s="295"/>
      <c r="AA491" s="295"/>
      <c r="AH491" s="295"/>
      <c r="AI491" s="188"/>
      <c r="AJ491" s="188"/>
      <c r="AK491" s="188"/>
      <c r="AL491" s="188"/>
      <c r="AM491" s="188"/>
      <c r="AN491" s="188"/>
      <c r="AO491" s="299"/>
      <c r="CI491" s="294"/>
      <c r="CJ491" s="294"/>
    </row>
    <row r="492" spans="2:88" ht="13">
      <c r="B492" s="294"/>
      <c r="F492" s="296"/>
      <c r="J492" s="302"/>
      <c r="T492" s="295"/>
      <c r="AA492" s="295"/>
      <c r="AH492" s="295"/>
      <c r="AI492" s="188"/>
      <c r="AJ492" s="188"/>
      <c r="AK492" s="188"/>
      <c r="AL492" s="188"/>
      <c r="AM492" s="188"/>
      <c r="AN492" s="188"/>
      <c r="AO492" s="299"/>
      <c r="CI492" s="294"/>
      <c r="CJ492" s="294"/>
    </row>
    <row r="493" spans="2:88" ht="13">
      <c r="B493" s="294"/>
      <c r="F493" s="296"/>
      <c r="J493" s="302"/>
      <c r="T493" s="295"/>
      <c r="AA493" s="295"/>
      <c r="AH493" s="295"/>
      <c r="AI493" s="188"/>
      <c r="AJ493" s="188"/>
      <c r="AK493" s="188"/>
      <c r="AL493" s="188"/>
      <c r="AM493" s="188"/>
      <c r="AN493" s="188"/>
      <c r="AO493" s="299"/>
      <c r="CI493" s="294"/>
      <c r="CJ493" s="294"/>
    </row>
    <row r="494" spans="2:88" ht="13">
      <c r="B494" s="294"/>
      <c r="F494" s="296"/>
      <c r="J494" s="302"/>
      <c r="T494" s="295"/>
      <c r="AA494" s="295"/>
      <c r="AH494" s="295"/>
      <c r="AI494" s="188"/>
      <c r="AJ494" s="188"/>
      <c r="AK494" s="188"/>
      <c r="AL494" s="188"/>
      <c r="AM494" s="188"/>
      <c r="AN494" s="188"/>
      <c r="AO494" s="299"/>
      <c r="CI494" s="294"/>
      <c r="CJ494" s="294"/>
    </row>
    <row r="495" spans="2:88" ht="13">
      <c r="B495" s="294"/>
      <c r="F495" s="296"/>
      <c r="J495" s="302"/>
      <c r="T495" s="295"/>
      <c r="AA495" s="295"/>
      <c r="AH495" s="295"/>
      <c r="AI495" s="188"/>
      <c r="AJ495" s="188"/>
      <c r="AK495" s="188"/>
      <c r="AL495" s="188"/>
      <c r="AM495" s="188"/>
      <c r="AN495" s="188"/>
      <c r="AO495" s="299"/>
      <c r="CI495" s="294"/>
      <c r="CJ495" s="294"/>
    </row>
    <row r="496" spans="2:88" ht="13">
      <c r="B496" s="294"/>
      <c r="F496" s="296"/>
      <c r="J496" s="302"/>
      <c r="T496" s="295"/>
      <c r="AA496" s="295"/>
      <c r="AH496" s="295"/>
      <c r="AI496" s="188"/>
      <c r="AJ496" s="188"/>
      <c r="AK496" s="188"/>
      <c r="AL496" s="188"/>
      <c r="AM496" s="188"/>
      <c r="AN496" s="188"/>
      <c r="AO496" s="299"/>
      <c r="CI496" s="294"/>
      <c r="CJ496" s="294"/>
    </row>
    <row r="497" spans="2:88" ht="13">
      <c r="B497" s="294"/>
      <c r="F497" s="296"/>
      <c r="J497" s="302"/>
      <c r="T497" s="295"/>
      <c r="AA497" s="295"/>
      <c r="AH497" s="295"/>
      <c r="AI497" s="188"/>
      <c r="AJ497" s="188"/>
      <c r="AK497" s="188"/>
      <c r="AL497" s="188"/>
      <c r="AM497" s="188"/>
      <c r="AN497" s="188"/>
      <c r="AO497" s="299"/>
      <c r="CI497" s="294"/>
      <c r="CJ497" s="294"/>
    </row>
    <row r="498" spans="2:88" ht="13">
      <c r="B498" s="294"/>
      <c r="F498" s="296"/>
      <c r="J498" s="302"/>
      <c r="T498" s="295"/>
      <c r="AA498" s="295"/>
      <c r="AH498" s="295"/>
      <c r="AI498" s="188"/>
      <c r="AJ498" s="188"/>
      <c r="AK498" s="188"/>
      <c r="AL498" s="188"/>
      <c r="AM498" s="188"/>
      <c r="AN498" s="188"/>
      <c r="AO498" s="299"/>
      <c r="CI498" s="294"/>
      <c r="CJ498" s="294"/>
    </row>
    <row r="499" spans="2:88" ht="13">
      <c r="B499" s="294"/>
      <c r="F499" s="296"/>
      <c r="J499" s="302"/>
      <c r="T499" s="295"/>
      <c r="AA499" s="295"/>
      <c r="AH499" s="295"/>
      <c r="AI499" s="188"/>
      <c r="AJ499" s="188"/>
      <c r="AK499" s="188"/>
      <c r="AL499" s="188"/>
      <c r="AM499" s="188"/>
      <c r="AN499" s="188"/>
      <c r="AO499" s="299"/>
      <c r="CI499" s="294"/>
      <c r="CJ499" s="294"/>
    </row>
    <row r="500" spans="2:88" ht="13">
      <c r="B500" s="294"/>
      <c r="F500" s="296"/>
      <c r="J500" s="302"/>
      <c r="T500" s="295"/>
      <c r="AA500" s="295"/>
      <c r="AH500" s="295"/>
      <c r="AI500" s="188"/>
      <c r="AJ500" s="188"/>
      <c r="AK500" s="188"/>
      <c r="AL500" s="188"/>
      <c r="AM500" s="188"/>
      <c r="AN500" s="188"/>
      <c r="AO500" s="299"/>
      <c r="CI500" s="294"/>
      <c r="CJ500" s="294"/>
    </row>
    <row r="501" spans="2:88" ht="13">
      <c r="B501" s="294"/>
      <c r="F501" s="296"/>
      <c r="J501" s="302"/>
      <c r="T501" s="295"/>
      <c r="AA501" s="295"/>
      <c r="AH501" s="295"/>
      <c r="AI501" s="188"/>
      <c r="AJ501" s="188"/>
      <c r="AK501" s="188"/>
      <c r="AL501" s="188"/>
      <c r="AM501" s="188"/>
      <c r="AN501" s="188"/>
      <c r="AO501" s="299"/>
      <c r="CI501" s="294"/>
      <c r="CJ501" s="294"/>
    </row>
    <row r="502" spans="2:88" ht="13">
      <c r="B502" s="294"/>
      <c r="F502" s="296"/>
      <c r="J502" s="302"/>
      <c r="T502" s="295"/>
      <c r="AA502" s="295"/>
      <c r="AH502" s="295"/>
      <c r="AI502" s="188"/>
      <c r="AJ502" s="188"/>
      <c r="AK502" s="188"/>
      <c r="AL502" s="188"/>
      <c r="AM502" s="188"/>
      <c r="AN502" s="188"/>
      <c r="AO502" s="299"/>
      <c r="CI502" s="294"/>
      <c r="CJ502" s="294"/>
    </row>
    <row r="503" spans="2:88" ht="13">
      <c r="B503" s="294"/>
      <c r="F503" s="296"/>
      <c r="J503" s="302"/>
      <c r="T503" s="295"/>
      <c r="AA503" s="295"/>
      <c r="AH503" s="295"/>
      <c r="AI503" s="188"/>
      <c r="AJ503" s="188"/>
      <c r="AK503" s="188"/>
      <c r="AL503" s="188"/>
      <c r="AM503" s="188"/>
      <c r="AN503" s="188"/>
      <c r="AO503" s="299"/>
      <c r="CI503" s="294"/>
      <c r="CJ503" s="294"/>
    </row>
    <row r="504" spans="2:88" ht="13">
      <c r="B504" s="294"/>
      <c r="F504" s="296"/>
      <c r="J504" s="302"/>
      <c r="T504" s="295"/>
      <c r="AA504" s="295"/>
      <c r="AH504" s="295"/>
      <c r="AI504" s="188"/>
      <c r="AJ504" s="188"/>
      <c r="AK504" s="188"/>
      <c r="AL504" s="188"/>
      <c r="AM504" s="188"/>
      <c r="AN504" s="188"/>
      <c r="AO504" s="299"/>
      <c r="CI504" s="294"/>
      <c r="CJ504" s="294"/>
    </row>
    <row r="505" spans="2:88" ht="13">
      <c r="B505" s="294"/>
      <c r="F505" s="296"/>
      <c r="J505" s="302"/>
      <c r="T505" s="295"/>
      <c r="AA505" s="295"/>
      <c r="AH505" s="295"/>
      <c r="AI505" s="188"/>
      <c r="AJ505" s="188"/>
      <c r="AK505" s="188"/>
      <c r="AL505" s="188"/>
      <c r="AM505" s="188"/>
      <c r="AN505" s="188"/>
      <c r="AO505" s="299"/>
      <c r="CI505" s="294"/>
      <c r="CJ505" s="294"/>
    </row>
    <row r="506" spans="2:88" ht="13">
      <c r="B506" s="294"/>
      <c r="F506" s="296"/>
      <c r="J506" s="302"/>
      <c r="T506" s="295"/>
      <c r="AA506" s="295"/>
      <c r="AH506" s="295"/>
      <c r="AI506" s="188"/>
      <c r="AJ506" s="188"/>
      <c r="AK506" s="188"/>
      <c r="AL506" s="188"/>
      <c r="AM506" s="188"/>
      <c r="AN506" s="188"/>
      <c r="AO506" s="299"/>
      <c r="CI506" s="294"/>
      <c r="CJ506" s="294"/>
    </row>
    <row r="507" spans="2:88" ht="13">
      <c r="B507" s="294"/>
      <c r="F507" s="296"/>
      <c r="J507" s="302"/>
      <c r="T507" s="295"/>
      <c r="AA507" s="295"/>
      <c r="AH507" s="295"/>
      <c r="AI507" s="188"/>
      <c r="AJ507" s="188"/>
      <c r="AK507" s="188"/>
      <c r="AL507" s="188"/>
      <c r="AM507" s="188"/>
      <c r="AN507" s="188"/>
      <c r="AO507" s="299"/>
      <c r="CI507" s="294"/>
      <c r="CJ507" s="294"/>
    </row>
    <row r="508" spans="2:88" ht="13">
      <c r="B508" s="294"/>
      <c r="F508" s="296"/>
      <c r="J508" s="302"/>
      <c r="T508" s="295"/>
      <c r="AA508" s="295"/>
      <c r="AH508" s="295"/>
      <c r="AI508" s="188"/>
      <c r="AJ508" s="188"/>
      <c r="AK508" s="188"/>
      <c r="AL508" s="188"/>
      <c r="AM508" s="188"/>
      <c r="AN508" s="188"/>
      <c r="AO508" s="299"/>
      <c r="CI508" s="294"/>
      <c r="CJ508" s="294"/>
    </row>
    <row r="509" spans="2:88" ht="13">
      <c r="B509" s="294"/>
      <c r="F509" s="296"/>
      <c r="J509" s="302"/>
      <c r="T509" s="295"/>
      <c r="AA509" s="295"/>
      <c r="AH509" s="295"/>
      <c r="AI509" s="188"/>
      <c r="AJ509" s="188"/>
      <c r="AK509" s="188"/>
      <c r="AL509" s="188"/>
      <c r="AM509" s="188"/>
      <c r="AN509" s="188"/>
      <c r="AO509" s="299"/>
      <c r="CI509" s="294"/>
      <c r="CJ509" s="294"/>
    </row>
    <row r="510" spans="2:88" ht="13">
      <c r="B510" s="294"/>
      <c r="F510" s="296"/>
      <c r="J510" s="302"/>
      <c r="T510" s="295"/>
      <c r="AA510" s="295"/>
      <c r="AH510" s="295"/>
      <c r="AI510" s="188"/>
      <c r="AJ510" s="188"/>
      <c r="AK510" s="188"/>
      <c r="AL510" s="188"/>
      <c r="AM510" s="188"/>
      <c r="AN510" s="188"/>
      <c r="AO510" s="299"/>
      <c r="CI510" s="294"/>
      <c r="CJ510" s="294"/>
    </row>
    <row r="511" spans="2:88" ht="13">
      <c r="B511" s="294"/>
      <c r="F511" s="296"/>
      <c r="J511" s="302"/>
      <c r="T511" s="295"/>
      <c r="AA511" s="295"/>
      <c r="AH511" s="295"/>
      <c r="AI511" s="188"/>
      <c r="AJ511" s="188"/>
      <c r="AK511" s="188"/>
      <c r="AL511" s="188"/>
      <c r="AM511" s="188"/>
      <c r="AN511" s="188"/>
      <c r="AO511" s="299"/>
      <c r="CI511" s="294"/>
      <c r="CJ511" s="294"/>
    </row>
    <row r="512" spans="2:88" ht="13">
      <c r="B512" s="294"/>
      <c r="F512" s="296"/>
      <c r="J512" s="302"/>
      <c r="T512" s="295"/>
      <c r="AA512" s="295"/>
      <c r="AH512" s="295"/>
      <c r="AI512" s="188"/>
      <c r="AJ512" s="188"/>
      <c r="AK512" s="188"/>
      <c r="AL512" s="188"/>
      <c r="AM512" s="188"/>
      <c r="AN512" s="188"/>
      <c r="AO512" s="299"/>
      <c r="CI512" s="294"/>
      <c r="CJ512" s="294"/>
    </row>
    <row r="513" spans="2:88" ht="13">
      <c r="B513" s="294"/>
      <c r="F513" s="296"/>
      <c r="J513" s="302"/>
      <c r="T513" s="295"/>
      <c r="AA513" s="295"/>
      <c r="AH513" s="295"/>
      <c r="AI513" s="188"/>
      <c r="AJ513" s="188"/>
      <c r="AK513" s="188"/>
      <c r="AL513" s="188"/>
      <c r="AM513" s="188"/>
      <c r="AN513" s="188"/>
      <c r="AO513" s="299"/>
      <c r="CI513" s="294"/>
      <c r="CJ513" s="294"/>
    </row>
    <row r="514" spans="2:88" ht="13">
      <c r="B514" s="294"/>
      <c r="F514" s="296"/>
      <c r="J514" s="302"/>
      <c r="T514" s="295"/>
      <c r="AA514" s="295"/>
      <c r="AH514" s="295"/>
      <c r="AI514" s="188"/>
      <c r="AJ514" s="188"/>
      <c r="AK514" s="188"/>
      <c r="AL514" s="188"/>
      <c r="AM514" s="188"/>
      <c r="AN514" s="188"/>
      <c r="AO514" s="299"/>
      <c r="CI514" s="294"/>
      <c r="CJ514" s="294"/>
    </row>
    <row r="515" spans="2:88" ht="13">
      <c r="B515" s="294"/>
      <c r="F515" s="296"/>
      <c r="J515" s="302"/>
      <c r="T515" s="295"/>
      <c r="AA515" s="295"/>
      <c r="AH515" s="295"/>
      <c r="AI515" s="188"/>
      <c r="AJ515" s="188"/>
      <c r="AK515" s="188"/>
      <c r="AL515" s="188"/>
      <c r="AM515" s="188"/>
      <c r="AN515" s="188"/>
      <c r="AO515" s="299"/>
      <c r="CI515" s="294"/>
      <c r="CJ515" s="294"/>
    </row>
    <row r="516" spans="2:88" ht="13">
      <c r="B516" s="294"/>
      <c r="F516" s="296"/>
      <c r="J516" s="302"/>
      <c r="T516" s="295"/>
      <c r="AA516" s="295"/>
      <c r="AH516" s="295"/>
      <c r="AI516" s="188"/>
      <c r="AJ516" s="188"/>
      <c r="AK516" s="188"/>
      <c r="AL516" s="188"/>
      <c r="AM516" s="188"/>
      <c r="AN516" s="188"/>
      <c r="AO516" s="299"/>
      <c r="CI516" s="294"/>
      <c r="CJ516" s="294"/>
    </row>
    <row r="517" spans="2:88" ht="13">
      <c r="B517" s="294"/>
      <c r="F517" s="296"/>
      <c r="J517" s="302"/>
      <c r="T517" s="295"/>
      <c r="AA517" s="295"/>
      <c r="AH517" s="295"/>
      <c r="AI517" s="188"/>
      <c r="AJ517" s="188"/>
      <c r="AK517" s="188"/>
      <c r="AL517" s="188"/>
      <c r="AM517" s="188"/>
      <c r="AN517" s="188"/>
      <c r="AO517" s="299"/>
      <c r="CI517" s="294"/>
      <c r="CJ517" s="294"/>
    </row>
    <row r="518" spans="2:88" ht="13">
      <c r="B518" s="294"/>
      <c r="F518" s="296"/>
      <c r="J518" s="302"/>
      <c r="T518" s="295"/>
      <c r="AA518" s="295"/>
      <c r="AH518" s="295"/>
      <c r="AI518" s="188"/>
      <c r="AJ518" s="188"/>
      <c r="AK518" s="188"/>
      <c r="AL518" s="188"/>
      <c r="AM518" s="188"/>
      <c r="AN518" s="188"/>
      <c r="AO518" s="299"/>
      <c r="CI518" s="294"/>
      <c r="CJ518" s="294"/>
    </row>
    <row r="519" spans="2:88" ht="13">
      <c r="B519" s="294"/>
      <c r="F519" s="296"/>
      <c r="J519" s="302"/>
      <c r="T519" s="295"/>
      <c r="AA519" s="295"/>
      <c r="AH519" s="295"/>
      <c r="AI519" s="188"/>
      <c r="AJ519" s="188"/>
      <c r="AK519" s="188"/>
      <c r="AL519" s="188"/>
      <c r="AM519" s="188"/>
      <c r="AN519" s="188"/>
      <c r="AO519" s="299"/>
      <c r="CI519" s="294"/>
      <c r="CJ519" s="294"/>
    </row>
    <row r="520" spans="2:88" ht="13">
      <c r="B520" s="294"/>
      <c r="F520" s="296"/>
      <c r="J520" s="302"/>
      <c r="T520" s="295"/>
      <c r="AA520" s="295"/>
      <c r="AH520" s="295"/>
      <c r="AI520" s="188"/>
      <c r="AJ520" s="188"/>
      <c r="AK520" s="188"/>
      <c r="AL520" s="188"/>
      <c r="AM520" s="188"/>
      <c r="AN520" s="188"/>
      <c r="AO520" s="299"/>
      <c r="CI520" s="294"/>
      <c r="CJ520" s="294"/>
    </row>
    <row r="521" spans="2:88" ht="13">
      <c r="B521" s="294"/>
      <c r="F521" s="296"/>
      <c r="J521" s="302"/>
      <c r="T521" s="295"/>
      <c r="AA521" s="295"/>
      <c r="AH521" s="295"/>
      <c r="AI521" s="188"/>
      <c r="AJ521" s="188"/>
      <c r="AK521" s="188"/>
      <c r="AL521" s="188"/>
      <c r="AM521" s="188"/>
      <c r="AN521" s="188"/>
      <c r="AO521" s="299"/>
      <c r="CI521" s="294"/>
      <c r="CJ521" s="294"/>
    </row>
    <row r="522" spans="2:88" ht="13">
      <c r="B522" s="294"/>
      <c r="F522" s="296"/>
      <c r="J522" s="302"/>
      <c r="T522" s="295"/>
      <c r="AA522" s="295"/>
      <c r="AH522" s="295"/>
      <c r="AI522" s="188"/>
      <c r="AJ522" s="188"/>
      <c r="AK522" s="188"/>
      <c r="AL522" s="188"/>
      <c r="AM522" s="188"/>
      <c r="AN522" s="188"/>
      <c r="AO522" s="299"/>
      <c r="CI522" s="294"/>
      <c r="CJ522" s="294"/>
    </row>
    <row r="523" spans="2:88" ht="13">
      <c r="B523" s="294"/>
      <c r="F523" s="296"/>
      <c r="J523" s="302"/>
      <c r="T523" s="295"/>
      <c r="AA523" s="295"/>
      <c r="AH523" s="295"/>
      <c r="AI523" s="188"/>
      <c r="AJ523" s="188"/>
      <c r="AK523" s="188"/>
      <c r="AL523" s="188"/>
      <c r="AM523" s="188"/>
      <c r="AN523" s="188"/>
      <c r="AO523" s="299"/>
      <c r="CI523" s="294"/>
      <c r="CJ523" s="294"/>
    </row>
    <row r="524" spans="2:88" ht="13">
      <c r="B524" s="294"/>
      <c r="F524" s="296"/>
      <c r="J524" s="302"/>
      <c r="T524" s="295"/>
      <c r="AA524" s="295"/>
      <c r="AH524" s="295"/>
      <c r="AI524" s="188"/>
      <c r="AJ524" s="188"/>
      <c r="AK524" s="188"/>
      <c r="AL524" s="188"/>
      <c r="AM524" s="188"/>
      <c r="AN524" s="188"/>
      <c r="AO524" s="299"/>
      <c r="CI524" s="294"/>
      <c r="CJ524" s="294"/>
    </row>
    <row r="525" spans="2:88" ht="13">
      <c r="B525" s="294"/>
      <c r="F525" s="296"/>
      <c r="J525" s="302"/>
      <c r="T525" s="295"/>
      <c r="AA525" s="295"/>
      <c r="AH525" s="295"/>
      <c r="AI525" s="188"/>
      <c r="AJ525" s="188"/>
      <c r="AK525" s="188"/>
      <c r="AL525" s="188"/>
      <c r="AM525" s="188"/>
      <c r="AN525" s="188"/>
      <c r="AO525" s="299"/>
      <c r="CI525" s="294"/>
      <c r="CJ525" s="294"/>
    </row>
    <row r="526" spans="2:88" ht="13">
      <c r="B526" s="294"/>
      <c r="F526" s="296"/>
      <c r="J526" s="302"/>
      <c r="T526" s="295"/>
      <c r="AA526" s="295"/>
      <c r="AH526" s="295"/>
      <c r="AI526" s="188"/>
      <c r="AJ526" s="188"/>
      <c r="AK526" s="188"/>
      <c r="AL526" s="188"/>
      <c r="AM526" s="188"/>
      <c r="AN526" s="188"/>
      <c r="AO526" s="299"/>
      <c r="CI526" s="294"/>
      <c r="CJ526" s="294"/>
    </row>
    <row r="527" spans="2:88" ht="13">
      <c r="B527" s="294"/>
      <c r="F527" s="296"/>
      <c r="J527" s="302"/>
      <c r="T527" s="295"/>
      <c r="AA527" s="295"/>
      <c r="AH527" s="295"/>
      <c r="AI527" s="188"/>
      <c r="AJ527" s="188"/>
      <c r="AK527" s="188"/>
      <c r="AL527" s="188"/>
      <c r="AM527" s="188"/>
      <c r="AN527" s="188"/>
      <c r="AO527" s="299"/>
      <c r="CI527" s="294"/>
      <c r="CJ527" s="294"/>
    </row>
    <row r="528" spans="2:88" ht="13">
      <c r="B528" s="294"/>
      <c r="F528" s="296"/>
      <c r="J528" s="302"/>
      <c r="T528" s="295"/>
      <c r="AA528" s="295"/>
      <c r="AH528" s="295"/>
      <c r="AI528" s="188"/>
      <c r="AJ528" s="188"/>
      <c r="AK528" s="188"/>
      <c r="AL528" s="188"/>
      <c r="AM528" s="188"/>
      <c r="AN528" s="188"/>
      <c r="AO528" s="299"/>
      <c r="CI528" s="294"/>
      <c r="CJ528" s="294"/>
    </row>
    <row r="529" spans="2:88" ht="13">
      <c r="B529" s="294"/>
      <c r="F529" s="296"/>
      <c r="J529" s="302"/>
      <c r="T529" s="295"/>
      <c r="AA529" s="295"/>
      <c r="AH529" s="295"/>
      <c r="AI529" s="188"/>
      <c r="AJ529" s="188"/>
      <c r="AK529" s="188"/>
      <c r="AL529" s="188"/>
      <c r="AM529" s="188"/>
      <c r="AN529" s="188"/>
      <c r="AO529" s="299"/>
      <c r="CI529" s="294"/>
      <c r="CJ529" s="294"/>
    </row>
    <row r="530" spans="2:88" ht="13">
      <c r="B530" s="294"/>
      <c r="F530" s="296"/>
      <c r="J530" s="302"/>
      <c r="T530" s="295"/>
      <c r="AA530" s="295"/>
      <c r="AH530" s="295"/>
      <c r="AI530" s="188"/>
      <c r="AJ530" s="188"/>
      <c r="AK530" s="188"/>
      <c r="AL530" s="188"/>
      <c r="AM530" s="188"/>
      <c r="AN530" s="188"/>
      <c r="AO530" s="299"/>
      <c r="CI530" s="294"/>
      <c r="CJ530" s="294"/>
    </row>
    <row r="531" spans="2:88" ht="13">
      <c r="B531" s="294"/>
      <c r="F531" s="296"/>
      <c r="J531" s="302"/>
      <c r="T531" s="295"/>
      <c r="AA531" s="295"/>
      <c r="AH531" s="295"/>
      <c r="AI531" s="188"/>
      <c r="AJ531" s="188"/>
      <c r="AK531" s="188"/>
      <c r="AL531" s="188"/>
      <c r="AM531" s="188"/>
      <c r="AN531" s="188"/>
      <c r="AO531" s="299"/>
      <c r="CI531" s="294"/>
      <c r="CJ531" s="294"/>
    </row>
    <row r="532" spans="2:88" ht="13">
      <c r="B532" s="294"/>
      <c r="F532" s="296"/>
      <c r="J532" s="302"/>
      <c r="T532" s="295"/>
      <c r="AA532" s="295"/>
      <c r="AH532" s="295"/>
      <c r="AI532" s="188"/>
      <c r="AJ532" s="188"/>
      <c r="AK532" s="188"/>
      <c r="AL532" s="188"/>
      <c r="AM532" s="188"/>
      <c r="AN532" s="188"/>
      <c r="AO532" s="299"/>
      <c r="CI532" s="294"/>
      <c r="CJ532" s="294"/>
    </row>
    <row r="533" spans="2:88" ht="13">
      <c r="B533" s="294"/>
      <c r="F533" s="296"/>
      <c r="J533" s="302"/>
      <c r="T533" s="295"/>
      <c r="AA533" s="295"/>
      <c r="AH533" s="295"/>
      <c r="AI533" s="188"/>
      <c r="AJ533" s="188"/>
      <c r="AK533" s="188"/>
      <c r="AL533" s="188"/>
      <c r="AM533" s="188"/>
      <c r="AN533" s="188"/>
      <c r="AO533" s="299"/>
      <c r="CI533" s="294"/>
      <c r="CJ533" s="294"/>
    </row>
    <row r="534" spans="2:88" ht="13">
      <c r="B534" s="294"/>
      <c r="F534" s="296"/>
      <c r="J534" s="302"/>
      <c r="T534" s="295"/>
      <c r="AA534" s="295"/>
      <c r="AH534" s="295"/>
      <c r="AI534" s="188"/>
      <c r="AJ534" s="188"/>
      <c r="AK534" s="188"/>
      <c r="AL534" s="188"/>
      <c r="AM534" s="188"/>
      <c r="AN534" s="188"/>
      <c r="AO534" s="299"/>
      <c r="CI534" s="294"/>
      <c r="CJ534" s="294"/>
    </row>
    <row r="535" spans="2:88" ht="13">
      <c r="B535" s="294"/>
      <c r="F535" s="296"/>
      <c r="J535" s="302"/>
      <c r="T535" s="295"/>
      <c r="AA535" s="295"/>
      <c r="AH535" s="295"/>
      <c r="AI535" s="188"/>
      <c r="AJ535" s="188"/>
      <c r="AK535" s="188"/>
      <c r="AL535" s="188"/>
      <c r="AM535" s="188"/>
      <c r="AN535" s="188"/>
      <c r="AO535" s="299"/>
      <c r="CI535" s="294"/>
      <c r="CJ535" s="294"/>
    </row>
    <row r="536" spans="2:88" ht="13">
      <c r="B536" s="294"/>
      <c r="F536" s="296"/>
      <c r="J536" s="302"/>
      <c r="T536" s="295"/>
      <c r="AA536" s="295"/>
      <c r="AH536" s="295"/>
      <c r="AI536" s="188"/>
      <c r="AJ536" s="188"/>
      <c r="AK536" s="188"/>
      <c r="AL536" s="188"/>
      <c r="AM536" s="188"/>
      <c r="AN536" s="188"/>
      <c r="AO536" s="299"/>
      <c r="CI536" s="294"/>
      <c r="CJ536" s="294"/>
    </row>
    <row r="537" spans="2:88" ht="13">
      <c r="B537" s="294"/>
      <c r="F537" s="296"/>
      <c r="J537" s="302"/>
      <c r="T537" s="295"/>
      <c r="AA537" s="295"/>
      <c r="AH537" s="295"/>
      <c r="AI537" s="188"/>
      <c r="AJ537" s="188"/>
      <c r="AK537" s="188"/>
      <c r="AL537" s="188"/>
      <c r="AM537" s="188"/>
      <c r="AN537" s="188"/>
      <c r="AO537" s="299"/>
      <c r="CI537" s="294"/>
      <c r="CJ537" s="294"/>
    </row>
    <row r="538" spans="2:88" ht="13">
      <c r="B538" s="294"/>
      <c r="F538" s="296"/>
      <c r="J538" s="302"/>
      <c r="T538" s="295"/>
      <c r="AA538" s="295"/>
      <c r="AH538" s="295"/>
      <c r="AI538" s="188"/>
      <c r="AJ538" s="188"/>
      <c r="AK538" s="188"/>
      <c r="AL538" s="188"/>
      <c r="AM538" s="188"/>
      <c r="AN538" s="188"/>
      <c r="AO538" s="299"/>
      <c r="CI538" s="294"/>
      <c r="CJ538" s="294"/>
    </row>
    <row r="539" spans="2:88" ht="13">
      <c r="B539" s="294"/>
      <c r="F539" s="296"/>
      <c r="J539" s="302"/>
      <c r="T539" s="295"/>
      <c r="AA539" s="295"/>
      <c r="AH539" s="295"/>
      <c r="AI539" s="188"/>
      <c r="AJ539" s="188"/>
      <c r="AK539" s="188"/>
      <c r="AL539" s="188"/>
      <c r="AM539" s="188"/>
      <c r="AN539" s="188"/>
      <c r="AO539" s="299"/>
      <c r="CI539" s="294"/>
      <c r="CJ539" s="294"/>
    </row>
    <row r="540" spans="2:88" ht="13">
      <c r="B540" s="294"/>
      <c r="F540" s="296"/>
      <c r="J540" s="302"/>
      <c r="T540" s="295"/>
      <c r="AA540" s="295"/>
      <c r="AH540" s="295"/>
      <c r="AI540" s="188"/>
      <c r="AJ540" s="188"/>
      <c r="AK540" s="188"/>
      <c r="AL540" s="188"/>
      <c r="AM540" s="188"/>
      <c r="AN540" s="188"/>
      <c r="AO540" s="299"/>
      <c r="CI540" s="294"/>
      <c r="CJ540" s="294"/>
    </row>
    <row r="541" spans="2:88" ht="13">
      <c r="B541" s="294"/>
      <c r="F541" s="296"/>
      <c r="J541" s="302"/>
      <c r="T541" s="295"/>
      <c r="AA541" s="295"/>
      <c r="AH541" s="295"/>
      <c r="AI541" s="188"/>
      <c r="AJ541" s="188"/>
      <c r="AK541" s="188"/>
      <c r="AL541" s="188"/>
      <c r="AM541" s="188"/>
      <c r="AN541" s="188"/>
      <c r="AO541" s="299"/>
      <c r="CI541" s="294"/>
      <c r="CJ541" s="294"/>
    </row>
    <row r="542" spans="2:88" ht="13">
      <c r="B542" s="294"/>
      <c r="F542" s="296"/>
      <c r="J542" s="302"/>
      <c r="T542" s="295"/>
      <c r="AA542" s="295"/>
      <c r="AH542" s="295"/>
      <c r="AI542" s="188"/>
      <c r="AJ542" s="188"/>
      <c r="AK542" s="188"/>
      <c r="AL542" s="188"/>
      <c r="AM542" s="188"/>
      <c r="AN542" s="188"/>
      <c r="AO542" s="299"/>
      <c r="CI542" s="294"/>
      <c r="CJ542" s="294"/>
    </row>
    <row r="543" spans="2:88" ht="13">
      <c r="B543" s="294"/>
      <c r="F543" s="296"/>
      <c r="J543" s="302"/>
      <c r="T543" s="295"/>
      <c r="AA543" s="295"/>
      <c r="AH543" s="295"/>
      <c r="AI543" s="188"/>
      <c r="AJ543" s="188"/>
      <c r="AK543" s="188"/>
      <c r="AL543" s="188"/>
      <c r="AM543" s="188"/>
      <c r="AN543" s="188"/>
      <c r="AO543" s="299"/>
      <c r="CI543" s="294"/>
      <c r="CJ543" s="294"/>
    </row>
    <row r="544" spans="2:88" ht="13">
      <c r="B544" s="294"/>
      <c r="F544" s="296"/>
      <c r="J544" s="302"/>
      <c r="T544" s="295"/>
      <c r="AA544" s="295"/>
      <c r="AH544" s="295"/>
      <c r="AI544" s="188"/>
      <c r="AJ544" s="188"/>
      <c r="AK544" s="188"/>
      <c r="AL544" s="188"/>
      <c r="AM544" s="188"/>
      <c r="AN544" s="188"/>
      <c r="AO544" s="299"/>
      <c r="CI544" s="294"/>
      <c r="CJ544" s="294"/>
    </row>
    <row r="545" spans="2:88" ht="13">
      <c r="B545" s="294"/>
      <c r="F545" s="296"/>
      <c r="J545" s="302"/>
      <c r="T545" s="295"/>
      <c r="AA545" s="295"/>
      <c r="AH545" s="295"/>
      <c r="AI545" s="188"/>
      <c r="AJ545" s="188"/>
      <c r="AK545" s="188"/>
      <c r="AL545" s="188"/>
      <c r="AM545" s="188"/>
      <c r="AN545" s="188"/>
      <c r="AO545" s="299"/>
      <c r="CI545" s="294"/>
      <c r="CJ545" s="294"/>
    </row>
    <row r="546" spans="2:88" ht="13">
      <c r="B546" s="294"/>
      <c r="F546" s="296"/>
      <c r="J546" s="302"/>
      <c r="T546" s="295"/>
      <c r="AA546" s="295"/>
      <c r="AH546" s="295"/>
      <c r="AI546" s="188"/>
      <c r="AJ546" s="188"/>
      <c r="AK546" s="188"/>
      <c r="AL546" s="188"/>
      <c r="AM546" s="188"/>
      <c r="AN546" s="188"/>
      <c r="AO546" s="299"/>
      <c r="CI546" s="294"/>
      <c r="CJ546" s="294"/>
    </row>
    <row r="547" spans="2:88" ht="13">
      <c r="B547" s="294"/>
      <c r="F547" s="296"/>
      <c r="J547" s="302"/>
      <c r="T547" s="295"/>
      <c r="AA547" s="295"/>
      <c r="AH547" s="295"/>
      <c r="AI547" s="188"/>
      <c r="AJ547" s="188"/>
      <c r="AK547" s="188"/>
      <c r="AL547" s="188"/>
      <c r="AM547" s="188"/>
      <c r="AN547" s="188"/>
      <c r="AO547" s="299"/>
      <c r="CI547" s="294"/>
      <c r="CJ547" s="294"/>
    </row>
    <row r="548" spans="2:88" ht="13">
      <c r="B548" s="294"/>
      <c r="F548" s="296"/>
      <c r="J548" s="302"/>
      <c r="T548" s="295"/>
      <c r="AA548" s="295"/>
      <c r="AH548" s="295"/>
      <c r="AI548" s="188"/>
      <c r="AJ548" s="188"/>
      <c r="AK548" s="188"/>
      <c r="AL548" s="188"/>
      <c r="AM548" s="188"/>
      <c r="AN548" s="188"/>
      <c r="AO548" s="299"/>
      <c r="CI548" s="294"/>
      <c r="CJ548" s="294"/>
    </row>
    <row r="549" spans="2:88" ht="13">
      <c r="B549" s="294"/>
      <c r="F549" s="296"/>
      <c r="J549" s="302"/>
      <c r="T549" s="295"/>
      <c r="AA549" s="295"/>
      <c r="AH549" s="295"/>
      <c r="AI549" s="188"/>
      <c r="AJ549" s="188"/>
      <c r="AK549" s="188"/>
      <c r="AL549" s="188"/>
      <c r="AM549" s="188"/>
      <c r="AN549" s="188"/>
      <c r="AO549" s="299"/>
      <c r="CI549" s="294"/>
      <c r="CJ549" s="294"/>
    </row>
    <row r="550" spans="2:88" ht="13">
      <c r="B550" s="294"/>
      <c r="F550" s="296"/>
      <c r="J550" s="302"/>
      <c r="T550" s="295"/>
      <c r="AA550" s="295"/>
      <c r="AH550" s="295"/>
      <c r="AI550" s="188"/>
      <c r="AJ550" s="188"/>
      <c r="AK550" s="188"/>
      <c r="AL550" s="188"/>
      <c r="AM550" s="188"/>
      <c r="AN550" s="188"/>
      <c r="AO550" s="299"/>
      <c r="CI550" s="294"/>
      <c r="CJ550" s="294"/>
    </row>
    <row r="551" spans="2:88" ht="13">
      <c r="B551" s="294"/>
      <c r="F551" s="296"/>
      <c r="J551" s="302"/>
      <c r="T551" s="295"/>
      <c r="AA551" s="295"/>
      <c r="AH551" s="295"/>
      <c r="AI551" s="188"/>
      <c r="AJ551" s="188"/>
      <c r="AK551" s="188"/>
      <c r="AL551" s="188"/>
      <c r="AM551" s="188"/>
      <c r="AN551" s="188"/>
      <c r="AO551" s="299"/>
      <c r="CI551" s="294"/>
      <c r="CJ551" s="294"/>
    </row>
    <row r="552" spans="2:88" ht="13">
      <c r="B552" s="294"/>
      <c r="F552" s="296"/>
      <c r="J552" s="302"/>
      <c r="T552" s="295"/>
      <c r="AA552" s="295"/>
      <c r="AH552" s="295"/>
      <c r="AI552" s="188"/>
      <c r="AJ552" s="188"/>
      <c r="AK552" s="188"/>
      <c r="AL552" s="188"/>
      <c r="AM552" s="188"/>
      <c r="AN552" s="188"/>
      <c r="AO552" s="299"/>
      <c r="CI552" s="294"/>
      <c r="CJ552" s="294"/>
    </row>
    <row r="553" spans="2:88" ht="13">
      <c r="B553" s="294"/>
      <c r="F553" s="296"/>
      <c r="J553" s="302"/>
      <c r="T553" s="295"/>
      <c r="AA553" s="295"/>
      <c r="AH553" s="295"/>
      <c r="AI553" s="188"/>
      <c r="AJ553" s="188"/>
      <c r="AK553" s="188"/>
      <c r="AL553" s="188"/>
      <c r="AM553" s="188"/>
      <c r="AN553" s="188"/>
      <c r="AO553" s="299"/>
      <c r="CI553" s="294"/>
      <c r="CJ553" s="294"/>
    </row>
    <row r="554" spans="2:88" ht="13">
      <c r="B554" s="294"/>
      <c r="F554" s="296"/>
      <c r="J554" s="302"/>
      <c r="T554" s="295"/>
      <c r="AA554" s="295"/>
      <c r="AH554" s="295"/>
      <c r="AI554" s="188"/>
      <c r="AJ554" s="188"/>
      <c r="AK554" s="188"/>
      <c r="AL554" s="188"/>
      <c r="AM554" s="188"/>
      <c r="AN554" s="188"/>
      <c r="AO554" s="299"/>
      <c r="CI554" s="294"/>
      <c r="CJ554" s="294"/>
    </row>
    <row r="555" spans="2:88" ht="13">
      <c r="B555" s="294"/>
      <c r="F555" s="296"/>
      <c r="J555" s="302"/>
      <c r="T555" s="295"/>
      <c r="AA555" s="295"/>
      <c r="AH555" s="295"/>
      <c r="AI555" s="188"/>
      <c r="AJ555" s="188"/>
      <c r="AK555" s="188"/>
      <c r="AL555" s="188"/>
      <c r="AM555" s="188"/>
      <c r="AN555" s="188"/>
      <c r="AO555" s="299"/>
      <c r="CI555" s="294"/>
      <c r="CJ555" s="294"/>
    </row>
    <row r="556" spans="2:88" ht="13">
      <c r="B556" s="294"/>
      <c r="F556" s="296"/>
      <c r="J556" s="302"/>
      <c r="T556" s="295"/>
      <c r="AA556" s="295"/>
      <c r="AH556" s="295"/>
      <c r="AI556" s="188"/>
      <c r="AJ556" s="188"/>
      <c r="AK556" s="188"/>
      <c r="AL556" s="188"/>
      <c r="AM556" s="188"/>
      <c r="AN556" s="188"/>
      <c r="AO556" s="299"/>
      <c r="CI556" s="294"/>
      <c r="CJ556" s="294"/>
    </row>
    <row r="557" spans="2:88" ht="13">
      <c r="B557" s="294"/>
      <c r="F557" s="296"/>
      <c r="J557" s="302"/>
      <c r="T557" s="295"/>
      <c r="AA557" s="295"/>
      <c r="AH557" s="295"/>
      <c r="AI557" s="188"/>
      <c r="AJ557" s="188"/>
      <c r="AK557" s="188"/>
      <c r="AL557" s="188"/>
      <c r="AM557" s="188"/>
      <c r="AN557" s="188"/>
      <c r="AO557" s="299"/>
      <c r="CI557" s="294"/>
      <c r="CJ557" s="294"/>
    </row>
    <row r="558" spans="2:88" ht="13">
      <c r="B558" s="294"/>
      <c r="F558" s="296"/>
      <c r="J558" s="302"/>
      <c r="T558" s="295"/>
      <c r="AA558" s="295"/>
      <c r="AH558" s="295"/>
      <c r="AI558" s="188"/>
      <c r="AJ558" s="188"/>
      <c r="AK558" s="188"/>
      <c r="AL558" s="188"/>
      <c r="AM558" s="188"/>
      <c r="AN558" s="188"/>
      <c r="AO558" s="299"/>
      <c r="CI558" s="294"/>
      <c r="CJ558" s="294"/>
    </row>
    <row r="559" spans="2:88" ht="13">
      <c r="B559" s="294"/>
      <c r="F559" s="296"/>
      <c r="J559" s="302"/>
      <c r="T559" s="295"/>
      <c r="AA559" s="295"/>
      <c r="AH559" s="295"/>
      <c r="AI559" s="188"/>
      <c r="AJ559" s="188"/>
      <c r="AK559" s="188"/>
      <c r="AL559" s="188"/>
      <c r="AM559" s="188"/>
      <c r="AN559" s="188"/>
      <c r="AO559" s="299"/>
      <c r="CI559" s="294"/>
      <c r="CJ559" s="294"/>
    </row>
    <row r="560" spans="2:88" ht="13">
      <c r="B560" s="294"/>
      <c r="F560" s="296"/>
      <c r="J560" s="302"/>
      <c r="T560" s="295"/>
      <c r="AA560" s="295"/>
      <c r="AH560" s="295"/>
      <c r="AI560" s="188"/>
      <c r="AJ560" s="188"/>
      <c r="AK560" s="188"/>
      <c r="AL560" s="188"/>
      <c r="AM560" s="188"/>
      <c r="AN560" s="188"/>
      <c r="AO560" s="299"/>
      <c r="CI560" s="294"/>
      <c r="CJ560" s="294"/>
    </row>
    <row r="561" spans="2:88" ht="13">
      <c r="B561" s="294"/>
      <c r="F561" s="296"/>
      <c r="J561" s="302"/>
      <c r="T561" s="295"/>
      <c r="AA561" s="295"/>
      <c r="AH561" s="295"/>
      <c r="AI561" s="188"/>
      <c r="AJ561" s="188"/>
      <c r="AK561" s="188"/>
      <c r="AL561" s="188"/>
      <c r="AM561" s="188"/>
      <c r="AN561" s="188"/>
      <c r="AO561" s="299"/>
      <c r="CI561" s="294"/>
      <c r="CJ561" s="294"/>
    </row>
    <row r="562" spans="2:88" ht="13">
      <c r="B562" s="294"/>
      <c r="F562" s="296"/>
      <c r="J562" s="302"/>
      <c r="T562" s="295"/>
      <c r="AA562" s="295"/>
      <c r="AH562" s="295"/>
      <c r="AI562" s="188"/>
      <c r="AJ562" s="188"/>
      <c r="AK562" s="188"/>
      <c r="AL562" s="188"/>
      <c r="AM562" s="188"/>
      <c r="AN562" s="188"/>
      <c r="AO562" s="299"/>
      <c r="CI562" s="294"/>
      <c r="CJ562" s="294"/>
    </row>
    <row r="563" spans="2:88" ht="13">
      <c r="B563" s="294"/>
      <c r="F563" s="296"/>
      <c r="J563" s="302"/>
      <c r="T563" s="295"/>
      <c r="AA563" s="295"/>
      <c r="AH563" s="295"/>
      <c r="AI563" s="188"/>
      <c r="AJ563" s="188"/>
      <c r="AK563" s="188"/>
      <c r="AL563" s="188"/>
      <c r="AM563" s="188"/>
      <c r="AN563" s="188"/>
      <c r="AO563" s="299"/>
      <c r="CI563" s="294"/>
      <c r="CJ563" s="294"/>
    </row>
    <row r="564" spans="2:88" ht="13">
      <c r="B564" s="294"/>
      <c r="F564" s="296"/>
      <c r="J564" s="302"/>
      <c r="T564" s="295"/>
      <c r="AA564" s="295"/>
      <c r="AH564" s="295"/>
      <c r="AI564" s="188"/>
      <c r="AJ564" s="188"/>
      <c r="AK564" s="188"/>
      <c r="AL564" s="188"/>
      <c r="AM564" s="188"/>
      <c r="AN564" s="188"/>
      <c r="AO564" s="299"/>
      <c r="CI564" s="294"/>
      <c r="CJ564" s="294"/>
    </row>
    <row r="565" spans="2:88" ht="13">
      <c r="B565" s="294"/>
      <c r="F565" s="296"/>
      <c r="J565" s="302"/>
      <c r="T565" s="295"/>
      <c r="AA565" s="295"/>
      <c r="AH565" s="295"/>
      <c r="AI565" s="188"/>
      <c r="AJ565" s="188"/>
      <c r="AK565" s="188"/>
      <c r="AL565" s="188"/>
      <c r="AM565" s="188"/>
      <c r="AN565" s="188"/>
      <c r="AO565" s="299"/>
      <c r="CI565" s="294"/>
      <c r="CJ565" s="294"/>
    </row>
    <row r="566" spans="2:88" ht="13">
      <c r="B566" s="294"/>
      <c r="F566" s="296"/>
      <c r="J566" s="302"/>
      <c r="T566" s="295"/>
      <c r="AA566" s="295"/>
      <c r="AH566" s="295"/>
      <c r="AI566" s="188"/>
      <c r="AJ566" s="188"/>
      <c r="AK566" s="188"/>
      <c r="AL566" s="188"/>
      <c r="AM566" s="188"/>
      <c r="AN566" s="188"/>
      <c r="AO566" s="299"/>
      <c r="CI566" s="294"/>
      <c r="CJ566" s="294"/>
    </row>
    <row r="567" spans="2:88" ht="13">
      <c r="B567" s="294"/>
      <c r="F567" s="296"/>
      <c r="J567" s="302"/>
      <c r="T567" s="295"/>
      <c r="AA567" s="295"/>
      <c r="AH567" s="295"/>
      <c r="AI567" s="188"/>
      <c r="AJ567" s="188"/>
      <c r="AK567" s="188"/>
      <c r="AL567" s="188"/>
      <c r="AM567" s="188"/>
      <c r="AN567" s="188"/>
      <c r="AO567" s="299"/>
      <c r="CI567" s="294"/>
      <c r="CJ567" s="294"/>
    </row>
    <row r="568" spans="2:88" ht="13">
      <c r="B568" s="294"/>
      <c r="F568" s="296"/>
      <c r="J568" s="302"/>
      <c r="T568" s="295"/>
      <c r="AA568" s="295"/>
      <c r="AH568" s="295"/>
      <c r="AI568" s="188"/>
      <c r="AJ568" s="188"/>
      <c r="AK568" s="188"/>
      <c r="AL568" s="188"/>
      <c r="AM568" s="188"/>
      <c r="AN568" s="188"/>
      <c r="AO568" s="299"/>
      <c r="CI568" s="294"/>
      <c r="CJ568" s="294"/>
    </row>
    <row r="569" spans="2:88" ht="13">
      <c r="B569" s="294"/>
      <c r="F569" s="296"/>
      <c r="J569" s="302"/>
      <c r="T569" s="295"/>
      <c r="AA569" s="295"/>
      <c r="AH569" s="295"/>
      <c r="AI569" s="188"/>
      <c r="AJ569" s="188"/>
      <c r="AK569" s="188"/>
      <c r="AL569" s="188"/>
      <c r="AM569" s="188"/>
      <c r="AN569" s="188"/>
      <c r="AO569" s="299"/>
      <c r="CI569" s="294"/>
      <c r="CJ569" s="294"/>
    </row>
    <row r="570" spans="2:88" ht="13">
      <c r="B570" s="294"/>
      <c r="F570" s="296"/>
      <c r="J570" s="302"/>
      <c r="T570" s="295"/>
      <c r="AA570" s="295"/>
      <c r="AH570" s="295"/>
      <c r="AI570" s="188"/>
      <c r="AJ570" s="188"/>
      <c r="AK570" s="188"/>
      <c r="AL570" s="188"/>
      <c r="AM570" s="188"/>
      <c r="AN570" s="188"/>
      <c r="AO570" s="299"/>
      <c r="CI570" s="294"/>
      <c r="CJ570" s="294"/>
    </row>
    <row r="571" spans="2:88" ht="13">
      <c r="B571" s="294"/>
      <c r="F571" s="296"/>
      <c r="J571" s="302"/>
      <c r="T571" s="295"/>
      <c r="AA571" s="295"/>
      <c r="AH571" s="295"/>
      <c r="AI571" s="188"/>
      <c r="AJ571" s="188"/>
      <c r="AK571" s="188"/>
      <c r="AL571" s="188"/>
      <c r="AM571" s="188"/>
      <c r="AN571" s="188"/>
      <c r="AO571" s="299"/>
      <c r="CI571" s="294"/>
      <c r="CJ571" s="294"/>
    </row>
    <row r="572" spans="2:88" ht="13">
      <c r="B572" s="294"/>
      <c r="F572" s="296"/>
      <c r="J572" s="302"/>
      <c r="T572" s="295"/>
      <c r="AA572" s="295"/>
      <c r="AH572" s="295"/>
      <c r="AI572" s="188"/>
      <c r="AJ572" s="188"/>
      <c r="AK572" s="188"/>
      <c r="AL572" s="188"/>
      <c r="AM572" s="188"/>
      <c r="AN572" s="188"/>
      <c r="AO572" s="299"/>
      <c r="CI572" s="294"/>
      <c r="CJ572" s="294"/>
    </row>
    <row r="573" spans="2:88" ht="13">
      <c r="B573" s="294"/>
      <c r="F573" s="296"/>
      <c r="J573" s="302"/>
      <c r="T573" s="295"/>
      <c r="AA573" s="295"/>
      <c r="AH573" s="295"/>
      <c r="AI573" s="188"/>
      <c r="AJ573" s="188"/>
      <c r="AK573" s="188"/>
      <c r="AL573" s="188"/>
      <c r="AM573" s="188"/>
      <c r="AN573" s="188"/>
      <c r="AO573" s="299"/>
      <c r="CI573" s="294"/>
      <c r="CJ573" s="294"/>
    </row>
    <row r="574" spans="2:88" ht="13">
      <c r="B574" s="294"/>
      <c r="F574" s="296"/>
      <c r="J574" s="302"/>
      <c r="T574" s="295"/>
      <c r="AA574" s="295"/>
      <c r="AH574" s="295"/>
      <c r="AI574" s="188"/>
      <c r="AJ574" s="188"/>
      <c r="AK574" s="188"/>
      <c r="AL574" s="188"/>
      <c r="AM574" s="188"/>
      <c r="AN574" s="188"/>
      <c r="AO574" s="299"/>
      <c r="CI574" s="294"/>
      <c r="CJ574" s="294"/>
    </row>
    <row r="575" spans="2:88" ht="13">
      <c r="B575" s="294"/>
      <c r="F575" s="296"/>
      <c r="J575" s="302"/>
      <c r="T575" s="295"/>
      <c r="AA575" s="295"/>
      <c r="AH575" s="295"/>
      <c r="AI575" s="188"/>
      <c r="AJ575" s="188"/>
      <c r="AK575" s="188"/>
      <c r="AL575" s="188"/>
      <c r="AM575" s="188"/>
      <c r="AN575" s="188"/>
      <c r="AO575" s="299"/>
      <c r="CI575" s="294"/>
      <c r="CJ575" s="294"/>
    </row>
    <row r="576" spans="2:88" ht="13">
      <c r="B576" s="294"/>
      <c r="F576" s="296"/>
      <c r="J576" s="302"/>
      <c r="T576" s="295"/>
      <c r="AA576" s="295"/>
      <c r="AH576" s="295"/>
      <c r="AI576" s="188"/>
      <c r="AJ576" s="188"/>
      <c r="AK576" s="188"/>
      <c r="AL576" s="188"/>
      <c r="AM576" s="188"/>
      <c r="AN576" s="188"/>
      <c r="AO576" s="299"/>
      <c r="CI576" s="294"/>
      <c r="CJ576" s="294"/>
    </row>
    <row r="577" spans="2:88" ht="13">
      <c r="B577" s="294"/>
      <c r="F577" s="296"/>
      <c r="J577" s="302"/>
      <c r="T577" s="295"/>
      <c r="AA577" s="295"/>
      <c r="AH577" s="295"/>
      <c r="AI577" s="188"/>
      <c r="AJ577" s="188"/>
      <c r="AK577" s="188"/>
      <c r="AL577" s="188"/>
      <c r="AM577" s="188"/>
      <c r="AN577" s="188"/>
      <c r="AO577" s="299"/>
      <c r="CI577" s="294"/>
      <c r="CJ577" s="294"/>
    </row>
    <row r="578" spans="2:88" ht="13">
      <c r="B578" s="294"/>
      <c r="F578" s="296"/>
      <c r="J578" s="302"/>
      <c r="T578" s="295"/>
      <c r="AA578" s="295"/>
      <c r="AH578" s="295"/>
      <c r="AI578" s="188"/>
      <c r="AJ578" s="188"/>
      <c r="AK578" s="188"/>
      <c r="AL578" s="188"/>
      <c r="AM578" s="188"/>
      <c r="AN578" s="188"/>
      <c r="AO578" s="299"/>
      <c r="CI578" s="294"/>
      <c r="CJ578" s="294"/>
    </row>
    <row r="579" spans="2:88" ht="13">
      <c r="B579" s="294"/>
      <c r="F579" s="296"/>
      <c r="J579" s="302"/>
      <c r="T579" s="295"/>
      <c r="AA579" s="295"/>
      <c r="AH579" s="295"/>
      <c r="AI579" s="188"/>
      <c r="AJ579" s="188"/>
      <c r="AK579" s="188"/>
      <c r="AL579" s="188"/>
      <c r="AM579" s="188"/>
      <c r="AN579" s="188"/>
      <c r="AO579" s="299"/>
      <c r="CI579" s="294"/>
      <c r="CJ579" s="294"/>
    </row>
    <row r="580" spans="2:88" ht="13">
      <c r="B580" s="294"/>
      <c r="F580" s="296"/>
      <c r="J580" s="302"/>
      <c r="T580" s="295"/>
      <c r="AA580" s="295"/>
      <c r="AH580" s="295"/>
      <c r="AI580" s="188"/>
      <c r="AJ580" s="188"/>
      <c r="AK580" s="188"/>
      <c r="AL580" s="188"/>
      <c r="AM580" s="188"/>
      <c r="AN580" s="188"/>
      <c r="AO580" s="299"/>
      <c r="CI580" s="294"/>
      <c r="CJ580" s="294"/>
    </row>
    <row r="581" spans="2:88" ht="13">
      <c r="B581" s="294"/>
      <c r="F581" s="296"/>
      <c r="J581" s="302"/>
      <c r="T581" s="295"/>
      <c r="AA581" s="295"/>
      <c r="AH581" s="295"/>
      <c r="AI581" s="188"/>
      <c r="AJ581" s="188"/>
      <c r="AK581" s="188"/>
      <c r="AL581" s="188"/>
      <c r="AM581" s="188"/>
      <c r="AN581" s="188"/>
      <c r="AO581" s="299"/>
      <c r="CI581" s="294"/>
      <c r="CJ581" s="294"/>
    </row>
    <row r="582" spans="2:88" ht="13">
      <c r="B582" s="294"/>
      <c r="F582" s="296"/>
      <c r="J582" s="302"/>
      <c r="T582" s="295"/>
      <c r="AA582" s="295"/>
      <c r="AH582" s="295"/>
      <c r="AI582" s="188"/>
      <c r="AJ582" s="188"/>
      <c r="AK582" s="188"/>
      <c r="AL582" s="188"/>
      <c r="AM582" s="188"/>
      <c r="AN582" s="188"/>
      <c r="AO582" s="299"/>
      <c r="CI582" s="294"/>
      <c r="CJ582" s="294"/>
    </row>
    <row r="583" spans="2:88" ht="13">
      <c r="B583" s="294"/>
      <c r="F583" s="296"/>
      <c r="J583" s="302"/>
      <c r="T583" s="295"/>
      <c r="AA583" s="295"/>
      <c r="AH583" s="295"/>
      <c r="AI583" s="188"/>
      <c r="AJ583" s="188"/>
      <c r="AK583" s="188"/>
      <c r="AL583" s="188"/>
      <c r="AM583" s="188"/>
      <c r="AN583" s="188"/>
      <c r="AO583" s="299"/>
      <c r="CI583" s="294"/>
      <c r="CJ583" s="294"/>
    </row>
    <row r="584" spans="2:88" ht="13">
      <c r="B584" s="294"/>
      <c r="F584" s="296"/>
      <c r="J584" s="302"/>
      <c r="T584" s="295"/>
      <c r="AA584" s="295"/>
      <c r="AH584" s="295"/>
      <c r="AI584" s="188"/>
      <c r="AJ584" s="188"/>
      <c r="AK584" s="188"/>
      <c r="AL584" s="188"/>
      <c r="AM584" s="188"/>
      <c r="AN584" s="188"/>
      <c r="AO584" s="299"/>
      <c r="CI584" s="294"/>
      <c r="CJ584" s="294"/>
    </row>
    <row r="585" spans="2:88" ht="13">
      <c r="B585" s="294"/>
      <c r="F585" s="296"/>
      <c r="J585" s="302"/>
      <c r="T585" s="295"/>
      <c r="AA585" s="295"/>
      <c r="AH585" s="295"/>
      <c r="AI585" s="188"/>
      <c r="AJ585" s="188"/>
      <c r="AK585" s="188"/>
      <c r="AL585" s="188"/>
      <c r="AM585" s="188"/>
      <c r="AN585" s="188"/>
      <c r="AO585" s="299"/>
      <c r="CI585" s="294"/>
      <c r="CJ585" s="294"/>
    </row>
    <row r="586" spans="2:88" ht="13">
      <c r="B586" s="294"/>
      <c r="F586" s="296"/>
      <c r="J586" s="302"/>
      <c r="T586" s="295"/>
      <c r="AA586" s="295"/>
      <c r="AH586" s="295"/>
      <c r="AI586" s="188"/>
      <c r="AJ586" s="188"/>
      <c r="AK586" s="188"/>
      <c r="AL586" s="188"/>
      <c r="AM586" s="188"/>
      <c r="AN586" s="188"/>
      <c r="AO586" s="299"/>
      <c r="CI586" s="294"/>
      <c r="CJ586" s="294"/>
    </row>
    <row r="587" spans="2:88" ht="13">
      <c r="B587" s="294"/>
      <c r="F587" s="296"/>
      <c r="J587" s="302"/>
      <c r="T587" s="295"/>
      <c r="AA587" s="295"/>
      <c r="AH587" s="295"/>
      <c r="AI587" s="188"/>
      <c r="AJ587" s="188"/>
      <c r="AK587" s="188"/>
      <c r="AL587" s="188"/>
      <c r="AM587" s="188"/>
      <c r="AN587" s="188"/>
      <c r="AO587" s="299"/>
      <c r="CI587" s="294"/>
      <c r="CJ587" s="294"/>
    </row>
    <row r="588" spans="2:88" ht="13">
      <c r="B588" s="294"/>
      <c r="F588" s="296"/>
      <c r="J588" s="302"/>
      <c r="T588" s="295"/>
      <c r="AA588" s="295"/>
      <c r="AH588" s="295"/>
      <c r="AI588" s="188"/>
      <c r="AJ588" s="188"/>
      <c r="AK588" s="188"/>
      <c r="AL588" s="188"/>
      <c r="AM588" s="188"/>
      <c r="AN588" s="188"/>
      <c r="AO588" s="299"/>
      <c r="CI588" s="294"/>
      <c r="CJ588" s="294"/>
    </row>
    <row r="589" spans="2:88" ht="13">
      <c r="B589" s="294"/>
      <c r="F589" s="296"/>
      <c r="J589" s="302"/>
      <c r="T589" s="295"/>
      <c r="AA589" s="295"/>
      <c r="AH589" s="295"/>
      <c r="AI589" s="188"/>
      <c r="AJ589" s="188"/>
      <c r="AK589" s="188"/>
      <c r="AL589" s="188"/>
      <c r="AM589" s="188"/>
      <c r="AN589" s="188"/>
      <c r="AO589" s="299"/>
      <c r="CI589" s="294"/>
      <c r="CJ589" s="294"/>
    </row>
    <row r="590" spans="2:88" ht="13">
      <c r="B590" s="294"/>
      <c r="F590" s="296"/>
      <c r="J590" s="302"/>
      <c r="T590" s="295"/>
      <c r="AA590" s="295"/>
      <c r="AH590" s="295"/>
      <c r="AI590" s="188"/>
      <c r="AJ590" s="188"/>
      <c r="AK590" s="188"/>
      <c r="AL590" s="188"/>
      <c r="AM590" s="188"/>
      <c r="AN590" s="188"/>
      <c r="AO590" s="299"/>
      <c r="CI590" s="294"/>
      <c r="CJ590" s="294"/>
    </row>
    <row r="591" spans="2:88" ht="13">
      <c r="B591" s="294"/>
      <c r="F591" s="296"/>
      <c r="J591" s="302"/>
      <c r="T591" s="295"/>
      <c r="AA591" s="295"/>
      <c r="AH591" s="295"/>
      <c r="AI591" s="188"/>
      <c r="AJ591" s="188"/>
      <c r="AK591" s="188"/>
      <c r="AL591" s="188"/>
      <c r="AM591" s="188"/>
      <c r="AN591" s="188"/>
      <c r="AO591" s="299"/>
      <c r="CI591" s="294"/>
      <c r="CJ591" s="294"/>
    </row>
    <row r="592" spans="2:88" ht="13">
      <c r="B592" s="294"/>
      <c r="F592" s="296"/>
      <c r="J592" s="302"/>
      <c r="T592" s="295"/>
      <c r="AA592" s="295"/>
      <c r="AH592" s="295"/>
      <c r="AI592" s="188"/>
      <c r="AJ592" s="188"/>
      <c r="AK592" s="188"/>
      <c r="AL592" s="188"/>
      <c r="AM592" s="188"/>
      <c r="AN592" s="188"/>
      <c r="AO592" s="299"/>
      <c r="CI592" s="294"/>
      <c r="CJ592" s="294"/>
    </row>
    <row r="593" spans="2:88" ht="13">
      <c r="B593" s="294"/>
      <c r="F593" s="296"/>
      <c r="J593" s="302"/>
      <c r="T593" s="295"/>
      <c r="AA593" s="295"/>
      <c r="AH593" s="295"/>
      <c r="AI593" s="188"/>
      <c r="AJ593" s="188"/>
      <c r="AK593" s="188"/>
      <c r="AL593" s="188"/>
      <c r="AM593" s="188"/>
      <c r="AN593" s="188"/>
      <c r="AO593" s="299"/>
      <c r="CI593" s="294"/>
      <c r="CJ593" s="294"/>
    </row>
    <row r="594" spans="2:88" ht="13">
      <c r="B594" s="294"/>
      <c r="F594" s="296"/>
      <c r="J594" s="302"/>
      <c r="T594" s="295"/>
      <c r="AA594" s="295"/>
      <c r="AH594" s="295"/>
      <c r="AI594" s="188"/>
      <c r="AJ594" s="188"/>
      <c r="AK594" s="188"/>
      <c r="AL594" s="188"/>
      <c r="AM594" s="188"/>
      <c r="AN594" s="188"/>
      <c r="AO594" s="299"/>
      <c r="CI594" s="294"/>
      <c r="CJ594" s="294"/>
    </row>
    <row r="595" spans="2:88" ht="13">
      <c r="B595" s="294"/>
      <c r="F595" s="296"/>
      <c r="J595" s="302"/>
      <c r="T595" s="295"/>
      <c r="AA595" s="295"/>
      <c r="AH595" s="295"/>
      <c r="AI595" s="188"/>
      <c r="AJ595" s="188"/>
      <c r="AK595" s="188"/>
      <c r="AL595" s="188"/>
      <c r="AM595" s="188"/>
      <c r="AN595" s="188"/>
      <c r="AO595" s="299"/>
      <c r="CI595" s="294"/>
      <c r="CJ595" s="294"/>
    </row>
    <row r="596" spans="2:88" ht="13">
      <c r="B596" s="294"/>
      <c r="F596" s="296"/>
      <c r="J596" s="302"/>
      <c r="T596" s="295"/>
      <c r="AA596" s="295"/>
      <c r="AH596" s="295"/>
      <c r="AI596" s="188"/>
      <c r="AJ596" s="188"/>
      <c r="AK596" s="188"/>
      <c r="AL596" s="188"/>
      <c r="AM596" s="188"/>
      <c r="AN596" s="188"/>
      <c r="AO596" s="299"/>
      <c r="CI596" s="294"/>
      <c r="CJ596" s="294"/>
    </row>
    <row r="597" spans="2:88" ht="13">
      <c r="B597" s="294"/>
      <c r="F597" s="296"/>
      <c r="J597" s="302"/>
      <c r="T597" s="295"/>
      <c r="AA597" s="295"/>
      <c r="AH597" s="295"/>
      <c r="AI597" s="188"/>
      <c r="AJ597" s="188"/>
      <c r="AK597" s="188"/>
      <c r="AL597" s="188"/>
      <c r="AM597" s="188"/>
      <c r="AN597" s="188"/>
      <c r="AO597" s="299"/>
      <c r="CI597" s="294"/>
      <c r="CJ597" s="294"/>
    </row>
    <row r="598" spans="2:88" ht="13">
      <c r="B598" s="294"/>
      <c r="F598" s="296"/>
      <c r="J598" s="302"/>
      <c r="T598" s="295"/>
      <c r="AA598" s="295"/>
      <c r="AH598" s="295"/>
      <c r="AI598" s="188"/>
      <c r="AJ598" s="188"/>
      <c r="AK598" s="188"/>
      <c r="AL598" s="188"/>
      <c r="AM598" s="188"/>
      <c r="AN598" s="188"/>
      <c r="AO598" s="299"/>
      <c r="CI598" s="294"/>
      <c r="CJ598" s="294"/>
    </row>
    <row r="599" spans="2:88" ht="13">
      <c r="B599" s="294"/>
      <c r="F599" s="296"/>
      <c r="J599" s="302"/>
      <c r="T599" s="295"/>
      <c r="AA599" s="295"/>
      <c r="AH599" s="295"/>
      <c r="AI599" s="188"/>
      <c r="AJ599" s="188"/>
      <c r="AK599" s="188"/>
      <c r="AL599" s="188"/>
      <c r="AM599" s="188"/>
      <c r="AN599" s="188"/>
      <c r="AO599" s="299"/>
      <c r="CI599" s="294"/>
      <c r="CJ599" s="294"/>
    </row>
    <row r="600" spans="2:88" ht="13">
      <c r="B600" s="294"/>
      <c r="F600" s="296"/>
      <c r="J600" s="302"/>
      <c r="T600" s="295"/>
      <c r="AA600" s="295"/>
      <c r="AH600" s="295"/>
      <c r="AI600" s="188"/>
      <c r="AJ600" s="188"/>
      <c r="AK600" s="188"/>
      <c r="AL600" s="188"/>
      <c r="AM600" s="188"/>
      <c r="AN600" s="188"/>
      <c r="AO600" s="299"/>
      <c r="CI600" s="294"/>
      <c r="CJ600" s="294"/>
    </row>
    <row r="601" spans="2:88" ht="13">
      <c r="B601" s="294"/>
      <c r="F601" s="296"/>
      <c r="J601" s="302"/>
      <c r="T601" s="295"/>
      <c r="AA601" s="295"/>
      <c r="AH601" s="295"/>
      <c r="AI601" s="188"/>
      <c r="AJ601" s="188"/>
      <c r="AK601" s="188"/>
      <c r="AL601" s="188"/>
      <c r="AM601" s="188"/>
      <c r="AN601" s="188"/>
      <c r="AO601" s="299"/>
      <c r="CI601" s="294"/>
      <c r="CJ601" s="294"/>
    </row>
    <row r="602" spans="2:88" ht="13">
      <c r="B602" s="294"/>
      <c r="F602" s="296"/>
      <c r="J602" s="302"/>
      <c r="T602" s="295"/>
      <c r="AA602" s="295"/>
      <c r="AH602" s="295"/>
      <c r="AI602" s="188"/>
      <c r="AJ602" s="188"/>
      <c r="AK602" s="188"/>
      <c r="AL602" s="188"/>
      <c r="AM602" s="188"/>
      <c r="AN602" s="188"/>
      <c r="AO602" s="299"/>
      <c r="CI602" s="294"/>
      <c r="CJ602" s="294"/>
    </row>
    <row r="603" spans="2:88" ht="13">
      <c r="B603" s="294"/>
      <c r="F603" s="296"/>
      <c r="J603" s="302"/>
      <c r="T603" s="295"/>
      <c r="AA603" s="295"/>
      <c r="AH603" s="295"/>
      <c r="AI603" s="188"/>
      <c r="AJ603" s="188"/>
      <c r="AK603" s="188"/>
      <c r="AL603" s="188"/>
      <c r="AM603" s="188"/>
      <c r="AN603" s="188"/>
      <c r="AO603" s="299"/>
      <c r="CI603" s="294"/>
      <c r="CJ603" s="294"/>
    </row>
    <row r="604" spans="2:88" ht="13">
      <c r="B604" s="294"/>
      <c r="F604" s="296"/>
      <c r="J604" s="302"/>
      <c r="T604" s="295"/>
      <c r="AA604" s="295"/>
      <c r="AH604" s="295"/>
      <c r="AI604" s="188"/>
      <c r="AJ604" s="188"/>
      <c r="AK604" s="188"/>
      <c r="AL604" s="188"/>
      <c r="AM604" s="188"/>
      <c r="AN604" s="188"/>
      <c r="AO604" s="299"/>
      <c r="CI604" s="294"/>
      <c r="CJ604" s="294"/>
    </row>
    <row r="605" spans="2:88" ht="13">
      <c r="B605" s="294"/>
      <c r="F605" s="296"/>
      <c r="J605" s="302"/>
      <c r="T605" s="295"/>
      <c r="AA605" s="295"/>
      <c r="AH605" s="295"/>
      <c r="AI605" s="188"/>
      <c r="AJ605" s="188"/>
      <c r="AK605" s="188"/>
      <c r="AL605" s="188"/>
      <c r="AM605" s="188"/>
      <c r="AN605" s="188"/>
      <c r="AO605" s="299"/>
      <c r="CI605" s="294"/>
      <c r="CJ605" s="294"/>
    </row>
    <row r="606" spans="2:88" ht="13">
      <c r="B606" s="294"/>
      <c r="F606" s="296"/>
      <c r="J606" s="302"/>
      <c r="T606" s="295"/>
      <c r="AA606" s="295"/>
      <c r="AH606" s="295"/>
      <c r="AI606" s="188"/>
      <c r="AJ606" s="188"/>
      <c r="AK606" s="188"/>
      <c r="AL606" s="188"/>
      <c r="AM606" s="188"/>
      <c r="AN606" s="188"/>
      <c r="AO606" s="299"/>
      <c r="CI606" s="294"/>
      <c r="CJ606" s="294"/>
    </row>
    <row r="607" spans="2:88" ht="13">
      <c r="B607" s="294"/>
      <c r="F607" s="296"/>
      <c r="J607" s="302"/>
      <c r="T607" s="295"/>
      <c r="AA607" s="295"/>
      <c r="AH607" s="295"/>
      <c r="AI607" s="188"/>
      <c r="AJ607" s="188"/>
      <c r="AK607" s="188"/>
      <c r="AL607" s="188"/>
      <c r="AM607" s="188"/>
      <c r="AN607" s="188"/>
      <c r="AO607" s="299"/>
      <c r="CI607" s="294"/>
      <c r="CJ607" s="294"/>
    </row>
    <row r="608" spans="2:88" ht="13">
      <c r="B608" s="294"/>
      <c r="F608" s="296"/>
      <c r="J608" s="302"/>
      <c r="T608" s="295"/>
      <c r="AA608" s="295"/>
      <c r="AH608" s="295"/>
      <c r="AI608" s="188"/>
      <c r="AJ608" s="188"/>
      <c r="AK608" s="188"/>
      <c r="AL608" s="188"/>
      <c r="AM608" s="188"/>
      <c r="AN608" s="188"/>
      <c r="AO608" s="299"/>
      <c r="CI608" s="294"/>
      <c r="CJ608" s="294"/>
    </row>
    <row r="609" spans="2:88" ht="13">
      <c r="B609" s="294"/>
      <c r="F609" s="296"/>
      <c r="J609" s="302"/>
      <c r="T609" s="295"/>
      <c r="AA609" s="295"/>
      <c r="AH609" s="295"/>
      <c r="AI609" s="188"/>
      <c r="AJ609" s="188"/>
      <c r="AK609" s="188"/>
      <c r="AL609" s="188"/>
      <c r="AM609" s="188"/>
      <c r="AN609" s="188"/>
      <c r="AO609" s="299"/>
      <c r="CI609" s="294"/>
      <c r="CJ609" s="294"/>
    </row>
    <row r="610" spans="2:88" ht="13">
      <c r="B610" s="294"/>
      <c r="F610" s="296"/>
      <c r="J610" s="302"/>
      <c r="T610" s="295"/>
      <c r="AA610" s="295"/>
      <c r="AH610" s="295"/>
      <c r="AI610" s="188"/>
      <c r="AJ610" s="188"/>
      <c r="AK610" s="188"/>
      <c r="AL610" s="188"/>
      <c r="AM610" s="188"/>
      <c r="AN610" s="188"/>
      <c r="AO610" s="299"/>
      <c r="CI610" s="294"/>
      <c r="CJ610" s="294"/>
    </row>
    <row r="611" spans="2:88" ht="13">
      <c r="B611" s="294"/>
      <c r="F611" s="296"/>
      <c r="J611" s="302"/>
      <c r="T611" s="295"/>
      <c r="AA611" s="295"/>
      <c r="AH611" s="295"/>
      <c r="AI611" s="188"/>
      <c r="AJ611" s="188"/>
      <c r="AK611" s="188"/>
      <c r="AL611" s="188"/>
      <c r="AM611" s="188"/>
      <c r="AN611" s="188"/>
      <c r="AO611" s="299"/>
      <c r="CI611" s="294"/>
      <c r="CJ611" s="294"/>
    </row>
    <row r="612" spans="2:88" ht="13">
      <c r="B612" s="294"/>
      <c r="F612" s="296"/>
      <c r="J612" s="302"/>
      <c r="T612" s="295"/>
      <c r="AA612" s="295"/>
      <c r="AH612" s="295"/>
      <c r="AI612" s="188"/>
      <c r="AJ612" s="188"/>
      <c r="AK612" s="188"/>
      <c r="AL612" s="188"/>
      <c r="AM612" s="188"/>
      <c r="AN612" s="188"/>
      <c r="AO612" s="299"/>
      <c r="CI612" s="294"/>
      <c r="CJ612" s="294"/>
    </row>
    <row r="613" spans="2:88" ht="13">
      <c r="B613" s="294"/>
      <c r="F613" s="296"/>
      <c r="J613" s="302"/>
      <c r="T613" s="295"/>
      <c r="AA613" s="295"/>
      <c r="AH613" s="295"/>
      <c r="AI613" s="188"/>
      <c r="AJ613" s="188"/>
      <c r="AK613" s="188"/>
      <c r="AL613" s="188"/>
      <c r="AM613" s="188"/>
      <c r="AN613" s="188"/>
      <c r="AO613" s="299"/>
      <c r="CI613" s="294"/>
      <c r="CJ613" s="294"/>
    </row>
    <row r="614" spans="2:88" ht="13">
      <c r="B614" s="294"/>
      <c r="F614" s="296"/>
      <c r="J614" s="302"/>
      <c r="T614" s="295"/>
      <c r="AA614" s="295"/>
      <c r="AH614" s="295"/>
      <c r="AI614" s="188"/>
      <c r="AJ614" s="188"/>
      <c r="AK614" s="188"/>
      <c r="AL614" s="188"/>
      <c r="AM614" s="188"/>
      <c r="AN614" s="188"/>
      <c r="AO614" s="299"/>
      <c r="CI614" s="294"/>
      <c r="CJ614" s="294"/>
    </row>
    <row r="615" spans="2:88" ht="13">
      <c r="B615" s="294"/>
      <c r="F615" s="296"/>
      <c r="J615" s="302"/>
      <c r="T615" s="295"/>
      <c r="AA615" s="295"/>
      <c r="AH615" s="295"/>
      <c r="AI615" s="188"/>
      <c r="AJ615" s="188"/>
      <c r="AK615" s="188"/>
      <c r="AL615" s="188"/>
      <c r="AM615" s="188"/>
      <c r="AN615" s="188"/>
      <c r="AO615" s="299"/>
      <c r="CI615" s="294"/>
      <c r="CJ615" s="294"/>
    </row>
    <row r="616" spans="2:88" ht="13">
      <c r="B616" s="294"/>
      <c r="F616" s="296"/>
      <c r="J616" s="302"/>
      <c r="T616" s="295"/>
      <c r="AA616" s="295"/>
      <c r="AH616" s="295"/>
      <c r="AI616" s="188"/>
      <c r="AJ616" s="188"/>
      <c r="AK616" s="188"/>
      <c r="AL616" s="188"/>
      <c r="AM616" s="188"/>
      <c r="AN616" s="188"/>
      <c r="AO616" s="299"/>
      <c r="CI616" s="294"/>
      <c r="CJ616" s="294"/>
    </row>
    <row r="617" spans="2:88" ht="13">
      <c r="B617" s="294"/>
      <c r="F617" s="296"/>
      <c r="J617" s="302"/>
      <c r="T617" s="295"/>
      <c r="AA617" s="295"/>
      <c r="AH617" s="295"/>
      <c r="AI617" s="188"/>
      <c r="AJ617" s="188"/>
      <c r="AK617" s="188"/>
      <c r="AL617" s="188"/>
      <c r="AM617" s="188"/>
      <c r="AN617" s="188"/>
      <c r="AO617" s="299"/>
      <c r="CI617" s="294"/>
      <c r="CJ617" s="294"/>
    </row>
    <row r="618" spans="2:88" ht="13">
      <c r="B618" s="294"/>
      <c r="F618" s="296"/>
      <c r="J618" s="302"/>
      <c r="T618" s="295"/>
      <c r="AA618" s="295"/>
      <c r="AH618" s="295"/>
      <c r="AI618" s="188"/>
      <c r="AJ618" s="188"/>
      <c r="AK618" s="188"/>
      <c r="AL618" s="188"/>
      <c r="AM618" s="188"/>
      <c r="AN618" s="188"/>
      <c r="AO618" s="299"/>
      <c r="CI618" s="294"/>
      <c r="CJ618" s="294"/>
    </row>
    <row r="619" spans="2:88" ht="13">
      <c r="B619" s="294"/>
      <c r="F619" s="296"/>
      <c r="J619" s="302"/>
      <c r="T619" s="295"/>
      <c r="AA619" s="295"/>
      <c r="AH619" s="295"/>
      <c r="AI619" s="188"/>
      <c r="AJ619" s="188"/>
      <c r="AK619" s="188"/>
      <c r="AL619" s="188"/>
      <c r="AM619" s="188"/>
      <c r="AN619" s="188"/>
      <c r="AO619" s="299"/>
      <c r="CI619" s="294"/>
      <c r="CJ619" s="294"/>
    </row>
    <row r="620" spans="2:88" ht="13">
      <c r="B620" s="294"/>
      <c r="F620" s="296"/>
      <c r="J620" s="302"/>
      <c r="T620" s="295"/>
      <c r="AA620" s="295"/>
      <c r="AH620" s="295"/>
      <c r="AI620" s="188"/>
      <c r="AJ620" s="188"/>
      <c r="AK620" s="188"/>
      <c r="AL620" s="188"/>
      <c r="AM620" s="188"/>
      <c r="AN620" s="188"/>
      <c r="AO620" s="299"/>
      <c r="CI620" s="294"/>
      <c r="CJ620" s="294"/>
    </row>
    <row r="621" spans="2:88" ht="13">
      <c r="B621" s="294"/>
      <c r="F621" s="296"/>
      <c r="J621" s="302"/>
      <c r="T621" s="295"/>
      <c r="AA621" s="295"/>
      <c r="AH621" s="295"/>
      <c r="AI621" s="188"/>
      <c r="AJ621" s="188"/>
      <c r="AK621" s="188"/>
      <c r="AL621" s="188"/>
      <c r="AM621" s="188"/>
      <c r="AN621" s="188"/>
      <c r="AO621" s="299"/>
      <c r="CI621" s="294"/>
      <c r="CJ621" s="294"/>
    </row>
    <row r="622" spans="2:88" ht="13">
      <c r="B622" s="294"/>
      <c r="F622" s="296"/>
      <c r="J622" s="302"/>
      <c r="T622" s="295"/>
      <c r="AA622" s="295"/>
      <c r="AH622" s="295"/>
      <c r="AI622" s="188"/>
      <c r="AJ622" s="188"/>
      <c r="AK622" s="188"/>
      <c r="AL622" s="188"/>
      <c r="AM622" s="188"/>
      <c r="AN622" s="188"/>
      <c r="AO622" s="299"/>
      <c r="CI622" s="294"/>
      <c r="CJ622" s="294"/>
    </row>
    <row r="623" spans="2:88" ht="13">
      <c r="B623" s="294"/>
      <c r="F623" s="296"/>
      <c r="J623" s="302"/>
      <c r="T623" s="295"/>
      <c r="AA623" s="295"/>
      <c r="AH623" s="295"/>
      <c r="AI623" s="188"/>
      <c r="AJ623" s="188"/>
      <c r="AK623" s="188"/>
      <c r="AL623" s="188"/>
      <c r="AM623" s="188"/>
      <c r="AN623" s="188"/>
      <c r="AO623" s="299"/>
      <c r="CI623" s="294"/>
      <c r="CJ623" s="294"/>
    </row>
    <row r="624" spans="2:88" ht="13">
      <c r="B624" s="294"/>
      <c r="F624" s="296"/>
      <c r="J624" s="302"/>
      <c r="T624" s="295"/>
      <c r="AA624" s="295"/>
      <c r="AH624" s="295"/>
      <c r="AI624" s="188"/>
      <c r="AJ624" s="188"/>
      <c r="AK624" s="188"/>
      <c r="AL624" s="188"/>
      <c r="AM624" s="188"/>
      <c r="AN624" s="188"/>
      <c r="AO624" s="299"/>
      <c r="CI624" s="294"/>
      <c r="CJ624" s="294"/>
    </row>
    <row r="625" spans="2:88" ht="13">
      <c r="B625" s="294"/>
      <c r="F625" s="296"/>
      <c r="J625" s="302"/>
      <c r="T625" s="295"/>
      <c r="AA625" s="295"/>
      <c r="AH625" s="295"/>
      <c r="AI625" s="188"/>
      <c r="AJ625" s="188"/>
      <c r="AK625" s="188"/>
      <c r="AL625" s="188"/>
      <c r="AM625" s="188"/>
      <c r="AN625" s="188"/>
      <c r="AO625" s="299"/>
      <c r="CI625" s="294"/>
      <c r="CJ625" s="294"/>
    </row>
    <row r="626" spans="2:88" ht="13">
      <c r="B626" s="294"/>
      <c r="F626" s="296"/>
      <c r="J626" s="302"/>
      <c r="T626" s="295"/>
      <c r="AA626" s="295"/>
      <c r="AH626" s="295"/>
      <c r="AI626" s="188"/>
      <c r="AJ626" s="188"/>
      <c r="AK626" s="188"/>
      <c r="AL626" s="188"/>
      <c r="AM626" s="188"/>
      <c r="AN626" s="188"/>
      <c r="AO626" s="299"/>
      <c r="CI626" s="294"/>
      <c r="CJ626" s="294"/>
    </row>
    <row r="627" spans="2:88" ht="13">
      <c r="B627" s="294"/>
      <c r="F627" s="296"/>
      <c r="J627" s="302"/>
      <c r="T627" s="295"/>
      <c r="AA627" s="295"/>
      <c r="AH627" s="295"/>
      <c r="AI627" s="188"/>
      <c r="AJ627" s="188"/>
      <c r="AK627" s="188"/>
      <c r="AL627" s="188"/>
      <c r="AM627" s="188"/>
      <c r="AN627" s="188"/>
      <c r="AO627" s="299"/>
      <c r="CI627" s="294"/>
      <c r="CJ627" s="294"/>
    </row>
    <row r="628" spans="2:88" ht="13">
      <c r="B628" s="294"/>
      <c r="F628" s="296"/>
      <c r="J628" s="302"/>
      <c r="T628" s="295"/>
      <c r="AA628" s="295"/>
      <c r="AH628" s="295"/>
      <c r="AI628" s="188"/>
      <c r="AJ628" s="188"/>
      <c r="AK628" s="188"/>
      <c r="AL628" s="188"/>
      <c r="AM628" s="188"/>
      <c r="AN628" s="188"/>
      <c r="AO628" s="299"/>
      <c r="CI628" s="294"/>
      <c r="CJ628" s="294"/>
    </row>
    <row r="629" spans="2:88" ht="13">
      <c r="B629" s="294"/>
      <c r="F629" s="296"/>
      <c r="J629" s="302"/>
      <c r="T629" s="295"/>
      <c r="AA629" s="295"/>
      <c r="AH629" s="295"/>
      <c r="AI629" s="188"/>
      <c r="AJ629" s="188"/>
      <c r="AK629" s="188"/>
      <c r="AL629" s="188"/>
      <c r="AM629" s="188"/>
      <c r="AN629" s="188"/>
      <c r="AO629" s="299"/>
      <c r="CI629" s="294"/>
      <c r="CJ629" s="294"/>
    </row>
    <row r="630" spans="2:88" ht="13">
      <c r="B630" s="294"/>
      <c r="F630" s="296"/>
      <c r="J630" s="302"/>
      <c r="T630" s="295"/>
      <c r="AA630" s="295"/>
      <c r="AH630" s="295"/>
      <c r="AI630" s="188"/>
      <c r="AJ630" s="188"/>
      <c r="AK630" s="188"/>
      <c r="AL630" s="188"/>
      <c r="AM630" s="188"/>
      <c r="AN630" s="188"/>
      <c r="AO630" s="299"/>
      <c r="CI630" s="294"/>
      <c r="CJ630" s="294"/>
    </row>
    <row r="631" spans="2:88" ht="13">
      <c r="B631" s="294"/>
      <c r="F631" s="296"/>
      <c r="J631" s="302"/>
      <c r="T631" s="295"/>
      <c r="AA631" s="295"/>
      <c r="AH631" s="295"/>
      <c r="AI631" s="188"/>
      <c r="AJ631" s="188"/>
      <c r="AK631" s="188"/>
      <c r="AL631" s="188"/>
      <c r="AM631" s="188"/>
      <c r="AN631" s="188"/>
      <c r="AO631" s="299"/>
      <c r="CI631" s="294"/>
      <c r="CJ631" s="294"/>
    </row>
    <row r="632" spans="2:88" ht="13">
      <c r="B632" s="294"/>
      <c r="F632" s="296"/>
      <c r="J632" s="302"/>
      <c r="T632" s="295"/>
      <c r="AA632" s="295"/>
      <c r="AH632" s="295"/>
      <c r="AI632" s="188"/>
      <c r="AJ632" s="188"/>
      <c r="AK632" s="188"/>
      <c r="AL632" s="188"/>
      <c r="AM632" s="188"/>
      <c r="AN632" s="188"/>
      <c r="AO632" s="299"/>
      <c r="CI632" s="294"/>
      <c r="CJ632" s="294"/>
    </row>
    <row r="633" spans="2:88" ht="13">
      <c r="B633" s="294"/>
      <c r="F633" s="296"/>
      <c r="J633" s="302"/>
      <c r="T633" s="295"/>
      <c r="AA633" s="295"/>
      <c r="AH633" s="295"/>
      <c r="AI633" s="188"/>
      <c r="AJ633" s="188"/>
      <c r="AK633" s="188"/>
      <c r="AL633" s="188"/>
      <c r="AM633" s="188"/>
      <c r="AN633" s="188"/>
      <c r="AO633" s="299"/>
      <c r="CI633" s="294"/>
      <c r="CJ633" s="294"/>
    </row>
    <row r="634" spans="2:88" ht="13">
      <c r="B634" s="294"/>
      <c r="F634" s="296"/>
      <c r="J634" s="302"/>
      <c r="T634" s="295"/>
      <c r="AA634" s="295"/>
      <c r="AH634" s="295"/>
      <c r="AI634" s="188"/>
      <c r="AJ634" s="188"/>
      <c r="AK634" s="188"/>
      <c r="AL634" s="188"/>
      <c r="AM634" s="188"/>
      <c r="AN634" s="188"/>
      <c r="AO634" s="299"/>
      <c r="CI634" s="294"/>
      <c r="CJ634" s="294"/>
    </row>
    <row r="635" spans="2:88" ht="13">
      <c r="B635" s="294"/>
      <c r="F635" s="296"/>
      <c r="J635" s="302"/>
      <c r="T635" s="295"/>
      <c r="AA635" s="295"/>
      <c r="AH635" s="295"/>
      <c r="AI635" s="188"/>
      <c r="AJ635" s="188"/>
      <c r="AK635" s="188"/>
      <c r="AL635" s="188"/>
      <c r="AM635" s="188"/>
      <c r="AN635" s="188"/>
      <c r="AO635" s="299"/>
      <c r="CI635" s="294"/>
      <c r="CJ635" s="294"/>
    </row>
    <row r="636" spans="2:88" ht="13">
      <c r="B636" s="294"/>
      <c r="F636" s="296"/>
      <c r="J636" s="302"/>
      <c r="T636" s="295"/>
      <c r="AA636" s="295"/>
      <c r="AH636" s="295"/>
      <c r="AI636" s="188"/>
      <c r="AJ636" s="188"/>
      <c r="AK636" s="188"/>
      <c r="AL636" s="188"/>
      <c r="AM636" s="188"/>
      <c r="AN636" s="188"/>
      <c r="AO636" s="299"/>
      <c r="CI636" s="294"/>
      <c r="CJ636" s="294"/>
    </row>
    <row r="637" spans="2:88" ht="13">
      <c r="B637" s="294"/>
      <c r="F637" s="296"/>
      <c r="J637" s="302"/>
      <c r="T637" s="295"/>
      <c r="AA637" s="295"/>
      <c r="AH637" s="295"/>
      <c r="AI637" s="188"/>
      <c r="AJ637" s="188"/>
      <c r="AK637" s="188"/>
      <c r="AL637" s="188"/>
      <c r="AM637" s="188"/>
      <c r="AN637" s="188"/>
      <c r="AO637" s="299"/>
      <c r="CI637" s="294"/>
      <c r="CJ637" s="294"/>
    </row>
    <row r="638" spans="2:88" ht="13">
      <c r="B638" s="294"/>
      <c r="F638" s="296"/>
      <c r="J638" s="302"/>
      <c r="T638" s="295"/>
      <c r="AA638" s="295"/>
      <c r="AH638" s="295"/>
      <c r="AI638" s="188"/>
      <c r="AJ638" s="188"/>
      <c r="AK638" s="188"/>
      <c r="AL638" s="188"/>
      <c r="AM638" s="188"/>
      <c r="AN638" s="188"/>
      <c r="AO638" s="299"/>
      <c r="CI638" s="294"/>
      <c r="CJ638" s="294"/>
    </row>
    <row r="639" spans="2:88" ht="13">
      <c r="B639" s="294"/>
      <c r="F639" s="296"/>
      <c r="J639" s="302"/>
      <c r="T639" s="295"/>
      <c r="AA639" s="295"/>
      <c r="AH639" s="295"/>
      <c r="AI639" s="188"/>
      <c r="AJ639" s="188"/>
      <c r="AK639" s="188"/>
      <c r="AL639" s="188"/>
      <c r="AM639" s="188"/>
      <c r="AN639" s="188"/>
      <c r="AO639" s="299"/>
      <c r="CI639" s="294"/>
      <c r="CJ639" s="294"/>
    </row>
    <row r="640" spans="2:88" ht="13">
      <c r="B640" s="294"/>
      <c r="F640" s="296"/>
      <c r="J640" s="302"/>
      <c r="T640" s="295"/>
      <c r="AA640" s="295"/>
      <c r="AH640" s="295"/>
      <c r="AI640" s="188"/>
      <c r="AJ640" s="188"/>
      <c r="AK640" s="188"/>
      <c r="AL640" s="188"/>
      <c r="AM640" s="188"/>
      <c r="AN640" s="188"/>
      <c r="AO640" s="299"/>
      <c r="CI640" s="294"/>
      <c r="CJ640" s="294"/>
    </row>
    <row r="641" spans="2:88" ht="13">
      <c r="B641" s="294"/>
      <c r="F641" s="296"/>
      <c r="J641" s="302"/>
      <c r="T641" s="295"/>
      <c r="AA641" s="295"/>
      <c r="AH641" s="295"/>
      <c r="AI641" s="188"/>
      <c r="AJ641" s="188"/>
      <c r="AK641" s="188"/>
      <c r="AL641" s="188"/>
      <c r="AM641" s="188"/>
      <c r="AN641" s="188"/>
      <c r="AO641" s="299"/>
      <c r="CI641" s="294"/>
      <c r="CJ641" s="294"/>
    </row>
    <row r="642" spans="2:88" ht="13">
      <c r="B642" s="294"/>
      <c r="F642" s="296"/>
      <c r="J642" s="302"/>
      <c r="T642" s="295"/>
      <c r="AA642" s="295"/>
      <c r="AH642" s="295"/>
      <c r="AI642" s="188"/>
      <c r="AJ642" s="188"/>
      <c r="AK642" s="188"/>
      <c r="AL642" s="188"/>
      <c r="AM642" s="188"/>
      <c r="AN642" s="188"/>
      <c r="AO642" s="299"/>
      <c r="CI642" s="294"/>
      <c r="CJ642" s="294"/>
    </row>
    <row r="643" spans="2:88" ht="13">
      <c r="B643" s="294"/>
      <c r="F643" s="296"/>
      <c r="J643" s="302"/>
      <c r="T643" s="295"/>
      <c r="AA643" s="295"/>
      <c r="AH643" s="295"/>
      <c r="AI643" s="188"/>
      <c r="AJ643" s="188"/>
      <c r="AK643" s="188"/>
      <c r="AL643" s="188"/>
      <c r="AM643" s="188"/>
      <c r="AN643" s="188"/>
      <c r="AO643" s="299"/>
      <c r="CI643" s="294"/>
      <c r="CJ643" s="294"/>
    </row>
    <row r="644" spans="2:88" ht="13">
      <c r="B644" s="294"/>
      <c r="F644" s="296"/>
      <c r="J644" s="302"/>
      <c r="T644" s="295"/>
      <c r="AA644" s="295"/>
      <c r="AH644" s="295"/>
      <c r="AI644" s="188"/>
      <c r="AJ644" s="188"/>
      <c r="AK644" s="188"/>
      <c r="AL644" s="188"/>
      <c r="AM644" s="188"/>
      <c r="AN644" s="188"/>
      <c r="AO644" s="299"/>
      <c r="CI644" s="294"/>
      <c r="CJ644" s="294"/>
    </row>
    <row r="645" spans="2:88" ht="13">
      <c r="B645" s="294"/>
      <c r="F645" s="296"/>
      <c r="J645" s="302"/>
      <c r="T645" s="295"/>
      <c r="AA645" s="295"/>
      <c r="AH645" s="295"/>
      <c r="AI645" s="188"/>
      <c r="AJ645" s="188"/>
      <c r="AK645" s="188"/>
      <c r="AL645" s="188"/>
      <c r="AM645" s="188"/>
      <c r="AN645" s="188"/>
      <c r="AO645" s="299"/>
      <c r="CI645" s="294"/>
      <c r="CJ645" s="294"/>
    </row>
    <row r="646" spans="2:88" ht="13">
      <c r="B646" s="294"/>
      <c r="F646" s="296"/>
      <c r="J646" s="302"/>
      <c r="T646" s="295"/>
      <c r="AA646" s="295"/>
      <c r="AH646" s="295"/>
      <c r="AI646" s="188"/>
      <c r="AJ646" s="188"/>
      <c r="AK646" s="188"/>
      <c r="AL646" s="188"/>
      <c r="AM646" s="188"/>
      <c r="AN646" s="188"/>
      <c r="AO646" s="299"/>
      <c r="CI646" s="294"/>
      <c r="CJ646" s="294"/>
    </row>
    <row r="647" spans="2:88" ht="13">
      <c r="B647" s="294"/>
      <c r="F647" s="296"/>
      <c r="J647" s="302"/>
      <c r="T647" s="295"/>
      <c r="AA647" s="295"/>
      <c r="AH647" s="295"/>
      <c r="AI647" s="188"/>
      <c r="AJ647" s="188"/>
      <c r="AK647" s="188"/>
      <c r="AL647" s="188"/>
      <c r="AM647" s="188"/>
      <c r="AN647" s="188"/>
      <c r="AO647" s="299"/>
      <c r="CI647" s="294"/>
      <c r="CJ647" s="294"/>
    </row>
    <row r="648" spans="2:88" ht="13">
      <c r="B648" s="294"/>
      <c r="F648" s="296"/>
      <c r="J648" s="302"/>
      <c r="T648" s="295"/>
      <c r="AA648" s="295"/>
      <c r="AH648" s="295"/>
      <c r="AI648" s="188"/>
      <c r="AJ648" s="188"/>
      <c r="AK648" s="188"/>
      <c r="AL648" s="188"/>
      <c r="AM648" s="188"/>
      <c r="AN648" s="188"/>
      <c r="AO648" s="299"/>
      <c r="CI648" s="294"/>
      <c r="CJ648" s="294"/>
    </row>
    <row r="649" spans="2:88" ht="13">
      <c r="B649" s="294"/>
      <c r="F649" s="296"/>
      <c r="J649" s="302"/>
      <c r="T649" s="295"/>
      <c r="AA649" s="295"/>
      <c r="AH649" s="295"/>
      <c r="AI649" s="188"/>
      <c r="AJ649" s="188"/>
      <c r="AK649" s="188"/>
      <c r="AL649" s="188"/>
      <c r="AM649" s="188"/>
      <c r="AN649" s="188"/>
      <c r="AO649" s="299"/>
      <c r="CI649" s="294"/>
      <c r="CJ649" s="294"/>
    </row>
    <row r="650" spans="2:88" ht="13">
      <c r="B650" s="294"/>
      <c r="F650" s="296"/>
      <c r="J650" s="302"/>
      <c r="T650" s="295"/>
      <c r="AA650" s="295"/>
      <c r="AH650" s="295"/>
      <c r="AI650" s="188"/>
      <c r="AJ650" s="188"/>
      <c r="AK650" s="188"/>
      <c r="AL650" s="188"/>
      <c r="AM650" s="188"/>
      <c r="AN650" s="188"/>
      <c r="AO650" s="299"/>
      <c r="CI650" s="294"/>
      <c r="CJ650" s="294"/>
    </row>
    <row r="651" spans="2:88" ht="13">
      <c r="B651" s="294"/>
      <c r="F651" s="296"/>
      <c r="J651" s="302"/>
      <c r="T651" s="295"/>
      <c r="AA651" s="295"/>
      <c r="AH651" s="295"/>
      <c r="AI651" s="188"/>
      <c r="AJ651" s="188"/>
      <c r="AK651" s="188"/>
      <c r="AL651" s="188"/>
      <c r="AM651" s="188"/>
      <c r="AN651" s="188"/>
      <c r="AO651" s="299"/>
      <c r="CI651" s="294"/>
      <c r="CJ651" s="294"/>
    </row>
    <row r="652" spans="2:88" ht="13">
      <c r="B652" s="294"/>
      <c r="F652" s="296"/>
      <c r="J652" s="302"/>
      <c r="T652" s="295"/>
      <c r="AA652" s="295"/>
      <c r="AH652" s="295"/>
      <c r="AI652" s="188"/>
      <c r="AJ652" s="188"/>
      <c r="AK652" s="188"/>
      <c r="AL652" s="188"/>
      <c r="AM652" s="188"/>
      <c r="AN652" s="188"/>
      <c r="AO652" s="299"/>
      <c r="CI652" s="294"/>
      <c r="CJ652" s="294"/>
    </row>
    <row r="653" spans="2:88" ht="13">
      <c r="B653" s="294"/>
      <c r="F653" s="296"/>
      <c r="J653" s="302"/>
      <c r="T653" s="295"/>
      <c r="AA653" s="295"/>
      <c r="AH653" s="295"/>
      <c r="AI653" s="188"/>
      <c r="AJ653" s="188"/>
      <c r="AK653" s="188"/>
      <c r="AL653" s="188"/>
      <c r="AM653" s="188"/>
      <c r="AN653" s="188"/>
      <c r="AO653" s="299"/>
      <c r="CI653" s="294"/>
      <c r="CJ653" s="294"/>
    </row>
    <row r="654" spans="2:88" ht="13">
      <c r="B654" s="294"/>
      <c r="F654" s="296"/>
      <c r="J654" s="302"/>
      <c r="T654" s="295"/>
      <c r="AA654" s="295"/>
      <c r="AH654" s="295"/>
      <c r="AI654" s="188"/>
      <c r="AJ654" s="188"/>
      <c r="AK654" s="188"/>
      <c r="AL654" s="188"/>
      <c r="AM654" s="188"/>
      <c r="AN654" s="188"/>
      <c r="AO654" s="299"/>
      <c r="CI654" s="294"/>
      <c r="CJ654" s="294"/>
    </row>
    <row r="655" spans="2:88" ht="13">
      <c r="B655" s="294"/>
      <c r="F655" s="296"/>
      <c r="J655" s="302"/>
      <c r="T655" s="295"/>
      <c r="AA655" s="295"/>
      <c r="AH655" s="295"/>
      <c r="AI655" s="188"/>
      <c r="AJ655" s="188"/>
      <c r="AK655" s="188"/>
      <c r="AL655" s="188"/>
      <c r="AM655" s="188"/>
      <c r="AN655" s="188"/>
      <c r="AO655" s="299"/>
      <c r="CI655" s="294"/>
      <c r="CJ655" s="294"/>
    </row>
    <row r="656" spans="2:88" ht="13">
      <c r="B656" s="294"/>
      <c r="F656" s="296"/>
      <c r="J656" s="302"/>
      <c r="T656" s="295"/>
      <c r="AA656" s="295"/>
      <c r="AH656" s="295"/>
      <c r="AI656" s="188"/>
      <c r="AJ656" s="188"/>
      <c r="AK656" s="188"/>
      <c r="AL656" s="188"/>
      <c r="AM656" s="188"/>
      <c r="AN656" s="188"/>
      <c r="AO656" s="299"/>
      <c r="CI656" s="294"/>
      <c r="CJ656" s="294"/>
    </row>
    <row r="657" spans="2:88" ht="13">
      <c r="B657" s="294"/>
      <c r="F657" s="296"/>
      <c r="J657" s="302"/>
      <c r="T657" s="295"/>
      <c r="AA657" s="295"/>
      <c r="AH657" s="295"/>
      <c r="AI657" s="188"/>
      <c r="AJ657" s="188"/>
      <c r="AK657" s="188"/>
      <c r="AL657" s="188"/>
      <c r="AM657" s="188"/>
      <c r="AN657" s="188"/>
      <c r="AO657" s="299"/>
      <c r="CI657" s="294"/>
      <c r="CJ657" s="294"/>
    </row>
    <row r="658" spans="2:88" ht="13">
      <c r="B658" s="294"/>
      <c r="F658" s="296"/>
      <c r="J658" s="302"/>
      <c r="T658" s="295"/>
      <c r="AA658" s="295"/>
      <c r="AH658" s="295"/>
      <c r="AI658" s="188"/>
      <c r="AJ658" s="188"/>
      <c r="AK658" s="188"/>
      <c r="AL658" s="188"/>
      <c r="AM658" s="188"/>
      <c r="AN658" s="188"/>
      <c r="AO658" s="299"/>
      <c r="CI658" s="294"/>
      <c r="CJ658" s="294"/>
    </row>
    <row r="659" spans="2:88" ht="13">
      <c r="B659" s="294"/>
      <c r="F659" s="296"/>
      <c r="J659" s="302"/>
      <c r="T659" s="295"/>
      <c r="AA659" s="295"/>
      <c r="AH659" s="295"/>
      <c r="AI659" s="188"/>
      <c r="AJ659" s="188"/>
      <c r="AK659" s="188"/>
      <c r="AL659" s="188"/>
      <c r="AM659" s="188"/>
      <c r="AN659" s="188"/>
      <c r="AO659" s="299"/>
      <c r="CI659" s="294"/>
      <c r="CJ659" s="294"/>
    </row>
    <row r="660" spans="2:88" ht="13">
      <c r="B660" s="294"/>
      <c r="F660" s="296"/>
      <c r="J660" s="302"/>
      <c r="T660" s="295"/>
      <c r="AA660" s="295"/>
      <c r="AH660" s="295"/>
      <c r="AI660" s="188"/>
      <c r="AJ660" s="188"/>
      <c r="AK660" s="188"/>
      <c r="AL660" s="188"/>
      <c r="AM660" s="188"/>
      <c r="AN660" s="188"/>
      <c r="AO660" s="299"/>
      <c r="CI660" s="294"/>
      <c r="CJ660" s="294"/>
    </row>
    <row r="661" spans="2:88" ht="13">
      <c r="B661" s="294"/>
      <c r="F661" s="296"/>
      <c r="J661" s="302"/>
      <c r="T661" s="295"/>
      <c r="AA661" s="295"/>
      <c r="AH661" s="295"/>
      <c r="AI661" s="188"/>
      <c r="AJ661" s="188"/>
      <c r="AK661" s="188"/>
      <c r="AL661" s="188"/>
      <c r="AM661" s="188"/>
      <c r="AN661" s="188"/>
      <c r="AO661" s="299"/>
      <c r="CI661" s="294"/>
      <c r="CJ661" s="294"/>
    </row>
    <row r="662" spans="2:88" ht="13">
      <c r="B662" s="294"/>
      <c r="F662" s="296"/>
      <c r="J662" s="302"/>
      <c r="T662" s="295"/>
      <c r="AA662" s="295"/>
      <c r="AH662" s="295"/>
      <c r="AI662" s="188"/>
      <c r="AJ662" s="188"/>
      <c r="AK662" s="188"/>
      <c r="AL662" s="188"/>
      <c r="AM662" s="188"/>
      <c r="AN662" s="188"/>
      <c r="AO662" s="299"/>
      <c r="CI662" s="294"/>
      <c r="CJ662" s="294"/>
    </row>
    <row r="663" spans="2:88" ht="13">
      <c r="B663" s="294"/>
      <c r="F663" s="296"/>
      <c r="J663" s="302"/>
      <c r="T663" s="295"/>
      <c r="AA663" s="295"/>
      <c r="AH663" s="295"/>
      <c r="AI663" s="188"/>
      <c r="AJ663" s="188"/>
      <c r="AK663" s="188"/>
      <c r="AL663" s="188"/>
      <c r="AM663" s="188"/>
      <c r="AN663" s="188"/>
      <c r="AO663" s="299"/>
      <c r="CI663" s="294"/>
      <c r="CJ663" s="294"/>
    </row>
    <row r="664" spans="2:88" ht="13">
      <c r="B664" s="294"/>
      <c r="F664" s="296"/>
      <c r="J664" s="302"/>
      <c r="T664" s="295"/>
      <c r="AA664" s="295"/>
      <c r="AH664" s="295"/>
      <c r="AI664" s="188"/>
      <c r="AJ664" s="188"/>
      <c r="AK664" s="188"/>
      <c r="AL664" s="188"/>
      <c r="AM664" s="188"/>
      <c r="AN664" s="188"/>
      <c r="AO664" s="299"/>
      <c r="CI664" s="294"/>
      <c r="CJ664" s="294"/>
    </row>
    <row r="665" spans="2:88" ht="13">
      <c r="B665" s="294"/>
      <c r="F665" s="296"/>
      <c r="J665" s="302"/>
      <c r="T665" s="295"/>
      <c r="AA665" s="295"/>
      <c r="AH665" s="295"/>
      <c r="AI665" s="188"/>
      <c r="AJ665" s="188"/>
      <c r="AK665" s="188"/>
      <c r="AL665" s="188"/>
      <c r="AM665" s="188"/>
      <c r="AN665" s="188"/>
      <c r="AO665" s="299"/>
      <c r="CI665" s="294"/>
      <c r="CJ665" s="294"/>
    </row>
    <row r="666" spans="2:88" ht="13">
      <c r="B666" s="294"/>
      <c r="F666" s="296"/>
      <c r="J666" s="302"/>
      <c r="T666" s="295"/>
      <c r="AA666" s="295"/>
      <c r="AH666" s="295"/>
      <c r="AI666" s="188"/>
      <c r="AJ666" s="188"/>
      <c r="AK666" s="188"/>
      <c r="AL666" s="188"/>
      <c r="AM666" s="188"/>
      <c r="AN666" s="188"/>
      <c r="AO666" s="299"/>
      <c r="CI666" s="294"/>
      <c r="CJ666" s="294"/>
    </row>
    <row r="667" spans="2:88" ht="13">
      <c r="B667" s="294"/>
      <c r="F667" s="296"/>
      <c r="J667" s="302"/>
      <c r="T667" s="295"/>
      <c r="AA667" s="295"/>
      <c r="AH667" s="295"/>
      <c r="AI667" s="188"/>
      <c r="AJ667" s="188"/>
      <c r="AK667" s="188"/>
      <c r="AL667" s="188"/>
      <c r="AM667" s="188"/>
      <c r="AN667" s="188"/>
      <c r="AO667" s="299"/>
      <c r="CI667" s="294"/>
      <c r="CJ667" s="294"/>
    </row>
    <row r="668" spans="2:88" ht="13">
      <c r="B668" s="294"/>
      <c r="F668" s="296"/>
      <c r="J668" s="302"/>
      <c r="T668" s="295"/>
      <c r="AA668" s="295"/>
      <c r="AH668" s="295"/>
      <c r="AI668" s="188"/>
      <c r="AJ668" s="188"/>
      <c r="AK668" s="188"/>
      <c r="AL668" s="188"/>
      <c r="AM668" s="188"/>
      <c r="AN668" s="188"/>
      <c r="AO668" s="299"/>
      <c r="CI668" s="294"/>
      <c r="CJ668" s="294"/>
    </row>
    <row r="669" spans="2:88" ht="13">
      <c r="B669" s="294"/>
      <c r="F669" s="296"/>
      <c r="J669" s="302"/>
      <c r="T669" s="295"/>
      <c r="AA669" s="295"/>
      <c r="AH669" s="295"/>
      <c r="AI669" s="188"/>
      <c r="AJ669" s="188"/>
      <c r="AK669" s="188"/>
      <c r="AL669" s="188"/>
      <c r="AM669" s="188"/>
      <c r="AN669" s="188"/>
      <c r="AO669" s="299"/>
      <c r="CI669" s="294"/>
      <c r="CJ669" s="294"/>
    </row>
    <row r="670" spans="2:88" ht="13">
      <c r="B670" s="294"/>
      <c r="F670" s="296"/>
      <c r="J670" s="302"/>
      <c r="T670" s="295"/>
      <c r="AA670" s="295"/>
      <c r="AH670" s="295"/>
      <c r="AI670" s="188"/>
      <c r="AJ670" s="188"/>
      <c r="AK670" s="188"/>
      <c r="AL670" s="188"/>
      <c r="AM670" s="188"/>
      <c r="AN670" s="188"/>
      <c r="AO670" s="299"/>
      <c r="CI670" s="294"/>
      <c r="CJ670" s="294"/>
    </row>
    <row r="671" spans="2:88" ht="13">
      <c r="B671" s="294"/>
      <c r="F671" s="296"/>
      <c r="J671" s="302"/>
      <c r="T671" s="295"/>
      <c r="AA671" s="295"/>
      <c r="AH671" s="295"/>
      <c r="AI671" s="188"/>
      <c r="AJ671" s="188"/>
      <c r="AK671" s="188"/>
      <c r="AL671" s="188"/>
      <c r="AM671" s="188"/>
      <c r="AN671" s="188"/>
      <c r="AO671" s="299"/>
      <c r="CI671" s="294"/>
      <c r="CJ671" s="294"/>
    </row>
    <row r="672" spans="2:88" ht="13">
      <c r="B672" s="294"/>
      <c r="F672" s="296"/>
      <c r="J672" s="302"/>
      <c r="T672" s="295"/>
      <c r="AA672" s="295"/>
      <c r="AH672" s="295"/>
      <c r="AI672" s="188"/>
      <c r="AJ672" s="188"/>
      <c r="AK672" s="188"/>
      <c r="AL672" s="188"/>
      <c r="AM672" s="188"/>
      <c r="AN672" s="188"/>
      <c r="AO672" s="299"/>
      <c r="CI672" s="294"/>
      <c r="CJ672" s="294"/>
    </row>
    <row r="673" spans="2:88" ht="13">
      <c r="B673" s="294"/>
      <c r="F673" s="296"/>
      <c r="J673" s="302"/>
      <c r="T673" s="295"/>
      <c r="AA673" s="295"/>
      <c r="AH673" s="295"/>
      <c r="AI673" s="188"/>
      <c r="AJ673" s="188"/>
      <c r="AK673" s="188"/>
      <c r="AL673" s="188"/>
      <c r="AM673" s="188"/>
      <c r="AN673" s="188"/>
      <c r="AO673" s="299"/>
      <c r="CI673" s="294"/>
      <c r="CJ673" s="294"/>
    </row>
    <row r="674" spans="2:88" ht="13">
      <c r="B674" s="294"/>
      <c r="F674" s="296"/>
      <c r="J674" s="302"/>
      <c r="T674" s="295"/>
      <c r="AA674" s="295"/>
      <c r="AH674" s="295"/>
      <c r="AI674" s="188"/>
      <c r="AJ674" s="188"/>
      <c r="AK674" s="188"/>
      <c r="AL674" s="188"/>
      <c r="AM674" s="188"/>
      <c r="AN674" s="188"/>
      <c r="AO674" s="299"/>
      <c r="CI674" s="294"/>
      <c r="CJ674" s="294"/>
    </row>
    <row r="675" spans="2:88" ht="13">
      <c r="B675" s="294"/>
      <c r="F675" s="296"/>
      <c r="J675" s="302"/>
      <c r="T675" s="295"/>
      <c r="AA675" s="295"/>
      <c r="AH675" s="295"/>
      <c r="AI675" s="188"/>
      <c r="AJ675" s="188"/>
      <c r="AK675" s="188"/>
      <c r="AL675" s="188"/>
      <c r="AM675" s="188"/>
      <c r="AN675" s="188"/>
      <c r="AO675" s="299"/>
      <c r="CI675" s="294"/>
      <c r="CJ675" s="294"/>
    </row>
    <row r="676" spans="2:88" ht="13">
      <c r="B676" s="294"/>
      <c r="F676" s="296"/>
      <c r="J676" s="302"/>
      <c r="T676" s="295"/>
      <c r="AA676" s="295"/>
      <c r="AH676" s="295"/>
      <c r="AI676" s="188"/>
      <c r="AJ676" s="188"/>
      <c r="AK676" s="188"/>
      <c r="AL676" s="188"/>
      <c r="AM676" s="188"/>
      <c r="AN676" s="188"/>
      <c r="AO676" s="299"/>
      <c r="CI676" s="294"/>
      <c r="CJ676" s="294"/>
    </row>
    <row r="677" spans="2:88" ht="13">
      <c r="B677" s="294"/>
      <c r="F677" s="296"/>
      <c r="J677" s="302"/>
      <c r="T677" s="295"/>
      <c r="AA677" s="295"/>
      <c r="AH677" s="295"/>
      <c r="AI677" s="188"/>
      <c r="AJ677" s="188"/>
      <c r="AK677" s="188"/>
      <c r="AL677" s="188"/>
      <c r="AM677" s="188"/>
      <c r="AN677" s="188"/>
      <c r="AO677" s="299"/>
      <c r="CI677" s="294"/>
      <c r="CJ677" s="294"/>
    </row>
    <row r="678" spans="2:88" ht="13">
      <c r="B678" s="294"/>
      <c r="F678" s="296"/>
      <c r="J678" s="302"/>
      <c r="T678" s="295"/>
      <c r="AA678" s="295"/>
      <c r="AH678" s="295"/>
      <c r="AI678" s="188"/>
      <c r="AJ678" s="188"/>
      <c r="AK678" s="188"/>
      <c r="AL678" s="188"/>
      <c r="AM678" s="188"/>
      <c r="AN678" s="188"/>
      <c r="AO678" s="299"/>
      <c r="CI678" s="294"/>
      <c r="CJ678" s="294"/>
    </row>
    <row r="679" spans="2:88" ht="13">
      <c r="B679" s="294"/>
      <c r="F679" s="296"/>
      <c r="J679" s="302"/>
      <c r="T679" s="295"/>
      <c r="AA679" s="295"/>
      <c r="AH679" s="295"/>
      <c r="AI679" s="188"/>
      <c r="AJ679" s="188"/>
      <c r="AK679" s="188"/>
      <c r="AL679" s="188"/>
      <c r="AM679" s="188"/>
      <c r="AN679" s="188"/>
      <c r="AO679" s="299"/>
      <c r="CI679" s="294"/>
      <c r="CJ679" s="294"/>
    </row>
    <row r="680" spans="2:88" ht="13">
      <c r="B680" s="294"/>
      <c r="F680" s="296"/>
      <c r="J680" s="302"/>
      <c r="T680" s="295"/>
      <c r="AA680" s="295"/>
      <c r="AH680" s="295"/>
      <c r="AI680" s="188"/>
      <c r="AJ680" s="188"/>
      <c r="AK680" s="188"/>
      <c r="AL680" s="188"/>
      <c r="AM680" s="188"/>
      <c r="AN680" s="188"/>
      <c r="AO680" s="299"/>
      <c r="CI680" s="294"/>
      <c r="CJ680" s="294"/>
    </row>
    <row r="681" spans="2:88" ht="13">
      <c r="B681" s="294"/>
      <c r="F681" s="296"/>
      <c r="J681" s="302"/>
      <c r="T681" s="295"/>
      <c r="AA681" s="295"/>
      <c r="AH681" s="295"/>
      <c r="AI681" s="188"/>
      <c r="AJ681" s="188"/>
      <c r="AK681" s="188"/>
      <c r="AL681" s="188"/>
      <c r="AM681" s="188"/>
      <c r="AN681" s="188"/>
      <c r="AO681" s="299"/>
      <c r="CI681" s="294"/>
      <c r="CJ681" s="294"/>
    </row>
    <row r="682" spans="2:88" ht="13">
      <c r="B682" s="294"/>
      <c r="F682" s="296"/>
      <c r="J682" s="302"/>
      <c r="T682" s="295"/>
      <c r="AA682" s="295"/>
      <c r="AH682" s="295"/>
      <c r="AI682" s="188"/>
      <c r="AJ682" s="188"/>
      <c r="AK682" s="188"/>
      <c r="AL682" s="188"/>
      <c r="AM682" s="188"/>
      <c r="AN682" s="188"/>
      <c r="AO682" s="299"/>
      <c r="CI682" s="294"/>
      <c r="CJ682" s="294"/>
    </row>
    <row r="683" spans="2:88" ht="13">
      <c r="B683" s="294"/>
      <c r="F683" s="296"/>
      <c r="J683" s="302"/>
      <c r="T683" s="295"/>
      <c r="AA683" s="295"/>
      <c r="AH683" s="295"/>
      <c r="AI683" s="188"/>
      <c r="AJ683" s="188"/>
      <c r="AK683" s="188"/>
      <c r="AL683" s="188"/>
      <c r="AM683" s="188"/>
      <c r="AN683" s="188"/>
      <c r="AO683" s="299"/>
      <c r="CI683" s="294"/>
      <c r="CJ683" s="294"/>
    </row>
    <row r="684" spans="2:88" ht="13">
      <c r="B684" s="294"/>
      <c r="F684" s="296"/>
      <c r="J684" s="302"/>
      <c r="T684" s="295"/>
      <c r="AA684" s="295"/>
      <c r="AH684" s="295"/>
      <c r="AI684" s="188"/>
      <c r="AJ684" s="188"/>
      <c r="AK684" s="188"/>
      <c r="AL684" s="188"/>
      <c r="AM684" s="188"/>
      <c r="AN684" s="188"/>
      <c r="AO684" s="299"/>
      <c r="CI684" s="294"/>
      <c r="CJ684" s="294"/>
    </row>
    <row r="685" spans="2:88" ht="13">
      <c r="B685" s="294"/>
      <c r="F685" s="296"/>
      <c r="J685" s="302"/>
      <c r="T685" s="295"/>
      <c r="AA685" s="295"/>
      <c r="AH685" s="295"/>
      <c r="AI685" s="188"/>
      <c r="AJ685" s="188"/>
      <c r="AK685" s="188"/>
      <c r="AL685" s="188"/>
      <c r="AM685" s="188"/>
      <c r="AN685" s="188"/>
      <c r="AO685" s="299"/>
      <c r="CI685" s="294"/>
      <c r="CJ685" s="294"/>
    </row>
    <row r="686" spans="2:88" ht="13">
      <c r="B686" s="294"/>
      <c r="F686" s="296"/>
      <c r="J686" s="302"/>
      <c r="T686" s="295"/>
      <c r="AA686" s="295"/>
      <c r="AH686" s="295"/>
      <c r="AI686" s="188"/>
      <c r="AJ686" s="188"/>
      <c r="AK686" s="188"/>
      <c r="AL686" s="188"/>
      <c r="AM686" s="188"/>
      <c r="AN686" s="188"/>
      <c r="AO686" s="299"/>
      <c r="CI686" s="294"/>
      <c r="CJ686" s="294"/>
    </row>
    <row r="687" spans="2:88" ht="13">
      <c r="B687" s="294"/>
      <c r="F687" s="296"/>
      <c r="J687" s="302"/>
      <c r="T687" s="295"/>
      <c r="AA687" s="295"/>
      <c r="AH687" s="295"/>
      <c r="AI687" s="188"/>
      <c r="AJ687" s="188"/>
      <c r="AK687" s="188"/>
      <c r="AL687" s="188"/>
      <c r="AM687" s="188"/>
      <c r="AN687" s="188"/>
      <c r="AO687" s="299"/>
      <c r="CI687" s="294"/>
      <c r="CJ687" s="294"/>
    </row>
    <row r="688" spans="2:88" ht="13">
      <c r="B688" s="294"/>
      <c r="F688" s="296"/>
      <c r="J688" s="302"/>
      <c r="T688" s="295"/>
      <c r="AA688" s="295"/>
      <c r="AH688" s="295"/>
      <c r="AI688" s="188"/>
      <c r="AJ688" s="188"/>
      <c r="AK688" s="188"/>
      <c r="AL688" s="188"/>
      <c r="AM688" s="188"/>
      <c r="AN688" s="188"/>
      <c r="AO688" s="299"/>
      <c r="CI688" s="294"/>
      <c r="CJ688" s="294"/>
    </row>
    <row r="689" spans="2:88" ht="13">
      <c r="B689" s="294"/>
      <c r="F689" s="296"/>
      <c r="J689" s="302"/>
      <c r="T689" s="295"/>
      <c r="AA689" s="295"/>
      <c r="AH689" s="295"/>
      <c r="AI689" s="188"/>
      <c r="AJ689" s="188"/>
      <c r="AK689" s="188"/>
      <c r="AL689" s="188"/>
      <c r="AM689" s="188"/>
      <c r="AN689" s="188"/>
      <c r="AO689" s="299"/>
      <c r="CI689" s="294"/>
      <c r="CJ689" s="294"/>
    </row>
    <row r="690" spans="2:88" ht="13">
      <c r="B690" s="294"/>
      <c r="F690" s="296"/>
      <c r="J690" s="302"/>
      <c r="T690" s="295"/>
      <c r="AA690" s="295"/>
      <c r="AH690" s="295"/>
      <c r="AI690" s="188"/>
      <c r="AJ690" s="188"/>
      <c r="AK690" s="188"/>
      <c r="AL690" s="188"/>
      <c r="AM690" s="188"/>
      <c r="AN690" s="188"/>
      <c r="AO690" s="299"/>
      <c r="CI690" s="294"/>
      <c r="CJ690" s="294"/>
    </row>
    <row r="691" spans="2:88" ht="13">
      <c r="B691" s="294"/>
      <c r="F691" s="296"/>
      <c r="J691" s="302"/>
      <c r="T691" s="295"/>
      <c r="AA691" s="295"/>
      <c r="AH691" s="295"/>
      <c r="AI691" s="188"/>
      <c r="AJ691" s="188"/>
      <c r="AK691" s="188"/>
      <c r="AL691" s="188"/>
      <c r="AM691" s="188"/>
      <c r="AN691" s="188"/>
      <c r="AO691" s="299"/>
      <c r="CI691" s="294"/>
      <c r="CJ691" s="294"/>
    </row>
    <row r="692" spans="2:88" ht="13">
      <c r="B692" s="294"/>
      <c r="F692" s="296"/>
      <c r="J692" s="302"/>
      <c r="T692" s="295"/>
      <c r="AA692" s="295"/>
      <c r="AH692" s="295"/>
      <c r="AI692" s="188"/>
      <c r="AJ692" s="188"/>
      <c r="AK692" s="188"/>
      <c r="AL692" s="188"/>
      <c r="AM692" s="188"/>
      <c r="AN692" s="188"/>
      <c r="AO692" s="299"/>
      <c r="CI692" s="294"/>
      <c r="CJ692" s="294"/>
    </row>
    <row r="693" spans="2:88" ht="13">
      <c r="B693" s="294"/>
      <c r="F693" s="296"/>
      <c r="J693" s="302"/>
      <c r="T693" s="295"/>
      <c r="AA693" s="295"/>
      <c r="AH693" s="295"/>
      <c r="AI693" s="188"/>
      <c r="AJ693" s="188"/>
      <c r="AK693" s="188"/>
      <c r="AL693" s="188"/>
      <c r="AM693" s="188"/>
      <c r="AN693" s="188"/>
      <c r="AO693" s="299"/>
      <c r="CI693" s="294"/>
      <c r="CJ693" s="294"/>
    </row>
    <row r="694" spans="2:88" ht="13">
      <c r="B694" s="294"/>
      <c r="F694" s="296"/>
      <c r="J694" s="302"/>
      <c r="T694" s="295"/>
      <c r="AA694" s="295"/>
      <c r="AH694" s="295"/>
      <c r="AI694" s="188"/>
      <c r="AJ694" s="188"/>
      <c r="AK694" s="188"/>
      <c r="AL694" s="188"/>
      <c r="AM694" s="188"/>
      <c r="AN694" s="188"/>
      <c r="AO694" s="299"/>
      <c r="CI694" s="294"/>
      <c r="CJ694" s="294"/>
    </row>
    <row r="695" spans="2:88" ht="13">
      <c r="B695" s="294"/>
      <c r="F695" s="296"/>
      <c r="J695" s="302"/>
      <c r="T695" s="295"/>
      <c r="AA695" s="295"/>
      <c r="AH695" s="295"/>
      <c r="AI695" s="188"/>
      <c r="AJ695" s="188"/>
      <c r="AK695" s="188"/>
      <c r="AL695" s="188"/>
      <c r="AM695" s="188"/>
      <c r="AN695" s="188"/>
      <c r="AO695" s="299"/>
      <c r="CI695" s="294"/>
      <c r="CJ695" s="294"/>
    </row>
    <row r="696" spans="2:88" ht="13">
      <c r="B696" s="294"/>
      <c r="F696" s="296"/>
      <c r="J696" s="302"/>
      <c r="T696" s="295"/>
      <c r="AA696" s="295"/>
      <c r="AH696" s="295"/>
      <c r="AI696" s="188"/>
      <c r="AJ696" s="188"/>
      <c r="AK696" s="188"/>
      <c r="AL696" s="188"/>
      <c r="AM696" s="188"/>
      <c r="AN696" s="188"/>
      <c r="AO696" s="299"/>
      <c r="CI696" s="294"/>
      <c r="CJ696" s="294"/>
    </row>
    <row r="697" spans="2:88" ht="13">
      <c r="B697" s="294"/>
      <c r="F697" s="296"/>
      <c r="J697" s="302"/>
      <c r="T697" s="295"/>
      <c r="AA697" s="295"/>
      <c r="AH697" s="295"/>
      <c r="AI697" s="188"/>
      <c r="AJ697" s="188"/>
      <c r="AK697" s="188"/>
      <c r="AL697" s="188"/>
      <c r="AM697" s="188"/>
      <c r="AN697" s="188"/>
      <c r="AO697" s="299"/>
      <c r="CI697" s="294"/>
      <c r="CJ697" s="294"/>
    </row>
    <row r="698" spans="2:88" ht="13">
      <c r="B698" s="294"/>
      <c r="F698" s="296"/>
      <c r="J698" s="302"/>
      <c r="T698" s="295"/>
      <c r="AA698" s="295"/>
      <c r="AH698" s="295"/>
      <c r="AI698" s="188"/>
      <c r="AJ698" s="188"/>
      <c r="AK698" s="188"/>
      <c r="AL698" s="188"/>
      <c r="AM698" s="188"/>
      <c r="AN698" s="188"/>
      <c r="AO698" s="299"/>
      <c r="CI698" s="294"/>
      <c r="CJ698" s="294"/>
    </row>
    <row r="699" spans="2:88" ht="13">
      <c r="B699" s="294"/>
      <c r="F699" s="296"/>
      <c r="J699" s="302"/>
      <c r="T699" s="295"/>
      <c r="AA699" s="295"/>
      <c r="AH699" s="295"/>
      <c r="AI699" s="188"/>
      <c r="AJ699" s="188"/>
      <c r="AK699" s="188"/>
      <c r="AL699" s="188"/>
      <c r="AM699" s="188"/>
      <c r="AN699" s="188"/>
      <c r="AO699" s="299"/>
      <c r="CI699" s="294"/>
      <c r="CJ699" s="294"/>
    </row>
    <row r="700" spans="2:88" ht="13">
      <c r="B700" s="294"/>
      <c r="F700" s="296"/>
      <c r="J700" s="302"/>
      <c r="T700" s="295"/>
      <c r="AA700" s="295"/>
      <c r="AH700" s="295"/>
      <c r="AI700" s="188"/>
      <c r="AJ700" s="188"/>
      <c r="AK700" s="188"/>
      <c r="AL700" s="188"/>
      <c r="AM700" s="188"/>
      <c r="AN700" s="188"/>
      <c r="AO700" s="299"/>
      <c r="CI700" s="294"/>
      <c r="CJ700" s="294"/>
    </row>
    <row r="701" spans="2:88" ht="13">
      <c r="B701" s="294"/>
      <c r="F701" s="296"/>
      <c r="J701" s="302"/>
      <c r="T701" s="295"/>
      <c r="AA701" s="295"/>
      <c r="AH701" s="295"/>
      <c r="AI701" s="188"/>
      <c r="AJ701" s="188"/>
      <c r="AK701" s="188"/>
      <c r="AL701" s="188"/>
      <c r="AM701" s="188"/>
      <c r="AN701" s="188"/>
      <c r="AO701" s="299"/>
      <c r="CI701" s="294"/>
      <c r="CJ701" s="294"/>
    </row>
    <row r="702" spans="2:88" ht="13">
      <c r="B702" s="294"/>
      <c r="F702" s="296"/>
      <c r="J702" s="302"/>
      <c r="T702" s="295"/>
      <c r="AA702" s="295"/>
      <c r="AH702" s="295"/>
      <c r="AI702" s="188"/>
      <c r="AJ702" s="188"/>
      <c r="AK702" s="188"/>
      <c r="AL702" s="188"/>
      <c r="AM702" s="188"/>
      <c r="AN702" s="188"/>
      <c r="AO702" s="299"/>
      <c r="CI702" s="294"/>
      <c r="CJ702" s="294"/>
    </row>
    <row r="703" spans="2:88" ht="13">
      <c r="B703" s="294"/>
      <c r="F703" s="296"/>
      <c r="J703" s="302"/>
      <c r="T703" s="295"/>
      <c r="AA703" s="295"/>
      <c r="AH703" s="295"/>
      <c r="AI703" s="188"/>
      <c r="AJ703" s="188"/>
      <c r="AK703" s="188"/>
      <c r="AL703" s="188"/>
      <c r="AM703" s="188"/>
      <c r="AN703" s="188"/>
      <c r="AO703" s="299"/>
      <c r="CI703" s="294"/>
      <c r="CJ703" s="294"/>
    </row>
    <row r="704" spans="2:88" ht="13">
      <c r="B704" s="294"/>
      <c r="F704" s="296"/>
      <c r="J704" s="302"/>
      <c r="T704" s="295"/>
      <c r="AA704" s="295"/>
      <c r="AH704" s="295"/>
      <c r="AI704" s="188"/>
      <c r="AJ704" s="188"/>
      <c r="AK704" s="188"/>
      <c r="AL704" s="188"/>
      <c r="AM704" s="188"/>
      <c r="AN704" s="188"/>
      <c r="AO704" s="299"/>
      <c r="CI704" s="294"/>
      <c r="CJ704" s="294"/>
    </row>
    <row r="705" spans="2:88" ht="13">
      <c r="B705" s="294"/>
      <c r="F705" s="296"/>
      <c r="J705" s="302"/>
      <c r="T705" s="295"/>
      <c r="AA705" s="295"/>
      <c r="AH705" s="295"/>
      <c r="AI705" s="188"/>
      <c r="AJ705" s="188"/>
      <c r="AK705" s="188"/>
      <c r="AL705" s="188"/>
      <c r="AM705" s="188"/>
      <c r="AN705" s="188"/>
      <c r="AO705" s="299"/>
      <c r="CI705" s="294"/>
      <c r="CJ705" s="294"/>
    </row>
    <row r="706" spans="2:88" ht="13">
      <c r="B706" s="294"/>
      <c r="F706" s="296"/>
      <c r="J706" s="302"/>
      <c r="T706" s="295"/>
      <c r="AA706" s="295"/>
      <c r="AH706" s="295"/>
      <c r="AI706" s="188"/>
      <c r="AJ706" s="188"/>
      <c r="AK706" s="188"/>
      <c r="AL706" s="188"/>
      <c r="AM706" s="188"/>
      <c r="AN706" s="188"/>
      <c r="AO706" s="299"/>
      <c r="CI706" s="294"/>
      <c r="CJ706" s="294"/>
    </row>
    <row r="707" spans="2:88" ht="13">
      <c r="B707" s="294"/>
      <c r="F707" s="296"/>
      <c r="J707" s="302"/>
      <c r="T707" s="295"/>
      <c r="AA707" s="295"/>
      <c r="AH707" s="295"/>
      <c r="AI707" s="188"/>
      <c r="AJ707" s="188"/>
      <c r="AK707" s="188"/>
      <c r="AL707" s="188"/>
      <c r="AM707" s="188"/>
      <c r="AN707" s="188"/>
      <c r="AO707" s="299"/>
      <c r="CI707" s="294"/>
      <c r="CJ707" s="294"/>
    </row>
    <row r="708" spans="2:88" ht="13">
      <c r="B708" s="294"/>
      <c r="F708" s="296"/>
      <c r="J708" s="302"/>
      <c r="T708" s="295"/>
      <c r="AA708" s="295"/>
      <c r="AH708" s="295"/>
      <c r="AI708" s="188"/>
      <c r="AJ708" s="188"/>
      <c r="AK708" s="188"/>
      <c r="AL708" s="188"/>
      <c r="AM708" s="188"/>
      <c r="AN708" s="188"/>
      <c r="AO708" s="299"/>
      <c r="CI708" s="294"/>
      <c r="CJ708" s="294"/>
    </row>
    <row r="709" spans="2:88" ht="13">
      <c r="B709" s="294"/>
      <c r="F709" s="296"/>
      <c r="J709" s="302"/>
      <c r="T709" s="295"/>
      <c r="AA709" s="295"/>
      <c r="AH709" s="295"/>
      <c r="AI709" s="188"/>
      <c r="AJ709" s="188"/>
      <c r="AK709" s="188"/>
      <c r="AL709" s="188"/>
      <c r="AM709" s="188"/>
      <c r="AN709" s="188"/>
      <c r="AO709" s="299"/>
      <c r="CI709" s="294"/>
      <c r="CJ709" s="294"/>
    </row>
    <row r="710" spans="2:88" ht="13">
      <c r="B710" s="294"/>
      <c r="F710" s="296"/>
      <c r="J710" s="302"/>
      <c r="T710" s="295"/>
      <c r="AA710" s="295"/>
      <c r="AH710" s="295"/>
      <c r="AI710" s="188"/>
      <c r="AJ710" s="188"/>
      <c r="AK710" s="188"/>
      <c r="AL710" s="188"/>
      <c r="AM710" s="188"/>
      <c r="AN710" s="188"/>
      <c r="AO710" s="299"/>
      <c r="CI710" s="294"/>
      <c r="CJ710" s="294"/>
    </row>
    <row r="711" spans="2:88" ht="13">
      <c r="B711" s="294"/>
      <c r="F711" s="296"/>
      <c r="J711" s="302"/>
      <c r="T711" s="295"/>
      <c r="AA711" s="295"/>
      <c r="AH711" s="295"/>
      <c r="AI711" s="188"/>
      <c r="AJ711" s="188"/>
      <c r="AK711" s="188"/>
      <c r="AL711" s="188"/>
      <c r="AM711" s="188"/>
      <c r="AN711" s="188"/>
      <c r="AO711" s="299"/>
      <c r="CI711" s="294"/>
      <c r="CJ711" s="294"/>
    </row>
    <row r="712" spans="2:88" ht="13">
      <c r="B712" s="294"/>
      <c r="F712" s="296"/>
      <c r="J712" s="302"/>
      <c r="T712" s="295"/>
      <c r="AA712" s="295"/>
      <c r="AH712" s="295"/>
      <c r="AI712" s="188"/>
      <c r="AJ712" s="188"/>
      <c r="AK712" s="188"/>
      <c r="AL712" s="188"/>
      <c r="AM712" s="188"/>
      <c r="AN712" s="188"/>
      <c r="AO712" s="299"/>
      <c r="CI712" s="294"/>
      <c r="CJ712" s="294"/>
    </row>
    <row r="713" spans="2:88" ht="13">
      <c r="B713" s="294"/>
      <c r="F713" s="296"/>
      <c r="J713" s="302"/>
      <c r="T713" s="295"/>
      <c r="AA713" s="295"/>
      <c r="AH713" s="295"/>
      <c r="AI713" s="188"/>
      <c r="AJ713" s="188"/>
      <c r="AK713" s="188"/>
      <c r="AL713" s="188"/>
      <c r="AM713" s="188"/>
      <c r="AN713" s="188"/>
      <c r="AO713" s="299"/>
      <c r="CI713" s="294"/>
      <c r="CJ713" s="294"/>
    </row>
    <row r="714" spans="2:88" ht="13">
      <c r="B714" s="294"/>
      <c r="F714" s="296"/>
      <c r="J714" s="302"/>
      <c r="T714" s="295"/>
      <c r="AA714" s="295"/>
      <c r="AH714" s="295"/>
      <c r="AI714" s="188"/>
      <c r="AJ714" s="188"/>
      <c r="AK714" s="188"/>
      <c r="AL714" s="188"/>
      <c r="AM714" s="188"/>
      <c r="AN714" s="188"/>
      <c r="AO714" s="299"/>
      <c r="CI714" s="294"/>
      <c r="CJ714" s="294"/>
    </row>
    <row r="715" spans="2:88" ht="13">
      <c r="B715" s="294"/>
      <c r="F715" s="296"/>
      <c r="J715" s="302"/>
      <c r="T715" s="295"/>
      <c r="AA715" s="295"/>
      <c r="AH715" s="295"/>
      <c r="AI715" s="188"/>
      <c r="AJ715" s="188"/>
      <c r="AK715" s="188"/>
      <c r="AL715" s="188"/>
      <c r="AM715" s="188"/>
      <c r="AN715" s="188"/>
      <c r="AO715" s="299"/>
      <c r="CI715" s="294"/>
      <c r="CJ715" s="294"/>
    </row>
    <row r="716" spans="2:88" ht="13">
      <c r="B716" s="294"/>
      <c r="F716" s="296"/>
      <c r="J716" s="302"/>
      <c r="T716" s="295"/>
      <c r="AA716" s="295"/>
      <c r="AH716" s="295"/>
      <c r="AI716" s="188"/>
      <c r="AJ716" s="188"/>
      <c r="AK716" s="188"/>
      <c r="AL716" s="188"/>
      <c r="AM716" s="188"/>
      <c r="AN716" s="188"/>
      <c r="AO716" s="299"/>
      <c r="CI716" s="294"/>
      <c r="CJ716" s="294"/>
    </row>
    <row r="717" spans="2:88" ht="13">
      <c r="B717" s="294"/>
      <c r="F717" s="296"/>
      <c r="J717" s="302"/>
      <c r="T717" s="295"/>
      <c r="AA717" s="295"/>
      <c r="AH717" s="295"/>
      <c r="AI717" s="188"/>
      <c r="AJ717" s="188"/>
      <c r="AK717" s="188"/>
      <c r="AL717" s="188"/>
      <c r="AM717" s="188"/>
      <c r="AN717" s="188"/>
      <c r="AO717" s="299"/>
      <c r="CI717" s="294"/>
      <c r="CJ717" s="294"/>
    </row>
    <row r="718" spans="2:88" ht="13">
      <c r="B718" s="294"/>
      <c r="F718" s="296"/>
      <c r="J718" s="302"/>
      <c r="T718" s="295"/>
      <c r="AA718" s="295"/>
      <c r="AH718" s="295"/>
      <c r="AI718" s="188"/>
      <c r="AJ718" s="188"/>
      <c r="AK718" s="188"/>
      <c r="AL718" s="188"/>
      <c r="AM718" s="188"/>
      <c r="AN718" s="188"/>
      <c r="AO718" s="299"/>
      <c r="CI718" s="294"/>
      <c r="CJ718" s="294"/>
    </row>
    <row r="719" spans="2:88" ht="13">
      <c r="B719" s="294"/>
      <c r="F719" s="296"/>
      <c r="J719" s="302"/>
      <c r="T719" s="295"/>
      <c r="AA719" s="295"/>
      <c r="AH719" s="295"/>
      <c r="AI719" s="188"/>
      <c r="AJ719" s="188"/>
      <c r="AK719" s="188"/>
      <c r="AL719" s="188"/>
      <c r="AM719" s="188"/>
      <c r="AN719" s="188"/>
      <c r="AO719" s="299"/>
      <c r="CI719" s="294"/>
      <c r="CJ719" s="294"/>
    </row>
    <row r="720" spans="2:88" ht="13">
      <c r="B720" s="294"/>
      <c r="F720" s="296"/>
      <c r="J720" s="302"/>
      <c r="T720" s="295"/>
      <c r="AA720" s="295"/>
      <c r="AH720" s="295"/>
      <c r="AI720" s="188"/>
      <c r="AJ720" s="188"/>
      <c r="AK720" s="188"/>
      <c r="AL720" s="188"/>
      <c r="AM720" s="188"/>
      <c r="AN720" s="188"/>
      <c r="AO720" s="299"/>
      <c r="CI720" s="294"/>
      <c r="CJ720" s="294"/>
    </row>
    <row r="721" spans="2:88" ht="13">
      <c r="B721" s="294"/>
      <c r="F721" s="296"/>
      <c r="J721" s="302"/>
      <c r="T721" s="295"/>
      <c r="AA721" s="295"/>
      <c r="AH721" s="295"/>
      <c r="AI721" s="188"/>
      <c r="AJ721" s="188"/>
      <c r="AK721" s="188"/>
      <c r="AL721" s="188"/>
      <c r="AM721" s="188"/>
      <c r="AN721" s="188"/>
      <c r="AO721" s="299"/>
      <c r="CI721" s="294"/>
      <c r="CJ721" s="294"/>
    </row>
    <row r="722" spans="2:88" ht="13">
      <c r="B722" s="294"/>
      <c r="F722" s="296"/>
      <c r="J722" s="302"/>
      <c r="T722" s="295"/>
      <c r="AA722" s="295"/>
      <c r="AH722" s="295"/>
      <c r="AI722" s="188"/>
      <c r="AJ722" s="188"/>
      <c r="AK722" s="188"/>
      <c r="AL722" s="188"/>
      <c r="AM722" s="188"/>
      <c r="AN722" s="188"/>
      <c r="AO722" s="299"/>
      <c r="CI722" s="294"/>
      <c r="CJ722" s="294"/>
    </row>
    <row r="723" spans="2:88" ht="13">
      <c r="B723" s="294"/>
      <c r="F723" s="296"/>
      <c r="J723" s="302"/>
      <c r="T723" s="295"/>
      <c r="AA723" s="295"/>
      <c r="AH723" s="295"/>
      <c r="AI723" s="188"/>
      <c r="AJ723" s="188"/>
      <c r="AK723" s="188"/>
      <c r="AL723" s="188"/>
      <c r="AM723" s="188"/>
      <c r="AN723" s="188"/>
      <c r="AO723" s="299"/>
      <c r="CI723" s="294"/>
      <c r="CJ723" s="294"/>
    </row>
    <row r="724" spans="2:88" ht="13">
      <c r="B724" s="294"/>
      <c r="F724" s="296"/>
      <c r="J724" s="302"/>
      <c r="T724" s="295"/>
      <c r="AA724" s="295"/>
      <c r="AH724" s="295"/>
      <c r="AI724" s="188"/>
      <c r="AJ724" s="188"/>
      <c r="AK724" s="188"/>
      <c r="AL724" s="188"/>
      <c r="AM724" s="188"/>
      <c r="AN724" s="188"/>
      <c r="AO724" s="299"/>
      <c r="CI724" s="294"/>
      <c r="CJ724" s="294"/>
    </row>
    <row r="725" spans="2:88" ht="13">
      <c r="B725" s="294"/>
      <c r="F725" s="296"/>
      <c r="J725" s="302"/>
      <c r="T725" s="295"/>
      <c r="AA725" s="295"/>
      <c r="AH725" s="295"/>
      <c r="AI725" s="188"/>
      <c r="AJ725" s="188"/>
      <c r="AK725" s="188"/>
      <c r="AL725" s="188"/>
      <c r="AM725" s="188"/>
      <c r="AN725" s="188"/>
      <c r="AO725" s="299"/>
      <c r="CI725" s="294"/>
      <c r="CJ725" s="294"/>
    </row>
    <row r="726" spans="2:88" ht="13">
      <c r="B726" s="294"/>
      <c r="F726" s="296"/>
      <c r="J726" s="302"/>
      <c r="T726" s="295"/>
      <c r="AA726" s="295"/>
      <c r="AH726" s="295"/>
      <c r="AI726" s="188"/>
      <c r="AJ726" s="188"/>
      <c r="AK726" s="188"/>
      <c r="AL726" s="188"/>
      <c r="AM726" s="188"/>
      <c r="AN726" s="188"/>
      <c r="AO726" s="299"/>
      <c r="CI726" s="294"/>
      <c r="CJ726" s="294"/>
    </row>
    <row r="727" spans="2:88" ht="13">
      <c r="B727" s="294"/>
      <c r="F727" s="296"/>
      <c r="J727" s="302"/>
      <c r="T727" s="295"/>
      <c r="AA727" s="295"/>
      <c r="AH727" s="295"/>
      <c r="AI727" s="188"/>
      <c r="AJ727" s="188"/>
      <c r="AK727" s="188"/>
      <c r="AL727" s="188"/>
      <c r="AM727" s="188"/>
      <c r="AN727" s="188"/>
      <c r="AO727" s="299"/>
      <c r="CI727" s="294"/>
      <c r="CJ727" s="294"/>
    </row>
    <row r="728" spans="2:88" ht="13">
      <c r="B728" s="294"/>
      <c r="F728" s="296"/>
      <c r="J728" s="302"/>
      <c r="T728" s="295"/>
      <c r="AA728" s="295"/>
      <c r="AH728" s="295"/>
      <c r="AI728" s="188"/>
      <c r="AJ728" s="188"/>
      <c r="AK728" s="188"/>
      <c r="AL728" s="188"/>
      <c r="AM728" s="188"/>
      <c r="AN728" s="188"/>
      <c r="AO728" s="299"/>
      <c r="CI728" s="294"/>
      <c r="CJ728" s="294"/>
    </row>
    <row r="729" spans="2:88" ht="13">
      <c r="B729" s="294"/>
      <c r="F729" s="296"/>
      <c r="J729" s="302"/>
      <c r="T729" s="295"/>
      <c r="AA729" s="295"/>
      <c r="AH729" s="295"/>
      <c r="AI729" s="188"/>
      <c r="AJ729" s="188"/>
      <c r="AK729" s="188"/>
      <c r="AL729" s="188"/>
      <c r="AM729" s="188"/>
      <c r="AN729" s="188"/>
      <c r="AO729" s="299"/>
      <c r="CI729" s="294"/>
      <c r="CJ729" s="294"/>
    </row>
    <row r="730" spans="2:88" ht="13">
      <c r="B730" s="294"/>
      <c r="F730" s="296"/>
      <c r="J730" s="302"/>
      <c r="T730" s="295"/>
      <c r="AA730" s="295"/>
      <c r="AH730" s="295"/>
      <c r="AI730" s="188"/>
      <c r="AJ730" s="188"/>
      <c r="AK730" s="188"/>
      <c r="AL730" s="188"/>
      <c r="AM730" s="188"/>
      <c r="AN730" s="188"/>
      <c r="AO730" s="299"/>
      <c r="CI730" s="294"/>
      <c r="CJ730" s="294"/>
    </row>
    <row r="731" spans="2:88" ht="13">
      <c r="B731" s="294"/>
      <c r="F731" s="296"/>
      <c r="J731" s="302"/>
      <c r="T731" s="295"/>
      <c r="AA731" s="295"/>
      <c r="AH731" s="295"/>
      <c r="AI731" s="188"/>
      <c r="AJ731" s="188"/>
      <c r="AK731" s="188"/>
      <c r="AL731" s="188"/>
      <c r="AM731" s="188"/>
      <c r="AN731" s="188"/>
      <c r="AO731" s="299"/>
      <c r="CI731" s="294"/>
      <c r="CJ731" s="294"/>
    </row>
    <row r="732" spans="2:88" ht="13">
      <c r="B732" s="294"/>
      <c r="F732" s="296"/>
      <c r="J732" s="302"/>
      <c r="T732" s="295"/>
      <c r="AA732" s="295"/>
      <c r="AH732" s="295"/>
      <c r="AI732" s="188"/>
      <c r="AJ732" s="188"/>
      <c r="AK732" s="188"/>
      <c r="AL732" s="188"/>
      <c r="AM732" s="188"/>
      <c r="AN732" s="188"/>
      <c r="AO732" s="299"/>
      <c r="CI732" s="294"/>
      <c r="CJ732" s="294"/>
    </row>
    <row r="733" spans="2:88" ht="13">
      <c r="B733" s="294"/>
      <c r="F733" s="296"/>
      <c r="J733" s="302"/>
      <c r="T733" s="295"/>
      <c r="AA733" s="295"/>
      <c r="AH733" s="295"/>
      <c r="AI733" s="188"/>
      <c r="AJ733" s="188"/>
      <c r="AK733" s="188"/>
      <c r="AL733" s="188"/>
      <c r="AM733" s="188"/>
      <c r="AN733" s="188"/>
      <c r="AO733" s="299"/>
      <c r="CI733" s="294"/>
      <c r="CJ733" s="294"/>
    </row>
    <row r="734" spans="2:88" ht="13">
      <c r="B734" s="294"/>
      <c r="F734" s="296"/>
      <c r="J734" s="302"/>
      <c r="T734" s="295"/>
      <c r="AA734" s="295"/>
      <c r="AH734" s="295"/>
      <c r="AI734" s="188"/>
      <c r="AJ734" s="188"/>
      <c r="AK734" s="188"/>
      <c r="AL734" s="188"/>
      <c r="AM734" s="188"/>
      <c r="AN734" s="188"/>
      <c r="AO734" s="299"/>
      <c r="CI734" s="294"/>
      <c r="CJ734" s="294"/>
    </row>
    <row r="735" spans="2:88" ht="13">
      <c r="B735" s="294"/>
      <c r="F735" s="296"/>
      <c r="J735" s="302"/>
      <c r="T735" s="295"/>
      <c r="AA735" s="295"/>
      <c r="AH735" s="295"/>
      <c r="AI735" s="188"/>
      <c r="AJ735" s="188"/>
      <c r="AK735" s="188"/>
      <c r="AL735" s="188"/>
      <c r="AM735" s="188"/>
      <c r="AN735" s="188"/>
      <c r="AO735" s="299"/>
      <c r="CI735" s="294"/>
      <c r="CJ735" s="294"/>
    </row>
    <row r="736" spans="2:88" ht="13">
      <c r="B736" s="294"/>
      <c r="F736" s="296"/>
      <c r="J736" s="302"/>
      <c r="T736" s="295"/>
      <c r="AA736" s="295"/>
      <c r="AH736" s="295"/>
      <c r="AI736" s="188"/>
      <c r="AJ736" s="188"/>
      <c r="AK736" s="188"/>
      <c r="AL736" s="188"/>
      <c r="AM736" s="188"/>
      <c r="AN736" s="188"/>
      <c r="AO736" s="299"/>
      <c r="CI736" s="294"/>
      <c r="CJ736" s="294"/>
    </row>
    <row r="737" spans="2:88" ht="13">
      <c r="B737" s="294"/>
      <c r="F737" s="296"/>
      <c r="J737" s="302"/>
      <c r="T737" s="295"/>
      <c r="AA737" s="295"/>
      <c r="AH737" s="295"/>
      <c r="AI737" s="188"/>
      <c r="AJ737" s="188"/>
      <c r="AK737" s="188"/>
      <c r="AL737" s="188"/>
      <c r="AM737" s="188"/>
      <c r="AN737" s="188"/>
      <c r="AO737" s="299"/>
      <c r="CI737" s="294"/>
      <c r="CJ737" s="294"/>
    </row>
    <row r="738" spans="2:88" ht="13">
      <c r="B738" s="294"/>
      <c r="F738" s="296"/>
      <c r="J738" s="302"/>
      <c r="T738" s="295"/>
      <c r="AA738" s="295"/>
      <c r="AH738" s="295"/>
      <c r="AI738" s="188"/>
      <c r="AJ738" s="188"/>
      <c r="AK738" s="188"/>
      <c r="AL738" s="188"/>
      <c r="AM738" s="188"/>
      <c r="AN738" s="188"/>
      <c r="AO738" s="299"/>
      <c r="CI738" s="294"/>
      <c r="CJ738" s="294"/>
    </row>
    <row r="739" spans="2:88" ht="13">
      <c r="B739" s="294"/>
      <c r="F739" s="296"/>
      <c r="J739" s="302"/>
      <c r="T739" s="295"/>
      <c r="AA739" s="295"/>
      <c r="AH739" s="295"/>
      <c r="AI739" s="188"/>
      <c r="AJ739" s="188"/>
      <c r="AK739" s="188"/>
      <c r="AL739" s="188"/>
      <c r="AM739" s="188"/>
      <c r="AN739" s="188"/>
      <c r="AO739" s="299"/>
      <c r="CI739" s="294"/>
      <c r="CJ739" s="294"/>
    </row>
    <row r="740" spans="2:88" ht="13">
      <c r="B740" s="294"/>
      <c r="F740" s="296"/>
      <c r="J740" s="302"/>
      <c r="T740" s="295"/>
      <c r="AA740" s="295"/>
      <c r="AH740" s="295"/>
      <c r="AI740" s="188"/>
      <c r="AJ740" s="188"/>
      <c r="AK740" s="188"/>
      <c r="AL740" s="188"/>
      <c r="AM740" s="188"/>
      <c r="AN740" s="188"/>
      <c r="AO740" s="299"/>
      <c r="CI740" s="294"/>
      <c r="CJ740" s="294"/>
    </row>
    <row r="741" spans="2:88" ht="13">
      <c r="B741" s="294"/>
      <c r="F741" s="296"/>
      <c r="J741" s="302"/>
      <c r="T741" s="295"/>
      <c r="AA741" s="295"/>
      <c r="AH741" s="295"/>
      <c r="AI741" s="188"/>
      <c r="AJ741" s="188"/>
      <c r="AK741" s="188"/>
      <c r="AL741" s="188"/>
      <c r="AM741" s="188"/>
      <c r="AN741" s="188"/>
      <c r="AO741" s="299"/>
      <c r="CI741" s="294"/>
      <c r="CJ741" s="294"/>
    </row>
    <row r="742" spans="2:88" ht="13">
      <c r="B742" s="294"/>
      <c r="F742" s="296"/>
      <c r="J742" s="302"/>
      <c r="T742" s="295"/>
      <c r="AA742" s="295"/>
      <c r="AH742" s="295"/>
      <c r="AI742" s="188"/>
      <c r="AJ742" s="188"/>
      <c r="AK742" s="188"/>
      <c r="AL742" s="188"/>
      <c r="AM742" s="188"/>
      <c r="AN742" s="188"/>
      <c r="AO742" s="299"/>
      <c r="CI742" s="294"/>
      <c r="CJ742" s="294"/>
    </row>
    <row r="743" spans="2:88" ht="13">
      <c r="B743" s="294"/>
      <c r="F743" s="296"/>
      <c r="J743" s="302"/>
      <c r="T743" s="295"/>
      <c r="AA743" s="295"/>
      <c r="AH743" s="295"/>
      <c r="AI743" s="188"/>
      <c r="AJ743" s="188"/>
      <c r="AK743" s="188"/>
      <c r="AL743" s="188"/>
      <c r="AM743" s="188"/>
      <c r="AN743" s="188"/>
      <c r="AO743" s="299"/>
      <c r="CI743" s="294"/>
      <c r="CJ743" s="294"/>
    </row>
    <row r="744" spans="2:88" ht="13">
      <c r="B744" s="294"/>
      <c r="F744" s="296"/>
      <c r="J744" s="302"/>
      <c r="T744" s="295"/>
      <c r="AA744" s="295"/>
      <c r="AH744" s="295"/>
      <c r="AI744" s="188"/>
      <c r="AJ744" s="188"/>
      <c r="AK744" s="188"/>
      <c r="AL744" s="188"/>
      <c r="AM744" s="188"/>
      <c r="AN744" s="188"/>
      <c r="AO744" s="299"/>
      <c r="CI744" s="294"/>
      <c r="CJ744" s="294"/>
    </row>
    <row r="745" spans="2:88" ht="13">
      <c r="B745" s="294"/>
      <c r="F745" s="296"/>
      <c r="J745" s="302"/>
      <c r="T745" s="295"/>
      <c r="AA745" s="295"/>
      <c r="AH745" s="295"/>
      <c r="AI745" s="188"/>
      <c r="AJ745" s="188"/>
      <c r="AK745" s="188"/>
      <c r="AL745" s="188"/>
      <c r="AM745" s="188"/>
      <c r="AN745" s="188"/>
      <c r="AO745" s="299"/>
      <c r="CI745" s="294"/>
      <c r="CJ745" s="294"/>
    </row>
    <row r="746" spans="2:88" ht="13">
      <c r="B746" s="294"/>
      <c r="F746" s="296"/>
      <c r="J746" s="302"/>
      <c r="T746" s="295"/>
      <c r="AA746" s="295"/>
      <c r="AH746" s="295"/>
      <c r="AI746" s="188"/>
      <c r="AJ746" s="188"/>
      <c r="AK746" s="188"/>
      <c r="AL746" s="188"/>
      <c r="AM746" s="188"/>
      <c r="AN746" s="188"/>
      <c r="AO746" s="299"/>
      <c r="CI746" s="294"/>
      <c r="CJ746" s="294"/>
    </row>
    <row r="747" spans="2:88" ht="13">
      <c r="B747" s="294"/>
      <c r="F747" s="296"/>
      <c r="J747" s="302"/>
      <c r="T747" s="295"/>
      <c r="AA747" s="295"/>
      <c r="AH747" s="295"/>
      <c r="AI747" s="188"/>
      <c r="AJ747" s="188"/>
      <c r="AK747" s="188"/>
      <c r="AL747" s="188"/>
      <c r="AM747" s="188"/>
      <c r="AN747" s="188"/>
      <c r="AO747" s="299"/>
      <c r="CI747" s="294"/>
      <c r="CJ747" s="294"/>
    </row>
    <row r="748" spans="2:88" ht="13">
      <c r="B748" s="294"/>
      <c r="F748" s="296"/>
      <c r="J748" s="302"/>
      <c r="T748" s="295"/>
      <c r="AA748" s="295"/>
      <c r="AH748" s="295"/>
      <c r="AI748" s="188"/>
      <c r="AJ748" s="188"/>
      <c r="AK748" s="188"/>
      <c r="AL748" s="188"/>
      <c r="AM748" s="188"/>
      <c r="AN748" s="188"/>
      <c r="AO748" s="299"/>
      <c r="CI748" s="294"/>
      <c r="CJ748" s="294"/>
    </row>
    <row r="749" spans="2:88" ht="13">
      <c r="B749" s="294"/>
      <c r="F749" s="296"/>
      <c r="J749" s="302"/>
      <c r="T749" s="295"/>
      <c r="AA749" s="295"/>
      <c r="AH749" s="295"/>
      <c r="AI749" s="188"/>
      <c r="AJ749" s="188"/>
      <c r="AK749" s="188"/>
      <c r="AL749" s="188"/>
      <c r="AM749" s="188"/>
      <c r="AN749" s="188"/>
      <c r="AO749" s="299"/>
      <c r="CI749" s="294"/>
      <c r="CJ749" s="294"/>
    </row>
    <row r="750" spans="2:88" ht="13">
      <c r="B750" s="294"/>
      <c r="F750" s="296"/>
      <c r="J750" s="302"/>
      <c r="T750" s="295"/>
      <c r="AA750" s="295"/>
      <c r="AH750" s="295"/>
      <c r="AI750" s="188"/>
      <c r="AJ750" s="188"/>
      <c r="AK750" s="188"/>
      <c r="AL750" s="188"/>
      <c r="AM750" s="188"/>
      <c r="AN750" s="188"/>
      <c r="AO750" s="299"/>
      <c r="CI750" s="294"/>
      <c r="CJ750" s="294"/>
    </row>
    <row r="751" spans="2:88" ht="13">
      <c r="B751" s="294"/>
      <c r="F751" s="296"/>
      <c r="J751" s="302"/>
      <c r="T751" s="295"/>
      <c r="AA751" s="295"/>
      <c r="AH751" s="295"/>
      <c r="AI751" s="188"/>
      <c r="AJ751" s="188"/>
      <c r="AK751" s="188"/>
      <c r="AL751" s="188"/>
      <c r="AM751" s="188"/>
      <c r="AN751" s="188"/>
      <c r="AO751" s="299"/>
      <c r="CI751" s="294"/>
      <c r="CJ751" s="294"/>
    </row>
    <row r="752" spans="2:88" ht="13">
      <c r="B752" s="294"/>
      <c r="F752" s="296"/>
      <c r="J752" s="302"/>
      <c r="T752" s="295"/>
      <c r="AA752" s="295"/>
      <c r="AH752" s="295"/>
      <c r="AI752" s="188"/>
      <c r="AJ752" s="188"/>
      <c r="AK752" s="188"/>
      <c r="AL752" s="188"/>
      <c r="AM752" s="188"/>
      <c r="AN752" s="188"/>
      <c r="AO752" s="299"/>
      <c r="CI752" s="294"/>
      <c r="CJ752" s="294"/>
    </row>
    <row r="753" spans="2:88" ht="13">
      <c r="B753" s="294"/>
      <c r="F753" s="296"/>
      <c r="J753" s="302"/>
      <c r="T753" s="295"/>
      <c r="AA753" s="295"/>
      <c r="AH753" s="295"/>
      <c r="AI753" s="188"/>
      <c r="AJ753" s="188"/>
      <c r="AK753" s="188"/>
      <c r="AL753" s="188"/>
      <c r="AM753" s="188"/>
      <c r="AN753" s="188"/>
      <c r="AO753" s="299"/>
      <c r="CI753" s="294"/>
      <c r="CJ753" s="294"/>
    </row>
    <row r="754" spans="2:88" ht="13">
      <c r="B754" s="294"/>
      <c r="F754" s="296"/>
      <c r="J754" s="302"/>
      <c r="T754" s="295"/>
      <c r="AA754" s="295"/>
      <c r="AH754" s="295"/>
      <c r="AI754" s="188"/>
      <c r="AJ754" s="188"/>
      <c r="AK754" s="188"/>
      <c r="AL754" s="188"/>
      <c r="AM754" s="188"/>
      <c r="AN754" s="188"/>
      <c r="AO754" s="299"/>
      <c r="CI754" s="294"/>
      <c r="CJ754" s="294"/>
    </row>
    <row r="755" spans="2:88" ht="13">
      <c r="B755" s="294"/>
      <c r="F755" s="296"/>
      <c r="J755" s="302"/>
      <c r="T755" s="295"/>
      <c r="AA755" s="295"/>
      <c r="AH755" s="295"/>
      <c r="AI755" s="188"/>
      <c r="AJ755" s="188"/>
      <c r="AK755" s="188"/>
      <c r="AL755" s="188"/>
      <c r="AM755" s="188"/>
      <c r="AN755" s="188"/>
      <c r="AO755" s="299"/>
      <c r="CI755" s="294"/>
      <c r="CJ755" s="294"/>
    </row>
    <row r="756" spans="2:88" ht="13">
      <c r="B756" s="294"/>
      <c r="F756" s="296"/>
      <c r="J756" s="302"/>
      <c r="T756" s="295"/>
      <c r="AA756" s="295"/>
      <c r="AH756" s="295"/>
      <c r="AI756" s="188"/>
      <c r="AJ756" s="188"/>
      <c r="AK756" s="188"/>
      <c r="AL756" s="188"/>
      <c r="AM756" s="188"/>
      <c r="AN756" s="188"/>
      <c r="AO756" s="299"/>
      <c r="CI756" s="294"/>
      <c r="CJ756" s="294"/>
    </row>
    <row r="757" spans="2:88" ht="13">
      <c r="B757" s="294"/>
      <c r="F757" s="296"/>
      <c r="J757" s="302"/>
      <c r="T757" s="295"/>
      <c r="AA757" s="295"/>
      <c r="AH757" s="295"/>
      <c r="AI757" s="188"/>
      <c r="AJ757" s="188"/>
      <c r="AK757" s="188"/>
      <c r="AL757" s="188"/>
      <c r="AM757" s="188"/>
      <c r="AN757" s="188"/>
      <c r="AO757" s="299"/>
      <c r="CI757" s="294"/>
      <c r="CJ757" s="294"/>
    </row>
    <row r="758" spans="2:88" ht="13">
      <c r="B758" s="294"/>
      <c r="F758" s="296"/>
      <c r="J758" s="302"/>
      <c r="T758" s="295"/>
      <c r="AA758" s="295"/>
      <c r="AH758" s="295"/>
      <c r="AI758" s="188"/>
      <c r="AJ758" s="188"/>
      <c r="AK758" s="188"/>
      <c r="AL758" s="188"/>
      <c r="AM758" s="188"/>
      <c r="AN758" s="188"/>
      <c r="AO758" s="299"/>
      <c r="CI758" s="294"/>
      <c r="CJ758" s="294"/>
    </row>
    <row r="759" spans="2:88" ht="13">
      <c r="B759" s="294"/>
      <c r="F759" s="296"/>
      <c r="J759" s="302"/>
      <c r="T759" s="295"/>
      <c r="AA759" s="295"/>
      <c r="AH759" s="295"/>
      <c r="AI759" s="188"/>
      <c r="AJ759" s="188"/>
      <c r="AK759" s="188"/>
      <c r="AL759" s="188"/>
      <c r="AM759" s="188"/>
      <c r="AN759" s="188"/>
      <c r="AO759" s="299"/>
      <c r="CI759" s="294"/>
      <c r="CJ759" s="294"/>
    </row>
    <row r="760" spans="2:88" ht="13">
      <c r="B760" s="294"/>
      <c r="F760" s="296"/>
      <c r="J760" s="302"/>
      <c r="T760" s="295"/>
      <c r="AA760" s="295"/>
      <c r="AH760" s="295"/>
      <c r="AI760" s="188"/>
      <c r="AJ760" s="188"/>
      <c r="AK760" s="188"/>
      <c r="AL760" s="188"/>
      <c r="AM760" s="188"/>
      <c r="AN760" s="188"/>
      <c r="AO760" s="299"/>
      <c r="CI760" s="294"/>
      <c r="CJ760" s="294"/>
    </row>
    <row r="761" spans="2:88" ht="13">
      <c r="B761" s="294"/>
      <c r="F761" s="296"/>
      <c r="J761" s="302"/>
      <c r="T761" s="295"/>
      <c r="AA761" s="295"/>
      <c r="AH761" s="295"/>
      <c r="AI761" s="188"/>
      <c r="AJ761" s="188"/>
      <c r="AK761" s="188"/>
      <c r="AL761" s="188"/>
      <c r="AM761" s="188"/>
      <c r="AN761" s="188"/>
      <c r="AO761" s="299"/>
      <c r="CI761" s="294"/>
      <c r="CJ761" s="294"/>
    </row>
    <row r="762" spans="2:88" ht="13">
      <c r="B762" s="294"/>
      <c r="F762" s="296"/>
      <c r="J762" s="302"/>
      <c r="T762" s="295"/>
      <c r="AA762" s="295"/>
      <c r="AH762" s="295"/>
      <c r="AI762" s="188"/>
      <c r="AJ762" s="188"/>
      <c r="AK762" s="188"/>
      <c r="AL762" s="188"/>
      <c r="AM762" s="188"/>
      <c r="AN762" s="188"/>
      <c r="AO762" s="299"/>
      <c r="CI762" s="294"/>
      <c r="CJ762" s="294"/>
    </row>
    <row r="763" spans="2:88" ht="13">
      <c r="B763" s="294"/>
      <c r="F763" s="296"/>
      <c r="J763" s="302"/>
      <c r="T763" s="295"/>
      <c r="AA763" s="295"/>
      <c r="AH763" s="295"/>
      <c r="AI763" s="188"/>
      <c r="AJ763" s="188"/>
      <c r="AK763" s="188"/>
      <c r="AL763" s="188"/>
      <c r="AM763" s="188"/>
      <c r="AN763" s="188"/>
      <c r="AO763" s="299"/>
      <c r="CI763" s="294"/>
      <c r="CJ763" s="294"/>
    </row>
    <row r="764" spans="2:88" ht="13">
      <c r="B764" s="294"/>
      <c r="F764" s="296"/>
      <c r="J764" s="302"/>
      <c r="T764" s="295"/>
      <c r="AA764" s="295"/>
      <c r="AH764" s="295"/>
      <c r="AI764" s="188"/>
      <c r="AJ764" s="188"/>
      <c r="AK764" s="188"/>
      <c r="AL764" s="188"/>
      <c r="AM764" s="188"/>
      <c r="AN764" s="188"/>
      <c r="AO764" s="299"/>
      <c r="CI764" s="294"/>
      <c r="CJ764" s="294"/>
    </row>
    <row r="765" spans="2:88" ht="13">
      <c r="B765" s="294"/>
      <c r="F765" s="296"/>
      <c r="J765" s="302"/>
      <c r="T765" s="295"/>
      <c r="AA765" s="295"/>
      <c r="AH765" s="295"/>
      <c r="AI765" s="188"/>
      <c r="AJ765" s="188"/>
      <c r="AK765" s="188"/>
      <c r="AL765" s="188"/>
      <c r="AM765" s="188"/>
      <c r="AN765" s="188"/>
      <c r="AO765" s="299"/>
      <c r="CI765" s="294"/>
      <c r="CJ765" s="294"/>
    </row>
    <row r="766" spans="2:88" ht="13">
      <c r="B766" s="294"/>
      <c r="F766" s="296"/>
      <c r="J766" s="302"/>
      <c r="T766" s="295"/>
      <c r="AA766" s="295"/>
      <c r="AH766" s="295"/>
      <c r="AI766" s="188"/>
      <c r="AJ766" s="188"/>
      <c r="AK766" s="188"/>
      <c r="AL766" s="188"/>
      <c r="AM766" s="188"/>
      <c r="AN766" s="188"/>
      <c r="AO766" s="299"/>
      <c r="CI766" s="294"/>
      <c r="CJ766" s="294"/>
    </row>
    <row r="767" spans="2:88" ht="13">
      <c r="B767" s="294"/>
      <c r="F767" s="296"/>
      <c r="J767" s="302"/>
      <c r="T767" s="295"/>
      <c r="AA767" s="295"/>
      <c r="AH767" s="295"/>
      <c r="AI767" s="188"/>
      <c r="AJ767" s="188"/>
      <c r="AK767" s="188"/>
      <c r="AL767" s="188"/>
      <c r="AM767" s="188"/>
      <c r="AN767" s="188"/>
      <c r="AO767" s="299"/>
      <c r="CI767" s="294"/>
      <c r="CJ767" s="294"/>
    </row>
    <row r="768" spans="2:88" ht="13">
      <c r="B768" s="294"/>
      <c r="F768" s="296"/>
      <c r="J768" s="302"/>
      <c r="T768" s="295"/>
      <c r="AA768" s="295"/>
      <c r="AH768" s="295"/>
      <c r="AI768" s="188"/>
      <c r="AJ768" s="188"/>
      <c r="AK768" s="188"/>
      <c r="AL768" s="188"/>
      <c r="AM768" s="188"/>
      <c r="AN768" s="188"/>
      <c r="AO768" s="299"/>
      <c r="CI768" s="294"/>
      <c r="CJ768" s="294"/>
    </row>
    <row r="769" spans="2:88" ht="13">
      <c r="B769" s="294"/>
      <c r="F769" s="296"/>
      <c r="J769" s="302"/>
      <c r="T769" s="295"/>
      <c r="AA769" s="295"/>
      <c r="AH769" s="295"/>
      <c r="AI769" s="188"/>
      <c r="AJ769" s="188"/>
      <c r="AK769" s="188"/>
      <c r="AL769" s="188"/>
      <c r="AM769" s="188"/>
      <c r="AN769" s="188"/>
      <c r="AO769" s="299"/>
      <c r="CI769" s="294"/>
      <c r="CJ769" s="294"/>
    </row>
    <row r="770" spans="2:88" ht="13">
      <c r="B770" s="294"/>
      <c r="F770" s="296"/>
      <c r="J770" s="302"/>
      <c r="T770" s="295"/>
      <c r="AA770" s="295"/>
      <c r="AH770" s="295"/>
      <c r="AI770" s="188"/>
      <c r="AJ770" s="188"/>
      <c r="AK770" s="188"/>
      <c r="AL770" s="188"/>
      <c r="AM770" s="188"/>
      <c r="AN770" s="188"/>
      <c r="AO770" s="299"/>
      <c r="CI770" s="294"/>
      <c r="CJ770" s="294"/>
    </row>
    <row r="771" spans="2:88" ht="13">
      <c r="B771" s="294"/>
      <c r="F771" s="296"/>
      <c r="J771" s="302"/>
      <c r="T771" s="295"/>
      <c r="AA771" s="295"/>
      <c r="AH771" s="295"/>
      <c r="AI771" s="188"/>
      <c r="AJ771" s="188"/>
      <c r="AK771" s="188"/>
      <c r="AL771" s="188"/>
      <c r="AM771" s="188"/>
      <c r="AN771" s="188"/>
      <c r="AO771" s="299"/>
      <c r="CI771" s="294"/>
      <c r="CJ771" s="294"/>
    </row>
    <row r="772" spans="2:88" ht="13">
      <c r="B772" s="294"/>
      <c r="F772" s="296"/>
      <c r="J772" s="302"/>
      <c r="T772" s="295"/>
      <c r="AA772" s="295"/>
      <c r="AH772" s="295"/>
      <c r="AI772" s="188"/>
      <c r="AJ772" s="188"/>
      <c r="AK772" s="188"/>
      <c r="AL772" s="188"/>
      <c r="AM772" s="188"/>
      <c r="AN772" s="188"/>
      <c r="AO772" s="299"/>
      <c r="CI772" s="294"/>
      <c r="CJ772" s="294"/>
    </row>
    <row r="773" spans="2:88" ht="13">
      <c r="B773" s="294"/>
      <c r="F773" s="296"/>
      <c r="J773" s="302"/>
      <c r="T773" s="295"/>
      <c r="AA773" s="295"/>
      <c r="AH773" s="295"/>
      <c r="AI773" s="188"/>
      <c r="AJ773" s="188"/>
      <c r="AK773" s="188"/>
      <c r="AL773" s="188"/>
      <c r="AM773" s="188"/>
      <c r="AN773" s="188"/>
      <c r="AO773" s="299"/>
      <c r="CI773" s="294"/>
      <c r="CJ773" s="294"/>
    </row>
    <row r="774" spans="2:88" ht="13">
      <c r="B774" s="294"/>
      <c r="F774" s="296"/>
      <c r="J774" s="302"/>
      <c r="T774" s="295"/>
      <c r="AA774" s="295"/>
      <c r="AH774" s="295"/>
      <c r="AI774" s="188"/>
      <c r="AJ774" s="188"/>
      <c r="AK774" s="188"/>
      <c r="AL774" s="188"/>
      <c r="AM774" s="188"/>
      <c r="AN774" s="188"/>
      <c r="AO774" s="299"/>
      <c r="CI774" s="294"/>
      <c r="CJ774" s="294"/>
    </row>
    <row r="775" spans="2:88" ht="13">
      <c r="B775" s="294"/>
      <c r="F775" s="296"/>
      <c r="J775" s="302"/>
      <c r="T775" s="295"/>
      <c r="AA775" s="295"/>
      <c r="AH775" s="295"/>
      <c r="AI775" s="188"/>
      <c r="AJ775" s="188"/>
      <c r="AK775" s="188"/>
      <c r="AL775" s="188"/>
      <c r="AM775" s="188"/>
      <c r="AN775" s="188"/>
      <c r="AO775" s="299"/>
      <c r="CI775" s="294"/>
      <c r="CJ775" s="294"/>
    </row>
    <row r="776" spans="2:88" ht="13">
      <c r="B776" s="294"/>
      <c r="F776" s="296"/>
      <c r="J776" s="302"/>
      <c r="T776" s="295"/>
      <c r="AA776" s="295"/>
      <c r="AH776" s="295"/>
      <c r="AI776" s="188"/>
      <c r="AJ776" s="188"/>
      <c r="AK776" s="188"/>
      <c r="AL776" s="188"/>
      <c r="AM776" s="188"/>
      <c r="AN776" s="188"/>
      <c r="AO776" s="299"/>
      <c r="CI776" s="294"/>
      <c r="CJ776" s="294"/>
    </row>
    <row r="777" spans="2:88" ht="13">
      <c r="B777" s="294"/>
      <c r="F777" s="296"/>
      <c r="J777" s="302"/>
      <c r="T777" s="295"/>
      <c r="AA777" s="295"/>
      <c r="AH777" s="295"/>
      <c r="AI777" s="188"/>
      <c r="AJ777" s="188"/>
      <c r="AK777" s="188"/>
      <c r="AL777" s="188"/>
      <c r="AM777" s="188"/>
      <c r="AN777" s="188"/>
      <c r="AO777" s="299"/>
      <c r="CI777" s="294"/>
      <c r="CJ777" s="294"/>
    </row>
    <row r="778" spans="2:88" ht="13">
      <c r="B778" s="294"/>
      <c r="F778" s="296"/>
      <c r="J778" s="302"/>
      <c r="T778" s="295"/>
      <c r="AA778" s="295"/>
      <c r="AH778" s="295"/>
      <c r="AI778" s="188"/>
      <c r="AJ778" s="188"/>
      <c r="AK778" s="188"/>
      <c r="AL778" s="188"/>
      <c r="AM778" s="188"/>
      <c r="AN778" s="188"/>
      <c r="AO778" s="299"/>
      <c r="CI778" s="294"/>
      <c r="CJ778" s="294"/>
    </row>
    <row r="779" spans="2:88" ht="13">
      <c r="B779" s="294"/>
      <c r="F779" s="296"/>
      <c r="J779" s="302"/>
      <c r="T779" s="295"/>
      <c r="AA779" s="295"/>
      <c r="AH779" s="295"/>
      <c r="AI779" s="188"/>
      <c r="AJ779" s="188"/>
      <c r="AK779" s="188"/>
      <c r="AL779" s="188"/>
      <c r="AM779" s="188"/>
      <c r="AN779" s="188"/>
      <c r="AO779" s="299"/>
      <c r="CI779" s="294"/>
      <c r="CJ779" s="294"/>
    </row>
    <row r="780" spans="2:88" ht="13">
      <c r="B780" s="294"/>
      <c r="F780" s="296"/>
      <c r="J780" s="302"/>
      <c r="T780" s="295"/>
      <c r="AA780" s="295"/>
      <c r="AH780" s="295"/>
      <c r="AI780" s="188"/>
      <c r="AJ780" s="188"/>
      <c r="AK780" s="188"/>
      <c r="AL780" s="188"/>
      <c r="AM780" s="188"/>
      <c r="AN780" s="188"/>
      <c r="AO780" s="299"/>
      <c r="CI780" s="294"/>
      <c r="CJ780" s="294"/>
    </row>
    <row r="781" spans="2:88" ht="13">
      <c r="B781" s="294"/>
      <c r="F781" s="296"/>
      <c r="J781" s="302"/>
      <c r="T781" s="295"/>
      <c r="AA781" s="295"/>
      <c r="AH781" s="295"/>
      <c r="AI781" s="188"/>
      <c r="AJ781" s="188"/>
      <c r="AK781" s="188"/>
      <c r="AL781" s="188"/>
      <c r="AM781" s="188"/>
      <c r="AN781" s="188"/>
      <c r="AO781" s="299"/>
      <c r="CI781" s="294"/>
      <c r="CJ781" s="294"/>
    </row>
    <row r="782" spans="2:88" ht="13">
      <c r="B782" s="294"/>
      <c r="F782" s="296"/>
      <c r="J782" s="302"/>
      <c r="T782" s="295"/>
      <c r="AA782" s="295"/>
      <c r="AH782" s="295"/>
      <c r="AI782" s="188"/>
      <c r="AJ782" s="188"/>
      <c r="AK782" s="188"/>
      <c r="AL782" s="188"/>
      <c r="AM782" s="188"/>
      <c r="AN782" s="188"/>
      <c r="AO782" s="299"/>
      <c r="CI782" s="294"/>
      <c r="CJ782" s="294"/>
    </row>
    <row r="783" spans="2:88" ht="13">
      <c r="B783" s="294"/>
      <c r="F783" s="296"/>
      <c r="J783" s="302"/>
      <c r="T783" s="295"/>
      <c r="AA783" s="295"/>
      <c r="AH783" s="295"/>
      <c r="AI783" s="188"/>
      <c r="AJ783" s="188"/>
      <c r="AK783" s="188"/>
      <c r="AL783" s="188"/>
      <c r="AM783" s="188"/>
      <c r="AN783" s="188"/>
      <c r="AO783" s="299"/>
      <c r="CI783" s="294"/>
      <c r="CJ783" s="294"/>
    </row>
    <row r="784" spans="2:88" ht="13">
      <c r="B784" s="294"/>
      <c r="F784" s="296"/>
      <c r="J784" s="302"/>
      <c r="T784" s="295"/>
      <c r="AA784" s="295"/>
      <c r="AH784" s="295"/>
      <c r="AI784" s="188"/>
      <c r="AJ784" s="188"/>
      <c r="AK784" s="188"/>
      <c r="AL784" s="188"/>
      <c r="AM784" s="188"/>
      <c r="AN784" s="188"/>
      <c r="AO784" s="299"/>
      <c r="CI784" s="294"/>
      <c r="CJ784" s="294"/>
    </row>
    <row r="785" spans="2:88" ht="13">
      <c r="B785" s="294"/>
      <c r="F785" s="296"/>
      <c r="J785" s="302"/>
      <c r="T785" s="295"/>
      <c r="AA785" s="295"/>
      <c r="AH785" s="295"/>
      <c r="AI785" s="188"/>
      <c r="AJ785" s="188"/>
      <c r="AK785" s="188"/>
      <c r="AL785" s="188"/>
      <c r="AM785" s="188"/>
      <c r="AN785" s="188"/>
      <c r="AO785" s="299"/>
      <c r="CI785" s="294"/>
      <c r="CJ785" s="294"/>
    </row>
    <row r="786" spans="2:88" ht="13">
      <c r="B786" s="294"/>
      <c r="F786" s="296"/>
      <c r="J786" s="302"/>
      <c r="T786" s="295"/>
      <c r="AA786" s="295"/>
      <c r="AH786" s="295"/>
      <c r="AI786" s="188"/>
      <c r="AJ786" s="188"/>
      <c r="AK786" s="188"/>
      <c r="AL786" s="188"/>
      <c r="AM786" s="188"/>
      <c r="AN786" s="188"/>
      <c r="AO786" s="299"/>
      <c r="CI786" s="294"/>
      <c r="CJ786" s="294"/>
    </row>
    <row r="787" spans="2:88" ht="13">
      <c r="B787" s="294"/>
      <c r="F787" s="296"/>
      <c r="J787" s="302"/>
      <c r="T787" s="295"/>
      <c r="AA787" s="295"/>
      <c r="AH787" s="295"/>
      <c r="AI787" s="188"/>
      <c r="AJ787" s="188"/>
      <c r="AK787" s="188"/>
      <c r="AL787" s="188"/>
      <c r="AM787" s="188"/>
      <c r="AN787" s="188"/>
      <c r="AO787" s="299"/>
      <c r="CI787" s="294"/>
      <c r="CJ787" s="294"/>
    </row>
    <row r="788" spans="2:88" ht="13">
      <c r="B788" s="294"/>
      <c r="F788" s="296"/>
      <c r="J788" s="302"/>
      <c r="T788" s="295"/>
      <c r="AA788" s="295"/>
      <c r="AH788" s="295"/>
      <c r="AI788" s="188"/>
      <c r="AJ788" s="188"/>
      <c r="AK788" s="188"/>
      <c r="AL788" s="188"/>
      <c r="AM788" s="188"/>
      <c r="AN788" s="188"/>
      <c r="AO788" s="299"/>
      <c r="CI788" s="294"/>
      <c r="CJ788" s="294"/>
    </row>
    <row r="789" spans="2:88" ht="13">
      <c r="B789" s="294"/>
      <c r="F789" s="296"/>
      <c r="J789" s="302"/>
      <c r="T789" s="295"/>
      <c r="AA789" s="295"/>
      <c r="AH789" s="295"/>
      <c r="AI789" s="188"/>
      <c r="AJ789" s="188"/>
      <c r="AK789" s="188"/>
      <c r="AL789" s="188"/>
      <c r="AM789" s="188"/>
      <c r="AN789" s="188"/>
      <c r="AO789" s="299"/>
      <c r="CI789" s="294"/>
      <c r="CJ789" s="294"/>
    </row>
    <row r="790" spans="2:88" ht="13">
      <c r="B790" s="294"/>
      <c r="F790" s="296"/>
      <c r="J790" s="302"/>
      <c r="T790" s="295"/>
      <c r="AA790" s="295"/>
      <c r="AH790" s="295"/>
      <c r="AI790" s="188"/>
      <c r="AJ790" s="188"/>
      <c r="AK790" s="188"/>
      <c r="AL790" s="188"/>
      <c r="AM790" s="188"/>
      <c r="AN790" s="188"/>
      <c r="AO790" s="299"/>
      <c r="CI790" s="294"/>
      <c r="CJ790" s="294"/>
    </row>
    <row r="791" spans="2:88" ht="13">
      <c r="B791" s="294"/>
      <c r="F791" s="296"/>
      <c r="J791" s="302"/>
      <c r="T791" s="295"/>
      <c r="AA791" s="295"/>
      <c r="AH791" s="295"/>
      <c r="AI791" s="188"/>
      <c r="AJ791" s="188"/>
      <c r="AK791" s="188"/>
      <c r="AL791" s="188"/>
      <c r="AM791" s="188"/>
      <c r="AN791" s="188"/>
      <c r="AO791" s="299"/>
      <c r="CI791" s="294"/>
      <c r="CJ791" s="294"/>
    </row>
    <row r="792" spans="2:88" ht="13">
      <c r="B792" s="294"/>
      <c r="F792" s="296"/>
      <c r="J792" s="302"/>
      <c r="T792" s="295"/>
      <c r="AA792" s="295"/>
      <c r="AH792" s="295"/>
      <c r="AI792" s="188"/>
      <c r="AJ792" s="188"/>
      <c r="AK792" s="188"/>
      <c r="AL792" s="188"/>
      <c r="AM792" s="188"/>
      <c r="AN792" s="188"/>
      <c r="AO792" s="299"/>
      <c r="CI792" s="294"/>
      <c r="CJ792" s="294"/>
    </row>
    <row r="793" spans="2:88" ht="13">
      <c r="B793" s="294"/>
      <c r="F793" s="296"/>
      <c r="J793" s="302"/>
      <c r="T793" s="295"/>
      <c r="AA793" s="295"/>
      <c r="AH793" s="295"/>
      <c r="AI793" s="188"/>
      <c r="AJ793" s="188"/>
      <c r="AK793" s="188"/>
      <c r="AL793" s="188"/>
      <c r="AM793" s="188"/>
      <c r="AN793" s="188"/>
      <c r="AO793" s="299"/>
      <c r="CI793" s="294"/>
      <c r="CJ793" s="294"/>
    </row>
    <row r="794" spans="2:88" ht="13">
      <c r="B794" s="294"/>
      <c r="F794" s="296"/>
      <c r="J794" s="302"/>
      <c r="T794" s="295"/>
      <c r="AA794" s="295"/>
      <c r="AH794" s="295"/>
      <c r="AI794" s="188"/>
      <c r="AJ794" s="188"/>
      <c r="AK794" s="188"/>
      <c r="AL794" s="188"/>
      <c r="AM794" s="188"/>
      <c r="AN794" s="188"/>
      <c r="AO794" s="299"/>
      <c r="CI794" s="294"/>
      <c r="CJ794" s="294"/>
    </row>
    <row r="795" spans="2:88" ht="13">
      <c r="B795" s="294"/>
      <c r="F795" s="296"/>
      <c r="J795" s="302"/>
      <c r="T795" s="295"/>
      <c r="AA795" s="295"/>
      <c r="AH795" s="295"/>
      <c r="AI795" s="188"/>
      <c r="AJ795" s="188"/>
      <c r="AK795" s="188"/>
      <c r="AL795" s="188"/>
      <c r="AM795" s="188"/>
      <c r="AN795" s="188"/>
      <c r="AO795" s="299"/>
      <c r="CI795" s="294"/>
      <c r="CJ795" s="294"/>
    </row>
    <row r="796" spans="2:88" ht="13">
      <c r="B796" s="294"/>
      <c r="F796" s="296"/>
      <c r="J796" s="302"/>
      <c r="T796" s="295"/>
      <c r="AA796" s="295"/>
      <c r="AH796" s="295"/>
      <c r="AI796" s="188"/>
      <c r="AJ796" s="188"/>
      <c r="AK796" s="188"/>
      <c r="AL796" s="188"/>
      <c r="AM796" s="188"/>
      <c r="AN796" s="188"/>
      <c r="AO796" s="299"/>
      <c r="CI796" s="294"/>
      <c r="CJ796" s="294"/>
    </row>
    <row r="797" spans="2:88" ht="13">
      <c r="B797" s="294"/>
      <c r="F797" s="296"/>
      <c r="J797" s="302"/>
      <c r="T797" s="295"/>
      <c r="AA797" s="295"/>
      <c r="AH797" s="295"/>
      <c r="AI797" s="188"/>
      <c r="AJ797" s="188"/>
      <c r="AK797" s="188"/>
      <c r="AL797" s="188"/>
      <c r="AM797" s="188"/>
      <c r="AN797" s="188"/>
      <c r="AO797" s="299"/>
      <c r="CI797" s="294"/>
      <c r="CJ797" s="294"/>
    </row>
    <row r="798" spans="2:88" ht="13">
      <c r="B798" s="294"/>
      <c r="F798" s="296"/>
      <c r="J798" s="302"/>
      <c r="T798" s="295"/>
      <c r="AA798" s="295"/>
      <c r="AH798" s="295"/>
      <c r="AI798" s="188"/>
      <c r="AJ798" s="188"/>
      <c r="AK798" s="188"/>
      <c r="AL798" s="188"/>
      <c r="AM798" s="188"/>
      <c r="AN798" s="188"/>
      <c r="AO798" s="299"/>
      <c r="CI798" s="294"/>
      <c r="CJ798" s="294"/>
    </row>
    <row r="799" spans="2:88" ht="13">
      <c r="B799" s="294"/>
      <c r="F799" s="296"/>
      <c r="J799" s="302"/>
      <c r="T799" s="295"/>
      <c r="AA799" s="295"/>
      <c r="AH799" s="295"/>
      <c r="AI799" s="188"/>
      <c r="AJ799" s="188"/>
      <c r="AK799" s="188"/>
      <c r="AL799" s="188"/>
      <c r="AM799" s="188"/>
      <c r="AN799" s="188"/>
      <c r="AO799" s="299"/>
      <c r="CI799" s="294"/>
      <c r="CJ799" s="294"/>
    </row>
    <row r="800" spans="2:88" ht="13">
      <c r="B800" s="294"/>
      <c r="F800" s="296"/>
      <c r="J800" s="302"/>
      <c r="T800" s="295"/>
      <c r="AA800" s="295"/>
      <c r="AH800" s="295"/>
      <c r="AI800" s="188"/>
      <c r="AJ800" s="188"/>
      <c r="AK800" s="188"/>
      <c r="AL800" s="188"/>
      <c r="AM800" s="188"/>
      <c r="AN800" s="188"/>
      <c r="AO800" s="299"/>
      <c r="CI800" s="294"/>
      <c r="CJ800" s="294"/>
    </row>
    <row r="801" spans="2:88" ht="13">
      <c r="B801" s="294"/>
      <c r="F801" s="296"/>
      <c r="J801" s="302"/>
      <c r="T801" s="295"/>
      <c r="AA801" s="295"/>
      <c r="AH801" s="295"/>
      <c r="AI801" s="188"/>
      <c r="AJ801" s="188"/>
      <c r="AK801" s="188"/>
      <c r="AL801" s="188"/>
      <c r="AM801" s="188"/>
      <c r="AN801" s="188"/>
      <c r="AO801" s="299"/>
      <c r="CI801" s="294"/>
      <c r="CJ801" s="294"/>
    </row>
    <row r="802" spans="2:88" ht="13">
      <c r="B802" s="294"/>
      <c r="F802" s="296"/>
      <c r="J802" s="302"/>
      <c r="T802" s="295"/>
      <c r="AA802" s="295"/>
      <c r="AH802" s="295"/>
      <c r="AI802" s="188"/>
      <c r="AJ802" s="188"/>
      <c r="AK802" s="188"/>
      <c r="AL802" s="188"/>
      <c r="AM802" s="188"/>
      <c r="AN802" s="188"/>
      <c r="AO802" s="299"/>
      <c r="CI802" s="294"/>
      <c r="CJ802" s="294"/>
    </row>
    <row r="803" spans="2:88" ht="13">
      <c r="B803" s="294"/>
      <c r="F803" s="296"/>
      <c r="J803" s="302"/>
      <c r="T803" s="295"/>
      <c r="AA803" s="295"/>
      <c r="AH803" s="295"/>
      <c r="AI803" s="188"/>
      <c r="AJ803" s="188"/>
      <c r="AK803" s="188"/>
      <c r="AL803" s="188"/>
      <c r="AM803" s="188"/>
      <c r="AN803" s="188"/>
      <c r="AO803" s="299"/>
      <c r="CI803" s="294"/>
      <c r="CJ803" s="294"/>
    </row>
    <row r="804" spans="2:88" ht="13">
      <c r="B804" s="294"/>
      <c r="F804" s="296"/>
      <c r="J804" s="302"/>
      <c r="T804" s="295"/>
      <c r="AA804" s="295"/>
      <c r="AH804" s="295"/>
      <c r="AI804" s="188"/>
      <c r="AJ804" s="188"/>
      <c r="AK804" s="188"/>
      <c r="AL804" s="188"/>
      <c r="AM804" s="188"/>
      <c r="AN804" s="188"/>
      <c r="AO804" s="299"/>
      <c r="CI804" s="294"/>
      <c r="CJ804" s="294"/>
    </row>
    <row r="805" spans="2:88" ht="13">
      <c r="B805" s="294"/>
      <c r="F805" s="296"/>
      <c r="J805" s="302"/>
      <c r="T805" s="295"/>
      <c r="AA805" s="295"/>
      <c r="AH805" s="295"/>
      <c r="AI805" s="188"/>
      <c r="AJ805" s="188"/>
      <c r="AK805" s="188"/>
      <c r="AL805" s="188"/>
      <c r="AM805" s="188"/>
      <c r="AN805" s="188"/>
      <c r="AO805" s="299"/>
      <c r="CI805" s="294"/>
      <c r="CJ805" s="294"/>
    </row>
    <row r="806" spans="2:88" ht="13">
      <c r="B806" s="294"/>
      <c r="F806" s="296"/>
      <c r="J806" s="302"/>
      <c r="T806" s="295"/>
      <c r="AA806" s="295"/>
      <c r="AH806" s="295"/>
      <c r="AI806" s="188"/>
      <c r="AJ806" s="188"/>
      <c r="AK806" s="188"/>
      <c r="AL806" s="188"/>
      <c r="AM806" s="188"/>
      <c r="AN806" s="188"/>
      <c r="AO806" s="299"/>
      <c r="CI806" s="294"/>
      <c r="CJ806" s="294"/>
    </row>
    <row r="807" spans="2:88" ht="13">
      <c r="B807" s="294"/>
      <c r="F807" s="296"/>
      <c r="J807" s="302"/>
      <c r="T807" s="295"/>
      <c r="AA807" s="295"/>
      <c r="AH807" s="295"/>
      <c r="AI807" s="188"/>
      <c r="AJ807" s="188"/>
      <c r="AK807" s="188"/>
      <c r="AL807" s="188"/>
      <c r="AM807" s="188"/>
      <c r="AN807" s="188"/>
      <c r="AO807" s="299"/>
      <c r="CI807" s="294"/>
      <c r="CJ807" s="294"/>
    </row>
    <row r="808" spans="2:88" ht="13">
      <c r="B808" s="294"/>
      <c r="F808" s="296"/>
      <c r="J808" s="302"/>
      <c r="T808" s="295"/>
      <c r="AA808" s="295"/>
      <c r="AH808" s="295"/>
      <c r="AI808" s="188"/>
      <c r="AJ808" s="188"/>
      <c r="AK808" s="188"/>
      <c r="AL808" s="188"/>
      <c r="AM808" s="188"/>
      <c r="AN808" s="188"/>
      <c r="AO808" s="299"/>
      <c r="CI808" s="294"/>
      <c r="CJ808" s="294"/>
    </row>
    <row r="809" spans="2:88" ht="13">
      <c r="B809" s="294"/>
      <c r="F809" s="296"/>
      <c r="J809" s="302"/>
      <c r="T809" s="295"/>
      <c r="AA809" s="295"/>
      <c r="AH809" s="295"/>
      <c r="AI809" s="188"/>
      <c r="AJ809" s="188"/>
      <c r="AK809" s="188"/>
      <c r="AL809" s="188"/>
      <c r="AM809" s="188"/>
      <c r="AN809" s="188"/>
      <c r="AO809" s="299"/>
      <c r="CI809" s="294"/>
      <c r="CJ809" s="294"/>
    </row>
    <row r="810" spans="2:88" ht="13">
      <c r="B810" s="294"/>
      <c r="F810" s="296"/>
      <c r="J810" s="302"/>
      <c r="T810" s="295"/>
      <c r="AA810" s="295"/>
      <c r="AH810" s="295"/>
      <c r="AI810" s="188"/>
      <c r="AJ810" s="188"/>
      <c r="AK810" s="188"/>
      <c r="AL810" s="188"/>
      <c r="AM810" s="188"/>
      <c r="AN810" s="188"/>
      <c r="AO810" s="299"/>
      <c r="CI810" s="294"/>
      <c r="CJ810" s="294"/>
    </row>
    <row r="811" spans="2:88" ht="13">
      <c r="B811" s="294"/>
      <c r="F811" s="296"/>
      <c r="J811" s="302"/>
      <c r="T811" s="295"/>
      <c r="AA811" s="295"/>
      <c r="AH811" s="295"/>
      <c r="AI811" s="188"/>
      <c r="AJ811" s="188"/>
      <c r="AK811" s="188"/>
      <c r="AL811" s="188"/>
      <c r="AM811" s="188"/>
      <c r="AN811" s="188"/>
      <c r="AO811" s="299"/>
      <c r="CI811" s="294"/>
      <c r="CJ811" s="294"/>
    </row>
    <row r="812" spans="2:88" ht="13">
      <c r="B812" s="294"/>
      <c r="F812" s="296"/>
      <c r="J812" s="302"/>
      <c r="T812" s="295"/>
      <c r="AA812" s="295"/>
      <c r="AH812" s="295"/>
      <c r="AI812" s="188"/>
      <c r="AJ812" s="188"/>
      <c r="AK812" s="188"/>
      <c r="AL812" s="188"/>
      <c r="AM812" s="188"/>
      <c r="AN812" s="188"/>
      <c r="AO812" s="299"/>
      <c r="CI812" s="294"/>
      <c r="CJ812" s="294"/>
    </row>
    <row r="813" spans="2:88" ht="13">
      <c r="B813" s="294"/>
      <c r="F813" s="296"/>
      <c r="J813" s="302"/>
      <c r="T813" s="295"/>
      <c r="AA813" s="295"/>
      <c r="AH813" s="295"/>
      <c r="AI813" s="188"/>
      <c r="AJ813" s="188"/>
      <c r="AK813" s="188"/>
      <c r="AL813" s="188"/>
      <c r="AM813" s="188"/>
      <c r="AN813" s="188"/>
      <c r="AO813" s="299"/>
      <c r="CI813" s="294"/>
      <c r="CJ813" s="294"/>
    </row>
    <row r="814" spans="2:88" ht="13">
      <c r="B814" s="294"/>
      <c r="F814" s="296"/>
      <c r="J814" s="302"/>
      <c r="T814" s="295"/>
      <c r="AA814" s="295"/>
      <c r="AH814" s="295"/>
      <c r="AI814" s="188"/>
      <c r="AJ814" s="188"/>
      <c r="AK814" s="188"/>
      <c r="AL814" s="188"/>
      <c r="AM814" s="188"/>
      <c r="AN814" s="188"/>
      <c r="AO814" s="299"/>
      <c r="CI814" s="294"/>
      <c r="CJ814" s="294"/>
    </row>
    <row r="815" spans="2:88" ht="13">
      <c r="B815" s="294"/>
      <c r="F815" s="296"/>
      <c r="J815" s="302"/>
      <c r="T815" s="295"/>
      <c r="AA815" s="295"/>
      <c r="AH815" s="295"/>
      <c r="AI815" s="188"/>
      <c r="AJ815" s="188"/>
      <c r="AK815" s="188"/>
      <c r="AL815" s="188"/>
      <c r="AM815" s="188"/>
      <c r="AN815" s="188"/>
      <c r="AO815" s="299"/>
      <c r="CI815" s="294"/>
      <c r="CJ815" s="294"/>
    </row>
    <row r="816" spans="2:88" ht="13">
      <c r="B816" s="294"/>
      <c r="F816" s="296"/>
      <c r="J816" s="302"/>
      <c r="T816" s="295"/>
      <c r="AA816" s="295"/>
      <c r="AH816" s="295"/>
      <c r="AI816" s="188"/>
      <c r="AJ816" s="188"/>
      <c r="AK816" s="188"/>
      <c r="AL816" s="188"/>
      <c r="AM816" s="188"/>
      <c r="AN816" s="188"/>
      <c r="AO816" s="299"/>
      <c r="CI816" s="294"/>
      <c r="CJ816" s="294"/>
    </row>
    <row r="817" spans="2:88" ht="13">
      <c r="B817" s="294"/>
      <c r="F817" s="296"/>
      <c r="J817" s="302"/>
      <c r="T817" s="295"/>
      <c r="AA817" s="295"/>
      <c r="AH817" s="295"/>
      <c r="AI817" s="188"/>
      <c r="AJ817" s="188"/>
      <c r="AK817" s="188"/>
      <c r="AL817" s="188"/>
      <c r="AM817" s="188"/>
      <c r="AN817" s="188"/>
      <c r="AO817" s="299"/>
      <c r="CI817" s="294"/>
      <c r="CJ817" s="294"/>
    </row>
    <row r="818" spans="2:88" ht="13">
      <c r="B818" s="294"/>
      <c r="F818" s="296"/>
      <c r="J818" s="302"/>
      <c r="T818" s="295"/>
      <c r="AA818" s="295"/>
      <c r="AH818" s="295"/>
      <c r="AI818" s="188"/>
      <c r="AJ818" s="188"/>
      <c r="AK818" s="188"/>
      <c r="AL818" s="188"/>
      <c r="AM818" s="188"/>
      <c r="AN818" s="188"/>
      <c r="AO818" s="299"/>
      <c r="CI818" s="294"/>
      <c r="CJ818" s="294"/>
    </row>
    <row r="819" spans="2:88" ht="13">
      <c r="B819" s="294"/>
      <c r="F819" s="296"/>
      <c r="J819" s="302"/>
      <c r="T819" s="295"/>
      <c r="AA819" s="295"/>
      <c r="AH819" s="295"/>
      <c r="AI819" s="188"/>
      <c r="AJ819" s="188"/>
      <c r="AK819" s="188"/>
      <c r="AL819" s="188"/>
      <c r="AM819" s="188"/>
      <c r="AN819" s="188"/>
      <c r="AO819" s="299"/>
      <c r="CI819" s="294"/>
      <c r="CJ819" s="294"/>
    </row>
    <row r="820" spans="2:88" ht="13">
      <c r="B820" s="294"/>
      <c r="F820" s="296"/>
      <c r="J820" s="302"/>
      <c r="T820" s="295"/>
      <c r="AA820" s="295"/>
      <c r="AH820" s="295"/>
      <c r="AI820" s="188"/>
      <c r="AJ820" s="188"/>
      <c r="AK820" s="188"/>
      <c r="AL820" s="188"/>
      <c r="AM820" s="188"/>
      <c r="AN820" s="188"/>
      <c r="AO820" s="299"/>
      <c r="CI820" s="294"/>
      <c r="CJ820" s="294"/>
    </row>
    <row r="821" spans="2:88" ht="13">
      <c r="B821" s="294"/>
      <c r="F821" s="296"/>
      <c r="J821" s="302"/>
      <c r="T821" s="295"/>
      <c r="AA821" s="295"/>
      <c r="AH821" s="295"/>
      <c r="AI821" s="188"/>
      <c r="AJ821" s="188"/>
      <c r="AK821" s="188"/>
      <c r="AL821" s="188"/>
      <c r="AM821" s="188"/>
      <c r="AN821" s="188"/>
      <c r="AO821" s="299"/>
      <c r="CI821" s="294"/>
      <c r="CJ821" s="294"/>
    </row>
    <row r="822" spans="2:88" ht="13">
      <c r="B822" s="294"/>
      <c r="F822" s="296"/>
      <c r="J822" s="302"/>
      <c r="T822" s="295"/>
      <c r="AA822" s="295"/>
      <c r="AH822" s="295"/>
      <c r="AI822" s="188"/>
      <c r="AJ822" s="188"/>
      <c r="AK822" s="188"/>
      <c r="AL822" s="188"/>
      <c r="AM822" s="188"/>
      <c r="AN822" s="188"/>
      <c r="AO822" s="299"/>
      <c r="CI822" s="294"/>
      <c r="CJ822" s="294"/>
    </row>
    <row r="823" spans="2:88" ht="13">
      <c r="B823" s="294"/>
      <c r="F823" s="296"/>
      <c r="J823" s="302"/>
      <c r="T823" s="295"/>
      <c r="AA823" s="295"/>
      <c r="AH823" s="295"/>
      <c r="AI823" s="188"/>
      <c r="AJ823" s="188"/>
      <c r="AK823" s="188"/>
      <c r="AL823" s="188"/>
      <c r="AM823" s="188"/>
      <c r="AN823" s="188"/>
      <c r="AO823" s="299"/>
      <c r="CI823" s="294"/>
      <c r="CJ823" s="294"/>
    </row>
    <row r="824" spans="2:88" ht="13">
      <c r="B824" s="294"/>
      <c r="F824" s="296"/>
      <c r="J824" s="302"/>
      <c r="T824" s="295"/>
      <c r="AA824" s="295"/>
      <c r="AH824" s="295"/>
      <c r="AI824" s="188"/>
      <c r="AJ824" s="188"/>
      <c r="AK824" s="188"/>
      <c r="AL824" s="188"/>
      <c r="AM824" s="188"/>
      <c r="AN824" s="188"/>
      <c r="AO824" s="299"/>
      <c r="CI824" s="294"/>
      <c r="CJ824" s="294"/>
    </row>
    <row r="825" spans="2:88" ht="13">
      <c r="B825" s="294"/>
      <c r="F825" s="296"/>
      <c r="J825" s="302"/>
      <c r="T825" s="295"/>
      <c r="AA825" s="295"/>
      <c r="AH825" s="295"/>
      <c r="AI825" s="188"/>
      <c r="AJ825" s="188"/>
      <c r="AK825" s="188"/>
      <c r="AL825" s="188"/>
      <c r="AM825" s="188"/>
      <c r="AN825" s="188"/>
      <c r="AO825" s="299"/>
      <c r="CI825" s="294"/>
      <c r="CJ825" s="294"/>
    </row>
    <row r="826" spans="2:88" ht="13">
      <c r="B826" s="294"/>
      <c r="F826" s="296"/>
      <c r="J826" s="302"/>
      <c r="T826" s="295"/>
      <c r="AA826" s="295"/>
      <c r="AH826" s="295"/>
      <c r="AI826" s="188"/>
      <c r="AJ826" s="188"/>
      <c r="AK826" s="188"/>
      <c r="AL826" s="188"/>
      <c r="AM826" s="188"/>
      <c r="AN826" s="188"/>
      <c r="AO826" s="299"/>
      <c r="CI826" s="294"/>
      <c r="CJ826" s="294"/>
    </row>
    <row r="827" spans="2:88" ht="13">
      <c r="B827" s="294"/>
      <c r="F827" s="296"/>
      <c r="J827" s="302"/>
      <c r="T827" s="295"/>
      <c r="AA827" s="295"/>
      <c r="AH827" s="295"/>
      <c r="AI827" s="188"/>
      <c r="AJ827" s="188"/>
      <c r="AK827" s="188"/>
      <c r="AL827" s="188"/>
      <c r="AM827" s="188"/>
      <c r="AN827" s="188"/>
      <c r="AO827" s="299"/>
      <c r="CI827" s="294"/>
      <c r="CJ827" s="294"/>
    </row>
    <row r="828" spans="2:88" ht="13">
      <c r="B828" s="294"/>
      <c r="F828" s="296"/>
      <c r="J828" s="302"/>
      <c r="T828" s="295"/>
      <c r="AA828" s="295"/>
      <c r="AH828" s="295"/>
      <c r="AI828" s="188"/>
      <c r="AJ828" s="188"/>
      <c r="AK828" s="188"/>
      <c r="AL828" s="188"/>
      <c r="AM828" s="188"/>
      <c r="AN828" s="188"/>
      <c r="AO828" s="299"/>
      <c r="CI828" s="294"/>
      <c r="CJ828" s="294"/>
    </row>
    <row r="829" spans="2:88" ht="13">
      <c r="B829" s="294"/>
      <c r="F829" s="296"/>
      <c r="J829" s="302"/>
      <c r="T829" s="295"/>
      <c r="AA829" s="295"/>
      <c r="AH829" s="295"/>
      <c r="AI829" s="188"/>
      <c r="AJ829" s="188"/>
      <c r="AK829" s="188"/>
      <c r="AL829" s="188"/>
      <c r="AM829" s="188"/>
      <c r="AN829" s="188"/>
      <c r="AO829" s="299"/>
      <c r="CI829" s="294"/>
      <c r="CJ829" s="294"/>
    </row>
    <row r="830" spans="2:88" ht="13">
      <c r="B830" s="294"/>
      <c r="F830" s="296"/>
      <c r="J830" s="302"/>
      <c r="T830" s="295"/>
      <c r="AA830" s="295"/>
      <c r="AH830" s="295"/>
      <c r="AI830" s="188"/>
      <c r="AJ830" s="188"/>
      <c r="AK830" s="188"/>
      <c r="AL830" s="188"/>
      <c r="AM830" s="188"/>
      <c r="AN830" s="188"/>
      <c r="AO830" s="299"/>
      <c r="CI830" s="294"/>
      <c r="CJ830" s="294"/>
    </row>
    <row r="831" spans="2:88" ht="13">
      <c r="B831" s="294"/>
      <c r="F831" s="296"/>
      <c r="J831" s="302"/>
      <c r="T831" s="295"/>
      <c r="AA831" s="295"/>
      <c r="AH831" s="295"/>
      <c r="AI831" s="188"/>
      <c r="AJ831" s="188"/>
      <c r="AK831" s="188"/>
      <c r="AL831" s="188"/>
      <c r="AM831" s="188"/>
      <c r="AN831" s="188"/>
      <c r="AO831" s="299"/>
      <c r="CI831" s="294"/>
      <c r="CJ831" s="294"/>
    </row>
    <row r="832" spans="2:88" ht="13">
      <c r="B832" s="294"/>
      <c r="F832" s="296"/>
      <c r="J832" s="302"/>
      <c r="T832" s="295"/>
      <c r="AA832" s="295"/>
      <c r="AH832" s="295"/>
      <c r="AI832" s="188"/>
      <c r="AJ832" s="188"/>
      <c r="AK832" s="188"/>
      <c r="AL832" s="188"/>
      <c r="AM832" s="188"/>
      <c r="AN832" s="188"/>
      <c r="AO832" s="299"/>
      <c r="CI832" s="294"/>
      <c r="CJ832" s="294"/>
    </row>
    <row r="833" spans="2:88" ht="13">
      <c r="B833" s="294"/>
      <c r="F833" s="296"/>
      <c r="J833" s="302"/>
      <c r="T833" s="295"/>
      <c r="AA833" s="295"/>
      <c r="AH833" s="295"/>
      <c r="AI833" s="188"/>
      <c r="AJ833" s="188"/>
      <c r="AK833" s="188"/>
      <c r="AL833" s="188"/>
      <c r="AM833" s="188"/>
      <c r="AN833" s="188"/>
      <c r="AO833" s="299"/>
      <c r="CI833" s="294"/>
      <c r="CJ833" s="294"/>
    </row>
    <row r="834" spans="2:88" ht="13">
      <c r="B834" s="294"/>
      <c r="F834" s="296"/>
      <c r="J834" s="302"/>
      <c r="T834" s="295"/>
      <c r="AA834" s="295"/>
      <c r="AH834" s="295"/>
      <c r="AI834" s="188"/>
      <c r="AJ834" s="188"/>
      <c r="AK834" s="188"/>
      <c r="AL834" s="188"/>
      <c r="AM834" s="188"/>
      <c r="AN834" s="188"/>
      <c r="AO834" s="299"/>
      <c r="CI834" s="294"/>
      <c r="CJ834" s="294"/>
    </row>
    <row r="835" spans="2:88" ht="13">
      <c r="B835" s="294"/>
      <c r="F835" s="296"/>
      <c r="J835" s="302"/>
      <c r="T835" s="295"/>
      <c r="AA835" s="295"/>
      <c r="AH835" s="295"/>
      <c r="AI835" s="188"/>
      <c r="AJ835" s="188"/>
      <c r="AK835" s="188"/>
      <c r="AL835" s="188"/>
      <c r="AM835" s="188"/>
      <c r="AN835" s="188"/>
      <c r="AO835" s="299"/>
      <c r="CI835" s="294"/>
      <c r="CJ835" s="294"/>
    </row>
    <row r="836" spans="2:88" ht="13">
      <c r="B836" s="294"/>
      <c r="F836" s="296"/>
      <c r="J836" s="302"/>
      <c r="T836" s="295"/>
      <c r="AA836" s="295"/>
      <c r="AH836" s="295"/>
      <c r="AI836" s="188"/>
      <c r="AJ836" s="188"/>
      <c r="AK836" s="188"/>
      <c r="AL836" s="188"/>
      <c r="AM836" s="188"/>
      <c r="AN836" s="188"/>
      <c r="AO836" s="299"/>
      <c r="CI836" s="294"/>
      <c r="CJ836" s="294"/>
    </row>
    <row r="837" spans="2:88" ht="13">
      <c r="B837" s="294"/>
      <c r="F837" s="296"/>
      <c r="J837" s="302"/>
      <c r="T837" s="295"/>
      <c r="AA837" s="295"/>
      <c r="AH837" s="295"/>
      <c r="AI837" s="188"/>
      <c r="AJ837" s="188"/>
      <c r="AK837" s="188"/>
      <c r="AL837" s="188"/>
      <c r="AM837" s="188"/>
      <c r="AN837" s="188"/>
      <c r="AO837" s="299"/>
      <c r="CI837" s="294"/>
      <c r="CJ837" s="294"/>
    </row>
    <row r="838" spans="2:88" ht="13">
      <c r="B838" s="294"/>
      <c r="F838" s="296"/>
      <c r="J838" s="302"/>
      <c r="T838" s="295"/>
      <c r="AA838" s="295"/>
      <c r="AH838" s="295"/>
      <c r="AI838" s="188"/>
      <c r="AJ838" s="188"/>
      <c r="AK838" s="188"/>
      <c r="AL838" s="188"/>
      <c r="AM838" s="188"/>
      <c r="AN838" s="188"/>
      <c r="AO838" s="299"/>
      <c r="CI838" s="294"/>
      <c r="CJ838" s="294"/>
    </row>
    <row r="839" spans="2:88" ht="13">
      <c r="B839" s="294"/>
      <c r="F839" s="296"/>
      <c r="J839" s="302"/>
      <c r="T839" s="295"/>
      <c r="AA839" s="295"/>
      <c r="AH839" s="295"/>
      <c r="AI839" s="188"/>
      <c r="AJ839" s="188"/>
      <c r="AK839" s="188"/>
      <c r="AL839" s="188"/>
      <c r="AM839" s="188"/>
      <c r="AN839" s="188"/>
      <c r="AO839" s="299"/>
      <c r="CI839" s="294"/>
      <c r="CJ839" s="294"/>
    </row>
    <row r="840" spans="2:88" ht="13">
      <c r="B840" s="294"/>
      <c r="F840" s="296"/>
      <c r="J840" s="302"/>
      <c r="T840" s="295"/>
      <c r="AA840" s="295"/>
      <c r="AH840" s="295"/>
      <c r="AI840" s="188"/>
      <c r="AJ840" s="188"/>
      <c r="AK840" s="188"/>
      <c r="AL840" s="188"/>
      <c r="AM840" s="188"/>
      <c r="AN840" s="188"/>
      <c r="AO840" s="299"/>
      <c r="CI840" s="294"/>
      <c r="CJ840" s="294"/>
    </row>
    <row r="841" spans="2:88" ht="13">
      <c r="B841" s="294"/>
      <c r="F841" s="296"/>
      <c r="J841" s="302"/>
      <c r="T841" s="295"/>
      <c r="AA841" s="295"/>
      <c r="AH841" s="295"/>
      <c r="AI841" s="188"/>
      <c r="AJ841" s="188"/>
      <c r="AK841" s="188"/>
      <c r="AL841" s="188"/>
      <c r="AM841" s="188"/>
      <c r="AN841" s="188"/>
      <c r="AO841" s="299"/>
      <c r="CI841" s="294"/>
      <c r="CJ841" s="294"/>
    </row>
    <row r="842" spans="2:88" ht="13">
      <c r="B842" s="294"/>
      <c r="F842" s="296"/>
      <c r="J842" s="302"/>
      <c r="T842" s="295"/>
      <c r="AA842" s="295"/>
      <c r="AH842" s="295"/>
      <c r="AI842" s="188"/>
      <c r="AJ842" s="188"/>
      <c r="AK842" s="188"/>
      <c r="AL842" s="188"/>
      <c r="AM842" s="188"/>
      <c r="AN842" s="188"/>
      <c r="AO842" s="299"/>
      <c r="CI842" s="294"/>
      <c r="CJ842" s="294"/>
    </row>
    <row r="843" spans="2:88" ht="13">
      <c r="B843" s="294"/>
      <c r="F843" s="296"/>
      <c r="J843" s="302"/>
      <c r="T843" s="295"/>
      <c r="AA843" s="295"/>
      <c r="AH843" s="295"/>
      <c r="AI843" s="188"/>
      <c r="AJ843" s="188"/>
      <c r="AK843" s="188"/>
      <c r="AL843" s="188"/>
      <c r="AM843" s="188"/>
      <c r="AN843" s="188"/>
      <c r="AO843" s="299"/>
      <c r="CI843" s="294"/>
      <c r="CJ843" s="294"/>
    </row>
    <row r="844" spans="2:88" ht="13">
      <c r="B844" s="294"/>
      <c r="F844" s="296"/>
      <c r="J844" s="302"/>
      <c r="T844" s="295"/>
      <c r="AA844" s="295"/>
      <c r="AH844" s="295"/>
      <c r="AI844" s="188"/>
      <c r="AJ844" s="188"/>
      <c r="AK844" s="188"/>
      <c r="AL844" s="188"/>
      <c r="AM844" s="188"/>
      <c r="AN844" s="188"/>
      <c r="AO844" s="299"/>
      <c r="CI844" s="294"/>
      <c r="CJ844" s="294"/>
    </row>
    <row r="845" spans="2:88" ht="13">
      <c r="B845" s="294"/>
      <c r="F845" s="296"/>
      <c r="J845" s="302"/>
      <c r="T845" s="295"/>
      <c r="AA845" s="295"/>
      <c r="AH845" s="295"/>
      <c r="AI845" s="188"/>
      <c r="AJ845" s="188"/>
      <c r="AK845" s="188"/>
      <c r="AL845" s="188"/>
      <c r="AM845" s="188"/>
      <c r="AN845" s="188"/>
      <c r="AO845" s="299"/>
      <c r="CI845" s="294"/>
      <c r="CJ845" s="294"/>
    </row>
    <row r="846" spans="2:88" ht="13">
      <c r="B846" s="294"/>
      <c r="F846" s="296"/>
      <c r="J846" s="302"/>
      <c r="T846" s="295"/>
      <c r="AA846" s="295"/>
      <c r="AH846" s="295"/>
      <c r="AI846" s="188"/>
      <c r="AJ846" s="188"/>
      <c r="AK846" s="188"/>
      <c r="AL846" s="188"/>
      <c r="AM846" s="188"/>
      <c r="AN846" s="188"/>
      <c r="AO846" s="299"/>
      <c r="CI846" s="294"/>
      <c r="CJ846" s="294"/>
    </row>
    <row r="847" spans="2:88" ht="13">
      <c r="B847" s="294"/>
      <c r="F847" s="296"/>
      <c r="J847" s="302"/>
      <c r="T847" s="295"/>
      <c r="AA847" s="295"/>
      <c r="AH847" s="295"/>
      <c r="AI847" s="188"/>
      <c r="AJ847" s="188"/>
      <c r="AK847" s="188"/>
      <c r="AL847" s="188"/>
      <c r="AM847" s="188"/>
      <c r="AN847" s="188"/>
      <c r="AO847" s="299"/>
      <c r="CI847" s="294"/>
      <c r="CJ847" s="294"/>
    </row>
    <row r="848" spans="2:88" ht="13">
      <c r="B848" s="294"/>
      <c r="F848" s="296"/>
      <c r="J848" s="302"/>
      <c r="T848" s="295"/>
      <c r="AA848" s="295"/>
      <c r="AH848" s="295"/>
      <c r="AI848" s="188"/>
      <c r="AJ848" s="188"/>
      <c r="AK848" s="188"/>
      <c r="AL848" s="188"/>
      <c r="AM848" s="188"/>
      <c r="AN848" s="188"/>
      <c r="AO848" s="299"/>
      <c r="CI848" s="294"/>
      <c r="CJ848" s="294"/>
    </row>
    <row r="849" spans="2:88" ht="13">
      <c r="B849" s="294"/>
      <c r="F849" s="296"/>
      <c r="J849" s="302"/>
      <c r="T849" s="295"/>
      <c r="AA849" s="295"/>
      <c r="AH849" s="295"/>
      <c r="AI849" s="188"/>
      <c r="AJ849" s="188"/>
      <c r="AK849" s="188"/>
      <c r="AL849" s="188"/>
      <c r="AM849" s="188"/>
      <c r="AN849" s="188"/>
      <c r="AO849" s="299"/>
      <c r="CI849" s="294"/>
      <c r="CJ849" s="294"/>
    </row>
    <row r="850" spans="2:88" ht="13">
      <c r="B850" s="294"/>
      <c r="F850" s="296"/>
      <c r="J850" s="302"/>
      <c r="T850" s="295"/>
      <c r="AA850" s="295"/>
      <c r="AH850" s="295"/>
      <c r="AI850" s="188"/>
      <c r="AJ850" s="188"/>
      <c r="AK850" s="188"/>
      <c r="AL850" s="188"/>
      <c r="AM850" s="188"/>
      <c r="AN850" s="188"/>
      <c r="AO850" s="299"/>
      <c r="CI850" s="294"/>
      <c r="CJ850" s="294"/>
    </row>
    <row r="851" spans="2:88" ht="13">
      <c r="B851" s="294"/>
      <c r="F851" s="296"/>
      <c r="J851" s="302"/>
      <c r="T851" s="295"/>
      <c r="AA851" s="295"/>
      <c r="AH851" s="295"/>
      <c r="AI851" s="188"/>
      <c r="AJ851" s="188"/>
      <c r="AK851" s="188"/>
      <c r="AL851" s="188"/>
      <c r="AM851" s="188"/>
      <c r="AN851" s="188"/>
      <c r="AO851" s="299"/>
      <c r="CI851" s="294"/>
      <c r="CJ851" s="294"/>
    </row>
    <row r="852" spans="2:88" ht="13">
      <c r="B852" s="294"/>
      <c r="F852" s="296"/>
      <c r="J852" s="302"/>
      <c r="T852" s="295"/>
      <c r="AA852" s="295"/>
      <c r="AH852" s="295"/>
      <c r="AI852" s="188"/>
      <c r="AJ852" s="188"/>
      <c r="AK852" s="188"/>
      <c r="AL852" s="188"/>
      <c r="AM852" s="188"/>
      <c r="AN852" s="188"/>
      <c r="AO852" s="299"/>
      <c r="CI852" s="294"/>
      <c r="CJ852" s="294"/>
    </row>
    <row r="853" spans="2:88" ht="13">
      <c r="B853" s="294"/>
      <c r="F853" s="296"/>
      <c r="J853" s="302"/>
      <c r="T853" s="295"/>
      <c r="AA853" s="295"/>
      <c r="AH853" s="295"/>
      <c r="AI853" s="188"/>
      <c r="AJ853" s="188"/>
      <c r="AK853" s="188"/>
      <c r="AL853" s="188"/>
      <c r="AM853" s="188"/>
      <c r="AN853" s="188"/>
      <c r="AO853" s="299"/>
      <c r="CI853" s="294"/>
      <c r="CJ853" s="294"/>
    </row>
    <row r="854" spans="2:88" ht="13">
      <c r="B854" s="294"/>
      <c r="F854" s="296"/>
      <c r="J854" s="302"/>
      <c r="T854" s="295"/>
      <c r="AA854" s="295"/>
      <c r="AH854" s="295"/>
      <c r="AI854" s="188"/>
      <c r="AJ854" s="188"/>
      <c r="AK854" s="188"/>
      <c r="AL854" s="188"/>
      <c r="AM854" s="188"/>
      <c r="AN854" s="188"/>
      <c r="AO854" s="299"/>
      <c r="CI854" s="294"/>
      <c r="CJ854" s="294"/>
    </row>
    <row r="855" spans="2:88" ht="13">
      <c r="B855" s="294"/>
      <c r="F855" s="296"/>
      <c r="J855" s="302"/>
      <c r="T855" s="295"/>
      <c r="AA855" s="295"/>
      <c r="AH855" s="295"/>
      <c r="AI855" s="188"/>
      <c r="AJ855" s="188"/>
      <c r="AK855" s="188"/>
      <c r="AL855" s="188"/>
      <c r="AM855" s="188"/>
      <c r="AN855" s="188"/>
      <c r="AO855" s="299"/>
      <c r="CI855" s="294"/>
      <c r="CJ855" s="294"/>
    </row>
    <row r="856" spans="2:88" ht="13">
      <c r="B856" s="294"/>
      <c r="F856" s="296"/>
      <c r="J856" s="302"/>
      <c r="T856" s="295"/>
      <c r="AA856" s="295"/>
      <c r="AH856" s="295"/>
      <c r="AI856" s="188"/>
      <c r="AJ856" s="188"/>
      <c r="AK856" s="188"/>
      <c r="AL856" s="188"/>
      <c r="AM856" s="188"/>
      <c r="AN856" s="188"/>
      <c r="AO856" s="299"/>
      <c r="CI856" s="294"/>
      <c r="CJ856" s="294"/>
    </row>
    <row r="857" spans="2:88" ht="13">
      <c r="B857" s="294"/>
      <c r="F857" s="296"/>
      <c r="J857" s="302"/>
      <c r="T857" s="295"/>
      <c r="AA857" s="295"/>
      <c r="AH857" s="295"/>
      <c r="AI857" s="188"/>
      <c r="AJ857" s="188"/>
      <c r="AK857" s="188"/>
      <c r="AL857" s="188"/>
      <c r="AM857" s="188"/>
      <c r="AN857" s="188"/>
      <c r="AO857" s="299"/>
      <c r="CI857" s="294"/>
      <c r="CJ857" s="294"/>
    </row>
    <row r="858" spans="2:88" ht="13">
      <c r="B858" s="294"/>
      <c r="F858" s="296"/>
      <c r="J858" s="302"/>
      <c r="T858" s="295"/>
      <c r="AA858" s="295"/>
      <c r="AH858" s="295"/>
      <c r="AI858" s="188"/>
      <c r="AJ858" s="188"/>
      <c r="AK858" s="188"/>
      <c r="AL858" s="188"/>
      <c r="AM858" s="188"/>
      <c r="AN858" s="188"/>
      <c r="AO858" s="299"/>
      <c r="CI858" s="294"/>
      <c r="CJ858" s="294"/>
    </row>
    <row r="859" spans="2:88" ht="13">
      <c r="B859" s="294"/>
      <c r="F859" s="296"/>
      <c r="J859" s="302"/>
      <c r="T859" s="295"/>
      <c r="AA859" s="295"/>
      <c r="AH859" s="295"/>
      <c r="AI859" s="188"/>
      <c r="AJ859" s="188"/>
      <c r="AK859" s="188"/>
      <c r="AL859" s="188"/>
      <c r="AM859" s="188"/>
      <c r="AN859" s="188"/>
      <c r="AO859" s="299"/>
      <c r="CI859" s="294"/>
      <c r="CJ859" s="294"/>
    </row>
    <row r="860" spans="2:88" ht="13">
      <c r="B860" s="294"/>
      <c r="F860" s="296"/>
      <c r="J860" s="302"/>
      <c r="T860" s="295"/>
      <c r="AA860" s="295"/>
      <c r="AH860" s="295"/>
      <c r="AI860" s="188"/>
      <c r="AJ860" s="188"/>
      <c r="AK860" s="188"/>
      <c r="AL860" s="188"/>
      <c r="AM860" s="188"/>
      <c r="AN860" s="188"/>
      <c r="AO860" s="299"/>
      <c r="CI860" s="294"/>
      <c r="CJ860" s="294"/>
    </row>
    <row r="861" spans="2:88" ht="13">
      <c r="B861" s="294"/>
      <c r="F861" s="296"/>
      <c r="J861" s="302"/>
      <c r="T861" s="295"/>
      <c r="AA861" s="295"/>
      <c r="AH861" s="295"/>
      <c r="AI861" s="188"/>
      <c r="AJ861" s="188"/>
      <c r="AK861" s="188"/>
      <c r="AL861" s="188"/>
      <c r="AM861" s="188"/>
      <c r="AN861" s="188"/>
      <c r="AO861" s="299"/>
      <c r="CI861" s="294"/>
      <c r="CJ861" s="294"/>
    </row>
    <row r="862" spans="2:88" ht="13">
      <c r="B862" s="294"/>
      <c r="F862" s="296"/>
      <c r="J862" s="302"/>
      <c r="T862" s="295"/>
      <c r="AA862" s="295"/>
      <c r="AH862" s="295"/>
      <c r="AI862" s="188"/>
      <c r="AJ862" s="188"/>
      <c r="AK862" s="188"/>
      <c r="AL862" s="188"/>
      <c r="AM862" s="188"/>
      <c r="AN862" s="188"/>
      <c r="AO862" s="299"/>
      <c r="CI862" s="294"/>
      <c r="CJ862" s="294"/>
    </row>
    <row r="863" spans="2:88" ht="13">
      <c r="B863" s="294"/>
      <c r="F863" s="296"/>
      <c r="J863" s="302"/>
      <c r="T863" s="295"/>
      <c r="AA863" s="295"/>
      <c r="AH863" s="295"/>
      <c r="AI863" s="188"/>
      <c r="AJ863" s="188"/>
      <c r="AK863" s="188"/>
      <c r="AL863" s="188"/>
      <c r="AM863" s="188"/>
      <c r="AN863" s="188"/>
      <c r="AO863" s="299"/>
      <c r="CI863" s="294"/>
      <c r="CJ863" s="294"/>
    </row>
    <row r="864" spans="2:88" ht="13">
      <c r="B864" s="294"/>
      <c r="F864" s="296"/>
      <c r="J864" s="302"/>
      <c r="T864" s="295"/>
      <c r="AA864" s="295"/>
      <c r="AH864" s="295"/>
      <c r="AI864" s="188"/>
      <c r="AJ864" s="188"/>
      <c r="AK864" s="188"/>
      <c r="AL864" s="188"/>
      <c r="AM864" s="188"/>
      <c r="AN864" s="188"/>
      <c r="AO864" s="299"/>
      <c r="CI864" s="294"/>
      <c r="CJ864" s="294"/>
    </row>
    <row r="865" spans="2:88" ht="13">
      <c r="B865" s="294"/>
      <c r="F865" s="296"/>
      <c r="J865" s="302"/>
      <c r="T865" s="295"/>
      <c r="AA865" s="295"/>
      <c r="AH865" s="295"/>
      <c r="AI865" s="188"/>
      <c r="AJ865" s="188"/>
      <c r="AK865" s="188"/>
      <c r="AL865" s="188"/>
      <c r="AM865" s="188"/>
      <c r="AN865" s="188"/>
      <c r="AO865" s="299"/>
      <c r="CI865" s="294"/>
      <c r="CJ865" s="294"/>
    </row>
    <row r="866" spans="2:88" ht="13">
      <c r="B866" s="294"/>
      <c r="F866" s="296"/>
      <c r="J866" s="302"/>
      <c r="T866" s="295"/>
      <c r="AA866" s="295"/>
      <c r="AH866" s="295"/>
      <c r="AI866" s="188"/>
      <c r="AJ866" s="188"/>
      <c r="AK866" s="188"/>
      <c r="AL866" s="188"/>
      <c r="AM866" s="188"/>
      <c r="AN866" s="188"/>
      <c r="AO866" s="299"/>
      <c r="CI866" s="294"/>
      <c r="CJ866" s="294"/>
    </row>
    <row r="867" spans="2:88" ht="13">
      <c r="B867" s="294"/>
      <c r="F867" s="296"/>
      <c r="J867" s="302"/>
      <c r="T867" s="295"/>
      <c r="AA867" s="295"/>
      <c r="AH867" s="295"/>
      <c r="AI867" s="188"/>
      <c r="AJ867" s="188"/>
      <c r="AK867" s="188"/>
      <c r="AL867" s="188"/>
      <c r="AM867" s="188"/>
      <c r="AN867" s="188"/>
      <c r="AO867" s="299"/>
      <c r="CI867" s="294"/>
      <c r="CJ867" s="294"/>
    </row>
    <row r="868" spans="2:88" ht="13">
      <c r="B868" s="294"/>
      <c r="F868" s="296"/>
      <c r="J868" s="302"/>
      <c r="T868" s="295"/>
      <c r="AA868" s="295"/>
      <c r="AH868" s="295"/>
      <c r="AI868" s="188"/>
      <c r="AJ868" s="188"/>
      <c r="AK868" s="188"/>
      <c r="AL868" s="188"/>
      <c r="AM868" s="188"/>
      <c r="AN868" s="188"/>
      <c r="AO868" s="299"/>
      <c r="CI868" s="294"/>
      <c r="CJ868" s="294"/>
    </row>
    <row r="869" spans="2:88" ht="13">
      <c r="B869" s="294"/>
      <c r="F869" s="296"/>
      <c r="J869" s="302"/>
      <c r="T869" s="295"/>
      <c r="AA869" s="295"/>
      <c r="AH869" s="295"/>
      <c r="AI869" s="188"/>
      <c r="AJ869" s="188"/>
      <c r="AK869" s="188"/>
      <c r="AL869" s="188"/>
      <c r="AM869" s="188"/>
      <c r="AN869" s="188"/>
      <c r="AO869" s="299"/>
      <c r="CI869" s="294"/>
      <c r="CJ869" s="294"/>
    </row>
    <row r="870" spans="2:88" ht="13">
      <c r="B870" s="294"/>
      <c r="F870" s="296"/>
      <c r="J870" s="302"/>
      <c r="T870" s="295"/>
      <c r="AA870" s="295"/>
      <c r="AH870" s="295"/>
      <c r="AI870" s="188"/>
      <c r="AJ870" s="188"/>
      <c r="AK870" s="188"/>
      <c r="AL870" s="188"/>
      <c r="AM870" s="188"/>
      <c r="AN870" s="188"/>
      <c r="AO870" s="299"/>
      <c r="CI870" s="294"/>
      <c r="CJ870" s="294"/>
    </row>
    <row r="871" spans="2:88" ht="13">
      <c r="B871" s="294"/>
      <c r="F871" s="296"/>
      <c r="J871" s="302"/>
      <c r="T871" s="295"/>
      <c r="AA871" s="295"/>
      <c r="AH871" s="295"/>
      <c r="AI871" s="188"/>
      <c r="AJ871" s="188"/>
      <c r="AK871" s="188"/>
      <c r="AL871" s="188"/>
      <c r="AM871" s="188"/>
      <c r="AN871" s="188"/>
      <c r="AO871" s="299"/>
      <c r="CI871" s="294"/>
      <c r="CJ871" s="294"/>
    </row>
    <row r="872" spans="2:88" ht="13">
      <c r="B872" s="294"/>
      <c r="F872" s="296"/>
      <c r="J872" s="302"/>
      <c r="T872" s="295"/>
      <c r="AA872" s="295"/>
      <c r="AH872" s="295"/>
      <c r="AI872" s="188"/>
      <c r="AJ872" s="188"/>
      <c r="AK872" s="188"/>
      <c r="AL872" s="188"/>
      <c r="AM872" s="188"/>
      <c r="AN872" s="188"/>
      <c r="AO872" s="299"/>
      <c r="CI872" s="294"/>
      <c r="CJ872" s="294"/>
    </row>
    <row r="873" spans="2:88" ht="13">
      <c r="B873" s="294"/>
      <c r="F873" s="296"/>
      <c r="J873" s="302"/>
      <c r="T873" s="295"/>
      <c r="AA873" s="295"/>
      <c r="AH873" s="295"/>
      <c r="AI873" s="188"/>
      <c r="AJ873" s="188"/>
      <c r="AK873" s="188"/>
      <c r="AL873" s="188"/>
      <c r="AM873" s="188"/>
      <c r="AN873" s="188"/>
      <c r="AO873" s="299"/>
      <c r="CI873" s="294"/>
      <c r="CJ873" s="294"/>
    </row>
    <row r="874" spans="2:88" ht="13">
      <c r="B874" s="294"/>
      <c r="F874" s="296"/>
      <c r="J874" s="302"/>
      <c r="T874" s="295"/>
      <c r="AA874" s="295"/>
      <c r="AH874" s="295"/>
      <c r="AI874" s="188"/>
      <c r="AJ874" s="188"/>
      <c r="AK874" s="188"/>
      <c r="AL874" s="188"/>
      <c r="AM874" s="188"/>
      <c r="AN874" s="188"/>
      <c r="AO874" s="299"/>
      <c r="CI874" s="294"/>
      <c r="CJ874" s="294"/>
    </row>
    <row r="875" spans="2:88" ht="13">
      <c r="B875" s="294"/>
      <c r="F875" s="296"/>
      <c r="J875" s="302"/>
      <c r="T875" s="295"/>
      <c r="AA875" s="295"/>
      <c r="AH875" s="295"/>
      <c r="AI875" s="188"/>
      <c r="AJ875" s="188"/>
      <c r="AK875" s="188"/>
      <c r="AL875" s="188"/>
      <c r="AM875" s="188"/>
      <c r="AN875" s="188"/>
      <c r="AO875" s="299"/>
      <c r="CI875" s="294"/>
      <c r="CJ875" s="294"/>
    </row>
    <row r="876" spans="2:88" ht="13">
      <c r="B876" s="294"/>
      <c r="F876" s="296"/>
      <c r="J876" s="302"/>
      <c r="T876" s="295"/>
      <c r="AA876" s="295"/>
      <c r="AH876" s="295"/>
      <c r="AI876" s="188"/>
      <c r="AJ876" s="188"/>
      <c r="AK876" s="188"/>
      <c r="AL876" s="188"/>
      <c r="AM876" s="188"/>
      <c r="AN876" s="188"/>
      <c r="AO876" s="299"/>
      <c r="CI876" s="294"/>
      <c r="CJ876" s="294"/>
    </row>
    <row r="877" spans="2:88" ht="13">
      <c r="B877" s="294"/>
      <c r="F877" s="296"/>
      <c r="J877" s="302"/>
      <c r="T877" s="295"/>
      <c r="AA877" s="295"/>
      <c r="AH877" s="295"/>
      <c r="AI877" s="188"/>
      <c r="AJ877" s="188"/>
      <c r="AK877" s="188"/>
      <c r="AL877" s="188"/>
      <c r="AM877" s="188"/>
      <c r="AN877" s="188"/>
      <c r="AO877" s="299"/>
      <c r="CI877" s="294"/>
      <c r="CJ877" s="294"/>
    </row>
    <row r="878" spans="2:88" ht="13">
      <c r="B878" s="294"/>
      <c r="F878" s="296"/>
      <c r="J878" s="302"/>
      <c r="T878" s="295"/>
      <c r="AA878" s="295"/>
      <c r="AH878" s="295"/>
      <c r="AI878" s="188"/>
      <c r="AJ878" s="188"/>
      <c r="AK878" s="188"/>
      <c r="AL878" s="188"/>
      <c r="AM878" s="188"/>
      <c r="AN878" s="188"/>
      <c r="AO878" s="299"/>
      <c r="CI878" s="294"/>
      <c r="CJ878" s="294"/>
    </row>
    <row r="879" spans="2:88" ht="13">
      <c r="B879" s="294"/>
      <c r="F879" s="296"/>
      <c r="J879" s="302"/>
      <c r="T879" s="295"/>
      <c r="AA879" s="295"/>
      <c r="AH879" s="295"/>
      <c r="AI879" s="188"/>
      <c r="AJ879" s="188"/>
      <c r="AK879" s="188"/>
      <c r="AL879" s="188"/>
      <c r="AM879" s="188"/>
      <c r="AN879" s="188"/>
      <c r="AO879" s="299"/>
      <c r="CI879" s="294"/>
      <c r="CJ879" s="294"/>
    </row>
    <row r="880" spans="2:88" ht="13">
      <c r="B880" s="294"/>
      <c r="F880" s="296"/>
      <c r="J880" s="302"/>
      <c r="T880" s="295"/>
      <c r="AA880" s="295"/>
      <c r="AH880" s="295"/>
      <c r="AI880" s="188"/>
      <c r="AJ880" s="188"/>
      <c r="AK880" s="188"/>
      <c r="AL880" s="188"/>
      <c r="AM880" s="188"/>
      <c r="AN880" s="188"/>
      <c r="AO880" s="299"/>
      <c r="CI880" s="294"/>
      <c r="CJ880" s="294"/>
    </row>
    <row r="881" spans="2:88" ht="13">
      <c r="B881" s="294"/>
      <c r="F881" s="296"/>
      <c r="J881" s="302"/>
      <c r="T881" s="295"/>
      <c r="AA881" s="295"/>
      <c r="AH881" s="295"/>
      <c r="AI881" s="188"/>
      <c r="AJ881" s="188"/>
      <c r="AK881" s="188"/>
      <c r="AL881" s="188"/>
      <c r="AM881" s="188"/>
      <c r="AN881" s="188"/>
      <c r="AO881" s="299"/>
      <c r="CI881" s="294"/>
      <c r="CJ881" s="294"/>
    </row>
    <row r="882" spans="2:88" ht="13">
      <c r="B882" s="294"/>
      <c r="F882" s="296"/>
      <c r="J882" s="302"/>
      <c r="T882" s="295"/>
      <c r="AA882" s="295"/>
      <c r="AH882" s="295"/>
      <c r="AI882" s="188"/>
      <c r="AJ882" s="188"/>
      <c r="AK882" s="188"/>
      <c r="AL882" s="188"/>
      <c r="AM882" s="188"/>
      <c r="AN882" s="188"/>
      <c r="AO882" s="299"/>
      <c r="CI882" s="294"/>
      <c r="CJ882" s="294"/>
    </row>
    <row r="883" spans="2:88" ht="13">
      <c r="B883" s="294"/>
      <c r="F883" s="296"/>
      <c r="J883" s="302"/>
      <c r="T883" s="295"/>
      <c r="AA883" s="295"/>
      <c r="AH883" s="295"/>
      <c r="AI883" s="188"/>
      <c r="AJ883" s="188"/>
      <c r="AK883" s="188"/>
      <c r="AL883" s="188"/>
      <c r="AM883" s="188"/>
      <c r="AN883" s="188"/>
      <c r="AO883" s="299"/>
      <c r="CI883" s="294"/>
      <c r="CJ883" s="294"/>
    </row>
    <row r="884" spans="2:88" ht="13">
      <c r="B884" s="294"/>
      <c r="F884" s="296"/>
      <c r="J884" s="302"/>
      <c r="T884" s="295"/>
      <c r="AA884" s="295"/>
      <c r="AH884" s="295"/>
      <c r="AI884" s="188"/>
      <c r="AJ884" s="188"/>
      <c r="AK884" s="188"/>
      <c r="AL884" s="188"/>
      <c r="AM884" s="188"/>
      <c r="AN884" s="188"/>
      <c r="AO884" s="299"/>
      <c r="CI884" s="294"/>
      <c r="CJ884" s="294"/>
    </row>
    <row r="885" spans="2:88" ht="13">
      <c r="B885" s="294"/>
      <c r="F885" s="296"/>
      <c r="J885" s="302"/>
      <c r="T885" s="295"/>
      <c r="AA885" s="295"/>
      <c r="AH885" s="295"/>
      <c r="AI885" s="188"/>
      <c r="AJ885" s="188"/>
      <c r="AK885" s="188"/>
      <c r="AL885" s="188"/>
      <c r="AM885" s="188"/>
      <c r="AN885" s="188"/>
      <c r="AO885" s="299"/>
      <c r="CI885" s="294"/>
      <c r="CJ885" s="294"/>
    </row>
    <row r="886" spans="2:88" ht="13">
      <c r="B886" s="294"/>
      <c r="F886" s="296"/>
      <c r="J886" s="302"/>
      <c r="T886" s="295"/>
      <c r="AA886" s="295"/>
      <c r="AH886" s="295"/>
      <c r="AI886" s="188"/>
      <c r="AJ886" s="188"/>
      <c r="AK886" s="188"/>
      <c r="AL886" s="188"/>
      <c r="AM886" s="188"/>
      <c r="AN886" s="188"/>
      <c r="AO886" s="299"/>
      <c r="CI886" s="294"/>
      <c r="CJ886" s="294"/>
    </row>
    <row r="887" spans="2:88" ht="13">
      <c r="B887" s="294"/>
      <c r="F887" s="296"/>
      <c r="J887" s="302"/>
      <c r="T887" s="295"/>
      <c r="AA887" s="295"/>
      <c r="AH887" s="295"/>
      <c r="AI887" s="188"/>
      <c r="AJ887" s="188"/>
      <c r="AK887" s="188"/>
      <c r="AL887" s="188"/>
      <c r="AM887" s="188"/>
      <c r="AN887" s="188"/>
      <c r="AO887" s="299"/>
      <c r="CI887" s="294"/>
      <c r="CJ887" s="294"/>
    </row>
    <row r="888" spans="2:88" ht="13">
      <c r="B888" s="294"/>
      <c r="F888" s="296"/>
      <c r="J888" s="302"/>
      <c r="T888" s="295"/>
      <c r="AA888" s="295"/>
      <c r="AH888" s="295"/>
      <c r="AI888" s="188"/>
      <c r="AJ888" s="188"/>
      <c r="AK888" s="188"/>
      <c r="AL888" s="188"/>
      <c r="AM888" s="188"/>
      <c r="AN888" s="188"/>
      <c r="AO888" s="299"/>
      <c r="CI888" s="294"/>
      <c r="CJ888" s="294"/>
    </row>
    <row r="889" spans="2:88" ht="13">
      <c r="B889" s="294"/>
      <c r="F889" s="296"/>
      <c r="J889" s="302"/>
      <c r="T889" s="295"/>
      <c r="AA889" s="295"/>
      <c r="AH889" s="295"/>
      <c r="AI889" s="188"/>
      <c r="AJ889" s="188"/>
      <c r="AK889" s="188"/>
      <c r="AL889" s="188"/>
      <c r="AM889" s="188"/>
      <c r="AN889" s="188"/>
      <c r="AO889" s="299"/>
      <c r="CI889" s="294"/>
      <c r="CJ889" s="294"/>
    </row>
    <row r="890" spans="2:88" ht="13">
      <c r="B890" s="294"/>
      <c r="F890" s="296"/>
      <c r="J890" s="302"/>
      <c r="T890" s="295"/>
      <c r="AA890" s="295"/>
      <c r="AH890" s="295"/>
      <c r="AI890" s="188"/>
      <c r="AJ890" s="188"/>
      <c r="AK890" s="188"/>
      <c r="AL890" s="188"/>
      <c r="AM890" s="188"/>
      <c r="AN890" s="188"/>
      <c r="AO890" s="299"/>
      <c r="CI890" s="294"/>
      <c r="CJ890" s="294"/>
    </row>
    <row r="891" spans="2:88" ht="13">
      <c r="B891" s="294"/>
      <c r="F891" s="296"/>
      <c r="J891" s="302"/>
      <c r="T891" s="295"/>
      <c r="AA891" s="295"/>
      <c r="AH891" s="295"/>
      <c r="AI891" s="188"/>
      <c r="AJ891" s="188"/>
      <c r="AK891" s="188"/>
      <c r="AL891" s="188"/>
      <c r="AM891" s="188"/>
      <c r="AN891" s="188"/>
      <c r="AO891" s="299"/>
      <c r="CI891" s="294"/>
      <c r="CJ891" s="294"/>
    </row>
    <row r="892" spans="2:88" ht="13">
      <c r="B892" s="294"/>
      <c r="F892" s="296"/>
      <c r="J892" s="302"/>
      <c r="T892" s="295"/>
      <c r="AA892" s="295"/>
      <c r="AH892" s="295"/>
      <c r="AI892" s="188"/>
      <c r="AJ892" s="188"/>
      <c r="AK892" s="188"/>
      <c r="AL892" s="188"/>
      <c r="AM892" s="188"/>
      <c r="AN892" s="188"/>
      <c r="AO892" s="299"/>
      <c r="CI892" s="294"/>
      <c r="CJ892" s="294"/>
    </row>
    <row r="893" spans="2:88" ht="13">
      <c r="B893" s="294"/>
      <c r="F893" s="296"/>
      <c r="J893" s="302"/>
      <c r="T893" s="295"/>
      <c r="AA893" s="295"/>
      <c r="AH893" s="295"/>
      <c r="AI893" s="188"/>
      <c r="AJ893" s="188"/>
      <c r="AK893" s="188"/>
      <c r="AL893" s="188"/>
      <c r="AM893" s="188"/>
      <c r="AN893" s="188"/>
      <c r="AO893" s="299"/>
      <c r="CI893" s="294"/>
      <c r="CJ893" s="294"/>
    </row>
    <row r="894" spans="2:88" ht="13">
      <c r="B894" s="294"/>
      <c r="F894" s="296"/>
      <c r="J894" s="302"/>
      <c r="T894" s="295"/>
      <c r="AA894" s="295"/>
      <c r="AH894" s="295"/>
      <c r="AI894" s="188"/>
      <c r="AJ894" s="188"/>
      <c r="AK894" s="188"/>
      <c r="AL894" s="188"/>
      <c r="AM894" s="188"/>
      <c r="AN894" s="188"/>
      <c r="AO894" s="299"/>
      <c r="CI894" s="294"/>
      <c r="CJ894" s="294"/>
    </row>
    <row r="895" spans="2:88" ht="13">
      <c r="B895" s="294"/>
      <c r="F895" s="296"/>
      <c r="J895" s="302"/>
      <c r="T895" s="295"/>
      <c r="AA895" s="295"/>
      <c r="AH895" s="295"/>
      <c r="AI895" s="188"/>
      <c r="AJ895" s="188"/>
      <c r="AK895" s="188"/>
      <c r="AL895" s="188"/>
      <c r="AM895" s="188"/>
      <c r="AN895" s="188"/>
      <c r="AO895" s="299"/>
      <c r="CI895" s="294"/>
      <c r="CJ895" s="294"/>
    </row>
    <row r="896" spans="2:88" ht="13">
      <c r="B896" s="294"/>
      <c r="F896" s="296"/>
      <c r="J896" s="302"/>
      <c r="T896" s="295"/>
      <c r="AA896" s="295"/>
      <c r="AH896" s="295"/>
      <c r="AI896" s="188"/>
      <c r="AJ896" s="188"/>
      <c r="AK896" s="188"/>
      <c r="AL896" s="188"/>
      <c r="AM896" s="188"/>
      <c r="AN896" s="188"/>
      <c r="AO896" s="299"/>
      <c r="CI896" s="294"/>
      <c r="CJ896" s="294"/>
    </row>
    <row r="897" spans="2:88" ht="13">
      <c r="B897" s="294"/>
      <c r="F897" s="296"/>
      <c r="J897" s="302"/>
      <c r="T897" s="295"/>
      <c r="AA897" s="295"/>
      <c r="AH897" s="295"/>
      <c r="AI897" s="188"/>
      <c r="AJ897" s="188"/>
      <c r="AK897" s="188"/>
      <c r="AL897" s="188"/>
      <c r="AM897" s="188"/>
      <c r="AN897" s="188"/>
      <c r="AO897" s="299"/>
      <c r="CI897" s="294"/>
      <c r="CJ897" s="294"/>
    </row>
    <row r="898" spans="2:88" ht="13">
      <c r="B898" s="294"/>
      <c r="F898" s="296"/>
      <c r="J898" s="302"/>
      <c r="T898" s="295"/>
      <c r="AA898" s="295"/>
      <c r="AH898" s="295"/>
      <c r="AI898" s="188"/>
      <c r="AJ898" s="188"/>
      <c r="AK898" s="188"/>
      <c r="AL898" s="188"/>
      <c r="AM898" s="188"/>
      <c r="AN898" s="188"/>
      <c r="AO898" s="299"/>
      <c r="CI898" s="294"/>
      <c r="CJ898" s="294"/>
    </row>
    <row r="899" spans="2:88" ht="13">
      <c r="B899" s="294"/>
      <c r="F899" s="296"/>
      <c r="J899" s="302"/>
      <c r="T899" s="295"/>
      <c r="AA899" s="295"/>
      <c r="AH899" s="295"/>
      <c r="AI899" s="188"/>
      <c r="AJ899" s="188"/>
      <c r="AK899" s="188"/>
      <c r="AL899" s="188"/>
      <c r="AM899" s="188"/>
      <c r="AN899" s="188"/>
      <c r="AO899" s="299"/>
      <c r="CI899" s="294"/>
      <c r="CJ899" s="294"/>
    </row>
    <row r="900" spans="2:88" ht="13">
      <c r="B900" s="294"/>
      <c r="F900" s="296"/>
      <c r="J900" s="302"/>
      <c r="T900" s="295"/>
      <c r="AA900" s="295"/>
      <c r="AH900" s="295"/>
      <c r="AI900" s="188"/>
      <c r="AJ900" s="188"/>
      <c r="AK900" s="188"/>
      <c r="AL900" s="188"/>
      <c r="AM900" s="188"/>
      <c r="AN900" s="188"/>
      <c r="AO900" s="299"/>
      <c r="CI900" s="294"/>
      <c r="CJ900" s="294"/>
    </row>
    <row r="901" spans="2:88" ht="13">
      <c r="B901" s="294"/>
      <c r="F901" s="296"/>
      <c r="J901" s="302"/>
      <c r="T901" s="295"/>
      <c r="AA901" s="295"/>
      <c r="AH901" s="295"/>
      <c r="AI901" s="188"/>
      <c r="AJ901" s="188"/>
      <c r="AK901" s="188"/>
      <c r="AL901" s="188"/>
      <c r="AM901" s="188"/>
      <c r="AN901" s="188"/>
      <c r="AO901" s="299"/>
      <c r="CI901" s="294"/>
      <c r="CJ901" s="294"/>
    </row>
    <row r="902" spans="2:88" ht="13">
      <c r="B902" s="294"/>
      <c r="F902" s="296"/>
      <c r="J902" s="302"/>
      <c r="T902" s="295"/>
      <c r="AA902" s="295"/>
      <c r="AH902" s="295"/>
      <c r="AI902" s="188"/>
      <c r="AJ902" s="188"/>
      <c r="AK902" s="188"/>
      <c r="AL902" s="188"/>
      <c r="AM902" s="188"/>
      <c r="AN902" s="188"/>
      <c r="AO902" s="299"/>
      <c r="CI902" s="294"/>
      <c r="CJ902" s="294"/>
    </row>
    <row r="903" spans="2:88" ht="13">
      <c r="B903" s="294"/>
      <c r="F903" s="296"/>
      <c r="J903" s="302"/>
      <c r="T903" s="295"/>
      <c r="AA903" s="295"/>
      <c r="AH903" s="295"/>
      <c r="AI903" s="188"/>
      <c r="AJ903" s="188"/>
      <c r="AK903" s="188"/>
      <c r="AL903" s="188"/>
      <c r="AM903" s="188"/>
      <c r="AN903" s="188"/>
      <c r="AO903" s="299"/>
      <c r="CI903" s="294"/>
      <c r="CJ903" s="294"/>
    </row>
    <row r="904" spans="2:88" ht="13">
      <c r="B904" s="294"/>
      <c r="F904" s="296"/>
      <c r="J904" s="302"/>
      <c r="T904" s="295"/>
      <c r="AA904" s="295"/>
      <c r="AH904" s="295"/>
      <c r="AI904" s="188"/>
      <c r="AJ904" s="188"/>
      <c r="AK904" s="188"/>
      <c r="AL904" s="188"/>
      <c r="AM904" s="188"/>
      <c r="AN904" s="188"/>
      <c r="AO904" s="299"/>
      <c r="CI904" s="294"/>
      <c r="CJ904" s="294"/>
    </row>
    <row r="905" spans="2:88" ht="13">
      <c r="B905" s="294"/>
      <c r="F905" s="296"/>
      <c r="J905" s="302"/>
      <c r="T905" s="295"/>
      <c r="AA905" s="295"/>
      <c r="AH905" s="295"/>
      <c r="AI905" s="188"/>
      <c r="AJ905" s="188"/>
      <c r="AK905" s="188"/>
      <c r="AL905" s="188"/>
      <c r="AM905" s="188"/>
      <c r="AN905" s="188"/>
      <c r="AO905" s="299"/>
      <c r="CI905" s="294"/>
      <c r="CJ905" s="294"/>
    </row>
    <row r="906" spans="2:88" ht="13">
      <c r="B906" s="294"/>
      <c r="F906" s="296"/>
      <c r="J906" s="302"/>
      <c r="T906" s="295"/>
      <c r="AA906" s="295"/>
      <c r="AH906" s="295"/>
      <c r="AI906" s="188"/>
      <c r="AJ906" s="188"/>
      <c r="AK906" s="188"/>
      <c r="AL906" s="188"/>
      <c r="AM906" s="188"/>
      <c r="AN906" s="188"/>
      <c r="AO906" s="299"/>
      <c r="CI906" s="294"/>
      <c r="CJ906" s="294"/>
    </row>
    <row r="907" spans="2:88" ht="13">
      <c r="B907" s="294"/>
      <c r="F907" s="296"/>
      <c r="J907" s="302"/>
      <c r="T907" s="295"/>
      <c r="AA907" s="295"/>
      <c r="AH907" s="295"/>
      <c r="AI907" s="188"/>
      <c r="AJ907" s="188"/>
      <c r="AK907" s="188"/>
      <c r="AL907" s="188"/>
      <c r="AM907" s="188"/>
      <c r="AN907" s="188"/>
      <c r="AO907" s="299"/>
      <c r="CI907" s="294"/>
      <c r="CJ907" s="294"/>
    </row>
    <row r="908" spans="2:88" ht="13">
      <c r="B908" s="294"/>
      <c r="F908" s="296"/>
      <c r="J908" s="302"/>
      <c r="T908" s="295"/>
      <c r="AA908" s="295"/>
      <c r="AH908" s="295"/>
      <c r="AI908" s="188"/>
      <c r="AJ908" s="188"/>
      <c r="AK908" s="188"/>
      <c r="AL908" s="188"/>
      <c r="AM908" s="188"/>
      <c r="AN908" s="188"/>
      <c r="AO908" s="299"/>
      <c r="CI908" s="294"/>
      <c r="CJ908" s="294"/>
    </row>
    <row r="909" spans="2:88" ht="13">
      <c r="B909" s="294"/>
      <c r="F909" s="296"/>
      <c r="J909" s="302"/>
      <c r="T909" s="295"/>
      <c r="AA909" s="295"/>
      <c r="AH909" s="295"/>
      <c r="AI909" s="188"/>
      <c r="AJ909" s="188"/>
      <c r="AK909" s="188"/>
      <c r="AL909" s="188"/>
      <c r="AM909" s="188"/>
      <c r="AN909" s="188"/>
      <c r="AO909" s="299"/>
      <c r="CI909" s="294"/>
      <c r="CJ909" s="294"/>
    </row>
    <row r="910" spans="2:88" ht="13">
      <c r="B910" s="294"/>
      <c r="F910" s="296"/>
      <c r="J910" s="302"/>
      <c r="T910" s="295"/>
      <c r="AA910" s="295"/>
      <c r="AH910" s="295"/>
      <c r="AI910" s="188"/>
      <c r="AJ910" s="188"/>
      <c r="AK910" s="188"/>
      <c r="AL910" s="188"/>
      <c r="AM910" s="188"/>
      <c r="AN910" s="188"/>
      <c r="AO910" s="299"/>
      <c r="CI910" s="294"/>
      <c r="CJ910" s="294"/>
    </row>
    <row r="911" spans="2:88" ht="13">
      <c r="B911" s="294"/>
      <c r="F911" s="296"/>
      <c r="J911" s="302"/>
      <c r="T911" s="295"/>
      <c r="AA911" s="295"/>
      <c r="AH911" s="295"/>
      <c r="AI911" s="188"/>
      <c r="AJ911" s="188"/>
      <c r="AK911" s="188"/>
      <c r="AL911" s="188"/>
      <c r="AM911" s="188"/>
      <c r="AN911" s="188"/>
      <c r="AO911" s="299"/>
      <c r="CI911" s="294"/>
      <c r="CJ911" s="294"/>
    </row>
    <row r="912" spans="2:88" ht="13">
      <c r="B912" s="294"/>
      <c r="F912" s="296"/>
      <c r="J912" s="302"/>
      <c r="T912" s="295"/>
      <c r="AA912" s="295"/>
      <c r="AH912" s="295"/>
      <c r="AI912" s="188"/>
      <c r="AJ912" s="188"/>
      <c r="AK912" s="188"/>
      <c r="AL912" s="188"/>
      <c r="AM912" s="188"/>
      <c r="AN912" s="188"/>
      <c r="AO912" s="299"/>
      <c r="CI912" s="294"/>
      <c r="CJ912" s="294"/>
    </row>
    <row r="913" spans="2:88" ht="13">
      <c r="B913" s="294"/>
      <c r="F913" s="296"/>
      <c r="J913" s="302"/>
      <c r="T913" s="295"/>
      <c r="AA913" s="295"/>
      <c r="AH913" s="295"/>
      <c r="AI913" s="188"/>
      <c r="AJ913" s="188"/>
      <c r="AK913" s="188"/>
      <c r="AL913" s="188"/>
      <c r="AM913" s="188"/>
      <c r="AN913" s="188"/>
      <c r="AO913" s="299"/>
      <c r="CI913" s="294"/>
      <c r="CJ913" s="294"/>
    </row>
    <row r="914" spans="2:88" ht="13">
      <c r="B914" s="294"/>
      <c r="F914" s="296"/>
      <c r="J914" s="302"/>
      <c r="T914" s="295"/>
      <c r="AA914" s="295"/>
      <c r="AH914" s="295"/>
      <c r="AI914" s="188"/>
      <c r="AJ914" s="188"/>
      <c r="AK914" s="188"/>
      <c r="AL914" s="188"/>
      <c r="AM914" s="188"/>
      <c r="AN914" s="188"/>
      <c r="AO914" s="299"/>
      <c r="CI914" s="294"/>
      <c r="CJ914" s="294"/>
    </row>
    <row r="915" spans="2:88" ht="13">
      <c r="B915" s="294"/>
      <c r="F915" s="296"/>
      <c r="J915" s="302"/>
      <c r="T915" s="295"/>
      <c r="AA915" s="295"/>
      <c r="AH915" s="295"/>
      <c r="AI915" s="188"/>
      <c r="AJ915" s="188"/>
      <c r="AK915" s="188"/>
      <c r="AL915" s="188"/>
      <c r="AM915" s="188"/>
      <c r="AN915" s="188"/>
      <c r="AO915" s="299"/>
      <c r="CI915" s="294"/>
      <c r="CJ915" s="294"/>
    </row>
    <row r="916" spans="2:88" ht="13">
      <c r="B916" s="294"/>
      <c r="F916" s="296"/>
      <c r="J916" s="302"/>
      <c r="T916" s="295"/>
      <c r="AA916" s="295"/>
      <c r="AH916" s="295"/>
      <c r="AI916" s="188"/>
      <c r="AJ916" s="188"/>
      <c r="AK916" s="188"/>
      <c r="AL916" s="188"/>
      <c r="AM916" s="188"/>
      <c r="AN916" s="188"/>
      <c r="AO916" s="299"/>
      <c r="CI916" s="294"/>
      <c r="CJ916" s="294"/>
    </row>
    <row r="917" spans="2:88" ht="13">
      <c r="B917" s="294"/>
      <c r="F917" s="296"/>
      <c r="J917" s="302"/>
      <c r="T917" s="295"/>
      <c r="AA917" s="295"/>
      <c r="AH917" s="295"/>
      <c r="AI917" s="188"/>
      <c r="AJ917" s="188"/>
      <c r="AK917" s="188"/>
      <c r="AL917" s="188"/>
      <c r="AM917" s="188"/>
      <c r="AN917" s="188"/>
      <c r="AO917" s="299"/>
      <c r="CI917" s="294"/>
      <c r="CJ917" s="294"/>
    </row>
    <row r="918" spans="2:88" ht="13">
      <c r="B918" s="294"/>
      <c r="F918" s="296"/>
      <c r="J918" s="302"/>
      <c r="T918" s="295"/>
      <c r="AA918" s="295"/>
      <c r="AH918" s="295"/>
      <c r="AI918" s="188"/>
      <c r="AJ918" s="188"/>
      <c r="AK918" s="188"/>
      <c r="AL918" s="188"/>
      <c r="AM918" s="188"/>
      <c r="AN918" s="188"/>
      <c r="AO918" s="299"/>
      <c r="CI918" s="294"/>
      <c r="CJ918" s="294"/>
    </row>
    <row r="919" spans="2:88" ht="13">
      <c r="B919" s="294"/>
      <c r="F919" s="296"/>
      <c r="J919" s="302"/>
      <c r="T919" s="295"/>
      <c r="AA919" s="295"/>
      <c r="AH919" s="295"/>
      <c r="AI919" s="188"/>
      <c r="AJ919" s="188"/>
      <c r="AK919" s="188"/>
      <c r="AL919" s="188"/>
      <c r="AM919" s="188"/>
      <c r="AN919" s="188"/>
      <c r="AO919" s="299"/>
      <c r="CI919" s="294"/>
      <c r="CJ919" s="294"/>
    </row>
    <row r="920" spans="2:88" ht="13">
      <c r="B920" s="294"/>
      <c r="F920" s="296"/>
      <c r="J920" s="302"/>
      <c r="T920" s="295"/>
      <c r="AA920" s="295"/>
      <c r="AH920" s="295"/>
      <c r="AI920" s="188"/>
      <c r="AJ920" s="188"/>
      <c r="AK920" s="188"/>
      <c r="AL920" s="188"/>
      <c r="AM920" s="188"/>
      <c r="AN920" s="188"/>
      <c r="AO920" s="299"/>
      <c r="CI920" s="294"/>
      <c r="CJ920" s="294"/>
    </row>
    <row r="921" spans="2:88" ht="13">
      <c r="B921" s="294"/>
      <c r="F921" s="296"/>
      <c r="J921" s="302"/>
      <c r="T921" s="295"/>
      <c r="AA921" s="295"/>
      <c r="AH921" s="295"/>
      <c r="AI921" s="188"/>
      <c r="AJ921" s="188"/>
      <c r="AK921" s="188"/>
      <c r="AL921" s="188"/>
      <c r="AM921" s="188"/>
      <c r="AN921" s="188"/>
      <c r="AO921" s="299"/>
      <c r="CI921" s="294"/>
      <c r="CJ921" s="294"/>
    </row>
    <row r="922" spans="2:88" ht="13">
      <c r="B922" s="294"/>
      <c r="F922" s="296"/>
      <c r="J922" s="302"/>
      <c r="T922" s="295"/>
      <c r="AA922" s="295"/>
      <c r="AH922" s="295"/>
      <c r="AI922" s="188"/>
      <c r="AJ922" s="188"/>
      <c r="AK922" s="188"/>
      <c r="AL922" s="188"/>
      <c r="AM922" s="188"/>
      <c r="AN922" s="188"/>
      <c r="AO922" s="299"/>
      <c r="CI922" s="294"/>
      <c r="CJ922" s="294"/>
    </row>
    <row r="923" spans="2:88" ht="13">
      <c r="B923" s="294"/>
      <c r="F923" s="296"/>
      <c r="J923" s="302"/>
      <c r="T923" s="295"/>
      <c r="AA923" s="295"/>
      <c r="AH923" s="295"/>
      <c r="AI923" s="188"/>
      <c r="AJ923" s="188"/>
      <c r="AK923" s="188"/>
      <c r="AL923" s="188"/>
      <c r="AM923" s="188"/>
      <c r="AN923" s="188"/>
      <c r="AO923" s="299"/>
      <c r="CI923" s="294"/>
      <c r="CJ923" s="294"/>
    </row>
    <row r="924" spans="2:88" ht="13">
      <c r="B924" s="294"/>
      <c r="F924" s="296"/>
      <c r="J924" s="302"/>
      <c r="T924" s="295"/>
      <c r="AA924" s="295"/>
      <c r="AH924" s="295"/>
      <c r="AI924" s="188"/>
      <c r="AJ924" s="188"/>
      <c r="AK924" s="188"/>
      <c r="AL924" s="188"/>
      <c r="AM924" s="188"/>
      <c r="AN924" s="188"/>
      <c r="AO924" s="299"/>
      <c r="CI924" s="294"/>
      <c r="CJ924" s="294"/>
    </row>
    <row r="925" spans="2:88" ht="13">
      <c r="B925" s="294"/>
      <c r="F925" s="296"/>
      <c r="J925" s="302"/>
      <c r="T925" s="295"/>
      <c r="AA925" s="295"/>
      <c r="AH925" s="295"/>
      <c r="AI925" s="188"/>
      <c r="AJ925" s="188"/>
      <c r="AK925" s="188"/>
      <c r="AL925" s="188"/>
      <c r="AM925" s="188"/>
      <c r="AN925" s="188"/>
      <c r="AO925" s="299"/>
      <c r="CI925" s="294"/>
      <c r="CJ925" s="294"/>
    </row>
    <row r="926" spans="2:88" ht="13">
      <c r="B926" s="294"/>
      <c r="F926" s="296"/>
      <c r="J926" s="302"/>
      <c r="T926" s="295"/>
      <c r="AA926" s="295"/>
      <c r="AH926" s="295"/>
      <c r="AI926" s="188"/>
      <c r="AJ926" s="188"/>
      <c r="AK926" s="188"/>
      <c r="AL926" s="188"/>
      <c r="AM926" s="188"/>
      <c r="AN926" s="188"/>
      <c r="AO926" s="299"/>
      <c r="CI926" s="294"/>
      <c r="CJ926" s="294"/>
    </row>
    <row r="927" spans="2:88" ht="13">
      <c r="B927" s="294"/>
      <c r="F927" s="296"/>
      <c r="J927" s="302"/>
      <c r="T927" s="295"/>
      <c r="AA927" s="295"/>
      <c r="AH927" s="295"/>
      <c r="AI927" s="188"/>
      <c r="AJ927" s="188"/>
      <c r="AK927" s="188"/>
      <c r="AL927" s="188"/>
      <c r="AM927" s="188"/>
      <c r="AN927" s="188"/>
      <c r="AO927" s="299"/>
      <c r="CI927" s="294"/>
      <c r="CJ927" s="294"/>
    </row>
    <row r="928" spans="2:88" ht="13">
      <c r="B928" s="294"/>
      <c r="F928" s="296"/>
      <c r="J928" s="302"/>
      <c r="T928" s="295"/>
      <c r="AA928" s="295"/>
      <c r="AH928" s="295"/>
      <c r="AI928" s="188"/>
      <c r="AJ928" s="188"/>
      <c r="AK928" s="188"/>
      <c r="AL928" s="188"/>
      <c r="AM928" s="188"/>
      <c r="AN928" s="188"/>
      <c r="AO928" s="299"/>
      <c r="CI928" s="294"/>
      <c r="CJ928" s="294"/>
    </row>
    <row r="929" spans="2:88" ht="13">
      <c r="B929" s="294"/>
      <c r="F929" s="296"/>
      <c r="J929" s="302"/>
      <c r="T929" s="295"/>
      <c r="AA929" s="295"/>
      <c r="AH929" s="295"/>
      <c r="AI929" s="188"/>
      <c r="AJ929" s="188"/>
      <c r="AK929" s="188"/>
      <c r="AL929" s="188"/>
      <c r="AM929" s="188"/>
      <c r="AN929" s="188"/>
      <c r="AO929" s="299"/>
      <c r="CI929" s="294"/>
      <c r="CJ929" s="294"/>
    </row>
    <row r="930" spans="2:88" ht="13">
      <c r="B930" s="294"/>
      <c r="F930" s="296"/>
      <c r="J930" s="302"/>
      <c r="T930" s="295"/>
      <c r="AA930" s="295"/>
      <c r="AH930" s="295"/>
      <c r="AI930" s="188"/>
      <c r="AJ930" s="188"/>
      <c r="AK930" s="188"/>
      <c r="AL930" s="188"/>
      <c r="AM930" s="188"/>
      <c r="AN930" s="188"/>
      <c r="AO930" s="299"/>
      <c r="CI930" s="294"/>
      <c r="CJ930" s="294"/>
    </row>
    <row r="931" spans="2:88" ht="13">
      <c r="B931" s="294"/>
      <c r="F931" s="296"/>
      <c r="J931" s="302"/>
      <c r="T931" s="295"/>
      <c r="AA931" s="295"/>
      <c r="AH931" s="295"/>
      <c r="AI931" s="188"/>
      <c r="AJ931" s="188"/>
      <c r="AK931" s="188"/>
      <c r="AL931" s="188"/>
      <c r="AM931" s="188"/>
      <c r="AN931" s="188"/>
      <c r="AO931" s="299"/>
      <c r="CI931" s="294"/>
      <c r="CJ931" s="294"/>
    </row>
    <row r="932" spans="2:88" ht="13">
      <c r="B932" s="294"/>
      <c r="F932" s="296"/>
      <c r="J932" s="302"/>
      <c r="T932" s="295"/>
      <c r="AA932" s="295"/>
      <c r="AH932" s="295"/>
      <c r="AI932" s="188"/>
      <c r="AJ932" s="188"/>
      <c r="AK932" s="188"/>
      <c r="AL932" s="188"/>
      <c r="AM932" s="188"/>
      <c r="AN932" s="188"/>
      <c r="AO932" s="299"/>
      <c r="CI932" s="294"/>
      <c r="CJ932" s="294"/>
    </row>
    <row r="933" spans="2:88" ht="13">
      <c r="B933" s="294"/>
      <c r="F933" s="296"/>
      <c r="J933" s="302"/>
      <c r="T933" s="295"/>
      <c r="AA933" s="295"/>
      <c r="AH933" s="295"/>
      <c r="AI933" s="188"/>
      <c r="AJ933" s="188"/>
      <c r="AK933" s="188"/>
      <c r="AL933" s="188"/>
      <c r="AM933" s="188"/>
      <c r="AN933" s="188"/>
      <c r="AO933" s="299"/>
      <c r="CI933" s="294"/>
      <c r="CJ933" s="294"/>
    </row>
    <row r="934" spans="2:88" ht="13">
      <c r="B934" s="294"/>
      <c r="F934" s="296"/>
      <c r="J934" s="302"/>
      <c r="T934" s="295"/>
      <c r="AA934" s="295"/>
      <c r="AH934" s="295"/>
      <c r="AI934" s="188"/>
      <c r="AJ934" s="188"/>
      <c r="AK934" s="188"/>
      <c r="AL934" s="188"/>
      <c r="AM934" s="188"/>
      <c r="AN934" s="188"/>
      <c r="AO934" s="299"/>
      <c r="CI934" s="294"/>
      <c r="CJ934" s="294"/>
    </row>
    <row r="935" spans="2:88" ht="13">
      <c r="B935" s="294"/>
      <c r="F935" s="296"/>
      <c r="J935" s="302"/>
      <c r="T935" s="295"/>
      <c r="AA935" s="295"/>
      <c r="AH935" s="295"/>
      <c r="AI935" s="188"/>
      <c r="AJ935" s="188"/>
      <c r="AK935" s="188"/>
      <c r="AL935" s="188"/>
      <c r="AM935" s="188"/>
      <c r="AN935" s="188"/>
      <c r="AO935" s="299"/>
      <c r="CI935" s="294"/>
      <c r="CJ935" s="294"/>
    </row>
    <row r="936" spans="2:88" ht="13">
      <c r="B936" s="294"/>
      <c r="F936" s="296"/>
      <c r="J936" s="302"/>
      <c r="T936" s="295"/>
      <c r="AA936" s="295"/>
      <c r="AH936" s="295"/>
      <c r="AI936" s="188"/>
      <c r="AJ936" s="188"/>
      <c r="AK936" s="188"/>
      <c r="AL936" s="188"/>
      <c r="AM936" s="188"/>
      <c r="AN936" s="188"/>
      <c r="AO936" s="299"/>
      <c r="CI936" s="294"/>
      <c r="CJ936" s="294"/>
    </row>
    <row r="937" spans="2:88" ht="13">
      <c r="B937" s="294"/>
      <c r="F937" s="296"/>
      <c r="J937" s="302"/>
      <c r="T937" s="295"/>
      <c r="AA937" s="295"/>
      <c r="AH937" s="295"/>
      <c r="AI937" s="188"/>
      <c r="AJ937" s="188"/>
      <c r="AK937" s="188"/>
      <c r="AL937" s="188"/>
      <c r="AM937" s="188"/>
      <c r="AN937" s="188"/>
      <c r="AO937" s="299"/>
      <c r="CI937" s="294"/>
      <c r="CJ937" s="294"/>
    </row>
    <row r="938" spans="2:88" ht="13">
      <c r="B938" s="294"/>
      <c r="F938" s="296"/>
      <c r="J938" s="302"/>
      <c r="T938" s="295"/>
      <c r="AA938" s="295"/>
      <c r="AH938" s="295"/>
      <c r="AI938" s="188"/>
      <c r="AJ938" s="188"/>
      <c r="AK938" s="188"/>
      <c r="AL938" s="188"/>
      <c r="AM938" s="188"/>
      <c r="AN938" s="188"/>
      <c r="AO938" s="299"/>
      <c r="CI938" s="294"/>
      <c r="CJ938" s="294"/>
    </row>
    <row r="939" spans="2:88" ht="13">
      <c r="B939" s="294"/>
      <c r="F939" s="296"/>
      <c r="J939" s="302"/>
      <c r="T939" s="295"/>
      <c r="AA939" s="295"/>
      <c r="AH939" s="295"/>
      <c r="AI939" s="188"/>
      <c r="AJ939" s="188"/>
      <c r="AK939" s="188"/>
      <c r="AL939" s="188"/>
      <c r="AM939" s="188"/>
      <c r="AN939" s="188"/>
      <c r="AO939" s="299"/>
      <c r="CI939" s="294"/>
      <c r="CJ939" s="294"/>
    </row>
    <row r="940" spans="2:88" ht="13">
      <c r="B940" s="294"/>
      <c r="F940" s="296"/>
      <c r="J940" s="302"/>
      <c r="T940" s="295"/>
      <c r="AA940" s="295"/>
      <c r="AH940" s="295"/>
      <c r="AI940" s="188"/>
      <c r="AJ940" s="188"/>
      <c r="AK940" s="188"/>
      <c r="AL940" s="188"/>
      <c r="AM940" s="188"/>
      <c r="AN940" s="188"/>
      <c r="AO940" s="299"/>
      <c r="CI940" s="294"/>
      <c r="CJ940" s="294"/>
    </row>
    <row r="941" spans="2:88" ht="13">
      <c r="B941" s="294"/>
      <c r="F941" s="296"/>
      <c r="J941" s="302"/>
      <c r="T941" s="295"/>
      <c r="AA941" s="295"/>
      <c r="AH941" s="295"/>
      <c r="AI941" s="188"/>
      <c r="AJ941" s="188"/>
      <c r="AK941" s="188"/>
      <c r="AL941" s="188"/>
      <c r="AM941" s="188"/>
      <c r="AN941" s="188"/>
      <c r="AO941" s="299"/>
      <c r="CI941" s="294"/>
      <c r="CJ941" s="294"/>
    </row>
    <row r="942" spans="2:88" ht="13">
      <c r="B942" s="294"/>
      <c r="F942" s="296"/>
      <c r="J942" s="302"/>
      <c r="T942" s="295"/>
      <c r="AA942" s="295"/>
      <c r="AH942" s="295"/>
      <c r="AI942" s="188"/>
      <c r="AJ942" s="188"/>
      <c r="AK942" s="188"/>
      <c r="AL942" s="188"/>
      <c r="AM942" s="188"/>
      <c r="AN942" s="188"/>
      <c r="AO942" s="299"/>
      <c r="CI942" s="294"/>
      <c r="CJ942" s="294"/>
    </row>
    <row r="943" spans="2:88" ht="13">
      <c r="B943" s="294"/>
      <c r="F943" s="296"/>
      <c r="J943" s="302"/>
      <c r="T943" s="295"/>
      <c r="AA943" s="295"/>
      <c r="AH943" s="295"/>
      <c r="AI943" s="188"/>
      <c r="AJ943" s="188"/>
      <c r="AK943" s="188"/>
      <c r="AL943" s="188"/>
      <c r="AM943" s="188"/>
      <c r="AN943" s="188"/>
      <c r="AO943" s="299"/>
      <c r="CI943" s="294"/>
      <c r="CJ943" s="294"/>
    </row>
    <row r="944" spans="2:88" ht="13">
      <c r="B944" s="294"/>
      <c r="F944" s="296"/>
      <c r="J944" s="302"/>
      <c r="T944" s="295"/>
      <c r="AA944" s="295"/>
      <c r="AH944" s="295"/>
      <c r="AI944" s="188"/>
      <c r="AJ944" s="188"/>
      <c r="AK944" s="188"/>
      <c r="AL944" s="188"/>
      <c r="AM944" s="188"/>
      <c r="AN944" s="188"/>
      <c r="AO944" s="299"/>
      <c r="CI944" s="294"/>
      <c r="CJ944" s="294"/>
    </row>
    <row r="945" spans="2:88" ht="13">
      <c r="B945" s="294"/>
      <c r="F945" s="296"/>
      <c r="J945" s="302"/>
      <c r="T945" s="295"/>
      <c r="AA945" s="295"/>
      <c r="AH945" s="295"/>
      <c r="AI945" s="188"/>
      <c r="AJ945" s="188"/>
      <c r="AK945" s="188"/>
      <c r="AL945" s="188"/>
      <c r="AM945" s="188"/>
      <c r="AN945" s="188"/>
      <c r="AO945" s="299"/>
      <c r="CI945" s="294"/>
      <c r="CJ945" s="294"/>
    </row>
    <row r="946" spans="2:88" ht="13">
      <c r="B946" s="294"/>
      <c r="F946" s="296"/>
      <c r="J946" s="302"/>
      <c r="T946" s="295"/>
      <c r="AA946" s="295"/>
      <c r="AH946" s="295"/>
      <c r="AI946" s="188"/>
      <c r="AJ946" s="188"/>
      <c r="AK946" s="188"/>
      <c r="AL946" s="188"/>
      <c r="AM946" s="188"/>
      <c r="AN946" s="188"/>
      <c r="AO946" s="299"/>
      <c r="CI946" s="294"/>
      <c r="CJ946" s="294"/>
    </row>
    <row r="947" spans="2:88" ht="13">
      <c r="B947" s="294"/>
      <c r="F947" s="296"/>
      <c r="J947" s="302"/>
      <c r="T947" s="295"/>
      <c r="AA947" s="295"/>
      <c r="AH947" s="295"/>
      <c r="AI947" s="188"/>
      <c r="AJ947" s="188"/>
      <c r="AK947" s="188"/>
      <c r="AL947" s="188"/>
      <c r="AM947" s="188"/>
      <c r="AN947" s="188"/>
      <c r="AO947" s="299"/>
      <c r="CI947" s="294"/>
      <c r="CJ947" s="294"/>
    </row>
    <row r="948" spans="2:88" ht="13">
      <c r="B948" s="294"/>
      <c r="F948" s="296"/>
      <c r="J948" s="302"/>
      <c r="T948" s="295"/>
      <c r="AA948" s="295"/>
      <c r="AH948" s="295"/>
      <c r="AI948" s="188"/>
      <c r="AJ948" s="188"/>
      <c r="AK948" s="188"/>
      <c r="AL948" s="188"/>
      <c r="AM948" s="188"/>
      <c r="AN948" s="188"/>
      <c r="AO948" s="299"/>
      <c r="CI948" s="294"/>
      <c r="CJ948" s="294"/>
    </row>
    <row r="949" spans="2:88" ht="13">
      <c r="B949" s="294"/>
      <c r="F949" s="296"/>
      <c r="J949" s="302"/>
      <c r="T949" s="295"/>
      <c r="AA949" s="295"/>
      <c r="AH949" s="295"/>
      <c r="AI949" s="188"/>
      <c r="AJ949" s="188"/>
      <c r="AK949" s="188"/>
      <c r="AL949" s="188"/>
      <c r="AM949" s="188"/>
      <c r="AN949" s="188"/>
      <c r="AO949" s="299"/>
      <c r="CI949" s="294"/>
      <c r="CJ949" s="294"/>
    </row>
    <row r="950" spans="2:88" ht="13">
      <c r="B950" s="294"/>
      <c r="F950" s="296"/>
      <c r="J950" s="302"/>
      <c r="T950" s="295"/>
      <c r="AA950" s="295"/>
      <c r="AH950" s="295"/>
      <c r="AI950" s="188"/>
      <c r="AJ950" s="188"/>
      <c r="AK950" s="188"/>
      <c r="AL950" s="188"/>
      <c r="AM950" s="188"/>
      <c r="AN950" s="188"/>
      <c r="AO950" s="299"/>
      <c r="CI950" s="294"/>
      <c r="CJ950" s="294"/>
    </row>
    <row r="951" spans="2:88" ht="13">
      <c r="B951" s="294"/>
      <c r="F951" s="296"/>
      <c r="J951" s="302"/>
      <c r="T951" s="295"/>
      <c r="AA951" s="295"/>
      <c r="AH951" s="295"/>
      <c r="AI951" s="188"/>
      <c r="AJ951" s="188"/>
      <c r="AK951" s="188"/>
      <c r="AL951" s="188"/>
      <c r="AM951" s="188"/>
      <c r="AN951" s="188"/>
      <c r="AO951" s="299"/>
      <c r="CI951" s="294"/>
      <c r="CJ951" s="294"/>
    </row>
    <row r="952" spans="2:88" ht="13">
      <c r="B952" s="294"/>
      <c r="F952" s="296"/>
      <c r="J952" s="302"/>
      <c r="T952" s="295"/>
      <c r="AA952" s="295"/>
      <c r="AH952" s="295"/>
      <c r="AI952" s="188"/>
      <c r="AJ952" s="188"/>
      <c r="AK952" s="188"/>
      <c r="AL952" s="188"/>
      <c r="AM952" s="188"/>
      <c r="AN952" s="188"/>
      <c r="AO952" s="299"/>
      <c r="CI952" s="294"/>
      <c r="CJ952" s="294"/>
    </row>
    <row r="953" spans="2:88" ht="13">
      <c r="B953" s="294"/>
      <c r="F953" s="296"/>
      <c r="J953" s="302"/>
      <c r="T953" s="295"/>
      <c r="AA953" s="295"/>
      <c r="AH953" s="295"/>
      <c r="AI953" s="188"/>
      <c r="AJ953" s="188"/>
      <c r="AK953" s="188"/>
      <c r="AL953" s="188"/>
      <c r="AM953" s="188"/>
      <c r="AN953" s="188"/>
      <c r="AO953" s="299"/>
      <c r="CI953" s="294"/>
      <c r="CJ953" s="294"/>
    </row>
    <row r="954" spans="2:88" ht="13">
      <c r="B954" s="294"/>
      <c r="F954" s="296"/>
      <c r="J954" s="302"/>
      <c r="T954" s="295"/>
      <c r="AA954" s="295"/>
      <c r="AH954" s="295"/>
      <c r="AI954" s="188"/>
      <c r="AJ954" s="188"/>
      <c r="AK954" s="188"/>
      <c r="AL954" s="188"/>
      <c r="AM954" s="188"/>
      <c r="AN954" s="188"/>
      <c r="AO954" s="299"/>
      <c r="CI954" s="294"/>
      <c r="CJ954" s="294"/>
    </row>
    <row r="955" spans="2:88" ht="13">
      <c r="B955" s="294"/>
      <c r="F955" s="296"/>
      <c r="J955" s="302"/>
      <c r="T955" s="295"/>
      <c r="AA955" s="295"/>
      <c r="AH955" s="295"/>
      <c r="AI955" s="188"/>
      <c r="AJ955" s="188"/>
      <c r="AK955" s="188"/>
      <c r="AL955" s="188"/>
      <c r="AM955" s="188"/>
      <c r="AN955" s="188"/>
      <c r="AO955" s="299"/>
      <c r="CI955" s="294"/>
      <c r="CJ955" s="294"/>
    </row>
    <row r="956" spans="2:88" ht="13">
      <c r="B956" s="294"/>
      <c r="F956" s="296"/>
      <c r="J956" s="302"/>
      <c r="T956" s="295"/>
      <c r="AA956" s="295"/>
      <c r="AH956" s="295"/>
      <c r="AI956" s="188"/>
      <c r="AJ956" s="188"/>
      <c r="AK956" s="188"/>
      <c r="AL956" s="188"/>
      <c r="AM956" s="188"/>
      <c r="AN956" s="188"/>
      <c r="AO956" s="299"/>
      <c r="CI956" s="294"/>
      <c r="CJ956" s="294"/>
    </row>
    <row r="957" spans="2:88" ht="13">
      <c r="B957" s="294"/>
      <c r="F957" s="296"/>
      <c r="J957" s="302"/>
      <c r="T957" s="295"/>
      <c r="AA957" s="295"/>
      <c r="AH957" s="295"/>
      <c r="AI957" s="188"/>
      <c r="AJ957" s="188"/>
      <c r="AK957" s="188"/>
      <c r="AL957" s="188"/>
      <c r="AM957" s="188"/>
      <c r="AN957" s="188"/>
      <c r="AO957" s="299"/>
      <c r="CI957" s="294"/>
      <c r="CJ957" s="294"/>
    </row>
    <row r="958" spans="2:88" ht="13">
      <c r="B958" s="294"/>
      <c r="F958" s="296"/>
      <c r="J958" s="302"/>
      <c r="T958" s="295"/>
      <c r="AA958" s="295"/>
      <c r="AH958" s="295"/>
      <c r="AI958" s="188"/>
      <c r="AJ958" s="188"/>
      <c r="AK958" s="188"/>
      <c r="AL958" s="188"/>
      <c r="AM958" s="188"/>
      <c r="AN958" s="188"/>
      <c r="AO958" s="299"/>
      <c r="CI958" s="294"/>
      <c r="CJ958" s="294"/>
    </row>
    <row r="959" spans="2:88" ht="13">
      <c r="B959" s="294"/>
      <c r="F959" s="296"/>
      <c r="J959" s="302"/>
      <c r="T959" s="295"/>
      <c r="AA959" s="295"/>
      <c r="AH959" s="295"/>
      <c r="AI959" s="188"/>
      <c r="AJ959" s="188"/>
      <c r="AK959" s="188"/>
      <c r="AL959" s="188"/>
      <c r="AM959" s="188"/>
      <c r="AN959" s="188"/>
      <c r="AO959" s="299"/>
      <c r="CI959" s="294"/>
      <c r="CJ959" s="294"/>
    </row>
    <row r="960" spans="2:88" ht="13">
      <c r="B960" s="294"/>
      <c r="F960" s="296"/>
      <c r="J960" s="302"/>
      <c r="T960" s="295"/>
      <c r="AA960" s="295"/>
      <c r="AH960" s="295"/>
      <c r="AI960" s="188"/>
      <c r="AJ960" s="188"/>
      <c r="AK960" s="188"/>
      <c r="AL960" s="188"/>
      <c r="AM960" s="188"/>
      <c r="AN960" s="188"/>
      <c r="AO960" s="299"/>
      <c r="CI960" s="294"/>
      <c r="CJ960" s="294"/>
    </row>
    <row r="961" spans="2:88" ht="13">
      <c r="B961" s="294"/>
      <c r="F961" s="296"/>
      <c r="J961" s="302"/>
      <c r="T961" s="295"/>
      <c r="AA961" s="295"/>
      <c r="AH961" s="295"/>
      <c r="AI961" s="188"/>
      <c r="AJ961" s="188"/>
      <c r="AK961" s="188"/>
      <c r="AL961" s="188"/>
      <c r="AM961" s="188"/>
      <c r="AN961" s="188"/>
      <c r="AO961" s="299"/>
      <c r="CI961" s="294"/>
      <c r="CJ961" s="294"/>
    </row>
    <row r="962" spans="2:88" ht="13">
      <c r="B962" s="294"/>
      <c r="F962" s="296"/>
      <c r="J962" s="302"/>
      <c r="T962" s="295"/>
      <c r="AA962" s="295"/>
      <c r="AH962" s="295"/>
      <c r="AI962" s="188"/>
      <c r="AJ962" s="188"/>
      <c r="AK962" s="188"/>
      <c r="AL962" s="188"/>
      <c r="AM962" s="188"/>
      <c r="AN962" s="188"/>
      <c r="AO962" s="299"/>
      <c r="CI962" s="294"/>
      <c r="CJ962" s="294"/>
    </row>
    <row r="963" spans="2:88" ht="13">
      <c r="B963" s="294"/>
      <c r="F963" s="296"/>
      <c r="J963" s="302"/>
      <c r="T963" s="295"/>
      <c r="AA963" s="295"/>
      <c r="AH963" s="295"/>
      <c r="AI963" s="188"/>
      <c r="AJ963" s="188"/>
      <c r="AK963" s="188"/>
      <c r="AL963" s="188"/>
      <c r="AM963" s="188"/>
      <c r="AN963" s="188"/>
      <c r="AO963" s="299"/>
      <c r="CI963" s="294"/>
      <c r="CJ963" s="294"/>
    </row>
    <row r="964" spans="2:88" ht="13">
      <c r="B964" s="294"/>
      <c r="F964" s="296"/>
      <c r="J964" s="302"/>
      <c r="T964" s="295"/>
      <c r="AA964" s="295"/>
      <c r="AH964" s="295"/>
      <c r="AI964" s="188"/>
      <c r="AJ964" s="188"/>
      <c r="AK964" s="188"/>
      <c r="AL964" s="188"/>
      <c r="AM964" s="188"/>
      <c r="AN964" s="188"/>
      <c r="AO964" s="299"/>
      <c r="CI964" s="294"/>
      <c r="CJ964" s="294"/>
    </row>
    <row r="965" spans="2:88" ht="13">
      <c r="B965" s="294"/>
      <c r="F965" s="296"/>
      <c r="J965" s="302"/>
      <c r="T965" s="295"/>
      <c r="AA965" s="295"/>
      <c r="AH965" s="295"/>
      <c r="AI965" s="188"/>
      <c r="AJ965" s="188"/>
      <c r="AK965" s="188"/>
      <c r="AL965" s="188"/>
      <c r="AM965" s="188"/>
      <c r="AN965" s="188"/>
      <c r="AO965" s="299"/>
      <c r="CI965" s="294"/>
      <c r="CJ965" s="294"/>
    </row>
    <row r="966" spans="2:88" ht="13">
      <c r="B966" s="294"/>
      <c r="F966" s="296"/>
      <c r="J966" s="302"/>
      <c r="T966" s="295"/>
      <c r="AA966" s="295"/>
      <c r="AH966" s="295"/>
      <c r="AI966" s="188"/>
      <c r="AJ966" s="188"/>
      <c r="AK966" s="188"/>
      <c r="AL966" s="188"/>
      <c r="AM966" s="188"/>
      <c r="AN966" s="188"/>
      <c r="AO966" s="299"/>
      <c r="CI966" s="294"/>
      <c r="CJ966" s="294"/>
    </row>
    <row r="967" spans="2:88" ht="13">
      <c r="B967" s="294"/>
      <c r="F967" s="296"/>
      <c r="J967" s="302"/>
      <c r="T967" s="295"/>
      <c r="AA967" s="295"/>
      <c r="AH967" s="295"/>
      <c r="AI967" s="188"/>
      <c r="AJ967" s="188"/>
      <c r="AK967" s="188"/>
      <c r="AL967" s="188"/>
      <c r="AM967" s="188"/>
      <c r="AN967" s="188"/>
      <c r="AO967" s="299"/>
      <c r="CI967" s="294"/>
      <c r="CJ967" s="294"/>
    </row>
    <row r="968" spans="2:88" ht="13">
      <c r="B968" s="294"/>
      <c r="F968" s="296"/>
      <c r="J968" s="302"/>
      <c r="T968" s="295"/>
      <c r="AA968" s="295"/>
      <c r="AH968" s="295"/>
      <c r="AI968" s="188"/>
      <c r="AJ968" s="188"/>
      <c r="AK968" s="188"/>
      <c r="AL968" s="188"/>
      <c r="AM968" s="188"/>
      <c r="AN968" s="188"/>
      <c r="AO968" s="299"/>
      <c r="CI968" s="294"/>
      <c r="CJ968" s="294"/>
    </row>
    <row r="969" spans="2:88" ht="13">
      <c r="B969" s="294"/>
      <c r="F969" s="296"/>
      <c r="J969" s="302"/>
      <c r="T969" s="295"/>
      <c r="AA969" s="295"/>
      <c r="AH969" s="295"/>
      <c r="AI969" s="188"/>
      <c r="AJ969" s="188"/>
      <c r="AK969" s="188"/>
      <c r="AL969" s="188"/>
      <c r="AM969" s="188"/>
      <c r="AN969" s="188"/>
      <c r="AO969" s="299"/>
      <c r="CI969" s="294"/>
      <c r="CJ969" s="294"/>
    </row>
    <row r="970" spans="2:88" ht="13">
      <c r="B970" s="294"/>
      <c r="F970" s="296"/>
      <c r="J970" s="302"/>
      <c r="T970" s="295"/>
      <c r="AA970" s="295"/>
      <c r="AH970" s="295"/>
      <c r="AI970" s="188"/>
      <c r="AJ970" s="188"/>
      <c r="AK970" s="188"/>
      <c r="AL970" s="188"/>
      <c r="AM970" s="188"/>
      <c r="AN970" s="188"/>
      <c r="AO970" s="299"/>
      <c r="CI970" s="294"/>
      <c r="CJ970" s="294"/>
    </row>
    <row r="971" spans="2:88" ht="13">
      <c r="B971" s="294"/>
      <c r="F971" s="296"/>
      <c r="J971" s="302"/>
      <c r="T971" s="295"/>
      <c r="AA971" s="295"/>
      <c r="AH971" s="295"/>
      <c r="AI971" s="188"/>
      <c r="AJ971" s="188"/>
      <c r="AK971" s="188"/>
      <c r="AL971" s="188"/>
      <c r="AM971" s="188"/>
      <c r="AN971" s="188"/>
      <c r="AO971" s="299"/>
      <c r="CI971" s="294"/>
      <c r="CJ971" s="294"/>
    </row>
    <row r="972" spans="2:88" ht="13">
      <c r="B972" s="294"/>
      <c r="F972" s="296"/>
      <c r="J972" s="302"/>
      <c r="T972" s="295"/>
      <c r="AA972" s="295"/>
      <c r="AH972" s="295"/>
      <c r="AI972" s="188"/>
      <c r="AJ972" s="188"/>
      <c r="AK972" s="188"/>
      <c r="AL972" s="188"/>
      <c r="AM972" s="188"/>
      <c r="AN972" s="188"/>
      <c r="AO972" s="299"/>
      <c r="CI972" s="294"/>
      <c r="CJ972" s="294"/>
    </row>
    <row r="973" spans="2:88" ht="13">
      <c r="B973" s="294"/>
      <c r="F973" s="296"/>
      <c r="J973" s="302"/>
      <c r="T973" s="295"/>
      <c r="AA973" s="295"/>
      <c r="AH973" s="295"/>
      <c r="AI973" s="188"/>
      <c r="AJ973" s="188"/>
      <c r="AK973" s="188"/>
      <c r="AL973" s="188"/>
      <c r="AM973" s="188"/>
      <c r="AN973" s="188"/>
      <c r="AO973" s="299"/>
      <c r="CI973" s="294"/>
      <c r="CJ973" s="294"/>
    </row>
    <row r="974" spans="2:88" ht="13">
      <c r="B974" s="294"/>
      <c r="F974" s="296"/>
      <c r="J974" s="302"/>
      <c r="T974" s="295"/>
      <c r="AA974" s="295"/>
      <c r="AH974" s="295"/>
      <c r="AI974" s="188"/>
      <c r="AJ974" s="188"/>
      <c r="AK974" s="188"/>
      <c r="AL974" s="188"/>
      <c r="AM974" s="188"/>
      <c r="AN974" s="188"/>
      <c r="AO974" s="299"/>
      <c r="CI974" s="294"/>
      <c r="CJ974" s="294"/>
    </row>
    <row r="975" spans="2:88" ht="13">
      <c r="B975" s="294"/>
      <c r="F975" s="296"/>
      <c r="J975" s="302"/>
      <c r="T975" s="295"/>
      <c r="AA975" s="295"/>
      <c r="AH975" s="295"/>
      <c r="AI975" s="188"/>
      <c r="AJ975" s="188"/>
      <c r="AK975" s="188"/>
      <c r="AL975" s="188"/>
      <c r="AM975" s="188"/>
      <c r="AN975" s="188"/>
      <c r="AO975" s="299"/>
      <c r="CI975" s="294"/>
      <c r="CJ975" s="294"/>
    </row>
    <row r="976" spans="2:88" ht="13">
      <c r="B976" s="294"/>
      <c r="F976" s="296"/>
      <c r="J976" s="302"/>
      <c r="T976" s="295"/>
      <c r="AA976" s="295"/>
      <c r="AH976" s="295"/>
      <c r="AI976" s="188"/>
      <c r="AJ976" s="188"/>
      <c r="AK976" s="188"/>
      <c r="AL976" s="188"/>
      <c r="AM976" s="188"/>
      <c r="AN976" s="188"/>
      <c r="AO976" s="299"/>
      <c r="CI976" s="294"/>
      <c r="CJ976" s="294"/>
    </row>
    <row r="977" spans="2:88" ht="13">
      <c r="B977" s="294"/>
      <c r="F977" s="296"/>
      <c r="J977" s="302"/>
      <c r="T977" s="295"/>
      <c r="AA977" s="295"/>
      <c r="AH977" s="295"/>
      <c r="AI977" s="188"/>
      <c r="AJ977" s="188"/>
      <c r="AK977" s="188"/>
      <c r="AL977" s="188"/>
      <c r="AM977" s="188"/>
      <c r="AN977" s="188"/>
      <c r="AO977" s="299"/>
      <c r="CI977" s="294"/>
      <c r="CJ977" s="294"/>
    </row>
    <row r="978" spans="2:88" ht="13">
      <c r="B978" s="294"/>
      <c r="F978" s="296"/>
      <c r="J978" s="302"/>
      <c r="T978" s="295"/>
      <c r="AA978" s="295"/>
      <c r="AH978" s="295"/>
      <c r="AI978" s="188"/>
      <c r="AJ978" s="188"/>
      <c r="AK978" s="188"/>
      <c r="AL978" s="188"/>
      <c r="AM978" s="188"/>
      <c r="AN978" s="188"/>
      <c r="AO978" s="299"/>
      <c r="CI978" s="294"/>
      <c r="CJ978" s="294"/>
    </row>
    <row r="979" spans="2:88" ht="13">
      <c r="B979" s="294"/>
      <c r="F979" s="296"/>
      <c r="J979" s="302"/>
      <c r="T979" s="295"/>
      <c r="AA979" s="295"/>
      <c r="AH979" s="295"/>
      <c r="AI979" s="188"/>
      <c r="AJ979" s="188"/>
      <c r="AK979" s="188"/>
      <c r="AL979" s="188"/>
      <c r="AM979" s="188"/>
      <c r="AN979" s="188"/>
      <c r="AO979" s="299"/>
      <c r="CI979" s="294"/>
      <c r="CJ979" s="294"/>
    </row>
    <row r="980" spans="2:88" ht="13">
      <c r="B980" s="294"/>
      <c r="F980" s="296"/>
      <c r="J980" s="302"/>
      <c r="T980" s="295"/>
      <c r="AA980" s="295"/>
      <c r="AH980" s="295"/>
      <c r="AI980" s="188"/>
      <c r="AJ980" s="188"/>
      <c r="AK980" s="188"/>
      <c r="AL980" s="188"/>
      <c r="AM980" s="188"/>
      <c r="AN980" s="188"/>
      <c r="AO980" s="299"/>
      <c r="CI980" s="294"/>
      <c r="CJ980" s="294"/>
    </row>
    <row r="981" spans="2:88" ht="13">
      <c r="B981" s="294"/>
      <c r="F981" s="296"/>
      <c r="J981" s="302"/>
      <c r="T981" s="295"/>
      <c r="AA981" s="295"/>
      <c r="AH981" s="295"/>
      <c r="AI981" s="188"/>
      <c r="AJ981" s="188"/>
      <c r="AK981" s="188"/>
      <c r="AL981" s="188"/>
      <c r="AM981" s="188"/>
      <c r="AN981" s="188"/>
      <c r="AO981" s="299"/>
      <c r="CI981" s="294"/>
      <c r="CJ981" s="294"/>
    </row>
    <row r="982" spans="2:88" ht="13">
      <c r="B982" s="294"/>
      <c r="F982" s="296"/>
      <c r="J982" s="302"/>
      <c r="T982" s="295"/>
      <c r="AA982" s="295"/>
      <c r="AH982" s="295"/>
      <c r="AI982" s="188"/>
      <c r="AJ982" s="188"/>
      <c r="AK982" s="188"/>
      <c r="AL982" s="188"/>
      <c r="AM982" s="188"/>
      <c r="AN982" s="188"/>
      <c r="AO982" s="299"/>
      <c r="CI982" s="294"/>
      <c r="CJ982" s="294"/>
    </row>
    <row r="983" spans="2:88" ht="13">
      <c r="B983" s="294"/>
      <c r="F983" s="296"/>
      <c r="J983" s="302"/>
      <c r="T983" s="295"/>
      <c r="AA983" s="295"/>
      <c r="AH983" s="295"/>
      <c r="AI983" s="188"/>
      <c r="AJ983" s="188"/>
      <c r="AK983" s="188"/>
      <c r="AL983" s="188"/>
      <c r="AM983" s="188"/>
      <c r="AN983" s="188"/>
      <c r="AO983" s="299"/>
      <c r="CI983" s="294"/>
      <c r="CJ983" s="294"/>
    </row>
    <row r="984" spans="2:88" ht="13">
      <c r="B984" s="294"/>
      <c r="F984" s="296"/>
      <c r="J984" s="302"/>
      <c r="T984" s="295"/>
      <c r="AA984" s="295"/>
      <c r="AH984" s="295"/>
      <c r="AI984" s="188"/>
      <c r="AJ984" s="188"/>
      <c r="AK984" s="188"/>
      <c r="AL984" s="188"/>
      <c r="AM984" s="188"/>
      <c r="AN984" s="188"/>
      <c r="AO984" s="299"/>
      <c r="CI984" s="294"/>
      <c r="CJ984" s="294"/>
    </row>
    <row r="985" spans="2:88" ht="13">
      <c r="B985" s="294"/>
      <c r="F985" s="296"/>
      <c r="J985" s="302"/>
      <c r="T985" s="295"/>
      <c r="AA985" s="295"/>
      <c r="AH985" s="295"/>
      <c r="AI985" s="188"/>
      <c r="AJ985" s="188"/>
      <c r="AK985" s="188"/>
      <c r="AL985" s="188"/>
      <c r="AM985" s="188"/>
      <c r="AN985" s="188"/>
      <c r="AO985" s="299"/>
      <c r="CI985" s="294"/>
      <c r="CJ985" s="294"/>
    </row>
    <row r="986" spans="2:88" ht="13">
      <c r="B986" s="294"/>
      <c r="F986" s="296"/>
      <c r="J986" s="302"/>
      <c r="T986" s="295"/>
      <c r="AA986" s="295"/>
      <c r="AH986" s="295"/>
      <c r="AI986" s="188"/>
      <c r="AJ986" s="188"/>
      <c r="AK986" s="188"/>
      <c r="AL986" s="188"/>
      <c r="AM986" s="188"/>
      <c r="AN986" s="188"/>
      <c r="AO986" s="299"/>
      <c r="CI986" s="294"/>
      <c r="CJ986" s="294"/>
    </row>
    <row r="987" spans="2:88" ht="13">
      <c r="B987" s="294"/>
      <c r="F987" s="296"/>
      <c r="J987" s="302"/>
      <c r="T987" s="295"/>
      <c r="AA987" s="295"/>
      <c r="AH987" s="295"/>
      <c r="AI987" s="188"/>
      <c r="AJ987" s="188"/>
      <c r="AK987" s="188"/>
      <c r="AL987" s="188"/>
      <c r="AM987" s="188"/>
      <c r="AN987" s="188"/>
      <c r="AO987" s="299"/>
      <c r="CI987" s="294"/>
      <c r="CJ987" s="294"/>
    </row>
    <row r="988" spans="2:88" ht="13">
      <c r="B988" s="294"/>
      <c r="F988" s="296"/>
      <c r="J988" s="302"/>
      <c r="T988" s="295"/>
      <c r="AA988" s="295"/>
      <c r="AH988" s="295"/>
      <c r="AI988" s="188"/>
      <c r="AJ988" s="188"/>
      <c r="AK988" s="188"/>
      <c r="AL988" s="188"/>
      <c r="AM988" s="188"/>
      <c r="AN988" s="188"/>
      <c r="AO988" s="299"/>
      <c r="CI988" s="294"/>
      <c r="CJ988" s="294"/>
    </row>
    <row r="989" spans="2:88" ht="13">
      <c r="B989" s="294"/>
      <c r="F989" s="296"/>
      <c r="J989" s="302"/>
      <c r="T989" s="295"/>
      <c r="AA989" s="295"/>
      <c r="AH989" s="295"/>
      <c r="AI989" s="188"/>
      <c r="AJ989" s="188"/>
      <c r="AK989" s="188"/>
      <c r="AL989" s="188"/>
      <c r="AM989" s="188"/>
      <c r="AN989" s="188"/>
      <c r="AO989" s="299"/>
      <c r="CI989" s="294"/>
      <c r="CJ989" s="294"/>
    </row>
    <row r="990" spans="2:88" ht="13">
      <c r="B990" s="294"/>
      <c r="F990" s="296"/>
      <c r="J990" s="302"/>
      <c r="T990" s="295"/>
      <c r="AA990" s="295"/>
      <c r="AH990" s="295"/>
      <c r="AI990" s="188"/>
      <c r="AJ990" s="188"/>
      <c r="AK990" s="188"/>
      <c r="AL990" s="188"/>
      <c r="AM990" s="188"/>
      <c r="AN990" s="188"/>
      <c r="AO990" s="299"/>
      <c r="CI990" s="294"/>
      <c r="CJ990" s="294"/>
    </row>
    <row r="991" spans="2:88" ht="13">
      <c r="B991" s="294"/>
      <c r="F991" s="296"/>
      <c r="J991" s="302"/>
      <c r="T991" s="295"/>
      <c r="AA991" s="295"/>
      <c r="AH991" s="295"/>
      <c r="AI991" s="188"/>
      <c r="AJ991" s="188"/>
      <c r="AK991" s="188"/>
      <c r="AL991" s="188"/>
      <c r="AM991" s="188"/>
      <c r="AN991" s="188"/>
      <c r="AO991" s="299"/>
      <c r="CI991" s="294"/>
      <c r="CJ991" s="294"/>
    </row>
    <row r="992" spans="2:88" ht="13">
      <c r="B992" s="294"/>
      <c r="F992" s="296"/>
      <c r="J992" s="302"/>
      <c r="T992" s="295"/>
      <c r="AA992" s="295"/>
      <c r="AH992" s="295"/>
      <c r="AI992" s="188"/>
      <c r="AJ992" s="188"/>
      <c r="AK992" s="188"/>
      <c r="AL992" s="188"/>
      <c r="AM992" s="188"/>
      <c r="AN992" s="188"/>
      <c r="AO992" s="299"/>
      <c r="CI992" s="294"/>
      <c r="CJ992" s="294"/>
    </row>
    <row r="993" spans="2:88" ht="13">
      <c r="B993" s="294"/>
      <c r="F993" s="296"/>
      <c r="J993" s="302"/>
      <c r="T993" s="295"/>
      <c r="AA993" s="295"/>
      <c r="AH993" s="295"/>
      <c r="AI993" s="188"/>
      <c r="AJ993" s="188"/>
      <c r="AK993" s="188"/>
      <c r="AL993" s="188"/>
      <c r="AM993" s="188"/>
      <c r="AN993" s="188"/>
      <c r="AO993" s="299"/>
      <c r="CI993" s="294"/>
      <c r="CJ993" s="294"/>
    </row>
    <row r="994" spans="2:88" ht="13">
      <c r="B994" s="294"/>
      <c r="F994" s="296"/>
      <c r="J994" s="302"/>
      <c r="T994" s="295"/>
      <c r="AA994" s="295"/>
      <c r="AH994" s="295"/>
      <c r="AI994" s="188"/>
      <c r="AJ994" s="188"/>
      <c r="AK994" s="188"/>
      <c r="AL994" s="188"/>
      <c r="AM994" s="188"/>
      <c r="AN994" s="188"/>
      <c r="AO994" s="299"/>
      <c r="CI994" s="294"/>
      <c r="CJ994" s="294"/>
    </row>
    <row r="995" spans="2:88" ht="13">
      <c r="B995" s="294"/>
      <c r="F995" s="296"/>
      <c r="J995" s="302"/>
      <c r="T995" s="295"/>
      <c r="AA995" s="295"/>
      <c r="AH995" s="295"/>
      <c r="AI995" s="188"/>
      <c r="AJ995" s="188"/>
      <c r="AK995" s="188"/>
      <c r="AL995" s="188"/>
      <c r="AM995" s="188"/>
      <c r="AN995" s="188"/>
      <c r="AO995" s="299"/>
      <c r="CI995" s="294"/>
      <c r="CJ995" s="294"/>
    </row>
    <row r="996" spans="2:88" ht="13">
      <c r="B996" s="294"/>
      <c r="F996" s="296"/>
      <c r="J996" s="302"/>
      <c r="T996" s="295"/>
      <c r="AA996" s="295"/>
      <c r="AH996" s="295"/>
      <c r="AI996" s="188"/>
      <c r="AJ996" s="188"/>
      <c r="AK996" s="188"/>
      <c r="AL996" s="188"/>
      <c r="AM996" s="188"/>
      <c r="AN996" s="188"/>
      <c r="AO996" s="299"/>
      <c r="CI996" s="294"/>
      <c r="CJ996" s="294"/>
    </row>
    <row r="997" spans="2:88" ht="13">
      <c r="B997" s="294"/>
      <c r="F997" s="296"/>
      <c r="J997" s="302"/>
      <c r="T997" s="295"/>
      <c r="AA997" s="295"/>
      <c r="AH997" s="295"/>
      <c r="AI997" s="188"/>
      <c r="AJ997" s="188"/>
      <c r="AK997" s="188"/>
      <c r="AL997" s="188"/>
      <c r="AM997" s="188"/>
      <c r="AN997" s="188"/>
      <c r="AO997" s="299"/>
      <c r="CI997" s="294"/>
      <c r="CJ997" s="294"/>
    </row>
    <row r="998" spans="2:88" ht="13">
      <c r="B998" s="294"/>
      <c r="F998" s="296"/>
      <c r="J998" s="302"/>
      <c r="T998" s="295"/>
      <c r="AA998" s="295"/>
      <c r="AH998" s="295"/>
      <c r="AI998" s="188"/>
      <c r="AJ998" s="188"/>
      <c r="AK998" s="188"/>
      <c r="AL998" s="188"/>
      <c r="AM998" s="188"/>
      <c r="AN998" s="188"/>
      <c r="AO998" s="299"/>
      <c r="CI998" s="294"/>
      <c r="CJ998" s="294"/>
    </row>
    <row r="999" spans="2:88" ht="13">
      <c r="B999" s="294"/>
      <c r="F999" s="296"/>
      <c r="J999" s="302"/>
      <c r="T999" s="295"/>
      <c r="AA999" s="295"/>
      <c r="AH999" s="295"/>
      <c r="AI999" s="188"/>
      <c r="AJ999" s="188"/>
      <c r="AK999" s="188"/>
      <c r="AL999" s="188"/>
      <c r="AM999" s="188"/>
      <c r="AN999" s="188"/>
      <c r="AO999" s="299"/>
      <c r="CI999" s="294"/>
      <c r="CJ999" s="294"/>
    </row>
    <row r="1000" spans="2:88" ht="13">
      <c r="B1000" s="294"/>
      <c r="F1000" s="296"/>
      <c r="J1000" s="302"/>
      <c r="T1000" s="295"/>
      <c r="AA1000" s="295"/>
      <c r="AH1000" s="295"/>
      <c r="AI1000" s="188"/>
      <c r="AJ1000" s="188"/>
      <c r="AK1000" s="188"/>
      <c r="AL1000" s="188"/>
      <c r="AM1000" s="188"/>
      <c r="AN1000" s="188"/>
      <c r="AO1000" s="299"/>
      <c r="CI1000" s="294"/>
      <c r="CJ1000" s="294"/>
    </row>
    <row r="1001" spans="2:88" ht="13">
      <c r="B1001" s="294"/>
      <c r="F1001" s="296"/>
      <c r="J1001" s="302"/>
      <c r="T1001" s="295"/>
      <c r="AA1001" s="295"/>
      <c r="AH1001" s="295"/>
      <c r="AI1001" s="188"/>
      <c r="AJ1001" s="188"/>
      <c r="AK1001" s="188"/>
      <c r="AL1001" s="188"/>
      <c r="AM1001" s="188"/>
      <c r="AN1001" s="188"/>
      <c r="AO1001" s="299"/>
      <c r="CI1001" s="294"/>
      <c r="CJ1001" s="294"/>
    </row>
    <row r="1002" spans="2:88" ht="13">
      <c r="B1002" s="294"/>
      <c r="F1002" s="296"/>
      <c r="J1002" s="302"/>
      <c r="T1002" s="295"/>
      <c r="AA1002" s="295"/>
      <c r="AH1002" s="295"/>
      <c r="AI1002" s="188"/>
      <c r="AJ1002" s="188"/>
      <c r="AK1002" s="188"/>
      <c r="AL1002" s="188"/>
      <c r="AM1002" s="188"/>
      <c r="AN1002" s="188"/>
      <c r="AO1002" s="299"/>
      <c r="CI1002" s="294"/>
      <c r="CJ1002" s="294"/>
    </row>
    <row r="1003" spans="2:88" ht="13">
      <c r="B1003" s="294"/>
      <c r="F1003" s="296"/>
      <c r="J1003" s="302"/>
      <c r="T1003" s="295"/>
      <c r="AA1003" s="295"/>
      <c r="AH1003" s="295"/>
      <c r="AI1003" s="188"/>
      <c r="AJ1003" s="188"/>
      <c r="AK1003" s="188"/>
      <c r="AL1003" s="188"/>
      <c r="AM1003" s="188"/>
      <c r="AN1003" s="188"/>
      <c r="AO1003" s="299"/>
      <c r="CI1003" s="294"/>
      <c r="CJ1003" s="294"/>
    </row>
    <row r="1004" spans="2:88" ht="13">
      <c r="B1004" s="294"/>
      <c r="F1004" s="296"/>
      <c r="J1004" s="302"/>
      <c r="T1004" s="295"/>
      <c r="AA1004" s="295"/>
      <c r="AH1004" s="295"/>
      <c r="AI1004" s="188"/>
      <c r="AJ1004" s="188"/>
      <c r="AK1004" s="188"/>
      <c r="AL1004" s="188"/>
      <c r="AM1004" s="188"/>
      <c r="AN1004" s="188"/>
      <c r="AO1004" s="299"/>
      <c r="CI1004" s="294"/>
      <c r="CJ1004" s="294"/>
    </row>
    <row r="1005" spans="2:88" ht="13">
      <c r="B1005" s="294"/>
      <c r="F1005" s="296"/>
      <c r="J1005" s="302"/>
      <c r="T1005" s="295"/>
      <c r="AA1005" s="295"/>
      <c r="AH1005" s="295"/>
      <c r="AI1005" s="188"/>
      <c r="AJ1005" s="188"/>
      <c r="AK1005" s="188"/>
      <c r="AL1005" s="188"/>
      <c r="AM1005" s="188"/>
      <c r="AN1005" s="188"/>
      <c r="AO1005" s="299"/>
      <c r="CI1005" s="294"/>
      <c r="CJ1005" s="294"/>
    </row>
    <row r="1006" spans="2:88" ht="13">
      <c r="B1006" s="294"/>
      <c r="F1006" s="296"/>
      <c r="J1006" s="302"/>
      <c r="T1006" s="295"/>
      <c r="AA1006" s="295"/>
      <c r="AH1006" s="295"/>
      <c r="AI1006" s="188"/>
      <c r="AJ1006" s="188"/>
      <c r="AK1006" s="188"/>
      <c r="AL1006" s="188"/>
      <c r="AM1006" s="188"/>
      <c r="AN1006" s="188"/>
      <c r="AO1006" s="299"/>
      <c r="CI1006" s="294"/>
      <c r="CJ1006" s="294"/>
    </row>
    <row r="1007" spans="2:88" ht="13">
      <c r="B1007" s="294"/>
      <c r="F1007" s="296"/>
      <c r="J1007" s="302"/>
      <c r="T1007" s="295"/>
      <c r="AA1007" s="295"/>
      <c r="AH1007" s="295"/>
      <c r="AI1007" s="188"/>
      <c r="AJ1007" s="188"/>
      <c r="AK1007" s="188"/>
      <c r="AL1007" s="188"/>
      <c r="AM1007" s="188"/>
      <c r="AN1007" s="188"/>
      <c r="AO1007" s="299"/>
      <c r="CI1007" s="294"/>
      <c r="CJ1007" s="294"/>
    </row>
    <row r="1008" spans="2:88" ht="13">
      <c r="B1008" s="294"/>
      <c r="F1008" s="296"/>
      <c r="J1008" s="302"/>
      <c r="T1008" s="295"/>
      <c r="AA1008" s="295"/>
      <c r="AH1008" s="295"/>
      <c r="AI1008" s="188"/>
      <c r="AJ1008" s="188"/>
      <c r="AK1008" s="188"/>
      <c r="AL1008" s="188"/>
      <c r="AM1008" s="188"/>
      <c r="AN1008" s="188"/>
      <c r="AO1008" s="299"/>
      <c r="CI1008" s="294"/>
      <c r="CJ1008" s="294"/>
    </row>
    <row r="1009" spans="2:88" ht="13">
      <c r="B1009" s="294"/>
      <c r="F1009" s="296"/>
      <c r="J1009" s="302"/>
      <c r="T1009" s="295"/>
      <c r="AA1009" s="295"/>
      <c r="AH1009" s="295"/>
      <c r="AI1009" s="188"/>
      <c r="AJ1009" s="188"/>
      <c r="AK1009" s="188"/>
      <c r="AL1009" s="188"/>
      <c r="AM1009" s="188"/>
      <c r="AN1009" s="188"/>
      <c r="AO1009" s="299"/>
      <c r="CI1009" s="294"/>
      <c r="CJ1009" s="294"/>
    </row>
    <row r="1010" spans="2:88" ht="13">
      <c r="B1010" s="294"/>
      <c r="F1010" s="296"/>
      <c r="J1010" s="302"/>
      <c r="T1010" s="295"/>
      <c r="AA1010" s="295"/>
      <c r="AH1010" s="295"/>
      <c r="AI1010" s="188"/>
      <c r="AJ1010" s="188"/>
      <c r="AK1010" s="188"/>
      <c r="AL1010" s="188"/>
      <c r="AM1010" s="188"/>
      <c r="AN1010" s="188"/>
      <c r="AO1010" s="299"/>
      <c r="CI1010" s="294"/>
      <c r="CJ1010" s="294"/>
    </row>
    <row r="1011" spans="2:88" ht="13">
      <c r="B1011" s="294"/>
      <c r="F1011" s="296"/>
      <c r="J1011" s="302"/>
      <c r="T1011" s="295"/>
      <c r="AA1011" s="295"/>
      <c r="AH1011" s="295"/>
      <c r="AI1011" s="188"/>
      <c r="AJ1011" s="188"/>
      <c r="AK1011" s="188"/>
      <c r="AL1011" s="188"/>
      <c r="AM1011" s="188"/>
      <c r="AN1011" s="188"/>
      <c r="AO1011" s="299"/>
      <c r="CI1011" s="294"/>
      <c r="CJ1011" s="294"/>
    </row>
    <row r="1012" spans="2:88" ht="13">
      <c r="B1012" s="294"/>
      <c r="F1012" s="296"/>
      <c r="J1012" s="302"/>
      <c r="T1012" s="295"/>
      <c r="AA1012" s="295"/>
      <c r="AH1012" s="295"/>
      <c r="AI1012" s="188"/>
      <c r="AJ1012" s="188"/>
      <c r="AK1012" s="188"/>
      <c r="AL1012" s="188"/>
      <c r="AM1012" s="188"/>
      <c r="AN1012" s="188"/>
      <c r="AO1012" s="299"/>
      <c r="CI1012" s="294"/>
      <c r="CJ1012" s="294"/>
    </row>
    <row r="1013" spans="2:88" ht="13">
      <c r="B1013" s="294"/>
      <c r="F1013" s="296"/>
      <c r="J1013" s="302"/>
      <c r="T1013" s="295"/>
      <c r="AA1013" s="295"/>
      <c r="AH1013" s="295"/>
      <c r="AI1013" s="188"/>
      <c r="AJ1013" s="188"/>
      <c r="AK1013" s="188"/>
      <c r="AL1013" s="188"/>
      <c r="AM1013" s="188"/>
      <c r="AN1013" s="188"/>
      <c r="AO1013" s="299"/>
      <c r="CI1013" s="294"/>
      <c r="CJ1013" s="294"/>
    </row>
    <row r="1014" spans="2:88" ht="13">
      <c r="B1014" s="294"/>
      <c r="F1014" s="296"/>
      <c r="J1014" s="302"/>
      <c r="T1014" s="295"/>
      <c r="AA1014" s="295"/>
      <c r="AH1014" s="295"/>
      <c r="AI1014" s="188"/>
      <c r="AJ1014" s="188"/>
      <c r="AK1014" s="188"/>
      <c r="AL1014" s="188"/>
      <c r="AM1014" s="188"/>
      <c r="AN1014" s="188"/>
      <c r="AO1014" s="299"/>
      <c r="CI1014" s="294"/>
      <c r="CJ1014" s="294"/>
    </row>
    <row r="1015" spans="2:88" ht="13">
      <c r="B1015" s="294"/>
      <c r="F1015" s="296"/>
      <c r="J1015" s="302"/>
      <c r="T1015" s="295"/>
      <c r="AA1015" s="295"/>
      <c r="AH1015" s="295"/>
      <c r="AI1015" s="188"/>
      <c r="AJ1015" s="188"/>
      <c r="AK1015" s="188"/>
      <c r="AL1015" s="188"/>
      <c r="AM1015" s="188"/>
      <c r="AN1015" s="188"/>
      <c r="AO1015" s="299"/>
      <c r="CI1015" s="294"/>
      <c r="CJ1015" s="294"/>
    </row>
    <row r="1016" spans="2:88" ht="13">
      <c r="B1016" s="294"/>
      <c r="F1016" s="296"/>
      <c r="J1016" s="302"/>
      <c r="T1016" s="295"/>
      <c r="AA1016" s="295"/>
      <c r="AH1016" s="295"/>
      <c r="AI1016" s="188"/>
      <c r="AJ1016" s="188"/>
      <c r="AK1016" s="188"/>
      <c r="AL1016" s="188"/>
      <c r="AM1016" s="188"/>
      <c r="AN1016" s="188"/>
      <c r="AO1016" s="299"/>
      <c r="CI1016" s="294"/>
      <c r="CJ1016" s="294"/>
    </row>
    <row r="1017" spans="2:88" ht="13">
      <c r="B1017" s="294"/>
      <c r="F1017" s="296"/>
      <c r="J1017" s="302"/>
      <c r="T1017" s="295"/>
      <c r="AA1017" s="295"/>
      <c r="AH1017" s="295"/>
      <c r="AI1017" s="188"/>
      <c r="AJ1017" s="188"/>
      <c r="AK1017" s="188"/>
      <c r="AL1017" s="188"/>
      <c r="AM1017" s="188"/>
      <c r="AN1017" s="188"/>
      <c r="AO1017" s="299"/>
      <c r="CI1017" s="294"/>
      <c r="CJ1017" s="294"/>
    </row>
    <row r="1018" spans="2:88" ht="13">
      <c r="B1018" s="294"/>
      <c r="F1018" s="296"/>
      <c r="J1018" s="302"/>
      <c r="T1018" s="295"/>
      <c r="AA1018" s="295"/>
      <c r="AH1018" s="295"/>
      <c r="AI1018" s="188"/>
      <c r="AJ1018" s="188"/>
      <c r="AK1018" s="188"/>
      <c r="AL1018" s="188"/>
      <c r="AM1018" s="188"/>
      <c r="AN1018" s="188"/>
      <c r="AO1018" s="299"/>
      <c r="CI1018" s="294"/>
      <c r="CJ1018" s="294"/>
    </row>
    <row r="1019" spans="2:88" ht="13">
      <c r="B1019" s="294"/>
      <c r="F1019" s="296"/>
      <c r="J1019" s="302"/>
      <c r="T1019" s="295"/>
      <c r="AA1019" s="295"/>
      <c r="AH1019" s="295"/>
      <c r="AI1019" s="188"/>
      <c r="AJ1019" s="188"/>
      <c r="AK1019" s="188"/>
      <c r="AL1019" s="188"/>
      <c r="AM1019" s="188"/>
      <c r="AN1019" s="188"/>
      <c r="AO1019" s="299"/>
      <c r="CI1019" s="294"/>
      <c r="CJ1019" s="294"/>
    </row>
    <row r="1020" spans="2:88" ht="13">
      <c r="B1020" s="294"/>
      <c r="F1020" s="296"/>
      <c r="J1020" s="302"/>
      <c r="T1020" s="295"/>
      <c r="AA1020" s="295"/>
      <c r="AH1020" s="295"/>
      <c r="AI1020" s="188"/>
      <c r="AJ1020" s="188"/>
      <c r="AK1020" s="188"/>
      <c r="AL1020" s="188"/>
      <c r="AM1020" s="188"/>
      <c r="AN1020" s="188"/>
      <c r="AO1020" s="299"/>
      <c r="CI1020" s="294"/>
      <c r="CJ1020" s="294"/>
    </row>
    <row r="1021" spans="2:88" ht="13">
      <c r="B1021" s="294"/>
      <c r="F1021" s="296"/>
      <c r="J1021" s="302"/>
      <c r="T1021" s="295"/>
      <c r="AA1021" s="295"/>
      <c r="AH1021" s="295"/>
      <c r="AI1021" s="188"/>
      <c r="AJ1021" s="188"/>
      <c r="AK1021" s="188"/>
      <c r="AL1021" s="188"/>
      <c r="AM1021" s="188"/>
      <c r="AN1021" s="188"/>
      <c r="AO1021" s="299"/>
      <c r="CI1021" s="294"/>
      <c r="CJ1021" s="294"/>
    </row>
    <row r="1022" spans="2:88" ht="13">
      <c r="B1022" s="294"/>
      <c r="F1022" s="296"/>
      <c r="J1022" s="302"/>
      <c r="T1022" s="295"/>
      <c r="AA1022" s="295"/>
      <c r="AH1022" s="295"/>
      <c r="AI1022" s="188"/>
      <c r="AJ1022" s="188"/>
      <c r="AK1022" s="188"/>
      <c r="AL1022" s="188"/>
      <c r="AM1022" s="188"/>
      <c r="AN1022" s="188"/>
      <c r="AO1022" s="299"/>
      <c r="CI1022" s="294"/>
      <c r="CJ1022" s="294"/>
    </row>
    <row r="1023" spans="2:88" ht="13">
      <c r="B1023" s="294"/>
      <c r="F1023" s="296"/>
      <c r="J1023" s="302"/>
      <c r="T1023" s="295"/>
      <c r="AA1023" s="295"/>
      <c r="AH1023" s="295"/>
      <c r="AI1023" s="188"/>
      <c r="AJ1023" s="188"/>
      <c r="AK1023" s="188"/>
      <c r="AL1023" s="188"/>
      <c r="AM1023" s="188"/>
      <c r="AN1023" s="188"/>
      <c r="AO1023" s="299"/>
      <c r="CI1023" s="294"/>
      <c r="CJ1023" s="294"/>
    </row>
    <row r="1024" spans="2:88" ht="13">
      <c r="B1024" s="294"/>
      <c r="F1024" s="296"/>
      <c r="J1024" s="302"/>
      <c r="T1024" s="295"/>
      <c r="AA1024" s="295"/>
      <c r="AH1024" s="295"/>
      <c r="AI1024" s="188"/>
      <c r="AJ1024" s="188"/>
      <c r="AK1024" s="188"/>
      <c r="AL1024" s="188"/>
      <c r="AM1024" s="188"/>
      <c r="AN1024" s="188"/>
      <c r="AO1024" s="299"/>
      <c r="CI1024" s="294"/>
      <c r="CJ1024" s="294"/>
    </row>
    <row r="1025" spans="2:88" ht="13">
      <c r="B1025" s="294"/>
      <c r="F1025" s="296"/>
      <c r="J1025" s="302"/>
      <c r="T1025" s="295"/>
      <c r="AA1025" s="295"/>
      <c r="AH1025" s="295"/>
      <c r="AI1025" s="188"/>
      <c r="AJ1025" s="188"/>
      <c r="AK1025" s="188"/>
      <c r="AL1025" s="188"/>
      <c r="AM1025" s="188"/>
      <c r="AN1025" s="188"/>
      <c r="AO1025" s="299"/>
      <c r="CI1025" s="294"/>
      <c r="CJ1025" s="294"/>
    </row>
    <row r="1026" spans="2:88" ht="13">
      <c r="B1026" s="294"/>
      <c r="F1026" s="296"/>
      <c r="J1026" s="302"/>
      <c r="T1026" s="295"/>
      <c r="AA1026" s="295"/>
      <c r="AH1026" s="295"/>
      <c r="AI1026" s="188"/>
      <c r="AJ1026" s="188"/>
      <c r="AK1026" s="188"/>
      <c r="AL1026" s="188"/>
      <c r="AM1026" s="188"/>
      <c r="AN1026" s="188"/>
      <c r="AO1026" s="299"/>
      <c r="CI1026" s="294"/>
      <c r="CJ1026" s="294"/>
    </row>
    <row r="1027" spans="2:88" ht="13">
      <c r="B1027" s="294"/>
      <c r="F1027" s="296"/>
      <c r="J1027" s="302"/>
      <c r="T1027" s="295"/>
      <c r="AA1027" s="295"/>
      <c r="AH1027" s="295"/>
      <c r="AI1027" s="188"/>
      <c r="AJ1027" s="188"/>
      <c r="AK1027" s="188"/>
      <c r="AL1027" s="188"/>
      <c r="AM1027" s="188"/>
      <c r="AN1027" s="188"/>
      <c r="AO1027" s="299"/>
      <c r="CI1027" s="294"/>
      <c r="CJ1027" s="294"/>
    </row>
    <row r="1028" spans="2:88" ht="13">
      <c r="B1028" s="294"/>
      <c r="F1028" s="296"/>
      <c r="J1028" s="302"/>
      <c r="T1028" s="295"/>
      <c r="AA1028" s="295"/>
      <c r="AH1028" s="295"/>
      <c r="AI1028" s="188"/>
      <c r="AJ1028" s="188"/>
      <c r="AK1028" s="188"/>
      <c r="AL1028" s="188"/>
      <c r="AM1028" s="188"/>
      <c r="AN1028" s="188"/>
      <c r="AO1028" s="299"/>
      <c r="CI1028" s="294"/>
      <c r="CJ1028" s="294"/>
    </row>
    <row r="1029" spans="2:88" ht="13">
      <c r="B1029" s="294"/>
      <c r="F1029" s="296"/>
      <c r="J1029" s="302"/>
      <c r="T1029" s="295"/>
      <c r="AA1029" s="295"/>
      <c r="AH1029" s="295"/>
      <c r="AI1029" s="188"/>
      <c r="AJ1029" s="188"/>
      <c r="AK1029" s="188"/>
      <c r="AL1029" s="188"/>
      <c r="AM1029" s="188"/>
      <c r="AN1029" s="188"/>
      <c r="AO1029" s="299"/>
      <c r="CI1029" s="294"/>
      <c r="CJ1029" s="294"/>
    </row>
    <row r="1030" spans="2:88" ht="13">
      <c r="B1030" s="294"/>
      <c r="F1030" s="296"/>
      <c r="J1030" s="302"/>
      <c r="T1030" s="295"/>
      <c r="AA1030" s="295"/>
      <c r="AH1030" s="295"/>
      <c r="AI1030" s="188"/>
      <c r="AJ1030" s="188"/>
      <c r="AK1030" s="188"/>
      <c r="AL1030" s="188"/>
      <c r="AM1030" s="188"/>
      <c r="AN1030" s="188"/>
      <c r="AO1030" s="299"/>
      <c r="CI1030" s="294"/>
      <c r="CJ1030" s="294"/>
    </row>
    <row r="1031" spans="2:88" ht="13">
      <c r="B1031" s="294"/>
      <c r="F1031" s="296"/>
      <c r="J1031" s="302"/>
      <c r="T1031" s="295"/>
      <c r="AA1031" s="295"/>
      <c r="AH1031" s="295"/>
      <c r="AI1031" s="188"/>
      <c r="AJ1031" s="188"/>
      <c r="AK1031" s="188"/>
      <c r="AL1031" s="188"/>
      <c r="AM1031" s="188"/>
      <c r="AN1031" s="188"/>
      <c r="AO1031" s="299"/>
      <c r="CI1031" s="294"/>
      <c r="CJ1031" s="294"/>
    </row>
    <row r="1032" spans="2:88" ht="13">
      <c r="B1032" s="294"/>
      <c r="F1032" s="296"/>
      <c r="J1032" s="302"/>
      <c r="T1032" s="295"/>
      <c r="AA1032" s="295"/>
      <c r="AH1032" s="295"/>
      <c r="AI1032" s="188"/>
      <c r="AJ1032" s="188"/>
      <c r="AK1032" s="188"/>
      <c r="AL1032" s="188"/>
      <c r="AM1032" s="188"/>
      <c r="AN1032" s="188"/>
      <c r="AO1032" s="299"/>
      <c r="CI1032" s="294"/>
      <c r="CJ1032" s="294"/>
    </row>
    <row r="1033" spans="2:88" ht="13">
      <c r="B1033" s="294"/>
      <c r="F1033" s="296"/>
      <c r="J1033" s="302"/>
      <c r="T1033" s="295"/>
      <c r="AA1033" s="295"/>
      <c r="AH1033" s="295"/>
      <c r="AI1033" s="188"/>
      <c r="AJ1033" s="188"/>
      <c r="AK1033" s="188"/>
      <c r="AL1033" s="188"/>
      <c r="AM1033" s="188"/>
      <c r="AN1033" s="188"/>
      <c r="AO1033" s="299"/>
      <c r="CI1033" s="294"/>
      <c r="CJ1033" s="294"/>
    </row>
    <row r="1034" spans="2:88" ht="13">
      <c r="B1034" s="294"/>
      <c r="F1034" s="296"/>
      <c r="J1034" s="302"/>
      <c r="T1034" s="295"/>
      <c r="AA1034" s="295"/>
      <c r="AH1034" s="295"/>
      <c r="AI1034" s="188"/>
      <c r="AJ1034" s="188"/>
      <c r="AK1034" s="188"/>
      <c r="AL1034" s="188"/>
      <c r="AM1034" s="188"/>
      <c r="AN1034" s="188"/>
      <c r="AO1034" s="299"/>
      <c r="CI1034" s="294"/>
      <c r="CJ1034" s="294"/>
    </row>
    <row r="1035" spans="2:88" ht="13">
      <c r="B1035" s="294"/>
      <c r="F1035" s="296"/>
      <c r="J1035" s="302"/>
      <c r="T1035" s="295"/>
      <c r="AA1035" s="295"/>
      <c r="AH1035" s="295"/>
      <c r="AI1035" s="188"/>
      <c r="AJ1035" s="188"/>
      <c r="AK1035" s="188"/>
      <c r="AL1035" s="188"/>
      <c r="AM1035" s="188"/>
      <c r="AN1035" s="188"/>
      <c r="AO1035" s="299"/>
      <c r="CI1035" s="294"/>
      <c r="CJ1035" s="294"/>
    </row>
    <row r="1036" spans="2:88" ht="13">
      <c r="B1036" s="294"/>
      <c r="F1036" s="296"/>
      <c r="J1036" s="302"/>
      <c r="T1036" s="295"/>
      <c r="AA1036" s="295"/>
      <c r="AH1036" s="295"/>
      <c r="AI1036" s="188"/>
      <c r="AJ1036" s="188"/>
      <c r="AK1036" s="188"/>
      <c r="AL1036" s="188"/>
      <c r="AM1036" s="188"/>
      <c r="AN1036" s="188"/>
      <c r="AO1036" s="299"/>
      <c r="CI1036" s="294"/>
      <c r="CJ1036" s="294"/>
    </row>
    <row r="1037" spans="2:88" ht="13">
      <c r="B1037" s="294"/>
      <c r="F1037" s="296"/>
      <c r="J1037" s="302"/>
      <c r="T1037" s="295"/>
      <c r="AA1037" s="295"/>
      <c r="AH1037" s="295"/>
      <c r="AI1037" s="188"/>
      <c r="AJ1037" s="188"/>
      <c r="AK1037" s="188"/>
      <c r="AL1037" s="188"/>
      <c r="AM1037" s="188"/>
      <c r="AN1037" s="188"/>
      <c r="AO1037" s="299"/>
      <c r="CI1037" s="294"/>
      <c r="CJ1037" s="294"/>
    </row>
    <row r="1038" spans="2:88" ht="13">
      <c r="B1038" s="294"/>
      <c r="F1038" s="296"/>
      <c r="J1038" s="302"/>
      <c r="T1038" s="295"/>
      <c r="AA1038" s="295"/>
      <c r="AH1038" s="295"/>
      <c r="AI1038" s="188"/>
      <c r="AJ1038" s="188"/>
      <c r="AK1038" s="188"/>
      <c r="AL1038" s="188"/>
      <c r="AM1038" s="188"/>
      <c r="AN1038" s="188"/>
      <c r="AO1038" s="299"/>
      <c r="CI1038" s="294"/>
      <c r="CJ1038" s="294"/>
    </row>
  </sheetData>
  <conditionalFormatting sqref="C1:C130 C138:C139 C141:C149">
    <cfRule type="cellIs" dxfId="297" priority="7" operator="equal">
      <formula>"18%"</formula>
    </cfRule>
    <cfRule type="cellIs" dxfId="296" priority="9" operator="equal">
      <formula>"12%"</formula>
    </cfRule>
    <cfRule type="cellIs" dxfId="295" priority="10" operator="equal">
      <formula>"10%"</formula>
    </cfRule>
  </conditionalFormatting>
  <conditionalFormatting sqref="C1:C130 G1:G211 K1:K1038 C138:C139 C141:C149">
    <cfRule type="cellIs" dxfId="294" priority="8" operator="equal">
      <formula>"15%"</formula>
    </cfRule>
  </conditionalFormatting>
  <conditionalFormatting sqref="K1:K204 G1:G211">
    <cfRule type="cellIs" dxfId="293" priority="2" operator="equal">
      <formula>"12%"</formula>
    </cfRule>
    <cfRule type="cellIs" dxfId="292" priority="3" operator="equal">
      <formula>"10%"</formula>
    </cfRule>
  </conditionalFormatting>
  <conditionalFormatting sqref="K1:K1038">
    <cfRule type="cellIs" dxfId="291" priority="41" operator="equal">
      <formula>"5%"</formula>
    </cfRule>
    <cfRule type="cellIs" dxfId="290" priority="42" operator="equal">
      <formula>"20%"</formula>
    </cfRule>
  </conditionalFormatting>
  <conditionalFormatting sqref="M1:M130 M132:M1038 CV190 CV228 CV378">
    <cfRule type="containsText" dxfId="289" priority="11" operator="containsText" text="QUIROS">
      <formula>NOT(ISERROR(SEARCH(("QUIROS"),(M1))))</formula>
    </cfRule>
  </conditionalFormatting>
  <conditionalFormatting sqref="S1:S130 Z1:Z130 AG1:AG130 AN1:AN130 S132:S1038 Z132:Z1038 AG132:AG1038 AN132:AN1038">
    <cfRule type="cellIs" dxfId="288" priority="12" operator="lessThan">
      <formula>0</formula>
    </cfRule>
  </conditionalFormatting>
  <conditionalFormatting sqref="T1">
    <cfRule type="cellIs" dxfId="287" priority="4" operator="greaterThanOrEqual">
      <formula>"100%"</formula>
    </cfRule>
    <cfRule type="cellIs" dxfId="286" priority="5" operator="lessThan">
      <formula>"90%"</formula>
    </cfRule>
    <cfRule type="cellIs" dxfId="285" priority="6" operator="lessThan">
      <formula>"100%"</formula>
    </cfRule>
  </conditionalFormatting>
  <conditionalFormatting sqref="T1:T130 AA1:AA130 AH1:AH130 AO1:AO130 T132:T1038 AA132:AA1038 AH132:AH1038 AO132:AO1038">
    <cfRule type="cellIs" dxfId="284" priority="13" operator="greaterThanOrEqual">
      <formula>"100%"</formula>
    </cfRule>
    <cfRule type="cellIs" dxfId="283" priority="14" operator="lessThan">
      <formula>"90%"</formula>
    </cfRule>
    <cfRule type="cellIs" dxfId="282" priority="15" operator="lessThan">
      <formula>"100%"</formula>
    </cfRule>
  </conditionalFormatting>
  <conditionalFormatting sqref="AQ2:AQ10 AU2:AU10 AY2:AY10 BI2:BI10 AQ12:AQ13 AU12:AU13 AY12:AY13 BI12:BI13">
    <cfRule type="cellIs" dxfId="281" priority="18" operator="lessThan">
      <formula>4000000</formula>
    </cfRule>
    <cfRule type="cellIs" dxfId="280" priority="19" operator="lessThan">
      <formula>5000000</formula>
    </cfRule>
    <cfRule type="cellIs" dxfId="279" priority="20" operator="greaterThanOrEqual">
      <formula>5000000</formula>
    </cfRule>
  </conditionalFormatting>
  <conditionalFormatting sqref="AQ11 AU11 AY11 BI11 AQ14:AQ17 AU14:AU17 AY14:AY17 BI14:BI17">
    <cfRule type="cellIs" dxfId="278" priority="21" operator="lessThan">
      <formula>2080000</formula>
    </cfRule>
  </conditionalFormatting>
  <conditionalFormatting sqref="AQ18:AQ57 AU18:AU57 AY18:AY57 BI18:BI57">
    <cfRule type="cellIs" dxfId="277" priority="22" operator="lessThan">
      <formula>3600000</formula>
    </cfRule>
    <cfRule type="cellIs" dxfId="276" priority="23" operator="lessThan">
      <formula>1500000</formula>
    </cfRule>
    <cfRule type="cellIs" dxfId="275" priority="24" operator="greaterThanOrEqual">
      <formula>1500000</formula>
    </cfRule>
  </conditionalFormatting>
  <conditionalFormatting sqref="BD2:BD131 BG2:BG131 BK2:BK131 BD139 BG139 BK139">
    <cfRule type="cellIs" dxfId="274" priority="17" operator="equal">
      <formula>0</formula>
    </cfRule>
    <cfRule type="containsBlanks" dxfId="273" priority="16">
      <formula>LEN(TRIM(BD2))=0</formula>
    </cfRule>
  </conditionalFormatting>
  <conditionalFormatting sqref="BM2:BO130 BM139:BO139">
    <cfRule type="containsBlanks" dxfId="272" priority="26">
      <formula>LEN(TRIM(BM2))=0</formula>
    </cfRule>
  </conditionalFormatting>
  <conditionalFormatting sqref="BQ2:BS9">
    <cfRule type="cellIs" dxfId="271" priority="27" operator="greaterThanOrEqual">
      <formula>5000000</formula>
    </cfRule>
    <cfRule type="cellIs" dxfId="270" priority="28" operator="lessThan">
      <formula>5000000</formula>
    </cfRule>
  </conditionalFormatting>
  <conditionalFormatting sqref="BQ10:BS16">
    <cfRule type="cellIs" dxfId="269" priority="29" operator="greaterThanOrEqual">
      <formula>2600000</formula>
    </cfRule>
    <cfRule type="cellIs" dxfId="268" priority="30" operator="lessThan">
      <formula>2600000</formula>
    </cfRule>
  </conditionalFormatting>
  <conditionalFormatting sqref="BQ17:BS32">
    <cfRule type="cellIs" dxfId="267" priority="31" operator="greaterThanOrEqual">
      <formula>1500000</formula>
    </cfRule>
    <cfRule type="cellIs" dxfId="266" priority="32" operator="lessThan">
      <formula>1500000</formula>
    </cfRule>
  </conditionalFormatting>
  <conditionalFormatting sqref="BQ33:BS33">
    <cfRule type="cellIs" dxfId="265" priority="33" operator="greaterThanOrEqual">
      <formula>1200000</formula>
    </cfRule>
  </conditionalFormatting>
  <conditionalFormatting sqref="BQ1:BV1 BX1:BZ1 BM1:BO1038">
    <cfRule type="cellIs" dxfId="264" priority="25" operator="equal">
      <formula>0</formula>
    </cfRule>
  </conditionalFormatting>
  <conditionalFormatting sqref="BT2:BV9">
    <cfRule type="cellIs" dxfId="263" priority="34" operator="greaterThanOrEqual">
      <formula>15000000</formula>
    </cfRule>
    <cfRule type="cellIs" dxfId="262" priority="35" operator="lessThan">
      <formula>15000000</formula>
    </cfRule>
  </conditionalFormatting>
  <conditionalFormatting sqref="BT10:BV16">
    <cfRule type="cellIs" dxfId="261" priority="36" operator="greaterThanOrEqual">
      <formula>7800000</formula>
    </cfRule>
    <cfRule type="cellIs" dxfId="260" priority="37" operator="lessThan">
      <formula>7800000</formula>
    </cfRule>
  </conditionalFormatting>
  <conditionalFormatting sqref="BT17:BV32">
    <cfRule type="cellIs" dxfId="259" priority="38" operator="greaterThanOrEqual">
      <formula>4500000</formula>
    </cfRule>
    <cfRule type="cellIs" dxfId="258" priority="39" operator="lessThan">
      <formula>4500000</formula>
    </cfRule>
  </conditionalFormatting>
  <conditionalFormatting sqref="CV192 CV375:CV376">
    <cfRule type="containsText" dxfId="257" priority="1" operator="containsText" text="/">
      <formula>NOT(ISERROR(SEARCH(("/"),(CV192))))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  <pageSetUpPr fitToPage="1"/>
  </sheetPr>
  <dimension ref="A1:DL104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1.1640625" customWidth="1"/>
    <col min="2" max="12" width="5.1640625" customWidth="1"/>
    <col min="13" max="13" width="38.33203125" customWidth="1"/>
    <col min="14" max="14" width="11.6640625" hidden="1" customWidth="1"/>
    <col min="15" max="15" width="12.6640625" hidden="1"/>
    <col min="16" max="40" width="11.33203125" hidden="1" customWidth="1"/>
    <col min="41" max="41" width="9.1640625" hidden="1" customWidth="1"/>
    <col min="42" max="42" width="12.6640625" hidden="1"/>
    <col min="43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2.6640625" hidden="1"/>
    <col min="65" max="65" width="11.33203125" customWidth="1"/>
    <col min="66" max="66" width="11.33203125" hidden="1" customWidth="1"/>
    <col min="67" max="67" width="11.33203125" customWidth="1"/>
    <col min="68" max="68" width="11.33203125" hidden="1" customWidth="1"/>
    <col min="69" max="69" width="11.33203125" customWidth="1"/>
    <col min="70" max="70" width="11.33203125" hidden="1" customWidth="1"/>
    <col min="71" max="71" width="13" customWidth="1"/>
    <col min="72" max="72" width="11.33203125" customWidth="1"/>
    <col min="73" max="73" width="11.33203125" hidden="1" customWidth="1"/>
    <col min="74" max="74" width="11.33203125" customWidth="1"/>
    <col min="75" max="75" width="12.6640625" hidden="1"/>
    <col min="77" max="77" width="12.6640625" hidden="1"/>
    <col min="78" max="78" width="11.6640625" customWidth="1"/>
    <col min="79" max="80" width="12.6640625" hidden="1"/>
    <col min="84" max="84" width="11.5" customWidth="1"/>
    <col min="85" max="95" width="10.1640625" customWidth="1"/>
    <col min="101" max="101" width="37.1640625" customWidth="1"/>
  </cols>
  <sheetData>
    <row r="1" spans="1:116" ht="15.75" customHeight="1">
      <c r="A1" s="39" t="s">
        <v>19</v>
      </c>
      <c r="B1" s="513" t="s">
        <v>20</v>
      </c>
      <c r="C1" s="514" t="s">
        <v>21</v>
      </c>
      <c r="D1" s="514" t="s">
        <v>22</v>
      </c>
      <c r="E1" s="928" t="s">
        <v>23</v>
      </c>
      <c r="F1" s="929" t="s">
        <v>20</v>
      </c>
      <c r="G1" s="930" t="s">
        <v>21</v>
      </c>
      <c r="H1" s="930" t="s">
        <v>22</v>
      </c>
      <c r="I1" s="820" t="s">
        <v>23</v>
      </c>
      <c r="J1" s="931" t="s">
        <v>20</v>
      </c>
      <c r="K1" s="932" t="s">
        <v>21</v>
      </c>
      <c r="L1" s="933" t="s">
        <v>22</v>
      </c>
      <c r="M1" s="516" t="s">
        <v>24</v>
      </c>
      <c r="N1" s="398">
        <v>45681</v>
      </c>
      <c r="O1" s="517" t="s">
        <v>25</v>
      </c>
      <c r="P1" s="78" t="s">
        <v>26</v>
      </c>
      <c r="Q1" s="79" t="s">
        <v>27</v>
      </c>
      <c r="R1" s="518" t="s">
        <v>28</v>
      </c>
      <c r="S1" s="519" t="s">
        <v>29</v>
      </c>
      <c r="T1" s="520" t="s">
        <v>30</v>
      </c>
      <c r="U1" s="396">
        <v>45712</v>
      </c>
      <c r="V1" s="934" t="s">
        <v>31</v>
      </c>
      <c r="W1" s="523" t="s">
        <v>26</v>
      </c>
      <c r="X1" s="79" t="s">
        <v>27</v>
      </c>
      <c r="Y1" s="524" t="s">
        <v>831</v>
      </c>
      <c r="Z1" s="525" t="s">
        <v>29</v>
      </c>
      <c r="AA1" s="520" t="s">
        <v>30</v>
      </c>
      <c r="AB1" s="521">
        <v>45740</v>
      </c>
      <c r="AC1" s="517" t="s">
        <v>33</v>
      </c>
      <c r="AD1" s="78" t="s">
        <v>26</v>
      </c>
      <c r="AE1" s="79" t="s">
        <v>27</v>
      </c>
      <c r="AF1" s="518" t="s">
        <v>832</v>
      </c>
      <c r="AG1" s="519" t="s">
        <v>29</v>
      </c>
      <c r="AH1" s="526" t="s">
        <v>30</v>
      </c>
      <c r="AI1" s="935" t="s">
        <v>35</v>
      </c>
      <c r="AJ1" s="528" t="s">
        <v>36</v>
      </c>
      <c r="AK1" s="523" t="s">
        <v>26</v>
      </c>
      <c r="AL1" s="79" t="s">
        <v>27</v>
      </c>
      <c r="AM1" s="524" t="s">
        <v>41</v>
      </c>
      <c r="AN1" s="525" t="s">
        <v>29</v>
      </c>
      <c r="AO1" s="520" t="s">
        <v>30</v>
      </c>
      <c r="AP1" s="77">
        <v>45771</v>
      </c>
      <c r="AQ1" s="78" t="s">
        <v>26</v>
      </c>
      <c r="AR1" s="79" t="s">
        <v>27</v>
      </c>
      <c r="AS1" s="518" t="s">
        <v>38</v>
      </c>
      <c r="AT1" s="77">
        <v>45801</v>
      </c>
      <c r="AU1" s="78" t="s">
        <v>26</v>
      </c>
      <c r="AV1" s="79" t="s">
        <v>27</v>
      </c>
      <c r="AW1" s="518" t="s">
        <v>39</v>
      </c>
      <c r="AX1" s="81">
        <v>45832</v>
      </c>
      <c r="AY1" s="78" t="s">
        <v>26</v>
      </c>
      <c r="AZ1" s="79" t="s">
        <v>27</v>
      </c>
      <c r="BA1" s="529" t="s">
        <v>40</v>
      </c>
      <c r="BB1" s="69" t="s">
        <v>26</v>
      </c>
      <c r="BC1" s="52" t="s">
        <v>27</v>
      </c>
      <c r="BD1" s="389" t="s">
        <v>41</v>
      </c>
      <c r="BE1" s="71" t="s">
        <v>26</v>
      </c>
      <c r="BF1" s="72" t="s">
        <v>27</v>
      </c>
      <c r="BG1" s="76" t="s">
        <v>42</v>
      </c>
      <c r="BH1" s="77">
        <v>45862</v>
      </c>
      <c r="BI1" s="78" t="s">
        <v>26</v>
      </c>
      <c r="BJ1" s="79" t="s">
        <v>27</v>
      </c>
      <c r="BK1" s="518" t="s">
        <v>43</v>
      </c>
      <c r="BL1" s="81">
        <v>45893</v>
      </c>
      <c r="BM1" s="78" t="s">
        <v>26</v>
      </c>
      <c r="BN1" s="79" t="s">
        <v>27</v>
      </c>
      <c r="BO1" s="518" t="s">
        <v>44</v>
      </c>
      <c r="BP1" s="829">
        <v>45924</v>
      </c>
      <c r="BQ1" s="78" t="s">
        <v>26</v>
      </c>
      <c r="BR1" s="79" t="s">
        <v>27</v>
      </c>
      <c r="BS1" s="518" t="s">
        <v>499</v>
      </c>
      <c r="BT1" s="78" t="s">
        <v>26</v>
      </c>
      <c r="BU1" s="79" t="s">
        <v>27</v>
      </c>
      <c r="BV1" s="402" t="s">
        <v>41</v>
      </c>
      <c r="BW1" s="77">
        <v>45954</v>
      </c>
      <c r="BX1" s="78" t="s">
        <v>26</v>
      </c>
      <c r="BY1" s="79" t="s">
        <v>27</v>
      </c>
      <c r="BZ1" s="518" t="s">
        <v>48</v>
      </c>
      <c r="CA1" s="81">
        <v>45985</v>
      </c>
      <c r="CB1" s="536">
        <v>46015</v>
      </c>
      <c r="CC1" s="82"/>
      <c r="CD1" s="82"/>
      <c r="CE1" s="82"/>
      <c r="CF1" s="407" t="s">
        <v>250</v>
      </c>
      <c r="CG1" s="540" t="s">
        <v>51</v>
      </c>
      <c r="CH1" s="541" t="s">
        <v>52</v>
      </c>
      <c r="CI1" s="542" t="s">
        <v>833</v>
      </c>
      <c r="CJ1" s="542" t="s">
        <v>834</v>
      </c>
      <c r="CK1" s="542" t="s">
        <v>835</v>
      </c>
      <c r="CL1" s="542" t="s">
        <v>366</v>
      </c>
      <c r="CM1" s="542" t="s">
        <v>502</v>
      </c>
      <c r="CN1" s="542" t="s">
        <v>836</v>
      </c>
      <c r="CO1" s="542" t="s">
        <v>505</v>
      </c>
      <c r="CP1" s="542" t="s">
        <v>683</v>
      </c>
      <c r="CQ1" s="541" t="s">
        <v>837</v>
      </c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</row>
    <row r="2" spans="1:116" ht="15.75" customHeight="1">
      <c r="A2" s="463">
        <f t="shared" ref="A2:A33" si="0">VLOOKUP(M2,VARGCART4,3,FALSE)</f>
        <v>112013120</v>
      </c>
      <c r="B2" s="501" t="e">
        <f t="shared" ref="B2:B7" si="1">VLOOKUP(M2,VARGASCARTERA,2,FALSE)</f>
        <v>#N/A</v>
      </c>
      <c r="C2" s="699" t="str">
        <f t="shared" ref="C2:C33" si="2">IFERROR(VLOOKUP(B2,DES,2,FALSE),"")</f>
        <v/>
      </c>
      <c r="D2" s="699" t="str">
        <f t="shared" ref="D2:D33" si="3">IFERROR(VLOOKUP(B2,DES,3,FALSE),"")</f>
        <v/>
      </c>
      <c r="E2" s="700" t="str">
        <f t="shared" ref="E2:E33" si="4">IFERROR(VLOOKUP(B2,DES,4,FALSE),"")</f>
        <v/>
      </c>
      <c r="F2" s="936" t="e">
        <f t="shared" ref="F2:F33" si="5">VLOOKUP(M2,VARGASCART2,2,FALSE)</f>
        <v>#N/A</v>
      </c>
      <c r="G2" s="699" t="str">
        <f t="shared" ref="G2:G33" si="6">IFERROR(VLOOKUP(F2,DES,2,FALSE),"")</f>
        <v/>
      </c>
      <c r="H2" s="699" t="str">
        <f t="shared" ref="H2:H33" si="7">IFERROR(VLOOKUP(B2,DES,3,FALSE),"")</f>
        <v/>
      </c>
      <c r="I2" s="702" t="str">
        <f t="shared" ref="I2:I33" si="8">IFERROR(VLOOKUP(B2,DES,4,FALSE),"")</f>
        <v/>
      </c>
      <c r="J2" s="837">
        <f t="shared" ref="J2:J33" si="9">VLOOKUP(M2,VARGCART4,2,FALSE)</f>
        <v>72</v>
      </c>
      <c r="K2" s="937">
        <f t="shared" ref="K2:K33" si="10">IFERROR(VLOOKUP(J2,A458DC1025,2,FALSE),"")</f>
        <v>0.18</v>
      </c>
      <c r="L2" s="702">
        <f t="shared" ref="L2:L33" si="11">IFERROR(VLOOKUP(J2,A458DC1025,3,FALSE),"")</f>
        <v>0.14000000000000001</v>
      </c>
      <c r="M2" s="703" t="s">
        <v>238</v>
      </c>
      <c r="N2" s="121" t="str">
        <f t="shared" ref="N2:N33" si="12">IFERROR(VLOOKUP(M2,VARGAS24,3,FALSE),"")</f>
        <v/>
      </c>
      <c r="O2" s="416" t="e">
        <f t="shared" ref="O2:O65" si="13">(N2*1.601)*1.05</f>
        <v>#VALUE!</v>
      </c>
      <c r="P2" s="113" t="e">
        <f t="shared" ref="P2:P65" si="14">R2-Q2</f>
        <v>#VALUE!</v>
      </c>
      <c r="Q2" s="116" t="str">
        <f t="shared" ref="Q2:Q33" si="15">IFERROR(VLOOKUP(M2,VARGALIM,3,FALSE),"")</f>
        <v/>
      </c>
      <c r="R2" s="117" t="str">
        <f t="shared" ref="R2:R33" si="16">IFERROR(VLOOKUP(M2,VARFC,3,FALSE),"")</f>
        <v/>
      </c>
      <c r="S2" s="114" t="e">
        <f t="shared" ref="S2:S65" si="17">R2-O2</f>
        <v>#VALUE!</v>
      </c>
      <c r="T2" s="413" t="str">
        <f t="shared" ref="T2:T65" si="18">IFERROR(R2/O2,"")</f>
        <v/>
      </c>
      <c r="U2" s="100" t="str">
        <f t="shared" ref="U2:U33" si="19">IFERROR(VLOOKUP(M2,VARGAS24,4,FALSE),"")</f>
        <v/>
      </c>
      <c r="V2" s="113" t="e">
        <f t="shared" ref="V2:V65" si="20">(U2*1.7245)*1.05</f>
        <v>#VALUE!</v>
      </c>
      <c r="W2" s="116" t="e">
        <f t="shared" ref="W2:W65" si="21">Y2-X2</f>
        <v>#VALUE!</v>
      </c>
      <c r="X2" s="116" t="str">
        <f t="shared" ref="X2:X33" si="22">IFERROR(VLOOKUP(M2,VARGALIM,4,FALSE),"")</f>
        <v/>
      </c>
      <c r="Y2" s="116" t="str">
        <f t="shared" ref="Y2:Y33" si="23">IFERROR(VLOOKUP(M2,VARFC,4,FALSE),"")</f>
        <v/>
      </c>
      <c r="Z2" s="116" t="e">
        <f t="shared" ref="Z2:Z65" si="24">Y2-V2</f>
        <v>#VALUE!</v>
      </c>
      <c r="AA2" s="413" t="e">
        <f t="shared" ref="AA2:AA65" si="25">Y2/V2</f>
        <v>#VALUE!</v>
      </c>
      <c r="AB2" s="114" t="str">
        <f t="shared" ref="AB2:AB33" si="26">IFERROR(VLOOKUP(M2,VARGAS24,5,FALSE),"")</f>
        <v/>
      </c>
      <c r="AC2" s="121" t="e">
        <f t="shared" ref="AC2:AC65" si="27">(AB2*1.5955)*1.05</f>
        <v>#VALUE!</v>
      </c>
      <c r="AD2" s="113" t="e">
        <f t="shared" ref="AD2:AD65" si="28">AF2-AE2</f>
        <v>#VALUE!</v>
      </c>
      <c r="AE2" s="116" t="str">
        <f t="shared" ref="AE2:AE33" si="29">IFERROR(VLOOKUP(M2,VARGALIM,5,FALSE),"")</f>
        <v/>
      </c>
      <c r="AF2" s="117" t="str">
        <f t="shared" ref="AF2:AF33" si="30">IFERROR(VLOOKUP(M2,VARFC,5,FALSE),"")</f>
        <v/>
      </c>
      <c r="AG2" s="114" t="e">
        <f t="shared" ref="AG2:AG65" si="31">AF2-AC2</f>
        <v>#VALUE!</v>
      </c>
      <c r="AH2" s="97" t="e">
        <f t="shared" ref="AH2:AH65" si="32">AF2/AC2</f>
        <v>#VALUE!</v>
      </c>
      <c r="AI2" s="839" t="e">
        <f t="shared" ref="AI2:AI65" si="33">SUM(O2,V2,AC2)</f>
        <v>#VALUE!</v>
      </c>
      <c r="AJ2" s="114">
        <f t="shared" ref="AJ2:AJ33" si="34">VLOOKUP(M2,trim2024,2,FALSE)</f>
        <v>17842312.77</v>
      </c>
      <c r="AK2" s="116" t="e">
        <f t="shared" ref="AK2:AL2" si="35">SUM(AD2,W2,P2)</f>
        <v>#VALUE!</v>
      </c>
      <c r="AL2" s="116">
        <f t="shared" si="35"/>
        <v>0</v>
      </c>
      <c r="AM2" s="116">
        <f t="shared" ref="AM2:AM65" si="36">SUM(AF2,Y2,Y2,R2)</f>
        <v>0</v>
      </c>
      <c r="AN2" s="116">
        <f t="shared" ref="AN2:AN65" si="37">AM2-AJ2</f>
        <v>-17842312.77</v>
      </c>
      <c r="AO2" s="938">
        <f t="shared" ref="AO2:AO65" si="38">AM2/AJ2</f>
        <v>0</v>
      </c>
      <c r="AP2" s="845" t="str">
        <f t="shared" ref="AP2:AP33" si="39">IFERROR(VLOOKUP(M2,VARGAS24,6,FALSE),"")</f>
        <v/>
      </c>
      <c r="AQ2" s="140" t="e">
        <f t="shared" ref="AQ2:AQ65" si="40">AS2-AR2</f>
        <v>#VALUE!</v>
      </c>
      <c r="AR2" s="123" t="str">
        <f t="shared" ref="AR2:AR33" si="41">IFERROR(VLOOKUP(M2,VARGALIM,6,FALSE),"")</f>
        <v/>
      </c>
      <c r="AS2" s="148" t="str">
        <f t="shared" ref="AS2:AS33" si="42">IFERROR(VLOOKUP(M2,VARFC,6,FALSE),"")</f>
        <v/>
      </c>
      <c r="AT2" s="845" t="str">
        <f t="shared" ref="AT2:AT33" si="43">IFERROR(VLOOKUP(M2,VARGAS24,7,FALSE),"")</f>
        <v/>
      </c>
      <c r="AU2" s="140" t="e">
        <f t="shared" ref="AU2:AU65" si="44">AW2-AV2</f>
        <v>#VALUE!</v>
      </c>
      <c r="AV2" s="326" t="str">
        <f t="shared" ref="AV2:AV33" si="45">IFERROR(VLOOKUP(M2,VARGALIM,7,FALSE),"")</f>
        <v/>
      </c>
      <c r="AW2" s="333" t="str">
        <f t="shared" ref="AW2:AW33" si="46">IFERROR(VLOOKUP(M2,VARFC,7,FALSE),"")</f>
        <v/>
      </c>
      <c r="AX2" s="939" t="str">
        <f t="shared" ref="AX2:AX33" si="47">IFERROR(VLOOKUP(M2,VARGAS24,8,FALSE),"")</f>
        <v/>
      </c>
      <c r="AY2" s="123" t="e">
        <f t="shared" ref="AY2:AY65" si="48">BA2-AZ2</f>
        <v>#VALUE!</v>
      </c>
      <c r="AZ2" s="123" t="str">
        <f t="shared" ref="AZ2:AZ33" si="49">IFERROR(VLOOKUP(M2,VARGALIM,8,FALSE),"")</f>
        <v/>
      </c>
      <c r="BA2" s="125" t="str">
        <f t="shared" ref="BA2:BA33" si="50">IFERROR(VLOOKUP(M2,VARFC,8,FALSE),"")</f>
        <v/>
      </c>
      <c r="BB2" s="940" t="e">
        <f t="shared" ref="BB2:BB66" si="51">AY2+AU2+AQ2</f>
        <v>#VALUE!</v>
      </c>
      <c r="BC2" s="116" t="e">
        <f t="shared" ref="BC2:BC66" si="52">AR2+AV2+AZ2</f>
        <v>#VALUE!</v>
      </c>
      <c r="BD2" s="117" t="e">
        <f t="shared" ref="BD2:BD66" si="53">SUM(BA2+AW2+AS2)</f>
        <v>#VALUE!</v>
      </c>
      <c r="BE2" s="114" t="e">
        <f t="shared" ref="BE2:BE66" si="54">BB2+AK2</f>
        <v>#VALUE!</v>
      </c>
      <c r="BF2" s="116" t="e">
        <f t="shared" ref="BF2:BG2" si="55">SUM(BC2,AL2)</f>
        <v>#VALUE!</v>
      </c>
      <c r="BG2" s="119" t="e">
        <f t="shared" si="55"/>
        <v>#VALUE!</v>
      </c>
      <c r="BH2" s="845" t="str">
        <f t="shared" ref="BH2:BH33" si="56">IFERROR(VLOOKUP(M2,VARGAS24,9,FALSE),"")</f>
        <v/>
      </c>
      <c r="BI2" s="140" t="e">
        <f t="shared" ref="BI2:BI65" si="57">BK2-BJ2</f>
        <v>#VALUE!</v>
      </c>
      <c r="BJ2" s="326" t="str">
        <f t="shared" ref="BJ2:BJ33" si="58">IFERROR(VLOOKUP(M2,VARGALIM,9,FALSE),"")</f>
        <v/>
      </c>
      <c r="BK2" s="333" t="str">
        <f t="shared" ref="BK2:BK33" si="59">IFERROR(VLOOKUP(M2,VARFC,9,FALSE),"")</f>
        <v/>
      </c>
      <c r="BL2" s="939" t="str">
        <f t="shared" ref="BL2:BL33" si="60">IFERROR(VLOOKUP(M2,VARGAS24,10,FALSE),"")</f>
        <v/>
      </c>
      <c r="BM2" s="123" t="e">
        <f t="shared" ref="BM2:BM65" si="61">BO2-BN2</f>
        <v>#VALUE!</v>
      </c>
      <c r="BN2" s="123" t="str">
        <f t="shared" ref="BN2:BN33" si="62">IFERROR(VLOOKUP(M2,VARGALIM,10,FALSE),"")</f>
        <v/>
      </c>
      <c r="BO2" s="123" t="str">
        <f t="shared" ref="BO2:BO33" si="63">IFERROR(VLOOKUP(M2,VARFC,10,FALSE),"")</f>
        <v/>
      </c>
      <c r="BP2" s="332" t="str">
        <f t="shared" ref="BP2:BP33" si="64">IFERROR(VLOOKUP(M2,VARGAS24,11,FALSE),"")</f>
        <v/>
      </c>
      <c r="BQ2" s="140" t="e">
        <f t="shared" ref="BQ2:BQ65" si="65">BS2-BR2</f>
        <v>#VALUE!</v>
      </c>
      <c r="BR2" s="326" t="str">
        <f t="shared" ref="BR2:BR33" si="66">IFERROR(VLOOKUP(M2,VARGALIM,11,FALSE),"")</f>
        <v/>
      </c>
      <c r="BS2" s="333" t="str">
        <f t="shared" ref="BS2:BS33" si="67">IFERROR(VLOOKUP(M2,VARFC,11,FALSE),"")</f>
        <v/>
      </c>
      <c r="BT2" s="140" t="e">
        <f t="shared" ref="BT2:BV2" si="68">SUM(BQ2,BM2,BI2)</f>
        <v>#VALUE!</v>
      </c>
      <c r="BU2" s="326">
        <f t="shared" si="68"/>
        <v>0</v>
      </c>
      <c r="BV2" s="333">
        <f t="shared" si="68"/>
        <v>0</v>
      </c>
      <c r="BW2" s="845" t="str">
        <f t="shared" ref="BW2:BW33" si="69">IFERROR(VLOOKUP(M2,VARGAS24,12,FALSE),"")</f>
        <v/>
      </c>
      <c r="BX2" s="140" t="e">
        <f t="shared" ref="BX2:BX65" si="70">BZ2-BY2</f>
        <v>#VALUE!</v>
      </c>
      <c r="BY2" s="123" t="str">
        <f t="shared" ref="BY2:BY33" si="71">IFERROR(VLOOKUP(M2,VARGALIM,12,FALSE),"")</f>
        <v/>
      </c>
      <c r="BZ2" s="148" t="str">
        <f t="shared" ref="BZ2:BZ33" si="72">IFERROR(VLOOKUP(M2,VARFC,12,FALSE),"")</f>
        <v/>
      </c>
      <c r="CA2" s="939" t="str">
        <f t="shared" ref="CA2:CA33" si="73">IFERROR(VLOOKUP(M2,VARGAS24,13,FALSE),"")</f>
        <v/>
      </c>
      <c r="CB2" s="941" t="str">
        <f t="shared" ref="CB2:CB33" si="74">IFERROR(VLOOKUP(M2,VARGAS24,14,FALSE),"")</f>
        <v/>
      </c>
      <c r="CF2" s="554">
        <v>0.18</v>
      </c>
      <c r="CG2" s="429">
        <v>1</v>
      </c>
      <c r="CH2" s="429"/>
      <c r="CI2" s="132"/>
      <c r="CJ2" s="132"/>
      <c r="CK2" s="132"/>
      <c r="CL2" s="132"/>
      <c r="CM2" s="132"/>
      <c r="CN2" s="132"/>
      <c r="CO2" s="132"/>
      <c r="CP2" s="132"/>
      <c r="CQ2" s="429">
        <v>1</v>
      </c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</row>
    <row r="3" spans="1:116" ht="15.75" customHeight="1">
      <c r="A3" s="463">
        <f t="shared" si="0"/>
        <v>11201231501</v>
      </c>
      <c r="B3" s="501">
        <f t="shared" si="1"/>
        <v>10</v>
      </c>
      <c r="C3" s="699">
        <f t="shared" si="2"/>
        <v>0.15</v>
      </c>
      <c r="D3" s="558">
        <f t="shared" si="3"/>
        <v>0.23</v>
      </c>
      <c r="E3" s="715">
        <f t="shared" si="4"/>
        <v>0</v>
      </c>
      <c r="F3" s="936">
        <f t="shared" si="5"/>
        <v>10</v>
      </c>
      <c r="G3" s="942">
        <f t="shared" si="6"/>
        <v>0.15</v>
      </c>
      <c r="H3" s="699">
        <f t="shared" si="7"/>
        <v>0.23</v>
      </c>
      <c r="I3" s="702">
        <f t="shared" si="8"/>
        <v>0</v>
      </c>
      <c r="J3" s="837">
        <f t="shared" si="9"/>
        <v>53</v>
      </c>
      <c r="K3" s="700">
        <f t="shared" si="10"/>
        <v>0.15</v>
      </c>
      <c r="L3" s="702">
        <f t="shared" si="11"/>
        <v>0.14000000000000001</v>
      </c>
      <c r="M3" s="423" t="s">
        <v>838</v>
      </c>
      <c r="N3" s="121">
        <f t="shared" si="12"/>
        <v>9267761.5500000007</v>
      </c>
      <c r="O3" s="416">
        <f t="shared" si="13"/>
        <v>15579570.5536275</v>
      </c>
      <c r="P3" s="113">
        <f t="shared" si="14"/>
        <v>9646143.5699999984</v>
      </c>
      <c r="Q3" s="116">
        <f t="shared" si="15"/>
        <v>13878771.76</v>
      </c>
      <c r="R3" s="117">
        <f t="shared" si="16"/>
        <v>23524915.329999998</v>
      </c>
      <c r="S3" s="114">
        <f t="shared" si="17"/>
        <v>7945344.7763724979</v>
      </c>
      <c r="T3" s="413">
        <f t="shared" si="18"/>
        <v>1.509984838736298</v>
      </c>
      <c r="U3" s="100">
        <f t="shared" si="19"/>
        <v>11744122.75</v>
      </c>
      <c r="V3" s="113">
        <f t="shared" si="20"/>
        <v>21265376.666493751</v>
      </c>
      <c r="W3" s="116">
        <f t="shared" si="21"/>
        <v>6831292.9399999995</v>
      </c>
      <c r="X3" s="116">
        <f t="shared" si="22"/>
        <v>16445655.49</v>
      </c>
      <c r="Y3" s="116">
        <f t="shared" si="23"/>
        <v>23276948.43</v>
      </c>
      <c r="Z3" s="116">
        <f t="shared" si="24"/>
        <v>2011571.7635062486</v>
      </c>
      <c r="AA3" s="413">
        <f t="shared" si="25"/>
        <v>1.0945937518556035</v>
      </c>
      <c r="AB3" s="114">
        <f t="shared" si="26"/>
        <v>10684985.48</v>
      </c>
      <c r="AC3" s="121">
        <f t="shared" si="27"/>
        <v>17900289.050007001</v>
      </c>
      <c r="AD3" s="113">
        <f t="shared" si="28"/>
        <v>8369771.3600000031</v>
      </c>
      <c r="AE3" s="116">
        <f t="shared" si="29"/>
        <v>22265121.059999999</v>
      </c>
      <c r="AF3" s="117">
        <f t="shared" si="30"/>
        <v>30634892.420000002</v>
      </c>
      <c r="AG3" s="114">
        <f t="shared" si="31"/>
        <v>12734603.369993001</v>
      </c>
      <c r="AH3" s="97">
        <f t="shared" si="32"/>
        <v>1.7114188678415794</v>
      </c>
      <c r="AI3" s="839">
        <f t="shared" si="33"/>
        <v>54745236.27012825</v>
      </c>
      <c r="AJ3" s="114">
        <f t="shared" si="34"/>
        <v>70184586.299999997</v>
      </c>
      <c r="AK3" s="116">
        <f t="shared" ref="AK3:AL3" si="75">SUM(AD3,W3,P3)</f>
        <v>24847207.870000001</v>
      </c>
      <c r="AL3" s="116">
        <f t="shared" si="75"/>
        <v>52589548.309999995</v>
      </c>
      <c r="AM3" s="116">
        <f t="shared" si="36"/>
        <v>100713704.61</v>
      </c>
      <c r="AN3" s="116">
        <f t="shared" si="37"/>
        <v>30529118.310000002</v>
      </c>
      <c r="AO3" s="938">
        <f t="shared" si="38"/>
        <v>1.4349832337759325</v>
      </c>
      <c r="AP3" s="845">
        <f t="shared" si="39"/>
        <v>17855790.890000001</v>
      </c>
      <c r="AQ3" s="140">
        <f t="shared" si="40"/>
        <v>6608518.6099999994</v>
      </c>
      <c r="AR3" s="123">
        <f t="shared" si="41"/>
        <v>19900103.710000001</v>
      </c>
      <c r="AS3" s="148">
        <f t="shared" si="42"/>
        <v>26508622.32</v>
      </c>
      <c r="AT3" s="845">
        <f t="shared" si="43"/>
        <v>12960737.51</v>
      </c>
      <c r="AU3" s="140">
        <f t="shared" si="44"/>
        <v>4042903.7100000009</v>
      </c>
      <c r="AV3" s="326">
        <f t="shared" si="45"/>
        <v>21223149.989999998</v>
      </c>
      <c r="AW3" s="333">
        <f t="shared" si="46"/>
        <v>25266053.699999999</v>
      </c>
      <c r="AX3" s="939">
        <f t="shared" si="47"/>
        <v>11016822.119999999</v>
      </c>
      <c r="AY3" s="123">
        <f t="shared" si="48"/>
        <v>3336776.7199999988</v>
      </c>
      <c r="AZ3" s="123">
        <f t="shared" si="49"/>
        <v>25689025.23</v>
      </c>
      <c r="BA3" s="125">
        <f t="shared" si="50"/>
        <v>29025801.949999999</v>
      </c>
      <c r="BB3" s="940">
        <f t="shared" si="51"/>
        <v>13988199.039999999</v>
      </c>
      <c r="BC3" s="116">
        <f t="shared" si="52"/>
        <v>66812278.930000007</v>
      </c>
      <c r="BD3" s="117">
        <f t="shared" si="53"/>
        <v>80800477.969999999</v>
      </c>
      <c r="BE3" s="114">
        <f t="shared" si="54"/>
        <v>38835406.909999996</v>
      </c>
      <c r="BF3" s="116">
        <f t="shared" ref="BF3:BG3" si="76">SUM(BC3,AL3)</f>
        <v>119401827.24000001</v>
      </c>
      <c r="BG3" s="119">
        <f t="shared" si="76"/>
        <v>181514182.57999998</v>
      </c>
      <c r="BH3" s="845">
        <f t="shared" si="56"/>
        <v>14745929.789999999</v>
      </c>
      <c r="BI3" s="140">
        <f t="shared" si="57"/>
        <v>4295335.0099999979</v>
      </c>
      <c r="BJ3" s="326">
        <f t="shared" si="58"/>
        <v>24845357.010000002</v>
      </c>
      <c r="BK3" s="333">
        <f t="shared" si="59"/>
        <v>29140692.02</v>
      </c>
      <c r="BL3" s="939">
        <f t="shared" si="60"/>
        <v>19836722.57</v>
      </c>
      <c r="BM3" s="123">
        <f t="shared" si="61"/>
        <v>4284674.4399999976</v>
      </c>
      <c r="BN3" s="123">
        <f t="shared" si="62"/>
        <v>26185460.710000001</v>
      </c>
      <c r="BO3" s="123">
        <f t="shared" si="63"/>
        <v>30470135.149999999</v>
      </c>
      <c r="BP3" s="332">
        <f t="shared" si="64"/>
        <v>13977961.16</v>
      </c>
      <c r="BQ3" s="140">
        <f t="shared" si="65"/>
        <v>6225832.0300000012</v>
      </c>
      <c r="BR3" s="326">
        <f t="shared" si="66"/>
        <v>18133625.25</v>
      </c>
      <c r="BS3" s="333">
        <f t="shared" si="67"/>
        <v>24359457.280000001</v>
      </c>
      <c r="BT3" s="140">
        <f t="shared" ref="BT3:BV3" si="77">SUM(BQ3,BM3,BI3)</f>
        <v>14805841.479999997</v>
      </c>
      <c r="BU3" s="326">
        <f t="shared" si="77"/>
        <v>69164442.969999999</v>
      </c>
      <c r="BV3" s="333">
        <f t="shared" si="77"/>
        <v>83970284.450000003</v>
      </c>
      <c r="BW3" s="845">
        <f t="shared" si="69"/>
        <v>21720630.199999999</v>
      </c>
      <c r="BX3" s="140">
        <f t="shared" si="70"/>
        <v>9251127.3800000027</v>
      </c>
      <c r="BY3" s="123">
        <f t="shared" si="71"/>
        <v>27178354.609999999</v>
      </c>
      <c r="BZ3" s="148">
        <f t="shared" si="72"/>
        <v>36429481.990000002</v>
      </c>
      <c r="CA3" s="939">
        <f t="shared" si="73"/>
        <v>19991728.510000002</v>
      </c>
      <c r="CB3" s="941">
        <f t="shared" si="74"/>
        <v>28472227.59</v>
      </c>
      <c r="CF3" s="562">
        <v>0.15</v>
      </c>
      <c r="CG3" s="440">
        <v>6</v>
      </c>
      <c r="CH3" s="440">
        <v>5</v>
      </c>
      <c r="CI3" s="441">
        <v>5</v>
      </c>
      <c r="CJ3" s="441">
        <v>3</v>
      </c>
      <c r="CK3" s="441">
        <v>3</v>
      </c>
      <c r="CL3" s="441">
        <v>4</v>
      </c>
      <c r="CM3" s="441">
        <v>4</v>
      </c>
      <c r="CN3" s="441">
        <v>4</v>
      </c>
      <c r="CO3" s="441">
        <v>2</v>
      </c>
      <c r="CP3" s="441">
        <v>3</v>
      </c>
      <c r="CQ3" s="440">
        <v>6</v>
      </c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</row>
    <row r="4" spans="1:116" ht="15.75" customHeight="1">
      <c r="A4" s="463">
        <f t="shared" si="0"/>
        <v>112014058</v>
      </c>
      <c r="B4" s="501">
        <f t="shared" si="1"/>
        <v>10</v>
      </c>
      <c r="C4" s="699">
        <f t="shared" si="2"/>
        <v>0.15</v>
      </c>
      <c r="D4" s="558">
        <f t="shared" si="3"/>
        <v>0.23</v>
      </c>
      <c r="E4" s="715">
        <f t="shared" si="4"/>
        <v>0</v>
      </c>
      <c r="F4" s="936">
        <f t="shared" si="5"/>
        <v>10</v>
      </c>
      <c r="G4" s="942">
        <f t="shared" si="6"/>
        <v>0.15</v>
      </c>
      <c r="H4" s="699">
        <f t="shared" si="7"/>
        <v>0.23</v>
      </c>
      <c r="I4" s="702">
        <f t="shared" si="8"/>
        <v>0</v>
      </c>
      <c r="J4" s="837">
        <f t="shared" si="9"/>
        <v>53</v>
      </c>
      <c r="K4" s="700">
        <f t="shared" si="10"/>
        <v>0.15</v>
      </c>
      <c r="L4" s="702">
        <f t="shared" si="11"/>
        <v>0.14000000000000001</v>
      </c>
      <c r="M4" s="423" t="s">
        <v>839</v>
      </c>
      <c r="N4" s="121">
        <f t="shared" si="12"/>
        <v>2289377.09</v>
      </c>
      <c r="O4" s="416">
        <f t="shared" si="13"/>
        <v>3848557.3571444997</v>
      </c>
      <c r="P4" s="113">
        <f t="shared" si="14"/>
        <v>4668680.83</v>
      </c>
      <c r="Q4" s="116">
        <f t="shared" si="15"/>
        <v>4313635.0199999996</v>
      </c>
      <c r="R4" s="117">
        <f t="shared" si="16"/>
        <v>8982315.8499999996</v>
      </c>
      <c r="S4" s="114">
        <f t="shared" si="17"/>
        <v>5133758.4928555004</v>
      </c>
      <c r="T4" s="413">
        <f t="shared" si="18"/>
        <v>2.3339436096294994</v>
      </c>
      <c r="U4" s="100">
        <f t="shared" si="19"/>
        <v>3494570.6</v>
      </c>
      <c r="V4" s="113">
        <f t="shared" si="20"/>
        <v>6327706.3496850003</v>
      </c>
      <c r="W4" s="116">
        <f t="shared" si="21"/>
        <v>2718234.0600000005</v>
      </c>
      <c r="X4" s="116">
        <f t="shared" si="22"/>
        <v>9480055.5099999998</v>
      </c>
      <c r="Y4" s="116">
        <f t="shared" si="23"/>
        <v>12198289.57</v>
      </c>
      <c r="Z4" s="116">
        <f t="shared" si="24"/>
        <v>5870583.220315</v>
      </c>
      <c r="AA4" s="413">
        <f t="shared" si="25"/>
        <v>1.9277584792801334</v>
      </c>
      <c r="AB4" s="114">
        <f t="shared" si="26"/>
        <v>1235114.03</v>
      </c>
      <c r="AC4" s="121">
        <f t="shared" si="27"/>
        <v>2069155.65660825</v>
      </c>
      <c r="AD4" s="113">
        <f t="shared" si="28"/>
        <v>6626036.1899999995</v>
      </c>
      <c r="AE4" s="116">
        <f t="shared" si="29"/>
        <v>3816051.92</v>
      </c>
      <c r="AF4" s="117">
        <f t="shared" si="30"/>
        <v>10442088.109999999</v>
      </c>
      <c r="AG4" s="114">
        <f t="shared" si="31"/>
        <v>8372932.4533917494</v>
      </c>
      <c r="AH4" s="97">
        <f t="shared" si="32"/>
        <v>5.0465454721355378</v>
      </c>
      <c r="AI4" s="839">
        <f t="shared" si="33"/>
        <v>12245419.363437749</v>
      </c>
      <c r="AJ4" s="114">
        <f t="shared" si="34"/>
        <v>13792922.859999999</v>
      </c>
      <c r="AK4" s="116">
        <f t="shared" ref="AK4:AL4" si="78">SUM(AD4,W4,P4)</f>
        <v>14012951.08</v>
      </c>
      <c r="AL4" s="116">
        <f t="shared" si="78"/>
        <v>17609742.449999999</v>
      </c>
      <c r="AM4" s="116">
        <f t="shared" si="36"/>
        <v>43820983.100000001</v>
      </c>
      <c r="AN4" s="116">
        <f t="shared" si="37"/>
        <v>30028060.240000002</v>
      </c>
      <c r="AO4" s="938">
        <f t="shared" si="38"/>
        <v>3.1770628709221973</v>
      </c>
      <c r="AP4" s="845">
        <f t="shared" si="39"/>
        <v>3200540.57</v>
      </c>
      <c r="AQ4" s="140">
        <f t="shared" si="40"/>
        <v>273215.1799999997</v>
      </c>
      <c r="AR4" s="123">
        <f t="shared" si="41"/>
        <v>3166771.22</v>
      </c>
      <c r="AS4" s="148">
        <f t="shared" si="42"/>
        <v>3439986.4</v>
      </c>
      <c r="AT4" s="845">
        <f t="shared" si="43"/>
        <v>3251510.82</v>
      </c>
      <c r="AU4" s="140">
        <f t="shared" si="44"/>
        <v>1113450.7299999995</v>
      </c>
      <c r="AV4" s="326">
        <f t="shared" si="45"/>
        <v>5748328.7400000002</v>
      </c>
      <c r="AW4" s="333">
        <f t="shared" si="46"/>
        <v>6861779.4699999997</v>
      </c>
      <c r="AX4" s="939">
        <f t="shared" si="47"/>
        <v>1569415.05</v>
      </c>
      <c r="AY4" s="123">
        <f t="shared" si="48"/>
        <v>1771762.1400000001</v>
      </c>
      <c r="AZ4" s="123">
        <f t="shared" si="49"/>
        <v>3862655.94</v>
      </c>
      <c r="BA4" s="125">
        <f t="shared" si="50"/>
        <v>5634418.0800000001</v>
      </c>
      <c r="BB4" s="940">
        <f t="shared" si="51"/>
        <v>3158428.0499999993</v>
      </c>
      <c r="BC4" s="116">
        <f t="shared" si="52"/>
        <v>12777755.9</v>
      </c>
      <c r="BD4" s="117">
        <f t="shared" si="53"/>
        <v>15936183.950000001</v>
      </c>
      <c r="BE4" s="114">
        <f t="shared" si="54"/>
        <v>17171379.129999999</v>
      </c>
      <c r="BF4" s="116">
        <f t="shared" ref="BF4:BG4" si="79">SUM(BC4,AL4)</f>
        <v>30387498.350000001</v>
      </c>
      <c r="BG4" s="119">
        <f t="shared" si="79"/>
        <v>59757167.050000004</v>
      </c>
      <c r="BH4" s="845">
        <f t="shared" si="56"/>
        <v>6861842.4900000002</v>
      </c>
      <c r="BI4" s="140">
        <f t="shared" si="57"/>
        <v>2561941.1399999987</v>
      </c>
      <c r="BJ4" s="326">
        <f t="shared" si="58"/>
        <v>9809485.2200000007</v>
      </c>
      <c r="BK4" s="333">
        <f t="shared" si="59"/>
        <v>12371426.359999999</v>
      </c>
      <c r="BL4" s="939">
        <f t="shared" si="60"/>
        <v>5344121.8499999996</v>
      </c>
      <c r="BM4" s="123">
        <f t="shared" si="61"/>
        <v>1772406.7699999996</v>
      </c>
      <c r="BN4" s="123">
        <f t="shared" si="62"/>
        <v>5485784.5800000001</v>
      </c>
      <c r="BO4" s="123">
        <f t="shared" si="63"/>
        <v>7258191.3499999996</v>
      </c>
      <c r="BP4" s="332">
        <f t="shared" si="64"/>
        <v>145911.15</v>
      </c>
      <c r="BQ4" s="140">
        <f t="shared" si="65"/>
        <v>2730324.12</v>
      </c>
      <c r="BR4" s="326">
        <f t="shared" si="66"/>
        <v>5520985.7000000002</v>
      </c>
      <c r="BS4" s="333">
        <f t="shared" si="67"/>
        <v>8251309.8200000003</v>
      </c>
      <c r="BT4" s="140">
        <f t="shared" ref="BT4:BV4" si="80">SUM(BQ4,BM4,BI4)</f>
        <v>7064672.0299999984</v>
      </c>
      <c r="BU4" s="326">
        <f t="shared" si="80"/>
        <v>20816255.5</v>
      </c>
      <c r="BV4" s="333">
        <f t="shared" si="80"/>
        <v>27880927.530000001</v>
      </c>
      <c r="BW4" s="845">
        <f t="shared" si="69"/>
        <v>5249674.58</v>
      </c>
      <c r="BX4" s="140">
        <f t="shared" si="70"/>
        <v>6337686.6499999994</v>
      </c>
      <c r="BY4" s="123">
        <f t="shared" si="71"/>
        <v>2018769.91</v>
      </c>
      <c r="BZ4" s="148">
        <f t="shared" si="72"/>
        <v>8356456.5599999996</v>
      </c>
      <c r="CA4" s="939">
        <f t="shared" si="73"/>
        <v>3439188.18</v>
      </c>
      <c r="CB4" s="941">
        <f t="shared" si="74"/>
        <v>5104060.0999999996</v>
      </c>
      <c r="CF4" s="569">
        <v>0.12</v>
      </c>
      <c r="CG4" s="440"/>
      <c r="CH4" s="440">
        <v>5</v>
      </c>
      <c r="CI4" s="441">
        <v>4</v>
      </c>
      <c r="CJ4" s="441">
        <v>2</v>
      </c>
      <c r="CK4" s="441">
        <v>2</v>
      </c>
      <c r="CL4" s="441">
        <v>2</v>
      </c>
      <c r="CM4" s="441">
        <v>2</v>
      </c>
      <c r="CN4" s="441">
        <v>2</v>
      </c>
      <c r="CO4" s="441"/>
      <c r="CP4" s="441"/>
      <c r="CQ4" s="440"/>
    </row>
    <row r="5" spans="1:116" ht="15.75" customHeight="1">
      <c r="A5" s="463">
        <f t="shared" si="0"/>
        <v>112013480</v>
      </c>
      <c r="B5" s="501">
        <f t="shared" si="1"/>
        <v>22</v>
      </c>
      <c r="C5" s="699">
        <f t="shared" si="2"/>
        <v>0.1</v>
      </c>
      <c r="D5" s="558">
        <f t="shared" si="3"/>
        <v>0.09</v>
      </c>
      <c r="E5" s="715">
        <f t="shared" si="4"/>
        <v>0</v>
      </c>
      <c r="F5" s="936">
        <f t="shared" si="5"/>
        <v>22</v>
      </c>
      <c r="G5" s="699">
        <f t="shared" si="6"/>
        <v>0.1</v>
      </c>
      <c r="H5" s="699">
        <f t="shared" si="7"/>
        <v>0.09</v>
      </c>
      <c r="I5" s="702">
        <f t="shared" si="8"/>
        <v>0</v>
      </c>
      <c r="J5" s="837">
        <f t="shared" si="9"/>
        <v>55</v>
      </c>
      <c r="K5" s="700">
        <f t="shared" si="10"/>
        <v>0.15</v>
      </c>
      <c r="L5" s="702">
        <f t="shared" si="11"/>
        <v>0.05</v>
      </c>
      <c r="M5" s="423" t="s">
        <v>840</v>
      </c>
      <c r="N5" s="121">
        <f t="shared" si="12"/>
        <v>941653.52</v>
      </c>
      <c r="O5" s="416">
        <f t="shared" si="13"/>
        <v>1582966.649796</v>
      </c>
      <c r="P5" s="113">
        <f t="shared" si="14"/>
        <v>1094737.1100000001</v>
      </c>
      <c r="Q5" s="116">
        <f t="shared" si="15"/>
        <v>0</v>
      </c>
      <c r="R5" s="117">
        <f t="shared" si="16"/>
        <v>1094737.1100000001</v>
      </c>
      <c r="S5" s="114">
        <f t="shared" si="17"/>
        <v>-488229.53979599988</v>
      </c>
      <c r="T5" s="413">
        <f t="shared" si="18"/>
        <v>0.69157307271197466</v>
      </c>
      <c r="U5" s="100">
        <f t="shared" si="19"/>
        <v>1195933.05</v>
      </c>
      <c r="V5" s="113">
        <f t="shared" si="20"/>
        <v>2165505.87196125</v>
      </c>
      <c r="W5" s="116">
        <f t="shared" si="21"/>
        <v>787553.02</v>
      </c>
      <c r="X5" s="116">
        <f t="shared" si="22"/>
        <v>0</v>
      </c>
      <c r="Y5" s="116">
        <f t="shared" si="23"/>
        <v>787553.02</v>
      </c>
      <c r="Z5" s="116">
        <f t="shared" si="24"/>
        <v>-1377952.85196125</v>
      </c>
      <c r="AA5" s="413">
        <f t="shared" si="25"/>
        <v>0.36368085175716053</v>
      </c>
      <c r="AB5" s="114">
        <f t="shared" si="26"/>
        <v>1534721.86</v>
      </c>
      <c r="AC5" s="121">
        <f t="shared" si="27"/>
        <v>2571081.1640115003</v>
      </c>
      <c r="AD5" s="113">
        <f t="shared" si="28"/>
        <v>1029835.7</v>
      </c>
      <c r="AE5" s="116">
        <f t="shared" si="29"/>
        <v>0</v>
      </c>
      <c r="AF5" s="117">
        <f t="shared" si="30"/>
        <v>1029835.7</v>
      </c>
      <c r="AG5" s="114">
        <f t="shared" si="31"/>
        <v>-1541245.4640115004</v>
      </c>
      <c r="AH5" s="97">
        <f t="shared" si="32"/>
        <v>0.40054577600078967</v>
      </c>
      <c r="AI5" s="839">
        <f t="shared" si="33"/>
        <v>6319553.6857687496</v>
      </c>
      <c r="AJ5" s="114">
        <f t="shared" si="34"/>
        <v>4840937.34</v>
      </c>
      <c r="AK5" s="116">
        <f t="shared" ref="AK5:AL5" si="81">SUM(AD5,W5,P5)</f>
        <v>2912125.83</v>
      </c>
      <c r="AL5" s="116">
        <f t="shared" si="81"/>
        <v>0</v>
      </c>
      <c r="AM5" s="116">
        <f t="shared" si="36"/>
        <v>3699678.8500000006</v>
      </c>
      <c r="AN5" s="116">
        <f t="shared" si="37"/>
        <v>-1141258.4899999993</v>
      </c>
      <c r="AO5" s="938">
        <f t="shared" si="38"/>
        <v>0.76424844821478322</v>
      </c>
      <c r="AP5" s="845">
        <f t="shared" si="39"/>
        <v>1311063.3999999999</v>
      </c>
      <c r="AQ5" s="140">
        <f t="shared" si="40"/>
        <v>1470947.47</v>
      </c>
      <c r="AR5" s="123">
        <f t="shared" si="41"/>
        <v>0</v>
      </c>
      <c r="AS5" s="148">
        <f t="shared" si="42"/>
        <v>1470947.47</v>
      </c>
      <c r="AT5" s="845">
        <f t="shared" si="43"/>
        <v>611455.54</v>
      </c>
      <c r="AU5" s="140">
        <f t="shared" si="44"/>
        <v>764147.74</v>
      </c>
      <c r="AV5" s="326">
        <f t="shared" si="45"/>
        <v>7127.24</v>
      </c>
      <c r="AW5" s="333">
        <f t="shared" si="46"/>
        <v>771274.98</v>
      </c>
      <c r="AX5" s="939">
        <f t="shared" si="47"/>
        <v>479381.61</v>
      </c>
      <c r="AY5" s="123">
        <f t="shared" si="48"/>
        <v>774199.09000000008</v>
      </c>
      <c r="AZ5" s="123">
        <f t="shared" si="49"/>
        <v>70315.070000000007</v>
      </c>
      <c r="BA5" s="125">
        <f t="shared" si="50"/>
        <v>844514.16</v>
      </c>
      <c r="BB5" s="940">
        <f t="shared" si="51"/>
        <v>3009294.3</v>
      </c>
      <c r="BC5" s="116">
        <f t="shared" si="52"/>
        <v>77442.310000000012</v>
      </c>
      <c r="BD5" s="117">
        <f t="shared" si="53"/>
        <v>3086736.6100000003</v>
      </c>
      <c r="BE5" s="114">
        <f t="shared" si="54"/>
        <v>5921420.1299999999</v>
      </c>
      <c r="BF5" s="116">
        <f t="shared" ref="BF5:BG5" si="82">SUM(BC5,AL5)</f>
        <v>77442.310000000012</v>
      </c>
      <c r="BG5" s="119">
        <f t="shared" si="82"/>
        <v>6786415.4600000009</v>
      </c>
      <c r="BH5" s="845">
        <f t="shared" si="56"/>
        <v>850729.67</v>
      </c>
      <c r="BI5" s="140">
        <f t="shared" si="57"/>
        <v>1627656.49</v>
      </c>
      <c r="BJ5" s="326">
        <f t="shared" si="58"/>
        <v>0</v>
      </c>
      <c r="BK5" s="333">
        <f t="shared" si="59"/>
        <v>1627656.49</v>
      </c>
      <c r="BL5" s="939">
        <f t="shared" si="60"/>
        <v>856673.97</v>
      </c>
      <c r="BM5" s="123">
        <f t="shared" si="61"/>
        <v>532249.87</v>
      </c>
      <c r="BN5" s="123">
        <f t="shared" si="62"/>
        <v>11100.66</v>
      </c>
      <c r="BO5" s="123">
        <f t="shared" si="63"/>
        <v>543350.53</v>
      </c>
      <c r="BP5" s="332">
        <f t="shared" si="64"/>
        <v>105086.36</v>
      </c>
      <c r="BQ5" s="140">
        <f t="shared" si="65"/>
        <v>3077502.93</v>
      </c>
      <c r="BR5" s="326">
        <f t="shared" si="66"/>
        <v>199958.75</v>
      </c>
      <c r="BS5" s="333">
        <f t="shared" si="67"/>
        <v>3277461.68</v>
      </c>
      <c r="BT5" s="140">
        <f t="shared" ref="BT5:BV5" si="83">SUM(BQ5,BM5,BI5)</f>
        <v>5237409.29</v>
      </c>
      <c r="BU5" s="326">
        <f t="shared" si="83"/>
        <v>211059.41</v>
      </c>
      <c r="BV5" s="333">
        <f t="shared" si="83"/>
        <v>5448468.7000000002</v>
      </c>
      <c r="BW5" s="845">
        <f t="shared" si="69"/>
        <v>1688322.66</v>
      </c>
      <c r="BX5" s="140">
        <f t="shared" si="70"/>
        <v>3311498.11</v>
      </c>
      <c r="BY5" s="123">
        <f t="shared" si="71"/>
        <v>171409.12</v>
      </c>
      <c r="BZ5" s="148">
        <f t="shared" si="72"/>
        <v>3482907.23</v>
      </c>
      <c r="CA5" s="939">
        <f t="shared" si="73"/>
        <v>1950554.82</v>
      </c>
      <c r="CB5" s="941">
        <f t="shared" si="74"/>
        <v>1202059.8600000001</v>
      </c>
      <c r="CF5" s="570">
        <v>0.1</v>
      </c>
      <c r="CG5" s="563">
        <v>31</v>
      </c>
      <c r="CH5" s="440">
        <v>41</v>
      </c>
      <c r="CI5" s="441">
        <v>37</v>
      </c>
      <c r="CJ5" s="441">
        <v>40</v>
      </c>
      <c r="CK5" s="441">
        <v>44</v>
      </c>
      <c r="CL5" s="441">
        <v>40</v>
      </c>
      <c r="CM5" s="138">
        <v>44</v>
      </c>
      <c r="CN5" s="138">
        <v>45</v>
      </c>
      <c r="CO5" s="138">
        <v>27</v>
      </c>
      <c r="CP5" s="138">
        <v>27</v>
      </c>
      <c r="CQ5" s="324">
        <v>31</v>
      </c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6"/>
    </row>
    <row r="6" spans="1:116" ht="15.75" customHeight="1">
      <c r="A6" s="463">
        <f t="shared" si="0"/>
        <v>112012385</v>
      </c>
      <c r="B6" s="501" t="e">
        <f t="shared" si="1"/>
        <v>#N/A</v>
      </c>
      <c r="C6" s="699" t="str">
        <f t="shared" si="2"/>
        <v/>
      </c>
      <c r="D6" s="558" t="str">
        <f t="shared" si="3"/>
        <v/>
      </c>
      <c r="E6" s="715" t="str">
        <f t="shared" si="4"/>
        <v/>
      </c>
      <c r="F6" s="936" t="e">
        <f t="shared" si="5"/>
        <v>#N/A</v>
      </c>
      <c r="G6" s="942" t="str">
        <f t="shared" si="6"/>
        <v/>
      </c>
      <c r="H6" s="699" t="str">
        <f t="shared" si="7"/>
        <v/>
      </c>
      <c r="I6" s="702" t="str">
        <f t="shared" si="8"/>
        <v/>
      </c>
      <c r="J6" s="837">
        <f t="shared" si="9"/>
        <v>54</v>
      </c>
      <c r="K6" s="700">
        <f t="shared" si="10"/>
        <v>0.15</v>
      </c>
      <c r="L6" s="702">
        <f t="shared" si="11"/>
        <v>0.11</v>
      </c>
      <c r="M6" s="423" t="s">
        <v>841</v>
      </c>
      <c r="N6" s="121" t="str">
        <f t="shared" si="12"/>
        <v/>
      </c>
      <c r="O6" s="416" t="e">
        <f t="shared" si="13"/>
        <v>#VALUE!</v>
      </c>
      <c r="P6" s="113" t="e">
        <f t="shared" si="14"/>
        <v>#VALUE!</v>
      </c>
      <c r="Q6" s="116" t="str">
        <f t="shared" si="15"/>
        <v/>
      </c>
      <c r="R6" s="117" t="str">
        <f t="shared" si="16"/>
        <v/>
      </c>
      <c r="S6" s="114" t="e">
        <f t="shared" si="17"/>
        <v>#VALUE!</v>
      </c>
      <c r="T6" s="413" t="str">
        <f t="shared" si="18"/>
        <v/>
      </c>
      <c r="U6" s="100" t="str">
        <f t="shared" si="19"/>
        <v/>
      </c>
      <c r="V6" s="113" t="e">
        <f t="shared" si="20"/>
        <v>#VALUE!</v>
      </c>
      <c r="W6" s="116" t="e">
        <f t="shared" si="21"/>
        <v>#VALUE!</v>
      </c>
      <c r="X6" s="116" t="str">
        <f t="shared" si="22"/>
        <v/>
      </c>
      <c r="Y6" s="116" t="str">
        <f t="shared" si="23"/>
        <v/>
      </c>
      <c r="Z6" s="116" t="e">
        <f t="shared" si="24"/>
        <v>#VALUE!</v>
      </c>
      <c r="AA6" s="413" t="e">
        <f t="shared" si="25"/>
        <v>#VALUE!</v>
      </c>
      <c r="AB6" s="114" t="str">
        <f t="shared" si="26"/>
        <v/>
      </c>
      <c r="AC6" s="121" t="e">
        <f t="shared" si="27"/>
        <v>#VALUE!</v>
      </c>
      <c r="AD6" s="113" t="e">
        <f t="shared" si="28"/>
        <v>#VALUE!</v>
      </c>
      <c r="AE6" s="116" t="str">
        <f t="shared" si="29"/>
        <v/>
      </c>
      <c r="AF6" s="117" t="str">
        <f t="shared" si="30"/>
        <v/>
      </c>
      <c r="AG6" s="114" t="e">
        <f t="shared" si="31"/>
        <v>#VALUE!</v>
      </c>
      <c r="AH6" s="97" t="e">
        <f t="shared" si="32"/>
        <v>#VALUE!</v>
      </c>
      <c r="AI6" s="839" t="e">
        <f t="shared" si="33"/>
        <v>#VALUE!</v>
      </c>
      <c r="AJ6" s="114">
        <f t="shared" si="34"/>
        <v>12765278.310000001</v>
      </c>
      <c r="AK6" s="116" t="e">
        <f t="shared" ref="AK6:AL6" si="84">SUM(AD6,W6,P6)</f>
        <v>#VALUE!</v>
      </c>
      <c r="AL6" s="116">
        <f t="shared" si="84"/>
        <v>0</v>
      </c>
      <c r="AM6" s="116">
        <f t="shared" si="36"/>
        <v>0</v>
      </c>
      <c r="AN6" s="116">
        <f t="shared" si="37"/>
        <v>-12765278.310000001</v>
      </c>
      <c r="AO6" s="938">
        <f t="shared" si="38"/>
        <v>0</v>
      </c>
      <c r="AP6" s="845" t="str">
        <f t="shared" si="39"/>
        <v/>
      </c>
      <c r="AQ6" s="140" t="e">
        <f t="shared" si="40"/>
        <v>#VALUE!</v>
      </c>
      <c r="AR6" s="123" t="str">
        <f t="shared" si="41"/>
        <v/>
      </c>
      <c r="AS6" s="148" t="str">
        <f t="shared" si="42"/>
        <v/>
      </c>
      <c r="AT6" s="845" t="str">
        <f t="shared" si="43"/>
        <v/>
      </c>
      <c r="AU6" s="140" t="e">
        <f t="shared" si="44"/>
        <v>#VALUE!</v>
      </c>
      <c r="AV6" s="326" t="str">
        <f t="shared" si="45"/>
        <v/>
      </c>
      <c r="AW6" s="333" t="str">
        <f t="shared" si="46"/>
        <v/>
      </c>
      <c r="AX6" s="939" t="str">
        <f t="shared" si="47"/>
        <v/>
      </c>
      <c r="AY6" s="123" t="e">
        <f t="shared" si="48"/>
        <v>#VALUE!</v>
      </c>
      <c r="AZ6" s="123" t="str">
        <f t="shared" si="49"/>
        <v/>
      </c>
      <c r="BA6" s="125" t="str">
        <f t="shared" si="50"/>
        <v/>
      </c>
      <c r="BB6" s="940" t="e">
        <f t="shared" si="51"/>
        <v>#VALUE!</v>
      </c>
      <c r="BC6" s="116" t="e">
        <f t="shared" si="52"/>
        <v>#VALUE!</v>
      </c>
      <c r="BD6" s="117" t="e">
        <f t="shared" si="53"/>
        <v>#VALUE!</v>
      </c>
      <c r="BE6" s="114" t="e">
        <f t="shared" si="54"/>
        <v>#VALUE!</v>
      </c>
      <c r="BF6" s="116" t="e">
        <f t="shared" ref="BF6:BG6" si="85">SUM(BC6,AL6)</f>
        <v>#VALUE!</v>
      </c>
      <c r="BG6" s="119" t="e">
        <f t="shared" si="85"/>
        <v>#VALUE!</v>
      </c>
      <c r="BH6" s="845" t="str">
        <f t="shared" si="56"/>
        <v/>
      </c>
      <c r="BI6" s="140" t="e">
        <f t="shared" si="57"/>
        <v>#VALUE!</v>
      </c>
      <c r="BJ6" s="326" t="str">
        <f t="shared" si="58"/>
        <v/>
      </c>
      <c r="BK6" s="333" t="str">
        <f t="shared" si="59"/>
        <v/>
      </c>
      <c r="BL6" s="939" t="str">
        <f t="shared" si="60"/>
        <v/>
      </c>
      <c r="BM6" s="123" t="e">
        <f t="shared" si="61"/>
        <v>#VALUE!</v>
      </c>
      <c r="BN6" s="123" t="str">
        <f t="shared" si="62"/>
        <v/>
      </c>
      <c r="BO6" s="123" t="str">
        <f t="shared" si="63"/>
        <v/>
      </c>
      <c r="BP6" s="332" t="str">
        <f t="shared" si="64"/>
        <v/>
      </c>
      <c r="BQ6" s="140" t="e">
        <f t="shared" si="65"/>
        <v>#VALUE!</v>
      </c>
      <c r="BR6" s="326" t="str">
        <f t="shared" si="66"/>
        <v/>
      </c>
      <c r="BS6" s="333" t="str">
        <f t="shared" si="67"/>
        <v/>
      </c>
      <c r="BT6" s="140" t="e">
        <f t="shared" ref="BT6:BV6" si="86">SUM(BQ6,BM6,BI6)</f>
        <v>#VALUE!</v>
      </c>
      <c r="BU6" s="326">
        <f t="shared" si="86"/>
        <v>0</v>
      </c>
      <c r="BV6" s="333">
        <f t="shared" si="86"/>
        <v>0</v>
      </c>
      <c r="BW6" s="845" t="str">
        <f t="shared" si="69"/>
        <v/>
      </c>
      <c r="BX6" s="140" t="e">
        <f t="shared" si="70"/>
        <v>#VALUE!</v>
      </c>
      <c r="BY6" s="123" t="str">
        <f t="shared" si="71"/>
        <v/>
      </c>
      <c r="BZ6" s="148" t="str">
        <f t="shared" si="72"/>
        <v/>
      </c>
      <c r="CA6" s="939" t="str">
        <f t="shared" si="73"/>
        <v/>
      </c>
      <c r="CB6" s="941" t="str">
        <f t="shared" si="74"/>
        <v/>
      </c>
      <c r="CF6" s="571">
        <v>0.05</v>
      </c>
      <c r="CG6" s="449"/>
      <c r="CH6" s="449">
        <v>9</v>
      </c>
      <c r="CI6" s="169">
        <v>9</v>
      </c>
      <c r="CJ6" s="169">
        <v>7</v>
      </c>
      <c r="CK6" s="169">
        <v>5</v>
      </c>
      <c r="CL6" s="169">
        <v>7</v>
      </c>
      <c r="CM6" s="441">
        <v>8</v>
      </c>
      <c r="CN6" s="441">
        <v>8</v>
      </c>
      <c r="CO6" s="441">
        <v>1</v>
      </c>
      <c r="CP6" s="441">
        <v>1</v>
      </c>
      <c r="CQ6" s="440"/>
    </row>
    <row r="7" spans="1:116" ht="15.75" customHeight="1">
      <c r="A7" s="463">
        <f t="shared" si="0"/>
        <v>112013957</v>
      </c>
      <c r="B7" s="501" t="e">
        <f t="shared" si="1"/>
        <v>#N/A</v>
      </c>
      <c r="C7" s="699" t="str">
        <f t="shared" si="2"/>
        <v/>
      </c>
      <c r="D7" s="558" t="str">
        <f t="shared" si="3"/>
        <v/>
      </c>
      <c r="E7" s="715" t="str">
        <f t="shared" si="4"/>
        <v/>
      </c>
      <c r="F7" s="936" t="e">
        <f t="shared" si="5"/>
        <v>#N/A</v>
      </c>
      <c r="G7" s="699" t="str">
        <f t="shared" si="6"/>
        <v/>
      </c>
      <c r="H7" s="699" t="str">
        <f t="shared" si="7"/>
        <v/>
      </c>
      <c r="I7" s="702" t="str">
        <f t="shared" si="8"/>
        <v/>
      </c>
      <c r="J7" s="837">
        <f t="shared" si="9"/>
        <v>53</v>
      </c>
      <c r="K7" s="700">
        <f t="shared" si="10"/>
        <v>0.15</v>
      </c>
      <c r="L7" s="702">
        <f t="shared" si="11"/>
        <v>0.14000000000000001</v>
      </c>
      <c r="M7" s="423" t="s">
        <v>842</v>
      </c>
      <c r="N7" s="121" t="str">
        <f t="shared" si="12"/>
        <v/>
      </c>
      <c r="O7" s="416" t="e">
        <f t="shared" si="13"/>
        <v>#VALUE!</v>
      </c>
      <c r="P7" s="113" t="e">
        <f t="shared" si="14"/>
        <v>#VALUE!</v>
      </c>
      <c r="Q7" s="116" t="str">
        <f t="shared" si="15"/>
        <v/>
      </c>
      <c r="R7" s="117" t="str">
        <f t="shared" si="16"/>
        <v/>
      </c>
      <c r="S7" s="114" t="e">
        <f t="shared" si="17"/>
        <v>#VALUE!</v>
      </c>
      <c r="T7" s="413" t="str">
        <f t="shared" si="18"/>
        <v/>
      </c>
      <c r="U7" s="100" t="str">
        <f t="shared" si="19"/>
        <v/>
      </c>
      <c r="V7" s="113" t="e">
        <f t="shared" si="20"/>
        <v>#VALUE!</v>
      </c>
      <c r="W7" s="116" t="e">
        <f t="shared" si="21"/>
        <v>#VALUE!</v>
      </c>
      <c r="X7" s="116" t="str">
        <f t="shared" si="22"/>
        <v/>
      </c>
      <c r="Y7" s="116" t="str">
        <f t="shared" si="23"/>
        <v/>
      </c>
      <c r="Z7" s="116" t="e">
        <f t="shared" si="24"/>
        <v>#VALUE!</v>
      </c>
      <c r="AA7" s="413" t="e">
        <f t="shared" si="25"/>
        <v>#VALUE!</v>
      </c>
      <c r="AB7" s="114" t="str">
        <f t="shared" si="26"/>
        <v/>
      </c>
      <c r="AC7" s="121" t="e">
        <f t="shared" si="27"/>
        <v>#VALUE!</v>
      </c>
      <c r="AD7" s="113" t="e">
        <f t="shared" si="28"/>
        <v>#VALUE!</v>
      </c>
      <c r="AE7" s="116" t="str">
        <f t="shared" si="29"/>
        <v/>
      </c>
      <c r="AF7" s="117" t="str">
        <f t="shared" si="30"/>
        <v/>
      </c>
      <c r="AG7" s="114" t="e">
        <f t="shared" si="31"/>
        <v>#VALUE!</v>
      </c>
      <c r="AH7" s="97" t="e">
        <f t="shared" si="32"/>
        <v>#VALUE!</v>
      </c>
      <c r="AI7" s="839" t="e">
        <f t="shared" si="33"/>
        <v>#VALUE!</v>
      </c>
      <c r="AJ7" s="114">
        <f t="shared" si="34"/>
        <v>9786612.4700000007</v>
      </c>
      <c r="AK7" s="116" t="e">
        <f t="shared" ref="AK7:AL7" si="87">SUM(AD7,W7,P7)</f>
        <v>#VALUE!</v>
      </c>
      <c r="AL7" s="116">
        <f t="shared" si="87"/>
        <v>0</v>
      </c>
      <c r="AM7" s="116">
        <f t="shared" si="36"/>
        <v>0</v>
      </c>
      <c r="AN7" s="116">
        <f t="shared" si="37"/>
        <v>-9786612.4700000007</v>
      </c>
      <c r="AO7" s="938">
        <f t="shared" si="38"/>
        <v>0</v>
      </c>
      <c r="AP7" s="845" t="str">
        <f t="shared" si="39"/>
        <v/>
      </c>
      <c r="AQ7" s="140" t="e">
        <f t="shared" si="40"/>
        <v>#VALUE!</v>
      </c>
      <c r="AR7" s="123" t="str">
        <f t="shared" si="41"/>
        <v/>
      </c>
      <c r="AS7" s="148" t="str">
        <f t="shared" si="42"/>
        <v/>
      </c>
      <c r="AT7" s="845" t="str">
        <f t="shared" si="43"/>
        <v/>
      </c>
      <c r="AU7" s="140" t="e">
        <f t="shared" si="44"/>
        <v>#VALUE!</v>
      </c>
      <c r="AV7" s="326" t="str">
        <f t="shared" si="45"/>
        <v/>
      </c>
      <c r="AW7" s="333" t="str">
        <f t="shared" si="46"/>
        <v/>
      </c>
      <c r="AX7" s="939" t="str">
        <f t="shared" si="47"/>
        <v/>
      </c>
      <c r="AY7" s="123" t="e">
        <f t="shared" si="48"/>
        <v>#VALUE!</v>
      </c>
      <c r="AZ7" s="123" t="str">
        <f t="shared" si="49"/>
        <v/>
      </c>
      <c r="BA7" s="125" t="str">
        <f t="shared" si="50"/>
        <v/>
      </c>
      <c r="BB7" s="940" t="e">
        <f t="shared" si="51"/>
        <v>#VALUE!</v>
      </c>
      <c r="BC7" s="116" t="e">
        <f t="shared" si="52"/>
        <v>#VALUE!</v>
      </c>
      <c r="BD7" s="117" t="e">
        <f t="shared" si="53"/>
        <v>#VALUE!</v>
      </c>
      <c r="BE7" s="114" t="e">
        <f t="shared" si="54"/>
        <v>#VALUE!</v>
      </c>
      <c r="BF7" s="116" t="e">
        <f t="shared" ref="BF7:BG7" si="88">SUM(BC7,AL7)</f>
        <v>#VALUE!</v>
      </c>
      <c r="BG7" s="119" t="e">
        <f t="shared" si="88"/>
        <v>#VALUE!</v>
      </c>
      <c r="BH7" s="845" t="str">
        <f t="shared" si="56"/>
        <v/>
      </c>
      <c r="BI7" s="140" t="e">
        <f t="shared" si="57"/>
        <v>#VALUE!</v>
      </c>
      <c r="BJ7" s="326" t="str">
        <f t="shared" si="58"/>
        <v/>
      </c>
      <c r="BK7" s="333" t="str">
        <f t="shared" si="59"/>
        <v/>
      </c>
      <c r="BL7" s="939" t="str">
        <f t="shared" si="60"/>
        <v/>
      </c>
      <c r="BM7" s="123" t="e">
        <f t="shared" si="61"/>
        <v>#VALUE!</v>
      </c>
      <c r="BN7" s="123" t="str">
        <f t="shared" si="62"/>
        <v/>
      </c>
      <c r="BO7" s="123" t="str">
        <f t="shared" si="63"/>
        <v/>
      </c>
      <c r="BP7" s="332" t="str">
        <f t="shared" si="64"/>
        <v/>
      </c>
      <c r="BQ7" s="140" t="e">
        <f t="shared" si="65"/>
        <v>#VALUE!</v>
      </c>
      <c r="BR7" s="326" t="str">
        <f t="shared" si="66"/>
        <v/>
      </c>
      <c r="BS7" s="333" t="str">
        <f t="shared" si="67"/>
        <v/>
      </c>
      <c r="BT7" s="140" t="e">
        <f t="shared" ref="BT7:BV7" si="89">SUM(BQ7,BM7,BI7)</f>
        <v>#VALUE!</v>
      </c>
      <c r="BU7" s="326">
        <f t="shared" si="89"/>
        <v>0</v>
      </c>
      <c r="BV7" s="333">
        <f t="shared" si="89"/>
        <v>0</v>
      </c>
      <c r="BW7" s="845" t="str">
        <f t="shared" si="69"/>
        <v/>
      </c>
      <c r="BX7" s="140" t="e">
        <f t="shared" si="70"/>
        <v>#VALUE!</v>
      </c>
      <c r="BY7" s="123" t="str">
        <f t="shared" si="71"/>
        <v/>
      </c>
      <c r="BZ7" s="148" t="str">
        <f t="shared" si="72"/>
        <v/>
      </c>
      <c r="CA7" s="939" t="str">
        <f t="shared" si="73"/>
        <v/>
      </c>
      <c r="CB7" s="941" t="str">
        <f t="shared" si="74"/>
        <v/>
      </c>
      <c r="CF7" s="573" t="s">
        <v>4</v>
      </c>
      <c r="CG7" s="453">
        <v>26</v>
      </c>
      <c r="CH7" s="453">
        <v>48</v>
      </c>
      <c r="CI7" s="178">
        <v>53</v>
      </c>
      <c r="CJ7" s="178">
        <v>45</v>
      </c>
      <c r="CK7" s="178">
        <v>37</v>
      </c>
      <c r="CL7" s="178">
        <v>47</v>
      </c>
      <c r="CM7" s="169">
        <v>48</v>
      </c>
      <c r="CN7" s="169">
        <v>49</v>
      </c>
      <c r="CO7" s="169">
        <v>73</v>
      </c>
      <c r="CP7" s="169">
        <v>75</v>
      </c>
      <c r="CQ7" s="449">
        <v>26</v>
      </c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</row>
    <row r="8" spans="1:116" ht="15.75" customHeight="1">
      <c r="A8" s="463">
        <f t="shared" si="0"/>
        <v>112014403</v>
      </c>
      <c r="B8" s="501" t="e">
        <f>VLOOKUP(M8,VARGASCART2,2,FALSE)</f>
        <v>#N/A</v>
      </c>
      <c r="C8" s="699" t="str">
        <f t="shared" si="2"/>
        <v/>
      </c>
      <c r="D8" s="558" t="str">
        <f t="shared" si="3"/>
        <v/>
      </c>
      <c r="E8" s="715" t="str">
        <f t="shared" si="4"/>
        <v/>
      </c>
      <c r="F8" s="936" t="e">
        <f t="shared" si="5"/>
        <v>#N/A</v>
      </c>
      <c r="G8" s="699" t="str">
        <f t="shared" si="6"/>
        <v/>
      </c>
      <c r="H8" s="699" t="str">
        <f t="shared" si="7"/>
        <v/>
      </c>
      <c r="I8" s="702" t="str">
        <f t="shared" si="8"/>
        <v/>
      </c>
      <c r="J8" s="837">
        <f t="shared" si="9"/>
        <v>53</v>
      </c>
      <c r="K8" s="700">
        <f t="shared" si="10"/>
        <v>0.15</v>
      </c>
      <c r="L8" s="702">
        <f t="shared" si="11"/>
        <v>0.14000000000000001</v>
      </c>
      <c r="M8" s="423" t="s">
        <v>843</v>
      </c>
      <c r="N8" s="121" t="str">
        <f t="shared" si="12"/>
        <v/>
      </c>
      <c r="O8" s="416" t="e">
        <f t="shared" si="13"/>
        <v>#VALUE!</v>
      </c>
      <c r="P8" s="113" t="e">
        <f t="shared" si="14"/>
        <v>#VALUE!</v>
      </c>
      <c r="Q8" s="116" t="str">
        <f t="shared" si="15"/>
        <v/>
      </c>
      <c r="R8" s="117" t="str">
        <f t="shared" si="16"/>
        <v/>
      </c>
      <c r="S8" s="114" t="e">
        <f t="shared" si="17"/>
        <v>#VALUE!</v>
      </c>
      <c r="T8" s="413" t="str">
        <f t="shared" si="18"/>
        <v/>
      </c>
      <c r="U8" s="100" t="str">
        <f t="shared" si="19"/>
        <v/>
      </c>
      <c r="V8" s="113" t="e">
        <f t="shared" si="20"/>
        <v>#VALUE!</v>
      </c>
      <c r="W8" s="116" t="e">
        <f t="shared" si="21"/>
        <v>#VALUE!</v>
      </c>
      <c r="X8" s="116" t="str">
        <f t="shared" si="22"/>
        <v/>
      </c>
      <c r="Y8" s="116" t="str">
        <f t="shared" si="23"/>
        <v/>
      </c>
      <c r="Z8" s="116" t="e">
        <f t="shared" si="24"/>
        <v>#VALUE!</v>
      </c>
      <c r="AA8" s="413" t="e">
        <f t="shared" si="25"/>
        <v>#VALUE!</v>
      </c>
      <c r="AB8" s="114" t="str">
        <f t="shared" si="26"/>
        <v/>
      </c>
      <c r="AC8" s="121" t="e">
        <f t="shared" si="27"/>
        <v>#VALUE!</v>
      </c>
      <c r="AD8" s="113" t="e">
        <f t="shared" si="28"/>
        <v>#VALUE!</v>
      </c>
      <c r="AE8" s="116" t="str">
        <f t="shared" si="29"/>
        <v/>
      </c>
      <c r="AF8" s="117" t="str">
        <f t="shared" si="30"/>
        <v/>
      </c>
      <c r="AG8" s="114" t="e">
        <f t="shared" si="31"/>
        <v>#VALUE!</v>
      </c>
      <c r="AH8" s="97" t="e">
        <f t="shared" si="32"/>
        <v>#VALUE!</v>
      </c>
      <c r="AI8" s="839" t="e">
        <f t="shared" si="33"/>
        <v>#VALUE!</v>
      </c>
      <c r="AJ8" s="114">
        <f t="shared" si="34"/>
        <v>861100.14</v>
      </c>
      <c r="AK8" s="116" t="e">
        <f t="shared" ref="AK8:AL8" si="90">SUM(AD8,W8,P8)</f>
        <v>#VALUE!</v>
      </c>
      <c r="AL8" s="116">
        <f t="shared" si="90"/>
        <v>0</v>
      </c>
      <c r="AM8" s="116">
        <f t="shared" si="36"/>
        <v>0</v>
      </c>
      <c r="AN8" s="116">
        <f t="shared" si="37"/>
        <v>-861100.14</v>
      </c>
      <c r="AO8" s="938">
        <f t="shared" si="38"/>
        <v>0</v>
      </c>
      <c r="AP8" s="845" t="str">
        <f t="shared" si="39"/>
        <v/>
      </c>
      <c r="AQ8" s="140" t="e">
        <f t="shared" si="40"/>
        <v>#VALUE!</v>
      </c>
      <c r="AR8" s="123" t="str">
        <f t="shared" si="41"/>
        <v/>
      </c>
      <c r="AS8" s="148" t="str">
        <f t="shared" si="42"/>
        <v/>
      </c>
      <c r="AT8" s="845" t="str">
        <f t="shared" si="43"/>
        <v/>
      </c>
      <c r="AU8" s="140" t="e">
        <f t="shared" si="44"/>
        <v>#VALUE!</v>
      </c>
      <c r="AV8" s="326" t="str">
        <f t="shared" si="45"/>
        <v/>
      </c>
      <c r="AW8" s="333" t="str">
        <f t="shared" si="46"/>
        <v/>
      </c>
      <c r="AX8" s="939" t="str">
        <f t="shared" si="47"/>
        <v/>
      </c>
      <c r="AY8" s="123" t="e">
        <f t="shared" si="48"/>
        <v>#VALUE!</v>
      </c>
      <c r="AZ8" s="123" t="str">
        <f t="shared" si="49"/>
        <v/>
      </c>
      <c r="BA8" s="125" t="str">
        <f t="shared" si="50"/>
        <v/>
      </c>
      <c r="BB8" s="940" t="e">
        <f t="shared" si="51"/>
        <v>#VALUE!</v>
      </c>
      <c r="BC8" s="116" t="e">
        <f t="shared" si="52"/>
        <v>#VALUE!</v>
      </c>
      <c r="BD8" s="117" t="e">
        <f t="shared" si="53"/>
        <v>#VALUE!</v>
      </c>
      <c r="BE8" s="114" t="e">
        <f t="shared" si="54"/>
        <v>#VALUE!</v>
      </c>
      <c r="BF8" s="116" t="e">
        <f t="shared" ref="BF8:BG8" si="91">SUM(BC8,AL8)</f>
        <v>#VALUE!</v>
      </c>
      <c r="BG8" s="119" t="e">
        <f t="shared" si="91"/>
        <v>#VALUE!</v>
      </c>
      <c r="BH8" s="845" t="str">
        <f t="shared" si="56"/>
        <v/>
      </c>
      <c r="BI8" s="140" t="e">
        <f t="shared" si="57"/>
        <v>#VALUE!</v>
      </c>
      <c r="BJ8" s="326" t="str">
        <f t="shared" si="58"/>
        <v/>
      </c>
      <c r="BK8" s="333" t="str">
        <f t="shared" si="59"/>
        <v/>
      </c>
      <c r="BL8" s="939" t="str">
        <f t="shared" si="60"/>
        <v/>
      </c>
      <c r="BM8" s="123" t="e">
        <f t="shared" si="61"/>
        <v>#VALUE!</v>
      </c>
      <c r="BN8" s="123" t="str">
        <f t="shared" si="62"/>
        <v/>
      </c>
      <c r="BO8" s="123" t="str">
        <f t="shared" si="63"/>
        <v/>
      </c>
      <c r="BP8" s="332" t="str">
        <f t="shared" si="64"/>
        <v/>
      </c>
      <c r="BQ8" s="140" t="e">
        <f t="shared" si="65"/>
        <v>#VALUE!</v>
      </c>
      <c r="BR8" s="326" t="str">
        <f t="shared" si="66"/>
        <v/>
      </c>
      <c r="BS8" s="333" t="str">
        <f t="shared" si="67"/>
        <v/>
      </c>
      <c r="BT8" s="140" t="e">
        <f t="shared" ref="BT8:BV8" si="92">SUM(BQ8,BM8,BI8)</f>
        <v>#VALUE!</v>
      </c>
      <c r="BU8" s="326">
        <f t="shared" si="92"/>
        <v>0</v>
      </c>
      <c r="BV8" s="333">
        <f t="shared" si="92"/>
        <v>0</v>
      </c>
      <c r="BW8" s="845" t="str">
        <f t="shared" si="69"/>
        <v/>
      </c>
      <c r="BX8" s="140" t="e">
        <f t="shared" si="70"/>
        <v>#VALUE!</v>
      </c>
      <c r="BY8" s="123" t="str">
        <f t="shared" si="71"/>
        <v/>
      </c>
      <c r="BZ8" s="148" t="str">
        <f t="shared" si="72"/>
        <v/>
      </c>
      <c r="CA8" s="939" t="str">
        <f t="shared" si="73"/>
        <v/>
      </c>
      <c r="CB8" s="941" t="str">
        <f t="shared" si="74"/>
        <v/>
      </c>
      <c r="CF8" s="579" t="s">
        <v>17</v>
      </c>
      <c r="CG8" s="183">
        <f t="shared" ref="CG8:CQ8" si="93">SUM(CG2:CG7)</f>
        <v>64</v>
      </c>
      <c r="CH8" s="183">
        <f t="shared" si="93"/>
        <v>108</v>
      </c>
      <c r="CI8" s="185">
        <f t="shared" si="93"/>
        <v>108</v>
      </c>
      <c r="CJ8" s="185">
        <f t="shared" si="93"/>
        <v>97</v>
      </c>
      <c r="CK8" s="185">
        <f t="shared" si="93"/>
        <v>91</v>
      </c>
      <c r="CL8" s="185">
        <f t="shared" si="93"/>
        <v>100</v>
      </c>
      <c r="CM8" s="185">
        <f t="shared" si="93"/>
        <v>106</v>
      </c>
      <c r="CN8" s="185">
        <f t="shared" si="93"/>
        <v>108</v>
      </c>
      <c r="CO8" s="185">
        <f t="shared" si="93"/>
        <v>103</v>
      </c>
      <c r="CP8" s="185">
        <f t="shared" si="93"/>
        <v>106</v>
      </c>
      <c r="CQ8" s="183">
        <f t="shared" si="93"/>
        <v>64</v>
      </c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</row>
    <row r="9" spans="1:116" ht="15.75" customHeight="1">
      <c r="A9" s="463">
        <f t="shared" si="0"/>
        <v>112011785</v>
      </c>
      <c r="B9" s="501">
        <f t="shared" ref="B9:B40" si="94">VLOOKUP(M9,VARGASCARTERA,2,FALSE)</f>
        <v>24</v>
      </c>
      <c r="C9" s="699">
        <f t="shared" si="2"/>
        <v>0.12</v>
      </c>
      <c r="D9" s="699">
        <f t="shared" si="3"/>
        <v>0.09</v>
      </c>
      <c r="E9" s="700">
        <f t="shared" si="4"/>
        <v>0</v>
      </c>
      <c r="F9" s="936">
        <f t="shared" si="5"/>
        <v>22</v>
      </c>
      <c r="G9" s="942">
        <f t="shared" si="6"/>
        <v>0.1</v>
      </c>
      <c r="H9" s="699">
        <f t="shared" si="7"/>
        <v>0.09</v>
      </c>
      <c r="I9" s="702">
        <f t="shared" si="8"/>
        <v>0</v>
      </c>
      <c r="J9" s="837">
        <f t="shared" si="9"/>
        <v>63</v>
      </c>
      <c r="K9" s="700">
        <f t="shared" si="10"/>
        <v>0.1</v>
      </c>
      <c r="L9" s="702">
        <f t="shared" si="11"/>
        <v>0.05</v>
      </c>
      <c r="M9" s="703" t="s">
        <v>844</v>
      </c>
      <c r="N9" s="121">
        <f t="shared" si="12"/>
        <v>3568021.65</v>
      </c>
      <c r="O9" s="416">
        <f t="shared" si="13"/>
        <v>5998022.7947325008</v>
      </c>
      <c r="P9" s="113">
        <f t="shared" si="14"/>
        <v>1494934.23</v>
      </c>
      <c r="Q9" s="116">
        <f t="shared" si="15"/>
        <v>0</v>
      </c>
      <c r="R9" s="117">
        <f t="shared" si="16"/>
        <v>1494934.23</v>
      </c>
      <c r="S9" s="114">
        <f t="shared" si="17"/>
        <v>-4503088.5647325013</v>
      </c>
      <c r="T9" s="413">
        <f t="shared" si="18"/>
        <v>0.24923783739415931</v>
      </c>
      <c r="U9" s="100">
        <f t="shared" si="19"/>
        <v>2408517.33</v>
      </c>
      <c r="V9" s="113">
        <f t="shared" si="20"/>
        <v>4361162.5423642499</v>
      </c>
      <c r="W9" s="116">
        <f t="shared" si="21"/>
        <v>540854.31000000006</v>
      </c>
      <c r="X9" s="116">
        <f t="shared" si="22"/>
        <v>0</v>
      </c>
      <c r="Y9" s="116">
        <f t="shared" si="23"/>
        <v>540854.31000000006</v>
      </c>
      <c r="Z9" s="116">
        <f t="shared" si="24"/>
        <v>-3820308.2323642499</v>
      </c>
      <c r="AA9" s="413">
        <f t="shared" si="25"/>
        <v>0.12401608624905666</v>
      </c>
      <c r="AB9" s="114">
        <f t="shared" si="26"/>
        <v>1181915.75</v>
      </c>
      <c r="AC9" s="121">
        <f t="shared" si="27"/>
        <v>1980033.90808125</v>
      </c>
      <c r="AD9" s="113">
        <f t="shared" si="28"/>
        <v>1620131.53</v>
      </c>
      <c r="AE9" s="116">
        <f t="shared" si="29"/>
        <v>0</v>
      </c>
      <c r="AF9" s="117">
        <f t="shared" si="30"/>
        <v>1620131.53</v>
      </c>
      <c r="AG9" s="114">
        <f t="shared" si="31"/>
        <v>-359902.37808125</v>
      </c>
      <c r="AH9" s="97">
        <f t="shared" si="32"/>
        <v>0.81823423497327219</v>
      </c>
      <c r="AI9" s="839">
        <f t="shared" si="33"/>
        <v>12339219.245178001</v>
      </c>
      <c r="AJ9" s="114">
        <f t="shared" si="34"/>
        <v>5568107.7699999996</v>
      </c>
      <c r="AK9" s="116">
        <f t="shared" ref="AK9:AL9" si="95">SUM(AD9,W9,P9)</f>
        <v>3655920.07</v>
      </c>
      <c r="AL9" s="116">
        <f t="shared" si="95"/>
        <v>0</v>
      </c>
      <c r="AM9" s="116">
        <f t="shared" si="36"/>
        <v>4196774.38</v>
      </c>
      <c r="AN9" s="116">
        <f t="shared" si="37"/>
        <v>-1371333.3899999997</v>
      </c>
      <c r="AO9" s="938">
        <f t="shared" si="38"/>
        <v>0.75371644252496217</v>
      </c>
      <c r="AP9" s="845">
        <f t="shared" si="39"/>
        <v>1155180.31</v>
      </c>
      <c r="AQ9" s="140">
        <f t="shared" si="40"/>
        <v>1024687.55</v>
      </c>
      <c r="AR9" s="123">
        <f t="shared" si="41"/>
        <v>0</v>
      </c>
      <c r="AS9" s="148">
        <f t="shared" si="42"/>
        <v>1024687.55</v>
      </c>
      <c r="AT9" s="845">
        <f t="shared" si="43"/>
        <v>1871707.81</v>
      </c>
      <c r="AU9" s="140">
        <f t="shared" si="44"/>
        <v>1504753.28</v>
      </c>
      <c r="AV9" s="326">
        <f t="shared" si="45"/>
        <v>0</v>
      </c>
      <c r="AW9" s="333">
        <f t="shared" si="46"/>
        <v>1504753.28</v>
      </c>
      <c r="AX9" s="939">
        <f t="shared" si="47"/>
        <v>1001789.91</v>
      </c>
      <c r="AY9" s="123">
        <f t="shared" si="48"/>
        <v>1118693.17</v>
      </c>
      <c r="AZ9" s="123">
        <f t="shared" si="49"/>
        <v>0</v>
      </c>
      <c r="BA9" s="125">
        <f t="shared" si="50"/>
        <v>1118693.17</v>
      </c>
      <c r="BB9" s="940">
        <f t="shared" si="51"/>
        <v>3648134</v>
      </c>
      <c r="BC9" s="116">
        <f t="shared" si="52"/>
        <v>0</v>
      </c>
      <c r="BD9" s="117">
        <f t="shared" si="53"/>
        <v>3648134</v>
      </c>
      <c r="BE9" s="114">
        <f t="shared" si="54"/>
        <v>7304054.0700000003</v>
      </c>
      <c r="BF9" s="116">
        <f t="shared" ref="BF9:BG9" si="96">SUM(BC9,AL9)</f>
        <v>0</v>
      </c>
      <c r="BG9" s="119">
        <f t="shared" si="96"/>
        <v>7844908.3799999999</v>
      </c>
      <c r="BH9" s="845">
        <f t="shared" si="56"/>
        <v>1270710.49</v>
      </c>
      <c r="BI9" s="140">
        <f t="shared" si="57"/>
        <v>799915.04</v>
      </c>
      <c r="BJ9" s="326">
        <f t="shared" si="58"/>
        <v>0</v>
      </c>
      <c r="BK9" s="333">
        <f t="shared" si="59"/>
        <v>799915.04</v>
      </c>
      <c r="BL9" s="939">
        <f t="shared" si="60"/>
        <v>1019682.11</v>
      </c>
      <c r="BM9" s="123">
        <f t="shared" si="61"/>
        <v>887864.91</v>
      </c>
      <c r="BN9" s="123">
        <f t="shared" si="62"/>
        <v>0</v>
      </c>
      <c r="BO9" s="123">
        <f t="shared" si="63"/>
        <v>887864.91</v>
      </c>
      <c r="BP9" s="332">
        <f t="shared" si="64"/>
        <v>1428073.3</v>
      </c>
      <c r="BQ9" s="140">
        <f t="shared" si="65"/>
        <v>1752414.2</v>
      </c>
      <c r="BR9" s="326">
        <f t="shared" si="66"/>
        <v>31057.599999999999</v>
      </c>
      <c r="BS9" s="333">
        <f t="shared" si="67"/>
        <v>1783471.8</v>
      </c>
      <c r="BT9" s="140">
        <f t="shared" ref="BT9:BV9" si="97">SUM(BQ9,BM9,BI9)</f>
        <v>3440194.15</v>
      </c>
      <c r="BU9" s="326">
        <f t="shared" si="97"/>
        <v>31057.599999999999</v>
      </c>
      <c r="BV9" s="333">
        <f t="shared" si="97"/>
        <v>3471251.75</v>
      </c>
      <c r="BW9" s="845">
        <f t="shared" si="69"/>
        <v>1426111.8</v>
      </c>
      <c r="BX9" s="140">
        <f t="shared" si="70"/>
        <v>2260391.4300000002</v>
      </c>
      <c r="BY9" s="123">
        <f t="shared" si="71"/>
        <v>0</v>
      </c>
      <c r="BZ9" s="148">
        <f t="shared" si="72"/>
        <v>2260391.4300000002</v>
      </c>
      <c r="CA9" s="939">
        <f t="shared" si="73"/>
        <v>2728335.02</v>
      </c>
      <c r="CB9" s="941">
        <f t="shared" si="74"/>
        <v>1413660.94</v>
      </c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</row>
    <row r="10" spans="1:116" ht="15.75" customHeight="1">
      <c r="A10" s="463">
        <f t="shared" si="0"/>
        <v>112014412</v>
      </c>
      <c r="B10" s="501">
        <f t="shared" si="94"/>
        <v>9</v>
      </c>
      <c r="C10" s="699">
        <f t="shared" si="2"/>
        <v>0.12</v>
      </c>
      <c r="D10" s="558">
        <f t="shared" si="3"/>
        <v>0.23</v>
      </c>
      <c r="E10" s="715">
        <f t="shared" si="4"/>
        <v>0</v>
      </c>
      <c r="F10" s="936">
        <f t="shared" si="5"/>
        <v>31</v>
      </c>
      <c r="G10" s="699">
        <f t="shared" si="6"/>
        <v>0.1</v>
      </c>
      <c r="H10" s="699">
        <f t="shared" si="7"/>
        <v>0.23</v>
      </c>
      <c r="I10" s="702">
        <f t="shared" si="8"/>
        <v>0</v>
      </c>
      <c r="J10" s="837">
        <f t="shared" si="9"/>
        <v>61</v>
      </c>
      <c r="K10" s="700">
        <f t="shared" si="10"/>
        <v>0.1</v>
      </c>
      <c r="L10" s="702">
        <f t="shared" si="11"/>
        <v>0.14000000000000001</v>
      </c>
      <c r="M10" s="423" t="s">
        <v>845</v>
      </c>
      <c r="N10" s="121">
        <f t="shared" si="12"/>
        <v>2217957.06</v>
      </c>
      <c r="O10" s="416">
        <f t="shared" si="13"/>
        <v>3728496.7157130004</v>
      </c>
      <c r="P10" s="113">
        <f t="shared" si="14"/>
        <v>6210132.5200000005</v>
      </c>
      <c r="Q10" s="116">
        <f t="shared" si="15"/>
        <v>821244.55</v>
      </c>
      <c r="R10" s="117">
        <f t="shared" si="16"/>
        <v>7031377.0700000003</v>
      </c>
      <c r="S10" s="114">
        <f t="shared" si="17"/>
        <v>3302880.3542869999</v>
      </c>
      <c r="T10" s="413">
        <f t="shared" si="18"/>
        <v>1.8858477306330119</v>
      </c>
      <c r="U10" s="100">
        <f t="shared" si="19"/>
        <v>2111515.04</v>
      </c>
      <c r="V10" s="113">
        <f t="shared" si="20"/>
        <v>3823373.0708039999</v>
      </c>
      <c r="W10" s="116">
        <f t="shared" si="21"/>
        <v>2054065.73</v>
      </c>
      <c r="X10" s="116">
        <f t="shared" si="22"/>
        <v>576300.17000000004</v>
      </c>
      <c r="Y10" s="116">
        <f t="shared" si="23"/>
        <v>2630365.9</v>
      </c>
      <c r="Z10" s="116">
        <f t="shared" si="24"/>
        <v>-1193007.170804</v>
      </c>
      <c r="AA10" s="413">
        <f t="shared" si="25"/>
        <v>0.68796998129373554</v>
      </c>
      <c r="AB10" s="114">
        <f t="shared" si="26"/>
        <v>1206710.6499999999</v>
      </c>
      <c r="AC10" s="121">
        <f t="shared" si="27"/>
        <v>2021572.1841787498</v>
      </c>
      <c r="AD10" s="113">
        <f t="shared" si="28"/>
        <v>2322541.42</v>
      </c>
      <c r="AE10" s="116">
        <f t="shared" si="29"/>
        <v>705640.58</v>
      </c>
      <c r="AF10" s="117">
        <f t="shared" si="30"/>
        <v>3028182</v>
      </c>
      <c r="AG10" s="114">
        <f t="shared" si="31"/>
        <v>1006609.8158212502</v>
      </c>
      <c r="AH10" s="97">
        <f t="shared" si="32"/>
        <v>1.4979341443749528</v>
      </c>
      <c r="AI10" s="839">
        <f t="shared" si="33"/>
        <v>9573441.9706957489</v>
      </c>
      <c r="AJ10" s="114">
        <f t="shared" si="34"/>
        <v>8422575.9600000009</v>
      </c>
      <c r="AK10" s="116">
        <f t="shared" ref="AK10:AL10" si="98">SUM(AD10,W10,P10)</f>
        <v>10586739.670000002</v>
      </c>
      <c r="AL10" s="116">
        <f t="shared" si="98"/>
        <v>2103185.2999999998</v>
      </c>
      <c r="AM10" s="116">
        <f t="shared" si="36"/>
        <v>15320290.870000001</v>
      </c>
      <c r="AN10" s="116">
        <f t="shared" si="37"/>
        <v>6897714.9100000001</v>
      </c>
      <c r="AO10" s="938">
        <f t="shared" si="38"/>
        <v>1.8189555004025157</v>
      </c>
      <c r="AP10" s="845">
        <f t="shared" si="39"/>
        <v>3128790.1</v>
      </c>
      <c r="AQ10" s="140">
        <f t="shared" si="40"/>
        <v>3910513.1</v>
      </c>
      <c r="AR10" s="123">
        <f t="shared" si="41"/>
        <v>518936.82</v>
      </c>
      <c r="AS10" s="148">
        <f t="shared" si="42"/>
        <v>4429449.92</v>
      </c>
      <c r="AT10" s="845">
        <f t="shared" si="43"/>
        <v>1704265.31</v>
      </c>
      <c r="AU10" s="140">
        <f t="shared" si="44"/>
        <v>1607974.15</v>
      </c>
      <c r="AV10" s="326">
        <f t="shared" si="45"/>
        <v>681313.94</v>
      </c>
      <c r="AW10" s="333">
        <f t="shared" si="46"/>
        <v>2289288.09</v>
      </c>
      <c r="AX10" s="939">
        <f t="shared" si="47"/>
        <v>1520866.88</v>
      </c>
      <c r="AY10" s="123">
        <f t="shared" si="48"/>
        <v>1837172.1199999999</v>
      </c>
      <c r="AZ10" s="123">
        <f t="shared" si="49"/>
        <v>1136116.74</v>
      </c>
      <c r="BA10" s="125">
        <f t="shared" si="50"/>
        <v>2973288.86</v>
      </c>
      <c r="BB10" s="940">
        <f t="shared" si="51"/>
        <v>7355659.3699999992</v>
      </c>
      <c r="BC10" s="116">
        <f t="shared" si="52"/>
        <v>2336367.5</v>
      </c>
      <c r="BD10" s="117">
        <f t="shared" si="53"/>
        <v>9692026.8699999992</v>
      </c>
      <c r="BE10" s="114">
        <f t="shared" si="54"/>
        <v>17942399.039999999</v>
      </c>
      <c r="BF10" s="116">
        <f t="shared" ref="BF10:BG10" si="99">SUM(BC10,AL10)</f>
        <v>4439552.8</v>
      </c>
      <c r="BG10" s="119">
        <f t="shared" si="99"/>
        <v>25012317.740000002</v>
      </c>
      <c r="BH10" s="845">
        <f t="shared" si="56"/>
        <v>1392739.81</v>
      </c>
      <c r="BI10" s="140">
        <f t="shared" si="57"/>
        <v>1544626.98</v>
      </c>
      <c r="BJ10" s="326">
        <f t="shared" si="58"/>
        <v>655034.6</v>
      </c>
      <c r="BK10" s="333">
        <f t="shared" si="59"/>
        <v>2199661.58</v>
      </c>
      <c r="BL10" s="939">
        <f t="shared" si="60"/>
        <v>1609630.65</v>
      </c>
      <c r="BM10" s="123">
        <f t="shared" si="61"/>
        <v>2250759.2400000002</v>
      </c>
      <c r="BN10" s="123">
        <f t="shared" si="62"/>
        <v>1066278.49</v>
      </c>
      <c r="BO10" s="123">
        <f t="shared" si="63"/>
        <v>3317037.73</v>
      </c>
      <c r="BP10" s="332">
        <f t="shared" si="64"/>
        <v>1891099.47</v>
      </c>
      <c r="BQ10" s="140">
        <f t="shared" si="65"/>
        <v>4327493.7</v>
      </c>
      <c r="BR10" s="326">
        <f t="shared" si="66"/>
        <v>446967.41</v>
      </c>
      <c r="BS10" s="333">
        <f t="shared" si="67"/>
        <v>4774461.1100000003</v>
      </c>
      <c r="BT10" s="140">
        <f t="shared" ref="BT10:BV10" si="100">SUM(BQ10,BM10,BI10)</f>
        <v>8122879.9199999999</v>
      </c>
      <c r="BU10" s="326">
        <f t="shared" si="100"/>
        <v>2168280.5</v>
      </c>
      <c r="BV10" s="333">
        <f t="shared" si="100"/>
        <v>10291160.42</v>
      </c>
      <c r="BW10" s="845">
        <f t="shared" si="69"/>
        <v>2965443.34</v>
      </c>
      <c r="BX10" s="140">
        <f t="shared" si="70"/>
        <v>2956698.13</v>
      </c>
      <c r="BY10" s="123">
        <f t="shared" si="71"/>
        <v>1433274.14</v>
      </c>
      <c r="BZ10" s="148">
        <f t="shared" si="72"/>
        <v>4389972.2699999996</v>
      </c>
      <c r="CA10" s="939">
        <f t="shared" si="73"/>
        <v>1732224.05</v>
      </c>
      <c r="CB10" s="941">
        <f t="shared" si="74"/>
        <v>2763004.49</v>
      </c>
    </row>
    <row r="11" spans="1:116" ht="15.75" customHeight="1">
      <c r="A11" s="463">
        <f t="shared" si="0"/>
        <v>112010002</v>
      </c>
      <c r="B11" s="501">
        <f t="shared" si="94"/>
        <v>22</v>
      </c>
      <c r="C11" s="699">
        <f t="shared" si="2"/>
        <v>0.1</v>
      </c>
      <c r="D11" s="558">
        <f t="shared" si="3"/>
        <v>0.09</v>
      </c>
      <c r="E11" s="715">
        <f t="shared" si="4"/>
        <v>0</v>
      </c>
      <c r="F11" s="936">
        <f t="shared" si="5"/>
        <v>22</v>
      </c>
      <c r="G11" s="699">
        <f t="shared" si="6"/>
        <v>0.1</v>
      </c>
      <c r="H11" s="699">
        <f t="shared" si="7"/>
        <v>0.09</v>
      </c>
      <c r="I11" s="702">
        <f t="shared" si="8"/>
        <v>0</v>
      </c>
      <c r="J11" s="837">
        <f t="shared" si="9"/>
        <v>63</v>
      </c>
      <c r="K11" s="700">
        <f t="shared" si="10"/>
        <v>0.1</v>
      </c>
      <c r="L11" s="702">
        <f t="shared" si="11"/>
        <v>0.05</v>
      </c>
      <c r="M11" s="423" t="s">
        <v>846</v>
      </c>
      <c r="N11" s="121">
        <f t="shared" si="12"/>
        <v>0</v>
      </c>
      <c r="O11" s="416">
        <f t="shared" si="13"/>
        <v>0</v>
      </c>
      <c r="P11" s="113" t="e">
        <f t="shared" si="14"/>
        <v>#VALUE!</v>
      </c>
      <c r="Q11" s="116" t="str">
        <f t="shared" si="15"/>
        <v/>
      </c>
      <c r="R11" s="117">
        <f t="shared" si="16"/>
        <v>408923.48</v>
      </c>
      <c r="S11" s="114">
        <f t="shared" si="17"/>
        <v>408923.48</v>
      </c>
      <c r="T11" s="413" t="str">
        <f t="shared" si="18"/>
        <v/>
      </c>
      <c r="U11" s="100">
        <f t="shared" si="19"/>
        <v>0</v>
      </c>
      <c r="V11" s="113">
        <f t="shared" si="20"/>
        <v>0</v>
      </c>
      <c r="W11" s="116" t="e">
        <f t="shared" si="21"/>
        <v>#VALUE!</v>
      </c>
      <c r="X11" s="116" t="str">
        <f t="shared" si="22"/>
        <v/>
      </c>
      <c r="Y11" s="116">
        <f t="shared" si="23"/>
        <v>575249.44999999995</v>
      </c>
      <c r="Z11" s="116">
        <f t="shared" si="24"/>
        <v>575249.44999999995</v>
      </c>
      <c r="AA11" s="413" t="e">
        <f t="shared" si="25"/>
        <v>#DIV/0!</v>
      </c>
      <c r="AB11" s="114">
        <f t="shared" si="26"/>
        <v>0</v>
      </c>
      <c r="AC11" s="121">
        <f t="shared" si="27"/>
        <v>0</v>
      </c>
      <c r="AD11" s="113" t="e">
        <f t="shared" si="28"/>
        <v>#VALUE!</v>
      </c>
      <c r="AE11" s="116" t="str">
        <f t="shared" si="29"/>
        <v/>
      </c>
      <c r="AF11" s="117">
        <f t="shared" si="30"/>
        <v>1341611.83</v>
      </c>
      <c r="AG11" s="114">
        <f t="shared" si="31"/>
        <v>1341611.83</v>
      </c>
      <c r="AH11" s="97" t="e">
        <f t="shared" si="32"/>
        <v>#DIV/0!</v>
      </c>
      <c r="AI11" s="839">
        <f t="shared" si="33"/>
        <v>0</v>
      </c>
      <c r="AJ11" s="114">
        <f t="shared" si="34"/>
        <v>2683138.52</v>
      </c>
      <c r="AK11" s="116" t="e">
        <f t="shared" ref="AK11:AL11" si="101">SUM(AD11,W11,P11)</f>
        <v>#VALUE!</v>
      </c>
      <c r="AL11" s="116">
        <f t="shared" si="101"/>
        <v>0</v>
      </c>
      <c r="AM11" s="116">
        <f t="shared" si="36"/>
        <v>2901034.21</v>
      </c>
      <c r="AN11" s="116">
        <f t="shared" si="37"/>
        <v>217895.68999999994</v>
      </c>
      <c r="AO11" s="938">
        <f t="shared" si="38"/>
        <v>1.0812092586259765</v>
      </c>
      <c r="AP11" s="845">
        <f t="shared" si="39"/>
        <v>794111.82</v>
      </c>
      <c r="AQ11" s="140" t="e">
        <f t="shared" si="40"/>
        <v>#VALUE!</v>
      </c>
      <c r="AR11" s="123" t="str">
        <f t="shared" si="41"/>
        <v/>
      </c>
      <c r="AS11" s="148">
        <f t="shared" si="42"/>
        <v>838712.31</v>
      </c>
      <c r="AT11" s="845">
        <f t="shared" si="43"/>
        <v>299238.65000000002</v>
      </c>
      <c r="AU11" s="140" t="e">
        <f t="shared" si="44"/>
        <v>#VALUE!</v>
      </c>
      <c r="AV11" s="326" t="str">
        <f t="shared" si="45"/>
        <v/>
      </c>
      <c r="AW11" s="333">
        <f t="shared" si="46"/>
        <v>206478</v>
      </c>
      <c r="AX11" s="939">
        <f t="shared" si="47"/>
        <v>889003.83</v>
      </c>
      <c r="AY11" s="123" t="e">
        <f t="shared" si="48"/>
        <v>#VALUE!</v>
      </c>
      <c r="AZ11" s="123" t="str">
        <f t="shared" si="49"/>
        <v/>
      </c>
      <c r="BA11" s="125">
        <f t="shared" si="50"/>
        <v>511340.54</v>
      </c>
      <c r="BB11" s="940" t="e">
        <f t="shared" si="51"/>
        <v>#VALUE!</v>
      </c>
      <c r="BC11" s="116" t="e">
        <f t="shared" si="52"/>
        <v>#VALUE!</v>
      </c>
      <c r="BD11" s="117">
        <f t="shared" si="53"/>
        <v>1556530.85</v>
      </c>
      <c r="BE11" s="114" t="e">
        <f t="shared" si="54"/>
        <v>#VALUE!</v>
      </c>
      <c r="BF11" s="116" t="e">
        <f t="shared" ref="BF11:BG11" si="102">SUM(BC11,AL11)</f>
        <v>#VALUE!</v>
      </c>
      <c r="BG11" s="119">
        <f t="shared" si="102"/>
        <v>4457565.0600000005</v>
      </c>
      <c r="BH11" s="845">
        <f t="shared" si="56"/>
        <v>252197.94</v>
      </c>
      <c r="BI11" s="140" t="e">
        <f t="shared" si="57"/>
        <v>#VALUE!</v>
      </c>
      <c r="BJ11" s="326" t="str">
        <f t="shared" si="58"/>
        <v/>
      </c>
      <c r="BK11" s="333">
        <f t="shared" si="59"/>
        <v>0</v>
      </c>
      <c r="BL11" s="939">
        <f t="shared" si="60"/>
        <v>967114.02</v>
      </c>
      <c r="BM11" s="123" t="e">
        <f t="shared" si="61"/>
        <v>#VALUE!</v>
      </c>
      <c r="BN11" s="123" t="str">
        <f t="shared" si="62"/>
        <v/>
      </c>
      <c r="BO11" s="123">
        <f t="shared" si="63"/>
        <v>620323.18999999994</v>
      </c>
      <c r="BP11" s="332">
        <f t="shared" si="64"/>
        <v>2310629.42</v>
      </c>
      <c r="BQ11" s="140" t="e">
        <f t="shared" si="65"/>
        <v>#VALUE!</v>
      </c>
      <c r="BR11" s="326" t="str">
        <f t="shared" si="66"/>
        <v/>
      </c>
      <c r="BS11" s="333">
        <f t="shared" si="67"/>
        <v>441950.15</v>
      </c>
      <c r="BT11" s="140" t="e">
        <f t="shared" ref="BT11:BV11" si="103">SUM(BQ11,BM11,BI11)</f>
        <v>#VALUE!</v>
      </c>
      <c r="BU11" s="326">
        <f t="shared" si="103"/>
        <v>0</v>
      </c>
      <c r="BV11" s="333">
        <f t="shared" si="103"/>
        <v>1062273.3399999999</v>
      </c>
      <c r="BW11" s="845">
        <f t="shared" si="69"/>
        <v>1180351.98</v>
      </c>
      <c r="BX11" s="140" t="e">
        <f t="shared" si="70"/>
        <v>#VALUE!</v>
      </c>
      <c r="BY11" s="123" t="str">
        <f t="shared" si="71"/>
        <v/>
      </c>
      <c r="BZ11" s="148">
        <f t="shared" si="72"/>
        <v>517821.85</v>
      </c>
      <c r="CA11" s="939">
        <f t="shared" si="73"/>
        <v>991301.95</v>
      </c>
      <c r="CB11" s="941">
        <f t="shared" si="74"/>
        <v>511484.6</v>
      </c>
    </row>
    <row r="12" spans="1:116" ht="15.75" customHeight="1">
      <c r="A12" s="463">
        <f t="shared" si="0"/>
        <v>112012774</v>
      </c>
      <c r="B12" s="501">
        <f t="shared" si="94"/>
        <v>7</v>
      </c>
      <c r="C12" s="699">
        <f t="shared" si="2"/>
        <v>0.1</v>
      </c>
      <c r="D12" s="699">
        <f t="shared" si="3"/>
        <v>0.2</v>
      </c>
      <c r="E12" s="700">
        <f t="shared" si="4"/>
        <v>0</v>
      </c>
      <c r="F12" s="936">
        <f t="shared" si="5"/>
        <v>7</v>
      </c>
      <c r="G12" s="699">
        <f t="shared" si="6"/>
        <v>0.1</v>
      </c>
      <c r="H12" s="699">
        <f t="shared" si="7"/>
        <v>0.2</v>
      </c>
      <c r="I12" s="702">
        <f t="shared" si="8"/>
        <v>0</v>
      </c>
      <c r="J12" s="837">
        <f t="shared" si="9"/>
        <v>62</v>
      </c>
      <c r="K12" s="700">
        <f t="shared" si="10"/>
        <v>0.1</v>
      </c>
      <c r="L12" s="702">
        <f t="shared" si="11"/>
        <v>0.11</v>
      </c>
      <c r="M12" s="703" t="s">
        <v>847</v>
      </c>
      <c r="N12" s="121">
        <f t="shared" si="12"/>
        <v>1278593.6399999999</v>
      </c>
      <c r="O12" s="416">
        <f t="shared" si="13"/>
        <v>2149379.8385219998</v>
      </c>
      <c r="P12" s="113">
        <f t="shared" si="14"/>
        <v>2089431.8999999994</v>
      </c>
      <c r="Q12" s="116">
        <f t="shared" si="15"/>
        <v>2985704.24</v>
      </c>
      <c r="R12" s="117">
        <f t="shared" si="16"/>
        <v>5075136.1399999997</v>
      </c>
      <c r="S12" s="114">
        <f t="shared" si="17"/>
        <v>2925756.3014779999</v>
      </c>
      <c r="T12" s="413">
        <f t="shared" si="18"/>
        <v>2.3612095214821909</v>
      </c>
      <c r="U12" s="100">
        <f t="shared" si="19"/>
        <v>1214728.3</v>
      </c>
      <c r="V12" s="113">
        <f t="shared" si="20"/>
        <v>2199538.9010175001</v>
      </c>
      <c r="W12" s="116">
        <f t="shared" si="21"/>
        <v>2388125.1399999997</v>
      </c>
      <c r="X12" s="116">
        <f t="shared" si="22"/>
        <v>1093760.32</v>
      </c>
      <c r="Y12" s="116">
        <f t="shared" si="23"/>
        <v>3481885.46</v>
      </c>
      <c r="Z12" s="116">
        <f t="shared" si="24"/>
        <v>1282346.5589824999</v>
      </c>
      <c r="AA12" s="413">
        <f t="shared" si="25"/>
        <v>1.5830069922333678</v>
      </c>
      <c r="AB12" s="114">
        <f t="shared" si="26"/>
        <v>2899077.94</v>
      </c>
      <c r="AC12" s="121">
        <f t="shared" si="27"/>
        <v>4856752.7959334999</v>
      </c>
      <c r="AD12" s="113">
        <f t="shared" si="28"/>
        <v>1266607.2299999995</v>
      </c>
      <c r="AE12" s="116">
        <f t="shared" si="29"/>
        <v>2939256.24</v>
      </c>
      <c r="AF12" s="117">
        <f t="shared" si="30"/>
        <v>4205863.47</v>
      </c>
      <c r="AG12" s="114">
        <f t="shared" si="31"/>
        <v>-650889.32593350019</v>
      </c>
      <c r="AH12" s="97">
        <f t="shared" si="32"/>
        <v>0.86598261157568446</v>
      </c>
      <c r="AI12" s="839">
        <f t="shared" si="33"/>
        <v>9205671.5354730003</v>
      </c>
      <c r="AJ12" s="114">
        <f t="shared" si="34"/>
        <v>12089733.08</v>
      </c>
      <c r="AK12" s="116">
        <f t="shared" ref="AK12:AL12" si="104">SUM(AD12,W12,P12)</f>
        <v>5744164.2699999986</v>
      </c>
      <c r="AL12" s="116">
        <f t="shared" si="104"/>
        <v>7018720.8000000007</v>
      </c>
      <c r="AM12" s="116">
        <f t="shared" si="36"/>
        <v>16244770.530000001</v>
      </c>
      <c r="AN12" s="116">
        <f t="shared" si="37"/>
        <v>4155037.4500000011</v>
      </c>
      <c r="AO12" s="938">
        <f t="shared" si="38"/>
        <v>1.3436831419275637</v>
      </c>
      <c r="AP12" s="845">
        <f t="shared" si="39"/>
        <v>592575.76</v>
      </c>
      <c r="AQ12" s="140">
        <f t="shared" si="40"/>
        <v>3407129.5199999996</v>
      </c>
      <c r="AR12" s="123">
        <f t="shared" si="41"/>
        <v>2192441.08</v>
      </c>
      <c r="AS12" s="148">
        <f t="shared" si="42"/>
        <v>5599570.5999999996</v>
      </c>
      <c r="AT12" s="845">
        <f t="shared" si="43"/>
        <v>3087884.72</v>
      </c>
      <c r="AU12" s="140">
        <f t="shared" si="44"/>
        <v>236308.46999999997</v>
      </c>
      <c r="AV12" s="326">
        <f t="shared" si="45"/>
        <v>875215.76</v>
      </c>
      <c r="AW12" s="333">
        <f t="shared" si="46"/>
        <v>1111524.23</v>
      </c>
      <c r="AX12" s="939">
        <f t="shared" si="47"/>
        <v>2635741.44</v>
      </c>
      <c r="AY12" s="123">
        <f t="shared" si="48"/>
        <v>536638.98000000045</v>
      </c>
      <c r="AZ12" s="123">
        <f t="shared" si="49"/>
        <v>3826655.76</v>
      </c>
      <c r="BA12" s="125">
        <f t="shared" si="50"/>
        <v>4363294.74</v>
      </c>
      <c r="BB12" s="940">
        <f t="shared" si="51"/>
        <v>4180076.9699999997</v>
      </c>
      <c r="BC12" s="116">
        <f t="shared" si="52"/>
        <v>6894312.5999999996</v>
      </c>
      <c r="BD12" s="117">
        <f t="shared" si="53"/>
        <v>11074389.57</v>
      </c>
      <c r="BE12" s="114">
        <f t="shared" si="54"/>
        <v>9924241.2399999984</v>
      </c>
      <c r="BF12" s="116">
        <f t="shared" ref="BF12:BG12" si="105">SUM(BC12,AL12)</f>
        <v>13913033.4</v>
      </c>
      <c r="BG12" s="119">
        <f t="shared" si="105"/>
        <v>27319160.100000001</v>
      </c>
      <c r="BH12" s="845">
        <f t="shared" si="56"/>
        <v>1999967.12</v>
      </c>
      <c r="BI12" s="140">
        <f t="shared" si="57"/>
        <v>1085092.27</v>
      </c>
      <c r="BJ12" s="326">
        <f t="shared" si="58"/>
        <v>3697532.72</v>
      </c>
      <c r="BK12" s="333">
        <f t="shared" si="59"/>
        <v>4782624.99</v>
      </c>
      <c r="BL12" s="939">
        <f t="shared" si="60"/>
        <v>3370078.72</v>
      </c>
      <c r="BM12" s="123">
        <f t="shared" si="61"/>
        <v>2343466.29</v>
      </c>
      <c r="BN12" s="123">
        <f t="shared" si="62"/>
        <v>1815958.34</v>
      </c>
      <c r="BO12" s="123">
        <f t="shared" si="63"/>
        <v>4159424.63</v>
      </c>
      <c r="BP12" s="332">
        <f t="shared" si="64"/>
        <v>2500246.9</v>
      </c>
      <c r="BQ12" s="140">
        <f t="shared" si="65"/>
        <v>931083.89999999991</v>
      </c>
      <c r="BR12" s="326">
        <f t="shared" si="66"/>
        <v>3112706.74</v>
      </c>
      <c r="BS12" s="333">
        <f t="shared" si="67"/>
        <v>4043790.64</v>
      </c>
      <c r="BT12" s="140">
        <f t="shared" ref="BT12:BV12" si="106">SUM(BQ12,BM12,BI12)</f>
        <v>4359642.46</v>
      </c>
      <c r="BU12" s="326">
        <f t="shared" si="106"/>
        <v>8626197.8000000007</v>
      </c>
      <c r="BV12" s="333">
        <f t="shared" si="106"/>
        <v>12985840.26</v>
      </c>
      <c r="BW12" s="845">
        <f t="shared" si="69"/>
        <v>3675996.84</v>
      </c>
      <c r="BX12" s="140">
        <f t="shared" si="70"/>
        <v>7427847.2999999989</v>
      </c>
      <c r="BY12" s="123">
        <f t="shared" si="71"/>
        <v>1954757.82</v>
      </c>
      <c r="BZ12" s="148">
        <f t="shared" si="72"/>
        <v>9382605.1199999992</v>
      </c>
      <c r="CA12" s="939">
        <f t="shared" si="73"/>
        <v>4621544.67</v>
      </c>
      <c r="CB12" s="941">
        <f t="shared" si="74"/>
        <v>3792191.56</v>
      </c>
    </row>
    <row r="13" spans="1:116" ht="15.75" customHeight="1">
      <c r="A13" s="463">
        <f t="shared" si="0"/>
        <v>112014244</v>
      </c>
      <c r="B13" s="501">
        <f t="shared" si="94"/>
        <v>7</v>
      </c>
      <c r="C13" s="699">
        <f t="shared" si="2"/>
        <v>0.1</v>
      </c>
      <c r="D13" s="558">
        <f t="shared" si="3"/>
        <v>0.2</v>
      </c>
      <c r="E13" s="715">
        <f t="shared" si="4"/>
        <v>0</v>
      </c>
      <c r="F13" s="936">
        <f t="shared" si="5"/>
        <v>7</v>
      </c>
      <c r="G13" s="699">
        <f t="shared" si="6"/>
        <v>0.1</v>
      </c>
      <c r="H13" s="699">
        <f t="shared" si="7"/>
        <v>0.2</v>
      </c>
      <c r="I13" s="702">
        <f t="shared" si="8"/>
        <v>0</v>
      </c>
      <c r="J13" s="837">
        <f t="shared" si="9"/>
        <v>62</v>
      </c>
      <c r="K13" s="700">
        <f t="shared" si="10"/>
        <v>0.1</v>
      </c>
      <c r="L13" s="702">
        <f t="shared" si="11"/>
        <v>0.11</v>
      </c>
      <c r="M13" s="423" t="s">
        <v>848</v>
      </c>
      <c r="N13" s="121">
        <f t="shared" si="12"/>
        <v>754197.82</v>
      </c>
      <c r="O13" s="416">
        <f t="shared" si="13"/>
        <v>1267844.2453110002</v>
      </c>
      <c r="P13" s="113">
        <f t="shared" si="14"/>
        <v>1767236</v>
      </c>
      <c r="Q13" s="116">
        <f t="shared" si="15"/>
        <v>98214.77</v>
      </c>
      <c r="R13" s="117">
        <f t="shared" si="16"/>
        <v>1865450.77</v>
      </c>
      <c r="S13" s="114">
        <f t="shared" si="17"/>
        <v>597606.52468899987</v>
      </c>
      <c r="T13" s="413">
        <f t="shared" si="18"/>
        <v>1.4713564200801401</v>
      </c>
      <c r="U13" s="100">
        <f t="shared" si="19"/>
        <v>588675.17000000004</v>
      </c>
      <c r="V13" s="113">
        <f t="shared" si="20"/>
        <v>1065928.84719825</v>
      </c>
      <c r="W13" s="116">
        <f t="shared" si="21"/>
        <v>904255.7</v>
      </c>
      <c r="X13" s="116">
        <f t="shared" si="22"/>
        <v>85161.62</v>
      </c>
      <c r="Y13" s="116">
        <f t="shared" si="23"/>
        <v>989417.32</v>
      </c>
      <c r="Z13" s="116">
        <f t="shared" si="24"/>
        <v>-76511.527198250056</v>
      </c>
      <c r="AA13" s="413">
        <f t="shared" si="25"/>
        <v>0.92822079316142214</v>
      </c>
      <c r="AB13" s="114">
        <f t="shared" si="26"/>
        <v>579244.59</v>
      </c>
      <c r="AC13" s="121">
        <f t="shared" si="27"/>
        <v>970393.98051224987</v>
      </c>
      <c r="AD13" s="113">
        <f t="shared" si="28"/>
        <v>1905582.83</v>
      </c>
      <c r="AE13" s="116">
        <f t="shared" si="29"/>
        <v>38984.959999999999</v>
      </c>
      <c r="AF13" s="117">
        <f t="shared" si="30"/>
        <v>1944567.79</v>
      </c>
      <c r="AG13" s="114">
        <f t="shared" si="31"/>
        <v>974173.80948775017</v>
      </c>
      <c r="AH13" s="97">
        <f t="shared" si="32"/>
        <v>2.0038951488275978</v>
      </c>
      <c r="AI13" s="839">
        <f t="shared" si="33"/>
        <v>3304167.0730214999</v>
      </c>
      <c r="AJ13" s="114">
        <f t="shared" si="34"/>
        <v>2705945.6</v>
      </c>
      <c r="AK13" s="116">
        <f t="shared" ref="AK13:AL13" si="107">SUM(AD13,W13,P13)</f>
        <v>4577074.53</v>
      </c>
      <c r="AL13" s="116">
        <f t="shared" si="107"/>
        <v>222361.34999999998</v>
      </c>
      <c r="AM13" s="116">
        <f t="shared" si="36"/>
        <v>5788853.1999999993</v>
      </c>
      <c r="AN13" s="116">
        <f t="shared" si="37"/>
        <v>3082907.5999999992</v>
      </c>
      <c r="AO13" s="938">
        <f t="shared" si="38"/>
        <v>2.1393087872867804</v>
      </c>
      <c r="AP13" s="845">
        <f t="shared" si="39"/>
        <v>1878065.03</v>
      </c>
      <c r="AQ13" s="140">
        <f t="shared" si="40"/>
        <v>1005453.17</v>
      </c>
      <c r="AR13" s="123">
        <f t="shared" si="41"/>
        <v>62390.400000000001</v>
      </c>
      <c r="AS13" s="148">
        <f t="shared" si="42"/>
        <v>1067843.57</v>
      </c>
      <c r="AT13" s="845">
        <f t="shared" si="43"/>
        <v>622133.68000000005</v>
      </c>
      <c r="AU13" s="140">
        <f t="shared" si="44"/>
        <v>2218024.63</v>
      </c>
      <c r="AV13" s="326">
        <f t="shared" si="45"/>
        <v>0</v>
      </c>
      <c r="AW13" s="333">
        <f t="shared" si="46"/>
        <v>2218024.63</v>
      </c>
      <c r="AX13" s="939">
        <f t="shared" si="47"/>
        <v>313572.02</v>
      </c>
      <c r="AY13" s="123">
        <f t="shared" si="48"/>
        <v>1435083.3800000001</v>
      </c>
      <c r="AZ13" s="123">
        <f t="shared" si="49"/>
        <v>321225.44</v>
      </c>
      <c r="BA13" s="125">
        <f t="shared" si="50"/>
        <v>1756308.82</v>
      </c>
      <c r="BB13" s="940">
        <f t="shared" si="51"/>
        <v>4658561.18</v>
      </c>
      <c r="BC13" s="116">
        <f t="shared" si="52"/>
        <v>383615.84</v>
      </c>
      <c r="BD13" s="117">
        <f t="shared" si="53"/>
        <v>5042177.0200000005</v>
      </c>
      <c r="BE13" s="114">
        <f t="shared" si="54"/>
        <v>9235635.7100000009</v>
      </c>
      <c r="BF13" s="116">
        <f t="shared" ref="BF13:BG13" si="108">SUM(BC13,AL13)</f>
        <v>605977.18999999994</v>
      </c>
      <c r="BG13" s="119">
        <f t="shared" si="108"/>
        <v>10831030.219999999</v>
      </c>
      <c r="BH13" s="845">
        <f t="shared" si="56"/>
        <v>1346109.26</v>
      </c>
      <c r="BI13" s="140">
        <f t="shared" si="57"/>
        <v>381030.42</v>
      </c>
      <c r="BJ13" s="326">
        <f t="shared" si="58"/>
        <v>102943.2</v>
      </c>
      <c r="BK13" s="333">
        <f t="shared" si="59"/>
        <v>483973.62</v>
      </c>
      <c r="BL13" s="939">
        <f t="shared" si="60"/>
        <v>1125305.07</v>
      </c>
      <c r="BM13" s="123">
        <f t="shared" si="61"/>
        <v>744375.31</v>
      </c>
      <c r="BN13" s="123">
        <f t="shared" si="62"/>
        <v>0</v>
      </c>
      <c r="BO13" s="123">
        <f t="shared" si="63"/>
        <v>744375.31</v>
      </c>
      <c r="BP13" s="332">
        <f t="shared" si="64"/>
        <v>1110407.1100000001</v>
      </c>
      <c r="BQ13" s="140">
        <f t="shared" si="65"/>
        <v>1730541.59</v>
      </c>
      <c r="BR13" s="326">
        <f t="shared" si="66"/>
        <v>0</v>
      </c>
      <c r="BS13" s="333">
        <f t="shared" si="67"/>
        <v>1730541.59</v>
      </c>
      <c r="BT13" s="140">
        <f t="shared" ref="BT13:BV13" si="109">SUM(BQ13,BM13,BI13)</f>
        <v>2855947.3200000003</v>
      </c>
      <c r="BU13" s="326">
        <f t="shared" si="109"/>
        <v>102943.2</v>
      </c>
      <c r="BV13" s="333">
        <f t="shared" si="109"/>
        <v>2958890.5200000005</v>
      </c>
      <c r="BW13" s="845">
        <f t="shared" si="69"/>
        <v>1271700.78</v>
      </c>
      <c r="BX13" s="140">
        <f t="shared" si="70"/>
        <v>1620075.35</v>
      </c>
      <c r="BY13" s="123">
        <f t="shared" si="71"/>
        <v>67381.759999999995</v>
      </c>
      <c r="BZ13" s="148">
        <f t="shared" si="72"/>
        <v>1687457.11</v>
      </c>
      <c r="CA13" s="939">
        <f t="shared" si="73"/>
        <v>288472.05</v>
      </c>
      <c r="CB13" s="941">
        <f t="shared" si="74"/>
        <v>1145772.77</v>
      </c>
    </row>
    <row r="14" spans="1:116" ht="15.75" customHeight="1">
      <c r="A14" s="463">
        <f t="shared" si="0"/>
        <v>112013166</v>
      </c>
      <c r="B14" s="501">
        <f t="shared" si="94"/>
        <v>7</v>
      </c>
      <c r="C14" s="699">
        <f t="shared" si="2"/>
        <v>0.1</v>
      </c>
      <c r="D14" s="558">
        <f t="shared" si="3"/>
        <v>0.2</v>
      </c>
      <c r="E14" s="715">
        <f t="shared" si="4"/>
        <v>0</v>
      </c>
      <c r="F14" s="936">
        <f t="shared" si="5"/>
        <v>7</v>
      </c>
      <c r="G14" s="699">
        <f t="shared" si="6"/>
        <v>0.1</v>
      </c>
      <c r="H14" s="699">
        <f t="shared" si="7"/>
        <v>0.2</v>
      </c>
      <c r="I14" s="702">
        <f t="shared" si="8"/>
        <v>0</v>
      </c>
      <c r="J14" s="837">
        <f t="shared" si="9"/>
        <v>62</v>
      </c>
      <c r="K14" s="700">
        <f t="shared" si="10"/>
        <v>0.1</v>
      </c>
      <c r="L14" s="702">
        <f t="shared" si="11"/>
        <v>0.11</v>
      </c>
      <c r="M14" s="423" t="s">
        <v>849</v>
      </c>
      <c r="N14" s="121">
        <f t="shared" si="12"/>
        <v>441483.6</v>
      </c>
      <c r="O14" s="416">
        <f t="shared" si="13"/>
        <v>742156.00578000001</v>
      </c>
      <c r="P14" s="113">
        <f t="shared" si="14"/>
        <v>1371513.8900000001</v>
      </c>
      <c r="Q14" s="116">
        <f t="shared" si="15"/>
        <v>277119.59999999998</v>
      </c>
      <c r="R14" s="117">
        <f t="shared" si="16"/>
        <v>1648633.49</v>
      </c>
      <c r="S14" s="114">
        <f t="shared" si="17"/>
        <v>906477.48421999998</v>
      </c>
      <c r="T14" s="413">
        <f t="shared" si="18"/>
        <v>2.2214109663739761</v>
      </c>
      <c r="U14" s="100">
        <f t="shared" si="19"/>
        <v>241201.38</v>
      </c>
      <c r="V14" s="113">
        <f t="shared" si="20"/>
        <v>436749.3688005</v>
      </c>
      <c r="W14" s="116">
        <f t="shared" si="21"/>
        <v>265588.78999999998</v>
      </c>
      <c r="X14" s="116">
        <f t="shared" si="22"/>
        <v>73632.639999999999</v>
      </c>
      <c r="Y14" s="116">
        <f t="shared" si="23"/>
        <v>339221.43</v>
      </c>
      <c r="Z14" s="116">
        <f t="shared" si="24"/>
        <v>-97527.938800500007</v>
      </c>
      <c r="AA14" s="413">
        <f t="shared" si="25"/>
        <v>0.77669586777342503</v>
      </c>
      <c r="AB14" s="114">
        <f t="shared" si="26"/>
        <v>368000.78</v>
      </c>
      <c r="AC14" s="121">
        <f t="shared" si="27"/>
        <v>616502.50671450014</v>
      </c>
      <c r="AD14" s="113">
        <f t="shared" si="28"/>
        <v>481938.12</v>
      </c>
      <c r="AE14" s="116">
        <f t="shared" si="29"/>
        <v>75771.360000000001</v>
      </c>
      <c r="AF14" s="117">
        <f t="shared" si="30"/>
        <v>557709.48</v>
      </c>
      <c r="AG14" s="114">
        <f t="shared" si="31"/>
        <v>-58793.026714500156</v>
      </c>
      <c r="AH14" s="97">
        <f t="shared" si="32"/>
        <v>0.90463456989360314</v>
      </c>
      <c r="AI14" s="839">
        <f t="shared" si="33"/>
        <v>1795407.8812950002</v>
      </c>
      <c r="AJ14" s="114">
        <f t="shared" si="34"/>
        <v>3094152.66</v>
      </c>
      <c r="AK14" s="116">
        <f t="shared" ref="AK14:AL14" si="110">SUM(AD14,W14,P14)</f>
        <v>2119040.7999999998</v>
      </c>
      <c r="AL14" s="116">
        <f t="shared" si="110"/>
        <v>426523.6</v>
      </c>
      <c r="AM14" s="116">
        <f t="shared" si="36"/>
        <v>2884785.83</v>
      </c>
      <c r="AN14" s="116">
        <f t="shared" si="37"/>
        <v>-209366.83000000007</v>
      </c>
      <c r="AO14" s="938">
        <f t="shared" si="38"/>
        <v>0.93233467995725849</v>
      </c>
      <c r="AP14" s="845">
        <f t="shared" si="39"/>
        <v>544077.06000000006</v>
      </c>
      <c r="AQ14" s="140">
        <f t="shared" si="40"/>
        <v>489706.82999999996</v>
      </c>
      <c r="AR14" s="123">
        <f t="shared" si="41"/>
        <v>218283.36</v>
      </c>
      <c r="AS14" s="148">
        <f t="shared" si="42"/>
        <v>707990.19</v>
      </c>
      <c r="AT14" s="845">
        <f t="shared" si="43"/>
        <v>152366.82</v>
      </c>
      <c r="AU14" s="140">
        <f t="shared" si="44"/>
        <v>1075178.04</v>
      </c>
      <c r="AV14" s="326">
        <f t="shared" si="45"/>
        <v>151808</v>
      </c>
      <c r="AW14" s="333">
        <f t="shared" si="46"/>
        <v>1226986.04</v>
      </c>
      <c r="AX14" s="939">
        <f t="shared" si="47"/>
        <v>512720.03</v>
      </c>
      <c r="AY14" s="123">
        <f t="shared" si="48"/>
        <v>179899.74</v>
      </c>
      <c r="AZ14" s="123">
        <f t="shared" si="49"/>
        <v>190333.68</v>
      </c>
      <c r="BA14" s="125">
        <f t="shared" si="50"/>
        <v>370233.42</v>
      </c>
      <c r="BB14" s="940">
        <f t="shared" si="51"/>
        <v>1744784.6099999999</v>
      </c>
      <c r="BC14" s="116">
        <f t="shared" si="52"/>
        <v>560425.04</v>
      </c>
      <c r="BD14" s="117">
        <f t="shared" si="53"/>
        <v>2305209.65</v>
      </c>
      <c r="BE14" s="114">
        <f t="shared" si="54"/>
        <v>3863825.4099999997</v>
      </c>
      <c r="BF14" s="116">
        <f t="shared" ref="BF14:BG14" si="111">SUM(BC14,AL14)</f>
        <v>986948.64</v>
      </c>
      <c r="BG14" s="119">
        <f t="shared" si="111"/>
        <v>5189995.4800000004</v>
      </c>
      <c r="BH14" s="845">
        <f t="shared" si="56"/>
        <v>697302.56</v>
      </c>
      <c r="BI14" s="140">
        <f t="shared" si="57"/>
        <v>535627.73</v>
      </c>
      <c r="BJ14" s="326">
        <f t="shared" si="58"/>
        <v>0</v>
      </c>
      <c r="BK14" s="333">
        <f t="shared" si="59"/>
        <v>535627.73</v>
      </c>
      <c r="BL14" s="939">
        <f t="shared" si="60"/>
        <v>353559.38</v>
      </c>
      <c r="BM14" s="123">
        <f t="shared" si="61"/>
        <v>806368.46000000008</v>
      </c>
      <c r="BN14" s="123">
        <f t="shared" si="62"/>
        <v>709948.84</v>
      </c>
      <c r="BO14" s="123">
        <f t="shared" si="63"/>
        <v>1516317.3</v>
      </c>
      <c r="BP14" s="332">
        <f t="shared" si="64"/>
        <v>278457.75</v>
      </c>
      <c r="BQ14" s="140">
        <f t="shared" si="65"/>
        <v>863257.37000000011</v>
      </c>
      <c r="BR14" s="326">
        <f t="shared" si="66"/>
        <v>323251.44</v>
      </c>
      <c r="BS14" s="333">
        <f t="shared" si="67"/>
        <v>1186508.81</v>
      </c>
      <c r="BT14" s="140">
        <f t="shared" ref="BT14:BV14" si="112">SUM(BQ14,BM14,BI14)</f>
        <v>2205253.56</v>
      </c>
      <c r="BU14" s="326">
        <f t="shared" si="112"/>
        <v>1033200.28</v>
      </c>
      <c r="BV14" s="333">
        <f t="shared" si="112"/>
        <v>3238453.8400000003</v>
      </c>
      <c r="BW14" s="845">
        <f t="shared" si="69"/>
        <v>1404409.18</v>
      </c>
      <c r="BX14" s="140">
        <f t="shared" si="70"/>
        <v>1605478.59</v>
      </c>
      <c r="BY14" s="123">
        <f t="shared" si="71"/>
        <v>320531.68</v>
      </c>
      <c r="BZ14" s="148">
        <f t="shared" si="72"/>
        <v>1926010.27</v>
      </c>
      <c r="CA14" s="939">
        <f t="shared" si="73"/>
        <v>837684.22</v>
      </c>
      <c r="CB14" s="941">
        <f t="shared" si="74"/>
        <v>852059.25</v>
      </c>
      <c r="CF14" s="231" t="s">
        <v>78</v>
      </c>
      <c r="CG14" s="232"/>
      <c r="CH14" s="232"/>
    </row>
    <row r="15" spans="1:116" ht="15.75" customHeight="1">
      <c r="A15" s="463">
        <f t="shared" si="0"/>
        <v>112013796</v>
      </c>
      <c r="B15" s="501">
        <f t="shared" si="94"/>
        <v>7</v>
      </c>
      <c r="C15" s="699">
        <f t="shared" si="2"/>
        <v>0.1</v>
      </c>
      <c r="D15" s="699">
        <f t="shared" si="3"/>
        <v>0.2</v>
      </c>
      <c r="E15" s="700">
        <f t="shared" si="4"/>
        <v>0</v>
      </c>
      <c r="F15" s="936">
        <f t="shared" si="5"/>
        <v>7</v>
      </c>
      <c r="G15" s="699">
        <f t="shared" si="6"/>
        <v>0.1</v>
      </c>
      <c r="H15" s="699">
        <f t="shared" si="7"/>
        <v>0.2</v>
      </c>
      <c r="I15" s="702">
        <f t="shared" si="8"/>
        <v>0</v>
      </c>
      <c r="J15" s="837">
        <f t="shared" si="9"/>
        <v>62</v>
      </c>
      <c r="K15" s="700">
        <f t="shared" si="10"/>
        <v>0.1</v>
      </c>
      <c r="L15" s="702">
        <f t="shared" si="11"/>
        <v>0.11</v>
      </c>
      <c r="M15" s="703" t="s">
        <v>850</v>
      </c>
      <c r="N15" s="121">
        <f t="shared" si="12"/>
        <v>0</v>
      </c>
      <c r="O15" s="416">
        <f t="shared" si="13"/>
        <v>0</v>
      </c>
      <c r="P15" s="113">
        <f t="shared" si="14"/>
        <v>339063.25000000006</v>
      </c>
      <c r="Q15" s="116">
        <f t="shared" si="15"/>
        <v>362460.56</v>
      </c>
      <c r="R15" s="117">
        <f t="shared" si="16"/>
        <v>701523.81</v>
      </c>
      <c r="S15" s="114">
        <f t="shared" si="17"/>
        <v>701523.81</v>
      </c>
      <c r="T15" s="413" t="str">
        <f t="shared" si="18"/>
        <v/>
      </c>
      <c r="U15" s="100">
        <f t="shared" si="19"/>
        <v>0</v>
      </c>
      <c r="V15" s="113">
        <f t="shared" si="20"/>
        <v>0</v>
      </c>
      <c r="W15" s="116">
        <f t="shared" si="21"/>
        <v>0</v>
      </c>
      <c r="X15" s="116">
        <f t="shared" si="22"/>
        <v>139141.12</v>
      </c>
      <c r="Y15" s="116">
        <f t="shared" si="23"/>
        <v>139141.12</v>
      </c>
      <c r="Z15" s="116">
        <f t="shared" si="24"/>
        <v>139141.12</v>
      </c>
      <c r="AA15" s="413" t="e">
        <f t="shared" si="25"/>
        <v>#DIV/0!</v>
      </c>
      <c r="AB15" s="114">
        <f t="shared" si="26"/>
        <v>0</v>
      </c>
      <c r="AC15" s="121">
        <f t="shared" si="27"/>
        <v>0</v>
      </c>
      <c r="AD15" s="113">
        <f t="shared" si="28"/>
        <v>294967.08999999997</v>
      </c>
      <c r="AE15" s="116">
        <f t="shared" si="29"/>
        <v>292313.59999999998</v>
      </c>
      <c r="AF15" s="117">
        <f t="shared" si="30"/>
        <v>587280.68999999994</v>
      </c>
      <c r="AG15" s="114">
        <f t="shared" si="31"/>
        <v>587280.68999999994</v>
      </c>
      <c r="AH15" s="97" t="e">
        <f t="shared" si="32"/>
        <v>#DIV/0!</v>
      </c>
      <c r="AI15" s="839">
        <f t="shared" si="33"/>
        <v>0</v>
      </c>
      <c r="AJ15" s="114">
        <f t="shared" si="34"/>
        <v>1882662.78</v>
      </c>
      <c r="AK15" s="116">
        <f t="shared" ref="AK15:AL15" si="113">SUM(AD15,W15,P15)</f>
        <v>634030.34000000008</v>
      </c>
      <c r="AL15" s="116">
        <f t="shared" si="113"/>
        <v>793915.28</v>
      </c>
      <c r="AM15" s="116">
        <f t="shared" si="36"/>
        <v>1567086.74</v>
      </c>
      <c r="AN15" s="116">
        <f t="shared" si="37"/>
        <v>-315576.04000000004</v>
      </c>
      <c r="AO15" s="938">
        <f t="shared" si="38"/>
        <v>0.83237781967517299</v>
      </c>
      <c r="AP15" s="845">
        <f t="shared" si="39"/>
        <v>0</v>
      </c>
      <c r="AQ15" s="140">
        <f t="shared" si="40"/>
        <v>0</v>
      </c>
      <c r="AR15" s="123">
        <f t="shared" si="41"/>
        <v>324108.64</v>
      </c>
      <c r="AS15" s="148">
        <f t="shared" si="42"/>
        <v>324108.64</v>
      </c>
      <c r="AT15" s="845">
        <f t="shared" si="43"/>
        <v>0</v>
      </c>
      <c r="AU15" s="140">
        <f t="shared" si="44"/>
        <v>98417.25</v>
      </c>
      <c r="AV15" s="326">
        <f t="shared" si="45"/>
        <v>415925.2</v>
      </c>
      <c r="AW15" s="333">
        <f t="shared" si="46"/>
        <v>514342.45</v>
      </c>
      <c r="AX15" s="939">
        <f t="shared" si="47"/>
        <v>0</v>
      </c>
      <c r="AY15" s="123">
        <f t="shared" si="48"/>
        <v>86677.650000000023</v>
      </c>
      <c r="AZ15" s="123">
        <f t="shared" si="49"/>
        <v>347442.72</v>
      </c>
      <c r="BA15" s="125">
        <f t="shared" si="50"/>
        <v>434120.37</v>
      </c>
      <c r="BB15" s="940">
        <f t="shared" si="51"/>
        <v>185094.90000000002</v>
      </c>
      <c r="BC15" s="116">
        <f t="shared" si="52"/>
        <v>1087476.56</v>
      </c>
      <c r="BD15" s="117">
        <f t="shared" si="53"/>
        <v>1272571.46</v>
      </c>
      <c r="BE15" s="114">
        <f t="shared" si="54"/>
        <v>819125.24000000011</v>
      </c>
      <c r="BF15" s="116">
        <f t="shared" ref="BF15:BG15" si="114">SUM(BC15,AL15)</f>
        <v>1881391.84</v>
      </c>
      <c r="BG15" s="119">
        <f t="shared" si="114"/>
        <v>2839658.2</v>
      </c>
      <c r="BH15" s="845">
        <f t="shared" si="56"/>
        <v>0</v>
      </c>
      <c r="BI15" s="140">
        <f t="shared" si="57"/>
        <v>0</v>
      </c>
      <c r="BJ15" s="326">
        <f t="shared" si="58"/>
        <v>509182.48</v>
      </c>
      <c r="BK15" s="333">
        <f t="shared" si="59"/>
        <v>509182.48</v>
      </c>
      <c r="BL15" s="939">
        <f t="shared" si="60"/>
        <v>0</v>
      </c>
      <c r="BM15" s="123">
        <f t="shared" si="61"/>
        <v>0</v>
      </c>
      <c r="BN15" s="123">
        <f t="shared" si="62"/>
        <v>453281.92</v>
      </c>
      <c r="BO15" s="123">
        <f t="shared" si="63"/>
        <v>453281.92</v>
      </c>
      <c r="BP15" s="332">
        <f t="shared" si="64"/>
        <v>0</v>
      </c>
      <c r="BQ15" s="140">
        <f t="shared" si="65"/>
        <v>0</v>
      </c>
      <c r="BR15" s="326">
        <f t="shared" si="66"/>
        <v>431551.44</v>
      </c>
      <c r="BS15" s="333">
        <f t="shared" si="67"/>
        <v>431551.44</v>
      </c>
      <c r="BT15" s="140">
        <f t="shared" ref="BT15:BV15" si="115">SUM(BQ15,BM15,BI15)</f>
        <v>0</v>
      </c>
      <c r="BU15" s="326">
        <f t="shared" si="115"/>
        <v>1394015.8399999999</v>
      </c>
      <c r="BV15" s="333">
        <f t="shared" si="115"/>
        <v>1394015.8399999999</v>
      </c>
      <c r="BW15" s="845">
        <f t="shared" si="69"/>
        <v>446324.68</v>
      </c>
      <c r="BX15" s="140">
        <f t="shared" si="70"/>
        <v>85191.299999999988</v>
      </c>
      <c r="BY15" s="123">
        <f t="shared" si="71"/>
        <v>493327.56</v>
      </c>
      <c r="BZ15" s="148">
        <f t="shared" si="72"/>
        <v>578518.86</v>
      </c>
      <c r="CA15" s="939">
        <f t="shared" si="73"/>
        <v>524483.59</v>
      </c>
      <c r="CB15" s="941">
        <f t="shared" si="74"/>
        <v>911854.51</v>
      </c>
      <c r="CF15" s="231" t="s">
        <v>80</v>
      </c>
      <c r="CG15" s="232"/>
      <c r="CH15" s="232"/>
    </row>
    <row r="16" spans="1:116" ht="15.75" customHeight="1">
      <c r="A16" s="463">
        <f t="shared" si="0"/>
        <v>112014033</v>
      </c>
      <c r="B16" s="501">
        <f t="shared" si="94"/>
        <v>7</v>
      </c>
      <c r="C16" s="699">
        <f t="shared" si="2"/>
        <v>0.1</v>
      </c>
      <c r="D16" s="558">
        <f t="shared" si="3"/>
        <v>0.2</v>
      </c>
      <c r="E16" s="715">
        <f t="shared" si="4"/>
        <v>0</v>
      </c>
      <c r="F16" s="936">
        <f t="shared" si="5"/>
        <v>7</v>
      </c>
      <c r="G16" s="699">
        <f t="shared" si="6"/>
        <v>0.1</v>
      </c>
      <c r="H16" s="699">
        <f t="shared" si="7"/>
        <v>0.2</v>
      </c>
      <c r="I16" s="702">
        <f t="shared" si="8"/>
        <v>0</v>
      </c>
      <c r="J16" s="837">
        <f t="shared" si="9"/>
        <v>62</v>
      </c>
      <c r="K16" s="700">
        <f t="shared" si="10"/>
        <v>0.1</v>
      </c>
      <c r="L16" s="702">
        <f t="shared" si="11"/>
        <v>0.11</v>
      </c>
      <c r="M16" s="423" t="s">
        <v>851</v>
      </c>
      <c r="N16" s="121">
        <f t="shared" si="12"/>
        <v>732077.24</v>
      </c>
      <c r="O16" s="416">
        <f t="shared" si="13"/>
        <v>1230658.4443020001</v>
      </c>
      <c r="P16" s="113">
        <f t="shared" si="14"/>
        <v>128258.97</v>
      </c>
      <c r="Q16" s="116">
        <f t="shared" si="15"/>
        <v>152401.92000000001</v>
      </c>
      <c r="R16" s="117">
        <f t="shared" si="16"/>
        <v>280660.89</v>
      </c>
      <c r="S16" s="114">
        <f t="shared" si="17"/>
        <v>-949997.55430200009</v>
      </c>
      <c r="T16" s="413">
        <f t="shared" si="18"/>
        <v>0.22805750149399423</v>
      </c>
      <c r="U16" s="100">
        <f t="shared" si="19"/>
        <v>591667.86</v>
      </c>
      <c r="V16" s="113">
        <f t="shared" si="20"/>
        <v>1071347.7857985001</v>
      </c>
      <c r="W16" s="116">
        <f t="shared" si="21"/>
        <v>338030.05999999994</v>
      </c>
      <c r="X16" s="116">
        <f t="shared" si="22"/>
        <v>809838.4</v>
      </c>
      <c r="Y16" s="116">
        <f t="shared" si="23"/>
        <v>1147868.46</v>
      </c>
      <c r="Z16" s="116">
        <f t="shared" si="24"/>
        <v>76520.674201499904</v>
      </c>
      <c r="AA16" s="413">
        <f t="shared" si="25"/>
        <v>1.0714246813367587</v>
      </c>
      <c r="AB16" s="114">
        <f t="shared" si="26"/>
        <v>129281.45</v>
      </c>
      <c r="AC16" s="121">
        <f t="shared" si="27"/>
        <v>216581.98114875</v>
      </c>
      <c r="AD16" s="113">
        <f t="shared" si="28"/>
        <v>739154.27</v>
      </c>
      <c r="AE16" s="116">
        <f t="shared" si="29"/>
        <v>177699.26</v>
      </c>
      <c r="AF16" s="117">
        <f t="shared" si="30"/>
        <v>916853.53</v>
      </c>
      <c r="AG16" s="114">
        <f t="shared" si="31"/>
        <v>700271.54885124997</v>
      </c>
      <c r="AH16" s="97">
        <f t="shared" si="32"/>
        <v>4.2332862832679448</v>
      </c>
      <c r="AI16" s="839">
        <f t="shared" si="33"/>
        <v>2518588.2112492505</v>
      </c>
      <c r="AJ16" s="114">
        <f t="shared" si="34"/>
        <v>2671665.98</v>
      </c>
      <c r="AK16" s="116">
        <f t="shared" ref="AK16:AL16" si="116">SUM(AD16,W16,P16)</f>
        <v>1205443.3</v>
      </c>
      <c r="AL16" s="116">
        <f t="shared" si="116"/>
        <v>1139939.58</v>
      </c>
      <c r="AM16" s="116">
        <f t="shared" si="36"/>
        <v>3493251.3400000003</v>
      </c>
      <c r="AN16" s="116">
        <f t="shared" si="37"/>
        <v>821585.36000000034</v>
      </c>
      <c r="AO16" s="938">
        <f t="shared" si="38"/>
        <v>1.3075179929491036</v>
      </c>
      <c r="AP16" s="845">
        <f t="shared" si="39"/>
        <v>490734.37</v>
      </c>
      <c r="AQ16" s="140">
        <f t="shared" si="40"/>
        <v>241587.32999999996</v>
      </c>
      <c r="AR16" s="123">
        <f t="shared" si="41"/>
        <v>308893.76</v>
      </c>
      <c r="AS16" s="148">
        <f t="shared" si="42"/>
        <v>550481.09</v>
      </c>
      <c r="AT16" s="845">
        <f t="shared" si="43"/>
        <v>378681.54</v>
      </c>
      <c r="AU16" s="140">
        <f t="shared" si="44"/>
        <v>433343.48999999993</v>
      </c>
      <c r="AV16" s="326">
        <f t="shared" si="45"/>
        <v>264653.45</v>
      </c>
      <c r="AW16" s="333">
        <f t="shared" si="46"/>
        <v>697996.94</v>
      </c>
      <c r="AX16" s="939">
        <f t="shared" si="47"/>
        <v>429783.88</v>
      </c>
      <c r="AY16" s="123">
        <f t="shared" si="48"/>
        <v>347797.36000000004</v>
      </c>
      <c r="AZ16" s="123">
        <f t="shared" si="49"/>
        <v>515679.44</v>
      </c>
      <c r="BA16" s="125">
        <f t="shared" si="50"/>
        <v>863476.8</v>
      </c>
      <c r="BB16" s="940">
        <f t="shared" si="51"/>
        <v>1022728.1799999999</v>
      </c>
      <c r="BC16" s="116">
        <f t="shared" si="52"/>
        <v>1089226.6499999999</v>
      </c>
      <c r="BD16" s="117">
        <f t="shared" si="53"/>
        <v>2111954.83</v>
      </c>
      <c r="BE16" s="114">
        <f t="shared" si="54"/>
        <v>2228171.48</v>
      </c>
      <c r="BF16" s="116">
        <f t="shared" ref="BF16:BG16" si="117">SUM(BC16,AL16)</f>
        <v>2229166.23</v>
      </c>
      <c r="BG16" s="119">
        <f t="shared" si="117"/>
        <v>5605206.1699999999</v>
      </c>
      <c r="BH16" s="845">
        <f t="shared" si="56"/>
        <v>548376.05000000005</v>
      </c>
      <c r="BI16" s="140">
        <f t="shared" si="57"/>
        <v>88033.75</v>
      </c>
      <c r="BJ16" s="326">
        <f t="shared" si="58"/>
        <v>415537.41</v>
      </c>
      <c r="BK16" s="333">
        <f t="shared" si="59"/>
        <v>503571.16</v>
      </c>
      <c r="BL16" s="939">
        <f t="shared" si="60"/>
        <v>562861.25</v>
      </c>
      <c r="BM16" s="123">
        <f t="shared" si="61"/>
        <v>335119.57999999996</v>
      </c>
      <c r="BN16" s="123">
        <f t="shared" si="62"/>
        <v>552056.86</v>
      </c>
      <c r="BO16" s="123">
        <f t="shared" si="63"/>
        <v>887176.44</v>
      </c>
      <c r="BP16" s="332">
        <f t="shared" si="64"/>
        <v>713826.7</v>
      </c>
      <c r="BQ16" s="140">
        <f t="shared" si="65"/>
        <v>945049.43</v>
      </c>
      <c r="BR16" s="326">
        <f t="shared" si="66"/>
        <v>340279.15</v>
      </c>
      <c r="BS16" s="333">
        <f t="shared" si="67"/>
        <v>1285328.58</v>
      </c>
      <c r="BT16" s="140">
        <f t="shared" ref="BT16:BV16" si="118">SUM(BQ16,BM16,BI16)</f>
        <v>1368202.76</v>
      </c>
      <c r="BU16" s="326">
        <f t="shared" si="118"/>
        <v>1307873.42</v>
      </c>
      <c r="BV16" s="333">
        <f t="shared" si="118"/>
        <v>2676076.1800000002</v>
      </c>
      <c r="BW16" s="845">
        <f t="shared" si="69"/>
        <v>1158701.74</v>
      </c>
      <c r="BX16" s="140">
        <f t="shared" si="70"/>
        <v>1081330.7200000002</v>
      </c>
      <c r="BY16" s="123">
        <f t="shared" si="71"/>
        <v>172435.13</v>
      </c>
      <c r="BZ16" s="148">
        <f t="shared" si="72"/>
        <v>1253765.8500000001</v>
      </c>
      <c r="CA16" s="939">
        <f t="shared" si="73"/>
        <v>620278.5</v>
      </c>
      <c r="CB16" s="941">
        <f t="shared" si="74"/>
        <v>892685.73</v>
      </c>
      <c r="CF16" s="231" t="s">
        <v>82</v>
      </c>
      <c r="CG16" s="232"/>
      <c r="CH16" s="232"/>
    </row>
    <row r="17" spans="1:86" ht="15.75" customHeight="1">
      <c r="A17" s="463">
        <f t="shared" si="0"/>
        <v>112014048</v>
      </c>
      <c r="B17" s="501">
        <f t="shared" si="94"/>
        <v>7</v>
      </c>
      <c r="C17" s="699">
        <f t="shared" si="2"/>
        <v>0.1</v>
      </c>
      <c r="D17" s="558">
        <f t="shared" si="3"/>
        <v>0.2</v>
      </c>
      <c r="E17" s="715">
        <f t="shared" si="4"/>
        <v>0</v>
      </c>
      <c r="F17" s="936">
        <f t="shared" si="5"/>
        <v>7</v>
      </c>
      <c r="G17" s="699">
        <f t="shared" si="6"/>
        <v>0.1</v>
      </c>
      <c r="H17" s="699">
        <f t="shared" si="7"/>
        <v>0.2</v>
      </c>
      <c r="I17" s="702">
        <f t="shared" si="8"/>
        <v>0</v>
      </c>
      <c r="J17" s="837">
        <f t="shared" si="9"/>
        <v>62</v>
      </c>
      <c r="K17" s="700">
        <f t="shared" si="10"/>
        <v>0.1</v>
      </c>
      <c r="L17" s="702">
        <f t="shared" si="11"/>
        <v>0.11</v>
      </c>
      <c r="M17" s="423" t="s">
        <v>852</v>
      </c>
      <c r="N17" s="121">
        <f t="shared" si="12"/>
        <v>513715.01</v>
      </c>
      <c r="O17" s="416">
        <f t="shared" si="13"/>
        <v>863580.61756050005</v>
      </c>
      <c r="P17" s="113">
        <f t="shared" si="14"/>
        <v>765631.74</v>
      </c>
      <c r="Q17" s="116">
        <f t="shared" si="15"/>
        <v>167310.26</v>
      </c>
      <c r="R17" s="117">
        <f t="shared" si="16"/>
        <v>932942</v>
      </c>
      <c r="S17" s="114">
        <f t="shared" si="17"/>
        <v>69361.382439499954</v>
      </c>
      <c r="T17" s="413">
        <f t="shared" si="18"/>
        <v>1.0803183640636083</v>
      </c>
      <c r="U17" s="100">
        <f t="shared" si="19"/>
        <v>404918.53</v>
      </c>
      <c r="V17" s="113">
        <f t="shared" si="20"/>
        <v>733196.10523425008</v>
      </c>
      <c r="W17" s="116">
        <f t="shared" si="21"/>
        <v>646380.65</v>
      </c>
      <c r="X17" s="116">
        <f t="shared" si="22"/>
        <v>92876.27</v>
      </c>
      <c r="Y17" s="116">
        <f t="shared" si="23"/>
        <v>739256.92</v>
      </c>
      <c r="Z17" s="116">
        <f t="shared" si="24"/>
        <v>6060.8147657499649</v>
      </c>
      <c r="AA17" s="413">
        <f t="shared" si="25"/>
        <v>1.0082662942730902</v>
      </c>
      <c r="AB17" s="114">
        <f t="shared" si="26"/>
        <v>485147.36</v>
      </c>
      <c r="AC17" s="121">
        <f t="shared" si="27"/>
        <v>812755.24352399993</v>
      </c>
      <c r="AD17" s="113">
        <f t="shared" si="28"/>
        <v>471772.44000000006</v>
      </c>
      <c r="AE17" s="116">
        <f t="shared" si="29"/>
        <v>114732.72</v>
      </c>
      <c r="AF17" s="117">
        <f t="shared" si="30"/>
        <v>586505.16</v>
      </c>
      <c r="AG17" s="114">
        <f t="shared" si="31"/>
        <v>-226250.0835239999</v>
      </c>
      <c r="AH17" s="97">
        <f t="shared" si="32"/>
        <v>0.72162580884374328</v>
      </c>
      <c r="AI17" s="839">
        <f t="shared" si="33"/>
        <v>2409531.9663187503</v>
      </c>
      <c r="AJ17" s="114">
        <f t="shared" si="34"/>
        <v>2535974.39</v>
      </c>
      <c r="AK17" s="116">
        <f t="shared" ref="AK17:AL17" si="119">SUM(AD17,W17,P17)</f>
        <v>1883784.83</v>
      </c>
      <c r="AL17" s="116">
        <f t="shared" si="119"/>
        <v>374919.25</v>
      </c>
      <c r="AM17" s="116">
        <f t="shared" si="36"/>
        <v>2997961</v>
      </c>
      <c r="AN17" s="116">
        <f t="shared" si="37"/>
        <v>461986.60999999987</v>
      </c>
      <c r="AO17" s="938">
        <f t="shared" si="38"/>
        <v>1.1821732158738401</v>
      </c>
      <c r="AP17" s="845">
        <f t="shared" si="39"/>
        <v>1057646.0800000001</v>
      </c>
      <c r="AQ17" s="140">
        <f t="shared" si="40"/>
        <v>481112.24</v>
      </c>
      <c r="AR17" s="123">
        <f t="shared" si="41"/>
        <v>105898.09</v>
      </c>
      <c r="AS17" s="148">
        <f t="shared" si="42"/>
        <v>587010.32999999996</v>
      </c>
      <c r="AT17" s="845">
        <f t="shared" si="43"/>
        <v>243392.02</v>
      </c>
      <c r="AU17" s="140">
        <f t="shared" si="44"/>
        <v>401682.26</v>
      </c>
      <c r="AV17" s="326">
        <f t="shared" si="45"/>
        <v>175646.59</v>
      </c>
      <c r="AW17" s="333">
        <f t="shared" si="46"/>
        <v>577328.85</v>
      </c>
      <c r="AX17" s="939">
        <f t="shared" si="47"/>
        <v>457742.07</v>
      </c>
      <c r="AY17" s="123">
        <f t="shared" si="48"/>
        <v>552839.04999999993</v>
      </c>
      <c r="AZ17" s="123">
        <f t="shared" si="49"/>
        <v>169115.51999999999</v>
      </c>
      <c r="BA17" s="125">
        <f t="shared" si="50"/>
        <v>721954.57</v>
      </c>
      <c r="BB17" s="940">
        <f t="shared" si="51"/>
        <v>1435633.5499999998</v>
      </c>
      <c r="BC17" s="116">
        <f t="shared" si="52"/>
        <v>450660.19999999995</v>
      </c>
      <c r="BD17" s="117">
        <f t="shared" si="53"/>
        <v>1886293.75</v>
      </c>
      <c r="BE17" s="114">
        <f t="shared" si="54"/>
        <v>3319418.38</v>
      </c>
      <c r="BF17" s="116">
        <f t="shared" ref="BF17:BG17" si="120">SUM(BC17,AL17)</f>
        <v>825579.45</v>
      </c>
      <c r="BG17" s="119">
        <f t="shared" si="120"/>
        <v>4884254.75</v>
      </c>
      <c r="BH17" s="845">
        <f t="shared" si="56"/>
        <v>639994.66</v>
      </c>
      <c r="BI17" s="140">
        <f t="shared" si="57"/>
        <v>171468.65</v>
      </c>
      <c r="BJ17" s="326">
        <f t="shared" si="58"/>
        <v>48014.82</v>
      </c>
      <c r="BK17" s="333">
        <f t="shared" si="59"/>
        <v>219483.47</v>
      </c>
      <c r="BL17" s="939">
        <f t="shared" si="60"/>
        <v>647281.81999999995</v>
      </c>
      <c r="BM17" s="123">
        <f t="shared" si="61"/>
        <v>690203.16</v>
      </c>
      <c r="BN17" s="123">
        <f t="shared" si="62"/>
        <v>62390.400000000001</v>
      </c>
      <c r="BO17" s="123">
        <f t="shared" si="63"/>
        <v>752593.56</v>
      </c>
      <c r="BP17" s="332">
        <f t="shared" si="64"/>
        <v>676191.32</v>
      </c>
      <c r="BQ17" s="140">
        <f t="shared" si="65"/>
        <v>899835.55</v>
      </c>
      <c r="BR17" s="326">
        <f t="shared" si="66"/>
        <v>60285.599999999999</v>
      </c>
      <c r="BS17" s="333">
        <f t="shared" si="67"/>
        <v>960121.15</v>
      </c>
      <c r="BT17" s="140">
        <f t="shared" ref="BT17:BV17" si="121">SUM(BQ17,BM17,BI17)</f>
        <v>1761507.3599999999</v>
      </c>
      <c r="BU17" s="326">
        <f t="shared" si="121"/>
        <v>170690.82</v>
      </c>
      <c r="BV17" s="333">
        <f t="shared" si="121"/>
        <v>1932198.18</v>
      </c>
      <c r="BW17" s="845">
        <f t="shared" si="69"/>
        <v>719463.07</v>
      </c>
      <c r="BX17" s="140">
        <f t="shared" si="70"/>
        <v>852682.61</v>
      </c>
      <c r="BY17" s="123">
        <f t="shared" si="71"/>
        <v>130440.97</v>
      </c>
      <c r="BZ17" s="148">
        <f t="shared" si="72"/>
        <v>983123.58</v>
      </c>
      <c r="CA17" s="939">
        <f t="shared" si="73"/>
        <v>958506.76</v>
      </c>
      <c r="CB17" s="941">
        <f t="shared" si="74"/>
        <v>858004.56</v>
      </c>
      <c r="CF17" s="231" t="s">
        <v>84</v>
      </c>
      <c r="CG17" s="232"/>
      <c r="CH17" s="232"/>
    </row>
    <row r="18" spans="1:86" ht="15.75" customHeight="1">
      <c r="A18" s="463">
        <f t="shared" si="0"/>
        <v>112014714</v>
      </c>
      <c r="B18" s="501">
        <f t="shared" si="94"/>
        <v>7</v>
      </c>
      <c r="C18" s="699">
        <f t="shared" si="2"/>
        <v>0.1</v>
      </c>
      <c r="D18" s="558">
        <f t="shared" si="3"/>
        <v>0.2</v>
      </c>
      <c r="E18" s="715">
        <f t="shared" si="4"/>
        <v>0</v>
      </c>
      <c r="F18" s="936">
        <f t="shared" si="5"/>
        <v>7</v>
      </c>
      <c r="G18" s="699">
        <f t="shared" si="6"/>
        <v>0.1</v>
      </c>
      <c r="H18" s="699">
        <f t="shared" si="7"/>
        <v>0.2</v>
      </c>
      <c r="I18" s="702">
        <f t="shared" si="8"/>
        <v>0</v>
      </c>
      <c r="J18" s="837">
        <f t="shared" si="9"/>
        <v>61</v>
      </c>
      <c r="K18" s="700">
        <f t="shared" si="10"/>
        <v>0.1</v>
      </c>
      <c r="L18" s="702">
        <f t="shared" si="11"/>
        <v>0.14000000000000001</v>
      </c>
      <c r="M18" s="943" t="s">
        <v>853</v>
      </c>
      <c r="N18" s="121" t="str">
        <f t="shared" si="12"/>
        <v/>
      </c>
      <c r="O18" s="416" t="e">
        <f t="shared" si="13"/>
        <v>#VALUE!</v>
      </c>
      <c r="P18" s="113">
        <f t="shared" si="14"/>
        <v>0</v>
      </c>
      <c r="Q18" s="116">
        <f t="shared" si="15"/>
        <v>0</v>
      </c>
      <c r="R18" s="117">
        <f t="shared" si="16"/>
        <v>0</v>
      </c>
      <c r="S18" s="114" t="e">
        <f t="shared" si="17"/>
        <v>#VALUE!</v>
      </c>
      <c r="T18" s="413" t="str">
        <f t="shared" si="18"/>
        <v/>
      </c>
      <c r="U18" s="100" t="str">
        <f t="shared" si="19"/>
        <v/>
      </c>
      <c r="V18" s="113" t="e">
        <f t="shared" si="20"/>
        <v>#VALUE!</v>
      </c>
      <c r="W18" s="116">
        <f t="shared" si="21"/>
        <v>0</v>
      </c>
      <c r="X18" s="116">
        <f t="shared" si="22"/>
        <v>0</v>
      </c>
      <c r="Y18" s="116">
        <f t="shared" si="23"/>
        <v>0</v>
      </c>
      <c r="Z18" s="116" t="e">
        <f t="shared" si="24"/>
        <v>#VALUE!</v>
      </c>
      <c r="AA18" s="413" t="e">
        <f t="shared" si="25"/>
        <v>#VALUE!</v>
      </c>
      <c r="AB18" s="114" t="str">
        <f t="shared" si="26"/>
        <v/>
      </c>
      <c r="AC18" s="121" t="e">
        <f t="shared" si="27"/>
        <v>#VALUE!</v>
      </c>
      <c r="AD18" s="113">
        <f t="shared" si="28"/>
        <v>0</v>
      </c>
      <c r="AE18" s="116">
        <f t="shared" si="29"/>
        <v>0</v>
      </c>
      <c r="AF18" s="117">
        <f t="shared" si="30"/>
        <v>0</v>
      </c>
      <c r="AG18" s="114" t="e">
        <f t="shared" si="31"/>
        <v>#VALUE!</v>
      </c>
      <c r="AH18" s="97" t="e">
        <f t="shared" si="32"/>
        <v>#VALUE!</v>
      </c>
      <c r="AI18" s="839" t="e">
        <f t="shared" si="33"/>
        <v>#VALUE!</v>
      </c>
      <c r="AJ18" s="114" t="e">
        <f t="shared" si="34"/>
        <v>#N/A</v>
      </c>
      <c r="AK18" s="116">
        <f t="shared" ref="AK18:AL18" si="122">SUM(AD18,W18,P18)</f>
        <v>0</v>
      </c>
      <c r="AL18" s="116">
        <f t="shared" si="122"/>
        <v>0</v>
      </c>
      <c r="AM18" s="116">
        <f t="shared" si="36"/>
        <v>0</v>
      </c>
      <c r="AN18" s="116" t="e">
        <f t="shared" si="37"/>
        <v>#N/A</v>
      </c>
      <c r="AO18" s="938" t="e">
        <f t="shared" si="38"/>
        <v>#N/A</v>
      </c>
      <c r="AP18" s="845" t="str">
        <f t="shared" si="39"/>
        <v/>
      </c>
      <c r="AQ18" s="140">
        <f t="shared" si="40"/>
        <v>0</v>
      </c>
      <c r="AR18" s="123">
        <f t="shared" si="41"/>
        <v>0</v>
      </c>
      <c r="AS18" s="148">
        <f t="shared" si="42"/>
        <v>0</v>
      </c>
      <c r="AT18" s="845" t="str">
        <f t="shared" si="43"/>
        <v/>
      </c>
      <c r="AU18" s="140">
        <f t="shared" si="44"/>
        <v>0</v>
      </c>
      <c r="AV18" s="326">
        <f t="shared" si="45"/>
        <v>0</v>
      </c>
      <c r="AW18" s="333">
        <f t="shared" si="46"/>
        <v>0</v>
      </c>
      <c r="AX18" s="939" t="str">
        <f t="shared" si="47"/>
        <v/>
      </c>
      <c r="AY18" s="123">
        <f t="shared" si="48"/>
        <v>165232.34999999998</v>
      </c>
      <c r="AZ18" s="123">
        <f t="shared" si="49"/>
        <v>523274.72</v>
      </c>
      <c r="BA18" s="125">
        <f t="shared" si="50"/>
        <v>688507.07</v>
      </c>
      <c r="BB18" s="940">
        <f t="shared" si="51"/>
        <v>165232.34999999998</v>
      </c>
      <c r="BC18" s="116">
        <f t="shared" si="52"/>
        <v>523274.72</v>
      </c>
      <c r="BD18" s="117">
        <f t="shared" si="53"/>
        <v>688507.07</v>
      </c>
      <c r="BE18" s="114">
        <f t="shared" si="54"/>
        <v>165232.34999999998</v>
      </c>
      <c r="BF18" s="116">
        <f t="shared" ref="BF18:BG18" si="123">SUM(BC18,AL18)</f>
        <v>523274.72</v>
      </c>
      <c r="BG18" s="119">
        <f t="shared" si="123"/>
        <v>688507.07</v>
      </c>
      <c r="BH18" s="845" t="str">
        <f t="shared" si="56"/>
        <v/>
      </c>
      <c r="BI18" s="140">
        <f t="shared" si="57"/>
        <v>714862.3</v>
      </c>
      <c r="BJ18" s="326">
        <f t="shared" si="58"/>
        <v>2010342.72</v>
      </c>
      <c r="BK18" s="333">
        <f t="shared" si="59"/>
        <v>2725205.02</v>
      </c>
      <c r="BL18" s="939" t="str">
        <f t="shared" si="60"/>
        <v/>
      </c>
      <c r="BM18" s="123">
        <f t="shared" si="61"/>
        <v>185814.97999999986</v>
      </c>
      <c r="BN18" s="123">
        <f t="shared" si="62"/>
        <v>948646.40000000002</v>
      </c>
      <c r="BO18" s="123">
        <f t="shared" si="63"/>
        <v>1134461.3799999999</v>
      </c>
      <c r="BP18" s="332" t="str">
        <f t="shared" si="64"/>
        <v/>
      </c>
      <c r="BQ18" s="140">
        <f t="shared" si="65"/>
        <v>1568169.5700000003</v>
      </c>
      <c r="BR18" s="326">
        <f t="shared" si="66"/>
        <v>1693418.4</v>
      </c>
      <c r="BS18" s="333">
        <f t="shared" si="67"/>
        <v>3261587.97</v>
      </c>
      <c r="BT18" s="140">
        <f t="shared" ref="BT18:BV18" si="124">SUM(BQ18,BM18,BI18)</f>
        <v>2468846.8500000006</v>
      </c>
      <c r="BU18" s="326">
        <f t="shared" si="124"/>
        <v>4652407.5199999996</v>
      </c>
      <c r="BV18" s="333">
        <f t="shared" si="124"/>
        <v>7121254.3699999992</v>
      </c>
      <c r="BW18" s="845" t="str">
        <f t="shared" si="69"/>
        <v/>
      </c>
      <c r="BX18" s="140">
        <f t="shared" si="70"/>
        <v>1387615.9499999997</v>
      </c>
      <c r="BY18" s="123">
        <f t="shared" si="71"/>
        <v>873275.6</v>
      </c>
      <c r="BZ18" s="148">
        <f t="shared" si="72"/>
        <v>2260891.5499999998</v>
      </c>
      <c r="CA18" s="939" t="str">
        <f t="shared" si="73"/>
        <v/>
      </c>
      <c r="CB18" s="941" t="str">
        <f t="shared" si="74"/>
        <v/>
      </c>
      <c r="CF18" s="231" t="s">
        <v>86</v>
      </c>
      <c r="CG18" s="232"/>
      <c r="CH18" s="232"/>
    </row>
    <row r="19" spans="1:86" ht="15.75" customHeight="1">
      <c r="A19" s="463">
        <f t="shared" si="0"/>
        <v>112012381</v>
      </c>
      <c r="B19" s="501" t="e">
        <f t="shared" si="94"/>
        <v>#N/A</v>
      </c>
      <c r="C19" s="699" t="str">
        <f t="shared" si="2"/>
        <v/>
      </c>
      <c r="D19" s="558" t="str">
        <f t="shared" si="3"/>
        <v/>
      </c>
      <c r="E19" s="715" t="str">
        <f t="shared" si="4"/>
        <v/>
      </c>
      <c r="F19" s="936" t="e">
        <f t="shared" si="5"/>
        <v>#N/A</v>
      </c>
      <c r="G19" s="699" t="str">
        <f t="shared" si="6"/>
        <v/>
      </c>
      <c r="H19" s="699" t="str">
        <f t="shared" si="7"/>
        <v/>
      </c>
      <c r="I19" s="702" t="str">
        <f t="shared" si="8"/>
        <v/>
      </c>
      <c r="J19" s="837">
        <f t="shared" si="9"/>
        <v>63</v>
      </c>
      <c r="K19" s="700">
        <f t="shared" si="10"/>
        <v>0.1</v>
      </c>
      <c r="L19" s="702">
        <f t="shared" si="11"/>
        <v>0.05</v>
      </c>
      <c r="M19" s="423" t="s">
        <v>854</v>
      </c>
      <c r="N19" s="121" t="str">
        <f t="shared" si="12"/>
        <v/>
      </c>
      <c r="O19" s="416" t="e">
        <f t="shared" si="13"/>
        <v>#VALUE!</v>
      </c>
      <c r="P19" s="113" t="e">
        <f t="shared" si="14"/>
        <v>#VALUE!</v>
      </c>
      <c r="Q19" s="116" t="str">
        <f t="shared" si="15"/>
        <v/>
      </c>
      <c r="R19" s="117" t="str">
        <f t="shared" si="16"/>
        <v/>
      </c>
      <c r="S19" s="114" t="e">
        <f t="shared" si="17"/>
        <v>#VALUE!</v>
      </c>
      <c r="T19" s="413" t="str">
        <f t="shared" si="18"/>
        <v/>
      </c>
      <c r="U19" s="100" t="str">
        <f t="shared" si="19"/>
        <v/>
      </c>
      <c r="V19" s="113" t="e">
        <f t="shared" si="20"/>
        <v>#VALUE!</v>
      </c>
      <c r="W19" s="116" t="e">
        <f t="shared" si="21"/>
        <v>#VALUE!</v>
      </c>
      <c r="X19" s="116" t="str">
        <f t="shared" si="22"/>
        <v/>
      </c>
      <c r="Y19" s="116" t="str">
        <f t="shared" si="23"/>
        <v/>
      </c>
      <c r="Z19" s="116" t="e">
        <f t="shared" si="24"/>
        <v>#VALUE!</v>
      </c>
      <c r="AA19" s="413" t="e">
        <f t="shared" si="25"/>
        <v>#VALUE!</v>
      </c>
      <c r="AB19" s="114" t="str">
        <f t="shared" si="26"/>
        <v/>
      </c>
      <c r="AC19" s="121" t="e">
        <f t="shared" si="27"/>
        <v>#VALUE!</v>
      </c>
      <c r="AD19" s="113" t="e">
        <f t="shared" si="28"/>
        <v>#VALUE!</v>
      </c>
      <c r="AE19" s="116" t="str">
        <f t="shared" si="29"/>
        <v/>
      </c>
      <c r="AF19" s="117" t="str">
        <f t="shared" si="30"/>
        <v/>
      </c>
      <c r="AG19" s="114" t="e">
        <f t="shared" si="31"/>
        <v>#VALUE!</v>
      </c>
      <c r="AH19" s="97" t="e">
        <f t="shared" si="32"/>
        <v>#VALUE!</v>
      </c>
      <c r="AI19" s="839" t="e">
        <f t="shared" si="33"/>
        <v>#VALUE!</v>
      </c>
      <c r="AJ19" s="114">
        <f t="shared" si="34"/>
        <v>976850.3</v>
      </c>
      <c r="AK19" s="116" t="e">
        <f t="shared" ref="AK19:AL19" si="125">SUM(AD19,W19,P19)</f>
        <v>#VALUE!</v>
      </c>
      <c r="AL19" s="116">
        <f t="shared" si="125"/>
        <v>0</v>
      </c>
      <c r="AM19" s="116">
        <f t="shared" si="36"/>
        <v>0</v>
      </c>
      <c r="AN19" s="116">
        <f t="shared" si="37"/>
        <v>-976850.3</v>
      </c>
      <c r="AO19" s="938">
        <f t="shared" si="38"/>
        <v>0</v>
      </c>
      <c r="AP19" s="845" t="str">
        <f t="shared" si="39"/>
        <v/>
      </c>
      <c r="AQ19" s="140" t="e">
        <f t="shared" si="40"/>
        <v>#VALUE!</v>
      </c>
      <c r="AR19" s="123" t="str">
        <f t="shared" si="41"/>
        <v/>
      </c>
      <c r="AS19" s="148" t="str">
        <f t="shared" si="42"/>
        <v/>
      </c>
      <c r="AT19" s="845" t="str">
        <f t="shared" si="43"/>
        <v/>
      </c>
      <c r="AU19" s="140" t="e">
        <f t="shared" si="44"/>
        <v>#VALUE!</v>
      </c>
      <c r="AV19" s="326" t="str">
        <f t="shared" si="45"/>
        <v/>
      </c>
      <c r="AW19" s="333" t="str">
        <f t="shared" si="46"/>
        <v/>
      </c>
      <c r="AX19" s="939" t="str">
        <f t="shared" si="47"/>
        <v/>
      </c>
      <c r="AY19" s="123" t="e">
        <f t="shared" si="48"/>
        <v>#VALUE!</v>
      </c>
      <c r="AZ19" s="123" t="str">
        <f t="shared" si="49"/>
        <v/>
      </c>
      <c r="BA19" s="125" t="str">
        <f t="shared" si="50"/>
        <v/>
      </c>
      <c r="BB19" s="940" t="e">
        <f t="shared" si="51"/>
        <v>#VALUE!</v>
      </c>
      <c r="BC19" s="116" t="e">
        <f t="shared" si="52"/>
        <v>#VALUE!</v>
      </c>
      <c r="BD19" s="117" t="e">
        <f t="shared" si="53"/>
        <v>#VALUE!</v>
      </c>
      <c r="BE19" s="114" t="e">
        <f t="shared" si="54"/>
        <v>#VALUE!</v>
      </c>
      <c r="BF19" s="116" t="e">
        <f t="shared" ref="BF19:BG19" si="126">SUM(BC19,AL19)</f>
        <v>#VALUE!</v>
      </c>
      <c r="BG19" s="119" t="e">
        <f t="shared" si="126"/>
        <v>#VALUE!</v>
      </c>
      <c r="BH19" s="845" t="str">
        <f t="shared" si="56"/>
        <v/>
      </c>
      <c r="BI19" s="140" t="e">
        <f t="shared" si="57"/>
        <v>#VALUE!</v>
      </c>
      <c r="BJ19" s="326" t="str">
        <f t="shared" si="58"/>
        <v/>
      </c>
      <c r="BK19" s="333" t="str">
        <f t="shared" si="59"/>
        <v/>
      </c>
      <c r="BL19" s="939" t="str">
        <f t="shared" si="60"/>
        <v/>
      </c>
      <c r="BM19" s="123" t="e">
        <f t="shared" si="61"/>
        <v>#VALUE!</v>
      </c>
      <c r="BN19" s="123" t="str">
        <f t="shared" si="62"/>
        <v/>
      </c>
      <c r="BO19" s="123" t="str">
        <f t="shared" si="63"/>
        <v/>
      </c>
      <c r="BP19" s="332" t="str">
        <f t="shared" si="64"/>
        <v/>
      </c>
      <c r="BQ19" s="140" t="e">
        <f t="shared" si="65"/>
        <v>#VALUE!</v>
      </c>
      <c r="BR19" s="326" t="str">
        <f t="shared" si="66"/>
        <v/>
      </c>
      <c r="BS19" s="333" t="str">
        <f t="shared" si="67"/>
        <v/>
      </c>
      <c r="BT19" s="140" t="e">
        <f t="shared" ref="BT19:BV19" si="127">SUM(BQ19,BM19,BI19)</f>
        <v>#VALUE!</v>
      </c>
      <c r="BU19" s="326">
        <f t="shared" si="127"/>
        <v>0</v>
      </c>
      <c r="BV19" s="333">
        <f t="shared" si="127"/>
        <v>0</v>
      </c>
      <c r="BW19" s="845" t="str">
        <f t="shared" si="69"/>
        <v/>
      </c>
      <c r="BX19" s="140" t="e">
        <f t="shared" si="70"/>
        <v>#VALUE!</v>
      </c>
      <c r="BY19" s="123" t="str">
        <f t="shared" si="71"/>
        <v/>
      </c>
      <c r="BZ19" s="148" t="str">
        <f t="shared" si="72"/>
        <v/>
      </c>
      <c r="CA19" s="939" t="str">
        <f t="shared" si="73"/>
        <v/>
      </c>
      <c r="CB19" s="941" t="str">
        <f t="shared" si="74"/>
        <v/>
      </c>
      <c r="CF19" s="242" t="s">
        <v>88</v>
      </c>
      <c r="CG19" s="243"/>
      <c r="CH19" s="243"/>
    </row>
    <row r="20" spans="1:86" ht="15.75" customHeight="1">
      <c r="A20" s="463">
        <f t="shared" si="0"/>
        <v>112014081</v>
      </c>
      <c r="B20" s="501">
        <f t="shared" si="94"/>
        <v>31</v>
      </c>
      <c r="C20" s="699">
        <f t="shared" si="2"/>
        <v>0.1</v>
      </c>
      <c r="D20" s="558">
        <f t="shared" si="3"/>
        <v>0.23</v>
      </c>
      <c r="E20" s="715">
        <f t="shared" si="4"/>
        <v>0</v>
      </c>
      <c r="F20" s="936">
        <f t="shared" si="5"/>
        <v>31</v>
      </c>
      <c r="G20" s="699">
        <f t="shared" si="6"/>
        <v>0.1</v>
      </c>
      <c r="H20" s="699">
        <f t="shared" si="7"/>
        <v>0.23</v>
      </c>
      <c r="I20" s="702">
        <f t="shared" si="8"/>
        <v>0</v>
      </c>
      <c r="J20" s="837">
        <f t="shared" si="9"/>
        <v>61</v>
      </c>
      <c r="K20" s="700">
        <f t="shared" si="10"/>
        <v>0.1</v>
      </c>
      <c r="L20" s="702">
        <f t="shared" si="11"/>
        <v>0.14000000000000001</v>
      </c>
      <c r="M20" s="423" t="s">
        <v>855</v>
      </c>
      <c r="N20" s="121">
        <f t="shared" si="12"/>
        <v>2793521.9</v>
      </c>
      <c r="O20" s="416">
        <f t="shared" si="13"/>
        <v>4696049.989995</v>
      </c>
      <c r="P20" s="113">
        <f t="shared" si="14"/>
        <v>2363377.36</v>
      </c>
      <c r="Q20" s="116">
        <f t="shared" si="15"/>
        <v>3933439.14</v>
      </c>
      <c r="R20" s="117">
        <f t="shared" si="16"/>
        <v>6296816.5</v>
      </c>
      <c r="S20" s="114">
        <f t="shared" si="17"/>
        <v>1600766.510005</v>
      </c>
      <c r="T20" s="413">
        <f t="shared" si="18"/>
        <v>1.3408751000128736</v>
      </c>
      <c r="U20" s="100">
        <f t="shared" si="19"/>
        <v>3316881.23</v>
      </c>
      <c r="V20" s="113">
        <f t="shared" si="20"/>
        <v>6005959.7651917497</v>
      </c>
      <c r="W20" s="116">
        <f t="shared" si="21"/>
        <v>2550978.7100000004</v>
      </c>
      <c r="X20" s="116">
        <f t="shared" si="22"/>
        <v>3603860.65</v>
      </c>
      <c r="Y20" s="116">
        <f t="shared" si="23"/>
        <v>6154839.3600000003</v>
      </c>
      <c r="Z20" s="116">
        <f t="shared" si="24"/>
        <v>148879.59480825067</v>
      </c>
      <c r="AA20" s="413">
        <f t="shared" si="25"/>
        <v>1.0247886433857083</v>
      </c>
      <c r="AB20" s="114">
        <f t="shared" si="26"/>
        <v>3270572.64</v>
      </c>
      <c r="AC20" s="121">
        <f t="shared" si="27"/>
        <v>5479108.5794759998</v>
      </c>
      <c r="AD20" s="113">
        <f t="shared" si="28"/>
        <v>771781.96</v>
      </c>
      <c r="AE20" s="116">
        <f t="shared" si="29"/>
        <v>2718796.49</v>
      </c>
      <c r="AF20" s="117">
        <f t="shared" si="30"/>
        <v>3490578.45</v>
      </c>
      <c r="AG20" s="114">
        <f t="shared" si="31"/>
        <v>-1988530.1294759996</v>
      </c>
      <c r="AH20" s="97">
        <f t="shared" si="32"/>
        <v>0.63707050140879395</v>
      </c>
      <c r="AI20" s="839">
        <f t="shared" si="33"/>
        <v>16181118.33466275</v>
      </c>
      <c r="AJ20" s="114">
        <f t="shared" si="34"/>
        <v>17197614.719999999</v>
      </c>
      <c r="AK20" s="116">
        <f t="shared" ref="AK20:AL20" si="128">SUM(AD20,W20,P20)</f>
        <v>5686138.0300000003</v>
      </c>
      <c r="AL20" s="116">
        <f t="shared" si="128"/>
        <v>10256096.280000001</v>
      </c>
      <c r="AM20" s="116">
        <f t="shared" si="36"/>
        <v>22097073.670000002</v>
      </c>
      <c r="AN20" s="116">
        <f t="shared" si="37"/>
        <v>4899458.950000003</v>
      </c>
      <c r="AO20" s="938">
        <f t="shared" si="38"/>
        <v>1.2848917730609564</v>
      </c>
      <c r="AP20" s="845">
        <f t="shared" si="39"/>
        <v>3404915.62</v>
      </c>
      <c r="AQ20" s="140">
        <f t="shared" si="40"/>
        <v>1275863.4400000004</v>
      </c>
      <c r="AR20" s="123">
        <f t="shared" si="41"/>
        <v>3712872.38</v>
      </c>
      <c r="AS20" s="148">
        <f t="shared" si="42"/>
        <v>4988735.82</v>
      </c>
      <c r="AT20" s="845">
        <f t="shared" si="43"/>
        <v>3942353.68</v>
      </c>
      <c r="AU20" s="140">
        <f t="shared" si="44"/>
        <v>1411243.2999999998</v>
      </c>
      <c r="AV20" s="326">
        <f t="shared" si="45"/>
        <v>5091677.24</v>
      </c>
      <c r="AW20" s="333">
        <f t="shared" si="46"/>
        <v>6502920.54</v>
      </c>
      <c r="AX20" s="939">
        <f t="shared" si="47"/>
        <v>3090813.4</v>
      </c>
      <c r="AY20" s="123">
        <f t="shared" si="48"/>
        <v>311800.41999999993</v>
      </c>
      <c r="AZ20" s="123">
        <f t="shared" si="49"/>
        <v>5088808.87</v>
      </c>
      <c r="BA20" s="125">
        <f t="shared" si="50"/>
        <v>5400609.29</v>
      </c>
      <c r="BB20" s="940">
        <f t="shared" si="51"/>
        <v>2998907.16</v>
      </c>
      <c r="BC20" s="116">
        <f t="shared" si="52"/>
        <v>13893358.490000002</v>
      </c>
      <c r="BD20" s="117">
        <f t="shared" si="53"/>
        <v>16892265.649999999</v>
      </c>
      <c r="BE20" s="114">
        <f t="shared" si="54"/>
        <v>8685045.1900000013</v>
      </c>
      <c r="BF20" s="116">
        <f t="shared" ref="BF20:BG20" si="129">SUM(BC20,AL20)</f>
        <v>24149454.770000003</v>
      </c>
      <c r="BG20" s="119">
        <f t="shared" si="129"/>
        <v>38989339.32</v>
      </c>
      <c r="BH20" s="845">
        <f t="shared" si="56"/>
        <v>5409997.2999999998</v>
      </c>
      <c r="BI20" s="140">
        <f t="shared" si="57"/>
        <v>1194056.5599999996</v>
      </c>
      <c r="BJ20" s="326">
        <f t="shared" si="58"/>
        <v>6049540.6200000001</v>
      </c>
      <c r="BK20" s="333">
        <f t="shared" si="59"/>
        <v>7243597.1799999997</v>
      </c>
      <c r="BL20" s="939">
        <f t="shared" si="60"/>
        <v>5242853.13</v>
      </c>
      <c r="BM20" s="123">
        <f t="shared" si="61"/>
        <v>748368.40000000037</v>
      </c>
      <c r="BN20" s="123">
        <f t="shared" si="62"/>
        <v>6765948.3799999999</v>
      </c>
      <c r="BO20" s="123">
        <f t="shared" si="63"/>
        <v>7514316.7800000003</v>
      </c>
      <c r="BP20" s="332">
        <f t="shared" si="64"/>
        <v>5765366.5800000001</v>
      </c>
      <c r="BQ20" s="140">
        <f t="shared" si="65"/>
        <v>4759750.9800000004</v>
      </c>
      <c r="BR20" s="326">
        <f t="shared" si="66"/>
        <v>4296760.41</v>
      </c>
      <c r="BS20" s="333">
        <f t="shared" si="67"/>
        <v>9056511.3900000006</v>
      </c>
      <c r="BT20" s="140">
        <f t="shared" ref="BT20:BV20" si="130">SUM(BQ20,BM20,BI20)</f>
        <v>6702175.9400000004</v>
      </c>
      <c r="BU20" s="326">
        <f t="shared" si="130"/>
        <v>17112249.41</v>
      </c>
      <c r="BV20" s="333">
        <f t="shared" si="130"/>
        <v>23814425.350000001</v>
      </c>
      <c r="BW20" s="845">
        <f t="shared" si="69"/>
        <v>6019658.46</v>
      </c>
      <c r="BX20" s="140">
        <f t="shared" si="70"/>
        <v>2597133.0699999998</v>
      </c>
      <c r="BY20" s="123">
        <f t="shared" si="71"/>
        <v>2669953.36</v>
      </c>
      <c r="BZ20" s="148">
        <f t="shared" si="72"/>
        <v>5267086.43</v>
      </c>
      <c r="CA20" s="939">
        <f t="shared" si="73"/>
        <v>6050063.8399999999</v>
      </c>
      <c r="CB20" s="941">
        <f t="shared" si="74"/>
        <v>5127892.41</v>
      </c>
      <c r="CF20" s="242" t="s">
        <v>90</v>
      </c>
      <c r="CG20" s="243"/>
      <c r="CH20" s="243"/>
    </row>
    <row r="21" spans="1:86" ht="15.75" customHeight="1">
      <c r="A21" s="463">
        <f t="shared" si="0"/>
        <v>112014600</v>
      </c>
      <c r="B21" s="501">
        <f t="shared" si="94"/>
        <v>31</v>
      </c>
      <c r="C21" s="699">
        <f t="shared" si="2"/>
        <v>0.1</v>
      </c>
      <c r="D21" s="558">
        <f t="shared" si="3"/>
        <v>0.23</v>
      </c>
      <c r="E21" s="715">
        <f t="shared" si="4"/>
        <v>0</v>
      </c>
      <c r="F21" s="936">
        <f t="shared" si="5"/>
        <v>31</v>
      </c>
      <c r="G21" s="699">
        <f t="shared" si="6"/>
        <v>0.1</v>
      </c>
      <c r="H21" s="699">
        <f t="shared" si="7"/>
        <v>0.23</v>
      </c>
      <c r="I21" s="702">
        <f t="shared" si="8"/>
        <v>0</v>
      </c>
      <c r="J21" s="837">
        <f t="shared" si="9"/>
        <v>61</v>
      </c>
      <c r="K21" s="700">
        <f t="shared" si="10"/>
        <v>0.1</v>
      </c>
      <c r="L21" s="702">
        <f t="shared" si="11"/>
        <v>0.14000000000000001</v>
      </c>
      <c r="M21" s="423" t="s">
        <v>856</v>
      </c>
      <c r="N21" s="121">
        <f t="shared" si="12"/>
        <v>0</v>
      </c>
      <c r="O21" s="416">
        <f t="shared" si="13"/>
        <v>0</v>
      </c>
      <c r="P21" s="113">
        <f t="shared" si="14"/>
        <v>2363587.34</v>
      </c>
      <c r="Q21" s="116">
        <f t="shared" si="15"/>
        <v>2248610.75</v>
      </c>
      <c r="R21" s="117">
        <f t="shared" si="16"/>
        <v>4612198.09</v>
      </c>
      <c r="S21" s="114">
        <f t="shared" si="17"/>
        <v>4612198.09</v>
      </c>
      <c r="T21" s="413" t="str">
        <f t="shared" si="18"/>
        <v/>
      </c>
      <c r="U21" s="100">
        <f t="shared" si="19"/>
        <v>0</v>
      </c>
      <c r="V21" s="113">
        <f t="shared" si="20"/>
        <v>0</v>
      </c>
      <c r="W21" s="116">
        <f t="shared" si="21"/>
        <v>353208.87</v>
      </c>
      <c r="X21" s="116">
        <f t="shared" si="22"/>
        <v>701287.13</v>
      </c>
      <c r="Y21" s="116">
        <f t="shared" si="23"/>
        <v>1054496</v>
      </c>
      <c r="Z21" s="116">
        <f t="shared" si="24"/>
        <v>1054496</v>
      </c>
      <c r="AA21" s="413" t="e">
        <f t="shared" si="25"/>
        <v>#DIV/0!</v>
      </c>
      <c r="AB21" s="114">
        <f t="shared" si="26"/>
        <v>0</v>
      </c>
      <c r="AC21" s="121">
        <f t="shared" si="27"/>
        <v>0</v>
      </c>
      <c r="AD21" s="113">
        <f t="shared" si="28"/>
        <v>98117.85</v>
      </c>
      <c r="AE21" s="116">
        <f t="shared" si="29"/>
        <v>0</v>
      </c>
      <c r="AF21" s="117">
        <f t="shared" si="30"/>
        <v>98117.85</v>
      </c>
      <c r="AG21" s="114">
        <f t="shared" si="31"/>
        <v>98117.85</v>
      </c>
      <c r="AH21" s="97" t="e">
        <f t="shared" si="32"/>
        <v>#DIV/0!</v>
      </c>
      <c r="AI21" s="839">
        <f t="shared" si="33"/>
        <v>0</v>
      </c>
      <c r="AJ21" s="114">
        <f t="shared" si="34"/>
        <v>4991291.87</v>
      </c>
      <c r="AK21" s="116">
        <f t="shared" ref="AK21:AL21" si="131">SUM(AD21,W21,P21)</f>
        <v>2814914.0599999996</v>
      </c>
      <c r="AL21" s="116">
        <f t="shared" si="131"/>
        <v>2949897.88</v>
      </c>
      <c r="AM21" s="116">
        <f t="shared" si="36"/>
        <v>6819307.9399999995</v>
      </c>
      <c r="AN21" s="116">
        <f t="shared" si="37"/>
        <v>1828016.0699999994</v>
      </c>
      <c r="AO21" s="938">
        <f t="shared" si="38"/>
        <v>1.3662410689679823</v>
      </c>
      <c r="AP21" s="845">
        <f t="shared" si="39"/>
        <v>0</v>
      </c>
      <c r="AQ21" s="140">
        <f t="shared" si="40"/>
        <v>264329.86</v>
      </c>
      <c r="AR21" s="123">
        <f t="shared" si="41"/>
        <v>0</v>
      </c>
      <c r="AS21" s="148">
        <f t="shared" si="42"/>
        <v>264329.86</v>
      </c>
      <c r="AT21" s="845">
        <f t="shared" si="43"/>
        <v>0</v>
      </c>
      <c r="AU21" s="140">
        <f t="shared" si="44"/>
        <v>0</v>
      </c>
      <c r="AV21" s="326">
        <f t="shared" si="45"/>
        <v>889454.01</v>
      </c>
      <c r="AW21" s="333">
        <f t="shared" si="46"/>
        <v>889454.01</v>
      </c>
      <c r="AX21" s="939">
        <f t="shared" si="47"/>
        <v>0</v>
      </c>
      <c r="AY21" s="123">
        <f t="shared" si="48"/>
        <v>0</v>
      </c>
      <c r="AZ21" s="123">
        <f t="shared" si="49"/>
        <v>3407764.54</v>
      </c>
      <c r="BA21" s="125">
        <f t="shared" si="50"/>
        <v>3407764.54</v>
      </c>
      <c r="BB21" s="940">
        <f t="shared" si="51"/>
        <v>264329.86</v>
      </c>
      <c r="BC21" s="116">
        <f t="shared" si="52"/>
        <v>4297218.55</v>
      </c>
      <c r="BD21" s="117">
        <f t="shared" si="53"/>
        <v>4561548.41</v>
      </c>
      <c r="BE21" s="114">
        <f t="shared" si="54"/>
        <v>3079243.9199999995</v>
      </c>
      <c r="BF21" s="116">
        <f t="shared" ref="BF21:BG21" si="132">SUM(BC21,AL21)</f>
        <v>7247116.4299999997</v>
      </c>
      <c r="BG21" s="119">
        <f t="shared" si="132"/>
        <v>11380856.35</v>
      </c>
      <c r="BH21" s="845">
        <f t="shared" si="56"/>
        <v>0</v>
      </c>
      <c r="BI21" s="140">
        <f t="shared" si="57"/>
        <v>805298.78000000026</v>
      </c>
      <c r="BJ21" s="326">
        <f t="shared" si="58"/>
        <v>4381947.38</v>
      </c>
      <c r="BK21" s="333">
        <f t="shared" si="59"/>
        <v>5187246.16</v>
      </c>
      <c r="BL21" s="939">
        <f t="shared" si="60"/>
        <v>0</v>
      </c>
      <c r="BM21" s="123">
        <f t="shared" si="61"/>
        <v>0</v>
      </c>
      <c r="BN21" s="123">
        <f t="shared" si="62"/>
        <v>0</v>
      </c>
      <c r="BO21" s="123">
        <f t="shared" si="63"/>
        <v>0</v>
      </c>
      <c r="BP21" s="332">
        <f t="shared" si="64"/>
        <v>0</v>
      </c>
      <c r="BQ21" s="140">
        <f t="shared" si="65"/>
        <v>2888612.4899999998</v>
      </c>
      <c r="BR21" s="326">
        <f t="shared" si="66"/>
        <v>2747707.39</v>
      </c>
      <c r="BS21" s="333">
        <f t="shared" si="67"/>
        <v>5636319.8799999999</v>
      </c>
      <c r="BT21" s="140">
        <f t="shared" ref="BT21:BV21" si="133">SUM(BQ21,BM21,BI21)</f>
        <v>3693911.27</v>
      </c>
      <c r="BU21" s="326">
        <f t="shared" si="133"/>
        <v>7129654.7699999996</v>
      </c>
      <c r="BV21" s="333">
        <f t="shared" si="133"/>
        <v>10823566.039999999</v>
      </c>
      <c r="BW21" s="845">
        <f t="shared" si="69"/>
        <v>0</v>
      </c>
      <c r="BX21" s="140">
        <f t="shared" si="70"/>
        <v>0</v>
      </c>
      <c r="BY21" s="123">
        <f t="shared" si="71"/>
        <v>-39365.97</v>
      </c>
      <c r="BZ21" s="148">
        <f t="shared" si="72"/>
        <v>-39365.97</v>
      </c>
      <c r="CA21" s="939">
        <f t="shared" si="73"/>
        <v>1857959.8</v>
      </c>
      <c r="CB21" s="941">
        <f t="shared" si="74"/>
        <v>3133332.07</v>
      </c>
      <c r="CF21" s="242" t="s">
        <v>92</v>
      </c>
      <c r="CG21" s="243"/>
      <c r="CH21" s="243"/>
    </row>
    <row r="22" spans="1:86" ht="15.75" customHeight="1">
      <c r="A22" s="463">
        <f t="shared" si="0"/>
        <v>112011883</v>
      </c>
      <c r="B22" s="501">
        <f t="shared" si="94"/>
        <v>22</v>
      </c>
      <c r="C22" s="699">
        <f t="shared" si="2"/>
        <v>0.1</v>
      </c>
      <c r="D22" s="558">
        <f t="shared" si="3"/>
        <v>0.09</v>
      </c>
      <c r="E22" s="715">
        <f t="shared" si="4"/>
        <v>0</v>
      </c>
      <c r="F22" s="936">
        <f t="shared" si="5"/>
        <v>22</v>
      </c>
      <c r="G22" s="699">
        <f t="shared" si="6"/>
        <v>0.1</v>
      </c>
      <c r="H22" s="699">
        <f t="shared" si="7"/>
        <v>0.09</v>
      </c>
      <c r="I22" s="702">
        <f t="shared" si="8"/>
        <v>0</v>
      </c>
      <c r="J22" s="837">
        <f t="shared" si="9"/>
        <v>63</v>
      </c>
      <c r="K22" s="700">
        <f t="shared" si="10"/>
        <v>0.1</v>
      </c>
      <c r="L22" s="702">
        <f t="shared" si="11"/>
        <v>0.05</v>
      </c>
      <c r="M22" s="423" t="s">
        <v>857</v>
      </c>
      <c r="N22" s="121">
        <f t="shared" si="12"/>
        <v>386401.71</v>
      </c>
      <c r="O22" s="416">
        <f t="shared" si="13"/>
        <v>649560.59459550004</v>
      </c>
      <c r="P22" s="113">
        <f t="shared" si="14"/>
        <v>952855.22</v>
      </c>
      <c r="Q22" s="116">
        <f t="shared" si="15"/>
        <v>33330.43</v>
      </c>
      <c r="R22" s="117">
        <f t="shared" si="16"/>
        <v>986185.65</v>
      </c>
      <c r="S22" s="114">
        <f t="shared" si="17"/>
        <v>336625.05540449999</v>
      </c>
      <c r="T22" s="413">
        <f t="shared" si="18"/>
        <v>1.518235031812738</v>
      </c>
      <c r="U22" s="100">
        <f t="shared" si="19"/>
        <v>548400.23</v>
      </c>
      <c r="V22" s="113">
        <f t="shared" si="20"/>
        <v>993002.00646674994</v>
      </c>
      <c r="W22" s="116">
        <f t="shared" si="21"/>
        <v>515425.4</v>
      </c>
      <c r="X22" s="116">
        <f t="shared" si="22"/>
        <v>5598.88</v>
      </c>
      <c r="Y22" s="116">
        <f t="shared" si="23"/>
        <v>521024.28</v>
      </c>
      <c r="Z22" s="116">
        <f t="shared" si="24"/>
        <v>-471977.72646674991</v>
      </c>
      <c r="AA22" s="413">
        <f t="shared" si="25"/>
        <v>0.52469609991412058</v>
      </c>
      <c r="AB22" s="114">
        <f t="shared" si="26"/>
        <v>2203009.67</v>
      </c>
      <c r="AC22" s="121">
        <f t="shared" si="27"/>
        <v>3690647.0249092495</v>
      </c>
      <c r="AD22" s="113">
        <f t="shared" si="28"/>
        <v>369090.16</v>
      </c>
      <c r="AE22" s="116">
        <f t="shared" si="29"/>
        <v>10892.38</v>
      </c>
      <c r="AF22" s="117">
        <f t="shared" si="30"/>
        <v>379982.54</v>
      </c>
      <c r="AG22" s="114">
        <f t="shared" si="31"/>
        <v>-3310664.4849092495</v>
      </c>
      <c r="AH22" s="97">
        <f t="shared" si="32"/>
        <v>0.10295824483766325</v>
      </c>
      <c r="AI22" s="839">
        <f t="shared" si="33"/>
        <v>5333209.6259714998</v>
      </c>
      <c r="AJ22" s="114">
        <f t="shared" si="34"/>
        <v>4350940.2</v>
      </c>
      <c r="AK22" s="116">
        <f t="shared" ref="AK22:AL22" si="134">SUM(AD22,W22,P22)</f>
        <v>1837370.78</v>
      </c>
      <c r="AL22" s="116">
        <f t="shared" si="134"/>
        <v>49821.69</v>
      </c>
      <c r="AM22" s="116">
        <f t="shared" si="36"/>
        <v>2408216.75</v>
      </c>
      <c r="AN22" s="116">
        <f t="shared" si="37"/>
        <v>-1942723.4500000002</v>
      </c>
      <c r="AO22" s="938">
        <f t="shared" si="38"/>
        <v>0.55349341505544014</v>
      </c>
      <c r="AP22" s="845">
        <f t="shared" si="39"/>
        <v>1782754.25</v>
      </c>
      <c r="AQ22" s="140">
        <f t="shared" si="40"/>
        <v>187411.59</v>
      </c>
      <c r="AR22" s="123">
        <f t="shared" si="41"/>
        <v>22329.38</v>
      </c>
      <c r="AS22" s="148">
        <f t="shared" si="42"/>
        <v>209740.97</v>
      </c>
      <c r="AT22" s="845">
        <f t="shared" si="43"/>
        <v>414624.25</v>
      </c>
      <c r="AU22" s="140">
        <f t="shared" si="44"/>
        <v>45751.74</v>
      </c>
      <c r="AV22" s="326">
        <f t="shared" si="45"/>
        <v>8027.35</v>
      </c>
      <c r="AW22" s="333">
        <f t="shared" si="46"/>
        <v>53779.09</v>
      </c>
      <c r="AX22" s="939">
        <f t="shared" si="47"/>
        <v>272592.61</v>
      </c>
      <c r="AY22" s="123">
        <f t="shared" si="48"/>
        <v>1328</v>
      </c>
      <c r="AZ22" s="123">
        <f t="shared" si="49"/>
        <v>8027.35</v>
      </c>
      <c r="BA22" s="125">
        <f t="shared" si="50"/>
        <v>9355.35</v>
      </c>
      <c r="BB22" s="940">
        <f t="shared" si="51"/>
        <v>234491.33</v>
      </c>
      <c r="BC22" s="116">
        <f t="shared" si="52"/>
        <v>38384.080000000002</v>
      </c>
      <c r="BD22" s="117">
        <f t="shared" si="53"/>
        <v>272875.40999999997</v>
      </c>
      <c r="BE22" s="114">
        <f t="shared" si="54"/>
        <v>2071862.11</v>
      </c>
      <c r="BF22" s="116">
        <f t="shared" ref="BF22:BG22" si="135">SUM(BC22,AL22)</f>
        <v>88205.77</v>
      </c>
      <c r="BG22" s="119">
        <f t="shared" si="135"/>
        <v>2681092.16</v>
      </c>
      <c r="BH22" s="845">
        <f t="shared" si="56"/>
        <v>493252.71</v>
      </c>
      <c r="BI22" s="140">
        <f t="shared" si="57"/>
        <v>53879.8</v>
      </c>
      <c r="BJ22" s="326">
        <f t="shared" si="58"/>
        <v>80469.509999999995</v>
      </c>
      <c r="BK22" s="333">
        <f t="shared" si="59"/>
        <v>134349.31</v>
      </c>
      <c r="BL22" s="939">
        <f t="shared" si="60"/>
        <v>506698.26</v>
      </c>
      <c r="BM22" s="123">
        <f t="shared" si="61"/>
        <v>407831</v>
      </c>
      <c r="BN22" s="123">
        <f t="shared" si="62"/>
        <v>0</v>
      </c>
      <c r="BO22" s="123">
        <f t="shared" si="63"/>
        <v>407831</v>
      </c>
      <c r="BP22" s="332">
        <f t="shared" si="64"/>
        <v>1478046.19</v>
      </c>
      <c r="BQ22" s="140">
        <f t="shared" si="65"/>
        <v>1834368.13</v>
      </c>
      <c r="BR22" s="326">
        <f t="shared" si="66"/>
        <v>40029.5</v>
      </c>
      <c r="BS22" s="333">
        <f t="shared" si="67"/>
        <v>1874397.63</v>
      </c>
      <c r="BT22" s="140">
        <f t="shared" ref="BT22:BV22" si="136">SUM(BQ22,BM22,BI22)</f>
        <v>2296078.9299999997</v>
      </c>
      <c r="BU22" s="326">
        <f t="shared" si="136"/>
        <v>120499.01</v>
      </c>
      <c r="BV22" s="333">
        <f t="shared" si="136"/>
        <v>2416577.94</v>
      </c>
      <c r="BW22" s="845">
        <f t="shared" si="69"/>
        <v>1411326.69</v>
      </c>
      <c r="BX22" s="140">
        <f t="shared" si="70"/>
        <v>1155607.31</v>
      </c>
      <c r="BY22" s="123">
        <f t="shared" si="71"/>
        <v>86307.25</v>
      </c>
      <c r="BZ22" s="148">
        <f t="shared" si="72"/>
        <v>1241914.56</v>
      </c>
      <c r="CA22" s="939">
        <f t="shared" si="73"/>
        <v>944875.61</v>
      </c>
      <c r="CB22" s="941">
        <f t="shared" si="74"/>
        <v>1994737.9</v>
      </c>
      <c r="CF22" s="242" t="s">
        <v>90</v>
      </c>
      <c r="CG22" s="243"/>
      <c r="CH22" s="243"/>
    </row>
    <row r="23" spans="1:86" ht="15.75" customHeight="1">
      <c r="A23" s="463">
        <f t="shared" si="0"/>
        <v>112010010</v>
      </c>
      <c r="B23" s="501">
        <f t="shared" si="94"/>
        <v>7</v>
      </c>
      <c r="C23" s="699">
        <f t="shared" si="2"/>
        <v>0.1</v>
      </c>
      <c r="D23" s="558">
        <f t="shared" si="3"/>
        <v>0.2</v>
      </c>
      <c r="E23" s="715">
        <f t="shared" si="4"/>
        <v>0</v>
      </c>
      <c r="F23" s="936">
        <f t="shared" si="5"/>
        <v>7</v>
      </c>
      <c r="G23" s="699">
        <f t="shared" si="6"/>
        <v>0.1</v>
      </c>
      <c r="H23" s="699">
        <f t="shared" si="7"/>
        <v>0.2</v>
      </c>
      <c r="I23" s="702">
        <f t="shared" si="8"/>
        <v>0</v>
      </c>
      <c r="J23" s="837">
        <f t="shared" si="9"/>
        <v>62</v>
      </c>
      <c r="K23" s="700">
        <f t="shared" si="10"/>
        <v>0.1</v>
      </c>
      <c r="L23" s="702">
        <f t="shared" si="11"/>
        <v>0.11</v>
      </c>
      <c r="M23" s="423" t="s">
        <v>858</v>
      </c>
      <c r="N23" s="121">
        <f t="shared" si="12"/>
        <v>191534.6</v>
      </c>
      <c r="O23" s="416">
        <f t="shared" si="13"/>
        <v>321979.23933000001</v>
      </c>
      <c r="P23" s="113">
        <f t="shared" si="14"/>
        <v>1015640.7</v>
      </c>
      <c r="Q23" s="116">
        <f t="shared" si="15"/>
        <v>38330.519999999997</v>
      </c>
      <c r="R23" s="117">
        <f t="shared" si="16"/>
        <v>1053971.22</v>
      </c>
      <c r="S23" s="114">
        <f t="shared" si="17"/>
        <v>731991.98066999996</v>
      </c>
      <c r="T23" s="413">
        <f t="shared" si="18"/>
        <v>3.2734135970790756</v>
      </c>
      <c r="U23" s="100">
        <f t="shared" si="19"/>
        <v>439466.6</v>
      </c>
      <c r="V23" s="113">
        <f t="shared" si="20"/>
        <v>795753.15928499994</v>
      </c>
      <c r="W23" s="116">
        <f t="shared" si="21"/>
        <v>887912.37</v>
      </c>
      <c r="X23" s="116">
        <f t="shared" si="22"/>
        <v>38330.519999999997</v>
      </c>
      <c r="Y23" s="116">
        <f t="shared" si="23"/>
        <v>926242.89</v>
      </c>
      <c r="Z23" s="116">
        <f t="shared" si="24"/>
        <v>130489.73071500007</v>
      </c>
      <c r="AA23" s="413">
        <f t="shared" si="25"/>
        <v>1.1639826737631147</v>
      </c>
      <c r="AB23" s="114">
        <f t="shared" si="26"/>
        <v>525156.25</v>
      </c>
      <c r="AC23" s="121">
        <f t="shared" si="27"/>
        <v>879781.13671875</v>
      </c>
      <c r="AD23" s="113">
        <f t="shared" si="28"/>
        <v>754151.5</v>
      </c>
      <c r="AE23" s="116">
        <f t="shared" si="29"/>
        <v>0</v>
      </c>
      <c r="AF23" s="117">
        <f t="shared" si="30"/>
        <v>754151.5</v>
      </c>
      <c r="AG23" s="114">
        <f t="shared" si="31"/>
        <v>-125629.63671875</v>
      </c>
      <c r="AH23" s="97">
        <f t="shared" si="32"/>
        <v>0.85720353452075493</v>
      </c>
      <c r="AI23" s="839">
        <f t="shared" si="33"/>
        <v>1997513.5353337498</v>
      </c>
      <c r="AJ23" s="114">
        <f t="shared" si="34"/>
        <v>2378804.7799999998</v>
      </c>
      <c r="AK23" s="116">
        <f t="shared" ref="AK23:AL23" si="137">SUM(AD23,W23,P23)</f>
        <v>2657704.5700000003</v>
      </c>
      <c r="AL23" s="116">
        <f t="shared" si="137"/>
        <v>76661.039999999994</v>
      </c>
      <c r="AM23" s="116">
        <f t="shared" si="36"/>
        <v>3660608.5</v>
      </c>
      <c r="AN23" s="116">
        <f t="shared" si="37"/>
        <v>1281803.7200000002</v>
      </c>
      <c r="AO23" s="938">
        <f t="shared" si="38"/>
        <v>1.5388435952276842</v>
      </c>
      <c r="AP23" s="845">
        <f t="shared" si="39"/>
        <v>461023.85</v>
      </c>
      <c r="AQ23" s="140">
        <f t="shared" si="40"/>
        <v>1004540.8500000001</v>
      </c>
      <c r="AR23" s="123">
        <f t="shared" si="41"/>
        <v>225651.69</v>
      </c>
      <c r="AS23" s="148">
        <f t="shared" si="42"/>
        <v>1230192.54</v>
      </c>
      <c r="AT23" s="845">
        <f t="shared" si="43"/>
        <v>140403.19</v>
      </c>
      <c r="AU23" s="140">
        <f t="shared" si="44"/>
        <v>563197.76</v>
      </c>
      <c r="AV23" s="326">
        <f t="shared" si="45"/>
        <v>35094.559999999998</v>
      </c>
      <c r="AW23" s="333">
        <f t="shared" si="46"/>
        <v>598292.31999999995</v>
      </c>
      <c r="AX23" s="939">
        <f t="shared" si="47"/>
        <v>465294.19</v>
      </c>
      <c r="AY23" s="123">
        <f t="shared" si="48"/>
        <v>663496.84000000008</v>
      </c>
      <c r="AZ23" s="123">
        <f t="shared" si="49"/>
        <v>46718.720000000001</v>
      </c>
      <c r="BA23" s="125">
        <f t="shared" si="50"/>
        <v>710215.56</v>
      </c>
      <c r="BB23" s="940">
        <f t="shared" si="51"/>
        <v>2231235.4500000002</v>
      </c>
      <c r="BC23" s="116">
        <f t="shared" si="52"/>
        <v>307464.96999999997</v>
      </c>
      <c r="BD23" s="117">
        <f t="shared" si="53"/>
        <v>2538700.42</v>
      </c>
      <c r="BE23" s="114">
        <f t="shared" si="54"/>
        <v>4888940.0200000005</v>
      </c>
      <c r="BF23" s="116">
        <f t="shared" ref="BF23:BG23" si="138">SUM(BC23,AL23)</f>
        <v>384126.00999999995</v>
      </c>
      <c r="BG23" s="119">
        <f t="shared" si="138"/>
        <v>6199308.9199999999</v>
      </c>
      <c r="BH23" s="845">
        <f t="shared" si="56"/>
        <v>683333.34</v>
      </c>
      <c r="BI23" s="140">
        <f t="shared" si="57"/>
        <v>862988.6399999999</v>
      </c>
      <c r="BJ23" s="326">
        <f t="shared" si="58"/>
        <v>244941.82</v>
      </c>
      <c r="BK23" s="333">
        <f t="shared" si="59"/>
        <v>1107930.46</v>
      </c>
      <c r="BL23" s="939">
        <f t="shared" si="60"/>
        <v>1185845.6000000001</v>
      </c>
      <c r="BM23" s="123">
        <f t="shared" si="61"/>
        <v>783529.52</v>
      </c>
      <c r="BN23" s="123">
        <f t="shared" si="62"/>
        <v>110429</v>
      </c>
      <c r="BO23" s="123">
        <f t="shared" si="63"/>
        <v>893958.52</v>
      </c>
      <c r="BP23" s="332">
        <f t="shared" si="64"/>
        <v>538765.32999999996</v>
      </c>
      <c r="BQ23" s="140">
        <f t="shared" si="65"/>
        <v>1290398.1199999999</v>
      </c>
      <c r="BR23" s="326">
        <f t="shared" si="66"/>
        <v>127410.35</v>
      </c>
      <c r="BS23" s="333">
        <f t="shared" si="67"/>
        <v>1417808.47</v>
      </c>
      <c r="BT23" s="140">
        <f t="shared" ref="BT23:BV23" si="139">SUM(BQ23,BM23,BI23)</f>
        <v>2936916.28</v>
      </c>
      <c r="BU23" s="326">
        <f t="shared" si="139"/>
        <v>482781.17000000004</v>
      </c>
      <c r="BV23" s="333">
        <f t="shared" si="139"/>
        <v>3419697.45</v>
      </c>
      <c r="BW23" s="845">
        <f t="shared" si="69"/>
        <v>996313.34</v>
      </c>
      <c r="BX23" s="140">
        <f t="shared" si="70"/>
        <v>1996121.6600000001</v>
      </c>
      <c r="BY23" s="123">
        <f t="shared" si="71"/>
        <v>357669.23</v>
      </c>
      <c r="BZ23" s="148">
        <f t="shared" si="72"/>
        <v>2353790.89</v>
      </c>
      <c r="CA23" s="939">
        <f t="shared" si="73"/>
        <v>689124.3</v>
      </c>
      <c r="CB23" s="941">
        <f t="shared" si="74"/>
        <v>693367.15</v>
      </c>
      <c r="CF23" s="242" t="s">
        <v>92</v>
      </c>
      <c r="CG23" s="243"/>
      <c r="CH23" s="243"/>
    </row>
    <row r="24" spans="1:86" ht="15.75" customHeight="1">
      <c r="A24" s="463">
        <f t="shared" si="0"/>
        <v>112010020</v>
      </c>
      <c r="B24" s="501">
        <f t="shared" si="94"/>
        <v>22</v>
      </c>
      <c r="C24" s="699">
        <f t="shared" si="2"/>
        <v>0.1</v>
      </c>
      <c r="D24" s="558">
        <f t="shared" si="3"/>
        <v>0.09</v>
      </c>
      <c r="E24" s="715">
        <f t="shared" si="4"/>
        <v>0</v>
      </c>
      <c r="F24" s="936">
        <f t="shared" si="5"/>
        <v>22</v>
      </c>
      <c r="G24" s="699">
        <f t="shared" si="6"/>
        <v>0.1</v>
      </c>
      <c r="H24" s="699">
        <f t="shared" si="7"/>
        <v>0.09</v>
      </c>
      <c r="I24" s="702">
        <f t="shared" si="8"/>
        <v>0</v>
      </c>
      <c r="J24" s="837">
        <f t="shared" si="9"/>
        <v>63</v>
      </c>
      <c r="K24" s="700">
        <f t="shared" si="10"/>
        <v>0.1</v>
      </c>
      <c r="L24" s="702">
        <f t="shared" si="11"/>
        <v>0.05</v>
      </c>
      <c r="M24" s="423" t="s">
        <v>859</v>
      </c>
      <c r="N24" s="121">
        <f t="shared" si="12"/>
        <v>200683.58</v>
      </c>
      <c r="O24" s="416">
        <f t="shared" si="13"/>
        <v>337359.13215899997</v>
      </c>
      <c r="P24" s="113" t="e">
        <f t="shared" si="14"/>
        <v>#VALUE!</v>
      </c>
      <c r="Q24" s="116" t="str">
        <f t="shared" si="15"/>
        <v/>
      </c>
      <c r="R24" s="117">
        <f t="shared" si="16"/>
        <v>168986.79</v>
      </c>
      <c r="S24" s="114">
        <f t="shared" si="17"/>
        <v>-168372.34215899996</v>
      </c>
      <c r="T24" s="413">
        <f t="shared" si="18"/>
        <v>0.50091067320020022</v>
      </c>
      <c r="U24" s="100">
        <f t="shared" si="19"/>
        <v>30559.15</v>
      </c>
      <c r="V24" s="113">
        <f t="shared" si="20"/>
        <v>55334.216883750007</v>
      </c>
      <c r="W24" s="116" t="e">
        <f t="shared" si="21"/>
        <v>#VALUE!</v>
      </c>
      <c r="X24" s="116" t="str">
        <f t="shared" si="22"/>
        <v/>
      </c>
      <c r="Y24" s="116">
        <f t="shared" si="23"/>
        <v>672792.47</v>
      </c>
      <c r="Z24" s="116">
        <f t="shared" si="24"/>
        <v>617458.25311624992</v>
      </c>
      <c r="AA24" s="413">
        <f t="shared" si="25"/>
        <v>12.158705912716709</v>
      </c>
      <c r="AB24" s="114">
        <f t="shared" si="26"/>
        <v>0</v>
      </c>
      <c r="AC24" s="121">
        <f t="shared" si="27"/>
        <v>0</v>
      </c>
      <c r="AD24" s="113" t="e">
        <f t="shared" si="28"/>
        <v>#VALUE!</v>
      </c>
      <c r="AE24" s="116" t="str">
        <f t="shared" si="29"/>
        <v/>
      </c>
      <c r="AF24" s="117">
        <f t="shared" si="30"/>
        <v>1418134.66</v>
      </c>
      <c r="AG24" s="114">
        <f t="shared" si="31"/>
        <v>1418134.66</v>
      </c>
      <c r="AH24" s="97" t="e">
        <f t="shared" si="32"/>
        <v>#DIV/0!</v>
      </c>
      <c r="AI24" s="839">
        <f t="shared" si="33"/>
        <v>392693.34904274996</v>
      </c>
      <c r="AJ24" s="114">
        <f t="shared" si="34"/>
        <v>1731873.42</v>
      </c>
      <c r="AK24" s="116" t="e">
        <f t="shared" ref="AK24:AL24" si="140">SUM(AD24,W24,P24)</f>
        <v>#VALUE!</v>
      </c>
      <c r="AL24" s="116">
        <f t="shared" si="140"/>
        <v>0</v>
      </c>
      <c r="AM24" s="116">
        <f t="shared" si="36"/>
        <v>2932706.3899999997</v>
      </c>
      <c r="AN24" s="116">
        <f t="shared" si="37"/>
        <v>1200832.9699999997</v>
      </c>
      <c r="AO24" s="938">
        <f t="shared" si="38"/>
        <v>1.6933722500343009</v>
      </c>
      <c r="AP24" s="845">
        <f t="shared" si="39"/>
        <v>682508.33</v>
      </c>
      <c r="AQ24" s="140" t="e">
        <f t="shared" si="40"/>
        <v>#VALUE!</v>
      </c>
      <c r="AR24" s="123" t="str">
        <f t="shared" si="41"/>
        <v/>
      </c>
      <c r="AS24" s="148">
        <f t="shared" si="42"/>
        <v>271583.15000000002</v>
      </c>
      <c r="AT24" s="845">
        <f t="shared" si="43"/>
        <v>784910.3</v>
      </c>
      <c r="AU24" s="140" t="e">
        <f t="shared" si="44"/>
        <v>#VALUE!</v>
      </c>
      <c r="AV24" s="326" t="str">
        <f t="shared" si="45"/>
        <v/>
      </c>
      <c r="AW24" s="333">
        <f t="shared" si="46"/>
        <v>379779.3</v>
      </c>
      <c r="AX24" s="939">
        <f t="shared" si="47"/>
        <v>739798.11</v>
      </c>
      <c r="AY24" s="123" t="e">
        <f t="shared" si="48"/>
        <v>#VALUE!</v>
      </c>
      <c r="AZ24" s="123" t="str">
        <f t="shared" si="49"/>
        <v/>
      </c>
      <c r="BA24" s="125">
        <f t="shared" si="50"/>
        <v>83208.77</v>
      </c>
      <c r="BB24" s="940" t="e">
        <f t="shared" si="51"/>
        <v>#VALUE!</v>
      </c>
      <c r="BC24" s="116" t="e">
        <f t="shared" si="52"/>
        <v>#VALUE!</v>
      </c>
      <c r="BD24" s="117">
        <f t="shared" si="53"/>
        <v>734571.22</v>
      </c>
      <c r="BE24" s="114" t="e">
        <f t="shared" si="54"/>
        <v>#VALUE!</v>
      </c>
      <c r="BF24" s="116" t="e">
        <f t="shared" ref="BF24:BG24" si="141">SUM(BC24,AL24)</f>
        <v>#VALUE!</v>
      </c>
      <c r="BG24" s="119">
        <f t="shared" si="141"/>
        <v>3667277.6099999994</v>
      </c>
      <c r="BH24" s="845">
        <f t="shared" si="56"/>
        <v>384350.79</v>
      </c>
      <c r="BI24" s="140" t="e">
        <f t="shared" si="57"/>
        <v>#VALUE!</v>
      </c>
      <c r="BJ24" s="326" t="str">
        <f t="shared" si="58"/>
        <v/>
      </c>
      <c r="BK24" s="333">
        <f t="shared" si="59"/>
        <v>1320382.17</v>
      </c>
      <c r="BL24" s="939">
        <f t="shared" si="60"/>
        <v>26624.05</v>
      </c>
      <c r="BM24" s="123" t="e">
        <f t="shared" si="61"/>
        <v>#VALUE!</v>
      </c>
      <c r="BN24" s="123" t="str">
        <f t="shared" si="62"/>
        <v/>
      </c>
      <c r="BO24" s="123">
        <f t="shared" si="63"/>
        <v>80983.8</v>
      </c>
      <c r="BP24" s="332">
        <f t="shared" si="64"/>
        <v>353552.75</v>
      </c>
      <c r="BQ24" s="140" t="e">
        <f t="shared" si="65"/>
        <v>#VALUE!</v>
      </c>
      <c r="BR24" s="326" t="str">
        <f t="shared" si="66"/>
        <v/>
      </c>
      <c r="BS24" s="333">
        <f t="shared" si="67"/>
        <v>1066414.58</v>
      </c>
      <c r="BT24" s="140" t="e">
        <f t="shared" ref="BT24:BV24" si="142">SUM(BQ24,BM24,BI24)</f>
        <v>#VALUE!</v>
      </c>
      <c r="BU24" s="326">
        <f t="shared" si="142"/>
        <v>0</v>
      </c>
      <c r="BV24" s="333">
        <f t="shared" si="142"/>
        <v>2467780.5499999998</v>
      </c>
      <c r="BW24" s="845">
        <f t="shared" si="69"/>
        <v>200086.2</v>
      </c>
      <c r="BX24" s="140" t="e">
        <f t="shared" si="70"/>
        <v>#VALUE!</v>
      </c>
      <c r="BY24" s="123" t="str">
        <f t="shared" si="71"/>
        <v/>
      </c>
      <c r="BZ24" s="148">
        <f t="shared" si="72"/>
        <v>541435.21</v>
      </c>
      <c r="CA24" s="939">
        <f t="shared" si="73"/>
        <v>402071.12</v>
      </c>
      <c r="CB24" s="941">
        <f t="shared" si="74"/>
        <v>1129716.1000000001</v>
      </c>
      <c r="CF24" s="242" t="s">
        <v>94</v>
      </c>
      <c r="CG24" s="242"/>
      <c r="CH24" s="242"/>
    </row>
    <row r="25" spans="1:86" ht="15.75" customHeight="1">
      <c r="A25" s="463">
        <f t="shared" si="0"/>
        <v>112012374</v>
      </c>
      <c r="B25" s="501" t="e">
        <f t="shared" si="94"/>
        <v>#N/A</v>
      </c>
      <c r="C25" s="699" t="str">
        <f t="shared" si="2"/>
        <v/>
      </c>
      <c r="D25" s="558" t="str">
        <f t="shared" si="3"/>
        <v/>
      </c>
      <c r="E25" s="715" t="str">
        <f t="shared" si="4"/>
        <v/>
      </c>
      <c r="F25" s="936" t="e">
        <f t="shared" si="5"/>
        <v>#N/A</v>
      </c>
      <c r="G25" s="699" t="str">
        <f t="shared" si="6"/>
        <v/>
      </c>
      <c r="H25" s="699" t="str">
        <f t="shared" si="7"/>
        <v/>
      </c>
      <c r="I25" s="702" t="str">
        <f t="shared" si="8"/>
        <v/>
      </c>
      <c r="J25" s="837">
        <f t="shared" si="9"/>
        <v>63</v>
      </c>
      <c r="K25" s="700">
        <f t="shared" si="10"/>
        <v>0.1</v>
      </c>
      <c r="L25" s="702">
        <f t="shared" si="11"/>
        <v>0.05</v>
      </c>
      <c r="M25" s="423" t="s">
        <v>860</v>
      </c>
      <c r="N25" s="121" t="str">
        <f t="shared" si="12"/>
        <v/>
      </c>
      <c r="O25" s="416" t="e">
        <f t="shared" si="13"/>
        <v>#VALUE!</v>
      </c>
      <c r="P25" s="113" t="e">
        <f t="shared" si="14"/>
        <v>#VALUE!</v>
      </c>
      <c r="Q25" s="116" t="str">
        <f t="shared" si="15"/>
        <v/>
      </c>
      <c r="R25" s="117" t="str">
        <f t="shared" si="16"/>
        <v/>
      </c>
      <c r="S25" s="114" t="e">
        <f t="shared" si="17"/>
        <v>#VALUE!</v>
      </c>
      <c r="T25" s="413" t="str">
        <f t="shared" si="18"/>
        <v/>
      </c>
      <c r="U25" s="100" t="str">
        <f t="shared" si="19"/>
        <v/>
      </c>
      <c r="V25" s="113" t="e">
        <f t="shared" si="20"/>
        <v>#VALUE!</v>
      </c>
      <c r="W25" s="116" t="e">
        <f t="shared" si="21"/>
        <v>#VALUE!</v>
      </c>
      <c r="X25" s="116" t="str">
        <f t="shared" si="22"/>
        <v/>
      </c>
      <c r="Y25" s="116" t="str">
        <f t="shared" si="23"/>
        <v/>
      </c>
      <c r="Z25" s="116" t="e">
        <f t="shared" si="24"/>
        <v>#VALUE!</v>
      </c>
      <c r="AA25" s="413" t="e">
        <f t="shared" si="25"/>
        <v>#VALUE!</v>
      </c>
      <c r="AB25" s="114" t="str">
        <f t="shared" si="26"/>
        <v/>
      </c>
      <c r="AC25" s="121" t="e">
        <f t="shared" si="27"/>
        <v>#VALUE!</v>
      </c>
      <c r="AD25" s="113" t="e">
        <f t="shared" si="28"/>
        <v>#VALUE!</v>
      </c>
      <c r="AE25" s="116" t="str">
        <f t="shared" si="29"/>
        <v/>
      </c>
      <c r="AF25" s="117" t="str">
        <f t="shared" si="30"/>
        <v/>
      </c>
      <c r="AG25" s="114" t="e">
        <f t="shared" si="31"/>
        <v>#VALUE!</v>
      </c>
      <c r="AH25" s="97" t="e">
        <f t="shared" si="32"/>
        <v>#VALUE!</v>
      </c>
      <c r="AI25" s="839" t="e">
        <f t="shared" si="33"/>
        <v>#VALUE!</v>
      </c>
      <c r="AJ25" s="114">
        <f t="shared" si="34"/>
        <v>658508.68999999994</v>
      </c>
      <c r="AK25" s="116" t="e">
        <f t="shared" ref="AK25:AL25" si="143">SUM(AD25,W25,P25)</f>
        <v>#VALUE!</v>
      </c>
      <c r="AL25" s="116">
        <f t="shared" si="143"/>
        <v>0</v>
      </c>
      <c r="AM25" s="116">
        <f t="shared" si="36"/>
        <v>0</v>
      </c>
      <c r="AN25" s="116">
        <f t="shared" si="37"/>
        <v>-658508.68999999994</v>
      </c>
      <c r="AO25" s="938">
        <f t="shared" si="38"/>
        <v>0</v>
      </c>
      <c r="AP25" s="845" t="str">
        <f t="shared" si="39"/>
        <v/>
      </c>
      <c r="AQ25" s="140" t="e">
        <f t="shared" si="40"/>
        <v>#VALUE!</v>
      </c>
      <c r="AR25" s="123" t="str">
        <f t="shared" si="41"/>
        <v/>
      </c>
      <c r="AS25" s="148" t="str">
        <f t="shared" si="42"/>
        <v/>
      </c>
      <c r="AT25" s="845" t="str">
        <f t="shared" si="43"/>
        <v/>
      </c>
      <c r="AU25" s="140" t="e">
        <f t="shared" si="44"/>
        <v>#VALUE!</v>
      </c>
      <c r="AV25" s="326" t="str">
        <f t="shared" si="45"/>
        <v/>
      </c>
      <c r="AW25" s="333" t="str">
        <f t="shared" si="46"/>
        <v/>
      </c>
      <c r="AX25" s="939" t="str">
        <f t="shared" si="47"/>
        <v/>
      </c>
      <c r="AY25" s="123" t="e">
        <f t="shared" si="48"/>
        <v>#VALUE!</v>
      </c>
      <c r="AZ25" s="123" t="str">
        <f t="shared" si="49"/>
        <v/>
      </c>
      <c r="BA25" s="125" t="str">
        <f t="shared" si="50"/>
        <v/>
      </c>
      <c r="BB25" s="940" t="e">
        <f t="shared" si="51"/>
        <v>#VALUE!</v>
      </c>
      <c r="BC25" s="116" t="e">
        <f t="shared" si="52"/>
        <v>#VALUE!</v>
      </c>
      <c r="BD25" s="117" t="e">
        <f t="shared" si="53"/>
        <v>#VALUE!</v>
      </c>
      <c r="BE25" s="114" t="e">
        <f t="shared" si="54"/>
        <v>#VALUE!</v>
      </c>
      <c r="BF25" s="116" t="e">
        <f t="shared" ref="BF25:BG25" si="144">SUM(BC25,AL25)</f>
        <v>#VALUE!</v>
      </c>
      <c r="BG25" s="119" t="e">
        <f t="shared" si="144"/>
        <v>#VALUE!</v>
      </c>
      <c r="BH25" s="845" t="str">
        <f t="shared" si="56"/>
        <v/>
      </c>
      <c r="BI25" s="140" t="e">
        <f t="shared" si="57"/>
        <v>#VALUE!</v>
      </c>
      <c r="BJ25" s="326" t="str">
        <f t="shared" si="58"/>
        <v/>
      </c>
      <c r="BK25" s="333" t="str">
        <f t="shared" si="59"/>
        <v/>
      </c>
      <c r="BL25" s="939" t="str">
        <f t="shared" si="60"/>
        <v/>
      </c>
      <c r="BM25" s="123" t="e">
        <f t="shared" si="61"/>
        <v>#VALUE!</v>
      </c>
      <c r="BN25" s="123" t="str">
        <f t="shared" si="62"/>
        <v/>
      </c>
      <c r="BO25" s="123" t="str">
        <f t="shared" si="63"/>
        <v/>
      </c>
      <c r="BP25" s="332" t="str">
        <f t="shared" si="64"/>
        <v/>
      </c>
      <c r="BQ25" s="140" t="e">
        <f t="shared" si="65"/>
        <v>#VALUE!</v>
      </c>
      <c r="BR25" s="326" t="str">
        <f t="shared" si="66"/>
        <v/>
      </c>
      <c r="BS25" s="333" t="str">
        <f t="shared" si="67"/>
        <v/>
      </c>
      <c r="BT25" s="140" t="e">
        <f t="shared" ref="BT25:BV25" si="145">SUM(BQ25,BM25,BI25)</f>
        <v>#VALUE!</v>
      </c>
      <c r="BU25" s="326">
        <f t="shared" si="145"/>
        <v>0</v>
      </c>
      <c r="BV25" s="333">
        <f t="shared" si="145"/>
        <v>0</v>
      </c>
      <c r="BW25" s="845" t="str">
        <f t="shared" si="69"/>
        <v/>
      </c>
      <c r="BX25" s="140" t="e">
        <f t="shared" si="70"/>
        <v>#VALUE!</v>
      </c>
      <c r="BY25" s="123" t="str">
        <f t="shared" si="71"/>
        <v/>
      </c>
      <c r="BZ25" s="148" t="str">
        <f t="shared" si="72"/>
        <v/>
      </c>
      <c r="CA25" s="939" t="str">
        <f t="shared" si="73"/>
        <v/>
      </c>
      <c r="CB25" s="941" t="str">
        <f t="shared" si="74"/>
        <v/>
      </c>
      <c r="CF25" s="231" t="s">
        <v>861</v>
      </c>
      <c r="CG25" s="231"/>
      <c r="CH25" s="231"/>
    </row>
    <row r="26" spans="1:86" ht="15.75" customHeight="1">
      <c r="A26" s="463">
        <f t="shared" si="0"/>
        <v>112013316</v>
      </c>
      <c r="B26" s="501">
        <f t="shared" si="94"/>
        <v>22</v>
      </c>
      <c r="C26" s="699">
        <f t="shared" si="2"/>
        <v>0.1</v>
      </c>
      <c r="D26" s="558">
        <f t="shared" si="3"/>
        <v>0.09</v>
      </c>
      <c r="E26" s="715">
        <f t="shared" si="4"/>
        <v>0</v>
      </c>
      <c r="F26" s="936">
        <f t="shared" si="5"/>
        <v>22</v>
      </c>
      <c r="G26" s="699">
        <f t="shared" si="6"/>
        <v>0.1</v>
      </c>
      <c r="H26" s="699">
        <f t="shared" si="7"/>
        <v>0.09</v>
      </c>
      <c r="I26" s="702">
        <f t="shared" si="8"/>
        <v>0</v>
      </c>
      <c r="J26" s="837">
        <f t="shared" si="9"/>
        <v>63</v>
      </c>
      <c r="K26" s="700">
        <f t="shared" si="10"/>
        <v>0.1</v>
      </c>
      <c r="L26" s="702">
        <f t="shared" si="11"/>
        <v>0.05</v>
      </c>
      <c r="M26" s="423" t="s">
        <v>862</v>
      </c>
      <c r="N26" s="121">
        <f t="shared" si="12"/>
        <v>1607756.26</v>
      </c>
      <c r="O26" s="416">
        <f t="shared" si="13"/>
        <v>2702718.660873</v>
      </c>
      <c r="P26" s="113" t="e">
        <f t="shared" si="14"/>
        <v>#VALUE!</v>
      </c>
      <c r="Q26" s="116" t="str">
        <f t="shared" si="15"/>
        <v/>
      </c>
      <c r="R26" s="117">
        <f t="shared" si="16"/>
        <v>1939085.76</v>
      </c>
      <c r="S26" s="114">
        <f t="shared" si="17"/>
        <v>-763632.90087300004</v>
      </c>
      <c r="T26" s="413">
        <f t="shared" si="18"/>
        <v>0.71745749495571232</v>
      </c>
      <c r="U26" s="100">
        <f t="shared" si="19"/>
        <v>757843.99</v>
      </c>
      <c r="V26" s="113">
        <f t="shared" si="20"/>
        <v>1372247.0587927499</v>
      </c>
      <c r="W26" s="116" t="e">
        <f t="shared" si="21"/>
        <v>#VALUE!</v>
      </c>
      <c r="X26" s="116" t="str">
        <f t="shared" si="22"/>
        <v/>
      </c>
      <c r="Y26" s="116">
        <f t="shared" si="23"/>
        <v>694216.64</v>
      </c>
      <c r="Z26" s="116">
        <f t="shared" si="24"/>
        <v>-678030.41879274987</v>
      </c>
      <c r="AA26" s="413">
        <f t="shared" si="25"/>
        <v>0.50589770664966482</v>
      </c>
      <c r="AB26" s="114">
        <f t="shared" si="26"/>
        <v>678809.28</v>
      </c>
      <c r="AC26" s="121">
        <f t="shared" si="27"/>
        <v>1137192.216552</v>
      </c>
      <c r="AD26" s="113" t="e">
        <f t="shared" si="28"/>
        <v>#VALUE!</v>
      </c>
      <c r="AE26" s="116" t="str">
        <f t="shared" si="29"/>
        <v/>
      </c>
      <c r="AF26" s="117">
        <f t="shared" si="30"/>
        <v>0</v>
      </c>
      <c r="AG26" s="114">
        <f t="shared" si="31"/>
        <v>-1137192.216552</v>
      </c>
      <c r="AH26" s="97">
        <f t="shared" si="32"/>
        <v>0</v>
      </c>
      <c r="AI26" s="839">
        <f t="shared" si="33"/>
        <v>5212157.9362177495</v>
      </c>
      <c r="AJ26" s="114">
        <f t="shared" si="34"/>
        <v>3562315.53</v>
      </c>
      <c r="AK26" s="116" t="e">
        <f t="shared" ref="AK26:AL26" si="146">SUM(AD26,W26,P26)</f>
        <v>#VALUE!</v>
      </c>
      <c r="AL26" s="116">
        <f t="shared" si="146"/>
        <v>0</v>
      </c>
      <c r="AM26" s="116">
        <f t="shared" si="36"/>
        <v>3327519.04</v>
      </c>
      <c r="AN26" s="116">
        <f t="shared" si="37"/>
        <v>-234796.48999999976</v>
      </c>
      <c r="AO26" s="938">
        <f t="shared" si="38"/>
        <v>0.93408880038203701</v>
      </c>
      <c r="AP26" s="845">
        <f t="shared" si="39"/>
        <v>1834320.42</v>
      </c>
      <c r="AQ26" s="140" t="e">
        <f t="shared" si="40"/>
        <v>#VALUE!</v>
      </c>
      <c r="AR26" s="123" t="str">
        <f t="shared" si="41"/>
        <v/>
      </c>
      <c r="AS26" s="148">
        <f t="shared" si="42"/>
        <v>90865.59</v>
      </c>
      <c r="AT26" s="845">
        <f t="shared" si="43"/>
        <v>200850.93</v>
      </c>
      <c r="AU26" s="140" t="e">
        <f t="shared" si="44"/>
        <v>#VALUE!</v>
      </c>
      <c r="AV26" s="326" t="str">
        <f t="shared" si="45"/>
        <v/>
      </c>
      <c r="AW26" s="333">
        <f t="shared" si="46"/>
        <v>1430522.53</v>
      </c>
      <c r="AX26" s="939">
        <f t="shared" si="47"/>
        <v>766332.01</v>
      </c>
      <c r="AY26" s="123" t="e">
        <f t="shared" si="48"/>
        <v>#VALUE!</v>
      </c>
      <c r="AZ26" s="123" t="str">
        <f t="shared" si="49"/>
        <v/>
      </c>
      <c r="BA26" s="125">
        <f t="shared" si="50"/>
        <v>1373798.96</v>
      </c>
      <c r="BB26" s="940" t="e">
        <f t="shared" si="51"/>
        <v>#VALUE!</v>
      </c>
      <c r="BC26" s="116" t="e">
        <f t="shared" si="52"/>
        <v>#VALUE!</v>
      </c>
      <c r="BD26" s="117">
        <f t="shared" si="53"/>
        <v>2895187.08</v>
      </c>
      <c r="BE26" s="114" t="e">
        <f t="shared" si="54"/>
        <v>#VALUE!</v>
      </c>
      <c r="BF26" s="116" t="e">
        <f t="shared" ref="BF26:BG26" si="147">SUM(BC26,AL26)</f>
        <v>#VALUE!</v>
      </c>
      <c r="BG26" s="119">
        <f t="shared" si="147"/>
        <v>6222706.1200000001</v>
      </c>
      <c r="BH26" s="845">
        <f t="shared" si="56"/>
        <v>767680.06</v>
      </c>
      <c r="BI26" s="140" t="e">
        <f t="shared" si="57"/>
        <v>#VALUE!</v>
      </c>
      <c r="BJ26" s="326" t="str">
        <f t="shared" si="58"/>
        <v/>
      </c>
      <c r="BK26" s="333">
        <f t="shared" si="59"/>
        <v>334787.53000000003</v>
      </c>
      <c r="BL26" s="939">
        <f t="shared" si="60"/>
        <v>1063914.81</v>
      </c>
      <c r="BM26" s="123" t="e">
        <f t="shared" si="61"/>
        <v>#VALUE!</v>
      </c>
      <c r="BN26" s="123" t="str">
        <f t="shared" si="62"/>
        <v/>
      </c>
      <c r="BO26" s="123">
        <f t="shared" si="63"/>
        <v>105077.92</v>
      </c>
      <c r="BP26" s="332">
        <f t="shared" si="64"/>
        <v>560175.21</v>
      </c>
      <c r="BQ26" s="140" t="e">
        <f t="shared" si="65"/>
        <v>#VALUE!</v>
      </c>
      <c r="BR26" s="326" t="str">
        <f t="shared" si="66"/>
        <v/>
      </c>
      <c r="BS26" s="333">
        <f t="shared" si="67"/>
        <v>0</v>
      </c>
      <c r="BT26" s="140" t="e">
        <f t="shared" ref="BT26:BV26" si="148">SUM(BQ26,BM26,BI26)</f>
        <v>#VALUE!</v>
      </c>
      <c r="BU26" s="326">
        <f t="shared" si="148"/>
        <v>0</v>
      </c>
      <c r="BV26" s="333">
        <f t="shared" si="148"/>
        <v>439865.45</v>
      </c>
      <c r="BW26" s="845">
        <f t="shared" si="69"/>
        <v>1875253.78</v>
      </c>
      <c r="BX26" s="140" t="e">
        <f t="shared" si="70"/>
        <v>#VALUE!</v>
      </c>
      <c r="BY26" s="123" t="str">
        <f t="shared" si="71"/>
        <v/>
      </c>
      <c r="BZ26" s="148">
        <f t="shared" si="72"/>
        <v>29754</v>
      </c>
      <c r="CA26" s="939">
        <f t="shared" si="73"/>
        <v>1342831.83</v>
      </c>
      <c r="CB26" s="941">
        <f t="shared" si="74"/>
        <v>344229.93</v>
      </c>
      <c r="CF26" s="231" t="s">
        <v>863</v>
      </c>
      <c r="CG26" s="231"/>
      <c r="CH26" s="231"/>
    </row>
    <row r="27" spans="1:86" ht="15.75" customHeight="1">
      <c r="A27" s="463">
        <f t="shared" si="0"/>
        <v>112013328</v>
      </c>
      <c r="B27" s="501">
        <f t="shared" si="94"/>
        <v>22</v>
      </c>
      <c r="C27" s="699">
        <f t="shared" si="2"/>
        <v>0.1</v>
      </c>
      <c r="D27" s="558">
        <f t="shared" si="3"/>
        <v>0.09</v>
      </c>
      <c r="E27" s="715">
        <f t="shared" si="4"/>
        <v>0</v>
      </c>
      <c r="F27" s="936">
        <f t="shared" si="5"/>
        <v>22</v>
      </c>
      <c r="G27" s="699">
        <f t="shared" si="6"/>
        <v>0.1</v>
      </c>
      <c r="H27" s="699">
        <f t="shared" si="7"/>
        <v>0.09</v>
      </c>
      <c r="I27" s="702">
        <f t="shared" si="8"/>
        <v>0</v>
      </c>
      <c r="J27" s="837">
        <f t="shared" si="9"/>
        <v>63</v>
      </c>
      <c r="K27" s="700">
        <f t="shared" si="10"/>
        <v>0.1</v>
      </c>
      <c r="L27" s="702">
        <f t="shared" si="11"/>
        <v>0.05</v>
      </c>
      <c r="M27" s="423" t="s">
        <v>864</v>
      </c>
      <c r="N27" s="121">
        <f t="shared" si="12"/>
        <v>256160.57</v>
      </c>
      <c r="O27" s="416">
        <f t="shared" si="13"/>
        <v>430618.72619850002</v>
      </c>
      <c r="P27" s="113">
        <f t="shared" si="14"/>
        <v>1414200.15</v>
      </c>
      <c r="Q27" s="116">
        <f t="shared" si="15"/>
        <v>13200</v>
      </c>
      <c r="R27" s="117">
        <f t="shared" si="16"/>
        <v>1427400.15</v>
      </c>
      <c r="S27" s="114">
        <f t="shared" si="17"/>
        <v>996781.42380149988</v>
      </c>
      <c r="T27" s="413">
        <f t="shared" si="18"/>
        <v>3.3147656224825179</v>
      </c>
      <c r="U27" s="100">
        <f t="shared" si="19"/>
        <v>316849.25</v>
      </c>
      <c r="V27" s="113">
        <f t="shared" si="20"/>
        <v>573726.85820625001</v>
      </c>
      <c r="W27" s="116">
        <f t="shared" si="21"/>
        <v>679338.92</v>
      </c>
      <c r="X27" s="116">
        <f t="shared" si="22"/>
        <v>0</v>
      </c>
      <c r="Y27" s="116">
        <f t="shared" si="23"/>
        <v>679338.92</v>
      </c>
      <c r="Z27" s="116">
        <f t="shared" si="24"/>
        <v>105612.06179375004</v>
      </c>
      <c r="AA27" s="413">
        <f t="shared" si="25"/>
        <v>1.184080735080008</v>
      </c>
      <c r="AB27" s="114">
        <f t="shared" si="26"/>
        <v>345718.47</v>
      </c>
      <c r="AC27" s="121">
        <f t="shared" si="27"/>
        <v>579173.50982924993</v>
      </c>
      <c r="AD27" s="113">
        <f t="shared" si="28"/>
        <v>808549.42</v>
      </c>
      <c r="AE27" s="116">
        <f t="shared" si="29"/>
        <v>0</v>
      </c>
      <c r="AF27" s="117">
        <f t="shared" si="30"/>
        <v>808549.42</v>
      </c>
      <c r="AG27" s="114">
        <f t="shared" si="31"/>
        <v>229375.91017075011</v>
      </c>
      <c r="AH27" s="97">
        <f t="shared" si="32"/>
        <v>1.3960400575612892</v>
      </c>
      <c r="AI27" s="839">
        <f t="shared" si="33"/>
        <v>1583519.094234</v>
      </c>
      <c r="AJ27" s="114">
        <f t="shared" si="34"/>
        <v>3366094.18</v>
      </c>
      <c r="AK27" s="116">
        <f t="shared" ref="AK27:AL27" si="149">SUM(AD27,W27,P27)</f>
        <v>2902088.49</v>
      </c>
      <c r="AL27" s="116">
        <f t="shared" si="149"/>
        <v>13200</v>
      </c>
      <c r="AM27" s="116">
        <f t="shared" si="36"/>
        <v>3594627.41</v>
      </c>
      <c r="AN27" s="116">
        <f t="shared" si="37"/>
        <v>228533.22999999998</v>
      </c>
      <c r="AO27" s="938">
        <f t="shared" si="38"/>
        <v>1.0678927022772726</v>
      </c>
      <c r="AP27" s="845">
        <f t="shared" si="39"/>
        <v>169392.56</v>
      </c>
      <c r="AQ27" s="140">
        <f t="shared" si="40"/>
        <v>1170836.23</v>
      </c>
      <c r="AR27" s="123">
        <f t="shared" si="41"/>
        <v>0</v>
      </c>
      <c r="AS27" s="148">
        <f t="shared" si="42"/>
        <v>1170836.23</v>
      </c>
      <c r="AT27" s="845">
        <f t="shared" si="43"/>
        <v>328616.99</v>
      </c>
      <c r="AU27" s="140">
        <f t="shared" si="44"/>
        <v>591835.13</v>
      </c>
      <c r="AV27" s="326">
        <f t="shared" si="45"/>
        <v>31057.599999999999</v>
      </c>
      <c r="AW27" s="333">
        <f t="shared" si="46"/>
        <v>622892.73</v>
      </c>
      <c r="AX27" s="939">
        <f t="shared" si="47"/>
        <v>491383.37</v>
      </c>
      <c r="AY27" s="123">
        <f t="shared" si="48"/>
        <v>1214247.3700000001</v>
      </c>
      <c r="AZ27" s="123">
        <f t="shared" si="49"/>
        <v>112698.64</v>
      </c>
      <c r="BA27" s="125">
        <f t="shared" si="50"/>
        <v>1326946.01</v>
      </c>
      <c r="BB27" s="940">
        <f t="shared" si="51"/>
        <v>2976918.73</v>
      </c>
      <c r="BC27" s="116">
        <f t="shared" si="52"/>
        <v>143756.24</v>
      </c>
      <c r="BD27" s="117">
        <f t="shared" si="53"/>
        <v>3120674.9699999997</v>
      </c>
      <c r="BE27" s="114">
        <f t="shared" si="54"/>
        <v>5879007.2200000007</v>
      </c>
      <c r="BF27" s="116">
        <f t="shared" ref="BF27:BG27" si="150">SUM(BC27,AL27)</f>
        <v>156956.24</v>
      </c>
      <c r="BG27" s="119">
        <f t="shared" si="150"/>
        <v>6715302.3799999999</v>
      </c>
      <c r="BH27" s="845">
        <f t="shared" si="56"/>
        <v>423809.3</v>
      </c>
      <c r="BI27" s="140">
        <f t="shared" si="57"/>
        <v>887833.73</v>
      </c>
      <c r="BJ27" s="326">
        <f t="shared" si="58"/>
        <v>61230.78</v>
      </c>
      <c r="BK27" s="333">
        <f t="shared" si="59"/>
        <v>949064.51</v>
      </c>
      <c r="BL27" s="939">
        <f t="shared" si="60"/>
        <v>697353.24</v>
      </c>
      <c r="BM27" s="123">
        <f t="shared" si="61"/>
        <v>707385.65</v>
      </c>
      <c r="BN27" s="123">
        <f t="shared" si="62"/>
        <v>61230.78</v>
      </c>
      <c r="BO27" s="123">
        <f t="shared" si="63"/>
        <v>768616.43</v>
      </c>
      <c r="BP27" s="332">
        <f t="shared" si="64"/>
        <v>1100315.95</v>
      </c>
      <c r="BQ27" s="140">
        <f t="shared" si="65"/>
        <v>1846519.5599999998</v>
      </c>
      <c r="BR27" s="326">
        <f t="shared" si="66"/>
        <v>31057.599999999999</v>
      </c>
      <c r="BS27" s="333">
        <f t="shared" si="67"/>
        <v>1877577.16</v>
      </c>
      <c r="BT27" s="140">
        <f t="shared" ref="BT27:BV27" si="151">SUM(BQ27,BM27,BI27)</f>
        <v>3441738.94</v>
      </c>
      <c r="BU27" s="326">
        <f t="shared" si="151"/>
        <v>153519.16</v>
      </c>
      <c r="BV27" s="333">
        <f t="shared" si="151"/>
        <v>3595258.0999999996</v>
      </c>
      <c r="BW27" s="845">
        <f t="shared" si="69"/>
        <v>828982.66</v>
      </c>
      <c r="BX27" s="140">
        <f t="shared" si="70"/>
        <v>1383453.43</v>
      </c>
      <c r="BY27" s="123">
        <f t="shared" si="71"/>
        <v>0</v>
      </c>
      <c r="BZ27" s="148">
        <f t="shared" si="72"/>
        <v>1383453.43</v>
      </c>
      <c r="CA27" s="939">
        <f t="shared" si="73"/>
        <v>1161065.8700000001</v>
      </c>
      <c r="CB27" s="941">
        <f t="shared" si="74"/>
        <v>1376045.65</v>
      </c>
      <c r="CF27" s="245" t="s">
        <v>100</v>
      </c>
      <c r="CG27" s="245"/>
      <c r="CH27" s="245"/>
    </row>
    <row r="28" spans="1:86" ht="15.75" customHeight="1">
      <c r="A28" s="463">
        <f t="shared" si="0"/>
        <v>112014067</v>
      </c>
      <c r="B28" s="501">
        <f t="shared" si="94"/>
        <v>22</v>
      </c>
      <c r="C28" s="699">
        <f t="shared" si="2"/>
        <v>0.1</v>
      </c>
      <c r="D28" s="558">
        <f t="shared" si="3"/>
        <v>0.09</v>
      </c>
      <c r="E28" s="715">
        <f t="shared" si="4"/>
        <v>0</v>
      </c>
      <c r="F28" s="936">
        <f t="shared" si="5"/>
        <v>22</v>
      </c>
      <c r="G28" s="699">
        <f t="shared" si="6"/>
        <v>0.1</v>
      </c>
      <c r="H28" s="699">
        <f t="shared" si="7"/>
        <v>0.09</v>
      </c>
      <c r="I28" s="702">
        <f t="shared" si="8"/>
        <v>0</v>
      </c>
      <c r="J28" s="837">
        <f t="shared" si="9"/>
        <v>63</v>
      </c>
      <c r="K28" s="700">
        <f t="shared" si="10"/>
        <v>0.1</v>
      </c>
      <c r="L28" s="702">
        <f t="shared" si="11"/>
        <v>0.05</v>
      </c>
      <c r="M28" s="423" t="s">
        <v>865</v>
      </c>
      <c r="N28" s="121">
        <f t="shared" si="12"/>
        <v>183916.73</v>
      </c>
      <c r="O28" s="416">
        <f t="shared" si="13"/>
        <v>309173.21896650008</v>
      </c>
      <c r="P28" s="113">
        <f t="shared" si="14"/>
        <v>1148887.56</v>
      </c>
      <c r="Q28" s="116">
        <f t="shared" si="15"/>
        <v>0</v>
      </c>
      <c r="R28" s="117">
        <f t="shared" si="16"/>
        <v>1148887.56</v>
      </c>
      <c r="S28" s="114">
        <f t="shared" si="17"/>
        <v>839714.34103349992</v>
      </c>
      <c r="T28" s="413">
        <f t="shared" si="18"/>
        <v>3.7159996064357883</v>
      </c>
      <c r="U28" s="100">
        <f t="shared" si="19"/>
        <v>185942.45</v>
      </c>
      <c r="V28" s="113">
        <f t="shared" si="20"/>
        <v>336690.64277625002</v>
      </c>
      <c r="W28" s="116">
        <f t="shared" si="21"/>
        <v>933056.78</v>
      </c>
      <c r="X28" s="116">
        <f t="shared" si="22"/>
        <v>0</v>
      </c>
      <c r="Y28" s="116">
        <f t="shared" si="23"/>
        <v>933056.78</v>
      </c>
      <c r="Z28" s="116">
        <f t="shared" si="24"/>
        <v>596366.13722375</v>
      </c>
      <c r="AA28" s="413">
        <f t="shared" si="25"/>
        <v>2.7712584237752904</v>
      </c>
      <c r="AB28" s="114">
        <f t="shared" si="26"/>
        <v>121370.79</v>
      </c>
      <c r="AC28" s="121">
        <f t="shared" si="27"/>
        <v>203329.45021724998</v>
      </c>
      <c r="AD28" s="113">
        <f t="shared" si="28"/>
        <v>779972.31</v>
      </c>
      <c r="AE28" s="116">
        <f t="shared" si="29"/>
        <v>103379.49</v>
      </c>
      <c r="AF28" s="117">
        <f t="shared" si="30"/>
        <v>883351.8</v>
      </c>
      <c r="AG28" s="114">
        <f t="shared" si="31"/>
        <v>680022.34978275001</v>
      </c>
      <c r="AH28" s="97">
        <f t="shared" si="32"/>
        <v>4.3444360817194525</v>
      </c>
      <c r="AI28" s="839">
        <f t="shared" si="33"/>
        <v>849193.31196000008</v>
      </c>
      <c r="AJ28" s="114">
        <f t="shared" si="34"/>
        <v>2337286.2200000002</v>
      </c>
      <c r="AK28" s="116">
        <f t="shared" ref="AK28:AL28" si="152">SUM(AD28,W28,P28)</f>
        <v>2861916.6500000004</v>
      </c>
      <c r="AL28" s="116">
        <f t="shared" si="152"/>
        <v>103379.49</v>
      </c>
      <c r="AM28" s="116">
        <f t="shared" si="36"/>
        <v>3898352.9200000004</v>
      </c>
      <c r="AN28" s="116">
        <f t="shared" si="37"/>
        <v>1561066.7000000002</v>
      </c>
      <c r="AO28" s="938">
        <f t="shared" si="38"/>
        <v>1.6678971050451836</v>
      </c>
      <c r="AP28" s="845">
        <f t="shared" si="39"/>
        <v>333405.82</v>
      </c>
      <c r="AQ28" s="140">
        <f t="shared" si="40"/>
        <v>1068685.24</v>
      </c>
      <c r="AR28" s="123">
        <f t="shared" si="41"/>
        <v>0</v>
      </c>
      <c r="AS28" s="148">
        <f t="shared" si="42"/>
        <v>1068685.24</v>
      </c>
      <c r="AT28" s="845">
        <f t="shared" si="43"/>
        <v>451702.88</v>
      </c>
      <c r="AU28" s="140">
        <f t="shared" si="44"/>
        <v>330707.87</v>
      </c>
      <c r="AV28" s="326">
        <f t="shared" si="45"/>
        <v>0</v>
      </c>
      <c r="AW28" s="333">
        <f t="shared" si="46"/>
        <v>330707.87</v>
      </c>
      <c r="AX28" s="939">
        <f t="shared" si="47"/>
        <v>514027.32</v>
      </c>
      <c r="AY28" s="123">
        <f t="shared" si="48"/>
        <v>131852.44</v>
      </c>
      <c r="AZ28" s="123">
        <f t="shared" si="49"/>
        <v>0</v>
      </c>
      <c r="BA28" s="125">
        <f t="shared" si="50"/>
        <v>131852.44</v>
      </c>
      <c r="BB28" s="940">
        <f t="shared" si="51"/>
        <v>1531245.55</v>
      </c>
      <c r="BC28" s="116">
        <f t="shared" si="52"/>
        <v>0</v>
      </c>
      <c r="BD28" s="117">
        <f t="shared" si="53"/>
        <v>1531245.55</v>
      </c>
      <c r="BE28" s="114">
        <f t="shared" si="54"/>
        <v>4393162.2</v>
      </c>
      <c r="BF28" s="116">
        <f t="shared" ref="BF28:BG28" si="153">SUM(BC28,AL28)</f>
        <v>103379.49</v>
      </c>
      <c r="BG28" s="119">
        <f t="shared" si="153"/>
        <v>5429598.4700000007</v>
      </c>
      <c r="BH28" s="845">
        <f t="shared" si="56"/>
        <v>263752.93</v>
      </c>
      <c r="BI28" s="140">
        <f t="shared" si="57"/>
        <v>708018.54</v>
      </c>
      <c r="BJ28" s="326">
        <f t="shared" si="58"/>
        <v>0</v>
      </c>
      <c r="BK28" s="333">
        <f t="shared" si="59"/>
        <v>708018.54</v>
      </c>
      <c r="BL28" s="939">
        <f t="shared" si="60"/>
        <v>448662.05</v>
      </c>
      <c r="BM28" s="123">
        <f t="shared" si="61"/>
        <v>877559.93</v>
      </c>
      <c r="BN28" s="123">
        <f t="shared" si="62"/>
        <v>0</v>
      </c>
      <c r="BO28" s="123">
        <f t="shared" si="63"/>
        <v>877559.93</v>
      </c>
      <c r="BP28" s="332">
        <f t="shared" si="64"/>
        <v>460061.15</v>
      </c>
      <c r="BQ28" s="140">
        <f t="shared" si="65"/>
        <v>814940.36</v>
      </c>
      <c r="BR28" s="326">
        <f t="shared" si="66"/>
        <v>0</v>
      </c>
      <c r="BS28" s="333">
        <f t="shared" si="67"/>
        <v>814940.36</v>
      </c>
      <c r="BT28" s="140">
        <f t="shared" ref="BT28:BV28" si="154">SUM(BQ28,BM28,BI28)</f>
        <v>2400518.83</v>
      </c>
      <c r="BU28" s="326">
        <f t="shared" si="154"/>
        <v>0</v>
      </c>
      <c r="BV28" s="333">
        <f t="shared" si="154"/>
        <v>2400518.83</v>
      </c>
      <c r="BW28" s="845">
        <f t="shared" si="69"/>
        <v>680643.26</v>
      </c>
      <c r="BX28" s="140">
        <f t="shared" si="70"/>
        <v>2025221.78</v>
      </c>
      <c r="BY28" s="123">
        <f t="shared" si="71"/>
        <v>0</v>
      </c>
      <c r="BZ28" s="148">
        <f t="shared" si="72"/>
        <v>2025221.78</v>
      </c>
      <c r="CA28" s="939">
        <f t="shared" si="73"/>
        <v>596923.99</v>
      </c>
      <c r="CB28" s="941">
        <f t="shared" si="74"/>
        <v>1059718.98</v>
      </c>
    </row>
    <row r="29" spans="1:86" ht="15.75" customHeight="1">
      <c r="A29" s="463">
        <f t="shared" si="0"/>
        <v>112012301</v>
      </c>
      <c r="B29" s="501" t="e">
        <f t="shared" si="94"/>
        <v>#N/A</v>
      </c>
      <c r="C29" s="699" t="str">
        <f t="shared" si="2"/>
        <v/>
      </c>
      <c r="D29" s="558" t="str">
        <f t="shared" si="3"/>
        <v/>
      </c>
      <c r="E29" s="715" t="str">
        <f t="shared" si="4"/>
        <v/>
      </c>
      <c r="F29" s="936" t="e">
        <f t="shared" si="5"/>
        <v>#N/A</v>
      </c>
      <c r="G29" s="699" t="str">
        <f t="shared" si="6"/>
        <v/>
      </c>
      <c r="H29" s="699" t="str">
        <f t="shared" si="7"/>
        <v/>
      </c>
      <c r="I29" s="702" t="str">
        <f t="shared" si="8"/>
        <v/>
      </c>
      <c r="J29" s="837">
        <f t="shared" si="9"/>
        <v>63</v>
      </c>
      <c r="K29" s="700">
        <f t="shared" si="10"/>
        <v>0.1</v>
      </c>
      <c r="L29" s="702">
        <f t="shared" si="11"/>
        <v>0.05</v>
      </c>
      <c r="M29" s="423" t="s">
        <v>866</v>
      </c>
      <c r="N29" s="121" t="str">
        <f t="shared" si="12"/>
        <v/>
      </c>
      <c r="O29" s="416" t="e">
        <f t="shared" si="13"/>
        <v>#VALUE!</v>
      </c>
      <c r="P29" s="113" t="e">
        <f t="shared" si="14"/>
        <v>#VALUE!</v>
      </c>
      <c r="Q29" s="116" t="str">
        <f t="shared" si="15"/>
        <v/>
      </c>
      <c r="R29" s="117" t="str">
        <f t="shared" si="16"/>
        <v/>
      </c>
      <c r="S29" s="114" t="e">
        <f t="shared" si="17"/>
        <v>#VALUE!</v>
      </c>
      <c r="T29" s="413" t="str">
        <f t="shared" si="18"/>
        <v/>
      </c>
      <c r="U29" s="100" t="str">
        <f t="shared" si="19"/>
        <v/>
      </c>
      <c r="V29" s="113" t="e">
        <f t="shared" si="20"/>
        <v>#VALUE!</v>
      </c>
      <c r="W29" s="116" t="e">
        <f t="shared" si="21"/>
        <v>#VALUE!</v>
      </c>
      <c r="X29" s="116" t="str">
        <f t="shared" si="22"/>
        <v/>
      </c>
      <c r="Y29" s="116" t="str">
        <f t="shared" si="23"/>
        <v/>
      </c>
      <c r="Z29" s="116" t="e">
        <f t="shared" si="24"/>
        <v>#VALUE!</v>
      </c>
      <c r="AA29" s="413" t="e">
        <f t="shared" si="25"/>
        <v>#VALUE!</v>
      </c>
      <c r="AB29" s="114" t="str">
        <f t="shared" si="26"/>
        <v/>
      </c>
      <c r="AC29" s="121" t="e">
        <f t="shared" si="27"/>
        <v>#VALUE!</v>
      </c>
      <c r="AD29" s="113" t="e">
        <f t="shared" si="28"/>
        <v>#VALUE!</v>
      </c>
      <c r="AE29" s="116" t="str">
        <f t="shared" si="29"/>
        <v/>
      </c>
      <c r="AF29" s="117" t="str">
        <f t="shared" si="30"/>
        <v/>
      </c>
      <c r="AG29" s="114" t="e">
        <f t="shared" si="31"/>
        <v>#VALUE!</v>
      </c>
      <c r="AH29" s="97" t="e">
        <f t="shared" si="32"/>
        <v>#VALUE!</v>
      </c>
      <c r="AI29" s="839" t="e">
        <f t="shared" si="33"/>
        <v>#VALUE!</v>
      </c>
      <c r="AJ29" s="114" t="e">
        <f t="shared" si="34"/>
        <v>#N/A</v>
      </c>
      <c r="AK29" s="116" t="e">
        <f t="shared" ref="AK29:AL29" si="155">SUM(AD29,W29,P29)</f>
        <v>#VALUE!</v>
      </c>
      <c r="AL29" s="116">
        <f t="shared" si="155"/>
        <v>0</v>
      </c>
      <c r="AM29" s="116">
        <f t="shared" si="36"/>
        <v>0</v>
      </c>
      <c r="AN29" s="116" t="e">
        <f t="shared" si="37"/>
        <v>#N/A</v>
      </c>
      <c r="AO29" s="938" t="e">
        <f t="shared" si="38"/>
        <v>#N/A</v>
      </c>
      <c r="AP29" s="845" t="str">
        <f t="shared" si="39"/>
        <v/>
      </c>
      <c r="AQ29" s="140" t="e">
        <f t="shared" si="40"/>
        <v>#VALUE!</v>
      </c>
      <c r="AR29" s="123" t="str">
        <f t="shared" si="41"/>
        <v/>
      </c>
      <c r="AS29" s="148" t="str">
        <f t="shared" si="42"/>
        <v/>
      </c>
      <c r="AT29" s="845" t="str">
        <f t="shared" si="43"/>
        <v/>
      </c>
      <c r="AU29" s="140" t="e">
        <f t="shared" si="44"/>
        <v>#VALUE!</v>
      </c>
      <c r="AV29" s="326" t="str">
        <f t="shared" si="45"/>
        <v/>
      </c>
      <c r="AW29" s="333" t="str">
        <f t="shared" si="46"/>
        <v/>
      </c>
      <c r="AX29" s="939" t="str">
        <f t="shared" si="47"/>
        <v/>
      </c>
      <c r="AY29" s="123" t="e">
        <f t="shared" si="48"/>
        <v>#VALUE!</v>
      </c>
      <c r="AZ29" s="123" t="str">
        <f t="shared" si="49"/>
        <v/>
      </c>
      <c r="BA29" s="125" t="str">
        <f t="shared" si="50"/>
        <v/>
      </c>
      <c r="BB29" s="940" t="e">
        <f t="shared" si="51"/>
        <v>#VALUE!</v>
      </c>
      <c r="BC29" s="116" t="e">
        <f t="shared" si="52"/>
        <v>#VALUE!</v>
      </c>
      <c r="BD29" s="117" t="e">
        <f t="shared" si="53"/>
        <v>#VALUE!</v>
      </c>
      <c r="BE29" s="114" t="e">
        <f t="shared" si="54"/>
        <v>#VALUE!</v>
      </c>
      <c r="BF29" s="116" t="e">
        <f t="shared" ref="BF29:BG29" si="156">SUM(BC29,AL29)</f>
        <v>#VALUE!</v>
      </c>
      <c r="BG29" s="119" t="e">
        <f t="shared" si="156"/>
        <v>#VALUE!</v>
      </c>
      <c r="BH29" s="845" t="str">
        <f t="shared" si="56"/>
        <v/>
      </c>
      <c r="BI29" s="140" t="e">
        <f t="shared" si="57"/>
        <v>#VALUE!</v>
      </c>
      <c r="BJ29" s="326" t="str">
        <f t="shared" si="58"/>
        <v/>
      </c>
      <c r="BK29" s="333" t="str">
        <f t="shared" si="59"/>
        <v/>
      </c>
      <c r="BL29" s="939" t="str">
        <f t="shared" si="60"/>
        <v/>
      </c>
      <c r="BM29" s="123" t="e">
        <f t="shared" si="61"/>
        <v>#VALUE!</v>
      </c>
      <c r="BN29" s="123" t="str">
        <f t="shared" si="62"/>
        <v/>
      </c>
      <c r="BO29" s="123" t="str">
        <f t="shared" si="63"/>
        <v/>
      </c>
      <c r="BP29" s="332" t="str">
        <f t="shared" si="64"/>
        <v/>
      </c>
      <c r="BQ29" s="140" t="e">
        <f t="shared" si="65"/>
        <v>#VALUE!</v>
      </c>
      <c r="BR29" s="326" t="str">
        <f t="shared" si="66"/>
        <v/>
      </c>
      <c r="BS29" s="333" t="str">
        <f t="shared" si="67"/>
        <v/>
      </c>
      <c r="BT29" s="140" t="e">
        <f t="shared" ref="BT29:BV29" si="157">SUM(BQ29,BM29,BI29)</f>
        <v>#VALUE!</v>
      </c>
      <c r="BU29" s="326">
        <f t="shared" si="157"/>
        <v>0</v>
      </c>
      <c r="BV29" s="333">
        <f t="shared" si="157"/>
        <v>0</v>
      </c>
      <c r="BW29" s="845" t="str">
        <f t="shared" si="69"/>
        <v/>
      </c>
      <c r="BX29" s="140" t="e">
        <f t="shared" si="70"/>
        <v>#VALUE!</v>
      </c>
      <c r="BY29" s="123" t="str">
        <f t="shared" si="71"/>
        <v/>
      </c>
      <c r="BZ29" s="148" t="str">
        <f t="shared" si="72"/>
        <v/>
      </c>
      <c r="CA29" s="939" t="str">
        <f t="shared" si="73"/>
        <v/>
      </c>
      <c r="CB29" s="941" t="str">
        <f t="shared" si="74"/>
        <v/>
      </c>
    </row>
    <row r="30" spans="1:86" ht="15.75" customHeight="1">
      <c r="A30" s="463">
        <f t="shared" si="0"/>
        <v>112014706</v>
      </c>
      <c r="B30" s="501">
        <f t="shared" si="94"/>
        <v>7</v>
      </c>
      <c r="C30" s="699">
        <f t="shared" si="2"/>
        <v>0.1</v>
      </c>
      <c r="D30" s="558">
        <f t="shared" si="3"/>
        <v>0.2</v>
      </c>
      <c r="E30" s="715">
        <f t="shared" si="4"/>
        <v>0</v>
      </c>
      <c r="F30" s="936">
        <f t="shared" si="5"/>
        <v>7</v>
      </c>
      <c r="G30" s="699">
        <f t="shared" si="6"/>
        <v>0.1</v>
      </c>
      <c r="H30" s="699">
        <f t="shared" si="7"/>
        <v>0.2</v>
      </c>
      <c r="I30" s="702">
        <f t="shared" si="8"/>
        <v>0</v>
      </c>
      <c r="J30" s="837">
        <f t="shared" si="9"/>
        <v>62</v>
      </c>
      <c r="K30" s="700">
        <f t="shared" si="10"/>
        <v>0.1</v>
      </c>
      <c r="L30" s="702">
        <f t="shared" si="11"/>
        <v>0.11</v>
      </c>
      <c r="M30" s="943" t="s">
        <v>867</v>
      </c>
      <c r="N30" s="121" t="str">
        <f t="shared" si="12"/>
        <v/>
      </c>
      <c r="O30" s="416" t="e">
        <f t="shared" si="13"/>
        <v>#VALUE!</v>
      </c>
      <c r="P30" s="113" t="e">
        <f t="shared" si="14"/>
        <v>#VALUE!</v>
      </c>
      <c r="Q30" s="116" t="str">
        <f t="shared" si="15"/>
        <v/>
      </c>
      <c r="R30" s="117">
        <f t="shared" si="16"/>
        <v>0</v>
      </c>
      <c r="S30" s="114" t="e">
        <f t="shared" si="17"/>
        <v>#VALUE!</v>
      </c>
      <c r="T30" s="413" t="str">
        <f t="shared" si="18"/>
        <v/>
      </c>
      <c r="U30" s="100" t="str">
        <f t="shared" si="19"/>
        <v/>
      </c>
      <c r="V30" s="113" t="e">
        <f t="shared" si="20"/>
        <v>#VALUE!</v>
      </c>
      <c r="W30" s="116" t="e">
        <f t="shared" si="21"/>
        <v>#VALUE!</v>
      </c>
      <c r="X30" s="116" t="str">
        <f t="shared" si="22"/>
        <v/>
      </c>
      <c r="Y30" s="116">
        <f t="shared" si="23"/>
        <v>0</v>
      </c>
      <c r="Z30" s="116" t="e">
        <f t="shared" si="24"/>
        <v>#VALUE!</v>
      </c>
      <c r="AA30" s="413" t="e">
        <f t="shared" si="25"/>
        <v>#VALUE!</v>
      </c>
      <c r="AB30" s="114" t="str">
        <f t="shared" si="26"/>
        <v/>
      </c>
      <c r="AC30" s="121" t="e">
        <f t="shared" si="27"/>
        <v>#VALUE!</v>
      </c>
      <c r="AD30" s="113" t="e">
        <f t="shared" si="28"/>
        <v>#VALUE!</v>
      </c>
      <c r="AE30" s="116" t="str">
        <f t="shared" si="29"/>
        <v/>
      </c>
      <c r="AF30" s="117">
        <f t="shared" si="30"/>
        <v>0</v>
      </c>
      <c r="AG30" s="114" t="e">
        <f t="shared" si="31"/>
        <v>#VALUE!</v>
      </c>
      <c r="AH30" s="97" t="e">
        <f t="shared" si="32"/>
        <v>#VALUE!</v>
      </c>
      <c r="AI30" s="839" t="e">
        <f t="shared" si="33"/>
        <v>#VALUE!</v>
      </c>
      <c r="AJ30" s="114" t="e">
        <f t="shared" si="34"/>
        <v>#N/A</v>
      </c>
      <c r="AK30" s="116" t="e">
        <f t="shared" ref="AK30:AL30" si="158">SUM(AD30,W30,P30)</f>
        <v>#VALUE!</v>
      </c>
      <c r="AL30" s="116">
        <f t="shared" si="158"/>
        <v>0</v>
      </c>
      <c r="AM30" s="116">
        <f t="shared" si="36"/>
        <v>0</v>
      </c>
      <c r="AN30" s="116" t="e">
        <f t="shared" si="37"/>
        <v>#N/A</v>
      </c>
      <c r="AO30" s="938" t="e">
        <f t="shared" si="38"/>
        <v>#N/A</v>
      </c>
      <c r="AP30" s="845" t="str">
        <f t="shared" si="39"/>
        <v/>
      </c>
      <c r="AQ30" s="140" t="e">
        <f t="shared" si="40"/>
        <v>#VALUE!</v>
      </c>
      <c r="AR30" s="123" t="str">
        <f t="shared" si="41"/>
        <v/>
      </c>
      <c r="AS30" s="148">
        <f t="shared" si="42"/>
        <v>0</v>
      </c>
      <c r="AT30" s="845" t="str">
        <f t="shared" si="43"/>
        <v/>
      </c>
      <c r="AU30" s="140" t="e">
        <f t="shared" si="44"/>
        <v>#VALUE!</v>
      </c>
      <c r="AV30" s="326" t="str">
        <f t="shared" si="45"/>
        <v/>
      </c>
      <c r="AW30" s="333">
        <f t="shared" si="46"/>
        <v>0</v>
      </c>
      <c r="AX30" s="939" t="str">
        <f t="shared" si="47"/>
        <v/>
      </c>
      <c r="AY30" s="123" t="e">
        <f t="shared" si="48"/>
        <v>#VALUE!</v>
      </c>
      <c r="AZ30" s="123" t="str">
        <f t="shared" si="49"/>
        <v/>
      </c>
      <c r="BA30" s="125">
        <f t="shared" si="50"/>
        <v>812414.05</v>
      </c>
      <c r="BB30" s="940" t="e">
        <f t="shared" si="51"/>
        <v>#VALUE!</v>
      </c>
      <c r="BC30" s="116" t="e">
        <f t="shared" si="52"/>
        <v>#VALUE!</v>
      </c>
      <c r="BD30" s="117">
        <f t="shared" si="53"/>
        <v>812414.05</v>
      </c>
      <c r="BE30" s="114" t="e">
        <f t="shared" si="54"/>
        <v>#VALUE!</v>
      </c>
      <c r="BF30" s="116" t="e">
        <f t="shared" ref="BF30:BG30" si="159">SUM(BC30,AL30)</f>
        <v>#VALUE!</v>
      </c>
      <c r="BG30" s="119">
        <f t="shared" si="159"/>
        <v>812414.05</v>
      </c>
      <c r="BH30" s="845" t="str">
        <f t="shared" si="56"/>
        <v/>
      </c>
      <c r="BI30" s="140" t="e">
        <f t="shared" si="57"/>
        <v>#VALUE!</v>
      </c>
      <c r="BJ30" s="326" t="str">
        <f t="shared" si="58"/>
        <v/>
      </c>
      <c r="BK30" s="333">
        <f t="shared" si="59"/>
        <v>344371.55</v>
      </c>
      <c r="BL30" s="939" t="str">
        <f t="shared" si="60"/>
        <v/>
      </c>
      <c r="BM30" s="123" t="e">
        <f t="shared" si="61"/>
        <v>#VALUE!</v>
      </c>
      <c r="BN30" s="123" t="str">
        <f t="shared" si="62"/>
        <v/>
      </c>
      <c r="BO30" s="123">
        <f t="shared" si="63"/>
        <v>1074610.6000000001</v>
      </c>
      <c r="BP30" s="332" t="str">
        <f t="shared" si="64"/>
        <v/>
      </c>
      <c r="BQ30" s="140" t="e">
        <f t="shared" si="65"/>
        <v>#VALUE!</v>
      </c>
      <c r="BR30" s="326" t="str">
        <f t="shared" si="66"/>
        <v/>
      </c>
      <c r="BS30" s="333">
        <f t="shared" si="67"/>
        <v>441514.94</v>
      </c>
      <c r="BT30" s="140" t="e">
        <f t="shared" ref="BT30:BV30" si="160">SUM(BQ30,BM30,BI30)</f>
        <v>#VALUE!</v>
      </c>
      <c r="BU30" s="326">
        <f t="shared" si="160"/>
        <v>0</v>
      </c>
      <c r="BV30" s="333">
        <f t="shared" si="160"/>
        <v>1860497.09</v>
      </c>
      <c r="BW30" s="845" t="str">
        <f t="shared" si="69"/>
        <v/>
      </c>
      <c r="BX30" s="140" t="e">
        <f t="shared" si="70"/>
        <v>#VALUE!</v>
      </c>
      <c r="BY30" s="123" t="str">
        <f t="shared" si="71"/>
        <v/>
      </c>
      <c r="BZ30" s="148">
        <f t="shared" si="72"/>
        <v>1485071.71</v>
      </c>
      <c r="CA30" s="939" t="str">
        <f t="shared" si="73"/>
        <v/>
      </c>
      <c r="CB30" s="941" t="str">
        <f t="shared" si="74"/>
        <v/>
      </c>
    </row>
    <row r="31" spans="1:86" ht="15.75" customHeight="1">
      <c r="A31" s="463">
        <f t="shared" si="0"/>
        <v>112011508</v>
      </c>
      <c r="B31" s="501" t="e">
        <f t="shared" si="94"/>
        <v>#N/A</v>
      </c>
      <c r="C31" s="699" t="str">
        <f t="shared" si="2"/>
        <v/>
      </c>
      <c r="D31" s="558" t="str">
        <f t="shared" si="3"/>
        <v/>
      </c>
      <c r="E31" s="715" t="str">
        <f t="shared" si="4"/>
        <v/>
      </c>
      <c r="F31" s="936" t="e">
        <f t="shared" si="5"/>
        <v>#N/A</v>
      </c>
      <c r="G31" s="699" t="str">
        <f t="shared" si="6"/>
        <v/>
      </c>
      <c r="H31" s="699" t="str">
        <f t="shared" si="7"/>
        <v/>
      </c>
      <c r="I31" s="702" t="str">
        <f t="shared" si="8"/>
        <v/>
      </c>
      <c r="J31" s="837">
        <f t="shared" si="9"/>
        <v>63</v>
      </c>
      <c r="K31" s="700">
        <f t="shared" si="10"/>
        <v>0.1</v>
      </c>
      <c r="L31" s="702">
        <f t="shared" si="11"/>
        <v>0.05</v>
      </c>
      <c r="M31" s="423" t="s">
        <v>868</v>
      </c>
      <c r="N31" s="121" t="str">
        <f t="shared" si="12"/>
        <v/>
      </c>
      <c r="O31" s="416" t="e">
        <f t="shared" si="13"/>
        <v>#VALUE!</v>
      </c>
      <c r="P31" s="113" t="e">
        <f t="shared" si="14"/>
        <v>#VALUE!</v>
      </c>
      <c r="Q31" s="116" t="str">
        <f t="shared" si="15"/>
        <v/>
      </c>
      <c r="R31" s="117" t="str">
        <f t="shared" si="16"/>
        <v/>
      </c>
      <c r="S31" s="114" t="e">
        <f t="shared" si="17"/>
        <v>#VALUE!</v>
      </c>
      <c r="T31" s="413" t="str">
        <f t="shared" si="18"/>
        <v/>
      </c>
      <c r="U31" s="100" t="str">
        <f t="shared" si="19"/>
        <v/>
      </c>
      <c r="V31" s="113" t="e">
        <f t="shared" si="20"/>
        <v>#VALUE!</v>
      </c>
      <c r="W31" s="116" t="e">
        <f t="shared" si="21"/>
        <v>#VALUE!</v>
      </c>
      <c r="X31" s="116" t="str">
        <f t="shared" si="22"/>
        <v/>
      </c>
      <c r="Y31" s="116" t="str">
        <f t="shared" si="23"/>
        <v/>
      </c>
      <c r="Z31" s="116" t="e">
        <f t="shared" si="24"/>
        <v>#VALUE!</v>
      </c>
      <c r="AA31" s="413" t="e">
        <f t="shared" si="25"/>
        <v>#VALUE!</v>
      </c>
      <c r="AB31" s="114" t="str">
        <f t="shared" si="26"/>
        <v/>
      </c>
      <c r="AC31" s="121" t="e">
        <f t="shared" si="27"/>
        <v>#VALUE!</v>
      </c>
      <c r="AD31" s="113" t="e">
        <f t="shared" si="28"/>
        <v>#VALUE!</v>
      </c>
      <c r="AE31" s="116" t="str">
        <f t="shared" si="29"/>
        <v/>
      </c>
      <c r="AF31" s="117" t="str">
        <f t="shared" si="30"/>
        <v/>
      </c>
      <c r="AG31" s="114" t="e">
        <f t="shared" si="31"/>
        <v>#VALUE!</v>
      </c>
      <c r="AH31" s="97" t="e">
        <f t="shared" si="32"/>
        <v>#VALUE!</v>
      </c>
      <c r="AI31" s="839" t="e">
        <f t="shared" si="33"/>
        <v>#VALUE!</v>
      </c>
      <c r="AJ31" s="114">
        <f t="shared" si="34"/>
        <v>1308405.79</v>
      </c>
      <c r="AK31" s="116" t="e">
        <f t="shared" ref="AK31:AL31" si="161">SUM(AD31,W31,P31)</f>
        <v>#VALUE!</v>
      </c>
      <c r="AL31" s="116">
        <f t="shared" si="161"/>
        <v>0</v>
      </c>
      <c r="AM31" s="116">
        <f t="shared" si="36"/>
        <v>0</v>
      </c>
      <c r="AN31" s="116">
        <f t="shared" si="37"/>
        <v>-1308405.79</v>
      </c>
      <c r="AO31" s="938">
        <f t="shared" si="38"/>
        <v>0</v>
      </c>
      <c r="AP31" s="845" t="str">
        <f t="shared" si="39"/>
        <v/>
      </c>
      <c r="AQ31" s="140" t="e">
        <f t="shared" si="40"/>
        <v>#VALUE!</v>
      </c>
      <c r="AR31" s="123" t="str">
        <f t="shared" si="41"/>
        <v/>
      </c>
      <c r="AS31" s="148" t="str">
        <f t="shared" si="42"/>
        <v/>
      </c>
      <c r="AT31" s="845" t="str">
        <f t="shared" si="43"/>
        <v/>
      </c>
      <c r="AU31" s="140" t="e">
        <f t="shared" si="44"/>
        <v>#VALUE!</v>
      </c>
      <c r="AV31" s="326" t="str">
        <f t="shared" si="45"/>
        <v/>
      </c>
      <c r="AW31" s="333" t="str">
        <f t="shared" si="46"/>
        <v/>
      </c>
      <c r="AX31" s="939" t="str">
        <f t="shared" si="47"/>
        <v/>
      </c>
      <c r="AY31" s="123" t="e">
        <f t="shared" si="48"/>
        <v>#VALUE!</v>
      </c>
      <c r="AZ31" s="123" t="str">
        <f t="shared" si="49"/>
        <v/>
      </c>
      <c r="BA31" s="125" t="str">
        <f t="shared" si="50"/>
        <v/>
      </c>
      <c r="BB31" s="940" t="e">
        <f t="shared" si="51"/>
        <v>#VALUE!</v>
      </c>
      <c r="BC31" s="116" t="e">
        <f t="shared" si="52"/>
        <v>#VALUE!</v>
      </c>
      <c r="BD31" s="117" t="e">
        <f t="shared" si="53"/>
        <v>#VALUE!</v>
      </c>
      <c r="BE31" s="114" t="e">
        <f t="shared" si="54"/>
        <v>#VALUE!</v>
      </c>
      <c r="BF31" s="116" t="e">
        <f t="shared" ref="BF31:BG31" si="162">SUM(BC31,AL31)</f>
        <v>#VALUE!</v>
      </c>
      <c r="BG31" s="119" t="e">
        <f t="shared" si="162"/>
        <v>#VALUE!</v>
      </c>
      <c r="BH31" s="845" t="str">
        <f t="shared" si="56"/>
        <v/>
      </c>
      <c r="BI31" s="140" t="e">
        <f t="shared" si="57"/>
        <v>#VALUE!</v>
      </c>
      <c r="BJ31" s="326" t="str">
        <f t="shared" si="58"/>
        <v/>
      </c>
      <c r="BK31" s="333" t="str">
        <f t="shared" si="59"/>
        <v/>
      </c>
      <c r="BL31" s="939" t="str">
        <f t="shared" si="60"/>
        <v/>
      </c>
      <c r="BM31" s="123" t="e">
        <f t="shared" si="61"/>
        <v>#VALUE!</v>
      </c>
      <c r="BN31" s="123" t="str">
        <f t="shared" si="62"/>
        <v/>
      </c>
      <c r="BO31" s="123" t="str">
        <f t="shared" si="63"/>
        <v/>
      </c>
      <c r="BP31" s="332" t="str">
        <f t="shared" si="64"/>
        <v/>
      </c>
      <c r="BQ31" s="140" t="e">
        <f t="shared" si="65"/>
        <v>#VALUE!</v>
      </c>
      <c r="BR31" s="326" t="str">
        <f t="shared" si="66"/>
        <v/>
      </c>
      <c r="BS31" s="333" t="str">
        <f t="shared" si="67"/>
        <v/>
      </c>
      <c r="BT31" s="140" t="e">
        <f t="shared" ref="BT31:BV31" si="163">SUM(BQ31,BM31,BI31)</f>
        <v>#VALUE!</v>
      </c>
      <c r="BU31" s="326">
        <f t="shared" si="163"/>
        <v>0</v>
      </c>
      <c r="BV31" s="333">
        <f t="shared" si="163"/>
        <v>0</v>
      </c>
      <c r="BW31" s="845" t="str">
        <f t="shared" si="69"/>
        <v/>
      </c>
      <c r="BX31" s="140" t="e">
        <f t="shared" si="70"/>
        <v>#VALUE!</v>
      </c>
      <c r="BY31" s="123" t="str">
        <f t="shared" si="71"/>
        <v/>
      </c>
      <c r="BZ31" s="148" t="str">
        <f t="shared" si="72"/>
        <v/>
      </c>
      <c r="CA31" s="939" t="str">
        <f t="shared" si="73"/>
        <v/>
      </c>
      <c r="CB31" s="941" t="str">
        <f t="shared" si="74"/>
        <v/>
      </c>
    </row>
    <row r="32" spans="1:86" ht="15.75" customHeight="1">
      <c r="A32" s="463">
        <f t="shared" si="0"/>
        <v>112011730</v>
      </c>
      <c r="B32" s="501" t="e">
        <f t="shared" si="94"/>
        <v>#N/A</v>
      </c>
      <c r="C32" s="699" t="str">
        <f t="shared" si="2"/>
        <v/>
      </c>
      <c r="D32" s="558" t="str">
        <f t="shared" si="3"/>
        <v/>
      </c>
      <c r="E32" s="715" t="str">
        <f t="shared" si="4"/>
        <v/>
      </c>
      <c r="F32" s="936" t="e">
        <f t="shared" si="5"/>
        <v>#N/A</v>
      </c>
      <c r="G32" s="699" t="str">
        <f t="shared" si="6"/>
        <v/>
      </c>
      <c r="H32" s="699" t="str">
        <f t="shared" si="7"/>
        <v/>
      </c>
      <c r="I32" s="702" t="str">
        <f t="shared" si="8"/>
        <v/>
      </c>
      <c r="J32" s="837">
        <f t="shared" si="9"/>
        <v>63</v>
      </c>
      <c r="K32" s="700">
        <f t="shared" si="10"/>
        <v>0.1</v>
      </c>
      <c r="L32" s="702">
        <f t="shared" si="11"/>
        <v>0.05</v>
      </c>
      <c r="M32" s="423" t="s">
        <v>869</v>
      </c>
      <c r="N32" s="121" t="str">
        <f t="shared" si="12"/>
        <v/>
      </c>
      <c r="O32" s="416" t="e">
        <f t="shared" si="13"/>
        <v>#VALUE!</v>
      </c>
      <c r="P32" s="113" t="e">
        <f t="shared" si="14"/>
        <v>#VALUE!</v>
      </c>
      <c r="Q32" s="116" t="str">
        <f t="shared" si="15"/>
        <v/>
      </c>
      <c r="R32" s="117" t="str">
        <f t="shared" si="16"/>
        <v/>
      </c>
      <c r="S32" s="114" t="e">
        <f t="shared" si="17"/>
        <v>#VALUE!</v>
      </c>
      <c r="T32" s="413" t="str">
        <f t="shared" si="18"/>
        <v/>
      </c>
      <c r="U32" s="100" t="str">
        <f t="shared" si="19"/>
        <v/>
      </c>
      <c r="V32" s="113" t="e">
        <f t="shared" si="20"/>
        <v>#VALUE!</v>
      </c>
      <c r="W32" s="116" t="e">
        <f t="shared" si="21"/>
        <v>#VALUE!</v>
      </c>
      <c r="X32" s="116" t="str">
        <f t="shared" si="22"/>
        <v/>
      </c>
      <c r="Y32" s="116" t="str">
        <f t="shared" si="23"/>
        <v/>
      </c>
      <c r="Z32" s="116" t="e">
        <f t="shared" si="24"/>
        <v>#VALUE!</v>
      </c>
      <c r="AA32" s="413" t="e">
        <f t="shared" si="25"/>
        <v>#VALUE!</v>
      </c>
      <c r="AB32" s="114" t="str">
        <f t="shared" si="26"/>
        <v/>
      </c>
      <c r="AC32" s="121" t="e">
        <f t="shared" si="27"/>
        <v>#VALUE!</v>
      </c>
      <c r="AD32" s="113" t="e">
        <f t="shared" si="28"/>
        <v>#VALUE!</v>
      </c>
      <c r="AE32" s="116" t="str">
        <f t="shared" si="29"/>
        <v/>
      </c>
      <c r="AF32" s="117" t="str">
        <f t="shared" si="30"/>
        <v/>
      </c>
      <c r="AG32" s="114" t="e">
        <f t="shared" si="31"/>
        <v>#VALUE!</v>
      </c>
      <c r="AH32" s="97" t="e">
        <f t="shared" si="32"/>
        <v>#VALUE!</v>
      </c>
      <c r="AI32" s="839" t="e">
        <f t="shared" si="33"/>
        <v>#VALUE!</v>
      </c>
      <c r="AJ32" s="114">
        <f t="shared" si="34"/>
        <v>1171361.95</v>
      </c>
      <c r="AK32" s="116" t="e">
        <f t="shared" ref="AK32:AL32" si="164">SUM(AD32,W32,P32)</f>
        <v>#VALUE!</v>
      </c>
      <c r="AL32" s="116">
        <f t="shared" si="164"/>
        <v>0</v>
      </c>
      <c r="AM32" s="116">
        <f t="shared" si="36"/>
        <v>0</v>
      </c>
      <c r="AN32" s="116">
        <f t="shared" si="37"/>
        <v>-1171361.95</v>
      </c>
      <c r="AO32" s="938">
        <f t="shared" si="38"/>
        <v>0</v>
      </c>
      <c r="AP32" s="845" t="str">
        <f t="shared" si="39"/>
        <v/>
      </c>
      <c r="AQ32" s="140" t="e">
        <f t="shared" si="40"/>
        <v>#VALUE!</v>
      </c>
      <c r="AR32" s="123" t="str">
        <f t="shared" si="41"/>
        <v/>
      </c>
      <c r="AS32" s="148" t="str">
        <f t="shared" si="42"/>
        <v/>
      </c>
      <c r="AT32" s="845" t="str">
        <f t="shared" si="43"/>
        <v/>
      </c>
      <c r="AU32" s="140" t="e">
        <f t="shared" si="44"/>
        <v>#VALUE!</v>
      </c>
      <c r="AV32" s="326" t="str">
        <f t="shared" si="45"/>
        <v/>
      </c>
      <c r="AW32" s="333" t="str">
        <f t="shared" si="46"/>
        <v/>
      </c>
      <c r="AX32" s="939" t="str">
        <f t="shared" si="47"/>
        <v/>
      </c>
      <c r="AY32" s="123" t="e">
        <f t="shared" si="48"/>
        <v>#VALUE!</v>
      </c>
      <c r="AZ32" s="123" t="str">
        <f t="shared" si="49"/>
        <v/>
      </c>
      <c r="BA32" s="125" t="str">
        <f t="shared" si="50"/>
        <v/>
      </c>
      <c r="BB32" s="940" t="e">
        <f t="shared" si="51"/>
        <v>#VALUE!</v>
      </c>
      <c r="BC32" s="116" t="e">
        <f t="shared" si="52"/>
        <v>#VALUE!</v>
      </c>
      <c r="BD32" s="117" t="e">
        <f t="shared" si="53"/>
        <v>#VALUE!</v>
      </c>
      <c r="BE32" s="114" t="e">
        <f t="shared" si="54"/>
        <v>#VALUE!</v>
      </c>
      <c r="BF32" s="116" t="e">
        <f t="shared" ref="BF32:BG32" si="165">SUM(BC32,AL32)</f>
        <v>#VALUE!</v>
      </c>
      <c r="BG32" s="119" t="e">
        <f t="shared" si="165"/>
        <v>#VALUE!</v>
      </c>
      <c r="BH32" s="845" t="str">
        <f t="shared" si="56"/>
        <v/>
      </c>
      <c r="BI32" s="140" t="e">
        <f t="shared" si="57"/>
        <v>#VALUE!</v>
      </c>
      <c r="BJ32" s="326" t="str">
        <f t="shared" si="58"/>
        <v/>
      </c>
      <c r="BK32" s="333" t="str">
        <f t="shared" si="59"/>
        <v/>
      </c>
      <c r="BL32" s="939" t="str">
        <f t="shared" si="60"/>
        <v/>
      </c>
      <c r="BM32" s="123" t="e">
        <f t="shared" si="61"/>
        <v>#VALUE!</v>
      </c>
      <c r="BN32" s="123" t="str">
        <f t="shared" si="62"/>
        <v/>
      </c>
      <c r="BO32" s="123" t="str">
        <f t="shared" si="63"/>
        <v/>
      </c>
      <c r="BP32" s="332" t="str">
        <f t="shared" si="64"/>
        <v/>
      </c>
      <c r="BQ32" s="140" t="e">
        <f t="shared" si="65"/>
        <v>#VALUE!</v>
      </c>
      <c r="BR32" s="326" t="str">
        <f t="shared" si="66"/>
        <v/>
      </c>
      <c r="BS32" s="333" t="str">
        <f t="shared" si="67"/>
        <v/>
      </c>
      <c r="BT32" s="140" t="e">
        <f t="shared" ref="BT32:BV32" si="166">SUM(BQ32,BM32,BI32)</f>
        <v>#VALUE!</v>
      </c>
      <c r="BU32" s="326">
        <f t="shared" si="166"/>
        <v>0</v>
      </c>
      <c r="BV32" s="333">
        <f t="shared" si="166"/>
        <v>0</v>
      </c>
      <c r="BW32" s="845" t="str">
        <f t="shared" si="69"/>
        <v/>
      </c>
      <c r="BX32" s="140" t="e">
        <f t="shared" si="70"/>
        <v>#VALUE!</v>
      </c>
      <c r="BY32" s="123" t="str">
        <f t="shared" si="71"/>
        <v/>
      </c>
      <c r="BZ32" s="148" t="str">
        <f t="shared" si="72"/>
        <v/>
      </c>
      <c r="CA32" s="939" t="str">
        <f t="shared" si="73"/>
        <v/>
      </c>
      <c r="CB32" s="941" t="str">
        <f t="shared" si="74"/>
        <v/>
      </c>
    </row>
    <row r="33" spans="1:80" ht="15.75" customHeight="1">
      <c r="A33" s="463">
        <f t="shared" si="0"/>
        <v>112010450</v>
      </c>
      <c r="B33" s="501" t="e">
        <f t="shared" si="94"/>
        <v>#N/A</v>
      </c>
      <c r="C33" s="699" t="str">
        <f t="shared" si="2"/>
        <v/>
      </c>
      <c r="D33" s="558" t="str">
        <f t="shared" si="3"/>
        <v/>
      </c>
      <c r="E33" s="715" t="str">
        <f t="shared" si="4"/>
        <v/>
      </c>
      <c r="F33" s="936" t="e">
        <f t="shared" si="5"/>
        <v>#N/A</v>
      </c>
      <c r="G33" s="699" t="str">
        <f t="shared" si="6"/>
        <v/>
      </c>
      <c r="H33" s="699" t="str">
        <f t="shared" si="7"/>
        <v/>
      </c>
      <c r="I33" s="702" t="str">
        <f t="shared" si="8"/>
        <v/>
      </c>
      <c r="J33" s="837">
        <f t="shared" si="9"/>
        <v>63</v>
      </c>
      <c r="K33" s="700">
        <f t="shared" si="10"/>
        <v>0.1</v>
      </c>
      <c r="L33" s="702">
        <f t="shared" si="11"/>
        <v>0.05</v>
      </c>
      <c r="M33" s="423" t="s">
        <v>870</v>
      </c>
      <c r="N33" s="121" t="str">
        <f t="shared" si="12"/>
        <v/>
      </c>
      <c r="O33" s="416" t="e">
        <f t="shared" si="13"/>
        <v>#VALUE!</v>
      </c>
      <c r="P33" s="113" t="e">
        <f t="shared" si="14"/>
        <v>#VALUE!</v>
      </c>
      <c r="Q33" s="116" t="str">
        <f t="shared" si="15"/>
        <v/>
      </c>
      <c r="R33" s="117" t="str">
        <f t="shared" si="16"/>
        <v/>
      </c>
      <c r="S33" s="114" t="e">
        <f t="shared" si="17"/>
        <v>#VALUE!</v>
      </c>
      <c r="T33" s="413" t="str">
        <f t="shared" si="18"/>
        <v/>
      </c>
      <c r="U33" s="100" t="str">
        <f t="shared" si="19"/>
        <v/>
      </c>
      <c r="V33" s="113" t="e">
        <f t="shared" si="20"/>
        <v>#VALUE!</v>
      </c>
      <c r="W33" s="116" t="e">
        <f t="shared" si="21"/>
        <v>#VALUE!</v>
      </c>
      <c r="X33" s="116" t="str">
        <f t="shared" si="22"/>
        <v/>
      </c>
      <c r="Y33" s="116" t="str">
        <f t="shared" si="23"/>
        <v/>
      </c>
      <c r="Z33" s="116" t="e">
        <f t="shared" si="24"/>
        <v>#VALUE!</v>
      </c>
      <c r="AA33" s="413" t="e">
        <f t="shared" si="25"/>
        <v>#VALUE!</v>
      </c>
      <c r="AB33" s="114" t="str">
        <f t="shared" si="26"/>
        <v/>
      </c>
      <c r="AC33" s="121" t="e">
        <f t="shared" si="27"/>
        <v>#VALUE!</v>
      </c>
      <c r="AD33" s="113" t="e">
        <f t="shared" si="28"/>
        <v>#VALUE!</v>
      </c>
      <c r="AE33" s="116" t="str">
        <f t="shared" si="29"/>
        <v/>
      </c>
      <c r="AF33" s="117" t="str">
        <f t="shared" si="30"/>
        <v/>
      </c>
      <c r="AG33" s="114" t="e">
        <f t="shared" si="31"/>
        <v>#VALUE!</v>
      </c>
      <c r="AH33" s="97" t="e">
        <f t="shared" si="32"/>
        <v>#VALUE!</v>
      </c>
      <c r="AI33" s="839" t="e">
        <f t="shared" si="33"/>
        <v>#VALUE!</v>
      </c>
      <c r="AJ33" s="114">
        <f t="shared" si="34"/>
        <v>19391045.859999999</v>
      </c>
      <c r="AK33" s="116" t="e">
        <f t="shared" ref="AK33:AL33" si="167">SUM(AD33,W33,P33)</f>
        <v>#VALUE!</v>
      </c>
      <c r="AL33" s="116">
        <f t="shared" si="167"/>
        <v>0</v>
      </c>
      <c r="AM33" s="116">
        <f t="shared" si="36"/>
        <v>0</v>
      </c>
      <c r="AN33" s="116">
        <f t="shared" si="37"/>
        <v>-19391045.859999999</v>
      </c>
      <c r="AO33" s="938">
        <f t="shared" si="38"/>
        <v>0</v>
      </c>
      <c r="AP33" s="845" t="str">
        <f t="shared" si="39"/>
        <v/>
      </c>
      <c r="AQ33" s="140" t="e">
        <f t="shared" si="40"/>
        <v>#VALUE!</v>
      </c>
      <c r="AR33" s="123" t="str">
        <f t="shared" si="41"/>
        <v/>
      </c>
      <c r="AS33" s="148" t="str">
        <f t="shared" si="42"/>
        <v/>
      </c>
      <c r="AT33" s="845" t="str">
        <f t="shared" si="43"/>
        <v/>
      </c>
      <c r="AU33" s="140" t="e">
        <f t="shared" si="44"/>
        <v>#VALUE!</v>
      </c>
      <c r="AV33" s="326" t="str">
        <f t="shared" si="45"/>
        <v/>
      </c>
      <c r="AW33" s="333" t="str">
        <f t="shared" si="46"/>
        <v/>
      </c>
      <c r="AX33" s="939" t="str">
        <f t="shared" si="47"/>
        <v/>
      </c>
      <c r="AY33" s="123" t="e">
        <f t="shared" si="48"/>
        <v>#VALUE!</v>
      </c>
      <c r="AZ33" s="123" t="str">
        <f t="shared" si="49"/>
        <v/>
      </c>
      <c r="BA33" s="125" t="str">
        <f t="shared" si="50"/>
        <v/>
      </c>
      <c r="BB33" s="940" t="e">
        <f t="shared" si="51"/>
        <v>#VALUE!</v>
      </c>
      <c r="BC33" s="116" t="e">
        <f t="shared" si="52"/>
        <v>#VALUE!</v>
      </c>
      <c r="BD33" s="117" t="e">
        <f t="shared" si="53"/>
        <v>#VALUE!</v>
      </c>
      <c r="BE33" s="114" t="e">
        <f t="shared" si="54"/>
        <v>#VALUE!</v>
      </c>
      <c r="BF33" s="116" t="e">
        <f t="shared" ref="BF33:BG33" si="168">SUM(BC33,AL33)</f>
        <v>#VALUE!</v>
      </c>
      <c r="BG33" s="119" t="e">
        <f t="shared" si="168"/>
        <v>#VALUE!</v>
      </c>
      <c r="BH33" s="845" t="str">
        <f t="shared" si="56"/>
        <v/>
      </c>
      <c r="BI33" s="140" t="e">
        <f t="shared" si="57"/>
        <v>#VALUE!</v>
      </c>
      <c r="BJ33" s="326" t="str">
        <f t="shared" si="58"/>
        <v/>
      </c>
      <c r="BK33" s="333" t="str">
        <f t="shared" si="59"/>
        <v/>
      </c>
      <c r="BL33" s="939" t="str">
        <f t="shared" si="60"/>
        <v/>
      </c>
      <c r="BM33" s="123" t="e">
        <f t="shared" si="61"/>
        <v>#VALUE!</v>
      </c>
      <c r="BN33" s="123" t="str">
        <f t="shared" si="62"/>
        <v/>
      </c>
      <c r="BO33" s="123" t="str">
        <f t="shared" si="63"/>
        <v/>
      </c>
      <c r="BP33" s="332" t="str">
        <f t="shared" si="64"/>
        <v/>
      </c>
      <c r="BQ33" s="140" t="e">
        <f t="shared" si="65"/>
        <v>#VALUE!</v>
      </c>
      <c r="BR33" s="326" t="str">
        <f t="shared" si="66"/>
        <v/>
      </c>
      <c r="BS33" s="333" t="str">
        <f t="shared" si="67"/>
        <v/>
      </c>
      <c r="BT33" s="140" t="e">
        <f t="shared" ref="BT33:BV33" si="169">SUM(BQ33,BM33,BI33)</f>
        <v>#VALUE!</v>
      </c>
      <c r="BU33" s="326">
        <f t="shared" si="169"/>
        <v>0</v>
      </c>
      <c r="BV33" s="333">
        <f t="shared" si="169"/>
        <v>0</v>
      </c>
      <c r="BW33" s="845" t="str">
        <f t="shared" si="69"/>
        <v/>
      </c>
      <c r="BX33" s="140" t="e">
        <f t="shared" si="70"/>
        <v>#VALUE!</v>
      </c>
      <c r="BY33" s="123" t="str">
        <f t="shared" si="71"/>
        <v/>
      </c>
      <c r="BZ33" s="148" t="str">
        <f t="shared" si="72"/>
        <v/>
      </c>
      <c r="CA33" s="939" t="str">
        <f t="shared" si="73"/>
        <v/>
      </c>
      <c r="CB33" s="941" t="str">
        <f t="shared" si="74"/>
        <v/>
      </c>
    </row>
    <row r="34" spans="1:80" ht="15.75" customHeight="1">
      <c r="A34" s="463">
        <f t="shared" ref="A34:A65" si="170">VLOOKUP(M34,VARGCART4,3,FALSE)</f>
        <v>112011297</v>
      </c>
      <c r="B34" s="501" t="e">
        <f t="shared" si="94"/>
        <v>#N/A</v>
      </c>
      <c r="C34" s="699" t="str">
        <f t="shared" ref="C34:C65" si="171">IFERROR(VLOOKUP(B34,DES,2,FALSE),"")</f>
        <v/>
      </c>
      <c r="D34" s="558" t="str">
        <f t="shared" ref="D34:D65" si="172">IFERROR(VLOOKUP(B34,DES,3,FALSE),"")</f>
        <v/>
      </c>
      <c r="E34" s="715" t="str">
        <f t="shared" ref="E34:E65" si="173">IFERROR(VLOOKUP(B34,DES,4,FALSE),"")</f>
        <v/>
      </c>
      <c r="F34" s="936" t="e">
        <f t="shared" ref="F34:F65" si="174">VLOOKUP(M34,VARGASCART2,2,FALSE)</f>
        <v>#N/A</v>
      </c>
      <c r="G34" s="699" t="str">
        <f t="shared" ref="G34:G65" si="175">IFERROR(VLOOKUP(F34,DES,2,FALSE),"")</f>
        <v/>
      </c>
      <c r="H34" s="699" t="str">
        <f t="shared" ref="H34:H65" si="176">IFERROR(VLOOKUP(B34,DES,3,FALSE),"")</f>
        <v/>
      </c>
      <c r="I34" s="702" t="str">
        <f t="shared" ref="I34:I65" si="177">IFERROR(VLOOKUP(B34,DES,4,FALSE),"")</f>
        <v/>
      </c>
      <c r="J34" s="837">
        <f t="shared" ref="J34:J65" si="178">VLOOKUP(M34,VARGCART4,2,FALSE)</f>
        <v>61</v>
      </c>
      <c r="K34" s="700">
        <f t="shared" ref="K34:K65" si="179">IFERROR(VLOOKUP(J34,A458DC1025,2,FALSE),"")</f>
        <v>0.1</v>
      </c>
      <c r="L34" s="702">
        <f t="shared" ref="L34:L65" si="180">IFERROR(VLOOKUP(J34,A458DC1025,3,FALSE),"")</f>
        <v>0.14000000000000001</v>
      </c>
      <c r="M34" s="423" t="s">
        <v>490</v>
      </c>
      <c r="N34" s="121" t="str">
        <f t="shared" ref="N34:N65" si="181">IFERROR(VLOOKUP(M34,VARGAS24,3,FALSE),"")</f>
        <v/>
      </c>
      <c r="O34" s="416" t="e">
        <f t="shared" si="13"/>
        <v>#VALUE!</v>
      </c>
      <c r="P34" s="113" t="e">
        <f t="shared" si="14"/>
        <v>#VALUE!</v>
      </c>
      <c r="Q34" s="116" t="str">
        <f t="shared" ref="Q34:Q65" si="182">IFERROR(VLOOKUP(M34,VARGALIM,3,FALSE),"")</f>
        <v/>
      </c>
      <c r="R34" s="117" t="str">
        <f t="shared" ref="R34:R65" si="183">IFERROR(VLOOKUP(M34,VARFC,3,FALSE),"")</f>
        <v/>
      </c>
      <c r="S34" s="114" t="e">
        <f t="shared" si="17"/>
        <v>#VALUE!</v>
      </c>
      <c r="T34" s="413" t="str">
        <f t="shared" si="18"/>
        <v/>
      </c>
      <c r="U34" s="100" t="str">
        <f t="shared" ref="U34:U65" si="184">IFERROR(VLOOKUP(M34,VARGAS24,4,FALSE),"")</f>
        <v/>
      </c>
      <c r="V34" s="113" t="e">
        <f t="shared" si="20"/>
        <v>#VALUE!</v>
      </c>
      <c r="W34" s="116" t="e">
        <f t="shared" si="21"/>
        <v>#VALUE!</v>
      </c>
      <c r="X34" s="116" t="str">
        <f t="shared" ref="X34:X65" si="185">IFERROR(VLOOKUP(M34,VARGALIM,4,FALSE),"")</f>
        <v/>
      </c>
      <c r="Y34" s="116" t="str">
        <f t="shared" ref="Y34:Y65" si="186">IFERROR(VLOOKUP(M34,VARFC,4,FALSE),"")</f>
        <v/>
      </c>
      <c r="Z34" s="116" t="e">
        <f t="shared" si="24"/>
        <v>#VALUE!</v>
      </c>
      <c r="AA34" s="413" t="e">
        <f t="shared" si="25"/>
        <v>#VALUE!</v>
      </c>
      <c r="AB34" s="114" t="str">
        <f t="shared" ref="AB34:AB65" si="187">IFERROR(VLOOKUP(M34,VARGAS24,5,FALSE),"")</f>
        <v/>
      </c>
      <c r="AC34" s="121" t="e">
        <f t="shared" si="27"/>
        <v>#VALUE!</v>
      </c>
      <c r="AD34" s="113" t="e">
        <f t="shared" si="28"/>
        <v>#VALUE!</v>
      </c>
      <c r="AE34" s="116" t="str">
        <f t="shared" ref="AE34:AE65" si="188">IFERROR(VLOOKUP(M34,VARGALIM,5,FALSE),"")</f>
        <v/>
      </c>
      <c r="AF34" s="117" t="str">
        <f t="shared" ref="AF34:AF65" si="189">IFERROR(VLOOKUP(M34,VARFC,5,FALSE),"")</f>
        <v/>
      </c>
      <c r="AG34" s="114" t="e">
        <f t="shared" si="31"/>
        <v>#VALUE!</v>
      </c>
      <c r="AH34" s="97" t="e">
        <f t="shared" si="32"/>
        <v>#VALUE!</v>
      </c>
      <c r="AI34" s="839" t="e">
        <f t="shared" si="33"/>
        <v>#VALUE!</v>
      </c>
      <c r="AJ34" s="114">
        <f t="shared" ref="AJ34:AJ65" si="190">VLOOKUP(M34,trim2024,2,FALSE)</f>
        <v>12421722.609999999</v>
      </c>
      <c r="AK34" s="116" t="e">
        <f t="shared" ref="AK34:AL34" si="191">SUM(AD34,W34,P34)</f>
        <v>#VALUE!</v>
      </c>
      <c r="AL34" s="116">
        <f t="shared" si="191"/>
        <v>0</v>
      </c>
      <c r="AM34" s="116">
        <f t="shared" si="36"/>
        <v>0</v>
      </c>
      <c r="AN34" s="116">
        <f t="shared" si="37"/>
        <v>-12421722.609999999</v>
      </c>
      <c r="AO34" s="938">
        <f t="shared" si="38"/>
        <v>0</v>
      </c>
      <c r="AP34" s="845" t="str">
        <f t="shared" ref="AP34:AP65" si="192">IFERROR(VLOOKUP(M34,VARGAS24,6,FALSE),"")</f>
        <v/>
      </c>
      <c r="AQ34" s="140" t="e">
        <f t="shared" si="40"/>
        <v>#VALUE!</v>
      </c>
      <c r="AR34" s="123" t="str">
        <f t="shared" ref="AR34:AR65" si="193">IFERROR(VLOOKUP(M34,VARGALIM,6,FALSE),"")</f>
        <v/>
      </c>
      <c r="AS34" s="148" t="str">
        <f t="shared" ref="AS34:AS65" si="194">IFERROR(VLOOKUP(M34,VARFC,6,FALSE),"")</f>
        <v/>
      </c>
      <c r="AT34" s="845" t="str">
        <f t="shared" ref="AT34:AT65" si="195">IFERROR(VLOOKUP(M34,VARGAS24,7,FALSE),"")</f>
        <v/>
      </c>
      <c r="AU34" s="140" t="e">
        <f t="shared" si="44"/>
        <v>#VALUE!</v>
      </c>
      <c r="AV34" s="326" t="str">
        <f t="shared" ref="AV34:AV65" si="196">IFERROR(VLOOKUP(M34,VARGALIM,7,FALSE),"")</f>
        <v/>
      </c>
      <c r="AW34" s="333" t="str">
        <f t="shared" ref="AW34:AW65" si="197">IFERROR(VLOOKUP(M34,VARFC,7,FALSE),"")</f>
        <v/>
      </c>
      <c r="AX34" s="939" t="str">
        <f t="shared" ref="AX34:AX65" si="198">IFERROR(VLOOKUP(M34,VARGAS24,8,FALSE),"")</f>
        <v/>
      </c>
      <c r="AY34" s="123" t="e">
        <f t="shared" si="48"/>
        <v>#VALUE!</v>
      </c>
      <c r="AZ34" s="123" t="str">
        <f t="shared" ref="AZ34:AZ65" si="199">IFERROR(VLOOKUP(M34,VARGALIM,8,FALSE),"")</f>
        <v/>
      </c>
      <c r="BA34" s="125" t="str">
        <f t="shared" ref="BA34:BA65" si="200">IFERROR(VLOOKUP(M34,VARFC,8,FALSE),"")</f>
        <v/>
      </c>
      <c r="BB34" s="940" t="e">
        <f t="shared" si="51"/>
        <v>#VALUE!</v>
      </c>
      <c r="BC34" s="116" t="e">
        <f t="shared" si="52"/>
        <v>#VALUE!</v>
      </c>
      <c r="BD34" s="117" t="e">
        <f t="shared" si="53"/>
        <v>#VALUE!</v>
      </c>
      <c r="BE34" s="114" t="e">
        <f t="shared" si="54"/>
        <v>#VALUE!</v>
      </c>
      <c r="BF34" s="116" t="e">
        <f t="shared" ref="BF34:BG34" si="201">SUM(BC34,AL34)</f>
        <v>#VALUE!</v>
      </c>
      <c r="BG34" s="119" t="e">
        <f t="shared" si="201"/>
        <v>#VALUE!</v>
      </c>
      <c r="BH34" s="845" t="str">
        <f t="shared" ref="BH34:BH65" si="202">IFERROR(VLOOKUP(M34,VARGAS24,9,FALSE),"")</f>
        <v/>
      </c>
      <c r="BI34" s="140" t="e">
        <f t="shared" si="57"/>
        <v>#VALUE!</v>
      </c>
      <c r="BJ34" s="326" t="str">
        <f t="shared" ref="BJ34:BJ65" si="203">IFERROR(VLOOKUP(M34,VARGALIM,9,FALSE),"")</f>
        <v/>
      </c>
      <c r="BK34" s="333" t="str">
        <f t="shared" ref="BK34:BK65" si="204">IFERROR(VLOOKUP(M34,VARFC,9,FALSE),"")</f>
        <v/>
      </c>
      <c r="BL34" s="939" t="str">
        <f t="shared" ref="BL34:BL65" si="205">IFERROR(VLOOKUP(M34,VARGAS24,10,FALSE),"")</f>
        <v/>
      </c>
      <c r="BM34" s="123" t="e">
        <f t="shared" si="61"/>
        <v>#VALUE!</v>
      </c>
      <c r="BN34" s="123" t="str">
        <f t="shared" ref="BN34:BN65" si="206">IFERROR(VLOOKUP(M34,VARGALIM,10,FALSE),"")</f>
        <v/>
      </c>
      <c r="BO34" s="123" t="str">
        <f t="shared" ref="BO34:BO65" si="207">IFERROR(VLOOKUP(M34,VARFC,10,FALSE),"")</f>
        <v/>
      </c>
      <c r="BP34" s="332" t="str">
        <f t="shared" ref="BP34:BP65" si="208">IFERROR(VLOOKUP(M34,VARGAS24,11,FALSE),"")</f>
        <v/>
      </c>
      <c r="BQ34" s="140" t="e">
        <f t="shared" si="65"/>
        <v>#VALUE!</v>
      </c>
      <c r="BR34" s="326" t="str">
        <f t="shared" ref="BR34:BR65" si="209">IFERROR(VLOOKUP(M34,VARGALIM,11,FALSE),"")</f>
        <v/>
      </c>
      <c r="BS34" s="333" t="str">
        <f t="shared" ref="BS34:BS65" si="210">IFERROR(VLOOKUP(M34,VARFC,11,FALSE),"")</f>
        <v/>
      </c>
      <c r="BT34" s="140" t="e">
        <f t="shared" ref="BT34:BV34" si="211">SUM(BQ34,BM34,BI34)</f>
        <v>#VALUE!</v>
      </c>
      <c r="BU34" s="326">
        <f t="shared" si="211"/>
        <v>0</v>
      </c>
      <c r="BV34" s="333">
        <f t="shared" si="211"/>
        <v>0</v>
      </c>
      <c r="BW34" s="845" t="str">
        <f t="shared" ref="BW34:BW65" si="212">IFERROR(VLOOKUP(M34,VARGAS24,12,FALSE),"")</f>
        <v/>
      </c>
      <c r="BX34" s="140" t="e">
        <f t="shared" si="70"/>
        <v>#VALUE!</v>
      </c>
      <c r="BY34" s="123" t="str">
        <f t="shared" ref="BY34:BY65" si="213">IFERROR(VLOOKUP(M34,VARGALIM,12,FALSE),"")</f>
        <v/>
      </c>
      <c r="BZ34" s="148" t="str">
        <f t="shared" ref="BZ34:BZ65" si="214">IFERROR(VLOOKUP(M34,VARFC,12,FALSE),"")</f>
        <v/>
      </c>
      <c r="CA34" s="939" t="str">
        <f t="shared" ref="CA34:CA65" si="215">IFERROR(VLOOKUP(M34,VARGAS24,13,FALSE),"")</f>
        <v/>
      </c>
      <c r="CB34" s="941" t="str">
        <f t="shared" ref="CB34:CB65" si="216">IFERROR(VLOOKUP(M34,VARGAS24,14,FALSE),"")</f>
        <v/>
      </c>
    </row>
    <row r="35" spans="1:80" ht="15.75" customHeight="1">
      <c r="A35" s="463">
        <f t="shared" si="170"/>
        <v>112010795</v>
      </c>
      <c r="B35" s="501" t="e">
        <f t="shared" si="94"/>
        <v>#N/A</v>
      </c>
      <c r="C35" s="699" t="str">
        <f t="shared" si="171"/>
        <v/>
      </c>
      <c r="D35" s="558" t="str">
        <f t="shared" si="172"/>
        <v/>
      </c>
      <c r="E35" s="715" t="str">
        <f t="shared" si="173"/>
        <v/>
      </c>
      <c r="F35" s="936" t="e">
        <f t="shared" si="174"/>
        <v>#N/A</v>
      </c>
      <c r="G35" s="699" t="str">
        <f t="shared" si="175"/>
        <v/>
      </c>
      <c r="H35" s="699" t="str">
        <f t="shared" si="176"/>
        <v/>
      </c>
      <c r="I35" s="702" t="str">
        <f t="shared" si="177"/>
        <v/>
      </c>
      <c r="J35" s="837">
        <f t="shared" si="178"/>
        <v>62</v>
      </c>
      <c r="K35" s="700">
        <f t="shared" si="179"/>
        <v>0.1</v>
      </c>
      <c r="L35" s="702">
        <f t="shared" si="180"/>
        <v>0.11</v>
      </c>
      <c r="M35" s="943" t="s">
        <v>489</v>
      </c>
      <c r="N35" s="121" t="str">
        <f t="shared" si="181"/>
        <v/>
      </c>
      <c r="O35" s="416" t="e">
        <f t="shared" si="13"/>
        <v>#VALUE!</v>
      </c>
      <c r="P35" s="113" t="e">
        <f t="shared" si="14"/>
        <v>#VALUE!</v>
      </c>
      <c r="Q35" s="116" t="str">
        <f t="shared" si="182"/>
        <v/>
      </c>
      <c r="R35" s="117" t="str">
        <f t="shared" si="183"/>
        <v/>
      </c>
      <c r="S35" s="114" t="e">
        <f t="shared" si="17"/>
        <v>#VALUE!</v>
      </c>
      <c r="T35" s="413" t="str">
        <f t="shared" si="18"/>
        <v/>
      </c>
      <c r="U35" s="100" t="str">
        <f t="shared" si="184"/>
        <v/>
      </c>
      <c r="V35" s="113" t="e">
        <f t="shared" si="20"/>
        <v>#VALUE!</v>
      </c>
      <c r="W35" s="116" t="e">
        <f t="shared" si="21"/>
        <v>#VALUE!</v>
      </c>
      <c r="X35" s="116" t="str">
        <f t="shared" si="185"/>
        <v/>
      </c>
      <c r="Y35" s="116" t="str">
        <f t="shared" si="186"/>
        <v/>
      </c>
      <c r="Z35" s="116" t="e">
        <f t="shared" si="24"/>
        <v>#VALUE!</v>
      </c>
      <c r="AA35" s="413" t="e">
        <f t="shared" si="25"/>
        <v>#VALUE!</v>
      </c>
      <c r="AB35" s="114" t="str">
        <f t="shared" si="187"/>
        <v/>
      </c>
      <c r="AC35" s="121" t="e">
        <f t="shared" si="27"/>
        <v>#VALUE!</v>
      </c>
      <c r="AD35" s="113" t="e">
        <f t="shared" si="28"/>
        <v>#VALUE!</v>
      </c>
      <c r="AE35" s="116" t="str">
        <f t="shared" si="188"/>
        <v/>
      </c>
      <c r="AF35" s="117" t="str">
        <f t="shared" si="189"/>
        <v/>
      </c>
      <c r="AG35" s="114" t="e">
        <f t="shared" si="31"/>
        <v>#VALUE!</v>
      </c>
      <c r="AH35" s="97" t="e">
        <f t="shared" si="32"/>
        <v>#VALUE!</v>
      </c>
      <c r="AI35" s="839" t="e">
        <f t="shared" si="33"/>
        <v>#VALUE!</v>
      </c>
      <c r="AJ35" s="114">
        <f t="shared" si="190"/>
        <v>1802935.88</v>
      </c>
      <c r="AK35" s="116" t="e">
        <f t="shared" ref="AK35:AL35" si="217">SUM(AD35,W35,P35)</f>
        <v>#VALUE!</v>
      </c>
      <c r="AL35" s="116">
        <f t="shared" si="217"/>
        <v>0</v>
      </c>
      <c r="AM35" s="116">
        <f t="shared" si="36"/>
        <v>0</v>
      </c>
      <c r="AN35" s="116">
        <f t="shared" si="37"/>
        <v>-1802935.88</v>
      </c>
      <c r="AO35" s="938">
        <f t="shared" si="38"/>
        <v>0</v>
      </c>
      <c r="AP35" s="845" t="str">
        <f t="shared" si="192"/>
        <v/>
      </c>
      <c r="AQ35" s="140" t="e">
        <f t="shared" si="40"/>
        <v>#VALUE!</v>
      </c>
      <c r="AR35" s="123" t="str">
        <f t="shared" si="193"/>
        <v/>
      </c>
      <c r="AS35" s="148" t="str">
        <f t="shared" si="194"/>
        <v/>
      </c>
      <c r="AT35" s="845" t="str">
        <f t="shared" si="195"/>
        <v/>
      </c>
      <c r="AU35" s="140" t="e">
        <f t="shared" si="44"/>
        <v>#VALUE!</v>
      </c>
      <c r="AV35" s="326" t="str">
        <f t="shared" si="196"/>
        <v/>
      </c>
      <c r="AW35" s="333" t="str">
        <f t="shared" si="197"/>
        <v/>
      </c>
      <c r="AX35" s="939" t="str">
        <f t="shared" si="198"/>
        <v/>
      </c>
      <c r="AY35" s="123" t="e">
        <f t="shared" si="48"/>
        <v>#VALUE!</v>
      </c>
      <c r="AZ35" s="123" t="str">
        <f t="shared" si="199"/>
        <v/>
      </c>
      <c r="BA35" s="125" t="str">
        <f t="shared" si="200"/>
        <v/>
      </c>
      <c r="BB35" s="940" t="e">
        <f t="shared" si="51"/>
        <v>#VALUE!</v>
      </c>
      <c r="BC35" s="116" t="e">
        <f t="shared" si="52"/>
        <v>#VALUE!</v>
      </c>
      <c r="BD35" s="117" t="e">
        <f t="shared" si="53"/>
        <v>#VALUE!</v>
      </c>
      <c r="BE35" s="114" t="e">
        <f t="shared" si="54"/>
        <v>#VALUE!</v>
      </c>
      <c r="BF35" s="116" t="e">
        <f t="shared" ref="BF35:BG35" si="218">SUM(BC35,AL35)</f>
        <v>#VALUE!</v>
      </c>
      <c r="BG35" s="119" t="e">
        <f t="shared" si="218"/>
        <v>#VALUE!</v>
      </c>
      <c r="BH35" s="845" t="str">
        <f t="shared" si="202"/>
        <v/>
      </c>
      <c r="BI35" s="140" t="e">
        <f t="shared" si="57"/>
        <v>#VALUE!</v>
      </c>
      <c r="BJ35" s="326" t="str">
        <f t="shared" si="203"/>
        <v/>
      </c>
      <c r="BK35" s="333" t="str">
        <f t="shared" si="204"/>
        <v/>
      </c>
      <c r="BL35" s="939" t="str">
        <f t="shared" si="205"/>
        <v/>
      </c>
      <c r="BM35" s="123" t="e">
        <f t="shared" si="61"/>
        <v>#VALUE!</v>
      </c>
      <c r="BN35" s="123" t="str">
        <f t="shared" si="206"/>
        <v/>
      </c>
      <c r="BO35" s="123" t="str">
        <f t="shared" si="207"/>
        <v/>
      </c>
      <c r="BP35" s="332" t="str">
        <f t="shared" si="208"/>
        <v/>
      </c>
      <c r="BQ35" s="140" t="e">
        <f t="shared" si="65"/>
        <v>#VALUE!</v>
      </c>
      <c r="BR35" s="326" t="str">
        <f t="shared" si="209"/>
        <v/>
      </c>
      <c r="BS35" s="333" t="str">
        <f t="shared" si="210"/>
        <v/>
      </c>
      <c r="BT35" s="140" t="e">
        <f t="shared" ref="BT35:BV35" si="219">SUM(BQ35,BM35,BI35)</f>
        <v>#VALUE!</v>
      </c>
      <c r="BU35" s="326">
        <f t="shared" si="219"/>
        <v>0</v>
      </c>
      <c r="BV35" s="333">
        <f t="shared" si="219"/>
        <v>0</v>
      </c>
      <c r="BW35" s="845" t="str">
        <f t="shared" si="212"/>
        <v/>
      </c>
      <c r="BX35" s="140" t="e">
        <f t="shared" si="70"/>
        <v>#VALUE!</v>
      </c>
      <c r="BY35" s="123" t="str">
        <f t="shared" si="213"/>
        <v/>
      </c>
      <c r="BZ35" s="148" t="str">
        <f t="shared" si="214"/>
        <v/>
      </c>
      <c r="CA35" s="939" t="str">
        <f t="shared" si="215"/>
        <v/>
      </c>
      <c r="CB35" s="941" t="str">
        <f t="shared" si="216"/>
        <v/>
      </c>
    </row>
    <row r="36" spans="1:80" ht="15.75" customHeight="1">
      <c r="A36" s="463">
        <f t="shared" si="170"/>
        <v>112010488</v>
      </c>
      <c r="B36" s="501" t="e">
        <f t="shared" si="94"/>
        <v>#N/A</v>
      </c>
      <c r="C36" s="699" t="str">
        <f t="shared" si="171"/>
        <v/>
      </c>
      <c r="D36" s="558" t="str">
        <f t="shared" si="172"/>
        <v/>
      </c>
      <c r="E36" s="715" t="str">
        <f t="shared" si="173"/>
        <v/>
      </c>
      <c r="F36" s="936" t="e">
        <f t="shared" si="174"/>
        <v>#N/A</v>
      </c>
      <c r="G36" s="699" t="str">
        <f t="shared" si="175"/>
        <v/>
      </c>
      <c r="H36" s="699" t="str">
        <f t="shared" si="176"/>
        <v/>
      </c>
      <c r="I36" s="702" t="str">
        <f t="shared" si="177"/>
        <v/>
      </c>
      <c r="J36" s="837">
        <f t="shared" si="178"/>
        <v>63</v>
      </c>
      <c r="K36" s="700">
        <f t="shared" si="179"/>
        <v>0.1</v>
      </c>
      <c r="L36" s="702">
        <f t="shared" si="180"/>
        <v>0.05</v>
      </c>
      <c r="M36" s="423" t="s">
        <v>871</v>
      </c>
      <c r="N36" s="121" t="str">
        <f t="shared" si="181"/>
        <v/>
      </c>
      <c r="O36" s="416" t="e">
        <f t="shared" si="13"/>
        <v>#VALUE!</v>
      </c>
      <c r="P36" s="113" t="e">
        <f t="shared" si="14"/>
        <v>#VALUE!</v>
      </c>
      <c r="Q36" s="116" t="str">
        <f t="shared" si="182"/>
        <v/>
      </c>
      <c r="R36" s="117" t="str">
        <f t="shared" si="183"/>
        <v/>
      </c>
      <c r="S36" s="114" t="e">
        <f t="shared" si="17"/>
        <v>#VALUE!</v>
      </c>
      <c r="T36" s="413" t="str">
        <f t="shared" si="18"/>
        <v/>
      </c>
      <c r="U36" s="100" t="str">
        <f t="shared" si="184"/>
        <v/>
      </c>
      <c r="V36" s="113" t="e">
        <f t="shared" si="20"/>
        <v>#VALUE!</v>
      </c>
      <c r="W36" s="116" t="e">
        <f t="shared" si="21"/>
        <v>#VALUE!</v>
      </c>
      <c r="X36" s="116" t="str">
        <f t="shared" si="185"/>
        <v/>
      </c>
      <c r="Y36" s="116" t="str">
        <f t="shared" si="186"/>
        <v/>
      </c>
      <c r="Z36" s="116" t="e">
        <f t="shared" si="24"/>
        <v>#VALUE!</v>
      </c>
      <c r="AA36" s="413" t="e">
        <f t="shared" si="25"/>
        <v>#VALUE!</v>
      </c>
      <c r="AB36" s="114" t="str">
        <f t="shared" si="187"/>
        <v/>
      </c>
      <c r="AC36" s="121" t="e">
        <f t="shared" si="27"/>
        <v>#VALUE!</v>
      </c>
      <c r="AD36" s="113" t="e">
        <f t="shared" si="28"/>
        <v>#VALUE!</v>
      </c>
      <c r="AE36" s="116" t="str">
        <f t="shared" si="188"/>
        <v/>
      </c>
      <c r="AF36" s="117" t="str">
        <f t="shared" si="189"/>
        <v/>
      </c>
      <c r="AG36" s="114" t="e">
        <f t="shared" si="31"/>
        <v>#VALUE!</v>
      </c>
      <c r="AH36" s="97" t="e">
        <f t="shared" si="32"/>
        <v>#VALUE!</v>
      </c>
      <c r="AI36" s="839" t="e">
        <f t="shared" si="33"/>
        <v>#VALUE!</v>
      </c>
      <c r="AJ36" s="114">
        <f t="shared" si="190"/>
        <v>1594991.34</v>
      </c>
      <c r="AK36" s="116" t="e">
        <f t="shared" ref="AK36:AL36" si="220">SUM(AD36,W36,P36)</f>
        <v>#VALUE!</v>
      </c>
      <c r="AL36" s="116">
        <f t="shared" si="220"/>
        <v>0</v>
      </c>
      <c r="AM36" s="116">
        <f t="shared" si="36"/>
        <v>0</v>
      </c>
      <c r="AN36" s="116">
        <f t="shared" si="37"/>
        <v>-1594991.34</v>
      </c>
      <c r="AO36" s="938">
        <f t="shared" si="38"/>
        <v>0</v>
      </c>
      <c r="AP36" s="845" t="str">
        <f t="shared" si="192"/>
        <v/>
      </c>
      <c r="AQ36" s="140" t="e">
        <f t="shared" si="40"/>
        <v>#VALUE!</v>
      </c>
      <c r="AR36" s="123" t="str">
        <f t="shared" si="193"/>
        <v/>
      </c>
      <c r="AS36" s="148" t="str">
        <f t="shared" si="194"/>
        <v/>
      </c>
      <c r="AT36" s="845" t="str">
        <f t="shared" si="195"/>
        <v/>
      </c>
      <c r="AU36" s="140" t="e">
        <f t="shared" si="44"/>
        <v>#VALUE!</v>
      </c>
      <c r="AV36" s="326" t="str">
        <f t="shared" si="196"/>
        <v/>
      </c>
      <c r="AW36" s="333" t="str">
        <f t="shared" si="197"/>
        <v/>
      </c>
      <c r="AX36" s="939" t="str">
        <f t="shared" si="198"/>
        <v/>
      </c>
      <c r="AY36" s="123" t="e">
        <f t="shared" si="48"/>
        <v>#VALUE!</v>
      </c>
      <c r="AZ36" s="123" t="str">
        <f t="shared" si="199"/>
        <v/>
      </c>
      <c r="BA36" s="125" t="str">
        <f t="shared" si="200"/>
        <v/>
      </c>
      <c r="BB36" s="940" t="e">
        <f t="shared" si="51"/>
        <v>#VALUE!</v>
      </c>
      <c r="BC36" s="116" t="e">
        <f t="shared" si="52"/>
        <v>#VALUE!</v>
      </c>
      <c r="BD36" s="117" t="e">
        <f t="shared" si="53"/>
        <v>#VALUE!</v>
      </c>
      <c r="BE36" s="114" t="e">
        <f t="shared" si="54"/>
        <v>#VALUE!</v>
      </c>
      <c r="BF36" s="116" t="e">
        <f t="shared" ref="BF36:BG36" si="221">SUM(BC36,AL36)</f>
        <v>#VALUE!</v>
      </c>
      <c r="BG36" s="119" t="e">
        <f t="shared" si="221"/>
        <v>#VALUE!</v>
      </c>
      <c r="BH36" s="845" t="str">
        <f t="shared" si="202"/>
        <v/>
      </c>
      <c r="BI36" s="140" t="e">
        <f t="shared" si="57"/>
        <v>#VALUE!</v>
      </c>
      <c r="BJ36" s="326" t="str">
        <f t="shared" si="203"/>
        <v/>
      </c>
      <c r="BK36" s="333" t="str">
        <f t="shared" si="204"/>
        <v/>
      </c>
      <c r="BL36" s="939" t="str">
        <f t="shared" si="205"/>
        <v/>
      </c>
      <c r="BM36" s="123" t="e">
        <f t="shared" si="61"/>
        <v>#VALUE!</v>
      </c>
      <c r="BN36" s="123" t="str">
        <f t="shared" si="206"/>
        <v/>
      </c>
      <c r="BO36" s="123" t="str">
        <f t="shared" si="207"/>
        <v/>
      </c>
      <c r="BP36" s="332" t="str">
        <f t="shared" si="208"/>
        <v/>
      </c>
      <c r="BQ36" s="140" t="e">
        <f t="shared" si="65"/>
        <v>#VALUE!</v>
      </c>
      <c r="BR36" s="326" t="str">
        <f t="shared" si="209"/>
        <v/>
      </c>
      <c r="BS36" s="333" t="str">
        <f t="shared" si="210"/>
        <v/>
      </c>
      <c r="BT36" s="140" t="e">
        <f t="shared" ref="BT36:BV36" si="222">SUM(BQ36,BM36,BI36)</f>
        <v>#VALUE!</v>
      </c>
      <c r="BU36" s="326">
        <f t="shared" si="222"/>
        <v>0</v>
      </c>
      <c r="BV36" s="333">
        <f t="shared" si="222"/>
        <v>0</v>
      </c>
      <c r="BW36" s="845" t="str">
        <f t="shared" si="212"/>
        <v/>
      </c>
      <c r="BX36" s="140" t="e">
        <f t="shared" si="70"/>
        <v>#VALUE!</v>
      </c>
      <c r="BY36" s="123" t="str">
        <f t="shared" si="213"/>
        <v/>
      </c>
      <c r="BZ36" s="148" t="str">
        <f t="shared" si="214"/>
        <v/>
      </c>
      <c r="CA36" s="939" t="str">
        <f t="shared" si="215"/>
        <v/>
      </c>
      <c r="CB36" s="941" t="str">
        <f t="shared" si="216"/>
        <v/>
      </c>
    </row>
    <row r="37" spans="1:80" ht="15.75" customHeight="1">
      <c r="A37" s="463">
        <f t="shared" si="170"/>
        <v>112012714</v>
      </c>
      <c r="B37" s="501" t="e">
        <f t="shared" si="94"/>
        <v>#N/A</v>
      </c>
      <c r="C37" s="699" t="str">
        <f t="shared" si="171"/>
        <v/>
      </c>
      <c r="D37" s="558" t="str">
        <f t="shared" si="172"/>
        <v/>
      </c>
      <c r="E37" s="715" t="str">
        <f t="shared" si="173"/>
        <v/>
      </c>
      <c r="F37" s="936" t="e">
        <f t="shared" si="174"/>
        <v>#N/A</v>
      </c>
      <c r="G37" s="699" t="str">
        <f t="shared" si="175"/>
        <v/>
      </c>
      <c r="H37" s="699" t="str">
        <f t="shared" si="176"/>
        <v/>
      </c>
      <c r="I37" s="702" t="str">
        <f t="shared" si="177"/>
        <v/>
      </c>
      <c r="J37" s="837">
        <f t="shared" si="178"/>
        <v>62</v>
      </c>
      <c r="K37" s="700">
        <f t="shared" si="179"/>
        <v>0.1</v>
      </c>
      <c r="L37" s="702">
        <f t="shared" si="180"/>
        <v>0.11</v>
      </c>
      <c r="M37" s="423" t="s">
        <v>492</v>
      </c>
      <c r="N37" s="121" t="str">
        <f t="shared" si="181"/>
        <v/>
      </c>
      <c r="O37" s="416" t="e">
        <f t="shared" si="13"/>
        <v>#VALUE!</v>
      </c>
      <c r="P37" s="113" t="e">
        <f t="shared" si="14"/>
        <v>#VALUE!</v>
      </c>
      <c r="Q37" s="116" t="str">
        <f t="shared" si="182"/>
        <v/>
      </c>
      <c r="R37" s="117" t="str">
        <f t="shared" si="183"/>
        <v/>
      </c>
      <c r="S37" s="114" t="e">
        <f t="shared" si="17"/>
        <v>#VALUE!</v>
      </c>
      <c r="T37" s="413" t="str">
        <f t="shared" si="18"/>
        <v/>
      </c>
      <c r="U37" s="100" t="str">
        <f t="shared" si="184"/>
        <v/>
      </c>
      <c r="V37" s="113" t="e">
        <f t="shared" si="20"/>
        <v>#VALUE!</v>
      </c>
      <c r="W37" s="116" t="e">
        <f t="shared" si="21"/>
        <v>#VALUE!</v>
      </c>
      <c r="X37" s="116" t="str">
        <f t="shared" si="185"/>
        <v/>
      </c>
      <c r="Y37" s="116" t="str">
        <f t="shared" si="186"/>
        <v/>
      </c>
      <c r="Z37" s="116" t="e">
        <f t="shared" si="24"/>
        <v>#VALUE!</v>
      </c>
      <c r="AA37" s="413" t="e">
        <f t="shared" si="25"/>
        <v>#VALUE!</v>
      </c>
      <c r="AB37" s="114" t="str">
        <f t="shared" si="187"/>
        <v/>
      </c>
      <c r="AC37" s="121" t="e">
        <f t="shared" si="27"/>
        <v>#VALUE!</v>
      </c>
      <c r="AD37" s="113" t="e">
        <f t="shared" si="28"/>
        <v>#VALUE!</v>
      </c>
      <c r="AE37" s="116" t="str">
        <f t="shared" si="188"/>
        <v/>
      </c>
      <c r="AF37" s="117" t="str">
        <f t="shared" si="189"/>
        <v/>
      </c>
      <c r="AG37" s="114" t="e">
        <f t="shared" si="31"/>
        <v>#VALUE!</v>
      </c>
      <c r="AH37" s="97" t="e">
        <f t="shared" si="32"/>
        <v>#VALUE!</v>
      </c>
      <c r="AI37" s="839" t="e">
        <f t="shared" si="33"/>
        <v>#VALUE!</v>
      </c>
      <c r="AJ37" s="114">
        <f t="shared" si="190"/>
        <v>5997362.9699999997</v>
      </c>
      <c r="AK37" s="116" t="e">
        <f t="shared" ref="AK37:AL37" si="223">SUM(AD37,W37,P37)</f>
        <v>#VALUE!</v>
      </c>
      <c r="AL37" s="116">
        <f t="shared" si="223"/>
        <v>0</v>
      </c>
      <c r="AM37" s="116">
        <f t="shared" si="36"/>
        <v>0</v>
      </c>
      <c r="AN37" s="116">
        <f t="shared" si="37"/>
        <v>-5997362.9699999997</v>
      </c>
      <c r="AO37" s="938">
        <f t="shared" si="38"/>
        <v>0</v>
      </c>
      <c r="AP37" s="845" t="str">
        <f t="shared" si="192"/>
        <v/>
      </c>
      <c r="AQ37" s="140" t="e">
        <f t="shared" si="40"/>
        <v>#VALUE!</v>
      </c>
      <c r="AR37" s="123" t="str">
        <f t="shared" si="193"/>
        <v/>
      </c>
      <c r="AS37" s="148" t="str">
        <f t="shared" si="194"/>
        <v/>
      </c>
      <c r="AT37" s="845" t="str">
        <f t="shared" si="195"/>
        <v/>
      </c>
      <c r="AU37" s="140" t="e">
        <f t="shared" si="44"/>
        <v>#VALUE!</v>
      </c>
      <c r="AV37" s="326" t="str">
        <f t="shared" si="196"/>
        <v/>
      </c>
      <c r="AW37" s="333" t="str">
        <f t="shared" si="197"/>
        <v/>
      </c>
      <c r="AX37" s="939" t="str">
        <f t="shared" si="198"/>
        <v/>
      </c>
      <c r="AY37" s="123" t="e">
        <f t="shared" si="48"/>
        <v>#VALUE!</v>
      </c>
      <c r="AZ37" s="123" t="str">
        <f t="shared" si="199"/>
        <v/>
      </c>
      <c r="BA37" s="125" t="str">
        <f t="shared" si="200"/>
        <v/>
      </c>
      <c r="BB37" s="940" t="e">
        <f t="shared" si="51"/>
        <v>#VALUE!</v>
      </c>
      <c r="BC37" s="116" t="e">
        <f t="shared" si="52"/>
        <v>#VALUE!</v>
      </c>
      <c r="BD37" s="117" t="e">
        <f t="shared" si="53"/>
        <v>#VALUE!</v>
      </c>
      <c r="BE37" s="114" t="e">
        <f t="shared" si="54"/>
        <v>#VALUE!</v>
      </c>
      <c r="BF37" s="116" t="e">
        <f t="shared" ref="BF37:BG37" si="224">SUM(BC37,AL37)</f>
        <v>#VALUE!</v>
      </c>
      <c r="BG37" s="119" t="e">
        <f t="shared" si="224"/>
        <v>#VALUE!</v>
      </c>
      <c r="BH37" s="845" t="str">
        <f t="shared" si="202"/>
        <v/>
      </c>
      <c r="BI37" s="140" t="e">
        <f t="shared" si="57"/>
        <v>#VALUE!</v>
      </c>
      <c r="BJ37" s="326" t="str">
        <f t="shared" si="203"/>
        <v/>
      </c>
      <c r="BK37" s="333" t="str">
        <f t="shared" si="204"/>
        <v/>
      </c>
      <c r="BL37" s="939" t="str">
        <f t="shared" si="205"/>
        <v/>
      </c>
      <c r="BM37" s="123" t="e">
        <f t="shared" si="61"/>
        <v>#VALUE!</v>
      </c>
      <c r="BN37" s="123" t="str">
        <f t="shared" si="206"/>
        <v/>
      </c>
      <c r="BO37" s="123" t="str">
        <f t="shared" si="207"/>
        <v/>
      </c>
      <c r="BP37" s="332" t="str">
        <f t="shared" si="208"/>
        <v/>
      </c>
      <c r="BQ37" s="140" t="e">
        <f t="shared" si="65"/>
        <v>#VALUE!</v>
      </c>
      <c r="BR37" s="326" t="str">
        <f t="shared" si="209"/>
        <v/>
      </c>
      <c r="BS37" s="333" t="str">
        <f t="shared" si="210"/>
        <v/>
      </c>
      <c r="BT37" s="140" t="e">
        <f t="shared" ref="BT37:BV37" si="225">SUM(BQ37,BM37,BI37)</f>
        <v>#VALUE!</v>
      </c>
      <c r="BU37" s="326">
        <f t="shared" si="225"/>
        <v>0</v>
      </c>
      <c r="BV37" s="333">
        <f t="shared" si="225"/>
        <v>0</v>
      </c>
      <c r="BW37" s="845" t="str">
        <f t="shared" si="212"/>
        <v/>
      </c>
      <c r="BX37" s="140" t="e">
        <f t="shared" si="70"/>
        <v>#VALUE!</v>
      </c>
      <c r="BY37" s="123" t="str">
        <f t="shared" si="213"/>
        <v/>
      </c>
      <c r="BZ37" s="148" t="str">
        <f t="shared" si="214"/>
        <v/>
      </c>
      <c r="CA37" s="939" t="str">
        <f t="shared" si="215"/>
        <v/>
      </c>
      <c r="CB37" s="941" t="str">
        <f t="shared" si="216"/>
        <v/>
      </c>
    </row>
    <row r="38" spans="1:80" ht="15.75" customHeight="1">
      <c r="A38" s="463">
        <f t="shared" si="170"/>
        <v>112012510</v>
      </c>
      <c r="B38" s="501" t="e">
        <f t="shared" si="94"/>
        <v>#N/A</v>
      </c>
      <c r="C38" s="699" t="str">
        <f t="shared" si="171"/>
        <v/>
      </c>
      <c r="D38" s="558" t="str">
        <f t="shared" si="172"/>
        <v/>
      </c>
      <c r="E38" s="715" t="str">
        <f t="shared" si="173"/>
        <v/>
      </c>
      <c r="F38" s="936" t="e">
        <f t="shared" si="174"/>
        <v>#N/A</v>
      </c>
      <c r="G38" s="699" t="str">
        <f t="shared" si="175"/>
        <v/>
      </c>
      <c r="H38" s="699" t="str">
        <f t="shared" si="176"/>
        <v/>
      </c>
      <c r="I38" s="702" t="str">
        <f t="shared" si="177"/>
        <v/>
      </c>
      <c r="J38" s="837">
        <f t="shared" si="178"/>
        <v>63</v>
      </c>
      <c r="K38" s="700">
        <f t="shared" si="179"/>
        <v>0.1</v>
      </c>
      <c r="L38" s="702">
        <f t="shared" si="180"/>
        <v>0.05</v>
      </c>
      <c r="M38" s="423" t="s">
        <v>872</v>
      </c>
      <c r="N38" s="121" t="str">
        <f t="shared" si="181"/>
        <v/>
      </c>
      <c r="O38" s="416" t="e">
        <f t="shared" si="13"/>
        <v>#VALUE!</v>
      </c>
      <c r="P38" s="113" t="e">
        <f t="shared" si="14"/>
        <v>#VALUE!</v>
      </c>
      <c r="Q38" s="116" t="str">
        <f t="shared" si="182"/>
        <v/>
      </c>
      <c r="R38" s="117" t="str">
        <f t="shared" si="183"/>
        <v/>
      </c>
      <c r="S38" s="114" t="e">
        <f t="shared" si="17"/>
        <v>#VALUE!</v>
      </c>
      <c r="T38" s="413" t="str">
        <f t="shared" si="18"/>
        <v/>
      </c>
      <c r="U38" s="100" t="str">
        <f t="shared" si="184"/>
        <v/>
      </c>
      <c r="V38" s="113" t="e">
        <f t="shared" si="20"/>
        <v>#VALUE!</v>
      </c>
      <c r="W38" s="116" t="e">
        <f t="shared" si="21"/>
        <v>#VALUE!</v>
      </c>
      <c r="X38" s="116" t="str">
        <f t="shared" si="185"/>
        <v/>
      </c>
      <c r="Y38" s="116" t="str">
        <f t="shared" si="186"/>
        <v/>
      </c>
      <c r="Z38" s="116" t="e">
        <f t="shared" si="24"/>
        <v>#VALUE!</v>
      </c>
      <c r="AA38" s="413" t="e">
        <f t="shared" si="25"/>
        <v>#VALUE!</v>
      </c>
      <c r="AB38" s="114" t="str">
        <f t="shared" si="187"/>
        <v/>
      </c>
      <c r="AC38" s="121" t="e">
        <f t="shared" si="27"/>
        <v>#VALUE!</v>
      </c>
      <c r="AD38" s="113" t="e">
        <f t="shared" si="28"/>
        <v>#VALUE!</v>
      </c>
      <c r="AE38" s="116" t="str">
        <f t="shared" si="188"/>
        <v/>
      </c>
      <c r="AF38" s="117" t="str">
        <f t="shared" si="189"/>
        <v/>
      </c>
      <c r="AG38" s="114" t="e">
        <f t="shared" si="31"/>
        <v>#VALUE!</v>
      </c>
      <c r="AH38" s="97" t="e">
        <f t="shared" si="32"/>
        <v>#VALUE!</v>
      </c>
      <c r="AI38" s="839" t="e">
        <f t="shared" si="33"/>
        <v>#VALUE!</v>
      </c>
      <c r="AJ38" s="114">
        <f t="shared" si="190"/>
        <v>6868031.0899999999</v>
      </c>
      <c r="AK38" s="116" t="e">
        <f t="shared" ref="AK38:AL38" si="226">SUM(AD38,W38,P38)</f>
        <v>#VALUE!</v>
      </c>
      <c r="AL38" s="116">
        <f t="shared" si="226"/>
        <v>0</v>
      </c>
      <c r="AM38" s="116">
        <f t="shared" si="36"/>
        <v>0</v>
      </c>
      <c r="AN38" s="116">
        <f t="shared" si="37"/>
        <v>-6868031.0899999999</v>
      </c>
      <c r="AO38" s="938">
        <f t="shared" si="38"/>
        <v>0</v>
      </c>
      <c r="AP38" s="845" t="str">
        <f t="shared" si="192"/>
        <v/>
      </c>
      <c r="AQ38" s="140" t="e">
        <f t="shared" si="40"/>
        <v>#VALUE!</v>
      </c>
      <c r="AR38" s="123" t="str">
        <f t="shared" si="193"/>
        <v/>
      </c>
      <c r="AS38" s="148" t="str">
        <f t="shared" si="194"/>
        <v/>
      </c>
      <c r="AT38" s="845" t="str">
        <f t="shared" si="195"/>
        <v/>
      </c>
      <c r="AU38" s="140" t="e">
        <f t="shared" si="44"/>
        <v>#VALUE!</v>
      </c>
      <c r="AV38" s="326" t="str">
        <f t="shared" si="196"/>
        <v/>
      </c>
      <c r="AW38" s="333" t="str">
        <f t="shared" si="197"/>
        <v/>
      </c>
      <c r="AX38" s="939" t="str">
        <f t="shared" si="198"/>
        <v/>
      </c>
      <c r="AY38" s="123" t="e">
        <f t="shared" si="48"/>
        <v>#VALUE!</v>
      </c>
      <c r="AZ38" s="123" t="str">
        <f t="shared" si="199"/>
        <v/>
      </c>
      <c r="BA38" s="125" t="str">
        <f t="shared" si="200"/>
        <v/>
      </c>
      <c r="BB38" s="940" t="e">
        <f t="shared" si="51"/>
        <v>#VALUE!</v>
      </c>
      <c r="BC38" s="116" t="e">
        <f t="shared" si="52"/>
        <v>#VALUE!</v>
      </c>
      <c r="BD38" s="117" t="e">
        <f t="shared" si="53"/>
        <v>#VALUE!</v>
      </c>
      <c r="BE38" s="114" t="e">
        <f t="shared" si="54"/>
        <v>#VALUE!</v>
      </c>
      <c r="BF38" s="116" t="e">
        <f t="shared" ref="BF38:BG38" si="227">SUM(BC38,AL38)</f>
        <v>#VALUE!</v>
      </c>
      <c r="BG38" s="119" t="e">
        <f t="shared" si="227"/>
        <v>#VALUE!</v>
      </c>
      <c r="BH38" s="845" t="str">
        <f t="shared" si="202"/>
        <v/>
      </c>
      <c r="BI38" s="140" t="e">
        <f t="shared" si="57"/>
        <v>#VALUE!</v>
      </c>
      <c r="BJ38" s="326" t="str">
        <f t="shared" si="203"/>
        <v/>
      </c>
      <c r="BK38" s="333" t="str">
        <f t="shared" si="204"/>
        <v/>
      </c>
      <c r="BL38" s="939" t="str">
        <f t="shared" si="205"/>
        <v/>
      </c>
      <c r="BM38" s="123" t="e">
        <f t="shared" si="61"/>
        <v>#VALUE!</v>
      </c>
      <c r="BN38" s="123" t="str">
        <f t="shared" si="206"/>
        <v/>
      </c>
      <c r="BO38" s="123" t="str">
        <f t="shared" si="207"/>
        <v/>
      </c>
      <c r="BP38" s="332" t="str">
        <f t="shared" si="208"/>
        <v/>
      </c>
      <c r="BQ38" s="140" t="e">
        <f t="shared" si="65"/>
        <v>#VALUE!</v>
      </c>
      <c r="BR38" s="326" t="str">
        <f t="shared" si="209"/>
        <v/>
      </c>
      <c r="BS38" s="333" t="str">
        <f t="shared" si="210"/>
        <v/>
      </c>
      <c r="BT38" s="140" t="e">
        <f t="shared" ref="BT38:BV38" si="228">SUM(BQ38,BM38,BI38)</f>
        <v>#VALUE!</v>
      </c>
      <c r="BU38" s="326">
        <f t="shared" si="228"/>
        <v>0</v>
      </c>
      <c r="BV38" s="333">
        <f t="shared" si="228"/>
        <v>0</v>
      </c>
      <c r="BW38" s="845" t="str">
        <f t="shared" si="212"/>
        <v/>
      </c>
      <c r="BX38" s="140" t="e">
        <f t="shared" si="70"/>
        <v>#VALUE!</v>
      </c>
      <c r="BY38" s="123" t="str">
        <f t="shared" si="213"/>
        <v/>
      </c>
      <c r="BZ38" s="148" t="str">
        <f t="shared" si="214"/>
        <v/>
      </c>
      <c r="CA38" s="939" t="str">
        <f t="shared" si="215"/>
        <v/>
      </c>
      <c r="CB38" s="941" t="str">
        <f t="shared" si="216"/>
        <v/>
      </c>
    </row>
    <row r="39" spans="1:80" ht="15.75" customHeight="1">
      <c r="A39" s="463">
        <f t="shared" si="170"/>
        <v>112010673</v>
      </c>
      <c r="B39" s="501" t="e">
        <f t="shared" si="94"/>
        <v>#N/A</v>
      </c>
      <c r="C39" s="699" t="str">
        <f t="shared" si="171"/>
        <v/>
      </c>
      <c r="D39" s="558" t="str">
        <f t="shared" si="172"/>
        <v/>
      </c>
      <c r="E39" s="715" t="str">
        <f t="shared" si="173"/>
        <v/>
      </c>
      <c r="F39" s="936" t="e">
        <f t="shared" si="174"/>
        <v>#N/A</v>
      </c>
      <c r="G39" s="699" t="str">
        <f t="shared" si="175"/>
        <v/>
      </c>
      <c r="H39" s="699" t="str">
        <f t="shared" si="176"/>
        <v/>
      </c>
      <c r="I39" s="702" t="str">
        <f t="shared" si="177"/>
        <v/>
      </c>
      <c r="J39" s="837">
        <f t="shared" si="178"/>
        <v>63</v>
      </c>
      <c r="K39" s="700">
        <f t="shared" si="179"/>
        <v>0.1</v>
      </c>
      <c r="L39" s="702">
        <f t="shared" si="180"/>
        <v>0.05</v>
      </c>
      <c r="M39" s="423" t="s">
        <v>873</v>
      </c>
      <c r="N39" s="121" t="str">
        <f t="shared" si="181"/>
        <v/>
      </c>
      <c r="O39" s="416" t="e">
        <f t="shared" si="13"/>
        <v>#VALUE!</v>
      </c>
      <c r="P39" s="113" t="e">
        <f t="shared" si="14"/>
        <v>#VALUE!</v>
      </c>
      <c r="Q39" s="116" t="str">
        <f t="shared" si="182"/>
        <v/>
      </c>
      <c r="R39" s="117" t="str">
        <f t="shared" si="183"/>
        <v/>
      </c>
      <c r="S39" s="114" t="e">
        <f t="shared" si="17"/>
        <v>#VALUE!</v>
      </c>
      <c r="T39" s="413" t="str">
        <f t="shared" si="18"/>
        <v/>
      </c>
      <c r="U39" s="100" t="str">
        <f t="shared" si="184"/>
        <v/>
      </c>
      <c r="V39" s="113" t="e">
        <f t="shared" si="20"/>
        <v>#VALUE!</v>
      </c>
      <c r="W39" s="116" t="e">
        <f t="shared" si="21"/>
        <v>#VALUE!</v>
      </c>
      <c r="X39" s="116" t="str">
        <f t="shared" si="185"/>
        <v/>
      </c>
      <c r="Y39" s="116" t="str">
        <f t="shared" si="186"/>
        <v/>
      </c>
      <c r="Z39" s="116" t="e">
        <f t="shared" si="24"/>
        <v>#VALUE!</v>
      </c>
      <c r="AA39" s="413" t="e">
        <f t="shared" si="25"/>
        <v>#VALUE!</v>
      </c>
      <c r="AB39" s="114" t="str">
        <f t="shared" si="187"/>
        <v/>
      </c>
      <c r="AC39" s="121" t="e">
        <f t="shared" si="27"/>
        <v>#VALUE!</v>
      </c>
      <c r="AD39" s="113" t="e">
        <f t="shared" si="28"/>
        <v>#VALUE!</v>
      </c>
      <c r="AE39" s="116" t="str">
        <f t="shared" si="188"/>
        <v/>
      </c>
      <c r="AF39" s="117" t="str">
        <f t="shared" si="189"/>
        <v/>
      </c>
      <c r="AG39" s="114" t="e">
        <f t="shared" si="31"/>
        <v>#VALUE!</v>
      </c>
      <c r="AH39" s="97" t="e">
        <f t="shared" si="32"/>
        <v>#VALUE!</v>
      </c>
      <c r="AI39" s="839" t="e">
        <f t="shared" si="33"/>
        <v>#VALUE!</v>
      </c>
      <c r="AJ39" s="114">
        <f t="shared" si="190"/>
        <v>1726999.92</v>
      </c>
      <c r="AK39" s="116" t="e">
        <f t="shared" ref="AK39:AL39" si="229">SUM(AD39,W39,P39)</f>
        <v>#VALUE!</v>
      </c>
      <c r="AL39" s="116">
        <f t="shared" si="229"/>
        <v>0</v>
      </c>
      <c r="AM39" s="116">
        <f t="shared" si="36"/>
        <v>0</v>
      </c>
      <c r="AN39" s="116">
        <f t="shared" si="37"/>
        <v>-1726999.92</v>
      </c>
      <c r="AO39" s="938">
        <f t="shared" si="38"/>
        <v>0</v>
      </c>
      <c r="AP39" s="845" t="str">
        <f t="shared" si="192"/>
        <v/>
      </c>
      <c r="AQ39" s="140" t="e">
        <f t="shared" si="40"/>
        <v>#VALUE!</v>
      </c>
      <c r="AR39" s="123" t="str">
        <f t="shared" si="193"/>
        <v/>
      </c>
      <c r="AS39" s="148" t="str">
        <f t="shared" si="194"/>
        <v/>
      </c>
      <c r="AT39" s="845" t="str">
        <f t="shared" si="195"/>
        <v/>
      </c>
      <c r="AU39" s="140" t="e">
        <f t="shared" si="44"/>
        <v>#VALUE!</v>
      </c>
      <c r="AV39" s="326" t="str">
        <f t="shared" si="196"/>
        <v/>
      </c>
      <c r="AW39" s="333" t="str">
        <f t="shared" si="197"/>
        <v/>
      </c>
      <c r="AX39" s="939" t="str">
        <f t="shared" si="198"/>
        <v/>
      </c>
      <c r="AY39" s="123" t="e">
        <f t="shared" si="48"/>
        <v>#VALUE!</v>
      </c>
      <c r="AZ39" s="123" t="str">
        <f t="shared" si="199"/>
        <v/>
      </c>
      <c r="BA39" s="125" t="str">
        <f t="shared" si="200"/>
        <v/>
      </c>
      <c r="BB39" s="940" t="e">
        <f t="shared" si="51"/>
        <v>#VALUE!</v>
      </c>
      <c r="BC39" s="116" t="e">
        <f t="shared" si="52"/>
        <v>#VALUE!</v>
      </c>
      <c r="BD39" s="117" t="e">
        <f t="shared" si="53"/>
        <v>#VALUE!</v>
      </c>
      <c r="BE39" s="114" t="e">
        <f t="shared" si="54"/>
        <v>#VALUE!</v>
      </c>
      <c r="BF39" s="116" t="e">
        <f t="shared" ref="BF39:BG39" si="230">SUM(BC39,AL39)</f>
        <v>#VALUE!</v>
      </c>
      <c r="BG39" s="119" t="e">
        <f t="shared" si="230"/>
        <v>#VALUE!</v>
      </c>
      <c r="BH39" s="845" t="str">
        <f t="shared" si="202"/>
        <v/>
      </c>
      <c r="BI39" s="140" t="e">
        <f t="shared" si="57"/>
        <v>#VALUE!</v>
      </c>
      <c r="BJ39" s="326" t="str">
        <f t="shared" si="203"/>
        <v/>
      </c>
      <c r="BK39" s="333" t="str">
        <f t="shared" si="204"/>
        <v/>
      </c>
      <c r="BL39" s="939" t="str">
        <f t="shared" si="205"/>
        <v/>
      </c>
      <c r="BM39" s="123" t="e">
        <f t="shared" si="61"/>
        <v>#VALUE!</v>
      </c>
      <c r="BN39" s="123" t="str">
        <f t="shared" si="206"/>
        <v/>
      </c>
      <c r="BO39" s="123" t="str">
        <f t="shared" si="207"/>
        <v/>
      </c>
      <c r="BP39" s="332" t="str">
        <f t="shared" si="208"/>
        <v/>
      </c>
      <c r="BQ39" s="140" t="e">
        <f t="shared" si="65"/>
        <v>#VALUE!</v>
      </c>
      <c r="BR39" s="326" t="str">
        <f t="shared" si="209"/>
        <v/>
      </c>
      <c r="BS39" s="333" t="str">
        <f t="shared" si="210"/>
        <v/>
      </c>
      <c r="BT39" s="140" t="e">
        <f t="shared" ref="BT39:BV39" si="231">SUM(BQ39,BM39,BI39)</f>
        <v>#VALUE!</v>
      </c>
      <c r="BU39" s="326">
        <f t="shared" si="231"/>
        <v>0</v>
      </c>
      <c r="BV39" s="333">
        <f t="shared" si="231"/>
        <v>0</v>
      </c>
      <c r="BW39" s="845" t="str">
        <f t="shared" si="212"/>
        <v/>
      </c>
      <c r="BX39" s="140" t="e">
        <f t="shared" si="70"/>
        <v>#VALUE!</v>
      </c>
      <c r="BY39" s="123" t="str">
        <f t="shared" si="213"/>
        <v/>
      </c>
      <c r="BZ39" s="148" t="str">
        <f t="shared" si="214"/>
        <v/>
      </c>
      <c r="CA39" s="939" t="str">
        <f t="shared" si="215"/>
        <v/>
      </c>
      <c r="CB39" s="941" t="str">
        <f t="shared" si="216"/>
        <v/>
      </c>
    </row>
    <row r="40" spans="1:80" ht="15.75" customHeight="1">
      <c r="A40" s="463">
        <f t="shared" si="170"/>
        <v>112014484</v>
      </c>
      <c r="B40" s="501">
        <f t="shared" si="94"/>
        <v>38</v>
      </c>
      <c r="C40" s="699">
        <f t="shared" si="171"/>
        <v>0.15</v>
      </c>
      <c r="D40" s="558">
        <f t="shared" si="172"/>
        <v>0.26</v>
      </c>
      <c r="E40" s="715">
        <f t="shared" si="173"/>
        <v>0</v>
      </c>
      <c r="F40" s="936">
        <f t="shared" si="174"/>
        <v>42</v>
      </c>
      <c r="G40" s="699" t="str">
        <f t="shared" si="175"/>
        <v>Lista</v>
      </c>
      <c r="H40" s="699">
        <f t="shared" si="176"/>
        <v>0.26</v>
      </c>
      <c r="I40" s="702">
        <f t="shared" si="177"/>
        <v>0</v>
      </c>
      <c r="J40" s="837">
        <f t="shared" si="178"/>
        <v>68</v>
      </c>
      <c r="K40" s="700" t="str">
        <f t="shared" si="179"/>
        <v>Lista</v>
      </c>
      <c r="L40" s="702">
        <f t="shared" si="180"/>
        <v>0.17</v>
      </c>
      <c r="M40" s="423" t="s">
        <v>874</v>
      </c>
      <c r="N40" s="121">
        <f t="shared" si="181"/>
        <v>0</v>
      </c>
      <c r="O40" s="416">
        <f t="shared" si="13"/>
        <v>0</v>
      </c>
      <c r="P40" s="113">
        <f t="shared" si="14"/>
        <v>40958.639999999665</v>
      </c>
      <c r="Q40" s="116">
        <f t="shared" si="182"/>
        <v>7732031.0700000003</v>
      </c>
      <c r="R40" s="117">
        <f t="shared" si="183"/>
        <v>7772989.71</v>
      </c>
      <c r="S40" s="114">
        <f t="shared" si="17"/>
        <v>7772989.71</v>
      </c>
      <c r="T40" s="413" t="str">
        <f t="shared" si="18"/>
        <v/>
      </c>
      <c r="U40" s="100">
        <f t="shared" si="184"/>
        <v>0</v>
      </c>
      <c r="V40" s="113">
        <f t="shared" si="20"/>
        <v>0</v>
      </c>
      <c r="W40" s="116">
        <f t="shared" si="21"/>
        <v>0</v>
      </c>
      <c r="X40" s="116">
        <f t="shared" si="185"/>
        <v>2621216.7400000002</v>
      </c>
      <c r="Y40" s="116">
        <f t="shared" si="186"/>
        <v>2621216.7400000002</v>
      </c>
      <c r="Z40" s="116">
        <f t="shared" si="24"/>
        <v>2621216.7400000002</v>
      </c>
      <c r="AA40" s="413" t="e">
        <f t="shared" si="25"/>
        <v>#DIV/0!</v>
      </c>
      <c r="AB40" s="114">
        <f t="shared" si="187"/>
        <v>0</v>
      </c>
      <c r="AC40" s="121">
        <f t="shared" si="27"/>
        <v>0</v>
      </c>
      <c r="AD40" s="113">
        <f t="shared" si="28"/>
        <v>0</v>
      </c>
      <c r="AE40" s="116">
        <f t="shared" si="188"/>
        <v>334633.75</v>
      </c>
      <c r="AF40" s="117">
        <f t="shared" si="189"/>
        <v>334633.75</v>
      </c>
      <c r="AG40" s="114">
        <f t="shared" si="31"/>
        <v>334633.75</v>
      </c>
      <c r="AH40" s="97" t="e">
        <f t="shared" si="32"/>
        <v>#DIV/0!</v>
      </c>
      <c r="AI40" s="839">
        <f t="shared" si="33"/>
        <v>0</v>
      </c>
      <c r="AJ40" s="114">
        <f t="shared" si="190"/>
        <v>9219096.1300000008</v>
      </c>
      <c r="AK40" s="116">
        <f t="shared" ref="AK40:AL40" si="232">SUM(AD40,W40,P40)</f>
        <v>40958.639999999665</v>
      </c>
      <c r="AL40" s="116">
        <f t="shared" si="232"/>
        <v>10687881.560000001</v>
      </c>
      <c r="AM40" s="116">
        <f t="shared" si="36"/>
        <v>13350056.940000001</v>
      </c>
      <c r="AN40" s="116">
        <f t="shared" si="37"/>
        <v>4130960.8100000005</v>
      </c>
      <c r="AO40" s="938">
        <f t="shared" si="38"/>
        <v>1.4480873994314234</v>
      </c>
      <c r="AP40" s="845">
        <f t="shared" si="192"/>
        <v>0</v>
      </c>
      <c r="AQ40" s="140">
        <f t="shared" si="40"/>
        <v>0</v>
      </c>
      <c r="AR40" s="123">
        <f t="shared" si="193"/>
        <v>1524186.82</v>
      </c>
      <c r="AS40" s="148">
        <f t="shared" si="194"/>
        <v>1524186.82</v>
      </c>
      <c r="AT40" s="845">
        <f t="shared" si="195"/>
        <v>0</v>
      </c>
      <c r="AU40" s="140">
        <f t="shared" si="44"/>
        <v>0</v>
      </c>
      <c r="AV40" s="326">
        <f t="shared" si="196"/>
        <v>437164.27</v>
      </c>
      <c r="AW40" s="333">
        <f t="shared" si="197"/>
        <v>437164.27</v>
      </c>
      <c r="AX40" s="939">
        <f t="shared" si="198"/>
        <v>0</v>
      </c>
      <c r="AY40" s="123">
        <f t="shared" si="48"/>
        <v>0</v>
      </c>
      <c r="AZ40" s="123">
        <f t="shared" si="199"/>
        <v>3220162.84</v>
      </c>
      <c r="BA40" s="125">
        <f t="shared" si="200"/>
        <v>3220162.84</v>
      </c>
      <c r="BB40" s="940">
        <f t="shared" si="51"/>
        <v>0</v>
      </c>
      <c r="BC40" s="116">
        <f t="shared" si="52"/>
        <v>5181513.93</v>
      </c>
      <c r="BD40" s="117">
        <f t="shared" si="53"/>
        <v>5181513.93</v>
      </c>
      <c r="BE40" s="114">
        <f t="shared" si="54"/>
        <v>40958.639999999665</v>
      </c>
      <c r="BF40" s="116">
        <f t="shared" ref="BF40:BG40" si="233">SUM(BC40,AL40)</f>
        <v>15869395.49</v>
      </c>
      <c r="BG40" s="119">
        <f t="shared" si="233"/>
        <v>18531570.870000001</v>
      </c>
      <c r="BH40" s="845">
        <f t="shared" si="202"/>
        <v>6906713.25</v>
      </c>
      <c r="BI40" s="140">
        <f t="shared" si="57"/>
        <v>0</v>
      </c>
      <c r="BJ40" s="326">
        <f t="shared" si="203"/>
        <v>3816499.59</v>
      </c>
      <c r="BK40" s="333">
        <f t="shared" si="204"/>
        <v>3816499.59</v>
      </c>
      <c r="BL40" s="939">
        <f t="shared" si="205"/>
        <v>8228631.6799999997</v>
      </c>
      <c r="BM40" s="123">
        <f t="shared" si="61"/>
        <v>0</v>
      </c>
      <c r="BN40" s="123">
        <f t="shared" si="206"/>
        <v>6289039</v>
      </c>
      <c r="BO40" s="123">
        <f t="shared" si="207"/>
        <v>6289039</v>
      </c>
      <c r="BP40" s="332">
        <f t="shared" si="208"/>
        <v>2543214.5299999998</v>
      </c>
      <c r="BQ40" s="140">
        <f t="shared" si="65"/>
        <v>0</v>
      </c>
      <c r="BR40" s="326">
        <f t="shared" si="209"/>
        <v>1147755.54</v>
      </c>
      <c r="BS40" s="333">
        <f t="shared" si="210"/>
        <v>1147755.54</v>
      </c>
      <c r="BT40" s="140">
        <f t="shared" ref="BT40:BV40" si="234">SUM(BQ40,BM40,BI40)</f>
        <v>0</v>
      </c>
      <c r="BU40" s="326">
        <f t="shared" si="234"/>
        <v>11253294.129999999</v>
      </c>
      <c r="BV40" s="333">
        <f t="shared" si="234"/>
        <v>11253294.129999999</v>
      </c>
      <c r="BW40" s="845">
        <f t="shared" si="212"/>
        <v>4728090.6500000004</v>
      </c>
      <c r="BX40" s="140">
        <f t="shared" si="70"/>
        <v>0</v>
      </c>
      <c r="BY40" s="123">
        <f t="shared" si="213"/>
        <v>730014.81</v>
      </c>
      <c r="BZ40" s="148">
        <f t="shared" si="214"/>
        <v>730014.81</v>
      </c>
      <c r="CA40" s="939">
        <f t="shared" si="215"/>
        <v>4451653.58</v>
      </c>
      <c r="CB40" s="941">
        <f t="shared" si="216"/>
        <v>39351.9</v>
      </c>
    </row>
    <row r="41" spans="1:80" ht="15.75" customHeight="1">
      <c r="A41" s="463">
        <f t="shared" si="170"/>
        <v>112011628</v>
      </c>
      <c r="B41" s="501" t="e">
        <f t="shared" ref="B41:B65" si="235">VLOOKUP(M41,VARGASCARTERA,2,FALSE)</f>
        <v>#N/A</v>
      </c>
      <c r="C41" s="699" t="str">
        <f t="shared" si="171"/>
        <v/>
      </c>
      <c r="D41" s="558" t="str">
        <f t="shared" si="172"/>
        <v/>
      </c>
      <c r="E41" s="715" t="str">
        <f t="shared" si="173"/>
        <v/>
      </c>
      <c r="F41" s="936" t="e">
        <f t="shared" si="174"/>
        <v>#N/A</v>
      </c>
      <c r="G41" s="699" t="str">
        <f t="shared" si="175"/>
        <v/>
      </c>
      <c r="H41" s="699" t="str">
        <f t="shared" si="176"/>
        <v/>
      </c>
      <c r="I41" s="702" t="str">
        <f t="shared" si="177"/>
        <v/>
      </c>
      <c r="J41" s="837">
        <f t="shared" si="178"/>
        <v>70</v>
      </c>
      <c r="K41" s="700" t="str">
        <f t="shared" si="179"/>
        <v>Lista</v>
      </c>
      <c r="L41" s="702">
        <f t="shared" si="180"/>
        <v>0.11</v>
      </c>
      <c r="M41" s="423" t="s">
        <v>141</v>
      </c>
      <c r="N41" s="121" t="str">
        <f t="shared" si="181"/>
        <v/>
      </c>
      <c r="O41" s="416" t="e">
        <f t="shared" si="13"/>
        <v>#VALUE!</v>
      </c>
      <c r="P41" s="113" t="e">
        <f t="shared" si="14"/>
        <v>#VALUE!</v>
      </c>
      <c r="Q41" s="116" t="str">
        <f t="shared" si="182"/>
        <v/>
      </c>
      <c r="R41" s="117" t="str">
        <f t="shared" si="183"/>
        <v/>
      </c>
      <c r="S41" s="114" t="e">
        <f t="shared" si="17"/>
        <v>#VALUE!</v>
      </c>
      <c r="T41" s="413" t="str">
        <f t="shared" si="18"/>
        <v/>
      </c>
      <c r="U41" s="100" t="str">
        <f t="shared" si="184"/>
        <v/>
      </c>
      <c r="V41" s="113" t="e">
        <f t="shared" si="20"/>
        <v>#VALUE!</v>
      </c>
      <c r="W41" s="116" t="e">
        <f t="shared" si="21"/>
        <v>#VALUE!</v>
      </c>
      <c r="X41" s="116" t="str">
        <f t="shared" si="185"/>
        <v/>
      </c>
      <c r="Y41" s="116" t="str">
        <f t="shared" si="186"/>
        <v/>
      </c>
      <c r="Z41" s="116" t="e">
        <f t="shared" si="24"/>
        <v>#VALUE!</v>
      </c>
      <c r="AA41" s="413" t="e">
        <f t="shared" si="25"/>
        <v>#VALUE!</v>
      </c>
      <c r="AB41" s="114" t="str">
        <f t="shared" si="187"/>
        <v/>
      </c>
      <c r="AC41" s="121" t="e">
        <f t="shared" si="27"/>
        <v>#VALUE!</v>
      </c>
      <c r="AD41" s="113" t="e">
        <f t="shared" si="28"/>
        <v>#VALUE!</v>
      </c>
      <c r="AE41" s="116" t="str">
        <f t="shared" si="188"/>
        <v/>
      </c>
      <c r="AF41" s="117" t="str">
        <f t="shared" si="189"/>
        <v/>
      </c>
      <c r="AG41" s="114" t="e">
        <f t="shared" si="31"/>
        <v>#VALUE!</v>
      </c>
      <c r="AH41" s="97" t="e">
        <f t="shared" si="32"/>
        <v>#VALUE!</v>
      </c>
      <c r="AI41" s="839" t="e">
        <f t="shared" si="33"/>
        <v>#VALUE!</v>
      </c>
      <c r="AJ41" s="114">
        <f t="shared" si="190"/>
        <v>2302166.17</v>
      </c>
      <c r="AK41" s="116" t="e">
        <f t="shared" ref="AK41:AL41" si="236">SUM(AD41,W41,P41)</f>
        <v>#VALUE!</v>
      </c>
      <c r="AL41" s="116">
        <f t="shared" si="236"/>
        <v>0</v>
      </c>
      <c r="AM41" s="116">
        <f t="shared" si="36"/>
        <v>0</v>
      </c>
      <c r="AN41" s="116">
        <f t="shared" si="37"/>
        <v>-2302166.17</v>
      </c>
      <c r="AO41" s="938">
        <f t="shared" si="38"/>
        <v>0</v>
      </c>
      <c r="AP41" s="845" t="str">
        <f t="shared" si="192"/>
        <v/>
      </c>
      <c r="AQ41" s="140" t="e">
        <f t="shared" si="40"/>
        <v>#VALUE!</v>
      </c>
      <c r="AR41" s="123" t="str">
        <f t="shared" si="193"/>
        <v/>
      </c>
      <c r="AS41" s="148" t="str">
        <f t="shared" si="194"/>
        <v/>
      </c>
      <c r="AT41" s="845" t="str">
        <f t="shared" si="195"/>
        <v/>
      </c>
      <c r="AU41" s="140" t="e">
        <f t="shared" si="44"/>
        <v>#VALUE!</v>
      </c>
      <c r="AV41" s="326" t="str">
        <f t="shared" si="196"/>
        <v/>
      </c>
      <c r="AW41" s="333" t="str">
        <f t="shared" si="197"/>
        <v/>
      </c>
      <c r="AX41" s="939" t="str">
        <f t="shared" si="198"/>
        <v/>
      </c>
      <c r="AY41" s="123" t="e">
        <f t="shared" si="48"/>
        <v>#VALUE!</v>
      </c>
      <c r="AZ41" s="123" t="str">
        <f t="shared" si="199"/>
        <v/>
      </c>
      <c r="BA41" s="125" t="str">
        <f t="shared" si="200"/>
        <v/>
      </c>
      <c r="BB41" s="940" t="e">
        <f t="shared" si="51"/>
        <v>#VALUE!</v>
      </c>
      <c r="BC41" s="116" t="e">
        <f t="shared" si="52"/>
        <v>#VALUE!</v>
      </c>
      <c r="BD41" s="117" t="e">
        <f t="shared" si="53"/>
        <v>#VALUE!</v>
      </c>
      <c r="BE41" s="114" t="e">
        <f t="shared" si="54"/>
        <v>#VALUE!</v>
      </c>
      <c r="BF41" s="116" t="e">
        <f t="shared" ref="BF41:BG41" si="237">SUM(BC41,AL41)</f>
        <v>#VALUE!</v>
      </c>
      <c r="BG41" s="119" t="e">
        <f t="shared" si="237"/>
        <v>#VALUE!</v>
      </c>
      <c r="BH41" s="845" t="str">
        <f t="shared" si="202"/>
        <v/>
      </c>
      <c r="BI41" s="140" t="e">
        <f t="shared" si="57"/>
        <v>#VALUE!</v>
      </c>
      <c r="BJ41" s="326" t="str">
        <f t="shared" si="203"/>
        <v/>
      </c>
      <c r="BK41" s="333" t="str">
        <f t="shared" si="204"/>
        <v/>
      </c>
      <c r="BL41" s="939" t="str">
        <f t="shared" si="205"/>
        <v/>
      </c>
      <c r="BM41" s="123" t="e">
        <f t="shared" si="61"/>
        <v>#VALUE!</v>
      </c>
      <c r="BN41" s="123" t="str">
        <f t="shared" si="206"/>
        <v/>
      </c>
      <c r="BO41" s="123" t="str">
        <f t="shared" si="207"/>
        <v/>
      </c>
      <c r="BP41" s="332" t="str">
        <f t="shared" si="208"/>
        <v/>
      </c>
      <c r="BQ41" s="140" t="e">
        <f t="shared" si="65"/>
        <v>#VALUE!</v>
      </c>
      <c r="BR41" s="326" t="str">
        <f t="shared" si="209"/>
        <v/>
      </c>
      <c r="BS41" s="333" t="str">
        <f t="shared" si="210"/>
        <v/>
      </c>
      <c r="BT41" s="140" t="e">
        <f t="shared" ref="BT41:BV41" si="238">SUM(BQ41,BM41,BI41)</f>
        <v>#VALUE!</v>
      </c>
      <c r="BU41" s="326">
        <f t="shared" si="238"/>
        <v>0</v>
      </c>
      <c r="BV41" s="333">
        <f t="shared" si="238"/>
        <v>0</v>
      </c>
      <c r="BW41" s="845" t="str">
        <f t="shared" si="212"/>
        <v/>
      </c>
      <c r="BX41" s="140" t="e">
        <f t="shared" si="70"/>
        <v>#VALUE!</v>
      </c>
      <c r="BY41" s="123" t="str">
        <f t="shared" si="213"/>
        <v/>
      </c>
      <c r="BZ41" s="148" t="str">
        <f t="shared" si="214"/>
        <v/>
      </c>
      <c r="CA41" s="939" t="str">
        <f t="shared" si="215"/>
        <v/>
      </c>
      <c r="CB41" s="941" t="str">
        <f t="shared" si="216"/>
        <v/>
      </c>
    </row>
    <row r="42" spans="1:80" ht="15.75" customHeight="1">
      <c r="A42" s="463">
        <f t="shared" si="170"/>
        <v>112012617</v>
      </c>
      <c r="B42" s="501" t="e">
        <f t="shared" si="235"/>
        <v>#N/A</v>
      </c>
      <c r="C42" s="699" t="str">
        <f t="shared" si="171"/>
        <v/>
      </c>
      <c r="D42" s="558" t="str">
        <f t="shared" si="172"/>
        <v/>
      </c>
      <c r="E42" s="715" t="str">
        <f t="shared" si="173"/>
        <v/>
      </c>
      <c r="F42" s="936" t="e">
        <f t="shared" si="174"/>
        <v>#N/A</v>
      </c>
      <c r="G42" s="699" t="str">
        <f t="shared" si="175"/>
        <v/>
      </c>
      <c r="H42" s="699" t="str">
        <f t="shared" si="176"/>
        <v/>
      </c>
      <c r="I42" s="702" t="str">
        <f t="shared" si="177"/>
        <v/>
      </c>
      <c r="J42" s="837">
        <f t="shared" si="178"/>
        <v>69</v>
      </c>
      <c r="K42" s="700" t="str">
        <f t="shared" si="179"/>
        <v>Lista</v>
      </c>
      <c r="L42" s="702">
        <f t="shared" si="180"/>
        <v>0.14000000000000001</v>
      </c>
      <c r="M42" s="423" t="s">
        <v>875</v>
      </c>
      <c r="N42" s="121" t="str">
        <f t="shared" si="181"/>
        <v/>
      </c>
      <c r="O42" s="416" t="e">
        <f t="shared" si="13"/>
        <v>#VALUE!</v>
      </c>
      <c r="P42" s="113" t="e">
        <f t="shared" si="14"/>
        <v>#VALUE!</v>
      </c>
      <c r="Q42" s="116" t="str">
        <f t="shared" si="182"/>
        <v/>
      </c>
      <c r="R42" s="117" t="str">
        <f t="shared" si="183"/>
        <v/>
      </c>
      <c r="S42" s="114" t="e">
        <f t="shared" si="17"/>
        <v>#VALUE!</v>
      </c>
      <c r="T42" s="413" t="str">
        <f t="shared" si="18"/>
        <v/>
      </c>
      <c r="U42" s="100" t="str">
        <f t="shared" si="184"/>
        <v/>
      </c>
      <c r="V42" s="113" t="e">
        <f t="shared" si="20"/>
        <v>#VALUE!</v>
      </c>
      <c r="W42" s="116" t="e">
        <f t="shared" si="21"/>
        <v>#VALUE!</v>
      </c>
      <c r="X42" s="116" t="str">
        <f t="shared" si="185"/>
        <v/>
      </c>
      <c r="Y42" s="116" t="str">
        <f t="shared" si="186"/>
        <v/>
      </c>
      <c r="Z42" s="116" t="e">
        <f t="shared" si="24"/>
        <v>#VALUE!</v>
      </c>
      <c r="AA42" s="413" t="e">
        <f t="shared" si="25"/>
        <v>#VALUE!</v>
      </c>
      <c r="AB42" s="114" t="str">
        <f t="shared" si="187"/>
        <v/>
      </c>
      <c r="AC42" s="121" t="e">
        <f t="shared" si="27"/>
        <v>#VALUE!</v>
      </c>
      <c r="AD42" s="113" t="e">
        <f t="shared" si="28"/>
        <v>#VALUE!</v>
      </c>
      <c r="AE42" s="116" t="str">
        <f t="shared" si="188"/>
        <v/>
      </c>
      <c r="AF42" s="117" t="str">
        <f t="shared" si="189"/>
        <v/>
      </c>
      <c r="AG42" s="114" t="e">
        <f t="shared" si="31"/>
        <v>#VALUE!</v>
      </c>
      <c r="AH42" s="97" t="e">
        <f t="shared" si="32"/>
        <v>#VALUE!</v>
      </c>
      <c r="AI42" s="839" t="e">
        <f t="shared" si="33"/>
        <v>#VALUE!</v>
      </c>
      <c r="AJ42" s="114">
        <f t="shared" si="190"/>
        <v>2696819.06</v>
      </c>
      <c r="AK42" s="116" t="e">
        <f t="shared" ref="AK42:AL42" si="239">SUM(AD42,W42,P42)</f>
        <v>#VALUE!</v>
      </c>
      <c r="AL42" s="116">
        <f t="shared" si="239"/>
        <v>0</v>
      </c>
      <c r="AM42" s="116">
        <f t="shared" si="36"/>
        <v>0</v>
      </c>
      <c r="AN42" s="116">
        <f t="shared" si="37"/>
        <v>-2696819.06</v>
      </c>
      <c r="AO42" s="938">
        <f t="shared" si="38"/>
        <v>0</v>
      </c>
      <c r="AP42" s="845" t="str">
        <f t="shared" si="192"/>
        <v/>
      </c>
      <c r="AQ42" s="140" t="e">
        <f t="shared" si="40"/>
        <v>#VALUE!</v>
      </c>
      <c r="AR42" s="123" t="str">
        <f t="shared" si="193"/>
        <v/>
      </c>
      <c r="AS42" s="148" t="str">
        <f t="shared" si="194"/>
        <v/>
      </c>
      <c r="AT42" s="845" t="str">
        <f t="shared" si="195"/>
        <v/>
      </c>
      <c r="AU42" s="140" t="e">
        <f t="shared" si="44"/>
        <v>#VALUE!</v>
      </c>
      <c r="AV42" s="326" t="str">
        <f t="shared" si="196"/>
        <v/>
      </c>
      <c r="AW42" s="333" t="str">
        <f t="shared" si="197"/>
        <v/>
      </c>
      <c r="AX42" s="939" t="str">
        <f t="shared" si="198"/>
        <v/>
      </c>
      <c r="AY42" s="123" t="e">
        <f t="shared" si="48"/>
        <v>#VALUE!</v>
      </c>
      <c r="AZ42" s="123" t="str">
        <f t="shared" si="199"/>
        <v/>
      </c>
      <c r="BA42" s="125" t="str">
        <f t="shared" si="200"/>
        <v/>
      </c>
      <c r="BB42" s="940" t="e">
        <f t="shared" si="51"/>
        <v>#VALUE!</v>
      </c>
      <c r="BC42" s="116" t="e">
        <f t="shared" si="52"/>
        <v>#VALUE!</v>
      </c>
      <c r="BD42" s="117" t="e">
        <f t="shared" si="53"/>
        <v>#VALUE!</v>
      </c>
      <c r="BE42" s="114" t="e">
        <f t="shared" si="54"/>
        <v>#VALUE!</v>
      </c>
      <c r="BF42" s="116" t="e">
        <f t="shared" ref="BF42:BG42" si="240">SUM(BC42,AL42)</f>
        <v>#VALUE!</v>
      </c>
      <c r="BG42" s="119" t="e">
        <f t="shared" si="240"/>
        <v>#VALUE!</v>
      </c>
      <c r="BH42" s="845" t="str">
        <f t="shared" si="202"/>
        <v/>
      </c>
      <c r="BI42" s="140" t="e">
        <f t="shared" si="57"/>
        <v>#VALUE!</v>
      </c>
      <c r="BJ42" s="326" t="str">
        <f t="shared" si="203"/>
        <v/>
      </c>
      <c r="BK42" s="333" t="str">
        <f t="shared" si="204"/>
        <v/>
      </c>
      <c r="BL42" s="939" t="str">
        <f t="shared" si="205"/>
        <v/>
      </c>
      <c r="BM42" s="123" t="e">
        <f t="shared" si="61"/>
        <v>#VALUE!</v>
      </c>
      <c r="BN42" s="123" t="str">
        <f t="shared" si="206"/>
        <v/>
      </c>
      <c r="BO42" s="123" t="str">
        <f t="shared" si="207"/>
        <v/>
      </c>
      <c r="BP42" s="332" t="str">
        <f t="shared" si="208"/>
        <v/>
      </c>
      <c r="BQ42" s="140" t="e">
        <f t="shared" si="65"/>
        <v>#VALUE!</v>
      </c>
      <c r="BR42" s="326" t="str">
        <f t="shared" si="209"/>
        <v/>
      </c>
      <c r="BS42" s="333" t="str">
        <f t="shared" si="210"/>
        <v/>
      </c>
      <c r="BT42" s="140" t="e">
        <f t="shared" ref="BT42:BV42" si="241">SUM(BQ42,BM42,BI42)</f>
        <v>#VALUE!</v>
      </c>
      <c r="BU42" s="326">
        <f t="shared" si="241"/>
        <v>0</v>
      </c>
      <c r="BV42" s="333">
        <f t="shared" si="241"/>
        <v>0</v>
      </c>
      <c r="BW42" s="845" t="str">
        <f t="shared" si="212"/>
        <v/>
      </c>
      <c r="BX42" s="140" t="e">
        <f t="shared" si="70"/>
        <v>#VALUE!</v>
      </c>
      <c r="BY42" s="123" t="str">
        <f t="shared" si="213"/>
        <v/>
      </c>
      <c r="BZ42" s="148" t="str">
        <f t="shared" si="214"/>
        <v/>
      </c>
      <c r="CA42" s="939" t="str">
        <f t="shared" si="215"/>
        <v/>
      </c>
      <c r="CB42" s="941" t="str">
        <f t="shared" si="216"/>
        <v/>
      </c>
    </row>
    <row r="43" spans="1:80" ht="15.75" customHeight="1">
      <c r="A43" s="463">
        <f t="shared" si="170"/>
        <v>112014777</v>
      </c>
      <c r="B43" s="501" t="e">
        <f t="shared" si="235"/>
        <v>#N/A</v>
      </c>
      <c r="C43" s="699" t="str">
        <f t="shared" si="171"/>
        <v/>
      </c>
      <c r="D43" s="558" t="str">
        <f t="shared" si="172"/>
        <v/>
      </c>
      <c r="E43" s="715" t="str">
        <f t="shared" si="173"/>
        <v/>
      </c>
      <c r="F43" s="936" t="e">
        <f t="shared" si="174"/>
        <v>#N/A</v>
      </c>
      <c r="G43" s="699" t="str">
        <f t="shared" si="175"/>
        <v/>
      </c>
      <c r="H43" s="699" t="str">
        <f t="shared" si="176"/>
        <v/>
      </c>
      <c r="I43" s="702" t="str">
        <f t="shared" si="177"/>
        <v/>
      </c>
      <c r="J43" s="837">
        <f t="shared" si="178"/>
        <v>71</v>
      </c>
      <c r="K43" s="700" t="str">
        <f t="shared" si="179"/>
        <v>Lista</v>
      </c>
      <c r="L43" s="702">
        <f t="shared" si="180"/>
        <v>0.05</v>
      </c>
      <c r="M43" s="944" t="s">
        <v>876</v>
      </c>
      <c r="N43" s="121" t="str">
        <f t="shared" si="181"/>
        <v/>
      </c>
      <c r="O43" s="416" t="e">
        <f t="shared" si="13"/>
        <v>#VALUE!</v>
      </c>
      <c r="P43" s="113" t="e">
        <f t="shared" si="14"/>
        <v>#VALUE!</v>
      </c>
      <c r="Q43" s="116" t="str">
        <f t="shared" si="182"/>
        <v/>
      </c>
      <c r="R43" s="117">
        <f t="shared" si="183"/>
        <v>0</v>
      </c>
      <c r="S43" s="114" t="e">
        <f t="shared" si="17"/>
        <v>#VALUE!</v>
      </c>
      <c r="T43" s="413" t="str">
        <f t="shared" si="18"/>
        <v/>
      </c>
      <c r="U43" s="100" t="str">
        <f t="shared" si="184"/>
        <v/>
      </c>
      <c r="V43" s="113" t="e">
        <f t="shared" si="20"/>
        <v>#VALUE!</v>
      </c>
      <c r="W43" s="116" t="e">
        <f t="shared" si="21"/>
        <v>#VALUE!</v>
      </c>
      <c r="X43" s="116" t="str">
        <f t="shared" si="185"/>
        <v/>
      </c>
      <c r="Y43" s="116">
        <f t="shared" si="186"/>
        <v>0</v>
      </c>
      <c r="Z43" s="116" t="e">
        <f t="shared" si="24"/>
        <v>#VALUE!</v>
      </c>
      <c r="AA43" s="413" t="e">
        <f t="shared" si="25"/>
        <v>#VALUE!</v>
      </c>
      <c r="AB43" s="114" t="str">
        <f t="shared" si="187"/>
        <v/>
      </c>
      <c r="AC43" s="121" t="e">
        <f t="shared" si="27"/>
        <v>#VALUE!</v>
      </c>
      <c r="AD43" s="113" t="e">
        <f t="shared" si="28"/>
        <v>#VALUE!</v>
      </c>
      <c r="AE43" s="116" t="str">
        <f t="shared" si="188"/>
        <v/>
      </c>
      <c r="AF43" s="117">
        <f t="shared" si="189"/>
        <v>0</v>
      </c>
      <c r="AG43" s="114" t="e">
        <f t="shared" si="31"/>
        <v>#VALUE!</v>
      </c>
      <c r="AH43" s="97" t="e">
        <f t="shared" si="32"/>
        <v>#VALUE!</v>
      </c>
      <c r="AI43" s="839" t="e">
        <f t="shared" si="33"/>
        <v>#VALUE!</v>
      </c>
      <c r="AJ43" s="114" t="e">
        <f t="shared" si="190"/>
        <v>#N/A</v>
      </c>
      <c r="AK43" s="116" t="e">
        <f t="shared" ref="AK43:AL43" si="242">SUM(AD43,W43,P43)</f>
        <v>#VALUE!</v>
      </c>
      <c r="AL43" s="116">
        <f t="shared" si="242"/>
        <v>0</v>
      </c>
      <c r="AM43" s="116">
        <f t="shared" si="36"/>
        <v>0</v>
      </c>
      <c r="AN43" s="116" t="e">
        <f t="shared" si="37"/>
        <v>#N/A</v>
      </c>
      <c r="AO43" s="938" t="e">
        <f t="shared" si="38"/>
        <v>#N/A</v>
      </c>
      <c r="AP43" s="845" t="str">
        <f t="shared" si="192"/>
        <v/>
      </c>
      <c r="AQ43" s="140" t="e">
        <f t="shared" si="40"/>
        <v>#VALUE!</v>
      </c>
      <c r="AR43" s="123" t="str">
        <f t="shared" si="193"/>
        <v/>
      </c>
      <c r="AS43" s="148">
        <f t="shared" si="194"/>
        <v>0</v>
      </c>
      <c r="AT43" s="845" t="str">
        <f t="shared" si="195"/>
        <v/>
      </c>
      <c r="AU43" s="140" t="e">
        <f t="shared" si="44"/>
        <v>#VALUE!</v>
      </c>
      <c r="AV43" s="326" t="str">
        <f t="shared" si="196"/>
        <v/>
      </c>
      <c r="AW43" s="333">
        <f t="shared" si="197"/>
        <v>0</v>
      </c>
      <c r="AX43" s="939" t="str">
        <f t="shared" si="198"/>
        <v/>
      </c>
      <c r="AY43" s="123" t="e">
        <f t="shared" si="48"/>
        <v>#VALUE!</v>
      </c>
      <c r="AZ43" s="123" t="str">
        <f t="shared" si="199"/>
        <v/>
      </c>
      <c r="BA43" s="125">
        <f t="shared" si="200"/>
        <v>0</v>
      </c>
      <c r="BB43" s="940" t="e">
        <f t="shared" si="51"/>
        <v>#VALUE!</v>
      </c>
      <c r="BC43" s="116" t="e">
        <f t="shared" si="52"/>
        <v>#VALUE!</v>
      </c>
      <c r="BD43" s="117">
        <f t="shared" si="53"/>
        <v>0</v>
      </c>
      <c r="BE43" s="114" t="e">
        <f t="shared" si="54"/>
        <v>#VALUE!</v>
      </c>
      <c r="BF43" s="116" t="e">
        <f t="shared" ref="BF43:BG43" si="243">SUM(BC43,AL43)</f>
        <v>#VALUE!</v>
      </c>
      <c r="BG43" s="119">
        <f t="shared" si="243"/>
        <v>0</v>
      </c>
      <c r="BH43" s="845" t="str">
        <f t="shared" si="202"/>
        <v/>
      </c>
      <c r="BI43" s="140" t="e">
        <f t="shared" si="57"/>
        <v>#VALUE!</v>
      </c>
      <c r="BJ43" s="326" t="str">
        <f t="shared" si="203"/>
        <v/>
      </c>
      <c r="BK43" s="333">
        <f t="shared" si="204"/>
        <v>0</v>
      </c>
      <c r="BL43" s="939" t="str">
        <f t="shared" si="205"/>
        <v/>
      </c>
      <c r="BM43" s="123" t="e">
        <f t="shared" si="61"/>
        <v>#VALUE!</v>
      </c>
      <c r="BN43" s="123" t="str">
        <f t="shared" si="206"/>
        <v/>
      </c>
      <c r="BO43" s="123">
        <f t="shared" si="207"/>
        <v>0</v>
      </c>
      <c r="BP43" s="332" t="str">
        <f t="shared" si="208"/>
        <v/>
      </c>
      <c r="BQ43" s="140" t="e">
        <f t="shared" si="65"/>
        <v>#VALUE!</v>
      </c>
      <c r="BR43" s="326" t="str">
        <f t="shared" si="209"/>
        <v/>
      </c>
      <c r="BS43" s="333">
        <f t="shared" si="210"/>
        <v>0</v>
      </c>
      <c r="BT43" s="140" t="e">
        <f t="shared" ref="BT43:BV43" si="244">SUM(BQ43,BM43,BI43)</f>
        <v>#VALUE!</v>
      </c>
      <c r="BU43" s="326">
        <f t="shared" si="244"/>
        <v>0</v>
      </c>
      <c r="BV43" s="333">
        <f t="shared" si="244"/>
        <v>0</v>
      </c>
      <c r="BW43" s="845" t="str">
        <f t="shared" si="212"/>
        <v/>
      </c>
      <c r="BX43" s="140" t="e">
        <f t="shared" si="70"/>
        <v>#VALUE!</v>
      </c>
      <c r="BY43" s="123" t="str">
        <f t="shared" si="213"/>
        <v/>
      </c>
      <c r="BZ43" s="148">
        <f t="shared" si="214"/>
        <v>366561.13</v>
      </c>
      <c r="CA43" s="939" t="str">
        <f t="shared" si="215"/>
        <v/>
      </c>
      <c r="CB43" s="941" t="str">
        <f t="shared" si="216"/>
        <v/>
      </c>
    </row>
    <row r="44" spans="1:80" ht="15.75" customHeight="1">
      <c r="A44" s="463">
        <f t="shared" si="170"/>
        <v>112011865</v>
      </c>
      <c r="B44" s="501">
        <f t="shared" si="235"/>
        <v>7</v>
      </c>
      <c r="C44" s="699">
        <f t="shared" si="171"/>
        <v>0.1</v>
      </c>
      <c r="D44" s="558">
        <f t="shared" si="172"/>
        <v>0.2</v>
      </c>
      <c r="E44" s="715">
        <f t="shared" si="173"/>
        <v>0</v>
      </c>
      <c r="F44" s="936">
        <f t="shared" si="174"/>
        <v>1</v>
      </c>
      <c r="G44" s="699" t="str">
        <f t="shared" si="175"/>
        <v>Lista</v>
      </c>
      <c r="H44" s="699">
        <f t="shared" si="176"/>
        <v>0.2</v>
      </c>
      <c r="I44" s="702">
        <f t="shared" si="177"/>
        <v>0</v>
      </c>
      <c r="J44" s="837">
        <f t="shared" si="178"/>
        <v>71</v>
      </c>
      <c r="K44" s="700" t="str">
        <f t="shared" si="179"/>
        <v>Lista</v>
      </c>
      <c r="L44" s="702">
        <f t="shared" si="180"/>
        <v>0.05</v>
      </c>
      <c r="M44" s="423" t="s">
        <v>877</v>
      </c>
      <c r="N44" s="121">
        <f t="shared" si="181"/>
        <v>250063.19</v>
      </c>
      <c r="O44" s="416">
        <f t="shared" si="13"/>
        <v>420368.72554950003</v>
      </c>
      <c r="P44" s="113">
        <f t="shared" si="14"/>
        <v>964882.86</v>
      </c>
      <c r="Q44" s="116">
        <f t="shared" si="182"/>
        <v>0</v>
      </c>
      <c r="R44" s="117">
        <f t="shared" si="183"/>
        <v>964882.86</v>
      </c>
      <c r="S44" s="114">
        <f t="shared" si="17"/>
        <v>544514.1344504999</v>
      </c>
      <c r="T44" s="413">
        <f t="shared" si="18"/>
        <v>2.2953250357497903</v>
      </c>
      <c r="U44" s="100">
        <f t="shared" si="184"/>
        <v>223924.47</v>
      </c>
      <c r="V44" s="113">
        <f t="shared" si="20"/>
        <v>405465.63594075001</v>
      </c>
      <c r="W44" s="116">
        <f t="shared" si="21"/>
        <v>224644.79</v>
      </c>
      <c r="X44" s="116">
        <f t="shared" si="185"/>
        <v>0</v>
      </c>
      <c r="Y44" s="116">
        <f t="shared" si="186"/>
        <v>224644.79</v>
      </c>
      <c r="Z44" s="116">
        <f t="shared" si="24"/>
        <v>-180820.84594075</v>
      </c>
      <c r="AA44" s="413">
        <f t="shared" si="25"/>
        <v>0.55404150213318437</v>
      </c>
      <c r="AB44" s="114">
        <f t="shared" si="187"/>
        <v>352858.19</v>
      </c>
      <c r="AC44" s="121">
        <f t="shared" si="27"/>
        <v>591134.50425225007</v>
      </c>
      <c r="AD44" s="113">
        <f t="shared" si="28"/>
        <v>332650.51</v>
      </c>
      <c r="AE44" s="116">
        <f t="shared" si="188"/>
        <v>0</v>
      </c>
      <c r="AF44" s="117">
        <f t="shared" si="189"/>
        <v>332650.51</v>
      </c>
      <c r="AG44" s="114">
        <f t="shared" si="31"/>
        <v>-258483.99425225006</v>
      </c>
      <c r="AH44" s="97">
        <f t="shared" si="32"/>
        <v>0.56273235212480632</v>
      </c>
      <c r="AI44" s="839">
        <f t="shared" si="33"/>
        <v>1416968.8657425002</v>
      </c>
      <c r="AJ44" s="114">
        <f t="shared" si="190"/>
        <v>1204348.26</v>
      </c>
      <c r="AK44" s="116">
        <f t="shared" ref="AK44:AL44" si="245">SUM(AD44,W44,P44)</f>
        <v>1522178.1600000001</v>
      </c>
      <c r="AL44" s="116">
        <f t="shared" si="245"/>
        <v>0</v>
      </c>
      <c r="AM44" s="116">
        <f t="shared" si="36"/>
        <v>1746822.9500000002</v>
      </c>
      <c r="AN44" s="116">
        <f t="shared" si="37"/>
        <v>542474.69000000018</v>
      </c>
      <c r="AO44" s="938">
        <f t="shared" si="38"/>
        <v>1.4504300857295216</v>
      </c>
      <c r="AP44" s="845">
        <f t="shared" si="192"/>
        <v>465254.81</v>
      </c>
      <c r="AQ44" s="140">
        <f t="shared" si="40"/>
        <v>510518.07</v>
      </c>
      <c r="AR44" s="123">
        <f t="shared" si="193"/>
        <v>0</v>
      </c>
      <c r="AS44" s="148">
        <f t="shared" si="194"/>
        <v>510518.07</v>
      </c>
      <c r="AT44" s="845">
        <f t="shared" si="195"/>
        <v>230877.05</v>
      </c>
      <c r="AU44" s="140">
        <f t="shared" si="44"/>
        <v>1085818.1300000001</v>
      </c>
      <c r="AV44" s="326">
        <f t="shared" si="196"/>
        <v>6388.42</v>
      </c>
      <c r="AW44" s="333">
        <f t="shared" si="197"/>
        <v>1092206.55</v>
      </c>
      <c r="AX44" s="939">
        <f t="shared" si="198"/>
        <v>198410.95</v>
      </c>
      <c r="AY44" s="123">
        <f t="shared" si="48"/>
        <v>0</v>
      </c>
      <c r="AZ44" s="123">
        <f t="shared" si="199"/>
        <v>0</v>
      </c>
      <c r="BA44" s="125">
        <f t="shared" si="200"/>
        <v>0</v>
      </c>
      <c r="BB44" s="940">
        <f t="shared" si="51"/>
        <v>1596336.2000000002</v>
      </c>
      <c r="BC44" s="116">
        <f t="shared" si="52"/>
        <v>6388.42</v>
      </c>
      <c r="BD44" s="117">
        <f t="shared" si="53"/>
        <v>1602724.62</v>
      </c>
      <c r="BE44" s="114">
        <f t="shared" si="54"/>
        <v>3118514.3600000003</v>
      </c>
      <c r="BF44" s="116">
        <f t="shared" ref="BF44:BG44" si="246">SUM(BC44,AL44)</f>
        <v>6388.42</v>
      </c>
      <c r="BG44" s="119">
        <f t="shared" si="246"/>
        <v>3349547.5700000003</v>
      </c>
      <c r="BH44" s="845">
        <f t="shared" si="202"/>
        <v>319376.74</v>
      </c>
      <c r="BI44" s="140">
        <f t="shared" si="57"/>
        <v>525853.61</v>
      </c>
      <c r="BJ44" s="326">
        <f t="shared" si="203"/>
        <v>0</v>
      </c>
      <c r="BK44" s="333">
        <f t="shared" si="204"/>
        <v>525853.61</v>
      </c>
      <c r="BL44" s="939">
        <f t="shared" si="205"/>
        <v>220238.31</v>
      </c>
      <c r="BM44" s="123">
        <f t="shared" si="61"/>
        <v>108387.57</v>
      </c>
      <c r="BN44" s="123">
        <f t="shared" si="206"/>
        <v>0</v>
      </c>
      <c r="BO44" s="123">
        <f t="shared" si="207"/>
        <v>108387.57</v>
      </c>
      <c r="BP44" s="332">
        <f t="shared" si="208"/>
        <v>285536.45</v>
      </c>
      <c r="BQ44" s="140">
        <f t="shared" si="65"/>
        <v>828446.94</v>
      </c>
      <c r="BR44" s="326">
        <f t="shared" si="209"/>
        <v>0</v>
      </c>
      <c r="BS44" s="333">
        <f t="shared" si="210"/>
        <v>828446.94</v>
      </c>
      <c r="BT44" s="140">
        <f t="shared" ref="BT44:BV44" si="247">SUM(BQ44,BM44,BI44)</f>
        <v>1462688.12</v>
      </c>
      <c r="BU44" s="326">
        <f t="shared" si="247"/>
        <v>0</v>
      </c>
      <c r="BV44" s="333">
        <f t="shared" si="247"/>
        <v>1462688.12</v>
      </c>
      <c r="BW44" s="845">
        <f t="shared" si="212"/>
        <v>528737.93999999994</v>
      </c>
      <c r="BX44" s="140">
        <f t="shared" si="70"/>
        <v>350238</v>
      </c>
      <c r="BY44" s="123">
        <f t="shared" si="213"/>
        <v>0</v>
      </c>
      <c r="BZ44" s="148">
        <f t="shared" si="214"/>
        <v>350238</v>
      </c>
      <c r="CA44" s="939">
        <f t="shared" si="215"/>
        <v>510370.4</v>
      </c>
      <c r="CB44" s="941">
        <f t="shared" si="216"/>
        <v>165239.92000000001</v>
      </c>
    </row>
    <row r="45" spans="1:80" ht="13">
      <c r="A45" s="463">
        <f t="shared" si="170"/>
        <v>112014284</v>
      </c>
      <c r="B45" s="501" t="e">
        <f t="shared" si="235"/>
        <v>#N/A</v>
      </c>
      <c r="C45" s="699" t="str">
        <f t="shared" si="171"/>
        <v/>
      </c>
      <c r="D45" s="558" t="str">
        <f t="shared" si="172"/>
        <v/>
      </c>
      <c r="E45" s="715" t="str">
        <f t="shared" si="173"/>
        <v/>
      </c>
      <c r="F45" s="936" t="e">
        <f t="shared" si="174"/>
        <v>#N/A</v>
      </c>
      <c r="G45" s="699" t="str">
        <f t="shared" si="175"/>
        <v/>
      </c>
      <c r="H45" s="699" t="str">
        <f t="shared" si="176"/>
        <v/>
      </c>
      <c r="I45" s="702" t="str">
        <f t="shared" si="177"/>
        <v/>
      </c>
      <c r="J45" s="837">
        <f t="shared" si="178"/>
        <v>70</v>
      </c>
      <c r="K45" s="700" t="str">
        <f t="shared" si="179"/>
        <v>Lista</v>
      </c>
      <c r="L45" s="702">
        <f t="shared" si="180"/>
        <v>0.11</v>
      </c>
      <c r="M45" s="423" t="s">
        <v>878</v>
      </c>
      <c r="N45" s="121" t="str">
        <f t="shared" si="181"/>
        <v/>
      </c>
      <c r="O45" s="416" t="e">
        <f t="shared" si="13"/>
        <v>#VALUE!</v>
      </c>
      <c r="P45" s="113" t="e">
        <f t="shared" si="14"/>
        <v>#VALUE!</v>
      </c>
      <c r="Q45" s="116" t="str">
        <f t="shared" si="182"/>
        <v/>
      </c>
      <c r="R45" s="117" t="str">
        <f t="shared" si="183"/>
        <v/>
      </c>
      <c r="S45" s="114" t="e">
        <f t="shared" si="17"/>
        <v>#VALUE!</v>
      </c>
      <c r="T45" s="413" t="str">
        <f t="shared" si="18"/>
        <v/>
      </c>
      <c r="U45" s="100" t="str">
        <f t="shared" si="184"/>
        <v/>
      </c>
      <c r="V45" s="113" t="e">
        <f t="shared" si="20"/>
        <v>#VALUE!</v>
      </c>
      <c r="W45" s="116" t="e">
        <f t="shared" si="21"/>
        <v>#VALUE!</v>
      </c>
      <c r="X45" s="116" t="str">
        <f t="shared" si="185"/>
        <v/>
      </c>
      <c r="Y45" s="116" t="str">
        <f t="shared" si="186"/>
        <v/>
      </c>
      <c r="Z45" s="116" t="e">
        <f t="shared" si="24"/>
        <v>#VALUE!</v>
      </c>
      <c r="AA45" s="413" t="e">
        <f t="shared" si="25"/>
        <v>#VALUE!</v>
      </c>
      <c r="AB45" s="114" t="str">
        <f t="shared" si="187"/>
        <v/>
      </c>
      <c r="AC45" s="121" t="e">
        <f t="shared" si="27"/>
        <v>#VALUE!</v>
      </c>
      <c r="AD45" s="113" t="e">
        <f t="shared" si="28"/>
        <v>#VALUE!</v>
      </c>
      <c r="AE45" s="116" t="str">
        <f t="shared" si="188"/>
        <v/>
      </c>
      <c r="AF45" s="117" t="str">
        <f t="shared" si="189"/>
        <v/>
      </c>
      <c r="AG45" s="114" t="e">
        <f t="shared" si="31"/>
        <v>#VALUE!</v>
      </c>
      <c r="AH45" s="97" t="e">
        <f t="shared" si="32"/>
        <v>#VALUE!</v>
      </c>
      <c r="AI45" s="839" t="e">
        <f t="shared" si="33"/>
        <v>#VALUE!</v>
      </c>
      <c r="AJ45" s="114">
        <f t="shared" si="190"/>
        <v>2554740.35</v>
      </c>
      <c r="AK45" s="116" t="e">
        <f t="shared" ref="AK45:AL45" si="248">SUM(AD45,W45,P45)</f>
        <v>#VALUE!</v>
      </c>
      <c r="AL45" s="116">
        <f t="shared" si="248"/>
        <v>0</v>
      </c>
      <c r="AM45" s="116">
        <f t="shared" si="36"/>
        <v>0</v>
      </c>
      <c r="AN45" s="116">
        <f t="shared" si="37"/>
        <v>-2554740.35</v>
      </c>
      <c r="AO45" s="938">
        <f t="shared" si="38"/>
        <v>0</v>
      </c>
      <c r="AP45" s="845" t="str">
        <f t="shared" si="192"/>
        <v/>
      </c>
      <c r="AQ45" s="140" t="e">
        <f t="shared" si="40"/>
        <v>#VALUE!</v>
      </c>
      <c r="AR45" s="123" t="str">
        <f t="shared" si="193"/>
        <v/>
      </c>
      <c r="AS45" s="148" t="str">
        <f t="shared" si="194"/>
        <v/>
      </c>
      <c r="AT45" s="845" t="str">
        <f t="shared" si="195"/>
        <v/>
      </c>
      <c r="AU45" s="140" t="e">
        <f t="shared" si="44"/>
        <v>#VALUE!</v>
      </c>
      <c r="AV45" s="326" t="str">
        <f t="shared" si="196"/>
        <v/>
      </c>
      <c r="AW45" s="333" t="str">
        <f t="shared" si="197"/>
        <v/>
      </c>
      <c r="AX45" s="939" t="str">
        <f t="shared" si="198"/>
        <v/>
      </c>
      <c r="AY45" s="123" t="e">
        <f t="shared" si="48"/>
        <v>#VALUE!</v>
      </c>
      <c r="AZ45" s="123" t="str">
        <f t="shared" si="199"/>
        <v/>
      </c>
      <c r="BA45" s="125" t="str">
        <f t="shared" si="200"/>
        <v/>
      </c>
      <c r="BB45" s="940" t="e">
        <f t="shared" si="51"/>
        <v>#VALUE!</v>
      </c>
      <c r="BC45" s="116" t="e">
        <f t="shared" si="52"/>
        <v>#VALUE!</v>
      </c>
      <c r="BD45" s="117" t="e">
        <f t="shared" si="53"/>
        <v>#VALUE!</v>
      </c>
      <c r="BE45" s="114" t="e">
        <f t="shared" si="54"/>
        <v>#VALUE!</v>
      </c>
      <c r="BF45" s="116" t="e">
        <f t="shared" ref="BF45:BG45" si="249">SUM(BC45,AL45)</f>
        <v>#VALUE!</v>
      </c>
      <c r="BG45" s="119" t="e">
        <f t="shared" si="249"/>
        <v>#VALUE!</v>
      </c>
      <c r="BH45" s="845" t="str">
        <f t="shared" si="202"/>
        <v/>
      </c>
      <c r="BI45" s="140" t="e">
        <f t="shared" si="57"/>
        <v>#VALUE!</v>
      </c>
      <c r="BJ45" s="326" t="str">
        <f t="shared" si="203"/>
        <v/>
      </c>
      <c r="BK45" s="333" t="str">
        <f t="shared" si="204"/>
        <v/>
      </c>
      <c r="BL45" s="939" t="str">
        <f t="shared" si="205"/>
        <v/>
      </c>
      <c r="BM45" s="123" t="e">
        <f t="shared" si="61"/>
        <v>#VALUE!</v>
      </c>
      <c r="BN45" s="123" t="str">
        <f t="shared" si="206"/>
        <v/>
      </c>
      <c r="BO45" s="123" t="str">
        <f t="shared" si="207"/>
        <v/>
      </c>
      <c r="BP45" s="332" t="str">
        <f t="shared" si="208"/>
        <v/>
      </c>
      <c r="BQ45" s="140" t="e">
        <f t="shared" si="65"/>
        <v>#VALUE!</v>
      </c>
      <c r="BR45" s="326" t="str">
        <f t="shared" si="209"/>
        <v/>
      </c>
      <c r="BS45" s="333" t="str">
        <f t="shared" si="210"/>
        <v/>
      </c>
      <c r="BT45" s="140" t="e">
        <f t="shared" ref="BT45:BV45" si="250">SUM(BQ45,BM45,BI45)</f>
        <v>#VALUE!</v>
      </c>
      <c r="BU45" s="326">
        <f t="shared" si="250"/>
        <v>0</v>
      </c>
      <c r="BV45" s="333">
        <f t="shared" si="250"/>
        <v>0</v>
      </c>
      <c r="BW45" s="845" t="str">
        <f t="shared" si="212"/>
        <v/>
      </c>
      <c r="BX45" s="140" t="e">
        <f t="shared" si="70"/>
        <v>#VALUE!</v>
      </c>
      <c r="BY45" s="123" t="str">
        <f t="shared" si="213"/>
        <v/>
      </c>
      <c r="BZ45" s="148" t="str">
        <f t="shared" si="214"/>
        <v/>
      </c>
      <c r="CA45" s="939" t="str">
        <f t="shared" si="215"/>
        <v/>
      </c>
      <c r="CB45" s="941" t="str">
        <f t="shared" si="216"/>
        <v/>
      </c>
    </row>
    <row r="46" spans="1:80" ht="13">
      <c r="A46" s="463">
        <f t="shared" si="170"/>
        <v>112014692</v>
      </c>
      <c r="B46" s="501">
        <f t="shared" si="235"/>
        <v>7</v>
      </c>
      <c r="C46" s="699">
        <f t="shared" si="171"/>
        <v>0.1</v>
      </c>
      <c r="D46" s="558">
        <f t="shared" si="172"/>
        <v>0.2</v>
      </c>
      <c r="E46" s="715">
        <f t="shared" si="173"/>
        <v>0</v>
      </c>
      <c r="F46" s="936">
        <f t="shared" si="174"/>
        <v>1</v>
      </c>
      <c r="G46" s="699" t="str">
        <f t="shared" si="175"/>
        <v>Lista</v>
      </c>
      <c r="H46" s="699">
        <f t="shared" si="176"/>
        <v>0.2</v>
      </c>
      <c r="I46" s="702">
        <f t="shared" si="177"/>
        <v>0</v>
      </c>
      <c r="J46" s="837">
        <f t="shared" si="178"/>
        <v>71</v>
      </c>
      <c r="K46" s="700" t="str">
        <f t="shared" si="179"/>
        <v>Lista</v>
      </c>
      <c r="L46" s="702">
        <f t="shared" si="180"/>
        <v>0.05</v>
      </c>
      <c r="M46" s="943" t="s">
        <v>879</v>
      </c>
      <c r="N46" s="121" t="str">
        <f t="shared" si="181"/>
        <v/>
      </c>
      <c r="O46" s="416" t="e">
        <f t="shared" si="13"/>
        <v>#VALUE!</v>
      </c>
      <c r="P46" s="113">
        <f t="shared" si="14"/>
        <v>0</v>
      </c>
      <c r="Q46" s="116">
        <f t="shared" si="182"/>
        <v>0</v>
      </c>
      <c r="R46" s="117">
        <f t="shared" si="183"/>
        <v>0</v>
      </c>
      <c r="S46" s="114" t="e">
        <f t="shared" si="17"/>
        <v>#VALUE!</v>
      </c>
      <c r="T46" s="413" t="str">
        <f t="shared" si="18"/>
        <v/>
      </c>
      <c r="U46" s="100" t="str">
        <f t="shared" si="184"/>
        <v/>
      </c>
      <c r="V46" s="113" t="e">
        <f t="shared" si="20"/>
        <v>#VALUE!</v>
      </c>
      <c r="W46" s="116">
        <f t="shared" si="21"/>
        <v>0</v>
      </c>
      <c r="X46" s="116">
        <f t="shared" si="185"/>
        <v>0</v>
      </c>
      <c r="Y46" s="116">
        <f t="shared" si="186"/>
        <v>0</v>
      </c>
      <c r="Z46" s="116" t="e">
        <f t="shared" si="24"/>
        <v>#VALUE!</v>
      </c>
      <c r="AA46" s="413" t="e">
        <f t="shared" si="25"/>
        <v>#VALUE!</v>
      </c>
      <c r="AB46" s="114" t="str">
        <f t="shared" si="187"/>
        <v/>
      </c>
      <c r="AC46" s="121" t="e">
        <f t="shared" si="27"/>
        <v>#VALUE!</v>
      </c>
      <c r="AD46" s="113">
        <f t="shared" si="28"/>
        <v>0</v>
      </c>
      <c r="AE46" s="116">
        <f t="shared" si="188"/>
        <v>0</v>
      </c>
      <c r="AF46" s="117">
        <f t="shared" si="189"/>
        <v>0</v>
      </c>
      <c r="AG46" s="114" t="e">
        <f t="shared" si="31"/>
        <v>#VALUE!</v>
      </c>
      <c r="AH46" s="97" t="e">
        <f t="shared" si="32"/>
        <v>#VALUE!</v>
      </c>
      <c r="AI46" s="839" t="e">
        <f t="shared" si="33"/>
        <v>#VALUE!</v>
      </c>
      <c r="AJ46" s="114" t="e">
        <f t="shared" si="190"/>
        <v>#N/A</v>
      </c>
      <c r="AK46" s="116">
        <f t="shared" ref="AK46:AL46" si="251">SUM(AD46,W46,P46)</f>
        <v>0</v>
      </c>
      <c r="AL46" s="116">
        <f t="shared" si="251"/>
        <v>0</v>
      </c>
      <c r="AM46" s="116">
        <f t="shared" si="36"/>
        <v>0</v>
      </c>
      <c r="AN46" s="116" t="e">
        <f t="shared" si="37"/>
        <v>#N/A</v>
      </c>
      <c r="AO46" s="938" t="e">
        <f t="shared" si="38"/>
        <v>#N/A</v>
      </c>
      <c r="AP46" s="845" t="str">
        <f t="shared" si="192"/>
        <v/>
      </c>
      <c r="AQ46" s="140">
        <f t="shared" si="40"/>
        <v>0</v>
      </c>
      <c r="AR46" s="123">
        <f t="shared" si="193"/>
        <v>0</v>
      </c>
      <c r="AS46" s="148">
        <f t="shared" si="194"/>
        <v>0</v>
      </c>
      <c r="AT46" s="845" t="str">
        <f t="shared" si="195"/>
        <v/>
      </c>
      <c r="AU46" s="140">
        <f t="shared" si="44"/>
        <v>76985.37000000001</v>
      </c>
      <c r="AV46" s="326">
        <f t="shared" si="196"/>
        <v>67853.52</v>
      </c>
      <c r="AW46" s="333">
        <f t="shared" si="197"/>
        <v>144838.89000000001</v>
      </c>
      <c r="AX46" s="939" t="str">
        <f t="shared" si="198"/>
        <v/>
      </c>
      <c r="AY46" s="123">
        <f t="shared" si="48"/>
        <v>65501.22</v>
      </c>
      <c r="AZ46" s="123">
        <f t="shared" si="199"/>
        <v>0</v>
      </c>
      <c r="BA46" s="125">
        <f t="shared" si="200"/>
        <v>65501.22</v>
      </c>
      <c r="BB46" s="940">
        <f t="shared" si="51"/>
        <v>142486.59000000003</v>
      </c>
      <c r="BC46" s="116">
        <f t="shared" si="52"/>
        <v>67853.52</v>
      </c>
      <c r="BD46" s="117">
        <f t="shared" si="53"/>
        <v>210340.11000000002</v>
      </c>
      <c r="BE46" s="114">
        <f t="shared" si="54"/>
        <v>142486.59000000003</v>
      </c>
      <c r="BF46" s="116">
        <f t="shared" ref="BF46:BG46" si="252">SUM(BC46,AL46)</f>
        <v>67853.52</v>
      </c>
      <c r="BG46" s="119">
        <f t="shared" si="252"/>
        <v>210340.11000000002</v>
      </c>
      <c r="BH46" s="845" t="str">
        <f t="shared" si="202"/>
        <v/>
      </c>
      <c r="BI46" s="140">
        <f t="shared" si="57"/>
        <v>0</v>
      </c>
      <c r="BJ46" s="326">
        <f t="shared" si="203"/>
        <v>0</v>
      </c>
      <c r="BK46" s="333">
        <f t="shared" si="204"/>
        <v>0</v>
      </c>
      <c r="BL46" s="939" t="str">
        <f t="shared" si="205"/>
        <v/>
      </c>
      <c r="BM46" s="123">
        <f t="shared" si="61"/>
        <v>0</v>
      </c>
      <c r="BN46" s="123">
        <f t="shared" si="206"/>
        <v>0</v>
      </c>
      <c r="BO46" s="123">
        <f t="shared" si="207"/>
        <v>0</v>
      </c>
      <c r="BP46" s="332" t="str">
        <f t="shared" si="208"/>
        <v/>
      </c>
      <c r="BQ46" s="140">
        <f t="shared" si="65"/>
        <v>0</v>
      </c>
      <c r="BR46" s="326">
        <f t="shared" si="209"/>
        <v>0</v>
      </c>
      <c r="BS46" s="333">
        <f t="shared" si="210"/>
        <v>0</v>
      </c>
      <c r="BT46" s="140">
        <f t="shared" ref="BT46:BV46" si="253">SUM(BQ46,BM46,BI46)</f>
        <v>0</v>
      </c>
      <c r="BU46" s="326">
        <f t="shared" si="253"/>
        <v>0</v>
      </c>
      <c r="BV46" s="333">
        <f t="shared" si="253"/>
        <v>0</v>
      </c>
      <c r="BW46" s="845" t="str">
        <f t="shared" si="212"/>
        <v/>
      </c>
      <c r="BX46" s="140">
        <f t="shared" si="70"/>
        <v>0</v>
      </c>
      <c r="BY46" s="123">
        <f t="shared" si="213"/>
        <v>0</v>
      </c>
      <c r="BZ46" s="148">
        <f t="shared" si="214"/>
        <v>0</v>
      </c>
      <c r="CA46" s="939" t="str">
        <f t="shared" si="215"/>
        <v/>
      </c>
      <c r="CB46" s="941" t="str">
        <f t="shared" si="216"/>
        <v/>
      </c>
    </row>
    <row r="47" spans="1:80" ht="13">
      <c r="A47" s="463">
        <f t="shared" si="170"/>
        <v>112012373</v>
      </c>
      <c r="B47" s="501" t="e">
        <f t="shared" si="235"/>
        <v>#N/A</v>
      </c>
      <c r="C47" s="699" t="str">
        <f t="shared" si="171"/>
        <v/>
      </c>
      <c r="D47" s="558" t="str">
        <f t="shared" si="172"/>
        <v/>
      </c>
      <c r="E47" s="715" t="str">
        <f t="shared" si="173"/>
        <v/>
      </c>
      <c r="F47" s="936" t="e">
        <f t="shared" si="174"/>
        <v>#N/A</v>
      </c>
      <c r="G47" s="699" t="str">
        <f t="shared" si="175"/>
        <v/>
      </c>
      <c r="H47" s="699" t="str">
        <f t="shared" si="176"/>
        <v/>
      </c>
      <c r="I47" s="702" t="str">
        <f t="shared" si="177"/>
        <v/>
      </c>
      <c r="J47" s="837">
        <f t="shared" si="178"/>
        <v>70</v>
      </c>
      <c r="K47" s="700" t="str">
        <f t="shared" si="179"/>
        <v>Lista</v>
      </c>
      <c r="L47" s="702">
        <f t="shared" si="180"/>
        <v>0.11</v>
      </c>
      <c r="M47" s="423" t="s">
        <v>880</v>
      </c>
      <c r="N47" s="121" t="str">
        <f t="shared" si="181"/>
        <v/>
      </c>
      <c r="O47" s="416" t="e">
        <f t="shared" si="13"/>
        <v>#VALUE!</v>
      </c>
      <c r="P47" s="113" t="e">
        <f t="shared" si="14"/>
        <v>#VALUE!</v>
      </c>
      <c r="Q47" s="116" t="str">
        <f t="shared" si="182"/>
        <v/>
      </c>
      <c r="R47" s="117" t="str">
        <f t="shared" si="183"/>
        <v/>
      </c>
      <c r="S47" s="114" t="e">
        <f t="shared" si="17"/>
        <v>#VALUE!</v>
      </c>
      <c r="T47" s="413" t="str">
        <f t="shared" si="18"/>
        <v/>
      </c>
      <c r="U47" s="100" t="str">
        <f t="shared" si="184"/>
        <v/>
      </c>
      <c r="V47" s="113" t="e">
        <f t="shared" si="20"/>
        <v>#VALUE!</v>
      </c>
      <c r="W47" s="116" t="e">
        <f t="shared" si="21"/>
        <v>#VALUE!</v>
      </c>
      <c r="X47" s="116" t="str">
        <f t="shared" si="185"/>
        <v/>
      </c>
      <c r="Y47" s="116" t="str">
        <f t="shared" si="186"/>
        <v/>
      </c>
      <c r="Z47" s="116" t="e">
        <f t="shared" si="24"/>
        <v>#VALUE!</v>
      </c>
      <c r="AA47" s="413" t="e">
        <f t="shared" si="25"/>
        <v>#VALUE!</v>
      </c>
      <c r="AB47" s="114" t="str">
        <f t="shared" si="187"/>
        <v/>
      </c>
      <c r="AC47" s="121" t="e">
        <f t="shared" si="27"/>
        <v>#VALUE!</v>
      </c>
      <c r="AD47" s="113" t="e">
        <f t="shared" si="28"/>
        <v>#VALUE!</v>
      </c>
      <c r="AE47" s="116" t="str">
        <f t="shared" si="188"/>
        <v/>
      </c>
      <c r="AF47" s="117" t="str">
        <f t="shared" si="189"/>
        <v/>
      </c>
      <c r="AG47" s="114" t="e">
        <f t="shared" si="31"/>
        <v>#VALUE!</v>
      </c>
      <c r="AH47" s="97" t="e">
        <f t="shared" si="32"/>
        <v>#VALUE!</v>
      </c>
      <c r="AI47" s="839" t="e">
        <f t="shared" si="33"/>
        <v>#VALUE!</v>
      </c>
      <c r="AJ47" s="114">
        <f t="shared" si="190"/>
        <v>3273151.44</v>
      </c>
      <c r="AK47" s="116" t="e">
        <f t="shared" ref="AK47:AL47" si="254">SUM(AD47,W47,P47)</f>
        <v>#VALUE!</v>
      </c>
      <c r="AL47" s="116">
        <f t="shared" si="254"/>
        <v>0</v>
      </c>
      <c r="AM47" s="116">
        <f t="shared" si="36"/>
        <v>0</v>
      </c>
      <c r="AN47" s="116">
        <f t="shared" si="37"/>
        <v>-3273151.44</v>
      </c>
      <c r="AO47" s="938">
        <f t="shared" si="38"/>
        <v>0</v>
      </c>
      <c r="AP47" s="845" t="str">
        <f t="shared" si="192"/>
        <v/>
      </c>
      <c r="AQ47" s="140" t="e">
        <f t="shared" si="40"/>
        <v>#VALUE!</v>
      </c>
      <c r="AR47" s="123" t="str">
        <f t="shared" si="193"/>
        <v/>
      </c>
      <c r="AS47" s="148" t="str">
        <f t="shared" si="194"/>
        <v/>
      </c>
      <c r="AT47" s="845" t="str">
        <f t="shared" si="195"/>
        <v/>
      </c>
      <c r="AU47" s="140" t="e">
        <f t="shared" si="44"/>
        <v>#VALUE!</v>
      </c>
      <c r="AV47" s="326" t="str">
        <f t="shared" si="196"/>
        <v/>
      </c>
      <c r="AW47" s="333" t="str">
        <f t="shared" si="197"/>
        <v/>
      </c>
      <c r="AX47" s="939" t="str">
        <f t="shared" si="198"/>
        <v/>
      </c>
      <c r="AY47" s="123" t="e">
        <f t="shared" si="48"/>
        <v>#VALUE!</v>
      </c>
      <c r="AZ47" s="123" t="str">
        <f t="shared" si="199"/>
        <v/>
      </c>
      <c r="BA47" s="125" t="str">
        <f t="shared" si="200"/>
        <v/>
      </c>
      <c r="BB47" s="940" t="e">
        <f t="shared" si="51"/>
        <v>#VALUE!</v>
      </c>
      <c r="BC47" s="116" t="e">
        <f t="shared" si="52"/>
        <v>#VALUE!</v>
      </c>
      <c r="BD47" s="117" t="e">
        <f t="shared" si="53"/>
        <v>#VALUE!</v>
      </c>
      <c r="BE47" s="114" t="e">
        <f t="shared" si="54"/>
        <v>#VALUE!</v>
      </c>
      <c r="BF47" s="116" t="e">
        <f t="shared" ref="BF47:BG47" si="255">SUM(BC47,AL47)</f>
        <v>#VALUE!</v>
      </c>
      <c r="BG47" s="119" t="e">
        <f t="shared" si="255"/>
        <v>#VALUE!</v>
      </c>
      <c r="BH47" s="845" t="str">
        <f t="shared" si="202"/>
        <v/>
      </c>
      <c r="BI47" s="140" t="e">
        <f t="shared" si="57"/>
        <v>#VALUE!</v>
      </c>
      <c r="BJ47" s="326" t="str">
        <f t="shared" si="203"/>
        <v/>
      </c>
      <c r="BK47" s="333" t="str">
        <f t="shared" si="204"/>
        <v/>
      </c>
      <c r="BL47" s="939" t="str">
        <f t="shared" si="205"/>
        <v/>
      </c>
      <c r="BM47" s="123" t="e">
        <f t="shared" si="61"/>
        <v>#VALUE!</v>
      </c>
      <c r="BN47" s="123" t="str">
        <f t="shared" si="206"/>
        <v/>
      </c>
      <c r="BO47" s="123" t="str">
        <f t="shared" si="207"/>
        <v/>
      </c>
      <c r="BP47" s="332" t="str">
        <f t="shared" si="208"/>
        <v/>
      </c>
      <c r="BQ47" s="140" t="e">
        <f t="shared" si="65"/>
        <v>#VALUE!</v>
      </c>
      <c r="BR47" s="326" t="str">
        <f t="shared" si="209"/>
        <v/>
      </c>
      <c r="BS47" s="333" t="str">
        <f t="shared" si="210"/>
        <v/>
      </c>
      <c r="BT47" s="140" t="e">
        <f t="shared" ref="BT47:BV47" si="256">SUM(BQ47,BM47,BI47)</f>
        <v>#VALUE!</v>
      </c>
      <c r="BU47" s="326">
        <f t="shared" si="256"/>
        <v>0</v>
      </c>
      <c r="BV47" s="333">
        <f t="shared" si="256"/>
        <v>0</v>
      </c>
      <c r="BW47" s="845" t="str">
        <f t="shared" si="212"/>
        <v/>
      </c>
      <c r="BX47" s="140" t="e">
        <f t="shared" si="70"/>
        <v>#VALUE!</v>
      </c>
      <c r="BY47" s="123" t="str">
        <f t="shared" si="213"/>
        <v/>
      </c>
      <c r="BZ47" s="148" t="str">
        <f t="shared" si="214"/>
        <v/>
      </c>
      <c r="CA47" s="939" t="str">
        <f t="shared" si="215"/>
        <v/>
      </c>
      <c r="CB47" s="941" t="str">
        <f t="shared" si="216"/>
        <v/>
      </c>
    </row>
    <row r="48" spans="1:80" ht="13">
      <c r="A48" s="463">
        <f t="shared" si="170"/>
        <v>112012525</v>
      </c>
      <c r="B48" s="501">
        <f t="shared" si="235"/>
        <v>22</v>
      </c>
      <c r="C48" s="699">
        <f t="shared" si="171"/>
        <v>0.1</v>
      </c>
      <c r="D48" s="558">
        <f t="shared" si="172"/>
        <v>0.09</v>
      </c>
      <c r="E48" s="715">
        <f t="shared" si="173"/>
        <v>0</v>
      </c>
      <c r="F48" s="936">
        <f t="shared" si="174"/>
        <v>1</v>
      </c>
      <c r="G48" s="699" t="str">
        <f t="shared" si="175"/>
        <v>Lista</v>
      </c>
      <c r="H48" s="699">
        <f t="shared" si="176"/>
        <v>0.09</v>
      </c>
      <c r="I48" s="702">
        <f t="shared" si="177"/>
        <v>0</v>
      </c>
      <c r="J48" s="837">
        <f t="shared" si="178"/>
        <v>71</v>
      </c>
      <c r="K48" s="700" t="str">
        <f t="shared" si="179"/>
        <v>Lista</v>
      </c>
      <c r="L48" s="702">
        <f t="shared" si="180"/>
        <v>0.05</v>
      </c>
      <c r="M48" s="419" t="s">
        <v>881</v>
      </c>
      <c r="N48" s="121">
        <f t="shared" si="181"/>
        <v>335793.58</v>
      </c>
      <c r="O48" s="416">
        <f t="shared" si="13"/>
        <v>564485.79765900003</v>
      </c>
      <c r="P48" s="113" t="e">
        <f t="shared" si="14"/>
        <v>#VALUE!</v>
      </c>
      <c r="Q48" s="116" t="str">
        <f t="shared" si="182"/>
        <v/>
      </c>
      <c r="R48" s="117">
        <f t="shared" si="183"/>
        <v>1159792.1299999999</v>
      </c>
      <c r="S48" s="114">
        <f t="shared" si="17"/>
        <v>595306.33234099986</v>
      </c>
      <c r="T48" s="413">
        <f t="shared" si="18"/>
        <v>2.0545993093357118</v>
      </c>
      <c r="U48" s="100">
        <f t="shared" si="184"/>
        <v>103252.86</v>
      </c>
      <c r="V48" s="113">
        <f t="shared" si="20"/>
        <v>186962.53492349997</v>
      </c>
      <c r="W48" s="116" t="e">
        <f t="shared" si="21"/>
        <v>#VALUE!</v>
      </c>
      <c r="X48" s="116" t="str">
        <f t="shared" si="185"/>
        <v/>
      </c>
      <c r="Y48" s="116">
        <f t="shared" si="186"/>
        <v>647376.16</v>
      </c>
      <c r="Z48" s="116">
        <f t="shared" si="24"/>
        <v>460413.62507650006</v>
      </c>
      <c r="AA48" s="413">
        <f t="shared" si="25"/>
        <v>3.4625983235886744</v>
      </c>
      <c r="AB48" s="114">
        <f t="shared" si="187"/>
        <v>585163.68999999994</v>
      </c>
      <c r="AC48" s="121">
        <f t="shared" si="27"/>
        <v>980310.10076474992</v>
      </c>
      <c r="AD48" s="113" t="e">
        <f t="shared" si="28"/>
        <v>#VALUE!</v>
      </c>
      <c r="AE48" s="116" t="str">
        <f t="shared" si="188"/>
        <v/>
      </c>
      <c r="AF48" s="117">
        <f t="shared" si="189"/>
        <v>0</v>
      </c>
      <c r="AG48" s="114">
        <f t="shared" si="31"/>
        <v>-980310.10076474992</v>
      </c>
      <c r="AH48" s="97">
        <f t="shared" si="32"/>
        <v>0</v>
      </c>
      <c r="AI48" s="839">
        <f t="shared" si="33"/>
        <v>1731758.4333472499</v>
      </c>
      <c r="AJ48" s="114">
        <f t="shared" si="190"/>
        <v>1429069.33</v>
      </c>
      <c r="AK48" s="116" t="e">
        <f t="shared" ref="AK48:AL48" si="257">SUM(AD48,W48,P48)</f>
        <v>#VALUE!</v>
      </c>
      <c r="AL48" s="116">
        <f t="shared" si="257"/>
        <v>0</v>
      </c>
      <c r="AM48" s="116">
        <f t="shared" si="36"/>
        <v>2454544.4500000002</v>
      </c>
      <c r="AN48" s="116">
        <f t="shared" si="37"/>
        <v>1025475.1200000001</v>
      </c>
      <c r="AO48" s="938">
        <f t="shared" si="38"/>
        <v>1.7175824842591787</v>
      </c>
      <c r="AP48" s="845">
        <f t="shared" si="192"/>
        <v>544017.03</v>
      </c>
      <c r="AQ48" s="140" t="e">
        <f t="shared" si="40"/>
        <v>#VALUE!</v>
      </c>
      <c r="AR48" s="123" t="str">
        <f t="shared" si="193"/>
        <v/>
      </c>
      <c r="AS48" s="148">
        <f t="shared" si="194"/>
        <v>0</v>
      </c>
      <c r="AT48" s="845">
        <f t="shared" si="195"/>
        <v>666453.74</v>
      </c>
      <c r="AU48" s="140" t="e">
        <f t="shared" si="44"/>
        <v>#VALUE!</v>
      </c>
      <c r="AV48" s="326" t="str">
        <f t="shared" si="196"/>
        <v/>
      </c>
      <c r="AW48" s="333">
        <f t="shared" si="197"/>
        <v>0</v>
      </c>
      <c r="AX48" s="939">
        <f t="shared" si="198"/>
        <v>446481.5</v>
      </c>
      <c r="AY48" s="123" t="e">
        <f t="shared" si="48"/>
        <v>#VALUE!</v>
      </c>
      <c r="AZ48" s="123" t="str">
        <f t="shared" si="199"/>
        <v/>
      </c>
      <c r="BA48" s="125">
        <f t="shared" si="200"/>
        <v>66664.62</v>
      </c>
      <c r="BB48" s="940" t="e">
        <f t="shared" si="51"/>
        <v>#VALUE!</v>
      </c>
      <c r="BC48" s="116" t="e">
        <f t="shared" si="52"/>
        <v>#VALUE!</v>
      </c>
      <c r="BD48" s="117">
        <f t="shared" si="53"/>
        <v>66664.62</v>
      </c>
      <c r="BE48" s="114" t="e">
        <f t="shared" si="54"/>
        <v>#VALUE!</v>
      </c>
      <c r="BF48" s="116" t="e">
        <f t="shared" ref="BF48:BG48" si="258">SUM(BC48,AL48)</f>
        <v>#VALUE!</v>
      </c>
      <c r="BG48" s="119">
        <f t="shared" si="258"/>
        <v>2521209.0700000003</v>
      </c>
      <c r="BH48" s="845">
        <f t="shared" si="202"/>
        <v>88911.79</v>
      </c>
      <c r="BI48" s="140" t="e">
        <f t="shared" si="57"/>
        <v>#VALUE!</v>
      </c>
      <c r="BJ48" s="326" t="str">
        <f t="shared" si="203"/>
        <v/>
      </c>
      <c r="BK48" s="333">
        <f t="shared" si="204"/>
        <v>110591.23</v>
      </c>
      <c r="BL48" s="939">
        <f t="shared" si="205"/>
        <v>168686.13</v>
      </c>
      <c r="BM48" s="123" t="e">
        <f t="shared" si="61"/>
        <v>#VALUE!</v>
      </c>
      <c r="BN48" s="123" t="str">
        <f t="shared" si="206"/>
        <v/>
      </c>
      <c r="BO48" s="123">
        <f t="shared" si="207"/>
        <v>358223.96</v>
      </c>
      <c r="BP48" s="332">
        <f t="shared" si="208"/>
        <v>386898.82</v>
      </c>
      <c r="BQ48" s="140" t="e">
        <f t="shared" si="65"/>
        <v>#VALUE!</v>
      </c>
      <c r="BR48" s="326" t="str">
        <f t="shared" si="209"/>
        <v/>
      </c>
      <c r="BS48" s="333">
        <f t="shared" si="210"/>
        <v>435107.04</v>
      </c>
      <c r="BT48" s="140" t="e">
        <f t="shared" ref="BT48:BV48" si="259">SUM(BQ48,BM48,BI48)</f>
        <v>#VALUE!</v>
      </c>
      <c r="BU48" s="326">
        <f t="shared" si="259"/>
        <v>0</v>
      </c>
      <c r="BV48" s="333">
        <f t="shared" si="259"/>
        <v>903922.23</v>
      </c>
      <c r="BW48" s="845">
        <f t="shared" si="212"/>
        <v>783963.12</v>
      </c>
      <c r="BX48" s="140" t="e">
        <f t="shared" si="70"/>
        <v>#VALUE!</v>
      </c>
      <c r="BY48" s="123" t="str">
        <f t="shared" si="213"/>
        <v/>
      </c>
      <c r="BZ48" s="148">
        <f t="shared" si="214"/>
        <v>1226453.9099999999</v>
      </c>
      <c r="CA48" s="939">
        <f t="shared" si="215"/>
        <v>307811.96999999997</v>
      </c>
      <c r="CB48" s="941">
        <f t="shared" si="216"/>
        <v>337294.24</v>
      </c>
    </row>
    <row r="49" spans="1:80" ht="13">
      <c r="A49" s="463">
        <f t="shared" si="170"/>
        <v>112013064</v>
      </c>
      <c r="B49" s="501">
        <f t="shared" si="235"/>
        <v>22</v>
      </c>
      <c r="C49" s="699">
        <f t="shared" si="171"/>
        <v>0.1</v>
      </c>
      <c r="D49" s="558">
        <f t="shared" si="172"/>
        <v>0.09</v>
      </c>
      <c r="E49" s="715">
        <f t="shared" si="173"/>
        <v>0</v>
      </c>
      <c r="F49" s="936">
        <f t="shared" si="174"/>
        <v>1</v>
      </c>
      <c r="G49" s="699" t="str">
        <f t="shared" si="175"/>
        <v>Lista</v>
      </c>
      <c r="H49" s="699">
        <f t="shared" si="176"/>
        <v>0.09</v>
      </c>
      <c r="I49" s="702">
        <f t="shared" si="177"/>
        <v>0</v>
      </c>
      <c r="J49" s="837">
        <f t="shared" si="178"/>
        <v>70</v>
      </c>
      <c r="K49" s="700" t="str">
        <f t="shared" si="179"/>
        <v>Lista</v>
      </c>
      <c r="L49" s="702">
        <f t="shared" si="180"/>
        <v>0.11</v>
      </c>
      <c r="M49" s="302" t="s">
        <v>882</v>
      </c>
      <c r="N49" s="121">
        <f t="shared" si="181"/>
        <v>49994.46</v>
      </c>
      <c r="O49" s="416">
        <f t="shared" si="13"/>
        <v>84043.186983000007</v>
      </c>
      <c r="P49" s="113">
        <f t="shared" si="14"/>
        <v>950521</v>
      </c>
      <c r="Q49" s="116">
        <f t="shared" si="182"/>
        <v>0</v>
      </c>
      <c r="R49" s="117">
        <f t="shared" si="183"/>
        <v>950521</v>
      </c>
      <c r="S49" s="114">
        <f t="shared" si="17"/>
        <v>866477.81301699998</v>
      </c>
      <c r="T49" s="413">
        <f t="shared" si="18"/>
        <v>11.309911417236812</v>
      </c>
      <c r="U49" s="100">
        <f t="shared" si="184"/>
        <v>25711.200000000001</v>
      </c>
      <c r="V49" s="113">
        <f t="shared" si="20"/>
        <v>46555.912619999996</v>
      </c>
      <c r="W49" s="116">
        <f t="shared" si="21"/>
        <v>87976.86</v>
      </c>
      <c r="X49" s="116">
        <f t="shared" si="185"/>
        <v>0</v>
      </c>
      <c r="Y49" s="116">
        <f t="shared" si="186"/>
        <v>87976.86</v>
      </c>
      <c r="Z49" s="116">
        <f t="shared" si="24"/>
        <v>41420.947380000005</v>
      </c>
      <c r="AA49" s="413">
        <f t="shared" si="25"/>
        <v>1.8897032632157218</v>
      </c>
      <c r="AB49" s="114">
        <f t="shared" si="187"/>
        <v>179945.39</v>
      </c>
      <c r="AC49" s="121">
        <f t="shared" si="27"/>
        <v>301458.01323225006</v>
      </c>
      <c r="AD49" s="113">
        <f t="shared" si="28"/>
        <v>295069.62</v>
      </c>
      <c r="AE49" s="116">
        <f t="shared" si="188"/>
        <v>0</v>
      </c>
      <c r="AF49" s="117">
        <f t="shared" si="189"/>
        <v>295069.62</v>
      </c>
      <c r="AG49" s="114">
        <f t="shared" si="31"/>
        <v>-6388.3932322500623</v>
      </c>
      <c r="AH49" s="97">
        <f t="shared" si="32"/>
        <v>0.97880834825469276</v>
      </c>
      <c r="AI49" s="839">
        <f t="shared" si="33"/>
        <v>432057.1128352501</v>
      </c>
      <c r="AJ49" s="114">
        <f t="shared" si="190"/>
        <v>3086950.27</v>
      </c>
      <c r="AK49" s="116">
        <f t="shared" ref="AK49:AL49" si="260">SUM(AD49,W49,P49)</f>
        <v>1333567.48</v>
      </c>
      <c r="AL49" s="116">
        <f t="shared" si="260"/>
        <v>0</v>
      </c>
      <c r="AM49" s="116">
        <f t="shared" si="36"/>
        <v>1421544.3399999999</v>
      </c>
      <c r="AN49" s="116">
        <f t="shared" si="37"/>
        <v>-1665405.9300000002</v>
      </c>
      <c r="AO49" s="938">
        <f t="shared" si="38"/>
        <v>0.46050121176717235</v>
      </c>
      <c r="AP49" s="845">
        <f t="shared" si="192"/>
        <v>191651.64</v>
      </c>
      <c r="AQ49" s="140">
        <f t="shared" si="40"/>
        <v>177808.33</v>
      </c>
      <c r="AR49" s="123">
        <f t="shared" si="193"/>
        <v>0</v>
      </c>
      <c r="AS49" s="148">
        <f t="shared" si="194"/>
        <v>177808.33</v>
      </c>
      <c r="AT49" s="845">
        <f t="shared" si="195"/>
        <v>128697.1</v>
      </c>
      <c r="AU49" s="140">
        <f t="shared" si="44"/>
        <v>146614.43</v>
      </c>
      <c r="AV49" s="326">
        <f t="shared" si="196"/>
        <v>0</v>
      </c>
      <c r="AW49" s="333">
        <f t="shared" si="197"/>
        <v>146614.43</v>
      </c>
      <c r="AX49" s="939">
        <f t="shared" si="198"/>
        <v>342404.13</v>
      </c>
      <c r="AY49" s="123">
        <f t="shared" si="48"/>
        <v>176575.62</v>
      </c>
      <c r="AZ49" s="123">
        <f t="shared" si="199"/>
        <v>0</v>
      </c>
      <c r="BA49" s="125">
        <f t="shared" si="200"/>
        <v>176575.62</v>
      </c>
      <c r="BB49" s="940">
        <f t="shared" si="51"/>
        <v>500998.38</v>
      </c>
      <c r="BC49" s="116">
        <f t="shared" si="52"/>
        <v>0</v>
      </c>
      <c r="BD49" s="117">
        <f t="shared" si="53"/>
        <v>500998.38</v>
      </c>
      <c r="BE49" s="114">
        <f t="shared" si="54"/>
        <v>1834565.8599999999</v>
      </c>
      <c r="BF49" s="116">
        <f t="shared" ref="BF49:BG49" si="261">SUM(BC49,AL49)</f>
        <v>0</v>
      </c>
      <c r="BG49" s="119">
        <f t="shared" si="261"/>
        <v>1922542.7199999997</v>
      </c>
      <c r="BH49" s="845">
        <f t="shared" si="202"/>
        <v>136641.54</v>
      </c>
      <c r="BI49" s="140">
        <f t="shared" si="57"/>
        <v>158461.76999999999</v>
      </c>
      <c r="BJ49" s="326">
        <f t="shared" si="203"/>
        <v>0</v>
      </c>
      <c r="BK49" s="333">
        <f t="shared" si="204"/>
        <v>158461.76999999999</v>
      </c>
      <c r="BL49" s="939">
        <f t="shared" si="205"/>
        <v>397024.53</v>
      </c>
      <c r="BM49" s="123">
        <f t="shared" si="61"/>
        <v>435381.62</v>
      </c>
      <c r="BN49" s="123">
        <f t="shared" si="206"/>
        <v>0</v>
      </c>
      <c r="BO49" s="123">
        <f t="shared" si="207"/>
        <v>435381.62</v>
      </c>
      <c r="BP49" s="332">
        <f t="shared" si="208"/>
        <v>541475.43000000005</v>
      </c>
      <c r="BQ49" s="140">
        <f t="shared" si="65"/>
        <v>227814.13</v>
      </c>
      <c r="BR49" s="326">
        <f t="shared" si="209"/>
        <v>0</v>
      </c>
      <c r="BS49" s="333">
        <f t="shared" si="210"/>
        <v>227814.13</v>
      </c>
      <c r="BT49" s="140">
        <f t="shared" ref="BT49:BV49" si="262">SUM(BQ49,BM49,BI49)</f>
        <v>821657.52</v>
      </c>
      <c r="BU49" s="326">
        <f t="shared" si="262"/>
        <v>0</v>
      </c>
      <c r="BV49" s="333">
        <f t="shared" si="262"/>
        <v>821657.52</v>
      </c>
      <c r="BW49" s="845">
        <f t="shared" si="212"/>
        <v>998807.13</v>
      </c>
      <c r="BX49" s="140">
        <f t="shared" si="70"/>
        <v>175256.21999999997</v>
      </c>
      <c r="BY49" s="123">
        <f t="shared" si="213"/>
        <v>96786</v>
      </c>
      <c r="BZ49" s="148">
        <f t="shared" si="214"/>
        <v>272042.21999999997</v>
      </c>
      <c r="CA49" s="939">
        <f t="shared" si="215"/>
        <v>864916.91</v>
      </c>
      <c r="CB49" s="941">
        <f t="shared" si="216"/>
        <v>1223226.24</v>
      </c>
    </row>
    <row r="50" spans="1:80" ht="13">
      <c r="A50" s="463">
        <f t="shared" si="170"/>
        <v>112014790</v>
      </c>
      <c r="B50" s="501" t="e">
        <f t="shared" si="235"/>
        <v>#N/A</v>
      </c>
      <c r="C50" s="699" t="str">
        <f t="shared" si="171"/>
        <v/>
      </c>
      <c r="D50" s="558" t="str">
        <f t="shared" si="172"/>
        <v/>
      </c>
      <c r="E50" s="715" t="str">
        <f t="shared" si="173"/>
        <v/>
      </c>
      <c r="F50" s="936" t="e">
        <f t="shared" si="174"/>
        <v>#N/A</v>
      </c>
      <c r="G50" s="699" t="str">
        <f t="shared" si="175"/>
        <v/>
      </c>
      <c r="H50" s="699" t="str">
        <f t="shared" si="176"/>
        <v/>
      </c>
      <c r="I50" s="702" t="str">
        <f t="shared" si="177"/>
        <v/>
      </c>
      <c r="J50" s="837">
        <f t="shared" si="178"/>
        <v>70</v>
      </c>
      <c r="K50" s="700" t="str">
        <f t="shared" si="179"/>
        <v>Lista</v>
      </c>
      <c r="L50" s="702">
        <f t="shared" si="180"/>
        <v>0.11</v>
      </c>
      <c r="M50" s="423" t="s">
        <v>883</v>
      </c>
      <c r="N50" s="121" t="str">
        <f t="shared" si="181"/>
        <v/>
      </c>
      <c r="O50" s="416" t="e">
        <f t="shared" si="13"/>
        <v>#VALUE!</v>
      </c>
      <c r="P50" s="113" t="e">
        <f t="shared" si="14"/>
        <v>#VALUE!</v>
      </c>
      <c r="Q50" s="116" t="str">
        <f t="shared" si="182"/>
        <v/>
      </c>
      <c r="R50" s="117" t="str">
        <f t="shared" si="183"/>
        <v/>
      </c>
      <c r="S50" s="114" t="e">
        <f t="shared" si="17"/>
        <v>#VALUE!</v>
      </c>
      <c r="T50" s="413" t="str">
        <f t="shared" si="18"/>
        <v/>
      </c>
      <c r="U50" s="100" t="str">
        <f t="shared" si="184"/>
        <v/>
      </c>
      <c r="V50" s="113" t="e">
        <f t="shared" si="20"/>
        <v>#VALUE!</v>
      </c>
      <c r="W50" s="116" t="e">
        <f t="shared" si="21"/>
        <v>#VALUE!</v>
      </c>
      <c r="X50" s="116" t="str">
        <f t="shared" si="185"/>
        <v/>
      </c>
      <c r="Y50" s="116" t="str">
        <f t="shared" si="186"/>
        <v/>
      </c>
      <c r="Z50" s="116" t="e">
        <f t="shared" si="24"/>
        <v>#VALUE!</v>
      </c>
      <c r="AA50" s="413" t="e">
        <f t="shared" si="25"/>
        <v>#VALUE!</v>
      </c>
      <c r="AB50" s="114" t="str">
        <f t="shared" si="187"/>
        <v/>
      </c>
      <c r="AC50" s="121" t="e">
        <f t="shared" si="27"/>
        <v>#VALUE!</v>
      </c>
      <c r="AD50" s="113" t="e">
        <f t="shared" si="28"/>
        <v>#VALUE!</v>
      </c>
      <c r="AE50" s="116" t="str">
        <f t="shared" si="188"/>
        <v/>
      </c>
      <c r="AF50" s="117" t="str">
        <f t="shared" si="189"/>
        <v/>
      </c>
      <c r="AG50" s="114" t="e">
        <f t="shared" si="31"/>
        <v>#VALUE!</v>
      </c>
      <c r="AH50" s="97" t="e">
        <f t="shared" si="32"/>
        <v>#VALUE!</v>
      </c>
      <c r="AI50" s="839" t="e">
        <f t="shared" si="33"/>
        <v>#VALUE!</v>
      </c>
      <c r="AJ50" s="114" t="e">
        <f t="shared" si="190"/>
        <v>#N/A</v>
      </c>
      <c r="AK50" s="116" t="e">
        <f t="shared" ref="AK50:AL50" si="263">SUM(AD50,W50,P50)</f>
        <v>#VALUE!</v>
      </c>
      <c r="AL50" s="116">
        <f t="shared" si="263"/>
        <v>0</v>
      </c>
      <c r="AM50" s="116">
        <f t="shared" si="36"/>
        <v>0</v>
      </c>
      <c r="AN50" s="116" t="e">
        <f t="shared" si="37"/>
        <v>#N/A</v>
      </c>
      <c r="AO50" s="938" t="e">
        <f t="shared" si="38"/>
        <v>#N/A</v>
      </c>
      <c r="AP50" s="845" t="str">
        <f t="shared" si="192"/>
        <v/>
      </c>
      <c r="AQ50" s="140" t="e">
        <f t="shared" si="40"/>
        <v>#VALUE!</v>
      </c>
      <c r="AR50" s="123" t="str">
        <f t="shared" si="193"/>
        <v/>
      </c>
      <c r="AS50" s="148" t="str">
        <f t="shared" si="194"/>
        <v/>
      </c>
      <c r="AT50" s="845" t="str">
        <f t="shared" si="195"/>
        <v/>
      </c>
      <c r="AU50" s="140" t="e">
        <f t="shared" si="44"/>
        <v>#VALUE!</v>
      </c>
      <c r="AV50" s="326" t="str">
        <f t="shared" si="196"/>
        <v/>
      </c>
      <c r="AW50" s="333" t="str">
        <f t="shared" si="197"/>
        <v/>
      </c>
      <c r="AX50" s="939" t="str">
        <f t="shared" si="198"/>
        <v/>
      </c>
      <c r="AY50" s="123" t="e">
        <f t="shared" si="48"/>
        <v>#VALUE!</v>
      </c>
      <c r="AZ50" s="123" t="str">
        <f t="shared" si="199"/>
        <v/>
      </c>
      <c r="BA50" s="125" t="str">
        <f t="shared" si="200"/>
        <v/>
      </c>
      <c r="BB50" s="940" t="e">
        <f t="shared" si="51"/>
        <v>#VALUE!</v>
      </c>
      <c r="BC50" s="116" t="e">
        <f t="shared" si="52"/>
        <v>#VALUE!</v>
      </c>
      <c r="BD50" s="117" t="e">
        <f t="shared" si="53"/>
        <v>#VALUE!</v>
      </c>
      <c r="BE50" s="114" t="e">
        <f t="shared" si="54"/>
        <v>#VALUE!</v>
      </c>
      <c r="BF50" s="116" t="e">
        <f t="shared" ref="BF50:BG50" si="264">SUM(BC50,AL50)</f>
        <v>#VALUE!</v>
      </c>
      <c r="BG50" s="119" t="e">
        <f t="shared" si="264"/>
        <v>#VALUE!</v>
      </c>
      <c r="BH50" s="845" t="str">
        <f t="shared" si="202"/>
        <v/>
      </c>
      <c r="BI50" s="140" t="e">
        <f t="shared" si="57"/>
        <v>#VALUE!</v>
      </c>
      <c r="BJ50" s="326" t="str">
        <f t="shared" si="203"/>
        <v/>
      </c>
      <c r="BK50" s="333" t="str">
        <f t="shared" si="204"/>
        <v/>
      </c>
      <c r="BL50" s="939" t="str">
        <f t="shared" si="205"/>
        <v/>
      </c>
      <c r="BM50" s="123" t="e">
        <f t="shared" si="61"/>
        <v>#VALUE!</v>
      </c>
      <c r="BN50" s="123" t="str">
        <f t="shared" si="206"/>
        <v/>
      </c>
      <c r="BO50" s="123" t="str">
        <f t="shared" si="207"/>
        <v/>
      </c>
      <c r="BP50" s="332" t="str">
        <f t="shared" si="208"/>
        <v/>
      </c>
      <c r="BQ50" s="140" t="e">
        <f t="shared" si="65"/>
        <v>#VALUE!</v>
      </c>
      <c r="BR50" s="326" t="str">
        <f t="shared" si="209"/>
        <v/>
      </c>
      <c r="BS50" s="333" t="str">
        <f t="shared" si="210"/>
        <v/>
      </c>
      <c r="BT50" s="140" t="e">
        <f t="shared" ref="BT50:BV50" si="265">SUM(BQ50,BM50,BI50)</f>
        <v>#VALUE!</v>
      </c>
      <c r="BU50" s="326">
        <f t="shared" si="265"/>
        <v>0</v>
      </c>
      <c r="BV50" s="333">
        <f t="shared" si="265"/>
        <v>0</v>
      </c>
      <c r="BW50" s="845" t="str">
        <f t="shared" si="212"/>
        <v/>
      </c>
      <c r="BX50" s="140" t="e">
        <f t="shared" si="70"/>
        <v>#VALUE!</v>
      </c>
      <c r="BY50" s="123" t="str">
        <f t="shared" si="213"/>
        <v/>
      </c>
      <c r="BZ50" s="148" t="str">
        <f t="shared" si="214"/>
        <v/>
      </c>
      <c r="CA50" s="939" t="str">
        <f t="shared" si="215"/>
        <v/>
      </c>
      <c r="CB50" s="941" t="str">
        <f t="shared" si="216"/>
        <v/>
      </c>
    </row>
    <row r="51" spans="1:80" ht="13">
      <c r="A51" s="463">
        <f t="shared" si="170"/>
        <v>112014672</v>
      </c>
      <c r="B51" s="501">
        <f t="shared" si="235"/>
        <v>22</v>
      </c>
      <c r="C51" s="699">
        <f t="shared" si="171"/>
        <v>0.1</v>
      </c>
      <c r="D51" s="558">
        <f t="shared" si="172"/>
        <v>0.09</v>
      </c>
      <c r="E51" s="715">
        <f t="shared" si="173"/>
        <v>0</v>
      </c>
      <c r="F51" s="936">
        <f t="shared" si="174"/>
        <v>1</v>
      </c>
      <c r="G51" s="699" t="str">
        <f t="shared" si="175"/>
        <v>Lista</v>
      </c>
      <c r="H51" s="699">
        <f t="shared" si="176"/>
        <v>0.09</v>
      </c>
      <c r="I51" s="702">
        <f t="shared" si="177"/>
        <v>0</v>
      </c>
      <c r="J51" s="837">
        <f t="shared" si="178"/>
        <v>71</v>
      </c>
      <c r="K51" s="700" t="str">
        <f t="shared" si="179"/>
        <v>Lista</v>
      </c>
      <c r="L51" s="702">
        <f t="shared" si="180"/>
        <v>0.05</v>
      </c>
      <c r="M51" s="423" t="s">
        <v>884</v>
      </c>
      <c r="N51" s="121" t="str">
        <f t="shared" si="181"/>
        <v/>
      </c>
      <c r="O51" s="416" t="e">
        <f t="shared" si="13"/>
        <v>#VALUE!</v>
      </c>
      <c r="P51" s="113" t="e">
        <f t="shared" si="14"/>
        <v>#VALUE!</v>
      </c>
      <c r="Q51" s="116" t="str">
        <f t="shared" si="182"/>
        <v/>
      </c>
      <c r="R51" s="117">
        <f t="shared" si="183"/>
        <v>0</v>
      </c>
      <c r="S51" s="114" t="e">
        <f t="shared" si="17"/>
        <v>#VALUE!</v>
      </c>
      <c r="T51" s="413" t="str">
        <f t="shared" si="18"/>
        <v/>
      </c>
      <c r="U51" s="100" t="str">
        <f t="shared" si="184"/>
        <v/>
      </c>
      <c r="V51" s="113" t="e">
        <f t="shared" si="20"/>
        <v>#VALUE!</v>
      </c>
      <c r="W51" s="116" t="e">
        <f t="shared" si="21"/>
        <v>#VALUE!</v>
      </c>
      <c r="X51" s="116" t="str">
        <f t="shared" si="185"/>
        <v/>
      </c>
      <c r="Y51" s="116">
        <f t="shared" si="186"/>
        <v>0</v>
      </c>
      <c r="Z51" s="116" t="e">
        <f t="shared" si="24"/>
        <v>#VALUE!</v>
      </c>
      <c r="AA51" s="413" t="e">
        <f t="shared" si="25"/>
        <v>#VALUE!</v>
      </c>
      <c r="AB51" s="114" t="str">
        <f t="shared" si="187"/>
        <v/>
      </c>
      <c r="AC51" s="121" t="e">
        <f t="shared" si="27"/>
        <v>#VALUE!</v>
      </c>
      <c r="AD51" s="113" t="e">
        <f t="shared" si="28"/>
        <v>#VALUE!</v>
      </c>
      <c r="AE51" s="116" t="str">
        <f t="shared" si="188"/>
        <v/>
      </c>
      <c r="AF51" s="117">
        <f t="shared" si="189"/>
        <v>0</v>
      </c>
      <c r="AG51" s="114" t="e">
        <f t="shared" si="31"/>
        <v>#VALUE!</v>
      </c>
      <c r="AH51" s="97" t="e">
        <f t="shared" si="32"/>
        <v>#VALUE!</v>
      </c>
      <c r="AI51" s="839" t="e">
        <f t="shared" si="33"/>
        <v>#VALUE!</v>
      </c>
      <c r="AJ51" s="114" t="e">
        <f t="shared" si="190"/>
        <v>#N/A</v>
      </c>
      <c r="AK51" s="116" t="e">
        <f t="shared" ref="AK51:AL51" si="266">SUM(AD51,W51,P51)</f>
        <v>#VALUE!</v>
      </c>
      <c r="AL51" s="116">
        <f t="shared" si="266"/>
        <v>0</v>
      </c>
      <c r="AM51" s="116">
        <f t="shared" si="36"/>
        <v>0</v>
      </c>
      <c r="AN51" s="116" t="e">
        <f t="shared" si="37"/>
        <v>#N/A</v>
      </c>
      <c r="AO51" s="938" t="e">
        <f t="shared" si="38"/>
        <v>#N/A</v>
      </c>
      <c r="AP51" s="845" t="str">
        <f t="shared" si="192"/>
        <v/>
      </c>
      <c r="AQ51" s="140" t="e">
        <f t="shared" si="40"/>
        <v>#VALUE!</v>
      </c>
      <c r="AR51" s="123" t="str">
        <f t="shared" si="193"/>
        <v/>
      </c>
      <c r="AS51" s="148">
        <f t="shared" si="194"/>
        <v>234723.49</v>
      </c>
      <c r="AT51" s="845" t="str">
        <f t="shared" si="195"/>
        <v/>
      </c>
      <c r="AU51" s="140" t="e">
        <f t="shared" si="44"/>
        <v>#VALUE!</v>
      </c>
      <c r="AV51" s="326" t="str">
        <f t="shared" si="196"/>
        <v/>
      </c>
      <c r="AW51" s="333">
        <f t="shared" si="197"/>
        <v>390817.65</v>
      </c>
      <c r="AX51" s="939" t="str">
        <f t="shared" si="198"/>
        <v/>
      </c>
      <c r="AY51" s="123" t="e">
        <f t="shared" si="48"/>
        <v>#VALUE!</v>
      </c>
      <c r="AZ51" s="123" t="str">
        <f t="shared" si="199"/>
        <v/>
      </c>
      <c r="BA51" s="125">
        <f t="shared" si="200"/>
        <v>0</v>
      </c>
      <c r="BB51" s="940" t="e">
        <f t="shared" si="51"/>
        <v>#VALUE!</v>
      </c>
      <c r="BC51" s="116" t="e">
        <f t="shared" si="52"/>
        <v>#VALUE!</v>
      </c>
      <c r="BD51" s="117">
        <f t="shared" si="53"/>
        <v>625541.14</v>
      </c>
      <c r="BE51" s="114" t="e">
        <f t="shared" si="54"/>
        <v>#VALUE!</v>
      </c>
      <c r="BF51" s="116" t="e">
        <f t="shared" ref="BF51:BG51" si="267">SUM(BC51,AL51)</f>
        <v>#VALUE!</v>
      </c>
      <c r="BG51" s="119">
        <f t="shared" si="267"/>
        <v>625541.14</v>
      </c>
      <c r="BH51" s="845" t="str">
        <f t="shared" si="202"/>
        <v/>
      </c>
      <c r="BI51" s="140" t="e">
        <f t="shared" si="57"/>
        <v>#VALUE!</v>
      </c>
      <c r="BJ51" s="326" t="str">
        <f t="shared" si="203"/>
        <v/>
      </c>
      <c r="BK51" s="333">
        <f t="shared" si="204"/>
        <v>21990.22</v>
      </c>
      <c r="BL51" s="939" t="str">
        <f t="shared" si="205"/>
        <v/>
      </c>
      <c r="BM51" s="123" t="e">
        <f t="shared" si="61"/>
        <v>#VALUE!</v>
      </c>
      <c r="BN51" s="123" t="str">
        <f t="shared" si="206"/>
        <v/>
      </c>
      <c r="BO51" s="123">
        <f t="shared" si="207"/>
        <v>0</v>
      </c>
      <c r="BP51" s="332" t="str">
        <f t="shared" si="208"/>
        <v/>
      </c>
      <c r="BQ51" s="140" t="e">
        <f t="shared" si="65"/>
        <v>#VALUE!</v>
      </c>
      <c r="BR51" s="326" t="str">
        <f t="shared" si="209"/>
        <v/>
      </c>
      <c r="BS51" s="333">
        <f t="shared" si="210"/>
        <v>0</v>
      </c>
      <c r="BT51" s="140" t="e">
        <f t="shared" ref="BT51:BV51" si="268">SUM(BQ51,BM51,BI51)</f>
        <v>#VALUE!</v>
      </c>
      <c r="BU51" s="326">
        <f t="shared" si="268"/>
        <v>0</v>
      </c>
      <c r="BV51" s="333">
        <f t="shared" si="268"/>
        <v>21990.22</v>
      </c>
      <c r="BW51" s="845" t="str">
        <f t="shared" si="212"/>
        <v/>
      </c>
      <c r="BX51" s="140" t="e">
        <f t="shared" si="70"/>
        <v>#VALUE!</v>
      </c>
      <c r="BY51" s="123" t="str">
        <f t="shared" si="213"/>
        <v/>
      </c>
      <c r="BZ51" s="148">
        <f t="shared" si="214"/>
        <v>0</v>
      </c>
      <c r="CA51" s="939" t="str">
        <f t="shared" si="215"/>
        <v/>
      </c>
      <c r="CB51" s="941" t="str">
        <f t="shared" si="216"/>
        <v/>
      </c>
    </row>
    <row r="52" spans="1:80" ht="13">
      <c r="A52" s="463">
        <f t="shared" si="170"/>
        <v>112014080</v>
      </c>
      <c r="B52" s="501">
        <f t="shared" si="235"/>
        <v>21</v>
      </c>
      <c r="C52" s="699">
        <f t="shared" si="171"/>
        <v>0.1</v>
      </c>
      <c r="D52" s="558">
        <f t="shared" si="172"/>
        <v>0</v>
      </c>
      <c r="E52" s="715">
        <f t="shared" si="173"/>
        <v>0</v>
      </c>
      <c r="F52" s="936">
        <f t="shared" si="174"/>
        <v>1</v>
      </c>
      <c r="G52" s="699" t="str">
        <f t="shared" si="175"/>
        <v>Lista</v>
      </c>
      <c r="H52" s="699">
        <f t="shared" si="176"/>
        <v>0</v>
      </c>
      <c r="I52" s="702">
        <f t="shared" si="177"/>
        <v>0</v>
      </c>
      <c r="J52" s="837">
        <f t="shared" si="178"/>
        <v>71</v>
      </c>
      <c r="K52" s="700" t="str">
        <f t="shared" si="179"/>
        <v>Lista</v>
      </c>
      <c r="L52" s="702">
        <f t="shared" si="180"/>
        <v>0.05</v>
      </c>
      <c r="M52" s="423" t="s">
        <v>885</v>
      </c>
      <c r="N52" s="121">
        <f t="shared" si="181"/>
        <v>161025.68</v>
      </c>
      <c r="O52" s="416">
        <f t="shared" si="13"/>
        <v>270692.21936400002</v>
      </c>
      <c r="P52" s="113" t="e">
        <f t="shared" si="14"/>
        <v>#VALUE!</v>
      </c>
      <c r="Q52" s="116" t="str">
        <f t="shared" si="182"/>
        <v/>
      </c>
      <c r="R52" s="117">
        <f t="shared" si="183"/>
        <v>996488.46</v>
      </c>
      <c r="S52" s="114">
        <f t="shared" si="17"/>
        <v>725796.24063599994</v>
      </c>
      <c r="T52" s="413">
        <f t="shared" si="18"/>
        <v>3.6812600758946132</v>
      </c>
      <c r="U52" s="100">
        <f t="shared" si="184"/>
        <v>327311.90999999997</v>
      </c>
      <c r="V52" s="113">
        <f t="shared" si="20"/>
        <v>592671.85823474999</v>
      </c>
      <c r="W52" s="116" t="e">
        <f t="shared" si="21"/>
        <v>#VALUE!</v>
      </c>
      <c r="X52" s="116" t="str">
        <f t="shared" si="185"/>
        <v/>
      </c>
      <c r="Y52" s="116">
        <f t="shared" si="186"/>
        <v>509692.07</v>
      </c>
      <c r="Z52" s="116">
        <f t="shared" si="24"/>
        <v>-82979.788234749984</v>
      </c>
      <c r="AA52" s="413">
        <f t="shared" si="25"/>
        <v>0.85999033515459622</v>
      </c>
      <c r="AB52" s="114">
        <f t="shared" si="187"/>
        <v>218001</v>
      </c>
      <c r="AC52" s="121">
        <f t="shared" si="27"/>
        <v>365211.625275</v>
      </c>
      <c r="AD52" s="113" t="e">
        <f t="shared" si="28"/>
        <v>#VALUE!</v>
      </c>
      <c r="AE52" s="116" t="str">
        <f t="shared" si="188"/>
        <v/>
      </c>
      <c r="AF52" s="117">
        <f t="shared" si="189"/>
        <v>628643.28</v>
      </c>
      <c r="AG52" s="114">
        <f t="shared" si="31"/>
        <v>263431.65472500003</v>
      </c>
      <c r="AH52" s="97">
        <f t="shared" si="32"/>
        <v>1.7213123474003302</v>
      </c>
      <c r="AI52" s="839">
        <f t="shared" si="33"/>
        <v>1228575.7028737501</v>
      </c>
      <c r="AJ52" s="114">
        <f t="shared" si="190"/>
        <v>1807992.28</v>
      </c>
      <c r="AK52" s="116" t="e">
        <f t="shared" ref="AK52:AL52" si="269">SUM(AD52,W52,P52)</f>
        <v>#VALUE!</v>
      </c>
      <c r="AL52" s="116">
        <f t="shared" si="269"/>
        <v>0</v>
      </c>
      <c r="AM52" s="116">
        <f t="shared" si="36"/>
        <v>2644515.88</v>
      </c>
      <c r="AN52" s="116">
        <f t="shared" si="37"/>
        <v>836523.59999999986</v>
      </c>
      <c r="AO52" s="938">
        <f t="shared" si="38"/>
        <v>1.4626809579076299</v>
      </c>
      <c r="AP52" s="845">
        <f t="shared" si="192"/>
        <v>106701.89</v>
      </c>
      <c r="AQ52" s="140" t="e">
        <f t="shared" si="40"/>
        <v>#VALUE!</v>
      </c>
      <c r="AR52" s="123" t="str">
        <f t="shared" si="193"/>
        <v/>
      </c>
      <c r="AS52" s="148">
        <f t="shared" si="194"/>
        <v>666100.34</v>
      </c>
      <c r="AT52" s="845">
        <f t="shared" si="195"/>
        <v>387648.44</v>
      </c>
      <c r="AU52" s="140" t="e">
        <f t="shared" si="44"/>
        <v>#VALUE!</v>
      </c>
      <c r="AV52" s="326" t="str">
        <f t="shared" si="196"/>
        <v/>
      </c>
      <c r="AW52" s="333">
        <f t="shared" si="197"/>
        <v>277799.98</v>
      </c>
      <c r="AX52" s="939">
        <f t="shared" si="198"/>
        <v>206059.18</v>
      </c>
      <c r="AY52" s="123" t="e">
        <f t="shared" si="48"/>
        <v>#VALUE!</v>
      </c>
      <c r="AZ52" s="123" t="str">
        <f t="shared" si="199"/>
        <v/>
      </c>
      <c r="BA52" s="125">
        <f t="shared" si="200"/>
        <v>211782.52</v>
      </c>
      <c r="BB52" s="940" t="e">
        <f t="shared" si="51"/>
        <v>#VALUE!</v>
      </c>
      <c r="BC52" s="116" t="e">
        <f t="shared" si="52"/>
        <v>#VALUE!</v>
      </c>
      <c r="BD52" s="117">
        <f t="shared" si="53"/>
        <v>1155682.8399999999</v>
      </c>
      <c r="BE52" s="114" t="e">
        <f t="shared" si="54"/>
        <v>#VALUE!</v>
      </c>
      <c r="BF52" s="116" t="e">
        <f t="shared" ref="BF52:BG52" si="270">SUM(BC52,AL52)</f>
        <v>#VALUE!</v>
      </c>
      <c r="BG52" s="119">
        <f t="shared" si="270"/>
        <v>3800198.7199999997</v>
      </c>
      <c r="BH52" s="845">
        <f t="shared" si="202"/>
        <v>238749.18</v>
      </c>
      <c r="BI52" s="140" t="e">
        <f t="shared" si="57"/>
        <v>#VALUE!</v>
      </c>
      <c r="BJ52" s="326" t="str">
        <f t="shared" si="203"/>
        <v/>
      </c>
      <c r="BK52" s="333">
        <f t="shared" si="204"/>
        <v>605009.53</v>
      </c>
      <c r="BL52" s="939">
        <f t="shared" si="205"/>
        <v>473708.66</v>
      </c>
      <c r="BM52" s="123" t="e">
        <f t="shared" si="61"/>
        <v>#VALUE!</v>
      </c>
      <c r="BN52" s="123" t="str">
        <f t="shared" si="206"/>
        <v/>
      </c>
      <c r="BO52" s="123">
        <f t="shared" si="207"/>
        <v>449068.12</v>
      </c>
      <c r="BP52" s="332">
        <f t="shared" si="208"/>
        <v>994208.6</v>
      </c>
      <c r="BQ52" s="140" t="e">
        <f t="shared" si="65"/>
        <v>#VALUE!</v>
      </c>
      <c r="BR52" s="326" t="str">
        <f t="shared" si="209"/>
        <v/>
      </c>
      <c r="BS52" s="333">
        <f t="shared" si="210"/>
        <v>1206915.53</v>
      </c>
      <c r="BT52" s="140" t="e">
        <f t="shared" ref="BT52:BV52" si="271">SUM(BQ52,BM52,BI52)</f>
        <v>#VALUE!</v>
      </c>
      <c r="BU52" s="326">
        <f t="shared" si="271"/>
        <v>0</v>
      </c>
      <c r="BV52" s="333">
        <f t="shared" si="271"/>
        <v>2260993.1799999997</v>
      </c>
      <c r="BW52" s="845">
        <f t="shared" si="212"/>
        <v>422188.62</v>
      </c>
      <c r="BX52" s="140" t="e">
        <f t="shared" si="70"/>
        <v>#VALUE!</v>
      </c>
      <c r="BY52" s="123" t="str">
        <f t="shared" si="213"/>
        <v/>
      </c>
      <c r="BZ52" s="148">
        <f t="shared" si="214"/>
        <v>753118.25</v>
      </c>
      <c r="CA52" s="939">
        <f t="shared" si="215"/>
        <v>610297.38</v>
      </c>
      <c r="CB52" s="941">
        <f t="shared" si="216"/>
        <v>775506.28</v>
      </c>
    </row>
    <row r="53" spans="1:80" ht="13">
      <c r="A53" s="463">
        <f t="shared" si="170"/>
        <v>112012803</v>
      </c>
      <c r="B53" s="501">
        <f t="shared" si="235"/>
        <v>20</v>
      </c>
      <c r="C53" s="699">
        <f t="shared" si="171"/>
        <v>0.05</v>
      </c>
      <c r="D53" s="558">
        <f t="shared" si="172"/>
        <v>0.09</v>
      </c>
      <c r="E53" s="715">
        <f t="shared" si="173"/>
        <v>0</v>
      </c>
      <c r="F53" s="936">
        <f t="shared" si="174"/>
        <v>1</v>
      </c>
      <c r="G53" s="699" t="str">
        <f t="shared" si="175"/>
        <v>Lista</v>
      </c>
      <c r="H53" s="699">
        <f t="shared" si="176"/>
        <v>0.09</v>
      </c>
      <c r="I53" s="702">
        <f t="shared" si="177"/>
        <v>0</v>
      </c>
      <c r="J53" s="837">
        <f t="shared" si="178"/>
        <v>71</v>
      </c>
      <c r="K53" s="700" t="str">
        <f t="shared" si="179"/>
        <v>Lista</v>
      </c>
      <c r="L53" s="702">
        <f t="shared" si="180"/>
        <v>0.05</v>
      </c>
      <c r="M53" s="423" t="s">
        <v>886</v>
      </c>
      <c r="N53" s="121" t="str">
        <f t="shared" si="181"/>
        <v/>
      </c>
      <c r="O53" s="416" t="e">
        <f t="shared" si="13"/>
        <v>#VALUE!</v>
      </c>
      <c r="P53" s="113" t="e">
        <f t="shared" si="14"/>
        <v>#VALUE!</v>
      </c>
      <c r="Q53" s="116" t="str">
        <f t="shared" si="182"/>
        <v/>
      </c>
      <c r="R53" s="117">
        <f t="shared" si="183"/>
        <v>0</v>
      </c>
      <c r="S53" s="114" t="e">
        <f t="shared" si="17"/>
        <v>#VALUE!</v>
      </c>
      <c r="T53" s="413" t="str">
        <f t="shared" si="18"/>
        <v/>
      </c>
      <c r="U53" s="100" t="str">
        <f t="shared" si="184"/>
        <v/>
      </c>
      <c r="V53" s="113" t="e">
        <f t="shared" si="20"/>
        <v>#VALUE!</v>
      </c>
      <c r="W53" s="116" t="e">
        <f t="shared" si="21"/>
        <v>#VALUE!</v>
      </c>
      <c r="X53" s="116" t="str">
        <f t="shared" si="185"/>
        <v/>
      </c>
      <c r="Y53" s="116">
        <f t="shared" si="186"/>
        <v>0</v>
      </c>
      <c r="Z53" s="116" t="e">
        <f t="shared" si="24"/>
        <v>#VALUE!</v>
      </c>
      <c r="AA53" s="413" t="e">
        <f t="shared" si="25"/>
        <v>#VALUE!</v>
      </c>
      <c r="AB53" s="114" t="str">
        <f t="shared" si="187"/>
        <v/>
      </c>
      <c r="AC53" s="121" t="e">
        <f t="shared" si="27"/>
        <v>#VALUE!</v>
      </c>
      <c r="AD53" s="113" t="e">
        <f t="shared" si="28"/>
        <v>#VALUE!</v>
      </c>
      <c r="AE53" s="116" t="str">
        <f t="shared" si="188"/>
        <v/>
      </c>
      <c r="AF53" s="117">
        <f t="shared" si="189"/>
        <v>0</v>
      </c>
      <c r="AG53" s="114" t="e">
        <f t="shared" si="31"/>
        <v>#VALUE!</v>
      </c>
      <c r="AH53" s="97" t="e">
        <f t="shared" si="32"/>
        <v>#VALUE!</v>
      </c>
      <c r="AI53" s="839" t="e">
        <f t="shared" si="33"/>
        <v>#VALUE!</v>
      </c>
      <c r="AJ53" s="114" t="e">
        <f t="shared" si="190"/>
        <v>#N/A</v>
      </c>
      <c r="AK53" s="116" t="e">
        <f t="shared" ref="AK53:AL53" si="272">SUM(AD53,W53,P53)</f>
        <v>#VALUE!</v>
      </c>
      <c r="AL53" s="116">
        <f t="shared" si="272"/>
        <v>0</v>
      </c>
      <c r="AM53" s="116">
        <f t="shared" si="36"/>
        <v>0</v>
      </c>
      <c r="AN53" s="116" t="e">
        <f t="shared" si="37"/>
        <v>#N/A</v>
      </c>
      <c r="AO53" s="938" t="e">
        <f t="shared" si="38"/>
        <v>#N/A</v>
      </c>
      <c r="AP53" s="845" t="str">
        <f t="shared" si="192"/>
        <v/>
      </c>
      <c r="AQ53" s="140" t="e">
        <f t="shared" si="40"/>
        <v>#VALUE!</v>
      </c>
      <c r="AR53" s="123" t="str">
        <f t="shared" si="193"/>
        <v/>
      </c>
      <c r="AS53" s="148">
        <f t="shared" si="194"/>
        <v>0</v>
      </c>
      <c r="AT53" s="845" t="str">
        <f t="shared" si="195"/>
        <v/>
      </c>
      <c r="AU53" s="140" t="e">
        <f t="shared" si="44"/>
        <v>#VALUE!</v>
      </c>
      <c r="AV53" s="326" t="str">
        <f t="shared" si="196"/>
        <v/>
      </c>
      <c r="AW53" s="333">
        <f t="shared" si="197"/>
        <v>198412.49</v>
      </c>
      <c r="AX53" s="939" t="str">
        <f t="shared" si="198"/>
        <v/>
      </c>
      <c r="AY53" s="123" t="e">
        <f t="shared" si="48"/>
        <v>#VALUE!</v>
      </c>
      <c r="AZ53" s="123" t="str">
        <f t="shared" si="199"/>
        <v/>
      </c>
      <c r="BA53" s="125">
        <f t="shared" si="200"/>
        <v>67137.05</v>
      </c>
      <c r="BB53" s="940" t="e">
        <f t="shared" si="51"/>
        <v>#VALUE!</v>
      </c>
      <c r="BC53" s="116" t="e">
        <f t="shared" si="52"/>
        <v>#VALUE!</v>
      </c>
      <c r="BD53" s="117">
        <f t="shared" si="53"/>
        <v>265549.53999999998</v>
      </c>
      <c r="BE53" s="114" t="e">
        <f t="shared" si="54"/>
        <v>#VALUE!</v>
      </c>
      <c r="BF53" s="116" t="e">
        <f t="shared" ref="BF53:BG53" si="273">SUM(BC53,AL53)</f>
        <v>#VALUE!</v>
      </c>
      <c r="BG53" s="119">
        <f t="shared" si="273"/>
        <v>265549.53999999998</v>
      </c>
      <c r="BH53" s="845" t="str">
        <f t="shared" si="202"/>
        <v/>
      </c>
      <c r="BI53" s="140" t="e">
        <f t="shared" si="57"/>
        <v>#VALUE!</v>
      </c>
      <c r="BJ53" s="326" t="str">
        <f t="shared" si="203"/>
        <v/>
      </c>
      <c r="BK53" s="333">
        <f t="shared" si="204"/>
        <v>975685.67</v>
      </c>
      <c r="BL53" s="939" t="str">
        <f t="shared" si="205"/>
        <v/>
      </c>
      <c r="BM53" s="123" t="e">
        <f t="shared" si="61"/>
        <v>#VALUE!</v>
      </c>
      <c r="BN53" s="123" t="str">
        <f t="shared" si="206"/>
        <v/>
      </c>
      <c r="BO53" s="123">
        <f t="shared" si="207"/>
        <v>-6708.99</v>
      </c>
      <c r="BP53" s="332" t="str">
        <f t="shared" si="208"/>
        <v/>
      </c>
      <c r="BQ53" s="140" t="e">
        <f t="shared" si="65"/>
        <v>#VALUE!</v>
      </c>
      <c r="BR53" s="326" t="str">
        <f t="shared" si="209"/>
        <v/>
      </c>
      <c r="BS53" s="333">
        <f t="shared" si="210"/>
        <v>518248.16</v>
      </c>
      <c r="BT53" s="140" t="e">
        <f t="shared" ref="BT53:BV53" si="274">SUM(BQ53,BM53,BI53)</f>
        <v>#VALUE!</v>
      </c>
      <c r="BU53" s="326">
        <f t="shared" si="274"/>
        <v>0</v>
      </c>
      <c r="BV53" s="333">
        <f t="shared" si="274"/>
        <v>1487224.84</v>
      </c>
      <c r="BW53" s="845" t="str">
        <f t="shared" si="212"/>
        <v/>
      </c>
      <c r="BX53" s="140" t="e">
        <f t="shared" si="70"/>
        <v>#VALUE!</v>
      </c>
      <c r="BY53" s="123" t="str">
        <f t="shared" si="213"/>
        <v/>
      </c>
      <c r="BZ53" s="148">
        <f t="shared" si="214"/>
        <v>471940.89</v>
      </c>
      <c r="CA53" s="939" t="str">
        <f t="shared" si="215"/>
        <v/>
      </c>
      <c r="CB53" s="941" t="str">
        <f t="shared" si="216"/>
        <v/>
      </c>
    </row>
    <row r="54" spans="1:80" ht="13">
      <c r="A54" s="463">
        <f t="shared" si="170"/>
        <v>112013108</v>
      </c>
      <c r="B54" s="501" t="e">
        <f t="shared" si="235"/>
        <v>#N/A</v>
      </c>
      <c r="C54" s="699" t="str">
        <f t="shared" si="171"/>
        <v/>
      </c>
      <c r="D54" s="699" t="str">
        <f t="shared" si="172"/>
        <v/>
      </c>
      <c r="E54" s="700" t="str">
        <f t="shared" si="173"/>
        <v/>
      </c>
      <c r="F54" s="936" t="e">
        <f t="shared" si="174"/>
        <v>#N/A</v>
      </c>
      <c r="G54" s="699" t="str">
        <f t="shared" si="175"/>
        <v/>
      </c>
      <c r="H54" s="699" t="str">
        <f t="shared" si="176"/>
        <v/>
      </c>
      <c r="I54" s="702" t="str">
        <f t="shared" si="177"/>
        <v/>
      </c>
      <c r="J54" s="837">
        <f t="shared" si="178"/>
        <v>70</v>
      </c>
      <c r="K54" s="700" t="str">
        <f t="shared" si="179"/>
        <v>Lista</v>
      </c>
      <c r="L54" s="702">
        <f t="shared" si="180"/>
        <v>0.11</v>
      </c>
      <c r="M54" s="703" t="s">
        <v>887</v>
      </c>
      <c r="N54" s="121" t="str">
        <f t="shared" si="181"/>
        <v/>
      </c>
      <c r="O54" s="416" t="e">
        <f t="shared" si="13"/>
        <v>#VALUE!</v>
      </c>
      <c r="P54" s="113" t="e">
        <f t="shared" si="14"/>
        <v>#VALUE!</v>
      </c>
      <c r="Q54" s="116" t="str">
        <f t="shared" si="182"/>
        <v/>
      </c>
      <c r="R54" s="117" t="str">
        <f t="shared" si="183"/>
        <v/>
      </c>
      <c r="S54" s="114" t="e">
        <f t="shared" si="17"/>
        <v>#VALUE!</v>
      </c>
      <c r="T54" s="413" t="str">
        <f t="shared" si="18"/>
        <v/>
      </c>
      <c r="U54" s="100" t="str">
        <f t="shared" si="184"/>
        <v/>
      </c>
      <c r="V54" s="113" t="e">
        <f t="shared" si="20"/>
        <v>#VALUE!</v>
      </c>
      <c r="W54" s="116" t="e">
        <f t="shared" si="21"/>
        <v>#VALUE!</v>
      </c>
      <c r="X54" s="116" t="str">
        <f t="shared" si="185"/>
        <v/>
      </c>
      <c r="Y54" s="116" t="str">
        <f t="shared" si="186"/>
        <v/>
      </c>
      <c r="Z54" s="116" t="e">
        <f t="shared" si="24"/>
        <v>#VALUE!</v>
      </c>
      <c r="AA54" s="413" t="e">
        <f t="shared" si="25"/>
        <v>#VALUE!</v>
      </c>
      <c r="AB54" s="114" t="str">
        <f t="shared" si="187"/>
        <v/>
      </c>
      <c r="AC54" s="121" t="e">
        <f t="shared" si="27"/>
        <v>#VALUE!</v>
      </c>
      <c r="AD54" s="113" t="e">
        <f t="shared" si="28"/>
        <v>#VALUE!</v>
      </c>
      <c r="AE54" s="116" t="str">
        <f t="shared" si="188"/>
        <v/>
      </c>
      <c r="AF54" s="117" t="str">
        <f t="shared" si="189"/>
        <v/>
      </c>
      <c r="AG54" s="114" t="e">
        <f t="shared" si="31"/>
        <v>#VALUE!</v>
      </c>
      <c r="AH54" s="97" t="e">
        <f t="shared" si="32"/>
        <v>#VALUE!</v>
      </c>
      <c r="AI54" s="839" t="e">
        <f t="shared" si="33"/>
        <v>#VALUE!</v>
      </c>
      <c r="AJ54" s="114">
        <f t="shared" si="190"/>
        <v>262687.89</v>
      </c>
      <c r="AK54" s="116" t="e">
        <f t="shared" ref="AK54:AL54" si="275">SUM(AD54,W54,P54)</f>
        <v>#VALUE!</v>
      </c>
      <c r="AL54" s="116">
        <f t="shared" si="275"/>
        <v>0</v>
      </c>
      <c r="AM54" s="116">
        <f t="shared" si="36"/>
        <v>0</v>
      </c>
      <c r="AN54" s="116">
        <f t="shared" si="37"/>
        <v>-262687.89</v>
      </c>
      <c r="AO54" s="938">
        <f t="shared" si="38"/>
        <v>0</v>
      </c>
      <c r="AP54" s="845" t="str">
        <f t="shared" si="192"/>
        <v/>
      </c>
      <c r="AQ54" s="140" t="e">
        <f t="shared" si="40"/>
        <v>#VALUE!</v>
      </c>
      <c r="AR54" s="123" t="str">
        <f t="shared" si="193"/>
        <v/>
      </c>
      <c r="AS54" s="148" t="str">
        <f t="shared" si="194"/>
        <v/>
      </c>
      <c r="AT54" s="845" t="str">
        <f t="shared" si="195"/>
        <v/>
      </c>
      <c r="AU54" s="140" t="e">
        <f t="shared" si="44"/>
        <v>#VALUE!</v>
      </c>
      <c r="AV54" s="326" t="str">
        <f t="shared" si="196"/>
        <v/>
      </c>
      <c r="AW54" s="333" t="str">
        <f t="shared" si="197"/>
        <v/>
      </c>
      <c r="AX54" s="939" t="str">
        <f t="shared" si="198"/>
        <v/>
      </c>
      <c r="AY54" s="123" t="e">
        <f t="shared" si="48"/>
        <v>#VALUE!</v>
      </c>
      <c r="AZ54" s="123" t="str">
        <f t="shared" si="199"/>
        <v/>
      </c>
      <c r="BA54" s="125" t="str">
        <f t="shared" si="200"/>
        <v/>
      </c>
      <c r="BB54" s="940" t="e">
        <f t="shared" si="51"/>
        <v>#VALUE!</v>
      </c>
      <c r="BC54" s="116" t="e">
        <f t="shared" si="52"/>
        <v>#VALUE!</v>
      </c>
      <c r="BD54" s="117" t="e">
        <f t="shared" si="53"/>
        <v>#VALUE!</v>
      </c>
      <c r="BE54" s="114" t="e">
        <f t="shared" si="54"/>
        <v>#VALUE!</v>
      </c>
      <c r="BF54" s="116" t="e">
        <f t="shared" ref="BF54:BG54" si="276">SUM(BC54,AL54)</f>
        <v>#VALUE!</v>
      </c>
      <c r="BG54" s="119" t="e">
        <f t="shared" si="276"/>
        <v>#VALUE!</v>
      </c>
      <c r="BH54" s="845" t="str">
        <f t="shared" si="202"/>
        <v/>
      </c>
      <c r="BI54" s="140" t="e">
        <f t="shared" si="57"/>
        <v>#VALUE!</v>
      </c>
      <c r="BJ54" s="326" t="str">
        <f t="shared" si="203"/>
        <v/>
      </c>
      <c r="BK54" s="333" t="str">
        <f t="shared" si="204"/>
        <v/>
      </c>
      <c r="BL54" s="939" t="str">
        <f t="shared" si="205"/>
        <v/>
      </c>
      <c r="BM54" s="123" t="e">
        <f t="shared" si="61"/>
        <v>#VALUE!</v>
      </c>
      <c r="BN54" s="123" t="str">
        <f t="shared" si="206"/>
        <v/>
      </c>
      <c r="BO54" s="123" t="str">
        <f t="shared" si="207"/>
        <v/>
      </c>
      <c r="BP54" s="332" t="str">
        <f t="shared" si="208"/>
        <v/>
      </c>
      <c r="BQ54" s="140" t="e">
        <f t="shared" si="65"/>
        <v>#VALUE!</v>
      </c>
      <c r="BR54" s="326" t="str">
        <f t="shared" si="209"/>
        <v/>
      </c>
      <c r="BS54" s="333" t="str">
        <f t="shared" si="210"/>
        <v/>
      </c>
      <c r="BT54" s="140" t="e">
        <f t="shared" ref="BT54:BV54" si="277">SUM(BQ54,BM54,BI54)</f>
        <v>#VALUE!</v>
      </c>
      <c r="BU54" s="326">
        <f t="shared" si="277"/>
        <v>0</v>
      </c>
      <c r="BV54" s="333">
        <f t="shared" si="277"/>
        <v>0</v>
      </c>
      <c r="BW54" s="845" t="str">
        <f t="shared" si="212"/>
        <v/>
      </c>
      <c r="BX54" s="140" t="e">
        <f t="shared" si="70"/>
        <v>#VALUE!</v>
      </c>
      <c r="BY54" s="123" t="str">
        <f t="shared" si="213"/>
        <v/>
      </c>
      <c r="BZ54" s="148" t="str">
        <f t="shared" si="214"/>
        <v/>
      </c>
      <c r="CA54" s="939" t="str">
        <f t="shared" si="215"/>
        <v/>
      </c>
      <c r="CB54" s="941" t="str">
        <f t="shared" si="216"/>
        <v/>
      </c>
    </row>
    <row r="55" spans="1:80" ht="13">
      <c r="A55" s="463">
        <f t="shared" si="170"/>
        <v>112013415</v>
      </c>
      <c r="B55" s="501" t="e">
        <f t="shared" si="235"/>
        <v>#N/A</v>
      </c>
      <c r="C55" s="699" t="str">
        <f t="shared" si="171"/>
        <v/>
      </c>
      <c r="D55" s="558" t="str">
        <f t="shared" si="172"/>
        <v/>
      </c>
      <c r="E55" s="715" t="str">
        <f t="shared" si="173"/>
        <v/>
      </c>
      <c r="F55" s="936" t="e">
        <f t="shared" si="174"/>
        <v>#N/A</v>
      </c>
      <c r="G55" s="699" t="str">
        <f t="shared" si="175"/>
        <v/>
      </c>
      <c r="H55" s="699" t="str">
        <f t="shared" si="176"/>
        <v/>
      </c>
      <c r="I55" s="702" t="str">
        <f t="shared" si="177"/>
        <v/>
      </c>
      <c r="J55" s="837">
        <f t="shared" si="178"/>
        <v>70</v>
      </c>
      <c r="K55" s="700" t="str">
        <f t="shared" si="179"/>
        <v>Lista</v>
      </c>
      <c r="L55" s="702">
        <f t="shared" si="180"/>
        <v>0.11</v>
      </c>
      <c r="M55" s="423" t="s">
        <v>888</v>
      </c>
      <c r="N55" s="121" t="str">
        <f t="shared" si="181"/>
        <v/>
      </c>
      <c r="O55" s="416" t="e">
        <f t="shared" si="13"/>
        <v>#VALUE!</v>
      </c>
      <c r="P55" s="113" t="e">
        <f t="shared" si="14"/>
        <v>#VALUE!</v>
      </c>
      <c r="Q55" s="116" t="str">
        <f t="shared" si="182"/>
        <v/>
      </c>
      <c r="R55" s="117" t="str">
        <f t="shared" si="183"/>
        <v/>
      </c>
      <c r="S55" s="114" t="e">
        <f t="shared" si="17"/>
        <v>#VALUE!</v>
      </c>
      <c r="T55" s="413" t="str">
        <f t="shared" si="18"/>
        <v/>
      </c>
      <c r="U55" s="100" t="str">
        <f t="shared" si="184"/>
        <v/>
      </c>
      <c r="V55" s="113" t="e">
        <f t="shared" si="20"/>
        <v>#VALUE!</v>
      </c>
      <c r="W55" s="116" t="e">
        <f t="shared" si="21"/>
        <v>#VALUE!</v>
      </c>
      <c r="X55" s="116" t="str">
        <f t="shared" si="185"/>
        <v/>
      </c>
      <c r="Y55" s="116" t="str">
        <f t="shared" si="186"/>
        <v/>
      </c>
      <c r="Z55" s="116" t="e">
        <f t="shared" si="24"/>
        <v>#VALUE!</v>
      </c>
      <c r="AA55" s="413" t="e">
        <f t="shared" si="25"/>
        <v>#VALUE!</v>
      </c>
      <c r="AB55" s="114" t="str">
        <f t="shared" si="187"/>
        <v/>
      </c>
      <c r="AC55" s="121" t="e">
        <f t="shared" si="27"/>
        <v>#VALUE!</v>
      </c>
      <c r="AD55" s="113" t="e">
        <f t="shared" si="28"/>
        <v>#VALUE!</v>
      </c>
      <c r="AE55" s="116" t="str">
        <f t="shared" si="188"/>
        <v/>
      </c>
      <c r="AF55" s="117" t="str">
        <f t="shared" si="189"/>
        <v/>
      </c>
      <c r="AG55" s="114" t="e">
        <f t="shared" si="31"/>
        <v>#VALUE!</v>
      </c>
      <c r="AH55" s="97" t="e">
        <f t="shared" si="32"/>
        <v>#VALUE!</v>
      </c>
      <c r="AI55" s="839" t="e">
        <f t="shared" si="33"/>
        <v>#VALUE!</v>
      </c>
      <c r="AJ55" s="114">
        <f t="shared" si="190"/>
        <v>4236889.76</v>
      </c>
      <c r="AK55" s="116" t="e">
        <f t="shared" ref="AK55:AL55" si="278">SUM(AD55,W55,P55)</f>
        <v>#VALUE!</v>
      </c>
      <c r="AL55" s="116">
        <f t="shared" si="278"/>
        <v>0</v>
      </c>
      <c r="AM55" s="116">
        <f t="shared" si="36"/>
        <v>0</v>
      </c>
      <c r="AN55" s="116">
        <f t="shared" si="37"/>
        <v>-4236889.76</v>
      </c>
      <c r="AO55" s="938">
        <f t="shared" si="38"/>
        <v>0</v>
      </c>
      <c r="AP55" s="845" t="str">
        <f t="shared" si="192"/>
        <v/>
      </c>
      <c r="AQ55" s="140" t="e">
        <f t="shared" si="40"/>
        <v>#VALUE!</v>
      </c>
      <c r="AR55" s="123" t="str">
        <f t="shared" si="193"/>
        <v/>
      </c>
      <c r="AS55" s="148" t="str">
        <f t="shared" si="194"/>
        <v/>
      </c>
      <c r="AT55" s="845" t="str">
        <f t="shared" si="195"/>
        <v/>
      </c>
      <c r="AU55" s="140" t="e">
        <f t="shared" si="44"/>
        <v>#VALUE!</v>
      </c>
      <c r="AV55" s="326" t="str">
        <f t="shared" si="196"/>
        <v/>
      </c>
      <c r="AW55" s="333" t="str">
        <f t="shared" si="197"/>
        <v/>
      </c>
      <c r="AX55" s="939" t="str">
        <f t="shared" si="198"/>
        <v/>
      </c>
      <c r="AY55" s="123" t="e">
        <f t="shared" si="48"/>
        <v>#VALUE!</v>
      </c>
      <c r="AZ55" s="123" t="str">
        <f t="shared" si="199"/>
        <v/>
      </c>
      <c r="BA55" s="125" t="str">
        <f t="shared" si="200"/>
        <v/>
      </c>
      <c r="BB55" s="940" t="e">
        <f t="shared" si="51"/>
        <v>#VALUE!</v>
      </c>
      <c r="BC55" s="116" t="e">
        <f t="shared" si="52"/>
        <v>#VALUE!</v>
      </c>
      <c r="BD55" s="117" t="e">
        <f t="shared" si="53"/>
        <v>#VALUE!</v>
      </c>
      <c r="BE55" s="114" t="e">
        <f t="shared" si="54"/>
        <v>#VALUE!</v>
      </c>
      <c r="BF55" s="116" t="e">
        <f t="shared" ref="BF55:BG55" si="279">SUM(BC55,AL55)</f>
        <v>#VALUE!</v>
      </c>
      <c r="BG55" s="119" t="e">
        <f t="shared" si="279"/>
        <v>#VALUE!</v>
      </c>
      <c r="BH55" s="845" t="str">
        <f t="shared" si="202"/>
        <v/>
      </c>
      <c r="BI55" s="140" t="e">
        <f t="shared" si="57"/>
        <v>#VALUE!</v>
      </c>
      <c r="BJ55" s="326" t="str">
        <f t="shared" si="203"/>
        <v/>
      </c>
      <c r="BK55" s="333" t="str">
        <f t="shared" si="204"/>
        <v/>
      </c>
      <c r="BL55" s="939" t="str">
        <f t="shared" si="205"/>
        <v/>
      </c>
      <c r="BM55" s="123" t="e">
        <f t="shared" si="61"/>
        <v>#VALUE!</v>
      </c>
      <c r="BN55" s="123" t="str">
        <f t="shared" si="206"/>
        <v/>
      </c>
      <c r="BO55" s="123" t="str">
        <f t="shared" si="207"/>
        <v/>
      </c>
      <c r="BP55" s="332" t="str">
        <f t="shared" si="208"/>
        <v/>
      </c>
      <c r="BQ55" s="140" t="e">
        <f t="shared" si="65"/>
        <v>#VALUE!</v>
      </c>
      <c r="BR55" s="326" t="str">
        <f t="shared" si="209"/>
        <v/>
      </c>
      <c r="BS55" s="333" t="str">
        <f t="shared" si="210"/>
        <v/>
      </c>
      <c r="BT55" s="140" t="e">
        <f t="shared" ref="BT55:BV55" si="280">SUM(BQ55,BM55,BI55)</f>
        <v>#VALUE!</v>
      </c>
      <c r="BU55" s="326">
        <f t="shared" si="280"/>
        <v>0</v>
      </c>
      <c r="BV55" s="333">
        <f t="shared" si="280"/>
        <v>0</v>
      </c>
      <c r="BW55" s="845" t="str">
        <f t="shared" si="212"/>
        <v/>
      </c>
      <c r="BX55" s="140" t="e">
        <f t="shared" si="70"/>
        <v>#VALUE!</v>
      </c>
      <c r="BY55" s="123" t="str">
        <f t="shared" si="213"/>
        <v/>
      </c>
      <c r="BZ55" s="148" t="str">
        <f t="shared" si="214"/>
        <v/>
      </c>
      <c r="CA55" s="939" t="str">
        <f t="shared" si="215"/>
        <v/>
      </c>
      <c r="CB55" s="941" t="str">
        <f t="shared" si="216"/>
        <v/>
      </c>
    </row>
    <row r="56" spans="1:80" ht="13">
      <c r="A56" s="463">
        <f t="shared" si="170"/>
        <v>112012309</v>
      </c>
      <c r="B56" s="501">
        <f t="shared" si="235"/>
        <v>4</v>
      </c>
      <c r="C56" s="699" t="str">
        <f t="shared" si="171"/>
        <v>Lista</v>
      </c>
      <c r="D56" s="558">
        <f t="shared" si="172"/>
        <v>0.2</v>
      </c>
      <c r="E56" s="715">
        <f t="shared" si="173"/>
        <v>0</v>
      </c>
      <c r="F56" s="936">
        <f t="shared" si="174"/>
        <v>4</v>
      </c>
      <c r="G56" s="699" t="str">
        <f t="shared" si="175"/>
        <v>Lista</v>
      </c>
      <c r="H56" s="699">
        <f t="shared" si="176"/>
        <v>0.2</v>
      </c>
      <c r="I56" s="702">
        <f t="shared" si="177"/>
        <v>0</v>
      </c>
      <c r="J56" s="837">
        <f t="shared" si="178"/>
        <v>70</v>
      </c>
      <c r="K56" s="700" t="str">
        <f t="shared" si="179"/>
        <v>Lista</v>
      </c>
      <c r="L56" s="702">
        <f t="shared" si="180"/>
        <v>0.11</v>
      </c>
      <c r="M56" s="423" t="s">
        <v>889</v>
      </c>
      <c r="N56" s="121">
        <f t="shared" si="181"/>
        <v>236780.5</v>
      </c>
      <c r="O56" s="416">
        <f t="shared" si="13"/>
        <v>398039.85952499998</v>
      </c>
      <c r="P56" s="113">
        <f t="shared" si="14"/>
        <v>0</v>
      </c>
      <c r="Q56" s="116">
        <f t="shared" si="182"/>
        <v>270799.2</v>
      </c>
      <c r="R56" s="117">
        <f t="shared" si="183"/>
        <v>270799.2</v>
      </c>
      <c r="S56" s="114">
        <f t="shared" si="17"/>
        <v>-127240.65952499997</v>
      </c>
      <c r="T56" s="413">
        <f t="shared" si="18"/>
        <v>0.68033186506285492</v>
      </c>
      <c r="U56" s="100">
        <f t="shared" si="184"/>
        <v>529816.66</v>
      </c>
      <c r="V56" s="113">
        <f t="shared" si="20"/>
        <v>959352.27167849999</v>
      </c>
      <c r="W56" s="116">
        <f t="shared" si="21"/>
        <v>0</v>
      </c>
      <c r="X56" s="116">
        <f t="shared" si="185"/>
        <v>199507.52</v>
      </c>
      <c r="Y56" s="116">
        <f t="shared" si="186"/>
        <v>199507.52</v>
      </c>
      <c r="Z56" s="116">
        <f t="shared" si="24"/>
        <v>-759844.75167849998</v>
      </c>
      <c r="AA56" s="413">
        <f t="shared" si="25"/>
        <v>0.20796064791813965</v>
      </c>
      <c r="AB56" s="114">
        <f t="shared" si="187"/>
        <v>306642.83</v>
      </c>
      <c r="AC56" s="121">
        <f t="shared" si="27"/>
        <v>513711.06702825002</v>
      </c>
      <c r="AD56" s="113">
        <f t="shared" si="28"/>
        <v>0</v>
      </c>
      <c r="AE56" s="116">
        <f t="shared" si="188"/>
        <v>569756.16000000003</v>
      </c>
      <c r="AF56" s="117">
        <f t="shared" si="189"/>
        <v>569756.16000000003</v>
      </c>
      <c r="AG56" s="114">
        <f t="shared" si="31"/>
        <v>56045.092971750011</v>
      </c>
      <c r="AH56" s="97">
        <f t="shared" si="32"/>
        <v>1.1090984729917606</v>
      </c>
      <c r="AI56" s="839">
        <f t="shared" si="33"/>
        <v>1871103.1982317502</v>
      </c>
      <c r="AJ56" s="114">
        <f t="shared" si="190"/>
        <v>924856.91</v>
      </c>
      <c r="AK56" s="116">
        <f t="shared" ref="AK56:AL56" si="281">SUM(AD56,W56,P56)</f>
        <v>0</v>
      </c>
      <c r="AL56" s="116">
        <f t="shared" si="281"/>
        <v>1040062.8800000001</v>
      </c>
      <c r="AM56" s="116">
        <f t="shared" si="36"/>
        <v>1239570.4000000001</v>
      </c>
      <c r="AN56" s="116">
        <f t="shared" si="37"/>
        <v>314713.49000000011</v>
      </c>
      <c r="AO56" s="938">
        <f t="shared" si="38"/>
        <v>1.3402834390889722</v>
      </c>
      <c r="AP56" s="845">
        <f t="shared" si="192"/>
        <v>279647.03999999998</v>
      </c>
      <c r="AQ56" s="140">
        <f t="shared" si="40"/>
        <v>0</v>
      </c>
      <c r="AR56" s="123">
        <f t="shared" si="193"/>
        <v>457852.83</v>
      </c>
      <c r="AS56" s="148">
        <f t="shared" si="194"/>
        <v>457852.83</v>
      </c>
      <c r="AT56" s="845">
        <f t="shared" si="195"/>
        <v>501852.35</v>
      </c>
      <c r="AU56" s="140">
        <f t="shared" si="44"/>
        <v>0</v>
      </c>
      <c r="AV56" s="326">
        <f t="shared" si="196"/>
        <v>601034.62</v>
      </c>
      <c r="AW56" s="333">
        <f t="shared" si="197"/>
        <v>601034.62</v>
      </c>
      <c r="AX56" s="939">
        <f t="shared" si="198"/>
        <v>142451.68</v>
      </c>
      <c r="AY56" s="123">
        <f t="shared" si="48"/>
        <v>0</v>
      </c>
      <c r="AZ56" s="123">
        <f t="shared" si="199"/>
        <v>536383.84</v>
      </c>
      <c r="BA56" s="125">
        <f t="shared" si="200"/>
        <v>536383.84</v>
      </c>
      <c r="BB56" s="940">
        <f t="shared" si="51"/>
        <v>0</v>
      </c>
      <c r="BC56" s="116">
        <f t="shared" si="52"/>
        <v>1595271.29</v>
      </c>
      <c r="BD56" s="117">
        <f t="shared" si="53"/>
        <v>1595271.29</v>
      </c>
      <c r="BE56" s="114">
        <f t="shared" si="54"/>
        <v>0</v>
      </c>
      <c r="BF56" s="116">
        <f t="shared" ref="BF56:BG56" si="282">SUM(BC56,AL56)</f>
        <v>2635334.17</v>
      </c>
      <c r="BG56" s="119">
        <f t="shared" si="282"/>
        <v>2834841.6900000004</v>
      </c>
      <c r="BH56" s="845">
        <f t="shared" si="202"/>
        <v>487545.34</v>
      </c>
      <c r="BI56" s="140">
        <f t="shared" si="57"/>
        <v>0</v>
      </c>
      <c r="BJ56" s="326">
        <f t="shared" si="203"/>
        <v>213221.6</v>
      </c>
      <c r="BK56" s="333">
        <f t="shared" si="204"/>
        <v>213221.6</v>
      </c>
      <c r="BL56" s="939">
        <f t="shared" si="205"/>
        <v>215716.91</v>
      </c>
      <c r="BM56" s="123">
        <f t="shared" si="61"/>
        <v>0</v>
      </c>
      <c r="BN56" s="123">
        <f t="shared" si="206"/>
        <v>468376.33</v>
      </c>
      <c r="BO56" s="123">
        <f t="shared" si="207"/>
        <v>468376.33</v>
      </c>
      <c r="BP56" s="332">
        <f t="shared" si="208"/>
        <v>159388.48000000001</v>
      </c>
      <c r="BQ56" s="140">
        <f t="shared" si="65"/>
        <v>0</v>
      </c>
      <c r="BR56" s="326">
        <f t="shared" si="209"/>
        <v>360784.9</v>
      </c>
      <c r="BS56" s="333">
        <f t="shared" si="210"/>
        <v>360784.9</v>
      </c>
      <c r="BT56" s="140">
        <f t="shared" ref="BT56:BV56" si="283">SUM(BQ56,BM56,BI56)</f>
        <v>0</v>
      </c>
      <c r="BU56" s="326">
        <f t="shared" si="283"/>
        <v>1042382.83</v>
      </c>
      <c r="BV56" s="333">
        <f t="shared" si="283"/>
        <v>1042382.83</v>
      </c>
      <c r="BW56" s="845">
        <f t="shared" si="212"/>
        <v>110611.84</v>
      </c>
      <c r="BX56" s="140">
        <f t="shared" si="70"/>
        <v>0</v>
      </c>
      <c r="BY56" s="123">
        <f t="shared" si="213"/>
        <v>374752.35</v>
      </c>
      <c r="BZ56" s="148">
        <f t="shared" si="214"/>
        <v>374752.35</v>
      </c>
      <c r="CA56" s="939">
        <f t="shared" si="215"/>
        <v>404064.96</v>
      </c>
      <c r="CB56" s="941">
        <f t="shared" si="216"/>
        <v>410180.11</v>
      </c>
    </row>
    <row r="57" spans="1:80" ht="13">
      <c r="A57" s="463">
        <f t="shared" si="170"/>
        <v>112013646</v>
      </c>
      <c r="B57" s="501">
        <f t="shared" si="235"/>
        <v>4</v>
      </c>
      <c r="C57" s="699" t="str">
        <f t="shared" si="171"/>
        <v>Lista</v>
      </c>
      <c r="D57" s="558">
        <f t="shared" si="172"/>
        <v>0.2</v>
      </c>
      <c r="E57" s="715">
        <f t="shared" si="173"/>
        <v>0</v>
      </c>
      <c r="F57" s="936">
        <f t="shared" si="174"/>
        <v>1</v>
      </c>
      <c r="G57" s="699" t="str">
        <f t="shared" si="175"/>
        <v>Lista</v>
      </c>
      <c r="H57" s="699">
        <f t="shared" si="176"/>
        <v>0.2</v>
      </c>
      <c r="I57" s="702">
        <f t="shared" si="177"/>
        <v>0</v>
      </c>
      <c r="J57" s="837">
        <f t="shared" si="178"/>
        <v>71</v>
      </c>
      <c r="K57" s="700" t="str">
        <f t="shared" si="179"/>
        <v>Lista</v>
      </c>
      <c r="L57" s="702">
        <f t="shared" si="180"/>
        <v>0.05</v>
      </c>
      <c r="M57" s="423" t="s">
        <v>890</v>
      </c>
      <c r="N57" s="121">
        <f t="shared" si="181"/>
        <v>99499.4</v>
      </c>
      <c r="O57" s="416">
        <f t="shared" si="13"/>
        <v>167263.46636999998</v>
      </c>
      <c r="P57" s="113">
        <f t="shared" si="14"/>
        <v>430504.83</v>
      </c>
      <c r="Q57" s="116">
        <f t="shared" si="182"/>
        <v>0</v>
      </c>
      <c r="R57" s="117">
        <f t="shared" si="183"/>
        <v>430504.83</v>
      </c>
      <c r="S57" s="114">
        <f t="shared" si="17"/>
        <v>263241.36363000004</v>
      </c>
      <c r="T57" s="413">
        <f t="shared" si="18"/>
        <v>2.5738126761506268</v>
      </c>
      <c r="U57" s="100">
        <f t="shared" si="184"/>
        <v>106005.02</v>
      </c>
      <c r="V57" s="113">
        <f t="shared" si="20"/>
        <v>191945.9398395</v>
      </c>
      <c r="W57" s="116">
        <f t="shared" si="21"/>
        <v>120060.13</v>
      </c>
      <c r="X57" s="116">
        <f t="shared" si="185"/>
        <v>0</v>
      </c>
      <c r="Y57" s="116">
        <f t="shared" si="186"/>
        <v>120060.13</v>
      </c>
      <c r="Z57" s="116">
        <f t="shared" si="24"/>
        <v>-71885.809839499998</v>
      </c>
      <c r="AA57" s="413">
        <f t="shared" si="25"/>
        <v>0.62548929193496372</v>
      </c>
      <c r="AB57" s="114">
        <f t="shared" si="187"/>
        <v>136035.99</v>
      </c>
      <c r="AC57" s="121">
        <f t="shared" si="27"/>
        <v>227897.69314724999</v>
      </c>
      <c r="AD57" s="113">
        <f t="shared" si="28"/>
        <v>273632.11</v>
      </c>
      <c r="AE57" s="116">
        <f t="shared" si="188"/>
        <v>0</v>
      </c>
      <c r="AF57" s="117">
        <f t="shared" si="189"/>
        <v>273632.11</v>
      </c>
      <c r="AG57" s="114">
        <f t="shared" si="31"/>
        <v>45734.416852750001</v>
      </c>
      <c r="AH57" s="97">
        <f t="shared" si="32"/>
        <v>1.2006795953972202</v>
      </c>
      <c r="AI57" s="839">
        <f t="shared" si="33"/>
        <v>587107.09935675003</v>
      </c>
      <c r="AJ57" s="114">
        <f t="shared" si="190"/>
        <v>470743.16</v>
      </c>
      <c r="AK57" s="116">
        <f t="shared" ref="AK57:AL57" si="284">SUM(AD57,W57,P57)</f>
        <v>824197.07000000007</v>
      </c>
      <c r="AL57" s="116">
        <f t="shared" si="284"/>
        <v>0</v>
      </c>
      <c r="AM57" s="116">
        <f t="shared" si="36"/>
        <v>944257.2</v>
      </c>
      <c r="AN57" s="116">
        <f t="shared" si="37"/>
        <v>473514.04</v>
      </c>
      <c r="AO57" s="938">
        <f t="shared" si="38"/>
        <v>2.0058861821805336</v>
      </c>
      <c r="AP57" s="845">
        <f t="shared" si="192"/>
        <v>169535.24</v>
      </c>
      <c r="AQ57" s="140">
        <f t="shared" si="40"/>
        <v>386445.28</v>
      </c>
      <c r="AR57" s="123">
        <f t="shared" si="193"/>
        <v>0</v>
      </c>
      <c r="AS57" s="148">
        <f t="shared" si="194"/>
        <v>386445.28</v>
      </c>
      <c r="AT57" s="845">
        <f t="shared" si="195"/>
        <v>168704.36</v>
      </c>
      <c r="AU57" s="140">
        <f t="shared" si="44"/>
        <v>199431.36000000002</v>
      </c>
      <c r="AV57" s="326">
        <f t="shared" si="196"/>
        <v>8909.0499999999993</v>
      </c>
      <c r="AW57" s="333">
        <f t="shared" si="197"/>
        <v>208340.41</v>
      </c>
      <c r="AX57" s="939">
        <f t="shared" si="198"/>
        <v>135166.53</v>
      </c>
      <c r="AY57" s="123">
        <f t="shared" si="48"/>
        <v>125308.5</v>
      </c>
      <c r="AZ57" s="123">
        <f t="shared" si="199"/>
        <v>12776.84</v>
      </c>
      <c r="BA57" s="125">
        <f t="shared" si="200"/>
        <v>138085.34</v>
      </c>
      <c r="BB57" s="940">
        <f t="shared" si="51"/>
        <v>711185.14</v>
      </c>
      <c r="BC57" s="116">
        <f t="shared" si="52"/>
        <v>21685.89</v>
      </c>
      <c r="BD57" s="117">
        <f t="shared" si="53"/>
        <v>732871.03</v>
      </c>
      <c r="BE57" s="114">
        <f t="shared" si="54"/>
        <v>1535382.21</v>
      </c>
      <c r="BF57" s="116">
        <f t="shared" ref="BF57:BG57" si="285">SUM(BC57,AL57)</f>
        <v>21685.89</v>
      </c>
      <c r="BG57" s="119">
        <f t="shared" si="285"/>
        <v>1677128.23</v>
      </c>
      <c r="BH57" s="845">
        <f t="shared" si="202"/>
        <v>73662.899999999994</v>
      </c>
      <c r="BI57" s="140">
        <f t="shared" si="57"/>
        <v>333400.44</v>
      </c>
      <c r="BJ57" s="326">
        <f t="shared" si="203"/>
        <v>0</v>
      </c>
      <c r="BK57" s="333">
        <f t="shared" si="204"/>
        <v>333400.44</v>
      </c>
      <c r="BL57" s="939">
        <f t="shared" si="205"/>
        <v>389080.23</v>
      </c>
      <c r="BM57" s="123">
        <f t="shared" si="61"/>
        <v>49645.440000000002</v>
      </c>
      <c r="BN57" s="123">
        <f t="shared" si="206"/>
        <v>0</v>
      </c>
      <c r="BO57" s="123">
        <f t="shared" si="207"/>
        <v>49645.440000000002</v>
      </c>
      <c r="BP57" s="332">
        <f t="shared" si="208"/>
        <v>242839.07</v>
      </c>
      <c r="BQ57" s="140">
        <f t="shared" si="65"/>
        <v>317690.48</v>
      </c>
      <c r="BR57" s="326">
        <f t="shared" si="209"/>
        <v>0</v>
      </c>
      <c r="BS57" s="333">
        <f t="shared" si="210"/>
        <v>317690.48</v>
      </c>
      <c r="BT57" s="140">
        <f t="shared" ref="BT57:BV57" si="286">SUM(BQ57,BM57,BI57)</f>
        <v>700736.36</v>
      </c>
      <c r="BU57" s="326">
        <f t="shared" si="286"/>
        <v>0</v>
      </c>
      <c r="BV57" s="333">
        <f t="shared" si="286"/>
        <v>700736.36</v>
      </c>
      <c r="BW57" s="845">
        <f t="shared" si="212"/>
        <v>335570.44</v>
      </c>
      <c r="BX57" s="140">
        <f t="shared" si="70"/>
        <v>321798.95</v>
      </c>
      <c r="BY57" s="123">
        <f t="shared" si="213"/>
        <v>0</v>
      </c>
      <c r="BZ57" s="148">
        <f t="shared" si="214"/>
        <v>321798.95</v>
      </c>
      <c r="CA57" s="939">
        <f t="shared" si="215"/>
        <v>135172.72</v>
      </c>
      <c r="CB57" s="941">
        <f t="shared" si="216"/>
        <v>0</v>
      </c>
    </row>
    <row r="58" spans="1:80" ht="13">
      <c r="A58" s="463">
        <f t="shared" si="170"/>
        <v>112014191</v>
      </c>
      <c r="B58" s="501">
        <f t="shared" si="235"/>
        <v>4</v>
      </c>
      <c r="C58" s="699" t="str">
        <f t="shared" si="171"/>
        <v>Lista</v>
      </c>
      <c r="D58" s="558">
        <f t="shared" si="172"/>
        <v>0.2</v>
      </c>
      <c r="E58" s="715">
        <f t="shared" si="173"/>
        <v>0</v>
      </c>
      <c r="F58" s="936">
        <f t="shared" si="174"/>
        <v>4</v>
      </c>
      <c r="G58" s="699" t="str">
        <f t="shared" si="175"/>
        <v>Lista</v>
      </c>
      <c r="H58" s="699">
        <f t="shared" si="176"/>
        <v>0.2</v>
      </c>
      <c r="I58" s="702">
        <f t="shared" si="177"/>
        <v>0</v>
      </c>
      <c r="J58" s="837">
        <f t="shared" si="178"/>
        <v>70</v>
      </c>
      <c r="K58" s="700" t="str">
        <f t="shared" si="179"/>
        <v>Lista</v>
      </c>
      <c r="L58" s="702">
        <f t="shared" si="180"/>
        <v>0.11</v>
      </c>
      <c r="M58" s="423" t="s">
        <v>891</v>
      </c>
      <c r="N58" s="121">
        <f t="shared" si="181"/>
        <v>473790.89</v>
      </c>
      <c r="O58" s="416">
        <f t="shared" si="13"/>
        <v>796466.1756345001</v>
      </c>
      <c r="P58" s="113">
        <f t="shared" si="14"/>
        <v>155012.09999999998</v>
      </c>
      <c r="Q58" s="116">
        <f t="shared" si="182"/>
        <v>376214</v>
      </c>
      <c r="R58" s="117">
        <f t="shared" si="183"/>
        <v>531226.1</v>
      </c>
      <c r="S58" s="114">
        <f t="shared" si="17"/>
        <v>-265240.07563450013</v>
      </c>
      <c r="T58" s="413">
        <f t="shared" si="18"/>
        <v>0.66697885767314824</v>
      </c>
      <c r="U58" s="100">
        <f t="shared" si="184"/>
        <v>112660.2</v>
      </c>
      <c r="V58" s="113">
        <f t="shared" si="20"/>
        <v>203996.64064499998</v>
      </c>
      <c r="W58" s="116">
        <f t="shared" si="21"/>
        <v>216300.96</v>
      </c>
      <c r="X58" s="116">
        <f t="shared" si="185"/>
        <v>0</v>
      </c>
      <c r="Y58" s="116">
        <f t="shared" si="186"/>
        <v>216300.96</v>
      </c>
      <c r="Z58" s="116">
        <f t="shared" si="24"/>
        <v>12304.319355000014</v>
      </c>
      <c r="AA58" s="413">
        <f t="shared" si="25"/>
        <v>1.0603162842098577</v>
      </c>
      <c r="AB58" s="114">
        <f t="shared" si="187"/>
        <v>42180.480000000003</v>
      </c>
      <c r="AC58" s="121">
        <f t="shared" si="27"/>
        <v>70663.903632000001</v>
      </c>
      <c r="AD58" s="113">
        <f t="shared" si="28"/>
        <v>411977.46</v>
      </c>
      <c r="AE58" s="116">
        <f t="shared" si="188"/>
        <v>0</v>
      </c>
      <c r="AF58" s="117">
        <f t="shared" si="189"/>
        <v>411977.46</v>
      </c>
      <c r="AG58" s="114">
        <f t="shared" si="31"/>
        <v>341313.55636799999</v>
      </c>
      <c r="AH58" s="97">
        <f t="shared" si="32"/>
        <v>5.8300976711600301</v>
      </c>
      <c r="AI58" s="839">
        <f t="shared" si="33"/>
        <v>1071126.7199115001</v>
      </c>
      <c r="AJ58" s="114">
        <f t="shared" si="190"/>
        <v>1754973.41</v>
      </c>
      <c r="AK58" s="116">
        <f t="shared" ref="AK58:AL58" si="287">SUM(AD58,W58,P58)</f>
        <v>783290.52</v>
      </c>
      <c r="AL58" s="116">
        <f t="shared" si="287"/>
        <v>376214</v>
      </c>
      <c r="AM58" s="116">
        <f t="shared" si="36"/>
        <v>1375805.48</v>
      </c>
      <c r="AN58" s="116">
        <f t="shared" si="37"/>
        <v>-379167.92999999993</v>
      </c>
      <c r="AO58" s="938">
        <f t="shared" si="38"/>
        <v>0.78394662401181336</v>
      </c>
      <c r="AP58" s="845">
        <f t="shared" si="192"/>
        <v>122523.84</v>
      </c>
      <c r="AQ58" s="140">
        <f t="shared" si="40"/>
        <v>767952.31</v>
      </c>
      <c r="AR58" s="123">
        <f t="shared" si="193"/>
        <v>0</v>
      </c>
      <c r="AS58" s="148">
        <f t="shared" si="194"/>
        <v>767952.31</v>
      </c>
      <c r="AT58" s="845">
        <f t="shared" si="195"/>
        <v>213938.15</v>
      </c>
      <c r="AU58" s="140">
        <f t="shared" si="44"/>
        <v>0</v>
      </c>
      <c r="AV58" s="326">
        <f t="shared" si="196"/>
        <v>0</v>
      </c>
      <c r="AW58" s="333">
        <f t="shared" si="197"/>
        <v>0</v>
      </c>
      <c r="AX58" s="939">
        <f t="shared" si="198"/>
        <v>40850.6</v>
      </c>
      <c r="AY58" s="123">
        <f t="shared" si="48"/>
        <v>340021.2</v>
      </c>
      <c r="AZ58" s="123">
        <f t="shared" si="199"/>
        <v>0</v>
      </c>
      <c r="BA58" s="125">
        <f t="shared" si="200"/>
        <v>340021.2</v>
      </c>
      <c r="BB58" s="940">
        <f t="shared" si="51"/>
        <v>1107973.51</v>
      </c>
      <c r="BC58" s="116">
        <f t="shared" si="52"/>
        <v>0</v>
      </c>
      <c r="BD58" s="117">
        <f t="shared" si="53"/>
        <v>1107973.51</v>
      </c>
      <c r="BE58" s="114">
        <f t="shared" si="54"/>
        <v>1891264.03</v>
      </c>
      <c r="BF58" s="116">
        <f t="shared" ref="BF58:BG58" si="288">SUM(BC58,AL58)</f>
        <v>376214</v>
      </c>
      <c r="BG58" s="119">
        <f t="shared" si="288"/>
        <v>2483778.9900000002</v>
      </c>
      <c r="BH58" s="845">
        <f t="shared" si="202"/>
        <v>236582.1</v>
      </c>
      <c r="BI58" s="140">
        <f t="shared" si="57"/>
        <v>264235.75</v>
      </c>
      <c r="BJ58" s="326">
        <f t="shared" si="203"/>
        <v>0</v>
      </c>
      <c r="BK58" s="333">
        <f t="shared" si="204"/>
        <v>264235.75</v>
      </c>
      <c r="BL58" s="939">
        <f t="shared" si="205"/>
        <v>138707.12</v>
      </c>
      <c r="BM58" s="123">
        <f t="shared" si="61"/>
        <v>369545.87999999995</v>
      </c>
      <c r="BN58" s="123">
        <f t="shared" si="206"/>
        <v>266964.96000000002</v>
      </c>
      <c r="BO58" s="123">
        <f t="shared" si="207"/>
        <v>636510.84</v>
      </c>
      <c r="BP58" s="332">
        <f t="shared" si="208"/>
        <v>507649.49</v>
      </c>
      <c r="BQ58" s="140">
        <f t="shared" si="65"/>
        <v>1065313.3600000001</v>
      </c>
      <c r="BR58" s="326">
        <f t="shared" si="209"/>
        <v>0</v>
      </c>
      <c r="BS58" s="333">
        <f t="shared" si="210"/>
        <v>1065313.3600000001</v>
      </c>
      <c r="BT58" s="140">
        <f t="shared" ref="BT58:BV58" si="289">SUM(BQ58,BM58,BI58)</f>
        <v>1699094.99</v>
      </c>
      <c r="BU58" s="326">
        <f t="shared" si="289"/>
        <v>266964.96000000002</v>
      </c>
      <c r="BV58" s="333">
        <f t="shared" si="289"/>
        <v>1966059.9500000002</v>
      </c>
      <c r="BW58" s="845">
        <f t="shared" si="212"/>
        <v>619079.75</v>
      </c>
      <c r="BX58" s="140">
        <f t="shared" si="70"/>
        <v>0</v>
      </c>
      <c r="BY58" s="123">
        <f t="shared" si="213"/>
        <v>0</v>
      </c>
      <c r="BZ58" s="148">
        <f t="shared" si="214"/>
        <v>0</v>
      </c>
      <c r="CA58" s="939">
        <f t="shared" si="215"/>
        <v>820633.19</v>
      </c>
      <c r="CB58" s="941">
        <f t="shared" si="216"/>
        <v>315260.46999999997</v>
      </c>
    </row>
    <row r="59" spans="1:80" ht="13">
      <c r="A59" s="463">
        <f t="shared" si="170"/>
        <v>112014475</v>
      </c>
      <c r="B59" s="501">
        <f t="shared" si="235"/>
        <v>4</v>
      </c>
      <c r="C59" s="699" t="str">
        <f t="shared" si="171"/>
        <v>Lista</v>
      </c>
      <c r="D59" s="558">
        <f t="shared" si="172"/>
        <v>0.2</v>
      </c>
      <c r="E59" s="715">
        <f t="shared" si="173"/>
        <v>0</v>
      </c>
      <c r="F59" s="936">
        <f t="shared" si="174"/>
        <v>4</v>
      </c>
      <c r="G59" s="699" t="str">
        <f t="shared" si="175"/>
        <v>Lista</v>
      </c>
      <c r="H59" s="699">
        <f t="shared" si="176"/>
        <v>0.2</v>
      </c>
      <c r="I59" s="702">
        <f t="shared" si="177"/>
        <v>0</v>
      </c>
      <c r="J59" s="837">
        <f t="shared" si="178"/>
        <v>70</v>
      </c>
      <c r="K59" s="700" t="str">
        <f t="shared" si="179"/>
        <v>Lista</v>
      </c>
      <c r="L59" s="702">
        <f t="shared" si="180"/>
        <v>0.11</v>
      </c>
      <c r="M59" s="423" t="s">
        <v>892</v>
      </c>
      <c r="N59" s="121">
        <f t="shared" si="181"/>
        <v>0</v>
      </c>
      <c r="O59" s="416">
        <f t="shared" si="13"/>
        <v>0</v>
      </c>
      <c r="P59" s="113">
        <f t="shared" si="14"/>
        <v>534713.96</v>
      </c>
      <c r="Q59" s="116">
        <f t="shared" si="182"/>
        <v>93591.92</v>
      </c>
      <c r="R59" s="117">
        <f t="shared" si="183"/>
        <v>628305.88</v>
      </c>
      <c r="S59" s="114">
        <f t="shared" si="17"/>
        <v>628305.88</v>
      </c>
      <c r="T59" s="413" t="str">
        <f t="shared" si="18"/>
        <v/>
      </c>
      <c r="U59" s="100">
        <f t="shared" si="184"/>
        <v>0</v>
      </c>
      <c r="V59" s="113">
        <f t="shared" si="20"/>
        <v>0</v>
      </c>
      <c r="W59" s="116">
        <f t="shared" si="21"/>
        <v>220865.48000000004</v>
      </c>
      <c r="X59" s="116">
        <f t="shared" si="185"/>
        <v>55167.360000000001</v>
      </c>
      <c r="Y59" s="116">
        <f t="shared" si="186"/>
        <v>276032.84000000003</v>
      </c>
      <c r="Z59" s="116">
        <f t="shared" si="24"/>
        <v>276032.84000000003</v>
      </c>
      <c r="AA59" s="413" t="e">
        <f t="shared" si="25"/>
        <v>#DIV/0!</v>
      </c>
      <c r="AB59" s="114">
        <f t="shared" si="187"/>
        <v>0</v>
      </c>
      <c r="AC59" s="121">
        <f t="shared" si="27"/>
        <v>0</v>
      </c>
      <c r="AD59" s="113">
        <f t="shared" si="28"/>
        <v>157130.23000000004</v>
      </c>
      <c r="AE59" s="116">
        <f t="shared" si="188"/>
        <v>170116.8</v>
      </c>
      <c r="AF59" s="117">
        <f t="shared" si="189"/>
        <v>327247.03000000003</v>
      </c>
      <c r="AG59" s="114">
        <f t="shared" si="31"/>
        <v>327247.03000000003</v>
      </c>
      <c r="AH59" s="97" t="e">
        <f t="shared" si="32"/>
        <v>#DIV/0!</v>
      </c>
      <c r="AI59" s="839">
        <f t="shared" si="33"/>
        <v>0</v>
      </c>
      <c r="AJ59" s="114">
        <f t="shared" si="190"/>
        <v>589965.55000000005</v>
      </c>
      <c r="AK59" s="116">
        <f t="shared" ref="AK59:AL59" si="290">SUM(AD59,W59,P59)</f>
        <v>912709.67</v>
      </c>
      <c r="AL59" s="116">
        <f t="shared" si="290"/>
        <v>318876.07999999996</v>
      </c>
      <c r="AM59" s="116">
        <f t="shared" si="36"/>
        <v>1507618.5900000003</v>
      </c>
      <c r="AN59" s="116">
        <f t="shared" si="37"/>
        <v>917653.04000000027</v>
      </c>
      <c r="AO59" s="938">
        <f t="shared" si="38"/>
        <v>2.555434957176737</v>
      </c>
      <c r="AP59" s="845">
        <f t="shared" si="192"/>
        <v>0</v>
      </c>
      <c r="AQ59" s="140">
        <f t="shared" si="40"/>
        <v>80628.66</v>
      </c>
      <c r="AR59" s="123">
        <f t="shared" si="193"/>
        <v>61401.120000000003</v>
      </c>
      <c r="AS59" s="148">
        <f t="shared" si="194"/>
        <v>142029.78</v>
      </c>
      <c r="AT59" s="845">
        <f t="shared" si="195"/>
        <v>0</v>
      </c>
      <c r="AU59" s="140">
        <f t="shared" si="44"/>
        <v>201390.52</v>
      </c>
      <c r="AV59" s="326">
        <f t="shared" si="196"/>
        <v>133033.07999999999</v>
      </c>
      <c r="AW59" s="333">
        <f t="shared" si="197"/>
        <v>334423.59999999998</v>
      </c>
      <c r="AX59" s="939">
        <f t="shared" si="198"/>
        <v>0</v>
      </c>
      <c r="AY59" s="123">
        <f t="shared" si="48"/>
        <v>168301.56</v>
      </c>
      <c r="AZ59" s="123">
        <f t="shared" si="199"/>
        <v>305426.31</v>
      </c>
      <c r="BA59" s="125">
        <f t="shared" si="200"/>
        <v>473727.87</v>
      </c>
      <c r="BB59" s="940">
        <f t="shared" si="51"/>
        <v>450320.74</v>
      </c>
      <c r="BC59" s="116">
        <f t="shared" si="52"/>
        <v>499860.51</v>
      </c>
      <c r="BD59" s="117">
        <f t="shared" si="53"/>
        <v>950181.25</v>
      </c>
      <c r="BE59" s="114">
        <f t="shared" si="54"/>
        <v>1363030.4100000001</v>
      </c>
      <c r="BF59" s="116">
        <f t="shared" ref="BF59:BG59" si="291">SUM(BC59,AL59)</f>
        <v>818736.59</v>
      </c>
      <c r="BG59" s="119">
        <f t="shared" si="291"/>
        <v>2457799.8400000003</v>
      </c>
      <c r="BH59" s="845">
        <f t="shared" si="202"/>
        <v>228203.54</v>
      </c>
      <c r="BI59" s="140">
        <f t="shared" si="57"/>
        <v>376136.07</v>
      </c>
      <c r="BJ59" s="326">
        <f t="shared" si="203"/>
        <v>110944.56</v>
      </c>
      <c r="BK59" s="333">
        <f t="shared" si="204"/>
        <v>487080.63</v>
      </c>
      <c r="BL59" s="939">
        <f t="shared" si="205"/>
        <v>24360.41</v>
      </c>
      <c r="BM59" s="123">
        <f t="shared" si="61"/>
        <v>57930.700000000012</v>
      </c>
      <c r="BN59" s="123">
        <f t="shared" si="206"/>
        <v>404508.51</v>
      </c>
      <c r="BO59" s="123">
        <f t="shared" si="207"/>
        <v>462439.21</v>
      </c>
      <c r="BP59" s="332">
        <f t="shared" si="208"/>
        <v>134108.76</v>
      </c>
      <c r="BQ59" s="140">
        <f t="shared" si="65"/>
        <v>107565.38</v>
      </c>
      <c r="BR59" s="326">
        <f t="shared" si="209"/>
        <v>99370.94</v>
      </c>
      <c r="BS59" s="333">
        <f t="shared" si="210"/>
        <v>206936.32000000001</v>
      </c>
      <c r="BT59" s="140">
        <f t="shared" ref="BT59:BV59" si="292">SUM(BQ59,BM59,BI59)</f>
        <v>541632.15</v>
      </c>
      <c r="BU59" s="326">
        <f t="shared" si="292"/>
        <v>614824.01</v>
      </c>
      <c r="BV59" s="333">
        <f t="shared" si="292"/>
        <v>1156456.1600000001</v>
      </c>
      <c r="BW59" s="845">
        <f t="shared" si="212"/>
        <v>272608</v>
      </c>
      <c r="BX59" s="140">
        <f t="shared" si="70"/>
        <v>498642.91999999993</v>
      </c>
      <c r="BY59" s="123">
        <f t="shared" si="213"/>
        <v>298091.65000000002</v>
      </c>
      <c r="BZ59" s="148">
        <f t="shared" si="214"/>
        <v>796734.57</v>
      </c>
      <c r="CA59" s="939">
        <f t="shared" si="215"/>
        <v>96502.2</v>
      </c>
      <c r="CB59" s="941">
        <f t="shared" si="216"/>
        <v>220855.35</v>
      </c>
    </row>
    <row r="60" spans="1:80" ht="13">
      <c r="A60" s="463">
        <f t="shared" si="170"/>
        <v>112010041</v>
      </c>
      <c r="B60" s="501">
        <f t="shared" si="235"/>
        <v>1</v>
      </c>
      <c r="C60" s="699" t="str">
        <f t="shared" si="171"/>
        <v>Lista</v>
      </c>
      <c r="D60" s="558">
        <f t="shared" si="172"/>
        <v>0.09</v>
      </c>
      <c r="E60" s="715">
        <f t="shared" si="173"/>
        <v>0</v>
      </c>
      <c r="F60" s="936">
        <f t="shared" si="174"/>
        <v>1</v>
      </c>
      <c r="G60" s="699" t="str">
        <f t="shared" si="175"/>
        <v>Lista</v>
      </c>
      <c r="H60" s="699">
        <f t="shared" si="176"/>
        <v>0.09</v>
      </c>
      <c r="I60" s="702">
        <f t="shared" si="177"/>
        <v>0</v>
      </c>
      <c r="J60" s="837">
        <f t="shared" si="178"/>
        <v>71</v>
      </c>
      <c r="K60" s="700" t="str">
        <f t="shared" si="179"/>
        <v>Lista</v>
      </c>
      <c r="L60" s="702">
        <f t="shared" si="180"/>
        <v>0.05</v>
      </c>
      <c r="M60" s="423" t="s">
        <v>893</v>
      </c>
      <c r="N60" s="121">
        <f t="shared" si="181"/>
        <v>81272</v>
      </c>
      <c r="O60" s="416">
        <f t="shared" si="13"/>
        <v>136622.29560000001</v>
      </c>
      <c r="P60" s="113">
        <f t="shared" si="14"/>
        <v>0</v>
      </c>
      <c r="Q60" s="116">
        <f t="shared" si="182"/>
        <v>0</v>
      </c>
      <c r="R60" s="117">
        <f t="shared" si="183"/>
        <v>0</v>
      </c>
      <c r="S60" s="114">
        <f t="shared" si="17"/>
        <v>-136622.29560000001</v>
      </c>
      <c r="T60" s="413">
        <f t="shared" si="18"/>
        <v>0</v>
      </c>
      <c r="U60" s="100">
        <f t="shared" si="184"/>
        <v>0</v>
      </c>
      <c r="V60" s="113">
        <f t="shared" si="20"/>
        <v>0</v>
      </c>
      <c r="W60" s="116">
        <f t="shared" si="21"/>
        <v>0</v>
      </c>
      <c r="X60" s="116">
        <f t="shared" si="185"/>
        <v>36151.82</v>
      </c>
      <c r="Y60" s="116">
        <f t="shared" si="186"/>
        <v>36151.82</v>
      </c>
      <c r="Z60" s="116">
        <f t="shared" si="24"/>
        <v>36151.82</v>
      </c>
      <c r="AA60" s="413" t="e">
        <f t="shared" si="25"/>
        <v>#DIV/0!</v>
      </c>
      <c r="AB60" s="114">
        <f t="shared" si="187"/>
        <v>173460.53</v>
      </c>
      <c r="AC60" s="121">
        <f t="shared" si="27"/>
        <v>290594.08939575002</v>
      </c>
      <c r="AD60" s="113">
        <f t="shared" si="28"/>
        <v>83808.509999999995</v>
      </c>
      <c r="AE60" s="116">
        <f t="shared" si="188"/>
        <v>0</v>
      </c>
      <c r="AF60" s="117">
        <f t="shared" si="189"/>
        <v>83808.509999999995</v>
      </c>
      <c r="AG60" s="114">
        <f t="shared" si="31"/>
        <v>-206785.57939575001</v>
      </c>
      <c r="AH60" s="97">
        <f t="shared" si="32"/>
        <v>0.28840404212717519</v>
      </c>
      <c r="AI60" s="839">
        <f t="shared" si="33"/>
        <v>427216.38499575004</v>
      </c>
      <c r="AJ60" s="114">
        <f t="shared" si="190"/>
        <v>59806.28</v>
      </c>
      <c r="AK60" s="116">
        <f t="shared" ref="AK60:AL60" si="293">SUM(AD60,W60,P60)</f>
        <v>83808.509999999995</v>
      </c>
      <c r="AL60" s="116">
        <f t="shared" si="293"/>
        <v>36151.82</v>
      </c>
      <c r="AM60" s="116">
        <f t="shared" si="36"/>
        <v>156112.15</v>
      </c>
      <c r="AN60" s="116">
        <f t="shared" si="37"/>
        <v>96305.87</v>
      </c>
      <c r="AO60" s="938">
        <f t="shared" si="38"/>
        <v>2.6102969454043956</v>
      </c>
      <c r="AP60" s="845">
        <f t="shared" si="192"/>
        <v>0</v>
      </c>
      <c r="AQ60" s="140">
        <f t="shared" si="40"/>
        <v>40867.320000000007</v>
      </c>
      <c r="AR60" s="123">
        <f t="shared" si="193"/>
        <v>40616.589999999997</v>
      </c>
      <c r="AS60" s="148">
        <f t="shared" si="194"/>
        <v>81483.91</v>
      </c>
      <c r="AT60" s="845">
        <f t="shared" si="195"/>
        <v>75261.899999999994</v>
      </c>
      <c r="AU60" s="140">
        <f t="shared" si="44"/>
        <v>87899.25</v>
      </c>
      <c r="AV60" s="326">
        <f t="shared" si="196"/>
        <v>0</v>
      </c>
      <c r="AW60" s="333">
        <f t="shared" si="197"/>
        <v>87899.25</v>
      </c>
      <c r="AX60" s="939">
        <f t="shared" si="198"/>
        <v>0</v>
      </c>
      <c r="AY60" s="123">
        <f t="shared" si="48"/>
        <v>20372.400000000001</v>
      </c>
      <c r="AZ60" s="123">
        <f t="shared" si="199"/>
        <v>0</v>
      </c>
      <c r="BA60" s="125">
        <f t="shared" si="200"/>
        <v>20372.400000000001</v>
      </c>
      <c r="BB60" s="940">
        <f t="shared" si="51"/>
        <v>149138.97</v>
      </c>
      <c r="BC60" s="116">
        <f t="shared" si="52"/>
        <v>40616.589999999997</v>
      </c>
      <c r="BD60" s="117">
        <f t="shared" si="53"/>
        <v>189755.56</v>
      </c>
      <c r="BE60" s="114">
        <f t="shared" si="54"/>
        <v>232947.47999999998</v>
      </c>
      <c r="BF60" s="116">
        <f t="shared" ref="BF60:BG60" si="294">SUM(BC60,AL60)</f>
        <v>76768.41</v>
      </c>
      <c r="BG60" s="119">
        <f t="shared" si="294"/>
        <v>345867.70999999996</v>
      </c>
      <c r="BH60" s="845">
        <f t="shared" si="202"/>
        <v>46472.35</v>
      </c>
      <c r="BI60" s="140">
        <f t="shared" si="57"/>
        <v>891248.79999999993</v>
      </c>
      <c r="BJ60" s="326">
        <f t="shared" si="203"/>
        <v>32168.14</v>
      </c>
      <c r="BK60" s="333">
        <f t="shared" si="204"/>
        <v>923416.94</v>
      </c>
      <c r="BL60" s="939">
        <f t="shared" si="205"/>
        <v>0</v>
      </c>
      <c r="BM60" s="123">
        <f t="shared" si="61"/>
        <v>155253.98000000001</v>
      </c>
      <c r="BN60" s="123">
        <f t="shared" si="206"/>
        <v>0</v>
      </c>
      <c r="BO60" s="123">
        <f t="shared" si="207"/>
        <v>155253.98000000001</v>
      </c>
      <c r="BP60" s="332">
        <f t="shared" si="208"/>
        <v>33166.879999999997</v>
      </c>
      <c r="BQ60" s="140">
        <f t="shared" si="65"/>
        <v>1973523.19</v>
      </c>
      <c r="BR60" s="326">
        <f t="shared" si="209"/>
        <v>40616.589999999997</v>
      </c>
      <c r="BS60" s="333">
        <f t="shared" si="210"/>
        <v>2014139.78</v>
      </c>
      <c r="BT60" s="140">
        <f t="shared" ref="BT60:BV60" si="295">SUM(BQ60,BM60,BI60)</f>
        <v>3020025.9699999997</v>
      </c>
      <c r="BU60" s="326">
        <f t="shared" si="295"/>
        <v>72784.73</v>
      </c>
      <c r="BV60" s="333">
        <f t="shared" si="295"/>
        <v>3092810.7</v>
      </c>
      <c r="BW60" s="845">
        <f t="shared" si="212"/>
        <v>0</v>
      </c>
      <c r="BX60" s="140">
        <f t="shared" si="70"/>
        <v>48258.240000000005</v>
      </c>
      <c r="BY60" s="123">
        <f t="shared" si="213"/>
        <v>45839.5</v>
      </c>
      <c r="BZ60" s="148">
        <f t="shared" si="214"/>
        <v>94097.74</v>
      </c>
      <c r="CA60" s="939">
        <f t="shared" si="215"/>
        <v>0</v>
      </c>
      <c r="CB60" s="941">
        <f t="shared" si="216"/>
        <v>59806.28</v>
      </c>
    </row>
    <row r="61" spans="1:80" ht="13">
      <c r="A61" s="463">
        <f t="shared" si="170"/>
        <v>112011642</v>
      </c>
      <c r="B61" s="501">
        <f t="shared" si="235"/>
        <v>1</v>
      </c>
      <c r="C61" s="699" t="str">
        <f t="shared" si="171"/>
        <v>Lista</v>
      </c>
      <c r="D61" s="558">
        <f t="shared" si="172"/>
        <v>0.09</v>
      </c>
      <c r="E61" s="715">
        <f t="shared" si="173"/>
        <v>0</v>
      </c>
      <c r="F61" s="936">
        <f t="shared" si="174"/>
        <v>1</v>
      </c>
      <c r="G61" s="699" t="str">
        <f t="shared" si="175"/>
        <v>Lista</v>
      </c>
      <c r="H61" s="699">
        <f t="shared" si="176"/>
        <v>0.09</v>
      </c>
      <c r="I61" s="702">
        <f t="shared" si="177"/>
        <v>0</v>
      </c>
      <c r="J61" s="837">
        <f t="shared" si="178"/>
        <v>71</v>
      </c>
      <c r="K61" s="700" t="str">
        <f t="shared" si="179"/>
        <v>Lista</v>
      </c>
      <c r="L61" s="702">
        <f t="shared" si="180"/>
        <v>0.05</v>
      </c>
      <c r="M61" s="423" t="s">
        <v>894</v>
      </c>
      <c r="N61" s="121">
        <f t="shared" si="181"/>
        <v>0</v>
      </c>
      <c r="O61" s="416">
        <f t="shared" si="13"/>
        <v>0</v>
      </c>
      <c r="P61" s="113">
        <f t="shared" si="14"/>
        <v>0</v>
      </c>
      <c r="Q61" s="116">
        <f t="shared" si="182"/>
        <v>0</v>
      </c>
      <c r="R61" s="117">
        <f t="shared" si="183"/>
        <v>0</v>
      </c>
      <c r="S61" s="114">
        <f t="shared" si="17"/>
        <v>0</v>
      </c>
      <c r="T61" s="413" t="str">
        <f t="shared" si="18"/>
        <v/>
      </c>
      <c r="U61" s="100">
        <f t="shared" si="184"/>
        <v>0</v>
      </c>
      <c r="V61" s="113">
        <f t="shared" si="20"/>
        <v>0</v>
      </c>
      <c r="W61" s="116">
        <f t="shared" si="21"/>
        <v>39278.620000000003</v>
      </c>
      <c r="X61" s="116">
        <f t="shared" si="185"/>
        <v>0</v>
      </c>
      <c r="Y61" s="116">
        <f t="shared" si="186"/>
        <v>39278.620000000003</v>
      </c>
      <c r="Z61" s="116">
        <f t="shared" si="24"/>
        <v>39278.620000000003</v>
      </c>
      <c r="AA61" s="413" t="e">
        <f t="shared" si="25"/>
        <v>#DIV/0!</v>
      </c>
      <c r="AB61" s="114">
        <f t="shared" si="187"/>
        <v>0</v>
      </c>
      <c r="AC61" s="121">
        <f t="shared" si="27"/>
        <v>0</v>
      </c>
      <c r="AD61" s="113">
        <f t="shared" si="28"/>
        <v>64100</v>
      </c>
      <c r="AE61" s="116">
        <f t="shared" si="188"/>
        <v>0</v>
      </c>
      <c r="AF61" s="117">
        <f t="shared" si="189"/>
        <v>64100</v>
      </c>
      <c r="AG61" s="114">
        <f t="shared" si="31"/>
        <v>64100</v>
      </c>
      <c r="AH61" s="97" t="e">
        <f t="shared" si="32"/>
        <v>#DIV/0!</v>
      </c>
      <c r="AI61" s="839">
        <f t="shared" si="33"/>
        <v>0</v>
      </c>
      <c r="AJ61" s="114">
        <f t="shared" si="190"/>
        <v>118419.74</v>
      </c>
      <c r="AK61" s="116">
        <f t="shared" ref="AK61:AL61" si="296">SUM(AD61,W61,P61)</f>
        <v>103378.62</v>
      </c>
      <c r="AL61" s="116">
        <f t="shared" si="296"/>
        <v>0</v>
      </c>
      <c r="AM61" s="116">
        <f t="shared" si="36"/>
        <v>142657.24</v>
      </c>
      <c r="AN61" s="116">
        <f t="shared" si="37"/>
        <v>24237.499999999985</v>
      </c>
      <c r="AO61" s="938">
        <f t="shared" si="38"/>
        <v>1.204674490925246</v>
      </c>
      <c r="AP61" s="845">
        <f t="shared" si="192"/>
        <v>0</v>
      </c>
      <c r="AQ61" s="140">
        <f t="shared" si="40"/>
        <v>50093.7</v>
      </c>
      <c r="AR61" s="123">
        <f t="shared" si="193"/>
        <v>0</v>
      </c>
      <c r="AS61" s="148">
        <f t="shared" si="194"/>
        <v>50093.7</v>
      </c>
      <c r="AT61" s="845">
        <f t="shared" si="195"/>
        <v>0</v>
      </c>
      <c r="AU61" s="140">
        <f t="shared" si="44"/>
        <v>329466.09999999998</v>
      </c>
      <c r="AV61" s="326">
        <f t="shared" si="196"/>
        <v>37446.019999999997</v>
      </c>
      <c r="AW61" s="333">
        <f t="shared" si="197"/>
        <v>366912.12</v>
      </c>
      <c r="AX61" s="939">
        <f t="shared" si="198"/>
        <v>0</v>
      </c>
      <c r="AY61" s="123">
        <f t="shared" si="48"/>
        <v>0</v>
      </c>
      <c r="AZ61" s="123">
        <f t="shared" si="199"/>
        <v>0</v>
      </c>
      <c r="BA61" s="125">
        <f t="shared" si="200"/>
        <v>0</v>
      </c>
      <c r="BB61" s="940">
        <f t="shared" si="51"/>
        <v>379559.8</v>
      </c>
      <c r="BC61" s="116">
        <f t="shared" si="52"/>
        <v>37446.019999999997</v>
      </c>
      <c r="BD61" s="117">
        <f t="shared" si="53"/>
        <v>417005.82</v>
      </c>
      <c r="BE61" s="114">
        <f t="shared" si="54"/>
        <v>482938.42</v>
      </c>
      <c r="BF61" s="116">
        <f t="shared" ref="BF61:BG61" si="297">SUM(BC61,AL61)</f>
        <v>37446.019999999997</v>
      </c>
      <c r="BG61" s="119">
        <f t="shared" si="297"/>
        <v>559663.06000000006</v>
      </c>
      <c r="BH61" s="845">
        <f t="shared" si="202"/>
        <v>0</v>
      </c>
      <c r="BI61" s="140">
        <f t="shared" si="57"/>
        <v>82988.61</v>
      </c>
      <c r="BJ61" s="326">
        <f t="shared" si="203"/>
        <v>0</v>
      </c>
      <c r="BK61" s="333">
        <f t="shared" si="204"/>
        <v>82988.61</v>
      </c>
      <c r="BL61" s="939">
        <f t="shared" si="205"/>
        <v>52239.8</v>
      </c>
      <c r="BM61" s="123">
        <f t="shared" si="61"/>
        <v>199353.09</v>
      </c>
      <c r="BN61" s="123">
        <f t="shared" si="206"/>
        <v>0</v>
      </c>
      <c r="BO61" s="123">
        <f t="shared" si="207"/>
        <v>199353.09</v>
      </c>
      <c r="BP61" s="332">
        <f t="shared" si="208"/>
        <v>0</v>
      </c>
      <c r="BQ61" s="140">
        <f t="shared" si="65"/>
        <v>77801.45</v>
      </c>
      <c r="BR61" s="326">
        <f t="shared" si="209"/>
        <v>0</v>
      </c>
      <c r="BS61" s="333">
        <f t="shared" si="210"/>
        <v>77801.45</v>
      </c>
      <c r="BT61" s="140">
        <f t="shared" ref="BT61:BV61" si="298">SUM(BQ61,BM61,BI61)</f>
        <v>360143.14999999997</v>
      </c>
      <c r="BU61" s="326">
        <f t="shared" si="298"/>
        <v>0</v>
      </c>
      <c r="BV61" s="333">
        <f t="shared" si="298"/>
        <v>360143.14999999997</v>
      </c>
      <c r="BW61" s="845">
        <f t="shared" si="212"/>
        <v>56396.4</v>
      </c>
      <c r="BX61" s="140">
        <f t="shared" si="70"/>
        <v>-25885.25</v>
      </c>
      <c r="BY61" s="123">
        <f t="shared" si="213"/>
        <v>0</v>
      </c>
      <c r="BZ61" s="148">
        <f t="shared" si="214"/>
        <v>-25885.25</v>
      </c>
      <c r="CA61" s="939">
        <f t="shared" si="215"/>
        <v>21487.64</v>
      </c>
      <c r="CB61" s="941">
        <f t="shared" si="216"/>
        <v>40535.71</v>
      </c>
    </row>
    <row r="62" spans="1:80" ht="13">
      <c r="A62" s="463">
        <f t="shared" si="170"/>
        <v>112010028</v>
      </c>
      <c r="B62" s="501" t="e">
        <f t="shared" si="235"/>
        <v>#N/A</v>
      </c>
      <c r="C62" s="699" t="str">
        <f t="shared" si="171"/>
        <v/>
      </c>
      <c r="D62" s="558" t="str">
        <f t="shared" si="172"/>
        <v/>
      </c>
      <c r="E62" s="715" t="str">
        <f t="shared" si="173"/>
        <v/>
      </c>
      <c r="F62" s="936">
        <f t="shared" si="174"/>
        <v>1</v>
      </c>
      <c r="G62" s="699" t="str">
        <f t="shared" si="175"/>
        <v>Lista</v>
      </c>
      <c r="H62" s="699" t="str">
        <f t="shared" si="176"/>
        <v/>
      </c>
      <c r="I62" s="702" t="str">
        <f t="shared" si="177"/>
        <v/>
      </c>
      <c r="J62" s="837">
        <f t="shared" si="178"/>
        <v>71</v>
      </c>
      <c r="K62" s="700" t="str">
        <f t="shared" si="179"/>
        <v>Lista</v>
      </c>
      <c r="L62" s="702">
        <f t="shared" si="180"/>
        <v>0.05</v>
      </c>
      <c r="M62" s="423" t="s">
        <v>895</v>
      </c>
      <c r="N62" s="121">
        <f t="shared" si="181"/>
        <v>0</v>
      </c>
      <c r="O62" s="416">
        <f t="shared" si="13"/>
        <v>0</v>
      </c>
      <c r="P62" s="113" t="e">
        <f t="shared" si="14"/>
        <v>#VALUE!</v>
      </c>
      <c r="Q62" s="116" t="str">
        <f t="shared" si="182"/>
        <v/>
      </c>
      <c r="R62" s="117">
        <f t="shared" si="183"/>
        <v>0</v>
      </c>
      <c r="S62" s="114">
        <f t="shared" si="17"/>
        <v>0</v>
      </c>
      <c r="T62" s="413" t="str">
        <f t="shared" si="18"/>
        <v/>
      </c>
      <c r="U62" s="100">
        <f t="shared" si="184"/>
        <v>0</v>
      </c>
      <c r="V62" s="113">
        <f t="shared" si="20"/>
        <v>0</v>
      </c>
      <c r="W62" s="116" t="e">
        <f t="shared" si="21"/>
        <v>#VALUE!</v>
      </c>
      <c r="X62" s="116" t="str">
        <f t="shared" si="185"/>
        <v/>
      </c>
      <c r="Y62" s="116">
        <f t="shared" si="186"/>
        <v>0</v>
      </c>
      <c r="Z62" s="116">
        <f t="shared" si="24"/>
        <v>0</v>
      </c>
      <c r="AA62" s="413" t="e">
        <f t="shared" si="25"/>
        <v>#DIV/0!</v>
      </c>
      <c r="AB62" s="114">
        <f t="shared" si="187"/>
        <v>0</v>
      </c>
      <c r="AC62" s="121">
        <f t="shared" si="27"/>
        <v>0</v>
      </c>
      <c r="AD62" s="113" t="e">
        <f t="shared" si="28"/>
        <v>#VALUE!</v>
      </c>
      <c r="AE62" s="116" t="str">
        <f t="shared" si="188"/>
        <v/>
      </c>
      <c r="AF62" s="117">
        <f t="shared" si="189"/>
        <v>0</v>
      </c>
      <c r="AG62" s="114">
        <f t="shared" si="31"/>
        <v>0</v>
      </c>
      <c r="AH62" s="97" t="e">
        <f t="shared" si="32"/>
        <v>#DIV/0!</v>
      </c>
      <c r="AI62" s="839">
        <f t="shared" si="33"/>
        <v>0</v>
      </c>
      <c r="AJ62" s="114">
        <f t="shared" si="190"/>
        <v>1250000</v>
      </c>
      <c r="AK62" s="116" t="e">
        <f t="shared" ref="AK62:AL62" si="299">SUM(AD62,W62,P62)</f>
        <v>#VALUE!</v>
      </c>
      <c r="AL62" s="116">
        <f t="shared" si="299"/>
        <v>0</v>
      </c>
      <c r="AM62" s="116">
        <f t="shared" si="36"/>
        <v>0</v>
      </c>
      <c r="AN62" s="116">
        <f t="shared" si="37"/>
        <v>-1250000</v>
      </c>
      <c r="AO62" s="938">
        <f t="shared" si="38"/>
        <v>0</v>
      </c>
      <c r="AP62" s="845">
        <f t="shared" si="192"/>
        <v>0</v>
      </c>
      <c r="AQ62" s="140" t="e">
        <f t="shared" si="40"/>
        <v>#VALUE!</v>
      </c>
      <c r="AR62" s="123" t="str">
        <f t="shared" si="193"/>
        <v/>
      </c>
      <c r="AS62" s="148">
        <f t="shared" si="194"/>
        <v>0</v>
      </c>
      <c r="AT62" s="845">
        <f t="shared" si="195"/>
        <v>0</v>
      </c>
      <c r="AU62" s="140" t="e">
        <f t="shared" si="44"/>
        <v>#VALUE!</v>
      </c>
      <c r="AV62" s="326" t="str">
        <f t="shared" si="196"/>
        <v/>
      </c>
      <c r="AW62" s="333">
        <f t="shared" si="197"/>
        <v>0</v>
      </c>
      <c r="AX62" s="939">
        <f t="shared" si="198"/>
        <v>0</v>
      </c>
      <c r="AY62" s="123" t="e">
        <f t="shared" si="48"/>
        <v>#VALUE!</v>
      </c>
      <c r="AZ62" s="123" t="str">
        <f t="shared" si="199"/>
        <v/>
      </c>
      <c r="BA62" s="125">
        <f t="shared" si="200"/>
        <v>0</v>
      </c>
      <c r="BB62" s="940" t="e">
        <f t="shared" si="51"/>
        <v>#VALUE!</v>
      </c>
      <c r="BC62" s="116" t="e">
        <f t="shared" si="52"/>
        <v>#VALUE!</v>
      </c>
      <c r="BD62" s="117">
        <f t="shared" si="53"/>
        <v>0</v>
      </c>
      <c r="BE62" s="114" t="e">
        <f t="shared" si="54"/>
        <v>#VALUE!</v>
      </c>
      <c r="BF62" s="116" t="e">
        <f t="shared" ref="BF62:BG62" si="300">SUM(BC62,AL62)</f>
        <v>#VALUE!</v>
      </c>
      <c r="BG62" s="119">
        <f t="shared" si="300"/>
        <v>0</v>
      </c>
      <c r="BH62" s="845">
        <f t="shared" si="202"/>
        <v>0</v>
      </c>
      <c r="BI62" s="140" t="e">
        <f t="shared" si="57"/>
        <v>#VALUE!</v>
      </c>
      <c r="BJ62" s="326" t="str">
        <f t="shared" si="203"/>
        <v/>
      </c>
      <c r="BK62" s="333">
        <f t="shared" si="204"/>
        <v>0</v>
      </c>
      <c r="BL62" s="939">
        <f t="shared" si="205"/>
        <v>0</v>
      </c>
      <c r="BM62" s="123" t="e">
        <f t="shared" si="61"/>
        <v>#VALUE!</v>
      </c>
      <c r="BN62" s="123" t="str">
        <f t="shared" si="206"/>
        <v/>
      </c>
      <c r="BO62" s="123">
        <f t="shared" si="207"/>
        <v>0</v>
      </c>
      <c r="BP62" s="332">
        <f t="shared" si="208"/>
        <v>0</v>
      </c>
      <c r="BQ62" s="140" t="e">
        <f t="shared" si="65"/>
        <v>#VALUE!</v>
      </c>
      <c r="BR62" s="326" t="str">
        <f t="shared" si="209"/>
        <v/>
      </c>
      <c r="BS62" s="333">
        <f t="shared" si="210"/>
        <v>596733.25</v>
      </c>
      <c r="BT62" s="140" t="e">
        <f t="shared" ref="BT62:BV62" si="301">SUM(BQ62,BM62,BI62)</f>
        <v>#VALUE!</v>
      </c>
      <c r="BU62" s="326">
        <f t="shared" si="301"/>
        <v>0</v>
      </c>
      <c r="BV62" s="333">
        <f t="shared" si="301"/>
        <v>596733.25</v>
      </c>
      <c r="BW62" s="845">
        <f t="shared" si="212"/>
        <v>1250000</v>
      </c>
      <c r="BX62" s="140" t="e">
        <f t="shared" si="70"/>
        <v>#VALUE!</v>
      </c>
      <c r="BY62" s="123" t="str">
        <f t="shared" si="213"/>
        <v/>
      </c>
      <c r="BZ62" s="148">
        <f t="shared" si="214"/>
        <v>0</v>
      </c>
      <c r="CA62" s="939">
        <f t="shared" si="215"/>
        <v>0</v>
      </c>
      <c r="CB62" s="941">
        <f t="shared" si="216"/>
        <v>0</v>
      </c>
    </row>
    <row r="63" spans="1:80" ht="13">
      <c r="A63" s="463">
        <f t="shared" si="170"/>
        <v>112012203</v>
      </c>
      <c r="B63" s="501">
        <f t="shared" si="235"/>
        <v>1</v>
      </c>
      <c r="C63" s="699" t="str">
        <f t="shared" si="171"/>
        <v>Lista</v>
      </c>
      <c r="D63" s="558">
        <f t="shared" si="172"/>
        <v>0.09</v>
      </c>
      <c r="E63" s="715">
        <f t="shared" si="173"/>
        <v>0</v>
      </c>
      <c r="F63" s="936">
        <f t="shared" si="174"/>
        <v>1</v>
      </c>
      <c r="G63" s="699" t="str">
        <f t="shared" si="175"/>
        <v>Lista</v>
      </c>
      <c r="H63" s="699">
        <f t="shared" si="176"/>
        <v>0.09</v>
      </c>
      <c r="I63" s="702">
        <f t="shared" si="177"/>
        <v>0</v>
      </c>
      <c r="J63" s="837">
        <f t="shared" si="178"/>
        <v>71</v>
      </c>
      <c r="K63" s="700" t="str">
        <f t="shared" si="179"/>
        <v>Lista</v>
      </c>
      <c r="L63" s="702">
        <f t="shared" si="180"/>
        <v>0.05</v>
      </c>
      <c r="M63" s="423" t="s">
        <v>896</v>
      </c>
      <c r="N63" s="121">
        <f t="shared" si="181"/>
        <v>343432.8</v>
      </c>
      <c r="O63" s="416">
        <f t="shared" si="13"/>
        <v>577327.70843999996</v>
      </c>
      <c r="P63" s="113">
        <f t="shared" si="14"/>
        <v>443456.93</v>
      </c>
      <c r="Q63" s="116">
        <f t="shared" si="182"/>
        <v>0</v>
      </c>
      <c r="R63" s="117">
        <f t="shared" si="183"/>
        <v>443456.93</v>
      </c>
      <c r="S63" s="114">
        <f t="shared" si="17"/>
        <v>-133870.77843999997</v>
      </c>
      <c r="T63" s="413">
        <f t="shared" si="18"/>
        <v>0.76811994906370795</v>
      </c>
      <c r="U63" s="100">
        <f t="shared" si="184"/>
        <v>1063706.51</v>
      </c>
      <c r="V63" s="113">
        <f t="shared" si="20"/>
        <v>1926079.97031975</v>
      </c>
      <c r="W63" s="116">
        <f t="shared" si="21"/>
        <v>1090801.1100000001</v>
      </c>
      <c r="X63" s="116">
        <f t="shared" si="185"/>
        <v>0</v>
      </c>
      <c r="Y63" s="116">
        <f t="shared" si="186"/>
        <v>1090801.1100000001</v>
      </c>
      <c r="Z63" s="116">
        <f t="shared" si="24"/>
        <v>-835278.86031974992</v>
      </c>
      <c r="AA63" s="413">
        <f t="shared" si="25"/>
        <v>0.56633220157463937</v>
      </c>
      <c r="AB63" s="114">
        <f t="shared" si="187"/>
        <v>526052.27</v>
      </c>
      <c r="AC63" s="121">
        <f t="shared" si="27"/>
        <v>881282.21662425005</v>
      </c>
      <c r="AD63" s="113">
        <f t="shared" si="28"/>
        <v>723576.96</v>
      </c>
      <c r="AE63" s="116">
        <f t="shared" si="188"/>
        <v>0</v>
      </c>
      <c r="AF63" s="117">
        <f t="shared" si="189"/>
        <v>723576.96</v>
      </c>
      <c r="AG63" s="114">
        <f t="shared" si="31"/>
        <v>-157705.25662425009</v>
      </c>
      <c r="AH63" s="97">
        <f t="shared" si="32"/>
        <v>0.82105022244935366</v>
      </c>
      <c r="AI63" s="839">
        <f t="shared" si="33"/>
        <v>3384689.8953840001</v>
      </c>
      <c r="AJ63" s="114">
        <f t="shared" si="190"/>
        <v>1697561.8</v>
      </c>
      <c r="AK63" s="116">
        <f t="shared" ref="AK63:AL63" si="302">SUM(AD63,W63,P63)</f>
        <v>2257835</v>
      </c>
      <c r="AL63" s="116">
        <f t="shared" si="302"/>
        <v>0</v>
      </c>
      <c r="AM63" s="116">
        <f t="shared" si="36"/>
        <v>3348636.1100000003</v>
      </c>
      <c r="AN63" s="116">
        <f t="shared" si="37"/>
        <v>1651074.3100000003</v>
      </c>
      <c r="AO63" s="938">
        <f t="shared" si="38"/>
        <v>1.9726151413162103</v>
      </c>
      <c r="AP63" s="845">
        <f t="shared" si="192"/>
        <v>168963.64</v>
      </c>
      <c r="AQ63" s="140">
        <f t="shared" si="40"/>
        <v>85831.92</v>
      </c>
      <c r="AR63" s="123">
        <f t="shared" si="193"/>
        <v>0</v>
      </c>
      <c r="AS63" s="148">
        <f t="shared" si="194"/>
        <v>85831.92</v>
      </c>
      <c r="AT63" s="845">
        <f t="shared" si="195"/>
        <v>396372.76</v>
      </c>
      <c r="AU63" s="140">
        <f t="shared" si="44"/>
        <v>689265.84</v>
      </c>
      <c r="AV63" s="326">
        <f t="shared" si="196"/>
        <v>0</v>
      </c>
      <c r="AW63" s="333">
        <f t="shared" si="197"/>
        <v>689265.84</v>
      </c>
      <c r="AX63" s="939">
        <f t="shared" si="198"/>
        <v>473173.37</v>
      </c>
      <c r="AY63" s="123">
        <f t="shared" si="48"/>
        <v>0</v>
      </c>
      <c r="AZ63" s="123">
        <f t="shared" si="199"/>
        <v>0</v>
      </c>
      <c r="BA63" s="125">
        <f t="shared" si="200"/>
        <v>0</v>
      </c>
      <c r="BB63" s="940">
        <f t="shared" si="51"/>
        <v>775097.76</v>
      </c>
      <c r="BC63" s="116">
        <f t="shared" si="52"/>
        <v>0</v>
      </c>
      <c r="BD63" s="117">
        <f t="shared" si="53"/>
        <v>775097.76</v>
      </c>
      <c r="BE63" s="114">
        <f t="shared" si="54"/>
        <v>3032932.76</v>
      </c>
      <c r="BF63" s="116">
        <f t="shared" ref="BF63:BG63" si="303">SUM(BC63,AL63)</f>
        <v>0</v>
      </c>
      <c r="BG63" s="119">
        <f t="shared" si="303"/>
        <v>4123733.87</v>
      </c>
      <c r="BH63" s="845">
        <f t="shared" si="202"/>
        <v>423453.01</v>
      </c>
      <c r="BI63" s="140">
        <f t="shared" si="57"/>
        <v>559303.64</v>
      </c>
      <c r="BJ63" s="326">
        <f t="shared" si="203"/>
        <v>0</v>
      </c>
      <c r="BK63" s="333">
        <f t="shared" si="204"/>
        <v>559303.64</v>
      </c>
      <c r="BL63" s="939">
        <f t="shared" si="205"/>
        <v>218349.48</v>
      </c>
      <c r="BM63" s="123">
        <f t="shared" si="61"/>
        <v>94416</v>
      </c>
      <c r="BN63" s="123">
        <f t="shared" si="206"/>
        <v>0</v>
      </c>
      <c r="BO63" s="123">
        <f t="shared" si="207"/>
        <v>94416</v>
      </c>
      <c r="BP63" s="332">
        <f t="shared" si="208"/>
        <v>918325.81</v>
      </c>
      <c r="BQ63" s="140">
        <f t="shared" si="65"/>
        <v>215878.43000000002</v>
      </c>
      <c r="BR63" s="326">
        <f t="shared" si="209"/>
        <v>22944.77</v>
      </c>
      <c r="BS63" s="333">
        <f t="shared" si="210"/>
        <v>238823.2</v>
      </c>
      <c r="BT63" s="140">
        <f t="shared" ref="BT63:BV63" si="304">SUM(BQ63,BM63,BI63)</f>
        <v>869598.07000000007</v>
      </c>
      <c r="BU63" s="326">
        <f t="shared" si="304"/>
        <v>22944.77</v>
      </c>
      <c r="BV63" s="333">
        <f t="shared" si="304"/>
        <v>892542.84000000008</v>
      </c>
      <c r="BW63" s="845">
        <f t="shared" si="212"/>
        <v>230071.17</v>
      </c>
      <c r="BX63" s="140">
        <f t="shared" si="70"/>
        <v>199850.1</v>
      </c>
      <c r="BY63" s="123">
        <f t="shared" si="213"/>
        <v>24977.119999999999</v>
      </c>
      <c r="BZ63" s="148">
        <f t="shared" si="214"/>
        <v>224827.22</v>
      </c>
      <c r="CA63" s="939">
        <f t="shared" si="215"/>
        <v>576350.5</v>
      </c>
      <c r="CB63" s="941">
        <f t="shared" si="216"/>
        <v>891140.13</v>
      </c>
    </row>
    <row r="64" spans="1:80" ht="13">
      <c r="A64" s="463">
        <f t="shared" si="170"/>
        <v>112014049</v>
      </c>
      <c r="B64" s="945">
        <f t="shared" si="235"/>
        <v>0</v>
      </c>
      <c r="C64" s="699" t="str">
        <f t="shared" si="171"/>
        <v/>
      </c>
      <c r="D64" s="558" t="str">
        <f t="shared" si="172"/>
        <v/>
      </c>
      <c r="E64" s="715" t="str">
        <f t="shared" si="173"/>
        <v/>
      </c>
      <c r="F64" s="936">
        <f t="shared" si="174"/>
        <v>0</v>
      </c>
      <c r="G64" s="699" t="str">
        <f t="shared" si="175"/>
        <v/>
      </c>
      <c r="H64" s="699" t="str">
        <f t="shared" si="176"/>
        <v/>
      </c>
      <c r="I64" s="702" t="str">
        <f t="shared" si="177"/>
        <v/>
      </c>
      <c r="J64" s="837">
        <f t="shared" si="178"/>
        <v>0</v>
      </c>
      <c r="K64" s="700" t="str">
        <f t="shared" si="179"/>
        <v/>
      </c>
      <c r="L64" s="702" t="str">
        <f t="shared" si="180"/>
        <v/>
      </c>
      <c r="M64" s="423" t="s">
        <v>897</v>
      </c>
      <c r="N64" s="121">
        <f t="shared" si="181"/>
        <v>372037.84</v>
      </c>
      <c r="O64" s="416">
        <f t="shared" si="13"/>
        <v>625414.21093200007</v>
      </c>
      <c r="P64" s="113" t="e">
        <f t="shared" si="14"/>
        <v>#VALUE!</v>
      </c>
      <c r="Q64" s="116" t="str">
        <f t="shared" si="182"/>
        <v/>
      </c>
      <c r="R64" s="117">
        <f t="shared" si="183"/>
        <v>392411.6</v>
      </c>
      <c r="S64" s="114">
        <f t="shared" si="17"/>
        <v>-233002.6109320001</v>
      </c>
      <c r="T64" s="413">
        <f t="shared" si="18"/>
        <v>0.62744273017912933</v>
      </c>
      <c r="U64" s="100">
        <f t="shared" si="184"/>
        <v>42057.43</v>
      </c>
      <c r="V64" s="113">
        <f t="shared" si="20"/>
        <v>76154.439936749986</v>
      </c>
      <c r="W64" s="116" t="e">
        <f t="shared" si="21"/>
        <v>#VALUE!</v>
      </c>
      <c r="X64" s="116" t="str">
        <f t="shared" si="185"/>
        <v/>
      </c>
      <c r="Y64" s="116">
        <f t="shared" si="186"/>
        <v>0</v>
      </c>
      <c r="Z64" s="116">
        <f t="shared" si="24"/>
        <v>-76154.439936749986</v>
      </c>
      <c r="AA64" s="413">
        <f t="shared" si="25"/>
        <v>0</v>
      </c>
      <c r="AB64" s="114">
        <f t="shared" si="187"/>
        <v>0</v>
      </c>
      <c r="AC64" s="121">
        <f t="shared" si="27"/>
        <v>0</v>
      </c>
      <c r="AD64" s="113" t="e">
        <f t="shared" si="28"/>
        <v>#VALUE!</v>
      </c>
      <c r="AE64" s="116" t="str">
        <f t="shared" si="188"/>
        <v/>
      </c>
      <c r="AF64" s="117">
        <f t="shared" si="189"/>
        <v>199798.06</v>
      </c>
      <c r="AG64" s="114">
        <f t="shared" si="31"/>
        <v>199798.06</v>
      </c>
      <c r="AH64" s="97" t="e">
        <f t="shared" si="32"/>
        <v>#DIV/0!</v>
      </c>
      <c r="AI64" s="839">
        <f t="shared" si="33"/>
        <v>701568.65086875006</v>
      </c>
      <c r="AJ64" s="114">
        <f t="shared" si="190"/>
        <v>1043248.67</v>
      </c>
      <c r="AK64" s="116" t="e">
        <f t="shared" ref="AK64:AL64" si="305">SUM(AD64,W64,P64)</f>
        <v>#VALUE!</v>
      </c>
      <c r="AL64" s="116">
        <f t="shared" si="305"/>
        <v>0</v>
      </c>
      <c r="AM64" s="116">
        <f t="shared" si="36"/>
        <v>592209.65999999992</v>
      </c>
      <c r="AN64" s="116">
        <f t="shared" si="37"/>
        <v>-451039.01000000013</v>
      </c>
      <c r="AO64" s="938">
        <f t="shared" si="38"/>
        <v>0.56765915646937737</v>
      </c>
      <c r="AP64" s="845">
        <f t="shared" si="192"/>
        <v>190477.81</v>
      </c>
      <c r="AQ64" s="140" t="e">
        <f t="shared" si="40"/>
        <v>#VALUE!</v>
      </c>
      <c r="AR64" s="123" t="str">
        <f t="shared" si="193"/>
        <v/>
      </c>
      <c r="AS64" s="148">
        <f t="shared" si="194"/>
        <v>0</v>
      </c>
      <c r="AT64" s="845">
        <f t="shared" si="195"/>
        <v>134690.85</v>
      </c>
      <c r="AU64" s="140" t="e">
        <f t="shared" si="44"/>
        <v>#VALUE!</v>
      </c>
      <c r="AV64" s="326" t="str">
        <f t="shared" si="196"/>
        <v/>
      </c>
      <c r="AW64" s="333">
        <f t="shared" si="197"/>
        <v>258300.32</v>
      </c>
      <c r="AX64" s="939">
        <f t="shared" si="198"/>
        <v>47659.839999999997</v>
      </c>
      <c r="AY64" s="123" t="e">
        <f t="shared" si="48"/>
        <v>#VALUE!</v>
      </c>
      <c r="AZ64" s="123" t="str">
        <f t="shared" si="199"/>
        <v/>
      </c>
      <c r="BA64" s="125">
        <f t="shared" si="200"/>
        <v>97011.14</v>
      </c>
      <c r="BB64" s="940" t="e">
        <f t="shared" si="51"/>
        <v>#VALUE!</v>
      </c>
      <c r="BC64" s="116" t="e">
        <f t="shared" si="52"/>
        <v>#VALUE!</v>
      </c>
      <c r="BD64" s="117">
        <f t="shared" si="53"/>
        <v>355311.46</v>
      </c>
      <c r="BE64" s="114" t="e">
        <f t="shared" si="54"/>
        <v>#VALUE!</v>
      </c>
      <c r="BF64" s="116" t="e">
        <f t="shared" ref="BF64:BG64" si="306">SUM(BC64,AL64)</f>
        <v>#VALUE!</v>
      </c>
      <c r="BG64" s="119">
        <f t="shared" si="306"/>
        <v>947521.11999999988</v>
      </c>
      <c r="BH64" s="845">
        <f t="shared" si="202"/>
        <v>40325.72</v>
      </c>
      <c r="BI64" s="140" t="e">
        <f t="shared" si="57"/>
        <v>#VALUE!</v>
      </c>
      <c r="BJ64" s="326" t="str">
        <f t="shared" si="203"/>
        <v/>
      </c>
      <c r="BK64" s="333">
        <f t="shared" si="204"/>
        <v>222705.73</v>
      </c>
      <c r="BL64" s="939">
        <f t="shared" si="205"/>
        <v>154425.95000000001</v>
      </c>
      <c r="BM64" s="123" t="e">
        <f t="shared" si="61"/>
        <v>#VALUE!</v>
      </c>
      <c r="BN64" s="123" t="str">
        <f t="shared" si="206"/>
        <v/>
      </c>
      <c r="BO64" s="123">
        <f t="shared" si="207"/>
        <v>370833.4</v>
      </c>
      <c r="BP64" s="332">
        <f t="shared" si="208"/>
        <v>46343.38</v>
      </c>
      <c r="BQ64" s="140" t="e">
        <f t="shared" si="65"/>
        <v>#VALUE!</v>
      </c>
      <c r="BR64" s="326" t="str">
        <f t="shared" si="209"/>
        <v/>
      </c>
      <c r="BS64" s="333">
        <f t="shared" si="210"/>
        <v>493079.54</v>
      </c>
      <c r="BT64" s="140" t="e">
        <f t="shared" ref="BT64:BV64" si="307">SUM(BQ64,BM64,BI64)</f>
        <v>#VALUE!</v>
      </c>
      <c r="BU64" s="326">
        <f t="shared" si="307"/>
        <v>0</v>
      </c>
      <c r="BV64" s="333">
        <f t="shared" si="307"/>
        <v>1086618.67</v>
      </c>
      <c r="BW64" s="845">
        <f t="shared" si="212"/>
        <v>637089.47</v>
      </c>
      <c r="BX64" s="140" t="e">
        <f t="shared" si="70"/>
        <v>#VALUE!</v>
      </c>
      <c r="BY64" s="123" t="str">
        <f t="shared" si="213"/>
        <v/>
      </c>
      <c r="BZ64" s="148">
        <f t="shared" si="214"/>
        <v>161675.4</v>
      </c>
      <c r="CA64" s="939">
        <f t="shared" si="215"/>
        <v>253218.76</v>
      </c>
      <c r="CB64" s="941">
        <f t="shared" si="216"/>
        <v>152940.44</v>
      </c>
    </row>
    <row r="65" spans="1:116" ht="13">
      <c r="A65" s="463">
        <f t="shared" si="170"/>
        <v>112014059</v>
      </c>
      <c r="B65" s="945">
        <f t="shared" si="235"/>
        <v>0</v>
      </c>
      <c r="C65" s="699" t="str">
        <f t="shared" si="171"/>
        <v/>
      </c>
      <c r="D65" s="558" t="str">
        <f t="shared" si="172"/>
        <v/>
      </c>
      <c r="E65" s="715" t="str">
        <f t="shared" si="173"/>
        <v/>
      </c>
      <c r="F65" s="936">
        <f t="shared" si="174"/>
        <v>0</v>
      </c>
      <c r="G65" s="699" t="str">
        <f t="shared" si="175"/>
        <v/>
      </c>
      <c r="H65" s="699" t="str">
        <f t="shared" si="176"/>
        <v/>
      </c>
      <c r="I65" s="702" t="str">
        <f t="shared" si="177"/>
        <v/>
      </c>
      <c r="J65" s="837">
        <f t="shared" si="178"/>
        <v>0</v>
      </c>
      <c r="K65" s="700" t="str">
        <f t="shared" si="179"/>
        <v/>
      </c>
      <c r="L65" s="702" t="str">
        <f t="shared" si="180"/>
        <v/>
      </c>
      <c r="M65" s="423" t="s">
        <v>898</v>
      </c>
      <c r="N65" s="121">
        <f t="shared" si="181"/>
        <v>29485.759999999998</v>
      </c>
      <c r="O65" s="416">
        <f t="shared" si="13"/>
        <v>49567.036847999996</v>
      </c>
      <c r="P65" s="113">
        <f t="shared" si="14"/>
        <v>271954.17</v>
      </c>
      <c r="Q65" s="116">
        <f t="shared" si="182"/>
        <v>0</v>
      </c>
      <c r="R65" s="117">
        <f t="shared" si="183"/>
        <v>271954.17</v>
      </c>
      <c r="S65" s="114">
        <f t="shared" si="17"/>
        <v>222387.13315199999</v>
      </c>
      <c r="T65" s="413">
        <f t="shared" si="18"/>
        <v>5.4865932541814466</v>
      </c>
      <c r="U65" s="100">
        <f t="shared" si="184"/>
        <v>0</v>
      </c>
      <c r="V65" s="113">
        <f t="shared" si="20"/>
        <v>0</v>
      </c>
      <c r="W65" s="116">
        <f t="shared" si="21"/>
        <v>542648.46</v>
      </c>
      <c r="X65" s="116">
        <f t="shared" si="185"/>
        <v>0</v>
      </c>
      <c r="Y65" s="116">
        <f t="shared" si="186"/>
        <v>542648.46</v>
      </c>
      <c r="Z65" s="116">
        <f t="shared" si="24"/>
        <v>542648.46</v>
      </c>
      <c r="AA65" s="413" t="e">
        <f t="shared" si="25"/>
        <v>#DIV/0!</v>
      </c>
      <c r="AB65" s="114">
        <f t="shared" si="187"/>
        <v>219753.51</v>
      </c>
      <c r="AC65" s="121">
        <f t="shared" si="27"/>
        <v>368147.56146525004</v>
      </c>
      <c r="AD65" s="113">
        <f t="shared" si="28"/>
        <v>0</v>
      </c>
      <c r="AE65" s="116">
        <f t="shared" si="188"/>
        <v>0</v>
      </c>
      <c r="AF65" s="117">
        <f t="shared" si="189"/>
        <v>0</v>
      </c>
      <c r="AG65" s="114">
        <f t="shared" si="31"/>
        <v>-368147.56146525004</v>
      </c>
      <c r="AH65" s="97">
        <f t="shared" si="32"/>
        <v>0</v>
      </c>
      <c r="AI65" s="839">
        <f t="shared" si="33"/>
        <v>417714.59831325006</v>
      </c>
      <c r="AJ65" s="114">
        <f t="shared" si="190"/>
        <v>1139744.1399999999</v>
      </c>
      <c r="AK65" s="116">
        <f t="shared" ref="AK65:AL65" si="308">SUM(AD65,W65,P65)</f>
        <v>814602.62999999989</v>
      </c>
      <c r="AL65" s="116">
        <f t="shared" si="308"/>
        <v>0</v>
      </c>
      <c r="AM65" s="116">
        <f t="shared" si="36"/>
        <v>1357251.0899999999</v>
      </c>
      <c r="AN65" s="116">
        <f t="shared" si="37"/>
        <v>217506.94999999995</v>
      </c>
      <c r="AO65" s="938">
        <f t="shared" si="38"/>
        <v>1.1908384016784679</v>
      </c>
      <c r="AP65" s="845">
        <f t="shared" si="192"/>
        <v>294553.49</v>
      </c>
      <c r="AQ65" s="140">
        <f t="shared" si="40"/>
        <v>278387.69</v>
      </c>
      <c r="AR65" s="123">
        <f t="shared" si="193"/>
        <v>0</v>
      </c>
      <c r="AS65" s="148">
        <f t="shared" si="194"/>
        <v>278387.69</v>
      </c>
      <c r="AT65" s="845">
        <f t="shared" si="195"/>
        <v>0</v>
      </c>
      <c r="AU65" s="140">
        <f t="shared" si="44"/>
        <v>72207.22</v>
      </c>
      <c r="AV65" s="326">
        <f t="shared" si="196"/>
        <v>0</v>
      </c>
      <c r="AW65" s="333">
        <f t="shared" si="197"/>
        <v>72207.22</v>
      </c>
      <c r="AX65" s="939">
        <f t="shared" si="198"/>
        <v>168878.58</v>
      </c>
      <c r="AY65" s="123">
        <f t="shared" si="48"/>
        <v>746030.26</v>
      </c>
      <c r="AZ65" s="123">
        <f t="shared" si="199"/>
        <v>31057.599999999999</v>
      </c>
      <c r="BA65" s="125">
        <f t="shared" si="200"/>
        <v>777087.86</v>
      </c>
      <c r="BB65" s="940">
        <f t="shared" si="51"/>
        <v>1096625.17</v>
      </c>
      <c r="BC65" s="116">
        <f t="shared" si="52"/>
        <v>31057.599999999999</v>
      </c>
      <c r="BD65" s="117">
        <f t="shared" si="53"/>
        <v>1127682.77</v>
      </c>
      <c r="BE65" s="114">
        <f t="shared" si="54"/>
        <v>1911227.7999999998</v>
      </c>
      <c r="BF65" s="116">
        <f t="shared" ref="BF65:BG65" si="309">SUM(BC65,AL65)</f>
        <v>31057.599999999999</v>
      </c>
      <c r="BG65" s="119">
        <f t="shared" si="309"/>
        <v>2484933.86</v>
      </c>
      <c r="BH65" s="845">
        <f t="shared" si="202"/>
        <v>152463.5</v>
      </c>
      <c r="BI65" s="140">
        <f t="shared" si="57"/>
        <v>543084.64</v>
      </c>
      <c r="BJ65" s="326">
        <f t="shared" si="203"/>
        <v>0</v>
      </c>
      <c r="BK65" s="333">
        <f t="shared" si="204"/>
        <v>543084.64</v>
      </c>
      <c r="BL65" s="939">
        <f t="shared" si="205"/>
        <v>276749.94</v>
      </c>
      <c r="BM65" s="123">
        <f t="shared" si="61"/>
        <v>293763.71000000002</v>
      </c>
      <c r="BN65" s="123">
        <f t="shared" si="206"/>
        <v>0</v>
      </c>
      <c r="BO65" s="123">
        <f t="shared" si="207"/>
        <v>293763.71000000002</v>
      </c>
      <c r="BP65" s="332">
        <f t="shared" si="208"/>
        <v>251166.02</v>
      </c>
      <c r="BQ65" s="140">
        <f t="shared" si="65"/>
        <v>1010442.5</v>
      </c>
      <c r="BR65" s="326">
        <f t="shared" si="209"/>
        <v>0</v>
      </c>
      <c r="BS65" s="333">
        <f t="shared" si="210"/>
        <v>1010442.5</v>
      </c>
      <c r="BT65" s="140">
        <f t="shared" ref="BT65:BV65" si="310">SUM(BQ65,BM65,BI65)</f>
        <v>1847290.85</v>
      </c>
      <c r="BU65" s="326">
        <f t="shared" si="310"/>
        <v>0</v>
      </c>
      <c r="BV65" s="333">
        <f t="shared" si="310"/>
        <v>1847290.85</v>
      </c>
      <c r="BW65" s="845">
        <f t="shared" si="212"/>
        <v>419754.03</v>
      </c>
      <c r="BX65" s="140">
        <f t="shared" si="70"/>
        <v>373828.86</v>
      </c>
      <c r="BY65" s="123">
        <f t="shared" si="213"/>
        <v>0</v>
      </c>
      <c r="BZ65" s="148">
        <f t="shared" si="214"/>
        <v>373828.86</v>
      </c>
      <c r="CA65" s="939">
        <f t="shared" si="215"/>
        <v>298908.88</v>
      </c>
      <c r="CB65" s="941">
        <f t="shared" si="216"/>
        <v>421081.23</v>
      </c>
    </row>
    <row r="66" spans="1:116" ht="13">
      <c r="A66" s="946" t="s">
        <v>17</v>
      </c>
      <c r="B66" s="947"/>
      <c r="C66" s="947"/>
      <c r="D66" s="947"/>
      <c r="E66" s="947"/>
      <c r="F66" s="947"/>
      <c r="G66" s="947"/>
      <c r="H66" s="947"/>
      <c r="I66" s="947"/>
      <c r="J66" s="947"/>
      <c r="K66" s="947"/>
      <c r="L66" s="947"/>
      <c r="M66" s="948"/>
      <c r="N66" s="949">
        <f t="shared" ref="N66:AN66" si="311">SUM(N2:N65,N72:N164)</f>
        <v>40299031.920000017</v>
      </c>
      <c r="O66" s="949" t="e">
        <f t="shared" si="311"/>
        <v>#VALUE!</v>
      </c>
      <c r="P66" s="949" t="e">
        <f t="shared" si="311"/>
        <v>#VALUE!</v>
      </c>
      <c r="Q66" s="949">
        <f t="shared" si="311"/>
        <v>45440463.280000016</v>
      </c>
      <c r="R66" s="949">
        <f t="shared" si="311"/>
        <v>100382327.52999997</v>
      </c>
      <c r="S66" s="949" t="e">
        <f t="shared" si="311"/>
        <v>#VALUE!</v>
      </c>
      <c r="T66" s="949">
        <f t="shared" si="311"/>
        <v>72.654891558817795</v>
      </c>
      <c r="U66" s="949">
        <f t="shared" si="311"/>
        <v>43526191</v>
      </c>
      <c r="V66" s="949" t="e">
        <f t="shared" si="311"/>
        <v>#VALUE!</v>
      </c>
      <c r="W66" s="949" t="e">
        <f t="shared" si="311"/>
        <v>#VALUE!</v>
      </c>
      <c r="X66" s="949">
        <f t="shared" si="311"/>
        <v>42814293.940000005</v>
      </c>
      <c r="Y66" s="949">
        <f t="shared" si="311"/>
        <v>78685882.570000052</v>
      </c>
      <c r="Z66" s="949" t="e">
        <f t="shared" si="311"/>
        <v>#VALUE!</v>
      </c>
      <c r="AA66" s="949" t="e">
        <f t="shared" si="311"/>
        <v>#VALUE!</v>
      </c>
      <c r="AB66" s="949">
        <f t="shared" si="311"/>
        <v>37466278.520000003</v>
      </c>
      <c r="AC66" s="949" t="e">
        <f t="shared" si="311"/>
        <v>#VALUE!</v>
      </c>
      <c r="AD66" s="949" t="e">
        <f t="shared" si="311"/>
        <v>#VALUE!</v>
      </c>
      <c r="AE66" s="949">
        <f t="shared" si="311"/>
        <v>40130184.579999983</v>
      </c>
      <c r="AF66" s="949">
        <f t="shared" si="311"/>
        <v>80496779.840000004</v>
      </c>
      <c r="AG66" s="949" t="e">
        <f t="shared" si="311"/>
        <v>#VALUE!</v>
      </c>
      <c r="AH66" s="949" t="e">
        <f t="shared" si="311"/>
        <v>#VALUE!</v>
      </c>
      <c r="AI66" s="950" t="e">
        <f t="shared" si="311"/>
        <v>#VALUE!</v>
      </c>
      <c r="AJ66" s="289" t="e">
        <f t="shared" si="311"/>
        <v>#N/A</v>
      </c>
      <c r="AK66" s="949" t="e">
        <f t="shared" si="311"/>
        <v>#VALUE!</v>
      </c>
      <c r="AL66" s="949">
        <f t="shared" si="311"/>
        <v>128384941.79999995</v>
      </c>
      <c r="AM66" s="949">
        <f t="shared" si="311"/>
        <v>338250872.50999993</v>
      </c>
      <c r="AN66" s="949" t="e">
        <f t="shared" si="311"/>
        <v>#N/A</v>
      </c>
      <c r="AO66" s="951" t="str">
        <f>IFERROR(AM66/AJ66,"")</f>
        <v/>
      </c>
      <c r="AP66" s="952">
        <f t="shared" ref="AP66:BA66" si="312">SUM(AP2:AP65,AP72:AP164)</f>
        <v>54467769.710000008</v>
      </c>
      <c r="AQ66" s="949" t="e">
        <f t="shared" si="312"/>
        <v>#VALUE!</v>
      </c>
      <c r="AR66" s="949">
        <f t="shared" si="312"/>
        <v>38637903.230000012</v>
      </c>
      <c r="AS66" s="949">
        <f t="shared" si="312"/>
        <v>71216240.530000016</v>
      </c>
      <c r="AT66" s="949">
        <f t="shared" si="312"/>
        <v>44509564.909999974</v>
      </c>
      <c r="AU66" s="949" t="e">
        <f t="shared" si="312"/>
        <v>#VALUE!</v>
      </c>
      <c r="AV66" s="949">
        <f t="shared" si="312"/>
        <v>46125416.449999996</v>
      </c>
      <c r="AW66" s="949">
        <f t="shared" si="312"/>
        <v>72231843.489999965</v>
      </c>
      <c r="AX66" s="949">
        <f t="shared" si="312"/>
        <v>39806143.800000012</v>
      </c>
      <c r="AY66" s="949" t="e">
        <f t="shared" si="312"/>
        <v>#VALUE!</v>
      </c>
      <c r="AZ66" s="949">
        <f t="shared" si="312"/>
        <v>56593372.060000002</v>
      </c>
      <c r="BA66" s="950">
        <f t="shared" si="312"/>
        <v>79184971.920000017</v>
      </c>
      <c r="BB66" s="284" t="e">
        <f t="shared" si="51"/>
        <v>#VALUE!</v>
      </c>
      <c r="BC66" s="953">
        <f t="shared" si="52"/>
        <v>141356691.74000001</v>
      </c>
      <c r="BD66" s="949">
        <f t="shared" si="53"/>
        <v>222633055.94</v>
      </c>
      <c r="BE66" s="285" t="e">
        <f t="shared" si="54"/>
        <v>#VALUE!</v>
      </c>
      <c r="BF66" s="953">
        <f t="shared" ref="BF66:BG66" si="313">SUM(BC66,AL66)</f>
        <v>269741633.53999996</v>
      </c>
      <c r="BG66" s="954">
        <f t="shared" si="313"/>
        <v>560883928.44999993</v>
      </c>
      <c r="BH66" s="286">
        <f t="shared" ref="BH66:CB66" si="314">SUM(BH2:BH65,BH72:BH164)</f>
        <v>57698163.920000032</v>
      </c>
      <c r="BI66" s="289" t="e">
        <f t="shared" si="314"/>
        <v>#VALUE!</v>
      </c>
      <c r="BJ66" s="289">
        <f t="shared" si="314"/>
        <v>64244582.769999988</v>
      </c>
      <c r="BK66" s="289">
        <f t="shared" si="314"/>
        <v>98713011.759999976</v>
      </c>
      <c r="BL66" s="289">
        <f t="shared" si="314"/>
        <v>72630139.309999973</v>
      </c>
      <c r="BM66" s="289" t="e">
        <f t="shared" si="314"/>
        <v>#VALUE!</v>
      </c>
      <c r="BN66" s="289">
        <f t="shared" si="314"/>
        <v>58797477.609999999</v>
      </c>
      <c r="BO66" s="289">
        <f t="shared" si="314"/>
        <v>86003116.139999941</v>
      </c>
      <c r="BP66" s="955">
        <f t="shared" si="314"/>
        <v>61922902.510000013</v>
      </c>
      <c r="BQ66" s="956" t="e">
        <f t="shared" si="314"/>
        <v>#VALUE!</v>
      </c>
      <c r="BR66" s="956">
        <f t="shared" si="314"/>
        <v>47906010.090000011</v>
      </c>
      <c r="BS66" s="956">
        <f t="shared" si="314"/>
        <v>103913784.97999999</v>
      </c>
      <c r="BT66" s="956" t="e">
        <f t="shared" si="314"/>
        <v>#VALUE!</v>
      </c>
      <c r="BU66" s="956">
        <f t="shared" si="314"/>
        <v>170948070.46999991</v>
      </c>
      <c r="BV66" s="956">
        <f t="shared" si="314"/>
        <v>288612826.13000005</v>
      </c>
      <c r="BW66" s="955">
        <f t="shared" si="314"/>
        <v>79750809.019999981</v>
      </c>
      <c r="BX66" s="292" t="e">
        <f t="shared" si="314"/>
        <v>#VALUE!</v>
      </c>
      <c r="BY66" s="292">
        <f t="shared" si="314"/>
        <v>44164130.439999998</v>
      </c>
      <c r="BZ66" s="292">
        <f t="shared" si="314"/>
        <v>104926521.66999997</v>
      </c>
      <c r="CA66" s="952">
        <f t="shared" si="314"/>
        <v>73866375.789999977</v>
      </c>
      <c r="CB66" s="289">
        <f t="shared" si="314"/>
        <v>83704381.560000017</v>
      </c>
      <c r="CC66" s="188"/>
      <c r="CD66" s="188"/>
      <c r="CE66" s="188"/>
      <c r="CF66" s="188"/>
      <c r="CG66" s="188"/>
      <c r="CH66" s="188"/>
      <c r="CI66" s="188"/>
      <c r="CJ66" s="188"/>
      <c r="CK66" s="188"/>
      <c r="CL66" s="188"/>
      <c r="CM66" s="188"/>
      <c r="CN66" s="188"/>
      <c r="CO66" s="188"/>
      <c r="CP66" s="188"/>
      <c r="CQ66" s="188"/>
      <c r="CR66" s="188"/>
      <c r="CS66" s="188"/>
      <c r="CT66" s="188"/>
      <c r="CU66" s="188"/>
      <c r="CV66" s="188"/>
      <c r="CW66" s="188"/>
      <c r="CX66" s="188"/>
      <c r="CY66" s="188"/>
      <c r="CZ66" s="188"/>
      <c r="DA66" s="188"/>
      <c r="DB66" s="188"/>
      <c r="DC66" s="188"/>
      <c r="DD66" s="188"/>
      <c r="DE66" s="188"/>
      <c r="DF66" s="188"/>
      <c r="DG66" s="188"/>
      <c r="DH66" s="188"/>
      <c r="DI66" s="188"/>
      <c r="DJ66" s="188"/>
      <c r="DK66" s="188"/>
      <c r="DL66" s="188"/>
    </row>
    <row r="67" spans="1:116" ht="13">
      <c r="B67" s="294"/>
      <c r="C67" s="294"/>
      <c r="D67" s="294"/>
      <c r="E67" s="294"/>
      <c r="F67" s="171"/>
      <c r="G67" s="294"/>
      <c r="H67" s="294"/>
      <c r="I67" s="294"/>
      <c r="J67" s="294"/>
      <c r="K67" s="294"/>
      <c r="L67" s="294"/>
      <c r="T67" s="295"/>
      <c r="AA67" s="295"/>
      <c r="AH67" s="295"/>
      <c r="AI67" s="188"/>
      <c r="AJ67" s="188"/>
      <c r="AK67" s="188"/>
      <c r="AL67" s="188"/>
      <c r="AM67" s="188"/>
      <c r="AN67" s="188"/>
      <c r="AO67" s="299"/>
      <c r="AQ67" s="296"/>
      <c r="AR67" s="296"/>
      <c r="AS67" s="296"/>
      <c r="AU67" s="296"/>
      <c r="AV67" s="296"/>
      <c r="AW67" s="296"/>
      <c r="BL67" s="352"/>
      <c r="BM67" s="352"/>
      <c r="BN67" s="352"/>
      <c r="BO67" s="352"/>
      <c r="BP67" s="352"/>
      <c r="BQ67" s="352"/>
      <c r="BR67" s="352"/>
      <c r="BS67" s="352"/>
      <c r="BT67" s="352"/>
      <c r="BU67" s="352"/>
      <c r="BV67" s="352"/>
      <c r="BW67" s="352"/>
      <c r="BX67" s="352"/>
      <c r="BY67" s="352"/>
      <c r="BZ67" s="352"/>
      <c r="CA67" s="352"/>
      <c r="CB67" s="352"/>
    </row>
    <row r="68" spans="1:116" ht="13">
      <c r="B68" s="294"/>
      <c r="C68" s="294"/>
      <c r="D68" s="294"/>
      <c r="E68" s="294"/>
      <c r="F68" s="171"/>
      <c r="G68" s="294"/>
      <c r="H68" s="294"/>
      <c r="I68" s="294"/>
      <c r="J68" s="294"/>
      <c r="K68" s="294"/>
      <c r="L68" s="294"/>
      <c r="M68" s="300" t="s">
        <v>227</v>
      </c>
      <c r="T68" s="295"/>
      <c r="AA68" s="295"/>
      <c r="AH68" s="295"/>
      <c r="AI68" s="188"/>
      <c r="AJ68" s="188"/>
      <c r="AK68" s="188"/>
      <c r="AL68" s="188"/>
      <c r="AM68" s="188"/>
      <c r="AN68" s="188"/>
      <c r="AO68" s="299"/>
      <c r="AQ68" s="296"/>
      <c r="AR68" s="296"/>
      <c r="AS68" s="296"/>
      <c r="AU68" s="296"/>
      <c r="AV68" s="296"/>
      <c r="AW68" s="296"/>
      <c r="BL68" s="352"/>
      <c r="BM68" s="352"/>
      <c r="BN68" s="352"/>
      <c r="BO68" s="352"/>
      <c r="BP68" s="352"/>
      <c r="BQ68" s="352"/>
      <c r="BR68" s="352"/>
      <c r="BS68" s="352"/>
      <c r="BT68" s="352"/>
      <c r="BU68" s="352"/>
      <c r="BV68" s="352"/>
      <c r="BW68" s="352" t="str">
        <f>IFERROR(VLOOKUP(M68,VARGAS24,12,FALSE),"")</f>
        <v/>
      </c>
      <c r="BX68" s="352"/>
      <c r="BY68" s="352"/>
      <c r="BZ68" s="352"/>
      <c r="CA68" s="352" t="str">
        <f>IFERROR(VLOOKUP(M68,VARGAS24,13,FALSE),"")</f>
        <v/>
      </c>
      <c r="CB68" s="352" t="str">
        <f>IFERROR(VLOOKUP(M68,VARGAS24,14,FALSE),"")</f>
        <v/>
      </c>
    </row>
    <row r="69" spans="1:116" ht="13">
      <c r="B69" s="294"/>
      <c r="C69" s="294"/>
      <c r="D69" s="294"/>
      <c r="E69" s="294"/>
      <c r="F69" s="171"/>
      <c r="G69" s="294"/>
      <c r="H69" s="294"/>
      <c r="I69" s="294"/>
      <c r="J69" s="294"/>
      <c r="K69" s="294"/>
      <c r="L69" s="294"/>
      <c r="M69" s="245" t="s">
        <v>228</v>
      </c>
      <c r="T69" s="295"/>
      <c r="AA69" s="295"/>
      <c r="AH69" s="295"/>
      <c r="AI69" s="188"/>
      <c r="AJ69" s="188"/>
      <c r="AK69" s="188"/>
      <c r="AL69" s="188"/>
      <c r="AM69" s="188"/>
      <c r="AN69" s="188"/>
      <c r="AO69" s="299"/>
      <c r="AQ69" s="296"/>
      <c r="AR69" s="296"/>
      <c r="AS69" s="296"/>
      <c r="AU69" s="296"/>
      <c r="AV69" s="296"/>
      <c r="AW69" s="296"/>
      <c r="BL69" s="352"/>
      <c r="BM69" s="352"/>
      <c r="BN69" s="352"/>
      <c r="BO69" s="352"/>
      <c r="BP69" s="352"/>
      <c r="BQ69" s="352"/>
      <c r="BR69" s="352"/>
      <c r="BS69" s="352"/>
      <c r="BT69" s="352"/>
      <c r="BU69" s="352"/>
      <c r="BV69" s="352"/>
      <c r="BW69" s="352" t="str">
        <f>IFERROR(VLOOKUP(M69,VARGAS24,12,FALSE),"")</f>
        <v/>
      </c>
      <c r="BX69" s="352"/>
      <c r="BY69" s="352"/>
      <c r="BZ69" s="352"/>
      <c r="CA69" s="352" t="str">
        <f>IFERROR(VLOOKUP(M69,VARGAS24,13,FALSE),"")</f>
        <v/>
      </c>
      <c r="CB69" s="352" t="str">
        <f>IFERROR(VLOOKUP(M69,VARGAS24,14,FALSE),"")</f>
        <v/>
      </c>
    </row>
    <row r="70" spans="1:116" ht="13">
      <c r="B70" s="302"/>
      <c r="C70" s="294"/>
      <c r="D70" s="294"/>
      <c r="E70" s="294"/>
      <c r="F70" s="171"/>
      <c r="G70" s="294"/>
      <c r="H70" s="294"/>
      <c r="I70" s="294"/>
      <c r="J70" s="294"/>
      <c r="K70" s="294"/>
      <c r="L70" s="294"/>
      <c r="M70" s="921" t="s">
        <v>678</v>
      </c>
      <c r="T70" s="295"/>
      <c r="AA70" s="295"/>
      <c r="AH70" s="295"/>
      <c r="AI70" s="188"/>
      <c r="AJ70" s="188"/>
      <c r="AK70" s="188"/>
      <c r="AL70" s="188"/>
      <c r="AM70" s="188"/>
      <c r="AN70" s="188"/>
      <c r="AO70" s="299"/>
      <c r="AQ70" s="296"/>
      <c r="AR70" s="296"/>
      <c r="AS70" s="296"/>
      <c r="AU70" s="296"/>
      <c r="AV70" s="296"/>
      <c r="AW70" s="296"/>
      <c r="BL70" s="352"/>
      <c r="BM70" s="352"/>
      <c r="BN70" s="352"/>
      <c r="BO70" s="352"/>
      <c r="BP70" s="352"/>
      <c r="BQ70" s="352"/>
      <c r="BR70" s="352"/>
      <c r="BS70" s="352"/>
      <c r="BT70" s="352"/>
      <c r="BU70" s="352"/>
      <c r="BV70" s="352"/>
      <c r="BW70" s="352"/>
      <c r="BX70" s="352"/>
      <c r="BY70" s="352"/>
      <c r="BZ70" s="352"/>
      <c r="CA70" s="352"/>
      <c r="CB70" s="352"/>
    </row>
    <row r="71" spans="1:116" ht="13">
      <c r="B71" s="957" t="s">
        <v>486</v>
      </c>
      <c r="C71" s="772" t="s">
        <v>666</v>
      </c>
      <c r="D71" s="294"/>
      <c r="E71" s="294"/>
      <c r="F71" s="171"/>
      <c r="G71" s="294"/>
      <c r="H71" s="294"/>
      <c r="I71" s="294"/>
      <c r="J71" s="294"/>
      <c r="K71" s="294"/>
      <c r="L71" s="294"/>
      <c r="M71" s="188"/>
      <c r="T71" s="295"/>
      <c r="AA71" s="295"/>
      <c r="AH71" s="295"/>
      <c r="AI71" s="188"/>
      <c r="AJ71" s="188"/>
      <c r="AK71" s="188"/>
      <c r="AL71" s="188"/>
      <c r="AM71" s="188"/>
      <c r="AN71" s="188"/>
      <c r="AO71" s="299"/>
      <c r="AQ71" s="296"/>
      <c r="AR71" s="296"/>
      <c r="AS71" s="296"/>
      <c r="AU71" s="296"/>
      <c r="AV71" s="296"/>
      <c r="AW71" s="296"/>
      <c r="BL71" s="352"/>
      <c r="BM71" s="352"/>
      <c r="BN71" s="352"/>
      <c r="BO71" s="352"/>
      <c r="BP71" s="352"/>
      <c r="BQ71" s="352"/>
      <c r="BR71" s="352"/>
      <c r="BS71" s="352"/>
      <c r="BT71" s="352"/>
      <c r="BU71" s="352"/>
      <c r="BV71" s="352"/>
      <c r="BW71" s="352" t="str">
        <f t="shared" ref="BW71:BW110" si="315">IFERROR(VLOOKUP(M71,VARGAS24,12,FALSE),"")</f>
        <v/>
      </c>
      <c r="BX71" s="352"/>
      <c r="BY71" s="352"/>
      <c r="BZ71" s="352"/>
      <c r="CA71" s="352" t="str">
        <f t="shared" ref="CA71:CA110" si="316">IFERROR(VLOOKUP(M71,VARGAS24,13,FALSE),"")</f>
        <v/>
      </c>
      <c r="CB71" s="352" t="str">
        <f t="shared" ref="CB71:CB110" si="317">IFERROR(VLOOKUP(M71,VARGAS24,14,FALSE),"")</f>
        <v/>
      </c>
    </row>
    <row r="72" spans="1:116" ht="13">
      <c r="A72" s="308" t="e">
        <f t="shared" ref="A72:A98" si="318">VLOOKUP(M72,VARGASCART2,3,FALSE)</f>
        <v>#N/A</v>
      </c>
      <c r="B72" s="309" t="e">
        <f t="shared" ref="B72:B77" si="319">VLOOKUP(M72,VARGASCARTERA,2,FALSE)</f>
        <v>#N/A</v>
      </c>
      <c r="C72" s="774" t="str">
        <f t="shared" ref="C72:C96" si="320">IFERROR(VLOOKUP(B72,DES,2,FALSE),"")</f>
        <v/>
      </c>
      <c r="D72" s="774" t="str">
        <f t="shared" ref="D72:D96" si="321">IFERROR(VLOOKUP(B72,DES,3,FALSE),"")</f>
        <v/>
      </c>
      <c r="E72" s="774" t="str">
        <f t="shared" ref="E72:E96" si="322">IFERROR(VLOOKUP(B72,DES,4,FALSE),"")</f>
        <v/>
      </c>
      <c r="F72" s="775"/>
      <c r="G72" s="774"/>
      <c r="H72" s="774"/>
      <c r="I72" s="774"/>
      <c r="J72" s="622"/>
      <c r="K72" s="774"/>
      <c r="L72" s="774"/>
      <c r="M72" s="958" t="s">
        <v>899</v>
      </c>
      <c r="N72" s="312"/>
      <c r="O72" s="489"/>
      <c r="P72" s="312" t="e">
        <f t="shared" ref="P72:P96" si="323">R72-Q72</f>
        <v>#VALUE!</v>
      </c>
      <c r="Q72" s="312" t="str">
        <f t="shared" ref="Q72:Q96" si="324">IFERROR(VLOOKUP(M72,VARGALIM,3,FALSE),"")</f>
        <v/>
      </c>
      <c r="R72" s="312">
        <f t="shared" ref="R72:R96" si="325">IFERROR(VLOOKUP(M72,VARFC,3,FALSE),"")</f>
        <v>14936.4</v>
      </c>
      <c r="S72" s="312">
        <f t="shared" ref="S72:S96" si="326">R72-O72</f>
        <v>14936.4</v>
      </c>
      <c r="T72" s="310" t="str">
        <f t="shared" ref="T72:T96" si="327">IFERROR(R72/O72,"")</f>
        <v/>
      </c>
      <c r="U72" s="312" t="str">
        <f t="shared" ref="U72:U96" si="328">IFERROR(VLOOKUP(M72,VARGAS24,4,FALSE),"")</f>
        <v/>
      </c>
      <c r="V72" s="312" t="e">
        <f t="shared" ref="V72:V78" si="329">(U72*1.7245)*1.05</f>
        <v>#VALUE!</v>
      </c>
      <c r="W72" s="312" t="e">
        <f t="shared" ref="W72:W96" si="330">Y72-X72</f>
        <v>#VALUE!</v>
      </c>
      <c r="X72" s="312" t="str">
        <f t="shared" ref="X72:X96" si="331">IFERROR(VLOOKUP(M72,VARGALIM,4,FALSE),"")</f>
        <v/>
      </c>
      <c r="Y72" s="312">
        <f t="shared" ref="Y72:Y96" si="332">IFERROR(VLOOKUP(M72,VARFC,4,FALSE),"")</f>
        <v>0</v>
      </c>
      <c r="Z72" s="312" t="e">
        <f t="shared" ref="Z72:Z96" si="333">Y72-V72</f>
        <v>#VALUE!</v>
      </c>
      <c r="AA72" s="310" t="e">
        <f t="shared" ref="AA72:AA73" si="334">Y72/V72</f>
        <v>#VALUE!</v>
      </c>
      <c r="AB72" s="312" t="str">
        <f t="shared" ref="AB72:AB96" si="335">IFERROR(VLOOKUP(M72,VARGAS24,5,FALSE),"")</f>
        <v/>
      </c>
      <c r="AC72" s="312" t="e">
        <f t="shared" ref="AC72:AC73" si="336">(AB72*1.5955)*1.05</f>
        <v>#VALUE!</v>
      </c>
      <c r="AD72" s="312" t="e">
        <f t="shared" ref="AD72:AD96" si="337">AF72-AE72</f>
        <v>#VALUE!</v>
      </c>
      <c r="AE72" s="312" t="str">
        <f t="shared" ref="AE72:AE96" si="338">IFERROR(VLOOKUP(M72,VARGALIM,5,FALSE),"")</f>
        <v/>
      </c>
      <c r="AF72" s="312">
        <f t="shared" ref="AF72:AF96" si="339">IFERROR(VLOOKUP(M72,VARFC,5,FALSE),"")</f>
        <v>0</v>
      </c>
      <c r="AG72" s="312"/>
      <c r="AH72" s="310"/>
      <c r="AI72" s="959"/>
      <c r="AJ72" s="959"/>
      <c r="AK72" s="312" t="e">
        <f t="shared" ref="AK72:AL72" si="340">SUM(AD72,W72,P72)</f>
        <v>#VALUE!</v>
      </c>
      <c r="AL72" s="312">
        <f t="shared" si="340"/>
        <v>0</v>
      </c>
      <c r="AM72" s="312">
        <f t="shared" ref="AM72:AM96" si="341">SUM(AF72,Y72,Y72,R72)</f>
        <v>14936.4</v>
      </c>
      <c r="AN72" s="959"/>
      <c r="AO72" s="960"/>
      <c r="AP72" s="961"/>
      <c r="AQ72" s="312"/>
      <c r="AR72" s="312"/>
      <c r="AS72" s="312"/>
      <c r="AT72" s="961"/>
      <c r="AU72" s="312"/>
      <c r="AV72" s="312"/>
      <c r="AW72" s="312"/>
      <c r="AX72" s="961"/>
      <c r="AY72" s="961"/>
      <c r="AZ72" s="961"/>
      <c r="BA72" s="961"/>
      <c r="BB72" s="961"/>
      <c r="BC72" s="961"/>
      <c r="BD72" s="961"/>
      <c r="BE72" s="961"/>
      <c r="BF72" s="961"/>
      <c r="BG72" s="961"/>
      <c r="BH72" s="961"/>
      <c r="BI72" s="961"/>
      <c r="BJ72" s="961"/>
      <c r="BK72" s="961"/>
      <c r="BL72" s="962" t="str">
        <f t="shared" ref="BL72:BL110" si="342">IFERROR(VLOOKUP(M72,VARGAS24,10,FALSE),"")</f>
        <v/>
      </c>
      <c r="BM72" s="963" t="e">
        <f t="shared" ref="BM72:BM110" si="343">BO72-BN72</f>
        <v>#VALUE!</v>
      </c>
      <c r="BN72" s="961" t="str">
        <f t="shared" ref="BN72:BN110" si="344">IFERROR(VLOOKUP(M72,VARGALIM,10,FALSE),"")</f>
        <v/>
      </c>
      <c r="BO72" s="964">
        <f t="shared" ref="BO72:BO110" si="345">IFERROR(VLOOKUP(M72,VARFC,10,FALSE),"")</f>
        <v>0</v>
      </c>
      <c r="BP72" s="965" t="str">
        <f t="shared" ref="BP72:BP110" si="346">IFERROR(VLOOKUP(M72,VARGAS24,11,FALSE),"")</f>
        <v/>
      </c>
      <c r="BQ72" s="961" t="e">
        <f t="shared" ref="BQ72:BQ110" si="347">BS72-BR72</f>
        <v>#VALUE!</v>
      </c>
      <c r="BR72" s="961" t="str">
        <f t="shared" ref="BR72:BR110" si="348">IFERROR(VLOOKUP(M72,VARGALIM,11,FALSE),"")</f>
        <v/>
      </c>
      <c r="BS72" s="962">
        <f t="shared" ref="BS72:BS110" si="349">IFERROR(VLOOKUP(M72,VARFC,11,FALSE),"")</f>
        <v>0</v>
      </c>
      <c r="BT72" s="963" t="e">
        <f t="shared" ref="BT72:BU72" si="350">SUM(BQ72,BM72,BI72)</f>
        <v>#VALUE!</v>
      </c>
      <c r="BU72" s="961">
        <f t="shared" si="350"/>
        <v>0</v>
      </c>
      <c r="BV72" s="964"/>
      <c r="BW72" s="965" t="str">
        <f t="shared" si="315"/>
        <v/>
      </c>
      <c r="BX72" s="961"/>
      <c r="BY72" s="961"/>
      <c r="BZ72" s="964"/>
      <c r="CA72" s="966" t="str">
        <f t="shared" si="316"/>
        <v/>
      </c>
      <c r="CB72" s="967" t="str">
        <f t="shared" si="317"/>
        <v/>
      </c>
    </row>
    <row r="73" spans="1:116" ht="13">
      <c r="A73" s="323" t="e">
        <f t="shared" si="318"/>
        <v>#N/A</v>
      </c>
      <c r="B73" s="324" t="e">
        <f t="shared" si="319"/>
        <v>#N/A</v>
      </c>
      <c r="C73" s="558" t="str">
        <f t="shared" si="320"/>
        <v/>
      </c>
      <c r="D73" s="558" t="str">
        <f t="shared" si="321"/>
        <v/>
      </c>
      <c r="E73" s="558" t="str">
        <f t="shared" si="322"/>
        <v/>
      </c>
      <c r="F73" s="798"/>
      <c r="G73" s="558"/>
      <c r="H73" s="558"/>
      <c r="I73" s="558"/>
      <c r="J73" s="637"/>
      <c r="K73" s="558"/>
      <c r="L73" s="558"/>
      <c r="M73" s="968" t="s">
        <v>900</v>
      </c>
      <c r="N73" s="326">
        <f>IFERROR(VLOOKUP(M73,VARGAS24,3,FALSE),"")</f>
        <v>113798.35</v>
      </c>
      <c r="O73" s="326">
        <f t="shared" ref="O73:O75" si="351">(N73*1.601)*1.05</f>
        <v>191300.71626750001</v>
      </c>
      <c r="P73" s="326">
        <f t="shared" si="323"/>
        <v>0</v>
      </c>
      <c r="Q73" s="326">
        <f t="shared" si="324"/>
        <v>49652.97</v>
      </c>
      <c r="R73" s="326">
        <f t="shared" si="325"/>
        <v>49652.97</v>
      </c>
      <c r="S73" s="326">
        <f t="shared" si="326"/>
        <v>-141647.74626750001</v>
      </c>
      <c r="T73" s="137">
        <f t="shared" si="327"/>
        <v>0.25955454307117781</v>
      </c>
      <c r="U73" s="326">
        <f t="shared" si="328"/>
        <v>14411.06</v>
      </c>
      <c r="V73" s="326">
        <f t="shared" si="329"/>
        <v>26094.466618499999</v>
      </c>
      <c r="W73" s="326">
        <f t="shared" si="330"/>
        <v>0</v>
      </c>
      <c r="X73" s="326">
        <f t="shared" si="331"/>
        <v>78170.570000000007</v>
      </c>
      <c r="Y73" s="326">
        <f t="shared" si="332"/>
        <v>78170.570000000007</v>
      </c>
      <c r="Z73" s="326">
        <f t="shared" si="333"/>
        <v>52076.103381500012</v>
      </c>
      <c r="AA73" s="137">
        <f t="shared" si="334"/>
        <v>2.9956761003338541</v>
      </c>
      <c r="AB73" s="326">
        <f t="shared" si="335"/>
        <v>40985.040000000001</v>
      </c>
      <c r="AC73" s="326">
        <f t="shared" si="336"/>
        <v>68661.212886000008</v>
      </c>
      <c r="AD73" s="326">
        <f t="shared" si="337"/>
        <v>0</v>
      </c>
      <c r="AE73" s="326">
        <f t="shared" si="338"/>
        <v>0</v>
      </c>
      <c r="AF73" s="326">
        <f t="shared" si="339"/>
        <v>0</v>
      </c>
      <c r="AG73" s="326">
        <f t="shared" ref="AG73:AG96" si="352">AF73-AC73</f>
        <v>-68661.212886000008</v>
      </c>
      <c r="AH73" s="137">
        <f t="shared" ref="AH73:AH83" si="353">IFERROR(AF73/AC73,"")</f>
        <v>0</v>
      </c>
      <c r="AI73" s="969">
        <f t="shared" ref="AI73:AI96" si="354">SUM(O73,V73,AC73)</f>
        <v>286056.39577200002</v>
      </c>
      <c r="AJ73" s="969"/>
      <c r="AK73" s="326">
        <f t="shared" ref="AK73:AL73" si="355">SUM(AD73,W73,P73)</f>
        <v>0</v>
      </c>
      <c r="AL73" s="326">
        <f t="shared" si="355"/>
        <v>127823.54000000001</v>
      </c>
      <c r="AM73" s="326">
        <f t="shared" si="341"/>
        <v>205994.11000000002</v>
      </c>
      <c r="AN73" s="969"/>
      <c r="AO73" s="970"/>
      <c r="AP73" s="941">
        <f>IFERROR(VLOOKUP(M73,VARGAS24,6,FALSE),"")</f>
        <v>162541.51999999999</v>
      </c>
      <c r="AQ73" s="326"/>
      <c r="AR73" s="326"/>
      <c r="AS73" s="326"/>
      <c r="AT73" s="941"/>
      <c r="AU73" s="326"/>
      <c r="AV73" s="326"/>
      <c r="AW73" s="326"/>
      <c r="AX73" s="941"/>
      <c r="AY73" s="941"/>
      <c r="AZ73" s="941"/>
      <c r="BA73" s="941"/>
      <c r="BB73" s="941"/>
      <c r="BC73" s="941"/>
      <c r="BD73" s="941"/>
      <c r="BE73" s="941"/>
      <c r="BF73" s="941"/>
      <c r="BG73" s="941"/>
      <c r="BH73" s="941"/>
      <c r="BI73" s="941"/>
      <c r="BJ73" s="941"/>
      <c r="BK73" s="941"/>
      <c r="BL73" s="971">
        <f t="shared" si="342"/>
        <v>152860.06</v>
      </c>
      <c r="BM73" s="972">
        <f t="shared" si="343"/>
        <v>0</v>
      </c>
      <c r="BN73" s="941">
        <f t="shared" si="344"/>
        <v>0</v>
      </c>
      <c r="BO73" s="973">
        <f t="shared" si="345"/>
        <v>0</v>
      </c>
      <c r="BP73" s="939">
        <f t="shared" si="346"/>
        <v>64327.56</v>
      </c>
      <c r="BQ73" s="941">
        <f t="shared" si="347"/>
        <v>0</v>
      </c>
      <c r="BR73" s="941">
        <f t="shared" si="348"/>
        <v>0</v>
      </c>
      <c r="BS73" s="971">
        <f t="shared" si="349"/>
        <v>0</v>
      </c>
      <c r="BT73" s="972">
        <f t="shared" ref="BT73:BU73" si="356">SUM(BQ73,BM73,BI73)</f>
        <v>0</v>
      </c>
      <c r="BU73" s="941">
        <f t="shared" si="356"/>
        <v>0</v>
      </c>
      <c r="BV73" s="973"/>
      <c r="BW73" s="939">
        <f t="shared" si="315"/>
        <v>167742.98000000001</v>
      </c>
      <c r="BX73" s="941"/>
      <c r="BY73" s="941"/>
      <c r="BZ73" s="973"/>
      <c r="CA73" s="939">
        <f t="shared" si="316"/>
        <v>106954.47</v>
      </c>
      <c r="CB73" s="941">
        <f t="shared" si="317"/>
        <v>44815.59</v>
      </c>
    </row>
    <row r="74" spans="1:116" ht="13">
      <c r="A74" s="323" t="e">
        <f t="shared" si="318"/>
        <v>#N/A</v>
      </c>
      <c r="B74" s="324" t="e">
        <f t="shared" si="319"/>
        <v>#N/A</v>
      </c>
      <c r="C74" s="558" t="str">
        <f t="shared" si="320"/>
        <v/>
      </c>
      <c r="D74" s="558" t="str">
        <f t="shared" si="321"/>
        <v/>
      </c>
      <c r="E74" s="558" t="str">
        <f t="shared" si="322"/>
        <v/>
      </c>
      <c r="F74" s="798"/>
      <c r="G74" s="558"/>
      <c r="H74" s="558"/>
      <c r="I74" s="558"/>
      <c r="J74" s="637"/>
      <c r="K74" s="558"/>
      <c r="L74" s="558"/>
      <c r="M74" s="968" t="s">
        <v>901</v>
      </c>
      <c r="N74" s="326">
        <f>IFERROR(VLOOKUP(M74,VARGAS24,3,FALSE),"")</f>
        <v>0</v>
      </c>
      <c r="O74" s="326">
        <f t="shared" si="351"/>
        <v>0</v>
      </c>
      <c r="P74" s="326">
        <f t="shared" si="323"/>
        <v>0</v>
      </c>
      <c r="Q74" s="326">
        <f t="shared" si="324"/>
        <v>36220.800000000003</v>
      </c>
      <c r="R74" s="326">
        <f t="shared" si="325"/>
        <v>36220.800000000003</v>
      </c>
      <c r="S74" s="326">
        <f t="shared" si="326"/>
        <v>36220.800000000003</v>
      </c>
      <c r="T74" s="137" t="str">
        <f t="shared" si="327"/>
        <v/>
      </c>
      <c r="U74" s="326">
        <f t="shared" si="328"/>
        <v>31414</v>
      </c>
      <c r="V74" s="326">
        <f t="shared" si="329"/>
        <v>56882.115150000005</v>
      </c>
      <c r="W74" s="326">
        <f t="shared" si="330"/>
        <v>0</v>
      </c>
      <c r="X74" s="326">
        <f t="shared" si="331"/>
        <v>133768.79999999999</v>
      </c>
      <c r="Y74" s="326">
        <f t="shared" si="332"/>
        <v>133768.79999999999</v>
      </c>
      <c r="Z74" s="326">
        <f t="shared" si="333"/>
        <v>76886.684849999991</v>
      </c>
      <c r="AA74" s="137">
        <f t="shared" ref="AA74:AA75" si="357">IFERROR(Y74/V74,"")</f>
        <v>2.3516847017247384</v>
      </c>
      <c r="AB74" s="326">
        <f t="shared" si="335"/>
        <v>0</v>
      </c>
      <c r="AC74" s="326">
        <v>1500000</v>
      </c>
      <c r="AD74" s="326">
        <f t="shared" si="337"/>
        <v>0</v>
      </c>
      <c r="AE74" s="326">
        <f t="shared" si="338"/>
        <v>0</v>
      </c>
      <c r="AF74" s="326">
        <f t="shared" si="339"/>
        <v>0</v>
      </c>
      <c r="AG74" s="326">
        <f t="shared" si="352"/>
        <v>-1500000</v>
      </c>
      <c r="AH74" s="137">
        <f t="shared" si="353"/>
        <v>0</v>
      </c>
      <c r="AI74" s="969">
        <f t="shared" si="354"/>
        <v>1556882.11515</v>
      </c>
      <c r="AJ74" s="969"/>
      <c r="AK74" s="326">
        <f t="shared" ref="AK74:AL74" si="358">SUM(AD74,W74,P74)</f>
        <v>0</v>
      </c>
      <c r="AL74" s="326">
        <f t="shared" si="358"/>
        <v>169989.59999999998</v>
      </c>
      <c r="AM74" s="326">
        <f t="shared" si="341"/>
        <v>303758.39999999997</v>
      </c>
      <c r="AN74" s="969"/>
      <c r="AO74" s="970"/>
      <c r="AP74" s="941">
        <f>IFERROR(VLOOKUP(M74,VARGAS24,6,FALSE),"")</f>
        <v>0</v>
      </c>
      <c r="AQ74" s="326"/>
      <c r="AR74" s="326"/>
      <c r="AS74" s="326"/>
      <c r="AT74" s="941"/>
      <c r="AU74" s="326"/>
      <c r="AV74" s="326"/>
      <c r="AW74" s="326"/>
      <c r="AX74" s="941"/>
      <c r="AY74" s="941"/>
      <c r="AZ74" s="941"/>
      <c r="BA74" s="941"/>
      <c r="BB74" s="941"/>
      <c r="BC74" s="941"/>
      <c r="BD74" s="941"/>
      <c r="BE74" s="941"/>
      <c r="BF74" s="941"/>
      <c r="BG74" s="941"/>
      <c r="BH74" s="941"/>
      <c r="BI74" s="941"/>
      <c r="BJ74" s="941"/>
      <c r="BK74" s="941"/>
      <c r="BL74" s="971">
        <f t="shared" si="342"/>
        <v>67151.12</v>
      </c>
      <c r="BM74" s="972">
        <f t="shared" si="343"/>
        <v>0</v>
      </c>
      <c r="BN74" s="941">
        <f t="shared" si="344"/>
        <v>0</v>
      </c>
      <c r="BO74" s="973">
        <f t="shared" si="345"/>
        <v>0</v>
      </c>
      <c r="BP74" s="939">
        <f t="shared" si="346"/>
        <v>0</v>
      </c>
      <c r="BQ74" s="941">
        <f t="shared" si="347"/>
        <v>0</v>
      </c>
      <c r="BR74" s="941">
        <f t="shared" si="348"/>
        <v>0</v>
      </c>
      <c r="BS74" s="971">
        <f t="shared" si="349"/>
        <v>0</v>
      </c>
      <c r="BT74" s="972">
        <f t="shared" ref="BT74:BU74" si="359">SUM(BQ74,BM74,BI74)</f>
        <v>0</v>
      </c>
      <c r="BU74" s="941">
        <f t="shared" si="359"/>
        <v>0</v>
      </c>
      <c r="BV74" s="973"/>
      <c r="BW74" s="939">
        <f t="shared" si="315"/>
        <v>33230.080000000002</v>
      </c>
      <c r="BX74" s="941"/>
      <c r="BY74" s="941"/>
      <c r="BZ74" s="973"/>
      <c r="CA74" s="939">
        <f t="shared" si="316"/>
        <v>0</v>
      </c>
      <c r="CB74" s="941">
        <f t="shared" si="317"/>
        <v>66884.399999999994</v>
      </c>
    </row>
    <row r="75" spans="1:116" ht="13">
      <c r="A75" s="323" t="e">
        <f t="shared" si="318"/>
        <v>#N/A</v>
      </c>
      <c r="B75" s="324" t="e">
        <f t="shared" si="319"/>
        <v>#N/A</v>
      </c>
      <c r="C75" s="558" t="str">
        <f t="shared" si="320"/>
        <v/>
      </c>
      <c r="D75" s="558" t="str">
        <f t="shared" si="321"/>
        <v/>
      </c>
      <c r="E75" s="558" t="str">
        <f t="shared" si="322"/>
        <v/>
      </c>
      <c r="F75" s="798"/>
      <c r="G75" s="558"/>
      <c r="H75" s="558"/>
      <c r="I75" s="558"/>
      <c r="J75" s="637"/>
      <c r="K75" s="558"/>
      <c r="L75" s="558"/>
      <c r="M75" s="968" t="s">
        <v>902</v>
      </c>
      <c r="N75" s="325"/>
      <c r="O75" s="326">
        <f t="shared" si="351"/>
        <v>0</v>
      </c>
      <c r="P75" s="326" t="e">
        <f t="shared" si="323"/>
        <v>#VALUE!</v>
      </c>
      <c r="Q75" s="326" t="str">
        <f t="shared" si="324"/>
        <v/>
      </c>
      <c r="R75" s="326">
        <f t="shared" si="325"/>
        <v>165208</v>
      </c>
      <c r="S75" s="326">
        <f t="shared" si="326"/>
        <v>165208</v>
      </c>
      <c r="T75" s="137" t="str">
        <f t="shared" si="327"/>
        <v/>
      </c>
      <c r="U75" s="326" t="str">
        <f t="shared" si="328"/>
        <v/>
      </c>
      <c r="V75" s="326" t="e">
        <f t="shared" si="329"/>
        <v>#VALUE!</v>
      </c>
      <c r="W75" s="326" t="e">
        <f t="shared" si="330"/>
        <v>#VALUE!</v>
      </c>
      <c r="X75" s="326" t="str">
        <f t="shared" si="331"/>
        <v/>
      </c>
      <c r="Y75" s="326">
        <f t="shared" si="332"/>
        <v>0</v>
      </c>
      <c r="Z75" s="326" t="e">
        <f t="shared" si="333"/>
        <v>#VALUE!</v>
      </c>
      <c r="AA75" s="137" t="str">
        <f t="shared" si="357"/>
        <v/>
      </c>
      <c r="AB75" s="326" t="str">
        <f t="shared" si="335"/>
        <v/>
      </c>
      <c r="AC75" s="326">
        <v>1500000</v>
      </c>
      <c r="AD75" s="326" t="e">
        <f t="shared" si="337"/>
        <v>#VALUE!</v>
      </c>
      <c r="AE75" s="326" t="str">
        <f t="shared" si="338"/>
        <v/>
      </c>
      <c r="AF75" s="326">
        <f t="shared" si="339"/>
        <v>0</v>
      </c>
      <c r="AG75" s="326">
        <f t="shared" si="352"/>
        <v>-1500000</v>
      </c>
      <c r="AH75" s="137">
        <f t="shared" si="353"/>
        <v>0</v>
      </c>
      <c r="AI75" s="969" t="e">
        <f t="shared" si="354"/>
        <v>#VALUE!</v>
      </c>
      <c r="AJ75" s="969"/>
      <c r="AK75" s="326" t="e">
        <f t="shared" ref="AK75:AL75" si="360">SUM(AD75,W75,P75)</f>
        <v>#VALUE!</v>
      </c>
      <c r="AL75" s="326">
        <f t="shared" si="360"/>
        <v>0</v>
      </c>
      <c r="AM75" s="326">
        <f t="shared" si="341"/>
        <v>165208</v>
      </c>
      <c r="AN75" s="969"/>
      <c r="AO75" s="970"/>
      <c r="AP75" s="325"/>
      <c r="AQ75" s="326"/>
      <c r="AR75" s="326"/>
      <c r="AS75" s="326"/>
      <c r="AT75" s="325"/>
      <c r="AU75" s="326"/>
      <c r="AV75" s="326"/>
      <c r="AW75" s="326"/>
      <c r="AX75" s="325"/>
      <c r="AY75" s="325"/>
      <c r="AZ75" s="325"/>
      <c r="BA75" s="325"/>
      <c r="BB75" s="325"/>
      <c r="BC75" s="325"/>
      <c r="BD75" s="325"/>
      <c r="BE75" s="325"/>
      <c r="BF75" s="325"/>
      <c r="BG75" s="325"/>
      <c r="BH75" s="325"/>
      <c r="BI75" s="325"/>
      <c r="BJ75" s="325"/>
      <c r="BK75" s="325"/>
      <c r="BL75" s="971" t="str">
        <f t="shared" si="342"/>
        <v/>
      </c>
      <c r="BM75" s="972" t="e">
        <f t="shared" si="343"/>
        <v>#VALUE!</v>
      </c>
      <c r="BN75" s="941" t="str">
        <f t="shared" si="344"/>
        <v/>
      </c>
      <c r="BO75" s="973">
        <f t="shared" si="345"/>
        <v>0</v>
      </c>
      <c r="BP75" s="939" t="str">
        <f t="shared" si="346"/>
        <v/>
      </c>
      <c r="BQ75" s="941" t="e">
        <f t="shared" si="347"/>
        <v>#VALUE!</v>
      </c>
      <c r="BR75" s="941" t="str">
        <f t="shared" si="348"/>
        <v/>
      </c>
      <c r="BS75" s="971">
        <f t="shared" si="349"/>
        <v>0</v>
      </c>
      <c r="BT75" s="972" t="e">
        <f t="shared" ref="BT75:BU75" si="361">SUM(BQ75,BM75,BI75)</f>
        <v>#VALUE!</v>
      </c>
      <c r="BU75" s="941">
        <f t="shared" si="361"/>
        <v>0</v>
      </c>
      <c r="BV75" s="973"/>
      <c r="BW75" s="939" t="str">
        <f t="shared" si="315"/>
        <v/>
      </c>
      <c r="BX75" s="941"/>
      <c r="BY75" s="941"/>
      <c r="BZ75" s="973"/>
      <c r="CA75" s="939" t="str">
        <f t="shared" si="316"/>
        <v/>
      </c>
      <c r="CB75" s="941" t="str">
        <f t="shared" si="317"/>
        <v/>
      </c>
    </row>
    <row r="76" spans="1:116" ht="13">
      <c r="A76" s="323" t="e">
        <f t="shared" si="318"/>
        <v>#N/A</v>
      </c>
      <c r="B76" s="324" t="e">
        <f t="shared" si="319"/>
        <v>#N/A</v>
      </c>
      <c r="C76" s="558" t="str">
        <f t="shared" si="320"/>
        <v/>
      </c>
      <c r="D76" s="558" t="str">
        <f t="shared" si="321"/>
        <v/>
      </c>
      <c r="E76" s="558" t="str">
        <f t="shared" si="322"/>
        <v/>
      </c>
      <c r="F76" s="798"/>
      <c r="G76" s="558"/>
      <c r="H76" s="558"/>
      <c r="I76" s="558"/>
      <c r="J76" s="637"/>
      <c r="K76" s="558"/>
      <c r="L76" s="558"/>
      <c r="M76" s="968" t="s">
        <v>903</v>
      </c>
      <c r="N76" s="326">
        <f t="shared" ref="N76:N96" si="362">IFERROR(VLOOKUP(M76,VARGAS24,3,FALSE),"")</f>
        <v>259646.33</v>
      </c>
      <c r="O76" s="599">
        <v>1500000</v>
      </c>
      <c r="P76" s="326" t="e">
        <f t="shared" si="323"/>
        <v>#VALUE!</v>
      </c>
      <c r="Q76" s="326" t="str">
        <f t="shared" si="324"/>
        <v/>
      </c>
      <c r="R76" s="326">
        <f t="shared" si="325"/>
        <v>0</v>
      </c>
      <c r="S76" s="326">
        <f t="shared" si="326"/>
        <v>-1500000</v>
      </c>
      <c r="T76" s="137">
        <f t="shared" si="327"/>
        <v>0</v>
      </c>
      <c r="U76" s="326">
        <f t="shared" si="328"/>
        <v>68055.87</v>
      </c>
      <c r="V76" s="326">
        <f t="shared" si="329"/>
        <v>123230.46520574999</v>
      </c>
      <c r="W76" s="326" t="e">
        <f t="shared" si="330"/>
        <v>#VALUE!</v>
      </c>
      <c r="X76" s="326" t="str">
        <f t="shared" si="331"/>
        <v/>
      </c>
      <c r="Y76" s="326">
        <f t="shared" si="332"/>
        <v>7017.21</v>
      </c>
      <c r="Z76" s="326">
        <f t="shared" si="333"/>
        <v>-116213.25520574999</v>
      </c>
      <c r="AA76" s="137">
        <f>Y76/V76</f>
        <v>5.6943792172526618E-2</v>
      </c>
      <c r="AB76" s="326">
        <f t="shared" si="335"/>
        <v>97168.42</v>
      </c>
      <c r="AC76" s="326">
        <f t="shared" ref="AC76:AC78" si="363">(AB76*1.5955)*1.05</f>
        <v>162783.8248155</v>
      </c>
      <c r="AD76" s="326" t="e">
        <f t="shared" si="337"/>
        <v>#VALUE!</v>
      </c>
      <c r="AE76" s="326" t="str">
        <f t="shared" si="338"/>
        <v/>
      </c>
      <c r="AF76" s="326">
        <f t="shared" si="339"/>
        <v>0</v>
      </c>
      <c r="AG76" s="326">
        <f t="shared" si="352"/>
        <v>-162783.8248155</v>
      </c>
      <c r="AH76" s="137">
        <f t="shared" si="353"/>
        <v>0</v>
      </c>
      <c r="AI76" s="969">
        <f t="shared" si="354"/>
        <v>1786014.29002125</v>
      </c>
      <c r="AJ76" s="969"/>
      <c r="AK76" s="326" t="e">
        <f t="shared" ref="AK76:AL76" si="364">SUM(AD76,W76,P76)</f>
        <v>#VALUE!</v>
      </c>
      <c r="AL76" s="326">
        <f t="shared" si="364"/>
        <v>0</v>
      </c>
      <c r="AM76" s="326">
        <f t="shared" si="341"/>
        <v>14034.42</v>
      </c>
      <c r="AN76" s="969"/>
      <c r="AO76" s="970"/>
      <c r="AP76" s="941">
        <f t="shared" ref="AP76:AP96" si="365">IFERROR(VLOOKUP(M76,VARGAS24,6,FALSE),"")</f>
        <v>128217.73</v>
      </c>
      <c r="AQ76" s="326"/>
      <c r="AR76" s="326"/>
      <c r="AS76" s="326"/>
      <c r="AT76" s="941"/>
      <c r="AU76" s="326"/>
      <c r="AV76" s="326"/>
      <c r="AW76" s="326"/>
      <c r="AX76" s="941"/>
      <c r="AY76" s="941"/>
      <c r="AZ76" s="941"/>
      <c r="BA76" s="941"/>
      <c r="BB76" s="941"/>
      <c r="BC76" s="941"/>
      <c r="BD76" s="941"/>
      <c r="BE76" s="941"/>
      <c r="BF76" s="941"/>
      <c r="BG76" s="941"/>
      <c r="BH76" s="941"/>
      <c r="BI76" s="941"/>
      <c r="BJ76" s="941"/>
      <c r="BK76" s="941"/>
      <c r="BL76" s="971">
        <f t="shared" si="342"/>
        <v>161280.49</v>
      </c>
      <c r="BM76" s="972" t="e">
        <f t="shared" si="343"/>
        <v>#VALUE!</v>
      </c>
      <c r="BN76" s="941" t="str">
        <f t="shared" si="344"/>
        <v/>
      </c>
      <c r="BO76" s="973">
        <f t="shared" si="345"/>
        <v>0</v>
      </c>
      <c r="BP76" s="939">
        <f t="shared" si="346"/>
        <v>0</v>
      </c>
      <c r="BQ76" s="941" t="e">
        <f t="shared" si="347"/>
        <v>#VALUE!</v>
      </c>
      <c r="BR76" s="941" t="str">
        <f t="shared" si="348"/>
        <v/>
      </c>
      <c r="BS76" s="971">
        <f t="shared" si="349"/>
        <v>0</v>
      </c>
      <c r="BT76" s="972" t="e">
        <f t="shared" ref="BT76:BU76" si="366">SUM(BQ76,BM76,BI76)</f>
        <v>#VALUE!</v>
      </c>
      <c r="BU76" s="941">
        <f t="shared" si="366"/>
        <v>0</v>
      </c>
      <c r="BV76" s="973"/>
      <c r="BW76" s="939">
        <f t="shared" si="315"/>
        <v>19111.63</v>
      </c>
      <c r="BX76" s="941"/>
      <c r="BY76" s="941"/>
      <c r="BZ76" s="973"/>
      <c r="CA76" s="939">
        <f t="shared" si="316"/>
        <v>0</v>
      </c>
      <c r="CB76" s="941">
        <f t="shared" si="317"/>
        <v>0</v>
      </c>
    </row>
    <row r="77" spans="1:116" ht="13">
      <c r="A77" s="323" t="e">
        <f t="shared" si="318"/>
        <v>#N/A</v>
      </c>
      <c r="B77" s="974">
        <f t="shared" si="319"/>
        <v>0</v>
      </c>
      <c r="C77" s="558" t="str">
        <f t="shared" si="320"/>
        <v/>
      </c>
      <c r="D77" s="558" t="str">
        <f t="shared" si="321"/>
        <v/>
      </c>
      <c r="E77" s="558" t="str">
        <f t="shared" si="322"/>
        <v/>
      </c>
      <c r="F77" s="798"/>
      <c r="G77" s="558"/>
      <c r="H77" s="558"/>
      <c r="I77" s="558"/>
      <c r="J77" s="637"/>
      <c r="K77" s="558"/>
      <c r="L77" s="558"/>
      <c r="M77" s="325" t="s">
        <v>904</v>
      </c>
      <c r="N77" s="326">
        <f t="shared" si="362"/>
        <v>0</v>
      </c>
      <c r="O77" s="326">
        <f>(N77*1.601)*1.05</f>
        <v>0</v>
      </c>
      <c r="P77" s="326">
        <f t="shared" si="323"/>
        <v>0</v>
      </c>
      <c r="Q77" s="326">
        <f t="shared" si="324"/>
        <v>105637.2</v>
      </c>
      <c r="R77" s="326">
        <f t="shared" si="325"/>
        <v>105637.2</v>
      </c>
      <c r="S77" s="326">
        <f t="shared" si="326"/>
        <v>105637.2</v>
      </c>
      <c r="T77" s="137" t="str">
        <f t="shared" si="327"/>
        <v/>
      </c>
      <c r="U77" s="326">
        <f t="shared" si="328"/>
        <v>219905.76</v>
      </c>
      <c r="V77" s="326">
        <f t="shared" si="329"/>
        <v>398188.85727600002</v>
      </c>
      <c r="W77" s="326">
        <f t="shared" si="330"/>
        <v>0</v>
      </c>
      <c r="X77" s="326">
        <f t="shared" si="331"/>
        <v>0</v>
      </c>
      <c r="Y77" s="326">
        <f t="shared" si="332"/>
        <v>0</v>
      </c>
      <c r="Z77" s="326">
        <f t="shared" si="333"/>
        <v>-398188.85727600002</v>
      </c>
      <c r="AA77" s="137">
        <f>IFERROR(Y77/V77,"")</f>
        <v>0</v>
      </c>
      <c r="AB77" s="326">
        <f t="shared" si="335"/>
        <v>0</v>
      </c>
      <c r="AC77" s="326">
        <f t="shared" si="363"/>
        <v>0</v>
      </c>
      <c r="AD77" s="326">
        <f t="shared" si="337"/>
        <v>0</v>
      </c>
      <c r="AE77" s="326">
        <f t="shared" si="338"/>
        <v>0</v>
      </c>
      <c r="AF77" s="326">
        <f t="shared" si="339"/>
        <v>0</v>
      </c>
      <c r="AG77" s="326">
        <f t="shared" si="352"/>
        <v>0</v>
      </c>
      <c r="AH77" s="137" t="str">
        <f t="shared" si="353"/>
        <v/>
      </c>
      <c r="AI77" s="969">
        <f t="shared" si="354"/>
        <v>398188.85727600002</v>
      </c>
      <c r="AJ77" s="326">
        <f>IFERROR(VLOOKUP(M77,trim2024,2,FALSE),"")</f>
        <v>418385.84</v>
      </c>
      <c r="AK77" s="326">
        <f t="shared" ref="AK77:AL77" si="367">SUM(AD77,W77,P77)</f>
        <v>0</v>
      </c>
      <c r="AL77" s="326">
        <f t="shared" si="367"/>
        <v>105637.2</v>
      </c>
      <c r="AM77" s="326">
        <f t="shared" si="341"/>
        <v>105637.2</v>
      </c>
      <c r="AN77" s="326">
        <f>AM77-AJ77</f>
        <v>-312748.64</v>
      </c>
      <c r="AO77" s="970">
        <f>IFERROR(AM77/AJ77,"")</f>
        <v>0.25248751248369206</v>
      </c>
      <c r="AP77" s="941">
        <f t="shared" si="365"/>
        <v>283880.32000000001</v>
      </c>
      <c r="AQ77" s="326">
        <f>AS77-AR77</f>
        <v>0</v>
      </c>
      <c r="AR77" s="326">
        <f>IFERROR(VLOOKUP(M77,VARGALIM,6,FALSE),"")</f>
        <v>0</v>
      </c>
      <c r="AS77" s="326">
        <f>IFERROR(VLOOKUP(M77,VARFC,6,FALSE),"")</f>
        <v>0</v>
      </c>
      <c r="AT77" s="941">
        <f>IFERROR(VLOOKUP(M77,VARGAS24,7,FALSE),"")</f>
        <v>103904.96000000001</v>
      </c>
      <c r="AU77" s="326">
        <f>AW77-AV77</f>
        <v>0</v>
      </c>
      <c r="AV77" s="326">
        <f>IFERROR(VLOOKUP(M77,VARGALIM,7,FALSE),"")</f>
        <v>0</v>
      </c>
      <c r="AW77" s="326">
        <f>IFERROR(VLOOKUP(M77,VARFC,7,FALSE),"")</f>
        <v>0</v>
      </c>
      <c r="AX77" s="941">
        <f>IFERROR(VLOOKUP(M77,VARGAS24,8,FALSE),"")</f>
        <v>111776.48</v>
      </c>
      <c r="AY77" s="326">
        <f>BA77-AZ77</f>
        <v>0</v>
      </c>
      <c r="AZ77" s="326">
        <f>IFERROR(VLOOKUP(M77,VARGALIM,8,FALSE),"")</f>
        <v>0</v>
      </c>
      <c r="BA77" s="326">
        <f>IFERROR(VLOOKUP(M77,VARFC,8,FALSE),"")</f>
        <v>0</v>
      </c>
      <c r="BB77" s="326">
        <f>AY77+AU77+AQ77</f>
        <v>0</v>
      </c>
      <c r="BC77" s="326">
        <f>AR77+AV77+AZ77</f>
        <v>0</v>
      </c>
      <c r="BD77" s="326">
        <f>SUM(BA77+AW77+AS77)</f>
        <v>0</v>
      </c>
      <c r="BE77" s="326">
        <f>BB77+AK77</f>
        <v>0</v>
      </c>
      <c r="BF77" s="326">
        <f t="shared" ref="BF77:BG77" si="368">SUM(BC77,AL77)</f>
        <v>105637.2</v>
      </c>
      <c r="BG77" s="326">
        <f t="shared" si="368"/>
        <v>105637.2</v>
      </c>
      <c r="BH77" s="941">
        <f>IFERROR(VLOOKUP(M77,VARGAS24,9,FALSE),"")</f>
        <v>120484.2</v>
      </c>
      <c r="BI77" s="326">
        <f>BK77-BJ77</f>
        <v>0</v>
      </c>
      <c r="BJ77" s="326">
        <f>IFERROR(VLOOKUP(M77,VARGALIM,9,FALSE),"")</f>
        <v>0</v>
      </c>
      <c r="BK77" s="326">
        <f>IFERROR(VLOOKUP(M77,VARFC,9,FALSE),"")</f>
        <v>0</v>
      </c>
      <c r="BL77" s="971">
        <f t="shared" si="342"/>
        <v>163728.95999999999</v>
      </c>
      <c r="BM77" s="972">
        <f t="shared" si="343"/>
        <v>0</v>
      </c>
      <c r="BN77" s="941">
        <f t="shared" si="344"/>
        <v>0</v>
      </c>
      <c r="BO77" s="973">
        <f t="shared" si="345"/>
        <v>0</v>
      </c>
      <c r="BP77" s="939">
        <f t="shared" si="346"/>
        <v>129219.84</v>
      </c>
      <c r="BQ77" s="941">
        <f t="shared" si="347"/>
        <v>0</v>
      </c>
      <c r="BR77" s="941">
        <f t="shared" si="348"/>
        <v>0</v>
      </c>
      <c r="BS77" s="971">
        <f t="shared" si="349"/>
        <v>0</v>
      </c>
      <c r="BT77" s="972">
        <f t="shared" ref="BT77:BU77" si="369">SUM(BQ77,BM77,BI77)</f>
        <v>0</v>
      </c>
      <c r="BU77" s="941">
        <f t="shared" si="369"/>
        <v>0</v>
      </c>
      <c r="BV77" s="973"/>
      <c r="BW77" s="939">
        <f t="shared" si="315"/>
        <v>145403.84</v>
      </c>
      <c r="BX77" s="941"/>
      <c r="BY77" s="941"/>
      <c r="BZ77" s="973"/>
      <c r="CA77" s="939">
        <f t="shared" si="316"/>
        <v>193702.56</v>
      </c>
      <c r="CB77" s="941">
        <f t="shared" si="317"/>
        <v>79279.44</v>
      </c>
    </row>
    <row r="78" spans="1:116" ht="13">
      <c r="A78" s="323" t="e">
        <f t="shared" si="318"/>
        <v>#N/A</v>
      </c>
      <c r="B78" s="324">
        <v>19</v>
      </c>
      <c r="C78" s="558">
        <f t="shared" si="320"/>
        <v>0.05</v>
      </c>
      <c r="D78" s="558">
        <f t="shared" si="321"/>
        <v>0</v>
      </c>
      <c r="E78" s="558">
        <f t="shared" si="322"/>
        <v>0</v>
      </c>
      <c r="F78" s="798"/>
      <c r="G78" s="558"/>
      <c r="H78" s="558"/>
      <c r="I78" s="558"/>
      <c r="J78" s="637"/>
      <c r="K78" s="558"/>
      <c r="L78" s="558"/>
      <c r="M78" s="325" t="s">
        <v>905</v>
      </c>
      <c r="N78" s="326">
        <f t="shared" si="362"/>
        <v>0</v>
      </c>
      <c r="O78" s="599">
        <v>1500000</v>
      </c>
      <c r="P78" s="326" t="e">
        <f t="shared" si="323"/>
        <v>#VALUE!</v>
      </c>
      <c r="Q78" s="326" t="str">
        <f t="shared" si="324"/>
        <v/>
      </c>
      <c r="R78" s="326" t="str">
        <f t="shared" si="325"/>
        <v/>
      </c>
      <c r="S78" s="326" t="e">
        <f t="shared" si="326"/>
        <v>#VALUE!</v>
      </c>
      <c r="T78" s="137" t="str">
        <f t="shared" si="327"/>
        <v/>
      </c>
      <c r="U78" s="326">
        <f t="shared" si="328"/>
        <v>0</v>
      </c>
      <c r="V78" s="326">
        <f t="shared" si="329"/>
        <v>0</v>
      </c>
      <c r="W78" s="326" t="e">
        <f t="shared" si="330"/>
        <v>#VALUE!</v>
      </c>
      <c r="X78" s="326" t="str">
        <f t="shared" si="331"/>
        <v/>
      </c>
      <c r="Y78" s="326" t="str">
        <f t="shared" si="332"/>
        <v/>
      </c>
      <c r="Z78" s="326" t="e">
        <f t="shared" si="333"/>
        <v>#VALUE!</v>
      </c>
      <c r="AA78" s="137" t="e">
        <f>Y78/V78</f>
        <v>#VALUE!</v>
      </c>
      <c r="AB78" s="326">
        <f t="shared" si="335"/>
        <v>0</v>
      </c>
      <c r="AC78" s="326">
        <f t="shared" si="363"/>
        <v>0</v>
      </c>
      <c r="AD78" s="326" t="e">
        <f t="shared" si="337"/>
        <v>#VALUE!</v>
      </c>
      <c r="AE78" s="326" t="str">
        <f t="shared" si="338"/>
        <v/>
      </c>
      <c r="AF78" s="326" t="str">
        <f t="shared" si="339"/>
        <v/>
      </c>
      <c r="AG78" s="326" t="e">
        <f t="shared" si="352"/>
        <v>#VALUE!</v>
      </c>
      <c r="AH78" s="137" t="str">
        <f t="shared" si="353"/>
        <v/>
      </c>
      <c r="AI78" s="969">
        <f t="shared" si="354"/>
        <v>1500000</v>
      </c>
      <c r="AJ78" s="969"/>
      <c r="AK78" s="326" t="e">
        <f t="shared" ref="AK78:AL78" si="370">SUM(AD78,W78,P78)</f>
        <v>#VALUE!</v>
      </c>
      <c r="AL78" s="326">
        <f t="shared" si="370"/>
        <v>0</v>
      </c>
      <c r="AM78" s="326">
        <f t="shared" si="341"/>
        <v>0</v>
      </c>
      <c r="AN78" s="969"/>
      <c r="AO78" s="970"/>
      <c r="AP78" s="941">
        <f t="shared" si="365"/>
        <v>196452.84</v>
      </c>
      <c r="AQ78" s="326"/>
      <c r="AR78" s="326"/>
      <c r="AS78" s="326"/>
      <c r="AT78" s="941"/>
      <c r="AU78" s="326"/>
      <c r="AV78" s="326"/>
      <c r="AW78" s="326"/>
      <c r="AX78" s="941"/>
      <c r="AY78" s="941"/>
      <c r="AZ78" s="941"/>
      <c r="BA78" s="941"/>
      <c r="BB78" s="941"/>
      <c r="BC78" s="941"/>
      <c r="BD78" s="941"/>
      <c r="BE78" s="941"/>
      <c r="BF78" s="941"/>
      <c r="BG78" s="941"/>
      <c r="BH78" s="941"/>
      <c r="BI78" s="941"/>
      <c r="BJ78" s="941"/>
      <c r="BK78" s="941"/>
      <c r="BL78" s="971">
        <f t="shared" si="342"/>
        <v>173347.12</v>
      </c>
      <c r="BM78" s="972" t="e">
        <f t="shared" si="343"/>
        <v>#VALUE!</v>
      </c>
      <c r="BN78" s="941" t="str">
        <f t="shared" si="344"/>
        <v/>
      </c>
      <c r="BO78" s="973" t="str">
        <f t="shared" si="345"/>
        <v/>
      </c>
      <c r="BP78" s="939">
        <f t="shared" si="346"/>
        <v>110965.56</v>
      </c>
      <c r="BQ78" s="941" t="e">
        <f t="shared" si="347"/>
        <v>#VALUE!</v>
      </c>
      <c r="BR78" s="941" t="str">
        <f t="shared" si="348"/>
        <v/>
      </c>
      <c r="BS78" s="971" t="str">
        <f t="shared" si="349"/>
        <v/>
      </c>
      <c r="BT78" s="972" t="e">
        <f t="shared" ref="BT78:BU78" si="371">SUM(BQ78,BM78,BI78)</f>
        <v>#VALUE!</v>
      </c>
      <c r="BU78" s="941">
        <f t="shared" si="371"/>
        <v>0</v>
      </c>
      <c r="BV78" s="973"/>
      <c r="BW78" s="939">
        <f t="shared" si="315"/>
        <v>0</v>
      </c>
      <c r="BX78" s="941"/>
      <c r="BY78" s="941"/>
      <c r="BZ78" s="973"/>
      <c r="CA78" s="939">
        <f t="shared" si="316"/>
        <v>0</v>
      </c>
      <c r="CB78" s="941">
        <f t="shared" si="317"/>
        <v>0</v>
      </c>
    </row>
    <row r="79" spans="1:116" ht="13">
      <c r="A79" s="323" t="e">
        <f t="shared" si="318"/>
        <v>#N/A</v>
      </c>
      <c r="B79" s="324">
        <f>VLOOKUP(M79,VARGASCARTERA,2,FALSE)</f>
        <v>22</v>
      </c>
      <c r="C79" s="558">
        <f t="shared" si="320"/>
        <v>0.1</v>
      </c>
      <c r="D79" s="558">
        <f t="shared" si="321"/>
        <v>0.09</v>
      </c>
      <c r="E79" s="558">
        <f t="shared" si="322"/>
        <v>0</v>
      </c>
      <c r="F79" s="798"/>
      <c r="G79" s="558"/>
      <c r="H79" s="558"/>
      <c r="I79" s="558"/>
      <c r="J79" s="637"/>
      <c r="K79" s="558"/>
      <c r="L79" s="558"/>
      <c r="M79" s="325" t="s">
        <v>906</v>
      </c>
      <c r="N79" s="326">
        <f t="shared" si="362"/>
        <v>410180.27</v>
      </c>
      <c r="O79" s="975">
        <v>1800000</v>
      </c>
      <c r="P79" s="326" t="e">
        <f t="shared" si="323"/>
        <v>#VALUE!</v>
      </c>
      <c r="Q79" s="326" t="str">
        <f t="shared" si="324"/>
        <v/>
      </c>
      <c r="R79" s="326" t="str">
        <f t="shared" si="325"/>
        <v/>
      </c>
      <c r="S79" s="326" t="e">
        <f t="shared" si="326"/>
        <v>#VALUE!</v>
      </c>
      <c r="T79" s="137" t="str">
        <f t="shared" si="327"/>
        <v/>
      </c>
      <c r="U79" s="326">
        <f t="shared" si="328"/>
        <v>55386</v>
      </c>
      <c r="V79" s="975">
        <v>1800000</v>
      </c>
      <c r="W79" s="326" t="e">
        <f t="shared" si="330"/>
        <v>#VALUE!</v>
      </c>
      <c r="X79" s="326" t="str">
        <f t="shared" si="331"/>
        <v/>
      </c>
      <c r="Y79" s="326" t="str">
        <f t="shared" si="332"/>
        <v/>
      </c>
      <c r="Z79" s="326" t="e">
        <f t="shared" si="333"/>
        <v>#VALUE!</v>
      </c>
      <c r="AA79" s="137" t="str">
        <f>IFERROR(Y79/V79,"")</f>
        <v/>
      </c>
      <c r="AB79" s="326">
        <f t="shared" si="335"/>
        <v>124857.47</v>
      </c>
      <c r="AC79" s="975">
        <v>1800000</v>
      </c>
      <c r="AD79" s="326" t="e">
        <f t="shared" si="337"/>
        <v>#VALUE!</v>
      </c>
      <c r="AE79" s="326" t="str">
        <f t="shared" si="338"/>
        <v/>
      </c>
      <c r="AF79" s="326" t="str">
        <f t="shared" si="339"/>
        <v/>
      </c>
      <c r="AG79" s="326" t="e">
        <f t="shared" si="352"/>
        <v>#VALUE!</v>
      </c>
      <c r="AH79" s="137" t="str">
        <f t="shared" si="353"/>
        <v/>
      </c>
      <c r="AI79" s="969">
        <f t="shared" si="354"/>
        <v>5400000</v>
      </c>
      <c r="AJ79" s="326" t="str">
        <f>IFERROR(VLOOKUP(M79,trim2024,2,FALSE),"")</f>
        <v/>
      </c>
      <c r="AK79" s="326" t="e">
        <f t="shared" ref="AK79:AL79" si="372">SUM(AD79,W79,P79)</f>
        <v>#VALUE!</v>
      </c>
      <c r="AL79" s="326">
        <f t="shared" si="372"/>
        <v>0</v>
      </c>
      <c r="AM79" s="326">
        <f t="shared" si="341"/>
        <v>0</v>
      </c>
      <c r="AN79" s="326" t="e">
        <f>AM79-AJ79</f>
        <v>#VALUE!</v>
      </c>
      <c r="AO79" s="970" t="str">
        <f>IFERROR(AM79/AJ79,"")</f>
        <v/>
      </c>
      <c r="AP79" s="941">
        <f t="shared" si="365"/>
        <v>27794.48</v>
      </c>
      <c r="AQ79" s="326" t="e">
        <f>AS79-AR79</f>
        <v>#VALUE!</v>
      </c>
      <c r="AR79" s="326" t="str">
        <f>IFERROR(VLOOKUP(M79,VARGALIM,6,FALSE),"")</f>
        <v/>
      </c>
      <c r="AS79" s="326" t="str">
        <f>IFERROR(VLOOKUP(M79,VARFC,6,FALSE),"")</f>
        <v/>
      </c>
      <c r="AT79" s="941">
        <f>IFERROR(VLOOKUP(M79,VARGAS24,7,FALSE),"")</f>
        <v>58237.94</v>
      </c>
      <c r="AU79" s="326" t="e">
        <f>AW79-AV79</f>
        <v>#VALUE!</v>
      </c>
      <c r="AV79" s="326" t="str">
        <f>IFERROR(VLOOKUP(M79,VARGALIM,7,FALSE),"")</f>
        <v/>
      </c>
      <c r="AW79" s="326" t="str">
        <f>IFERROR(VLOOKUP(M79,VARFC,7,FALSE),"")</f>
        <v/>
      </c>
      <c r="AX79" s="941">
        <f>IFERROR(VLOOKUP(M79,VARGAS24,8,FALSE),"")</f>
        <v>446751.87</v>
      </c>
      <c r="AY79" s="326" t="e">
        <f>BA79-AZ79</f>
        <v>#VALUE!</v>
      </c>
      <c r="AZ79" s="326" t="str">
        <f>IFERROR(VLOOKUP(M79,VARGALIM,8,FALSE),"")</f>
        <v/>
      </c>
      <c r="BA79" s="326" t="str">
        <f>IFERROR(VLOOKUP(M79,VARFC,8,FALSE),"")</f>
        <v/>
      </c>
      <c r="BB79" s="326" t="e">
        <f>AY79+AU79+AQ79</f>
        <v>#VALUE!</v>
      </c>
      <c r="BC79" s="326" t="e">
        <f>AR79+AV79+AZ79</f>
        <v>#VALUE!</v>
      </c>
      <c r="BD79" s="326" t="e">
        <f>SUM(BA79+AW79+AS79)</f>
        <v>#VALUE!</v>
      </c>
      <c r="BE79" s="326" t="e">
        <f>BB79+AK79</f>
        <v>#VALUE!</v>
      </c>
      <c r="BF79" s="326" t="e">
        <f t="shared" ref="BF79:BG79" si="373">SUM(BC79,AL79)</f>
        <v>#VALUE!</v>
      </c>
      <c r="BG79" s="326" t="e">
        <f t="shared" si="373"/>
        <v>#VALUE!</v>
      </c>
      <c r="BH79" s="941">
        <f>IFERROR(VLOOKUP(M79,VARGAS24,9,FALSE),"")</f>
        <v>17503.650000000001</v>
      </c>
      <c r="BI79" s="326" t="e">
        <f>BK79-BJ79</f>
        <v>#VALUE!</v>
      </c>
      <c r="BJ79" s="326" t="str">
        <f>IFERROR(VLOOKUP(M79,VARGALIM,9,FALSE),"")</f>
        <v/>
      </c>
      <c r="BK79" s="326" t="str">
        <f>IFERROR(VLOOKUP(M79,VARFC,9,FALSE),"")</f>
        <v/>
      </c>
      <c r="BL79" s="971">
        <f t="shared" si="342"/>
        <v>164923.56</v>
      </c>
      <c r="BM79" s="972" t="e">
        <f t="shared" si="343"/>
        <v>#VALUE!</v>
      </c>
      <c r="BN79" s="941" t="str">
        <f t="shared" si="344"/>
        <v/>
      </c>
      <c r="BO79" s="973" t="str">
        <f t="shared" si="345"/>
        <v/>
      </c>
      <c r="BP79" s="939">
        <f t="shared" si="346"/>
        <v>0</v>
      </c>
      <c r="BQ79" s="941" t="e">
        <f t="shared" si="347"/>
        <v>#VALUE!</v>
      </c>
      <c r="BR79" s="941" t="str">
        <f t="shared" si="348"/>
        <v/>
      </c>
      <c r="BS79" s="971" t="str">
        <f t="shared" si="349"/>
        <v/>
      </c>
      <c r="BT79" s="972" t="e">
        <f t="shared" ref="BT79:BU79" si="374">SUM(BQ79,BM79,BI79)</f>
        <v>#VALUE!</v>
      </c>
      <c r="BU79" s="941">
        <f t="shared" si="374"/>
        <v>0</v>
      </c>
      <c r="BV79" s="973"/>
      <c r="BW79" s="939">
        <f t="shared" si="315"/>
        <v>0</v>
      </c>
      <c r="BX79" s="941"/>
      <c r="BY79" s="941"/>
      <c r="BZ79" s="973"/>
      <c r="CA79" s="939">
        <f t="shared" si="316"/>
        <v>0</v>
      </c>
      <c r="CB79" s="941">
        <f t="shared" si="317"/>
        <v>0</v>
      </c>
    </row>
    <row r="80" spans="1:116" ht="13">
      <c r="A80" s="323" t="e">
        <f t="shared" si="318"/>
        <v>#N/A</v>
      </c>
      <c r="B80" s="324">
        <v>4</v>
      </c>
      <c r="C80" s="558" t="str">
        <f t="shared" si="320"/>
        <v>Lista</v>
      </c>
      <c r="D80" s="558">
        <f t="shared" si="321"/>
        <v>0.2</v>
      </c>
      <c r="E80" s="558">
        <f t="shared" si="322"/>
        <v>0</v>
      </c>
      <c r="F80" s="798"/>
      <c r="G80" s="558"/>
      <c r="H80" s="558"/>
      <c r="I80" s="558"/>
      <c r="J80" s="637"/>
      <c r="K80" s="558"/>
      <c r="L80" s="558"/>
      <c r="M80" s="325" t="s">
        <v>907</v>
      </c>
      <c r="N80" s="326">
        <f t="shared" si="362"/>
        <v>246963.88</v>
      </c>
      <c r="O80" s="326">
        <f>(N80*1.601)*1.05</f>
        <v>415158.63047400001</v>
      </c>
      <c r="P80" s="326" t="e">
        <f t="shared" si="323"/>
        <v>#VALUE!</v>
      </c>
      <c r="Q80" s="326" t="str">
        <f t="shared" si="324"/>
        <v/>
      </c>
      <c r="R80" s="326" t="str">
        <f t="shared" si="325"/>
        <v/>
      </c>
      <c r="S80" s="326" t="e">
        <f t="shared" si="326"/>
        <v>#VALUE!</v>
      </c>
      <c r="T80" s="137" t="str">
        <f t="shared" si="327"/>
        <v/>
      </c>
      <c r="U80" s="326">
        <f t="shared" si="328"/>
        <v>559876.53</v>
      </c>
      <c r="V80" s="326">
        <f>(U80*1.7245)*1.05</f>
        <v>1013782.4297842501</v>
      </c>
      <c r="W80" s="326" t="e">
        <f t="shared" si="330"/>
        <v>#VALUE!</v>
      </c>
      <c r="X80" s="326" t="str">
        <f t="shared" si="331"/>
        <v/>
      </c>
      <c r="Y80" s="326" t="str">
        <f t="shared" si="332"/>
        <v/>
      </c>
      <c r="Z80" s="326" t="e">
        <f t="shared" si="333"/>
        <v>#VALUE!</v>
      </c>
      <c r="AA80" s="137" t="e">
        <f>Y80/V80</f>
        <v>#VALUE!</v>
      </c>
      <c r="AB80" s="326">
        <f t="shared" si="335"/>
        <v>0</v>
      </c>
      <c r="AC80" s="326">
        <f>(AB80*1.5955)*1.05</f>
        <v>0</v>
      </c>
      <c r="AD80" s="326" t="e">
        <f t="shared" si="337"/>
        <v>#VALUE!</v>
      </c>
      <c r="AE80" s="326" t="str">
        <f t="shared" si="338"/>
        <v/>
      </c>
      <c r="AF80" s="326" t="str">
        <f t="shared" si="339"/>
        <v/>
      </c>
      <c r="AG80" s="326" t="e">
        <f t="shared" si="352"/>
        <v>#VALUE!</v>
      </c>
      <c r="AH80" s="137" t="str">
        <f t="shared" si="353"/>
        <v/>
      </c>
      <c r="AI80" s="969">
        <f t="shared" si="354"/>
        <v>1428941.0602582502</v>
      </c>
      <c r="AJ80" s="969"/>
      <c r="AK80" s="326" t="e">
        <f t="shared" ref="AK80:AL80" si="375">SUM(AD80,W80,P80)</f>
        <v>#VALUE!</v>
      </c>
      <c r="AL80" s="326">
        <f t="shared" si="375"/>
        <v>0</v>
      </c>
      <c r="AM80" s="326">
        <f t="shared" si="341"/>
        <v>0</v>
      </c>
      <c r="AN80" s="969"/>
      <c r="AO80" s="970"/>
      <c r="AP80" s="941">
        <f t="shared" si="365"/>
        <v>354850.4</v>
      </c>
      <c r="AQ80" s="326"/>
      <c r="AR80" s="326"/>
      <c r="AS80" s="326"/>
      <c r="AT80" s="941"/>
      <c r="AU80" s="326"/>
      <c r="AV80" s="326"/>
      <c r="AW80" s="326"/>
      <c r="AX80" s="941"/>
      <c r="AY80" s="941"/>
      <c r="AZ80" s="941"/>
      <c r="BA80" s="941"/>
      <c r="BB80" s="941"/>
      <c r="BC80" s="941"/>
      <c r="BD80" s="941"/>
      <c r="BE80" s="941"/>
      <c r="BF80" s="941"/>
      <c r="BG80" s="941"/>
      <c r="BH80" s="941"/>
      <c r="BI80" s="941"/>
      <c r="BJ80" s="941"/>
      <c r="BK80" s="941"/>
      <c r="BL80" s="971">
        <f t="shared" si="342"/>
        <v>0</v>
      </c>
      <c r="BM80" s="972" t="e">
        <f t="shared" si="343"/>
        <v>#VALUE!</v>
      </c>
      <c r="BN80" s="941" t="str">
        <f t="shared" si="344"/>
        <v/>
      </c>
      <c r="BO80" s="973" t="str">
        <f t="shared" si="345"/>
        <v/>
      </c>
      <c r="BP80" s="939">
        <f t="shared" si="346"/>
        <v>0</v>
      </c>
      <c r="BQ80" s="941" t="e">
        <f t="shared" si="347"/>
        <v>#VALUE!</v>
      </c>
      <c r="BR80" s="941" t="str">
        <f t="shared" si="348"/>
        <v/>
      </c>
      <c r="BS80" s="971" t="str">
        <f t="shared" si="349"/>
        <v/>
      </c>
      <c r="BT80" s="972" t="e">
        <f t="shared" ref="BT80:BU80" si="376">SUM(BQ80,BM80,BI80)</f>
        <v>#VALUE!</v>
      </c>
      <c r="BU80" s="941">
        <f t="shared" si="376"/>
        <v>0</v>
      </c>
      <c r="BV80" s="973"/>
      <c r="BW80" s="939">
        <f t="shared" si="315"/>
        <v>0</v>
      </c>
      <c r="BX80" s="941"/>
      <c r="BY80" s="941"/>
      <c r="BZ80" s="973"/>
      <c r="CA80" s="939">
        <f t="shared" si="316"/>
        <v>0</v>
      </c>
      <c r="CB80" s="941">
        <f t="shared" si="317"/>
        <v>0</v>
      </c>
    </row>
    <row r="81" spans="1:116" ht="13">
      <c r="A81" s="323" t="e">
        <f t="shared" si="318"/>
        <v>#N/A</v>
      </c>
      <c r="B81" s="324">
        <f>VLOOKUP(M81,VARGASCARTERA,2,FALSE)</f>
        <v>4</v>
      </c>
      <c r="C81" s="558" t="str">
        <f t="shared" si="320"/>
        <v>Lista</v>
      </c>
      <c r="D81" s="558">
        <f t="shared" si="321"/>
        <v>0.2</v>
      </c>
      <c r="E81" s="558">
        <f t="shared" si="322"/>
        <v>0</v>
      </c>
      <c r="F81" s="798"/>
      <c r="G81" s="558"/>
      <c r="H81" s="558"/>
      <c r="I81" s="558"/>
      <c r="J81" s="637"/>
      <c r="K81" s="558"/>
      <c r="L81" s="558"/>
      <c r="M81" s="325" t="s">
        <v>908</v>
      </c>
      <c r="N81" s="326">
        <f t="shared" si="362"/>
        <v>0</v>
      </c>
      <c r="O81" s="975">
        <v>1800000</v>
      </c>
      <c r="P81" s="326">
        <f t="shared" si="323"/>
        <v>626036.04999999993</v>
      </c>
      <c r="Q81" s="326">
        <f t="shared" si="324"/>
        <v>756549.33</v>
      </c>
      <c r="R81" s="326">
        <f t="shared" si="325"/>
        <v>1382585.38</v>
      </c>
      <c r="S81" s="326">
        <f t="shared" si="326"/>
        <v>-417414.62000000011</v>
      </c>
      <c r="T81" s="137">
        <f t="shared" si="327"/>
        <v>0.76810298888888884</v>
      </c>
      <c r="U81" s="326">
        <f t="shared" si="328"/>
        <v>0</v>
      </c>
      <c r="V81" s="975">
        <v>1800000</v>
      </c>
      <c r="W81" s="326">
        <f t="shared" si="330"/>
        <v>31724.280000000028</v>
      </c>
      <c r="X81" s="326">
        <f t="shared" si="331"/>
        <v>428124.31</v>
      </c>
      <c r="Y81" s="326">
        <f t="shared" si="332"/>
        <v>459848.59</v>
      </c>
      <c r="Z81" s="326">
        <f t="shared" si="333"/>
        <v>-1340151.4099999999</v>
      </c>
      <c r="AA81" s="137">
        <f>IFERROR(Y81/V81,"")</f>
        <v>0.2554714388888889</v>
      </c>
      <c r="AB81" s="326">
        <f t="shared" si="335"/>
        <v>0</v>
      </c>
      <c r="AC81" s="975">
        <v>1800000</v>
      </c>
      <c r="AD81" s="326">
        <f t="shared" si="337"/>
        <v>0</v>
      </c>
      <c r="AE81" s="326">
        <f t="shared" si="338"/>
        <v>0</v>
      </c>
      <c r="AF81" s="326">
        <f t="shared" si="339"/>
        <v>0</v>
      </c>
      <c r="AG81" s="326">
        <f t="shared" si="352"/>
        <v>-1800000</v>
      </c>
      <c r="AH81" s="137">
        <f t="shared" si="353"/>
        <v>0</v>
      </c>
      <c r="AI81" s="969">
        <f t="shared" si="354"/>
        <v>5400000</v>
      </c>
      <c r="AJ81" s="326">
        <f>IFERROR(VLOOKUP(M81,trim2024,2,FALSE),"")</f>
        <v>1580831.01</v>
      </c>
      <c r="AK81" s="326">
        <f t="shared" ref="AK81:AL81" si="377">SUM(AD81,W81,P81)</f>
        <v>657760.32999999996</v>
      </c>
      <c r="AL81" s="326">
        <f t="shared" si="377"/>
        <v>1184673.6399999999</v>
      </c>
      <c r="AM81" s="326">
        <f t="shared" si="341"/>
        <v>2302282.56</v>
      </c>
      <c r="AN81" s="326">
        <f>AM81-AJ81</f>
        <v>721451.55</v>
      </c>
      <c r="AO81" s="970">
        <f>IFERROR(AM81/AJ81,"")</f>
        <v>1.4563748720997067</v>
      </c>
      <c r="AP81" s="941">
        <f t="shared" si="365"/>
        <v>0</v>
      </c>
      <c r="AQ81" s="326">
        <f>AS81-AR81</f>
        <v>0</v>
      </c>
      <c r="AR81" s="326">
        <f>IFERROR(VLOOKUP(M81,VARGALIM,6,FALSE),"")</f>
        <v>0</v>
      </c>
      <c r="AS81" s="326">
        <f>IFERROR(VLOOKUP(M81,VARFC,6,FALSE),"")</f>
        <v>0</v>
      </c>
      <c r="AT81" s="941">
        <f>IFERROR(VLOOKUP(M81,VARGAS24,7,FALSE),"")</f>
        <v>0</v>
      </c>
      <c r="AU81" s="326">
        <f>AW81-AV81</f>
        <v>0</v>
      </c>
      <c r="AV81" s="326">
        <f>IFERROR(VLOOKUP(M81,VARGALIM,7,FALSE),"")</f>
        <v>0</v>
      </c>
      <c r="AW81" s="326">
        <f>IFERROR(VLOOKUP(M81,VARFC,7,FALSE),"")</f>
        <v>0</v>
      </c>
      <c r="AX81" s="941">
        <f>IFERROR(VLOOKUP(M81,VARGAS24,8,FALSE),"")</f>
        <v>0</v>
      </c>
      <c r="AY81" s="326">
        <f>BA81-AZ81</f>
        <v>0</v>
      </c>
      <c r="AZ81" s="326">
        <f>IFERROR(VLOOKUP(M81,VARGALIM,8,FALSE),"")</f>
        <v>0</v>
      </c>
      <c r="BA81" s="326">
        <f>IFERROR(VLOOKUP(M81,VARFC,8,FALSE),"")</f>
        <v>0</v>
      </c>
      <c r="BB81" s="326">
        <f>AY81+AU81+AQ81</f>
        <v>0</v>
      </c>
      <c r="BC81" s="326">
        <f>AR81+AV81+AZ81</f>
        <v>0</v>
      </c>
      <c r="BD81" s="326">
        <f>SUM(BA81+AW81+AS81)</f>
        <v>0</v>
      </c>
      <c r="BE81" s="326">
        <f>BB81+AK81</f>
        <v>657760.32999999996</v>
      </c>
      <c r="BF81" s="326">
        <f t="shared" ref="BF81:BG81" si="378">SUM(BC81,AL81)</f>
        <v>1184673.6399999999</v>
      </c>
      <c r="BG81" s="326">
        <f t="shared" si="378"/>
        <v>2302282.56</v>
      </c>
      <c r="BH81" s="941">
        <f>IFERROR(VLOOKUP(M81,VARGAS24,9,FALSE),"")</f>
        <v>0</v>
      </c>
      <c r="BI81" s="326">
        <f>BK81-BJ81</f>
        <v>0</v>
      </c>
      <c r="BJ81" s="326">
        <f>IFERROR(VLOOKUP(M81,VARGALIM,9,FALSE),"")</f>
        <v>0</v>
      </c>
      <c r="BK81" s="326">
        <f>IFERROR(VLOOKUP(M81,VARFC,9,FALSE),"")</f>
        <v>0</v>
      </c>
      <c r="BL81" s="971">
        <f t="shared" si="342"/>
        <v>2763235.05</v>
      </c>
      <c r="BM81" s="972">
        <f t="shared" si="343"/>
        <v>0</v>
      </c>
      <c r="BN81" s="941">
        <f t="shared" si="344"/>
        <v>17086.75</v>
      </c>
      <c r="BO81" s="973">
        <f t="shared" si="345"/>
        <v>17086.75</v>
      </c>
      <c r="BP81" s="939">
        <f t="shared" si="346"/>
        <v>2492600.46</v>
      </c>
      <c r="BQ81" s="941">
        <f t="shared" si="347"/>
        <v>0</v>
      </c>
      <c r="BR81" s="941">
        <f t="shared" si="348"/>
        <v>0</v>
      </c>
      <c r="BS81" s="971">
        <f t="shared" si="349"/>
        <v>0</v>
      </c>
      <c r="BT81" s="972">
        <f t="shared" ref="BT81:BU81" si="379">SUM(BQ81,BM81,BI81)</f>
        <v>0</v>
      </c>
      <c r="BU81" s="941">
        <f t="shared" si="379"/>
        <v>17086.75</v>
      </c>
      <c r="BV81" s="973"/>
      <c r="BW81" s="939">
        <f t="shared" si="315"/>
        <v>1393995.53</v>
      </c>
      <c r="BX81" s="941"/>
      <c r="BY81" s="941"/>
      <c r="BZ81" s="973"/>
      <c r="CA81" s="939">
        <f t="shared" si="316"/>
        <v>0</v>
      </c>
      <c r="CB81" s="941">
        <f t="shared" si="317"/>
        <v>186835.49</v>
      </c>
    </row>
    <row r="82" spans="1:116" ht="13">
      <c r="A82" s="323" t="e">
        <f t="shared" si="318"/>
        <v>#N/A</v>
      </c>
      <c r="B82" s="324">
        <v>7</v>
      </c>
      <c r="C82" s="558">
        <f t="shared" si="320"/>
        <v>0.1</v>
      </c>
      <c r="D82" s="558">
        <f t="shared" si="321"/>
        <v>0.2</v>
      </c>
      <c r="E82" s="558">
        <f t="shared" si="322"/>
        <v>0</v>
      </c>
      <c r="F82" s="798"/>
      <c r="G82" s="558"/>
      <c r="H82" s="558"/>
      <c r="I82" s="558"/>
      <c r="J82" s="637"/>
      <c r="K82" s="558"/>
      <c r="L82" s="558"/>
      <c r="M82" s="325" t="s">
        <v>909</v>
      </c>
      <c r="N82" s="326">
        <f t="shared" si="362"/>
        <v>0</v>
      </c>
      <c r="O82" s="975">
        <v>1800000</v>
      </c>
      <c r="P82" s="326" t="e">
        <f t="shared" si="323"/>
        <v>#VALUE!</v>
      </c>
      <c r="Q82" s="326" t="str">
        <f t="shared" si="324"/>
        <v/>
      </c>
      <c r="R82" s="326" t="str">
        <f t="shared" si="325"/>
        <v/>
      </c>
      <c r="S82" s="326" t="e">
        <f t="shared" si="326"/>
        <v>#VALUE!</v>
      </c>
      <c r="T82" s="137" t="str">
        <f t="shared" si="327"/>
        <v/>
      </c>
      <c r="U82" s="326">
        <f t="shared" si="328"/>
        <v>0</v>
      </c>
      <c r="V82" s="326">
        <f t="shared" ref="V82:V93" si="380">(U82*1.7245)*1.05</f>
        <v>0</v>
      </c>
      <c r="W82" s="326" t="e">
        <f t="shared" si="330"/>
        <v>#VALUE!</v>
      </c>
      <c r="X82" s="326" t="str">
        <f t="shared" si="331"/>
        <v/>
      </c>
      <c r="Y82" s="326" t="str">
        <f t="shared" si="332"/>
        <v/>
      </c>
      <c r="Z82" s="326" t="e">
        <f t="shared" si="333"/>
        <v>#VALUE!</v>
      </c>
      <c r="AA82" s="137" t="e">
        <f>Y82/V82</f>
        <v>#VALUE!</v>
      </c>
      <c r="AB82" s="326">
        <f t="shared" si="335"/>
        <v>0</v>
      </c>
      <c r="AC82" s="326">
        <f t="shared" ref="AC82:AC93" si="381">(AB82*1.5955)*1.05</f>
        <v>0</v>
      </c>
      <c r="AD82" s="326" t="e">
        <f t="shared" si="337"/>
        <v>#VALUE!</v>
      </c>
      <c r="AE82" s="326" t="str">
        <f t="shared" si="338"/>
        <v/>
      </c>
      <c r="AF82" s="326" t="str">
        <f t="shared" si="339"/>
        <v/>
      </c>
      <c r="AG82" s="326" t="e">
        <f t="shared" si="352"/>
        <v>#VALUE!</v>
      </c>
      <c r="AH82" s="137" t="str">
        <f t="shared" si="353"/>
        <v/>
      </c>
      <c r="AI82" s="969">
        <f t="shared" si="354"/>
        <v>1800000</v>
      </c>
      <c r="AJ82" s="969"/>
      <c r="AK82" s="326" t="e">
        <f t="shared" ref="AK82:AL82" si="382">SUM(AD82,W82,P82)</f>
        <v>#VALUE!</v>
      </c>
      <c r="AL82" s="326">
        <f t="shared" si="382"/>
        <v>0</v>
      </c>
      <c r="AM82" s="326">
        <f t="shared" si="341"/>
        <v>0</v>
      </c>
      <c r="AN82" s="969"/>
      <c r="AO82" s="970"/>
      <c r="AP82" s="941">
        <f t="shared" si="365"/>
        <v>0</v>
      </c>
      <c r="AQ82" s="326"/>
      <c r="AR82" s="326"/>
      <c r="AS82" s="326"/>
      <c r="AT82" s="941"/>
      <c r="AU82" s="326"/>
      <c r="AV82" s="326"/>
      <c r="AW82" s="326"/>
      <c r="AX82" s="941"/>
      <c r="AY82" s="941"/>
      <c r="AZ82" s="941"/>
      <c r="BA82" s="941"/>
      <c r="BB82" s="941"/>
      <c r="BC82" s="941"/>
      <c r="BD82" s="941"/>
      <c r="BE82" s="941"/>
      <c r="BF82" s="941"/>
      <c r="BG82" s="941"/>
      <c r="BH82" s="941"/>
      <c r="BI82" s="941"/>
      <c r="BJ82" s="941"/>
      <c r="BK82" s="941"/>
      <c r="BL82" s="971">
        <f t="shared" si="342"/>
        <v>761287.95</v>
      </c>
      <c r="BM82" s="972" t="e">
        <f t="shared" si="343"/>
        <v>#VALUE!</v>
      </c>
      <c r="BN82" s="941" t="str">
        <f t="shared" si="344"/>
        <v/>
      </c>
      <c r="BO82" s="973" t="str">
        <f t="shared" si="345"/>
        <v/>
      </c>
      <c r="BP82" s="939">
        <f t="shared" si="346"/>
        <v>352163.09</v>
      </c>
      <c r="BQ82" s="941" t="e">
        <f t="shared" si="347"/>
        <v>#VALUE!</v>
      </c>
      <c r="BR82" s="941" t="str">
        <f t="shared" si="348"/>
        <v/>
      </c>
      <c r="BS82" s="971" t="str">
        <f t="shared" si="349"/>
        <v/>
      </c>
      <c r="BT82" s="972" t="e">
        <f t="shared" ref="BT82:BU82" si="383">SUM(BQ82,BM82,BI82)</f>
        <v>#VALUE!</v>
      </c>
      <c r="BU82" s="941">
        <f t="shared" si="383"/>
        <v>0</v>
      </c>
      <c r="BV82" s="973"/>
      <c r="BW82" s="939">
        <f t="shared" si="315"/>
        <v>291106.32</v>
      </c>
      <c r="BX82" s="941"/>
      <c r="BY82" s="941"/>
      <c r="BZ82" s="973"/>
      <c r="CA82" s="939">
        <f t="shared" si="316"/>
        <v>0</v>
      </c>
      <c r="CB82" s="941">
        <f t="shared" si="317"/>
        <v>0</v>
      </c>
    </row>
    <row r="83" spans="1:116" ht="13">
      <c r="A83" s="323" t="e">
        <f t="shared" si="318"/>
        <v>#N/A</v>
      </c>
      <c r="B83" s="324">
        <f>VLOOKUP(M83,VARGASCARTERA,2,FALSE)</f>
        <v>1</v>
      </c>
      <c r="C83" s="558" t="str">
        <f t="shared" si="320"/>
        <v>Lista</v>
      </c>
      <c r="D83" s="558">
        <f t="shared" si="321"/>
        <v>0.09</v>
      </c>
      <c r="E83" s="558">
        <f t="shared" si="322"/>
        <v>0</v>
      </c>
      <c r="F83" s="798"/>
      <c r="G83" s="558"/>
      <c r="H83" s="558"/>
      <c r="I83" s="558"/>
      <c r="J83" s="637"/>
      <c r="K83" s="558"/>
      <c r="L83" s="558"/>
      <c r="M83" s="325" t="s">
        <v>910</v>
      </c>
      <c r="N83" s="326">
        <f t="shared" si="362"/>
        <v>180100.42</v>
      </c>
      <c r="O83" s="326">
        <f>(N83*1.601)*1.05</f>
        <v>302757.81104100001</v>
      </c>
      <c r="P83" s="326" t="e">
        <f t="shared" si="323"/>
        <v>#VALUE!</v>
      </c>
      <c r="Q83" s="326" t="str">
        <f t="shared" si="324"/>
        <v/>
      </c>
      <c r="R83" s="326">
        <f t="shared" si="325"/>
        <v>266342.77</v>
      </c>
      <c r="S83" s="326">
        <f t="shared" si="326"/>
        <v>-36415.041040999989</v>
      </c>
      <c r="T83" s="137">
        <f t="shared" si="327"/>
        <v>0.87972220793976941</v>
      </c>
      <c r="U83" s="326">
        <f t="shared" si="328"/>
        <v>0</v>
      </c>
      <c r="V83" s="326">
        <f t="shared" si="380"/>
        <v>0</v>
      </c>
      <c r="W83" s="326" t="e">
        <f t="shared" si="330"/>
        <v>#VALUE!</v>
      </c>
      <c r="X83" s="326" t="str">
        <f t="shared" si="331"/>
        <v/>
      </c>
      <c r="Y83" s="326">
        <f t="shared" si="332"/>
        <v>160503.79999999999</v>
      </c>
      <c r="Z83" s="326">
        <f t="shared" si="333"/>
        <v>160503.79999999999</v>
      </c>
      <c r="AA83" s="137" t="str">
        <f>IFERROR(Y83/V83,"")</f>
        <v/>
      </c>
      <c r="AB83" s="326">
        <f t="shared" si="335"/>
        <v>127179.88</v>
      </c>
      <c r="AC83" s="326">
        <f t="shared" si="381"/>
        <v>213061.27346700002</v>
      </c>
      <c r="AD83" s="326" t="e">
        <f t="shared" si="337"/>
        <v>#VALUE!</v>
      </c>
      <c r="AE83" s="326" t="str">
        <f t="shared" si="338"/>
        <v/>
      </c>
      <c r="AF83" s="326">
        <f t="shared" si="339"/>
        <v>106170.27</v>
      </c>
      <c r="AG83" s="326">
        <f t="shared" si="352"/>
        <v>-106891.00346700002</v>
      </c>
      <c r="AH83" s="137">
        <f t="shared" si="353"/>
        <v>0.49830862395762493</v>
      </c>
      <c r="AI83" s="969">
        <f t="shared" si="354"/>
        <v>515819.08450800006</v>
      </c>
      <c r="AJ83" s="326">
        <f>IFERROR(VLOOKUP(M83,trim2024,2,FALSE),"")</f>
        <v>1065984.3799999999</v>
      </c>
      <c r="AK83" s="326" t="e">
        <f t="shared" ref="AK83:AL83" si="384">SUM(AD83,W83,P83)</f>
        <v>#VALUE!</v>
      </c>
      <c r="AL83" s="326">
        <f t="shared" si="384"/>
        <v>0</v>
      </c>
      <c r="AM83" s="326">
        <f t="shared" si="341"/>
        <v>693520.64</v>
      </c>
      <c r="AN83" s="326">
        <f>AM83-AJ83</f>
        <v>-372463.73999999987</v>
      </c>
      <c r="AO83" s="970">
        <f>IFERROR(AM83/AJ83,"")</f>
        <v>0.65059174694473487</v>
      </c>
      <c r="AP83" s="941">
        <f t="shared" si="365"/>
        <v>141986.35</v>
      </c>
      <c r="AQ83" s="326" t="e">
        <f>AS83-AR83</f>
        <v>#VALUE!</v>
      </c>
      <c r="AR83" s="326" t="str">
        <f>IFERROR(VLOOKUP(M83,VARGALIM,6,FALSE),"")</f>
        <v/>
      </c>
      <c r="AS83" s="326">
        <f>IFERROR(VLOOKUP(M83,VARFC,6,FALSE),"")</f>
        <v>67987</v>
      </c>
      <c r="AT83" s="941">
        <f>IFERROR(VLOOKUP(M83,VARGAS24,7,FALSE),"")</f>
        <v>123145.28</v>
      </c>
      <c r="AU83" s="326" t="e">
        <f>AW83-AV83</f>
        <v>#VALUE!</v>
      </c>
      <c r="AV83" s="326" t="str">
        <f>IFERROR(VLOOKUP(M83,VARGALIM,7,FALSE),"")</f>
        <v/>
      </c>
      <c r="AW83" s="326">
        <f>IFERROR(VLOOKUP(M83,VARFC,7,FALSE),"")</f>
        <v>0</v>
      </c>
      <c r="AX83" s="941">
        <f>IFERROR(VLOOKUP(M83,VARGAS24,8,FALSE),"")</f>
        <v>96251.26</v>
      </c>
      <c r="AY83" s="326" t="e">
        <f>BA83-AZ83</f>
        <v>#VALUE!</v>
      </c>
      <c r="AZ83" s="326" t="str">
        <f>IFERROR(VLOOKUP(M83,VARGALIM,8,FALSE),"")</f>
        <v/>
      </c>
      <c r="BA83" s="326">
        <f>IFERROR(VLOOKUP(M83,VARFC,8,FALSE),"")</f>
        <v>0</v>
      </c>
      <c r="BB83" s="326" t="e">
        <f>AY83+AU83+AQ83</f>
        <v>#VALUE!</v>
      </c>
      <c r="BC83" s="326" t="e">
        <f>AR83+AV83+AZ83</f>
        <v>#VALUE!</v>
      </c>
      <c r="BD83" s="326">
        <f>SUM(BA83+AW83+AS83)</f>
        <v>67987</v>
      </c>
      <c r="BE83" s="326" t="e">
        <f>BB83+AK83</f>
        <v>#VALUE!</v>
      </c>
      <c r="BF83" s="326" t="e">
        <f t="shared" ref="BF83:BG83" si="385">SUM(BC83,AL83)</f>
        <v>#VALUE!</v>
      </c>
      <c r="BG83" s="326">
        <f t="shared" si="385"/>
        <v>761507.64</v>
      </c>
      <c r="BH83" s="941">
        <f>IFERROR(VLOOKUP(M83,VARGAS24,9,FALSE),"")</f>
        <v>152266.98000000001</v>
      </c>
      <c r="BI83" s="326" t="e">
        <f>BK83-BJ83</f>
        <v>#VALUE!</v>
      </c>
      <c r="BJ83" s="326" t="str">
        <f>IFERROR(VLOOKUP(M83,VARGALIM,9,FALSE),"")</f>
        <v/>
      </c>
      <c r="BK83" s="326">
        <f>IFERROR(VLOOKUP(M83,VARFC,9,FALSE),"")</f>
        <v>0</v>
      </c>
      <c r="BL83" s="971">
        <f t="shared" si="342"/>
        <v>252174.33</v>
      </c>
      <c r="BM83" s="972" t="e">
        <f t="shared" si="343"/>
        <v>#VALUE!</v>
      </c>
      <c r="BN83" s="941" t="str">
        <f t="shared" si="344"/>
        <v/>
      </c>
      <c r="BO83" s="973">
        <f t="shared" si="345"/>
        <v>0</v>
      </c>
      <c r="BP83" s="939">
        <f t="shared" si="346"/>
        <v>129841.48</v>
      </c>
      <c r="BQ83" s="941" t="e">
        <f t="shared" si="347"/>
        <v>#VALUE!</v>
      </c>
      <c r="BR83" s="941" t="str">
        <f t="shared" si="348"/>
        <v/>
      </c>
      <c r="BS83" s="971">
        <f t="shared" si="349"/>
        <v>0</v>
      </c>
      <c r="BT83" s="972" t="e">
        <f t="shared" ref="BT83:BU83" si="386">SUM(BQ83,BM83,BI83)</f>
        <v>#VALUE!</v>
      </c>
      <c r="BU83" s="941">
        <f t="shared" si="386"/>
        <v>0</v>
      </c>
      <c r="BV83" s="973"/>
      <c r="BW83" s="939">
        <f t="shared" si="315"/>
        <v>297450.51</v>
      </c>
      <c r="BX83" s="941"/>
      <c r="BY83" s="941"/>
      <c r="BZ83" s="973"/>
      <c r="CA83" s="939">
        <f t="shared" si="316"/>
        <v>295615.58</v>
      </c>
      <c r="CB83" s="941">
        <f t="shared" si="317"/>
        <v>472918.29</v>
      </c>
    </row>
    <row r="84" spans="1:116" ht="13">
      <c r="A84" s="323" t="e">
        <f t="shared" si="318"/>
        <v>#N/A</v>
      </c>
      <c r="B84" s="324" t="e">
        <f>VLOOKUP(M84,VARGASCARTERA,2,FALSE)</f>
        <v>#N/A</v>
      </c>
      <c r="C84" s="558" t="str">
        <f t="shared" si="320"/>
        <v/>
      </c>
      <c r="D84" s="558" t="str">
        <f t="shared" si="321"/>
        <v/>
      </c>
      <c r="E84" s="558" t="str">
        <f t="shared" si="322"/>
        <v/>
      </c>
      <c r="F84" s="798"/>
      <c r="G84" s="558"/>
      <c r="H84" s="558"/>
      <c r="I84" s="558"/>
      <c r="J84" s="637"/>
      <c r="K84" s="558"/>
      <c r="L84" s="558"/>
      <c r="M84" s="325" t="s">
        <v>911</v>
      </c>
      <c r="N84" s="326">
        <f t="shared" si="362"/>
        <v>0</v>
      </c>
      <c r="O84" s="585">
        <v>2500000</v>
      </c>
      <c r="P84" s="326" t="e">
        <f t="shared" si="323"/>
        <v>#VALUE!</v>
      </c>
      <c r="Q84" s="326" t="str">
        <f t="shared" si="324"/>
        <v/>
      </c>
      <c r="R84" s="326" t="str">
        <f t="shared" si="325"/>
        <v/>
      </c>
      <c r="S84" s="326" t="e">
        <f t="shared" si="326"/>
        <v>#VALUE!</v>
      </c>
      <c r="T84" s="137" t="str">
        <f t="shared" si="327"/>
        <v/>
      </c>
      <c r="U84" s="326">
        <f t="shared" si="328"/>
        <v>0</v>
      </c>
      <c r="V84" s="326">
        <f t="shared" si="380"/>
        <v>0</v>
      </c>
      <c r="W84" s="326" t="e">
        <f t="shared" si="330"/>
        <v>#VALUE!</v>
      </c>
      <c r="X84" s="326" t="str">
        <f t="shared" si="331"/>
        <v/>
      </c>
      <c r="Y84" s="326" t="str">
        <f t="shared" si="332"/>
        <v/>
      </c>
      <c r="Z84" s="326" t="e">
        <f t="shared" si="333"/>
        <v>#VALUE!</v>
      </c>
      <c r="AA84" s="137" t="e">
        <f>Y84/V84</f>
        <v>#VALUE!</v>
      </c>
      <c r="AB84" s="326">
        <f t="shared" si="335"/>
        <v>0</v>
      </c>
      <c r="AC84" s="326">
        <f t="shared" si="381"/>
        <v>0</v>
      </c>
      <c r="AD84" s="326" t="e">
        <f t="shared" si="337"/>
        <v>#VALUE!</v>
      </c>
      <c r="AE84" s="326" t="str">
        <f t="shared" si="338"/>
        <v/>
      </c>
      <c r="AF84" s="326" t="str">
        <f t="shared" si="339"/>
        <v/>
      </c>
      <c r="AG84" s="326" t="e">
        <f t="shared" si="352"/>
        <v>#VALUE!</v>
      </c>
      <c r="AH84" s="137" t="e">
        <f>AF84/AC84</f>
        <v>#VALUE!</v>
      </c>
      <c r="AI84" s="969">
        <f t="shared" si="354"/>
        <v>2500000</v>
      </c>
      <c r="AJ84" s="969"/>
      <c r="AK84" s="326" t="e">
        <f t="shared" ref="AK84:AL84" si="387">SUM(AD84,W84,P84)</f>
        <v>#VALUE!</v>
      </c>
      <c r="AL84" s="326">
        <f t="shared" si="387"/>
        <v>0</v>
      </c>
      <c r="AM84" s="326">
        <f t="shared" si="341"/>
        <v>0</v>
      </c>
      <c r="AN84" s="969"/>
      <c r="AO84" s="970"/>
      <c r="AP84" s="941">
        <f t="shared" si="365"/>
        <v>248370.82</v>
      </c>
      <c r="AQ84" s="326"/>
      <c r="AR84" s="326"/>
      <c r="AS84" s="326"/>
      <c r="AT84" s="941"/>
      <c r="AU84" s="326"/>
      <c r="AV84" s="326"/>
      <c r="AW84" s="326"/>
      <c r="AX84" s="941"/>
      <c r="AY84" s="941"/>
      <c r="AZ84" s="941"/>
      <c r="BA84" s="941"/>
      <c r="BB84" s="941"/>
      <c r="BC84" s="941"/>
      <c r="BD84" s="941"/>
      <c r="BE84" s="941"/>
      <c r="BF84" s="941"/>
      <c r="BG84" s="941"/>
      <c r="BH84" s="941"/>
      <c r="BI84" s="941"/>
      <c r="BJ84" s="941"/>
      <c r="BK84" s="941"/>
      <c r="BL84" s="971">
        <f t="shared" si="342"/>
        <v>328253.57</v>
      </c>
      <c r="BM84" s="972" t="e">
        <f t="shared" si="343"/>
        <v>#VALUE!</v>
      </c>
      <c r="BN84" s="941" t="str">
        <f t="shared" si="344"/>
        <v/>
      </c>
      <c r="BO84" s="973" t="str">
        <f t="shared" si="345"/>
        <v/>
      </c>
      <c r="BP84" s="939">
        <f t="shared" si="346"/>
        <v>632133.21</v>
      </c>
      <c r="BQ84" s="941" t="e">
        <f t="shared" si="347"/>
        <v>#VALUE!</v>
      </c>
      <c r="BR84" s="941" t="str">
        <f t="shared" si="348"/>
        <v/>
      </c>
      <c r="BS84" s="971" t="str">
        <f t="shared" si="349"/>
        <v/>
      </c>
      <c r="BT84" s="972" t="e">
        <f t="shared" ref="BT84:BU84" si="388">SUM(BQ84,BM84,BI84)</f>
        <v>#VALUE!</v>
      </c>
      <c r="BU84" s="941">
        <f t="shared" si="388"/>
        <v>0</v>
      </c>
      <c r="BV84" s="973"/>
      <c r="BW84" s="939">
        <f t="shared" si="315"/>
        <v>734950.47</v>
      </c>
      <c r="BX84" s="941"/>
      <c r="BY84" s="941"/>
      <c r="BZ84" s="973"/>
      <c r="CA84" s="939">
        <f t="shared" si="316"/>
        <v>226953.61</v>
      </c>
      <c r="CB84" s="941">
        <f t="shared" si="317"/>
        <v>0</v>
      </c>
      <c r="CJ84" s="455"/>
      <c r="CK84" s="455"/>
      <c r="CL84" s="455"/>
      <c r="CM84" s="455"/>
      <c r="CN84" s="455"/>
      <c r="CO84" s="455"/>
      <c r="CP84" s="455"/>
      <c r="CQ84" s="455"/>
      <c r="CR84" s="455"/>
      <c r="CS84" s="455"/>
      <c r="CT84" s="455"/>
      <c r="CU84" s="455"/>
      <c r="CV84" s="455"/>
      <c r="CW84" s="455"/>
      <c r="CX84" s="455"/>
      <c r="CY84" s="455"/>
      <c r="CZ84" s="455"/>
      <c r="DA84" s="455"/>
      <c r="DB84" s="455"/>
      <c r="DC84" s="455"/>
      <c r="DD84" s="455"/>
      <c r="DE84" s="455"/>
      <c r="DF84" s="455"/>
      <c r="DG84" s="455"/>
      <c r="DH84" s="455"/>
      <c r="DI84" s="455"/>
      <c r="DJ84" s="455"/>
      <c r="DK84" s="455"/>
      <c r="DL84" s="455"/>
    </row>
    <row r="85" spans="1:116" ht="13">
      <c r="A85" s="323" t="e">
        <f t="shared" si="318"/>
        <v>#N/A</v>
      </c>
      <c r="B85" s="324">
        <f>VLOOKUP(M85,VARGASCARTERA,2,FALSE)</f>
        <v>4</v>
      </c>
      <c r="C85" s="558" t="str">
        <f t="shared" si="320"/>
        <v>Lista</v>
      </c>
      <c r="D85" s="558">
        <f t="shared" si="321"/>
        <v>0.2</v>
      </c>
      <c r="E85" s="558">
        <f t="shared" si="322"/>
        <v>0</v>
      </c>
      <c r="F85" s="798"/>
      <c r="G85" s="558"/>
      <c r="H85" s="558"/>
      <c r="I85" s="558"/>
      <c r="J85" s="637"/>
      <c r="K85" s="558"/>
      <c r="L85" s="558"/>
      <c r="M85" s="325" t="s">
        <v>912</v>
      </c>
      <c r="N85" s="326">
        <f t="shared" si="362"/>
        <v>0</v>
      </c>
      <c r="O85" s="326">
        <f t="shared" ref="O85:O93" si="389">(N85*1.601)*1.05</f>
        <v>0</v>
      </c>
      <c r="P85" s="326">
        <f t="shared" si="323"/>
        <v>0</v>
      </c>
      <c r="Q85" s="326">
        <f t="shared" si="324"/>
        <v>66346.929999999993</v>
      </c>
      <c r="R85" s="326">
        <f t="shared" si="325"/>
        <v>66346.929999999993</v>
      </c>
      <c r="S85" s="326">
        <f t="shared" si="326"/>
        <v>66346.929999999993</v>
      </c>
      <c r="T85" s="137" t="str">
        <f t="shared" si="327"/>
        <v/>
      </c>
      <c r="U85" s="326">
        <f t="shared" si="328"/>
        <v>161359.57999999999</v>
      </c>
      <c r="V85" s="326">
        <f t="shared" si="380"/>
        <v>292177.8254955</v>
      </c>
      <c r="W85" s="326">
        <f t="shared" si="330"/>
        <v>0</v>
      </c>
      <c r="X85" s="326">
        <f t="shared" si="331"/>
        <v>0</v>
      </c>
      <c r="Y85" s="326">
        <f t="shared" si="332"/>
        <v>0</v>
      </c>
      <c r="Z85" s="326">
        <f t="shared" si="333"/>
        <v>-292177.8254955</v>
      </c>
      <c r="AA85" s="137">
        <f>IFERROR(Y85/V85,"")</f>
        <v>0</v>
      </c>
      <c r="AB85" s="326">
        <f t="shared" si="335"/>
        <v>341548.96</v>
      </c>
      <c r="AC85" s="326">
        <f t="shared" si="381"/>
        <v>572188.43396400008</v>
      </c>
      <c r="AD85" s="326">
        <f t="shared" si="337"/>
        <v>0</v>
      </c>
      <c r="AE85" s="326">
        <f t="shared" si="338"/>
        <v>0</v>
      </c>
      <c r="AF85" s="326">
        <f t="shared" si="339"/>
        <v>0</v>
      </c>
      <c r="AG85" s="326">
        <f t="shared" si="352"/>
        <v>-572188.43396400008</v>
      </c>
      <c r="AH85" s="137">
        <f t="shared" ref="AH85:AH96" si="390">IFERROR(AF85/AC85,"")</f>
        <v>0</v>
      </c>
      <c r="AI85" s="969">
        <f t="shared" si="354"/>
        <v>864366.25945950008</v>
      </c>
      <c r="AJ85" s="326">
        <f>IFERROR(VLOOKUP(M85,trim2024,2,FALSE),"")</f>
        <v>161753.47</v>
      </c>
      <c r="AK85" s="326">
        <f t="shared" ref="AK85:AL85" si="391">SUM(AD85,W85,P85)</f>
        <v>0</v>
      </c>
      <c r="AL85" s="326">
        <f t="shared" si="391"/>
        <v>66346.929999999993</v>
      </c>
      <c r="AM85" s="326">
        <f t="shared" si="341"/>
        <v>66346.929999999993</v>
      </c>
      <c r="AN85" s="326">
        <f>AM85-AJ85</f>
        <v>-95406.540000000008</v>
      </c>
      <c r="AO85" s="970">
        <f>IFERROR(AM85/AJ85,"")</f>
        <v>0.41017314806291322</v>
      </c>
      <c r="AP85" s="941">
        <f t="shared" si="365"/>
        <v>396348.5</v>
      </c>
      <c r="AQ85" s="326">
        <f>AS85-AR85</f>
        <v>0</v>
      </c>
      <c r="AR85" s="326">
        <f>IFERROR(VLOOKUP(M85,VARGALIM,6,FALSE),"")</f>
        <v>0</v>
      </c>
      <c r="AS85" s="326">
        <f>IFERROR(VLOOKUP(M85,VARFC,6,FALSE),"")</f>
        <v>0</v>
      </c>
      <c r="AT85" s="941">
        <f>IFERROR(VLOOKUP(M85,VARGAS24,7,FALSE),"")</f>
        <v>143552.26</v>
      </c>
      <c r="AU85" s="326">
        <f>AW85-AV85</f>
        <v>0</v>
      </c>
      <c r="AV85" s="326">
        <f>IFERROR(VLOOKUP(M85,VARGALIM,7,FALSE),"")</f>
        <v>0</v>
      </c>
      <c r="AW85" s="326">
        <f>IFERROR(VLOOKUP(M85,VARFC,7,FALSE),"")</f>
        <v>0</v>
      </c>
      <c r="AX85" s="941">
        <f>IFERROR(VLOOKUP(M85,VARGAS24,8,FALSE),"")</f>
        <v>0</v>
      </c>
      <c r="AY85" s="326">
        <f>BA85-AZ85</f>
        <v>0</v>
      </c>
      <c r="AZ85" s="326">
        <f>IFERROR(VLOOKUP(M85,VARGALIM,8,FALSE),"")</f>
        <v>0</v>
      </c>
      <c r="BA85" s="326">
        <f>IFERROR(VLOOKUP(M85,VARFC,8,FALSE),"")</f>
        <v>0</v>
      </c>
      <c r="BB85" s="326">
        <f>AY85+AU85+AQ85</f>
        <v>0</v>
      </c>
      <c r="BC85" s="326">
        <f>AR85+AV85+AZ85</f>
        <v>0</v>
      </c>
      <c r="BD85" s="326">
        <f>SUM(BA85+AW85+AS85)</f>
        <v>0</v>
      </c>
      <c r="BE85" s="326">
        <f>BB85+AK85</f>
        <v>0</v>
      </c>
      <c r="BF85" s="326">
        <f t="shared" ref="BF85:BG85" si="392">SUM(BC85,AL85)</f>
        <v>66346.929999999993</v>
      </c>
      <c r="BG85" s="326">
        <f t="shared" si="392"/>
        <v>66346.929999999993</v>
      </c>
      <c r="BH85" s="941">
        <f>IFERROR(VLOOKUP(M85,VARGAS24,9,FALSE),"")</f>
        <v>74837.279999999999</v>
      </c>
      <c r="BI85" s="326">
        <f>BK85-BJ85</f>
        <v>0</v>
      </c>
      <c r="BJ85" s="326">
        <f>IFERROR(VLOOKUP(M85,VARGALIM,9,FALSE),"")</f>
        <v>0</v>
      </c>
      <c r="BK85" s="326">
        <f>IFERROR(VLOOKUP(M85,VARFC,9,FALSE),"")</f>
        <v>0</v>
      </c>
      <c r="BL85" s="971">
        <f t="shared" si="342"/>
        <v>0</v>
      </c>
      <c r="BM85" s="972">
        <f t="shared" si="343"/>
        <v>0</v>
      </c>
      <c r="BN85" s="941">
        <f t="shared" si="344"/>
        <v>0</v>
      </c>
      <c r="BO85" s="973">
        <f t="shared" si="345"/>
        <v>0</v>
      </c>
      <c r="BP85" s="939">
        <f t="shared" si="346"/>
        <v>50612.160000000003</v>
      </c>
      <c r="BQ85" s="941">
        <f t="shared" si="347"/>
        <v>0</v>
      </c>
      <c r="BR85" s="941">
        <f t="shared" si="348"/>
        <v>0</v>
      </c>
      <c r="BS85" s="971">
        <f t="shared" si="349"/>
        <v>0</v>
      </c>
      <c r="BT85" s="972">
        <f t="shared" ref="BT85:BU85" si="393">SUM(BQ85,BM85,BI85)</f>
        <v>0</v>
      </c>
      <c r="BU85" s="941">
        <f t="shared" si="393"/>
        <v>0</v>
      </c>
      <c r="BV85" s="973"/>
      <c r="BW85" s="939">
        <f t="shared" si="315"/>
        <v>0</v>
      </c>
      <c r="BX85" s="941"/>
      <c r="BY85" s="941"/>
      <c r="BZ85" s="973"/>
      <c r="CA85" s="939">
        <f t="shared" si="316"/>
        <v>161753.47</v>
      </c>
      <c r="CB85" s="941">
        <f t="shared" si="317"/>
        <v>0</v>
      </c>
    </row>
    <row r="86" spans="1:116" ht="13">
      <c r="A86" s="323" t="e">
        <f t="shared" si="318"/>
        <v>#N/A</v>
      </c>
      <c r="B86" s="324">
        <v>4</v>
      </c>
      <c r="C86" s="558" t="str">
        <f t="shared" si="320"/>
        <v>Lista</v>
      </c>
      <c r="D86" s="558">
        <f t="shared" si="321"/>
        <v>0.2</v>
      </c>
      <c r="E86" s="558">
        <f t="shared" si="322"/>
        <v>0</v>
      </c>
      <c r="F86" s="798"/>
      <c r="G86" s="558"/>
      <c r="H86" s="558"/>
      <c r="I86" s="558"/>
      <c r="J86" s="637"/>
      <c r="K86" s="558"/>
      <c r="L86" s="558"/>
      <c r="M86" s="325" t="s">
        <v>913</v>
      </c>
      <c r="N86" s="326">
        <f t="shared" si="362"/>
        <v>335322.23999999999</v>
      </c>
      <c r="O86" s="326">
        <f t="shared" si="389"/>
        <v>563693.4515519999</v>
      </c>
      <c r="P86" s="326" t="e">
        <f t="shared" si="323"/>
        <v>#VALUE!</v>
      </c>
      <c r="Q86" s="326" t="str">
        <f t="shared" si="324"/>
        <v/>
      </c>
      <c r="R86" s="326" t="str">
        <f t="shared" si="325"/>
        <v/>
      </c>
      <c r="S86" s="326" t="e">
        <f t="shared" si="326"/>
        <v>#VALUE!</v>
      </c>
      <c r="T86" s="137" t="str">
        <f t="shared" si="327"/>
        <v/>
      </c>
      <c r="U86" s="326">
        <f t="shared" si="328"/>
        <v>105386.88</v>
      </c>
      <c r="V86" s="326">
        <f t="shared" si="380"/>
        <v>190826.65828800004</v>
      </c>
      <c r="W86" s="326" t="e">
        <f t="shared" si="330"/>
        <v>#VALUE!</v>
      </c>
      <c r="X86" s="326" t="str">
        <f t="shared" si="331"/>
        <v/>
      </c>
      <c r="Y86" s="326" t="str">
        <f t="shared" si="332"/>
        <v/>
      </c>
      <c r="Z86" s="326" t="e">
        <f t="shared" si="333"/>
        <v>#VALUE!</v>
      </c>
      <c r="AA86" s="137" t="e">
        <f t="shared" ref="AA86:AA87" si="394">Y86/V86</f>
        <v>#VALUE!</v>
      </c>
      <c r="AB86" s="326">
        <f t="shared" si="335"/>
        <v>80018.64</v>
      </c>
      <c r="AC86" s="326">
        <f t="shared" si="381"/>
        <v>134053.22712599998</v>
      </c>
      <c r="AD86" s="326" t="e">
        <f t="shared" si="337"/>
        <v>#VALUE!</v>
      </c>
      <c r="AE86" s="326" t="str">
        <f t="shared" si="338"/>
        <v/>
      </c>
      <c r="AF86" s="326" t="str">
        <f t="shared" si="339"/>
        <v/>
      </c>
      <c r="AG86" s="326" t="e">
        <f t="shared" si="352"/>
        <v>#VALUE!</v>
      </c>
      <c r="AH86" s="137" t="str">
        <f t="shared" si="390"/>
        <v/>
      </c>
      <c r="AI86" s="969">
        <f t="shared" si="354"/>
        <v>888573.33696599992</v>
      </c>
      <c r="AJ86" s="969"/>
      <c r="AK86" s="326" t="e">
        <f t="shared" ref="AK86:AL86" si="395">SUM(AD86,W86,P86)</f>
        <v>#VALUE!</v>
      </c>
      <c r="AL86" s="326">
        <f t="shared" si="395"/>
        <v>0</v>
      </c>
      <c r="AM86" s="326">
        <f t="shared" si="341"/>
        <v>0</v>
      </c>
      <c r="AN86" s="969"/>
      <c r="AO86" s="970"/>
      <c r="AP86" s="941">
        <f t="shared" si="365"/>
        <v>52701.11</v>
      </c>
      <c r="AQ86" s="326"/>
      <c r="AR86" s="326"/>
      <c r="AS86" s="326"/>
      <c r="AT86" s="941"/>
      <c r="AU86" s="326"/>
      <c r="AV86" s="326"/>
      <c r="AW86" s="326"/>
      <c r="AX86" s="941"/>
      <c r="AY86" s="941"/>
      <c r="AZ86" s="941"/>
      <c r="BA86" s="941"/>
      <c r="BB86" s="941"/>
      <c r="BC86" s="941"/>
      <c r="BD86" s="941"/>
      <c r="BE86" s="941"/>
      <c r="BF86" s="941"/>
      <c r="BG86" s="941"/>
      <c r="BH86" s="941"/>
      <c r="BI86" s="941"/>
      <c r="BJ86" s="941"/>
      <c r="BK86" s="941"/>
      <c r="BL86" s="971">
        <f t="shared" si="342"/>
        <v>342333.36</v>
      </c>
      <c r="BM86" s="972" t="e">
        <f t="shared" si="343"/>
        <v>#VALUE!</v>
      </c>
      <c r="BN86" s="941" t="str">
        <f t="shared" si="344"/>
        <v/>
      </c>
      <c r="BO86" s="973" t="str">
        <f t="shared" si="345"/>
        <v/>
      </c>
      <c r="BP86" s="939">
        <f t="shared" si="346"/>
        <v>0</v>
      </c>
      <c r="BQ86" s="941" t="e">
        <f t="shared" si="347"/>
        <v>#VALUE!</v>
      </c>
      <c r="BR86" s="941" t="str">
        <f t="shared" si="348"/>
        <v/>
      </c>
      <c r="BS86" s="971" t="str">
        <f t="shared" si="349"/>
        <v/>
      </c>
      <c r="BT86" s="972" t="e">
        <f t="shared" ref="BT86:BU86" si="396">SUM(BQ86,BM86,BI86)</f>
        <v>#VALUE!</v>
      </c>
      <c r="BU86" s="941">
        <f t="shared" si="396"/>
        <v>0</v>
      </c>
      <c r="BV86" s="973"/>
      <c r="BW86" s="939">
        <f t="shared" si="315"/>
        <v>0</v>
      </c>
      <c r="BX86" s="941"/>
      <c r="BY86" s="941"/>
      <c r="BZ86" s="973"/>
      <c r="CA86" s="939">
        <f t="shared" si="316"/>
        <v>0</v>
      </c>
      <c r="CB86" s="941">
        <f t="shared" si="317"/>
        <v>0</v>
      </c>
    </row>
    <row r="87" spans="1:116" ht="13">
      <c r="A87" s="323" t="e">
        <f t="shared" si="318"/>
        <v>#N/A</v>
      </c>
      <c r="B87" s="324" t="e">
        <f t="shared" ref="B87:B96" si="397">VLOOKUP(M87,VARGASCARTERA,2,FALSE)</f>
        <v>#N/A</v>
      </c>
      <c r="C87" s="558" t="str">
        <f t="shared" si="320"/>
        <v/>
      </c>
      <c r="D87" s="558" t="str">
        <f t="shared" si="321"/>
        <v/>
      </c>
      <c r="E87" s="558" t="str">
        <f t="shared" si="322"/>
        <v/>
      </c>
      <c r="F87" s="798"/>
      <c r="G87" s="558"/>
      <c r="H87" s="558"/>
      <c r="I87" s="558"/>
      <c r="J87" s="637"/>
      <c r="K87" s="558"/>
      <c r="L87" s="558"/>
      <c r="M87" s="325" t="s">
        <v>914</v>
      </c>
      <c r="N87" s="326">
        <f t="shared" si="362"/>
        <v>77391.05</v>
      </c>
      <c r="O87" s="326">
        <f t="shared" si="389"/>
        <v>130098.22460250001</v>
      </c>
      <c r="P87" s="326" t="e">
        <f t="shared" si="323"/>
        <v>#VALUE!</v>
      </c>
      <c r="Q87" s="326" t="str">
        <f t="shared" si="324"/>
        <v/>
      </c>
      <c r="R87" s="326" t="str">
        <f t="shared" si="325"/>
        <v/>
      </c>
      <c r="S87" s="326" t="e">
        <f t="shared" si="326"/>
        <v>#VALUE!</v>
      </c>
      <c r="T87" s="137" t="str">
        <f t="shared" si="327"/>
        <v/>
      </c>
      <c r="U87" s="326">
        <f t="shared" si="328"/>
        <v>226412.18</v>
      </c>
      <c r="V87" s="326">
        <f t="shared" si="380"/>
        <v>409970.19463049999</v>
      </c>
      <c r="W87" s="326" t="e">
        <f t="shared" si="330"/>
        <v>#VALUE!</v>
      </c>
      <c r="X87" s="326" t="str">
        <f t="shared" si="331"/>
        <v/>
      </c>
      <c r="Y87" s="326" t="str">
        <f t="shared" si="332"/>
        <v/>
      </c>
      <c r="Z87" s="326" t="e">
        <f t="shared" si="333"/>
        <v>#VALUE!</v>
      </c>
      <c r="AA87" s="137" t="e">
        <f t="shared" si="394"/>
        <v>#VALUE!</v>
      </c>
      <c r="AB87" s="326">
        <f t="shared" si="335"/>
        <v>44906.22</v>
      </c>
      <c r="AC87" s="326">
        <f t="shared" si="381"/>
        <v>75230.267710500004</v>
      </c>
      <c r="AD87" s="326" t="e">
        <f t="shared" si="337"/>
        <v>#VALUE!</v>
      </c>
      <c r="AE87" s="326" t="str">
        <f t="shared" si="338"/>
        <v/>
      </c>
      <c r="AF87" s="326" t="str">
        <f t="shared" si="339"/>
        <v/>
      </c>
      <c r="AG87" s="326" t="e">
        <f t="shared" si="352"/>
        <v>#VALUE!</v>
      </c>
      <c r="AH87" s="137" t="str">
        <f t="shared" si="390"/>
        <v/>
      </c>
      <c r="AI87" s="969">
        <f t="shared" si="354"/>
        <v>615298.68694350007</v>
      </c>
      <c r="AJ87" s="326" t="str">
        <f t="shared" ref="AJ87:AJ96" si="398">IFERROR(VLOOKUP(M87,trim2024,2,FALSE),"")</f>
        <v/>
      </c>
      <c r="AK87" s="326" t="e">
        <f t="shared" ref="AK87:AL87" si="399">SUM(AD87,W87,P87)</f>
        <v>#VALUE!</v>
      </c>
      <c r="AL87" s="326">
        <f t="shared" si="399"/>
        <v>0</v>
      </c>
      <c r="AM87" s="326">
        <f t="shared" si="341"/>
        <v>0</v>
      </c>
      <c r="AN87" s="326" t="e">
        <f t="shared" ref="AN87:AN96" si="400">AM87-AJ87</f>
        <v>#VALUE!</v>
      </c>
      <c r="AO87" s="970" t="str">
        <f t="shared" ref="AO87:AO96" si="401">IFERROR(AM87/AJ87,"")</f>
        <v/>
      </c>
      <c r="AP87" s="941">
        <f t="shared" si="365"/>
        <v>156006</v>
      </c>
      <c r="AQ87" s="326"/>
      <c r="AR87" s="326"/>
      <c r="AS87" s="326"/>
      <c r="AT87" s="941"/>
      <c r="AU87" s="326"/>
      <c r="AV87" s="326"/>
      <c r="AW87" s="326"/>
      <c r="AX87" s="941"/>
      <c r="AY87" s="941"/>
      <c r="AZ87" s="941"/>
      <c r="BA87" s="941"/>
      <c r="BB87" s="941"/>
      <c r="BC87" s="941"/>
      <c r="BD87" s="941"/>
      <c r="BE87" s="941"/>
      <c r="BF87" s="941"/>
      <c r="BG87" s="941"/>
      <c r="BH87" s="941"/>
      <c r="BI87" s="941"/>
      <c r="BJ87" s="941"/>
      <c r="BK87" s="941"/>
      <c r="BL87" s="971">
        <f t="shared" si="342"/>
        <v>0</v>
      </c>
      <c r="BM87" s="972" t="e">
        <f t="shared" si="343"/>
        <v>#VALUE!</v>
      </c>
      <c r="BN87" s="941" t="str">
        <f t="shared" si="344"/>
        <v/>
      </c>
      <c r="BO87" s="973" t="str">
        <f t="shared" si="345"/>
        <v/>
      </c>
      <c r="BP87" s="939">
        <f t="shared" si="346"/>
        <v>617015</v>
      </c>
      <c r="BQ87" s="941" t="e">
        <f t="shared" si="347"/>
        <v>#VALUE!</v>
      </c>
      <c r="BR87" s="941" t="str">
        <f t="shared" si="348"/>
        <v/>
      </c>
      <c r="BS87" s="971" t="str">
        <f t="shared" si="349"/>
        <v/>
      </c>
      <c r="BT87" s="972" t="e">
        <f t="shared" ref="BT87:BU87" si="402">SUM(BQ87,BM87,BI87)</f>
        <v>#VALUE!</v>
      </c>
      <c r="BU87" s="941">
        <f t="shared" si="402"/>
        <v>0</v>
      </c>
      <c r="BV87" s="973"/>
      <c r="BW87" s="939">
        <f t="shared" si="315"/>
        <v>0</v>
      </c>
      <c r="BX87" s="941"/>
      <c r="BY87" s="941"/>
      <c r="BZ87" s="973"/>
      <c r="CA87" s="939">
        <f t="shared" si="316"/>
        <v>0</v>
      </c>
      <c r="CB87" s="941">
        <f t="shared" si="317"/>
        <v>0</v>
      </c>
    </row>
    <row r="88" spans="1:116" ht="13">
      <c r="A88" s="323">
        <f t="shared" si="318"/>
        <v>112013126</v>
      </c>
      <c r="B88" s="324">
        <f t="shared" si="397"/>
        <v>1</v>
      </c>
      <c r="C88" s="558" t="str">
        <f t="shared" si="320"/>
        <v>Lista</v>
      </c>
      <c r="D88" s="558">
        <f t="shared" si="321"/>
        <v>0.09</v>
      </c>
      <c r="E88" s="558">
        <f t="shared" si="322"/>
        <v>0</v>
      </c>
      <c r="F88" s="798"/>
      <c r="G88" s="558"/>
      <c r="H88" s="558"/>
      <c r="I88" s="558"/>
      <c r="J88" s="637"/>
      <c r="K88" s="558"/>
      <c r="L88" s="558"/>
      <c r="M88" s="325" t="s">
        <v>915</v>
      </c>
      <c r="N88" s="326" t="str">
        <f t="shared" si="362"/>
        <v/>
      </c>
      <c r="O88" s="326" t="e">
        <f t="shared" si="389"/>
        <v>#VALUE!</v>
      </c>
      <c r="P88" s="326" t="e">
        <f t="shared" si="323"/>
        <v>#VALUE!</v>
      </c>
      <c r="Q88" s="326" t="str">
        <f t="shared" si="324"/>
        <v/>
      </c>
      <c r="R88" s="326">
        <f t="shared" si="325"/>
        <v>0</v>
      </c>
      <c r="S88" s="326" t="e">
        <f t="shared" si="326"/>
        <v>#VALUE!</v>
      </c>
      <c r="T88" s="137" t="str">
        <f t="shared" si="327"/>
        <v/>
      </c>
      <c r="U88" s="326" t="str">
        <f t="shared" si="328"/>
        <v/>
      </c>
      <c r="V88" s="326" t="e">
        <f t="shared" si="380"/>
        <v>#VALUE!</v>
      </c>
      <c r="W88" s="326" t="e">
        <f t="shared" si="330"/>
        <v>#VALUE!</v>
      </c>
      <c r="X88" s="326" t="str">
        <f t="shared" si="331"/>
        <v/>
      </c>
      <c r="Y88" s="326">
        <f t="shared" si="332"/>
        <v>0</v>
      </c>
      <c r="Z88" s="326" t="e">
        <f t="shared" si="333"/>
        <v>#VALUE!</v>
      </c>
      <c r="AA88" s="137" t="str">
        <f t="shared" ref="AA88:AA96" si="403">IFERROR(Y88/V88,"")</f>
        <v/>
      </c>
      <c r="AB88" s="326" t="str">
        <f t="shared" si="335"/>
        <v/>
      </c>
      <c r="AC88" s="326" t="e">
        <f t="shared" si="381"/>
        <v>#VALUE!</v>
      </c>
      <c r="AD88" s="326" t="e">
        <f t="shared" si="337"/>
        <v>#VALUE!</v>
      </c>
      <c r="AE88" s="326" t="str">
        <f t="shared" si="338"/>
        <v/>
      </c>
      <c r="AF88" s="326">
        <f t="shared" si="339"/>
        <v>0</v>
      </c>
      <c r="AG88" s="326" t="e">
        <f t="shared" si="352"/>
        <v>#VALUE!</v>
      </c>
      <c r="AH88" s="137" t="str">
        <f t="shared" si="390"/>
        <v/>
      </c>
      <c r="AI88" s="969" t="e">
        <f t="shared" si="354"/>
        <v>#VALUE!</v>
      </c>
      <c r="AJ88" s="326" t="str">
        <f t="shared" si="398"/>
        <v/>
      </c>
      <c r="AK88" s="326" t="e">
        <f t="shared" ref="AK88:AL88" si="404">SUM(AD88,W88,P88)</f>
        <v>#VALUE!</v>
      </c>
      <c r="AL88" s="326">
        <f t="shared" si="404"/>
        <v>0</v>
      </c>
      <c r="AM88" s="326">
        <f t="shared" si="341"/>
        <v>0</v>
      </c>
      <c r="AN88" s="326" t="e">
        <f t="shared" si="400"/>
        <v>#VALUE!</v>
      </c>
      <c r="AO88" s="970" t="str">
        <f t="shared" si="401"/>
        <v/>
      </c>
      <c r="AP88" s="941" t="str">
        <f t="shared" si="365"/>
        <v/>
      </c>
      <c r="AQ88" s="326"/>
      <c r="AR88" s="326"/>
      <c r="AS88" s="326"/>
      <c r="AT88" s="941"/>
      <c r="AU88" s="326"/>
      <c r="AV88" s="326"/>
      <c r="AW88" s="326"/>
      <c r="AX88" s="941"/>
      <c r="AY88" s="941"/>
      <c r="AZ88" s="941"/>
      <c r="BA88" s="941"/>
      <c r="BB88" s="941"/>
      <c r="BC88" s="941"/>
      <c r="BD88" s="941"/>
      <c r="BE88" s="941"/>
      <c r="BF88" s="941"/>
      <c r="BG88" s="941"/>
      <c r="BH88" s="941"/>
      <c r="BI88" s="941"/>
      <c r="BJ88" s="941"/>
      <c r="BK88" s="941"/>
      <c r="BL88" s="971" t="str">
        <f t="shared" si="342"/>
        <v/>
      </c>
      <c r="BM88" s="972" t="e">
        <f t="shared" si="343"/>
        <v>#VALUE!</v>
      </c>
      <c r="BN88" s="941" t="str">
        <f t="shared" si="344"/>
        <v/>
      </c>
      <c r="BO88" s="973">
        <f t="shared" si="345"/>
        <v>0</v>
      </c>
      <c r="BP88" s="939" t="str">
        <f t="shared" si="346"/>
        <v/>
      </c>
      <c r="BQ88" s="941" t="e">
        <f t="shared" si="347"/>
        <v>#VALUE!</v>
      </c>
      <c r="BR88" s="941" t="str">
        <f t="shared" si="348"/>
        <v/>
      </c>
      <c r="BS88" s="971">
        <f t="shared" si="349"/>
        <v>0</v>
      </c>
      <c r="BT88" s="972" t="e">
        <f t="shared" ref="BT88:BU88" si="405">SUM(BQ88,BM88,BI88)</f>
        <v>#VALUE!</v>
      </c>
      <c r="BU88" s="941">
        <f t="shared" si="405"/>
        <v>0</v>
      </c>
      <c r="BV88" s="973"/>
      <c r="BW88" s="939" t="str">
        <f t="shared" si="315"/>
        <v/>
      </c>
      <c r="BX88" s="941"/>
      <c r="BY88" s="941"/>
      <c r="BZ88" s="973"/>
      <c r="CA88" s="939" t="str">
        <f t="shared" si="316"/>
        <v/>
      </c>
      <c r="CB88" s="941" t="str">
        <f t="shared" si="317"/>
        <v/>
      </c>
    </row>
    <row r="89" spans="1:116" ht="13">
      <c r="A89" s="323" t="e">
        <f t="shared" si="318"/>
        <v>#N/A</v>
      </c>
      <c r="B89" s="324" t="e">
        <f t="shared" si="397"/>
        <v>#N/A</v>
      </c>
      <c r="C89" s="558" t="str">
        <f t="shared" si="320"/>
        <v/>
      </c>
      <c r="D89" s="558" t="str">
        <f t="shared" si="321"/>
        <v/>
      </c>
      <c r="E89" s="558" t="str">
        <f t="shared" si="322"/>
        <v/>
      </c>
      <c r="F89" s="798"/>
      <c r="G89" s="558"/>
      <c r="H89" s="558"/>
      <c r="I89" s="558"/>
      <c r="J89" s="637"/>
      <c r="K89" s="558"/>
      <c r="L89" s="558"/>
      <c r="M89" s="325" t="s">
        <v>916</v>
      </c>
      <c r="N89" s="326">
        <f t="shared" si="362"/>
        <v>0</v>
      </c>
      <c r="O89" s="326">
        <f t="shared" si="389"/>
        <v>0</v>
      </c>
      <c r="P89" s="326" t="e">
        <f t="shared" si="323"/>
        <v>#VALUE!</v>
      </c>
      <c r="Q89" s="326" t="str">
        <f t="shared" si="324"/>
        <v/>
      </c>
      <c r="R89" s="326" t="str">
        <f t="shared" si="325"/>
        <v/>
      </c>
      <c r="S89" s="326" t="e">
        <f t="shared" si="326"/>
        <v>#VALUE!</v>
      </c>
      <c r="T89" s="137" t="str">
        <f t="shared" si="327"/>
        <v/>
      </c>
      <c r="U89" s="326">
        <f t="shared" si="328"/>
        <v>0</v>
      </c>
      <c r="V89" s="326">
        <f t="shared" si="380"/>
        <v>0</v>
      </c>
      <c r="W89" s="326" t="e">
        <f t="shared" si="330"/>
        <v>#VALUE!</v>
      </c>
      <c r="X89" s="326" t="str">
        <f t="shared" si="331"/>
        <v/>
      </c>
      <c r="Y89" s="326" t="str">
        <f t="shared" si="332"/>
        <v/>
      </c>
      <c r="Z89" s="326" t="e">
        <f t="shared" si="333"/>
        <v>#VALUE!</v>
      </c>
      <c r="AA89" s="137" t="str">
        <f t="shared" si="403"/>
        <v/>
      </c>
      <c r="AB89" s="326">
        <f t="shared" si="335"/>
        <v>0</v>
      </c>
      <c r="AC89" s="326">
        <f t="shared" si="381"/>
        <v>0</v>
      </c>
      <c r="AD89" s="326" t="e">
        <f t="shared" si="337"/>
        <v>#VALUE!</v>
      </c>
      <c r="AE89" s="326" t="str">
        <f t="shared" si="338"/>
        <v/>
      </c>
      <c r="AF89" s="326" t="str">
        <f t="shared" si="339"/>
        <v/>
      </c>
      <c r="AG89" s="326" t="e">
        <f t="shared" si="352"/>
        <v>#VALUE!</v>
      </c>
      <c r="AH89" s="137" t="str">
        <f t="shared" si="390"/>
        <v/>
      </c>
      <c r="AI89" s="969">
        <f t="shared" si="354"/>
        <v>0</v>
      </c>
      <c r="AJ89" s="326" t="str">
        <f t="shared" si="398"/>
        <v/>
      </c>
      <c r="AK89" s="326" t="e">
        <f t="shared" ref="AK89:AL89" si="406">SUM(AD89,W89,P89)</f>
        <v>#VALUE!</v>
      </c>
      <c r="AL89" s="326">
        <f t="shared" si="406"/>
        <v>0</v>
      </c>
      <c r="AM89" s="326">
        <f t="shared" si="341"/>
        <v>0</v>
      </c>
      <c r="AN89" s="326" t="e">
        <f t="shared" si="400"/>
        <v>#VALUE!</v>
      </c>
      <c r="AO89" s="970" t="str">
        <f t="shared" si="401"/>
        <v/>
      </c>
      <c r="AP89" s="941">
        <f t="shared" si="365"/>
        <v>0</v>
      </c>
      <c r="AQ89" s="326"/>
      <c r="AR89" s="326"/>
      <c r="AS89" s="326"/>
      <c r="AT89" s="941"/>
      <c r="AU89" s="326"/>
      <c r="AV89" s="326"/>
      <c r="AW89" s="326"/>
      <c r="AX89" s="941"/>
      <c r="AY89" s="941"/>
      <c r="AZ89" s="941"/>
      <c r="BA89" s="941"/>
      <c r="BB89" s="941"/>
      <c r="BC89" s="941"/>
      <c r="BD89" s="941"/>
      <c r="BE89" s="941"/>
      <c r="BF89" s="941"/>
      <c r="BG89" s="941"/>
      <c r="BH89" s="941"/>
      <c r="BI89" s="941"/>
      <c r="BJ89" s="941"/>
      <c r="BK89" s="941"/>
      <c r="BL89" s="971">
        <f t="shared" si="342"/>
        <v>23187.279999999999</v>
      </c>
      <c r="BM89" s="972" t="e">
        <f t="shared" si="343"/>
        <v>#VALUE!</v>
      </c>
      <c r="BN89" s="941" t="str">
        <f t="shared" si="344"/>
        <v/>
      </c>
      <c r="BO89" s="973" t="str">
        <f t="shared" si="345"/>
        <v/>
      </c>
      <c r="BP89" s="939">
        <f t="shared" si="346"/>
        <v>0</v>
      </c>
      <c r="BQ89" s="941" t="e">
        <f t="shared" si="347"/>
        <v>#VALUE!</v>
      </c>
      <c r="BR89" s="941" t="str">
        <f t="shared" si="348"/>
        <v/>
      </c>
      <c r="BS89" s="971" t="str">
        <f t="shared" si="349"/>
        <v/>
      </c>
      <c r="BT89" s="972" t="e">
        <f t="shared" ref="BT89:BU89" si="407">SUM(BQ89,BM89,BI89)</f>
        <v>#VALUE!</v>
      </c>
      <c r="BU89" s="941">
        <f t="shared" si="407"/>
        <v>0</v>
      </c>
      <c r="BV89" s="973"/>
      <c r="BW89" s="939">
        <f t="shared" si="315"/>
        <v>0</v>
      </c>
      <c r="BX89" s="941"/>
      <c r="BY89" s="941"/>
      <c r="BZ89" s="973"/>
      <c r="CA89" s="939">
        <f t="shared" si="316"/>
        <v>0</v>
      </c>
      <c r="CB89" s="941">
        <f t="shared" si="317"/>
        <v>0</v>
      </c>
    </row>
    <row r="90" spans="1:116" ht="13">
      <c r="A90" s="323" t="e">
        <f t="shared" si="318"/>
        <v>#N/A</v>
      </c>
      <c r="B90" s="324" t="e">
        <f t="shared" si="397"/>
        <v>#N/A</v>
      </c>
      <c r="C90" s="558" t="str">
        <f t="shared" si="320"/>
        <v/>
      </c>
      <c r="D90" s="558" t="str">
        <f t="shared" si="321"/>
        <v/>
      </c>
      <c r="E90" s="558" t="str">
        <f t="shared" si="322"/>
        <v/>
      </c>
      <c r="F90" s="798"/>
      <c r="G90" s="558"/>
      <c r="H90" s="558"/>
      <c r="I90" s="558"/>
      <c r="J90" s="637"/>
      <c r="K90" s="558"/>
      <c r="L90" s="558"/>
      <c r="M90" s="325" t="s">
        <v>917</v>
      </c>
      <c r="N90" s="326">
        <f t="shared" si="362"/>
        <v>0</v>
      </c>
      <c r="O90" s="326">
        <f t="shared" si="389"/>
        <v>0</v>
      </c>
      <c r="P90" s="326" t="e">
        <f t="shared" si="323"/>
        <v>#VALUE!</v>
      </c>
      <c r="Q90" s="326" t="str">
        <f t="shared" si="324"/>
        <v/>
      </c>
      <c r="R90" s="326" t="str">
        <f t="shared" si="325"/>
        <v/>
      </c>
      <c r="S90" s="326" t="e">
        <f t="shared" si="326"/>
        <v>#VALUE!</v>
      </c>
      <c r="T90" s="137" t="str">
        <f t="shared" si="327"/>
        <v/>
      </c>
      <c r="U90" s="326">
        <f t="shared" si="328"/>
        <v>0</v>
      </c>
      <c r="V90" s="326">
        <f t="shared" si="380"/>
        <v>0</v>
      </c>
      <c r="W90" s="326" t="e">
        <f t="shared" si="330"/>
        <v>#VALUE!</v>
      </c>
      <c r="X90" s="326" t="str">
        <f t="shared" si="331"/>
        <v/>
      </c>
      <c r="Y90" s="326" t="str">
        <f t="shared" si="332"/>
        <v/>
      </c>
      <c r="Z90" s="326" t="e">
        <f t="shared" si="333"/>
        <v>#VALUE!</v>
      </c>
      <c r="AA90" s="137" t="str">
        <f t="shared" si="403"/>
        <v/>
      </c>
      <c r="AB90" s="326">
        <f t="shared" si="335"/>
        <v>0</v>
      </c>
      <c r="AC90" s="326">
        <f t="shared" si="381"/>
        <v>0</v>
      </c>
      <c r="AD90" s="326" t="e">
        <f t="shared" si="337"/>
        <v>#VALUE!</v>
      </c>
      <c r="AE90" s="326" t="str">
        <f t="shared" si="338"/>
        <v/>
      </c>
      <c r="AF90" s="326" t="str">
        <f t="shared" si="339"/>
        <v/>
      </c>
      <c r="AG90" s="326" t="e">
        <f t="shared" si="352"/>
        <v>#VALUE!</v>
      </c>
      <c r="AH90" s="137" t="str">
        <f t="shared" si="390"/>
        <v/>
      </c>
      <c r="AI90" s="969">
        <f t="shared" si="354"/>
        <v>0</v>
      </c>
      <c r="AJ90" s="326">
        <f t="shared" si="398"/>
        <v>0</v>
      </c>
      <c r="AK90" s="326" t="e">
        <f t="shared" ref="AK90:AL90" si="408">SUM(AD90,W90,P90)</f>
        <v>#VALUE!</v>
      </c>
      <c r="AL90" s="326">
        <f t="shared" si="408"/>
        <v>0</v>
      </c>
      <c r="AM90" s="326">
        <f t="shared" si="341"/>
        <v>0</v>
      </c>
      <c r="AN90" s="326">
        <f t="shared" si="400"/>
        <v>0</v>
      </c>
      <c r="AO90" s="970" t="str">
        <f t="shared" si="401"/>
        <v/>
      </c>
      <c r="AP90" s="941">
        <f t="shared" si="365"/>
        <v>0</v>
      </c>
      <c r="AQ90" s="326"/>
      <c r="AR90" s="326"/>
      <c r="AS90" s="326"/>
      <c r="AT90" s="941"/>
      <c r="AU90" s="326"/>
      <c r="AV90" s="326"/>
      <c r="AW90" s="326"/>
      <c r="AX90" s="941"/>
      <c r="AY90" s="941"/>
      <c r="AZ90" s="941"/>
      <c r="BA90" s="941"/>
      <c r="BB90" s="941"/>
      <c r="BC90" s="941"/>
      <c r="BD90" s="941"/>
      <c r="BE90" s="941"/>
      <c r="BF90" s="941"/>
      <c r="BG90" s="941"/>
      <c r="BH90" s="941"/>
      <c r="BI90" s="941"/>
      <c r="BJ90" s="941"/>
      <c r="BK90" s="941"/>
      <c r="BL90" s="971">
        <f t="shared" si="342"/>
        <v>0</v>
      </c>
      <c r="BM90" s="972" t="e">
        <f t="shared" si="343"/>
        <v>#VALUE!</v>
      </c>
      <c r="BN90" s="941" t="str">
        <f t="shared" si="344"/>
        <v/>
      </c>
      <c r="BO90" s="973" t="str">
        <f t="shared" si="345"/>
        <v/>
      </c>
      <c r="BP90" s="939">
        <f t="shared" si="346"/>
        <v>0</v>
      </c>
      <c r="BQ90" s="941" t="e">
        <f t="shared" si="347"/>
        <v>#VALUE!</v>
      </c>
      <c r="BR90" s="941" t="str">
        <f t="shared" si="348"/>
        <v/>
      </c>
      <c r="BS90" s="971" t="str">
        <f t="shared" si="349"/>
        <v/>
      </c>
      <c r="BT90" s="972" t="e">
        <f t="shared" ref="BT90:BU90" si="409">SUM(BQ90,BM90,BI90)</f>
        <v>#VALUE!</v>
      </c>
      <c r="BU90" s="941">
        <f t="shared" si="409"/>
        <v>0</v>
      </c>
      <c r="BV90" s="973"/>
      <c r="BW90" s="939">
        <f t="shared" si="315"/>
        <v>0</v>
      </c>
      <c r="BX90" s="941"/>
      <c r="BY90" s="941"/>
      <c r="BZ90" s="973"/>
      <c r="CA90" s="939">
        <f t="shared" si="316"/>
        <v>0</v>
      </c>
      <c r="CB90" s="941">
        <f t="shared" si="317"/>
        <v>0</v>
      </c>
    </row>
    <row r="91" spans="1:116" ht="13">
      <c r="A91" s="323" t="e">
        <f t="shared" si="318"/>
        <v>#N/A</v>
      </c>
      <c r="B91" s="324" t="e">
        <f t="shared" si="397"/>
        <v>#N/A</v>
      </c>
      <c r="C91" s="558" t="str">
        <f t="shared" si="320"/>
        <v/>
      </c>
      <c r="D91" s="558" t="str">
        <f t="shared" si="321"/>
        <v/>
      </c>
      <c r="E91" s="558" t="str">
        <f t="shared" si="322"/>
        <v/>
      </c>
      <c r="F91" s="798"/>
      <c r="G91" s="558"/>
      <c r="H91" s="558"/>
      <c r="I91" s="558"/>
      <c r="J91" s="637"/>
      <c r="K91" s="558"/>
      <c r="L91" s="558"/>
      <c r="M91" s="325" t="s">
        <v>918</v>
      </c>
      <c r="N91" s="326">
        <f t="shared" si="362"/>
        <v>195155.28</v>
      </c>
      <c r="O91" s="326">
        <f t="shared" si="389"/>
        <v>328065.783444</v>
      </c>
      <c r="P91" s="326" t="e">
        <f t="shared" si="323"/>
        <v>#VALUE!</v>
      </c>
      <c r="Q91" s="326" t="str">
        <f t="shared" si="324"/>
        <v/>
      </c>
      <c r="R91" s="326" t="str">
        <f t="shared" si="325"/>
        <v/>
      </c>
      <c r="S91" s="326" t="e">
        <f t="shared" si="326"/>
        <v>#VALUE!</v>
      </c>
      <c r="T91" s="137" t="str">
        <f t="shared" si="327"/>
        <v/>
      </c>
      <c r="U91" s="326">
        <f t="shared" si="328"/>
        <v>0</v>
      </c>
      <c r="V91" s="326">
        <f t="shared" si="380"/>
        <v>0</v>
      </c>
      <c r="W91" s="326" t="e">
        <f t="shared" si="330"/>
        <v>#VALUE!</v>
      </c>
      <c r="X91" s="326" t="str">
        <f t="shared" si="331"/>
        <v/>
      </c>
      <c r="Y91" s="326" t="str">
        <f t="shared" si="332"/>
        <v/>
      </c>
      <c r="Z91" s="326" t="e">
        <f t="shared" si="333"/>
        <v>#VALUE!</v>
      </c>
      <c r="AA91" s="137" t="str">
        <f t="shared" si="403"/>
        <v/>
      </c>
      <c r="AB91" s="326">
        <f t="shared" si="335"/>
        <v>0</v>
      </c>
      <c r="AC91" s="326">
        <f t="shared" si="381"/>
        <v>0</v>
      </c>
      <c r="AD91" s="326" t="e">
        <f t="shared" si="337"/>
        <v>#VALUE!</v>
      </c>
      <c r="AE91" s="326" t="str">
        <f t="shared" si="338"/>
        <v/>
      </c>
      <c r="AF91" s="326" t="str">
        <f t="shared" si="339"/>
        <v/>
      </c>
      <c r="AG91" s="326" t="e">
        <f t="shared" si="352"/>
        <v>#VALUE!</v>
      </c>
      <c r="AH91" s="137" t="str">
        <f t="shared" si="390"/>
        <v/>
      </c>
      <c r="AI91" s="969">
        <f t="shared" si="354"/>
        <v>328065.783444</v>
      </c>
      <c r="AJ91" s="326">
        <f t="shared" si="398"/>
        <v>151839.76</v>
      </c>
      <c r="AK91" s="326" t="e">
        <f t="shared" ref="AK91:AL91" si="410">SUM(AD91,W91,P91)</f>
        <v>#VALUE!</v>
      </c>
      <c r="AL91" s="326">
        <f t="shared" si="410"/>
        <v>0</v>
      </c>
      <c r="AM91" s="326">
        <f t="shared" si="341"/>
        <v>0</v>
      </c>
      <c r="AN91" s="326">
        <f t="shared" si="400"/>
        <v>-151839.76</v>
      </c>
      <c r="AO91" s="970">
        <f t="shared" si="401"/>
        <v>0</v>
      </c>
      <c r="AP91" s="941">
        <f t="shared" si="365"/>
        <v>0</v>
      </c>
      <c r="AQ91" s="326"/>
      <c r="AR91" s="326"/>
      <c r="AS91" s="326"/>
      <c r="AT91" s="941"/>
      <c r="AU91" s="326"/>
      <c r="AV91" s="326"/>
      <c r="AW91" s="326"/>
      <c r="AX91" s="941"/>
      <c r="AY91" s="941"/>
      <c r="AZ91" s="941"/>
      <c r="BA91" s="941"/>
      <c r="BB91" s="941"/>
      <c r="BC91" s="941"/>
      <c r="BD91" s="941"/>
      <c r="BE91" s="941"/>
      <c r="BF91" s="941"/>
      <c r="BG91" s="941"/>
      <c r="BH91" s="941"/>
      <c r="BI91" s="941"/>
      <c r="BJ91" s="941"/>
      <c r="BK91" s="941"/>
      <c r="BL91" s="971">
        <f t="shared" si="342"/>
        <v>0</v>
      </c>
      <c r="BM91" s="972" t="e">
        <f t="shared" si="343"/>
        <v>#VALUE!</v>
      </c>
      <c r="BN91" s="941" t="str">
        <f t="shared" si="344"/>
        <v/>
      </c>
      <c r="BO91" s="973" t="str">
        <f t="shared" si="345"/>
        <v/>
      </c>
      <c r="BP91" s="939">
        <f t="shared" si="346"/>
        <v>0</v>
      </c>
      <c r="BQ91" s="941" t="e">
        <f t="shared" si="347"/>
        <v>#VALUE!</v>
      </c>
      <c r="BR91" s="941" t="str">
        <f t="shared" si="348"/>
        <v/>
      </c>
      <c r="BS91" s="971" t="str">
        <f t="shared" si="349"/>
        <v/>
      </c>
      <c r="BT91" s="972" t="e">
        <f t="shared" ref="BT91:BU91" si="411">SUM(BQ91,BM91,BI91)</f>
        <v>#VALUE!</v>
      </c>
      <c r="BU91" s="941">
        <f t="shared" si="411"/>
        <v>0</v>
      </c>
      <c r="BV91" s="973"/>
      <c r="BW91" s="939">
        <f t="shared" si="315"/>
        <v>0</v>
      </c>
      <c r="BX91" s="941"/>
      <c r="BY91" s="941"/>
      <c r="BZ91" s="973"/>
      <c r="CA91" s="939">
        <f t="shared" si="316"/>
        <v>0</v>
      </c>
      <c r="CB91" s="941">
        <f t="shared" si="317"/>
        <v>151839.76</v>
      </c>
    </row>
    <row r="92" spans="1:116" ht="13">
      <c r="A92" s="323" t="e">
        <f t="shared" si="318"/>
        <v>#N/A</v>
      </c>
      <c r="B92" s="324">
        <f t="shared" si="397"/>
        <v>4</v>
      </c>
      <c r="C92" s="558" t="str">
        <f t="shared" si="320"/>
        <v>Lista</v>
      </c>
      <c r="D92" s="558">
        <f t="shared" si="321"/>
        <v>0.2</v>
      </c>
      <c r="E92" s="558">
        <f t="shared" si="322"/>
        <v>0</v>
      </c>
      <c r="F92" s="798"/>
      <c r="G92" s="558"/>
      <c r="H92" s="558"/>
      <c r="I92" s="558"/>
      <c r="J92" s="637"/>
      <c r="K92" s="558"/>
      <c r="L92" s="558"/>
      <c r="M92" s="325" t="s">
        <v>919</v>
      </c>
      <c r="N92" s="326">
        <f t="shared" si="362"/>
        <v>0</v>
      </c>
      <c r="O92" s="326">
        <f t="shared" si="389"/>
        <v>0</v>
      </c>
      <c r="P92" s="326">
        <f t="shared" si="323"/>
        <v>0</v>
      </c>
      <c r="Q92" s="326">
        <f t="shared" si="324"/>
        <v>147744.32000000001</v>
      </c>
      <c r="R92" s="326">
        <f t="shared" si="325"/>
        <v>147744.32000000001</v>
      </c>
      <c r="S92" s="326">
        <f t="shared" si="326"/>
        <v>147744.32000000001</v>
      </c>
      <c r="T92" s="137" t="str">
        <f t="shared" si="327"/>
        <v/>
      </c>
      <c r="U92" s="326">
        <f t="shared" si="328"/>
        <v>0</v>
      </c>
      <c r="V92" s="326">
        <f t="shared" si="380"/>
        <v>0</v>
      </c>
      <c r="W92" s="326">
        <f t="shared" si="330"/>
        <v>0</v>
      </c>
      <c r="X92" s="326">
        <f t="shared" si="331"/>
        <v>171588.4</v>
      </c>
      <c r="Y92" s="326">
        <f t="shared" si="332"/>
        <v>171588.4</v>
      </c>
      <c r="Z92" s="326">
        <f t="shared" si="333"/>
        <v>171588.4</v>
      </c>
      <c r="AA92" s="137" t="str">
        <f t="shared" si="403"/>
        <v/>
      </c>
      <c r="AB92" s="326">
        <f t="shared" si="335"/>
        <v>140067.28</v>
      </c>
      <c r="AC92" s="326">
        <f t="shared" si="381"/>
        <v>234651.21250200001</v>
      </c>
      <c r="AD92" s="326">
        <f t="shared" si="337"/>
        <v>0</v>
      </c>
      <c r="AE92" s="326">
        <f t="shared" si="338"/>
        <v>234965.68</v>
      </c>
      <c r="AF92" s="326">
        <f t="shared" si="339"/>
        <v>234965.68</v>
      </c>
      <c r="AG92" s="326">
        <f t="shared" si="352"/>
        <v>314.46749799998361</v>
      </c>
      <c r="AH92" s="137">
        <f t="shared" si="390"/>
        <v>1.0013401486173752</v>
      </c>
      <c r="AI92" s="969">
        <f t="shared" si="354"/>
        <v>234651.21250200001</v>
      </c>
      <c r="AJ92" s="326">
        <f t="shared" si="398"/>
        <v>715630.83</v>
      </c>
      <c r="AK92" s="326">
        <f t="shared" ref="AK92:AL92" si="412">SUM(AD92,W92,P92)</f>
        <v>0</v>
      </c>
      <c r="AL92" s="326">
        <f t="shared" si="412"/>
        <v>554298.39999999991</v>
      </c>
      <c r="AM92" s="326">
        <f t="shared" si="341"/>
        <v>725886.8</v>
      </c>
      <c r="AN92" s="326">
        <f t="shared" si="400"/>
        <v>10255.970000000088</v>
      </c>
      <c r="AO92" s="970">
        <f t="shared" si="401"/>
        <v>1.0143313697091558</v>
      </c>
      <c r="AP92" s="941">
        <f t="shared" si="365"/>
        <v>285822.8</v>
      </c>
      <c r="AQ92" s="326">
        <f>AS92-AR92</f>
        <v>0</v>
      </c>
      <c r="AR92" s="326">
        <f>IFERROR(VLOOKUP(M92,VARGALIM,6,FALSE),"")</f>
        <v>0</v>
      </c>
      <c r="AS92" s="326">
        <f>IFERROR(VLOOKUP(M92,VARFC,6,FALSE),"")</f>
        <v>0</v>
      </c>
      <c r="AT92" s="941">
        <f>IFERROR(VLOOKUP(M92,VARGAS24,7,FALSE),"")</f>
        <v>328539.76</v>
      </c>
      <c r="AU92" s="326">
        <f>AW92-AV92</f>
        <v>0</v>
      </c>
      <c r="AV92" s="326">
        <f>IFERROR(VLOOKUP(M92,VARGALIM,7,FALSE),"")</f>
        <v>0</v>
      </c>
      <c r="AW92" s="326">
        <f>IFERROR(VLOOKUP(M92,VARFC,7,FALSE),"")</f>
        <v>0</v>
      </c>
      <c r="AX92" s="941">
        <f>IFERROR(VLOOKUP(M92,VARGAS24,8,FALSE),"")</f>
        <v>200137.28</v>
      </c>
      <c r="AY92" s="326">
        <f>BA92-AZ92</f>
        <v>0</v>
      </c>
      <c r="AZ92" s="326">
        <f>IFERROR(VLOOKUP(M92,VARGALIM,8,FALSE),"")</f>
        <v>0</v>
      </c>
      <c r="BA92" s="326">
        <f>IFERROR(VLOOKUP(M92,VARFC,8,FALSE),"")</f>
        <v>0</v>
      </c>
      <c r="BB92" s="326">
        <f>AY92+AU92+AQ92</f>
        <v>0</v>
      </c>
      <c r="BC92" s="326">
        <f>AR92+AV92+AZ92</f>
        <v>0</v>
      </c>
      <c r="BD92" s="326">
        <f>SUM(BA92+AW92+AS92)</f>
        <v>0</v>
      </c>
      <c r="BE92" s="326">
        <f>BB92+AK92</f>
        <v>0</v>
      </c>
      <c r="BF92" s="326">
        <f t="shared" ref="BF92:BG92" si="413">SUM(BC92,AL92)</f>
        <v>554298.39999999991</v>
      </c>
      <c r="BG92" s="326">
        <f t="shared" si="413"/>
        <v>725886.8</v>
      </c>
      <c r="BH92" s="941">
        <f>IFERROR(VLOOKUP(M92,VARGAS24,9,FALSE),"")</f>
        <v>158813.20000000001</v>
      </c>
      <c r="BI92" s="326">
        <f>BK92-BJ92</f>
        <v>0</v>
      </c>
      <c r="BJ92" s="326">
        <f>IFERROR(VLOOKUP(M92,VARGALIM,9,FALSE),"")</f>
        <v>0</v>
      </c>
      <c r="BK92" s="326">
        <f>IFERROR(VLOOKUP(M92,VARFC,9,FALSE),"")</f>
        <v>0</v>
      </c>
      <c r="BL92" s="971">
        <f t="shared" si="342"/>
        <v>315258.15999999997</v>
      </c>
      <c r="BM92" s="972">
        <f t="shared" si="343"/>
        <v>0</v>
      </c>
      <c r="BN92" s="941">
        <f t="shared" si="344"/>
        <v>0</v>
      </c>
      <c r="BO92" s="973">
        <f t="shared" si="345"/>
        <v>0</v>
      </c>
      <c r="BP92" s="939">
        <f t="shared" si="346"/>
        <v>196161.12</v>
      </c>
      <c r="BQ92" s="941">
        <f t="shared" si="347"/>
        <v>0</v>
      </c>
      <c r="BR92" s="941">
        <f t="shared" si="348"/>
        <v>0</v>
      </c>
      <c r="BS92" s="971">
        <f t="shared" si="349"/>
        <v>0</v>
      </c>
      <c r="BT92" s="972">
        <f t="shared" ref="BT92:BU92" si="414">SUM(BQ92,BM92,BI92)</f>
        <v>0</v>
      </c>
      <c r="BU92" s="941">
        <f t="shared" si="414"/>
        <v>0</v>
      </c>
      <c r="BV92" s="973"/>
      <c r="BW92" s="939">
        <f t="shared" si="315"/>
        <v>276086</v>
      </c>
      <c r="BX92" s="941"/>
      <c r="BY92" s="941"/>
      <c r="BZ92" s="973"/>
      <c r="CA92" s="939">
        <f t="shared" si="316"/>
        <v>287233.68</v>
      </c>
      <c r="CB92" s="941">
        <f t="shared" si="317"/>
        <v>152311.15</v>
      </c>
    </row>
    <row r="93" spans="1:116" ht="13">
      <c r="A93" s="323" t="e">
        <f t="shared" si="318"/>
        <v>#N/A</v>
      </c>
      <c r="B93" s="324" t="e">
        <f t="shared" si="397"/>
        <v>#N/A</v>
      </c>
      <c r="C93" s="558" t="str">
        <f t="shared" si="320"/>
        <v/>
      </c>
      <c r="D93" s="558" t="str">
        <f t="shared" si="321"/>
        <v/>
      </c>
      <c r="E93" s="558" t="str">
        <f t="shared" si="322"/>
        <v/>
      </c>
      <c r="F93" s="798"/>
      <c r="G93" s="558"/>
      <c r="H93" s="558"/>
      <c r="I93" s="558"/>
      <c r="J93" s="637"/>
      <c r="K93" s="558"/>
      <c r="L93" s="558"/>
      <c r="M93" s="325" t="s">
        <v>920</v>
      </c>
      <c r="N93" s="326">
        <f t="shared" si="362"/>
        <v>0</v>
      </c>
      <c r="O93" s="326">
        <f t="shared" si="389"/>
        <v>0</v>
      </c>
      <c r="P93" s="326" t="e">
        <f t="shared" si="323"/>
        <v>#VALUE!</v>
      </c>
      <c r="Q93" s="326" t="str">
        <f t="shared" si="324"/>
        <v/>
      </c>
      <c r="R93" s="326">
        <f t="shared" si="325"/>
        <v>4938.84</v>
      </c>
      <c r="S93" s="326">
        <f t="shared" si="326"/>
        <v>4938.84</v>
      </c>
      <c r="T93" s="137" t="str">
        <f t="shared" si="327"/>
        <v/>
      </c>
      <c r="U93" s="326">
        <f t="shared" si="328"/>
        <v>0</v>
      </c>
      <c r="V93" s="326">
        <f t="shared" si="380"/>
        <v>0</v>
      </c>
      <c r="W93" s="326" t="e">
        <f t="shared" si="330"/>
        <v>#VALUE!</v>
      </c>
      <c r="X93" s="326" t="str">
        <f t="shared" si="331"/>
        <v/>
      </c>
      <c r="Y93" s="326">
        <f t="shared" si="332"/>
        <v>0</v>
      </c>
      <c r="Z93" s="326">
        <f t="shared" si="333"/>
        <v>0</v>
      </c>
      <c r="AA93" s="137" t="str">
        <f t="shared" si="403"/>
        <v/>
      </c>
      <c r="AB93" s="326">
        <f t="shared" si="335"/>
        <v>0</v>
      </c>
      <c r="AC93" s="326">
        <f t="shared" si="381"/>
        <v>0</v>
      </c>
      <c r="AD93" s="326" t="e">
        <f t="shared" si="337"/>
        <v>#VALUE!</v>
      </c>
      <c r="AE93" s="326" t="str">
        <f t="shared" si="338"/>
        <v/>
      </c>
      <c r="AF93" s="326">
        <f t="shared" si="339"/>
        <v>0</v>
      </c>
      <c r="AG93" s="326">
        <f t="shared" si="352"/>
        <v>0</v>
      </c>
      <c r="AH93" s="137" t="str">
        <f t="shared" si="390"/>
        <v/>
      </c>
      <c r="AI93" s="969">
        <f t="shared" si="354"/>
        <v>0</v>
      </c>
      <c r="AJ93" s="326">
        <f t="shared" si="398"/>
        <v>75941.100000000006</v>
      </c>
      <c r="AK93" s="326" t="e">
        <f t="shared" ref="AK93:AL93" si="415">SUM(AD93,W93,P93)</f>
        <v>#VALUE!</v>
      </c>
      <c r="AL93" s="326">
        <f t="shared" si="415"/>
        <v>0</v>
      </c>
      <c r="AM93" s="326">
        <f t="shared" si="341"/>
        <v>4938.84</v>
      </c>
      <c r="AN93" s="326">
        <f t="shared" si="400"/>
        <v>-71002.260000000009</v>
      </c>
      <c r="AO93" s="970">
        <f t="shared" si="401"/>
        <v>6.5035139074888296E-2</v>
      </c>
      <c r="AP93" s="941">
        <f t="shared" si="365"/>
        <v>0</v>
      </c>
      <c r="AQ93" s="326"/>
      <c r="AR93" s="326"/>
      <c r="AS93" s="326"/>
      <c r="AT93" s="941"/>
      <c r="AU93" s="326"/>
      <c r="AV93" s="326"/>
      <c r="AW93" s="326"/>
      <c r="AX93" s="941"/>
      <c r="AY93" s="941"/>
      <c r="AZ93" s="941"/>
      <c r="BA93" s="941"/>
      <c r="BB93" s="941"/>
      <c r="BC93" s="941"/>
      <c r="BD93" s="941"/>
      <c r="BE93" s="941"/>
      <c r="BF93" s="941"/>
      <c r="BG93" s="941"/>
      <c r="BH93" s="941"/>
      <c r="BI93" s="941"/>
      <c r="BJ93" s="941"/>
      <c r="BK93" s="941"/>
      <c r="BL93" s="971">
        <f t="shared" si="342"/>
        <v>44220.35</v>
      </c>
      <c r="BM93" s="972" t="e">
        <f t="shared" si="343"/>
        <v>#VALUE!</v>
      </c>
      <c r="BN93" s="941" t="str">
        <f t="shared" si="344"/>
        <v/>
      </c>
      <c r="BO93" s="973">
        <f t="shared" si="345"/>
        <v>0</v>
      </c>
      <c r="BP93" s="939">
        <f t="shared" si="346"/>
        <v>0</v>
      </c>
      <c r="BQ93" s="941" t="e">
        <f t="shared" si="347"/>
        <v>#VALUE!</v>
      </c>
      <c r="BR93" s="941" t="str">
        <f t="shared" si="348"/>
        <v/>
      </c>
      <c r="BS93" s="971">
        <f t="shared" si="349"/>
        <v>0</v>
      </c>
      <c r="BT93" s="972" t="e">
        <f t="shared" ref="BT93:BU93" si="416">SUM(BQ93,BM93,BI93)</f>
        <v>#VALUE!</v>
      </c>
      <c r="BU93" s="941">
        <f t="shared" si="416"/>
        <v>0</v>
      </c>
      <c r="BV93" s="973"/>
      <c r="BW93" s="939">
        <f t="shared" si="315"/>
        <v>0</v>
      </c>
      <c r="BX93" s="941"/>
      <c r="BY93" s="941"/>
      <c r="BZ93" s="973"/>
      <c r="CA93" s="939">
        <f t="shared" si="316"/>
        <v>37970.550000000003</v>
      </c>
      <c r="CB93" s="941">
        <f t="shared" si="317"/>
        <v>37970.550000000003</v>
      </c>
    </row>
    <row r="94" spans="1:116" ht="13">
      <c r="A94" s="323" t="e">
        <f t="shared" si="318"/>
        <v>#N/A</v>
      </c>
      <c r="B94" s="324" t="e">
        <f t="shared" si="397"/>
        <v>#N/A</v>
      </c>
      <c r="C94" s="558" t="str">
        <f t="shared" si="320"/>
        <v/>
      </c>
      <c r="D94" s="558" t="str">
        <f t="shared" si="321"/>
        <v/>
      </c>
      <c r="E94" s="558" t="str">
        <f t="shared" si="322"/>
        <v/>
      </c>
      <c r="F94" s="798"/>
      <c r="G94" s="558"/>
      <c r="H94" s="558"/>
      <c r="I94" s="558"/>
      <c r="J94" s="637"/>
      <c r="K94" s="558"/>
      <c r="L94" s="558"/>
      <c r="M94" s="325" t="s">
        <v>921</v>
      </c>
      <c r="N94" s="326">
        <f t="shared" si="362"/>
        <v>0</v>
      </c>
      <c r="O94" s="599">
        <v>1500000</v>
      </c>
      <c r="P94" s="326" t="e">
        <f t="shared" si="323"/>
        <v>#VALUE!</v>
      </c>
      <c r="Q94" s="326" t="str">
        <f t="shared" si="324"/>
        <v/>
      </c>
      <c r="R94" s="326" t="str">
        <f t="shared" si="325"/>
        <v/>
      </c>
      <c r="S94" s="326" t="e">
        <f t="shared" si="326"/>
        <v>#VALUE!</v>
      </c>
      <c r="T94" s="137" t="str">
        <f t="shared" si="327"/>
        <v/>
      </c>
      <c r="U94" s="326">
        <f t="shared" si="328"/>
        <v>0</v>
      </c>
      <c r="V94" s="599">
        <v>1500000</v>
      </c>
      <c r="W94" s="326" t="e">
        <f t="shared" si="330"/>
        <v>#VALUE!</v>
      </c>
      <c r="X94" s="326" t="str">
        <f t="shared" si="331"/>
        <v/>
      </c>
      <c r="Y94" s="326" t="str">
        <f t="shared" si="332"/>
        <v/>
      </c>
      <c r="Z94" s="326" t="e">
        <f t="shared" si="333"/>
        <v>#VALUE!</v>
      </c>
      <c r="AA94" s="137" t="str">
        <f t="shared" si="403"/>
        <v/>
      </c>
      <c r="AB94" s="326">
        <f t="shared" si="335"/>
        <v>0</v>
      </c>
      <c r="AC94" s="599">
        <v>1500000</v>
      </c>
      <c r="AD94" s="326" t="e">
        <f t="shared" si="337"/>
        <v>#VALUE!</v>
      </c>
      <c r="AE94" s="326" t="str">
        <f t="shared" si="338"/>
        <v/>
      </c>
      <c r="AF94" s="326" t="str">
        <f t="shared" si="339"/>
        <v/>
      </c>
      <c r="AG94" s="326" t="e">
        <f t="shared" si="352"/>
        <v>#VALUE!</v>
      </c>
      <c r="AH94" s="137" t="str">
        <f t="shared" si="390"/>
        <v/>
      </c>
      <c r="AI94" s="969">
        <f t="shared" si="354"/>
        <v>4500000</v>
      </c>
      <c r="AJ94" s="326" t="str">
        <f t="shared" si="398"/>
        <v/>
      </c>
      <c r="AK94" s="326" t="e">
        <f t="shared" ref="AK94:AL94" si="417">SUM(AD94,W94,P94)</f>
        <v>#VALUE!</v>
      </c>
      <c r="AL94" s="326">
        <f t="shared" si="417"/>
        <v>0</v>
      </c>
      <c r="AM94" s="326">
        <f t="shared" si="341"/>
        <v>0</v>
      </c>
      <c r="AN94" s="326" t="e">
        <f t="shared" si="400"/>
        <v>#VALUE!</v>
      </c>
      <c r="AO94" s="970" t="str">
        <f t="shared" si="401"/>
        <v/>
      </c>
      <c r="AP94" s="941">
        <f t="shared" si="365"/>
        <v>0</v>
      </c>
      <c r="AQ94" s="326"/>
      <c r="AR94" s="326"/>
      <c r="AS94" s="326"/>
      <c r="AT94" s="941"/>
      <c r="AU94" s="326"/>
      <c r="AV94" s="326"/>
      <c r="AW94" s="326"/>
      <c r="AX94" s="941"/>
      <c r="AY94" s="941"/>
      <c r="AZ94" s="941"/>
      <c r="BA94" s="941"/>
      <c r="BB94" s="941"/>
      <c r="BC94" s="941"/>
      <c r="BD94" s="941"/>
      <c r="BE94" s="941"/>
      <c r="BF94" s="941"/>
      <c r="BG94" s="941"/>
      <c r="BH94" s="941"/>
      <c r="BI94" s="941"/>
      <c r="BJ94" s="941"/>
      <c r="BK94" s="941"/>
      <c r="BL94" s="971">
        <f t="shared" si="342"/>
        <v>132210.34</v>
      </c>
      <c r="BM94" s="972" t="e">
        <f t="shared" si="343"/>
        <v>#VALUE!</v>
      </c>
      <c r="BN94" s="941" t="str">
        <f t="shared" si="344"/>
        <v/>
      </c>
      <c r="BO94" s="973" t="str">
        <f t="shared" si="345"/>
        <v/>
      </c>
      <c r="BP94" s="939">
        <f t="shared" si="346"/>
        <v>0</v>
      </c>
      <c r="BQ94" s="941" t="e">
        <f t="shared" si="347"/>
        <v>#VALUE!</v>
      </c>
      <c r="BR94" s="941" t="str">
        <f t="shared" si="348"/>
        <v/>
      </c>
      <c r="BS94" s="971" t="str">
        <f t="shared" si="349"/>
        <v/>
      </c>
      <c r="BT94" s="972" t="e">
        <f t="shared" ref="BT94:BU94" si="418">SUM(BQ94,BM94,BI94)</f>
        <v>#VALUE!</v>
      </c>
      <c r="BU94" s="941">
        <f t="shared" si="418"/>
        <v>0</v>
      </c>
      <c r="BV94" s="973"/>
      <c r="BW94" s="939">
        <f t="shared" si="315"/>
        <v>0</v>
      </c>
      <c r="BX94" s="941"/>
      <c r="BY94" s="941"/>
      <c r="BZ94" s="973"/>
      <c r="CA94" s="939">
        <f t="shared" si="316"/>
        <v>0</v>
      </c>
      <c r="CB94" s="941">
        <f t="shared" si="317"/>
        <v>0</v>
      </c>
    </row>
    <row r="95" spans="1:116" ht="13">
      <c r="A95" s="323" t="e">
        <f t="shared" si="318"/>
        <v>#N/A</v>
      </c>
      <c r="B95" s="324" t="e">
        <f t="shared" si="397"/>
        <v>#N/A</v>
      </c>
      <c r="C95" s="558" t="str">
        <f t="shared" si="320"/>
        <v/>
      </c>
      <c r="D95" s="558" t="str">
        <f t="shared" si="321"/>
        <v/>
      </c>
      <c r="E95" s="558" t="str">
        <f t="shared" si="322"/>
        <v/>
      </c>
      <c r="F95" s="798"/>
      <c r="G95" s="558"/>
      <c r="H95" s="558"/>
      <c r="I95" s="558"/>
      <c r="J95" s="637"/>
      <c r="K95" s="558"/>
      <c r="L95" s="558"/>
      <c r="M95" s="325" t="s">
        <v>922</v>
      </c>
      <c r="N95" s="326">
        <f t="shared" si="362"/>
        <v>32687.41</v>
      </c>
      <c r="O95" s="326">
        <f t="shared" ref="O95:O96" si="419">(N95*1.601)*1.05</f>
        <v>54949.170580500002</v>
      </c>
      <c r="P95" s="326" t="e">
        <f t="shared" si="323"/>
        <v>#VALUE!</v>
      </c>
      <c r="Q95" s="326" t="str">
        <f t="shared" si="324"/>
        <v/>
      </c>
      <c r="R95" s="326" t="str">
        <f t="shared" si="325"/>
        <v/>
      </c>
      <c r="S95" s="326" t="e">
        <f t="shared" si="326"/>
        <v>#VALUE!</v>
      </c>
      <c r="T95" s="137" t="str">
        <f t="shared" si="327"/>
        <v/>
      </c>
      <c r="U95" s="326">
        <f t="shared" si="328"/>
        <v>30388.43</v>
      </c>
      <c r="V95" s="326">
        <f t="shared" ref="V95:V96" si="420">(U95*1.7245)*1.05</f>
        <v>55025.089911750001</v>
      </c>
      <c r="W95" s="326" t="e">
        <f t="shared" si="330"/>
        <v>#VALUE!</v>
      </c>
      <c r="X95" s="326" t="str">
        <f t="shared" si="331"/>
        <v/>
      </c>
      <c r="Y95" s="326" t="str">
        <f t="shared" si="332"/>
        <v/>
      </c>
      <c r="Z95" s="326" t="e">
        <f t="shared" si="333"/>
        <v>#VALUE!</v>
      </c>
      <c r="AA95" s="137" t="str">
        <f t="shared" si="403"/>
        <v/>
      </c>
      <c r="AB95" s="326">
        <f t="shared" si="335"/>
        <v>10744.2</v>
      </c>
      <c r="AC95" s="326">
        <f t="shared" ref="AC95:AC96" si="421">(AB95*1.5955)*1.05</f>
        <v>17999.489655000001</v>
      </c>
      <c r="AD95" s="326" t="e">
        <f t="shared" si="337"/>
        <v>#VALUE!</v>
      </c>
      <c r="AE95" s="326" t="str">
        <f t="shared" si="338"/>
        <v/>
      </c>
      <c r="AF95" s="326" t="str">
        <f t="shared" si="339"/>
        <v/>
      </c>
      <c r="AG95" s="326" t="e">
        <f t="shared" si="352"/>
        <v>#VALUE!</v>
      </c>
      <c r="AH95" s="137" t="str">
        <f t="shared" si="390"/>
        <v/>
      </c>
      <c r="AI95" s="969">
        <f t="shared" si="354"/>
        <v>127973.75014725</v>
      </c>
      <c r="AJ95" s="326" t="str">
        <f t="shared" si="398"/>
        <v/>
      </c>
      <c r="AK95" s="326" t="e">
        <f t="shared" ref="AK95:AL95" si="422">SUM(AD95,W95,P95)</f>
        <v>#VALUE!</v>
      </c>
      <c r="AL95" s="326">
        <f t="shared" si="422"/>
        <v>0</v>
      </c>
      <c r="AM95" s="326">
        <f t="shared" si="341"/>
        <v>0</v>
      </c>
      <c r="AN95" s="326" t="e">
        <f t="shared" si="400"/>
        <v>#VALUE!</v>
      </c>
      <c r="AO95" s="970" t="str">
        <f t="shared" si="401"/>
        <v/>
      </c>
      <c r="AP95" s="941">
        <f t="shared" si="365"/>
        <v>8923.82</v>
      </c>
      <c r="AQ95" s="326"/>
      <c r="AR95" s="326"/>
      <c r="AS95" s="326"/>
      <c r="AT95" s="941"/>
      <c r="AU95" s="326"/>
      <c r="AV95" s="326"/>
      <c r="AW95" s="326"/>
      <c r="AX95" s="941"/>
      <c r="AY95" s="941"/>
      <c r="AZ95" s="941"/>
      <c r="BA95" s="941"/>
      <c r="BB95" s="941"/>
      <c r="BC95" s="941"/>
      <c r="BD95" s="941"/>
      <c r="BE95" s="941"/>
      <c r="BF95" s="941"/>
      <c r="BG95" s="941"/>
      <c r="BH95" s="941"/>
      <c r="BI95" s="941"/>
      <c r="BJ95" s="941"/>
      <c r="BK95" s="941"/>
      <c r="BL95" s="971">
        <f t="shared" si="342"/>
        <v>0</v>
      </c>
      <c r="BM95" s="972" t="e">
        <f t="shared" si="343"/>
        <v>#VALUE!</v>
      </c>
      <c r="BN95" s="941" t="str">
        <f t="shared" si="344"/>
        <v/>
      </c>
      <c r="BO95" s="973" t="str">
        <f t="shared" si="345"/>
        <v/>
      </c>
      <c r="BP95" s="939">
        <f t="shared" si="346"/>
        <v>0</v>
      </c>
      <c r="BQ95" s="941" t="e">
        <f t="shared" si="347"/>
        <v>#VALUE!</v>
      </c>
      <c r="BR95" s="941" t="str">
        <f t="shared" si="348"/>
        <v/>
      </c>
      <c r="BS95" s="971" t="str">
        <f t="shared" si="349"/>
        <v/>
      </c>
      <c r="BT95" s="972" t="e">
        <f t="shared" ref="BT95:BU95" si="423">SUM(BQ95,BM95,BI95)</f>
        <v>#VALUE!</v>
      </c>
      <c r="BU95" s="941">
        <f t="shared" si="423"/>
        <v>0</v>
      </c>
      <c r="BV95" s="973"/>
      <c r="BW95" s="939">
        <f t="shared" si="315"/>
        <v>0</v>
      </c>
      <c r="BX95" s="941"/>
      <c r="BY95" s="941"/>
      <c r="BZ95" s="973"/>
      <c r="CA95" s="939">
        <f t="shared" si="316"/>
        <v>0</v>
      </c>
      <c r="CB95" s="941">
        <f t="shared" si="317"/>
        <v>0</v>
      </c>
    </row>
    <row r="96" spans="1:116" ht="13">
      <c r="A96" s="323">
        <f t="shared" si="318"/>
        <v>112012310</v>
      </c>
      <c r="B96" s="324">
        <f t="shared" si="397"/>
        <v>4</v>
      </c>
      <c r="C96" s="558" t="str">
        <f t="shared" si="320"/>
        <v>Lista</v>
      </c>
      <c r="D96" s="558">
        <f t="shared" si="321"/>
        <v>0.2</v>
      </c>
      <c r="E96" s="558">
        <f t="shared" si="322"/>
        <v>0</v>
      </c>
      <c r="F96" s="798"/>
      <c r="G96" s="558"/>
      <c r="H96" s="558"/>
      <c r="I96" s="558"/>
      <c r="J96" s="637"/>
      <c r="K96" s="558"/>
      <c r="L96" s="558"/>
      <c r="M96" s="325" t="s">
        <v>923</v>
      </c>
      <c r="N96" s="326">
        <f t="shared" si="362"/>
        <v>49016.95</v>
      </c>
      <c r="O96" s="326">
        <f t="shared" si="419"/>
        <v>82399.943797500004</v>
      </c>
      <c r="P96" s="326">
        <f t="shared" si="323"/>
        <v>0</v>
      </c>
      <c r="Q96" s="326">
        <f t="shared" si="324"/>
        <v>0</v>
      </c>
      <c r="R96" s="326">
        <f t="shared" si="325"/>
        <v>0</v>
      </c>
      <c r="S96" s="326">
        <f t="shared" si="326"/>
        <v>-82399.943797500004</v>
      </c>
      <c r="T96" s="137">
        <f t="shared" si="327"/>
        <v>0</v>
      </c>
      <c r="U96" s="326">
        <f t="shared" si="328"/>
        <v>53608.2</v>
      </c>
      <c r="V96" s="326">
        <f t="shared" si="420"/>
        <v>97069.707945000002</v>
      </c>
      <c r="W96" s="326">
        <f t="shared" si="330"/>
        <v>0</v>
      </c>
      <c r="X96" s="326">
        <f t="shared" si="331"/>
        <v>0</v>
      </c>
      <c r="Y96" s="326">
        <f t="shared" si="332"/>
        <v>0</v>
      </c>
      <c r="Z96" s="326">
        <f t="shared" si="333"/>
        <v>-97069.707945000002</v>
      </c>
      <c r="AA96" s="137">
        <f t="shared" si="403"/>
        <v>0</v>
      </c>
      <c r="AB96" s="326">
        <f t="shared" si="335"/>
        <v>38403.519999999997</v>
      </c>
      <c r="AC96" s="326">
        <f t="shared" si="421"/>
        <v>64336.456967999999</v>
      </c>
      <c r="AD96" s="326">
        <f t="shared" si="337"/>
        <v>0</v>
      </c>
      <c r="AE96" s="326">
        <f t="shared" si="338"/>
        <v>0</v>
      </c>
      <c r="AF96" s="326">
        <f t="shared" si="339"/>
        <v>0</v>
      </c>
      <c r="AG96" s="326">
        <f t="shared" si="352"/>
        <v>-64336.456967999999</v>
      </c>
      <c r="AH96" s="137">
        <f t="shared" si="390"/>
        <v>0</v>
      </c>
      <c r="AI96" s="969">
        <f t="shared" si="354"/>
        <v>243806.1087105</v>
      </c>
      <c r="AJ96" s="326">
        <f t="shared" si="398"/>
        <v>367850.08</v>
      </c>
      <c r="AK96" s="326">
        <f t="shared" ref="AK96:AL96" si="424">SUM(AD96,W96,P96)</f>
        <v>0</v>
      </c>
      <c r="AL96" s="326">
        <f t="shared" si="424"/>
        <v>0</v>
      </c>
      <c r="AM96" s="326">
        <f t="shared" si="341"/>
        <v>0</v>
      </c>
      <c r="AN96" s="326">
        <f t="shared" si="400"/>
        <v>-367850.08</v>
      </c>
      <c r="AO96" s="970">
        <f t="shared" si="401"/>
        <v>0</v>
      </c>
      <c r="AP96" s="941">
        <f t="shared" si="365"/>
        <v>0</v>
      </c>
      <c r="AQ96" s="326"/>
      <c r="AR96" s="326"/>
      <c r="AS96" s="326"/>
      <c r="AT96" s="941"/>
      <c r="AU96" s="326"/>
      <c r="AV96" s="326"/>
      <c r="AW96" s="326"/>
      <c r="AX96" s="941"/>
      <c r="AY96" s="941"/>
      <c r="AZ96" s="941"/>
      <c r="BA96" s="941"/>
      <c r="BB96" s="941"/>
      <c r="BC96" s="941"/>
      <c r="BD96" s="941"/>
      <c r="BE96" s="941"/>
      <c r="BF96" s="941"/>
      <c r="BG96" s="941"/>
      <c r="BH96" s="941"/>
      <c r="BI96" s="941"/>
      <c r="BJ96" s="941"/>
      <c r="BK96" s="941"/>
      <c r="BL96" s="971">
        <f t="shared" si="342"/>
        <v>0</v>
      </c>
      <c r="BM96" s="972">
        <f t="shared" si="343"/>
        <v>0</v>
      </c>
      <c r="BN96" s="941">
        <f t="shared" si="344"/>
        <v>0</v>
      </c>
      <c r="BO96" s="973">
        <f t="shared" si="345"/>
        <v>0</v>
      </c>
      <c r="BP96" s="939">
        <f t="shared" si="346"/>
        <v>83672.72</v>
      </c>
      <c r="BQ96" s="941">
        <f t="shared" si="347"/>
        <v>0</v>
      </c>
      <c r="BR96" s="941">
        <f t="shared" si="348"/>
        <v>0</v>
      </c>
      <c r="BS96" s="971">
        <f t="shared" si="349"/>
        <v>0</v>
      </c>
      <c r="BT96" s="972">
        <f t="shared" ref="BT96:BU96" si="425">SUM(BQ96,BM96,BI96)</f>
        <v>0</v>
      </c>
      <c r="BU96" s="941">
        <f t="shared" si="425"/>
        <v>0</v>
      </c>
      <c r="BV96" s="973"/>
      <c r="BW96" s="939">
        <f t="shared" si="315"/>
        <v>268661.59000000003</v>
      </c>
      <c r="BX96" s="941"/>
      <c r="BY96" s="941"/>
      <c r="BZ96" s="973"/>
      <c r="CA96" s="939">
        <f t="shared" si="316"/>
        <v>99188.5</v>
      </c>
      <c r="CB96" s="941">
        <f t="shared" si="317"/>
        <v>0</v>
      </c>
    </row>
    <row r="97" spans="1:116" ht="13">
      <c r="A97" s="323" t="e">
        <f t="shared" si="318"/>
        <v>#N/A</v>
      </c>
      <c r="B97" s="324"/>
      <c r="C97" s="324"/>
      <c r="D97" s="324"/>
      <c r="E97" s="324"/>
      <c r="F97" s="449"/>
      <c r="G97" s="324"/>
      <c r="H97" s="324"/>
      <c r="I97" s="324"/>
      <c r="J97" s="324"/>
      <c r="K97" s="324"/>
      <c r="L97" s="324"/>
      <c r="M97" s="790"/>
      <c r="N97" s="325"/>
      <c r="O97" s="325"/>
      <c r="P97" s="325"/>
      <c r="Q97" s="325"/>
      <c r="R97" s="325"/>
      <c r="S97" s="325"/>
      <c r="T97" s="137"/>
      <c r="U97" s="325"/>
      <c r="V97" s="325"/>
      <c r="W97" s="325"/>
      <c r="X97" s="325"/>
      <c r="Y97" s="325"/>
      <c r="Z97" s="325"/>
      <c r="AA97" s="137"/>
      <c r="AB97" s="325"/>
      <c r="AC97" s="325"/>
      <c r="AD97" s="325"/>
      <c r="AE97" s="325"/>
      <c r="AF97" s="325"/>
      <c r="AG97" s="325"/>
      <c r="AH97" s="137"/>
      <c r="AI97" s="790"/>
      <c r="AJ97" s="790"/>
      <c r="AK97" s="790"/>
      <c r="AL97" s="790"/>
      <c r="AM97" s="790"/>
      <c r="AN97" s="790"/>
      <c r="AO97" s="970"/>
      <c r="AP97" s="325"/>
      <c r="AQ97" s="326"/>
      <c r="AR97" s="326"/>
      <c r="AS97" s="326"/>
      <c r="AT97" s="325"/>
      <c r="AU97" s="326"/>
      <c r="AV97" s="326"/>
      <c r="AW97" s="326"/>
      <c r="AX97" s="325"/>
      <c r="AY97" s="325"/>
      <c r="AZ97" s="325"/>
      <c r="BA97" s="325"/>
      <c r="BB97" s="325"/>
      <c r="BC97" s="325"/>
      <c r="BD97" s="325"/>
      <c r="BE97" s="325"/>
      <c r="BF97" s="325"/>
      <c r="BG97" s="325"/>
      <c r="BH97" s="325"/>
      <c r="BI97" s="325"/>
      <c r="BJ97" s="325"/>
      <c r="BK97" s="325"/>
      <c r="BL97" s="971" t="str">
        <f t="shared" si="342"/>
        <v/>
      </c>
      <c r="BM97" s="972" t="e">
        <f t="shared" si="343"/>
        <v>#VALUE!</v>
      </c>
      <c r="BN97" s="941" t="str">
        <f t="shared" si="344"/>
        <v/>
      </c>
      <c r="BO97" s="973" t="str">
        <f t="shared" si="345"/>
        <v/>
      </c>
      <c r="BP97" s="939" t="str">
        <f t="shared" si="346"/>
        <v/>
      </c>
      <c r="BQ97" s="941" t="e">
        <f t="shared" si="347"/>
        <v>#VALUE!</v>
      </c>
      <c r="BR97" s="941" t="str">
        <f t="shared" si="348"/>
        <v/>
      </c>
      <c r="BS97" s="971" t="str">
        <f t="shared" si="349"/>
        <v/>
      </c>
      <c r="BT97" s="972" t="e">
        <f t="shared" ref="BT97:BU97" si="426">SUM(BQ97,BM97,BI97)</f>
        <v>#VALUE!</v>
      </c>
      <c r="BU97" s="941">
        <f t="shared" si="426"/>
        <v>0</v>
      </c>
      <c r="BV97" s="973"/>
      <c r="BW97" s="939" t="str">
        <f t="shared" si="315"/>
        <v/>
      </c>
      <c r="BX97" s="941"/>
      <c r="BY97" s="941"/>
      <c r="BZ97" s="973"/>
      <c r="CA97" s="939" t="str">
        <f t="shared" si="316"/>
        <v/>
      </c>
      <c r="CB97" s="941" t="str">
        <f t="shared" si="317"/>
        <v/>
      </c>
    </row>
    <row r="98" spans="1:116" ht="13">
      <c r="A98" s="323" t="e">
        <f t="shared" si="318"/>
        <v>#N/A</v>
      </c>
      <c r="B98" s="324"/>
      <c r="C98" s="324"/>
      <c r="D98" s="324"/>
      <c r="E98" s="324"/>
      <c r="F98" s="449"/>
      <c r="G98" s="324"/>
      <c r="H98" s="324"/>
      <c r="I98" s="324"/>
      <c r="J98" s="324"/>
      <c r="K98" s="324"/>
      <c r="L98" s="324"/>
      <c r="M98" s="790"/>
      <c r="N98" s="325"/>
      <c r="O98" s="325"/>
      <c r="P98" s="325"/>
      <c r="Q98" s="325"/>
      <c r="R98" s="325"/>
      <c r="S98" s="325"/>
      <c r="T98" s="137"/>
      <c r="U98" s="325"/>
      <c r="V98" s="325"/>
      <c r="W98" s="325"/>
      <c r="X98" s="325"/>
      <c r="Y98" s="325"/>
      <c r="Z98" s="325"/>
      <c r="AA98" s="137"/>
      <c r="AB98" s="325"/>
      <c r="AC98" s="325"/>
      <c r="AD98" s="325"/>
      <c r="AE98" s="325"/>
      <c r="AF98" s="325"/>
      <c r="AG98" s="325"/>
      <c r="AH98" s="137"/>
      <c r="AI98" s="790"/>
      <c r="AJ98" s="790"/>
      <c r="AK98" s="790"/>
      <c r="AL98" s="790"/>
      <c r="AM98" s="790"/>
      <c r="AN98" s="790"/>
      <c r="AO98" s="970"/>
      <c r="AP98" s="325"/>
      <c r="AQ98" s="326"/>
      <c r="AR98" s="326"/>
      <c r="AS98" s="326"/>
      <c r="AT98" s="325"/>
      <c r="AU98" s="326"/>
      <c r="AV98" s="326"/>
      <c r="AW98" s="326"/>
      <c r="AX98" s="325"/>
      <c r="AY98" s="325"/>
      <c r="AZ98" s="325"/>
      <c r="BA98" s="325"/>
      <c r="BB98" s="325"/>
      <c r="BC98" s="325"/>
      <c r="BD98" s="325"/>
      <c r="BE98" s="325"/>
      <c r="BF98" s="325"/>
      <c r="BG98" s="325"/>
      <c r="BH98" s="325"/>
      <c r="BI98" s="325"/>
      <c r="BJ98" s="325"/>
      <c r="BK98" s="325"/>
      <c r="BL98" s="971" t="str">
        <f t="shared" si="342"/>
        <v/>
      </c>
      <c r="BM98" s="972" t="e">
        <f t="shared" si="343"/>
        <v>#VALUE!</v>
      </c>
      <c r="BN98" s="941" t="str">
        <f t="shared" si="344"/>
        <v/>
      </c>
      <c r="BO98" s="973" t="str">
        <f t="shared" si="345"/>
        <v/>
      </c>
      <c r="BP98" s="939" t="str">
        <f t="shared" si="346"/>
        <v/>
      </c>
      <c r="BQ98" s="941" t="e">
        <f t="shared" si="347"/>
        <v>#VALUE!</v>
      </c>
      <c r="BR98" s="941" t="str">
        <f t="shared" si="348"/>
        <v/>
      </c>
      <c r="BS98" s="971" t="str">
        <f t="shared" si="349"/>
        <v/>
      </c>
      <c r="BT98" s="972" t="e">
        <f t="shared" ref="BT98:BU98" si="427">SUM(BQ98,BM98,BI98)</f>
        <v>#VALUE!</v>
      </c>
      <c r="BU98" s="941">
        <f t="shared" si="427"/>
        <v>0</v>
      </c>
      <c r="BV98" s="973"/>
      <c r="BW98" s="939" t="str">
        <f t="shared" si="315"/>
        <v/>
      </c>
      <c r="BX98" s="941"/>
      <c r="BY98" s="941"/>
      <c r="BZ98" s="973"/>
      <c r="CA98" s="939" t="str">
        <f t="shared" si="316"/>
        <v/>
      </c>
      <c r="CB98" s="941" t="str">
        <f t="shared" si="317"/>
        <v/>
      </c>
    </row>
    <row r="99" spans="1:116" ht="13">
      <c r="A99" s="323" t="s">
        <v>924</v>
      </c>
      <c r="B99" s="324">
        <f t="shared" ref="B99:B104" si="428">VLOOKUP(M99,VARGASCARTERA,2,FALSE)</f>
        <v>10</v>
      </c>
      <c r="C99" s="558">
        <f t="shared" ref="C99:C110" si="429">IFERROR(VLOOKUP(B99,DES,2,FALSE),"")</f>
        <v>0.15</v>
      </c>
      <c r="D99" s="558">
        <f t="shared" ref="D99:D110" si="430">IFERROR(VLOOKUP(B99,DES,3,FALSE),"")</f>
        <v>0.23</v>
      </c>
      <c r="E99" s="558">
        <f t="shared" ref="E99:E110" si="431">IFERROR(VLOOKUP(B99,DES,4,FALSE),"")</f>
        <v>0</v>
      </c>
      <c r="F99" s="798">
        <f t="shared" ref="F99:F110" si="432">VLOOKUP(M99,VARGASCART2,2,FALSE)</f>
        <v>31</v>
      </c>
      <c r="G99" s="976">
        <f t="shared" ref="G99:G110" si="433">IFERROR(VLOOKUP(F99,DES,2,FALSE),"")</f>
        <v>0.1</v>
      </c>
      <c r="H99" s="558">
        <f t="shared" ref="H99:H110" si="434">IFERROR(VLOOKUP(B99,DES,3,FALSE),"")</f>
        <v>0.23</v>
      </c>
      <c r="I99" s="558">
        <f t="shared" ref="I99:I110" si="435">IFERROR(VLOOKUP(B99,DES,4,FALSE),"")</f>
        <v>0</v>
      </c>
      <c r="J99" s="637" t="e">
        <f t="shared" ref="J99:J110" si="436">VLOOKUP(M99,VARGCART4,2,FALSE)</f>
        <v>#N/A</v>
      </c>
      <c r="K99" s="558" t="str">
        <f t="shared" ref="K99:K110" si="437">IFERROR(VLOOKUP(J99,A458DC1025,2,FALSE),"")</f>
        <v/>
      </c>
      <c r="L99" s="558" t="str">
        <f t="shared" ref="L99:L110" si="438">IFERROR(VLOOKUP(J99,A458DC1025,3,FALSE),"")</f>
        <v/>
      </c>
      <c r="M99" s="977" t="s">
        <v>925</v>
      </c>
      <c r="N99" s="326">
        <f>IFERROR(VLOOKUP(M99,VARGAS24,3,FALSE),"")</f>
        <v>260614.25</v>
      </c>
      <c r="O99" s="561">
        <v>3000000</v>
      </c>
      <c r="P99" s="326">
        <f t="shared" ref="P99:P110" si="439">R99-Q99</f>
        <v>457750.8899999999</v>
      </c>
      <c r="Q99" s="326">
        <f t="shared" ref="Q99:Q110" si="440">IFERROR(VLOOKUP(M99,VARGALIM,3,FALSE),"")</f>
        <v>1412545.24</v>
      </c>
      <c r="R99" s="326">
        <f t="shared" ref="R99:R110" si="441">IFERROR(VLOOKUP(M99,VARFC,3,FALSE),"")</f>
        <v>1870296.13</v>
      </c>
      <c r="S99" s="326">
        <f t="shared" ref="S99:S110" si="442">R99-O99</f>
        <v>-1129703.8700000001</v>
      </c>
      <c r="T99" s="137">
        <f t="shared" ref="T99:T110" si="443">IFERROR(R99/O99,"")</f>
        <v>0.62343204333333324</v>
      </c>
      <c r="U99" s="326">
        <f t="shared" ref="U99:U110" si="444">IFERROR(VLOOKUP(M99,VARGAS24,4,FALSE),"")</f>
        <v>1590666.88</v>
      </c>
      <c r="V99" s="561">
        <v>3000000</v>
      </c>
      <c r="W99" s="326">
        <f t="shared" ref="W99:W110" si="445">Y99-X99</f>
        <v>315011.69999999972</v>
      </c>
      <c r="X99" s="326">
        <f t="shared" ref="X99:X110" si="446">IFERROR(VLOOKUP(M99,VARGALIM,4,FALSE),"")</f>
        <v>2541247.2400000002</v>
      </c>
      <c r="Y99" s="326">
        <f t="shared" ref="Y99:Y110" si="447">IFERROR(VLOOKUP(M99,VARFC,4,FALSE),"")</f>
        <v>2856258.94</v>
      </c>
      <c r="Z99" s="326">
        <f t="shared" ref="Z99:Z110" si="448">Y99-V99</f>
        <v>-143741.06000000006</v>
      </c>
      <c r="AA99" s="137">
        <f t="shared" ref="AA99:AA100" si="449">Y99/V99</f>
        <v>0.95208631333333327</v>
      </c>
      <c r="AB99" s="326">
        <f t="shared" ref="AB99:AB110" si="450">IFERROR(VLOOKUP(M99,VARGAS24,5,FALSE),"")</f>
        <v>102083.7</v>
      </c>
      <c r="AC99" s="561">
        <v>3000000</v>
      </c>
      <c r="AD99" s="326">
        <f t="shared" ref="AD99:AD110" si="451">AF99-AE99</f>
        <v>138507.02000000002</v>
      </c>
      <c r="AE99" s="326">
        <f t="shared" ref="AE99:AE110" si="452">IFERROR(VLOOKUP(M99,VARGALIM,5,FALSE),"")</f>
        <v>959816.04</v>
      </c>
      <c r="AF99" s="326">
        <f t="shared" ref="AF99:AF110" si="453">IFERROR(VLOOKUP(M99,VARFC,5,FALSE),"")</f>
        <v>1098323.06</v>
      </c>
      <c r="AG99" s="326">
        <f t="shared" ref="AG99:AG110" si="454">AF99-AC99</f>
        <v>-1901676.94</v>
      </c>
      <c r="AH99" s="137">
        <f t="shared" ref="AH99:AH100" si="455">AF99/AC99</f>
        <v>0.36610768666666671</v>
      </c>
      <c r="AI99" s="969">
        <f t="shared" ref="AI99:AI110" si="456">SUM(O99,V99,AC99)</f>
        <v>9000000</v>
      </c>
      <c r="AJ99" s="326">
        <f>VLOOKUP(M99,trim2024,2,FALSE)</f>
        <v>3621825.33</v>
      </c>
      <c r="AK99" s="326">
        <f t="shared" ref="AK99:AL99" si="457">SUM(AD99,W99,P99)</f>
        <v>911269.60999999964</v>
      </c>
      <c r="AL99" s="326">
        <f t="shared" si="457"/>
        <v>4913608.5200000005</v>
      </c>
      <c r="AM99" s="326">
        <f t="shared" ref="AM99:AM110" si="458">SUM(AF99,Y99,Y99,R99)</f>
        <v>8681137.0700000003</v>
      </c>
      <c r="AN99" s="326">
        <f t="shared" ref="AN99:AN110" si="459">AM99-AJ99</f>
        <v>5059311.74</v>
      </c>
      <c r="AO99" s="970">
        <f t="shared" ref="AO99:AO100" si="460">AM99/AJ99</f>
        <v>2.3968955648117904</v>
      </c>
      <c r="AP99" s="941">
        <f t="shared" ref="AP99:AP110" si="461">IFERROR(VLOOKUP(M99,VARGAS24,6,FALSE),"")</f>
        <v>1146533.47</v>
      </c>
      <c r="AQ99" s="326">
        <f t="shared" ref="AQ99:AQ110" si="462">AS99-AR99</f>
        <v>268695.16999999993</v>
      </c>
      <c r="AR99" s="326">
        <f t="shared" ref="AR99:AR110" si="463">IFERROR(VLOOKUP(M99,VARGALIM,6,FALSE),"")</f>
        <v>1743431.52</v>
      </c>
      <c r="AS99" s="326">
        <f t="shared" ref="AS99:AS110" si="464">IFERROR(VLOOKUP(M99,VARFC,6,FALSE),"")</f>
        <v>2012126.69</v>
      </c>
      <c r="AT99" s="941">
        <f t="shared" ref="AT99:AT110" si="465">IFERROR(VLOOKUP(M99,VARGAS24,7,FALSE),"")</f>
        <v>1871200.71</v>
      </c>
      <c r="AU99" s="326">
        <f t="shared" ref="AU99:AU110" si="466">AW99-AV99</f>
        <v>572139.85000000009</v>
      </c>
      <c r="AV99" s="326">
        <f t="shared" ref="AV99:AV110" si="467">IFERROR(VLOOKUP(M99,VARGALIM,7,FALSE),"")</f>
        <v>3850824.19</v>
      </c>
      <c r="AW99" s="326">
        <f t="shared" ref="AW99:AW110" si="468">IFERROR(VLOOKUP(M99,VARFC,7,FALSE),"")</f>
        <v>4422964.04</v>
      </c>
      <c r="AX99" s="941">
        <f t="shared" ref="AX99:AX110" si="469">IFERROR(VLOOKUP(M99,VARGAS24,8,FALSE),"")</f>
        <v>1626564.79</v>
      </c>
      <c r="AY99" s="326">
        <f t="shared" ref="AY99:AY110" si="470">BA99-AZ99</f>
        <v>515198.57999999984</v>
      </c>
      <c r="AZ99" s="326">
        <f t="shared" ref="AZ99:AZ110" si="471">IFERROR(VLOOKUP(M99,VARGALIM,8,FALSE),"")</f>
        <v>1790200.57</v>
      </c>
      <c r="BA99" s="326">
        <f t="shared" ref="BA99:BA110" si="472">IFERROR(VLOOKUP(M99,VARFC,8,FALSE),"")</f>
        <v>2305399.15</v>
      </c>
      <c r="BB99" s="326">
        <f t="shared" ref="BB99:BB110" si="473">AY99+AU99+AQ99</f>
        <v>1356033.5999999999</v>
      </c>
      <c r="BC99" s="326">
        <f t="shared" ref="BC99:BC110" si="474">AR99+AV99+AZ99</f>
        <v>7384456.2800000003</v>
      </c>
      <c r="BD99" s="326">
        <f t="shared" ref="BD99:BD110" si="475">SUM(BA99+AW99+AS99)</f>
        <v>8740489.879999999</v>
      </c>
      <c r="BE99" s="326">
        <f t="shared" ref="BE99:BE110" si="476">BB99+AK99</f>
        <v>2267303.2099999995</v>
      </c>
      <c r="BF99" s="326">
        <f t="shared" ref="BF99:BG99" si="477">SUM(BC99,AL99)</f>
        <v>12298064.800000001</v>
      </c>
      <c r="BG99" s="326">
        <f t="shared" si="477"/>
        <v>17421626.949999999</v>
      </c>
      <c r="BH99" s="941">
        <f t="shared" ref="BH99:BH110" si="478">IFERROR(VLOOKUP(M99,VARGAS24,9,FALSE),"")</f>
        <v>1770774.13</v>
      </c>
      <c r="BI99" s="326">
        <f t="shared" ref="BI99:BI110" si="479">BK99-BJ99</f>
        <v>181446.03999999957</v>
      </c>
      <c r="BJ99" s="326">
        <f t="shared" ref="BJ99:BJ110" si="480">IFERROR(VLOOKUP(M99,VARGALIM,9,FALSE),"")</f>
        <v>2775646.72</v>
      </c>
      <c r="BK99" s="326">
        <f t="shared" ref="BK99:BK110" si="481">IFERROR(VLOOKUP(M99,VARFC,9,FALSE),"")</f>
        <v>2957092.76</v>
      </c>
      <c r="BL99" s="971">
        <f t="shared" si="342"/>
        <v>1953964.12</v>
      </c>
      <c r="BM99" s="140">
        <f t="shared" si="343"/>
        <v>440040.01000000024</v>
      </c>
      <c r="BN99" s="326">
        <f t="shared" si="344"/>
        <v>2686757.88</v>
      </c>
      <c r="BO99" s="333">
        <f t="shared" si="345"/>
        <v>3126797.89</v>
      </c>
      <c r="BP99" s="123">
        <f t="shared" si="346"/>
        <v>3229780.18</v>
      </c>
      <c r="BQ99" s="326">
        <f t="shared" si="347"/>
        <v>1959506.63</v>
      </c>
      <c r="BR99" s="326">
        <f t="shared" si="348"/>
        <v>5227013.72</v>
      </c>
      <c r="BS99" s="332">
        <f t="shared" si="349"/>
        <v>7186520.3499999996</v>
      </c>
      <c r="BT99" s="140">
        <f t="shared" ref="BT99:BV99" si="482">SUM(BQ99,BM99,BI99)</f>
        <v>2580992.6799999997</v>
      </c>
      <c r="BU99" s="326">
        <f t="shared" si="482"/>
        <v>10689418.32</v>
      </c>
      <c r="BV99" s="333">
        <f t="shared" si="482"/>
        <v>13270411</v>
      </c>
      <c r="BW99" s="939">
        <f t="shared" si="315"/>
        <v>86924</v>
      </c>
      <c r="BX99" s="326">
        <f t="shared" ref="BX99:BX110" si="483">BZ99-BY99</f>
        <v>1110106.31</v>
      </c>
      <c r="BY99" s="326">
        <f t="shared" ref="BY99:BY110" si="484">IFERROR(VLOOKUP(M99,VARGALIM,12,FALSE),"")</f>
        <v>1819080.87</v>
      </c>
      <c r="BZ99" s="333">
        <f t="shared" ref="BZ99:BZ110" si="485">IFERROR(VLOOKUP(M99,VARFC,12,FALSE),"")</f>
        <v>2929187.18</v>
      </c>
      <c r="CA99" s="978">
        <f t="shared" si="316"/>
        <v>3070347.53</v>
      </c>
      <c r="CB99" s="979">
        <f t="shared" si="317"/>
        <v>464553.81</v>
      </c>
      <c r="CF99" s="127"/>
      <c r="CG99" s="980"/>
      <c r="CH99" s="981"/>
      <c r="CI99" s="981"/>
      <c r="CJ99" s="981"/>
      <c r="CK99" s="981"/>
      <c r="CL99" s="981"/>
      <c r="CM99" s="294"/>
      <c r="CN99" s="294"/>
      <c r="CO99" s="294"/>
      <c r="CP99" s="294"/>
      <c r="CQ99" s="136"/>
      <c r="CR99" s="136"/>
      <c r="CS99" s="136"/>
      <c r="CT99" s="136"/>
      <c r="CU99" s="136"/>
      <c r="CV99" s="136"/>
      <c r="CW99" s="136"/>
      <c r="CX99" s="136"/>
      <c r="CY99" s="136"/>
      <c r="CZ99" s="136"/>
      <c r="DA99" s="136"/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</row>
    <row r="100" spans="1:116" ht="13">
      <c r="A100" s="323" t="e">
        <f t="shared" ref="A100:A110" si="486">VLOOKUP(M100,VARGCART4,3,FALSE)</f>
        <v>#N/A</v>
      </c>
      <c r="B100" s="324">
        <f t="shared" si="428"/>
        <v>7</v>
      </c>
      <c r="C100" s="558">
        <f t="shared" si="429"/>
        <v>0.1</v>
      </c>
      <c r="D100" s="558">
        <f t="shared" si="430"/>
        <v>0.2</v>
      </c>
      <c r="E100" s="558">
        <f t="shared" si="431"/>
        <v>0</v>
      </c>
      <c r="F100" s="798">
        <f t="shared" si="432"/>
        <v>7</v>
      </c>
      <c r="G100" s="558">
        <f t="shared" si="433"/>
        <v>0.1</v>
      </c>
      <c r="H100" s="558">
        <f t="shared" si="434"/>
        <v>0.2</v>
      </c>
      <c r="I100" s="558">
        <f t="shared" si="435"/>
        <v>0</v>
      </c>
      <c r="J100" s="637" t="e">
        <f t="shared" si="436"/>
        <v>#N/A</v>
      </c>
      <c r="K100" s="558" t="str">
        <f t="shared" si="437"/>
        <v/>
      </c>
      <c r="L100" s="558" t="str">
        <f t="shared" si="438"/>
        <v/>
      </c>
      <c r="M100" s="977" t="s">
        <v>926</v>
      </c>
      <c r="N100" s="326">
        <f>IFERROR(VLOOKUP(M100,VARGAS24,3,FALSE),"")</f>
        <v>1236321.46</v>
      </c>
      <c r="O100" s="326">
        <f>(N100*1.601)*1.05</f>
        <v>2078318.1903329999</v>
      </c>
      <c r="P100" s="326">
        <f t="shared" si="439"/>
        <v>58726.070000000065</v>
      </c>
      <c r="Q100" s="326">
        <f t="shared" si="440"/>
        <v>1369577.17</v>
      </c>
      <c r="R100" s="326">
        <f t="shared" si="441"/>
        <v>1428303.24</v>
      </c>
      <c r="S100" s="326">
        <f t="shared" si="442"/>
        <v>-650014.95033299993</v>
      </c>
      <c r="T100" s="137">
        <f t="shared" si="443"/>
        <v>0.68723992632290298</v>
      </c>
      <c r="U100" s="326">
        <f t="shared" si="444"/>
        <v>207067.12</v>
      </c>
      <c r="V100" s="975">
        <v>1800000</v>
      </c>
      <c r="W100" s="326">
        <f t="shared" si="445"/>
        <v>0</v>
      </c>
      <c r="X100" s="326">
        <f t="shared" si="446"/>
        <v>315258.8</v>
      </c>
      <c r="Y100" s="326">
        <f t="shared" si="447"/>
        <v>315258.8</v>
      </c>
      <c r="Z100" s="326">
        <f t="shared" si="448"/>
        <v>-1484741.2</v>
      </c>
      <c r="AA100" s="137">
        <f t="shared" si="449"/>
        <v>0.17514377777777776</v>
      </c>
      <c r="AB100" s="326">
        <f t="shared" si="450"/>
        <v>227897.72</v>
      </c>
      <c r="AC100" s="975">
        <v>1800000</v>
      </c>
      <c r="AD100" s="326">
        <f t="shared" si="451"/>
        <v>236617.47000000009</v>
      </c>
      <c r="AE100" s="326">
        <f t="shared" si="452"/>
        <v>561361.19999999995</v>
      </c>
      <c r="AF100" s="326">
        <f t="shared" si="453"/>
        <v>797978.67</v>
      </c>
      <c r="AG100" s="326">
        <f t="shared" si="454"/>
        <v>-1002021.33</v>
      </c>
      <c r="AH100" s="137">
        <f t="shared" si="455"/>
        <v>0.44332148333333338</v>
      </c>
      <c r="AI100" s="969">
        <f t="shared" si="456"/>
        <v>5678318.1903329995</v>
      </c>
      <c r="AJ100" s="326">
        <f>VLOOKUP(M100,trim2024,2,FALSE)</f>
        <v>2137324.3199999998</v>
      </c>
      <c r="AK100" s="326">
        <f t="shared" ref="AK100:AL100" si="487">SUM(AD100,W100,P100)</f>
        <v>295343.54000000015</v>
      </c>
      <c r="AL100" s="326">
        <f t="shared" si="487"/>
        <v>2246197.17</v>
      </c>
      <c r="AM100" s="326">
        <f t="shared" si="458"/>
        <v>2856799.51</v>
      </c>
      <c r="AN100" s="326">
        <f t="shared" si="459"/>
        <v>719475.19</v>
      </c>
      <c r="AO100" s="970">
        <f t="shared" si="460"/>
        <v>1.3366242470866565</v>
      </c>
      <c r="AP100" s="941">
        <f t="shared" si="461"/>
        <v>1013007.39</v>
      </c>
      <c r="AQ100" s="326">
        <f t="shared" si="462"/>
        <v>226584.36000000004</v>
      </c>
      <c r="AR100" s="326">
        <f t="shared" si="463"/>
        <v>470659.92</v>
      </c>
      <c r="AS100" s="326">
        <f t="shared" si="464"/>
        <v>697244.28</v>
      </c>
      <c r="AT100" s="941">
        <f t="shared" si="465"/>
        <v>483915.23</v>
      </c>
      <c r="AU100" s="326">
        <f t="shared" si="466"/>
        <v>0</v>
      </c>
      <c r="AV100" s="326">
        <f t="shared" si="467"/>
        <v>1235618.72</v>
      </c>
      <c r="AW100" s="326">
        <f t="shared" si="468"/>
        <v>1235618.72</v>
      </c>
      <c r="AX100" s="941">
        <f t="shared" si="469"/>
        <v>568127.49</v>
      </c>
      <c r="AY100" s="326">
        <f t="shared" si="470"/>
        <v>0</v>
      </c>
      <c r="AZ100" s="326">
        <f t="shared" si="471"/>
        <v>1005429.76</v>
      </c>
      <c r="BA100" s="326">
        <f t="shared" si="472"/>
        <v>1005429.76</v>
      </c>
      <c r="BB100" s="326">
        <f t="shared" si="473"/>
        <v>226584.36000000004</v>
      </c>
      <c r="BC100" s="326">
        <f t="shared" si="474"/>
        <v>2711708.4</v>
      </c>
      <c r="BD100" s="326">
        <f t="shared" si="475"/>
        <v>2938292.76</v>
      </c>
      <c r="BE100" s="326">
        <f t="shared" si="476"/>
        <v>521927.9000000002</v>
      </c>
      <c r="BF100" s="326">
        <f t="shared" ref="BF100:BG100" si="488">SUM(BC100,AL100)</f>
        <v>4957905.57</v>
      </c>
      <c r="BG100" s="326">
        <f t="shared" si="488"/>
        <v>5795092.2699999996</v>
      </c>
      <c r="BH100" s="941">
        <f t="shared" si="478"/>
        <v>745645.49</v>
      </c>
      <c r="BI100" s="326">
        <f t="shared" si="479"/>
        <v>2768513.63</v>
      </c>
      <c r="BJ100" s="326">
        <f t="shared" si="480"/>
        <v>268591.44</v>
      </c>
      <c r="BK100" s="326">
        <f t="shared" si="481"/>
        <v>3037105.07</v>
      </c>
      <c r="BL100" s="971">
        <f t="shared" si="342"/>
        <v>344385.65</v>
      </c>
      <c r="BM100" s="140">
        <f t="shared" si="343"/>
        <v>0</v>
      </c>
      <c r="BN100" s="326">
        <f t="shared" si="344"/>
        <v>261445.6</v>
      </c>
      <c r="BO100" s="333">
        <f t="shared" si="345"/>
        <v>261445.6</v>
      </c>
      <c r="BP100" s="123">
        <f t="shared" si="346"/>
        <v>3181333.84</v>
      </c>
      <c r="BQ100" s="326">
        <f t="shared" si="347"/>
        <v>0</v>
      </c>
      <c r="BR100" s="326">
        <f t="shared" si="348"/>
        <v>87358.56</v>
      </c>
      <c r="BS100" s="332">
        <f t="shared" si="349"/>
        <v>87358.56</v>
      </c>
      <c r="BT100" s="140">
        <f t="shared" ref="BT100:BV100" si="489">SUM(BQ100,BM100,BI100)</f>
        <v>2768513.63</v>
      </c>
      <c r="BU100" s="326">
        <f t="shared" si="489"/>
        <v>617395.60000000009</v>
      </c>
      <c r="BV100" s="333">
        <f t="shared" si="489"/>
        <v>3385909.23</v>
      </c>
      <c r="BW100" s="939">
        <f t="shared" si="315"/>
        <v>0</v>
      </c>
      <c r="BX100" s="326">
        <f t="shared" si="483"/>
        <v>333399.25</v>
      </c>
      <c r="BY100" s="326">
        <f t="shared" si="484"/>
        <v>210410.27</v>
      </c>
      <c r="BZ100" s="333">
        <f t="shared" si="485"/>
        <v>543809.52</v>
      </c>
      <c r="CA100" s="939">
        <f t="shared" si="316"/>
        <v>391920.08</v>
      </c>
      <c r="CB100" s="941">
        <f t="shared" si="317"/>
        <v>1745404.24</v>
      </c>
    </row>
    <row r="101" spans="1:116" ht="13">
      <c r="A101" s="323" t="e">
        <f t="shared" si="486"/>
        <v>#N/A</v>
      </c>
      <c r="B101" s="324">
        <f t="shared" si="428"/>
        <v>7</v>
      </c>
      <c r="C101" s="558">
        <f t="shared" si="429"/>
        <v>0.1</v>
      </c>
      <c r="D101" s="558">
        <f t="shared" si="430"/>
        <v>0.2</v>
      </c>
      <c r="E101" s="558">
        <f t="shared" si="431"/>
        <v>0</v>
      </c>
      <c r="F101" s="798">
        <f t="shared" si="432"/>
        <v>7</v>
      </c>
      <c r="G101" s="558">
        <f t="shared" si="433"/>
        <v>0.1</v>
      </c>
      <c r="H101" s="558">
        <f t="shared" si="434"/>
        <v>0.2</v>
      </c>
      <c r="I101" s="558">
        <f t="shared" si="435"/>
        <v>0</v>
      </c>
      <c r="J101" s="637" t="e">
        <f t="shared" si="436"/>
        <v>#N/A</v>
      </c>
      <c r="K101" s="558" t="str">
        <f t="shared" si="437"/>
        <v/>
      </c>
      <c r="L101" s="558" t="str">
        <f t="shared" si="438"/>
        <v/>
      </c>
      <c r="M101" s="977" t="s">
        <v>927</v>
      </c>
      <c r="N101" s="326">
        <f>IFERROR(VLOOKUP(M101,VARGAS24,3,FALSE),"")</f>
        <v>559558</v>
      </c>
      <c r="O101" s="975">
        <v>1800000</v>
      </c>
      <c r="P101" s="326">
        <f t="shared" si="439"/>
        <v>0</v>
      </c>
      <c r="Q101" s="326">
        <f t="shared" si="440"/>
        <v>162876.48000000001</v>
      </c>
      <c r="R101" s="326">
        <f t="shared" si="441"/>
        <v>162876.48000000001</v>
      </c>
      <c r="S101" s="326">
        <f t="shared" si="442"/>
        <v>-1637123.52</v>
      </c>
      <c r="T101" s="137">
        <f t="shared" si="443"/>
        <v>9.0486933333333339E-2</v>
      </c>
      <c r="U101" s="326">
        <f t="shared" si="444"/>
        <v>215119.41</v>
      </c>
      <c r="V101" s="975">
        <v>1800000</v>
      </c>
      <c r="W101" s="326">
        <f t="shared" si="445"/>
        <v>736749.96</v>
      </c>
      <c r="X101" s="326">
        <f t="shared" si="446"/>
        <v>214221.52</v>
      </c>
      <c r="Y101" s="326">
        <f t="shared" si="447"/>
        <v>950971.48</v>
      </c>
      <c r="Z101" s="326">
        <f t="shared" si="448"/>
        <v>-849028.52</v>
      </c>
      <c r="AA101" s="137">
        <f t="shared" ref="AA101:AA104" si="490">IFERROR(Y101/V101,"")</f>
        <v>0.52831748888888885</v>
      </c>
      <c r="AB101" s="326">
        <f t="shared" si="450"/>
        <v>265933.15000000002</v>
      </c>
      <c r="AC101" s="975">
        <v>1800000</v>
      </c>
      <c r="AD101" s="326">
        <f t="shared" si="451"/>
        <v>919519.33999999985</v>
      </c>
      <c r="AE101" s="326">
        <f t="shared" si="452"/>
        <v>293417.08</v>
      </c>
      <c r="AF101" s="326">
        <f t="shared" si="453"/>
        <v>1212936.42</v>
      </c>
      <c r="AG101" s="326">
        <f t="shared" si="454"/>
        <v>-587063.58000000007</v>
      </c>
      <c r="AH101" s="137">
        <f t="shared" ref="AH101:AH105" si="491">IFERROR(AF101/AC101,"")</f>
        <v>0.67385356666666663</v>
      </c>
      <c r="AI101" s="969">
        <f t="shared" si="456"/>
        <v>5400000</v>
      </c>
      <c r="AJ101" s="326">
        <f>IFERROR(VLOOKUP(M101,trim2024,2,FALSE),"")</f>
        <v>3067214.91</v>
      </c>
      <c r="AK101" s="326">
        <f t="shared" ref="AK101:AL101" si="492">SUM(AD101,W101,P101)</f>
        <v>1656269.2999999998</v>
      </c>
      <c r="AL101" s="326">
        <f t="shared" si="492"/>
        <v>670515.07999999996</v>
      </c>
      <c r="AM101" s="326">
        <f t="shared" si="458"/>
        <v>3277755.86</v>
      </c>
      <c r="AN101" s="326">
        <f t="shared" si="459"/>
        <v>210540.94999999972</v>
      </c>
      <c r="AO101" s="970">
        <f t="shared" ref="AO101:AO105" si="493">IFERROR(AM101/AJ101,"")</f>
        <v>1.0686423860661265</v>
      </c>
      <c r="AP101" s="941">
        <f t="shared" si="461"/>
        <v>258063.55</v>
      </c>
      <c r="AQ101" s="326">
        <f t="shared" si="462"/>
        <v>367937.82</v>
      </c>
      <c r="AR101" s="326">
        <f t="shared" si="463"/>
        <v>0</v>
      </c>
      <c r="AS101" s="326">
        <f t="shared" si="464"/>
        <v>367937.82</v>
      </c>
      <c r="AT101" s="941">
        <f t="shared" si="465"/>
        <v>598904.17000000004</v>
      </c>
      <c r="AU101" s="326">
        <f t="shared" si="466"/>
        <v>318744.03000000003</v>
      </c>
      <c r="AV101" s="326">
        <f t="shared" si="467"/>
        <v>0</v>
      </c>
      <c r="AW101" s="326">
        <f t="shared" si="468"/>
        <v>318744.03000000003</v>
      </c>
      <c r="AX101" s="941">
        <f t="shared" si="469"/>
        <v>92239.52</v>
      </c>
      <c r="AY101" s="326">
        <f t="shared" si="470"/>
        <v>639258.30000000005</v>
      </c>
      <c r="AZ101" s="326">
        <f t="shared" si="471"/>
        <v>109440.32000000001</v>
      </c>
      <c r="BA101" s="326">
        <f t="shared" si="472"/>
        <v>748698.62</v>
      </c>
      <c r="BB101" s="326">
        <f t="shared" si="473"/>
        <v>1325940.1500000001</v>
      </c>
      <c r="BC101" s="326">
        <f t="shared" si="474"/>
        <v>109440.32000000001</v>
      </c>
      <c r="BD101" s="326">
        <f t="shared" si="475"/>
        <v>1435380.47</v>
      </c>
      <c r="BE101" s="326">
        <f t="shared" si="476"/>
        <v>2982209.45</v>
      </c>
      <c r="BF101" s="326">
        <f t="shared" ref="BF101:BG101" si="494">SUM(BC101,AL101)</f>
        <v>779955.39999999991</v>
      </c>
      <c r="BG101" s="326">
        <f t="shared" si="494"/>
        <v>4713136.33</v>
      </c>
      <c r="BH101" s="941">
        <f t="shared" si="478"/>
        <v>0</v>
      </c>
      <c r="BI101" s="326">
        <f t="shared" si="479"/>
        <v>0</v>
      </c>
      <c r="BJ101" s="326">
        <f t="shared" si="480"/>
        <v>0</v>
      </c>
      <c r="BK101" s="326">
        <f t="shared" si="481"/>
        <v>0</v>
      </c>
      <c r="BL101" s="971">
        <f t="shared" si="342"/>
        <v>1142155.77</v>
      </c>
      <c r="BM101" s="140">
        <f t="shared" si="343"/>
        <v>397849.10000000003</v>
      </c>
      <c r="BN101" s="326">
        <f t="shared" si="344"/>
        <v>65411.68</v>
      </c>
      <c r="BO101" s="333">
        <f t="shared" si="345"/>
        <v>463260.78</v>
      </c>
      <c r="BP101" s="123">
        <f t="shared" si="346"/>
        <v>279784.14</v>
      </c>
      <c r="BQ101" s="326">
        <f t="shared" si="347"/>
        <v>484383.05000000005</v>
      </c>
      <c r="BR101" s="326">
        <f t="shared" si="348"/>
        <v>76049.36</v>
      </c>
      <c r="BS101" s="332">
        <f t="shared" si="349"/>
        <v>560432.41</v>
      </c>
      <c r="BT101" s="140">
        <f t="shared" ref="BT101:BV101" si="495">SUM(BQ101,BM101,BI101)</f>
        <v>882232.15000000014</v>
      </c>
      <c r="BU101" s="326">
        <f t="shared" si="495"/>
        <v>141461.04</v>
      </c>
      <c r="BV101" s="333">
        <f t="shared" si="495"/>
        <v>1023693.1900000001</v>
      </c>
      <c r="BW101" s="939">
        <f t="shared" si="315"/>
        <v>799028.98</v>
      </c>
      <c r="BX101" s="326">
        <f t="shared" si="483"/>
        <v>1128030.48</v>
      </c>
      <c r="BY101" s="326">
        <f t="shared" si="484"/>
        <v>61801.42</v>
      </c>
      <c r="BZ101" s="333">
        <f t="shared" si="485"/>
        <v>1189831.8999999999</v>
      </c>
      <c r="CA101" s="966">
        <f t="shared" si="316"/>
        <v>84199.52</v>
      </c>
      <c r="CB101" s="967">
        <f t="shared" si="317"/>
        <v>2183986.41</v>
      </c>
      <c r="CF101" s="188"/>
    </row>
    <row r="102" spans="1:116" ht="13">
      <c r="A102" s="323" t="e">
        <f t="shared" si="486"/>
        <v>#N/A</v>
      </c>
      <c r="B102" s="324">
        <f t="shared" si="428"/>
        <v>7</v>
      </c>
      <c r="C102" s="558">
        <f t="shared" si="429"/>
        <v>0.1</v>
      </c>
      <c r="D102" s="558">
        <f t="shared" si="430"/>
        <v>0.2</v>
      </c>
      <c r="E102" s="558">
        <f t="shared" si="431"/>
        <v>0</v>
      </c>
      <c r="F102" s="798">
        <f t="shared" si="432"/>
        <v>7</v>
      </c>
      <c r="G102" s="558">
        <f t="shared" si="433"/>
        <v>0.1</v>
      </c>
      <c r="H102" s="558">
        <f t="shared" si="434"/>
        <v>0.2</v>
      </c>
      <c r="I102" s="558">
        <f t="shared" si="435"/>
        <v>0</v>
      </c>
      <c r="J102" s="637" t="e">
        <f t="shared" si="436"/>
        <v>#N/A</v>
      </c>
      <c r="K102" s="558" t="str">
        <f t="shared" si="437"/>
        <v/>
      </c>
      <c r="L102" s="558" t="str">
        <f t="shared" si="438"/>
        <v/>
      </c>
      <c r="M102" s="977" t="s">
        <v>928</v>
      </c>
      <c r="N102" s="326">
        <f>IFERROR(VLOOKUP(M102,VARGAS24,3,FALSE),"")</f>
        <v>158903.28</v>
      </c>
      <c r="O102" s="975">
        <v>1800000</v>
      </c>
      <c r="P102" s="326">
        <f t="shared" si="439"/>
        <v>483365.66999999993</v>
      </c>
      <c r="Q102" s="326">
        <f t="shared" si="440"/>
        <v>132223.91</v>
      </c>
      <c r="R102" s="326">
        <f t="shared" si="441"/>
        <v>615589.57999999996</v>
      </c>
      <c r="S102" s="326">
        <f t="shared" si="442"/>
        <v>-1184410.42</v>
      </c>
      <c r="T102" s="137">
        <f t="shared" si="443"/>
        <v>0.34199421111111111</v>
      </c>
      <c r="U102" s="326">
        <f t="shared" si="444"/>
        <v>346450.38</v>
      </c>
      <c r="V102" s="975">
        <v>1800000</v>
      </c>
      <c r="W102" s="326">
        <f t="shared" si="445"/>
        <v>305625.89</v>
      </c>
      <c r="X102" s="326">
        <f t="shared" si="446"/>
        <v>296631.71999999997</v>
      </c>
      <c r="Y102" s="326">
        <f t="shared" si="447"/>
        <v>602257.61</v>
      </c>
      <c r="Z102" s="326">
        <f t="shared" si="448"/>
        <v>-1197742.3900000001</v>
      </c>
      <c r="AA102" s="137">
        <f t="shared" si="490"/>
        <v>0.3345875611111111</v>
      </c>
      <c r="AB102" s="326">
        <f t="shared" si="450"/>
        <v>122689.09</v>
      </c>
      <c r="AC102" s="975">
        <v>1800000</v>
      </c>
      <c r="AD102" s="326">
        <f t="shared" si="451"/>
        <v>180967.51</v>
      </c>
      <c r="AE102" s="326">
        <f t="shared" si="452"/>
        <v>40449.19</v>
      </c>
      <c r="AF102" s="326">
        <f t="shared" si="453"/>
        <v>221416.7</v>
      </c>
      <c r="AG102" s="326">
        <f t="shared" si="454"/>
        <v>-1578583.3</v>
      </c>
      <c r="AH102" s="137">
        <f t="shared" si="491"/>
        <v>0.12300927777777779</v>
      </c>
      <c r="AI102" s="969">
        <f t="shared" si="456"/>
        <v>5400000</v>
      </c>
      <c r="AJ102" s="326">
        <f>IFERROR(VLOOKUP(M102,trim2024,2,FALSE),"")</f>
        <v>1696670.28</v>
      </c>
      <c r="AK102" s="326">
        <f t="shared" ref="AK102:AL102" si="496">SUM(AD102,W102,P102)</f>
        <v>969959.07</v>
      </c>
      <c r="AL102" s="326">
        <f t="shared" si="496"/>
        <v>469304.81999999995</v>
      </c>
      <c r="AM102" s="326">
        <f t="shared" si="458"/>
        <v>2041521.5</v>
      </c>
      <c r="AN102" s="326">
        <f t="shared" si="459"/>
        <v>344851.22</v>
      </c>
      <c r="AO102" s="970">
        <f t="shared" si="493"/>
        <v>1.2032517596760166</v>
      </c>
      <c r="AP102" s="941">
        <f t="shared" si="461"/>
        <v>199223.81</v>
      </c>
      <c r="AQ102" s="326">
        <f t="shared" si="462"/>
        <v>618721.77</v>
      </c>
      <c r="AR102" s="326">
        <f t="shared" si="463"/>
        <v>80887.5</v>
      </c>
      <c r="AS102" s="326">
        <f t="shared" si="464"/>
        <v>699609.27</v>
      </c>
      <c r="AT102" s="941">
        <f t="shared" si="465"/>
        <v>461443.41</v>
      </c>
      <c r="AU102" s="326">
        <f t="shared" si="466"/>
        <v>463281.61</v>
      </c>
      <c r="AV102" s="326">
        <f t="shared" si="467"/>
        <v>277099.39</v>
      </c>
      <c r="AW102" s="326">
        <f t="shared" si="468"/>
        <v>740381</v>
      </c>
      <c r="AX102" s="941">
        <f t="shared" si="469"/>
        <v>341085.63</v>
      </c>
      <c r="AY102" s="326">
        <f t="shared" si="470"/>
        <v>227540.49999999997</v>
      </c>
      <c r="AZ102" s="326">
        <f t="shared" si="471"/>
        <v>73776.160000000003</v>
      </c>
      <c r="BA102" s="326">
        <f t="shared" si="472"/>
        <v>301316.65999999997</v>
      </c>
      <c r="BB102" s="326">
        <f t="shared" si="473"/>
        <v>1309543.8799999999</v>
      </c>
      <c r="BC102" s="326">
        <f t="shared" si="474"/>
        <v>431763.05000000005</v>
      </c>
      <c r="BD102" s="326">
        <f t="shared" si="475"/>
        <v>1741306.93</v>
      </c>
      <c r="BE102" s="326">
        <f t="shared" si="476"/>
        <v>2279502.9499999997</v>
      </c>
      <c r="BF102" s="326">
        <f t="shared" ref="BF102:BG102" si="497">SUM(BC102,AL102)</f>
        <v>901067.87</v>
      </c>
      <c r="BG102" s="326">
        <f t="shared" si="497"/>
        <v>3782828.4299999997</v>
      </c>
      <c r="BH102" s="941">
        <f t="shared" si="478"/>
        <v>545214.27</v>
      </c>
      <c r="BI102" s="326">
        <f t="shared" si="479"/>
        <v>678331.65000000014</v>
      </c>
      <c r="BJ102" s="326">
        <f t="shared" si="480"/>
        <v>292670.65999999997</v>
      </c>
      <c r="BK102" s="326">
        <f t="shared" si="481"/>
        <v>971002.31</v>
      </c>
      <c r="BL102" s="971">
        <f t="shared" si="342"/>
        <v>482619.03</v>
      </c>
      <c r="BM102" s="140">
        <f t="shared" si="343"/>
        <v>605108.35000000009</v>
      </c>
      <c r="BN102" s="326">
        <f t="shared" si="344"/>
        <v>255071.06</v>
      </c>
      <c r="BO102" s="333">
        <f t="shared" si="345"/>
        <v>860179.41</v>
      </c>
      <c r="BP102" s="123">
        <f t="shared" si="346"/>
        <v>253825.79</v>
      </c>
      <c r="BQ102" s="326">
        <f t="shared" si="347"/>
        <v>443360.29000000004</v>
      </c>
      <c r="BR102" s="326">
        <f t="shared" si="348"/>
        <v>214338.48</v>
      </c>
      <c r="BS102" s="332">
        <f t="shared" si="349"/>
        <v>657698.77</v>
      </c>
      <c r="BT102" s="140">
        <f t="shared" ref="BT102:BV102" si="498">SUM(BQ102,BM102,BI102)</f>
        <v>1726800.2900000003</v>
      </c>
      <c r="BU102" s="326">
        <f t="shared" si="498"/>
        <v>762080.2</v>
      </c>
      <c r="BV102" s="333">
        <f t="shared" si="498"/>
        <v>2488880.4900000002</v>
      </c>
      <c r="BW102" s="939">
        <f t="shared" si="315"/>
        <v>694565.05</v>
      </c>
      <c r="BX102" s="326">
        <f t="shared" si="483"/>
        <v>654388.05999999994</v>
      </c>
      <c r="BY102" s="326">
        <f t="shared" si="484"/>
        <v>350862.51</v>
      </c>
      <c r="BZ102" s="333">
        <f t="shared" si="485"/>
        <v>1005250.57</v>
      </c>
      <c r="CA102" s="939">
        <f t="shared" si="316"/>
        <v>586365.47</v>
      </c>
      <c r="CB102" s="941">
        <f t="shared" si="317"/>
        <v>415739.76</v>
      </c>
      <c r="CF102" s="982"/>
      <c r="CG102" s="229"/>
      <c r="CH102" s="229"/>
    </row>
    <row r="103" spans="1:116" ht="13">
      <c r="A103" s="323" t="e">
        <f t="shared" si="486"/>
        <v>#N/A</v>
      </c>
      <c r="B103" s="324">
        <f t="shared" si="428"/>
        <v>22</v>
      </c>
      <c r="C103" s="558">
        <f t="shared" si="429"/>
        <v>0.1</v>
      </c>
      <c r="D103" s="558">
        <f t="shared" si="430"/>
        <v>0.09</v>
      </c>
      <c r="E103" s="558">
        <f t="shared" si="431"/>
        <v>0</v>
      </c>
      <c r="F103" s="798">
        <f t="shared" si="432"/>
        <v>22</v>
      </c>
      <c r="G103" s="558">
        <f t="shared" si="433"/>
        <v>0.1</v>
      </c>
      <c r="H103" s="558">
        <f t="shared" si="434"/>
        <v>0.09</v>
      </c>
      <c r="I103" s="558">
        <f t="shared" si="435"/>
        <v>0</v>
      </c>
      <c r="J103" s="637" t="e">
        <f t="shared" si="436"/>
        <v>#N/A</v>
      </c>
      <c r="K103" s="558" t="str">
        <f t="shared" si="437"/>
        <v/>
      </c>
      <c r="L103" s="558" t="str">
        <f t="shared" si="438"/>
        <v/>
      </c>
      <c r="M103" s="977" t="s">
        <v>929</v>
      </c>
      <c r="N103" s="326" t="str">
        <f>IFERROR(VLOOKUP(M103,VARGAS24,3,FALSE),"")</f>
        <v/>
      </c>
      <c r="O103" s="326" t="e">
        <f>(N103*1.601)*1.05</f>
        <v>#VALUE!</v>
      </c>
      <c r="P103" s="326">
        <f t="shared" si="439"/>
        <v>162966.5</v>
      </c>
      <c r="Q103" s="326">
        <f t="shared" si="440"/>
        <v>0</v>
      </c>
      <c r="R103" s="326">
        <f t="shared" si="441"/>
        <v>162966.5</v>
      </c>
      <c r="S103" s="326" t="e">
        <f t="shared" si="442"/>
        <v>#VALUE!</v>
      </c>
      <c r="T103" s="137" t="str">
        <f t="shared" si="443"/>
        <v/>
      </c>
      <c r="U103" s="326" t="str">
        <f t="shared" si="444"/>
        <v/>
      </c>
      <c r="V103" s="326" t="e">
        <f t="shared" ref="V103:V105" si="499">(U103*1.7245)*1.05</f>
        <v>#VALUE!</v>
      </c>
      <c r="W103" s="326">
        <f t="shared" si="445"/>
        <v>29307.350000000006</v>
      </c>
      <c r="X103" s="326">
        <f t="shared" si="446"/>
        <v>41276.839999999997</v>
      </c>
      <c r="Y103" s="326">
        <f t="shared" si="447"/>
        <v>70584.19</v>
      </c>
      <c r="Z103" s="326" t="e">
        <f t="shared" si="448"/>
        <v>#VALUE!</v>
      </c>
      <c r="AA103" s="137" t="str">
        <f t="shared" si="490"/>
        <v/>
      </c>
      <c r="AB103" s="326" t="str">
        <f t="shared" si="450"/>
        <v/>
      </c>
      <c r="AC103" s="326" t="e">
        <f t="shared" ref="AC103:AC105" si="500">(AB103*1.5955)*1.05</f>
        <v>#VALUE!</v>
      </c>
      <c r="AD103" s="326">
        <f t="shared" si="451"/>
        <v>0</v>
      </c>
      <c r="AE103" s="326">
        <f t="shared" si="452"/>
        <v>0</v>
      </c>
      <c r="AF103" s="326">
        <f t="shared" si="453"/>
        <v>0</v>
      </c>
      <c r="AG103" s="326" t="e">
        <f t="shared" si="454"/>
        <v>#VALUE!</v>
      </c>
      <c r="AH103" s="137" t="str">
        <f t="shared" si="491"/>
        <v/>
      </c>
      <c r="AI103" s="969" t="e">
        <f t="shared" si="456"/>
        <v>#VALUE!</v>
      </c>
      <c r="AJ103" s="326" t="str">
        <f>IFERROR(VLOOKUP(M103,trim2024,2,FALSE),"")</f>
        <v/>
      </c>
      <c r="AK103" s="326">
        <f t="shared" ref="AK103:AL103" si="501">SUM(AD103,W103,P103)</f>
        <v>192273.85</v>
      </c>
      <c r="AL103" s="326">
        <f t="shared" si="501"/>
        <v>41276.839999999997</v>
      </c>
      <c r="AM103" s="326">
        <f t="shared" si="458"/>
        <v>304134.88</v>
      </c>
      <c r="AN103" s="326" t="e">
        <f t="shared" si="459"/>
        <v>#VALUE!</v>
      </c>
      <c r="AO103" s="970" t="str">
        <f t="shared" si="493"/>
        <v/>
      </c>
      <c r="AP103" s="941" t="str">
        <f t="shared" si="461"/>
        <v/>
      </c>
      <c r="AQ103" s="326">
        <f t="shared" si="462"/>
        <v>0</v>
      </c>
      <c r="AR103" s="326">
        <f t="shared" si="463"/>
        <v>0</v>
      </c>
      <c r="AS103" s="326">
        <f t="shared" si="464"/>
        <v>0</v>
      </c>
      <c r="AT103" s="941" t="str">
        <f t="shared" si="465"/>
        <v/>
      </c>
      <c r="AU103" s="326">
        <f t="shared" si="466"/>
        <v>0</v>
      </c>
      <c r="AV103" s="326">
        <f t="shared" si="467"/>
        <v>0</v>
      </c>
      <c r="AW103" s="326">
        <f t="shared" si="468"/>
        <v>0</v>
      </c>
      <c r="AX103" s="941" t="str">
        <f t="shared" si="469"/>
        <v/>
      </c>
      <c r="AY103" s="326">
        <f t="shared" si="470"/>
        <v>0</v>
      </c>
      <c r="AZ103" s="326">
        <f t="shared" si="471"/>
        <v>0</v>
      </c>
      <c r="BA103" s="326">
        <f t="shared" si="472"/>
        <v>0</v>
      </c>
      <c r="BB103" s="326">
        <f t="shared" si="473"/>
        <v>0</v>
      </c>
      <c r="BC103" s="326">
        <f t="shared" si="474"/>
        <v>0</v>
      </c>
      <c r="BD103" s="326">
        <f t="shared" si="475"/>
        <v>0</v>
      </c>
      <c r="BE103" s="326">
        <f t="shared" si="476"/>
        <v>192273.85</v>
      </c>
      <c r="BF103" s="326">
        <f t="shared" ref="BF103:BG103" si="502">SUM(BC103,AL103)</f>
        <v>41276.839999999997</v>
      </c>
      <c r="BG103" s="326">
        <f t="shared" si="502"/>
        <v>304134.88</v>
      </c>
      <c r="BH103" s="941" t="str">
        <f t="shared" si="478"/>
        <v/>
      </c>
      <c r="BI103" s="326">
        <f t="shared" si="479"/>
        <v>0</v>
      </c>
      <c r="BJ103" s="326">
        <f t="shared" si="480"/>
        <v>0</v>
      </c>
      <c r="BK103" s="326">
        <f t="shared" si="481"/>
        <v>0</v>
      </c>
      <c r="BL103" s="971" t="str">
        <f t="shared" si="342"/>
        <v/>
      </c>
      <c r="BM103" s="140">
        <f t="shared" si="343"/>
        <v>0</v>
      </c>
      <c r="BN103" s="326">
        <f t="shared" si="344"/>
        <v>0</v>
      </c>
      <c r="BO103" s="333">
        <f t="shared" si="345"/>
        <v>0</v>
      </c>
      <c r="BP103" s="123" t="str">
        <f t="shared" si="346"/>
        <v/>
      </c>
      <c r="BQ103" s="326">
        <f t="shared" si="347"/>
        <v>0</v>
      </c>
      <c r="BR103" s="326">
        <f t="shared" si="348"/>
        <v>0</v>
      </c>
      <c r="BS103" s="332">
        <f t="shared" si="349"/>
        <v>0</v>
      </c>
      <c r="BT103" s="140">
        <f t="shared" ref="BT103:BV103" si="503">SUM(BQ103,BM103,BI103)</f>
        <v>0</v>
      </c>
      <c r="BU103" s="326">
        <f t="shared" si="503"/>
        <v>0</v>
      </c>
      <c r="BV103" s="333">
        <f t="shared" si="503"/>
        <v>0</v>
      </c>
      <c r="BW103" s="939" t="str">
        <f t="shared" si="315"/>
        <v/>
      </c>
      <c r="BX103" s="326">
        <f t="shared" si="483"/>
        <v>0</v>
      </c>
      <c r="BY103" s="326">
        <f t="shared" si="484"/>
        <v>0</v>
      </c>
      <c r="BZ103" s="333">
        <f t="shared" si="485"/>
        <v>0</v>
      </c>
      <c r="CA103" s="939" t="str">
        <f t="shared" si="316"/>
        <v/>
      </c>
      <c r="CB103" s="941" t="str">
        <f t="shared" si="317"/>
        <v/>
      </c>
      <c r="CF103" s="188"/>
      <c r="CG103" s="188"/>
      <c r="CH103" s="188"/>
    </row>
    <row r="104" spans="1:116" ht="13">
      <c r="A104" s="323" t="e">
        <f t="shared" si="486"/>
        <v>#N/A</v>
      </c>
      <c r="B104" s="324">
        <f t="shared" si="428"/>
        <v>22</v>
      </c>
      <c r="C104" s="558">
        <f t="shared" si="429"/>
        <v>0.1</v>
      </c>
      <c r="D104" s="558">
        <f t="shared" si="430"/>
        <v>0.09</v>
      </c>
      <c r="E104" s="558">
        <f t="shared" si="431"/>
        <v>0</v>
      </c>
      <c r="F104" s="798">
        <f t="shared" si="432"/>
        <v>22</v>
      </c>
      <c r="G104" s="558">
        <f t="shared" si="433"/>
        <v>0.1</v>
      </c>
      <c r="H104" s="558">
        <f t="shared" si="434"/>
        <v>0.09</v>
      </c>
      <c r="I104" s="558">
        <f t="shared" si="435"/>
        <v>0</v>
      </c>
      <c r="J104" s="637" t="e">
        <f t="shared" si="436"/>
        <v>#N/A</v>
      </c>
      <c r="K104" s="558" t="str">
        <f t="shared" si="437"/>
        <v/>
      </c>
      <c r="L104" s="558" t="str">
        <f t="shared" si="438"/>
        <v/>
      </c>
      <c r="M104" s="977" t="s">
        <v>930</v>
      </c>
      <c r="N104" s="326"/>
      <c r="O104" s="975"/>
      <c r="P104" s="326" t="e">
        <f t="shared" si="439"/>
        <v>#VALUE!</v>
      </c>
      <c r="Q104" s="326" t="str">
        <f t="shared" si="440"/>
        <v/>
      </c>
      <c r="R104" s="326">
        <f t="shared" si="441"/>
        <v>0</v>
      </c>
      <c r="S104" s="326">
        <f t="shared" si="442"/>
        <v>0</v>
      </c>
      <c r="T104" s="137" t="str">
        <f t="shared" si="443"/>
        <v/>
      </c>
      <c r="U104" s="326" t="str">
        <f t="shared" si="444"/>
        <v/>
      </c>
      <c r="V104" s="326" t="e">
        <f t="shared" si="499"/>
        <v>#VALUE!</v>
      </c>
      <c r="W104" s="326" t="e">
        <f t="shared" si="445"/>
        <v>#VALUE!</v>
      </c>
      <c r="X104" s="326" t="str">
        <f t="shared" si="446"/>
        <v/>
      </c>
      <c r="Y104" s="326">
        <f t="shared" si="447"/>
        <v>0</v>
      </c>
      <c r="Z104" s="326" t="e">
        <f t="shared" si="448"/>
        <v>#VALUE!</v>
      </c>
      <c r="AA104" s="137" t="str">
        <f t="shared" si="490"/>
        <v/>
      </c>
      <c r="AB104" s="326" t="str">
        <f t="shared" si="450"/>
        <v/>
      </c>
      <c r="AC104" s="326" t="e">
        <f t="shared" si="500"/>
        <v>#VALUE!</v>
      </c>
      <c r="AD104" s="326" t="e">
        <f t="shared" si="451"/>
        <v>#VALUE!</v>
      </c>
      <c r="AE104" s="326" t="str">
        <f t="shared" si="452"/>
        <v/>
      </c>
      <c r="AF104" s="326">
        <f t="shared" si="453"/>
        <v>0</v>
      </c>
      <c r="AG104" s="326" t="e">
        <f t="shared" si="454"/>
        <v>#VALUE!</v>
      </c>
      <c r="AH104" s="137" t="str">
        <f t="shared" si="491"/>
        <v/>
      </c>
      <c r="AI104" s="969" t="e">
        <f t="shared" si="456"/>
        <v>#VALUE!</v>
      </c>
      <c r="AJ104" s="326" t="str">
        <f>IFERROR(VLOOKUP(M104,trim2024,2,FALSE),"")</f>
        <v/>
      </c>
      <c r="AK104" s="326" t="e">
        <f t="shared" ref="AK104:AL104" si="504">SUM(AD104,W104,P104)</f>
        <v>#VALUE!</v>
      </c>
      <c r="AL104" s="326">
        <f t="shared" si="504"/>
        <v>0</v>
      </c>
      <c r="AM104" s="326">
        <f t="shared" si="458"/>
        <v>0</v>
      </c>
      <c r="AN104" s="326" t="e">
        <f t="shared" si="459"/>
        <v>#VALUE!</v>
      </c>
      <c r="AO104" s="970" t="str">
        <f t="shared" si="493"/>
        <v/>
      </c>
      <c r="AP104" s="941" t="str">
        <f t="shared" si="461"/>
        <v/>
      </c>
      <c r="AQ104" s="326" t="e">
        <f t="shared" si="462"/>
        <v>#VALUE!</v>
      </c>
      <c r="AR104" s="326" t="str">
        <f t="shared" si="463"/>
        <v/>
      </c>
      <c r="AS104" s="326">
        <f t="shared" si="464"/>
        <v>0</v>
      </c>
      <c r="AT104" s="941" t="str">
        <f t="shared" si="465"/>
        <v/>
      </c>
      <c r="AU104" s="326" t="e">
        <f t="shared" si="466"/>
        <v>#VALUE!</v>
      </c>
      <c r="AV104" s="326" t="str">
        <f t="shared" si="467"/>
        <v/>
      </c>
      <c r="AW104" s="326">
        <f t="shared" si="468"/>
        <v>16196.94</v>
      </c>
      <c r="AX104" s="941" t="str">
        <f t="shared" si="469"/>
        <v/>
      </c>
      <c r="AY104" s="326" t="e">
        <f t="shared" si="470"/>
        <v>#VALUE!</v>
      </c>
      <c r="AZ104" s="326" t="str">
        <f t="shared" si="471"/>
        <v/>
      </c>
      <c r="BA104" s="326">
        <f t="shared" si="472"/>
        <v>0</v>
      </c>
      <c r="BB104" s="326" t="e">
        <f t="shared" si="473"/>
        <v>#VALUE!</v>
      </c>
      <c r="BC104" s="326" t="e">
        <f t="shared" si="474"/>
        <v>#VALUE!</v>
      </c>
      <c r="BD104" s="326">
        <f t="shared" si="475"/>
        <v>16196.94</v>
      </c>
      <c r="BE104" s="326" t="e">
        <f t="shared" si="476"/>
        <v>#VALUE!</v>
      </c>
      <c r="BF104" s="326" t="e">
        <f t="shared" ref="BF104:BG104" si="505">SUM(BC104,AL104)</f>
        <v>#VALUE!</v>
      </c>
      <c r="BG104" s="326">
        <f t="shared" si="505"/>
        <v>16196.94</v>
      </c>
      <c r="BH104" s="941" t="str">
        <f t="shared" si="478"/>
        <v/>
      </c>
      <c r="BI104" s="326" t="e">
        <f t="shared" si="479"/>
        <v>#VALUE!</v>
      </c>
      <c r="BJ104" s="326" t="str">
        <f t="shared" si="480"/>
        <v/>
      </c>
      <c r="BK104" s="326">
        <f t="shared" si="481"/>
        <v>0</v>
      </c>
      <c r="BL104" s="971" t="str">
        <f t="shared" si="342"/>
        <v/>
      </c>
      <c r="BM104" s="140" t="e">
        <f t="shared" si="343"/>
        <v>#VALUE!</v>
      </c>
      <c r="BN104" s="326" t="str">
        <f t="shared" si="344"/>
        <v/>
      </c>
      <c r="BO104" s="333">
        <f t="shared" si="345"/>
        <v>0</v>
      </c>
      <c r="BP104" s="123" t="str">
        <f t="shared" si="346"/>
        <v/>
      </c>
      <c r="BQ104" s="326" t="e">
        <f t="shared" si="347"/>
        <v>#VALUE!</v>
      </c>
      <c r="BR104" s="326" t="str">
        <f t="shared" si="348"/>
        <v/>
      </c>
      <c r="BS104" s="332">
        <f t="shared" si="349"/>
        <v>0</v>
      </c>
      <c r="BT104" s="140" t="e">
        <f t="shared" ref="BT104:BV104" si="506">SUM(BQ104,BM104,BI104)</f>
        <v>#VALUE!</v>
      </c>
      <c r="BU104" s="326">
        <f t="shared" si="506"/>
        <v>0</v>
      </c>
      <c r="BV104" s="333">
        <f t="shared" si="506"/>
        <v>0</v>
      </c>
      <c r="BW104" s="939" t="str">
        <f t="shared" si="315"/>
        <v/>
      </c>
      <c r="BX104" s="326" t="e">
        <f t="shared" si="483"/>
        <v>#VALUE!</v>
      </c>
      <c r="BY104" s="326" t="str">
        <f t="shared" si="484"/>
        <v/>
      </c>
      <c r="BZ104" s="333">
        <f t="shared" si="485"/>
        <v>0</v>
      </c>
      <c r="CA104" s="939" t="str">
        <f t="shared" si="316"/>
        <v/>
      </c>
      <c r="CB104" s="941" t="str">
        <f t="shared" si="317"/>
        <v/>
      </c>
    </row>
    <row r="105" spans="1:116" ht="13">
      <c r="A105" s="323" t="e">
        <f t="shared" si="486"/>
        <v>#N/A</v>
      </c>
      <c r="B105" s="324">
        <f>VLOOKUP(M105,VARGASCART2,2,FALSE)</f>
        <v>22</v>
      </c>
      <c r="C105" s="558">
        <f t="shared" si="429"/>
        <v>0.1</v>
      </c>
      <c r="D105" s="558">
        <f t="shared" si="430"/>
        <v>0.09</v>
      </c>
      <c r="E105" s="558">
        <f t="shared" si="431"/>
        <v>0</v>
      </c>
      <c r="F105" s="798">
        <f t="shared" si="432"/>
        <v>22</v>
      </c>
      <c r="G105" s="558">
        <f t="shared" si="433"/>
        <v>0.1</v>
      </c>
      <c r="H105" s="558">
        <f t="shared" si="434"/>
        <v>0.09</v>
      </c>
      <c r="I105" s="558">
        <f t="shared" si="435"/>
        <v>0</v>
      </c>
      <c r="J105" s="637" t="e">
        <f t="shared" si="436"/>
        <v>#N/A</v>
      </c>
      <c r="K105" s="558" t="str">
        <f t="shared" si="437"/>
        <v/>
      </c>
      <c r="L105" s="558" t="str">
        <f t="shared" si="438"/>
        <v/>
      </c>
      <c r="M105" s="977" t="s">
        <v>931</v>
      </c>
      <c r="N105" s="326" t="str">
        <f t="shared" ref="N105:N110" si="507">IFERROR(VLOOKUP(M105,VARGAS24,3,FALSE),"")</f>
        <v/>
      </c>
      <c r="O105" s="326" t="e">
        <f>(N105*1.601)*1.05</f>
        <v>#VALUE!</v>
      </c>
      <c r="P105" s="326" t="e">
        <f t="shared" si="439"/>
        <v>#VALUE!</v>
      </c>
      <c r="Q105" s="326" t="str">
        <f t="shared" si="440"/>
        <v/>
      </c>
      <c r="R105" s="326">
        <f t="shared" si="441"/>
        <v>0</v>
      </c>
      <c r="S105" s="326" t="e">
        <f t="shared" si="442"/>
        <v>#VALUE!</v>
      </c>
      <c r="T105" s="137" t="str">
        <f t="shared" si="443"/>
        <v/>
      </c>
      <c r="U105" s="326" t="str">
        <f t="shared" si="444"/>
        <v/>
      </c>
      <c r="V105" s="326" t="e">
        <f t="shared" si="499"/>
        <v>#VALUE!</v>
      </c>
      <c r="W105" s="326" t="e">
        <f t="shared" si="445"/>
        <v>#VALUE!</v>
      </c>
      <c r="X105" s="326" t="str">
        <f t="shared" si="446"/>
        <v/>
      </c>
      <c r="Y105" s="326">
        <f t="shared" si="447"/>
        <v>0</v>
      </c>
      <c r="Z105" s="326" t="e">
        <f t="shared" si="448"/>
        <v>#VALUE!</v>
      </c>
      <c r="AA105" s="137" t="e">
        <f t="shared" ref="AA105:AA106" si="508">Y105/V105</f>
        <v>#VALUE!</v>
      </c>
      <c r="AB105" s="326" t="str">
        <f t="shared" si="450"/>
        <v/>
      </c>
      <c r="AC105" s="326" t="e">
        <f t="shared" si="500"/>
        <v>#VALUE!</v>
      </c>
      <c r="AD105" s="326" t="e">
        <f t="shared" si="451"/>
        <v>#VALUE!</v>
      </c>
      <c r="AE105" s="326" t="str">
        <f t="shared" si="452"/>
        <v/>
      </c>
      <c r="AF105" s="326">
        <f t="shared" si="453"/>
        <v>0</v>
      </c>
      <c r="AG105" s="326" t="e">
        <f t="shared" si="454"/>
        <v>#VALUE!</v>
      </c>
      <c r="AH105" s="137" t="str">
        <f t="shared" si="491"/>
        <v/>
      </c>
      <c r="AI105" s="969" t="e">
        <f t="shared" si="456"/>
        <v>#VALUE!</v>
      </c>
      <c r="AJ105" s="326" t="str">
        <f>IFERROR(VLOOKUP(M105,trim2024,2,FALSE),"")</f>
        <v/>
      </c>
      <c r="AK105" s="326" t="e">
        <f t="shared" ref="AK105:AL105" si="509">SUM(AD105,W105,P105)</f>
        <v>#VALUE!</v>
      </c>
      <c r="AL105" s="326">
        <f t="shared" si="509"/>
        <v>0</v>
      </c>
      <c r="AM105" s="326">
        <f t="shared" si="458"/>
        <v>0</v>
      </c>
      <c r="AN105" s="326" t="e">
        <f t="shared" si="459"/>
        <v>#VALUE!</v>
      </c>
      <c r="AO105" s="970" t="str">
        <f t="shared" si="493"/>
        <v/>
      </c>
      <c r="AP105" s="941" t="str">
        <f t="shared" si="461"/>
        <v/>
      </c>
      <c r="AQ105" s="326" t="e">
        <f t="shared" si="462"/>
        <v>#VALUE!</v>
      </c>
      <c r="AR105" s="326" t="str">
        <f t="shared" si="463"/>
        <v/>
      </c>
      <c r="AS105" s="326">
        <f t="shared" si="464"/>
        <v>0</v>
      </c>
      <c r="AT105" s="941" t="str">
        <f t="shared" si="465"/>
        <v/>
      </c>
      <c r="AU105" s="326" t="e">
        <f t="shared" si="466"/>
        <v>#VALUE!</v>
      </c>
      <c r="AV105" s="326" t="str">
        <f t="shared" si="467"/>
        <v/>
      </c>
      <c r="AW105" s="326">
        <f t="shared" si="468"/>
        <v>0</v>
      </c>
      <c r="AX105" s="941" t="str">
        <f t="shared" si="469"/>
        <v/>
      </c>
      <c r="AY105" s="326" t="e">
        <f t="shared" si="470"/>
        <v>#VALUE!</v>
      </c>
      <c r="AZ105" s="326" t="str">
        <f t="shared" si="471"/>
        <v/>
      </c>
      <c r="BA105" s="326">
        <f t="shared" si="472"/>
        <v>0</v>
      </c>
      <c r="BB105" s="326" t="e">
        <f t="shared" si="473"/>
        <v>#VALUE!</v>
      </c>
      <c r="BC105" s="326" t="e">
        <f t="shared" si="474"/>
        <v>#VALUE!</v>
      </c>
      <c r="BD105" s="326">
        <f t="shared" si="475"/>
        <v>0</v>
      </c>
      <c r="BE105" s="326" t="e">
        <f t="shared" si="476"/>
        <v>#VALUE!</v>
      </c>
      <c r="BF105" s="326" t="e">
        <f t="shared" ref="BF105:BG105" si="510">SUM(BC105,AL105)</f>
        <v>#VALUE!</v>
      </c>
      <c r="BG105" s="326">
        <f t="shared" si="510"/>
        <v>0</v>
      </c>
      <c r="BH105" s="941" t="str">
        <f t="shared" si="478"/>
        <v/>
      </c>
      <c r="BI105" s="326" t="e">
        <f t="shared" si="479"/>
        <v>#VALUE!</v>
      </c>
      <c r="BJ105" s="326" t="str">
        <f t="shared" si="480"/>
        <v/>
      </c>
      <c r="BK105" s="326">
        <f t="shared" si="481"/>
        <v>0</v>
      </c>
      <c r="BL105" s="971" t="str">
        <f t="shared" si="342"/>
        <v/>
      </c>
      <c r="BM105" s="140" t="e">
        <f t="shared" si="343"/>
        <v>#VALUE!</v>
      </c>
      <c r="BN105" s="326" t="str">
        <f t="shared" si="344"/>
        <v/>
      </c>
      <c r="BO105" s="333">
        <f t="shared" si="345"/>
        <v>0</v>
      </c>
      <c r="BP105" s="123" t="str">
        <f t="shared" si="346"/>
        <v/>
      </c>
      <c r="BQ105" s="326" t="e">
        <f t="shared" si="347"/>
        <v>#VALUE!</v>
      </c>
      <c r="BR105" s="326" t="str">
        <f t="shared" si="348"/>
        <v/>
      </c>
      <c r="BS105" s="332">
        <f t="shared" si="349"/>
        <v>23732.14</v>
      </c>
      <c r="BT105" s="140" t="e">
        <f t="shared" ref="BT105:BV105" si="511">SUM(BQ105,BM105,BI105)</f>
        <v>#VALUE!</v>
      </c>
      <c r="BU105" s="326">
        <f t="shared" si="511"/>
        <v>0</v>
      </c>
      <c r="BV105" s="333">
        <f t="shared" si="511"/>
        <v>23732.14</v>
      </c>
      <c r="BW105" s="939" t="str">
        <f t="shared" si="315"/>
        <v/>
      </c>
      <c r="BX105" s="326" t="e">
        <f t="shared" si="483"/>
        <v>#VALUE!</v>
      </c>
      <c r="BY105" s="326" t="str">
        <f t="shared" si="484"/>
        <v/>
      </c>
      <c r="BZ105" s="333">
        <f t="shared" si="485"/>
        <v>0</v>
      </c>
      <c r="CA105" s="939" t="str">
        <f t="shared" si="316"/>
        <v/>
      </c>
      <c r="CB105" s="941" t="str">
        <f t="shared" si="317"/>
        <v/>
      </c>
    </row>
    <row r="106" spans="1:116" ht="13">
      <c r="A106" s="323" t="e">
        <f t="shared" si="486"/>
        <v>#N/A</v>
      </c>
      <c r="B106" s="324" t="e">
        <f>VLOOKUP(M106,VARGASCARTERA,2,FALSE)</f>
        <v>#N/A</v>
      </c>
      <c r="C106" s="558" t="str">
        <f t="shared" si="429"/>
        <v/>
      </c>
      <c r="D106" s="558" t="str">
        <f t="shared" si="430"/>
        <v/>
      </c>
      <c r="E106" s="558" t="str">
        <f t="shared" si="431"/>
        <v/>
      </c>
      <c r="F106" s="798" t="e">
        <f t="shared" si="432"/>
        <v>#N/A</v>
      </c>
      <c r="G106" s="558" t="str">
        <f t="shared" si="433"/>
        <v/>
      </c>
      <c r="H106" s="558" t="str">
        <f t="shared" si="434"/>
        <v/>
      </c>
      <c r="I106" s="558" t="str">
        <f t="shared" si="435"/>
        <v/>
      </c>
      <c r="J106" s="637" t="e">
        <f t="shared" si="436"/>
        <v>#N/A</v>
      </c>
      <c r="K106" s="558" t="str">
        <f t="shared" si="437"/>
        <v/>
      </c>
      <c r="L106" s="558" t="str">
        <f t="shared" si="438"/>
        <v/>
      </c>
      <c r="M106" s="977" t="s">
        <v>932</v>
      </c>
      <c r="N106" s="326" t="str">
        <f t="shared" si="507"/>
        <v/>
      </c>
      <c r="O106" s="975">
        <v>1800000</v>
      </c>
      <c r="P106" s="326" t="e">
        <f t="shared" si="439"/>
        <v>#VALUE!</v>
      </c>
      <c r="Q106" s="326" t="str">
        <f t="shared" si="440"/>
        <v/>
      </c>
      <c r="R106" s="326">
        <f t="shared" si="441"/>
        <v>0</v>
      </c>
      <c r="S106" s="326">
        <f t="shared" si="442"/>
        <v>-1800000</v>
      </c>
      <c r="T106" s="137">
        <f t="shared" si="443"/>
        <v>0</v>
      </c>
      <c r="U106" s="326" t="str">
        <f t="shared" si="444"/>
        <v/>
      </c>
      <c r="V106" s="975">
        <v>1800000</v>
      </c>
      <c r="W106" s="326" t="e">
        <f t="shared" si="445"/>
        <v>#VALUE!</v>
      </c>
      <c r="X106" s="326" t="str">
        <f t="shared" si="446"/>
        <v/>
      </c>
      <c r="Y106" s="326">
        <f t="shared" si="447"/>
        <v>0</v>
      </c>
      <c r="Z106" s="326">
        <f t="shared" si="448"/>
        <v>-1800000</v>
      </c>
      <c r="AA106" s="137">
        <f t="shared" si="508"/>
        <v>0</v>
      </c>
      <c r="AB106" s="326" t="str">
        <f t="shared" si="450"/>
        <v/>
      </c>
      <c r="AC106" s="975">
        <v>1800000</v>
      </c>
      <c r="AD106" s="326" t="e">
        <f t="shared" si="451"/>
        <v>#VALUE!</v>
      </c>
      <c r="AE106" s="326" t="str">
        <f t="shared" si="452"/>
        <v/>
      </c>
      <c r="AF106" s="326">
        <f t="shared" si="453"/>
        <v>0</v>
      </c>
      <c r="AG106" s="326">
        <f t="shared" si="454"/>
        <v>-1800000</v>
      </c>
      <c r="AH106" s="137">
        <f>AF106/AC106</f>
        <v>0</v>
      </c>
      <c r="AI106" s="969">
        <f t="shared" si="456"/>
        <v>5400000</v>
      </c>
      <c r="AJ106" s="326" t="e">
        <f>VLOOKUP(M106,trim2024,2,FALSE)</f>
        <v>#N/A</v>
      </c>
      <c r="AK106" s="326" t="e">
        <f t="shared" ref="AK106:AL106" si="512">SUM(AD106,W106,P106)</f>
        <v>#VALUE!</v>
      </c>
      <c r="AL106" s="326">
        <f t="shared" si="512"/>
        <v>0</v>
      </c>
      <c r="AM106" s="326">
        <f t="shared" si="458"/>
        <v>0</v>
      </c>
      <c r="AN106" s="326" t="e">
        <f t="shared" si="459"/>
        <v>#N/A</v>
      </c>
      <c r="AO106" s="970" t="e">
        <f>AM106/AJ106</f>
        <v>#N/A</v>
      </c>
      <c r="AP106" s="941" t="str">
        <f t="shared" si="461"/>
        <v/>
      </c>
      <c r="AQ106" s="326" t="e">
        <f t="shared" si="462"/>
        <v>#VALUE!</v>
      </c>
      <c r="AR106" s="326" t="str">
        <f t="shared" si="463"/>
        <v/>
      </c>
      <c r="AS106" s="326">
        <f t="shared" si="464"/>
        <v>0</v>
      </c>
      <c r="AT106" s="941" t="str">
        <f t="shared" si="465"/>
        <v/>
      </c>
      <c r="AU106" s="326" t="e">
        <f t="shared" si="466"/>
        <v>#VALUE!</v>
      </c>
      <c r="AV106" s="326" t="str">
        <f t="shared" si="467"/>
        <v/>
      </c>
      <c r="AW106" s="326">
        <f t="shared" si="468"/>
        <v>0</v>
      </c>
      <c r="AX106" s="941" t="str">
        <f t="shared" si="469"/>
        <v/>
      </c>
      <c r="AY106" s="326" t="e">
        <f t="shared" si="470"/>
        <v>#VALUE!</v>
      </c>
      <c r="AZ106" s="326" t="str">
        <f t="shared" si="471"/>
        <v/>
      </c>
      <c r="BA106" s="326">
        <f t="shared" si="472"/>
        <v>0</v>
      </c>
      <c r="BB106" s="326" t="e">
        <f t="shared" si="473"/>
        <v>#VALUE!</v>
      </c>
      <c r="BC106" s="326" t="e">
        <f t="shared" si="474"/>
        <v>#VALUE!</v>
      </c>
      <c r="BD106" s="326">
        <f t="shared" si="475"/>
        <v>0</v>
      </c>
      <c r="BE106" s="326" t="e">
        <f t="shared" si="476"/>
        <v>#VALUE!</v>
      </c>
      <c r="BF106" s="326" t="e">
        <f t="shared" ref="BF106:BG106" si="513">SUM(BC106,AL106)</f>
        <v>#VALUE!</v>
      </c>
      <c r="BG106" s="326">
        <f t="shared" si="513"/>
        <v>0</v>
      </c>
      <c r="BH106" s="941" t="str">
        <f t="shared" si="478"/>
        <v/>
      </c>
      <c r="BI106" s="326" t="e">
        <f t="shared" si="479"/>
        <v>#VALUE!</v>
      </c>
      <c r="BJ106" s="326" t="str">
        <f t="shared" si="480"/>
        <v/>
      </c>
      <c r="BK106" s="326">
        <f t="shared" si="481"/>
        <v>0</v>
      </c>
      <c r="BL106" s="971" t="str">
        <f t="shared" si="342"/>
        <v/>
      </c>
      <c r="BM106" s="140" t="e">
        <f t="shared" si="343"/>
        <v>#VALUE!</v>
      </c>
      <c r="BN106" s="326" t="str">
        <f t="shared" si="344"/>
        <v/>
      </c>
      <c r="BO106" s="333">
        <f t="shared" si="345"/>
        <v>0</v>
      </c>
      <c r="BP106" s="123" t="str">
        <f t="shared" si="346"/>
        <v/>
      </c>
      <c r="BQ106" s="326" t="e">
        <f t="shared" si="347"/>
        <v>#VALUE!</v>
      </c>
      <c r="BR106" s="326" t="str">
        <f t="shared" si="348"/>
        <v/>
      </c>
      <c r="BS106" s="332">
        <f t="shared" si="349"/>
        <v>0</v>
      </c>
      <c r="BT106" s="140" t="e">
        <f t="shared" ref="BT106:BV106" si="514">SUM(BQ106,BM106,BI106)</f>
        <v>#VALUE!</v>
      </c>
      <c r="BU106" s="326">
        <f t="shared" si="514"/>
        <v>0</v>
      </c>
      <c r="BV106" s="333">
        <f t="shared" si="514"/>
        <v>0</v>
      </c>
      <c r="BW106" s="939" t="str">
        <f t="shared" si="315"/>
        <v/>
      </c>
      <c r="BX106" s="326" t="e">
        <f t="shared" si="483"/>
        <v>#VALUE!</v>
      </c>
      <c r="BY106" s="326" t="str">
        <f t="shared" si="484"/>
        <v/>
      </c>
      <c r="BZ106" s="333">
        <f t="shared" si="485"/>
        <v>126493.86</v>
      </c>
      <c r="CA106" s="939" t="str">
        <f t="shared" si="316"/>
        <v/>
      </c>
      <c r="CB106" s="941" t="str">
        <f t="shared" si="317"/>
        <v/>
      </c>
    </row>
    <row r="107" spans="1:116" ht="13">
      <c r="A107" s="323" t="e">
        <f t="shared" si="486"/>
        <v>#N/A</v>
      </c>
      <c r="B107" s="324">
        <f>VLOOKUP(M107,VARGASCARTERA,2,FALSE)</f>
        <v>20</v>
      </c>
      <c r="C107" s="558">
        <f t="shared" si="429"/>
        <v>0.05</v>
      </c>
      <c r="D107" s="558">
        <f t="shared" si="430"/>
        <v>0.09</v>
      </c>
      <c r="E107" s="558">
        <f t="shared" si="431"/>
        <v>0</v>
      </c>
      <c r="F107" s="798">
        <f t="shared" si="432"/>
        <v>20</v>
      </c>
      <c r="G107" s="558">
        <f t="shared" si="433"/>
        <v>0.05</v>
      </c>
      <c r="H107" s="558">
        <f t="shared" si="434"/>
        <v>0.09</v>
      </c>
      <c r="I107" s="558">
        <f t="shared" si="435"/>
        <v>0</v>
      </c>
      <c r="J107" s="637" t="e">
        <f t="shared" si="436"/>
        <v>#N/A</v>
      </c>
      <c r="K107" s="558" t="str">
        <f t="shared" si="437"/>
        <v/>
      </c>
      <c r="L107" s="558" t="str">
        <f t="shared" si="438"/>
        <v/>
      </c>
      <c r="M107" s="977" t="s">
        <v>933</v>
      </c>
      <c r="N107" s="326">
        <f t="shared" si="507"/>
        <v>498759.76</v>
      </c>
      <c r="O107" s="599">
        <v>1500000</v>
      </c>
      <c r="P107" s="326" t="e">
        <f t="shared" si="439"/>
        <v>#VALUE!</v>
      </c>
      <c r="Q107" s="326" t="str">
        <f t="shared" si="440"/>
        <v/>
      </c>
      <c r="R107" s="326">
        <f t="shared" si="441"/>
        <v>31415.5</v>
      </c>
      <c r="S107" s="326">
        <f t="shared" si="442"/>
        <v>-1468584.5</v>
      </c>
      <c r="T107" s="137">
        <f t="shared" si="443"/>
        <v>2.0943666666666666E-2</v>
      </c>
      <c r="U107" s="326">
        <f t="shared" si="444"/>
        <v>18885.150000000001</v>
      </c>
      <c r="V107" s="599">
        <v>1500000</v>
      </c>
      <c r="W107" s="326" t="e">
        <f t="shared" si="445"/>
        <v>#VALUE!</v>
      </c>
      <c r="X107" s="326" t="str">
        <f t="shared" si="446"/>
        <v/>
      </c>
      <c r="Y107" s="326">
        <f t="shared" si="447"/>
        <v>0</v>
      </c>
      <c r="Z107" s="326">
        <f t="shared" si="448"/>
        <v>-1500000</v>
      </c>
      <c r="AA107" s="137">
        <f>IFERROR(Y107/V107,"")</f>
        <v>0</v>
      </c>
      <c r="AB107" s="326">
        <f t="shared" si="450"/>
        <v>69162.7</v>
      </c>
      <c r="AC107" s="599">
        <v>1500000</v>
      </c>
      <c r="AD107" s="326" t="e">
        <f t="shared" si="451"/>
        <v>#VALUE!</v>
      </c>
      <c r="AE107" s="326" t="str">
        <f t="shared" si="452"/>
        <v/>
      </c>
      <c r="AF107" s="326">
        <f t="shared" si="453"/>
        <v>0</v>
      </c>
      <c r="AG107" s="326">
        <f t="shared" si="454"/>
        <v>-1500000</v>
      </c>
      <c r="AH107" s="137">
        <f>IFERROR(AF107/AC107,"")</f>
        <v>0</v>
      </c>
      <c r="AI107" s="969">
        <f t="shared" si="456"/>
        <v>4500000</v>
      </c>
      <c r="AJ107" s="326">
        <f>IFERROR(VLOOKUP(M107,trim2024,2,FALSE),"")</f>
        <v>110238</v>
      </c>
      <c r="AK107" s="326" t="e">
        <f t="shared" ref="AK107:AL107" si="515">SUM(AD107,W107,P107)</f>
        <v>#VALUE!</v>
      </c>
      <c r="AL107" s="326">
        <f t="shared" si="515"/>
        <v>0</v>
      </c>
      <c r="AM107" s="326">
        <f t="shared" si="458"/>
        <v>31415.5</v>
      </c>
      <c r="AN107" s="326">
        <f t="shared" si="459"/>
        <v>-78822.5</v>
      </c>
      <c r="AO107" s="970">
        <f>IFERROR(AM107/AJ107,"")</f>
        <v>0.28497886391262539</v>
      </c>
      <c r="AP107" s="941">
        <f t="shared" si="461"/>
        <v>102965.2</v>
      </c>
      <c r="AQ107" s="326" t="e">
        <f t="shared" si="462"/>
        <v>#VALUE!</v>
      </c>
      <c r="AR107" s="326" t="str">
        <f t="shared" si="463"/>
        <v/>
      </c>
      <c r="AS107" s="326">
        <f t="shared" si="464"/>
        <v>0</v>
      </c>
      <c r="AT107" s="941">
        <f t="shared" si="465"/>
        <v>89549.07</v>
      </c>
      <c r="AU107" s="326" t="e">
        <f t="shared" si="466"/>
        <v>#VALUE!</v>
      </c>
      <c r="AV107" s="326" t="str">
        <f t="shared" si="467"/>
        <v/>
      </c>
      <c r="AW107" s="326">
        <f t="shared" si="468"/>
        <v>0</v>
      </c>
      <c r="AX107" s="941">
        <f t="shared" si="469"/>
        <v>27126</v>
      </c>
      <c r="AY107" s="326" t="e">
        <f t="shared" si="470"/>
        <v>#VALUE!</v>
      </c>
      <c r="AZ107" s="326" t="str">
        <f t="shared" si="471"/>
        <v/>
      </c>
      <c r="BA107" s="326">
        <f t="shared" si="472"/>
        <v>0</v>
      </c>
      <c r="BB107" s="326" t="e">
        <f t="shared" si="473"/>
        <v>#VALUE!</v>
      </c>
      <c r="BC107" s="326" t="e">
        <f t="shared" si="474"/>
        <v>#VALUE!</v>
      </c>
      <c r="BD107" s="326">
        <f t="shared" si="475"/>
        <v>0</v>
      </c>
      <c r="BE107" s="326" t="e">
        <f t="shared" si="476"/>
        <v>#VALUE!</v>
      </c>
      <c r="BF107" s="326" t="e">
        <f t="shared" ref="BF107:BG107" si="516">SUM(BC107,AL107)</f>
        <v>#VALUE!</v>
      </c>
      <c r="BG107" s="326">
        <f t="shared" si="516"/>
        <v>31415.5</v>
      </c>
      <c r="BH107" s="941">
        <f t="shared" si="478"/>
        <v>7700.84</v>
      </c>
      <c r="BI107" s="326" t="e">
        <f t="shared" si="479"/>
        <v>#VALUE!</v>
      </c>
      <c r="BJ107" s="326" t="str">
        <f t="shared" si="480"/>
        <v/>
      </c>
      <c r="BK107" s="326">
        <f t="shared" si="481"/>
        <v>0</v>
      </c>
      <c r="BL107" s="971">
        <f t="shared" si="342"/>
        <v>35805.120000000003</v>
      </c>
      <c r="BM107" s="140" t="e">
        <f t="shared" si="343"/>
        <v>#VALUE!</v>
      </c>
      <c r="BN107" s="326" t="str">
        <f t="shared" si="344"/>
        <v/>
      </c>
      <c r="BO107" s="333">
        <f t="shared" si="345"/>
        <v>0</v>
      </c>
      <c r="BP107" s="123">
        <f t="shared" si="346"/>
        <v>0</v>
      </c>
      <c r="BQ107" s="738" t="e">
        <f t="shared" si="347"/>
        <v>#VALUE!</v>
      </c>
      <c r="BR107" s="738" t="str">
        <f t="shared" si="348"/>
        <v/>
      </c>
      <c r="BS107" s="983">
        <f t="shared" si="349"/>
        <v>0</v>
      </c>
      <c r="BT107" s="586" t="e">
        <f t="shared" ref="BT107:BV107" si="517">SUM(BQ107,BM107,BI107)</f>
        <v>#VALUE!</v>
      </c>
      <c r="BU107" s="738">
        <f t="shared" si="517"/>
        <v>0</v>
      </c>
      <c r="BV107" s="737">
        <f t="shared" si="517"/>
        <v>0</v>
      </c>
      <c r="BW107" s="939">
        <f t="shared" si="315"/>
        <v>110238</v>
      </c>
      <c r="BX107" s="326" t="e">
        <f t="shared" si="483"/>
        <v>#VALUE!</v>
      </c>
      <c r="BY107" s="326" t="str">
        <f t="shared" si="484"/>
        <v/>
      </c>
      <c r="BZ107" s="333">
        <f t="shared" si="485"/>
        <v>16058.52</v>
      </c>
      <c r="CA107" s="939">
        <f t="shared" si="316"/>
        <v>0</v>
      </c>
      <c r="CB107" s="941">
        <f t="shared" si="317"/>
        <v>0</v>
      </c>
    </row>
    <row r="108" spans="1:116" ht="13">
      <c r="A108" s="323" t="e">
        <f t="shared" si="486"/>
        <v>#N/A</v>
      </c>
      <c r="B108" s="324">
        <f>VLOOKUP(M108,VARGASCARTERA,2,FALSE)</f>
        <v>7</v>
      </c>
      <c r="C108" s="558">
        <f t="shared" si="429"/>
        <v>0.1</v>
      </c>
      <c r="D108" s="558">
        <f t="shared" si="430"/>
        <v>0.2</v>
      </c>
      <c r="E108" s="558">
        <f t="shared" si="431"/>
        <v>0</v>
      </c>
      <c r="F108" s="798">
        <f t="shared" si="432"/>
        <v>1</v>
      </c>
      <c r="G108" s="558" t="str">
        <f t="shared" si="433"/>
        <v>Lista</v>
      </c>
      <c r="H108" s="558">
        <f t="shared" si="434"/>
        <v>0.2</v>
      </c>
      <c r="I108" s="558">
        <f t="shared" si="435"/>
        <v>0</v>
      </c>
      <c r="J108" s="637" t="e">
        <f t="shared" si="436"/>
        <v>#N/A</v>
      </c>
      <c r="K108" s="558" t="str">
        <f t="shared" si="437"/>
        <v/>
      </c>
      <c r="L108" s="558" t="str">
        <f t="shared" si="438"/>
        <v/>
      </c>
      <c r="M108" s="977" t="s">
        <v>934</v>
      </c>
      <c r="N108" s="326">
        <f t="shared" si="507"/>
        <v>303331.13</v>
      </c>
      <c r="O108" s="975">
        <v>1800000</v>
      </c>
      <c r="P108" s="326" t="e">
        <f t="shared" si="439"/>
        <v>#VALUE!</v>
      </c>
      <c r="Q108" s="326" t="str">
        <f t="shared" si="440"/>
        <v/>
      </c>
      <c r="R108" s="326">
        <f t="shared" si="441"/>
        <v>48433.279999999999</v>
      </c>
      <c r="S108" s="326">
        <f t="shared" si="442"/>
        <v>-1751566.72</v>
      </c>
      <c r="T108" s="137">
        <f t="shared" si="443"/>
        <v>2.6907377777777776E-2</v>
      </c>
      <c r="U108" s="326">
        <f t="shared" si="444"/>
        <v>274305.61</v>
      </c>
      <c r="V108" s="975">
        <v>1800000</v>
      </c>
      <c r="W108" s="326" t="e">
        <f t="shared" si="445"/>
        <v>#VALUE!</v>
      </c>
      <c r="X108" s="326" t="str">
        <f t="shared" si="446"/>
        <v/>
      </c>
      <c r="Y108" s="326">
        <f t="shared" si="447"/>
        <v>139868.6</v>
      </c>
      <c r="Z108" s="326">
        <f t="shared" si="448"/>
        <v>-1660131.4</v>
      </c>
      <c r="AA108" s="137">
        <f>Y108/V108</f>
        <v>7.7704777777777775E-2</v>
      </c>
      <c r="AB108" s="326">
        <f t="shared" si="450"/>
        <v>17046.919999999998</v>
      </c>
      <c r="AC108" s="975">
        <v>1800000</v>
      </c>
      <c r="AD108" s="326" t="e">
        <f t="shared" si="451"/>
        <v>#VALUE!</v>
      </c>
      <c r="AE108" s="326" t="str">
        <f t="shared" si="452"/>
        <v/>
      </c>
      <c r="AF108" s="326">
        <f t="shared" si="453"/>
        <v>101179.04</v>
      </c>
      <c r="AG108" s="326">
        <f t="shared" si="454"/>
        <v>-1698820.96</v>
      </c>
      <c r="AH108" s="137">
        <f>AF108/AC108</f>
        <v>5.6210577777777777E-2</v>
      </c>
      <c r="AI108" s="969">
        <f t="shared" si="456"/>
        <v>5400000</v>
      </c>
      <c r="AJ108" s="326">
        <f>VLOOKUP(M108,trim2024,2,FALSE)</f>
        <v>440143.32</v>
      </c>
      <c r="AK108" s="326" t="e">
        <f t="shared" ref="AK108:AL108" si="518">SUM(AD108,W108,P108)</f>
        <v>#VALUE!</v>
      </c>
      <c r="AL108" s="326">
        <f t="shared" si="518"/>
        <v>0</v>
      </c>
      <c r="AM108" s="326">
        <f t="shared" si="458"/>
        <v>429349.52</v>
      </c>
      <c r="AN108" s="326">
        <f t="shared" si="459"/>
        <v>-10793.799999999988</v>
      </c>
      <c r="AO108" s="970">
        <f>AM108/AJ108</f>
        <v>0.97547662429592252</v>
      </c>
      <c r="AP108" s="941">
        <f t="shared" si="461"/>
        <v>88481.62</v>
      </c>
      <c r="AQ108" s="326" t="e">
        <f t="shared" si="462"/>
        <v>#VALUE!</v>
      </c>
      <c r="AR108" s="326" t="str">
        <f t="shared" si="463"/>
        <v/>
      </c>
      <c r="AS108" s="326">
        <f t="shared" si="464"/>
        <v>40724.1</v>
      </c>
      <c r="AT108" s="941">
        <f t="shared" si="465"/>
        <v>174434.86</v>
      </c>
      <c r="AU108" s="326" t="e">
        <f t="shared" si="466"/>
        <v>#VALUE!</v>
      </c>
      <c r="AV108" s="326" t="str">
        <f t="shared" si="467"/>
        <v/>
      </c>
      <c r="AW108" s="326">
        <f t="shared" si="468"/>
        <v>0</v>
      </c>
      <c r="AX108" s="941">
        <f t="shared" si="469"/>
        <v>329477.7</v>
      </c>
      <c r="AY108" s="326" t="e">
        <f t="shared" si="470"/>
        <v>#VALUE!</v>
      </c>
      <c r="AZ108" s="326" t="str">
        <f t="shared" si="471"/>
        <v/>
      </c>
      <c r="BA108" s="326">
        <f t="shared" si="472"/>
        <v>0</v>
      </c>
      <c r="BB108" s="326" t="e">
        <f t="shared" si="473"/>
        <v>#VALUE!</v>
      </c>
      <c r="BC108" s="326" t="e">
        <f t="shared" si="474"/>
        <v>#VALUE!</v>
      </c>
      <c r="BD108" s="326">
        <f t="shared" si="475"/>
        <v>40724.1</v>
      </c>
      <c r="BE108" s="326" t="e">
        <f t="shared" si="476"/>
        <v>#VALUE!</v>
      </c>
      <c r="BF108" s="326" t="e">
        <f t="shared" ref="BF108:BG108" si="519">SUM(BC108,AL108)</f>
        <v>#VALUE!</v>
      </c>
      <c r="BG108" s="326">
        <f t="shared" si="519"/>
        <v>470073.62</v>
      </c>
      <c r="BH108" s="941">
        <f t="shared" si="478"/>
        <v>226504.57</v>
      </c>
      <c r="BI108" s="326" t="e">
        <f t="shared" si="479"/>
        <v>#VALUE!</v>
      </c>
      <c r="BJ108" s="326" t="str">
        <f t="shared" si="480"/>
        <v/>
      </c>
      <c r="BK108" s="326">
        <f t="shared" si="481"/>
        <v>104913.16</v>
      </c>
      <c r="BL108" s="971">
        <f t="shared" si="342"/>
        <v>148620.92000000001</v>
      </c>
      <c r="BM108" s="140" t="e">
        <f t="shared" si="343"/>
        <v>#VALUE!</v>
      </c>
      <c r="BN108" s="326" t="str">
        <f t="shared" si="344"/>
        <v/>
      </c>
      <c r="BO108" s="333">
        <f t="shared" si="345"/>
        <v>0</v>
      </c>
      <c r="BP108" s="123">
        <f t="shared" si="346"/>
        <v>198200.43</v>
      </c>
      <c r="BQ108" s="326" t="e">
        <f t="shared" si="347"/>
        <v>#VALUE!</v>
      </c>
      <c r="BR108" s="326" t="str">
        <f t="shared" si="348"/>
        <v/>
      </c>
      <c r="BS108" s="332">
        <f t="shared" si="349"/>
        <v>80578.5</v>
      </c>
      <c r="BT108" s="140" t="e">
        <f t="shared" ref="BT108:BV108" si="520">SUM(BQ108,BM108,BI108)</f>
        <v>#VALUE!</v>
      </c>
      <c r="BU108" s="326">
        <f t="shared" si="520"/>
        <v>0</v>
      </c>
      <c r="BV108" s="333">
        <f t="shared" si="520"/>
        <v>185491.66</v>
      </c>
      <c r="BW108" s="939">
        <f t="shared" si="315"/>
        <v>191312.24</v>
      </c>
      <c r="BX108" s="326" t="e">
        <f t="shared" si="483"/>
        <v>#VALUE!</v>
      </c>
      <c r="BY108" s="326" t="str">
        <f t="shared" si="484"/>
        <v/>
      </c>
      <c r="BZ108" s="333">
        <f t="shared" si="485"/>
        <v>94680.6</v>
      </c>
      <c r="CA108" s="939">
        <f t="shared" si="316"/>
        <v>132631.06</v>
      </c>
      <c r="CB108" s="941">
        <f t="shared" si="317"/>
        <v>116200.02</v>
      </c>
    </row>
    <row r="109" spans="1:116" ht="13">
      <c r="A109" s="323" t="e">
        <f t="shared" si="486"/>
        <v>#N/A</v>
      </c>
      <c r="B109" s="324" t="e">
        <f>VLOOKUP(M109,VARGASCARTERA,2,FALSE)</f>
        <v>#N/A</v>
      </c>
      <c r="C109" s="558" t="str">
        <f t="shared" si="429"/>
        <v/>
      </c>
      <c r="D109" s="558" t="str">
        <f t="shared" si="430"/>
        <v/>
      </c>
      <c r="E109" s="558" t="str">
        <f t="shared" si="431"/>
        <v/>
      </c>
      <c r="F109" s="798" t="e">
        <f t="shared" si="432"/>
        <v>#N/A</v>
      </c>
      <c r="G109" s="558" t="str">
        <f t="shared" si="433"/>
        <v/>
      </c>
      <c r="H109" s="558" t="str">
        <f t="shared" si="434"/>
        <v/>
      </c>
      <c r="I109" s="558" t="str">
        <f t="shared" si="435"/>
        <v/>
      </c>
      <c r="J109" s="637" t="e">
        <f t="shared" si="436"/>
        <v>#N/A</v>
      </c>
      <c r="K109" s="558" t="str">
        <f t="shared" si="437"/>
        <v/>
      </c>
      <c r="L109" s="558" t="str">
        <f t="shared" si="438"/>
        <v/>
      </c>
      <c r="M109" s="977" t="s">
        <v>907</v>
      </c>
      <c r="N109" s="326">
        <f t="shared" si="507"/>
        <v>246963.88</v>
      </c>
      <c r="O109" s="599">
        <v>1500000</v>
      </c>
      <c r="P109" s="326" t="e">
        <f t="shared" si="439"/>
        <v>#VALUE!</v>
      </c>
      <c r="Q109" s="326" t="str">
        <f t="shared" si="440"/>
        <v/>
      </c>
      <c r="R109" s="326" t="str">
        <f t="shared" si="441"/>
        <v/>
      </c>
      <c r="S109" s="326" t="e">
        <f t="shared" si="442"/>
        <v>#VALUE!</v>
      </c>
      <c r="T109" s="137" t="str">
        <f t="shared" si="443"/>
        <v/>
      </c>
      <c r="U109" s="326">
        <f t="shared" si="444"/>
        <v>559876.53</v>
      </c>
      <c r="V109" s="599">
        <v>1500000</v>
      </c>
      <c r="W109" s="326" t="e">
        <f t="shared" si="445"/>
        <v>#VALUE!</v>
      </c>
      <c r="X109" s="326" t="str">
        <f t="shared" si="446"/>
        <v/>
      </c>
      <c r="Y109" s="326" t="str">
        <f t="shared" si="447"/>
        <v/>
      </c>
      <c r="Z109" s="326" t="e">
        <f t="shared" si="448"/>
        <v>#VALUE!</v>
      </c>
      <c r="AA109" s="137" t="str">
        <f>IFERROR(Y109/V109,"")</f>
        <v/>
      </c>
      <c r="AB109" s="326">
        <f t="shared" si="450"/>
        <v>0</v>
      </c>
      <c r="AC109" s="599">
        <v>1500000</v>
      </c>
      <c r="AD109" s="326" t="e">
        <f t="shared" si="451"/>
        <v>#VALUE!</v>
      </c>
      <c r="AE109" s="326" t="str">
        <f t="shared" si="452"/>
        <v/>
      </c>
      <c r="AF109" s="326" t="str">
        <f t="shared" si="453"/>
        <v/>
      </c>
      <c r="AG109" s="326" t="e">
        <f t="shared" si="454"/>
        <v>#VALUE!</v>
      </c>
      <c r="AH109" s="137" t="str">
        <f>IFERROR(AF109/AC109,"")</f>
        <v/>
      </c>
      <c r="AI109" s="969">
        <f t="shared" si="456"/>
        <v>4500000</v>
      </c>
      <c r="AJ109" s="326" t="str">
        <f>IFERROR(VLOOKUP(M109,trim2024,2,FALSE),"")</f>
        <v/>
      </c>
      <c r="AK109" s="326" t="e">
        <f t="shared" ref="AK109:AL109" si="521">SUM(AD109,W109,P109)</f>
        <v>#VALUE!</v>
      </c>
      <c r="AL109" s="326">
        <f t="shared" si="521"/>
        <v>0</v>
      </c>
      <c r="AM109" s="326">
        <f t="shared" si="458"/>
        <v>0</v>
      </c>
      <c r="AN109" s="326" t="e">
        <f t="shared" si="459"/>
        <v>#VALUE!</v>
      </c>
      <c r="AO109" s="970" t="str">
        <f>IFERROR(AM109/AJ109,"")</f>
        <v/>
      </c>
      <c r="AP109" s="941">
        <f t="shared" si="461"/>
        <v>354850.4</v>
      </c>
      <c r="AQ109" s="326" t="e">
        <f t="shared" si="462"/>
        <v>#VALUE!</v>
      </c>
      <c r="AR109" s="326" t="str">
        <f t="shared" si="463"/>
        <v/>
      </c>
      <c r="AS109" s="326" t="str">
        <f t="shared" si="464"/>
        <v/>
      </c>
      <c r="AT109" s="941">
        <f t="shared" si="465"/>
        <v>638358.82999999996</v>
      </c>
      <c r="AU109" s="326" t="e">
        <f t="shared" si="466"/>
        <v>#VALUE!</v>
      </c>
      <c r="AV109" s="326" t="str">
        <f t="shared" si="467"/>
        <v/>
      </c>
      <c r="AW109" s="326" t="str">
        <f t="shared" si="468"/>
        <v/>
      </c>
      <c r="AX109" s="941">
        <f t="shared" si="469"/>
        <v>125802.72</v>
      </c>
      <c r="AY109" s="326" t="e">
        <f t="shared" si="470"/>
        <v>#VALUE!</v>
      </c>
      <c r="AZ109" s="326" t="str">
        <f t="shared" si="471"/>
        <v/>
      </c>
      <c r="BA109" s="326" t="str">
        <f t="shared" si="472"/>
        <v/>
      </c>
      <c r="BB109" s="326" t="e">
        <f t="shared" si="473"/>
        <v>#VALUE!</v>
      </c>
      <c r="BC109" s="326" t="e">
        <f t="shared" si="474"/>
        <v>#VALUE!</v>
      </c>
      <c r="BD109" s="326" t="e">
        <f t="shared" si="475"/>
        <v>#VALUE!</v>
      </c>
      <c r="BE109" s="326" t="e">
        <f t="shared" si="476"/>
        <v>#VALUE!</v>
      </c>
      <c r="BF109" s="326" t="e">
        <f t="shared" ref="BF109:BG109" si="522">SUM(BC109,AL109)</f>
        <v>#VALUE!</v>
      </c>
      <c r="BG109" s="326" t="e">
        <f t="shared" si="522"/>
        <v>#VALUE!</v>
      </c>
      <c r="BH109" s="941">
        <f t="shared" si="478"/>
        <v>102330</v>
      </c>
      <c r="BI109" s="326" t="e">
        <f t="shared" si="479"/>
        <v>#VALUE!</v>
      </c>
      <c r="BJ109" s="326" t="str">
        <f t="shared" si="480"/>
        <v/>
      </c>
      <c r="BK109" s="326" t="str">
        <f t="shared" si="481"/>
        <v/>
      </c>
      <c r="BL109" s="971">
        <f t="shared" si="342"/>
        <v>0</v>
      </c>
      <c r="BM109" s="140" t="e">
        <f t="shared" si="343"/>
        <v>#VALUE!</v>
      </c>
      <c r="BN109" s="326" t="str">
        <f t="shared" si="344"/>
        <v/>
      </c>
      <c r="BO109" s="333" t="str">
        <f t="shared" si="345"/>
        <v/>
      </c>
      <c r="BP109" s="123">
        <f t="shared" si="346"/>
        <v>0</v>
      </c>
      <c r="BQ109" s="738" t="e">
        <f t="shared" si="347"/>
        <v>#VALUE!</v>
      </c>
      <c r="BR109" s="738" t="str">
        <f t="shared" si="348"/>
        <v/>
      </c>
      <c r="BS109" s="983" t="str">
        <f t="shared" si="349"/>
        <v/>
      </c>
      <c r="BT109" s="586" t="e">
        <f t="shared" ref="BT109:BV109" si="523">SUM(BQ109,BM109,BI109)</f>
        <v>#VALUE!</v>
      </c>
      <c r="BU109" s="738">
        <f t="shared" si="523"/>
        <v>0</v>
      </c>
      <c r="BV109" s="737">
        <f t="shared" si="523"/>
        <v>0</v>
      </c>
      <c r="BW109" s="939">
        <f t="shared" si="315"/>
        <v>0</v>
      </c>
      <c r="BX109" s="326" t="e">
        <f t="shared" si="483"/>
        <v>#VALUE!</v>
      </c>
      <c r="BY109" s="326" t="str">
        <f t="shared" si="484"/>
        <v/>
      </c>
      <c r="BZ109" s="333" t="str">
        <f t="shared" si="485"/>
        <v/>
      </c>
      <c r="CA109" s="939">
        <f t="shared" si="316"/>
        <v>0</v>
      </c>
      <c r="CB109" s="941">
        <f t="shared" si="317"/>
        <v>0</v>
      </c>
    </row>
    <row r="110" spans="1:116" ht="13">
      <c r="A110" s="323" t="e">
        <f t="shared" si="486"/>
        <v>#N/A</v>
      </c>
      <c r="B110" s="324">
        <f>VLOOKUP(M110,VARGASCARTERA,2,FALSE)</f>
        <v>7</v>
      </c>
      <c r="C110" s="558">
        <f t="shared" si="429"/>
        <v>0.1</v>
      </c>
      <c r="D110" s="558">
        <f t="shared" si="430"/>
        <v>0.2</v>
      </c>
      <c r="E110" s="558">
        <f t="shared" si="431"/>
        <v>0</v>
      </c>
      <c r="F110" s="798">
        <f t="shared" si="432"/>
        <v>4</v>
      </c>
      <c r="G110" s="558" t="str">
        <f t="shared" si="433"/>
        <v>Lista</v>
      </c>
      <c r="H110" s="558">
        <f t="shared" si="434"/>
        <v>0.2</v>
      </c>
      <c r="I110" s="558">
        <f t="shared" si="435"/>
        <v>0</v>
      </c>
      <c r="J110" s="637" t="e">
        <f t="shared" si="436"/>
        <v>#N/A</v>
      </c>
      <c r="K110" s="558" t="str">
        <f t="shared" si="437"/>
        <v/>
      </c>
      <c r="L110" s="558" t="str">
        <f t="shared" si="438"/>
        <v/>
      </c>
      <c r="M110" s="977" t="s">
        <v>935</v>
      </c>
      <c r="N110" s="326">
        <f t="shared" si="507"/>
        <v>524884.67000000004</v>
      </c>
      <c r="O110" s="975">
        <v>1800000</v>
      </c>
      <c r="P110" s="326">
        <f t="shared" si="439"/>
        <v>206576.62000000005</v>
      </c>
      <c r="Q110" s="326">
        <f t="shared" si="440"/>
        <v>359480.17</v>
      </c>
      <c r="R110" s="326">
        <f t="shared" si="441"/>
        <v>566056.79</v>
      </c>
      <c r="S110" s="326">
        <f t="shared" si="442"/>
        <v>-1233943.21</v>
      </c>
      <c r="T110" s="137">
        <f t="shared" si="443"/>
        <v>0.31447599444444446</v>
      </c>
      <c r="U110" s="326">
        <f t="shared" si="444"/>
        <v>444038.43</v>
      </c>
      <c r="V110" s="975">
        <v>1800000</v>
      </c>
      <c r="W110" s="326">
        <f t="shared" si="445"/>
        <v>1270665.53</v>
      </c>
      <c r="X110" s="326">
        <f t="shared" si="446"/>
        <v>367811.7</v>
      </c>
      <c r="Y110" s="326">
        <f t="shared" si="447"/>
        <v>1638477.23</v>
      </c>
      <c r="Z110" s="326">
        <f t="shared" si="448"/>
        <v>-161522.77000000002</v>
      </c>
      <c r="AA110" s="137">
        <f>Y110/V110</f>
        <v>0.91026512777777779</v>
      </c>
      <c r="AB110" s="326">
        <f t="shared" si="450"/>
        <v>510687.49</v>
      </c>
      <c r="AC110" s="975">
        <v>1800000</v>
      </c>
      <c r="AD110" s="326">
        <f t="shared" si="451"/>
        <v>277898.49</v>
      </c>
      <c r="AE110" s="326">
        <f t="shared" si="452"/>
        <v>444150.22</v>
      </c>
      <c r="AF110" s="326">
        <f t="shared" si="453"/>
        <v>722048.71</v>
      </c>
      <c r="AG110" s="326">
        <f t="shared" si="454"/>
        <v>-1077951.29</v>
      </c>
      <c r="AH110" s="137">
        <f>AF110/AC110</f>
        <v>0.4011381722222222</v>
      </c>
      <c r="AI110" s="969">
        <f t="shared" si="456"/>
        <v>5400000</v>
      </c>
      <c r="AJ110" s="326">
        <f>VLOOKUP(M110,trim2024,2,FALSE)</f>
        <v>3253863.34</v>
      </c>
      <c r="AK110" s="326">
        <f t="shared" ref="AK110:AL110" si="524">SUM(AD110,W110,P110)</f>
        <v>1755140.6400000001</v>
      </c>
      <c r="AL110" s="326">
        <f t="shared" si="524"/>
        <v>1171442.0899999999</v>
      </c>
      <c r="AM110" s="326">
        <f t="shared" si="458"/>
        <v>4565059.96</v>
      </c>
      <c r="AN110" s="326">
        <f t="shared" si="459"/>
        <v>1311196.6200000001</v>
      </c>
      <c r="AO110" s="970">
        <f>AM110/AJ110</f>
        <v>1.4029660999837812</v>
      </c>
      <c r="AP110" s="941">
        <f t="shared" si="461"/>
        <v>808327.17</v>
      </c>
      <c r="AQ110" s="326">
        <f t="shared" si="462"/>
        <v>328696.54000000004</v>
      </c>
      <c r="AR110" s="326">
        <f t="shared" si="463"/>
        <v>352432.62</v>
      </c>
      <c r="AS110" s="326">
        <f t="shared" si="464"/>
        <v>681129.16</v>
      </c>
      <c r="AT110" s="941">
        <f t="shared" si="465"/>
        <v>587355.94999999995</v>
      </c>
      <c r="AU110" s="326">
        <f t="shared" si="466"/>
        <v>24979.840000000026</v>
      </c>
      <c r="AV110" s="326">
        <f t="shared" si="467"/>
        <v>301566.09999999998</v>
      </c>
      <c r="AW110" s="326">
        <f t="shared" si="468"/>
        <v>326545.94</v>
      </c>
      <c r="AX110" s="941">
        <f t="shared" si="469"/>
        <v>497226.01</v>
      </c>
      <c r="AY110" s="326">
        <f t="shared" si="470"/>
        <v>263691.22000000003</v>
      </c>
      <c r="AZ110" s="326">
        <f t="shared" si="471"/>
        <v>269997.45</v>
      </c>
      <c r="BA110" s="326">
        <f t="shared" si="472"/>
        <v>533688.67000000004</v>
      </c>
      <c r="BB110" s="326">
        <f t="shared" si="473"/>
        <v>617367.60000000009</v>
      </c>
      <c r="BC110" s="326">
        <f t="shared" si="474"/>
        <v>923996.16999999993</v>
      </c>
      <c r="BD110" s="326">
        <f t="shared" si="475"/>
        <v>1541363.77</v>
      </c>
      <c r="BE110" s="326">
        <f t="shared" si="476"/>
        <v>2372508.2400000002</v>
      </c>
      <c r="BF110" s="326">
        <f t="shared" ref="BF110:BG110" si="525">SUM(BC110,AL110)</f>
        <v>2095438.2599999998</v>
      </c>
      <c r="BG110" s="326">
        <f t="shared" si="525"/>
        <v>6106423.7300000004</v>
      </c>
      <c r="BH110" s="941">
        <f t="shared" si="478"/>
        <v>457780.87</v>
      </c>
      <c r="BI110" s="326">
        <f t="shared" si="479"/>
        <v>454785.53</v>
      </c>
      <c r="BJ110" s="326">
        <f t="shared" si="480"/>
        <v>378950.22</v>
      </c>
      <c r="BK110" s="326">
        <f t="shared" si="481"/>
        <v>833735.75</v>
      </c>
      <c r="BL110" s="971">
        <f t="shared" si="342"/>
        <v>1237590.73</v>
      </c>
      <c r="BM110" s="140">
        <f t="shared" si="343"/>
        <v>129334.13</v>
      </c>
      <c r="BN110" s="326">
        <f t="shared" si="344"/>
        <v>416770.74</v>
      </c>
      <c r="BO110" s="333">
        <f t="shared" si="345"/>
        <v>546104.87</v>
      </c>
      <c r="BP110" s="123">
        <f t="shared" si="346"/>
        <v>616077.30000000005</v>
      </c>
      <c r="BQ110" s="326">
        <f t="shared" si="347"/>
        <v>106360.55999999997</v>
      </c>
      <c r="BR110" s="326">
        <f t="shared" si="348"/>
        <v>217326.48</v>
      </c>
      <c r="BS110" s="332">
        <f t="shared" si="349"/>
        <v>323687.03999999998</v>
      </c>
      <c r="BT110" s="140">
        <f t="shared" ref="BT110:BV110" si="526">SUM(BQ110,BM110,BI110)</f>
        <v>690480.22</v>
      </c>
      <c r="BU110" s="326">
        <f t="shared" si="526"/>
        <v>1013047.44</v>
      </c>
      <c r="BV110" s="333">
        <f t="shared" si="526"/>
        <v>1703527.66</v>
      </c>
      <c r="BW110" s="939">
        <f t="shared" si="315"/>
        <v>1261182.23</v>
      </c>
      <c r="BX110" s="326">
        <f t="shared" si="483"/>
        <v>0</v>
      </c>
      <c r="BY110" s="326">
        <f t="shared" si="484"/>
        <v>496168.49</v>
      </c>
      <c r="BZ110" s="333">
        <f t="shared" si="485"/>
        <v>496168.49</v>
      </c>
      <c r="CA110" s="939">
        <f t="shared" si="316"/>
        <v>1008374.14</v>
      </c>
      <c r="CB110" s="941">
        <f t="shared" si="317"/>
        <v>984306.97</v>
      </c>
    </row>
    <row r="111" spans="1:116" ht="13">
      <c r="A111" s="323" t="e">
        <v>#N/A</v>
      </c>
      <c r="B111" s="324">
        <v>7</v>
      </c>
      <c r="C111" s="558">
        <v>0.1</v>
      </c>
      <c r="D111" s="558">
        <v>0.2</v>
      </c>
      <c r="E111" s="558"/>
      <c r="F111" s="798">
        <v>4</v>
      </c>
      <c r="G111" s="558" t="s">
        <v>208</v>
      </c>
      <c r="H111" s="558">
        <v>0.2</v>
      </c>
      <c r="I111" s="558"/>
      <c r="J111" s="637" t="e">
        <v>#N/A</v>
      </c>
      <c r="K111" s="558" t="s">
        <v>210</v>
      </c>
      <c r="L111" s="558" t="s">
        <v>210</v>
      </c>
      <c r="M111" s="977" t="s">
        <v>936</v>
      </c>
      <c r="N111" s="326"/>
      <c r="O111" s="599">
        <v>1800000</v>
      </c>
      <c r="P111" s="326">
        <v>500857.80999999994</v>
      </c>
      <c r="Q111" s="326">
        <v>413240.76</v>
      </c>
      <c r="R111" s="326">
        <v>914098.57</v>
      </c>
      <c r="S111" s="326">
        <v>-885901.43</v>
      </c>
      <c r="T111" s="137">
        <v>0.50783253888888891</v>
      </c>
      <c r="U111" s="326"/>
      <c r="V111" s="599">
        <v>1800000</v>
      </c>
      <c r="W111" s="326">
        <v>91340.19</v>
      </c>
      <c r="X111" s="326">
        <v>393465.82</v>
      </c>
      <c r="Y111" s="326">
        <v>484806.01</v>
      </c>
      <c r="Z111" s="326">
        <v>-1315193.99</v>
      </c>
      <c r="AA111" s="137">
        <v>0.26933667222222224</v>
      </c>
      <c r="AB111" s="326"/>
      <c r="AC111" s="599">
        <v>1800000</v>
      </c>
      <c r="AD111" s="326">
        <v>366352.6100000001</v>
      </c>
      <c r="AE111" s="326">
        <v>838396.48</v>
      </c>
      <c r="AF111" s="326">
        <v>1204749.0900000001</v>
      </c>
      <c r="AG111" s="326">
        <v>-595250.90999999992</v>
      </c>
      <c r="AH111" s="137">
        <v>0.66930505000000007</v>
      </c>
      <c r="AI111" s="969">
        <v>5400000</v>
      </c>
      <c r="AJ111" s="326" t="s">
        <v>210</v>
      </c>
      <c r="AK111" s="326">
        <v>958550.6100000001</v>
      </c>
      <c r="AL111" s="326">
        <v>1645103.06</v>
      </c>
      <c r="AM111" s="326">
        <v>3088459.68</v>
      </c>
      <c r="AN111" s="326">
        <v>3088459.68</v>
      </c>
      <c r="AO111" s="970" t="s">
        <v>210</v>
      </c>
      <c r="AP111" s="941"/>
      <c r="AQ111" s="326">
        <v>82290.729999999981</v>
      </c>
      <c r="AR111" s="326">
        <v>368956.56</v>
      </c>
      <c r="AS111" s="326">
        <v>451247.29</v>
      </c>
      <c r="AT111" s="941"/>
      <c r="AU111" s="326">
        <v>154492.52000000002</v>
      </c>
      <c r="AV111" s="326">
        <v>458754</v>
      </c>
      <c r="AW111" s="326">
        <v>613246.52</v>
      </c>
      <c r="AX111" s="941"/>
      <c r="AY111" s="326">
        <v>0</v>
      </c>
      <c r="AZ111" s="326">
        <v>411764.8</v>
      </c>
      <c r="BA111" s="326">
        <v>411764.8</v>
      </c>
      <c r="BB111" s="326">
        <v>236783.25</v>
      </c>
      <c r="BC111" s="326">
        <v>1239475.3600000001</v>
      </c>
      <c r="BD111" s="326">
        <v>1476258.61</v>
      </c>
      <c r="BE111" s="326">
        <v>1195333.8600000001</v>
      </c>
      <c r="BF111" s="326">
        <v>2884578.42</v>
      </c>
      <c r="BG111" s="326">
        <v>4564718.29</v>
      </c>
      <c r="BH111" s="941"/>
      <c r="BI111" s="326">
        <v>204012.06</v>
      </c>
      <c r="BJ111" s="326">
        <v>149254</v>
      </c>
      <c r="BK111" s="326">
        <v>353266.06</v>
      </c>
      <c r="BL111" s="971"/>
      <c r="BM111" s="140">
        <v>0</v>
      </c>
      <c r="BN111" s="326">
        <v>331463.36</v>
      </c>
      <c r="BO111" s="333">
        <v>331463.36</v>
      </c>
      <c r="BP111" s="123"/>
      <c r="BQ111" s="326">
        <v>0</v>
      </c>
      <c r="BR111" s="326">
        <v>118867.6</v>
      </c>
      <c r="BS111" s="332">
        <v>118867.6</v>
      </c>
      <c r="BT111" s="140">
        <v>204012.06</v>
      </c>
      <c r="BU111" s="326">
        <v>599584.96</v>
      </c>
      <c r="BV111" s="333">
        <v>803597.02</v>
      </c>
      <c r="BW111" s="939"/>
      <c r="BX111" s="326">
        <v>174806.96</v>
      </c>
      <c r="BY111" s="326">
        <v>85683.15</v>
      </c>
      <c r="BZ111" s="333">
        <v>260490.11</v>
      </c>
      <c r="CA111" s="939"/>
      <c r="CB111" s="941"/>
    </row>
    <row r="112" spans="1:116" ht="13">
      <c r="A112" s="323" t="e">
        <v>#N/A</v>
      </c>
      <c r="B112" s="324">
        <v>7</v>
      </c>
      <c r="C112" s="558">
        <v>0.1</v>
      </c>
      <c r="D112" s="558">
        <v>0.2</v>
      </c>
      <c r="E112" s="558"/>
      <c r="F112" s="798">
        <v>4</v>
      </c>
      <c r="G112" s="558" t="s">
        <v>208</v>
      </c>
      <c r="H112" s="558">
        <v>0.2</v>
      </c>
      <c r="I112" s="558"/>
      <c r="J112" s="637" t="e">
        <v>#N/A</v>
      </c>
      <c r="K112" s="558" t="s">
        <v>210</v>
      </c>
      <c r="L112" s="558" t="s">
        <v>210</v>
      </c>
      <c r="M112" s="977" t="s">
        <v>937</v>
      </c>
      <c r="N112" s="326">
        <v>80200.800000000003</v>
      </c>
      <c r="O112" s="599">
        <v>1800000</v>
      </c>
      <c r="P112" s="326">
        <v>12275.419999999984</v>
      </c>
      <c r="Q112" s="326">
        <v>140849.60000000001</v>
      </c>
      <c r="R112" s="326">
        <v>153125.01999999999</v>
      </c>
      <c r="S112" s="326">
        <v>-1646874.98</v>
      </c>
      <c r="T112" s="137">
        <v>8.5069455555555548E-2</v>
      </c>
      <c r="U112" s="326">
        <v>586017.26</v>
      </c>
      <c r="V112" s="599">
        <v>1800000</v>
      </c>
      <c r="W112" s="326">
        <v>103460.76</v>
      </c>
      <c r="X112" s="326">
        <v>0</v>
      </c>
      <c r="Y112" s="326">
        <v>103460.76</v>
      </c>
      <c r="Z112" s="326">
        <v>-1696539.24</v>
      </c>
      <c r="AA112" s="137">
        <v>5.74782E-2</v>
      </c>
      <c r="AB112" s="326">
        <v>184406.32</v>
      </c>
      <c r="AC112" s="599">
        <v>1800000</v>
      </c>
      <c r="AD112" s="326">
        <v>21599.600000000006</v>
      </c>
      <c r="AE112" s="326">
        <v>179964.08</v>
      </c>
      <c r="AF112" s="326">
        <v>201563.68</v>
      </c>
      <c r="AG112" s="326">
        <v>-1598436.32</v>
      </c>
      <c r="AH112" s="137">
        <v>0.11197982222222222</v>
      </c>
      <c r="AI112" s="969">
        <v>5400000</v>
      </c>
      <c r="AJ112" s="326">
        <v>612240.21</v>
      </c>
      <c r="AK112" s="326">
        <v>137335.77999999997</v>
      </c>
      <c r="AL112" s="326">
        <v>320813.68</v>
      </c>
      <c r="AM112" s="326">
        <v>561610.22</v>
      </c>
      <c r="AN112" s="326">
        <v>-50629.989999999991</v>
      </c>
      <c r="AO112" s="970">
        <v>0.91730371646122366</v>
      </c>
      <c r="AP112" s="941">
        <v>397475.76</v>
      </c>
      <c r="AQ112" s="326">
        <v>35972.729999999981</v>
      </c>
      <c r="AR112" s="326">
        <v>186625.6</v>
      </c>
      <c r="AS112" s="326">
        <v>222598.33</v>
      </c>
      <c r="AT112" s="941">
        <v>184516.02</v>
      </c>
      <c r="AU112" s="326">
        <v>142212.90000000002</v>
      </c>
      <c r="AV112" s="326">
        <v>195956.8</v>
      </c>
      <c r="AW112" s="326">
        <v>338169.7</v>
      </c>
      <c r="AX112" s="941">
        <v>387328.78</v>
      </c>
      <c r="AY112" s="326">
        <v>177380.08000000002</v>
      </c>
      <c r="AZ112" s="326">
        <v>195956.8</v>
      </c>
      <c r="BA112" s="326">
        <v>373336.88</v>
      </c>
      <c r="BB112" s="326">
        <v>355565.71</v>
      </c>
      <c r="BC112" s="326">
        <v>578539.19999999995</v>
      </c>
      <c r="BD112" s="326">
        <v>934104.91</v>
      </c>
      <c r="BE112" s="326">
        <v>492901.49</v>
      </c>
      <c r="BF112" s="326">
        <v>899352.87999999989</v>
      </c>
      <c r="BG112" s="326">
        <v>1495715.13</v>
      </c>
      <c r="BH112" s="941">
        <v>61008.63</v>
      </c>
      <c r="BI112" s="326">
        <v>383741.85000000003</v>
      </c>
      <c r="BJ112" s="326">
        <v>195956.8</v>
      </c>
      <c r="BK112" s="326">
        <v>579698.65</v>
      </c>
      <c r="BL112" s="971">
        <v>558308.74</v>
      </c>
      <c r="BM112" s="140">
        <v>0</v>
      </c>
      <c r="BN112" s="326">
        <v>205260.16</v>
      </c>
      <c r="BO112" s="333">
        <v>205260.16</v>
      </c>
      <c r="BP112" s="123">
        <v>34768.910000000003</v>
      </c>
      <c r="BQ112" s="326">
        <v>2016.6300000000047</v>
      </c>
      <c r="BR112" s="326">
        <v>386666.8</v>
      </c>
      <c r="BS112" s="332">
        <v>388683.43</v>
      </c>
      <c r="BT112" s="140">
        <v>385758.48000000004</v>
      </c>
      <c r="BU112" s="326">
        <v>787883.76</v>
      </c>
      <c r="BV112" s="333">
        <v>1173642.24</v>
      </c>
      <c r="BW112" s="939">
        <v>152257.21</v>
      </c>
      <c r="BX112" s="326">
        <v>78691.899999999994</v>
      </c>
      <c r="BY112" s="326">
        <v>0</v>
      </c>
      <c r="BZ112" s="333">
        <v>78691.899999999994</v>
      </c>
      <c r="CA112" s="939">
        <v>58768.47</v>
      </c>
      <c r="CB112" s="941">
        <v>401214.54</v>
      </c>
    </row>
    <row r="113" spans="1:80" ht="13">
      <c r="A113" s="323" t="e">
        <v>#N/A</v>
      </c>
      <c r="B113" s="324">
        <v>7</v>
      </c>
      <c r="C113" s="558">
        <v>0.1</v>
      </c>
      <c r="D113" s="558">
        <v>0.2</v>
      </c>
      <c r="E113" s="558"/>
      <c r="F113" s="798">
        <v>4</v>
      </c>
      <c r="G113" s="558" t="s">
        <v>208</v>
      </c>
      <c r="H113" s="558">
        <v>0.2</v>
      </c>
      <c r="I113" s="558"/>
      <c r="J113" s="637" t="e">
        <v>#N/A</v>
      </c>
      <c r="K113" s="558" t="s">
        <v>210</v>
      </c>
      <c r="L113" s="558" t="s">
        <v>210</v>
      </c>
      <c r="M113" s="977" t="s">
        <v>938</v>
      </c>
      <c r="N113" s="326"/>
      <c r="O113" s="599"/>
      <c r="P113" s="326">
        <v>0</v>
      </c>
      <c r="Q113" s="326">
        <v>0</v>
      </c>
      <c r="R113" s="326">
        <v>0</v>
      </c>
      <c r="S113" s="326">
        <v>0</v>
      </c>
      <c r="T113" s="137"/>
      <c r="U113" s="326"/>
      <c r="V113" s="599">
        <v>1800000</v>
      </c>
      <c r="W113" s="326">
        <v>0</v>
      </c>
      <c r="X113" s="326">
        <v>0</v>
      </c>
      <c r="Y113" s="326">
        <v>0</v>
      </c>
      <c r="Z113" s="326">
        <v>-1800000</v>
      </c>
      <c r="AA113" s="137">
        <v>0</v>
      </c>
      <c r="AB113" s="326"/>
      <c r="AC113" s="599">
        <v>1800000</v>
      </c>
      <c r="AD113" s="326">
        <v>0</v>
      </c>
      <c r="AE113" s="326">
        <v>0</v>
      </c>
      <c r="AF113" s="326">
        <v>0</v>
      </c>
      <c r="AG113" s="326">
        <v>-1800000</v>
      </c>
      <c r="AH113" s="137">
        <v>0</v>
      </c>
      <c r="AI113" s="969">
        <v>3600000</v>
      </c>
      <c r="AJ113" s="326" t="s">
        <v>210</v>
      </c>
      <c r="AK113" s="326">
        <v>0</v>
      </c>
      <c r="AL113" s="326">
        <v>0</v>
      </c>
      <c r="AM113" s="326">
        <v>0</v>
      </c>
      <c r="AN113" s="326">
        <v>0</v>
      </c>
      <c r="AO113" s="970" t="s">
        <v>210</v>
      </c>
      <c r="AP113" s="941"/>
      <c r="AQ113" s="326">
        <v>0</v>
      </c>
      <c r="AR113" s="326">
        <v>0</v>
      </c>
      <c r="AS113" s="326">
        <v>0</v>
      </c>
      <c r="AT113" s="941"/>
      <c r="AU113" s="326">
        <v>0</v>
      </c>
      <c r="AV113" s="326">
        <v>391913.6</v>
      </c>
      <c r="AW113" s="326">
        <v>391913.6</v>
      </c>
      <c r="AX113" s="941"/>
      <c r="AY113" s="326">
        <v>0</v>
      </c>
      <c r="AZ113" s="326">
        <v>0</v>
      </c>
      <c r="BA113" s="326">
        <v>0</v>
      </c>
      <c r="BB113" s="326">
        <v>0</v>
      </c>
      <c r="BC113" s="326">
        <v>391913.6</v>
      </c>
      <c r="BD113" s="326">
        <v>391913.6</v>
      </c>
      <c r="BE113" s="326">
        <v>0</v>
      </c>
      <c r="BF113" s="326">
        <v>391913.6</v>
      </c>
      <c r="BG113" s="326">
        <v>391913.6</v>
      </c>
      <c r="BH113" s="941"/>
      <c r="BI113" s="326">
        <v>0</v>
      </c>
      <c r="BJ113" s="326">
        <v>304552.15999999997</v>
      </c>
      <c r="BK113" s="326">
        <v>304552.15999999997</v>
      </c>
      <c r="BL113" s="971"/>
      <c r="BM113" s="140">
        <v>0</v>
      </c>
      <c r="BN113" s="326">
        <v>195956.8</v>
      </c>
      <c r="BO113" s="333">
        <v>195956.8</v>
      </c>
      <c r="BP113" s="123"/>
      <c r="BQ113" s="326">
        <v>0</v>
      </c>
      <c r="BR113" s="326">
        <v>211633.2</v>
      </c>
      <c r="BS113" s="332">
        <v>211633.2</v>
      </c>
      <c r="BT113" s="140">
        <v>0</v>
      </c>
      <c r="BU113" s="326">
        <v>712142.15999999992</v>
      </c>
      <c r="BV113" s="333">
        <v>712142.15999999992</v>
      </c>
      <c r="BW113" s="939"/>
      <c r="BX113" s="326">
        <v>0</v>
      </c>
      <c r="BY113" s="326">
        <v>0</v>
      </c>
      <c r="BZ113" s="333">
        <v>0</v>
      </c>
      <c r="CA113" s="939"/>
      <c r="CB113" s="941"/>
    </row>
    <row r="114" spans="1:80" ht="13">
      <c r="A114" s="323" t="e">
        <f t="shared" ref="A114:A145" si="527">VLOOKUP(M114,VARGCART4,3,FALSE)</f>
        <v>#N/A</v>
      </c>
      <c r="B114" s="324">
        <f t="shared" ref="B114:B157" si="528">VLOOKUP(M114,VARGASCARTERA,2,FALSE)</f>
        <v>7</v>
      </c>
      <c r="C114" s="558">
        <f t="shared" ref="C114:C145" si="529">IFERROR(VLOOKUP(B114,DES,2,FALSE),"")</f>
        <v>0.1</v>
      </c>
      <c r="D114" s="558">
        <f t="shared" ref="D114:D145" si="530">IFERROR(VLOOKUP(B114,DES,3,FALSE),"")</f>
        <v>0.2</v>
      </c>
      <c r="E114" s="558">
        <f t="shared" ref="E114:E145" si="531">IFERROR(VLOOKUP(B114,DES,4,FALSE),"")</f>
        <v>0</v>
      </c>
      <c r="F114" s="798">
        <f t="shared" ref="F114:F145" si="532">VLOOKUP(M114,VARGASCART2,2,FALSE)</f>
        <v>4</v>
      </c>
      <c r="G114" s="558" t="str">
        <f t="shared" ref="G114:G145" si="533">IFERROR(VLOOKUP(F114,DES,2,FALSE),"")</f>
        <v>Lista</v>
      </c>
      <c r="H114" s="558">
        <f t="shared" ref="H114:H145" si="534">IFERROR(VLOOKUP(B114,DES,3,FALSE),"")</f>
        <v>0.2</v>
      </c>
      <c r="I114" s="558">
        <f t="shared" ref="I114:I145" si="535">IFERROR(VLOOKUP(B114,DES,4,FALSE),"")</f>
        <v>0</v>
      </c>
      <c r="J114" s="637" t="e">
        <f t="shared" ref="J114:J145" si="536">VLOOKUP(M114,VARGCART4,2,FALSE)</f>
        <v>#N/A</v>
      </c>
      <c r="K114" s="558" t="str">
        <f t="shared" ref="K114:K145" si="537">IFERROR(VLOOKUP(J114,A458DC1025,2,FALSE),"")</f>
        <v/>
      </c>
      <c r="L114" s="558" t="str">
        <f t="shared" ref="L114:L145" si="538">IFERROR(VLOOKUP(J114,A458DC1025,3,FALSE),"")</f>
        <v/>
      </c>
      <c r="M114" s="977" t="s">
        <v>939</v>
      </c>
      <c r="N114" s="326"/>
      <c r="O114" s="975"/>
      <c r="P114" s="326" t="e">
        <f t="shared" ref="P114:P118" si="539">R114-Q114</f>
        <v>#VALUE!</v>
      </c>
      <c r="Q114" s="326" t="str">
        <f>IFERROR(VLOOKUP(M114,VARGALIM,3,FALSE),"")</f>
        <v/>
      </c>
      <c r="R114" s="326">
        <f>IFERROR(VLOOKUP(M114,VARFC,3,FALSE),"")</f>
        <v>0</v>
      </c>
      <c r="S114" s="326">
        <f t="shared" ref="S114:S118" si="540">R114-O114</f>
        <v>0</v>
      </c>
      <c r="T114" s="137" t="str">
        <f t="shared" ref="T114:T118" si="541">IFERROR(R114/O114,"")</f>
        <v/>
      </c>
      <c r="U114" s="326" t="str">
        <f>IFERROR(VLOOKUP(M114,VARGAS24,4,FALSE),"")</f>
        <v/>
      </c>
      <c r="V114" s="975">
        <v>1800000</v>
      </c>
      <c r="W114" s="326" t="e">
        <f t="shared" ref="W114:W118" si="542">Y114-X114</f>
        <v>#VALUE!</v>
      </c>
      <c r="X114" s="326" t="str">
        <f>IFERROR(VLOOKUP(M114,VARGALIM,4,FALSE),"")</f>
        <v/>
      </c>
      <c r="Y114" s="326">
        <f>IFERROR(VLOOKUP(M114,VARFC,4,FALSE),"")</f>
        <v>0</v>
      </c>
      <c r="Z114" s="326">
        <f t="shared" ref="Z114:Z118" si="543">Y114-V114</f>
        <v>-1800000</v>
      </c>
      <c r="AA114" s="137">
        <f t="shared" ref="AA114:AA118" si="544">IFERROR(Y114/V114,"")</f>
        <v>0</v>
      </c>
      <c r="AB114" s="326" t="str">
        <f>IFERROR(VLOOKUP(M114,VARGAS24,5,FALSE),"")</f>
        <v/>
      </c>
      <c r="AC114" s="975">
        <v>1800000</v>
      </c>
      <c r="AD114" s="326" t="e">
        <f t="shared" ref="AD114:AD163" si="545">AF114-AE114</f>
        <v>#VALUE!</v>
      </c>
      <c r="AE114" s="326" t="str">
        <f t="shared" ref="AE114:AE145" si="546">IFERROR(VLOOKUP(M114,VARGALIM,5,FALSE),"")</f>
        <v/>
      </c>
      <c r="AF114" s="326">
        <f t="shared" ref="AF114:AF145" si="547">IFERROR(VLOOKUP(M114,VARFC,5,FALSE),"")</f>
        <v>0</v>
      </c>
      <c r="AG114" s="326">
        <f t="shared" ref="AG114:AG163" si="548">AF114-AC114</f>
        <v>-1800000</v>
      </c>
      <c r="AH114" s="137">
        <f t="shared" ref="AH114:AH132" si="549">IFERROR(AF114/AC114,"")</f>
        <v>0</v>
      </c>
      <c r="AI114" s="969">
        <f t="shared" ref="AI114:AI163" si="550">SUM(O114,V114,AC114)</f>
        <v>3600000</v>
      </c>
      <c r="AJ114" s="326" t="str">
        <f t="shared" ref="AJ114:AJ130" si="551">IFERROR(VLOOKUP(M114,trim2024,2,FALSE),"")</f>
        <v/>
      </c>
      <c r="AK114" s="326" t="e">
        <f t="shared" ref="AK114:AL114" si="552">SUM(AD114,W114,P114)</f>
        <v>#VALUE!</v>
      </c>
      <c r="AL114" s="326">
        <f t="shared" si="552"/>
        <v>0</v>
      </c>
      <c r="AM114" s="326">
        <f t="shared" ref="AM114:AM163" si="553">SUM(AF114,Y114,Y114,R114)</f>
        <v>0</v>
      </c>
      <c r="AN114" s="326" t="e">
        <f t="shared" ref="AN114:AN130" si="554">AM114-AJ114</f>
        <v>#VALUE!</v>
      </c>
      <c r="AO114" s="970" t="str">
        <f t="shared" ref="AO114:AO130" si="555">IFERROR(AM114/AJ114,"")</f>
        <v/>
      </c>
      <c r="AP114" s="941" t="str">
        <f>IFERROR(VLOOKUP(M114,VARGAS24,6,FALSE),"")</f>
        <v/>
      </c>
      <c r="AQ114" s="326" t="e">
        <f t="shared" ref="AQ114:AQ163" si="556">AS114-AR114</f>
        <v>#VALUE!</v>
      </c>
      <c r="AR114" s="326" t="str">
        <f t="shared" ref="AR114:AR145" si="557">IFERROR(VLOOKUP(M114,VARGALIM,6,FALSE),"")</f>
        <v/>
      </c>
      <c r="AS114" s="326">
        <f t="shared" ref="AS114:AS145" si="558">IFERROR(VLOOKUP(M114,VARFC,6,FALSE),"")</f>
        <v>0</v>
      </c>
      <c r="AT114" s="941" t="str">
        <f>IFERROR(VLOOKUP(M114,VARGAS24,7,FALSE),"")</f>
        <v/>
      </c>
      <c r="AU114" s="326" t="e">
        <f t="shared" ref="AU114:AU163" si="559">AW114-AV114</f>
        <v>#VALUE!</v>
      </c>
      <c r="AV114" s="326" t="str">
        <f t="shared" ref="AV114:AV145" si="560">IFERROR(VLOOKUP(M114,VARGALIM,7,FALSE),"")</f>
        <v/>
      </c>
      <c r="AW114" s="326">
        <f t="shared" ref="AW114:AW145" si="561">IFERROR(VLOOKUP(M114,VARFC,7,FALSE),"")</f>
        <v>220604.23</v>
      </c>
      <c r="AX114" s="941" t="str">
        <f>IFERROR(VLOOKUP(M114,VARGAS24,8,FALSE),"")</f>
        <v/>
      </c>
      <c r="AY114" s="326" t="e">
        <f t="shared" ref="AY114:AY163" si="562">BA114-AZ114</f>
        <v>#VALUE!</v>
      </c>
      <c r="AZ114" s="326" t="str">
        <f t="shared" ref="AZ114:AZ145" si="563">IFERROR(VLOOKUP(M114,VARGALIM,8,FALSE),"")</f>
        <v/>
      </c>
      <c r="BA114" s="326">
        <f t="shared" ref="BA114:BA145" si="564">IFERROR(VLOOKUP(M114,VARFC,8,FALSE),"")</f>
        <v>0</v>
      </c>
      <c r="BB114" s="326" t="e">
        <f t="shared" ref="BB114:BB163" si="565">AY114+AU114+AQ114</f>
        <v>#VALUE!</v>
      </c>
      <c r="BC114" s="326" t="e">
        <f t="shared" ref="BC114:BC163" si="566">AR114+AV114+AZ114</f>
        <v>#VALUE!</v>
      </c>
      <c r="BD114" s="326">
        <f t="shared" ref="BD114:BD163" si="567">SUM(BA114+AW114+AS114)</f>
        <v>220604.23</v>
      </c>
      <c r="BE114" s="326" t="e">
        <f t="shared" ref="BE114:BE163" si="568">BB114+AK114</f>
        <v>#VALUE!</v>
      </c>
      <c r="BF114" s="326" t="e">
        <f t="shared" ref="BF114:BG114" si="569">SUM(BC114,AL114)</f>
        <v>#VALUE!</v>
      </c>
      <c r="BG114" s="326">
        <f t="shared" si="569"/>
        <v>220604.23</v>
      </c>
      <c r="BH114" s="941" t="str">
        <f>IFERROR(VLOOKUP(M114,VARGAS24,9,FALSE),"")</f>
        <v/>
      </c>
      <c r="BI114" s="326" t="e">
        <f t="shared" ref="BI114:BI163" si="570">BK114-BJ114</f>
        <v>#VALUE!</v>
      </c>
      <c r="BJ114" s="326" t="str">
        <f t="shared" ref="BJ114:BJ145" si="571">IFERROR(VLOOKUP(M114,VARGALIM,9,FALSE),"")</f>
        <v/>
      </c>
      <c r="BK114" s="326">
        <f t="shared" ref="BK114:BK145" si="572">IFERROR(VLOOKUP(M114,VARFC,9,FALSE),"")</f>
        <v>622759.52</v>
      </c>
      <c r="BL114" s="971" t="str">
        <f>IFERROR(VLOOKUP(M114,VARGAS24,10,FALSE),"")</f>
        <v/>
      </c>
      <c r="BM114" s="140" t="e">
        <f t="shared" ref="BM114:BM163" si="573">BO114-BN114</f>
        <v>#VALUE!</v>
      </c>
      <c r="BN114" s="326" t="str">
        <f t="shared" ref="BN114:BN145" si="574">IFERROR(VLOOKUP(M114,VARGALIM,10,FALSE),"")</f>
        <v/>
      </c>
      <c r="BO114" s="333">
        <f t="shared" ref="BO114:BO145" si="575">IFERROR(VLOOKUP(M114,VARFC,10,FALSE),"")</f>
        <v>0</v>
      </c>
      <c r="BP114" s="123" t="str">
        <f>IFERROR(VLOOKUP(M114,VARGAS24,11,FALSE),"")</f>
        <v/>
      </c>
      <c r="BQ114" s="326" t="e">
        <f t="shared" ref="BQ114:BQ163" si="576">BS114-BR114</f>
        <v>#VALUE!</v>
      </c>
      <c r="BR114" s="326" t="str">
        <f t="shared" ref="BR114:BR145" si="577">IFERROR(VLOOKUP(M114,VARGALIM,11,FALSE),"")</f>
        <v/>
      </c>
      <c r="BS114" s="332">
        <f t="shared" ref="BS114:BS145" si="578">IFERROR(VLOOKUP(M114,VARFC,11,FALSE),"")</f>
        <v>0</v>
      </c>
      <c r="BT114" s="140" t="e">
        <f t="shared" ref="BT114:BV114" si="579">SUM(BQ114,BM114,BI114)</f>
        <v>#VALUE!</v>
      </c>
      <c r="BU114" s="326">
        <f t="shared" si="579"/>
        <v>0</v>
      </c>
      <c r="BV114" s="333">
        <f t="shared" si="579"/>
        <v>622759.52</v>
      </c>
      <c r="BW114" s="939" t="str">
        <f>IFERROR(VLOOKUP(M114,VARGAS24,12,FALSE),"")</f>
        <v/>
      </c>
      <c r="BX114" s="326" t="e">
        <f t="shared" ref="BX114:BX163" si="580">BZ114-BY114</f>
        <v>#VALUE!</v>
      </c>
      <c r="BY114" s="326" t="str">
        <f t="shared" ref="BY114:BY145" si="581">IFERROR(VLOOKUP(M114,VARGALIM,12,FALSE),"")</f>
        <v/>
      </c>
      <c r="BZ114" s="333">
        <f t="shared" ref="BZ114:BZ145" si="582">IFERROR(VLOOKUP(M114,VARFC,12,FALSE),"")</f>
        <v>0</v>
      </c>
      <c r="CA114" s="939" t="str">
        <f>IFERROR(VLOOKUP(M114,VARGAS24,13,FALSE),"")</f>
        <v/>
      </c>
      <c r="CB114" s="941" t="str">
        <f>IFERROR(VLOOKUP(M114,VARGAS24,14,FALSE),"")</f>
        <v/>
      </c>
    </row>
    <row r="115" spans="1:80" ht="13">
      <c r="A115" s="323" t="e">
        <f t="shared" si="527"/>
        <v>#N/A</v>
      </c>
      <c r="B115" s="324">
        <f t="shared" si="528"/>
        <v>7</v>
      </c>
      <c r="C115" s="558">
        <f t="shared" si="529"/>
        <v>0.1</v>
      </c>
      <c r="D115" s="558">
        <f t="shared" si="530"/>
        <v>0.2</v>
      </c>
      <c r="E115" s="558">
        <f t="shared" si="531"/>
        <v>0</v>
      </c>
      <c r="F115" s="798">
        <f t="shared" si="532"/>
        <v>4</v>
      </c>
      <c r="G115" s="558" t="str">
        <f t="shared" si="533"/>
        <v>Lista</v>
      </c>
      <c r="H115" s="558">
        <f t="shared" si="534"/>
        <v>0.2</v>
      </c>
      <c r="I115" s="558">
        <f t="shared" si="535"/>
        <v>0</v>
      </c>
      <c r="J115" s="637" t="e">
        <f t="shared" si="536"/>
        <v>#N/A</v>
      </c>
      <c r="K115" s="558" t="str">
        <f t="shared" si="537"/>
        <v/>
      </c>
      <c r="L115" s="558" t="str">
        <f t="shared" si="538"/>
        <v/>
      </c>
      <c r="M115" s="977" t="s">
        <v>940</v>
      </c>
      <c r="N115" s="326">
        <f>IFERROR(VLOOKUP(M115,VARGAS24,3,FALSE),"")</f>
        <v>0</v>
      </c>
      <c r="O115" s="975">
        <v>1800000</v>
      </c>
      <c r="P115" s="326">
        <f t="shared" si="539"/>
        <v>0</v>
      </c>
      <c r="Q115" s="326">
        <f>IFERROR(VLOOKUP(M115,VARGALIM,3,FALSE),"")</f>
        <v>295726.5</v>
      </c>
      <c r="R115" s="326">
        <f>IFERROR(VLOOKUP(M115,VARFC,3,FALSE),"")</f>
        <v>295726.5</v>
      </c>
      <c r="S115" s="326">
        <f t="shared" si="540"/>
        <v>-1504273.5</v>
      </c>
      <c r="T115" s="137">
        <f t="shared" si="541"/>
        <v>0.16429250000000001</v>
      </c>
      <c r="U115" s="326">
        <f>IFERROR(VLOOKUP(M115,VARGAS24,4,FALSE),"")</f>
        <v>0</v>
      </c>
      <c r="V115" s="975">
        <v>1800000</v>
      </c>
      <c r="W115" s="326">
        <f t="shared" si="542"/>
        <v>0</v>
      </c>
      <c r="X115" s="326">
        <f>IFERROR(VLOOKUP(M115,VARGALIM,4,FALSE),"")</f>
        <v>0</v>
      </c>
      <c r="Y115" s="326">
        <f>IFERROR(VLOOKUP(M115,VARFC,4,FALSE),"")</f>
        <v>0</v>
      </c>
      <c r="Z115" s="326">
        <f t="shared" si="543"/>
        <v>-1800000</v>
      </c>
      <c r="AA115" s="137">
        <f t="shared" si="544"/>
        <v>0</v>
      </c>
      <c r="AB115" s="326">
        <f>IFERROR(VLOOKUP(M115,VARGAS24,5,FALSE),"")</f>
        <v>0</v>
      </c>
      <c r="AC115" s="975">
        <v>1800000</v>
      </c>
      <c r="AD115" s="326">
        <f t="shared" si="545"/>
        <v>0</v>
      </c>
      <c r="AE115" s="326">
        <f t="shared" si="546"/>
        <v>0</v>
      </c>
      <c r="AF115" s="326">
        <f t="shared" si="547"/>
        <v>0</v>
      </c>
      <c r="AG115" s="326">
        <f t="shared" si="548"/>
        <v>-1800000</v>
      </c>
      <c r="AH115" s="137">
        <f t="shared" si="549"/>
        <v>0</v>
      </c>
      <c r="AI115" s="969">
        <f t="shared" si="550"/>
        <v>5400000</v>
      </c>
      <c r="AJ115" s="326">
        <f t="shared" si="551"/>
        <v>898229.56</v>
      </c>
      <c r="AK115" s="326">
        <f t="shared" ref="AK115:AL115" si="583">SUM(AD115,W115,P115)</f>
        <v>0</v>
      </c>
      <c r="AL115" s="326">
        <f t="shared" si="583"/>
        <v>295726.5</v>
      </c>
      <c r="AM115" s="326">
        <f t="shared" si="553"/>
        <v>295726.5</v>
      </c>
      <c r="AN115" s="326">
        <f t="shared" si="554"/>
        <v>-602503.06000000006</v>
      </c>
      <c r="AO115" s="970">
        <f t="shared" si="555"/>
        <v>0.32923265184013761</v>
      </c>
      <c r="AP115" s="941">
        <f>IFERROR(VLOOKUP(M115,VARGAS24,6,FALSE),"")</f>
        <v>0</v>
      </c>
      <c r="AQ115" s="326">
        <f t="shared" si="556"/>
        <v>390828.02</v>
      </c>
      <c r="AR115" s="326">
        <f t="shared" si="557"/>
        <v>0</v>
      </c>
      <c r="AS115" s="326">
        <f t="shared" si="558"/>
        <v>390828.02</v>
      </c>
      <c r="AT115" s="941">
        <f>IFERROR(VLOOKUP(M115,VARGAS24,7,FALSE),"")</f>
        <v>0</v>
      </c>
      <c r="AU115" s="326">
        <f t="shared" si="559"/>
        <v>186086.56</v>
      </c>
      <c r="AV115" s="326">
        <f t="shared" si="560"/>
        <v>214089.76</v>
      </c>
      <c r="AW115" s="326">
        <f t="shared" si="561"/>
        <v>400176.32</v>
      </c>
      <c r="AX115" s="941">
        <f>IFERROR(VLOOKUP(M115,VARGAS24,8,FALSE),"")</f>
        <v>0</v>
      </c>
      <c r="AY115" s="326">
        <f t="shared" si="562"/>
        <v>301588.01</v>
      </c>
      <c r="AZ115" s="326">
        <f t="shared" si="563"/>
        <v>312712.36</v>
      </c>
      <c r="BA115" s="326">
        <f t="shared" si="564"/>
        <v>614300.37</v>
      </c>
      <c r="BB115" s="326">
        <f t="shared" si="565"/>
        <v>878502.59000000008</v>
      </c>
      <c r="BC115" s="326">
        <f t="shared" si="566"/>
        <v>526802.12</v>
      </c>
      <c r="BD115" s="326">
        <f t="shared" si="567"/>
        <v>1405304.71</v>
      </c>
      <c r="BE115" s="326">
        <f t="shared" si="568"/>
        <v>878502.59000000008</v>
      </c>
      <c r="BF115" s="326">
        <f t="shared" ref="BF115:BG115" si="584">SUM(BC115,AL115)</f>
        <v>822528.62</v>
      </c>
      <c r="BG115" s="326">
        <f t="shared" si="584"/>
        <v>1701031.21</v>
      </c>
      <c r="BH115" s="941">
        <f>IFERROR(VLOOKUP(M115,VARGAS24,9,FALSE),"")</f>
        <v>0</v>
      </c>
      <c r="BI115" s="326">
        <f t="shared" si="570"/>
        <v>0</v>
      </c>
      <c r="BJ115" s="326">
        <f t="shared" si="571"/>
        <v>0</v>
      </c>
      <c r="BK115" s="326">
        <f t="shared" si="572"/>
        <v>0</v>
      </c>
      <c r="BL115" s="971">
        <f>IFERROR(VLOOKUP(M115,VARGAS24,10,FALSE),"")</f>
        <v>0</v>
      </c>
      <c r="BM115" s="140">
        <f t="shared" si="573"/>
        <v>-220604.23</v>
      </c>
      <c r="BN115" s="326">
        <f t="shared" si="574"/>
        <v>0</v>
      </c>
      <c r="BO115" s="333">
        <f t="shared" si="575"/>
        <v>-220604.23</v>
      </c>
      <c r="BP115" s="123">
        <f>IFERROR(VLOOKUP(M115,VARGAS24,11,FALSE),"")</f>
        <v>0</v>
      </c>
      <c r="BQ115" s="326">
        <f t="shared" si="576"/>
        <v>0</v>
      </c>
      <c r="BR115" s="326">
        <f t="shared" si="577"/>
        <v>0</v>
      </c>
      <c r="BS115" s="332">
        <f t="shared" si="578"/>
        <v>0</v>
      </c>
      <c r="BT115" s="140">
        <f t="shared" ref="BT115:BV115" si="585">SUM(BQ115,BM115,BI115)</f>
        <v>-220604.23</v>
      </c>
      <c r="BU115" s="326">
        <f t="shared" si="585"/>
        <v>0</v>
      </c>
      <c r="BV115" s="333">
        <f t="shared" si="585"/>
        <v>-220604.23</v>
      </c>
      <c r="BW115" s="939">
        <f>IFERROR(VLOOKUP(M115,VARGAS24,12,FALSE),"")</f>
        <v>0</v>
      </c>
      <c r="BX115" s="326">
        <f t="shared" si="580"/>
        <v>0</v>
      </c>
      <c r="BY115" s="326">
        <f t="shared" si="581"/>
        <v>0</v>
      </c>
      <c r="BZ115" s="333">
        <f t="shared" si="582"/>
        <v>0</v>
      </c>
      <c r="CA115" s="939">
        <f>IFERROR(VLOOKUP(M115,VARGAS24,13,FALSE),"")</f>
        <v>547106.93999999994</v>
      </c>
      <c r="CB115" s="941">
        <f>IFERROR(VLOOKUP(M115,VARGAS24,14,FALSE),"")</f>
        <v>351122.62</v>
      </c>
    </row>
    <row r="116" spans="1:80" ht="13">
      <c r="A116" s="323" t="e">
        <f t="shared" si="527"/>
        <v>#N/A</v>
      </c>
      <c r="B116" s="324">
        <f t="shared" si="528"/>
        <v>22</v>
      </c>
      <c r="C116" s="558">
        <f t="shared" si="529"/>
        <v>0.1</v>
      </c>
      <c r="D116" s="558">
        <f t="shared" si="530"/>
        <v>0.09</v>
      </c>
      <c r="E116" s="558">
        <f t="shared" si="531"/>
        <v>0</v>
      </c>
      <c r="F116" s="798">
        <f t="shared" si="532"/>
        <v>1</v>
      </c>
      <c r="G116" s="558" t="str">
        <f t="shared" si="533"/>
        <v>Lista</v>
      </c>
      <c r="H116" s="558">
        <f t="shared" si="534"/>
        <v>0.09</v>
      </c>
      <c r="I116" s="558">
        <f t="shared" si="535"/>
        <v>0</v>
      </c>
      <c r="J116" s="637" t="e">
        <f t="shared" si="536"/>
        <v>#N/A</v>
      </c>
      <c r="K116" s="558" t="str">
        <f t="shared" si="537"/>
        <v/>
      </c>
      <c r="L116" s="558" t="str">
        <f t="shared" si="538"/>
        <v/>
      </c>
      <c r="M116" s="977" t="s">
        <v>941</v>
      </c>
      <c r="N116" s="326">
        <f>IFERROR(VLOOKUP(M116,VARGAS24,3,FALSE),"")</f>
        <v>200348.89</v>
      </c>
      <c r="O116" s="975">
        <v>1800000</v>
      </c>
      <c r="P116" s="326" t="e">
        <f t="shared" si="539"/>
        <v>#VALUE!</v>
      </c>
      <c r="Q116" s="326" t="str">
        <f>IFERROR(VLOOKUP(M116,VARGALIM,3,FALSE),"")</f>
        <v/>
      </c>
      <c r="R116" s="326">
        <f>IFERROR(VLOOKUP(M116,VARFC,3,FALSE),"")</f>
        <v>97429.73</v>
      </c>
      <c r="S116" s="326">
        <f t="shared" si="540"/>
        <v>-1702570.27</v>
      </c>
      <c r="T116" s="137">
        <f t="shared" si="541"/>
        <v>5.4127627777777777E-2</v>
      </c>
      <c r="U116" s="326">
        <f>IFERROR(VLOOKUP(M116,VARGAS24,4,FALSE),"")</f>
        <v>142229.79</v>
      </c>
      <c r="V116" s="975">
        <v>1800000</v>
      </c>
      <c r="W116" s="326" t="e">
        <f t="shared" si="542"/>
        <v>#VALUE!</v>
      </c>
      <c r="X116" s="326" t="str">
        <f>IFERROR(VLOOKUP(M116,VARGALIM,4,FALSE),"")</f>
        <v/>
      </c>
      <c r="Y116" s="326">
        <f>IFERROR(VLOOKUP(M116,VARFC,4,FALSE),"")</f>
        <v>318110.59999999998</v>
      </c>
      <c r="Z116" s="326">
        <f t="shared" si="543"/>
        <v>-1481889.4</v>
      </c>
      <c r="AA116" s="137">
        <f t="shared" si="544"/>
        <v>0.17672811111111109</v>
      </c>
      <c r="AB116" s="326">
        <f>IFERROR(VLOOKUP(M116,VARGAS24,5,FALSE),"")</f>
        <v>316243.24</v>
      </c>
      <c r="AC116" s="975">
        <v>1800000</v>
      </c>
      <c r="AD116" s="326" t="e">
        <f t="shared" si="545"/>
        <v>#VALUE!</v>
      </c>
      <c r="AE116" s="326" t="str">
        <f t="shared" si="546"/>
        <v/>
      </c>
      <c r="AF116" s="326">
        <f t="shared" si="547"/>
        <v>0</v>
      </c>
      <c r="AG116" s="326">
        <f t="shared" si="548"/>
        <v>-1800000</v>
      </c>
      <c r="AH116" s="137">
        <f t="shared" si="549"/>
        <v>0</v>
      </c>
      <c r="AI116" s="969">
        <f t="shared" si="550"/>
        <v>5400000</v>
      </c>
      <c r="AJ116" s="326">
        <f t="shared" si="551"/>
        <v>1064845.58</v>
      </c>
      <c r="AK116" s="326" t="e">
        <f t="shared" ref="AK116:AL116" si="586">SUM(AD116,W116,P116)</f>
        <v>#VALUE!</v>
      </c>
      <c r="AL116" s="326">
        <f t="shared" si="586"/>
        <v>0</v>
      </c>
      <c r="AM116" s="326">
        <f t="shared" si="553"/>
        <v>733650.92999999993</v>
      </c>
      <c r="AN116" s="326">
        <f t="shared" si="554"/>
        <v>-331194.65000000014</v>
      </c>
      <c r="AO116" s="970">
        <f t="shared" si="555"/>
        <v>0.68897401067298403</v>
      </c>
      <c r="AP116" s="941">
        <f>IFERROR(VLOOKUP(M116,VARGAS24,6,FALSE),"")</f>
        <v>218309.93</v>
      </c>
      <c r="AQ116" s="326" t="e">
        <f t="shared" si="556"/>
        <v>#VALUE!</v>
      </c>
      <c r="AR116" s="326" t="str">
        <f t="shared" si="557"/>
        <v/>
      </c>
      <c r="AS116" s="326">
        <f t="shared" si="558"/>
        <v>326455.57</v>
      </c>
      <c r="AT116" s="941">
        <f>IFERROR(VLOOKUP(M116,VARGAS24,7,FALSE),"")</f>
        <v>219788.7</v>
      </c>
      <c r="AU116" s="326" t="e">
        <f t="shared" si="559"/>
        <v>#VALUE!</v>
      </c>
      <c r="AV116" s="326" t="str">
        <f t="shared" si="560"/>
        <v/>
      </c>
      <c r="AW116" s="326">
        <f t="shared" si="561"/>
        <v>295538.13</v>
      </c>
      <c r="AX116" s="941">
        <f>IFERROR(VLOOKUP(M116,VARGAS24,8,FALSE),"")</f>
        <v>564901.18000000005</v>
      </c>
      <c r="AY116" s="326" t="e">
        <f t="shared" si="562"/>
        <v>#VALUE!</v>
      </c>
      <c r="AZ116" s="326" t="str">
        <f t="shared" si="563"/>
        <v/>
      </c>
      <c r="BA116" s="326">
        <f t="shared" si="564"/>
        <v>0</v>
      </c>
      <c r="BB116" s="326" t="e">
        <f t="shared" si="565"/>
        <v>#VALUE!</v>
      </c>
      <c r="BC116" s="326" t="e">
        <f t="shared" si="566"/>
        <v>#VALUE!</v>
      </c>
      <c r="BD116" s="326">
        <f t="shared" si="567"/>
        <v>621993.69999999995</v>
      </c>
      <c r="BE116" s="326" t="e">
        <f t="shared" si="568"/>
        <v>#VALUE!</v>
      </c>
      <c r="BF116" s="326" t="e">
        <f t="shared" ref="BF116:BG116" si="587">SUM(BC116,AL116)</f>
        <v>#VALUE!</v>
      </c>
      <c r="BG116" s="326">
        <f t="shared" si="587"/>
        <v>1355644.63</v>
      </c>
      <c r="BH116" s="941">
        <f>IFERROR(VLOOKUP(M116,VARGAS24,9,FALSE),"")</f>
        <v>516131.28</v>
      </c>
      <c r="BI116" s="326" t="e">
        <f t="shared" si="570"/>
        <v>#VALUE!</v>
      </c>
      <c r="BJ116" s="326" t="str">
        <f t="shared" si="571"/>
        <v/>
      </c>
      <c r="BK116" s="326">
        <f t="shared" si="572"/>
        <v>569754.03</v>
      </c>
      <c r="BL116" s="971">
        <f>IFERROR(VLOOKUP(M116,VARGAS24,10,FALSE),"")</f>
        <v>239527.75</v>
      </c>
      <c r="BM116" s="140" t="e">
        <f t="shared" si="573"/>
        <v>#VALUE!</v>
      </c>
      <c r="BN116" s="326" t="str">
        <f t="shared" si="574"/>
        <v/>
      </c>
      <c r="BO116" s="333">
        <f t="shared" si="575"/>
        <v>318590.09999999998</v>
      </c>
      <c r="BP116" s="123">
        <f>IFERROR(VLOOKUP(M116,VARGAS24,11,FALSE),"")</f>
        <v>230755.08</v>
      </c>
      <c r="BQ116" s="326" t="e">
        <f t="shared" si="576"/>
        <v>#VALUE!</v>
      </c>
      <c r="BR116" s="326" t="str">
        <f t="shared" si="577"/>
        <v/>
      </c>
      <c r="BS116" s="332">
        <f t="shared" si="578"/>
        <v>237604.27</v>
      </c>
      <c r="BT116" s="140" t="e">
        <f t="shared" ref="BT116:BV116" si="588">SUM(BQ116,BM116,BI116)</f>
        <v>#VALUE!</v>
      </c>
      <c r="BU116" s="326">
        <f t="shared" si="588"/>
        <v>0</v>
      </c>
      <c r="BV116" s="333">
        <f t="shared" si="588"/>
        <v>1125948.3999999999</v>
      </c>
      <c r="BW116" s="939">
        <f>IFERROR(VLOOKUP(M116,VARGAS24,12,FALSE),"")</f>
        <v>369543.55</v>
      </c>
      <c r="BX116" s="326" t="e">
        <f t="shared" si="580"/>
        <v>#VALUE!</v>
      </c>
      <c r="BY116" s="326" t="str">
        <f t="shared" si="581"/>
        <v/>
      </c>
      <c r="BZ116" s="333">
        <f t="shared" si="582"/>
        <v>0</v>
      </c>
      <c r="CA116" s="939">
        <f>IFERROR(VLOOKUP(M116,VARGAS24,13,FALSE),"")</f>
        <v>364857.43</v>
      </c>
      <c r="CB116" s="941">
        <f>IFERROR(VLOOKUP(M116,VARGAS24,14,FALSE),"")</f>
        <v>330444.59999999998</v>
      </c>
    </row>
    <row r="117" spans="1:80" ht="13">
      <c r="A117" s="323" t="e">
        <f t="shared" si="527"/>
        <v>#N/A</v>
      </c>
      <c r="B117" s="324">
        <f t="shared" si="528"/>
        <v>22</v>
      </c>
      <c r="C117" s="558">
        <f t="shared" si="529"/>
        <v>0.1</v>
      </c>
      <c r="D117" s="558">
        <f t="shared" si="530"/>
        <v>0.09</v>
      </c>
      <c r="E117" s="558">
        <f t="shared" si="531"/>
        <v>0</v>
      </c>
      <c r="F117" s="798">
        <f t="shared" si="532"/>
        <v>1</v>
      </c>
      <c r="G117" s="558" t="str">
        <f t="shared" si="533"/>
        <v>Lista</v>
      </c>
      <c r="H117" s="558">
        <f t="shared" si="534"/>
        <v>0.09</v>
      </c>
      <c r="I117" s="558">
        <f t="shared" si="535"/>
        <v>0</v>
      </c>
      <c r="J117" s="637" t="e">
        <f t="shared" si="536"/>
        <v>#N/A</v>
      </c>
      <c r="K117" s="558" t="str">
        <f t="shared" si="537"/>
        <v/>
      </c>
      <c r="L117" s="558" t="str">
        <f t="shared" si="538"/>
        <v/>
      </c>
      <c r="M117" s="977" t="s">
        <v>942</v>
      </c>
      <c r="N117" s="326">
        <f>IFERROR(VLOOKUP(M117,VARGAS24,3,FALSE),"")</f>
        <v>0</v>
      </c>
      <c r="O117" s="975">
        <v>1800000</v>
      </c>
      <c r="P117" s="326" t="e">
        <f t="shared" si="539"/>
        <v>#VALUE!</v>
      </c>
      <c r="Q117" s="326" t="str">
        <f>IFERROR(VLOOKUP(M117,VARGALIM,3,FALSE),"")</f>
        <v/>
      </c>
      <c r="R117" s="326">
        <f>IFERROR(VLOOKUP(M117,VARFC,3,FALSE),"")</f>
        <v>0</v>
      </c>
      <c r="S117" s="326">
        <f t="shared" si="540"/>
        <v>-1800000</v>
      </c>
      <c r="T117" s="137">
        <f t="shared" si="541"/>
        <v>0</v>
      </c>
      <c r="U117" s="326">
        <f>IFERROR(VLOOKUP(M117,VARGAS24,4,FALSE),"")</f>
        <v>0</v>
      </c>
      <c r="V117" s="975">
        <v>1800000</v>
      </c>
      <c r="W117" s="326" t="e">
        <f t="shared" si="542"/>
        <v>#VALUE!</v>
      </c>
      <c r="X117" s="326" t="str">
        <f>IFERROR(VLOOKUP(M117,VARGALIM,4,FALSE),"")</f>
        <v/>
      </c>
      <c r="Y117" s="326">
        <f>IFERROR(VLOOKUP(M117,VARFC,4,FALSE),"")</f>
        <v>0</v>
      </c>
      <c r="Z117" s="326">
        <f t="shared" si="543"/>
        <v>-1800000</v>
      </c>
      <c r="AA117" s="137">
        <f t="shared" si="544"/>
        <v>0</v>
      </c>
      <c r="AB117" s="326">
        <f>IFERROR(VLOOKUP(M117,VARGAS24,5,FALSE),"")</f>
        <v>0</v>
      </c>
      <c r="AC117" s="975">
        <v>1800000</v>
      </c>
      <c r="AD117" s="326" t="e">
        <f t="shared" si="545"/>
        <v>#VALUE!</v>
      </c>
      <c r="AE117" s="326" t="str">
        <f t="shared" si="546"/>
        <v/>
      </c>
      <c r="AF117" s="326">
        <f t="shared" si="547"/>
        <v>0</v>
      </c>
      <c r="AG117" s="326">
        <f t="shared" si="548"/>
        <v>-1800000</v>
      </c>
      <c r="AH117" s="137">
        <f t="shared" si="549"/>
        <v>0</v>
      </c>
      <c r="AI117" s="969">
        <f t="shared" si="550"/>
        <v>5400000</v>
      </c>
      <c r="AJ117" s="326">
        <f t="shared" si="551"/>
        <v>53445.31</v>
      </c>
      <c r="AK117" s="326" t="e">
        <f t="shared" ref="AK117:AL117" si="589">SUM(AD117,W117,P117)</f>
        <v>#VALUE!</v>
      </c>
      <c r="AL117" s="326">
        <f t="shared" si="589"/>
        <v>0</v>
      </c>
      <c r="AM117" s="326">
        <f t="shared" si="553"/>
        <v>0</v>
      </c>
      <c r="AN117" s="326">
        <f t="shared" si="554"/>
        <v>-53445.31</v>
      </c>
      <c r="AO117" s="970">
        <f t="shared" si="555"/>
        <v>0</v>
      </c>
      <c r="AP117" s="941">
        <f>IFERROR(VLOOKUP(M117,VARGAS24,6,FALSE),"")</f>
        <v>0</v>
      </c>
      <c r="AQ117" s="326" t="e">
        <f t="shared" si="556"/>
        <v>#VALUE!</v>
      </c>
      <c r="AR117" s="326" t="str">
        <f t="shared" si="557"/>
        <v/>
      </c>
      <c r="AS117" s="326">
        <f t="shared" si="558"/>
        <v>143830.62</v>
      </c>
      <c r="AT117" s="941">
        <f>IFERROR(VLOOKUP(M117,VARGAS24,7,FALSE),"")</f>
        <v>0</v>
      </c>
      <c r="AU117" s="326" t="e">
        <f t="shared" si="559"/>
        <v>#VALUE!</v>
      </c>
      <c r="AV117" s="326" t="str">
        <f t="shared" si="560"/>
        <v/>
      </c>
      <c r="AW117" s="326">
        <f t="shared" si="561"/>
        <v>0</v>
      </c>
      <c r="AX117" s="941">
        <f>IFERROR(VLOOKUP(M117,VARGAS24,8,FALSE),"")</f>
        <v>0</v>
      </c>
      <c r="AY117" s="326" t="e">
        <f t="shared" si="562"/>
        <v>#VALUE!</v>
      </c>
      <c r="AZ117" s="326" t="str">
        <f t="shared" si="563"/>
        <v/>
      </c>
      <c r="BA117" s="326">
        <f t="shared" si="564"/>
        <v>0</v>
      </c>
      <c r="BB117" s="326" t="e">
        <f t="shared" si="565"/>
        <v>#VALUE!</v>
      </c>
      <c r="BC117" s="326" t="e">
        <f t="shared" si="566"/>
        <v>#VALUE!</v>
      </c>
      <c r="BD117" s="326">
        <f t="shared" si="567"/>
        <v>143830.62</v>
      </c>
      <c r="BE117" s="326" t="e">
        <f t="shared" si="568"/>
        <v>#VALUE!</v>
      </c>
      <c r="BF117" s="326" t="e">
        <f t="shared" ref="BF117:BG117" si="590">SUM(BC117,AL117)</f>
        <v>#VALUE!</v>
      </c>
      <c r="BG117" s="326">
        <f t="shared" si="590"/>
        <v>143830.62</v>
      </c>
      <c r="BH117" s="941">
        <f>IFERROR(VLOOKUP(M117,VARGAS24,9,FALSE),"")</f>
        <v>171309.6</v>
      </c>
      <c r="BI117" s="326" t="e">
        <f t="shared" si="570"/>
        <v>#VALUE!</v>
      </c>
      <c r="BJ117" s="326" t="str">
        <f t="shared" si="571"/>
        <v/>
      </c>
      <c r="BK117" s="326">
        <f t="shared" si="572"/>
        <v>0</v>
      </c>
      <c r="BL117" s="971">
        <f>IFERROR(VLOOKUP(M117,VARGAS24,10,FALSE),"")</f>
        <v>32131.83</v>
      </c>
      <c r="BM117" s="140" t="e">
        <f t="shared" si="573"/>
        <v>#VALUE!</v>
      </c>
      <c r="BN117" s="326" t="str">
        <f t="shared" si="574"/>
        <v/>
      </c>
      <c r="BO117" s="333">
        <f t="shared" si="575"/>
        <v>0</v>
      </c>
      <c r="BP117" s="123">
        <f>IFERROR(VLOOKUP(M117,VARGAS24,11,FALSE),"")</f>
        <v>0</v>
      </c>
      <c r="BQ117" s="326" t="e">
        <f t="shared" si="576"/>
        <v>#VALUE!</v>
      </c>
      <c r="BR117" s="326" t="str">
        <f t="shared" si="577"/>
        <v/>
      </c>
      <c r="BS117" s="332">
        <f t="shared" si="578"/>
        <v>0</v>
      </c>
      <c r="BT117" s="140" t="e">
        <f t="shared" ref="BT117:BV117" si="591">SUM(BQ117,BM117,BI117)</f>
        <v>#VALUE!</v>
      </c>
      <c r="BU117" s="326">
        <f t="shared" si="591"/>
        <v>0</v>
      </c>
      <c r="BV117" s="333">
        <f t="shared" si="591"/>
        <v>0</v>
      </c>
      <c r="BW117" s="939">
        <f>IFERROR(VLOOKUP(M117,VARGAS24,12,FALSE),"")</f>
        <v>0</v>
      </c>
      <c r="BX117" s="326" t="e">
        <f t="shared" si="580"/>
        <v>#VALUE!</v>
      </c>
      <c r="BY117" s="326" t="str">
        <f t="shared" si="581"/>
        <v/>
      </c>
      <c r="BZ117" s="333">
        <f t="shared" si="582"/>
        <v>206357.3</v>
      </c>
      <c r="CA117" s="939">
        <f>IFERROR(VLOOKUP(M117,VARGAS24,13,FALSE),"")</f>
        <v>0</v>
      </c>
      <c r="CB117" s="941">
        <f>IFERROR(VLOOKUP(M117,VARGAS24,14,FALSE),"")</f>
        <v>53445.31</v>
      </c>
    </row>
    <row r="118" spans="1:80" ht="13">
      <c r="A118" s="323" t="e">
        <f t="shared" si="527"/>
        <v>#N/A</v>
      </c>
      <c r="B118" s="324">
        <f t="shared" si="528"/>
        <v>22</v>
      </c>
      <c r="C118" s="558">
        <f t="shared" si="529"/>
        <v>0.1</v>
      </c>
      <c r="D118" s="558">
        <f t="shared" si="530"/>
        <v>0.09</v>
      </c>
      <c r="E118" s="558">
        <f t="shared" si="531"/>
        <v>0</v>
      </c>
      <c r="F118" s="798">
        <f t="shared" si="532"/>
        <v>1</v>
      </c>
      <c r="G118" s="558" t="str">
        <f t="shared" si="533"/>
        <v>Lista</v>
      </c>
      <c r="H118" s="558">
        <f t="shared" si="534"/>
        <v>0.09</v>
      </c>
      <c r="I118" s="558">
        <f t="shared" si="535"/>
        <v>0</v>
      </c>
      <c r="J118" s="637" t="e">
        <f t="shared" si="536"/>
        <v>#N/A</v>
      </c>
      <c r="K118" s="558" t="str">
        <f t="shared" si="537"/>
        <v/>
      </c>
      <c r="L118" s="558" t="str">
        <f t="shared" si="538"/>
        <v/>
      </c>
      <c r="M118" s="977" t="s">
        <v>943</v>
      </c>
      <c r="N118" s="326">
        <f>IFERROR(VLOOKUP(M118,VARGAS24,3,FALSE),"")</f>
        <v>184260.44</v>
      </c>
      <c r="O118" s="975">
        <v>1800000</v>
      </c>
      <c r="P118" s="326">
        <f t="shared" si="539"/>
        <v>347654.63</v>
      </c>
      <c r="Q118" s="326">
        <f>IFERROR(VLOOKUP(M118,VARGALIM,3,FALSE),"")</f>
        <v>38330.519999999997</v>
      </c>
      <c r="R118" s="326">
        <f>IFERROR(VLOOKUP(M118,VARFC,3,FALSE),"")</f>
        <v>385985.15</v>
      </c>
      <c r="S118" s="326">
        <f t="shared" si="540"/>
        <v>-1414014.85</v>
      </c>
      <c r="T118" s="137">
        <f t="shared" si="541"/>
        <v>0.21443619444444445</v>
      </c>
      <c r="U118" s="326">
        <f>IFERROR(VLOOKUP(M118,VARGAS24,4,FALSE),"")</f>
        <v>230376.35</v>
      </c>
      <c r="V118" s="975">
        <v>1800000</v>
      </c>
      <c r="W118" s="326">
        <f t="shared" si="542"/>
        <v>235828.79</v>
      </c>
      <c r="X118" s="326">
        <f>IFERROR(VLOOKUP(M118,VARGALIM,4,FALSE),"")</f>
        <v>0</v>
      </c>
      <c r="Y118" s="326">
        <f>IFERROR(VLOOKUP(M118,VARFC,4,FALSE),"")</f>
        <v>235828.79</v>
      </c>
      <c r="Z118" s="326">
        <f t="shared" si="543"/>
        <v>-1564171.21</v>
      </c>
      <c r="AA118" s="137">
        <f t="shared" si="544"/>
        <v>0.13101599444444445</v>
      </c>
      <c r="AB118" s="326">
        <f>IFERROR(VLOOKUP(M118,VARGAS24,5,FALSE),"")</f>
        <v>157070.22</v>
      </c>
      <c r="AC118" s="975">
        <v>1800000</v>
      </c>
      <c r="AD118" s="326">
        <f t="shared" si="545"/>
        <v>348454.84</v>
      </c>
      <c r="AE118" s="326">
        <f t="shared" si="546"/>
        <v>0</v>
      </c>
      <c r="AF118" s="326">
        <f t="shared" si="547"/>
        <v>348454.84</v>
      </c>
      <c r="AG118" s="326">
        <f t="shared" si="548"/>
        <v>-1451545.16</v>
      </c>
      <c r="AH118" s="137">
        <f t="shared" si="549"/>
        <v>0.19358602222222224</v>
      </c>
      <c r="AI118" s="969">
        <f t="shared" si="550"/>
        <v>5400000</v>
      </c>
      <c r="AJ118" s="326">
        <f t="shared" si="551"/>
        <v>1261047.55</v>
      </c>
      <c r="AK118" s="326">
        <f t="shared" ref="AK118:AL118" si="592">SUM(AD118,W118,P118)</f>
        <v>931938.26</v>
      </c>
      <c r="AL118" s="326">
        <f t="shared" si="592"/>
        <v>38330.519999999997</v>
      </c>
      <c r="AM118" s="326">
        <f t="shared" si="553"/>
        <v>1206097.57</v>
      </c>
      <c r="AN118" s="326">
        <f t="shared" si="554"/>
        <v>-54949.979999999981</v>
      </c>
      <c r="AO118" s="970">
        <f t="shared" si="555"/>
        <v>0.95642513242264338</v>
      </c>
      <c r="AP118" s="941">
        <f>IFERROR(VLOOKUP(M118,VARGAS24,6,FALSE),"")</f>
        <v>175071.53</v>
      </c>
      <c r="AQ118" s="326">
        <f t="shared" si="556"/>
        <v>154567.65</v>
      </c>
      <c r="AR118" s="326">
        <f t="shared" si="557"/>
        <v>0</v>
      </c>
      <c r="AS118" s="326">
        <f t="shared" si="558"/>
        <v>154567.65</v>
      </c>
      <c r="AT118" s="941">
        <f>IFERROR(VLOOKUP(M118,VARGAS24,7,FALSE),"")</f>
        <v>292671.40999999997</v>
      </c>
      <c r="AU118" s="326">
        <f t="shared" si="559"/>
        <v>174458.87</v>
      </c>
      <c r="AV118" s="326">
        <f t="shared" si="560"/>
        <v>0</v>
      </c>
      <c r="AW118" s="326">
        <f t="shared" si="561"/>
        <v>174458.87</v>
      </c>
      <c r="AX118" s="941">
        <f>IFERROR(VLOOKUP(M118,VARGAS24,8,FALSE),"")</f>
        <v>167378.26</v>
      </c>
      <c r="AY118" s="326">
        <f t="shared" si="562"/>
        <v>95398.53</v>
      </c>
      <c r="AZ118" s="326">
        <f t="shared" si="563"/>
        <v>0</v>
      </c>
      <c r="BA118" s="326">
        <f t="shared" si="564"/>
        <v>95398.53</v>
      </c>
      <c r="BB118" s="326">
        <f t="shared" si="565"/>
        <v>424425.05000000005</v>
      </c>
      <c r="BC118" s="326">
        <f t="shared" si="566"/>
        <v>0</v>
      </c>
      <c r="BD118" s="326">
        <f t="shared" si="567"/>
        <v>424425.05000000005</v>
      </c>
      <c r="BE118" s="326">
        <f t="shared" si="568"/>
        <v>1356363.31</v>
      </c>
      <c r="BF118" s="326">
        <f t="shared" ref="BF118:BG118" si="593">SUM(BC118,AL118)</f>
        <v>38330.519999999997</v>
      </c>
      <c r="BG118" s="326">
        <f t="shared" si="593"/>
        <v>1630522.62</v>
      </c>
      <c r="BH118" s="941">
        <f>IFERROR(VLOOKUP(M118,VARGAS24,9,FALSE),"")</f>
        <v>204512.55</v>
      </c>
      <c r="BI118" s="326">
        <f t="shared" si="570"/>
        <v>258185.39999999997</v>
      </c>
      <c r="BJ118" s="326">
        <f t="shared" si="571"/>
        <v>23006.14</v>
      </c>
      <c r="BK118" s="326">
        <f t="shared" si="572"/>
        <v>281191.53999999998</v>
      </c>
      <c r="BL118" s="971">
        <f>IFERROR(VLOOKUP(M118,VARGAS24,10,FALSE),"")</f>
        <v>132042.57999999999</v>
      </c>
      <c r="BM118" s="140">
        <f t="shared" si="573"/>
        <v>173899.32</v>
      </c>
      <c r="BN118" s="326">
        <f t="shared" si="574"/>
        <v>23006.14</v>
      </c>
      <c r="BO118" s="333">
        <f t="shared" si="575"/>
        <v>196905.46</v>
      </c>
      <c r="BP118" s="123">
        <f>IFERROR(VLOOKUP(M118,VARGAS24,11,FALSE),"")</f>
        <v>335683.77</v>
      </c>
      <c r="BQ118" s="326">
        <f t="shared" si="576"/>
        <v>37095.82</v>
      </c>
      <c r="BR118" s="326">
        <f t="shared" si="577"/>
        <v>0</v>
      </c>
      <c r="BS118" s="332">
        <f t="shared" si="578"/>
        <v>37095.82</v>
      </c>
      <c r="BT118" s="140">
        <f t="shared" ref="BT118:BV118" si="594">SUM(BQ118,BM118,BI118)</f>
        <v>469180.54</v>
      </c>
      <c r="BU118" s="326">
        <f t="shared" si="594"/>
        <v>46012.28</v>
      </c>
      <c r="BV118" s="333">
        <f t="shared" si="594"/>
        <v>515192.81999999995</v>
      </c>
      <c r="BW118" s="939">
        <f>IFERROR(VLOOKUP(M118,VARGAS24,12,FALSE),"")</f>
        <v>311140.09999999998</v>
      </c>
      <c r="BX118" s="326">
        <f t="shared" si="580"/>
        <v>0</v>
      </c>
      <c r="BY118" s="326">
        <f t="shared" si="581"/>
        <v>0</v>
      </c>
      <c r="BZ118" s="333">
        <f t="shared" si="582"/>
        <v>0</v>
      </c>
      <c r="CA118" s="939">
        <f>IFERROR(VLOOKUP(M118,VARGAS24,13,FALSE),"")</f>
        <v>523402.44</v>
      </c>
      <c r="CB118" s="941">
        <f>IFERROR(VLOOKUP(M118,VARGAS24,14,FALSE),"")</f>
        <v>426505.02</v>
      </c>
    </row>
    <row r="119" spans="1:80" ht="13">
      <c r="A119" s="323" t="e">
        <f t="shared" si="527"/>
        <v>#N/A</v>
      </c>
      <c r="B119" s="324">
        <f t="shared" si="528"/>
        <v>7</v>
      </c>
      <c r="C119" s="558">
        <f t="shared" si="529"/>
        <v>0.1</v>
      </c>
      <c r="D119" s="558">
        <f t="shared" si="530"/>
        <v>0.2</v>
      </c>
      <c r="E119" s="558">
        <f t="shared" si="531"/>
        <v>0</v>
      </c>
      <c r="F119" s="798">
        <f t="shared" si="532"/>
        <v>4</v>
      </c>
      <c r="G119" s="558" t="str">
        <f t="shared" si="533"/>
        <v>Lista</v>
      </c>
      <c r="H119" s="558">
        <f t="shared" si="534"/>
        <v>0.2</v>
      </c>
      <c r="I119" s="558">
        <f t="shared" si="535"/>
        <v>0</v>
      </c>
      <c r="J119" s="637" t="e">
        <f t="shared" si="536"/>
        <v>#N/A</v>
      </c>
      <c r="K119" s="558" t="str">
        <f t="shared" si="537"/>
        <v/>
      </c>
      <c r="L119" s="558" t="str">
        <f t="shared" si="538"/>
        <v/>
      </c>
      <c r="M119" s="977" t="s">
        <v>944</v>
      </c>
      <c r="N119" s="326"/>
      <c r="O119" s="326"/>
      <c r="P119" s="326"/>
      <c r="Q119" s="326"/>
      <c r="R119" s="326"/>
      <c r="S119" s="326"/>
      <c r="T119" s="137"/>
      <c r="U119" s="326"/>
      <c r="V119" s="326"/>
      <c r="W119" s="326"/>
      <c r="X119" s="326"/>
      <c r="Y119" s="326"/>
      <c r="Z119" s="326"/>
      <c r="AA119" s="137"/>
      <c r="AB119" s="326"/>
      <c r="AC119" s="326">
        <f t="shared" ref="AC119:AC124" si="595">(AB119*1.5955)*1.05</f>
        <v>0</v>
      </c>
      <c r="AD119" s="326">
        <f t="shared" si="545"/>
        <v>17527.61</v>
      </c>
      <c r="AE119" s="326">
        <f t="shared" si="546"/>
        <v>0</v>
      </c>
      <c r="AF119" s="326">
        <f t="shared" si="547"/>
        <v>17527.61</v>
      </c>
      <c r="AG119" s="326">
        <f t="shared" si="548"/>
        <v>17527.61</v>
      </c>
      <c r="AH119" s="137" t="str">
        <f t="shared" si="549"/>
        <v/>
      </c>
      <c r="AI119" s="969">
        <f t="shared" si="550"/>
        <v>0</v>
      </c>
      <c r="AJ119" s="326" t="str">
        <f t="shared" si="551"/>
        <v/>
      </c>
      <c r="AK119" s="326">
        <f t="shared" ref="AK119:AL119" si="596">SUM(AD119,W119,P119)</f>
        <v>17527.61</v>
      </c>
      <c r="AL119" s="326">
        <f t="shared" si="596"/>
        <v>0</v>
      </c>
      <c r="AM119" s="326">
        <f t="shared" si="553"/>
        <v>17527.61</v>
      </c>
      <c r="AN119" s="326" t="e">
        <f t="shared" si="554"/>
        <v>#VALUE!</v>
      </c>
      <c r="AO119" s="970" t="str">
        <f t="shared" si="555"/>
        <v/>
      </c>
      <c r="AP119" s="941"/>
      <c r="AQ119" s="326">
        <f t="shared" si="556"/>
        <v>7439</v>
      </c>
      <c r="AR119" s="326">
        <f t="shared" si="557"/>
        <v>0</v>
      </c>
      <c r="AS119" s="326">
        <f t="shared" si="558"/>
        <v>7439</v>
      </c>
      <c r="AT119" s="941"/>
      <c r="AU119" s="326">
        <f t="shared" si="559"/>
        <v>22056.95</v>
      </c>
      <c r="AV119" s="326">
        <f t="shared" si="560"/>
        <v>0</v>
      </c>
      <c r="AW119" s="326">
        <f t="shared" si="561"/>
        <v>22056.95</v>
      </c>
      <c r="AX119" s="941"/>
      <c r="AY119" s="326">
        <f t="shared" si="562"/>
        <v>0</v>
      </c>
      <c r="AZ119" s="326">
        <f t="shared" si="563"/>
        <v>0</v>
      </c>
      <c r="BA119" s="326">
        <f t="shared" si="564"/>
        <v>0</v>
      </c>
      <c r="BB119" s="326">
        <f t="shared" si="565"/>
        <v>29495.95</v>
      </c>
      <c r="BC119" s="326">
        <f t="shared" si="566"/>
        <v>0</v>
      </c>
      <c r="BD119" s="326">
        <f t="shared" si="567"/>
        <v>29495.95</v>
      </c>
      <c r="BE119" s="326">
        <f t="shared" si="568"/>
        <v>47023.56</v>
      </c>
      <c r="BF119" s="326">
        <f t="shared" ref="BF119:BG119" si="597">SUM(BC119,AL119)</f>
        <v>0</v>
      </c>
      <c r="BG119" s="326">
        <f t="shared" si="597"/>
        <v>47023.56</v>
      </c>
      <c r="BH119" s="941"/>
      <c r="BI119" s="326">
        <f t="shared" si="570"/>
        <v>261284.68999999997</v>
      </c>
      <c r="BJ119" s="326">
        <f t="shared" si="571"/>
        <v>44494.16</v>
      </c>
      <c r="BK119" s="326">
        <f t="shared" si="572"/>
        <v>305778.84999999998</v>
      </c>
      <c r="BL119" s="971"/>
      <c r="BM119" s="140">
        <f t="shared" si="573"/>
        <v>205828.27999999997</v>
      </c>
      <c r="BN119" s="326">
        <f t="shared" si="574"/>
        <v>414741.69</v>
      </c>
      <c r="BO119" s="333">
        <f t="shared" si="575"/>
        <v>620569.97</v>
      </c>
      <c r="BP119" s="123"/>
      <c r="BQ119" s="326">
        <f t="shared" si="576"/>
        <v>14890.399999999994</v>
      </c>
      <c r="BR119" s="326">
        <f t="shared" si="577"/>
        <v>235581.6</v>
      </c>
      <c r="BS119" s="332">
        <f t="shared" si="578"/>
        <v>250472</v>
      </c>
      <c r="BT119" s="140">
        <f t="shared" ref="BT119:BV119" si="598">SUM(BQ119,BM119,BI119)</f>
        <v>482003.36999999994</v>
      </c>
      <c r="BU119" s="326">
        <f t="shared" si="598"/>
        <v>694817.45000000007</v>
      </c>
      <c r="BV119" s="333">
        <f t="shared" si="598"/>
        <v>1176820.8199999998</v>
      </c>
      <c r="BW119" s="939"/>
      <c r="BX119" s="326">
        <f t="shared" si="580"/>
        <v>29215.050000000003</v>
      </c>
      <c r="BY119" s="326">
        <f t="shared" si="581"/>
        <v>40384.050000000003</v>
      </c>
      <c r="BZ119" s="333">
        <f t="shared" si="582"/>
        <v>69599.100000000006</v>
      </c>
      <c r="CA119" s="939"/>
      <c r="CB119" s="941"/>
    </row>
    <row r="120" spans="1:80" ht="13">
      <c r="A120" s="323" t="e">
        <f t="shared" si="527"/>
        <v>#N/A</v>
      </c>
      <c r="B120" s="324">
        <f t="shared" si="528"/>
        <v>7</v>
      </c>
      <c r="C120" s="558">
        <f t="shared" si="529"/>
        <v>0.1</v>
      </c>
      <c r="D120" s="558">
        <f t="shared" si="530"/>
        <v>0.2</v>
      </c>
      <c r="E120" s="558">
        <f t="shared" si="531"/>
        <v>0</v>
      </c>
      <c r="F120" s="798">
        <f t="shared" si="532"/>
        <v>1</v>
      </c>
      <c r="G120" s="558" t="str">
        <f t="shared" si="533"/>
        <v>Lista</v>
      </c>
      <c r="H120" s="558">
        <f t="shared" si="534"/>
        <v>0.2</v>
      </c>
      <c r="I120" s="558">
        <f t="shared" si="535"/>
        <v>0</v>
      </c>
      <c r="J120" s="637" t="e">
        <f t="shared" si="536"/>
        <v>#N/A</v>
      </c>
      <c r="K120" s="558" t="str">
        <f t="shared" si="537"/>
        <v/>
      </c>
      <c r="L120" s="558" t="str">
        <f t="shared" si="538"/>
        <v/>
      </c>
      <c r="M120" s="977" t="s">
        <v>945</v>
      </c>
      <c r="N120" s="326"/>
      <c r="O120" s="326"/>
      <c r="P120" s="326">
        <f t="shared" ref="P120:P163" si="599">R120-Q120</f>
        <v>0</v>
      </c>
      <c r="Q120" s="326">
        <f t="shared" ref="Q120:Q163" si="600">IFERROR(VLOOKUP(M120,VARGALIM,3,FALSE),"")</f>
        <v>0</v>
      </c>
      <c r="R120" s="326">
        <f t="shared" ref="R120:R163" si="601">IFERROR(VLOOKUP(M120,VARFC,3,FALSE),"")</f>
        <v>0</v>
      </c>
      <c r="S120" s="326">
        <f t="shared" ref="S120:S163" si="602">R120-O120</f>
        <v>0</v>
      </c>
      <c r="T120" s="137" t="str">
        <f t="shared" ref="T120:T163" si="603">IFERROR(R120/O120,"")</f>
        <v/>
      </c>
      <c r="U120" s="326" t="str">
        <f t="shared" ref="U120:U163" si="604">IFERROR(VLOOKUP(M120,VARGAS24,4,FALSE),"")</f>
        <v/>
      </c>
      <c r="V120" s="326" t="e">
        <f t="shared" ref="V120:V123" si="605">(U120*1.7245)*1.05</f>
        <v>#VALUE!</v>
      </c>
      <c r="W120" s="326">
        <f t="shared" ref="W120:W163" si="606">Y120-X120</f>
        <v>0</v>
      </c>
      <c r="X120" s="326">
        <f t="shared" ref="X120:X163" si="607">IFERROR(VLOOKUP(M120,VARGALIM,4,FALSE),"")</f>
        <v>0</v>
      </c>
      <c r="Y120" s="326">
        <f t="shared" ref="Y120:Y163" si="608">IFERROR(VLOOKUP(M120,VARFC,4,FALSE),"")</f>
        <v>0</v>
      </c>
      <c r="Z120" s="326" t="e">
        <f t="shared" ref="Z120:Z163" si="609">Y120-V120</f>
        <v>#VALUE!</v>
      </c>
      <c r="AA120" s="137" t="str">
        <f t="shared" ref="AA120:AA130" si="610">IFERROR(Y120/V120,"")</f>
        <v/>
      </c>
      <c r="AB120" s="326" t="str">
        <f t="shared" ref="AB120:AB163" si="611">IFERROR(VLOOKUP(M120,VARGAS24,5,FALSE),"")</f>
        <v/>
      </c>
      <c r="AC120" s="326" t="e">
        <f t="shared" si="595"/>
        <v>#VALUE!</v>
      </c>
      <c r="AD120" s="326">
        <f t="shared" si="545"/>
        <v>0</v>
      </c>
      <c r="AE120" s="326">
        <f t="shared" si="546"/>
        <v>0</v>
      </c>
      <c r="AF120" s="326">
        <f t="shared" si="547"/>
        <v>0</v>
      </c>
      <c r="AG120" s="326" t="e">
        <f t="shared" si="548"/>
        <v>#VALUE!</v>
      </c>
      <c r="AH120" s="137" t="str">
        <f t="shared" si="549"/>
        <v/>
      </c>
      <c r="AI120" s="969" t="e">
        <f t="shared" si="550"/>
        <v>#VALUE!</v>
      </c>
      <c r="AJ120" s="326" t="str">
        <f t="shared" si="551"/>
        <v/>
      </c>
      <c r="AK120" s="326">
        <f t="shared" ref="AK120:AL120" si="612">SUM(AD120,W120,P120)</f>
        <v>0</v>
      </c>
      <c r="AL120" s="326">
        <f t="shared" si="612"/>
        <v>0</v>
      </c>
      <c r="AM120" s="326">
        <f t="shared" si="553"/>
        <v>0</v>
      </c>
      <c r="AN120" s="326" t="e">
        <f t="shared" si="554"/>
        <v>#VALUE!</v>
      </c>
      <c r="AO120" s="970" t="str">
        <f t="shared" si="555"/>
        <v/>
      </c>
      <c r="AP120" s="941" t="str">
        <f t="shared" ref="AP120:AP163" si="613">IFERROR(VLOOKUP(M120,VARGAS24,6,FALSE),"")</f>
        <v/>
      </c>
      <c r="AQ120" s="326">
        <f t="shared" si="556"/>
        <v>0</v>
      </c>
      <c r="AR120" s="326">
        <f t="shared" si="557"/>
        <v>0</v>
      </c>
      <c r="AS120" s="326">
        <f t="shared" si="558"/>
        <v>0</v>
      </c>
      <c r="AT120" s="941" t="str">
        <f t="shared" ref="AT120:AT163" si="614">IFERROR(VLOOKUP(M120,VARGAS24,7,FALSE),"")</f>
        <v/>
      </c>
      <c r="AU120" s="326">
        <f t="shared" si="559"/>
        <v>0</v>
      </c>
      <c r="AV120" s="326">
        <f t="shared" si="560"/>
        <v>0</v>
      </c>
      <c r="AW120" s="326">
        <f t="shared" si="561"/>
        <v>0</v>
      </c>
      <c r="AX120" s="941" t="str">
        <f t="shared" ref="AX120:AX152" si="615">IFERROR(VLOOKUP(M120,VARGAS24,8,FALSE),"")</f>
        <v/>
      </c>
      <c r="AY120" s="326">
        <f t="shared" si="562"/>
        <v>0</v>
      </c>
      <c r="AZ120" s="326">
        <f t="shared" si="563"/>
        <v>0</v>
      </c>
      <c r="BA120" s="326">
        <f t="shared" si="564"/>
        <v>0</v>
      </c>
      <c r="BB120" s="326">
        <f t="shared" si="565"/>
        <v>0</v>
      </c>
      <c r="BC120" s="326">
        <f t="shared" si="566"/>
        <v>0</v>
      </c>
      <c r="BD120" s="326">
        <f t="shared" si="567"/>
        <v>0</v>
      </c>
      <c r="BE120" s="326">
        <f t="shared" si="568"/>
        <v>0</v>
      </c>
      <c r="BF120" s="326">
        <f t="shared" ref="BF120:BG120" si="616">SUM(BC120,AL120)</f>
        <v>0</v>
      </c>
      <c r="BG120" s="326">
        <f t="shared" si="616"/>
        <v>0</v>
      </c>
      <c r="BH120" s="941" t="str">
        <f t="shared" ref="BH120:BH152" si="617">IFERROR(VLOOKUP(M120,VARGAS24,9,FALSE),"")</f>
        <v/>
      </c>
      <c r="BI120" s="326">
        <f t="shared" si="570"/>
        <v>0</v>
      </c>
      <c r="BJ120" s="326">
        <f t="shared" si="571"/>
        <v>21235.759999999998</v>
      </c>
      <c r="BK120" s="326">
        <f t="shared" si="572"/>
        <v>21235.759999999998</v>
      </c>
      <c r="BL120" s="971" t="str">
        <f t="shared" ref="BL120:BL152" si="618">IFERROR(VLOOKUP(M120,VARGAS24,10,FALSE),"")</f>
        <v/>
      </c>
      <c r="BM120" s="140">
        <f t="shared" si="573"/>
        <v>41375.270000000004</v>
      </c>
      <c r="BN120" s="326">
        <f t="shared" si="574"/>
        <v>39191.360000000001</v>
      </c>
      <c r="BO120" s="333">
        <f t="shared" si="575"/>
        <v>80566.63</v>
      </c>
      <c r="BP120" s="123" t="str">
        <f t="shared" ref="BP120:BP152" si="619">IFERROR(VLOOKUP(M120,VARGAS24,11,FALSE),"")</f>
        <v/>
      </c>
      <c r="BQ120" s="326">
        <f t="shared" si="576"/>
        <v>0</v>
      </c>
      <c r="BR120" s="326">
        <f t="shared" si="577"/>
        <v>48098.94</v>
      </c>
      <c r="BS120" s="332">
        <f t="shared" si="578"/>
        <v>48098.94</v>
      </c>
      <c r="BT120" s="140">
        <f t="shared" ref="BT120:BV120" si="620">SUM(BQ120,BM120,BI120)</f>
        <v>41375.270000000004</v>
      </c>
      <c r="BU120" s="326">
        <f t="shared" si="620"/>
        <v>108526.06</v>
      </c>
      <c r="BV120" s="333">
        <f t="shared" si="620"/>
        <v>149901.33000000002</v>
      </c>
      <c r="BW120" s="939" t="str">
        <f t="shared" ref="BW120:BW152" si="621">IFERROR(VLOOKUP(M120,VARGAS24,12,FALSE),"")</f>
        <v/>
      </c>
      <c r="BX120" s="326">
        <f t="shared" si="580"/>
        <v>29525.47</v>
      </c>
      <c r="BY120" s="326">
        <f t="shared" si="581"/>
        <v>0</v>
      </c>
      <c r="BZ120" s="333">
        <f t="shared" si="582"/>
        <v>29525.47</v>
      </c>
      <c r="CA120" s="939" t="str">
        <f t="shared" ref="CA120:CA152" si="622">IFERROR(VLOOKUP(M120,VARGAS24,13,FALSE),"")</f>
        <v/>
      </c>
      <c r="CB120" s="941" t="str">
        <f t="shared" ref="CB120:CB152" si="623">IFERROR(VLOOKUP(M120,VARGAS24,14,FALSE),"")</f>
        <v/>
      </c>
    </row>
    <row r="121" spans="1:80" ht="13">
      <c r="A121" s="323" t="e">
        <f t="shared" si="527"/>
        <v>#N/A</v>
      </c>
      <c r="B121" s="324">
        <f t="shared" si="528"/>
        <v>7</v>
      </c>
      <c r="C121" s="558">
        <f t="shared" si="529"/>
        <v>0.1</v>
      </c>
      <c r="D121" s="558">
        <f t="shared" si="530"/>
        <v>0.2</v>
      </c>
      <c r="E121" s="558">
        <f t="shared" si="531"/>
        <v>0</v>
      </c>
      <c r="F121" s="798">
        <f t="shared" si="532"/>
        <v>4</v>
      </c>
      <c r="G121" s="558" t="str">
        <f t="shared" si="533"/>
        <v>Lista</v>
      </c>
      <c r="H121" s="558">
        <f t="shared" si="534"/>
        <v>0.2</v>
      </c>
      <c r="I121" s="558">
        <f t="shared" si="535"/>
        <v>0</v>
      </c>
      <c r="J121" s="637" t="e">
        <f t="shared" si="536"/>
        <v>#N/A</v>
      </c>
      <c r="K121" s="558" t="str">
        <f t="shared" si="537"/>
        <v/>
      </c>
      <c r="L121" s="558" t="str">
        <f t="shared" si="538"/>
        <v/>
      </c>
      <c r="M121" s="977" t="s">
        <v>946</v>
      </c>
      <c r="N121" s="326"/>
      <c r="O121" s="326"/>
      <c r="P121" s="326">
        <f t="shared" si="599"/>
        <v>0</v>
      </c>
      <c r="Q121" s="326">
        <f t="shared" si="600"/>
        <v>0</v>
      </c>
      <c r="R121" s="326">
        <f t="shared" si="601"/>
        <v>0</v>
      </c>
      <c r="S121" s="326">
        <f t="shared" si="602"/>
        <v>0</v>
      </c>
      <c r="T121" s="137" t="str">
        <f t="shared" si="603"/>
        <v/>
      </c>
      <c r="U121" s="326" t="str">
        <f t="shared" si="604"/>
        <v/>
      </c>
      <c r="V121" s="326" t="e">
        <f t="shared" si="605"/>
        <v>#VALUE!</v>
      </c>
      <c r="W121" s="326">
        <f t="shared" si="606"/>
        <v>0</v>
      </c>
      <c r="X121" s="326">
        <f t="shared" si="607"/>
        <v>0</v>
      </c>
      <c r="Y121" s="326">
        <f t="shared" si="608"/>
        <v>0</v>
      </c>
      <c r="Z121" s="326" t="e">
        <f t="shared" si="609"/>
        <v>#VALUE!</v>
      </c>
      <c r="AA121" s="137" t="str">
        <f t="shared" si="610"/>
        <v/>
      </c>
      <c r="AB121" s="326" t="str">
        <f t="shared" si="611"/>
        <v/>
      </c>
      <c r="AC121" s="326" t="e">
        <f t="shared" si="595"/>
        <v>#VALUE!</v>
      </c>
      <c r="AD121" s="326">
        <f t="shared" si="545"/>
        <v>0</v>
      </c>
      <c r="AE121" s="326">
        <f t="shared" si="546"/>
        <v>0</v>
      </c>
      <c r="AF121" s="326">
        <f t="shared" si="547"/>
        <v>0</v>
      </c>
      <c r="AG121" s="326" t="e">
        <f t="shared" si="548"/>
        <v>#VALUE!</v>
      </c>
      <c r="AH121" s="137" t="str">
        <f t="shared" si="549"/>
        <v/>
      </c>
      <c r="AI121" s="969" t="e">
        <f t="shared" si="550"/>
        <v>#VALUE!</v>
      </c>
      <c r="AJ121" s="326" t="str">
        <f t="shared" si="551"/>
        <v/>
      </c>
      <c r="AK121" s="326">
        <f t="shared" ref="AK121:AL121" si="624">SUM(AD121,W121,P121)</f>
        <v>0</v>
      </c>
      <c r="AL121" s="326">
        <f t="shared" si="624"/>
        <v>0</v>
      </c>
      <c r="AM121" s="326">
        <f t="shared" si="553"/>
        <v>0</v>
      </c>
      <c r="AN121" s="326" t="e">
        <f t="shared" si="554"/>
        <v>#VALUE!</v>
      </c>
      <c r="AO121" s="970" t="str">
        <f t="shared" si="555"/>
        <v/>
      </c>
      <c r="AP121" s="941" t="str">
        <f t="shared" si="613"/>
        <v/>
      </c>
      <c r="AQ121" s="326">
        <f t="shared" si="556"/>
        <v>0</v>
      </c>
      <c r="AR121" s="326">
        <f t="shared" si="557"/>
        <v>0</v>
      </c>
      <c r="AS121" s="326">
        <f t="shared" si="558"/>
        <v>0</v>
      </c>
      <c r="AT121" s="941" t="str">
        <f t="shared" si="614"/>
        <v/>
      </c>
      <c r="AU121" s="326">
        <f t="shared" si="559"/>
        <v>0</v>
      </c>
      <c r="AV121" s="326">
        <f t="shared" si="560"/>
        <v>110210.24000000001</v>
      </c>
      <c r="AW121" s="326">
        <f t="shared" si="561"/>
        <v>110210.24000000001</v>
      </c>
      <c r="AX121" s="941" t="str">
        <f t="shared" si="615"/>
        <v/>
      </c>
      <c r="AY121" s="326">
        <f t="shared" si="562"/>
        <v>0</v>
      </c>
      <c r="AZ121" s="326">
        <f t="shared" si="563"/>
        <v>0</v>
      </c>
      <c r="BA121" s="326">
        <f t="shared" si="564"/>
        <v>0</v>
      </c>
      <c r="BB121" s="326">
        <f t="shared" si="565"/>
        <v>0</v>
      </c>
      <c r="BC121" s="326">
        <f t="shared" si="566"/>
        <v>110210.24000000001</v>
      </c>
      <c r="BD121" s="326">
        <f t="shared" si="567"/>
        <v>110210.24000000001</v>
      </c>
      <c r="BE121" s="326">
        <f t="shared" si="568"/>
        <v>0</v>
      </c>
      <c r="BF121" s="326">
        <f t="shared" ref="BF121:BG121" si="625">SUM(BC121,AL121)</f>
        <v>110210.24000000001</v>
      </c>
      <c r="BG121" s="326">
        <f t="shared" si="625"/>
        <v>110210.24000000001</v>
      </c>
      <c r="BH121" s="941" t="str">
        <f t="shared" si="617"/>
        <v/>
      </c>
      <c r="BI121" s="326">
        <f t="shared" si="570"/>
        <v>0</v>
      </c>
      <c r="BJ121" s="326">
        <f t="shared" si="571"/>
        <v>0</v>
      </c>
      <c r="BK121" s="326">
        <f t="shared" si="572"/>
        <v>0</v>
      </c>
      <c r="BL121" s="971" t="str">
        <f t="shared" si="618"/>
        <v/>
      </c>
      <c r="BM121" s="140">
        <f t="shared" si="573"/>
        <v>0</v>
      </c>
      <c r="BN121" s="326">
        <f t="shared" si="574"/>
        <v>144746.44</v>
      </c>
      <c r="BO121" s="333">
        <f t="shared" si="575"/>
        <v>144746.44</v>
      </c>
      <c r="BP121" s="123" t="str">
        <f t="shared" si="619"/>
        <v/>
      </c>
      <c r="BQ121" s="326">
        <f t="shared" si="576"/>
        <v>0</v>
      </c>
      <c r="BR121" s="326">
        <f t="shared" si="577"/>
        <v>0</v>
      </c>
      <c r="BS121" s="332">
        <f t="shared" si="578"/>
        <v>0</v>
      </c>
      <c r="BT121" s="140">
        <f t="shared" ref="BT121:BV121" si="626">SUM(BQ121,BM121,BI121)</f>
        <v>0</v>
      </c>
      <c r="BU121" s="326">
        <f t="shared" si="626"/>
        <v>144746.44</v>
      </c>
      <c r="BV121" s="333">
        <f t="shared" si="626"/>
        <v>144746.44</v>
      </c>
      <c r="BW121" s="939" t="str">
        <f t="shared" si="621"/>
        <v/>
      </c>
      <c r="BX121" s="326">
        <f t="shared" si="580"/>
        <v>0</v>
      </c>
      <c r="BY121" s="326">
        <f t="shared" si="581"/>
        <v>0</v>
      </c>
      <c r="BZ121" s="333">
        <f t="shared" si="582"/>
        <v>0</v>
      </c>
      <c r="CA121" s="939" t="str">
        <f t="shared" si="622"/>
        <v/>
      </c>
      <c r="CB121" s="941" t="str">
        <f t="shared" si="623"/>
        <v/>
      </c>
    </row>
    <row r="122" spans="1:80" ht="13">
      <c r="A122" s="323" t="e">
        <f t="shared" si="527"/>
        <v>#N/A</v>
      </c>
      <c r="B122" s="324">
        <f t="shared" si="528"/>
        <v>7</v>
      </c>
      <c r="C122" s="558">
        <f t="shared" si="529"/>
        <v>0.1</v>
      </c>
      <c r="D122" s="558">
        <f t="shared" si="530"/>
        <v>0.2</v>
      </c>
      <c r="E122" s="558">
        <f t="shared" si="531"/>
        <v>0</v>
      </c>
      <c r="F122" s="798">
        <f t="shared" si="532"/>
        <v>4</v>
      </c>
      <c r="G122" s="558" t="str">
        <f t="shared" si="533"/>
        <v>Lista</v>
      </c>
      <c r="H122" s="558">
        <f t="shared" si="534"/>
        <v>0.2</v>
      </c>
      <c r="I122" s="558">
        <f t="shared" si="535"/>
        <v>0</v>
      </c>
      <c r="J122" s="637" t="e">
        <f t="shared" si="536"/>
        <v>#N/A</v>
      </c>
      <c r="K122" s="558" t="str">
        <f t="shared" si="537"/>
        <v/>
      </c>
      <c r="L122" s="558" t="str">
        <f t="shared" si="538"/>
        <v/>
      </c>
      <c r="M122" s="977" t="s">
        <v>947</v>
      </c>
      <c r="N122" s="326">
        <f>IFERROR(VLOOKUP(M122,VARGAS24,3,FALSE),"")</f>
        <v>139983.79</v>
      </c>
      <c r="O122" s="326">
        <f>(N122*1.601)*1.05</f>
        <v>235319.75017950003</v>
      </c>
      <c r="P122" s="326">
        <f t="shared" si="599"/>
        <v>54021.020000000019</v>
      </c>
      <c r="Q122" s="326">
        <f t="shared" si="600"/>
        <v>781566.53</v>
      </c>
      <c r="R122" s="326">
        <f t="shared" si="601"/>
        <v>835587.55</v>
      </c>
      <c r="S122" s="326">
        <f t="shared" si="602"/>
        <v>600267.79982049996</v>
      </c>
      <c r="T122" s="137">
        <f t="shared" si="603"/>
        <v>3.5508602629512418</v>
      </c>
      <c r="U122" s="326">
        <f t="shared" si="604"/>
        <v>1245772.72</v>
      </c>
      <c r="V122" s="326">
        <f t="shared" si="605"/>
        <v>2255751.8084220001</v>
      </c>
      <c r="W122" s="326">
        <f t="shared" si="606"/>
        <v>0</v>
      </c>
      <c r="X122" s="326">
        <f t="shared" si="607"/>
        <v>574575.76</v>
      </c>
      <c r="Y122" s="326">
        <f t="shared" si="608"/>
        <v>574575.76</v>
      </c>
      <c r="Z122" s="326">
        <f t="shared" si="609"/>
        <v>-1681176.0484220001</v>
      </c>
      <c r="AA122" s="137">
        <f t="shared" si="610"/>
        <v>0.25471585918928802</v>
      </c>
      <c r="AB122" s="326">
        <f t="shared" si="611"/>
        <v>136044.4</v>
      </c>
      <c r="AC122" s="326">
        <f t="shared" si="595"/>
        <v>227911.78220999998</v>
      </c>
      <c r="AD122" s="326">
        <f t="shared" si="545"/>
        <v>9459.6699999999837</v>
      </c>
      <c r="AE122" s="326">
        <f t="shared" si="546"/>
        <v>432860.32</v>
      </c>
      <c r="AF122" s="326">
        <f t="shared" si="547"/>
        <v>442319.99</v>
      </c>
      <c r="AG122" s="326">
        <f t="shared" si="548"/>
        <v>214408.20779000001</v>
      </c>
      <c r="AH122" s="137">
        <f t="shared" si="549"/>
        <v>1.940750871723</v>
      </c>
      <c r="AI122" s="969">
        <f t="shared" si="550"/>
        <v>2718983.3408114999</v>
      </c>
      <c r="AJ122" s="326">
        <f t="shared" si="551"/>
        <v>1540040.29</v>
      </c>
      <c r="AK122" s="326">
        <f t="shared" ref="AK122:AL122" si="627">SUM(AD122,W122,P122)</f>
        <v>63480.69</v>
      </c>
      <c r="AL122" s="326">
        <f t="shared" si="627"/>
        <v>1789002.61</v>
      </c>
      <c r="AM122" s="326">
        <f t="shared" si="553"/>
        <v>2427059.06</v>
      </c>
      <c r="AN122" s="326">
        <f t="shared" si="554"/>
        <v>887018.77</v>
      </c>
      <c r="AO122" s="970">
        <f t="shared" si="555"/>
        <v>1.575971145534121</v>
      </c>
      <c r="AP122" s="941">
        <f t="shared" si="613"/>
        <v>322361.74</v>
      </c>
      <c r="AQ122" s="326">
        <f t="shared" si="556"/>
        <v>8264.4399999999441</v>
      </c>
      <c r="AR122" s="326">
        <f t="shared" si="557"/>
        <v>448405.28</v>
      </c>
      <c r="AS122" s="326">
        <f t="shared" si="558"/>
        <v>456669.72</v>
      </c>
      <c r="AT122" s="941">
        <f t="shared" si="614"/>
        <v>756108.1</v>
      </c>
      <c r="AU122" s="326">
        <f t="shared" si="559"/>
        <v>0</v>
      </c>
      <c r="AV122" s="326">
        <f t="shared" si="560"/>
        <v>386491.48</v>
      </c>
      <c r="AW122" s="326">
        <f t="shared" si="561"/>
        <v>386491.48</v>
      </c>
      <c r="AX122" s="941">
        <f t="shared" si="615"/>
        <v>583681.74</v>
      </c>
      <c r="AY122" s="326">
        <f t="shared" si="562"/>
        <v>0</v>
      </c>
      <c r="AZ122" s="326">
        <f t="shared" si="563"/>
        <v>547849.92000000004</v>
      </c>
      <c r="BA122" s="326">
        <f t="shared" si="564"/>
        <v>547849.92000000004</v>
      </c>
      <c r="BB122" s="326">
        <f t="shared" si="565"/>
        <v>8264.4399999999441</v>
      </c>
      <c r="BC122" s="326">
        <f t="shared" si="566"/>
        <v>1382746.6800000002</v>
      </c>
      <c r="BD122" s="326">
        <f t="shared" si="567"/>
        <v>1391011.12</v>
      </c>
      <c r="BE122" s="326">
        <f t="shared" si="568"/>
        <v>71745.129999999946</v>
      </c>
      <c r="BF122" s="326">
        <f t="shared" ref="BF122:BG122" si="628">SUM(BC122,AL122)</f>
        <v>3171749.29</v>
      </c>
      <c r="BG122" s="326">
        <f t="shared" si="628"/>
        <v>3818070.18</v>
      </c>
      <c r="BH122" s="941">
        <f t="shared" si="617"/>
        <v>440096.58</v>
      </c>
      <c r="BI122" s="326">
        <f t="shared" si="570"/>
        <v>78733.800000000047</v>
      </c>
      <c r="BJ122" s="326">
        <f t="shared" si="571"/>
        <v>402946.72</v>
      </c>
      <c r="BK122" s="326">
        <f t="shared" si="572"/>
        <v>481680.52</v>
      </c>
      <c r="BL122" s="971">
        <f t="shared" si="618"/>
        <v>376871.89</v>
      </c>
      <c r="BM122" s="140">
        <f t="shared" si="573"/>
        <v>99210.640000000014</v>
      </c>
      <c r="BN122" s="326">
        <f t="shared" si="574"/>
        <v>221666.82</v>
      </c>
      <c r="BO122" s="333">
        <f t="shared" si="575"/>
        <v>320877.46000000002</v>
      </c>
      <c r="BP122" s="123">
        <f t="shared" si="619"/>
        <v>388265.04</v>
      </c>
      <c r="BQ122" s="326">
        <f t="shared" si="576"/>
        <v>6521.9899999999907</v>
      </c>
      <c r="BR122" s="326">
        <f t="shared" si="577"/>
        <v>304100.88</v>
      </c>
      <c r="BS122" s="332">
        <f t="shared" si="578"/>
        <v>310622.87</v>
      </c>
      <c r="BT122" s="140">
        <f t="shared" ref="BT122:BV122" si="629">SUM(BQ122,BM122,BI122)</f>
        <v>184466.43000000005</v>
      </c>
      <c r="BU122" s="326">
        <f t="shared" si="629"/>
        <v>928714.41999999993</v>
      </c>
      <c r="BV122" s="333">
        <f t="shared" si="629"/>
        <v>1113180.8500000001</v>
      </c>
      <c r="BW122" s="939">
        <f t="shared" si="621"/>
        <v>391384.88</v>
      </c>
      <c r="BX122" s="326">
        <f t="shared" si="580"/>
        <v>0</v>
      </c>
      <c r="BY122" s="326">
        <f t="shared" si="581"/>
        <v>321867.03999999998</v>
      </c>
      <c r="BZ122" s="333">
        <f t="shared" si="582"/>
        <v>321867.03999999998</v>
      </c>
      <c r="CA122" s="939">
        <f t="shared" si="622"/>
        <v>351377.12</v>
      </c>
      <c r="CB122" s="941">
        <f t="shared" si="623"/>
        <v>797278.29</v>
      </c>
    </row>
    <row r="123" spans="1:80" ht="13">
      <c r="A123" s="323" t="e">
        <f t="shared" si="527"/>
        <v>#N/A</v>
      </c>
      <c r="B123" s="324">
        <f t="shared" si="528"/>
        <v>20</v>
      </c>
      <c r="C123" s="558">
        <f t="shared" si="529"/>
        <v>0.05</v>
      </c>
      <c r="D123" s="558">
        <f t="shared" si="530"/>
        <v>0.09</v>
      </c>
      <c r="E123" s="558">
        <f t="shared" si="531"/>
        <v>0</v>
      </c>
      <c r="F123" s="798">
        <f t="shared" si="532"/>
        <v>1</v>
      </c>
      <c r="G123" s="558" t="str">
        <f t="shared" si="533"/>
        <v>Lista</v>
      </c>
      <c r="H123" s="558">
        <f t="shared" si="534"/>
        <v>0.09</v>
      </c>
      <c r="I123" s="558">
        <f t="shared" si="535"/>
        <v>0</v>
      </c>
      <c r="J123" s="637" t="e">
        <f t="shared" si="536"/>
        <v>#N/A</v>
      </c>
      <c r="K123" s="558" t="str">
        <f t="shared" si="537"/>
        <v/>
      </c>
      <c r="L123" s="558" t="str">
        <f t="shared" si="538"/>
        <v/>
      </c>
      <c r="M123" s="977" t="s">
        <v>948</v>
      </c>
      <c r="N123" s="326"/>
      <c r="O123" s="326"/>
      <c r="P123" s="326" t="e">
        <f t="shared" si="599"/>
        <v>#VALUE!</v>
      </c>
      <c r="Q123" s="326" t="str">
        <f t="shared" si="600"/>
        <v/>
      </c>
      <c r="R123" s="326">
        <f t="shared" si="601"/>
        <v>0</v>
      </c>
      <c r="S123" s="326">
        <f t="shared" si="602"/>
        <v>0</v>
      </c>
      <c r="T123" s="137" t="str">
        <f t="shared" si="603"/>
        <v/>
      </c>
      <c r="U123" s="326" t="str">
        <f t="shared" si="604"/>
        <v/>
      </c>
      <c r="V123" s="326" t="e">
        <f t="shared" si="605"/>
        <v>#VALUE!</v>
      </c>
      <c r="W123" s="326" t="e">
        <f t="shared" si="606"/>
        <v>#VALUE!</v>
      </c>
      <c r="X123" s="326" t="str">
        <f t="shared" si="607"/>
        <v/>
      </c>
      <c r="Y123" s="326">
        <f t="shared" si="608"/>
        <v>0</v>
      </c>
      <c r="Z123" s="326" t="e">
        <f t="shared" si="609"/>
        <v>#VALUE!</v>
      </c>
      <c r="AA123" s="137" t="str">
        <f t="shared" si="610"/>
        <v/>
      </c>
      <c r="AB123" s="326" t="str">
        <f t="shared" si="611"/>
        <v/>
      </c>
      <c r="AC123" s="326" t="e">
        <f t="shared" si="595"/>
        <v>#VALUE!</v>
      </c>
      <c r="AD123" s="326" t="e">
        <f t="shared" si="545"/>
        <v>#VALUE!</v>
      </c>
      <c r="AE123" s="326" t="str">
        <f t="shared" si="546"/>
        <v/>
      </c>
      <c r="AF123" s="326">
        <f t="shared" si="547"/>
        <v>0</v>
      </c>
      <c r="AG123" s="326" t="e">
        <f t="shared" si="548"/>
        <v>#VALUE!</v>
      </c>
      <c r="AH123" s="137" t="str">
        <f t="shared" si="549"/>
        <v/>
      </c>
      <c r="AI123" s="969" t="e">
        <f t="shared" si="550"/>
        <v>#VALUE!</v>
      </c>
      <c r="AJ123" s="326">
        <f t="shared" si="551"/>
        <v>94599.5</v>
      </c>
      <c r="AK123" s="326" t="e">
        <f t="shared" ref="AK123:AL123" si="630">SUM(AD123,W123,P123)</f>
        <v>#VALUE!</v>
      </c>
      <c r="AL123" s="326">
        <f t="shared" si="630"/>
        <v>0</v>
      </c>
      <c r="AM123" s="326">
        <f t="shared" si="553"/>
        <v>0</v>
      </c>
      <c r="AN123" s="326">
        <f t="shared" si="554"/>
        <v>-94599.5</v>
      </c>
      <c r="AO123" s="970">
        <f t="shared" si="555"/>
        <v>0</v>
      </c>
      <c r="AP123" s="941" t="str">
        <f t="shared" si="613"/>
        <v/>
      </c>
      <c r="AQ123" s="326" t="e">
        <f t="shared" si="556"/>
        <v>#VALUE!</v>
      </c>
      <c r="AR123" s="326" t="str">
        <f t="shared" si="557"/>
        <v/>
      </c>
      <c r="AS123" s="326">
        <f t="shared" si="558"/>
        <v>0</v>
      </c>
      <c r="AT123" s="941" t="str">
        <f t="shared" si="614"/>
        <v/>
      </c>
      <c r="AU123" s="326" t="e">
        <f t="shared" si="559"/>
        <v>#VALUE!</v>
      </c>
      <c r="AV123" s="326" t="str">
        <f t="shared" si="560"/>
        <v/>
      </c>
      <c r="AW123" s="326">
        <f t="shared" si="561"/>
        <v>0</v>
      </c>
      <c r="AX123" s="941" t="str">
        <f t="shared" si="615"/>
        <v/>
      </c>
      <c r="AY123" s="326" t="e">
        <f t="shared" si="562"/>
        <v>#VALUE!</v>
      </c>
      <c r="AZ123" s="326" t="str">
        <f t="shared" si="563"/>
        <v/>
      </c>
      <c r="BA123" s="326">
        <f t="shared" si="564"/>
        <v>0</v>
      </c>
      <c r="BB123" s="326" t="e">
        <f t="shared" si="565"/>
        <v>#VALUE!</v>
      </c>
      <c r="BC123" s="326" t="e">
        <f t="shared" si="566"/>
        <v>#VALUE!</v>
      </c>
      <c r="BD123" s="326">
        <f t="shared" si="567"/>
        <v>0</v>
      </c>
      <c r="BE123" s="326" t="e">
        <f t="shared" si="568"/>
        <v>#VALUE!</v>
      </c>
      <c r="BF123" s="326" t="e">
        <f t="shared" ref="BF123:BG123" si="631">SUM(BC123,AL123)</f>
        <v>#VALUE!</v>
      </c>
      <c r="BG123" s="326">
        <f t="shared" si="631"/>
        <v>0</v>
      </c>
      <c r="BH123" s="941" t="str">
        <f t="shared" si="617"/>
        <v/>
      </c>
      <c r="BI123" s="326" t="e">
        <f t="shared" si="570"/>
        <v>#VALUE!</v>
      </c>
      <c r="BJ123" s="326" t="str">
        <f t="shared" si="571"/>
        <v/>
      </c>
      <c r="BK123" s="326">
        <f t="shared" si="572"/>
        <v>68496.06</v>
      </c>
      <c r="BL123" s="971" t="str">
        <f t="shared" si="618"/>
        <v/>
      </c>
      <c r="BM123" s="140" t="e">
        <f t="shared" si="573"/>
        <v>#VALUE!</v>
      </c>
      <c r="BN123" s="326" t="str">
        <f t="shared" si="574"/>
        <v/>
      </c>
      <c r="BO123" s="333">
        <f t="shared" si="575"/>
        <v>0</v>
      </c>
      <c r="BP123" s="123" t="str">
        <f t="shared" si="619"/>
        <v/>
      </c>
      <c r="BQ123" s="326" t="e">
        <f t="shared" si="576"/>
        <v>#VALUE!</v>
      </c>
      <c r="BR123" s="326" t="str">
        <f t="shared" si="577"/>
        <v/>
      </c>
      <c r="BS123" s="332">
        <f t="shared" si="578"/>
        <v>0</v>
      </c>
      <c r="BT123" s="140" t="e">
        <f t="shared" ref="BT123:BV123" si="632">SUM(BQ123,BM123,BI123)</f>
        <v>#VALUE!</v>
      </c>
      <c r="BU123" s="326">
        <f t="shared" si="632"/>
        <v>0</v>
      </c>
      <c r="BV123" s="333">
        <f t="shared" si="632"/>
        <v>68496.06</v>
      </c>
      <c r="BW123" s="939" t="str">
        <f t="shared" si="621"/>
        <v/>
      </c>
      <c r="BX123" s="326" t="e">
        <f t="shared" si="580"/>
        <v>#VALUE!</v>
      </c>
      <c r="BY123" s="326" t="str">
        <f t="shared" si="581"/>
        <v/>
      </c>
      <c r="BZ123" s="333">
        <f t="shared" si="582"/>
        <v>0</v>
      </c>
      <c r="CA123" s="939" t="str">
        <f t="shared" si="622"/>
        <v/>
      </c>
      <c r="CB123" s="941" t="str">
        <f t="shared" si="623"/>
        <v/>
      </c>
    </row>
    <row r="124" spans="1:80" ht="13">
      <c r="A124" s="323" t="e">
        <f t="shared" si="527"/>
        <v>#N/A</v>
      </c>
      <c r="B124" s="324">
        <f t="shared" si="528"/>
        <v>29</v>
      </c>
      <c r="C124" s="558">
        <f t="shared" si="529"/>
        <v>0.05</v>
      </c>
      <c r="D124" s="558">
        <f t="shared" si="530"/>
        <v>0.2</v>
      </c>
      <c r="E124" s="558">
        <f t="shared" si="531"/>
        <v>0</v>
      </c>
      <c r="F124" s="798">
        <f t="shared" si="532"/>
        <v>4</v>
      </c>
      <c r="G124" s="558" t="str">
        <f t="shared" si="533"/>
        <v>Lista</v>
      </c>
      <c r="H124" s="558">
        <f t="shared" si="534"/>
        <v>0.2</v>
      </c>
      <c r="I124" s="558">
        <f t="shared" si="535"/>
        <v>0</v>
      </c>
      <c r="J124" s="637" t="e">
        <f t="shared" si="536"/>
        <v>#N/A</v>
      </c>
      <c r="K124" s="558" t="str">
        <f t="shared" si="537"/>
        <v/>
      </c>
      <c r="L124" s="558" t="str">
        <f t="shared" si="538"/>
        <v/>
      </c>
      <c r="M124" s="977" t="s">
        <v>949</v>
      </c>
      <c r="N124" s="326">
        <f t="shared" ref="N124:N133" si="633">IFERROR(VLOOKUP(M124,VARGAS24,3,FALSE),"")</f>
        <v>473934.29</v>
      </c>
      <c r="O124" s="599">
        <v>1500000</v>
      </c>
      <c r="P124" s="326">
        <f t="shared" si="599"/>
        <v>375412.47999999998</v>
      </c>
      <c r="Q124" s="326">
        <f t="shared" si="600"/>
        <v>0</v>
      </c>
      <c r="R124" s="326">
        <f t="shared" si="601"/>
        <v>375412.47999999998</v>
      </c>
      <c r="S124" s="326">
        <f t="shared" si="602"/>
        <v>-1124587.52</v>
      </c>
      <c r="T124" s="137">
        <f t="shared" si="603"/>
        <v>0.25027498666666664</v>
      </c>
      <c r="U124" s="326">
        <f t="shared" si="604"/>
        <v>351813.6</v>
      </c>
      <c r="V124" s="599">
        <v>1500000</v>
      </c>
      <c r="W124" s="326">
        <f t="shared" si="606"/>
        <v>1307267.83</v>
      </c>
      <c r="X124" s="326">
        <f t="shared" si="607"/>
        <v>352124</v>
      </c>
      <c r="Y124" s="326">
        <f t="shared" si="608"/>
        <v>1659391.83</v>
      </c>
      <c r="Z124" s="326">
        <f t="shared" si="609"/>
        <v>159391.83000000007</v>
      </c>
      <c r="AA124" s="137">
        <f t="shared" si="610"/>
        <v>1.1062612200000002</v>
      </c>
      <c r="AB124" s="326">
        <f t="shared" si="611"/>
        <v>1419071.07</v>
      </c>
      <c r="AC124" s="326">
        <f t="shared" si="595"/>
        <v>2377334.2867942499</v>
      </c>
      <c r="AD124" s="326">
        <f t="shared" si="545"/>
        <v>884635.76</v>
      </c>
      <c r="AE124" s="326">
        <f t="shared" si="546"/>
        <v>0</v>
      </c>
      <c r="AF124" s="326">
        <f t="shared" si="547"/>
        <v>884635.76</v>
      </c>
      <c r="AG124" s="326">
        <f t="shared" si="548"/>
        <v>-1492698.5267942499</v>
      </c>
      <c r="AH124" s="137">
        <f t="shared" si="549"/>
        <v>0.37211248115758244</v>
      </c>
      <c r="AI124" s="969">
        <f t="shared" si="550"/>
        <v>5377334.2867942499</v>
      </c>
      <c r="AJ124" s="326">
        <f t="shared" si="551"/>
        <v>1418391.57</v>
      </c>
      <c r="AK124" s="326">
        <f t="shared" ref="AK124:AL124" si="634">SUM(AD124,W124,P124)</f>
        <v>2567316.0699999998</v>
      </c>
      <c r="AL124" s="326">
        <f t="shared" si="634"/>
        <v>352124</v>
      </c>
      <c r="AM124" s="326">
        <f t="shared" si="553"/>
        <v>4578831.9000000004</v>
      </c>
      <c r="AN124" s="326">
        <f t="shared" si="554"/>
        <v>3160440.33</v>
      </c>
      <c r="AO124" s="970">
        <f t="shared" si="555"/>
        <v>3.2281860643038085</v>
      </c>
      <c r="AP124" s="941">
        <f t="shared" si="613"/>
        <v>527196.4</v>
      </c>
      <c r="AQ124" s="326">
        <f t="shared" si="556"/>
        <v>390600.61999999994</v>
      </c>
      <c r="AR124" s="326">
        <f t="shared" si="557"/>
        <v>373251.2</v>
      </c>
      <c r="AS124" s="326">
        <f t="shared" si="558"/>
        <v>763851.82</v>
      </c>
      <c r="AT124" s="941">
        <f t="shared" si="614"/>
        <v>165429.51</v>
      </c>
      <c r="AU124" s="326">
        <f t="shared" si="559"/>
        <v>557639.59</v>
      </c>
      <c r="AV124" s="326">
        <f t="shared" si="560"/>
        <v>0</v>
      </c>
      <c r="AW124" s="326">
        <f t="shared" si="561"/>
        <v>557639.59</v>
      </c>
      <c r="AX124" s="941">
        <f t="shared" si="615"/>
        <v>163294.01</v>
      </c>
      <c r="AY124" s="326">
        <f t="shared" si="562"/>
        <v>86953.100000000035</v>
      </c>
      <c r="AZ124" s="326">
        <f t="shared" si="563"/>
        <v>391913.6</v>
      </c>
      <c r="BA124" s="326">
        <f t="shared" si="564"/>
        <v>478866.7</v>
      </c>
      <c r="BB124" s="326">
        <f t="shared" si="565"/>
        <v>1035193.3099999998</v>
      </c>
      <c r="BC124" s="326">
        <f t="shared" si="566"/>
        <v>765164.8</v>
      </c>
      <c r="BD124" s="326">
        <f t="shared" si="567"/>
        <v>1800358.1099999999</v>
      </c>
      <c r="BE124" s="326">
        <f t="shared" si="568"/>
        <v>3602509.38</v>
      </c>
      <c r="BF124" s="326">
        <f t="shared" ref="BF124:BG124" si="635">SUM(BC124,AL124)</f>
        <v>1117288.8</v>
      </c>
      <c r="BG124" s="326">
        <f t="shared" si="635"/>
        <v>6379190.0099999998</v>
      </c>
      <c r="BH124" s="941">
        <f t="shared" si="617"/>
        <v>417122.03</v>
      </c>
      <c r="BI124" s="326">
        <f t="shared" si="570"/>
        <v>204293.8</v>
      </c>
      <c r="BJ124" s="326">
        <f t="shared" si="571"/>
        <v>0</v>
      </c>
      <c r="BK124" s="326">
        <f t="shared" si="572"/>
        <v>204293.8</v>
      </c>
      <c r="BL124" s="971">
        <f t="shared" si="618"/>
        <v>586250.65</v>
      </c>
      <c r="BM124" s="140">
        <f t="shared" si="573"/>
        <v>398852.95</v>
      </c>
      <c r="BN124" s="326">
        <f t="shared" si="574"/>
        <v>0</v>
      </c>
      <c r="BO124" s="333">
        <f t="shared" si="575"/>
        <v>398852.95</v>
      </c>
      <c r="BP124" s="123">
        <f t="shared" si="619"/>
        <v>821206.5</v>
      </c>
      <c r="BQ124" s="326">
        <f t="shared" si="576"/>
        <v>756000.75</v>
      </c>
      <c r="BR124" s="326">
        <f t="shared" si="577"/>
        <v>0</v>
      </c>
      <c r="BS124" s="332">
        <f t="shared" si="578"/>
        <v>756000.75</v>
      </c>
      <c r="BT124" s="140">
        <f t="shared" ref="BT124:BV124" si="636">SUM(BQ124,BM124,BI124)</f>
        <v>1359147.5</v>
      </c>
      <c r="BU124" s="326">
        <f t="shared" si="636"/>
        <v>0</v>
      </c>
      <c r="BV124" s="333">
        <f t="shared" si="636"/>
        <v>1359147.5</v>
      </c>
      <c r="BW124" s="939">
        <f t="shared" si="621"/>
        <v>323049.59999999998</v>
      </c>
      <c r="BX124" s="326">
        <f t="shared" si="580"/>
        <v>226784.73</v>
      </c>
      <c r="BY124" s="326">
        <f t="shared" si="581"/>
        <v>0</v>
      </c>
      <c r="BZ124" s="333">
        <f t="shared" si="582"/>
        <v>226784.73</v>
      </c>
      <c r="CA124" s="939">
        <f t="shared" si="622"/>
        <v>63062.9</v>
      </c>
      <c r="CB124" s="941">
        <f t="shared" si="623"/>
        <v>1032279.07</v>
      </c>
    </row>
    <row r="125" spans="1:80" ht="13">
      <c r="A125" s="323" t="e">
        <f t="shared" si="527"/>
        <v>#N/A</v>
      </c>
      <c r="B125" s="324">
        <f t="shared" si="528"/>
        <v>29</v>
      </c>
      <c r="C125" s="558">
        <f t="shared" si="529"/>
        <v>0.05</v>
      </c>
      <c r="D125" s="558">
        <f t="shared" si="530"/>
        <v>0.2</v>
      </c>
      <c r="E125" s="558">
        <f t="shared" si="531"/>
        <v>0</v>
      </c>
      <c r="F125" s="798">
        <f t="shared" si="532"/>
        <v>4</v>
      </c>
      <c r="G125" s="558" t="str">
        <f t="shared" si="533"/>
        <v>Lista</v>
      </c>
      <c r="H125" s="558">
        <f t="shared" si="534"/>
        <v>0.2</v>
      </c>
      <c r="I125" s="558">
        <f t="shared" si="535"/>
        <v>0</v>
      </c>
      <c r="J125" s="637" t="e">
        <f t="shared" si="536"/>
        <v>#N/A</v>
      </c>
      <c r="K125" s="558" t="str">
        <f t="shared" si="537"/>
        <v/>
      </c>
      <c r="L125" s="558" t="str">
        <f t="shared" si="538"/>
        <v/>
      </c>
      <c r="M125" s="977" t="s">
        <v>950</v>
      </c>
      <c r="N125" s="326">
        <f t="shared" si="633"/>
        <v>261957.7</v>
      </c>
      <c r="O125" s="599">
        <v>1500000</v>
      </c>
      <c r="P125" s="326">
        <f t="shared" si="599"/>
        <v>39704.679999999993</v>
      </c>
      <c r="Q125" s="326">
        <f t="shared" si="600"/>
        <v>319247.92</v>
      </c>
      <c r="R125" s="326">
        <f t="shared" si="601"/>
        <v>358952.6</v>
      </c>
      <c r="S125" s="326">
        <f t="shared" si="602"/>
        <v>-1141047.3999999999</v>
      </c>
      <c r="T125" s="137">
        <f t="shared" si="603"/>
        <v>0.23930173333333332</v>
      </c>
      <c r="U125" s="326">
        <f t="shared" si="604"/>
        <v>213488.91</v>
      </c>
      <c r="V125" s="599">
        <v>1500000</v>
      </c>
      <c r="W125" s="326">
        <f t="shared" si="606"/>
        <v>5629.15</v>
      </c>
      <c r="X125" s="326">
        <f t="shared" si="607"/>
        <v>0</v>
      </c>
      <c r="Y125" s="326">
        <f t="shared" si="608"/>
        <v>5629.15</v>
      </c>
      <c r="Z125" s="326">
        <f t="shared" si="609"/>
        <v>-1494370.85</v>
      </c>
      <c r="AA125" s="137">
        <f t="shared" si="610"/>
        <v>3.7527666666666666E-3</v>
      </c>
      <c r="AB125" s="326">
        <f t="shared" si="611"/>
        <v>258327.84</v>
      </c>
      <c r="AC125" s="599">
        <v>1500000</v>
      </c>
      <c r="AD125" s="326">
        <f t="shared" si="545"/>
        <v>154108.26</v>
      </c>
      <c r="AE125" s="326">
        <f t="shared" si="546"/>
        <v>84750.720000000001</v>
      </c>
      <c r="AF125" s="326">
        <f t="shared" si="547"/>
        <v>238858.98</v>
      </c>
      <c r="AG125" s="326">
        <f t="shared" si="548"/>
        <v>-1261141.02</v>
      </c>
      <c r="AH125" s="137">
        <f t="shared" si="549"/>
        <v>0.15923932000000002</v>
      </c>
      <c r="AI125" s="969">
        <f t="shared" si="550"/>
        <v>4500000</v>
      </c>
      <c r="AJ125" s="326">
        <f t="shared" si="551"/>
        <v>1050758.6399999999</v>
      </c>
      <c r="AK125" s="326">
        <f t="shared" ref="AK125:AL125" si="637">SUM(AD125,W125,P125)</f>
        <v>199442.09</v>
      </c>
      <c r="AL125" s="326">
        <f t="shared" si="637"/>
        <v>403998.64</v>
      </c>
      <c r="AM125" s="326">
        <f t="shared" si="553"/>
        <v>609069.88</v>
      </c>
      <c r="AN125" s="326">
        <f t="shared" si="554"/>
        <v>-441688.75999999989</v>
      </c>
      <c r="AO125" s="970">
        <f t="shared" si="555"/>
        <v>0.57964774860190549</v>
      </c>
      <c r="AP125" s="941">
        <f t="shared" si="613"/>
        <v>303485.21000000002</v>
      </c>
      <c r="AQ125" s="326">
        <f t="shared" si="556"/>
        <v>0</v>
      </c>
      <c r="AR125" s="326">
        <f t="shared" si="557"/>
        <v>137912.64000000001</v>
      </c>
      <c r="AS125" s="326">
        <f t="shared" si="558"/>
        <v>137912.64000000001</v>
      </c>
      <c r="AT125" s="941">
        <f t="shared" si="614"/>
        <v>0</v>
      </c>
      <c r="AU125" s="326">
        <f t="shared" si="559"/>
        <v>0</v>
      </c>
      <c r="AV125" s="326">
        <f t="shared" si="560"/>
        <v>44494.16</v>
      </c>
      <c r="AW125" s="326">
        <f t="shared" si="561"/>
        <v>44494.16</v>
      </c>
      <c r="AX125" s="941">
        <f t="shared" si="615"/>
        <v>611221.67000000004</v>
      </c>
      <c r="AY125" s="326">
        <f t="shared" si="562"/>
        <v>0</v>
      </c>
      <c r="AZ125" s="326">
        <f t="shared" si="563"/>
        <v>167296.4</v>
      </c>
      <c r="BA125" s="326">
        <f t="shared" si="564"/>
        <v>167296.4</v>
      </c>
      <c r="BB125" s="326">
        <f t="shared" si="565"/>
        <v>0</v>
      </c>
      <c r="BC125" s="326">
        <f t="shared" si="566"/>
        <v>349703.2</v>
      </c>
      <c r="BD125" s="326">
        <f t="shared" si="567"/>
        <v>349703.2</v>
      </c>
      <c r="BE125" s="326">
        <f t="shared" si="568"/>
        <v>199442.09</v>
      </c>
      <c r="BF125" s="326">
        <f t="shared" ref="BF125:BG125" si="638">SUM(BC125,AL125)</f>
        <v>753701.84000000008</v>
      </c>
      <c r="BG125" s="326">
        <f t="shared" si="638"/>
        <v>958773.08000000007</v>
      </c>
      <c r="BH125" s="941">
        <f t="shared" si="617"/>
        <v>319687.28000000003</v>
      </c>
      <c r="BI125" s="326">
        <f t="shared" si="570"/>
        <v>0</v>
      </c>
      <c r="BJ125" s="326">
        <f t="shared" si="571"/>
        <v>0</v>
      </c>
      <c r="BK125" s="326">
        <f t="shared" si="572"/>
        <v>0</v>
      </c>
      <c r="BL125" s="971">
        <f t="shared" si="618"/>
        <v>204875.77</v>
      </c>
      <c r="BM125" s="140">
        <f t="shared" si="573"/>
        <v>0</v>
      </c>
      <c r="BN125" s="326">
        <f t="shared" si="574"/>
        <v>88988.32</v>
      </c>
      <c r="BO125" s="333">
        <f t="shared" si="575"/>
        <v>88988.32</v>
      </c>
      <c r="BP125" s="123">
        <f t="shared" si="619"/>
        <v>439259.84</v>
      </c>
      <c r="BQ125" s="326">
        <f t="shared" si="576"/>
        <v>0</v>
      </c>
      <c r="BR125" s="326">
        <f t="shared" si="577"/>
        <v>96107.36</v>
      </c>
      <c r="BS125" s="332">
        <f t="shared" si="578"/>
        <v>96107.36</v>
      </c>
      <c r="BT125" s="140">
        <f t="shared" ref="BT125:BV125" si="639">SUM(BQ125,BM125,BI125)</f>
        <v>0</v>
      </c>
      <c r="BU125" s="326">
        <f t="shared" si="639"/>
        <v>185095.67999999999</v>
      </c>
      <c r="BV125" s="333">
        <f t="shared" si="639"/>
        <v>185095.67999999999</v>
      </c>
      <c r="BW125" s="939">
        <f t="shared" si="621"/>
        <v>95144.08</v>
      </c>
      <c r="BX125" s="326">
        <f t="shared" si="580"/>
        <v>0</v>
      </c>
      <c r="BY125" s="326">
        <f t="shared" si="581"/>
        <v>0</v>
      </c>
      <c r="BZ125" s="333">
        <f t="shared" si="582"/>
        <v>0</v>
      </c>
      <c r="CA125" s="939">
        <f t="shared" si="622"/>
        <v>469892.94</v>
      </c>
      <c r="CB125" s="941">
        <f t="shared" si="623"/>
        <v>485721.61</v>
      </c>
    </row>
    <row r="126" spans="1:80" ht="13">
      <c r="A126" s="323" t="e">
        <f t="shared" si="527"/>
        <v>#N/A</v>
      </c>
      <c r="B126" s="324">
        <f t="shared" si="528"/>
        <v>29</v>
      </c>
      <c r="C126" s="558">
        <f t="shared" si="529"/>
        <v>0.05</v>
      </c>
      <c r="D126" s="558">
        <f t="shared" si="530"/>
        <v>0.2</v>
      </c>
      <c r="E126" s="558">
        <f t="shared" si="531"/>
        <v>0</v>
      </c>
      <c r="F126" s="798">
        <f t="shared" si="532"/>
        <v>4</v>
      </c>
      <c r="G126" s="558" t="str">
        <f t="shared" si="533"/>
        <v>Lista</v>
      </c>
      <c r="H126" s="558">
        <f t="shared" si="534"/>
        <v>0.2</v>
      </c>
      <c r="I126" s="558">
        <f t="shared" si="535"/>
        <v>0</v>
      </c>
      <c r="J126" s="637" t="e">
        <f t="shared" si="536"/>
        <v>#N/A</v>
      </c>
      <c r="K126" s="558" t="str">
        <f t="shared" si="537"/>
        <v/>
      </c>
      <c r="L126" s="558" t="str">
        <f t="shared" si="538"/>
        <v/>
      </c>
      <c r="M126" s="977" t="s">
        <v>951</v>
      </c>
      <c r="N126" s="326">
        <f t="shared" si="633"/>
        <v>316896.13</v>
      </c>
      <c r="O126" s="599">
        <v>1500000</v>
      </c>
      <c r="P126" s="326">
        <f t="shared" si="599"/>
        <v>293032.02999999997</v>
      </c>
      <c r="Q126" s="326">
        <f t="shared" si="600"/>
        <v>39969.019999999997</v>
      </c>
      <c r="R126" s="326">
        <f t="shared" si="601"/>
        <v>333001.05</v>
      </c>
      <c r="S126" s="326">
        <f t="shared" si="602"/>
        <v>-1166998.95</v>
      </c>
      <c r="T126" s="137">
        <f t="shared" si="603"/>
        <v>0.2220007</v>
      </c>
      <c r="U126" s="326">
        <f t="shared" si="604"/>
        <v>436208.88</v>
      </c>
      <c r="V126" s="599">
        <v>1500000</v>
      </c>
      <c r="W126" s="326">
        <f t="shared" si="606"/>
        <v>168105.09999999998</v>
      </c>
      <c r="X126" s="326">
        <f t="shared" si="607"/>
        <v>44402.8</v>
      </c>
      <c r="Y126" s="326">
        <f t="shared" si="608"/>
        <v>212507.9</v>
      </c>
      <c r="Z126" s="326">
        <f t="shared" si="609"/>
        <v>-1287492.1000000001</v>
      </c>
      <c r="AA126" s="137">
        <f t="shared" si="610"/>
        <v>0.14167193333333333</v>
      </c>
      <c r="AB126" s="326">
        <f t="shared" si="611"/>
        <v>220206.05</v>
      </c>
      <c r="AC126" s="599">
        <v>1500000</v>
      </c>
      <c r="AD126" s="326">
        <f t="shared" si="545"/>
        <v>380477.48</v>
      </c>
      <c r="AE126" s="326">
        <f t="shared" si="546"/>
        <v>0</v>
      </c>
      <c r="AF126" s="326">
        <f t="shared" si="547"/>
        <v>380477.48</v>
      </c>
      <c r="AG126" s="326">
        <f t="shared" si="548"/>
        <v>-1119522.52</v>
      </c>
      <c r="AH126" s="137">
        <f t="shared" si="549"/>
        <v>0.25365165333333334</v>
      </c>
      <c r="AI126" s="969">
        <f t="shared" si="550"/>
        <v>4500000</v>
      </c>
      <c r="AJ126" s="326">
        <f t="shared" si="551"/>
        <v>754998.52</v>
      </c>
      <c r="AK126" s="326">
        <f t="shared" ref="AK126:AL126" si="640">SUM(AD126,W126,P126)</f>
        <v>841614.60999999987</v>
      </c>
      <c r="AL126" s="326">
        <f t="shared" si="640"/>
        <v>84371.82</v>
      </c>
      <c r="AM126" s="326">
        <f t="shared" si="553"/>
        <v>1138494.33</v>
      </c>
      <c r="AN126" s="326">
        <f t="shared" si="554"/>
        <v>383495.81000000006</v>
      </c>
      <c r="AO126" s="970">
        <f t="shared" si="555"/>
        <v>1.507942465900463</v>
      </c>
      <c r="AP126" s="941">
        <f t="shared" si="613"/>
        <v>388635.88</v>
      </c>
      <c r="AQ126" s="326">
        <f t="shared" si="556"/>
        <v>192708.55</v>
      </c>
      <c r="AR126" s="326">
        <f t="shared" si="557"/>
        <v>0</v>
      </c>
      <c r="AS126" s="326">
        <f t="shared" si="558"/>
        <v>192708.55</v>
      </c>
      <c r="AT126" s="941">
        <f t="shared" si="614"/>
        <v>222213.57</v>
      </c>
      <c r="AU126" s="326">
        <f t="shared" si="559"/>
        <v>113857.62</v>
      </c>
      <c r="AV126" s="326">
        <f t="shared" si="560"/>
        <v>34575.120000000003</v>
      </c>
      <c r="AW126" s="326">
        <f t="shared" si="561"/>
        <v>148432.74</v>
      </c>
      <c r="AX126" s="941">
        <f t="shared" si="615"/>
        <v>122166.24</v>
      </c>
      <c r="AY126" s="326">
        <f t="shared" si="562"/>
        <v>142265.12</v>
      </c>
      <c r="AZ126" s="326">
        <f t="shared" si="563"/>
        <v>102203.22</v>
      </c>
      <c r="BA126" s="326">
        <f t="shared" si="564"/>
        <v>244468.34</v>
      </c>
      <c r="BB126" s="326">
        <f t="shared" si="565"/>
        <v>448831.29</v>
      </c>
      <c r="BC126" s="326">
        <f t="shared" si="566"/>
        <v>136778.34</v>
      </c>
      <c r="BD126" s="326">
        <f t="shared" si="567"/>
        <v>585609.62999999989</v>
      </c>
      <c r="BE126" s="326">
        <f t="shared" si="568"/>
        <v>1290445.8999999999</v>
      </c>
      <c r="BF126" s="326">
        <f t="shared" ref="BF126:BG126" si="641">SUM(BC126,AL126)</f>
        <v>221150.16</v>
      </c>
      <c r="BG126" s="326">
        <f t="shared" si="641"/>
        <v>1724103.96</v>
      </c>
      <c r="BH126" s="941">
        <f t="shared" si="617"/>
        <v>368802.95</v>
      </c>
      <c r="BI126" s="326">
        <f t="shared" si="570"/>
        <v>148831.54</v>
      </c>
      <c r="BJ126" s="326">
        <f t="shared" si="571"/>
        <v>109769.84</v>
      </c>
      <c r="BK126" s="326">
        <f t="shared" si="572"/>
        <v>258601.38</v>
      </c>
      <c r="BL126" s="971">
        <f t="shared" si="618"/>
        <v>138599.28</v>
      </c>
      <c r="BM126" s="140">
        <f t="shared" si="573"/>
        <v>295993.25</v>
      </c>
      <c r="BN126" s="326">
        <f t="shared" si="574"/>
        <v>92354.33</v>
      </c>
      <c r="BO126" s="333">
        <f t="shared" si="575"/>
        <v>388347.58</v>
      </c>
      <c r="BP126" s="123">
        <f t="shared" si="619"/>
        <v>125714.16</v>
      </c>
      <c r="BQ126" s="326">
        <f t="shared" si="576"/>
        <v>174134.08</v>
      </c>
      <c r="BR126" s="326">
        <f t="shared" si="577"/>
        <v>0</v>
      </c>
      <c r="BS126" s="332">
        <f t="shared" si="578"/>
        <v>174134.08</v>
      </c>
      <c r="BT126" s="140">
        <f t="shared" ref="BT126:BV126" si="642">SUM(BQ126,BM126,BI126)</f>
        <v>618958.87</v>
      </c>
      <c r="BU126" s="326">
        <f t="shared" si="642"/>
        <v>202124.16999999998</v>
      </c>
      <c r="BV126" s="333">
        <f t="shared" si="642"/>
        <v>821083.04</v>
      </c>
      <c r="BW126" s="939">
        <f t="shared" si="621"/>
        <v>291014.46999999997</v>
      </c>
      <c r="BX126" s="326">
        <f t="shared" si="580"/>
        <v>219759.99</v>
      </c>
      <c r="BY126" s="326">
        <f t="shared" si="581"/>
        <v>42326.64</v>
      </c>
      <c r="BZ126" s="333">
        <f t="shared" si="582"/>
        <v>262086.63</v>
      </c>
      <c r="CA126" s="939">
        <f t="shared" si="622"/>
        <v>79567.44</v>
      </c>
      <c r="CB126" s="941">
        <f t="shared" si="623"/>
        <v>384416.62</v>
      </c>
    </row>
    <row r="127" spans="1:80" ht="13">
      <c r="A127" s="323" t="e">
        <f t="shared" si="527"/>
        <v>#N/A</v>
      </c>
      <c r="B127" s="324">
        <f t="shared" si="528"/>
        <v>20</v>
      </c>
      <c r="C127" s="558">
        <f t="shared" si="529"/>
        <v>0.05</v>
      </c>
      <c r="D127" s="558">
        <f t="shared" si="530"/>
        <v>0.09</v>
      </c>
      <c r="E127" s="558">
        <f t="shared" si="531"/>
        <v>0</v>
      </c>
      <c r="F127" s="798">
        <f t="shared" si="532"/>
        <v>1</v>
      </c>
      <c r="G127" s="558" t="str">
        <f t="shared" si="533"/>
        <v>Lista</v>
      </c>
      <c r="H127" s="558">
        <f t="shared" si="534"/>
        <v>0.09</v>
      </c>
      <c r="I127" s="558">
        <f t="shared" si="535"/>
        <v>0</v>
      </c>
      <c r="J127" s="637" t="e">
        <f t="shared" si="536"/>
        <v>#N/A</v>
      </c>
      <c r="K127" s="558" t="str">
        <f t="shared" si="537"/>
        <v/>
      </c>
      <c r="L127" s="558" t="str">
        <f t="shared" si="538"/>
        <v/>
      </c>
      <c r="M127" s="977" t="s">
        <v>952</v>
      </c>
      <c r="N127" s="326">
        <f t="shared" si="633"/>
        <v>0</v>
      </c>
      <c r="O127" s="599">
        <v>1500000</v>
      </c>
      <c r="P127" s="326" t="e">
        <f t="shared" si="599"/>
        <v>#VALUE!</v>
      </c>
      <c r="Q127" s="326" t="str">
        <f t="shared" si="600"/>
        <v/>
      </c>
      <c r="R127" s="326">
        <f t="shared" si="601"/>
        <v>0</v>
      </c>
      <c r="S127" s="326">
        <f t="shared" si="602"/>
        <v>-1500000</v>
      </c>
      <c r="T127" s="137">
        <f t="shared" si="603"/>
        <v>0</v>
      </c>
      <c r="U127" s="326">
        <f t="shared" si="604"/>
        <v>0</v>
      </c>
      <c r="V127" s="599">
        <v>1500000</v>
      </c>
      <c r="W127" s="326" t="e">
        <f t="shared" si="606"/>
        <v>#VALUE!</v>
      </c>
      <c r="X127" s="326" t="str">
        <f t="shared" si="607"/>
        <v/>
      </c>
      <c r="Y127" s="326">
        <f t="shared" si="608"/>
        <v>0</v>
      </c>
      <c r="Z127" s="326">
        <f t="shared" si="609"/>
        <v>-1500000</v>
      </c>
      <c r="AA127" s="137">
        <f t="shared" si="610"/>
        <v>0</v>
      </c>
      <c r="AB127" s="326">
        <f t="shared" si="611"/>
        <v>0</v>
      </c>
      <c r="AC127" s="599">
        <v>1500000</v>
      </c>
      <c r="AD127" s="326" t="e">
        <f t="shared" si="545"/>
        <v>#VALUE!</v>
      </c>
      <c r="AE127" s="326" t="str">
        <f t="shared" si="546"/>
        <v/>
      </c>
      <c r="AF127" s="326">
        <f t="shared" si="547"/>
        <v>249772.94</v>
      </c>
      <c r="AG127" s="326">
        <f t="shared" si="548"/>
        <v>-1250227.06</v>
      </c>
      <c r="AH127" s="137">
        <f t="shared" si="549"/>
        <v>0.16651529333333334</v>
      </c>
      <c r="AI127" s="969">
        <f t="shared" si="550"/>
        <v>4500000</v>
      </c>
      <c r="AJ127" s="326">
        <f t="shared" si="551"/>
        <v>63864.35</v>
      </c>
      <c r="AK127" s="326" t="e">
        <f t="shared" ref="AK127:AL127" si="643">SUM(AD127,W127,P127)</f>
        <v>#VALUE!</v>
      </c>
      <c r="AL127" s="326">
        <f t="shared" si="643"/>
        <v>0</v>
      </c>
      <c r="AM127" s="326">
        <f t="shared" si="553"/>
        <v>249772.94</v>
      </c>
      <c r="AN127" s="326">
        <f t="shared" si="554"/>
        <v>185908.59</v>
      </c>
      <c r="AO127" s="970">
        <f t="shared" si="555"/>
        <v>3.9109916565345144</v>
      </c>
      <c r="AP127" s="941">
        <f t="shared" si="613"/>
        <v>0</v>
      </c>
      <c r="AQ127" s="326" t="e">
        <f t="shared" si="556"/>
        <v>#VALUE!</v>
      </c>
      <c r="AR127" s="326" t="str">
        <f t="shared" si="557"/>
        <v/>
      </c>
      <c r="AS127" s="326">
        <f t="shared" si="558"/>
        <v>0</v>
      </c>
      <c r="AT127" s="941">
        <f t="shared" si="614"/>
        <v>0</v>
      </c>
      <c r="AU127" s="326" t="e">
        <f t="shared" si="559"/>
        <v>#VALUE!</v>
      </c>
      <c r="AV127" s="326" t="str">
        <f t="shared" si="560"/>
        <v/>
      </c>
      <c r="AW127" s="326">
        <f t="shared" si="561"/>
        <v>0</v>
      </c>
      <c r="AX127" s="941">
        <f t="shared" si="615"/>
        <v>0</v>
      </c>
      <c r="AY127" s="326" t="e">
        <f t="shared" si="562"/>
        <v>#VALUE!</v>
      </c>
      <c r="AZ127" s="326" t="str">
        <f t="shared" si="563"/>
        <v/>
      </c>
      <c r="BA127" s="326">
        <f t="shared" si="564"/>
        <v>0</v>
      </c>
      <c r="BB127" s="326" t="e">
        <f t="shared" si="565"/>
        <v>#VALUE!</v>
      </c>
      <c r="BC127" s="326" t="e">
        <f t="shared" si="566"/>
        <v>#VALUE!</v>
      </c>
      <c r="BD127" s="326">
        <f t="shared" si="567"/>
        <v>0</v>
      </c>
      <c r="BE127" s="326" t="e">
        <f t="shared" si="568"/>
        <v>#VALUE!</v>
      </c>
      <c r="BF127" s="326" t="e">
        <f t="shared" ref="BF127:BG127" si="644">SUM(BC127,AL127)</f>
        <v>#VALUE!</v>
      </c>
      <c r="BG127" s="326">
        <f t="shared" si="644"/>
        <v>249772.94</v>
      </c>
      <c r="BH127" s="941">
        <f t="shared" si="617"/>
        <v>0</v>
      </c>
      <c r="BI127" s="326" t="e">
        <f t="shared" si="570"/>
        <v>#VALUE!</v>
      </c>
      <c r="BJ127" s="326" t="str">
        <f t="shared" si="571"/>
        <v/>
      </c>
      <c r="BK127" s="326">
        <f t="shared" si="572"/>
        <v>0</v>
      </c>
      <c r="BL127" s="971">
        <f t="shared" si="618"/>
        <v>27417</v>
      </c>
      <c r="BM127" s="140" t="e">
        <f t="shared" si="573"/>
        <v>#VALUE!</v>
      </c>
      <c r="BN127" s="326" t="str">
        <f t="shared" si="574"/>
        <v/>
      </c>
      <c r="BO127" s="333">
        <f t="shared" si="575"/>
        <v>0</v>
      </c>
      <c r="BP127" s="123">
        <f t="shared" si="619"/>
        <v>0</v>
      </c>
      <c r="BQ127" s="326" t="e">
        <f t="shared" si="576"/>
        <v>#VALUE!</v>
      </c>
      <c r="BR127" s="326" t="str">
        <f t="shared" si="577"/>
        <v/>
      </c>
      <c r="BS127" s="332">
        <f t="shared" si="578"/>
        <v>0</v>
      </c>
      <c r="BT127" s="140" t="e">
        <f t="shared" ref="BT127:BV127" si="645">SUM(BQ127,BM127,BI127)</f>
        <v>#VALUE!</v>
      </c>
      <c r="BU127" s="326">
        <f t="shared" si="645"/>
        <v>0</v>
      </c>
      <c r="BV127" s="333">
        <f t="shared" si="645"/>
        <v>0</v>
      </c>
      <c r="BW127" s="939">
        <f t="shared" si="621"/>
        <v>23849.9</v>
      </c>
      <c r="BX127" s="326" t="e">
        <f t="shared" si="580"/>
        <v>#VALUE!</v>
      </c>
      <c r="BY127" s="326" t="str">
        <f t="shared" si="581"/>
        <v/>
      </c>
      <c r="BZ127" s="333">
        <f t="shared" si="582"/>
        <v>0</v>
      </c>
      <c r="CA127" s="939">
        <f t="shared" si="622"/>
        <v>40014.449999999997</v>
      </c>
      <c r="CB127" s="941">
        <f t="shared" si="623"/>
        <v>0</v>
      </c>
    </row>
    <row r="128" spans="1:80" ht="13">
      <c r="A128" s="323" t="e">
        <f t="shared" si="527"/>
        <v>#N/A</v>
      </c>
      <c r="B128" s="324">
        <f t="shared" si="528"/>
        <v>20</v>
      </c>
      <c r="C128" s="558">
        <f t="shared" si="529"/>
        <v>0.05</v>
      </c>
      <c r="D128" s="558">
        <f t="shared" si="530"/>
        <v>0.09</v>
      </c>
      <c r="E128" s="558">
        <f t="shared" si="531"/>
        <v>0</v>
      </c>
      <c r="F128" s="798">
        <f t="shared" si="532"/>
        <v>1</v>
      </c>
      <c r="G128" s="558" t="str">
        <f t="shared" si="533"/>
        <v>Lista</v>
      </c>
      <c r="H128" s="558">
        <f t="shared" si="534"/>
        <v>0.09</v>
      </c>
      <c r="I128" s="558">
        <f t="shared" si="535"/>
        <v>0</v>
      </c>
      <c r="J128" s="637" t="e">
        <f t="shared" si="536"/>
        <v>#N/A</v>
      </c>
      <c r="K128" s="558" t="str">
        <f t="shared" si="537"/>
        <v/>
      </c>
      <c r="L128" s="558" t="str">
        <f t="shared" si="538"/>
        <v/>
      </c>
      <c r="M128" s="977" t="s">
        <v>953</v>
      </c>
      <c r="N128" s="326">
        <f t="shared" si="633"/>
        <v>0</v>
      </c>
      <c r="O128" s="599">
        <v>1500000</v>
      </c>
      <c r="P128" s="326" t="e">
        <f t="shared" si="599"/>
        <v>#VALUE!</v>
      </c>
      <c r="Q128" s="326" t="str">
        <f t="shared" si="600"/>
        <v/>
      </c>
      <c r="R128" s="326" t="str">
        <f t="shared" si="601"/>
        <v/>
      </c>
      <c r="S128" s="326" t="e">
        <f t="shared" si="602"/>
        <v>#VALUE!</v>
      </c>
      <c r="T128" s="137" t="str">
        <f t="shared" si="603"/>
        <v/>
      </c>
      <c r="U128" s="326">
        <f t="shared" si="604"/>
        <v>161421.6</v>
      </c>
      <c r="V128" s="599">
        <v>1500000</v>
      </c>
      <c r="W128" s="326" t="e">
        <f t="shared" si="606"/>
        <v>#VALUE!</v>
      </c>
      <c r="X128" s="326" t="str">
        <f t="shared" si="607"/>
        <v/>
      </c>
      <c r="Y128" s="326" t="str">
        <f t="shared" si="608"/>
        <v/>
      </c>
      <c r="Z128" s="326" t="e">
        <f t="shared" si="609"/>
        <v>#VALUE!</v>
      </c>
      <c r="AA128" s="137" t="str">
        <f t="shared" si="610"/>
        <v/>
      </c>
      <c r="AB128" s="326">
        <f t="shared" si="611"/>
        <v>0</v>
      </c>
      <c r="AC128" s="599">
        <v>1500000</v>
      </c>
      <c r="AD128" s="326" t="e">
        <f t="shared" si="545"/>
        <v>#VALUE!</v>
      </c>
      <c r="AE128" s="326" t="str">
        <f t="shared" si="546"/>
        <v/>
      </c>
      <c r="AF128" s="326" t="str">
        <f t="shared" si="547"/>
        <v/>
      </c>
      <c r="AG128" s="326" t="e">
        <f t="shared" si="548"/>
        <v>#VALUE!</v>
      </c>
      <c r="AH128" s="137" t="str">
        <f t="shared" si="549"/>
        <v/>
      </c>
      <c r="AI128" s="969">
        <f t="shared" si="550"/>
        <v>4500000</v>
      </c>
      <c r="AJ128" s="326">
        <f t="shared" si="551"/>
        <v>583622.99</v>
      </c>
      <c r="AK128" s="326" t="e">
        <f t="shared" ref="AK128:AL128" si="646">SUM(AD128,W128,P128)</f>
        <v>#VALUE!</v>
      </c>
      <c r="AL128" s="326">
        <f t="shared" si="646"/>
        <v>0</v>
      </c>
      <c r="AM128" s="326">
        <f t="shared" si="553"/>
        <v>0</v>
      </c>
      <c r="AN128" s="326">
        <f t="shared" si="554"/>
        <v>-583622.99</v>
      </c>
      <c r="AO128" s="970">
        <f t="shared" si="555"/>
        <v>0</v>
      </c>
      <c r="AP128" s="941">
        <f t="shared" si="613"/>
        <v>0</v>
      </c>
      <c r="AQ128" s="326" t="e">
        <f t="shared" si="556"/>
        <v>#VALUE!</v>
      </c>
      <c r="AR128" s="326" t="str">
        <f t="shared" si="557"/>
        <v/>
      </c>
      <c r="AS128" s="326" t="str">
        <f t="shared" si="558"/>
        <v/>
      </c>
      <c r="AT128" s="941">
        <f t="shared" si="614"/>
        <v>108828.16</v>
      </c>
      <c r="AU128" s="326" t="e">
        <f t="shared" si="559"/>
        <v>#VALUE!</v>
      </c>
      <c r="AV128" s="326" t="str">
        <f t="shared" si="560"/>
        <v/>
      </c>
      <c r="AW128" s="326" t="str">
        <f t="shared" si="561"/>
        <v/>
      </c>
      <c r="AX128" s="941">
        <f t="shared" si="615"/>
        <v>0</v>
      </c>
      <c r="AY128" s="326" t="e">
        <f t="shared" si="562"/>
        <v>#VALUE!</v>
      </c>
      <c r="AZ128" s="326" t="str">
        <f t="shared" si="563"/>
        <v/>
      </c>
      <c r="BA128" s="326" t="str">
        <f t="shared" si="564"/>
        <v/>
      </c>
      <c r="BB128" s="326" t="e">
        <f t="shared" si="565"/>
        <v>#VALUE!</v>
      </c>
      <c r="BC128" s="326" t="e">
        <f t="shared" si="566"/>
        <v>#VALUE!</v>
      </c>
      <c r="BD128" s="326" t="e">
        <f t="shared" si="567"/>
        <v>#VALUE!</v>
      </c>
      <c r="BE128" s="326" t="e">
        <f t="shared" si="568"/>
        <v>#VALUE!</v>
      </c>
      <c r="BF128" s="326" t="e">
        <f t="shared" ref="BF128:BG128" si="647">SUM(BC128,AL128)</f>
        <v>#VALUE!</v>
      </c>
      <c r="BG128" s="326" t="e">
        <f t="shared" si="647"/>
        <v>#VALUE!</v>
      </c>
      <c r="BH128" s="941">
        <f t="shared" si="617"/>
        <v>90667.199999999997</v>
      </c>
      <c r="BI128" s="326" t="e">
        <f t="shared" si="570"/>
        <v>#VALUE!</v>
      </c>
      <c r="BJ128" s="326" t="str">
        <f t="shared" si="571"/>
        <v/>
      </c>
      <c r="BK128" s="326" t="str">
        <f t="shared" si="572"/>
        <v/>
      </c>
      <c r="BL128" s="971">
        <f t="shared" si="618"/>
        <v>117251.84</v>
      </c>
      <c r="BM128" s="140" t="e">
        <f t="shared" si="573"/>
        <v>#VALUE!</v>
      </c>
      <c r="BN128" s="326" t="str">
        <f t="shared" si="574"/>
        <v/>
      </c>
      <c r="BO128" s="333" t="str">
        <f t="shared" si="575"/>
        <v/>
      </c>
      <c r="BP128" s="123">
        <f t="shared" si="619"/>
        <v>0</v>
      </c>
      <c r="BQ128" s="326" t="e">
        <f t="shared" si="576"/>
        <v>#VALUE!</v>
      </c>
      <c r="BR128" s="326" t="str">
        <f t="shared" si="577"/>
        <v/>
      </c>
      <c r="BS128" s="332" t="str">
        <f t="shared" si="578"/>
        <v/>
      </c>
      <c r="BT128" s="140" t="e">
        <f t="shared" ref="BT128:BV128" si="648">SUM(BQ128,BM128,BI128)</f>
        <v>#VALUE!</v>
      </c>
      <c r="BU128" s="326">
        <f t="shared" si="648"/>
        <v>0</v>
      </c>
      <c r="BV128" s="333">
        <f t="shared" si="648"/>
        <v>0</v>
      </c>
      <c r="BW128" s="939">
        <f t="shared" si="621"/>
        <v>117251.84</v>
      </c>
      <c r="BX128" s="326" t="e">
        <f t="shared" si="580"/>
        <v>#VALUE!</v>
      </c>
      <c r="BY128" s="326" t="str">
        <f t="shared" si="581"/>
        <v/>
      </c>
      <c r="BZ128" s="333" t="str">
        <f t="shared" si="582"/>
        <v/>
      </c>
      <c r="CA128" s="939">
        <f t="shared" si="622"/>
        <v>233185.58</v>
      </c>
      <c r="CB128" s="941">
        <f t="shared" si="623"/>
        <v>233185.58</v>
      </c>
    </row>
    <row r="129" spans="1:80" ht="13">
      <c r="A129" s="323" t="e">
        <f t="shared" si="527"/>
        <v>#N/A</v>
      </c>
      <c r="B129" s="324">
        <f t="shared" si="528"/>
        <v>4</v>
      </c>
      <c r="C129" s="558" t="str">
        <f t="shared" si="529"/>
        <v>Lista</v>
      </c>
      <c r="D129" s="558">
        <f t="shared" si="530"/>
        <v>0.2</v>
      </c>
      <c r="E129" s="558">
        <f t="shared" si="531"/>
        <v>0</v>
      </c>
      <c r="F129" s="798">
        <f t="shared" si="532"/>
        <v>1</v>
      </c>
      <c r="G129" s="558" t="str">
        <f t="shared" si="533"/>
        <v>Lista</v>
      </c>
      <c r="H129" s="558">
        <f t="shared" si="534"/>
        <v>0.2</v>
      </c>
      <c r="I129" s="558">
        <f t="shared" si="535"/>
        <v>0</v>
      </c>
      <c r="J129" s="637" t="e">
        <f t="shared" si="536"/>
        <v>#N/A</v>
      </c>
      <c r="K129" s="558" t="str">
        <f t="shared" si="537"/>
        <v/>
      </c>
      <c r="L129" s="558" t="str">
        <f t="shared" si="538"/>
        <v/>
      </c>
      <c r="M129" s="977" t="s">
        <v>954</v>
      </c>
      <c r="N129" s="326">
        <f t="shared" si="633"/>
        <v>227371.72</v>
      </c>
      <c r="O129" s="326">
        <f t="shared" ref="O129:O132" si="649">(N129*1.601)*1.05</f>
        <v>382223.22990599996</v>
      </c>
      <c r="P129" s="326">
        <f t="shared" si="599"/>
        <v>362987.24</v>
      </c>
      <c r="Q129" s="326">
        <f t="shared" si="600"/>
        <v>157349.6</v>
      </c>
      <c r="R129" s="326">
        <f t="shared" si="601"/>
        <v>520336.84</v>
      </c>
      <c r="S129" s="326">
        <f t="shared" si="602"/>
        <v>138113.61009400006</v>
      </c>
      <c r="T129" s="137">
        <f t="shared" si="603"/>
        <v>1.3613427947013224</v>
      </c>
      <c r="U129" s="326">
        <f t="shared" si="604"/>
        <v>301425.56</v>
      </c>
      <c r="V129" s="326">
        <f t="shared" ref="V129:V132" si="650">(U129*1.7245)*1.05</f>
        <v>545798.79713099997</v>
      </c>
      <c r="W129" s="326">
        <f t="shared" si="606"/>
        <v>60887.26</v>
      </c>
      <c r="X129" s="326">
        <f t="shared" si="607"/>
        <v>0</v>
      </c>
      <c r="Y129" s="326">
        <f t="shared" si="608"/>
        <v>60887.26</v>
      </c>
      <c r="Z129" s="326">
        <f t="shared" si="609"/>
        <v>-484911.53713099996</v>
      </c>
      <c r="AA129" s="137">
        <f t="shared" si="610"/>
        <v>0.11155623706035053</v>
      </c>
      <c r="AB129" s="326">
        <f t="shared" si="611"/>
        <v>0</v>
      </c>
      <c r="AC129" s="326">
        <v>1500000</v>
      </c>
      <c r="AD129" s="326">
        <f t="shared" si="545"/>
        <v>323393.25</v>
      </c>
      <c r="AE129" s="326">
        <f t="shared" si="546"/>
        <v>111975.36</v>
      </c>
      <c r="AF129" s="326">
        <f t="shared" si="547"/>
        <v>435368.61</v>
      </c>
      <c r="AG129" s="326">
        <f t="shared" si="548"/>
        <v>-1064631.3900000001</v>
      </c>
      <c r="AH129" s="137">
        <f t="shared" si="549"/>
        <v>0.29024573999999997</v>
      </c>
      <c r="AI129" s="969">
        <f t="shared" si="550"/>
        <v>2428022.0270369998</v>
      </c>
      <c r="AJ129" s="326">
        <f t="shared" si="551"/>
        <v>1275681.3500000001</v>
      </c>
      <c r="AK129" s="326">
        <f t="shared" ref="AK129:AL129" si="651">SUM(AD129,W129,P129)</f>
        <v>747267.75</v>
      </c>
      <c r="AL129" s="326">
        <f t="shared" si="651"/>
        <v>269324.96000000002</v>
      </c>
      <c r="AM129" s="326">
        <f t="shared" si="553"/>
        <v>1077479.97</v>
      </c>
      <c r="AN129" s="326">
        <f t="shared" si="554"/>
        <v>-198201.38000000012</v>
      </c>
      <c r="AO129" s="970">
        <f t="shared" si="555"/>
        <v>0.84463096524849246</v>
      </c>
      <c r="AP129" s="941">
        <f t="shared" si="613"/>
        <v>48172.5</v>
      </c>
      <c r="AQ129" s="326">
        <f t="shared" si="556"/>
        <v>92422.310000000012</v>
      </c>
      <c r="AR129" s="326">
        <f t="shared" si="557"/>
        <v>111975.36</v>
      </c>
      <c r="AS129" s="326">
        <f t="shared" si="558"/>
        <v>204397.67</v>
      </c>
      <c r="AT129" s="941">
        <f t="shared" si="614"/>
        <v>312595.48</v>
      </c>
      <c r="AU129" s="326">
        <f t="shared" si="559"/>
        <v>0</v>
      </c>
      <c r="AV129" s="326">
        <f t="shared" si="560"/>
        <v>0</v>
      </c>
      <c r="AW129" s="326">
        <f t="shared" si="561"/>
        <v>0</v>
      </c>
      <c r="AX129" s="941">
        <f t="shared" si="615"/>
        <v>108437.97</v>
      </c>
      <c r="AY129" s="326">
        <f t="shared" si="562"/>
        <v>0</v>
      </c>
      <c r="AZ129" s="326">
        <f t="shared" si="563"/>
        <v>0</v>
      </c>
      <c r="BA129" s="326">
        <f t="shared" si="564"/>
        <v>0</v>
      </c>
      <c r="BB129" s="326">
        <f t="shared" si="565"/>
        <v>92422.310000000012</v>
      </c>
      <c r="BC129" s="326">
        <f t="shared" si="566"/>
        <v>111975.36</v>
      </c>
      <c r="BD129" s="326">
        <f t="shared" si="567"/>
        <v>204397.67</v>
      </c>
      <c r="BE129" s="326">
        <f t="shared" si="568"/>
        <v>839690.06</v>
      </c>
      <c r="BF129" s="326">
        <f t="shared" ref="BF129:BG129" si="652">SUM(BC129,AL129)</f>
        <v>381300.32</v>
      </c>
      <c r="BG129" s="326">
        <f t="shared" si="652"/>
        <v>1281877.6399999999</v>
      </c>
      <c r="BH129" s="941">
        <f t="shared" si="617"/>
        <v>92848.35</v>
      </c>
      <c r="BI129" s="326">
        <f t="shared" si="570"/>
        <v>109518.04</v>
      </c>
      <c r="BJ129" s="326">
        <f t="shared" si="571"/>
        <v>0</v>
      </c>
      <c r="BK129" s="326">
        <f t="shared" si="572"/>
        <v>109518.04</v>
      </c>
      <c r="BL129" s="971">
        <f t="shared" si="618"/>
        <v>106564.5</v>
      </c>
      <c r="BM129" s="140">
        <f t="shared" si="573"/>
        <v>224081.08</v>
      </c>
      <c r="BN129" s="326">
        <f t="shared" si="574"/>
        <v>0</v>
      </c>
      <c r="BO129" s="333">
        <f t="shared" si="575"/>
        <v>224081.08</v>
      </c>
      <c r="BP129" s="123">
        <f t="shared" si="619"/>
        <v>217070.06</v>
      </c>
      <c r="BQ129" s="326">
        <f t="shared" si="576"/>
        <v>615542.84</v>
      </c>
      <c r="BR129" s="326">
        <f t="shared" si="577"/>
        <v>0</v>
      </c>
      <c r="BS129" s="332">
        <f t="shared" si="578"/>
        <v>615542.84</v>
      </c>
      <c r="BT129" s="140">
        <f t="shared" ref="BT129:BV129" si="653">SUM(BQ129,BM129,BI129)</f>
        <v>949141.96</v>
      </c>
      <c r="BU129" s="326">
        <f t="shared" si="653"/>
        <v>0</v>
      </c>
      <c r="BV129" s="333">
        <f t="shared" si="653"/>
        <v>949141.96</v>
      </c>
      <c r="BW129" s="939">
        <f t="shared" si="621"/>
        <v>331165.68</v>
      </c>
      <c r="BX129" s="326">
        <f t="shared" si="580"/>
        <v>491941.04000000004</v>
      </c>
      <c r="BY129" s="326">
        <f t="shared" si="581"/>
        <v>221651.13</v>
      </c>
      <c r="BZ129" s="333">
        <f t="shared" si="582"/>
        <v>713592.17</v>
      </c>
      <c r="CA129" s="939">
        <f t="shared" si="622"/>
        <v>542215.48</v>
      </c>
      <c r="CB129" s="941">
        <f t="shared" si="623"/>
        <v>402300.19</v>
      </c>
    </row>
    <row r="130" spans="1:80" ht="13">
      <c r="A130" s="323" t="e">
        <f t="shared" si="527"/>
        <v>#N/A</v>
      </c>
      <c r="B130" s="324">
        <f t="shared" si="528"/>
        <v>4</v>
      </c>
      <c r="C130" s="558" t="str">
        <f t="shared" si="529"/>
        <v>Lista</v>
      </c>
      <c r="D130" s="558">
        <f t="shared" si="530"/>
        <v>0.2</v>
      </c>
      <c r="E130" s="558">
        <f t="shared" si="531"/>
        <v>0</v>
      </c>
      <c r="F130" s="798">
        <f t="shared" si="532"/>
        <v>1</v>
      </c>
      <c r="G130" s="558" t="str">
        <f t="shared" si="533"/>
        <v>Lista</v>
      </c>
      <c r="H130" s="558">
        <f t="shared" si="534"/>
        <v>0.2</v>
      </c>
      <c r="I130" s="558">
        <f t="shared" si="535"/>
        <v>0</v>
      </c>
      <c r="J130" s="637" t="e">
        <f t="shared" si="536"/>
        <v>#N/A</v>
      </c>
      <c r="K130" s="558" t="str">
        <f t="shared" si="537"/>
        <v/>
      </c>
      <c r="L130" s="558" t="str">
        <f t="shared" si="538"/>
        <v/>
      </c>
      <c r="M130" s="977" t="s">
        <v>955</v>
      </c>
      <c r="N130" s="326">
        <f t="shared" si="633"/>
        <v>358756.62</v>
      </c>
      <c r="O130" s="326">
        <f t="shared" si="649"/>
        <v>603087.81605099991</v>
      </c>
      <c r="P130" s="326" t="e">
        <f t="shared" si="599"/>
        <v>#VALUE!</v>
      </c>
      <c r="Q130" s="326" t="str">
        <f t="shared" si="600"/>
        <v/>
      </c>
      <c r="R130" s="326">
        <f t="shared" si="601"/>
        <v>209236.24</v>
      </c>
      <c r="S130" s="326">
        <f t="shared" si="602"/>
        <v>-393851.57605099992</v>
      </c>
      <c r="T130" s="137">
        <f t="shared" si="603"/>
        <v>0.3469415803656461</v>
      </c>
      <c r="U130" s="326">
        <f t="shared" si="604"/>
        <v>338755.6</v>
      </c>
      <c r="V130" s="326">
        <f t="shared" si="650"/>
        <v>613393.23380999989</v>
      </c>
      <c r="W130" s="326" t="e">
        <f t="shared" si="606"/>
        <v>#VALUE!</v>
      </c>
      <c r="X130" s="326" t="str">
        <f t="shared" si="607"/>
        <v/>
      </c>
      <c r="Y130" s="326">
        <f t="shared" si="608"/>
        <v>134105</v>
      </c>
      <c r="Z130" s="326">
        <f t="shared" si="609"/>
        <v>-479288.23380999989</v>
      </c>
      <c r="AA130" s="137">
        <f t="shared" si="610"/>
        <v>0.21862810446575509</v>
      </c>
      <c r="AB130" s="326">
        <f t="shared" si="611"/>
        <v>77508.850000000006</v>
      </c>
      <c r="AC130" s="326">
        <v>1500000</v>
      </c>
      <c r="AD130" s="326" t="e">
        <f t="shared" si="545"/>
        <v>#VALUE!</v>
      </c>
      <c r="AE130" s="326" t="str">
        <f t="shared" si="546"/>
        <v/>
      </c>
      <c r="AF130" s="326">
        <f t="shared" si="547"/>
        <v>78748.86</v>
      </c>
      <c r="AG130" s="326">
        <f t="shared" si="548"/>
        <v>-1421251.14</v>
      </c>
      <c r="AH130" s="137">
        <f t="shared" si="549"/>
        <v>5.2499240000000003E-2</v>
      </c>
      <c r="AI130" s="969">
        <f t="shared" si="550"/>
        <v>2716481.0498609999</v>
      </c>
      <c r="AJ130" s="326">
        <f t="shared" si="551"/>
        <v>126178.27</v>
      </c>
      <c r="AK130" s="326" t="e">
        <f t="shared" ref="AK130:AL130" si="654">SUM(AD130,W130,P130)</f>
        <v>#VALUE!</v>
      </c>
      <c r="AL130" s="326">
        <f t="shared" si="654"/>
        <v>0</v>
      </c>
      <c r="AM130" s="326">
        <f t="shared" si="553"/>
        <v>556195.1</v>
      </c>
      <c r="AN130" s="326">
        <f t="shared" si="554"/>
        <v>430016.82999999996</v>
      </c>
      <c r="AO130" s="970">
        <f t="shared" si="555"/>
        <v>4.408010190661197</v>
      </c>
      <c r="AP130" s="941">
        <f t="shared" si="613"/>
        <v>24446.81</v>
      </c>
      <c r="AQ130" s="326" t="e">
        <f t="shared" si="556"/>
        <v>#VALUE!</v>
      </c>
      <c r="AR130" s="326" t="str">
        <f t="shared" si="557"/>
        <v/>
      </c>
      <c r="AS130" s="326">
        <f t="shared" si="558"/>
        <v>0</v>
      </c>
      <c r="AT130" s="941">
        <f t="shared" si="614"/>
        <v>50820.12</v>
      </c>
      <c r="AU130" s="326" t="e">
        <f t="shared" si="559"/>
        <v>#VALUE!</v>
      </c>
      <c r="AV130" s="326" t="str">
        <f t="shared" si="560"/>
        <v/>
      </c>
      <c r="AW130" s="326">
        <f t="shared" si="561"/>
        <v>0</v>
      </c>
      <c r="AX130" s="941">
        <f t="shared" si="615"/>
        <v>247729.28</v>
      </c>
      <c r="AY130" s="326" t="e">
        <f t="shared" si="562"/>
        <v>#VALUE!</v>
      </c>
      <c r="AZ130" s="326" t="str">
        <f t="shared" si="563"/>
        <v/>
      </c>
      <c r="BA130" s="326">
        <f t="shared" si="564"/>
        <v>82605.88</v>
      </c>
      <c r="BB130" s="326" t="e">
        <f t="shared" si="565"/>
        <v>#VALUE!</v>
      </c>
      <c r="BC130" s="326" t="e">
        <f t="shared" si="566"/>
        <v>#VALUE!</v>
      </c>
      <c r="BD130" s="326">
        <f t="shared" si="567"/>
        <v>82605.88</v>
      </c>
      <c r="BE130" s="326" t="e">
        <f t="shared" si="568"/>
        <v>#VALUE!</v>
      </c>
      <c r="BF130" s="326" t="e">
        <f t="shared" ref="BF130:BG130" si="655">SUM(BC130,AL130)</f>
        <v>#VALUE!</v>
      </c>
      <c r="BG130" s="326">
        <f t="shared" si="655"/>
        <v>638800.98</v>
      </c>
      <c r="BH130" s="941">
        <f t="shared" si="617"/>
        <v>252411.83</v>
      </c>
      <c r="BI130" s="326" t="e">
        <f t="shared" si="570"/>
        <v>#VALUE!</v>
      </c>
      <c r="BJ130" s="326" t="str">
        <f t="shared" si="571"/>
        <v/>
      </c>
      <c r="BK130" s="326">
        <f t="shared" si="572"/>
        <v>0</v>
      </c>
      <c r="BL130" s="971">
        <f t="shared" si="618"/>
        <v>131409.07999999999</v>
      </c>
      <c r="BM130" s="140" t="e">
        <f t="shared" si="573"/>
        <v>#VALUE!</v>
      </c>
      <c r="BN130" s="326" t="str">
        <f t="shared" si="574"/>
        <v/>
      </c>
      <c r="BO130" s="333">
        <f t="shared" si="575"/>
        <v>187385.88</v>
      </c>
      <c r="BP130" s="123">
        <f t="shared" si="619"/>
        <v>53713</v>
      </c>
      <c r="BQ130" s="326" t="e">
        <f t="shared" si="576"/>
        <v>#VALUE!</v>
      </c>
      <c r="BR130" s="326" t="str">
        <f t="shared" si="577"/>
        <v/>
      </c>
      <c r="BS130" s="332">
        <f t="shared" si="578"/>
        <v>145674.43</v>
      </c>
      <c r="BT130" s="140" t="e">
        <f t="shared" ref="BT130:BV130" si="656">SUM(BQ130,BM130,BI130)</f>
        <v>#VALUE!</v>
      </c>
      <c r="BU130" s="326">
        <f t="shared" si="656"/>
        <v>0</v>
      </c>
      <c r="BV130" s="333">
        <f t="shared" si="656"/>
        <v>333060.31</v>
      </c>
      <c r="BW130" s="939">
        <f t="shared" si="621"/>
        <v>0</v>
      </c>
      <c r="BX130" s="326" t="e">
        <f t="shared" si="580"/>
        <v>#VALUE!</v>
      </c>
      <c r="BY130" s="326" t="str">
        <f t="shared" si="581"/>
        <v/>
      </c>
      <c r="BZ130" s="333">
        <f t="shared" si="582"/>
        <v>0</v>
      </c>
      <c r="CA130" s="939">
        <f t="shared" si="622"/>
        <v>126178.27</v>
      </c>
      <c r="CB130" s="941">
        <f t="shared" si="623"/>
        <v>0</v>
      </c>
    </row>
    <row r="131" spans="1:80" ht="13">
      <c r="A131" s="323" t="e">
        <f t="shared" si="527"/>
        <v>#N/A</v>
      </c>
      <c r="B131" s="324">
        <f t="shared" si="528"/>
        <v>4</v>
      </c>
      <c r="C131" s="558" t="str">
        <f t="shared" si="529"/>
        <v>Lista</v>
      </c>
      <c r="D131" s="558">
        <f t="shared" si="530"/>
        <v>0.2</v>
      </c>
      <c r="E131" s="558">
        <f t="shared" si="531"/>
        <v>0</v>
      </c>
      <c r="F131" s="798">
        <f t="shared" si="532"/>
        <v>4</v>
      </c>
      <c r="G131" s="558" t="str">
        <f t="shared" si="533"/>
        <v>Lista</v>
      </c>
      <c r="H131" s="558">
        <f t="shared" si="534"/>
        <v>0.2</v>
      </c>
      <c r="I131" s="558">
        <f t="shared" si="535"/>
        <v>0</v>
      </c>
      <c r="J131" s="637" t="e">
        <f t="shared" si="536"/>
        <v>#N/A</v>
      </c>
      <c r="K131" s="558" t="str">
        <f t="shared" si="537"/>
        <v/>
      </c>
      <c r="L131" s="558" t="str">
        <f t="shared" si="538"/>
        <v/>
      </c>
      <c r="M131" s="977" t="s">
        <v>956</v>
      </c>
      <c r="N131" s="326">
        <f t="shared" si="633"/>
        <v>0</v>
      </c>
      <c r="O131" s="326">
        <f t="shared" si="649"/>
        <v>0</v>
      </c>
      <c r="P131" s="326">
        <f t="shared" si="599"/>
        <v>0</v>
      </c>
      <c r="Q131" s="326">
        <f t="shared" si="600"/>
        <v>0</v>
      </c>
      <c r="R131" s="326">
        <f t="shared" si="601"/>
        <v>0</v>
      </c>
      <c r="S131" s="326">
        <f t="shared" si="602"/>
        <v>0</v>
      </c>
      <c r="T131" s="137" t="str">
        <f t="shared" si="603"/>
        <v/>
      </c>
      <c r="U131" s="326">
        <f t="shared" si="604"/>
        <v>45926.26</v>
      </c>
      <c r="V131" s="326">
        <f t="shared" si="650"/>
        <v>83159.827138499997</v>
      </c>
      <c r="W131" s="326">
        <f t="shared" si="606"/>
        <v>0</v>
      </c>
      <c r="X131" s="326">
        <f t="shared" si="607"/>
        <v>0</v>
      </c>
      <c r="Y131" s="326">
        <f t="shared" si="608"/>
        <v>0</v>
      </c>
      <c r="Z131" s="326">
        <f t="shared" si="609"/>
        <v>-83159.827138499997</v>
      </c>
      <c r="AA131" s="137">
        <f>Y131/V131</f>
        <v>0</v>
      </c>
      <c r="AB131" s="326">
        <f t="shared" si="611"/>
        <v>87787.76</v>
      </c>
      <c r="AC131" s="326">
        <f>(AB131*1.5955)*1.05</f>
        <v>147068.63963399999</v>
      </c>
      <c r="AD131" s="326">
        <f t="shared" si="545"/>
        <v>0</v>
      </c>
      <c r="AE131" s="326">
        <f t="shared" si="546"/>
        <v>0</v>
      </c>
      <c r="AF131" s="326">
        <f t="shared" si="547"/>
        <v>0</v>
      </c>
      <c r="AG131" s="326">
        <f t="shared" si="548"/>
        <v>-147068.63963399999</v>
      </c>
      <c r="AH131" s="137">
        <f t="shared" si="549"/>
        <v>0</v>
      </c>
      <c r="AI131" s="969">
        <f t="shared" si="550"/>
        <v>230228.46677249999</v>
      </c>
      <c r="AJ131" s="969"/>
      <c r="AK131" s="326">
        <f t="shared" ref="AK131:AL131" si="657">SUM(AD131,W131,P131)</f>
        <v>0</v>
      </c>
      <c r="AL131" s="326">
        <f t="shared" si="657"/>
        <v>0</v>
      </c>
      <c r="AM131" s="326">
        <f t="shared" si="553"/>
        <v>0</v>
      </c>
      <c r="AN131" s="969"/>
      <c r="AO131" s="970"/>
      <c r="AP131" s="941">
        <f t="shared" si="613"/>
        <v>113982.16</v>
      </c>
      <c r="AQ131" s="326">
        <f t="shared" si="556"/>
        <v>0</v>
      </c>
      <c r="AR131" s="326">
        <f t="shared" si="557"/>
        <v>0</v>
      </c>
      <c r="AS131" s="326">
        <f t="shared" si="558"/>
        <v>0</v>
      </c>
      <c r="AT131" s="941">
        <f t="shared" si="614"/>
        <v>253754.27</v>
      </c>
      <c r="AU131" s="326">
        <f t="shared" si="559"/>
        <v>0</v>
      </c>
      <c r="AV131" s="326">
        <f t="shared" si="560"/>
        <v>0</v>
      </c>
      <c r="AW131" s="326">
        <f t="shared" si="561"/>
        <v>0</v>
      </c>
      <c r="AX131" s="941">
        <f t="shared" si="615"/>
        <v>138713.93</v>
      </c>
      <c r="AY131" s="326">
        <f t="shared" si="562"/>
        <v>0</v>
      </c>
      <c r="AZ131" s="326">
        <f t="shared" si="563"/>
        <v>0</v>
      </c>
      <c r="BA131" s="326">
        <f t="shared" si="564"/>
        <v>0</v>
      </c>
      <c r="BB131" s="326">
        <f t="shared" si="565"/>
        <v>0</v>
      </c>
      <c r="BC131" s="326">
        <f t="shared" si="566"/>
        <v>0</v>
      </c>
      <c r="BD131" s="326">
        <f t="shared" si="567"/>
        <v>0</v>
      </c>
      <c r="BE131" s="326">
        <f t="shared" si="568"/>
        <v>0</v>
      </c>
      <c r="BF131" s="326">
        <f t="shared" ref="BF131:BG131" si="658">SUM(BC131,AL131)</f>
        <v>0</v>
      </c>
      <c r="BG131" s="326">
        <f t="shared" si="658"/>
        <v>0</v>
      </c>
      <c r="BH131" s="941">
        <f t="shared" si="617"/>
        <v>180810.36</v>
      </c>
      <c r="BI131" s="326">
        <f t="shared" si="570"/>
        <v>0</v>
      </c>
      <c r="BJ131" s="326">
        <f t="shared" si="571"/>
        <v>161113.79</v>
      </c>
      <c r="BK131" s="326">
        <f t="shared" si="572"/>
        <v>161113.79</v>
      </c>
      <c r="BL131" s="971">
        <f t="shared" si="618"/>
        <v>73085.7</v>
      </c>
      <c r="BM131" s="140">
        <f t="shared" si="573"/>
        <v>0</v>
      </c>
      <c r="BN131" s="326">
        <f t="shared" si="574"/>
        <v>158208.42000000001</v>
      </c>
      <c r="BO131" s="333">
        <f t="shared" si="575"/>
        <v>158208.42000000001</v>
      </c>
      <c r="BP131" s="123">
        <f t="shared" si="619"/>
        <v>341411.73</v>
      </c>
      <c r="BQ131" s="326">
        <f t="shared" si="576"/>
        <v>0</v>
      </c>
      <c r="BR131" s="326">
        <f t="shared" si="577"/>
        <v>0</v>
      </c>
      <c r="BS131" s="332">
        <f t="shared" si="578"/>
        <v>0</v>
      </c>
      <c r="BT131" s="140">
        <f t="shared" ref="BT131:BV131" si="659">SUM(BQ131,BM131,BI131)</f>
        <v>0</v>
      </c>
      <c r="BU131" s="326">
        <f t="shared" si="659"/>
        <v>319322.21000000002</v>
      </c>
      <c r="BV131" s="333">
        <f t="shared" si="659"/>
        <v>319322.21000000002</v>
      </c>
      <c r="BW131" s="939">
        <f t="shared" si="621"/>
        <v>82230.259999999995</v>
      </c>
      <c r="BX131" s="326">
        <f t="shared" si="580"/>
        <v>0</v>
      </c>
      <c r="BY131" s="326">
        <f t="shared" si="581"/>
        <v>0</v>
      </c>
      <c r="BZ131" s="333">
        <f t="shared" si="582"/>
        <v>0</v>
      </c>
      <c r="CA131" s="939">
        <f t="shared" si="622"/>
        <v>232992.36</v>
      </c>
      <c r="CB131" s="941">
        <f t="shared" si="623"/>
        <v>0</v>
      </c>
    </row>
    <row r="132" spans="1:80" ht="13">
      <c r="A132" s="323" t="e">
        <f t="shared" si="527"/>
        <v>#N/A</v>
      </c>
      <c r="B132" s="324">
        <f t="shared" si="528"/>
        <v>4</v>
      </c>
      <c r="C132" s="558" t="str">
        <f t="shared" si="529"/>
        <v>Lista</v>
      </c>
      <c r="D132" s="558">
        <f t="shared" si="530"/>
        <v>0.2</v>
      </c>
      <c r="E132" s="558">
        <f t="shared" si="531"/>
        <v>0</v>
      </c>
      <c r="F132" s="798">
        <f t="shared" si="532"/>
        <v>4</v>
      </c>
      <c r="G132" s="558" t="str">
        <f t="shared" si="533"/>
        <v>Lista</v>
      </c>
      <c r="H132" s="558">
        <f t="shared" si="534"/>
        <v>0.2</v>
      </c>
      <c r="I132" s="558">
        <f t="shared" si="535"/>
        <v>0</v>
      </c>
      <c r="J132" s="637" t="e">
        <f t="shared" si="536"/>
        <v>#N/A</v>
      </c>
      <c r="K132" s="558" t="str">
        <f t="shared" si="537"/>
        <v/>
      </c>
      <c r="L132" s="558" t="str">
        <f t="shared" si="538"/>
        <v/>
      </c>
      <c r="M132" s="977" t="s">
        <v>957</v>
      </c>
      <c r="N132" s="326">
        <f t="shared" si="633"/>
        <v>0</v>
      </c>
      <c r="O132" s="326">
        <f t="shared" si="649"/>
        <v>0</v>
      </c>
      <c r="P132" s="326">
        <f t="shared" si="599"/>
        <v>145768.97999999998</v>
      </c>
      <c r="Q132" s="326">
        <f t="shared" si="600"/>
        <v>137984</v>
      </c>
      <c r="R132" s="326">
        <f t="shared" si="601"/>
        <v>283752.98</v>
      </c>
      <c r="S132" s="326">
        <f t="shared" si="602"/>
        <v>283752.98</v>
      </c>
      <c r="T132" s="137" t="str">
        <f t="shared" si="603"/>
        <v/>
      </c>
      <c r="U132" s="326">
        <f t="shared" si="604"/>
        <v>0</v>
      </c>
      <c r="V132" s="326">
        <f t="shared" si="650"/>
        <v>0</v>
      </c>
      <c r="W132" s="326">
        <f t="shared" si="606"/>
        <v>0</v>
      </c>
      <c r="X132" s="326">
        <f t="shared" si="607"/>
        <v>0</v>
      </c>
      <c r="Y132" s="326">
        <f t="shared" si="608"/>
        <v>0</v>
      </c>
      <c r="Z132" s="326">
        <f t="shared" si="609"/>
        <v>0</v>
      </c>
      <c r="AA132" s="137" t="str">
        <f>IFERROR(Y132/V132,"")</f>
        <v/>
      </c>
      <c r="AB132" s="326">
        <f t="shared" si="611"/>
        <v>499626.64</v>
      </c>
      <c r="AC132" s="326">
        <v>1500000</v>
      </c>
      <c r="AD132" s="326">
        <f t="shared" si="545"/>
        <v>0</v>
      </c>
      <c r="AE132" s="326">
        <f t="shared" si="546"/>
        <v>514471.5</v>
      </c>
      <c r="AF132" s="326">
        <f t="shared" si="547"/>
        <v>514471.5</v>
      </c>
      <c r="AG132" s="326">
        <f t="shared" si="548"/>
        <v>-985528.5</v>
      </c>
      <c r="AH132" s="137">
        <f t="shared" si="549"/>
        <v>0.34298099999999998</v>
      </c>
      <c r="AI132" s="969">
        <f t="shared" si="550"/>
        <v>1500000</v>
      </c>
      <c r="AJ132" s="326">
        <f>IFERROR(VLOOKUP(M132,trim2024,2,FALSE),"")</f>
        <v>825459.92</v>
      </c>
      <c r="AK132" s="326">
        <f t="shared" ref="AK132:AL132" si="660">SUM(AD132,W132,P132)</f>
        <v>145768.97999999998</v>
      </c>
      <c r="AL132" s="326">
        <f t="shared" si="660"/>
        <v>652455.5</v>
      </c>
      <c r="AM132" s="326">
        <f t="shared" si="553"/>
        <v>798224.48</v>
      </c>
      <c r="AN132" s="326">
        <f t="shared" ref="AN132:AN163" si="661">AM132-AJ132</f>
        <v>-27235.440000000061</v>
      </c>
      <c r="AO132" s="970">
        <f>IFERROR(AM132/AJ132,"")</f>
        <v>0.96700573905514386</v>
      </c>
      <c r="AP132" s="941">
        <f t="shared" si="613"/>
        <v>570372.80000000005</v>
      </c>
      <c r="AQ132" s="326">
        <f t="shared" si="556"/>
        <v>0</v>
      </c>
      <c r="AR132" s="326">
        <f t="shared" si="557"/>
        <v>360600</v>
      </c>
      <c r="AS132" s="326">
        <f t="shared" si="558"/>
        <v>360600</v>
      </c>
      <c r="AT132" s="941">
        <f t="shared" si="614"/>
        <v>0</v>
      </c>
      <c r="AU132" s="326">
        <f t="shared" si="559"/>
        <v>0</v>
      </c>
      <c r="AV132" s="326">
        <f t="shared" si="560"/>
        <v>281269.44</v>
      </c>
      <c r="AW132" s="326">
        <f t="shared" si="561"/>
        <v>281269.44</v>
      </c>
      <c r="AX132" s="941">
        <f t="shared" si="615"/>
        <v>299120</v>
      </c>
      <c r="AY132" s="326">
        <f t="shared" si="562"/>
        <v>0</v>
      </c>
      <c r="AZ132" s="326">
        <f t="shared" si="563"/>
        <v>613623.28</v>
      </c>
      <c r="BA132" s="326">
        <f t="shared" si="564"/>
        <v>613623.28</v>
      </c>
      <c r="BB132" s="326">
        <f t="shared" si="565"/>
        <v>0</v>
      </c>
      <c r="BC132" s="326">
        <f t="shared" si="566"/>
        <v>1255492.72</v>
      </c>
      <c r="BD132" s="326">
        <f t="shared" si="567"/>
        <v>1255492.72</v>
      </c>
      <c r="BE132" s="326">
        <f t="shared" si="568"/>
        <v>145768.97999999998</v>
      </c>
      <c r="BF132" s="326">
        <f t="shared" ref="BF132:BG132" si="662">SUM(BC132,AL132)</f>
        <v>1907948.22</v>
      </c>
      <c r="BG132" s="326">
        <f t="shared" si="662"/>
        <v>2053717.2</v>
      </c>
      <c r="BH132" s="941">
        <f t="shared" si="617"/>
        <v>0</v>
      </c>
      <c r="BI132" s="326">
        <f t="shared" si="570"/>
        <v>0</v>
      </c>
      <c r="BJ132" s="326">
        <f t="shared" si="571"/>
        <v>273497.68</v>
      </c>
      <c r="BK132" s="326">
        <f t="shared" si="572"/>
        <v>273497.68</v>
      </c>
      <c r="BL132" s="971">
        <f t="shared" si="618"/>
        <v>146517.6</v>
      </c>
      <c r="BM132" s="140">
        <f t="shared" si="573"/>
        <v>0</v>
      </c>
      <c r="BN132" s="326">
        <f t="shared" si="574"/>
        <v>289535.98</v>
      </c>
      <c r="BO132" s="333">
        <f t="shared" si="575"/>
        <v>289535.98</v>
      </c>
      <c r="BP132" s="123">
        <f t="shared" si="619"/>
        <v>158238.39999999999</v>
      </c>
      <c r="BQ132" s="326">
        <f t="shared" si="576"/>
        <v>0</v>
      </c>
      <c r="BR132" s="326">
        <f t="shared" si="577"/>
        <v>205372</v>
      </c>
      <c r="BS132" s="332">
        <f t="shared" si="578"/>
        <v>205372</v>
      </c>
      <c r="BT132" s="140">
        <f t="shared" ref="BT132:BV132" si="663">SUM(BQ132,BM132,BI132)</f>
        <v>0</v>
      </c>
      <c r="BU132" s="326">
        <f t="shared" si="663"/>
        <v>768405.65999999992</v>
      </c>
      <c r="BV132" s="333">
        <f t="shared" si="663"/>
        <v>768405.65999999992</v>
      </c>
      <c r="BW132" s="939">
        <f t="shared" si="621"/>
        <v>435652.4</v>
      </c>
      <c r="BX132" s="326">
        <f t="shared" si="580"/>
        <v>0</v>
      </c>
      <c r="BY132" s="326">
        <f t="shared" si="581"/>
        <v>216705.3</v>
      </c>
      <c r="BZ132" s="333">
        <f t="shared" si="582"/>
        <v>216705.3</v>
      </c>
      <c r="CA132" s="939">
        <f t="shared" si="622"/>
        <v>159066.4</v>
      </c>
      <c r="CB132" s="941">
        <f t="shared" si="623"/>
        <v>230741.12</v>
      </c>
    </row>
    <row r="133" spans="1:80" ht="13">
      <c r="A133" s="323" t="e">
        <f t="shared" si="527"/>
        <v>#N/A</v>
      </c>
      <c r="B133" s="324">
        <f t="shared" si="528"/>
        <v>4</v>
      </c>
      <c r="C133" s="558" t="str">
        <f t="shared" si="529"/>
        <v>Lista</v>
      </c>
      <c r="D133" s="558">
        <f t="shared" si="530"/>
        <v>0.2</v>
      </c>
      <c r="E133" s="558">
        <f t="shared" si="531"/>
        <v>0</v>
      </c>
      <c r="F133" s="798">
        <f t="shared" si="532"/>
        <v>1</v>
      </c>
      <c r="G133" s="558" t="str">
        <f t="shared" si="533"/>
        <v>Lista</v>
      </c>
      <c r="H133" s="558">
        <f t="shared" si="534"/>
        <v>0.2</v>
      </c>
      <c r="I133" s="558">
        <f t="shared" si="535"/>
        <v>0</v>
      </c>
      <c r="J133" s="637" t="e">
        <f t="shared" si="536"/>
        <v>#N/A</v>
      </c>
      <c r="K133" s="558" t="str">
        <f t="shared" si="537"/>
        <v/>
      </c>
      <c r="L133" s="558" t="str">
        <f t="shared" si="538"/>
        <v/>
      </c>
      <c r="M133" s="977" t="s">
        <v>958</v>
      </c>
      <c r="N133" s="326">
        <f t="shared" si="633"/>
        <v>590319.32999999996</v>
      </c>
      <c r="O133" s="975">
        <v>1800000</v>
      </c>
      <c r="P133" s="326" t="e">
        <f t="shared" si="599"/>
        <v>#VALUE!</v>
      </c>
      <c r="Q133" s="326" t="str">
        <f t="shared" si="600"/>
        <v/>
      </c>
      <c r="R133" s="326">
        <f t="shared" si="601"/>
        <v>44948.95</v>
      </c>
      <c r="S133" s="326">
        <f t="shared" si="602"/>
        <v>-1755051.05</v>
      </c>
      <c r="T133" s="137">
        <f t="shared" si="603"/>
        <v>2.4971638888888887E-2</v>
      </c>
      <c r="U133" s="326">
        <f t="shared" si="604"/>
        <v>319513.34000000003</v>
      </c>
      <c r="V133" s="975">
        <v>1800000</v>
      </c>
      <c r="W133" s="326" t="e">
        <f t="shared" si="606"/>
        <v>#VALUE!</v>
      </c>
      <c r="X133" s="326" t="str">
        <f t="shared" si="607"/>
        <v/>
      </c>
      <c r="Y133" s="326">
        <f t="shared" si="608"/>
        <v>248919.37</v>
      </c>
      <c r="Z133" s="326">
        <f t="shared" si="609"/>
        <v>-1551080.63</v>
      </c>
      <c r="AA133" s="137">
        <f>Y133/V133</f>
        <v>0.1382885388888889</v>
      </c>
      <c r="AB133" s="326">
        <f t="shared" si="611"/>
        <v>0</v>
      </c>
      <c r="AC133" s="975">
        <v>1800000</v>
      </c>
      <c r="AD133" s="326" t="e">
        <f t="shared" si="545"/>
        <v>#VALUE!</v>
      </c>
      <c r="AE133" s="326" t="str">
        <f t="shared" si="546"/>
        <v/>
      </c>
      <c r="AF133" s="326">
        <f t="shared" si="547"/>
        <v>168631.74</v>
      </c>
      <c r="AG133" s="326">
        <f t="shared" si="548"/>
        <v>-1631368.26</v>
      </c>
      <c r="AH133" s="137">
        <f>AF133/AC133</f>
        <v>9.3684299999999998E-2</v>
      </c>
      <c r="AI133" s="969">
        <f t="shared" si="550"/>
        <v>5400000</v>
      </c>
      <c r="AJ133" s="326">
        <f>VLOOKUP(M133,trim2024,2,FALSE)</f>
        <v>482228.74</v>
      </c>
      <c r="AK133" s="326" t="e">
        <f t="shared" ref="AK133:AL133" si="664">SUM(AD133,W133,P133)</f>
        <v>#VALUE!</v>
      </c>
      <c r="AL133" s="326">
        <f t="shared" si="664"/>
        <v>0</v>
      </c>
      <c r="AM133" s="326">
        <f t="shared" si="553"/>
        <v>711419.42999999993</v>
      </c>
      <c r="AN133" s="326">
        <f t="shared" si="661"/>
        <v>229190.68999999994</v>
      </c>
      <c r="AO133" s="970">
        <f>AM133/AJ133</f>
        <v>1.4752738088567678</v>
      </c>
      <c r="AP133" s="941">
        <f t="shared" si="613"/>
        <v>15760.8</v>
      </c>
      <c r="AQ133" s="326" t="e">
        <f t="shared" si="556"/>
        <v>#VALUE!</v>
      </c>
      <c r="AR133" s="326" t="str">
        <f t="shared" si="557"/>
        <v/>
      </c>
      <c r="AS133" s="326">
        <f t="shared" si="558"/>
        <v>0</v>
      </c>
      <c r="AT133" s="941">
        <f t="shared" si="614"/>
        <v>204119.16</v>
      </c>
      <c r="AU133" s="326" t="e">
        <f t="shared" si="559"/>
        <v>#VALUE!</v>
      </c>
      <c r="AV133" s="326" t="str">
        <f t="shared" si="560"/>
        <v/>
      </c>
      <c r="AW133" s="326">
        <f t="shared" si="561"/>
        <v>0</v>
      </c>
      <c r="AX133" s="941">
        <f t="shared" si="615"/>
        <v>295614.81</v>
      </c>
      <c r="AY133" s="326" t="e">
        <f t="shared" si="562"/>
        <v>#VALUE!</v>
      </c>
      <c r="AZ133" s="326" t="str">
        <f t="shared" si="563"/>
        <v/>
      </c>
      <c r="BA133" s="326">
        <f t="shared" si="564"/>
        <v>118726.24</v>
      </c>
      <c r="BB133" s="326" t="e">
        <f t="shared" si="565"/>
        <v>#VALUE!</v>
      </c>
      <c r="BC133" s="326" t="e">
        <f t="shared" si="566"/>
        <v>#VALUE!</v>
      </c>
      <c r="BD133" s="326">
        <f t="shared" si="567"/>
        <v>118726.24</v>
      </c>
      <c r="BE133" s="326" t="e">
        <f t="shared" si="568"/>
        <v>#VALUE!</v>
      </c>
      <c r="BF133" s="326" t="e">
        <f t="shared" ref="BF133:BG133" si="665">SUM(BC133,AL133)</f>
        <v>#VALUE!</v>
      </c>
      <c r="BG133" s="326">
        <f t="shared" si="665"/>
        <v>830145.66999999993</v>
      </c>
      <c r="BH133" s="941">
        <f t="shared" si="617"/>
        <v>130882.5</v>
      </c>
      <c r="BI133" s="326" t="e">
        <f t="shared" si="570"/>
        <v>#VALUE!</v>
      </c>
      <c r="BJ133" s="326" t="str">
        <f t="shared" si="571"/>
        <v/>
      </c>
      <c r="BK133" s="326">
        <f t="shared" si="572"/>
        <v>21445.58</v>
      </c>
      <c r="BL133" s="971">
        <f t="shared" si="618"/>
        <v>325846.89</v>
      </c>
      <c r="BM133" s="140" t="e">
        <f t="shared" si="573"/>
        <v>#VALUE!</v>
      </c>
      <c r="BN133" s="326" t="str">
        <f t="shared" si="574"/>
        <v/>
      </c>
      <c r="BO133" s="333">
        <f t="shared" si="575"/>
        <v>48017.1</v>
      </c>
      <c r="BP133" s="123">
        <f t="shared" si="619"/>
        <v>375404.74</v>
      </c>
      <c r="BQ133" s="326" t="e">
        <f t="shared" si="576"/>
        <v>#VALUE!</v>
      </c>
      <c r="BR133" s="326" t="str">
        <f t="shared" si="577"/>
        <v/>
      </c>
      <c r="BS133" s="332">
        <f t="shared" si="578"/>
        <v>0</v>
      </c>
      <c r="BT133" s="140" t="e">
        <f t="shared" ref="BT133:BV133" si="666">SUM(BQ133,BM133,BI133)</f>
        <v>#VALUE!</v>
      </c>
      <c r="BU133" s="326">
        <f t="shared" si="666"/>
        <v>0</v>
      </c>
      <c r="BV133" s="333">
        <f t="shared" si="666"/>
        <v>69462.679999999993</v>
      </c>
      <c r="BW133" s="939">
        <f t="shared" si="621"/>
        <v>131120.06</v>
      </c>
      <c r="BX133" s="326" t="e">
        <f t="shared" si="580"/>
        <v>#VALUE!</v>
      </c>
      <c r="BY133" s="326" t="str">
        <f t="shared" si="581"/>
        <v/>
      </c>
      <c r="BZ133" s="333">
        <f t="shared" si="582"/>
        <v>0</v>
      </c>
      <c r="CA133" s="939">
        <f t="shared" si="622"/>
        <v>84287.74</v>
      </c>
      <c r="CB133" s="941">
        <f t="shared" si="623"/>
        <v>266820.94</v>
      </c>
    </row>
    <row r="134" spans="1:80" ht="13">
      <c r="A134" s="323" t="e">
        <f t="shared" si="527"/>
        <v>#N/A</v>
      </c>
      <c r="B134" s="324">
        <f t="shared" si="528"/>
        <v>4</v>
      </c>
      <c r="C134" s="558" t="str">
        <f t="shared" si="529"/>
        <v>Lista</v>
      </c>
      <c r="D134" s="558">
        <f t="shared" si="530"/>
        <v>0.2</v>
      </c>
      <c r="E134" s="558">
        <f t="shared" si="531"/>
        <v>0</v>
      </c>
      <c r="F134" s="798">
        <f t="shared" si="532"/>
        <v>1</v>
      </c>
      <c r="G134" s="558" t="str">
        <f t="shared" si="533"/>
        <v>Lista</v>
      </c>
      <c r="H134" s="558">
        <f t="shared" si="534"/>
        <v>0.2</v>
      </c>
      <c r="I134" s="558">
        <f t="shared" si="535"/>
        <v>0</v>
      </c>
      <c r="J134" s="637" t="e">
        <f t="shared" si="536"/>
        <v>#N/A</v>
      </c>
      <c r="K134" s="558" t="str">
        <f t="shared" si="537"/>
        <v/>
      </c>
      <c r="L134" s="558" t="str">
        <f t="shared" si="538"/>
        <v/>
      </c>
      <c r="M134" s="977" t="s">
        <v>959</v>
      </c>
      <c r="N134" s="326"/>
      <c r="O134" s="975"/>
      <c r="P134" s="326" t="e">
        <f t="shared" si="599"/>
        <v>#VALUE!</v>
      </c>
      <c r="Q134" s="326" t="str">
        <f t="shared" si="600"/>
        <v/>
      </c>
      <c r="R134" s="326">
        <f t="shared" si="601"/>
        <v>0</v>
      </c>
      <c r="S134" s="326">
        <f t="shared" si="602"/>
        <v>0</v>
      </c>
      <c r="T134" s="137" t="str">
        <f t="shared" si="603"/>
        <v/>
      </c>
      <c r="U134" s="326" t="str">
        <f t="shared" si="604"/>
        <v/>
      </c>
      <c r="V134" s="975">
        <v>1800000</v>
      </c>
      <c r="W134" s="326" t="e">
        <f t="shared" si="606"/>
        <v>#VALUE!</v>
      </c>
      <c r="X134" s="326" t="str">
        <f t="shared" si="607"/>
        <v/>
      </c>
      <c r="Y134" s="326">
        <f t="shared" si="608"/>
        <v>0</v>
      </c>
      <c r="Z134" s="326">
        <f t="shared" si="609"/>
        <v>-1800000</v>
      </c>
      <c r="AA134" s="137">
        <f>IFERROR(Y134/V134,"")</f>
        <v>0</v>
      </c>
      <c r="AB134" s="326" t="str">
        <f t="shared" si="611"/>
        <v/>
      </c>
      <c r="AC134" s="975">
        <v>1800000</v>
      </c>
      <c r="AD134" s="326" t="e">
        <f t="shared" si="545"/>
        <v>#VALUE!</v>
      </c>
      <c r="AE134" s="326" t="str">
        <f t="shared" si="546"/>
        <v/>
      </c>
      <c r="AF134" s="326">
        <f t="shared" si="547"/>
        <v>0</v>
      </c>
      <c r="AG134" s="326">
        <f t="shared" si="548"/>
        <v>-1800000</v>
      </c>
      <c r="AH134" s="137">
        <f t="shared" ref="AH134:AH163" si="667">IFERROR(AF134/AC134,"")</f>
        <v>0</v>
      </c>
      <c r="AI134" s="969">
        <f t="shared" si="550"/>
        <v>3600000</v>
      </c>
      <c r="AJ134" s="326" t="str">
        <f t="shared" ref="AJ134:AJ163" si="668">IFERROR(VLOOKUP(M134,trim2024,2,FALSE),"")</f>
        <v/>
      </c>
      <c r="AK134" s="326" t="e">
        <f t="shared" ref="AK134:AL134" si="669">SUM(AD134,W134,P134)</f>
        <v>#VALUE!</v>
      </c>
      <c r="AL134" s="326">
        <f t="shared" si="669"/>
        <v>0</v>
      </c>
      <c r="AM134" s="326">
        <f t="shared" si="553"/>
        <v>0</v>
      </c>
      <c r="AN134" s="326" t="e">
        <f t="shared" si="661"/>
        <v>#VALUE!</v>
      </c>
      <c r="AO134" s="970" t="str">
        <f t="shared" ref="AO134:AO163" si="670">IFERROR(AM134/AJ134,"")</f>
        <v/>
      </c>
      <c r="AP134" s="941" t="str">
        <f t="shared" si="613"/>
        <v/>
      </c>
      <c r="AQ134" s="326" t="e">
        <f t="shared" si="556"/>
        <v>#VALUE!</v>
      </c>
      <c r="AR134" s="326" t="str">
        <f t="shared" si="557"/>
        <v/>
      </c>
      <c r="AS134" s="326">
        <f t="shared" si="558"/>
        <v>0</v>
      </c>
      <c r="AT134" s="941" t="str">
        <f t="shared" si="614"/>
        <v/>
      </c>
      <c r="AU134" s="326" t="e">
        <f t="shared" si="559"/>
        <v>#VALUE!</v>
      </c>
      <c r="AV134" s="326" t="str">
        <f t="shared" si="560"/>
        <v/>
      </c>
      <c r="AW134" s="326">
        <f t="shared" si="561"/>
        <v>0</v>
      </c>
      <c r="AX134" s="941" t="str">
        <f t="shared" si="615"/>
        <v/>
      </c>
      <c r="AY134" s="326" t="e">
        <f t="shared" si="562"/>
        <v>#VALUE!</v>
      </c>
      <c r="AZ134" s="326" t="str">
        <f t="shared" si="563"/>
        <v/>
      </c>
      <c r="BA134" s="326">
        <f t="shared" si="564"/>
        <v>60888.22</v>
      </c>
      <c r="BB134" s="326" t="e">
        <f t="shared" si="565"/>
        <v>#VALUE!</v>
      </c>
      <c r="BC134" s="326" t="e">
        <f t="shared" si="566"/>
        <v>#VALUE!</v>
      </c>
      <c r="BD134" s="326">
        <f t="shared" si="567"/>
        <v>60888.22</v>
      </c>
      <c r="BE134" s="326" t="e">
        <f t="shared" si="568"/>
        <v>#VALUE!</v>
      </c>
      <c r="BF134" s="326" t="e">
        <f t="shared" ref="BF134:BG134" si="671">SUM(BC134,AL134)</f>
        <v>#VALUE!</v>
      </c>
      <c r="BG134" s="326">
        <f t="shared" si="671"/>
        <v>60888.22</v>
      </c>
      <c r="BH134" s="941" t="str">
        <f t="shared" si="617"/>
        <v/>
      </c>
      <c r="BI134" s="326" t="e">
        <f t="shared" si="570"/>
        <v>#VALUE!</v>
      </c>
      <c r="BJ134" s="326" t="str">
        <f t="shared" si="571"/>
        <v/>
      </c>
      <c r="BK134" s="326">
        <f t="shared" si="572"/>
        <v>169868.18</v>
      </c>
      <c r="BL134" s="971" t="str">
        <f t="shared" si="618"/>
        <v/>
      </c>
      <c r="BM134" s="140" t="e">
        <f t="shared" si="573"/>
        <v>#VALUE!</v>
      </c>
      <c r="BN134" s="326" t="str">
        <f t="shared" si="574"/>
        <v/>
      </c>
      <c r="BO134" s="333">
        <f t="shared" si="575"/>
        <v>0</v>
      </c>
      <c r="BP134" s="123" t="str">
        <f t="shared" si="619"/>
        <v/>
      </c>
      <c r="BQ134" s="326" t="e">
        <f t="shared" si="576"/>
        <v>#VALUE!</v>
      </c>
      <c r="BR134" s="326" t="str">
        <f t="shared" si="577"/>
        <v/>
      </c>
      <c r="BS134" s="332">
        <f t="shared" si="578"/>
        <v>111987.84</v>
      </c>
      <c r="BT134" s="140" t="e">
        <f t="shared" ref="BT134:BV134" si="672">SUM(BQ134,BM134,BI134)</f>
        <v>#VALUE!</v>
      </c>
      <c r="BU134" s="326">
        <f t="shared" si="672"/>
        <v>0</v>
      </c>
      <c r="BV134" s="333">
        <f t="shared" si="672"/>
        <v>281856.02</v>
      </c>
      <c r="BW134" s="939" t="str">
        <f t="shared" si="621"/>
        <v/>
      </c>
      <c r="BX134" s="326" t="e">
        <f t="shared" si="580"/>
        <v>#VALUE!</v>
      </c>
      <c r="BY134" s="326" t="str">
        <f t="shared" si="581"/>
        <v/>
      </c>
      <c r="BZ134" s="333">
        <f t="shared" si="582"/>
        <v>72308</v>
      </c>
      <c r="CA134" s="939" t="str">
        <f t="shared" si="622"/>
        <v/>
      </c>
      <c r="CB134" s="941" t="str">
        <f t="shared" si="623"/>
        <v/>
      </c>
    </row>
    <row r="135" spans="1:80" ht="13">
      <c r="A135" s="323" t="e">
        <f t="shared" si="527"/>
        <v>#N/A</v>
      </c>
      <c r="B135" s="324">
        <f t="shared" si="528"/>
        <v>4</v>
      </c>
      <c r="C135" s="558" t="str">
        <f t="shared" si="529"/>
        <v>Lista</v>
      </c>
      <c r="D135" s="558">
        <f t="shared" si="530"/>
        <v>0.2</v>
      </c>
      <c r="E135" s="558">
        <f t="shared" si="531"/>
        <v>0</v>
      </c>
      <c r="F135" s="798">
        <f t="shared" si="532"/>
        <v>4</v>
      </c>
      <c r="G135" s="558" t="str">
        <f t="shared" si="533"/>
        <v>Lista</v>
      </c>
      <c r="H135" s="558">
        <f t="shared" si="534"/>
        <v>0.2</v>
      </c>
      <c r="I135" s="558">
        <f t="shared" si="535"/>
        <v>0</v>
      </c>
      <c r="J135" s="637" t="e">
        <f t="shared" si="536"/>
        <v>#N/A</v>
      </c>
      <c r="K135" s="558" t="str">
        <f t="shared" si="537"/>
        <v/>
      </c>
      <c r="L135" s="558" t="str">
        <f t="shared" si="538"/>
        <v/>
      </c>
      <c r="M135" s="977" t="s">
        <v>960</v>
      </c>
      <c r="N135" s="326">
        <f>IFERROR(VLOOKUP(M135,VARGAS24,3,FALSE),"")</f>
        <v>164130.34</v>
      </c>
      <c r="O135" s="326">
        <f t="shared" ref="O135:O139" si="673">(N135*1.601)*1.05</f>
        <v>275911.30805699999</v>
      </c>
      <c r="P135" s="326">
        <f t="shared" si="599"/>
        <v>0</v>
      </c>
      <c r="Q135" s="326">
        <f t="shared" si="600"/>
        <v>370934.24</v>
      </c>
      <c r="R135" s="326">
        <f t="shared" si="601"/>
        <v>370934.24</v>
      </c>
      <c r="S135" s="326">
        <f t="shared" si="602"/>
        <v>95022.931943000003</v>
      </c>
      <c r="T135" s="137">
        <f t="shared" si="603"/>
        <v>1.3443966563464278</v>
      </c>
      <c r="U135" s="326">
        <f t="shared" si="604"/>
        <v>230954.23999999999</v>
      </c>
      <c r="V135" s="326">
        <f t="shared" ref="V135:V141" si="674">(U135*1.7245)*1.05</f>
        <v>418194.616224</v>
      </c>
      <c r="W135" s="326">
        <f t="shared" si="606"/>
        <v>0</v>
      </c>
      <c r="X135" s="326">
        <f t="shared" si="607"/>
        <v>295863.59999999998</v>
      </c>
      <c r="Y135" s="326">
        <f t="shared" si="608"/>
        <v>295863.59999999998</v>
      </c>
      <c r="Z135" s="326">
        <f t="shared" si="609"/>
        <v>-122331.01622400002</v>
      </c>
      <c r="AA135" s="137">
        <f t="shared" ref="AA135:AA137" si="675">Y135/V135</f>
        <v>0.70747826136892411</v>
      </c>
      <c r="AB135" s="326">
        <f t="shared" si="611"/>
        <v>402797.68</v>
      </c>
      <c r="AC135" s="326">
        <f t="shared" ref="AC135:AC141" si="676">(AB135*1.5955)*1.05</f>
        <v>674796.88336199999</v>
      </c>
      <c r="AD135" s="326">
        <f t="shared" si="545"/>
        <v>0</v>
      </c>
      <c r="AE135" s="326">
        <f t="shared" si="546"/>
        <v>262718.88</v>
      </c>
      <c r="AF135" s="326">
        <f t="shared" si="547"/>
        <v>262718.88</v>
      </c>
      <c r="AG135" s="326">
        <f t="shared" si="548"/>
        <v>-412078.00336199999</v>
      </c>
      <c r="AH135" s="137">
        <f t="shared" si="667"/>
        <v>0.38933031031659704</v>
      </c>
      <c r="AI135" s="969">
        <f t="shared" si="550"/>
        <v>1368902.807643</v>
      </c>
      <c r="AJ135" s="326">
        <f t="shared" si="668"/>
        <v>1034032.8</v>
      </c>
      <c r="AK135" s="326">
        <f t="shared" ref="AK135:AL135" si="677">SUM(AD135,W135,P135)</f>
        <v>0</v>
      </c>
      <c r="AL135" s="326">
        <f t="shared" si="677"/>
        <v>929516.72</v>
      </c>
      <c r="AM135" s="326">
        <f t="shared" si="553"/>
        <v>1225380.3199999998</v>
      </c>
      <c r="AN135" s="326">
        <f t="shared" si="661"/>
        <v>191347.51999999979</v>
      </c>
      <c r="AO135" s="970">
        <f t="shared" si="670"/>
        <v>1.1850497585763236</v>
      </c>
      <c r="AP135" s="941">
        <f t="shared" si="613"/>
        <v>324524.88</v>
      </c>
      <c r="AQ135" s="326">
        <f t="shared" si="556"/>
        <v>0</v>
      </c>
      <c r="AR135" s="326">
        <f t="shared" si="557"/>
        <v>226767.12</v>
      </c>
      <c r="AS135" s="326">
        <f t="shared" si="558"/>
        <v>226767.12</v>
      </c>
      <c r="AT135" s="941">
        <f t="shared" si="614"/>
        <v>223358.64</v>
      </c>
      <c r="AU135" s="326">
        <f t="shared" si="559"/>
        <v>0</v>
      </c>
      <c r="AV135" s="326">
        <f t="shared" si="560"/>
        <v>250195.68</v>
      </c>
      <c r="AW135" s="326">
        <f t="shared" si="561"/>
        <v>250195.68</v>
      </c>
      <c r="AX135" s="941">
        <f t="shared" si="615"/>
        <v>357502.59</v>
      </c>
      <c r="AY135" s="326">
        <f t="shared" si="562"/>
        <v>0</v>
      </c>
      <c r="AZ135" s="326">
        <f t="shared" si="563"/>
        <v>196245.28</v>
      </c>
      <c r="BA135" s="326">
        <f t="shared" si="564"/>
        <v>196245.28</v>
      </c>
      <c r="BB135" s="326">
        <f t="shared" si="565"/>
        <v>0</v>
      </c>
      <c r="BC135" s="326">
        <f t="shared" si="566"/>
        <v>673208.08</v>
      </c>
      <c r="BD135" s="326">
        <f t="shared" si="567"/>
        <v>673208.08</v>
      </c>
      <c r="BE135" s="326">
        <f t="shared" si="568"/>
        <v>0</v>
      </c>
      <c r="BF135" s="326">
        <f t="shared" ref="BF135:BG135" si="678">SUM(BC135,AL135)</f>
        <v>1602724.7999999998</v>
      </c>
      <c r="BG135" s="326">
        <f t="shared" si="678"/>
        <v>1898588.4</v>
      </c>
      <c r="BH135" s="941">
        <f t="shared" si="617"/>
        <v>272783.31</v>
      </c>
      <c r="BI135" s="326">
        <f t="shared" si="570"/>
        <v>0</v>
      </c>
      <c r="BJ135" s="326">
        <f t="shared" si="571"/>
        <v>377500.32</v>
      </c>
      <c r="BK135" s="326">
        <f t="shared" si="572"/>
        <v>377500.32</v>
      </c>
      <c r="BL135" s="971">
        <f t="shared" si="618"/>
        <v>100912.19</v>
      </c>
      <c r="BM135" s="140">
        <f t="shared" si="573"/>
        <v>0</v>
      </c>
      <c r="BN135" s="326">
        <f t="shared" si="574"/>
        <v>382468</v>
      </c>
      <c r="BO135" s="333">
        <f t="shared" si="575"/>
        <v>382468</v>
      </c>
      <c r="BP135" s="123">
        <f t="shared" si="619"/>
        <v>300730.71999999997</v>
      </c>
      <c r="BQ135" s="326">
        <f t="shared" si="576"/>
        <v>0</v>
      </c>
      <c r="BR135" s="326">
        <f t="shared" si="577"/>
        <v>319059.59999999998</v>
      </c>
      <c r="BS135" s="332">
        <f t="shared" si="578"/>
        <v>319059.59999999998</v>
      </c>
      <c r="BT135" s="140">
        <f t="shared" ref="BT135:BV135" si="679">SUM(BQ135,BM135,BI135)</f>
        <v>0</v>
      </c>
      <c r="BU135" s="326">
        <f t="shared" si="679"/>
        <v>1079027.92</v>
      </c>
      <c r="BV135" s="333">
        <f t="shared" si="679"/>
        <v>1079027.92</v>
      </c>
      <c r="BW135" s="939">
        <f t="shared" si="621"/>
        <v>195998.24</v>
      </c>
      <c r="BX135" s="326">
        <f t="shared" si="580"/>
        <v>67495.520000000019</v>
      </c>
      <c r="BY135" s="326">
        <f t="shared" si="581"/>
        <v>795879.33</v>
      </c>
      <c r="BZ135" s="333">
        <f t="shared" si="582"/>
        <v>863374.85</v>
      </c>
      <c r="CA135" s="939">
        <f t="shared" si="622"/>
        <v>422723.76</v>
      </c>
      <c r="CB135" s="941">
        <f t="shared" si="623"/>
        <v>415310.8</v>
      </c>
    </row>
    <row r="136" spans="1:80" ht="13">
      <c r="A136" s="323" t="e">
        <f t="shared" si="527"/>
        <v>#N/A</v>
      </c>
      <c r="B136" s="324">
        <f t="shared" si="528"/>
        <v>4</v>
      </c>
      <c r="C136" s="558" t="str">
        <f t="shared" si="529"/>
        <v>Lista</v>
      </c>
      <c r="D136" s="558">
        <f t="shared" si="530"/>
        <v>0.2</v>
      </c>
      <c r="E136" s="558">
        <f t="shared" si="531"/>
        <v>0</v>
      </c>
      <c r="F136" s="798">
        <f t="shared" si="532"/>
        <v>1</v>
      </c>
      <c r="G136" s="558" t="str">
        <f t="shared" si="533"/>
        <v>Lista</v>
      </c>
      <c r="H136" s="558">
        <f t="shared" si="534"/>
        <v>0.2</v>
      </c>
      <c r="I136" s="558">
        <f t="shared" si="535"/>
        <v>0</v>
      </c>
      <c r="J136" s="637" t="e">
        <f t="shared" si="536"/>
        <v>#N/A</v>
      </c>
      <c r="K136" s="558" t="str">
        <f t="shared" si="537"/>
        <v/>
      </c>
      <c r="L136" s="558" t="str">
        <f t="shared" si="538"/>
        <v/>
      </c>
      <c r="M136" s="977" t="s">
        <v>961</v>
      </c>
      <c r="N136" s="326">
        <f>IFERROR(VLOOKUP(M136,VARGAS24,3,FALSE),"")</f>
        <v>64686.74</v>
      </c>
      <c r="O136" s="326">
        <f t="shared" si="673"/>
        <v>108741.644277</v>
      </c>
      <c r="P136" s="326">
        <f t="shared" si="599"/>
        <v>0</v>
      </c>
      <c r="Q136" s="326">
        <f t="shared" si="600"/>
        <v>0</v>
      </c>
      <c r="R136" s="326">
        <f t="shared" si="601"/>
        <v>0</v>
      </c>
      <c r="S136" s="326">
        <f t="shared" si="602"/>
        <v>-108741.644277</v>
      </c>
      <c r="T136" s="137">
        <f t="shared" si="603"/>
        <v>0</v>
      </c>
      <c r="U136" s="326">
        <f t="shared" si="604"/>
        <v>89839.58</v>
      </c>
      <c r="V136" s="326">
        <f t="shared" si="674"/>
        <v>162674.77349550001</v>
      </c>
      <c r="W136" s="326">
        <f t="shared" si="606"/>
        <v>0</v>
      </c>
      <c r="X136" s="326">
        <f t="shared" si="607"/>
        <v>0</v>
      </c>
      <c r="Y136" s="326">
        <f t="shared" si="608"/>
        <v>0</v>
      </c>
      <c r="Z136" s="326">
        <f t="shared" si="609"/>
        <v>-162674.77349550001</v>
      </c>
      <c r="AA136" s="137">
        <f t="shared" si="675"/>
        <v>0</v>
      </c>
      <c r="AB136" s="326">
        <f t="shared" si="611"/>
        <v>0</v>
      </c>
      <c r="AC136" s="326">
        <f t="shared" si="676"/>
        <v>0</v>
      </c>
      <c r="AD136" s="326">
        <f t="shared" si="545"/>
        <v>0</v>
      </c>
      <c r="AE136" s="326">
        <f t="shared" si="546"/>
        <v>0</v>
      </c>
      <c r="AF136" s="326">
        <f t="shared" si="547"/>
        <v>0</v>
      </c>
      <c r="AG136" s="326">
        <f t="shared" si="548"/>
        <v>0</v>
      </c>
      <c r="AH136" s="137" t="str">
        <f t="shared" si="667"/>
        <v/>
      </c>
      <c r="AI136" s="969">
        <f t="shared" si="550"/>
        <v>271416.41777250002</v>
      </c>
      <c r="AJ136" s="326">
        <f t="shared" si="668"/>
        <v>108564.26</v>
      </c>
      <c r="AK136" s="326">
        <f t="shared" ref="AK136:AL136" si="680">SUM(AD136,W136,P136)</f>
        <v>0</v>
      </c>
      <c r="AL136" s="326">
        <f t="shared" si="680"/>
        <v>0</v>
      </c>
      <c r="AM136" s="326">
        <f t="shared" si="553"/>
        <v>0</v>
      </c>
      <c r="AN136" s="326">
        <f t="shared" si="661"/>
        <v>-108564.26</v>
      </c>
      <c r="AO136" s="970">
        <f t="shared" si="670"/>
        <v>0</v>
      </c>
      <c r="AP136" s="941">
        <f t="shared" si="613"/>
        <v>0</v>
      </c>
      <c r="AQ136" s="326">
        <f t="shared" si="556"/>
        <v>0</v>
      </c>
      <c r="AR136" s="326">
        <f t="shared" si="557"/>
        <v>0</v>
      </c>
      <c r="AS136" s="326">
        <f t="shared" si="558"/>
        <v>0</v>
      </c>
      <c r="AT136" s="941">
        <f t="shared" si="614"/>
        <v>17276.18</v>
      </c>
      <c r="AU136" s="326">
        <f t="shared" si="559"/>
        <v>0</v>
      </c>
      <c r="AV136" s="326">
        <f t="shared" si="560"/>
        <v>78382.740000000005</v>
      </c>
      <c r="AW136" s="326">
        <f t="shared" si="561"/>
        <v>78382.740000000005</v>
      </c>
      <c r="AX136" s="941">
        <f t="shared" si="615"/>
        <v>57574.68</v>
      </c>
      <c r="AY136" s="326">
        <f t="shared" si="562"/>
        <v>0</v>
      </c>
      <c r="AZ136" s="326">
        <f t="shared" si="563"/>
        <v>0</v>
      </c>
      <c r="BA136" s="326">
        <f t="shared" si="564"/>
        <v>0</v>
      </c>
      <c r="BB136" s="326">
        <f t="shared" si="565"/>
        <v>0</v>
      </c>
      <c r="BC136" s="326">
        <f t="shared" si="566"/>
        <v>78382.740000000005</v>
      </c>
      <c r="BD136" s="326">
        <f t="shared" si="567"/>
        <v>78382.740000000005</v>
      </c>
      <c r="BE136" s="326">
        <f t="shared" si="568"/>
        <v>0</v>
      </c>
      <c r="BF136" s="326">
        <f t="shared" ref="BF136:BG136" si="681">SUM(BC136,AL136)</f>
        <v>78382.740000000005</v>
      </c>
      <c r="BG136" s="326">
        <f t="shared" si="681"/>
        <v>78382.740000000005</v>
      </c>
      <c r="BH136" s="941">
        <f t="shared" si="617"/>
        <v>0</v>
      </c>
      <c r="BI136" s="326">
        <f t="shared" si="570"/>
        <v>0</v>
      </c>
      <c r="BJ136" s="326">
        <f t="shared" si="571"/>
        <v>78382.740000000005</v>
      </c>
      <c r="BK136" s="326">
        <f t="shared" si="572"/>
        <v>78382.740000000005</v>
      </c>
      <c r="BL136" s="971">
        <f t="shared" si="618"/>
        <v>123416.25</v>
      </c>
      <c r="BM136" s="140">
        <f t="shared" si="573"/>
        <v>0</v>
      </c>
      <c r="BN136" s="326">
        <f t="shared" si="574"/>
        <v>0</v>
      </c>
      <c r="BO136" s="333">
        <f t="shared" si="575"/>
        <v>0</v>
      </c>
      <c r="BP136" s="123">
        <f t="shared" si="619"/>
        <v>64609.86</v>
      </c>
      <c r="BQ136" s="326">
        <f t="shared" si="576"/>
        <v>0</v>
      </c>
      <c r="BR136" s="326">
        <f t="shared" si="577"/>
        <v>0</v>
      </c>
      <c r="BS136" s="332">
        <f t="shared" si="578"/>
        <v>0</v>
      </c>
      <c r="BT136" s="140">
        <f t="shared" ref="BT136:BV136" si="682">SUM(BQ136,BM136,BI136)</f>
        <v>0</v>
      </c>
      <c r="BU136" s="326">
        <f t="shared" si="682"/>
        <v>78382.740000000005</v>
      </c>
      <c r="BV136" s="333">
        <f t="shared" si="682"/>
        <v>78382.740000000005</v>
      </c>
      <c r="BW136" s="939">
        <f t="shared" si="621"/>
        <v>73351.86</v>
      </c>
      <c r="BX136" s="326">
        <f t="shared" si="580"/>
        <v>0</v>
      </c>
      <c r="BY136" s="326">
        <f t="shared" si="581"/>
        <v>0</v>
      </c>
      <c r="BZ136" s="333">
        <f t="shared" si="582"/>
        <v>0</v>
      </c>
      <c r="CA136" s="939">
        <f t="shared" si="622"/>
        <v>0</v>
      </c>
      <c r="CB136" s="941">
        <f t="shared" si="623"/>
        <v>35212.400000000001</v>
      </c>
    </row>
    <row r="137" spans="1:80" ht="13">
      <c r="A137" s="323" t="e">
        <f t="shared" si="527"/>
        <v>#N/A</v>
      </c>
      <c r="B137" s="324">
        <f t="shared" si="528"/>
        <v>4</v>
      </c>
      <c r="C137" s="558" t="str">
        <f t="shared" si="529"/>
        <v>Lista</v>
      </c>
      <c r="D137" s="558">
        <f t="shared" si="530"/>
        <v>0.2</v>
      </c>
      <c r="E137" s="558">
        <f t="shared" si="531"/>
        <v>0</v>
      </c>
      <c r="F137" s="798">
        <f t="shared" si="532"/>
        <v>4</v>
      </c>
      <c r="G137" s="558" t="str">
        <f t="shared" si="533"/>
        <v>Lista</v>
      </c>
      <c r="H137" s="558">
        <f t="shared" si="534"/>
        <v>0.2</v>
      </c>
      <c r="I137" s="558">
        <f t="shared" si="535"/>
        <v>0</v>
      </c>
      <c r="J137" s="637" t="e">
        <f t="shared" si="536"/>
        <v>#N/A</v>
      </c>
      <c r="K137" s="558" t="str">
        <f t="shared" si="537"/>
        <v/>
      </c>
      <c r="L137" s="558" t="str">
        <f t="shared" si="538"/>
        <v/>
      </c>
      <c r="M137" s="977" t="s">
        <v>962</v>
      </c>
      <c r="N137" s="326">
        <f>IFERROR(VLOOKUP(M137,VARGAS24,3,FALSE),"")</f>
        <v>260718.96</v>
      </c>
      <c r="O137" s="326">
        <f t="shared" si="673"/>
        <v>438281.607708</v>
      </c>
      <c r="P137" s="326">
        <f t="shared" si="599"/>
        <v>0</v>
      </c>
      <c r="Q137" s="326">
        <f t="shared" si="600"/>
        <v>0</v>
      </c>
      <c r="R137" s="326">
        <f t="shared" si="601"/>
        <v>0</v>
      </c>
      <c r="S137" s="326">
        <f t="shared" si="602"/>
        <v>-438281.607708</v>
      </c>
      <c r="T137" s="137">
        <f t="shared" si="603"/>
        <v>0</v>
      </c>
      <c r="U137" s="326">
        <f t="shared" si="604"/>
        <v>204716.72</v>
      </c>
      <c r="V137" s="326">
        <f t="shared" si="674"/>
        <v>370685.682822</v>
      </c>
      <c r="W137" s="326">
        <f t="shared" si="606"/>
        <v>0</v>
      </c>
      <c r="X137" s="326">
        <f t="shared" si="607"/>
        <v>352124</v>
      </c>
      <c r="Y137" s="326">
        <f t="shared" si="608"/>
        <v>352124</v>
      </c>
      <c r="Z137" s="326">
        <f t="shared" si="609"/>
        <v>-18561.682822000002</v>
      </c>
      <c r="AA137" s="137">
        <f t="shared" si="675"/>
        <v>0.94992608648736732</v>
      </c>
      <c r="AB137" s="326">
        <f t="shared" si="611"/>
        <v>177425.2</v>
      </c>
      <c r="AC137" s="326">
        <f t="shared" si="676"/>
        <v>297236.00193000003</v>
      </c>
      <c r="AD137" s="326">
        <f t="shared" si="545"/>
        <v>0</v>
      </c>
      <c r="AE137" s="326">
        <f t="shared" si="546"/>
        <v>449768.28</v>
      </c>
      <c r="AF137" s="326">
        <f t="shared" si="547"/>
        <v>449768.28</v>
      </c>
      <c r="AG137" s="326">
        <f t="shared" si="548"/>
        <v>152532.27807</v>
      </c>
      <c r="AH137" s="137">
        <f t="shared" si="667"/>
        <v>1.5131689199140883</v>
      </c>
      <c r="AI137" s="969">
        <f t="shared" si="550"/>
        <v>1106203.2924600001</v>
      </c>
      <c r="AJ137" s="326">
        <f t="shared" si="668"/>
        <v>1136325.44</v>
      </c>
      <c r="AK137" s="326">
        <f t="shared" ref="AK137:AL137" si="683">SUM(AD137,W137,P137)</f>
        <v>0</v>
      </c>
      <c r="AL137" s="326">
        <f t="shared" si="683"/>
        <v>801892.28</v>
      </c>
      <c r="AM137" s="326">
        <f t="shared" si="553"/>
        <v>1154016.28</v>
      </c>
      <c r="AN137" s="326">
        <f t="shared" si="661"/>
        <v>17690.840000000084</v>
      </c>
      <c r="AO137" s="970">
        <f t="shared" si="670"/>
        <v>1.0155684624996164</v>
      </c>
      <c r="AP137" s="941">
        <f t="shared" si="613"/>
        <v>354850.4</v>
      </c>
      <c r="AQ137" s="326">
        <f t="shared" si="556"/>
        <v>0</v>
      </c>
      <c r="AR137" s="326">
        <f t="shared" si="557"/>
        <v>458001.91999999998</v>
      </c>
      <c r="AS137" s="326">
        <f t="shared" si="558"/>
        <v>458001.91999999998</v>
      </c>
      <c r="AT137" s="941">
        <f t="shared" si="614"/>
        <v>466814.97</v>
      </c>
      <c r="AU137" s="326">
        <f t="shared" si="559"/>
        <v>0</v>
      </c>
      <c r="AV137" s="326">
        <f t="shared" si="560"/>
        <v>550313.19999999995</v>
      </c>
      <c r="AW137" s="326">
        <f t="shared" si="561"/>
        <v>550313.19999999995</v>
      </c>
      <c r="AX137" s="941">
        <f t="shared" si="615"/>
        <v>418885.2</v>
      </c>
      <c r="AY137" s="326">
        <f t="shared" si="562"/>
        <v>0</v>
      </c>
      <c r="AZ137" s="326">
        <f t="shared" si="563"/>
        <v>403854.41</v>
      </c>
      <c r="BA137" s="326">
        <f t="shared" si="564"/>
        <v>403854.41</v>
      </c>
      <c r="BB137" s="326">
        <f t="shared" si="565"/>
        <v>0</v>
      </c>
      <c r="BC137" s="326">
        <f t="shared" si="566"/>
        <v>1412169.5299999998</v>
      </c>
      <c r="BD137" s="326">
        <f t="shared" si="567"/>
        <v>1412169.5299999998</v>
      </c>
      <c r="BE137" s="326">
        <f t="shared" si="568"/>
        <v>0</v>
      </c>
      <c r="BF137" s="326">
        <f t="shared" ref="BF137:BG137" si="684">SUM(BC137,AL137)</f>
        <v>2214061.8099999996</v>
      </c>
      <c r="BG137" s="326">
        <f t="shared" si="684"/>
        <v>2566185.8099999996</v>
      </c>
      <c r="BH137" s="941">
        <f t="shared" si="617"/>
        <v>314318.32</v>
      </c>
      <c r="BI137" s="326">
        <f t="shared" si="570"/>
        <v>0</v>
      </c>
      <c r="BJ137" s="326">
        <f t="shared" si="571"/>
        <v>783827.28</v>
      </c>
      <c r="BK137" s="326">
        <f t="shared" si="572"/>
        <v>783827.28</v>
      </c>
      <c r="BL137" s="971">
        <f t="shared" si="618"/>
        <v>588681.19999999995</v>
      </c>
      <c r="BM137" s="140">
        <f t="shared" si="573"/>
        <v>0</v>
      </c>
      <c r="BN137" s="326">
        <f t="shared" si="574"/>
        <v>576827.19999999995</v>
      </c>
      <c r="BO137" s="333">
        <f t="shared" si="575"/>
        <v>576827.19999999995</v>
      </c>
      <c r="BP137" s="123">
        <f t="shared" si="619"/>
        <v>101423.6</v>
      </c>
      <c r="BQ137" s="326">
        <f t="shared" si="576"/>
        <v>0</v>
      </c>
      <c r="BR137" s="326">
        <f t="shared" si="577"/>
        <v>634899.6</v>
      </c>
      <c r="BS137" s="332">
        <f t="shared" si="578"/>
        <v>634899.6</v>
      </c>
      <c r="BT137" s="140">
        <f t="shared" ref="BT137:BV137" si="685">SUM(BQ137,BM137,BI137)</f>
        <v>0</v>
      </c>
      <c r="BU137" s="326">
        <f t="shared" si="685"/>
        <v>1995554.0799999998</v>
      </c>
      <c r="BV137" s="333">
        <f t="shared" si="685"/>
        <v>1995554.0799999998</v>
      </c>
      <c r="BW137" s="939">
        <f t="shared" si="621"/>
        <v>256015.44</v>
      </c>
      <c r="BX137" s="326">
        <f t="shared" si="580"/>
        <v>0</v>
      </c>
      <c r="BY137" s="326">
        <f t="shared" si="581"/>
        <v>0</v>
      </c>
      <c r="BZ137" s="333">
        <f t="shared" si="582"/>
        <v>0</v>
      </c>
      <c r="CA137" s="939">
        <f t="shared" si="622"/>
        <v>176062</v>
      </c>
      <c r="CB137" s="941">
        <f t="shared" si="623"/>
        <v>704248</v>
      </c>
    </row>
    <row r="138" spans="1:80" ht="13">
      <c r="A138" s="323" t="e">
        <f t="shared" si="527"/>
        <v>#N/A</v>
      </c>
      <c r="B138" s="324">
        <f t="shared" si="528"/>
        <v>4</v>
      </c>
      <c r="C138" s="558" t="str">
        <f t="shared" si="529"/>
        <v>Lista</v>
      </c>
      <c r="D138" s="558">
        <f t="shared" si="530"/>
        <v>0.2</v>
      </c>
      <c r="E138" s="558">
        <f t="shared" si="531"/>
        <v>0</v>
      </c>
      <c r="F138" s="798">
        <f t="shared" si="532"/>
        <v>4</v>
      </c>
      <c r="G138" s="558" t="str">
        <f t="shared" si="533"/>
        <v>Lista</v>
      </c>
      <c r="H138" s="558">
        <f t="shared" si="534"/>
        <v>0.2</v>
      </c>
      <c r="I138" s="558">
        <f t="shared" si="535"/>
        <v>0</v>
      </c>
      <c r="J138" s="637" t="e">
        <f t="shared" si="536"/>
        <v>#N/A</v>
      </c>
      <c r="K138" s="558" t="str">
        <f t="shared" si="537"/>
        <v/>
      </c>
      <c r="L138" s="558" t="str">
        <f t="shared" si="538"/>
        <v/>
      </c>
      <c r="M138" s="977" t="s">
        <v>963</v>
      </c>
      <c r="N138" s="326">
        <f>IFERROR(VLOOKUP(M138,VARGAS24,3,FALSE),"")</f>
        <v>402289.05</v>
      </c>
      <c r="O138" s="326">
        <f t="shared" si="673"/>
        <v>676268.00750250008</v>
      </c>
      <c r="P138" s="326">
        <f t="shared" si="599"/>
        <v>320482.08999999997</v>
      </c>
      <c r="Q138" s="326">
        <f t="shared" si="600"/>
        <v>127808.28</v>
      </c>
      <c r="R138" s="326">
        <f t="shared" si="601"/>
        <v>448290.37</v>
      </c>
      <c r="S138" s="326">
        <f t="shared" si="602"/>
        <v>-227977.63750250009</v>
      </c>
      <c r="T138" s="137">
        <f t="shared" si="603"/>
        <v>0.66288862555477712</v>
      </c>
      <c r="U138" s="326">
        <f t="shared" si="604"/>
        <v>168656.97</v>
      </c>
      <c r="V138" s="326">
        <f t="shared" si="674"/>
        <v>305391.39200324996</v>
      </c>
      <c r="W138" s="326">
        <f t="shared" si="606"/>
        <v>0</v>
      </c>
      <c r="X138" s="326">
        <f t="shared" si="607"/>
        <v>0</v>
      </c>
      <c r="Y138" s="326">
        <f t="shared" si="608"/>
        <v>0</v>
      </c>
      <c r="Z138" s="326">
        <f t="shared" si="609"/>
        <v>-305391.39200324996</v>
      </c>
      <c r="AA138" s="137">
        <f t="shared" ref="AA138:AA157" si="686">IFERROR(Y138/V138,"")</f>
        <v>0</v>
      </c>
      <c r="AB138" s="326">
        <f t="shared" si="611"/>
        <v>198190.77</v>
      </c>
      <c r="AC138" s="326">
        <f t="shared" si="676"/>
        <v>332024.04221175</v>
      </c>
      <c r="AD138" s="326">
        <f t="shared" si="545"/>
        <v>0</v>
      </c>
      <c r="AE138" s="326">
        <f t="shared" si="546"/>
        <v>0</v>
      </c>
      <c r="AF138" s="326">
        <f t="shared" si="547"/>
        <v>0</v>
      </c>
      <c r="AG138" s="326">
        <f t="shared" si="548"/>
        <v>-332024.04221175</v>
      </c>
      <c r="AH138" s="137">
        <f t="shared" si="667"/>
        <v>0</v>
      </c>
      <c r="AI138" s="969">
        <f t="shared" si="550"/>
        <v>1313683.4417175001</v>
      </c>
      <c r="AJ138" s="326">
        <f t="shared" si="668"/>
        <v>775662.64</v>
      </c>
      <c r="AK138" s="326">
        <f t="shared" ref="AK138:AL138" si="687">SUM(AD138,W138,P138)</f>
        <v>320482.08999999997</v>
      </c>
      <c r="AL138" s="326">
        <f t="shared" si="687"/>
        <v>127808.28</v>
      </c>
      <c r="AM138" s="326">
        <f t="shared" si="553"/>
        <v>448290.37</v>
      </c>
      <c r="AN138" s="326">
        <f t="shared" si="661"/>
        <v>-327372.27</v>
      </c>
      <c r="AO138" s="970">
        <f t="shared" si="670"/>
        <v>0.57794503290760524</v>
      </c>
      <c r="AP138" s="941">
        <f t="shared" si="613"/>
        <v>146893.82</v>
      </c>
      <c r="AQ138" s="326">
        <f t="shared" si="556"/>
        <v>0</v>
      </c>
      <c r="AR138" s="326">
        <f t="shared" si="557"/>
        <v>0</v>
      </c>
      <c r="AS138" s="326">
        <f t="shared" si="558"/>
        <v>0</v>
      </c>
      <c r="AT138" s="941">
        <f t="shared" si="614"/>
        <v>0</v>
      </c>
      <c r="AU138" s="326">
        <f t="shared" si="559"/>
        <v>0</v>
      </c>
      <c r="AV138" s="326">
        <f t="shared" si="560"/>
        <v>0</v>
      </c>
      <c r="AW138" s="326">
        <f t="shared" si="561"/>
        <v>0</v>
      </c>
      <c r="AX138" s="941">
        <f t="shared" si="615"/>
        <v>180419.9</v>
      </c>
      <c r="AY138" s="326">
        <f t="shared" si="562"/>
        <v>0</v>
      </c>
      <c r="AZ138" s="326">
        <f t="shared" si="563"/>
        <v>0</v>
      </c>
      <c r="BA138" s="326">
        <f t="shared" si="564"/>
        <v>0</v>
      </c>
      <c r="BB138" s="326">
        <f t="shared" si="565"/>
        <v>0</v>
      </c>
      <c r="BC138" s="326">
        <f t="shared" si="566"/>
        <v>0</v>
      </c>
      <c r="BD138" s="326">
        <f t="shared" si="567"/>
        <v>0</v>
      </c>
      <c r="BE138" s="326">
        <f t="shared" si="568"/>
        <v>320482.08999999997</v>
      </c>
      <c r="BF138" s="326">
        <f t="shared" ref="BF138:BG138" si="688">SUM(BC138,AL138)</f>
        <v>127808.28</v>
      </c>
      <c r="BG138" s="326">
        <f t="shared" si="688"/>
        <v>448290.37</v>
      </c>
      <c r="BH138" s="941">
        <f t="shared" si="617"/>
        <v>0</v>
      </c>
      <c r="BI138" s="326">
        <f t="shared" si="570"/>
        <v>0</v>
      </c>
      <c r="BJ138" s="326">
        <f t="shared" si="571"/>
        <v>0</v>
      </c>
      <c r="BK138" s="326">
        <f t="shared" si="572"/>
        <v>0</v>
      </c>
      <c r="BL138" s="971">
        <f t="shared" si="618"/>
        <v>342574.49</v>
      </c>
      <c r="BM138" s="140">
        <f t="shared" si="573"/>
        <v>0</v>
      </c>
      <c r="BN138" s="326">
        <f t="shared" si="574"/>
        <v>0</v>
      </c>
      <c r="BO138" s="333">
        <f t="shared" si="575"/>
        <v>0</v>
      </c>
      <c r="BP138" s="123">
        <f t="shared" si="619"/>
        <v>113470.32</v>
      </c>
      <c r="BQ138" s="326">
        <f t="shared" si="576"/>
        <v>0</v>
      </c>
      <c r="BR138" s="326">
        <f t="shared" si="577"/>
        <v>0</v>
      </c>
      <c r="BS138" s="332">
        <f t="shared" si="578"/>
        <v>0</v>
      </c>
      <c r="BT138" s="140">
        <f t="shared" ref="BT138:BV138" si="689">SUM(BQ138,BM138,BI138)</f>
        <v>0</v>
      </c>
      <c r="BU138" s="326">
        <f t="shared" si="689"/>
        <v>0</v>
      </c>
      <c r="BV138" s="333">
        <f t="shared" si="689"/>
        <v>0</v>
      </c>
      <c r="BW138" s="939">
        <f t="shared" si="621"/>
        <v>283411.21999999997</v>
      </c>
      <c r="BX138" s="326">
        <f t="shared" si="580"/>
        <v>0</v>
      </c>
      <c r="BY138" s="326">
        <f t="shared" si="581"/>
        <v>0</v>
      </c>
      <c r="BZ138" s="333">
        <f t="shared" si="582"/>
        <v>0</v>
      </c>
      <c r="CA138" s="939">
        <f t="shared" si="622"/>
        <v>141391.57999999999</v>
      </c>
      <c r="CB138" s="941">
        <f t="shared" si="623"/>
        <v>350859.84</v>
      </c>
    </row>
    <row r="139" spans="1:80" ht="13">
      <c r="A139" s="323" t="e">
        <f t="shared" si="527"/>
        <v>#N/A</v>
      </c>
      <c r="B139" s="324">
        <f t="shared" si="528"/>
        <v>4</v>
      </c>
      <c r="C139" s="558" t="str">
        <f t="shared" si="529"/>
        <v>Lista</v>
      </c>
      <c r="D139" s="558">
        <f t="shared" si="530"/>
        <v>0.2</v>
      </c>
      <c r="E139" s="558">
        <f t="shared" si="531"/>
        <v>0</v>
      </c>
      <c r="F139" s="798">
        <f t="shared" si="532"/>
        <v>4</v>
      </c>
      <c r="G139" s="558" t="str">
        <f t="shared" si="533"/>
        <v>Lista</v>
      </c>
      <c r="H139" s="558">
        <f t="shared" si="534"/>
        <v>0.2</v>
      </c>
      <c r="I139" s="558">
        <f t="shared" si="535"/>
        <v>0</v>
      </c>
      <c r="J139" s="637" t="e">
        <f t="shared" si="536"/>
        <v>#N/A</v>
      </c>
      <c r="K139" s="558" t="str">
        <f t="shared" si="537"/>
        <v/>
      </c>
      <c r="L139" s="558" t="str">
        <f t="shared" si="538"/>
        <v/>
      </c>
      <c r="M139" s="977" t="s">
        <v>964</v>
      </c>
      <c r="N139" s="326">
        <f>IFERROR(VLOOKUP(M139,VARGAS24,3,FALSE),"")</f>
        <v>0</v>
      </c>
      <c r="O139" s="326">
        <f t="shared" si="673"/>
        <v>0</v>
      </c>
      <c r="P139" s="326">
        <f t="shared" si="599"/>
        <v>73491.830000000016</v>
      </c>
      <c r="Q139" s="326">
        <f t="shared" si="600"/>
        <v>176792.8</v>
      </c>
      <c r="R139" s="326">
        <f t="shared" si="601"/>
        <v>250284.63</v>
      </c>
      <c r="S139" s="326">
        <f t="shared" si="602"/>
        <v>250284.63</v>
      </c>
      <c r="T139" s="137" t="str">
        <f t="shared" si="603"/>
        <v/>
      </c>
      <c r="U139" s="326">
        <f t="shared" si="604"/>
        <v>69355.839999999997</v>
      </c>
      <c r="V139" s="326">
        <f t="shared" si="674"/>
        <v>125584.353384</v>
      </c>
      <c r="W139" s="326">
        <f t="shared" si="606"/>
        <v>0</v>
      </c>
      <c r="X139" s="326">
        <f t="shared" si="607"/>
        <v>75291.759999999995</v>
      </c>
      <c r="Y139" s="326">
        <f t="shared" si="608"/>
        <v>75291.759999999995</v>
      </c>
      <c r="Z139" s="326">
        <f t="shared" si="609"/>
        <v>-50292.593384000007</v>
      </c>
      <c r="AA139" s="137">
        <f t="shared" si="686"/>
        <v>0.59953137449997407</v>
      </c>
      <c r="AB139" s="326">
        <f t="shared" si="611"/>
        <v>64834.8</v>
      </c>
      <c r="AC139" s="326">
        <f t="shared" si="676"/>
        <v>108616.11957000001</v>
      </c>
      <c r="AD139" s="326">
        <f t="shared" si="545"/>
        <v>30310</v>
      </c>
      <c r="AE139" s="326">
        <f t="shared" si="546"/>
        <v>355274.5</v>
      </c>
      <c r="AF139" s="326">
        <f t="shared" si="547"/>
        <v>385584.5</v>
      </c>
      <c r="AG139" s="326">
        <f t="shared" si="548"/>
        <v>276968.38043000002</v>
      </c>
      <c r="AH139" s="137">
        <f t="shared" si="667"/>
        <v>3.5499749164901968</v>
      </c>
      <c r="AI139" s="969">
        <f t="shared" si="550"/>
        <v>234200.472954</v>
      </c>
      <c r="AJ139" s="326">
        <f t="shared" si="668"/>
        <v>834882.93</v>
      </c>
      <c r="AK139" s="326">
        <f t="shared" ref="AK139:AL139" si="690">SUM(AD139,W139,P139)</f>
        <v>103801.83000000002</v>
      </c>
      <c r="AL139" s="326">
        <f t="shared" si="690"/>
        <v>607359.06000000006</v>
      </c>
      <c r="AM139" s="326">
        <f t="shared" si="553"/>
        <v>786452.65</v>
      </c>
      <c r="AN139" s="326">
        <f t="shared" si="661"/>
        <v>-48430.280000000028</v>
      </c>
      <c r="AO139" s="970">
        <f t="shared" si="670"/>
        <v>0.94199153167498584</v>
      </c>
      <c r="AP139" s="941">
        <f t="shared" si="613"/>
        <v>230879.98</v>
      </c>
      <c r="AQ139" s="326">
        <f t="shared" si="556"/>
        <v>0</v>
      </c>
      <c r="AR139" s="326">
        <f t="shared" si="557"/>
        <v>389304.24</v>
      </c>
      <c r="AS139" s="326">
        <f t="shared" si="558"/>
        <v>389304.24</v>
      </c>
      <c r="AT139" s="941">
        <f t="shared" si="614"/>
        <v>171307.28</v>
      </c>
      <c r="AU139" s="326">
        <f t="shared" si="559"/>
        <v>0</v>
      </c>
      <c r="AV139" s="326">
        <f t="shared" si="560"/>
        <v>494970.46</v>
      </c>
      <c r="AW139" s="326">
        <f t="shared" si="561"/>
        <v>494970.46</v>
      </c>
      <c r="AX139" s="941">
        <f t="shared" si="615"/>
        <v>274395.36</v>
      </c>
      <c r="AY139" s="326">
        <f t="shared" si="562"/>
        <v>0</v>
      </c>
      <c r="AZ139" s="326">
        <f t="shared" si="563"/>
        <v>315697.84000000003</v>
      </c>
      <c r="BA139" s="326">
        <f t="shared" si="564"/>
        <v>315697.84000000003</v>
      </c>
      <c r="BB139" s="326">
        <f t="shared" si="565"/>
        <v>0</v>
      </c>
      <c r="BC139" s="326">
        <f t="shared" si="566"/>
        <v>1199972.54</v>
      </c>
      <c r="BD139" s="326">
        <f t="shared" si="567"/>
        <v>1199972.54</v>
      </c>
      <c r="BE139" s="326">
        <f t="shared" si="568"/>
        <v>103801.83000000002</v>
      </c>
      <c r="BF139" s="326">
        <f t="shared" ref="BF139:BG139" si="691">SUM(BC139,AL139)</f>
        <v>1807331.6</v>
      </c>
      <c r="BG139" s="326">
        <f t="shared" si="691"/>
        <v>1986425.19</v>
      </c>
      <c r="BH139" s="941">
        <f t="shared" si="617"/>
        <v>355142.82</v>
      </c>
      <c r="BI139" s="326">
        <f t="shared" si="570"/>
        <v>0</v>
      </c>
      <c r="BJ139" s="326">
        <f t="shared" si="571"/>
        <v>307416</v>
      </c>
      <c r="BK139" s="326">
        <f t="shared" si="572"/>
        <v>307416</v>
      </c>
      <c r="BL139" s="971">
        <f t="shared" si="618"/>
        <v>328541.03999999998</v>
      </c>
      <c r="BM139" s="140">
        <f t="shared" si="573"/>
        <v>0</v>
      </c>
      <c r="BN139" s="326">
        <f t="shared" si="574"/>
        <v>162466.72</v>
      </c>
      <c r="BO139" s="333">
        <f t="shared" si="575"/>
        <v>162466.72</v>
      </c>
      <c r="BP139" s="123">
        <f t="shared" si="619"/>
        <v>422132.5</v>
      </c>
      <c r="BQ139" s="326">
        <f t="shared" si="576"/>
        <v>0</v>
      </c>
      <c r="BR139" s="326">
        <f t="shared" si="577"/>
        <v>215605.84</v>
      </c>
      <c r="BS139" s="332">
        <f t="shared" si="578"/>
        <v>215605.84</v>
      </c>
      <c r="BT139" s="140">
        <f t="shared" ref="BT139:BV139" si="692">SUM(BQ139,BM139,BI139)</f>
        <v>0</v>
      </c>
      <c r="BU139" s="326">
        <f t="shared" si="692"/>
        <v>685488.56</v>
      </c>
      <c r="BV139" s="333">
        <f t="shared" si="692"/>
        <v>685488.56</v>
      </c>
      <c r="BW139" s="939">
        <f t="shared" si="621"/>
        <v>156261.97</v>
      </c>
      <c r="BX139" s="326">
        <f t="shared" si="580"/>
        <v>0</v>
      </c>
      <c r="BY139" s="326">
        <f t="shared" si="581"/>
        <v>42326.64</v>
      </c>
      <c r="BZ139" s="333">
        <f t="shared" si="582"/>
        <v>42326.64</v>
      </c>
      <c r="CA139" s="939">
        <f t="shared" si="622"/>
        <v>336090.08</v>
      </c>
      <c r="CB139" s="941">
        <f t="shared" si="623"/>
        <v>342530.88</v>
      </c>
    </row>
    <row r="140" spans="1:80" ht="13">
      <c r="A140" s="323" t="e">
        <f t="shared" si="527"/>
        <v>#N/A</v>
      </c>
      <c r="B140" s="324">
        <f t="shared" si="528"/>
        <v>4</v>
      </c>
      <c r="C140" s="558" t="str">
        <f t="shared" si="529"/>
        <v>Lista</v>
      </c>
      <c r="D140" s="558">
        <f t="shared" si="530"/>
        <v>0.2</v>
      </c>
      <c r="E140" s="558">
        <f t="shared" si="531"/>
        <v>0</v>
      </c>
      <c r="F140" s="798">
        <f t="shared" si="532"/>
        <v>1</v>
      </c>
      <c r="G140" s="558" t="str">
        <f t="shared" si="533"/>
        <v>Lista</v>
      </c>
      <c r="H140" s="558">
        <f t="shared" si="534"/>
        <v>0.2</v>
      </c>
      <c r="I140" s="558">
        <f t="shared" si="535"/>
        <v>0</v>
      </c>
      <c r="J140" s="637" t="e">
        <f t="shared" si="536"/>
        <v>#N/A</v>
      </c>
      <c r="K140" s="558" t="str">
        <f t="shared" si="537"/>
        <v/>
      </c>
      <c r="L140" s="558" t="str">
        <f t="shared" si="538"/>
        <v/>
      </c>
      <c r="M140" s="977" t="s">
        <v>923</v>
      </c>
      <c r="N140" s="326"/>
      <c r="O140" s="326"/>
      <c r="P140" s="326">
        <f t="shared" si="599"/>
        <v>0</v>
      </c>
      <c r="Q140" s="326">
        <f t="shared" si="600"/>
        <v>0</v>
      </c>
      <c r="R140" s="326">
        <f t="shared" si="601"/>
        <v>0</v>
      </c>
      <c r="S140" s="326">
        <f t="shared" si="602"/>
        <v>0</v>
      </c>
      <c r="T140" s="137" t="str">
        <f t="shared" si="603"/>
        <v/>
      </c>
      <c r="U140" s="326">
        <f t="shared" si="604"/>
        <v>53608.2</v>
      </c>
      <c r="V140" s="326">
        <f t="shared" si="674"/>
        <v>97069.707945000002</v>
      </c>
      <c r="W140" s="326">
        <f t="shared" si="606"/>
        <v>0</v>
      </c>
      <c r="X140" s="326">
        <f t="shared" si="607"/>
        <v>0</v>
      </c>
      <c r="Y140" s="326">
        <f t="shared" si="608"/>
        <v>0</v>
      </c>
      <c r="Z140" s="326">
        <f t="shared" si="609"/>
        <v>-97069.707945000002</v>
      </c>
      <c r="AA140" s="137">
        <f t="shared" si="686"/>
        <v>0</v>
      </c>
      <c r="AB140" s="326">
        <f t="shared" si="611"/>
        <v>38403.519999999997</v>
      </c>
      <c r="AC140" s="326">
        <f t="shared" si="676"/>
        <v>64336.456967999999</v>
      </c>
      <c r="AD140" s="326">
        <f t="shared" si="545"/>
        <v>0</v>
      </c>
      <c r="AE140" s="326">
        <f t="shared" si="546"/>
        <v>0</v>
      </c>
      <c r="AF140" s="326">
        <f t="shared" si="547"/>
        <v>0</v>
      </c>
      <c r="AG140" s="326">
        <f t="shared" si="548"/>
        <v>-64336.456967999999</v>
      </c>
      <c r="AH140" s="137">
        <f t="shared" si="667"/>
        <v>0</v>
      </c>
      <c r="AI140" s="969">
        <f t="shared" si="550"/>
        <v>161406.16491300002</v>
      </c>
      <c r="AJ140" s="326">
        <f t="shared" si="668"/>
        <v>367850.08</v>
      </c>
      <c r="AK140" s="326">
        <f t="shared" ref="AK140:AL140" si="693">SUM(AD140,W140,P140)</f>
        <v>0</v>
      </c>
      <c r="AL140" s="326">
        <f t="shared" si="693"/>
        <v>0</v>
      </c>
      <c r="AM140" s="326">
        <f t="shared" si="553"/>
        <v>0</v>
      </c>
      <c r="AN140" s="326">
        <f t="shared" si="661"/>
        <v>-367850.08</v>
      </c>
      <c r="AO140" s="970">
        <f t="shared" si="670"/>
        <v>0</v>
      </c>
      <c r="AP140" s="941">
        <f t="shared" si="613"/>
        <v>0</v>
      </c>
      <c r="AQ140" s="326">
        <f t="shared" si="556"/>
        <v>0</v>
      </c>
      <c r="AR140" s="326">
        <f t="shared" si="557"/>
        <v>0</v>
      </c>
      <c r="AS140" s="326">
        <f t="shared" si="558"/>
        <v>0</v>
      </c>
      <c r="AT140" s="941">
        <f t="shared" si="614"/>
        <v>134169.12</v>
      </c>
      <c r="AU140" s="326">
        <f t="shared" si="559"/>
        <v>0</v>
      </c>
      <c r="AV140" s="326">
        <f t="shared" si="560"/>
        <v>0</v>
      </c>
      <c r="AW140" s="326">
        <f t="shared" si="561"/>
        <v>0</v>
      </c>
      <c r="AX140" s="941">
        <f t="shared" si="615"/>
        <v>0</v>
      </c>
      <c r="AY140" s="326">
        <f t="shared" si="562"/>
        <v>0</v>
      </c>
      <c r="AZ140" s="326">
        <f t="shared" si="563"/>
        <v>207732</v>
      </c>
      <c r="BA140" s="326">
        <f t="shared" si="564"/>
        <v>207732</v>
      </c>
      <c r="BB140" s="326">
        <f t="shared" si="565"/>
        <v>0</v>
      </c>
      <c r="BC140" s="326">
        <f t="shared" si="566"/>
        <v>207732</v>
      </c>
      <c r="BD140" s="326">
        <f t="shared" si="567"/>
        <v>207732</v>
      </c>
      <c r="BE140" s="326">
        <f t="shared" si="568"/>
        <v>0</v>
      </c>
      <c r="BF140" s="326">
        <f t="shared" ref="BF140:BG140" si="694">SUM(BC140,AL140)</f>
        <v>207732</v>
      </c>
      <c r="BG140" s="326">
        <f t="shared" si="694"/>
        <v>207732</v>
      </c>
      <c r="BH140" s="941">
        <f t="shared" si="617"/>
        <v>0</v>
      </c>
      <c r="BI140" s="326">
        <f t="shared" si="570"/>
        <v>0</v>
      </c>
      <c r="BJ140" s="326">
        <f t="shared" si="571"/>
        <v>142578.64000000001</v>
      </c>
      <c r="BK140" s="326">
        <f t="shared" si="572"/>
        <v>142578.64000000001</v>
      </c>
      <c r="BL140" s="971">
        <f t="shared" si="618"/>
        <v>0</v>
      </c>
      <c r="BM140" s="140">
        <f t="shared" si="573"/>
        <v>0</v>
      </c>
      <c r="BN140" s="326">
        <f t="shared" si="574"/>
        <v>0</v>
      </c>
      <c r="BO140" s="333">
        <f t="shared" si="575"/>
        <v>0</v>
      </c>
      <c r="BP140" s="123">
        <f t="shared" si="619"/>
        <v>83672.72</v>
      </c>
      <c r="BQ140" s="326">
        <f t="shared" si="576"/>
        <v>0</v>
      </c>
      <c r="BR140" s="326">
        <f t="shared" si="577"/>
        <v>0</v>
      </c>
      <c r="BS140" s="332">
        <f t="shared" si="578"/>
        <v>0</v>
      </c>
      <c r="BT140" s="140">
        <f t="shared" ref="BT140:BV140" si="695">SUM(BQ140,BM140,BI140)</f>
        <v>0</v>
      </c>
      <c r="BU140" s="326">
        <f t="shared" si="695"/>
        <v>142578.64000000001</v>
      </c>
      <c r="BV140" s="333">
        <f t="shared" si="695"/>
        <v>142578.64000000001</v>
      </c>
      <c r="BW140" s="939">
        <f t="shared" si="621"/>
        <v>268661.59000000003</v>
      </c>
      <c r="BX140" s="326">
        <f t="shared" si="580"/>
        <v>105791.6</v>
      </c>
      <c r="BY140" s="326">
        <f t="shared" si="581"/>
        <v>0</v>
      </c>
      <c r="BZ140" s="333">
        <f t="shared" si="582"/>
        <v>105791.6</v>
      </c>
      <c r="CA140" s="939">
        <f t="shared" si="622"/>
        <v>99188.5</v>
      </c>
      <c r="CB140" s="941">
        <f t="shared" si="623"/>
        <v>0</v>
      </c>
    </row>
    <row r="141" spans="1:80" ht="13">
      <c r="A141" s="323" t="e">
        <f t="shared" si="527"/>
        <v>#N/A</v>
      </c>
      <c r="B141" s="324">
        <f t="shared" si="528"/>
        <v>4</v>
      </c>
      <c r="C141" s="558" t="str">
        <f t="shared" si="529"/>
        <v>Lista</v>
      </c>
      <c r="D141" s="558">
        <f t="shared" si="530"/>
        <v>0.2</v>
      </c>
      <c r="E141" s="558">
        <f t="shared" si="531"/>
        <v>0</v>
      </c>
      <c r="F141" s="798">
        <f t="shared" si="532"/>
        <v>1</v>
      </c>
      <c r="G141" s="558" t="str">
        <f t="shared" si="533"/>
        <v>Lista</v>
      </c>
      <c r="H141" s="558">
        <f t="shared" si="534"/>
        <v>0.2</v>
      </c>
      <c r="I141" s="558">
        <f t="shared" si="535"/>
        <v>0</v>
      </c>
      <c r="J141" s="637" t="e">
        <f t="shared" si="536"/>
        <v>#N/A</v>
      </c>
      <c r="K141" s="558" t="str">
        <f t="shared" si="537"/>
        <v/>
      </c>
      <c r="L141" s="558" t="str">
        <f t="shared" si="538"/>
        <v/>
      </c>
      <c r="M141" s="977" t="s">
        <v>965</v>
      </c>
      <c r="N141" s="326">
        <f t="shared" ref="N141:N152" si="696">IFERROR(VLOOKUP(M141,VARGAS24,3,FALSE),"")</f>
        <v>0</v>
      </c>
      <c r="O141" s="326">
        <f>(N141*1.601)*1.05</f>
        <v>0</v>
      </c>
      <c r="P141" s="326" t="e">
        <f t="shared" si="599"/>
        <v>#VALUE!</v>
      </c>
      <c r="Q141" s="326" t="str">
        <f t="shared" si="600"/>
        <v/>
      </c>
      <c r="R141" s="326">
        <f t="shared" si="601"/>
        <v>262405.40000000002</v>
      </c>
      <c r="S141" s="326">
        <f t="shared" si="602"/>
        <v>262405.40000000002</v>
      </c>
      <c r="T141" s="137" t="str">
        <f t="shared" si="603"/>
        <v/>
      </c>
      <c r="U141" s="326">
        <f t="shared" si="604"/>
        <v>0</v>
      </c>
      <c r="V141" s="326">
        <f t="shared" si="674"/>
        <v>0</v>
      </c>
      <c r="W141" s="326" t="e">
        <f t="shared" si="606"/>
        <v>#VALUE!</v>
      </c>
      <c r="X141" s="326" t="str">
        <f t="shared" si="607"/>
        <v/>
      </c>
      <c r="Y141" s="326">
        <f t="shared" si="608"/>
        <v>88806.7</v>
      </c>
      <c r="Z141" s="326">
        <f t="shared" si="609"/>
        <v>88806.7</v>
      </c>
      <c r="AA141" s="137" t="str">
        <f t="shared" si="686"/>
        <v/>
      </c>
      <c r="AB141" s="326">
        <f t="shared" si="611"/>
        <v>0</v>
      </c>
      <c r="AC141" s="326">
        <f t="shared" si="676"/>
        <v>0</v>
      </c>
      <c r="AD141" s="326" t="e">
        <f t="shared" si="545"/>
        <v>#VALUE!</v>
      </c>
      <c r="AE141" s="326" t="str">
        <f t="shared" si="546"/>
        <v/>
      </c>
      <c r="AF141" s="326">
        <f t="shared" si="547"/>
        <v>102455.8</v>
      </c>
      <c r="AG141" s="326">
        <f t="shared" si="548"/>
        <v>102455.8</v>
      </c>
      <c r="AH141" s="137" t="str">
        <f t="shared" si="667"/>
        <v/>
      </c>
      <c r="AI141" s="969">
        <f t="shared" si="550"/>
        <v>0</v>
      </c>
      <c r="AJ141" s="326">
        <f t="shared" si="668"/>
        <v>617307.96</v>
      </c>
      <c r="AK141" s="326" t="e">
        <f t="shared" ref="AK141:AL141" si="697">SUM(AD141,W141,P141)</f>
        <v>#VALUE!</v>
      </c>
      <c r="AL141" s="326">
        <f t="shared" si="697"/>
        <v>0</v>
      </c>
      <c r="AM141" s="326">
        <f t="shared" si="553"/>
        <v>542474.60000000009</v>
      </c>
      <c r="AN141" s="326">
        <f t="shared" si="661"/>
        <v>-74833.35999999987</v>
      </c>
      <c r="AO141" s="970">
        <f t="shared" si="670"/>
        <v>0.87877467188338232</v>
      </c>
      <c r="AP141" s="941">
        <f t="shared" si="613"/>
        <v>0</v>
      </c>
      <c r="AQ141" s="326" t="e">
        <f t="shared" si="556"/>
        <v>#VALUE!</v>
      </c>
      <c r="AR141" s="326" t="str">
        <f t="shared" si="557"/>
        <v/>
      </c>
      <c r="AS141" s="326">
        <f t="shared" si="558"/>
        <v>120914.62</v>
      </c>
      <c r="AT141" s="941">
        <f t="shared" si="614"/>
        <v>0</v>
      </c>
      <c r="AU141" s="326" t="e">
        <f t="shared" si="559"/>
        <v>#VALUE!</v>
      </c>
      <c r="AV141" s="326" t="str">
        <f t="shared" si="560"/>
        <v/>
      </c>
      <c r="AW141" s="326">
        <f t="shared" si="561"/>
        <v>0</v>
      </c>
      <c r="AX141" s="941">
        <f t="shared" si="615"/>
        <v>0</v>
      </c>
      <c r="AY141" s="326" t="e">
        <f t="shared" si="562"/>
        <v>#VALUE!</v>
      </c>
      <c r="AZ141" s="326" t="str">
        <f t="shared" si="563"/>
        <v/>
      </c>
      <c r="BA141" s="326">
        <f t="shared" si="564"/>
        <v>79077.399999999994</v>
      </c>
      <c r="BB141" s="326" t="e">
        <f t="shared" si="565"/>
        <v>#VALUE!</v>
      </c>
      <c r="BC141" s="326" t="e">
        <f t="shared" si="566"/>
        <v>#VALUE!</v>
      </c>
      <c r="BD141" s="326">
        <f t="shared" si="567"/>
        <v>199992.02</v>
      </c>
      <c r="BE141" s="326" t="e">
        <f t="shared" si="568"/>
        <v>#VALUE!</v>
      </c>
      <c r="BF141" s="326" t="e">
        <f t="shared" ref="BF141:BG141" si="698">SUM(BC141,AL141)</f>
        <v>#VALUE!</v>
      </c>
      <c r="BG141" s="326">
        <f t="shared" si="698"/>
        <v>742466.62000000011</v>
      </c>
      <c r="BH141" s="941">
        <f t="shared" si="617"/>
        <v>0</v>
      </c>
      <c r="BI141" s="326" t="e">
        <f t="shared" si="570"/>
        <v>#VALUE!</v>
      </c>
      <c r="BJ141" s="326" t="str">
        <f t="shared" si="571"/>
        <v/>
      </c>
      <c r="BK141" s="326">
        <f t="shared" si="572"/>
        <v>63598.16</v>
      </c>
      <c r="BL141" s="971">
        <f t="shared" si="618"/>
        <v>0</v>
      </c>
      <c r="BM141" s="140" t="e">
        <f t="shared" si="573"/>
        <v>#VALUE!</v>
      </c>
      <c r="BN141" s="326" t="str">
        <f t="shared" si="574"/>
        <v/>
      </c>
      <c r="BO141" s="333">
        <f t="shared" si="575"/>
        <v>0</v>
      </c>
      <c r="BP141" s="123">
        <f t="shared" si="619"/>
        <v>240097.17</v>
      </c>
      <c r="BQ141" s="326" t="e">
        <f t="shared" si="576"/>
        <v>#VALUE!</v>
      </c>
      <c r="BR141" s="326" t="str">
        <f t="shared" si="577"/>
        <v/>
      </c>
      <c r="BS141" s="332">
        <f t="shared" si="578"/>
        <v>414990.72</v>
      </c>
      <c r="BT141" s="140" t="e">
        <f t="shared" ref="BT141:BV141" si="699">SUM(BQ141,BM141,BI141)</f>
        <v>#VALUE!</v>
      </c>
      <c r="BU141" s="326">
        <f t="shared" si="699"/>
        <v>0</v>
      </c>
      <c r="BV141" s="333">
        <f t="shared" si="699"/>
        <v>478588.88</v>
      </c>
      <c r="BW141" s="939">
        <f t="shared" si="621"/>
        <v>316295.03999999998</v>
      </c>
      <c r="BX141" s="326" t="e">
        <f t="shared" si="580"/>
        <v>#VALUE!</v>
      </c>
      <c r="BY141" s="326" t="str">
        <f t="shared" si="581"/>
        <v/>
      </c>
      <c r="BZ141" s="333">
        <f t="shared" si="582"/>
        <v>388540.4</v>
      </c>
      <c r="CA141" s="939">
        <f t="shared" si="622"/>
        <v>78668.160000000003</v>
      </c>
      <c r="CB141" s="941">
        <f t="shared" si="623"/>
        <v>222344.76</v>
      </c>
    </row>
    <row r="142" spans="1:80" ht="13">
      <c r="A142" s="323" t="e">
        <f t="shared" si="527"/>
        <v>#N/A</v>
      </c>
      <c r="B142" s="324">
        <f t="shared" si="528"/>
        <v>1</v>
      </c>
      <c r="C142" s="558" t="str">
        <f t="shared" si="529"/>
        <v>Lista</v>
      </c>
      <c r="D142" s="558">
        <f t="shared" si="530"/>
        <v>0.09</v>
      </c>
      <c r="E142" s="558">
        <f t="shared" si="531"/>
        <v>0</v>
      </c>
      <c r="F142" s="798">
        <f t="shared" si="532"/>
        <v>1</v>
      </c>
      <c r="G142" s="558" t="str">
        <f t="shared" si="533"/>
        <v>Lista</v>
      </c>
      <c r="H142" s="558">
        <f t="shared" si="534"/>
        <v>0.09</v>
      </c>
      <c r="I142" s="558">
        <f t="shared" si="535"/>
        <v>0</v>
      </c>
      <c r="J142" s="637" t="e">
        <f t="shared" si="536"/>
        <v>#N/A</v>
      </c>
      <c r="K142" s="558" t="str">
        <f t="shared" si="537"/>
        <v/>
      </c>
      <c r="L142" s="558" t="str">
        <f t="shared" si="538"/>
        <v/>
      </c>
      <c r="M142" s="977" t="s">
        <v>966</v>
      </c>
      <c r="N142" s="326">
        <f t="shared" si="696"/>
        <v>0</v>
      </c>
      <c r="O142" s="975">
        <v>1800000</v>
      </c>
      <c r="P142" s="326" t="e">
        <f t="shared" si="599"/>
        <v>#VALUE!</v>
      </c>
      <c r="Q142" s="326" t="str">
        <f t="shared" si="600"/>
        <v/>
      </c>
      <c r="R142" s="326">
        <f t="shared" si="601"/>
        <v>28587.69</v>
      </c>
      <c r="S142" s="326">
        <f t="shared" si="602"/>
        <v>-1771412.31</v>
      </c>
      <c r="T142" s="137">
        <f t="shared" si="603"/>
        <v>1.5882049999999998E-2</v>
      </c>
      <c r="U142" s="326">
        <f t="shared" si="604"/>
        <v>0</v>
      </c>
      <c r="V142" s="975">
        <v>1800000</v>
      </c>
      <c r="W142" s="326" t="e">
        <f t="shared" si="606"/>
        <v>#VALUE!</v>
      </c>
      <c r="X142" s="326" t="str">
        <f t="shared" si="607"/>
        <v/>
      </c>
      <c r="Y142" s="326">
        <f t="shared" si="608"/>
        <v>0</v>
      </c>
      <c r="Z142" s="326">
        <f t="shared" si="609"/>
        <v>-1800000</v>
      </c>
      <c r="AA142" s="137">
        <f t="shared" si="686"/>
        <v>0</v>
      </c>
      <c r="AB142" s="326">
        <f t="shared" si="611"/>
        <v>0</v>
      </c>
      <c r="AC142" s="975">
        <v>1800000</v>
      </c>
      <c r="AD142" s="326" t="e">
        <f t="shared" si="545"/>
        <v>#VALUE!</v>
      </c>
      <c r="AE142" s="326" t="str">
        <f t="shared" si="546"/>
        <v/>
      </c>
      <c r="AF142" s="326">
        <f t="shared" si="547"/>
        <v>0</v>
      </c>
      <c r="AG142" s="326">
        <f t="shared" si="548"/>
        <v>-1800000</v>
      </c>
      <c r="AH142" s="137">
        <f t="shared" si="667"/>
        <v>0</v>
      </c>
      <c r="AI142" s="969">
        <f t="shared" si="550"/>
        <v>5400000</v>
      </c>
      <c r="AJ142" s="326">
        <f t="shared" si="668"/>
        <v>77450.73</v>
      </c>
      <c r="AK142" s="326" t="e">
        <f t="shared" ref="AK142:AL142" si="700">SUM(AD142,W142,P142)</f>
        <v>#VALUE!</v>
      </c>
      <c r="AL142" s="326">
        <f t="shared" si="700"/>
        <v>0</v>
      </c>
      <c r="AM142" s="326">
        <f t="shared" si="553"/>
        <v>28587.69</v>
      </c>
      <c r="AN142" s="326">
        <f t="shared" si="661"/>
        <v>-48863.039999999994</v>
      </c>
      <c r="AO142" s="970">
        <f t="shared" si="670"/>
        <v>0.36910807683801045</v>
      </c>
      <c r="AP142" s="941">
        <f t="shared" si="613"/>
        <v>0</v>
      </c>
      <c r="AQ142" s="326" t="e">
        <f t="shared" si="556"/>
        <v>#VALUE!</v>
      </c>
      <c r="AR142" s="326" t="str">
        <f t="shared" si="557"/>
        <v/>
      </c>
      <c r="AS142" s="326">
        <f t="shared" si="558"/>
        <v>0</v>
      </c>
      <c r="AT142" s="941">
        <f t="shared" si="614"/>
        <v>0</v>
      </c>
      <c r="AU142" s="326" t="e">
        <f t="shared" si="559"/>
        <v>#VALUE!</v>
      </c>
      <c r="AV142" s="326" t="str">
        <f t="shared" si="560"/>
        <v/>
      </c>
      <c r="AW142" s="326">
        <f t="shared" si="561"/>
        <v>0</v>
      </c>
      <c r="AX142" s="941">
        <f t="shared" si="615"/>
        <v>0</v>
      </c>
      <c r="AY142" s="326" t="e">
        <f t="shared" si="562"/>
        <v>#VALUE!</v>
      </c>
      <c r="AZ142" s="326" t="str">
        <f t="shared" si="563"/>
        <v/>
      </c>
      <c r="BA142" s="326">
        <f t="shared" si="564"/>
        <v>0</v>
      </c>
      <c r="BB142" s="326" t="e">
        <f t="shared" si="565"/>
        <v>#VALUE!</v>
      </c>
      <c r="BC142" s="326" t="e">
        <f t="shared" si="566"/>
        <v>#VALUE!</v>
      </c>
      <c r="BD142" s="326">
        <f t="shared" si="567"/>
        <v>0</v>
      </c>
      <c r="BE142" s="326" t="e">
        <f t="shared" si="568"/>
        <v>#VALUE!</v>
      </c>
      <c r="BF142" s="326" t="e">
        <f t="shared" ref="BF142:BG142" si="701">SUM(BC142,AL142)</f>
        <v>#VALUE!</v>
      </c>
      <c r="BG142" s="326">
        <f t="shared" si="701"/>
        <v>28587.69</v>
      </c>
      <c r="BH142" s="941">
        <f t="shared" si="617"/>
        <v>0</v>
      </c>
      <c r="BI142" s="326" t="e">
        <f t="shared" si="570"/>
        <v>#VALUE!</v>
      </c>
      <c r="BJ142" s="326" t="str">
        <f t="shared" si="571"/>
        <v/>
      </c>
      <c r="BK142" s="326">
        <f t="shared" si="572"/>
        <v>0</v>
      </c>
      <c r="BL142" s="971">
        <f t="shared" si="618"/>
        <v>0</v>
      </c>
      <c r="BM142" s="140" t="e">
        <f t="shared" si="573"/>
        <v>#VALUE!</v>
      </c>
      <c r="BN142" s="326" t="str">
        <f t="shared" si="574"/>
        <v/>
      </c>
      <c r="BO142" s="333">
        <f t="shared" si="575"/>
        <v>0</v>
      </c>
      <c r="BP142" s="123">
        <f t="shared" si="619"/>
        <v>0</v>
      </c>
      <c r="BQ142" s="326" t="e">
        <f t="shared" si="576"/>
        <v>#VALUE!</v>
      </c>
      <c r="BR142" s="326" t="str">
        <f t="shared" si="577"/>
        <v/>
      </c>
      <c r="BS142" s="332">
        <f t="shared" si="578"/>
        <v>0</v>
      </c>
      <c r="BT142" s="140" t="e">
        <f t="shared" ref="BT142:BV142" si="702">SUM(BQ142,BM142,BI142)</f>
        <v>#VALUE!</v>
      </c>
      <c r="BU142" s="326">
        <f t="shared" si="702"/>
        <v>0</v>
      </c>
      <c r="BV142" s="333">
        <f t="shared" si="702"/>
        <v>0</v>
      </c>
      <c r="BW142" s="939">
        <f t="shared" si="621"/>
        <v>18478.5</v>
      </c>
      <c r="BX142" s="326" t="e">
        <f t="shared" si="580"/>
        <v>#VALUE!</v>
      </c>
      <c r="BY142" s="326" t="str">
        <f t="shared" si="581"/>
        <v/>
      </c>
      <c r="BZ142" s="333">
        <f t="shared" si="582"/>
        <v>0</v>
      </c>
      <c r="CA142" s="939">
        <f t="shared" si="622"/>
        <v>32000.49</v>
      </c>
      <c r="CB142" s="941">
        <f t="shared" si="623"/>
        <v>26971.74</v>
      </c>
    </row>
    <row r="143" spans="1:80" ht="13">
      <c r="A143" s="323" t="e">
        <f t="shared" si="527"/>
        <v>#N/A</v>
      </c>
      <c r="B143" s="324">
        <f t="shared" si="528"/>
        <v>4</v>
      </c>
      <c r="C143" s="558" t="str">
        <f t="shared" si="529"/>
        <v>Lista</v>
      </c>
      <c r="D143" s="558">
        <f t="shared" si="530"/>
        <v>0.2</v>
      </c>
      <c r="E143" s="558">
        <f t="shared" si="531"/>
        <v>0</v>
      </c>
      <c r="F143" s="798">
        <f t="shared" si="532"/>
        <v>4</v>
      </c>
      <c r="G143" s="558" t="str">
        <f t="shared" si="533"/>
        <v>Lista</v>
      </c>
      <c r="H143" s="558">
        <f t="shared" si="534"/>
        <v>0.2</v>
      </c>
      <c r="I143" s="558">
        <f t="shared" si="535"/>
        <v>0</v>
      </c>
      <c r="J143" s="637" t="e">
        <f t="shared" si="536"/>
        <v>#N/A</v>
      </c>
      <c r="K143" s="558" t="str">
        <f t="shared" si="537"/>
        <v/>
      </c>
      <c r="L143" s="558" t="str">
        <f t="shared" si="538"/>
        <v/>
      </c>
      <c r="M143" s="977" t="s">
        <v>967</v>
      </c>
      <c r="N143" s="326">
        <f t="shared" si="696"/>
        <v>0</v>
      </c>
      <c r="O143" s="326">
        <f t="shared" ref="O143:O144" si="703">(N143*1.601)*1.05</f>
        <v>0</v>
      </c>
      <c r="P143" s="326">
        <f t="shared" si="599"/>
        <v>0</v>
      </c>
      <c r="Q143" s="326">
        <f t="shared" si="600"/>
        <v>45399.28</v>
      </c>
      <c r="R143" s="326">
        <f t="shared" si="601"/>
        <v>45399.28</v>
      </c>
      <c r="S143" s="326">
        <f t="shared" si="602"/>
        <v>45399.28</v>
      </c>
      <c r="T143" s="137" t="str">
        <f t="shared" si="603"/>
        <v/>
      </c>
      <c r="U143" s="326">
        <f t="shared" si="604"/>
        <v>0</v>
      </c>
      <c r="V143" s="326">
        <f t="shared" ref="V143:V144" si="704">(U143*1.7245)*1.05</f>
        <v>0</v>
      </c>
      <c r="W143" s="326">
        <f t="shared" si="606"/>
        <v>0</v>
      </c>
      <c r="X143" s="326">
        <f t="shared" si="607"/>
        <v>61638.879999999997</v>
      </c>
      <c r="Y143" s="326">
        <f t="shared" si="608"/>
        <v>61638.879999999997</v>
      </c>
      <c r="Z143" s="326">
        <f t="shared" si="609"/>
        <v>61638.879999999997</v>
      </c>
      <c r="AA143" s="137" t="str">
        <f t="shared" si="686"/>
        <v/>
      </c>
      <c r="AB143" s="326">
        <f t="shared" si="611"/>
        <v>0</v>
      </c>
      <c r="AC143" s="326">
        <f t="shared" ref="AC143:AC144" si="705">(AB143*1.5955)*1.05</f>
        <v>0</v>
      </c>
      <c r="AD143" s="326">
        <f t="shared" si="545"/>
        <v>0</v>
      </c>
      <c r="AE143" s="326">
        <f t="shared" si="546"/>
        <v>19921.439999999999</v>
      </c>
      <c r="AF143" s="326">
        <f t="shared" si="547"/>
        <v>19921.439999999999</v>
      </c>
      <c r="AG143" s="326">
        <f t="shared" si="548"/>
        <v>19921.439999999999</v>
      </c>
      <c r="AH143" s="137" t="str">
        <f t="shared" si="667"/>
        <v/>
      </c>
      <c r="AI143" s="969">
        <f t="shared" si="550"/>
        <v>0</v>
      </c>
      <c r="AJ143" s="326">
        <f t="shared" si="668"/>
        <v>37945.599999999999</v>
      </c>
      <c r="AK143" s="326">
        <f t="shared" ref="AK143:AL143" si="706">SUM(AD143,W143,P143)</f>
        <v>0</v>
      </c>
      <c r="AL143" s="326">
        <f t="shared" si="706"/>
        <v>126959.59999999999</v>
      </c>
      <c r="AM143" s="326">
        <f t="shared" si="553"/>
        <v>188598.47999999998</v>
      </c>
      <c r="AN143" s="326">
        <f t="shared" si="661"/>
        <v>150652.87999999998</v>
      </c>
      <c r="AO143" s="970">
        <f t="shared" si="670"/>
        <v>4.970233175914994</v>
      </c>
      <c r="AP143" s="941">
        <f t="shared" si="613"/>
        <v>0</v>
      </c>
      <c r="AQ143" s="326">
        <f t="shared" si="556"/>
        <v>0</v>
      </c>
      <c r="AR143" s="326">
        <f t="shared" si="557"/>
        <v>66153.84</v>
      </c>
      <c r="AS143" s="326">
        <f t="shared" si="558"/>
        <v>66153.84</v>
      </c>
      <c r="AT143" s="941">
        <f t="shared" si="614"/>
        <v>0</v>
      </c>
      <c r="AU143" s="326">
        <f t="shared" si="559"/>
        <v>137214.5</v>
      </c>
      <c r="AV143" s="326">
        <f t="shared" si="560"/>
        <v>78382.720000000001</v>
      </c>
      <c r="AW143" s="326">
        <f t="shared" si="561"/>
        <v>215597.22</v>
      </c>
      <c r="AX143" s="941">
        <f t="shared" si="615"/>
        <v>0</v>
      </c>
      <c r="AY143" s="326">
        <f t="shared" si="562"/>
        <v>47158.020000000004</v>
      </c>
      <c r="AZ143" s="326">
        <f t="shared" si="563"/>
        <v>56012.08</v>
      </c>
      <c r="BA143" s="326">
        <f t="shared" si="564"/>
        <v>103170.1</v>
      </c>
      <c r="BB143" s="326">
        <f t="shared" si="565"/>
        <v>184372.52000000002</v>
      </c>
      <c r="BC143" s="326">
        <f t="shared" si="566"/>
        <v>200548.64</v>
      </c>
      <c r="BD143" s="326">
        <f t="shared" si="567"/>
        <v>384921.16000000003</v>
      </c>
      <c r="BE143" s="326">
        <f t="shared" si="568"/>
        <v>184372.52000000002</v>
      </c>
      <c r="BF143" s="326">
        <f t="shared" ref="BF143:BG143" si="707">SUM(BC143,AL143)</f>
        <v>327508.24</v>
      </c>
      <c r="BG143" s="326">
        <f t="shared" si="707"/>
        <v>573519.64</v>
      </c>
      <c r="BH143" s="941">
        <f t="shared" si="617"/>
        <v>0</v>
      </c>
      <c r="BI143" s="326">
        <f t="shared" si="570"/>
        <v>0</v>
      </c>
      <c r="BJ143" s="326">
        <f t="shared" si="571"/>
        <v>68797.52</v>
      </c>
      <c r="BK143" s="326">
        <f t="shared" si="572"/>
        <v>68797.52</v>
      </c>
      <c r="BL143" s="971">
        <f t="shared" si="618"/>
        <v>0</v>
      </c>
      <c r="BM143" s="140">
        <f t="shared" si="573"/>
        <v>0</v>
      </c>
      <c r="BN143" s="326">
        <f t="shared" si="574"/>
        <v>110648</v>
      </c>
      <c r="BO143" s="333">
        <f t="shared" si="575"/>
        <v>110648</v>
      </c>
      <c r="BP143" s="123">
        <f t="shared" si="619"/>
        <v>0</v>
      </c>
      <c r="BQ143" s="326">
        <f t="shared" si="576"/>
        <v>48897.78</v>
      </c>
      <c r="BR143" s="326">
        <f t="shared" si="577"/>
        <v>0</v>
      </c>
      <c r="BS143" s="332">
        <f t="shared" si="578"/>
        <v>48897.78</v>
      </c>
      <c r="BT143" s="140">
        <f t="shared" ref="BT143:BV143" si="708">SUM(BQ143,BM143,BI143)</f>
        <v>48897.78</v>
      </c>
      <c r="BU143" s="326">
        <f t="shared" si="708"/>
        <v>179445.52000000002</v>
      </c>
      <c r="BV143" s="333">
        <f t="shared" si="708"/>
        <v>228343.3</v>
      </c>
      <c r="BW143" s="939">
        <f t="shared" si="621"/>
        <v>0</v>
      </c>
      <c r="BX143" s="326">
        <f t="shared" si="580"/>
        <v>64401.53</v>
      </c>
      <c r="BY143" s="326">
        <f t="shared" si="581"/>
        <v>0</v>
      </c>
      <c r="BZ143" s="333">
        <f t="shared" si="582"/>
        <v>64401.53</v>
      </c>
      <c r="CA143" s="939">
        <f t="shared" si="622"/>
        <v>18972.8</v>
      </c>
      <c r="CB143" s="941">
        <f t="shared" si="623"/>
        <v>18972.8</v>
      </c>
    </row>
    <row r="144" spans="1:80" ht="13">
      <c r="A144" s="323" t="e">
        <f t="shared" si="527"/>
        <v>#N/A</v>
      </c>
      <c r="B144" s="324">
        <f t="shared" si="528"/>
        <v>4</v>
      </c>
      <c r="C144" s="558" t="str">
        <f t="shared" si="529"/>
        <v>Lista</v>
      </c>
      <c r="D144" s="558">
        <f t="shared" si="530"/>
        <v>0.2</v>
      </c>
      <c r="E144" s="558">
        <f t="shared" si="531"/>
        <v>0</v>
      </c>
      <c r="F144" s="798">
        <f t="shared" si="532"/>
        <v>4</v>
      </c>
      <c r="G144" s="558" t="str">
        <f t="shared" si="533"/>
        <v>Lista</v>
      </c>
      <c r="H144" s="558">
        <f t="shared" si="534"/>
        <v>0.2</v>
      </c>
      <c r="I144" s="558">
        <f t="shared" si="535"/>
        <v>0</v>
      </c>
      <c r="J144" s="637" t="e">
        <f t="shared" si="536"/>
        <v>#N/A</v>
      </c>
      <c r="K144" s="558" t="str">
        <f t="shared" si="537"/>
        <v/>
      </c>
      <c r="L144" s="558" t="str">
        <f t="shared" si="538"/>
        <v/>
      </c>
      <c r="M144" s="977" t="s">
        <v>968</v>
      </c>
      <c r="N144" s="326" t="str">
        <f t="shared" si="696"/>
        <v/>
      </c>
      <c r="O144" s="326" t="e">
        <f t="shared" si="703"/>
        <v>#VALUE!</v>
      </c>
      <c r="P144" s="326" t="e">
        <f t="shared" si="599"/>
        <v>#VALUE!</v>
      </c>
      <c r="Q144" s="326" t="str">
        <f t="shared" si="600"/>
        <v/>
      </c>
      <c r="R144" s="326" t="str">
        <f t="shared" si="601"/>
        <v/>
      </c>
      <c r="S144" s="326" t="e">
        <f t="shared" si="602"/>
        <v>#VALUE!</v>
      </c>
      <c r="T144" s="137" t="str">
        <f t="shared" si="603"/>
        <v/>
      </c>
      <c r="U144" s="326" t="str">
        <f t="shared" si="604"/>
        <v/>
      </c>
      <c r="V144" s="326" t="e">
        <f t="shared" si="704"/>
        <v>#VALUE!</v>
      </c>
      <c r="W144" s="326" t="e">
        <f t="shared" si="606"/>
        <v>#VALUE!</v>
      </c>
      <c r="X144" s="326" t="str">
        <f t="shared" si="607"/>
        <v/>
      </c>
      <c r="Y144" s="326" t="str">
        <f t="shared" si="608"/>
        <v/>
      </c>
      <c r="Z144" s="326" t="e">
        <f t="shared" si="609"/>
        <v>#VALUE!</v>
      </c>
      <c r="AA144" s="137" t="str">
        <f t="shared" si="686"/>
        <v/>
      </c>
      <c r="AB144" s="326" t="str">
        <f t="shared" si="611"/>
        <v/>
      </c>
      <c r="AC144" s="326" t="e">
        <f t="shared" si="705"/>
        <v>#VALUE!</v>
      </c>
      <c r="AD144" s="326" t="e">
        <f t="shared" si="545"/>
        <v>#VALUE!</v>
      </c>
      <c r="AE144" s="326" t="str">
        <f t="shared" si="546"/>
        <v/>
      </c>
      <c r="AF144" s="326" t="str">
        <f t="shared" si="547"/>
        <v/>
      </c>
      <c r="AG144" s="326" t="e">
        <f t="shared" si="548"/>
        <v>#VALUE!</v>
      </c>
      <c r="AH144" s="137" t="str">
        <f t="shared" si="667"/>
        <v/>
      </c>
      <c r="AI144" s="969" t="e">
        <f t="shared" si="550"/>
        <v>#VALUE!</v>
      </c>
      <c r="AJ144" s="326" t="str">
        <f t="shared" si="668"/>
        <v/>
      </c>
      <c r="AK144" s="326" t="e">
        <f t="shared" ref="AK144:AL144" si="709">SUM(AD144,W144,P144)</f>
        <v>#VALUE!</v>
      </c>
      <c r="AL144" s="326">
        <f t="shared" si="709"/>
        <v>0</v>
      </c>
      <c r="AM144" s="326">
        <f t="shared" si="553"/>
        <v>0</v>
      </c>
      <c r="AN144" s="326" t="e">
        <f t="shared" si="661"/>
        <v>#VALUE!</v>
      </c>
      <c r="AO144" s="970" t="str">
        <f t="shared" si="670"/>
        <v/>
      </c>
      <c r="AP144" s="941" t="str">
        <f t="shared" si="613"/>
        <v/>
      </c>
      <c r="AQ144" s="326" t="e">
        <f t="shared" si="556"/>
        <v>#VALUE!</v>
      </c>
      <c r="AR144" s="326" t="str">
        <f t="shared" si="557"/>
        <v/>
      </c>
      <c r="AS144" s="326" t="str">
        <f t="shared" si="558"/>
        <v/>
      </c>
      <c r="AT144" s="941" t="str">
        <f t="shared" si="614"/>
        <v/>
      </c>
      <c r="AU144" s="326" t="e">
        <f t="shared" si="559"/>
        <v>#VALUE!</v>
      </c>
      <c r="AV144" s="326" t="str">
        <f t="shared" si="560"/>
        <v/>
      </c>
      <c r="AW144" s="326" t="str">
        <f t="shared" si="561"/>
        <v/>
      </c>
      <c r="AX144" s="941" t="str">
        <f t="shared" si="615"/>
        <v/>
      </c>
      <c r="AY144" s="326" t="e">
        <f t="shared" si="562"/>
        <v>#VALUE!</v>
      </c>
      <c r="AZ144" s="326" t="str">
        <f t="shared" si="563"/>
        <v/>
      </c>
      <c r="BA144" s="326" t="str">
        <f t="shared" si="564"/>
        <v/>
      </c>
      <c r="BB144" s="326" t="e">
        <f t="shared" si="565"/>
        <v>#VALUE!</v>
      </c>
      <c r="BC144" s="326" t="e">
        <f t="shared" si="566"/>
        <v>#VALUE!</v>
      </c>
      <c r="BD144" s="326" t="e">
        <f t="shared" si="567"/>
        <v>#VALUE!</v>
      </c>
      <c r="BE144" s="326" t="e">
        <f t="shared" si="568"/>
        <v>#VALUE!</v>
      </c>
      <c r="BF144" s="326" t="e">
        <f t="shared" ref="BF144:BG144" si="710">SUM(BC144,AL144)</f>
        <v>#VALUE!</v>
      </c>
      <c r="BG144" s="326" t="e">
        <f t="shared" si="710"/>
        <v>#VALUE!</v>
      </c>
      <c r="BH144" s="941" t="str">
        <f t="shared" si="617"/>
        <v/>
      </c>
      <c r="BI144" s="326" t="e">
        <f t="shared" si="570"/>
        <v>#VALUE!</v>
      </c>
      <c r="BJ144" s="326" t="str">
        <f t="shared" si="571"/>
        <v/>
      </c>
      <c r="BK144" s="326" t="str">
        <f t="shared" si="572"/>
        <v/>
      </c>
      <c r="BL144" s="971" t="str">
        <f t="shared" si="618"/>
        <v/>
      </c>
      <c r="BM144" s="140" t="e">
        <f t="shared" si="573"/>
        <v>#VALUE!</v>
      </c>
      <c r="BN144" s="326" t="str">
        <f t="shared" si="574"/>
        <v/>
      </c>
      <c r="BO144" s="333" t="str">
        <f t="shared" si="575"/>
        <v/>
      </c>
      <c r="BP144" s="123" t="str">
        <f t="shared" si="619"/>
        <v/>
      </c>
      <c r="BQ144" s="326" t="e">
        <f t="shared" si="576"/>
        <v>#VALUE!</v>
      </c>
      <c r="BR144" s="326" t="str">
        <f t="shared" si="577"/>
        <v/>
      </c>
      <c r="BS144" s="332" t="str">
        <f t="shared" si="578"/>
        <v/>
      </c>
      <c r="BT144" s="140" t="e">
        <f t="shared" ref="BT144:BV144" si="711">SUM(BQ144,BM144,BI144)</f>
        <v>#VALUE!</v>
      </c>
      <c r="BU144" s="326">
        <f t="shared" si="711"/>
        <v>0</v>
      </c>
      <c r="BV144" s="333">
        <f t="shared" si="711"/>
        <v>0</v>
      </c>
      <c r="BW144" s="939" t="str">
        <f t="shared" si="621"/>
        <v/>
      </c>
      <c r="BX144" s="326" t="e">
        <f t="shared" si="580"/>
        <v>#VALUE!</v>
      </c>
      <c r="BY144" s="326" t="str">
        <f t="shared" si="581"/>
        <v/>
      </c>
      <c r="BZ144" s="333" t="str">
        <f t="shared" si="582"/>
        <v/>
      </c>
      <c r="CA144" s="939" t="str">
        <f t="shared" si="622"/>
        <v/>
      </c>
      <c r="CB144" s="941" t="str">
        <f t="shared" si="623"/>
        <v/>
      </c>
    </row>
    <row r="145" spans="1:116" ht="13">
      <c r="A145" s="323" t="e">
        <f t="shared" si="527"/>
        <v>#N/A</v>
      </c>
      <c r="B145" s="324">
        <f t="shared" si="528"/>
        <v>1</v>
      </c>
      <c r="C145" s="558" t="str">
        <f t="shared" si="529"/>
        <v>Lista</v>
      </c>
      <c r="D145" s="558">
        <f t="shared" si="530"/>
        <v>0.09</v>
      </c>
      <c r="E145" s="558">
        <f t="shared" si="531"/>
        <v>0</v>
      </c>
      <c r="F145" s="798">
        <f t="shared" si="532"/>
        <v>1</v>
      </c>
      <c r="G145" s="558" t="str">
        <f t="shared" si="533"/>
        <v>Lista</v>
      </c>
      <c r="H145" s="558">
        <f t="shared" si="534"/>
        <v>0.09</v>
      </c>
      <c r="I145" s="558">
        <f t="shared" si="535"/>
        <v>0</v>
      </c>
      <c r="J145" s="637" t="e">
        <f t="shared" si="536"/>
        <v>#N/A</v>
      </c>
      <c r="K145" s="558" t="str">
        <f t="shared" si="537"/>
        <v/>
      </c>
      <c r="L145" s="558" t="str">
        <f t="shared" si="538"/>
        <v/>
      </c>
      <c r="M145" s="977" t="s">
        <v>969</v>
      </c>
      <c r="N145" s="326">
        <f t="shared" si="696"/>
        <v>0</v>
      </c>
      <c r="O145" s="975">
        <v>1800000</v>
      </c>
      <c r="P145" s="326" t="e">
        <f t="shared" si="599"/>
        <v>#VALUE!</v>
      </c>
      <c r="Q145" s="326" t="str">
        <f t="shared" si="600"/>
        <v/>
      </c>
      <c r="R145" s="326">
        <f t="shared" si="601"/>
        <v>97103.23</v>
      </c>
      <c r="S145" s="326">
        <f t="shared" si="602"/>
        <v>-1702896.77</v>
      </c>
      <c r="T145" s="137">
        <f t="shared" si="603"/>
        <v>5.3946238888888887E-2</v>
      </c>
      <c r="U145" s="326">
        <f t="shared" si="604"/>
        <v>0</v>
      </c>
      <c r="V145" s="975">
        <v>1800000</v>
      </c>
      <c r="W145" s="326" t="e">
        <f t="shared" si="606"/>
        <v>#VALUE!</v>
      </c>
      <c r="X145" s="326" t="str">
        <f t="shared" si="607"/>
        <v/>
      </c>
      <c r="Y145" s="326">
        <f t="shared" si="608"/>
        <v>185224.72</v>
      </c>
      <c r="Z145" s="326">
        <f t="shared" si="609"/>
        <v>-1614775.28</v>
      </c>
      <c r="AA145" s="137">
        <f t="shared" si="686"/>
        <v>0.10290262222222223</v>
      </c>
      <c r="AB145" s="326">
        <f t="shared" si="611"/>
        <v>0</v>
      </c>
      <c r="AC145" s="975">
        <v>1800000</v>
      </c>
      <c r="AD145" s="326" t="e">
        <f t="shared" si="545"/>
        <v>#VALUE!</v>
      </c>
      <c r="AE145" s="326" t="str">
        <f t="shared" si="546"/>
        <v/>
      </c>
      <c r="AF145" s="326">
        <f t="shared" si="547"/>
        <v>0</v>
      </c>
      <c r="AG145" s="326">
        <f t="shared" si="548"/>
        <v>-1800000</v>
      </c>
      <c r="AH145" s="137">
        <f t="shared" si="667"/>
        <v>0</v>
      </c>
      <c r="AI145" s="969">
        <f t="shared" si="550"/>
        <v>5400000</v>
      </c>
      <c r="AJ145" s="326">
        <f t="shared" si="668"/>
        <v>425757.98</v>
      </c>
      <c r="AK145" s="326" t="e">
        <f t="shared" ref="AK145:AL145" si="712">SUM(AD145,W145,P145)</f>
        <v>#VALUE!</v>
      </c>
      <c r="AL145" s="326">
        <f t="shared" si="712"/>
        <v>0</v>
      </c>
      <c r="AM145" s="326">
        <f t="shared" si="553"/>
        <v>467552.67</v>
      </c>
      <c r="AN145" s="326">
        <f t="shared" si="661"/>
        <v>41794.69</v>
      </c>
      <c r="AO145" s="970">
        <f t="shared" si="670"/>
        <v>1.0981653708522388</v>
      </c>
      <c r="AP145" s="941">
        <f t="shared" si="613"/>
        <v>0</v>
      </c>
      <c r="AQ145" s="326" t="e">
        <f t="shared" si="556"/>
        <v>#VALUE!</v>
      </c>
      <c r="AR145" s="326" t="str">
        <f t="shared" si="557"/>
        <v/>
      </c>
      <c r="AS145" s="326">
        <f t="shared" si="558"/>
        <v>0</v>
      </c>
      <c r="AT145" s="941">
        <f t="shared" si="614"/>
        <v>0</v>
      </c>
      <c r="AU145" s="326" t="e">
        <f t="shared" si="559"/>
        <v>#VALUE!</v>
      </c>
      <c r="AV145" s="326" t="str">
        <f t="shared" si="560"/>
        <v/>
      </c>
      <c r="AW145" s="326">
        <f t="shared" si="561"/>
        <v>0</v>
      </c>
      <c r="AX145" s="941">
        <f t="shared" si="615"/>
        <v>0</v>
      </c>
      <c r="AY145" s="326" t="e">
        <f t="shared" si="562"/>
        <v>#VALUE!</v>
      </c>
      <c r="AZ145" s="326" t="str">
        <f t="shared" si="563"/>
        <v/>
      </c>
      <c r="BA145" s="326">
        <f t="shared" si="564"/>
        <v>0</v>
      </c>
      <c r="BB145" s="326" t="e">
        <f t="shared" si="565"/>
        <v>#VALUE!</v>
      </c>
      <c r="BC145" s="326" t="e">
        <f t="shared" si="566"/>
        <v>#VALUE!</v>
      </c>
      <c r="BD145" s="326">
        <f t="shared" si="567"/>
        <v>0</v>
      </c>
      <c r="BE145" s="326" t="e">
        <f t="shared" si="568"/>
        <v>#VALUE!</v>
      </c>
      <c r="BF145" s="326" t="e">
        <f t="shared" ref="BF145:BG145" si="713">SUM(BC145,AL145)</f>
        <v>#VALUE!</v>
      </c>
      <c r="BG145" s="326">
        <f t="shared" si="713"/>
        <v>467552.67</v>
      </c>
      <c r="BH145" s="941">
        <f t="shared" si="617"/>
        <v>0</v>
      </c>
      <c r="BI145" s="326" t="e">
        <f t="shared" si="570"/>
        <v>#VALUE!</v>
      </c>
      <c r="BJ145" s="326" t="str">
        <f t="shared" si="571"/>
        <v/>
      </c>
      <c r="BK145" s="326">
        <f t="shared" si="572"/>
        <v>0</v>
      </c>
      <c r="BL145" s="971">
        <f t="shared" si="618"/>
        <v>0</v>
      </c>
      <c r="BM145" s="140" t="e">
        <f t="shared" si="573"/>
        <v>#VALUE!</v>
      </c>
      <c r="BN145" s="326" t="str">
        <f t="shared" si="574"/>
        <v/>
      </c>
      <c r="BO145" s="333">
        <f t="shared" si="575"/>
        <v>0</v>
      </c>
      <c r="BP145" s="123">
        <f t="shared" si="619"/>
        <v>200766.46</v>
      </c>
      <c r="BQ145" s="326" t="e">
        <f t="shared" si="576"/>
        <v>#VALUE!</v>
      </c>
      <c r="BR145" s="326" t="str">
        <f t="shared" si="577"/>
        <v/>
      </c>
      <c r="BS145" s="332">
        <f t="shared" si="578"/>
        <v>0</v>
      </c>
      <c r="BT145" s="140" t="e">
        <f t="shared" ref="BT145:BV145" si="714">SUM(BQ145,BM145,BI145)</f>
        <v>#VALUE!</v>
      </c>
      <c r="BU145" s="326">
        <f t="shared" si="714"/>
        <v>0</v>
      </c>
      <c r="BV145" s="333">
        <f t="shared" si="714"/>
        <v>0</v>
      </c>
      <c r="BW145" s="939">
        <f t="shared" si="621"/>
        <v>205410.85</v>
      </c>
      <c r="BX145" s="326" t="e">
        <f t="shared" si="580"/>
        <v>#VALUE!</v>
      </c>
      <c r="BY145" s="326" t="str">
        <f t="shared" si="581"/>
        <v/>
      </c>
      <c r="BZ145" s="333">
        <f t="shared" si="582"/>
        <v>0</v>
      </c>
      <c r="CA145" s="939">
        <f t="shared" si="622"/>
        <v>0</v>
      </c>
      <c r="CB145" s="941">
        <f t="shared" si="623"/>
        <v>220347.13</v>
      </c>
    </row>
    <row r="146" spans="1:116" ht="13">
      <c r="A146" s="323" t="e">
        <f t="shared" ref="A146:A163" si="715">VLOOKUP(M146,VARGCART4,3,FALSE)</f>
        <v>#N/A</v>
      </c>
      <c r="B146" s="324">
        <f t="shared" si="528"/>
        <v>1</v>
      </c>
      <c r="C146" s="558" t="str">
        <f t="shared" ref="C146:C177" si="716">IFERROR(VLOOKUP(B146,DES,2,FALSE),"")</f>
        <v>Lista</v>
      </c>
      <c r="D146" s="558">
        <f t="shared" ref="D146:D163" si="717">IFERROR(VLOOKUP(B146,DES,3,FALSE),"")</f>
        <v>0.09</v>
      </c>
      <c r="E146" s="558">
        <f t="shared" ref="E146:E163" si="718">IFERROR(VLOOKUP(B146,DES,4,FALSE),"")</f>
        <v>0</v>
      </c>
      <c r="F146" s="798">
        <f t="shared" ref="F146:F163" si="719">VLOOKUP(M146,VARGASCART2,2,FALSE)</f>
        <v>1</v>
      </c>
      <c r="G146" s="558" t="str">
        <f t="shared" ref="G146:G177" si="720">IFERROR(VLOOKUP(F146,DES,2,FALSE),"")</f>
        <v>Lista</v>
      </c>
      <c r="H146" s="558">
        <f t="shared" ref="H146:H163" si="721">IFERROR(VLOOKUP(B146,DES,3,FALSE),"")</f>
        <v>0.09</v>
      </c>
      <c r="I146" s="558">
        <f t="shared" ref="I146:I163" si="722">IFERROR(VLOOKUP(B146,DES,4,FALSE),"")</f>
        <v>0</v>
      </c>
      <c r="J146" s="637" t="e">
        <f t="shared" ref="J146:J163" si="723">VLOOKUP(M146,VARGCART4,2,FALSE)</f>
        <v>#N/A</v>
      </c>
      <c r="K146" s="558" t="str">
        <f t="shared" ref="K146:K177" si="724">IFERROR(VLOOKUP(J146,A458DC1025,2,FALSE),"")</f>
        <v/>
      </c>
      <c r="L146" s="558" t="str">
        <f t="shared" ref="L146:L163" si="725">IFERROR(VLOOKUP(J146,A458DC1025,3,FALSE),"")</f>
        <v/>
      </c>
      <c r="M146" s="977" t="s">
        <v>970</v>
      </c>
      <c r="N146" s="326">
        <f t="shared" si="696"/>
        <v>0</v>
      </c>
      <c r="O146" s="975">
        <v>1800000</v>
      </c>
      <c r="P146" s="326" t="e">
        <f t="shared" si="599"/>
        <v>#VALUE!</v>
      </c>
      <c r="Q146" s="326" t="str">
        <f t="shared" si="600"/>
        <v/>
      </c>
      <c r="R146" s="326">
        <f t="shared" si="601"/>
        <v>26100</v>
      </c>
      <c r="S146" s="326">
        <f t="shared" si="602"/>
        <v>-1773900</v>
      </c>
      <c r="T146" s="137">
        <f t="shared" si="603"/>
        <v>1.4500000000000001E-2</v>
      </c>
      <c r="U146" s="326">
        <f t="shared" si="604"/>
        <v>0</v>
      </c>
      <c r="V146" s="975">
        <v>1800000</v>
      </c>
      <c r="W146" s="326" t="e">
        <f t="shared" si="606"/>
        <v>#VALUE!</v>
      </c>
      <c r="X146" s="326" t="str">
        <f t="shared" si="607"/>
        <v/>
      </c>
      <c r="Y146" s="326">
        <f t="shared" si="608"/>
        <v>50771.41</v>
      </c>
      <c r="Z146" s="326">
        <f t="shared" si="609"/>
        <v>-1749228.59</v>
      </c>
      <c r="AA146" s="137">
        <f t="shared" si="686"/>
        <v>2.8206338888888891E-2</v>
      </c>
      <c r="AB146" s="326">
        <f t="shared" si="611"/>
        <v>0</v>
      </c>
      <c r="AC146" s="975">
        <v>1800000</v>
      </c>
      <c r="AD146" s="326" t="e">
        <f t="shared" si="545"/>
        <v>#VALUE!</v>
      </c>
      <c r="AE146" s="326" t="str">
        <f t="shared" ref="AE146:AE163" si="726">IFERROR(VLOOKUP(M146,VARGALIM,5,FALSE),"")</f>
        <v/>
      </c>
      <c r="AF146" s="326">
        <f t="shared" ref="AF146:AF163" si="727">IFERROR(VLOOKUP(M146,VARFC,5,FALSE),"")</f>
        <v>33480</v>
      </c>
      <c r="AG146" s="326">
        <f t="shared" si="548"/>
        <v>-1766520</v>
      </c>
      <c r="AH146" s="137">
        <f t="shared" si="667"/>
        <v>1.8599999999999998E-2</v>
      </c>
      <c r="AI146" s="969">
        <f t="shared" si="550"/>
        <v>5400000</v>
      </c>
      <c r="AJ146" s="326">
        <f t="shared" si="668"/>
        <v>33420.11</v>
      </c>
      <c r="AK146" s="326" t="e">
        <f t="shared" ref="AK146:AL146" si="728">SUM(AD146,W146,P146)</f>
        <v>#VALUE!</v>
      </c>
      <c r="AL146" s="326">
        <f t="shared" si="728"/>
        <v>0</v>
      </c>
      <c r="AM146" s="326">
        <f t="shared" si="553"/>
        <v>161122.82</v>
      </c>
      <c r="AN146" s="326">
        <f t="shared" si="661"/>
        <v>127702.71</v>
      </c>
      <c r="AO146" s="970">
        <f t="shared" si="670"/>
        <v>4.8211337425280769</v>
      </c>
      <c r="AP146" s="941">
        <f t="shared" si="613"/>
        <v>0</v>
      </c>
      <c r="AQ146" s="326" t="e">
        <f t="shared" si="556"/>
        <v>#VALUE!</v>
      </c>
      <c r="AR146" s="326" t="str">
        <f t="shared" ref="AR146:AR163" si="729">IFERROR(VLOOKUP(M146,VARGALIM,6,FALSE),"")</f>
        <v/>
      </c>
      <c r="AS146" s="326">
        <f t="shared" ref="AS146:AS163" si="730">IFERROR(VLOOKUP(M146,VARFC,6,FALSE),"")</f>
        <v>0</v>
      </c>
      <c r="AT146" s="941">
        <f t="shared" si="614"/>
        <v>0</v>
      </c>
      <c r="AU146" s="326" t="e">
        <f t="shared" si="559"/>
        <v>#VALUE!</v>
      </c>
      <c r="AV146" s="326" t="str">
        <f t="shared" ref="AV146:AV163" si="731">IFERROR(VLOOKUP(M146,VARGALIM,7,FALSE),"")</f>
        <v/>
      </c>
      <c r="AW146" s="326">
        <f t="shared" ref="AW146:AW163" si="732">IFERROR(VLOOKUP(M146,VARFC,7,FALSE),"")</f>
        <v>0</v>
      </c>
      <c r="AX146" s="941">
        <f t="shared" si="615"/>
        <v>0</v>
      </c>
      <c r="AY146" s="326" t="e">
        <f t="shared" si="562"/>
        <v>#VALUE!</v>
      </c>
      <c r="AZ146" s="326" t="str">
        <f t="shared" ref="AZ146:AZ163" si="733">IFERROR(VLOOKUP(M146,VARGALIM,8,FALSE),"")</f>
        <v/>
      </c>
      <c r="BA146" s="326">
        <f t="shared" ref="BA146:BA163" si="734">IFERROR(VLOOKUP(M146,VARFC,8,FALSE),"")</f>
        <v>0</v>
      </c>
      <c r="BB146" s="326" t="e">
        <f t="shared" si="565"/>
        <v>#VALUE!</v>
      </c>
      <c r="BC146" s="326" t="e">
        <f t="shared" si="566"/>
        <v>#VALUE!</v>
      </c>
      <c r="BD146" s="326">
        <f t="shared" si="567"/>
        <v>0</v>
      </c>
      <c r="BE146" s="326" t="e">
        <f t="shared" si="568"/>
        <v>#VALUE!</v>
      </c>
      <c r="BF146" s="326" t="e">
        <f t="shared" ref="BF146:BG146" si="735">SUM(BC146,AL146)</f>
        <v>#VALUE!</v>
      </c>
      <c r="BG146" s="326">
        <f t="shared" si="735"/>
        <v>161122.82</v>
      </c>
      <c r="BH146" s="941">
        <f t="shared" si="617"/>
        <v>0</v>
      </c>
      <c r="BI146" s="326" t="e">
        <f t="shared" si="570"/>
        <v>#VALUE!</v>
      </c>
      <c r="BJ146" s="326" t="str">
        <f t="shared" ref="BJ146:BJ163" si="736">IFERROR(VLOOKUP(M146,VARGALIM,9,FALSE),"")</f>
        <v/>
      </c>
      <c r="BK146" s="326">
        <f t="shared" ref="BK146:BK163" si="737">IFERROR(VLOOKUP(M146,VARFC,9,FALSE),"")</f>
        <v>0</v>
      </c>
      <c r="BL146" s="971">
        <f t="shared" si="618"/>
        <v>0</v>
      </c>
      <c r="BM146" s="140" t="e">
        <f t="shared" si="573"/>
        <v>#VALUE!</v>
      </c>
      <c r="BN146" s="326" t="str">
        <f t="shared" ref="BN146:BN163" si="738">IFERROR(VLOOKUP(M146,VARGALIM,10,FALSE),"")</f>
        <v/>
      </c>
      <c r="BO146" s="333">
        <f t="shared" ref="BO146:BO163" si="739">IFERROR(VLOOKUP(M146,VARFC,10,FALSE),"")</f>
        <v>0</v>
      </c>
      <c r="BP146" s="123">
        <f t="shared" si="619"/>
        <v>0</v>
      </c>
      <c r="BQ146" s="326" t="e">
        <f t="shared" si="576"/>
        <v>#VALUE!</v>
      </c>
      <c r="BR146" s="326" t="str">
        <f t="shared" ref="BR146:BR163" si="740">IFERROR(VLOOKUP(M146,VARGALIM,11,FALSE),"")</f>
        <v/>
      </c>
      <c r="BS146" s="332">
        <f t="shared" ref="BS146:BS163" si="741">IFERROR(VLOOKUP(M146,VARFC,11,FALSE),"")</f>
        <v>0</v>
      </c>
      <c r="BT146" s="140" t="e">
        <f t="shared" ref="BT146:BV146" si="742">SUM(BQ146,BM146,BI146)</f>
        <v>#VALUE!</v>
      </c>
      <c r="BU146" s="326">
        <f t="shared" si="742"/>
        <v>0</v>
      </c>
      <c r="BV146" s="333">
        <f t="shared" si="742"/>
        <v>0</v>
      </c>
      <c r="BW146" s="939">
        <f t="shared" si="621"/>
        <v>0</v>
      </c>
      <c r="BX146" s="326" t="e">
        <f t="shared" si="580"/>
        <v>#VALUE!</v>
      </c>
      <c r="BY146" s="326" t="str">
        <f t="shared" ref="BY146:BY163" si="743">IFERROR(VLOOKUP(M146,VARGALIM,12,FALSE),"")</f>
        <v/>
      </c>
      <c r="BZ146" s="333">
        <f t="shared" ref="BZ146:BZ163" si="744">IFERROR(VLOOKUP(M146,VARFC,12,FALSE),"")</f>
        <v>0</v>
      </c>
      <c r="CA146" s="939">
        <f t="shared" si="622"/>
        <v>0</v>
      </c>
      <c r="CB146" s="941">
        <f t="shared" si="623"/>
        <v>33420.11</v>
      </c>
    </row>
    <row r="147" spans="1:116" ht="13">
      <c r="A147" s="323" t="e">
        <f t="shared" si="715"/>
        <v>#N/A</v>
      </c>
      <c r="B147" s="324">
        <f t="shared" si="528"/>
        <v>1</v>
      </c>
      <c r="C147" s="558" t="str">
        <f t="shared" si="716"/>
        <v>Lista</v>
      </c>
      <c r="D147" s="558">
        <f t="shared" si="717"/>
        <v>0.09</v>
      </c>
      <c r="E147" s="558">
        <f t="shared" si="718"/>
        <v>0</v>
      </c>
      <c r="F147" s="798">
        <f t="shared" si="719"/>
        <v>1</v>
      </c>
      <c r="G147" s="558" t="str">
        <f t="shared" si="720"/>
        <v>Lista</v>
      </c>
      <c r="H147" s="558">
        <f t="shared" si="721"/>
        <v>0.09</v>
      </c>
      <c r="I147" s="558">
        <f t="shared" si="722"/>
        <v>0</v>
      </c>
      <c r="J147" s="637" t="e">
        <f t="shared" si="723"/>
        <v>#N/A</v>
      </c>
      <c r="K147" s="558" t="str">
        <f t="shared" si="724"/>
        <v/>
      </c>
      <c r="L147" s="558" t="str">
        <f t="shared" si="725"/>
        <v/>
      </c>
      <c r="M147" s="977" t="s">
        <v>971</v>
      </c>
      <c r="N147" s="326">
        <f t="shared" si="696"/>
        <v>145192.5</v>
      </c>
      <c r="O147" s="975">
        <v>1800000</v>
      </c>
      <c r="P147" s="326" t="e">
        <f t="shared" si="599"/>
        <v>#VALUE!</v>
      </c>
      <c r="Q147" s="326" t="str">
        <f t="shared" si="600"/>
        <v/>
      </c>
      <c r="R147" s="326">
        <f t="shared" si="601"/>
        <v>80768.69</v>
      </c>
      <c r="S147" s="326">
        <f t="shared" si="602"/>
        <v>-1719231.31</v>
      </c>
      <c r="T147" s="137">
        <f t="shared" si="603"/>
        <v>4.4871494444444444E-2</v>
      </c>
      <c r="U147" s="326">
        <f t="shared" si="604"/>
        <v>93926.3</v>
      </c>
      <c r="V147" s="975">
        <v>1800000</v>
      </c>
      <c r="W147" s="326" t="e">
        <f t="shared" si="606"/>
        <v>#VALUE!</v>
      </c>
      <c r="X147" s="326" t="str">
        <f t="shared" si="607"/>
        <v/>
      </c>
      <c r="Y147" s="326">
        <f t="shared" si="608"/>
        <v>33777.370000000003</v>
      </c>
      <c r="Z147" s="326">
        <f t="shared" si="609"/>
        <v>-1766222.63</v>
      </c>
      <c r="AA147" s="137">
        <f t="shared" si="686"/>
        <v>1.8765205555555556E-2</v>
      </c>
      <c r="AB147" s="326">
        <f t="shared" si="611"/>
        <v>124373.14</v>
      </c>
      <c r="AC147" s="975">
        <v>1800000</v>
      </c>
      <c r="AD147" s="326" t="e">
        <f t="shared" si="545"/>
        <v>#VALUE!</v>
      </c>
      <c r="AE147" s="326" t="str">
        <f t="shared" si="726"/>
        <v/>
      </c>
      <c r="AF147" s="326">
        <f t="shared" si="727"/>
        <v>0</v>
      </c>
      <c r="AG147" s="326">
        <f t="shared" si="548"/>
        <v>-1800000</v>
      </c>
      <c r="AH147" s="137">
        <f t="shared" si="667"/>
        <v>0</v>
      </c>
      <c r="AI147" s="969">
        <f t="shared" si="550"/>
        <v>5400000</v>
      </c>
      <c r="AJ147" s="326">
        <f t="shared" si="668"/>
        <v>346795.83</v>
      </c>
      <c r="AK147" s="326" t="e">
        <f t="shared" ref="AK147:AL147" si="745">SUM(AD147,W147,P147)</f>
        <v>#VALUE!</v>
      </c>
      <c r="AL147" s="326">
        <f t="shared" si="745"/>
        <v>0</v>
      </c>
      <c r="AM147" s="326">
        <f t="shared" si="553"/>
        <v>148323.43</v>
      </c>
      <c r="AN147" s="326">
        <f t="shared" si="661"/>
        <v>-198472.40000000002</v>
      </c>
      <c r="AO147" s="970">
        <f t="shared" si="670"/>
        <v>0.42769669404617694</v>
      </c>
      <c r="AP147" s="941">
        <f t="shared" si="613"/>
        <v>234938.68</v>
      </c>
      <c r="AQ147" s="326" t="e">
        <f t="shared" si="556"/>
        <v>#VALUE!</v>
      </c>
      <c r="AR147" s="326" t="str">
        <f t="shared" si="729"/>
        <v/>
      </c>
      <c r="AS147" s="326">
        <f t="shared" si="730"/>
        <v>0</v>
      </c>
      <c r="AT147" s="941">
        <f t="shared" si="614"/>
        <v>271700.82</v>
      </c>
      <c r="AU147" s="326" t="e">
        <f t="shared" si="559"/>
        <v>#VALUE!</v>
      </c>
      <c r="AV147" s="326" t="str">
        <f t="shared" si="731"/>
        <v/>
      </c>
      <c r="AW147" s="326">
        <f t="shared" si="732"/>
        <v>0</v>
      </c>
      <c r="AX147" s="941">
        <f t="shared" si="615"/>
        <v>161296.29999999999</v>
      </c>
      <c r="AY147" s="326" t="e">
        <f t="shared" si="562"/>
        <v>#VALUE!</v>
      </c>
      <c r="AZ147" s="326" t="str">
        <f t="shared" si="733"/>
        <v/>
      </c>
      <c r="BA147" s="326">
        <f t="shared" si="734"/>
        <v>27355.24</v>
      </c>
      <c r="BB147" s="326" t="e">
        <f t="shared" si="565"/>
        <v>#VALUE!</v>
      </c>
      <c r="BC147" s="326" t="e">
        <f t="shared" si="566"/>
        <v>#VALUE!</v>
      </c>
      <c r="BD147" s="326">
        <f t="shared" si="567"/>
        <v>27355.24</v>
      </c>
      <c r="BE147" s="326" t="e">
        <f t="shared" si="568"/>
        <v>#VALUE!</v>
      </c>
      <c r="BF147" s="326" t="e">
        <f t="shared" ref="BF147:BG147" si="746">SUM(BC147,AL147)</f>
        <v>#VALUE!</v>
      </c>
      <c r="BG147" s="326">
        <f t="shared" si="746"/>
        <v>175678.66999999998</v>
      </c>
      <c r="BH147" s="941">
        <f t="shared" si="617"/>
        <v>172092.17</v>
      </c>
      <c r="BI147" s="326" t="e">
        <f t="shared" si="570"/>
        <v>#VALUE!</v>
      </c>
      <c r="BJ147" s="326" t="str">
        <f t="shared" si="736"/>
        <v/>
      </c>
      <c r="BK147" s="326">
        <f t="shared" si="737"/>
        <v>0</v>
      </c>
      <c r="BL147" s="971">
        <f t="shared" si="618"/>
        <v>160336.25</v>
      </c>
      <c r="BM147" s="140" t="e">
        <f t="shared" si="573"/>
        <v>#VALUE!</v>
      </c>
      <c r="BN147" s="326" t="str">
        <f t="shared" si="738"/>
        <v/>
      </c>
      <c r="BO147" s="333">
        <f t="shared" si="739"/>
        <v>0</v>
      </c>
      <c r="BP147" s="123">
        <f t="shared" si="619"/>
        <v>245320.43</v>
      </c>
      <c r="BQ147" s="326" t="e">
        <f t="shared" si="576"/>
        <v>#VALUE!</v>
      </c>
      <c r="BR147" s="326" t="str">
        <f t="shared" si="740"/>
        <v/>
      </c>
      <c r="BS147" s="332">
        <f t="shared" si="741"/>
        <v>0</v>
      </c>
      <c r="BT147" s="140" t="e">
        <f t="shared" ref="BT147:BV147" si="747">SUM(BQ147,BM147,BI147)</f>
        <v>#VALUE!</v>
      </c>
      <c r="BU147" s="326">
        <f t="shared" si="747"/>
        <v>0</v>
      </c>
      <c r="BV147" s="333">
        <f t="shared" si="747"/>
        <v>0</v>
      </c>
      <c r="BW147" s="939">
        <f t="shared" si="621"/>
        <v>196450.91</v>
      </c>
      <c r="BX147" s="326" t="e">
        <f t="shared" si="580"/>
        <v>#VALUE!</v>
      </c>
      <c r="BY147" s="326" t="str">
        <f t="shared" si="743"/>
        <v/>
      </c>
      <c r="BZ147" s="333">
        <f t="shared" si="744"/>
        <v>0</v>
      </c>
      <c r="CA147" s="939">
        <f t="shared" si="622"/>
        <v>150344.92000000001</v>
      </c>
      <c r="CB147" s="941">
        <f t="shared" si="623"/>
        <v>0</v>
      </c>
    </row>
    <row r="148" spans="1:116" ht="13">
      <c r="A148" s="323" t="e">
        <f t="shared" si="715"/>
        <v>#N/A</v>
      </c>
      <c r="B148" s="324">
        <f t="shared" si="528"/>
        <v>1</v>
      </c>
      <c r="C148" s="558" t="str">
        <f t="shared" si="716"/>
        <v>Lista</v>
      </c>
      <c r="D148" s="558">
        <f t="shared" si="717"/>
        <v>0.09</v>
      </c>
      <c r="E148" s="558">
        <f t="shared" si="718"/>
        <v>0</v>
      </c>
      <c r="F148" s="798">
        <f t="shared" si="719"/>
        <v>1</v>
      </c>
      <c r="G148" s="558" t="str">
        <f t="shared" si="720"/>
        <v>Lista</v>
      </c>
      <c r="H148" s="558">
        <f t="shared" si="721"/>
        <v>0.09</v>
      </c>
      <c r="I148" s="558">
        <f t="shared" si="722"/>
        <v>0</v>
      </c>
      <c r="J148" s="637" t="e">
        <f t="shared" si="723"/>
        <v>#N/A</v>
      </c>
      <c r="K148" s="558" t="str">
        <f t="shared" si="724"/>
        <v/>
      </c>
      <c r="L148" s="558" t="str">
        <f t="shared" si="725"/>
        <v/>
      </c>
      <c r="M148" s="977" t="s">
        <v>972</v>
      </c>
      <c r="N148" s="326">
        <f t="shared" si="696"/>
        <v>40853.25</v>
      </c>
      <c r="O148" s="326">
        <f t="shared" ref="O148:O152" si="748">(N148*1.601)*1.05</f>
        <v>68676.355912500003</v>
      </c>
      <c r="P148" s="326">
        <f t="shared" si="599"/>
        <v>0</v>
      </c>
      <c r="Q148" s="326">
        <f t="shared" si="600"/>
        <v>0</v>
      </c>
      <c r="R148" s="326">
        <f t="shared" si="601"/>
        <v>0</v>
      </c>
      <c r="S148" s="326">
        <f t="shared" si="602"/>
        <v>-68676.355912500003</v>
      </c>
      <c r="T148" s="137">
        <f t="shared" si="603"/>
        <v>0</v>
      </c>
      <c r="U148" s="326">
        <f t="shared" si="604"/>
        <v>133789.04999999999</v>
      </c>
      <c r="V148" s="326">
        <f t="shared" ref="V148:V163" si="749">(U148*1.7245)*1.05</f>
        <v>242255.17756124999</v>
      </c>
      <c r="W148" s="326">
        <f t="shared" si="606"/>
        <v>41585.300000000003</v>
      </c>
      <c r="X148" s="326">
        <f t="shared" si="607"/>
        <v>0</v>
      </c>
      <c r="Y148" s="326">
        <f t="shared" si="608"/>
        <v>41585.300000000003</v>
      </c>
      <c r="Z148" s="326">
        <f t="shared" si="609"/>
        <v>-200669.87756125</v>
      </c>
      <c r="AA148" s="137">
        <f t="shared" si="686"/>
        <v>0.17165907626261523</v>
      </c>
      <c r="AB148" s="326">
        <f t="shared" si="611"/>
        <v>0</v>
      </c>
      <c r="AC148" s="326">
        <f t="shared" ref="AC148:AC163" si="750">(AB148*1.5955)*1.05</f>
        <v>0</v>
      </c>
      <c r="AD148" s="326">
        <f t="shared" si="545"/>
        <v>0</v>
      </c>
      <c r="AE148" s="326">
        <f t="shared" si="726"/>
        <v>0</v>
      </c>
      <c r="AF148" s="326">
        <f t="shared" si="727"/>
        <v>0</v>
      </c>
      <c r="AG148" s="326">
        <f t="shared" si="548"/>
        <v>0</v>
      </c>
      <c r="AH148" s="137" t="str">
        <f t="shared" si="667"/>
        <v/>
      </c>
      <c r="AI148" s="969">
        <f t="shared" si="550"/>
        <v>310931.53347374999</v>
      </c>
      <c r="AJ148" s="326">
        <f t="shared" si="668"/>
        <v>165243.85</v>
      </c>
      <c r="AK148" s="326">
        <f t="shared" ref="AK148:AL148" si="751">SUM(AD148,W148,P148)</f>
        <v>41585.300000000003</v>
      </c>
      <c r="AL148" s="326">
        <f t="shared" si="751"/>
        <v>0</v>
      </c>
      <c r="AM148" s="326">
        <f t="shared" si="553"/>
        <v>83170.600000000006</v>
      </c>
      <c r="AN148" s="326">
        <f t="shared" si="661"/>
        <v>-82073.25</v>
      </c>
      <c r="AO148" s="970">
        <f t="shared" si="670"/>
        <v>0.50332039588765332</v>
      </c>
      <c r="AP148" s="941">
        <f t="shared" si="613"/>
        <v>58893.3</v>
      </c>
      <c r="AQ148" s="326">
        <f t="shared" si="556"/>
        <v>27042.91</v>
      </c>
      <c r="AR148" s="326">
        <f t="shared" si="729"/>
        <v>19800.02</v>
      </c>
      <c r="AS148" s="326">
        <f t="shared" si="730"/>
        <v>46842.93</v>
      </c>
      <c r="AT148" s="941">
        <f t="shared" si="614"/>
        <v>0</v>
      </c>
      <c r="AU148" s="326">
        <f t="shared" si="559"/>
        <v>0</v>
      </c>
      <c r="AV148" s="326">
        <f t="shared" si="731"/>
        <v>0</v>
      </c>
      <c r="AW148" s="326">
        <f t="shared" si="732"/>
        <v>0</v>
      </c>
      <c r="AX148" s="941">
        <f t="shared" si="615"/>
        <v>31686.7</v>
      </c>
      <c r="AY148" s="326">
        <f t="shared" si="562"/>
        <v>0</v>
      </c>
      <c r="AZ148" s="326">
        <f t="shared" si="733"/>
        <v>0</v>
      </c>
      <c r="BA148" s="326">
        <f t="shared" si="734"/>
        <v>0</v>
      </c>
      <c r="BB148" s="326">
        <f t="shared" si="565"/>
        <v>27042.91</v>
      </c>
      <c r="BC148" s="326">
        <f t="shared" si="566"/>
        <v>19800.02</v>
      </c>
      <c r="BD148" s="326">
        <f t="shared" si="567"/>
        <v>46842.93</v>
      </c>
      <c r="BE148" s="326">
        <f t="shared" si="568"/>
        <v>68628.210000000006</v>
      </c>
      <c r="BF148" s="326">
        <f t="shared" ref="BF148:BG148" si="752">SUM(BC148,AL148)</f>
        <v>19800.02</v>
      </c>
      <c r="BG148" s="326">
        <f t="shared" si="752"/>
        <v>130013.53</v>
      </c>
      <c r="BH148" s="941">
        <f t="shared" si="617"/>
        <v>34749.24</v>
      </c>
      <c r="BI148" s="326">
        <f t="shared" si="570"/>
        <v>64342.71</v>
      </c>
      <c r="BJ148" s="326">
        <f t="shared" si="736"/>
        <v>0</v>
      </c>
      <c r="BK148" s="326">
        <f t="shared" si="737"/>
        <v>64342.71</v>
      </c>
      <c r="BL148" s="971">
        <f t="shared" si="618"/>
        <v>80938.179999999993</v>
      </c>
      <c r="BM148" s="140">
        <f t="shared" si="573"/>
        <v>0</v>
      </c>
      <c r="BN148" s="326">
        <f t="shared" si="738"/>
        <v>0</v>
      </c>
      <c r="BO148" s="333">
        <f t="shared" si="739"/>
        <v>0</v>
      </c>
      <c r="BP148" s="123">
        <f t="shared" si="619"/>
        <v>23971.61</v>
      </c>
      <c r="BQ148" s="326">
        <f t="shared" si="576"/>
        <v>28645.97</v>
      </c>
      <c r="BR148" s="326">
        <f t="shared" si="740"/>
        <v>0</v>
      </c>
      <c r="BS148" s="332">
        <f t="shared" si="741"/>
        <v>28645.97</v>
      </c>
      <c r="BT148" s="140">
        <f t="shared" ref="BT148:BV148" si="753">SUM(BQ148,BM148,BI148)</f>
        <v>92988.68</v>
      </c>
      <c r="BU148" s="326">
        <f t="shared" si="753"/>
        <v>0</v>
      </c>
      <c r="BV148" s="333">
        <f t="shared" si="753"/>
        <v>92988.68</v>
      </c>
      <c r="BW148" s="939">
        <f t="shared" si="621"/>
        <v>72701.100000000006</v>
      </c>
      <c r="BX148" s="326">
        <f t="shared" si="580"/>
        <v>59666.68</v>
      </c>
      <c r="BY148" s="326">
        <f t="shared" si="743"/>
        <v>0</v>
      </c>
      <c r="BZ148" s="333">
        <f t="shared" si="744"/>
        <v>59666.68</v>
      </c>
      <c r="CA148" s="939">
        <f t="shared" si="622"/>
        <v>92542.75</v>
      </c>
      <c r="CB148" s="941">
        <f t="shared" si="623"/>
        <v>0</v>
      </c>
    </row>
    <row r="149" spans="1:116" ht="13">
      <c r="A149" s="323" t="e">
        <f t="shared" si="715"/>
        <v>#N/A</v>
      </c>
      <c r="B149" s="324">
        <f t="shared" si="528"/>
        <v>1</v>
      </c>
      <c r="C149" s="558" t="str">
        <f t="shared" si="716"/>
        <v>Lista</v>
      </c>
      <c r="D149" s="558">
        <f t="shared" si="717"/>
        <v>0.09</v>
      </c>
      <c r="E149" s="558">
        <f t="shared" si="718"/>
        <v>0</v>
      </c>
      <c r="F149" s="798">
        <f t="shared" si="719"/>
        <v>1</v>
      </c>
      <c r="G149" s="558" t="str">
        <f t="shared" si="720"/>
        <v>Lista</v>
      </c>
      <c r="H149" s="558">
        <f t="shared" si="721"/>
        <v>0.09</v>
      </c>
      <c r="I149" s="558">
        <f t="shared" si="722"/>
        <v>0</v>
      </c>
      <c r="J149" s="637" t="e">
        <f t="shared" si="723"/>
        <v>#N/A</v>
      </c>
      <c r="K149" s="558" t="str">
        <f t="shared" si="724"/>
        <v/>
      </c>
      <c r="L149" s="558" t="str">
        <f t="shared" si="725"/>
        <v/>
      </c>
      <c r="M149" s="977" t="s">
        <v>973</v>
      </c>
      <c r="N149" s="326">
        <f t="shared" si="696"/>
        <v>0</v>
      </c>
      <c r="O149" s="326">
        <f t="shared" si="748"/>
        <v>0</v>
      </c>
      <c r="P149" s="326" t="e">
        <f t="shared" si="599"/>
        <v>#VALUE!</v>
      </c>
      <c r="Q149" s="326" t="str">
        <f t="shared" si="600"/>
        <v/>
      </c>
      <c r="R149" s="326">
        <f t="shared" si="601"/>
        <v>0</v>
      </c>
      <c r="S149" s="326">
        <f t="shared" si="602"/>
        <v>0</v>
      </c>
      <c r="T149" s="137" t="str">
        <f t="shared" si="603"/>
        <v/>
      </c>
      <c r="U149" s="326">
        <f t="shared" si="604"/>
        <v>17873.46</v>
      </c>
      <c r="V149" s="326">
        <f t="shared" si="749"/>
        <v>32363.920858499998</v>
      </c>
      <c r="W149" s="326" t="e">
        <f t="shared" si="606"/>
        <v>#VALUE!</v>
      </c>
      <c r="X149" s="326" t="str">
        <f t="shared" si="607"/>
        <v/>
      </c>
      <c r="Y149" s="326">
        <f t="shared" si="608"/>
        <v>53305</v>
      </c>
      <c r="Z149" s="326">
        <f t="shared" si="609"/>
        <v>20941.079141500002</v>
      </c>
      <c r="AA149" s="137">
        <f t="shared" si="686"/>
        <v>1.6470501282294441</v>
      </c>
      <c r="AB149" s="326">
        <f t="shared" si="611"/>
        <v>0</v>
      </c>
      <c r="AC149" s="326">
        <f t="shared" si="750"/>
        <v>0</v>
      </c>
      <c r="AD149" s="326" t="e">
        <f t="shared" si="545"/>
        <v>#VALUE!</v>
      </c>
      <c r="AE149" s="326" t="str">
        <f t="shared" si="726"/>
        <v/>
      </c>
      <c r="AF149" s="326">
        <f t="shared" si="727"/>
        <v>0</v>
      </c>
      <c r="AG149" s="326">
        <f t="shared" si="548"/>
        <v>0</v>
      </c>
      <c r="AH149" s="137" t="str">
        <f t="shared" si="667"/>
        <v/>
      </c>
      <c r="AI149" s="969">
        <f t="shared" si="550"/>
        <v>32363.920858499998</v>
      </c>
      <c r="AJ149" s="326" t="str">
        <f t="shared" si="668"/>
        <v/>
      </c>
      <c r="AK149" s="326" t="e">
        <f t="shared" ref="AK149:AL149" si="754">SUM(AD149,W149,P149)</f>
        <v>#VALUE!</v>
      </c>
      <c r="AL149" s="326">
        <f t="shared" si="754"/>
        <v>0</v>
      </c>
      <c r="AM149" s="326">
        <f t="shared" si="553"/>
        <v>106610</v>
      </c>
      <c r="AN149" s="326" t="e">
        <f t="shared" si="661"/>
        <v>#VALUE!</v>
      </c>
      <c r="AO149" s="970" t="str">
        <f t="shared" si="670"/>
        <v/>
      </c>
      <c r="AP149" s="941">
        <f t="shared" si="613"/>
        <v>32009.599999999999</v>
      </c>
      <c r="AQ149" s="326" t="e">
        <f t="shared" si="556"/>
        <v>#VALUE!</v>
      </c>
      <c r="AR149" s="326" t="str">
        <f t="shared" si="729"/>
        <v/>
      </c>
      <c r="AS149" s="326">
        <f t="shared" si="730"/>
        <v>0</v>
      </c>
      <c r="AT149" s="941">
        <f t="shared" si="614"/>
        <v>120920.17</v>
      </c>
      <c r="AU149" s="326" t="e">
        <f t="shared" si="559"/>
        <v>#VALUE!</v>
      </c>
      <c r="AV149" s="326" t="str">
        <f t="shared" si="731"/>
        <v/>
      </c>
      <c r="AW149" s="326">
        <f t="shared" si="732"/>
        <v>0</v>
      </c>
      <c r="AX149" s="941">
        <f t="shared" si="615"/>
        <v>188072.69</v>
      </c>
      <c r="AY149" s="326" t="e">
        <f t="shared" si="562"/>
        <v>#VALUE!</v>
      </c>
      <c r="AZ149" s="326" t="str">
        <f t="shared" si="733"/>
        <v/>
      </c>
      <c r="BA149" s="326">
        <f t="shared" si="734"/>
        <v>0</v>
      </c>
      <c r="BB149" s="326" t="e">
        <f t="shared" si="565"/>
        <v>#VALUE!</v>
      </c>
      <c r="BC149" s="326" t="e">
        <f t="shared" si="566"/>
        <v>#VALUE!</v>
      </c>
      <c r="BD149" s="326">
        <f t="shared" si="567"/>
        <v>0</v>
      </c>
      <c r="BE149" s="326" t="e">
        <f t="shared" si="568"/>
        <v>#VALUE!</v>
      </c>
      <c r="BF149" s="326" t="e">
        <f t="shared" ref="BF149:BG149" si="755">SUM(BC149,AL149)</f>
        <v>#VALUE!</v>
      </c>
      <c r="BG149" s="326">
        <f t="shared" si="755"/>
        <v>106610</v>
      </c>
      <c r="BH149" s="941">
        <f t="shared" si="617"/>
        <v>100746.37</v>
      </c>
      <c r="BI149" s="326" t="e">
        <f t="shared" si="570"/>
        <v>#VALUE!</v>
      </c>
      <c r="BJ149" s="326" t="str">
        <f t="shared" si="736"/>
        <v/>
      </c>
      <c r="BK149" s="326">
        <f t="shared" si="737"/>
        <v>0</v>
      </c>
      <c r="BL149" s="971">
        <f t="shared" si="618"/>
        <v>0</v>
      </c>
      <c r="BM149" s="140" t="e">
        <f t="shared" si="573"/>
        <v>#VALUE!</v>
      </c>
      <c r="BN149" s="326" t="str">
        <f t="shared" si="738"/>
        <v/>
      </c>
      <c r="BO149" s="333">
        <f t="shared" si="739"/>
        <v>64896</v>
      </c>
      <c r="BP149" s="123">
        <f t="shared" si="619"/>
        <v>81437.27</v>
      </c>
      <c r="BQ149" s="326" t="e">
        <f t="shared" si="576"/>
        <v>#VALUE!</v>
      </c>
      <c r="BR149" s="326" t="str">
        <f t="shared" si="740"/>
        <v/>
      </c>
      <c r="BS149" s="332">
        <f t="shared" si="741"/>
        <v>0</v>
      </c>
      <c r="BT149" s="140" t="e">
        <f t="shared" ref="BT149:BV149" si="756">SUM(BQ149,BM149,BI149)</f>
        <v>#VALUE!</v>
      </c>
      <c r="BU149" s="326">
        <f t="shared" si="756"/>
        <v>0</v>
      </c>
      <c r="BV149" s="333">
        <f t="shared" si="756"/>
        <v>64896</v>
      </c>
      <c r="BW149" s="939">
        <f t="shared" si="621"/>
        <v>0</v>
      </c>
      <c r="BX149" s="326" t="e">
        <f t="shared" si="580"/>
        <v>#VALUE!</v>
      </c>
      <c r="BY149" s="326" t="str">
        <f t="shared" si="743"/>
        <v/>
      </c>
      <c r="BZ149" s="333">
        <f t="shared" si="744"/>
        <v>0</v>
      </c>
      <c r="CA149" s="939">
        <f t="shared" si="622"/>
        <v>0</v>
      </c>
      <c r="CB149" s="941">
        <f t="shared" si="623"/>
        <v>0</v>
      </c>
    </row>
    <row r="150" spans="1:116" ht="13">
      <c r="A150" s="323" t="e">
        <f t="shared" si="715"/>
        <v>#N/A</v>
      </c>
      <c r="B150" s="324">
        <f t="shared" si="528"/>
        <v>1</v>
      </c>
      <c r="C150" s="558" t="str">
        <f t="shared" si="716"/>
        <v>Lista</v>
      </c>
      <c r="D150" s="558">
        <f t="shared" si="717"/>
        <v>0.09</v>
      </c>
      <c r="E150" s="558">
        <f t="shared" si="718"/>
        <v>0</v>
      </c>
      <c r="F150" s="798">
        <f t="shared" si="719"/>
        <v>1</v>
      </c>
      <c r="G150" s="558" t="str">
        <f t="shared" si="720"/>
        <v>Lista</v>
      </c>
      <c r="H150" s="558">
        <f t="shared" si="721"/>
        <v>0.09</v>
      </c>
      <c r="I150" s="558">
        <f t="shared" si="722"/>
        <v>0</v>
      </c>
      <c r="J150" s="637" t="e">
        <f t="shared" si="723"/>
        <v>#N/A</v>
      </c>
      <c r="K150" s="558" t="str">
        <f t="shared" si="724"/>
        <v/>
      </c>
      <c r="L150" s="558" t="str">
        <f t="shared" si="725"/>
        <v/>
      </c>
      <c r="M150" s="977" t="s">
        <v>974</v>
      </c>
      <c r="N150" s="326">
        <f t="shared" si="696"/>
        <v>310555.84999999998</v>
      </c>
      <c r="O150" s="326">
        <f t="shared" si="748"/>
        <v>522059.91164249997</v>
      </c>
      <c r="P150" s="326" t="e">
        <f t="shared" si="599"/>
        <v>#VALUE!</v>
      </c>
      <c r="Q150" s="326" t="str">
        <f t="shared" si="600"/>
        <v/>
      </c>
      <c r="R150" s="326">
        <f t="shared" si="601"/>
        <v>117151.35</v>
      </c>
      <c r="S150" s="326">
        <f t="shared" si="602"/>
        <v>-404908.56164249999</v>
      </c>
      <c r="T150" s="137">
        <f t="shared" si="603"/>
        <v>0.22440211820022635</v>
      </c>
      <c r="U150" s="326">
        <f t="shared" si="604"/>
        <v>354286.06</v>
      </c>
      <c r="V150" s="326">
        <f t="shared" si="749"/>
        <v>641514.6259935</v>
      </c>
      <c r="W150" s="326" t="e">
        <f t="shared" si="606"/>
        <v>#VALUE!</v>
      </c>
      <c r="X150" s="326" t="str">
        <f t="shared" si="607"/>
        <v/>
      </c>
      <c r="Y150" s="326">
        <f t="shared" si="608"/>
        <v>18756.5</v>
      </c>
      <c r="Z150" s="326">
        <f t="shared" si="609"/>
        <v>-622758.1259935</v>
      </c>
      <c r="AA150" s="137">
        <f t="shared" si="686"/>
        <v>2.9237836894135047E-2</v>
      </c>
      <c r="AB150" s="326">
        <f t="shared" si="611"/>
        <v>287922.65000000002</v>
      </c>
      <c r="AC150" s="326">
        <f t="shared" si="750"/>
        <v>482349.61747875006</v>
      </c>
      <c r="AD150" s="326" t="e">
        <f t="shared" si="545"/>
        <v>#VALUE!</v>
      </c>
      <c r="AE150" s="326" t="str">
        <f t="shared" si="726"/>
        <v/>
      </c>
      <c r="AF150" s="326">
        <f t="shared" si="727"/>
        <v>188495.15</v>
      </c>
      <c r="AG150" s="326">
        <f t="shared" si="548"/>
        <v>-293854.46747875004</v>
      </c>
      <c r="AH150" s="137">
        <f t="shared" si="667"/>
        <v>0.39078532079131201</v>
      </c>
      <c r="AI150" s="969">
        <f t="shared" si="550"/>
        <v>1645924.1551147499</v>
      </c>
      <c r="AJ150" s="326">
        <f t="shared" si="668"/>
        <v>159013.04999999999</v>
      </c>
      <c r="AK150" s="326" t="e">
        <f t="shared" ref="AK150:AL150" si="757">SUM(AD150,W150,P150)</f>
        <v>#VALUE!</v>
      </c>
      <c r="AL150" s="326">
        <f t="shared" si="757"/>
        <v>0</v>
      </c>
      <c r="AM150" s="326">
        <f t="shared" si="553"/>
        <v>343159.5</v>
      </c>
      <c r="AN150" s="326">
        <f t="shared" si="661"/>
        <v>184146.45</v>
      </c>
      <c r="AO150" s="970">
        <f t="shared" si="670"/>
        <v>2.1580587253687669</v>
      </c>
      <c r="AP150" s="941">
        <f t="shared" si="613"/>
        <v>209595.32</v>
      </c>
      <c r="AQ150" s="326" t="e">
        <f t="shared" si="556"/>
        <v>#VALUE!</v>
      </c>
      <c r="AR150" s="326" t="str">
        <f t="shared" si="729"/>
        <v/>
      </c>
      <c r="AS150" s="326">
        <f t="shared" si="730"/>
        <v>15321.99</v>
      </c>
      <c r="AT150" s="941">
        <f t="shared" si="614"/>
        <v>71498.66</v>
      </c>
      <c r="AU150" s="326" t="e">
        <f t="shared" si="559"/>
        <v>#VALUE!</v>
      </c>
      <c r="AV150" s="326" t="str">
        <f t="shared" si="731"/>
        <v/>
      </c>
      <c r="AW150" s="326">
        <f t="shared" si="732"/>
        <v>145876.23000000001</v>
      </c>
      <c r="AX150" s="941">
        <f t="shared" si="615"/>
        <v>364260.52</v>
      </c>
      <c r="AY150" s="326" t="e">
        <f t="shared" si="562"/>
        <v>#VALUE!</v>
      </c>
      <c r="AZ150" s="326" t="str">
        <f t="shared" si="733"/>
        <v/>
      </c>
      <c r="BA150" s="326">
        <f t="shared" si="734"/>
        <v>46968.55</v>
      </c>
      <c r="BB150" s="326" t="e">
        <f t="shared" si="565"/>
        <v>#VALUE!</v>
      </c>
      <c r="BC150" s="326" t="e">
        <f t="shared" si="566"/>
        <v>#VALUE!</v>
      </c>
      <c r="BD150" s="326">
        <f t="shared" si="567"/>
        <v>208166.77000000002</v>
      </c>
      <c r="BE150" s="326" t="e">
        <f t="shared" si="568"/>
        <v>#VALUE!</v>
      </c>
      <c r="BF150" s="326" t="e">
        <f t="shared" ref="BF150:BG150" si="758">SUM(BC150,AL150)</f>
        <v>#VALUE!</v>
      </c>
      <c r="BG150" s="326">
        <f t="shared" si="758"/>
        <v>551326.27</v>
      </c>
      <c r="BH150" s="941">
        <f t="shared" si="617"/>
        <v>199809.07</v>
      </c>
      <c r="BI150" s="326" t="e">
        <f t="shared" si="570"/>
        <v>#VALUE!</v>
      </c>
      <c r="BJ150" s="326" t="str">
        <f t="shared" si="736"/>
        <v/>
      </c>
      <c r="BK150" s="326">
        <f t="shared" si="737"/>
        <v>131064.52</v>
      </c>
      <c r="BL150" s="971">
        <f t="shared" si="618"/>
        <v>136304.01999999999</v>
      </c>
      <c r="BM150" s="140" t="e">
        <f t="shared" si="573"/>
        <v>#VALUE!</v>
      </c>
      <c r="BN150" s="326" t="str">
        <f t="shared" si="738"/>
        <v/>
      </c>
      <c r="BO150" s="333">
        <f t="shared" si="739"/>
        <v>111133.97</v>
      </c>
      <c r="BP150" s="123">
        <f t="shared" si="619"/>
        <v>410299.79</v>
      </c>
      <c r="BQ150" s="326" t="e">
        <f t="shared" si="576"/>
        <v>#VALUE!</v>
      </c>
      <c r="BR150" s="326" t="str">
        <f t="shared" si="740"/>
        <v/>
      </c>
      <c r="BS150" s="332">
        <f t="shared" si="741"/>
        <v>117221.3</v>
      </c>
      <c r="BT150" s="140" t="e">
        <f t="shared" ref="BT150:BV150" si="759">SUM(BQ150,BM150,BI150)</f>
        <v>#VALUE!</v>
      </c>
      <c r="BU150" s="326">
        <f t="shared" si="759"/>
        <v>0</v>
      </c>
      <c r="BV150" s="333">
        <f t="shared" si="759"/>
        <v>359419.79000000004</v>
      </c>
      <c r="BW150" s="939">
        <f t="shared" si="621"/>
        <v>78978.12</v>
      </c>
      <c r="BX150" s="326" t="e">
        <f t="shared" si="580"/>
        <v>#VALUE!</v>
      </c>
      <c r="BY150" s="326" t="str">
        <f t="shared" si="743"/>
        <v/>
      </c>
      <c r="BZ150" s="333">
        <f t="shared" si="744"/>
        <v>0</v>
      </c>
      <c r="CA150" s="939">
        <f t="shared" si="622"/>
        <v>0</v>
      </c>
      <c r="CB150" s="941">
        <f t="shared" si="623"/>
        <v>80034.929999999993</v>
      </c>
    </row>
    <row r="151" spans="1:116" ht="13">
      <c r="A151" s="323" t="e">
        <f t="shared" si="715"/>
        <v>#N/A</v>
      </c>
      <c r="B151" s="324">
        <f t="shared" si="528"/>
        <v>1</v>
      </c>
      <c r="C151" s="558" t="str">
        <f t="shared" si="716"/>
        <v>Lista</v>
      </c>
      <c r="D151" s="558">
        <f t="shared" si="717"/>
        <v>0.09</v>
      </c>
      <c r="E151" s="558">
        <f t="shared" si="718"/>
        <v>0</v>
      </c>
      <c r="F151" s="798">
        <f t="shared" si="719"/>
        <v>1</v>
      </c>
      <c r="G151" s="558" t="str">
        <f t="shared" si="720"/>
        <v>Lista</v>
      </c>
      <c r="H151" s="558">
        <f t="shared" si="721"/>
        <v>0.09</v>
      </c>
      <c r="I151" s="558">
        <f t="shared" si="722"/>
        <v>0</v>
      </c>
      <c r="J151" s="637" t="e">
        <f t="shared" si="723"/>
        <v>#N/A</v>
      </c>
      <c r="K151" s="558" t="str">
        <f t="shared" si="724"/>
        <v/>
      </c>
      <c r="L151" s="558" t="str">
        <f t="shared" si="725"/>
        <v/>
      </c>
      <c r="M151" s="977" t="s">
        <v>975</v>
      </c>
      <c r="N151" s="326">
        <f t="shared" si="696"/>
        <v>328987.28000000003</v>
      </c>
      <c r="O151" s="326">
        <f t="shared" si="748"/>
        <v>553044.06704400002</v>
      </c>
      <c r="P151" s="326" t="e">
        <f t="shared" si="599"/>
        <v>#VALUE!</v>
      </c>
      <c r="Q151" s="326" t="str">
        <f t="shared" si="600"/>
        <v/>
      </c>
      <c r="R151" s="326">
        <f t="shared" si="601"/>
        <v>387529.21</v>
      </c>
      <c r="S151" s="326">
        <f t="shared" si="602"/>
        <v>-165514.857044</v>
      </c>
      <c r="T151" s="137">
        <f t="shared" si="603"/>
        <v>0.70072030981424183</v>
      </c>
      <c r="U151" s="326">
        <f t="shared" si="604"/>
        <v>166520.4</v>
      </c>
      <c r="V151" s="326">
        <f t="shared" si="749"/>
        <v>301522.65129000001</v>
      </c>
      <c r="W151" s="326" t="e">
        <f t="shared" si="606"/>
        <v>#VALUE!</v>
      </c>
      <c r="X151" s="326" t="str">
        <f t="shared" si="607"/>
        <v/>
      </c>
      <c r="Y151" s="326">
        <f t="shared" si="608"/>
        <v>0</v>
      </c>
      <c r="Z151" s="326">
        <f t="shared" si="609"/>
        <v>-301522.65129000001</v>
      </c>
      <c r="AA151" s="137">
        <f t="shared" si="686"/>
        <v>0</v>
      </c>
      <c r="AB151" s="326">
        <f t="shared" si="611"/>
        <v>79408.62</v>
      </c>
      <c r="AC151" s="326">
        <f t="shared" si="750"/>
        <v>133031.27587049999</v>
      </c>
      <c r="AD151" s="326" t="e">
        <f t="shared" si="545"/>
        <v>#VALUE!</v>
      </c>
      <c r="AE151" s="326" t="str">
        <f t="shared" si="726"/>
        <v/>
      </c>
      <c r="AF151" s="326">
        <f t="shared" si="727"/>
        <v>156810.84</v>
      </c>
      <c r="AG151" s="326">
        <f t="shared" si="548"/>
        <v>23779.56412950001</v>
      </c>
      <c r="AH151" s="137">
        <f t="shared" si="667"/>
        <v>1.1787516805645641</v>
      </c>
      <c r="AI151" s="969">
        <f t="shared" si="550"/>
        <v>987597.99420450011</v>
      </c>
      <c r="AJ151" s="326">
        <f t="shared" si="668"/>
        <v>439218.94</v>
      </c>
      <c r="AK151" s="326" t="e">
        <f t="shared" ref="AK151:AL151" si="760">SUM(AD151,W151,P151)</f>
        <v>#VALUE!</v>
      </c>
      <c r="AL151" s="326">
        <f t="shared" si="760"/>
        <v>0</v>
      </c>
      <c r="AM151" s="326">
        <f t="shared" si="553"/>
        <v>544340.05000000005</v>
      </c>
      <c r="AN151" s="326">
        <f t="shared" si="661"/>
        <v>105121.11000000004</v>
      </c>
      <c r="AO151" s="970">
        <f t="shared" si="670"/>
        <v>1.2393364685047508</v>
      </c>
      <c r="AP151" s="941">
        <f t="shared" si="613"/>
        <v>113033.95</v>
      </c>
      <c r="AQ151" s="326" t="e">
        <f t="shared" si="556"/>
        <v>#VALUE!</v>
      </c>
      <c r="AR151" s="326" t="str">
        <f t="shared" si="729"/>
        <v/>
      </c>
      <c r="AS151" s="326">
        <f t="shared" si="730"/>
        <v>119409.46</v>
      </c>
      <c r="AT151" s="941">
        <f t="shared" si="614"/>
        <v>0</v>
      </c>
      <c r="AU151" s="326" t="e">
        <f t="shared" si="559"/>
        <v>#VALUE!</v>
      </c>
      <c r="AV151" s="326" t="str">
        <f t="shared" si="731"/>
        <v/>
      </c>
      <c r="AW151" s="326">
        <f t="shared" si="732"/>
        <v>0</v>
      </c>
      <c r="AX151" s="941">
        <f t="shared" si="615"/>
        <v>123323</v>
      </c>
      <c r="AY151" s="326" t="e">
        <f t="shared" si="562"/>
        <v>#VALUE!</v>
      </c>
      <c r="AZ151" s="326" t="str">
        <f t="shared" si="733"/>
        <v/>
      </c>
      <c r="BA151" s="326">
        <f t="shared" si="734"/>
        <v>236662</v>
      </c>
      <c r="BB151" s="326" t="e">
        <f t="shared" si="565"/>
        <v>#VALUE!</v>
      </c>
      <c r="BC151" s="326" t="e">
        <f t="shared" si="566"/>
        <v>#VALUE!</v>
      </c>
      <c r="BD151" s="326">
        <f t="shared" si="567"/>
        <v>356071.46</v>
      </c>
      <c r="BE151" s="326" t="e">
        <f t="shared" si="568"/>
        <v>#VALUE!</v>
      </c>
      <c r="BF151" s="326" t="e">
        <f t="shared" ref="BF151:BG151" si="761">SUM(BC151,AL151)</f>
        <v>#VALUE!</v>
      </c>
      <c r="BG151" s="326">
        <f t="shared" si="761"/>
        <v>900411.51</v>
      </c>
      <c r="BH151" s="941">
        <f t="shared" si="617"/>
        <v>194198.77</v>
      </c>
      <c r="BI151" s="326" t="e">
        <f t="shared" si="570"/>
        <v>#VALUE!</v>
      </c>
      <c r="BJ151" s="326" t="str">
        <f t="shared" si="736"/>
        <v/>
      </c>
      <c r="BK151" s="326">
        <f t="shared" si="737"/>
        <v>178255.98</v>
      </c>
      <c r="BL151" s="971">
        <f t="shared" si="618"/>
        <v>126224.3</v>
      </c>
      <c r="BM151" s="140" t="e">
        <f t="shared" si="573"/>
        <v>#VALUE!</v>
      </c>
      <c r="BN151" s="326" t="str">
        <f t="shared" si="738"/>
        <v/>
      </c>
      <c r="BO151" s="333">
        <f t="shared" si="739"/>
        <v>147466</v>
      </c>
      <c r="BP151" s="123">
        <f t="shared" si="619"/>
        <v>101541.95</v>
      </c>
      <c r="BQ151" s="326" t="e">
        <f t="shared" si="576"/>
        <v>#VALUE!</v>
      </c>
      <c r="BR151" s="326" t="str">
        <f t="shared" si="740"/>
        <v/>
      </c>
      <c r="BS151" s="332">
        <f t="shared" si="741"/>
        <v>0</v>
      </c>
      <c r="BT151" s="140" t="e">
        <f t="shared" ref="BT151:BV151" si="762">SUM(BQ151,BM151,BI151)</f>
        <v>#VALUE!</v>
      </c>
      <c r="BU151" s="326">
        <f t="shared" si="762"/>
        <v>0</v>
      </c>
      <c r="BV151" s="333">
        <f t="shared" si="762"/>
        <v>325721.98</v>
      </c>
      <c r="BW151" s="939">
        <f t="shared" si="621"/>
        <v>439218.94</v>
      </c>
      <c r="BX151" s="326" t="e">
        <f t="shared" si="580"/>
        <v>#VALUE!</v>
      </c>
      <c r="BY151" s="326" t="str">
        <f t="shared" si="743"/>
        <v/>
      </c>
      <c r="BZ151" s="333">
        <f t="shared" si="744"/>
        <v>0</v>
      </c>
      <c r="CA151" s="939">
        <f t="shared" si="622"/>
        <v>0</v>
      </c>
      <c r="CB151" s="941">
        <f t="shared" si="623"/>
        <v>0</v>
      </c>
    </row>
    <row r="152" spans="1:116" ht="13">
      <c r="A152" s="323" t="e">
        <f t="shared" si="715"/>
        <v>#N/A</v>
      </c>
      <c r="B152" s="324">
        <f t="shared" si="528"/>
        <v>1</v>
      </c>
      <c r="C152" s="558" t="str">
        <f t="shared" si="716"/>
        <v>Lista</v>
      </c>
      <c r="D152" s="558">
        <f t="shared" si="717"/>
        <v>0.09</v>
      </c>
      <c r="E152" s="558">
        <f t="shared" si="718"/>
        <v>0</v>
      </c>
      <c r="F152" s="798">
        <f t="shared" si="719"/>
        <v>1</v>
      </c>
      <c r="G152" s="558" t="str">
        <f t="shared" si="720"/>
        <v>Lista</v>
      </c>
      <c r="H152" s="558">
        <f t="shared" si="721"/>
        <v>0.09</v>
      </c>
      <c r="I152" s="558">
        <f t="shared" si="722"/>
        <v>0</v>
      </c>
      <c r="J152" s="637" t="e">
        <f t="shared" si="723"/>
        <v>#N/A</v>
      </c>
      <c r="K152" s="558" t="str">
        <f t="shared" si="724"/>
        <v/>
      </c>
      <c r="L152" s="558" t="str">
        <f t="shared" si="725"/>
        <v/>
      </c>
      <c r="M152" s="977" t="s">
        <v>976</v>
      </c>
      <c r="N152" s="326" t="str">
        <f t="shared" si="696"/>
        <v/>
      </c>
      <c r="O152" s="326" t="e">
        <f t="shared" si="748"/>
        <v>#VALUE!</v>
      </c>
      <c r="P152" s="326" t="e">
        <f t="shared" si="599"/>
        <v>#VALUE!</v>
      </c>
      <c r="Q152" s="326" t="str">
        <f t="shared" si="600"/>
        <v/>
      </c>
      <c r="R152" s="326" t="str">
        <f t="shared" si="601"/>
        <v/>
      </c>
      <c r="S152" s="326" t="e">
        <f t="shared" si="602"/>
        <v>#VALUE!</v>
      </c>
      <c r="T152" s="137" t="str">
        <f t="shared" si="603"/>
        <v/>
      </c>
      <c r="U152" s="326" t="str">
        <f t="shared" si="604"/>
        <v/>
      </c>
      <c r="V152" s="326" t="e">
        <f t="shared" si="749"/>
        <v>#VALUE!</v>
      </c>
      <c r="W152" s="326" t="e">
        <f t="shared" si="606"/>
        <v>#VALUE!</v>
      </c>
      <c r="X152" s="326" t="str">
        <f t="shared" si="607"/>
        <v/>
      </c>
      <c r="Y152" s="326" t="str">
        <f t="shared" si="608"/>
        <v/>
      </c>
      <c r="Z152" s="326" t="e">
        <f t="shared" si="609"/>
        <v>#VALUE!</v>
      </c>
      <c r="AA152" s="137" t="str">
        <f t="shared" si="686"/>
        <v/>
      </c>
      <c r="AB152" s="326" t="str">
        <f t="shared" si="611"/>
        <v/>
      </c>
      <c r="AC152" s="326" t="e">
        <f t="shared" si="750"/>
        <v>#VALUE!</v>
      </c>
      <c r="AD152" s="326" t="e">
        <f t="shared" si="545"/>
        <v>#VALUE!</v>
      </c>
      <c r="AE152" s="326" t="str">
        <f t="shared" si="726"/>
        <v/>
      </c>
      <c r="AF152" s="326" t="str">
        <f t="shared" si="727"/>
        <v/>
      </c>
      <c r="AG152" s="326" t="e">
        <f t="shared" si="548"/>
        <v>#VALUE!</v>
      </c>
      <c r="AH152" s="137" t="str">
        <f t="shared" si="667"/>
        <v/>
      </c>
      <c r="AI152" s="969" t="e">
        <f t="shared" si="550"/>
        <v>#VALUE!</v>
      </c>
      <c r="AJ152" s="326" t="str">
        <f t="shared" si="668"/>
        <v/>
      </c>
      <c r="AK152" s="326" t="e">
        <f t="shared" ref="AK152:AL152" si="763">SUM(AD152,W152,P152)</f>
        <v>#VALUE!</v>
      </c>
      <c r="AL152" s="326">
        <f t="shared" si="763"/>
        <v>0</v>
      </c>
      <c r="AM152" s="326">
        <f t="shared" si="553"/>
        <v>0</v>
      </c>
      <c r="AN152" s="326" t="e">
        <f t="shared" si="661"/>
        <v>#VALUE!</v>
      </c>
      <c r="AO152" s="970" t="str">
        <f t="shared" si="670"/>
        <v/>
      </c>
      <c r="AP152" s="941" t="str">
        <f t="shared" si="613"/>
        <v/>
      </c>
      <c r="AQ152" s="326" t="e">
        <f t="shared" si="556"/>
        <v>#VALUE!</v>
      </c>
      <c r="AR152" s="326" t="str">
        <f t="shared" si="729"/>
        <v/>
      </c>
      <c r="AS152" s="326" t="str">
        <f t="shared" si="730"/>
        <v/>
      </c>
      <c r="AT152" s="941" t="str">
        <f t="shared" si="614"/>
        <v/>
      </c>
      <c r="AU152" s="326" t="e">
        <f t="shared" si="559"/>
        <v>#VALUE!</v>
      </c>
      <c r="AV152" s="326" t="str">
        <f t="shared" si="731"/>
        <v/>
      </c>
      <c r="AW152" s="326" t="str">
        <f t="shared" si="732"/>
        <v/>
      </c>
      <c r="AX152" s="941" t="str">
        <f t="shared" si="615"/>
        <v/>
      </c>
      <c r="AY152" s="326" t="e">
        <f t="shared" si="562"/>
        <v>#VALUE!</v>
      </c>
      <c r="AZ152" s="326" t="str">
        <f t="shared" si="733"/>
        <v/>
      </c>
      <c r="BA152" s="326" t="str">
        <f t="shared" si="734"/>
        <v/>
      </c>
      <c r="BB152" s="326" t="e">
        <f t="shared" si="565"/>
        <v>#VALUE!</v>
      </c>
      <c r="BC152" s="326" t="e">
        <f t="shared" si="566"/>
        <v>#VALUE!</v>
      </c>
      <c r="BD152" s="326" t="e">
        <f t="shared" si="567"/>
        <v>#VALUE!</v>
      </c>
      <c r="BE152" s="326" t="e">
        <f t="shared" si="568"/>
        <v>#VALUE!</v>
      </c>
      <c r="BF152" s="326" t="e">
        <f t="shared" ref="BF152:BG152" si="764">SUM(BC152,AL152)</f>
        <v>#VALUE!</v>
      </c>
      <c r="BG152" s="326" t="e">
        <f t="shared" si="764"/>
        <v>#VALUE!</v>
      </c>
      <c r="BH152" s="941" t="str">
        <f t="shared" si="617"/>
        <v/>
      </c>
      <c r="BI152" s="326" t="e">
        <f t="shared" si="570"/>
        <v>#VALUE!</v>
      </c>
      <c r="BJ152" s="326" t="str">
        <f t="shared" si="736"/>
        <v/>
      </c>
      <c r="BK152" s="326" t="str">
        <f t="shared" si="737"/>
        <v/>
      </c>
      <c r="BL152" s="971" t="str">
        <f t="shared" si="618"/>
        <v/>
      </c>
      <c r="BM152" s="140" t="e">
        <f t="shared" si="573"/>
        <v>#VALUE!</v>
      </c>
      <c r="BN152" s="326" t="str">
        <f t="shared" si="738"/>
        <v/>
      </c>
      <c r="BO152" s="333" t="str">
        <f t="shared" si="739"/>
        <v/>
      </c>
      <c r="BP152" s="123" t="str">
        <f t="shared" si="619"/>
        <v/>
      </c>
      <c r="BQ152" s="326" t="e">
        <f t="shared" si="576"/>
        <v>#VALUE!</v>
      </c>
      <c r="BR152" s="326" t="str">
        <f t="shared" si="740"/>
        <v/>
      </c>
      <c r="BS152" s="332" t="str">
        <f t="shared" si="741"/>
        <v/>
      </c>
      <c r="BT152" s="140" t="e">
        <f t="shared" ref="BT152:BV152" si="765">SUM(BQ152,BM152,BI152)</f>
        <v>#VALUE!</v>
      </c>
      <c r="BU152" s="326">
        <f t="shared" si="765"/>
        <v>0</v>
      </c>
      <c r="BV152" s="333">
        <f t="shared" si="765"/>
        <v>0</v>
      </c>
      <c r="BW152" s="939" t="str">
        <f t="shared" si="621"/>
        <v/>
      </c>
      <c r="BX152" s="326" t="e">
        <f t="shared" si="580"/>
        <v>#VALUE!</v>
      </c>
      <c r="BY152" s="326" t="str">
        <f t="shared" si="743"/>
        <v/>
      </c>
      <c r="BZ152" s="333" t="str">
        <f t="shared" si="744"/>
        <v/>
      </c>
      <c r="CA152" s="939" t="str">
        <f t="shared" si="622"/>
        <v/>
      </c>
      <c r="CB152" s="941" t="str">
        <f t="shared" si="623"/>
        <v/>
      </c>
    </row>
    <row r="153" spans="1:116" ht="13">
      <c r="A153" s="323" t="e">
        <f t="shared" si="715"/>
        <v>#N/A</v>
      </c>
      <c r="B153" s="324">
        <f t="shared" si="528"/>
        <v>1</v>
      </c>
      <c r="C153" s="558" t="str">
        <f t="shared" si="716"/>
        <v>Lista</v>
      </c>
      <c r="D153" s="558">
        <f t="shared" si="717"/>
        <v>0.09</v>
      </c>
      <c r="E153" s="558">
        <f t="shared" si="718"/>
        <v>0</v>
      </c>
      <c r="F153" s="798">
        <f t="shared" si="719"/>
        <v>1</v>
      </c>
      <c r="G153" s="558" t="str">
        <f t="shared" si="720"/>
        <v>Lista</v>
      </c>
      <c r="H153" s="558">
        <f t="shared" si="721"/>
        <v>0.09</v>
      </c>
      <c r="I153" s="558">
        <f t="shared" si="722"/>
        <v>0</v>
      </c>
      <c r="J153" s="637" t="e">
        <f t="shared" si="723"/>
        <v>#N/A</v>
      </c>
      <c r="K153" s="558" t="str">
        <f t="shared" si="724"/>
        <v/>
      </c>
      <c r="L153" s="558" t="str">
        <f t="shared" si="725"/>
        <v/>
      </c>
      <c r="M153" s="977" t="s">
        <v>977</v>
      </c>
      <c r="N153" s="326"/>
      <c r="O153" s="326"/>
      <c r="P153" s="326" t="e">
        <f t="shared" si="599"/>
        <v>#VALUE!</v>
      </c>
      <c r="Q153" s="326" t="str">
        <f t="shared" si="600"/>
        <v/>
      </c>
      <c r="R153" s="326">
        <f t="shared" si="601"/>
        <v>0</v>
      </c>
      <c r="S153" s="326">
        <f t="shared" si="602"/>
        <v>0</v>
      </c>
      <c r="T153" s="137" t="str">
        <f t="shared" si="603"/>
        <v/>
      </c>
      <c r="U153" s="326" t="str">
        <f t="shared" si="604"/>
        <v/>
      </c>
      <c r="V153" s="326" t="e">
        <f t="shared" si="749"/>
        <v>#VALUE!</v>
      </c>
      <c r="W153" s="326" t="e">
        <f t="shared" si="606"/>
        <v>#VALUE!</v>
      </c>
      <c r="X153" s="326" t="str">
        <f t="shared" si="607"/>
        <v/>
      </c>
      <c r="Y153" s="326">
        <f t="shared" si="608"/>
        <v>0</v>
      </c>
      <c r="Z153" s="326" t="e">
        <f t="shared" si="609"/>
        <v>#VALUE!</v>
      </c>
      <c r="AA153" s="137" t="str">
        <f t="shared" si="686"/>
        <v/>
      </c>
      <c r="AB153" s="326" t="str">
        <f t="shared" si="611"/>
        <v/>
      </c>
      <c r="AC153" s="326" t="e">
        <f t="shared" si="750"/>
        <v>#VALUE!</v>
      </c>
      <c r="AD153" s="326" t="e">
        <f t="shared" si="545"/>
        <v>#VALUE!</v>
      </c>
      <c r="AE153" s="326" t="str">
        <f t="shared" si="726"/>
        <v/>
      </c>
      <c r="AF153" s="326">
        <f t="shared" si="727"/>
        <v>0</v>
      </c>
      <c r="AG153" s="326" t="e">
        <f t="shared" si="548"/>
        <v>#VALUE!</v>
      </c>
      <c r="AH153" s="137" t="str">
        <f t="shared" si="667"/>
        <v/>
      </c>
      <c r="AI153" s="969" t="e">
        <f t="shared" si="550"/>
        <v>#VALUE!</v>
      </c>
      <c r="AJ153" s="326" t="str">
        <f t="shared" si="668"/>
        <v/>
      </c>
      <c r="AK153" s="326" t="e">
        <f t="shared" ref="AK153:AL153" si="766">SUM(AD153,W153,P153)</f>
        <v>#VALUE!</v>
      </c>
      <c r="AL153" s="326">
        <f t="shared" si="766"/>
        <v>0</v>
      </c>
      <c r="AM153" s="326">
        <f t="shared" si="553"/>
        <v>0</v>
      </c>
      <c r="AN153" s="326" t="e">
        <f t="shared" si="661"/>
        <v>#VALUE!</v>
      </c>
      <c r="AO153" s="970" t="str">
        <f t="shared" si="670"/>
        <v/>
      </c>
      <c r="AP153" s="941" t="str">
        <f t="shared" si="613"/>
        <v/>
      </c>
      <c r="AQ153" s="326" t="e">
        <f t="shared" si="556"/>
        <v>#VALUE!</v>
      </c>
      <c r="AR153" s="326" t="str">
        <f t="shared" si="729"/>
        <v/>
      </c>
      <c r="AS153" s="326">
        <f t="shared" si="730"/>
        <v>0</v>
      </c>
      <c r="AT153" s="941" t="str">
        <f t="shared" si="614"/>
        <v/>
      </c>
      <c r="AU153" s="326" t="e">
        <f t="shared" si="559"/>
        <v>#VALUE!</v>
      </c>
      <c r="AV153" s="326" t="str">
        <f t="shared" si="731"/>
        <v/>
      </c>
      <c r="AW153" s="326">
        <f t="shared" si="732"/>
        <v>90938.63</v>
      </c>
      <c r="AX153" s="941"/>
      <c r="AY153" s="326" t="e">
        <f t="shared" si="562"/>
        <v>#VALUE!</v>
      </c>
      <c r="AZ153" s="326" t="str">
        <f t="shared" si="733"/>
        <v/>
      </c>
      <c r="BA153" s="326">
        <f t="shared" si="734"/>
        <v>0</v>
      </c>
      <c r="BB153" s="326" t="e">
        <f t="shared" si="565"/>
        <v>#VALUE!</v>
      </c>
      <c r="BC153" s="326" t="e">
        <f t="shared" si="566"/>
        <v>#VALUE!</v>
      </c>
      <c r="BD153" s="326">
        <f t="shared" si="567"/>
        <v>90938.63</v>
      </c>
      <c r="BE153" s="326" t="e">
        <f t="shared" si="568"/>
        <v>#VALUE!</v>
      </c>
      <c r="BF153" s="326" t="e">
        <f t="shared" ref="BF153:BG153" si="767">SUM(BC153,AL153)</f>
        <v>#VALUE!</v>
      </c>
      <c r="BG153" s="326">
        <f t="shared" si="767"/>
        <v>90938.63</v>
      </c>
      <c r="BH153" s="941"/>
      <c r="BI153" s="326" t="e">
        <f t="shared" si="570"/>
        <v>#VALUE!</v>
      </c>
      <c r="BJ153" s="326" t="str">
        <f t="shared" si="736"/>
        <v/>
      </c>
      <c r="BK153" s="326">
        <f t="shared" si="737"/>
        <v>0</v>
      </c>
      <c r="BL153" s="971"/>
      <c r="BM153" s="140" t="e">
        <f t="shared" si="573"/>
        <v>#VALUE!</v>
      </c>
      <c r="BN153" s="326" t="str">
        <f t="shared" si="738"/>
        <v/>
      </c>
      <c r="BO153" s="333">
        <f t="shared" si="739"/>
        <v>0</v>
      </c>
      <c r="BP153" s="123"/>
      <c r="BQ153" s="326" t="e">
        <f t="shared" si="576"/>
        <v>#VALUE!</v>
      </c>
      <c r="BR153" s="326" t="str">
        <f t="shared" si="740"/>
        <v/>
      </c>
      <c r="BS153" s="332">
        <f t="shared" si="741"/>
        <v>0</v>
      </c>
      <c r="BT153" s="140" t="e">
        <f t="shared" ref="BT153:BV153" si="768">SUM(BQ153,BM153,BI153)</f>
        <v>#VALUE!</v>
      </c>
      <c r="BU153" s="326">
        <f t="shared" si="768"/>
        <v>0</v>
      </c>
      <c r="BV153" s="333">
        <f t="shared" si="768"/>
        <v>0</v>
      </c>
      <c r="BW153" s="939"/>
      <c r="BX153" s="326" t="e">
        <f t="shared" si="580"/>
        <v>#VALUE!</v>
      </c>
      <c r="BY153" s="326" t="str">
        <f t="shared" si="743"/>
        <v/>
      </c>
      <c r="BZ153" s="333">
        <f t="shared" si="744"/>
        <v>0</v>
      </c>
      <c r="CA153" s="939"/>
      <c r="CB153" s="941"/>
    </row>
    <row r="154" spans="1:116" ht="13">
      <c r="A154" s="323" t="e">
        <f t="shared" si="715"/>
        <v>#N/A</v>
      </c>
      <c r="B154" s="324">
        <f t="shared" si="528"/>
        <v>1</v>
      </c>
      <c r="C154" s="558" t="str">
        <f t="shared" si="716"/>
        <v>Lista</v>
      </c>
      <c r="D154" s="558">
        <f t="shared" si="717"/>
        <v>0.09</v>
      </c>
      <c r="E154" s="558">
        <f t="shared" si="718"/>
        <v>0</v>
      </c>
      <c r="F154" s="798">
        <f t="shared" si="719"/>
        <v>1</v>
      </c>
      <c r="G154" s="558" t="str">
        <f t="shared" si="720"/>
        <v>Lista</v>
      </c>
      <c r="H154" s="558">
        <f t="shared" si="721"/>
        <v>0.09</v>
      </c>
      <c r="I154" s="558">
        <f t="shared" si="722"/>
        <v>0</v>
      </c>
      <c r="J154" s="637" t="e">
        <f t="shared" si="723"/>
        <v>#N/A</v>
      </c>
      <c r="K154" s="558" t="str">
        <f t="shared" si="724"/>
        <v/>
      </c>
      <c r="L154" s="558" t="str">
        <f t="shared" si="725"/>
        <v/>
      </c>
      <c r="M154" s="977" t="s">
        <v>978</v>
      </c>
      <c r="N154" s="326"/>
      <c r="O154" s="326"/>
      <c r="P154" s="326" t="e">
        <f t="shared" si="599"/>
        <v>#VALUE!</v>
      </c>
      <c r="Q154" s="326" t="str">
        <f t="shared" si="600"/>
        <v/>
      </c>
      <c r="R154" s="326">
        <f t="shared" si="601"/>
        <v>0</v>
      </c>
      <c r="S154" s="326">
        <f t="shared" si="602"/>
        <v>0</v>
      </c>
      <c r="T154" s="137" t="str">
        <f t="shared" si="603"/>
        <v/>
      </c>
      <c r="U154" s="326" t="str">
        <f t="shared" si="604"/>
        <v/>
      </c>
      <c r="V154" s="326" t="e">
        <f t="shared" si="749"/>
        <v>#VALUE!</v>
      </c>
      <c r="W154" s="326" t="e">
        <f t="shared" si="606"/>
        <v>#VALUE!</v>
      </c>
      <c r="X154" s="326" t="str">
        <f t="shared" si="607"/>
        <v/>
      </c>
      <c r="Y154" s="326">
        <f t="shared" si="608"/>
        <v>0</v>
      </c>
      <c r="Z154" s="326" t="e">
        <f t="shared" si="609"/>
        <v>#VALUE!</v>
      </c>
      <c r="AA154" s="137" t="str">
        <f t="shared" si="686"/>
        <v/>
      </c>
      <c r="AB154" s="326" t="str">
        <f t="shared" si="611"/>
        <v/>
      </c>
      <c r="AC154" s="326" t="e">
        <f t="shared" si="750"/>
        <v>#VALUE!</v>
      </c>
      <c r="AD154" s="326" t="e">
        <f t="shared" si="545"/>
        <v>#VALUE!</v>
      </c>
      <c r="AE154" s="326" t="str">
        <f t="shared" si="726"/>
        <v/>
      </c>
      <c r="AF154" s="326">
        <f t="shared" si="727"/>
        <v>0</v>
      </c>
      <c r="AG154" s="326" t="e">
        <f t="shared" si="548"/>
        <v>#VALUE!</v>
      </c>
      <c r="AH154" s="137" t="str">
        <f t="shared" si="667"/>
        <v/>
      </c>
      <c r="AI154" s="969" t="e">
        <f t="shared" si="550"/>
        <v>#VALUE!</v>
      </c>
      <c r="AJ154" s="326">
        <f t="shared" si="668"/>
        <v>243316.47</v>
      </c>
      <c r="AK154" s="326" t="e">
        <f t="shared" ref="AK154:AL154" si="769">SUM(AD154,W154,P154)</f>
        <v>#VALUE!</v>
      </c>
      <c r="AL154" s="326">
        <f t="shared" si="769"/>
        <v>0</v>
      </c>
      <c r="AM154" s="326">
        <f t="shared" si="553"/>
        <v>0</v>
      </c>
      <c r="AN154" s="326">
        <f t="shared" si="661"/>
        <v>-243316.47</v>
      </c>
      <c r="AO154" s="970">
        <f t="shared" si="670"/>
        <v>0</v>
      </c>
      <c r="AP154" s="941" t="str">
        <f t="shared" si="613"/>
        <v/>
      </c>
      <c r="AQ154" s="326" t="e">
        <f t="shared" si="556"/>
        <v>#VALUE!</v>
      </c>
      <c r="AR154" s="326" t="str">
        <f t="shared" si="729"/>
        <v/>
      </c>
      <c r="AS154" s="326">
        <f t="shared" si="730"/>
        <v>0</v>
      </c>
      <c r="AT154" s="941" t="str">
        <f t="shared" si="614"/>
        <v/>
      </c>
      <c r="AU154" s="326" t="e">
        <f t="shared" si="559"/>
        <v>#VALUE!</v>
      </c>
      <c r="AV154" s="326" t="str">
        <f t="shared" si="731"/>
        <v/>
      </c>
      <c r="AW154" s="326">
        <f t="shared" si="732"/>
        <v>0</v>
      </c>
      <c r="AX154" s="941" t="str">
        <f t="shared" ref="AX154:AX163" si="770">IFERROR(VLOOKUP(M154,VARGAS24,8,FALSE),"")</f>
        <v/>
      </c>
      <c r="AY154" s="326" t="e">
        <f t="shared" si="562"/>
        <v>#VALUE!</v>
      </c>
      <c r="AZ154" s="326" t="str">
        <f t="shared" si="733"/>
        <v/>
      </c>
      <c r="BA154" s="326">
        <f t="shared" si="734"/>
        <v>0</v>
      </c>
      <c r="BB154" s="326" t="e">
        <f t="shared" si="565"/>
        <v>#VALUE!</v>
      </c>
      <c r="BC154" s="326" t="e">
        <f t="shared" si="566"/>
        <v>#VALUE!</v>
      </c>
      <c r="BD154" s="326">
        <f t="shared" si="567"/>
        <v>0</v>
      </c>
      <c r="BE154" s="326" t="e">
        <f t="shared" si="568"/>
        <v>#VALUE!</v>
      </c>
      <c r="BF154" s="326" t="e">
        <f t="shared" ref="BF154:BG154" si="771">SUM(BC154,AL154)</f>
        <v>#VALUE!</v>
      </c>
      <c r="BG154" s="326">
        <f t="shared" si="771"/>
        <v>0</v>
      </c>
      <c r="BH154" s="941" t="str">
        <f t="shared" ref="BH154:BH163" si="772">IFERROR(VLOOKUP(M154,VARGAS24,9,FALSE),"")</f>
        <v/>
      </c>
      <c r="BI154" s="326" t="e">
        <f t="shared" si="570"/>
        <v>#VALUE!</v>
      </c>
      <c r="BJ154" s="326" t="str">
        <f t="shared" si="736"/>
        <v/>
      </c>
      <c r="BK154" s="326">
        <f t="shared" si="737"/>
        <v>0</v>
      </c>
      <c r="BL154" s="971" t="str">
        <f t="shared" ref="BL154:BL163" si="773">IFERROR(VLOOKUP(M154,VARGAS24,10,FALSE),"")</f>
        <v/>
      </c>
      <c r="BM154" s="140" t="e">
        <f t="shared" si="573"/>
        <v>#VALUE!</v>
      </c>
      <c r="BN154" s="326" t="str">
        <f t="shared" si="738"/>
        <v/>
      </c>
      <c r="BO154" s="333">
        <f t="shared" si="739"/>
        <v>0</v>
      </c>
      <c r="BP154" s="123" t="str">
        <f t="shared" ref="BP154:BP163" si="774">IFERROR(VLOOKUP(M154,VARGAS24,11,FALSE),"")</f>
        <v/>
      </c>
      <c r="BQ154" s="326" t="e">
        <f t="shared" si="576"/>
        <v>#VALUE!</v>
      </c>
      <c r="BR154" s="326" t="str">
        <f t="shared" si="740"/>
        <v/>
      </c>
      <c r="BS154" s="332">
        <f t="shared" si="741"/>
        <v>87824</v>
      </c>
      <c r="BT154" s="140" t="e">
        <f t="shared" ref="BT154:BV154" si="775">SUM(BQ154,BM154,BI154)</f>
        <v>#VALUE!</v>
      </c>
      <c r="BU154" s="326">
        <f t="shared" si="775"/>
        <v>0</v>
      </c>
      <c r="BV154" s="333">
        <f t="shared" si="775"/>
        <v>87824</v>
      </c>
      <c r="BW154" s="939" t="str">
        <f t="shared" ref="BW154:BW163" si="776">IFERROR(VLOOKUP(M154,VARGAS24,12,FALSE),"")</f>
        <v/>
      </c>
      <c r="BX154" s="326" t="e">
        <f t="shared" si="580"/>
        <v>#VALUE!</v>
      </c>
      <c r="BY154" s="326" t="str">
        <f t="shared" si="743"/>
        <v/>
      </c>
      <c r="BZ154" s="333">
        <f t="shared" si="744"/>
        <v>0</v>
      </c>
      <c r="CA154" s="939" t="str">
        <f t="shared" ref="CA154:CA163" si="777">IFERROR(VLOOKUP(M154,VARGAS24,13,FALSE),"")</f>
        <v/>
      </c>
      <c r="CB154" s="941" t="str">
        <f t="shared" ref="CB154:CB163" si="778">IFERROR(VLOOKUP(M154,VARGAS24,14,FALSE),"")</f>
        <v/>
      </c>
    </row>
    <row r="155" spans="1:116" ht="13">
      <c r="A155" s="323" t="e">
        <f t="shared" si="715"/>
        <v>#N/A</v>
      </c>
      <c r="B155" s="324">
        <f t="shared" si="528"/>
        <v>1</v>
      </c>
      <c r="C155" s="558" t="str">
        <f t="shared" si="716"/>
        <v>Lista</v>
      </c>
      <c r="D155" s="558">
        <f t="shared" si="717"/>
        <v>0.09</v>
      </c>
      <c r="E155" s="558">
        <f t="shared" si="718"/>
        <v>0</v>
      </c>
      <c r="F155" s="798">
        <f t="shared" si="719"/>
        <v>1</v>
      </c>
      <c r="G155" s="558" t="str">
        <f t="shared" si="720"/>
        <v>Lista</v>
      </c>
      <c r="H155" s="558">
        <f t="shared" si="721"/>
        <v>0.09</v>
      </c>
      <c r="I155" s="558">
        <f t="shared" si="722"/>
        <v>0</v>
      </c>
      <c r="J155" s="637" t="e">
        <f t="shared" si="723"/>
        <v>#N/A</v>
      </c>
      <c r="K155" s="558" t="str">
        <f t="shared" si="724"/>
        <v/>
      </c>
      <c r="L155" s="558" t="str">
        <f t="shared" si="725"/>
        <v/>
      </c>
      <c r="M155" s="977" t="s">
        <v>979</v>
      </c>
      <c r="N155" s="326"/>
      <c r="O155" s="326"/>
      <c r="P155" s="326" t="e">
        <f t="shared" si="599"/>
        <v>#VALUE!</v>
      </c>
      <c r="Q155" s="326" t="str">
        <f t="shared" si="600"/>
        <v/>
      </c>
      <c r="R155" s="326">
        <f t="shared" si="601"/>
        <v>0</v>
      </c>
      <c r="S155" s="326">
        <f t="shared" si="602"/>
        <v>0</v>
      </c>
      <c r="T155" s="137" t="str">
        <f t="shared" si="603"/>
        <v/>
      </c>
      <c r="U155" s="326" t="str">
        <f t="shared" si="604"/>
        <v/>
      </c>
      <c r="V155" s="326" t="e">
        <f t="shared" si="749"/>
        <v>#VALUE!</v>
      </c>
      <c r="W155" s="326" t="e">
        <f t="shared" si="606"/>
        <v>#VALUE!</v>
      </c>
      <c r="X155" s="326" t="str">
        <f t="shared" si="607"/>
        <v/>
      </c>
      <c r="Y155" s="326">
        <f t="shared" si="608"/>
        <v>0</v>
      </c>
      <c r="Z155" s="326" t="e">
        <f t="shared" si="609"/>
        <v>#VALUE!</v>
      </c>
      <c r="AA155" s="137" t="str">
        <f t="shared" si="686"/>
        <v/>
      </c>
      <c r="AB155" s="326" t="str">
        <f t="shared" si="611"/>
        <v/>
      </c>
      <c r="AC155" s="326" t="e">
        <f t="shared" si="750"/>
        <v>#VALUE!</v>
      </c>
      <c r="AD155" s="326" t="e">
        <f t="shared" si="545"/>
        <v>#VALUE!</v>
      </c>
      <c r="AE155" s="326" t="str">
        <f t="shared" si="726"/>
        <v/>
      </c>
      <c r="AF155" s="326">
        <f t="shared" si="727"/>
        <v>0</v>
      </c>
      <c r="AG155" s="326" t="e">
        <f t="shared" si="548"/>
        <v>#VALUE!</v>
      </c>
      <c r="AH155" s="137" t="str">
        <f t="shared" si="667"/>
        <v/>
      </c>
      <c r="AI155" s="969" t="e">
        <f t="shared" si="550"/>
        <v>#VALUE!</v>
      </c>
      <c r="AJ155" s="326">
        <f t="shared" si="668"/>
        <v>446774.45</v>
      </c>
      <c r="AK155" s="326" t="e">
        <f t="shared" ref="AK155:AL155" si="779">SUM(AD155,W155,P155)</f>
        <v>#VALUE!</v>
      </c>
      <c r="AL155" s="326">
        <f t="shared" si="779"/>
        <v>0</v>
      </c>
      <c r="AM155" s="326">
        <f t="shared" si="553"/>
        <v>0</v>
      </c>
      <c r="AN155" s="326">
        <f t="shared" si="661"/>
        <v>-446774.45</v>
      </c>
      <c r="AO155" s="970">
        <f t="shared" si="670"/>
        <v>0</v>
      </c>
      <c r="AP155" s="941" t="str">
        <f t="shared" si="613"/>
        <v/>
      </c>
      <c r="AQ155" s="326" t="e">
        <f t="shared" si="556"/>
        <v>#VALUE!</v>
      </c>
      <c r="AR155" s="326" t="str">
        <f t="shared" si="729"/>
        <v/>
      </c>
      <c r="AS155" s="326">
        <f t="shared" si="730"/>
        <v>0</v>
      </c>
      <c r="AT155" s="941" t="str">
        <f t="shared" si="614"/>
        <v/>
      </c>
      <c r="AU155" s="326" t="e">
        <f t="shared" si="559"/>
        <v>#VALUE!</v>
      </c>
      <c r="AV155" s="326" t="str">
        <f t="shared" si="731"/>
        <v/>
      </c>
      <c r="AW155" s="326">
        <f t="shared" si="732"/>
        <v>0</v>
      </c>
      <c r="AX155" s="941" t="str">
        <f t="shared" si="770"/>
        <v/>
      </c>
      <c r="AY155" s="326" t="e">
        <f t="shared" si="562"/>
        <v>#VALUE!</v>
      </c>
      <c r="AZ155" s="326" t="str">
        <f t="shared" si="733"/>
        <v/>
      </c>
      <c r="BA155" s="326">
        <f t="shared" si="734"/>
        <v>75703.8</v>
      </c>
      <c r="BB155" s="326" t="e">
        <f t="shared" si="565"/>
        <v>#VALUE!</v>
      </c>
      <c r="BC155" s="326" t="e">
        <f t="shared" si="566"/>
        <v>#VALUE!</v>
      </c>
      <c r="BD155" s="326">
        <f t="shared" si="567"/>
        <v>75703.8</v>
      </c>
      <c r="BE155" s="326" t="e">
        <f t="shared" si="568"/>
        <v>#VALUE!</v>
      </c>
      <c r="BF155" s="326" t="e">
        <f t="shared" ref="BF155:BG155" si="780">SUM(BC155,AL155)</f>
        <v>#VALUE!</v>
      </c>
      <c r="BG155" s="326">
        <f t="shared" si="780"/>
        <v>75703.8</v>
      </c>
      <c r="BH155" s="941" t="str">
        <f t="shared" si="772"/>
        <v/>
      </c>
      <c r="BI155" s="326" t="e">
        <f t="shared" si="570"/>
        <v>#VALUE!</v>
      </c>
      <c r="BJ155" s="326" t="str">
        <f t="shared" si="736"/>
        <v/>
      </c>
      <c r="BK155" s="326">
        <f t="shared" si="737"/>
        <v>0</v>
      </c>
      <c r="BL155" s="971" t="str">
        <f t="shared" si="773"/>
        <v/>
      </c>
      <c r="BM155" s="140" t="e">
        <f t="shared" si="573"/>
        <v>#VALUE!</v>
      </c>
      <c r="BN155" s="326" t="str">
        <f t="shared" si="738"/>
        <v/>
      </c>
      <c r="BO155" s="333">
        <f t="shared" si="739"/>
        <v>0</v>
      </c>
      <c r="BP155" s="123" t="str">
        <f t="shared" si="774"/>
        <v/>
      </c>
      <c r="BQ155" s="326" t="e">
        <f t="shared" si="576"/>
        <v>#VALUE!</v>
      </c>
      <c r="BR155" s="326" t="str">
        <f t="shared" si="740"/>
        <v/>
      </c>
      <c r="BS155" s="332">
        <f t="shared" si="741"/>
        <v>0</v>
      </c>
      <c r="BT155" s="140" t="e">
        <f t="shared" ref="BT155:BV155" si="781">SUM(BQ155,BM155,BI155)</f>
        <v>#VALUE!</v>
      </c>
      <c r="BU155" s="326">
        <f t="shared" si="781"/>
        <v>0</v>
      </c>
      <c r="BV155" s="333">
        <f t="shared" si="781"/>
        <v>0</v>
      </c>
      <c r="BW155" s="939" t="str">
        <f t="shared" si="776"/>
        <v/>
      </c>
      <c r="BX155" s="326" t="e">
        <f t="shared" si="580"/>
        <v>#VALUE!</v>
      </c>
      <c r="BY155" s="326" t="str">
        <f t="shared" si="743"/>
        <v/>
      </c>
      <c r="BZ155" s="333">
        <f t="shared" si="744"/>
        <v>0</v>
      </c>
      <c r="CA155" s="939" t="str">
        <f t="shared" si="777"/>
        <v/>
      </c>
      <c r="CB155" s="941" t="str">
        <f t="shared" si="778"/>
        <v/>
      </c>
    </row>
    <row r="156" spans="1:116" ht="13">
      <c r="A156" s="323" t="e">
        <f t="shared" si="715"/>
        <v>#N/A</v>
      </c>
      <c r="B156" s="324">
        <f t="shared" si="528"/>
        <v>1</v>
      </c>
      <c r="C156" s="558" t="str">
        <f t="shared" si="716"/>
        <v>Lista</v>
      </c>
      <c r="D156" s="558">
        <f t="shared" si="717"/>
        <v>0.09</v>
      </c>
      <c r="E156" s="558">
        <f t="shared" si="718"/>
        <v>0</v>
      </c>
      <c r="F156" s="798">
        <f t="shared" si="719"/>
        <v>1</v>
      </c>
      <c r="G156" s="558" t="str">
        <f t="shared" si="720"/>
        <v>Lista</v>
      </c>
      <c r="H156" s="558">
        <f t="shared" si="721"/>
        <v>0.09</v>
      </c>
      <c r="I156" s="558">
        <f t="shared" si="722"/>
        <v>0</v>
      </c>
      <c r="J156" s="637" t="e">
        <f t="shared" si="723"/>
        <v>#N/A</v>
      </c>
      <c r="K156" s="558" t="str">
        <f t="shared" si="724"/>
        <v/>
      </c>
      <c r="L156" s="558" t="str">
        <f t="shared" si="725"/>
        <v/>
      </c>
      <c r="M156" s="977" t="s">
        <v>980</v>
      </c>
      <c r="N156" s="326"/>
      <c r="O156" s="326"/>
      <c r="P156" s="326" t="e">
        <f t="shared" si="599"/>
        <v>#VALUE!</v>
      </c>
      <c r="Q156" s="326" t="str">
        <f t="shared" si="600"/>
        <v/>
      </c>
      <c r="R156" s="326" t="str">
        <f t="shared" si="601"/>
        <v/>
      </c>
      <c r="S156" s="326" t="e">
        <f t="shared" si="602"/>
        <v>#VALUE!</v>
      </c>
      <c r="T156" s="137" t="str">
        <f t="shared" si="603"/>
        <v/>
      </c>
      <c r="U156" s="326" t="str">
        <f t="shared" si="604"/>
        <v/>
      </c>
      <c r="V156" s="326" t="e">
        <f t="shared" si="749"/>
        <v>#VALUE!</v>
      </c>
      <c r="W156" s="326" t="e">
        <f t="shared" si="606"/>
        <v>#VALUE!</v>
      </c>
      <c r="X156" s="326" t="str">
        <f t="shared" si="607"/>
        <v/>
      </c>
      <c r="Y156" s="326" t="str">
        <f t="shared" si="608"/>
        <v/>
      </c>
      <c r="Z156" s="326" t="e">
        <f t="shared" si="609"/>
        <v>#VALUE!</v>
      </c>
      <c r="AA156" s="137" t="str">
        <f t="shared" si="686"/>
        <v/>
      </c>
      <c r="AB156" s="326" t="str">
        <f t="shared" si="611"/>
        <v/>
      </c>
      <c r="AC156" s="326" t="e">
        <f t="shared" si="750"/>
        <v>#VALUE!</v>
      </c>
      <c r="AD156" s="326" t="e">
        <f t="shared" si="545"/>
        <v>#VALUE!</v>
      </c>
      <c r="AE156" s="326" t="str">
        <f t="shared" si="726"/>
        <v/>
      </c>
      <c r="AF156" s="326" t="str">
        <f t="shared" si="727"/>
        <v/>
      </c>
      <c r="AG156" s="326" t="e">
        <f t="shared" si="548"/>
        <v>#VALUE!</v>
      </c>
      <c r="AH156" s="137" t="str">
        <f t="shared" si="667"/>
        <v/>
      </c>
      <c r="AI156" s="969" t="e">
        <f t="shared" si="550"/>
        <v>#VALUE!</v>
      </c>
      <c r="AJ156" s="326" t="str">
        <f t="shared" si="668"/>
        <v/>
      </c>
      <c r="AK156" s="326" t="e">
        <f t="shared" ref="AK156:AL156" si="782">SUM(AD156,W156,P156)</f>
        <v>#VALUE!</v>
      </c>
      <c r="AL156" s="326">
        <f t="shared" si="782"/>
        <v>0</v>
      </c>
      <c r="AM156" s="326">
        <f t="shared" si="553"/>
        <v>0</v>
      </c>
      <c r="AN156" s="326" t="e">
        <f t="shared" si="661"/>
        <v>#VALUE!</v>
      </c>
      <c r="AO156" s="970" t="str">
        <f t="shared" si="670"/>
        <v/>
      </c>
      <c r="AP156" s="941" t="str">
        <f t="shared" si="613"/>
        <v/>
      </c>
      <c r="AQ156" s="326" t="e">
        <f t="shared" si="556"/>
        <v>#VALUE!</v>
      </c>
      <c r="AR156" s="326" t="str">
        <f t="shared" si="729"/>
        <v/>
      </c>
      <c r="AS156" s="326" t="str">
        <f t="shared" si="730"/>
        <v/>
      </c>
      <c r="AT156" s="941" t="str">
        <f t="shared" si="614"/>
        <v/>
      </c>
      <c r="AU156" s="326" t="e">
        <f t="shared" si="559"/>
        <v>#VALUE!</v>
      </c>
      <c r="AV156" s="326" t="str">
        <f t="shared" si="731"/>
        <v/>
      </c>
      <c r="AW156" s="326" t="str">
        <f t="shared" si="732"/>
        <v/>
      </c>
      <c r="AX156" s="941" t="str">
        <f t="shared" si="770"/>
        <v/>
      </c>
      <c r="AY156" s="326" t="e">
        <f t="shared" si="562"/>
        <v>#VALUE!</v>
      </c>
      <c r="AZ156" s="326" t="str">
        <f t="shared" si="733"/>
        <v/>
      </c>
      <c r="BA156" s="326" t="str">
        <f t="shared" si="734"/>
        <v/>
      </c>
      <c r="BB156" s="326" t="e">
        <f t="shared" si="565"/>
        <v>#VALUE!</v>
      </c>
      <c r="BC156" s="326" t="e">
        <f t="shared" si="566"/>
        <v>#VALUE!</v>
      </c>
      <c r="BD156" s="326" t="e">
        <f t="shared" si="567"/>
        <v>#VALUE!</v>
      </c>
      <c r="BE156" s="326" t="e">
        <f t="shared" si="568"/>
        <v>#VALUE!</v>
      </c>
      <c r="BF156" s="326" t="e">
        <f t="shared" ref="BF156:BG156" si="783">SUM(BC156,AL156)</f>
        <v>#VALUE!</v>
      </c>
      <c r="BG156" s="326" t="e">
        <f t="shared" si="783"/>
        <v>#VALUE!</v>
      </c>
      <c r="BH156" s="941" t="str">
        <f t="shared" si="772"/>
        <v/>
      </c>
      <c r="BI156" s="326" t="e">
        <f t="shared" si="570"/>
        <v>#VALUE!</v>
      </c>
      <c r="BJ156" s="326" t="str">
        <f t="shared" si="736"/>
        <v/>
      </c>
      <c r="BK156" s="326" t="str">
        <f t="shared" si="737"/>
        <v/>
      </c>
      <c r="BL156" s="971" t="str">
        <f t="shared" si="773"/>
        <v/>
      </c>
      <c r="BM156" s="140" t="e">
        <f t="shared" si="573"/>
        <v>#VALUE!</v>
      </c>
      <c r="BN156" s="326" t="str">
        <f t="shared" si="738"/>
        <v/>
      </c>
      <c r="BO156" s="333" t="str">
        <f t="shared" si="739"/>
        <v/>
      </c>
      <c r="BP156" s="123" t="str">
        <f t="shared" si="774"/>
        <v/>
      </c>
      <c r="BQ156" s="326" t="e">
        <f t="shared" si="576"/>
        <v>#VALUE!</v>
      </c>
      <c r="BR156" s="326" t="str">
        <f t="shared" si="740"/>
        <v/>
      </c>
      <c r="BS156" s="332" t="str">
        <f t="shared" si="741"/>
        <v/>
      </c>
      <c r="BT156" s="140" t="e">
        <f t="shared" ref="BT156:BV156" si="784">SUM(BQ156,BM156,BI156)</f>
        <v>#VALUE!</v>
      </c>
      <c r="BU156" s="326">
        <f t="shared" si="784"/>
        <v>0</v>
      </c>
      <c r="BV156" s="333">
        <f t="shared" si="784"/>
        <v>0</v>
      </c>
      <c r="BW156" s="939" t="str">
        <f t="shared" si="776"/>
        <v/>
      </c>
      <c r="BX156" s="326" t="e">
        <f t="shared" si="580"/>
        <v>#VALUE!</v>
      </c>
      <c r="BY156" s="326" t="str">
        <f t="shared" si="743"/>
        <v/>
      </c>
      <c r="BZ156" s="333" t="str">
        <f t="shared" si="744"/>
        <v/>
      </c>
      <c r="CA156" s="939" t="str">
        <f t="shared" si="777"/>
        <v/>
      </c>
      <c r="CB156" s="941" t="str">
        <f t="shared" si="778"/>
        <v/>
      </c>
    </row>
    <row r="157" spans="1:116" ht="13">
      <c r="A157" s="323" t="e">
        <f t="shared" si="715"/>
        <v>#N/A</v>
      </c>
      <c r="B157" s="324">
        <f t="shared" si="528"/>
        <v>1</v>
      </c>
      <c r="C157" s="558" t="str">
        <f t="shared" si="716"/>
        <v>Lista</v>
      </c>
      <c r="D157" s="558">
        <f t="shared" si="717"/>
        <v>0.09</v>
      </c>
      <c r="E157" s="558">
        <f t="shared" si="718"/>
        <v>0</v>
      </c>
      <c r="F157" s="798">
        <f t="shared" si="719"/>
        <v>1</v>
      </c>
      <c r="G157" s="558" t="str">
        <f t="shared" si="720"/>
        <v>Lista</v>
      </c>
      <c r="H157" s="558">
        <f t="shared" si="721"/>
        <v>0.09</v>
      </c>
      <c r="I157" s="558">
        <f t="shared" si="722"/>
        <v>0</v>
      </c>
      <c r="J157" s="637" t="e">
        <f t="shared" si="723"/>
        <v>#N/A</v>
      </c>
      <c r="K157" s="558" t="str">
        <f t="shared" si="724"/>
        <v/>
      </c>
      <c r="L157" s="558" t="str">
        <f t="shared" si="725"/>
        <v/>
      </c>
      <c r="M157" s="977" t="s">
        <v>915</v>
      </c>
      <c r="N157" s="326"/>
      <c r="O157" s="326"/>
      <c r="P157" s="326" t="e">
        <f t="shared" si="599"/>
        <v>#VALUE!</v>
      </c>
      <c r="Q157" s="326" t="str">
        <f t="shared" si="600"/>
        <v/>
      </c>
      <c r="R157" s="326">
        <f t="shared" si="601"/>
        <v>0</v>
      </c>
      <c r="S157" s="326">
        <f t="shared" si="602"/>
        <v>0</v>
      </c>
      <c r="T157" s="137" t="str">
        <f t="shared" si="603"/>
        <v/>
      </c>
      <c r="U157" s="326" t="str">
        <f t="shared" si="604"/>
        <v/>
      </c>
      <c r="V157" s="326" t="e">
        <f t="shared" si="749"/>
        <v>#VALUE!</v>
      </c>
      <c r="W157" s="326" t="e">
        <f t="shared" si="606"/>
        <v>#VALUE!</v>
      </c>
      <c r="X157" s="326" t="str">
        <f t="shared" si="607"/>
        <v/>
      </c>
      <c r="Y157" s="326">
        <f t="shared" si="608"/>
        <v>0</v>
      </c>
      <c r="Z157" s="326" t="e">
        <f t="shared" si="609"/>
        <v>#VALUE!</v>
      </c>
      <c r="AA157" s="137" t="str">
        <f t="shared" si="686"/>
        <v/>
      </c>
      <c r="AB157" s="326" t="str">
        <f t="shared" si="611"/>
        <v/>
      </c>
      <c r="AC157" s="326" t="e">
        <f t="shared" si="750"/>
        <v>#VALUE!</v>
      </c>
      <c r="AD157" s="326" t="e">
        <f t="shared" si="545"/>
        <v>#VALUE!</v>
      </c>
      <c r="AE157" s="326" t="str">
        <f t="shared" si="726"/>
        <v/>
      </c>
      <c r="AF157" s="326">
        <f t="shared" si="727"/>
        <v>0</v>
      </c>
      <c r="AG157" s="326" t="e">
        <f t="shared" si="548"/>
        <v>#VALUE!</v>
      </c>
      <c r="AH157" s="137" t="str">
        <f t="shared" si="667"/>
        <v/>
      </c>
      <c r="AI157" s="969" t="e">
        <f t="shared" si="550"/>
        <v>#VALUE!</v>
      </c>
      <c r="AJ157" s="326" t="str">
        <f t="shared" si="668"/>
        <v/>
      </c>
      <c r="AK157" s="326" t="e">
        <f t="shared" ref="AK157:AL157" si="785">SUM(AD157,W157,P157)</f>
        <v>#VALUE!</v>
      </c>
      <c r="AL157" s="326">
        <f t="shared" si="785"/>
        <v>0</v>
      </c>
      <c r="AM157" s="326">
        <f t="shared" si="553"/>
        <v>0</v>
      </c>
      <c r="AN157" s="326" t="e">
        <f t="shared" si="661"/>
        <v>#VALUE!</v>
      </c>
      <c r="AO157" s="970" t="str">
        <f t="shared" si="670"/>
        <v/>
      </c>
      <c r="AP157" s="941" t="str">
        <f t="shared" si="613"/>
        <v/>
      </c>
      <c r="AQ157" s="326" t="e">
        <f t="shared" si="556"/>
        <v>#VALUE!</v>
      </c>
      <c r="AR157" s="326" t="str">
        <f t="shared" si="729"/>
        <v/>
      </c>
      <c r="AS157" s="326">
        <f t="shared" si="730"/>
        <v>0</v>
      </c>
      <c r="AT157" s="941" t="str">
        <f t="shared" si="614"/>
        <v/>
      </c>
      <c r="AU157" s="326" t="e">
        <f t="shared" si="559"/>
        <v>#VALUE!</v>
      </c>
      <c r="AV157" s="326" t="str">
        <f t="shared" si="731"/>
        <v/>
      </c>
      <c r="AW157" s="326">
        <f t="shared" si="732"/>
        <v>0</v>
      </c>
      <c r="AX157" s="941" t="str">
        <f t="shared" si="770"/>
        <v/>
      </c>
      <c r="AY157" s="326" t="e">
        <f t="shared" si="562"/>
        <v>#VALUE!</v>
      </c>
      <c r="AZ157" s="326" t="str">
        <f t="shared" si="733"/>
        <v/>
      </c>
      <c r="BA157" s="326">
        <f t="shared" si="734"/>
        <v>0</v>
      </c>
      <c r="BB157" s="326" t="e">
        <f t="shared" si="565"/>
        <v>#VALUE!</v>
      </c>
      <c r="BC157" s="326" t="e">
        <f t="shared" si="566"/>
        <v>#VALUE!</v>
      </c>
      <c r="BD157" s="326">
        <f t="shared" si="567"/>
        <v>0</v>
      </c>
      <c r="BE157" s="326" t="e">
        <f t="shared" si="568"/>
        <v>#VALUE!</v>
      </c>
      <c r="BF157" s="326" t="e">
        <f t="shared" ref="BF157:BG157" si="786">SUM(BC157,AL157)</f>
        <v>#VALUE!</v>
      </c>
      <c r="BG157" s="326">
        <f t="shared" si="786"/>
        <v>0</v>
      </c>
      <c r="BH157" s="941" t="str">
        <f t="shared" si="772"/>
        <v/>
      </c>
      <c r="BI157" s="326" t="e">
        <f t="shared" si="570"/>
        <v>#VALUE!</v>
      </c>
      <c r="BJ157" s="326" t="str">
        <f t="shared" si="736"/>
        <v/>
      </c>
      <c r="BK157" s="326">
        <f t="shared" si="737"/>
        <v>138075.91</v>
      </c>
      <c r="BL157" s="971" t="str">
        <f t="shared" si="773"/>
        <v/>
      </c>
      <c r="BM157" s="140" t="e">
        <f t="shared" si="573"/>
        <v>#VALUE!</v>
      </c>
      <c r="BN157" s="326" t="str">
        <f t="shared" si="738"/>
        <v/>
      </c>
      <c r="BO157" s="333">
        <f t="shared" si="739"/>
        <v>0</v>
      </c>
      <c r="BP157" s="123" t="str">
        <f t="shared" si="774"/>
        <v/>
      </c>
      <c r="BQ157" s="326" t="e">
        <f t="shared" si="576"/>
        <v>#VALUE!</v>
      </c>
      <c r="BR157" s="326" t="str">
        <f t="shared" si="740"/>
        <v/>
      </c>
      <c r="BS157" s="332">
        <f t="shared" si="741"/>
        <v>0</v>
      </c>
      <c r="BT157" s="140" t="e">
        <f t="shared" ref="BT157:BV157" si="787">SUM(BQ157,BM157,BI157)</f>
        <v>#VALUE!</v>
      </c>
      <c r="BU157" s="326">
        <f t="shared" si="787"/>
        <v>0</v>
      </c>
      <c r="BV157" s="333">
        <f t="shared" si="787"/>
        <v>138075.91</v>
      </c>
      <c r="BW157" s="939" t="str">
        <f t="shared" si="776"/>
        <v/>
      </c>
      <c r="BX157" s="326" t="e">
        <f t="shared" si="580"/>
        <v>#VALUE!</v>
      </c>
      <c r="BY157" s="326" t="str">
        <f t="shared" si="743"/>
        <v/>
      </c>
      <c r="BZ157" s="333">
        <f t="shared" si="744"/>
        <v>0</v>
      </c>
      <c r="CA157" s="939" t="str">
        <f t="shared" si="777"/>
        <v/>
      </c>
      <c r="CB157" s="941" t="str">
        <f t="shared" si="778"/>
        <v/>
      </c>
    </row>
    <row r="158" spans="1:116" ht="13">
      <c r="A158" s="323" t="e">
        <f t="shared" si="715"/>
        <v>#N/A</v>
      </c>
      <c r="B158" s="974">
        <f>VLOOKUP(M158,VARGASCART2,2,FALSE)</f>
        <v>1</v>
      </c>
      <c r="C158" s="863" t="str">
        <f t="shared" si="716"/>
        <v>Lista</v>
      </c>
      <c r="D158" s="863">
        <f t="shared" si="717"/>
        <v>0.09</v>
      </c>
      <c r="E158" s="984">
        <f t="shared" si="718"/>
        <v>0</v>
      </c>
      <c r="F158" s="798">
        <f t="shared" si="719"/>
        <v>1</v>
      </c>
      <c r="G158" s="558" t="str">
        <f t="shared" si="720"/>
        <v>Lista</v>
      </c>
      <c r="H158" s="558">
        <f t="shared" si="721"/>
        <v>0.09</v>
      </c>
      <c r="I158" s="558">
        <f t="shared" si="722"/>
        <v>0</v>
      </c>
      <c r="J158" s="637" t="e">
        <f t="shared" si="723"/>
        <v>#N/A</v>
      </c>
      <c r="K158" s="558" t="str">
        <f t="shared" si="724"/>
        <v/>
      </c>
      <c r="L158" s="558" t="str">
        <f t="shared" si="725"/>
        <v/>
      </c>
      <c r="M158" s="977" t="s">
        <v>981</v>
      </c>
      <c r="N158" s="878" t="str">
        <f>IFERROR(VLOOKUP(M158,VARGAS24,3,FALSE),"")</f>
        <v/>
      </c>
      <c r="O158" s="878" t="e">
        <f>(N158*1.601)*1.05</f>
        <v>#VALUE!</v>
      </c>
      <c r="P158" s="878">
        <f t="shared" si="599"/>
        <v>0</v>
      </c>
      <c r="Q158" s="878">
        <f t="shared" si="600"/>
        <v>0</v>
      </c>
      <c r="R158" s="878">
        <f t="shared" si="601"/>
        <v>0</v>
      </c>
      <c r="S158" s="878" t="e">
        <f t="shared" si="602"/>
        <v>#VALUE!</v>
      </c>
      <c r="T158" s="190" t="str">
        <f t="shared" si="603"/>
        <v/>
      </c>
      <c r="U158" s="878" t="str">
        <f t="shared" si="604"/>
        <v/>
      </c>
      <c r="V158" s="878" t="e">
        <f t="shared" si="749"/>
        <v>#VALUE!</v>
      </c>
      <c r="W158" s="878">
        <f t="shared" si="606"/>
        <v>0</v>
      </c>
      <c r="X158" s="878">
        <f t="shared" si="607"/>
        <v>0</v>
      </c>
      <c r="Y158" s="878">
        <f t="shared" si="608"/>
        <v>0</v>
      </c>
      <c r="Z158" s="985" t="e">
        <f t="shared" si="609"/>
        <v>#VALUE!</v>
      </c>
      <c r="AA158" s="986" t="e">
        <f>Y158/V158</f>
        <v>#VALUE!</v>
      </c>
      <c r="AB158" s="878" t="str">
        <f t="shared" si="611"/>
        <v/>
      </c>
      <c r="AC158" s="878" t="e">
        <f t="shared" si="750"/>
        <v>#VALUE!</v>
      </c>
      <c r="AD158" s="878">
        <f t="shared" si="545"/>
        <v>0</v>
      </c>
      <c r="AE158" s="878">
        <f t="shared" si="726"/>
        <v>0</v>
      </c>
      <c r="AF158" s="878">
        <f t="shared" si="727"/>
        <v>0</v>
      </c>
      <c r="AG158" s="985" t="e">
        <f t="shared" si="548"/>
        <v>#VALUE!</v>
      </c>
      <c r="AH158" s="986" t="str">
        <f t="shared" si="667"/>
        <v/>
      </c>
      <c r="AI158" s="987" t="e">
        <f t="shared" si="550"/>
        <v>#VALUE!</v>
      </c>
      <c r="AJ158" s="878" t="str">
        <f t="shared" si="668"/>
        <v/>
      </c>
      <c r="AK158" s="878">
        <f t="shared" ref="AK158:AL158" si="788">SUM(AD158,W158,P158)</f>
        <v>0</v>
      </c>
      <c r="AL158" s="878">
        <f t="shared" si="788"/>
        <v>0</v>
      </c>
      <c r="AM158" s="878">
        <f t="shared" si="553"/>
        <v>0</v>
      </c>
      <c r="AN158" s="878" t="e">
        <f t="shared" si="661"/>
        <v>#VALUE!</v>
      </c>
      <c r="AO158" s="190" t="str">
        <f t="shared" si="670"/>
        <v/>
      </c>
      <c r="AP158" s="988" t="str">
        <f t="shared" si="613"/>
        <v/>
      </c>
      <c r="AQ158" s="878">
        <f t="shared" si="556"/>
        <v>0</v>
      </c>
      <c r="AR158" s="878">
        <f t="shared" si="729"/>
        <v>0</v>
      </c>
      <c r="AS158" s="878">
        <f t="shared" si="730"/>
        <v>0</v>
      </c>
      <c r="AT158" s="988" t="str">
        <f t="shared" si="614"/>
        <v/>
      </c>
      <c r="AU158" s="878">
        <f t="shared" si="559"/>
        <v>0</v>
      </c>
      <c r="AV158" s="878">
        <f t="shared" si="731"/>
        <v>0</v>
      </c>
      <c r="AW158" s="878">
        <f t="shared" si="732"/>
        <v>0</v>
      </c>
      <c r="AX158" s="988" t="str">
        <f t="shared" si="770"/>
        <v/>
      </c>
      <c r="AY158" s="878">
        <f t="shared" si="562"/>
        <v>0</v>
      </c>
      <c r="AZ158" s="878">
        <f t="shared" si="733"/>
        <v>0</v>
      </c>
      <c r="BA158" s="878">
        <f t="shared" si="734"/>
        <v>0</v>
      </c>
      <c r="BB158" s="878">
        <f t="shared" si="565"/>
        <v>0</v>
      </c>
      <c r="BC158" s="878">
        <f t="shared" si="566"/>
        <v>0</v>
      </c>
      <c r="BD158" s="878">
        <f t="shared" si="567"/>
        <v>0</v>
      </c>
      <c r="BE158" s="878">
        <f t="shared" si="568"/>
        <v>0</v>
      </c>
      <c r="BF158" s="878">
        <f t="shared" ref="BF158:BG158" si="789">SUM(BC158,AL158)</f>
        <v>0</v>
      </c>
      <c r="BG158" s="878">
        <f t="shared" si="789"/>
        <v>0</v>
      </c>
      <c r="BH158" s="988" t="str">
        <f t="shared" si="772"/>
        <v/>
      </c>
      <c r="BI158" s="878">
        <f t="shared" si="570"/>
        <v>0</v>
      </c>
      <c r="BJ158" s="878">
        <f t="shared" si="736"/>
        <v>0</v>
      </c>
      <c r="BK158" s="878">
        <f t="shared" si="737"/>
        <v>0</v>
      </c>
      <c r="BL158" s="989" t="str">
        <f t="shared" si="773"/>
        <v/>
      </c>
      <c r="BM158" s="140">
        <f t="shared" si="573"/>
        <v>0</v>
      </c>
      <c r="BN158" s="326">
        <f t="shared" si="738"/>
        <v>0</v>
      </c>
      <c r="BO158" s="333">
        <f t="shared" si="739"/>
        <v>0</v>
      </c>
      <c r="BP158" s="872" t="str">
        <f t="shared" si="774"/>
        <v/>
      </c>
      <c r="BQ158" s="326">
        <f t="shared" si="576"/>
        <v>139249.04999999999</v>
      </c>
      <c r="BR158" s="326">
        <f t="shared" si="740"/>
        <v>65231.1</v>
      </c>
      <c r="BS158" s="332">
        <f t="shared" si="741"/>
        <v>204480.15</v>
      </c>
      <c r="BT158" s="140">
        <f t="shared" ref="BT158:BV158" si="790">SUM(BQ158,BM158,BI158)</f>
        <v>139249.04999999999</v>
      </c>
      <c r="BU158" s="326">
        <f t="shared" si="790"/>
        <v>65231.1</v>
      </c>
      <c r="BV158" s="333">
        <f t="shared" si="790"/>
        <v>204480.15</v>
      </c>
      <c r="BW158" s="990" t="str">
        <f t="shared" si="776"/>
        <v/>
      </c>
      <c r="BX158" s="326">
        <f t="shared" si="580"/>
        <v>0</v>
      </c>
      <c r="BY158" s="326">
        <f t="shared" si="743"/>
        <v>0</v>
      </c>
      <c r="BZ158" s="333">
        <f t="shared" si="744"/>
        <v>0</v>
      </c>
      <c r="CA158" s="990" t="str">
        <f t="shared" si="777"/>
        <v/>
      </c>
      <c r="CB158" s="991" t="str">
        <f t="shared" si="778"/>
        <v/>
      </c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</row>
    <row r="159" spans="1:116" ht="13">
      <c r="A159" s="323" t="e">
        <f t="shared" si="715"/>
        <v>#N/A</v>
      </c>
      <c r="B159" s="974">
        <f>VLOOKUP(M159,VARGASCARTERA,2,FALSE)</f>
        <v>0</v>
      </c>
      <c r="C159" s="558" t="str">
        <f t="shared" si="716"/>
        <v/>
      </c>
      <c r="D159" s="558" t="str">
        <f t="shared" si="717"/>
        <v/>
      </c>
      <c r="E159" s="558" t="str">
        <f t="shared" si="718"/>
        <v/>
      </c>
      <c r="F159" s="798">
        <f t="shared" si="719"/>
        <v>0</v>
      </c>
      <c r="G159" s="558" t="str">
        <f t="shared" si="720"/>
        <v/>
      </c>
      <c r="H159" s="558" t="str">
        <f t="shared" si="721"/>
        <v/>
      </c>
      <c r="I159" s="558" t="str">
        <f t="shared" si="722"/>
        <v/>
      </c>
      <c r="J159" s="637" t="e">
        <f t="shared" si="723"/>
        <v>#N/A</v>
      </c>
      <c r="K159" s="558" t="str">
        <f t="shared" si="724"/>
        <v/>
      </c>
      <c r="L159" s="558" t="str">
        <f t="shared" si="725"/>
        <v/>
      </c>
      <c r="M159" s="977" t="s">
        <v>982</v>
      </c>
      <c r="N159" s="326"/>
      <c r="O159" s="326"/>
      <c r="P159" s="326" t="e">
        <f t="shared" si="599"/>
        <v>#VALUE!</v>
      </c>
      <c r="Q159" s="326" t="str">
        <f t="shared" si="600"/>
        <v/>
      </c>
      <c r="R159" s="326">
        <f t="shared" si="601"/>
        <v>0</v>
      </c>
      <c r="S159" s="326">
        <f t="shared" si="602"/>
        <v>0</v>
      </c>
      <c r="T159" s="137" t="str">
        <f t="shared" si="603"/>
        <v/>
      </c>
      <c r="U159" s="326" t="str">
        <f t="shared" si="604"/>
        <v/>
      </c>
      <c r="V159" s="326" t="e">
        <f t="shared" si="749"/>
        <v>#VALUE!</v>
      </c>
      <c r="W159" s="326" t="e">
        <f t="shared" si="606"/>
        <v>#VALUE!</v>
      </c>
      <c r="X159" s="326" t="str">
        <f t="shared" si="607"/>
        <v/>
      </c>
      <c r="Y159" s="326">
        <f t="shared" si="608"/>
        <v>0</v>
      </c>
      <c r="Z159" s="326" t="e">
        <f t="shared" si="609"/>
        <v>#VALUE!</v>
      </c>
      <c r="AA159" s="137" t="str">
        <f t="shared" ref="AA159:AA163" si="791">IFERROR(Y159/V159,"")</f>
        <v/>
      </c>
      <c r="AB159" s="326" t="str">
        <f t="shared" si="611"/>
        <v/>
      </c>
      <c r="AC159" s="326" t="e">
        <f t="shared" si="750"/>
        <v>#VALUE!</v>
      </c>
      <c r="AD159" s="326" t="e">
        <f t="shared" si="545"/>
        <v>#VALUE!</v>
      </c>
      <c r="AE159" s="326" t="str">
        <f t="shared" si="726"/>
        <v/>
      </c>
      <c r="AF159" s="326">
        <f t="shared" si="727"/>
        <v>0</v>
      </c>
      <c r="AG159" s="326" t="e">
        <f t="shared" si="548"/>
        <v>#VALUE!</v>
      </c>
      <c r="AH159" s="137" t="str">
        <f t="shared" si="667"/>
        <v/>
      </c>
      <c r="AI159" s="969" t="e">
        <f t="shared" si="550"/>
        <v>#VALUE!</v>
      </c>
      <c r="AJ159" s="326" t="str">
        <f t="shared" si="668"/>
        <v/>
      </c>
      <c r="AK159" s="326" t="e">
        <f t="shared" ref="AK159:AL159" si="792">SUM(AD159,W159,P159)</f>
        <v>#VALUE!</v>
      </c>
      <c r="AL159" s="326">
        <f t="shared" si="792"/>
        <v>0</v>
      </c>
      <c r="AM159" s="326">
        <f t="shared" si="553"/>
        <v>0</v>
      </c>
      <c r="AN159" s="326" t="e">
        <f t="shared" si="661"/>
        <v>#VALUE!</v>
      </c>
      <c r="AO159" s="970" t="str">
        <f t="shared" si="670"/>
        <v/>
      </c>
      <c r="AP159" s="941" t="str">
        <f t="shared" si="613"/>
        <v/>
      </c>
      <c r="AQ159" s="326" t="e">
        <f t="shared" si="556"/>
        <v>#VALUE!</v>
      </c>
      <c r="AR159" s="326" t="str">
        <f t="shared" si="729"/>
        <v/>
      </c>
      <c r="AS159" s="326">
        <f t="shared" si="730"/>
        <v>0</v>
      </c>
      <c r="AT159" s="941" t="str">
        <f t="shared" si="614"/>
        <v/>
      </c>
      <c r="AU159" s="326" t="e">
        <f t="shared" si="559"/>
        <v>#VALUE!</v>
      </c>
      <c r="AV159" s="326" t="str">
        <f t="shared" si="731"/>
        <v/>
      </c>
      <c r="AW159" s="326">
        <f t="shared" si="732"/>
        <v>0</v>
      </c>
      <c r="AX159" s="941" t="str">
        <f t="shared" si="770"/>
        <v/>
      </c>
      <c r="AY159" s="326" t="e">
        <f t="shared" si="562"/>
        <v>#VALUE!</v>
      </c>
      <c r="AZ159" s="326" t="str">
        <f t="shared" si="733"/>
        <v/>
      </c>
      <c r="BA159" s="326">
        <f t="shared" si="734"/>
        <v>36215.839999999997</v>
      </c>
      <c r="BB159" s="326" t="e">
        <f t="shared" si="565"/>
        <v>#VALUE!</v>
      </c>
      <c r="BC159" s="326" t="e">
        <f t="shared" si="566"/>
        <v>#VALUE!</v>
      </c>
      <c r="BD159" s="326">
        <f t="shared" si="567"/>
        <v>36215.839999999997</v>
      </c>
      <c r="BE159" s="326" t="e">
        <f t="shared" si="568"/>
        <v>#VALUE!</v>
      </c>
      <c r="BF159" s="326" t="e">
        <f t="shared" ref="BF159:BG159" si="793">SUM(BC159,AL159)</f>
        <v>#VALUE!</v>
      </c>
      <c r="BG159" s="326">
        <f t="shared" si="793"/>
        <v>36215.839999999997</v>
      </c>
      <c r="BH159" s="941" t="str">
        <f t="shared" si="772"/>
        <v/>
      </c>
      <c r="BI159" s="326" t="e">
        <f t="shared" si="570"/>
        <v>#VALUE!</v>
      </c>
      <c r="BJ159" s="326" t="str">
        <f t="shared" si="736"/>
        <v/>
      </c>
      <c r="BK159" s="326">
        <f t="shared" si="737"/>
        <v>0</v>
      </c>
      <c r="BL159" s="971" t="str">
        <f t="shared" si="773"/>
        <v/>
      </c>
      <c r="BM159" s="140" t="e">
        <f t="shared" si="573"/>
        <v>#VALUE!</v>
      </c>
      <c r="BN159" s="326" t="str">
        <f t="shared" si="738"/>
        <v/>
      </c>
      <c r="BO159" s="333">
        <f t="shared" si="739"/>
        <v>0</v>
      </c>
      <c r="BP159" s="123" t="str">
        <f t="shared" si="774"/>
        <v/>
      </c>
      <c r="BQ159" s="326" t="e">
        <f t="shared" si="576"/>
        <v>#VALUE!</v>
      </c>
      <c r="BR159" s="326" t="str">
        <f t="shared" si="740"/>
        <v/>
      </c>
      <c r="BS159" s="332">
        <f t="shared" si="741"/>
        <v>12881.05</v>
      </c>
      <c r="BT159" s="140" t="e">
        <f t="shared" ref="BT159:BV159" si="794">SUM(BQ159,BM159,BI159)</f>
        <v>#VALUE!</v>
      </c>
      <c r="BU159" s="326">
        <f t="shared" si="794"/>
        <v>0</v>
      </c>
      <c r="BV159" s="333">
        <f t="shared" si="794"/>
        <v>12881.05</v>
      </c>
      <c r="BW159" s="939" t="str">
        <f t="shared" si="776"/>
        <v/>
      </c>
      <c r="BX159" s="326" t="e">
        <f t="shared" si="580"/>
        <v>#VALUE!</v>
      </c>
      <c r="BY159" s="326" t="str">
        <f t="shared" si="743"/>
        <v/>
      </c>
      <c r="BZ159" s="333">
        <f t="shared" si="744"/>
        <v>86513.87</v>
      </c>
      <c r="CA159" s="939" t="str">
        <f t="shared" si="777"/>
        <v/>
      </c>
      <c r="CB159" s="941" t="str">
        <f t="shared" si="778"/>
        <v/>
      </c>
    </row>
    <row r="160" spans="1:116" ht="13">
      <c r="A160" s="323" t="e">
        <f t="shared" si="715"/>
        <v>#N/A</v>
      </c>
      <c r="B160" s="974">
        <f>VLOOKUP(M160,VARGASCARTERA,2,FALSE)</f>
        <v>0</v>
      </c>
      <c r="C160" s="558" t="str">
        <f t="shared" si="716"/>
        <v/>
      </c>
      <c r="D160" s="558" t="str">
        <f t="shared" si="717"/>
        <v/>
      </c>
      <c r="E160" s="558" t="str">
        <f t="shared" si="718"/>
        <v/>
      </c>
      <c r="F160" s="798">
        <f t="shared" si="719"/>
        <v>0</v>
      </c>
      <c r="G160" s="558" t="str">
        <f t="shared" si="720"/>
        <v/>
      </c>
      <c r="H160" s="558" t="str">
        <f t="shared" si="721"/>
        <v/>
      </c>
      <c r="I160" s="558" t="str">
        <f t="shared" si="722"/>
        <v/>
      </c>
      <c r="J160" s="637" t="e">
        <f t="shared" si="723"/>
        <v>#N/A</v>
      </c>
      <c r="K160" s="558" t="str">
        <f t="shared" si="724"/>
        <v/>
      </c>
      <c r="L160" s="558" t="str">
        <f t="shared" si="725"/>
        <v/>
      </c>
      <c r="M160" s="977" t="s">
        <v>983</v>
      </c>
      <c r="N160" s="326"/>
      <c r="O160" s="326"/>
      <c r="P160" s="326" t="e">
        <f t="shared" si="599"/>
        <v>#VALUE!</v>
      </c>
      <c r="Q160" s="326" t="str">
        <f t="shared" si="600"/>
        <v/>
      </c>
      <c r="R160" s="326">
        <f t="shared" si="601"/>
        <v>0</v>
      </c>
      <c r="S160" s="326">
        <f t="shared" si="602"/>
        <v>0</v>
      </c>
      <c r="T160" s="137" t="str">
        <f t="shared" si="603"/>
        <v/>
      </c>
      <c r="U160" s="326" t="str">
        <f t="shared" si="604"/>
        <v/>
      </c>
      <c r="V160" s="326" t="e">
        <f t="shared" si="749"/>
        <v>#VALUE!</v>
      </c>
      <c r="W160" s="326" t="e">
        <f t="shared" si="606"/>
        <v>#VALUE!</v>
      </c>
      <c r="X160" s="326" t="str">
        <f t="shared" si="607"/>
        <v/>
      </c>
      <c r="Y160" s="326">
        <f t="shared" si="608"/>
        <v>0</v>
      </c>
      <c r="Z160" s="326" t="e">
        <f t="shared" si="609"/>
        <v>#VALUE!</v>
      </c>
      <c r="AA160" s="137" t="str">
        <f t="shared" si="791"/>
        <v/>
      </c>
      <c r="AB160" s="326" t="str">
        <f t="shared" si="611"/>
        <v/>
      </c>
      <c r="AC160" s="326" t="e">
        <f t="shared" si="750"/>
        <v>#VALUE!</v>
      </c>
      <c r="AD160" s="326" t="e">
        <f t="shared" si="545"/>
        <v>#VALUE!</v>
      </c>
      <c r="AE160" s="326" t="str">
        <f t="shared" si="726"/>
        <v/>
      </c>
      <c r="AF160" s="326">
        <f t="shared" si="727"/>
        <v>0</v>
      </c>
      <c r="AG160" s="326" t="e">
        <f t="shared" si="548"/>
        <v>#VALUE!</v>
      </c>
      <c r="AH160" s="137" t="str">
        <f t="shared" si="667"/>
        <v/>
      </c>
      <c r="AI160" s="969" t="e">
        <f t="shared" si="550"/>
        <v>#VALUE!</v>
      </c>
      <c r="AJ160" s="326" t="str">
        <f t="shared" si="668"/>
        <v/>
      </c>
      <c r="AK160" s="326" t="e">
        <f t="shared" ref="AK160:AL160" si="795">SUM(AD160,W160,P160)</f>
        <v>#VALUE!</v>
      </c>
      <c r="AL160" s="326">
        <f t="shared" si="795"/>
        <v>0</v>
      </c>
      <c r="AM160" s="326">
        <f t="shared" si="553"/>
        <v>0</v>
      </c>
      <c r="AN160" s="326" t="e">
        <f t="shared" si="661"/>
        <v>#VALUE!</v>
      </c>
      <c r="AO160" s="970" t="str">
        <f t="shared" si="670"/>
        <v/>
      </c>
      <c r="AP160" s="941" t="str">
        <f t="shared" si="613"/>
        <v/>
      </c>
      <c r="AQ160" s="326" t="e">
        <f t="shared" si="556"/>
        <v>#VALUE!</v>
      </c>
      <c r="AR160" s="326" t="str">
        <f t="shared" si="729"/>
        <v/>
      </c>
      <c r="AS160" s="326">
        <f t="shared" si="730"/>
        <v>0</v>
      </c>
      <c r="AT160" s="941" t="str">
        <f t="shared" si="614"/>
        <v/>
      </c>
      <c r="AU160" s="326" t="e">
        <f t="shared" si="559"/>
        <v>#VALUE!</v>
      </c>
      <c r="AV160" s="326" t="str">
        <f t="shared" si="731"/>
        <v/>
      </c>
      <c r="AW160" s="326">
        <f t="shared" si="732"/>
        <v>0</v>
      </c>
      <c r="AX160" s="941" t="str">
        <f t="shared" si="770"/>
        <v/>
      </c>
      <c r="AY160" s="326" t="e">
        <f t="shared" si="562"/>
        <v>#VALUE!</v>
      </c>
      <c r="AZ160" s="326" t="str">
        <f t="shared" si="733"/>
        <v/>
      </c>
      <c r="BA160" s="326">
        <f t="shared" si="734"/>
        <v>0</v>
      </c>
      <c r="BB160" s="326" t="e">
        <f t="shared" si="565"/>
        <v>#VALUE!</v>
      </c>
      <c r="BC160" s="326" t="e">
        <f t="shared" si="566"/>
        <v>#VALUE!</v>
      </c>
      <c r="BD160" s="326">
        <f t="shared" si="567"/>
        <v>0</v>
      </c>
      <c r="BE160" s="326" t="e">
        <f t="shared" si="568"/>
        <v>#VALUE!</v>
      </c>
      <c r="BF160" s="326" t="e">
        <f t="shared" ref="BF160:BG160" si="796">SUM(BC160,AL160)</f>
        <v>#VALUE!</v>
      </c>
      <c r="BG160" s="326">
        <f t="shared" si="796"/>
        <v>0</v>
      </c>
      <c r="BH160" s="941" t="str">
        <f t="shared" si="772"/>
        <v/>
      </c>
      <c r="BI160" s="326" t="e">
        <f t="shared" si="570"/>
        <v>#VALUE!</v>
      </c>
      <c r="BJ160" s="326" t="str">
        <f t="shared" si="736"/>
        <v/>
      </c>
      <c r="BK160" s="326">
        <f t="shared" si="737"/>
        <v>0</v>
      </c>
      <c r="BL160" s="971" t="str">
        <f t="shared" si="773"/>
        <v/>
      </c>
      <c r="BM160" s="140" t="e">
        <f t="shared" si="573"/>
        <v>#VALUE!</v>
      </c>
      <c r="BN160" s="326" t="str">
        <f t="shared" si="738"/>
        <v/>
      </c>
      <c r="BO160" s="333">
        <f t="shared" si="739"/>
        <v>221981.94</v>
      </c>
      <c r="BP160" s="123" t="str">
        <f t="shared" si="774"/>
        <v/>
      </c>
      <c r="BQ160" s="326" t="e">
        <f t="shared" si="576"/>
        <v>#VALUE!</v>
      </c>
      <c r="BR160" s="326" t="str">
        <f t="shared" si="740"/>
        <v/>
      </c>
      <c r="BS160" s="332">
        <f t="shared" si="741"/>
        <v>0</v>
      </c>
      <c r="BT160" s="140" t="e">
        <f t="shared" ref="BT160:BV160" si="797">SUM(BQ160,BM160,BI160)</f>
        <v>#VALUE!</v>
      </c>
      <c r="BU160" s="326">
        <f t="shared" si="797"/>
        <v>0</v>
      </c>
      <c r="BV160" s="333">
        <f t="shared" si="797"/>
        <v>221981.94</v>
      </c>
      <c r="BW160" s="939" t="str">
        <f t="shared" si="776"/>
        <v/>
      </c>
      <c r="BX160" s="326" t="e">
        <f t="shared" si="580"/>
        <v>#VALUE!</v>
      </c>
      <c r="BY160" s="326" t="str">
        <f t="shared" si="743"/>
        <v/>
      </c>
      <c r="BZ160" s="333">
        <f t="shared" si="744"/>
        <v>0</v>
      </c>
      <c r="CA160" s="939" t="str">
        <f t="shared" si="777"/>
        <v/>
      </c>
      <c r="CB160" s="941" t="str">
        <f t="shared" si="778"/>
        <v/>
      </c>
    </row>
    <row r="161" spans="1:80" ht="13">
      <c r="A161" s="323" t="e">
        <f t="shared" si="715"/>
        <v>#N/A</v>
      </c>
      <c r="B161" s="974">
        <f>VLOOKUP(M161,VARGASCARTERA,2,FALSE)</f>
        <v>0</v>
      </c>
      <c r="C161" s="558" t="str">
        <f t="shared" si="716"/>
        <v/>
      </c>
      <c r="D161" s="558" t="str">
        <f t="shared" si="717"/>
        <v/>
      </c>
      <c r="E161" s="558" t="str">
        <f t="shared" si="718"/>
        <v/>
      </c>
      <c r="F161" s="798">
        <f t="shared" si="719"/>
        <v>0</v>
      </c>
      <c r="G161" s="558" t="str">
        <f t="shared" si="720"/>
        <v/>
      </c>
      <c r="H161" s="558" t="str">
        <f t="shared" si="721"/>
        <v/>
      </c>
      <c r="I161" s="558" t="str">
        <f t="shared" si="722"/>
        <v/>
      </c>
      <c r="J161" s="637" t="e">
        <f t="shared" si="723"/>
        <v>#N/A</v>
      </c>
      <c r="K161" s="558" t="str">
        <f t="shared" si="724"/>
        <v/>
      </c>
      <c r="L161" s="558" t="str">
        <f t="shared" si="725"/>
        <v/>
      </c>
      <c r="M161" s="977" t="s">
        <v>984</v>
      </c>
      <c r="N161" s="326"/>
      <c r="O161" s="326"/>
      <c r="P161" s="326" t="e">
        <f t="shared" si="599"/>
        <v>#VALUE!</v>
      </c>
      <c r="Q161" s="326" t="str">
        <f t="shared" si="600"/>
        <v/>
      </c>
      <c r="R161" s="326">
        <f t="shared" si="601"/>
        <v>0</v>
      </c>
      <c r="S161" s="326">
        <f t="shared" si="602"/>
        <v>0</v>
      </c>
      <c r="T161" s="137" t="str">
        <f t="shared" si="603"/>
        <v/>
      </c>
      <c r="U161" s="326">
        <f t="shared" si="604"/>
        <v>0</v>
      </c>
      <c r="V161" s="326">
        <f t="shared" si="749"/>
        <v>0</v>
      </c>
      <c r="W161" s="326" t="e">
        <f t="shared" si="606"/>
        <v>#VALUE!</v>
      </c>
      <c r="X161" s="326" t="str">
        <f t="shared" si="607"/>
        <v/>
      </c>
      <c r="Y161" s="326">
        <f t="shared" si="608"/>
        <v>0</v>
      </c>
      <c r="Z161" s="326">
        <f t="shared" si="609"/>
        <v>0</v>
      </c>
      <c r="AA161" s="137" t="str">
        <f t="shared" si="791"/>
        <v/>
      </c>
      <c r="AB161" s="326">
        <f t="shared" si="611"/>
        <v>14413.85</v>
      </c>
      <c r="AC161" s="326">
        <f t="shared" si="750"/>
        <v>24147.162558749998</v>
      </c>
      <c r="AD161" s="326" t="e">
        <f t="shared" si="545"/>
        <v>#VALUE!</v>
      </c>
      <c r="AE161" s="326" t="str">
        <f t="shared" si="726"/>
        <v/>
      </c>
      <c r="AF161" s="326">
        <f t="shared" si="727"/>
        <v>0</v>
      </c>
      <c r="AG161" s="326">
        <f t="shared" si="548"/>
        <v>-24147.162558749998</v>
      </c>
      <c r="AH161" s="137">
        <f t="shared" si="667"/>
        <v>0</v>
      </c>
      <c r="AI161" s="969">
        <f t="shared" si="550"/>
        <v>24147.162558749998</v>
      </c>
      <c r="AJ161" s="326">
        <f t="shared" si="668"/>
        <v>27096.6</v>
      </c>
      <c r="AK161" s="326" t="e">
        <f t="shared" ref="AK161:AL161" si="798">SUM(AD161,W161,P161)</f>
        <v>#VALUE!</v>
      </c>
      <c r="AL161" s="326">
        <f t="shared" si="798"/>
        <v>0</v>
      </c>
      <c r="AM161" s="326">
        <f t="shared" si="553"/>
        <v>0</v>
      </c>
      <c r="AN161" s="326">
        <f t="shared" si="661"/>
        <v>-27096.6</v>
      </c>
      <c r="AO161" s="970">
        <f t="shared" si="670"/>
        <v>0</v>
      </c>
      <c r="AP161" s="941">
        <f t="shared" si="613"/>
        <v>0</v>
      </c>
      <c r="AQ161" s="326" t="e">
        <f t="shared" si="556"/>
        <v>#VALUE!</v>
      </c>
      <c r="AR161" s="326" t="str">
        <f t="shared" si="729"/>
        <v/>
      </c>
      <c r="AS161" s="326">
        <f t="shared" si="730"/>
        <v>115702.25</v>
      </c>
      <c r="AT161" s="941">
        <f t="shared" si="614"/>
        <v>0</v>
      </c>
      <c r="AU161" s="326" t="e">
        <f t="shared" si="559"/>
        <v>#VALUE!</v>
      </c>
      <c r="AV161" s="326" t="str">
        <f t="shared" si="731"/>
        <v/>
      </c>
      <c r="AW161" s="326">
        <f t="shared" si="732"/>
        <v>0</v>
      </c>
      <c r="AX161" s="941">
        <f t="shared" si="770"/>
        <v>0</v>
      </c>
      <c r="AY161" s="326" t="e">
        <f t="shared" si="562"/>
        <v>#VALUE!</v>
      </c>
      <c r="AZ161" s="326" t="str">
        <f t="shared" si="733"/>
        <v/>
      </c>
      <c r="BA161" s="326">
        <f t="shared" si="734"/>
        <v>0</v>
      </c>
      <c r="BB161" s="326" t="e">
        <f t="shared" si="565"/>
        <v>#VALUE!</v>
      </c>
      <c r="BC161" s="326" t="e">
        <f t="shared" si="566"/>
        <v>#VALUE!</v>
      </c>
      <c r="BD161" s="326">
        <f t="shared" si="567"/>
        <v>115702.25</v>
      </c>
      <c r="BE161" s="326" t="e">
        <f t="shared" si="568"/>
        <v>#VALUE!</v>
      </c>
      <c r="BF161" s="326" t="e">
        <f t="shared" ref="BF161:BG161" si="799">SUM(BC161,AL161)</f>
        <v>#VALUE!</v>
      </c>
      <c r="BG161" s="326">
        <f t="shared" si="799"/>
        <v>115702.25</v>
      </c>
      <c r="BH161" s="941">
        <f t="shared" si="772"/>
        <v>0</v>
      </c>
      <c r="BI161" s="326" t="e">
        <f t="shared" si="570"/>
        <v>#VALUE!</v>
      </c>
      <c r="BJ161" s="326" t="str">
        <f t="shared" si="736"/>
        <v/>
      </c>
      <c r="BK161" s="326">
        <f t="shared" si="737"/>
        <v>0</v>
      </c>
      <c r="BL161" s="971">
        <f t="shared" si="773"/>
        <v>0</v>
      </c>
      <c r="BM161" s="140" t="e">
        <f t="shared" si="573"/>
        <v>#VALUE!</v>
      </c>
      <c r="BN161" s="326" t="str">
        <f t="shared" si="738"/>
        <v/>
      </c>
      <c r="BO161" s="333">
        <f t="shared" si="739"/>
        <v>0</v>
      </c>
      <c r="BP161" s="123">
        <f t="shared" si="774"/>
        <v>19072</v>
      </c>
      <c r="BQ161" s="326" t="e">
        <f t="shared" si="576"/>
        <v>#VALUE!</v>
      </c>
      <c r="BR161" s="326" t="str">
        <f t="shared" si="740"/>
        <v/>
      </c>
      <c r="BS161" s="332">
        <f t="shared" si="741"/>
        <v>0</v>
      </c>
      <c r="BT161" s="140" t="e">
        <f t="shared" ref="BT161:BV161" si="800">SUM(BQ161,BM161,BI161)</f>
        <v>#VALUE!</v>
      </c>
      <c r="BU161" s="326">
        <f t="shared" si="800"/>
        <v>0</v>
      </c>
      <c r="BV161" s="333">
        <f t="shared" si="800"/>
        <v>0</v>
      </c>
      <c r="BW161" s="939">
        <f t="shared" si="776"/>
        <v>27096.6</v>
      </c>
      <c r="BX161" s="326" t="e">
        <f t="shared" si="580"/>
        <v>#VALUE!</v>
      </c>
      <c r="BY161" s="326" t="str">
        <f t="shared" si="743"/>
        <v/>
      </c>
      <c r="BZ161" s="333">
        <f t="shared" si="744"/>
        <v>0</v>
      </c>
      <c r="CA161" s="939">
        <f t="shared" si="777"/>
        <v>0</v>
      </c>
      <c r="CB161" s="941">
        <f t="shared" si="778"/>
        <v>0</v>
      </c>
    </row>
    <row r="162" spans="1:80" ht="13">
      <c r="A162" s="323" t="e">
        <f t="shared" si="715"/>
        <v>#N/A</v>
      </c>
      <c r="B162" s="974">
        <f>VLOOKUP(M162,VARGASCARTERA,2,FALSE)</f>
        <v>0</v>
      </c>
      <c r="C162" s="558" t="str">
        <f t="shared" si="716"/>
        <v/>
      </c>
      <c r="D162" s="558" t="str">
        <f t="shared" si="717"/>
        <v/>
      </c>
      <c r="E162" s="558" t="str">
        <f t="shared" si="718"/>
        <v/>
      </c>
      <c r="F162" s="798">
        <f t="shared" si="719"/>
        <v>0</v>
      </c>
      <c r="G162" s="558" t="str">
        <f t="shared" si="720"/>
        <v/>
      </c>
      <c r="H162" s="558" t="str">
        <f t="shared" si="721"/>
        <v/>
      </c>
      <c r="I162" s="558" t="str">
        <f t="shared" si="722"/>
        <v/>
      </c>
      <c r="J162" s="637" t="e">
        <f t="shared" si="723"/>
        <v>#N/A</v>
      </c>
      <c r="K162" s="558" t="str">
        <f t="shared" si="724"/>
        <v/>
      </c>
      <c r="L162" s="558" t="str">
        <f t="shared" si="725"/>
        <v/>
      </c>
      <c r="M162" s="977" t="s">
        <v>985</v>
      </c>
      <c r="N162" s="326">
        <f>IFERROR(VLOOKUP(M162,VARGAS24,3,FALSE),"")</f>
        <v>0</v>
      </c>
      <c r="O162" s="326">
        <f t="shared" ref="O162:O163" si="801">(N162*1.601)*1.05</f>
        <v>0</v>
      </c>
      <c r="P162" s="326">
        <f t="shared" si="599"/>
        <v>802148.91</v>
      </c>
      <c r="Q162" s="326">
        <f t="shared" si="600"/>
        <v>0</v>
      </c>
      <c r="R162" s="326">
        <f t="shared" si="601"/>
        <v>802148.91</v>
      </c>
      <c r="S162" s="326">
        <f t="shared" si="602"/>
        <v>802148.91</v>
      </c>
      <c r="T162" s="137" t="str">
        <f t="shared" si="603"/>
        <v/>
      </c>
      <c r="U162" s="326">
        <f t="shared" si="604"/>
        <v>59185.41</v>
      </c>
      <c r="V162" s="326">
        <f t="shared" si="749"/>
        <v>107168.50152225001</v>
      </c>
      <c r="W162" s="326">
        <f t="shared" si="606"/>
        <v>693028.61</v>
      </c>
      <c r="X162" s="326">
        <f t="shared" si="607"/>
        <v>19165.259999999998</v>
      </c>
      <c r="Y162" s="326">
        <f t="shared" si="608"/>
        <v>712193.87</v>
      </c>
      <c r="Z162" s="326">
        <f t="shared" si="609"/>
        <v>605025.36847774999</v>
      </c>
      <c r="AA162" s="137">
        <f t="shared" si="791"/>
        <v>6.6455521900913803</v>
      </c>
      <c r="AB162" s="326">
        <f t="shared" si="611"/>
        <v>171904.63</v>
      </c>
      <c r="AC162" s="326">
        <f t="shared" si="750"/>
        <v>287987.52902324998</v>
      </c>
      <c r="AD162" s="326">
        <f t="shared" si="545"/>
        <v>250887.1</v>
      </c>
      <c r="AE162" s="326">
        <f t="shared" si="726"/>
        <v>12776.84</v>
      </c>
      <c r="AF162" s="326">
        <f t="shared" si="727"/>
        <v>263663.94</v>
      </c>
      <c r="AG162" s="326">
        <f t="shared" si="548"/>
        <v>-24323.589023249981</v>
      </c>
      <c r="AH162" s="137">
        <f t="shared" si="667"/>
        <v>0.91553943635772406</v>
      </c>
      <c r="AI162" s="969">
        <f t="shared" si="550"/>
        <v>395156.03054549999</v>
      </c>
      <c r="AJ162" s="326">
        <f t="shared" si="668"/>
        <v>2628000.4900000002</v>
      </c>
      <c r="AK162" s="326">
        <f t="shared" ref="AK162:AL162" si="802">SUM(AD162,W162,P162)</f>
        <v>1746064.62</v>
      </c>
      <c r="AL162" s="326">
        <f t="shared" si="802"/>
        <v>31942.1</v>
      </c>
      <c r="AM162" s="326">
        <f t="shared" si="553"/>
        <v>2490200.5900000003</v>
      </c>
      <c r="AN162" s="326">
        <f t="shared" si="661"/>
        <v>-137799.89999999991</v>
      </c>
      <c r="AO162" s="970">
        <f t="shared" si="670"/>
        <v>0.94756473580413991</v>
      </c>
      <c r="AP162" s="941">
        <f t="shared" si="613"/>
        <v>31306.29</v>
      </c>
      <c r="AQ162" s="326">
        <f t="shared" si="556"/>
        <v>70162.7</v>
      </c>
      <c r="AR162" s="326">
        <f t="shared" si="729"/>
        <v>0</v>
      </c>
      <c r="AS162" s="326">
        <f t="shared" si="730"/>
        <v>70162.7</v>
      </c>
      <c r="AT162" s="941">
        <f t="shared" si="614"/>
        <v>247798.8</v>
      </c>
      <c r="AU162" s="326">
        <f t="shared" si="559"/>
        <v>0</v>
      </c>
      <c r="AV162" s="326">
        <f t="shared" si="731"/>
        <v>0</v>
      </c>
      <c r="AW162" s="326">
        <f t="shared" si="732"/>
        <v>0</v>
      </c>
      <c r="AX162" s="941">
        <f t="shared" si="770"/>
        <v>127956.03</v>
      </c>
      <c r="AY162" s="326">
        <f t="shared" si="562"/>
        <v>0</v>
      </c>
      <c r="AZ162" s="326">
        <f t="shared" si="733"/>
        <v>0</v>
      </c>
      <c r="BA162" s="326">
        <f t="shared" si="734"/>
        <v>0</v>
      </c>
      <c r="BB162" s="326">
        <f t="shared" si="565"/>
        <v>70162.7</v>
      </c>
      <c r="BC162" s="326">
        <f t="shared" si="566"/>
        <v>0</v>
      </c>
      <c r="BD162" s="326">
        <f t="shared" si="567"/>
        <v>70162.7</v>
      </c>
      <c r="BE162" s="326">
        <f t="shared" si="568"/>
        <v>1816227.32</v>
      </c>
      <c r="BF162" s="326">
        <f t="shared" ref="BF162:BG162" si="803">SUM(BC162,AL162)</f>
        <v>31942.1</v>
      </c>
      <c r="BG162" s="326">
        <f t="shared" si="803"/>
        <v>2560363.2900000005</v>
      </c>
      <c r="BH162" s="941">
        <f t="shared" si="772"/>
        <v>17000</v>
      </c>
      <c r="BI162" s="326">
        <f t="shared" si="570"/>
        <v>616274.36</v>
      </c>
      <c r="BJ162" s="326">
        <f t="shared" si="736"/>
        <v>0</v>
      </c>
      <c r="BK162" s="326">
        <f t="shared" si="737"/>
        <v>616274.36</v>
      </c>
      <c r="BL162" s="971">
        <f t="shared" si="773"/>
        <v>308599.38</v>
      </c>
      <c r="BM162" s="140">
        <f t="shared" si="573"/>
        <v>141131.89000000001</v>
      </c>
      <c r="BN162" s="326">
        <f t="shared" si="738"/>
        <v>0</v>
      </c>
      <c r="BO162" s="333">
        <f t="shared" si="739"/>
        <v>141131.89000000001</v>
      </c>
      <c r="BP162" s="123">
        <f t="shared" si="774"/>
        <v>647025.28</v>
      </c>
      <c r="BQ162" s="326">
        <f t="shared" si="576"/>
        <v>448141.72</v>
      </c>
      <c r="BR162" s="326">
        <f t="shared" si="740"/>
        <v>34173.5</v>
      </c>
      <c r="BS162" s="332">
        <f t="shared" si="741"/>
        <v>482315.22</v>
      </c>
      <c r="BT162" s="140">
        <f t="shared" ref="BT162:BV162" si="804">SUM(BQ162,BM162,BI162)</f>
        <v>1205547.97</v>
      </c>
      <c r="BU162" s="326">
        <f t="shared" si="804"/>
        <v>34173.5</v>
      </c>
      <c r="BV162" s="333">
        <f t="shared" si="804"/>
        <v>1239721.47</v>
      </c>
      <c r="BW162" s="939">
        <f t="shared" si="776"/>
        <v>1024321.36</v>
      </c>
      <c r="BX162" s="326">
        <f t="shared" si="580"/>
        <v>166452.95000000001</v>
      </c>
      <c r="BY162" s="326">
        <f t="shared" si="743"/>
        <v>0</v>
      </c>
      <c r="BZ162" s="333">
        <f t="shared" si="744"/>
        <v>166452.95000000001</v>
      </c>
      <c r="CA162" s="939">
        <f t="shared" si="777"/>
        <v>678596.8</v>
      </c>
      <c r="CB162" s="941">
        <f t="shared" si="778"/>
        <v>925082.33</v>
      </c>
    </row>
    <row r="163" spans="1:80" ht="13">
      <c r="A163" s="323" t="e">
        <f t="shared" si="715"/>
        <v>#N/A</v>
      </c>
      <c r="B163" s="324">
        <f>VLOOKUP(M163,VARGASCARTERA,2,FALSE)</f>
        <v>0</v>
      </c>
      <c r="C163" s="558" t="str">
        <f t="shared" si="716"/>
        <v/>
      </c>
      <c r="D163" s="558" t="str">
        <f t="shared" si="717"/>
        <v/>
      </c>
      <c r="E163" s="558" t="str">
        <f t="shared" si="718"/>
        <v/>
      </c>
      <c r="F163" s="798">
        <f t="shared" si="719"/>
        <v>0</v>
      </c>
      <c r="G163" s="558" t="str">
        <f t="shared" si="720"/>
        <v/>
      </c>
      <c r="H163" s="558" t="str">
        <f t="shared" si="721"/>
        <v/>
      </c>
      <c r="I163" s="558" t="str">
        <f t="shared" si="722"/>
        <v/>
      </c>
      <c r="J163" s="637" t="e">
        <f t="shared" si="723"/>
        <v>#N/A</v>
      </c>
      <c r="K163" s="558" t="str">
        <f t="shared" si="724"/>
        <v/>
      </c>
      <c r="L163" s="558" t="str">
        <f t="shared" si="725"/>
        <v/>
      </c>
      <c r="M163" s="977" t="s">
        <v>986</v>
      </c>
      <c r="N163" s="326">
        <f>IFERROR(VLOOKUP(M163,VARGAS24,3,FALSE),"")</f>
        <v>0</v>
      </c>
      <c r="O163" s="326">
        <f t="shared" si="801"/>
        <v>0</v>
      </c>
      <c r="P163" s="326" t="e">
        <f t="shared" si="599"/>
        <v>#VALUE!</v>
      </c>
      <c r="Q163" s="326" t="str">
        <f t="shared" si="600"/>
        <v/>
      </c>
      <c r="R163" s="326">
        <f t="shared" si="601"/>
        <v>44065</v>
      </c>
      <c r="S163" s="326">
        <f t="shared" si="602"/>
        <v>44065</v>
      </c>
      <c r="T163" s="137" t="str">
        <f t="shared" si="603"/>
        <v/>
      </c>
      <c r="U163" s="326">
        <f t="shared" si="604"/>
        <v>201675.73</v>
      </c>
      <c r="V163" s="326">
        <f t="shared" si="749"/>
        <v>365179.28620425001</v>
      </c>
      <c r="W163" s="326" t="e">
        <f t="shared" si="606"/>
        <v>#VALUE!</v>
      </c>
      <c r="X163" s="326" t="str">
        <f t="shared" si="607"/>
        <v/>
      </c>
      <c r="Y163" s="326">
        <f t="shared" si="608"/>
        <v>0</v>
      </c>
      <c r="Z163" s="326">
        <f t="shared" si="609"/>
        <v>-365179.28620425001</v>
      </c>
      <c r="AA163" s="137">
        <f t="shared" si="791"/>
        <v>0</v>
      </c>
      <c r="AB163" s="326">
        <f t="shared" si="611"/>
        <v>0</v>
      </c>
      <c r="AC163" s="326">
        <f t="shared" si="750"/>
        <v>0</v>
      </c>
      <c r="AD163" s="326" t="e">
        <f t="shared" si="545"/>
        <v>#VALUE!</v>
      </c>
      <c r="AE163" s="326" t="str">
        <f t="shared" si="726"/>
        <v/>
      </c>
      <c r="AF163" s="326">
        <f t="shared" si="727"/>
        <v>0</v>
      </c>
      <c r="AG163" s="326">
        <f t="shared" si="548"/>
        <v>0</v>
      </c>
      <c r="AH163" s="137" t="str">
        <f t="shared" si="667"/>
        <v/>
      </c>
      <c r="AI163" s="969">
        <f t="shared" si="550"/>
        <v>365179.28620425001</v>
      </c>
      <c r="AJ163" s="326" t="str">
        <f t="shared" si="668"/>
        <v/>
      </c>
      <c r="AK163" s="326" t="e">
        <f t="shared" ref="AK163:AL163" si="805">SUM(AD163,W163,P163)</f>
        <v>#VALUE!</v>
      </c>
      <c r="AL163" s="326">
        <f t="shared" si="805"/>
        <v>0</v>
      </c>
      <c r="AM163" s="326">
        <f t="shared" si="553"/>
        <v>44065</v>
      </c>
      <c r="AN163" s="326" t="e">
        <f t="shared" si="661"/>
        <v>#VALUE!</v>
      </c>
      <c r="AO163" s="970" t="str">
        <f t="shared" si="670"/>
        <v/>
      </c>
      <c r="AP163" s="941">
        <f t="shared" si="613"/>
        <v>0</v>
      </c>
      <c r="AQ163" s="326" t="e">
        <f t="shared" si="556"/>
        <v>#VALUE!</v>
      </c>
      <c r="AR163" s="326" t="str">
        <f t="shared" si="729"/>
        <v/>
      </c>
      <c r="AS163" s="326">
        <f t="shared" si="730"/>
        <v>0</v>
      </c>
      <c r="AT163" s="941">
        <f t="shared" si="614"/>
        <v>0</v>
      </c>
      <c r="AU163" s="326" t="e">
        <f t="shared" si="559"/>
        <v>#VALUE!</v>
      </c>
      <c r="AV163" s="326" t="str">
        <f t="shared" si="731"/>
        <v/>
      </c>
      <c r="AW163" s="326">
        <f t="shared" si="732"/>
        <v>0</v>
      </c>
      <c r="AX163" s="941">
        <f t="shared" si="770"/>
        <v>0</v>
      </c>
      <c r="AY163" s="326" t="e">
        <f t="shared" si="562"/>
        <v>#VALUE!</v>
      </c>
      <c r="AZ163" s="326" t="str">
        <f t="shared" si="733"/>
        <v/>
      </c>
      <c r="BA163" s="326">
        <f t="shared" si="734"/>
        <v>0</v>
      </c>
      <c r="BB163" s="326" t="e">
        <f t="shared" si="565"/>
        <v>#VALUE!</v>
      </c>
      <c r="BC163" s="326" t="e">
        <f t="shared" si="566"/>
        <v>#VALUE!</v>
      </c>
      <c r="BD163" s="326">
        <f t="shared" si="567"/>
        <v>0</v>
      </c>
      <c r="BE163" s="326" t="e">
        <f t="shared" si="568"/>
        <v>#VALUE!</v>
      </c>
      <c r="BF163" s="326" t="e">
        <f t="shared" ref="BF163:BG163" si="806">SUM(BC163,AL163)</f>
        <v>#VALUE!</v>
      </c>
      <c r="BG163" s="326">
        <f t="shared" si="806"/>
        <v>44065</v>
      </c>
      <c r="BH163" s="941">
        <f t="shared" si="772"/>
        <v>0</v>
      </c>
      <c r="BI163" s="326" t="e">
        <f t="shared" si="570"/>
        <v>#VALUE!</v>
      </c>
      <c r="BJ163" s="326" t="str">
        <f t="shared" si="736"/>
        <v/>
      </c>
      <c r="BK163" s="326">
        <f t="shared" si="737"/>
        <v>0</v>
      </c>
      <c r="BL163" s="971">
        <f t="shared" si="773"/>
        <v>123416.17</v>
      </c>
      <c r="BM163" s="140" t="e">
        <f t="shared" si="573"/>
        <v>#VALUE!</v>
      </c>
      <c r="BN163" s="326" t="str">
        <f t="shared" si="738"/>
        <v/>
      </c>
      <c r="BO163" s="333">
        <f t="shared" si="739"/>
        <v>0</v>
      </c>
      <c r="BP163" s="123">
        <f t="shared" si="774"/>
        <v>289630.2</v>
      </c>
      <c r="BQ163" s="326" t="e">
        <f t="shared" si="576"/>
        <v>#VALUE!</v>
      </c>
      <c r="BR163" s="326" t="str">
        <f t="shared" si="740"/>
        <v/>
      </c>
      <c r="BS163" s="332">
        <f t="shared" si="741"/>
        <v>0</v>
      </c>
      <c r="BT163" s="140" t="e">
        <f t="shared" ref="BT163:BV163" si="807">SUM(BQ163,BM163,BI163)</f>
        <v>#VALUE!</v>
      </c>
      <c r="BU163" s="326">
        <f t="shared" si="807"/>
        <v>0</v>
      </c>
      <c r="BV163" s="333">
        <f t="shared" si="807"/>
        <v>0</v>
      </c>
      <c r="BW163" s="939">
        <f t="shared" si="776"/>
        <v>0</v>
      </c>
      <c r="BX163" s="326" t="e">
        <f t="shared" si="580"/>
        <v>#VALUE!</v>
      </c>
      <c r="BY163" s="326" t="str">
        <f t="shared" si="743"/>
        <v/>
      </c>
      <c r="BZ163" s="333">
        <f t="shared" si="744"/>
        <v>0</v>
      </c>
      <c r="CA163" s="939">
        <f t="shared" si="777"/>
        <v>0</v>
      </c>
      <c r="CB163" s="941">
        <f t="shared" si="778"/>
        <v>0</v>
      </c>
    </row>
    <row r="164" spans="1:80" ht="13">
      <c r="A164" s="336"/>
      <c r="B164" s="337"/>
      <c r="C164" s="801"/>
      <c r="D164" s="801"/>
      <c r="E164" s="801"/>
      <c r="F164" s="802"/>
      <c r="G164" s="801"/>
      <c r="H164" s="801"/>
      <c r="I164" s="801"/>
      <c r="J164" s="644"/>
      <c r="K164" s="801"/>
      <c r="L164" s="801"/>
      <c r="M164" s="339"/>
      <c r="N164" s="340"/>
      <c r="O164" s="340"/>
      <c r="P164" s="340"/>
      <c r="Q164" s="340"/>
      <c r="R164" s="340"/>
      <c r="S164" s="340"/>
      <c r="T164" s="338"/>
      <c r="U164" s="340"/>
      <c r="V164" s="340"/>
      <c r="W164" s="340"/>
      <c r="X164" s="340"/>
      <c r="Y164" s="340"/>
      <c r="Z164" s="340"/>
      <c r="AA164" s="338"/>
      <c r="AB164" s="340"/>
      <c r="AC164" s="340"/>
      <c r="AD164" s="340"/>
      <c r="AE164" s="340"/>
      <c r="AF164" s="340"/>
      <c r="AG164" s="340"/>
      <c r="AH164" s="338"/>
      <c r="AI164" s="992"/>
      <c r="AJ164" s="340"/>
      <c r="AK164" s="340"/>
      <c r="AL164" s="340"/>
      <c r="AM164" s="340"/>
      <c r="AN164" s="340"/>
      <c r="AO164" s="993"/>
      <c r="AP164" s="994"/>
      <c r="AQ164" s="340"/>
      <c r="AR164" s="340"/>
      <c r="AS164" s="340"/>
      <c r="AT164" s="994"/>
      <c r="AU164" s="340"/>
      <c r="AV164" s="340"/>
      <c r="AW164" s="340"/>
      <c r="AX164" s="994"/>
      <c r="AY164" s="994"/>
      <c r="AZ164" s="994"/>
      <c r="BA164" s="994"/>
      <c r="BB164" s="994"/>
      <c r="BC164" s="994"/>
      <c r="BD164" s="994"/>
      <c r="BE164" s="994"/>
      <c r="BF164" s="994"/>
      <c r="BG164" s="994"/>
      <c r="BH164" s="994"/>
      <c r="BI164" s="994"/>
      <c r="BJ164" s="994"/>
      <c r="BK164" s="994"/>
      <c r="BL164" s="995"/>
      <c r="BM164" s="996"/>
      <c r="BN164" s="994"/>
      <c r="BO164" s="997"/>
      <c r="BP164" s="998"/>
      <c r="BQ164" s="994"/>
      <c r="BR164" s="994"/>
      <c r="BS164" s="995"/>
      <c r="BT164" s="996"/>
      <c r="BU164" s="994"/>
      <c r="BV164" s="997"/>
      <c r="BW164" s="998"/>
      <c r="BX164" s="994"/>
      <c r="BY164" s="994"/>
      <c r="BZ164" s="997"/>
      <c r="CA164" s="939"/>
      <c r="CB164" s="941"/>
    </row>
    <row r="165" spans="1:80" ht="13">
      <c r="B165" s="294"/>
      <c r="C165" s="294"/>
      <c r="D165" s="294"/>
      <c r="E165" s="294"/>
      <c r="F165" s="171"/>
      <c r="G165" s="294"/>
      <c r="H165" s="294"/>
      <c r="I165" s="294"/>
      <c r="J165" s="294"/>
      <c r="K165" s="294"/>
      <c r="L165" s="294"/>
      <c r="T165" s="295"/>
      <c r="AA165" s="295"/>
      <c r="AH165" s="295"/>
      <c r="AI165" s="188"/>
      <c r="AJ165" s="188"/>
      <c r="AK165" s="188"/>
      <c r="AL165" s="188"/>
      <c r="AM165" s="188"/>
      <c r="AN165" s="188"/>
      <c r="AO165" s="299"/>
      <c r="AQ165" s="296"/>
      <c r="AR165" s="296"/>
      <c r="AS165" s="296"/>
      <c r="AU165" s="296"/>
      <c r="AV165" s="296"/>
      <c r="AW165" s="296"/>
    </row>
    <row r="166" spans="1:80" ht="13">
      <c r="B166" s="294"/>
      <c r="C166" s="294"/>
      <c r="D166" s="294"/>
      <c r="E166" s="294"/>
      <c r="F166" s="171"/>
      <c r="G166" s="294"/>
      <c r="H166" s="294"/>
      <c r="I166" s="294"/>
      <c r="J166" s="294"/>
      <c r="K166" s="294"/>
      <c r="L166" s="294"/>
      <c r="T166" s="295"/>
      <c r="AA166" s="295"/>
      <c r="AH166" s="295"/>
      <c r="AI166" s="188"/>
      <c r="AJ166" s="188"/>
      <c r="AK166" s="188"/>
      <c r="AL166" s="188"/>
      <c r="AM166" s="188"/>
      <c r="AN166" s="188"/>
      <c r="AO166" s="299"/>
      <c r="AQ166" s="296"/>
      <c r="AR166" s="296"/>
      <c r="AS166" s="296"/>
      <c r="AU166" s="296"/>
      <c r="AV166" s="296"/>
      <c r="AW166" s="296"/>
    </row>
    <row r="167" spans="1:80" ht="13">
      <c r="B167" s="294"/>
      <c r="C167" s="294"/>
      <c r="D167" s="294"/>
      <c r="E167" s="294"/>
      <c r="F167" s="171"/>
      <c r="G167" s="294"/>
      <c r="H167" s="294"/>
      <c r="I167" s="294"/>
      <c r="J167" s="294"/>
      <c r="K167" s="294"/>
      <c r="L167" s="294"/>
      <c r="T167" s="295"/>
      <c r="AA167" s="295"/>
      <c r="AH167" s="295"/>
      <c r="AI167" s="188"/>
      <c r="AJ167" s="188"/>
      <c r="AK167" s="188"/>
      <c r="AL167" s="188"/>
      <c r="AM167" s="188"/>
      <c r="AN167" s="188"/>
      <c r="AO167" s="299"/>
      <c r="AQ167" s="296"/>
      <c r="AR167" s="296"/>
      <c r="AS167" s="296"/>
      <c r="AU167" s="296"/>
      <c r="AV167" s="296"/>
      <c r="AW167" s="296"/>
    </row>
    <row r="168" spans="1:80" ht="13">
      <c r="B168" s="294"/>
      <c r="C168" s="294"/>
      <c r="D168" s="294"/>
      <c r="E168" s="294"/>
      <c r="F168" s="171"/>
      <c r="G168" s="294"/>
      <c r="H168" s="294"/>
      <c r="I168" s="294"/>
      <c r="J168" s="294"/>
      <c r="K168" s="294"/>
      <c r="L168" s="294"/>
      <c r="T168" s="295"/>
      <c r="AA168" s="295"/>
      <c r="AH168" s="295"/>
      <c r="AI168" s="188"/>
      <c r="AJ168" s="188"/>
      <c r="AK168" s="188"/>
      <c r="AL168" s="188"/>
      <c r="AM168" s="188"/>
      <c r="AN168" s="188"/>
      <c r="AO168" s="299"/>
      <c r="AQ168" s="296"/>
      <c r="AR168" s="296"/>
      <c r="AS168" s="296"/>
      <c r="AU168" s="296"/>
      <c r="AV168" s="296"/>
      <c r="AW168" s="296"/>
    </row>
    <row r="169" spans="1:80" ht="13">
      <c r="B169" s="294"/>
      <c r="C169" s="294"/>
      <c r="D169" s="294"/>
      <c r="E169" s="294"/>
      <c r="F169" s="171"/>
      <c r="G169" s="294"/>
      <c r="H169" s="294"/>
      <c r="I169" s="294"/>
      <c r="J169" s="294"/>
      <c r="K169" s="294"/>
      <c r="L169" s="294"/>
      <c r="T169" s="295"/>
      <c r="AA169" s="295"/>
      <c r="AH169" s="295"/>
      <c r="AI169" s="188"/>
      <c r="AJ169" s="188"/>
      <c r="AK169" s="188"/>
      <c r="AL169" s="188"/>
      <c r="AM169" s="188"/>
      <c r="AN169" s="188"/>
      <c r="AO169" s="299"/>
      <c r="AQ169" s="296"/>
      <c r="AR169" s="296"/>
      <c r="AS169" s="296"/>
      <c r="AU169" s="296"/>
      <c r="AV169" s="296"/>
      <c r="AW169" s="296"/>
    </row>
    <row r="170" spans="1:80" ht="13">
      <c r="B170" s="294"/>
      <c r="C170" s="294"/>
      <c r="D170" s="294"/>
      <c r="E170" s="294"/>
      <c r="F170" s="171"/>
      <c r="G170" s="294"/>
      <c r="H170" s="294"/>
      <c r="I170" s="294"/>
      <c r="J170" s="294"/>
      <c r="K170" s="294"/>
      <c r="L170" s="294"/>
      <c r="T170" s="295"/>
      <c r="AA170" s="295"/>
      <c r="AH170" s="295"/>
      <c r="AI170" s="188"/>
      <c r="AJ170" s="188"/>
      <c r="AK170" s="188"/>
      <c r="AL170" s="188"/>
      <c r="AM170" s="188"/>
      <c r="AN170" s="188"/>
      <c r="AO170" s="299"/>
      <c r="AQ170" s="296"/>
      <c r="AR170" s="296"/>
      <c r="AS170" s="296"/>
      <c r="AU170" s="296"/>
      <c r="AV170" s="296"/>
      <c r="AW170" s="296"/>
    </row>
    <row r="171" spans="1:80" ht="13">
      <c r="B171" s="294"/>
      <c r="C171" s="294"/>
      <c r="D171" s="294"/>
      <c r="E171" s="294"/>
      <c r="F171" s="171"/>
      <c r="G171" s="294"/>
      <c r="H171" s="294"/>
      <c r="I171" s="294"/>
      <c r="J171" s="294"/>
      <c r="K171" s="294"/>
      <c r="L171" s="294"/>
      <c r="T171" s="295"/>
      <c r="AA171" s="295"/>
      <c r="AH171" s="295"/>
      <c r="AI171" s="188"/>
      <c r="AJ171" s="188"/>
      <c r="AK171" s="188"/>
      <c r="AL171" s="188"/>
      <c r="AM171" s="188"/>
      <c r="AN171" s="188"/>
      <c r="AO171" s="299"/>
      <c r="AQ171" s="296"/>
      <c r="AR171" s="296"/>
      <c r="AS171" s="296"/>
      <c r="AU171" s="296"/>
      <c r="AV171" s="296"/>
      <c r="AW171" s="296"/>
    </row>
    <row r="172" spans="1:80" ht="13">
      <c r="B172" s="294"/>
      <c r="C172" s="294"/>
      <c r="D172" s="294"/>
      <c r="E172" s="294"/>
      <c r="F172" s="171"/>
      <c r="G172" s="294"/>
      <c r="H172" s="294"/>
      <c r="I172" s="294"/>
      <c r="J172" s="294"/>
      <c r="K172" s="294"/>
      <c r="L172" s="294"/>
      <c r="T172" s="295"/>
      <c r="AA172" s="295"/>
      <c r="AH172" s="295"/>
      <c r="AI172" s="188"/>
      <c r="AJ172" s="188"/>
      <c r="AK172" s="188"/>
      <c r="AL172" s="188"/>
      <c r="AM172" s="188"/>
      <c r="AN172" s="188"/>
      <c r="AO172" s="299"/>
      <c r="AQ172" s="296"/>
      <c r="AR172" s="296"/>
      <c r="AS172" s="296"/>
      <c r="AU172" s="296"/>
      <c r="AV172" s="296"/>
      <c r="AW172" s="296"/>
    </row>
    <row r="173" spans="1:80" ht="13">
      <c r="B173" s="294"/>
      <c r="C173" s="294"/>
      <c r="D173" s="294"/>
      <c r="E173" s="294"/>
      <c r="F173" s="171"/>
      <c r="G173" s="294"/>
      <c r="H173" s="294"/>
      <c r="I173" s="294"/>
      <c r="J173" s="294"/>
      <c r="K173" s="294"/>
      <c r="L173" s="294"/>
      <c r="T173" s="295"/>
      <c r="AA173" s="295"/>
      <c r="AH173" s="295"/>
      <c r="AI173" s="188"/>
      <c r="AJ173" s="188"/>
      <c r="AK173" s="188"/>
      <c r="AL173" s="188"/>
      <c r="AM173" s="188"/>
      <c r="AN173" s="188"/>
      <c r="AO173" s="299"/>
      <c r="AQ173" s="296"/>
      <c r="AR173" s="296"/>
      <c r="AS173" s="296"/>
      <c r="AU173" s="296"/>
      <c r="AV173" s="296"/>
      <c r="AW173" s="296"/>
    </row>
    <row r="174" spans="1:80" ht="13">
      <c r="B174" s="294"/>
      <c r="C174" s="294"/>
      <c r="D174" s="294"/>
      <c r="E174" s="294"/>
      <c r="F174" s="171"/>
      <c r="G174" s="294"/>
      <c r="H174" s="294"/>
      <c r="I174" s="294"/>
      <c r="J174" s="294"/>
      <c r="K174" s="294"/>
      <c r="L174" s="294"/>
      <c r="T174" s="295"/>
      <c r="AA174" s="295"/>
      <c r="AH174" s="295"/>
      <c r="AI174" s="188"/>
      <c r="AJ174" s="188"/>
      <c r="AK174" s="188"/>
      <c r="AL174" s="188"/>
      <c r="AM174" s="188"/>
      <c r="AN174" s="188"/>
      <c r="AO174" s="299"/>
      <c r="AQ174" s="296"/>
      <c r="AR174" s="296"/>
      <c r="AS174" s="296"/>
      <c r="AU174" s="296"/>
      <c r="AV174" s="296"/>
      <c r="AW174" s="296"/>
    </row>
    <row r="175" spans="1:80" ht="13">
      <c r="B175" s="294"/>
      <c r="C175" s="294"/>
      <c r="D175" s="294"/>
      <c r="E175" s="294"/>
      <c r="F175" s="171"/>
      <c r="G175" s="294"/>
      <c r="H175" s="294"/>
      <c r="I175" s="294"/>
      <c r="J175" s="294"/>
      <c r="K175" s="294"/>
      <c r="L175" s="294"/>
      <c r="T175" s="295"/>
      <c r="AA175" s="295"/>
      <c r="AH175" s="295"/>
      <c r="AI175" s="188"/>
      <c r="AJ175" s="188"/>
      <c r="AK175" s="188"/>
      <c r="AL175" s="188"/>
      <c r="AM175" s="188"/>
      <c r="AN175" s="188"/>
      <c r="AO175" s="299"/>
      <c r="AQ175" s="296"/>
      <c r="AR175" s="296"/>
      <c r="AS175" s="296"/>
      <c r="AU175" s="296"/>
      <c r="AV175" s="296"/>
      <c r="AW175" s="296"/>
    </row>
    <row r="176" spans="1:80" ht="13">
      <c r="B176" s="294"/>
      <c r="C176" s="294"/>
      <c r="D176" s="294"/>
      <c r="E176" s="294"/>
      <c r="F176" s="171"/>
      <c r="G176" s="294"/>
      <c r="H176" s="294"/>
      <c r="I176" s="294"/>
      <c r="J176" s="294"/>
      <c r="K176" s="294"/>
      <c r="L176" s="294"/>
      <c r="T176" s="295"/>
      <c r="AA176" s="295"/>
      <c r="AH176" s="295"/>
      <c r="AI176" s="188"/>
      <c r="AJ176" s="188"/>
      <c r="AK176" s="188"/>
      <c r="AL176" s="188"/>
      <c r="AM176" s="188"/>
      <c r="AN176" s="188"/>
      <c r="AO176" s="299"/>
      <c r="AQ176" s="296"/>
      <c r="AR176" s="296"/>
      <c r="AS176" s="296"/>
      <c r="AU176" s="296"/>
      <c r="AV176" s="296"/>
      <c r="AW176" s="296"/>
    </row>
    <row r="177" spans="2:116" ht="13">
      <c r="B177" s="294"/>
      <c r="C177" s="294"/>
      <c r="D177" s="294"/>
      <c r="E177" s="294"/>
      <c r="F177" s="171"/>
      <c r="G177" s="294"/>
      <c r="H177" s="294"/>
      <c r="I177" s="294"/>
      <c r="J177" s="294"/>
      <c r="K177" s="294"/>
      <c r="L177" s="294"/>
      <c r="T177" s="295"/>
      <c r="AA177" s="295"/>
      <c r="AH177" s="295"/>
      <c r="AI177" s="188"/>
      <c r="AJ177" s="188"/>
      <c r="AK177" s="188"/>
      <c r="AL177" s="188"/>
      <c r="AM177" s="188"/>
      <c r="AN177" s="188"/>
      <c r="AO177" s="299"/>
      <c r="AQ177" s="296"/>
      <c r="AR177" s="296"/>
      <c r="AS177" s="296"/>
      <c r="AU177" s="296"/>
      <c r="AV177" s="296"/>
      <c r="AW177" s="296"/>
    </row>
    <row r="178" spans="2:116" ht="13">
      <c r="B178" s="294"/>
      <c r="C178" s="294"/>
      <c r="D178" s="294"/>
      <c r="E178" s="294"/>
      <c r="F178" s="171"/>
      <c r="G178" s="294"/>
      <c r="H178" s="294"/>
      <c r="I178" s="294"/>
      <c r="J178" s="294"/>
      <c r="K178" s="294"/>
      <c r="L178" s="294"/>
      <c r="T178" s="295"/>
      <c r="AA178" s="295"/>
      <c r="AH178" s="295"/>
      <c r="AI178" s="188"/>
      <c r="AJ178" s="188"/>
      <c r="AK178" s="188"/>
      <c r="AL178" s="188"/>
      <c r="AM178" s="188"/>
      <c r="AN178" s="188"/>
      <c r="AO178" s="299"/>
      <c r="AQ178" s="296"/>
      <c r="AR178" s="296"/>
      <c r="AS178" s="296"/>
      <c r="AU178" s="296"/>
      <c r="AV178" s="296"/>
      <c r="AW178" s="296"/>
    </row>
    <row r="179" spans="2:116" ht="13">
      <c r="B179" s="294"/>
      <c r="C179" s="294"/>
      <c r="D179" s="294"/>
      <c r="E179" s="294"/>
      <c r="F179" s="171"/>
      <c r="G179" s="294"/>
      <c r="H179" s="294"/>
      <c r="I179" s="294"/>
      <c r="J179" s="294"/>
      <c r="K179" s="294"/>
      <c r="L179" s="294"/>
      <c r="T179" s="295"/>
      <c r="AA179" s="295"/>
      <c r="AH179" s="295"/>
      <c r="AI179" s="188"/>
      <c r="AJ179" s="188"/>
      <c r="AK179" s="188"/>
      <c r="AL179" s="188"/>
      <c r="AM179" s="188"/>
      <c r="AN179" s="188"/>
      <c r="AO179" s="299"/>
      <c r="AQ179" s="296"/>
      <c r="AR179" s="296"/>
      <c r="AS179" s="296"/>
      <c r="AU179" s="296"/>
      <c r="AV179" s="296"/>
      <c r="AW179" s="296"/>
    </row>
    <row r="180" spans="2:116" ht="13">
      <c r="B180" s="294"/>
      <c r="C180" s="294"/>
      <c r="D180" s="294"/>
      <c r="E180" s="294"/>
      <c r="F180" s="171"/>
      <c r="G180" s="294"/>
      <c r="H180" s="294"/>
      <c r="I180" s="294"/>
      <c r="J180" s="294"/>
      <c r="K180" s="294"/>
      <c r="L180" s="294"/>
      <c r="T180" s="295"/>
      <c r="AA180" s="295"/>
      <c r="AH180" s="295"/>
      <c r="AI180" s="188"/>
      <c r="AJ180" s="188"/>
      <c r="AK180" s="188"/>
      <c r="AL180" s="188"/>
      <c r="AM180" s="188"/>
      <c r="AN180" s="188"/>
      <c r="AO180" s="299"/>
      <c r="AQ180" s="296"/>
      <c r="AR180" s="296"/>
      <c r="AS180" s="296"/>
      <c r="AU180" s="296"/>
      <c r="AV180" s="296"/>
      <c r="AW180" s="296"/>
    </row>
    <row r="181" spans="2:116" ht="13">
      <c r="B181" s="294"/>
      <c r="C181" s="294"/>
      <c r="D181" s="294"/>
      <c r="E181" s="294"/>
      <c r="F181" s="171"/>
      <c r="G181" s="294"/>
      <c r="H181" s="294"/>
      <c r="I181" s="294"/>
      <c r="J181" s="294"/>
      <c r="K181" s="294"/>
      <c r="L181" s="294"/>
      <c r="T181" s="295"/>
      <c r="AA181" s="295"/>
      <c r="AH181" s="295"/>
      <c r="AI181" s="188"/>
      <c r="AJ181" s="188"/>
      <c r="AK181" s="188"/>
      <c r="AL181" s="188"/>
      <c r="AM181" s="188"/>
      <c r="AN181" s="188"/>
      <c r="AO181" s="299"/>
      <c r="AQ181" s="296"/>
      <c r="AR181" s="296"/>
      <c r="AS181" s="296"/>
      <c r="AU181" s="296"/>
      <c r="AV181" s="296"/>
      <c r="AW181" s="296"/>
    </row>
    <row r="182" spans="2:116" ht="13">
      <c r="B182" s="294"/>
      <c r="C182" s="294"/>
      <c r="D182" s="294"/>
      <c r="E182" s="294"/>
      <c r="F182" s="171"/>
      <c r="G182" s="294"/>
      <c r="H182" s="294"/>
      <c r="I182" s="294"/>
      <c r="J182" s="294"/>
      <c r="K182" s="294"/>
      <c r="L182" s="294"/>
      <c r="T182" s="295"/>
      <c r="AA182" s="295"/>
      <c r="AH182" s="295"/>
      <c r="AI182" s="188"/>
      <c r="AJ182" s="188"/>
      <c r="AK182" s="188"/>
      <c r="AL182" s="188"/>
      <c r="AM182" s="188"/>
      <c r="AN182" s="188"/>
      <c r="AO182" s="299"/>
      <c r="AQ182" s="296"/>
      <c r="AR182" s="296"/>
      <c r="AS182" s="296"/>
      <c r="AU182" s="296"/>
      <c r="AV182" s="296"/>
      <c r="AW182" s="296"/>
    </row>
    <row r="183" spans="2:116" ht="13">
      <c r="B183" s="294"/>
      <c r="C183" s="294"/>
      <c r="D183" s="294"/>
      <c r="E183" s="294"/>
      <c r="F183" s="171"/>
      <c r="G183" s="294"/>
      <c r="H183" s="294"/>
      <c r="I183" s="294"/>
      <c r="J183" s="294"/>
      <c r="K183" s="294"/>
      <c r="L183" s="294"/>
      <c r="T183" s="295"/>
      <c r="AA183" s="295"/>
      <c r="AH183" s="295"/>
      <c r="AI183" s="188"/>
      <c r="AJ183" s="188"/>
      <c r="AK183" s="188"/>
      <c r="AL183" s="188"/>
      <c r="AM183" s="188"/>
      <c r="AN183" s="188"/>
      <c r="AO183" s="299"/>
      <c r="AQ183" s="296"/>
      <c r="AR183" s="296"/>
      <c r="AS183" s="296"/>
      <c r="AU183" s="296"/>
      <c r="AV183" s="296"/>
      <c r="AW183" s="296"/>
    </row>
    <row r="184" spans="2:116" ht="13">
      <c r="B184" s="294"/>
      <c r="C184" s="294"/>
      <c r="D184" s="294"/>
      <c r="E184" s="294"/>
      <c r="F184" s="171"/>
      <c r="G184" s="294"/>
      <c r="H184" s="294"/>
      <c r="I184" s="294"/>
      <c r="J184" s="294"/>
      <c r="K184" s="294"/>
      <c r="L184" s="294"/>
      <c r="T184" s="295"/>
      <c r="AA184" s="295"/>
      <c r="AH184" s="295"/>
      <c r="AI184" s="188"/>
      <c r="AJ184" s="188"/>
      <c r="AK184" s="188"/>
      <c r="AL184" s="188"/>
      <c r="AM184" s="188"/>
      <c r="AN184" s="188"/>
      <c r="AO184" s="299"/>
      <c r="AQ184" s="296"/>
      <c r="AR184" s="296"/>
      <c r="AS184" s="296"/>
      <c r="AU184" s="296"/>
      <c r="AV184" s="296"/>
      <c r="AW184" s="296"/>
      <c r="CW184" s="302">
        <v>112014063</v>
      </c>
      <c r="CX184" s="302" t="s">
        <v>987</v>
      </c>
    </row>
    <row r="185" spans="2:116" ht="13">
      <c r="B185" s="294"/>
      <c r="C185" s="294"/>
      <c r="D185" s="294"/>
      <c r="E185" s="294"/>
      <c r="F185" s="171"/>
      <c r="G185" s="294"/>
      <c r="H185" s="294"/>
      <c r="I185" s="294"/>
      <c r="J185" s="294"/>
      <c r="K185" s="294"/>
      <c r="L185" s="294"/>
      <c r="T185" s="295"/>
      <c r="AA185" s="295"/>
      <c r="AH185" s="295"/>
      <c r="AI185" s="188"/>
      <c r="AJ185" s="188"/>
      <c r="AK185" s="188"/>
      <c r="AL185" s="188"/>
      <c r="AM185" s="188"/>
      <c r="AN185" s="188"/>
      <c r="AO185" s="299"/>
      <c r="AQ185" s="296"/>
      <c r="AR185" s="296"/>
      <c r="AS185" s="296"/>
      <c r="AU185" s="296"/>
      <c r="AV185" s="296"/>
      <c r="AW185" s="296"/>
    </row>
    <row r="186" spans="2:116" ht="13">
      <c r="B186" s="294"/>
      <c r="C186" s="294"/>
      <c r="D186" s="294"/>
      <c r="E186" s="294"/>
      <c r="F186" s="171"/>
      <c r="G186" s="294"/>
      <c r="H186" s="294"/>
      <c r="I186" s="294"/>
      <c r="J186" s="294"/>
      <c r="K186" s="294"/>
      <c r="L186" s="294"/>
      <c r="T186" s="295"/>
      <c r="AA186" s="295"/>
      <c r="AH186" s="295"/>
      <c r="AI186" s="188"/>
      <c r="AJ186" s="188"/>
      <c r="AK186" s="188"/>
      <c r="AL186" s="188"/>
      <c r="AM186" s="188"/>
      <c r="AN186" s="188"/>
      <c r="AO186" s="299"/>
      <c r="AQ186" s="296"/>
      <c r="AR186" s="296"/>
      <c r="AS186" s="296"/>
      <c r="AU186" s="296"/>
      <c r="AV186" s="296"/>
      <c r="AW186" s="296"/>
      <c r="CY186" s="352">
        <f>CY190-R66</f>
        <v>-5.9999972581863403E-2</v>
      </c>
      <c r="CZ186" s="352">
        <f>CZ190-Y66</f>
        <v>0</v>
      </c>
      <c r="DA186" s="352">
        <f>DA190-AF66</f>
        <v>1.9999995827674866E-2</v>
      </c>
      <c r="DB186" s="352">
        <f>DB190-AS66</f>
        <v>-2.000001072883606E-2</v>
      </c>
      <c r="DC186" s="352">
        <f>DC190-AW66</f>
        <v>-4.9999967217445374E-2</v>
      </c>
      <c r="DD186" s="352">
        <f>DD190-BA66</f>
        <v>0</v>
      </c>
      <c r="DE186" s="352">
        <f>DE190-BK66</f>
        <v>2.0000025629997253E-2</v>
      </c>
      <c r="DF186" s="352">
        <f>DF190-BO66</f>
        <v>-3.999994695186615E-2</v>
      </c>
      <c r="DG186" s="352">
        <f>DG190-BS66</f>
        <v>1.000000536441803E-2</v>
      </c>
    </row>
    <row r="187" spans="2:116" ht="13">
      <c r="B187" s="294"/>
      <c r="C187" s="294"/>
      <c r="D187" s="294"/>
      <c r="E187" s="294"/>
      <c r="F187" s="171"/>
      <c r="G187" s="294"/>
      <c r="H187" s="294"/>
      <c r="I187" s="294"/>
      <c r="J187" s="294"/>
      <c r="K187" s="294"/>
      <c r="L187" s="294"/>
      <c r="T187" s="295"/>
      <c r="AA187" s="295"/>
      <c r="AH187" s="295"/>
      <c r="AI187" s="188"/>
      <c r="AJ187" s="188"/>
      <c r="AK187" s="188"/>
      <c r="AL187" s="188"/>
      <c r="AM187" s="188"/>
      <c r="AN187" s="188"/>
      <c r="AO187" s="299"/>
      <c r="AQ187" s="296"/>
      <c r="AR187" s="296"/>
      <c r="AS187" s="296"/>
      <c r="AU187" s="296"/>
      <c r="AV187" s="296"/>
      <c r="AW187" s="296"/>
      <c r="CV187" s="509">
        <v>0</v>
      </c>
      <c r="CW187" s="999">
        <v>1</v>
      </c>
      <c r="CX187" s="354">
        <v>2</v>
      </c>
      <c r="CY187" s="354">
        <v>3</v>
      </c>
      <c r="CZ187" s="354">
        <v>4</v>
      </c>
      <c r="DA187" s="354">
        <v>5</v>
      </c>
      <c r="DB187" s="354">
        <v>6</v>
      </c>
      <c r="DC187" s="354">
        <v>7</v>
      </c>
      <c r="DD187" s="354">
        <v>8</v>
      </c>
      <c r="DE187" s="354">
        <v>9</v>
      </c>
      <c r="DF187" s="354">
        <v>10</v>
      </c>
      <c r="DG187" s="354">
        <v>11</v>
      </c>
      <c r="DH187" s="354">
        <v>12</v>
      </c>
      <c r="DI187" s="354">
        <v>13</v>
      </c>
      <c r="DJ187" s="354">
        <v>14</v>
      </c>
      <c r="DK187" s="354">
        <v>15</v>
      </c>
      <c r="DL187" s="355">
        <v>16</v>
      </c>
    </row>
    <row r="188" spans="2:116" ht="13">
      <c r="B188" s="294"/>
      <c r="C188" s="294"/>
      <c r="D188" s="294"/>
      <c r="E188" s="294"/>
      <c r="F188" s="171"/>
      <c r="G188" s="294"/>
      <c r="H188" s="294"/>
      <c r="I188" s="294"/>
      <c r="J188" s="294"/>
      <c r="K188" s="294"/>
      <c r="L188" s="294"/>
      <c r="T188" s="295"/>
      <c r="AA188" s="295"/>
      <c r="AH188" s="295"/>
      <c r="AI188" s="188"/>
      <c r="AJ188" s="188"/>
      <c r="AK188" s="188"/>
      <c r="AL188" s="188"/>
      <c r="AM188" s="188"/>
      <c r="AN188" s="188"/>
      <c r="AO188" s="299"/>
      <c r="AQ188" s="296"/>
      <c r="AR188" s="296"/>
      <c r="AS188" s="296"/>
      <c r="AU188" s="296"/>
      <c r="AV188" s="296"/>
      <c r="AW188" s="296"/>
      <c r="CV188" s="510"/>
      <c r="CY188" s="357">
        <v>45658</v>
      </c>
      <c r="CZ188" s="357">
        <v>45689</v>
      </c>
      <c r="DA188" s="357">
        <v>45717</v>
      </c>
      <c r="DB188" s="357">
        <v>45748</v>
      </c>
      <c r="DC188" s="357">
        <v>45778</v>
      </c>
      <c r="DD188" s="357">
        <v>45809</v>
      </c>
      <c r="DE188" s="357">
        <v>45839</v>
      </c>
      <c r="DF188" s="357">
        <v>45870</v>
      </c>
      <c r="DG188" s="357">
        <v>45901</v>
      </c>
      <c r="DH188" s="357">
        <v>45931</v>
      </c>
      <c r="DI188" s="357">
        <v>45962</v>
      </c>
      <c r="DJ188" s="357">
        <v>45992</v>
      </c>
      <c r="DK188" s="357"/>
      <c r="DL188" s="358"/>
    </row>
    <row r="189" spans="2:116" ht="13">
      <c r="B189" s="294"/>
      <c r="C189" s="294"/>
      <c r="D189" s="294"/>
      <c r="E189" s="294"/>
      <c r="F189" s="171"/>
      <c r="G189" s="294"/>
      <c r="H189" s="294"/>
      <c r="I189" s="294"/>
      <c r="J189" s="294"/>
      <c r="K189" s="294"/>
      <c r="L189" s="294"/>
      <c r="T189" s="295"/>
      <c r="AA189" s="295"/>
      <c r="AH189" s="295"/>
      <c r="AI189" s="188"/>
      <c r="AJ189" s="188"/>
      <c r="AK189" s="188"/>
      <c r="AL189" s="188"/>
      <c r="AM189" s="188"/>
      <c r="AN189" s="188"/>
      <c r="AO189" s="299"/>
      <c r="AQ189" s="296"/>
      <c r="AR189" s="296"/>
      <c r="AS189" s="296"/>
      <c r="AU189" s="296"/>
      <c r="AV189" s="296"/>
      <c r="AW189" s="296"/>
      <c r="CV189" s="510"/>
      <c r="CW189" s="1000"/>
      <c r="CX189" s="377" t="s">
        <v>241</v>
      </c>
      <c r="CY189" s="360">
        <v>45658</v>
      </c>
      <c r="CZ189" s="360">
        <v>45689</v>
      </c>
      <c r="DA189" s="360">
        <v>45717</v>
      </c>
      <c r="DB189" s="360">
        <v>45748</v>
      </c>
      <c r="DC189" s="360">
        <v>45778</v>
      </c>
      <c r="DD189" s="360">
        <v>45809</v>
      </c>
      <c r="DE189" s="360">
        <v>45839</v>
      </c>
      <c r="DF189" s="360">
        <v>45870</v>
      </c>
      <c r="DG189" s="360">
        <v>45901</v>
      </c>
      <c r="DH189" s="360">
        <v>45931</v>
      </c>
      <c r="DI189" s="360"/>
      <c r="DJ189" s="360"/>
      <c r="DK189" s="357"/>
      <c r="DL189" s="358"/>
    </row>
    <row r="190" spans="2:116" ht="13">
      <c r="B190" s="294"/>
      <c r="C190" s="294"/>
      <c r="D190" s="294"/>
      <c r="E190" s="294"/>
      <c r="F190" s="171"/>
      <c r="G190" s="294"/>
      <c r="H190" s="294"/>
      <c r="I190" s="294"/>
      <c r="J190" s="294"/>
      <c r="K190" s="294"/>
      <c r="L190" s="294"/>
      <c r="T190" s="295"/>
      <c r="AA190" s="295"/>
      <c r="AH190" s="295"/>
      <c r="AI190" s="188"/>
      <c r="AJ190" s="188"/>
      <c r="AK190" s="188"/>
      <c r="AL190" s="188"/>
      <c r="AM190" s="188"/>
      <c r="AN190" s="188"/>
      <c r="AO190" s="299"/>
      <c r="AQ190" s="296"/>
      <c r="AR190" s="296"/>
      <c r="AS190" s="296"/>
      <c r="AU190" s="296"/>
      <c r="AV190" s="296"/>
      <c r="AW190" s="296"/>
      <c r="CV190" s="510"/>
      <c r="CW190" s="359" t="s">
        <v>241</v>
      </c>
      <c r="CX190" s="361">
        <v>875754480.32000005</v>
      </c>
      <c r="CY190" s="361">
        <v>100382327.47</v>
      </c>
      <c r="CZ190" s="361">
        <v>78685882.569999993</v>
      </c>
      <c r="DA190" s="361">
        <v>80496779.859999999</v>
      </c>
      <c r="DB190" s="361">
        <v>71216240.510000005</v>
      </c>
      <c r="DC190" s="361">
        <v>72231843.439999998</v>
      </c>
      <c r="DD190" s="361">
        <v>79184971.920000002</v>
      </c>
      <c r="DE190" s="361">
        <v>98713011.780000001</v>
      </c>
      <c r="DF190" s="361">
        <v>86003116.099999994</v>
      </c>
      <c r="DG190" s="361">
        <v>103913784.98999999</v>
      </c>
      <c r="DH190" s="361">
        <v>104926521.68000001</v>
      </c>
      <c r="DI190" s="361"/>
      <c r="DJ190" s="361"/>
      <c r="DK190" s="361"/>
      <c r="DL190" s="362"/>
    </row>
    <row r="191" spans="2:116" ht="13">
      <c r="B191" s="294"/>
      <c r="C191" s="294"/>
      <c r="D191" s="294"/>
      <c r="E191" s="294"/>
      <c r="F191" s="171"/>
      <c r="G191" s="294"/>
      <c r="H191" s="294"/>
      <c r="I191" s="294"/>
      <c r="J191" s="294"/>
      <c r="K191" s="294"/>
      <c r="L191" s="294"/>
      <c r="T191" s="295"/>
      <c r="AA191" s="295"/>
      <c r="AH191" s="295"/>
      <c r="AI191" s="188"/>
      <c r="AJ191" s="188"/>
      <c r="AK191" s="188"/>
      <c r="AL191" s="188"/>
      <c r="AM191" s="188"/>
      <c r="AN191" s="188"/>
      <c r="AO191" s="299"/>
      <c r="AQ191" s="296"/>
      <c r="AR191" s="296"/>
      <c r="AS191" s="296"/>
      <c r="AU191" s="296"/>
      <c r="AV191" s="296"/>
      <c r="AW191" s="296"/>
      <c r="CV191" s="510">
        <v>1</v>
      </c>
      <c r="CW191" s="359" t="s">
        <v>838</v>
      </c>
      <c r="CX191" s="361">
        <v>278637000.58999997</v>
      </c>
      <c r="CY191" s="361">
        <v>23524915.329999998</v>
      </c>
      <c r="CZ191" s="361">
        <v>23276948.43</v>
      </c>
      <c r="DA191" s="361">
        <v>30634892.420000002</v>
      </c>
      <c r="DB191" s="361">
        <v>26508622.32</v>
      </c>
      <c r="DC191" s="361">
        <v>25266053.699999999</v>
      </c>
      <c r="DD191" s="361">
        <v>29025801.949999999</v>
      </c>
      <c r="DE191" s="361">
        <v>29140692.02</v>
      </c>
      <c r="DF191" s="361">
        <v>30470135.149999999</v>
      </c>
      <c r="DG191" s="361">
        <v>24359457.280000001</v>
      </c>
      <c r="DH191" s="361">
        <v>36429481.990000002</v>
      </c>
      <c r="DI191" s="361"/>
      <c r="DJ191" s="361"/>
      <c r="DK191" s="361"/>
      <c r="DL191" s="362"/>
    </row>
    <row r="192" spans="2:116" ht="13">
      <c r="B192" s="294"/>
      <c r="C192" s="294"/>
      <c r="D192" s="294"/>
      <c r="E192" s="294"/>
      <c r="F192" s="171"/>
      <c r="G192" s="294"/>
      <c r="H192" s="294"/>
      <c r="I192" s="294"/>
      <c r="J192" s="294"/>
      <c r="K192" s="294"/>
      <c r="L192" s="294"/>
      <c r="T192" s="295"/>
      <c r="AA192" s="295"/>
      <c r="AH192" s="295"/>
      <c r="AI192" s="188"/>
      <c r="AJ192" s="188"/>
      <c r="AK192" s="188"/>
      <c r="AL192" s="188"/>
      <c r="AM192" s="188"/>
      <c r="AN192" s="188"/>
      <c r="AO192" s="299"/>
      <c r="AQ192" s="296"/>
      <c r="AR192" s="296"/>
      <c r="AS192" s="296"/>
      <c r="AU192" s="296"/>
      <c r="AV192" s="296"/>
      <c r="AW192" s="296"/>
      <c r="CV192" s="510">
        <v>2</v>
      </c>
      <c r="CW192" s="359" t="s">
        <v>839</v>
      </c>
      <c r="CX192" s="361">
        <v>83796261.560000002</v>
      </c>
      <c r="CY192" s="361">
        <v>8982315.8499999996</v>
      </c>
      <c r="CZ192" s="361">
        <v>12198289.57</v>
      </c>
      <c r="DA192" s="361">
        <v>10442088.109999999</v>
      </c>
      <c r="DB192" s="361">
        <v>3439986.4</v>
      </c>
      <c r="DC192" s="361">
        <v>6861779.4699999997</v>
      </c>
      <c r="DD192" s="361">
        <v>5634418.0800000001</v>
      </c>
      <c r="DE192" s="361">
        <v>12371426.359999999</v>
      </c>
      <c r="DF192" s="361">
        <v>7258191.3499999996</v>
      </c>
      <c r="DG192" s="361">
        <v>8251309.8200000003</v>
      </c>
      <c r="DH192" s="361">
        <v>8356456.5599999996</v>
      </c>
      <c r="DI192" s="361"/>
      <c r="DJ192" s="361"/>
      <c r="DK192" s="361"/>
      <c r="DL192" s="362"/>
    </row>
    <row r="193" spans="2:116" ht="13">
      <c r="B193" s="294"/>
      <c r="C193" s="294"/>
      <c r="D193" s="294"/>
      <c r="E193" s="294"/>
      <c r="F193" s="171"/>
      <c r="G193" s="294"/>
      <c r="H193" s="294"/>
      <c r="I193" s="294"/>
      <c r="J193" s="294"/>
      <c r="K193" s="294"/>
      <c r="L193" s="294"/>
      <c r="T193" s="295"/>
      <c r="AA193" s="295"/>
      <c r="AH193" s="295"/>
      <c r="AI193" s="188"/>
      <c r="AJ193" s="188"/>
      <c r="AK193" s="188"/>
      <c r="AL193" s="188"/>
      <c r="AM193" s="188"/>
      <c r="AN193" s="188"/>
      <c r="AO193" s="299"/>
      <c r="AQ193" s="296"/>
      <c r="AR193" s="296"/>
      <c r="AS193" s="296"/>
      <c r="AU193" s="296"/>
      <c r="AV193" s="296"/>
      <c r="AW193" s="296"/>
      <c r="CV193" s="510">
        <v>3</v>
      </c>
      <c r="CW193" s="359" t="s">
        <v>855</v>
      </c>
      <c r="CX193" s="361">
        <v>61916011.729999997</v>
      </c>
      <c r="CY193" s="361">
        <v>6296816.5</v>
      </c>
      <c r="CZ193" s="361">
        <v>6154839.3600000003</v>
      </c>
      <c r="DA193" s="361">
        <v>3490578.45</v>
      </c>
      <c r="DB193" s="361">
        <v>4988735.82</v>
      </c>
      <c r="DC193" s="361">
        <v>6502920.54</v>
      </c>
      <c r="DD193" s="361">
        <v>5400609.29</v>
      </c>
      <c r="DE193" s="361">
        <v>7243597.1799999997</v>
      </c>
      <c r="DF193" s="361">
        <v>7514316.7800000003</v>
      </c>
      <c r="DG193" s="361">
        <v>9056511.3900000006</v>
      </c>
      <c r="DH193" s="361">
        <v>5267086.43</v>
      </c>
      <c r="DI193" s="361"/>
      <c r="DJ193" s="361"/>
      <c r="DK193" s="361"/>
      <c r="DL193" s="362"/>
    </row>
    <row r="194" spans="2:116" ht="13">
      <c r="B194" s="294"/>
      <c r="C194" s="294"/>
      <c r="D194" s="294"/>
      <c r="E194" s="294"/>
      <c r="F194" s="171"/>
      <c r="G194" s="294"/>
      <c r="H194" s="294"/>
      <c r="I194" s="294"/>
      <c r="J194" s="294"/>
      <c r="K194" s="294"/>
      <c r="L194" s="294"/>
      <c r="T194" s="295"/>
      <c r="AA194" s="295"/>
      <c r="AH194" s="295"/>
      <c r="AI194" s="188"/>
      <c r="AJ194" s="188"/>
      <c r="AK194" s="188"/>
      <c r="AL194" s="188"/>
      <c r="AM194" s="188"/>
      <c r="AN194" s="188"/>
      <c r="AO194" s="299"/>
      <c r="AQ194" s="296"/>
      <c r="AR194" s="296"/>
      <c r="AS194" s="296"/>
      <c r="AU194" s="296"/>
      <c r="AV194" s="296"/>
      <c r="AW194" s="296"/>
      <c r="CV194" s="510">
        <v>4</v>
      </c>
      <c r="CW194" s="359" t="s">
        <v>847</v>
      </c>
      <c r="CX194" s="361">
        <v>46205720.020000003</v>
      </c>
      <c r="CY194" s="361">
        <v>5075136.1399999997</v>
      </c>
      <c r="CZ194" s="361">
        <v>3481885.46</v>
      </c>
      <c r="DA194" s="361">
        <v>4205863.47</v>
      </c>
      <c r="DB194" s="361">
        <v>5599570.5999999996</v>
      </c>
      <c r="DC194" s="361">
        <v>1111524.23</v>
      </c>
      <c r="DD194" s="361">
        <v>4363294.74</v>
      </c>
      <c r="DE194" s="361">
        <v>4782624.99</v>
      </c>
      <c r="DF194" s="361">
        <v>4159424.63</v>
      </c>
      <c r="DG194" s="361">
        <v>4043790.64</v>
      </c>
      <c r="DH194" s="361">
        <v>9382605.1199999992</v>
      </c>
      <c r="DI194" s="361"/>
      <c r="DJ194" s="361"/>
      <c r="DK194" s="361"/>
      <c r="DL194" s="362"/>
    </row>
    <row r="195" spans="2:116" ht="13">
      <c r="B195" s="294"/>
      <c r="C195" s="294"/>
      <c r="D195" s="294"/>
      <c r="E195" s="294"/>
      <c r="F195" s="171"/>
      <c r="G195" s="294"/>
      <c r="H195" s="294"/>
      <c r="I195" s="294"/>
      <c r="J195" s="294"/>
      <c r="K195" s="294"/>
      <c r="L195" s="294"/>
      <c r="T195" s="295"/>
      <c r="AA195" s="295"/>
      <c r="AH195" s="295"/>
      <c r="AI195" s="188"/>
      <c r="AJ195" s="188"/>
      <c r="AK195" s="188"/>
      <c r="AL195" s="188"/>
      <c r="AM195" s="188"/>
      <c r="AN195" s="188"/>
      <c r="AO195" s="299"/>
      <c r="AQ195" s="296"/>
      <c r="AR195" s="296"/>
      <c r="AS195" s="296"/>
      <c r="AU195" s="296"/>
      <c r="AV195" s="296"/>
      <c r="AW195" s="296"/>
      <c r="CV195" s="510">
        <v>5</v>
      </c>
      <c r="CW195" s="359" t="s">
        <v>845</v>
      </c>
      <c r="CX195" s="361">
        <v>37063084.509999998</v>
      </c>
      <c r="CY195" s="361">
        <v>7031377.0700000003</v>
      </c>
      <c r="CZ195" s="361">
        <v>2630365.9</v>
      </c>
      <c r="DA195" s="361">
        <v>3028182</v>
      </c>
      <c r="DB195" s="361">
        <v>4429449.92</v>
      </c>
      <c r="DC195" s="361">
        <v>2289288.09</v>
      </c>
      <c r="DD195" s="361">
        <v>2973288.86</v>
      </c>
      <c r="DE195" s="361">
        <v>2199661.58</v>
      </c>
      <c r="DF195" s="361">
        <v>3317037.73</v>
      </c>
      <c r="DG195" s="361">
        <v>4774461.1100000003</v>
      </c>
      <c r="DH195" s="361">
        <v>4389972.2699999996</v>
      </c>
      <c r="DI195" s="361"/>
      <c r="DJ195" s="361"/>
      <c r="DK195" s="361"/>
      <c r="DL195" s="362"/>
    </row>
    <row r="196" spans="2:116" ht="13">
      <c r="B196" s="294"/>
      <c r="C196" s="294"/>
      <c r="D196" s="294"/>
      <c r="E196" s="294"/>
      <c r="F196" s="171"/>
      <c r="G196" s="294"/>
      <c r="H196" s="294"/>
      <c r="I196" s="294"/>
      <c r="J196" s="294"/>
      <c r="K196" s="294"/>
      <c r="L196" s="294"/>
      <c r="T196" s="295"/>
      <c r="AA196" s="295"/>
      <c r="AH196" s="295"/>
      <c r="AI196" s="188"/>
      <c r="AJ196" s="188"/>
      <c r="AK196" s="188"/>
      <c r="AL196" s="188"/>
      <c r="AM196" s="188"/>
      <c r="AN196" s="188"/>
      <c r="AO196" s="299"/>
      <c r="AQ196" s="296"/>
      <c r="AR196" s="296"/>
      <c r="AS196" s="296"/>
      <c r="AU196" s="296"/>
      <c r="AV196" s="296"/>
      <c r="AW196" s="296"/>
      <c r="CV196" s="510">
        <v>6</v>
      </c>
      <c r="CW196" s="359" t="s">
        <v>925</v>
      </c>
      <c r="CX196" s="361">
        <v>30764966.199999999</v>
      </c>
      <c r="CY196" s="361">
        <v>1870296.13</v>
      </c>
      <c r="CZ196" s="361">
        <v>2856258.94</v>
      </c>
      <c r="DA196" s="361">
        <v>1098323.06</v>
      </c>
      <c r="DB196" s="361">
        <v>2012126.69</v>
      </c>
      <c r="DC196" s="361">
        <v>4422964.04</v>
      </c>
      <c r="DD196" s="361">
        <v>2305399.15</v>
      </c>
      <c r="DE196" s="361">
        <v>2957092.76</v>
      </c>
      <c r="DF196" s="361">
        <v>3126797.89</v>
      </c>
      <c r="DG196" s="361">
        <v>7186520.3499999996</v>
      </c>
      <c r="DH196" s="361">
        <v>2929187.18</v>
      </c>
      <c r="DI196" s="361"/>
      <c r="DJ196" s="361"/>
      <c r="DK196" s="361"/>
      <c r="DL196" s="362"/>
    </row>
    <row r="197" spans="2:116" ht="13">
      <c r="B197" s="294"/>
      <c r="C197" s="294"/>
      <c r="D197" s="294"/>
      <c r="E197" s="294"/>
      <c r="F197" s="171"/>
      <c r="G197" s="294"/>
      <c r="H197" s="294"/>
      <c r="I197" s="294"/>
      <c r="J197" s="294"/>
      <c r="K197" s="294"/>
      <c r="L197" s="294"/>
      <c r="T197" s="295"/>
      <c r="AA197" s="295"/>
      <c r="AH197" s="295"/>
      <c r="AI197" s="188"/>
      <c r="AJ197" s="188"/>
      <c r="AK197" s="188"/>
      <c r="AL197" s="188"/>
      <c r="AM197" s="188"/>
      <c r="AN197" s="188"/>
      <c r="AO197" s="299"/>
      <c r="AQ197" s="296"/>
      <c r="AR197" s="296"/>
      <c r="AS197" s="296"/>
      <c r="AU197" s="296"/>
      <c r="AV197" s="296"/>
      <c r="AW197" s="296"/>
      <c r="CV197" s="510">
        <v>7</v>
      </c>
      <c r="CW197" s="359" t="s">
        <v>874</v>
      </c>
      <c r="CX197" s="361">
        <v>27893663.050000001</v>
      </c>
      <c r="CY197" s="361">
        <v>7772989.71</v>
      </c>
      <c r="CZ197" s="361">
        <v>2621216.7400000002</v>
      </c>
      <c r="DA197" s="361">
        <v>334633.75</v>
      </c>
      <c r="DB197" s="361">
        <v>1524186.82</v>
      </c>
      <c r="DC197" s="361">
        <v>437164.27</v>
      </c>
      <c r="DD197" s="361">
        <v>3220162.84</v>
      </c>
      <c r="DE197" s="361">
        <v>3816499.59</v>
      </c>
      <c r="DF197" s="361">
        <v>6289039</v>
      </c>
      <c r="DG197" s="361">
        <v>1147755.54</v>
      </c>
      <c r="DH197" s="361">
        <v>730014.81</v>
      </c>
      <c r="DI197" s="361"/>
      <c r="DJ197" s="361"/>
      <c r="DK197" s="361"/>
      <c r="DL197" s="362"/>
    </row>
    <row r="198" spans="2:116" ht="13">
      <c r="B198" s="294"/>
      <c r="C198" s="294"/>
      <c r="D198" s="294"/>
      <c r="E198" s="294"/>
      <c r="F198" s="171"/>
      <c r="G198" s="294"/>
      <c r="H198" s="294"/>
      <c r="I198" s="294"/>
      <c r="J198" s="294"/>
      <c r="K198" s="294"/>
      <c r="L198" s="294"/>
      <c r="T198" s="295"/>
      <c r="AA198" s="295"/>
      <c r="AH198" s="295"/>
      <c r="AI198" s="188"/>
      <c r="AJ198" s="188"/>
      <c r="AK198" s="188"/>
      <c r="AL198" s="188"/>
      <c r="AM198" s="188"/>
      <c r="AN198" s="188"/>
      <c r="AO198" s="299"/>
      <c r="AQ198" s="296"/>
      <c r="AR198" s="296"/>
      <c r="AS198" s="296"/>
      <c r="AU198" s="296"/>
      <c r="AV198" s="296"/>
      <c r="AW198" s="296"/>
      <c r="CV198" s="510">
        <v>8</v>
      </c>
      <c r="CW198" s="359" t="s">
        <v>856</v>
      </c>
      <c r="CX198" s="361">
        <v>21110560.41</v>
      </c>
      <c r="CY198" s="361">
        <v>4612198.09</v>
      </c>
      <c r="CZ198" s="361">
        <v>1054496</v>
      </c>
      <c r="DA198" s="361">
        <v>98117.85</v>
      </c>
      <c r="DB198" s="361">
        <v>264329.86</v>
      </c>
      <c r="DC198" s="361">
        <v>889454.01</v>
      </c>
      <c r="DD198" s="361">
        <v>3407764.54</v>
      </c>
      <c r="DE198" s="361">
        <v>5187246.16</v>
      </c>
      <c r="DF198" s="361">
        <v>0</v>
      </c>
      <c r="DG198" s="361">
        <v>5636319.8799999999</v>
      </c>
      <c r="DH198" s="361">
        <v>-39365.97</v>
      </c>
      <c r="DI198" s="361"/>
      <c r="DJ198" s="361"/>
      <c r="DK198" s="361"/>
      <c r="DL198" s="362"/>
    </row>
    <row r="199" spans="2:116" ht="13">
      <c r="B199" s="294"/>
      <c r="C199" s="294"/>
      <c r="D199" s="294"/>
      <c r="E199" s="294"/>
      <c r="F199" s="171"/>
      <c r="G199" s="294"/>
      <c r="H199" s="294"/>
      <c r="I199" s="294"/>
      <c r="J199" s="294"/>
      <c r="K199" s="294"/>
      <c r="L199" s="294"/>
      <c r="T199" s="295"/>
      <c r="AA199" s="295"/>
      <c r="AH199" s="295"/>
      <c r="AI199" s="188"/>
      <c r="AJ199" s="188"/>
      <c r="AK199" s="188"/>
      <c r="AL199" s="188"/>
      <c r="AM199" s="188"/>
      <c r="AN199" s="188"/>
      <c r="AO199" s="299"/>
      <c r="AQ199" s="296"/>
      <c r="AR199" s="296"/>
      <c r="AS199" s="296"/>
      <c r="AU199" s="296"/>
      <c r="AV199" s="296"/>
      <c r="AW199" s="296"/>
      <c r="CV199" s="510">
        <v>9</v>
      </c>
      <c r="CW199" s="359" t="s">
        <v>840</v>
      </c>
      <c r="CX199" s="361">
        <v>14930238.369999999</v>
      </c>
      <c r="CY199" s="361">
        <v>1094737.1100000001</v>
      </c>
      <c r="CZ199" s="361">
        <v>787553.02</v>
      </c>
      <c r="DA199" s="361">
        <v>1029835.7</v>
      </c>
      <c r="DB199" s="361">
        <v>1470947.47</v>
      </c>
      <c r="DC199" s="361">
        <v>771274.98</v>
      </c>
      <c r="DD199" s="361">
        <v>844514.16</v>
      </c>
      <c r="DE199" s="361">
        <v>1627656.49</v>
      </c>
      <c r="DF199" s="361">
        <v>543350.53</v>
      </c>
      <c r="DG199" s="361">
        <v>3277461.68</v>
      </c>
      <c r="DH199" s="361">
        <v>3482907.23</v>
      </c>
      <c r="DI199" s="361"/>
      <c r="DJ199" s="361"/>
      <c r="DK199" s="361"/>
      <c r="DL199" s="362"/>
    </row>
    <row r="200" spans="2:116" ht="13">
      <c r="B200" s="294"/>
      <c r="C200" s="294"/>
      <c r="D200" s="294"/>
      <c r="E200" s="294"/>
      <c r="F200" s="171"/>
      <c r="G200" s="294"/>
      <c r="H200" s="294"/>
      <c r="I200" s="294"/>
      <c r="J200" s="294"/>
      <c r="K200" s="294"/>
      <c r="L200" s="294"/>
      <c r="T200" s="295"/>
      <c r="AA200" s="295"/>
      <c r="AH200" s="295"/>
      <c r="AI200" s="188"/>
      <c r="AJ200" s="188"/>
      <c r="AK200" s="188"/>
      <c r="AL200" s="188"/>
      <c r="AM200" s="188"/>
      <c r="AN200" s="188"/>
      <c r="AO200" s="299"/>
      <c r="AQ200" s="296"/>
      <c r="AR200" s="296"/>
      <c r="AS200" s="296"/>
      <c r="AU200" s="296"/>
      <c r="AV200" s="296"/>
      <c r="AW200" s="296"/>
      <c r="CV200" s="510">
        <v>10</v>
      </c>
      <c r="CW200" s="359" t="s">
        <v>848</v>
      </c>
      <c r="CX200" s="361">
        <v>14487960.529999999</v>
      </c>
      <c r="CY200" s="361">
        <v>1865450.77</v>
      </c>
      <c r="CZ200" s="361">
        <v>989417.32</v>
      </c>
      <c r="DA200" s="361">
        <v>1944567.79</v>
      </c>
      <c r="DB200" s="361">
        <v>1067843.57</v>
      </c>
      <c r="DC200" s="361">
        <v>2218024.63</v>
      </c>
      <c r="DD200" s="361">
        <v>1756308.82</v>
      </c>
      <c r="DE200" s="361">
        <v>483973.62</v>
      </c>
      <c r="DF200" s="361">
        <v>744375.31</v>
      </c>
      <c r="DG200" s="361">
        <v>1730541.59</v>
      </c>
      <c r="DH200" s="361">
        <v>1687457.11</v>
      </c>
      <c r="DI200" s="361"/>
      <c r="DJ200" s="361"/>
      <c r="DK200" s="361"/>
      <c r="DL200" s="362"/>
    </row>
    <row r="201" spans="2:116" ht="13">
      <c r="B201" s="294"/>
      <c r="C201" s="294"/>
      <c r="D201" s="294"/>
      <c r="E201" s="294"/>
      <c r="F201" s="171"/>
      <c r="G201" s="294"/>
      <c r="H201" s="294"/>
      <c r="I201" s="294"/>
      <c r="J201" s="294"/>
      <c r="K201" s="294"/>
      <c r="L201" s="294"/>
      <c r="T201" s="295"/>
      <c r="AA201" s="295"/>
      <c r="AH201" s="295"/>
      <c r="AI201" s="188"/>
      <c r="AJ201" s="188"/>
      <c r="AK201" s="188"/>
      <c r="AL201" s="188"/>
      <c r="AM201" s="188"/>
      <c r="AN201" s="188"/>
      <c r="AO201" s="299"/>
      <c r="AQ201" s="296"/>
      <c r="AR201" s="296"/>
      <c r="AS201" s="296"/>
      <c r="AU201" s="296"/>
      <c r="AV201" s="296"/>
      <c r="AW201" s="296"/>
      <c r="CV201" s="510">
        <v>11</v>
      </c>
      <c r="CW201" s="359" t="s">
        <v>844</v>
      </c>
      <c r="CX201" s="361">
        <v>13035697.25</v>
      </c>
      <c r="CY201" s="361">
        <v>1494934.23</v>
      </c>
      <c r="CZ201" s="361">
        <v>540854.31000000006</v>
      </c>
      <c r="DA201" s="361">
        <v>1620131.53</v>
      </c>
      <c r="DB201" s="361">
        <v>1024687.55</v>
      </c>
      <c r="DC201" s="361">
        <v>1504753.28</v>
      </c>
      <c r="DD201" s="361">
        <v>1118693.17</v>
      </c>
      <c r="DE201" s="361">
        <v>799915.04</v>
      </c>
      <c r="DF201" s="361">
        <v>887864.91</v>
      </c>
      <c r="DG201" s="361">
        <v>1783471.8</v>
      </c>
      <c r="DH201" s="361">
        <v>2260391.4300000002</v>
      </c>
      <c r="DI201" s="361"/>
      <c r="DJ201" s="361"/>
      <c r="DK201" s="361"/>
      <c r="DL201" s="362"/>
    </row>
    <row r="202" spans="2:116" ht="13">
      <c r="B202" s="294"/>
      <c r="C202" s="294"/>
      <c r="D202" s="294"/>
      <c r="E202" s="294"/>
      <c r="F202" s="171"/>
      <c r="G202" s="294"/>
      <c r="H202" s="294"/>
      <c r="I202" s="294"/>
      <c r="J202" s="294"/>
      <c r="K202" s="294"/>
      <c r="L202" s="294"/>
      <c r="T202" s="295"/>
      <c r="AA202" s="295"/>
      <c r="AH202" s="295"/>
      <c r="AI202" s="188"/>
      <c r="AJ202" s="188"/>
      <c r="AK202" s="188"/>
      <c r="AL202" s="188"/>
      <c r="AM202" s="188"/>
      <c r="AN202" s="188"/>
      <c r="AO202" s="299"/>
      <c r="AQ202" s="296"/>
      <c r="AR202" s="296"/>
      <c r="AS202" s="296"/>
      <c r="AU202" s="296"/>
      <c r="AV202" s="296"/>
      <c r="AW202" s="296"/>
      <c r="CV202" s="510">
        <v>12</v>
      </c>
      <c r="CW202" s="359" t="s">
        <v>858</v>
      </c>
      <c r="CX202" s="361">
        <v>11046554.369999999</v>
      </c>
      <c r="CY202" s="361">
        <v>1053971.22</v>
      </c>
      <c r="CZ202" s="361">
        <v>926242.89</v>
      </c>
      <c r="DA202" s="361">
        <v>754151.5</v>
      </c>
      <c r="DB202" s="361">
        <v>1230192.54</v>
      </c>
      <c r="DC202" s="361">
        <v>598292.31999999995</v>
      </c>
      <c r="DD202" s="361">
        <v>710215.56</v>
      </c>
      <c r="DE202" s="361">
        <v>1107930.46</v>
      </c>
      <c r="DF202" s="361">
        <v>893958.52</v>
      </c>
      <c r="DG202" s="361">
        <v>1417808.47</v>
      </c>
      <c r="DH202" s="361">
        <v>2353790.89</v>
      </c>
      <c r="DI202" s="361"/>
      <c r="DJ202" s="361"/>
      <c r="DK202" s="361"/>
      <c r="DL202" s="362"/>
    </row>
    <row r="203" spans="2:116" ht="13">
      <c r="B203" s="294"/>
      <c r="C203" s="294"/>
      <c r="D203" s="294"/>
      <c r="E203" s="294"/>
      <c r="F203" s="171"/>
      <c r="G203" s="294"/>
      <c r="H203" s="294"/>
      <c r="I203" s="294"/>
      <c r="J203" s="294"/>
      <c r="K203" s="294"/>
      <c r="L203" s="294"/>
      <c r="T203" s="295"/>
      <c r="AA203" s="295"/>
      <c r="AH203" s="295"/>
      <c r="AI203" s="188"/>
      <c r="AJ203" s="188"/>
      <c r="AK203" s="188"/>
      <c r="AL203" s="188"/>
      <c r="AM203" s="188"/>
      <c r="AN203" s="188"/>
      <c r="AO203" s="299"/>
      <c r="AQ203" s="296"/>
      <c r="AR203" s="296"/>
      <c r="AS203" s="296"/>
      <c r="AU203" s="296"/>
      <c r="AV203" s="296"/>
      <c r="AW203" s="296"/>
      <c r="CV203" s="510">
        <v>13</v>
      </c>
      <c r="CW203" s="359" t="s">
        <v>864</v>
      </c>
      <c r="CX203" s="361">
        <v>11014674.98</v>
      </c>
      <c r="CY203" s="361">
        <v>1427400.15</v>
      </c>
      <c r="CZ203" s="361">
        <v>679338.92</v>
      </c>
      <c r="DA203" s="361">
        <v>808549.42</v>
      </c>
      <c r="DB203" s="361">
        <v>1170836.23</v>
      </c>
      <c r="DC203" s="361">
        <v>622892.73</v>
      </c>
      <c r="DD203" s="361">
        <v>1326946.01</v>
      </c>
      <c r="DE203" s="361">
        <v>949064.51</v>
      </c>
      <c r="DF203" s="361">
        <v>768616.43</v>
      </c>
      <c r="DG203" s="361">
        <v>1877577.16</v>
      </c>
      <c r="DH203" s="361">
        <v>1383453.43</v>
      </c>
      <c r="DI203" s="361"/>
      <c r="DJ203" s="361"/>
      <c r="DK203" s="361"/>
      <c r="DL203" s="362"/>
    </row>
    <row r="204" spans="2:116" ht="13">
      <c r="B204" s="294"/>
      <c r="C204" s="294"/>
      <c r="D204" s="294"/>
      <c r="E204" s="294"/>
      <c r="F204" s="171"/>
      <c r="G204" s="294"/>
      <c r="H204" s="294"/>
      <c r="I204" s="294"/>
      <c r="J204" s="294"/>
      <c r="K204" s="294"/>
      <c r="L204" s="294"/>
      <c r="T204" s="295"/>
      <c r="AA204" s="295"/>
      <c r="AH204" s="295"/>
      <c r="AI204" s="188"/>
      <c r="AJ204" s="188"/>
      <c r="AK204" s="188"/>
      <c r="AL204" s="188"/>
      <c r="AM204" s="188"/>
      <c r="AN204" s="188"/>
      <c r="AO204" s="299"/>
      <c r="AQ204" s="296"/>
      <c r="AR204" s="296"/>
      <c r="AS204" s="296"/>
      <c r="AU204" s="296"/>
      <c r="AV204" s="296"/>
      <c r="AW204" s="296"/>
      <c r="CV204" s="510">
        <v>14</v>
      </c>
      <c r="CW204" s="359" t="s">
        <v>853</v>
      </c>
      <c r="CX204" s="361">
        <v>10070653</v>
      </c>
      <c r="CY204" s="361">
        <v>0</v>
      </c>
      <c r="CZ204" s="361">
        <v>0</v>
      </c>
      <c r="DA204" s="361">
        <v>0</v>
      </c>
      <c r="DB204" s="361">
        <v>0</v>
      </c>
      <c r="DC204" s="361">
        <v>0</v>
      </c>
      <c r="DD204" s="361">
        <v>688507.07</v>
      </c>
      <c r="DE204" s="361">
        <v>2725205.02</v>
      </c>
      <c r="DF204" s="361">
        <v>1134461.3799999999</v>
      </c>
      <c r="DG204" s="361">
        <v>3261587.97</v>
      </c>
      <c r="DH204" s="361">
        <v>2260891.5499999998</v>
      </c>
      <c r="DI204" s="361"/>
      <c r="DJ204" s="361"/>
      <c r="DK204" s="361"/>
      <c r="DL204" s="362"/>
    </row>
    <row r="205" spans="2:116" ht="13">
      <c r="B205" s="294"/>
      <c r="C205" s="294"/>
      <c r="D205" s="294"/>
      <c r="E205" s="294"/>
      <c r="F205" s="171"/>
      <c r="G205" s="294"/>
      <c r="H205" s="294"/>
      <c r="I205" s="294"/>
      <c r="J205" s="294"/>
      <c r="K205" s="294"/>
      <c r="L205" s="294"/>
      <c r="T205" s="295"/>
      <c r="AA205" s="295"/>
      <c r="AH205" s="295"/>
      <c r="AI205" s="188"/>
      <c r="AJ205" s="188"/>
      <c r="AK205" s="188"/>
      <c r="AL205" s="188"/>
      <c r="AM205" s="188"/>
      <c r="AN205" s="188"/>
      <c r="AO205" s="299"/>
      <c r="AQ205" s="296"/>
      <c r="AR205" s="296"/>
      <c r="AS205" s="296"/>
      <c r="AU205" s="296"/>
      <c r="AV205" s="296"/>
      <c r="AW205" s="296"/>
      <c r="CV205" s="510">
        <v>15</v>
      </c>
      <c r="CW205" s="359" t="s">
        <v>849</v>
      </c>
      <c r="CX205" s="361">
        <v>10015238.15</v>
      </c>
      <c r="CY205" s="361">
        <v>1648633.49</v>
      </c>
      <c r="CZ205" s="361">
        <v>339221.43</v>
      </c>
      <c r="DA205" s="361">
        <v>557709.48</v>
      </c>
      <c r="DB205" s="361">
        <v>707990.19</v>
      </c>
      <c r="DC205" s="361">
        <v>1226986.04</v>
      </c>
      <c r="DD205" s="361">
        <v>370233.42</v>
      </c>
      <c r="DE205" s="361">
        <v>535627.73</v>
      </c>
      <c r="DF205" s="361">
        <v>1516317.3</v>
      </c>
      <c r="DG205" s="361">
        <v>1186508.81</v>
      </c>
      <c r="DH205" s="361">
        <v>1926010.27</v>
      </c>
      <c r="DI205" s="365"/>
      <c r="DJ205" s="365"/>
      <c r="DK205" s="365"/>
      <c r="DL205" s="366"/>
    </row>
    <row r="206" spans="2:116" ht="13">
      <c r="B206" s="294"/>
      <c r="C206" s="294"/>
      <c r="D206" s="294"/>
      <c r="E206" s="294"/>
      <c r="F206" s="171"/>
      <c r="G206" s="294"/>
      <c r="H206" s="294"/>
      <c r="I206" s="294"/>
      <c r="J206" s="294"/>
      <c r="K206" s="294"/>
      <c r="L206" s="294"/>
      <c r="T206" s="295"/>
      <c r="AA206" s="295"/>
      <c r="AH206" s="295"/>
      <c r="AI206" s="188"/>
      <c r="AJ206" s="188"/>
      <c r="AK206" s="188"/>
      <c r="AL206" s="188"/>
      <c r="AM206" s="188"/>
      <c r="AN206" s="188"/>
      <c r="AO206" s="299"/>
      <c r="AQ206" s="296"/>
      <c r="AR206" s="296"/>
      <c r="AS206" s="296"/>
      <c r="AU206" s="296"/>
      <c r="AV206" s="296"/>
      <c r="AW206" s="296"/>
      <c r="CV206" s="510">
        <v>16</v>
      </c>
      <c r="CW206" s="359" t="s">
        <v>926</v>
      </c>
      <c r="CX206" s="361">
        <v>9409552.2100000009</v>
      </c>
      <c r="CY206" s="361">
        <v>1428303.24</v>
      </c>
      <c r="CZ206" s="361">
        <v>315258.8</v>
      </c>
      <c r="DA206" s="361">
        <v>797978.67</v>
      </c>
      <c r="DB206" s="361">
        <v>697244.28</v>
      </c>
      <c r="DC206" s="361">
        <v>1235618.72</v>
      </c>
      <c r="DD206" s="361">
        <v>1005429.76</v>
      </c>
      <c r="DE206" s="361">
        <v>3037105.07</v>
      </c>
      <c r="DF206" s="361">
        <v>261445.6</v>
      </c>
      <c r="DG206" s="361">
        <v>87358.56</v>
      </c>
      <c r="DH206" s="361">
        <v>543809.52</v>
      </c>
      <c r="DI206" s="361"/>
      <c r="DJ206" s="361"/>
      <c r="DK206" s="361"/>
      <c r="DL206" s="362"/>
    </row>
    <row r="207" spans="2:116" ht="13">
      <c r="B207" s="294"/>
      <c r="C207" s="294"/>
      <c r="D207" s="294"/>
      <c r="E207" s="294"/>
      <c r="F207" s="171"/>
      <c r="G207" s="294"/>
      <c r="H207" s="294"/>
      <c r="I207" s="294"/>
      <c r="J207" s="294"/>
      <c r="K207" s="294"/>
      <c r="L207" s="294"/>
      <c r="T207" s="295"/>
      <c r="AA207" s="295"/>
      <c r="AH207" s="295"/>
      <c r="AI207" s="188"/>
      <c r="AJ207" s="188"/>
      <c r="AK207" s="188"/>
      <c r="AL207" s="188"/>
      <c r="AM207" s="188"/>
      <c r="AN207" s="188"/>
      <c r="AO207" s="299"/>
      <c r="AQ207" s="296"/>
      <c r="AR207" s="296"/>
      <c r="AS207" s="296"/>
      <c r="AU207" s="296"/>
      <c r="AV207" s="296"/>
      <c r="AW207" s="296"/>
      <c r="CV207" s="510">
        <v>17</v>
      </c>
      <c r="CW207" s="359" t="s">
        <v>865</v>
      </c>
      <c r="CX207" s="361">
        <v>8922282.3000000007</v>
      </c>
      <c r="CY207" s="361">
        <v>1148887.56</v>
      </c>
      <c r="CZ207" s="361">
        <v>933056.78</v>
      </c>
      <c r="DA207" s="361">
        <v>883351.8</v>
      </c>
      <c r="DB207" s="361">
        <v>1068685.24</v>
      </c>
      <c r="DC207" s="361">
        <v>330707.87</v>
      </c>
      <c r="DD207" s="361">
        <v>131852.44</v>
      </c>
      <c r="DE207" s="361">
        <v>708018.54</v>
      </c>
      <c r="DF207" s="361">
        <v>877559.93</v>
      </c>
      <c r="DG207" s="361">
        <v>814940.36</v>
      </c>
      <c r="DH207" s="361">
        <v>2025221.78</v>
      </c>
      <c r="DI207" s="361"/>
      <c r="DJ207" s="361"/>
      <c r="DK207" s="361"/>
      <c r="DL207" s="362"/>
    </row>
    <row r="208" spans="2:116" ht="13">
      <c r="B208" s="294"/>
      <c r="C208" s="294"/>
      <c r="D208" s="294"/>
      <c r="E208" s="294"/>
      <c r="F208" s="171"/>
      <c r="G208" s="294"/>
      <c r="H208" s="294"/>
      <c r="I208" s="294"/>
      <c r="J208" s="294"/>
      <c r="K208" s="294"/>
      <c r="L208" s="294"/>
      <c r="T208" s="295"/>
      <c r="AA208" s="295"/>
      <c r="AH208" s="295"/>
      <c r="AI208" s="188"/>
      <c r="AJ208" s="188"/>
      <c r="AK208" s="188"/>
      <c r="AL208" s="188"/>
      <c r="AM208" s="188"/>
      <c r="AN208" s="188"/>
      <c r="AO208" s="299"/>
      <c r="AQ208" s="296"/>
      <c r="AR208" s="296"/>
      <c r="AS208" s="296"/>
      <c r="AU208" s="296"/>
      <c r="AV208" s="296"/>
      <c r="AW208" s="296"/>
      <c r="CV208" s="510">
        <v>18</v>
      </c>
      <c r="CW208" s="359" t="s">
        <v>851</v>
      </c>
      <c r="CX208" s="361">
        <v>8387179.7400000002</v>
      </c>
      <c r="CY208" s="361">
        <v>280660.89</v>
      </c>
      <c r="CZ208" s="361">
        <v>1147868.46</v>
      </c>
      <c r="DA208" s="361">
        <v>916853.53</v>
      </c>
      <c r="DB208" s="361">
        <v>550481.09</v>
      </c>
      <c r="DC208" s="361">
        <v>697996.94</v>
      </c>
      <c r="DD208" s="361">
        <v>863476.8</v>
      </c>
      <c r="DE208" s="361">
        <v>503571.16</v>
      </c>
      <c r="DF208" s="361">
        <v>887176.44</v>
      </c>
      <c r="DG208" s="361">
        <v>1285328.58</v>
      </c>
      <c r="DH208" s="361">
        <v>1253765.8500000001</v>
      </c>
      <c r="DI208" s="361"/>
      <c r="DJ208" s="361"/>
      <c r="DK208" s="361"/>
      <c r="DL208" s="362"/>
    </row>
    <row r="209" spans="2:116" ht="13">
      <c r="B209" s="294"/>
      <c r="C209" s="294"/>
      <c r="D209" s="294"/>
      <c r="E209" s="294"/>
      <c r="F209" s="171"/>
      <c r="G209" s="294"/>
      <c r="H209" s="294"/>
      <c r="I209" s="294"/>
      <c r="J209" s="294"/>
      <c r="K209" s="294"/>
      <c r="L209" s="294"/>
      <c r="T209" s="295"/>
      <c r="AA209" s="295"/>
      <c r="AH209" s="295"/>
      <c r="AI209" s="188"/>
      <c r="AJ209" s="188"/>
      <c r="AK209" s="188"/>
      <c r="AL209" s="188"/>
      <c r="AM209" s="188"/>
      <c r="AN209" s="188"/>
      <c r="AO209" s="299"/>
      <c r="AQ209" s="296"/>
      <c r="AR209" s="296"/>
      <c r="AS209" s="296"/>
      <c r="AU209" s="296"/>
      <c r="AV209" s="296"/>
      <c r="AW209" s="296"/>
      <c r="CV209" s="510">
        <v>19</v>
      </c>
      <c r="CW209" s="359" t="s">
        <v>852</v>
      </c>
      <c r="CX209" s="361">
        <v>7060319.5999999996</v>
      </c>
      <c r="CY209" s="361">
        <v>932942</v>
      </c>
      <c r="CZ209" s="361">
        <v>739256.92</v>
      </c>
      <c r="DA209" s="361">
        <v>586505.16</v>
      </c>
      <c r="DB209" s="361">
        <v>587010.32999999996</v>
      </c>
      <c r="DC209" s="361">
        <v>577328.85</v>
      </c>
      <c r="DD209" s="361">
        <v>721954.57</v>
      </c>
      <c r="DE209" s="361">
        <v>219483.47</v>
      </c>
      <c r="DF209" s="361">
        <v>752593.56</v>
      </c>
      <c r="DG209" s="361">
        <v>960121.15</v>
      </c>
      <c r="DH209" s="361">
        <v>983123.58</v>
      </c>
      <c r="DI209" s="361"/>
      <c r="DJ209" s="361"/>
      <c r="DK209" s="361"/>
      <c r="DL209" s="362"/>
    </row>
    <row r="210" spans="2:116" ht="13">
      <c r="B210" s="294"/>
      <c r="C210" s="294"/>
      <c r="D210" s="294"/>
      <c r="E210" s="294"/>
      <c r="F210" s="171"/>
      <c r="G210" s="294"/>
      <c r="H210" s="294"/>
      <c r="I210" s="294"/>
      <c r="J210" s="294"/>
      <c r="K210" s="294"/>
      <c r="L210" s="294"/>
      <c r="T210" s="295"/>
      <c r="AA210" s="295"/>
      <c r="AH210" s="295"/>
      <c r="AI210" s="188"/>
      <c r="AJ210" s="188"/>
      <c r="AK210" s="188"/>
      <c r="AL210" s="188"/>
      <c r="AM210" s="188"/>
      <c r="AN210" s="188"/>
      <c r="AO210" s="299"/>
      <c r="AQ210" s="296"/>
      <c r="AR210" s="296"/>
      <c r="AS210" s="296"/>
      <c r="AU210" s="296"/>
      <c r="AV210" s="296"/>
      <c r="AW210" s="296"/>
      <c r="CV210" s="510">
        <v>20</v>
      </c>
      <c r="CW210" s="359" t="s">
        <v>928</v>
      </c>
      <c r="CX210" s="361">
        <v>6674701.8799999999</v>
      </c>
      <c r="CY210" s="361">
        <v>615589.57999999996</v>
      </c>
      <c r="CZ210" s="361">
        <v>602257.61</v>
      </c>
      <c r="DA210" s="361">
        <v>221416.7</v>
      </c>
      <c r="DB210" s="361">
        <v>699609.27</v>
      </c>
      <c r="DC210" s="361">
        <v>740381</v>
      </c>
      <c r="DD210" s="361">
        <v>301316.65999999997</v>
      </c>
      <c r="DE210" s="361">
        <v>971002.31</v>
      </c>
      <c r="DF210" s="361">
        <v>860179.41</v>
      </c>
      <c r="DG210" s="361">
        <v>657698.77</v>
      </c>
      <c r="DH210" s="361">
        <v>1005250.57</v>
      </c>
      <c r="DI210" s="361"/>
      <c r="DJ210" s="361"/>
      <c r="DK210" s="361"/>
      <c r="DL210" s="362"/>
    </row>
    <row r="211" spans="2:116" ht="13">
      <c r="B211" s="294"/>
      <c r="C211" s="294"/>
      <c r="D211" s="294"/>
      <c r="E211" s="294"/>
      <c r="F211" s="171"/>
      <c r="G211" s="294"/>
      <c r="H211" s="294"/>
      <c r="I211" s="294"/>
      <c r="J211" s="294"/>
      <c r="K211" s="294"/>
      <c r="L211" s="294"/>
      <c r="T211" s="295"/>
      <c r="AA211" s="295"/>
      <c r="AH211" s="295"/>
      <c r="AI211" s="188"/>
      <c r="AJ211" s="188"/>
      <c r="AK211" s="188"/>
      <c r="AL211" s="188"/>
      <c r="AM211" s="188"/>
      <c r="AN211" s="188"/>
      <c r="AO211" s="299"/>
      <c r="AQ211" s="296"/>
      <c r="AR211" s="296"/>
      <c r="AS211" s="296"/>
      <c r="AU211" s="296"/>
      <c r="AV211" s="296"/>
      <c r="AW211" s="296"/>
      <c r="CV211" s="510">
        <v>21</v>
      </c>
      <c r="CW211" s="359" t="s">
        <v>935</v>
      </c>
      <c r="CX211" s="361">
        <v>6667642.6600000001</v>
      </c>
      <c r="CY211" s="361">
        <v>566056.79</v>
      </c>
      <c r="CZ211" s="361">
        <v>1638477.23</v>
      </c>
      <c r="DA211" s="361">
        <v>722048.71</v>
      </c>
      <c r="DB211" s="361">
        <v>681129.16</v>
      </c>
      <c r="DC211" s="361">
        <v>326545.94</v>
      </c>
      <c r="DD211" s="361">
        <v>533688.67000000004</v>
      </c>
      <c r="DE211" s="361">
        <v>833735.75</v>
      </c>
      <c r="DF211" s="361">
        <v>546104.87</v>
      </c>
      <c r="DG211" s="361">
        <v>323687.03999999998</v>
      </c>
      <c r="DH211" s="361">
        <v>496168.49</v>
      </c>
      <c r="DI211" s="361"/>
      <c r="DJ211" s="361"/>
      <c r="DK211" s="361"/>
      <c r="DL211" s="362"/>
    </row>
    <row r="212" spans="2:116" ht="13">
      <c r="B212" s="294"/>
      <c r="C212" s="294"/>
      <c r="D212" s="294"/>
      <c r="E212" s="294"/>
      <c r="F212" s="171"/>
      <c r="G212" s="294"/>
      <c r="H212" s="294"/>
      <c r="I212" s="294"/>
      <c r="J212" s="294"/>
      <c r="K212" s="294"/>
      <c r="L212" s="294"/>
      <c r="T212" s="295"/>
      <c r="AA212" s="295"/>
      <c r="AH212" s="295"/>
      <c r="AI212" s="188"/>
      <c r="AJ212" s="188"/>
      <c r="AK212" s="188"/>
      <c r="AL212" s="188"/>
      <c r="AM212" s="188"/>
      <c r="AN212" s="188"/>
      <c r="AO212" s="299"/>
      <c r="AQ212" s="296"/>
      <c r="AR212" s="296"/>
      <c r="AS212" s="296"/>
      <c r="AU212" s="296"/>
      <c r="AV212" s="296"/>
      <c r="AW212" s="296"/>
      <c r="CV212" s="510">
        <v>22</v>
      </c>
      <c r="CW212" s="359" t="s">
        <v>949</v>
      </c>
      <c r="CX212" s="361">
        <v>6305730.4100000001</v>
      </c>
      <c r="CY212" s="361">
        <v>375412.47999999998</v>
      </c>
      <c r="CZ212" s="361">
        <v>1659391.83</v>
      </c>
      <c r="DA212" s="361">
        <v>884635.76</v>
      </c>
      <c r="DB212" s="361">
        <v>763851.82</v>
      </c>
      <c r="DC212" s="361">
        <v>557639.59</v>
      </c>
      <c r="DD212" s="361">
        <v>478866.7</v>
      </c>
      <c r="DE212" s="361">
        <v>204293.8</v>
      </c>
      <c r="DF212" s="361">
        <v>398852.95</v>
      </c>
      <c r="DG212" s="361">
        <v>756000.75</v>
      </c>
      <c r="DH212" s="361">
        <v>226784.73</v>
      </c>
      <c r="DI212" s="361"/>
      <c r="DJ212" s="361"/>
      <c r="DK212" s="361"/>
      <c r="DL212" s="362"/>
    </row>
    <row r="213" spans="2:116" ht="13">
      <c r="B213" s="294"/>
      <c r="C213" s="294"/>
      <c r="D213" s="294"/>
      <c r="E213" s="294"/>
      <c r="F213" s="171"/>
      <c r="G213" s="294"/>
      <c r="H213" s="294"/>
      <c r="I213" s="294"/>
      <c r="J213" s="294"/>
      <c r="K213" s="294"/>
      <c r="L213" s="294"/>
      <c r="T213" s="295"/>
      <c r="AA213" s="295"/>
      <c r="AH213" s="295"/>
      <c r="AI213" s="188"/>
      <c r="AJ213" s="188"/>
      <c r="AK213" s="188"/>
      <c r="AL213" s="188"/>
      <c r="AM213" s="188"/>
      <c r="AN213" s="188"/>
      <c r="AO213" s="299"/>
      <c r="AQ213" s="296"/>
      <c r="AR213" s="296"/>
      <c r="AS213" s="296"/>
      <c r="AU213" s="296"/>
      <c r="AV213" s="296"/>
      <c r="AW213" s="296"/>
      <c r="CV213" s="510">
        <v>23</v>
      </c>
      <c r="CW213" s="359" t="s">
        <v>885</v>
      </c>
      <c r="CX213" s="361">
        <v>6304618.0700000003</v>
      </c>
      <c r="CY213" s="361">
        <v>996488.46</v>
      </c>
      <c r="CZ213" s="361">
        <v>509692.07</v>
      </c>
      <c r="DA213" s="361">
        <v>628643.28</v>
      </c>
      <c r="DB213" s="361">
        <v>666100.34</v>
      </c>
      <c r="DC213" s="361">
        <v>277799.98</v>
      </c>
      <c r="DD213" s="361">
        <v>211782.52</v>
      </c>
      <c r="DE213" s="361">
        <v>605009.53</v>
      </c>
      <c r="DF213" s="361">
        <v>449068.12</v>
      </c>
      <c r="DG213" s="361">
        <v>1206915.53</v>
      </c>
      <c r="DH213" s="361">
        <v>753118.25</v>
      </c>
      <c r="DI213" s="361"/>
      <c r="DJ213" s="361"/>
      <c r="DK213" s="361"/>
      <c r="DL213" s="362"/>
    </row>
    <row r="214" spans="2:116" ht="13">
      <c r="B214" s="294"/>
      <c r="C214" s="294"/>
      <c r="D214" s="294"/>
      <c r="E214" s="294"/>
      <c r="F214" s="171"/>
      <c r="G214" s="294"/>
      <c r="H214" s="294"/>
      <c r="I214" s="294"/>
      <c r="J214" s="294"/>
      <c r="K214" s="294"/>
      <c r="L214" s="294"/>
      <c r="T214" s="295"/>
      <c r="AA214" s="295"/>
      <c r="AH214" s="295"/>
      <c r="AI214" s="188"/>
      <c r="AJ214" s="188"/>
      <c r="AK214" s="188"/>
      <c r="AL214" s="188"/>
      <c r="AM214" s="188"/>
      <c r="AN214" s="188"/>
      <c r="AO214" s="299"/>
      <c r="AQ214" s="296"/>
      <c r="AR214" s="296"/>
      <c r="AS214" s="296"/>
      <c r="AU214" s="296"/>
      <c r="AV214" s="296"/>
      <c r="AW214" s="296"/>
      <c r="CV214" s="510">
        <v>24</v>
      </c>
      <c r="CW214" s="359" t="s">
        <v>859</v>
      </c>
      <c r="CX214" s="361">
        <v>6003700.9100000001</v>
      </c>
      <c r="CY214" s="361">
        <v>168986.79</v>
      </c>
      <c r="CZ214" s="361">
        <v>672792.47</v>
      </c>
      <c r="DA214" s="361">
        <v>1418134.66</v>
      </c>
      <c r="DB214" s="361">
        <v>271583.15000000002</v>
      </c>
      <c r="DC214" s="361">
        <v>379779.3</v>
      </c>
      <c r="DD214" s="361">
        <v>83208.77</v>
      </c>
      <c r="DE214" s="361">
        <v>1320382.17</v>
      </c>
      <c r="DF214" s="361">
        <v>80983.8</v>
      </c>
      <c r="DG214" s="361">
        <v>1066414.58</v>
      </c>
      <c r="DH214" s="361">
        <v>541435.21</v>
      </c>
      <c r="DI214" s="361"/>
      <c r="DJ214" s="361"/>
      <c r="DK214" s="361"/>
      <c r="DL214" s="362"/>
    </row>
    <row r="215" spans="2:116" ht="13">
      <c r="B215" s="294"/>
      <c r="C215" s="294"/>
      <c r="D215" s="294"/>
      <c r="E215" s="294"/>
      <c r="F215" s="171"/>
      <c r="G215" s="294"/>
      <c r="H215" s="294"/>
      <c r="I215" s="294"/>
      <c r="J215" s="294"/>
      <c r="K215" s="294"/>
      <c r="L215" s="294"/>
      <c r="T215" s="295"/>
      <c r="AA215" s="295"/>
      <c r="AH215" s="295"/>
      <c r="AI215" s="188"/>
      <c r="AJ215" s="188"/>
      <c r="AK215" s="188"/>
      <c r="AL215" s="188"/>
      <c r="AM215" s="188"/>
      <c r="AN215" s="188"/>
      <c r="AO215" s="299"/>
      <c r="AQ215" s="296"/>
      <c r="AR215" s="296"/>
      <c r="AS215" s="296"/>
      <c r="AU215" s="296"/>
      <c r="AV215" s="296"/>
      <c r="AW215" s="296"/>
      <c r="CV215" s="510">
        <v>25</v>
      </c>
      <c r="CW215" s="359" t="s">
        <v>862</v>
      </c>
      <c r="CX215" s="361">
        <v>5998108.9299999997</v>
      </c>
      <c r="CY215" s="361">
        <v>1939085.76</v>
      </c>
      <c r="CZ215" s="361">
        <v>694216.64</v>
      </c>
      <c r="DA215" s="361">
        <v>0</v>
      </c>
      <c r="DB215" s="361">
        <v>90865.59</v>
      </c>
      <c r="DC215" s="361">
        <v>1430522.53</v>
      </c>
      <c r="DD215" s="361">
        <v>1373798.96</v>
      </c>
      <c r="DE215" s="361">
        <v>334787.53000000003</v>
      </c>
      <c r="DF215" s="361">
        <v>105077.92</v>
      </c>
      <c r="DG215" s="361">
        <v>0</v>
      </c>
      <c r="DH215" s="361">
        <v>29754</v>
      </c>
      <c r="DI215" s="365"/>
      <c r="DJ215" s="365"/>
      <c r="DK215" s="365"/>
      <c r="DL215" s="366"/>
    </row>
    <row r="216" spans="2:116" ht="13">
      <c r="B216" s="294"/>
      <c r="C216" s="294"/>
      <c r="D216" s="294"/>
      <c r="E216" s="294"/>
      <c r="F216" s="171"/>
      <c r="G216" s="294"/>
      <c r="H216" s="294"/>
      <c r="I216" s="294"/>
      <c r="J216" s="294"/>
      <c r="K216" s="294"/>
      <c r="L216" s="294"/>
      <c r="T216" s="295"/>
      <c r="AA216" s="295"/>
      <c r="AH216" s="295"/>
      <c r="AI216" s="188"/>
      <c r="AJ216" s="188"/>
      <c r="AK216" s="188"/>
      <c r="AL216" s="188"/>
      <c r="AM216" s="188"/>
      <c r="AN216" s="188"/>
      <c r="AO216" s="299"/>
      <c r="AQ216" s="296"/>
      <c r="AR216" s="296"/>
      <c r="AS216" s="296"/>
      <c r="AU216" s="296"/>
      <c r="AV216" s="296"/>
      <c r="AW216" s="296"/>
      <c r="CV216" s="510">
        <v>26</v>
      </c>
      <c r="CW216" s="359" t="s">
        <v>927</v>
      </c>
      <c r="CX216" s="361">
        <v>5975689.9400000004</v>
      </c>
      <c r="CY216" s="361">
        <v>162876.48000000001</v>
      </c>
      <c r="CZ216" s="361">
        <v>950971.48</v>
      </c>
      <c r="DA216" s="361">
        <v>1212936.42</v>
      </c>
      <c r="DB216" s="361">
        <v>367937.82</v>
      </c>
      <c r="DC216" s="361">
        <v>318744.03000000003</v>
      </c>
      <c r="DD216" s="361">
        <v>748698.62</v>
      </c>
      <c r="DE216" s="361">
        <v>0</v>
      </c>
      <c r="DF216" s="361">
        <v>463260.78</v>
      </c>
      <c r="DG216" s="361">
        <v>560432.41</v>
      </c>
      <c r="DH216" s="361">
        <v>1189831.8999999999</v>
      </c>
      <c r="DI216" s="361"/>
      <c r="DJ216" s="361"/>
      <c r="DK216" s="361"/>
      <c r="DL216" s="362"/>
    </row>
    <row r="217" spans="2:116" ht="13">
      <c r="B217" s="294"/>
      <c r="C217" s="294"/>
      <c r="D217" s="294"/>
      <c r="E217" s="294"/>
      <c r="F217" s="171"/>
      <c r="G217" s="294"/>
      <c r="H217" s="294"/>
      <c r="I217" s="294"/>
      <c r="J217" s="294"/>
      <c r="K217" s="294"/>
      <c r="L217" s="294"/>
      <c r="T217" s="295"/>
      <c r="AA217" s="295"/>
      <c r="AH217" s="295"/>
      <c r="AI217" s="188"/>
      <c r="AJ217" s="188"/>
      <c r="AK217" s="188"/>
      <c r="AL217" s="188"/>
      <c r="AM217" s="188"/>
      <c r="AN217" s="188"/>
      <c r="AO217" s="299"/>
      <c r="AQ217" s="296"/>
      <c r="AR217" s="296"/>
      <c r="AS217" s="296"/>
      <c r="AU217" s="296"/>
      <c r="AV217" s="296"/>
      <c r="AW217" s="296"/>
      <c r="CV217" s="510">
        <v>27</v>
      </c>
      <c r="CW217" s="359" t="s">
        <v>857</v>
      </c>
      <c r="CX217" s="361">
        <v>5818560.3700000001</v>
      </c>
      <c r="CY217" s="361">
        <v>986185.65</v>
      </c>
      <c r="CZ217" s="361">
        <v>521024.28</v>
      </c>
      <c r="DA217" s="361">
        <v>379982.54</v>
      </c>
      <c r="DB217" s="361">
        <v>209740.97</v>
      </c>
      <c r="DC217" s="361">
        <v>53779.09</v>
      </c>
      <c r="DD217" s="361">
        <v>9355.35</v>
      </c>
      <c r="DE217" s="361">
        <v>134349.31</v>
      </c>
      <c r="DF217" s="361">
        <v>407831</v>
      </c>
      <c r="DG217" s="361">
        <v>1874397.63</v>
      </c>
      <c r="DH217" s="361">
        <v>1241914.56</v>
      </c>
      <c r="DI217" s="361"/>
      <c r="DJ217" s="361"/>
      <c r="DK217" s="361"/>
      <c r="DL217" s="362"/>
    </row>
    <row r="218" spans="2:116" ht="13">
      <c r="B218" s="294"/>
      <c r="C218" s="294"/>
      <c r="D218" s="294"/>
      <c r="E218" s="294"/>
      <c r="F218" s="171"/>
      <c r="G218" s="294"/>
      <c r="H218" s="294"/>
      <c r="I218" s="294"/>
      <c r="J218" s="294"/>
      <c r="K218" s="294"/>
      <c r="L218" s="294"/>
      <c r="T218" s="295"/>
      <c r="AA218" s="295"/>
      <c r="AH218" s="295"/>
      <c r="AI218" s="188"/>
      <c r="AJ218" s="188"/>
      <c r="AK218" s="188"/>
      <c r="AL218" s="188"/>
      <c r="AM218" s="188"/>
      <c r="AN218" s="188"/>
      <c r="AO218" s="299"/>
      <c r="AQ218" s="296"/>
      <c r="AR218" s="296"/>
      <c r="AS218" s="296"/>
      <c r="AU218" s="296"/>
      <c r="AV218" s="296"/>
      <c r="AW218" s="296"/>
      <c r="CV218" s="510">
        <v>28</v>
      </c>
      <c r="CW218" s="359" t="s">
        <v>846</v>
      </c>
      <c r="CX218" s="361">
        <v>5462410.7999999998</v>
      </c>
      <c r="CY218" s="361">
        <v>408923.48</v>
      </c>
      <c r="CZ218" s="361">
        <v>575249.44999999995</v>
      </c>
      <c r="DA218" s="361">
        <v>1341611.83</v>
      </c>
      <c r="DB218" s="361">
        <v>838712.31</v>
      </c>
      <c r="DC218" s="361">
        <v>206478</v>
      </c>
      <c r="DD218" s="361">
        <v>511340.54</v>
      </c>
      <c r="DE218" s="361">
        <v>0</v>
      </c>
      <c r="DF218" s="361">
        <v>620323.18999999994</v>
      </c>
      <c r="DG218" s="361">
        <v>441950.15</v>
      </c>
      <c r="DH218" s="361">
        <v>517821.85</v>
      </c>
      <c r="DI218" s="361"/>
      <c r="DJ218" s="361"/>
      <c r="DK218" s="361"/>
      <c r="DL218" s="362"/>
    </row>
    <row r="219" spans="2:116" ht="13">
      <c r="B219" s="294"/>
      <c r="C219" s="294"/>
      <c r="D219" s="294"/>
      <c r="E219" s="294"/>
      <c r="F219" s="171"/>
      <c r="G219" s="294"/>
      <c r="H219" s="294"/>
      <c r="I219" s="294"/>
      <c r="J219" s="294"/>
      <c r="K219" s="294"/>
      <c r="L219" s="294"/>
      <c r="T219" s="295"/>
      <c r="AA219" s="295"/>
      <c r="AH219" s="295"/>
      <c r="AI219" s="188"/>
      <c r="AJ219" s="188"/>
      <c r="AK219" s="188"/>
      <c r="AL219" s="188"/>
      <c r="AM219" s="188"/>
      <c r="AN219" s="188"/>
      <c r="AO219" s="299"/>
      <c r="AQ219" s="296"/>
      <c r="AR219" s="296"/>
      <c r="AS219" s="296"/>
      <c r="AU219" s="296"/>
      <c r="AV219" s="296"/>
      <c r="AW219" s="296"/>
      <c r="CV219" s="510">
        <v>29</v>
      </c>
      <c r="CW219" s="359" t="s">
        <v>936</v>
      </c>
      <c r="CX219" s="361">
        <v>5143999.42</v>
      </c>
      <c r="CY219" s="361">
        <v>914098.57</v>
      </c>
      <c r="CZ219" s="361">
        <v>484806.01</v>
      </c>
      <c r="DA219" s="361">
        <v>1204749.0900000001</v>
      </c>
      <c r="DB219" s="361">
        <v>451247.29</v>
      </c>
      <c r="DC219" s="361">
        <v>613246.52</v>
      </c>
      <c r="DD219" s="361">
        <v>411764.8</v>
      </c>
      <c r="DE219" s="361">
        <v>353266.06</v>
      </c>
      <c r="DF219" s="361">
        <v>331463.36</v>
      </c>
      <c r="DG219" s="361">
        <v>118867.6</v>
      </c>
      <c r="DH219" s="361">
        <v>260490.11</v>
      </c>
      <c r="DI219" s="365"/>
      <c r="DJ219" s="365"/>
      <c r="DK219" s="365"/>
      <c r="DL219" s="366"/>
    </row>
    <row r="220" spans="2:116" ht="13">
      <c r="B220" s="294"/>
      <c r="C220" s="294"/>
      <c r="D220" s="294"/>
      <c r="E220" s="294"/>
      <c r="F220" s="171"/>
      <c r="G220" s="294"/>
      <c r="H220" s="294"/>
      <c r="I220" s="294"/>
      <c r="J220" s="294"/>
      <c r="K220" s="294"/>
      <c r="L220" s="294"/>
      <c r="T220" s="295"/>
      <c r="AA220" s="295"/>
      <c r="AH220" s="295"/>
      <c r="AI220" s="188"/>
      <c r="AJ220" s="188"/>
      <c r="AK220" s="188"/>
      <c r="AL220" s="188"/>
      <c r="AM220" s="188"/>
      <c r="AN220" s="188"/>
      <c r="AO220" s="299"/>
      <c r="AQ220" s="296"/>
      <c r="AR220" s="296"/>
      <c r="AS220" s="296"/>
      <c r="AU220" s="296"/>
      <c r="AV220" s="296"/>
      <c r="AW220" s="296"/>
      <c r="CU220" s="302" t="s">
        <v>988</v>
      </c>
      <c r="CV220" s="510">
        <v>30</v>
      </c>
      <c r="CW220" s="359" t="s">
        <v>877</v>
      </c>
      <c r="CX220" s="361">
        <v>4937828.9000000004</v>
      </c>
      <c r="CY220" s="352">
        <v>964882.86</v>
      </c>
      <c r="CZ220" s="361">
        <v>224644.79</v>
      </c>
      <c r="DA220" s="361">
        <v>332650.51</v>
      </c>
      <c r="DB220" s="361">
        <v>510518.07</v>
      </c>
      <c r="DC220" s="361">
        <v>1092206.55</v>
      </c>
      <c r="DD220" s="361">
        <v>0</v>
      </c>
      <c r="DE220" s="361">
        <v>525853.61</v>
      </c>
      <c r="DF220" s="361">
        <v>108387.57</v>
      </c>
      <c r="DG220" s="361">
        <v>828446.94</v>
      </c>
      <c r="DH220" s="361">
        <v>350238</v>
      </c>
      <c r="DI220" s="361"/>
      <c r="DJ220" s="361"/>
      <c r="DK220" s="361"/>
      <c r="DL220" s="362"/>
    </row>
    <row r="221" spans="2:116" ht="13">
      <c r="B221" s="294"/>
      <c r="C221" s="294"/>
      <c r="D221" s="294"/>
      <c r="E221" s="294"/>
      <c r="F221" s="171"/>
      <c r="G221" s="294"/>
      <c r="H221" s="294"/>
      <c r="I221" s="294"/>
      <c r="J221" s="294"/>
      <c r="K221" s="294"/>
      <c r="L221" s="294"/>
      <c r="T221" s="295"/>
      <c r="AA221" s="295"/>
      <c r="AH221" s="295"/>
      <c r="AI221" s="188"/>
      <c r="AJ221" s="188"/>
      <c r="AK221" s="188"/>
      <c r="AL221" s="188"/>
      <c r="AM221" s="188"/>
      <c r="AN221" s="188"/>
      <c r="AO221" s="299"/>
      <c r="AQ221" s="296"/>
      <c r="AR221" s="296"/>
      <c r="AS221" s="296"/>
      <c r="AU221" s="296"/>
      <c r="AV221" s="296"/>
      <c r="AW221" s="296"/>
      <c r="CV221" s="510">
        <v>31</v>
      </c>
      <c r="CW221" s="359" t="s">
        <v>947</v>
      </c>
      <c r="CX221" s="361">
        <v>4678542.3099999996</v>
      </c>
      <c r="CY221" s="361">
        <v>835587.55</v>
      </c>
      <c r="CZ221" s="361">
        <v>574575.76</v>
      </c>
      <c r="DA221" s="361">
        <v>442319.99</v>
      </c>
      <c r="DB221" s="361">
        <v>456669.72</v>
      </c>
      <c r="DC221" s="361">
        <v>386491.48</v>
      </c>
      <c r="DD221" s="361">
        <v>547849.92000000004</v>
      </c>
      <c r="DE221" s="361">
        <v>481680.52</v>
      </c>
      <c r="DF221" s="361">
        <v>320877.46000000002</v>
      </c>
      <c r="DG221" s="361">
        <v>310622.87</v>
      </c>
      <c r="DH221" s="361">
        <v>321867.03999999998</v>
      </c>
      <c r="DI221" s="361"/>
      <c r="DJ221" s="361"/>
      <c r="DK221" s="361"/>
      <c r="DL221" s="362"/>
    </row>
    <row r="222" spans="2:116" ht="13">
      <c r="B222" s="294"/>
      <c r="C222" s="294"/>
      <c r="D222" s="294"/>
      <c r="E222" s="294"/>
      <c r="F222" s="171"/>
      <c r="G222" s="294"/>
      <c r="H222" s="294"/>
      <c r="I222" s="294"/>
      <c r="J222" s="294"/>
      <c r="K222" s="294"/>
      <c r="L222" s="294"/>
      <c r="T222" s="295"/>
      <c r="AA222" s="295"/>
      <c r="AH222" s="295"/>
      <c r="AI222" s="188"/>
      <c r="AJ222" s="188"/>
      <c r="AK222" s="188"/>
      <c r="AL222" s="188"/>
      <c r="AM222" s="188"/>
      <c r="AN222" s="188"/>
      <c r="AO222" s="299"/>
      <c r="AQ222" s="296"/>
      <c r="AR222" s="296"/>
      <c r="AS222" s="296"/>
      <c r="AU222" s="296"/>
      <c r="AV222" s="296"/>
      <c r="AW222" s="296"/>
      <c r="CV222" s="510">
        <v>32</v>
      </c>
      <c r="CW222" s="359" t="s">
        <v>850</v>
      </c>
      <c r="CX222" s="361">
        <v>4673051.78</v>
      </c>
      <c r="CY222" s="361">
        <v>701523.81</v>
      </c>
      <c r="CZ222" s="361">
        <v>139141.12</v>
      </c>
      <c r="DA222" s="361">
        <v>587280.68999999994</v>
      </c>
      <c r="DB222" s="361">
        <v>324108.64</v>
      </c>
      <c r="DC222" s="361">
        <v>514342.45</v>
      </c>
      <c r="DD222" s="361">
        <v>434120.37</v>
      </c>
      <c r="DE222" s="361">
        <v>509182.48</v>
      </c>
      <c r="DF222" s="361">
        <v>453281.92</v>
      </c>
      <c r="DG222" s="361">
        <v>431551.44</v>
      </c>
      <c r="DH222" s="361">
        <v>578518.86</v>
      </c>
      <c r="DI222" s="361"/>
      <c r="DJ222" s="361"/>
      <c r="DK222" s="361"/>
      <c r="DL222" s="362"/>
    </row>
    <row r="223" spans="2:116" ht="13">
      <c r="B223" s="294"/>
      <c r="C223" s="294"/>
      <c r="D223" s="294"/>
      <c r="E223" s="294"/>
      <c r="F223" s="171"/>
      <c r="G223" s="294"/>
      <c r="H223" s="294"/>
      <c r="I223" s="294"/>
      <c r="J223" s="294"/>
      <c r="K223" s="294"/>
      <c r="L223" s="294"/>
      <c r="T223" s="295"/>
      <c r="AA223" s="295"/>
      <c r="AH223" s="295"/>
      <c r="AI223" s="188"/>
      <c r="AJ223" s="188"/>
      <c r="AK223" s="188"/>
      <c r="AL223" s="188"/>
      <c r="AM223" s="188"/>
      <c r="AN223" s="188"/>
      <c r="AO223" s="299"/>
      <c r="AQ223" s="296"/>
      <c r="AR223" s="296"/>
      <c r="AS223" s="296"/>
      <c r="AU223" s="296"/>
      <c r="AV223" s="296"/>
      <c r="AW223" s="296"/>
      <c r="CV223" s="510">
        <v>33</v>
      </c>
      <c r="CW223" s="359" t="s">
        <v>891</v>
      </c>
      <c r="CX223" s="361">
        <v>4233537.9800000004</v>
      </c>
      <c r="CY223" s="361">
        <v>531226.1</v>
      </c>
      <c r="CZ223" s="361">
        <v>216300.96</v>
      </c>
      <c r="DA223" s="361">
        <v>411977.46</v>
      </c>
      <c r="DB223" s="361">
        <v>767952.31</v>
      </c>
      <c r="DC223" s="361">
        <v>0</v>
      </c>
      <c r="DD223" s="361">
        <v>340021.2</v>
      </c>
      <c r="DE223" s="361">
        <v>264235.75</v>
      </c>
      <c r="DF223" s="361">
        <v>636510.84</v>
      </c>
      <c r="DG223" s="361">
        <v>1065313.3600000001</v>
      </c>
      <c r="DH223" s="365">
        <v>0</v>
      </c>
      <c r="DI223" s="365"/>
      <c r="DJ223" s="365"/>
      <c r="DK223" s="365"/>
      <c r="DL223" s="366"/>
    </row>
    <row r="224" spans="2:116" ht="13">
      <c r="B224" s="294"/>
      <c r="C224" s="294"/>
      <c r="D224" s="294"/>
      <c r="E224" s="294"/>
      <c r="F224" s="171"/>
      <c r="G224" s="294"/>
      <c r="H224" s="294"/>
      <c r="I224" s="294"/>
      <c r="J224" s="294"/>
      <c r="K224" s="294"/>
      <c r="L224" s="294"/>
      <c r="T224" s="295"/>
      <c r="AA224" s="295"/>
      <c r="AH224" s="295"/>
      <c r="AI224" s="188"/>
      <c r="AJ224" s="188"/>
      <c r="AK224" s="188"/>
      <c r="AL224" s="188"/>
      <c r="AM224" s="188"/>
      <c r="AN224" s="188"/>
      <c r="AO224" s="299"/>
      <c r="AQ224" s="296"/>
      <c r="AR224" s="296"/>
      <c r="AS224" s="296"/>
      <c r="AU224" s="296"/>
      <c r="AV224" s="296"/>
      <c r="AW224" s="296"/>
      <c r="CV224" s="510">
        <v>34</v>
      </c>
      <c r="CW224" s="359" t="s">
        <v>962</v>
      </c>
      <c r="CX224" s="361">
        <v>4209615.8899999997</v>
      </c>
      <c r="CY224" s="361">
        <v>0</v>
      </c>
      <c r="CZ224" s="361">
        <v>352124</v>
      </c>
      <c r="DA224" s="361">
        <v>449768.28</v>
      </c>
      <c r="DB224" s="361">
        <v>458001.91999999998</v>
      </c>
      <c r="DC224" s="361">
        <v>550313.19999999995</v>
      </c>
      <c r="DD224" s="361">
        <v>403854.41</v>
      </c>
      <c r="DE224" s="361">
        <v>783827.28</v>
      </c>
      <c r="DF224" s="361">
        <v>576827.19999999995</v>
      </c>
      <c r="DG224" s="361">
        <v>634899.6</v>
      </c>
      <c r="DH224" s="361">
        <v>0</v>
      </c>
      <c r="DI224" s="361"/>
      <c r="DJ224" s="361"/>
      <c r="DK224" s="361"/>
      <c r="DL224" s="362"/>
    </row>
    <row r="225" spans="2:116" ht="13">
      <c r="B225" s="294"/>
      <c r="C225" s="294"/>
      <c r="D225" s="294"/>
      <c r="E225" s="294"/>
      <c r="F225" s="171"/>
      <c r="G225" s="294"/>
      <c r="H225" s="294"/>
      <c r="I225" s="294"/>
      <c r="J225" s="294"/>
      <c r="K225" s="294"/>
      <c r="L225" s="294"/>
      <c r="T225" s="295"/>
      <c r="AA225" s="295"/>
      <c r="AH225" s="295"/>
      <c r="AI225" s="188"/>
      <c r="AJ225" s="188"/>
      <c r="AK225" s="188"/>
      <c r="AL225" s="188"/>
      <c r="AM225" s="188"/>
      <c r="AN225" s="188"/>
      <c r="AO225" s="299"/>
      <c r="AQ225" s="296"/>
      <c r="AR225" s="296"/>
      <c r="AS225" s="296"/>
      <c r="AU225" s="296"/>
      <c r="AV225" s="296"/>
      <c r="AW225" s="296"/>
      <c r="CV225" s="510">
        <v>35</v>
      </c>
      <c r="CW225" s="359" t="s">
        <v>898</v>
      </c>
      <c r="CX225" s="361">
        <v>4163405.11</v>
      </c>
      <c r="CY225" s="361">
        <v>271954.17</v>
      </c>
      <c r="CZ225" s="361">
        <v>542648.46</v>
      </c>
      <c r="DA225" s="361">
        <v>0</v>
      </c>
      <c r="DB225" s="361">
        <v>278387.69</v>
      </c>
      <c r="DC225" s="361">
        <v>72207.22</v>
      </c>
      <c r="DD225" s="361">
        <v>777087.86</v>
      </c>
      <c r="DE225" s="361">
        <v>543084.64</v>
      </c>
      <c r="DF225" s="361">
        <v>293763.71000000002</v>
      </c>
      <c r="DG225" s="361">
        <v>1010442.5</v>
      </c>
      <c r="DH225" s="361">
        <v>373828.86</v>
      </c>
      <c r="DI225" s="361"/>
      <c r="DJ225" s="361"/>
      <c r="DK225" s="361"/>
      <c r="DL225" s="362"/>
    </row>
    <row r="226" spans="2:116" ht="13">
      <c r="B226" s="294"/>
      <c r="C226" s="294"/>
      <c r="D226" s="294"/>
      <c r="E226" s="294"/>
      <c r="F226" s="171"/>
      <c r="G226" s="294"/>
      <c r="H226" s="294"/>
      <c r="I226" s="294"/>
      <c r="J226" s="294"/>
      <c r="K226" s="294"/>
      <c r="L226" s="294"/>
      <c r="T226" s="295"/>
      <c r="AA226" s="295"/>
      <c r="AH226" s="295"/>
      <c r="AI226" s="188"/>
      <c r="AJ226" s="188"/>
      <c r="AK226" s="188"/>
      <c r="AL226" s="188"/>
      <c r="AM226" s="188"/>
      <c r="AN226" s="188"/>
      <c r="AO226" s="299"/>
      <c r="AQ226" s="296"/>
      <c r="AR226" s="296"/>
      <c r="AS226" s="296"/>
      <c r="AU226" s="296"/>
      <c r="AV226" s="296"/>
      <c r="AW226" s="296"/>
      <c r="CV226" s="510">
        <v>36</v>
      </c>
      <c r="CW226" s="359" t="s">
        <v>867</v>
      </c>
      <c r="CX226" s="361">
        <v>4157982.85</v>
      </c>
      <c r="CY226" s="361">
        <v>0</v>
      </c>
      <c r="CZ226" s="361">
        <v>0</v>
      </c>
      <c r="DA226" s="361">
        <v>0</v>
      </c>
      <c r="DB226" s="361">
        <v>0</v>
      </c>
      <c r="DC226" s="361">
        <v>0</v>
      </c>
      <c r="DD226" s="361">
        <v>812414.05</v>
      </c>
      <c r="DE226" s="361">
        <v>344371.55</v>
      </c>
      <c r="DF226" s="361">
        <v>1074610.6000000001</v>
      </c>
      <c r="DG226" s="361">
        <v>441514.94</v>
      </c>
      <c r="DH226" s="361">
        <v>1485071.71</v>
      </c>
      <c r="DI226" s="361"/>
      <c r="DJ226" s="361"/>
      <c r="DK226" s="361"/>
      <c r="DL226" s="362"/>
    </row>
    <row r="227" spans="2:116" ht="13">
      <c r="B227" s="294"/>
      <c r="C227" s="294"/>
      <c r="D227" s="294"/>
      <c r="E227" s="294"/>
      <c r="F227" s="171"/>
      <c r="G227" s="294"/>
      <c r="H227" s="294"/>
      <c r="I227" s="294"/>
      <c r="J227" s="294"/>
      <c r="K227" s="294"/>
      <c r="L227" s="294"/>
      <c r="T227" s="295"/>
      <c r="AA227" s="295"/>
      <c r="AH227" s="295"/>
      <c r="AI227" s="188"/>
      <c r="AJ227" s="188"/>
      <c r="AK227" s="188"/>
      <c r="AL227" s="188"/>
      <c r="AM227" s="188"/>
      <c r="AN227" s="188"/>
      <c r="AO227" s="299"/>
      <c r="AQ227" s="296"/>
      <c r="AR227" s="296"/>
      <c r="AS227" s="296"/>
      <c r="AU227" s="296"/>
      <c r="AV227" s="296"/>
      <c r="AW227" s="296"/>
      <c r="CV227" s="510">
        <v>37</v>
      </c>
      <c r="CW227" s="359" t="s">
        <v>896</v>
      </c>
      <c r="CX227" s="361">
        <v>4150302.82</v>
      </c>
      <c r="CY227" s="361">
        <v>443456.93</v>
      </c>
      <c r="CZ227" s="361">
        <v>1090801.1100000001</v>
      </c>
      <c r="DA227" s="361">
        <v>723576.96</v>
      </c>
      <c r="DB227" s="361">
        <v>85831.92</v>
      </c>
      <c r="DC227" s="361">
        <v>689265.84</v>
      </c>
      <c r="DD227" s="361">
        <v>0</v>
      </c>
      <c r="DE227" s="361">
        <v>559303.64</v>
      </c>
      <c r="DF227" s="361">
        <v>94416</v>
      </c>
      <c r="DG227" s="361">
        <v>238823.2</v>
      </c>
      <c r="DH227" s="361">
        <v>224827.22</v>
      </c>
      <c r="DI227" s="361"/>
      <c r="DJ227" s="361"/>
      <c r="DK227" s="361"/>
      <c r="DL227" s="362"/>
    </row>
    <row r="228" spans="2:116" ht="13">
      <c r="B228" s="294"/>
      <c r="C228" s="294"/>
      <c r="D228" s="294"/>
      <c r="E228" s="294"/>
      <c r="F228" s="171"/>
      <c r="G228" s="294"/>
      <c r="H228" s="294"/>
      <c r="I228" s="294"/>
      <c r="J228" s="294"/>
      <c r="K228" s="294"/>
      <c r="L228" s="294"/>
      <c r="T228" s="295"/>
      <c r="AA228" s="295"/>
      <c r="AH228" s="295"/>
      <c r="AI228" s="188"/>
      <c r="AJ228" s="188"/>
      <c r="AK228" s="188"/>
      <c r="AL228" s="188"/>
      <c r="AM228" s="188"/>
      <c r="AN228" s="188"/>
      <c r="AO228" s="299"/>
      <c r="AQ228" s="296"/>
      <c r="AR228" s="296"/>
      <c r="AS228" s="296"/>
      <c r="AU228" s="296"/>
      <c r="AV228" s="296"/>
      <c r="AW228" s="296"/>
      <c r="CV228" s="510">
        <v>38</v>
      </c>
      <c r="CW228" s="359" t="s">
        <v>892</v>
      </c>
      <c r="CX228" s="361">
        <v>4134957.73</v>
      </c>
      <c r="CY228" s="352">
        <v>628305.88</v>
      </c>
      <c r="CZ228" s="361">
        <v>276032.84000000003</v>
      </c>
      <c r="DA228" s="361">
        <v>327247.03000000003</v>
      </c>
      <c r="DB228" s="361">
        <v>142029.78</v>
      </c>
      <c r="DC228" s="361">
        <v>334423.59999999998</v>
      </c>
      <c r="DD228" s="361">
        <v>473727.87</v>
      </c>
      <c r="DE228" s="361">
        <v>487080.63</v>
      </c>
      <c r="DF228" s="361">
        <v>462439.21</v>
      </c>
      <c r="DG228" s="361">
        <v>206936.32000000001</v>
      </c>
      <c r="DH228" s="361">
        <v>796734.57</v>
      </c>
      <c r="DI228" s="361"/>
      <c r="DJ228" s="361"/>
      <c r="DK228" s="361"/>
      <c r="DL228" s="362"/>
    </row>
    <row r="229" spans="2:116" ht="13">
      <c r="B229" s="294"/>
      <c r="C229" s="294"/>
      <c r="D229" s="294"/>
      <c r="E229" s="294"/>
      <c r="F229" s="171"/>
      <c r="G229" s="294"/>
      <c r="H229" s="294"/>
      <c r="I229" s="294"/>
      <c r="J229" s="294"/>
      <c r="K229" s="294"/>
      <c r="L229" s="294"/>
      <c r="T229" s="295"/>
      <c r="AA229" s="295"/>
      <c r="AH229" s="295"/>
      <c r="AI229" s="188"/>
      <c r="AJ229" s="188"/>
      <c r="AK229" s="188"/>
      <c r="AL229" s="188"/>
      <c r="AM229" s="188"/>
      <c r="AN229" s="188"/>
      <c r="AO229" s="299"/>
      <c r="AQ229" s="296"/>
      <c r="AR229" s="296"/>
      <c r="AS229" s="296"/>
      <c r="AU229" s="296"/>
      <c r="AV229" s="296"/>
      <c r="AW229" s="296"/>
      <c r="CV229" s="510">
        <v>39</v>
      </c>
      <c r="CW229" s="359" t="s">
        <v>889</v>
      </c>
      <c r="CX229" s="361">
        <v>4052469.35</v>
      </c>
      <c r="CY229" s="361">
        <v>270799.2</v>
      </c>
      <c r="CZ229" s="361">
        <v>199507.52</v>
      </c>
      <c r="DA229" s="361">
        <v>569756.16000000003</v>
      </c>
      <c r="DB229" s="361">
        <v>457852.83</v>
      </c>
      <c r="DC229" s="361">
        <v>601034.62</v>
      </c>
      <c r="DD229" s="361">
        <v>536383.84</v>
      </c>
      <c r="DE229" s="361">
        <v>213221.6</v>
      </c>
      <c r="DF229" s="361">
        <v>468376.33</v>
      </c>
      <c r="DG229" s="361">
        <v>360784.9</v>
      </c>
      <c r="DH229" s="361">
        <v>374752.35</v>
      </c>
      <c r="DI229" s="361"/>
      <c r="DJ229" s="361"/>
      <c r="DK229" s="361"/>
      <c r="DL229" s="362"/>
    </row>
    <row r="230" spans="2:116" ht="13">
      <c r="B230" s="294"/>
      <c r="C230" s="294"/>
      <c r="D230" s="294"/>
      <c r="E230" s="294"/>
      <c r="F230" s="171"/>
      <c r="G230" s="294"/>
      <c r="H230" s="294"/>
      <c r="I230" s="294"/>
      <c r="J230" s="294"/>
      <c r="K230" s="294"/>
      <c r="L230" s="294"/>
      <c r="T230" s="295"/>
      <c r="AA230" s="295"/>
      <c r="AH230" s="295"/>
      <c r="AI230" s="188"/>
      <c r="AJ230" s="188"/>
      <c r="AK230" s="188"/>
      <c r="AL230" s="188"/>
      <c r="AM230" s="188"/>
      <c r="AN230" s="188"/>
      <c r="AO230" s="299"/>
      <c r="AQ230" s="296"/>
      <c r="AR230" s="296"/>
      <c r="AS230" s="296"/>
      <c r="AU230" s="296"/>
      <c r="AV230" s="296"/>
      <c r="AW230" s="296"/>
      <c r="CV230" s="510">
        <v>40</v>
      </c>
      <c r="CW230" s="359" t="s">
        <v>881</v>
      </c>
      <c r="CX230" s="361">
        <v>4004209.05</v>
      </c>
      <c r="CY230" s="361">
        <v>1159792.1299999999</v>
      </c>
      <c r="CZ230" s="361">
        <v>647376.16</v>
      </c>
      <c r="DA230" s="361">
        <v>0</v>
      </c>
      <c r="DB230" s="361">
        <v>0</v>
      </c>
      <c r="DC230" s="361">
        <v>0</v>
      </c>
      <c r="DD230" s="361">
        <v>66664.62</v>
      </c>
      <c r="DE230" s="361">
        <v>110591.23</v>
      </c>
      <c r="DF230" s="361">
        <v>358223.96</v>
      </c>
      <c r="DG230" s="361">
        <v>435107.04</v>
      </c>
      <c r="DH230" s="361">
        <v>1226453.9099999999</v>
      </c>
      <c r="DI230" s="361"/>
      <c r="DJ230" s="361"/>
      <c r="DK230" s="361"/>
      <c r="DL230" s="362"/>
    </row>
    <row r="231" spans="2:116" ht="13">
      <c r="B231" s="294"/>
      <c r="C231" s="294"/>
      <c r="D231" s="294"/>
      <c r="E231" s="294"/>
      <c r="F231" s="171"/>
      <c r="G231" s="294"/>
      <c r="H231" s="294"/>
      <c r="I231" s="294"/>
      <c r="J231" s="294"/>
      <c r="K231" s="294"/>
      <c r="L231" s="294"/>
      <c r="T231" s="295"/>
      <c r="AA231" s="295"/>
      <c r="AH231" s="295"/>
      <c r="AI231" s="188"/>
      <c r="AJ231" s="188"/>
      <c r="AK231" s="188"/>
      <c r="AL231" s="188"/>
      <c r="AM231" s="188"/>
      <c r="AN231" s="188"/>
      <c r="AO231" s="299"/>
      <c r="AQ231" s="296"/>
      <c r="AR231" s="296"/>
      <c r="AS231" s="296"/>
      <c r="AU231" s="296"/>
      <c r="AV231" s="296"/>
      <c r="AW231" s="296"/>
      <c r="CV231" s="510">
        <v>41</v>
      </c>
      <c r="CW231" s="359" t="s">
        <v>960</v>
      </c>
      <c r="CX231" s="361">
        <v>3545127.57</v>
      </c>
      <c r="CY231" s="361">
        <v>370934.24</v>
      </c>
      <c r="CZ231" s="361">
        <v>295863.59999999998</v>
      </c>
      <c r="DA231" s="361">
        <v>262718.88</v>
      </c>
      <c r="DB231" s="361">
        <v>226767.12</v>
      </c>
      <c r="DC231" s="361">
        <v>250195.68</v>
      </c>
      <c r="DD231" s="361">
        <v>196245.28</v>
      </c>
      <c r="DE231" s="361">
        <v>377500.32</v>
      </c>
      <c r="DF231" s="361">
        <v>382468</v>
      </c>
      <c r="DG231" s="361">
        <v>319059.59999999998</v>
      </c>
      <c r="DH231" s="361">
        <v>863374.85</v>
      </c>
      <c r="DI231" s="361"/>
      <c r="DJ231" s="361"/>
      <c r="DK231" s="361"/>
      <c r="DL231" s="362"/>
    </row>
    <row r="232" spans="2:116" ht="13">
      <c r="B232" s="294"/>
      <c r="C232" s="294"/>
      <c r="D232" s="294"/>
      <c r="E232" s="294"/>
      <c r="F232" s="171"/>
      <c r="G232" s="294"/>
      <c r="H232" s="294"/>
      <c r="I232" s="294"/>
      <c r="J232" s="294"/>
      <c r="K232" s="294"/>
      <c r="L232" s="294"/>
      <c r="T232" s="295"/>
      <c r="AA232" s="295"/>
      <c r="AH232" s="295"/>
      <c r="AI232" s="188"/>
      <c r="AJ232" s="188"/>
      <c r="AK232" s="188"/>
      <c r="AL232" s="188"/>
      <c r="AM232" s="188"/>
      <c r="AN232" s="188"/>
      <c r="AO232" s="299"/>
      <c r="AQ232" s="296"/>
      <c r="AR232" s="296"/>
      <c r="AS232" s="296"/>
      <c r="AU232" s="296"/>
      <c r="AV232" s="296"/>
      <c r="AW232" s="296"/>
      <c r="CV232" s="510">
        <v>42</v>
      </c>
      <c r="CW232" s="359" t="s">
        <v>893</v>
      </c>
      <c r="CX232" s="361">
        <v>3496624.32</v>
      </c>
      <c r="CY232" s="361">
        <v>0</v>
      </c>
      <c r="CZ232" s="361">
        <v>36151.82</v>
      </c>
      <c r="DA232" s="361">
        <v>83808.509999999995</v>
      </c>
      <c r="DB232" s="361">
        <v>81483.91</v>
      </c>
      <c r="DC232" s="361">
        <v>87899.25</v>
      </c>
      <c r="DD232" s="361">
        <v>20372.400000000001</v>
      </c>
      <c r="DE232" s="361">
        <v>923416.94</v>
      </c>
      <c r="DF232" s="361">
        <v>155253.98000000001</v>
      </c>
      <c r="DG232" s="361">
        <v>2014139.78</v>
      </c>
      <c r="DH232" s="361">
        <v>94097.74</v>
      </c>
      <c r="DI232" s="361"/>
      <c r="DJ232" s="361"/>
      <c r="DK232" s="361"/>
      <c r="DL232" s="362"/>
    </row>
    <row r="233" spans="2:116" ht="13">
      <c r="B233" s="294"/>
      <c r="C233" s="294"/>
      <c r="D233" s="294"/>
      <c r="E233" s="294"/>
      <c r="F233" s="171"/>
      <c r="G233" s="294"/>
      <c r="H233" s="294"/>
      <c r="I233" s="294"/>
      <c r="J233" s="294"/>
      <c r="K233" s="294"/>
      <c r="L233" s="294"/>
      <c r="T233" s="295"/>
      <c r="AA233" s="295"/>
      <c r="AH233" s="295"/>
      <c r="AI233" s="188"/>
      <c r="AJ233" s="188"/>
      <c r="AK233" s="188"/>
      <c r="AL233" s="188"/>
      <c r="AM233" s="188"/>
      <c r="AN233" s="188"/>
      <c r="AO233" s="299"/>
      <c r="AQ233" s="296"/>
      <c r="AR233" s="296"/>
      <c r="AS233" s="296"/>
      <c r="AU233" s="296"/>
      <c r="AV233" s="296"/>
      <c r="AW233" s="296"/>
      <c r="CV233" s="510">
        <v>43</v>
      </c>
      <c r="CW233" s="359" t="s">
        <v>985</v>
      </c>
      <c r="CX233" s="361">
        <v>3254343.84</v>
      </c>
      <c r="CY233" s="361">
        <v>802148.91</v>
      </c>
      <c r="CZ233" s="361">
        <v>712193.87</v>
      </c>
      <c r="DA233" s="361">
        <v>263663.94</v>
      </c>
      <c r="DB233" s="361">
        <v>70162.7</v>
      </c>
      <c r="DC233" s="361">
        <v>0</v>
      </c>
      <c r="DD233" s="361">
        <v>0</v>
      </c>
      <c r="DE233" s="361">
        <v>616274.36</v>
      </c>
      <c r="DF233" s="361">
        <v>141131.89000000001</v>
      </c>
      <c r="DG233" s="361">
        <v>482315.22</v>
      </c>
      <c r="DH233" s="361">
        <v>166452.95000000001</v>
      </c>
      <c r="DI233" s="365"/>
      <c r="DJ233" s="365"/>
      <c r="DK233" s="365"/>
      <c r="DL233" s="366"/>
    </row>
    <row r="234" spans="2:116" ht="13">
      <c r="B234" s="294"/>
      <c r="C234" s="294"/>
      <c r="D234" s="294"/>
      <c r="E234" s="294"/>
      <c r="F234" s="171"/>
      <c r="G234" s="294"/>
      <c r="H234" s="294"/>
      <c r="I234" s="294"/>
      <c r="J234" s="294"/>
      <c r="K234" s="294"/>
      <c r="L234" s="294"/>
      <c r="T234" s="295"/>
      <c r="AA234" s="295"/>
      <c r="AH234" s="295"/>
      <c r="AI234" s="188"/>
      <c r="AJ234" s="188"/>
      <c r="AK234" s="188"/>
      <c r="AL234" s="188"/>
      <c r="AM234" s="188"/>
      <c r="AN234" s="188"/>
      <c r="AO234" s="299"/>
      <c r="AQ234" s="296"/>
      <c r="AR234" s="296"/>
      <c r="AS234" s="296"/>
      <c r="AU234" s="296"/>
      <c r="AV234" s="296"/>
      <c r="AW234" s="296"/>
      <c r="CV234" s="510">
        <v>44</v>
      </c>
      <c r="CW234" s="359" t="s">
        <v>957</v>
      </c>
      <c r="CX234" s="361">
        <v>3038828.16</v>
      </c>
      <c r="CY234" s="361">
        <v>283752.98</v>
      </c>
      <c r="CZ234" s="361">
        <v>0</v>
      </c>
      <c r="DA234" s="361">
        <v>514471.5</v>
      </c>
      <c r="DB234" s="361">
        <v>360600</v>
      </c>
      <c r="DC234" s="361">
        <v>281269.44</v>
      </c>
      <c r="DD234" s="361">
        <v>613623.28</v>
      </c>
      <c r="DE234" s="361">
        <v>273497.68</v>
      </c>
      <c r="DF234" s="361">
        <v>289535.98</v>
      </c>
      <c r="DG234" s="361">
        <v>205372</v>
      </c>
      <c r="DH234" s="361">
        <v>216705.3</v>
      </c>
      <c r="DI234" s="361"/>
      <c r="DJ234" s="361"/>
      <c r="DK234" s="361"/>
      <c r="DL234" s="362"/>
    </row>
    <row r="235" spans="2:116" ht="13">
      <c r="B235" s="294"/>
      <c r="C235" s="294"/>
      <c r="D235" s="294"/>
      <c r="E235" s="294"/>
      <c r="F235" s="171"/>
      <c r="G235" s="294"/>
      <c r="H235" s="294"/>
      <c r="I235" s="294"/>
      <c r="J235" s="294"/>
      <c r="K235" s="294"/>
      <c r="L235" s="294"/>
      <c r="T235" s="295"/>
      <c r="AA235" s="295"/>
      <c r="AH235" s="295"/>
      <c r="AI235" s="188"/>
      <c r="AJ235" s="188"/>
      <c r="AK235" s="188"/>
      <c r="AL235" s="188"/>
      <c r="AM235" s="188"/>
      <c r="AN235" s="188"/>
      <c r="AO235" s="299"/>
      <c r="AQ235" s="296"/>
      <c r="AR235" s="296"/>
      <c r="AS235" s="296"/>
      <c r="AU235" s="296"/>
      <c r="AV235" s="296"/>
      <c r="AW235" s="296"/>
      <c r="CV235" s="510">
        <v>45</v>
      </c>
      <c r="CW235" s="359" t="s">
        <v>882</v>
      </c>
      <c r="CX235" s="361">
        <v>2928265.6</v>
      </c>
      <c r="CY235" s="352">
        <v>950521</v>
      </c>
      <c r="CZ235" s="361">
        <v>87976.86</v>
      </c>
      <c r="DA235" s="361">
        <v>295069.62</v>
      </c>
      <c r="DB235" s="361">
        <v>177808.33</v>
      </c>
      <c r="DC235" s="361">
        <v>146614.43</v>
      </c>
      <c r="DD235" s="361">
        <v>176575.62</v>
      </c>
      <c r="DE235" s="361">
        <v>158461.76999999999</v>
      </c>
      <c r="DF235" s="361">
        <v>435381.62</v>
      </c>
      <c r="DG235" s="361">
        <v>227814.13</v>
      </c>
      <c r="DH235" s="361">
        <v>272042.21999999997</v>
      </c>
      <c r="DI235" s="365"/>
      <c r="DJ235" s="365"/>
      <c r="DK235" s="365"/>
      <c r="DL235" s="366"/>
    </row>
    <row r="236" spans="2:116" ht="13">
      <c r="B236" s="294"/>
      <c r="C236" s="294"/>
      <c r="D236" s="294"/>
      <c r="E236" s="294"/>
      <c r="F236" s="171"/>
      <c r="G236" s="294"/>
      <c r="H236" s="294"/>
      <c r="I236" s="294"/>
      <c r="J236" s="294"/>
      <c r="K236" s="294"/>
      <c r="L236" s="294"/>
      <c r="T236" s="295"/>
      <c r="AA236" s="295"/>
      <c r="AH236" s="295"/>
      <c r="AI236" s="188"/>
      <c r="AJ236" s="188"/>
      <c r="AK236" s="188"/>
      <c r="AL236" s="188"/>
      <c r="AM236" s="188"/>
      <c r="AN236" s="188"/>
      <c r="AO236" s="299"/>
      <c r="AQ236" s="296"/>
      <c r="AR236" s="296"/>
      <c r="AS236" s="296"/>
      <c r="AU236" s="296"/>
      <c r="AV236" s="296"/>
      <c r="AW236" s="296"/>
      <c r="CV236" s="510">
        <v>46</v>
      </c>
      <c r="CW236" s="359" t="s">
        <v>954</v>
      </c>
      <c r="CX236" s="361">
        <v>2883724.51</v>
      </c>
      <c r="CY236" s="361">
        <v>520336.84</v>
      </c>
      <c r="CZ236" s="361">
        <v>60887.26</v>
      </c>
      <c r="DA236" s="361">
        <v>435368.61</v>
      </c>
      <c r="DB236" s="361">
        <v>204397.67</v>
      </c>
      <c r="DC236" s="361">
        <v>0</v>
      </c>
      <c r="DD236" s="361">
        <v>0</v>
      </c>
      <c r="DE236" s="361">
        <v>109518.04</v>
      </c>
      <c r="DF236" s="361">
        <v>224081.08</v>
      </c>
      <c r="DG236" s="361">
        <v>615542.84</v>
      </c>
      <c r="DH236" s="361">
        <v>713592.17</v>
      </c>
      <c r="DI236" s="361"/>
      <c r="DJ236" s="361"/>
      <c r="DK236" s="361"/>
      <c r="DL236" s="362"/>
    </row>
    <row r="237" spans="2:116" ht="13">
      <c r="B237" s="294"/>
      <c r="C237" s="294"/>
      <c r="D237" s="294"/>
      <c r="E237" s="294"/>
      <c r="F237" s="171"/>
      <c r="G237" s="294"/>
      <c r="H237" s="294"/>
      <c r="I237" s="294"/>
      <c r="J237" s="294"/>
      <c r="K237" s="294"/>
      <c r="L237" s="294"/>
      <c r="T237" s="295"/>
      <c r="AA237" s="295"/>
      <c r="AH237" s="295"/>
      <c r="AI237" s="188"/>
      <c r="AJ237" s="188"/>
      <c r="AK237" s="188"/>
      <c r="AL237" s="188"/>
      <c r="AM237" s="188"/>
      <c r="AN237" s="188"/>
      <c r="AO237" s="299"/>
      <c r="AQ237" s="296"/>
      <c r="AR237" s="296"/>
      <c r="AS237" s="296"/>
      <c r="AU237" s="296"/>
      <c r="AV237" s="296"/>
      <c r="AW237" s="296"/>
      <c r="CV237" s="510">
        <v>47</v>
      </c>
      <c r="CW237" s="359" t="s">
        <v>937</v>
      </c>
      <c r="CX237" s="361">
        <v>2644588.5099999998</v>
      </c>
      <c r="CY237" s="361">
        <v>153125.01999999999</v>
      </c>
      <c r="CZ237" s="361">
        <v>103460.76</v>
      </c>
      <c r="DA237" s="361">
        <v>201563.68</v>
      </c>
      <c r="DB237" s="361">
        <v>222598.33</v>
      </c>
      <c r="DC237" s="361">
        <v>338169.7</v>
      </c>
      <c r="DD237" s="361">
        <v>373336.88</v>
      </c>
      <c r="DE237" s="361">
        <v>579698.65</v>
      </c>
      <c r="DF237" s="361">
        <v>205260.16</v>
      </c>
      <c r="DG237" s="361">
        <v>388683.43</v>
      </c>
      <c r="DH237" s="361">
        <v>78691.899999999994</v>
      </c>
      <c r="DI237" s="361"/>
      <c r="DJ237" s="361"/>
      <c r="DK237" s="361"/>
      <c r="DL237" s="362"/>
    </row>
    <row r="238" spans="2:116" ht="13">
      <c r="B238" s="294"/>
      <c r="C238" s="294"/>
      <c r="D238" s="294"/>
      <c r="E238" s="294"/>
      <c r="F238" s="171"/>
      <c r="G238" s="294"/>
      <c r="H238" s="294"/>
      <c r="I238" s="294"/>
      <c r="J238" s="294"/>
      <c r="K238" s="294"/>
      <c r="L238" s="294"/>
      <c r="T238" s="295"/>
      <c r="AA238" s="295"/>
      <c r="AH238" s="295"/>
      <c r="AI238" s="188"/>
      <c r="AJ238" s="188"/>
      <c r="AK238" s="188"/>
      <c r="AL238" s="188"/>
      <c r="AM238" s="188"/>
      <c r="AN238" s="188"/>
      <c r="AO238" s="299"/>
      <c r="AQ238" s="296"/>
      <c r="AR238" s="296"/>
      <c r="AS238" s="296"/>
      <c r="AU238" s="296"/>
      <c r="AV238" s="296"/>
      <c r="AW238" s="296"/>
      <c r="CV238" s="510">
        <v>48</v>
      </c>
      <c r="CW238" s="359" t="s">
        <v>964</v>
      </c>
      <c r="CX238" s="361">
        <v>2638948.63</v>
      </c>
      <c r="CY238" s="361">
        <v>250284.63</v>
      </c>
      <c r="CZ238" s="361">
        <v>75291.759999999995</v>
      </c>
      <c r="DA238" s="361">
        <v>385584.5</v>
      </c>
      <c r="DB238" s="361">
        <v>389304.24</v>
      </c>
      <c r="DC238" s="361">
        <v>494970.46</v>
      </c>
      <c r="DD238" s="361">
        <v>315697.84000000003</v>
      </c>
      <c r="DE238" s="361">
        <v>307416</v>
      </c>
      <c r="DF238" s="361">
        <v>162466.72</v>
      </c>
      <c r="DG238" s="361">
        <v>215605.84</v>
      </c>
      <c r="DH238" s="361">
        <v>42326.64</v>
      </c>
      <c r="DI238" s="361"/>
      <c r="DJ238" s="361"/>
      <c r="DK238" s="361"/>
      <c r="DL238" s="362"/>
    </row>
    <row r="239" spans="2:116" ht="13">
      <c r="B239" s="294"/>
      <c r="C239" s="294"/>
      <c r="D239" s="294"/>
      <c r="E239" s="294"/>
      <c r="F239" s="171"/>
      <c r="G239" s="294"/>
      <c r="H239" s="294"/>
      <c r="I239" s="294"/>
      <c r="J239" s="294"/>
      <c r="K239" s="294"/>
      <c r="L239" s="294"/>
      <c r="T239" s="295"/>
      <c r="AA239" s="295"/>
      <c r="AH239" s="295"/>
      <c r="AI239" s="188"/>
      <c r="AJ239" s="188"/>
      <c r="AK239" s="188"/>
      <c r="AL239" s="188"/>
      <c r="AM239" s="188"/>
      <c r="AN239" s="188"/>
      <c r="AO239" s="299"/>
      <c r="AQ239" s="296"/>
      <c r="AR239" s="296"/>
      <c r="AS239" s="296"/>
      <c r="AU239" s="296"/>
      <c r="AV239" s="296"/>
      <c r="AW239" s="296"/>
      <c r="CV239" s="510">
        <v>49</v>
      </c>
      <c r="CW239" s="359" t="s">
        <v>951</v>
      </c>
      <c r="CX239" s="361">
        <v>2594765.73</v>
      </c>
      <c r="CY239" s="361">
        <v>333001.05</v>
      </c>
      <c r="CZ239" s="361">
        <v>212507.9</v>
      </c>
      <c r="DA239" s="361">
        <v>380477.48</v>
      </c>
      <c r="DB239" s="361">
        <v>192708.55</v>
      </c>
      <c r="DC239" s="361">
        <v>148432.74</v>
      </c>
      <c r="DD239" s="361">
        <v>244468.34</v>
      </c>
      <c r="DE239" s="361">
        <v>258601.38</v>
      </c>
      <c r="DF239" s="361">
        <v>388347.58</v>
      </c>
      <c r="DG239" s="361">
        <v>174134.08</v>
      </c>
      <c r="DH239" s="361">
        <v>262086.63</v>
      </c>
      <c r="DI239" s="361"/>
      <c r="DJ239" s="361"/>
      <c r="DK239" s="361"/>
      <c r="DL239" s="362"/>
    </row>
    <row r="240" spans="2:116" ht="13">
      <c r="B240" s="294"/>
      <c r="C240" s="294"/>
      <c r="D240" s="294"/>
      <c r="E240" s="294"/>
      <c r="F240" s="171"/>
      <c r="G240" s="294"/>
      <c r="H240" s="294"/>
      <c r="I240" s="294"/>
      <c r="J240" s="294"/>
      <c r="K240" s="294"/>
      <c r="L240" s="294"/>
      <c r="T240" s="295"/>
      <c r="AA240" s="295"/>
      <c r="AH240" s="295"/>
      <c r="AI240" s="188"/>
      <c r="AJ240" s="188"/>
      <c r="AK240" s="188"/>
      <c r="AL240" s="188"/>
      <c r="AM240" s="188"/>
      <c r="AN240" s="188"/>
      <c r="AO240" s="299"/>
      <c r="AQ240" s="296"/>
      <c r="AR240" s="296"/>
      <c r="AS240" s="296"/>
      <c r="AU240" s="296"/>
      <c r="AV240" s="296"/>
      <c r="AW240" s="296"/>
      <c r="CV240" s="510">
        <v>50</v>
      </c>
      <c r="CW240" s="359" t="s">
        <v>890</v>
      </c>
      <c r="CX240" s="361">
        <v>2579603.4</v>
      </c>
      <c r="CY240" s="361">
        <v>430504.83</v>
      </c>
      <c r="CZ240" s="361">
        <v>120060.13</v>
      </c>
      <c r="DA240" s="361">
        <v>273632.11</v>
      </c>
      <c r="DB240" s="361">
        <v>386445.28</v>
      </c>
      <c r="DC240" s="361">
        <v>208340.41</v>
      </c>
      <c r="DD240" s="361">
        <v>138085.34</v>
      </c>
      <c r="DE240" s="361">
        <v>333400.44</v>
      </c>
      <c r="DF240" s="361">
        <v>49645.440000000002</v>
      </c>
      <c r="DG240" s="361">
        <v>317690.48</v>
      </c>
      <c r="DH240" s="361">
        <v>321798.95</v>
      </c>
      <c r="DI240" s="361"/>
      <c r="DJ240" s="361"/>
      <c r="DK240" s="361"/>
      <c r="DL240" s="362"/>
    </row>
    <row r="241" spans="2:116" ht="13">
      <c r="B241" s="294"/>
      <c r="C241" s="294"/>
      <c r="D241" s="294"/>
      <c r="E241" s="294"/>
      <c r="F241" s="171"/>
      <c r="G241" s="294"/>
      <c r="H241" s="294"/>
      <c r="I241" s="294"/>
      <c r="J241" s="294"/>
      <c r="K241" s="294"/>
      <c r="L241" s="294"/>
      <c r="T241" s="295"/>
      <c r="AA241" s="295"/>
      <c r="AH241" s="295"/>
      <c r="AI241" s="188"/>
      <c r="AJ241" s="188"/>
      <c r="AK241" s="188"/>
      <c r="AL241" s="188"/>
      <c r="AM241" s="188"/>
      <c r="AN241" s="188"/>
      <c r="AO241" s="299"/>
      <c r="AQ241" s="296"/>
      <c r="AR241" s="296"/>
      <c r="AS241" s="296"/>
      <c r="AU241" s="296"/>
      <c r="AV241" s="296"/>
      <c r="AW241" s="296"/>
      <c r="CV241" s="510">
        <v>51</v>
      </c>
      <c r="CW241" s="359" t="s">
        <v>886</v>
      </c>
      <c r="CX241" s="361">
        <v>2224715.27</v>
      </c>
      <c r="CY241" s="352">
        <v>0</v>
      </c>
      <c r="CZ241" s="361">
        <v>0</v>
      </c>
      <c r="DA241" s="361">
        <v>0</v>
      </c>
      <c r="DB241" s="361">
        <v>0</v>
      </c>
      <c r="DC241" s="361">
        <v>198412.49</v>
      </c>
      <c r="DD241" s="361">
        <v>67137.05</v>
      </c>
      <c r="DE241" s="361">
        <v>975685.67</v>
      </c>
      <c r="DF241" s="361">
        <v>-6708.99</v>
      </c>
      <c r="DG241" s="361">
        <v>518248.16</v>
      </c>
      <c r="DH241" s="361">
        <v>471940.89</v>
      </c>
      <c r="DI241" s="365"/>
      <c r="DJ241" s="365"/>
      <c r="DK241" s="365"/>
      <c r="DL241" s="366"/>
    </row>
    <row r="242" spans="2:116" ht="13">
      <c r="B242" s="294"/>
      <c r="C242" s="294"/>
      <c r="D242" s="294"/>
      <c r="E242" s="294"/>
      <c r="F242" s="171"/>
      <c r="G242" s="294"/>
      <c r="H242" s="294"/>
      <c r="I242" s="294"/>
      <c r="J242" s="294"/>
      <c r="K242" s="294"/>
      <c r="L242" s="294"/>
      <c r="T242" s="295"/>
      <c r="AA242" s="295"/>
      <c r="AH242" s="295"/>
      <c r="AI242" s="188"/>
      <c r="AJ242" s="188"/>
      <c r="AK242" s="188"/>
      <c r="AL242" s="188"/>
      <c r="AM242" s="188"/>
      <c r="AN242" s="188"/>
      <c r="AO242" s="299"/>
      <c r="AQ242" s="296"/>
      <c r="AR242" s="296"/>
      <c r="AS242" s="296"/>
      <c r="AU242" s="296"/>
      <c r="AV242" s="296"/>
      <c r="AW242" s="296"/>
      <c r="CV242" s="510">
        <v>52</v>
      </c>
      <c r="CW242" s="359" t="s">
        <v>897</v>
      </c>
      <c r="CX242" s="361">
        <v>2195815.19</v>
      </c>
      <c r="CY242" s="361">
        <v>392411.6</v>
      </c>
      <c r="CZ242" s="361">
        <v>0</v>
      </c>
      <c r="DA242" s="361">
        <v>199798.06</v>
      </c>
      <c r="DB242" s="361">
        <v>0</v>
      </c>
      <c r="DC242" s="361">
        <v>258300.32</v>
      </c>
      <c r="DD242" s="361">
        <v>97011.14</v>
      </c>
      <c r="DE242" s="361">
        <v>222705.73</v>
      </c>
      <c r="DF242" s="361">
        <v>370833.4</v>
      </c>
      <c r="DG242" s="361">
        <v>493079.54</v>
      </c>
      <c r="DH242" s="361">
        <v>161675.4</v>
      </c>
      <c r="DI242" s="361"/>
      <c r="DJ242" s="361"/>
      <c r="DK242" s="361"/>
      <c r="DL242" s="362"/>
    </row>
    <row r="243" spans="2:116" ht="13">
      <c r="B243" s="294"/>
      <c r="C243" s="294"/>
      <c r="D243" s="294"/>
      <c r="E243" s="294"/>
      <c r="F243" s="171"/>
      <c r="G243" s="294"/>
      <c r="H243" s="294"/>
      <c r="I243" s="294"/>
      <c r="J243" s="294"/>
      <c r="K243" s="294"/>
      <c r="L243" s="294"/>
      <c r="T243" s="295"/>
      <c r="AA243" s="295"/>
      <c r="AH243" s="295"/>
      <c r="AI243" s="188"/>
      <c r="AJ243" s="188"/>
      <c r="AK243" s="188"/>
      <c r="AL243" s="188"/>
      <c r="AM243" s="188"/>
      <c r="AN243" s="188"/>
      <c r="AO243" s="299"/>
      <c r="AQ243" s="296"/>
      <c r="AR243" s="296"/>
      <c r="AS243" s="296"/>
      <c r="AU243" s="296"/>
      <c r="AV243" s="296"/>
      <c r="AW243" s="296"/>
      <c r="CV243" s="510">
        <v>53</v>
      </c>
      <c r="CW243" s="359" t="s">
        <v>941</v>
      </c>
      <c r="CX243" s="361">
        <v>2163482.4300000002</v>
      </c>
      <c r="CY243" s="361">
        <v>97429.73</v>
      </c>
      <c r="CZ243" s="361">
        <v>318110.59999999998</v>
      </c>
      <c r="DA243" s="361">
        <v>0</v>
      </c>
      <c r="DB243" s="361">
        <v>326455.57</v>
      </c>
      <c r="DC243" s="361">
        <v>295538.13</v>
      </c>
      <c r="DD243" s="361">
        <v>0</v>
      </c>
      <c r="DE243" s="361">
        <v>569754.03</v>
      </c>
      <c r="DF243" s="361">
        <v>318590.09999999998</v>
      </c>
      <c r="DG243" s="361">
        <v>237604.27</v>
      </c>
      <c r="DH243" s="361">
        <v>0</v>
      </c>
      <c r="DI243" s="361"/>
      <c r="DJ243" s="361"/>
      <c r="DK243" s="361"/>
      <c r="DL243" s="362"/>
    </row>
    <row r="244" spans="2:116" ht="13">
      <c r="B244" s="294"/>
      <c r="C244" s="294"/>
      <c r="D244" s="294"/>
      <c r="E244" s="294"/>
      <c r="F244" s="171"/>
      <c r="G244" s="294"/>
      <c r="H244" s="294"/>
      <c r="I244" s="294"/>
      <c r="J244" s="294"/>
      <c r="K244" s="294"/>
      <c r="L244" s="294"/>
      <c r="T244" s="295"/>
      <c r="AA244" s="295"/>
      <c r="AH244" s="295"/>
      <c r="AI244" s="188"/>
      <c r="AJ244" s="188"/>
      <c r="AK244" s="188"/>
      <c r="AL244" s="188"/>
      <c r="AM244" s="188"/>
      <c r="AN244" s="188"/>
      <c r="AO244" s="299"/>
      <c r="AQ244" s="296"/>
      <c r="AR244" s="296"/>
      <c r="AS244" s="296"/>
      <c r="AU244" s="296"/>
      <c r="AV244" s="296"/>
      <c r="AW244" s="296"/>
      <c r="CV244" s="510">
        <v>54</v>
      </c>
      <c r="CW244" s="359" t="s">
        <v>943</v>
      </c>
      <c r="CX244" s="361">
        <v>1909886.64</v>
      </c>
      <c r="CY244" s="361">
        <v>385985.15</v>
      </c>
      <c r="CZ244" s="361">
        <v>235828.79</v>
      </c>
      <c r="DA244" s="361">
        <v>348454.84</v>
      </c>
      <c r="DB244" s="361">
        <v>154567.65</v>
      </c>
      <c r="DC244" s="361">
        <v>174458.87</v>
      </c>
      <c r="DD244" s="361">
        <v>95398.53</v>
      </c>
      <c r="DE244" s="361">
        <v>281191.53999999998</v>
      </c>
      <c r="DF244" s="361">
        <v>196905.46</v>
      </c>
      <c r="DG244" s="361">
        <v>37095.82</v>
      </c>
      <c r="DH244" s="361">
        <v>0</v>
      </c>
      <c r="DI244" s="361"/>
      <c r="DJ244" s="361"/>
      <c r="DK244" s="361"/>
      <c r="DL244" s="362"/>
    </row>
    <row r="245" spans="2:116" ht="13">
      <c r="B245" s="294"/>
      <c r="C245" s="294"/>
      <c r="D245" s="294"/>
      <c r="E245" s="294"/>
      <c r="F245" s="171"/>
      <c r="G245" s="294"/>
      <c r="H245" s="294"/>
      <c r="I245" s="294"/>
      <c r="J245" s="294"/>
      <c r="K245" s="294"/>
      <c r="L245" s="294"/>
      <c r="T245" s="295"/>
      <c r="AA245" s="295"/>
      <c r="AH245" s="295"/>
      <c r="AI245" s="188"/>
      <c r="AJ245" s="188"/>
      <c r="AK245" s="188"/>
      <c r="AL245" s="188"/>
      <c r="AM245" s="188"/>
      <c r="AN245" s="188"/>
      <c r="AO245" s="299"/>
      <c r="AQ245" s="296"/>
      <c r="AR245" s="296"/>
      <c r="AS245" s="296"/>
      <c r="AU245" s="296"/>
      <c r="AV245" s="296"/>
      <c r="AW245" s="296"/>
      <c r="CV245" s="510">
        <v>55</v>
      </c>
      <c r="CW245" s="359" t="s">
        <v>908</v>
      </c>
      <c r="CX245" s="361">
        <v>1859520.72</v>
      </c>
      <c r="CY245" s="352">
        <v>1382585.38</v>
      </c>
      <c r="CZ245" s="361">
        <v>459848.59</v>
      </c>
      <c r="DA245" s="361">
        <v>0</v>
      </c>
      <c r="DB245" s="361">
        <v>0</v>
      </c>
      <c r="DC245" s="361">
        <v>0</v>
      </c>
      <c r="DD245" s="361">
        <v>0</v>
      </c>
      <c r="DE245" s="361">
        <v>0</v>
      </c>
      <c r="DF245" s="361">
        <v>17086.75</v>
      </c>
      <c r="DG245" s="361">
        <v>0</v>
      </c>
      <c r="DH245" s="365">
        <v>0</v>
      </c>
      <c r="DI245" s="365"/>
      <c r="DJ245" s="365"/>
      <c r="DK245" s="365"/>
      <c r="DL245" s="366"/>
    </row>
    <row r="246" spans="2:116" ht="13">
      <c r="B246" s="294"/>
      <c r="C246" s="294"/>
      <c r="D246" s="294"/>
      <c r="E246" s="294"/>
      <c r="F246" s="171"/>
      <c r="G246" s="294"/>
      <c r="H246" s="294"/>
      <c r="I246" s="294"/>
      <c r="J246" s="294"/>
      <c r="K246" s="294"/>
      <c r="L246" s="294"/>
      <c r="T246" s="295"/>
      <c r="AA246" s="295"/>
      <c r="AH246" s="295"/>
      <c r="AI246" s="188"/>
      <c r="AJ246" s="188"/>
      <c r="AK246" s="188"/>
      <c r="AL246" s="188"/>
      <c r="AM246" s="188"/>
      <c r="AN246" s="188"/>
      <c r="AO246" s="299"/>
      <c r="AQ246" s="296"/>
      <c r="AR246" s="296"/>
      <c r="AS246" s="296"/>
      <c r="AU246" s="296"/>
      <c r="AV246" s="296"/>
      <c r="AW246" s="296"/>
      <c r="CV246" s="510">
        <v>56</v>
      </c>
      <c r="CW246" s="359" t="s">
        <v>965</v>
      </c>
      <c r="CX246" s="361">
        <v>1520789.2</v>
      </c>
      <c r="CY246" s="361">
        <v>262405.40000000002</v>
      </c>
      <c r="CZ246" s="361">
        <v>88806.7</v>
      </c>
      <c r="DA246" s="361">
        <v>102455.8</v>
      </c>
      <c r="DB246" s="361">
        <v>120914.62</v>
      </c>
      <c r="DC246" s="361">
        <v>0</v>
      </c>
      <c r="DD246" s="361">
        <v>79077.399999999994</v>
      </c>
      <c r="DE246" s="361">
        <v>63598.16</v>
      </c>
      <c r="DF246" s="361">
        <v>0</v>
      </c>
      <c r="DG246" s="361">
        <v>414990.72</v>
      </c>
      <c r="DH246" s="361">
        <v>388540.4</v>
      </c>
      <c r="DI246" s="365"/>
      <c r="DJ246" s="365"/>
      <c r="DK246" s="365"/>
      <c r="DL246" s="366"/>
    </row>
    <row r="247" spans="2:116" ht="13">
      <c r="B247" s="294"/>
      <c r="C247" s="294"/>
      <c r="D247" s="294"/>
      <c r="E247" s="294"/>
      <c r="F247" s="171"/>
      <c r="G247" s="294"/>
      <c r="H247" s="294"/>
      <c r="I247" s="294"/>
      <c r="J247" s="294"/>
      <c r="K247" s="294"/>
      <c r="L247" s="294"/>
      <c r="T247" s="295"/>
      <c r="AA247" s="295"/>
      <c r="AH247" s="295"/>
      <c r="AI247" s="188"/>
      <c r="AJ247" s="188"/>
      <c r="AK247" s="188"/>
      <c r="AL247" s="188"/>
      <c r="AM247" s="188"/>
      <c r="AN247" s="188"/>
      <c r="AO247" s="299"/>
      <c r="AQ247" s="296"/>
      <c r="AR247" s="296"/>
      <c r="AS247" s="296"/>
      <c r="AU247" s="296"/>
      <c r="AV247" s="296"/>
      <c r="AW247" s="296"/>
      <c r="CV247" s="510">
        <v>57</v>
      </c>
      <c r="CW247" s="359" t="s">
        <v>940</v>
      </c>
      <c r="CX247" s="361">
        <v>1480426.98</v>
      </c>
      <c r="CY247" s="361">
        <v>295726.5</v>
      </c>
      <c r="CZ247" s="361">
        <v>0</v>
      </c>
      <c r="DA247" s="361">
        <v>0</v>
      </c>
      <c r="DB247" s="361">
        <v>390828.02</v>
      </c>
      <c r="DC247" s="361">
        <v>400176.32</v>
      </c>
      <c r="DD247" s="361">
        <v>614300.37</v>
      </c>
      <c r="DE247" s="361">
        <v>0</v>
      </c>
      <c r="DF247" s="361">
        <v>-220604.23</v>
      </c>
      <c r="DG247" s="361">
        <v>0</v>
      </c>
      <c r="DH247" s="361">
        <v>0</v>
      </c>
      <c r="DI247" s="361"/>
      <c r="DJ247" s="361"/>
      <c r="DK247" s="361"/>
      <c r="DL247" s="362"/>
    </row>
    <row r="248" spans="2:116" ht="13">
      <c r="B248" s="294"/>
      <c r="C248" s="294"/>
      <c r="D248" s="294"/>
      <c r="E248" s="294"/>
      <c r="F248" s="171"/>
      <c r="G248" s="294"/>
      <c r="H248" s="294"/>
      <c r="I248" s="294"/>
      <c r="J248" s="294"/>
      <c r="K248" s="294"/>
      <c r="L248" s="294"/>
      <c r="T248" s="295"/>
      <c r="AA248" s="295"/>
      <c r="AH248" s="295"/>
      <c r="AI248" s="188"/>
      <c r="AJ248" s="188"/>
      <c r="AK248" s="188"/>
      <c r="AL248" s="188"/>
      <c r="AM248" s="188"/>
      <c r="AN248" s="188"/>
      <c r="AO248" s="299"/>
      <c r="AQ248" s="296"/>
      <c r="AR248" s="296"/>
      <c r="AS248" s="296"/>
      <c r="AU248" s="296"/>
      <c r="AV248" s="296"/>
      <c r="AW248" s="296"/>
      <c r="CV248" s="510">
        <v>58</v>
      </c>
      <c r="CW248" s="359" t="s">
        <v>944</v>
      </c>
      <c r="CX248" s="361">
        <v>1293443.49</v>
      </c>
      <c r="CY248" s="361">
        <v>0</v>
      </c>
      <c r="CZ248" s="361">
        <v>0</v>
      </c>
      <c r="DA248" s="361">
        <v>17527.61</v>
      </c>
      <c r="DB248" s="361">
        <v>7439</v>
      </c>
      <c r="DC248" s="361">
        <v>22056.95</v>
      </c>
      <c r="DD248" s="361">
        <v>0</v>
      </c>
      <c r="DE248" s="361">
        <v>305778.84999999998</v>
      </c>
      <c r="DF248" s="361">
        <v>620569.97</v>
      </c>
      <c r="DG248" s="361">
        <v>250472</v>
      </c>
      <c r="DH248" s="361">
        <v>69599.100000000006</v>
      </c>
      <c r="DI248" s="361"/>
      <c r="DJ248" s="361"/>
      <c r="DK248" s="361"/>
      <c r="DL248" s="362"/>
    </row>
    <row r="249" spans="2:116" ht="13">
      <c r="B249" s="294"/>
      <c r="C249" s="294"/>
      <c r="D249" s="294"/>
      <c r="E249" s="294"/>
      <c r="F249" s="171"/>
      <c r="G249" s="294"/>
      <c r="H249" s="294"/>
      <c r="I249" s="294"/>
      <c r="J249" s="294"/>
      <c r="K249" s="294"/>
      <c r="L249" s="294"/>
      <c r="T249" s="295"/>
      <c r="AA249" s="295"/>
      <c r="AH249" s="295"/>
      <c r="AI249" s="188"/>
      <c r="AJ249" s="188"/>
      <c r="AK249" s="188"/>
      <c r="AL249" s="188"/>
      <c r="AM249" s="188"/>
      <c r="AN249" s="188"/>
      <c r="AO249" s="299"/>
      <c r="AQ249" s="296"/>
      <c r="AR249" s="296"/>
      <c r="AS249" s="296"/>
      <c r="AU249" s="296"/>
      <c r="AV249" s="296"/>
      <c r="AW249" s="296"/>
      <c r="CV249" s="510">
        <v>59</v>
      </c>
      <c r="CW249" s="359" t="s">
        <v>975</v>
      </c>
      <c r="CX249" s="361">
        <v>1226133.48</v>
      </c>
      <c r="CY249" s="361">
        <v>387529.21</v>
      </c>
      <c r="CZ249" s="361">
        <v>0</v>
      </c>
      <c r="DA249" s="361">
        <v>156810.84</v>
      </c>
      <c r="DB249" s="361">
        <v>119409.46</v>
      </c>
      <c r="DC249" s="361">
        <v>0</v>
      </c>
      <c r="DD249" s="361">
        <v>236662</v>
      </c>
      <c r="DE249" s="361">
        <v>178255.98</v>
      </c>
      <c r="DF249" s="361">
        <v>147466</v>
      </c>
      <c r="DG249" s="361">
        <v>0</v>
      </c>
      <c r="DH249" s="361">
        <v>0</v>
      </c>
      <c r="DI249" s="361"/>
      <c r="DJ249" s="361"/>
      <c r="DK249" s="361"/>
      <c r="DL249" s="362"/>
    </row>
    <row r="250" spans="2:116" ht="13">
      <c r="B250" s="294"/>
      <c r="C250" s="294"/>
      <c r="D250" s="294"/>
      <c r="E250" s="294"/>
      <c r="F250" s="171"/>
      <c r="G250" s="294"/>
      <c r="H250" s="294"/>
      <c r="I250" s="294"/>
      <c r="J250" s="294"/>
      <c r="K250" s="294"/>
      <c r="L250" s="294"/>
      <c r="T250" s="295"/>
      <c r="AA250" s="295"/>
      <c r="AH250" s="295"/>
      <c r="AI250" s="188"/>
      <c r="AJ250" s="188"/>
      <c r="AK250" s="188"/>
      <c r="AL250" s="188"/>
      <c r="AM250" s="188"/>
      <c r="AN250" s="188"/>
      <c r="AO250" s="299"/>
      <c r="AQ250" s="296"/>
      <c r="AR250" s="296"/>
      <c r="AS250" s="296"/>
      <c r="AU250" s="296"/>
      <c r="AV250" s="296"/>
      <c r="AW250" s="296"/>
      <c r="CV250" s="510">
        <v>60</v>
      </c>
      <c r="CW250" s="359" t="s">
        <v>950</v>
      </c>
      <c r="CX250" s="361">
        <v>1138239.6100000001</v>
      </c>
      <c r="CY250" s="361">
        <v>358952.6</v>
      </c>
      <c r="CZ250" s="361">
        <v>5629.15</v>
      </c>
      <c r="DA250" s="361">
        <v>238858.98</v>
      </c>
      <c r="DB250" s="361">
        <v>137912.64000000001</v>
      </c>
      <c r="DC250" s="361">
        <v>44494.16</v>
      </c>
      <c r="DD250" s="361">
        <v>167296.4</v>
      </c>
      <c r="DE250" s="361">
        <v>0</v>
      </c>
      <c r="DF250" s="361">
        <v>88988.32</v>
      </c>
      <c r="DG250" s="361">
        <v>96107.36</v>
      </c>
      <c r="DH250" s="361">
        <v>0</v>
      </c>
      <c r="DI250" s="361"/>
      <c r="DJ250" s="361"/>
      <c r="DK250" s="361"/>
      <c r="DL250" s="362"/>
    </row>
    <row r="251" spans="2:116" ht="13">
      <c r="B251" s="294"/>
      <c r="C251" s="294"/>
      <c r="D251" s="294"/>
      <c r="E251" s="294"/>
      <c r="F251" s="171"/>
      <c r="G251" s="294"/>
      <c r="H251" s="294"/>
      <c r="I251" s="294"/>
      <c r="J251" s="294"/>
      <c r="K251" s="294"/>
      <c r="L251" s="294"/>
      <c r="T251" s="295"/>
      <c r="AA251" s="295"/>
      <c r="AH251" s="295"/>
      <c r="AI251" s="188"/>
      <c r="AJ251" s="188"/>
      <c r="AK251" s="188"/>
      <c r="AL251" s="188"/>
      <c r="AM251" s="188"/>
      <c r="AN251" s="188"/>
      <c r="AO251" s="299"/>
      <c r="AQ251" s="296"/>
      <c r="AR251" s="296"/>
      <c r="AS251" s="296"/>
      <c r="AU251" s="296"/>
      <c r="AV251" s="296"/>
      <c r="AW251" s="296"/>
      <c r="CV251" s="510">
        <v>61</v>
      </c>
      <c r="CW251" s="359" t="s">
        <v>938</v>
      </c>
      <c r="CX251" s="361">
        <v>1104055.76</v>
      </c>
      <c r="CY251" s="361">
        <v>0</v>
      </c>
      <c r="CZ251" s="361">
        <v>0</v>
      </c>
      <c r="DA251" s="361">
        <v>0</v>
      </c>
      <c r="DB251" s="361">
        <v>0</v>
      </c>
      <c r="DC251" s="361">
        <v>391913.6</v>
      </c>
      <c r="DD251" s="361">
        <v>0</v>
      </c>
      <c r="DE251" s="361">
        <v>304552.15999999997</v>
      </c>
      <c r="DF251" s="361">
        <v>195956.8</v>
      </c>
      <c r="DG251" s="361">
        <v>211633.2</v>
      </c>
      <c r="DH251" s="361">
        <v>0</v>
      </c>
      <c r="DI251" s="361"/>
      <c r="DJ251" s="361"/>
      <c r="DK251" s="361"/>
      <c r="DL251" s="362"/>
    </row>
    <row r="252" spans="2:116" ht="13">
      <c r="B252" s="294"/>
      <c r="C252" s="294"/>
      <c r="D252" s="294"/>
      <c r="E252" s="294"/>
      <c r="F252" s="171"/>
      <c r="G252" s="294"/>
      <c r="H252" s="294"/>
      <c r="I252" s="294"/>
      <c r="J252" s="294"/>
      <c r="K252" s="294"/>
      <c r="L252" s="294"/>
      <c r="T252" s="295"/>
      <c r="AA252" s="295"/>
      <c r="AH252" s="295"/>
      <c r="AI252" s="188"/>
      <c r="AJ252" s="188"/>
      <c r="AK252" s="188"/>
      <c r="AL252" s="188"/>
      <c r="AM252" s="188"/>
      <c r="AN252" s="188"/>
      <c r="AO252" s="299"/>
      <c r="AQ252" s="296"/>
      <c r="AR252" s="296"/>
      <c r="AS252" s="296"/>
      <c r="AU252" s="296"/>
      <c r="AV252" s="296"/>
      <c r="AW252" s="296"/>
      <c r="CV252" s="510">
        <v>62</v>
      </c>
      <c r="CW252" s="359" t="s">
        <v>974</v>
      </c>
      <c r="CX252" s="361">
        <v>891989.56</v>
      </c>
      <c r="CY252" s="361">
        <v>117151.35</v>
      </c>
      <c r="CZ252" s="361">
        <v>18756.5</v>
      </c>
      <c r="DA252" s="361">
        <v>188495.15</v>
      </c>
      <c r="DB252" s="361">
        <v>15321.99</v>
      </c>
      <c r="DC252" s="361">
        <v>145876.23000000001</v>
      </c>
      <c r="DD252" s="361">
        <v>46968.55</v>
      </c>
      <c r="DE252" s="361">
        <v>131064.52</v>
      </c>
      <c r="DF252" s="361">
        <v>111133.97</v>
      </c>
      <c r="DG252" s="361">
        <v>117221.3</v>
      </c>
      <c r="DH252" s="361">
        <v>0</v>
      </c>
      <c r="DI252" s="361"/>
      <c r="DJ252" s="361"/>
      <c r="DK252" s="361"/>
      <c r="DL252" s="362"/>
    </row>
    <row r="253" spans="2:116" ht="13">
      <c r="B253" s="294"/>
      <c r="C253" s="294"/>
      <c r="D253" s="294"/>
      <c r="E253" s="294"/>
      <c r="F253" s="171"/>
      <c r="G253" s="294"/>
      <c r="H253" s="294"/>
      <c r="I253" s="294"/>
      <c r="J253" s="294"/>
      <c r="K253" s="294"/>
      <c r="L253" s="294"/>
      <c r="T253" s="295"/>
      <c r="AA253" s="295"/>
      <c r="AH253" s="295"/>
      <c r="AI253" s="188"/>
      <c r="AJ253" s="188"/>
      <c r="AK253" s="188"/>
      <c r="AL253" s="188"/>
      <c r="AM253" s="188"/>
      <c r="AN253" s="188"/>
      <c r="AO253" s="299"/>
      <c r="AQ253" s="296"/>
      <c r="AR253" s="296"/>
      <c r="AS253" s="296"/>
      <c r="AU253" s="296"/>
      <c r="AV253" s="296"/>
      <c r="AW253" s="296"/>
      <c r="CV253" s="510">
        <v>63</v>
      </c>
      <c r="CW253" s="359" t="s">
        <v>894</v>
      </c>
      <c r="CX253" s="361">
        <v>854642.34</v>
      </c>
      <c r="CY253" s="361">
        <v>0</v>
      </c>
      <c r="CZ253" s="361">
        <v>39278.620000000003</v>
      </c>
      <c r="DA253" s="361">
        <v>64100</v>
      </c>
      <c r="DB253" s="361">
        <v>50093.7</v>
      </c>
      <c r="DC253" s="361">
        <v>366912.12</v>
      </c>
      <c r="DD253" s="361">
        <v>0</v>
      </c>
      <c r="DE253" s="361">
        <v>82988.61</v>
      </c>
      <c r="DF253" s="361">
        <v>199353.09</v>
      </c>
      <c r="DG253" s="361">
        <v>77801.45</v>
      </c>
      <c r="DH253" s="361">
        <v>-25885.25</v>
      </c>
      <c r="DI253" s="361"/>
      <c r="DJ253" s="361"/>
      <c r="DK253" s="361"/>
      <c r="DL253" s="362"/>
    </row>
    <row r="254" spans="2:116" ht="13">
      <c r="B254" s="294"/>
      <c r="C254" s="294"/>
      <c r="D254" s="294"/>
      <c r="E254" s="294"/>
      <c r="F254" s="171"/>
      <c r="G254" s="294"/>
      <c r="H254" s="294"/>
      <c r="I254" s="294"/>
      <c r="J254" s="294"/>
      <c r="K254" s="294"/>
      <c r="L254" s="294"/>
      <c r="T254" s="295"/>
      <c r="AA254" s="295"/>
      <c r="AH254" s="295"/>
      <c r="AI254" s="188"/>
      <c r="AJ254" s="188"/>
      <c r="AK254" s="188"/>
      <c r="AL254" s="188"/>
      <c r="AM254" s="188"/>
      <c r="AN254" s="188"/>
      <c r="AO254" s="299"/>
      <c r="AQ254" s="296"/>
      <c r="AR254" s="296"/>
      <c r="AS254" s="296"/>
      <c r="AU254" s="296"/>
      <c r="AV254" s="296"/>
      <c r="AW254" s="296"/>
      <c r="CV254" s="510">
        <v>64</v>
      </c>
      <c r="CW254" s="359" t="s">
        <v>939</v>
      </c>
      <c r="CX254" s="361">
        <v>843363.75</v>
      </c>
      <c r="CY254" s="361">
        <v>0</v>
      </c>
      <c r="CZ254" s="361">
        <v>0</v>
      </c>
      <c r="DA254" s="361">
        <v>0</v>
      </c>
      <c r="DB254" s="361">
        <v>0</v>
      </c>
      <c r="DC254" s="361">
        <v>220604.23</v>
      </c>
      <c r="DD254" s="361">
        <v>0</v>
      </c>
      <c r="DE254" s="361">
        <v>622759.52</v>
      </c>
      <c r="DF254" s="361">
        <v>0</v>
      </c>
      <c r="DG254" s="365">
        <v>0</v>
      </c>
      <c r="DH254" s="365">
        <v>0</v>
      </c>
      <c r="DI254" s="365"/>
      <c r="DJ254" s="365"/>
      <c r="DK254" s="365"/>
      <c r="DL254" s="366"/>
    </row>
    <row r="255" spans="2:116" ht="13">
      <c r="B255" s="294"/>
      <c r="C255" s="294"/>
      <c r="D255" s="294"/>
      <c r="E255" s="294"/>
      <c r="F255" s="171"/>
      <c r="G255" s="294"/>
      <c r="H255" s="294"/>
      <c r="I255" s="294"/>
      <c r="J255" s="294"/>
      <c r="K255" s="294"/>
      <c r="L255" s="294"/>
      <c r="T255" s="295"/>
      <c r="AA255" s="295"/>
      <c r="AH255" s="295"/>
      <c r="AI255" s="188"/>
      <c r="AJ255" s="188"/>
      <c r="AK255" s="188"/>
      <c r="AL255" s="188"/>
      <c r="AM255" s="188"/>
      <c r="AN255" s="188"/>
      <c r="AO255" s="299"/>
      <c r="AQ255" s="296"/>
      <c r="AR255" s="296"/>
      <c r="AS255" s="296"/>
      <c r="AU255" s="296"/>
      <c r="AV255" s="296"/>
      <c r="AW255" s="296"/>
      <c r="CV255" s="510">
        <v>65</v>
      </c>
      <c r="CW255" s="359" t="s">
        <v>955</v>
      </c>
      <c r="CX255" s="361">
        <v>837756.29</v>
      </c>
      <c r="CY255" s="361">
        <v>209236.24</v>
      </c>
      <c r="CZ255" s="361">
        <v>134105</v>
      </c>
      <c r="DA255" s="361">
        <v>78748.86</v>
      </c>
      <c r="DB255" s="361">
        <v>0</v>
      </c>
      <c r="DC255" s="361">
        <v>0</v>
      </c>
      <c r="DD255" s="361">
        <v>82605.88</v>
      </c>
      <c r="DE255" s="361">
        <v>0</v>
      </c>
      <c r="DF255" s="361">
        <v>187385.88</v>
      </c>
      <c r="DG255" s="361">
        <v>145674.43</v>
      </c>
      <c r="DH255" s="361">
        <v>0</v>
      </c>
      <c r="DI255" s="361"/>
      <c r="DJ255" s="361"/>
      <c r="DK255" s="361"/>
      <c r="DL255" s="362"/>
    </row>
    <row r="256" spans="2:116" ht="13">
      <c r="B256" s="294"/>
      <c r="C256" s="294"/>
      <c r="D256" s="294"/>
      <c r="E256" s="294"/>
      <c r="F256" s="171"/>
      <c r="G256" s="294"/>
      <c r="H256" s="294"/>
      <c r="I256" s="294"/>
      <c r="J256" s="294"/>
      <c r="K256" s="294"/>
      <c r="L256" s="294"/>
      <c r="T256" s="295"/>
      <c r="AA256" s="295"/>
      <c r="AH256" s="295"/>
      <c r="AI256" s="188"/>
      <c r="AJ256" s="188"/>
      <c r="AK256" s="188"/>
      <c r="AL256" s="188"/>
      <c r="AM256" s="188"/>
      <c r="AN256" s="188"/>
      <c r="AO256" s="299"/>
      <c r="AQ256" s="296"/>
      <c r="AR256" s="296"/>
      <c r="AS256" s="296"/>
      <c r="AU256" s="296"/>
      <c r="AV256" s="296"/>
      <c r="AW256" s="296"/>
      <c r="CV256" s="510">
        <v>66</v>
      </c>
      <c r="CW256" s="359" t="s">
        <v>967</v>
      </c>
      <c r="CX256" s="361">
        <v>804625.59</v>
      </c>
      <c r="CY256" s="361">
        <v>45399.28</v>
      </c>
      <c r="CZ256" s="361">
        <v>61638.879999999997</v>
      </c>
      <c r="DA256" s="361">
        <v>19921.439999999999</v>
      </c>
      <c r="DB256" s="361">
        <v>66153.84</v>
      </c>
      <c r="DC256" s="361">
        <v>215597.22</v>
      </c>
      <c r="DD256" s="361">
        <v>103170.1</v>
      </c>
      <c r="DE256" s="361">
        <v>68797.52</v>
      </c>
      <c r="DF256" s="361">
        <v>110648</v>
      </c>
      <c r="DG256" s="361">
        <v>48897.78</v>
      </c>
      <c r="DH256" s="361">
        <v>64401.53</v>
      </c>
      <c r="DI256" s="361"/>
      <c r="DJ256" s="361"/>
      <c r="DK256" s="361"/>
      <c r="DL256" s="362"/>
    </row>
    <row r="257" spans="2:116" ht="13">
      <c r="B257" s="294"/>
      <c r="C257" s="294"/>
      <c r="D257" s="294"/>
      <c r="E257" s="294"/>
      <c r="F257" s="171"/>
      <c r="G257" s="294"/>
      <c r="H257" s="294"/>
      <c r="I257" s="294"/>
      <c r="J257" s="294"/>
      <c r="K257" s="294"/>
      <c r="L257" s="294"/>
      <c r="T257" s="295"/>
      <c r="AA257" s="295"/>
      <c r="AH257" s="295"/>
      <c r="AI257" s="188"/>
      <c r="AJ257" s="188"/>
      <c r="AK257" s="188"/>
      <c r="AL257" s="188"/>
      <c r="AM257" s="188"/>
      <c r="AN257" s="188"/>
      <c r="AO257" s="299"/>
      <c r="AQ257" s="296"/>
      <c r="AR257" s="296"/>
      <c r="AS257" s="296"/>
      <c r="AU257" s="296"/>
      <c r="AV257" s="296"/>
      <c r="AW257" s="296"/>
      <c r="CV257" s="510">
        <v>67</v>
      </c>
      <c r="CW257" s="359" t="s">
        <v>958</v>
      </c>
      <c r="CX257" s="361">
        <v>650688.98</v>
      </c>
      <c r="CY257" s="361">
        <v>44948.95</v>
      </c>
      <c r="CZ257" s="361">
        <v>248919.37</v>
      </c>
      <c r="DA257" s="361">
        <v>168631.74</v>
      </c>
      <c r="DB257" s="361">
        <v>0</v>
      </c>
      <c r="DC257" s="361">
        <v>0</v>
      </c>
      <c r="DD257" s="361">
        <v>118726.24</v>
      </c>
      <c r="DE257" s="361">
        <v>21445.58</v>
      </c>
      <c r="DF257" s="361">
        <v>48017.1</v>
      </c>
      <c r="DG257" s="361">
        <v>0</v>
      </c>
      <c r="DH257" s="361">
        <v>0</v>
      </c>
      <c r="DI257" s="361"/>
      <c r="DJ257" s="361"/>
      <c r="DK257" s="361"/>
      <c r="DL257" s="362"/>
    </row>
    <row r="258" spans="2:116" ht="13">
      <c r="B258" s="294"/>
      <c r="C258" s="294"/>
      <c r="D258" s="294"/>
      <c r="E258" s="294"/>
      <c r="F258" s="171"/>
      <c r="G258" s="294"/>
      <c r="H258" s="294"/>
      <c r="I258" s="294"/>
      <c r="J258" s="294"/>
      <c r="K258" s="294"/>
      <c r="L258" s="294"/>
      <c r="T258" s="295"/>
      <c r="AA258" s="295"/>
      <c r="AH258" s="295"/>
      <c r="AI258" s="188"/>
      <c r="AJ258" s="188"/>
      <c r="AK258" s="188"/>
      <c r="AL258" s="188"/>
      <c r="AM258" s="188"/>
      <c r="AN258" s="188"/>
      <c r="AO258" s="299"/>
      <c r="AQ258" s="296"/>
      <c r="AR258" s="296"/>
      <c r="AS258" s="296"/>
      <c r="AU258" s="296"/>
      <c r="AV258" s="296"/>
      <c r="AW258" s="296"/>
      <c r="CV258" s="510">
        <v>68</v>
      </c>
      <c r="CW258" s="359" t="s">
        <v>884</v>
      </c>
      <c r="CX258" s="361">
        <v>647531.36</v>
      </c>
      <c r="CY258" s="361">
        <v>0</v>
      </c>
      <c r="CZ258" s="361">
        <v>0</v>
      </c>
      <c r="DA258" s="361">
        <v>0</v>
      </c>
      <c r="DB258" s="361">
        <v>234723.49</v>
      </c>
      <c r="DC258" s="361">
        <v>390817.65</v>
      </c>
      <c r="DD258" s="365">
        <v>0</v>
      </c>
      <c r="DE258" s="361">
        <v>21990.22</v>
      </c>
      <c r="DF258" s="365">
        <v>0</v>
      </c>
      <c r="DG258" s="365">
        <v>0</v>
      </c>
      <c r="DH258" s="365">
        <v>0</v>
      </c>
      <c r="DI258" s="365"/>
      <c r="DJ258" s="365"/>
      <c r="DK258" s="365"/>
      <c r="DL258" s="366"/>
    </row>
    <row r="259" spans="2:116" ht="13">
      <c r="B259" s="294"/>
      <c r="C259" s="294"/>
      <c r="D259" s="294"/>
      <c r="E259" s="294"/>
      <c r="F259" s="171"/>
      <c r="G259" s="294"/>
      <c r="H259" s="294"/>
      <c r="I259" s="294"/>
      <c r="J259" s="294"/>
      <c r="K259" s="294"/>
      <c r="L259" s="294"/>
      <c r="T259" s="295"/>
      <c r="AA259" s="295"/>
      <c r="AH259" s="295"/>
      <c r="AI259" s="188"/>
      <c r="AJ259" s="188"/>
      <c r="AK259" s="188"/>
      <c r="AL259" s="188"/>
      <c r="AM259" s="188"/>
      <c r="AN259" s="188"/>
      <c r="AO259" s="299"/>
      <c r="AQ259" s="296"/>
      <c r="AR259" s="296"/>
      <c r="AS259" s="296"/>
      <c r="AU259" s="296"/>
      <c r="AV259" s="296"/>
      <c r="AW259" s="296"/>
      <c r="CV259" s="510">
        <v>69</v>
      </c>
      <c r="CW259" s="359" t="s">
        <v>934</v>
      </c>
      <c r="CX259" s="361">
        <v>610377.28</v>
      </c>
      <c r="CY259" s="361">
        <v>48433.279999999999</v>
      </c>
      <c r="CZ259" s="361">
        <v>139868.6</v>
      </c>
      <c r="DA259" s="361">
        <v>101179.04</v>
      </c>
      <c r="DB259" s="361">
        <v>40724.1</v>
      </c>
      <c r="DC259" s="361">
        <v>0</v>
      </c>
      <c r="DD259" s="361">
        <v>0</v>
      </c>
      <c r="DE259" s="361">
        <v>104913.16</v>
      </c>
      <c r="DF259" s="361">
        <v>0</v>
      </c>
      <c r="DG259" s="361">
        <v>80578.5</v>
      </c>
      <c r="DH259" s="361">
        <v>94680.6</v>
      </c>
      <c r="DI259" s="361"/>
      <c r="DJ259" s="361"/>
      <c r="DK259" s="361"/>
      <c r="DL259" s="362"/>
    </row>
    <row r="260" spans="2:116" ht="13">
      <c r="B260" s="294"/>
      <c r="C260" s="294"/>
      <c r="D260" s="294"/>
      <c r="E260" s="294"/>
      <c r="F260" s="171"/>
      <c r="G260" s="294"/>
      <c r="H260" s="294"/>
      <c r="I260" s="294"/>
      <c r="J260" s="294"/>
      <c r="K260" s="294"/>
      <c r="L260" s="294"/>
      <c r="T260" s="295"/>
      <c r="AA260" s="295"/>
      <c r="AH260" s="295"/>
      <c r="AI260" s="188"/>
      <c r="AJ260" s="188"/>
      <c r="AK260" s="188"/>
      <c r="AL260" s="188"/>
      <c r="AM260" s="188"/>
      <c r="AN260" s="188"/>
      <c r="AO260" s="299"/>
      <c r="AQ260" s="296"/>
      <c r="AR260" s="296"/>
      <c r="AS260" s="296"/>
      <c r="AU260" s="296"/>
      <c r="AV260" s="296"/>
      <c r="AW260" s="296"/>
      <c r="CV260" s="510">
        <v>70</v>
      </c>
      <c r="CW260" s="359" t="s">
        <v>910</v>
      </c>
      <c r="CX260" s="361">
        <v>601003.82999999996</v>
      </c>
      <c r="CY260" s="361">
        <v>266342.77</v>
      </c>
      <c r="CZ260" s="361">
        <v>160503.79999999999</v>
      </c>
      <c r="DA260" s="361">
        <v>106170.27</v>
      </c>
      <c r="DB260" s="361">
        <v>67987</v>
      </c>
      <c r="DC260" s="361">
        <v>0</v>
      </c>
      <c r="DD260" s="361">
        <v>0</v>
      </c>
      <c r="DE260" s="361">
        <v>0</v>
      </c>
      <c r="DF260" s="361">
        <v>0</v>
      </c>
      <c r="DG260" s="361">
        <v>0</v>
      </c>
      <c r="DH260" s="361">
        <v>0</v>
      </c>
      <c r="DI260" s="361"/>
      <c r="DJ260" s="361"/>
      <c r="DK260" s="361"/>
      <c r="DL260" s="362"/>
    </row>
    <row r="261" spans="2:116" ht="13">
      <c r="B261" s="294"/>
      <c r="C261" s="294"/>
      <c r="D261" s="294"/>
      <c r="E261" s="294"/>
      <c r="F261" s="171"/>
      <c r="G261" s="294"/>
      <c r="H261" s="294"/>
      <c r="I261" s="294"/>
      <c r="J261" s="294"/>
      <c r="K261" s="294"/>
      <c r="L261" s="294"/>
      <c r="T261" s="295"/>
      <c r="AA261" s="295"/>
      <c r="AH261" s="295"/>
      <c r="AI261" s="188"/>
      <c r="AJ261" s="188"/>
      <c r="AK261" s="188"/>
      <c r="AL261" s="188"/>
      <c r="AM261" s="188"/>
      <c r="AN261" s="188"/>
      <c r="AO261" s="299"/>
      <c r="AQ261" s="296"/>
      <c r="AR261" s="296"/>
      <c r="AS261" s="296"/>
      <c r="AU261" s="296"/>
      <c r="AV261" s="296"/>
      <c r="AW261" s="296"/>
      <c r="CV261" s="510">
        <v>71</v>
      </c>
      <c r="CW261" s="359" t="s">
        <v>895</v>
      </c>
      <c r="CX261" s="361">
        <v>596733.25</v>
      </c>
      <c r="CY261" s="361">
        <v>0</v>
      </c>
      <c r="CZ261" s="361">
        <v>0</v>
      </c>
      <c r="DA261" s="361">
        <v>0</v>
      </c>
      <c r="DB261" s="361">
        <v>0</v>
      </c>
      <c r="DC261" s="361">
        <v>0</v>
      </c>
      <c r="DD261" s="361">
        <v>0</v>
      </c>
      <c r="DE261" s="361">
        <v>0</v>
      </c>
      <c r="DF261" s="361">
        <v>0</v>
      </c>
      <c r="DG261" s="361">
        <v>596733.25</v>
      </c>
      <c r="DH261" s="361">
        <v>0</v>
      </c>
      <c r="DI261" s="361"/>
      <c r="DJ261" s="361"/>
      <c r="DK261" s="361"/>
      <c r="DL261" s="362"/>
    </row>
    <row r="262" spans="2:116" ht="13">
      <c r="B262" s="294"/>
      <c r="C262" s="294"/>
      <c r="D262" s="294"/>
      <c r="E262" s="294"/>
      <c r="F262" s="171"/>
      <c r="G262" s="294"/>
      <c r="H262" s="294"/>
      <c r="I262" s="294"/>
      <c r="J262" s="294"/>
      <c r="K262" s="294"/>
      <c r="L262" s="294"/>
      <c r="T262" s="295"/>
      <c r="AA262" s="295"/>
      <c r="AH262" s="295"/>
      <c r="AI262" s="188"/>
      <c r="AJ262" s="188"/>
      <c r="AK262" s="188"/>
      <c r="AL262" s="188"/>
      <c r="AM262" s="188"/>
      <c r="AN262" s="188"/>
      <c r="AO262" s="299"/>
      <c r="AQ262" s="296"/>
      <c r="AR262" s="296"/>
      <c r="AS262" s="296"/>
      <c r="AU262" s="296"/>
      <c r="AV262" s="296"/>
      <c r="AW262" s="296"/>
      <c r="CV262" s="510">
        <v>72</v>
      </c>
      <c r="CW262" s="359" t="s">
        <v>919</v>
      </c>
      <c r="CX262" s="361">
        <v>554298.4</v>
      </c>
      <c r="CY262" s="361">
        <v>147744.32000000001</v>
      </c>
      <c r="CZ262" s="361">
        <v>171588.4</v>
      </c>
      <c r="DA262" s="361">
        <v>234965.68</v>
      </c>
      <c r="DB262" s="361">
        <v>0</v>
      </c>
      <c r="DC262" s="361">
        <v>0</v>
      </c>
      <c r="DD262" s="361">
        <v>0</v>
      </c>
      <c r="DE262" s="361">
        <v>0</v>
      </c>
      <c r="DF262" s="361">
        <v>0</v>
      </c>
      <c r="DG262" s="361">
        <v>0</v>
      </c>
      <c r="DH262" s="361">
        <v>0</v>
      </c>
      <c r="DI262" s="361"/>
      <c r="DJ262" s="361"/>
      <c r="DK262" s="361"/>
      <c r="DL262" s="362"/>
    </row>
    <row r="263" spans="2:116" ht="13">
      <c r="B263" s="294"/>
      <c r="C263" s="294"/>
      <c r="D263" s="294"/>
      <c r="E263" s="294"/>
      <c r="F263" s="171"/>
      <c r="G263" s="294"/>
      <c r="H263" s="294"/>
      <c r="I263" s="294"/>
      <c r="J263" s="294"/>
      <c r="K263" s="294"/>
      <c r="L263" s="294"/>
      <c r="T263" s="295"/>
      <c r="AA263" s="295"/>
      <c r="AH263" s="295"/>
      <c r="AI263" s="188"/>
      <c r="AJ263" s="188"/>
      <c r="AK263" s="188"/>
      <c r="AL263" s="188"/>
      <c r="AM263" s="188"/>
      <c r="AN263" s="188"/>
      <c r="AO263" s="299"/>
      <c r="AQ263" s="296"/>
      <c r="AR263" s="296"/>
      <c r="AS263" s="296"/>
      <c r="AU263" s="296"/>
      <c r="AV263" s="296"/>
      <c r="AW263" s="296"/>
      <c r="CV263" s="510">
        <v>73</v>
      </c>
      <c r="CW263" s="359" t="s">
        <v>923</v>
      </c>
      <c r="CX263" s="361">
        <v>456102.24</v>
      </c>
      <c r="CY263" s="361">
        <v>0</v>
      </c>
      <c r="CZ263" s="361">
        <v>0</v>
      </c>
      <c r="DA263" s="361">
        <v>0</v>
      </c>
      <c r="DB263" s="361">
        <v>0</v>
      </c>
      <c r="DC263" s="361">
        <v>0</v>
      </c>
      <c r="DD263" s="361">
        <v>207732</v>
      </c>
      <c r="DE263" s="361">
        <v>142578.64000000001</v>
      </c>
      <c r="DF263" s="361">
        <v>0</v>
      </c>
      <c r="DG263" s="361">
        <v>0</v>
      </c>
      <c r="DH263" s="361">
        <v>105791.6</v>
      </c>
      <c r="DI263" s="361"/>
      <c r="DJ263" s="361"/>
      <c r="DK263" s="361"/>
      <c r="DL263" s="362"/>
    </row>
    <row r="264" spans="2:116" ht="13">
      <c r="B264" s="294"/>
      <c r="C264" s="294"/>
      <c r="D264" s="294"/>
      <c r="E264" s="294"/>
      <c r="F264" s="171"/>
      <c r="G264" s="294"/>
      <c r="H264" s="294"/>
      <c r="I264" s="294"/>
      <c r="J264" s="294"/>
      <c r="K264" s="294"/>
      <c r="L264" s="294"/>
      <c r="T264" s="295"/>
      <c r="AA264" s="295"/>
      <c r="AH264" s="295"/>
      <c r="AI264" s="188"/>
      <c r="AJ264" s="188"/>
      <c r="AK264" s="188"/>
      <c r="AL264" s="188"/>
      <c r="AM264" s="188"/>
      <c r="AN264" s="188"/>
      <c r="AO264" s="299"/>
      <c r="AQ264" s="296"/>
      <c r="AR264" s="296"/>
      <c r="AS264" s="296"/>
      <c r="AU264" s="296"/>
      <c r="AV264" s="296"/>
      <c r="AW264" s="296"/>
      <c r="CV264" s="510">
        <v>74</v>
      </c>
      <c r="CW264" s="359" t="s">
        <v>963</v>
      </c>
      <c r="CX264" s="361">
        <v>448290.37</v>
      </c>
      <c r="CY264" s="361">
        <v>448290.37</v>
      </c>
      <c r="CZ264" s="361">
        <v>0</v>
      </c>
      <c r="DA264" s="361">
        <v>0</v>
      </c>
      <c r="DB264" s="365">
        <v>0</v>
      </c>
      <c r="DC264" s="361">
        <v>0</v>
      </c>
      <c r="DD264" s="361">
        <v>0</v>
      </c>
      <c r="DE264" s="361">
        <v>0</v>
      </c>
      <c r="DF264" s="361">
        <v>0</v>
      </c>
      <c r="DG264" s="365">
        <v>0</v>
      </c>
      <c r="DH264" s="365">
        <v>0</v>
      </c>
      <c r="DI264" s="365"/>
      <c r="DJ264" s="365"/>
      <c r="DK264" s="365"/>
      <c r="DL264" s="366"/>
    </row>
    <row r="265" spans="2:116" ht="13">
      <c r="B265" s="294"/>
      <c r="C265" s="294"/>
      <c r="D265" s="294"/>
      <c r="E265" s="294"/>
      <c r="F265" s="171"/>
      <c r="G265" s="294"/>
      <c r="H265" s="294"/>
      <c r="I265" s="294"/>
      <c r="J265" s="294"/>
      <c r="K265" s="294"/>
      <c r="L265" s="294"/>
      <c r="T265" s="295"/>
      <c r="AA265" s="295"/>
      <c r="AH265" s="295"/>
      <c r="AI265" s="188"/>
      <c r="AJ265" s="188"/>
      <c r="AK265" s="188"/>
      <c r="AL265" s="188"/>
      <c r="AM265" s="188"/>
      <c r="AN265" s="188"/>
      <c r="AO265" s="299"/>
      <c r="AQ265" s="296"/>
      <c r="AR265" s="296"/>
      <c r="AS265" s="296"/>
      <c r="AU265" s="296"/>
      <c r="AV265" s="296"/>
      <c r="AW265" s="296"/>
      <c r="CV265" s="510">
        <v>75</v>
      </c>
      <c r="CW265" s="359" t="s">
        <v>959</v>
      </c>
      <c r="CX265" s="361">
        <v>415052.24</v>
      </c>
      <c r="CY265" s="361">
        <v>0</v>
      </c>
      <c r="CZ265" s="361">
        <v>0</v>
      </c>
      <c r="DA265" s="361">
        <v>0</v>
      </c>
      <c r="DB265" s="361">
        <v>0</v>
      </c>
      <c r="DC265" s="361">
        <v>0</v>
      </c>
      <c r="DD265" s="361">
        <v>60888.22</v>
      </c>
      <c r="DE265" s="361">
        <v>169868.18</v>
      </c>
      <c r="DF265" s="361">
        <v>0</v>
      </c>
      <c r="DG265" s="361">
        <v>111987.84</v>
      </c>
      <c r="DH265" s="361">
        <v>72308</v>
      </c>
      <c r="DI265" s="361"/>
      <c r="DJ265" s="361"/>
      <c r="DK265" s="361"/>
      <c r="DL265" s="362"/>
    </row>
    <row r="266" spans="2:116" ht="13">
      <c r="B266" s="294"/>
      <c r="C266" s="294"/>
      <c r="D266" s="294"/>
      <c r="E266" s="294"/>
      <c r="F266" s="171"/>
      <c r="G266" s="294"/>
      <c r="H266" s="294"/>
      <c r="I266" s="294"/>
      <c r="J266" s="294"/>
      <c r="K266" s="294"/>
      <c r="L266" s="294"/>
      <c r="T266" s="295"/>
      <c r="AA266" s="295"/>
      <c r="AH266" s="295"/>
      <c r="AI266" s="188"/>
      <c r="AJ266" s="188"/>
      <c r="AK266" s="188"/>
      <c r="AL266" s="188"/>
      <c r="AM266" s="188"/>
      <c r="AN266" s="188"/>
      <c r="AO266" s="299"/>
      <c r="AQ266" s="296"/>
      <c r="AR266" s="296"/>
      <c r="AS266" s="296"/>
      <c r="AU266" s="296"/>
      <c r="AV266" s="296"/>
      <c r="AW266" s="296"/>
      <c r="CV266" s="510">
        <v>76</v>
      </c>
      <c r="CW266" s="359" t="s">
        <v>876</v>
      </c>
      <c r="CX266" s="361">
        <v>366561.13</v>
      </c>
      <c r="CY266" s="361">
        <v>0</v>
      </c>
      <c r="CZ266" s="361">
        <v>0</v>
      </c>
      <c r="DA266" s="361">
        <v>0</v>
      </c>
      <c r="DB266" s="361">
        <v>0</v>
      </c>
      <c r="DC266" s="361">
        <v>0</v>
      </c>
      <c r="DD266" s="361">
        <v>0</v>
      </c>
      <c r="DE266" s="361">
        <v>0</v>
      </c>
      <c r="DF266" s="361">
        <v>0</v>
      </c>
      <c r="DG266" s="361">
        <v>0</v>
      </c>
      <c r="DH266" s="361">
        <v>366561.13</v>
      </c>
      <c r="DI266" s="361"/>
      <c r="DJ266" s="361"/>
      <c r="DK266" s="361"/>
      <c r="DL266" s="362"/>
    </row>
    <row r="267" spans="2:116" ht="13">
      <c r="B267" s="294"/>
      <c r="C267" s="294"/>
      <c r="D267" s="294"/>
      <c r="E267" s="294"/>
      <c r="F267" s="171"/>
      <c r="G267" s="294"/>
      <c r="H267" s="294"/>
      <c r="I267" s="294"/>
      <c r="J267" s="294"/>
      <c r="K267" s="294"/>
      <c r="L267" s="294"/>
      <c r="T267" s="295"/>
      <c r="AA267" s="295"/>
      <c r="AH267" s="295"/>
      <c r="AI267" s="188"/>
      <c r="AJ267" s="188"/>
      <c r="AK267" s="188"/>
      <c r="AL267" s="188"/>
      <c r="AM267" s="188"/>
      <c r="AN267" s="188"/>
      <c r="AO267" s="299"/>
      <c r="AQ267" s="296"/>
      <c r="AR267" s="296"/>
      <c r="AS267" s="296"/>
      <c r="AU267" s="296"/>
      <c r="AV267" s="296"/>
      <c r="AW267" s="296"/>
      <c r="CV267" s="510">
        <v>77</v>
      </c>
      <c r="CW267" s="359" t="s">
        <v>942</v>
      </c>
      <c r="CX267" s="361">
        <v>350187.92</v>
      </c>
      <c r="CY267" s="361">
        <v>0</v>
      </c>
      <c r="CZ267" s="361">
        <v>0</v>
      </c>
      <c r="DA267" s="361">
        <v>0</v>
      </c>
      <c r="DB267" s="361">
        <v>143830.62</v>
      </c>
      <c r="DC267" s="361">
        <v>0</v>
      </c>
      <c r="DD267" s="361">
        <v>0</v>
      </c>
      <c r="DE267" s="361">
        <v>0</v>
      </c>
      <c r="DF267" s="361">
        <v>0</v>
      </c>
      <c r="DG267" s="361">
        <v>0</v>
      </c>
      <c r="DH267" s="361">
        <v>206357.3</v>
      </c>
      <c r="DI267" s="361"/>
      <c r="DJ267" s="361"/>
      <c r="DK267" s="361"/>
      <c r="DL267" s="362"/>
    </row>
    <row r="268" spans="2:116" ht="13">
      <c r="B268" s="294"/>
      <c r="C268" s="294"/>
      <c r="D268" s="294"/>
      <c r="E268" s="294"/>
      <c r="F268" s="171"/>
      <c r="G268" s="294"/>
      <c r="H268" s="294"/>
      <c r="I268" s="294"/>
      <c r="J268" s="294"/>
      <c r="K268" s="294"/>
      <c r="L268" s="294"/>
      <c r="T268" s="295"/>
      <c r="AA268" s="295"/>
      <c r="AH268" s="295"/>
      <c r="AI268" s="188"/>
      <c r="AJ268" s="188"/>
      <c r="AK268" s="188"/>
      <c r="AL268" s="188"/>
      <c r="AM268" s="188"/>
      <c r="AN268" s="188"/>
      <c r="AO268" s="299"/>
      <c r="AQ268" s="296"/>
      <c r="AR268" s="296"/>
      <c r="AS268" s="296"/>
      <c r="AU268" s="296"/>
      <c r="AV268" s="296"/>
      <c r="AW268" s="296"/>
      <c r="CV268" s="510">
        <v>78</v>
      </c>
      <c r="CW268" s="359" t="s">
        <v>956</v>
      </c>
      <c r="CX268" s="361">
        <v>319322.21000000002</v>
      </c>
      <c r="CY268" s="361">
        <v>0</v>
      </c>
      <c r="CZ268" s="361">
        <v>0</v>
      </c>
      <c r="DA268" s="361">
        <v>0</v>
      </c>
      <c r="DB268" s="361">
        <v>0</v>
      </c>
      <c r="DC268" s="361">
        <v>0</v>
      </c>
      <c r="DD268" s="361">
        <v>0</v>
      </c>
      <c r="DE268" s="361">
        <v>161113.79</v>
      </c>
      <c r="DF268" s="361">
        <v>158208.42000000001</v>
      </c>
      <c r="DG268" s="361">
        <v>0</v>
      </c>
      <c r="DH268" s="361">
        <v>0</v>
      </c>
      <c r="DI268" s="361"/>
      <c r="DJ268" s="361"/>
      <c r="DK268" s="361"/>
      <c r="DL268" s="362"/>
    </row>
    <row r="269" spans="2:116" ht="13">
      <c r="B269" s="294"/>
      <c r="C269" s="294"/>
      <c r="D269" s="294"/>
      <c r="E269" s="294"/>
      <c r="F269" s="171"/>
      <c r="G269" s="294"/>
      <c r="H269" s="294"/>
      <c r="I269" s="294"/>
      <c r="J269" s="294"/>
      <c r="K269" s="294"/>
      <c r="L269" s="294"/>
      <c r="T269" s="295"/>
      <c r="AA269" s="295"/>
      <c r="AH269" s="295"/>
      <c r="AI269" s="188"/>
      <c r="AJ269" s="188"/>
      <c r="AK269" s="188"/>
      <c r="AL269" s="188"/>
      <c r="AM269" s="188"/>
      <c r="AN269" s="188"/>
      <c r="AO269" s="299"/>
      <c r="AQ269" s="296"/>
      <c r="AR269" s="296"/>
      <c r="AS269" s="296"/>
      <c r="AU269" s="296"/>
      <c r="AV269" s="296"/>
      <c r="AW269" s="296"/>
      <c r="CV269" s="510">
        <v>79</v>
      </c>
      <c r="CW269" s="359" t="s">
        <v>969</v>
      </c>
      <c r="CX269" s="361">
        <v>282327.95</v>
      </c>
      <c r="CY269" s="361">
        <v>97103.23</v>
      </c>
      <c r="CZ269" s="361">
        <v>185224.72</v>
      </c>
      <c r="DA269" s="361">
        <v>0</v>
      </c>
      <c r="DB269" s="365">
        <v>0</v>
      </c>
      <c r="DC269" s="361">
        <v>0</v>
      </c>
      <c r="DD269" s="361">
        <v>0</v>
      </c>
      <c r="DE269" s="365">
        <v>0</v>
      </c>
      <c r="DF269" s="361">
        <v>0</v>
      </c>
      <c r="DG269" s="365">
        <v>0</v>
      </c>
      <c r="DH269" s="365">
        <v>0</v>
      </c>
      <c r="DI269" s="365"/>
      <c r="DJ269" s="365"/>
      <c r="DK269" s="365"/>
      <c r="DL269" s="366"/>
    </row>
    <row r="270" spans="2:116" ht="13">
      <c r="B270" s="294"/>
      <c r="C270" s="294"/>
      <c r="D270" s="294"/>
      <c r="E270" s="294"/>
      <c r="F270" s="171"/>
      <c r="G270" s="294"/>
      <c r="H270" s="294"/>
      <c r="I270" s="294"/>
      <c r="J270" s="294"/>
      <c r="K270" s="294"/>
      <c r="L270" s="294"/>
      <c r="T270" s="295"/>
      <c r="AA270" s="295"/>
      <c r="AH270" s="295"/>
      <c r="AI270" s="188"/>
      <c r="AJ270" s="188"/>
      <c r="AK270" s="188"/>
      <c r="AL270" s="188"/>
      <c r="AM270" s="188"/>
      <c r="AN270" s="188"/>
      <c r="AO270" s="299"/>
      <c r="AQ270" s="296"/>
      <c r="AR270" s="296"/>
      <c r="AS270" s="296"/>
      <c r="AU270" s="296"/>
      <c r="AV270" s="296"/>
      <c r="AW270" s="296"/>
      <c r="CV270" s="510">
        <v>80</v>
      </c>
      <c r="CW270" s="359" t="s">
        <v>946</v>
      </c>
      <c r="CX270" s="361">
        <v>254956.68</v>
      </c>
      <c r="CY270" s="361">
        <v>0</v>
      </c>
      <c r="CZ270" s="361">
        <v>0</v>
      </c>
      <c r="DA270" s="361">
        <v>0</v>
      </c>
      <c r="DB270" s="361">
        <v>0</v>
      </c>
      <c r="DC270" s="361">
        <v>110210.24000000001</v>
      </c>
      <c r="DD270" s="361">
        <v>0</v>
      </c>
      <c r="DE270" s="361">
        <v>0</v>
      </c>
      <c r="DF270" s="361">
        <v>144746.44</v>
      </c>
      <c r="DG270" s="361">
        <v>0</v>
      </c>
      <c r="DH270" s="361">
        <v>0</v>
      </c>
      <c r="DI270" s="361"/>
      <c r="DJ270" s="361"/>
      <c r="DK270" s="361"/>
      <c r="DL270" s="362"/>
    </row>
    <row r="271" spans="2:116" ht="13">
      <c r="B271" s="294"/>
      <c r="C271" s="294"/>
      <c r="D271" s="294"/>
      <c r="E271" s="294"/>
      <c r="F271" s="171"/>
      <c r="G271" s="294"/>
      <c r="H271" s="294"/>
      <c r="I271" s="294"/>
      <c r="J271" s="294"/>
      <c r="K271" s="294"/>
      <c r="L271" s="294"/>
      <c r="T271" s="295"/>
      <c r="AA271" s="295"/>
      <c r="AH271" s="295"/>
      <c r="AI271" s="188"/>
      <c r="AJ271" s="188"/>
      <c r="AK271" s="188"/>
      <c r="AL271" s="188"/>
      <c r="AM271" s="188"/>
      <c r="AN271" s="188"/>
      <c r="AO271" s="299"/>
      <c r="AQ271" s="296"/>
      <c r="AR271" s="296"/>
      <c r="AS271" s="296"/>
      <c r="AU271" s="296"/>
      <c r="AV271" s="296"/>
      <c r="AW271" s="296"/>
      <c r="CV271" s="510">
        <v>81</v>
      </c>
      <c r="CW271" s="359" t="s">
        <v>952</v>
      </c>
      <c r="CX271" s="361">
        <v>249772.94</v>
      </c>
      <c r="CY271" s="361">
        <v>0</v>
      </c>
      <c r="CZ271" s="361">
        <v>0</v>
      </c>
      <c r="DA271" s="361">
        <v>249772.94</v>
      </c>
      <c r="DB271" s="361">
        <v>0</v>
      </c>
      <c r="DC271" s="361">
        <v>0</v>
      </c>
      <c r="DD271" s="361">
        <v>0</v>
      </c>
      <c r="DE271" s="361">
        <v>0</v>
      </c>
      <c r="DF271" s="361">
        <v>0</v>
      </c>
      <c r="DG271" s="361">
        <v>0</v>
      </c>
      <c r="DH271" s="361">
        <v>0</v>
      </c>
      <c r="DI271" s="361"/>
      <c r="DJ271" s="361"/>
      <c r="DK271" s="361"/>
      <c r="DL271" s="362"/>
    </row>
    <row r="272" spans="2:116" ht="13">
      <c r="B272" s="294"/>
      <c r="C272" s="294"/>
      <c r="D272" s="294"/>
      <c r="E272" s="294"/>
      <c r="F272" s="171"/>
      <c r="G272" s="294"/>
      <c r="H272" s="294"/>
      <c r="I272" s="294"/>
      <c r="J272" s="294"/>
      <c r="K272" s="294"/>
      <c r="L272" s="294"/>
      <c r="T272" s="295"/>
      <c r="AA272" s="295"/>
      <c r="AH272" s="295"/>
      <c r="AI272" s="188"/>
      <c r="AJ272" s="188"/>
      <c r="AK272" s="188"/>
      <c r="AL272" s="188"/>
      <c r="AM272" s="188"/>
      <c r="AN272" s="188"/>
      <c r="AO272" s="299"/>
      <c r="AQ272" s="296"/>
      <c r="AR272" s="296"/>
      <c r="AS272" s="296"/>
      <c r="AU272" s="296"/>
      <c r="AV272" s="296"/>
      <c r="AW272" s="296"/>
      <c r="CV272" s="510">
        <v>82</v>
      </c>
      <c r="CW272" s="359" t="s">
        <v>972</v>
      </c>
      <c r="CX272" s="361">
        <v>241083.61</v>
      </c>
      <c r="CY272" s="361">
        <v>0</v>
      </c>
      <c r="CZ272" s="361">
        <v>41585.300000000003</v>
      </c>
      <c r="DA272" s="361">
        <v>0</v>
      </c>
      <c r="DB272" s="361">
        <v>46842.93</v>
      </c>
      <c r="DC272" s="361">
        <v>0</v>
      </c>
      <c r="DD272" s="361">
        <v>0</v>
      </c>
      <c r="DE272" s="361">
        <v>64342.71</v>
      </c>
      <c r="DF272" s="365">
        <v>0</v>
      </c>
      <c r="DG272" s="361">
        <v>28645.97</v>
      </c>
      <c r="DH272" s="361">
        <v>59666.68</v>
      </c>
      <c r="DI272" s="365"/>
      <c r="DJ272" s="365"/>
      <c r="DK272" s="365"/>
      <c r="DL272" s="366"/>
    </row>
    <row r="273" spans="2:116" ht="13">
      <c r="B273" s="294"/>
      <c r="C273" s="294"/>
      <c r="D273" s="294"/>
      <c r="E273" s="294"/>
      <c r="F273" s="171"/>
      <c r="G273" s="294"/>
      <c r="H273" s="294"/>
      <c r="I273" s="294"/>
      <c r="J273" s="294"/>
      <c r="K273" s="294"/>
      <c r="L273" s="294"/>
      <c r="T273" s="295"/>
      <c r="AA273" s="295"/>
      <c r="AH273" s="295"/>
      <c r="AI273" s="188"/>
      <c r="AJ273" s="188"/>
      <c r="AK273" s="188"/>
      <c r="AL273" s="188"/>
      <c r="AM273" s="188"/>
      <c r="AN273" s="188"/>
      <c r="AO273" s="299"/>
      <c r="AQ273" s="296"/>
      <c r="AR273" s="296"/>
      <c r="AS273" s="296"/>
      <c r="AU273" s="296"/>
      <c r="AV273" s="296"/>
      <c r="AW273" s="296"/>
      <c r="CV273" s="510">
        <v>83</v>
      </c>
      <c r="CW273" s="359" t="s">
        <v>929</v>
      </c>
      <c r="CX273" s="361">
        <v>233550.69</v>
      </c>
      <c r="CY273" s="361">
        <v>162966.5</v>
      </c>
      <c r="CZ273" s="361">
        <v>70584.19</v>
      </c>
      <c r="DA273" s="361">
        <v>0</v>
      </c>
      <c r="DB273" s="361">
        <v>0</v>
      </c>
      <c r="DC273" s="361">
        <v>0</v>
      </c>
      <c r="DD273" s="361">
        <v>0</v>
      </c>
      <c r="DE273" s="361">
        <v>0</v>
      </c>
      <c r="DF273" s="361">
        <v>0</v>
      </c>
      <c r="DG273" s="361">
        <v>0</v>
      </c>
      <c r="DH273" s="361">
        <v>0</v>
      </c>
      <c r="DI273" s="361"/>
      <c r="DJ273" s="361"/>
      <c r="DK273" s="361"/>
      <c r="DL273" s="362"/>
    </row>
    <row r="274" spans="2:116" ht="13">
      <c r="B274" s="294"/>
      <c r="C274" s="294"/>
      <c r="D274" s="294"/>
      <c r="E274" s="294"/>
      <c r="F274" s="171"/>
      <c r="G274" s="294"/>
      <c r="H274" s="294"/>
      <c r="I274" s="294"/>
      <c r="J274" s="294"/>
      <c r="K274" s="294"/>
      <c r="L274" s="294"/>
      <c r="T274" s="295"/>
      <c r="AA274" s="295"/>
      <c r="AH274" s="295"/>
      <c r="AI274" s="188"/>
      <c r="AJ274" s="188"/>
      <c r="AK274" s="188"/>
      <c r="AL274" s="188"/>
      <c r="AM274" s="188"/>
      <c r="AN274" s="188"/>
      <c r="AO274" s="299"/>
      <c r="AQ274" s="296"/>
      <c r="AR274" s="296"/>
      <c r="AS274" s="296"/>
      <c r="AU274" s="296"/>
      <c r="AV274" s="296"/>
      <c r="AW274" s="296"/>
      <c r="CV274" s="510">
        <v>84</v>
      </c>
      <c r="CW274" s="359" t="s">
        <v>983</v>
      </c>
      <c r="CX274" s="361">
        <v>221981.94</v>
      </c>
      <c r="CY274" s="361">
        <v>0</v>
      </c>
      <c r="CZ274" s="361">
        <v>0</v>
      </c>
      <c r="DA274" s="365">
        <v>0</v>
      </c>
      <c r="DB274" s="361">
        <v>0</v>
      </c>
      <c r="DC274" s="361">
        <v>0</v>
      </c>
      <c r="DD274" s="365">
        <v>0</v>
      </c>
      <c r="DE274" s="361">
        <v>0</v>
      </c>
      <c r="DF274" s="361">
        <v>221981.94</v>
      </c>
      <c r="DG274" s="361">
        <v>0</v>
      </c>
      <c r="DH274" s="365">
        <v>0</v>
      </c>
      <c r="DI274" s="365"/>
      <c r="DJ274" s="365"/>
      <c r="DK274" s="365"/>
      <c r="DL274" s="366"/>
    </row>
    <row r="275" spans="2:116" ht="13">
      <c r="B275" s="294"/>
      <c r="C275" s="294"/>
      <c r="D275" s="294"/>
      <c r="E275" s="294"/>
      <c r="F275" s="171"/>
      <c r="G275" s="294"/>
      <c r="H275" s="294"/>
      <c r="I275" s="294"/>
      <c r="J275" s="294"/>
      <c r="K275" s="294"/>
      <c r="L275" s="294"/>
      <c r="T275" s="295"/>
      <c r="AA275" s="295"/>
      <c r="AH275" s="295"/>
      <c r="AI275" s="188"/>
      <c r="AJ275" s="188"/>
      <c r="AK275" s="188"/>
      <c r="AL275" s="188"/>
      <c r="AM275" s="188"/>
      <c r="AN275" s="188"/>
      <c r="AO275" s="299"/>
      <c r="AQ275" s="296"/>
      <c r="AR275" s="296"/>
      <c r="AS275" s="296"/>
      <c r="AU275" s="296"/>
      <c r="AV275" s="296"/>
      <c r="AW275" s="296"/>
      <c r="CV275" s="510">
        <v>85</v>
      </c>
      <c r="CW275" s="359" t="s">
        <v>879</v>
      </c>
      <c r="CX275" s="361">
        <v>210340.1</v>
      </c>
      <c r="CY275" s="361">
        <v>0</v>
      </c>
      <c r="CZ275" s="361">
        <v>0</v>
      </c>
      <c r="DA275" s="361">
        <v>0</v>
      </c>
      <c r="DB275" s="361">
        <v>0</v>
      </c>
      <c r="DC275" s="361">
        <v>144838.89000000001</v>
      </c>
      <c r="DD275" s="361">
        <v>65501.22</v>
      </c>
      <c r="DE275" s="361">
        <v>0</v>
      </c>
      <c r="DF275" s="365">
        <v>0</v>
      </c>
      <c r="DG275" s="365">
        <v>0</v>
      </c>
      <c r="DH275" s="365">
        <v>0</v>
      </c>
      <c r="DI275" s="365"/>
      <c r="DJ275" s="365"/>
      <c r="DK275" s="365"/>
      <c r="DL275" s="366"/>
    </row>
    <row r="276" spans="2:116" ht="13">
      <c r="B276" s="294"/>
      <c r="C276" s="294"/>
      <c r="D276" s="294"/>
      <c r="E276" s="294"/>
      <c r="F276" s="171"/>
      <c r="G276" s="294"/>
      <c r="H276" s="294"/>
      <c r="I276" s="294"/>
      <c r="J276" s="294"/>
      <c r="K276" s="294"/>
      <c r="L276" s="294"/>
      <c r="T276" s="295"/>
      <c r="AA276" s="295"/>
      <c r="AH276" s="295"/>
      <c r="AI276" s="188"/>
      <c r="AJ276" s="188"/>
      <c r="AK276" s="188"/>
      <c r="AL276" s="188"/>
      <c r="AM276" s="188"/>
      <c r="AN276" s="188"/>
      <c r="AO276" s="299"/>
      <c r="AQ276" s="296"/>
      <c r="AR276" s="296"/>
      <c r="AS276" s="296"/>
      <c r="AU276" s="296"/>
      <c r="AV276" s="296"/>
      <c r="AW276" s="296"/>
      <c r="CV276" s="510">
        <v>86</v>
      </c>
      <c r="CW276" s="359" t="s">
        <v>981</v>
      </c>
      <c r="CX276" s="361">
        <v>204480.15</v>
      </c>
      <c r="CY276" s="361">
        <v>0</v>
      </c>
      <c r="CZ276" s="361">
        <v>0</v>
      </c>
      <c r="DA276" s="365">
        <v>0</v>
      </c>
      <c r="DB276" s="361">
        <v>0</v>
      </c>
      <c r="DC276" s="365">
        <v>0</v>
      </c>
      <c r="DD276" s="361">
        <v>0</v>
      </c>
      <c r="DE276" s="365">
        <v>0</v>
      </c>
      <c r="DF276" s="365">
        <v>0</v>
      </c>
      <c r="DG276" s="361">
        <v>204480.15</v>
      </c>
      <c r="DH276" s="365">
        <v>0</v>
      </c>
      <c r="DI276" s="365"/>
      <c r="DJ276" s="365"/>
      <c r="DK276" s="365"/>
      <c r="DL276" s="366"/>
    </row>
    <row r="277" spans="2:116" ht="13">
      <c r="B277" s="294"/>
      <c r="C277" s="294"/>
      <c r="D277" s="294"/>
      <c r="E277" s="294"/>
      <c r="F277" s="171"/>
      <c r="G277" s="294"/>
      <c r="H277" s="294"/>
      <c r="I277" s="294"/>
      <c r="J277" s="294"/>
      <c r="K277" s="294"/>
      <c r="L277" s="294"/>
      <c r="T277" s="295"/>
      <c r="AA277" s="295"/>
      <c r="AH277" s="295"/>
      <c r="AI277" s="188"/>
      <c r="AJ277" s="188"/>
      <c r="AK277" s="188"/>
      <c r="AL277" s="188"/>
      <c r="AM277" s="188"/>
      <c r="AN277" s="188"/>
      <c r="AO277" s="299"/>
      <c r="AQ277" s="296"/>
      <c r="AR277" s="296"/>
      <c r="AS277" s="296"/>
      <c r="AU277" s="296"/>
      <c r="AV277" s="296"/>
      <c r="AW277" s="296"/>
      <c r="CV277" s="510">
        <v>87</v>
      </c>
      <c r="CW277" s="359" t="s">
        <v>945</v>
      </c>
      <c r="CX277" s="361">
        <v>179426.79</v>
      </c>
      <c r="CY277" s="361">
        <v>0</v>
      </c>
      <c r="CZ277" s="361">
        <v>0</v>
      </c>
      <c r="DA277" s="361">
        <v>0</v>
      </c>
      <c r="DB277" s="365">
        <v>0</v>
      </c>
      <c r="DC277" s="361">
        <v>0</v>
      </c>
      <c r="DD277" s="365">
        <v>0</v>
      </c>
      <c r="DE277" s="361">
        <v>21235.759999999998</v>
      </c>
      <c r="DF277" s="361">
        <v>80566.63</v>
      </c>
      <c r="DG277" s="361">
        <v>48098.94</v>
      </c>
      <c r="DH277" s="361">
        <v>29525.47</v>
      </c>
      <c r="DI277" s="365"/>
      <c r="DJ277" s="365"/>
      <c r="DK277" s="365"/>
      <c r="DL277" s="366"/>
    </row>
    <row r="278" spans="2:116" ht="13">
      <c r="B278" s="294"/>
      <c r="C278" s="294"/>
      <c r="D278" s="294"/>
      <c r="E278" s="294"/>
      <c r="F278" s="171"/>
      <c r="G278" s="294"/>
      <c r="H278" s="294"/>
      <c r="I278" s="294"/>
      <c r="J278" s="294"/>
      <c r="K278" s="294"/>
      <c r="L278" s="294"/>
      <c r="T278" s="295"/>
      <c r="AA278" s="295"/>
      <c r="AH278" s="295"/>
      <c r="AI278" s="188"/>
      <c r="AJ278" s="188"/>
      <c r="AK278" s="188"/>
      <c r="AL278" s="188"/>
      <c r="AM278" s="188"/>
      <c r="AN278" s="188"/>
      <c r="AO278" s="299"/>
      <c r="AQ278" s="296"/>
      <c r="AR278" s="296"/>
      <c r="AS278" s="296"/>
      <c r="AU278" s="296"/>
      <c r="AV278" s="296"/>
      <c r="AW278" s="296"/>
      <c r="CV278" s="510">
        <v>88</v>
      </c>
      <c r="CW278" s="359" t="s">
        <v>901</v>
      </c>
      <c r="CX278" s="361">
        <v>169989.6</v>
      </c>
      <c r="CY278" s="361">
        <v>36220.800000000003</v>
      </c>
      <c r="CZ278" s="361">
        <v>133768.79999999999</v>
      </c>
      <c r="DA278" s="361">
        <v>0</v>
      </c>
      <c r="DB278" s="361">
        <v>0</v>
      </c>
      <c r="DC278" s="361">
        <v>0</v>
      </c>
      <c r="DD278" s="361">
        <v>0</v>
      </c>
      <c r="DE278" s="361">
        <v>0</v>
      </c>
      <c r="DF278" s="361">
        <v>0</v>
      </c>
      <c r="DG278" s="361">
        <v>0</v>
      </c>
      <c r="DH278" s="361">
        <v>0</v>
      </c>
      <c r="DI278" s="361"/>
      <c r="DJ278" s="361"/>
      <c r="DK278" s="361"/>
      <c r="DL278" s="362"/>
    </row>
    <row r="279" spans="2:116" ht="13">
      <c r="B279" s="294"/>
      <c r="C279" s="294"/>
      <c r="D279" s="294"/>
      <c r="E279" s="294"/>
      <c r="F279" s="171"/>
      <c r="G279" s="294"/>
      <c r="H279" s="294"/>
      <c r="I279" s="294"/>
      <c r="J279" s="294"/>
      <c r="K279" s="294"/>
      <c r="L279" s="294"/>
      <c r="T279" s="295"/>
      <c r="AA279" s="295"/>
      <c r="AH279" s="295"/>
      <c r="AI279" s="188"/>
      <c r="AJ279" s="188"/>
      <c r="AK279" s="188"/>
      <c r="AL279" s="188"/>
      <c r="AM279" s="188"/>
      <c r="AN279" s="188"/>
      <c r="AO279" s="299"/>
      <c r="AQ279" s="296"/>
      <c r="AR279" s="296"/>
      <c r="AS279" s="296"/>
      <c r="AU279" s="296"/>
      <c r="AV279" s="296"/>
      <c r="AW279" s="296"/>
      <c r="CV279" s="510">
        <v>89</v>
      </c>
      <c r="CW279" s="302" t="s">
        <v>902</v>
      </c>
      <c r="CX279" s="352">
        <v>165208</v>
      </c>
      <c r="CY279" s="352">
        <v>165208</v>
      </c>
      <c r="CZ279" s="352">
        <v>0</v>
      </c>
      <c r="DA279" s="352">
        <v>0</v>
      </c>
      <c r="DB279" s="352">
        <v>0</v>
      </c>
      <c r="DC279" s="352">
        <v>0</v>
      </c>
      <c r="DD279" s="352">
        <v>0</v>
      </c>
      <c r="DE279" s="352">
        <v>0</v>
      </c>
      <c r="DF279" s="352">
        <v>0</v>
      </c>
      <c r="DG279" s="302">
        <v>0</v>
      </c>
      <c r="DH279" s="302">
        <v>0</v>
      </c>
      <c r="DL279" s="367"/>
    </row>
    <row r="280" spans="2:116" ht="13">
      <c r="B280" s="294"/>
      <c r="C280" s="294"/>
      <c r="D280" s="294"/>
      <c r="E280" s="294"/>
      <c r="F280" s="171"/>
      <c r="G280" s="294"/>
      <c r="H280" s="294"/>
      <c r="I280" s="294"/>
      <c r="J280" s="294"/>
      <c r="K280" s="294"/>
      <c r="L280" s="294"/>
      <c r="T280" s="295"/>
      <c r="AA280" s="295"/>
      <c r="AH280" s="295"/>
      <c r="AI280" s="188"/>
      <c r="AJ280" s="188"/>
      <c r="AK280" s="188"/>
      <c r="AL280" s="188"/>
      <c r="AM280" s="188"/>
      <c r="AN280" s="188"/>
      <c r="AO280" s="299"/>
      <c r="AQ280" s="296"/>
      <c r="AR280" s="296"/>
      <c r="AS280" s="296"/>
      <c r="AU280" s="296"/>
      <c r="AV280" s="296"/>
      <c r="AW280" s="296"/>
      <c r="CV280" s="510">
        <v>90</v>
      </c>
      <c r="CW280" s="302" t="s">
        <v>961</v>
      </c>
      <c r="CX280" s="352">
        <v>156765.48000000001</v>
      </c>
      <c r="CY280" s="352">
        <v>0</v>
      </c>
      <c r="CZ280" s="352">
        <v>0</v>
      </c>
      <c r="DA280" s="352">
        <v>0</v>
      </c>
      <c r="DB280" s="352">
        <v>0</v>
      </c>
      <c r="DC280" s="352">
        <v>78382.740000000005</v>
      </c>
      <c r="DD280" s="352">
        <v>0</v>
      </c>
      <c r="DE280" s="352">
        <v>78382.740000000005</v>
      </c>
      <c r="DF280" s="302">
        <v>0</v>
      </c>
      <c r="DG280" s="302">
        <v>0</v>
      </c>
      <c r="DH280" s="302">
        <v>0</v>
      </c>
      <c r="DL280" s="367"/>
    </row>
    <row r="281" spans="2:116" ht="13">
      <c r="B281" s="294"/>
      <c r="C281" s="294"/>
      <c r="D281" s="294"/>
      <c r="E281" s="294"/>
      <c r="F281" s="171"/>
      <c r="G281" s="294"/>
      <c r="H281" s="294"/>
      <c r="I281" s="294"/>
      <c r="J281" s="294"/>
      <c r="K281" s="294"/>
      <c r="L281" s="294"/>
      <c r="T281" s="295"/>
      <c r="AA281" s="295"/>
      <c r="AH281" s="295"/>
      <c r="AI281" s="188"/>
      <c r="AJ281" s="188"/>
      <c r="AK281" s="188"/>
      <c r="AL281" s="188"/>
      <c r="AM281" s="188"/>
      <c r="AN281" s="188"/>
      <c r="AO281" s="299"/>
      <c r="AQ281" s="296"/>
      <c r="AR281" s="296"/>
      <c r="AS281" s="296"/>
      <c r="AU281" s="296"/>
      <c r="AV281" s="296"/>
      <c r="AW281" s="296"/>
      <c r="CV281" s="510">
        <v>91</v>
      </c>
      <c r="CW281" s="302" t="s">
        <v>971</v>
      </c>
      <c r="CX281" s="352">
        <v>141901.31</v>
      </c>
      <c r="CY281" s="352">
        <v>80768.69</v>
      </c>
      <c r="CZ281" s="352">
        <v>33777.370000000003</v>
      </c>
      <c r="DA281" s="352">
        <v>0</v>
      </c>
      <c r="DB281" s="352">
        <v>0</v>
      </c>
      <c r="DC281" s="352">
        <v>0</v>
      </c>
      <c r="DD281" s="352">
        <v>27355.24</v>
      </c>
      <c r="DE281" s="352">
        <v>0</v>
      </c>
      <c r="DF281" s="302">
        <v>0</v>
      </c>
      <c r="DG281" s="302">
        <v>0</v>
      </c>
      <c r="DH281" s="302">
        <v>0</v>
      </c>
      <c r="DL281" s="367"/>
    </row>
    <row r="282" spans="2:116" ht="13">
      <c r="B282" s="294"/>
      <c r="C282" s="294"/>
      <c r="D282" s="294"/>
      <c r="E282" s="294"/>
      <c r="F282" s="171"/>
      <c r="G282" s="294"/>
      <c r="H282" s="294"/>
      <c r="I282" s="294"/>
      <c r="J282" s="294"/>
      <c r="K282" s="294"/>
      <c r="L282" s="294"/>
      <c r="T282" s="295"/>
      <c r="AA282" s="295"/>
      <c r="AH282" s="295"/>
      <c r="AI282" s="188"/>
      <c r="AJ282" s="188"/>
      <c r="AK282" s="188"/>
      <c r="AL282" s="188"/>
      <c r="AM282" s="188"/>
      <c r="AN282" s="188"/>
      <c r="AO282" s="299"/>
      <c r="AQ282" s="296"/>
      <c r="AR282" s="296"/>
      <c r="AS282" s="296"/>
      <c r="AU282" s="296"/>
      <c r="AV282" s="296"/>
      <c r="AW282" s="296"/>
      <c r="CV282" s="510">
        <v>92</v>
      </c>
      <c r="CW282" s="302" t="s">
        <v>915</v>
      </c>
      <c r="CX282" s="352">
        <v>138075.91</v>
      </c>
      <c r="CY282" s="352">
        <v>0</v>
      </c>
      <c r="CZ282" s="352">
        <v>0</v>
      </c>
      <c r="DA282" s="302">
        <v>0</v>
      </c>
      <c r="DB282" s="302">
        <v>0</v>
      </c>
      <c r="DC282" s="302">
        <v>0</v>
      </c>
      <c r="DD282" s="352">
        <v>0</v>
      </c>
      <c r="DE282" s="352">
        <v>138075.91</v>
      </c>
      <c r="DF282" s="302">
        <v>0</v>
      </c>
      <c r="DG282" s="302">
        <v>0</v>
      </c>
      <c r="DH282" s="302">
        <v>0</v>
      </c>
      <c r="DL282" s="367"/>
    </row>
    <row r="283" spans="2:116" ht="13">
      <c r="B283" s="294"/>
      <c r="C283" s="294"/>
      <c r="D283" s="294"/>
      <c r="E283" s="294"/>
      <c r="F283" s="171"/>
      <c r="G283" s="294"/>
      <c r="H283" s="294"/>
      <c r="I283" s="294"/>
      <c r="J283" s="294"/>
      <c r="K283" s="294"/>
      <c r="L283" s="294"/>
      <c r="T283" s="295"/>
      <c r="AA283" s="295"/>
      <c r="AH283" s="295"/>
      <c r="AI283" s="188"/>
      <c r="AJ283" s="188"/>
      <c r="AK283" s="188"/>
      <c r="AL283" s="188"/>
      <c r="AM283" s="188"/>
      <c r="AN283" s="188"/>
      <c r="AO283" s="299"/>
      <c r="AQ283" s="296"/>
      <c r="AR283" s="296"/>
      <c r="AS283" s="296"/>
      <c r="AU283" s="296"/>
      <c r="AV283" s="296"/>
      <c r="AW283" s="296"/>
      <c r="CV283" s="510">
        <v>93</v>
      </c>
      <c r="CW283" s="302" t="s">
        <v>982</v>
      </c>
      <c r="CX283" s="352">
        <v>135610.76</v>
      </c>
      <c r="CY283" s="352">
        <v>0</v>
      </c>
      <c r="CZ283" s="352">
        <v>0</v>
      </c>
      <c r="DA283" s="302">
        <v>0</v>
      </c>
      <c r="DB283" s="302">
        <v>0</v>
      </c>
      <c r="DC283" s="352">
        <v>0</v>
      </c>
      <c r="DD283" s="352">
        <v>36215.839999999997</v>
      </c>
      <c r="DE283" s="352">
        <v>0</v>
      </c>
      <c r="DF283" s="352">
        <v>0</v>
      </c>
      <c r="DG283" s="352">
        <v>12881.05</v>
      </c>
      <c r="DH283" s="352">
        <v>86513.87</v>
      </c>
      <c r="DL283" s="367"/>
    </row>
    <row r="284" spans="2:116" ht="13">
      <c r="B284" s="294"/>
      <c r="C284" s="294"/>
      <c r="D284" s="294"/>
      <c r="E284" s="294"/>
      <c r="F284" s="171"/>
      <c r="G284" s="294"/>
      <c r="H284" s="294"/>
      <c r="I284" s="294"/>
      <c r="J284" s="294"/>
      <c r="K284" s="294"/>
      <c r="L284" s="294"/>
      <c r="T284" s="295"/>
      <c r="AA284" s="295"/>
      <c r="AH284" s="295"/>
      <c r="AI284" s="188"/>
      <c r="AJ284" s="188"/>
      <c r="AK284" s="188"/>
      <c r="AL284" s="188"/>
      <c r="AM284" s="188"/>
      <c r="AN284" s="188"/>
      <c r="AO284" s="299"/>
      <c r="AQ284" s="296"/>
      <c r="AR284" s="296"/>
      <c r="AS284" s="296"/>
      <c r="AU284" s="296"/>
      <c r="AV284" s="296"/>
      <c r="AW284" s="296"/>
      <c r="CV284" s="510">
        <v>94</v>
      </c>
      <c r="CW284" s="302" t="s">
        <v>900</v>
      </c>
      <c r="CX284" s="352">
        <v>127823.54</v>
      </c>
      <c r="CY284" s="352">
        <v>49652.97</v>
      </c>
      <c r="CZ284" s="352">
        <v>78170.570000000007</v>
      </c>
      <c r="DA284" s="302">
        <v>0</v>
      </c>
      <c r="DB284" s="352">
        <v>0</v>
      </c>
      <c r="DC284" s="302">
        <v>0</v>
      </c>
      <c r="DD284" s="352">
        <v>0</v>
      </c>
      <c r="DE284" s="302">
        <v>0</v>
      </c>
      <c r="DF284" s="302">
        <v>0</v>
      </c>
      <c r="DG284" s="302">
        <v>0</v>
      </c>
      <c r="DH284" s="302">
        <v>0</v>
      </c>
      <c r="DL284" s="367"/>
    </row>
    <row r="285" spans="2:116" ht="13">
      <c r="B285" s="294"/>
      <c r="C285" s="294"/>
      <c r="D285" s="294"/>
      <c r="E285" s="294"/>
      <c r="F285" s="171"/>
      <c r="G285" s="294"/>
      <c r="H285" s="294"/>
      <c r="I285" s="294"/>
      <c r="J285" s="294"/>
      <c r="K285" s="294"/>
      <c r="L285" s="294"/>
      <c r="T285" s="295"/>
      <c r="AA285" s="295"/>
      <c r="AH285" s="295"/>
      <c r="AI285" s="188"/>
      <c r="AJ285" s="188"/>
      <c r="AK285" s="188"/>
      <c r="AL285" s="188"/>
      <c r="AM285" s="188"/>
      <c r="AN285" s="188"/>
      <c r="AO285" s="299"/>
      <c r="AQ285" s="296"/>
      <c r="AR285" s="296"/>
      <c r="AS285" s="296"/>
      <c r="AU285" s="296"/>
      <c r="AV285" s="296"/>
      <c r="AW285" s="296"/>
      <c r="CV285" s="510">
        <v>95</v>
      </c>
      <c r="CW285" s="302" t="s">
        <v>932</v>
      </c>
      <c r="CX285" s="352">
        <v>126493.86</v>
      </c>
      <c r="CY285" s="352">
        <v>0</v>
      </c>
      <c r="CZ285" s="352">
        <v>0</v>
      </c>
      <c r="DA285" s="352">
        <v>0</v>
      </c>
      <c r="DB285" s="302">
        <v>0</v>
      </c>
      <c r="DC285" s="352">
        <v>0</v>
      </c>
      <c r="DD285" s="302">
        <v>0</v>
      </c>
      <c r="DE285" s="352">
        <v>0</v>
      </c>
      <c r="DF285" s="302">
        <v>0</v>
      </c>
      <c r="DG285" s="302">
        <v>0</v>
      </c>
      <c r="DH285" s="352">
        <v>126493.86</v>
      </c>
      <c r="DL285" s="367"/>
    </row>
    <row r="286" spans="2:116" ht="13">
      <c r="B286" s="294"/>
      <c r="C286" s="294"/>
      <c r="D286" s="294"/>
      <c r="E286" s="294"/>
      <c r="F286" s="171"/>
      <c r="G286" s="294"/>
      <c r="H286" s="294"/>
      <c r="I286" s="294"/>
      <c r="J286" s="294"/>
      <c r="K286" s="294"/>
      <c r="L286" s="294"/>
      <c r="T286" s="295"/>
      <c r="AA286" s="295"/>
      <c r="AH286" s="295"/>
      <c r="AI286" s="188"/>
      <c r="AJ286" s="188"/>
      <c r="AK286" s="188"/>
      <c r="AL286" s="188"/>
      <c r="AM286" s="188"/>
      <c r="AN286" s="188"/>
      <c r="AO286" s="299"/>
      <c r="AQ286" s="296"/>
      <c r="AR286" s="296"/>
      <c r="AS286" s="296"/>
      <c r="AU286" s="296"/>
      <c r="AV286" s="296"/>
      <c r="AW286" s="296"/>
      <c r="CV286" s="510">
        <v>96</v>
      </c>
      <c r="CW286" s="958" t="s">
        <v>973</v>
      </c>
      <c r="CX286" s="352">
        <v>118201</v>
      </c>
      <c r="CY286" s="352">
        <v>0</v>
      </c>
      <c r="CZ286" s="352">
        <v>53305</v>
      </c>
      <c r="DA286" s="302">
        <v>0</v>
      </c>
      <c r="DB286" s="302">
        <v>0</v>
      </c>
      <c r="DC286" s="302">
        <v>0</v>
      </c>
      <c r="DD286" s="302">
        <v>0</v>
      </c>
      <c r="DE286" s="302">
        <v>0</v>
      </c>
      <c r="DF286" s="352">
        <v>64896</v>
      </c>
      <c r="DG286" s="302">
        <v>0</v>
      </c>
      <c r="DH286" s="302">
        <v>0</v>
      </c>
      <c r="DL286" s="367"/>
    </row>
    <row r="287" spans="2:116" ht="13">
      <c r="B287" s="294"/>
      <c r="C287" s="294"/>
      <c r="D287" s="294"/>
      <c r="E287" s="294"/>
      <c r="F287" s="171"/>
      <c r="G287" s="294"/>
      <c r="H287" s="294"/>
      <c r="I287" s="294"/>
      <c r="J287" s="294"/>
      <c r="K287" s="294"/>
      <c r="L287" s="294"/>
      <c r="T287" s="295"/>
      <c r="AA287" s="295"/>
      <c r="AH287" s="295"/>
      <c r="AI287" s="188"/>
      <c r="AJ287" s="188"/>
      <c r="AK287" s="188"/>
      <c r="AL287" s="188"/>
      <c r="AM287" s="188"/>
      <c r="AN287" s="188"/>
      <c r="AO287" s="299"/>
      <c r="AQ287" s="296"/>
      <c r="AR287" s="296"/>
      <c r="AS287" s="296"/>
      <c r="AU287" s="296"/>
      <c r="AV287" s="296"/>
      <c r="AW287" s="296"/>
      <c r="CV287" s="510">
        <v>97</v>
      </c>
      <c r="CW287" s="302" t="s">
        <v>984</v>
      </c>
      <c r="CX287" s="352">
        <v>115702.25</v>
      </c>
      <c r="CY287" s="352">
        <v>0</v>
      </c>
      <c r="CZ287" s="352">
        <v>0</v>
      </c>
      <c r="DA287" s="302">
        <v>0</v>
      </c>
      <c r="DB287" s="352">
        <v>115702.25</v>
      </c>
      <c r="DC287" s="352">
        <v>0</v>
      </c>
      <c r="DD287" s="302">
        <v>0</v>
      </c>
      <c r="DE287" s="352">
        <v>0</v>
      </c>
      <c r="DF287" s="352">
        <v>0</v>
      </c>
      <c r="DG287" s="302">
        <v>0</v>
      </c>
      <c r="DH287" s="302">
        <v>0</v>
      </c>
      <c r="DL287" s="367"/>
    </row>
    <row r="288" spans="2:116" ht="13">
      <c r="B288" s="294"/>
      <c r="C288" s="294"/>
      <c r="D288" s="294"/>
      <c r="E288" s="294"/>
      <c r="F288" s="171"/>
      <c r="G288" s="294"/>
      <c r="H288" s="294"/>
      <c r="I288" s="294"/>
      <c r="J288" s="294"/>
      <c r="K288" s="294"/>
      <c r="L288" s="294"/>
      <c r="T288" s="295"/>
      <c r="AA288" s="295"/>
      <c r="AH288" s="295"/>
      <c r="AI288" s="188"/>
      <c r="AJ288" s="188"/>
      <c r="AK288" s="188"/>
      <c r="AL288" s="188"/>
      <c r="AM288" s="188"/>
      <c r="AN288" s="188"/>
      <c r="AO288" s="299"/>
      <c r="AQ288" s="296"/>
      <c r="AR288" s="296"/>
      <c r="AS288" s="296"/>
      <c r="AU288" s="296"/>
      <c r="AV288" s="296"/>
      <c r="AW288" s="296"/>
      <c r="CV288" s="510">
        <v>98</v>
      </c>
      <c r="CW288" s="302" t="s">
        <v>970</v>
      </c>
      <c r="CX288" s="352">
        <v>110351.41</v>
      </c>
      <c r="CY288" s="352">
        <v>26100</v>
      </c>
      <c r="CZ288" s="352">
        <v>50771.41</v>
      </c>
      <c r="DA288" s="352">
        <v>33480</v>
      </c>
      <c r="DB288" s="302">
        <v>0</v>
      </c>
      <c r="DC288" s="302">
        <v>0</v>
      </c>
      <c r="DD288" s="352">
        <v>0</v>
      </c>
      <c r="DE288" s="302">
        <v>0</v>
      </c>
      <c r="DF288" s="302">
        <v>0</v>
      </c>
      <c r="DG288" s="352">
        <v>0</v>
      </c>
      <c r="DH288" s="302">
        <v>0</v>
      </c>
      <c r="DL288" s="367"/>
    </row>
    <row r="289" spans="2:116" ht="13">
      <c r="B289" s="294"/>
      <c r="C289" s="294"/>
      <c r="D289" s="294"/>
      <c r="E289" s="294"/>
      <c r="F289" s="171"/>
      <c r="G289" s="294"/>
      <c r="H289" s="294"/>
      <c r="I289" s="294"/>
      <c r="J289" s="294"/>
      <c r="K289" s="294"/>
      <c r="L289" s="294"/>
      <c r="T289" s="295"/>
      <c r="AA289" s="295"/>
      <c r="AH289" s="295"/>
      <c r="AI289" s="188"/>
      <c r="AJ289" s="188"/>
      <c r="AK289" s="188"/>
      <c r="AL289" s="188"/>
      <c r="AM289" s="188"/>
      <c r="AN289" s="188"/>
      <c r="AO289" s="299"/>
      <c r="AQ289" s="296"/>
      <c r="AR289" s="296"/>
      <c r="AS289" s="296"/>
      <c r="AU289" s="296"/>
      <c r="AV289" s="296"/>
      <c r="AW289" s="296"/>
      <c r="CV289" s="510">
        <v>99</v>
      </c>
      <c r="CW289" s="302" t="s">
        <v>904</v>
      </c>
      <c r="CX289" s="352">
        <v>105637.2</v>
      </c>
      <c r="CY289" s="352">
        <v>105637.2</v>
      </c>
      <c r="CZ289" s="302">
        <v>0</v>
      </c>
      <c r="DA289" s="302">
        <v>0</v>
      </c>
      <c r="DB289" s="302">
        <v>0</v>
      </c>
      <c r="DC289" s="302">
        <v>0</v>
      </c>
      <c r="DD289" s="352">
        <v>0</v>
      </c>
      <c r="DE289" s="302">
        <v>0</v>
      </c>
      <c r="DF289" s="302">
        <v>0</v>
      </c>
      <c r="DG289" s="302">
        <v>0</v>
      </c>
      <c r="DH289" s="302">
        <v>0</v>
      </c>
      <c r="DL289" s="367"/>
    </row>
    <row r="290" spans="2:116" ht="13">
      <c r="B290" s="294"/>
      <c r="C290" s="294"/>
      <c r="D290" s="294"/>
      <c r="E290" s="294"/>
      <c r="F290" s="171"/>
      <c r="G290" s="294"/>
      <c r="H290" s="294"/>
      <c r="I290" s="294"/>
      <c r="J290" s="294"/>
      <c r="K290" s="294"/>
      <c r="L290" s="294"/>
      <c r="T290" s="295"/>
      <c r="AA290" s="295"/>
      <c r="AH290" s="295"/>
      <c r="AI290" s="188"/>
      <c r="AJ290" s="188"/>
      <c r="AK290" s="188"/>
      <c r="AL290" s="188"/>
      <c r="AM290" s="188"/>
      <c r="AN290" s="188"/>
      <c r="AO290" s="299"/>
      <c r="AQ290" s="296"/>
      <c r="AR290" s="296"/>
      <c r="AS290" s="296"/>
      <c r="AU290" s="296"/>
      <c r="AV290" s="296"/>
      <c r="AW290" s="296"/>
      <c r="CV290" s="510">
        <v>100</v>
      </c>
      <c r="CW290" s="302" t="s">
        <v>977</v>
      </c>
      <c r="CX290" s="352">
        <v>90938.63</v>
      </c>
      <c r="CY290" s="352">
        <v>0</v>
      </c>
      <c r="CZ290" s="302">
        <v>0</v>
      </c>
      <c r="DA290" s="302">
        <v>0</v>
      </c>
      <c r="DB290" s="302">
        <v>0</v>
      </c>
      <c r="DC290" s="352">
        <v>90938.63</v>
      </c>
      <c r="DD290" s="302">
        <v>0</v>
      </c>
      <c r="DE290" s="352">
        <v>0</v>
      </c>
      <c r="DF290" s="302">
        <v>0</v>
      </c>
      <c r="DG290" s="302">
        <v>0</v>
      </c>
      <c r="DH290" s="302">
        <v>0</v>
      </c>
      <c r="DL290" s="367"/>
    </row>
    <row r="291" spans="2:116" ht="13">
      <c r="B291" s="294"/>
      <c r="C291" s="294"/>
      <c r="D291" s="294"/>
      <c r="E291" s="294"/>
      <c r="F291" s="171"/>
      <c r="G291" s="294"/>
      <c r="H291" s="294"/>
      <c r="I291" s="294"/>
      <c r="J291" s="294"/>
      <c r="K291" s="294"/>
      <c r="L291" s="294"/>
      <c r="T291" s="295"/>
      <c r="AA291" s="295"/>
      <c r="AH291" s="295"/>
      <c r="AI291" s="188"/>
      <c r="AJ291" s="188"/>
      <c r="AK291" s="188"/>
      <c r="AL291" s="188"/>
      <c r="AM291" s="188"/>
      <c r="AN291" s="188"/>
      <c r="AO291" s="299"/>
      <c r="AQ291" s="296"/>
      <c r="AR291" s="296"/>
      <c r="AS291" s="296"/>
      <c r="AU291" s="296"/>
      <c r="AV291" s="296"/>
      <c r="AW291" s="296"/>
      <c r="CV291" s="510">
        <v>101</v>
      </c>
      <c r="CW291" s="302" t="s">
        <v>978</v>
      </c>
      <c r="CX291" s="352">
        <v>87824</v>
      </c>
      <c r="CY291" s="352">
        <v>0</v>
      </c>
      <c r="CZ291" s="302">
        <v>0</v>
      </c>
      <c r="DA291" s="302">
        <v>0</v>
      </c>
      <c r="DB291" s="302">
        <v>0</v>
      </c>
      <c r="DC291" s="352">
        <v>0</v>
      </c>
      <c r="DD291" s="302">
        <v>0</v>
      </c>
      <c r="DE291" s="302">
        <v>0</v>
      </c>
      <c r="DF291" s="302">
        <v>0</v>
      </c>
      <c r="DG291" s="352">
        <v>87824</v>
      </c>
      <c r="DH291" s="302">
        <v>0</v>
      </c>
      <c r="DL291" s="367"/>
    </row>
    <row r="292" spans="2:116" ht="13">
      <c r="B292" s="294"/>
      <c r="C292" s="294"/>
      <c r="D292" s="294"/>
      <c r="E292" s="294"/>
      <c r="F292" s="171"/>
      <c r="G292" s="294"/>
      <c r="H292" s="294"/>
      <c r="I292" s="294"/>
      <c r="J292" s="294"/>
      <c r="K292" s="294"/>
      <c r="L292" s="294"/>
      <c r="T292" s="295"/>
      <c r="AA292" s="295"/>
      <c r="AH292" s="295"/>
      <c r="AI292" s="188"/>
      <c r="AJ292" s="188"/>
      <c r="AK292" s="188"/>
      <c r="AL292" s="188"/>
      <c r="AM292" s="188"/>
      <c r="AN292" s="188"/>
      <c r="AO292" s="299"/>
      <c r="AQ292" s="296"/>
      <c r="AR292" s="296"/>
      <c r="AS292" s="296"/>
      <c r="AU292" s="296"/>
      <c r="AV292" s="296"/>
      <c r="AW292" s="296"/>
      <c r="CV292" s="510">
        <v>102</v>
      </c>
      <c r="CW292" s="302" t="s">
        <v>979</v>
      </c>
      <c r="CX292" s="352">
        <v>75703.8</v>
      </c>
      <c r="CY292" s="352">
        <v>0</v>
      </c>
      <c r="CZ292" s="302">
        <v>0</v>
      </c>
      <c r="DA292" s="302">
        <v>0</v>
      </c>
      <c r="DB292" s="302">
        <v>0</v>
      </c>
      <c r="DC292" s="352">
        <v>0</v>
      </c>
      <c r="DD292" s="352">
        <v>75703.8</v>
      </c>
      <c r="DE292" s="302">
        <v>0</v>
      </c>
      <c r="DF292" s="302">
        <v>0</v>
      </c>
      <c r="DG292" s="352">
        <v>0</v>
      </c>
      <c r="DH292" s="302">
        <v>0</v>
      </c>
      <c r="DL292" s="367"/>
    </row>
    <row r="293" spans="2:116" ht="13">
      <c r="B293" s="294"/>
      <c r="C293" s="294"/>
      <c r="D293" s="294"/>
      <c r="E293" s="294"/>
      <c r="F293" s="171"/>
      <c r="G293" s="294"/>
      <c r="H293" s="294"/>
      <c r="I293" s="294"/>
      <c r="J293" s="294"/>
      <c r="K293" s="294"/>
      <c r="L293" s="294"/>
      <c r="T293" s="295"/>
      <c r="AA293" s="295"/>
      <c r="AH293" s="295"/>
      <c r="AI293" s="188"/>
      <c r="AJ293" s="188"/>
      <c r="AK293" s="188"/>
      <c r="AL293" s="188"/>
      <c r="AM293" s="188"/>
      <c r="AN293" s="188"/>
      <c r="AO293" s="299"/>
      <c r="AQ293" s="296"/>
      <c r="AR293" s="296"/>
      <c r="AS293" s="296"/>
      <c r="AU293" s="296"/>
      <c r="AV293" s="296"/>
      <c r="AW293" s="296"/>
      <c r="CV293" s="510">
        <v>103</v>
      </c>
      <c r="CW293" s="302" t="s">
        <v>948</v>
      </c>
      <c r="CX293" s="352">
        <v>68496.06</v>
      </c>
      <c r="CY293" s="352">
        <v>0</v>
      </c>
      <c r="CZ293" s="352">
        <v>0</v>
      </c>
      <c r="DA293" s="302">
        <v>0</v>
      </c>
      <c r="DB293" s="302">
        <v>0</v>
      </c>
      <c r="DC293" s="302">
        <v>0</v>
      </c>
      <c r="DD293" s="302">
        <v>0</v>
      </c>
      <c r="DE293" s="352">
        <v>68496.06</v>
      </c>
      <c r="DF293" s="302">
        <v>0</v>
      </c>
      <c r="DG293" s="302">
        <v>0</v>
      </c>
      <c r="DH293" s="302">
        <v>0</v>
      </c>
      <c r="DL293" s="367"/>
    </row>
    <row r="294" spans="2:116" ht="13">
      <c r="B294" s="294"/>
      <c r="C294" s="294"/>
      <c r="D294" s="294"/>
      <c r="E294" s="294"/>
      <c r="F294" s="171"/>
      <c r="G294" s="294"/>
      <c r="H294" s="294"/>
      <c r="I294" s="294"/>
      <c r="J294" s="294"/>
      <c r="K294" s="294"/>
      <c r="L294" s="294"/>
      <c r="T294" s="295"/>
      <c r="AA294" s="295"/>
      <c r="AH294" s="295"/>
      <c r="AI294" s="188"/>
      <c r="AJ294" s="188"/>
      <c r="AK294" s="188"/>
      <c r="AL294" s="188"/>
      <c r="AM294" s="188"/>
      <c r="AN294" s="188"/>
      <c r="AO294" s="299"/>
      <c r="AQ294" s="296"/>
      <c r="AR294" s="296"/>
      <c r="AS294" s="296"/>
      <c r="AU294" s="296"/>
      <c r="AV294" s="296"/>
      <c r="AW294" s="296"/>
      <c r="CV294" s="510">
        <v>104</v>
      </c>
      <c r="CW294" s="302" t="s">
        <v>912</v>
      </c>
      <c r="CX294" s="352">
        <v>66346.929999999993</v>
      </c>
      <c r="CY294" s="352">
        <v>66346.929999999993</v>
      </c>
      <c r="CZ294" s="352">
        <v>0</v>
      </c>
      <c r="DA294" s="302">
        <v>0</v>
      </c>
      <c r="DB294" s="302">
        <v>0</v>
      </c>
      <c r="DC294" s="302">
        <v>0</v>
      </c>
      <c r="DD294" s="302">
        <v>0</v>
      </c>
      <c r="DE294" s="302">
        <v>0</v>
      </c>
      <c r="DF294" s="302">
        <v>0</v>
      </c>
      <c r="DG294" s="302">
        <v>0</v>
      </c>
      <c r="DH294" s="302">
        <v>0</v>
      </c>
      <c r="DL294" s="367"/>
    </row>
    <row r="295" spans="2:116" ht="13">
      <c r="B295" s="294"/>
      <c r="C295" s="294"/>
      <c r="D295" s="294"/>
      <c r="E295" s="294"/>
      <c r="F295" s="171"/>
      <c r="G295" s="294"/>
      <c r="H295" s="294"/>
      <c r="I295" s="294"/>
      <c r="J295" s="294"/>
      <c r="K295" s="294"/>
      <c r="L295" s="294"/>
      <c r="T295" s="295"/>
      <c r="AA295" s="295"/>
      <c r="AH295" s="295"/>
      <c r="AI295" s="188"/>
      <c r="AJ295" s="188"/>
      <c r="AK295" s="188"/>
      <c r="AL295" s="188"/>
      <c r="AM295" s="188"/>
      <c r="AN295" s="188"/>
      <c r="AO295" s="299"/>
      <c r="AQ295" s="296"/>
      <c r="AR295" s="296"/>
      <c r="AS295" s="296"/>
      <c r="AU295" s="296"/>
      <c r="AV295" s="296"/>
      <c r="AW295" s="296"/>
      <c r="CV295" s="510">
        <v>105</v>
      </c>
      <c r="CW295" s="302" t="s">
        <v>933</v>
      </c>
      <c r="CX295" s="352">
        <v>47474.02</v>
      </c>
      <c r="CY295" s="352">
        <v>31415.5</v>
      </c>
      <c r="CZ295" s="302">
        <v>0</v>
      </c>
      <c r="DA295" s="302">
        <v>0</v>
      </c>
      <c r="DB295" s="302">
        <v>0</v>
      </c>
      <c r="DC295" s="302">
        <v>0</v>
      </c>
      <c r="DD295" s="302">
        <v>0</v>
      </c>
      <c r="DE295" s="302">
        <v>0</v>
      </c>
      <c r="DF295" s="302">
        <v>0</v>
      </c>
      <c r="DG295" s="302">
        <v>0</v>
      </c>
      <c r="DH295" s="352">
        <v>16058.52</v>
      </c>
      <c r="DL295" s="367"/>
    </row>
    <row r="296" spans="2:116" ht="13">
      <c r="B296" s="294"/>
      <c r="C296" s="294"/>
      <c r="D296" s="294"/>
      <c r="E296" s="294"/>
      <c r="F296" s="171"/>
      <c r="G296" s="294"/>
      <c r="H296" s="294"/>
      <c r="I296" s="294"/>
      <c r="J296" s="294"/>
      <c r="K296" s="294"/>
      <c r="L296" s="294"/>
      <c r="T296" s="295"/>
      <c r="AA296" s="295"/>
      <c r="AH296" s="295"/>
      <c r="AI296" s="188"/>
      <c r="AJ296" s="188"/>
      <c r="AK296" s="188"/>
      <c r="AL296" s="188"/>
      <c r="AM296" s="188"/>
      <c r="AN296" s="188"/>
      <c r="AO296" s="299"/>
      <c r="AQ296" s="296"/>
      <c r="AR296" s="296"/>
      <c r="AS296" s="296"/>
      <c r="AU296" s="296"/>
      <c r="AV296" s="296"/>
      <c r="AW296" s="296"/>
      <c r="CV296" s="510">
        <v>106</v>
      </c>
      <c r="CW296" s="302" t="s">
        <v>986</v>
      </c>
      <c r="CX296" s="352">
        <v>44065</v>
      </c>
      <c r="CY296" s="352">
        <v>44065</v>
      </c>
      <c r="CZ296" s="302">
        <v>0</v>
      </c>
      <c r="DA296" s="302">
        <v>0</v>
      </c>
      <c r="DB296" s="302">
        <v>0</v>
      </c>
      <c r="DC296" s="302">
        <v>0</v>
      </c>
      <c r="DD296" s="302">
        <v>0</v>
      </c>
      <c r="DE296" s="302">
        <v>0</v>
      </c>
      <c r="DF296" s="302">
        <v>0</v>
      </c>
      <c r="DG296" s="352">
        <v>0</v>
      </c>
      <c r="DH296" s="302">
        <v>0</v>
      </c>
      <c r="DL296" s="367"/>
    </row>
    <row r="297" spans="2:116" ht="13">
      <c r="B297" s="294"/>
      <c r="C297" s="294"/>
      <c r="D297" s="294"/>
      <c r="E297" s="294"/>
      <c r="F297" s="171"/>
      <c r="G297" s="294"/>
      <c r="H297" s="294"/>
      <c r="I297" s="294"/>
      <c r="J297" s="294"/>
      <c r="K297" s="294"/>
      <c r="L297" s="294"/>
      <c r="T297" s="295"/>
      <c r="AA297" s="295"/>
      <c r="AH297" s="295"/>
      <c r="AI297" s="188"/>
      <c r="AJ297" s="188"/>
      <c r="AK297" s="188"/>
      <c r="AL297" s="188"/>
      <c r="AM297" s="188"/>
      <c r="AN297" s="188"/>
      <c r="AO297" s="299"/>
      <c r="AQ297" s="296"/>
      <c r="AR297" s="296"/>
      <c r="AS297" s="296"/>
      <c r="AU297" s="296"/>
      <c r="AV297" s="296"/>
      <c r="AW297" s="296"/>
      <c r="CV297" s="510">
        <v>107</v>
      </c>
      <c r="CW297" s="302" t="s">
        <v>966</v>
      </c>
      <c r="CX297" s="352">
        <v>28587.69</v>
      </c>
      <c r="CY297" s="352">
        <v>28587.69</v>
      </c>
      <c r="CZ297" s="302">
        <v>0</v>
      </c>
      <c r="DA297" s="302">
        <v>0</v>
      </c>
      <c r="DB297" s="302">
        <v>0</v>
      </c>
      <c r="DC297" s="352">
        <v>0</v>
      </c>
      <c r="DD297" s="302">
        <v>0</v>
      </c>
      <c r="DE297" s="302">
        <v>0</v>
      </c>
      <c r="DF297" s="302">
        <v>0</v>
      </c>
      <c r="DG297" s="302">
        <v>0</v>
      </c>
      <c r="DH297" s="302">
        <v>0</v>
      </c>
      <c r="DL297" s="367"/>
    </row>
    <row r="298" spans="2:116" ht="13">
      <c r="B298" s="294"/>
      <c r="C298" s="294"/>
      <c r="D298" s="294"/>
      <c r="E298" s="294"/>
      <c r="F298" s="171"/>
      <c r="G298" s="294"/>
      <c r="H298" s="294"/>
      <c r="I298" s="294"/>
      <c r="J298" s="294"/>
      <c r="K298" s="294"/>
      <c r="L298" s="294"/>
      <c r="T298" s="295"/>
      <c r="AA298" s="295"/>
      <c r="AH298" s="295"/>
      <c r="AI298" s="188"/>
      <c r="AJ298" s="188"/>
      <c r="AK298" s="188"/>
      <c r="AL298" s="188"/>
      <c r="AM298" s="188"/>
      <c r="AN298" s="188"/>
      <c r="AO298" s="299"/>
      <c r="AQ298" s="296"/>
      <c r="AR298" s="296"/>
      <c r="AS298" s="296"/>
      <c r="AU298" s="296"/>
      <c r="AV298" s="296"/>
      <c r="AW298" s="296"/>
      <c r="CV298" s="510">
        <v>108</v>
      </c>
      <c r="CW298" s="302" t="s">
        <v>931</v>
      </c>
      <c r="CX298" s="352">
        <v>23732.14</v>
      </c>
      <c r="CY298" s="352">
        <v>0</v>
      </c>
      <c r="CZ298" s="302">
        <v>0</v>
      </c>
      <c r="DA298" s="302">
        <v>0</v>
      </c>
      <c r="DB298" s="302">
        <v>0</v>
      </c>
      <c r="DC298" s="302">
        <v>0</v>
      </c>
      <c r="DD298" s="302">
        <v>0</v>
      </c>
      <c r="DE298" s="302">
        <v>0</v>
      </c>
      <c r="DF298" s="302">
        <v>0</v>
      </c>
      <c r="DG298" s="352">
        <v>23732.14</v>
      </c>
      <c r="DH298" s="302">
        <v>0</v>
      </c>
      <c r="DL298" s="367"/>
    </row>
    <row r="299" spans="2:116" ht="13">
      <c r="B299" s="294"/>
      <c r="C299" s="294"/>
      <c r="D299" s="294"/>
      <c r="E299" s="294"/>
      <c r="F299" s="171"/>
      <c r="G299" s="294"/>
      <c r="H299" s="294"/>
      <c r="I299" s="294"/>
      <c r="J299" s="294"/>
      <c r="K299" s="294"/>
      <c r="L299" s="294"/>
      <c r="T299" s="295"/>
      <c r="AA299" s="295"/>
      <c r="AH299" s="295"/>
      <c r="AI299" s="188"/>
      <c r="AJ299" s="188"/>
      <c r="AK299" s="188"/>
      <c r="AL299" s="188"/>
      <c r="AM299" s="188"/>
      <c r="AN299" s="188"/>
      <c r="AO299" s="299"/>
      <c r="AQ299" s="296"/>
      <c r="AR299" s="296"/>
      <c r="AS299" s="296"/>
      <c r="AU299" s="296"/>
      <c r="AV299" s="296"/>
      <c r="AW299" s="296"/>
      <c r="CV299" s="510">
        <v>109</v>
      </c>
      <c r="CW299" s="302" t="s">
        <v>930</v>
      </c>
      <c r="CX299" s="352">
        <v>16196.94</v>
      </c>
      <c r="CY299" s="302">
        <v>0</v>
      </c>
      <c r="CZ299" s="352">
        <v>0</v>
      </c>
      <c r="DA299" s="302">
        <v>0</v>
      </c>
      <c r="DB299" s="302">
        <v>0</v>
      </c>
      <c r="DC299" s="352">
        <v>16196.94</v>
      </c>
      <c r="DD299" s="302">
        <v>0</v>
      </c>
      <c r="DE299" s="302">
        <v>0</v>
      </c>
      <c r="DF299" s="302">
        <v>0</v>
      </c>
      <c r="DG299" s="302">
        <v>0</v>
      </c>
      <c r="DH299" s="302">
        <v>0</v>
      </c>
      <c r="DL299" s="367"/>
    </row>
    <row r="300" spans="2:116" ht="13">
      <c r="B300" s="294"/>
      <c r="C300" s="294"/>
      <c r="D300" s="294"/>
      <c r="E300" s="294"/>
      <c r="F300" s="171"/>
      <c r="G300" s="294"/>
      <c r="H300" s="294"/>
      <c r="I300" s="294"/>
      <c r="J300" s="294"/>
      <c r="K300" s="294"/>
      <c r="L300" s="294"/>
      <c r="T300" s="295"/>
      <c r="AA300" s="295"/>
      <c r="AH300" s="295"/>
      <c r="AI300" s="188"/>
      <c r="AJ300" s="188"/>
      <c r="AK300" s="188"/>
      <c r="AL300" s="188"/>
      <c r="AM300" s="188"/>
      <c r="AN300" s="188"/>
      <c r="AO300" s="299"/>
      <c r="AQ300" s="296"/>
      <c r="AR300" s="296"/>
      <c r="AS300" s="296"/>
      <c r="AU300" s="296"/>
      <c r="AV300" s="296"/>
      <c r="AW300" s="296"/>
      <c r="CV300" s="510">
        <v>110</v>
      </c>
      <c r="CW300" s="302" t="s">
        <v>899</v>
      </c>
      <c r="CX300" s="352">
        <v>14936.4</v>
      </c>
      <c r="CY300" s="352">
        <v>14936.4</v>
      </c>
      <c r="CZ300" s="302">
        <v>0</v>
      </c>
      <c r="DA300" s="302">
        <v>0</v>
      </c>
      <c r="DB300" s="302">
        <v>0</v>
      </c>
      <c r="DC300" s="302">
        <v>0</v>
      </c>
      <c r="DD300" s="302">
        <v>0</v>
      </c>
      <c r="DE300" s="302">
        <v>0</v>
      </c>
      <c r="DF300" s="302">
        <v>0</v>
      </c>
      <c r="DG300" s="302">
        <v>0</v>
      </c>
      <c r="DH300" s="302">
        <v>0</v>
      </c>
      <c r="DL300" s="367"/>
    </row>
    <row r="301" spans="2:116" ht="13">
      <c r="B301" s="294"/>
      <c r="C301" s="294"/>
      <c r="D301" s="294"/>
      <c r="E301" s="294"/>
      <c r="F301" s="171"/>
      <c r="G301" s="294"/>
      <c r="H301" s="294"/>
      <c r="I301" s="294"/>
      <c r="J301" s="294"/>
      <c r="K301" s="294"/>
      <c r="L301" s="294"/>
      <c r="T301" s="295"/>
      <c r="AA301" s="295"/>
      <c r="AH301" s="295"/>
      <c r="AI301" s="188"/>
      <c r="AJ301" s="188"/>
      <c r="AK301" s="188"/>
      <c r="AL301" s="188"/>
      <c r="AM301" s="188"/>
      <c r="AN301" s="188"/>
      <c r="AO301" s="299"/>
      <c r="AQ301" s="296"/>
      <c r="AR301" s="296"/>
      <c r="AS301" s="296"/>
      <c r="AU301" s="296"/>
      <c r="AV301" s="296"/>
      <c r="AW301" s="296"/>
      <c r="CV301" s="510">
        <v>111</v>
      </c>
      <c r="CW301" s="302" t="s">
        <v>903</v>
      </c>
      <c r="CX301" s="352">
        <v>7017.21</v>
      </c>
      <c r="CY301" s="302">
        <v>0</v>
      </c>
      <c r="CZ301" s="352">
        <v>7017.21</v>
      </c>
      <c r="DA301" s="302">
        <v>0</v>
      </c>
      <c r="DB301" s="302">
        <v>0</v>
      </c>
      <c r="DC301" s="302">
        <v>0</v>
      </c>
      <c r="DD301" s="302">
        <v>0</v>
      </c>
      <c r="DE301" s="302">
        <v>0</v>
      </c>
      <c r="DF301" s="302">
        <v>0</v>
      </c>
      <c r="DG301" s="302">
        <v>0</v>
      </c>
      <c r="DH301" s="302">
        <v>0</v>
      </c>
      <c r="DL301" s="367"/>
    </row>
    <row r="302" spans="2:116" ht="13">
      <c r="B302" s="294"/>
      <c r="C302" s="294"/>
      <c r="D302" s="294"/>
      <c r="E302" s="294"/>
      <c r="F302" s="171"/>
      <c r="G302" s="294"/>
      <c r="H302" s="294"/>
      <c r="I302" s="294"/>
      <c r="J302" s="294"/>
      <c r="K302" s="294"/>
      <c r="L302" s="294"/>
      <c r="T302" s="295"/>
      <c r="AA302" s="295"/>
      <c r="AH302" s="295"/>
      <c r="AI302" s="188"/>
      <c r="AJ302" s="188"/>
      <c r="AK302" s="188"/>
      <c r="AL302" s="188"/>
      <c r="AM302" s="188"/>
      <c r="AN302" s="188"/>
      <c r="AO302" s="299"/>
      <c r="AQ302" s="296"/>
      <c r="AR302" s="296"/>
      <c r="AS302" s="296"/>
      <c r="AU302" s="296"/>
      <c r="AV302" s="296"/>
      <c r="AW302" s="296"/>
      <c r="CV302" s="510">
        <v>112</v>
      </c>
      <c r="CW302" s="302" t="s">
        <v>920</v>
      </c>
      <c r="CX302" s="352">
        <v>4938.84</v>
      </c>
      <c r="CY302" s="352">
        <v>4938.84</v>
      </c>
      <c r="CZ302" s="302">
        <v>0</v>
      </c>
      <c r="DA302" s="302">
        <v>0</v>
      </c>
      <c r="DB302" s="302">
        <v>0</v>
      </c>
      <c r="DC302" s="302">
        <v>0</v>
      </c>
      <c r="DD302" s="302">
        <v>0</v>
      </c>
      <c r="DE302" s="302">
        <v>0</v>
      </c>
      <c r="DF302" s="302">
        <v>0</v>
      </c>
      <c r="DG302" s="302">
        <v>0</v>
      </c>
      <c r="DH302" s="302">
        <v>0</v>
      </c>
      <c r="DL302" s="367"/>
    </row>
    <row r="303" spans="2:116" ht="13">
      <c r="B303" s="294"/>
      <c r="C303" s="294"/>
      <c r="D303" s="294"/>
      <c r="E303" s="294"/>
      <c r="F303" s="171"/>
      <c r="G303" s="294"/>
      <c r="H303" s="294"/>
      <c r="I303" s="294"/>
      <c r="J303" s="294"/>
      <c r="K303" s="294"/>
      <c r="L303" s="294"/>
      <c r="T303" s="295"/>
      <c r="AA303" s="295"/>
      <c r="AH303" s="295"/>
      <c r="AI303" s="188"/>
      <c r="AJ303" s="188"/>
      <c r="AK303" s="188"/>
      <c r="AL303" s="188"/>
      <c r="AM303" s="188"/>
      <c r="AN303" s="188"/>
      <c r="AO303" s="299"/>
      <c r="AQ303" s="296"/>
      <c r="AR303" s="296"/>
      <c r="AS303" s="296"/>
      <c r="AU303" s="296"/>
      <c r="AV303" s="296"/>
      <c r="AW303" s="296"/>
      <c r="CV303" s="510">
        <v>113</v>
      </c>
      <c r="DL303" s="367"/>
    </row>
    <row r="304" spans="2:116" ht="13">
      <c r="B304" s="294"/>
      <c r="C304" s="294"/>
      <c r="D304" s="294"/>
      <c r="E304" s="294"/>
      <c r="F304" s="171"/>
      <c r="G304" s="294"/>
      <c r="H304" s="294"/>
      <c r="I304" s="294"/>
      <c r="J304" s="294"/>
      <c r="K304" s="294"/>
      <c r="L304" s="294"/>
      <c r="T304" s="295"/>
      <c r="AA304" s="295"/>
      <c r="AH304" s="295"/>
      <c r="AI304" s="188"/>
      <c r="AJ304" s="188"/>
      <c r="AK304" s="188"/>
      <c r="AL304" s="188"/>
      <c r="AM304" s="188"/>
      <c r="AN304" s="188"/>
      <c r="AO304" s="299"/>
      <c r="AQ304" s="296"/>
      <c r="AR304" s="296"/>
      <c r="AS304" s="296"/>
      <c r="AU304" s="296"/>
      <c r="AV304" s="296"/>
      <c r="AW304" s="296"/>
      <c r="CV304" s="510">
        <v>114</v>
      </c>
      <c r="DL304" s="367"/>
    </row>
    <row r="305" spans="2:116" ht="13">
      <c r="B305" s="294"/>
      <c r="C305" s="294"/>
      <c r="D305" s="294"/>
      <c r="E305" s="294"/>
      <c r="F305" s="171"/>
      <c r="G305" s="294"/>
      <c r="H305" s="294"/>
      <c r="I305" s="294"/>
      <c r="J305" s="294"/>
      <c r="K305" s="294"/>
      <c r="L305" s="294"/>
      <c r="T305" s="295"/>
      <c r="AA305" s="295"/>
      <c r="AH305" s="295"/>
      <c r="AI305" s="188"/>
      <c r="AJ305" s="188"/>
      <c r="AK305" s="188"/>
      <c r="AL305" s="188"/>
      <c r="AM305" s="188"/>
      <c r="AN305" s="188"/>
      <c r="AO305" s="299"/>
      <c r="AQ305" s="296"/>
      <c r="AR305" s="296"/>
      <c r="AS305" s="296"/>
      <c r="AU305" s="296"/>
      <c r="AV305" s="296"/>
      <c r="AW305" s="296"/>
      <c r="CV305" s="510">
        <v>115</v>
      </c>
      <c r="DL305" s="367"/>
    </row>
    <row r="306" spans="2:116" ht="13">
      <c r="B306" s="294"/>
      <c r="C306" s="294"/>
      <c r="D306" s="294"/>
      <c r="E306" s="294"/>
      <c r="F306" s="171"/>
      <c r="G306" s="294"/>
      <c r="H306" s="294"/>
      <c r="I306" s="294"/>
      <c r="J306" s="294"/>
      <c r="K306" s="294"/>
      <c r="L306" s="294"/>
      <c r="T306" s="295"/>
      <c r="AA306" s="295"/>
      <c r="AH306" s="295"/>
      <c r="AI306" s="188"/>
      <c r="AJ306" s="188"/>
      <c r="AK306" s="188"/>
      <c r="AL306" s="188"/>
      <c r="AM306" s="188"/>
      <c r="AN306" s="188"/>
      <c r="AO306" s="299"/>
      <c r="AQ306" s="296"/>
      <c r="AR306" s="296"/>
      <c r="AS306" s="296"/>
      <c r="AU306" s="296"/>
      <c r="AV306" s="296"/>
      <c r="AW306" s="296"/>
      <c r="CV306" s="510">
        <v>116</v>
      </c>
      <c r="DL306" s="367"/>
    </row>
    <row r="307" spans="2:116" ht="13">
      <c r="B307" s="294"/>
      <c r="C307" s="294"/>
      <c r="D307" s="294"/>
      <c r="E307" s="294"/>
      <c r="F307" s="171"/>
      <c r="G307" s="294"/>
      <c r="H307" s="294"/>
      <c r="I307" s="294"/>
      <c r="J307" s="294"/>
      <c r="K307" s="294"/>
      <c r="L307" s="294"/>
      <c r="T307" s="295"/>
      <c r="AA307" s="295"/>
      <c r="AH307" s="295"/>
      <c r="AI307" s="188"/>
      <c r="AJ307" s="188"/>
      <c r="AK307" s="188"/>
      <c r="AL307" s="188"/>
      <c r="AM307" s="188"/>
      <c r="AN307" s="188"/>
      <c r="AO307" s="299"/>
      <c r="AQ307" s="296"/>
      <c r="AR307" s="296"/>
      <c r="AS307" s="296"/>
      <c r="AU307" s="296"/>
      <c r="AV307" s="296"/>
      <c r="AW307" s="296"/>
      <c r="CV307" s="510">
        <v>117</v>
      </c>
      <c r="DL307" s="367"/>
    </row>
    <row r="308" spans="2:116" ht="13">
      <c r="B308" s="294"/>
      <c r="C308" s="294"/>
      <c r="D308" s="294"/>
      <c r="E308" s="294"/>
      <c r="F308" s="171"/>
      <c r="G308" s="294"/>
      <c r="H308" s="294"/>
      <c r="I308" s="294"/>
      <c r="J308" s="294"/>
      <c r="K308" s="294"/>
      <c r="L308" s="294"/>
      <c r="T308" s="295"/>
      <c r="AA308" s="295"/>
      <c r="AH308" s="295"/>
      <c r="AI308" s="188"/>
      <c r="AJ308" s="188"/>
      <c r="AK308" s="188"/>
      <c r="AL308" s="188"/>
      <c r="AM308" s="188"/>
      <c r="AN308" s="188"/>
      <c r="AO308" s="299"/>
      <c r="AQ308" s="296"/>
      <c r="AR308" s="296"/>
      <c r="AS308" s="296"/>
      <c r="AU308" s="296"/>
      <c r="AV308" s="296"/>
      <c r="AW308" s="296"/>
      <c r="CV308" s="510">
        <v>118</v>
      </c>
      <c r="DL308" s="367"/>
    </row>
    <row r="309" spans="2:116" ht="13">
      <c r="B309" s="294"/>
      <c r="C309" s="294"/>
      <c r="D309" s="294"/>
      <c r="E309" s="294"/>
      <c r="F309" s="171"/>
      <c r="G309" s="294"/>
      <c r="H309" s="294"/>
      <c r="I309" s="294"/>
      <c r="J309" s="294"/>
      <c r="K309" s="294"/>
      <c r="L309" s="294"/>
      <c r="T309" s="295"/>
      <c r="AA309" s="295"/>
      <c r="AH309" s="295"/>
      <c r="AI309" s="188"/>
      <c r="AJ309" s="188"/>
      <c r="AK309" s="188"/>
      <c r="AL309" s="188"/>
      <c r="AM309" s="188"/>
      <c r="AN309" s="188"/>
      <c r="AO309" s="299"/>
      <c r="AQ309" s="296"/>
      <c r="AR309" s="296"/>
      <c r="AS309" s="296"/>
      <c r="AU309" s="296"/>
      <c r="AV309" s="296"/>
      <c r="AW309" s="296"/>
      <c r="CV309" s="510">
        <v>119</v>
      </c>
      <c r="DL309" s="367"/>
    </row>
    <row r="310" spans="2:116" ht="13">
      <c r="B310" s="294"/>
      <c r="C310" s="294"/>
      <c r="D310" s="294"/>
      <c r="E310" s="294"/>
      <c r="F310" s="171"/>
      <c r="G310" s="294"/>
      <c r="H310" s="294"/>
      <c r="I310" s="294"/>
      <c r="J310" s="294"/>
      <c r="K310" s="294"/>
      <c r="L310" s="294"/>
      <c r="T310" s="295"/>
      <c r="AA310" s="295"/>
      <c r="AH310" s="295"/>
      <c r="AI310" s="188"/>
      <c r="AJ310" s="188"/>
      <c r="AK310" s="188"/>
      <c r="AL310" s="188"/>
      <c r="AM310" s="188"/>
      <c r="AN310" s="188"/>
      <c r="AO310" s="299"/>
      <c r="AQ310" s="296"/>
      <c r="AR310" s="296"/>
      <c r="AS310" s="296"/>
      <c r="AU310" s="296"/>
      <c r="AV310" s="296"/>
      <c r="AW310" s="296"/>
      <c r="CV310" s="510">
        <v>120</v>
      </c>
      <c r="DL310" s="367"/>
    </row>
    <row r="311" spans="2:116" ht="13">
      <c r="B311" s="294"/>
      <c r="C311" s="294"/>
      <c r="D311" s="294"/>
      <c r="E311" s="294"/>
      <c r="F311" s="171"/>
      <c r="G311" s="294"/>
      <c r="H311" s="294"/>
      <c r="I311" s="294"/>
      <c r="J311" s="294"/>
      <c r="K311" s="294"/>
      <c r="L311" s="294"/>
      <c r="T311" s="295"/>
      <c r="AA311" s="295"/>
      <c r="AH311" s="295"/>
      <c r="AI311" s="188"/>
      <c r="AJ311" s="188"/>
      <c r="AK311" s="188"/>
      <c r="AL311" s="188"/>
      <c r="AM311" s="188"/>
      <c r="AN311" s="188"/>
      <c r="AO311" s="299"/>
      <c r="AQ311" s="296"/>
      <c r="AR311" s="296"/>
      <c r="AS311" s="296"/>
      <c r="AU311" s="296"/>
      <c r="AV311" s="296"/>
      <c r="AW311" s="296"/>
      <c r="CV311" s="510">
        <v>121</v>
      </c>
      <c r="DL311" s="367"/>
    </row>
    <row r="312" spans="2:116" ht="13">
      <c r="B312" s="294"/>
      <c r="C312" s="294"/>
      <c r="D312" s="294"/>
      <c r="E312" s="294"/>
      <c r="F312" s="171"/>
      <c r="G312" s="294"/>
      <c r="H312" s="294"/>
      <c r="I312" s="294"/>
      <c r="J312" s="294"/>
      <c r="K312" s="294"/>
      <c r="L312" s="294"/>
      <c r="T312" s="295"/>
      <c r="AA312" s="295"/>
      <c r="AH312" s="295"/>
      <c r="AI312" s="188"/>
      <c r="AJ312" s="188"/>
      <c r="AK312" s="188"/>
      <c r="AL312" s="188"/>
      <c r="AM312" s="188"/>
      <c r="AN312" s="188"/>
      <c r="AO312" s="299"/>
      <c r="AQ312" s="296"/>
      <c r="AR312" s="296"/>
      <c r="AS312" s="296"/>
      <c r="AU312" s="296"/>
      <c r="AV312" s="296"/>
      <c r="AW312" s="296"/>
      <c r="CV312" s="510">
        <v>122</v>
      </c>
      <c r="DL312" s="367"/>
    </row>
    <row r="313" spans="2:116" ht="13">
      <c r="B313" s="294"/>
      <c r="C313" s="294"/>
      <c r="D313" s="294"/>
      <c r="E313" s="294"/>
      <c r="F313" s="171"/>
      <c r="G313" s="294"/>
      <c r="H313" s="294"/>
      <c r="I313" s="294"/>
      <c r="J313" s="294"/>
      <c r="K313" s="294"/>
      <c r="L313" s="294"/>
      <c r="T313" s="295"/>
      <c r="AA313" s="295"/>
      <c r="AH313" s="295"/>
      <c r="AI313" s="188"/>
      <c r="AJ313" s="188"/>
      <c r="AK313" s="188"/>
      <c r="AL313" s="188"/>
      <c r="AM313" s="188"/>
      <c r="AN313" s="188"/>
      <c r="AO313" s="299"/>
      <c r="AQ313" s="296"/>
      <c r="AR313" s="296"/>
      <c r="AS313" s="296"/>
      <c r="AU313" s="296"/>
      <c r="AV313" s="296"/>
      <c r="AW313" s="296"/>
      <c r="CV313" s="510">
        <v>123</v>
      </c>
      <c r="DL313" s="367"/>
    </row>
    <row r="314" spans="2:116" ht="13">
      <c r="B314" s="294"/>
      <c r="C314" s="294"/>
      <c r="D314" s="294"/>
      <c r="E314" s="294"/>
      <c r="F314" s="171"/>
      <c r="G314" s="294"/>
      <c r="H314" s="294"/>
      <c r="I314" s="294"/>
      <c r="J314" s="294"/>
      <c r="K314" s="294"/>
      <c r="L314" s="294"/>
      <c r="T314" s="295"/>
      <c r="AA314" s="295"/>
      <c r="AH314" s="295"/>
      <c r="AI314" s="188"/>
      <c r="AJ314" s="188"/>
      <c r="AK314" s="188"/>
      <c r="AL314" s="188"/>
      <c r="AM314" s="188"/>
      <c r="AN314" s="188"/>
      <c r="AO314" s="299"/>
      <c r="AQ314" s="296"/>
      <c r="AR314" s="296"/>
      <c r="AS314" s="296"/>
      <c r="AU314" s="296"/>
      <c r="AV314" s="296"/>
      <c r="AW314" s="296"/>
      <c r="CV314" s="510">
        <v>124</v>
      </c>
      <c r="DL314" s="367"/>
    </row>
    <row r="315" spans="2:116" ht="13">
      <c r="B315" s="294"/>
      <c r="C315" s="294"/>
      <c r="D315" s="294"/>
      <c r="E315" s="294"/>
      <c r="F315" s="171"/>
      <c r="G315" s="294"/>
      <c r="H315" s="294"/>
      <c r="I315" s="294"/>
      <c r="J315" s="294"/>
      <c r="K315" s="294"/>
      <c r="L315" s="294"/>
      <c r="T315" s="295"/>
      <c r="AA315" s="295"/>
      <c r="AH315" s="295"/>
      <c r="AI315" s="188"/>
      <c r="AJ315" s="188"/>
      <c r="AK315" s="188"/>
      <c r="AL315" s="188"/>
      <c r="AM315" s="188"/>
      <c r="AN315" s="188"/>
      <c r="AO315" s="299"/>
      <c r="AQ315" s="296"/>
      <c r="AR315" s="296"/>
      <c r="AS315" s="296"/>
      <c r="AU315" s="296"/>
      <c r="AV315" s="296"/>
      <c r="AW315" s="296"/>
      <c r="CV315" s="510">
        <v>125</v>
      </c>
      <c r="DL315" s="367"/>
    </row>
    <row r="316" spans="2:116" ht="13">
      <c r="B316" s="294"/>
      <c r="C316" s="294"/>
      <c r="D316" s="294"/>
      <c r="E316" s="294"/>
      <c r="F316" s="171"/>
      <c r="G316" s="294"/>
      <c r="H316" s="294"/>
      <c r="I316" s="294"/>
      <c r="J316" s="294"/>
      <c r="K316" s="294"/>
      <c r="L316" s="294"/>
      <c r="T316" s="295"/>
      <c r="AA316" s="295"/>
      <c r="AH316" s="295"/>
      <c r="AI316" s="188"/>
      <c r="AJ316" s="188"/>
      <c r="AK316" s="188"/>
      <c r="AL316" s="188"/>
      <c r="AM316" s="188"/>
      <c r="AN316" s="188"/>
      <c r="AO316" s="299"/>
      <c r="AQ316" s="296"/>
      <c r="AR316" s="296"/>
      <c r="AS316" s="296"/>
      <c r="AU316" s="296"/>
      <c r="AV316" s="296"/>
      <c r="AW316" s="296"/>
      <c r="CV316" s="510">
        <v>126</v>
      </c>
      <c r="DL316" s="367"/>
    </row>
    <row r="317" spans="2:116" ht="13">
      <c r="B317" s="294"/>
      <c r="C317" s="294"/>
      <c r="D317" s="294"/>
      <c r="E317" s="294"/>
      <c r="F317" s="171"/>
      <c r="G317" s="294"/>
      <c r="H317" s="294"/>
      <c r="I317" s="294"/>
      <c r="J317" s="294"/>
      <c r="K317" s="294"/>
      <c r="L317" s="294"/>
      <c r="T317" s="295"/>
      <c r="AA317" s="295"/>
      <c r="AH317" s="295"/>
      <c r="AI317" s="188"/>
      <c r="AJ317" s="188"/>
      <c r="AK317" s="188"/>
      <c r="AL317" s="188"/>
      <c r="AM317" s="188"/>
      <c r="AN317" s="188"/>
      <c r="AO317" s="299"/>
      <c r="AQ317" s="296"/>
      <c r="AR317" s="296"/>
      <c r="AS317" s="296"/>
      <c r="AU317" s="296"/>
      <c r="AV317" s="296"/>
      <c r="AW317" s="296"/>
      <c r="CV317" s="510">
        <v>127</v>
      </c>
      <c r="DL317" s="367"/>
    </row>
    <row r="318" spans="2:116" ht="13">
      <c r="B318" s="294"/>
      <c r="C318" s="294"/>
      <c r="D318" s="294"/>
      <c r="E318" s="294"/>
      <c r="F318" s="171"/>
      <c r="G318" s="294"/>
      <c r="H318" s="294"/>
      <c r="I318" s="294"/>
      <c r="J318" s="294"/>
      <c r="K318" s="294"/>
      <c r="L318" s="294"/>
      <c r="T318" s="295"/>
      <c r="AA318" s="295"/>
      <c r="AH318" s="295"/>
      <c r="AI318" s="188"/>
      <c r="AJ318" s="188"/>
      <c r="AK318" s="188"/>
      <c r="AL318" s="188"/>
      <c r="AM318" s="188"/>
      <c r="AN318" s="188"/>
      <c r="AO318" s="299"/>
      <c r="AQ318" s="296"/>
      <c r="AR318" s="296"/>
      <c r="AS318" s="296"/>
      <c r="AU318" s="296"/>
      <c r="AV318" s="296"/>
      <c r="AW318" s="296"/>
      <c r="CV318" s="510">
        <v>128</v>
      </c>
      <c r="DL318" s="367"/>
    </row>
    <row r="319" spans="2:116" ht="13">
      <c r="B319" s="294"/>
      <c r="C319" s="294"/>
      <c r="D319" s="294"/>
      <c r="E319" s="294"/>
      <c r="F319" s="171"/>
      <c r="G319" s="294"/>
      <c r="H319" s="294"/>
      <c r="I319" s="294"/>
      <c r="J319" s="294"/>
      <c r="K319" s="294"/>
      <c r="L319" s="294"/>
      <c r="T319" s="295"/>
      <c r="AA319" s="295"/>
      <c r="AH319" s="295"/>
      <c r="AI319" s="188"/>
      <c r="AJ319" s="188"/>
      <c r="AK319" s="188"/>
      <c r="AL319" s="188"/>
      <c r="AM319" s="188"/>
      <c r="AN319" s="188"/>
      <c r="AO319" s="299"/>
      <c r="AQ319" s="296"/>
      <c r="AR319" s="296"/>
      <c r="AS319" s="296"/>
      <c r="AU319" s="296"/>
      <c r="AV319" s="296"/>
      <c r="AW319" s="296"/>
      <c r="CV319" s="510">
        <v>129</v>
      </c>
      <c r="DL319" s="367"/>
    </row>
    <row r="320" spans="2:116" ht="13">
      <c r="B320" s="294"/>
      <c r="C320" s="294"/>
      <c r="D320" s="294"/>
      <c r="E320" s="294"/>
      <c r="F320" s="171"/>
      <c r="G320" s="294"/>
      <c r="H320" s="294"/>
      <c r="I320" s="294"/>
      <c r="J320" s="294"/>
      <c r="K320" s="294"/>
      <c r="L320" s="294"/>
      <c r="T320" s="295"/>
      <c r="AA320" s="295"/>
      <c r="AH320" s="295"/>
      <c r="AI320" s="188"/>
      <c r="AJ320" s="188"/>
      <c r="AK320" s="188"/>
      <c r="AL320" s="188"/>
      <c r="AM320" s="188"/>
      <c r="AN320" s="188"/>
      <c r="AO320" s="299"/>
      <c r="AQ320" s="296"/>
      <c r="AR320" s="296"/>
      <c r="AS320" s="296"/>
      <c r="AU320" s="296"/>
      <c r="AV320" s="296"/>
      <c r="AW320" s="296"/>
      <c r="CV320" s="510">
        <v>130</v>
      </c>
      <c r="DL320" s="367"/>
    </row>
    <row r="321" spans="2:116" ht="13">
      <c r="B321" s="294"/>
      <c r="C321" s="294"/>
      <c r="D321" s="294"/>
      <c r="E321" s="294"/>
      <c r="F321" s="171"/>
      <c r="G321" s="294"/>
      <c r="H321" s="294"/>
      <c r="I321" s="294"/>
      <c r="J321" s="294"/>
      <c r="K321" s="294"/>
      <c r="L321" s="294"/>
      <c r="T321" s="295"/>
      <c r="AA321" s="295"/>
      <c r="AH321" s="295"/>
      <c r="AI321" s="188"/>
      <c r="AJ321" s="188"/>
      <c r="AK321" s="188"/>
      <c r="AL321" s="188"/>
      <c r="AM321" s="188"/>
      <c r="AN321" s="188"/>
      <c r="AO321" s="299"/>
      <c r="AQ321" s="296"/>
      <c r="AR321" s="296"/>
      <c r="AS321" s="296"/>
      <c r="AU321" s="296"/>
      <c r="AV321" s="296"/>
      <c r="AW321" s="296"/>
      <c r="CV321" s="510">
        <v>131</v>
      </c>
      <c r="DL321" s="367"/>
    </row>
    <row r="322" spans="2:116" ht="13">
      <c r="B322" s="294"/>
      <c r="C322" s="294"/>
      <c r="D322" s="294"/>
      <c r="E322" s="294"/>
      <c r="F322" s="171"/>
      <c r="G322" s="294"/>
      <c r="H322" s="294"/>
      <c r="I322" s="294"/>
      <c r="J322" s="294"/>
      <c r="K322" s="294"/>
      <c r="L322" s="294"/>
      <c r="T322" s="295"/>
      <c r="AA322" s="295"/>
      <c r="AH322" s="295"/>
      <c r="AI322" s="188"/>
      <c r="AJ322" s="188"/>
      <c r="AK322" s="188"/>
      <c r="AL322" s="188"/>
      <c r="AM322" s="188"/>
      <c r="AN322" s="188"/>
      <c r="AO322" s="299"/>
      <c r="AQ322" s="296"/>
      <c r="AR322" s="296"/>
      <c r="AS322" s="296"/>
      <c r="AU322" s="296"/>
      <c r="AV322" s="296"/>
      <c r="AW322" s="296"/>
      <c r="CV322" s="510">
        <v>132</v>
      </c>
      <c r="DL322" s="367"/>
    </row>
    <row r="323" spans="2:116" ht="13">
      <c r="B323" s="294"/>
      <c r="C323" s="294"/>
      <c r="D323" s="294"/>
      <c r="E323" s="294"/>
      <c r="F323" s="171"/>
      <c r="G323" s="294"/>
      <c r="H323" s="294"/>
      <c r="I323" s="294"/>
      <c r="J323" s="294"/>
      <c r="K323" s="294"/>
      <c r="L323" s="294"/>
      <c r="T323" s="295"/>
      <c r="AA323" s="295"/>
      <c r="AH323" s="295"/>
      <c r="AI323" s="188"/>
      <c r="AJ323" s="188"/>
      <c r="AK323" s="188"/>
      <c r="AL323" s="188"/>
      <c r="AM323" s="188"/>
      <c r="AN323" s="188"/>
      <c r="AO323" s="299"/>
      <c r="AQ323" s="296"/>
      <c r="AR323" s="296"/>
      <c r="AS323" s="296"/>
      <c r="AU323" s="296"/>
      <c r="AV323" s="296"/>
      <c r="AW323" s="296"/>
      <c r="CV323" s="510">
        <v>133</v>
      </c>
      <c r="DL323" s="367"/>
    </row>
    <row r="324" spans="2:116" ht="13">
      <c r="B324" s="294"/>
      <c r="C324" s="294"/>
      <c r="D324" s="294"/>
      <c r="E324" s="294"/>
      <c r="F324" s="171"/>
      <c r="G324" s="294"/>
      <c r="H324" s="294"/>
      <c r="I324" s="294"/>
      <c r="J324" s="294"/>
      <c r="K324" s="294"/>
      <c r="L324" s="294"/>
      <c r="T324" s="295"/>
      <c r="AA324" s="295"/>
      <c r="AH324" s="295"/>
      <c r="AI324" s="188"/>
      <c r="AJ324" s="188"/>
      <c r="AK324" s="188"/>
      <c r="AL324" s="188"/>
      <c r="AM324" s="188"/>
      <c r="AN324" s="188"/>
      <c r="AO324" s="299"/>
      <c r="AQ324" s="296"/>
      <c r="AR324" s="296"/>
      <c r="AS324" s="296"/>
      <c r="AU324" s="296"/>
      <c r="AV324" s="296"/>
      <c r="AW324" s="296"/>
      <c r="CV324" s="510">
        <v>134</v>
      </c>
      <c r="DL324" s="367"/>
    </row>
    <row r="325" spans="2:116" ht="13">
      <c r="B325" s="294"/>
      <c r="C325" s="294"/>
      <c r="D325" s="294"/>
      <c r="E325" s="294"/>
      <c r="F325" s="171"/>
      <c r="G325" s="294"/>
      <c r="H325" s="294"/>
      <c r="I325" s="294"/>
      <c r="J325" s="294"/>
      <c r="K325" s="294"/>
      <c r="L325" s="294"/>
      <c r="T325" s="295"/>
      <c r="AA325" s="295"/>
      <c r="AH325" s="295"/>
      <c r="AI325" s="188"/>
      <c r="AJ325" s="188"/>
      <c r="AK325" s="188"/>
      <c r="AL325" s="188"/>
      <c r="AM325" s="188"/>
      <c r="AN325" s="188"/>
      <c r="AO325" s="299"/>
      <c r="AQ325" s="296"/>
      <c r="AR325" s="296"/>
      <c r="AS325" s="296"/>
      <c r="AU325" s="296"/>
      <c r="AV325" s="296"/>
      <c r="AW325" s="296"/>
      <c r="CV325" s="510">
        <v>135</v>
      </c>
      <c r="DL325" s="367"/>
    </row>
    <row r="326" spans="2:116" ht="13">
      <c r="B326" s="294"/>
      <c r="C326" s="294"/>
      <c r="D326" s="294"/>
      <c r="E326" s="294"/>
      <c r="F326" s="171"/>
      <c r="G326" s="294"/>
      <c r="H326" s="294"/>
      <c r="I326" s="294"/>
      <c r="J326" s="294"/>
      <c r="K326" s="294"/>
      <c r="L326" s="294"/>
      <c r="T326" s="295"/>
      <c r="AA326" s="295"/>
      <c r="AH326" s="295"/>
      <c r="AI326" s="188"/>
      <c r="AJ326" s="188"/>
      <c r="AK326" s="188"/>
      <c r="AL326" s="188"/>
      <c r="AM326" s="188"/>
      <c r="AN326" s="188"/>
      <c r="AO326" s="299"/>
      <c r="AQ326" s="296"/>
      <c r="AR326" s="296"/>
      <c r="AS326" s="296"/>
      <c r="AU326" s="296"/>
      <c r="AV326" s="296"/>
      <c r="AW326" s="296"/>
      <c r="CV326" s="510">
        <v>136</v>
      </c>
      <c r="DL326" s="367"/>
    </row>
    <row r="327" spans="2:116" ht="13">
      <c r="B327" s="294"/>
      <c r="C327" s="294"/>
      <c r="D327" s="294"/>
      <c r="E327" s="294"/>
      <c r="F327" s="171"/>
      <c r="G327" s="294"/>
      <c r="H327" s="294"/>
      <c r="I327" s="294"/>
      <c r="J327" s="294"/>
      <c r="K327" s="294"/>
      <c r="L327" s="294"/>
      <c r="T327" s="295"/>
      <c r="AA327" s="295"/>
      <c r="AH327" s="295"/>
      <c r="AI327" s="188"/>
      <c r="AJ327" s="188"/>
      <c r="AK327" s="188"/>
      <c r="AL327" s="188"/>
      <c r="AM327" s="188"/>
      <c r="AN327" s="188"/>
      <c r="AO327" s="299"/>
      <c r="AQ327" s="296"/>
      <c r="AR327" s="296"/>
      <c r="AS327" s="296"/>
      <c r="AU327" s="296"/>
      <c r="AV327" s="296"/>
      <c r="AW327" s="296"/>
      <c r="CV327" s="510">
        <v>137</v>
      </c>
      <c r="DL327" s="367"/>
    </row>
    <row r="328" spans="2:116" ht="13">
      <c r="B328" s="294"/>
      <c r="C328" s="294"/>
      <c r="D328" s="294"/>
      <c r="E328" s="294"/>
      <c r="F328" s="171"/>
      <c r="G328" s="294"/>
      <c r="H328" s="294"/>
      <c r="I328" s="294"/>
      <c r="J328" s="294"/>
      <c r="K328" s="294"/>
      <c r="L328" s="294"/>
      <c r="T328" s="295"/>
      <c r="AA328" s="295"/>
      <c r="AH328" s="295"/>
      <c r="AI328" s="188"/>
      <c r="AJ328" s="188"/>
      <c r="AK328" s="188"/>
      <c r="AL328" s="188"/>
      <c r="AM328" s="188"/>
      <c r="AN328" s="188"/>
      <c r="AO328" s="299"/>
      <c r="AQ328" s="296"/>
      <c r="AR328" s="296"/>
      <c r="AS328" s="296"/>
      <c r="AU328" s="296"/>
      <c r="AV328" s="296"/>
      <c r="AW328" s="296"/>
      <c r="CV328" s="510">
        <v>138</v>
      </c>
      <c r="DL328" s="367"/>
    </row>
    <row r="329" spans="2:116" ht="13">
      <c r="B329" s="294"/>
      <c r="C329" s="294"/>
      <c r="D329" s="294"/>
      <c r="E329" s="294"/>
      <c r="F329" s="171"/>
      <c r="G329" s="294"/>
      <c r="H329" s="294"/>
      <c r="I329" s="294"/>
      <c r="J329" s="294"/>
      <c r="K329" s="294"/>
      <c r="L329" s="294"/>
      <c r="T329" s="295"/>
      <c r="AA329" s="295"/>
      <c r="AH329" s="295"/>
      <c r="AI329" s="188"/>
      <c r="AJ329" s="188"/>
      <c r="AK329" s="188"/>
      <c r="AL329" s="188"/>
      <c r="AM329" s="188"/>
      <c r="AN329" s="188"/>
      <c r="AO329" s="299"/>
      <c r="AQ329" s="296"/>
      <c r="AR329" s="296"/>
      <c r="AS329" s="296"/>
      <c r="AU329" s="296"/>
      <c r="AV329" s="296"/>
      <c r="AW329" s="296"/>
      <c r="CV329" s="510">
        <v>139</v>
      </c>
      <c r="DL329" s="367"/>
    </row>
    <row r="330" spans="2:116" ht="13">
      <c r="B330" s="294"/>
      <c r="C330" s="294"/>
      <c r="D330" s="294"/>
      <c r="E330" s="294"/>
      <c r="F330" s="171"/>
      <c r="G330" s="294"/>
      <c r="H330" s="294"/>
      <c r="I330" s="294"/>
      <c r="J330" s="294"/>
      <c r="K330" s="294"/>
      <c r="L330" s="294"/>
      <c r="T330" s="295"/>
      <c r="AA330" s="295"/>
      <c r="AH330" s="295"/>
      <c r="AI330" s="188"/>
      <c r="AJ330" s="188"/>
      <c r="AK330" s="188"/>
      <c r="AL330" s="188"/>
      <c r="AM330" s="188"/>
      <c r="AN330" s="188"/>
      <c r="AO330" s="299"/>
      <c r="AQ330" s="296"/>
      <c r="AR330" s="296"/>
      <c r="AS330" s="296"/>
      <c r="AU330" s="296"/>
      <c r="AV330" s="296"/>
      <c r="AW330" s="296"/>
      <c r="CV330" s="510">
        <v>140</v>
      </c>
      <c r="DL330" s="367"/>
    </row>
    <row r="331" spans="2:116" ht="13">
      <c r="B331" s="294"/>
      <c r="C331" s="294"/>
      <c r="D331" s="294"/>
      <c r="E331" s="294"/>
      <c r="F331" s="171"/>
      <c r="G331" s="294"/>
      <c r="H331" s="294"/>
      <c r="I331" s="294"/>
      <c r="J331" s="294"/>
      <c r="K331" s="294"/>
      <c r="L331" s="294"/>
      <c r="T331" s="295"/>
      <c r="AA331" s="295"/>
      <c r="AH331" s="295"/>
      <c r="AI331" s="188"/>
      <c r="AJ331" s="188"/>
      <c r="AK331" s="188"/>
      <c r="AL331" s="188"/>
      <c r="AM331" s="188"/>
      <c r="AN331" s="188"/>
      <c r="AO331" s="299"/>
      <c r="AQ331" s="296"/>
      <c r="AR331" s="296"/>
      <c r="AS331" s="296"/>
      <c r="AU331" s="296"/>
      <c r="AV331" s="296"/>
      <c r="AW331" s="296"/>
      <c r="CV331" s="512">
        <v>141</v>
      </c>
      <c r="CW331" s="369"/>
      <c r="CX331" s="369"/>
      <c r="CY331" s="369"/>
      <c r="CZ331" s="369"/>
      <c r="DA331" s="369"/>
      <c r="DB331" s="369"/>
      <c r="DC331" s="369"/>
      <c r="DD331" s="369"/>
      <c r="DE331" s="369"/>
      <c r="DF331" s="369"/>
      <c r="DG331" s="369"/>
      <c r="DH331" s="369"/>
      <c r="DI331" s="369"/>
      <c r="DJ331" s="369"/>
      <c r="DK331" s="369"/>
      <c r="DL331" s="370"/>
    </row>
    <row r="332" spans="2:116" ht="13">
      <c r="B332" s="294"/>
      <c r="C332" s="294"/>
      <c r="D332" s="294"/>
      <c r="E332" s="294"/>
      <c r="F332" s="171"/>
      <c r="G332" s="294"/>
      <c r="H332" s="294"/>
      <c r="I332" s="294"/>
      <c r="J332" s="294"/>
      <c r="K332" s="294"/>
      <c r="L332" s="294"/>
      <c r="T332" s="295"/>
      <c r="AA332" s="295"/>
      <c r="AH332" s="295"/>
      <c r="AI332" s="188"/>
      <c r="AJ332" s="188"/>
      <c r="AK332" s="188"/>
      <c r="AL332" s="188"/>
      <c r="AM332" s="188"/>
      <c r="AN332" s="188"/>
      <c r="AO332" s="299"/>
      <c r="AQ332" s="296"/>
      <c r="AR332" s="296"/>
      <c r="AS332" s="296"/>
      <c r="AU332" s="296"/>
      <c r="AV332" s="296"/>
      <c r="AW332" s="296"/>
    </row>
    <row r="333" spans="2:116" ht="13">
      <c r="B333" s="294"/>
      <c r="C333" s="294"/>
      <c r="D333" s="294"/>
      <c r="E333" s="294"/>
      <c r="F333" s="171"/>
      <c r="G333" s="294"/>
      <c r="H333" s="294"/>
      <c r="I333" s="294"/>
      <c r="J333" s="294"/>
      <c r="K333" s="294"/>
      <c r="L333" s="294"/>
      <c r="T333" s="295"/>
      <c r="AA333" s="295"/>
      <c r="AH333" s="295"/>
      <c r="AI333" s="188"/>
      <c r="AJ333" s="188"/>
      <c r="AK333" s="188"/>
      <c r="AL333" s="188"/>
      <c r="AM333" s="188"/>
      <c r="AN333" s="188"/>
      <c r="AO333" s="299"/>
      <c r="AQ333" s="296"/>
      <c r="AR333" s="296"/>
      <c r="AS333" s="296"/>
      <c r="AU333" s="296"/>
      <c r="AV333" s="296"/>
      <c r="AW333" s="296"/>
      <c r="CY333" s="352">
        <f>CY337-Q66</f>
        <v>0</v>
      </c>
      <c r="CZ333" s="352">
        <f>CZ337-X66</f>
        <v>-2.0000003278255463E-2</v>
      </c>
      <c r="DA333" s="352">
        <f>DA337-AE66</f>
        <v>-9.999983012676239E-3</v>
      </c>
      <c r="DB333" s="352">
        <f>DB337-AR66</f>
        <v>0</v>
      </c>
      <c r="DC333" s="352">
        <f>DC337-AV66</f>
        <v>0</v>
      </c>
      <c r="DD333" s="352">
        <f>DD337-AZ66</f>
        <v>0</v>
      </c>
      <c r="DE333" s="352">
        <f>DE337-BJ66</f>
        <v>1.0000012814998627E-2</v>
      </c>
      <c r="DF333" s="352">
        <f>DF337-BN66</f>
        <v>0</v>
      </c>
      <c r="DG333" s="296">
        <f>DG337-BR66</f>
        <v>0</v>
      </c>
    </row>
    <row r="334" spans="2:116" ht="13">
      <c r="B334" s="294"/>
      <c r="C334" s="294"/>
      <c r="D334" s="294"/>
      <c r="E334" s="294"/>
      <c r="F334" s="171"/>
      <c r="G334" s="294"/>
      <c r="H334" s="294"/>
      <c r="I334" s="294"/>
      <c r="J334" s="294"/>
      <c r="K334" s="294"/>
      <c r="L334" s="294"/>
      <c r="T334" s="295"/>
      <c r="AA334" s="295"/>
      <c r="AH334" s="295"/>
      <c r="AI334" s="188"/>
      <c r="AJ334" s="188"/>
      <c r="AK334" s="188"/>
      <c r="AL334" s="188"/>
      <c r="AM334" s="188"/>
      <c r="AN334" s="188"/>
      <c r="AO334" s="299"/>
      <c r="AQ334" s="296"/>
      <c r="AR334" s="296"/>
      <c r="AS334" s="296"/>
      <c r="AU334" s="296"/>
      <c r="AV334" s="296"/>
      <c r="AW334" s="296"/>
      <c r="CV334" s="371"/>
      <c r="CW334" s="1001">
        <v>1</v>
      </c>
      <c r="CX334" s="372">
        <v>2</v>
      </c>
      <c r="CY334" s="372">
        <v>3</v>
      </c>
      <c r="CZ334" s="372">
        <v>4</v>
      </c>
      <c r="DA334" s="372">
        <v>5</v>
      </c>
      <c r="DB334" s="372">
        <v>6</v>
      </c>
      <c r="DC334" s="372">
        <v>7</v>
      </c>
      <c r="DD334" s="372">
        <v>8</v>
      </c>
      <c r="DE334" s="372">
        <v>9</v>
      </c>
      <c r="DF334" s="372">
        <v>10</v>
      </c>
      <c r="DG334" s="372">
        <v>11</v>
      </c>
      <c r="DH334" s="372">
        <v>12</v>
      </c>
      <c r="DI334" s="372">
        <v>13</v>
      </c>
      <c r="DJ334" s="372">
        <v>14</v>
      </c>
      <c r="DK334" s="372">
        <v>15</v>
      </c>
      <c r="DL334" s="373">
        <v>16</v>
      </c>
    </row>
    <row r="335" spans="2:116" ht="13">
      <c r="B335" s="294"/>
      <c r="C335" s="294"/>
      <c r="D335" s="294"/>
      <c r="E335" s="294"/>
      <c r="F335" s="171"/>
      <c r="G335" s="294"/>
      <c r="H335" s="294"/>
      <c r="I335" s="294"/>
      <c r="J335" s="294"/>
      <c r="K335" s="294"/>
      <c r="L335" s="294"/>
      <c r="T335" s="295"/>
      <c r="AA335" s="295"/>
      <c r="AH335" s="295"/>
      <c r="AI335" s="188"/>
      <c r="AJ335" s="188"/>
      <c r="AK335" s="188"/>
      <c r="AL335" s="188"/>
      <c r="AM335" s="188"/>
      <c r="AN335" s="188"/>
      <c r="AO335" s="299"/>
      <c r="AQ335" s="296"/>
      <c r="AR335" s="296"/>
      <c r="AS335" s="296"/>
      <c r="AU335" s="296"/>
      <c r="AV335" s="296"/>
      <c r="AW335" s="296"/>
      <c r="CV335" s="374"/>
      <c r="CY335" s="357">
        <v>45658</v>
      </c>
      <c r="CZ335" s="357">
        <v>45689</v>
      </c>
      <c r="DA335" s="357">
        <v>45717</v>
      </c>
      <c r="DB335" s="357">
        <v>45748</v>
      </c>
      <c r="DC335" s="357">
        <v>45778</v>
      </c>
      <c r="DD335" s="357">
        <v>45809</v>
      </c>
      <c r="DE335" s="357">
        <v>45839</v>
      </c>
      <c r="DF335" s="357">
        <v>45870</v>
      </c>
      <c r="DG335" s="357">
        <v>45901</v>
      </c>
      <c r="DH335" s="357">
        <v>45931</v>
      </c>
      <c r="DI335" s="357">
        <v>45962</v>
      </c>
      <c r="DJ335" s="357">
        <v>45992</v>
      </c>
      <c r="DK335" s="357"/>
      <c r="DL335" s="375"/>
    </row>
    <row r="336" spans="2:116" ht="13">
      <c r="B336" s="294"/>
      <c r="C336" s="294"/>
      <c r="D336" s="294"/>
      <c r="E336" s="294"/>
      <c r="F336" s="171"/>
      <c r="G336" s="294"/>
      <c r="H336" s="294"/>
      <c r="I336" s="294"/>
      <c r="J336" s="294"/>
      <c r="K336" s="294"/>
      <c r="L336" s="294"/>
      <c r="T336" s="295"/>
      <c r="AA336" s="295"/>
      <c r="AH336" s="295"/>
      <c r="AI336" s="188"/>
      <c r="AJ336" s="188"/>
      <c r="AK336" s="188"/>
      <c r="AL336" s="188"/>
      <c r="AM336" s="188"/>
      <c r="AN336" s="188"/>
      <c r="AO336" s="299"/>
      <c r="AQ336" s="296"/>
      <c r="AR336" s="296"/>
      <c r="AS336" s="296"/>
      <c r="AU336" s="296"/>
      <c r="AV336" s="296"/>
      <c r="AW336" s="296"/>
      <c r="CV336" s="374"/>
      <c r="CW336" s="1002"/>
      <c r="CX336" s="377" t="s">
        <v>241</v>
      </c>
      <c r="CY336" s="360">
        <v>45658</v>
      </c>
      <c r="CZ336" s="360">
        <v>45689</v>
      </c>
      <c r="DA336" s="360">
        <v>45717</v>
      </c>
      <c r="DB336" s="360">
        <v>45748</v>
      </c>
      <c r="DC336" s="360">
        <v>45778</v>
      </c>
      <c r="DD336" s="360">
        <v>45809</v>
      </c>
      <c r="DE336" s="360">
        <v>45839</v>
      </c>
      <c r="DF336" s="360">
        <v>45870</v>
      </c>
      <c r="DG336" s="360">
        <v>45901</v>
      </c>
      <c r="DH336" s="360">
        <v>45931</v>
      </c>
      <c r="DI336" s="360"/>
      <c r="DJ336" s="360"/>
      <c r="DK336" s="357"/>
      <c r="DL336" s="375"/>
    </row>
    <row r="337" spans="2:116" ht="13">
      <c r="B337" s="294"/>
      <c r="C337" s="294"/>
      <c r="D337" s="294"/>
      <c r="E337" s="294"/>
      <c r="F337" s="171"/>
      <c r="G337" s="294"/>
      <c r="H337" s="294"/>
      <c r="I337" s="294"/>
      <c r="J337" s="294"/>
      <c r="K337" s="294"/>
      <c r="L337" s="294"/>
      <c r="T337" s="295"/>
      <c r="AA337" s="295"/>
      <c r="AH337" s="295"/>
      <c r="AI337" s="188"/>
      <c r="AJ337" s="188"/>
      <c r="AK337" s="188"/>
      <c r="AL337" s="188"/>
      <c r="AM337" s="188"/>
      <c r="AN337" s="188"/>
      <c r="AO337" s="299"/>
      <c r="AQ337" s="296"/>
      <c r="AR337" s="296"/>
      <c r="AS337" s="296"/>
      <c r="AU337" s="296"/>
      <c r="AV337" s="296"/>
      <c r="AW337" s="296"/>
      <c r="CV337" s="374"/>
      <c r="CW337" s="359" t="s">
        <v>241</v>
      </c>
      <c r="CX337" s="361">
        <v>484853834.43000001</v>
      </c>
      <c r="CY337" s="361">
        <v>45440463.280000001</v>
      </c>
      <c r="CZ337" s="361">
        <v>42814293.920000002</v>
      </c>
      <c r="DA337" s="361">
        <v>40130184.57</v>
      </c>
      <c r="DB337" s="361">
        <v>38637903.229999997</v>
      </c>
      <c r="DC337" s="361">
        <v>46125416.450000003</v>
      </c>
      <c r="DD337" s="361">
        <v>56593372.060000002</v>
      </c>
      <c r="DE337" s="361">
        <v>64244582.780000001</v>
      </c>
      <c r="DF337" s="361">
        <v>58797477.609999999</v>
      </c>
      <c r="DG337" s="361">
        <v>47906010.090000004</v>
      </c>
      <c r="DH337" s="361">
        <v>44164130.439999998</v>
      </c>
      <c r="DI337" s="361"/>
      <c r="DJ337" s="361"/>
      <c r="DK337" s="361"/>
      <c r="DL337" s="378"/>
    </row>
    <row r="338" spans="2:116" ht="13">
      <c r="B338" s="294"/>
      <c r="C338" s="294"/>
      <c r="D338" s="294"/>
      <c r="E338" s="294"/>
      <c r="F338" s="171"/>
      <c r="G338" s="294"/>
      <c r="H338" s="294"/>
      <c r="I338" s="294"/>
      <c r="J338" s="294"/>
      <c r="K338" s="294"/>
      <c r="L338" s="294"/>
      <c r="T338" s="295"/>
      <c r="AA338" s="295"/>
      <c r="AH338" s="295"/>
      <c r="AI338" s="188"/>
      <c r="AJ338" s="188"/>
      <c r="AK338" s="188"/>
      <c r="AL338" s="188"/>
      <c r="AM338" s="188"/>
      <c r="AN338" s="188"/>
      <c r="AO338" s="299"/>
      <c r="AQ338" s="296"/>
      <c r="AR338" s="296"/>
      <c r="AS338" s="296"/>
      <c r="AU338" s="296"/>
      <c r="AV338" s="296"/>
      <c r="AW338" s="296"/>
      <c r="CV338" s="374">
        <v>1</v>
      </c>
      <c r="CW338" s="359" t="s">
        <v>838</v>
      </c>
      <c r="CX338" s="361">
        <v>215744624.83000001</v>
      </c>
      <c r="CY338" s="361">
        <v>13878771.76</v>
      </c>
      <c r="CZ338" s="361">
        <v>16445655.49</v>
      </c>
      <c r="DA338" s="361">
        <v>22265121.059999999</v>
      </c>
      <c r="DB338" s="361">
        <v>19900103.710000001</v>
      </c>
      <c r="DC338" s="361">
        <v>21223149.989999998</v>
      </c>
      <c r="DD338" s="361">
        <v>25689025.23</v>
      </c>
      <c r="DE338" s="361">
        <v>24845357.010000002</v>
      </c>
      <c r="DF338" s="361">
        <v>26185460.710000001</v>
      </c>
      <c r="DG338" s="361">
        <v>18133625.25</v>
      </c>
      <c r="DH338" s="361">
        <v>27178354.609999999</v>
      </c>
      <c r="DI338" s="361"/>
      <c r="DJ338" s="361"/>
      <c r="DK338" s="361"/>
      <c r="DL338" s="378"/>
    </row>
    <row r="339" spans="2:116" ht="13">
      <c r="B339" s="294"/>
      <c r="C339" s="294"/>
      <c r="D339" s="294"/>
      <c r="E339" s="294"/>
      <c r="F339" s="171"/>
      <c r="G339" s="294"/>
      <c r="H339" s="294"/>
      <c r="I339" s="294"/>
      <c r="J339" s="294"/>
      <c r="K339" s="294"/>
      <c r="L339" s="294"/>
      <c r="T339" s="295"/>
      <c r="AA339" s="295"/>
      <c r="AH339" s="295"/>
      <c r="AI339" s="188"/>
      <c r="AJ339" s="188"/>
      <c r="AK339" s="188"/>
      <c r="AL339" s="188"/>
      <c r="AM339" s="188"/>
      <c r="AN339" s="188"/>
      <c r="AO339" s="299"/>
      <c r="AQ339" s="296"/>
      <c r="AR339" s="296"/>
      <c r="AS339" s="296"/>
      <c r="AU339" s="296"/>
      <c r="AV339" s="296"/>
      <c r="AW339" s="296"/>
      <c r="CV339" s="374">
        <v>2</v>
      </c>
      <c r="CW339" s="359" t="s">
        <v>839</v>
      </c>
      <c r="CX339" s="361">
        <v>53222523.759999998</v>
      </c>
      <c r="CY339" s="361">
        <v>4313635.0199999996</v>
      </c>
      <c r="CZ339" s="361">
        <v>9480055.5099999998</v>
      </c>
      <c r="DA339" s="361">
        <v>3816051.92</v>
      </c>
      <c r="DB339" s="361">
        <v>3166771.22</v>
      </c>
      <c r="DC339" s="361">
        <v>5748328.7400000002</v>
      </c>
      <c r="DD339" s="361">
        <v>3862655.94</v>
      </c>
      <c r="DE339" s="361">
        <v>9809485.2200000007</v>
      </c>
      <c r="DF339" s="361">
        <v>5485784.5800000001</v>
      </c>
      <c r="DG339" s="361">
        <v>5520985.7000000002</v>
      </c>
      <c r="DH339" s="361">
        <v>2018769.91</v>
      </c>
      <c r="DI339" s="361"/>
      <c r="DJ339" s="361"/>
      <c r="DK339" s="361"/>
      <c r="DL339" s="378"/>
    </row>
    <row r="340" spans="2:116" ht="13">
      <c r="B340" s="294"/>
      <c r="C340" s="294"/>
      <c r="D340" s="294"/>
      <c r="E340" s="294"/>
      <c r="F340" s="171"/>
      <c r="G340" s="294"/>
      <c r="H340" s="294"/>
      <c r="I340" s="294"/>
      <c r="J340" s="294"/>
      <c r="K340" s="294"/>
      <c r="L340" s="294"/>
      <c r="T340" s="295"/>
      <c r="AA340" s="295"/>
      <c r="AH340" s="295"/>
      <c r="AI340" s="188"/>
      <c r="AJ340" s="188"/>
      <c r="AK340" s="188"/>
      <c r="AL340" s="188"/>
      <c r="AM340" s="188"/>
      <c r="AN340" s="188"/>
      <c r="AO340" s="299"/>
      <c r="AQ340" s="296"/>
      <c r="AR340" s="296"/>
      <c r="AS340" s="296"/>
      <c r="AU340" s="296"/>
      <c r="AV340" s="296"/>
      <c r="AW340" s="296"/>
      <c r="CV340" s="374">
        <v>3</v>
      </c>
      <c r="CW340" s="359" t="s">
        <v>855</v>
      </c>
      <c r="CX340" s="361">
        <v>43931657.539999999</v>
      </c>
      <c r="CY340" s="361">
        <v>3933439.14</v>
      </c>
      <c r="CZ340" s="361">
        <v>3603860.65</v>
      </c>
      <c r="DA340" s="361">
        <v>2718796.49</v>
      </c>
      <c r="DB340" s="361">
        <v>3712872.38</v>
      </c>
      <c r="DC340" s="361">
        <v>5091677.24</v>
      </c>
      <c r="DD340" s="361">
        <v>5088808.87</v>
      </c>
      <c r="DE340" s="361">
        <v>6049540.6200000001</v>
      </c>
      <c r="DF340" s="361">
        <v>6765948.3799999999</v>
      </c>
      <c r="DG340" s="361">
        <v>4296760.41</v>
      </c>
      <c r="DH340" s="361">
        <v>2669953.36</v>
      </c>
      <c r="DI340" s="361"/>
      <c r="DJ340" s="361"/>
      <c r="DK340" s="361"/>
      <c r="DL340" s="378"/>
    </row>
    <row r="341" spans="2:116" ht="13">
      <c r="B341" s="294"/>
      <c r="C341" s="294"/>
      <c r="D341" s="294"/>
      <c r="E341" s="294"/>
      <c r="F341" s="171"/>
      <c r="G341" s="294"/>
      <c r="H341" s="294"/>
      <c r="I341" s="294"/>
      <c r="J341" s="294"/>
      <c r="K341" s="294"/>
      <c r="L341" s="294"/>
      <c r="T341" s="295"/>
      <c r="AA341" s="295"/>
      <c r="AH341" s="295"/>
      <c r="AI341" s="188"/>
      <c r="AJ341" s="188"/>
      <c r="AK341" s="188"/>
      <c r="AL341" s="188"/>
      <c r="AM341" s="188"/>
      <c r="AN341" s="188"/>
      <c r="AO341" s="299"/>
      <c r="AQ341" s="296"/>
      <c r="AR341" s="296"/>
      <c r="AS341" s="296"/>
      <c r="AU341" s="296"/>
      <c r="AV341" s="296"/>
      <c r="AW341" s="296"/>
      <c r="CV341" s="374">
        <v>4</v>
      </c>
      <c r="CW341" s="359" t="s">
        <v>874</v>
      </c>
      <c r="CX341" s="361">
        <v>27852704.41</v>
      </c>
      <c r="CY341" s="361">
        <v>7732031.0700000003</v>
      </c>
      <c r="CZ341" s="361">
        <v>2621216.7400000002</v>
      </c>
      <c r="DA341" s="361">
        <v>334633.75</v>
      </c>
      <c r="DB341" s="361">
        <v>1524186.82</v>
      </c>
      <c r="DC341" s="361">
        <v>437164.27</v>
      </c>
      <c r="DD341" s="361">
        <v>3220162.84</v>
      </c>
      <c r="DE341" s="361">
        <v>3816499.59</v>
      </c>
      <c r="DF341" s="361">
        <v>6289039</v>
      </c>
      <c r="DG341" s="361">
        <v>1147755.54</v>
      </c>
      <c r="DH341" s="361">
        <v>730014.81</v>
      </c>
      <c r="DI341" s="361"/>
      <c r="DJ341" s="361"/>
      <c r="DK341" s="361"/>
      <c r="DL341" s="378"/>
    </row>
    <row r="342" spans="2:116" ht="13">
      <c r="B342" s="294"/>
      <c r="C342" s="294"/>
      <c r="D342" s="294"/>
      <c r="E342" s="294"/>
      <c r="F342" s="171"/>
      <c r="G342" s="294"/>
      <c r="H342" s="294"/>
      <c r="I342" s="294"/>
      <c r="J342" s="294"/>
      <c r="K342" s="294"/>
      <c r="L342" s="294"/>
      <c r="T342" s="295"/>
      <c r="AA342" s="295"/>
      <c r="AH342" s="295"/>
      <c r="AI342" s="188"/>
      <c r="AJ342" s="188"/>
      <c r="AK342" s="188"/>
      <c r="AL342" s="188"/>
      <c r="AM342" s="188"/>
      <c r="AN342" s="188"/>
      <c r="AO342" s="299"/>
      <c r="AQ342" s="296"/>
      <c r="AR342" s="296"/>
      <c r="AS342" s="296"/>
      <c r="AU342" s="296"/>
      <c r="AV342" s="296"/>
      <c r="AW342" s="296"/>
      <c r="CV342" s="374">
        <v>5</v>
      </c>
      <c r="CW342" s="359" t="s">
        <v>925</v>
      </c>
      <c r="CX342" s="361">
        <v>24806564</v>
      </c>
      <c r="CY342" s="361">
        <v>1412545.24</v>
      </c>
      <c r="CZ342" s="361">
        <v>2541247.2400000002</v>
      </c>
      <c r="DA342" s="361">
        <v>959816.04</v>
      </c>
      <c r="DB342" s="361">
        <v>1743431.52</v>
      </c>
      <c r="DC342" s="361">
        <v>3850824.19</v>
      </c>
      <c r="DD342" s="361">
        <v>1790200.57</v>
      </c>
      <c r="DE342" s="361">
        <v>2775646.72</v>
      </c>
      <c r="DF342" s="361">
        <v>2686757.88</v>
      </c>
      <c r="DG342" s="361">
        <v>5227013.72</v>
      </c>
      <c r="DH342" s="361">
        <v>1819080.87</v>
      </c>
      <c r="DI342" s="361"/>
      <c r="DJ342" s="361"/>
      <c r="DK342" s="361"/>
      <c r="DL342" s="378"/>
    </row>
    <row r="343" spans="2:116" ht="13">
      <c r="B343" s="294"/>
      <c r="C343" s="294"/>
      <c r="D343" s="294"/>
      <c r="E343" s="294"/>
      <c r="F343" s="171"/>
      <c r="G343" s="294"/>
      <c r="H343" s="294"/>
      <c r="I343" s="294"/>
      <c r="J343" s="294"/>
      <c r="K343" s="294"/>
      <c r="L343" s="294"/>
      <c r="T343" s="295"/>
      <c r="AA343" s="295"/>
      <c r="AH343" s="295"/>
      <c r="AI343" s="188"/>
      <c r="AJ343" s="188"/>
      <c r="AK343" s="188"/>
      <c r="AL343" s="188"/>
      <c r="AM343" s="188"/>
      <c r="AN343" s="188"/>
      <c r="AO343" s="299"/>
      <c r="AQ343" s="296"/>
      <c r="AR343" s="296"/>
      <c r="AS343" s="296"/>
      <c r="AU343" s="296"/>
      <c r="AV343" s="296"/>
      <c r="AW343" s="296"/>
      <c r="CV343" s="374">
        <v>6</v>
      </c>
      <c r="CW343" s="359" t="s">
        <v>847</v>
      </c>
      <c r="CX343" s="361">
        <v>24493989.02</v>
      </c>
      <c r="CY343" s="361">
        <v>2985704.24</v>
      </c>
      <c r="CZ343" s="361">
        <v>1093760.32</v>
      </c>
      <c r="DA343" s="361">
        <v>2939256.24</v>
      </c>
      <c r="DB343" s="361">
        <v>2192441.08</v>
      </c>
      <c r="DC343" s="361">
        <v>875215.76</v>
      </c>
      <c r="DD343" s="361">
        <v>3826655.76</v>
      </c>
      <c r="DE343" s="361">
        <v>3697532.72</v>
      </c>
      <c r="DF343" s="361">
        <v>1815958.34</v>
      </c>
      <c r="DG343" s="361">
        <v>3112706.74</v>
      </c>
      <c r="DH343" s="361">
        <v>1954757.82</v>
      </c>
      <c r="DI343" s="361"/>
      <c r="DJ343" s="361"/>
      <c r="DK343" s="361"/>
      <c r="DL343" s="378"/>
    </row>
    <row r="344" spans="2:116" ht="13">
      <c r="B344" s="294"/>
      <c r="C344" s="294"/>
      <c r="D344" s="294"/>
      <c r="E344" s="294"/>
      <c r="F344" s="171"/>
      <c r="G344" s="294"/>
      <c r="H344" s="294"/>
      <c r="I344" s="294"/>
      <c r="J344" s="294"/>
      <c r="K344" s="294"/>
      <c r="L344" s="294"/>
      <c r="T344" s="295"/>
      <c r="AA344" s="295"/>
      <c r="AH344" s="295"/>
      <c r="AI344" s="188"/>
      <c r="AJ344" s="188"/>
      <c r="AK344" s="188"/>
      <c r="AL344" s="188"/>
      <c r="AM344" s="188"/>
      <c r="AN344" s="188"/>
      <c r="AO344" s="299"/>
      <c r="AQ344" s="296"/>
      <c r="AR344" s="296"/>
      <c r="AS344" s="296"/>
      <c r="AU344" s="296"/>
      <c r="AV344" s="296"/>
      <c r="AW344" s="296"/>
      <c r="CV344" s="374">
        <v>7</v>
      </c>
      <c r="CW344" s="359" t="s">
        <v>856</v>
      </c>
      <c r="CX344" s="361">
        <v>14337405.23</v>
      </c>
      <c r="CY344" s="361">
        <v>2248610.75</v>
      </c>
      <c r="CZ344" s="361">
        <v>701287.13</v>
      </c>
      <c r="DA344" s="361">
        <v>0</v>
      </c>
      <c r="DB344" s="361">
        <v>0</v>
      </c>
      <c r="DC344" s="361">
        <v>889454.01</v>
      </c>
      <c r="DD344" s="361">
        <v>3407764.54</v>
      </c>
      <c r="DE344" s="361">
        <v>4381947.38</v>
      </c>
      <c r="DF344" s="361">
        <v>0</v>
      </c>
      <c r="DG344" s="361">
        <v>2747707.39</v>
      </c>
      <c r="DH344" s="361">
        <v>-39365.97</v>
      </c>
      <c r="DI344" s="361"/>
      <c r="DJ344" s="361"/>
      <c r="DK344" s="361"/>
      <c r="DL344" s="378"/>
    </row>
    <row r="345" spans="2:116" ht="13">
      <c r="B345" s="294"/>
      <c r="C345" s="294"/>
      <c r="D345" s="294"/>
      <c r="E345" s="294"/>
      <c r="F345" s="171"/>
      <c r="G345" s="294"/>
      <c r="H345" s="294"/>
      <c r="I345" s="294"/>
      <c r="J345" s="294"/>
      <c r="K345" s="294"/>
      <c r="L345" s="294"/>
      <c r="T345" s="295"/>
      <c r="AA345" s="295"/>
      <c r="AH345" s="295"/>
      <c r="AI345" s="188"/>
      <c r="AJ345" s="188"/>
      <c r="AK345" s="188"/>
      <c r="AL345" s="188"/>
      <c r="AM345" s="188"/>
      <c r="AN345" s="188"/>
      <c r="AO345" s="299"/>
      <c r="AQ345" s="296"/>
      <c r="AR345" s="296"/>
      <c r="AS345" s="296"/>
      <c r="AU345" s="296"/>
      <c r="AV345" s="296"/>
      <c r="AW345" s="296"/>
      <c r="CV345" s="374">
        <v>8</v>
      </c>
      <c r="CW345" s="359" t="s">
        <v>845</v>
      </c>
      <c r="CX345" s="361">
        <v>8041107.46</v>
      </c>
      <c r="CY345" s="361">
        <v>821244.55</v>
      </c>
      <c r="CZ345" s="361">
        <v>576300.17000000004</v>
      </c>
      <c r="DA345" s="361">
        <v>705640.58</v>
      </c>
      <c r="DB345" s="361">
        <v>518936.82</v>
      </c>
      <c r="DC345" s="361">
        <v>681313.94</v>
      </c>
      <c r="DD345" s="361">
        <v>1136116.74</v>
      </c>
      <c r="DE345" s="361">
        <v>655034.6</v>
      </c>
      <c r="DF345" s="361">
        <v>1066278.49</v>
      </c>
      <c r="DG345" s="361">
        <v>446967.41</v>
      </c>
      <c r="DH345" s="361">
        <v>1433274.14</v>
      </c>
      <c r="DI345" s="361"/>
      <c r="DJ345" s="361"/>
      <c r="DK345" s="361"/>
      <c r="DL345" s="378"/>
    </row>
    <row r="346" spans="2:116" ht="13">
      <c r="B346" s="294"/>
      <c r="C346" s="294"/>
      <c r="D346" s="294"/>
      <c r="E346" s="294"/>
      <c r="F346" s="171"/>
      <c r="G346" s="294"/>
      <c r="H346" s="294"/>
      <c r="I346" s="294"/>
      <c r="J346" s="294"/>
      <c r="K346" s="294"/>
      <c r="L346" s="294"/>
      <c r="T346" s="295"/>
      <c r="AA346" s="295"/>
      <c r="AH346" s="295"/>
      <c r="AI346" s="188"/>
      <c r="AJ346" s="188"/>
      <c r="AK346" s="188"/>
      <c r="AL346" s="188"/>
      <c r="AM346" s="188"/>
      <c r="AN346" s="188"/>
      <c r="AO346" s="299"/>
      <c r="AQ346" s="296"/>
      <c r="AR346" s="296"/>
      <c r="AS346" s="296"/>
      <c r="AU346" s="296"/>
      <c r="AV346" s="296"/>
      <c r="AW346" s="296"/>
      <c r="CV346" s="374">
        <v>9</v>
      </c>
      <c r="CW346" s="359" t="s">
        <v>853</v>
      </c>
      <c r="CX346" s="361">
        <v>6048957.8399999999</v>
      </c>
      <c r="CY346" s="361">
        <v>0</v>
      </c>
      <c r="CZ346" s="361">
        <v>0</v>
      </c>
      <c r="DA346" s="361">
        <v>0</v>
      </c>
      <c r="DB346" s="361">
        <v>0</v>
      </c>
      <c r="DC346" s="361">
        <v>0</v>
      </c>
      <c r="DD346" s="361">
        <v>523274.72</v>
      </c>
      <c r="DE346" s="361">
        <v>2010342.72</v>
      </c>
      <c r="DF346" s="361">
        <v>948646.40000000002</v>
      </c>
      <c r="DG346" s="361">
        <v>1693418.4</v>
      </c>
      <c r="DH346" s="361">
        <v>873275.6</v>
      </c>
      <c r="DI346" s="361"/>
      <c r="DJ346" s="361"/>
      <c r="DK346" s="361"/>
      <c r="DL346" s="378"/>
    </row>
    <row r="347" spans="2:116" ht="13">
      <c r="B347" s="294"/>
      <c r="C347" s="294"/>
      <c r="D347" s="294"/>
      <c r="E347" s="294"/>
      <c r="F347" s="171"/>
      <c r="G347" s="294"/>
      <c r="H347" s="294"/>
      <c r="I347" s="294"/>
      <c r="J347" s="294"/>
      <c r="K347" s="294"/>
      <c r="L347" s="294"/>
      <c r="T347" s="295"/>
      <c r="AA347" s="295"/>
      <c r="AH347" s="295"/>
      <c r="AI347" s="188"/>
      <c r="AJ347" s="188"/>
      <c r="AK347" s="188"/>
      <c r="AL347" s="188"/>
      <c r="AM347" s="188"/>
      <c r="AN347" s="188"/>
      <c r="AO347" s="299"/>
      <c r="AQ347" s="296"/>
      <c r="AR347" s="296"/>
      <c r="AS347" s="296"/>
      <c r="AU347" s="296"/>
      <c r="AV347" s="296"/>
      <c r="AW347" s="296"/>
      <c r="CV347" s="374">
        <v>10</v>
      </c>
      <c r="CW347" s="359" t="s">
        <v>926</v>
      </c>
      <c r="CX347" s="361">
        <v>5785711.4400000004</v>
      </c>
      <c r="CY347" s="361">
        <v>1369577.17</v>
      </c>
      <c r="CZ347" s="361">
        <v>315258.8</v>
      </c>
      <c r="DA347" s="361">
        <v>561361.19999999995</v>
      </c>
      <c r="DB347" s="361">
        <v>470659.92</v>
      </c>
      <c r="DC347" s="361">
        <v>1235618.72</v>
      </c>
      <c r="DD347" s="361">
        <v>1005429.76</v>
      </c>
      <c r="DE347" s="361">
        <v>268591.44</v>
      </c>
      <c r="DF347" s="361">
        <v>261445.6</v>
      </c>
      <c r="DG347" s="361">
        <v>87358.56</v>
      </c>
      <c r="DH347" s="361">
        <v>210410.27</v>
      </c>
      <c r="DI347" s="361"/>
      <c r="DJ347" s="361"/>
      <c r="DK347" s="361"/>
      <c r="DL347" s="378"/>
    </row>
    <row r="348" spans="2:116" ht="13">
      <c r="B348" s="294"/>
      <c r="C348" s="294"/>
      <c r="D348" s="294"/>
      <c r="E348" s="294"/>
      <c r="F348" s="171"/>
      <c r="G348" s="294"/>
      <c r="H348" s="294"/>
      <c r="I348" s="294"/>
      <c r="J348" s="294"/>
      <c r="K348" s="294"/>
      <c r="L348" s="294"/>
      <c r="T348" s="295"/>
      <c r="AA348" s="295"/>
      <c r="AH348" s="295"/>
      <c r="AI348" s="188"/>
      <c r="AJ348" s="188"/>
      <c r="AK348" s="188"/>
      <c r="AL348" s="188"/>
      <c r="AM348" s="188"/>
      <c r="AN348" s="188"/>
      <c r="AO348" s="299"/>
      <c r="AQ348" s="296"/>
      <c r="AR348" s="296"/>
      <c r="AS348" s="296"/>
      <c r="AU348" s="296"/>
      <c r="AV348" s="296"/>
      <c r="AW348" s="296"/>
      <c r="CV348" s="374">
        <v>11</v>
      </c>
      <c r="CW348" s="359" t="s">
        <v>947</v>
      </c>
      <c r="CX348" s="361">
        <v>4422330.74</v>
      </c>
      <c r="CY348" s="361">
        <v>781566.53</v>
      </c>
      <c r="CZ348" s="361">
        <v>574575.76</v>
      </c>
      <c r="DA348" s="361">
        <v>432860.32</v>
      </c>
      <c r="DB348" s="361">
        <v>448405.28</v>
      </c>
      <c r="DC348" s="361">
        <v>386491.48</v>
      </c>
      <c r="DD348" s="361">
        <v>547849.92000000004</v>
      </c>
      <c r="DE348" s="361">
        <v>402946.72</v>
      </c>
      <c r="DF348" s="361">
        <v>221666.82</v>
      </c>
      <c r="DG348" s="361">
        <v>304100.88</v>
      </c>
      <c r="DH348" s="361">
        <v>321867.03999999998</v>
      </c>
      <c r="DI348" s="361"/>
      <c r="DJ348" s="361"/>
      <c r="DK348" s="361"/>
      <c r="DL348" s="378"/>
    </row>
    <row r="349" spans="2:116" ht="13">
      <c r="B349" s="294"/>
      <c r="C349" s="294"/>
      <c r="D349" s="294"/>
      <c r="E349" s="294"/>
      <c r="F349" s="171"/>
      <c r="G349" s="294"/>
      <c r="H349" s="294"/>
      <c r="I349" s="294"/>
      <c r="J349" s="294"/>
      <c r="K349" s="294"/>
      <c r="L349" s="294"/>
      <c r="T349" s="295"/>
      <c r="AA349" s="295"/>
      <c r="AH349" s="295"/>
      <c r="AI349" s="188"/>
      <c r="AJ349" s="188"/>
      <c r="AK349" s="188"/>
      <c r="AL349" s="188"/>
      <c r="AM349" s="188"/>
      <c r="AN349" s="188"/>
      <c r="AO349" s="299"/>
      <c r="AQ349" s="296"/>
      <c r="AR349" s="296"/>
      <c r="AS349" s="296"/>
      <c r="AU349" s="296"/>
      <c r="AV349" s="296"/>
      <c r="AW349" s="296"/>
      <c r="CV349" s="374">
        <v>12</v>
      </c>
      <c r="CW349" s="359" t="s">
        <v>962</v>
      </c>
      <c r="CX349" s="361">
        <v>4209615.8899999997</v>
      </c>
      <c r="CY349" s="361">
        <v>0</v>
      </c>
      <c r="CZ349" s="361">
        <v>352124</v>
      </c>
      <c r="DA349" s="361">
        <v>449768.28</v>
      </c>
      <c r="DB349" s="361">
        <v>458001.91999999998</v>
      </c>
      <c r="DC349" s="361">
        <v>550313.19999999995</v>
      </c>
      <c r="DD349" s="361">
        <v>403854.41</v>
      </c>
      <c r="DE349" s="361">
        <v>783827.28</v>
      </c>
      <c r="DF349" s="361">
        <v>576827.19999999995</v>
      </c>
      <c r="DG349" s="361">
        <v>634899.6</v>
      </c>
      <c r="DH349" s="361">
        <v>0</v>
      </c>
      <c r="DI349" s="361"/>
      <c r="DJ349" s="361"/>
      <c r="DK349" s="361"/>
      <c r="DL349" s="378"/>
    </row>
    <row r="350" spans="2:116" ht="13">
      <c r="B350" s="294"/>
      <c r="C350" s="294"/>
      <c r="D350" s="294"/>
      <c r="E350" s="294"/>
      <c r="F350" s="171"/>
      <c r="G350" s="294"/>
      <c r="H350" s="294"/>
      <c r="I350" s="294"/>
      <c r="J350" s="294"/>
      <c r="K350" s="294"/>
      <c r="L350" s="294"/>
      <c r="T350" s="295"/>
      <c r="AA350" s="295"/>
      <c r="AH350" s="295"/>
      <c r="AI350" s="188"/>
      <c r="AJ350" s="188"/>
      <c r="AK350" s="188"/>
      <c r="AL350" s="188"/>
      <c r="AM350" s="188"/>
      <c r="AN350" s="188"/>
      <c r="AO350" s="299"/>
      <c r="AQ350" s="296"/>
      <c r="AR350" s="296"/>
      <c r="AS350" s="296"/>
      <c r="AU350" s="296"/>
      <c r="AV350" s="296"/>
      <c r="AW350" s="296"/>
      <c r="CV350" s="374">
        <v>13</v>
      </c>
      <c r="CW350" s="359" t="s">
        <v>889</v>
      </c>
      <c r="CX350" s="361">
        <v>4052469.35</v>
      </c>
      <c r="CY350" s="352">
        <v>270799.2</v>
      </c>
      <c r="CZ350" s="361">
        <v>199507.52</v>
      </c>
      <c r="DA350" s="361">
        <v>569756.16000000003</v>
      </c>
      <c r="DB350" s="361">
        <v>457852.83</v>
      </c>
      <c r="DC350" s="361">
        <v>601034.62</v>
      </c>
      <c r="DD350" s="361">
        <v>536383.84</v>
      </c>
      <c r="DE350" s="361">
        <v>213221.6</v>
      </c>
      <c r="DF350" s="361">
        <v>468376.33</v>
      </c>
      <c r="DG350" s="361">
        <v>360784.9</v>
      </c>
      <c r="DH350" s="361">
        <v>374752.35</v>
      </c>
      <c r="DI350" s="361"/>
      <c r="DJ350" s="361"/>
      <c r="DK350" s="361"/>
      <c r="DL350" s="378"/>
    </row>
    <row r="351" spans="2:116" ht="13">
      <c r="B351" s="294"/>
      <c r="C351" s="294"/>
      <c r="D351" s="294"/>
      <c r="E351" s="294"/>
      <c r="F351" s="171"/>
      <c r="G351" s="294"/>
      <c r="H351" s="294"/>
      <c r="I351" s="294"/>
      <c r="J351" s="294"/>
      <c r="K351" s="294"/>
      <c r="L351" s="294"/>
      <c r="T351" s="295"/>
      <c r="AA351" s="295"/>
      <c r="AH351" s="295"/>
      <c r="AI351" s="188"/>
      <c r="AJ351" s="188"/>
      <c r="AK351" s="188"/>
      <c r="AL351" s="188"/>
      <c r="AM351" s="188"/>
      <c r="AN351" s="188"/>
      <c r="AO351" s="299"/>
      <c r="AQ351" s="296"/>
      <c r="AR351" s="296"/>
      <c r="AS351" s="296"/>
      <c r="AU351" s="296"/>
      <c r="AV351" s="296"/>
      <c r="AW351" s="296"/>
      <c r="CV351" s="374">
        <v>14</v>
      </c>
      <c r="CW351" s="359" t="s">
        <v>850</v>
      </c>
      <c r="CX351" s="361">
        <v>3768735.24</v>
      </c>
      <c r="CY351" s="361">
        <v>362460.56</v>
      </c>
      <c r="CZ351" s="361">
        <v>139141.12</v>
      </c>
      <c r="DA351" s="361">
        <v>292313.59999999998</v>
      </c>
      <c r="DB351" s="361">
        <v>324108.64</v>
      </c>
      <c r="DC351" s="361">
        <v>415925.2</v>
      </c>
      <c r="DD351" s="361">
        <v>347442.72</v>
      </c>
      <c r="DE351" s="361">
        <v>509182.48</v>
      </c>
      <c r="DF351" s="361">
        <v>453281.92</v>
      </c>
      <c r="DG351" s="361">
        <v>431551.44</v>
      </c>
      <c r="DH351" s="361">
        <v>493327.56</v>
      </c>
      <c r="DI351" s="361"/>
      <c r="DJ351" s="361"/>
      <c r="DK351" s="361"/>
      <c r="DL351" s="378"/>
    </row>
    <row r="352" spans="2:116" ht="13">
      <c r="B352" s="294"/>
      <c r="C352" s="294"/>
      <c r="D352" s="294"/>
      <c r="E352" s="294"/>
      <c r="F352" s="171"/>
      <c r="G352" s="294"/>
      <c r="H352" s="294"/>
      <c r="I352" s="294"/>
      <c r="J352" s="294"/>
      <c r="K352" s="294"/>
      <c r="L352" s="294"/>
      <c r="T352" s="295"/>
      <c r="AA352" s="295"/>
      <c r="AH352" s="295"/>
      <c r="AI352" s="188"/>
      <c r="AJ352" s="188"/>
      <c r="AK352" s="188"/>
      <c r="AL352" s="188"/>
      <c r="AM352" s="188"/>
      <c r="AN352" s="188"/>
      <c r="AO352" s="299"/>
      <c r="AQ352" s="296"/>
      <c r="AR352" s="296"/>
      <c r="AS352" s="296"/>
      <c r="AU352" s="296"/>
      <c r="AV352" s="296"/>
      <c r="AW352" s="296"/>
      <c r="CV352" s="374">
        <v>15</v>
      </c>
      <c r="CW352" s="359" t="s">
        <v>851</v>
      </c>
      <c r="CX352" s="361">
        <v>3709474.78</v>
      </c>
      <c r="CY352" s="361">
        <v>152401.92000000001</v>
      </c>
      <c r="CZ352" s="361">
        <v>809838.4</v>
      </c>
      <c r="DA352" s="361">
        <v>177699.26</v>
      </c>
      <c r="DB352" s="361">
        <v>308893.76</v>
      </c>
      <c r="DC352" s="361">
        <v>264653.45</v>
      </c>
      <c r="DD352" s="361">
        <v>515679.44</v>
      </c>
      <c r="DE352" s="361">
        <v>415537.41</v>
      </c>
      <c r="DF352" s="361">
        <v>552056.86</v>
      </c>
      <c r="DG352" s="361">
        <v>340279.15</v>
      </c>
      <c r="DH352" s="361">
        <v>172435.13</v>
      </c>
      <c r="DI352" s="365"/>
      <c r="DJ352" s="365"/>
      <c r="DK352" s="365"/>
      <c r="DL352" s="379"/>
    </row>
    <row r="353" spans="2:116" ht="13">
      <c r="B353" s="294"/>
      <c r="C353" s="294"/>
      <c r="D353" s="294"/>
      <c r="E353" s="294"/>
      <c r="F353" s="171"/>
      <c r="G353" s="294"/>
      <c r="H353" s="294"/>
      <c r="I353" s="294"/>
      <c r="J353" s="294"/>
      <c r="K353" s="294"/>
      <c r="L353" s="294"/>
      <c r="T353" s="295"/>
      <c r="AA353" s="295"/>
      <c r="AH353" s="295"/>
      <c r="AI353" s="188"/>
      <c r="AJ353" s="188"/>
      <c r="AK353" s="188"/>
      <c r="AL353" s="188"/>
      <c r="AM353" s="188"/>
      <c r="AN353" s="188"/>
      <c r="AO353" s="299"/>
      <c r="AQ353" s="296"/>
      <c r="AR353" s="296"/>
      <c r="AS353" s="296"/>
      <c r="AU353" s="296"/>
      <c r="AV353" s="296"/>
      <c r="AW353" s="296"/>
      <c r="CV353" s="374">
        <v>16</v>
      </c>
      <c r="CW353" s="359" t="s">
        <v>935</v>
      </c>
      <c r="CX353" s="361">
        <v>3604654.19</v>
      </c>
      <c r="CY353" s="361">
        <v>359480.17</v>
      </c>
      <c r="CZ353" s="361">
        <v>367811.7</v>
      </c>
      <c r="DA353" s="361">
        <v>444150.22</v>
      </c>
      <c r="DB353" s="361">
        <v>352432.62</v>
      </c>
      <c r="DC353" s="361">
        <v>301566.09999999998</v>
      </c>
      <c r="DD353" s="361">
        <v>269997.45</v>
      </c>
      <c r="DE353" s="361">
        <v>378950.22</v>
      </c>
      <c r="DF353" s="361">
        <v>416770.74</v>
      </c>
      <c r="DG353" s="361">
        <v>217326.48</v>
      </c>
      <c r="DH353" s="361">
        <v>496168.49</v>
      </c>
      <c r="DI353" s="361"/>
      <c r="DJ353" s="361"/>
      <c r="DK353" s="361"/>
      <c r="DL353" s="378"/>
    </row>
    <row r="354" spans="2:116" ht="13">
      <c r="B354" s="294"/>
      <c r="C354" s="294"/>
      <c r="D354" s="294"/>
      <c r="E354" s="294"/>
      <c r="F354" s="171"/>
      <c r="G354" s="294"/>
      <c r="H354" s="294"/>
      <c r="I354" s="294"/>
      <c r="J354" s="294"/>
      <c r="K354" s="294"/>
      <c r="L354" s="294"/>
      <c r="T354" s="295"/>
      <c r="AA354" s="295"/>
      <c r="AH354" s="295"/>
      <c r="AI354" s="188"/>
      <c r="AJ354" s="188"/>
      <c r="AK354" s="188"/>
      <c r="AL354" s="188"/>
      <c r="AM354" s="188"/>
      <c r="AN354" s="188"/>
      <c r="AO354" s="299"/>
      <c r="AQ354" s="296"/>
      <c r="AR354" s="296"/>
      <c r="AS354" s="296"/>
      <c r="AU354" s="296"/>
      <c r="AV354" s="296"/>
      <c r="AW354" s="296"/>
      <c r="CV354" s="374">
        <v>17</v>
      </c>
      <c r="CW354" s="359" t="s">
        <v>936</v>
      </c>
      <c r="CX354" s="361">
        <v>3569846.54</v>
      </c>
      <c r="CY354" s="361">
        <v>413240.76</v>
      </c>
      <c r="CZ354" s="361">
        <v>393465.82</v>
      </c>
      <c r="DA354" s="361">
        <v>838396.48</v>
      </c>
      <c r="DB354" s="361">
        <v>368956.56</v>
      </c>
      <c r="DC354" s="361">
        <v>458754</v>
      </c>
      <c r="DD354" s="361">
        <v>411764.8</v>
      </c>
      <c r="DE354" s="361">
        <v>149254</v>
      </c>
      <c r="DF354" s="361">
        <v>331463.36</v>
      </c>
      <c r="DG354" s="361">
        <v>118867.6</v>
      </c>
      <c r="DH354" s="361">
        <v>85683.15</v>
      </c>
      <c r="DI354" s="361"/>
      <c r="DJ354" s="361"/>
      <c r="DK354" s="361"/>
      <c r="DL354" s="378"/>
    </row>
    <row r="355" spans="2:116" ht="13">
      <c r="B355" s="294"/>
      <c r="C355" s="294"/>
      <c r="D355" s="294"/>
      <c r="E355" s="294"/>
      <c r="F355" s="171"/>
      <c r="G355" s="294"/>
      <c r="H355" s="294"/>
      <c r="I355" s="294"/>
      <c r="J355" s="294"/>
      <c r="K355" s="294"/>
      <c r="L355" s="294"/>
      <c r="T355" s="295"/>
      <c r="AA355" s="295"/>
      <c r="AH355" s="295"/>
      <c r="AI355" s="188"/>
      <c r="AJ355" s="188"/>
      <c r="AK355" s="188"/>
      <c r="AL355" s="188"/>
      <c r="AM355" s="188"/>
      <c r="AN355" s="188"/>
      <c r="AO355" s="299"/>
      <c r="AQ355" s="296"/>
      <c r="AR355" s="296"/>
      <c r="AS355" s="296"/>
      <c r="AU355" s="296"/>
      <c r="AV355" s="296"/>
      <c r="AW355" s="296"/>
      <c r="CV355" s="374">
        <v>18</v>
      </c>
      <c r="CW355" s="359" t="s">
        <v>960</v>
      </c>
      <c r="CX355" s="361">
        <v>3477632.05</v>
      </c>
      <c r="CY355" s="361">
        <v>370934.24</v>
      </c>
      <c r="CZ355" s="361">
        <v>295863.59999999998</v>
      </c>
      <c r="DA355" s="361">
        <v>262718.88</v>
      </c>
      <c r="DB355" s="361">
        <v>226767.12</v>
      </c>
      <c r="DC355" s="361">
        <v>250195.68</v>
      </c>
      <c r="DD355" s="361">
        <v>196245.28</v>
      </c>
      <c r="DE355" s="361">
        <v>377500.32</v>
      </c>
      <c r="DF355" s="361">
        <v>382468</v>
      </c>
      <c r="DG355" s="361">
        <v>319059.59999999998</v>
      </c>
      <c r="DH355" s="361">
        <v>795879.33</v>
      </c>
      <c r="DI355" s="361"/>
      <c r="DJ355" s="361"/>
      <c r="DK355" s="361"/>
      <c r="DL355" s="378"/>
    </row>
    <row r="356" spans="2:116" ht="13">
      <c r="B356" s="294"/>
      <c r="C356" s="294"/>
      <c r="D356" s="294"/>
      <c r="E356" s="294"/>
      <c r="F356" s="171"/>
      <c r="G356" s="294"/>
      <c r="H356" s="294"/>
      <c r="I356" s="294"/>
      <c r="J356" s="294"/>
      <c r="K356" s="294"/>
      <c r="L356" s="294"/>
      <c r="T356" s="295"/>
      <c r="AA356" s="295"/>
      <c r="AH356" s="295"/>
      <c r="AI356" s="188"/>
      <c r="AJ356" s="188"/>
      <c r="AK356" s="188"/>
      <c r="AL356" s="188"/>
      <c r="AM356" s="188"/>
      <c r="AN356" s="188"/>
      <c r="AO356" s="299"/>
      <c r="AQ356" s="296"/>
      <c r="AR356" s="296"/>
      <c r="AS356" s="296"/>
      <c r="AU356" s="296"/>
      <c r="AV356" s="296"/>
      <c r="AW356" s="296"/>
      <c r="CV356" s="374">
        <v>19</v>
      </c>
      <c r="CW356" s="359" t="s">
        <v>957</v>
      </c>
      <c r="CX356" s="361">
        <v>2893059.18</v>
      </c>
      <c r="CY356" s="361">
        <v>137984</v>
      </c>
      <c r="CZ356" s="361">
        <v>0</v>
      </c>
      <c r="DA356" s="361">
        <v>514471.5</v>
      </c>
      <c r="DB356" s="361">
        <v>360600</v>
      </c>
      <c r="DC356" s="361">
        <v>281269.44</v>
      </c>
      <c r="DD356" s="361">
        <v>613623.28</v>
      </c>
      <c r="DE356" s="361">
        <v>273497.68</v>
      </c>
      <c r="DF356" s="361">
        <v>289535.98</v>
      </c>
      <c r="DG356" s="361">
        <v>205372</v>
      </c>
      <c r="DH356" s="361">
        <v>216705.3</v>
      </c>
      <c r="DI356" s="361"/>
      <c r="DJ356" s="361"/>
      <c r="DK356" s="361"/>
      <c r="DL356" s="378"/>
    </row>
    <row r="357" spans="2:116" ht="13">
      <c r="B357" s="294"/>
      <c r="C357" s="294"/>
      <c r="D357" s="294"/>
      <c r="E357" s="294"/>
      <c r="F357" s="171"/>
      <c r="G357" s="294"/>
      <c r="H357" s="294"/>
      <c r="I357" s="294"/>
      <c r="J357" s="294"/>
      <c r="K357" s="294"/>
      <c r="L357" s="294"/>
      <c r="T357" s="295"/>
      <c r="AA357" s="295"/>
      <c r="AH357" s="295"/>
      <c r="AI357" s="188"/>
      <c r="AJ357" s="188"/>
      <c r="AK357" s="188"/>
      <c r="AL357" s="188"/>
      <c r="AM357" s="188"/>
      <c r="AN357" s="188"/>
      <c r="AO357" s="299"/>
      <c r="AQ357" s="296"/>
      <c r="AR357" s="296"/>
      <c r="AS357" s="296"/>
      <c r="AU357" s="296"/>
      <c r="AV357" s="296"/>
      <c r="AW357" s="296"/>
      <c r="CV357" s="374">
        <v>20</v>
      </c>
      <c r="CW357" s="359" t="s">
        <v>964</v>
      </c>
      <c r="CX357" s="361">
        <v>2535146.7999999998</v>
      </c>
      <c r="CY357" s="361">
        <v>176792.8</v>
      </c>
      <c r="CZ357" s="361">
        <v>75291.759999999995</v>
      </c>
      <c r="DA357" s="361">
        <v>355274.5</v>
      </c>
      <c r="DB357" s="361">
        <v>389304.24</v>
      </c>
      <c r="DC357" s="361">
        <v>494970.46</v>
      </c>
      <c r="DD357" s="361">
        <v>315697.84000000003</v>
      </c>
      <c r="DE357" s="361">
        <v>307416</v>
      </c>
      <c r="DF357" s="361">
        <v>162466.72</v>
      </c>
      <c r="DG357" s="361">
        <v>215605.84</v>
      </c>
      <c r="DH357" s="361">
        <v>42326.64</v>
      </c>
      <c r="DI357" s="361"/>
      <c r="DJ357" s="361"/>
      <c r="DK357" s="361"/>
      <c r="DL357" s="378"/>
    </row>
    <row r="358" spans="2:116" ht="13">
      <c r="B358" s="294"/>
      <c r="C358" s="294"/>
      <c r="D358" s="294"/>
      <c r="E358" s="294"/>
      <c r="F358" s="171"/>
      <c r="G358" s="294"/>
      <c r="H358" s="294"/>
      <c r="I358" s="294"/>
      <c r="J358" s="294"/>
      <c r="K358" s="294"/>
      <c r="L358" s="294"/>
      <c r="T358" s="295"/>
      <c r="AA358" s="295"/>
      <c r="AH358" s="295"/>
      <c r="AI358" s="188"/>
      <c r="AJ358" s="188"/>
      <c r="AK358" s="188"/>
      <c r="AL358" s="188"/>
      <c r="AM358" s="188"/>
      <c r="AN358" s="188"/>
      <c r="AO358" s="299"/>
      <c r="AQ358" s="296"/>
      <c r="AR358" s="296"/>
      <c r="AS358" s="296"/>
      <c r="AU358" s="296"/>
      <c r="AV358" s="296"/>
      <c r="AW358" s="296"/>
      <c r="CV358" s="374">
        <v>21</v>
      </c>
      <c r="CW358" s="359" t="s">
        <v>849</v>
      </c>
      <c r="CX358" s="361">
        <v>2340680.6</v>
      </c>
      <c r="CY358" s="361">
        <v>277119.59999999998</v>
      </c>
      <c r="CZ358" s="361">
        <v>73632.639999999999</v>
      </c>
      <c r="DA358" s="361">
        <v>75771.360000000001</v>
      </c>
      <c r="DB358" s="361">
        <v>218283.36</v>
      </c>
      <c r="DC358" s="361">
        <v>151808</v>
      </c>
      <c r="DD358" s="361">
        <v>190333.68</v>
      </c>
      <c r="DE358" s="361">
        <v>0</v>
      </c>
      <c r="DF358" s="361">
        <v>709948.84</v>
      </c>
      <c r="DG358" s="361">
        <v>323251.44</v>
      </c>
      <c r="DH358" s="361">
        <v>320531.68</v>
      </c>
      <c r="DI358" s="361"/>
      <c r="DJ358" s="361"/>
      <c r="DK358" s="361"/>
      <c r="DL358" s="378"/>
    </row>
    <row r="359" spans="2:116" ht="13">
      <c r="B359" s="294"/>
      <c r="C359" s="294"/>
      <c r="D359" s="294"/>
      <c r="E359" s="294"/>
      <c r="F359" s="171"/>
      <c r="G359" s="294"/>
      <c r="H359" s="294"/>
      <c r="I359" s="294"/>
      <c r="J359" s="294"/>
      <c r="K359" s="294"/>
      <c r="L359" s="294"/>
      <c r="T359" s="295"/>
      <c r="AA359" s="295"/>
      <c r="AH359" s="295"/>
      <c r="AI359" s="188"/>
      <c r="AJ359" s="188"/>
      <c r="AK359" s="188"/>
      <c r="AL359" s="188"/>
      <c r="AM359" s="188"/>
      <c r="AN359" s="188"/>
      <c r="AO359" s="299"/>
      <c r="AQ359" s="296"/>
      <c r="AR359" s="296"/>
      <c r="AS359" s="296"/>
      <c r="AU359" s="296"/>
      <c r="AV359" s="296"/>
      <c r="AW359" s="296"/>
      <c r="CV359" s="374">
        <v>22</v>
      </c>
      <c r="CW359" s="359" t="s">
        <v>928</v>
      </c>
      <c r="CX359" s="361">
        <v>2014010.58</v>
      </c>
      <c r="CY359" s="361">
        <v>132223.91</v>
      </c>
      <c r="CZ359" s="361">
        <v>296631.71999999997</v>
      </c>
      <c r="DA359" s="361">
        <v>40449.19</v>
      </c>
      <c r="DB359" s="361">
        <v>80887.5</v>
      </c>
      <c r="DC359" s="361">
        <v>277099.39</v>
      </c>
      <c r="DD359" s="361">
        <v>73776.160000000003</v>
      </c>
      <c r="DE359" s="361">
        <v>292670.65999999997</v>
      </c>
      <c r="DF359" s="361">
        <v>255071.06</v>
      </c>
      <c r="DG359" s="361">
        <v>214338.48</v>
      </c>
      <c r="DH359" s="361">
        <v>350862.51</v>
      </c>
      <c r="DI359" s="361"/>
      <c r="DJ359" s="361"/>
      <c r="DK359" s="361"/>
      <c r="DL359" s="378"/>
    </row>
    <row r="360" spans="2:116" ht="13">
      <c r="B360" s="294"/>
      <c r="C360" s="294"/>
      <c r="D360" s="294"/>
      <c r="E360" s="294"/>
      <c r="F360" s="171"/>
      <c r="G360" s="294"/>
      <c r="H360" s="294"/>
      <c r="I360" s="294"/>
      <c r="J360" s="294"/>
      <c r="K360" s="294"/>
      <c r="L360" s="294"/>
      <c r="T360" s="295"/>
      <c r="AA360" s="295"/>
      <c r="AH360" s="295"/>
      <c r="AI360" s="188"/>
      <c r="AJ360" s="188"/>
      <c r="AK360" s="188"/>
      <c r="AL360" s="188"/>
      <c r="AM360" s="188"/>
      <c r="AN360" s="188"/>
      <c r="AO360" s="299"/>
      <c r="AQ360" s="296"/>
      <c r="AR360" s="296"/>
      <c r="AS360" s="296"/>
      <c r="AU360" s="296"/>
      <c r="AV360" s="296"/>
      <c r="AW360" s="296"/>
      <c r="CV360" s="374">
        <v>23</v>
      </c>
      <c r="CW360" s="359" t="s">
        <v>892</v>
      </c>
      <c r="CX360" s="361">
        <v>1731652.25</v>
      </c>
      <c r="CY360" s="361">
        <v>93591.92</v>
      </c>
      <c r="CZ360" s="361">
        <v>55167.360000000001</v>
      </c>
      <c r="DA360" s="361">
        <v>170116.8</v>
      </c>
      <c r="DB360" s="361">
        <v>61401.120000000003</v>
      </c>
      <c r="DC360" s="361">
        <v>133033.07999999999</v>
      </c>
      <c r="DD360" s="361">
        <v>305426.31</v>
      </c>
      <c r="DE360" s="361">
        <v>110944.56</v>
      </c>
      <c r="DF360" s="361">
        <v>404508.51</v>
      </c>
      <c r="DG360" s="361">
        <v>99370.94</v>
      </c>
      <c r="DH360" s="361">
        <v>298091.65000000002</v>
      </c>
      <c r="DI360" s="361"/>
      <c r="DJ360" s="361"/>
      <c r="DK360" s="361"/>
      <c r="DL360" s="378"/>
    </row>
    <row r="361" spans="2:116" ht="13">
      <c r="B361" s="294"/>
      <c r="C361" s="294"/>
      <c r="D361" s="294"/>
      <c r="E361" s="294"/>
      <c r="F361" s="171"/>
      <c r="G361" s="294"/>
      <c r="H361" s="294"/>
      <c r="I361" s="294"/>
      <c r="J361" s="294"/>
      <c r="K361" s="294"/>
      <c r="L361" s="294"/>
      <c r="T361" s="295"/>
      <c r="AA361" s="295"/>
      <c r="AH361" s="295"/>
      <c r="AI361" s="188"/>
      <c r="AJ361" s="188"/>
      <c r="AK361" s="188"/>
      <c r="AL361" s="188"/>
      <c r="AM361" s="188"/>
      <c r="AN361" s="188"/>
      <c r="AO361" s="299"/>
      <c r="AQ361" s="296"/>
      <c r="AR361" s="296"/>
      <c r="AS361" s="296"/>
      <c r="AU361" s="296"/>
      <c r="AV361" s="296"/>
      <c r="AW361" s="296"/>
      <c r="CV361" s="374">
        <v>24</v>
      </c>
      <c r="CW361" s="1003" t="s">
        <v>937</v>
      </c>
      <c r="CX361" s="1004">
        <v>1687236.64</v>
      </c>
      <c r="CY361" s="1004">
        <v>140849.60000000001</v>
      </c>
      <c r="CZ361" s="1004">
        <v>0</v>
      </c>
      <c r="DA361" s="1004">
        <v>179964.08</v>
      </c>
      <c r="DB361" s="1004">
        <v>186625.6</v>
      </c>
      <c r="DC361" s="361">
        <v>195956.8</v>
      </c>
      <c r="DD361" s="361">
        <v>195956.8</v>
      </c>
      <c r="DE361" s="361">
        <v>195956.8</v>
      </c>
      <c r="DF361" s="361">
        <v>205260.16</v>
      </c>
      <c r="DG361" s="361">
        <v>386666.8</v>
      </c>
      <c r="DH361" s="361">
        <v>0</v>
      </c>
      <c r="DI361" s="361"/>
      <c r="DJ361" s="361"/>
      <c r="DK361" s="361"/>
      <c r="DL361" s="378"/>
    </row>
    <row r="362" spans="2:116" ht="13">
      <c r="B362" s="294"/>
      <c r="C362" s="294"/>
      <c r="D362" s="294"/>
      <c r="E362" s="294"/>
      <c r="F362" s="171"/>
      <c r="G362" s="294"/>
      <c r="H362" s="294"/>
      <c r="I362" s="294"/>
      <c r="J362" s="294"/>
      <c r="K362" s="294"/>
      <c r="L362" s="294"/>
      <c r="T362" s="295"/>
      <c r="AA362" s="295"/>
      <c r="AH362" s="295"/>
      <c r="AI362" s="188"/>
      <c r="AJ362" s="188"/>
      <c r="AK362" s="188"/>
      <c r="AL362" s="188"/>
      <c r="AM362" s="188"/>
      <c r="AN362" s="188"/>
      <c r="AO362" s="299"/>
      <c r="AQ362" s="296"/>
      <c r="AR362" s="296"/>
      <c r="AS362" s="296"/>
      <c r="AU362" s="296"/>
      <c r="AV362" s="296"/>
      <c r="AW362" s="296"/>
      <c r="CV362" s="374">
        <v>25</v>
      </c>
      <c r="CW362" s="359" t="s">
        <v>858</v>
      </c>
      <c r="CX362" s="361">
        <v>1224576.4099999999</v>
      </c>
      <c r="CY362" s="361">
        <v>38330.519999999997</v>
      </c>
      <c r="CZ362" s="361">
        <v>38330.519999999997</v>
      </c>
      <c r="DA362" s="361">
        <v>0</v>
      </c>
      <c r="DB362" s="361">
        <v>225651.69</v>
      </c>
      <c r="DC362" s="361">
        <v>35094.559999999998</v>
      </c>
      <c r="DD362" s="361">
        <v>46718.720000000001</v>
      </c>
      <c r="DE362" s="361">
        <v>244941.82</v>
      </c>
      <c r="DF362" s="361">
        <v>110429</v>
      </c>
      <c r="DG362" s="361">
        <v>127410.35</v>
      </c>
      <c r="DH362" s="361">
        <v>357669.23</v>
      </c>
      <c r="DI362" s="365"/>
      <c r="DJ362" s="365"/>
      <c r="DK362" s="365"/>
      <c r="DL362" s="379"/>
    </row>
    <row r="363" spans="2:116" ht="13">
      <c r="B363" s="294"/>
      <c r="C363" s="294"/>
      <c r="D363" s="294"/>
      <c r="E363" s="294"/>
      <c r="F363" s="171"/>
      <c r="G363" s="294"/>
      <c r="H363" s="294"/>
      <c r="I363" s="294"/>
      <c r="J363" s="294"/>
      <c r="K363" s="294"/>
      <c r="L363" s="294"/>
      <c r="T363" s="295"/>
      <c r="AA363" s="295"/>
      <c r="AH363" s="295"/>
      <c r="AI363" s="188"/>
      <c r="AJ363" s="188"/>
      <c r="AK363" s="188"/>
      <c r="AL363" s="188"/>
      <c r="AM363" s="188"/>
      <c r="AN363" s="188"/>
      <c r="AO363" s="299"/>
      <c r="AQ363" s="296"/>
      <c r="AR363" s="296"/>
      <c r="AS363" s="296"/>
      <c r="AU363" s="296"/>
      <c r="AV363" s="296"/>
      <c r="AW363" s="296"/>
      <c r="CV363" s="374">
        <v>26</v>
      </c>
      <c r="CW363" s="359" t="s">
        <v>908</v>
      </c>
      <c r="CX363" s="361">
        <v>1201760.3899999999</v>
      </c>
      <c r="CY363" s="361">
        <v>756549.33</v>
      </c>
      <c r="CZ363" s="361">
        <v>428124.31</v>
      </c>
      <c r="DA363" s="361">
        <v>0</v>
      </c>
      <c r="DB363" s="361">
        <v>0</v>
      </c>
      <c r="DC363" s="361">
        <v>0</v>
      </c>
      <c r="DD363" s="361">
        <v>0</v>
      </c>
      <c r="DE363" s="361">
        <v>0</v>
      </c>
      <c r="DF363" s="361">
        <v>17086.75</v>
      </c>
      <c r="DG363" s="361">
        <v>0</v>
      </c>
      <c r="DH363" s="361">
        <v>0</v>
      </c>
      <c r="DI363" s="361"/>
      <c r="DJ363" s="361"/>
      <c r="DK363" s="361"/>
      <c r="DL363" s="378"/>
    </row>
    <row r="364" spans="2:116" ht="13">
      <c r="B364" s="294"/>
      <c r="C364" s="294"/>
      <c r="D364" s="294"/>
      <c r="E364" s="294"/>
      <c r="F364" s="171"/>
      <c r="G364" s="294"/>
      <c r="H364" s="294"/>
      <c r="I364" s="294"/>
      <c r="J364" s="294"/>
      <c r="K364" s="294"/>
      <c r="L364" s="294"/>
      <c r="T364" s="295"/>
      <c r="AA364" s="295"/>
      <c r="AH364" s="295"/>
      <c r="AI364" s="188"/>
      <c r="AJ364" s="188"/>
      <c r="AK364" s="188"/>
      <c r="AL364" s="188"/>
      <c r="AM364" s="188"/>
      <c r="AN364" s="188"/>
      <c r="AO364" s="299"/>
      <c r="AQ364" s="296"/>
      <c r="AR364" s="296"/>
      <c r="AS364" s="296"/>
      <c r="AU364" s="296"/>
      <c r="AV364" s="296"/>
      <c r="AW364" s="296"/>
      <c r="CV364" s="374">
        <v>27</v>
      </c>
      <c r="CW364" s="359" t="s">
        <v>852</v>
      </c>
      <c r="CX364" s="361">
        <v>1126711.24</v>
      </c>
      <c r="CY364" s="361">
        <v>167310.26</v>
      </c>
      <c r="CZ364" s="361">
        <v>92876.27</v>
      </c>
      <c r="DA364" s="361">
        <v>114732.72</v>
      </c>
      <c r="DB364" s="361">
        <v>105898.09</v>
      </c>
      <c r="DC364" s="361">
        <v>175646.59</v>
      </c>
      <c r="DD364" s="361">
        <v>169115.51999999999</v>
      </c>
      <c r="DE364" s="361">
        <v>48014.82</v>
      </c>
      <c r="DF364" s="361">
        <v>62390.400000000001</v>
      </c>
      <c r="DG364" s="361">
        <v>60285.599999999999</v>
      </c>
      <c r="DH364" s="361">
        <v>130440.97</v>
      </c>
      <c r="DI364" s="361"/>
      <c r="DJ364" s="361"/>
      <c r="DK364" s="361"/>
      <c r="DL364" s="378"/>
    </row>
    <row r="365" spans="2:116" ht="13">
      <c r="B365" s="294"/>
      <c r="C365" s="294"/>
      <c r="D365" s="294"/>
      <c r="E365" s="294"/>
      <c r="F365" s="171"/>
      <c r="G365" s="294"/>
      <c r="H365" s="294"/>
      <c r="I365" s="294"/>
      <c r="J365" s="294"/>
      <c r="K365" s="294"/>
      <c r="L365" s="294"/>
      <c r="T365" s="295"/>
      <c r="AA365" s="295"/>
      <c r="AH365" s="295"/>
      <c r="AI365" s="188"/>
      <c r="AJ365" s="188"/>
      <c r="AK365" s="188"/>
      <c r="AL365" s="188"/>
      <c r="AM365" s="188"/>
      <c r="AN365" s="188"/>
      <c r="AO365" s="299"/>
      <c r="AQ365" s="296"/>
      <c r="AR365" s="296"/>
      <c r="AS365" s="296"/>
      <c r="AU365" s="296"/>
      <c r="AV365" s="296"/>
      <c r="AW365" s="296"/>
      <c r="CV365" s="374">
        <v>28</v>
      </c>
      <c r="CW365" s="359" t="s">
        <v>949</v>
      </c>
      <c r="CX365" s="361">
        <v>1117288.8</v>
      </c>
      <c r="CY365" s="361">
        <v>0</v>
      </c>
      <c r="CZ365" s="361">
        <v>352124</v>
      </c>
      <c r="DA365" s="361">
        <v>0</v>
      </c>
      <c r="DB365" s="361">
        <v>373251.2</v>
      </c>
      <c r="DC365" s="361">
        <v>0</v>
      </c>
      <c r="DD365" s="361">
        <v>391913.6</v>
      </c>
      <c r="DE365" s="361">
        <v>0</v>
      </c>
      <c r="DF365" s="361">
        <v>0</v>
      </c>
      <c r="DG365" s="361">
        <v>0</v>
      </c>
      <c r="DH365" s="361">
        <v>0</v>
      </c>
      <c r="DI365" s="361"/>
      <c r="DJ365" s="361"/>
      <c r="DK365" s="361"/>
      <c r="DL365" s="378"/>
    </row>
    <row r="366" spans="2:116" ht="13">
      <c r="B366" s="294"/>
      <c r="C366" s="294"/>
      <c r="D366" s="294"/>
      <c r="E366" s="294"/>
      <c r="F366" s="171"/>
      <c r="G366" s="294"/>
      <c r="H366" s="294"/>
      <c r="I366" s="294"/>
      <c r="J366" s="294"/>
      <c r="K366" s="294"/>
      <c r="L366" s="294"/>
      <c r="T366" s="295"/>
      <c r="AA366" s="295"/>
      <c r="AH366" s="295"/>
      <c r="AI366" s="188"/>
      <c r="AJ366" s="188"/>
      <c r="AK366" s="188"/>
      <c r="AL366" s="188"/>
      <c r="AM366" s="188"/>
      <c r="AN366" s="188"/>
      <c r="AO366" s="299"/>
      <c r="AQ366" s="296"/>
      <c r="AR366" s="296"/>
      <c r="AS366" s="296"/>
      <c r="AU366" s="296"/>
      <c r="AV366" s="296"/>
      <c r="AW366" s="296"/>
      <c r="CV366" s="374">
        <v>29</v>
      </c>
      <c r="CW366" s="359" t="s">
        <v>938</v>
      </c>
      <c r="CX366" s="361">
        <v>1104055.76</v>
      </c>
      <c r="CY366" s="361">
        <v>0</v>
      </c>
      <c r="CZ366" s="361">
        <v>0</v>
      </c>
      <c r="DA366" s="361">
        <v>0</v>
      </c>
      <c r="DB366" s="361">
        <v>0</v>
      </c>
      <c r="DC366" s="361">
        <v>391913.6</v>
      </c>
      <c r="DD366" s="361">
        <v>0</v>
      </c>
      <c r="DE366" s="361">
        <v>304552.15999999997</v>
      </c>
      <c r="DF366" s="361">
        <v>195956.8</v>
      </c>
      <c r="DG366" s="361">
        <v>211633.2</v>
      </c>
      <c r="DH366" s="365">
        <v>0</v>
      </c>
      <c r="DI366" s="365"/>
      <c r="DJ366" s="365"/>
      <c r="DK366" s="365"/>
      <c r="DL366" s="379"/>
    </row>
    <row r="367" spans="2:116" ht="13">
      <c r="B367" s="294"/>
      <c r="C367" s="294"/>
      <c r="D367" s="294"/>
      <c r="E367" s="294"/>
      <c r="F367" s="171"/>
      <c r="G367" s="294"/>
      <c r="H367" s="294"/>
      <c r="I367" s="294"/>
      <c r="J367" s="294"/>
      <c r="K367" s="294"/>
      <c r="L367" s="294"/>
      <c r="T367" s="295"/>
      <c r="AA367" s="295"/>
      <c r="AH367" s="295"/>
      <c r="AI367" s="188"/>
      <c r="AJ367" s="188"/>
      <c r="AK367" s="188"/>
      <c r="AL367" s="188"/>
      <c r="AM367" s="188"/>
      <c r="AN367" s="188"/>
      <c r="AO367" s="299"/>
      <c r="AQ367" s="296"/>
      <c r="AR367" s="296"/>
      <c r="AS367" s="296"/>
      <c r="AU367" s="296"/>
      <c r="AV367" s="296"/>
      <c r="AW367" s="296"/>
      <c r="CV367" s="374">
        <v>30</v>
      </c>
      <c r="CW367" s="359" t="s">
        <v>927</v>
      </c>
      <c r="CX367" s="361">
        <v>983217.86</v>
      </c>
      <c r="CY367" s="361">
        <v>162876.48000000001</v>
      </c>
      <c r="CZ367" s="361">
        <v>214221.52</v>
      </c>
      <c r="DA367" s="361">
        <v>293417.08</v>
      </c>
      <c r="DB367" s="361">
        <v>0</v>
      </c>
      <c r="DC367" s="361">
        <v>0</v>
      </c>
      <c r="DD367" s="361">
        <v>109440.32000000001</v>
      </c>
      <c r="DE367" s="361">
        <v>0</v>
      </c>
      <c r="DF367" s="361">
        <v>65411.68</v>
      </c>
      <c r="DG367" s="361">
        <v>76049.36</v>
      </c>
      <c r="DH367" s="361">
        <v>61801.42</v>
      </c>
      <c r="DI367" s="361"/>
      <c r="DJ367" s="361"/>
      <c r="DK367" s="361"/>
      <c r="DL367" s="378"/>
    </row>
    <row r="368" spans="2:116" ht="13">
      <c r="B368" s="294"/>
      <c r="C368" s="294"/>
      <c r="D368" s="294"/>
      <c r="E368" s="294"/>
      <c r="F368" s="171"/>
      <c r="G368" s="294"/>
      <c r="H368" s="294"/>
      <c r="I368" s="294"/>
      <c r="J368" s="294"/>
      <c r="K368" s="294"/>
      <c r="L368" s="294"/>
      <c r="T368" s="295"/>
      <c r="AA368" s="295"/>
      <c r="AH368" s="295"/>
      <c r="AI368" s="188"/>
      <c r="AJ368" s="188"/>
      <c r="AK368" s="188"/>
      <c r="AL368" s="188"/>
      <c r="AM368" s="188"/>
      <c r="AN368" s="188"/>
      <c r="AO368" s="299"/>
      <c r="AQ368" s="296"/>
      <c r="AR368" s="296"/>
      <c r="AS368" s="296"/>
      <c r="AU368" s="296"/>
      <c r="AV368" s="296"/>
      <c r="AW368" s="296"/>
      <c r="CV368" s="374">
        <v>31</v>
      </c>
      <c r="CW368" s="359" t="s">
        <v>950</v>
      </c>
      <c r="CX368" s="361">
        <v>938797.52</v>
      </c>
      <c r="CY368" s="352">
        <v>319247.92</v>
      </c>
      <c r="CZ368" s="361">
        <v>0</v>
      </c>
      <c r="DA368" s="361">
        <v>84750.720000000001</v>
      </c>
      <c r="DB368" s="361">
        <v>137912.64000000001</v>
      </c>
      <c r="DC368" s="361">
        <v>44494.16</v>
      </c>
      <c r="DD368" s="361">
        <v>167296.4</v>
      </c>
      <c r="DE368" s="361">
        <v>0</v>
      </c>
      <c r="DF368" s="361">
        <v>88988.32</v>
      </c>
      <c r="DG368" s="361">
        <v>96107.36</v>
      </c>
      <c r="DH368" s="361">
        <v>0</v>
      </c>
      <c r="DI368" s="361"/>
      <c r="DJ368" s="361"/>
      <c r="DK368" s="361"/>
      <c r="DL368" s="378"/>
    </row>
    <row r="369" spans="2:116" ht="13">
      <c r="B369" s="294"/>
      <c r="C369" s="294"/>
      <c r="D369" s="294"/>
      <c r="E369" s="294"/>
      <c r="F369" s="171"/>
      <c r="G369" s="294"/>
      <c r="H369" s="294"/>
      <c r="I369" s="294"/>
      <c r="J369" s="294"/>
      <c r="K369" s="294"/>
      <c r="L369" s="294"/>
      <c r="T369" s="295"/>
      <c r="AA369" s="295"/>
      <c r="AH369" s="295"/>
      <c r="AI369" s="188"/>
      <c r="AJ369" s="188"/>
      <c r="AK369" s="188"/>
      <c r="AL369" s="188"/>
      <c r="AM369" s="188"/>
      <c r="AN369" s="188"/>
      <c r="AO369" s="299"/>
      <c r="AQ369" s="296"/>
      <c r="AR369" s="296"/>
      <c r="AS369" s="296"/>
      <c r="AU369" s="296"/>
      <c r="AV369" s="296"/>
      <c r="AW369" s="296"/>
      <c r="CV369" s="374">
        <v>32</v>
      </c>
      <c r="CW369" s="359" t="s">
        <v>940</v>
      </c>
      <c r="CX369" s="361">
        <v>822528.62</v>
      </c>
      <c r="CY369" s="361">
        <v>295726.5</v>
      </c>
      <c r="CZ369" s="361">
        <v>0</v>
      </c>
      <c r="DA369" s="361">
        <v>0</v>
      </c>
      <c r="DB369" s="361">
        <v>0</v>
      </c>
      <c r="DC369" s="361">
        <v>214089.76</v>
      </c>
      <c r="DD369" s="361">
        <v>312712.36</v>
      </c>
      <c r="DE369" s="361">
        <v>0</v>
      </c>
      <c r="DF369" s="361">
        <v>0</v>
      </c>
      <c r="DG369" s="361">
        <v>0</v>
      </c>
      <c r="DH369" s="361">
        <v>0</v>
      </c>
      <c r="DI369" s="361"/>
      <c r="DJ369" s="361"/>
      <c r="DK369" s="361"/>
      <c r="DL369" s="378"/>
    </row>
    <row r="370" spans="2:116" ht="13">
      <c r="B370" s="294"/>
      <c r="C370" s="294"/>
      <c r="D370" s="294"/>
      <c r="E370" s="294"/>
      <c r="F370" s="171"/>
      <c r="G370" s="294"/>
      <c r="H370" s="294"/>
      <c r="I370" s="294"/>
      <c r="J370" s="294"/>
      <c r="K370" s="294"/>
      <c r="L370" s="294"/>
      <c r="T370" s="295"/>
      <c r="AA370" s="295"/>
      <c r="AH370" s="295"/>
      <c r="AI370" s="188"/>
      <c r="AJ370" s="188"/>
      <c r="AK370" s="188"/>
      <c r="AL370" s="188"/>
      <c r="AM370" s="188"/>
      <c r="AN370" s="188"/>
      <c r="AO370" s="299"/>
      <c r="AQ370" s="296"/>
      <c r="AR370" s="296"/>
      <c r="AS370" s="296"/>
      <c r="AU370" s="296"/>
      <c r="AV370" s="296"/>
      <c r="AW370" s="296"/>
      <c r="CV370" s="374">
        <v>33</v>
      </c>
      <c r="CW370" s="359" t="s">
        <v>848</v>
      </c>
      <c r="CX370" s="361">
        <v>776302.14</v>
      </c>
      <c r="CY370" s="352">
        <v>98214.77</v>
      </c>
      <c r="CZ370" s="361">
        <v>85161.62</v>
      </c>
      <c r="DA370" s="361">
        <v>38984.959999999999</v>
      </c>
      <c r="DB370" s="361">
        <v>62390.400000000001</v>
      </c>
      <c r="DC370" s="361">
        <v>0</v>
      </c>
      <c r="DD370" s="361">
        <v>321225.44</v>
      </c>
      <c r="DE370" s="361">
        <v>102943.2</v>
      </c>
      <c r="DF370" s="365">
        <v>0</v>
      </c>
      <c r="DG370" s="365">
        <v>0</v>
      </c>
      <c r="DH370" s="361">
        <v>67381.759999999995</v>
      </c>
      <c r="DI370" s="365"/>
      <c r="DJ370" s="365"/>
      <c r="DK370" s="365"/>
      <c r="DL370" s="379"/>
    </row>
    <row r="371" spans="2:116" ht="13">
      <c r="B371" s="294"/>
      <c r="C371" s="294"/>
      <c r="D371" s="294"/>
      <c r="E371" s="294"/>
      <c r="F371" s="171"/>
      <c r="G371" s="294"/>
      <c r="H371" s="294"/>
      <c r="I371" s="294"/>
      <c r="J371" s="294"/>
      <c r="K371" s="294"/>
      <c r="L371" s="294"/>
      <c r="T371" s="295"/>
      <c r="AA371" s="295"/>
      <c r="AH371" s="295"/>
      <c r="AI371" s="188"/>
      <c r="AJ371" s="188"/>
      <c r="AK371" s="188"/>
      <c r="AL371" s="188"/>
      <c r="AM371" s="188"/>
      <c r="AN371" s="188"/>
      <c r="AO371" s="299"/>
      <c r="AQ371" s="296"/>
      <c r="AR371" s="296"/>
      <c r="AS371" s="296"/>
      <c r="AU371" s="296"/>
      <c r="AV371" s="296"/>
      <c r="AW371" s="296"/>
      <c r="CV371" s="374">
        <v>34</v>
      </c>
      <c r="CW371" s="359" t="s">
        <v>944</v>
      </c>
      <c r="CX371" s="361">
        <v>735201.5</v>
      </c>
      <c r="CY371" s="361">
        <v>0</v>
      </c>
      <c r="CZ371" s="361">
        <v>0</v>
      </c>
      <c r="DA371" s="361">
        <v>0</v>
      </c>
      <c r="DB371" s="361">
        <v>0</v>
      </c>
      <c r="DC371" s="361">
        <v>0</v>
      </c>
      <c r="DD371" s="361">
        <v>0</v>
      </c>
      <c r="DE371" s="361">
        <v>44494.16</v>
      </c>
      <c r="DF371" s="361">
        <v>414741.69</v>
      </c>
      <c r="DG371" s="361">
        <v>235581.6</v>
      </c>
      <c r="DH371" s="361">
        <v>40384.050000000003</v>
      </c>
      <c r="DI371" s="361"/>
      <c r="DJ371" s="361"/>
      <c r="DK371" s="361"/>
      <c r="DL371" s="378"/>
    </row>
    <row r="372" spans="2:116" ht="13">
      <c r="B372" s="294"/>
      <c r="C372" s="294"/>
      <c r="D372" s="294"/>
      <c r="E372" s="294"/>
      <c r="F372" s="171"/>
      <c r="G372" s="294"/>
      <c r="H372" s="294"/>
      <c r="I372" s="294"/>
      <c r="J372" s="294"/>
      <c r="K372" s="294"/>
      <c r="L372" s="294"/>
      <c r="T372" s="295"/>
      <c r="AA372" s="295"/>
      <c r="AH372" s="295"/>
      <c r="AI372" s="188"/>
      <c r="AJ372" s="188"/>
      <c r="AK372" s="188"/>
      <c r="AL372" s="188"/>
      <c r="AM372" s="188"/>
      <c r="AN372" s="188"/>
      <c r="AO372" s="299"/>
      <c r="AQ372" s="296"/>
      <c r="AR372" s="296"/>
      <c r="AS372" s="296"/>
      <c r="AU372" s="296"/>
      <c r="AV372" s="296"/>
      <c r="AW372" s="296"/>
      <c r="CV372" s="374">
        <v>35</v>
      </c>
      <c r="CW372" s="359" t="s">
        <v>891</v>
      </c>
      <c r="CX372" s="361">
        <v>643178.96</v>
      </c>
      <c r="CY372" s="361">
        <v>376214</v>
      </c>
      <c r="CZ372" s="361">
        <v>0</v>
      </c>
      <c r="DA372" s="361">
        <v>0</v>
      </c>
      <c r="DB372" s="361">
        <v>0</v>
      </c>
      <c r="DC372" s="361">
        <v>0</v>
      </c>
      <c r="DD372" s="361">
        <v>0</v>
      </c>
      <c r="DE372" s="361">
        <v>0</v>
      </c>
      <c r="DF372" s="361">
        <v>266964.96000000002</v>
      </c>
      <c r="DG372" s="361">
        <v>0</v>
      </c>
      <c r="DH372" s="361">
        <v>0</v>
      </c>
      <c r="DI372" s="361"/>
      <c r="DJ372" s="361"/>
      <c r="DK372" s="361"/>
      <c r="DL372" s="378"/>
    </row>
    <row r="373" spans="2:116" ht="13">
      <c r="B373" s="294"/>
      <c r="C373" s="294"/>
      <c r="D373" s="294"/>
      <c r="E373" s="294"/>
      <c r="F373" s="171"/>
      <c r="G373" s="294"/>
      <c r="H373" s="294"/>
      <c r="I373" s="294"/>
      <c r="J373" s="294"/>
      <c r="K373" s="294"/>
      <c r="L373" s="294"/>
      <c r="T373" s="295"/>
      <c r="AA373" s="295"/>
      <c r="AH373" s="295"/>
      <c r="AI373" s="188"/>
      <c r="AJ373" s="188"/>
      <c r="AK373" s="188"/>
      <c r="AL373" s="188"/>
      <c r="AM373" s="188"/>
      <c r="AN373" s="188"/>
      <c r="AO373" s="299"/>
      <c r="AQ373" s="296"/>
      <c r="AR373" s="296"/>
      <c r="AS373" s="296"/>
      <c r="AU373" s="296"/>
      <c r="AV373" s="296"/>
      <c r="AW373" s="296"/>
      <c r="CV373" s="374">
        <v>36</v>
      </c>
      <c r="CW373" s="359" t="s">
        <v>954</v>
      </c>
      <c r="CX373" s="361">
        <v>602951.44999999995</v>
      </c>
      <c r="CY373" s="361">
        <v>157349.6</v>
      </c>
      <c r="CZ373" s="361">
        <v>0</v>
      </c>
      <c r="DA373" s="361">
        <v>111975.36</v>
      </c>
      <c r="DB373" s="361">
        <v>111975.36</v>
      </c>
      <c r="DC373" s="361">
        <v>0</v>
      </c>
      <c r="DD373" s="361">
        <v>0</v>
      </c>
      <c r="DE373" s="361">
        <v>0</v>
      </c>
      <c r="DF373" s="361">
        <v>0</v>
      </c>
      <c r="DG373" s="361">
        <v>0</v>
      </c>
      <c r="DH373" s="361">
        <v>221651.13</v>
      </c>
      <c r="DI373" s="361"/>
      <c r="DJ373" s="361"/>
      <c r="DK373" s="361"/>
      <c r="DL373" s="378"/>
    </row>
    <row r="374" spans="2:116" ht="13">
      <c r="B374" s="294"/>
      <c r="C374" s="294"/>
      <c r="D374" s="294"/>
      <c r="E374" s="294"/>
      <c r="F374" s="171"/>
      <c r="G374" s="294"/>
      <c r="H374" s="294"/>
      <c r="I374" s="294"/>
      <c r="J374" s="294"/>
      <c r="K374" s="294"/>
      <c r="L374" s="294"/>
      <c r="T374" s="295"/>
      <c r="AA374" s="295"/>
      <c r="AH374" s="295"/>
      <c r="AI374" s="188"/>
      <c r="AJ374" s="188"/>
      <c r="AK374" s="188"/>
      <c r="AL374" s="188"/>
      <c r="AM374" s="188"/>
      <c r="AN374" s="188"/>
      <c r="AO374" s="299"/>
      <c r="AQ374" s="296"/>
      <c r="AR374" s="296"/>
      <c r="AS374" s="296"/>
      <c r="AU374" s="296"/>
      <c r="AV374" s="296"/>
      <c r="AW374" s="296"/>
      <c r="CV374" s="374">
        <v>37</v>
      </c>
      <c r="CW374" s="359" t="s">
        <v>919</v>
      </c>
      <c r="CX374" s="361">
        <v>554298.4</v>
      </c>
      <c r="CY374" s="361">
        <v>147744.32000000001</v>
      </c>
      <c r="CZ374" s="361">
        <v>171588.4</v>
      </c>
      <c r="DA374" s="361">
        <v>234965.68</v>
      </c>
      <c r="DB374" s="361">
        <v>0</v>
      </c>
      <c r="DC374" s="361">
        <v>0</v>
      </c>
      <c r="DD374" s="361">
        <v>0</v>
      </c>
      <c r="DE374" s="361">
        <v>0</v>
      </c>
      <c r="DF374" s="361">
        <v>0</v>
      </c>
      <c r="DG374" s="361">
        <v>0</v>
      </c>
      <c r="DH374" s="361">
        <v>0</v>
      </c>
      <c r="DI374" s="361"/>
      <c r="DJ374" s="361"/>
      <c r="DK374" s="361"/>
      <c r="DL374" s="378"/>
    </row>
    <row r="375" spans="2:116" ht="13">
      <c r="B375" s="294"/>
      <c r="C375" s="294"/>
      <c r="D375" s="294"/>
      <c r="E375" s="294"/>
      <c r="F375" s="171"/>
      <c r="G375" s="294"/>
      <c r="H375" s="294"/>
      <c r="I375" s="294"/>
      <c r="J375" s="294"/>
      <c r="K375" s="294"/>
      <c r="L375" s="294"/>
      <c r="T375" s="295"/>
      <c r="AA375" s="295"/>
      <c r="AH375" s="295"/>
      <c r="AI375" s="188"/>
      <c r="AJ375" s="188"/>
      <c r="AK375" s="188"/>
      <c r="AL375" s="188"/>
      <c r="AM375" s="188"/>
      <c r="AN375" s="188"/>
      <c r="AO375" s="299"/>
      <c r="AQ375" s="296"/>
      <c r="AR375" s="296"/>
      <c r="AS375" s="296"/>
      <c r="AU375" s="296"/>
      <c r="AV375" s="296"/>
      <c r="AW375" s="296"/>
      <c r="CV375" s="374">
        <v>38</v>
      </c>
      <c r="CW375" s="359" t="s">
        <v>967</v>
      </c>
      <c r="CX375" s="361">
        <v>506953.76</v>
      </c>
      <c r="CY375" s="361">
        <v>45399.28</v>
      </c>
      <c r="CZ375" s="361">
        <v>61638.879999999997</v>
      </c>
      <c r="DA375" s="361">
        <v>19921.439999999999</v>
      </c>
      <c r="DB375" s="361">
        <v>66153.84</v>
      </c>
      <c r="DC375" s="361">
        <v>78382.720000000001</v>
      </c>
      <c r="DD375" s="361">
        <v>56012.08</v>
      </c>
      <c r="DE375" s="361">
        <v>68797.52</v>
      </c>
      <c r="DF375" s="361">
        <v>110648</v>
      </c>
      <c r="DG375" s="361">
        <v>0</v>
      </c>
      <c r="DH375" s="361">
        <v>0</v>
      </c>
      <c r="DI375" s="361"/>
      <c r="DJ375" s="361"/>
      <c r="DK375" s="361"/>
      <c r="DL375" s="378"/>
    </row>
    <row r="376" spans="2:116" ht="13">
      <c r="B376" s="294"/>
      <c r="C376" s="294"/>
      <c r="D376" s="294"/>
      <c r="E376" s="294"/>
      <c r="F376" s="171"/>
      <c r="G376" s="294"/>
      <c r="H376" s="294"/>
      <c r="I376" s="294"/>
      <c r="J376" s="294"/>
      <c r="K376" s="294"/>
      <c r="L376" s="294"/>
      <c r="T376" s="295"/>
      <c r="AA376" s="295"/>
      <c r="AH376" s="295"/>
      <c r="AI376" s="188"/>
      <c r="AJ376" s="188"/>
      <c r="AK376" s="188"/>
      <c r="AL376" s="188"/>
      <c r="AM376" s="188"/>
      <c r="AN376" s="188"/>
      <c r="AO376" s="299"/>
      <c r="AQ376" s="296"/>
      <c r="AR376" s="296"/>
      <c r="AS376" s="296"/>
      <c r="AU376" s="296"/>
      <c r="AV376" s="296"/>
      <c r="AW376" s="296"/>
      <c r="CV376" s="374">
        <v>39</v>
      </c>
      <c r="CW376" s="359" t="s">
        <v>951</v>
      </c>
      <c r="CX376" s="361">
        <v>465600.97</v>
      </c>
      <c r="CY376" s="361">
        <v>39969.019999999997</v>
      </c>
      <c r="CZ376" s="361">
        <v>44402.8</v>
      </c>
      <c r="DA376" s="361">
        <v>0</v>
      </c>
      <c r="DB376" s="361">
        <v>0</v>
      </c>
      <c r="DC376" s="361">
        <v>34575.120000000003</v>
      </c>
      <c r="DD376" s="361">
        <v>102203.22</v>
      </c>
      <c r="DE376" s="361">
        <v>109769.84</v>
      </c>
      <c r="DF376" s="361">
        <v>92354.33</v>
      </c>
      <c r="DG376" s="361">
        <v>0</v>
      </c>
      <c r="DH376" s="361">
        <v>42326.64</v>
      </c>
      <c r="DI376" s="361"/>
      <c r="DJ376" s="361"/>
      <c r="DK376" s="361"/>
      <c r="DL376" s="378"/>
    </row>
    <row r="377" spans="2:116" ht="13">
      <c r="B377" s="294"/>
      <c r="C377" s="294"/>
      <c r="D377" s="294"/>
      <c r="E377" s="294"/>
      <c r="F377" s="171"/>
      <c r="G377" s="294"/>
      <c r="H377" s="294"/>
      <c r="I377" s="294"/>
      <c r="J377" s="294"/>
      <c r="K377" s="294"/>
      <c r="L377" s="294"/>
      <c r="T377" s="295"/>
      <c r="AA377" s="295"/>
      <c r="AH377" s="295"/>
      <c r="AI377" s="188"/>
      <c r="AJ377" s="188"/>
      <c r="AK377" s="188"/>
      <c r="AL377" s="188"/>
      <c r="AM377" s="188"/>
      <c r="AN377" s="188"/>
      <c r="AO377" s="299"/>
      <c r="AQ377" s="296"/>
      <c r="AR377" s="296"/>
      <c r="AS377" s="296"/>
      <c r="AU377" s="296"/>
      <c r="AV377" s="296"/>
      <c r="AW377" s="296"/>
      <c r="CV377" s="374">
        <v>40</v>
      </c>
      <c r="CW377" s="359" t="s">
        <v>840</v>
      </c>
      <c r="CX377" s="361">
        <v>459910.83</v>
      </c>
      <c r="CY377" s="361">
        <v>0</v>
      </c>
      <c r="CZ377" s="361">
        <v>0</v>
      </c>
      <c r="DA377" s="361">
        <v>0</v>
      </c>
      <c r="DB377" s="361">
        <v>0</v>
      </c>
      <c r="DC377" s="361">
        <v>7127.24</v>
      </c>
      <c r="DD377" s="361">
        <v>70315.070000000007</v>
      </c>
      <c r="DE377" s="361">
        <v>0</v>
      </c>
      <c r="DF377" s="361">
        <v>11100.66</v>
      </c>
      <c r="DG377" s="361">
        <v>199958.75</v>
      </c>
      <c r="DH377" s="361">
        <v>171409.12</v>
      </c>
      <c r="DI377" s="361"/>
      <c r="DJ377" s="361"/>
      <c r="DK377" s="361"/>
      <c r="DL377" s="378"/>
    </row>
    <row r="378" spans="2:116" ht="13">
      <c r="B378" s="294"/>
      <c r="C378" s="294"/>
      <c r="D378" s="294"/>
      <c r="E378" s="294"/>
      <c r="F378" s="171"/>
      <c r="G378" s="294"/>
      <c r="H378" s="294"/>
      <c r="I378" s="294"/>
      <c r="J378" s="294"/>
      <c r="K378" s="294"/>
      <c r="L378" s="294"/>
      <c r="T378" s="295"/>
      <c r="AA378" s="295"/>
      <c r="AH378" s="295"/>
      <c r="AI378" s="188"/>
      <c r="AJ378" s="188"/>
      <c r="AK378" s="188"/>
      <c r="AL378" s="188"/>
      <c r="AM378" s="188"/>
      <c r="AN378" s="188"/>
      <c r="AO378" s="299"/>
      <c r="AQ378" s="296"/>
      <c r="AR378" s="296"/>
      <c r="AS378" s="296"/>
      <c r="AU378" s="296"/>
      <c r="AV378" s="296"/>
      <c r="AW378" s="296"/>
      <c r="CV378" s="374">
        <v>41</v>
      </c>
      <c r="CW378" s="359" t="s">
        <v>923</v>
      </c>
      <c r="CX378" s="361">
        <v>350310.64</v>
      </c>
      <c r="CY378" s="361">
        <v>0</v>
      </c>
      <c r="CZ378" s="361">
        <v>0</v>
      </c>
      <c r="DA378" s="361">
        <v>0</v>
      </c>
      <c r="DB378" s="361">
        <v>0</v>
      </c>
      <c r="DC378" s="361">
        <v>0</v>
      </c>
      <c r="DD378" s="361">
        <v>207732</v>
      </c>
      <c r="DE378" s="361">
        <v>142578.64000000001</v>
      </c>
      <c r="DF378" s="361">
        <v>0</v>
      </c>
      <c r="DG378" s="361">
        <v>0</v>
      </c>
      <c r="DH378" s="361">
        <v>0</v>
      </c>
      <c r="DI378" s="361"/>
      <c r="DJ378" s="361"/>
      <c r="DK378" s="361"/>
      <c r="DL378" s="378"/>
    </row>
    <row r="379" spans="2:116" ht="13">
      <c r="B379" s="294"/>
      <c r="C379" s="294"/>
      <c r="D379" s="294"/>
      <c r="E379" s="294"/>
      <c r="F379" s="171"/>
      <c r="G379" s="294"/>
      <c r="H379" s="294"/>
      <c r="I379" s="294"/>
      <c r="J379" s="294"/>
      <c r="K379" s="294"/>
      <c r="L379" s="294"/>
      <c r="T379" s="295"/>
      <c r="AA379" s="295"/>
      <c r="AH379" s="295"/>
      <c r="AI379" s="188"/>
      <c r="AJ379" s="188"/>
      <c r="AK379" s="188"/>
      <c r="AL379" s="188"/>
      <c r="AM379" s="188"/>
      <c r="AN379" s="188"/>
      <c r="AO379" s="299"/>
      <c r="AQ379" s="296"/>
      <c r="AR379" s="296"/>
      <c r="AS379" s="296"/>
      <c r="AU379" s="296"/>
      <c r="AV379" s="296"/>
      <c r="AW379" s="296"/>
      <c r="CV379" s="374">
        <v>42</v>
      </c>
      <c r="CW379" s="359" t="s">
        <v>956</v>
      </c>
      <c r="CX379" s="361">
        <v>319322.21000000002</v>
      </c>
      <c r="CY379" s="361">
        <v>0</v>
      </c>
      <c r="CZ379" s="361">
        <v>0</v>
      </c>
      <c r="DA379" s="361">
        <v>0</v>
      </c>
      <c r="DB379" s="361">
        <v>0</v>
      </c>
      <c r="DC379" s="361">
        <v>0</v>
      </c>
      <c r="DD379" s="361">
        <v>0</v>
      </c>
      <c r="DE379" s="361">
        <v>161113.79</v>
      </c>
      <c r="DF379" s="361">
        <v>158208.42000000001</v>
      </c>
      <c r="DG379" s="361">
        <v>0</v>
      </c>
      <c r="DH379" s="361">
        <v>0</v>
      </c>
      <c r="DI379" s="361"/>
      <c r="DJ379" s="361"/>
      <c r="DK379" s="361"/>
      <c r="DL379" s="378"/>
    </row>
    <row r="380" spans="2:116" ht="13">
      <c r="B380" s="294"/>
      <c r="C380" s="294"/>
      <c r="D380" s="294"/>
      <c r="E380" s="294"/>
      <c r="F380" s="171"/>
      <c r="G380" s="294"/>
      <c r="H380" s="294"/>
      <c r="I380" s="294"/>
      <c r="J380" s="294"/>
      <c r="K380" s="294"/>
      <c r="L380" s="294"/>
      <c r="T380" s="295"/>
      <c r="AA380" s="295"/>
      <c r="AH380" s="295"/>
      <c r="AI380" s="188"/>
      <c r="AJ380" s="188"/>
      <c r="AK380" s="188"/>
      <c r="AL380" s="188"/>
      <c r="AM380" s="188"/>
      <c r="AN380" s="188"/>
      <c r="AO380" s="299"/>
      <c r="AQ380" s="296"/>
      <c r="AR380" s="296"/>
      <c r="AS380" s="296"/>
      <c r="AU380" s="296"/>
      <c r="AV380" s="296"/>
      <c r="AW380" s="296"/>
      <c r="CV380" s="374">
        <v>43</v>
      </c>
      <c r="CW380" s="359" t="s">
        <v>864</v>
      </c>
      <c r="CX380" s="361">
        <v>310475.40000000002</v>
      </c>
      <c r="CY380" s="361">
        <v>13200</v>
      </c>
      <c r="CZ380" s="361">
        <v>0</v>
      </c>
      <c r="DA380" s="361">
        <v>0</v>
      </c>
      <c r="DB380" s="365">
        <v>0</v>
      </c>
      <c r="DC380" s="361">
        <v>31057.599999999999</v>
      </c>
      <c r="DD380" s="361">
        <v>112698.64</v>
      </c>
      <c r="DE380" s="361">
        <v>61230.78</v>
      </c>
      <c r="DF380" s="361">
        <v>61230.78</v>
      </c>
      <c r="DG380" s="361">
        <v>31057.599999999999</v>
      </c>
      <c r="DH380" s="365">
        <v>0</v>
      </c>
      <c r="DI380" s="365"/>
      <c r="DJ380" s="365"/>
      <c r="DK380" s="365"/>
      <c r="DL380" s="379"/>
    </row>
    <row r="381" spans="2:116" ht="13">
      <c r="B381" s="294"/>
      <c r="C381" s="294"/>
      <c r="D381" s="294"/>
      <c r="E381" s="294"/>
      <c r="F381" s="171"/>
      <c r="G381" s="294"/>
      <c r="H381" s="294"/>
      <c r="I381" s="294"/>
      <c r="J381" s="294"/>
      <c r="K381" s="294"/>
      <c r="L381" s="294"/>
      <c r="T381" s="295"/>
      <c r="AA381" s="295"/>
      <c r="AH381" s="295"/>
      <c r="AI381" s="188"/>
      <c r="AJ381" s="188"/>
      <c r="AK381" s="188"/>
      <c r="AL381" s="188"/>
      <c r="AM381" s="188"/>
      <c r="AN381" s="188"/>
      <c r="AO381" s="299"/>
      <c r="AQ381" s="296"/>
      <c r="AR381" s="296"/>
      <c r="AS381" s="296"/>
      <c r="AU381" s="296"/>
      <c r="AV381" s="296"/>
      <c r="AW381" s="296"/>
      <c r="CV381" s="374">
        <v>44</v>
      </c>
      <c r="CW381" s="359" t="s">
        <v>857</v>
      </c>
      <c r="CX381" s="361">
        <v>295012.03000000003</v>
      </c>
      <c r="CY381" s="361">
        <v>33330.43</v>
      </c>
      <c r="CZ381" s="361">
        <v>5598.88</v>
      </c>
      <c r="DA381" s="361">
        <v>10892.38</v>
      </c>
      <c r="DB381" s="361">
        <v>22329.38</v>
      </c>
      <c r="DC381" s="361">
        <v>8027.35</v>
      </c>
      <c r="DD381" s="361">
        <v>8027.35</v>
      </c>
      <c r="DE381" s="361">
        <v>80469.509999999995</v>
      </c>
      <c r="DF381" s="361">
        <v>0</v>
      </c>
      <c r="DG381" s="361">
        <v>40029.5</v>
      </c>
      <c r="DH381" s="361">
        <v>86307.25</v>
      </c>
      <c r="DI381" s="361"/>
      <c r="DJ381" s="361"/>
      <c r="DK381" s="361"/>
      <c r="DL381" s="378"/>
    </row>
    <row r="382" spans="2:116" ht="13">
      <c r="B382" s="294"/>
      <c r="C382" s="294"/>
      <c r="D382" s="294"/>
      <c r="E382" s="294"/>
      <c r="F382" s="171"/>
      <c r="G382" s="294"/>
      <c r="H382" s="294"/>
      <c r="I382" s="294"/>
      <c r="J382" s="294"/>
      <c r="K382" s="294"/>
      <c r="L382" s="294"/>
      <c r="T382" s="295"/>
      <c r="AA382" s="295"/>
      <c r="AH382" s="295"/>
      <c r="AI382" s="188"/>
      <c r="AJ382" s="188"/>
      <c r="AK382" s="188"/>
      <c r="AL382" s="188"/>
      <c r="AM382" s="188"/>
      <c r="AN382" s="188"/>
      <c r="AO382" s="299"/>
      <c r="AQ382" s="296"/>
      <c r="AR382" s="296"/>
      <c r="AS382" s="296"/>
      <c r="AU382" s="296"/>
      <c r="AV382" s="296"/>
      <c r="AW382" s="296"/>
      <c r="CV382" s="374">
        <v>45</v>
      </c>
      <c r="CW382" s="359" t="s">
        <v>946</v>
      </c>
      <c r="CX382" s="361">
        <v>254956.68</v>
      </c>
      <c r="CY382" s="361">
        <v>0</v>
      </c>
      <c r="CZ382" s="361">
        <v>0</v>
      </c>
      <c r="DA382" s="361">
        <v>0</v>
      </c>
      <c r="DB382" s="361">
        <v>0</v>
      </c>
      <c r="DC382" s="361">
        <v>110210.24000000001</v>
      </c>
      <c r="DD382" s="361">
        <v>0</v>
      </c>
      <c r="DE382" s="361">
        <v>0</v>
      </c>
      <c r="DF382" s="361">
        <v>144746.44</v>
      </c>
      <c r="DG382" s="365">
        <v>0</v>
      </c>
      <c r="DH382" s="365">
        <v>0</v>
      </c>
      <c r="DI382" s="365"/>
      <c r="DJ382" s="365"/>
      <c r="DK382" s="365"/>
      <c r="DL382" s="379"/>
    </row>
    <row r="383" spans="2:116" ht="13">
      <c r="B383" s="294"/>
      <c r="C383" s="294"/>
      <c r="D383" s="294"/>
      <c r="E383" s="294"/>
      <c r="F383" s="171"/>
      <c r="G383" s="294"/>
      <c r="H383" s="294"/>
      <c r="I383" s="294"/>
      <c r="J383" s="294"/>
      <c r="K383" s="294"/>
      <c r="L383" s="294"/>
      <c r="T383" s="295"/>
      <c r="AA383" s="295"/>
      <c r="AH383" s="295"/>
      <c r="AI383" s="188"/>
      <c r="AJ383" s="188"/>
      <c r="AK383" s="188"/>
      <c r="AL383" s="188"/>
      <c r="AM383" s="188"/>
      <c r="AN383" s="188"/>
      <c r="AO383" s="299"/>
      <c r="AQ383" s="296"/>
      <c r="AR383" s="296"/>
      <c r="AS383" s="296"/>
      <c r="AU383" s="296"/>
      <c r="AV383" s="296"/>
      <c r="AW383" s="296"/>
      <c r="CV383" s="374">
        <v>46</v>
      </c>
      <c r="CW383" s="359" t="s">
        <v>893</v>
      </c>
      <c r="CX383" s="361">
        <v>195392.63</v>
      </c>
      <c r="CY383" s="361">
        <v>0</v>
      </c>
      <c r="CZ383" s="361">
        <v>36151.82</v>
      </c>
      <c r="DA383" s="361">
        <v>0</v>
      </c>
      <c r="DB383" s="361">
        <v>40616.589999999997</v>
      </c>
      <c r="DC383" s="361">
        <v>0</v>
      </c>
      <c r="DD383" s="361">
        <v>0</v>
      </c>
      <c r="DE383" s="361">
        <v>32168.14</v>
      </c>
      <c r="DF383" s="361">
        <v>0</v>
      </c>
      <c r="DG383" s="361">
        <v>40616.589999999997</v>
      </c>
      <c r="DH383" s="361">
        <v>45839.5</v>
      </c>
      <c r="DI383" s="361"/>
      <c r="DJ383" s="361"/>
      <c r="DK383" s="361"/>
      <c r="DL383" s="378"/>
    </row>
    <row r="384" spans="2:116" ht="13">
      <c r="B384" s="294"/>
      <c r="C384" s="294"/>
      <c r="D384" s="294"/>
      <c r="E384" s="294"/>
      <c r="F384" s="171"/>
      <c r="G384" s="294"/>
      <c r="H384" s="294"/>
      <c r="I384" s="294"/>
      <c r="J384" s="294"/>
      <c r="K384" s="294"/>
      <c r="L384" s="294"/>
      <c r="T384" s="295"/>
      <c r="AA384" s="295"/>
      <c r="AH384" s="295"/>
      <c r="AI384" s="188"/>
      <c r="AJ384" s="188"/>
      <c r="AK384" s="188"/>
      <c r="AL384" s="188"/>
      <c r="AM384" s="188"/>
      <c r="AN384" s="188"/>
      <c r="AO384" s="299"/>
      <c r="AQ384" s="296"/>
      <c r="AR384" s="296"/>
      <c r="AS384" s="296"/>
      <c r="AU384" s="296"/>
      <c r="AV384" s="296"/>
      <c r="AW384" s="296"/>
      <c r="CV384" s="374">
        <v>47</v>
      </c>
      <c r="CW384" s="359" t="s">
        <v>901</v>
      </c>
      <c r="CX384" s="361">
        <v>169989.6</v>
      </c>
      <c r="CY384" s="361">
        <v>36220.800000000003</v>
      </c>
      <c r="CZ384" s="361">
        <v>133768.79999999999</v>
      </c>
      <c r="DA384" s="361">
        <v>0</v>
      </c>
      <c r="DB384" s="361">
        <v>0</v>
      </c>
      <c r="DC384" s="361">
        <v>0</v>
      </c>
      <c r="DD384" s="361">
        <v>0</v>
      </c>
      <c r="DE384" s="361">
        <v>0</v>
      </c>
      <c r="DF384" s="361">
        <v>0</v>
      </c>
      <c r="DG384" s="361">
        <v>0</v>
      </c>
      <c r="DH384" s="361">
        <v>0</v>
      </c>
      <c r="DI384" s="361"/>
      <c r="DJ384" s="361"/>
      <c r="DK384" s="361"/>
      <c r="DL384" s="378"/>
    </row>
    <row r="385" spans="2:116" ht="13">
      <c r="B385" s="294"/>
      <c r="C385" s="294"/>
      <c r="D385" s="294"/>
      <c r="E385" s="294"/>
      <c r="F385" s="171"/>
      <c r="G385" s="294"/>
      <c r="H385" s="294"/>
      <c r="I385" s="294"/>
      <c r="J385" s="294"/>
      <c r="K385" s="294"/>
      <c r="L385" s="294"/>
      <c r="T385" s="295"/>
      <c r="AA385" s="295"/>
      <c r="AH385" s="295"/>
      <c r="AI385" s="188"/>
      <c r="AJ385" s="188"/>
      <c r="AK385" s="188"/>
      <c r="AL385" s="188"/>
      <c r="AM385" s="188"/>
      <c r="AN385" s="188"/>
      <c r="AO385" s="299"/>
      <c r="AQ385" s="296"/>
      <c r="AR385" s="296"/>
      <c r="AS385" s="296"/>
      <c r="AU385" s="296"/>
      <c r="AV385" s="296"/>
      <c r="AW385" s="296"/>
      <c r="CV385" s="374">
        <v>48</v>
      </c>
      <c r="CW385" s="359" t="s">
        <v>961</v>
      </c>
      <c r="CX385" s="361">
        <v>156765.48000000001</v>
      </c>
      <c r="CY385" s="361">
        <v>0</v>
      </c>
      <c r="CZ385" s="361">
        <v>0</v>
      </c>
      <c r="DA385" s="361">
        <v>0</v>
      </c>
      <c r="DB385" s="361">
        <v>0</v>
      </c>
      <c r="DC385" s="361">
        <v>78382.740000000005</v>
      </c>
      <c r="DD385" s="361">
        <v>0</v>
      </c>
      <c r="DE385" s="361">
        <v>78382.740000000005</v>
      </c>
      <c r="DF385" s="361">
        <v>0</v>
      </c>
      <c r="DG385" s="361">
        <v>0</v>
      </c>
      <c r="DH385" s="361">
        <v>0</v>
      </c>
      <c r="DI385" s="361"/>
      <c r="DJ385" s="361"/>
      <c r="DK385" s="361"/>
      <c r="DL385" s="378"/>
    </row>
    <row r="386" spans="2:116" ht="13">
      <c r="B386" s="294"/>
      <c r="C386" s="294"/>
      <c r="D386" s="294"/>
      <c r="E386" s="294"/>
      <c r="F386" s="171"/>
      <c r="G386" s="294"/>
      <c r="H386" s="294"/>
      <c r="I386" s="294"/>
      <c r="J386" s="294"/>
      <c r="K386" s="294"/>
      <c r="L386" s="294"/>
      <c r="T386" s="295"/>
      <c r="AA386" s="295"/>
      <c r="AH386" s="295"/>
      <c r="AI386" s="188"/>
      <c r="AJ386" s="188"/>
      <c r="AK386" s="188"/>
      <c r="AL386" s="188"/>
      <c r="AM386" s="188"/>
      <c r="AN386" s="188"/>
      <c r="AO386" s="299"/>
      <c r="AQ386" s="296"/>
      <c r="AR386" s="296"/>
      <c r="AS386" s="296"/>
      <c r="AU386" s="296"/>
      <c r="AV386" s="296"/>
      <c r="AW386" s="296"/>
      <c r="CV386" s="374">
        <v>49</v>
      </c>
      <c r="CW386" s="359" t="s">
        <v>900</v>
      </c>
      <c r="CX386" s="361">
        <v>127823.54</v>
      </c>
      <c r="CY386" s="361">
        <v>49652.97</v>
      </c>
      <c r="CZ386" s="361">
        <v>78170.570000000007</v>
      </c>
      <c r="DA386" s="361">
        <v>0</v>
      </c>
      <c r="DB386" s="361">
        <v>0</v>
      </c>
      <c r="DC386" s="361">
        <v>0</v>
      </c>
      <c r="DD386" s="361">
        <v>0</v>
      </c>
      <c r="DE386" s="361">
        <v>0</v>
      </c>
      <c r="DF386" s="361">
        <v>0</v>
      </c>
      <c r="DG386" s="361">
        <v>0</v>
      </c>
      <c r="DH386" s="361">
        <v>0</v>
      </c>
      <c r="DI386" s="361"/>
      <c r="DJ386" s="361"/>
      <c r="DK386" s="361"/>
      <c r="DL386" s="378"/>
    </row>
    <row r="387" spans="2:116" ht="13">
      <c r="B387" s="294"/>
      <c r="C387" s="294"/>
      <c r="D387" s="294"/>
      <c r="E387" s="294"/>
      <c r="F387" s="171"/>
      <c r="G387" s="294"/>
      <c r="H387" s="294"/>
      <c r="I387" s="294"/>
      <c r="J387" s="294"/>
      <c r="K387" s="294"/>
      <c r="L387" s="294"/>
      <c r="T387" s="295"/>
      <c r="AA387" s="295"/>
      <c r="AH387" s="295"/>
      <c r="AI387" s="188"/>
      <c r="AJ387" s="188"/>
      <c r="AK387" s="188"/>
      <c r="AL387" s="188"/>
      <c r="AM387" s="188"/>
      <c r="AN387" s="188"/>
      <c r="AO387" s="299"/>
      <c r="AQ387" s="296"/>
      <c r="AR387" s="296"/>
      <c r="AS387" s="296"/>
      <c r="AU387" s="296"/>
      <c r="AV387" s="296"/>
      <c r="AW387" s="296"/>
      <c r="CV387" s="374">
        <v>50</v>
      </c>
      <c r="CW387" s="359" t="s">
        <v>963</v>
      </c>
      <c r="CX387" s="361">
        <v>127808.28</v>
      </c>
      <c r="CY387" s="361">
        <v>127808.28</v>
      </c>
      <c r="CZ387" s="361">
        <v>0</v>
      </c>
      <c r="DA387" s="361">
        <v>0</v>
      </c>
      <c r="DB387" s="361">
        <v>0</v>
      </c>
      <c r="DC387" s="361">
        <v>0</v>
      </c>
      <c r="DD387" s="361">
        <v>0</v>
      </c>
      <c r="DE387" s="361">
        <v>0</v>
      </c>
      <c r="DF387" s="361">
        <v>0</v>
      </c>
      <c r="DG387" s="361">
        <v>0</v>
      </c>
      <c r="DH387" s="361">
        <v>0</v>
      </c>
      <c r="DI387" s="361"/>
      <c r="DJ387" s="361"/>
      <c r="DK387" s="361"/>
      <c r="DL387" s="378"/>
    </row>
    <row r="388" spans="2:116" ht="13">
      <c r="B388" s="294"/>
      <c r="C388" s="294"/>
      <c r="D388" s="294"/>
      <c r="E388" s="294"/>
      <c r="F388" s="171"/>
      <c r="G388" s="294"/>
      <c r="H388" s="294"/>
      <c r="I388" s="294"/>
      <c r="J388" s="294"/>
      <c r="K388" s="294"/>
      <c r="L388" s="294"/>
      <c r="T388" s="295"/>
      <c r="AA388" s="295"/>
      <c r="AH388" s="295"/>
      <c r="AI388" s="188"/>
      <c r="AJ388" s="188"/>
      <c r="AK388" s="188"/>
      <c r="AL388" s="188"/>
      <c r="AM388" s="188"/>
      <c r="AN388" s="188"/>
      <c r="AO388" s="299"/>
      <c r="AQ388" s="296"/>
      <c r="AR388" s="296"/>
      <c r="AS388" s="296"/>
      <c r="AU388" s="296"/>
      <c r="AV388" s="296"/>
      <c r="AW388" s="296"/>
      <c r="CV388" s="374">
        <v>51</v>
      </c>
      <c r="CW388" s="359" t="s">
        <v>945</v>
      </c>
      <c r="CX388" s="361">
        <v>108526.06</v>
      </c>
      <c r="CY388" s="361">
        <v>0</v>
      </c>
      <c r="CZ388" s="361">
        <v>0</v>
      </c>
      <c r="DA388" s="361">
        <v>0</v>
      </c>
      <c r="DB388" s="361">
        <v>0</v>
      </c>
      <c r="DC388" s="365">
        <v>0</v>
      </c>
      <c r="DD388" s="365">
        <v>0</v>
      </c>
      <c r="DE388" s="361">
        <v>21235.759999999998</v>
      </c>
      <c r="DF388" s="361">
        <v>39191.360000000001</v>
      </c>
      <c r="DG388" s="361">
        <v>48098.94</v>
      </c>
      <c r="DH388" s="365">
        <v>0</v>
      </c>
      <c r="DI388" s="365"/>
      <c r="DJ388" s="365"/>
      <c r="DK388" s="365"/>
      <c r="DL388" s="379"/>
    </row>
    <row r="389" spans="2:116" ht="13">
      <c r="B389" s="294"/>
      <c r="C389" s="294"/>
      <c r="D389" s="294"/>
      <c r="E389" s="294"/>
      <c r="F389" s="171"/>
      <c r="G389" s="294"/>
      <c r="H389" s="294"/>
      <c r="I389" s="294"/>
      <c r="J389" s="294"/>
      <c r="K389" s="294"/>
      <c r="L389" s="294"/>
      <c r="T389" s="295"/>
      <c r="AA389" s="295"/>
      <c r="AH389" s="295"/>
      <c r="AI389" s="188"/>
      <c r="AJ389" s="188"/>
      <c r="AK389" s="188"/>
      <c r="AL389" s="188"/>
      <c r="AM389" s="188"/>
      <c r="AN389" s="188"/>
      <c r="AO389" s="299"/>
      <c r="AQ389" s="296"/>
      <c r="AR389" s="296"/>
      <c r="AS389" s="296"/>
      <c r="AU389" s="296"/>
      <c r="AV389" s="296"/>
      <c r="AW389" s="296"/>
      <c r="CV389" s="374">
        <v>52</v>
      </c>
      <c r="CW389" s="359" t="s">
        <v>904</v>
      </c>
      <c r="CX389" s="361">
        <v>105637.2</v>
      </c>
      <c r="CY389" s="361">
        <v>105637.2</v>
      </c>
      <c r="CZ389" s="361">
        <v>0</v>
      </c>
      <c r="DA389" s="361">
        <v>0</v>
      </c>
      <c r="DB389" s="361">
        <v>0</v>
      </c>
      <c r="DC389" s="361">
        <v>0</v>
      </c>
      <c r="DD389" s="361">
        <v>0</v>
      </c>
      <c r="DE389" s="361">
        <v>0</v>
      </c>
      <c r="DF389" s="361">
        <v>0</v>
      </c>
      <c r="DG389" s="361">
        <v>0</v>
      </c>
      <c r="DH389" s="361">
        <v>0</v>
      </c>
      <c r="DI389" s="361"/>
      <c r="DJ389" s="361"/>
      <c r="DK389" s="361"/>
      <c r="DL389" s="378"/>
    </row>
    <row r="390" spans="2:116" ht="13">
      <c r="B390" s="294"/>
      <c r="C390" s="294"/>
      <c r="D390" s="294"/>
      <c r="E390" s="294"/>
      <c r="F390" s="171"/>
      <c r="G390" s="294"/>
      <c r="H390" s="294"/>
      <c r="I390" s="294"/>
      <c r="J390" s="294"/>
      <c r="K390" s="294"/>
      <c r="L390" s="294"/>
      <c r="T390" s="295"/>
      <c r="AA390" s="295"/>
      <c r="AH390" s="295"/>
      <c r="AI390" s="188"/>
      <c r="AJ390" s="188"/>
      <c r="AK390" s="188"/>
      <c r="AL390" s="188"/>
      <c r="AM390" s="188"/>
      <c r="AN390" s="188"/>
      <c r="AO390" s="299"/>
      <c r="AQ390" s="296"/>
      <c r="AR390" s="296"/>
      <c r="AS390" s="296"/>
      <c r="AU390" s="296"/>
      <c r="AV390" s="296"/>
      <c r="AW390" s="296"/>
      <c r="CV390" s="374">
        <v>53</v>
      </c>
      <c r="CW390" s="359" t="s">
        <v>865</v>
      </c>
      <c r="CX390" s="361">
        <v>103379.49</v>
      </c>
      <c r="CY390" s="361">
        <v>0</v>
      </c>
      <c r="CZ390" s="361">
        <v>0</v>
      </c>
      <c r="DA390" s="361">
        <v>103379.49</v>
      </c>
      <c r="DB390" s="361">
        <v>0</v>
      </c>
      <c r="DC390" s="361">
        <v>0</v>
      </c>
      <c r="DD390" s="361">
        <v>0</v>
      </c>
      <c r="DE390" s="361">
        <v>0</v>
      </c>
      <c r="DF390" s="361">
        <v>0</v>
      </c>
      <c r="DG390" s="361">
        <v>0</v>
      </c>
      <c r="DH390" s="361">
        <v>0</v>
      </c>
      <c r="DI390" s="361"/>
      <c r="DJ390" s="361"/>
      <c r="DK390" s="361"/>
      <c r="DL390" s="378"/>
    </row>
    <row r="391" spans="2:116" ht="13">
      <c r="B391" s="294"/>
      <c r="C391" s="294"/>
      <c r="D391" s="294"/>
      <c r="E391" s="294"/>
      <c r="F391" s="171"/>
      <c r="G391" s="294"/>
      <c r="H391" s="294"/>
      <c r="I391" s="294"/>
      <c r="J391" s="294"/>
      <c r="K391" s="294"/>
      <c r="L391" s="294"/>
      <c r="T391" s="295"/>
      <c r="AA391" s="295"/>
      <c r="AH391" s="295"/>
      <c r="AI391" s="188"/>
      <c r="AJ391" s="188"/>
      <c r="AK391" s="188"/>
      <c r="AL391" s="188"/>
      <c r="AM391" s="188"/>
      <c r="AN391" s="188"/>
      <c r="AO391" s="299"/>
      <c r="AQ391" s="296"/>
      <c r="AR391" s="296"/>
      <c r="AS391" s="296"/>
      <c r="AU391" s="296"/>
      <c r="AV391" s="296"/>
      <c r="AW391" s="296"/>
      <c r="CV391" s="374">
        <v>54</v>
      </c>
      <c r="CW391" s="359" t="s">
        <v>882</v>
      </c>
      <c r="CX391" s="361">
        <v>96786</v>
      </c>
      <c r="CY391" s="361">
        <v>0</v>
      </c>
      <c r="CZ391" s="361">
        <v>0</v>
      </c>
      <c r="DA391" s="361">
        <v>0</v>
      </c>
      <c r="DB391" s="361">
        <v>0</v>
      </c>
      <c r="DC391" s="361">
        <v>0</v>
      </c>
      <c r="DD391" s="361">
        <v>0</v>
      </c>
      <c r="DE391" s="361">
        <v>0</v>
      </c>
      <c r="DF391" s="361">
        <v>0</v>
      </c>
      <c r="DG391" s="361">
        <v>0</v>
      </c>
      <c r="DH391" s="361">
        <v>96786</v>
      </c>
      <c r="DI391" s="361"/>
      <c r="DJ391" s="361"/>
      <c r="DK391" s="361"/>
      <c r="DL391" s="378"/>
    </row>
    <row r="392" spans="2:116" ht="13">
      <c r="B392" s="294"/>
      <c r="C392" s="294"/>
      <c r="D392" s="294"/>
      <c r="E392" s="294"/>
      <c r="F392" s="171"/>
      <c r="G392" s="294"/>
      <c r="H392" s="294"/>
      <c r="I392" s="294"/>
      <c r="J392" s="294"/>
      <c r="K392" s="294"/>
      <c r="L392" s="294"/>
      <c r="T392" s="295"/>
      <c r="AA392" s="295"/>
      <c r="AH392" s="295"/>
      <c r="AI392" s="188"/>
      <c r="AJ392" s="188"/>
      <c r="AK392" s="188"/>
      <c r="AL392" s="188"/>
      <c r="AM392" s="188"/>
      <c r="AN392" s="188"/>
      <c r="AO392" s="299"/>
      <c r="AQ392" s="296"/>
      <c r="AR392" s="296"/>
      <c r="AS392" s="296"/>
      <c r="AU392" s="296"/>
      <c r="AV392" s="296"/>
      <c r="AW392" s="296"/>
      <c r="CV392" s="374">
        <v>55</v>
      </c>
      <c r="CW392" s="359" t="s">
        <v>943</v>
      </c>
      <c r="CX392" s="361">
        <v>84342.8</v>
      </c>
      <c r="CY392" s="361">
        <v>38330.519999999997</v>
      </c>
      <c r="CZ392" s="361">
        <v>0</v>
      </c>
      <c r="DA392" s="365">
        <v>0</v>
      </c>
      <c r="DB392" s="365">
        <v>0</v>
      </c>
      <c r="DC392" s="361">
        <v>0</v>
      </c>
      <c r="DD392" s="361">
        <v>0</v>
      </c>
      <c r="DE392" s="361">
        <v>23006.14</v>
      </c>
      <c r="DF392" s="361">
        <v>23006.14</v>
      </c>
      <c r="DG392" s="365">
        <v>0</v>
      </c>
      <c r="DH392" s="365">
        <v>0</v>
      </c>
      <c r="DI392" s="365"/>
      <c r="DJ392" s="365"/>
      <c r="DK392" s="365"/>
      <c r="DL392" s="379"/>
    </row>
    <row r="393" spans="2:116" ht="13">
      <c r="B393" s="294"/>
      <c r="C393" s="294"/>
      <c r="D393" s="294"/>
      <c r="E393" s="294"/>
      <c r="F393" s="171"/>
      <c r="G393" s="294"/>
      <c r="H393" s="294"/>
      <c r="I393" s="294"/>
      <c r="J393" s="294"/>
      <c r="K393" s="294"/>
      <c r="L393" s="294"/>
      <c r="T393" s="295"/>
      <c r="AA393" s="295"/>
      <c r="AH393" s="295"/>
      <c r="AI393" s="188"/>
      <c r="AJ393" s="188"/>
      <c r="AK393" s="188"/>
      <c r="AL393" s="188"/>
      <c r="AM393" s="188"/>
      <c r="AN393" s="188"/>
      <c r="AO393" s="299"/>
      <c r="AQ393" s="296"/>
      <c r="AR393" s="296"/>
      <c r="AS393" s="296"/>
      <c r="AU393" s="296"/>
      <c r="AV393" s="296"/>
      <c r="AW393" s="296"/>
      <c r="CV393" s="374">
        <v>56</v>
      </c>
      <c r="CW393" s="359" t="s">
        <v>879</v>
      </c>
      <c r="CX393" s="361">
        <v>67853.52</v>
      </c>
      <c r="CY393" s="361">
        <v>0</v>
      </c>
      <c r="CZ393" s="361">
        <v>0</v>
      </c>
      <c r="DA393" s="365">
        <v>0</v>
      </c>
      <c r="DB393" s="365">
        <v>0</v>
      </c>
      <c r="DC393" s="361">
        <v>67853.52</v>
      </c>
      <c r="DD393" s="365">
        <v>0</v>
      </c>
      <c r="DE393" s="361">
        <v>0</v>
      </c>
      <c r="DF393" s="361">
        <v>0</v>
      </c>
      <c r="DG393" s="365">
        <v>0</v>
      </c>
      <c r="DH393" s="365">
        <v>0</v>
      </c>
      <c r="DI393" s="365"/>
      <c r="DJ393" s="365"/>
      <c r="DK393" s="365"/>
      <c r="DL393" s="379"/>
    </row>
    <row r="394" spans="2:116" ht="13">
      <c r="B394" s="294"/>
      <c r="C394" s="294"/>
      <c r="D394" s="294"/>
      <c r="E394" s="294"/>
      <c r="F394" s="171"/>
      <c r="G394" s="294"/>
      <c r="H394" s="294"/>
      <c r="I394" s="294"/>
      <c r="J394" s="294"/>
      <c r="K394" s="294"/>
      <c r="L394" s="294"/>
      <c r="T394" s="295"/>
      <c r="AA394" s="295"/>
      <c r="AH394" s="295"/>
      <c r="AI394" s="188"/>
      <c r="AJ394" s="188"/>
      <c r="AK394" s="188"/>
      <c r="AL394" s="188"/>
      <c r="AM394" s="188"/>
      <c r="AN394" s="188"/>
      <c r="AO394" s="299"/>
      <c r="AQ394" s="296"/>
      <c r="AR394" s="296"/>
      <c r="AS394" s="296"/>
      <c r="AU394" s="296"/>
      <c r="AV394" s="296"/>
      <c r="AW394" s="296"/>
      <c r="CV394" s="374">
        <v>57</v>
      </c>
      <c r="CW394" s="359" t="s">
        <v>912</v>
      </c>
      <c r="CX394" s="361">
        <v>66346.929999999993</v>
      </c>
      <c r="CY394" s="361">
        <v>66346.929999999993</v>
      </c>
      <c r="CZ394" s="361">
        <v>0</v>
      </c>
      <c r="DA394" s="361">
        <v>0</v>
      </c>
      <c r="DB394" s="361">
        <v>0</v>
      </c>
      <c r="DC394" s="361">
        <v>0</v>
      </c>
      <c r="DD394" s="361">
        <v>0</v>
      </c>
      <c r="DE394" s="361">
        <v>0</v>
      </c>
      <c r="DF394" s="361">
        <v>0</v>
      </c>
      <c r="DG394" s="361">
        <v>0</v>
      </c>
      <c r="DH394" s="361">
        <v>0</v>
      </c>
      <c r="DI394" s="361"/>
      <c r="DJ394" s="361"/>
      <c r="DK394" s="361"/>
      <c r="DL394" s="378"/>
    </row>
    <row r="395" spans="2:116" ht="13">
      <c r="B395" s="294"/>
      <c r="C395" s="294"/>
      <c r="D395" s="294"/>
      <c r="E395" s="294"/>
      <c r="F395" s="171"/>
      <c r="G395" s="294"/>
      <c r="H395" s="294"/>
      <c r="I395" s="294"/>
      <c r="J395" s="294"/>
      <c r="K395" s="294"/>
      <c r="L395" s="294"/>
      <c r="T395" s="295"/>
      <c r="AA395" s="295"/>
      <c r="AH395" s="295"/>
      <c r="AI395" s="188"/>
      <c r="AJ395" s="188"/>
      <c r="AK395" s="188"/>
      <c r="AL395" s="188"/>
      <c r="AM395" s="188"/>
      <c r="AN395" s="188"/>
      <c r="AO395" s="299"/>
      <c r="AQ395" s="296"/>
      <c r="AR395" s="296"/>
      <c r="AS395" s="296"/>
      <c r="AU395" s="296"/>
      <c r="AV395" s="296"/>
      <c r="AW395" s="296"/>
      <c r="CV395" s="374">
        <v>58</v>
      </c>
      <c r="CW395" s="359" t="s">
        <v>985</v>
      </c>
      <c r="CX395" s="361">
        <v>66115.600000000006</v>
      </c>
      <c r="CY395" s="361">
        <v>0</v>
      </c>
      <c r="CZ395" s="361">
        <v>19165.259999999998</v>
      </c>
      <c r="DA395" s="361">
        <v>12776.84</v>
      </c>
      <c r="DB395" s="361">
        <v>0</v>
      </c>
      <c r="DC395" s="361">
        <v>0</v>
      </c>
      <c r="DD395" s="361">
        <v>0</v>
      </c>
      <c r="DE395" s="361">
        <v>0</v>
      </c>
      <c r="DF395" s="361">
        <v>0</v>
      </c>
      <c r="DG395" s="361">
        <v>34173.5</v>
      </c>
      <c r="DH395" s="361">
        <v>0</v>
      </c>
      <c r="DI395" s="361"/>
      <c r="DJ395" s="361"/>
      <c r="DK395" s="361"/>
      <c r="DL395" s="378"/>
    </row>
    <row r="396" spans="2:116" ht="13">
      <c r="B396" s="294"/>
      <c r="C396" s="294"/>
      <c r="D396" s="294"/>
      <c r="E396" s="294"/>
      <c r="F396" s="171"/>
      <c r="G396" s="294"/>
      <c r="H396" s="294"/>
      <c r="I396" s="294"/>
      <c r="J396" s="294"/>
      <c r="K396" s="294"/>
      <c r="L396" s="294"/>
      <c r="T396" s="295"/>
      <c r="AA396" s="295"/>
      <c r="AH396" s="295"/>
      <c r="AI396" s="188"/>
      <c r="AJ396" s="188"/>
      <c r="AK396" s="188"/>
      <c r="AL396" s="188"/>
      <c r="AM396" s="188"/>
      <c r="AN396" s="188"/>
      <c r="AO396" s="299"/>
      <c r="AQ396" s="296"/>
      <c r="AR396" s="296"/>
      <c r="AS396" s="296"/>
      <c r="AU396" s="296"/>
      <c r="AV396" s="296"/>
      <c r="AW396" s="296"/>
      <c r="CV396" s="374">
        <v>59</v>
      </c>
      <c r="CW396" s="359" t="s">
        <v>981</v>
      </c>
      <c r="CX396" s="361">
        <v>65231.1</v>
      </c>
      <c r="CY396" s="361">
        <v>0</v>
      </c>
      <c r="CZ396" s="361">
        <v>0</v>
      </c>
      <c r="DA396" s="361">
        <v>0</v>
      </c>
      <c r="DB396" s="361">
        <v>0</v>
      </c>
      <c r="DC396" s="361">
        <v>0</v>
      </c>
      <c r="DD396" s="361">
        <v>0</v>
      </c>
      <c r="DE396" s="361">
        <v>0</v>
      </c>
      <c r="DF396" s="361">
        <v>0</v>
      </c>
      <c r="DG396" s="361">
        <v>65231.1</v>
      </c>
      <c r="DH396" s="361">
        <v>0</v>
      </c>
      <c r="DI396" s="361"/>
      <c r="DJ396" s="361"/>
      <c r="DK396" s="361"/>
      <c r="DL396" s="378"/>
    </row>
    <row r="397" spans="2:116" ht="13">
      <c r="B397" s="294"/>
      <c r="C397" s="294"/>
      <c r="D397" s="294"/>
      <c r="E397" s="294"/>
      <c r="F397" s="171"/>
      <c r="G397" s="294"/>
      <c r="H397" s="294"/>
      <c r="I397" s="294"/>
      <c r="J397" s="294"/>
      <c r="K397" s="294"/>
      <c r="L397" s="294"/>
      <c r="T397" s="295"/>
      <c r="AA397" s="295"/>
      <c r="AH397" s="295"/>
      <c r="AI397" s="188"/>
      <c r="AJ397" s="188"/>
      <c r="AK397" s="188"/>
      <c r="AL397" s="188"/>
      <c r="AM397" s="188"/>
      <c r="AN397" s="188"/>
      <c r="AO397" s="299"/>
      <c r="AQ397" s="296"/>
      <c r="AR397" s="296"/>
      <c r="AS397" s="296"/>
      <c r="AU397" s="296"/>
      <c r="AV397" s="296"/>
      <c r="AW397" s="296"/>
      <c r="CV397" s="374">
        <v>60</v>
      </c>
      <c r="CW397" s="359" t="s">
        <v>896</v>
      </c>
      <c r="CX397" s="361">
        <v>47921.88</v>
      </c>
      <c r="CY397" s="361">
        <v>0</v>
      </c>
      <c r="CZ397" s="361">
        <v>0</v>
      </c>
      <c r="DA397" s="361">
        <v>0</v>
      </c>
      <c r="DB397" s="361">
        <v>0</v>
      </c>
      <c r="DC397" s="361">
        <v>0</v>
      </c>
      <c r="DD397" s="361">
        <v>0</v>
      </c>
      <c r="DE397" s="361">
        <v>0</v>
      </c>
      <c r="DF397" s="361">
        <v>0</v>
      </c>
      <c r="DG397" s="361">
        <v>22944.77</v>
      </c>
      <c r="DH397" s="361">
        <v>24977.119999999999</v>
      </c>
      <c r="DI397" s="361"/>
      <c r="DJ397" s="361"/>
      <c r="DK397" s="361"/>
      <c r="DL397" s="378"/>
    </row>
    <row r="398" spans="2:116" ht="13">
      <c r="B398" s="294"/>
      <c r="C398" s="294"/>
      <c r="D398" s="294"/>
      <c r="E398" s="294"/>
      <c r="F398" s="171"/>
      <c r="G398" s="294"/>
      <c r="H398" s="294"/>
      <c r="I398" s="294"/>
      <c r="J398" s="294"/>
      <c r="K398" s="294"/>
      <c r="L398" s="294"/>
      <c r="T398" s="295"/>
      <c r="AA398" s="295"/>
      <c r="AH398" s="295"/>
      <c r="AI398" s="188"/>
      <c r="AJ398" s="188"/>
      <c r="AK398" s="188"/>
      <c r="AL398" s="188"/>
      <c r="AM398" s="188"/>
      <c r="AN398" s="188"/>
      <c r="AO398" s="299"/>
      <c r="AQ398" s="296"/>
      <c r="AR398" s="296"/>
      <c r="AS398" s="296"/>
      <c r="AU398" s="296"/>
      <c r="AV398" s="296"/>
      <c r="AW398" s="296"/>
      <c r="CV398" s="374">
        <v>61</v>
      </c>
      <c r="CW398" s="359" t="s">
        <v>929</v>
      </c>
      <c r="CX398" s="361">
        <v>41276.839999999997</v>
      </c>
      <c r="CY398" s="361">
        <v>0</v>
      </c>
      <c r="CZ398" s="361">
        <v>41276.839999999997</v>
      </c>
      <c r="DA398" s="361">
        <v>0</v>
      </c>
      <c r="DB398" s="361">
        <v>0</v>
      </c>
      <c r="DC398" s="361">
        <v>0</v>
      </c>
      <c r="DD398" s="361">
        <v>0</v>
      </c>
      <c r="DE398" s="361">
        <v>0</v>
      </c>
      <c r="DF398" s="361">
        <v>0</v>
      </c>
      <c r="DG398" s="361">
        <v>0</v>
      </c>
      <c r="DH398" s="361">
        <v>0</v>
      </c>
      <c r="DI398" s="361"/>
      <c r="DJ398" s="361"/>
      <c r="DK398" s="361"/>
      <c r="DL398" s="378"/>
    </row>
    <row r="399" spans="2:116" ht="13">
      <c r="B399" s="294"/>
      <c r="C399" s="294"/>
      <c r="D399" s="294"/>
      <c r="E399" s="294"/>
      <c r="F399" s="171"/>
      <c r="G399" s="294"/>
      <c r="H399" s="294"/>
      <c r="I399" s="294"/>
      <c r="J399" s="294"/>
      <c r="K399" s="294"/>
      <c r="L399" s="294"/>
      <c r="T399" s="295"/>
      <c r="AA399" s="295"/>
      <c r="AH399" s="295"/>
      <c r="AI399" s="188"/>
      <c r="AJ399" s="188"/>
      <c r="AK399" s="188"/>
      <c r="AL399" s="188"/>
      <c r="AM399" s="188"/>
      <c r="AN399" s="188"/>
      <c r="AO399" s="299"/>
      <c r="AQ399" s="296"/>
      <c r="AR399" s="296"/>
      <c r="AS399" s="296"/>
      <c r="AU399" s="296"/>
      <c r="AV399" s="296"/>
      <c r="AW399" s="296"/>
      <c r="CV399" s="374">
        <v>62</v>
      </c>
      <c r="CW399" s="359" t="s">
        <v>894</v>
      </c>
      <c r="CX399" s="361">
        <v>37446.019999999997</v>
      </c>
      <c r="CY399" s="361">
        <v>0</v>
      </c>
      <c r="CZ399" s="361">
        <v>0</v>
      </c>
      <c r="DA399" s="361">
        <v>0</v>
      </c>
      <c r="DB399" s="361">
        <v>0</v>
      </c>
      <c r="DC399" s="361">
        <v>37446.019999999997</v>
      </c>
      <c r="DD399" s="361">
        <v>0</v>
      </c>
      <c r="DE399" s="361">
        <v>0</v>
      </c>
      <c r="DF399" s="361">
        <v>0</v>
      </c>
      <c r="DG399" s="361">
        <v>0</v>
      </c>
      <c r="DH399" s="361">
        <v>0</v>
      </c>
      <c r="DI399" s="361"/>
      <c r="DJ399" s="361"/>
      <c r="DK399" s="361"/>
      <c r="DL399" s="378"/>
    </row>
    <row r="400" spans="2:116" ht="13">
      <c r="B400" s="294"/>
      <c r="C400" s="294"/>
      <c r="D400" s="294"/>
      <c r="E400" s="294"/>
      <c r="F400" s="171"/>
      <c r="G400" s="294"/>
      <c r="H400" s="294"/>
      <c r="I400" s="294"/>
      <c r="J400" s="294"/>
      <c r="K400" s="294"/>
      <c r="L400" s="294"/>
      <c r="T400" s="295"/>
      <c r="AA400" s="295"/>
      <c r="AH400" s="295"/>
      <c r="AI400" s="188"/>
      <c r="AJ400" s="188"/>
      <c r="AK400" s="188"/>
      <c r="AL400" s="188"/>
      <c r="AM400" s="188"/>
      <c r="AN400" s="188"/>
      <c r="AO400" s="299"/>
      <c r="AQ400" s="296"/>
      <c r="AR400" s="296"/>
      <c r="AS400" s="296"/>
      <c r="AU400" s="296"/>
      <c r="AV400" s="296"/>
      <c r="AW400" s="296"/>
      <c r="CV400" s="374">
        <v>63</v>
      </c>
      <c r="CW400" s="359" t="s">
        <v>898</v>
      </c>
      <c r="CX400" s="361">
        <v>31057.599999999999</v>
      </c>
      <c r="CY400" s="361">
        <v>0</v>
      </c>
      <c r="CZ400" s="361">
        <v>0</v>
      </c>
      <c r="DA400" s="361">
        <v>0</v>
      </c>
      <c r="DB400" s="361">
        <v>0</v>
      </c>
      <c r="DC400" s="361">
        <v>0</v>
      </c>
      <c r="DD400" s="361">
        <v>31057.599999999999</v>
      </c>
      <c r="DE400" s="361">
        <v>0</v>
      </c>
      <c r="DF400" s="361">
        <v>0</v>
      </c>
      <c r="DG400" s="361">
        <v>0</v>
      </c>
      <c r="DH400" s="361">
        <v>0</v>
      </c>
      <c r="DI400" s="361"/>
      <c r="DJ400" s="361"/>
      <c r="DK400" s="361"/>
      <c r="DL400" s="378"/>
    </row>
    <row r="401" spans="2:116" ht="13">
      <c r="B401" s="294"/>
      <c r="C401" s="294"/>
      <c r="D401" s="294"/>
      <c r="E401" s="294"/>
      <c r="F401" s="171"/>
      <c r="G401" s="294"/>
      <c r="H401" s="294"/>
      <c r="I401" s="294"/>
      <c r="J401" s="294"/>
      <c r="K401" s="294"/>
      <c r="L401" s="294"/>
      <c r="T401" s="295"/>
      <c r="AA401" s="295"/>
      <c r="AH401" s="295"/>
      <c r="AI401" s="188"/>
      <c r="AJ401" s="188"/>
      <c r="AK401" s="188"/>
      <c r="AL401" s="188"/>
      <c r="AM401" s="188"/>
      <c r="AN401" s="188"/>
      <c r="AO401" s="299"/>
      <c r="AQ401" s="296"/>
      <c r="AR401" s="296"/>
      <c r="AS401" s="296"/>
      <c r="AU401" s="296"/>
      <c r="AV401" s="296"/>
      <c r="AW401" s="296"/>
      <c r="CV401" s="374">
        <v>64</v>
      </c>
      <c r="CW401" s="359" t="s">
        <v>844</v>
      </c>
      <c r="CX401" s="361">
        <v>31057.599999999999</v>
      </c>
      <c r="CY401" s="361">
        <v>0</v>
      </c>
      <c r="CZ401" s="365">
        <v>0</v>
      </c>
      <c r="DA401" s="365">
        <v>0</v>
      </c>
      <c r="DB401" s="365">
        <v>0</v>
      </c>
      <c r="DC401" s="361">
        <v>0</v>
      </c>
      <c r="DD401" s="361">
        <v>0</v>
      </c>
      <c r="DE401" s="365">
        <v>0</v>
      </c>
      <c r="DF401" s="365">
        <v>0</v>
      </c>
      <c r="DG401" s="361">
        <v>31057.599999999999</v>
      </c>
      <c r="DH401" s="365">
        <v>0</v>
      </c>
      <c r="DI401" s="365"/>
      <c r="DJ401" s="365"/>
      <c r="DK401" s="365"/>
      <c r="DL401" s="379"/>
    </row>
    <row r="402" spans="2:116" ht="13">
      <c r="B402" s="294"/>
      <c r="C402" s="294"/>
      <c r="D402" s="294"/>
      <c r="E402" s="294"/>
      <c r="F402" s="171"/>
      <c r="G402" s="294"/>
      <c r="H402" s="294"/>
      <c r="I402" s="294"/>
      <c r="J402" s="294"/>
      <c r="K402" s="294"/>
      <c r="L402" s="294"/>
      <c r="T402" s="295"/>
      <c r="AA402" s="295"/>
      <c r="AH402" s="295"/>
      <c r="AI402" s="188"/>
      <c r="AJ402" s="188"/>
      <c r="AK402" s="188"/>
      <c r="AL402" s="188"/>
      <c r="AM402" s="188"/>
      <c r="AN402" s="188"/>
      <c r="AO402" s="299"/>
      <c r="AQ402" s="296"/>
      <c r="AR402" s="296"/>
      <c r="AS402" s="296"/>
      <c r="AU402" s="296"/>
      <c r="AV402" s="296"/>
      <c r="AW402" s="296"/>
      <c r="CV402" s="374">
        <v>65</v>
      </c>
      <c r="CW402" s="359" t="s">
        <v>890</v>
      </c>
      <c r="CX402" s="361">
        <v>21685.89</v>
      </c>
      <c r="CY402" s="361">
        <v>0</v>
      </c>
      <c r="CZ402" s="361">
        <v>0</v>
      </c>
      <c r="DA402" s="361">
        <v>0</v>
      </c>
      <c r="DB402" s="361">
        <v>0</v>
      </c>
      <c r="DC402" s="361">
        <v>8909.0499999999993</v>
      </c>
      <c r="DD402" s="361">
        <v>12776.84</v>
      </c>
      <c r="DE402" s="361">
        <v>0</v>
      </c>
      <c r="DF402" s="361">
        <v>0</v>
      </c>
      <c r="DG402" s="361">
        <v>0</v>
      </c>
      <c r="DH402" s="361">
        <v>0</v>
      </c>
      <c r="DI402" s="361"/>
      <c r="DJ402" s="361"/>
      <c r="DK402" s="361"/>
      <c r="DL402" s="378"/>
    </row>
    <row r="403" spans="2:116" ht="13">
      <c r="B403" s="294"/>
      <c r="C403" s="294"/>
      <c r="D403" s="294"/>
      <c r="E403" s="294"/>
      <c r="F403" s="171"/>
      <c r="G403" s="294"/>
      <c r="H403" s="294"/>
      <c r="I403" s="294"/>
      <c r="J403" s="294"/>
      <c r="K403" s="294"/>
      <c r="L403" s="294"/>
      <c r="T403" s="295"/>
      <c r="AA403" s="295"/>
      <c r="AH403" s="295"/>
      <c r="AI403" s="188"/>
      <c r="AJ403" s="188"/>
      <c r="AK403" s="188"/>
      <c r="AL403" s="188"/>
      <c r="AM403" s="188"/>
      <c r="AN403" s="188"/>
      <c r="AO403" s="299"/>
      <c r="AQ403" s="296"/>
      <c r="AR403" s="296"/>
      <c r="AS403" s="296"/>
      <c r="AU403" s="296"/>
      <c r="AV403" s="296"/>
      <c r="AW403" s="296"/>
      <c r="CV403" s="374">
        <v>66</v>
      </c>
      <c r="CW403" s="359" t="s">
        <v>972</v>
      </c>
      <c r="CX403" s="361">
        <v>19800.02</v>
      </c>
      <c r="CY403" s="361">
        <v>0</v>
      </c>
      <c r="CZ403" s="361">
        <v>0</v>
      </c>
      <c r="DA403" s="361">
        <v>0</v>
      </c>
      <c r="DB403" s="361">
        <v>19800.02</v>
      </c>
      <c r="DC403" s="361">
        <v>0</v>
      </c>
      <c r="DD403" s="361">
        <v>0</v>
      </c>
      <c r="DE403" s="361">
        <v>0</v>
      </c>
      <c r="DF403" s="361">
        <v>0</v>
      </c>
      <c r="DG403" s="361">
        <v>0</v>
      </c>
      <c r="DH403" s="361">
        <v>0</v>
      </c>
      <c r="DI403" s="361"/>
      <c r="DJ403" s="361"/>
      <c r="DK403" s="361"/>
      <c r="DL403" s="378"/>
    </row>
    <row r="404" spans="2:116" ht="13">
      <c r="B404" s="294"/>
      <c r="C404" s="294"/>
      <c r="D404" s="294"/>
      <c r="E404" s="294"/>
      <c r="F404" s="171"/>
      <c r="G404" s="294"/>
      <c r="H404" s="294"/>
      <c r="I404" s="294"/>
      <c r="J404" s="294"/>
      <c r="K404" s="294"/>
      <c r="L404" s="294"/>
      <c r="T404" s="295"/>
      <c r="AA404" s="295"/>
      <c r="AH404" s="295"/>
      <c r="AI404" s="188"/>
      <c r="AJ404" s="188"/>
      <c r="AK404" s="188"/>
      <c r="AL404" s="188"/>
      <c r="AM404" s="188"/>
      <c r="AN404" s="188"/>
      <c r="AO404" s="299"/>
      <c r="AQ404" s="296"/>
      <c r="AR404" s="296"/>
      <c r="AS404" s="296"/>
      <c r="AU404" s="296"/>
      <c r="AV404" s="296"/>
      <c r="AW404" s="296"/>
      <c r="CV404" s="374">
        <v>67</v>
      </c>
      <c r="CW404" s="359" t="s">
        <v>877</v>
      </c>
      <c r="CX404" s="361">
        <v>6388.42</v>
      </c>
      <c r="CY404" s="361">
        <v>0</v>
      </c>
      <c r="CZ404" s="361">
        <v>0</v>
      </c>
      <c r="DA404" s="361">
        <v>0</v>
      </c>
      <c r="DB404" s="361">
        <v>0</v>
      </c>
      <c r="DC404" s="361">
        <v>6388.42</v>
      </c>
      <c r="DD404" s="361">
        <v>0</v>
      </c>
      <c r="DE404" s="361">
        <v>0</v>
      </c>
      <c r="DF404" s="361">
        <v>0</v>
      </c>
      <c r="DG404" s="361">
        <v>0</v>
      </c>
      <c r="DH404" s="361">
        <v>0</v>
      </c>
      <c r="DI404" s="361"/>
      <c r="DJ404" s="361"/>
      <c r="DK404" s="361"/>
      <c r="DL404" s="378"/>
    </row>
    <row r="405" spans="2:116" ht="13">
      <c r="B405" s="294"/>
      <c r="C405" s="294"/>
      <c r="D405" s="294"/>
      <c r="E405" s="294"/>
      <c r="F405" s="171"/>
      <c r="G405" s="294"/>
      <c r="H405" s="294"/>
      <c r="I405" s="294"/>
      <c r="J405" s="294"/>
      <c r="K405" s="294"/>
      <c r="L405" s="294"/>
      <c r="T405" s="295"/>
      <c r="AA405" s="295"/>
      <c r="AH405" s="295"/>
      <c r="AI405" s="188"/>
      <c r="AJ405" s="188"/>
      <c r="AK405" s="188"/>
      <c r="AL405" s="188"/>
      <c r="AM405" s="188"/>
      <c r="AN405" s="188"/>
      <c r="AO405" s="299"/>
      <c r="AQ405" s="296"/>
      <c r="AR405" s="296"/>
      <c r="AS405" s="296"/>
      <c r="AU405" s="296"/>
      <c r="AV405" s="296"/>
      <c r="AW405" s="296"/>
      <c r="CV405" s="374">
        <v>68</v>
      </c>
      <c r="CW405" s="359"/>
      <c r="CX405" s="361"/>
      <c r="CY405" s="361"/>
      <c r="CZ405" s="361"/>
      <c r="DA405" s="365"/>
      <c r="DB405" s="365"/>
      <c r="DC405" s="365"/>
      <c r="DD405" s="365"/>
      <c r="DE405" s="365"/>
      <c r="DF405" s="365"/>
      <c r="DG405" s="365"/>
      <c r="DH405" s="365"/>
      <c r="DI405" s="365"/>
      <c r="DJ405" s="365"/>
      <c r="DK405" s="365"/>
      <c r="DL405" s="379"/>
    </row>
    <row r="406" spans="2:116" ht="13">
      <c r="B406" s="294"/>
      <c r="C406" s="294"/>
      <c r="D406" s="294"/>
      <c r="E406" s="294"/>
      <c r="F406" s="171"/>
      <c r="G406" s="294"/>
      <c r="H406" s="294"/>
      <c r="I406" s="294"/>
      <c r="J406" s="294"/>
      <c r="K406" s="294"/>
      <c r="L406" s="294"/>
      <c r="T406" s="295"/>
      <c r="AA406" s="295"/>
      <c r="AH406" s="295"/>
      <c r="AI406" s="188"/>
      <c r="AJ406" s="188"/>
      <c r="AK406" s="188"/>
      <c r="AL406" s="188"/>
      <c r="AM406" s="188"/>
      <c r="AN406" s="188"/>
      <c r="AO406" s="299"/>
      <c r="AQ406" s="296"/>
      <c r="AR406" s="296"/>
      <c r="AS406" s="296"/>
      <c r="AU406" s="296"/>
      <c r="AV406" s="296"/>
      <c r="AW406" s="296"/>
      <c r="CV406" s="374">
        <v>69</v>
      </c>
      <c r="CW406" s="359"/>
      <c r="CX406" s="361"/>
      <c r="CY406" s="361"/>
      <c r="CZ406" s="361"/>
      <c r="DA406" s="361"/>
      <c r="DB406" s="361"/>
      <c r="DC406" s="361"/>
      <c r="DD406" s="361"/>
      <c r="DE406" s="361"/>
      <c r="DF406" s="361"/>
      <c r="DG406" s="361"/>
      <c r="DH406" s="361"/>
      <c r="DI406" s="361"/>
      <c r="DJ406" s="361"/>
      <c r="DK406" s="361"/>
      <c r="DL406" s="378"/>
    </row>
    <row r="407" spans="2:116" ht="13">
      <c r="B407" s="294"/>
      <c r="C407" s="294"/>
      <c r="D407" s="294"/>
      <c r="E407" s="294"/>
      <c r="F407" s="171"/>
      <c r="G407" s="294"/>
      <c r="H407" s="294"/>
      <c r="I407" s="294"/>
      <c r="J407" s="294"/>
      <c r="K407" s="294"/>
      <c r="L407" s="294"/>
      <c r="T407" s="295"/>
      <c r="AA407" s="295"/>
      <c r="AH407" s="295"/>
      <c r="AI407" s="188"/>
      <c r="AJ407" s="188"/>
      <c r="AK407" s="188"/>
      <c r="AL407" s="188"/>
      <c r="AM407" s="188"/>
      <c r="AN407" s="188"/>
      <c r="AO407" s="299"/>
      <c r="AQ407" s="296"/>
      <c r="AR407" s="296"/>
      <c r="AS407" s="296"/>
      <c r="AU407" s="296"/>
      <c r="AV407" s="296"/>
      <c r="AW407" s="296"/>
      <c r="CV407" s="374">
        <v>70</v>
      </c>
      <c r="CW407" s="359"/>
      <c r="CX407" s="361"/>
      <c r="CY407" s="361"/>
      <c r="CZ407" s="361"/>
      <c r="DA407" s="361"/>
      <c r="DB407" s="361"/>
      <c r="DC407" s="361"/>
      <c r="DD407" s="361"/>
      <c r="DE407" s="361"/>
      <c r="DF407" s="361"/>
      <c r="DG407" s="361"/>
      <c r="DH407" s="361"/>
      <c r="DI407" s="361"/>
      <c r="DJ407" s="361"/>
      <c r="DK407" s="361"/>
      <c r="DL407" s="378"/>
    </row>
    <row r="408" spans="2:116" ht="13">
      <c r="B408" s="294"/>
      <c r="C408" s="294"/>
      <c r="D408" s="294"/>
      <c r="E408" s="294"/>
      <c r="F408" s="171"/>
      <c r="G408" s="294"/>
      <c r="H408" s="294"/>
      <c r="I408" s="294"/>
      <c r="J408" s="294"/>
      <c r="K408" s="294"/>
      <c r="L408" s="294"/>
      <c r="T408" s="295"/>
      <c r="AA408" s="295"/>
      <c r="AH408" s="295"/>
      <c r="AI408" s="188"/>
      <c r="AJ408" s="188"/>
      <c r="AK408" s="188"/>
      <c r="AL408" s="188"/>
      <c r="AM408" s="188"/>
      <c r="AN408" s="188"/>
      <c r="AO408" s="299"/>
      <c r="AQ408" s="296"/>
      <c r="AR408" s="296"/>
      <c r="AS408" s="296"/>
      <c r="AU408" s="296"/>
      <c r="AV408" s="296"/>
      <c r="AW408" s="296"/>
      <c r="CV408" s="374">
        <v>71</v>
      </c>
      <c r="CW408" s="359"/>
      <c r="CX408" s="361"/>
      <c r="CY408" s="365"/>
      <c r="CZ408" s="361"/>
      <c r="DA408" s="361"/>
      <c r="DB408" s="361"/>
      <c r="DC408" s="361"/>
      <c r="DD408" s="361"/>
      <c r="DE408" s="361"/>
      <c r="DF408" s="361"/>
      <c r="DG408" s="361"/>
      <c r="DH408" s="361"/>
      <c r="DI408" s="361"/>
      <c r="DJ408" s="361"/>
      <c r="DK408" s="361"/>
      <c r="DL408" s="378"/>
    </row>
    <row r="409" spans="2:116" ht="13">
      <c r="B409" s="294"/>
      <c r="C409" s="294"/>
      <c r="D409" s="294"/>
      <c r="E409" s="294"/>
      <c r="F409" s="171"/>
      <c r="G409" s="294"/>
      <c r="H409" s="294"/>
      <c r="I409" s="294"/>
      <c r="J409" s="294"/>
      <c r="K409" s="294"/>
      <c r="L409" s="294"/>
      <c r="T409" s="295"/>
      <c r="AA409" s="295"/>
      <c r="AH409" s="295"/>
      <c r="AI409" s="188"/>
      <c r="AJ409" s="188"/>
      <c r="AK409" s="188"/>
      <c r="AL409" s="188"/>
      <c r="AM409" s="188"/>
      <c r="AN409" s="188"/>
      <c r="AO409" s="299"/>
      <c r="AQ409" s="296"/>
      <c r="AR409" s="296"/>
      <c r="AS409" s="296"/>
      <c r="AU409" s="296"/>
      <c r="AV409" s="296"/>
      <c r="AW409" s="296"/>
      <c r="CV409" s="374">
        <v>72</v>
      </c>
      <c r="CW409" s="359"/>
      <c r="CX409" s="361"/>
      <c r="CY409" s="361"/>
      <c r="CZ409" s="361"/>
      <c r="DA409" s="361"/>
      <c r="DB409" s="361"/>
      <c r="DC409" s="361"/>
      <c r="DD409" s="361"/>
      <c r="DE409" s="361"/>
      <c r="DF409" s="361"/>
      <c r="DG409" s="361"/>
      <c r="DH409" s="361"/>
      <c r="DI409" s="361"/>
      <c r="DJ409" s="361"/>
      <c r="DK409" s="361"/>
      <c r="DL409" s="378"/>
    </row>
    <row r="410" spans="2:116" ht="13">
      <c r="B410" s="294"/>
      <c r="C410" s="294"/>
      <c r="D410" s="294"/>
      <c r="E410" s="294"/>
      <c r="F410" s="171"/>
      <c r="G410" s="294"/>
      <c r="H410" s="294"/>
      <c r="I410" s="294"/>
      <c r="J410" s="294"/>
      <c r="K410" s="294"/>
      <c r="L410" s="294"/>
      <c r="T410" s="295"/>
      <c r="AA410" s="295"/>
      <c r="AH410" s="295"/>
      <c r="AI410" s="188"/>
      <c r="AJ410" s="188"/>
      <c r="AK410" s="188"/>
      <c r="AL410" s="188"/>
      <c r="AM410" s="188"/>
      <c r="AN410" s="188"/>
      <c r="AO410" s="299"/>
      <c r="AQ410" s="296"/>
      <c r="AR410" s="296"/>
      <c r="AS410" s="296"/>
      <c r="AU410" s="296"/>
      <c r="AV410" s="296"/>
      <c r="AW410" s="296"/>
      <c r="CV410" s="374">
        <v>73</v>
      </c>
      <c r="CW410" s="359"/>
      <c r="CX410" s="361"/>
      <c r="CY410" s="361"/>
      <c r="CZ410" s="361"/>
      <c r="DA410" s="361"/>
      <c r="DB410" s="361"/>
      <c r="DC410" s="361"/>
      <c r="DD410" s="361"/>
      <c r="DE410" s="361"/>
      <c r="DF410" s="361"/>
      <c r="DG410" s="361"/>
      <c r="DH410" s="361"/>
      <c r="DI410" s="361"/>
      <c r="DJ410" s="361"/>
      <c r="DK410" s="361"/>
      <c r="DL410" s="378"/>
    </row>
    <row r="411" spans="2:116" ht="13">
      <c r="B411" s="294"/>
      <c r="C411" s="294"/>
      <c r="D411" s="294"/>
      <c r="E411" s="294"/>
      <c r="F411" s="171"/>
      <c r="G411" s="294"/>
      <c r="H411" s="294"/>
      <c r="I411" s="294"/>
      <c r="J411" s="294"/>
      <c r="K411" s="294"/>
      <c r="L411" s="294"/>
      <c r="T411" s="295"/>
      <c r="AA411" s="295"/>
      <c r="AH411" s="295"/>
      <c r="AI411" s="188"/>
      <c r="AJ411" s="188"/>
      <c r="AK411" s="188"/>
      <c r="AL411" s="188"/>
      <c r="AM411" s="188"/>
      <c r="AN411" s="188"/>
      <c r="AO411" s="299"/>
      <c r="AQ411" s="296"/>
      <c r="AR411" s="296"/>
      <c r="AS411" s="296"/>
      <c r="AU411" s="296"/>
      <c r="AV411" s="296"/>
      <c r="AW411" s="296"/>
      <c r="CV411" s="374">
        <v>74</v>
      </c>
      <c r="CW411" s="359"/>
      <c r="CX411" s="361"/>
      <c r="CY411" s="361"/>
      <c r="CZ411" s="361"/>
      <c r="DA411" s="365"/>
      <c r="DB411" s="365"/>
      <c r="DC411" s="365"/>
      <c r="DD411" s="365"/>
      <c r="DE411" s="365"/>
      <c r="DF411" s="365"/>
      <c r="DG411" s="365"/>
      <c r="DH411" s="365"/>
      <c r="DI411" s="365"/>
      <c r="DJ411" s="365"/>
      <c r="DK411" s="365"/>
      <c r="DL411" s="379"/>
    </row>
    <row r="412" spans="2:116" ht="13">
      <c r="B412" s="294"/>
      <c r="C412" s="294"/>
      <c r="D412" s="294"/>
      <c r="E412" s="294"/>
      <c r="F412" s="171"/>
      <c r="G412" s="294"/>
      <c r="H412" s="294"/>
      <c r="I412" s="294"/>
      <c r="J412" s="294"/>
      <c r="K412" s="294"/>
      <c r="L412" s="294"/>
      <c r="T412" s="295"/>
      <c r="AA412" s="295"/>
      <c r="AH412" s="295"/>
      <c r="AI412" s="188"/>
      <c r="AJ412" s="188"/>
      <c r="AK412" s="188"/>
      <c r="AL412" s="188"/>
      <c r="AM412" s="188"/>
      <c r="AN412" s="188"/>
      <c r="AO412" s="299"/>
      <c r="AQ412" s="296"/>
      <c r="AR412" s="296"/>
      <c r="AS412" s="296"/>
      <c r="AU412" s="296"/>
      <c r="AV412" s="296"/>
      <c r="AW412" s="296"/>
      <c r="CV412" s="374">
        <v>75</v>
      </c>
      <c r="CW412" s="359"/>
      <c r="CX412" s="361"/>
      <c r="CY412" s="361"/>
      <c r="CZ412" s="361"/>
      <c r="DA412" s="361"/>
      <c r="DB412" s="361"/>
      <c r="DC412" s="361"/>
      <c r="DD412" s="361"/>
      <c r="DE412" s="361"/>
      <c r="DF412" s="361"/>
      <c r="DG412" s="361"/>
      <c r="DH412" s="361"/>
      <c r="DI412" s="361"/>
      <c r="DJ412" s="361"/>
      <c r="DK412" s="361"/>
      <c r="DL412" s="378"/>
    </row>
    <row r="413" spans="2:116" ht="13">
      <c r="B413" s="294"/>
      <c r="C413" s="294"/>
      <c r="D413" s="294"/>
      <c r="E413" s="294"/>
      <c r="F413" s="171"/>
      <c r="G413" s="294"/>
      <c r="H413" s="294"/>
      <c r="I413" s="294"/>
      <c r="J413" s="294"/>
      <c r="K413" s="294"/>
      <c r="L413" s="294"/>
      <c r="T413" s="295"/>
      <c r="AA413" s="295"/>
      <c r="AH413" s="295"/>
      <c r="AI413" s="188"/>
      <c r="AJ413" s="188"/>
      <c r="AK413" s="188"/>
      <c r="AL413" s="188"/>
      <c r="AM413" s="188"/>
      <c r="AN413" s="188"/>
      <c r="AO413" s="299"/>
      <c r="AQ413" s="296"/>
      <c r="AR413" s="296"/>
      <c r="AS413" s="296"/>
      <c r="AU413" s="296"/>
      <c r="AV413" s="296"/>
      <c r="AW413" s="296"/>
      <c r="CV413" s="374">
        <v>76</v>
      </c>
      <c r="CW413" s="359"/>
      <c r="CX413" s="361"/>
      <c r="CY413" s="361"/>
      <c r="CZ413" s="361"/>
      <c r="DA413" s="361"/>
      <c r="DB413" s="361"/>
      <c r="DC413" s="361"/>
      <c r="DD413" s="361"/>
      <c r="DE413" s="361"/>
      <c r="DF413" s="361"/>
      <c r="DG413" s="361"/>
      <c r="DH413" s="361"/>
      <c r="DI413" s="361"/>
      <c r="DJ413" s="361"/>
      <c r="DK413" s="361"/>
      <c r="DL413" s="378"/>
    </row>
    <row r="414" spans="2:116" ht="13">
      <c r="B414" s="294"/>
      <c r="C414" s="294"/>
      <c r="D414" s="294"/>
      <c r="E414" s="294"/>
      <c r="F414" s="171"/>
      <c r="G414" s="294"/>
      <c r="H414" s="294"/>
      <c r="I414" s="294"/>
      <c r="J414" s="294"/>
      <c r="K414" s="294"/>
      <c r="L414" s="294"/>
      <c r="T414" s="295"/>
      <c r="AA414" s="295"/>
      <c r="AH414" s="295"/>
      <c r="AI414" s="188"/>
      <c r="AJ414" s="188"/>
      <c r="AK414" s="188"/>
      <c r="AL414" s="188"/>
      <c r="AM414" s="188"/>
      <c r="AN414" s="188"/>
      <c r="AO414" s="299"/>
      <c r="AQ414" s="296"/>
      <c r="AR414" s="296"/>
      <c r="AS414" s="296"/>
      <c r="AU414" s="296"/>
      <c r="AV414" s="296"/>
      <c r="AW414" s="296"/>
      <c r="CV414" s="374">
        <v>77</v>
      </c>
      <c r="CW414" s="359"/>
      <c r="CX414" s="361"/>
      <c r="CY414" s="361"/>
      <c r="CZ414" s="361"/>
      <c r="DA414" s="361"/>
      <c r="DB414" s="361"/>
      <c r="DC414" s="361"/>
      <c r="DD414" s="361"/>
      <c r="DE414" s="361"/>
      <c r="DF414" s="361"/>
      <c r="DG414" s="361"/>
      <c r="DH414" s="361"/>
      <c r="DI414" s="361"/>
      <c r="DJ414" s="361"/>
      <c r="DK414" s="361"/>
      <c r="DL414" s="378"/>
    </row>
    <row r="415" spans="2:116" ht="13">
      <c r="B415" s="294"/>
      <c r="C415" s="294"/>
      <c r="D415" s="294"/>
      <c r="E415" s="294"/>
      <c r="F415" s="171"/>
      <c r="G415" s="294"/>
      <c r="H415" s="294"/>
      <c r="I415" s="294"/>
      <c r="J415" s="294"/>
      <c r="K415" s="294"/>
      <c r="L415" s="294"/>
      <c r="T415" s="295"/>
      <c r="AA415" s="295"/>
      <c r="AH415" s="295"/>
      <c r="AI415" s="188"/>
      <c r="AJ415" s="188"/>
      <c r="AK415" s="188"/>
      <c r="AL415" s="188"/>
      <c r="AM415" s="188"/>
      <c r="AN415" s="188"/>
      <c r="AO415" s="299"/>
      <c r="AQ415" s="296"/>
      <c r="AR415" s="296"/>
      <c r="AS415" s="296"/>
      <c r="AU415" s="296"/>
      <c r="AV415" s="296"/>
      <c r="AW415" s="296"/>
      <c r="CV415" s="374">
        <v>78</v>
      </c>
      <c r="CW415" s="359"/>
      <c r="CX415" s="361"/>
      <c r="CY415" s="361"/>
      <c r="CZ415" s="361"/>
      <c r="DA415" s="361"/>
      <c r="DB415" s="361"/>
      <c r="DC415" s="361"/>
      <c r="DD415" s="361"/>
      <c r="DE415" s="361"/>
      <c r="DF415" s="361"/>
      <c r="DG415" s="361"/>
      <c r="DH415" s="361"/>
      <c r="DI415" s="361"/>
      <c r="DJ415" s="361"/>
      <c r="DK415" s="361"/>
      <c r="DL415" s="378"/>
    </row>
    <row r="416" spans="2:116" ht="13">
      <c r="B416" s="294"/>
      <c r="C416" s="294"/>
      <c r="D416" s="294"/>
      <c r="E416" s="294"/>
      <c r="F416" s="171"/>
      <c r="G416" s="294"/>
      <c r="H416" s="294"/>
      <c r="I416" s="294"/>
      <c r="J416" s="294"/>
      <c r="K416" s="294"/>
      <c r="L416" s="294"/>
      <c r="T416" s="295"/>
      <c r="AA416" s="295"/>
      <c r="AH416" s="295"/>
      <c r="AI416" s="188"/>
      <c r="AJ416" s="188"/>
      <c r="AK416" s="188"/>
      <c r="AL416" s="188"/>
      <c r="AM416" s="188"/>
      <c r="AN416" s="188"/>
      <c r="AO416" s="299"/>
      <c r="AQ416" s="296"/>
      <c r="AR416" s="296"/>
      <c r="AS416" s="296"/>
      <c r="AU416" s="296"/>
      <c r="AV416" s="296"/>
      <c r="AW416" s="296"/>
      <c r="CV416" s="374">
        <v>79</v>
      </c>
      <c r="CW416" s="359"/>
      <c r="CX416" s="361"/>
      <c r="CY416" s="361"/>
      <c r="CZ416" s="365"/>
      <c r="DA416" s="365"/>
      <c r="DB416" s="365"/>
      <c r="DC416" s="365"/>
      <c r="DD416" s="365"/>
      <c r="DE416" s="365"/>
      <c r="DF416" s="365"/>
      <c r="DG416" s="365"/>
      <c r="DH416" s="365"/>
      <c r="DI416" s="365"/>
      <c r="DJ416" s="365"/>
      <c r="DK416" s="365"/>
      <c r="DL416" s="379"/>
    </row>
    <row r="417" spans="2:116" ht="13">
      <c r="B417" s="294"/>
      <c r="C417" s="294"/>
      <c r="D417" s="294"/>
      <c r="E417" s="294"/>
      <c r="F417" s="171"/>
      <c r="G417" s="294"/>
      <c r="H417" s="294"/>
      <c r="I417" s="294"/>
      <c r="J417" s="294"/>
      <c r="K417" s="294"/>
      <c r="L417" s="294"/>
      <c r="T417" s="295"/>
      <c r="AA417" s="295"/>
      <c r="AH417" s="295"/>
      <c r="AI417" s="188"/>
      <c r="AJ417" s="188"/>
      <c r="AK417" s="188"/>
      <c r="AL417" s="188"/>
      <c r="AM417" s="188"/>
      <c r="AN417" s="188"/>
      <c r="AO417" s="299"/>
      <c r="AQ417" s="296"/>
      <c r="AR417" s="296"/>
      <c r="AS417" s="296"/>
      <c r="AU417" s="296"/>
      <c r="AV417" s="296"/>
      <c r="AW417" s="296"/>
      <c r="CV417" s="374">
        <v>80</v>
      </c>
      <c r="CW417" s="359"/>
      <c r="CX417" s="361"/>
      <c r="CY417" s="361"/>
      <c r="CZ417" s="361"/>
      <c r="DA417" s="361"/>
      <c r="DB417" s="361"/>
      <c r="DC417" s="361"/>
      <c r="DD417" s="361"/>
      <c r="DE417" s="361"/>
      <c r="DF417" s="361"/>
      <c r="DG417" s="361"/>
      <c r="DH417" s="361"/>
      <c r="DI417" s="361"/>
      <c r="DJ417" s="361"/>
      <c r="DK417" s="361"/>
      <c r="DL417" s="378"/>
    </row>
    <row r="418" spans="2:116" ht="13">
      <c r="B418" s="294"/>
      <c r="C418" s="294"/>
      <c r="D418" s="294"/>
      <c r="E418" s="294"/>
      <c r="F418" s="171"/>
      <c r="G418" s="294"/>
      <c r="H418" s="294"/>
      <c r="I418" s="294"/>
      <c r="J418" s="294"/>
      <c r="K418" s="294"/>
      <c r="L418" s="294"/>
      <c r="T418" s="295"/>
      <c r="AA418" s="295"/>
      <c r="AH418" s="295"/>
      <c r="AI418" s="188"/>
      <c r="AJ418" s="188"/>
      <c r="AK418" s="188"/>
      <c r="AL418" s="188"/>
      <c r="AM418" s="188"/>
      <c r="AN418" s="188"/>
      <c r="AO418" s="299"/>
      <c r="AQ418" s="296"/>
      <c r="AR418" s="296"/>
      <c r="AS418" s="296"/>
      <c r="AU418" s="296"/>
      <c r="AV418" s="296"/>
      <c r="AW418" s="296"/>
      <c r="CV418" s="374">
        <v>81</v>
      </c>
      <c r="CW418" s="359"/>
      <c r="CX418" s="361"/>
      <c r="CY418" s="361"/>
      <c r="CZ418" s="361"/>
      <c r="DA418" s="361"/>
      <c r="DB418" s="361"/>
      <c r="DC418" s="361"/>
      <c r="DD418" s="361"/>
      <c r="DE418" s="361"/>
      <c r="DF418" s="361"/>
      <c r="DG418" s="361"/>
      <c r="DH418" s="361"/>
      <c r="DI418" s="361"/>
      <c r="DJ418" s="361"/>
      <c r="DK418" s="361"/>
      <c r="DL418" s="378"/>
    </row>
    <row r="419" spans="2:116" ht="13">
      <c r="B419" s="294"/>
      <c r="C419" s="294"/>
      <c r="D419" s="294"/>
      <c r="E419" s="294"/>
      <c r="F419" s="171"/>
      <c r="G419" s="294"/>
      <c r="H419" s="294"/>
      <c r="I419" s="294"/>
      <c r="J419" s="294"/>
      <c r="K419" s="294"/>
      <c r="L419" s="294"/>
      <c r="T419" s="295"/>
      <c r="AA419" s="295"/>
      <c r="AH419" s="295"/>
      <c r="AI419" s="188"/>
      <c r="AJ419" s="188"/>
      <c r="AK419" s="188"/>
      <c r="AL419" s="188"/>
      <c r="AM419" s="188"/>
      <c r="AN419" s="188"/>
      <c r="AO419" s="299"/>
      <c r="AQ419" s="296"/>
      <c r="AR419" s="296"/>
      <c r="AS419" s="296"/>
      <c r="AU419" s="296"/>
      <c r="AV419" s="296"/>
      <c r="AW419" s="296"/>
      <c r="CV419" s="374">
        <v>82</v>
      </c>
      <c r="CW419" s="359"/>
      <c r="CX419" s="361"/>
      <c r="CY419" s="361"/>
      <c r="CZ419" s="365"/>
      <c r="DA419" s="365"/>
      <c r="DB419" s="365"/>
      <c r="DC419" s="365"/>
      <c r="DD419" s="365"/>
      <c r="DE419" s="365"/>
      <c r="DF419" s="365"/>
      <c r="DG419" s="365"/>
      <c r="DH419" s="365"/>
      <c r="DI419" s="365"/>
      <c r="DJ419" s="365"/>
      <c r="DK419" s="365"/>
      <c r="DL419" s="379"/>
    </row>
    <row r="420" spans="2:116" ht="13">
      <c r="B420" s="294"/>
      <c r="C420" s="294"/>
      <c r="D420" s="294"/>
      <c r="E420" s="294"/>
      <c r="F420" s="171"/>
      <c r="G420" s="294"/>
      <c r="H420" s="294"/>
      <c r="I420" s="294"/>
      <c r="J420" s="294"/>
      <c r="K420" s="294"/>
      <c r="L420" s="294"/>
      <c r="T420" s="295"/>
      <c r="AA420" s="295"/>
      <c r="AH420" s="295"/>
      <c r="AI420" s="188"/>
      <c r="AJ420" s="188"/>
      <c r="AK420" s="188"/>
      <c r="AL420" s="188"/>
      <c r="AM420" s="188"/>
      <c r="AN420" s="188"/>
      <c r="AO420" s="299"/>
      <c r="AQ420" s="296"/>
      <c r="AR420" s="296"/>
      <c r="AS420" s="296"/>
      <c r="AU420" s="296"/>
      <c r="AV420" s="296"/>
      <c r="AW420" s="296"/>
      <c r="CV420" s="374">
        <v>83</v>
      </c>
      <c r="CW420" s="359"/>
      <c r="CX420" s="361"/>
      <c r="CY420" s="361"/>
      <c r="CZ420" s="361"/>
      <c r="DA420" s="361"/>
      <c r="DB420" s="361"/>
      <c r="DC420" s="361"/>
      <c r="DD420" s="361"/>
      <c r="DE420" s="361"/>
      <c r="DF420" s="361"/>
      <c r="DG420" s="361"/>
      <c r="DH420" s="361"/>
      <c r="DI420" s="361"/>
      <c r="DJ420" s="361"/>
      <c r="DK420" s="361"/>
      <c r="DL420" s="378"/>
    </row>
    <row r="421" spans="2:116" ht="13">
      <c r="B421" s="294"/>
      <c r="C421" s="294"/>
      <c r="D421" s="294"/>
      <c r="E421" s="294"/>
      <c r="F421" s="171"/>
      <c r="G421" s="294"/>
      <c r="H421" s="294"/>
      <c r="I421" s="294"/>
      <c r="J421" s="294"/>
      <c r="K421" s="294"/>
      <c r="L421" s="294"/>
      <c r="T421" s="295"/>
      <c r="AA421" s="295"/>
      <c r="AH421" s="295"/>
      <c r="AI421" s="188"/>
      <c r="AJ421" s="188"/>
      <c r="AK421" s="188"/>
      <c r="AL421" s="188"/>
      <c r="AM421" s="188"/>
      <c r="AN421" s="188"/>
      <c r="AO421" s="299"/>
      <c r="AQ421" s="296"/>
      <c r="AR421" s="296"/>
      <c r="AS421" s="296"/>
      <c r="AU421" s="296"/>
      <c r="AV421" s="296"/>
      <c r="AW421" s="296"/>
      <c r="CV421" s="374">
        <v>84</v>
      </c>
      <c r="CW421" s="359"/>
      <c r="CX421" s="361"/>
      <c r="CY421" s="361"/>
      <c r="CZ421" s="361"/>
      <c r="DA421" s="365"/>
      <c r="DB421" s="365"/>
      <c r="DC421" s="365"/>
      <c r="DD421" s="365"/>
      <c r="DE421" s="365"/>
      <c r="DF421" s="365"/>
      <c r="DG421" s="365"/>
      <c r="DH421" s="365"/>
      <c r="DI421" s="365"/>
      <c r="DJ421" s="365"/>
      <c r="DK421" s="365"/>
      <c r="DL421" s="379"/>
    </row>
    <row r="422" spans="2:116" ht="13">
      <c r="B422" s="294"/>
      <c r="C422" s="294"/>
      <c r="D422" s="294"/>
      <c r="E422" s="294"/>
      <c r="F422" s="171"/>
      <c r="G422" s="294"/>
      <c r="H422" s="294"/>
      <c r="I422" s="294"/>
      <c r="J422" s="294"/>
      <c r="K422" s="294"/>
      <c r="L422" s="294"/>
      <c r="T422" s="295"/>
      <c r="AA422" s="295"/>
      <c r="AH422" s="295"/>
      <c r="AI422" s="188"/>
      <c r="AJ422" s="188"/>
      <c r="AK422" s="188"/>
      <c r="AL422" s="188"/>
      <c r="AM422" s="188"/>
      <c r="AN422" s="188"/>
      <c r="AO422" s="299"/>
      <c r="AQ422" s="296"/>
      <c r="AR422" s="296"/>
      <c r="AS422" s="296"/>
      <c r="AU422" s="296"/>
      <c r="AV422" s="296"/>
      <c r="AW422" s="296"/>
      <c r="CV422" s="374">
        <v>85</v>
      </c>
      <c r="CW422" s="359"/>
      <c r="CX422" s="361"/>
      <c r="CY422" s="361"/>
      <c r="CZ422" s="365"/>
      <c r="DA422" s="365"/>
      <c r="DB422" s="365"/>
      <c r="DC422" s="365"/>
      <c r="DD422" s="365"/>
      <c r="DE422" s="365"/>
      <c r="DF422" s="365"/>
      <c r="DG422" s="365"/>
      <c r="DH422" s="365"/>
      <c r="DI422" s="365"/>
      <c r="DJ422" s="365"/>
      <c r="DK422" s="365"/>
      <c r="DL422" s="379"/>
    </row>
    <row r="423" spans="2:116" ht="13">
      <c r="B423" s="294"/>
      <c r="C423" s="294"/>
      <c r="D423" s="294"/>
      <c r="E423" s="294"/>
      <c r="F423" s="171"/>
      <c r="G423" s="294"/>
      <c r="H423" s="294"/>
      <c r="I423" s="294"/>
      <c r="J423" s="294"/>
      <c r="K423" s="294"/>
      <c r="L423" s="294"/>
      <c r="T423" s="295"/>
      <c r="AA423" s="295"/>
      <c r="AH423" s="295"/>
      <c r="AI423" s="188"/>
      <c r="AJ423" s="188"/>
      <c r="AK423" s="188"/>
      <c r="AL423" s="188"/>
      <c r="AM423" s="188"/>
      <c r="AN423" s="188"/>
      <c r="AO423" s="299"/>
      <c r="AQ423" s="296"/>
      <c r="AR423" s="296"/>
      <c r="AS423" s="296"/>
      <c r="AU423" s="296"/>
      <c r="AV423" s="296"/>
      <c r="AW423" s="296"/>
      <c r="CV423" s="374">
        <v>86</v>
      </c>
      <c r="CW423" s="359"/>
      <c r="CX423" s="361"/>
      <c r="CY423" s="361"/>
      <c r="CZ423" s="365"/>
      <c r="DA423" s="365"/>
      <c r="DB423" s="365"/>
      <c r="DC423" s="365"/>
      <c r="DD423" s="365"/>
      <c r="DE423" s="365"/>
      <c r="DF423" s="365"/>
      <c r="DG423" s="365"/>
      <c r="DH423" s="365"/>
      <c r="DI423" s="365"/>
      <c r="DJ423" s="365"/>
      <c r="DK423" s="365"/>
      <c r="DL423" s="379"/>
    </row>
    <row r="424" spans="2:116" ht="13">
      <c r="B424" s="294"/>
      <c r="C424" s="294"/>
      <c r="D424" s="294"/>
      <c r="E424" s="294"/>
      <c r="F424" s="171"/>
      <c r="G424" s="294"/>
      <c r="H424" s="294"/>
      <c r="I424" s="294"/>
      <c r="J424" s="294"/>
      <c r="K424" s="294"/>
      <c r="L424" s="294"/>
      <c r="T424" s="295"/>
      <c r="AA424" s="295"/>
      <c r="AH424" s="295"/>
      <c r="AI424" s="188"/>
      <c r="AJ424" s="188"/>
      <c r="AK424" s="188"/>
      <c r="AL424" s="188"/>
      <c r="AM424" s="188"/>
      <c r="AN424" s="188"/>
      <c r="AO424" s="299"/>
      <c r="AQ424" s="296"/>
      <c r="AR424" s="296"/>
      <c r="AS424" s="296"/>
      <c r="AU424" s="296"/>
      <c r="AV424" s="296"/>
      <c r="AW424" s="296"/>
      <c r="CV424" s="374">
        <v>87</v>
      </c>
      <c r="CW424" s="359"/>
      <c r="CX424" s="361"/>
      <c r="CY424" s="361"/>
      <c r="CZ424" s="365"/>
      <c r="DA424" s="365"/>
      <c r="DB424" s="365"/>
      <c r="DC424" s="365"/>
      <c r="DD424" s="365"/>
      <c r="DE424" s="365"/>
      <c r="DF424" s="365"/>
      <c r="DG424" s="365"/>
      <c r="DH424" s="365"/>
      <c r="DI424" s="365"/>
      <c r="DJ424" s="365"/>
      <c r="DK424" s="365"/>
      <c r="DL424" s="379"/>
    </row>
    <row r="425" spans="2:116" ht="13">
      <c r="B425" s="294"/>
      <c r="C425" s="294"/>
      <c r="D425" s="294"/>
      <c r="E425" s="294"/>
      <c r="F425" s="171"/>
      <c r="G425" s="294"/>
      <c r="H425" s="294"/>
      <c r="I425" s="294"/>
      <c r="J425" s="294"/>
      <c r="K425" s="294"/>
      <c r="L425" s="294"/>
      <c r="T425" s="295"/>
      <c r="AA425" s="295"/>
      <c r="AH425" s="295"/>
      <c r="AI425" s="188"/>
      <c r="AJ425" s="188"/>
      <c r="AK425" s="188"/>
      <c r="AL425" s="188"/>
      <c r="AM425" s="188"/>
      <c r="AN425" s="188"/>
      <c r="AO425" s="299"/>
      <c r="AQ425" s="296"/>
      <c r="AR425" s="296"/>
      <c r="AS425" s="296"/>
      <c r="AU425" s="296"/>
      <c r="AV425" s="296"/>
      <c r="AW425" s="296"/>
      <c r="CV425" s="374">
        <v>88</v>
      </c>
      <c r="CW425" s="359"/>
      <c r="CX425" s="361"/>
      <c r="CY425" s="365"/>
      <c r="CZ425" s="361"/>
      <c r="DA425" s="361"/>
      <c r="DB425" s="361"/>
      <c r="DC425" s="361"/>
      <c r="DD425" s="361"/>
      <c r="DE425" s="361"/>
      <c r="DF425" s="361"/>
      <c r="DG425" s="361"/>
      <c r="DH425" s="361"/>
      <c r="DI425" s="361"/>
      <c r="DJ425" s="361"/>
      <c r="DK425" s="361"/>
      <c r="DL425" s="378"/>
    </row>
    <row r="426" spans="2:116" ht="13">
      <c r="B426" s="294"/>
      <c r="C426" s="294"/>
      <c r="D426" s="294"/>
      <c r="E426" s="294"/>
      <c r="F426" s="171"/>
      <c r="G426" s="294"/>
      <c r="H426" s="294"/>
      <c r="I426" s="294"/>
      <c r="J426" s="294"/>
      <c r="K426" s="294"/>
      <c r="L426" s="294"/>
      <c r="T426" s="295"/>
      <c r="AA426" s="295"/>
      <c r="AH426" s="295"/>
      <c r="AI426" s="188"/>
      <c r="AJ426" s="188"/>
      <c r="AK426" s="188"/>
      <c r="AL426" s="188"/>
      <c r="AM426" s="188"/>
      <c r="AN426" s="188"/>
      <c r="AO426" s="299"/>
      <c r="AQ426" s="296"/>
      <c r="AR426" s="296"/>
      <c r="AS426" s="296"/>
      <c r="AU426" s="296"/>
      <c r="AV426" s="296"/>
      <c r="AW426" s="296"/>
      <c r="CV426" s="374">
        <v>89</v>
      </c>
      <c r="DL426" s="380"/>
    </row>
    <row r="427" spans="2:116" ht="13">
      <c r="B427" s="294"/>
      <c r="C427" s="294"/>
      <c r="D427" s="294"/>
      <c r="E427" s="294"/>
      <c r="F427" s="171"/>
      <c r="G427" s="294"/>
      <c r="H427" s="294"/>
      <c r="I427" s="294"/>
      <c r="J427" s="294"/>
      <c r="K427" s="294"/>
      <c r="L427" s="294"/>
      <c r="T427" s="295"/>
      <c r="AA427" s="295"/>
      <c r="AH427" s="295"/>
      <c r="AI427" s="188"/>
      <c r="AJ427" s="188"/>
      <c r="AK427" s="188"/>
      <c r="AL427" s="188"/>
      <c r="AM427" s="188"/>
      <c r="AN427" s="188"/>
      <c r="AO427" s="299"/>
      <c r="AQ427" s="296"/>
      <c r="AR427" s="296"/>
      <c r="AS427" s="296"/>
      <c r="AU427" s="296"/>
      <c r="AV427" s="296"/>
      <c r="AW427" s="296"/>
      <c r="CV427" s="374">
        <v>90</v>
      </c>
      <c r="DL427" s="380"/>
    </row>
    <row r="428" spans="2:116" ht="13">
      <c r="B428" s="294"/>
      <c r="C428" s="294"/>
      <c r="D428" s="294"/>
      <c r="E428" s="294"/>
      <c r="F428" s="171"/>
      <c r="G428" s="294"/>
      <c r="H428" s="294"/>
      <c r="I428" s="294"/>
      <c r="J428" s="294"/>
      <c r="K428" s="294"/>
      <c r="L428" s="294"/>
      <c r="T428" s="295"/>
      <c r="AA428" s="295"/>
      <c r="AH428" s="295"/>
      <c r="AI428" s="188"/>
      <c r="AJ428" s="188"/>
      <c r="AK428" s="188"/>
      <c r="AL428" s="188"/>
      <c r="AM428" s="188"/>
      <c r="AN428" s="188"/>
      <c r="AO428" s="299"/>
      <c r="AQ428" s="296"/>
      <c r="AR428" s="296"/>
      <c r="AS428" s="296"/>
      <c r="AU428" s="296"/>
      <c r="AV428" s="296"/>
      <c r="AW428" s="296"/>
      <c r="CV428" s="374">
        <v>91</v>
      </c>
      <c r="DL428" s="380"/>
    </row>
    <row r="429" spans="2:116" ht="13">
      <c r="B429" s="294"/>
      <c r="C429" s="294"/>
      <c r="D429" s="294"/>
      <c r="E429" s="294"/>
      <c r="F429" s="171"/>
      <c r="G429" s="294"/>
      <c r="H429" s="294"/>
      <c r="I429" s="294"/>
      <c r="J429" s="294"/>
      <c r="K429" s="294"/>
      <c r="L429" s="294"/>
      <c r="T429" s="295"/>
      <c r="AA429" s="295"/>
      <c r="AH429" s="295"/>
      <c r="AI429" s="188"/>
      <c r="AJ429" s="188"/>
      <c r="AK429" s="188"/>
      <c r="AL429" s="188"/>
      <c r="AM429" s="188"/>
      <c r="AN429" s="188"/>
      <c r="AO429" s="299"/>
      <c r="AQ429" s="296"/>
      <c r="AR429" s="296"/>
      <c r="AS429" s="296"/>
      <c r="AU429" s="296"/>
      <c r="AV429" s="296"/>
      <c r="AW429" s="296"/>
      <c r="CV429" s="374">
        <v>92</v>
      </c>
      <c r="DL429" s="380"/>
    </row>
    <row r="430" spans="2:116" ht="13">
      <c r="B430" s="294"/>
      <c r="C430" s="294"/>
      <c r="D430" s="294"/>
      <c r="E430" s="294"/>
      <c r="F430" s="171"/>
      <c r="G430" s="294"/>
      <c r="H430" s="294"/>
      <c r="I430" s="294"/>
      <c r="J430" s="294"/>
      <c r="K430" s="294"/>
      <c r="L430" s="294"/>
      <c r="T430" s="295"/>
      <c r="AA430" s="295"/>
      <c r="AH430" s="295"/>
      <c r="AI430" s="188"/>
      <c r="AJ430" s="188"/>
      <c r="AK430" s="188"/>
      <c r="AL430" s="188"/>
      <c r="AM430" s="188"/>
      <c r="AN430" s="188"/>
      <c r="AO430" s="299"/>
      <c r="AQ430" s="296"/>
      <c r="AR430" s="296"/>
      <c r="AS430" s="296"/>
      <c r="AU430" s="296"/>
      <c r="AV430" s="296"/>
      <c r="AW430" s="296"/>
      <c r="CV430" s="374">
        <v>93</v>
      </c>
      <c r="DL430" s="380"/>
    </row>
    <row r="431" spans="2:116" ht="13">
      <c r="B431" s="294"/>
      <c r="C431" s="294"/>
      <c r="D431" s="294"/>
      <c r="E431" s="294"/>
      <c r="F431" s="171"/>
      <c r="G431" s="294"/>
      <c r="H431" s="294"/>
      <c r="I431" s="294"/>
      <c r="J431" s="294"/>
      <c r="K431" s="294"/>
      <c r="L431" s="294"/>
      <c r="T431" s="295"/>
      <c r="AA431" s="295"/>
      <c r="AH431" s="295"/>
      <c r="AI431" s="188"/>
      <c r="AJ431" s="188"/>
      <c r="AK431" s="188"/>
      <c r="AL431" s="188"/>
      <c r="AM431" s="188"/>
      <c r="AN431" s="188"/>
      <c r="AO431" s="299"/>
      <c r="AQ431" s="296"/>
      <c r="AR431" s="296"/>
      <c r="AS431" s="296"/>
      <c r="AU431" s="296"/>
      <c r="AV431" s="296"/>
      <c r="AW431" s="296"/>
      <c r="CV431" s="374">
        <v>94</v>
      </c>
      <c r="DL431" s="380"/>
    </row>
    <row r="432" spans="2:116" ht="13">
      <c r="B432" s="294"/>
      <c r="C432" s="294"/>
      <c r="D432" s="294"/>
      <c r="E432" s="294"/>
      <c r="F432" s="171"/>
      <c r="G432" s="294"/>
      <c r="H432" s="294"/>
      <c r="I432" s="294"/>
      <c r="J432" s="294"/>
      <c r="K432" s="294"/>
      <c r="L432" s="294"/>
      <c r="T432" s="295"/>
      <c r="AA432" s="295"/>
      <c r="AH432" s="295"/>
      <c r="AI432" s="188"/>
      <c r="AJ432" s="188"/>
      <c r="AK432" s="188"/>
      <c r="AL432" s="188"/>
      <c r="AM432" s="188"/>
      <c r="AN432" s="188"/>
      <c r="AO432" s="299"/>
      <c r="AQ432" s="296"/>
      <c r="AR432" s="296"/>
      <c r="AS432" s="296"/>
      <c r="AU432" s="296"/>
      <c r="AV432" s="296"/>
      <c r="AW432" s="296"/>
      <c r="CV432" s="374">
        <v>95</v>
      </c>
      <c r="DL432" s="380"/>
    </row>
    <row r="433" spans="2:116" ht="13">
      <c r="B433" s="294"/>
      <c r="C433" s="294"/>
      <c r="D433" s="294"/>
      <c r="E433" s="294"/>
      <c r="F433" s="171"/>
      <c r="G433" s="294"/>
      <c r="H433" s="294"/>
      <c r="I433" s="294"/>
      <c r="J433" s="294"/>
      <c r="K433" s="294"/>
      <c r="L433" s="294"/>
      <c r="T433" s="295"/>
      <c r="AA433" s="295"/>
      <c r="AH433" s="295"/>
      <c r="AI433" s="188"/>
      <c r="AJ433" s="188"/>
      <c r="AK433" s="188"/>
      <c r="AL433" s="188"/>
      <c r="AM433" s="188"/>
      <c r="AN433" s="188"/>
      <c r="AO433" s="299"/>
      <c r="AQ433" s="296"/>
      <c r="AR433" s="296"/>
      <c r="AS433" s="296"/>
      <c r="AU433" s="296"/>
      <c r="AV433" s="296"/>
      <c r="AW433" s="296"/>
      <c r="CV433" s="374">
        <v>96</v>
      </c>
      <c r="DL433" s="380"/>
    </row>
    <row r="434" spans="2:116" ht="13">
      <c r="B434" s="294"/>
      <c r="C434" s="294"/>
      <c r="D434" s="294"/>
      <c r="E434" s="294"/>
      <c r="F434" s="171"/>
      <c r="G434" s="294"/>
      <c r="H434" s="294"/>
      <c r="I434" s="294"/>
      <c r="J434" s="294"/>
      <c r="K434" s="294"/>
      <c r="L434" s="294"/>
      <c r="T434" s="295"/>
      <c r="AA434" s="295"/>
      <c r="AH434" s="295"/>
      <c r="AI434" s="188"/>
      <c r="AJ434" s="188"/>
      <c r="AK434" s="188"/>
      <c r="AL434" s="188"/>
      <c r="AM434" s="188"/>
      <c r="AN434" s="188"/>
      <c r="AO434" s="299"/>
      <c r="AQ434" s="296"/>
      <c r="AR434" s="296"/>
      <c r="AS434" s="296"/>
      <c r="AU434" s="296"/>
      <c r="AV434" s="296"/>
      <c r="AW434" s="296"/>
      <c r="CV434" s="374">
        <v>97</v>
      </c>
      <c r="DL434" s="380"/>
    </row>
    <row r="435" spans="2:116" ht="13">
      <c r="B435" s="294"/>
      <c r="C435" s="294"/>
      <c r="D435" s="294"/>
      <c r="E435" s="294"/>
      <c r="F435" s="171"/>
      <c r="G435" s="294"/>
      <c r="H435" s="294"/>
      <c r="I435" s="294"/>
      <c r="J435" s="294"/>
      <c r="K435" s="294"/>
      <c r="L435" s="294"/>
      <c r="T435" s="295"/>
      <c r="AA435" s="295"/>
      <c r="AH435" s="295"/>
      <c r="AI435" s="188"/>
      <c r="AJ435" s="188"/>
      <c r="AK435" s="188"/>
      <c r="AL435" s="188"/>
      <c r="AM435" s="188"/>
      <c r="AN435" s="188"/>
      <c r="AO435" s="299"/>
      <c r="AQ435" s="296"/>
      <c r="AR435" s="296"/>
      <c r="AS435" s="296"/>
      <c r="AU435" s="296"/>
      <c r="AV435" s="296"/>
      <c r="AW435" s="296"/>
      <c r="CV435" s="374">
        <v>98</v>
      </c>
      <c r="DL435" s="380"/>
    </row>
    <row r="436" spans="2:116" ht="13">
      <c r="B436" s="294"/>
      <c r="C436" s="294"/>
      <c r="D436" s="294"/>
      <c r="E436" s="294"/>
      <c r="F436" s="171"/>
      <c r="G436" s="294"/>
      <c r="H436" s="294"/>
      <c r="I436" s="294"/>
      <c r="J436" s="294"/>
      <c r="K436" s="294"/>
      <c r="L436" s="294"/>
      <c r="T436" s="295"/>
      <c r="AA436" s="295"/>
      <c r="AH436" s="295"/>
      <c r="AI436" s="188"/>
      <c r="AJ436" s="188"/>
      <c r="AK436" s="188"/>
      <c r="AL436" s="188"/>
      <c r="AM436" s="188"/>
      <c r="AN436" s="188"/>
      <c r="AO436" s="299"/>
      <c r="AQ436" s="296"/>
      <c r="AR436" s="296"/>
      <c r="AS436" s="296"/>
      <c r="AU436" s="296"/>
      <c r="AV436" s="296"/>
      <c r="AW436" s="296"/>
      <c r="CV436" s="374">
        <v>99</v>
      </c>
      <c r="DL436" s="380"/>
    </row>
    <row r="437" spans="2:116" ht="13">
      <c r="B437" s="294"/>
      <c r="C437" s="294"/>
      <c r="D437" s="294"/>
      <c r="E437" s="294"/>
      <c r="F437" s="171"/>
      <c r="G437" s="294"/>
      <c r="H437" s="294"/>
      <c r="I437" s="294"/>
      <c r="J437" s="294"/>
      <c r="K437" s="294"/>
      <c r="L437" s="294"/>
      <c r="T437" s="295"/>
      <c r="AA437" s="295"/>
      <c r="AH437" s="295"/>
      <c r="AI437" s="188"/>
      <c r="AJ437" s="188"/>
      <c r="AK437" s="188"/>
      <c r="AL437" s="188"/>
      <c r="AM437" s="188"/>
      <c r="AN437" s="188"/>
      <c r="AO437" s="299"/>
      <c r="AQ437" s="296"/>
      <c r="AR437" s="296"/>
      <c r="AS437" s="296"/>
      <c r="AU437" s="296"/>
      <c r="AV437" s="296"/>
      <c r="AW437" s="296"/>
      <c r="CV437" s="374">
        <v>100</v>
      </c>
      <c r="DL437" s="380"/>
    </row>
    <row r="438" spans="2:116" ht="13">
      <c r="B438" s="294"/>
      <c r="C438" s="294"/>
      <c r="D438" s="294"/>
      <c r="E438" s="294"/>
      <c r="F438" s="171"/>
      <c r="G438" s="294"/>
      <c r="H438" s="294"/>
      <c r="I438" s="294"/>
      <c r="J438" s="294"/>
      <c r="K438" s="294"/>
      <c r="L438" s="294"/>
      <c r="T438" s="295"/>
      <c r="AA438" s="295"/>
      <c r="AH438" s="295"/>
      <c r="AI438" s="188"/>
      <c r="AJ438" s="188"/>
      <c r="AK438" s="188"/>
      <c r="AL438" s="188"/>
      <c r="AM438" s="188"/>
      <c r="AN438" s="188"/>
      <c r="AO438" s="299"/>
      <c r="AQ438" s="296"/>
      <c r="AR438" s="296"/>
      <c r="AS438" s="296"/>
      <c r="AU438" s="296"/>
      <c r="AV438" s="296"/>
      <c r="AW438" s="296"/>
      <c r="CV438" s="374">
        <v>101</v>
      </c>
      <c r="DL438" s="380"/>
    </row>
    <row r="439" spans="2:116" ht="13">
      <c r="B439" s="294"/>
      <c r="C439" s="294"/>
      <c r="D439" s="294"/>
      <c r="E439" s="294"/>
      <c r="F439" s="171"/>
      <c r="G439" s="294"/>
      <c r="H439" s="294"/>
      <c r="I439" s="294"/>
      <c r="J439" s="294"/>
      <c r="K439" s="294"/>
      <c r="L439" s="294"/>
      <c r="T439" s="295"/>
      <c r="AA439" s="295"/>
      <c r="AH439" s="295"/>
      <c r="AI439" s="188"/>
      <c r="AJ439" s="188"/>
      <c r="AK439" s="188"/>
      <c r="AL439" s="188"/>
      <c r="AM439" s="188"/>
      <c r="AN439" s="188"/>
      <c r="AO439" s="299"/>
      <c r="AQ439" s="296"/>
      <c r="AR439" s="296"/>
      <c r="AS439" s="296"/>
      <c r="AU439" s="296"/>
      <c r="AV439" s="296"/>
      <c r="AW439" s="296"/>
      <c r="CV439" s="374">
        <v>102</v>
      </c>
      <c r="DL439" s="380"/>
    </row>
    <row r="440" spans="2:116" ht="13">
      <c r="B440" s="294"/>
      <c r="C440" s="294"/>
      <c r="D440" s="294"/>
      <c r="E440" s="294"/>
      <c r="F440" s="171"/>
      <c r="G440" s="294"/>
      <c r="H440" s="294"/>
      <c r="I440" s="294"/>
      <c r="J440" s="294"/>
      <c r="K440" s="294"/>
      <c r="L440" s="294"/>
      <c r="T440" s="295"/>
      <c r="AA440" s="295"/>
      <c r="AH440" s="295"/>
      <c r="AI440" s="188"/>
      <c r="AJ440" s="188"/>
      <c r="AK440" s="188"/>
      <c r="AL440" s="188"/>
      <c r="AM440" s="188"/>
      <c r="AN440" s="188"/>
      <c r="AO440" s="299"/>
      <c r="AQ440" s="296"/>
      <c r="AR440" s="296"/>
      <c r="AS440" s="296"/>
      <c r="AU440" s="296"/>
      <c r="AV440" s="296"/>
      <c r="AW440" s="296"/>
      <c r="CV440" s="374">
        <v>103</v>
      </c>
      <c r="DL440" s="380"/>
    </row>
    <row r="441" spans="2:116" ht="13">
      <c r="B441" s="294"/>
      <c r="C441" s="294"/>
      <c r="D441" s="294"/>
      <c r="E441" s="294"/>
      <c r="F441" s="171"/>
      <c r="G441" s="294"/>
      <c r="H441" s="294"/>
      <c r="I441" s="294"/>
      <c r="J441" s="294"/>
      <c r="K441" s="294"/>
      <c r="L441" s="294"/>
      <c r="T441" s="295"/>
      <c r="AA441" s="295"/>
      <c r="AH441" s="295"/>
      <c r="AI441" s="188"/>
      <c r="AJ441" s="188"/>
      <c r="AK441" s="188"/>
      <c r="AL441" s="188"/>
      <c r="AM441" s="188"/>
      <c r="AN441" s="188"/>
      <c r="AO441" s="299"/>
      <c r="AQ441" s="296"/>
      <c r="AR441" s="296"/>
      <c r="AS441" s="296"/>
      <c r="AU441" s="296"/>
      <c r="AV441" s="296"/>
      <c r="AW441" s="296"/>
      <c r="CV441" s="374">
        <v>104</v>
      </c>
      <c r="DL441" s="380"/>
    </row>
    <row r="442" spans="2:116" ht="13">
      <c r="B442" s="294"/>
      <c r="C442" s="294"/>
      <c r="D442" s="294"/>
      <c r="E442" s="294"/>
      <c r="F442" s="171"/>
      <c r="G442" s="294"/>
      <c r="H442" s="294"/>
      <c r="I442" s="294"/>
      <c r="J442" s="294"/>
      <c r="K442" s="294"/>
      <c r="L442" s="294"/>
      <c r="T442" s="295"/>
      <c r="AA442" s="295"/>
      <c r="AH442" s="295"/>
      <c r="AI442" s="188"/>
      <c r="AJ442" s="188"/>
      <c r="AK442" s="188"/>
      <c r="AL442" s="188"/>
      <c r="AM442" s="188"/>
      <c r="AN442" s="188"/>
      <c r="AO442" s="299"/>
      <c r="AQ442" s="296"/>
      <c r="AR442" s="296"/>
      <c r="AS442" s="296"/>
      <c r="AU442" s="296"/>
      <c r="AV442" s="296"/>
      <c r="AW442" s="296"/>
      <c r="CV442" s="374">
        <v>105</v>
      </c>
      <c r="DL442" s="380"/>
    </row>
    <row r="443" spans="2:116" ht="13">
      <c r="B443" s="294"/>
      <c r="C443" s="294"/>
      <c r="D443" s="294"/>
      <c r="E443" s="294"/>
      <c r="F443" s="171"/>
      <c r="G443" s="294"/>
      <c r="H443" s="294"/>
      <c r="I443" s="294"/>
      <c r="J443" s="294"/>
      <c r="K443" s="294"/>
      <c r="L443" s="294"/>
      <c r="T443" s="295"/>
      <c r="AA443" s="295"/>
      <c r="AH443" s="295"/>
      <c r="AI443" s="188"/>
      <c r="AJ443" s="188"/>
      <c r="AK443" s="188"/>
      <c r="AL443" s="188"/>
      <c r="AM443" s="188"/>
      <c r="AN443" s="188"/>
      <c r="AO443" s="299"/>
      <c r="AQ443" s="296"/>
      <c r="AR443" s="296"/>
      <c r="AS443" s="296"/>
      <c r="AU443" s="296"/>
      <c r="AV443" s="296"/>
      <c r="AW443" s="296"/>
      <c r="CV443" s="374">
        <v>106</v>
      </c>
      <c r="DL443" s="380"/>
    </row>
    <row r="444" spans="2:116" ht="13">
      <c r="B444" s="294"/>
      <c r="C444" s="294"/>
      <c r="D444" s="294"/>
      <c r="E444" s="294"/>
      <c r="F444" s="171"/>
      <c r="G444" s="294"/>
      <c r="H444" s="294"/>
      <c r="I444" s="294"/>
      <c r="J444" s="294"/>
      <c r="K444" s="294"/>
      <c r="L444" s="294"/>
      <c r="T444" s="295"/>
      <c r="AA444" s="295"/>
      <c r="AH444" s="295"/>
      <c r="AI444" s="188"/>
      <c r="AJ444" s="188"/>
      <c r="AK444" s="188"/>
      <c r="AL444" s="188"/>
      <c r="AM444" s="188"/>
      <c r="AN444" s="188"/>
      <c r="AO444" s="299"/>
      <c r="AQ444" s="296"/>
      <c r="AR444" s="296"/>
      <c r="AS444" s="296"/>
      <c r="AU444" s="296"/>
      <c r="AV444" s="296"/>
      <c r="AW444" s="296"/>
      <c r="CV444" s="374">
        <v>107</v>
      </c>
      <c r="DL444" s="380"/>
    </row>
    <row r="445" spans="2:116" ht="13">
      <c r="B445" s="294"/>
      <c r="C445" s="294"/>
      <c r="D445" s="294"/>
      <c r="E445" s="294"/>
      <c r="F445" s="171"/>
      <c r="G445" s="294"/>
      <c r="H445" s="294"/>
      <c r="I445" s="294"/>
      <c r="J445" s="294"/>
      <c r="K445" s="294"/>
      <c r="L445" s="294"/>
      <c r="T445" s="295"/>
      <c r="AA445" s="295"/>
      <c r="AH445" s="295"/>
      <c r="AI445" s="188"/>
      <c r="AJ445" s="188"/>
      <c r="AK445" s="188"/>
      <c r="AL445" s="188"/>
      <c r="AM445" s="188"/>
      <c r="AN445" s="188"/>
      <c r="AO445" s="299"/>
      <c r="AQ445" s="296"/>
      <c r="AR445" s="296"/>
      <c r="AS445" s="296"/>
      <c r="AU445" s="296"/>
      <c r="AV445" s="296"/>
      <c r="AW445" s="296"/>
      <c r="CV445" s="374">
        <v>108</v>
      </c>
      <c r="DL445" s="380"/>
    </row>
    <row r="446" spans="2:116" ht="13">
      <c r="B446" s="294"/>
      <c r="C446" s="294"/>
      <c r="D446" s="294"/>
      <c r="E446" s="294"/>
      <c r="F446" s="171"/>
      <c r="G446" s="294"/>
      <c r="H446" s="294"/>
      <c r="I446" s="294"/>
      <c r="J446" s="294"/>
      <c r="K446" s="294"/>
      <c r="L446" s="294"/>
      <c r="T446" s="295"/>
      <c r="AA446" s="295"/>
      <c r="AH446" s="295"/>
      <c r="AI446" s="188"/>
      <c r="AJ446" s="188"/>
      <c r="AK446" s="188"/>
      <c r="AL446" s="188"/>
      <c r="AM446" s="188"/>
      <c r="AN446" s="188"/>
      <c r="AO446" s="299"/>
      <c r="AQ446" s="296"/>
      <c r="AR446" s="296"/>
      <c r="AS446" s="296"/>
      <c r="AU446" s="296"/>
      <c r="AV446" s="296"/>
      <c r="AW446" s="296"/>
      <c r="CV446" s="374">
        <v>109</v>
      </c>
      <c r="DL446" s="380"/>
    </row>
    <row r="447" spans="2:116" ht="13">
      <c r="B447" s="294"/>
      <c r="C447" s="294"/>
      <c r="D447" s="294"/>
      <c r="E447" s="294"/>
      <c r="F447" s="171"/>
      <c r="G447" s="294"/>
      <c r="H447" s="294"/>
      <c r="I447" s="294"/>
      <c r="J447" s="294"/>
      <c r="K447" s="294"/>
      <c r="L447" s="294"/>
      <c r="T447" s="295"/>
      <c r="AA447" s="295"/>
      <c r="AH447" s="295"/>
      <c r="AI447" s="188"/>
      <c r="AJ447" s="188"/>
      <c r="AK447" s="188"/>
      <c r="AL447" s="188"/>
      <c r="AM447" s="188"/>
      <c r="AN447" s="188"/>
      <c r="AO447" s="299"/>
      <c r="AQ447" s="296"/>
      <c r="AR447" s="296"/>
      <c r="AS447" s="296"/>
      <c r="AU447" s="296"/>
      <c r="AV447" s="296"/>
      <c r="AW447" s="296"/>
      <c r="CV447" s="374">
        <v>110</v>
      </c>
      <c r="DL447" s="380"/>
    </row>
    <row r="448" spans="2:116" ht="13">
      <c r="B448" s="294"/>
      <c r="C448" s="294"/>
      <c r="D448" s="294"/>
      <c r="E448" s="294"/>
      <c r="F448" s="171"/>
      <c r="G448" s="294"/>
      <c r="H448" s="294"/>
      <c r="I448" s="294"/>
      <c r="J448" s="294"/>
      <c r="K448" s="294"/>
      <c r="L448" s="294"/>
      <c r="T448" s="295"/>
      <c r="AA448" s="295"/>
      <c r="AH448" s="295"/>
      <c r="AI448" s="188"/>
      <c r="AJ448" s="188"/>
      <c r="AK448" s="188"/>
      <c r="AL448" s="188"/>
      <c r="AM448" s="188"/>
      <c r="AN448" s="188"/>
      <c r="AO448" s="299"/>
      <c r="AQ448" s="296"/>
      <c r="AR448" s="296"/>
      <c r="AS448" s="296"/>
      <c r="AU448" s="296"/>
      <c r="AV448" s="296"/>
      <c r="AW448" s="296"/>
      <c r="CV448" s="374">
        <v>111</v>
      </c>
      <c r="DL448" s="380"/>
    </row>
    <row r="449" spans="2:116" ht="13">
      <c r="B449" s="294"/>
      <c r="C449" s="294"/>
      <c r="D449" s="294"/>
      <c r="E449" s="294"/>
      <c r="F449" s="171"/>
      <c r="G449" s="294"/>
      <c r="H449" s="294"/>
      <c r="I449" s="294"/>
      <c r="J449" s="294"/>
      <c r="K449" s="294"/>
      <c r="L449" s="294"/>
      <c r="T449" s="295"/>
      <c r="AA449" s="295"/>
      <c r="AH449" s="295"/>
      <c r="AI449" s="188"/>
      <c r="AJ449" s="188"/>
      <c r="AK449" s="188"/>
      <c r="AL449" s="188"/>
      <c r="AM449" s="188"/>
      <c r="AN449" s="188"/>
      <c r="AO449" s="299"/>
      <c r="AQ449" s="296"/>
      <c r="AR449" s="296"/>
      <c r="AS449" s="296"/>
      <c r="AU449" s="296"/>
      <c r="AV449" s="296"/>
      <c r="AW449" s="296"/>
      <c r="CV449" s="374">
        <v>112</v>
      </c>
      <c r="DL449" s="380"/>
    </row>
    <row r="450" spans="2:116" ht="13">
      <c r="B450" s="294"/>
      <c r="C450" s="294"/>
      <c r="D450" s="294"/>
      <c r="E450" s="294"/>
      <c r="F450" s="171"/>
      <c r="G450" s="294"/>
      <c r="H450" s="294"/>
      <c r="I450" s="294"/>
      <c r="J450" s="294"/>
      <c r="K450" s="294"/>
      <c r="L450" s="294"/>
      <c r="T450" s="295"/>
      <c r="AA450" s="295"/>
      <c r="AH450" s="295"/>
      <c r="AI450" s="188"/>
      <c r="AJ450" s="188"/>
      <c r="AK450" s="188"/>
      <c r="AL450" s="188"/>
      <c r="AM450" s="188"/>
      <c r="AN450" s="188"/>
      <c r="AO450" s="299"/>
      <c r="AQ450" s="296"/>
      <c r="AR450" s="296"/>
      <c r="AS450" s="296"/>
      <c r="AU450" s="296"/>
      <c r="AV450" s="296"/>
      <c r="AW450" s="296"/>
      <c r="CV450" s="374">
        <v>113</v>
      </c>
      <c r="DL450" s="380"/>
    </row>
    <row r="451" spans="2:116" ht="13">
      <c r="B451" s="294"/>
      <c r="C451" s="294"/>
      <c r="D451" s="294"/>
      <c r="E451" s="294"/>
      <c r="F451" s="171"/>
      <c r="G451" s="294"/>
      <c r="H451" s="294"/>
      <c r="I451" s="294"/>
      <c r="J451" s="294"/>
      <c r="K451" s="294"/>
      <c r="L451" s="294"/>
      <c r="T451" s="295"/>
      <c r="AA451" s="295"/>
      <c r="AH451" s="295"/>
      <c r="AI451" s="188"/>
      <c r="AJ451" s="188"/>
      <c r="AK451" s="188"/>
      <c r="AL451" s="188"/>
      <c r="AM451" s="188"/>
      <c r="AN451" s="188"/>
      <c r="AO451" s="299"/>
      <c r="AQ451" s="296"/>
      <c r="AR451" s="296"/>
      <c r="AS451" s="296"/>
      <c r="AU451" s="296"/>
      <c r="AV451" s="296"/>
      <c r="AW451" s="296"/>
      <c r="CV451" s="374">
        <v>114</v>
      </c>
      <c r="DL451" s="380"/>
    </row>
    <row r="452" spans="2:116" ht="13">
      <c r="B452" s="294"/>
      <c r="C452" s="294"/>
      <c r="D452" s="294"/>
      <c r="E452" s="294"/>
      <c r="F452" s="171"/>
      <c r="G452" s="294"/>
      <c r="H452" s="294"/>
      <c r="I452" s="294"/>
      <c r="J452" s="294"/>
      <c r="K452" s="294"/>
      <c r="L452" s="294"/>
      <c r="T452" s="295"/>
      <c r="AA452" s="295"/>
      <c r="AH452" s="295"/>
      <c r="AI452" s="188"/>
      <c r="AJ452" s="188"/>
      <c r="AK452" s="188"/>
      <c r="AL452" s="188"/>
      <c r="AM452" s="188"/>
      <c r="AN452" s="188"/>
      <c r="AO452" s="299"/>
      <c r="AQ452" s="296"/>
      <c r="AR452" s="296"/>
      <c r="AS452" s="296"/>
      <c r="AU452" s="296"/>
      <c r="AV452" s="296"/>
      <c r="AW452" s="296"/>
      <c r="CV452" s="374">
        <v>115</v>
      </c>
      <c r="DL452" s="380"/>
    </row>
    <row r="453" spans="2:116" ht="13">
      <c r="B453" s="294"/>
      <c r="C453" s="294"/>
      <c r="D453" s="294"/>
      <c r="E453" s="294"/>
      <c r="F453" s="171"/>
      <c r="G453" s="294"/>
      <c r="H453" s="294"/>
      <c r="I453" s="294"/>
      <c r="J453" s="294"/>
      <c r="K453" s="294"/>
      <c r="L453" s="294"/>
      <c r="T453" s="295"/>
      <c r="AA453" s="295"/>
      <c r="AH453" s="295"/>
      <c r="AI453" s="188"/>
      <c r="AJ453" s="188"/>
      <c r="AK453" s="188"/>
      <c r="AL453" s="188"/>
      <c r="AM453" s="188"/>
      <c r="AN453" s="188"/>
      <c r="AO453" s="299"/>
      <c r="AQ453" s="296"/>
      <c r="AR453" s="296"/>
      <c r="AS453" s="296"/>
      <c r="AU453" s="296"/>
      <c r="AV453" s="296"/>
      <c r="AW453" s="296"/>
      <c r="CV453" s="374">
        <v>116</v>
      </c>
      <c r="DL453" s="380"/>
    </row>
    <row r="454" spans="2:116" ht="13">
      <c r="B454" s="294"/>
      <c r="C454" s="294"/>
      <c r="D454" s="294"/>
      <c r="E454" s="294"/>
      <c r="F454" s="171"/>
      <c r="G454" s="294"/>
      <c r="H454" s="294"/>
      <c r="I454" s="294"/>
      <c r="J454" s="294"/>
      <c r="K454" s="294"/>
      <c r="L454" s="294"/>
      <c r="T454" s="295"/>
      <c r="AA454" s="295"/>
      <c r="AH454" s="295"/>
      <c r="AI454" s="188"/>
      <c r="AJ454" s="188"/>
      <c r="AK454" s="188"/>
      <c r="AL454" s="188"/>
      <c r="AM454" s="188"/>
      <c r="AN454" s="188"/>
      <c r="AO454" s="299"/>
      <c r="AQ454" s="296"/>
      <c r="AR454" s="296"/>
      <c r="AS454" s="296"/>
      <c r="AU454" s="296"/>
      <c r="AV454" s="296"/>
      <c r="AW454" s="296"/>
      <c r="CV454" s="374">
        <v>117</v>
      </c>
      <c r="DL454" s="380"/>
    </row>
    <row r="455" spans="2:116" ht="13">
      <c r="B455" s="294"/>
      <c r="C455" s="294"/>
      <c r="D455" s="294"/>
      <c r="E455" s="294"/>
      <c r="F455" s="171"/>
      <c r="G455" s="294"/>
      <c r="H455" s="294"/>
      <c r="I455" s="294"/>
      <c r="J455" s="294"/>
      <c r="K455" s="294"/>
      <c r="L455" s="294"/>
      <c r="T455" s="295"/>
      <c r="AA455" s="295"/>
      <c r="AH455" s="295"/>
      <c r="AI455" s="188"/>
      <c r="AJ455" s="188"/>
      <c r="AK455" s="188"/>
      <c r="AL455" s="188"/>
      <c r="AM455" s="188"/>
      <c r="AN455" s="188"/>
      <c r="AO455" s="299"/>
      <c r="AQ455" s="296"/>
      <c r="AR455" s="296"/>
      <c r="AS455" s="296"/>
      <c r="AU455" s="296"/>
      <c r="AV455" s="296"/>
      <c r="AW455" s="296"/>
      <c r="CV455" s="374">
        <v>118</v>
      </c>
      <c r="DL455" s="380"/>
    </row>
    <row r="456" spans="2:116" ht="13">
      <c r="B456" s="294"/>
      <c r="C456" s="294"/>
      <c r="D456" s="294"/>
      <c r="E456" s="294"/>
      <c r="F456" s="171"/>
      <c r="G456" s="294"/>
      <c r="H456" s="294"/>
      <c r="I456" s="294"/>
      <c r="J456" s="294"/>
      <c r="K456" s="294"/>
      <c r="L456" s="294"/>
      <c r="T456" s="295"/>
      <c r="AA456" s="295"/>
      <c r="AH456" s="295"/>
      <c r="AI456" s="188"/>
      <c r="AJ456" s="188"/>
      <c r="AK456" s="188"/>
      <c r="AL456" s="188"/>
      <c r="AM456" s="188"/>
      <c r="AN456" s="188"/>
      <c r="AO456" s="299"/>
      <c r="AQ456" s="296"/>
      <c r="AR456" s="296"/>
      <c r="AS456" s="296"/>
      <c r="AU456" s="296"/>
      <c r="AV456" s="296"/>
      <c r="AW456" s="296"/>
      <c r="CV456" s="374">
        <v>119</v>
      </c>
      <c r="DL456" s="380"/>
    </row>
    <row r="457" spans="2:116" ht="13">
      <c r="B457" s="294"/>
      <c r="C457" s="294"/>
      <c r="D457" s="294"/>
      <c r="E457" s="294"/>
      <c r="F457" s="171"/>
      <c r="G457" s="294"/>
      <c r="H457" s="294"/>
      <c r="I457" s="294"/>
      <c r="J457" s="294"/>
      <c r="K457" s="294"/>
      <c r="L457" s="294"/>
      <c r="T457" s="295"/>
      <c r="AA457" s="295"/>
      <c r="AH457" s="295"/>
      <c r="AI457" s="188"/>
      <c r="AJ457" s="188"/>
      <c r="AK457" s="188"/>
      <c r="AL457" s="188"/>
      <c r="AM457" s="188"/>
      <c r="AN457" s="188"/>
      <c r="AO457" s="299"/>
      <c r="AQ457" s="296"/>
      <c r="AR457" s="296"/>
      <c r="AS457" s="296"/>
      <c r="AU457" s="296"/>
      <c r="AV457" s="296"/>
      <c r="AW457" s="296"/>
      <c r="CV457" s="374">
        <v>120</v>
      </c>
      <c r="DL457" s="380"/>
    </row>
    <row r="458" spans="2:116" ht="13">
      <c r="B458" s="294"/>
      <c r="C458" s="294"/>
      <c r="D458" s="294"/>
      <c r="E458" s="294"/>
      <c r="F458" s="171"/>
      <c r="G458" s="294"/>
      <c r="H458" s="294"/>
      <c r="I458" s="294"/>
      <c r="J458" s="294"/>
      <c r="K458" s="294"/>
      <c r="L458" s="294"/>
      <c r="T458" s="295"/>
      <c r="AA458" s="295"/>
      <c r="AH458" s="295"/>
      <c r="AI458" s="188"/>
      <c r="AJ458" s="188"/>
      <c r="AK458" s="188"/>
      <c r="AL458" s="188"/>
      <c r="AM458" s="188"/>
      <c r="AN458" s="188"/>
      <c r="AO458" s="299"/>
      <c r="AQ458" s="296"/>
      <c r="AR458" s="296"/>
      <c r="AS458" s="296"/>
      <c r="AU458" s="296"/>
      <c r="AV458" s="296"/>
      <c r="AW458" s="296"/>
      <c r="CV458" s="374">
        <v>121</v>
      </c>
      <c r="DL458" s="380"/>
    </row>
    <row r="459" spans="2:116" ht="13">
      <c r="B459" s="294"/>
      <c r="C459" s="294"/>
      <c r="D459" s="294"/>
      <c r="E459" s="294"/>
      <c r="F459" s="171"/>
      <c r="G459" s="294"/>
      <c r="H459" s="294"/>
      <c r="I459" s="294"/>
      <c r="J459" s="294"/>
      <c r="K459" s="294"/>
      <c r="L459" s="294"/>
      <c r="T459" s="295"/>
      <c r="AA459" s="295"/>
      <c r="AH459" s="295"/>
      <c r="AI459" s="188"/>
      <c r="AJ459" s="188"/>
      <c r="AK459" s="188"/>
      <c r="AL459" s="188"/>
      <c r="AM459" s="188"/>
      <c r="AN459" s="188"/>
      <c r="AO459" s="299"/>
      <c r="AQ459" s="296"/>
      <c r="AR459" s="296"/>
      <c r="AS459" s="296"/>
      <c r="AU459" s="296"/>
      <c r="AV459" s="296"/>
      <c r="AW459" s="296"/>
      <c r="CV459" s="374">
        <v>122</v>
      </c>
      <c r="DL459" s="380"/>
    </row>
    <row r="460" spans="2:116" ht="13">
      <c r="B460" s="294"/>
      <c r="C460" s="294"/>
      <c r="D460" s="294"/>
      <c r="E460" s="294"/>
      <c r="F460" s="171"/>
      <c r="G460" s="294"/>
      <c r="H460" s="294"/>
      <c r="I460" s="294"/>
      <c r="J460" s="294"/>
      <c r="K460" s="294"/>
      <c r="L460" s="294"/>
      <c r="T460" s="295"/>
      <c r="AA460" s="295"/>
      <c r="AH460" s="295"/>
      <c r="AI460" s="188"/>
      <c r="AJ460" s="188"/>
      <c r="AK460" s="188"/>
      <c r="AL460" s="188"/>
      <c r="AM460" s="188"/>
      <c r="AN460" s="188"/>
      <c r="AO460" s="299"/>
      <c r="AQ460" s="296"/>
      <c r="AR460" s="296"/>
      <c r="AS460" s="296"/>
      <c r="AU460" s="296"/>
      <c r="AV460" s="296"/>
      <c r="AW460" s="296"/>
      <c r="CV460" s="374">
        <v>123</v>
      </c>
      <c r="DL460" s="380"/>
    </row>
    <row r="461" spans="2:116" ht="13">
      <c r="B461" s="294"/>
      <c r="C461" s="294"/>
      <c r="D461" s="294"/>
      <c r="E461" s="294"/>
      <c r="F461" s="171"/>
      <c r="G461" s="294"/>
      <c r="H461" s="294"/>
      <c r="I461" s="294"/>
      <c r="J461" s="294"/>
      <c r="K461" s="294"/>
      <c r="L461" s="294"/>
      <c r="T461" s="295"/>
      <c r="AA461" s="295"/>
      <c r="AH461" s="295"/>
      <c r="AI461" s="188"/>
      <c r="AJ461" s="188"/>
      <c r="AK461" s="188"/>
      <c r="AL461" s="188"/>
      <c r="AM461" s="188"/>
      <c r="AN461" s="188"/>
      <c r="AO461" s="299"/>
      <c r="AQ461" s="296"/>
      <c r="AR461" s="296"/>
      <c r="AS461" s="296"/>
      <c r="AU461" s="296"/>
      <c r="AV461" s="296"/>
      <c r="AW461" s="296"/>
      <c r="CV461" s="374">
        <v>124</v>
      </c>
      <c r="DL461" s="380"/>
    </row>
    <row r="462" spans="2:116" ht="13">
      <c r="B462" s="294"/>
      <c r="C462" s="294"/>
      <c r="D462" s="294"/>
      <c r="E462" s="294"/>
      <c r="F462" s="171"/>
      <c r="G462" s="294"/>
      <c r="H462" s="294"/>
      <c r="I462" s="294"/>
      <c r="J462" s="294"/>
      <c r="K462" s="294"/>
      <c r="L462" s="294"/>
      <c r="T462" s="295"/>
      <c r="AA462" s="295"/>
      <c r="AH462" s="295"/>
      <c r="AI462" s="188"/>
      <c r="AJ462" s="188"/>
      <c r="AK462" s="188"/>
      <c r="AL462" s="188"/>
      <c r="AM462" s="188"/>
      <c r="AN462" s="188"/>
      <c r="AO462" s="299"/>
      <c r="AQ462" s="296"/>
      <c r="AR462" s="296"/>
      <c r="AS462" s="296"/>
      <c r="AU462" s="296"/>
      <c r="AV462" s="296"/>
      <c r="AW462" s="296"/>
      <c r="CV462" s="374">
        <v>125</v>
      </c>
      <c r="DL462" s="380"/>
    </row>
    <row r="463" spans="2:116" ht="13">
      <c r="B463" s="294"/>
      <c r="C463" s="294"/>
      <c r="D463" s="294"/>
      <c r="E463" s="294"/>
      <c r="F463" s="171"/>
      <c r="G463" s="294"/>
      <c r="H463" s="294"/>
      <c r="I463" s="294"/>
      <c r="J463" s="294"/>
      <c r="K463" s="294"/>
      <c r="L463" s="294"/>
      <c r="T463" s="295"/>
      <c r="AA463" s="295"/>
      <c r="AH463" s="295"/>
      <c r="AI463" s="188"/>
      <c r="AJ463" s="188"/>
      <c r="AK463" s="188"/>
      <c r="AL463" s="188"/>
      <c r="AM463" s="188"/>
      <c r="AN463" s="188"/>
      <c r="AO463" s="299"/>
      <c r="AQ463" s="296"/>
      <c r="AR463" s="296"/>
      <c r="AS463" s="296"/>
      <c r="AU463" s="296"/>
      <c r="AV463" s="296"/>
      <c r="AW463" s="296"/>
      <c r="CV463" s="374">
        <v>126</v>
      </c>
      <c r="DL463" s="380"/>
    </row>
    <row r="464" spans="2:116" ht="13">
      <c r="B464" s="294"/>
      <c r="C464" s="294"/>
      <c r="D464" s="294"/>
      <c r="E464" s="294"/>
      <c r="F464" s="171"/>
      <c r="G464" s="294"/>
      <c r="H464" s="294"/>
      <c r="I464" s="294"/>
      <c r="J464" s="294"/>
      <c r="K464" s="294"/>
      <c r="L464" s="294"/>
      <c r="T464" s="295"/>
      <c r="AA464" s="295"/>
      <c r="AH464" s="295"/>
      <c r="AI464" s="188"/>
      <c r="AJ464" s="188"/>
      <c r="AK464" s="188"/>
      <c r="AL464" s="188"/>
      <c r="AM464" s="188"/>
      <c r="AN464" s="188"/>
      <c r="AO464" s="299"/>
      <c r="AQ464" s="296"/>
      <c r="AR464" s="296"/>
      <c r="AS464" s="296"/>
      <c r="AU464" s="296"/>
      <c r="AV464" s="296"/>
      <c r="AW464" s="296"/>
      <c r="CV464" s="374">
        <v>127</v>
      </c>
      <c r="DL464" s="380"/>
    </row>
    <row r="465" spans="2:116" ht="13">
      <c r="B465" s="294"/>
      <c r="C465" s="294"/>
      <c r="D465" s="294"/>
      <c r="E465" s="294"/>
      <c r="F465" s="171"/>
      <c r="G465" s="294"/>
      <c r="H465" s="294"/>
      <c r="I465" s="294"/>
      <c r="J465" s="294"/>
      <c r="K465" s="294"/>
      <c r="L465" s="294"/>
      <c r="T465" s="295"/>
      <c r="AA465" s="295"/>
      <c r="AH465" s="295"/>
      <c r="AI465" s="188"/>
      <c r="AJ465" s="188"/>
      <c r="AK465" s="188"/>
      <c r="AL465" s="188"/>
      <c r="AM465" s="188"/>
      <c r="AN465" s="188"/>
      <c r="AO465" s="299"/>
      <c r="AQ465" s="296"/>
      <c r="AR465" s="296"/>
      <c r="AS465" s="296"/>
      <c r="AU465" s="296"/>
      <c r="AV465" s="296"/>
      <c r="AW465" s="296"/>
      <c r="CV465" s="374">
        <v>128</v>
      </c>
      <c r="DL465" s="380"/>
    </row>
    <row r="466" spans="2:116" ht="13">
      <c r="B466" s="294"/>
      <c r="C466" s="294"/>
      <c r="D466" s="294"/>
      <c r="E466" s="294"/>
      <c r="F466" s="171"/>
      <c r="G466" s="294"/>
      <c r="H466" s="294"/>
      <c r="I466" s="294"/>
      <c r="J466" s="294"/>
      <c r="K466" s="294"/>
      <c r="L466" s="294"/>
      <c r="T466" s="295"/>
      <c r="AA466" s="295"/>
      <c r="AH466" s="295"/>
      <c r="AI466" s="188"/>
      <c r="AJ466" s="188"/>
      <c r="AK466" s="188"/>
      <c r="AL466" s="188"/>
      <c r="AM466" s="188"/>
      <c r="AN466" s="188"/>
      <c r="AO466" s="299"/>
      <c r="AQ466" s="296"/>
      <c r="AR466" s="296"/>
      <c r="AS466" s="296"/>
      <c r="AU466" s="296"/>
      <c r="AV466" s="296"/>
      <c r="AW466" s="296"/>
      <c r="CV466" s="374">
        <v>129</v>
      </c>
      <c r="DL466" s="380"/>
    </row>
    <row r="467" spans="2:116" ht="13">
      <c r="B467" s="294"/>
      <c r="C467" s="294"/>
      <c r="D467" s="294"/>
      <c r="E467" s="294"/>
      <c r="F467" s="171"/>
      <c r="G467" s="294"/>
      <c r="H467" s="294"/>
      <c r="I467" s="294"/>
      <c r="J467" s="294"/>
      <c r="K467" s="294"/>
      <c r="L467" s="294"/>
      <c r="T467" s="295"/>
      <c r="AA467" s="295"/>
      <c r="AH467" s="295"/>
      <c r="AI467" s="188"/>
      <c r="AJ467" s="188"/>
      <c r="AK467" s="188"/>
      <c r="AL467" s="188"/>
      <c r="AM467" s="188"/>
      <c r="AN467" s="188"/>
      <c r="AO467" s="299"/>
      <c r="AQ467" s="296"/>
      <c r="AR467" s="296"/>
      <c r="AS467" s="296"/>
      <c r="AU467" s="296"/>
      <c r="AV467" s="296"/>
      <c r="AW467" s="296"/>
      <c r="CV467" s="374">
        <v>130</v>
      </c>
      <c r="DL467" s="380"/>
    </row>
    <row r="468" spans="2:116" ht="13">
      <c r="B468" s="294"/>
      <c r="C468" s="294"/>
      <c r="D468" s="294"/>
      <c r="E468" s="294"/>
      <c r="F468" s="171"/>
      <c r="G468" s="294"/>
      <c r="H468" s="294"/>
      <c r="I468" s="294"/>
      <c r="J468" s="294"/>
      <c r="K468" s="294"/>
      <c r="L468" s="294"/>
      <c r="T468" s="295"/>
      <c r="AA468" s="295"/>
      <c r="AH468" s="295"/>
      <c r="AI468" s="188"/>
      <c r="AJ468" s="188"/>
      <c r="AK468" s="188"/>
      <c r="AL468" s="188"/>
      <c r="AM468" s="188"/>
      <c r="AN468" s="188"/>
      <c r="AO468" s="299"/>
      <c r="AQ468" s="296"/>
      <c r="AR468" s="296"/>
      <c r="AS468" s="296"/>
      <c r="AU468" s="296"/>
      <c r="AV468" s="296"/>
      <c r="AW468" s="296"/>
      <c r="CV468" s="374">
        <v>131</v>
      </c>
      <c r="DL468" s="380"/>
    </row>
    <row r="469" spans="2:116" ht="13">
      <c r="B469" s="294"/>
      <c r="C469" s="294"/>
      <c r="D469" s="294"/>
      <c r="E469" s="294"/>
      <c r="F469" s="171"/>
      <c r="G469" s="294"/>
      <c r="H469" s="294"/>
      <c r="I469" s="294"/>
      <c r="J469" s="294"/>
      <c r="K469" s="294"/>
      <c r="L469" s="294"/>
      <c r="T469" s="295"/>
      <c r="AA469" s="295"/>
      <c r="AH469" s="295"/>
      <c r="AI469" s="188"/>
      <c r="AJ469" s="188"/>
      <c r="AK469" s="188"/>
      <c r="AL469" s="188"/>
      <c r="AM469" s="188"/>
      <c r="AN469" s="188"/>
      <c r="AO469" s="299"/>
      <c r="AQ469" s="296"/>
      <c r="AR469" s="296"/>
      <c r="AS469" s="296"/>
      <c r="AU469" s="296"/>
      <c r="AV469" s="296"/>
      <c r="AW469" s="296"/>
      <c r="CV469" s="374">
        <v>132</v>
      </c>
      <c r="DL469" s="380"/>
    </row>
    <row r="470" spans="2:116" ht="13">
      <c r="B470" s="294"/>
      <c r="C470" s="294"/>
      <c r="D470" s="294"/>
      <c r="E470" s="294"/>
      <c r="F470" s="171"/>
      <c r="G470" s="294"/>
      <c r="H470" s="294"/>
      <c r="I470" s="294"/>
      <c r="J470" s="294"/>
      <c r="K470" s="294"/>
      <c r="L470" s="294"/>
      <c r="T470" s="295"/>
      <c r="AA470" s="295"/>
      <c r="AH470" s="295"/>
      <c r="AI470" s="188"/>
      <c r="AJ470" s="188"/>
      <c r="AK470" s="188"/>
      <c r="AL470" s="188"/>
      <c r="AM470" s="188"/>
      <c r="AN470" s="188"/>
      <c r="AO470" s="299"/>
      <c r="AQ470" s="296"/>
      <c r="AR470" s="296"/>
      <c r="AS470" s="296"/>
      <c r="AU470" s="296"/>
      <c r="AV470" s="296"/>
      <c r="AW470" s="296"/>
      <c r="CV470" s="374">
        <v>133</v>
      </c>
      <c r="DL470" s="380"/>
    </row>
    <row r="471" spans="2:116" ht="13">
      <c r="B471" s="294"/>
      <c r="C471" s="294"/>
      <c r="D471" s="294"/>
      <c r="E471" s="294"/>
      <c r="F471" s="171"/>
      <c r="G471" s="294"/>
      <c r="H471" s="294"/>
      <c r="I471" s="294"/>
      <c r="J471" s="294"/>
      <c r="K471" s="294"/>
      <c r="L471" s="294"/>
      <c r="T471" s="295"/>
      <c r="AA471" s="295"/>
      <c r="AH471" s="295"/>
      <c r="AI471" s="188"/>
      <c r="AJ471" s="188"/>
      <c r="AK471" s="188"/>
      <c r="AL471" s="188"/>
      <c r="AM471" s="188"/>
      <c r="AN471" s="188"/>
      <c r="AO471" s="299"/>
      <c r="AQ471" s="296"/>
      <c r="AR471" s="296"/>
      <c r="AS471" s="296"/>
      <c r="AU471" s="296"/>
      <c r="AV471" s="296"/>
      <c r="AW471" s="296"/>
      <c r="CV471" s="374">
        <v>134</v>
      </c>
      <c r="DL471" s="380"/>
    </row>
    <row r="472" spans="2:116" ht="13">
      <c r="B472" s="294"/>
      <c r="C472" s="294"/>
      <c r="D472" s="294"/>
      <c r="E472" s="294"/>
      <c r="F472" s="171"/>
      <c r="G472" s="294"/>
      <c r="H472" s="294"/>
      <c r="I472" s="294"/>
      <c r="J472" s="294"/>
      <c r="K472" s="294"/>
      <c r="L472" s="294"/>
      <c r="T472" s="295"/>
      <c r="AA472" s="295"/>
      <c r="AH472" s="295"/>
      <c r="AI472" s="188"/>
      <c r="AJ472" s="188"/>
      <c r="AK472" s="188"/>
      <c r="AL472" s="188"/>
      <c r="AM472" s="188"/>
      <c r="AN472" s="188"/>
      <c r="AO472" s="299"/>
      <c r="AQ472" s="296"/>
      <c r="AR472" s="296"/>
      <c r="AS472" s="296"/>
      <c r="AU472" s="296"/>
      <c r="AV472" s="296"/>
      <c r="AW472" s="296"/>
      <c r="CV472" s="374">
        <v>135</v>
      </c>
      <c r="DL472" s="380"/>
    </row>
    <row r="473" spans="2:116" ht="13">
      <c r="B473" s="294"/>
      <c r="C473" s="294"/>
      <c r="D473" s="294"/>
      <c r="E473" s="294"/>
      <c r="F473" s="171"/>
      <c r="G473" s="294"/>
      <c r="H473" s="294"/>
      <c r="I473" s="294"/>
      <c r="J473" s="294"/>
      <c r="K473" s="294"/>
      <c r="L473" s="294"/>
      <c r="T473" s="295"/>
      <c r="AA473" s="295"/>
      <c r="AH473" s="295"/>
      <c r="AI473" s="188"/>
      <c r="AJ473" s="188"/>
      <c r="AK473" s="188"/>
      <c r="AL473" s="188"/>
      <c r="AM473" s="188"/>
      <c r="AN473" s="188"/>
      <c r="AO473" s="299"/>
      <c r="AQ473" s="296"/>
      <c r="AR473" s="296"/>
      <c r="AS473" s="296"/>
      <c r="AU473" s="296"/>
      <c r="AV473" s="296"/>
      <c r="AW473" s="296"/>
      <c r="CV473" s="374">
        <v>136</v>
      </c>
      <c r="DL473" s="380"/>
    </row>
    <row r="474" spans="2:116" ht="13">
      <c r="B474" s="294"/>
      <c r="C474" s="294"/>
      <c r="D474" s="294"/>
      <c r="E474" s="294"/>
      <c r="F474" s="171"/>
      <c r="G474" s="294"/>
      <c r="H474" s="294"/>
      <c r="I474" s="294"/>
      <c r="J474" s="294"/>
      <c r="K474" s="294"/>
      <c r="L474" s="294"/>
      <c r="T474" s="295"/>
      <c r="AA474" s="295"/>
      <c r="AH474" s="295"/>
      <c r="AI474" s="188"/>
      <c r="AJ474" s="188"/>
      <c r="AK474" s="188"/>
      <c r="AL474" s="188"/>
      <c r="AM474" s="188"/>
      <c r="AN474" s="188"/>
      <c r="AO474" s="299"/>
      <c r="AQ474" s="296"/>
      <c r="AR474" s="296"/>
      <c r="AS474" s="296"/>
      <c r="AU474" s="296"/>
      <c r="AV474" s="296"/>
      <c r="AW474" s="296"/>
      <c r="CV474" s="374">
        <v>137</v>
      </c>
      <c r="DL474" s="380"/>
    </row>
    <row r="475" spans="2:116" ht="13">
      <c r="B475" s="294"/>
      <c r="C475" s="294"/>
      <c r="D475" s="294"/>
      <c r="E475" s="294"/>
      <c r="F475" s="171"/>
      <c r="G475" s="294"/>
      <c r="H475" s="294"/>
      <c r="I475" s="294"/>
      <c r="J475" s="294"/>
      <c r="K475" s="294"/>
      <c r="L475" s="294"/>
      <c r="T475" s="295"/>
      <c r="AA475" s="295"/>
      <c r="AH475" s="295"/>
      <c r="AI475" s="188"/>
      <c r="AJ475" s="188"/>
      <c r="AK475" s="188"/>
      <c r="AL475" s="188"/>
      <c r="AM475" s="188"/>
      <c r="AN475" s="188"/>
      <c r="AO475" s="299"/>
      <c r="AQ475" s="296"/>
      <c r="AR475" s="296"/>
      <c r="AS475" s="296"/>
      <c r="AU475" s="296"/>
      <c r="AV475" s="296"/>
      <c r="AW475" s="296"/>
      <c r="CV475" s="374">
        <v>138</v>
      </c>
      <c r="DL475" s="380"/>
    </row>
    <row r="476" spans="2:116" ht="13">
      <c r="B476" s="294"/>
      <c r="C476" s="294"/>
      <c r="D476" s="294"/>
      <c r="E476" s="294"/>
      <c r="F476" s="171"/>
      <c r="G476" s="294"/>
      <c r="H476" s="294"/>
      <c r="I476" s="294"/>
      <c r="J476" s="294"/>
      <c r="K476" s="294"/>
      <c r="L476" s="294"/>
      <c r="T476" s="295"/>
      <c r="AA476" s="295"/>
      <c r="AH476" s="295"/>
      <c r="AI476" s="188"/>
      <c r="AJ476" s="188"/>
      <c r="AK476" s="188"/>
      <c r="AL476" s="188"/>
      <c r="AM476" s="188"/>
      <c r="AN476" s="188"/>
      <c r="AO476" s="299"/>
      <c r="AQ476" s="296"/>
      <c r="AR476" s="296"/>
      <c r="AS476" s="296"/>
      <c r="AU476" s="296"/>
      <c r="AV476" s="296"/>
      <c r="AW476" s="296"/>
      <c r="CV476" s="374">
        <v>139</v>
      </c>
      <c r="DL476" s="380"/>
    </row>
    <row r="477" spans="2:116" ht="13">
      <c r="B477" s="294"/>
      <c r="C477" s="294"/>
      <c r="D477" s="294"/>
      <c r="E477" s="294"/>
      <c r="F477" s="171"/>
      <c r="G477" s="294"/>
      <c r="H477" s="294"/>
      <c r="I477" s="294"/>
      <c r="J477" s="294"/>
      <c r="K477" s="294"/>
      <c r="L477" s="294"/>
      <c r="T477" s="295"/>
      <c r="AA477" s="295"/>
      <c r="AH477" s="295"/>
      <c r="AI477" s="188"/>
      <c r="AJ477" s="188"/>
      <c r="AK477" s="188"/>
      <c r="AL477" s="188"/>
      <c r="AM477" s="188"/>
      <c r="AN477" s="188"/>
      <c r="AO477" s="299"/>
      <c r="AQ477" s="296"/>
      <c r="AR477" s="296"/>
      <c r="AS477" s="296"/>
      <c r="AU477" s="296"/>
      <c r="AV477" s="296"/>
      <c r="AW477" s="296"/>
      <c r="CV477" s="381">
        <v>140</v>
      </c>
      <c r="CW477" s="382"/>
      <c r="CX477" s="382"/>
      <c r="CY477" s="382"/>
      <c r="CZ477" s="382"/>
      <c r="DA477" s="382"/>
      <c r="DB477" s="382"/>
      <c r="DC477" s="382"/>
      <c r="DD477" s="382"/>
      <c r="DE477" s="382"/>
      <c r="DF477" s="382"/>
      <c r="DG477" s="382"/>
      <c r="DH477" s="382"/>
      <c r="DI477" s="382"/>
      <c r="DJ477" s="382"/>
      <c r="DK477" s="382"/>
      <c r="DL477" s="383"/>
    </row>
    <row r="478" spans="2:116" ht="13">
      <c r="B478" s="294"/>
      <c r="C478" s="294"/>
      <c r="D478" s="294"/>
      <c r="E478" s="294"/>
      <c r="F478" s="171"/>
      <c r="G478" s="294"/>
      <c r="H478" s="294"/>
      <c r="I478" s="294"/>
      <c r="J478" s="294"/>
      <c r="K478" s="294"/>
      <c r="L478" s="294"/>
      <c r="T478" s="295"/>
      <c r="AA478" s="295"/>
      <c r="AH478" s="295"/>
      <c r="AI478" s="188"/>
      <c r="AJ478" s="188"/>
      <c r="AK478" s="188"/>
      <c r="AL478" s="188"/>
      <c r="AM478" s="188"/>
      <c r="AN478" s="188"/>
      <c r="AO478" s="299"/>
      <c r="AQ478" s="296"/>
      <c r="AR478" s="296"/>
      <c r="AS478" s="296"/>
      <c r="AU478" s="296"/>
      <c r="AV478" s="296"/>
      <c r="AW478" s="296"/>
    </row>
    <row r="479" spans="2:116" ht="13">
      <c r="B479" s="294"/>
      <c r="C479" s="294"/>
      <c r="D479" s="294"/>
      <c r="E479" s="294"/>
      <c r="F479" s="171"/>
      <c r="G479" s="294"/>
      <c r="H479" s="294"/>
      <c r="I479" s="294"/>
      <c r="J479" s="294"/>
      <c r="K479" s="294"/>
      <c r="L479" s="294"/>
      <c r="T479" s="295"/>
      <c r="AA479" s="295"/>
      <c r="AH479" s="295"/>
      <c r="AI479" s="188"/>
      <c r="AJ479" s="188"/>
      <c r="AK479" s="188"/>
      <c r="AL479" s="188"/>
      <c r="AM479" s="188"/>
      <c r="AN479" s="188"/>
      <c r="AO479" s="299"/>
      <c r="AQ479" s="296"/>
      <c r="AR479" s="296"/>
      <c r="AS479" s="296"/>
      <c r="AU479" s="296"/>
      <c r="AV479" s="296"/>
      <c r="AW479" s="296"/>
    </row>
    <row r="480" spans="2:116" ht="13">
      <c r="B480" s="294"/>
      <c r="C480" s="294"/>
      <c r="D480" s="294"/>
      <c r="E480" s="294"/>
      <c r="F480" s="171"/>
      <c r="G480" s="294"/>
      <c r="H480" s="294"/>
      <c r="I480" s="294"/>
      <c r="J480" s="294"/>
      <c r="K480" s="294"/>
      <c r="L480" s="294"/>
      <c r="T480" s="295"/>
      <c r="AA480" s="295"/>
      <c r="AH480" s="295"/>
      <c r="AI480" s="188"/>
      <c r="AJ480" s="188"/>
      <c r="AK480" s="188"/>
      <c r="AL480" s="188"/>
      <c r="AM480" s="188"/>
      <c r="AN480" s="188"/>
      <c r="AO480" s="299"/>
      <c r="AQ480" s="296"/>
      <c r="AR480" s="296"/>
      <c r="AS480" s="296"/>
      <c r="AU480" s="296"/>
      <c r="AV480" s="296"/>
      <c r="AW480" s="296"/>
    </row>
    <row r="481" spans="2:49" ht="13">
      <c r="B481" s="294"/>
      <c r="C481" s="294"/>
      <c r="D481" s="294"/>
      <c r="E481" s="294"/>
      <c r="F481" s="171"/>
      <c r="G481" s="294"/>
      <c r="H481" s="294"/>
      <c r="I481" s="294"/>
      <c r="J481" s="294"/>
      <c r="K481" s="294"/>
      <c r="L481" s="294"/>
      <c r="T481" s="295"/>
      <c r="AA481" s="295"/>
      <c r="AH481" s="295"/>
      <c r="AI481" s="188"/>
      <c r="AJ481" s="188"/>
      <c r="AK481" s="188"/>
      <c r="AL481" s="188"/>
      <c r="AM481" s="188"/>
      <c r="AN481" s="188"/>
      <c r="AO481" s="299"/>
      <c r="AQ481" s="296"/>
      <c r="AR481" s="296"/>
      <c r="AS481" s="296"/>
      <c r="AU481" s="296"/>
      <c r="AV481" s="296"/>
      <c r="AW481" s="296"/>
    </row>
    <row r="482" spans="2:49" ht="13">
      <c r="B482" s="294"/>
      <c r="C482" s="294"/>
      <c r="D482" s="294"/>
      <c r="E482" s="294"/>
      <c r="F482" s="171"/>
      <c r="G482" s="294"/>
      <c r="H482" s="294"/>
      <c r="I482" s="294"/>
      <c r="J482" s="294"/>
      <c r="K482" s="294"/>
      <c r="L482" s="294"/>
      <c r="T482" s="295"/>
      <c r="AA482" s="295"/>
      <c r="AH482" s="295"/>
      <c r="AI482" s="188"/>
      <c r="AJ482" s="188"/>
      <c r="AK482" s="188"/>
      <c r="AL482" s="188"/>
      <c r="AM482" s="188"/>
      <c r="AN482" s="188"/>
      <c r="AO482" s="299"/>
      <c r="AQ482" s="296"/>
      <c r="AR482" s="296"/>
      <c r="AS482" s="296"/>
      <c r="AU482" s="296"/>
      <c r="AV482" s="296"/>
      <c r="AW482" s="296"/>
    </row>
    <row r="483" spans="2:49" ht="13">
      <c r="B483" s="294"/>
      <c r="C483" s="294"/>
      <c r="D483" s="294"/>
      <c r="E483" s="294"/>
      <c r="F483" s="171"/>
      <c r="G483" s="294"/>
      <c r="H483" s="294"/>
      <c r="I483" s="294"/>
      <c r="J483" s="294"/>
      <c r="K483" s="294"/>
      <c r="L483" s="294"/>
      <c r="T483" s="295"/>
      <c r="AA483" s="295"/>
      <c r="AH483" s="295"/>
      <c r="AI483" s="188"/>
      <c r="AJ483" s="188"/>
      <c r="AK483" s="188"/>
      <c r="AL483" s="188"/>
      <c r="AM483" s="188"/>
      <c r="AN483" s="188"/>
      <c r="AO483" s="299"/>
      <c r="AQ483" s="296"/>
      <c r="AR483" s="296"/>
      <c r="AS483" s="296"/>
      <c r="AU483" s="296"/>
      <c r="AV483" s="296"/>
      <c r="AW483" s="296"/>
    </row>
    <row r="484" spans="2:49" ht="13">
      <c r="B484" s="294"/>
      <c r="C484" s="294"/>
      <c r="D484" s="294"/>
      <c r="E484" s="294"/>
      <c r="F484" s="171"/>
      <c r="G484" s="294"/>
      <c r="H484" s="294"/>
      <c r="I484" s="294"/>
      <c r="J484" s="294"/>
      <c r="K484" s="294"/>
      <c r="L484" s="294"/>
      <c r="T484" s="295"/>
      <c r="AA484" s="295"/>
      <c r="AH484" s="295"/>
      <c r="AI484" s="188"/>
      <c r="AJ484" s="188"/>
      <c r="AK484" s="188"/>
      <c r="AL484" s="188"/>
      <c r="AM484" s="188"/>
      <c r="AN484" s="188"/>
      <c r="AO484" s="299"/>
      <c r="AQ484" s="296"/>
      <c r="AR484" s="296"/>
      <c r="AS484" s="296"/>
      <c r="AU484" s="296"/>
      <c r="AV484" s="296"/>
      <c r="AW484" s="296"/>
    </row>
    <row r="485" spans="2:49" ht="13">
      <c r="B485" s="294"/>
      <c r="C485" s="294"/>
      <c r="D485" s="294"/>
      <c r="E485" s="294"/>
      <c r="F485" s="171"/>
      <c r="G485" s="294"/>
      <c r="H485" s="294"/>
      <c r="I485" s="294"/>
      <c r="J485" s="294"/>
      <c r="K485" s="294"/>
      <c r="L485" s="294"/>
      <c r="T485" s="295"/>
      <c r="AA485" s="295"/>
      <c r="AH485" s="295"/>
      <c r="AI485" s="188"/>
      <c r="AJ485" s="188"/>
      <c r="AK485" s="188"/>
      <c r="AL485" s="188"/>
      <c r="AM485" s="188"/>
      <c r="AN485" s="188"/>
      <c r="AO485" s="299"/>
      <c r="AQ485" s="296"/>
      <c r="AR485" s="296"/>
      <c r="AS485" s="296"/>
      <c r="AU485" s="296"/>
      <c r="AV485" s="296"/>
      <c r="AW485" s="296"/>
    </row>
    <row r="486" spans="2:49" ht="13">
      <c r="B486" s="294"/>
      <c r="C486" s="294"/>
      <c r="D486" s="294"/>
      <c r="E486" s="294"/>
      <c r="F486" s="171"/>
      <c r="G486" s="294"/>
      <c r="H486" s="294"/>
      <c r="I486" s="294"/>
      <c r="J486" s="294"/>
      <c r="K486" s="294"/>
      <c r="L486" s="294"/>
      <c r="T486" s="295"/>
      <c r="AA486" s="295"/>
      <c r="AH486" s="295"/>
      <c r="AI486" s="188"/>
      <c r="AJ486" s="188"/>
      <c r="AK486" s="188"/>
      <c r="AL486" s="188"/>
      <c r="AM486" s="188"/>
      <c r="AN486" s="188"/>
      <c r="AO486" s="299"/>
      <c r="AQ486" s="296"/>
      <c r="AR486" s="296"/>
      <c r="AS486" s="296"/>
      <c r="AU486" s="296"/>
      <c r="AV486" s="296"/>
      <c r="AW486" s="296"/>
    </row>
    <row r="487" spans="2:49" ht="13">
      <c r="B487" s="294"/>
      <c r="C487" s="294"/>
      <c r="D487" s="294"/>
      <c r="E487" s="294"/>
      <c r="F487" s="171"/>
      <c r="G487" s="294"/>
      <c r="H487" s="294"/>
      <c r="I487" s="294"/>
      <c r="J487" s="294"/>
      <c r="K487" s="294"/>
      <c r="L487" s="294"/>
      <c r="T487" s="295"/>
      <c r="AA487" s="295"/>
      <c r="AH487" s="295"/>
      <c r="AI487" s="188"/>
      <c r="AJ487" s="188"/>
      <c r="AK487" s="188"/>
      <c r="AL487" s="188"/>
      <c r="AM487" s="188"/>
      <c r="AN487" s="188"/>
      <c r="AO487" s="299"/>
      <c r="AQ487" s="296"/>
      <c r="AR487" s="296"/>
      <c r="AS487" s="296"/>
      <c r="AU487" s="296"/>
      <c r="AV487" s="296"/>
      <c r="AW487" s="296"/>
    </row>
    <row r="488" spans="2:49" ht="13">
      <c r="B488" s="294"/>
      <c r="C488" s="294"/>
      <c r="D488" s="294"/>
      <c r="E488" s="294"/>
      <c r="F488" s="171"/>
      <c r="G488" s="294"/>
      <c r="H488" s="294"/>
      <c r="I488" s="294"/>
      <c r="J488" s="294"/>
      <c r="K488" s="294"/>
      <c r="L488" s="294"/>
      <c r="T488" s="295"/>
      <c r="AA488" s="295"/>
      <c r="AH488" s="295"/>
      <c r="AI488" s="188"/>
      <c r="AJ488" s="188"/>
      <c r="AK488" s="188"/>
      <c r="AL488" s="188"/>
      <c r="AM488" s="188"/>
      <c r="AN488" s="188"/>
      <c r="AO488" s="299"/>
      <c r="AQ488" s="296"/>
      <c r="AR488" s="296"/>
      <c r="AS488" s="296"/>
      <c r="AU488" s="296"/>
      <c r="AV488" s="296"/>
      <c r="AW488" s="296"/>
    </row>
    <row r="489" spans="2:49" ht="13">
      <c r="B489" s="294"/>
      <c r="C489" s="294"/>
      <c r="D489" s="294"/>
      <c r="E489" s="294"/>
      <c r="F489" s="171"/>
      <c r="G489" s="294"/>
      <c r="H489" s="294"/>
      <c r="I489" s="294"/>
      <c r="J489" s="294"/>
      <c r="K489" s="294"/>
      <c r="L489" s="294"/>
      <c r="T489" s="295"/>
      <c r="AA489" s="295"/>
      <c r="AH489" s="295"/>
      <c r="AI489" s="188"/>
      <c r="AJ489" s="188"/>
      <c r="AK489" s="188"/>
      <c r="AL489" s="188"/>
      <c r="AM489" s="188"/>
      <c r="AN489" s="188"/>
      <c r="AO489" s="299"/>
      <c r="AQ489" s="296"/>
      <c r="AR489" s="296"/>
      <c r="AS489" s="296"/>
      <c r="AU489" s="296"/>
      <c r="AV489" s="296"/>
      <c r="AW489" s="296"/>
    </row>
    <row r="490" spans="2:49" ht="13">
      <c r="B490" s="294"/>
      <c r="C490" s="294"/>
      <c r="D490" s="294"/>
      <c r="E490" s="294"/>
      <c r="F490" s="171"/>
      <c r="G490" s="294"/>
      <c r="H490" s="294"/>
      <c r="I490" s="294"/>
      <c r="J490" s="294"/>
      <c r="K490" s="294"/>
      <c r="L490" s="294"/>
      <c r="T490" s="295"/>
      <c r="AA490" s="295"/>
      <c r="AH490" s="295"/>
      <c r="AI490" s="188"/>
      <c r="AJ490" s="188"/>
      <c r="AK490" s="188"/>
      <c r="AL490" s="188"/>
      <c r="AM490" s="188"/>
      <c r="AN490" s="188"/>
      <c r="AO490" s="299"/>
      <c r="AQ490" s="296"/>
      <c r="AR490" s="296"/>
      <c r="AS490" s="296"/>
      <c r="AU490" s="296"/>
      <c r="AV490" s="296"/>
      <c r="AW490" s="296"/>
    </row>
    <row r="491" spans="2:49" ht="13">
      <c r="B491" s="294"/>
      <c r="C491" s="294"/>
      <c r="D491" s="294"/>
      <c r="E491" s="294"/>
      <c r="F491" s="171"/>
      <c r="G491" s="294"/>
      <c r="H491" s="294"/>
      <c r="I491" s="294"/>
      <c r="J491" s="294"/>
      <c r="K491" s="294"/>
      <c r="L491" s="294"/>
      <c r="T491" s="295"/>
      <c r="AA491" s="295"/>
      <c r="AH491" s="295"/>
      <c r="AI491" s="188"/>
      <c r="AJ491" s="188"/>
      <c r="AK491" s="188"/>
      <c r="AL491" s="188"/>
      <c r="AM491" s="188"/>
      <c r="AN491" s="188"/>
      <c r="AO491" s="299"/>
      <c r="AQ491" s="296"/>
      <c r="AR491" s="296"/>
      <c r="AS491" s="296"/>
      <c r="AU491" s="296"/>
      <c r="AV491" s="296"/>
      <c r="AW491" s="296"/>
    </row>
    <row r="492" spans="2:49" ht="13">
      <c r="B492" s="294"/>
      <c r="C492" s="294"/>
      <c r="D492" s="294"/>
      <c r="E492" s="294"/>
      <c r="F492" s="171"/>
      <c r="G492" s="294"/>
      <c r="H492" s="294"/>
      <c r="I492" s="294"/>
      <c r="J492" s="294"/>
      <c r="K492" s="294"/>
      <c r="L492" s="294"/>
      <c r="T492" s="295"/>
      <c r="AA492" s="295"/>
      <c r="AH492" s="295"/>
      <c r="AI492" s="188"/>
      <c r="AJ492" s="188"/>
      <c r="AK492" s="188"/>
      <c r="AL492" s="188"/>
      <c r="AM492" s="188"/>
      <c r="AN492" s="188"/>
      <c r="AO492" s="299"/>
      <c r="AQ492" s="296"/>
      <c r="AR492" s="296"/>
      <c r="AS492" s="296"/>
      <c r="AU492" s="296"/>
      <c r="AV492" s="296"/>
      <c r="AW492" s="296"/>
    </row>
    <row r="493" spans="2:49" ht="13">
      <c r="B493" s="294"/>
      <c r="C493" s="294"/>
      <c r="D493" s="294"/>
      <c r="E493" s="294"/>
      <c r="F493" s="171"/>
      <c r="G493" s="294"/>
      <c r="H493" s="294"/>
      <c r="I493" s="294"/>
      <c r="J493" s="294"/>
      <c r="K493" s="294"/>
      <c r="L493" s="294"/>
      <c r="T493" s="295"/>
      <c r="AA493" s="295"/>
      <c r="AH493" s="295"/>
      <c r="AI493" s="188"/>
      <c r="AJ493" s="188"/>
      <c r="AK493" s="188"/>
      <c r="AL493" s="188"/>
      <c r="AM493" s="188"/>
      <c r="AN493" s="188"/>
      <c r="AO493" s="299"/>
      <c r="AQ493" s="296"/>
      <c r="AR493" s="296"/>
      <c r="AS493" s="296"/>
      <c r="AU493" s="296"/>
      <c r="AV493" s="296"/>
      <c r="AW493" s="296"/>
    </row>
    <row r="494" spans="2:49" ht="13">
      <c r="B494" s="294"/>
      <c r="C494" s="294"/>
      <c r="D494" s="294"/>
      <c r="E494" s="294"/>
      <c r="F494" s="171"/>
      <c r="G494" s="294"/>
      <c r="H494" s="294"/>
      <c r="I494" s="294"/>
      <c r="J494" s="294"/>
      <c r="K494" s="294"/>
      <c r="L494" s="294"/>
      <c r="T494" s="295"/>
      <c r="AA494" s="295"/>
      <c r="AH494" s="295"/>
      <c r="AI494" s="188"/>
      <c r="AJ494" s="188"/>
      <c r="AK494" s="188"/>
      <c r="AL494" s="188"/>
      <c r="AM494" s="188"/>
      <c r="AN494" s="188"/>
      <c r="AO494" s="299"/>
      <c r="AQ494" s="296"/>
      <c r="AR494" s="296"/>
      <c r="AS494" s="296"/>
      <c r="AU494" s="296"/>
      <c r="AV494" s="296"/>
      <c r="AW494" s="296"/>
    </row>
    <row r="495" spans="2:49" ht="13">
      <c r="B495" s="294"/>
      <c r="C495" s="294"/>
      <c r="D495" s="294"/>
      <c r="E495" s="294"/>
      <c r="F495" s="171"/>
      <c r="G495" s="294"/>
      <c r="H495" s="294"/>
      <c r="I495" s="294"/>
      <c r="J495" s="294"/>
      <c r="K495" s="294"/>
      <c r="L495" s="294"/>
      <c r="T495" s="295"/>
      <c r="AA495" s="295"/>
      <c r="AH495" s="295"/>
      <c r="AI495" s="188"/>
      <c r="AJ495" s="188"/>
      <c r="AK495" s="188"/>
      <c r="AL495" s="188"/>
      <c r="AM495" s="188"/>
      <c r="AN495" s="188"/>
      <c r="AO495" s="299"/>
      <c r="AQ495" s="296"/>
      <c r="AR495" s="296"/>
      <c r="AS495" s="296"/>
      <c r="AU495" s="296"/>
      <c r="AV495" s="296"/>
      <c r="AW495" s="296"/>
    </row>
    <row r="496" spans="2:49" ht="13">
      <c r="B496" s="294"/>
      <c r="C496" s="294"/>
      <c r="D496" s="294"/>
      <c r="E496" s="294"/>
      <c r="F496" s="171"/>
      <c r="G496" s="294"/>
      <c r="H496" s="294"/>
      <c r="I496" s="294"/>
      <c r="J496" s="294"/>
      <c r="K496" s="294"/>
      <c r="L496" s="294"/>
      <c r="T496" s="295"/>
      <c r="AA496" s="295"/>
      <c r="AH496" s="295"/>
      <c r="AI496" s="188"/>
      <c r="AJ496" s="188"/>
      <c r="AK496" s="188"/>
      <c r="AL496" s="188"/>
      <c r="AM496" s="188"/>
      <c r="AN496" s="188"/>
      <c r="AO496" s="299"/>
      <c r="AQ496" s="296"/>
      <c r="AR496" s="296"/>
      <c r="AS496" s="296"/>
      <c r="AU496" s="296"/>
      <c r="AV496" s="296"/>
      <c r="AW496" s="296"/>
    </row>
    <row r="497" spans="2:49" ht="13">
      <c r="B497" s="294"/>
      <c r="C497" s="294"/>
      <c r="D497" s="294"/>
      <c r="E497" s="294"/>
      <c r="F497" s="171"/>
      <c r="G497" s="294"/>
      <c r="H497" s="294"/>
      <c r="I497" s="294"/>
      <c r="J497" s="294"/>
      <c r="K497" s="294"/>
      <c r="L497" s="294"/>
      <c r="T497" s="295"/>
      <c r="AA497" s="295"/>
      <c r="AH497" s="295"/>
      <c r="AI497" s="188"/>
      <c r="AJ497" s="188"/>
      <c r="AK497" s="188"/>
      <c r="AL497" s="188"/>
      <c r="AM497" s="188"/>
      <c r="AN497" s="188"/>
      <c r="AO497" s="299"/>
      <c r="AQ497" s="296"/>
      <c r="AR497" s="296"/>
      <c r="AS497" s="296"/>
      <c r="AU497" s="296"/>
      <c r="AV497" s="296"/>
      <c r="AW497" s="296"/>
    </row>
    <row r="498" spans="2:49" ht="13">
      <c r="B498" s="294"/>
      <c r="C498" s="294"/>
      <c r="D498" s="294"/>
      <c r="E498" s="294"/>
      <c r="F498" s="171"/>
      <c r="G498" s="294"/>
      <c r="H498" s="294"/>
      <c r="I498" s="294"/>
      <c r="J498" s="294"/>
      <c r="K498" s="294"/>
      <c r="L498" s="294"/>
      <c r="T498" s="295"/>
      <c r="AA498" s="295"/>
      <c r="AH498" s="295"/>
      <c r="AI498" s="188"/>
      <c r="AJ498" s="188"/>
      <c r="AK498" s="188"/>
      <c r="AL498" s="188"/>
      <c r="AM498" s="188"/>
      <c r="AN498" s="188"/>
      <c r="AO498" s="299"/>
      <c r="AQ498" s="296"/>
      <c r="AR498" s="296"/>
      <c r="AS498" s="296"/>
      <c r="AU498" s="296"/>
      <c r="AV498" s="296"/>
      <c r="AW498" s="296"/>
    </row>
    <row r="499" spans="2:49" ht="13">
      <c r="B499" s="294"/>
      <c r="C499" s="294"/>
      <c r="D499" s="294"/>
      <c r="E499" s="294"/>
      <c r="F499" s="171"/>
      <c r="G499" s="294"/>
      <c r="H499" s="294"/>
      <c r="I499" s="294"/>
      <c r="J499" s="294"/>
      <c r="K499" s="294"/>
      <c r="L499" s="294"/>
      <c r="T499" s="295"/>
      <c r="AA499" s="295"/>
      <c r="AH499" s="295"/>
      <c r="AI499" s="188"/>
      <c r="AJ499" s="188"/>
      <c r="AK499" s="188"/>
      <c r="AL499" s="188"/>
      <c r="AM499" s="188"/>
      <c r="AN499" s="188"/>
      <c r="AO499" s="299"/>
      <c r="AQ499" s="296"/>
      <c r="AR499" s="296"/>
      <c r="AS499" s="296"/>
      <c r="AU499" s="296"/>
      <c r="AV499" s="296"/>
      <c r="AW499" s="296"/>
    </row>
    <row r="500" spans="2:49" ht="13">
      <c r="B500" s="294"/>
      <c r="C500" s="294"/>
      <c r="D500" s="294"/>
      <c r="E500" s="294"/>
      <c r="F500" s="171"/>
      <c r="G500" s="294"/>
      <c r="H500" s="294"/>
      <c r="I500" s="294"/>
      <c r="J500" s="294"/>
      <c r="K500" s="294"/>
      <c r="L500" s="294"/>
      <c r="T500" s="295"/>
      <c r="AA500" s="295"/>
      <c r="AH500" s="295"/>
      <c r="AI500" s="188"/>
      <c r="AJ500" s="188"/>
      <c r="AK500" s="188"/>
      <c r="AL500" s="188"/>
      <c r="AM500" s="188"/>
      <c r="AN500" s="188"/>
      <c r="AO500" s="299"/>
      <c r="AQ500" s="296"/>
      <c r="AR500" s="296"/>
      <c r="AS500" s="296"/>
      <c r="AU500" s="296"/>
      <c r="AV500" s="296"/>
      <c r="AW500" s="296"/>
    </row>
    <row r="501" spans="2:49" ht="13">
      <c r="B501" s="294"/>
      <c r="C501" s="294"/>
      <c r="D501" s="294"/>
      <c r="E501" s="294"/>
      <c r="F501" s="171"/>
      <c r="G501" s="294"/>
      <c r="H501" s="294"/>
      <c r="I501" s="294"/>
      <c r="J501" s="294"/>
      <c r="K501" s="294"/>
      <c r="L501" s="294"/>
      <c r="T501" s="295"/>
      <c r="AA501" s="295"/>
      <c r="AH501" s="295"/>
      <c r="AI501" s="188"/>
      <c r="AJ501" s="188"/>
      <c r="AK501" s="188"/>
      <c r="AL501" s="188"/>
      <c r="AM501" s="188"/>
      <c r="AN501" s="188"/>
      <c r="AO501" s="299"/>
      <c r="AQ501" s="296"/>
      <c r="AR501" s="296"/>
      <c r="AS501" s="296"/>
      <c r="AU501" s="296"/>
      <c r="AV501" s="296"/>
      <c r="AW501" s="296"/>
    </row>
    <row r="502" spans="2:49" ht="13">
      <c r="B502" s="294"/>
      <c r="C502" s="294"/>
      <c r="D502" s="294"/>
      <c r="E502" s="294"/>
      <c r="F502" s="171"/>
      <c r="G502" s="294"/>
      <c r="H502" s="294"/>
      <c r="I502" s="294"/>
      <c r="J502" s="294"/>
      <c r="K502" s="294"/>
      <c r="L502" s="294"/>
      <c r="T502" s="295"/>
      <c r="AA502" s="295"/>
      <c r="AH502" s="295"/>
      <c r="AI502" s="188"/>
      <c r="AJ502" s="188"/>
      <c r="AK502" s="188"/>
      <c r="AL502" s="188"/>
      <c r="AM502" s="188"/>
      <c r="AN502" s="188"/>
      <c r="AO502" s="299"/>
      <c r="AQ502" s="296"/>
      <c r="AR502" s="296"/>
      <c r="AS502" s="296"/>
      <c r="AU502" s="296"/>
      <c r="AV502" s="296"/>
      <c r="AW502" s="296"/>
    </row>
    <row r="503" spans="2:49" ht="13">
      <c r="B503" s="294"/>
      <c r="C503" s="294"/>
      <c r="D503" s="294"/>
      <c r="E503" s="294"/>
      <c r="F503" s="171"/>
      <c r="G503" s="294"/>
      <c r="H503" s="294"/>
      <c r="I503" s="294"/>
      <c r="J503" s="294"/>
      <c r="K503" s="294"/>
      <c r="L503" s="294"/>
      <c r="T503" s="295"/>
      <c r="AA503" s="295"/>
      <c r="AH503" s="295"/>
      <c r="AI503" s="188"/>
      <c r="AJ503" s="188"/>
      <c r="AK503" s="188"/>
      <c r="AL503" s="188"/>
      <c r="AM503" s="188"/>
      <c r="AN503" s="188"/>
      <c r="AO503" s="299"/>
      <c r="AQ503" s="296"/>
      <c r="AR503" s="296"/>
      <c r="AS503" s="296"/>
      <c r="AU503" s="296"/>
      <c r="AV503" s="296"/>
      <c r="AW503" s="296"/>
    </row>
    <row r="504" spans="2:49" ht="13">
      <c r="B504" s="294"/>
      <c r="C504" s="294"/>
      <c r="D504" s="294"/>
      <c r="E504" s="294"/>
      <c r="F504" s="171"/>
      <c r="G504" s="294"/>
      <c r="H504" s="294"/>
      <c r="I504" s="294"/>
      <c r="J504" s="294"/>
      <c r="K504" s="294"/>
      <c r="L504" s="294"/>
      <c r="T504" s="295"/>
      <c r="AA504" s="295"/>
      <c r="AH504" s="295"/>
      <c r="AI504" s="188"/>
      <c r="AJ504" s="188"/>
      <c r="AK504" s="188"/>
      <c r="AL504" s="188"/>
      <c r="AM504" s="188"/>
      <c r="AN504" s="188"/>
      <c r="AO504" s="299"/>
      <c r="AQ504" s="296"/>
      <c r="AR504" s="296"/>
      <c r="AS504" s="296"/>
      <c r="AU504" s="296"/>
      <c r="AV504" s="296"/>
      <c r="AW504" s="296"/>
    </row>
    <row r="505" spans="2:49" ht="13">
      <c r="B505" s="294"/>
      <c r="C505" s="294"/>
      <c r="D505" s="294"/>
      <c r="E505" s="294"/>
      <c r="F505" s="171"/>
      <c r="G505" s="294"/>
      <c r="H505" s="294"/>
      <c r="I505" s="294"/>
      <c r="J505" s="294"/>
      <c r="K505" s="294"/>
      <c r="L505" s="294"/>
      <c r="T505" s="295"/>
      <c r="AA505" s="295"/>
      <c r="AH505" s="295"/>
      <c r="AI505" s="188"/>
      <c r="AJ505" s="188"/>
      <c r="AK505" s="188"/>
      <c r="AL505" s="188"/>
      <c r="AM505" s="188"/>
      <c r="AN505" s="188"/>
      <c r="AO505" s="299"/>
      <c r="AQ505" s="296"/>
      <c r="AR505" s="296"/>
      <c r="AS505" s="296"/>
      <c r="AU505" s="296"/>
      <c r="AV505" s="296"/>
      <c r="AW505" s="296"/>
    </row>
    <row r="506" spans="2:49" ht="13">
      <c r="B506" s="294"/>
      <c r="C506" s="294"/>
      <c r="D506" s="294"/>
      <c r="E506" s="294"/>
      <c r="F506" s="171"/>
      <c r="G506" s="294"/>
      <c r="H506" s="294"/>
      <c r="I506" s="294"/>
      <c r="J506" s="294"/>
      <c r="K506" s="294"/>
      <c r="L506" s="294"/>
      <c r="T506" s="295"/>
      <c r="AA506" s="295"/>
      <c r="AH506" s="295"/>
      <c r="AI506" s="188"/>
      <c r="AJ506" s="188"/>
      <c r="AK506" s="188"/>
      <c r="AL506" s="188"/>
      <c r="AM506" s="188"/>
      <c r="AN506" s="188"/>
      <c r="AO506" s="299"/>
      <c r="AQ506" s="296"/>
      <c r="AR506" s="296"/>
      <c r="AS506" s="296"/>
      <c r="AU506" s="296"/>
      <c r="AV506" s="296"/>
      <c r="AW506" s="296"/>
    </row>
    <row r="507" spans="2:49" ht="13">
      <c r="B507" s="294"/>
      <c r="C507" s="294"/>
      <c r="D507" s="294"/>
      <c r="E507" s="294"/>
      <c r="F507" s="171"/>
      <c r="G507" s="294"/>
      <c r="H507" s="294"/>
      <c r="I507" s="294"/>
      <c r="J507" s="294"/>
      <c r="K507" s="294"/>
      <c r="L507" s="294"/>
      <c r="T507" s="295"/>
      <c r="AA507" s="295"/>
      <c r="AH507" s="295"/>
      <c r="AI507" s="188"/>
      <c r="AJ507" s="188"/>
      <c r="AK507" s="188"/>
      <c r="AL507" s="188"/>
      <c r="AM507" s="188"/>
      <c r="AN507" s="188"/>
      <c r="AO507" s="299"/>
      <c r="AQ507" s="296"/>
      <c r="AR507" s="296"/>
      <c r="AS507" s="296"/>
      <c r="AU507" s="296"/>
      <c r="AV507" s="296"/>
      <c r="AW507" s="296"/>
    </row>
    <row r="508" spans="2:49" ht="13">
      <c r="B508" s="294"/>
      <c r="C508" s="294"/>
      <c r="D508" s="294"/>
      <c r="E508" s="294"/>
      <c r="F508" s="171"/>
      <c r="G508" s="294"/>
      <c r="H508" s="294"/>
      <c r="I508" s="294"/>
      <c r="J508" s="294"/>
      <c r="K508" s="294"/>
      <c r="L508" s="294"/>
      <c r="T508" s="295"/>
      <c r="AA508" s="295"/>
      <c r="AH508" s="295"/>
      <c r="AI508" s="188"/>
      <c r="AJ508" s="188"/>
      <c r="AK508" s="188"/>
      <c r="AL508" s="188"/>
      <c r="AM508" s="188"/>
      <c r="AN508" s="188"/>
      <c r="AO508" s="299"/>
      <c r="AQ508" s="296"/>
      <c r="AR508" s="296"/>
      <c r="AS508" s="296"/>
      <c r="AU508" s="296"/>
      <c r="AV508" s="296"/>
      <c r="AW508" s="296"/>
    </row>
    <row r="509" spans="2:49" ht="13">
      <c r="B509" s="294"/>
      <c r="C509" s="294"/>
      <c r="D509" s="294"/>
      <c r="E509" s="294"/>
      <c r="F509" s="171"/>
      <c r="G509" s="294"/>
      <c r="H509" s="294"/>
      <c r="I509" s="294"/>
      <c r="J509" s="294"/>
      <c r="K509" s="294"/>
      <c r="L509" s="294"/>
      <c r="T509" s="295"/>
      <c r="AA509" s="295"/>
      <c r="AH509" s="295"/>
      <c r="AI509" s="188"/>
      <c r="AJ509" s="188"/>
      <c r="AK509" s="188"/>
      <c r="AL509" s="188"/>
      <c r="AM509" s="188"/>
      <c r="AN509" s="188"/>
      <c r="AO509" s="299"/>
      <c r="AQ509" s="296"/>
      <c r="AR509" s="296"/>
      <c r="AS509" s="296"/>
      <c r="AU509" s="296"/>
      <c r="AV509" s="296"/>
      <c r="AW509" s="296"/>
    </row>
    <row r="510" spans="2:49" ht="13">
      <c r="B510" s="294"/>
      <c r="C510" s="294"/>
      <c r="D510" s="294"/>
      <c r="E510" s="294"/>
      <c r="F510" s="171"/>
      <c r="G510" s="294"/>
      <c r="H510" s="294"/>
      <c r="I510" s="294"/>
      <c r="J510" s="294"/>
      <c r="K510" s="294"/>
      <c r="L510" s="294"/>
      <c r="T510" s="295"/>
      <c r="AA510" s="295"/>
      <c r="AH510" s="295"/>
      <c r="AI510" s="188"/>
      <c r="AJ510" s="188"/>
      <c r="AK510" s="188"/>
      <c r="AL510" s="188"/>
      <c r="AM510" s="188"/>
      <c r="AN510" s="188"/>
      <c r="AO510" s="299"/>
      <c r="AQ510" s="296"/>
      <c r="AR510" s="296"/>
      <c r="AS510" s="296"/>
      <c r="AU510" s="296"/>
      <c r="AV510" s="296"/>
      <c r="AW510" s="296"/>
    </row>
    <row r="511" spans="2:49" ht="13">
      <c r="B511" s="294"/>
      <c r="C511" s="294"/>
      <c r="D511" s="294"/>
      <c r="E511" s="294"/>
      <c r="F511" s="171"/>
      <c r="G511" s="294"/>
      <c r="H511" s="294"/>
      <c r="I511" s="294"/>
      <c r="J511" s="294"/>
      <c r="K511" s="294"/>
      <c r="L511" s="294"/>
      <c r="T511" s="295"/>
      <c r="AA511" s="295"/>
      <c r="AH511" s="295"/>
      <c r="AI511" s="188"/>
      <c r="AJ511" s="188"/>
      <c r="AK511" s="188"/>
      <c r="AL511" s="188"/>
      <c r="AM511" s="188"/>
      <c r="AN511" s="188"/>
      <c r="AO511" s="299"/>
      <c r="AQ511" s="296"/>
      <c r="AR511" s="296"/>
      <c r="AS511" s="296"/>
      <c r="AU511" s="296"/>
      <c r="AV511" s="296"/>
      <c r="AW511" s="296"/>
    </row>
    <row r="512" spans="2:49" ht="13">
      <c r="B512" s="294"/>
      <c r="C512" s="294"/>
      <c r="D512" s="294"/>
      <c r="E512" s="294"/>
      <c r="F512" s="171"/>
      <c r="G512" s="294"/>
      <c r="H512" s="294"/>
      <c r="I512" s="294"/>
      <c r="J512" s="294"/>
      <c r="K512" s="294"/>
      <c r="L512" s="294"/>
      <c r="T512" s="295"/>
      <c r="AA512" s="295"/>
      <c r="AH512" s="295"/>
      <c r="AI512" s="188"/>
      <c r="AJ512" s="188"/>
      <c r="AK512" s="188"/>
      <c r="AL512" s="188"/>
      <c r="AM512" s="188"/>
      <c r="AN512" s="188"/>
      <c r="AO512" s="299"/>
      <c r="AQ512" s="296"/>
      <c r="AR512" s="296"/>
      <c r="AS512" s="296"/>
      <c r="AU512" s="296"/>
      <c r="AV512" s="296"/>
      <c r="AW512" s="296"/>
    </row>
    <row r="513" spans="2:49" ht="13">
      <c r="B513" s="294"/>
      <c r="C513" s="294"/>
      <c r="D513" s="294"/>
      <c r="E513" s="294"/>
      <c r="F513" s="171"/>
      <c r="G513" s="294"/>
      <c r="H513" s="294"/>
      <c r="I513" s="294"/>
      <c r="J513" s="294"/>
      <c r="K513" s="294"/>
      <c r="L513" s="294"/>
      <c r="T513" s="295"/>
      <c r="AA513" s="295"/>
      <c r="AH513" s="295"/>
      <c r="AI513" s="188"/>
      <c r="AJ513" s="188"/>
      <c r="AK513" s="188"/>
      <c r="AL513" s="188"/>
      <c r="AM513" s="188"/>
      <c r="AN513" s="188"/>
      <c r="AO513" s="299"/>
      <c r="AQ513" s="296"/>
      <c r="AR513" s="296"/>
      <c r="AS513" s="296"/>
      <c r="AU513" s="296"/>
      <c r="AV513" s="296"/>
      <c r="AW513" s="296"/>
    </row>
    <row r="514" spans="2:49" ht="13">
      <c r="B514" s="294"/>
      <c r="C514" s="294"/>
      <c r="D514" s="294"/>
      <c r="E514" s="294"/>
      <c r="F514" s="171"/>
      <c r="G514" s="294"/>
      <c r="H514" s="294"/>
      <c r="I514" s="294"/>
      <c r="J514" s="294"/>
      <c r="K514" s="294"/>
      <c r="L514" s="294"/>
      <c r="T514" s="295"/>
      <c r="AA514" s="295"/>
      <c r="AH514" s="295"/>
      <c r="AI514" s="188"/>
      <c r="AJ514" s="188"/>
      <c r="AK514" s="188"/>
      <c r="AL514" s="188"/>
      <c r="AM514" s="188"/>
      <c r="AN514" s="188"/>
      <c r="AO514" s="299"/>
      <c r="AQ514" s="296"/>
      <c r="AR514" s="296"/>
      <c r="AS514" s="296"/>
      <c r="AU514" s="296"/>
      <c r="AV514" s="296"/>
      <c r="AW514" s="296"/>
    </row>
    <row r="515" spans="2:49" ht="13">
      <c r="B515" s="294"/>
      <c r="C515" s="294"/>
      <c r="D515" s="294"/>
      <c r="E515" s="294"/>
      <c r="F515" s="171"/>
      <c r="G515" s="294"/>
      <c r="H515" s="294"/>
      <c r="I515" s="294"/>
      <c r="J515" s="294"/>
      <c r="K515" s="294"/>
      <c r="L515" s="294"/>
      <c r="T515" s="295"/>
      <c r="AA515" s="295"/>
      <c r="AH515" s="295"/>
      <c r="AI515" s="188"/>
      <c r="AJ515" s="188"/>
      <c r="AK515" s="188"/>
      <c r="AL515" s="188"/>
      <c r="AM515" s="188"/>
      <c r="AN515" s="188"/>
      <c r="AO515" s="299"/>
      <c r="AQ515" s="296"/>
      <c r="AR515" s="296"/>
      <c r="AS515" s="296"/>
      <c r="AU515" s="296"/>
      <c r="AV515" s="296"/>
      <c r="AW515" s="296"/>
    </row>
    <row r="516" spans="2:49" ht="13">
      <c r="B516" s="294"/>
      <c r="C516" s="294"/>
      <c r="D516" s="294"/>
      <c r="E516" s="294"/>
      <c r="F516" s="171"/>
      <c r="G516" s="294"/>
      <c r="H516" s="294"/>
      <c r="I516" s="294"/>
      <c r="J516" s="294"/>
      <c r="K516" s="294"/>
      <c r="L516" s="294"/>
      <c r="T516" s="295"/>
      <c r="AA516" s="295"/>
      <c r="AH516" s="295"/>
      <c r="AI516" s="188"/>
      <c r="AJ516" s="188"/>
      <c r="AK516" s="188"/>
      <c r="AL516" s="188"/>
      <c r="AM516" s="188"/>
      <c r="AN516" s="188"/>
      <c r="AO516" s="299"/>
      <c r="AQ516" s="296"/>
      <c r="AR516" s="296"/>
      <c r="AS516" s="296"/>
      <c r="AU516" s="296"/>
      <c r="AV516" s="296"/>
      <c r="AW516" s="296"/>
    </row>
    <row r="517" spans="2:49" ht="13">
      <c r="B517" s="294"/>
      <c r="C517" s="294"/>
      <c r="D517" s="294"/>
      <c r="E517" s="294"/>
      <c r="F517" s="171"/>
      <c r="G517" s="294"/>
      <c r="H517" s="294"/>
      <c r="I517" s="294"/>
      <c r="J517" s="294"/>
      <c r="K517" s="294"/>
      <c r="L517" s="294"/>
      <c r="T517" s="295"/>
      <c r="AA517" s="295"/>
      <c r="AH517" s="295"/>
      <c r="AI517" s="188"/>
      <c r="AJ517" s="188"/>
      <c r="AK517" s="188"/>
      <c r="AL517" s="188"/>
      <c r="AM517" s="188"/>
      <c r="AN517" s="188"/>
      <c r="AO517" s="299"/>
      <c r="AQ517" s="296"/>
      <c r="AR517" s="296"/>
      <c r="AS517" s="296"/>
      <c r="AU517" s="296"/>
      <c r="AV517" s="296"/>
      <c r="AW517" s="296"/>
    </row>
    <row r="518" spans="2:49" ht="13">
      <c r="B518" s="294"/>
      <c r="C518" s="294"/>
      <c r="D518" s="294"/>
      <c r="E518" s="294"/>
      <c r="F518" s="171"/>
      <c r="G518" s="294"/>
      <c r="H518" s="294"/>
      <c r="I518" s="294"/>
      <c r="J518" s="294"/>
      <c r="K518" s="294"/>
      <c r="L518" s="294"/>
      <c r="T518" s="295"/>
      <c r="AA518" s="295"/>
      <c r="AH518" s="295"/>
      <c r="AI518" s="188"/>
      <c r="AJ518" s="188"/>
      <c r="AK518" s="188"/>
      <c r="AL518" s="188"/>
      <c r="AM518" s="188"/>
      <c r="AN518" s="188"/>
      <c r="AO518" s="299"/>
      <c r="AQ518" s="296"/>
      <c r="AR518" s="296"/>
      <c r="AS518" s="296"/>
      <c r="AU518" s="296"/>
      <c r="AV518" s="296"/>
      <c r="AW518" s="296"/>
    </row>
    <row r="519" spans="2:49" ht="13">
      <c r="B519" s="294"/>
      <c r="C519" s="294"/>
      <c r="D519" s="294"/>
      <c r="E519" s="294"/>
      <c r="F519" s="171"/>
      <c r="G519" s="294"/>
      <c r="H519" s="294"/>
      <c r="I519" s="294"/>
      <c r="J519" s="294"/>
      <c r="K519" s="294"/>
      <c r="L519" s="294"/>
      <c r="T519" s="295"/>
      <c r="AA519" s="295"/>
      <c r="AH519" s="295"/>
      <c r="AI519" s="188"/>
      <c r="AJ519" s="188"/>
      <c r="AK519" s="188"/>
      <c r="AL519" s="188"/>
      <c r="AM519" s="188"/>
      <c r="AN519" s="188"/>
      <c r="AO519" s="299"/>
      <c r="AQ519" s="296"/>
      <c r="AR519" s="296"/>
      <c r="AS519" s="296"/>
      <c r="AU519" s="296"/>
      <c r="AV519" s="296"/>
      <c r="AW519" s="296"/>
    </row>
    <row r="520" spans="2:49" ht="13">
      <c r="B520" s="294"/>
      <c r="C520" s="294"/>
      <c r="D520" s="294"/>
      <c r="E520" s="294"/>
      <c r="F520" s="171"/>
      <c r="G520" s="294"/>
      <c r="H520" s="294"/>
      <c r="I520" s="294"/>
      <c r="J520" s="294"/>
      <c r="K520" s="294"/>
      <c r="L520" s="294"/>
      <c r="T520" s="295"/>
      <c r="AA520" s="295"/>
      <c r="AH520" s="295"/>
      <c r="AI520" s="188"/>
      <c r="AJ520" s="188"/>
      <c r="AK520" s="188"/>
      <c r="AL520" s="188"/>
      <c r="AM520" s="188"/>
      <c r="AN520" s="188"/>
      <c r="AO520" s="299"/>
      <c r="AQ520" s="296"/>
      <c r="AR520" s="296"/>
      <c r="AS520" s="296"/>
      <c r="AU520" s="296"/>
      <c r="AV520" s="296"/>
      <c r="AW520" s="296"/>
    </row>
    <row r="521" spans="2:49" ht="13">
      <c r="B521" s="294"/>
      <c r="C521" s="294"/>
      <c r="D521" s="294"/>
      <c r="E521" s="294"/>
      <c r="F521" s="171"/>
      <c r="G521" s="294"/>
      <c r="H521" s="294"/>
      <c r="I521" s="294"/>
      <c r="J521" s="294"/>
      <c r="K521" s="294"/>
      <c r="L521" s="294"/>
      <c r="T521" s="295"/>
      <c r="AA521" s="295"/>
      <c r="AH521" s="295"/>
      <c r="AI521" s="188"/>
      <c r="AJ521" s="188"/>
      <c r="AK521" s="188"/>
      <c r="AL521" s="188"/>
      <c r="AM521" s="188"/>
      <c r="AN521" s="188"/>
      <c r="AO521" s="299"/>
      <c r="AQ521" s="296"/>
      <c r="AR521" s="296"/>
      <c r="AS521" s="296"/>
      <c r="AU521" s="296"/>
      <c r="AV521" s="296"/>
      <c r="AW521" s="296"/>
    </row>
    <row r="522" spans="2:49" ht="13">
      <c r="B522" s="294"/>
      <c r="C522" s="294"/>
      <c r="D522" s="294"/>
      <c r="E522" s="294"/>
      <c r="F522" s="171"/>
      <c r="G522" s="294"/>
      <c r="H522" s="294"/>
      <c r="I522" s="294"/>
      <c r="J522" s="294"/>
      <c r="K522" s="294"/>
      <c r="L522" s="294"/>
      <c r="T522" s="295"/>
      <c r="AA522" s="295"/>
      <c r="AH522" s="295"/>
      <c r="AI522" s="188"/>
      <c r="AJ522" s="188"/>
      <c r="AK522" s="188"/>
      <c r="AL522" s="188"/>
      <c r="AM522" s="188"/>
      <c r="AN522" s="188"/>
      <c r="AO522" s="299"/>
      <c r="AQ522" s="296"/>
      <c r="AR522" s="296"/>
      <c r="AS522" s="296"/>
      <c r="AU522" s="296"/>
      <c r="AV522" s="296"/>
      <c r="AW522" s="296"/>
    </row>
    <row r="523" spans="2:49" ht="13">
      <c r="B523" s="294"/>
      <c r="C523" s="294"/>
      <c r="D523" s="294"/>
      <c r="E523" s="294"/>
      <c r="F523" s="171"/>
      <c r="G523" s="294"/>
      <c r="H523" s="294"/>
      <c r="I523" s="294"/>
      <c r="J523" s="294"/>
      <c r="K523" s="294"/>
      <c r="L523" s="294"/>
      <c r="T523" s="295"/>
      <c r="AA523" s="295"/>
      <c r="AH523" s="295"/>
      <c r="AI523" s="188"/>
      <c r="AJ523" s="188"/>
      <c r="AK523" s="188"/>
      <c r="AL523" s="188"/>
      <c r="AM523" s="188"/>
      <c r="AN523" s="188"/>
      <c r="AO523" s="299"/>
      <c r="AQ523" s="296"/>
      <c r="AR523" s="296"/>
      <c r="AS523" s="296"/>
      <c r="AU523" s="296"/>
      <c r="AV523" s="296"/>
      <c r="AW523" s="296"/>
    </row>
    <row r="524" spans="2:49" ht="13">
      <c r="B524" s="294"/>
      <c r="C524" s="294"/>
      <c r="D524" s="294"/>
      <c r="E524" s="294"/>
      <c r="F524" s="171"/>
      <c r="G524" s="294"/>
      <c r="H524" s="294"/>
      <c r="I524" s="294"/>
      <c r="J524" s="294"/>
      <c r="K524" s="294"/>
      <c r="L524" s="294"/>
      <c r="T524" s="295"/>
      <c r="AA524" s="295"/>
      <c r="AH524" s="295"/>
      <c r="AI524" s="188"/>
      <c r="AJ524" s="188"/>
      <c r="AK524" s="188"/>
      <c r="AL524" s="188"/>
      <c r="AM524" s="188"/>
      <c r="AN524" s="188"/>
      <c r="AO524" s="299"/>
      <c r="AQ524" s="296"/>
      <c r="AR524" s="296"/>
      <c r="AS524" s="296"/>
      <c r="AU524" s="296"/>
      <c r="AV524" s="296"/>
      <c r="AW524" s="296"/>
    </row>
    <row r="525" spans="2:49" ht="13">
      <c r="B525" s="294"/>
      <c r="C525" s="294"/>
      <c r="D525" s="294"/>
      <c r="E525" s="294"/>
      <c r="F525" s="171"/>
      <c r="G525" s="294"/>
      <c r="H525" s="294"/>
      <c r="I525" s="294"/>
      <c r="J525" s="294"/>
      <c r="K525" s="294"/>
      <c r="L525" s="294"/>
      <c r="T525" s="295"/>
      <c r="AA525" s="295"/>
      <c r="AH525" s="295"/>
      <c r="AI525" s="188"/>
      <c r="AJ525" s="188"/>
      <c r="AK525" s="188"/>
      <c r="AL525" s="188"/>
      <c r="AM525" s="188"/>
      <c r="AN525" s="188"/>
      <c r="AO525" s="299"/>
      <c r="AQ525" s="296"/>
      <c r="AR525" s="296"/>
      <c r="AS525" s="296"/>
      <c r="AU525" s="296"/>
      <c r="AV525" s="296"/>
      <c r="AW525" s="296"/>
    </row>
    <row r="526" spans="2:49" ht="13">
      <c r="B526" s="294"/>
      <c r="C526" s="294"/>
      <c r="D526" s="294"/>
      <c r="E526" s="294"/>
      <c r="F526" s="171"/>
      <c r="G526" s="294"/>
      <c r="H526" s="294"/>
      <c r="I526" s="294"/>
      <c r="J526" s="294"/>
      <c r="K526" s="294"/>
      <c r="L526" s="294"/>
      <c r="T526" s="295"/>
      <c r="AA526" s="295"/>
      <c r="AH526" s="295"/>
      <c r="AI526" s="188"/>
      <c r="AJ526" s="188"/>
      <c r="AK526" s="188"/>
      <c r="AL526" s="188"/>
      <c r="AM526" s="188"/>
      <c r="AN526" s="188"/>
      <c r="AO526" s="299"/>
      <c r="AQ526" s="296"/>
      <c r="AR526" s="296"/>
      <c r="AS526" s="296"/>
      <c r="AU526" s="296"/>
      <c r="AV526" s="296"/>
      <c r="AW526" s="296"/>
    </row>
    <row r="527" spans="2:49" ht="13">
      <c r="B527" s="294"/>
      <c r="C527" s="294"/>
      <c r="D527" s="294"/>
      <c r="E527" s="294"/>
      <c r="F527" s="171"/>
      <c r="G527" s="294"/>
      <c r="H527" s="294"/>
      <c r="I527" s="294"/>
      <c r="J527" s="294"/>
      <c r="K527" s="294"/>
      <c r="L527" s="294"/>
      <c r="T527" s="295"/>
      <c r="AA527" s="295"/>
      <c r="AH527" s="295"/>
      <c r="AI527" s="188"/>
      <c r="AJ527" s="188"/>
      <c r="AK527" s="188"/>
      <c r="AL527" s="188"/>
      <c r="AM527" s="188"/>
      <c r="AN527" s="188"/>
      <c r="AO527" s="299"/>
      <c r="AQ527" s="296"/>
      <c r="AR527" s="296"/>
      <c r="AS527" s="296"/>
      <c r="AU527" s="296"/>
      <c r="AV527" s="296"/>
      <c r="AW527" s="296"/>
    </row>
    <row r="528" spans="2:49" ht="13">
      <c r="B528" s="294"/>
      <c r="C528" s="294"/>
      <c r="D528" s="294"/>
      <c r="E528" s="294"/>
      <c r="F528" s="171"/>
      <c r="G528" s="294"/>
      <c r="H528" s="294"/>
      <c r="I528" s="294"/>
      <c r="J528" s="294"/>
      <c r="K528" s="294"/>
      <c r="L528" s="294"/>
      <c r="T528" s="295"/>
      <c r="AA528" s="295"/>
      <c r="AH528" s="295"/>
      <c r="AI528" s="188"/>
      <c r="AJ528" s="188"/>
      <c r="AK528" s="188"/>
      <c r="AL528" s="188"/>
      <c r="AM528" s="188"/>
      <c r="AN528" s="188"/>
      <c r="AO528" s="299"/>
      <c r="AQ528" s="296"/>
      <c r="AR528" s="296"/>
      <c r="AS528" s="296"/>
      <c r="AU528" s="296"/>
      <c r="AV528" s="296"/>
      <c r="AW528" s="296"/>
    </row>
    <row r="529" spans="2:49" ht="13">
      <c r="B529" s="294"/>
      <c r="C529" s="294"/>
      <c r="D529" s="294"/>
      <c r="E529" s="294"/>
      <c r="F529" s="171"/>
      <c r="G529" s="294"/>
      <c r="H529" s="294"/>
      <c r="I529" s="294"/>
      <c r="J529" s="294"/>
      <c r="K529" s="294"/>
      <c r="L529" s="294"/>
      <c r="T529" s="295"/>
      <c r="AA529" s="295"/>
      <c r="AH529" s="295"/>
      <c r="AI529" s="188"/>
      <c r="AJ529" s="188"/>
      <c r="AK529" s="188"/>
      <c r="AL529" s="188"/>
      <c r="AM529" s="188"/>
      <c r="AN529" s="188"/>
      <c r="AO529" s="299"/>
      <c r="AQ529" s="296"/>
      <c r="AR529" s="296"/>
      <c r="AS529" s="296"/>
      <c r="AU529" s="296"/>
      <c r="AV529" s="296"/>
      <c r="AW529" s="296"/>
    </row>
    <row r="530" spans="2:49" ht="13">
      <c r="B530" s="294"/>
      <c r="C530" s="294"/>
      <c r="D530" s="294"/>
      <c r="E530" s="294"/>
      <c r="F530" s="171"/>
      <c r="G530" s="294"/>
      <c r="H530" s="294"/>
      <c r="I530" s="294"/>
      <c r="J530" s="294"/>
      <c r="K530" s="294"/>
      <c r="L530" s="294"/>
      <c r="T530" s="295"/>
      <c r="AA530" s="295"/>
      <c r="AH530" s="295"/>
      <c r="AI530" s="188"/>
      <c r="AJ530" s="188"/>
      <c r="AK530" s="188"/>
      <c r="AL530" s="188"/>
      <c r="AM530" s="188"/>
      <c r="AN530" s="188"/>
      <c r="AO530" s="299"/>
      <c r="AQ530" s="296"/>
      <c r="AR530" s="296"/>
      <c r="AS530" s="296"/>
      <c r="AU530" s="296"/>
      <c r="AV530" s="296"/>
      <c r="AW530" s="296"/>
    </row>
    <row r="531" spans="2:49" ht="13">
      <c r="B531" s="294"/>
      <c r="C531" s="294"/>
      <c r="D531" s="294"/>
      <c r="E531" s="294"/>
      <c r="F531" s="171"/>
      <c r="G531" s="294"/>
      <c r="H531" s="294"/>
      <c r="I531" s="294"/>
      <c r="J531" s="294"/>
      <c r="K531" s="294"/>
      <c r="L531" s="294"/>
      <c r="T531" s="295"/>
      <c r="AA531" s="295"/>
      <c r="AH531" s="295"/>
      <c r="AI531" s="188"/>
      <c r="AJ531" s="188"/>
      <c r="AK531" s="188"/>
      <c r="AL531" s="188"/>
      <c r="AM531" s="188"/>
      <c r="AN531" s="188"/>
      <c r="AO531" s="299"/>
      <c r="AQ531" s="296"/>
      <c r="AR531" s="296"/>
      <c r="AS531" s="296"/>
      <c r="AU531" s="296"/>
      <c r="AV531" s="296"/>
      <c r="AW531" s="296"/>
    </row>
    <row r="532" spans="2:49" ht="13">
      <c r="B532" s="294"/>
      <c r="C532" s="294"/>
      <c r="D532" s="294"/>
      <c r="E532" s="294"/>
      <c r="F532" s="171"/>
      <c r="G532" s="294"/>
      <c r="H532" s="294"/>
      <c r="I532" s="294"/>
      <c r="J532" s="294"/>
      <c r="K532" s="294"/>
      <c r="L532" s="294"/>
      <c r="T532" s="295"/>
      <c r="AA532" s="295"/>
      <c r="AH532" s="295"/>
      <c r="AI532" s="188"/>
      <c r="AJ532" s="188"/>
      <c r="AK532" s="188"/>
      <c r="AL532" s="188"/>
      <c r="AM532" s="188"/>
      <c r="AN532" s="188"/>
      <c r="AO532" s="299"/>
      <c r="AQ532" s="296"/>
      <c r="AR532" s="296"/>
      <c r="AS532" s="296"/>
      <c r="AU532" s="296"/>
      <c r="AV532" s="296"/>
      <c r="AW532" s="296"/>
    </row>
    <row r="533" spans="2:49" ht="13">
      <c r="B533" s="294"/>
      <c r="C533" s="294"/>
      <c r="D533" s="294"/>
      <c r="E533" s="294"/>
      <c r="F533" s="171"/>
      <c r="G533" s="294"/>
      <c r="H533" s="294"/>
      <c r="I533" s="294"/>
      <c r="J533" s="294"/>
      <c r="K533" s="294"/>
      <c r="L533" s="294"/>
      <c r="T533" s="295"/>
      <c r="AA533" s="295"/>
      <c r="AH533" s="295"/>
      <c r="AI533" s="188"/>
      <c r="AJ533" s="188"/>
      <c r="AK533" s="188"/>
      <c r="AL533" s="188"/>
      <c r="AM533" s="188"/>
      <c r="AN533" s="188"/>
      <c r="AO533" s="299"/>
      <c r="AQ533" s="296"/>
      <c r="AR533" s="296"/>
      <c r="AS533" s="296"/>
      <c r="AU533" s="296"/>
      <c r="AV533" s="296"/>
      <c r="AW533" s="296"/>
    </row>
    <row r="534" spans="2:49" ht="13">
      <c r="B534" s="294"/>
      <c r="C534" s="294"/>
      <c r="D534" s="294"/>
      <c r="E534" s="294"/>
      <c r="F534" s="171"/>
      <c r="G534" s="294"/>
      <c r="H534" s="294"/>
      <c r="I534" s="294"/>
      <c r="J534" s="294"/>
      <c r="K534" s="294"/>
      <c r="L534" s="294"/>
      <c r="T534" s="295"/>
      <c r="AA534" s="295"/>
      <c r="AH534" s="295"/>
      <c r="AI534" s="188"/>
      <c r="AJ534" s="188"/>
      <c r="AK534" s="188"/>
      <c r="AL534" s="188"/>
      <c r="AM534" s="188"/>
      <c r="AN534" s="188"/>
      <c r="AO534" s="299"/>
      <c r="AQ534" s="296"/>
      <c r="AR534" s="296"/>
      <c r="AS534" s="296"/>
      <c r="AU534" s="296"/>
      <c r="AV534" s="296"/>
      <c r="AW534" s="296"/>
    </row>
    <row r="535" spans="2:49" ht="13">
      <c r="B535" s="294"/>
      <c r="C535" s="294"/>
      <c r="D535" s="294"/>
      <c r="E535" s="294"/>
      <c r="F535" s="171"/>
      <c r="G535" s="294"/>
      <c r="H535" s="294"/>
      <c r="I535" s="294"/>
      <c r="J535" s="294"/>
      <c r="K535" s="294"/>
      <c r="L535" s="294"/>
      <c r="T535" s="295"/>
      <c r="AA535" s="295"/>
      <c r="AH535" s="295"/>
      <c r="AI535" s="188"/>
      <c r="AJ535" s="188"/>
      <c r="AK535" s="188"/>
      <c r="AL535" s="188"/>
      <c r="AM535" s="188"/>
      <c r="AN535" s="188"/>
      <c r="AO535" s="299"/>
      <c r="AQ535" s="296"/>
      <c r="AR535" s="296"/>
      <c r="AS535" s="296"/>
      <c r="AU535" s="296"/>
      <c r="AV535" s="296"/>
      <c r="AW535" s="296"/>
    </row>
    <row r="536" spans="2:49" ht="13">
      <c r="B536" s="294"/>
      <c r="C536" s="294"/>
      <c r="D536" s="294"/>
      <c r="E536" s="294"/>
      <c r="F536" s="171"/>
      <c r="G536" s="294"/>
      <c r="H536" s="294"/>
      <c r="I536" s="294"/>
      <c r="J536" s="294"/>
      <c r="K536" s="294"/>
      <c r="L536" s="294"/>
      <c r="T536" s="295"/>
      <c r="AA536" s="295"/>
      <c r="AH536" s="295"/>
      <c r="AI536" s="188"/>
      <c r="AJ536" s="188"/>
      <c r="AK536" s="188"/>
      <c r="AL536" s="188"/>
      <c r="AM536" s="188"/>
      <c r="AN536" s="188"/>
      <c r="AO536" s="299"/>
      <c r="AQ536" s="296"/>
      <c r="AR536" s="296"/>
      <c r="AS536" s="296"/>
      <c r="AU536" s="296"/>
      <c r="AV536" s="296"/>
      <c r="AW536" s="296"/>
    </row>
    <row r="537" spans="2:49" ht="13">
      <c r="B537" s="294"/>
      <c r="C537" s="294"/>
      <c r="D537" s="294"/>
      <c r="E537" s="294"/>
      <c r="F537" s="171"/>
      <c r="G537" s="294"/>
      <c r="H537" s="294"/>
      <c r="I537" s="294"/>
      <c r="J537" s="294"/>
      <c r="K537" s="294"/>
      <c r="L537" s="294"/>
      <c r="T537" s="295"/>
      <c r="AA537" s="295"/>
      <c r="AH537" s="295"/>
      <c r="AI537" s="188"/>
      <c r="AJ537" s="188"/>
      <c r="AK537" s="188"/>
      <c r="AL537" s="188"/>
      <c r="AM537" s="188"/>
      <c r="AN537" s="188"/>
      <c r="AO537" s="299"/>
      <c r="AQ537" s="296"/>
      <c r="AR537" s="296"/>
      <c r="AS537" s="296"/>
      <c r="AU537" s="296"/>
      <c r="AV537" s="296"/>
      <c r="AW537" s="296"/>
    </row>
    <row r="538" spans="2:49" ht="13">
      <c r="B538" s="294"/>
      <c r="C538" s="294"/>
      <c r="D538" s="294"/>
      <c r="E538" s="294"/>
      <c r="F538" s="171"/>
      <c r="G538" s="294"/>
      <c r="H538" s="294"/>
      <c r="I538" s="294"/>
      <c r="J538" s="294"/>
      <c r="K538" s="294"/>
      <c r="L538" s="294"/>
      <c r="T538" s="295"/>
      <c r="AA538" s="295"/>
      <c r="AH538" s="295"/>
      <c r="AI538" s="188"/>
      <c r="AJ538" s="188"/>
      <c r="AK538" s="188"/>
      <c r="AL538" s="188"/>
      <c r="AM538" s="188"/>
      <c r="AN538" s="188"/>
      <c r="AO538" s="299"/>
      <c r="AQ538" s="296"/>
      <c r="AR538" s="296"/>
      <c r="AS538" s="296"/>
      <c r="AU538" s="296"/>
      <c r="AV538" s="296"/>
      <c r="AW538" s="296"/>
    </row>
    <row r="539" spans="2:49" ht="13">
      <c r="B539" s="294"/>
      <c r="C539" s="294"/>
      <c r="D539" s="294"/>
      <c r="E539" s="294"/>
      <c r="F539" s="171"/>
      <c r="G539" s="294"/>
      <c r="H539" s="294"/>
      <c r="I539" s="294"/>
      <c r="J539" s="294"/>
      <c r="K539" s="294"/>
      <c r="L539" s="294"/>
      <c r="T539" s="295"/>
      <c r="AA539" s="295"/>
      <c r="AH539" s="295"/>
      <c r="AI539" s="188"/>
      <c r="AJ539" s="188"/>
      <c r="AK539" s="188"/>
      <c r="AL539" s="188"/>
      <c r="AM539" s="188"/>
      <c r="AN539" s="188"/>
      <c r="AO539" s="299"/>
      <c r="AQ539" s="296"/>
      <c r="AR539" s="296"/>
      <c r="AS539" s="296"/>
      <c r="AU539" s="296"/>
      <c r="AV539" s="296"/>
      <c r="AW539" s="296"/>
    </row>
    <row r="540" spans="2:49" ht="13">
      <c r="B540" s="294"/>
      <c r="C540" s="294"/>
      <c r="D540" s="294"/>
      <c r="E540" s="294"/>
      <c r="F540" s="171"/>
      <c r="G540" s="294"/>
      <c r="H540" s="294"/>
      <c r="I540" s="294"/>
      <c r="J540" s="294"/>
      <c r="K540" s="294"/>
      <c r="L540" s="294"/>
      <c r="T540" s="295"/>
      <c r="AA540" s="295"/>
      <c r="AH540" s="295"/>
      <c r="AI540" s="188"/>
      <c r="AJ540" s="188"/>
      <c r="AK540" s="188"/>
      <c r="AL540" s="188"/>
      <c r="AM540" s="188"/>
      <c r="AN540" s="188"/>
      <c r="AO540" s="299"/>
      <c r="AQ540" s="296"/>
      <c r="AR540" s="296"/>
      <c r="AS540" s="296"/>
      <c r="AU540" s="296"/>
      <c r="AV540" s="296"/>
      <c r="AW540" s="296"/>
    </row>
    <row r="541" spans="2:49" ht="13">
      <c r="B541" s="294"/>
      <c r="C541" s="294"/>
      <c r="D541" s="294"/>
      <c r="E541" s="294"/>
      <c r="F541" s="171"/>
      <c r="G541" s="294"/>
      <c r="H541" s="294"/>
      <c r="I541" s="294"/>
      <c r="J541" s="294"/>
      <c r="K541" s="294"/>
      <c r="L541" s="294"/>
      <c r="T541" s="295"/>
      <c r="AA541" s="295"/>
      <c r="AH541" s="295"/>
      <c r="AI541" s="188"/>
      <c r="AJ541" s="188"/>
      <c r="AK541" s="188"/>
      <c r="AL541" s="188"/>
      <c r="AM541" s="188"/>
      <c r="AN541" s="188"/>
      <c r="AO541" s="299"/>
      <c r="AQ541" s="296"/>
      <c r="AR541" s="296"/>
      <c r="AS541" s="296"/>
      <c r="AU541" s="296"/>
      <c r="AV541" s="296"/>
      <c r="AW541" s="296"/>
    </row>
    <row r="542" spans="2:49" ht="13">
      <c r="B542" s="294"/>
      <c r="C542" s="294"/>
      <c r="D542" s="294"/>
      <c r="E542" s="294"/>
      <c r="F542" s="171"/>
      <c r="G542" s="294"/>
      <c r="H542" s="294"/>
      <c r="I542" s="294"/>
      <c r="J542" s="294"/>
      <c r="K542" s="294"/>
      <c r="L542" s="294"/>
      <c r="T542" s="295"/>
      <c r="AA542" s="295"/>
      <c r="AH542" s="295"/>
      <c r="AI542" s="188"/>
      <c r="AJ542" s="188"/>
      <c r="AK542" s="188"/>
      <c r="AL542" s="188"/>
      <c r="AM542" s="188"/>
      <c r="AN542" s="188"/>
      <c r="AO542" s="299"/>
      <c r="AQ542" s="296"/>
      <c r="AR542" s="296"/>
      <c r="AS542" s="296"/>
      <c r="AU542" s="296"/>
      <c r="AV542" s="296"/>
      <c r="AW542" s="296"/>
    </row>
    <row r="543" spans="2:49" ht="13">
      <c r="B543" s="294"/>
      <c r="C543" s="294"/>
      <c r="D543" s="294"/>
      <c r="E543" s="294"/>
      <c r="F543" s="171"/>
      <c r="G543" s="294"/>
      <c r="H543" s="294"/>
      <c r="I543" s="294"/>
      <c r="J543" s="294"/>
      <c r="K543" s="294"/>
      <c r="L543" s="294"/>
      <c r="T543" s="295"/>
      <c r="AA543" s="295"/>
      <c r="AH543" s="295"/>
      <c r="AI543" s="188"/>
      <c r="AJ543" s="188"/>
      <c r="AK543" s="188"/>
      <c r="AL543" s="188"/>
      <c r="AM543" s="188"/>
      <c r="AN543" s="188"/>
      <c r="AO543" s="299"/>
      <c r="AQ543" s="296"/>
      <c r="AR543" s="296"/>
      <c r="AS543" s="296"/>
      <c r="AU543" s="296"/>
      <c r="AV543" s="296"/>
      <c r="AW543" s="296"/>
    </row>
    <row r="544" spans="2:49" ht="13">
      <c r="B544" s="294"/>
      <c r="C544" s="294"/>
      <c r="D544" s="294"/>
      <c r="E544" s="294"/>
      <c r="F544" s="171"/>
      <c r="G544" s="294"/>
      <c r="H544" s="294"/>
      <c r="I544" s="294"/>
      <c r="J544" s="294"/>
      <c r="K544" s="294"/>
      <c r="L544" s="294"/>
      <c r="T544" s="295"/>
      <c r="AA544" s="295"/>
      <c r="AH544" s="295"/>
      <c r="AI544" s="188"/>
      <c r="AJ544" s="188"/>
      <c r="AK544" s="188"/>
      <c r="AL544" s="188"/>
      <c r="AM544" s="188"/>
      <c r="AN544" s="188"/>
      <c r="AO544" s="299"/>
      <c r="AQ544" s="296"/>
      <c r="AR544" s="296"/>
      <c r="AS544" s="296"/>
      <c r="AU544" s="296"/>
      <c r="AV544" s="296"/>
      <c r="AW544" s="296"/>
    </row>
    <row r="545" spans="2:49" ht="13">
      <c r="B545" s="294"/>
      <c r="C545" s="294"/>
      <c r="D545" s="294"/>
      <c r="E545" s="294"/>
      <c r="F545" s="171"/>
      <c r="G545" s="294"/>
      <c r="H545" s="294"/>
      <c r="I545" s="294"/>
      <c r="J545" s="294"/>
      <c r="K545" s="294"/>
      <c r="L545" s="294"/>
      <c r="T545" s="295"/>
      <c r="AA545" s="295"/>
      <c r="AH545" s="295"/>
      <c r="AI545" s="188"/>
      <c r="AJ545" s="188"/>
      <c r="AK545" s="188"/>
      <c r="AL545" s="188"/>
      <c r="AM545" s="188"/>
      <c r="AN545" s="188"/>
      <c r="AO545" s="299"/>
      <c r="AQ545" s="296"/>
      <c r="AR545" s="296"/>
      <c r="AS545" s="296"/>
      <c r="AU545" s="296"/>
      <c r="AV545" s="296"/>
      <c r="AW545" s="296"/>
    </row>
    <row r="546" spans="2:49" ht="13">
      <c r="B546" s="294"/>
      <c r="C546" s="294"/>
      <c r="D546" s="294"/>
      <c r="E546" s="294"/>
      <c r="F546" s="171"/>
      <c r="G546" s="294"/>
      <c r="H546" s="294"/>
      <c r="I546" s="294"/>
      <c r="J546" s="294"/>
      <c r="K546" s="294"/>
      <c r="L546" s="294"/>
      <c r="T546" s="295"/>
      <c r="AA546" s="295"/>
      <c r="AH546" s="295"/>
      <c r="AI546" s="188"/>
      <c r="AJ546" s="188"/>
      <c r="AK546" s="188"/>
      <c r="AL546" s="188"/>
      <c r="AM546" s="188"/>
      <c r="AN546" s="188"/>
      <c r="AO546" s="299"/>
      <c r="AQ546" s="296"/>
      <c r="AR546" s="296"/>
      <c r="AS546" s="296"/>
      <c r="AU546" s="296"/>
      <c r="AV546" s="296"/>
      <c r="AW546" s="296"/>
    </row>
    <row r="547" spans="2:49" ht="13">
      <c r="B547" s="294"/>
      <c r="C547" s="294"/>
      <c r="D547" s="294"/>
      <c r="E547" s="294"/>
      <c r="F547" s="171"/>
      <c r="G547" s="294"/>
      <c r="H547" s="294"/>
      <c r="I547" s="294"/>
      <c r="J547" s="294"/>
      <c r="K547" s="294"/>
      <c r="L547" s="294"/>
      <c r="T547" s="295"/>
      <c r="AA547" s="295"/>
      <c r="AH547" s="295"/>
      <c r="AI547" s="188"/>
      <c r="AJ547" s="188"/>
      <c r="AK547" s="188"/>
      <c r="AL547" s="188"/>
      <c r="AM547" s="188"/>
      <c r="AN547" s="188"/>
      <c r="AO547" s="299"/>
      <c r="AQ547" s="296"/>
      <c r="AR547" s="296"/>
      <c r="AS547" s="296"/>
      <c r="AU547" s="296"/>
      <c r="AV547" s="296"/>
      <c r="AW547" s="296"/>
    </row>
    <row r="548" spans="2:49" ht="13">
      <c r="B548" s="294"/>
      <c r="C548" s="294"/>
      <c r="D548" s="294"/>
      <c r="E548" s="294"/>
      <c r="F548" s="171"/>
      <c r="G548" s="294"/>
      <c r="H548" s="294"/>
      <c r="I548" s="294"/>
      <c r="J548" s="294"/>
      <c r="K548" s="294"/>
      <c r="L548" s="294"/>
      <c r="T548" s="295"/>
      <c r="AA548" s="295"/>
      <c r="AH548" s="295"/>
      <c r="AI548" s="188"/>
      <c r="AJ548" s="188"/>
      <c r="AK548" s="188"/>
      <c r="AL548" s="188"/>
      <c r="AM548" s="188"/>
      <c r="AN548" s="188"/>
      <c r="AO548" s="299"/>
      <c r="AQ548" s="296"/>
      <c r="AR548" s="296"/>
      <c r="AS548" s="296"/>
      <c r="AU548" s="296"/>
      <c r="AV548" s="296"/>
      <c r="AW548" s="296"/>
    </row>
    <row r="549" spans="2:49" ht="13">
      <c r="B549" s="294"/>
      <c r="C549" s="294"/>
      <c r="D549" s="294"/>
      <c r="E549" s="294"/>
      <c r="F549" s="171"/>
      <c r="G549" s="294"/>
      <c r="H549" s="294"/>
      <c r="I549" s="294"/>
      <c r="J549" s="294"/>
      <c r="K549" s="294"/>
      <c r="L549" s="294"/>
      <c r="T549" s="295"/>
      <c r="AA549" s="295"/>
      <c r="AH549" s="295"/>
      <c r="AI549" s="188"/>
      <c r="AJ549" s="188"/>
      <c r="AK549" s="188"/>
      <c r="AL549" s="188"/>
      <c r="AM549" s="188"/>
      <c r="AN549" s="188"/>
      <c r="AO549" s="299"/>
      <c r="AQ549" s="296"/>
      <c r="AR549" s="296"/>
      <c r="AS549" s="296"/>
      <c r="AU549" s="296"/>
      <c r="AV549" s="296"/>
      <c r="AW549" s="296"/>
    </row>
    <row r="550" spans="2:49" ht="13">
      <c r="B550" s="294"/>
      <c r="C550" s="294"/>
      <c r="D550" s="294"/>
      <c r="E550" s="294"/>
      <c r="F550" s="171"/>
      <c r="G550" s="294"/>
      <c r="H550" s="294"/>
      <c r="I550" s="294"/>
      <c r="J550" s="294"/>
      <c r="K550" s="294"/>
      <c r="L550" s="294"/>
      <c r="T550" s="295"/>
      <c r="AA550" s="295"/>
      <c r="AH550" s="295"/>
      <c r="AI550" s="188"/>
      <c r="AJ550" s="188"/>
      <c r="AK550" s="188"/>
      <c r="AL550" s="188"/>
      <c r="AM550" s="188"/>
      <c r="AN550" s="188"/>
      <c r="AO550" s="299"/>
      <c r="AQ550" s="296"/>
      <c r="AR550" s="296"/>
      <c r="AS550" s="296"/>
      <c r="AU550" s="296"/>
      <c r="AV550" s="296"/>
      <c r="AW550" s="296"/>
    </row>
    <row r="551" spans="2:49" ht="13">
      <c r="B551" s="294"/>
      <c r="C551" s="294"/>
      <c r="D551" s="294"/>
      <c r="E551" s="294"/>
      <c r="F551" s="171"/>
      <c r="G551" s="294"/>
      <c r="H551" s="294"/>
      <c r="I551" s="294"/>
      <c r="J551" s="294"/>
      <c r="K551" s="294"/>
      <c r="L551" s="294"/>
      <c r="T551" s="295"/>
      <c r="AA551" s="295"/>
      <c r="AH551" s="295"/>
      <c r="AI551" s="188"/>
      <c r="AJ551" s="188"/>
      <c r="AK551" s="188"/>
      <c r="AL551" s="188"/>
      <c r="AM551" s="188"/>
      <c r="AN551" s="188"/>
      <c r="AO551" s="299"/>
      <c r="AQ551" s="296"/>
      <c r="AR551" s="296"/>
      <c r="AS551" s="296"/>
      <c r="AU551" s="296"/>
      <c r="AV551" s="296"/>
      <c r="AW551" s="296"/>
    </row>
    <row r="552" spans="2:49" ht="13">
      <c r="B552" s="294"/>
      <c r="C552" s="294"/>
      <c r="D552" s="294"/>
      <c r="E552" s="294"/>
      <c r="F552" s="171"/>
      <c r="G552" s="294"/>
      <c r="H552" s="294"/>
      <c r="I552" s="294"/>
      <c r="J552" s="294"/>
      <c r="K552" s="294"/>
      <c r="L552" s="294"/>
      <c r="T552" s="295"/>
      <c r="AA552" s="295"/>
      <c r="AH552" s="295"/>
      <c r="AI552" s="188"/>
      <c r="AJ552" s="188"/>
      <c r="AK552" s="188"/>
      <c r="AL552" s="188"/>
      <c r="AM552" s="188"/>
      <c r="AN552" s="188"/>
      <c r="AO552" s="299"/>
      <c r="AQ552" s="296"/>
      <c r="AR552" s="296"/>
      <c r="AS552" s="296"/>
      <c r="AU552" s="296"/>
      <c r="AV552" s="296"/>
      <c r="AW552" s="296"/>
    </row>
    <row r="553" spans="2:49" ht="13">
      <c r="B553" s="294"/>
      <c r="C553" s="294"/>
      <c r="D553" s="294"/>
      <c r="E553" s="294"/>
      <c r="F553" s="171"/>
      <c r="G553" s="294"/>
      <c r="H553" s="294"/>
      <c r="I553" s="294"/>
      <c r="J553" s="294"/>
      <c r="K553" s="294"/>
      <c r="L553" s="294"/>
      <c r="T553" s="295"/>
      <c r="AA553" s="295"/>
      <c r="AH553" s="295"/>
      <c r="AI553" s="188"/>
      <c r="AJ553" s="188"/>
      <c r="AK553" s="188"/>
      <c r="AL553" s="188"/>
      <c r="AM553" s="188"/>
      <c r="AN553" s="188"/>
      <c r="AO553" s="299"/>
      <c r="AQ553" s="296"/>
      <c r="AR553" s="296"/>
      <c r="AS553" s="296"/>
      <c r="AU553" s="296"/>
      <c r="AV553" s="296"/>
      <c r="AW553" s="296"/>
    </row>
    <row r="554" spans="2:49" ht="13">
      <c r="B554" s="294"/>
      <c r="C554" s="294"/>
      <c r="D554" s="294"/>
      <c r="E554" s="294"/>
      <c r="F554" s="171"/>
      <c r="G554" s="294"/>
      <c r="H554" s="294"/>
      <c r="I554" s="294"/>
      <c r="J554" s="294"/>
      <c r="K554" s="294"/>
      <c r="L554" s="294"/>
      <c r="T554" s="295"/>
      <c r="AA554" s="295"/>
      <c r="AH554" s="295"/>
      <c r="AI554" s="188"/>
      <c r="AJ554" s="188"/>
      <c r="AK554" s="188"/>
      <c r="AL554" s="188"/>
      <c r="AM554" s="188"/>
      <c r="AN554" s="188"/>
      <c r="AO554" s="299"/>
      <c r="AQ554" s="296"/>
      <c r="AR554" s="296"/>
      <c r="AS554" s="296"/>
      <c r="AU554" s="296"/>
      <c r="AV554" s="296"/>
      <c r="AW554" s="296"/>
    </row>
    <row r="555" spans="2:49" ht="13">
      <c r="B555" s="294"/>
      <c r="C555" s="294"/>
      <c r="D555" s="294"/>
      <c r="E555" s="294"/>
      <c r="F555" s="171"/>
      <c r="G555" s="294"/>
      <c r="H555" s="294"/>
      <c r="I555" s="294"/>
      <c r="J555" s="294"/>
      <c r="K555" s="294"/>
      <c r="L555" s="294"/>
      <c r="T555" s="295"/>
      <c r="AA555" s="295"/>
      <c r="AH555" s="295"/>
      <c r="AI555" s="188"/>
      <c r="AJ555" s="188"/>
      <c r="AK555" s="188"/>
      <c r="AL555" s="188"/>
      <c r="AM555" s="188"/>
      <c r="AN555" s="188"/>
      <c r="AO555" s="299"/>
      <c r="AQ555" s="296"/>
      <c r="AR555" s="296"/>
      <c r="AS555" s="296"/>
      <c r="AU555" s="296"/>
      <c r="AV555" s="296"/>
      <c r="AW555" s="296"/>
    </row>
    <row r="556" spans="2:49" ht="13">
      <c r="B556" s="294"/>
      <c r="C556" s="294"/>
      <c r="D556" s="294"/>
      <c r="E556" s="294"/>
      <c r="F556" s="171"/>
      <c r="G556" s="294"/>
      <c r="H556" s="294"/>
      <c r="I556" s="294"/>
      <c r="J556" s="294"/>
      <c r="K556" s="294"/>
      <c r="L556" s="294"/>
      <c r="T556" s="295"/>
      <c r="AA556" s="295"/>
      <c r="AH556" s="295"/>
      <c r="AI556" s="188"/>
      <c r="AJ556" s="188"/>
      <c r="AK556" s="188"/>
      <c r="AL556" s="188"/>
      <c r="AM556" s="188"/>
      <c r="AN556" s="188"/>
      <c r="AO556" s="299"/>
      <c r="AQ556" s="296"/>
      <c r="AR556" s="296"/>
      <c r="AS556" s="296"/>
      <c r="AU556" s="296"/>
      <c r="AV556" s="296"/>
      <c r="AW556" s="296"/>
    </row>
    <row r="557" spans="2:49" ht="13">
      <c r="B557" s="294"/>
      <c r="C557" s="294"/>
      <c r="D557" s="294"/>
      <c r="E557" s="294"/>
      <c r="F557" s="171"/>
      <c r="G557" s="294"/>
      <c r="H557" s="294"/>
      <c r="I557" s="294"/>
      <c r="J557" s="294"/>
      <c r="K557" s="294"/>
      <c r="L557" s="294"/>
      <c r="T557" s="295"/>
      <c r="AA557" s="295"/>
      <c r="AH557" s="295"/>
      <c r="AI557" s="188"/>
      <c r="AJ557" s="188"/>
      <c r="AK557" s="188"/>
      <c r="AL557" s="188"/>
      <c r="AM557" s="188"/>
      <c r="AN557" s="188"/>
      <c r="AO557" s="299"/>
      <c r="AQ557" s="296"/>
      <c r="AR557" s="296"/>
      <c r="AS557" s="296"/>
      <c r="AU557" s="296"/>
      <c r="AV557" s="296"/>
      <c r="AW557" s="296"/>
    </row>
    <row r="558" spans="2:49" ht="13">
      <c r="B558" s="294"/>
      <c r="C558" s="294"/>
      <c r="D558" s="294"/>
      <c r="E558" s="294"/>
      <c r="F558" s="171"/>
      <c r="G558" s="294"/>
      <c r="H558" s="294"/>
      <c r="I558" s="294"/>
      <c r="J558" s="294"/>
      <c r="K558" s="294"/>
      <c r="L558" s="294"/>
      <c r="T558" s="295"/>
      <c r="AA558" s="295"/>
      <c r="AH558" s="295"/>
      <c r="AI558" s="188"/>
      <c r="AJ558" s="188"/>
      <c r="AK558" s="188"/>
      <c r="AL558" s="188"/>
      <c r="AM558" s="188"/>
      <c r="AN558" s="188"/>
      <c r="AO558" s="299"/>
      <c r="AQ558" s="296"/>
      <c r="AR558" s="296"/>
      <c r="AS558" s="296"/>
      <c r="AU558" s="296"/>
      <c r="AV558" s="296"/>
      <c r="AW558" s="296"/>
    </row>
    <row r="559" spans="2:49" ht="13">
      <c r="B559" s="294"/>
      <c r="C559" s="294"/>
      <c r="D559" s="294"/>
      <c r="E559" s="294"/>
      <c r="F559" s="171"/>
      <c r="G559" s="294"/>
      <c r="H559" s="294"/>
      <c r="I559" s="294"/>
      <c r="J559" s="294"/>
      <c r="K559" s="294"/>
      <c r="L559" s="294"/>
      <c r="T559" s="295"/>
      <c r="AA559" s="295"/>
      <c r="AH559" s="295"/>
      <c r="AI559" s="188"/>
      <c r="AJ559" s="188"/>
      <c r="AK559" s="188"/>
      <c r="AL559" s="188"/>
      <c r="AM559" s="188"/>
      <c r="AN559" s="188"/>
      <c r="AO559" s="299"/>
      <c r="AQ559" s="296"/>
      <c r="AR559" s="296"/>
      <c r="AS559" s="296"/>
      <c r="AU559" s="296"/>
      <c r="AV559" s="296"/>
      <c r="AW559" s="296"/>
    </row>
    <row r="560" spans="2:49" ht="13">
      <c r="B560" s="294"/>
      <c r="C560" s="294"/>
      <c r="D560" s="294"/>
      <c r="E560" s="294"/>
      <c r="F560" s="171"/>
      <c r="G560" s="294"/>
      <c r="H560" s="294"/>
      <c r="I560" s="294"/>
      <c r="J560" s="294"/>
      <c r="K560" s="294"/>
      <c r="L560" s="294"/>
      <c r="T560" s="295"/>
      <c r="AA560" s="295"/>
      <c r="AH560" s="295"/>
      <c r="AI560" s="188"/>
      <c r="AJ560" s="188"/>
      <c r="AK560" s="188"/>
      <c r="AL560" s="188"/>
      <c r="AM560" s="188"/>
      <c r="AN560" s="188"/>
      <c r="AO560" s="299"/>
      <c r="AQ560" s="296"/>
      <c r="AR560" s="296"/>
      <c r="AS560" s="296"/>
      <c r="AU560" s="296"/>
      <c r="AV560" s="296"/>
      <c r="AW560" s="296"/>
    </row>
    <row r="561" spans="2:49" ht="13">
      <c r="B561" s="294"/>
      <c r="C561" s="294"/>
      <c r="D561" s="294"/>
      <c r="E561" s="294"/>
      <c r="F561" s="171"/>
      <c r="G561" s="294"/>
      <c r="H561" s="294"/>
      <c r="I561" s="294"/>
      <c r="J561" s="294"/>
      <c r="K561" s="294"/>
      <c r="L561" s="294"/>
      <c r="T561" s="295"/>
      <c r="AA561" s="295"/>
      <c r="AH561" s="295"/>
      <c r="AI561" s="188"/>
      <c r="AJ561" s="188"/>
      <c r="AK561" s="188"/>
      <c r="AL561" s="188"/>
      <c r="AM561" s="188"/>
      <c r="AN561" s="188"/>
      <c r="AO561" s="299"/>
      <c r="AQ561" s="296"/>
      <c r="AR561" s="296"/>
      <c r="AS561" s="296"/>
      <c r="AU561" s="296"/>
      <c r="AV561" s="296"/>
      <c r="AW561" s="296"/>
    </row>
    <row r="562" spans="2:49" ht="13">
      <c r="B562" s="294"/>
      <c r="C562" s="294"/>
      <c r="D562" s="294"/>
      <c r="E562" s="294"/>
      <c r="F562" s="171"/>
      <c r="G562" s="294"/>
      <c r="H562" s="294"/>
      <c r="I562" s="294"/>
      <c r="J562" s="294"/>
      <c r="K562" s="294"/>
      <c r="L562" s="294"/>
      <c r="T562" s="295"/>
      <c r="AA562" s="295"/>
      <c r="AH562" s="295"/>
      <c r="AI562" s="188"/>
      <c r="AJ562" s="188"/>
      <c r="AK562" s="188"/>
      <c r="AL562" s="188"/>
      <c r="AM562" s="188"/>
      <c r="AN562" s="188"/>
      <c r="AO562" s="299"/>
      <c r="AQ562" s="296"/>
      <c r="AR562" s="296"/>
      <c r="AS562" s="296"/>
      <c r="AU562" s="296"/>
      <c r="AV562" s="296"/>
      <c r="AW562" s="296"/>
    </row>
    <row r="563" spans="2:49" ht="13">
      <c r="B563" s="294"/>
      <c r="C563" s="294"/>
      <c r="D563" s="294"/>
      <c r="E563" s="294"/>
      <c r="F563" s="171"/>
      <c r="G563" s="294"/>
      <c r="H563" s="294"/>
      <c r="I563" s="294"/>
      <c r="J563" s="294"/>
      <c r="K563" s="294"/>
      <c r="L563" s="294"/>
      <c r="T563" s="295"/>
      <c r="AA563" s="295"/>
      <c r="AH563" s="295"/>
      <c r="AI563" s="188"/>
      <c r="AJ563" s="188"/>
      <c r="AK563" s="188"/>
      <c r="AL563" s="188"/>
      <c r="AM563" s="188"/>
      <c r="AN563" s="188"/>
      <c r="AO563" s="299"/>
      <c r="AQ563" s="296"/>
      <c r="AR563" s="296"/>
      <c r="AS563" s="296"/>
      <c r="AU563" s="296"/>
      <c r="AV563" s="296"/>
      <c r="AW563" s="296"/>
    </row>
    <row r="564" spans="2:49" ht="13">
      <c r="B564" s="294"/>
      <c r="C564" s="294"/>
      <c r="D564" s="294"/>
      <c r="E564" s="294"/>
      <c r="F564" s="171"/>
      <c r="G564" s="294"/>
      <c r="H564" s="294"/>
      <c r="I564" s="294"/>
      <c r="J564" s="294"/>
      <c r="K564" s="294"/>
      <c r="L564" s="294"/>
      <c r="T564" s="295"/>
      <c r="AA564" s="295"/>
      <c r="AH564" s="295"/>
      <c r="AI564" s="188"/>
      <c r="AJ564" s="188"/>
      <c r="AK564" s="188"/>
      <c r="AL564" s="188"/>
      <c r="AM564" s="188"/>
      <c r="AN564" s="188"/>
      <c r="AO564" s="299"/>
      <c r="AQ564" s="296"/>
      <c r="AR564" s="296"/>
      <c r="AS564" s="296"/>
      <c r="AU564" s="296"/>
      <c r="AV564" s="296"/>
      <c r="AW564" s="296"/>
    </row>
    <row r="565" spans="2:49" ht="13">
      <c r="B565" s="294"/>
      <c r="C565" s="294"/>
      <c r="D565" s="294"/>
      <c r="E565" s="294"/>
      <c r="F565" s="171"/>
      <c r="G565" s="294"/>
      <c r="H565" s="294"/>
      <c r="I565" s="294"/>
      <c r="J565" s="294"/>
      <c r="K565" s="294"/>
      <c r="L565" s="294"/>
      <c r="T565" s="295"/>
      <c r="AA565" s="295"/>
      <c r="AH565" s="295"/>
      <c r="AI565" s="188"/>
      <c r="AJ565" s="188"/>
      <c r="AK565" s="188"/>
      <c r="AL565" s="188"/>
      <c r="AM565" s="188"/>
      <c r="AN565" s="188"/>
      <c r="AO565" s="299"/>
      <c r="AQ565" s="296"/>
      <c r="AR565" s="296"/>
      <c r="AS565" s="296"/>
      <c r="AU565" s="296"/>
      <c r="AV565" s="296"/>
      <c r="AW565" s="296"/>
    </row>
    <row r="566" spans="2:49" ht="13">
      <c r="B566" s="294"/>
      <c r="C566" s="294"/>
      <c r="D566" s="294"/>
      <c r="E566" s="294"/>
      <c r="F566" s="171"/>
      <c r="G566" s="294"/>
      <c r="H566" s="294"/>
      <c r="I566" s="294"/>
      <c r="J566" s="294"/>
      <c r="K566" s="294"/>
      <c r="L566" s="294"/>
      <c r="T566" s="295"/>
      <c r="AA566" s="295"/>
      <c r="AH566" s="295"/>
      <c r="AI566" s="188"/>
      <c r="AJ566" s="188"/>
      <c r="AK566" s="188"/>
      <c r="AL566" s="188"/>
      <c r="AM566" s="188"/>
      <c r="AN566" s="188"/>
      <c r="AO566" s="299"/>
      <c r="AQ566" s="296"/>
      <c r="AR566" s="296"/>
      <c r="AS566" s="296"/>
      <c r="AU566" s="296"/>
      <c r="AV566" s="296"/>
      <c r="AW566" s="296"/>
    </row>
    <row r="567" spans="2:49" ht="13">
      <c r="B567" s="294"/>
      <c r="C567" s="294"/>
      <c r="D567" s="294"/>
      <c r="E567" s="294"/>
      <c r="F567" s="171"/>
      <c r="G567" s="294"/>
      <c r="H567" s="294"/>
      <c r="I567" s="294"/>
      <c r="J567" s="294"/>
      <c r="K567" s="294"/>
      <c r="L567" s="294"/>
      <c r="T567" s="295"/>
      <c r="AA567" s="295"/>
      <c r="AH567" s="295"/>
      <c r="AI567" s="188"/>
      <c r="AJ567" s="188"/>
      <c r="AK567" s="188"/>
      <c r="AL567" s="188"/>
      <c r="AM567" s="188"/>
      <c r="AN567" s="188"/>
      <c r="AO567" s="299"/>
      <c r="AQ567" s="296"/>
      <c r="AR567" s="296"/>
      <c r="AS567" s="296"/>
      <c r="AU567" s="296"/>
      <c r="AV567" s="296"/>
      <c r="AW567" s="296"/>
    </row>
    <row r="568" spans="2:49" ht="13">
      <c r="B568" s="294"/>
      <c r="C568" s="294"/>
      <c r="D568" s="294"/>
      <c r="E568" s="294"/>
      <c r="F568" s="171"/>
      <c r="G568" s="294"/>
      <c r="H568" s="294"/>
      <c r="I568" s="294"/>
      <c r="J568" s="294"/>
      <c r="K568" s="294"/>
      <c r="L568" s="294"/>
      <c r="T568" s="295"/>
      <c r="AA568" s="295"/>
      <c r="AH568" s="295"/>
      <c r="AI568" s="188"/>
      <c r="AJ568" s="188"/>
      <c r="AK568" s="188"/>
      <c r="AL568" s="188"/>
      <c r="AM568" s="188"/>
      <c r="AN568" s="188"/>
      <c r="AO568" s="299"/>
      <c r="AQ568" s="296"/>
      <c r="AR568" s="296"/>
      <c r="AS568" s="296"/>
      <c r="AU568" s="296"/>
      <c r="AV568" s="296"/>
      <c r="AW568" s="296"/>
    </row>
    <row r="569" spans="2:49" ht="13">
      <c r="B569" s="294"/>
      <c r="C569" s="294"/>
      <c r="D569" s="294"/>
      <c r="E569" s="294"/>
      <c r="F569" s="171"/>
      <c r="G569" s="294"/>
      <c r="H569" s="294"/>
      <c r="I569" s="294"/>
      <c r="J569" s="294"/>
      <c r="K569" s="294"/>
      <c r="L569" s="294"/>
      <c r="T569" s="295"/>
      <c r="AA569" s="295"/>
      <c r="AH569" s="295"/>
      <c r="AI569" s="188"/>
      <c r="AJ569" s="188"/>
      <c r="AK569" s="188"/>
      <c r="AL569" s="188"/>
      <c r="AM569" s="188"/>
      <c r="AN569" s="188"/>
      <c r="AO569" s="299"/>
      <c r="AQ569" s="296"/>
      <c r="AR569" s="296"/>
      <c r="AS569" s="296"/>
      <c r="AU569" s="296"/>
      <c r="AV569" s="296"/>
      <c r="AW569" s="296"/>
    </row>
    <row r="570" spans="2:49" ht="13">
      <c r="B570" s="294"/>
      <c r="C570" s="294"/>
      <c r="D570" s="294"/>
      <c r="E570" s="294"/>
      <c r="F570" s="171"/>
      <c r="G570" s="294"/>
      <c r="H570" s="294"/>
      <c r="I570" s="294"/>
      <c r="J570" s="294"/>
      <c r="K570" s="294"/>
      <c r="L570" s="294"/>
      <c r="T570" s="295"/>
      <c r="AA570" s="295"/>
      <c r="AH570" s="295"/>
      <c r="AI570" s="188"/>
      <c r="AJ570" s="188"/>
      <c r="AK570" s="188"/>
      <c r="AL570" s="188"/>
      <c r="AM570" s="188"/>
      <c r="AN570" s="188"/>
      <c r="AO570" s="299"/>
      <c r="AQ570" s="296"/>
      <c r="AR570" s="296"/>
      <c r="AS570" s="296"/>
      <c r="AU570" s="296"/>
      <c r="AV570" s="296"/>
      <c r="AW570" s="296"/>
    </row>
    <row r="571" spans="2:49" ht="13">
      <c r="B571" s="294"/>
      <c r="C571" s="294"/>
      <c r="D571" s="294"/>
      <c r="E571" s="294"/>
      <c r="F571" s="171"/>
      <c r="G571" s="294"/>
      <c r="H571" s="294"/>
      <c r="I571" s="294"/>
      <c r="J571" s="294"/>
      <c r="K571" s="294"/>
      <c r="L571" s="294"/>
      <c r="T571" s="295"/>
      <c r="AA571" s="295"/>
      <c r="AH571" s="295"/>
      <c r="AI571" s="188"/>
      <c r="AJ571" s="188"/>
      <c r="AK571" s="188"/>
      <c r="AL571" s="188"/>
      <c r="AM571" s="188"/>
      <c r="AN571" s="188"/>
      <c r="AO571" s="299"/>
      <c r="AQ571" s="296"/>
      <c r="AR571" s="296"/>
      <c r="AS571" s="296"/>
      <c r="AU571" s="296"/>
      <c r="AV571" s="296"/>
      <c r="AW571" s="296"/>
    </row>
    <row r="572" spans="2:49" ht="13">
      <c r="B572" s="294"/>
      <c r="C572" s="294"/>
      <c r="D572" s="294"/>
      <c r="E572" s="294"/>
      <c r="F572" s="171"/>
      <c r="G572" s="294"/>
      <c r="H572" s="294"/>
      <c r="I572" s="294"/>
      <c r="J572" s="294"/>
      <c r="K572" s="294"/>
      <c r="L572" s="294"/>
      <c r="T572" s="295"/>
      <c r="AA572" s="295"/>
      <c r="AH572" s="295"/>
      <c r="AI572" s="188"/>
      <c r="AJ572" s="188"/>
      <c r="AK572" s="188"/>
      <c r="AL572" s="188"/>
      <c r="AM572" s="188"/>
      <c r="AN572" s="188"/>
      <c r="AO572" s="299"/>
      <c r="AQ572" s="296"/>
      <c r="AR572" s="296"/>
      <c r="AS572" s="296"/>
      <c r="AU572" s="296"/>
      <c r="AV572" s="296"/>
      <c r="AW572" s="296"/>
    </row>
    <row r="573" spans="2:49" ht="13">
      <c r="B573" s="294"/>
      <c r="C573" s="294"/>
      <c r="D573" s="294"/>
      <c r="E573" s="294"/>
      <c r="F573" s="171"/>
      <c r="G573" s="294"/>
      <c r="H573" s="294"/>
      <c r="I573" s="294"/>
      <c r="J573" s="294"/>
      <c r="K573" s="294"/>
      <c r="L573" s="294"/>
      <c r="T573" s="295"/>
      <c r="AA573" s="295"/>
      <c r="AH573" s="295"/>
      <c r="AI573" s="188"/>
      <c r="AJ573" s="188"/>
      <c r="AK573" s="188"/>
      <c r="AL573" s="188"/>
      <c r="AM573" s="188"/>
      <c r="AN573" s="188"/>
      <c r="AO573" s="299"/>
      <c r="AQ573" s="296"/>
      <c r="AR573" s="296"/>
      <c r="AS573" s="296"/>
      <c r="AU573" s="296"/>
      <c r="AV573" s="296"/>
      <c r="AW573" s="296"/>
    </row>
    <row r="574" spans="2:49" ht="13">
      <c r="B574" s="294"/>
      <c r="C574" s="294"/>
      <c r="D574" s="294"/>
      <c r="E574" s="294"/>
      <c r="F574" s="171"/>
      <c r="G574" s="294"/>
      <c r="H574" s="294"/>
      <c r="I574" s="294"/>
      <c r="J574" s="294"/>
      <c r="K574" s="294"/>
      <c r="L574" s="294"/>
      <c r="T574" s="295"/>
      <c r="AA574" s="295"/>
      <c r="AH574" s="295"/>
      <c r="AI574" s="188"/>
      <c r="AJ574" s="188"/>
      <c r="AK574" s="188"/>
      <c r="AL574" s="188"/>
      <c r="AM574" s="188"/>
      <c r="AN574" s="188"/>
      <c r="AO574" s="299"/>
      <c r="AQ574" s="296"/>
      <c r="AR574" s="296"/>
      <c r="AS574" s="296"/>
      <c r="AU574" s="296"/>
      <c r="AV574" s="296"/>
      <c r="AW574" s="296"/>
    </row>
    <row r="575" spans="2:49" ht="13">
      <c r="B575" s="294"/>
      <c r="C575" s="294"/>
      <c r="D575" s="294"/>
      <c r="E575" s="294"/>
      <c r="F575" s="171"/>
      <c r="G575" s="294"/>
      <c r="H575" s="294"/>
      <c r="I575" s="294"/>
      <c r="J575" s="294"/>
      <c r="K575" s="294"/>
      <c r="L575" s="294"/>
      <c r="T575" s="295"/>
      <c r="AA575" s="295"/>
      <c r="AH575" s="295"/>
      <c r="AI575" s="188"/>
      <c r="AJ575" s="188"/>
      <c r="AK575" s="188"/>
      <c r="AL575" s="188"/>
      <c r="AM575" s="188"/>
      <c r="AN575" s="188"/>
      <c r="AO575" s="299"/>
      <c r="AQ575" s="296"/>
      <c r="AR575" s="296"/>
      <c r="AS575" s="296"/>
      <c r="AU575" s="296"/>
      <c r="AV575" s="296"/>
      <c r="AW575" s="296"/>
    </row>
    <row r="576" spans="2:49" ht="13">
      <c r="B576" s="294"/>
      <c r="C576" s="294"/>
      <c r="D576" s="294"/>
      <c r="E576" s="294"/>
      <c r="F576" s="171"/>
      <c r="G576" s="294"/>
      <c r="H576" s="294"/>
      <c r="I576" s="294"/>
      <c r="J576" s="294"/>
      <c r="K576" s="294"/>
      <c r="L576" s="294"/>
      <c r="T576" s="295"/>
      <c r="AA576" s="295"/>
      <c r="AH576" s="295"/>
      <c r="AI576" s="188"/>
      <c r="AJ576" s="188"/>
      <c r="AK576" s="188"/>
      <c r="AL576" s="188"/>
      <c r="AM576" s="188"/>
      <c r="AN576" s="188"/>
      <c r="AO576" s="299"/>
      <c r="AQ576" s="296"/>
      <c r="AR576" s="296"/>
      <c r="AS576" s="296"/>
      <c r="AU576" s="296"/>
      <c r="AV576" s="296"/>
      <c r="AW576" s="296"/>
    </row>
    <row r="577" spans="2:49" ht="13">
      <c r="B577" s="294"/>
      <c r="C577" s="294"/>
      <c r="D577" s="294"/>
      <c r="E577" s="294"/>
      <c r="F577" s="171"/>
      <c r="G577" s="294"/>
      <c r="H577" s="294"/>
      <c r="I577" s="294"/>
      <c r="J577" s="294"/>
      <c r="K577" s="294"/>
      <c r="L577" s="294"/>
      <c r="T577" s="295"/>
      <c r="AA577" s="295"/>
      <c r="AH577" s="295"/>
      <c r="AI577" s="188"/>
      <c r="AJ577" s="188"/>
      <c r="AK577" s="188"/>
      <c r="AL577" s="188"/>
      <c r="AM577" s="188"/>
      <c r="AN577" s="188"/>
      <c r="AO577" s="299"/>
      <c r="AQ577" s="296"/>
      <c r="AR577" s="296"/>
      <c r="AS577" s="296"/>
      <c r="AU577" s="296"/>
      <c r="AV577" s="296"/>
      <c r="AW577" s="296"/>
    </row>
    <row r="578" spans="2:49" ht="13">
      <c r="B578" s="294"/>
      <c r="C578" s="294"/>
      <c r="D578" s="294"/>
      <c r="E578" s="294"/>
      <c r="F578" s="171"/>
      <c r="G578" s="294"/>
      <c r="H578" s="294"/>
      <c r="I578" s="294"/>
      <c r="J578" s="294"/>
      <c r="K578" s="294"/>
      <c r="L578" s="294"/>
      <c r="T578" s="295"/>
      <c r="AA578" s="295"/>
      <c r="AH578" s="295"/>
      <c r="AI578" s="188"/>
      <c r="AJ578" s="188"/>
      <c r="AK578" s="188"/>
      <c r="AL578" s="188"/>
      <c r="AM578" s="188"/>
      <c r="AN578" s="188"/>
      <c r="AO578" s="299"/>
      <c r="AQ578" s="296"/>
      <c r="AR578" s="296"/>
      <c r="AS578" s="296"/>
      <c r="AU578" s="296"/>
      <c r="AV578" s="296"/>
      <c r="AW578" s="296"/>
    </row>
    <row r="579" spans="2:49" ht="13">
      <c r="B579" s="294"/>
      <c r="C579" s="294"/>
      <c r="D579" s="294"/>
      <c r="E579" s="294"/>
      <c r="F579" s="171"/>
      <c r="G579" s="294"/>
      <c r="H579" s="294"/>
      <c r="I579" s="294"/>
      <c r="J579" s="294"/>
      <c r="K579" s="294"/>
      <c r="L579" s="294"/>
      <c r="T579" s="295"/>
      <c r="AA579" s="295"/>
      <c r="AH579" s="295"/>
      <c r="AI579" s="188"/>
      <c r="AJ579" s="188"/>
      <c r="AK579" s="188"/>
      <c r="AL579" s="188"/>
      <c r="AM579" s="188"/>
      <c r="AN579" s="188"/>
      <c r="AO579" s="299"/>
      <c r="AQ579" s="296"/>
      <c r="AR579" s="296"/>
      <c r="AS579" s="296"/>
      <c r="AU579" s="296"/>
      <c r="AV579" s="296"/>
      <c r="AW579" s="296"/>
    </row>
    <row r="580" spans="2:49" ht="13">
      <c r="B580" s="294"/>
      <c r="C580" s="294"/>
      <c r="D580" s="294"/>
      <c r="E580" s="294"/>
      <c r="F580" s="171"/>
      <c r="G580" s="294"/>
      <c r="H580" s="294"/>
      <c r="I580" s="294"/>
      <c r="J580" s="294"/>
      <c r="K580" s="294"/>
      <c r="L580" s="294"/>
      <c r="T580" s="295"/>
      <c r="AA580" s="295"/>
      <c r="AH580" s="295"/>
      <c r="AI580" s="188"/>
      <c r="AJ580" s="188"/>
      <c r="AK580" s="188"/>
      <c r="AL580" s="188"/>
      <c r="AM580" s="188"/>
      <c r="AN580" s="188"/>
      <c r="AO580" s="299"/>
      <c r="AQ580" s="296"/>
      <c r="AR580" s="296"/>
      <c r="AS580" s="296"/>
      <c r="AU580" s="296"/>
      <c r="AV580" s="296"/>
      <c r="AW580" s="296"/>
    </row>
    <row r="581" spans="2:49" ht="13">
      <c r="B581" s="294"/>
      <c r="C581" s="294"/>
      <c r="D581" s="294"/>
      <c r="E581" s="294"/>
      <c r="F581" s="171"/>
      <c r="G581" s="294"/>
      <c r="H581" s="294"/>
      <c r="I581" s="294"/>
      <c r="J581" s="294"/>
      <c r="K581" s="294"/>
      <c r="L581" s="294"/>
      <c r="T581" s="295"/>
      <c r="AA581" s="295"/>
      <c r="AH581" s="295"/>
      <c r="AI581" s="188"/>
      <c r="AJ581" s="188"/>
      <c r="AK581" s="188"/>
      <c r="AL581" s="188"/>
      <c r="AM581" s="188"/>
      <c r="AN581" s="188"/>
      <c r="AO581" s="299"/>
      <c r="AQ581" s="296"/>
      <c r="AR581" s="296"/>
      <c r="AS581" s="296"/>
      <c r="AU581" s="296"/>
      <c r="AV581" s="296"/>
      <c r="AW581" s="296"/>
    </row>
    <row r="582" spans="2:49" ht="13">
      <c r="B582" s="294"/>
      <c r="C582" s="294"/>
      <c r="D582" s="294"/>
      <c r="E582" s="294"/>
      <c r="F582" s="171"/>
      <c r="G582" s="294"/>
      <c r="H582" s="294"/>
      <c r="I582" s="294"/>
      <c r="J582" s="294"/>
      <c r="K582" s="294"/>
      <c r="L582" s="294"/>
      <c r="T582" s="295"/>
      <c r="AA582" s="295"/>
      <c r="AH582" s="295"/>
      <c r="AI582" s="188"/>
      <c r="AJ582" s="188"/>
      <c r="AK582" s="188"/>
      <c r="AL582" s="188"/>
      <c r="AM582" s="188"/>
      <c r="AN582" s="188"/>
      <c r="AO582" s="299"/>
      <c r="AQ582" s="296"/>
      <c r="AR582" s="296"/>
      <c r="AS582" s="296"/>
      <c r="AU582" s="296"/>
      <c r="AV582" s="296"/>
      <c r="AW582" s="296"/>
    </row>
    <row r="583" spans="2:49" ht="13">
      <c r="B583" s="294"/>
      <c r="C583" s="294"/>
      <c r="D583" s="294"/>
      <c r="E583" s="294"/>
      <c r="F583" s="171"/>
      <c r="G583" s="294"/>
      <c r="H583" s="294"/>
      <c r="I583" s="294"/>
      <c r="J583" s="294"/>
      <c r="K583" s="294"/>
      <c r="L583" s="294"/>
      <c r="T583" s="295"/>
      <c r="AA583" s="295"/>
      <c r="AH583" s="295"/>
      <c r="AI583" s="188"/>
      <c r="AJ583" s="188"/>
      <c r="AK583" s="188"/>
      <c r="AL583" s="188"/>
      <c r="AM583" s="188"/>
      <c r="AN583" s="188"/>
      <c r="AO583" s="299"/>
      <c r="AQ583" s="296"/>
      <c r="AR583" s="296"/>
      <c r="AS583" s="296"/>
      <c r="AU583" s="296"/>
      <c r="AV583" s="296"/>
      <c r="AW583" s="296"/>
    </row>
    <row r="584" spans="2:49" ht="13">
      <c r="B584" s="294"/>
      <c r="C584" s="294"/>
      <c r="D584" s="294"/>
      <c r="E584" s="294"/>
      <c r="F584" s="171"/>
      <c r="G584" s="294"/>
      <c r="H584" s="294"/>
      <c r="I584" s="294"/>
      <c r="J584" s="294"/>
      <c r="K584" s="294"/>
      <c r="L584" s="294"/>
      <c r="T584" s="295"/>
      <c r="AA584" s="295"/>
      <c r="AH584" s="295"/>
      <c r="AI584" s="188"/>
      <c r="AJ584" s="188"/>
      <c r="AK584" s="188"/>
      <c r="AL584" s="188"/>
      <c r="AM584" s="188"/>
      <c r="AN584" s="188"/>
      <c r="AO584" s="299"/>
      <c r="AQ584" s="296"/>
      <c r="AR584" s="296"/>
      <c r="AS584" s="296"/>
      <c r="AU584" s="296"/>
      <c r="AV584" s="296"/>
      <c r="AW584" s="296"/>
    </row>
    <row r="585" spans="2:49" ht="13">
      <c r="B585" s="294"/>
      <c r="C585" s="294"/>
      <c r="D585" s="294"/>
      <c r="E585" s="294"/>
      <c r="F585" s="171"/>
      <c r="G585" s="294"/>
      <c r="H585" s="294"/>
      <c r="I585" s="294"/>
      <c r="J585" s="294"/>
      <c r="K585" s="294"/>
      <c r="L585" s="294"/>
      <c r="T585" s="295"/>
      <c r="AA585" s="295"/>
      <c r="AH585" s="295"/>
      <c r="AI585" s="188"/>
      <c r="AJ585" s="188"/>
      <c r="AK585" s="188"/>
      <c r="AL585" s="188"/>
      <c r="AM585" s="188"/>
      <c r="AN585" s="188"/>
      <c r="AO585" s="299"/>
      <c r="AQ585" s="296"/>
      <c r="AR585" s="296"/>
      <c r="AS585" s="296"/>
      <c r="AU585" s="296"/>
      <c r="AV585" s="296"/>
      <c r="AW585" s="296"/>
    </row>
    <row r="586" spans="2:49" ht="13">
      <c r="B586" s="294"/>
      <c r="C586" s="294"/>
      <c r="D586" s="294"/>
      <c r="E586" s="294"/>
      <c r="F586" s="171"/>
      <c r="G586" s="294"/>
      <c r="H586" s="294"/>
      <c r="I586" s="294"/>
      <c r="J586" s="294"/>
      <c r="K586" s="294"/>
      <c r="L586" s="294"/>
      <c r="T586" s="295"/>
      <c r="AA586" s="295"/>
      <c r="AH586" s="295"/>
      <c r="AI586" s="188"/>
      <c r="AJ586" s="188"/>
      <c r="AK586" s="188"/>
      <c r="AL586" s="188"/>
      <c r="AM586" s="188"/>
      <c r="AN586" s="188"/>
      <c r="AO586" s="299"/>
      <c r="AQ586" s="296"/>
      <c r="AR586" s="296"/>
      <c r="AS586" s="296"/>
      <c r="AU586" s="296"/>
      <c r="AV586" s="296"/>
      <c r="AW586" s="296"/>
    </row>
    <row r="587" spans="2:49" ht="13">
      <c r="B587" s="294"/>
      <c r="C587" s="294"/>
      <c r="D587" s="294"/>
      <c r="E587" s="294"/>
      <c r="F587" s="171"/>
      <c r="G587" s="294"/>
      <c r="H587" s="294"/>
      <c r="I587" s="294"/>
      <c r="J587" s="294"/>
      <c r="K587" s="294"/>
      <c r="L587" s="294"/>
      <c r="T587" s="295"/>
      <c r="AA587" s="295"/>
      <c r="AH587" s="295"/>
      <c r="AI587" s="188"/>
      <c r="AJ587" s="188"/>
      <c r="AK587" s="188"/>
      <c r="AL587" s="188"/>
      <c r="AM587" s="188"/>
      <c r="AN587" s="188"/>
      <c r="AO587" s="299"/>
      <c r="AQ587" s="296"/>
      <c r="AR587" s="296"/>
      <c r="AS587" s="296"/>
      <c r="AU587" s="296"/>
      <c r="AV587" s="296"/>
      <c r="AW587" s="296"/>
    </row>
    <row r="588" spans="2:49" ht="13">
      <c r="B588" s="294"/>
      <c r="C588" s="294"/>
      <c r="D588" s="294"/>
      <c r="E588" s="294"/>
      <c r="F588" s="171"/>
      <c r="G588" s="294"/>
      <c r="H588" s="294"/>
      <c r="I588" s="294"/>
      <c r="J588" s="294"/>
      <c r="K588" s="294"/>
      <c r="L588" s="294"/>
      <c r="T588" s="295"/>
      <c r="AA588" s="295"/>
      <c r="AH588" s="295"/>
      <c r="AI588" s="188"/>
      <c r="AJ588" s="188"/>
      <c r="AK588" s="188"/>
      <c r="AL588" s="188"/>
      <c r="AM588" s="188"/>
      <c r="AN588" s="188"/>
      <c r="AO588" s="299"/>
      <c r="AQ588" s="296"/>
      <c r="AR588" s="296"/>
      <c r="AS588" s="296"/>
      <c r="AU588" s="296"/>
      <c r="AV588" s="296"/>
      <c r="AW588" s="296"/>
    </row>
    <row r="589" spans="2:49" ht="13">
      <c r="B589" s="294"/>
      <c r="C589" s="294"/>
      <c r="D589" s="294"/>
      <c r="E589" s="294"/>
      <c r="F589" s="171"/>
      <c r="G589" s="294"/>
      <c r="H589" s="294"/>
      <c r="I589" s="294"/>
      <c r="J589" s="294"/>
      <c r="K589" s="294"/>
      <c r="L589" s="294"/>
      <c r="T589" s="295"/>
      <c r="AA589" s="295"/>
      <c r="AH589" s="295"/>
      <c r="AI589" s="188"/>
      <c r="AJ589" s="188"/>
      <c r="AK589" s="188"/>
      <c r="AL589" s="188"/>
      <c r="AM589" s="188"/>
      <c r="AN589" s="188"/>
      <c r="AO589" s="299"/>
      <c r="AQ589" s="296"/>
      <c r="AR589" s="296"/>
      <c r="AS589" s="296"/>
      <c r="AU589" s="296"/>
      <c r="AV589" s="296"/>
      <c r="AW589" s="296"/>
    </row>
    <row r="590" spans="2:49" ht="13">
      <c r="B590" s="294"/>
      <c r="C590" s="294"/>
      <c r="D590" s="294"/>
      <c r="E590" s="294"/>
      <c r="F590" s="171"/>
      <c r="G590" s="294"/>
      <c r="H590" s="294"/>
      <c r="I590" s="294"/>
      <c r="J590" s="294"/>
      <c r="K590" s="294"/>
      <c r="L590" s="294"/>
      <c r="T590" s="295"/>
      <c r="AA590" s="295"/>
      <c r="AH590" s="295"/>
      <c r="AI590" s="188"/>
      <c r="AJ590" s="188"/>
      <c r="AK590" s="188"/>
      <c r="AL590" s="188"/>
      <c r="AM590" s="188"/>
      <c r="AN590" s="188"/>
      <c r="AO590" s="299"/>
      <c r="AQ590" s="296"/>
      <c r="AR590" s="296"/>
      <c r="AS590" s="296"/>
      <c r="AU590" s="296"/>
      <c r="AV590" s="296"/>
      <c r="AW590" s="296"/>
    </row>
    <row r="591" spans="2:49" ht="13">
      <c r="B591" s="294"/>
      <c r="C591" s="294"/>
      <c r="D591" s="294"/>
      <c r="E591" s="294"/>
      <c r="F591" s="171"/>
      <c r="G591" s="294"/>
      <c r="H591" s="294"/>
      <c r="I591" s="294"/>
      <c r="J591" s="294"/>
      <c r="K591" s="294"/>
      <c r="L591" s="294"/>
      <c r="T591" s="295"/>
      <c r="AA591" s="295"/>
      <c r="AH591" s="295"/>
      <c r="AI591" s="188"/>
      <c r="AJ591" s="188"/>
      <c r="AK591" s="188"/>
      <c r="AL591" s="188"/>
      <c r="AM591" s="188"/>
      <c r="AN591" s="188"/>
      <c r="AO591" s="299"/>
      <c r="AQ591" s="296"/>
      <c r="AR591" s="296"/>
      <c r="AS591" s="296"/>
      <c r="AU591" s="296"/>
      <c r="AV591" s="296"/>
      <c r="AW591" s="296"/>
    </row>
    <row r="592" spans="2:49" ht="13">
      <c r="B592" s="294"/>
      <c r="C592" s="294"/>
      <c r="D592" s="294"/>
      <c r="E592" s="294"/>
      <c r="F592" s="171"/>
      <c r="G592" s="294"/>
      <c r="H592" s="294"/>
      <c r="I592" s="294"/>
      <c r="J592" s="294"/>
      <c r="K592" s="294"/>
      <c r="L592" s="294"/>
      <c r="T592" s="295"/>
      <c r="AA592" s="295"/>
      <c r="AH592" s="295"/>
      <c r="AI592" s="188"/>
      <c r="AJ592" s="188"/>
      <c r="AK592" s="188"/>
      <c r="AL592" s="188"/>
      <c r="AM592" s="188"/>
      <c r="AN592" s="188"/>
      <c r="AO592" s="299"/>
      <c r="AQ592" s="296"/>
      <c r="AR592" s="296"/>
      <c r="AS592" s="296"/>
      <c r="AU592" s="296"/>
      <c r="AV592" s="296"/>
      <c r="AW592" s="296"/>
    </row>
    <row r="593" spans="2:49" ht="13">
      <c r="B593" s="294"/>
      <c r="C593" s="294"/>
      <c r="D593" s="294"/>
      <c r="E593" s="294"/>
      <c r="F593" s="171"/>
      <c r="G593" s="294"/>
      <c r="H593" s="294"/>
      <c r="I593" s="294"/>
      <c r="J593" s="294"/>
      <c r="K593" s="294"/>
      <c r="L593" s="294"/>
      <c r="T593" s="295"/>
      <c r="AA593" s="295"/>
      <c r="AH593" s="295"/>
      <c r="AI593" s="188"/>
      <c r="AJ593" s="188"/>
      <c r="AK593" s="188"/>
      <c r="AL593" s="188"/>
      <c r="AM593" s="188"/>
      <c r="AN593" s="188"/>
      <c r="AO593" s="299"/>
      <c r="AQ593" s="296"/>
      <c r="AR593" s="296"/>
      <c r="AS593" s="296"/>
      <c r="AU593" s="296"/>
      <c r="AV593" s="296"/>
      <c r="AW593" s="296"/>
    </row>
    <row r="594" spans="2:49" ht="13">
      <c r="B594" s="294"/>
      <c r="C594" s="294"/>
      <c r="D594" s="294"/>
      <c r="E594" s="294"/>
      <c r="F594" s="171"/>
      <c r="G594" s="294"/>
      <c r="H594" s="294"/>
      <c r="I594" s="294"/>
      <c r="J594" s="294"/>
      <c r="K594" s="294"/>
      <c r="L594" s="294"/>
      <c r="T594" s="295"/>
      <c r="AA594" s="295"/>
      <c r="AH594" s="295"/>
      <c r="AI594" s="188"/>
      <c r="AJ594" s="188"/>
      <c r="AK594" s="188"/>
      <c r="AL594" s="188"/>
      <c r="AM594" s="188"/>
      <c r="AN594" s="188"/>
      <c r="AO594" s="299"/>
      <c r="AQ594" s="296"/>
      <c r="AR594" s="296"/>
      <c r="AS594" s="296"/>
      <c r="AU594" s="296"/>
      <c r="AV594" s="296"/>
      <c r="AW594" s="296"/>
    </row>
    <row r="595" spans="2:49" ht="13">
      <c r="B595" s="294"/>
      <c r="C595" s="294"/>
      <c r="D595" s="294"/>
      <c r="E595" s="294"/>
      <c r="F595" s="171"/>
      <c r="G595" s="294"/>
      <c r="H595" s="294"/>
      <c r="I595" s="294"/>
      <c r="J595" s="294"/>
      <c r="K595" s="294"/>
      <c r="L595" s="294"/>
      <c r="T595" s="295"/>
      <c r="AA595" s="295"/>
      <c r="AH595" s="295"/>
      <c r="AI595" s="188"/>
      <c r="AJ595" s="188"/>
      <c r="AK595" s="188"/>
      <c r="AL595" s="188"/>
      <c r="AM595" s="188"/>
      <c r="AN595" s="188"/>
      <c r="AO595" s="299"/>
      <c r="AQ595" s="296"/>
      <c r="AR595" s="296"/>
      <c r="AS595" s="296"/>
      <c r="AU595" s="296"/>
      <c r="AV595" s="296"/>
      <c r="AW595" s="296"/>
    </row>
    <row r="596" spans="2:49" ht="13">
      <c r="B596" s="294"/>
      <c r="C596" s="294"/>
      <c r="D596" s="294"/>
      <c r="E596" s="294"/>
      <c r="F596" s="171"/>
      <c r="G596" s="294"/>
      <c r="H596" s="294"/>
      <c r="I596" s="294"/>
      <c r="J596" s="294"/>
      <c r="K596" s="294"/>
      <c r="L596" s="294"/>
      <c r="T596" s="295"/>
      <c r="AA596" s="295"/>
      <c r="AH596" s="295"/>
      <c r="AI596" s="188"/>
      <c r="AJ596" s="188"/>
      <c r="AK596" s="188"/>
      <c r="AL596" s="188"/>
      <c r="AM596" s="188"/>
      <c r="AN596" s="188"/>
      <c r="AO596" s="299"/>
      <c r="AQ596" s="296"/>
      <c r="AR596" s="296"/>
      <c r="AS596" s="296"/>
      <c r="AU596" s="296"/>
      <c r="AV596" s="296"/>
      <c r="AW596" s="296"/>
    </row>
    <row r="597" spans="2:49" ht="13">
      <c r="B597" s="294"/>
      <c r="C597" s="294"/>
      <c r="D597" s="294"/>
      <c r="E597" s="294"/>
      <c r="F597" s="171"/>
      <c r="G597" s="294"/>
      <c r="H597" s="294"/>
      <c r="I597" s="294"/>
      <c r="J597" s="294"/>
      <c r="K597" s="294"/>
      <c r="L597" s="294"/>
      <c r="T597" s="295"/>
      <c r="AA597" s="295"/>
      <c r="AH597" s="295"/>
      <c r="AI597" s="188"/>
      <c r="AJ597" s="188"/>
      <c r="AK597" s="188"/>
      <c r="AL597" s="188"/>
      <c r="AM597" s="188"/>
      <c r="AN597" s="188"/>
      <c r="AO597" s="299"/>
      <c r="AQ597" s="296"/>
      <c r="AR597" s="296"/>
      <c r="AS597" s="296"/>
      <c r="AU597" s="296"/>
      <c r="AV597" s="296"/>
      <c r="AW597" s="296"/>
    </row>
    <row r="598" spans="2:49" ht="13">
      <c r="B598" s="294"/>
      <c r="C598" s="294"/>
      <c r="D598" s="294"/>
      <c r="E598" s="294"/>
      <c r="F598" s="171"/>
      <c r="G598" s="294"/>
      <c r="H598" s="294"/>
      <c r="I598" s="294"/>
      <c r="J598" s="294"/>
      <c r="K598" s="294"/>
      <c r="L598" s="294"/>
      <c r="T598" s="295"/>
      <c r="AA598" s="295"/>
      <c r="AH598" s="295"/>
      <c r="AI598" s="188"/>
      <c r="AJ598" s="188"/>
      <c r="AK598" s="188"/>
      <c r="AL598" s="188"/>
      <c r="AM598" s="188"/>
      <c r="AN598" s="188"/>
      <c r="AO598" s="299"/>
      <c r="AQ598" s="296"/>
      <c r="AR598" s="296"/>
      <c r="AS598" s="296"/>
      <c r="AU598" s="296"/>
      <c r="AV598" s="296"/>
      <c r="AW598" s="296"/>
    </row>
    <row r="599" spans="2:49" ht="13">
      <c r="B599" s="294"/>
      <c r="C599" s="294"/>
      <c r="D599" s="294"/>
      <c r="E599" s="294"/>
      <c r="F599" s="171"/>
      <c r="G599" s="294"/>
      <c r="H599" s="294"/>
      <c r="I599" s="294"/>
      <c r="J599" s="294"/>
      <c r="K599" s="294"/>
      <c r="L599" s="294"/>
      <c r="T599" s="295"/>
      <c r="AA599" s="295"/>
      <c r="AH599" s="295"/>
      <c r="AI599" s="188"/>
      <c r="AJ599" s="188"/>
      <c r="AK599" s="188"/>
      <c r="AL599" s="188"/>
      <c r="AM599" s="188"/>
      <c r="AN599" s="188"/>
      <c r="AO599" s="299"/>
      <c r="AQ599" s="296"/>
      <c r="AR599" s="296"/>
      <c r="AS599" s="296"/>
      <c r="AU599" s="296"/>
      <c r="AV599" s="296"/>
      <c r="AW599" s="296"/>
    </row>
    <row r="600" spans="2:49" ht="13">
      <c r="B600" s="294"/>
      <c r="C600" s="294"/>
      <c r="D600" s="294"/>
      <c r="E600" s="294"/>
      <c r="F600" s="171"/>
      <c r="G600" s="294"/>
      <c r="H600" s="294"/>
      <c r="I600" s="294"/>
      <c r="J600" s="294"/>
      <c r="K600" s="294"/>
      <c r="L600" s="294"/>
      <c r="T600" s="295"/>
      <c r="AA600" s="295"/>
      <c r="AH600" s="295"/>
      <c r="AI600" s="188"/>
      <c r="AJ600" s="188"/>
      <c r="AK600" s="188"/>
      <c r="AL600" s="188"/>
      <c r="AM600" s="188"/>
      <c r="AN600" s="188"/>
      <c r="AO600" s="299"/>
      <c r="AQ600" s="296"/>
      <c r="AR600" s="296"/>
      <c r="AS600" s="296"/>
      <c r="AU600" s="296"/>
      <c r="AV600" s="296"/>
      <c r="AW600" s="296"/>
    </row>
    <row r="601" spans="2:49" ht="13">
      <c r="B601" s="294"/>
      <c r="C601" s="294"/>
      <c r="D601" s="294"/>
      <c r="E601" s="294"/>
      <c r="F601" s="171"/>
      <c r="G601" s="294"/>
      <c r="H601" s="294"/>
      <c r="I601" s="294"/>
      <c r="J601" s="294"/>
      <c r="K601" s="294"/>
      <c r="L601" s="294"/>
      <c r="T601" s="295"/>
      <c r="AA601" s="295"/>
      <c r="AH601" s="295"/>
      <c r="AI601" s="188"/>
      <c r="AJ601" s="188"/>
      <c r="AK601" s="188"/>
      <c r="AL601" s="188"/>
      <c r="AM601" s="188"/>
      <c r="AN601" s="188"/>
      <c r="AO601" s="299"/>
      <c r="AQ601" s="296"/>
      <c r="AR601" s="296"/>
      <c r="AS601" s="296"/>
      <c r="AU601" s="296"/>
      <c r="AV601" s="296"/>
      <c r="AW601" s="296"/>
    </row>
    <row r="602" spans="2:49" ht="13">
      <c r="B602" s="294"/>
      <c r="C602" s="294"/>
      <c r="D602" s="294"/>
      <c r="E602" s="294"/>
      <c r="F602" s="171"/>
      <c r="G602" s="294"/>
      <c r="H602" s="294"/>
      <c r="I602" s="294"/>
      <c r="J602" s="294"/>
      <c r="K602" s="294"/>
      <c r="L602" s="294"/>
      <c r="T602" s="295"/>
      <c r="AA602" s="295"/>
      <c r="AH602" s="295"/>
      <c r="AI602" s="188"/>
      <c r="AJ602" s="188"/>
      <c r="AK602" s="188"/>
      <c r="AL602" s="188"/>
      <c r="AM602" s="188"/>
      <c r="AN602" s="188"/>
      <c r="AO602" s="299"/>
      <c r="AQ602" s="296"/>
      <c r="AR602" s="296"/>
      <c r="AS602" s="296"/>
      <c r="AU602" s="296"/>
      <c r="AV602" s="296"/>
      <c r="AW602" s="296"/>
    </row>
    <row r="603" spans="2:49" ht="13">
      <c r="B603" s="294"/>
      <c r="C603" s="294"/>
      <c r="D603" s="294"/>
      <c r="E603" s="294"/>
      <c r="F603" s="171"/>
      <c r="G603" s="294"/>
      <c r="H603" s="294"/>
      <c r="I603" s="294"/>
      <c r="J603" s="294"/>
      <c r="K603" s="294"/>
      <c r="L603" s="294"/>
      <c r="T603" s="295"/>
      <c r="AA603" s="295"/>
      <c r="AH603" s="295"/>
      <c r="AI603" s="188"/>
      <c r="AJ603" s="188"/>
      <c r="AK603" s="188"/>
      <c r="AL603" s="188"/>
      <c r="AM603" s="188"/>
      <c r="AN603" s="188"/>
      <c r="AO603" s="299"/>
      <c r="AQ603" s="296"/>
      <c r="AR603" s="296"/>
      <c r="AS603" s="296"/>
      <c r="AU603" s="296"/>
      <c r="AV603" s="296"/>
      <c r="AW603" s="296"/>
    </row>
    <row r="604" spans="2:49" ht="13">
      <c r="B604" s="294"/>
      <c r="C604" s="294"/>
      <c r="D604" s="294"/>
      <c r="E604" s="294"/>
      <c r="F604" s="171"/>
      <c r="G604" s="294"/>
      <c r="H604" s="294"/>
      <c r="I604" s="294"/>
      <c r="J604" s="294"/>
      <c r="K604" s="294"/>
      <c r="L604" s="294"/>
      <c r="T604" s="295"/>
      <c r="AA604" s="295"/>
      <c r="AH604" s="295"/>
      <c r="AI604" s="188"/>
      <c r="AJ604" s="188"/>
      <c r="AK604" s="188"/>
      <c r="AL604" s="188"/>
      <c r="AM604" s="188"/>
      <c r="AN604" s="188"/>
      <c r="AO604" s="299"/>
      <c r="AQ604" s="296"/>
      <c r="AR604" s="296"/>
      <c r="AS604" s="296"/>
      <c r="AU604" s="296"/>
      <c r="AV604" s="296"/>
      <c r="AW604" s="296"/>
    </row>
    <row r="605" spans="2:49" ht="13">
      <c r="B605" s="294"/>
      <c r="C605" s="294"/>
      <c r="D605" s="294"/>
      <c r="E605" s="294"/>
      <c r="F605" s="171"/>
      <c r="G605" s="294"/>
      <c r="H605" s="294"/>
      <c r="I605" s="294"/>
      <c r="J605" s="294"/>
      <c r="K605" s="294"/>
      <c r="L605" s="294"/>
      <c r="T605" s="295"/>
      <c r="AA605" s="295"/>
      <c r="AH605" s="295"/>
      <c r="AI605" s="188"/>
      <c r="AJ605" s="188"/>
      <c r="AK605" s="188"/>
      <c r="AL605" s="188"/>
      <c r="AM605" s="188"/>
      <c r="AN605" s="188"/>
      <c r="AO605" s="299"/>
      <c r="AQ605" s="296"/>
      <c r="AR605" s="296"/>
      <c r="AS605" s="296"/>
      <c r="AU605" s="296"/>
      <c r="AV605" s="296"/>
      <c r="AW605" s="296"/>
    </row>
    <row r="606" spans="2:49" ht="13">
      <c r="B606" s="294"/>
      <c r="C606" s="294"/>
      <c r="D606" s="294"/>
      <c r="E606" s="294"/>
      <c r="F606" s="171"/>
      <c r="G606" s="294"/>
      <c r="H606" s="294"/>
      <c r="I606" s="294"/>
      <c r="J606" s="294"/>
      <c r="K606" s="294"/>
      <c r="L606" s="294"/>
      <c r="T606" s="295"/>
      <c r="AA606" s="295"/>
      <c r="AH606" s="295"/>
      <c r="AI606" s="188"/>
      <c r="AJ606" s="188"/>
      <c r="AK606" s="188"/>
      <c r="AL606" s="188"/>
      <c r="AM606" s="188"/>
      <c r="AN606" s="188"/>
      <c r="AO606" s="299"/>
      <c r="AQ606" s="296"/>
      <c r="AR606" s="296"/>
      <c r="AS606" s="296"/>
      <c r="AU606" s="296"/>
      <c r="AV606" s="296"/>
      <c r="AW606" s="296"/>
    </row>
    <row r="607" spans="2:49" ht="13">
      <c r="B607" s="294"/>
      <c r="C607" s="294"/>
      <c r="D607" s="294"/>
      <c r="E607" s="294"/>
      <c r="F607" s="171"/>
      <c r="G607" s="294"/>
      <c r="H607" s="294"/>
      <c r="I607" s="294"/>
      <c r="J607" s="294"/>
      <c r="K607" s="294"/>
      <c r="L607" s="294"/>
      <c r="T607" s="295"/>
      <c r="AA607" s="295"/>
      <c r="AH607" s="295"/>
      <c r="AI607" s="188"/>
      <c r="AJ607" s="188"/>
      <c r="AK607" s="188"/>
      <c r="AL607" s="188"/>
      <c r="AM607" s="188"/>
      <c r="AN607" s="188"/>
      <c r="AO607" s="299"/>
      <c r="AQ607" s="296"/>
      <c r="AR607" s="296"/>
      <c r="AS607" s="296"/>
      <c r="AU607" s="296"/>
      <c r="AV607" s="296"/>
      <c r="AW607" s="296"/>
    </row>
    <row r="608" spans="2:49" ht="13">
      <c r="B608" s="294"/>
      <c r="C608" s="294"/>
      <c r="D608" s="294"/>
      <c r="E608" s="294"/>
      <c r="F608" s="171"/>
      <c r="G608" s="294"/>
      <c r="H608" s="294"/>
      <c r="I608" s="294"/>
      <c r="J608" s="294"/>
      <c r="K608" s="294"/>
      <c r="L608" s="294"/>
      <c r="T608" s="295"/>
      <c r="AA608" s="295"/>
      <c r="AH608" s="295"/>
      <c r="AI608" s="188"/>
      <c r="AJ608" s="188"/>
      <c r="AK608" s="188"/>
      <c r="AL608" s="188"/>
      <c r="AM608" s="188"/>
      <c r="AN608" s="188"/>
      <c r="AO608" s="299"/>
      <c r="AQ608" s="296"/>
      <c r="AR608" s="296"/>
      <c r="AS608" s="296"/>
      <c r="AU608" s="296"/>
      <c r="AV608" s="296"/>
      <c r="AW608" s="296"/>
    </row>
    <row r="609" spans="2:49" ht="13">
      <c r="B609" s="294"/>
      <c r="C609" s="294"/>
      <c r="D609" s="294"/>
      <c r="E609" s="294"/>
      <c r="F609" s="171"/>
      <c r="G609" s="294"/>
      <c r="H609" s="294"/>
      <c r="I609" s="294"/>
      <c r="J609" s="294"/>
      <c r="K609" s="294"/>
      <c r="L609" s="294"/>
      <c r="T609" s="295"/>
      <c r="AA609" s="295"/>
      <c r="AH609" s="295"/>
      <c r="AI609" s="188"/>
      <c r="AJ609" s="188"/>
      <c r="AK609" s="188"/>
      <c r="AL609" s="188"/>
      <c r="AM609" s="188"/>
      <c r="AN609" s="188"/>
      <c r="AO609" s="299"/>
      <c r="AQ609" s="296"/>
      <c r="AR609" s="296"/>
      <c r="AS609" s="296"/>
      <c r="AU609" s="296"/>
      <c r="AV609" s="296"/>
      <c r="AW609" s="296"/>
    </row>
    <row r="610" spans="2:49" ht="13">
      <c r="B610" s="294"/>
      <c r="C610" s="294"/>
      <c r="D610" s="294"/>
      <c r="E610" s="294"/>
      <c r="F610" s="171"/>
      <c r="G610" s="294"/>
      <c r="H610" s="294"/>
      <c r="I610" s="294"/>
      <c r="J610" s="294"/>
      <c r="K610" s="294"/>
      <c r="L610" s="294"/>
      <c r="T610" s="295"/>
      <c r="AA610" s="295"/>
      <c r="AH610" s="295"/>
      <c r="AI610" s="188"/>
      <c r="AJ610" s="188"/>
      <c r="AK610" s="188"/>
      <c r="AL610" s="188"/>
      <c r="AM610" s="188"/>
      <c r="AN610" s="188"/>
      <c r="AO610" s="299"/>
      <c r="AQ610" s="296"/>
      <c r="AR610" s="296"/>
      <c r="AS610" s="296"/>
      <c r="AU610" s="296"/>
      <c r="AV610" s="296"/>
      <c r="AW610" s="296"/>
    </row>
    <row r="611" spans="2:49" ht="13">
      <c r="B611" s="294"/>
      <c r="C611" s="294"/>
      <c r="D611" s="294"/>
      <c r="E611" s="294"/>
      <c r="F611" s="171"/>
      <c r="G611" s="294"/>
      <c r="H611" s="294"/>
      <c r="I611" s="294"/>
      <c r="J611" s="294"/>
      <c r="K611" s="294"/>
      <c r="L611" s="294"/>
      <c r="T611" s="295"/>
      <c r="AA611" s="295"/>
      <c r="AH611" s="295"/>
      <c r="AI611" s="188"/>
      <c r="AJ611" s="188"/>
      <c r="AK611" s="188"/>
      <c r="AL611" s="188"/>
      <c r="AM611" s="188"/>
      <c r="AN611" s="188"/>
      <c r="AO611" s="299"/>
      <c r="AQ611" s="296"/>
      <c r="AR611" s="296"/>
      <c r="AS611" s="296"/>
      <c r="AU611" s="296"/>
      <c r="AV611" s="296"/>
      <c r="AW611" s="296"/>
    </row>
    <row r="612" spans="2:49" ht="13">
      <c r="B612" s="294"/>
      <c r="C612" s="294"/>
      <c r="D612" s="294"/>
      <c r="E612" s="294"/>
      <c r="F612" s="171"/>
      <c r="G612" s="294"/>
      <c r="H612" s="294"/>
      <c r="I612" s="294"/>
      <c r="J612" s="294"/>
      <c r="K612" s="294"/>
      <c r="L612" s="294"/>
      <c r="T612" s="295"/>
      <c r="AA612" s="295"/>
      <c r="AH612" s="295"/>
      <c r="AI612" s="188"/>
      <c r="AJ612" s="188"/>
      <c r="AK612" s="188"/>
      <c r="AL612" s="188"/>
      <c r="AM612" s="188"/>
      <c r="AN612" s="188"/>
      <c r="AO612" s="299"/>
      <c r="AQ612" s="296"/>
      <c r="AR612" s="296"/>
      <c r="AS612" s="296"/>
      <c r="AU612" s="296"/>
      <c r="AV612" s="296"/>
      <c r="AW612" s="296"/>
    </row>
    <row r="613" spans="2:49" ht="13">
      <c r="B613" s="294"/>
      <c r="C613" s="294"/>
      <c r="D613" s="294"/>
      <c r="E613" s="294"/>
      <c r="F613" s="171"/>
      <c r="G613" s="294"/>
      <c r="H613" s="294"/>
      <c r="I613" s="294"/>
      <c r="J613" s="294"/>
      <c r="K613" s="294"/>
      <c r="L613" s="294"/>
      <c r="T613" s="295"/>
      <c r="AA613" s="295"/>
      <c r="AH613" s="295"/>
      <c r="AI613" s="188"/>
      <c r="AJ613" s="188"/>
      <c r="AK613" s="188"/>
      <c r="AL613" s="188"/>
      <c r="AM613" s="188"/>
      <c r="AN613" s="188"/>
      <c r="AO613" s="299"/>
      <c r="AQ613" s="296"/>
      <c r="AR613" s="296"/>
      <c r="AS613" s="296"/>
      <c r="AU613" s="296"/>
      <c r="AV613" s="296"/>
      <c r="AW613" s="296"/>
    </row>
    <row r="614" spans="2:49" ht="13">
      <c r="B614" s="294"/>
      <c r="C614" s="294"/>
      <c r="D614" s="294"/>
      <c r="E614" s="294"/>
      <c r="F614" s="171"/>
      <c r="G614" s="294"/>
      <c r="H614" s="294"/>
      <c r="I614" s="294"/>
      <c r="J614" s="294"/>
      <c r="K614" s="294"/>
      <c r="L614" s="294"/>
      <c r="T614" s="295"/>
      <c r="AA614" s="295"/>
      <c r="AH614" s="295"/>
      <c r="AI614" s="188"/>
      <c r="AJ614" s="188"/>
      <c r="AK614" s="188"/>
      <c r="AL614" s="188"/>
      <c r="AM614" s="188"/>
      <c r="AN614" s="188"/>
      <c r="AO614" s="299"/>
      <c r="AQ614" s="296"/>
      <c r="AR614" s="296"/>
      <c r="AS614" s="296"/>
      <c r="AU614" s="296"/>
      <c r="AV614" s="296"/>
      <c r="AW614" s="296"/>
    </row>
    <row r="615" spans="2:49" ht="13">
      <c r="B615" s="294"/>
      <c r="C615" s="294"/>
      <c r="D615" s="294"/>
      <c r="E615" s="294"/>
      <c r="F615" s="171"/>
      <c r="G615" s="294"/>
      <c r="H615" s="294"/>
      <c r="I615" s="294"/>
      <c r="J615" s="294"/>
      <c r="K615" s="294"/>
      <c r="L615" s="294"/>
      <c r="T615" s="295"/>
      <c r="AA615" s="295"/>
      <c r="AH615" s="295"/>
      <c r="AI615" s="188"/>
      <c r="AJ615" s="188"/>
      <c r="AK615" s="188"/>
      <c r="AL615" s="188"/>
      <c r="AM615" s="188"/>
      <c r="AN615" s="188"/>
      <c r="AO615" s="299"/>
      <c r="AQ615" s="296"/>
      <c r="AR615" s="296"/>
      <c r="AS615" s="296"/>
      <c r="AU615" s="296"/>
      <c r="AV615" s="296"/>
      <c r="AW615" s="296"/>
    </row>
    <row r="616" spans="2:49" ht="13">
      <c r="B616" s="294"/>
      <c r="C616" s="294"/>
      <c r="D616" s="294"/>
      <c r="E616" s="294"/>
      <c r="F616" s="171"/>
      <c r="G616" s="294"/>
      <c r="H616" s="294"/>
      <c r="I616" s="294"/>
      <c r="J616" s="294"/>
      <c r="K616" s="294"/>
      <c r="L616" s="294"/>
      <c r="T616" s="295"/>
      <c r="AA616" s="295"/>
      <c r="AH616" s="295"/>
      <c r="AI616" s="188"/>
      <c r="AJ616" s="188"/>
      <c r="AK616" s="188"/>
      <c r="AL616" s="188"/>
      <c r="AM616" s="188"/>
      <c r="AN616" s="188"/>
      <c r="AO616" s="299"/>
      <c r="AQ616" s="296"/>
      <c r="AR616" s="296"/>
      <c r="AS616" s="296"/>
      <c r="AU616" s="296"/>
      <c r="AV616" s="296"/>
      <c r="AW616" s="296"/>
    </row>
    <row r="617" spans="2:49" ht="13">
      <c r="B617" s="294"/>
      <c r="C617" s="294"/>
      <c r="D617" s="294"/>
      <c r="E617" s="294"/>
      <c r="F617" s="171"/>
      <c r="G617" s="294"/>
      <c r="H617" s="294"/>
      <c r="I617" s="294"/>
      <c r="J617" s="294"/>
      <c r="K617" s="294"/>
      <c r="L617" s="294"/>
      <c r="T617" s="295"/>
      <c r="AA617" s="295"/>
      <c r="AH617" s="295"/>
      <c r="AI617" s="188"/>
      <c r="AJ617" s="188"/>
      <c r="AK617" s="188"/>
      <c r="AL617" s="188"/>
      <c r="AM617" s="188"/>
      <c r="AN617" s="188"/>
      <c r="AO617" s="299"/>
      <c r="AQ617" s="296"/>
      <c r="AR617" s="296"/>
      <c r="AS617" s="296"/>
      <c r="AU617" s="296"/>
      <c r="AV617" s="296"/>
      <c r="AW617" s="296"/>
    </row>
    <row r="618" spans="2:49" ht="13">
      <c r="B618" s="294"/>
      <c r="C618" s="294"/>
      <c r="D618" s="294"/>
      <c r="E618" s="294"/>
      <c r="F618" s="171"/>
      <c r="G618" s="294"/>
      <c r="H618" s="294"/>
      <c r="I618" s="294"/>
      <c r="J618" s="294"/>
      <c r="K618" s="294"/>
      <c r="L618" s="294"/>
      <c r="T618" s="295"/>
      <c r="AA618" s="295"/>
      <c r="AH618" s="295"/>
      <c r="AI618" s="188"/>
      <c r="AJ618" s="188"/>
      <c r="AK618" s="188"/>
      <c r="AL618" s="188"/>
      <c r="AM618" s="188"/>
      <c r="AN618" s="188"/>
      <c r="AO618" s="299"/>
      <c r="AQ618" s="296"/>
      <c r="AR618" s="296"/>
      <c r="AS618" s="296"/>
      <c r="AU618" s="296"/>
      <c r="AV618" s="296"/>
      <c r="AW618" s="296"/>
    </row>
    <row r="619" spans="2:49" ht="13">
      <c r="B619" s="294"/>
      <c r="C619" s="294"/>
      <c r="D619" s="294"/>
      <c r="E619" s="294"/>
      <c r="F619" s="171"/>
      <c r="G619" s="294"/>
      <c r="H619" s="294"/>
      <c r="I619" s="294"/>
      <c r="J619" s="294"/>
      <c r="K619" s="294"/>
      <c r="L619" s="294"/>
      <c r="T619" s="295"/>
      <c r="AA619" s="295"/>
      <c r="AH619" s="295"/>
      <c r="AI619" s="188"/>
      <c r="AJ619" s="188"/>
      <c r="AK619" s="188"/>
      <c r="AL619" s="188"/>
      <c r="AM619" s="188"/>
      <c r="AN619" s="188"/>
      <c r="AO619" s="299"/>
      <c r="AQ619" s="296"/>
      <c r="AR619" s="296"/>
      <c r="AS619" s="296"/>
      <c r="AU619" s="296"/>
      <c r="AV619" s="296"/>
      <c r="AW619" s="296"/>
    </row>
    <row r="620" spans="2:49" ht="13">
      <c r="B620" s="294"/>
      <c r="C620" s="294"/>
      <c r="D620" s="294"/>
      <c r="E620" s="294"/>
      <c r="F620" s="171"/>
      <c r="G620" s="294"/>
      <c r="H620" s="294"/>
      <c r="I620" s="294"/>
      <c r="J620" s="294"/>
      <c r="K620" s="294"/>
      <c r="L620" s="294"/>
      <c r="T620" s="295"/>
      <c r="AA620" s="295"/>
      <c r="AH620" s="295"/>
      <c r="AI620" s="188"/>
      <c r="AJ620" s="188"/>
      <c r="AK620" s="188"/>
      <c r="AL620" s="188"/>
      <c r="AM620" s="188"/>
      <c r="AN620" s="188"/>
      <c r="AO620" s="299"/>
      <c r="AQ620" s="296"/>
      <c r="AR620" s="296"/>
      <c r="AS620" s="296"/>
      <c r="AU620" s="296"/>
      <c r="AV620" s="296"/>
      <c r="AW620" s="296"/>
    </row>
    <row r="621" spans="2:49" ht="13">
      <c r="B621" s="294"/>
      <c r="C621" s="294"/>
      <c r="D621" s="294"/>
      <c r="E621" s="294"/>
      <c r="F621" s="171"/>
      <c r="G621" s="294"/>
      <c r="H621" s="294"/>
      <c r="I621" s="294"/>
      <c r="J621" s="294"/>
      <c r="K621" s="294"/>
      <c r="L621" s="294"/>
      <c r="T621" s="295"/>
      <c r="AA621" s="295"/>
      <c r="AH621" s="295"/>
      <c r="AI621" s="188"/>
      <c r="AJ621" s="188"/>
      <c r="AK621" s="188"/>
      <c r="AL621" s="188"/>
      <c r="AM621" s="188"/>
      <c r="AN621" s="188"/>
      <c r="AO621" s="299"/>
      <c r="AQ621" s="296"/>
      <c r="AR621" s="296"/>
      <c r="AS621" s="296"/>
      <c r="AU621" s="296"/>
      <c r="AV621" s="296"/>
      <c r="AW621" s="296"/>
    </row>
    <row r="622" spans="2:49" ht="13">
      <c r="B622" s="294"/>
      <c r="C622" s="294"/>
      <c r="D622" s="294"/>
      <c r="E622" s="294"/>
      <c r="F622" s="171"/>
      <c r="G622" s="294"/>
      <c r="H622" s="294"/>
      <c r="I622" s="294"/>
      <c r="J622" s="294"/>
      <c r="K622" s="294"/>
      <c r="L622" s="294"/>
      <c r="T622" s="295"/>
      <c r="AA622" s="295"/>
      <c r="AH622" s="295"/>
      <c r="AI622" s="188"/>
      <c r="AJ622" s="188"/>
      <c r="AK622" s="188"/>
      <c r="AL622" s="188"/>
      <c r="AM622" s="188"/>
      <c r="AN622" s="188"/>
      <c r="AO622" s="299"/>
      <c r="AQ622" s="296"/>
      <c r="AR622" s="296"/>
      <c r="AS622" s="296"/>
      <c r="AU622" s="296"/>
      <c r="AV622" s="296"/>
      <c r="AW622" s="296"/>
    </row>
    <row r="623" spans="2:49" ht="13">
      <c r="B623" s="294"/>
      <c r="C623" s="294"/>
      <c r="D623" s="294"/>
      <c r="E623" s="294"/>
      <c r="F623" s="171"/>
      <c r="G623" s="294"/>
      <c r="H623" s="294"/>
      <c r="I623" s="294"/>
      <c r="J623" s="294"/>
      <c r="K623" s="294"/>
      <c r="L623" s="294"/>
      <c r="T623" s="295"/>
      <c r="AA623" s="295"/>
      <c r="AH623" s="295"/>
      <c r="AI623" s="188"/>
      <c r="AJ623" s="188"/>
      <c r="AK623" s="188"/>
      <c r="AL623" s="188"/>
      <c r="AM623" s="188"/>
      <c r="AN623" s="188"/>
      <c r="AO623" s="299"/>
      <c r="AQ623" s="296"/>
      <c r="AR623" s="296"/>
      <c r="AS623" s="296"/>
      <c r="AU623" s="296"/>
      <c r="AV623" s="296"/>
      <c r="AW623" s="296"/>
    </row>
    <row r="624" spans="2:49" ht="13">
      <c r="B624" s="294"/>
      <c r="C624" s="294"/>
      <c r="D624" s="294"/>
      <c r="E624" s="294"/>
      <c r="F624" s="171"/>
      <c r="G624" s="294"/>
      <c r="H624" s="294"/>
      <c r="I624" s="294"/>
      <c r="J624" s="294"/>
      <c r="K624" s="294"/>
      <c r="L624" s="294"/>
      <c r="T624" s="295"/>
      <c r="AA624" s="295"/>
      <c r="AH624" s="295"/>
      <c r="AI624" s="188"/>
      <c r="AJ624" s="188"/>
      <c r="AK624" s="188"/>
      <c r="AL624" s="188"/>
      <c r="AM624" s="188"/>
      <c r="AN624" s="188"/>
      <c r="AO624" s="299"/>
      <c r="AQ624" s="296"/>
      <c r="AR624" s="296"/>
      <c r="AS624" s="296"/>
      <c r="AU624" s="296"/>
      <c r="AV624" s="296"/>
      <c r="AW624" s="296"/>
    </row>
    <row r="625" spans="2:49" ht="13">
      <c r="B625" s="294"/>
      <c r="C625" s="294"/>
      <c r="D625" s="294"/>
      <c r="E625" s="294"/>
      <c r="F625" s="171"/>
      <c r="G625" s="294"/>
      <c r="H625" s="294"/>
      <c r="I625" s="294"/>
      <c r="J625" s="294"/>
      <c r="K625" s="294"/>
      <c r="L625" s="294"/>
      <c r="T625" s="295"/>
      <c r="AA625" s="295"/>
      <c r="AH625" s="295"/>
      <c r="AI625" s="188"/>
      <c r="AJ625" s="188"/>
      <c r="AK625" s="188"/>
      <c r="AL625" s="188"/>
      <c r="AM625" s="188"/>
      <c r="AN625" s="188"/>
      <c r="AO625" s="299"/>
      <c r="AQ625" s="296"/>
      <c r="AR625" s="296"/>
      <c r="AS625" s="296"/>
      <c r="AU625" s="296"/>
      <c r="AV625" s="296"/>
      <c r="AW625" s="296"/>
    </row>
    <row r="626" spans="2:49" ht="13">
      <c r="B626" s="294"/>
      <c r="C626" s="294"/>
      <c r="D626" s="294"/>
      <c r="E626" s="294"/>
      <c r="F626" s="171"/>
      <c r="G626" s="294"/>
      <c r="H626" s="294"/>
      <c r="I626" s="294"/>
      <c r="J626" s="294"/>
      <c r="K626" s="294"/>
      <c r="L626" s="294"/>
      <c r="T626" s="295"/>
      <c r="AA626" s="295"/>
      <c r="AH626" s="295"/>
      <c r="AI626" s="188"/>
      <c r="AJ626" s="188"/>
      <c r="AK626" s="188"/>
      <c r="AL626" s="188"/>
      <c r="AM626" s="188"/>
      <c r="AN626" s="188"/>
      <c r="AO626" s="299"/>
      <c r="AQ626" s="296"/>
      <c r="AR626" s="296"/>
      <c r="AS626" s="296"/>
      <c r="AU626" s="296"/>
      <c r="AV626" s="296"/>
      <c r="AW626" s="296"/>
    </row>
    <row r="627" spans="2:49" ht="13">
      <c r="B627" s="294"/>
      <c r="C627" s="294"/>
      <c r="D627" s="294"/>
      <c r="E627" s="294"/>
      <c r="F627" s="171"/>
      <c r="G627" s="294"/>
      <c r="H627" s="294"/>
      <c r="I627" s="294"/>
      <c r="J627" s="294"/>
      <c r="K627" s="294"/>
      <c r="L627" s="294"/>
      <c r="T627" s="295"/>
      <c r="AA627" s="295"/>
      <c r="AH627" s="295"/>
      <c r="AI627" s="188"/>
      <c r="AJ627" s="188"/>
      <c r="AK627" s="188"/>
      <c r="AL627" s="188"/>
      <c r="AM627" s="188"/>
      <c r="AN627" s="188"/>
      <c r="AO627" s="299"/>
      <c r="AQ627" s="296"/>
      <c r="AR627" s="296"/>
      <c r="AS627" s="296"/>
      <c r="AU627" s="296"/>
      <c r="AV627" s="296"/>
      <c r="AW627" s="296"/>
    </row>
    <row r="628" spans="2:49" ht="13">
      <c r="B628" s="294"/>
      <c r="C628" s="294"/>
      <c r="D628" s="294"/>
      <c r="E628" s="294"/>
      <c r="F628" s="171"/>
      <c r="G628" s="294"/>
      <c r="H628" s="294"/>
      <c r="I628" s="294"/>
      <c r="J628" s="294"/>
      <c r="K628" s="294"/>
      <c r="L628" s="294"/>
      <c r="T628" s="295"/>
      <c r="AA628" s="295"/>
      <c r="AH628" s="295"/>
      <c r="AI628" s="188"/>
      <c r="AJ628" s="188"/>
      <c r="AK628" s="188"/>
      <c r="AL628" s="188"/>
      <c r="AM628" s="188"/>
      <c r="AN628" s="188"/>
      <c r="AO628" s="299"/>
      <c r="AQ628" s="296"/>
      <c r="AR628" s="296"/>
      <c r="AS628" s="296"/>
      <c r="AU628" s="296"/>
      <c r="AV628" s="296"/>
      <c r="AW628" s="296"/>
    </row>
    <row r="629" spans="2:49" ht="13">
      <c r="B629" s="294"/>
      <c r="C629" s="294"/>
      <c r="D629" s="294"/>
      <c r="E629" s="294"/>
      <c r="F629" s="171"/>
      <c r="G629" s="294"/>
      <c r="H629" s="294"/>
      <c r="I629" s="294"/>
      <c r="J629" s="294"/>
      <c r="K629" s="294"/>
      <c r="L629" s="294"/>
      <c r="T629" s="295"/>
      <c r="AA629" s="295"/>
      <c r="AH629" s="295"/>
      <c r="AI629" s="188"/>
      <c r="AJ629" s="188"/>
      <c r="AK629" s="188"/>
      <c r="AL629" s="188"/>
      <c r="AM629" s="188"/>
      <c r="AN629" s="188"/>
      <c r="AO629" s="299"/>
      <c r="AQ629" s="296"/>
      <c r="AR629" s="296"/>
      <c r="AS629" s="296"/>
      <c r="AU629" s="296"/>
      <c r="AV629" s="296"/>
      <c r="AW629" s="296"/>
    </row>
    <row r="630" spans="2:49" ht="13">
      <c r="B630" s="294"/>
      <c r="C630" s="294"/>
      <c r="D630" s="294"/>
      <c r="E630" s="294"/>
      <c r="F630" s="171"/>
      <c r="G630" s="294"/>
      <c r="H630" s="294"/>
      <c r="I630" s="294"/>
      <c r="J630" s="294"/>
      <c r="K630" s="294"/>
      <c r="L630" s="294"/>
      <c r="T630" s="295"/>
      <c r="AA630" s="295"/>
      <c r="AH630" s="295"/>
      <c r="AI630" s="188"/>
      <c r="AJ630" s="188"/>
      <c r="AK630" s="188"/>
      <c r="AL630" s="188"/>
      <c r="AM630" s="188"/>
      <c r="AN630" s="188"/>
      <c r="AO630" s="299"/>
      <c r="AQ630" s="296"/>
      <c r="AR630" s="296"/>
      <c r="AS630" s="296"/>
      <c r="AU630" s="296"/>
      <c r="AV630" s="296"/>
      <c r="AW630" s="296"/>
    </row>
    <row r="631" spans="2:49" ht="13">
      <c r="B631" s="294"/>
      <c r="C631" s="294"/>
      <c r="D631" s="294"/>
      <c r="E631" s="294"/>
      <c r="F631" s="171"/>
      <c r="G631" s="294"/>
      <c r="H631" s="294"/>
      <c r="I631" s="294"/>
      <c r="J631" s="294"/>
      <c r="K631" s="294"/>
      <c r="L631" s="294"/>
      <c r="T631" s="295"/>
      <c r="AA631" s="295"/>
      <c r="AH631" s="295"/>
      <c r="AI631" s="188"/>
      <c r="AJ631" s="188"/>
      <c r="AK631" s="188"/>
      <c r="AL631" s="188"/>
      <c r="AM631" s="188"/>
      <c r="AN631" s="188"/>
      <c r="AO631" s="299"/>
      <c r="AQ631" s="296"/>
      <c r="AR631" s="296"/>
      <c r="AS631" s="296"/>
      <c r="AU631" s="296"/>
      <c r="AV631" s="296"/>
      <c r="AW631" s="296"/>
    </row>
    <row r="632" spans="2:49" ht="13">
      <c r="B632" s="294"/>
      <c r="C632" s="294"/>
      <c r="D632" s="294"/>
      <c r="E632" s="294"/>
      <c r="F632" s="171"/>
      <c r="G632" s="294"/>
      <c r="H632" s="294"/>
      <c r="I632" s="294"/>
      <c r="J632" s="294"/>
      <c r="K632" s="294"/>
      <c r="L632" s="294"/>
      <c r="T632" s="295"/>
      <c r="AA632" s="295"/>
      <c r="AH632" s="295"/>
      <c r="AI632" s="188"/>
      <c r="AJ632" s="188"/>
      <c r="AK632" s="188"/>
      <c r="AL632" s="188"/>
      <c r="AM632" s="188"/>
      <c r="AN632" s="188"/>
      <c r="AO632" s="299"/>
      <c r="AQ632" s="296"/>
      <c r="AR632" s="296"/>
      <c r="AS632" s="296"/>
      <c r="AU632" s="296"/>
      <c r="AV632" s="296"/>
      <c r="AW632" s="296"/>
    </row>
    <row r="633" spans="2:49" ht="13">
      <c r="B633" s="294"/>
      <c r="C633" s="294"/>
      <c r="D633" s="294"/>
      <c r="E633" s="294"/>
      <c r="F633" s="171"/>
      <c r="G633" s="294"/>
      <c r="H633" s="294"/>
      <c r="I633" s="294"/>
      <c r="J633" s="294"/>
      <c r="K633" s="294"/>
      <c r="L633" s="294"/>
      <c r="T633" s="295"/>
      <c r="AA633" s="295"/>
      <c r="AH633" s="295"/>
      <c r="AI633" s="188"/>
      <c r="AJ633" s="188"/>
      <c r="AK633" s="188"/>
      <c r="AL633" s="188"/>
      <c r="AM633" s="188"/>
      <c r="AN633" s="188"/>
      <c r="AO633" s="299"/>
      <c r="AQ633" s="296"/>
      <c r="AR633" s="296"/>
      <c r="AS633" s="296"/>
      <c r="AU633" s="296"/>
      <c r="AV633" s="296"/>
      <c r="AW633" s="296"/>
    </row>
    <row r="634" spans="2:49" ht="13">
      <c r="B634" s="294"/>
      <c r="C634" s="294"/>
      <c r="D634" s="294"/>
      <c r="E634" s="294"/>
      <c r="F634" s="171"/>
      <c r="G634" s="294"/>
      <c r="H634" s="294"/>
      <c r="I634" s="294"/>
      <c r="J634" s="294"/>
      <c r="K634" s="294"/>
      <c r="L634" s="294"/>
      <c r="T634" s="295"/>
      <c r="AA634" s="295"/>
      <c r="AH634" s="295"/>
      <c r="AI634" s="188"/>
      <c r="AJ634" s="188"/>
      <c r="AK634" s="188"/>
      <c r="AL634" s="188"/>
      <c r="AM634" s="188"/>
      <c r="AN634" s="188"/>
      <c r="AO634" s="299"/>
      <c r="AQ634" s="296"/>
      <c r="AR634" s="296"/>
      <c r="AS634" s="296"/>
      <c r="AU634" s="296"/>
      <c r="AV634" s="296"/>
      <c r="AW634" s="296"/>
    </row>
    <row r="635" spans="2:49" ht="13">
      <c r="B635" s="294"/>
      <c r="C635" s="294"/>
      <c r="D635" s="294"/>
      <c r="E635" s="294"/>
      <c r="F635" s="171"/>
      <c r="G635" s="294"/>
      <c r="H635" s="294"/>
      <c r="I635" s="294"/>
      <c r="J635" s="294"/>
      <c r="K635" s="294"/>
      <c r="L635" s="294"/>
      <c r="T635" s="295"/>
      <c r="AA635" s="295"/>
      <c r="AH635" s="295"/>
      <c r="AI635" s="188"/>
      <c r="AJ635" s="188"/>
      <c r="AK635" s="188"/>
      <c r="AL635" s="188"/>
      <c r="AM635" s="188"/>
      <c r="AN635" s="188"/>
      <c r="AO635" s="299"/>
      <c r="AQ635" s="296"/>
      <c r="AR635" s="296"/>
      <c r="AS635" s="296"/>
      <c r="AU635" s="296"/>
      <c r="AV635" s="296"/>
      <c r="AW635" s="296"/>
    </row>
    <row r="636" spans="2:49" ht="13">
      <c r="B636" s="294"/>
      <c r="C636" s="294"/>
      <c r="D636" s="294"/>
      <c r="E636" s="294"/>
      <c r="F636" s="171"/>
      <c r="G636" s="294"/>
      <c r="H636" s="294"/>
      <c r="I636" s="294"/>
      <c r="J636" s="294"/>
      <c r="K636" s="294"/>
      <c r="L636" s="294"/>
      <c r="T636" s="295"/>
      <c r="AA636" s="295"/>
      <c r="AH636" s="295"/>
      <c r="AI636" s="188"/>
      <c r="AJ636" s="188"/>
      <c r="AK636" s="188"/>
      <c r="AL636" s="188"/>
      <c r="AM636" s="188"/>
      <c r="AN636" s="188"/>
      <c r="AO636" s="299"/>
      <c r="AQ636" s="296"/>
      <c r="AR636" s="296"/>
      <c r="AS636" s="296"/>
      <c r="AU636" s="296"/>
      <c r="AV636" s="296"/>
      <c r="AW636" s="296"/>
    </row>
    <row r="637" spans="2:49" ht="13">
      <c r="B637" s="294"/>
      <c r="C637" s="294"/>
      <c r="D637" s="294"/>
      <c r="E637" s="294"/>
      <c r="F637" s="171"/>
      <c r="G637" s="294"/>
      <c r="H637" s="294"/>
      <c r="I637" s="294"/>
      <c r="J637" s="294"/>
      <c r="K637" s="294"/>
      <c r="L637" s="294"/>
      <c r="T637" s="295"/>
      <c r="AA637" s="295"/>
      <c r="AH637" s="295"/>
      <c r="AI637" s="188"/>
      <c r="AJ637" s="188"/>
      <c r="AK637" s="188"/>
      <c r="AL637" s="188"/>
      <c r="AM637" s="188"/>
      <c r="AN637" s="188"/>
      <c r="AO637" s="299"/>
      <c r="AQ637" s="296"/>
      <c r="AR637" s="296"/>
      <c r="AS637" s="296"/>
      <c r="AU637" s="296"/>
      <c r="AV637" s="296"/>
      <c r="AW637" s="296"/>
    </row>
    <row r="638" spans="2:49" ht="13">
      <c r="B638" s="294"/>
      <c r="C638" s="294"/>
      <c r="D638" s="294"/>
      <c r="E638" s="294"/>
      <c r="F638" s="171"/>
      <c r="G638" s="294"/>
      <c r="H638" s="294"/>
      <c r="I638" s="294"/>
      <c r="J638" s="294"/>
      <c r="K638" s="294"/>
      <c r="L638" s="294"/>
      <c r="T638" s="295"/>
      <c r="AA638" s="295"/>
      <c r="AH638" s="295"/>
      <c r="AI638" s="188"/>
      <c r="AJ638" s="188"/>
      <c r="AK638" s="188"/>
      <c r="AL638" s="188"/>
      <c r="AM638" s="188"/>
      <c r="AN638" s="188"/>
      <c r="AO638" s="299"/>
      <c r="AQ638" s="296"/>
      <c r="AR638" s="296"/>
      <c r="AS638" s="296"/>
      <c r="AU638" s="296"/>
      <c r="AV638" s="296"/>
      <c r="AW638" s="296"/>
    </row>
    <row r="639" spans="2:49" ht="13">
      <c r="B639" s="294"/>
      <c r="C639" s="294"/>
      <c r="D639" s="294"/>
      <c r="E639" s="294"/>
      <c r="F639" s="171"/>
      <c r="G639" s="294"/>
      <c r="H639" s="294"/>
      <c r="I639" s="294"/>
      <c r="J639" s="294"/>
      <c r="K639" s="294"/>
      <c r="L639" s="294"/>
      <c r="T639" s="295"/>
      <c r="AA639" s="295"/>
      <c r="AH639" s="295"/>
      <c r="AI639" s="188"/>
      <c r="AJ639" s="188"/>
      <c r="AK639" s="188"/>
      <c r="AL639" s="188"/>
      <c r="AM639" s="188"/>
      <c r="AN639" s="188"/>
      <c r="AO639" s="299"/>
      <c r="AQ639" s="296"/>
      <c r="AR639" s="296"/>
      <c r="AS639" s="296"/>
      <c r="AU639" s="296"/>
      <c r="AV639" s="296"/>
      <c r="AW639" s="296"/>
    </row>
    <row r="640" spans="2:49" ht="13">
      <c r="B640" s="294"/>
      <c r="C640" s="294"/>
      <c r="D640" s="294"/>
      <c r="E640" s="294"/>
      <c r="F640" s="171"/>
      <c r="G640" s="294"/>
      <c r="H640" s="294"/>
      <c r="I640" s="294"/>
      <c r="J640" s="294"/>
      <c r="K640" s="294"/>
      <c r="L640" s="294"/>
      <c r="T640" s="295"/>
      <c r="AA640" s="295"/>
      <c r="AH640" s="295"/>
      <c r="AI640" s="188"/>
      <c r="AJ640" s="188"/>
      <c r="AK640" s="188"/>
      <c r="AL640" s="188"/>
      <c r="AM640" s="188"/>
      <c r="AN640" s="188"/>
      <c r="AO640" s="299"/>
      <c r="AQ640" s="296"/>
      <c r="AR640" s="296"/>
      <c r="AS640" s="296"/>
      <c r="AU640" s="296"/>
      <c r="AV640" s="296"/>
      <c r="AW640" s="296"/>
    </row>
    <row r="641" spans="2:49" ht="13">
      <c r="B641" s="294"/>
      <c r="C641" s="294"/>
      <c r="D641" s="294"/>
      <c r="E641" s="294"/>
      <c r="F641" s="171"/>
      <c r="G641" s="294"/>
      <c r="H641" s="294"/>
      <c r="I641" s="294"/>
      <c r="J641" s="294"/>
      <c r="K641" s="294"/>
      <c r="L641" s="294"/>
      <c r="T641" s="295"/>
      <c r="AA641" s="295"/>
      <c r="AH641" s="295"/>
      <c r="AI641" s="188"/>
      <c r="AJ641" s="188"/>
      <c r="AK641" s="188"/>
      <c r="AL641" s="188"/>
      <c r="AM641" s="188"/>
      <c r="AN641" s="188"/>
      <c r="AO641" s="299"/>
      <c r="AQ641" s="296"/>
      <c r="AR641" s="296"/>
      <c r="AS641" s="296"/>
      <c r="AU641" s="296"/>
      <c r="AV641" s="296"/>
      <c r="AW641" s="296"/>
    </row>
    <row r="642" spans="2:49" ht="13">
      <c r="B642" s="294"/>
      <c r="C642" s="294"/>
      <c r="D642" s="294"/>
      <c r="E642" s="294"/>
      <c r="F642" s="171"/>
      <c r="G642" s="294"/>
      <c r="H642" s="294"/>
      <c r="I642" s="294"/>
      <c r="J642" s="294"/>
      <c r="K642" s="294"/>
      <c r="L642" s="294"/>
      <c r="T642" s="295"/>
      <c r="AA642" s="295"/>
      <c r="AH642" s="295"/>
      <c r="AI642" s="188"/>
      <c r="AJ642" s="188"/>
      <c r="AK642" s="188"/>
      <c r="AL642" s="188"/>
      <c r="AM642" s="188"/>
      <c r="AN642" s="188"/>
      <c r="AO642" s="299"/>
      <c r="AQ642" s="296"/>
      <c r="AR642" s="296"/>
      <c r="AS642" s="296"/>
      <c r="AU642" s="296"/>
      <c r="AV642" s="296"/>
      <c r="AW642" s="296"/>
    </row>
    <row r="643" spans="2:49" ht="13">
      <c r="B643" s="294"/>
      <c r="C643" s="294"/>
      <c r="D643" s="294"/>
      <c r="E643" s="294"/>
      <c r="F643" s="171"/>
      <c r="G643" s="294"/>
      <c r="H643" s="294"/>
      <c r="I643" s="294"/>
      <c r="J643" s="294"/>
      <c r="K643" s="294"/>
      <c r="L643" s="294"/>
      <c r="T643" s="295"/>
      <c r="AA643" s="295"/>
      <c r="AH643" s="295"/>
      <c r="AI643" s="188"/>
      <c r="AJ643" s="188"/>
      <c r="AK643" s="188"/>
      <c r="AL643" s="188"/>
      <c r="AM643" s="188"/>
      <c r="AN643" s="188"/>
      <c r="AO643" s="299"/>
      <c r="AQ643" s="296"/>
      <c r="AR643" s="296"/>
      <c r="AS643" s="296"/>
      <c r="AU643" s="296"/>
      <c r="AV643" s="296"/>
      <c r="AW643" s="296"/>
    </row>
    <row r="644" spans="2:49" ht="13">
      <c r="B644" s="294"/>
      <c r="C644" s="294"/>
      <c r="D644" s="294"/>
      <c r="E644" s="294"/>
      <c r="F644" s="171"/>
      <c r="G644" s="294"/>
      <c r="H644" s="294"/>
      <c r="I644" s="294"/>
      <c r="J644" s="294"/>
      <c r="K644" s="294"/>
      <c r="L644" s="294"/>
      <c r="T644" s="295"/>
      <c r="AA644" s="295"/>
      <c r="AH644" s="295"/>
      <c r="AI644" s="188"/>
      <c r="AJ644" s="188"/>
      <c r="AK644" s="188"/>
      <c r="AL644" s="188"/>
      <c r="AM644" s="188"/>
      <c r="AN644" s="188"/>
      <c r="AO644" s="299"/>
      <c r="AQ644" s="296"/>
      <c r="AR644" s="296"/>
      <c r="AS644" s="296"/>
      <c r="AU644" s="296"/>
      <c r="AV644" s="296"/>
      <c r="AW644" s="296"/>
    </row>
    <row r="645" spans="2:49" ht="13">
      <c r="B645" s="294"/>
      <c r="C645" s="294"/>
      <c r="D645" s="294"/>
      <c r="E645" s="294"/>
      <c r="F645" s="171"/>
      <c r="G645" s="294"/>
      <c r="H645" s="294"/>
      <c r="I645" s="294"/>
      <c r="J645" s="294"/>
      <c r="K645" s="294"/>
      <c r="L645" s="294"/>
      <c r="T645" s="295"/>
      <c r="AA645" s="295"/>
      <c r="AH645" s="295"/>
      <c r="AI645" s="188"/>
      <c r="AJ645" s="188"/>
      <c r="AK645" s="188"/>
      <c r="AL645" s="188"/>
      <c r="AM645" s="188"/>
      <c r="AN645" s="188"/>
      <c r="AO645" s="299"/>
      <c r="AQ645" s="296"/>
      <c r="AR645" s="296"/>
      <c r="AS645" s="296"/>
      <c r="AU645" s="296"/>
      <c r="AV645" s="296"/>
      <c r="AW645" s="296"/>
    </row>
    <row r="646" spans="2:49" ht="13">
      <c r="B646" s="294"/>
      <c r="C646" s="294"/>
      <c r="D646" s="294"/>
      <c r="E646" s="294"/>
      <c r="F646" s="171"/>
      <c r="G646" s="294"/>
      <c r="H646" s="294"/>
      <c r="I646" s="294"/>
      <c r="J646" s="294"/>
      <c r="K646" s="294"/>
      <c r="L646" s="294"/>
      <c r="T646" s="295"/>
      <c r="AA646" s="295"/>
      <c r="AH646" s="295"/>
      <c r="AI646" s="188"/>
      <c r="AJ646" s="188"/>
      <c r="AK646" s="188"/>
      <c r="AL646" s="188"/>
      <c r="AM646" s="188"/>
      <c r="AN646" s="188"/>
      <c r="AO646" s="299"/>
      <c r="AQ646" s="296"/>
      <c r="AR646" s="296"/>
      <c r="AS646" s="296"/>
      <c r="AU646" s="296"/>
      <c r="AV646" s="296"/>
      <c r="AW646" s="296"/>
    </row>
    <row r="647" spans="2:49" ht="13">
      <c r="B647" s="294"/>
      <c r="C647" s="294"/>
      <c r="D647" s="294"/>
      <c r="E647" s="294"/>
      <c r="F647" s="171"/>
      <c r="G647" s="294"/>
      <c r="H647" s="294"/>
      <c r="I647" s="294"/>
      <c r="J647" s="294"/>
      <c r="K647" s="294"/>
      <c r="L647" s="294"/>
      <c r="T647" s="295"/>
      <c r="AA647" s="295"/>
      <c r="AH647" s="295"/>
      <c r="AI647" s="188"/>
      <c r="AJ647" s="188"/>
      <c r="AK647" s="188"/>
      <c r="AL647" s="188"/>
      <c r="AM647" s="188"/>
      <c r="AN647" s="188"/>
      <c r="AO647" s="299"/>
      <c r="AQ647" s="296"/>
      <c r="AR647" s="296"/>
      <c r="AS647" s="296"/>
      <c r="AU647" s="296"/>
      <c r="AV647" s="296"/>
      <c r="AW647" s="296"/>
    </row>
    <row r="648" spans="2:49" ht="13">
      <c r="B648" s="294"/>
      <c r="C648" s="294"/>
      <c r="D648" s="294"/>
      <c r="E648" s="294"/>
      <c r="F648" s="171"/>
      <c r="G648" s="294"/>
      <c r="H648" s="294"/>
      <c r="I648" s="294"/>
      <c r="J648" s="294"/>
      <c r="K648" s="294"/>
      <c r="L648" s="294"/>
      <c r="T648" s="295"/>
      <c r="AA648" s="295"/>
      <c r="AH648" s="295"/>
      <c r="AI648" s="188"/>
      <c r="AJ648" s="188"/>
      <c r="AK648" s="188"/>
      <c r="AL648" s="188"/>
      <c r="AM648" s="188"/>
      <c r="AN648" s="188"/>
      <c r="AO648" s="299"/>
      <c r="AQ648" s="296"/>
      <c r="AR648" s="296"/>
      <c r="AS648" s="296"/>
      <c r="AU648" s="296"/>
      <c r="AV648" s="296"/>
      <c r="AW648" s="296"/>
    </row>
    <row r="649" spans="2:49" ht="13">
      <c r="B649" s="294"/>
      <c r="C649" s="294"/>
      <c r="D649" s="294"/>
      <c r="E649" s="294"/>
      <c r="F649" s="171"/>
      <c r="G649" s="294"/>
      <c r="H649" s="294"/>
      <c r="I649" s="294"/>
      <c r="J649" s="294"/>
      <c r="K649" s="294"/>
      <c r="L649" s="294"/>
      <c r="T649" s="295"/>
      <c r="AA649" s="295"/>
      <c r="AH649" s="295"/>
      <c r="AI649" s="188"/>
      <c r="AJ649" s="188"/>
      <c r="AK649" s="188"/>
      <c r="AL649" s="188"/>
      <c r="AM649" s="188"/>
      <c r="AN649" s="188"/>
      <c r="AO649" s="299"/>
      <c r="AQ649" s="296"/>
      <c r="AR649" s="296"/>
      <c r="AS649" s="296"/>
      <c r="AU649" s="296"/>
      <c r="AV649" s="296"/>
      <c r="AW649" s="296"/>
    </row>
    <row r="650" spans="2:49" ht="13">
      <c r="B650" s="294"/>
      <c r="C650" s="294"/>
      <c r="D650" s="294"/>
      <c r="E650" s="294"/>
      <c r="F650" s="171"/>
      <c r="G650" s="294"/>
      <c r="H650" s="294"/>
      <c r="I650" s="294"/>
      <c r="J650" s="294"/>
      <c r="K650" s="294"/>
      <c r="L650" s="294"/>
      <c r="T650" s="295"/>
      <c r="AA650" s="295"/>
      <c r="AH650" s="295"/>
      <c r="AI650" s="188"/>
      <c r="AJ650" s="188"/>
      <c r="AK650" s="188"/>
      <c r="AL650" s="188"/>
      <c r="AM650" s="188"/>
      <c r="AN650" s="188"/>
      <c r="AO650" s="299"/>
      <c r="AQ650" s="296"/>
      <c r="AR650" s="296"/>
      <c r="AS650" s="296"/>
      <c r="AU650" s="296"/>
      <c r="AV650" s="296"/>
      <c r="AW650" s="296"/>
    </row>
    <row r="651" spans="2:49" ht="13">
      <c r="B651" s="294"/>
      <c r="C651" s="294"/>
      <c r="D651" s="294"/>
      <c r="E651" s="294"/>
      <c r="F651" s="171"/>
      <c r="G651" s="294"/>
      <c r="H651" s="294"/>
      <c r="I651" s="294"/>
      <c r="J651" s="294"/>
      <c r="K651" s="294"/>
      <c r="L651" s="294"/>
      <c r="T651" s="295"/>
      <c r="AA651" s="295"/>
      <c r="AH651" s="295"/>
      <c r="AI651" s="188"/>
      <c r="AJ651" s="188"/>
      <c r="AK651" s="188"/>
      <c r="AL651" s="188"/>
      <c r="AM651" s="188"/>
      <c r="AN651" s="188"/>
      <c r="AO651" s="299"/>
      <c r="AQ651" s="296"/>
      <c r="AR651" s="296"/>
      <c r="AS651" s="296"/>
      <c r="AU651" s="296"/>
      <c r="AV651" s="296"/>
      <c r="AW651" s="296"/>
    </row>
    <row r="652" spans="2:49" ht="13">
      <c r="B652" s="294"/>
      <c r="C652" s="294"/>
      <c r="D652" s="294"/>
      <c r="E652" s="294"/>
      <c r="F652" s="171"/>
      <c r="G652" s="294"/>
      <c r="H652" s="294"/>
      <c r="I652" s="294"/>
      <c r="J652" s="294"/>
      <c r="K652" s="294"/>
      <c r="L652" s="294"/>
      <c r="T652" s="295"/>
      <c r="AA652" s="295"/>
      <c r="AH652" s="295"/>
      <c r="AI652" s="188"/>
      <c r="AJ652" s="188"/>
      <c r="AK652" s="188"/>
      <c r="AL652" s="188"/>
      <c r="AM652" s="188"/>
      <c r="AN652" s="188"/>
      <c r="AO652" s="299"/>
      <c r="AQ652" s="296"/>
      <c r="AR652" s="296"/>
      <c r="AS652" s="296"/>
      <c r="AU652" s="296"/>
      <c r="AV652" s="296"/>
      <c r="AW652" s="296"/>
    </row>
    <row r="653" spans="2:49" ht="13">
      <c r="B653" s="294"/>
      <c r="C653" s="294"/>
      <c r="D653" s="294"/>
      <c r="E653" s="294"/>
      <c r="F653" s="171"/>
      <c r="G653" s="294"/>
      <c r="H653" s="294"/>
      <c r="I653" s="294"/>
      <c r="J653" s="294"/>
      <c r="K653" s="294"/>
      <c r="L653" s="294"/>
      <c r="T653" s="295"/>
      <c r="AA653" s="295"/>
      <c r="AH653" s="295"/>
      <c r="AI653" s="188"/>
      <c r="AJ653" s="188"/>
      <c r="AK653" s="188"/>
      <c r="AL653" s="188"/>
      <c r="AM653" s="188"/>
      <c r="AN653" s="188"/>
      <c r="AO653" s="299"/>
      <c r="AQ653" s="296"/>
      <c r="AR653" s="296"/>
      <c r="AS653" s="296"/>
      <c r="AU653" s="296"/>
      <c r="AV653" s="296"/>
      <c r="AW653" s="296"/>
    </row>
    <row r="654" spans="2:49" ht="13">
      <c r="B654" s="294"/>
      <c r="C654" s="294"/>
      <c r="D654" s="294"/>
      <c r="E654" s="294"/>
      <c r="F654" s="171"/>
      <c r="G654" s="294"/>
      <c r="H654" s="294"/>
      <c r="I654" s="294"/>
      <c r="J654" s="294"/>
      <c r="K654" s="294"/>
      <c r="L654" s="294"/>
      <c r="T654" s="295"/>
      <c r="AA654" s="295"/>
      <c r="AH654" s="295"/>
      <c r="AI654" s="188"/>
      <c r="AJ654" s="188"/>
      <c r="AK654" s="188"/>
      <c r="AL654" s="188"/>
      <c r="AM654" s="188"/>
      <c r="AN654" s="188"/>
      <c r="AO654" s="299"/>
      <c r="AQ654" s="296"/>
      <c r="AR654" s="296"/>
      <c r="AS654" s="296"/>
      <c r="AU654" s="296"/>
      <c r="AV654" s="296"/>
      <c r="AW654" s="296"/>
    </row>
    <row r="655" spans="2:49" ht="13">
      <c r="B655" s="294"/>
      <c r="C655" s="294"/>
      <c r="D655" s="294"/>
      <c r="E655" s="294"/>
      <c r="F655" s="171"/>
      <c r="G655" s="294"/>
      <c r="H655" s="294"/>
      <c r="I655" s="294"/>
      <c r="J655" s="294"/>
      <c r="K655" s="294"/>
      <c r="L655" s="294"/>
      <c r="T655" s="295"/>
      <c r="AA655" s="295"/>
      <c r="AH655" s="295"/>
      <c r="AI655" s="188"/>
      <c r="AJ655" s="188"/>
      <c r="AK655" s="188"/>
      <c r="AL655" s="188"/>
      <c r="AM655" s="188"/>
      <c r="AN655" s="188"/>
      <c r="AO655" s="299"/>
      <c r="AQ655" s="296"/>
      <c r="AR655" s="296"/>
      <c r="AS655" s="296"/>
      <c r="AU655" s="296"/>
      <c r="AV655" s="296"/>
      <c r="AW655" s="296"/>
    </row>
    <row r="656" spans="2:49" ht="13">
      <c r="B656" s="294"/>
      <c r="C656" s="294"/>
      <c r="D656" s="294"/>
      <c r="E656" s="294"/>
      <c r="F656" s="171"/>
      <c r="G656" s="294"/>
      <c r="H656" s="294"/>
      <c r="I656" s="294"/>
      <c r="J656" s="294"/>
      <c r="K656" s="294"/>
      <c r="L656" s="294"/>
      <c r="T656" s="295"/>
      <c r="AA656" s="295"/>
      <c r="AH656" s="295"/>
      <c r="AI656" s="188"/>
      <c r="AJ656" s="188"/>
      <c r="AK656" s="188"/>
      <c r="AL656" s="188"/>
      <c r="AM656" s="188"/>
      <c r="AN656" s="188"/>
      <c r="AO656" s="299"/>
      <c r="AQ656" s="296"/>
      <c r="AR656" s="296"/>
      <c r="AS656" s="296"/>
      <c r="AU656" s="296"/>
      <c r="AV656" s="296"/>
      <c r="AW656" s="296"/>
    </row>
    <row r="657" spans="2:49" ht="13">
      <c r="B657" s="294"/>
      <c r="C657" s="294"/>
      <c r="D657" s="294"/>
      <c r="E657" s="294"/>
      <c r="F657" s="171"/>
      <c r="G657" s="294"/>
      <c r="H657" s="294"/>
      <c r="I657" s="294"/>
      <c r="J657" s="294"/>
      <c r="K657" s="294"/>
      <c r="L657" s="294"/>
      <c r="T657" s="295"/>
      <c r="AA657" s="295"/>
      <c r="AH657" s="295"/>
      <c r="AI657" s="188"/>
      <c r="AJ657" s="188"/>
      <c r="AK657" s="188"/>
      <c r="AL657" s="188"/>
      <c r="AM657" s="188"/>
      <c r="AN657" s="188"/>
      <c r="AO657" s="299"/>
      <c r="AQ657" s="296"/>
      <c r="AR657" s="296"/>
      <c r="AS657" s="296"/>
      <c r="AU657" s="296"/>
      <c r="AV657" s="296"/>
      <c r="AW657" s="296"/>
    </row>
    <row r="658" spans="2:49" ht="13">
      <c r="B658" s="294"/>
      <c r="C658" s="294"/>
      <c r="D658" s="294"/>
      <c r="E658" s="294"/>
      <c r="F658" s="171"/>
      <c r="G658" s="294"/>
      <c r="H658" s="294"/>
      <c r="I658" s="294"/>
      <c r="J658" s="294"/>
      <c r="K658" s="294"/>
      <c r="L658" s="294"/>
      <c r="T658" s="295"/>
      <c r="AA658" s="295"/>
      <c r="AH658" s="295"/>
      <c r="AI658" s="188"/>
      <c r="AJ658" s="188"/>
      <c r="AK658" s="188"/>
      <c r="AL658" s="188"/>
      <c r="AM658" s="188"/>
      <c r="AN658" s="188"/>
      <c r="AO658" s="299"/>
      <c r="AQ658" s="296"/>
      <c r="AR658" s="296"/>
      <c r="AS658" s="296"/>
      <c r="AU658" s="296"/>
      <c r="AV658" s="296"/>
      <c r="AW658" s="296"/>
    </row>
    <row r="659" spans="2:49" ht="13">
      <c r="B659" s="294"/>
      <c r="C659" s="294"/>
      <c r="D659" s="294"/>
      <c r="E659" s="294"/>
      <c r="F659" s="171"/>
      <c r="G659" s="294"/>
      <c r="H659" s="294"/>
      <c r="I659" s="294"/>
      <c r="J659" s="294"/>
      <c r="K659" s="294"/>
      <c r="L659" s="294"/>
      <c r="T659" s="295"/>
      <c r="AA659" s="295"/>
      <c r="AH659" s="295"/>
      <c r="AI659" s="188"/>
      <c r="AJ659" s="188"/>
      <c r="AK659" s="188"/>
      <c r="AL659" s="188"/>
      <c r="AM659" s="188"/>
      <c r="AN659" s="188"/>
      <c r="AO659" s="299"/>
      <c r="AQ659" s="296"/>
      <c r="AR659" s="296"/>
      <c r="AS659" s="296"/>
      <c r="AU659" s="296"/>
      <c r="AV659" s="296"/>
      <c r="AW659" s="296"/>
    </row>
    <row r="660" spans="2:49" ht="13">
      <c r="B660" s="294"/>
      <c r="C660" s="294"/>
      <c r="D660" s="294"/>
      <c r="E660" s="294"/>
      <c r="F660" s="171"/>
      <c r="G660" s="294"/>
      <c r="H660" s="294"/>
      <c r="I660" s="294"/>
      <c r="J660" s="294"/>
      <c r="K660" s="294"/>
      <c r="L660" s="294"/>
      <c r="T660" s="295"/>
      <c r="AA660" s="295"/>
      <c r="AH660" s="295"/>
      <c r="AI660" s="188"/>
      <c r="AJ660" s="188"/>
      <c r="AK660" s="188"/>
      <c r="AL660" s="188"/>
      <c r="AM660" s="188"/>
      <c r="AN660" s="188"/>
      <c r="AO660" s="299"/>
      <c r="AQ660" s="296"/>
      <c r="AR660" s="296"/>
      <c r="AS660" s="296"/>
      <c r="AU660" s="296"/>
      <c r="AV660" s="296"/>
      <c r="AW660" s="296"/>
    </row>
    <row r="661" spans="2:49" ht="13">
      <c r="B661" s="294"/>
      <c r="C661" s="294"/>
      <c r="D661" s="294"/>
      <c r="E661" s="294"/>
      <c r="F661" s="171"/>
      <c r="G661" s="294"/>
      <c r="H661" s="294"/>
      <c r="I661" s="294"/>
      <c r="J661" s="294"/>
      <c r="K661" s="294"/>
      <c r="L661" s="294"/>
      <c r="T661" s="295"/>
      <c r="AA661" s="295"/>
      <c r="AH661" s="295"/>
      <c r="AI661" s="188"/>
      <c r="AJ661" s="188"/>
      <c r="AK661" s="188"/>
      <c r="AL661" s="188"/>
      <c r="AM661" s="188"/>
      <c r="AN661" s="188"/>
      <c r="AO661" s="299"/>
      <c r="AQ661" s="296"/>
      <c r="AR661" s="296"/>
      <c r="AS661" s="296"/>
      <c r="AU661" s="296"/>
      <c r="AV661" s="296"/>
      <c r="AW661" s="296"/>
    </row>
    <row r="662" spans="2:49" ht="13">
      <c r="B662" s="294"/>
      <c r="C662" s="294"/>
      <c r="D662" s="294"/>
      <c r="E662" s="294"/>
      <c r="F662" s="171"/>
      <c r="G662" s="294"/>
      <c r="H662" s="294"/>
      <c r="I662" s="294"/>
      <c r="J662" s="294"/>
      <c r="K662" s="294"/>
      <c r="L662" s="294"/>
      <c r="T662" s="295"/>
      <c r="AA662" s="295"/>
      <c r="AH662" s="295"/>
      <c r="AI662" s="188"/>
      <c r="AJ662" s="188"/>
      <c r="AK662" s="188"/>
      <c r="AL662" s="188"/>
      <c r="AM662" s="188"/>
      <c r="AN662" s="188"/>
      <c r="AO662" s="299"/>
      <c r="AQ662" s="296"/>
      <c r="AR662" s="296"/>
      <c r="AS662" s="296"/>
      <c r="AU662" s="296"/>
      <c r="AV662" s="296"/>
      <c r="AW662" s="296"/>
    </row>
    <row r="663" spans="2:49" ht="13">
      <c r="B663" s="294"/>
      <c r="C663" s="294"/>
      <c r="D663" s="294"/>
      <c r="E663" s="294"/>
      <c r="F663" s="171"/>
      <c r="G663" s="294"/>
      <c r="H663" s="294"/>
      <c r="I663" s="294"/>
      <c r="J663" s="294"/>
      <c r="K663" s="294"/>
      <c r="L663" s="294"/>
      <c r="T663" s="295"/>
      <c r="AA663" s="295"/>
      <c r="AH663" s="295"/>
      <c r="AI663" s="188"/>
      <c r="AJ663" s="188"/>
      <c r="AK663" s="188"/>
      <c r="AL663" s="188"/>
      <c r="AM663" s="188"/>
      <c r="AN663" s="188"/>
      <c r="AO663" s="299"/>
      <c r="AQ663" s="296"/>
      <c r="AR663" s="296"/>
      <c r="AS663" s="296"/>
      <c r="AU663" s="296"/>
      <c r="AV663" s="296"/>
      <c r="AW663" s="296"/>
    </row>
    <row r="664" spans="2:49" ht="13">
      <c r="B664" s="294"/>
      <c r="C664" s="294"/>
      <c r="D664" s="294"/>
      <c r="E664" s="294"/>
      <c r="F664" s="171"/>
      <c r="G664" s="294"/>
      <c r="H664" s="294"/>
      <c r="I664" s="294"/>
      <c r="J664" s="294"/>
      <c r="K664" s="294"/>
      <c r="L664" s="294"/>
      <c r="T664" s="295"/>
      <c r="AA664" s="295"/>
      <c r="AH664" s="295"/>
      <c r="AI664" s="188"/>
      <c r="AJ664" s="188"/>
      <c r="AK664" s="188"/>
      <c r="AL664" s="188"/>
      <c r="AM664" s="188"/>
      <c r="AN664" s="188"/>
      <c r="AO664" s="299"/>
      <c r="AQ664" s="296"/>
      <c r="AR664" s="296"/>
      <c r="AS664" s="296"/>
      <c r="AU664" s="296"/>
      <c r="AV664" s="296"/>
      <c r="AW664" s="296"/>
    </row>
    <row r="665" spans="2:49" ht="13">
      <c r="B665" s="294"/>
      <c r="C665" s="294"/>
      <c r="D665" s="294"/>
      <c r="E665" s="294"/>
      <c r="F665" s="171"/>
      <c r="G665" s="294"/>
      <c r="H665" s="294"/>
      <c r="I665" s="294"/>
      <c r="J665" s="294"/>
      <c r="K665" s="294"/>
      <c r="L665" s="294"/>
      <c r="T665" s="295"/>
      <c r="AA665" s="295"/>
      <c r="AH665" s="295"/>
      <c r="AI665" s="188"/>
      <c r="AJ665" s="188"/>
      <c r="AK665" s="188"/>
      <c r="AL665" s="188"/>
      <c r="AM665" s="188"/>
      <c r="AN665" s="188"/>
      <c r="AO665" s="299"/>
      <c r="AQ665" s="296"/>
      <c r="AR665" s="296"/>
      <c r="AS665" s="296"/>
      <c r="AU665" s="296"/>
      <c r="AV665" s="296"/>
      <c r="AW665" s="296"/>
    </row>
    <row r="666" spans="2:49" ht="13">
      <c r="B666" s="294"/>
      <c r="C666" s="294"/>
      <c r="D666" s="294"/>
      <c r="E666" s="294"/>
      <c r="F666" s="171"/>
      <c r="G666" s="294"/>
      <c r="H666" s="294"/>
      <c r="I666" s="294"/>
      <c r="J666" s="294"/>
      <c r="K666" s="294"/>
      <c r="L666" s="294"/>
      <c r="T666" s="295"/>
      <c r="AA666" s="295"/>
      <c r="AH666" s="295"/>
      <c r="AI666" s="188"/>
      <c r="AJ666" s="188"/>
      <c r="AK666" s="188"/>
      <c r="AL666" s="188"/>
      <c r="AM666" s="188"/>
      <c r="AN666" s="188"/>
      <c r="AO666" s="299"/>
      <c r="AQ666" s="296"/>
      <c r="AR666" s="296"/>
      <c r="AS666" s="296"/>
      <c r="AU666" s="296"/>
      <c r="AV666" s="296"/>
      <c r="AW666" s="296"/>
    </row>
    <row r="667" spans="2:49" ht="13">
      <c r="B667" s="294"/>
      <c r="C667" s="294"/>
      <c r="D667" s="294"/>
      <c r="E667" s="294"/>
      <c r="F667" s="171"/>
      <c r="G667" s="294"/>
      <c r="H667" s="294"/>
      <c r="I667" s="294"/>
      <c r="J667" s="294"/>
      <c r="K667" s="294"/>
      <c r="L667" s="294"/>
      <c r="T667" s="295"/>
      <c r="AA667" s="295"/>
      <c r="AH667" s="295"/>
      <c r="AI667" s="188"/>
      <c r="AJ667" s="188"/>
      <c r="AK667" s="188"/>
      <c r="AL667" s="188"/>
      <c r="AM667" s="188"/>
      <c r="AN667" s="188"/>
      <c r="AO667" s="299"/>
      <c r="AQ667" s="296"/>
      <c r="AR667" s="296"/>
      <c r="AS667" s="296"/>
      <c r="AU667" s="296"/>
      <c r="AV667" s="296"/>
      <c r="AW667" s="296"/>
    </row>
    <row r="668" spans="2:49" ht="13">
      <c r="B668" s="294"/>
      <c r="C668" s="294"/>
      <c r="D668" s="294"/>
      <c r="E668" s="294"/>
      <c r="F668" s="171"/>
      <c r="G668" s="294"/>
      <c r="H668" s="294"/>
      <c r="I668" s="294"/>
      <c r="J668" s="294"/>
      <c r="K668" s="294"/>
      <c r="L668" s="294"/>
      <c r="T668" s="295"/>
      <c r="AA668" s="295"/>
      <c r="AH668" s="295"/>
      <c r="AI668" s="188"/>
      <c r="AJ668" s="188"/>
      <c r="AK668" s="188"/>
      <c r="AL668" s="188"/>
      <c r="AM668" s="188"/>
      <c r="AN668" s="188"/>
      <c r="AO668" s="299"/>
      <c r="AQ668" s="296"/>
      <c r="AR668" s="296"/>
      <c r="AS668" s="296"/>
      <c r="AU668" s="296"/>
      <c r="AV668" s="296"/>
      <c r="AW668" s="296"/>
    </row>
    <row r="669" spans="2:49" ht="13">
      <c r="B669" s="294"/>
      <c r="C669" s="294"/>
      <c r="D669" s="294"/>
      <c r="E669" s="294"/>
      <c r="F669" s="171"/>
      <c r="G669" s="294"/>
      <c r="H669" s="294"/>
      <c r="I669" s="294"/>
      <c r="J669" s="294"/>
      <c r="K669" s="294"/>
      <c r="L669" s="294"/>
      <c r="T669" s="295"/>
      <c r="AA669" s="295"/>
      <c r="AH669" s="295"/>
      <c r="AI669" s="188"/>
      <c r="AJ669" s="188"/>
      <c r="AK669" s="188"/>
      <c r="AL669" s="188"/>
      <c r="AM669" s="188"/>
      <c r="AN669" s="188"/>
      <c r="AO669" s="299"/>
      <c r="AQ669" s="296"/>
      <c r="AR669" s="296"/>
      <c r="AS669" s="296"/>
      <c r="AU669" s="296"/>
      <c r="AV669" s="296"/>
      <c r="AW669" s="296"/>
    </row>
    <row r="670" spans="2:49" ht="13">
      <c r="B670" s="294"/>
      <c r="C670" s="294"/>
      <c r="D670" s="294"/>
      <c r="E670" s="294"/>
      <c r="F670" s="171"/>
      <c r="G670" s="294"/>
      <c r="H670" s="294"/>
      <c r="I670" s="294"/>
      <c r="J670" s="294"/>
      <c r="K670" s="294"/>
      <c r="L670" s="294"/>
      <c r="T670" s="295"/>
      <c r="AA670" s="295"/>
      <c r="AH670" s="295"/>
      <c r="AI670" s="188"/>
      <c r="AJ670" s="188"/>
      <c r="AK670" s="188"/>
      <c r="AL670" s="188"/>
      <c r="AM670" s="188"/>
      <c r="AN670" s="188"/>
      <c r="AO670" s="299"/>
      <c r="AQ670" s="296"/>
      <c r="AR670" s="296"/>
      <c r="AS670" s="296"/>
      <c r="AU670" s="296"/>
      <c r="AV670" s="296"/>
      <c r="AW670" s="296"/>
    </row>
    <row r="671" spans="2:49" ht="13">
      <c r="B671" s="294"/>
      <c r="C671" s="294"/>
      <c r="D671" s="294"/>
      <c r="E671" s="294"/>
      <c r="F671" s="171"/>
      <c r="G671" s="294"/>
      <c r="H671" s="294"/>
      <c r="I671" s="294"/>
      <c r="J671" s="294"/>
      <c r="K671" s="294"/>
      <c r="L671" s="294"/>
      <c r="T671" s="295"/>
      <c r="AA671" s="295"/>
      <c r="AH671" s="295"/>
      <c r="AI671" s="188"/>
      <c r="AJ671" s="188"/>
      <c r="AK671" s="188"/>
      <c r="AL671" s="188"/>
      <c r="AM671" s="188"/>
      <c r="AN671" s="188"/>
      <c r="AO671" s="299"/>
      <c r="AQ671" s="296"/>
      <c r="AR671" s="296"/>
      <c r="AS671" s="296"/>
      <c r="AU671" s="296"/>
      <c r="AV671" s="296"/>
      <c r="AW671" s="296"/>
    </row>
    <row r="672" spans="2:49" ht="13">
      <c r="B672" s="294"/>
      <c r="C672" s="294"/>
      <c r="D672" s="294"/>
      <c r="E672" s="294"/>
      <c r="F672" s="171"/>
      <c r="G672" s="294"/>
      <c r="H672" s="294"/>
      <c r="I672" s="294"/>
      <c r="J672" s="294"/>
      <c r="K672" s="294"/>
      <c r="L672" s="294"/>
      <c r="T672" s="295"/>
      <c r="AA672" s="295"/>
      <c r="AH672" s="295"/>
      <c r="AI672" s="188"/>
      <c r="AJ672" s="188"/>
      <c r="AK672" s="188"/>
      <c r="AL672" s="188"/>
      <c r="AM672" s="188"/>
      <c r="AN672" s="188"/>
      <c r="AO672" s="299"/>
      <c r="AQ672" s="296"/>
      <c r="AR672" s="296"/>
      <c r="AS672" s="296"/>
      <c r="AU672" s="296"/>
      <c r="AV672" s="296"/>
      <c r="AW672" s="296"/>
    </row>
    <row r="673" spans="2:49" ht="13">
      <c r="B673" s="294"/>
      <c r="C673" s="294"/>
      <c r="D673" s="294"/>
      <c r="E673" s="294"/>
      <c r="F673" s="171"/>
      <c r="G673" s="294"/>
      <c r="H673" s="294"/>
      <c r="I673" s="294"/>
      <c r="J673" s="294"/>
      <c r="K673" s="294"/>
      <c r="L673" s="294"/>
      <c r="T673" s="295"/>
      <c r="AA673" s="295"/>
      <c r="AH673" s="295"/>
      <c r="AI673" s="188"/>
      <c r="AJ673" s="188"/>
      <c r="AK673" s="188"/>
      <c r="AL673" s="188"/>
      <c r="AM673" s="188"/>
      <c r="AN673" s="188"/>
      <c r="AO673" s="299"/>
      <c r="AQ673" s="296"/>
      <c r="AR673" s="296"/>
      <c r="AS673" s="296"/>
      <c r="AU673" s="296"/>
      <c r="AV673" s="296"/>
      <c r="AW673" s="296"/>
    </row>
    <row r="674" spans="2:49" ht="13">
      <c r="B674" s="294"/>
      <c r="C674" s="294"/>
      <c r="D674" s="294"/>
      <c r="E674" s="294"/>
      <c r="F674" s="171"/>
      <c r="G674" s="294"/>
      <c r="H674" s="294"/>
      <c r="I674" s="294"/>
      <c r="J674" s="294"/>
      <c r="K674" s="294"/>
      <c r="L674" s="294"/>
      <c r="T674" s="295"/>
      <c r="AA674" s="295"/>
      <c r="AH674" s="295"/>
      <c r="AI674" s="188"/>
      <c r="AJ674" s="188"/>
      <c r="AK674" s="188"/>
      <c r="AL674" s="188"/>
      <c r="AM674" s="188"/>
      <c r="AN674" s="188"/>
      <c r="AO674" s="299"/>
      <c r="AQ674" s="296"/>
      <c r="AR674" s="296"/>
      <c r="AS674" s="296"/>
      <c r="AU674" s="296"/>
      <c r="AV674" s="296"/>
      <c r="AW674" s="296"/>
    </row>
    <row r="675" spans="2:49" ht="13">
      <c r="B675" s="294"/>
      <c r="C675" s="294"/>
      <c r="D675" s="294"/>
      <c r="E675" s="294"/>
      <c r="F675" s="171"/>
      <c r="G675" s="294"/>
      <c r="H675" s="294"/>
      <c r="I675" s="294"/>
      <c r="J675" s="294"/>
      <c r="K675" s="294"/>
      <c r="L675" s="294"/>
      <c r="T675" s="295"/>
      <c r="AA675" s="295"/>
      <c r="AH675" s="295"/>
      <c r="AI675" s="188"/>
      <c r="AJ675" s="188"/>
      <c r="AK675" s="188"/>
      <c r="AL675" s="188"/>
      <c r="AM675" s="188"/>
      <c r="AN675" s="188"/>
      <c r="AO675" s="299"/>
      <c r="AQ675" s="296"/>
      <c r="AR675" s="296"/>
      <c r="AS675" s="296"/>
      <c r="AU675" s="296"/>
      <c r="AV675" s="296"/>
      <c r="AW675" s="296"/>
    </row>
    <row r="676" spans="2:49" ht="13">
      <c r="B676" s="294"/>
      <c r="C676" s="294"/>
      <c r="D676" s="294"/>
      <c r="E676" s="294"/>
      <c r="F676" s="171"/>
      <c r="G676" s="294"/>
      <c r="H676" s="294"/>
      <c r="I676" s="294"/>
      <c r="J676" s="294"/>
      <c r="K676" s="294"/>
      <c r="L676" s="294"/>
      <c r="T676" s="295"/>
      <c r="AA676" s="295"/>
      <c r="AH676" s="295"/>
      <c r="AI676" s="188"/>
      <c r="AJ676" s="188"/>
      <c r="AK676" s="188"/>
      <c r="AL676" s="188"/>
      <c r="AM676" s="188"/>
      <c r="AN676" s="188"/>
      <c r="AO676" s="299"/>
      <c r="AQ676" s="296"/>
      <c r="AR676" s="296"/>
      <c r="AS676" s="296"/>
      <c r="AU676" s="296"/>
      <c r="AV676" s="296"/>
      <c r="AW676" s="296"/>
    </row>
    <row r="677" spans="2:49" ht="13">
      <c r="B677" s="294"/>
      <c r="C677" s="294"/>
      <c r="D677" s="294"/>
      <c r="E677" s="294"/>
      <c r="F677" s="171"/>
      <c r="G677" s="294"/>
      <c r="H677" s="294"/>
      <c r="I677" s="294"/>
      <c r="J677" s="294"/>
      <c r="K677" s="294"/>
      <c r="L677" s="294"/>
      <c r="T677" s="295"/>
      <c r="AA677" s="295"/>
      <c r="AH677" s="295"/>
      <c r="AI677" s="188"/>
      <c r="AJ677" s="188"/>
      <c r="AK677" s="188"/>
      <c r="AL677" s="188"/>
      <c r="AM677" s="188"/>
      <c r="AN677" s="188"/>
      <c r="AO677" s="299"/>
      <c r="AQ677" s="296"/>
      <c r="AR677" s="296"/>
      <c r="AS677" s="296"/>
      <c r="AU677" s="296"/>
      <c r="AV677" s="296"/>
      <c r="AW677" s="296"/>
    </row>
    <row r="678" spans="2:49" ht="13">
      <c r="B678" s="294"/>
      <c r="C678" s="294"/>
      <c r="D678" s="294"/>
      <c r="E678" s="294"/>
      <c r="F678" s="171"/>
      <c r="G678" s="294"/>
      <c r="H678" s="294"/>
      <c r="I678" s="294"/>
      <c r="J678" s="294"/>
      <c r="K678" s="294"/>
      <c r="L678" s="294"/>
      <c r="T678" s="295"/>
      <c r="AA678" s="295"/>
      <c r="AH678" s="295"/>
      <c r="AI678" s="188"/>
      <c r="AJ678" s="188"/>
      <c r="AK678" s="188"/>
      <c r="AL678" s="188"/>
      <c r="AM678" s="188"/>
      <c r="AN678" s="188"/>
      <c r="AO678" s="299"/>
      <c r="AQ678" s="296"/>
      <c r="AR678" s="296"/>
      <c r="AS678" s="296"/>
      <c r="AU678" s="296"/>
      <c r="AV678" s="296"/>
      <c r="AW678" s="296"/>
    </row>
    <row r="679" spans="2:49" ht="13">
      <c r="B679" s="294"/>
      <c r="C679" s="294"/>
      <c r="D679" s="294"/>
      <c r="E679" s="294"/>
      <c r="F679" s="171"/>
      <c r="G679" s="294"/>
      <c r="H679" s="294"/>
      <c r="I679" s="294"/>
      <c r="J679" s="294"/>
      <c r="K679" s="294"/>
      <c r="L679" s="294"/>
      <c r="T679" s="295"/>
      <c r="AA679" s="295"/>
      <c r="AH679" s="295"/>
      <c r="AI679" s="188"/>
      <c r="AJ679" s="188"/>
      <c r="AK679" s="188"/>
      <c r="AL679" s="188"/>
      <c r="AM679" s="188"/>
      <c r="AN679" s="188"/>
      <c r="AO679" s="299"/>
      <c r="AQ679" s="296"/>
      <c r="AR679" s="296"/>
      <c r="AS679" s="296"/>
      <c r="AU679" s="296"/>
      <c r="AV679" s="296"/>
      <c r="AW679" s="296"/>
    </row>
    <row r="680" spans="2:49" ht="13">
      <c r="B680" s="294"/>
      <c r="C680" s="294"/>
      <c r="D680" s="294"/>
      <c r="E680" s="294"/>
      <c r="F680" s="171"/>
      <c r="G680" s="294"/>
      <c r="H680" s="294"/>
      <c r="I680" s="294"/>
      <c r="J680" s="294"/>
      <c r="K680" s="294"/>
      <c r="L680" s="294"/>
      <c r="T680" s="295"/>
      <c r="AA680" s="295"/>
      <c r="AH680" s="295"/>
      <c r="AI680" s="188"/>
      <c r="AJ680" s="188"/>
      <c r="AK680" s="188"/>
      <c r="AL680" s="188"/>
      <c r="AM680" s="188"/>
      <c r="AN680" s="188"/>
      <c r="AO680" s="299"/>
      <c r="AQ680" s="296"/>
      <c r="AR680" s="296"/>
      <c r="AS680" s="296"/>
      <c r="AU680" s="296"/>
      <c r="AV680" s="296"/>
      <c r="AW680" s="296"/>
    </row>
    <row r="681" spans="2:49" ht="13">
      <c r="B681" s="294"/>
      <c r="C681" s="294"/>
      <c r="D681" s="294"/>
      <c r="E681" s="294"/>
      <c r="F681" s="171"/>
      <c r="G681" s="294"/>
      <c r="H681" s="294"/>
      <c r="I681" s="294"/>
      <c r="J681" s="294"/>
      <c r="K681" s="294"/>
      <c r="L681" s="294"/>
      <c r="T681" s="295"/>
      <c r="AA681" s="295"/>
      <c r="AH681" s="295"/>
      <c r="AI681" s="188"/>
      <c r="AJ681" s="188"/>
      <c r="AK681" s="188"/>
      <c r="AL681" s="188"/>
      <c r="AM681" s="188"/>
      <c r="AN681" s="188"/>
      <c r="AO681" s="299"/>
      <c r="AQ681" s="296"/>
      <c r="AR681" s="296"/>
      <c r="AS681" s="296"/>
      <c r="AU681" s="296"/>
      <c r="AV681" s="296"/>
      <c r="AW681" s="296"/>
    </row>
    <row r="682" spans="2:49" ht="13">
      <c r="B682" s="294"/>
      <c r="C682" s="294"/>
      <c r="D682" s="294"/>
      <c r="E682" s="294"/>
      <c r="F682" s="171"/>
      <c r="G682" s="294"/>
      <c r="H682" s="294"/>
      <c r="I682" s="294"/>
      <c r="J682" s="294"/>
      <c r="K682" s="294"/>
      <c r="L682" s="294"/>
      <c r="T682" s="295"/>
      <c r="AA682" s="295"/>
      <c r="AH682" s="295"/>
      <c r="AI682" s="188"/>
      <c r="AJ682" s="188"/>
      <c r="AK682" s="188"/>
      <c r="AL682" s="188"/>
      <c r="AM682" s="188"/>
      <c r="AN682" s="188"/>
      <c r="AO682" s="299"/>
      <c r="AQ682" s="296"/>
      <c r="AR682" s="296"/>
      <c r="AS682" s="296"/>
      <c r="AU682" s="296"/>
      <c r="AV682" s="296"/>
      <c r="AW682" s="296"/>
    </row>
    <row r="683" spans="2:49" ht="13">
      <c r="B683" s="294"/>
      <c r="C683" s="294"/>
      <c r="D683" s="294"/>
      <c r="E683" s="294"/>
      <c r="F683" s="171"/>
      <c r="G683" s="294"/>
      <c r="H683" s="294"/>
      <c r="I683" s="294"/>
      <c r="J683" s="294"/>
      <c r="K683" s="294"/>
      <c r="L683" s="294"/>
      <c r="T683" s="295"/>
      <c r="AA683" s="295"/>
      <c r="AH683" s="295"/>
      <c r="AI683" s="188"/>
      <c r="AJ683" s="188"/>
      <c r="AK683" s="188"/>
      <c r="AL683" s="188"/>
      <c r="AM683" s="188"/>
      <c r="AN683" s="188"/>
      <c r="AO683" s="299"/>
      <c r="AQ683" s="296"/>
      <c r="AR683" s="296"/>
      <c r="AS683" s="296"/>
      <c r="AU683" s="296"/>
      <c r="AV683" s="296"/>
      <c r="AW683" s="296"/>
    </row>
    <row r="684" spans="2:49" ht="13">
      <c r="B684" s="294"/>
      <c r="C684" s="294"/>
      <c r="D684" s="294"/>
      <c r="E684" s="294"/>
      <c r="F684" s="171"/>
      <c r="G684" s="294"/>
      <c r="H684" s="294"/>
      <c r="I684" s="294"/>
      <c r="J684" s="294"/>
      <c r="K684" s="294"/>
      <c r="L684" s="294"/>
      <c r="T684" s="295"/>
      <c r="AA684" s="295"/>
      <c r="AH684" s="295"/>
      <c r="AI684" s="188"/>
      <c r="AJ684" s="188"/>
      <c r="AK684" s="188"/>
      <c r="AL684" s="188"/>
      <c r="AM684" s="188"/>
      <c r="AN684" s="188"/>
      <c r="AO684" s="299"/>
      <c r="AQ684" s="296"/>
      <c r="AR684" s="296"/>
      <c r="AS684" s="296"/>
      <c r="AU684" s="296"/>
      <c r="AV684" s="296"/>
      <c r="AW684" s="296"/>
    </row>
    <row r="685" spans="2:49" ht="13">
      <c r="B685" s="294"/>
      <c r="C685" s="294"/>
      <c r="D685" s="294"/>
      <c r="E685" s="294"/>
      <c r="F685" s="171"/>
      <c r="G685" s="294"/>
      <c r="H685" s="294"/>
      <c r="I685" s="294"/>
      <c r="J685" s="294"/>
      <c r="K685" s="294"/>
      <c r="L685" s="294"/>
      <c r="T685" s="295"/>
      <c r="AA685" s="295"/>
      <c r="AH685" s="295"/>
      <c r="AI685" s="188"/>
      <c r="AJ685" s="188"/>
      <c r="AK685" s="188"/>
      <c r="AL685" s="188"/>
      <c r="AM685" s="188"/>
      <c r="AN685" s="188"/>
      <c r="AO685" s="299"/>
      <c r="AQ685" s="296"/>
      <c r="AR685" s="296"/>
      <c r="AS685" s="296"/>
      <c r="AU685" s="296"/>
      <c r="AV685" s="296"/>
      <c r="AW685" s="296"/>
    </row>
    <row r="686" spans="2:49" ht="13">
      <c r="B686" s="294"/>
      <c r="C686" s="294"/>
      <c r="D686" s="294"/>
      <c r="E686" s="294"/>
      <c r="F686" s="171"/>
      <c r="G686" s="294"/>
      <c r="H686" s="294"/>
      <c r="I686" s="294"/>
      <c r="J686" s="294"/>
      <c r="K686" s="294"/>
      <c r="L686" s="294"/>
      <c r="T686" s="295"/>
      <c r="AA686" s="295"/>
      <c r="AH686" s="295"/>
      <c r="AI686" s="188"/>
      <c r="AJ686" s="188"/>
      <c r="AK686" s="188"/>
      <c r="AL686" s="188"/>
      <c r="AM686" s="188"/>
      <c r="AN686" s="188"/>
      <c r="AO686" s="299"/>
      <c r="AQ686" s="296"/>
      <c r="AR686" s="296"/>
      <c r="AS686" s="296"/>
      <c r="AU686" s="296"/>
      <c r="AV686" s="296"/>
      <c r="AW686" s="296"/>
    </row>
    <row r="687" spans="2:49" ht="13">
      <c r="B687" s="294"/>
      <c r="C687" s="294"/>
      <c r="D687" s="294"/>
      <c r="E687" s="294"/>
      <c r="F687" s="171"/>
      <c r="G687" s="294"/>
      <c r="H687" s="294"/>
      <c r="I687" s="294"/>
      <c r="J687" s="294"/>
      <c r="K687" s="294"/>
      <c r="L687" s="294"/>
      <c r="T687" s="295"/>
      <c r="AA687" s="295"/>
      <c r="AH687" s="295"/>
      <c r="AI687" s="188"/>
      <c r="AJ687" s="188"/>
      <c r="AK687" s="188"/>
      <c r="AL687" s="188"/>
      <c r="AM687" s="188"/>
      <c r="AN687" s="188"/>
      <c r="AO687" s="299"/>
      <c r="AQ687" s="296"/>
      <c r="AR687" s="296"/>
      <c r="AS687" s="296"/>
      <c r="AU687" s="296"/>
      <c r="AV687" s="296"/>
      <c r="AW687" s="296"/>
    </row>
    <row r="688" spans="2:49" ht="13">
      <c r="B688" s="294"/>
      <c r="C688" s="294"/>
      <c r="D688" s="294"/>
      <c r="E688" s="294"/>
      <c r="F688" s="171"/>
      <c r="G688" s="294"/>
      <c r="H688" s="294"/>
      <c r="I688" s="294"/>
      <c r="J688" s="294"/>
      <c r="K688" s="294"/>
      <c r="L688" s="294"/>
      <c r="T688" s="295"/>
      <c r="AA688" s="295"/>
      <c r="AH688" s="295"/>
      <c r="AI688" s="188"/>
      <c r="AJ688" s="188"/>
      <c r="AK688" s="188"/>
      <c r="AL688" s="188"/>
      <c r="AM688" s="188"/>
      <c r="AN688" s="188"/>
      <c r="AO688" s="299"/>
      <c r="AQ688" s="296"/>
      <c r="AR688" s="296"/>
      <c r="AS688" s="296"/>
      <c r="AU688" s="296"/>
      <c r="AV688" s="296"/>
      <c r="AW688" s="296"/>
    </row>
    <row r="689" spans="2:49" ht="13">
      <c r="B689" s="294"/>
      <c r="C689" s="294"/>
      <c r="D689" s="294"/>
      <c r="E689" s="294"/>
      <c r="F689" s="171"/>
      <c r="G689" s="294"/>
      <c r="H689" s="294"/>
      <c r="I689" s="294"/>
      <c r="J689" s="294"/>
      <c r="K689" s="294"/>
      <c r="L689" s="294"/>
      <c r="T689" s="295"/>
      <c r="AA689" s="295"/>
      <c r="AH689" s="295"/>
      <c r="AI689" s="188"/>
      <c r="AJ689" s="188"/>
      <c r="AK689" s="188"/>
      <c r="AL689" s="188"/>
      <c r="AM689" s="188"/>
      <c r="AN689" s="188"/>
      <c r="AO689" s="299"/>
      <c r="AQ689" s="296"/>
      <c r="AR689" s="296"/>
      <c r="AS689" s="296"/>
      <c r="AU689" s="296"/>
      <c r="AV689" s="296"/>
      <c r="AW689" s="296"/>
    </row>
    <row r="690" spans="2:49" ht="13">
      <c r="B690" s="294"/>
      <c r="C690" s="294"/>
      <c r="D690" s="294"/>
      <c r="E690" s="294"/>
      <c r="F690" s="171"/>
      <c r="G690" s="294"/>
      <c r="H690" s="294"/>
      <c r="I690" s="294"/>
      <c r="J690" s="294"/>
      <c r="K690" s="294"/>
      <c r="L690" s="294"/>
      <c r="T690" s="295"/>
      <c r="AA690" s="295"/>
      <c r="AH690" s="295"/>
      <c r="AI690" s="188"/>
      <c r="AJ690" s="188"/>
      <c r="AK690" s="188"/>
      <c r="AL690" s="188"/>
      <c r="AM690" s="188"/>
      <c r="AN690" s="188"/>
      <c r="AO690" s="299"/>
      <c r="AQ690" s="296"/>
      <c r="AR690" s="296"/>
      <c r="AS690" s="296"/>
      <c r="AU690" s="296"/>
      <c r="AV690" s="296"/>
      <c r="AW690" s="296"/>
    </row>
    <row r="691" spans="2:49" ht="13">
      <c r="B691" s="294"/>
      <c r="C691" s="294"/>
      <c r="D691" s="294"/>
      <c r="E691" s="294"/>
      <c r="F691" s="171"/>
      <c r="G691" s="294"/>
      <c r="H691" s="294"/>
      <c r="I691" s="294"/>
      <c r="J691" s="294"/>
      <c r="K691" s="294"/>
      <c r="L691" s="294"/>
      <c r="T691" s="295"/>
      <c r="AA691" s="295"/>
      <c r="AH691" s="295"/>
      <c r="AI691" s="188"/>
      <c r="AJ691" s="188"/>
      <c r="AK691" s="188"/>
      <c r="AL691" s="188"/>
      <c r="AM691" s="188"/>
      <c r="AN691" s="188"/>
      <c r="AO691" s="299"/>
      <c r="AQ691" s="296"/>
      <c r="AR691" s="296"/>
      <c r="AS691" s="296"/>
      <c r="AU691" s="296"/>
      <c r="AV691" s="296"/>
      <c r="AW691" s="296"/>
    </row>
    <row r="692" spans="2:49" ht="13">
      <c r="B692" s="294"/>
      <c r="C692" s="294"/>
      <c r="D692" s="294"/>
      <c r="E692" s="294"/>
      <c r="F692" s="171"/>
      <c r="G692" s="294"/>
      <c r="H692" s="294"/>
      <c r="I692" s="294"/>
      <c r="J692" s="294"/>
      <c r="K692" s="294"/>
      <c r="L692" s="294"/>
      <c r="T692" s="295"/>
      <c r="AA692" s="295"/>
      <c r="AH692" s="295"/>
      <c r="AI692" s="188"/>
      <c r="AJ692" s="188"/>
      <c r="AK692" s="188"/>
      <c r="AL692" s="188"/>
      <c r="AM692" s="188"/>
      <c r="AN692" s="188"/>
      <c r="AO692" s="299"/>
      <c r="AQ692" s="296"/>
      <c r="AR692" s="296"/>
      <c r="AS692" s="296"/>
      <c r="AU692" s="296"/>
      <c r="AV692" s="296"/>
      <c r="AW692" s="296"/>
    </row>
    <row r="693" spans="2:49" ht="13">
      <c r="B693" s="294"/>
      <c r="C693" s="294"/>
      <c r="D693" s="294"/>
      <c r="E693" s="294"/>
      <c r="F693" s="171"/>
      <c r="G693" s="294"/>
      <c r="H693" s="294"/>
      <c r="I693" s="294"/>
      <c r="J693" s="294"/>
      <c r="K693" s="294"/>
      <c r="L693" s="294"/>
      <c r="T693" s="295"/>
      <c r="AA693" s="295"/>
      <c r="AH693" s="295"/>
      <c r="AI693" s="188"/>
      <c r="AJ693" s="188"/>
      <c r="AK693" s="188"/>
      <c r="AL693" s="188"/>
      <c r="AM693" s="188"/>
      <c r="AN693" s="188"/>
      <c r="AO693" s="299"/>
      <c r="AQ693" s="296"/>
      <c r="AR693" s="296"/>
      <c r="AS693" s="296"/>
      <c r="AU693" s="296"/>
      <c r="AV693" s="296"/>
      <c r="AW693" s="296"/>
    </row>
    <row r="694" spans="2:49" ht="13">
      <c r="B694" s="294"/>
      <c r="C694" s="294"/>
      <c r="D694" s="294"/>
      <c r="E694" s="294"/>
      <c r="F694" s="171"/>
      <c r="G694" s="294"/>
      <c r="H694" s="294"/>
      <c r="I694" s="294"/>
      <c r="J694" s="294"/>
      <c r="K694" s="294"/>
      <c r="L694" s="294"/>
      <c r="T694" s="295"/>
      <c r="AA694" s="295"/>
      <c r="AH694" s="295"/>
      <c r="AI694" s="188"/>
      <c r="AJ694" s="188"/>
      <c r="AK694" s="188"/>
      <c r="AL694" s="188"/>
      <c r="AM694" s="188"/>
      <c r="AN694" s="188"/>
      <c r="AO694" s="299"/>
      <c r="AQ694" s="296"/>
      <c r="AR694" s="296"/>
      <c r="AS694" s="296"/>
      <c r="AU694" s="296"/>
      <c r="AV694" s="296"/>
      <c r="AW694" s="296"/>
    </row>
    <row r="695" spans="2:49" ht="13">
      <c r="B695" s="294"/>
      <c r="C695" s="294"/>
      <c r="D695" s="294"/>
      <c r="E695" s="294"/>
      <c r="F695" s="171"/>
      <c r="G695" s="294"/>
      <c r="H695" s="294"/>
      <c r="I695" s="294"/>
      <c r="J695" s="294"/>
      <c r="K695" s="294"/>
      <c r="L695" s="294"/>
      <c r="T695" s="295"/>
      <c r="AA695" s="295"/>
      <c r="AH695" s="295"/>
      <c r="AI695" s="188"/>
      <c r="AJ695" s="188"/>
      <c r="AK695" s="188"/>
      <c r="AL695" s="188"/>
      <c r="AM695" s="188"/>
      <c r="AN695" s="188"/>
      <c r="AO695" s="299"/>
      <c r="AQ695" s="296"/>
      <c r="AR695" s="296"/>
      <c r="AS695" s="296"/>
      <c r="AU695" s="296"/>
      <c r="AV695" s="296"/>
      <c r="AW695" s="296"/>
    </row>
    <row r="696" spans="2:49" ht="13">
      <c r="B696" s="294"/>
      <c r="C696" s="294"/>
      <c r="D696" s="294"/>
      <c r="E696" s="294"/>
      <c r="F696" s="171"/>
      <c r="G696" s="294"/>
      <c r="H696" s="294"/>
      <c r="I696" s="294"/>
      <c r="J696" s="294"/>
      <c r="K696" s="294"/>
      <c r="L696" s="294"/>
      <c r="T696" s="295"/>
      <c r="AA696" s="295"/>
      <c r="AH696" s="295"/>
      <c r="AI696" s="188"/>
      <c r="AJ696" s="188"/>
      <c r="AK696" s="188"/>
      <c r="AL696" s="188"/>
      <c r="AM696" s="188"/>
      <c r="AN696" s="188"/>
      <c r="AO696" s="299"/>
      <c r="AQ696" s="296"/>
      <c r="AR696" s="296"/>
      <c r="AS696" s="296"/>
      <c r="AU696" s="296"/>
      <c r="AV696" s="296"/>
      <c r="AW696" s="296"/>
    </row>
    <row r="697" spans="2:49" ht="13">
      <c r="B697" s="294"/>
      <c r="C697" s="294"/>
      <c r="D697" s="294"/>
      <c r="E697" s="294"/>
      <c r="F697" s="171"/>
      <c r="G697" s="294"/>
      <c r="H697" s="294"/>
      <c r="I697" s="294"/>
      <c r="J697" s="294"/>
      <c r="K697" s="294"/>
      <c r="L697" s="294"/>
      <c r="T697" s="295"/>
      <c r="AA697" s="295"/>
      <c r="AH697" s="295"/>
      <c r="AI697" s="188"/>
      <c r="AJ697" s="188"/>
      <c r="AK697" s="188"/>
      <c r="AL697" s="188"/>
      <c r="AM697" s="188"/>
      <c r="AN697" s="188"/>
      <c r="AO697" s="299"/>
      <c r="AQ697" s="296"/>
      <c r="AR697" s="296"/>
      <c r="AS697" s="296"/>
      <c r="AU697" s="296"/>
      <c r="AV697" s="296"/>
      <c r="AW697" s="296"/>
    </row>
    <row r="698" spans="2:49" ht="13">
      <c r="B698" s="294"/>
      <c r="C698" s="294"/>
      <c r="D698" s="294"/>
      <c r="E698" s="294"/>
      <c r="F698" s="171"/>
      <c r="G698" s="294"/>
      <c r="H698" s="294"/>
      <c r="I698" s="294"/>
      <c r="J698" s="294"/>
      <c r="K698" s="294"/>
      <c r="L698" s="294"/>
      <c r="T698" s="295"/>
      <c r="AA698" s="295"/>
      <c r="AH698" s="295"/>
      <c r="AI698" s="188"/>
      <c r="AJ698" s="188"/>
      <c r="AK698" s="188"/>
      <c r="AL698" s="188"/>
      <c r="AM698" s="188"/>
      <c r="AN698" s="188"/>
      <c r="AO698" s="299"/>
      <c r="AQ698" s="296"/>
      <c r="AR698" s="296"/>
      <c r="AS698" s="296"/>
      <c r="AU698" s="296"/>
      <c r="AV698" s="296"/>
      <c r="AW698" s="296"/>
    </row>
    <row r="699" spans="2:49" ht="13">
      <c r="B699" s="294"/>
      <c r="C699" s="294"/>
      <c r="D699" s="294"/>
      <c r="E699" s="294"/>
      <c r="F699" s="171"/>
      <c r="G699" s="294"/>
      <c r="H699" s="294"/>
      <c r="I699" s="294"/>
      <c r="J699" s="294"/>
      <c r="K699" s="294"/>
      <c r="L699" s="294"/>
      <c r="T699" s="295"/>
      <c r="AA699" s="295"/>
      <c r="AH699" s="295"/>
      <c r="AI699" s="188"/>
      <c r="AJ699" s="188"/>
      <c r="AK699" s="188"/>
      <c r="AL699" s="188"/>
      <c r="AM699" s="188"/>
      <c r="AN699" s="188"/>
      <c r="AO699" s="299"/>
      <c r="AQ699" s="296"/>
      <c r="AR699" s="296"/>
      <c r="AS699" s="296"/>
      <c r="AU699" s="296"/>
      <c r="AV699" s="296"/>
      <c r="AW699" s="296"/>
    </row>
    <row r="700" spans="2:49" ht="13">
      <c r="B700" s="294"/>
      <c r="C700" s="294"/>
      <c r="D700" s="294"/>
      <c r="E700" s="294"/>
      <c r="F700" s="171"/>
      <c r="G700" s="294"/>
      <c r="H700" s="294"/>
      <c r="I700" s="294"/>
      <c r="J700" s="294"/>
      <c r="K700" s="294"/>
      <c r="L700" s="294"/>
      <c r="T700" s="295"/>
      <c r="AA700" s="295"/>
      <c r="AH700" s="295"/>
      <c r="AI700" s="188"/>
      <c r="AJ700" s="188"/>
      <c r="AK700" s="188"/>
      <c r="AL700" s="188"/>
      <c r="AM700" s="188"/>
      <c r="AN700" s="188"/>
      <c r="AO700" s="299"/>
      <c r="AQ700" s="296"/>
      <c r="AR700" s="296"/>
      <c r="AS700" s="296"/>
      <c r="AU700" s="296"/>
      <c r="AV700" s="296"/>
      <c r="AW700" s="296"/>
    </row>
    <row r="701" spans="2:49" ht="13">
      <c r="B701" s="294"/>
      <c r="C701" s="294"/>
      <c r="D701" s="294"/>
      <c r="E701" s="294"/>
      <c r="F701" s="171"/>
      <c r="G701" s="294"/>
      <c r="H701" s="294"/>
      <c r="I701" s="294"/>
      <c r="J701" s="294"/>
      <c r="K701" s="294"/>
      <c r="L701" s="294"/>
      <c r="T701" s="295"/>
      <c r="AA701" s="295"/>
      <c r="AH701" s="295"/>
      <c r="AI701" s="188"/>
      <c r="AJ701" s="188"/>
      <c r="AK701" s="188"/>
      <c r="AL701" s="188"/>
      <c r="AM701" s="188"/>
      <c r="AN701" s="188"/>
      <c r="AO701" s="299"/>
      <c r="AQ701" s="296"/>
      <c r="AR701" s="296"/>
      <c r="AS701" s="296"/>
      <c r="AU701" s="296"/>
      <c r="AV701" s="296"/>
      <c r="AW701" s="296"/>
    </row>
    <row r="702" spans="2:49" ht="13">
      <c r="B702" s="294"/>
      <c r="C702" s="294"/>
      <c r="D702" s="294"/>
      <c r="E702" s="294"/>
      <c r="F702" s="171"/>
      <c r="G702" s="294"/>
      <c r="H702" s="294"/>
      <c r="I702" s="294"/>
      <c r="J702" s="294"/>
      <c r="K702" s="294"/>
      <c r="L702" s="294"/>
      <c r="T702" s="295"/>
      <c r="AA702" s="295"/>
      <c r="AH702" s="295"/>
      <c r="AI702" s="188"/>
      <c r="AJ702" s="188"/>
      <c r="AK702" s="188"/>
      <c r="AL702" s="188"/>
      <c r="AM702" s="188"/>
      <c r="AN702" s="188"/>
      <c r="AO702" s="299"/>
      <c r="AQ702" s="296"/>
      <c r="AR702" s="296"/>
      <c r="AS702" s="296"/>
      <c r="AU702" s="296"/>
      <c r="AV702" s="296"/>
      <c r="AW702" s="296"/>
    </row>
    <row r="703" spans="2:49" ht="13">
      <c r="B703" s="294"/>
      <c r="C703" s="294"/>
      <c r="D703" s="294"/>
      <c r="E703" s="294"/>
      <c r="F703" s="171"/>
      <c r="G703" s="294"/>
      <c r="H703" s="294"/>
      <c r="I703" s="294"/>
      <c r="J703" s="294"/>
      <c r="K703" s="294"/>
      <c r="L703" s="294"/>
      <c r="T703" s="295"/>
      <c r="AA703" s="295"/>
      <c r="AH703" s="295"/>
      <c r="AI703" s="188"/>
      <c r="AJ703" s="188"/>
      <c r="AK703" s="188"/>
      <c r="AL703" s="188"/>
      <c r="AM703" s="188"/>
      <c r="AN703" s="188"/>
      <c r="AO703" s="299"/>
      <c r="AQ703" s="296"/>
      <c r="AR703" s="296"/>
      <c r="AS703" s="296"/>
      <c r="AU703" s="296"/>
      <c r="AV703" s="296"/>
      <c r="AW703" s="296"/>
    </row>
    <row r="704" spans="2:49" ht="13">
      <c r="B704" s="294"/>
      <c r="C704" s="294"/>
      <c r="D704" s="294"/>
      <c r="E704" s="294"/>
      <c r="F704" s="171"/>
      <c r="G704" s="294"/>
      <c r="H704" s="294"/>
      <c r="I704" s="294"/>
      <c r="J704" s="294"/>
      <c r="K704" s="294"/>
      <c r="L704" s="294"/>
      <c r="T704" s="295"/>
      <c r="AA704" s="295"/>
      <c r="AH704" s="295"/>
      <c r="AI704" s="188"/>
      <c r="AJ704" s="188"/>
      <c r="AK704" s="188"/>
      <c r="AL704" s="188"/>
      <c r="AM704" s="188"/>
      <c r="AN704" s="188"/>
      <c r="AO704" s="299"/>
      <c r="AQ704" s="296"/>
      <c r="AR704" s="296"/>
      <c r="AS704" s="296"/>
      <c r="AU704" s="296"/>
      <c r="AV704" s="296"/>
      <c r="AW704" s="296"/>
    </row>
    <row r="705" spans="2:49" ht="13">
      <c r="B705" s="294"/>
      <c r="C705" s="294"/>
      <c r="D705" s="294"/>
      <c r="E705" s="294"/>
      <c r="F705" s="171"/>
      <c r="G705" s="294"/>
      <c r="H705" s="294"/>
      <c r="I705" s="294"/>
      <c r="J705" s="294"/>
      <c r="K705" s="294"/>
      <c r="L705" s="294"/>
      <c r="T705" s="295"/>
      <c r="AA705" s="295"/>
      <c r="AH705" s="295"/>
      <c r="AI705" s="188"/>
      <c r="AJ705" s="188"/>
      <c r="AK705" s="188"/>
      <c r="AL705" s="188"/>
      <c r="AM705" s="188"/>
      <c r="AN705" s="188"/>
      <c r="AO705" s="299"/>
      <c r="AQ705" s="296"/>
      <c r="AR705" s="296"/>
      <c r="AS705" s="296"/>
      <c r="AU705" s="296"/>
      <c r="AV705" s="296"/>
      <c r="AW705" s="296"/>
    </row>
    <row r="706" spans="2:49" ht="13">
      <c r="B706" s="294"/>
      <c r="C706" s="294"/>
      <c r="D706" s="294"/>
      <c r="E706" s="294"/>
      <c r="F706" s="171"/>
      <c r="G706" s="294"/>
      <c r="H706" s="294"/>
      <c r="I706" s="294"/>
      <c r="J706" s="294"/>
      <c r="K706" s="294"/>
      <c r="L706" s="294"/>
      <c r="T706" s="295"/>
      <c r="AA706" s="295"/>
      <c r="AH706" s="295"/>
      <c r="AI706" s="188"/>
      <c r="AJ706" s="188"/>
      <c r="AK706" s="188"/>
      <c r="AL706" s="188"/>
      <c r="AM706" s="188"/>
      <c r="AN706" s="188"/>
      <c r="AO706" s="299"/>
      <c r="AQ706" s="296"/>
      <c r="AR706" s="296"/>
      <c r="AS706" s="296"/>
      <c r="AU706" s="296"/>
      <c r="AV706" s="296"/>
      <c r="AW706" s="296"/>
    </row>
    <row r="707" spans="2:49" ht="13">
      <c r="B707" s="294"/>
      <c r="C707" s="294"/>
      <c r="D707" s="294"/>
      <c r="E707" s="294"/>
      <c r="F707" s="171"/>
      <c r="G707" s="294"/>
      <c r="H707" s="294"/>
      <c r="I707" s="294"/>
      <c r="J707" s="294"/>
      <c r="K707" s="294"/>
      <c r="L707" s="294"/>
      <c r="T707" s="295"/>
      <c r="AA707" s="295"/>
      <c r="AH707" s="295"/>
      <c r="AI707" s="188"/>
      <c r="AJ707" s="188"/>
      <c r="AK707" s="188"/>
      <c r="AL707" s="188"/>
      <c r="AM707" s="188"/>
      <c r="AN707" s="188"/>
      <c r="AO707" s="299"/>
      <c r="AQ707" s="296"/>
      <c r="AR707" s="296"/>
      <c r="AS707" s="296"/>
      <c r="AU707" s="296"/>
      <c r="AV707" s="296"/>
      <c r="AW707" s="296"/>
    </row>
    <row r="708" spans="2:49" ht="13">
      <c r="B708" s="294"/>
      <c r="C708" s="294"/>
      <c r="D708" s="294"/>
      <c r="E708" s="294"/>
      <c r="F708" s="171"/>
      <c r="G708" s="294"/>
      <c r="H708" s="294"/>
      <c r="I708" s="294"/>
      <c r="J708" s="294"/>
      <c r="K708" s="294"/>
      <c r="L708" s="294"/>
      <c r="T708" s="295"/>
      <c r="AA708" s="295"/>
      <c r="AH708" s="295"/>
      <c r="AI708" s="188"/>
      <c r="AJ708" s="188"/>
      <c r="AK708" s="188"/>
      <c r="AL708" s="188"/>
      <c r="AM708" s="188"/>
      <c r="AN708" s="188"/>
      <c r="AO708" s="299"/>
      <c r="AQ708" s="296"/>
      <c r="AR708" s="296"/>
      <c r="AS708" s="296"/>
      <c r="AU708" s="296"/>
      <c r="AV708" s="296"/>
      <c r="AW708" s="296"/>
    </row>
    <row r="709" spans="2:49" ht="13">
      <c r="B709" s="294"/>
      <c r="C709" s="294"/>
      <c r="D709" s="294"/>
      <c r="E709" s="294"/>
      <c r="F709" s="171"/>
      <c r="G709" s="294"/>
      <c r="H709" s="294"/>
      <c r="I709" s="294"/>
      <c r="J709" s="294"/>
      <c r="K709" s="294"/>
      <c r="L709" s="294"/>
      <c r="T709" s="295"/>
      <c r="AA709" s="295"/>
      <c r="AH709" s="295"/>
      <c r="AI709" s="188"/>
      <c r="AJ709" s="188"/>
      <c r="AK709" s="188"/>
      <c r="AL709" s="188"/>
      <c r="AM709" s="188"/>
      <c r="AN709" s="188"/>
      <c r="AO709" s="299"/>
      <c r="AQ709" s="296"/>
      <c r="AR709" s="296"/>
      <c r="AS709" s="296"/>
      <c r="AU709" s="296"/>
      <c r="AV709" s="296"/>
      <c r="AW709" s="296"/>
    </row>
    <row r="710" spans="2:49" ht="13">
      <c r="B710" s="294"/>
      <c r="C710" s="294"/>
      <c r="D710" s="294"/>
      <c r="E710" s="294"/>
      <c r="F710" s="171"/>
      <c r="G710" s="294"/>
      <c r="H710" s="294"/>
      <c r="I710" s="294"/>
      <c r="J710" s="294"/>
      <c r="K710" s="294"/>
      <c r="L710" s="294"/>
      <c r="T710" s="295"/>
      <c r="AA710" s="295"/>
      <c r="AH710" s="295"/>
      <c r="AI710" s="188"/>
      <c r="AJ710" s="188"/>
      <c r="AK710" s="188"/>
      <c r="AL710" s="188"/>
      <c r="AM710" s="188"/>
      <c r="AN710" s="188"/>
      <c r="AO710" s="299"/>
      <c r="AQ710" s="296"/>
      <c r="AR710" s="296"/>
      <c r="AS710" s="296"/>
      <c r="AU710" s="296"/>
      <c r="AV710" s="296"/>
      <c r="AW710" s="296"/>
    </row>
    <row r="711" spans="2:49" ht="13">
      <c r="B711" s="294"/>
      <c r="C711" s="294"/>
      <c r="D711" s="294"/>
      <c r="E711" s="294"/>
      <c r="F711" s="171"/>
      <c r="G711" s="294"/>
      <c r="H711" s="294"/>
      <c r="I711" s="294"/>
      <c r="J711" s="294"/>
      <c r="K711" s="294"/>
      <c r="L711" s="294"/>
      <c r="T711" s="295"/>
      <c r="AA711" s="295"/>
      <c r="AH711" s="295"/>
      <c r="AI711" s="188"/>
      <c r="AJ711" s="188"/>
      <c r="AK711" s="188"/>
      <c r="AL711" s="188"/>
      <c r="AM711" s="188"/>
      <c r="AN711" s="188"/>
      <c r="AO711" s="299"/>
      <c r="AQ711" s="296"/>
      <c r="AR711" s="296"/>
      <c r="AS711" s="296"/>
      <c r="AU711" s="296"/>
      <c r="AV711" s="296"/>
      <c r="AW711" s="296"/>
    </row>
    <row r="712" spans="2:49" ht="13">
      <c r="B712" s="294"/>
      <c r="C712" s="294"/>
      <c r="D712" s="294"/>
      <c r="E712" s="294"/>
      <c r="F712" s="171"/>
      <c r="G712" s="294"/>
      <c r="H712" s="294"/>
      <c r="I712" s="294"/>
      <c r="J712" s="294"/>
      <c r="K712" s="294"/>
      <c r="L712" s="294"/>
      <c r="T712" s="295"/>
      <c r="AA712" s="295"/>
      <c r="AH712" s="295"/>
      <c r="AI712" s="188"/>
      <c r="AJ712" s="188"/>
      <c r="AK712" s="188"/>
      <c r="AL712" s="188"/>
      <c r="AM712" s="188"/>
      <c r="AN712" s="188"/>
      <c r="AO712" s="299"/>
      <c r="AQ712" s="296"/>
      <c r="AR712" s="296"/>
      <c r="AS712" s="296"/>
      <c r="AU712" s="296"/>
      <c r="AV712" s="296"/>
      <c r="AW712" s="296"/>
    </row>
    <row r="713" spans="2:49" ht="13">
      <c r="B713" s="294"/>
      <c r="C713" s="294"/>
      <c r="D713" s="294"/>
      <c r="E713" s="294"/>
      <c r="F713" s="171"/>
      <c r="G713" s="294"/>
      <c r="H713" s="294"/>
      <c r="I713" s="294"/>
      <c r="J713" s="294"/>
      <c r="K713" s="294"/>
      <c r="L713" s="294"/>
      <c r="T713" s="295"/>
      <c r="AA713" s="295"/>
      <c r="AH713" s="295"/>
      <c r="AI713" s="188"/>
      <c r="AJ713" s="188"/>
      <c r="AK713" s="188"/>
      <c r="AL713" s="188"/>
      <c r="AM713" s="188"/>
      <c r="AN713" s="188"/>
      <c r="AO713" s="299"/>
      <c r="AQ713" s="296"/>
      <c r="AR713" s="296"/>
      <c r="AS713" s="296"/>
      <c r="AU713" s="296"/>
      <c r="AV713" s="296"/>
      <c r="AW713" s="296"/>
    </row>
    <row r="714" spans="2:49" ht="13">
      <c r="B714" s="294"/>
      <c r="C714" s="294"/>
      <c r="D714" s="294"/>
      <c r="E714" s="294"/>
      <c r="F714" s="171"/>
      <c r="G714" s="294"/>
      <c r="H714" s="294"/>
      <c r="I714" s="294"/>
      <c r="J714" s="294"/>
      <c r="K714" s="294"/>
      <c r="L714" s="294"/>
      <c r="T714" s="295"/>
      <c r="AA714" s="295"/>
      <c r="AH714" s="295"/>
      <c r="AI714" s="188"/>
      <c r="AJ714" s="188"/>
      <c r="AK714" s="188"/>
      <c r="AL714" s="188"/>
      <c r="AM714" s="188"/>
      <c r="AN714" s="188"/>
      <c r="AO714" s="299"/>
      <c r="AQ714" s="296"/>
      <c r="AR714" s="296"/>
      <c r="AS714" s="296"/>
      <c r="AU714" s="296"/>
      <c r="AV714" s="296"/>
      <c r="AW714" s="296"/>
    </row>
    <row r="715" spans="2:49" ht="13">
      <c r="B715" s="294"/>
      <c r="C715" s="294"/>
      <c r="D715" s="294"/>
      <c r="E715" s="294"/>
      <c r="F715" s="171"/>
      <c r="G715" s="294"/>
      <c r="H715" s="294"/>
      <c r="I715" s="294"/>
      <c r="J715" s="294"/>
      <c r="K715" s="294"/>
      <c r="L715" s="294"/>
      <c r="T715" s="295"/>
      <c r="AA715" s="295"/>
      <c r="AH715" s="295"/>
      <c r="AI715" s="188"/>
      <c r="AJ715" s="188"/>
      <c r="AK715" s="188"/>
      <c r="AL715" s="188"/>
      <c r="AM715" s="188"/>
      <c r="AN715" s="188"/>
      <c r="AO715" s="299"/>
      <c r="AQ715" s="296"/>
      <c r="AR715" s="296"/>
      <c r="AS715" s="296"/>
      <c r="AU715" s="296"/>
      <c r="AV715" s="296"/>
      <c r="AW715" s="296"/>
    </row>
    <row r="716" spans="2:49" ht="13">
      <c r="B716" s="294"/>
      <c r="C716" s="294"/>
      <c r="D716" s="294"/>
      <c r="E716" s="294"/>
      <c r="F716" s="171"/>
      <c r="G716" s="294"/>
      <c r="H716" s="294"/>
      <c r="I716" s="294"/>
      <c r="J716" s="294"/>
      <c r="K716" s="294"/>
      <c r="L716" s="294"/>
      <c r="T716" s="295"/>
      <c r="AA716" s="295"/>
      <c r="AH716" s="295"/>
      <c r="AI716" s="188"/>
      <c r="AJ716" s="188"/>
      <c r="AK716" s="188"/>
      <c r="AL716" s="188"/>
      <c r="AM716" s="188"/>
      <c r="AN716" s="188"/>
      <c r="AO716" s="299"/>
      <c r="AQ716" s="296"/>
      <c r="AR716" s="296"/>
      <c r="AS716" s="296"/>
      <c r="AU716" s="296"/>
      <c r="AV716" s="296"/>
      <c r="AW716" s="296"/>
    </row>
    <row r="717" spans="2:49" ht="13">
      <c r="B717" s="294"/>
      <c r="C717" s="294"/>
      <c r="D717" s="294"/>
      <c r="E717" s="294"/>
      <c r="F717" s="171"/>
      <c r="G717" s="294"/>
      <c r="H717" s="294"/>
      <c r="I717" s="294"/>
      <c r="J717" s="294"/>
      <c r="K717" s="294"/>
      <c r="L717" s="294"/>
      <c r="T717" s="295"/>
      <c r="AA717" s="295"/>
      <c r="AH717" s="295"/>
      <c r="AI717" s="188"/>
      <c r="AJ717" s="188"/>
      <c r="AK717" s="188"/>
      <c r="AL717" s="188"/>
      <c r="AM717" s="188"/>
      <c r="AN717" s="188"/>
      <c r="AO717" s="299"/>
      <c r="AQ717" s="296"/>
      <c r="AR717" s="296"/>
      <c r="AS717" s="296"/>
      <c r="AU717" s="296"/>
      <c r="AV717" s="296"/>
      <c r="AW717" s="296"/>
    </row>
    <row r="718" spans="2:49" ht="13">
      <c r="B718" s="294"/>
      <c r="C718" s="294"/>
      <c r="D718" s="294"/>
      <c r="E718" s="294"/>
      <c r="F718" s="171"/>
      <c r="G718" s="294"/>
      <c r="H718" s="294"/>
      <c r="I718" s="294"/>
      <c r="J718" s="294"/>
      <c r="K718" s="294"/>
      <c r="L718" s="294"/>
      <c r="T718" s="295"/>
      <c r="AA718" s="295"/>
      <c r="AH718" s="295"/>
      <c r="AI718" s="188"/>
      <c r="AJ718" s="188"/>
      <c r="AK718" s="188"/>
      <c r="AL718" s="188"/>
      <c r="AM718" s="188"/>
      <c r="AN718" s="188"/>
      <c r="AO718" s="299"/>
      <c r="AQ718" s="296"/>
      <c r="AR718" s="296"/>
      <c r="AS718" s="296"/>
      <c r="AU718" s="296"/>
      <c r="AV718" s="296"/>
      <c r="AW718" s="296"/>
    </row>
    <row r="719" spans="2:49" ht="13">
      <c r="B719" s="294"/>
      <c r="C719" s="294"/>
      <c r="D719" s="294"/>
      <c r="E719" s="294"/>
      <c r="F719" s="171"/>
      <c r="G719" s="294"/>
      <c r="H719" s="294"/>
      <c r="I719" s="294"/>
      <c r="J719" s="294"/>
      <c r="K719" s="294"/>
      <c r="L719" s="294"/>
      <c r="T719" s="295"/>
      <c r="AA719" s="295"/>
      <c r="AH719" s="295"/>
      <c r="AI719" s="188"/>
      <c r="AJ719" s="188"/>
      <c r="AK719" s="188"/>
      <c r="AL719" s="188"/>
      <c r="AM719" s="188"/>
      <c r="AN719" s="188"/>
      <c r="AO719" s="299"/>
      <c r="AQ719" s="296"/>
      <c r="AR719" s="296"/>
      <c r="AS719" s="296"/>
      <c r="AU719" s="296"/>
      <c r="AV719" s="296"/>
      <c r="AW719" s="296"/>
    </row>
    <row r="720" spans="2:49" ht="13">
      <c r="B720" s="294"/>
      <c r="C720" s="294"/>
      <c r="D720" s="294"/>
      <c r="E720" s="294"/>
      <c r="F720" s="171"/>
      <c r="G720" s="294"/>
      <c r="H720" s="294"/>
      <c r="I720" s="294"/>
      <c r="J720" s="294"/>
      <c r="K720" s="294"/>
      <c r="L720" s="294"/>
      <c r="T720" s="295"/>
      <c r="AA720" s="295"/>
      <c r="AH720" s="295"/>
      <c r="AI720" s="188"/>
      <c r="AJ720" s="188"/>
      <c r="AK720" s="188"/>
      <c r="AL720" s="188"/>
      <c r="AM720" s="188"/>
      <c r="AN720" s="188"/>
      <c r="AO720" s="299"/>
      <c r="AQ720" s="296"/>
      <c r="AR720" s="296"/>
      <c r="AS720" s="296"/>
      <c r="AU720" s="296"/>
      <c r="AV720" s="296"/>
      <c r="AW720" s="296"/>
    </row>
    <row r="721" spans="2:49" ht="13">
      <c r="B721" s="294"/>
      <c r="C721" s="294"/>
      <c r="D721" s="294"/>
      <c r="E721" s="294"/>
      <c r="F721" s="171"/>
      <c r="G721" s="294"/>
      <c r="H721" s="294"/>
      <c r="I721" s="294"/>
      <c r="J721" s="294"/>
      <c r="K721" s="294"/>
      <c r="L721" s="294"/>
      <c r="T721" s="295"/>
      <c r="AA721" s="295"/>
      <c r="AH721" s="295"/>
      <c r="AI721" s="188"/>
      <c r="AJ721" s="188"/>
      <c r="AK721" s="188"/>
      <c r="AL721" s="188"/>
      <c r="AM721" s="188"/>
      <c r="AN721" s="188"/>
      <c r="AO721" s="299"/>
      <c r="AQ721" s="296"/>
      <c r="AR721" s="296"/>
      <c r="AS721" s="296"/>
      <c r="AU721" s="296"/>
      <c r="AV721" s="296"/>
      <c r="AW721" s="296"/>
    </row>
    <row r="722" spans="2:49" ht="13">
      <c r="B722" s="294"/>
      <c r="C722" s="294"/>
      <c r="D722" s="294"/>
      <c r="E722" s="294"/>
      <c r="F722" s="171"/>
      <c r="G722" s="294"/>
      <c r="H722" s="294"/>
      <c r="I722" s="294"/>
      <c r="J722" s="294"/>
      <c r="K722" s="294"/>
      <c r="L722" s="294"/>
      <c r="T722" s="295"/>
      <c r="AA722" s="295"/>
      <c r="AH722" s="295"/>
      <c r="AI722" s="188"/>
      <c r="AJ722" s="188"/>
      <c r="AK722" s="188"/>
      <c r="AL722" s="188"/>
      <c r="AM722" s="188"/>
      <c r="AN722" s="188"/>
      <c r="AO722" s="299"/>
      <c r="AQ722" s="296"/>
      <c r="AR722" s="296"/>
      <c r="AS722" s="296"/>
      <c r="AU722" s="296"/>
      <c r="AV722" s="296"/>
      <c r="AW722" s="296"/>
    </row>
    <row r="723" spans="2:49" ht="13">
      <c r="B723" s="294"/>
      <c r="C723" s="294"/>
      <c r="D723" s="294"/>
      <c r="E723" s="294"/>
      <c r="F723" s="171"/>
      <c r="G723" s="294"/>
      <c r="H723" s="294"/>
      <c r="I723" s="294"/>
      <c r="J723" s="294"/>
      <c r="K723" s="294"/>
      <c r="L723" s="294"/>
      <c r="T723" s="295"/>
      <c r="AA723" s="295"/>
      <c r="AH723" s="295"/>
      <c r="AI723" s="188"/>
      <c r="AJ723" s="188"/>
      <c r="AK723" s="188"/>
      <c r="AL723" s="188"/>
      <c r="AM723" s="188"/>
      <c r="AN723" s="188"/>
      <c r="AO723" s="299"/>
      <c r="AQ723" s="296"/>
      <c r="AR723" s="296"/>
      <c r="AS723" s="296"/>
      <c r="AU723" s="296"/>
      <c r="AV723" s="296"/>
      <c r="AW723" s="296"/>
    </row>
    <row r="724" spans="2:49" ht="13">
      <c r="B724" s="294"/>
      <c r="C724" s="294"/>
      <c r="D724" s="294"/>
      <c r="E724" s="294"/>
      <c r="F724" s="171"/>
      <c r="G724" s="294"/>
      <c r="H724" s="294"/>
      <c r="I724" s="294"/>
      <c r="J724" s="294"/>
      <c r="K724" s="294"/>
      <c r="L724" s="294"/>
      <c r="T724" s="295"/>
      <c r="AA724" s="295"/>
      <c r="AH724" s="295"/>
      <c r="AI724" s="188"/>
      <c r="AJ724" s="188"/>
      <c r="AK724" s="188"/>
      <c r="AL724" s="188"/>
      <c r="AM724" s="188"/>
      <c r="AN724" s="188"/>
      <c r="AO724" s="299"/>
      <c r="AQ724" s="296"/>
      <c r="AR724" s="296"/>
      <c r="AS724" s="296"/>
      <c r="AU724" s="296"/>
      <c r="AV724" s="296"/>
      <c r="AW724" s="296"/>
    </row>
    <row r="725" spans="2:49" ht="13">
      <c r="B725" s="294"/>
      <c r="C725" s="294"/>
      <c r="D725" s="294"/>
      <c r="E725" s="294"/>
      <c r="F725" s="171"/>
      <c r="G725" s="294"/>
      <c r="H725" s="294"/>
      <c r="I725" s="294"/>
      <c r="J725" s="294"/>
      <c r="K725" s="294"/>
      <c r="L725" s="294"/>
      <c r="T725" s="295"/>
      <c r="AA725" s="295"/>
      <c r="AH725" s="295"/>
      <c r="AI725" s="188"/>
      <c r="AJ725" s="188"/>
      <c r="AK725" s="188"/>
      <c r="AL725" s="188"/>
      <c r="AM725" s="188"/>
      <c r="AN725" s="188"/>
      <c r="AO725" s="299"/>
      <c r="AQ725" s="296"/>
      <c r="AR725" s="296"/>
      <c r="AS725" s="296"/>
      <c r="AU725" s="296"/>
      <c r="AV725" s="296"/>
      <c r="AW725" s="296"/>
    </row>
    <row r="726" spans="2:49" ht="13">
      <c r="B726" s="294"/>
      <c r="C726" s="294"/>
      <c r="D726" s="294"/>
      <c r="E726" s="294"/>
      <c r="F726" s="171"/>
      <c r="G726" s="294"/>
      <c r="H726" s="294"/>
      <c r="I726" s="294"/>
      <c r="J726" s="294"/>
      <c r="K726" s="294"/>
      <c r="L726" s="294"/>
      <c r="T726" s="295"/>
      <c r="AA726" s="295"/>
      <c r="AH726" s="295"/>
      <c r="AI726" s="188"/>
      <c r="AJ726" s="188"/>
      <c r="AK726" s="188"/>
      <c r="AL726" s="188"/>
      <c r="AM726" s="188"/>
      <c r="AN726" s="188"/>
      <c r="AO726" s="299"/>
      <c r="AQ726" s="296"/>
      <c r="AR726" s="296"/>
      <c r="AS726" s="296"/>
      <c r="AU726" s="296"/>
      <c r="AV726" s="296"/>
      <c r="AW726" s="296"/>
    </row>
    <row r="727" spans="2:49" ht="13">
      <c r="B727" s="294"/>
      <c r="C727" s="294"/>
      <c r="D727" s="294"/>
      <c r="E727" s="294"/>
      <c r="F727" s="171"/>
      <c r="G727" s="294"/>
      <c r="H727" s="294"/>
      <c r="I727" s="294"/>
      <c r="J727" s="294"/>
      <c r="K727" s="294"/>
      <c r="L727" s="294"/>
      <c r="T727" s="295"/>
      <c r="AA727" s="295"/>
      <c r="AH727" s="295"/>
      <c r="AI727" s="188"/>
      <c r="AJ727" s="188"/>
      <c r="AK727" s="188"/>
      <c r="AL727" s="188"/>
      <c r="AM727" s="188"/>
      <c r="AN727" s="188"/>
      <c r="AO727" s="299"/>
      <c r="AQ727" s="296"/>
      <c r="AR727" s="296"/>
      <c r="AS727" s="296"/>
      <c r="AU727" s="296"/>
      <c r="AV727" s="296"/>
      <c r="AW727" s="296"/>
    </row>
    <row r="728" spans="2:49" ht="13">
      <c r="B728" s="294"/>
      <c r="C728" s="294"/>
      <c r="D728" s="294"/>
      <c r="E728" s="294"/>
      <c r="F728" s="171"/>
      <c r="G728" s="294"/>
      <c r="H728" s="294"/>
      <c r="I728" s="294"/>
      <c r="J728" s="294"/>
      <c r="K728" s="294"/>
      <c r="L728" s="294"/>
      <c r="T728" s="295"/>
      <c r="AA728" s="295"/>
      <c r="AH728" s="295"/>
      <c r="AI728" s="188"/>
      <c r="AJ728" s="188"/>
      <c r="AK728" s="188"/>
      <c r="AL728" s="188"/>
      <c r="AM728" s="188"/>
      <c r="AN728" s="188"/>
      <c r="AO728" s="299"/>
      <c r="AQ728" s="296"/>
      <c r="AR728" s="296"/>
      <c r="AS728" s="296"/>
      <c r="AU728" s="296"/>
      <c r="AV728" s="296"/>
      <c r="AW728" s="296"/>
    </row>
    <row r="729" spans="2:49" ht="13">
      <c r="B729" s="294"/>
      <c r="C729" s="294"/>
      <c r="D729" s="294"/>
      <c r="E729" s="294"/>
      <c r="F729" s="171"/>
      <c r="G729" s="294"/>
      <c r="H729" s="294"/>
      <c r="I729" s="294"/>
      <c r="J729" s="294"/>
      <c r="K729" s="294"/>
      <c r="L729" s="294"/>
      <c r="T729" s="295"/>
      <c r="AA729" s="295"/>
      <c r="AH729" s="295"/>
      <c r="AI729" s="188"/>
      <c r="AJ729" s="188"/>
      <c r="AK729" s="188"/>
      <c r="AL729" s="188"/>
      <c r="AM729" s="188"/>
      <c r="AN729" s="188"/>
      <c r="AO729" s="299"/>
      <c r="AQ729" s="296"/>
      <c r="AR729" s="296"/>
      <c r="AS729" s="296"/>
      <c r="AU729" s="296"/>
      <c r="AV729" s="296"/>
      <c r="AW729" s="296"/>
    </row>
    <row r="730" spans="2:49" ht="13">
      <c r="B730" s="294"/>
      <c r="C730" s="294"/>
      <c r="D730" s="294"/>
      <c r="E730" s="294"/>
      <c r="F730" s="171"/>
      <c r="G730" s="294"/>
      <c r="H730" s="294"/>
      <c r="I730" s="294"/>
      <c r="J730" s="294"/>
      <c r="K730" s="294"/>
      <c r="L730" s="294"/>
      <c r="T730" s="295"/>
      <c r="AA730" s="295"/>
      <c r="AH730" s="295"/>
      <c r="AI730" s="188"/>
      <c r="AJ730" s="188"/>
      <c r="AK730" s="188"/>
      <c r="AL730" s="188"/>
      <c r="AM730" s="188"/>
      <c r="AN730" s="188"/>
      <c r="AO730" s="299"/>
      <c r="AQ730" s="296"/>
      <c r="AR730" s="296"/>
      <c r="AS730" s="296"/>
      <c r="AU730" s="296"/>
      <c r="AV730" s="296"/>
      <c r="AW730" s="296"/>
    </row>
    <row r="731" spans="2:49" ht="13">
      <c r="B731" s="294"/>
      <c r="C731" s="294"/>
      <c r="D731" s="294"/>
      <c r="E731" s="294"/>
      <c r="F731" s="171"/>
      <c r="G731" s="294"/>
      <c r="H731" s="294"/>
      <c r="I731" s="294"/>
      <c r="J731" s="294"/>
      <c r="K731" s="294"/>
      <c r="L731" s="294"/>
      <c r="T731" s="295"/>
      <c r="AA731" s="295"/>
      <c r="AH731" s="295"/>
      <c r="AI731" s="188"/>
      <c r="AJ731" s="188"/>
      <c r="AK731" s="188"/>
      <c r="AL731" s="188"/>
      <c r="AM731" s="188"/>
      <c r="AN731" s="188"/>
      <c r="AO731" s="299"/>
      <c r="AQ731" s="296"/>
      <c r="AR731" s="296"/>
      <c r="AS731" s="296"/>
      <c r="AU731" s="296"/>
      <c r="AV731" s="296"/>
      <c r="AW731" s="296"/>
    </row>
    <row r="732" spans="2:49" ht="13">
      <c r="B732" s="294"/>
      <c r="C732" s="294"/>
      <c r="D732" s="294"/>
      <c r="E732" s="294"/>
      <c r="F732" s="171"/>
      <c r="G732" s="294"/>
      <c r="H732" s="294"/>
      <c r="I732" s="294"/>
      <c r="J732" s="294"/>
      <c r="K732" s="294"/>
      <c r="L732" s="294"/>
      <c r="T732" s="295"/>
      <c r="AA732" s="295"/>
      <c r="AH732" s="295"/>
      <c r="AI732" s="188"/>
      <c r="AJ732" s="188"/>
      <c r="AK732" s="188"/>
      <c r="AL732" s="188"/>
      <c r="AM732" s="188"/>
      <c r="AN732" s="188"/>
      <c r="AO732" s="299"/>
      <c r="AQ732" s="296"/>
      <c r="AR732" s="296"/>
      <c r="AS732" s="296"/>
      <c r="AU732" s="296"/>
      <c r="AV732" s="296"/>
      <c r="AW732" s="296"/>
    </row>
    <row r="733" spans="2:49" ht="13">
      <c r="B733" s="294"/>
      <c r="C733" s="294"/>
      <c r="D733" s="294"/>
      <c r="E733" s="294"/>
      <c r="F733" s="171"/>
      <c r="G733" s="294"/>
      <c r="H733" s="294"/>
      <c r="I733" s="294"/>
      <c r="J733" s="294"/>
      <c r="K733" s="294"/>
      <c r="L733" s="294"/>
      <c r="T733" s="295"/>
      <c r="AA733" s="295"/>
      <c r="AH733" s="295"/>
      <c r="AI733" s="188"/>
      <c r="AJ733" s="188"/>
      <c r="AK733" s="188"/>
      <c r="AL733" s="188"/>
      <c r="AM733" s="188"/>
      <c r="AN733" s="188"/>
      <c r="AO733" s="299"/>
      <c r="AQ733" s="296"/>
      <c r="AR733" s="296"/>
      <c r="AS733" s="296"/>
      <c r="AU733" s="296"/>
      <c r="AV733" s="296"/>
      <c r="AW733" s="296"/>
    </row>
    <row r="734" spans="2:49" ht="13">
      <c r="B734" s="294"/>
      <c r="C734" s="294"/>
      <c r="D734" s="294"/>
      <c r="E734" s="294"/>
      <c r="F734" s="171"/>
      <c r="G734" s="294"/>
      <c r="H734" s="294"/>
      <c r="I734" s="294"/>
      <c r="J734" s="294"/>
      <c r="K734" s="294"/>
      <c r="L734" s="294"/>
      <c r="T734" s="295"/>
      <c r="AA734" s="295"/>
      <c r="AH734" s="295"/>
      <c r="AI734" s="188"/>
      <c r="AJ734" s="188"/>
      <c r="AK734" s="188"/>
      <c r="AL734" s="188"/>
      <c r="AM734" s="188"/>
      <c r="AN734" s="188"/>
      <c r="AO734" s="299"/>
      <c r="AQ734" s="296"/>
      <c r="AR734" s="296"/>
      <c r="AS734" s="296"/>
      <c r="AU734" s="296"/>
      <c r="AV734" s="296"/>
      <c r="AW734" s="296"/>
    </row>
    <row r="735" spans="2:49" ht="13">
      <c r="B735" s="294"/>
      <c r="C735" s="294"/>
      <c r="D735" s="294"/>
      <c r="E735" s="294"/>
      <c r="F735" s="171"/>
      <c r="G735" s="294"/>
      <c r="H735" s="294"/>
      <c r="I735" s="294"/>
      <c r="J735" s="294"/>
      <c r="K735" s="294"/>
      <c r="L735" s="294"/>
      <c r="T735" s="295"/>
      <c r="AA735" s="295"/>
      <c r="AH735" s="295"/>
      <c r="AI735" s="188"/>
      <c r="AJ735" s="188"/>
      <c r="AK735" s="188"/>
      <c r="AL735" s="188"/>
      <c r="AM735" s="188"/>
      <c r="AN735" s="188"/>
      <c r="AO735" s="299"/>
      <c r="AQ735" s="296"/>
      <c r="AR735" s="296"/>
      <c r="AS735" s="296"/>
      <c r="AU735" s="296"/>
      <c r="AV735" s="296"/>
      <c r="AW735" s="296"/>
    </row>
    <row r="736" spans="2:49" ht="13">
      <c r="B736" s="294"/>
      <c r="C736" s="294"/>
      <c r="D736" s="294"/>
      <c r="E736" s="294"/>
      <c r="F736" s="171"/>
      <c r="G736" s="294"/>
      <c r="H736" s="294"/>
      <c r="I736" s="294"/>
      <c r="J736" s="294"/>
      <c r="K736" s="294"/>
      <c r="L736" s="294"/>
      <c r="T736" s="295"/>
      <c r="AA736" s="295"/>
      <c r="AH736" s="295"/>
      <c r="AI736" s="188"/>
      <c r="AJ736" s="188"/>
      <c r="AK736" s="188"/>
      <c r="AL736" s="188"/>
      <c r="AM736" s="188"/>
      <c r="AN736" s="188"/>
      <c r="AO736" s="299"/>
      <c r="AQ736" s="296"/>
      <c r="AR736" s="296"/>
      <c r="AS736" s="296"/>
      <c r="AU736" s="296"/>
      <c r="AV736" s="296"/>
      <c r="AW736" s="296"/>
    </row>
    <row r="737" spans="2:49" ht="13">
      <c r="B737" s="294"/>
      <c r="C737" s="294"/>
      <c r="D737" s="294"/>
      <c r="E737" s="294"/>
      <c r="F737" s="171"/>
      <c r="G737" s="294"/>
      <c r="H737" s="294"/>
      <c r="I737" s="294"/>
      <c r="J737" s="294"/>
      <c r="K737" s="294"/>
      <c r="L737" s="294"/>
      <c r="T737" s="295"/>
      <c r="AA737" s="295"/>
      <c r="AH737" s="295"/>
      <c r="AI737" s="188"/>
      <c r="AJ737" s="188"/>
      <c r="AK737" s="188"/>
      <c r="AL737" s="188"/>
      <c r="AM737" s="188"/>
      <c r="AN737" s="188"/>
      <c r="AO737" s="299"/>
      <c r="AQ737" s="296"/>
      <c r="AR737" s="296"/>
      <c r="AS737" s="296"/>
      <c r="AU737" s="296"/>
      <c r="AV737" s="296"/>
      <c r="AW737" s="296"/>
    </row>
    <row r="738" spans="2:49" ht="13">
      <c r="B738" s="294"/>
      <c r="C738" s="294"/>
      <c r="D738" s="294"/>
      <c r="E738" s="294"/>
      <c r="F738" s="171"/>
      <c r="G738" s="294"/>
      <c r="H738" s="294"/>
      <c r="I738" s="294"/>
      <c r="J738" s="294"/>
      <c r="K738" s="294"/>
      <c r="L738" s="294"/>
      <c r="T738" s="295"/>
      <c r="AA738" s="295"/>
      <c r="AH738" s="295"/>
      <c r="AI738" s="188"/>
      <c r="AJ738" s="188"/>
      <c r="AK738" s="188"/>
      <c r="AL738" s="188"/>
      <c r="AM738" s="188"/>
      <c r="AN738" s="188"/>
      <c r="AO738" s="299"/>
      <c r="AQ738" s="296"/>
      <c r="AR738" s="296"/>
      <c r="AS738" s="296"/>
      <c r="AU738" s="296"/>
      <c r="AV738" s="296"/>
      <c r="AW738" s="296"/>
    </row>
    <row r="739" spans="2:49" ht="13">
      <c r="B739" s="294"/>
      <c r="C739" s="294"/>
      <c r="D739" s="294"/>
      <c r="E739" s="294"/>
      <c r="F739" s="171"/>
      <c r="G739" s="294"/>
      <c r="H739" s="294"/>
      <c r="I739" s="294"/>
      <c r="J739" s="294"/>
      <c r="K739" s="294"/>
      <c r="L739" s="294"/>
      <c r="T739" s="295"/>
      <c r="AA739" s="295"/>
      <c r="AH739" s="295"/>
      <c r="AI739" s="188"/>
      <c r="AJ739" s="188"/>
      <c r="AK739" s="188"/>
      <c r="AL739" s="188"/>
      <c r="AM739" s="188"/>
      <c r="AN739" s="188"/>
      <c r="AO739" s="299"/>
      <c r="AQ739" s="296"/>
      <c r="AR739" s="296"/>
      <c r="AS739" s="296"/>
      <c r="AU739" s="296"/>
      <c r="AV739" s="296"/>
      <c r="AW739" s="296"/>
    </row>
    <row r="740" spans="2:49" ht="13">
      <c r="B740" s="294"/>
      <c r="C740" s="294"/>
      <c r="D740" s="294"/>
      <c r="E740" s="294"/>
      <c r="F740" s="171"/>
      <c r="G740" s="294"/>
      <c r="H740" s="294"/>
      <c r="I740" s="294"/>
      <c r="J740" s="294"/>
      <c r="K740" s="294"/>
      <c r="L740" s="294"/>
      <c r="T740" s="295"/>
      <c r="AA740" s="295"/>
      <c r="AH740" s="295"/>
      <c r="AI740" s="188"/>
      <c r="AJ740" s="188"/>
      <c r="AK740" s="188"/>
      <c r="AL740" s="188"/>
      <c r="AM740" s="188"/>
      <c r="AN740" s="188"/>
      <c r="AO740" s="299"/>
      <c r="AQ740" s="296"/>
      <c r="AR740" s="296"/>
      <c r="AS740" s="296"/>
      <c r="AU740" s="296"/>
      <c r="AV740" s="296"/>
      <c r="AW740" s="296"/>
    </row>
    <row r="741" spans="2:49" ht="13">
      <c r="B741" s="294"/>
      <c r="C741" s="294"/>
      <c r="D741" s="294"/>
      <c r="E741" s="294"/>
      <c r="F741" s="171"/>
      <c r="G741" s="294"/>
      <c r="H741" s="294"/>
      <c r="I741" s="294"/>
      <c r="J741" s="294"/>
      <c r="K741" s="294"/>
      <c r="L741" s="294"/>
      <c r="T741" s="295"/>
      <c r="AA741" s="295"/>
      <c r="AH741" s="295"/>
      <c r="AI741" s="188"/>
      <c r="AJ741" s="188"/>
      <c r="AK741" s="188"/>
      <c r="AL741" s="188"/>
      <c r="AM741" s="188"/>
      <c r="AN741" s="188"/>
      <c r="AO741" s="299"/>
      <c r="AQ741" s="296"/>
      <c r="AR741" s="296"/>
      <c r="AS741" s="296"/>
      <c r="AU741" s="296"/>
      <c r="AV741" s="296"/>
      <c r="AW741" s="296"/>
    </row>
    <row r="742" spans="2:49" ht="13">
      <c r="B742" s="294"/>
      <c r="C742" s="294"/>
      <c r="D742" s="294"/>
      <c r="E742" s="294"/>
      <c r="F742" s="171"/>
      <c r="G742" s="294"/>
      <c r="H742" s="294"/>
      <c r="I742" s="294"/>
      <c r="J742" s="294"/>
      <c r="K742" s="294"/>
      <c r="L742" s="294"/>
      <c r="T742" s="295"/>
      <c r="AA742" s="295"/>
      <c r="AH742" s="295"/>
      <c r="AI742" s="188"/>
      <c r="AJ742" s="188"/>
      <c r="AK742" s="188"/>
      <c r="AL742" s="188"/>
      <c r="AM742" s="188"/>
      <c r="AN742" s="188"/>
      <c r="AO742" s="299"/>
      <c r="AQ742" s="296"/>
      <c r="AR742" s="296"/>
      <c r="AS742" s="296"/>
      <c r="AU742" s="296"/>
      <c r="AV742" s="296"/>
      <c r="AW742" s="296"/>
    </row>
    <row r="743" spans="2:49" ht="13">
      <c r="B743" s="294"/>
      <c r="C743" s="294"/>
      <c r="D743" s="294"/>
      <c r="E743" s="294"/>
      <c r="F743" s="171"/>
      <c r="G743" s="294"/>
      <c r="H743" s="294"/>
      <c r="I743" s="294"/>
      <c r="J743" s="294"/>
      <c r="K743" s="294"/>
      <c r="L743" s="294"/>
      <c r="T743" s="295"/>
      <c r="AA743" s="295"/>
      <c r="AH743" s="295"/>
      <c r="AI743" s="188"/>
      <c r="AJ743" s="188"/>
      <c r="AK743" s="188"/>
      <c r="AL743" s="188"/>
      <c r="AM743" s="188"/>
      <c r="AN743" s="188"/>
      <c r="AO743" s="299"/>
      <c r="AQ743" s="296"/>
      <c r="AR743" s="296"/>
      <c r="AS743" s="296"/>
      <c r="AU743" s="296"/>
      <c r="AV743" s="296"/>
      <c r="AW743" s="296"/>
    </row>
    <row r="744" spans="2:49" ht="13">
      <c r="B744" s="294"/>
      <c r="C744" s="294"/>
      <c r="D744" s="294"/>
      <c r="E744" s="294"/>
      <c r="F744" s="171"/>
      <c r="G744" s="294"/>
      <c r="H744" s="294"/>
      <c r="I744" s="294"/>
      <c r="J744" s="294"/>
      <c r="K744" s="294"/>
      <c r="L744" s="294"/>
      <c r="T744" s="295"/>
      <c r="AA744" s="295"/>
      <c r="AH744" s="295"/>
      <c r="AI744" s="188"/>
      <c r="AJ744" s="188"/>
      <c r="AK744" s="188"/>
      <c r="AL744" s="188"/>
      <c r="AM744" s="188"/>
      <c r="AN744" s="188"/>
      <c r="AO744" s="299"/>
      <c r="AQ744" s="296"/>
      <c r="AR744" s="296"/>
      <c r="AS744" s="296"/>
      <c r="AU744" s="296"/>
      <c r="AV744" s="296"/>
      <c r="AW744" s="296"/>
    </row>
    <row r="745" spans="2:49" ht="13">
      <c r="B745" s="294"/>
      <c r="C745" s="294"/>
      <c r="D745" s="294"/>
      <c r="E745" s="294"/>
      <c r="F745" s="171"/>
      <c r="G745" s="294"/>
      <c r="H745" s="294"/>
      <c r="I745" s="294"/>
      <c r="J745" s="294"/>
      <c r="K745" s="294"/>
      <c r="L745" s="294"/>
      <c r="T745" s="295"/>
      <c r="AA745" s="295"/>
      <c r="AH745" s="295"/>
      <c r="AI745" s="188"/>
      <c r="AJ745" s="188"/>
      <c r="AK745" s="188"/>
      <c r="AL745" s="188"/>
      <c r="AM745" s="188"/>
      <c r="AN745" s="188"/>
      <c r="AO745" s="299"/>
      <c r="AQ745" s="296"/>
      <c r="AR745" s="296"/>
      <c r="AS745" s="296"/>
      <c r="AU745" s="296"/>
      <c r="AV745" s="296"/>
      <c r="AW745" s="296"/>
    </row>
    <row r="746" spans="2:49" ht="13">
      <c r="B746" s="294"/>
      <c r="C746" s="294"/>
      <c r="D746" s="294"/>
      <c r="E746" s="294"/>
      <c r="F746" s="171"/>
      <c r="G746" s="294"/>
      <c r="H746" s="294"/>
      <c r="I746" s="294"/>
      <c r="J746" s="294"/>
      <c r="K746" s="294"/>
      <c r="L746" s="294"/>
      <c r="T746" s="295"/>
      <c r="AA746" s="295"/>
      <c r="AH746" s="295"/>
      <c r="AI746" s="188"/>
      <c r="AJ746" s="188"/>
      <c r="AK746" s="188"/>
      <c r="AL746" s="188"/>
      <c r="AM746" s="188"/>
      <c r="AN746" s="188"/>
      <c r="AO746" s="299"/>
      <c r="AQ746" s="296"/>
      <c r="AR746" s="296"/>
      <c r="AS746" s="296"/>
      <c r="AU746" s="296"/>
      <c r="AV746" s="296"/>
      <c r="AW746" s="296"/>
    </row>
    <row r="747" spans="2:49" ht="13">
      <c r="B747" s="294"/>
      <c r="C747" s="294"/>
      <c r="D747" s="294"/>
      <c r="E747" s="294"/>
      <c r="F747" s="171"/>
      <c r="G747" s="294"/>
      <c r="H747" s="294"/>
      <c r="I747" s="294"/>
      <c r="J747" s="294"/>
      <c r="K747" s="294"/>
      <c r="L747" s="294"/>
      <c r="T747" s="295"/>
      <c r="AA747" s="295"/>
      <c r="AH747" s="295"/>
      <c r="AI747" s="188"/>
      <c r="AJ747" s="188"/>
      <c r="AK747" s="188"/>
      <c r="AL747" s="188"/>
      <c r="AM747" s="188"/>
      <c r="AN747" s="188"/>
      <c r="AO747" s="299"/>
      <c r="AQ747" s="296"/>
      <c r="AR747" s="296"/>
      <c r="AS747" s="296"/>
      <c r="AU747" s="296"/>
      <c r="AV747" s="296"/>
      <c r="AW747" s="296"/>
    </row>
    <row r="748" spans="2:49" ht="13">
      <c r="B748" s="294"/>
      <c r="C748" s="294"/>
      <c r="D748" s="294"/>
      <c r="E748" s="294"/>
      <c r="F748" s="171"/>
      <c r="G748" s="294"/>
      <c r="H748" s="294"/>
      <c r="I748" s="294"/>
      <c r="J748" s="294"/>
      <c r="K748" s="294"/>
      <c r="L748" s="294"/>
      <c r="T748" s="295"/>
      <c r="AA748" s="295"/>
      <c r="AH748" s="295"/>
      <c r="AI748" s="188"/>
      <c r="AJ748" s="188"/>
      <c r="AK748" s="188"/>
      <c r="AL748" s="188"/>
      <c r="AM748" s="188"/>
      <c r="AN748" s="188"/>
      <c r="AO748" s="299"/>
      <c r="AQ748" s="296"/>
      <c r="AR748" s="296"/>
      <c r="AS748" s="296"/>
      <c r="AU748" s="296"/>
      <c r="AV748" s="296"/>
      <c r="AW748" s="296"/>
    </row>
    <row r="749" spans="2:49" ht="13">
      <c r="B749" s="294"/>
      <c r="C749" s="294"/>
      <c r="D749" s="294"/>
      <c r="E749" s="294"/>
      <c r="F749" s="171"/>
      <c r="G749" s="294"/>
      <c r="H749" s="294"/>
      <c r="I749" s="294"/>
      <c r="J749" s="294"/>
      <c r="K749" s="294"/>
      <c r="L749" s="294"/>
      <c r="T749" s="295"/>
      <c r="AA749" s="295"/>
      <c r="AH749" s="295"/>
      <c r="AI749" s="188"/>
      <c r="AJ749" s="188"/>
      <c r="AK749" s="188"/>
      <c r="AL749" s="188"/>
      <c r="AM749" s="188"/>
      <c r="AN749" s="188"/>
      <c r="AO749" s="299"/>
      <c r="AQ749" s="296"/>
      <c r="AR749" s="296"/>
      <c r="AS749" s="296"/>
      <c r="AU749" s="296"/>
      <c r="AV749" s="296"/>
      <c r="AW749" s="296"/>
    </row>
    <row r="750" spans="2:49" ht="13">
      <c r="B750" s="294"/>
      <c r="C750" s="294"/>
      <c r="D750" s="294"/>
      <c r="E750" s="294"/>
      <c r="F750" s="171"/>
      <c r="G750" s="294"/>
      <c r="H750" s="294"/>
      <c r="I750" s="294"/>
      <c r="J750" s="294"/>
      <c r="K750" s="294"/>
      <c r="L750" s="294"/>
      <c r="T750" s="295"/>
      <c r="AA750" s="295"/>
      <c r="AH750" s="295"/>
      <c r="AI750" s="188"/>
      <c r="AJ750" s="188"/>
      <c r="AK750" s="188"/>
      <c r="AL750" s="188"/>
      <c r="AM750" s="188"/>
      <c r="AN750" s="188"/>
      <c r="AO750" s="299"/>
      <c r="AQ750" s="296"/>
      <c r="AR750" s="296"/>
      <c r="AS750" s="296"/>
      <c r="AU750" s="296"/>
      <c r="AV750" s="296"/>
      <c r="AW750" s="296"/>
    </row>
    <row r="751" spans="2:49" ht="13">
      <c r="B751" s="294"/>
      <c r="C751" s="294"/>
      <c r="D751" s="294"/>
      <c r="E751" s="294"/>
      <c r="F751" s="171"/>
      <c r="G751" s="294"/>
      <c r="H751" s="294"/>
      <c r="I751" s="294"/>
      <c r="J751" s="294"/>
      <c r="K751" s="294"/>
      <c r="L751" s="294"/>
      <c r="T751" s="295"/>
      <c r="AA751" s="295"/>
      <c r="AH751" s="295"/>
      <c r="AI751" s="188"/>
      <c r="AJ751" s="188"/>
      <c r="AK751" s="188"/>
      <c r="AL751" s="188"/>
      <c r="AM751" s="188"/>
      <c r="AN751" s="188"/>
      <c r="AO751" s="299"/>
      <c r="AQ751" s="296"/>
      <c r="AR751" s="296"/>
      <c r="AS751" s="296"/>
      <c r="AU751" s="296"/>
      <c r="AV751" s="296"/>
      <c r="AW751" s="296"/>
    </row>
    <row r="752" spans="2:49" ht="13">
      <c r="B752" s="294"/>
      <c r="C752" s="294"/>
      <c r="D752" s="294"/>
      <c r="E752" s="294"/>
      <c r="F752" s="171"/>
      <c r="G752" s="294"/>
      <c r="H752" s="294"/>
      <c r="I752" s="294"/>
      <c r="J752" s="294"/>
      <c r="K752" s="294"/>
      <c r="L752" s="294"/>
      <c r="T752" s="295"/>
      <c r="AA752" s="295"/>
      <c r="AH752" s="295"/>
      <c r="AI752" s="188"/>
      <c r="AJ752" s="188"/>
      <c r="AK752" s="188"/>
      <c r="AL752" s="188"/>
      <c r="AM752" s="188"/>
      <c r="AN752" s="188"/>
      <c r="AO752" s="299"/>
      <c r="AQ752" s="296"/>
      <c r="AR752" s="296"/>
      <c r="AS752" s="296"/>
      <c r="AU752" s="296"/>
      <c r="AV752" s="296"/>
      <c r="AW752" s="296"/>
    </row>
    <row r="753" spans="2:49" ht="13">
      <c r="B753" s="294"/>
      <c r="C753" s="294"/>
      <c r="D753" s="294"/>
      <c r="E753" s="294"/>
      <c r="F753" s="171"/>
      <c r="G753" s="294"/>
      <c r="H753" s="294"/>
      <c r="I753" s="294"/>
      <c r="J753" s="294"/>
      <c r="K753" s="294"/>
      <c r="L753" s="294"/>
      <c r="T753" s="295"/>
      <c r="AA753" s="295"/>
      <c r="AH753" s="295"/>
      <c r="AI753" s="188"/>
      <c r="AJ753" s="188"/>
      <c r="AK753" s="188"/>
      <c r="AL753" s="188"/>
      <c r="AM753" s="188"/>
      <c r="AN753" s="188"/>
      <c r="AO753" s="299"/>
      <c r="AQ753" s="296"/>
      <c r="AR753" s="296"/>
      <c r="AS753" s="296"/>
      <c r="AU753" s="296"/>
      <c r="AV753" s="296"/>
      <c r="AW753" s="296"/>
    </row>
    <row r="754" spans="2:49" ht="13">
      <c r="B754" s="294"/>
      <c r="C754" s="294"/>
      <c r="D754" s="294"/>
      <c r="E754" s="294"/>
      <c r="F754" s="171"/>
      <c r="G754" s="294"/>
      <c r="H754" s="294"/>
      <c r="I754" s="294"/>
      <c r="J754" s="294"/>
      <c r="K754" s="294"/>
      <c r="L754" s="294"/>
      <c r="T754" s="295"/>
      <c r="AA754" s="295"/>
      <c r="AH754" s="295"/>
      <c r="AI754" s="188"/>
      <c r="AJ754" s="188"/>
      <c r="AK754" s="188"/>
      <c r="AL754" s="188"/>
      <c r="AM754" s="188"/>
      <c r="AN754" s="188"/>
      <c r="AO754" s="299"/>
      <c r="AQ754" s="296"/>
      <c r="AR754" s="296"/>
      <c r="AS754" s="296"/>
      <c r="AU754" s="296"/>
      <c r="AV754" s="296"/>
      <c r="AW754" s="296"/>
    </row>
    <row r="755" spans="2:49" ht="13">
      <c r="B755" s="294"/>
      <c r="C755" s="294"/>
      <c r="D755" s="294"/>
      <c r="E755" s="294"/>
      <c r="F755" s="171"/>
      <c r="G755" s="294"/>
      <c r="H755" s="294"/>
      <c r="I755" s="294"/>
      <c r="J755" s="294"/>
      <c r="K755" s="294"/>
      <c r="L755" s="294"/>
      <c r="T755" s="295"/>
      <c r="AA755" s="295"/>
      <c r="AH755" s="295"/>
      <c r="AI755" s="188"/>
      <c r="AJ755" s="188"/>
      <c r="AK755" s="188"/>
      <c r="AL755" s="188"/>
      <c r="AM755" s="188"/>
      <c r="AN755" s="188"/>
      <c r="AO755" s="299"/>
      <c r="AQ755" s="296"/>
      <c r="AR755" s="296"/>
      <c r="AS755" s="296"/>
      <c r="AU755" s="296"/>
      <c r="AV755" s="296"/>
      <c r="AW755" s="296"/>
    </row>
    <row r="756" spans="2:49" ht="13">
      <c r="B756" s="294"/>
      <c r="C756" s="294"/>
      <c r="D756" s="294"/>
      <c r="E756" s="294"/>
      <c r="F756" s="171"/>
      <c r="G756" s="294"/>
      <c r="H756" s="294"/>
      <c r="I756" s="294"/>
      <c r="J756" s="294"/>
      <c r="K756" s="294"/>
      <c r="L756" s="294"/>
      <c r="T756" s="295"/>
      <c r="AA756" s="295"/>
      <c r="AH756" s="295"/>
      <c r="AI756" s="188"/>
      <c r="AJ756" s="188"/>
      <c r="AK756" s="188"/>
      <c r="AL756" s="188"/>
      <c r="AM756" s="188"/>
      <c r="AN756" s="188"/>
      <c r="AO756" s="299"/>
      <c r="AQ756" s="296"/>
      <c r="AR756" s="296"/>
      <c r="AS756" s="296"/>
      <c r="AU756" s="296"/>
      <c r="AV756" s="296"/>
      <c r="AW756" s="296"/>
    </row>
    <row r="757" spans="2:49" ht="13">
      <c r="B757" s="294"/>
      <c r="C757" s="294"/>
      <c r="D757" s="294"/>
      <c r="E757" s="294"/>
      <c r="F757" s="171"/>
      <c r="G757" s="294"/>
      <c r="H757" s="294"/>
      <c r="I757" s="294"/>
      <c r="J757" s="294"/>
      <c r="K757" s="294"/>
      <c r="L757" s="294"/>
      <c r="T757" s="295"/>
      <c r="AA757" s="295"/>
      <c r="AH757" s="295"/>
      <c r="AI757" s="188"/>
      <c r="AJ757" s="188"/>
      <c r="AK757" s="188"/>
      <c r="AL757" s="188"/>
      <c r="AM757" s="188"/>
      <c r="AN757" s="188"/>
      <c r="AO757" s="299"/>
      <c r="AQ757" s="296"/>
      <c r="AR757" s="296"/>
      <c r="AS757" s="296"/>
      <c r="AU757" s="296"/>
      <c r="AV757" s="296"/>
      <c r="AW757" s="296"/>
    </row>
    <row r="758" spans="2:49" ht="13">
      <c r="B758" s="294"/>
      <c r="C758" s="294"/>
      <c r="D758" s="294"/>
      <c r="E758" s="294"/>
      <c r="F758" s="171"/>
      <c r="G758" s="294"/>
      <c r="H758" s="294"/>
      <c r="I758" s="294"/>
      <c r="J758" s="294"/>
      <c r="K758" s="294"/>
      <c r="L758" s="294"/>
      <c r="T758" s="295"/>
      <c r="AA758" s="295"/>
      <c r="AH758" s="295"/>
      <c r="AI758" s="188"/>
      <c r="AJ758" s="188"/>
      <c r="AK758" s="188"/>
      <c r="AL758" s="188"/>
      <c r="AM758" s="188"/>
      <c r="AN758" s="188"/>
      <c r="AO758" s="299"/>
      <c r="AQ758" s="296"/>
      <c r="AR758" s="296"/>
      <c r="AS758" s="296"/>
      <c r="AU758" s="296"/>
      <c r="AV758" s="296"/>
      <c r="AW758" s="296"/>
    </row>
    <row r="759" spans="2:49" ht="13">
      <c r="B759" s="294"/>
      <c r="C759" s="294"/>
      <c r="D759" s="294"/>
      <c r="E759" s="294"/>
      <c r="F759" s="171"/>
      <c r="G759" s="294"/>
      <c r="H759" s="294"/>
      <c r="I759" s="294"/>
      <c r="J759" s="294"/>
      <c r="K759" s="294"/>
      <c r="L759" s="294"/>
      <c r="T759" s="295"/>
      <c r="AA759" s="295"/>
      <c r="AH759" s="295"/>
      <c r="AI759" s="188"/>
      <c r="AJ759" s="188"/>
      <c r="AK759" s="188"/>
      <c r="AL759" s="188"/>
      <c r="AM759" s="188"/>
      <c r="AN759" s="188"/>
      <c r="AO759" s="299"/>
      <c r="AQ759" s="296"/>
      <c r="AR759" s="296"/>
      <c r="AS759" s="296"/>
      <c r="AU759" s="296"/>
      <c r="AV759" s="296"/>
      <c r="AW759" s="296"/>
    </row>
    <row r="760" spans="2:49" ht="13">
      <c r="B760" s="294"/>
      <c r="C760" s="294"/>
      <c r="D760" s="294"/>
      <c r="E760" s="294"/>
      <c r="F760" s="171"/>
      <c r="G760" s="294"/>
      <c r="H760" s="294"/>
      <c r="I760" s="294"/>
      <c r="J760" s="294"/>
      <c r="K760" s="294"/>
      <c r="L760" s="294"/>
      <c r="T760" s="295"/>
      <c r="AA760" s="295"/>
      <c r="AH760" s="295"/>
      <c r="AI760" s="188"/>
      <c r="AJ760" s="188"/>
      <c r="AK760" s="188"/>
      <c r="AL760" s="188"/>
      <c r="AM760" s="188"/>
      <c r="AN760" s="188"/>
      <c r="AO760" s="299"/>
      <c r="AQ760" s="296"/>
      <c r="AR760" s="296"/>
      <c r="AS760" s="296"/>
      <c r="AU760" s="296"/>
      <c r="AV760" s="296"/>
      <c r="AW760" s="296"/>
    </row>
    <row r="761" spans="2:49" ht="13">
      <c r="B761" s="294"/>
      <c r="C761" s="294"/>
      <c r="D761" s="294"/>
      <c r="E761" s="294"/>
      <c r="F761" s="171"/>
      <c r="G761" s="294"/>
      <c r="H761" s="294"/>
      <c r="I761" s="294"/>
      <c r="J761" s="294"/>
      <c r="K761" s="294"/>
      <c r="L761" s="294"/>
      <c r="T761" s="295"/>
      <c r="AA761" s="295"/>
      <c r="AH761" s="295"/>
      <c r="AI761" s="188"/>
      <c r="AJ761" s="188"/>
      <c r="AK761" s="188"/>
      <c r="AL761" s="188"/>
      <c r="AM761" s="188"/>
      <c r="AN761" s="188"/>
      <c r="AO761" s="299"/>
      <c r="AQ761" s="296"/>
      <c r="AR761" s="296"/>
      <c r="AS761" s="296"/>
      <c r="AU761" s="296"/>
      <c r="AV761" s="296"/>
      <c r="AW761" s="296"/>
    </row>
    <row r="762" spans="2:49" ht="13">
      <c r="B762" s="294"/>
      <c r="C762" s="294"/>
      <c r="D762" s="294"/>
      <c r="E762" s="294"/>
      <c r="F762" s="171"/>
      <c r="G762" s="294"/>
      <c r="H762" s="294"/>
      <c r="I762" s="294"/>
      <c r="J762" s="294"/>
      <c r="K762" s="294"/>
      <c r="L762" s="294"/>
      <c r="T762" s="295"/>
      <c r="AA762" s="295"/>
      <c r="AH762" s="295"/>
      <c r="AI762" s="188"/>
      <c r="AJ762" s="188"/>
      <c r="AK762" s="188"/>
      <c r="AL762" s="188"/>
      <c r="AM762" s="188"/>
      <c r="AN762" s="188"/>
      <c r="AO762" s="299"/>
      <c r="AQ762" s="296"/>
      <c r="AR762" s="296"/>
      <c r="AS762" s="296"/>
      <c r="AU762" s="296"/>
      <c r="AV762" s="296"/>
      <c r="AW762" s="296"/>
    </row>
    <row r="763" spans="2:49" ht="13">
      <c r="B763" s="294"/>
      <c r="C763" s="294"/>
      <c r="D763" s="294"/>
      <c r="E763" s="294"/>
      <c r="F763" s="171"/>
      <c r="G763" s="294"/>
      <c r="H763" s="294"/>
      <c r="I763" s="294"/>
      <c r="J763" s="294"/>
      <c r="K763" s="294"/>
      <c r="L763" s="294"/>
      <c r="T763" s="295"/>
      <c r="AA763" s="295"/>
      <c r="AH763" s="295"/>
      <c r="AI763" s="188"/>
      <c r="AJ763" s="188"/>
      <c r="AK763" s="188"/>
      <c r="AL763" s="188"/>
      <c r="AM763" s="188"/>
      <c r="AN763" s="188"/>
      <c r="AO763" s="299"/>
      <c r="AQ763" s="296"/>
      <c r="AR763" s="296"/>
      <c r="AS763" s="296"/>
      <c r="AU763" s="296"/>
      <c r="AV763" s="296"/>
      <c r="AW763" s="296"/>
    </row>
    <row r="764" spans="2:49" ht="13">
      <c r="B764" s="294"/>
      <c r="C764" s="294"/>
      <c r="D764" s="294"/>
      <c r="E764" s="294"/>
      <c r="F764" s="171"/>
      <c r="G764" s="294"/>
      <c r="H764" s="294"/>
      <c r="I764" s="294"/>
      <c r="J764" s="294"/>
      <c r="K764" s="294"/>
      <c r="L764" s="294"/>
      <c r="T764" s="295"/>
      <c r="AA764" s="295"/>
      <c r="AH764" s="295"/>
      <c r="AI764" s="188"/>
      <c r="AJ764" s="188"/>
      <c r="AK764" s="188"/>
      <c r="AL764" s="188"/>
      <c r="AM764" s="188"/>
      <c r="AN764" s="188"/>
      <c r="AO764" s="299"/>
      <c r="AQ764" s="296"/>
      <c r="AR764" s="296"/>
      <c r="AS764" s="296"/>
      <c r="AU764" s="296"/>
      <c r="AV764" s="296"/>
      <c r="AW764" s="296"/>
    </row>
    <row r="765" spans="2:49" ht="13">
      <c r="B765" s="294"/>
      <c r="C765" s="294"/>
      <c r="D765" s="294"/>
      <c r="E765" s="294"/>
      <c r="F765" s="171"/>
      <c r="G765" s="294"/>
      <c r="H765" s="294"/>
      <c r="I765" s="294"/>
      <c r="J765" s="294"/>
      <c r="K765" s="294"/>
      <c r="L765" s="294"/>
      <c r="T765" s="295"/>
      <c r="AA765" s="295"/>
      <c r="AH765" s="295"/>
      <c r="AI765" s="188"/>
      <c r="AJ765" s="188"/>
      <c r="AK765" s="188"/>
      <c r="AL765" s="188"/>
      <c r="AM765" s="188"/>
      <c r="AN765" s="188"/>
      <c r="AO765" s="299"/>
      <c r="AQ765" s="296"/>
      <c r="AR765" s="296"/>
      <c r="AS765" s="296"/>
      <c r="AU765" s="296"/>
      <c r="AV765" s="296"/>
      <c r="AW765" s="296"/>
    </row>
    <row r="766" spans="2:49" ht="13">
      <c r="B766" s="294"/>
      <c r="C766" s="294"/>
      <c r="D766" s="294"/>
      <c r="E766" s="294"/>
      <c r="F766" s="171"/>
      <c r="G766" s="294"/>
      <c r="H766" s="294"/>
      <c r="I766" s="294"/>
      <c r="J766" s="294"/>
      <c r="K766" s="294"/>
      <c r="L766" s="294"/>
      <c r="T766" s="295"/>
      <c r="AA766" s="295"/>
      <c r="AH766" s="295"/>
      <c r="AI766" s="188"/>
      <c r="AJ766" s="188"/>
      <c r="AK766" s="188"/>
      <c r="AL766" s="188"/>
      <c r="AM766" s="188"/>
      <c r="AN766" s="188"/>
      <c r="AO766" s="299"/>
      <c r="AQ766" s="296"/>
      <c r="AR766" s="296"/>
      <c r="AS766" s="296"/>
      <c r="AU766" s="296"/>
      <c r="AV766" s="296"/>
      <c r="AW766" s="296"/>
    </row>
    <row r="767" spans="2:49" ht="13">
      <c r="B767" s="294"/>
      <c r="C767" s="294"/>
      <c r="D767" s="294"/>
      <c r="E767" s="294"/>
      <c r="F767" s="171"/>
      <c r="G767" s="294"/>
      <c r="H767" s="294"/>
      <c r="I767" s="294"/>
      <c r="J767" s="294"/>
      <c r="K767" s="294"/>
      <c r="L767" s="294"/>
      <c r="T767" s="295"/>
      <c r="AA767" s="295"/>
      <c r="AH767" s="295"/>
      <c r="AI767" s="188"/>
      <c r="AJ767" s="188"/>
      <c r="AK767" s="188"/>
      <c r="AL767" s="188"/>
      <c r="AM767" s="188"/>
      <c r="AN767" s="188"/>
      <c r="AO767" s="299"/>
      <c r="AQ767" s="296"/>
      <c r="AR767" s="296"/>
      <c r="AS767" s="296"/>
      <c r="AU767" s="296"/>
      <c r="AV767" s="296"/>
      <c r="AW767" s="296"/>
    </row>
    <row r="768" spans="2:49" ht="13">
      <c r="B768" s="294"/>
      <c r="C768" s="294"/>
      <c r="D768" s="294"/>
      <c r="E768" s="294"/>
      <c r="F768" s="171"/>
      <c r="G768" s="294"/>
      <c r="H768" s="294"/>
      <c r="I768" s="294"/>
      <c r="J768" s="294"/>
      <c r="K768" s="294"/>
      <c r="L768" s="294"/>
      <c r="T768" s="295"/>
      <c r="AA768" s="295"/>
      <c r="AH768" s="295"/>
      <c r="AI768" s="188"/>
      <c r="AJ768" s="188"/>
      <c r="AK768" s="188"/>
      <c r="AL768" s="188"/>
      <c r="AM768" s="188"/>
      <c r="AN768" s="188"/>
      <c r="AO768" s="299"/>
      <c r="AQ768" s="296"/>
      <c r="AR768" s="296"/>
      <c r="AS768" s="296"/>
      <c r="AU768" s="296"/>
      <c r="AV768" s="296"/>
      <c r="AW768" s="296"/>
    </row>
    <row r="769" spans="2:49" ht="13">
      <c r="B769" s="294"/>
      <c r="C769" s="294"/>
      <c r="D769" s="294"/>
      <c r="E769" s="294"/>
      <c r="F769" s="171"/>
      <c r="G769" s="294"/>
      <c r="H769" s="294"/>
      <c r="I769" s="294"/>
      <c r="J769" s="294"/>
      <c r="K769" s="294"/>
      <c r="L769" s="294"/>
      <c r="T769" s="295"/>
      <c r="AA769" s="295"/>
      <c r="AH769" s="295"/>
      <c r="AI769" s="188"/>
      <c r="AJ769" s="188"/>
      <c r="AK769" s="188"/>
      <c r="AL769" s="188"/>
      <c r="AM769" s="188"/>
      <c r="AN769" s="188"/>
      <c r="AO769" s="299"/>
      <c r="AQ769" s="296"/>
      <c r="AR769" s="296"/>
      <c r="AS769" s="296"/>
      <c r="AU769" s="296"/>
      <c r="AV769" s="296"/>
      <c r="AW769" s="296"/>
    </row>
    <row r="770" spans="2:49" ht="13">
      <c r="B770" s="294"/>
      <c r="C770" s="294"/>
      <c r="D770" s="294"/>
      <c r="E770" s="294"/>
      <c r="F770" s="171"/>
      <c r="G770" s="294"/>
      <c r="H770" s="294"/>
      <c r="I770" s="294"/>
      <c r="J770" s="294"/>
      <c r="K770" s="294"/>
      <c r="L770" s="294"/>
      <c r="T770" s="295"/>
      <c r="AA770" s="295"/>
      <c r="AH770" s="295"/>
      <c r="AI770" s="188"/>
      <c r="AJ770" s="188"/>
      <c r="AK770" s="188"/>
      <c r="AL770" s="188"/>
      <c r="AM770" s="188"/>
      <c r="AN770" s="188"/>
      <c r="AO770" s="299"/>
      <c r="AQ770" s="296"/>
      <c r="AR770" s="296"/>
      <c r="AS770" s="296"/>
      <c r="AU770" s="296"/>
      <c r="AV770" s="296"/>
      <c r="AW770" s="296"/>
    </row>
    <row r="771" spans="2:49" ht="13">
      <c r="B771" s="294"/>
      <c r="C771" s="294"/>
      <c r="D771" s="294"/>
      <c r="E771" s="294"/>
      <c r="F771" s="171"/>
      <c r="G771" s="294"/>
      <c r="H771" s="294"/>
      <c r="I771" s="294"/>
      <c r="J771" s="294"/>
      <c r="K771" s="294"/>
      <c r="L771" s="294"/>
      <c r="T771" s="295"/>
      <c r="AA771" s="295"/>
      <c r="AH771" s="295"/>
      <c r="AI771" s="188"/>
      <c r="AJ771" s="188"/>
      <c r="AK771" s="188"/>
      <c r="AL771" s="188"/>
      <c r="AM771" s="188"/>
      <c r="AN771" s="188"/>
      <c r="AO771" s="299"/>
      <c r="AQ771" s="296"/>
      <c r="AR771" s="296"/>
      <c r="AS771" s="296"/>
      <c r="AU771" s="296"/>
      <c r="AV771" s="296"/>
      <c r="AW771" s="296"/>
    </row>
    <row r="772" spans="2:49" ht="13">
      <c r="B772" s="294"/>
      <c r="C772" s="294"/>
      <c r="D772" s="294"/>
      <c r="E772" s="294"/>
      <c r="F772" s="171"/>
      <c r="G772" s="294"/>
      <c r="H772" s="294"/>
      <c r="I772" s="294"/>
      <c r="J772" s="294"/>
      <c r="K772" s="294"/>
      <c r="L772" s="294"/>
      <c r="T772" s="295"/>
      <c r="AA772" s="295"/>
      <c r="AH772" s="295"/>
      <c r="AI772" s="188"/>
      <c r="AJ772" s="188"/>
      <c r="AK772" s="188"/>
      <c r="AL772" s="188"/>
      <c r="AM772" s="188"/>
      <c r="AN772" s="188"/>
      <c r="AO772" s="299"/>
      <c r="AQ772" s="296"/>
      <c r="AR772" s="296"/>
      <c r="AS772" s="296"/>
      <c r="AU772" s="296"/>
      <c r="AV772" s="296"/>
      <c r="AW772" s="296"/>
    </row>
    <row r="773" spans="2:49" ht="13">
      <c r="B773" s="294"/>
      <c r="C773" s="294"/>
      <c r="D773" s="294"/>
      <c r="E773" s="294"/>
      <c r="F773" s="171"/>
      <c r="G773" s="294"/>
      <c r="H773" s="294"/>
      <c r="I773" s="294"/>
      <c r="J773" s="294"/>
      <c r="K773" s="294"/>
      <c r="L773" s="294"/>
      <c r="T773" s="295"/>
      <c r="AA773" s="295"/>
      <c r="AH773" s="295"/>
      <c r="AI773" s="188"/>
      <c r="AJ773" s="188"/>
      <c r="AK773" s="188"/>
      <c r="AL773" s="188"/>
      <c r="AM773" s="188"/>
      <c r="AN773" s="188"/>
      <c r="AO773" s="299"/>
      <c r="AQ773" s="296"/>
      <c r="AR773" s="296"/>
      <c r="AS773" s="296"/>
      <c r="AU773" s="296"/>
      <c r="AV773" s="296"/>
      <c r="AW773" s="296"/>
    </row>
    <row r="774" spans="2:49" ht="13">
      <c r="B774" s="294"/>
      <c r="C774" s="294"/>
      <c r="D774" s="294"/>
      <c r="E774" s="294"/>
      <c r="F774" s="171"/>
      <c r="G774" s="294"/>
      <c r="H774" s="294"/>
      <c r="I774" s="294"/>
      <c r="J774" s="294"/>
      <c r="K774" s="294"/>
      <c r="L774" s="294"/>
      <c r="T774" s="295"/>
      <c r="AA774" s="295"/>
      <c r="AH774" s="295"/>
      <c r="AI774" s="188"/>
      <c r="AJ774" s="188"/>
      <c r="AK774" s="188"/>
      <c r="AL774" s="188"/>
      <c r="AM774" s="188"/>
      <c r="AN774" s="188"/>
      <c r="AO774" s="299"/>
      <c r="AQ774" s="296"/>
      <c r="AR774" s="296"/>
      <c r="AS774" s="296"/>
      <c r="AU774" s="296"/>
      <c r="AV774" s="296"/>
      <c r="AW774" s="296"/>
    </row>
    <row r="775" spans="2:49" ht="13">
      <c r="B775" s="294"/>
      <c r="C775" s="294"/>
      <c r="D775" s="294"/>
      <c r="E775" s="294"/>
      <c r="F775" s="171"/>
      <c r="G775" s="294"/>
      <c r="H775" s="294"/>
      <c r="I775" s="294"/>
      <c r="J775" s="294"/>
      <c r="K775" s="294"/>
      <c r="L775" s="294"/>
      <c r="T775" s="295"/>
      <c r="AA775" s="295"/>
      <c r="AH775" s="295"/>
      <c r="AI775" s="188"/>
      <c r="AJ775" s="188"/>
      <c r="AK775" s="188"/>
      <c r="AL775" s="188"/>
      <c r="AM775" s="188"/>
      <c r="AN775" s="188"/>
      <c r="AO775" s="299"/>
      <c r="AQ775" s="296"/>
      <c r="AR775" s="296"/>
      <c r="AS775" s="296"/>
      <c r="AU775" s="296"/>
      <c r="AV775" s="296"/>
      <c r="AW775" s="296"/>
    </row>
    <row r="776" spans="2:49" ht="13">
      <c r="B776" s="294"/>
      <c r="C776" s="294"/>
      <c r="D776" s="294"/>
      <c r="E776" s="294"/>
      <c r="F776" s="171"/>
      <c r="G776" s="294"/>
      <c r="H776" s="294"/>
      <c r="I776" s="294"/>
      <c r="J776" s="294"/>
      <c r="K776" s="294"/>
      <c r="L776" s="294"/>
      <c r="T776" s="295"/>
      <c r="AA776" s="295"/>
      <c r="AH776" s="295"/>
      <c r="AI776" s="188"/>
      <c r="AJ776" s="188"/>
      <c r="AK776" s="188"/>
      <c r="AL776" s="188"/>
      <c r="AM776" s="188"/>
      <c r="AN776" s="188"/>
      <c r="AO776" s="299"/>
      <c r="AQ776" s="296"/>
      <c r="AR776" s="296"/>
      <c r="AS776" s="296"/>
      <c r="AU776" s="296"/>
      <c r="AV776" s="296"/>
      <c r="AW776" s="296"/>
    </row>
    <row r="777" spans="2:49" ht="13">
      <c r="B777" s="294"/>
      <c r="C777" s="294"/>
      <c r="D777" s="294"/>
      <c r="E777" s="294"/>
      <c r="F777" s="171"/>
      <c r="G777" s="294"/>
      <c r="H777" s="294"/>
      <c r="I777" s="294"/>
      <c r="J777" s="294"/>
      <c r="K777" s="294"/>
      <c r="L777" s="294"/>
      <c r="T777" s="295"/>
      <c r="AA777" s="295"/>
      <c r="AH777" s="295"/>
      <c r="AI777" s="188"/>
      <c r="AJ777" s="188"/>
      <c r="AK777" s="188"/>
      <c r="AL777" s="188"/>
      <c r="AM777" s="188"/>
      <c r="AN777" s="188"/>
      <c r="AO777" s="299"/>
      <c r="AQ777" s="296"/>
      <c r="AR777" s="296"/>
      <c r="AS777" s="296"/>
      <c r="AU777" s="296"/>
      <c r="AV777" s="296"/>
      <c r="AW777" s="296"/>
    </row>
    <row r="778" spans="2:49" ht="13">
      <c r="B778" s="294"/>
      <c r="C778" s="294"/>
      <c r="D778" s="294"/>
      <c r="E778" s="294"/>
      <c r="F778" s="171"/>
      <c r="G778" s="294"/>
      <c r="H778" s="294"/>
      <c r="I778" s="294"/>
      <c r="J778" s="294"/>
      <c r="K778" s="294"/>
      <c r="L778" s="294"/>
      <c r="T778" s="295"/>
      <c r="AA778" s="295"/>
      <c r="AH778" s="295"/>
      <c r="AI778" s="188"/>
      <c r="AJ778" s="188"/>
      <c r="AK778" s="188"/>
      <c r="AL778" s="188"/>
      <c r="AM778" s="188"/>
      <c r="AN778" s="188"/>
      <c r="AO778" s="299"/>
      <c r="AQ778" s="296"/>
      <c r="AR778" s="296"/>
      <c r="AS778" s="296"/>
      <c r="AU778" s="296"/>
      <c r="AV778" s="296"/>
      <c r="AW778" s="296"/>
    </row>
    <row r="779" spans="2:49" ht="13">
      <c r="B779" s="294"/>
      <c r="C779" s="294"/>
      <c r="D779" s="294"/>
      <c r="E779" s="294"/>
      <c r="F779" s="171"/>
      <c r="G779" s="294"/>
      <c r="H779" s="294"/>
      <c r="I779" s="294"/>
      <c r="J779" s="294"/>
      <c r="K779" s="294"/>
      <c r="L779" s="294"/>
      <c r="T779" s="295"/>
      <c r="AA779" s="295"/>
      <c r="AH779" s="295"/>
      <c r="AI779" s="188"/>
      <c r="AJ779" s="188"/>
      <c r="AK779" s="188"/>
      <c r="AL779" s="188"/>
      <c r="AM779" s="188"/>
      <c r="AN779" s="188"/>
      <c r="AO779" s="299"/>
      <c r="AQ779" s="296"/>
      <c r="AR779" s="296"/>
      <c r="AS779" s="296"/>
      <c r="AU779" s="296"/>
      <c r="AV779" s="296"/>
      <c r="AW779" s="296"/>
    </row>
    <row r="780" spans="2:49" ht="13">
      <c r="B780" s="294"/>
      <c r="C780" s="294"/>
      <c r="D780" s="294"/>
      <c r="E780" s="294"/>
      <c r="F780" s="171"/>
      <c r="G780" s="294"/>
      <c r="H780" s="294"/>
      <c r="I780" s="294"/>
      <c r="J780" s="294"/>
      <c r="K780" s="294"/>
      <c r="L780" s="294"/>
      <c r="T780" s="295"/>
      <c r="AA780" s="295"/>
      <c r="AH780" s="295"/>
      <c r="AI780" s="188"/>
      <c r="AJ780" s="188"/>
      <c r="AK780" s="188"/>
      <c r="AL780" s="188"/>
      <c r="AM780" s="188"/>
      <c r="AN780" s="188"/>
      <c r="AO780" s="299"/>
      <c r="AQ780" s="296"/>
      <c r="AR780" s="296"/>
      <c r="AS780" s="296"/>
      <c r="AU780" s="296"/>
      <c r="AV780" s="296"/>
      <c r="AW780" s="296"/>
    </row>
    <row r="781" spans="2:49" ht="13">
      <c r="B781" s="294"/>
      <c r="C781" s="294"/>
      <c r="D781" s="294"/>
      <c r="E781" s="294"/>
      <c r="F781" s="171"/>
      <c r="G781" s="294"/>
      <c r="H781" s="294"/>
      <c r="I781" s="294"/>
      <c r="J781" s="294"/>
      <c r="K781" s="294"/>
      <c r="L781" s="294"/>
      <c r="T781" s="295"/>
      <c r="AA781" s="295"/>
      <c r="AH781" s="295"/>
      <c r="AI781" s="188"/>
      <c r="AJ781" s="188"/>
      <c r="AK781" s="188"/>
      <c r="AL781" s="188"/>
      <c r="AM781" s="188"/>
      <c r="AN781" s="188"/>
      <c r="AO781" s="299"/>
      <c r="AQ781" s="296"/>
      <c r="AR781" s="296"/>
      <c r="AS781" s="296"/>
      <c r="AU781" s="296"/>
      <c r="AV781" s="296"/>
      <c r="AW781" s="296"/>
    </row>
    <row r="782" spans="2:49" ht="13">
      <c r="B782" s="294"/>
      <c r="C782" s="294"/>
      <c r="D782" s="294"/>
      <c r="E782" s="294"/>
      <c r="F782" s="171"/>
      <c r="G782" s="294"/>
      <c r="H782" s="294"/>
      <c r="I782" s="294"/>
      <c r="J782" s="294"/>
      <c r="K782" s="294"/>
      <c r="L782" s="294"/>
      <c r="T782" s="295"/>
      <c r="AA782" s="295"/>
      <c r="AH782" s="295"/>
      <c r="AI782" s="188"/>
      <c r="AJ782" s="188"/>
      <c r="AK782" s="188"/>
      <c r="AL782" s="188"/>
      <c r="AM782" s="188"/>
      <c r="AN782" s="188"/>
      <c r="AO782" s="299"/>
      <c r="AQ782" s="296"/>
      <c r="AR782" s="296"/>
      <c r="AS782" s="296"/>
      <c r="AU782" s="296"/>
      <c r="AV782" s="296"/>
      <c r="AW782" s="296"/>
    </row>
    <row r="783" spans="2:49" ht="13">
      <c r="B783" s="294"/>
      <c r="C783" s="294"/>
      <c r="D783" s="294"/>
      <c r="E783" s="294"/>
      <c r="F783" s="171"/>
      <c r="G783" s="294"/>
      <c r="H783" s="294"/>
      <c r="I783" s="294"/>
      <c r="J783" s="294"/>
      <c r="K783" s="294"/>
      <c r="L783" s="294"/>
      <c r="T783" s="295"/>
      <c r="AA783" s="295"/>
      <c r="AH783" s="295"/>
      <c r="AI783" s="188"/>
      <c r="AJ783" s="188"/>
      <c r="AK783" s="188"/>
      <c r="AL783" s="188"/>
      <c r="AM783" s="188"/>
      <c r="AN783" s="188"/>
      <c r="AO783" s="299"/>
      <c r="AQ783" s="296"/>
      <c r="AR783" s="296"/>
      <c r="AS783" s="296"/>
      <c r="AU783" s="296"/>
      <c r="AV783" s="296"/>
      <c r="AW783" s="296"/>
    </row>
    <row r="784" spans="2:49" ht="13">
      <c r="B784" s="294"/>
      <c r="C784" s="294"/>
      <c r="D784" s="294"/>
      <c r="E784" s="294"/>
      <c r="F784" s="171"/>
      <c r="G784" s="294"/>
      <c r="H784" s="294"/>
      <c r="I784" s="294"/>
      <c r="J784" s="294"/>
      <c r="K784" s="294"/>
      <c r="L784" s="294"/>
      <c r="T784" s="295"/>
      <c r="AA784" s="295"/>
      <c r="AH784" s="295"/>
      <c r="AI784" s="188"/>
      <c r="AJ784" s="188"/>
      <c r="AK784" s="188"/>
      <c r="AL784" s="188"/>
      <c r="AM784" s="188"/>
      <c r="AN784" s="188"/>
      <c r="AO784" s="299"/>
      <c r="AQ784" s="296"/>
      <c r="AR784" s="296"/>
      <c r="AS784" s="296"/>
      <c r="AU784" s="296"/>
      <c r="AV784" s="296"/>
      <c r="AW784" s="296"/>
    </row>
    <row r="785" spans="2:49" ht="13">
      <c r="B785" s="294"/>
      <c r="C785" s="294"/>
      <c r="D785" s="294"/>
      <c r="E785" s="294"/>
      <c r="F785" s="171"/>
      <c r="G785" s="294"/>
      <c r="H785" s="294"/>
      <c r="I785" s="294"/>
      <c r="J785" s="294"/>
      <c r="K785" s="294"/>
      <c r="L785" s="294"/>
      <c r="T785" s="295"/>
      <c r="AA785" s="295"/>
      <c r="AH785" s="295"/>
      <c r="AI785" s="188"/>
      <c r="AJ785" s="188"/>
      <c r="AK785" s="188"/>
      <c r="AL785" s="188"/>
      <c r="AM785" s="188"/>
      <c r="AN785" s="188"/>
      <c r="AO785" s="299"/>
      <c r="AQ785" s="296"/>
      <c r="AR785" s="296"/>
      <c r="AS785" s="296"/>
      <c r="AU785" s="296"/>
      <c r="AV785" s="296"/>
      <c r="AW785" s="296"/>
    </row>
    <row r="786" spans="2:49" ht="13">
      <c r="B786" s="294"/>
      <c r="C786" s="294"/>
      <c r="D786" s="294"/>
      <c r="E786" s="294"/>
      <c r="F786" s="171"/>
      <c r="G786" s="294"/>
      <c r="H786" s="294"/>
      <c r="I786" s="294"/>
      <c r="J786" s="294"/>
      <c r="K786" s="294"/>
      <c r="L786" s="294"/>
      <c r="T786" s="295"/>
      <c r="AA786" s="295"/>
      <c r="AH786" s="295"/>
      <c r="AI786" s="188"/>
      <c r="AJ786" s="188"/>
      <c r="AK786" s="188"/>
      <c r="AL786" s="188"/>
      <c r="AM786" s="188"/>
      <c r="AN786" s="188"/>
      <c r="AO786" s="299"/>
      <c r="AQ786" s="296"/>
      <c r="AR786" s="296"/>
      <c r="AS786" s="296"/>
      <c r="AU786" s="296"/>
      <c r="AV786" s="296"/>
      <c r="AW786" s="296"/>
    </row>
    <row r="787" spans="2:49" ht="13">
      <c r="B787" s="294"/>
      <c r="C787" s="294"/>
      <c r="D787" s="294"/>
      <c r="E787" s="294"/>
      <c r="F787" s="171"/>
      <c r="G787" s="294"/>
      <c r="H787" s="294"/>
      <c r="I787" s="294"/>
      <c r="J787" s="294"/>
      <c r="K787" s="294"/>
      <c r="L787" s="294"/>
      <c r="T787" s="295"/>
      <c r="AA787" s="295"/>
      <c r="AH787" s="295"/>
      <c r="AI787" s="188"/>
      <c r="AJ787" s="188"/>
      <c r="AK787" s="188"/>
      <c r="AL787" s="188"/>
      <c r="AM787" s="188"/>
      <c r="AN787" s="188"/>
      <c r="AO787" s="299"/>
      <c r="AQ787" s="296"/>
      <c r="AR787" s="296"/>
      <c r="AS787" s="296"/>
      <c r="AU787" s="296"/>
      <c r="AV787" s="296"/>
      <c r="AW787" s="296"/>
    </row>
    <row r="788" spans="2:49" ht="13">
      <c r="B788" s="294"/>
      <c r="C788" s="294"/>
      <c r="D788" s="294"/>
      <c r="E788" s="294"/>
      <c r="F788" s="171"/>
      <c r="G788" s="294"/>
      <c r="H788" s="294"/>
      <c r="I788" s="294"/>
      <c r="J788" s="294"/>
      <c r="K788" s="294"/>
      <c r="L788" s="294"/>
      <c r="T788" s="295"/>
      <c r="AA788" s="295"/>
      <c r="AH788" s="295"/>
      <c r="AI788" s="188"/>
      <c r="AJ788" s="188"/>
      <c r="AK788" s="188"/>
      <c r="AL788" s="188"/>
      <c r="AM788" s="188"/>
      <c r="AN788" s="188"/>
      <c r="AO788" s="299"/>
      <c r="AQ788" s="296"/>
      <c r="AR788" s="296"/>
      <c r="AS788" s="296"/>
      <c r="AU788" s="296"/>
      <c r="AV788" s="296"/>
      <c r="AW788" s="296"/>
    </row>
    <row r="789" spans="2:49" ht="13">
      <c r="B789" s="294"/>
      <c r="C789" s="294"/>
      <c r="D789" s="294"/>
      <c r="E789" s="294"/>
      <c r="F789" s="171"/>
      <c r="G789" s="294"/>
      <c r="H789" s="294"/>
      <c r="I789" s="294"/>
      <c r="J789" s="294"/>
      <c r="K789" s="294"/>
      <c r="L789" s="294"/>
      <c r="T789" s="295"/>
      <c r="AA789" s="295"/>
      <c r="AH789" s="295"/>
      <c r="AI789" s="188"/>
      <c r="AJ789" s="188"/>
      <c r="AK789" s="188"/>
      <c r="AL789" s="188"/>
      <c r="AM789" s="188"/>
      <c r="AN789" s="188"/>
      <c r="AO789" s="299"/>
      <c r="AQ789" s="296"/>
      <c r="AR789" s="296"/>
      <c r="AS789" s="296"/>
      <c r="AU789" s="296"/>
      <c r="AV789" s="296"/>
      <c r="AW789" s="296"/>
    </row>
    <row r="790" spans="2:49" ht="13">
      <c r="B790" s="294"/>
      <c r="C790" s="294"/>
      <c r="D790" s="294"/>
      <c r="E790" s="294"/>
      <c r="F790" s="171"/>
      <c r="G790" s="294"/>
      <c r="H790" s="294"/>
      <c r="I790" s="294"/>
      <c r="J790" s="294"/>
      <c r="K790" s="294"/>
      <c r="L790" s="294"/>
      <c r="T790" s="295"/>
      <c r="AA790" s="295"/>
      <c r="AH790" s="295"/>
      <c r="AI790" s="188"/>
      <c r="AJ790" s="188"/>
      <c r="AK790" s="188"/>
      <c r="AL790" s="188"/>
      <c r="AM790" s="188"/>
      <c r="AN790" s="188"/>
      <c r="AO790" s="299"/>
      <c r="AQ790" s="296"/>
      <c r="AR790" s="296"/>
      <c r="AS790" s="296"/>
      <c r="AU790" s="296"/>
      <c r="AV790" s="296"/>
      <c r="AW790" s="296"/>
    </row>
    <row r="791" spans="2:49" ht="13">
      <c r="B791" s="294"/>
      <c r="C791" s="294"/>
      <c r="D791" s="294"/>
      <c r="E791" s="294"/>
      <c r="F791" s="171"/>
      <c r="G791" s="294"/>
      <c r="H791" s="294"/>
      <c r="I791" s="294"/>
      <c r="J791" s="294"/>
      <c r="K791" s="294"/>
      <c r="L791" s="294"/>
      <c r="T791" s="295"/>
      <c r="AA791" s="295"/>
      <c r="AH791" s="295"/>
      <c r="AI791" s="188"/>
      <c r="AJ791" s="188"/>
      <c r="AK791" s="188"/>
      <c r="AL791" s="188"/>
      <c r="AM791" s="188"/>
      <c r="AN791" s="188"/>
      <c r="AO791" s="299"/>
      <c r="AQ791" s="296"/>
      <c r="AR791" s="296"/>
      <c r="AS791" s="296"/>
      <c r="AU791" s="296"/>
      <c r="AV791" s="296"/>
      <c r="AW791" s="296"/>
    </row>
    <row r="792" spans="2:49" ht="13">
      <c r="B792" s="294"/>
      <c r="C792" s="294"/>
      <c r="D792" s="294"/>
      <c r="E792" s="294"/>
      <c r="F792" s="171"/>
      <c r="G792" s="294"/>
      <c r="H792" s="294"/>
      <c r="I792" s="294"/>
      <c r="J792" s="294"/>
      <c r="K792" s="294"/>
      <c r="L792" s="294"/>
      <c r="T792" s="295"/>
      <c r="AA792" s="295"/>
      <c r="AH792" s="295"/>
      <c r="AI792" s="188"/>
      <c r="AJ792" s="188"/>
      <c r="AK792" s="188"/>
      <c r="AL792" s="188"/>
      <c r="AM792" s="188"/>
      <c r="AN792" s="188"/>
      <c r="AO792" s="299"/>
      <c r="AQ792" s="296"/>
      <c r="AR792" s="296"/>
      <c r="AS792" s="296"/>
      <c r="AU792" s="296"/>
      <c r="AV792" s="296"/>
      <c r="AW792" s="296"/>
    </row>
    <row r="793" spans="2:49" ht="13">
      <c r="B793" s="294"/>
      <c r="C793" s="294"/>
      <c r="D793" s="294"/>
      <c r="E793" s="294"/>
      <c r="F793" s="171"/>
      <c r="G793" s="294"/>
      <c r="H793" s="294"/>
      <c r="I793" s="294"/>
      <c r="J793" s="294"/>
      <c r="K793" s="294"/>
      <c r="L793" s="294"/>
      <c r="T793" s="295"/>
      <c r="AA793" s="295"/>
      <c r="AH793" s="295"/>
      <c r="AI793" s="188"/>
      <c r="AJ793" s="188"/>
      <c r="AK793" s="188"/>
      <c r="AL793" s="188"/>
      <c r="AM793" s="188"/>
      <c r="AN793" s="188"/>
      <c r="AO793" s="299"/>
      <c r="AQ793" s="296"/>
      <c r="AR793" s="296"/>
      <c r="AS793" s="296"/>
      <c r="AU793" s="296"/>
      <c r="AV793" s="296"/>
      <c r="AW793" s="296"/>
    </row>
    <row r="794" spans="2:49" ht="13">
      <c r="B794" s="294"/>
      <c r="C794" s="294"/>
      <c r="D794" s="294"/>
      <c r="E794" s="294"/>
      <c r="F794" s="171"/>
      <c r="G794" s="294"/>
      <c r="H794" s="294"/>
      <c r="I794" s="294"/>
      <c r="J794" s="294"/>
      <c r="K794" s="294"/>
      <c r="L794" s="294"/>
      <c r="T794" s="295"/>
      <c r="AA794" s="295"/>
      <c r="AH794" s="295"/>
      <c r="AI794" s="188"/>
      <c r="AJ794" s="188"/>
      <c r="AK794" s="188"/>
      <c r="AL794" s="188"/>
      <c r="AM794" s="188"/>
      <c r="AN794" s="188"/>
      <c r="AO794" s="299"/>
      <c r="AQ794" s="296"/>
      <c r="AR794" s="296"/>
      <c r="AS794" s="296"/>
      <c r="AU794" s="296"/>
      <c r="AV794" s="296"/>
      <c r="AW794" s="296"/>
    </row>
    <row r="795" spans="2:49" ht="13">
      <c r="B795" s="294"/>
      <c r="C795" s="294"/>
      <c r="D795" s="294"/>
      <c r="E795" s="294"/>
      <c r="F795" s="171"/>
      <c r="G795" s="294"/>
      <c r="H795" s="294"/>
      <c r="I795" s="294"/>
      <c r="J795" s="294"/>
      <c r="K795" s="294"/>
      <c r="L795" s="294"/>
      <c r="T795" s="295"/>
      <c r="AA795" s="295"/>
      <c r="AH795" s="295"/>
      <c r="AI795" s="188"/>
      <c r="AJ795" s="188"/>
      <c r="AK795" s="188"/>
      <c r="AL795" s="188"/>
      <c r="AM795" s="188"/>
      <c r="AN795" s="188"/>
      <c r="AO795" s="299"/>
      <c r="AQ795" s="296"/>
      <c r="AR795" s="296"/>
      <c r="AS795" s="296"/>
      <c r="AU795" s="296"/>
      <c r="AV795" s="296"/>
      <c r="AW795" s="296"/>
    </row>
    <row r="796" spans="2:49" ht="13">
      <c r="B796" s="294"/>
      <c r="C796" s="294"/>
      <c r="D796" s="294"/>
      <c r="E796" s="294"/>
      <c r="F796" s="171"/>
      <c r="G796" s="294"/>
      <c r="H796" s="294"/>
      <c r="I796" s="294"/>
      <c r="J796" s="294"/>
      <c r="K796" s="294"/>
      <c r="L796" s="294"/>
      <c r="T796" s="295"/>
      <c r="AA796" s="295"/>
      <c r="AH796" s="295"/>
      <c r="AI796" s="188"/>
      <c r="AJ796" s="188"/>
      <c r="AK796" s="188"/>
      <c r="AL796" s="188"/>
      <c r="AM796" s="188"/>
      <c r="AN796" s="188"/>
      <c r="AO796" s="299"/>
      <c r="AQ796" s="296"/>
      <c r="AR796" s="296"/>
      <c r="AS796" s="296"/>
      <c r="AU796" s="296"/>
      <c r="AV796" s="296"/>
      <c r="AW796" s="296"/>
    </row>
    <row r="797" spans="2:49" ht="13">
      <c r="B797" s="294"/>
      <c r="C797" s="294"/>
      <c r="D797" s="294"/>
      <c r="E797" s="294"/>
      <c r="F797" s="171"/>
      <c r="G797" s="294"/>
      <c r="H797" s="294"/>
      <c r="I797" s="294"/>
      <c r="J797" s="294"/>
      <c r="K797" s="294"/>
      <c r="L797" s="294"/>
      <c r="T797" s="295"/>
      <c r="AA797" s="295"/>
      <c r="AH797" s="295"/>
      <c r="AI797" s="188"/>
      <c r="AJ797" s="188"/>
      <c r="AK797" s="188"/>
      <c r="AL797" s="188"/>
      <c r="AM797" s="188"/>
      <c r="AN797" s="188"/>
      <c r="AO797" s="299"/>
      <c r="AQ797" s="296"/>
      <c r="AR797" s="296"/>
      <c r="AS797" s="296"/>
      <c r="AU797" s="296"/>
      <c r="AV797" s="296"/>
      <c r="AW797" s="296"/>
    </row>
    <row r="798" spans="2:49" ht="13">
      <c r="B798" s="294"/>
      <c r="C798" s="294"/>
      <c r="D798" s="294"/>
      <c r="E798" s="294"/>
      <c r="F798" s="171"/>
      <c r="G798" s="294"/>
      <c r="H798" s="294"/>
      <c r="I798" s="294"/>
      <c r="J798" s="294"/>
      <c r="K798" s="294"/>
      <c r="L798" s="294"/>
      <c r="T798" s="295"/>
      <c r="AA798" s="295"/>
      <c r="AH798" s="295"/>
      <c r="AI798" s="188"/>
      <c r="AJ798" s="188"/>
      <c r="AK798" s="188"/>
      <c r="AL798" s="188"/>
      <c r="AM798" s="188"/>
      <c r="AN798" s="188"/>
      <c r="AO798" s="299"/>
      <c r="AQ798" s="296"/>
      <c r="AR798" s="296"/>
      <c r="AS798" s="296"/>
      <c r="AU798" s="296"/>
      <c r="AV798" s="296"/>
      <c r="AW798" s="296"/>
    </row>
    <row r="799" spans="2:49" ht="13">
      <c r="B799" s="294"/>
      <c r="C799" s="294"/>
      <c r="D799" s="294"/>
      <c r="E799" s="294"/>
      <c r="F799" s="171"/>
      <c r="G799" s="294"/>
      <c r="H799" s="294"/>
      <c r="I799" s="294"/>
      <c r="J799" s="294"/>
      <c r="K799" s="294"/>
      <c r="L799" s="294"/>
      <c r="T799" s="295"/>
      <c r="AA799" s="295"/>
      <c r="AH799" s="295"/>
      <c r="AI799" s="188"/>
      <c r="AJ799" s="188"/>
      <c r="AK799" s="188"/>
      <c r="AL799" s="188"/>
      <c r="AM799" s="188"/>
      <c r="AN799" s="188"/>
      <c r="AO799" s="299"/>
      <c r="AQ799" s="296"/>
      <c r="AR799" s="296"/>
      <c r="AS799" s="296"/>
      <c r="AU799" s="296"/>
      <c r="AV799" s="296"/>
      <c r="AW799" s="296"/>
    </row>
    <row r="800" spans="2:49" ht="13">
      <c r="B800" s="294"/>
      <c r="C800" s="294"/>
      <c r="D800" s="294"/>
      <c r="E800" s="294"/>
      <c r="F800" s="171"/>
      <c r="G800" s="294"/>
      <c r="H800" s="294"/>
      <c r="I800" s="294"/>
      <c r="J800" s="294"/>
      <c r="K800" s="294"/>
      <c r="L800" s="294"/>
      <c r="T800" s="295"/>
      <c r="AA800" s="295"/>
      <c r="AH800" s="295"/>
      <c r="AI800" s="188"/>
      <c r="AJ800" s="188"/>
      <c r="AK800" s="188"/>
      <c r="AL800" s="188"/>
      <c r="AM800" s="188"/>
      <c r="AN800" s="188"/>
      <c r="AO800" s="299"/>
      <c r="AQ800" s="296"/>
      <c r="AR800" s="296"/>
      <c r="AS800" s="296"/>
      <c r="AU800" s="296"/>
      <c r="AV800" s="296"/>
      <c r="AW800" s="296"/>
    </row>
    <row r="801" spans="2:49" ht="13">
      <c r="B801" s="294"/>
      <c r="C801" s="294"/>
      <c r="D801" s="294"/>
      <c r="E801" s="294"/>
      <c r="F801" s="171"/>
      <c r="G801" s="294"/>
      <c r="H801" s="294"/>
      <c r="I801" s="294"/>
      <c r="J801" s="294"/>
      <c r="K801" s="294"/>
      <c r="L801" s="294"/>
      <c r="T801" s="295"/>
      <c r="AA801" s="295"/>
      <c r="AH801" s="295"/>
      <c r="AI801" s="188"/>
      <c r="AJ801" s="188"/>
      <c r="AK801" s="188"/>
      <c r="AL801" s="188"/>
      <c r="AM801" s="188"/>
      <c r="AN801" s="188"/>
      <c r="AO801" s="299"/>
      <c r="AQ801" s="296"/>
      <c r="AR801" s="296"/>
      <c r="AS801" s="296"/>
      <c r="AU801" s="296"/>
      <c r="AV801" s="296"/>
      <c r="AW801" s="296"/>
    </row>
    <row r="802" spans="2:49" ht="13">
      <c r="B802" s="294"/>
      <c r="C802" s="294"/>
      <c r="D802" s="294"/>
      <c r="E802" s="294"/>
      <c r="F802" s="171"/>
      <c r="G802" s="294"/>
      <c r="H802" s="294"/>
      <c r="I802" s="294"/>
      <c r="J802" s="294"/>
      <c r="K802" s="294"/>
      <c r="L802" s="294"/>
      <c r="T802" s="295"/>
      <c r="AA802" s="295"/>
      <c r="AH802" s="295"/>
      <c r="AI802" s="188"/>
      <c r="AJ802" s="188"/>
      <c r="AK802" s="188"/>
      <c r="AL802" s="188"/>
      <c r="AM802" s="188"/>
      <c r="AN802" s="188"/>
      <c r="AO802" s="299"/>
      <c r="AQ802" s="296"/>
      <c r="AR802" s="296"/>
      <c r="AS802" s="296"/>
      <c r="AU802" s="296"/>
      <c r="AV802" s="296"/>
      <c r="AW802" s="296"/>
    </row>
    <row r="803" spans="2:49" ht="13">
      <c r="B803" s="294"/>
      <c r="C803" s="294"/>
      <c r="D803" s="294"/>
      <c r="E803" s="294"/>
      <c r="F803" s="171"/>
      <c r="G803" s="294"/>
      <c r="H803" s="294"/>
      <c r="I803" s="294"/>
      <c r="J803" s="294"/>
      <c r="K803" s="294"/>
      <c r="L803" s="294"/>
      <c r="T803" s="295"/>
      <c r="AA803" s="295"/>
      <c r="AH803" s="295"/>
      <c r="AI803" s="188"/>
      <c r="AJ803" s="188"/>
      <c r="AK803" s="188"/>
      <c r="AL803" s="188"/>
      <c r="AM803" s="188"/>
      <c r="AN803" s="188"/>
      <c r="AO803" s="299"/>
      <c r="AQ803" s="296"/>
      <c r="AR803" s="296"/>
      <c r="AS803" s="296"/>
      <c r="AU803" s="296"/>
      <c r="AV803" s="296"/>
      <c r="AW803" s="296"/>
    </row>
    <row r="804" spans="2:49" ht="13">
      <c r="B804" s="294"/>
      <c r="C804" s="294"/>
      <c r="D804" s="294"/>
      <c r="E804" s="294"/>
      <c r="F804" s="171"/>
      <c r="G804" s="294"/>
      <c r="H804" s="294"/>
      <c r="I804" s="294"/>
      <c r="J804" s="294"/>
      <c r="K804" s="294"/>
      <c r="L804" s="294"/>
      <c r="T804" s="295"/>
      <c r="AA804" s="295"/>
      <c r="AH804" s="295"/>
      <c r="AI804" s="188"/>
      <c r="AJ804" s="188"/>
      <c r="AK804" s="188"/>
      <c r="AL804" s="188"/>
      <c r="AM804" s="188"/>
      <c r="AN804" s="188"/>
      <c r="AO804" s="299"/>
      <c r="AQ804" s="296"/>
      <c r="AR804" s="296"/>
      <c r="AS804" s="296"/>
      <c r="AU804" s="296"/>
      <c r="AV804" s="296"/>
      <c r="AW804" s="296"/>
    </row>
    <row r="805" spans="2:49" ht="13">
      <c r="B805" s="294"/>
      <c r="C805" s="294"/>
      <c r="D805" s="294"/>
      <c r="E805" s="294"/>
      <c r="F805" s="171"/>
      <c r="G805" s="294"/>
      <c r="H805" s="294"/>
      <c r="I805" s="294"/>
      <c r="J805" s="294"/>
      <c r="K805" s="294"/>
      <c r="L805" s="294"/>
      <c r="T805" s="295"/>
      <c r="AA805" s="295"/>
      <c r="AH805" s="295"/>
      <c r="AI805" s="188"/>
      <c r="AJ805" s="188"/>
      <c r="AK805" s="188"/>
      <c r="AL805" s="188"/>
      <c r="AM805" s="188"/>
      <c r="AN805" s="188"/>
      <c r="AO805" s="299"/>
      <c r="AQ805" s="296"/>
      <c r="AR805" s="296"/>
      <c r="AS805" s="296"/>
      <c r="AU805" s="296"/>
      <c r="AV805" s="296"/>
      <c r="AW805" s="296"/>
    </row>
    <row r="806" spans="2:49" ht="13">
      <c r="B806" s="294"/>
      <c r="C806" s="294"/>
      <c r="D806" s="294"/>
      <c r="E806" s="294"/>
      <c r="F806" s="171"/>
      <c r="G806" s="294"/>
      <c r="H806" s="294"/>
      <c r="I806" s="294"/>
      <c r="J806" s="294"/>
      <c r="K806" s="294"/>
      <c r="L806" s="294"/>
      <c r="T806" s="295"/>
      <c r="AA806" s="295"/>
      <c r="AH806" s="295"/>
      <c r="AI806" s="188"/>
      <c r="AJ806" s="188"/>
      <c r="AK806" s="188"/>
      <c r="AL806" s="188"/>
      <c r="AM806" s="188"/>
      <c r="AN806" s="188"/>
      <c r="AO806" s="299"/>
      <c r="AQ806" s="296"/>
      <c r="AR806" s="296"/>
      <c r="AS806" s="296"/>
      <c r="AU806" s="296"/>
      <c r="AV806" s="296"/>
      <c r="AW806" s="296"/>
    </row>
    <row r="807" spans="2:49" ht="13">
      <c r="B807" s="294"/>
      <c r="C807" s="294"/>
      <c r="D807" s="294"/>
      <c r="E807" s="294"/>
      <c r="F807" s="171"/>
      <c r="G807" s="294"/>
      <c r="H807" s="294"/>
      <c r="I807" s="294"/>
      <c r="J807" s="294"/>
      <c r="K807" s="294"/>
      <c r="L807" s="294"/>
      <c r="T807" s="295"/>
      <c r="AA807" s="295"/>
      <c r="AH807" s="295"/>
      <c r="AI807" s="188"/>
      <c r="AJ807" s="188"/>
      <c r="AK807" s="188"/>
      <c r="AL807" s="188"/>
      <c r="AM807" s="188"/>
      <c r="AN807" s="188"/>
      <c r="AO807" s="299"/>
      <c r="AQ807" s="296"/>
      <c r="AR807" s="296"/>
      <c r="AS807" s="296"/>
      <c r="AU807" s="296"/>
      <c r="AV807" s="296"/>
      <c r="AW807" s="296"/>
    </row>
    <row r="808" spans="2:49" ht="13">
      <c r="B808" s="294"/>
      <c r="C808" s="294"/>
      <c r="D808" s="294"/>
      <c r="E808" s="294"/>
      <c r="F808" s="171"/>
      <c r="G808" s="294"/>
      <c r="H808" s="294"/>
      <c r="I808" s="294"/>
      <c r="J808" s="294"/>
      <c r="K808" s="294"/>
      <c r="L808" s="294"/>
      <c r="T808" s="295"/>
      <c r="AA808" s="295"/>
      <c r="AH808" s="295"/>
      <c r="AI808" s="188"/>
      <c r="AJ808" s="188"/>
      <c r="AK808" s="188"/>
      <c r="AL808" s="188"/>
      <c r="AM808" s="188"/>
      <c r="AN808" s="188"/>
      <c r="AO808" s="299"/>
      <c r="AQ808" s="296"/>
      <c r="AR808" s="296"/>
      <c r="AS808" s="296"/>
      <c r="AU808" s="296"/>
      <c r="AV808" s="296"/>
      <c r="AW808" s="296"/>
    </row>
    <row r="809" spans="2:49" ht="13">
      <c r="B809" s="294"/>
      <c r="C809" s="294"/>
      <c r="D809" s="294"/>
      <c r="E809" s="294"/>
      <c r="F809" s="171"/>
      <c r="G809" s="294"/>
      <c r="H809" s="294"/>
      <c r="I809" s="294"/>
      <c r="J809" s="294"/>
      <c r="K809" s="294"/>
      <c r="L809" s="294"/>
      <c r="T809" s="295"/>
      <c r="AA809" s="295"/>
      <c r="AH809" s="295"/>
      <c r="AI809" s="188"/>
      <c r="AJ809" s="188"/>
      <c r="AK809" s="188"/>
      <c r="AL809" s="188"/>
      <c r="AM809" s="188"/>
      <c r="AN809" s="188"/>
      <c r="AO809" s="299"/>
      <c r="AQ809" s="296"/>
      <c r="AR809" s="296"/>
      <c r="AS809" s="296"/>
      <c r="AU809" s="296"/>
      <c r="AV809" s="296"/>
      <c r="AW809" s="296"/>
    </row>
    <row r="810" spans="2:49" ht="13">
      <c r="B810" s="294"/>
      <c r="C810" s="294"/>
      <c r="D810" s="294"/>
      <c r="E810" s="294"/>
      <c r="F810" s="171"/>
      <c r="G810" s="294"/>
      <c r="H810" s="294"/>
      <c r="I810" s="294"/>
      <c r="J810" s="294"/>
      <c r="K810" s="294"/>
      <c r="L810" s="294"/>
      <c r="T810" s="295"/>
      <c r="AA810" s="295"/>
      <c r="AH810" s="295"/>
      <c r="AI810" s="188"/>
      <c r="AJ810" s="188"/>
      <c r="AK810" s="188"/>
      <c r="AL810" s="188"/>
      <c r="AM810" s="188"/>
      <c r="AN810" s="188"/>
      <c r="AO810" s="299"/>
      <c r="AQ810" s="296"/>
      <c r="AR810" s="296"/>
      <c r="AS810" s="296"/>
      <c r="AU810" s="296"/>
      <c r="AV810" s="296"/>
      <c r="AW810" s="296"/>
    </row>
    <row r="811" spans="2:49" ht="13">
      <c r="B811" s="294"/>
      <c r="C811" s="294"/>
      <c r="D811" s="294"/>
      <c r="E811" s="294"/>
      <c r="F811" s="171"/>
      <c r="G811" s="294"/>
      <c r="H811" s="294"/>
      <c r="I811" s="294"/>
      <c r="J811" s="294"/>
      <c r="K811" s="294"/>
      <c r="L811" s="294"/>
      <c r="T811" s="295"/>
      <c r="AA811" s="295"/>
      <c r="AH811" s="295"/>
      <c r="AI811" s="188"/>
      <c r="AJ811" s="188"/>
      <c r="AK811" s="188"/>
      <c r="AL811" s="188"/>
      <c r="AM811" s="188"/>
      <c r="AN811" s="188"/>
      <c r="AO811" s="299"/>
      <c r="AQ811" s="296"/>
      <c r="AR811" s="296"/>
      <c r="AS811" s="296"/>
      <c r="AU811" s="296"/>
      <c r="AV811" s="296"/>
      <c r="AW811" s="296"/>
    </row>
    <row r="812" spans="2:49" ht="13">
      <c r="B812" s="294"/>
      <c r="C812" s="294"/>
      <c r="D812" s="294"/>
      <c r="E812" s="294"/>
      <c r="F812" s="171"/>
      <c r="G812" s="294"/>
      <c r="H812" s="294"/>
      <c r="I812" s="294"/>
      <c r="J812" s="294"/>
      <c r="K812" s="294"/>
      <c r="L812" s="294"/>
      <c r="T812" s="295"/>
      <c r="AA812" s="295"/>
      <c r="AH812" s="295"/>
      <c r="AI812" s="188"/>
      <c r="AJ812" s="188"/>
      <c r="AK812" s="188"/>
      <c r="AL812" s="188"/>
      <c r="AM812" s="188"/>
      <c r="AN812" s="188"/>
      <c r="AO812" s="299"/>
      <c r="AQ812" s="296"/>
      <c r="AR812" s="296"/>
      <c r="AS812" s="296"/>
      <c r="AU812" s="296"/>
      <c r="AV812" s="296"/>
      <c r="AW812" s="296"/>
    </row>
    <row r="813" spans="2:49" ht="13">
      <c r="B813" s="294"/>
      <c r="C813" s="294"/>
      <c r="D813" s="294"/>
      <c r="E813" s="294"/>
      <c r="F813" s="171"/>
      <c r="G813" s="294"/>
      <c r="H813" s="294"/>
      <c r="I813" s="294"/>
      <c r="J813" s="294"/>
      <c r="K813" s="294"/>
      <c r="L813" s="294"/>
      <c r="T813" s="295"/>
      <c r="AA813" s="295"/>
      <c r="AH813" s="295"/>
      <c r="AI813" s="188"/>
      <c r="AJ813" s="188"/>
      <c r="AK813" s="188"/>
      <c r="AL813" s="188"/>
      <c r="AM813" s="188"/>
      <c r="AN813" s="188"/>
      <c r="AO813" s="299"/>
      <c r="AQ813" s="296"/>
      <c r="AR813" s="296"/>
      <c r="AS813" s="296"/>
      <c r="AU813" s="296"/>
      <c r="AV813" s="296"/>
      <c r="AW813" s="296"/>
    </row>
    <row r="814" spans="2:49" ht="13">
      <c r="B814" s="294"/>
      <c r="C814" s="294"/>
      <c r="D814" s="294"/>
      <c r="E814" s="294"/>
      <c r="F814" s="171"/>
      <c r="G814" s="294"/>
      <c r="H814" s="294"/>
      <c r="I814" s="294"/>
      <c r="J814" s="294"/>
      <c r="K814" s="294"/>
      <c r="L814" s="294"/>
      <c r="T814" s="295"/>
      <c r="AA814" s="295"/>
      <c r="AH814" s="295"/>
      <c r="AI814" s="188"/>
      <c r="AJ814" s="188"/>
      <c r="AK814" s="188"/>
      <c r="AL814" s="188"/>
      <c r="AM814" s="188"/>
      <c r="AN814" s="188"/>
      <c r="AO814" s="299"/>
      <c r="AQ814" s="296"/>
      <c r="AR814" s="296"/>
      <c r="AS814" s="296"/>
      <c r="AU814" s="296"/>
      <c r="AV814" s="296"/>
      <c r="AW814" s="296"/>
    </row>
    <row r="815" spans="2:49" ht="13">
      <c r="B815" s="294"/>
      <c r="C815" s="294"/>
      <c r="D815" s="294"/>
      <c r="E815" s="294"/>
      <c r="F815" s="171"/>
      <c r="G815" s="294"/>
      <c r="H815" s="294"/>
      <c r="I815" s="294"/>
      <c r="J815" s="294"/>
      <c r="K815" s="294"/>
      <c r="L815" s="294"/>
      <c r="T815" s="295"/>
      <c r="AA815" s="295"/>
      <c r="AH815" s="295"/>
      <c r="AI815" s="188"/>
      <c r="AJ815" s="188"/>
      <c r="AK815" s="188"/>
      <c r="AL815" s="188"/>
      <c r="AM815" s="188"/>
      <c r="AN815" s="188"/>
      <c r="AO815" s="299"/>
      <c r="AQ815" s="296"/>
      <c r="AR815" s="296"/>
      <c r="AS815" s="296"/>
      <c r="AU815" s="296"/>
      <c r="AV815" s="296"/>
      <c r="AW815" s="296"/>
    </row>
    <row r="816" spans="2:49" ht="13">
      <c r="B816" s="294"/>
      <c r="C816" s="294"/>
      <c r="D816" s="294"/>
      <c r="E816" s="294"/>
      <c r="F816" s="171"/>
      <c r="G816" s="294"/>
      <c r="H816" s="294"/>
      <c r="I816" s="294"/>
      <c r="J816" s="294"/>
      <c r="K816" s="294"/>
      <c r="L816" s="294"/>
      <c r="T816" s="295"/>
      <c r="AA816" s="295"/>
      <c r="AH816" s="295"/>
      <c r="AI816" s="188"/>
      <c r="AJ816" s="188"/>
      <c r="AK816" s="188"/>
      <c r="AL816" s="188"/>
      <c r="AM816" s="188"/>
      <c r="AN816" s="188"/>
      <c r="AO816" s="299"/>
      <c r="AQ816" s="296"/>
      <c r="AR816" s="296"/>
      <c r="AS816" s="296"/>
      <c r="AU816" s="296"/>
      <c r="AV816" s="296"/>
      <c r="AW816" s="296"/>
    </row>
    <row r="817" spans="2:49" ht="13">
      <c r="B817" s="294"/>
      <c r="C817" s="294"/>
      <c r="D817" s="294"/>
      <c r="E817" s="294"/>
      <c r="F817" s="171"/>
      <c r="G817" s="294"/>
      <c r="H817" s="294"/>
      <c r="I817" s="294"/>
      <c r="J817" s="294"/>
      <c r="K817" s="294"/>
      <c r="L817" s="294"/>
      <c r="T817" s="295"/>
      <c r="AA817" s="295"/>
      <c r="AH817" s="295"/>
      <c r="AI817" s="188"/>
      <c r="AJ817" s="188"/>
      <c r="AK817" s="188"/>
      <c r="AL817" s="188"/>
      <c r="AM817" s="188"/>
      <c r="AN817" s="188"/>
      <c r="AO817" s="299"/>
      <c r="AQ817" s="296"/>
      <c r="AR817" s="296"/>
      <c r="AS817" s="296"/>
      <c r="AU817" s="296"/>
      <c r="AV817" s="296"/>
      <c r="AW817" s="296"/>
    </row>
    <row r="818" spans="2:49" ht="13">
      <c r="B818" s="294"/>
      <c r="C818" s="294"/>
      <c r="D818" s="294"/>
      <c r="E818" s="294"/>
      <c r="F818" s="171"/>
      <c r="G818" s="294"/>
      <c r="H818" s="294"/>
      <c r="I818" s="294"/>
      <c r="J818" s="294"/>
      <c r="K818" s="294"/>
      <c r="L818" s="294"/>
      <c r="T818" s="295"/>
      <c r="AA818" s="295"/>
      <c r="AH818" s="295"/>
      <c r="AI818" s="188"/>
      <c r="AJ818" s="188"/>
      <c r="AK818" s="188"/>
      <c r="AL818" s="188"/>
      <c r="AM818" s="188"/>
      <c r="AN818" s="188"/>
      <c r="AO818" s="299"/>
      <c r="AQ818" s="296"/>
      <c r="AR818" s="296"/>
      <c r="AS818" s="296"/>
      <c r="AU818" s="296"/>
      <c r="AV818" s="296"/>
      <c r="AW818" s="296"/>
    </row>
    <row r="819" spans="2:49" ht="13">
      <c r="B819" s="294"/>
      <c r="C819" s="294"/>
      <c r="D819" s="294"/>
      <c r="E819" s="294"/>
      <c r="F819" s="171"/>
      <c r="G819" s="294"/>
      <c r="H819" s="294"/>
      <c r="I819" s="294"/>
      <c r="J819" s="294"/>
      <c r="K819" s="294"/>
      <c r="L819" s="294"/>
      <c r="T819" s="295"/>
      <c r="AA819" s="295"/>
      <c r="AH819" s="295"/>
      <c r="AI819" s="188"/>
      <c r="AJ819" s="188"/>
      <c r="AK819" s="188"/>
      <c r="AL819" s="188"/>
      <c r="AM819" s="188"/>
      <c r="AN819" s="188"/>
      <c r="AO819" s="299"/>
      <c r="AQ819" s="296"/>
      <c r="AR819" s="296"/>
      <c r="AS819" s="296"/>
      <c r="AU819" s="296"/>
      <c r="AV819" s="296"/>
      <c r="AW819" s="296"/>
    </row>
    <row r="820" spans="2:49" ht="13">
      <c r="B820" s="294"/>
      <c r="C820" s="294"/>
      <c r="D820" s="294"/>
      <c r="E820" s="294"/>
      <c r="F820" s="171"/>
      <c r="G820" s="294"/>
      <c r="H820" s="294"/>
      <c r="I820" s="294"/>
      <c r="J820" s="294"/>
      <c r="K820" s="294"/>
      <c r="L820" s="294"/>
      <c r="T820" s="295"/>
      <c r="AA820" s="295"/>
      <c r="AH820" s="295"/>
      <c r="AI820" s="188"/>
      <c r="AJ820" s="188"/>
      <c r="AK820" s="188"/>
      <c r="AL820" s="188"/>
      <c r="AM820" s="188"/>
      <c r="AN820" s="188"/>
      <c r="AO820" s="299"/>
      <c r="AQ820" s="296"/>
      <c r="AR820" s="296"/>
      <c r="AS820" s="296"/>
      <c r="AU820" s="296"/>
      <c r="AV820" s="296"/>
      <c r="AW820" s="296"/>
    </row>
    <row r="821" spans="2:49" ht="13">
      <c r="B821" s="294"/>
      <c r="C821" s="294"/>
      <c r="D821" s="294"/>
      <c r="E821" s="294"/>
      <c r="F821" s="171"/>
      <c r="G821" s="294"/>
      <c r="H821" s="294"/>
      <c r="I821" s="294"/>
      <c r="J821" s="294"/>
      <c r="K821" s="294"/>
      <c r="L821" s="294"/>
      <c r="T821" s="295"/>
      <c r="AA821" s="295"/>
      <c r="AH821" s="295"/>
      <c r="AI821" s="188"/>
      <c r="AJ821" s="188"/>
      <c r="AK821" s="188"/>
      <c r="AL821" s="188"/>
      <c r="AM821" s="188"/>
      <c r="AN821" s="188"/>
      <c r="AO821" s="299"/>
      <c r="AQ821" s="296"/>
      <c r="AR821" s="296"/>
      <c r="AS821" s="296"/>
      <c r="AU821" s="296"/>
      <c r="AV821" s="296"/>
      <c r="AW821" s="296"/>
    </row>
    <row r="822" spans="2:49" ht="13">
      <c r="B822" s="294"/>
      <c r="C822" s="294"/>
      <c r="D822" s="294"/>
      <c r="E822" s="294"/>
      <c r="F822" s="171"/>
      <c r="G822" s="294"/>
      <c r="H822" s="294"/>
      <c r="I822" s="294"/>
      <c r="J822" s="294"/>
      <c r="K822" s="294"/>
      <c r="L822" s="294"/>
      <c r="T822" s="295"/>
      <c r="AA822" s="295"/>
      <c r="AH822" s="295"/>
      <c r="AI822" s="188"/>
      <c r="AJ822" s="188"/>
      <c r="AK822" s="188"/>
      <c r="AL822" s="188"/>
      <c r="AM822" s="188"/>
      <c r="AN822" s="188"/>
      <c r="AO822" s="299"/>
      <c r="AQ822" s="296"/>
      <c r="AR822" s="296"/>
      <c r="AS822" s="296"/>
      <c r="AU822" s="296"/>
      <c r="AV822" s="296"/>
      <c r="AW822" s="296"/>
    </row>
    <row r="823" spans="2:49" ht="13">
      <c r="B823" s="294"/>
      <c r="C823" s="294"/>
      <c r="D823" s="294"/>
      <c r="E823" s="294"/>
      <c r="F823" s="171"/>
      <c r="G823" s="294"/>
      <c r="H823" s="294"/>
      <c r="I823" s="294"/>
      <c r="J823" s="294"/>
      <c r="K823" s="294"/>
      <c r="L823" s="294"/>
      <c r="T823" s="295"/>
      <c r="AA823" s="295"/>
      <c r="AH823" s="295"/>
      <c r="AI823" s="188"/>
      <c r="AJ823" s="188"/>
      <c r="AK823" s="188"/>
      <c r="AL823" s="188"/>
      <c r="AM823" s="188"/>
      <c r="AN823" s="188"/>
      <c r="AO823" s="299"/>
      <c r="AQ823" s="296"/>
      <c r="AR823" s="296"/>
      <c r="AS823" s="296"/>
      <c r="AU823" s="296"/>
      <c r="AV823" s="296"/>
      <c r="AW823" s="296"/>
    </row>
    <row r="824" spans="2:49" ht="13">
      <c r="B824" s="294"/>
      <c r="C824" s="294"/>
      <c r="D824" s="294"/>
      <c r="E824" s="294"/>
      <c r="F824" s="171"/>
      <c r="G824" s="294"/>
      <c r="H824" s="294"/>
      <c r="I824" s="294"/>
      <c r="J824" s="294"/>
      <c r="K824" s="294"/>
      <c r="L824" s="294"/>
      <c r="T824" s="295"/>
      <c r="AA824" s="295"/>
      <c r="AH824" s="295"/>
      <c r="AI824" s="188"/>
      <c r="AJ824" s="188"/>
      <c r="AK824" s="188"/>
      <c r="AL824" s="188"/>
      <c r="AM824" s="188"/>
      <c r="AN824" s="188"/>
      <c r="AO824" s="299"/>
      <c r="AQ824" s="296"/>
      <c r="AR824" s="296"/>
      <c r="AS824" s="296"/>
      <c r="AU824" s="296"/>
      <c r="AV824" s="296"/>
      <c r="AW824" s="296"/>
    </row>
    <row r="825" spans="2:49" ht="13">
      <c r="B825" s="294"/>
      <c r="C825" s="294"/>
      <c r="D825" s="294"/>
      <c r="E825" s="294"/>
      <c r="F825" s="171"/>
      <c r="G825" s="294"/>
      <c r="H825" s="294"/>
      <c r="I825" s="294"/>
      <c r="J825" s="294"/>
      <c r="K825" s="294"/>
      <c r="L825" s="294"/>
      <c r="T825" s="295"/>
      <c r="AA825" s="295"/>
      <c r="AH825" s="295"/>
      <c r="AI825" s="188"/>
      <c r="AJ825" s="188"/>
      <c r="AK825" s="188"/>
      <c r="AL825" s="188"/>
      <c r="AM825" s="188"/>
      <c r="AN825" s="188"/>
      <c r="AO825" s="299"/>
      <c r="AQ825" s="296"/>
      <c r="AR825" s="296"/>
      <c r="AS825" s="296"/>
      <c r="AU825" s="296"/>
      <c r="AV825" s="296"/>
      <c r="AW825" s="296"/>
    </row>
    <row r="826" spans="2:49" ht="13">
      <c r="B826" s="294"/>
      <c r="C826" s="294"/>
      <c r="D826" s="294"/>
      <c r="E826" s="294"/>
      <c r="F826" s="171"/>
      <c r="G826" s="294"/>
      <c r="H826" s="294"/>
      <c r="I826" s="294"/>
      <c r="J826" s="294"/>
      <c r="K826" s="294"/>
      <c r="L826" s="294"/>
      <c r="T826" s="295"/>
      <c r="AA826" s="295"/>
      <c r="AH826" s="295"/>
      <c r="AI826" s="188"/>
      <c r="AJ826" s="188"/>
      <c r="AK826" s="188"/>
      <c r="AL826" s="188"/>
      <c r="AM826" s="188"/>
      <c r="AN826" s="188"/>
      <c r="AO826" s="299"/>
      <c r="AQ826" s="296"/>
      <c r="AR826" s="296"/>
      <c r="AS826" s="296"/>
      <c r="AU826" s="296"/>
      <c r="AV826" s="296"/>
      <c r="AW826" s="296"/>
    </row>
    <row r="827" spans="2:49" ht="13">
      <c r="B827" s="294"/>
      <c r="C827" s="294"/>
      <c r="D827" s="294"/>
      <c r="E827" s="294"/>
      <c r="F827" s="171"/>
      <c r="G827" s="294"/>
      <c r="H827" s="294"/>
      <c r="I827" s="294"/>
      <c r="J827" s="294"/>
      <c r="K827" s="294"/>
      <c r="L827" s="294"/>
      <c r="T827" s="295"/>
      <c r="AA827" s="295"/>
      <c r="AH827" s="295"/>
      <c r="AI827" s="188"/>
      <c r="AJ827" s="188"/>
      <c r="AK827" s="188"/>
      <c r="AL827" s="188"/>
      <c r="AM827" s="188"/>
      <c r="AN827" s="188"/>
      <c r="AO827" s="299"/>
      <c r="AQ827" s="296"/>
      <c r="AR827" s="296"/>
      <c r="AS827" s="296"/>
      <c r="AU827" s="296"/>
      <c r="AV827" s="296"/>
      <c r="AW827" s="296"/>
    </row>
    <row r="828" spans="2:49" ht="13">
      <c r="B828" s="294"/>
      <c r="C828" s="294"/>
      <c r="D828" s="294"/>
      <c r="E828" s="294"/>
      <c r="F828" s="171"/>
      <c r="G828" s="294"/>
      <c r="H828" s="294"/>
      <c r="I828" s="294"/>
      <c r="J828" s="294"/>
      <c r="K828" s="294"/>
      <c r="L828" s="294"/>
      <c r="T828" s="295"/>
      <c r="AA828" s="295"/>
      <c r="AH828" s="295"/>
      <c r="AI828" s="188"/>
      <c r="AJ828" s="188"/>
      <c r="AK828" s="188"/>
      <c r="AL828" s="188"/>
      <c r="AM828" s="188"/>
      <c r="AN828" s="188"/>
      <c r="AO828" s="299"/>
      <c r="AQ828" s="296"/>
      <c r="AR828" s="296"/>
      <c r="AS828" s="296"/>
      <c r="AU828" s="296"/>
      <c r="AV828" s="296"/>
      <c r="AW828" s="296"/>
    </row>
    <row r="829" spans="2:49" ht="13">
      <c r="B829" s="294"/>
      <c r="C829" s="294"/>
      <c r="D829" s="294"/>
      <c r="E829" s="294"/>
      <c r="F829" s="171"/>
      <c r="G829" s="294"/>
      <c r="H829" s="294"/>
      <c r="I829" s="294"/>
      <c r="J829" s="294"/>
      <c r="K829" s="294"/>
      <c r="L829" s="294"/>
      <c r="T829" s="295"/>
      <c r="AA829" s="295"/>
      <c r="AH829" s="295"/>
      <c r="AI829" s="188"/>
      <c r="AJ829" s="188"/>
      <c r="AK829" s="188"/>
      <c r="AL829" s="188"/>
      <c r="AM829" s="188"/>
      <c r="AN829" s="188"/>
      <c r="AO829" s="299"/>
      <c r="AQ829" s="296"/>
      <c r="AR829" s="296"/>
      <c r="AS829" s="296"/>
      <c r="AU829" s="296"/>
      <c r="AV829" s="296"/>
      <c r="AW829" s="296"/>
    </row>
    <row r="830" spans="2:49" ht="13">
      <c r="B830" s="294"/>
      <c r="C830" s="294"/>
      <c r="D830" s="294"/>
      <c r="E830" s="294"/>
      <c r="F830" s="171"/>
      <c r="G830" s="294"/>
      <c r="H830" s="294"/>
      <c r="I830" s="294"/>
      <c r="J830" s="294"/>
      <c r="K830" s="294"/>
      <c r="L830" s="294"/>
      <c r="T830" s="295"/>
      <c r="AA830" s="295"/>
      <c r="AH830" s="295"/>
      <c r="AI830" s="188"/>
      <c r="AJ830" s="188"/>
      <c r="AK830" s="188"/>
      <c r="AL830" s="188"/>
      <c r="AM830" s="188"/>
      <c r="AN830" s="188"/>
      <c r="AO830" s="299"/>
      <c r="AQ830" s="296"/>
      <c r="AR830" s="296"/>
      <c r="AS830" s="296"/>
      <c r="AU830" s="296"/>
      <c r="AV830" s="296"/>
      <c r="AW830" s="296"/>
    </row>
    <row r="831" spans="2:49" ht="13">
      <c r="B831" s="294"/>
      <c r="C831" s="294"/>
      <c r="D831" s="294"/>
      <c r="E831" s="294"/>
      <c r="F831" s="171"/>
      <c r="G831" s="294"/>
      <c r="H831" s="294"/>
      <c r="I831" s="294"/>
      <c r="J831" s="294"/>
      <c r="K831" s="294"/>
      <c r="L831" s="294"/>
      <c r="T831" s="295"/>
      <c r="AA831" s="295"/>
      <c r="AH831" s="295"/>
      <c r="AI831" s="188"/>
      <c r="AJ831" s="188"/>
      <c r="AK831" s="188"/>
      <c r="AL831" s="188"/>
      <c r="AM831" s="188"/>
      <c r="AN831" s="188"/>
      <c r="AO831" s="299"/>
      <c r="AQ831" s="296"/>
      <c r="AR831" s="296"/>
      <c r="AS831" s="296"/>
      <c r="AU831" s="296"/>
      <c r="AV831" s="296"/>
      <c r="AW831" s="296"/>
    </row>
    <row r="832" spans="2:49" ht="13">
      <c r="B832" s="294"/>
      <c r="C832" s="294"/>
      <c r="D832" s="294"/>
      <c r="E832" s="294"/>
      <c r="F832" s="171"/>
      <c r="G832" s="294"/>
      <c r="H832" s="294"/>
      <c r="I832" s="294"/>
      <c r="J832" s="294"/>
      <c r="K832" s="294"/>
      <c r="L832" s="294"/>
      <c r="T832" s="295"/>
      <c r="AA832" s="295"/>
      <c r="AH832" s="295"/>
      <c r="AI832" s="188"/>
      <c r="AJ832" s="188"/>
      <c r="AK832" s="188"/>
      <c r="AL832" s="188"/>
      <c r="AM832" s="188"/>
      <c r="AN832" s="188"/>
      <c r="AO832" s="299"/>
      <c r="AQ832" s="296"/>
      <c r="AR832" s="296"/>
      <c r="AS832" s="296"/>
      <c r="AU832" s="296"/>
      <c r="AV832" s="296"/>
      <c r="AW832" s="296"/>
    </row>
    <row r="833" spans="2:49" ht="13">
      <c r="B833" s="294"/>
      <c r="C833" s="294"/>
      <c r="D833" s="294"/>
      <c r="E833" s="294"/>
      <c r="F833" s="171"/>
      <c r="G833" s="294"/>
      <c r="H833" s="294"/>
      <c r="I833" s="294"/>
      <c r="J833" s="294"/>
      <c r="K833" s="294"/>
      <c r="L833" s="294"/>
      <c r="T833" s="295"/>
      <c r="AA833" s="295"/>
      <c r="AH833" s="295"/>
      <c r="AI833" s="188"/>
      <c r="AJ833" s="188"/>
      <c r="AK833" s="188"/>
      <c r="AL833" s="188"/>
      <c r="AM833" s="188"/>
      <c r="AN833" s="188"/>
      <c r="AO833" s="299"/>
      <c r="AQ833" s="296"/>
      <c r="AR833" s="296"/>
      <c r="AS833" s="296"/>
      <c r="AU833" s="296"/>
      <c r="AV833" s="296"/>
      <c r="AW833" s="296"/>
    </row>
    <row r="834" spans="2:49" ht="13">
      <c r="B834" s="294"/>
      <c r="C834" s="294"/>
      <c r="D834" s="294"/>
      <c r="E834" s="294"/>
      <c r="F834" s="171"/>
      <c r="G834" s="294"/>
      <c r="H834" s="294"/>
      <c r="I834" s="294"/>
      <c r="J834" s="294"/>
      <c r="K834" s="294"/>
      <c r="L834" s="294"/>
      <c r="T834" s="295"/>
      <c r="AA834" s="295"/>
      <c r="AH834" s="295"/>
      <c r="AI834" s="188"/>
      <c r="AJ834" s="188"/>
      <c r="AK834" s="188"/>
      <c r="AL834" s="188"/>
      <c r="AM834" s="188"/>
      <c r="AN834" s="188"/>
      <c r="AO834" s="299"/>
      <c r="AQ834" s="296"/>
      <c r="AR834" s="296"/>
      <c r="AS834" s="296"/>
      <c r="AU834" s="296"/>
      <c r="AV834" s="296"/>
      <c r="AW834" s="296"/>
    </row>
    <row r="835" spans="2:49" ht="13">
      <c r="B835" s="294"/>
      <c r="C835" s="294"/>
      <c r="D835" s="294"/>
      <c r="E835" s="294"/>
      <c r="F835" s="171"/>
      <c r="G835" s="294"/>
      <c r="H835" s="294"/>
      <c r="I835" s="294"/>
      <c r="J835" s="294"/>
      <c r="K835" s="294"/>
      <c r="L835" s="294"/>
      <c r="T835" s="295"/>
      <c r="AA835" s="295"/>
      <c r="AH835" s="295"/>
      <c r="AI835" s="188"/>
      <c r="AJ835" s="188"/>
      <c r="AK835" s="188"/>
      <c r="AL835" s="188"/>
      <c r="AM835" s="188"/>
      <c r="AN835" s="188"/>
      <c r="AO835" s="299"/>
      <c r="AQ835" s="296"/>
      <c r="AR835" s="296"/>
      <c r="AS835" s="296"/>
      <c r="AU835" s="296"/>
      <c r="AV835" s="296"/>
      <c r="AW835" s="296"/>
    </row>
    <row r="836" spans="2:49" ht="13">
      <c r="B836" s="294"/>
      <c r="C836" s="294"/>
      <c r="D836" s="294"/>
      <c r="E836" s="294"/>
      <c r="F836" s="171"/>
      <c r="G836" s="294"/>
      <c r="H836" s="294"/>
      <c r="I836" s="294"/>
      <c r="J836" s="294"/>
      <c r="K836" s="294"/>
      <c r="L836" s="294"/>
      <c r="T836" s="295"/>
      <c r="AA836" s="295"/>
      <c r="AH836" s="295"/>
      <c r="AI836" s="188"/>
      <c r="AJ836" s="188"/>
      <c r="AK836" s="188"/>
      <c r="AL836" s="188"/>
      <c r="AM836" s="188"/>
      <c r="AN836" s="188"/>
      <c r="AO836" s="299"/>
      <c r="AQ836" s="296"/>
      <c r="AR836" s="296"/>
      <c r="AS836" s="296"/>
      <c r="AU836" s="296"/>
      <c r="AV836" s="296"/>
      <c r="AW836" s="296"/>
    </row>
    <row r="837" spans="2:49" ht="13">
      <c r="B837" s="294"/>
      <c r="C837" s="294"/>
      <c r="D837" s="294"/>
      <c r="E837" s="294"/>
      <c r="F837" s="171"/>
      <c r="G837" s="294"/>
      <c r="H837" s="294"/>
      <c r="I837" s="294"/>
      <c r="J837" s="294"/>
      <c r="K837" s="294"/>
      <c r="L837" s="294"/>
      <c r="T837" s="295"/>
      <c r="AA837" s="295"/>
      <c r="AH837" s="295"/>
      <c r="AI837" s="188"/>
      <c r="AJ837" s="188"/>
      <c r="AK837" s="188"/>
      <c r="AL837" s="188"/>
      <c r="AM837" s="188"/>
      <c r="AN837" s="188"/>
      <c r="AO837" s="299"/>
      <c r="AQ837" s="296"/>
      <c r="AR837" s="296"/>
      <c r="AS837" s="296"/>
      <c r="AU837" s="296"/>
      <c r="AV837" s="296"/>
      <c r="AW837" s="296"/>
    </row>
    <row r="838" spans="2:49" ht="13">
      <c r="B838" s="294"/>
      <c r="C838" s="294"/>
      <c r="D838" s="294"/>
      <c r="E838" s="294"/>
      <c r="F838" s="171"/>
      <c r="G838" s="294"/>
      <c r="H838" s="294"/>
      <c r="I838" s="294"/>
      <c r="J838" s="294"/>
      <c r="K838" s="294"/>
      <c r="L838" s="294"/>
      <c r="T838" s="295"/>
      <c r="AA838" s="295"/>
      <c r="AH838" s="295"/>
      <c r="AI838" s="188"/>
      <c r="AJ838" s="188"/>
      <c r="AK838" s="188"/>
      <c r="AL838" s="188"/>
      <c r="AM838" s="188"/>
      <c r="AN838" s="188"/>
      <c r="AO838" s="299"/>
      <c r="AQ838" s="296"/>
      <c r="AR838" s="296"/>
      <c r="AS838" s="296"/>
      <c r="AU838" s="296"/>
      <c r="AV838" s="296"/>
      <c r="AW838" s="296"/>
    </row>
    <row r="839" spans="2:49" ht="13">
      <c r="B839" s="294"/>
      <c r="C839" s="294"/>
      <c r="D839" s="294"/>
      <c r="E839" s="294"/>
      <c r="F839" s="171"/>
      <c r="G839" s="294"/>
      <c r="H839" s="294"/>
      <c r="I839" s="294"/>
      <c r="J839" s="294"/>
      <c r="K839" s="294"/>
      <c r="L839" s="294"/>
      <c r="T839" s="295"/>
      <c r="AA839" s="295"/>
      <c r="AH839" s="295"/>
      <c r="AI839" s="188"/>
      <c r="AJ839" s="188"/>
      <c r="AK839" s="188"/>
      <c r="AL839" s="188"/>
      <c r="AM839" s="188"/>
      <c r="AN839" s="188"/>
      <c r="AO839" s="299"/>
      <c r="AQ839" s="296"/>
      <c r="AR839" s="296"/>
      <c r="AS839" s="296"/>
      <c r="AU839" s="296"/>
      <c r="AV839" s="296"/>
      <c r="AW839" s="296"/>
    </row>
    <row r="840" spans="2:49" ht="13">
      <c r="B840" s="294"/>
      <c r="C840" s="294"/>
      <c r="D840" s="294"/>
      <c r="E840" s="294"/>
      <c r="F840" s="171"/>
      <c r="G840" s="294"/>
      <c r="H840" s="294"/>
      <c r="I840" s="294"/>
      <c r="J840" s="294"/>
      <c r="K840" s="294"/>
      <c r="L840" s="294"/>
      <c r="T840" s="295"/>
      <c r="AA840" s="295"/>
      <c r="AH840" s="295"/>
      <c r="AI840" s="188"/>
      <c r="AJ840" s="188"/>
      <c r="AK840" s="188"/>
      <c r="AL840" s="188"/>
      <c r="AM840" s="188"/>
      <c r="AN840" s="188"/>
      <c r="AO840" s="299"/>
      <c r="AQ840" s="296"/>
      <c r="AR840" s="296"/>
      <c r="AS840" s="296"/>
      <c r="AU840" s="296"/>
      <c r="AV840" s="296"/>
      <c r="AW840" s="296"/>
    </row>
    <row r="841" spans="2:49" ht="13">
      <c r="B841" s="294"/>
      <c r="C841" s="294"/>
      <c r="D841" s="294"/>
      <c r="E841" s="294"/>
      <c r="F841" s="171"/>
      <c r="G841" s="294"/>
      <c r="H841" s="294"/>
      <c r="I841" s="294"/>
      <c r="J841" s="294"/>
      <c r="K841" s="294"/>
      <c r="L841" s="294"/>
      <c r="T841" s="295"/>
      <c r="AA841" s="295"/>
      <c r="AH841" s="295"/>
      <c r="AI841" s="188"/>
      <c r="AJ841" s="188"/>
      <c r="AK841" s="188"/>
      <c r="AL841" s="188"/>
      <c r="AM841" s="188"/>
      <c r="AN841" s="188"/>
      <c r="AO841" s="299"/>
      <c r="AQ841" s="296"/>
      <c r="AR841" s="296"/>
      <c r="AS841" s="296"/>
      <c r="AU841" s="296"/>
      <c r="AV841" s="296"/>
      <c r="AW841" s="296"/>
    </row>
    <row r="842" spans="2:49" ht="13">
      <c r="B842" s="294"/>
      <c r="C842" s="294"/>
      <c r="D842" s="294"/>
      <c r="E842" s="294"/>
      <c r="F842" s="171"/>
      <c r="G842" s="294"/>
      <c r="H842" s="294"/>
      <c r="I842" s="294"/>
      <c r="J842" s="294"/>
      <c r="K842" s="294"/>
      <c r="L842" s="294"/>
      <c r="T842" s="295"/>
      <c r="AA842" s="295"/>
      <c r="AH842" s="295"/>
      <c r="AI842" s="188"/>
      <c r="AJ842" s="188"/>
      <c r="AK842" s="188"/>
      <c r="AL842" s="188"/>
      <c r="AM842" s="188"/>
      <c r="AN842" s="188"/>
      <c r="AO842" s="299"/>
      <c r="AQ842" s="296"/>
      <c r="AR842" s="296"/>
      <c r="AS842" s="296"/>
      <c r="AU842" s="296"/>
      <c r="AV842" s="296"/>
      <c r="AW842" s="296"/>
    </row>
    <row r="843" spans="2:49" ht="13">
      <c r="B843" s="294"/>
      <c r="C843" s="294"/>
      <c r="D843" s="294"/>
      <c r="E843" s="294"/>
      <c r="F843" s="171"/>
      <c r="G843" s="294"/>
      <c r="H843" s="294"/>
      <c r="I843" s="294"/>
      <c r="J843" s="294"/>
      <c r="K843" s="294"/>
      <c r="L843" s="294"/>
      <c r="T843" s="295"/>
      <c r="AA843" s="295"/>
      <c r="AH843" s="295"/>
      <c r="AI843" s="188"/>
      <c r="AJ843" s="188"/>
      <c r="AK843" s="188"/>
      <c r="AL843" s="188"/>
      <c r="AM843" s="188"/>
      <c r="AN843" s="188"/>
      <c r="AO843" s="299"/>
      <c r="AQ843" s="296"/>
      <c r="AR843" s="296"/>
      <c r="AS843" s="296"/>
      <c r="AU843" s="296"/>
      <c r="AV843" s="296"/>
      <c r="AW843" s="296"/>
    </row>
    <row r="844" spans="2:49" ht="13">
      <c r="B844" s="294"/>
      <c r="C844" s="294"/>
      <c r="D844" s="294"/>
      <c r="E844" s="294"/>
      <c r="F844" s="171"/>
      <c r="G844" s="294"/>
      <c r="H844" s="294"/>
      <c r="I844" s="294"/>
      <c r="J844" s="294"/>
      <c r="K844" s="294"/>
      <c r="L844" s="294"/>
      <c r="T844" s="295"/>
      <c r="AA844" s="295"/>
      <c r="AH844" s="295"/>
      <c r="AI844" s="188"/>
      <c r="AJ844" s="188"/>
      <c r="AK844" s="188"/>
      <c r="AL844" s="188"/>
      <c r="AM844" s="188"/>
      <c r="AN844" s="188"/>
      <c r="AO844" s="299"/>
      <c r="AQ844" s="296"/>
      <c r="AR844" s="296"/>
      <c r="AS844" s="296"/>
      <c r="AU844" s="296"/>
      <c r="AV844" s="296"/>
      <c r="AW844" s="296"/>
    </row>
    <row r="845" spans="2:49" ht="13">
      <c r="B845" s="294"/>
      <c r="C845" s="294"/>
      <c r="D845" s="294"/>
      <c r="E845" s="294"/>
      <c r="F845" s="171"/>
      <c r="G845" s="294"/>
      <c r="H845" s="294"/>
      <c r="I845" s="294"/>
      <c r="J845" s="294"/>
      <c r="K845" s="294"/>
      <c r="L845" s="294"/>
      <c r="T845" s="295"/>
      <c r="AA845" s="295"/>
      <c r="AH845" s="295"/>
      <c r="AI845" s="188"/>
      <c r="AJ845" s="188"/>
      <c r="AK845" s="188"/>
      <c r="AL845" s="188"/>
      <c r="AM845" s="188"/>
      <c r="AN845" s="188"/>
      <c r="AO845" s="299"/>
      <c r="AQ845" s="296"/>
      <c r="AR845" s="296"/>
      <c r="AS845" s="296"/>
      <c r="AU845" s="296"/>
      <c r="AV845" s="296"/>
      <c r="AW845" s="296"/>
    </row>
    <row r="846" spans="2:49" ht="13">
      <c r="B846" s="294"/>
      <c r="C846" s="294"/>
      <c r="D846" s="294"/>
      <c r="E846" s="294"/>
      <c r="F846" s="171"/>
      <c r="G846" s="294"/>
      <c r="H846" s="294"/>
      <c r="I846" s="294"/>
      <c r="J846" s="294"/>
      <c r="K846" s="294"/>
      <c r="L846" s="294"/>
      <c r="T846" s="295"/>
      <c r="AA846" s="295"/>
      <c r="AH846" s="295"/>
      <c r="AI846" s="188"/>
      <c r="AJ846" s="188"/>
      <c r="AK846" s="188"/>
      <c r="AL846" s="188"/>
      <c r="AM846" s="188"/>
      <c r="AN846" s="188"/>
      <c r="AO846" s="299"/>
      <c r="AQ846" s="296"/>
      <c r="AR846" s="296"/>
      <c r="AS846" s="296"/>
      <c r="AU846" s="296"/>
      <c r="AV846" s="296"/>
      <c r="AW846" s="296"/>
    </row>
    <row r="847" spans="2:49" ht="13">
      <c r="B847" s="294"/>
      <c r="C847" s="294"/>
      <c r="D847" s="294"/>
      <c r="E847" s="294"/>
      <c r="F847" s="171"/>
      <c r="G847" s="294"/>
      <c r="H847" s="294"/>
      <c r="I847" s="294"/>
      <c r="J847" s="294"/>
      <c r="K847" s="294"/>
      <c r="L847" s="294"/>
      <c r="T847" s="295"/>
      <c r="AA847" s="295"/>
      <c r="AH847" s="295"/>
      <c r="AI847" s="188"/>
      <c r="AJ847" s="188"/>
      <c r="AK847" s="188"/>
      <c r="AL847" s="188"/>
      <c r="AM847" s="188"/>
      <c r="AN847" s="188"/>
      <c r="AO847" s="299"/>
      <c r="AQ847" s="296"/>
      <c r="AR847" s="296"/>
      <c r="AS847" s="296"/>
      <c r="AU847" s="296"/>
      <c r="AV847" s="296"/>
      <c r="AW847" s="296"/>
    </row>
    <row r="848" spans="2:49" ht="13">
      <c r="B848" s="294"/>
      <c r="C848" s="294"/>
      <c r="D848" s="294"/>
      <c r="E848" s="294"/>
      <c r="F848" s="171"/>
      <c r="G848" s="294"/>
      <c r="H848" s="294"/>
      <c r="I848" s="294"/>
      <c r="J848" s="294"/>
      <c r="K848" s="294"/>
      <c r="L848" s="294"/>
      <c r="T848" s="295"/>
      <c r="AA848" s="295"/>
      <c r="AH848" s="295"/>
      <c r="AI848" s="188"/>
      <c r="AJ848" s="188"/>
      <c r="AK848" s="188"/>
      <c r="AL848" s="188"/>
      <c r="AM848" s="188"/>
      <c r="AN848" s="188"/>
      <c r="AO848" s="299"/>
      <c r="AQ848" s="296"/>
      <c r="AR848" s="296"/>
      <c r="AS848" s="296"/>
      <c r="AU848" s="296"/>
      <c r="AV848" s="296"/>
      <c r="AW848" s="296"/>
    </row>
    <row r="849" spans="2:49" ht="13">
      <c r="B849" s="294"/>
      <c r="C849" s="294"/>
      <c r="D849" s="294"/>
      <c r="E849" s="294"/>
      <c r="F849" s="171"/>
      <c r="G849" s="294"/>
      <c r="H849" s="294"/>
      <c r="I849" s="294"/>
      <c r="J849" s="294"/>
      <c r="K849" s="294"/>
      <c r="L849" s="294"/>
      <c r="T849" s="295"/>
      <c r="AA849" s="295"/>
      <c r="AH849" s="295"/>
      <c r="AI849" s="188"/>
      <c r="AJ849" s="188"/>
      <c r="AK849" s="188"/>
      <c r="AL849" s="188"/>
      <c r="AM849" s="188"/>
      <c r="AN849" s="188"/>
      <c r="AO849" s="299"/>
      <c r="AQ849" s="296"/>
      <c r="AR849" s="296"/>
      <c r="AS849" s="296"/>
      <c r="AU849" s="296"/>
      <c r="AV849" s="296"/>
      <c r="AW849" s="296"/>
    </row>
    <row r="850" spans="2:49" ht="13">
      <c r="B850" s="294"/>
      <c r="C850" s="294"/>
      <c r="D850" s="294"/>
      <c r="E850" s="294"/>
      <c r="F850" s="171"/>
      <c r="G850" s="294"/>
      <c r="H850" s="294"/>
      <c r="I850" s="294"/>
      <c r="J850" s="294"/>
      <c r="K850" s="294"/>
      <c r="L850" s="294"/>
      <c r="T850" s="295"/>
      <c r="AA850" s="295"/>
      <c r="AH850" s="295"/>
      <c r="AI850" s="188"/>
      <c r="AJ850" s="188"/>
      <c r="AK850" s="188"/>
      <c r="AL850" s="188"/>
      <c r="AM850" s="188"/>
      <c r="AN850" s="188"/>
      <c r="AO850" s="299"/>
      <c r="AQ850" s="296"/>
      <c r="AR850" s="296"/>
      <c r="AS850" s="296"/>
      <c r="AU850" s="296"/>
      <c r="AV850" s="296"/>
      <c r="AW850" s="296"/>
    </row>
    <row r="851" spans="2:49" ht="13">
      <c r="B851" s="294"/>
      <c r="C851" s="294"/>
      <c r="D851" s="294"/>
      <c r="E851" s="294"/>
      <c r="F851" s="171"/>
      <c r="G851" s="294"/>
      <c r="H851" s="294"/>
      <c r="I851" s="294"/>
      <c r="J851" s="294"/>
      <c r="K851" s="294"/>
      <c r="L851" s="294"/>
      <c r="T851" s="295"/>
      <c r="AA851" s="295"/>
      <c r="AH851" s="295"/>
      <c r="AI851" s="188"/>
      <c r="AJ851" s="188"/>
      <c r="AK851" s="188"/>
      <c r="AL851" s="188"/>
      <c r="AM851" s="188"/>
      <c r="AN851" s="188"/>
      <c r="AO851" s="299"/>
      <c r="AQ851" s="296"/>
      <c r="AR851" s="296"/>
      <c r="AS851" s="296"/>
      <c r="AU851" s="296"/>
      <c r="AV851" s="296"/>
      <c r="AW851" s="296"/>
    </row>
    <row r="852" spans="2:49" ht="13">
      <c r="B852" s="294"/>
      <c r="C852" s="294"/>
      <c r="D852" s="294"/>
      <c r="E852" s="294"/>
      <c r="F852" s="171"/>
      <c r="G852" s="294"/>
      <c r="H852" s="294"/>
      <c r="I852" s="294"/>
      <c r="J852" s="294"/>
      <c r="K852" s="294"/>
      <c r="L852" s="294"/>
      <c r="T852" s="295"/>
      <c r="AA852" s="295"/>
      <c r="AH852" s="295"/>
      <c r="AI852" s="188"/>
      <c r="AJ852" s="188"/>
      <c r="AK852" s="188"/>
      <c r="AL852" s="188"/>
      <c r="AM852" s="188"/>
      <c r="AN852" s="188"/>
      <c r="AO852" s="299"/>
      <c r="AQ852" s="296"/>
      <c r="AR852" s="296"/>
      <c r="AS852" s="296"/>
      <c r="AU852" s="296"/>
      <c r="AV852" s="296"/>
      <c r="AW852" s="296"/>
    </row>
    <row r="853" spans="2:49" ht="13">
      <c r="B853" s="294"/>
      <c r="C853" s="294"/>
      <c r="D853" s="294"/>
      <c r="E853" s="294"/>
      <c r="F853" s="171"/>
      <c r="G853" s="294"/>
      <c r="H853" s="294"/>
      <c r="I853" s="294"/>
      <c r="J853" s="294"/>
      <c r="K853" s="294"/>
      <c r="L853" s="294"/>
      <c r="T853" s="295"/>
      <c r="AA853" s="295"/>
      <c r="AH853" s="295"/>
      <c r="AI853" s="188"/>
      <c r="AJ853" s="188"/>
      <c r="AK853" s="188"/>
      <c r="AL853" s="188"/>
      <c r="AM853" s="188"/>
      <c r="AN853" s="188"/>
      <c r="AO853" s="299"/>
      <c r="AQ853" s="296"/>
      <c r="AR853" s="296"/>
      <c r="AS853" s="296"/>
      <c r="AU853" s="296"/>
      <c r="AV853" s="296"/>
      <c r="AW853" s="296"/>
    </row>
    <row r="854" spans="2:49" ht="13">
      <c r="B854" s="294"/>
      <c r="C854" s="294"/>
      <c r="D854" s="294"/>
      <c r="E854" s="294"/>
      <c r="F854" s="171"/>
      <c r="G854" s="294"/>
      <c r="H854" s="294"/>
      <c r="I854" s="294"/>
      <c r="J854" s="294"/>
      <c r="K854" s="294"/>
      <c r="L854" s="294"/>
      <c r="T854" s="295"/>
      <c r="AA854" s="295"/>
      <c r="AH854" s="295"/>
      <c r="AI854" s="188"/>
      <c r="AJ854" s="188"/>
      <c r="AK854" s="188"/>
      <c r="AL854" s="188"/>
      <c r="AM854" s="188"/>
      <c r="AN854" s="188"/>
      <c r="AO854" s="299"/>
      <c r="AQ854" s="296"/>
      <c r="AR854" s="296"/>
      <c r="AS854" s="296"/>
      <c r="AU854" s="296"/>
      <c r="AV854" s="296"/>
      <c r="AW854" s="296"/>
    </row>
    <row r="855" spans="2:49" ht="13">
      <c r="B855" s="294"/>
      <c r="C855" s="294"/>
      <c r="D855" s="294"/>
      <c r="E855" s="294"/>
      <c r="F855" s="171"/>
      <c r="G855" s="294"/>
      <c r="H855" s="294"/>
      <c r="I855" s="294"/>
      <c r="J855" s="294"/>
      <c r="K855" s="294"/>
      <c r="L855" s="294"/>
      <c r="T855" s="295"/>
      <c r="AA855" s="295"/>
      <c r="AH855" s="295"/>
      <c r="AI855" s="188"/>
      <c r="AJ855" s="188"/>
      <c r="AK855" s="188"/>
      <c r="AL855" s="188"/>
      <c r="AM855" s="188"/>
      <c r="AN855" s="188"/>
      <c r="AO855" s="299"/>
      <c r="AQ855" s="296"/>
      <c r="AR855" s="296"/>
      <c r="AS855" s="296"/>
      <c r="AU855" s="296"/>
      <c r="AV855" s="296"/>
      <c r="AW855" s="296"/>
    </row>
    <row r="856" spans="2:49" ht="13">
      <c r="B856" s="294"/>
      <c r="C856" s="294"/>
      <c r="D856" s="294"/>
      <c r="E856" s="294"/>
      <c r="F856" s="171"/>
      <c r="G856" s="294"/>
      <c r="H856" s="294"/>
      <c r="I856" s="294"/>
      <c r="J856" s="294"/>
      <c r="K856" s="294"/>
      <c r="L856" s="294"/>
      <c r="T856" s="295"/>
      <c r="AA856" s="295"/>
      <c r="AH856" s="295"/>
      <c r="AI856" s="188"/>
      <c r="AJ856" s="188"/>
      <c r="AK856" s="188"/>
      <c r="AL856" s="188"/>
      <c r="AM856" s="188"/>
      <c r="AN856" s="188"/>
      <c r="AO856" s="299"/>
      <c r="AQ856" s="296"/>
      <c r="AR856" s="296"/>
      <c r="AS856" s="296"/>
      <c r="AU856" s="296"/>
      <c r="AV856" s="296"/>
      <c r="AW856" s="296"/>
    </row>
    <row r="857" spans="2:49" ht="13">
      <c r="B857" s="294"/>
      <c r="C857" s="294"/>
      <c r="D857" s="294"/>
      <c r="E857" s="294"/>
      <c r="F857" s="171"/>
      <c r="G857" s="294"/>
      <c r="H857" s="294"/>
      <c r="I857" s="294"/>
      <c r="J857" s="294"/>
      <c r="K857" s="294"/>
      <c r="L857" s="294"/>
      <c r="T857" s="295"/>
      <c r="AA857" s="295"/>
      <c r="AH857" s="295"/>
      <c r="AI857" s="188"/>
      <c r="AJ857" s="188"/>
      <c r="AK857" s="188"/>
      <c r="AL857" s="188"/>
      <c r="AM857" s="188"/>
      <c r="AN857" s="188"/>
      <c r="AO857" s="299"/>
      <c r="AQ857" s="296"/>
      <c r="AR857" s="296"/>
      <c r="AS857" s="296"/>
      <c r="AU857" s="296"/>
      <c r="AV857" s="296"/>
      <c r="AW857" s="296"/>
    </row>
    <row r="858" spans="2:49" ht="13">
      <c r="B858" s="294"/>
      <c r="C858" s="294"/>
      <c r="D858" s="294"/>
      <c r="E858" s="294"/>
      <c r="F858" s="171"/>
      <c r="G858" s="294"/>
      <c r="H858" s="294"/>
      <c r="I858" s="294"/>
      <c r="J858" s="294"/>
      <c r="K858" s="294"/>
      <c r="L858" s="294"/>
      <c r="T858" s="295"/>
      <c r="AA858" s="295"/>
      <c r="AH858" s="295"/>
      <c r="AI858" s="188"/>
      <c r="AJ858" s="188"/>
      <c r="AK858" s="188"/>
      <c r="AL858" s="188"/>
      <c r="AM858" s="188"/>
      <c r="AN858" s="188"/>
      <c r="AO858" s="299"/>
      <c r="AQ858" s="296"/>
      <c r="AR858" s="296"/>
      <c r="AS858" s="296"/>
      <c r="AU858" s="296"/>
      <c r="AV858" s="296"/>
      <c r="AW858" s="296"/>
    </row>
    <row r="859" spans="2:49" ht="13">
      <c r="B859" s="294"/>
      <c r="C859" s="294"/>
      <c r="D859" s="294"/>
      <c r="E859" s="294"/>
      <c r="F859" s="171"/>
      <c r="G859" s="294"/>
      <c r="H859" s="294"/>
      <c r="I859" s="294"/>
      <c r="J859" s="294"/>
      <c r="K859" s="294"/>
      <c r="L859" s="294"/>
      <c r="T859" s="295"/>
      <c r="AA859" s="295"/>
      <c r="AH859" s="295"/>
      <c r="AI859" s="188"/>
      <c r="AJ859" s="188"/>
      <c r="AK859" s="188"/>
      <c r="AL859" s="188"/>
      <c r="AM859" s="188"/>
      <c r="AN859" s="188"/>
      <c r="AO859" s="299"/>
      <c r="AQ859" s="296"/>
      <c r="AR859" s="296"/>
      <c r="AS859" s="296"/>
      <c r="AU859" s="296"/>
      <c r="AV859" s="296"/>
      <c r="AW859" s="296"/>
    </row>
    <row r="860" spans="2:49" ht="13">
      <c r="B860" s="294"/>
      <c r="C860" s="294"/>
      <c r="D860" s="294"/>
      <c r="E860" s="294"/>
      <c r="F860" s="171"/>
      <c r="G860" s="294"/>
      <c r="H860" s="294"/>
      <c r="I860" s="294"/>
      <c r="J860" s="294"/>
      <c r="K860" s="294"/>
      <c r="L860" s="294"/>
      <c r="T860" s="295"/>
      <c r="AA860" s="295"/>
      <c r="AH860" s="295"/>
      <c r="AI860" s="188"/>
      <c r="AJ860" s="188"/>
      <c r="AK860" s="188"/>
      <c r="AL860" s="188"/>
      <c r="AM860" s="188"/>
      <c r="AN860" s="188"/>
      <c r="AO860" s="299"/>
      <c r="AQ860" s="296"/>
      <c r="AR860" s="296"/>
      <c r="AS860" s="296"/>
      <c r="AU860" s="296"/>
      <c r="AV860" s="296"/>
      <c r="AW860" s="296"/>
    </row>
    <row r="861" spans="2:49" ht="13">
      <c r="B861" s="294"/>
      <c r="C861" s="294"/>
      <c r="D861" s="294"/>
      <c r="E861" s="294"/>
      <c r="F861" s="171"/>
      <c r="G861" s="294"/>
      <c r="H861" s="294"/>
      <c r="I861" s="294"/>
      <c r="J861" s="294"/>
      <c r="K861" s="294"/>
      <c r="L861" s="294"/>
      <c r="T861" s="295"/>
      <c r="AA861" s="295"/>
      <c r="AH861" s="295"/>
      <c r="AI861" s="188"/>
      <c r="AJ861" s="188"/>
      <c r="AK861" s="188"/>
      <c r="AL861" s="188"/>
      <c r="AM861" s="188"/>
      <c r="AN861" s="188"/>
      <c r="AO861" s="299"/>
      <c r="AQ861" s="296"/>
      <c r="AR861" s="296"/>
      <c r="AS861" s="296"/>
      <c r="AU861" s="296"/>
      <c r="AV861" s="296"/>
      <c r="AW861" s="296"/>
    </row>
    <row r="862" spans="2:49" ht="13">
      <c r="B862" s="294"/>
      <c r="C862" s="294"/>
      <c r="D862" s="294"/>
      <c r="E862" s="294"/>
      <c r="F862" s="171"/>
      <c r="G862" s="294"/>
      <c r="H862" s="294"/>
      <c r="I862" s="294"/>
      <c r="J862" s="294"/>
      <c r="K862" s="294"/>
      <c r="L862" s="294"/>
      <c r="T862" s="295"/>
      <c r="AA862" s="295"/>
      <c r="AH862" s="295"/>
      <c r="AI862" s="188"/>
      <c r="AJ862" s="188"/>
      <c r="AK862" s="188"/>
      <c r="AL862" s="188"/>
      <c r="AM862" s="188"/>
      <c r="AN862" s="188"/>
      <c r="AO862" s="299"/>
      <c r="AQ862" s="296"/>
      <c r="AR862" s="296"/>
      <c r="AS862" s="296"/>
      <c r="AU862" s="296"/>
      <c r="AV862" s="296"/>
      <c r="AW862" s="296"/>
    </row>
    <row r="863" spans="2:49" ht="13">
      <c r="B863" s="294"/>
      <c r="C863" s="294"/>
      <c r="D863" s="294"/>
      <c r="E863" s="294"/>
      <c r="F863" s="171"/>
      <c r="G863" s="294"/>
      <c r="H863" s="294"/>
      <c r="I863" s="294"/>
      <c r="J863" s="294"/>
      <c r="K863" s="294"/>
      <c r="L863" s="294"/>
      <c r="T863" s="295"/>
      <c r="AA863" s="295"/>
      <c r="AH863" s="295"/>
      <c r="AI863" s="188"/>
      <c r="AJ863" s="188"/>
      <c r="AK863" s="188"/>
      <c r="AL863" s="188"/>
      <c r="AM863" s="188"/>
      <c r="AN863" s="188"/>
      <c r="AO863" s="299"/>
      <c r="AQ863" s="296"/>
      <c r="AR863" s="296"/>
      <c r="AS863" s="296"/>
      <c r="AU863" s="296"/>
      <c r="AV863" s="296"/>
      <c r="AW863" s="296"/>
    </row>
    <row r="864" spans="2:49" ht="13">
      <c r="B864" s="294"/>
      <c r="C864" s="294"/>
      <c r="D864" s="294"/>
      <c r="E864" s="294"/>
      <c r="F864" s="171"/>
      <c r="G864" s="294"/>
      <c r="H864" s="294"/>
      <c r="I864" s="294"/>
      <c r="J864" s="294"/>
      <c r="K864" s="294"/>
      <c r="L864" s="294"/>
      <c r="T864" s="295"/>
      <c r="AA864" s="295"/>
      <c r="AH864" s="295"/>
      <c r="AI864" s="188"/>
      <c r="AJ864" s="188"/>
      <c r="AK864" s="188"/>
      <c r="AL864" s="188"/>
      <c r="AM864" s="188"/>
      <c r="AN864" s="188"/>
      <c r="AO864" s="299"/>
      <c r="AQ864" s="296"/>
      <c r="AR864" s="296"/>
      <c r="AS864" s="296"/>
      <c r="AU864" s="296"/>
      <c r="AV864" s="296"/>
      <c r="AW864" s="296"/>
    </row>
    <row r="865" spans="2:49" ht="13">
      <c r="B865" s="294"/>
      <c r="C865" s="294"/>
      <c r="D865" s="294"/>
      <c r="E865" s="294"/>
      <c r="F865" s="171"/>
      <c r="G865" s="294"/>
      <c r="H865" s="294"/>
      <c r="I865" s="294"/>
      <c r="J865" s="294"/>
      <c r="K865" s="294"/>
      <c r="L865" s="294"/>
      <c r="T865" s="295"/>
      <c r="AA865" s="295"/>
      <c r="AH865" s="295"/>
      <c r="AI865" s="188"/>
      <c r="AJ865" s="188"/>
      <c r="AK865" s="188"/>
      <c r="AL865" s="188"/>
      <c r="AM865" s="188"/>
      <c r="AN865" s="188"/>
      <c r="AO865" s="299"/>
      <c r="AQ865" s="296"/>
      <c r="AR865" s="296"/>
      <c r="AS865" s="296"/>
      <c r="AU865" s="296"/>
      <c r="AV865" s="296"/>
      <c r="AW865" s="296"/>
    </row>
    <row r="866" spans="2:49" ht="13">
      <c r="B866" s="294"/>
      <c r="C866" s="294"/>
      <c r="D866" s="294"/>
      <c r="E866" s="294"/>
      <c r="F866" s="171"/>
      <c r="G866" s="294"/>
      <c r="H866" s="294"/>
      <c r="I866" s="294"/>
      <c r="J866" s="294"/>
      <c r="K866" s="294"/>
      <c r="L866" s="294"/>
      <c r="T866" s="295"/>
      <c r="AA866" s="295"/>
      <c r="AH866" s="295"/>
      <c r="AI866" s="188"/>
      <c r="AJ866" s="188"/>
      <c r="AK866" s="188"/>
      <c r="AL866" s="188"/>
      <c r="AM866" s="188"/>
      <c r="AN866" s="188"/>
      <c r="AO866" s="299"/>
      <c r="AQ866" s="296"/>
      <c r="AR866" s="296"/>
      <c r="AS866" s="296"/>
      <c r="AU866" s="296"/>
      <c r="AV866" s="296"/>
      <c r="AW866" s="296"/>
    </row>
    <row r="867" spans="2:49" ht="13">
      <c r="B867" s="294"/>
      <c r="C867" s="294"/>
      <c r="D867" s="294"/>
      <c r="E867" s="294"/>
      <c r="F867" s="171"/>
      <c r="G867" s="294"/>
      <c r="H867" s="294"/>
      <c r="I867" s="294"/>
      <c r="J867" s="294"/>
      <c r="K867" s="294"/>
      <c r="L867" s="294"/>
      <c r="T867" s="295"/>
      <c r="AA867" s="295"/>
      <c r="AH867" s="295"/>
      <c r="AI867" s="188"/>
      <c r="AJ867" s="188"/>
      <c r="AK867" s="188"/>
      <c r="AL867" s="188"/>
      <c r="AM867" s="188"/>
      <c r="AN867" s="188"/>
      <c r="AO867" s="299"/>
      <c r="AQ867" s="296"/>
      <c r="AR867" s="296"/>
      <c r="AS867" s="296"/>
      <c r="AU867" s="296"/>
      <c r="AV867" s="296"/>
      <c r="AW867" s="296"/>
    </row>
    <row r="868" spans="2:49" ht="13">
      <c r="B868" s="294"/>
      <c r="C868" s="294"/>
      <c r="D868" s="294"/>
      <c r="E868" s="294"/>
      <c r="F868" s="171"/>
      <c r="G868" s="294"/>
      <c r="H868" s="294"/>
      <c r="I868" s="294"/>
      <c r="J868" s="294"/>
      <c r="K868" s="294"/>
      <c r="L868" s="294"/>
      <c r="T868" s="295"/>
      <c r="AA868" s="295"/>
      <c r="AH868" s="295"/>
      <c r="AI868" s="188"/>
      <c r="AJ868" s="188"/>
      <c r="AK868" s="188"/>
      <c r="AL868" s="188"/>
      <c r="AM868" s="188"/>
      <c r="AN868" s="188"/>
      <c r="AO868" s="299"/>
      <c r="AQ868" s="296"/>
      <c r="AR868" s="296"/>
      <c r="AS868" s="296"/>
      <c r="AU868" s="296"/>
      <c r="AV868" s="296"/>
      <c r="AW868" s="296"/>
    </row>
    <row r="869" spans="2:49" ht="13">
      <c r="B869" s="294"/>
      <c r="C869" s="294"/>
      <c r="D869" s="294"/>
      <c r="E869" s="294"/>
      <c r="F869" s="171"/>
      <c r="G869" s="294"/>
      <c r="H869" s="294"/>
      <c r="I869" s="294"/>
      <c r="J869" s="294"/>
      <c r="K869" s="294"/>
      <c r="L869" s="294"/>
      <c r="T869" s="295"/>
      <c r="AA869" s="295"/>
      <c r="AH869" s="295"/>
      <c r="AI869" s="188"/>
      <c r="AJ869" s="188"/>
      <c r="AK869" s="188"/>
      <c r="AL869" s="188"/>
      <c r="AM869" s="188"/>
      <c r="AN869" s="188"/>
      <c r="AO869" s="299"/>
      <c r="AQ869" s="296"/>
      <c r="AR869" s="296"/>
      <c r="AS869" s="296"/>
      <c r="AU869" s="296"/>
      <c r="AV869" s="296"/>
      <c r="AW869" s="296"/>
    </row>
    <row r="870" spans="2:49" ht="13">
      <c r="B870" s="294"/>
      <c r="C870" s="294"/>
      <c r="D870" s="294"/>
      <c r="E870" s="294"/>
      <c r="F870" s="171"/>
      <c r="G870" s="294"/>
      <c r="H870" s="294"/>
      <c r="I870" s="294"/>
      <c r="J870" s="294"/>
      <c r="K870" s="294"/>
      <c r="L870" s="294"/>
      <c r="T870" s="295"/>
      <c r="AA870" s="295"/>
      <c r="AH870" s="295"/>
      <c r="AI870" s="188"/>
      <c r="AJ870" s="188"/>
      <c r="AK870" s="188"/>
      <c r="AL870" s="188"/>
      <c r="AM870" s="188"/>
      <c r="AN870" s="188"/>
      <c r="AO870" s="299"/>
      <c r="AQ870" s="296"/>
      <c r="AR870" s="296"/>
      <c r="AS870" s="296"/>
      <c r="AU870" s="296"/>
      <c r="AV870" s="296"/>
      <c r="AW870" s="296"/>
    </row>
    <row r="871" spans="2:49" ht="13">
      <c r="B871" s="294"/>
      <c r="C871" s="294"/>
      <c r="D871" s="294"/>
      <c r="E871" s="294"/>
      <c r="F871" s="171"/>
      <c r="G871" s="294"/>
      <c r="H871" s="294"/>
      <c r="I871" s="294"/>
      <c r="J871" s="294"/>
      <c r="K871" s="294"/>
      <c r="L871" s="294"/>
      <c r="T871" s="295"/>
      <c r="AA871" s="295"/>
      <c r="AH871" s="295"/>
      <c r="AI871" s="188"/>
      <c r="AJ871" s="188"/>
      <c r="AK871" s="188"/>
      <c r="AL871" s="188"/>
      <c r="AM871" s="188"/>
      <c r="AN871" s="188"/>
      <c r="AO871" s="299"/>
      <c r="AQ871" s="296"/>
      <c r="AR871" s="296"/>
      <c r="AS871" s="296"/>
      <c r="AU871" s="296"/>
      <c r="AV871" s="296"/>
      <c r="AW871" s="296"/>
    </row>
    <row r="872" spans="2:49" ht="13">
      <c r="B872" s="294"/>
      <c r="C872" s="294"/>
      <c r="D872" s="294"/>
      <c r="E872" s="294"/>
      <c r="F872" s="171"/>
      <c r="G872" s="294"/>
      <c r="H872" s="294"/>
      <c r="I872" s="294"/>
      <c r="J872" s="294"/>
      <c r="K872" s="294"/>
      <c r="L872" s="294"/>
      <c r="T872" s="295"/>
      <c r="AA872" s="295"/>
      <c r="AH872" s="295"/>
      <c r="AI872" s="188"/>
      <c r="AJ872" s="188"/>
      <c r="AK872" s="188"/>
      <c r="AL872" s="188"/>
      <c r="AM872" s="188"/>
      <c r="AN872" s="188"/>
      <c r="AO872" s="299"/>
      <c r="AQ872" s="296"/>
      <c r="AR872" s="296"/>
      <c r="AS872" s="296"/>
      <c r="AU872" s="296"/>
      <c r="AV872" s="296"/>
      <c r="AW872" s="296"/>
    </row>
    <row r="873" spans="2:49" ht="13">
      <c r="B873" s="294"/>
      <c r="C873" s="294"/>
      <c r="D873" s="294"/>
      <c r="E873" s="294"/>
      <c r="F873" s="171"/>
      <c r="G873" s="294"/>
      <c r="H873" s="294"/>
      <c r="I873" s="294"/>
      <c r="J873" s="294"/>
      <c r="K873" s="294"/>
      <c r="L873" s="294"/>
      <c r="T873" s="295"/>
      <c r="AA873" s="295"/>
      <c r="AH873" s="295"/>
      <c r="AI873" s="188"/>
      <c r="AJ873" s="188"/>
      <c r="AK873" s="188"/>
      <c r="AL873" s="188"/>
      <c r="AM873" s="188"/>
      <c r="AN873" s="188"/>
      <c r="AO873" s="299"/>
      <c r="AQ873" s="296"/>
      <c r="AR873" s="296"/>
      <c r="AS873" s="296"/>
      <c r="AU873" s="296"/>
      <c r="AV873" s="296"/>
      <c r="AW873" s="296"/>
    </row>
    <row r="874" spans="2:49" ht="13">
      <c r="B874" s="294"/>
      <c r="C874" s="294"/>
      <c r="D874" s="294"/>
      <c r="E874" s="294"/>
      <c r="F874" s="171"/>
      <c r="G874" s="294"/>
      <c r="H874" s="294"/>
      <c r="I874" s="294"/>
      <c r="J874" s="294"/>
      <c r="K874" s="294"/>
      <c r="L874" s="294"/>
      <c r="T874" s="295"/>
      <c r="AA874" s="295"/>
      <c r="AH874" s="295"/>
      <c r="AI874" s="188"/>
      <c r="AJ874" s="188"/>
      <c r="AK874" s="188"/>
      <c r="AL874" s="188"/>
      <c r="AM874" s="188"/>
      <c r="AN874" s="188"/>
      <c r="AO874" s="299"/>
      <c r="AQ874" s="296"/>
      <c r="AR874" s="296"/>
      <c r="AS874" s="296"/>
      <c r="AU874" s="296"/>
      <c r="AV874" s="296"/>
      <c r="AW874" s="296"/>
    </row>
    <row r="875" spans="2:49" ht="13">
      <c r="B875" s="294"/>
      <c r="C875" s="294"/>
      <c r="D875" s="294"/>
      <c r="E875" s="294"/>
      <c r="F875" s="171"/>
      <c r="G875" s="294"/>
      <c r="H875" s="294"/>
      <c r="I875" s="294"/>
      <c r="J875" s="294"/>
      <c r="K875" s="294"/>
      <c r="L875" s="294"/>
      <c r="T875" s="295"/>
      <c r="AA875" s="295"/>
      <c r="AH875" s="295"/>
      <c r="AI875" s="188"/>
      <c r="AJ875" s="188"/>
      <c r="AK875" s="188"/>
      <c r="AL875" s="188"/>
      <c r="AM875" s="188"/>
      <c r="AN875" s="188"/>
      <c r="AO875" s="299"/>
      <c r="AQ875" s="296"/>
      <c r="AR875" s="296"/>
      <c r="AS875" s="296"/>
      <c r="AU875" s="296"/>
      <c r="AV875" s="296"/>
      <c r="AW875" s="296"/>
    </row>
    <row r="876" spans="2:49" ht="13">
      <c r="B876" s="294"/>
      <c r="C876" s="294"/>
      <c r="D876" s="294"/>
      <c r="E876" s="294"/>
      <c r="F876" s="171"/>
      <c r="G876" s="294"/>
      <c r="H876" s="294"/>
      <c r="I876" s="294"/>
      <c r="J876" s="294"/>
      <c r="K876" s="294"/>
      <c r="L876" s="294"/>
      <c r="T876" s="295"/>
      <c r="AA876" s="295"/>
      <c r="AH876" s="295"/>
      <c r="AI876" s="188"/>
      <c r="AJ876" s="188"/>
      <c r="AK876" s="188"/>
      <c r="AL876" s="188"/>
      <c r="AM876" s="188"/>
      <c r="AN876" s="188"/>
      <c r="AO876" s="299"/>
      <c r="AQ876" s="296"/>
      <c r="AR876" s="296"/>
      <c r="AS876" s="296"/>
      <c r="AU876" s="296"/>
      <c r="AV876" s="296"/>
      <c r="AW876" s="296"/>
    </row>
    <row r="877" spans="2:49" ht="13">
      <c r="B877" s="294"/>
      <c r="C877" s="294"/>
      <c r="D877" s="294"/>
      <c r="E877" s="294"/>
      <c r="F877" s="171"/>
      <c r="G877" s="294"/>
      <c r="H877" s="294"/>
      <c r="I877" s="294"/>
      <c r="J877" s="294"/>
      <c r="K877" s="294"/>
      <c r="L877" s="294"/>
      <c r="T877" s="295"/>
      <c r="AA877" s="295"/>
      <c r="AH877" s="295"/>
      <c r="AI877" s="188"/>
      <c r="AJ877" s="188"/>
      <c r="AK877" s="188"/>
      <c r="AL877" s="188"/>
      <c r="AM877" s="188"/>
      <c r="AN877" s="188"/>
      <c r="AO877" s="299"/>
      <c r="AQ877" s="296"/>
      <c r="AR877" s="296"/>
      <c r="AS877" s="296"/>
      <c r="AU877" s="296"/>
      <c r="AV877" s="296"/>
      <c r="AW877" s="296"/>
    </row>
    <row r="878" spans="2:49" ht="13">
      <c r="B878" s="294"/>
      <c r="C878" s="294"/>
      <c r="D878" s="294"/>
      <c r="E878" s="294"/>
      <c r="F878" s="171"/>
      <c r="G878" s="294"/>
      <c r="H878" s="294"/>
      <c r="I878" s="294"/>
      <c r="J878" s="294"/>
      <c r="K878" s="294"/>
      <c r="L878" s="294"/>
      <c r="T878" s="295"/>
      <c r="AA878" s="295"/>
      <c r="AH878" s="295"/>
      <c r="AI878" s="188"/>
      <c r="AJ878" s="188"/>
      <c r="AK878" s="188"/>
      <c r="AL878" s="188"/>
      <c r="AM878" s="188"/>
      <c r="AN878" s="188"/>
      <c r="AO878" s="299"/>
      <c r="AQ878" s="296"/>
      <c r="AR878" s="296"/>
      <c r="AS878" s="296"/>
      <c r="AU878" s="296"/>
      <c r="AV878" s="296"/>
      <c r="AW878" s="296"/>
    </row>
    <row r="879" spans="2:49" ht="13">
      <c r="B879" s="294"/>
      <c r="C879" s="294"/>
      <c r="D879" s="294"/>
      <c r="E879" s="294"/>
      <c r="F879" s="171"/>
      <c r="G879" s="294"/>
      <c r="H879" s="294"/>
      <c r="I879" s="294"/>
      <c r="J879" s="294"/>
      <c r="K879" s="294"/>
      <c r="L879" s="294"/>
      <c r="T879" s="295"/>
      <c r="AA879" s="295"/>
      <c r="AH879" s="295"/>
      <c r="AI879" s="188"/>
      <c r="AJ879" s="188"/>
      <c r="AK879" s="188"/>
      <c r="AL879" s="188"/>
      <c r="AM879" s="188"/>
      <c r="AN879" s="188"/>
      <c r="AO879" s="299"/>
      <c r="AQ879" s="296"/>
      <c r="AR879" s="296"/>
      <c r="AS879" s="296"/>
      <c r="AU879" s="296"/>
      <c r="AV879" s="296"/>
      <c r="AW879" s="296"/>
    </row>
    <row r="880" spans="2:49" ht="13">
      <c r="B880" s="294"/>
      <c r="C880" s="294"/>
      <c r="D880" s="294"/>
      <c r="E880" s="294"/>
      <c r="F880" s="171"/>
      <c r="G880" s="294"/>
      <c r="H880" s="294"/>
      <c r="I880" s="294"/>
      <c r="J880" s="294"/>
      <c r="K880" s="294"/>
      <c r="L880" s="294"/>
      <c r="T880" s="295"/>
      <c r="AA880" s="295"/>
      <c r="AH880" s="295"/>
      <c r="AI880" s="188"/>
      <c r="AJ880" s="188"/>
      <c r="AK880" s="188"/>
      <c r="AL880" s="188"/>
      <c r="AM880" s="188"/>
      <c r="AN880" s="188"/>
      <c r="AO880" s="299"/>
      <c r="AQ880" s="296"/>
      <c r="AR880" s="296"/>
      <c r="AS880" s="296"/>
      <c r="AU880" s="296"/>
      <c r="AV880" s="296"/>
      <c r="AW880" s="296"/>
    </row>
    <row r="881" spans="2:49" ht="13">
      <c r="B881" s="294"/>
      <c r="C881" s="294"/>
      <c r="D881" s="294"/>
      <c r="E881" s="294"/>
      <c r="F881" s="171"/>
      <c r="G881" s="294"/>
      <c r="H881" s="294"/>
      <c r="I881" s="294"/>
      <c r="J881" s="294"/>
      <c r="K881" s="294"/>
      <c r="L881" s="294"/>
      <c r="T881" s="295"/>
      <c r="AA881" s="295"/>
      <c r="AH881" s="295"/>
      <c r="AI881" s="188"/>
      <c r="AJ881" s="188"/>
      <c r="AK881" s="188"/>
      <c r="AL881" s="188"/>
      <c r="AM881" s="188"/>
      <c r="AN881" s="188"/>
      <c r="AO881" s="299"/>
      <c r="AQ881" s="296"/>
      <c r="AR881" s="296"/>
      <c r="AS881" s="296"/>
      <c r="AU881" s="296"/>
      <c r="AV881" s="296"/>
      <c r="AW881" s="296"/>
    </row>
    <row r="882" spans="2:49" ht="13">
      <c r="B882" s="294"/>
      <c r="C882" s="294"/>
      <c r="D882" s="294"/>
      <c r="E882" s="294"/>
      <c r="F882" s="171"/>
      <c r="G882" s="294"/>
      <c r="H882" s="294"/>
      <c r="I882" s="294"/>
      <c r="J882" s="294"/>
      <c r="K882" s="294"/>
      <c r="L882" s="294"/>
      <c r="T882" s="295"/>
      <c r="AA882" s="295"/>
      <c r="AH882" s="295"/>
      <c r="AI882" s="188"/>
      <c r="AJ882" s="188"/>
      <c r="AK882" s="188"/>
      <c r="AL882" s="188"/>
      <c r="AM882" s="188"/>
      <c r="AN882" s="188"/>
      <c r="AO882" s="299"/>
      <c r="AQ882" s="296"/>
      <c r="AR882" s="296"/>
      <c r="AS882" s="296"/>
      <c r="AU882" s="296"/>
      <c r="AV882" s="296"/>
      <c r="AW882" s="296"/>
    </row>
    <row r="883" spans="2:49" ht="13">
      <c r="B883" s="294"/>
      <c r="C883" s="294"/>
      <c r="D883" s="294"/>
      <c r="E883" s="294"/>
      <c r="F883" s="171"/>
      <c r="G883" s="294"/>
      <c r="H883" s="294"/>
      <c r="I883" s="294"/>
      <c r="J883" s="294"/>
      <c r="K883" s="294"/>
      <c r="L883" s="294"/>
      <c r="T883" s="295"/>
      <c r="AA883" s="295"/>
      <c r="AH883" s="295"/>
      <c r="AI883" s="188"/>
      <c r="AJ883" s="188"/>
      <c r="AK883" s="188"/>
      <c r="AL883" s="188"/>
      <c r="AM883" s="188"/>
      <c r="AN883" s="188"/>
      <c r="AO883" s="299"/>
      <c r="AQ883" s="296"/>
      <c r="AR883" s="296"/>
      <c r="AS883" s="296"/>
      <c r="AU883" s="296"/>
      <c r="AV883" s="296"/>
      <c r="AW883" s="296"/>
    </row>
    <row r="884" spans="2:49" ht="13">
      <c r="B884" s="294"/>
      <c r="C884" s="294"/>
      <c r="D884" s="294"/>
      <c r="E884" s="294"/>
      <c r="F884" s="171"/>
      <c r="G884" s="294"/>
      <c r="H884" s="294"/>
      <c r="I884" s="294"/>
      <c r="J884" s="294"/>
      <c r="K884" s="294"/>
      <c r="L884" s="294"/>
      <c r="T884" s="295"/>
      <c r="AA884" s="295"/>
      <c r="AH884" s="295"/>
      <c r="AI884" s="188"/>
      <c r="AJ884" s="188"/>
      <c r="AK884" s="188"/>
      <c r="AL884" s="188"/>
      <c r="AM884" s="188"/>
      <c r="AN884" s="188"/>
      <c r="AO884" s="299"/>
      <c r="AQ884" s="296"/>
      <c r="AR884" s="296"/>
      <c r="AS884" s="296"/>
      <c r="AU884" s="296"/>
      <c r="AV884" s="296"/>
      <c r="AW884" s="296"/>
    </row>
    <row r="885" spans="2:49" ht="13">
      <c r="B885" s="294"/>
      <c r="C885" s="294"/>
      <c r="D885" s="294"/>
      <c r="E885" s="294"/>
      <c r="F885" s="171"/>
      <c r="G885" s="294"/>
      <c r="H885" s="294"/>
      <c r="I885" s="294"/>
      <c r="J885" s="294"/>
      <c r="K885" s="294"/>
      <c r="L885" s="294"/>
      <c r="T885" s="295"/>
      <c r="AA885" s="295"/>
      <c r="AH885" s="295"/>
      <c r="AI885" s="188"/>
      <c r="AJ885" s="188"/>
      <c r="AK885" s="188"/>
      <c r="AL885" s="188"/>
      <c r="AM885" s="188"/>
      <c r="AN885" s="188"/>
      <c r="AO885" s="299"/>
      <c r="AQ885" s="296"/>
      <c r="AR885" s="296"/>
      <c r="AS885" s="296"/>
      <c r="AU885" s="296"/>
      <c r="AV885" s="296"/>
      <c r="AW885" s="296"/>
    </row>
    <row r="886" spans="2:49" ht="13">
      <c r="B886" s="294"/>
      <c r="C886" s="294"/>
      <c r="D886" s="294"/>
      <c r="E886" s="294"/>
      <c r="F886" s="171"/>
      <c r="G886" s="294"/>
      <c r="H886" s="294"/>
      <c r="I886" s="294"/>
      <c r="J886" s="294"/>
      <c r="K886" s="294"/>
      <c r="L886" s="294"/>
      <c r="T886" s="295"/>
      <c r="AA886" s="295"/>
      <c r="AH886" s="295"/>
      <c r="AI886" s="188"/>
      <c r="AJ886" s="188"/>
      <c r="AK886" s="188"/>
      <c r="AL886" s="188"/>
      <c r="AM886" s="188"/>
      <c r="AN886" s="188"/>
      <c r="AO886" s="299"/>
      <c r="AQ886" s="296"/>
      <c r="AR886" s="296"/>
      <c r="AS886" s="296"/>
      <c r="AU886" s="296"/>
      <c r="AV886" s="296"/>
      <c r="AW886" s="296"/>
    </row>
    <row r="887" spans="2:49" ht="13">
      <c r="B887" s="294"/>
      <c r="C887" s="294"/>
      <c r="D887" s="294"/>
      <c r="E887" s="294"/>
      <c r="F887" s="171"/>
      <c r="G887" s="294"/>
      <c r="H887" s="294"/>
      <c r="I887" s="294"/>
      <c r="J887" s="294"/>
      <c r="K887" s="294"/>
      <c r="L887" s="294"/>
      <c r="T887" s="295"/>
      <c r="AA887" s="295"/>
      <c r="AH887" s="295"/>
      <c r="AI887" s="188"/>
      <c r="AJ887" s="188"/>
      <c r="AK887" s="188"/>
      <c r="AL887" s="188"/>
      <c r="AM887" s="188"/>
      <c r="AN887" s="188"/>
      <c r="AO887" s="299"/>
      <c r="AQ887" s="296"/>
      <c r="AR887" s="296"/>
      <c r="AS887" s="296"/>
      <c r="AU887" s="296"/>
      <c r="AV887" s="296"/>
      <c r="AW887" s="296"/>
    </row>
    <row r="888" spans="2:49" ht="13">
      <c r="B888" s="294"/>
      <c r="C888" s="294"/>
      <c r="D888" s="294"/>
      <c r="E888" s="294"/>
      <c r="F888" s="171"/>
      <c r="G888" s="294"/>
      <c r="H888" s="294"/>
      <c r="I888" s="294"/>
      <c r="J888" s="294"/>
      <c r="K888" s="294"/>
      <c r="L888" s="294"/>
      <c r="T888" s="295"/>
      <c r="AA888" s="295"/>
      <c r="AH888" s="295"/>
      <c r="AI888" s="188"/>
      <c r="AJ888" s="188"/>
      <c r="AK888" s="188"/>
      <c r="AL888" s="188"/>
      <c r="AM888" s="188"/>
      <c r="AN888" s="188"/>
      <c r="AO888" s="299"/>
      <c r="AQ888" s="296"/>
      <c r="AR888" s="296"/>
      <c r="AS888" s="296"/>
      <c r="AU888" s="296"/>
      <c r="AV888" s="296"/>
      <c r="AW888" s="296"/>
    </row>
    <row r="889" spans="2:49" ht="13">
      <c r="B889" s="294"/>
      <c r="C889" s="294"/>
      <c r="D889" s="294"/>
      <c r="E889" s="294"/>
      <c r="F889" s="171"/>
      <c r="G889" s="294"/>
      <c r="H889" s="294"/>
      <c r="I889" s="294"/>
      <c r="J889" s="294"/>
      <c r="K889" s="294"/>
      <c r="L889" s="294"/>
      <c r="T889" s="295"/>
      <c r="AA889" s="295"/>
      <c r="AH889" s="295"/>
      <c r="AI889" s="188"/>
      <c r="AJ889" s="188"/>
      <c r="AK889" s="188"/>
      <c r="AL889" s="188"/>
      <c r="AM889" s="188"/>
      <c r="AN889" s="188"/>
      <c r="AO889" s="299"/>
      <c r="AQ889" s="296"/>
      <c r="AR889" s="296"/>
      <c r="AS889" s="296"/>
      <c r="AU889" s="296"/>
      <c r="AV889" s="296"/>
      <c r="AW889" s="296"/>
    </row>
    <row r="890" spans="2:49" ht="13">
      <c r="B890" s="294"/>
      <c r="C890" s="294"/>
      <c r="D890" s="294"/>
      <c r="E890" s="294"/>
      <c r="F890" s="171"/>
      <c r="G890" s="294"/>
      <c r="H890" s="294"/>
      <c r="I890" s="294"/>
      <c r="J890" s="294"/>
      <c r="K890" s="294"/>
      <c r="L890" s="294"/>
      <c r="T890" s="295"/>
      <c r="AA890" s="295"/>
      <c r="AH890" s="295"/>
      <c r="AI890" s="188"/>
      <c r="AJ890" s="188"/>
      <c r="AK890" s="188"/>
      <c r="AL890" s="188"/>
      <c r="AM890" s="188"/>
      <c r="AN890" s="188"/>
      <c r="AO890" s="299"/>
      <c r="AQ890" s="296"/>
      <c r="AR890" s="296"/>
      <c r="AS890" s="296"/>
      <c r="AU890" s="296"/>
      <c r="AV890" s="296"/>
      <c r="AW890" s="296"/>
    </row>
    <row r="891" spans="2:49" ht="13">
      <c r="B891" s="294"/>
      <c r="C891" s="294"/>
      <c r="D891" s="294"/>
      <c r="E891" s="294"/>
      <c r="F891" s="171"/>
      <c r="G891" s="294"/>
      <c r="H891" s="294"/>
      <c r="I891" s="294"/>
      <c r="J891" s="294"/>
      <c r="K891" s="294"/>
      <c r="L891" s="294"/>
      <c r="T891" s="295"/>
      <c r="AA891" s="295"/>
      <c r="AH891" s="295"/>
      <c r="AI891" s="188"/>
      <c r="AJ891" s="188"/>
      <c r="AK891" s="188"/>
      <c r="AL891" s="188"/>
      <c r="AM891" s="188"/>
      <c r="AN891" s="188"/>
      <c r="AO891" s="299"/>
      <c r="AQ891" s="296"/>
      <c r="AR891" s="296"/>
      <c r="AS891" s="296"/>
      <c r="AU891" s="296"/>
      <c r="AV891" s="296"/>
      <c r="AW891" s="296"/>
    </row>
    <row r="892" spans="2:49" ht="13">
      <c r="B892" s="294"/>
      <c r="C892" s="294"/>
      <c r="D892" s="294"/>
      <c r="E892" s="294"/>
      <c r="F892" s="171"/>
      <c r="G892" s="294"/>
      <c r="H892" s="294"/>
      <c r="I892" s="294"/>
      <c r="J892" s="294"/>
      <c r="K892" s="294"/>
      <c r="L892" s="294"/>
      <c r="T892" s="295"/>
      <c r="AA892" s="295"/>
      <c r="AH892" s="295"/>
      <c r="AI892" s="188"/>
      <c r="AJ892" s="188"/>
      <c r="AK892" s="188"/>
      <c r="AL892" s="188"/>
      <c r="AM892" s="188"/>
      <c r="AN892" s="188"/>
      <c r="AO892" s="299"/>
      <c r="AQ892" s="296"/>
      <c r="AR892" s="296"/>
      <c r="AS892" s="296"/>
      <c r="AU892" s="296"/>
      <c r="AV892" s="296"/>
      <c r="AW892" s="296"/>
    </row>
    <row r="893" spans="2:49" ht="13">
      <c r="B893" s="294"/>
      <c r="C893" s="294"/>
      <c r="D893" s="294"/>
      <c r="E893" s="294"/>
      <c r="F893" s="171"/>
      <c r="G893" s="294"/>
      <c r="H893" s="294"/>
      <c r="I893" s="294"/>
      <c r="J893" s="294"/>
      <c r="K893" s="294"/>
      <c r="L893" s="294"/>
      <c r="T893" s="295"/>
      <c r="AA893" s="295"/>
      <c r="AH893" s="295"/>
      <c r="AI893" s="188"/>
      <c r="AJ893" s="188"/>
      <c r="AK893" s="188"/>
      <c r="AL893" s="188"/>
      <c r="AM893" s="188"/>
      <c r="AN893" s="188"/>
      <c r="AO893" s="299"/>
      <c r="AQ893" s="296"/>
      <c r="AR893" s="296"/>
      <c r="AS893" s="296"/>
      <c r="AU893" s="296"/>
      <c r="AV893" s="296"/>
      <c r="AW893" s="296"/>
    </row>
    <row r="894" spans="2:49" ht="13">
      <c r="B894" s="294"/>
      <c r="C894" s="294"/>
      <c r="D894" s="294"/>
      <c r="E894" s="294"/>
      <c r="F894" s="171"/>
      <c r="G894" s="294"/>
      <c r="H894" s="294"/>
      <c r="I894" s="294"/>
      <c r="J894" s="294"/>
      <c r="K894" s="294"/>
      <c r="L894" s="294"/>
      <c r="T894" s="295"/>
      <c r="AA894" s="295"/>
      <c r="AH894" s="295"/>
      <c r="AI894" s="188"/>
      <c r="AJ894" s="188"/>
      <c r="AK894" s="188"/>
      <c r="AL894" s="188"/>
      <c r="AM894" s="188"/>
      <c r="AN894" s="188"/>
      <c r="AO894" s="299"/>
      <c r="AQ894" s="296"/>
      <c r="AR894" s="296"/>
      <c r="AS894" s="296"/>
      <c r="AU894" s="296"/>
      <c r="AV894" s="296"/>
      <c r="AW894" s="296"/>
    </row>
    <row r="895" spans="2:49" ht="13">
      <c r="B895" s="294"/>
      <c r="C895" s="294"/>
      <c r="D895" s="294"/>
      <c r="E895" s="294"/>
      <c r="F895" s="171"/>
      <c r="G895" s="294"/>
      <c r="H895" s="294"/>
      <c r="I895" s="294"/>
      <c r="J895" s="294"/>
      <c r="K895" s="294"/>
      <c r="L895" s="294"/>
      <c r="T895" s="295"/>
      <c r="AA895" s="295"/>
      <c r="AH895" s="295"/>
      <c r="AI895" s="188"/>
      <c r="AJ895" s="188"/>
      <c r="AK895" s="188"/>
      <c r="AL895" s="188"/>
      <c r="AM895" s="188"/>
      <c r="AN895" s="188"/>
      <c r="AO895" s="299"/>
      <c r="AQ895" s="296"/>
      <c r="AR895" s="296"/>
      <c r="AS895" s="296"/>
      <c r="AU895" s="296"/>
      <c r="AV895" s="296"/>
      <c r="AW895" s="296"/>
    </row>
    <row r="896" spans="2:49" ht="13">
      <c r="B896" s="294"/>
      <c r="C896" s="294"/>
      <c r="D896" s="294"/>
      <c r="E896" s="294"/>
      <c r="F896" s="171"/>
      <c r="G896" s="294"/>
      <c r="H896" s="294"/>
      <c r="I896" s="294"/>
      <c r="J896" s="294"/>
      <c r="K896" s="294"/>
      <c r="L896" s="294"/>
      <c r="T896" s="295"/>
      <c r="AA896" s="295"/>
      <c r="AH896" s="295"/>
      <c r="AI896" s="188"/>
      <c r="AJ896" s="188"/>
      <c r="AK896" s="188"/>
      <c r="AL896" s="188"/>
      <c r="AM896" s="188"/>
      <c r="AN896" s="188"/>
      <c r="AO896" s="299"/>
      <c r="AQ896" s="296"/>
      <c r="AR896" s="296"/>
      <c r="AS896" s="296"/>
      <c r="AU896" s="296"/>
      <c r="AV896" s="296"/>
      <c r="AW896" s="296"/>
    </row>
    <row r="897" spans="2:49" ht="13">
      <c r="B897" s="294"/>
      <c r="C897" s="294"/>
      <c r="D897" s="294"/>
      <c r="E897" s="294"/>
      <c r="F897" s="171"/>
      <c r="G897" s="294"/>
      <c r="H897" s="294"/>
      <c r="I897" s="294"/>
      <c r="J897" s="294"/>
      <c r="K897" s="294"/>
      <c r="L897" s="294"/>
      <c r="T897" s="295"/>
      <c r="AA897" s="295"/>
      <c r="AH897" s="295"/>
      <c r="AI897" s="188"/>
      <c r="AJ897" s="188"/>
      <c r="AK897" s="188"/>
      <c r="AL897" s="188"/>
      <c r="AM897" s="188"/>
      <c r="AN897" s="188"/>
      <c r="AO897" s="299"/>
      <c r="AQ897" s="296"/>
      <c r="AR897" s="296"/>
      <c r="AS897" s="296"/>
      <c r="AU897" s="296"/>
      <c r="AV897" s="296"/>
      <c r="AW897" s="296"/>
    </row>
    <row r="898" spans="2:49" ht="13">
      <c r="B898" s="294"/>
      <c r="C898" s="294"/>
      <c r="D898" s="294"/>
      <c r="E898" s="294"/>
      <c r="F898" s="171"/>
      <c r="G898" s="294"/>
      <c r="H898" s="294"/>
      <c r="I898" s="294"/>
      <c r="J898" s="294"/>
      <c r="K898" s="294"/>
      <c r="L898" s="294"/>
      <c r="T898" s="295"/>
      <c r="AA898" s="295"/>
      <c r="AH898" s="295"/>
      <c r="AI898" s="188"/>
      <c r="AJ898" s="188"/>
      <c r="AK898" s="188"/>
      <c r="AL898" s="188"/>
      <c r="AM898" s="188"/>
      <c r="AN898" s="188"/>
      <c r="AO898" s="299"/>
      <c r="AQ898" s="296"/>
      <c r="AR898" s="296"/>
      <c r="AS898" s="296"/>
      <c r="AU898" s="296"/>
      <c r="AV898" s="296"/>
      <c r="AW898" s="296"/>
    </row>
    <row r="899" spans="2:49" ht="13">
      <c r="B899" s="294"/>
      <c r="C899" s="294"/>
      <c r="D899" s="294"/>
      <c r="E899" s="294"/>
      <c r="F899" s="171"/>
      <c r="G899" s="294"/>
      <c r="H899" s="294"/>
      <c r="I899" s="294"/>
      <c r="J899" s="294"/>
      <c r="K899" s="294"/>
      <c r="L899" s="294"/>
      <c r="T899" s="295"/>
      <c r="AA899" s="295"/>
      <c r="AH899" s="295"/>
      <c r="AI899" s="188"/>
      <c r="AJ899" s="188"/>
      <c r="AK899" s="188"/>
      <c r="AL899" s="188"/>
      <c r="AM899" s="188"/>
      <c r="AN899" s="188"/>
      <c r="AO899" s="299"/>
      <c r="AQ899" s="296"/>
      <c r="AR899" s="296"/>
      <c r="AS899" s="296"/>
      <c r="AU899" s="296"/>
      <c r="AV899" s="296"/>
      <c r="AW899" s="296"/>
    </row>
    <row r="900" spans="2:49" ht="13">
      <c r="B900" s="294"/>
      <c r="C900" s="294"/>
      <c r="D900" s="294"/>
      <c r="E900" s="294"/>
      <c r="F900" s="171"/>
      <c r="G900" s="294"/>
      <c r="H900" s="294"/>
      <c r="I900" s="294"/>
      <c r="J900" s="294"/>
      <c r="K900" s="294"/>
      <c r="L900" s="294"/>
      <c r="T900" s="295"/>
      <c r="AA900" s="295"/>
      <c r="AH900" s="295"/>
      <c r="AI900" s="188"/>
      <c r="AJ900" s="188"/>
      <c r="AK900" s="188"/>
      <c r="AL900" s="188"/>
      <c r="AM900" s="188"/>
      <c r="AN900" s="188"/>
      <c r="AO900" s="299"/>
      <c r="AQ900" s="296"/>
      <c r="AR900" s="296"/>
      <c r="AS900" s="296"/>
      <c r="AU900" s="296"/>
      <c r="AV900" s="296"/>
      <c r="AW900" s="296"/>
    </row>
    <row r="901" spans="2:49" ht="13">
      <c r="B901" s="294"/>
      <c r="C901" s="294"/>
      <c r="D901" s="294"/>
      <c r="E901" s="294"/>
      <c r="F901" s="171"/>
      <c r="G901" s="294"/>
      <c r="H901" s="294"/>
      <c r="I901" s="294"/>
      <c r="J901" s="294"/>
      <c r="K901" s="294"/>
      <c r="L901" s="294"/>
      <c r="T901" s="295"/>
      <c r="AA901" s="295"/>
      <c r="AH901" s="295"/>
      <c r="AI901" s="188"/>
      <c r="AJ901" s="188"/>
      <c r="AK901" s="188"/>
      <c r="AL901" s="188"/>
      <c r="AM901" s="188"/>
      <c r="AN901" s="188"/>
      <c r="AO901" s="299"/>
      <c r="AQ901" s="296"/>
      <c r="AR901" s="296"/>
      <c r="AS901" s="296"/>
      <c r="AU901" s="296"/>
      <c r="AV901" s="296"/>
      <c r="AW901" s="296"/>
    </row>
    <row r="902" spans="2:49" ht="13">
      <c r="B902" s="294"/>
      <c r="C902" s="294"/>
      <c r="D902" s="294"/>
      <c r="E902" s="294"/>
      <c r="F902" s="171"/>
      <c r="G902" s="294"/>
      <c r="H902" s="294"/>
      <c r="I902" s="294"/>
      <c r="J902" s="294"/>
      <c r="K902" s="294"/>
      <c r="L902" s="294"/>
      <c r="T902" s="295"/>
      <c r="AA902" s="295"/>
      <c r="AH902" s="295"/>
      <c r="AI902" s="188"/>
      <c r="AJ902" s="188"/>
      <c r="AK902" s="188"/>
      <c r="AL902" s="188"/>
      <c r="AM902" s="188"/>
      <c r="AN902" s="188"/>
      <c r="AO902" s="299"/>
      <c r="AQ902" s="296"/>
      <c r="AR902" s="296"/>
      <c r="AS902" s="296"/>
      <c r="AU902" s="296"/>
      <c r="AV902" s="296"/>
      <c r="AW902" s="296"/>
    </row>
    <row r="903" spans="2:49" ht="13">
      <c r="B903" s="294"/>
      <c r="C903" s="294"/>
      <c r="D903" s="294"/>
      <c r="E903" s="294"/>
      <c r="F903" s="171"/>
      <c r="G903" s="294"/>
      <c r="H903" s="294"/>
      <c r="I903" s="294"/>
      <c r="J903" s="294"/>
      <c r="K903" s="294"/>
      <c r="L903" s="294"/>
      <c r="T903" s="295"/>
      <c r="AA903" s="295"/>
      <c r="AH903" s="295"/>
      <c r="AI903" s="188"/>
      <c r="AJ903" s="188"/>
      <c r="AK903" s="188"/>
      <c r="AL903" s="188"/>
      <c r="AM903" s="188"/>
      <c r="AN903" s="188"/>
      <c r="AO903" s="299"/>
      <c r="AQ903" s="296"/>
      <c r="AR903" s="296"/>
      <c r="AS903" s="296"/>
      <c r="AU903" s="296"/>
      <c r="AV903" s="296"/>
      <c r="AW903" s="296"/>
    </row>
    <row r="904" spans="2:49" ht="13">
      <c r="B904" s="294"/>
      <c r="C904" s="294"/>
      <c r="D904" s="294"/>
      <c r="E904" s="294"/>
      <c r="F904" s="171"/>
      <c r="G904" s="294"/>
      <c r="H904" s="294"/>
      <c r="I904" s="294"/>
      <c r="J904" s="294"/>
      <c r="K904" s="294"/>
      <c r="L904" s="294"/>
      <c r="T904" s="295"/>
      <c r="AA904" s="295"/>
      <c r="AH904" s="295"/>
      <c r="AI904" s="188"/>
      <c r="AJ904" s="188"/>
      <c r="AK904" s="188"/>
      <c r="AL904" s="188"/>
      <c r="AM904" s="188"/>
      <c r="AN904" s="188"/>
      <c r="AO904" s="299"/>
      <c r="AQ904" s="296"/>
      <c r="AR904" s="296"/>
      <c r="AS904" s="296"/>
      <c r="AU904" s="296"/>
      <c r="AV904" s="296"/>
      <c r="AW904" s="296"/>
    </row>
    <row r="905" spans="2:49" ht="13">
      <c r="B905" s="294"/>
      <c r="C905" s="294"/>
      <c r="D905" s="294"/>
      <c r="E905" s="294"/>
      <c r="F905" s="171"/>
      <c r="G905" s="294"/>
      <c r="H905" s="294"/>
      <c r="I905" s="294"/>
      <c r="J905" s="294"/>
      <c r="K905" s="294"/>
      <c r="L905" s="294"/>
      <c r="T905" s="295"/>
      <c r="AA905" s="295"/>
      <c r="AH905" s="295"/>
      <c r="AI905" s="188"/>
      <c r="AJ905" s="188"/>
      <c r="AK905" s="188"/>
      <c r="AL905" s="188"/>
      <c r="AM905" s="188"/>
      <c r="AN905" s="188"/>
      <c r="AO905" s="299"/>
      <c r="AQ905" s="296"/>
      <c r="AR905" s="296"/>
      <c r="AS905" s="296"/>
      <c r="AU905" s="296"/>
      <c r="AV905" s="296"/>
      <c r="AW905" s="296"/>
    </row>
    <row r="906" spans="2:49" ht="13">
      <c r="B906" s="294"/>
      <c r="C906" s="294"/>
      <c r="D906" s="294"/>
      <c r="E906" s="294"/>
      <c r="F906" s="171"/>
      <c r="G906" s="294"/>
      <c r="H906" s="294"/>
      <c r="I906" s="294"/>
      <c r="J906" s="294"/>
      <c r="K906" s="294"/>
      <c r="L906" s="294"/>
      <c r="T906" s="295"/>
      <c r="AA906" s="295"/>
      <c r="AH906" s="295"/>
      <c r="AI906" s="188"/>
      <c r="AJ906" s="188"/>
      <c r="AK906" s="188"/>
      <c r="AL906" s="188"/>
      <c r="AM906" s="188"/>
      <c r="AN906" s="188"/>
      <c r="AO906" s="299"/>
      <c r="AQ906" s="296"/>
      <c r="AR906" s="296"/>
      <c r="AS906" s="296"/>
      <c r="AU906" s="296"/>
      <c r="AV906" s="296"/>
      <c r="AW906" s="296"/>
    </row>
    <row r="907" spans="2:49" ht="13">
      <c r="B907" s="294"/>
      <c r="C907" s="294"/>
      <c r="D907" s="294"/>
      <c r="E907" s="294"/>
      <c r="F907" s="171"/>
      <c r="G907" s="294"/>
      <c r="H907" s="294"/>
      <c r="I907" s="294"/>
      <c r="J907" s="294"/>
      <c r="K907" s="294"/>
      <c r="L907" s="294"/>
      <c r="T907" s="295"/>
      <c r="AA907" s="295"/>
      <c r="AH907" s="295"/>
      <c r="AI907" s="188"/>
      <c r="AJ907" s="188"/>
      <c r="AK907" s="188"/>
      <c r="AL907" s="188"/>
      <c r="AM907" s="188"/>
      <c r="AN907" s="188"/>
      <c r="AO907" s="299"/>
      <c r="AQ907" s="296"/>
      <c r="AR907" s="296"/>
      <c r="AS907" s="296"/>
      <c r="AU907" s="296"/>
      <c r="AV907" s="296"/>
      <c r="AW907" s="296"/>
    </row>
    <row r="908" spans="2:49" ht="13">
      <c r="B908" s="294"/>
      <c r="C908" s="294"/>
      <c r="D908" s="294"/>
      <c r="E908" s="294"/>
      <c r="F908" s="171"/>
      <c r="G908" s="294"/>
      <c r="H908" s="294"/>
      <c r="I908" s="294"/>
      <c r="J908" s="294"/>
      <c r="K908" s="294"/>
      <c r="L908" s="294"/>
      <c r="T908" s="295"/>
      <c r="AA908" s="295"/>
      <c r="AH908" s="295"/>
      <c r="AI908" s="188"/>
      <c r="AJ908" s="188"/>
      <c r="AK908" s="188"/>
      <c r="AL908" s="188"/>
      <c r="AM908" s="188"/>
      <c r="AN908" s="188"/>
      <c r="AO908" s="299"/>
      <c r="AQ908" s="296"/>
      <c r="AR908" s="296"/>
      <c r="AS908" s="296"/>
      <c r="AU908" s="296"/>
      <c r="AV908" s="296"/>
      <c r="AW908" s="296"/>
    </row>
    <row r="909" spans="2:49" ht="13">
      <c r="B909" s="294"/>
      <c r="C909" s="294"/>
      <c r="D909" s="294"/>
      <c r="E909" s="294"/>
      <c r="F909" s="171"/>
      <c r="G909" s="294"/>
      <c r="H909" s="294"/>
      <c r="I909" s="294"/>
      <c r="J909" s="294"/>
      <c r="K909" s="294"/>
      <c r="L909" s="294"/>
      <c r="T909" s="295"/>
      <c r="AA909" s="295"/>
      <c r="AH909" s="295"/>
      <c r="AI909" s="188"/>
      <c r="AJ909" s="188"/>
      <c r="AK909" s="188"/>
      <c r="AL909" s="188"/>
      <c r="AM909" s="188"/>
      <c r="AN909" s="188"/>
      <c r="AO909" s="299"/>
      <c r="AQ909" s="296"/>
      <c r="AR909" s="296"/>
      <c r="AS909" s="296"/>
      <c r="AU909" s="296"/>
      <c r="AV909" s="296"/>
      <c r="AW909" s="296"/>
    </row>
    <row r="910" spans="2:49" ht="13">
      <c r="B910" s="294"/>
      <c r="C910" s="294"/>
      <c r="D910" s="294"/>
      <c r="E910" s="294"/>
      <c r="F910" s="171"/>
      <c r="G910" s="294"/>
      <c r="H910" s="294"/>
      <c r="I910" s="294"/>
      <c r="J910" s="294"/>
      <c r="K910" s="294"/>
      <c r="L910" s="294"/>
      <c r="T910" s="295"/>
      <c r="AA910" s="295"/>
      <c r="AH910" s="295"/>
      <c r="AI910" s="188"/>
      <c r="AJ910" s="188"/>
      <c r="AK910" s="188"/>
      <c r="AL910" s="188"/>
      <c r="AM910" s="188"/>
      <c r="AN910" s="188"/>
      <c r="AO910" s="299"/>
      <c r="AQ910" s="296"/>
      <c r="AR910" s="296"/>
      <c r="AS910" s="296"/>
      <c r="AU910" s="296"/>
      <c r="AV910" s="296"/>
      <c r="AW910" s="296"/>
    </row>
    <row r="911" spans="2:49" ht="13">
      <c r="B911" s="294"/>
      <c r="C911" s="294"/>
      <c r="D911" s="294"/>
      <c r="E911" s="294"/>
      <c r="F911" s="171"/>
      <c r="G911" s="294"/>
      <c r="H911" s="294"/>
      <c r="I911" s="294"/>
      <c r="J911" s="294"/>
      <c r="K911" s="294"/>
      <c r="L911" s="294"/>
      <c r="T911" s="295"/>
      <c r="AA911" s="295"/>
      <c r="AH911" s="295"/>
      <c r="AI911" s="188"/>
      <c r="AJ911" s="188"/>
      <c r="AK911" s="188"/>
      <c r="AL911" s="188"/>
      <c r="AM911" s="188"/>
      <c r="AN911" s="188"/>
      <c r="AO911" s="299"/>
      <c r="AQ911" s="296"/>
      <c r="AR911" s="296"/>
      <c r="AS911" s="296"/>
      <c r="AU911" s="296"/>
      <c r="AV911" s="296"/>
      <c r="AW911" s="296"/>
    </row>
    <row r="912" spans="2:49" ht="13">
      <c r="B912" s="294"/>
      <c r="C912" s="294"/>
      <c r="D912" s="294"/>
      <c r="E912" s="294"/>
      <c r="F912" s="171"/>
      <c r="G912" s="294"/>
      <c r="H912" s="294"/>
      <c r="I912" s="294"/>
      <c r="J912" s="294"/>
      <c r="K912" s="294"/>
      <c r="L912" s="294"/>
      <c r="T912" s="295"/>
      <c r="AA912" s="295"/>
      <c r="AH912" s="295"/>
      <c r="AI912" s="188"/>
      <c r="AJ912" s="188"/>
      <c r="AK912" s="188"/>
      <c r="AL912" s="188"/>
      <c r="AM912" s="188"/>
      <c r="AN912" s="188"/>
      <c r="AO912" s="299"/>
      <c r="AQ912" s="296"/>
      <c r="AR912" s="296"/>
      <c r="AS912" s="296"/>
      <c r="AU912" s="296"/>
      <c r="AV912" s="296"/>
      <c r="AW912" s="296"/>
    </row>
    <row r="913" spans="2:49" ht="13">
      <c r="B913" s="294"/>
      <c r="C913" s="294"/>
      <c r="D913" s="294"/>
      <c r="E913" s="294"/>
      <c r="F913" s="171"/>
      <c r="G913" s="294"/>
      <c r="H913" s="294"/>
      <c r="I913" s="294"/>
      <c r="J913" s="294"/>
      <c r="K913" s="294"/>
      <c r="L913" s="294"/>
      <c r="T913" s="295"/>
      <c r="AA913" s="295"/>
      <c r="AH913" s="295"/>
      <c r="AI913" s="188"/>
      <c r="AJ913" s="188"/>
      <c r="AK913" s="188"/>
      <c r="AL913" s="188"/>
      <c r="AM913" s="188"/>
      <c r="AN913" s="188"/>
      <c r="AO913" s="299"/>
      <c r="AQ913" s="296"/>
      <c r="AR913" s="296"/>
      <c r="AS913" s="296"/>
      <c r="AU913" s="296"/>
      <c r="AV913" s="296"/>
      <c r="AW913" s="296"/>
    </row>
    <row r="914" spans="2:49" ht="13">
      <c r="B914" s="294"/>
      <c r="C914" s="294"/>
      <c r="D914" s="294"/>
      <c r="E914" s="294"/>
      <c r="F914" s="171"/>
      <c r="G914" s="294"/>
      <c r="H914" s="294"/>
      <c r="I914" s="294"/>
      <c r="J914" s="294"/>
      <c r="K914" s="294"/>
      <c r="L914" s="294"/>
      <c r="T914" s="295"/>
      <c r="AA914" s="295"/>
      <c r="AH914" s="295"/>
      <c r="AI914" s="188"/>
      <c r="AJ914" s="188"/>
      <c r="AK914" s="188"/>
      <c r="AL914" s="188"/>
      <c r="AM914" s="188"/>
      <c r="AN914" s="188"/>
      <c r="AO914" s="299"/>
      <c r="AQ914" s="296"/>
      <c r="AR914" s="296"/>
      <c r="AS914" s="296"/>
      <c r="AU914" s="296"/>
      <c r="AV914" s="296"/>
      <c r="AW914" s="296"/>
    </row>
    <row r="915" spans="2:49" ht="13">
      <c r="B915" s="294"/>
      <c r="C915" s="294"/>
      <c r="D915" s="294"/>
      <c r="E915" s="294"/>
      <c r="F915" s="171"/>
      <c r="G915" s="294"/>
      <c r="H915" s="294"/>
      <c r="I915" s="294"/>
      <c r="J915" s="294"/>
      <c r="K915" s="294"/>
      <c r="L915" s="294"/>
      <c r="T915" s="295"/>
      <c r="AA915" s="295"/>
      <c r="AH915" s="295"/>
      <c r="AI915" s="188"/>
      <c r="AJ915" s="188"/>
      <c r="AK915" s="188"/>
      <c r="AL915" s="188"/>
      <c r="AM915" s="188"/>
      <c r="AN915" s="188"/>
      <c r="AO915" s="299"/>
      <c r="AQ915" s="296"/>
      <c r="AR915" s="296"/>
      <c r="AS915" s="296"/>
      <c r="AU915" s="296"/>
      <c r="AV915" s="296"/>
      <c r="AW915" s="296"/>
    </row>
    <row r="916" spans="2:49" ht="13">
      <c r="B916" s="294"/>
      <c r="C916" s="294"/>
      <c r="D916" s="294"/>
      <c r="E916" s="294"/>
      <c r="F916" s="171"/>
      <c r="G916" s="294"/>
      <c r="H916" s="294"/>
      <c r="I916" s="294"/>
      <c r="J916" s="294"/>
      <c r="K916" s="294"/>
      <c r="L916" s="294"/>
      <c r="T916" s="295"/>
      <c r="AA916" s="295"/>
      <c r="AH916" s="295"/>
      <c r="AI916" s="188"/>
      <c r="AJ916" s="188"/>
      <c r="AK916" s="188"/>
      <c r="AL916" s="188"/>
      <c r="AM916" s="188"/>
      <c r="AN916" s="188"/>
      <c r="AO916" s="299"/>
      <c r="AQ916" s="296"/>
      <c r="AR916" s="296"/>
      <c r="AS916" s="296"/>
      <c r="AU916" s="296"/>
      <c r="AV916" s="296"/>
      <c r="AW916" s="296"/>
    </row>
    <row r="917" spans="2:49" ht="13">
      <c r="B917" s="294"/>
      <c r="C917" s="294"/>
      <c r="D917" s="294"/>
      <c r="E917" s="294"/>
      <c r="F917" s="171"/>
      <c r="G917" s="294"/>
      <c r="H917" s="294"/>
      <c r="I917" s="294"/>
      <c r="J917" s="294"/>
      <c r="K917" s="294"/>
      <c r="L917" s="294"/>
      <c r="T917" s="295"/>
      <c r="AA917" s="295"/>
      <c r="AH917" s="295"/>
      <c r="AI917" s="188"/>
      <c r="AJ917" s="188"/>
      <c r="AK917" s="188"/>
      <c r="AL917" s="188"/>
      <c r="AM917" s="188"/>
      <c r="AN917" s="188"/>
      <c r="AO917" s="299"/>
      <c r="AQ917" s="296"/>
      <c r="AR917" s="296"/>
      <c r="AS917" s="296"/>
      <c r="AU917" s="296"/>
      <c r="AV917" s="296"/>
      <c r="AW917" s="296"/>
    </row>
    <row r="918" spans="2:49" ht="13">
      <c r="B918" s="294"/>
      <c r="C918" s="294"/>
      <c r="D918" s="294"/>
      <c r="E918" s="294"/>
      <c r="F918" s="171"/>
      <c r="G918" s="294"/>
      <c r="H918" s="294"/>
      <c r="I918" s="294"/>
      <c r="J918" s="294"/>
      <c r="K918" s="294"/>
      <c r="L918" s="294"/>
      <c r="T918" s="295"/>
      <c r="AA918" s="295"/>
      <c r="AH918" s="295"/>
      <c r="AI918" s="188"/>
      <c r="AJ918" s="188"/>
      <c r="AK918" s="188"/>
      <c r="AL918" s="188"/>
      <c r="AM918" s="188"/>
      <c r="AN918" s="188"/>
      <c r="AO918" s="299"/>
      <c r="AQ918" s="296"/>
      <c r="AR918" s="296"/>
      <c r="AS918" s="296"/>
      <c r="AU918" s="296"/>
      <c r="AV918" s="296"/>
      <c r="AW918" s="296"/>
    </row>
    <row r="919" spans="2:49" ht="13">
      <c r="B919" s="294"/>
      <c r="C919" s="294"/>
      <c r="D919" s="294"/>
      <c r="E919" s="294"/>
      <c r="F919" s="171"/>
      <c r="G919" s="294"/>
      <c r="H919" s="294"/>
      <c r="I919" s="294"/>
      <c r="J919" s="294"/>
      <c r="K919" s="294"/>
      <c r="L919" s="294"/>
      <c r="T919" s="295"/>
      <c r="AA919" s="295"/>
      <c r="AH919" s="295"/>
      <c r="AI919" s="188"/>
      <c r="AJ919" s="188"/>
      <c r="AK919" s="188"/>
      <c r="AL919" s="188"/>
      <c r="AM919" s="188"/>
      <c r="AN919" s="188"/>
      <c r="AO919" s="299"/>
      <c r="AQ919" s="296"/>
      <c r="AR919" s="296"/>
      <c r="AS919" s="296"/>
      <c r="AU919" s="296"/>
      <c r="AV919" s="296"/>
      <c r="AW919" s="296"/>
    </row>
    <row r="920" spans="2:49" ht="13">
      <c r="B920" s="294"/>
      <c r="C920" s="294"/>
      <c r="D920" s="294"/>
      <c r="E920" s="294"/>
      <c r="F920" s="171"/>
      <c r="G920" s="294"/>
      <c r="H920" s="294"/>
      <c r="I920" s="294"/>
      <c r="J920" s="294"/>
      <c r="K920" s="294"/>
      <c r="L920" s="294"/>
      <c r="T920" s="295"/>
      <c r="AA920" s="295"/>
      <c r="AH920" s="295"/>
      <c r="AI920" s="188"/>
      <c r="AJ920" s="188"/>
      <c r="AK920" s="188"/>
      <c r="AL920" s="188"/>
      <c r="AM920" s="188"/>
      <c r="AN920" s="188"/>
      <c r="AO920" s="299"/>
      <c r="AQ920" s="296"/>
      <c r="AR920" s="296"/>
      <c r="AS920" s="296"/>
      <c r="AU920" s="296"/>
      <c r="AV920" s="296"/>
      <c r="AW920" s="296"/>
    </row>
    <row r="921" spans="2:49" ht="13">
      <c r="B921" s="294"/>
      <c r="C921" s="294"/>
      <c r="D921" s="294"/>
      <c r="E921" s="294"/>
      <c r="F921" s="171"/>
      <c r="G921" s="294"/>
      <c r="H921" s="294"/>
      <c r="I921" s="294"/>
      <c r="J921" s="294"/>
      <c r="K921" s="294"/>
      <c r="L921" s="294"/>
      <c r="T921" s="295"/>
      <c r="AA921" s="295"/>
      <c r="AH921" s="295"/>
      <c r="AI921" s="188"/>
      <c r="AJ921" s="188"/>
      <c r="AK921" s="188"/>
      <c r="AL921" s="188"/>
      <c r="AM921" s="188"/>
      <c r="AN921" s="188"/>
      <c r="AO921" s="299"/>
      <c r="AQ921" s="296"/>
      <c r="AR921" s="296"/>
      <c r="AS921" s="296"/>
      <c r="AU921" s="296"/>
      <c r="AV921" s="296"/>
      <c r="AW921" s="296"/>
    </row>
    <row r="922" spans="2:49" ht="13">
      <c r="B922" s="294"/>
      <c r="C922" s="294"/>
      <c r="D922" s="294"/>
      <c r="E922" s="294"/>
      <c r="F922" s="171"/>
      <c r="G922" s="294"/>
      <c r="H922" s="294"/>
      <c r="I922" s="294"/>
      <c r="J922" s="294"/>
      <c r="K922" s="294"/>
      <c r="L922" s="294"/>
      <c r="T922" s="295"/>
      <c r="AA922" s="295"/>
      <c r="AH922" s="295"/>
      <c r="AI922" s="188"/>
      <c r="AJ922" s="188"/>
      <c r="AK922" s="188"/>
      <c r="AL922" s="188"/>
      <c r="AM922" s="188"/>
      <c r="AN922" s="188"/>
      <c r="AO922" s="299"/>
      <c r="AQ922" s="296"/>
      <c r="AR922" s="296"/>
      <c r="AS922" s="296"/>
      <c r="AU922" s="296"/>
      <c r="AV922" s="296"/>
      <c r="AW922" s="296"/>
    </row>
    <row r="923" spans="2:49" ht="13">
      <c r="B923" s="294"/>
      <c r="C923" s="294"/>
      <c r="D923" s="294"/>
      <c r="E923" s="294"/>
      <c r="F923" s="171"/>
      <c r="G923" s="294"/>
      <c r="H923" s="294"/>
      <c r="I923" s="294"/>
      <c r="J923" s="294"/>
      <c r="K923" s="294"/>
      <c r="L923" s="294"/>
      <c r="T923" s="295"/>
      <c r="AA923" s="295"/>
      <c r="AH923" s="295"/>
      <c r="AI923" s="188"/>
      <c r="AJ923" s="188"/>
      <c r="AK923" s="188"/>
      <c r="AL923" s="188"/>
      <c r="AM923" s="188"/>
      <c r="AN923" s="188"/>
      <c r="AO923" s="299"/>
      <c r="AQ923" s="296"/>
      <c r="AR923" s="296"/>
      <c r="AS923" s="296"/>
      <c r="AU923" s="296"/>
      <c r="AV923" s="296"/>
      <c r="AW923" s="296"/>
    </row>
    <row r="924" spans="2:49" ht="13">
      <c r="B924" s="294"/>
      <c r="C924" s="294"/>
      <c r="D924" s="294"/>
      <c r="E924" s="294"/>
      <c r="F924" s="171"/>
      <c r="G924" s="294"/>
      <c r="H924" s="294"/>
      <c r="I924" s="294"/>
      <c r="J924" s="294"/>
      <c r="K924" s="294"/>
      <c r="L924" s="294"/>
      <c r="T924" s="295"/>
      <c r="AA924" s="295"/>
      <c r="AH924" s="295"/>
      <c r="AI924" s="188"/>
      <c r="AJ924" s="188"/>
      <c r="AK924" s="188"/>
      <c r="AL924" s="188"/>
      <c r="AM924" s="188"/>
      <c r="AN924" s="188"/>
      <c r="AO924" s="299"/>
      <c r="AQ924" s="296"/>
      <c r="AR924" s="296"/>
      <c r="AS924" s="296"/>
      <c r="AU924" s="296"/>
      <c r="AV924" s="296"/>
      <c r="AW924" s="296"/>
    </row>
    <row r="925" spans="2:49" ht="13">
      <c r="B925" s="294"/>
      <c r="C925" s="294"/>
      <c r="D925" s="294"/>
      <c r="E925" s="294"/>
      <c r="F925" s="171"/>
      <c r="G925" s="294"/>
      <c r="H925" s="294"/>
      <c r="I925" s="294"/>
      <c r="J925" s="294"/>
      <c r="K925" s="294"/>
      <c r="L925" s="294"/>
      <c r="T925" s="295"/>
      <c r="AA925" s="295"/>
      <c r="AH925" s="295"/>
      <c r="AI925" s="188"/>
      <c r="AJ925" s="188"/>
      <c r="AK925" s="188"/>
      <c r="AL925" s="188"/>
      <c r="AM925" s="188"/>
      <c r="AN925" s="188"/>
      <c r="AO925" s="299"/>
      <c r="AQ925" s="296"/>
      <c r="AR925" s="296"/>
      <c r="AS925" s="296"/>
      <c r="AU925" s="296"/>
      <c r="AV925" s="296"/>
      <c r="AW925" s="296"/>
    </row>
    <row r="926" spans="2:49" ht="13">
      <c r="B926" s="294"/>
      <c r="C926" s="294"/>
      <c r="D926" s="294"/>
      <c r="E926" s="294"/>
      <c r="F926" s="171"/>
      <c r="G926" s="294"/>
      <c r="H926" s="294"/>
      <c r="I926" s="294"/>
      <c r="J926" s="294"/>
      <c r="K926" s="294"/>
      <c r="L926" s="294"/>
      <c r="T926" s="295"/>
      <c r="AA926" s="295"/>
      <c r="AH926" s="295"/>
      <c r="AI926" s="188"/>
      <c r="AJ926" s="188"/>
      <c r="AK926" s="188"/>
      <c r="AL926" s="188"/>
      <c r="AM926" s="188"/>
      <c r="AN926" s="188"/>
      <c r="AO926" s="299"/>
      <c r="AQ926" s="296"/>
      <c r="AR926" s="296"/>
      <c r="AS926" s="296"/>
      <c r="AU926" s="296"/>
      <c r="AV926" s="296"/>
      <c r="AW926" s="296"/>
    </row>
    <row r="927" spans="2:49" ht="13">
      <c r="B927" s="294"/>
      <c r="C927" s="294"/>
      <c r="D927" s="294"/>
      <c r="E927" s="294"/>
      <c r="F927" s="171"/>
      <c r="G927" s="294"/>
      <c r="H927" s="294"/>
      <c r="I927" s="294"/>
      <c r="J927" s="294"/>
      <c r="K927" s="294"/>
      <c r="L927" s="294"/>
      <c r="T927" s="295"/>
      <c r="AA927" s="295"/>
      <c r="AH927" s="295"/>
      <c r="AI927" s="188"/>
      <c r="AJ927" s="188"/>
      <c r="AK927" s="188"/>
      <c r="AL927" s="188"/>
      <c r="AM927" s="188"/>
      <c r="AN927" s="188"/>
      <c r="AO927" s="299"/>
      <c r="AQ927" s="296"/>
      <c r="AR927" s="296"/>
      <c r="AS927" s="296"/>
      <c r="AU927" s="296"/>
      <c r="AV927" s="296"/>
      <c r="AW927" s="296"/>
    </row>
    <row r="928" spans="2:49" ht="13">
      <c r="B928" s="294"/>
      <c r="C928" s="294"/>
      <c r="D928" s="294"/>
      <c r="E928" s="294"/>
      <c r="F928" s="171"/>
      <c r="G928" s="294"/>
      <c r="H928" s="294"/>
      <c r="I928" s="294"/>
      <c r="J928" s="294"/>
      <c r="K928" s="294"/>
      <c r="L928" s="294"/>
      <c r="T928" s="295"/>
      <c r="AA928" s="295"/>
      <c r="AH928" s="295"/>
      <c r="AI928" s="188"/>
      <c r="AJ928" s="188"/>
      <c r="AK928" s="188"/>
      <c r="AL928" s="188"/>
      <c r="AM928" s="188"/>
      <c r="AN928" s="188"/>
      <c r="AO928" s="299"/>
      <c r="AQ928" s="296"/>
      <c r="AR928" s="296"/>
      <c r="AS928" s="296"/>
      <c r="AU928" s="296"/>
      <c r="AV928" s="296"/>
      <c r="AW928" s="296"/>
    </row>
    <row r="929" spans="2:49" ht="13">
      <c r="B929" s="294"/>
      <c r="C929" s="294"/>
      <c r="D929" s="294"/>
      <c r="E929" s="294"/>
      <c r="F929" s="171"/>
      <c r="G929" s="294"/>
      <c r="H929" s="294"/>
      <c r="I929" s="294"/>
      <c r="J929" s="294"/>
      <c r="K929" s="294"/>
      <c r="L929" s="294"/>
      <c r="T929" s="295"/>
      <c r="AA929" s="295"/>
      <c r="AH929" s="295"/>
      <c r="AI929" s="188"/>
      <c r="AJ929" s="188"/>
      <c r="AK929" s="188"/>
      <c r="AL929" s="188"/>
      <c r="AM929" s="188"/>
      <c r="AN929" s="188"/>
      <c r="AO929" s="299"/>
      <c r="AQ929" s="296"/>
      <c r="AR929" s="296"/>
      <c r="AS929" s="296"/>
      <c r="AU929" s="296"/>
      <c r="AV929" s="296"/>
      <c r="AW929" s="296"/>
    </row>
    <row r="930" spans="2:49" ht="13">
      <c r="B930" s="294"/>
      <c r="C930" s="294"/>
      <c r="D930" s="294"/>
      <c r="E930" s="294"/>
      <c r="F930" s="171"/>
      <c r="G930" s="294"/>
      <c r="H930" s="294"/>
      <c r="I930" s="294"/>
      <c r="J930" s="294"/>
      <c r="K930" s="294"/>
      <c r="L930" s="294"/>
      <c r="T930" s="295"/>
      <c r="AA930" s="295"/>
      <c r="AH930" s="295"/>
      <c r="AI930" s="188"/>
      <c r="AJ930" s="188"/>
      <c r="AK930" s="188"/>
      <c r="AL930" s="188"/>
      <c r="AM930" s="188"/>
      <c r="AN930" s="188"/>
      <c r="AO930" s="299"/>
      <c r="AQ930" s="296"/>
      <c r="AR930" s="296"/>
      <c r="AS930" s="296"/>
      <c r="AU930" s="296"/>
      <c r="AV930" s="296"/>
      <c r="AW930" s="296"/>
    </row>
    <row r="931" spans="2:49" ht="13">
      <c r="B931" s="294"/>
      <c r="C931" s="294"/>
      <c r="D931" s="294"/>
      <c r="E931" s="294"/>
      <c r="F931" s="171"/>
      <c r="G931" s="294"/>
      <c r="H931" s="294"/>
      <c r="I931" s="294"/>
      <c r="J931" s="294"/>
      <c r="K931" s="294"/>
      <c r="L931" s="294"/>
      <c r="T931" s="295"/>
      <c r="AA931" s="295"/>
      <c r="AH931" s="295"/>
      <c r="AI931" s="188"/>
      <c r="AJ931" s="188"/>
      <c r="AK931" s="188"/>
      <c r="AL931" s="188"/>
      <c r="AM931" s="188"/>
      <c r="AN931" s="188"/>
      <c r="AO931" s="299"/>
      <c r="AQ931" s="296"/>
      <c r="AR931" s="296"/>
      <c r="AS931" s="296"/>
      <c r="AU931" s="296"/>
      <c r="AV931" s="296"/>
      <c r="AW931" s="296"/>
    </row>
    <row r="932" spans="2:49" ht="13">
      <c r="B932" s="294"/>
      <c r="C932" s="294"/>
      <c r="D932" s="294"/>
      <c r="E932" s="294"/>
      <c r="F932" s="171"/>
      <c r="G932" s="294"/>
      <c r="H932" s="294"/>
      <c r="I932" s="294"/>
      <c r="J932" s="294"/>
      <c r="K932" s="294"/>
      <c r="L932" s="294"/>
      <c r="T932" s="295"/>
      <c r="AA932" s="295"/>
      <c r="AH932" s="295"/>
      <c r="AI932" s="188"/>
      <c r="AJ932" s="188"/>
      <c r="AK932" s="188"/>
      <c r="AL932" s="188"/>
      <c r="AM932" s="188"/>
      <c r="AN932" s="188"/>
      <c r="AO932" s="299"/>
      <c r="AQ932" s="296"/>
      <c r="AR932" s="296"/>
      <c r="AS932" s="296"/>
      <c r="AU932" s="296"/>
      <c r="AV932" s="296"/>
      <c r="AW932" s="296"/>
    </row>
    <row r="933" spans="2:49" ht="13">
      <c r="B933" s="294"/>
      <c r="C933" s="294"/>
      <c r="D933" s="294"/>
      <c r="E933" s="294"/>
      <c r="F933" s="171"/>
      <c r="G933" s="294"/>
      <c r="H933" s="294"/>
      <c r="I933" s="294"/>
      <c r="J933" s="294"/>
      <c r="K933" s="294"/>
      <c r="L933" s="294"/>
      <c r="T933" s="295"/>
      <c r="AA933" s="295"/>
      <c r="AH933" s="295"/>
      <c r="AI933" s="188"/>
      <c r="AJ933" s="188"/>
      <c r="AK933" s="188"/>
      <c r="AL933" s="188"/>
      <c r="AM933" s="188"/>
      <c r="AN933" s="188"/>
      <c r="AO933" s="299"/>
      <c r="AQ933" s="296"/>
      <c r="AR933" s="296"/>
      <c r="AS933" s="296"/>
      <c r="AU933" s="296"/>
      <c r="AV933" s="296"/>
      <c r="AW933" s="296"/>
    </row>
    <row r="934" spans="2:49" ht="13">
      <c r="B934" s="294"/>
      <c r="C934" s="294"/>
      <c r="D934" s="294"/>
      <c r="E934" s="294"/>
      <c r="F934" s="171"/>
      <c r="G934" s="294"/>
      <c r="H934" s="294"/>
      <c r="I934" s="294"/>
      <c r="J934" s="294"/>
      <c r="K934" s="294"/>
      <c r="L934" s="294"/>
      <c r="T934" s="295"/>
      <c r="AA934" s="295"/>
      <c r="AH934" s="295"/>
      <c r="AI934" s="188"/>
      <c r="AJ934" s="188"/>
      <c r="AK934" s="188"/>
      <c r="AL934" s="188"/>
      <c r="AM934" s="188"/>
      <c r="AN934" s="188"/>
      <c r="AO934" s="299"/>
      <c r="AQ934" s="296"/>
      <c r="AR934" s="296"/>
      <c r="AS934" s="296"/>
      <c r="AU934" s="296"/>
      <c r="AV934" s="296"/>
      <c r="AW934" s="296"/>
    </row>
    <row r="935" spans="2:49" ht="13">
      <c r="B935" s="294"/>
      <c r="C935" s="294"/>
      <c r="D935" s="294"/>
      <c r="E935" s="294"/>
      <c r="F935" s="171"/>
      <c r="G935" s="294"/>
      <c r="H935" s="294"/>
      <c r="I935" s="294"/>
      <c r="J935" s="294"/>
      <c r="K935" s="294"/>
      <c r="L935" s="294"/>
      <c r="T935" s="295"/>
      <c r="AA935" s="295"/>
      <c r="AH935" s="295"/>
      <c r="AI935" s="188"/>
      <c r="AJ935" s="188"/>
      <c r="AK935" s="188"/>
      <c r="AL935" s="188"/>
      <c r="AM935" s="188"/>
      <c r="AN935" s="188"/>
      <c r="AO935" s="299"/>
      <c r="AQ935" s="296"/>
      <c r="AR935" s="296"/>
      <c r="AS935" s="296"/>
      <c r="AU935" s="296"/>
      <c r="AV935" s="296"/>
      <c r="AW935" s="296"/>
    </row>
    <row r="936" spans="2:49" ht="13">
      <c r="B936" s="294"/>
      <c r="C936" s="294"/>
      <c r="D936" s="294"/>
      <c r="E936" s="294"/>
      <c r="F936" s="171"/>
      <c r="G936" s="294"/>
      <c r="H936" s="294"/>
      <c r="I936" s="294"/>
      <c r="J936" s="294"/>
      <c r="K936" s="294"/>
      <c r="L936" s="294"/>
      <c r="T936" s="295"/>
      <c r="AA936" s="295"/>
      <c r="AH936" s="295"/>
      <c r="AI936" s="188"/>
      <c r="AJ936" s="188"/>
      <c r="AK936" s="188"/>
      <c r="AL936" s="188"/>
      <c r="AM936" s="188"/>
      <c r="AN936" s="188"/>
      <c r="AO936" s="299"/>
      <c r="AQ936" s="296"/>
      <c r="AR936" s="296"/>
      <c r="AS936" s="296"/>
      <c r="AU936" s="296"/>
      <c r="AV936" s="296"/>
      <c r="AW936" s="296"/>
    </row>
    <row r="937" spans="2:49" ht="13">
      <c r="B937" s="294"/>
      <c r="C937" s="294"/>
      <c r="D937" s="294"/>
      <c r="E937" s="294"/>
      <c r="F937" s="171"/>
      <c r="G937" s="294"/>
      <c r="H937" s="294"/>
      <c r="I937" s="294"/>
      <c r="J937" s="294"/>
      <c r="K937" s="294"/>
      <c r="L937" s="294"/>
      <c r="T937" s="295"/>
      <c r="AA937" s="295"/>
      <c r="AH937" s="295"/>
      <c r="AI937" s="188"/>
      <c r="AJ937" s="188"/>
      <c r="AK937" s="188"/>
      <c r="AL937" s="188"/>
      <c r="AM937" s="188"/>
      <c r="AN937" s="188"/>
      <c r="AO937" s="299"/>
      <c r="AQ937" s="296"/>
      <c r="AR937" s="296"/>
      <c r="AS937" s="296"/>
      <c r="AU937" s="296"/>
      <c r="AV937" s="296"/>
      <c r="AW937" s="296"/>
    </row>
    <row r="938" spans="2:49" ht="13">
      <c r="B938" s="294"/>
      <c r="C938" s="294"/>
      <c r="D938" s="294"/>
      <c r="E938" s="294"/>
      <c r="F938" s="171"/>
      <c r="G938" s="294"/>
      <c r="H938" s="294"/>
      <c r="I938" s="294"/>
      <c r="J938" s="294"/>
      <c r="K938" s="294"/>
      <c r="L938" s="294"/>
      <c r="T938" s="295"/>
      <c r="AA938" s="295"/>
      <c r="AH938" s="295"/>
      <c r="AI938" s="188"/>
      <c r="AJ938" s="188"/>
      <c r="AK938" s="188"/>
      <c r="AL938" s="188"/>
      <c r="AM938" s="188"/>
      <c r="AN938" s="188"/>
      <c r="AO938" s="299"/>
      <c r="AQ938" s="296"/>
      <c r="AR938" s="296"/>
      <c r="AS938" s="296"/>
      <c r="AU938" s="296"/>
      <c r="AV938" s="296"/>
      <c r="AW938" s="296"/>
    </row>
    <row r="939" spans="2:49" ht="13">
      <c r="B939" s="294"/>
      <c r="C939" s="294"/>
      <c r="D939" s="294"/>
      <c r="E939" s="294"/>
      <c r="F939" s="171"/>
      <c r="G939" s="294"/>
      <c r="H939" s="294"/>
      <c r="I939" s="294"/>
      <c r="J939" s="294"/>
      <c r="K939" s="294"/>
      <c r="L939" s="294"/>
      <c r="T939" s="295"/>
      <c r="AA939" s="295"/>
      <c r="AH939" s="295"/>
      <c r="AI939" s="188"/>
      <c r="AJ939" s="188"/>
      <c r="AK939" s="188"/>
      <c r="AL939" s="188"/>
      <c r="AM939" s="188"/>
      <c r="AN939" s="188"/>
      <c r="AO939" s="299"/>
      <c r="AQ939" s="296"/>
      <c r="AR939" s="296"/>
      <c r="AS939" s="296"/>
      <c r="AU939" s="296"/>
      <c r="AV939" s="296"/>
      <c r="AW939" s="296"/>
    </row>
    <row r="940" spans="2:49" ht="13">
      <c r="B940" s="294"/>
      <c r="C940" s="294"/>
      <c r="D940" s="294"/>
      <c r="E940" s="294"/>
      <c r="F940" s="171"/>
      <c r="G940" s="294"/>
      <c r="H940" s="294"/>
      <c r="I940" s="294"/>
      <c r="J940" s="294"/>
      <c r="K940" s="294"/>
      <c r="L940" s="294"/>
      <c r="T940" s="295"/>
      <c r="AA940" s="295"/>
      <c r="AH940" s="295"/>
      <c r="AI940" s="188"/>
      <c r="AJ940" s="188"/>
      <c r="AK940" s="188"/>
      <c r="AL940" s="188"/>
      <c r="AM940" s="188"/>
      <c r="AN940" s="188"/>
      <c r="AO940" s="299"/>
      <c r="AQ940" s="296"/>
      <c r="AR940" s="296"/>
      <c r="AS940" s="296"/>
      <c r="AU940" s="296"/>
      <c r="AV940" s="296"/>
      <c r="AW940" s="296"/>
    </row>
    <row r="941" spans="2:49" ht="13">
      <c r="B941" s="294"/>
      <c r="C941" s="294"/>
      <c r="D941" s="294"/>
      <c r="E941" s="294"/>
      <c r="F941" s="171"/>
      <c r="G941" s="294"/>
      <c r="H941" s="294"/>
      <c r="I941" s="294"/>
      <c r="J941" s="294"/>
      <c r="K941" s="294"/>
      <c r="L941" s="294"/>
      <c r="T941" s="295"/>
      <c r="AA941" s="295"/>
      <c r="AH941" s="295"/>
      <c r="AI941" s="188"/>
      <c r="AJ941" s="188"/>
      <c r="AK941" s="188"/>
      <c r="AL941" s="188"/>
      <c r="AM941" s="188"/>
      <c r="AN941" s="188"/>
      <c r="AO941" s="299"/>
      <c r="AQ941" s="296"/>
      <c r="AR941" s="296"/>
      <c r="AS941" s="296"/>
      <c r="AU941" s="296"/>
      <c r="AV941" s="296"/>
      <c r="AW941" s="296"/>
    </row>
    <row r="942" spans="2:49" ht="13">
      <c r="B942" s="294"/>
      <c r="C942" s="294"/>
      <c r="D942" s="294"/>
      <c r="E942" s="294"/>
      <c r="F942" s="171"/>
      <c r="G942" s="294"/>
      <c r="H942" s="294"/>
      <c r="I942" s="294"/>
      <c r="J942" s="294"/>
      <c r="K942" s="294"/>
      <c r="L942" s="294"/>
      <c r="T942" s="295"/>
      <c r="AA942" s="295"/>
      <c r="AH942" s="295"/>
      <c r="AI942" s="188"/>
      <c r="AJ942" s="188"/>
      <c r="AK942" s="188"/>
      <c r="AL942" s="188"/>
      <c r="AM942" s="188"/>
      <c r="AN942" s="188"/>
      <c r="AO942" s="299"/>
      <c r="AQ942" s="296"/>
      <c r="AR942" s="296"/>
      <c r="AS942" s="296"/>
      <c r="AU942" s="296"/>
      <c r="AV942" s="296"/>
      <c r="AW942" s="296"/>
    </row>
    <row r="943" spans="2:49" ht="13">
      <c r="B943" s="294"/>
      <c r="C943" s="294"/>
      <c r="D943" s="294"/>
      <c r="E943" s="294"/>
      <c r="F943" s="171"/>
      <c r="G943" s="294"/>
      <c r="H943" s="294"/>
      <c r="I943" s="294"/>
      <c r="J943" s="294"/>
      <c r="K943" s="294"/>
      <c r="L943" s="294"/>
      <c r="T943" s="295"/>
      <c r="AA943" s="295"/>
      <c r="AH943" s="295"/>
      <c r="AI943" s="188"/>
      <c r="AJ943" s="188"/>
      <c r="AK943" s="188"/>
      <c r="AL943" s="188"/>
      <c r="AM943" s="188"/>
      <c r="AN943" s="188"/>
      <c r="AO943" s="299"/>
      <c r="AQ943" s="296"/>
      <c r="AR943" s="296"/>
      <c r="AS943" s="296"/>
      <c r="AU943" s="296"/>
      <c r="AV943" s="296"/>
      <c r="AW943" s="296"/>
    </row>
    <row r="944" spans="2:49" ht="13">
      <c r="B944" s="294"/>
      <c r="C944" s="294"/>
      <c r="D944" s="294"/>
      <c r="E944" s="294"/>
      <c r="F944" s="171"/>
      <c r="G944" s="294"/>
      <c r="H944" s="294"/>
      <c r="I944" s="294"/>
      <c r="J944" s="294"/>
      <c r="K944" s="294"/>
      <c r="L944" s="294"/>
      <c r="T944" s="295"/>
      <c r="AA944" s="295"/>
      <c r="AH944" s="295"/>
      <c r="AI944" s="188"/>
      <c r="AJ944" s="188"/>
      <c r="AK944" s="188"/>
      <c r="AL944" s="188"/>
      <c r="AM944" s="188"/>
      <c r="AN944" s="188"/>
      <c r="AO944" s="299"/>
      <c r="AQ944" s="296"/>
      <c r="AR944" s="296"/>
      <c r="AS944" s="296"/>
      <c r="AU944" s="296"/>
      <c r="AV944" s="296"/>
      <c r="AW944" s="296"/>
    </row>
    <row r="945" spans="2:49" ht="13">
      <c r="B945" s="294"/>
      <c r="C945" s="294"/>
      <c r="D945" s="294"/>
      <c r="E945" s="294"/>
      <c r="F945" s="171"/>
      <c r="G945" s="294"/>
      <c r="H945" s="294"/>
      <c r="I945" s="294"/>
      <c r="J945" s="294"/>
      <c r="K945" s="294"/>
      <c r="L945" s="294"/>
      <c r="T945" s="295"/>
      <c r="AA945" s="295"/>
      <c r="AH945" s="295"/>
      <c r="AI945" s="188"/>
      <c r="AJ945" s="188"/>
      <c r="AK945" s="188"/>
      <c r="AL945" s="188"/>
      <c r="AM945" s="188"/>
      <c r="AN945" s="188"/>
      <c r="AO945" s="299"/>
      <c r="AQ945" s="296"/>
      <c r="AR945" s="296"/>
      <c r="AS945" s="296"/>
      <c r="AU945" s="296"/>
      <c r="AV945" s="296"/>
      <c r="AW945" s="296"/>
    </row>
    <row r="946" spans="2:49" ht="13">
      <c r="B946" s="294"/>
      <c r="C946" s="294"/>
      <c r="D946" s="294"/>
      <c r="E946" s="294"/>
      <c r="F946" s="171"/>
      <c r="G946" s="294"/>
      <c r="H946" s="294"/>
      <c r="I946" s="294"/>
      <c r="J946" s="294"/>
      <c r="K946" s="294"/>
      <c r="L946" s="294"/>
      <c r="T946" s="295"/>
      <c r="AA946" s="295"/>
      <c r="AH946" s="295"/>
      <c r="AI946" s="188"/>
      <c r="AJ946" s="188"/>
      <c r="AK946" s="188"/>
      <c r="AL946" s="188"/>
      <c r="AM946" s="188"/>
      <c r="AN946" s="188"/>
      <c r="AO946" s="299"/>
      <c r="AQ946" s="296"/>
      <c r="AR946" s="296"/>
      <c r="AS946" s="296"/>
      <c r="AU946" s="296"/>
      <c r="AV946" s="296"/>
      <c r="AW946" s="296"/>
    </row>
    <row r="947" spans="2:49" ht="13">
      <c r="B947" s="294"/>
      <c r="C947" s="294"/>
      <c r="D947" s="294"/>
      <c r="E947" s="294"/>
      <c r="F947" s="171"/>
      <c r="G947" s="294"/>
      <c r="H947" s="294"/>
      <c r="I947" s="294"/>
      <c r="J947" s="294"/>
      <c r="K947" s="294"/>
      <c r="L947" s="294"/>
      <c r="T947" s="295"/>
      <c r="AA947" s="295"/>
      <c r="AH947" s="295"/>
      <c r="AI947" s="188"/>
      <c r="AJ947" s="188"/>
      <c r="AK947" s="188"/>
      <c r="AL947" s="188"/>
      <c r="AM947" s="188"/>
      <c r="AN947" s="188"/>
      <c r="AO947" s="299"/>
      <c r="AQ947" s="296"/>
      <c r="AR947" s="296"/>
      <c r="AS947" s="296"/>
      <c r="AU947" s="296"/>
      <c r="AV947" s="296"/>
      <c r="AW947" s="296"/>
    </row>
    <row r="948" spans="2:49" ht="13">
      <c r="B948" s="294"/>
      <c r="C948" s="294"/>
      <c r="D948" s="294"/>
      <c r="E948" s="294"/>
      <c r="F948" s="171"/>
      <c r="G948" s="294"/>
      <c r="H948" s="294"/>
      <c r="I948" s="294"/>
      <c r="J948" s="294"/>
      <c r="K948" s="294"/>
      <c r="L948" s="294"/>
      <c r="T948" s="295"/>
      <c r="AA948" s="295"/>
      <c r="AH948" s="295"/>
      <c r="AI948" s="188"/>
      <c r="AJ948" s="188"/>
      <c r="AK948" s="188"/>
      <c r="AL948" s="188"/>
      <c r="AM948" s="188"/>
      <c r="AN948" s="188"/>
      <c r="AO948" s="299"/>
      <c r="AQ948" s="296"/>
      <c r="AR948" s="296"/>
      <c r="AS948" s="296"/>
      <c r="AU948" s="296"/>
      <c r="AV948" s="296"/>
      <c r="AW948" s="296"/>
    </row>
    <row r="949" spans="2:49" ht="13">
      <c r="B949" s="294"/>
      <c r="C949" s="294"/>
      <c r="D949" s="294"/>
      <c r="E949" s="294"/>
      <c r="F949" s="171"/>
      <c r="G949" s="294"/>
      <c r="H949" s="294"/>
      <c r="I949" s="294"/>
      <c r="J949" s="294"/>
      <c r="K949" s="294"/>
      <c r="L949" s="294"/>
      <c r="T949" s="295"/>
      <c r="AA949" s="295"/>
      <c r="AH949" s="295"/>
      <c r="AI949" s="188"/>
      <c r="AJ949" s="188"/>
      <c r="AK949" s="188"/>
      <c r="AL949" s="188"/>
      <c r="AM949" s="188"/>
      <c r="AN949" s="188"/>
      <c r="AO949" s="299"/>
      <c r="AQ949" s="296"/>
      <c r="AR949" s="296"/>
      <c r="AS949" s="296"/>
      <c r="AU949" s="296"/>
      <c r="AV949" s="296"/>
      <c r="AW949" s="296"/>
    </row>
    <row r="950" spans="2:49" ht="13">
      <c r="B950" s="294"/>
      <c r="C950" s="294"/>
      <c r="D950" s="294"/>
      <c r="E950" s="294"/>
      <c r="F950" s="171"/>
      <c r="G950" s="294"/>
      <c r="H950" s="294"/>
      <c r="I950" s="294"/>
      <c r="J950" s="294"/>
      <c r="K950" s="294"/>
      <c r="L950" s="294"/>
      <c r="T950" s="295"/>
      <c r="AA950" s="295"/>
      <c r="AH950" s="295"/>
      <c r="AI950" s="188"/>
      <c r="AJ950" s="188"/>
      <c r="AK950" s="188"/>
      <c r="AL950" s="188"/>
      <c r="AM950" s="188"/>
      <c r="AN950" s="188"/>
      <c r="AO950" s="299"/>
      <c r="AQ950" s="296"/>
      <c r="AR950" s="296"/>
      <c r="AS950" s="296"/>
      <c r="AU950" s="296"/>
      <c r="AV950" s="296"/>
      <c r="AW950" s="296"/>
    </row>
    <row r="951" spans="2:49" ht="13">
      <c r="B951" s="294"/>
      <c r="C951" s="294"/>
      <c r="D951" s="294"/>
      <c r="E951" s="294"/>
      <c r="F951" s="171"/>
      <c r="G951" s="294"/>
      <c r="H951" s="294"/>
      <c r="I951" s="294"/>
      <c r="J951" s="294"/>
      <c r="K951" s="294"/>
      <c r="L951" s="294"/>
      <c r="T951" s="295"/>
      <c r="AA951" s="295"/>
      <c r="AH951" s="295"/>
      <c r="AI951" s="188"/>
      <c r="AJ951" s="188"/>
      <c r="AK951" s="188"/>
      <c r="AL951" s="188"/>
      <c r="AM951" s="188"/>
      <c r="AN951" s="188"/>
      <c r="AO951" s="299"/>
      <c r="AQ951" s="296"/>
      <c r="AR951" s="296"/>
      <c r="AS951" s="296"/>
      <c r="AU951" s="296"/>
      <c r="AV951" s="296"/>
      <c r="AW951" s="296"/>
    </row>
    <row r="952" spans="2:49" ht="13">
      <c r="B952" s="294"/>
      <c r="C952" s="294"/>
      <c r="D952" s="294"/>
      <c r="E952" s="294"/>
      <c r="F952" s="171"/>
      <c r="G952" s="294"/>
      <c r="H952" s="294"/>
      <c r="I952" s="294"/>
      <c r="J952" s="294"/>
      <c r="K952" s="294"/>
      <c r="L952" s="294"/>
      <c r="T952" s="295"/>
      <c r="AA952" s="295"/>
      <c r="AH952" s="295"/>
      <c r="AI952" s="188"/>
      <c r="AJ952" s="188"/>
      <c r="AK952" s="188"/>
      <c r="AL952" s="188"/>
      <c r="AM952" s="188"/>
      <c r="AN952" s="188"/>
      <c r="AO952" s="299"/>
      <c r="AQ952" s="296"/>
      <c r="AR952" s="296"/>
      <c r="AS952" s="296"/>
      <c r="AU952" s="296"/>
      <c r="AV952" s="296"/>
      <c r="AW952" s="296"/>
    </row>
    <row r="953" spans="2:49" ht="13">
      <c r="B953" s="294"/>
      <c r="C953" s="294"/>
      <c r="D953" s="294"/>
      <c r="E953" s="294"/>
      <c r="F953" s="171"/>
      <c r="G953" s="294"/>
      <c r="H953" s="294"/>
      <c r="I953" s="294"/>
      <c r="J953" s="294"/>
      <c r="K953" s="294"/>
      <c r="L953" s="294"/>
      <c r="T953" s="295"/>
      <c r="AA953" s="295"/>
      <c r="AH953" s="295"/>
      <c r="AI953" s="188"/>
      <c r="AJ953" s="188"/>
      <c r="AK953" s="188"/>
      <c r="AL953" s="188"/>
      <c r="AM953" s="188"/>
      <c r="AN953" s="188"/>
      <c r="AO953" s="299"/>
      <c r="AQ953" s="296"/>
      <c r="AR953" s="296"/>
      <c r="AS953" s="296"/>
      <c r="AU953" s="296"/>
      <c r="AV953" s="296"/>
      <c r="AW953" s="296"/>
    </row>
    <row r="954" spans="2:49" ht="13">
      <c r="B954" s="294"/>
      <c r="C954" s="294"/>
      <c r="D954" s="294"/>
      <c r="E954" s="294"/>
      <c r="F954" s="171"/>
      <c r="G954" s="294"/>
      <c r="H954" s="294"/>
      <c r="I954" s="294"/>
      <c r="J954" s="294"/>
      <c r="K954" s="294"/>
      <c r="L954" s="294"/>
      <c r="T954" s="295"/>
      <c r="AA954" s="295"/>
      <c r="AH954" s="295"/>
      <c r="AI954" s="188"/>
      <c r="AJ954" s="188"/>
      <c r="AK954" s="188"/>
      <c r="AL954" s="188"/>
      <c r="AM954" s="188"/>
      <c r="AN954" s="188"/>
      <c r="AO954" s="299"/>
      <c r="AQ954" s="296"/>
      <c r="AR954" s="296"/>
      <c r="AS954" s="296"/>
      <c r="AU954" s="296"/>
      <c r="AV954" s="296"/>
      <c r="AW954" s="296"/>
    </row>
    <row r="955" spans="2:49" ht="13">
      <c r="B955" s="294"/>
      <c r="C955" s="294"/>
      <c r="D955" s="294"/>
      <c r="E955" s="294"/>
      <c r="F955" s="171"/>
      <c r="G955" s="294"/>
      <c r="H955" s="294"/>
      <c r="I955" s="294"/>
      <c r="J955" s="294"/>
      <c r="K955" s="294"/>
      <c r="L955" s="294"/>
      <c r="T955" s="295"/>
      <c r="AA955" s="295"/>
      <c r="AH955" s="295"/>
      <c r="AI955" s="188"/>
      <c r="AJ955" s="188"/>
      <c r="AK955" s="188"/>
      <c r="AL955" s="188"/>
      <c r="AM955" s="188"/>
      <c r="AN955" s="188"/>
      <c r="AO955" s="299"/>
      <c r="AQ955" s="296"/>
      <c r="AR955" s="296"/>
      <c r="AS955" s="296"/>
      <c r="AU955" s="296"/>
      <c r="AV955" s="296"/>
      <c r="AW955" s="296"/>
    </row>
    <row r="956" spans="2:49" ht="13">
      <c r="B956" s="294"/>
      <c r="C956" s="294"/>
      <c r="D956" s="294"/>
      <c r="E956" s="294"/>
      <c r="F956" s="171"/>
      <c r="G956" s="294"/>
      <c r="H956" s="294"/>
      <c r="I956" s="294"/>
      <c r="J956" s="294"/>
      <c r="K956" s="294"/>
      <c r="L956" s="294"/>
      <c r="T956" s="295"/>
      <c r="AA956" s="295"/>
      <c r="AH956" s="295"/>
      <c r="AI956" s="188"/>
      <c r="AJ956" s="188"/>
      <c r="AK956" s="188"/>
      <c r="AL956" s="188"/>
      <c r="AM956" s="188"/>
      <c r="AN956" s="188"/>
      <c r="AO956" s="299"/>
      <c r="AQ956" s="296"/>
      <c r="AR956" s="296"/>
      <c r="AS956" s="296"/>
      <c r="AU956" s="296"/>
      <c r="AV956" s="296"/>
      <c r="AW956" s="296"/>
    </row>
    <row r="957" spans="2:49" ht="13">
      <c r="B957" s="294"/>
      <c r="C957" s="294"/>
      <c r="D957" s="294"/>
      <c r="E957" s="294"/>
      <c r="F957" s="171"/>
      <c r="G957" s="294"/>
      <c r="H957" s="294"/>
      <c r="I957" s="294"/>
      <c r="J957" s="294"/>
      <c r="K957" s="294"/>
      <c r="L957" s="294"/>
      <c r="T957" s="295"/>
      <c r="AA957" s="295"/>
      <c r="AH957" s="295"/>
      <c r="AI957" s="188"/>
      <c r="AJ957" s="188"/>
      <c r="AK957" s="188"/>
      <c r="AL957" s="188"/>
      <c r="AM957" s="188"/>
      <c r="AN957" s="188"/>
      <c r="AO957" s="299"/>
      <c r="AQ957" s="296"/>
      <c r="AR957" s="296"/>
      <c r="AS957" s="296"/>
      <c r="AU957" s="296"/>
      <c r="AV957" s="296"/>
      <c r="AW957" s="296"/>
    </row>
    <row r="958" spans="2:49" ht="13">
      <c r="B958" s="294"/>
      <c r="C958" s="294"/>
      <c r="D958" s="294"/>
      <c r="E958" s="294"/>
      <c r="F958" s="171"/>
      <c r="G958" s="294"/>
      <c r="H958" s="294"/>
      <c r="I958" s="294"/>
      <c r="J958" s="294"/>
      <c r="K958" s="294"/>
      <c r="L958" s="294"/>
      <c r="T958" s="295"/>
      <c r="AA958" s="295"/>
      <c r="AH958" s="295"/>
      <c r="AI958" s="188"/>
      <c r="AJ958" s="188"/>
      <c r="AK958" s="188"/>
      <c r="AL958" s="188"/>
      <c r="AM958" s="188"/>
      <c r="AN958" s="188"/>
      <c r="AO958" s="299"/>
      <c r="AQ958" s="296"/>
      <c r="AR958" s="296"/>
      <c r="AS958" s="296"/>
      <c r="AU958" s="296"/>
      <c r="AV958" s="296"/>
      <c r="AW958" s="296"/>
    </row>
    <row r="959" spans="2:49" ht="13">
      <c r="B959" s="294"/>
      <c r="C959" s="294"/>
      <c r="D959" s="294"/>
      <c r="E959" s="294"/>
      <c r="F959" s="171"/>
      <c r="G959" s="294"/>
      <c r="H959" s="294"/>
      <c r="I959" s="294"/>
      <c r="J959" s="294"/>
      <c r="K959" s="294"/>
      <c r="L959" s="294"/>
      <c r="T959" s="295"/>
      <c r="AA959" s="295"/>
      <c r="AH959" s="295"/>
      <c r="AI959" s="188"/>
      <c r="AJ959" s="188"/>
      <c r="AK959" s="188"/>
      <c r="AL959" s="188"/>
      <c r="AM959" s="188"/>
      <c r="AN959" s="188"/>
      <c r="AO959" s="299"/>
      <c r="AQ959" s="296"/>
      <c r="AR959" s="296"/>
      <c r="AS959" s="296"/>
      <c r="AU959" s="296"/>
      <c r="AV959" s="296"/>
      <c r="AW959" s="296"/>
    </row>
    <row r="960" spans="2:49" ht="13">
      <c r="B960" s="294"/>
      <c r="C960" s="294"/>
      <c r="D960" s="294"/>
      <c r="E960" s="294"/>
      <c r="F960" s="171"/>
      <c r="G960" s="294"/>
      <c r="H960" s="294"/>
      <c r="I960" s="294"/>
      <c r="J960" s="294"/>
      <c r="K960" s="294"/>
      <c r="L960" s="294"/>
      <c r="T960" s="295"/>
      <c r="AA960" s="295"/>
      <c r="AH960" s="295"/>
      <c r="AI960" s="188"/>
      <c r="AJ960" s="188"/>
      <c r="AK960" s="188"/>
      <c r="AL960" s="188"/>
      <c r="AM960" s="188"/>
      <c r="AN960" s="188"/>
      <c r="AO960" s="299"/>
      <c r="AQ960" s="296"/>
      <c r="AR960" s="296"/>
      <c r="AS960" s="296"/>
      <c r="AU960" s="296"/>
      <c r="AV960" s="296"/>
      <c r="AW960" s="296"/>
    </row>
    <row r="961" spans="2:49" ht="13">
      <c r="B961" s="294"/>
      <c r="C961" s="294"/>
      <c r="D961" s="294"/>
      <c r="E961" s="294"/>
      <c r="F961" s="171"/>
      <c r="G961" s="294"/>
      <c r="H961" s="294"/>
      <c r="I961" s="294"/>
      <c r="J961" s="294"/>
      <c r="K961" s="294"/>
      <c r="L961" s="294"/>
      <c r="T961" s="295"/>
      <c r="AA961" s="295"/>
      <c r="AH961" s="295"/>
      <c r="AI961" s="188"/>
      <c r="AJ961" s="188"/>
      <c r="AK961" s="188"/>
      <c r="AL961" s="188"/>
      <c r="AM961" s="188"/>
      <c r="AN961" s="188"/>
      <c r="AO961" s="299"/>
      <c r="AQ961" s="296"/>
      <c r="AR961" s="296"/>
      <c r="AS961" s="296"/>
      <c r="AU961" s="296"/>
      <c r="AV961" s="296"/>
      <c r="AW961" s="296"/>
    </row>
    <row r="962" spans="2:49" ht="13">
      <c r="B962" s="294"/>
      <c r="C962" s="294"/>
      <c r="D962" s="294"/>
      <c r="E962" s="294"/>
      <c r="F962" s="171"/>
      <c r="G962" s="294"/>
      <c r="H962" s="294"/>
      <c r="I962" s="294"/>
      <c r="J962" s="294"/>
      <c r="K962" s="294"/>
      <c r="L962" s="294"/>
      <c r="T962" s="295"/>
      <c r="AA962" s="295"/>
      <c r="AH962" s="295"/>
      <c r="AI962" s="188"/>
      <c r="AJ962" s="188"/>
      <c r="AK962" s="188"/>
      <c r="AL962" s="188"/>
      <c r="AM962" s="188"/>
      <c r="AN962" s="188"/>
      <c r="AO962" s="299"/>
      <c r="AQ962" s="296"/>
      <c r="AR962" s="296"/>
      <c r="AS962" s="296"/>
      <c r="AU962" s="296"/>
      <c r="AV962" s="296"/>
      <c r="AW962" s="296"/>
    </row>
    <row r="963" spans="2:49" ht="13">
      <c r="B963" s="294"/>
      <c r="C963" s="294"/>
      <c r="D963" s="294"/>
      <c r="E963" s="294"/>
      <c r="F963" s="171"/>
      <c r="G963" s="294"/>
      <c r="H963" s="294"/>
      <c r="I963" s="294"/>
      <c r="J963" s="294"/>
      <c r="K963" s="294"/>
      <c r="L963" s="294"/>
      <c r="T963" s="295"/>
      <c r="AA963" s="295"/>
      <c r="AH963" s="295"/>
      <c r="AI963" s="188"/>
      <c r="AJ963" s="188"/>
      <c r="AK963" s="188"/>
      <c r="AL963" s="188"/>
      <c r="AM963" s="188"/>
      <c r="AN963" s="188"/>
      <c r="AO963" s="299"/>
      <c r="AQ963" s="296"/>
      <c r="AR963" s="296"/>
      <c r="AS963" s="296"/>
      <c r="AU963" s="296"/>
      <c r="AV963" s="296"/>
      <c r="AW963" s="296"/>
    </row>
    <row r="964" spans="2:49" ht="13">
      <c r="B964" s="294"/>
      <c r="C964" s="294"/>
      <c r="D964" s="294"/>
      <c r="E964" s="294"/>
      <c r="F964" s="171"/>
      <c r="G964" s="294"/>
      <c r="H964" s="294"/>
      <c r="I964" s="294"/>
      <c r="J964" s="294"/>
      <c r="K964" s="294"/>
      <c r="L964" s="294"/>
      <c r="T964" s="295"/>
      <c r="AA964" s="295"/>
      <c r="AH964" s="295"/>
      <c r="AI964" s="188"/>
      <c r="AJ964" s="188"/>
      <c r="AK964" s="188"/>
      <c r="AL964" s="188"/>
      <c r="AM964" s="188"/>
      <c r="AN964" s="188"/>
      <c r="AO964" s="299"/>
      <c r="AQ964" s="296"/>
      <c r="AR964" s="296"/>
      <c r="AS964" s="296"/>
      <c r="AU964" s="296"/>
      <c r="AV964" s="296"/>
      <c r="AW964" s="296"/>
    </row>
    <row r="965" spans="2:49" ht="13">
      <c r="B965" s="294"/>
      <c r="C965" s="294"/>
      <c r="D965" s="294"/>
      <c r="E965" s="294"/>
      <c r="F965" s="171"/>
      <c r="G965" s="294"/>
      <c r="H965" s="294"/>
      <c r="I965" s="294"/>
      <c r="J965" s="294"/>
      <c r="K965" s="294"/>
      <c r="L965" s="294"/>
      <c r="T965" s="295"/>
      <c r="AA965" s="295"/>
      <c r="AH965" s="295"/>
      <c r="AI965" s="188"/>
      <c r="AJ965" s="188"/>
      <c r="AK965" s="188"/>
      <c r="AL965" s="188"/>
      <c r="AM965" s="188"/>
      <c r="AN965" s="188"/>
      <c r="AO965" s="299"/>
      <c r="AQ965" s="296"/>
      <c r="AR965" s="296"/>
      <c r="AS965" s="296"/>
      <c r="AU965" s="296"/>
      <c r="AV965" s="296"/>
      <c r="AW965" s="296"/>
    </row>
    <row r="966" spans="2:49" ht="13">
      <c r="B966" s="294"/>
      <c r="C966" s="294"/>
      <c r="D966" s="294"/>
      <c r="E966" s="294"/>
      <c r="F966" s="171"/>
      <c r="G966" s="294"/>
      <c r="H966" s="294"/>
      <c r="I966" s="294"/>
      <c r="J966" s="294"/>
      <c r="K966" s="294"/>
      <c r="L966" s="294"/>
      <c r="T966" s="295"/>
      <c r="AA966" s="295"/>
      <c r="AH966" s="295"/>
      <c r="AI966" s="188"/>
      <c r="AJ966" s="188"/>
      <c r="AK966" s="188"/>
      <c r="AL966" s="188"/>
      <c r="AM966" s="188"/>
      <c r="AN966" s="188"/>
      <c r="AO966" s="299"/>
      <c r="AQ966" s="296"/>
      <c r="AR966" s="296"/>
      <c r="AS966" s="296"/>
      <c r="AU966" s="296"/>
      <c r="AV966" s="296"/>
      <c r="AW966" s="296"/>
    </row>
    <row r="967" spans="2:49" ht="13">
      <c r="B967" s="294"/>
      <c r="C967" s="294"/>
      <c r="D967" s="294"/>
      <c r="E967" s="294"/>
      <c r="F967" s="171"/>
      <c r="G967" s="294"/>
      <c r="H967" s="294"/>
      <c r="I967" s="294"/>
      <c r="J967" s="294"/>
      <c r="K967" s="294"/>
      <c r="L967" s="294"/>
      <c r="T967" s="295"/>
      <c r="AA967" s="295"/>
      <c r="AH967" s="295"/>
      <c r="AI967" s="188"/>
      <c r="AJ967" s="188"/>
      <c r="AK967" s="188"/>
      <c r="AL967" s="188"/>
      <c r="AM967" s="188"/>
      <c r="AN967" s="188"/>
      <c r="AO967" s="299"/>
      <c r="AQ967" s="296"/>
      <c r="AR967" s="296"/>
      <c r="AS967" s="296"/>
      <c r="AU967" s="296"/>
      <c r="AV967" s="296"/>
      <c r="AW967" s="296"/>
    </row>
    <row r="968" spans="2:49" ht="13">
      <c r="B968" s="294"/>
      <c r="C968" s="294"/>
      <c r="D968" s="294"/>
      <c r="E968" s="294"/>
      <c r="F968" s="171"/>
      <c r="G968" s="294"/>
      <c r="H968" s="294"/>
      <c r="I968" s="294"/>
      <c r="J968" s="294"/>
      <c r="K968" s="294"/>
      <c r="L968" s="294"/>
      <c r="T968" s="295"/>
      <c r="AA968" s="295"/>
      <c r="AH968" s="295"/>
      <c r="AI968" s="188"/>
      <c r="AJ968" s="188"/>
      <c r="AK968" s="188"/>
      <c r="AL968" s="188"/>
      <c r="AM968" s="188"/>
      <c r="AN968" s="188"/>
      <c r="AO968" s="299"/>
      <c r="AQ968" s="296"/>
      <c r="AR968" s="296"/>
      <c r="AS968" s="296"/>
      <c r="AU968" s="296"/>
      <c r="AV968" s="296"/>
      <c r="AW968" s="296"/>
    </row>
    <row r="969" spans="2:49" ht="13">
      <c r="B969" s="294"/>
      <c r="C969" s="294"/>
      <c r="D969" s="294"/>
      <c r="E969" s="294"/>
      <c r="F969" s="171"/>
      <c r="G969" s="294"/>
      <c r="H969" s="294"/>
      <c r="I969" s="294"/>
      <c r="J969" s="294"/>
      <c r="K969" s="294"/>
      <c r="L969" s="294"/>
      <c r="T969" s="295"/>
      <c r="AA969" s="295"/>
      <c r="AH969" s="295"/>
      <c r="AI969" s="188"/>
      <c r="AJ969" s="188"/>
      <c r="AK969" s="188"/>
      <c r="AL969" s="188"/>
      <c r="AM969" s="188"/>
      <c r="AN969" s="188"/>
      <c r="AO969" s="299"/>
      <c r="AQ969" s="296"/>
      <c r="AR969" s="296"/>
      <c r="AS969" s="296"/>
      <c r="AU969" s="296"/>
      <c r="AV969" s="296"/>
      <c r="AW969" s="296"/>
    </row>
    <row r="970" spans="2:49" ht="13">
      <c r="B970" s="294"/>
      <c r="C970" s="294"/>
      <c r="D970" s="294"/>
      <c r="E970" s="294"/>
      <c r="F970" s="171"/>
      <c r="G970" s="294"/>
      <c r="H970" s="294"/>
      <c r="I970" s="294"/>
      <c r="J970" s="294"/>
      <c r="K970" s="294"/>
      <c r="L970" s="294"/>
      <c r="T970" s="295"/>
      <c r="AA970" s="295"/>
      <c r="AH970" s="295"/>
      <c r="AI970" s="188"/>
      <c r="AJ970" s="188"/>
      <c r="AK970" s="188"/>
      <c r="AL970" s="188"/>
      <c r="AM970" s="188"/>
      <c r="AN970" s="188"/>
      <c r="AO970" s="299"/>
      <c r="AQ970" s="296"/>
      <c r="AR970" s="296"/>
      <c r="AS970" s="296"/>
      <c r="AU970" s="296"/>
      <c r="AV970" s="296"/>
      <c r="AW970" s="296"/>
    </row>
    <row r="971" spans="2:49" ht="13">
      <c r="B971" s="294"/>
      <c r="C971" s="294"/>
      <c r="D971" s="294"/>
      <c r="E971" s="294"/>
      <c r="F971" s="171"/>
      <c r="G971" s="294"/>
      <c r="H971" s="294"/>
      <c r="I971" s="294"/>
      <c r="J971" s="294"/>
      <c r="K971" s="294"/>
      <c r="L971" s="294"/>
      <c r="T971" s="295"/>
      <c r="AA971" s="295"/>
      <c r="AH971" s="295"/>
      <c r="AI971" s="188"/>
      <c r="AJ971" s="188"/>
      <c r="AK971" s="188"/>
      <c r="AL971" s="188"/>
      <c r="AM971" s="188"/>
      <c r="AN971" s="188"/>
      <c r="AO971" s="299"/>
      <c r="AQ971" s="296"/>
      <c r="AR971" s="296"/>
      <c r="AS971" s="296"/>
      <c r="AU971" s="296"/>
      <c r="AV971" s="296"/>
      <c r="AW971" s="296"/>
    </row>
    <row r="972" spans="2:49" ht="13">
      <c r="B972" s="294"/>
      <c r="C972" s="294"/>
      <c r="D972" s="294"/>
      <c r="E972" s="294"/>
      <c r="F972" s="171"/>
      <c r="G972" s="294"/>
      <c r="H972" s="294"/>
      <c r="I972" s="294"/>
      <c r="J972" s="294"/>
      <c r="K972" s="294"/>
      <c r="L972" s="294"/>
      <c r="T972" s="295"/>
      <c r="AA972" s="295"/>
      <c r="AH972" s="295"/>
      <c r="AI972" s="188"/>
      <c r="AJ972" s="188"/>
      <c r="AK972" s="188"/>
      <c r="AL972" s="188"/>
      <c r="AM972" s="188"/>
      <c r="AN972" s="188"/>
      <c r="AO972" s="299"/>
      <c r="AQ972" s="296"/>
      <c r="AR972" s="296"/>
      <c r="AS972" s="296"/>
      <c r="AU972" s="296"/>
      <c r="AV972" s="296"/>
      <c r="AW972" s="296"/>
    </row>
    <row r="973" spans="2:49" ht="13">
      <c r="B973" s="294"/>
      <c r="C973" s="294"/>
      <c r="D973" s="294"/>
      <c r="E973" s="294"/>
      <c r="F973" s="171"/>
      <c r="G973" s="294"/>
      <c r="H973" s="294"/>
      <c r="I973" s="294"/>
      <c r="J973" s="294"/>
      <c r="K973" s="294"/>
      <c r="L973" s="294"/>
      <c r="T973" s="295"/>
      <c r="AA973" s="295"/>
      <c r="AH973" s="295"/>
      <c r="AI973" s="188"/>
      <c r="AJ973" s="188"/>
      <c r="AK973" s="188"/>
      <c r="AL973" s="188"/>
      <c r="AM973" s="188"/>
      <c r="AN973" s="188"/>
      <c r="AO973" s="299"/>
      <c r="AQ973" s="296"/>
      <c r="AR973" s="296"/>
      <c r="AS973" s="296"/>
      <c r="AU973" s="296"/>
      <c r="AV973" s="296"/>
      <c r="AW973" s="296"/>
    </row>
    <row r="974" spans="2:49" ht="13">
      <c r="B974" s="294"/>
      <c r="C974" s="294"/>
      <c r="D974" s="294"/>
      <c r="E974" s="294"/>
      <c r="F974" s="171"/>
      <c r="G974" s="294"/>
      <c r="H974" s="294"/>
      <c r="I974" s="294"/>
      <c r="J974" s="294"/>
      <c r="K974" s="294"/>
      <c r="L974" s="294"/>
      <c r="T974" s="295"/>
      <c r="AA974" s="295"/>
      <c r="AH974" s="295"/>
      <c r="AI974" s="188"/>
      <c r="AJ974" s="188"/>
      <c r="AK974" s="188"/>
      <c r="AL974" s="188"/>
      <c r="AM974" s="188"/>
      <c r="AN974" s="188"/>
      <c r="AO974" s="299"/>
      <c r="AQ974" s="296"/>
      <c r="AR974" s="296"/>
      <c r="AS974" s="296"/>
      <c r="AU974" s="296"/>
      <c r="AV974" s="296"/>
      <c r="AW974" s="296"/>
    </row>
    <row r="975" spans="2:49" ht="13">
      <c r="B975" s="294"/>
      <c r="C975" s="294"/>
      <c r="D975" s="294"/>
      <c r="E975" s="294"/>
      <c r="F975" s="171"/>
      <c r="G975" s="294"/>
      <c r="H975" s="294"/>
      <c r="I975" s="294"/>
      <c r="J975" s="294"/>
      <c r="K975" s="294"/>
      <c r="L975" s="294"/>
      <c r="T975" s="295"/>
      <c r="AA975" s="295"/>
      <c r="AH975" s="295"/>
      <c r="AI975" s="188"/>
      <c r="AJ975" s="188"/>
      <c r="AK975" s="188"/>
      <c r="AL975" s="188"/>
      <c r="AM975" s="188"/>
      <c r="AN975" s="188"/>
      <c r="AO975" s="299"/>
      <c r="AQ975" s="296"/>
      <c r="AR975" s="296"/>
      <c r="AS975" s="296"/>
      <c r="AU975" s="296"/>
      <c r="AV975" s="296"/>
      <c r="AW975" s="296"/>
    </row>
    <row r="976" spans="2:49" ht="13">
      <c r="B976" s="294"/>
      <c r="C976" s="294"/>
      <c r="D976" s="294"/>
      <c r="E976" s="294"/>
      <c r="F976" s="171"/>
      <c r="G976" s="294"/>
      <c r="H976" s="294"/>
      <c r="I976" s="294"/>
      <c r="J976" s="294"/>
      <c r="K976" s="294"/>
      <c r="L976" s="294"/>
      <c r="T976" s="295"/>
      <c r="AA976" s="295"/>
      <c r="AH976" s="295"/>
      <c r="AI976" s="188"/>
      <c r="AJ976" s="188"/>
      <c r="AK976" s="188"/>
      <c r="AL976" s="188"/>
      <c r="AM976" s="188"/>
      <c r="AN976" s="188"/>
      <c r="AO976" s="299"/>
      <c r="AQ976" s="296"/>
      <c r="AR976" s="296"/>
      <c r="AS976" s="296"/>
      <c r="AU976" s="296"/>
      <c r="AV976" s="296"/>
      <c r="AW976" s="296"/>
    </row>
    <row r="977" spans="2:49" ht="13">
      <c r="B977" s="294"/>
      <c r="C977" s="294"/>
      <c r="D977" s="294"/>
      <c r="E977" s="294"/>
      <c r="F977" s="171"/>
      <c r="G977" s="294"/>
      <c r="H977" s="294"/>
      <c r="I977" s="294"/>
      <c r="J977" s="294"/>
      <c r="K977" s="294"/>
      <c r="L977" s="294"/>
      <c r="T977" s="295"/>
      <c r="AA977" s="295"/>
      <c r="AH977" s="295"/>
      <c r="AI977" s="188"/>
      <c r="AJ977" s="188"/>
      <c r="AK977" s="188"/>
      <c r="AL977" s="188"/>
      <c r="AM977" s="188"/>
      <c r="AN977" s="188"/>
      <c r="AO977" s="299"/>
      <c r="AQ977" s="296"/>
      <c r="AR977" s="296"/>
      <c r="AS977" s="296"/>
      <c r="AU977" s="296"/>
      <c r="AV977" s="296"/>
      <c r="AW977" s="296"/>
    </row>
    <row r="978" spans="2:49" ht="13">
      <c r="B978" s="294"/>
      <c r="C978" s="294"/>
      <c r="D978" s="294"/>
      <c r="E978" s="294"/>
      <c r="F978" s="171"/>
      <c r="G978" s="294"/>
      <c r="H978" s="294"/>
      <c r="I978" s="294"/>
      <c r="J978" s="294"/>
      <c r="K978" s="294"/>
      <c r="L978" s="294"/>
      <c r="T978" s="295"/>
      <c r="AA978" s="295"/>
      <c r="AH978" s="295"/>
      <c r="AI978" s="188"/>
      <c r="AJ978" s="188"/>
      <c r="AK978" s="188"/>
      <c r="AL978" s="188"/>
      <c r="AM978" s="188"/>
      <c r="AN978" s="188"/>
      <c r="AO978" s="299"/>
      <c r="AQ978" s="296"/>
      <c r="AR978" s="296"/>
      <c r="AS978" s="296"/>
      <c r="AU978" s="296"/>
      <c r="AV978" s="296"/>
      <c r="AW978" s="296"/>
    </row>
    <row r="979" spans="2:49" ht="13">
      <c r="B979" s="294"/>
      <c r="C979" s="294"/>
      <c r="D979" s="294"/>
      <c r="E979" s="294"/>
      <c r="F979" s="171"/>
      <c r="G979" s="294"/>
      <c r="H979" s="294"/>
      <c r="I979" s="294"/>
      <c r="J979" s="294"/>
      <c r="K979" s="294"/>
      <c r="L979" s="294"/>
      <c r="T979" s="295"/>
      <c r="AA979" s="295"/>
      <c r="AH979" s="295"/>
      <c r="AI979" s="188"/>
      <c r="AJ979" s="188"/>
      <c r="AK979" s="188"/>
      <c r="AL979" s="188"/>
      <c r="AM979" s="188"/>
      <c r="AN979" s="188"/>
      <c r="AO979" s="299"/>
      <c r="AQ979" s="296"/>
      <c r="AR979" s="296"/>
      <c r="AS979" s="296"/>
      <c r="AU979" s="296"/>
      <c r="AV979" s="296"/>
      <c r="AW979" s="296"/>
    </row>
    <row r="980" spans="2:49" ht="13">
      <c r="B980" s="294"/>
      <c r="C980" s="294"/>
      <c r="D980" s="294"/>
      <c r="E980" s="294"/>
      <c r="F980" s="171"/>
      <c r="G980" s="294"/>
      <c r="H980" s="294"/>
      <c r="I980" s="294"/>
      <c r="J980" s="294"/>
      <c r="K980" s="294"/>
      <c r="L980" s="294"/>
      <c r="T980" s="295"/>
      <c r="AA980" s="295"/>
      <c r="AH980" s="295"/>
      <c r="AI980" s="188"/>
      <c r="AJ980" s="188"/>
      <c r="AK980" s="188"/>
      <c r="AL980" s="188"/>
      <c r="AM980" s="188"/>
      <c r="AN980" s="188"/>
      <c r="AO980" s="299"/>
      <c r="AQ980" s="296"/>
      <c r="AR980" s="296"/>
      <c r="AS980" s="296"/>
      <c r="AU980" s="296"/>
      <c r="AV980" s="296"/>
      <c r="AW980" s="296"/>
    </row>
    <row r="981" spans="2:49" ht="13">
      <c r="B981" s="294"/>
      <c r="C981" s="294"/>
      <c r="D981" s="294"/>
      <c r="E981" s="294"/>
      <c r="F981" s="171"/>
      <c r="G981" s="294"/>
      <c r="H981" s="294"/>
      <c r="I981" s="294"/>
      <c r="J981" s="294"/>
      <c r="K981" s="294"/>
      <c r="L981" s="294"/>
      <c r="T981" s="295"/>
      <c r="AA981" s="295"/>
      <c r="AH981" s="295"/>
      <c r="AI981" s="188"/>
      <c r="AJ981" s="188"/>
      <c r="AK981" s="188"/>
      <c r="AL981" s="188"/>
      <c r="AM981" s="188"/>
      <c r="AN981" s="188"/>
      <c r="AO981" s="299"/>
      <c r="AQ981" s="296"/>
      <c r="AR981" s="296"/>
      <c r="AS981" s="296"/>
      <c r="AU981" s="296"/>
      <c r="AV981" s="296"/>
      <c r="AW981" s="296"/>
    </row>
    <row r="982" spans="2:49" ht="13">
      <c r="B982" s="294"/>
      <c r="C982" s="294"/>
      <c r="D982" s="294"/>
      <c r="E982" s="294"/>
      <c r="F982" s="171"/>
      <c r="G982" s="294"/>
      <c r="H982" s="294"/>
      <c r="I982" s="294"/>
      <c r="J982" s="294"/>
      <c r="K982" s="294"/>
      <c r="L982" s="294"/>
      <c r="T982" s="295"/>
      <c r="AA982" s="295"/>
      <c r="AH982" s="295"/>
      <c r="AI982" s="188"/>
      <c r="AJ982" s="188"/>
      <c r="AK982" s="188"/>
      <c r="AL982" s="188"/>
      <c r="AM982" s="188"/>
      <c r="AN982" s="188"/>
      <c r="AO982" s="299"/>
      <c r="AQ982" s="296"/>
      <c r="AR982" s="296"/>
      <c r="AS982" s="296"/>
      <c r="AU982" s="296"/>
      <c r="AV982" s="296"/>
      <c r="AW982" s="296"/>
    </row>
    <row r="983" spans="2:49" ht="13">
      <c r="B983" s="294"/>
      <c r="C983" s="294"/>
      <c r="D983" s="294"/>
      <c r="E983" s="294"/>
      <c r="F983" s="171"/>
      <c r="G983" s="294"/>
      <c r="H983" s="294"/>
      <c r="I983" s="294"/>
      <c r="J983" s="294"/>
      <c r="K983" s="294"/>
      <c r="L983" s="294"/>
      <c r="T983" s="295"/>
      <c r="AA983" s="295"/>
      <c r="AH983" s="295"/>
      <c r="AI983" s="188"/>
      <c r="AJ983" s="188"/>
      <c r="AK983" s="188"/>
      <c r="AL983" s="188"/>
      <c r="AM983" s="188"/>
      <c r="AN983" s="188"/>
      <c r="AO983" s="299"/>
      <c r="AQ983" s="296"/>
      <c r="AR983" s="296"/>
      <c r="AS983" s="296"/>
      <c r="AU983" s="296"/>
      <c r="AV983" s="296"/>
      <c r="AW983" s="296"/>
    </row>
    <row r="984" spans="2:49" ht="13">
      <c r="B984" s="294"/>
      <c r="C984" s="294"/>
      <c r="D984" s="294"/>
      <c r="E984" s="294"/>
      <c r="F984" s="171"/>
      <c r="G984" s="294"/>
      <c r="H984" s="294"/>
      <c r="I984" s="294"/>
      <c r="J984" s="294"/>
      <c r="K984" s="294"/>
      <c r="L984" s="294"/>
      <c r="T984" s="295"/>
      <c r="AA984" s="295"/>
      <c r="AH984" s="295"/>
      <c r="AI984" s="188"/>
      <c r="AJ984" s="188"/>
      <c r="AK984" s="188"/>
      <c r="AL984" s="188"/>
      <c r="AM984" s="188"/>
      <c r="AN984" s="188"/>
      <c r="AO984" s="299"/>
      <c r="AQ984" s="296"/>
      <c r="AR984" s="296"/>
      <c r="AS984" s="296"/>
      <c r="AU984" s="296"/>
      <c r="AV984" s="296"/>
      <c r="AW984" s="296"/>
    </row>
    <row r="985" spans="2:49" ht="13">
      <c r="B985" s="294"/>
      <c r="C985" s="294"/>
      <c r="D985" s="294"/>
      <c r="E985" s="294"/>
      <c r="F985" s="171"/>
      <c r="G985" s="294"/>
      <c r="H985" s="294"/>
      <c r="I985" s="294"/>
      <c r="J985" s="294"/>
      <c r="K985" s="294"/>
      <c r="L985" s="294"/>
      <c r="T985" s="295"/>
      <c r="AA985" s="295"/>
      <c r="AH985" s="295"/>
      <c r="AI985" s="188"/>
      <c r="AJ985" s="188"/>
      <c r="AK985" s="188"/>
      <c r="AL985" s="188"/>
      <c r="AM985" s="188"/>
      <c r="AN985" s="188"/>
      <c r="AO985" s="299"/>
      <c r="AQ985" s="296"/>
      <c r="AR985" s="296"/>
      <c r="AS985" s="296"/>
      <c r="AU985" s="296"/>
      <c r="AV985" s="296"/>
      <c r="AW985" s="296"/>
    </row>
    <row r="986" spans="2:49" ht="13">
      <c r="B986" s="294"/>
      <c r="C986" s="294"/>
      <c r="D986" s="294"/>
      <c r="E986" s="294"/>
      <c r="F986" s="171"/>
      <c r="G986" s="294"/>
      <c r="H986" s="294"/>
      <c r="I986" s="294"/>
      <c r="J986" s="294"/>
      <c r="K986" s="294"/>
      <c r="L986" s="294"/>
      <c r="T986" s="295"/>
      <c r="AA986" s="295"/>
      <c r="AH986" s="295"/>
      <c r="AI986" s="188"/>
      <c r="AJ986" s="188"/>
      <c r="AK986" s="188"/>
      <c r="AL986" s="188"/>
      <c r="AM986" s="188"/>
      <c r="AN986" s="188"/>
      <c r="AO986" s="299"/>
      <c r="AQ986" s="296"/>
      <c r="AR986" s="296"/>
      <c r="AS986" s="296"/>
      <c r="AU986" s="296"/>
      <c r="AV986" s="296"/>
      <c r="AW986" s="296"/>
    </row>
    <row r="987" spans="2:49" ht="13">
      <c r="B987" s="294"/>
      <c r="C987" s="294"/>
      <c r="D987" s="294"/>
      <c r="E987" s="294"/>
      <c r="F987" s="171"/>
      <c r="G987" s="294"/>
      <c r="H987" s="294"/>
      <c r="I987" s="294"/>
      <c r="J987" s="294"/>
      <c r="K987" s="294"/>
      <c r="L987" s="294"/>
      <c r="T987" s="295"/>
      <c r="AA987" s="295"/>
      <c r="AH987" s="295"/>
      <c r="AI987" s="188"/>
      <c r="AJ987" s="188"/>
      <c r="AK987" s="188"/>
      <c r="AL987" s="188"/>
      <c r="AM987" s="188"/>
      <c r="AN987" s="188"/>
      <c r="AO987" s="299"/>
      <c r="AQ987" s="296"/>
      <c r="AR987" s="296"/>
      <c r="AS987" s="296"/>
      <c r="AU987" s="296"/>
      <c r="AV987" s="296"/>
      <c r="AW987" s="296"/>
    </row>
    <row r="988" spans="2:49" ht="13">
      <c r="B988" s="294"/>
      <c r="C988" s="294"/>
      <c r="D988" s="294"/>
      <c r="E988" s="294"/>
      <c r="F988" s="171"/>
      <c r="G988" s="294"/>
      <c r="H988" s="294"/>
      <c r="I988" s="294"/>
      <c r="J988" s="294"/>
      <c r="K988" s="294"/>
      <c r="L988" s="294"/>
      <c r="T988" s="295"/>
      <c r="AA988" s="295"/>
      <c r="AH988" s="295"/>
      <c r="AI988" s="188"/>
      <c r="AJ988" s="188"/>
      <c r="AK988" s="188"/>
      <c r="AL988" s="188"/>
      <c r="AM988" s="188"/>
      <c r="AN988" s="188"/>
      <c r="AO988" s="299"/>
      <c r="AQ988" s="296"/>
      <c r="AR988" s="296"/>
      <c r="AS988" s="296"/>
      <c r="AU988" s="296"/>
      <c r="AV988" s="296"/>
      <c r="AW988" s="296"/>
    </row>
    <row r="989" spans="2:49" ht="13">
      <c r="B989" s="294"/>
      <c r="C989" s="294"/>
      <c r="D989" s="294"/>
      <c r="E989" s="294"/>
      <c r="F989" s="171"/>
      <c r="G989" s="294"/>
      <c r="H989" s="294"/>
      <c r="I989" s="294"/>
      <c r="J989" s="294"/>
      <c r="K989" s="294"/>
      <c r="L989" s="294"/>
      <c r="T989" s="295"/>
      <c r="AA989" s="295"/>
      <c r="AH989" s="295"/>
      <c r="AI989" s="188"/>
      <c r="AJ989" s="188"/>
      <c r="AK989" s="188"/>
      <c r="AL989" s="188"/>
      <c r="AM989" s="188"/>
      <c r="AN989" s="188"/>
      <c r="AO989" s="299"/>
      <c r="AQ989" s="296"/>
      <c r="AR989" s="296"/>
      <c r="AS989" s="296"/>
      <c r="AU989" s="296"/>
      <c r="AV989" s="296"/>
      <c r="AW989" s="296"/>
    </row>
    <row r="990" spans="2:49" ht="13">
      <c r="B990" s="294"/>
      <c r="C990" s="294"/>
      <c r="D990" s="294"/>
      <c r="E990" s="294"/>
      <c r="F990" s="171"/>
      <c r="G990" s="294"/>
      <c r="H990" s="294"/>
      <c r="I990" s="294"/>
      <c r="J990" s="294"/>
      <c r="K990" s="294"/>
      <c r="L990" s="294"/>
      <c r="T990" s="295"/>
      <c r="AA990" s="295"/>
      <c r="AH990" s="295"/>
      <c r="AI990" s="188"/>
      <c r="AJ990" s="188"/>
      <c r="AK990" s="188"/>
      <c r="AL990" s="188"/>
      <c r="AM990" s="188"/>
      <c r="AN990" s="188"/>
      <c r="AO990" s="299"/>
      <c r="AQ990" s="296"/>
      <c r="AR990" s="296"/>
      <c r="AS990" s="296"/>
      <c r="AU990" s="296"/>
      <c r="AV990" s="296"/>
      <c r="AW990" s="296"/>
    </row>
    <row r="991" spans="2:49" ht="13">
      <c r="B991" s="294"/>
      <c r="C991" s="294"/>
      <c r="D991" s="294"/>
      <c r="E991" s="294"/>
      <c r="F991" s="171"/>
      <c r="G991" s="294"/>
      <c r="H991" s="294"/>
      <c r="I991" s="294"/>
      <c r="J991" s="294"/>
      <c r="K991" s="294"/>
      <c r="L991" s="294"/>
      <c r="T991" s="295"/>
      <c r="AA991" s="295"/>
      <c r="AH991" s="295"/>
      <c r="AI991" s="188"/>
      <c r="AJ991" s="188"/>
      <c r="AK991" s="188"/>
      <c r="AL991" s="188"/>
      <c r="AM991" s="188"/>
      <c r="AN991" s="188"/>
      <c r="AO991" s="299"/>
      <c r="AQ991" s="296"/>
      <c r="AR991" s="296"/>
      <c r="AS991" s="296"/>
      <c r="AU991" s="296"/>
      <c r="AV991" s="296"/>
      <c r="AW991" s="296"/>
    </row>
    <row r="992" spans="2:49" ht="13">
      <c r="B992" s="294"/>
      <c r="C992" s="294"/>
      <c r="D992" s="294"/>
      <c r="E992" s="294"/>
      <c r="F992" s="171"/>
      <c r="G992" s="294"/>
      <c r="H992" s="294"/>
      <c r="I992" s="294"/>
      <c r="J992" s="294"/>
      <c r="K992" s="294"/>
      <c r="L992" s="294"/>
      <c r="T992" s="295"/>
      <c r="AA992" s="295"/>
      <c r="AH992" s="295"/>
      <c r="AI992" s="188"/>
      <c r="AJ992" s="188"/>
      <c r="AK992" s="188"/>
      <c r="AL992" s="188"/>
      <c r="AM992" s="188"/>
      <c r="AN992" s="188"/>
      <c r="AO992" s="299"/>
      <c r="AQ992" s="296"/>
      <c r="AR992" s="296"/>
      <c r="AS992" s="296"/>
      <c r="AU992" s="296"/>
      <c r="AV992" s="296"/>
      <c r="AW992" s="296"/>
    </row>
    <row r="993" spans="2:49" ht="13">
      <c r="B993" s="294"/>
      <c r="C993" s="294"/>
      <c r="D993" s="294"/>
      <c r="E993" s="294"/>
      <c r="F993" s="171"/>
      <c r="G993" s="294"/>
      <c r="H993" s="294"/>
      <c r="I993" s="294"/>
      <c r="J993" s="294"/>
      <c r="K993" s="294"/>
      <c r="L993" s="294"/>
      <c r="T993" s="295"/>
      <c r="AA993" s="295"/>
      <c r="AH993" s="295"/>
      <c r="AI993" s="188"/>
      <c r="AJ993" s="188"/>
      <c r="AK993" s="188"/>
      <c r="AL993" s="188"/>
      <c r="AM993" s="188"/>
      <c r="AN993" s="188"/>
      <c r="AO993" s="299"/>
      <c r="AQ993" s="296"/>
      <c r="AR993" s="296"/>
      <c r="AS993" s="296"/>
      <c r="AU993" s="296"/>
      <c r="AV993" s="296"/>
      <c r="AW993" s="296"/>
    </row>
    <row r="994" spans="2:49" ht="13">
      <c r="B994" s="294"/>
      <c r="C994" s="294"/>
      <c r="D994" s="294"/>
      <c r="E994" s="294"/>
      <c r="F994" s="171"/>
      <c r="G994" s="294"/>
      <c r="H994" s="294"/>
      <c r="I994" s="294"/>
      <c r="J994" s="294"/>
      <c r="K994" s="294"/>
      <c r="L994" s="294"/>
      <c r="T994" s="295"/>
      <c r="AA994" s="295"/>
      <c r="AH994" s="295"/>
      <c r="AI994" s="188"/>
      <c r="AJ994" s="188"/>
      <c r="AK994" s="188"/>
      <c r="AL994" s="188"/>
      <c r="AM994" s="188"/>
      <c r="AN994" s="188"/>
      <c r="AO994" s="299"/>
      <c r="AQ994" s="296"/>
      <c r="AR994" s="296"/>
      <c r="AS994" s="296"/>
      <c r="AU994" s="296"/>
      <c r="AV994" s="296"/>
      <c r="AW994" s="296"/>
    </row>
    <row r="995" spans="2:49" ht="13">
      <c r="B995" s="294"/>
      <c r="C995" s="294"/>
      <c r="D995" s="294"/>
      <c r="E995" s="294"/>
      <c r="F995" s="171"/>
      <c r="G995" s="294"/>
      <c r="H995" s="294"/>
      <c r="I995" s="294"/>
      <c r="J995" s="294"/>
      <c r="K995" s="294"/>
      <c r="L995" s="294"/>
      <c r="T995" s="295"/>
      <c r="AA995" s="295"/>
      <c r="AH995" s="295"/>
      <c r="AI995" s="188"/>
      <c r="AJ995" s="188"/>
      <c r="AK995" s="188"/>
      <c r="AL995" s="188"/>
      <c r="AM995" s="188"/>
      <c r="AN995" s="188"/>
      <c r="AO995" s="299"/>
      <c r="AQ995" s="296"/>
      <c r="AR995" s="296"/>
      <c r="AS995" s="296"/>
      <c r="AU995" s="296"/>
      <c r="AV995" s="296"/>
      <c r="AW995" s="296"/>
    </row>
    <row r="996" spans="2:49" ht="13">
      <c r="B996" s="294"/>
      <c r="C996" s="294"/>
      <c r="D996" s="294"/>
      <c r="E996" s="294"/>
      <c r="F996" s="171"/>
      <c r="G996" s="294"/>
      <c r="H996" s="294"/>
      <c r="I996" s="294"/>
      <c r="J996" s="294"/>
      <c r="K996" s="294"/>
      <c r="L996" s="294"/>
      <c r="T996" s="295"/>
      <c r="AA996" s="295"/>
      <c r="AH996" s="295"/>
      <c r="AI996" s="188"/>
      <c r="AJ996" s="188"/>
      <c r="AK996" s="188"/>
      <c r="AL996" s="188"/>
      <c r="AM996" s="188"/>
      <c r="AN996" s="188"/>
      <c r="AO996" s="299"/>
      <c r="AQ996" s="296"/>
      <c r="AR996" s="296"/>
      <c r="AS996" s="296"/>
      <c r="AU996" s="296"/>
      <c r="AV996" s="296"/>
      <c r="AW996" s="296"/>
    </row>
    <row r="997" spans="2:49" ht="13">
      <c r="B997" s="294"/>
      <c r="C997" s="294"/>
      <c r="D997" s="294"/>
      <c r="E997" s="294"/>
      <c r="F997" s="171"/>
      <c r="G997" s="294"/>
      <c r="H997" s="294"/>
      <c r="I997" s="294"/>
      <c r="J997" s="294"/>
      <c r="K997" s="294"/>
      <c r="L997" s="294"/>
      <c r="T997" s="295"/>
      <c r="AA997" s="295"/>
      <c r="AH997" s="295"/>
      <c r="AI997" s="188"/>
      <c r="AJ997" s="188"/>
      <c r="AK997" s="188"/>
      <c r="AL997" s="188"/>
      <c r="AM997" s="188"/>
      <c r="AN997" s="188"/>
      <c r="AO997" s="299"/>
      <c r="AQ997" s="296"/>
      <c r="AR997" s="296"/>
      <c r="AS997" s="296"/>
      <c r="AU997" s="296"/>
      <c r="AV997" s="296"/>
      <c r="AW997" s="296"/>
    </row>
    <row r="998" spans="2:49" ht="13">
      <c r="B998" s="294"/>
      <c r="C998" s="294"/>
      <c r="D998" s="294"/>
      <c r="E998" s="294"/>
      <c r="F998" s="171"/>
      <c r="G998" s="294"/>
      <c r="H998" s="294"/>
      <c r="I998" s="294"/>
      <c r="J998" s="294"/>
      <c r="K998" s="294"/>
      <c r="L998" s="294"/>
      <c r="T998" s="295"/>
      <c r="AA998" s="295"/>
      <c r="AH998" s="295"/>
      <c r="AI998" s="188"/>
      <c r="AJ998" s="188"/>
      <c r="AK998" s="188"/>
      <c r="AL998" s="188"/>
      <c r="AM998" s="188"/>
      <c r="AN998" s="188"/>
      <c r="AO998" s="299"/>
      <c r="AQ998" s="296"/>
      <c r="AR998" s="296"/>
      <c r="AS998" s="296"/>
      <c r="AU998" s="296"/>
      <c r="AV998" s="296"/>
      <c r="AW998" s="296"/>
    </row>
    <row r="999" spans="2:49" ht="13">
      <c r="B999" s="294"/>
      <c r="C999" s="294"/>
      <c r="D999" s="294"/>
      <c r="E999" s="294"/>
      <c r="F999" s="171"/>
      <c r="G999" s="294"/>
      <c r="H999" s="294"/>
      <c r="I999" s="294"/>
      <c r="J999" s="294"/>
      <c r="K999" s="294"/>
      <c r="L999" s="294"/>
      <c r="T999" s="295"/>
      <c r="AA999" s="295"/>
      <c r="AH999" s="295"/>
      <c r="AI999" s="188"/>
      <c r="AJ999" s="188"/>
      <c r="AK999" s="188"/>
      <c r="AL999" s="188"/>
      <c r="AM999" s="188"/>
      <c r="AN999" s="188"/>
      <c r="AO999" s="299"/>
      <c r="AQ999" s="296"/>
      <c r="AR999" s="296"/>
      <c r="AS999" s="296"/>
      <c r="AU999" s="296"/>
      <c r="AV999" s="296"/>
      <c r="AW999" s="296"/>
    </row>
    <row r="1000" spans="2:49" ht="13">
      <c r="B1000" s="294"/>
      <c r="C1000" s="294"/>
      <c r="D1000" s="294"/>
      <c r="E1000" s="294"/>
      <c r="F1000" s="171"/>
      <c r="G1000" s="294"/>
      <c r="H1000" s="294"/>
      <c r="I1000" s="294"/>
      <c r="J1000" s="294"/>
      <c r="K1000" s="294"/>
      <c r="L1000" s="294"/>
      <c r="T1000" s="295"/>
      <c r="AA1000" s="295"/>
      <c r="AH1000" s="295"/>
      <c r="AI1000" s="188"/>
      <c r="AJ1000" s="188"/>
      <c r="AK1000" s="188"/>
      <c r="AL1000" s="188"/>
      <c r="AM1000" s="188"/>
      <c r="AN1000" s="188"/>
      <c r="AO1000" s="299"/>
      <c r="AQ1000" s="296"/>
      <c r="AR1000" s="296"/>
      <c r="AS1000" s="296"/>
      <c r="AU1000" s="296"/>
      <c r="AV1000" s="296"/>
      <c r="AW1000" s="296"/>
    </row>
    <row r="1001" spans="2:49" ht="13">
      <c r="B1001" s="294"/>
      <c r="C1001" s="294"/>
      <c r="D1001" s="294"/>
      <c r="E1001" s="294"/>
      <c r="F1001" s="171"/>
      <c r="G1001" s="294"/>
      <c r="H1001" s="294"/>
      <c r="I1001" s="294"/>
      <c r="J1001" s="294"/>
      <c r="K1001" s="294"/>
      <c r="L1001" s="294"/>
      <c r="T1001" s="295"/>
      <c r="AA1001" s="295"/>
      <c r="AH1001" s="295"/>
      <c r="AI1001" s="188"/>
      <c r="AJ1001" s="188"/>
      <c r="AK1001" s="188"/>
      <c r="AL1001" s="188"/>
      <c r="AM1001" s="188"/>
      <c r="AN1001" s="188"/>
      <c r="AO1001" s="299"/>
      <c r="AQ1001" s="296"/>
      <c r="AR1001" s="296"/>
      <c r="AS1001" s="296"/>
      <c r="AU1001" s="296"/>
      <c r="AV1001" s="296"/>
      <c r="AW1001" s="296"/>
    </row>
    <row r="1002" spans="2:49" ht="13">
      <c r="B1002" s="294"/>
      <c r="C1002" s="294"/>
      <c r="D1002" s="294"/>
      <c r="E1002" s="294"/>
      <c r="F1002" s="171"/>
      <c r="G1002" s="294"/>
      <c r="H1002" s="294"/>
      <c r="I1002" s="294"/>
      <c r="J1002" s="294"/>
      <c r="K1002" s="294"/>
      <c r="L1002" s="294"/>
      <c r="T1002" s="295"/>
      <c r="AA1002" s="295"/>
      <c r="AH1002" s="295"/>
      <c r="AI1002" s="188"/>
      <c r="AJ1002" s="188"/>
      <c r="AK1002" s="188"/>
      <c r="AL1002" s="188"/>
      <c r="AM1002" s="188"/>
      <c r="AN1002" s="188"/>
      <c r="AO1002" s="299"/>
      <c r="AQ1002" s="296"/>
      <c r="AR1002" s="296"/>
      <c r="AS1002" s="296"/>
      <c r="AU1002" s="296"/>
      <c r="AV1002" s="296"/>
      <c r="AW1002" s="296"/>
    </row>
    <row r="1003" spans="2:49" ht="13">
      <c r="B1003" s="294"/>
      <c r="C1003" s="294"/>
      <c r="D1003" s="294"/>
      <c r="E1003" s="294"/>
      <c r="F1003" s="171"/>
      <c r="G1003" s="294"/>
      <c r="H1003" s="294"/>
      <c r="I1003" s="294"/>
      <c r="J1003" s="294"/>
      <c r="K1003" s="294"/>
      <c r="L1003" s="294"/>
      <c r="T1003" s="295"/>
      <c r="AA1003" s="295"/>
      <c r="AH1003" s="295"/>
      <c r="AI1003" s="188"/>
      <c r="AJ1003" s="188"/>
      <c r="AK1003" s="188"/>
      <c r="AL1003" s="188"/>
      <c r="AM1003" s="188"/>
      <c r="AN1003" s="188"/>
      <c r="AO1003" s="299"/>
      <c r="AQ1003" s="296"/>
      <c r="AR1003" s="296"/>
      <c r="AS1003" s="296"/>
      <c r="AU1003" s="296"/>
      <c r="AV1003" s="296"/>
      <c r="AW1003" s="296"/>
    </row>
    <row r="1004" spans="2:49" ht="13">
      <c r="B1004" s="294"/>
      <c r="C1004" s="294"/>
      <c r="D1004" s="294"/>
      <c r="E1004" s="294"/>
      <c r="F1004" s="171"/>
      <c r="G1004" s="294"/>
      <c r="H1004" s="294"/>
      <c r="I1004" s="294"/>
      <c r="J1004" s="294"/>
      <c r="K1004" s="294"/>
      <c r="L1004" s="294"/>
      <c r="T1004" s="295"/>
      <c r="AA1004" s="295"/>
      <c r="AH1004" s="295"/>
      <c r="AI1004" s="188"/>
      <c r="AJ1004" s="188"/>
      <c r="AK1004" s="188"/>
      <c r="AL1004" s="188"/>
      <c r="AM1004" s="188"/>
      <c r="AN1004" s="188"/>
      <c r="AO1004" s="299"/>
      <c r="AQ1004" s="296"/>
      <c r="AR1004" s="296"/>
      <c r="AS1004" s="296"/>
      <c r="AU1004" s="296"/>
      <c r="AV1004" s="296"/>
      <c r="AW1004" s="296"/>
    </row>
    <row r="1005" spans="2:49" ht="13">
      <c r="B1005" s="294"/>
      <c r="C1005" s="294"/>
      <c r="D1005" s="294"/>
      <c r="E1005" s="294"/>
      <c r="F1005" s="171"/>
      <c r="G1005" s="294"/>
      <c r="H1005" s="294"/>
      <c r="I1005" s="294"/>
      <c r="J1005" s="294"/>
      <c r="K1005" s="294"/>
      <c r="L1005" s="294"/>
      <c r="T1005" s="295"/>
      <c r="AA1005" s="295"/>
      <c r="AH1005" s="295"/>
      <c r="AI1005" s="188"/>
      <c r="AJ1005" s="188"/>
      <c r="AK1005" s="188"/>
      <c r="AL1005" s="188"/>
      <c r="AM1005" s="188"/>
      <c r="AN1005" s="188"/>
      <c r="AO1005" s="299"/>
      <c r="AQ1005" s="296"/>
      <c r="AR1005" s="296"/>
      <c r="AS1005" s="296"/>
      <c r="AU1005" s="296"/>
      <c r="AV1005" s="296"/>
      <c r="AW1005" s="296"/>
    </row>
    <row r="1006" spans="2:49" ht="13">
      <c r="B1006" s="294"/>
      <c r="C1006" s="294"/>
      <c r="D1006" s="294"/>
      <c r="E1006" s="294"/>
      <c r="F1006" s="171"/>
      <c r="G1006" s="294"/>
      <c r="H1006" s="294"/>
      <c r="I1006" s="294"/>
      <c r="J1006" s="294"/>
      <c r="K1006" s="294"/>
      <c r="L1006" s="294"/>
      <c r="T1006" s="295"/>
      <c r="AA1006" s="295"/>
      <c r="AH1006" s="295"/>
      <c r="AI1006" s="188"/>
      <c r="AJ1006" s="188"/>
      <c r="AK1006" s="188"/>
      <c r="AL1006" s="188"/>
      <c r="AM1006" s="188"/>
      <c r="AN1006" s="188"/>
      <c r="AO1006" s="299"/>
      <c r="AQ1006" s="296"/>
      <c r="AR1006" s="296"/>
      <c r="AS1006" s="296"/>
      <c r="AU1006" s="296"/>
      <c r="AV1006" s="296"/>
      <c r="AW1006" s="296"/>
    </row>
    <row r="1007" spans="2:49" ht="13">
      <c r="B1007" s="294"/>
      <c r="C1007" s="294"/>
      <c r="D1007" s="294"/>
      <c r="E1007" s="294"/>
      <c r="F1007" s="171"/>
      <c r="G1007" s="294"/>
      <c r="H1007" s="294"/>
      <c r="I1007" s="294"/>
      <c r="J1007" s="294"/>
      <c r="K1007" s="294"/>
      <c r="L1007" s="294"/>
      <c r="T1007" s="295"/>
      <c r="AA1007" s="295"/>
      <c r="AH1007" s="295"/>
      <c r="AI1007" s="188"/>
      <c r="AJ1007" s="188"/>
      <c r="AK1007" s="188"/>
      <c r="AL1007" s="188"/>
      <c r="AM1007" s="188"/>
      <c r="AN1007" s="188"/>
      <c r="AO1007" s="299"/>
      <c r="AQ1007" s="296"/>
      <c r="AR1007" s="296"/>
      <c r="AS1007" s="296"/>
      <c r="AU1007" s="296"/>
      <c r="AV1007" s="296"/>
      <c r="AW1007" s="296"/>
    </row>
    <row r="1008" spans="2:49" ht="13">
      <c r="B1008" s="294"/>
      <c r="C1008" s="294"/>
      <c r="D1008" s="294"/>
      <c r="E1008" s="294"/>
      <c r="F1008" s="171"/>
      <c r="G1008" s="294"/>
      <c r="H1008" s="294"/>
      <c r="I1008" s="294"/>
      <c r="J1008" s="294"/>
      <c r="K1008" s="294"/>
      <c r="L1008" s="294"/>
      <c r="T1008" s="295"/>
      <c r="AA1008" s="295"/>
      <c r="AH1008" s="295"/>
      <c r="AI1008" s="188"/>
      <c r="AJ1008" s="188"/>
      <c r="AK1008" s="188"/>
      <c r="AL1008" s="188"/>
      <c r="AM1008" s="188"/>
      <c r="AN1008" s="188"/>
      <c r="AO1008" s="299"/>
      <c r="AQ1008" s="296"/>
      <c r="AR1008" s="296"/>
      <c r="AS1008" s="296"/>
      <c r="AU1008" s="296"/>
      <c r="AV1008" s="296"/>
      <c r="AW1008" s="296"/>
    </row>
    <row r="1009" spans="2:49" ht="13">
      <c r="B1009" s="294"/>
      <c r="C1009" s="294"/>
      <c r="D1009" s="294"/>
      <c r="E1009" s="294"/>
      <c r="F1009" s="171"/>
      <c r="G1009" s="294"/>
      <c r="H1009" s="294"/>
      <c r="I1009" s="294"/>
      <c r="J1009" s="294"/>
      <c r="K1009" s="294"/>
      <c r="L1009" s="294"/>
      <c r="T1009" s="295"/>
      <c r="AA1009" s="295"/>
      <c r="AH1009" s="295"/>
      <c r="AI1009" s="188"/>
      <c r="AJ1009" s="188"/>
      <c r="AK1009" s="188"/>
      <c r="AL1009" s="188"/>
      <c r="AM1009" s="188"/>
      <c r="AN1009" s="188"/>
      <c r="AO1009" s="299"/>
      <c r="AQ1009" s="296"/>
      <c r="AR1009" s="296"/>
      <c r="AS1009" s="296"/>
      <c r="AU1009" s="296"/>
      <c r="AV1009" s="296"/>
      <c r="AW1009" s="296"/>
    </row>
    <row r="1010" spans="2:49" ht="13">
      <c r="B1010" s="294"/>
      <c r="C1010" s="294"/>
      <c r="D1010" s="294"/>
      <c r="E1010" s="294"/>
      <c r="F1010" s="171"/>
      <c r="G1010" s="294"/>
      <c r="H1010" s="294"/>
      <c r="I1010" s="294"/>
      <c r="J1010" s="294"/>
      <c r="K1010" s="294"/>
      <c r="L1010" s="294"/>
      <c r="T1010" s="295"/>
      <c r="AA1010" s="295"/>
      <c r="AH1010" s="295"/>
      <c r="AI1010" s="188"/>
      <c r="AJ1010" s="188"/>
      <c r="AK1010" s="188"/>
      <c r="AL1010" s="188"/>
      <c r="AM1010" s="188"/>
      <c r="AN1010" s="188"/>
      <c r="AO1010" s="299"/>
      <c r="AQ1010" s="296"/>
      <c r="AR1010" s="296"/>
      <c r="AS1010" s="296"/>
      <c r="AU1010" s="296"/>
      <c r="AV1010" s="296"/>
      <c r="AW1010" s="296"/>
    </row>
    <row r="1011" spans="2:49" ht="13">
      <c r="B1011" s="294"/>
      <c r="C1011" s="294"/>
      <c r="D1011" s="294"/>
      <c r="E1011" s="294"/>
      <c r="F1011" s="171"/>
      <c r="G1011" s="294"/>
      <c r="H1011" s="294"/>
      <c r="I1011" s="294"/>
      <c r="J1011" s="294"/>
      <c r="K1011" s="294"/>
      <c r="L1011" s="294"/>
      <c r="T1011" s="295"/>
      <c r="AA1011" s="295"/>
      <c r="AH1011" s="295"/>
      <c r="AI1011" s="188"/>
      <c r="AJ1011" s="188"/>
      <c r="AK1011" s="188"/>
      <c r="AL1011" s="188"/>
      <c r="AM1011" s="188"/>
      <c r="AN1011" s="188"/>
      <c r="AO1011" s="299"/>
      <c r="AQ1011" s="296"/>
      <c r="AR1011" s="296"/>
      <c r="AS1011" s="296"/>
      <c r="AU1011" s="296"/>
      <c r="AV1011" s="296"/>
      <c r="AW1011" s="296"/>
    </row>
    <row r="1012" spans="2:49" ht="13">
      <c r="B1012" s="294"/>
      <c r="C1012" s="294"/>
      <c r="D1012" s="294"/>
      <c r="E1012" s="294"/>
      <c r="F1012" s="171"/>
      <c r="G1012" s="294"/>
      <c r="H1012" s="294"/>
      <c r="I1012" s="294"/>
      <c r="J1012" s="294"/>
      <c r="K1012" s="294"/>
      <c r="L1012" s="294"/>
      <c r="T1012" s="295"/>
      <c r="AA1012" s="295"/>
      <c r="AH1012" s="295"/>
      <c r="AI1012" s="188"/>
      <c r="AJ1012" s="188"/>
      <c r="AK1012" s="188"/>
      <c r="AL1012" s="188"/>
      <c r="AM1012" s="188"/>
      <c r="AN1012" s="188"/>
      <c r="AO1012" s="299"/>
      <c r="AQ1012" s="296"/>
      <c r="AR1012" s="296"/>
      <c r="AS1012" s="296"/>
      <c r="AU1012" s="296"/>
      <c r="AV1012" s="296"/>
      <c r="AW1012" s="296"/>
    </row>
    <row r="1013" spans="2:49" ht="13">
      <c r="B1013" s="294"/>
      <c r="C1013" s="294"/>
      <c r="D1013" s="294"/>
      <c r="E1013" s="294"/>
      <c r="F1013" s="171"/>
      <c r="G1013" s="294"/>
      <c r="H1013" s="294"/>
      <c r="I1013" s="294"/>
      <c r="J1013" s="294"/>
      <c r="K1013" s="294"/>
      <c r="L1013" s="294"/>
      <c r="T1013" s="295"/>
      <c r="AA1013" s="295"/>
      <c r="AH1013" s="295"/>
      <c r="AI1013" s="188"/>
      <c r="AJ1013" s="188"/>
      <c r="AK1013" s="188"/>
      <c r="AL1013" s="188"/>
      <c r="AM1013" s="188"/>
      <c r="AN1013" s="188"/>
      <c r="AO1013" s="299"/>
      <c r="AQ1013" s="296"/>
      <c r="AR1013" s="296"/>
      <c r="AS1013" s="296"/>
      <c r="AU1013" s="296"/>
      <c r="AV1013" s="296"/>
      <c r="AW1013" s="296"/>
    </row>
    <row r="1014" spans="2:49" ht="13">
      <c r="B1014" s="294"/>
      <c r="C1014" s="294"/>
      <c r="D1014" s="294"/>
      <c r="E1014" s="294"/>
      <c r="F1014" s="171"/>
      <c r="G1014" s="294"/>
      <c r="H1014" s="294"/>
      <c r="I1014" s="294"/>
      <c r="J1014" s="294"/>
      <c r="K1014" s="294"/>
      <c r="L1014" s="294"/>
      <c r="T1014" s="295"/>
      <c r="AA1014" s="295"/>
      <c r="AH1014" s="295"/>
      <c r="AI1014" s="188"/>
      <c r="AJ1014" s="188"/>
      <c r="AK1014" s="188"/>
      <c r="AL1014" s="188"/>
      <c r="AM1014" s="188"/>
      <c r="AN1014" s="188"/>
      <c r="AO1014" s="299"/>
      <c r="AQ1014" s="296"/>
      <c r="AR1014" s="296"/>
      <c r="AS1014" s="296"/>
      <c r="AU1014" s="296"/>
      <c r="AV1014" s="296"/>
      <c r="AW1014" s="296"/>
    </row>
    <row r="1015" spans="2:49" ht="13">
      <c r="B1015" s="294"/>
      <c r="C1015" s="294"/>
      <c r="D1015" s="294"/>
      <c r="E1015" s="294"/>
      <c r="F1015" s="171"/>
      <c r="G1015" s="294"/>
      <c r="H1015" s="294"/>
      <c r="I1015" s="294"/>
      <c r="J1015" s="294"/>
      <c r="K1015" s="294"/>
      <c r="L1015" s="294"/>
      <c r="T1015" s="295"/>
      <c r="AA1015" s="295"/>
      <c r="AH1015" s="295"/>
      <c r="AI1015" s="188"/>
      <c r="AJ1015" s="188"/>
      <c r="AK1015" s="188"/>
      <c r="AL1015" s="188"/>
      <c r="AM1015" s="188"/>
      <c r="AN1015" s="188"/>
      <c r="AO1015" s="299"/>
      <c r="AQ1015" s="296"/>
      <c r="AR1015" s="296"/>
      <c r="AS1015" s="296"/>
      <c r="AU1015" s="296"/>
      <c r="AV1015" s="296"/>
      <c r="AW1015" s="296"/>
    </row>
    <row r="1016" spans="2:49" ht="13">
      <c r="B1016" s="294"/>
      <c r="C1016" s="294"/>
      <c r="D1016" s="294"/>
      <c r="E1016" s="294"/>
      <c r="F1016" s="171"/>
      <c r="G1016" s="294"/>
      <c r="H1016" s="294"/>
      <c r="I1016" s="294"/>
      <c r="J1016" s="294"/>
      <c r="K1016" s="294"/>
      <c r="L1016" s="294"/>
      <c r="T1016" s="295"/>
      <c r="AA1016" s="295"/>
      <c r="AH1016" s="295"/>
      <c r="AI1016" s="188"/>
      <c r="AJ1016" s="188"/>
      <c r="AK1016" s="188"/>
      <c r="AL1016" s="188"/>
      <c r="AM1016" s="188"/>
      <c r="AN1016" s="188"/>
      <c r="AO1016" s="299"/>
      <c r="AQ1016" s="296"/>
      <c r="AR1016" s="296"/>
      <c r="AS1016" s="296"/>
      <c r="AU1016" s="296"/>
      <c r="AV1016" s="296"/>
      <c r="AW1016" s="296"/>
    </row>
    <row r="1017" spans="2:49" ht="13">
      <c r="B1017" s="294"/>
      <c r="C1017" s="294"/>
      <c r="D1017" s="294"/>
      <c r="E1017" s="294"/>
      <c r="F1017" s="171"/>
      <c r="G1017" s="294"/>
      <c r="H1017" s="294"/>
      <c r="I1017" s="294"/>
      <c r="J1017" s="294"/>
      <c r="K1017" s="294"/>
      <c r="L1017" s="294"/>
      <c r="T1017" s="295"/>
      <c r="AA1017" s="295"/>
      <c r="AH1017" s="295"/>
      <c r="AI1017" s="188"/>
      <c r="AJ1017" s="188"/>
      <c r="AK1017" s="188"/>
      <c r="AL1017" s="188"/>
      <c r="AM1017" s="188"/>
      <c r="AN1017" s="188"/>
      <c r="AO1017" s="299"/>
      <c r="AQ1017" s="296"/>
      <c r="AR1017" s="296"/>
      <c r="AS1017" s="296"/>
      <c r="AU1017" s="296"/>
      <c r="AV1017" s="296"/>
      <c r="AW1017" s="296"/>
    </row>
    <row r="1018" spans="2:49" ht="13">
      <c r="B1018" s="294"/>
      <c r="C1018" s="294"/>
      <c r="D1018" s="294"/>
      <c r="E1018" s="294"/>
      <c r="F1018" s="171"/>
      <c r="G1018" s="294"/>
      <c r="H1018" s="294"/>
      <c r="I1018" s="294"/>
      <c r="J1018" s="294"/>
      <c r="K1018" s="294"/>
      <c r="L1018" s="294"/>
      <c r="T1018" s="295"/>
      <c r="AA1018" s="295"/>
      <c r="AH1018" s="295"/>
      <c r="AI1018" s="188"/>
      <c r="AJ1018" s="188"/>
      <c r="AK1018" s="188"/>
      <c r="AL1018" s="188"/>
      <c r="AM1018" s="188"/>
      <c r="AN1018" s="188"/>
      <c r="AO1018" s="299"/>
      <c r="AQ1018" s="296"/>
      <c r="AR1018" s="296"/>
      <c r="AS1018" s="296"/>
      <c r="AU1018" s="296"/>
      <c r="AV1018" s="296"/>
      <c r="AW1018" s="296"/>
    </row>
    <row r="1019" spans="2:49" ht="13">
      <c r="B1019" s="294"/>
      <c r="C1019" s="294"/>
      <c r="D1019" s="294"/>
      <c r="E1019" s="294"/>
      <c r="F1019" s="171"/>
      <c r="G1019" s="294"/>
      <c r="H1019" s="294"/>
      <c r="I1019" s="294"/>
      <c r="J1019" s="294"/>
      <c r="K1019" s="294"/>
      <c r="L1019" s="294"/>
      <c r="T1019" s="295"/>
      <c r="AA1019" s="295"/>
      <c r="AH1019" s="295"/>
      <c r="AI1019" s="188"/>
      <c r="AJ1019" s="188"/>
      <c r="AK1019" s="188"/>
      <c r="AL1019" s="188"/>
      <c r="AM1019" s="188"/>
      <c r="AN1019" s="188"/>
      <c r="AO1019" s="299"/>
      <c r="AQ1019" s="296"/>
      <c r="AR1019" s="296"/>
      <c r="AS1019" s="296"/>
      <c r="AU1019" s="296"/>
      <c r="AV1019" s="296"/>
      <c r="AW1019" s="296"/>
    </row>
    <row r="1020" spans="2:49" ht="13">
      <c r="B1020" s="294"/>
      <c r="C1020" s="294"/>
      <c r="D1020" s="294"/>
      <c r="E1020" s="294"/>
      <c r="F1020" s="171"/>
      <c r="G1020" s="294"/>
      <c r="H1020" s="294"/>
      <c r="I1020" s="294"/>
      <c r="J1020" s="294"/>
      <c r="K1020" s="294"/>
      <c r="L1020" s="294"/>
      <c r="T1020" s="295"/>
      <c r="AA1020" s="295"/>
      <c r="AH1020" s="295"/>
      <c r="AI1020" s="188"/>
      <c r="AJ1020" s="188"/>
      <c r="AK1020" s="188"/>
      <c r="AL1020" s="188"/>
      <c r="AM1020" s="188"/>
      <c r="AN1020" s="188"/>
      <c r="AO1020" s="299"/>
      <c r="AQ1020" s="296"/>
      <c r="AR1020" s="296"/>
      <c r="AS1020" s="296"/>
      <c r="AU1020" s="296"/>
      <c r="AV1020" s="296"/>
      <c r="AW1020" s="296"/>
    </row>
    <row r="1021" spans="2:49" ht="13">
      <c r="B1021" s="294"/>
      <c r="C1021" s="294"/>
      <c r="D1021" s="294"/>
      <c r="E1021" s="294"/>
      <c r="F1021" s="171"/>
      <c r="G1021" s="294"/>
      <c r="H1021" s="294"/>
      <c r="I1021" s="294"/>
      <c r="J1021" s="294"/>
      <c r="K1021" s="294"/>
      <c r="L1021" s="294"/>
      <c r="T1021" s="295"/>
      <c r="AA1021" s="295"/>
      <c r="AH1021" s="295"/>
      <c r="AI1021" s="188"/>
      <c r="AJ1021" s="188"/>
      <c r="AK1021" s="188"/>
      <c r="AL1021" s="188"/>
      <c r="AM1021" s="188"/>
      <c r="AN1021" s="188"/>
      <c r="AO1021" s="299"/>
      <c r="AQ1021" s="296"/>
      <c r="AR1021" s="296"/>
      <c r="AS1021" s="296"/>
      <c r="AU1021" s="296"/>
      <c r="AV1021" s="296"/>
      <c r="AW1021" s="296"/>
    </row>
    <row r="1022" spans="2:49" ht="13">
      <c r="B1022" s="294"/>
      <c r="C1022" s="294"/>
      <c r="D1022" s="294"/>
      <c r="E1022" s="294"/>
      <c r="F1022" s="171"/>
      <c r="G1022" s="294"/>
      <c r="H1022" s="294"/>
      <c r="I1022" s="294"/>
      <c r="J1022" s="294"/>
      <c r="K1022" s="294"/>
      <c r="L1022" s="294"/>
      <c r="T1022" s="295"/>
      <c r="AA1022" s="295"/>
      <c r="AH1022" s="295"/>
      <c r="AI1022" s="188"/>
      <c r="AJ1022" s="188"/>
      <c r="AK1022" s="188"/>
      <c r="AL1022" s="188"/>
      <c r="AM1022" s="188"/>
      <c r="AN1022" s="188"/>
      <c r="AO1022" s="299"/>
      <c r="AQ1022" s="296"/>
      <c r="AR1022" s="296"/>
      <c r="AS1022" s="296"/>
      <c r="AU1022" s="296"/>
      <c r="AV1022" s="296"/>
      <c r="AW1022" s="296"/>
    </row>
    <row r="1023" spans="2:49" ht="13">
      <c r="B1023" s="294"/>
      <c r="C1023" s="294"/>
      <c r="D1023" s="294"/>
      <c r="E1023" s="294"/>
      <c r="F1023" s="171"/>
      <c r="G1023" s="294"/>
      <c r="H1023" s="294"/>
      <c r="I1023" s="294"/>
      <c r="J1023" s="294"/>
      <c r="K1023" s="294"/>
      <c r="L1023" s="294"/>
      <c r="T1023" s="295"/>
      <c r="AA1023" s="295"/>
      <c r="AH1023" s="295"/>
      <c r="AI1023" s="188"/>
      <c r="AJ1023" s="188"/>
      <c r="AK1023" s="188"/>
      <c r="AL1023" s="188"/>
      <c r="AM1023" s="188"/>
      <c r="AN1023" s="188"/>
      <c r="AO1023" s="299"/>
      <c r="AQ1023" s="296"/>
      <c r="AR1023" s="296"/>
      <c r="AS1023" s="296"/>
      <c r="AU1023" s="296"/>
      <c r="AV1023" s="296"/>
      <c r="AW1023" s="296"/>
    </row>
    <row r="1024" spans="2:49" ht="13">
      <c r="B1024" s="294"/>
      <c r="C1024" s="294"/>
      <c r="D1024" s="294"/>
      <c r="E1024" s="294"/>
      <c r="F1024" s="171"/>
      <c r="G1024" s="294"/>
      <c r="H1024" s="294"/>
      <c r="I1024" s="294"/>
      <c r="J1024" s="294"/>
      <c r="K1024" s="294"/>
      <c r="L1024" s="294"/>
      <c r="T1024" s="295"/>
      <c r="AA1024" s="295"/>
      <c r="AH1024" s="295"/>
      <c r="AI1024" s="188"/>
      <c r="AJ1024" s="188"/>
      <c r="AK1024" s="188"/>
      <c r="AL1024" s="188"/>
      <c r="AM1024" s="188"/>
      <c r="AN1024" s="188"/>
      <c r="AO1024" s="299"/>
      <c r="AQ1024" s="296"/>
      <c r="AR1024" s="296"/>
      <c r="AS1024" s="296"/>
      <c r="AU1024" s="296"/>
      <c r="AV1024" s="296"/>
      <c r="AW1024" s="296"/>
    </row>
    <row r="1025" spans="2:49" ht="13">
      <c r="B1025" s="294"/>
      <c r="C1025" s="294"/>
      <c r="D1025" s="294"/>
      <c r="E1025" s="294"/>
      <c r="F1025" s="171"/>
      <c r="G1025" s="294"/>
      <c r="H1025" s="294"/>
      <c r="I1025" s="294"/>
      <c r="J1025" s="294"/>
      <c r="K1025" s="294"/>
      <c r="L1025" s="294"/>
      <c r="T1025" s="295"/>
      <c r="AA1025" s="295"/>
      <c r="AH1025" s="295"/>
      <c r="AI1025" s="188"/>
      <c r="AJ1025" s="188"/>
      <c r="AK1025" s="188"/>
      <c r="AL1025" s="188"/>
      <c r="AM1025" s="188"/>
      <c r="AN1025" s="188"/>
      <c r="AO1025" s="299"/>
      <c r="AQ1025" s="296"/>
      <c r="AR1025" s="296"/>
      <c r="AS1025" s="296"/>
      <c r="AU1025" s="296"/>
      <c r="AV1025" s="296"/>
      <c r="AW1025" s="296"/>
    </row>
    <row r="1026" spans="2:49" ht="13">
      <c r="B1026" s="294"/>
      <c r="C1026" s="294"/>
      <c r="D1026" s="294"/>
      <c r="E1026" s="294"/>
      <c r="F1026" s="171"/>
      <c r="G1026" s="294"/>
      <c r="H1026" s="294"/>
      <c r="I1026" s="294"/>
      <c r="J1026" s="294"/>
      <c r="K1026" s="294"/>
      <c r="L1026" s="294"/>
      <c r="T1026" s="295"/>
      <c r="AA1026" s="295"/>
      <c r="AH1026" s="295"/>
      <c r="AI1026" s="188"/>
      <c r="AJ1026" s="188"/>
      <c r="AK1026" s="188"/>
      <c r="AL1026" s="188"/>
      <c r="AM1026" s="188"/>
      <c r="AN1026" s="188"/>
      <c r="AO1026" s="299"/>
      <c r="AQ1026" s="296"/>
      <c r="AR1026" s="296"/>
      <c r="AS1026" s="296"/>
      <c r="AU1026" s="296"/>
      <c r="AV1026" s="296"/>
      <c r="AW1026" s="296"/>
    </row>
    <row r="1027" spans="2:49" ht="13">
      <c r="B1027" s="294"/>
      <c r="C1027" s="294"/>
      <c r="D1027" s="294"/>
      <c r="E1027" s="294"/>
      <c r="F1027" s="171"/>
      <c r="G1027" s="294"/>
      <c r="H1027" s="294"/>
      <c r="I1027" s="294"/>
      <c r="J1027" s="294"/>
      <c r="K1027" s="294"/>
      <c r="L1027" s="294"/>
      <c r="T1027" s="295"/>
      <c r="AA1027" s="295"/>
      <c r="AH1027" s="295"/>
      <c r="AI1027" s="188"/>
      <c r="AJ1027" s="188"/>
      <c r="AK1027" s="188"/>
      <c r="AL1027" s="188"/>
      <c r="AM1027" s="188"/>
      <c r="AN1027" s="188"/>
      <c r="AO1027" s="299"/>
      <c r="AQ1027" s="296"/>
      <c r="AR1027" s="296"/>
      <c r="AS1027" s="296"/>
      <c r="AU1027" s="296"/>
      <c r="AV1027" s="296"/>
      <c r="AW1027" s="296"/>
    </row>
    <row r="1028" spans="2:49" ht="13">
      <c r="B1028" s="294"/>
      <c r="C1028" s="294"/>
      <c r="D1028" s="294"/>
      <c r="E1028" s="294"/>
      <c r="F1028" s="171"/>
      <c r="G1028" s="294"/>
      <c r="H1028" s="294"/>
      <c r="I1028" s="294"/>
      <c r="J1028" s="294"/>
      <c r="K1028" s="294"/>
      <c r="L1028" s="294"/>
      <c r="T1028" s="295"/>
      <c r="AA1028" s="295"/>
      <c r="AH1028" s="295"/>
      <c r="AI1028" s="188"/>
      <c r="AJ1028" s="188"/>
      <c r="AK1028" s="188"/>
      <c r="AL1028" s="188"/>
      <c r="AM1028" s="188"/>
      <c r="AN1028" s="188"/>
      <c r="AO1028" s="299"/>
      <c r="AQ1028" s="296"/>
      <c r="AR1028" s="296"/>
      <c r="AS1028" s="296"/>
      <c r="AU1028" s="296"/>
      <c r="AV1028" s="296"/>
      <c r="AW1028" s="296"/>
    </row>
    <row r="1029" spans="2:49" ht="13">
      <c r="B1029" s="294"/>
      <c r="C1029" s="294"/>
      <c r="D1029" s="294"/>
      <c r="E1029" s="294"/>
      <c r="F1029" s="171"/>
      <c r="G1029" s="294"/>
      <c r="H1029" s="294"/>
      <c r="I1029" s="294"/>
      <c r="J1029" s="294"/>
      <c r="K1029" s="294"/>
      <c r="L1029" s="294"/>
      <c r="T1029" s="295"/>
      <c r="AA1029" s="295"/>
      <c r="AH1029" s="295"/>
      <c r="AI1029" s="188"/>
      <c r="AJ1029" s="188"/>
      <c r="AK1029" s="188"/>
      <c r="AL1029" s="188"/>
      <c r="AM1029" s="188"/>
      <c r="AN1029" s="188"/>
      <c r="AO1029" s="299"/>
      <c r="AQ1029" s="296"/>
      <c r="AR1029" s="296"/>
      <c r="AS1029" s="296"/>
      <c r="AU1029" s="296"/>
      <c r="AV1029" s="296"/>
      <c r="AW1029" s="296"/>
    </row>
    <row r="1030" spans="2:49" ht="13">
      <c r="B1030" s="294"/>
      <c r="C1030" s="294"/>
      <c r="D1030" s="294"/>
      <c r="E1030" s="294"/>
      <c r="F1030" s="171"/>
      <c r="G1030" s="294"/>
      <c r="H1030" s="294"/>
      <c r="I1030" s="294"/>
      <c r="J1030" s="294"/>
      <c r="K1030" s="294"/>
      <c r="L1030" s="294"/>
      <c r="T1030" s="295"/>
      <c r="AA1030" s="295"/>
      <c r="AH1030" s="295"/>
      <c r="AI1030" s="188"/>
      <c r="AJ1030" s="188"/>
      <c r="AK1030" s="188"/>
      <c r="AL1030" s="188"/>
      <c r="AM1030" s="188"/>
      <c r="AN1030" s="188"/>
      <c r="AO1030" s="299"/>
      <c r="AQ1030" s="296"/>
      <c r="AR1030" s="296"/>
      <c r="AS1030" s="296"/>
      <c r="AU1030" s="296"/>
      <c r="AV1030" s="296"/>
      <c r="AW1030" s="296"/>
    </row>
    <row r="1031" spans="2:49" ht="13">
      <c r="B1031" s="294"/>
      <c r="C1031" s="294"/>
      <c r="D1031" s="294"/>
      <c r="E1031" s="294"/>
      <c r="F1031" s="171"/>
      <c r="G1031" s="294"/>
      <c r="H1031" s="294"/>
      <c r="I1031" s="294"/>
      <c r="J1031" s="294"/>
      <c r="K1031" s="294"/>
      <c r="L1031" s="294"/>
      <c r="T1031" s="295"/>
      <c r="AA1031" s="295"/>
      <c r="AH1031" s="295"/>
      <c r="AI1031" s="188"/>
      <c r="AJ1031" s="188"/>
      <c r="AK1031" s="188"/>
      <c r="AL1031" s="188"/>
      <c r="AM1031" s="188"/>
      <c r="AN1031" s="188"/>
      <c r="AO1031" s="299"/>
      <c r="AQ1031" s="296"/>
      <c r="AR1031" s="296"/>
      <c r="AS1031" s="296"/>
      <c r="AU1031" s="296"/>
      <c r="AV1031" s="296"/>
      <c r="AW1031" s="296"/>
    </row>
    <row r="1032" spans="2:49" ht="13">
      <c r="B1032" s="294"/>
      <c r="C1032" s="294"/>
      <c r="D1032" s="294"/>
      <c r="E1032" s="294"/>
      <c r="F1032" s="171"/>
      <c r="G1032" s="294"/>
      <c r="H1032" s="294"/>
      <c r="I1032" s="294"/>
      <c r="J1032" s="294"/>
      <c r="K1032" s="294"/>
      <c r="L1032" s="294"/>
      <c r="T1032" s="295"/>
      <c r="AA1032" s="295"/>
      <c r="AH1032" s="295"/>
      <c r="AI1032" s="188"/>
      <c r="AJ1032" s="188"/>
      <c r="AK1032" s="188"/>
      <c r="AL1032" s="188"/>
      <c r="AM1032" s="188"/>
      <c r="AN1032" s="188"/>
      <c r="AO1032" s="299"/>
      <c r="AQ1032" s="296"/>
      <c r="AR1032" s="296"/>
      <c r="AS1032" s="296"/>
      <c r="AU1032" s="296"/>
      <c r="AV1032" s="296"/>
      <c r="AW1032" s="296"/>
    </row>
    <row r="1033" spans="2:49" ht="13">
      <c r="B1033" s="294"/>
      <c r="C1033" s="294"/>
      <c r="D1033" s="294"/>
      <c r="E1033" s="294"/>
      <c r="F1033" s="171"/>
      <c r="G1033" s="294"/>
      <c r="H1033" s="294"/>
      <c r="I1033" s="294"/>
      <c r="J1033" s="294"/>
      <c r="K1033" s="294"/>
      <c r="L1033" s="294"/>
      <c r="T1033" s="295"/>
      <c r="AA1033" s="295"/>
      <c r="AH1033" s="295"/>
      <c r="AI1033" s="188"/>
      <c r="AJ1033" s="188"/>
      <c r="AK1033" s="188"/>
      <c r="AL1033" s="188"/>
      <c r="AM1033" s="188"/>
      <c r="AN1033" s="188"/>
      <c r="AO1033" s="299"/>
      <c r="AQ1033" s="296"/>
      <c r="AR1033" s="296"/>
      <c r="AS1033" s="296"/>
      <c r="AU1033" s="296"/>
      <c r="AV1033" s="296"/>
      <c r="AW1033" s="296"/>
    </row>
    <row r="1034" spans="2:49" ht="13">
      <c r="B1034" s="294"/>
      <c r="C1034" s="294"/>
      <c r="D1034" s="294"/>
      <c r="E1034" s="294"/>
      <c r="F1034" s="171"/>
      <c r="G1034" s="294"/>
      <c r="H1034" s="294"/>
      <c r="I1034" s="294"/>
      <c r="J1034" s="294"/>
      <c r="K1034" s="294"/>
      <c r="L1034" s="294"/>
      <c r="T1034" s="295"/>
      <c r="AA1034" s="295"/>
      <c r="AH1034" s="295"/>
      <c r="AI1034" s="188"/>
      <c r="AJ1034" s="188"/>
      <c r="AK1034" s="188"/>
      <c r="AL1034" s="188"/>
      <c r="AM1034" s="188"/>
      <c r="AN1034" s="188"/>
      <c r="AO1034" s="299"/>
      <c r="AQ1034" s="296"/>
      <c r="AR1034" s="296"/>
      <c r="AS1034" s="296"/>
      <c r="AU1034" s="296"/>
      <c r="AV1034" s="296"/>
      <c r="AW1034" s="296"/>
    </row>
    <row r="1035" spans="2:49" ht="13">
      <c r="B1035" s="294"/>
      <c r="C1035" s="294"/>
      <c r="D1035" s="294"/>
      <c r="E1035" s="294"/>
      <c r="F1035" s="171"/>
      <c r="G1035" s="294"/>
      <c r="H1035" s="294"/>
      <c r="I1035" s="294"/>
      <c r="J1035" s="294"/>
      <c r="K1035" s="294"/>
      <c r="L1035" s="294"/>
      <c r="T1035" s="295"/>
      <c r="AA1035" s="295"/>
      <c r="AH1035" s="295"/>
      <c r="AI1035" s="188"/>
      <c r="AJ1035" s="188"/>
      <c r="AK1035" s="188"/>
      <c r="AL1035" s="188"/>
      <c r="AM1035" s="188"/>
      <c r="AN1035" s="188"/>
      <c r="AO1035" s="299"/>
      <c r="AQ1035" s="296"/>
      <c r="AR1035" s="296"/>
      <c r="AS1035" s="296"/>
      <c r="AU1035" s="296"/>
      <c r="AV1035" s="296"/>
      <c r="AW1035" s="296"/>
    </row>
    <row r="1036" spans="2:49" ht="13">
      <c r="B1036" s="294"/>
      <c r="C1036" s="294"/>
      <c r="D1036" s="294"/>
      <c r="E1036" s="294"/>
      <c r="F1036" s="171"/>
      <c r="G1036" s="294"/>
      <c r="H1036" s="294"/>
      <c r="I1036" s="294"/>
      <c r="J1036" s="294"/>
      <c r="K1036" s="294"/>
      <c r="L1036" s="294"/>
      <c r="T1036" s="295"/>
      <c r="AA1036" s="295"/>
      <c r="AH1036" s="295"/>
      <c r="AI1036" s="188"/>
      <c r="AJ1036" s="188"/>
      <c r="AK1036" s="188"/>
      <c r="AL1036" s="188"/>
      <c r="AM1036" s="188"/>
      <c r="AN1036" s="188"/>
      <c r="AO1036" s="299"/>
      <c r="AQ1036" s="296"/>
      <c r="AR1036" s="296"/>
      <c r="AS1036" s="296"/>
      <c r="AU1036" s="296"/>
      <c r="AV1036" s="296"/>
      <c r="AW1036" s="296"/>
    </row>
    <row r="1037" spans="2:49" ht="13">
      <c r="B1037" s="294"/>
      <c r="C1037" s="294"/>
      <c r="D1037" s="294"/>
      <c r="E1037" s="294"/>
      <c r="F1037" s="171"/>
      <c r="G1037" s="294"/>
      <c r="H1037" s="294"/>
      <c r="I1037" s="294"/>
      <c r="J1037" s="294"/>
      <c r="K1037" s="294"/>
      <c r="L1037" s="294"/>
      <c r="T1037" s="295"/>
      <c r="AA1037" s="295"/>
      <c r="AH1037" s="295"/>
      <c r="AI1037" s="188"/>
      <c r="AJ1037" s="188"/>
      <c r="AK1037" s="188"/>
      <c r="AL1037" s="188"/>
      <c r="AM1037" s="188"/>
      <c r="AN1037" s="188"/>
      <c r="AO1037" s="299"/>
      <c r="AQ1037" s="296"/>
      <c r="AR1037" s="296"/>
      <c r="AS1037" s="296"/>
      <c r="AU1037" s="296"/>
      <c r="AV1037" s="296"/>
      <c r="AW1037" s="296"/>
    </row>
    <row r="1038" spans="2:49" ht="13">
      <c r="B1038" s="294"/>
      <c r="C1038" s="294"/>
      <c r="D1038" s="294"/>
      <c r="E1038" s="294"/>
      <c r="F1038" s="171"/>
      <c r="G1038" s="294"/>
      <c r="H1038" s="294"/>
      <c r="I1038" s="294"/>
      <c r="J1038" s="294"/>
      <c r="K1038" s="294"/>
      <c r="L1038" s="294"/>
      <c r="T1038" s="295"/>
      <c r="AA1038" s="295"/>
      <c r="AH1038" s="295"/>
      <c r="AI1038" s="188"/>
      <c r="AJ1038" s="188"/>
      <c r="AK1038" s="188"/>
      <c r="AL1038" s="188"/>
      <c r="AM1038" s="188"/>
      <c r="AN1038" s="188"/>
      <c r="AO1038" s="299"/>
      <c r="AQ1038" s="296"/>
      <c r="AR1038" s="296"/>
      <c r="AS1038" s="296"/>
      <c r="AU1038" s="296"/>
      <c r="AV1038" s="296"/>
      <c r="AW1038" s="296"/>
    </row>
    <row r="1039" spans="2:49" ht="13">
      <c r="B1039" s="294"/>
      <c r="C1039" s="294"/>
      <c r="D1039" s="294"/>
      <c r="E1039" s="294"/>
      <c r="F1039" s="171"/>
      <c r="G1039" s="294"/>
      <c r="H1039" s="294"/>
      <c r="I1039" s="294"/>
      <c r="J1039" s="294"/>
      <c r="K1039" s="294"/>
      <c r="L1039" s="294"/>
      <c r="T1039" s="295"/>
      <c r="AA1039" s="295"/>
      <c r="AH1039" s="295"/>
      <c r="AI1039" s="188"/>
      <c r="AJ1039" s="188"/>
      <c r="AK1039" s="188"/>
      <c r="AL1039" s="188"/>
      <c r="AM1039" s="188"/>
      <c r="AN1039" s="188"/>
      <c r="AO1039" s="299"/>
      <c r="AQ1039" s="296"/>
      <c r="AR1039" s="296"/>
      <c r="AS1039" s="296"/>
      <c r="AU1039" s="296"/>
      <c r="AV1039" s="296"/>
      <c r="AW1039" s="296"/>
    </row>
    <row r="1040" spans="2:49" ht="13">
      <c r="B1040" s="294"/>
      <c r="C1040" s="294"/>
      <c r="D1040" s="294"/>
      <c r="E1040" s="294"/>
      <c r="F1040" s="171"/>
      <c r="G1040" s="294"/>
      <c r="H1040" s="294"/>
      <c r="I1040" s="294"/>
      <c r="J1040" s="294"/>
      <c r="K1040" s="294"/>
      <c r="L1040" s="294"/>
      <c r="T1040" s="295"/>
      <c r="AA1040" s="295"/>
      <c r="AH1040" s="295"/>
      <c r="AI1040" s="188"/>
      <c r="AJ1040" s="188"/>
      <c r="AK1040" s="188"/>
      <c r="AL1040" s="188"/>
      <c r="AM1040" s="188"/>
      <c r="AN1040" s="188"/>
      <c r="AO1040" s="299"/>
      <c r="AQ1040" s="296"/>
      <c r="AR1040" s="296"/>
      <c r="AS1040" s="296"/>
      <c r="AU1040" s="296"/>
      <c r="AV1040" s="296"/>
      <c r="AW1040" s="296"/>
    </row>
    <row r="1041" spans="2:49" ht="13">
      <c r="B1041" s="294"/>
      <c r="C1041" s="294"/>
      <c r="D1041" s="294"/>
      <c r="E1041" s="294"/>
      <c r="F1041" s="171"/>
      <c r="G1041" s="294"/>
      <c r="H1041" s="294"/>
      <c r="I1041" s="294"/>
      <c r="J1041" s="294"/>
      <c r="K1041" s="294"/>
      <c r="L1041" s="294"/>
      <c r="T1041" s="295"/>
      <c r="AA1041" s="295"/>
      <c r="AH1041" s="295"/>
      <c r="AI1041" s="188"/>
      <c r="AJ1041" s="188"/>
      <c r="AK1041" s="188"/>
      <c r="AL1041" s="188"/>
      <c r="AM1041" s="188"/>
      <c r="AN1041" s="188"/>
      <c r="AO1041" s="299"/>
      <c r="AQ1041" s="296"/>
      <c r="AR1041" s="296"/>
      <c r="AS1041" s="296"/>
      <c r="AU1041" s="296"/>
      <c r="AV1041" s="296"/>
      <c r="AW1041" s="296"/>
    </row>
    <row r="1042" spans="2:49" ht="13">
      <c r="B1042" s="294"/>
      <c r="C1042" s="294"/>
      <c r="D1042" s="294"/>
      <c r="E1042" s="294"/>
      <c r="F1042" s="171"/>
      <c r="G1042" s="294"/>
      <c r="H1042" s="294"/>
      <c r="I1042" s="294"/>
      <c r="J1042" s="294"/>
      <c r="K1042" s="294"/>
      <c r="L1042" s="294"/>
      <c r="T1042" s="295"/>
      <c r="AA1042" s="295"/>
      <c r="AH1042" s="295"/>
      <c r="AI1042" s="188"/>
      <c r="AJ1042" s="188"/>
      <c r="AK1042" s="188"/>
      <c r="AL1042" s="188"/>
      <c r="AM1042" s="188"/>
      <c r="AN1042" s="188"/>
      <c r="AO1042" s="299"/>
      <c r="AQ1042" s="296"/>
      <c r="AR1042" s="296"/>
      <c r="AS1042" s="296"/>
      <c r="AU1042" s="296"/>
      <c r="AV1042" s="296"/>
      <c r="AW1042" s="296"/>
    </row>
    <row r="1043" spans="2:49" ht="13">
      <c r="B1043" s="294"/>
      <c r="C1043" s="294"/>
      <c r="D1043" s="294"/>
      <c r="E1043" s="294"/>
      <c r="F1043" s="171"/>
      <c r="G1043" s="294"/>
      <c r="H1043" s="294"/>
      <c r="I1043" s="294"/>
      <c r="J1043" s="294"/>
      <c r="K1043" s="294"/>
      <c r="L1043" s="294"/>
      <c r="T1043" s="295"/>
      <c r="AA1043" s="295"/>
      <c r="AH1043" s="295"/>
      <c r="AI1043" s="188"/>
      <c r="AJ1043" s="188"/>
      <c r="AK1043" s="188"/>
      <c r="AL1043" s="188"/>
      <c r="AM1043" s="188"/>
      <c r="AN1043" s="188"/>
      <c r="AO1043" s="299"/>
      <c r="AQ1043" s="296"/>
      <c r="AR1043" s="296"/>
      <c r="AS1043" s="296"/>
      <c r="AU1043" s="296"/>
      <c r="AV1043" s="296"/>
      <c r="AW1043" s="296"/>
    </row>
    <row r="1044" spans="2:49" ht="13">
      <c r="B1044" s="294"/>
      <c r="C1044" s="294"/>
      <c r="D1044" s="294"/>
      <c r="E1044" s="294"/>
      <c r="F1044" s="171"/>
      <c r="G1044" s="294"/>
      <c r="H1044" s="294"/>
      <c r="I1044" s="294"/>
      <c r="J1044" s="294"/>
      <c r="K1044" s="294"/>
      <c r="L1044" s="294"/>
      <c r="T1044" s="295"/>
      <c r="AA1044" s="295"/>
      <c r="AH1044" s="295"/>
      <c r="AI1044" s="188"/>
      <c r="AJ1044" s="188"/>
      <c r="AK1044" s="188"/>
      <c r="AL1044" s="188"/>
      <c r="AM1044" s="188"/>
      <c r="AN1044" s="188"/>
      <c r="AO1044" s="299"/>
      <c r="AQ1044" s="296"/>
      <c r="AR1044" s="296"/>
      <c r="AS1044" s="296"/>
      <c r="AU1044" s="296"/>
      <c r="AV1044" s="296"/>
      <c r="AW1044" s="296"/>
    </row>
    <row r="1045" spans="2:49" ht="13">
      <c r="B1045" s="294"/>
      <c r="C1045" s="294"/>
      <c r="D1045" s="294"/>
      <c r="E1045" s="294"/>
      <c r="F1045" s="171"/>
      <c r="G1045" s="294"/>
      <c r="H1045" s="294"/>
      <c r="I1045" s="294"/>
      <c r="J1045" s="294"/>
      <c r="K1045" s="294"/>
      <c r="L1045" s="294"/>
      <c r="T1045" s="295"/>
      <c r="AA1045" s="295"/>
      <c r="AH1045" s="295"/>
      <c r="AI1045" s="188"/>
      <c r="AJ1045" s="188"/>
      <c r="AK1045" s="188"/>
      <c r="AL1045" s="188"/>
      <c r="AM1045" s="188"/>
      <c r="AN1045" s="188"/>
      <c r="AO1045" s="299"/>
      <c r="AQ1045" s="296"/>
      <c r="AR1045" s="296"/>
      <c r="AS1045" s="296"/>
      <c r="AU1045" s="296"/>
      <c r="AV1045" s="296"/>
      <c r="AW1045" s="296"/>
    </row>
  </sheetData>
  <conditionalFormatting sqref="C1:C65 G1:G65 K1:K224 C72:C164 G99:G110 G114:G163">
    <cfRule type="cellIs" dxfId="256" priority="5" operator="equal">
      <formula>"5%"</formula>
    </cfRule>
    <cfRule type="cellIs" dxfId="255" priority="6" operator="equal">
      <formula>"10%"</formula>
    </cfRule>
  </conditionalFormatting>
  <conditionalFormatting sqref="G1 C1:C65 K1:K224 C72:C164">
    <cfRule type="cellIs" dxfId="254" priority="3" operator="equal">
      <formula>"15%"</formula>
    </cfRule>
  </conditionalFormatting>
  <conditionalFormatting sqref="G1 K1 C1:C65 C72:C96 C99:C164">
    <cfRule type="cellIs" dxfId="253" priority="2" operator="equal">
      <formula>"18%"</formula>
    </cfRule>
  </conditionalFormatting>
  <conditionalFormatting sqref="K1 C1:C65 G1:G65 C72:C86 C99:C110 G99:G110 C114:C163 G114:G163">
    <cfRule type="cellIs" dxfId="252" priority="4" operator="equal">
      <formula>"12%"</formula>
    </cfRule>
  </conditionalFormatting>
  <conditionalFormatting sqref="K1 G1:G1045">
    <cfRule type="cellIs" dxfId="251" priority="29" operator="greaterThanOrEqual">
      <formula>"15%"</formula>
    </cfRule>
  </conditionalFormatting>
  <conditionalFormatting sqref="M122:M132 M140 M158:M161">
    <cfRule type="containsText" dxfId="250" priority="1" operator="containsText" text="/">
      <formula>NOT(ISERROR(SEARCH(("/"),(M122))))</formula>
    </cfRule>
  </conditionalFormatting>
  <conditionalFormatting sqref="S1:S65 Z1:Z65 AG1:AG65 AN2:AN65 S67:S247 Z67:Z247 AG67:AG247 AN67:AN247">
    <cfRule type="cellIs" dxfId="249" priority="10" operator="lessThan">
      <formula>0</formula>
    </cfRule>
  </conditionalFormatting>
  <conditionalFormatting sqref="T1:T65 AA1:AA65 AH1:AH65 AO1:AO1045 T67:T1045 AA67:AA1045 AH67:AH1045">
    <cfRule type="cellIs" dxfId="248" priority="7" operator="greaterThanOrEqual">
      <formula>"100%"</formula>
    </cfRule>
    <cfRule type="cellIs" dxfId="247" priority="8" operator="lessThan">
      <formula>"90%"</formula>
    </cfRule>
    <cfRule type="cellIs" dxfId="246" priority="9" operator="lessThan">
      <formula>"100%"</formula>
    </cfRule>
  </conditionalFormatting>
  <conditionalFormatting sqref="AQ2:AQ65 AU2:AU65 AY2:AY65 BI2:BI65 AQ99 AU99 AY99 BI99">
    <cfRule type="cellIs" dxfId="245" priority="16" operator="lessThan">
      <formula>4000000</formula>
    </cfRule>
    <cfRule type="cellIs" dxfId="244" priority="18" operator="greaterThanOrEqual">
      <formula>5000000</formula>
    </cfRule>
    <cfRule type="cellIs" dxfId="243" priority="17" operator="lessThan">
      <formula>5000000</formula>
    </cfRule>
  </conditionalFormatting>
  <conditionalFormatting sqref="AQ4 AU4 AY4 BI4 AQ9:AQ57 AU9:AU57 AY9:AY57 BI9:BI57 AQ60:AQ62 AU60:AU62 AY60:AY62 BI60:BI62 AQ64 AU64 AY64 BI64 AQ79 AU79 AY79 BI79 AQ100:AQ110 AU100:AU110 AY100:AY110 BI100:BI110 AQ114:AQ163 AU114:AU163 AY114:AY163 BI114:BI163">
    <cfRule type="cellIs" dxfId="242" priority="20" operator="lessThan">
      <formula>1200000</formula>
    </cfRule>
    <cfRule type="cellIs" dxfId="241" priority="21" operator="lessThan">
      <formula>1500000</formula>
    </cfRule>
  </conditionalFormatting>
  <conditionalFormatting sqref="AQ7:AQ8 AU7:AU8 AY7:AY8 BI7:BI8 AQ34 AU34 AY34 BI34 AQ41:AQ42 AU41:AU42 AY41:AY42 BI41:BI42 AQ50 AU50 AY50 BI50 AQ59 AU59 AY59 BI59">
    <cfRule type="cellIs" dxfId="240" priority="19" operator="lessThan">
      <formula>2080000</formula>
    </cfRule>
  </conditionalFormatting>
  <conditionalFormatting sqref="AQ9:AQ57 AU9:AU57 AY9:AY57 BI9:BI57 AQ4 AU4 AY4 BI4 AQ60:AQ62 AU60:AU62 AY60:AY62 BI60:BI62 AQ64 AU64 AY64 BI64 AQ79 AU79 AY79 BI79 AQ100:AQ110 AU100:AU110 AY100:AY110 BI100:BI110 AQ114:AQ163 AU114:AU163 AY114:AY163 BI114:BI163">
    <cfRule type="cellIs" dxfId="239" priority="22" operator="greaterThanOrEqual">
      <formula>1500000</formula>
    </cfRule>
  </conditionalFormatting>
  <conditionalFormatting sqref="BB3 BB5:BB6 BB31 BB33 BB37 BB40 BB48:BB49 BB58 BB63 BB65 BB99">
    <cfRule type="cellIs" dxfId="238" priority="23" operator="lessThan">
      <formula>12000000</formula>
    </cfRule>
  </conditionalFormatting>
  <conditionalFormatting sqref="BB4 BB9:BB57 BB60:BB62 BB64 BB79 BB100:BB110 BB114:BB163">
    <cfRule type="cellIs" dxfId="237" priority="27" operator="lessThan">
      <formula>4500000</formula>
    </cfRule>
  </conditionalFormatting>
  <conditionalFormatting sqref="BB7:BB8 BB34 BB41:BB42 BB50 BB59">
    <cfRule type="cellIs" dxfId="236" priority="24" operator="lessThan">
      <formula>6240000</formula>
    </cfRule>
    <cfRule type="cellIs" dxfId="235" priority="25" operator="lessThan">
      <formula>7800000</formula>
    </cfRule>
  </conditionalFormatting>
  <conditionalFormatting sqref="BB9:BB57 BB4 BB60:BB62 BB64 BB79 BB100:BB110 BB114:BB163">
    <cfRule type="cellIs" dxfId="234" priority="26" operator="lessThan">
      <formula>3600000</formula>
    </cfRule>
    <cfRule type="cellIs" dxfId="233" priority="28" operator="greaterThanOrEqual">
      <formula>4500000</formula>
    </cfRule>
  </conditionalFormatting>
  <conditionalFormatting sqref="BD2:BD66 BG2:BG66 BI2:BK66 BL66:CB66 BD77 BG77 BI77:BK77 BD79 BG79 BI79:BK79 BD81 BG81 BI81:BK81 BD83 BG83 BI83:BK83 BD85 BG85 BI85:BK85 BD92 BG92 BI92:BK92 BD99:BD110 BG99:BG110 BI99:BK110 BD114:BD163 BG114:BG163 BI114:BK163">
    <cfRule type="cellIs" dxfId="232" priority="15" operator="equal">
      <formula>0</formula>
    </cfRule>
  </conditionalFormatting>
  <conditionalFormatting sqref="BD2:BD66 BG2:BG66 BK2:BK66 BD77 BG77 BK77 BD79 BG79 BK79 BD81 BG81 BK81 BD83 BG83 BK83 BD85 BG85 BK85 BD92 BG92 BK92 BD99:BD110 BG99:BG110 BK99:BK110 BD114:BD163 BG114:BG163 BK114:BK163">
    <cfRule type="containsBlanks" dxfId="231" priority="14">
      <formula>LEN(TRIM(BD2))=0</formula>
    </cfRule>
  </conditionalFormatting>
  <conditionalFormatting sqref="BQ2:BS65">
    <cfRule type="cellIs" dxfId="230" priority="30" operator="greaterThanOrEqual">
      <formula>5000000</formula>
    </cfRule>
    <cfRule type="cellIs" dxfId="229" priority="31" operator="lessThan">
      <formula>5000000</formula>
    </cfRule>
  </conditionalFormatting>
  <conditionalFormatting sqref="BQ4:BS30 BQ32:BS57 BQ59:BS65 BQ99:BS105">
    <cfRule type="cellIs" dxfId="228" priority="34" operator="greaterThanOrEqual">
      <formula>1500000</formula>
    </cfRule>
    <cfRule type="notContainsBlanks" dxfId="227" priority="35">
      <formula>LEN(TRIM(BQ4))&gt;0</formula>
    </cfRule>
  </conditionalFormatting>
  <conditionalFormatting sqref="BT2:BV65">
    <cfRule type="cellIs" dxfId="226" priority="32" operator="greaterThanOrEqual">
      <formula>15000000</formula>
    </cfRule>
    <cfRule type="cellIs" dxfId="225" priority="33" operator="lessThan">
      <formula>15000000</formula>
    </cfRule>
  </conditionalFormatting>
  <conditionalFormatting sqref="BT4:BV30 BT32:BV57 BT59:BV65 BT99:BV105">
    <cfRule type="cellIs" dxfId="224" priority="37" operator="greaterThanOrEqual">
      <formula>4500000</formula>
    </cfRule>
    <cfRule type="cellIs" dxfId="223" priority="38" operator="lessThan">
      <formula>4500000</formula>
    </cfRule>
  </conditionalFormatting>
  <conditionalFormatting sqref="CW1:CW285 CW287:CW1045">
    <cfRule type="containsText" dxfId="222" priority="13" operator="containsText" text="farias pedro alejandro">
      <formula>NOT(ISERROR(SEARCH(("farias pedro alejandro"),(CW1))))</formula>
    </cfRule>
    <cfRule type="containsText" dxfId="221" priority="11" operator="containsText" text="castro juan">
      <formula>NOT(ISERROR(SEARCH(("castro juan"),(CW1))))</formula>
    </cfRule>
  </conditionalFormatting>
  <conditionalFormatting sqref="CW167:CW285 CW287:CW547">
    <cfRule type="containsText" dxfId="220" priority="12" operator="containsText" text="martinez maria luciana">
      <formula>NOT(ISERROR(SEARCH(("martinez maria luciana"),(CW167))))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  <pageSetUpPr fitToPage="1"/>
  </sheetPr>
  <dimension ref="A1:DK994"/>
  <sheetViews>
    <sheetView showGridLines="0" workbookViewId="0">
      <pane xSplit="13" topLeftCell="N1" activePane="topRight" state="frozen"/>
      <selection pane="topRight" activeCell="O2" sqref="O2"/>
    </sheetView>
  </sheetViews>
  <sheetFormatPr baseColWidth="10" defaultColWidth="12.6640625" defaultRowHeight="15.75" customHeight="1"/>
  <cols>
    <col min="1" max="1" width="10.6640625" customWidth="1"/>
    <col min="2" max="12" width="5.1640625" customWidth="1"/>
    <col min="13" max="13" width="36.33203125" customWidth="1"/>
    <col min="14" max="14" width="14.1640625" hidden="1" customWidth="1"/>
    <col min="15" max="15" width="10.1640625" hidden="1" customWidth="1"/>
    <col min="16" max="18" width="12.6640625" hidden="1"/>
    <col min="19" max="19" width="11.1640625" hidden="1" customWidth="1"/>
    <col min="20" max="20" width="10.6640625" hidden="1" customWidth="1"/>
    <col min="21" max="21" width="12.6640625" hidden="1"/>
    <col min="22" max="22" width="10.6640625" hidden="1" customWidth="1"/>
    <col min="23" max="26" width="12.6640625" hidden="1"/>
    <col min="27" max="27" width="10.6640625" hidden="1" customWidth="1"/>
    <col min="28" max="33" width="12.6640625" hidden="1"/>
    <col min="34" max="34" width="10.6640625" hidden="1" customWidth="1"/>
    <col min="35" max="40" width="12.6640625" hidden="1"/>
    <col min="41" max="41" width="10.5" hidden="1" customWidth="1"/>
    <col min="42" max="42" width="12.6640625" hidden="1"/>
    <col min="43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2.6640625" hidden="1"/>
    <col min="65" max="65" width="10.6640625" customWidth="1"/>
    <col min="66" max="66" width="10.6640625" hidden="1" customWidth="1"/>
    <col min="67" max="67" width="10.6640625" customWidth="1"/>
    <col min="68" max="68" width="10.6640625" hidden="1" customWidth="1"/>
    <col min="69" max="69" width="11.1640625" customWidth="1"/>
    <col min="70" max="70" width="10.6640625" hidden="1" customWidth="1"/>
    <col min="71" max="71" width="12.1640625" customWidth="1"/>
    <col min="72" max="72" width="10.33203125" customWidth="1"/>
    <col min="73" max="73" width="10.6640625" hidden="1" customWidth="1"/>
    <col min="74" max="74" width="10.6640625" customWidth="1"/>
    <col min="75" max="75" width="12.6640625" hidden="1"/>
    <col min="77" max="77" width="12.6640625" hidden="1"/>
    <col min="79" max="80" width="12.6640625" hidden="1"/>
    <col min="84" max="93" width="10.1640625" customWidth="1"/>
    <col min="94" max="104" width="10.6640625" customWidth="1"/>
  </cols>
  <sheetData>
    <row r="1" spans="1:115" ht="15.75" customHeight="1">
      <c r="A1" s="1005" t="s">
        <v>19</v>
      </c>
      <c r="B1" s="1006" t="s">
        <v>20</v>
      </c>
      <c r="C1" s="1007" t="s">
        <v>21</v>
      </c>
      <c r="D1" s="1007" t="s">
        <v>22</v>
      </c>
      <c r="E1" s="1008" t="s">
        <v>23</v>
      </c>
      <c r="F1" s="1009" t="s">
        <v>20</v>
      </c>
      <c r="G1" s="1010" t="s">
        <v>21</v>
      </c>
      <c r="H1" s="1010" t="s">
        <v>22</v>
      </c>
      <c r="I1" s="1011" t="s">
        <v>23</v>
      </c>
      <c r="J1" s="1012" t="s">
        <v>20</v>
      </c>
      <c r="K1" s="1013" t="s">
        <v>21</v>
      </c>
      <c r="L1" s="1014" t="s">
        <v>22</v>
      </c>
      <c r="M1" s="1015" t="s">
        <v>24</v>
      </c>
      <c r="N1" s="1016">
        <v>45681</v>
      </c>
      <c r="O1" s="827" t="s">
        <v>989</v>
      </c>
      <c r="P1" s="523" t="s">
        <v>26</v>
      </c>
      <c r="Q1" s="79" t="s">
        <v>27</v>
      </c>
      <c r="R1" s="524" t="s">
        <v>28</v>
      </c>
      <c r="S1" s="525" t="s">
        <v>29</v>
      </c>
      <c r="T1" s="520" t="s">
        <v>30</v>
      </c>
      <c r="U1" s="1016">
        <v>45712</v>
      </c>
      <c r="V1" s="1017" t="s">
        <v>990</v>
      </c>
      <c r="W1" s="78" t="s">
        <v>26</v>
      </c>
      <c r="X1" s="79" t="s">
        <v>27</v>
      </c>
      <c r="Y1" s="518" t="s">
        <v>32</v>
      </c>
      <c r="Z1" s="519" t="s">
        <v>29</v>
      </c>
      <c r="AA1" s="520" t="s">
        <v>30</v>
      </c>
      <c r="AB1" s="1018">
        <v>45740</v>
      </c>
      <c r="AC1" s="1019" t="s">
        <v>679</v>
      </c>
      <c r="AD1" s="523" t="s">
        <v>26</v>
      </c>
      <c r="AE1" s="79" t="s">
        <v>27</v>
      </c>
      <c r="AF1" s="524" t="s">
        <v>34</v>
      </c>
      <c r="AG1" s="525" t="s">
        <v>29</v>
      </c>
      <c r="AH1" s="520" t="s">
        <v>30</v>
      </c>
      <c r="AI1" s="1020" t="s">
        <v>35</v>
      </c>
      <c r="AJ1" s="528" t="s">
        <v>36</v>
      </c>
      <c r="AK1" s="523" t="s">
        <v>26</v>
      </c>
      <c r="AL1" s="79" t="s">
        <v>27</v>
      </c>
      <c r="AM1" s="524" t="s">
        <v>41</v>
      </c>
      <c r="AN1" s="525" t="s">
        <v>29</v>
      </c>
      <c r="AO1" s="520" t="s">
        <v>30</v>
      </c>
      <c r="AP1" s="1021">
        <v>45771</v>
      </c>
      <c r="AQ1" s="78" t="s">
        <v>26</v>
      </c>
      <c r="AR1" s="79" t="s">
        <v>27</v>
      </c>
      <c r="AS1" s="518" t="s">
        <v>38</v>
      </c>
      <c r="AT1" s="1021">
        <v>45801</v>
      </c>
      <c r="AU1" s="78" t="s">
        <v>26</v>
      </c>
      <c r="AV1" s="79" t="s">
        <v>27</v>
      </c>
      <c r="AW1" s="518" t="s">
        <v>39</v>
      </c>
      <c r="AX1" s="1021">
        <v>45832</v>
      </c>
      <c r="AY1" s="1022" t="s">
        <v>26</v>
      </c>
      <c r="AZ1" s="1023" t="s">
        <v>27</v>
      </c>
      <c r="BA1" s="1024" t="s">
        <v>40</v>
      </c>
      <c r="BB1" s="69" t="s">
        <v>26</v>
      </c>
      <c r="BC1" s="52" t="s">
        <v>27</v>
      </c>
      <c r="BD1" s="389" t="s">
        <v>41</v>
      </c>
      <c r="BE1" s="71" t="s">
        <v>26</v>
      </c>
      <c r="BF1" s="72" t="s">
        <v>27</v>
      </c>
      <c r="BG1" s="76" t="s">
        <v>42</v>
      </c>
      <c r="BH1" s="1021">
        <v>45862</v>
      </c>
      <c r="BI1" s="1022" t="s">
        <v>26</v>
      </c>
      <c r="BJ1" s="1023" t="s">
        <v>27</v>
      </c>
      <c r="BK1" s="1025" t="s">
        <v>43</v>
      </c>
      <c r="BL1" s="1021">
        <v>45893</v>
      </c>
      <c r="BM1" s="1026" t="s">
        <v>26</v>
      </c>
      <c r="BN1" s="401" t="s">
        <v>27</v>
      </c>
      <c r="BO1" s="518" t="s">
        <v>44</v>
      </c>
      <c r="BP1" s="1021">
        <v>45924</v>
      </c>
      <c r="BQ1" s="1026" t="s">
        <v>26</v>
      </c>
      <c r="BR1" s="401" t="s">
        <v>27</v>
      </c>
      <c r="BS1" s="518" t="s">
        <v>499</v>
      </c>
      <c r="BT1" s="1026" t="s">
        <v>26</v>
      </c>
      <c r="BU1" s="401" t="s">
        <v>27</v>
      </c>
      <c r="BV1" s="402" t="s">
        <v>41</v>
      </c>
      <c r="BW1" s="1021">
        <v>45954</v>
      </c>
      <c r="BX1" s="1026" t="s">
        <v>26</v>
      </c>
      <c r="BY1" s="401" t="s">
        <v>27</v>
      </c>
      <c r="BZ1" s="518" t="s">
        <v>48</v>
      </c>
      <c r="CA1" s="1018">
        <v>45985</v>
      </c>
      <c r="CB1" s="1027">
        <v>46015</v>
      </c>
      <c r="CC1" s="1028"/>
      <c r="CD1" s="1028"/>
      <c r="CE1" s="1029" t="s">
        <v>250</v>
      </c>
      <c r="CF1" s="1030" t="s">
        <v>51</v>
      </c>
      <c r="CG1" s="1031" t="s">
        <v>52</v>
      </c>
      <c r="CH1" s="1032">
        <v>45728</v>
      </c>
      <c r="CI1" s="1032">
        <v>45771</v>
      </c>
      <c r="CJ1" s="1033">
        <v>45797</v>
      </c>
      <c r="CK1" s="1034">
        <v>45833</v>
      </c>
      <c r="CL1" s="1035" t="s">
        <v>991</v>
      </c>
      <c r="CM1" s="1036">
        <v>45888</v>
      </c>
      <c r="CN1" s="1037">
        <v>45939</v>
      </c>
      <c r="CO1" s="1038" t="s">
        <v>992</v>
      </c>
      <c r="CP1" s="1039" t="s">
        <v>837</v>
      </c>
      <c r="CQ1" s="1028"/>
      <c r="CR1" s="1028"/>
      <c r="CS1" s="1028"/>
      <c r="CT1" s="1028"/>
      <c r="CU1" s="1028"/>
      <c r="CV1" s="1028"/>
      <c r="CW1" s="1028"/>
      <c r="CX1" s="1028"/>
      <c r="CY1" s="1028"/>
      <c r="CZ1" s="1028"/>
      <c r="DA1" s="1028"/>
      <c r="DB1" s="1028"/>
      <c r="DC1" s="1028"/>
      <c r="DD1" s="1028"/>
      <c r="DE1" s="1028"/>
      <c r="DF1" s="1028"/>
      <c r="DG1" s="1028"/>
      <c r="DH1" s="1028"/>
      <c r="DI1" s="1028"/>
      <c r="DJ1" s="1028"/>
      <c r="DK1" s="1028"/>
    </row>
    <row r="2" spans="1:115" ht="15.75" customHeight="1">
      <c r="A2" s="436">
        <f t="shared" ref="A2:A33" si="0">VLOOKUP(M2,ARRCART4,3,FALSE)</f>
        <v>112010139</v>
      </c>
      <c r="B2" s="93" t="e">
        <f t="shared" ref="B2:B33" si="1">VLOOKUP(M2,ARRIOLACARTERA,2,FALSE)</f>
        <v>#N/A</v>
      </c>
      <c r="C2" s="699" t="str">
        <f t="shared" ref="C2:C41" si="2">IFERROR(VLOOKUP(B2,DES,2,FALSE),"")</f>
        <v/>
      </c>
      <c r="D2" s="699" t="str">
        <f t="shared" ref="D2:D41" si="3">IFERROR(VLOOKUP(B2,DES,3,FALSE),"")</f>
        <v/>
      </c>
      <c r="E2" s="700" t="str">
        <f t="shared" ref="E2:E41" si="4">IFERROR(VLOOKUP(B2,DES,4,FALSE),"")</f>
        <v/>
      </c>
      <c r="F2" s="701" t="e">
        <f t="shared" ref="F2:F33" si="5">VLOOKUP(M2,ARRIOLCART2,2,FALSE)</f>
        <v>#N/A</v>
      </c>
      <c r="G2" s="700" t="str">
        <f t="shared" ref="G2:G41" si="6">IFERROR(VLOOKUP(F2,DES,2,FALSE),"")</f>
        <v/>
      </c>
      <c r="H2" s="700" t="str">
        <f t="shared" ref="H2:H41" si="7">IFERROR(VLOOKUP(F2,DES,3,FALSE),"")</f>
        <v/>
      </c>
      <c r="I2" s="702" t="str">
        <f t="shared" ref="I2:I41" si="8">IFERROR(VLOOKUP(F2,DES,4,FALSE),"")</f>
        <v/>
      </c>
      <c r="J2" s="837">
        <f t="shared" ref="J2:J33" si="9">VLOOKUP(M2,ARRCART4,2,FALSE)</f>
        <v>28</v>
      </c>
      <c r="K2" s="699">
        <f t="shared" ref="K2:K33" si="10">VLOOKUP(J2,A458DC1025,2,FALSE)</f>
        <v>0.15</v>
      </c>
      <c r="L2" s="1040">
        <f t="shared" ref="L2:L33" si="11">VLOOKUP(J2,A458DC1025,3,FALSE)</f>
        <v>0</v>
      </c>
      <c r="M2" s="99" t="s">
        <v>993</v>
      </c>
      <c r="N2" s="114" t="str">
        <f>IFERROR(VLOOKUP(M2,ARRIOLA24,3,FALSE),"")</f>
        <v/>
      </c>
      <c r="O2" s="116" t="e">
        <f t="shared" ref="O2:O3" si="12">(N2*1.601)*1.05</f>
        <v>#VALUE!</v>
      </c>
      <c r="P2" s="704" t="e">
        <f t="shared" ref="P2:P41" si="13">R2-Q2</f>
        <v>#VALUE!</v>
      </c>
      <c r="Q2" s="704" t="str">
        <f t="shared" ref="Q2:Q41" si="14">IFERROR(VLOOKUP(M2,ARRIOALIM,3,FALSE),"0")</f>
        <v>0</v>
      </c>
      <c r="R2" s="704" t="str">
        <f t="shared" ref="R2:R41" si="15">IFERROR(VLOOKUP(M2,ARRIOFC,3,FALSE),"")</f>
        <v/>
      </c>
      <c r="S2" s="116" t="e">
        <f t="shared" ref="S2:S41" si="16">R2-O2</f>
        <v>#VALUE!</v>
      </c>
      <c r="T2" s="94" t="e">
        <f>R2/O2</f>
        <v>#VALUE!</v>
      </c>
      <c r="U2" s="121" t="str">
        <f t="shared" ref="U2:U41" si="17">IFERROR(VLOOKUP(M2,ARRIOLA24,4,FALSE),"")</f>
        <v/>
      </c>
      <c r="V2" s="416" t="e">
        <f t="shared" ref="V2:V3" si="18">(U2*1.7245)*1.05</f>
        <v>#VALUE!</v>
      </c>
      <c r="W2" s="113" t="e">
        <f t="shared" ref="W2:W41" si="19">Y2-X2</f>
        <v>#VALUE!</v>
      </c>
      <c r="X2" s="704" t="str">
        <f t="shared" ref="X2:X41" si="20">IFERROR(VLOOKUP(M2,ARRIOALIM,4,FALSE),"0")</f>
        <v>0</v>
      </c>
      <c r="Y2" s="117" t="str">
        <f t="shared" ref="Y2:Y41" si="21">IFERROR(VLOOKUP(M2,ARRIOFC,4,FALSE),"")</f>
        <v/>
      </c>
      <c r="Z2" s="114" t="e">
        <f t="shared" ref="Z2:Z41" si="22">Y2-V2</f>
        <v>#VALUE!</v>
      </c>
      <c r="AA2" s="413" t="e">
        <f>Y2/V2</f>
        <v>#VALUE!</v>
      </c>
      <c r="AB2" s="123" t="str">
        <f t="shared" ref="AB2:AB41" si="23">IFERROR(VLOOKUP(M2,ARRIOLA24,5,FALSE),"")</f>
        <v/>
      </c>
      <c r="AC2" s="326" t="e">
        <f t="shared" ref="AC2:AC3" si="24">(AB2*1.5955)*1.03</f>
        <v>#VALUE!</v>
      </c>
      <c r="AD2" s="326" t="e">
        <f t="shared" ref="AD2:AD41" si="25">AF2-AE2</f>
        <v>#VALUE!</v>
      </c>
      <c r="AE2" s="326" t="str">
        <f t="shared" ref="AE2:AE41" si="26">IFERROR(VLOOKUP(M2,ARRIOALIM,5,FALSE),"0")</f>
        <v>0</v>
      </c>
      <c r="AF2" s="326" t="str">
        <f t="shared" ref="AF2:AF41" si="27">IFERROR(VLOOKUP(M2,ARRIOFC,5,FALSE),"")</f>
        <v/>
      </c>
      <c r="AG2" s="326" t="e">
        <f t="shared" ref="AG2:AG5" si="28">AF2-AC2</f>
        <v>#VALUE!</v>
      </c>
      <c r="AH2" s="494" t="e">
        <f>AF2/AC2</f>
        <v>#VALUE!</v>
      </c>
      <c r="AI2" s="416" t="e">
        <f t="shared" ref="AI2:AI5" si="29">SUM(O2,V2,AC2)</f>
        <v>#VALUE!</v>
      </c>
      <c r="AJ2" s="416" t="e">
        <f>VLOOKUP(M2,trim2024,2,FALSE)</f>
        <v>#N/A</v>
      </c>
      <c r="AK2" s="116" t="e">
        <f t="shared" ref="AK2:AM2" si="30">SUM(P2,W2,AD2)</f>
        <v>#VALUE!</v>
      </c>
      <c r="AL2" s="116">
        <f t="shared" si="30"/>
        <v>0</v>
      </c>
      <c r="AM2" s="116">
        <f t="shared" si="30"/>
        <v>0</v>
      </c>
      <c r="AN2" s="116" t="e">
        <f t="shared" ref="AN2:AN41" si="31">AM2-AI2</f>
        <v>#VALUE!</v>
      </c>
      <c r="AO2" s="413" t="e">
        <f>AM2/AI2</f>
        <v>#VALUE!</v>
      </c>
      <c r="AP2" s="125" t="str">
        <f>IFERROR(VLOOKUP(M2,ARRIOLA24,6,FALSE),"")</f>
        <v/>
      </c>
      <c r="AQ2" s="140" t="e">
        <f t="shared" ref="AQ2:AQ41" si="32">AS2-AR2</f>
        <v>#VALUE!</v>
      </c>
      <c r="AR2" s="123" t="str">
        <f t="shared" ref="AR2:AR41" si="33">IFERROR(VLOOKUP(M2,ARRIOALIM,6,FALSE),"0")</f>
        <v>0</v>
      </c>
      <c r="AS2" s="148" t="str">
        <f t="shared" ref="AS2:AS41" si="34">IFERROR(VLOOKUP(M2,ARRIOFC,6,FALSE),"")</f>
        <v/>
      </c>
      <c r="AT2" s="125" t="str">
        <f t="shared" ref="AT2:AT41" si="35">IFERROR(VLOOKUP(M2,ARRIOLA24,7,FALSE),"")</f>
        <v/>
      </c>
      <c r="AU2" s="140" t="e">
        <f t="shared" ref="AU2:AU41" si="36">AW2-AV2</f>
        <v>#VALUE!</v>
      </c>
      <c r="AV2" s="326" t="str">
        <f t="shared" ref="AV2:AV41" si="37">IFERROR(VLOOKUP(M2,ARRIOALIM,7,FALSE),"0")</f>
        <v>0</v>
      </c>
      <c r="AW2" s="333" t="str">
        <f t="shared" ref="AW2:AW41" si="38">IFERROR(VLOOKUP(M2,ARRIOFC,7,FALSE),"")</f>
        <v/>
      </c>
      <c r="AX2" s="125" t="str">
        <f t="shared" ref="AX2:AX30" si="39">IFERROR(VLOOKUP(M2,ARRIOLA24,8,FALSE),"")</f>
        <v/>
      </c>
      <c r="AY2" s="1041" t="e">
        <f t="shared" ref="AY2:AY41" si="40">BA2-AZ2</f>
        <v>#VALUE!</v>
      </c>
      <c r="AZ2" s="123" t="str">
        <f t="shared" ref="AZ2:AZ41" si="41">IFERROR(VLOOKUP(M2,ARRIOALIM,8,FALSE),"0")</f>
        <v>0</v>
      </c>
      <c r="BA2" s="125" t="str">
        <f t="shared" ref="BA2:BA41" si="42">IFERROR(VLOOKUP(M2,ARRIOFC,8,FALSE),"")</f>
        <v/>
      </c>
      <c r="BB2" s="118" t="e">
        <f t="shared" ref="BB2:BD2" si="43">SUM(AY2,AU2,AQ2)</f>
        <v>#VALUE!</v>
      </c>
      <c r="BC2" s="116">
        <f t="shared" si="43"/>
        <v>0</v>
      </c>
      <c r="BD2" s="117">
        <f t="shared" si="43"/>
        <v>0</v>
      </c>
      <c r="BE2" s="114" t="e">
        <f t="shared" ref="BE2:BE41" si="44">BD2+AK2</f>
        <v>#VALUE!</v>
      </c>
      <c r="BF2" s="116">
        <f t="shared" ref="BF2:BG2" si="45">BC2+AL2</f>
        <v>0</v>
      </c>
      <c r="BG2" s="119">
        <f t="shared" si="45"/>
        <v>0</v>
      </c>
      <c r="BH2" s="125" t="str">
        <f t="shared" ref="BH2:BH30" si="46">IFERROR(VLOOKUP(M2,ARRIOLA24,9,FALSE),"")</f>
        <v/>
      </c>
      <c r="BI2" s="1041" t="e">
        <f t="shared" ref="BI2:BI41" si="47">BK2-BJ2</f>
        <v>#VALUE!</v>
      </c>
      <c r="BJ2" s="326" t="str">
        <f t="shared" ref="BJ2:BJ41" si="48">IFERROR(VLOOKUP(M2,ARRIOALIM,9,FALSE),"0")</f>
        <v>0</v>
      </c>
      <c r="BK2" s="1042" t="str">
        <f t="shared" ref="BK2:BK41" si="49">IFERROR(VLOOKUP(M2,ARRIOFC,9,FALSE),"")</f>
        <v/>
      </c>
      <c r="BL2" s="125" t="str">
        <f>IFERROR(VLOOKUP(M2,ARRIOLA24,10,FALSE),"")</f>
        <v/>
      </c>
      <c r="BM2" s="141" t="e">
        <f t="shared" ref="BM2:BM41" si="50">BO2-BN2</f>
        <v>#VALUE!</v>
      </c>
      <c r="BN2" s="332" t="str">
        <f t="shared" ref="BN2:BN41" si="51">IFERROR(VLOOKUP(M2,ARRIOALIM,10,FALSE),"0")</f>
        <v>0</v>
      </c>
      <c r="BO2" s="333" t="str">
        <f t="shared" ref="BO2:BO41" si="52">IFERROR(VLOOKUP(M2,ARRIOFC,10,FALSE),"")</f>
        <v/>
      </c>
      <c r="BP2" s="125" t="str">
        <f>IFERROR(VLOOKUP(M2,ARRIOLA24,11,FALSE),"")</f>
        <v/>
      </c>
      <c r="BQ2" s="140" t="e">
        <f t="shared" ref="BQ2:BQ97" si="53">BS2-BR2</f>
        <v>#VALUE!</v>
      </c>
      <c r="BR2" s="123" t="str">
        <f t="shared" ref="BR2:BR33" si="54">IFERROR(VLOOKUP(M2,ARRIOALIM,11,FALSE),"0")</f>
        <v>0</v>
      </c>
      <c r="BS2" s="148" t="str">
        <f t="shared" ref="BS2:BS33" si="55">IFERROR(VLOOKUP(M2,ARRIOFC,11,FALSE),"")</f>
        <v/>
      </c>
      <c r="BT2" s="140" t="e">
        <f t="shared" ref="BT2:BV2" si="56">SUM(BQ2,BM2,BI2)</f>
        <v>#VALUE!</v>
      </c>
      <c r="BU2" s="123">
        <f t="shared" si="56"/>
        <v>0</v>
      </c>
      <c r="BV2" s="148">
        <f t="shared" si="56"/>
        <v>0</v>
      </c>
      <c r="BW2" s="125" t="str">
        <f t="shared" ref="BW2:BW33" si="57">IFERROR(VLOOKUP(M2,ARRIOLA24,12,FALSE),"")</f>
        <v/>
      </c>
      <c r="BX2" s="140" t="e">
        <f t="shared" ref="BX2:BX97" si="58">BZ2-BY2</f>
        <v>#VALUE!</v>
      </c>
      <c r="BY2" s="123" t="str">
        <f t="shared" ref="BY2:BY33" si="59">IFERROR(VLOOKUP(M2,ARRIOALIM,12,FALSE),"0")</f>
        <v>0</v>
      </c>
      <c r="BZ2" s="148" t="str">
        <f t="shared" ref="BZ2:BZ33" si="60">IFERROR(VLOOKUP(M2,ARRIOFC,12,FALSE),"")</f>
        <v/>
      </c>
      <c r="CA2" s="123" t="str">
        <f t="shared" ref="CA2:CA33" si="61">IFERROR(VLOOKUP(M2,ARRIOLA24,13,FALSE),"")</f>
        <v/>
      </c>
      <c r="CB2" s="326" t="str">
        <f t="shared" ref="CB2:CB33" si="62">IFERROR(VLOOKUP(M2,ARRIOLA24,14,FALSE),"")</f>
        <v/>
      </c>
      <c r="CE2" s="1043"/>
      <c r="CF2" s="427"/>
      <c r="CG2" s="427"/>
      <c r="CH2" s="428"/>
      <c r="CI2" s="428"/>
      <c r="CJ2" s="132"/>
      <c r="CK2" s="132"/>
      <c r="CL2" s="1044"/>
      <c r="CM2" s="132"/>
      <c r="CN2" s="132"/>
      <c r="CO2" s="132"/>
      <c r="CP2" s="430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</row>
    <row r="3" spans="1:115" ht="15.75" customHeight="1">
      <c r="A3" s="436">
        <f t="shared" si="0"/>
        <v>112013493</v>
      </c>
      <c r="B3" s="93">
        <f t="shared" si="1"/>
        <v>14</v>
      </c>
      <c r="C3" s="558">
        <f t="shared" si="2"/>
        <v>0.15</v>
      </c>
      <c r="D3" s="558">
        <f t="shared" si="3"/>
        <v>0.2</v>
      </c>
      <c r="E3" s="715">
        <f t="shared" si="4"/>
        <v>0.23</v>
      </c>
      <c r="F3" s="701">
        <f t="shared" si="5"/>
        <v>14</v>
      </c>
      <c r="G3" s="700">
        <f t="shared" si="6"/>
        <v>0.15</v>
      </c>
      <c r="H3" s="700">
        <f t="shared" si="7"/>
        <v>0.2</v>
      </c>
      <c r="I3" s="702">
        <f t="shared" si="8"/>
        <v>0.23</v>
      </c>
      <c r="J3" s="837">
        <f t="shared" si="9"/>
        <v>54</v>
      </c>
      <c r="K3" s="699">
        <f t="shared" si="10"/>
        <v>0.15</v>
      </c>
      <c r="L3" s="1040">
        <f t="shared" si="11"/>
        <v>0.11</v>
      </c>
      <c r="M3" s="139" t="s">
        <v>994</v>
      </c>
      <c r="N3" s="123" t="str">
        <f>IFERROR(VLOOKUP(M3,ARRIOLA24,3,FALSE),"")</f>
        <v/>
      </c>
      <c r="O3" s="326" t="e">
        <f t="shared" si="12"/>
        <v>#VALUE!</v>
      </c>
      <c r="P3" s="704">
        <f t="shared" si="13"/>
        <v>0</v>
      </c>
      <c r="Q3" s="704">
        <f t="shared" si="14"/>
        <v>0</v>
      </c>
      <c r="R3" s="704">
        <f t="shared" si="15"/>
        <v>0</v>
      </c>
      <c r="S3" s="326" t="e">
        <f t="shared" si="16"/>
        <v>#VALUE!</v>
      </c>
      <c r="T3" s="137" t="str">
        <f>IFERROR(R3/O3,"")</f>
        <v/>
      </c>
      <c r="U3" s="332" t="str">
        <f t="shared" si="17"/>
        <v/>
      </c>
      <c r="V3" s="141" t="e">
        <f t="shared" si="18"/>
        <v>#VALUE!</v>
      </c>
      <c r="W3" s="113">
        <f t="shared" si="19"/>
        <v>0</v>
      </c>
      <c r="X3" s="704">
        <f t="shared" si="20"/>
        <v>0</v>
      </c>
      <c r="Y3" s="117">
        <f t="shared" si="21"/>
        <v>0</v>
      </c>
      <c r="Z3" s="123" t="e">
        <f t="shared" si="22"/>
        <v>#VALUE!</v>
      </c>
      <c r="AA3" s="98" t="str">
        <f>IFERROR(Y3/V3,"")</f>
        <v/>
      </c>
      <c r="AB3" s="123" t="str">
        <f t="shared" si="23"/>
        <v/>
      </c>
      <c r="AC3" s="326" t="e">
        <f t="shared" si="24"/>
        <v>#VALUE!</v>
      </c>
      <c r="AD3" s="326">
        <f t="shared" si="25"/>
        <v>0</v>
      </c>
      <c r="AE3" s="326">
        <f t="shared" si="26"/>
        <v>0</v>
      </c>
      <c r="AF3" s="326">
        <f t="shared" si="27"/>
        <v>0</v>
      </c>
      <c r="AG3" s="326" t="e">
        <f t="shared" si="28"/>
        <v>#VALUE!</v>
      </c>
      <c r="AH3" s="494" t="str">
        <f>IFERROR(AF3/AC3,"")</f>
        <v/>
      </c>
      <c r="AI3" s="141" t="e">
        <f t="shared" si="29"/>
        <v>#VALUE!</v>
      </c>
      <c r="AJ3" s="416">
        <f>IFERROR(VLOOKUP(M3,trim2024,2,FALSE),"0")</f>
        <v>10716011.779999999</v>
      </c>
      <c r="AK3" s="326">
        <f t="shared" ref="AK3:AM3" si="63">SUM(P3,W3,AD3)</f>
        <v>0</v>
      </c>
      <c r="AL3" s="326">
        <f t="shared" si="63"/>
        <v>0</v>
      </c>
      <c r="AM3" s="326">
        <f t="shared" si="63"/>
        <v>0</v>
      </c>
      <c r="AN3" s="326" t="e">
        <f t="shared" si="31"/>
        <v>#VALUE!</v>
      </c>
      <c r="AO3" s="98" t="str">
        <f t="shared" ref="AO3:AO7" si="64">IFERROR(AM3/AI3,"")</f>
        <v/>
      </c>
      <c r="AP3" s="125" t="str">
        <f>IFERROR(VLOOKUP(M3,ARRIOLA24,6,FALSE),"")</f>
        <v/>
      </c>
      <c r="AQ3" s="140">
        <f t="shared" si="32"/>
        <v>0</v>
      </c>
      <c r="AR3" s="123">
        <f t="shared" si="33"/>
        <v>0</v>
      </c>
      <c r="AS3" s="148">
        <f t="shared" si="34"/>
        <v>0</v>
      </c>
      <c r="AT3" s="125" t="str">
        <f t="shared" si="35"/>
        <v/>
      </c>
      <c r="AU3" s="140">
        <f t="shared" si="36"/>
        <v>-11978.34</v>
      </c>
      <c r="AV3" s="326">
        <f t="shared" si="37"/>
        <v>0</v>
      </c>
      <c r="AW3" s="333">
        <f t="shared" si="38"/>
        <v>-11978.34</v>
      </c>
      <c r="AX3" s="125" t="str">
        <f t="shared" si="39"/>
        <v/>
      </c>
      <c r="AY3" s="1041">
        <f t="shared" si="40"/>
        <v>2289189.7999999998</v>
      </c>
      <c r="AZ3" s="123">
        <f t="shared" si="41"/>
        <v>339190.08</v>
      </c>
      <c r="BA3" s="125">
        <f t="shared" si="42"/>
        <v>2628379.88</v>
      </c>
      <c r="BB3" s="122">
        <f t="shared" ref="BB3:BD3" si="65">SUM(AY3,AU3,AQ3)</f>
        <v>2277211.46</v>
      </c>
      <c r="BC3" s="326">
        <f t="shared" si="65"/>
        <v>339190.08</v>
      </c>
      <c r="BD3" s="333">
        <f t="shared" si="65"/>
        <v>2616401.54</v>
      </c>
      <c r="BE3" s="123">
        <f t="shared" si="44"/>
        <v>2616401.54</v>
      </c>
      <c r="BF3" s="326">
        <f t="shared" ref="BF3:BG3" si="66">BC3+AL3</f>
        <v>339190.08</v>
      </c>
      <c r="BG3" s="435">
        <f t="shared" si="66"/>
        <v>2616401.54</v>
      </c>
      <c r="BH3" s="125" t="str">
        <f t="shared" si="46"/>
        <v/>
      </c>
      <c r="BI3" s="1041">
        <f t="shared" si="47"/>
        <v>1360151.65</v>
      </c>
      <c r="BJ3" s="326">
        <f t="shared" si="48"/>
        <v>754433.77</v>
      </c>
      <c r="BK3" s="1045">
        <f t="shared" si="49"/>
        <v>2114585.42</v>
      </c>
      <c r="BL3" s="125" t="str">
        <f>IFERROR(VLOOKUP(M3,ARRIOLA24,10,FALSE),"")</f>
        <v/>
      </c>
      <c r="BM3" s="141">
        <f t="shared" si="50"/>
        <v>1524872.0099999998</v>
      </c>
      <c r="BN3" s="332">
        <f t="shared" si="51"/>
        <v>710898.83</v>
      </c>
      <c r="BO3" s="333">
        <f t="shared" si="52"/>
        <v>2235770.84</v>
      </c>
      <c r="BP3" s="125" t="str">
        <f>IFERROR(VLOOKUP(M3,ARRIOLA24,11,FALSE),"")</f>
        <v/>
      </c>
      <c r="BQ3" s="140">
        <f t="shared" si="53"/>
        <v>1901521.3299999998</v>
      </c>
      <c r="BR3" s="123">
        <f t="shared" si="54"/>
        <v>386524.43</v>
      </c>
      <c r="BS3" s="148">
        <f t="shared" si="55"/>
        <v>2288045.7599999998</v>
      </c>
      <c r="BT3" s="140">
        <f t="shared" ref="BT3:BV3" si="67">SUM(BQ3,BM3,BI3)</f>
        <v>4786544.99</v>
      </c>
      <c r="BU3" s="123">
        <f t="shared" si="67"/>
        <v>1851857.03</v>
      </c>
      <c r="BV3" s="148">
        <f t="shared" si="67"/>
        <v>6638402.0199999996</v>
      </c>
      <c r="BW3" s="125" t="str">
        <f t="shared" si="57"/>
        <v/>
      </c>
      <c r="BX3" s="140">
        <f t="shared" si="58"/>
        <v>2340867.7999999998</v>
      </c>
      <c r="BY3" s="123">
        <f t="shared" si="59"/>
        <v>575848.31000000006</v>
      </c>
      <c r="BZ3" s="148">
        <f t="shared" si="60"/>
        <v>2916716.11</v>
      </c>
      <c r="CA3" s="123" t="str">
        <f t="shared" si="61"/>
        <v/>
      </c>
      <c r="CB3" s="326" t="str">
        <f t="shared" si="62"/>
        <v/>
      </c>
      <c r="CE3" s="1046">
        <v>0.15</v>
      </c>
      <c r="CF3" s="440">
        <v>7</v>
      </c>
      <c r="CG3" s="440">
        <v>15</v>
      </c>
      <c r="CH3" s="441">
        <v>15</v>
      </c>
      <c r="CI3" s="441">
        <v>15</v>
      </c>
      <c r="CJ3" s="441">
        <v>15</v>
      </c>
      <c r="CK3" s="441">
        <v>16</v>
      </c>
      <c r="CL3" s="1047">
        <v>18</v>
      </c>
      <c r="CM3" s="441">
        <v>11</v>
      </c>
      <c r="CN3" s="441">
        <v>10</v>
      </c>
      <c r="CO3" s="441">
        <v>10</v>
      </c>
      <c r="CP3" s="1048">
        <v>7</v>
      </c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</row>
    <row r="4" spans="1:115" ht="15.75" customHeight="1">
      <c r="A4" s="436">
        <f t="shared" si="0"/>
        <v>112010077</v>
      </c>
      <c r="B4" s="93">
        <f t="shared" si="1"/>
        <v>11</v>
      </c>
      <c r="C4" s="558">
        <f t="shared" si="2"/>
        <v>0.15</v>
      </c>
      <c r="D4" s="558">
        <f t="shared" si="3"/>
        <v>0.2</v>
      </c>
      <c r="E4" s="715">
        <f t="shared" si="4"/>
        <v>0</v>
      </c>
      <c r="F4" s="701">
        <f t="shared" si="5"/>
        <v>11</v>
      </c>
      <c r="G4" s="700">
        <f t="shared" si="6"/>
        <v>0.15</v>
      </c>
      <c r="H4" s="700">
        <f t="shared" si="7"/>
        <v>0.2</v>
      </c>
      <c r="I4" s="702">
        <f t="shared" si="8"/>
        <v>0</v>
      </c>
      <c r="J4" s="837">
        <f t="shared" si="9"/>
        <v>54</v>
      </c>
      <c r="K4" s="699">
        <f t="shared" si="10"/>
        <v>0.15</v>
      </c>
      <c r="L4" s="1040">
        <f t="shared" si="11"/>
        <v>0.11</v>
      </c>
      <c r="M4" s="139" t="s">
        <v>995</v>
      </c>
      <c r="N4" s="123">
        <f>IFERROR(VLOOKUP(M4,ARRIOLA24,3,FALSE),"")</f>
        <v>285397.15999999997</v>
      </c>
      <c r="O4" s="561">
        <v>3000000</v>
      </c>
      <c r="P4" s="704">
        <f t="shared" si="13"/>
        <v>1283244.26</v>
      </c>
      <c r="Q4" s="704">
        <f t="shared" si="14"/>
        <v>0</v>
      </c>
      <c r="R4" s="704">
        <f t="shared" si="15"/>
        <v>1283244.26</v>
      </c>
      <c r="S4" s="326">
        <f t="shared" si="16"/>
        <v>-1716755.74</v>
      </c>
      <c r="T4" s="137">
        <f t="shared" ref="T4:T27" si="68">R4/O4</f>
        <v>0.42774808666666669</v>
      </c>
      <c r="U4" s="332">
        <f t="shared" si="17"/>
        <v>406625.84</v>
      </c>
      <c r="V4" s="141">
        <v>3000000</v>
      </c>
      <c r="W4" s="113">
        <f t="shared" si="19"/>
        <v>1976831.33</v>
      </c>
      <c r="X4" s="704">
        <f t="shared" si="20"/>
        <v>0</v>
      </c>
      <c r="Y4" s="117">
        <f t="shared" si="21"/>
        <v>1976831.33</v>
      </c>
      <c r="Z4" s="123">
        <f t="shared" si="22"/>
        <v>-1023168.6699999999</v>
      </c>
      <c r="AA4" s="98">
        <f t="shared" ref="AA4:AA27" si="69">Y4/V4</f>
        <v>0.6589437766666667</v>
      </c>
      <c r="AB4" s="123">
        <f t="shared" si="23"/>
        <v>0</v>
      </c>
      <c r="AC4" s="326">
        <v>3000000</v>
      </c>
      <c r="AD4" s="326">
        <f t="shared" si="25"/>
        <v>1435458.2</v>
      </c>
      <c r="AE4" s="326">
        <f t="shared" si="26"/>
        <v>0</v>
      </c>
      <c r="AF4" s="326">
        <f t="shared" si="27"/>
        <v>1435458.2</v>
      </c>
      <c r="AG4" s="326">
        <f t="shared" si="28"/>
        <v>-1564541.8</v>
      </c>
      <c r="AH4" s="494">
        <f t="shared" ref="AH4:AH5" si="70">AF4/AC4</f>
        <v>0.47848606666666665</v>
      </c>
      <c r="AI4" s="141">
        <f t="shared" si="29"/>
        <v>9000000</v>
      </c>
      <c r="AJ4" s="416">
        <f>VLOOKUP(M4,trim2024,2,FALSE)</f>
        <v>1057384.6399999999</v>
      </c>
      <c r="AK4" s="326">
        <f t="shared" ref="AK4:AM4" si="71">SUM(P4,W4,AD4)</f>
        <v>4695533.79</v>
      </c>
      <c r="AL4" s="326">
        <f t="shared" si="71"/>
        <v>0</v>
      </c>
      <c r="AM4" s="326">
        <f t="shared" si="71"/>
        <v>4695533.79</v>
      </c>
      <c r="AN4" s="326">
        <f t="shared" si="31"/>
        <v>-4304466.21</v>
      </c>
      <c r="AO4" s="98">
        <f t="shared" si="64"/>
        <v>0.52172597666666665</v>
      </c>
      <c r="AP4" s="125">
        <f>IFERROR(VLOOKUP(M4,ARRIOLA24,6,FALSE),"")</f>
        <v>2915888.55</v>
      </c>
      <c r="AQ4" s="140">
        <f t="shared" si="32"/>
        <v>1479540.29</v>
      </c>
      <c r="AR4" s="123">
        <f t="shared" si="33"/>
        <v>0</v>
      </c>
      <c r="AS4" s="148">
        <f t="shared" si="34"/>
        <v>1479540.29</v>
      </c>
      <c r="AT4" s="125">
        <f t="shared" si="35"/>
        <v>1158357.93</v>
      </c>
      <c r="AU4" s="140">
        <f t="shared" si="36"/>
        <v>1934707.68</v>
      </c>
      <c r="AV4" s="326">
        <f t="shared" si="37"/>
        <v>31057.599999999999</v>
      </c>
      <c r="AW4" s="333">
        <f t="shared" si="38"/>
        <v>1965765.28</v>
      </c>
      <c r="AX4" s="125">
        <f t="shared" si="39"/>
        <v>93289.2</v>
      </c>
      <c r="AY4" s="1041">
        <f t="shared" si="40"/>
        <v>1108314.03</v>
      </c>
      <c r="AZ4" s="123">
        <f t="shared" si="41"/>
        <v>0</v>
      </c>
      <c r="BA4" s="125">
        <f t="shared" si="42"/>
        <v>1108314.03</v>
      </c>
      <c r="BB4" s="122">
        <f t="shared" ref="BB4:BD4" si="72">SUM(AY4,AU4,AQ4)</f>
        <v>4522562</v>
      </c>
      <c r="BC4" s="326">
        <f t="shared" si="72"/>
        <v>31057.599999999999</v>
      </c>
      <c r="BD4" s="333">
        <f t="shared" si="72"/>
        <v>4553619.5999999996</v>
      </c>
      <c r="BE4" s="123">
        <f t="shared" si="44"/>
        <v>9249153.3900000006</v>
      </c>
      <c r="BF4" s="326">
        <f t="shared" ref="BF4:BG4" si="73">BC4+AL4</f>
        <v>31057.599999999999</v>
      </c>
      <c r="BG4" s="435">
        <f t="shared" si="73"/>
        <v>9249153.3900000006</v>
      </c>
      <c r="BH4" s="125">
        <f t="shared" si="46"/>
        <v>690000</v>
      </c>
      <c r="BI4" s="1041">
        <f t="shared" si="47"/>
        <v>1594533.78</v>
      </c>
      <c r="BJ4" s="326">
        <f t="shared" si="48"/>
        <v>0</v>
      </c>
      <c r="BK4" s="1045">
        <f t="shared" si="49"/>
        <v>1594533.78</v>
      </c>
      <c r="BL4" s="125">
        <f>IFERROR(VLOOKUP(M4,ARRIOLA24,10,FALSE),"")</f>
        <v>1838332.24</v>
      </c>
      <c r="BM4" s="141">
        <f t="shared" si="50"/>
        <v>1475314.98</v>
      </c>
      <c r="BN4" s="332">
        <f t="shared" si="51"/>
        <v>31057.599999999999</v>
      </c>
      <c r="BO4" s="333">
        <f t="shared" si="52"/>
        <v>1506372.58</v>
      </c>
      <c r="BP4" s="125">
        <f>IFERROR(VLOOKUP(M4,ARRIOLA24,11,FALSE),"")</f>
        <v>125030.08</v>
      </c>
      <c r="BQ4" s="140">
        <f t="shared" si="53"/>
        <v>1211172.32</v>
      </c>
      <c r="BR4" s="123">
        <f t="shared" si="54"/>
        <v>0</v>
      </c>
      <c r="BS4" s="148">
        <f t="shared" si="55"/>
        <v>1211172.32</v>
      </c>
      <c r="BT4" s="140">
        <f t="shared" ref="BT4:BV4" si="74">SUM(BQ4,BM4,BI4)</f>
        <v>4281021.08</v>
      </c>
      <c r="BU4" s="123">
        <f t="shared" si="74"/>
        <v>31057.599999999999</v>
      </c>
      <c r="BV4" s="148">
        <f t="shared" si="74"/>
        <v>4312078.6800000006</v>
      </c>
      <c r="BW4" s="125">
        <f t="shared" si="57"/>
        <v>343000.92</v>
      </c>
      <c r="BX4" s="140">
        <f t="shared" si="58"/>
        <v>2554639.5699999998</v>
      </c>
      <c r="BY4" s="123">
        <f t="shared" si="59"/>
        <v>0</v>
      </c>
      <c r="BZ4" s="148">
        <f t="shared" si="60"/>
        <v>2554639.5699999998</v>
      </c>
      <c r="CA4" s="123">
        <f t="shared" si="61"/>
        <v>617075.03</v>
      </c>
      <c r="CB4" s="326">
        <f t="shared" si="62"/>
        <v>97308.69</v>
      </c>
      <c r="CE4" s="1049">
        <v>0.12</v>
      </c>
      <c r="CF4" s="440"/>
      <c r="CG4" s="440">
        <v>2</v>
      </c>
      <c r="CH4" s="441">
        <v>0</v>
      </c>
      <c r="CI4" s="441">
        <v>0</v>
      </c>
      <c r="CJ4" s="441">
        <v>0</v>
      </c>
      <c r="CK4" s="441"/>
      <c r="CL4" s="1047"/>
      <c r="CM4" s="441"/>
      <c r="CN4" s="441"/>
      <c r="CO4" s="441"/>
      <c r="CP4" s="1048"/>
    </row>
    <row r="5" spans="1:115" ht="15.75" customHeight="1">
      <c r="A5" s="436">
        <f t="shared" si="0"/>
        <v>112010082</v>
      </c>
      <c r="B5" s="93">
        <f t="shared" si="1"/>
        <v>11</v>
      </c>
      <c r="C5" s="558">
        <f t="shared" si="2"/>
        <v>0.15</v>
      </c>
      <c r="D5" s="558">
        <f t="shared" si="3"/>
        <v>0.2</v>
      </c>
      <c r="E5" s="715">
        <f t="shared" si="4"/>
        <v>0</v>
      </c>
      <c r="F5" s="701">
        <f t="shared" si="5"/>
        <v>11</v>
      </c>
      <c r="G5" s="700">
        <f t="shared" si="6"/>
        <v>0.15</v>
      </c>
      <c r="H5" s="700">
        <f t="shared" si="7"/>
        <v>0.2</v>
      </c>
      <c r="I5" s="702">
        <f t="shared" si="8"/>
        <v>0</v>
      </c>
      <c r="J5" s="837">
        <f t="shared" si="9"/>
        <v>54</v>
      </c>
      <c r="K5" s="699">
        <f t="shared" si="10"/>
        <v>0.15</v>
      </c>
      <c r="L5" s="1040">
        <f t="shared" si="11"/>
        <v>0.11</v>
      </c>
      <c r="M5" s="139" t="s">
        <v>996</v>
      </c>
      <c r="N5" s="123">
        <f>IFERROR(VLOOKUP(M5,ARRIOLA24,3,FALSE),"")</f>
        <v>440052.77</v>
      </c>
      <c r="O5" s="561">
        <v>3000000</v>
      </c>
      <c r="P5" s="704">
        <f t="shared" si="13"/>
        <v>1006808.5000000001</v>
      </c>
      <c r="Q5" s="704">
        <f t="shared" si="14"/>
        <v>67783.87</v>
      </c>
      <c r="R5" s="704">
        <f t="shared" si="15"/>
        <v>1074592.3700000001</v>
      </c>
      <c r="S5" s="326">
        <f t="shared" si="16"/>
        <v>-1925407.63</v>
      </c>
      <c r="T5" s="137">
        <f t="shared" si="68"/>
        <v>0.35819745666666669</v>
      </c>
      <c r="U5" s="332">
        <f t="shared" si="17"/>
        <v>1847808.81</v>
      </c>
      <c r="V5" s="141">
        <f>(U5*1.7245)*1.05</f>
        <v>3345873.6074872501</v>
      </c>
      <c r="W5" s="113">
        <f t="shared" si="19"/>
        <v>442891.98</v>
      </c>
      <c r="X5" s="704">
        <f t="shared" si="20"/>
        <v>79953.440000000002</v>
      </c>
      <c r="Y5" s="117">
        <f t="shared" si="21"/>
        <v>522845.42</v>
      </c>
      <c r="Z5" s="123">
        <f t="shared" si="22"/>
        <v>-2823028.1874872502</v>
      </c>
      <c r="AA5" s="98">
        <f t="shared" si="69"/>
        <v>0.15626574142848651</v>
      </c>
      <c r="AB5" s="123">
        <f t="shared" si="23"/>
        <v>1170662.8</v>
      </c>
      <c r="AC5" s="326">
        <v>3000000</v>
      </c>
      <c r="AD5" s="326">
        <f t="shared" si="25"/>
        <v>1528711.8599999999</v>
      </c>
      <c r="AE5" s="326">
        <f t="shared" si="26"/>
        <v>132441.35999999999</v>
      </c>
      <c r="AF5" s="326">
        <f t="shared" si="27"/>
        <v>1661153.22</v>
      </c>
      <c r="AG5" s="326">
        <f t="shared" si="28"/>
        <v>-1338846.78</v>
      </c>
      <c r="AH5" s="494">
        <f t="shared" si="70"/>
        <v>0.55371773999999996</v>
      </c>
      <c r="AI5" s="141">
        <f t="shared" si="29"/>
        <v>9345873.6074872501</v>
      </c>
      <c r="AJ5" s="416">
        <f>VLOOKUP(M5,trim2024,2,FALSE)</f>
        <v>5935649.6399999997</v>
      </c>
      <c r="AK5" s="326">
        <f t="shared" ref="AK5:AM5" si="75">SUM(P5,W5,AD5)</f>
        <v>2978412.34</v>
      </c>
      <c r="AL5" s="326">
        <f t="shared" si="75"/>
        <v>280178.67</v>
      </c>
      <c r="AM5" s="326">
        <f t="shared" si="75"/>
        <v>3258591.01</v>
      </c>
      <c r="AN5" s="326">
        <f t="shared" si="31"/>
        <v>-6087282.5974872503</v>
      </c>
      <c r="AO5" s="98">
        <f t="shared" si="64"/>
        <v>0.34866628277419121</v>
      </c>
      <c r="AP5" s="125">
        <f>IFERROR(VLOOKUP(M5,ARRIOLA24,6,FALSE),"")</f>
        <v>200375.36</v>
      </c>
      <c r="AQ5" s="140">
        <f t="shared" si="32"/>
        <v>635605.71</v>
      </c>
      <c r="AR5" s="123">
        <f t="shared" si="33"/>
        <v>0</v>
      </c>
      <c r="AS5" s="148">
        <f t="shared" si="34"/>
        <v>635605.71</v>
      </c>
      <c r="AT5" s="125">
        <f t="shared" si="35"/>
        <v>1174188.52</v>
      </c>
      <c r="AU5" s="140">
        <f t="shared" si="36"/>
        <v>908783.32000000007</v>
      </c>
      <c r="AV5" s="326">
        <f t="shared" si="37"/>
        <v>89070.48</v>
      </c>
      <c r="AW5" s="333">
        <f t="shared" si="38"/>
        <v>997853.8</v>
      </c>
      <c r="AX5" s="125">
        <f t="shared" si="39"/>
        <v>520900.71</v>
      </c>
      <c r="AY5" s="1041">
        <f t="shared" si="40"/>
        <v>535283.06000000006</v>
      </c>
      <c r="AZ5" s="123">
        <f t="shared" si="41"/>
        <v>37213.440000000002</v>
      </c>
      <c r="BA5" s="125">
        <f t="shared" si="42"/>
        <v>572496.5</v>
      </c>
      <c r="BB5" s="122">
        <f t="shared" ref="BB5:BD5" si="76">SUM(AY5,AU5,AQ5)</f>
        <v>2079672.09</v>
      </c>
      <c r="BC5" s="326">
        <f t="shared" si="76"/>
        <v>126283.92</v>
      </c>
      <c r="BD5" s="333">
        <f t="shared" si="76"/>
        <v>2205956.0099999998</v>
      </c>
      <c r="BE5" s="123">
        <f t="shared" si="44"/>
        <v>5184368.3499999996</v>
      </c>
      <c r="BF5" s="326">
        <f t="shared" ref="BF5:BG5" si="77">BC5+AL5</f>
        <v>406462.58999999997</v>
      </c>
      <c r="BG5" s="435">
        <f t="shared" si="77"/>
        <v>5464547.0199999996</v>
      </c>
      <c r="BH5" s="125">
        <f t="shared" si="46"/>
        <v>806608.63</v>
      </c>
      <c r="BI5" s="1041">
        <f t="shared" si="47"/>
        <v>673535.42999999993</v>
      </c>
      <c r="BJ5" s="326">
        <f t="shared" si="48"/>
        <v>213145.04</v>
      </c>
      <c r="BK5" s="1045">
        <f t="shared" si="49"/>
        <v>886680.47</v>
      </c>
      <c r="BL5" s="125">
        <f>IFERROR(VLOOKUP(M5,ARRIOLA24,10,FALSE),"")</f>
        <v>851625.79</v>
      </c>
      <c r="BM5" s="141">
        <f t="shared" si="50"/>
        <v>775373.86</v>
      </c>
      <c r="BN5" s="332">
        <f t="shared" si="51"/>
        <v>0</v>
      </c>
      <c r="BO5" s="333">
        <f t="shared" si="52"/>
        <v>775373.86</v>
      </c>
      <c r="BP5" s="125">
        <f>IFERROR(VLOOKUP(M5,ARRIOLA24,11,FALSE),"")</f>
        <v>1236783.57</v>
      </c>
      <c r="BQ5" s="140">
        <f t="shared" si="53"/>
        <v>1244202.18</v>
      </c>
      <c r="BR5" s="123">
        <f t="shared" si="54"/>
        <v>198719.6</v>
      </c>
      <c r="BS5" s="148">
        <f t="shared" si="55"/>
        <v>1442921.78</v>
      </c>
      <c r="BT5" s="140">
        <f t="shared" ref="BT5:BV5" si="78">SUM(BQ5,BM5,BI5)</f>
        <v>2693111.4699999997</v>
      </c>
      <c r="BU5" s="123">
        <f t="shared" si="78"/>
        <v>411864.64</v>
      </c>
      <c r="BV5" s="148">
        <f t="shared" si="78"/>
        <v>3104976.1100000003</v>
      </c>
      <c r="BW5" s="125">
        <f t="shared" si="57"/>
        <v>1992588.99</v>
      </c>
      <c r="BX5" s="140">
        <f t="shared" si="58"/>
        <v>1152373.6200000001</v>
      </c>
      <c r="BY5" s="123">
        <f t="shared" si="59"/>
        <v>0</v>
      </c>
      <c r="BZ5" s="148">
        <f t="shared" si="60"/>
        <v>1152373.6200000001</v>
      </c>
      <c r="CA5" s="123">
        <f t="shared" si="61"/>
        <v>1269219.48</v>
      </c>
      <c r="CB5" s="326">
        <f t="shared" si="62"/>
        <v>2673841.17</v>
      </c>
      <c r="CE5" s="1050">
        <v>0.1</v>
      </c>
      <c r="CF5" s="440">
        <v>31</v>
      </c>
      <c r="CG5" s="440">
        <v>39</v>
      </c>
      <c r="CH5" s="441">
        <v>42</v>
      </c>
      <c r="CI5" s="441">
        <v>42</v>
      </c>
      <c r="CJ5" s="441">
        <v>45</v>
      </c>
      <c r="CK5" s="441">
        <v>61</v>
      </c>
      <c r="CL5" s="1047">
        <v>61</v>
      </c>
      <c r="CM5" s="441">
        <v>40</v>
      </c>
      <c r="CN5" s="441">
        <v>42</v>
      </c>
      <c r="CO5" s="441">
        <v>43</v>
      </c>
      <c r="CP5" s="1048">
        <v>31</v>
      </c>
      <c r="CQ5" s="171"/>
      <c r="CR5" s="171"/>
      <c r="CS5" s="171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</row>
    <row r="6" spans="1:115" ht="15.75" customHeight="1">
      <c r="A6" s="436">
        <f t="shared" si="0"/>
        <v>112014254</v>
      </c>
      <c r="B6" s="93">
        <f t="shared" si="1"/>
        <v>12</v>
      </c>
      <c r="C6" s="558">
        <f t="shared" si="2"/>
        <v>0.15</v>
      </c>
      <c r="D6" s="558">
        <f t="shared" si="3"/>
        <v>0.09</v>
      </c>
      <c r="E6" s="715">
        <f t="shared" si="4"/>
        <v>0</v>
      </c>
      <c r="F6" s="701">
        <f t="shared" si="5"/>
        <v>12</v>
      </c>
      <c r="G6" s="700">
        <f t="shared" si="6"/>
        <v>0.15</v>
      </c>
      <c r="H6" s="700">
        <f t="shared" si="7"/>
        <v>0.09</v>
      </c>
      <c r="I6" s="702">
        <f t="shared" si="8"/>
        <v>0</v>
      </c>
      <c r="J6" s="837">
        <f t="shared" si="9"/>
        <v>55</v>
      </c>
      <c r="K6" s="699">
        <f t="shared" si="10"/>
        <v>0.15</v>
      </c>
      <c r="L6" s="1040">
        <f t="shared" si="11"/>
        <v>0.05</v>
      </c>
      <c r="M6" s="139" t="s">
        <v>997</v>
      </c>
      <c r="N6" s="123"/>
      <c r="O6" s="561"/>
      <c r="P6" s="704">
        <f t="shared" si="13"/>
        <v>0</v>
      </c>
      <c r="Q6" s="704" t="str">
        <f t="shared" si="14"/>
        <v>0</v>
      </c>
      <c r="R6" s="704">
        <f t="shared" si="15"/>
        <v>0</v>
      </c>
      <c r="S6" s="326">
        <f t="shared" si="16"/>
        <v>0</v>
      </c>
      <c r="T6" s="137" t="e">
        <f t="shared" si="68"/>
        <v>#DIV/0!</v>
      </c>
      <c r="U6" s="332" t="str">
        <f t="shared" si="17"/>
        <v/>
      </c>
      <c r="V6" s="141">
        <v>3000000</v>
      </c>
      <c r="W6" s="113">
        <f t="shared" si="19"/>
        <v>0</v>
      </c>
      <c r="X6" s="704" t="str">
        <f t="shared" si="20"/>
        <v>0</v>
      </c>
      <c r="Y6" s="117">
        <f t="shared" si="21"/>
        <v>0</v>
      </c>
      <c r="Z6" s="123">
        <f t="shared" si="22"/>
        <v>-3000000</v>
      </c>
      <c r="AA6" s="98">
        <f t="shared" si="69"/>
        <v>0</v>
      </c>
      <c r="AB6" s="123" t="str">
        <f t="shared" si="23"/>
        <v/>
      </c>
      <c r="AC6" s="326">
        <v>3000000</v>
      </c>
      <c r="AD6" s="326">
        <f t="shared" si="25"/>
        <v>0</v>
      </c>
      <c r="AE6" s="326" t="str">
        <f t="shared" si="26"/>
        <v>0</v>
      </c>
      <c r="AF6" s="326">
        <f t="shared" si="27"/>
        <v>0</v>
      </c>
      <c r="AG6" s="326"/>
      <c r="AH6" s="494"/>
      <c r="AI6" s="141"/>
      <c r="AJ6" s="416">
        <f>VLOOKUP(M6,trim2024,2,FALSE)</f>
        <v>4941404.04</v>
      </c>
      <c r="AK6" s="326">
        <f t="shared" ref="AK6:AM6" si="79">SUM(P6,W6,AD6)</f>
        <v>0</v>
      </c>
      <c r="AL6" s="326">
        <f t="shared" si="79"/>
        <v>0</v>
      </c>
      <c r="AM6" s="326">
        <f t="shared" si="79"/>
        <v>0</v>
      </c>
      <c r="AN6" s="326">
        <f t="shared" si="31"/>
        <v>0</v>
      </c>
      <c r="AO6" s="98" t="str">
        <f t="shared" si="64"/>
        <v/>
      </c>
      <c r="AP6" s="125"/>
      <c r="AQ6" s="140">
        <f t="shared" si="32"/>
        <v>0</v>
      </c>
      <c r="AR6" s="123" t="str">
        <f t="shared" si="33"/>
        <v>0</v>
      </c>
      <c r="AS6" s="148">
        <f t="shared" si="34"/>
        <v>0</v>
      </c>
      <c r="AT6" s="125" t="str">
        <f t="shared" si="35"/>
        <v/>
      </c>
      <c r="AU6" s="140">
        <f t="shared" si="36"/>
        <v>448813.12</v>
      </c>
      <c r="AV6" s="326" t="str">
        <f t="shared" si="37"/>
        <v>0</v>
      </c>
      <c r="AW6" s="333">
        <f t="shared" si="38"/>
        <v>448813.12</v>
      </c>
      <c r="AX6" s="125" t="str">
        <f t="shared" si="39"/>
        <v/>
      </c>
      <c r="AY6" s="1041">
        <f t="shared" si="40"/>
        <v>327550.34999999998</v>
      </c>
      <c r="AZ6" s="123" t="str">
        <f t="shared" si="41"/>
        <v>0</v>
      </c>
      <c r="BA6" s="125">
        <f t="shared" si="42"/>
        <v>327550.34999999998</v>
      </c>
      <c r="BB6" s="122">
        <f t="shared" ref="BB6:BD6" si="80">SUM(AY6,AU6,AQ6)</f>
        <v>776363.47</v>
      </c>
      <c r="BC6" s="326">
        <f t="shared" si="80"/>
        <v>0</v>
      </c>
      <c r="BD6" s="333">
        <f t="shared" si="80"/>
        <v>776363.47</v>
      </c>
      <c r="BE6" s="123">
        <f t="shared" si="44"/>
        <v>776363.47</v>
      </c>
      <c r="BF6" s="326">
        <f t="shared" ref="BF6:BG6" si="81">BC6+AL6</f>
        <v>0</v>
      </c>
      <c r="BG6" s="435">
        <f t="shared" si="81"/>
        <v>776363.47</v>
      </c>
      <c r="BH6" s="125" t="str">
        <f t="shared" si="46"/>
        <v/>
      </c>
      <c r="BI6" s="1041">
        <f t="shared" si="47"/>
        <v>1277865.8700000001</v>
      </c>
      <c r="BJ6" s="326" t="str">
        <f t="shared" si="48"/>
        <v>0</v>
      </c>
      <c r="BK6" s="1045">
        <f t="shared" si="49"/>
        <v>1277865.8700000001</v>
      </c>
      <c r="BL6" s="125"/>
      <c r="BM6" s="141">
        <f t="shared" si="50"/>
        <v>589565.15</v>
      </c>
      <c r="BN6" s="332" t="str">
        <f t="shared" si="51"/>
        <v>0</v>
      </c>
      <c r="BO6" s="333">
        <f t="shared" si="52"/>
        <v>589565.15</v>
      </c>
      <c r="BP6" s="125"/>
      <c r="BQ6" s="140">
        <f t="shared" si="53"/>
        <v>1267220.74</v>
      </c>
      <c r="BR6" s="123" t="str">
        <f t="shared" si="54"/>
        <v>0</v>
      </c>
      <c r="BS6" s="148">
        <f t="shared" si="55"/>
        <v>1267220.74</v>
      </c>
      <c r="BT6" s="140">
        <f t="shared" ref="BT6:BV6" si="82">SUM(BQ6,BM6,BI6)</f>
        <v>3134651.7600000002</v>
      </c>
      <c r="BU6" s="123">
        <f t="shared" si="82"/>
        <v>0</v>
      </c>
      <c r="BV6" s="148">
        <f t="shared" si="82"/>
        <v>3134651.7600000002</v>
      </c>
      <c r="BW6" s="125" t="str">
        <f t="shared" si="57"/>
        <v/>
      </c>
      <c r="BX6" s="140">
        <f t="shared" si="58"/>
        <v>1129154.6599999999</v>
      </c>
      <c r="BY6" s="123" t="str">
        <f t="shared" si="59"/>
        <v>0</v>
      </c>
      <c r="BZ6" s="148">
        <f t="shared" si="60"/>
        <v>1129154.6599999999</v>
      </c>
      <c r="CA6" s="123" t="str">
        <f t="shared" si="61"/>
        <v/>
      </c>
      <c r="CB6" s="326" t="str">
        <f t="shared" si="62"/>
        <v/>
      </c>
      <c r="CE6" s="1051">
        <v>0.05</v>
      </c>
      <c r="CF6" s="324"/>
      <c r="CG6" s="449">
        <v>6</v>
      </c>
      <c r="CH6" s="169">
        <v>6</v>
      </c>
      <c r="CI6" s="169">
        <v>6</v>
      </c>
      <c r="CJ6" s="169">
        <v>6</v>
      </c>
      <c r="CK6" s="138">
        <v>11</v>
      </c>
      <c r="CL6" s="1052">
        <v>10</v>
      </c>
      <c r="CM6" s="436"/>
      <c r="CN6" s="436"/>
      <c r="CO6" s="436"/>
      <c r="CP6" s="424"/>
      <c r="CQ6" s="455"/>
      <c r="CR6" s="455"/>
      <c r="CS6" s="455"/>
      <c r="CT6" s="455"/>
      <c r="CU6" s="455"/>
      <c r="CV6" s="455"/>
      <c r="CW6" s="455"/>
      <c r="CX6" s="455"/>
      <c r="CY6" s="455"/>
      <c r="CZ6" s="455"/>
      <c r="DA6" s="455"/>
      <c r="DB6" s="455"/>
      <c r="DC6" s="455"/>
      <c r="DD6" s="455"/>
      <c r="DE6" s="455"/>
      <c r="DF6" s="455"/>
      <c r="DG6" s="455"/>
      <c r="DH6" s="455"/>
      <c r="DI6" s="455"/>
      <c r="DJ6" s="455"/>
      <c r="DK6" s="455"/>
    </row>
    <row r="7" spans="1:115" ht="15.75" customHeight="1">
      <c r="A7" s="436">
        <f t="shared" si="0"/>
        <v>112013506</v>
      </c>
      <c r="B7" s="93">
        <f t="shared" si="1"/>
        <v>12</v>
      </c>
      <c r="C7" s="558">
        <f t="shared" si="2"/>
        <v>0.15</v>
      </c>
      <c r="D7" s="558">
        <f t="shared" si="3"/>
        <v>0.09</v>
      </c>
      <c r="E7" s="715">
        <f t="shared" si="4"/>
        <v>0</v>
      </c>
      <c r="F7" s="701">
        <f t="shared" si="5"/>
        <v>12</v>
      </c>
      <c r="G7" s="700">
        <f t="shared" si="6"/>
        <v>0.15</v>
      </c>
      <c r="H7" s="700">
        <f t="shared" si="7"/>
        <v>0.09</v>
      </c>
      <c r="I7" s="702">
        <f t="shared" si="8"/>
        <v>0</v>
      </c>
      <c r="J7" s="837">
        <f t="shared" si="9"/>
        <v>55</v>
      </c>
      <c r="K7" s="699">
        <f t="shared" si="10"/>
        <v>0.15</v>
      </c>
      <c r="L7" s="1040">
        <f t="shared" si="11"/>
        <v>0.05</v>
      </c>
      <c r="M7" s="139" t="s">
        <v>998</v>
      </c>
      <c r="N7" s="123" t="str">
        <f>IFERROR(VLOOKUP(M7,ARRIOLA24,3,FALSE),"")</f>
        <v/>
      </c>
      <c r="O7" s="561">
        <v>3000000</v>
      </c>
      <c r="P7" s="704">
        <f t="shared" si="13"/>
        <v>2861406.09</v>
      </c>
      <c r="Q7" s="704" t="str">
        <f t="shared" si="14"/>
        <v>0</v>
      </c>
      <c r="R7" s="704">
        <f t="shared" si="15"/>
        <v>2861406.09</v>
      </c>
      <c r="S7" s="326">
        <f t="shared" si="16"/>
        <v>-138593.91000000015</v>
      </c>
      <c r="T7" s="137">
        <f t="shared" si="68"/>
        <v>0.95380202999999997</v>
      </c>
      <c r="U7" s="332" t="str">
        <f t="shared" si="17"/>
        <v/>
      </c>
      <c r="V7" s="141">
        <v>3000000</v>
      </c>
      <c r="W7" s="113">
        <f t="shared" si="19"/>
        <v>2370004.4</v>
      </c>
      <c r="X7" s="704" t="str">
        <f t="shared" si="20"/>
        <v>0</v>
      </c>
      <c r="Y7" s="117">
        <f t="shared" si="21"/>
        <v>2370004.4</v>
      </c>
      <c r="Z7" s="123">
        <f t="shared" si="22"/>
        <v>-629995.60000000009</v>
      </c>
      <c r="AA7" s="98">
        <f t="shared" si="69"/>
        <v>0.7900014666666666</v>
      </c>
      <c r="AB7" s="123" t="str">
        <f t="shared" si="23"/>
        <v/>
      </c>
      <c r="AC7" s="326">
        <v>3000000</v>
      </c>
      <c r="AD7" s="326">
        <f t="shared" si="25"/>
        <v>0</v>
      </c>
      <c r="AE7" s="326" t="str">
        <f t="shared" si="26"/>
        <v>0</v>
      </c>
      <c r="AF7" s="326">
        <f t="shared" si="27"/>
        <v>0</v>
      </c>
      <c r="AG7" s="326">
        <f t="shared" ref="AG7:AG41" si="83">AF7-AC7</f>
        <v>-3000000</v>
      </c>
      <c r="AH7" s="494">
        <f t="shared" ref="AH7:AH27" si="84">AF7/AC7</f>
        <v>0</v>
      </c>
      <c r="AI7" s="141">
        <f t="shared" ref="AI7:AI41" si="85">SUM(O7,V7,AC7)</f>
        <v>9000000</v>
      </c>
      <c r="AJ7" s="416" t="str">
        <f>IFERROR(VLOOKUP(M7,trim2024,2,FALSE),"0")</f>
        <v>0</v>
      </c>
      <c r="AK7" s="326">
        <f t="shared" ref="AK7:AM7" si="86">SUM(P7,W7,AD7)</f>
        <v>5231410.49</v>
      </c>
      <c r="AL7" s="326">
        <f t="shared" si="86"/>
        <v>0</v>
      </c>
      <c r="AM7" s="326">
        <f t="shared" si="86"/>
        <v>5231410.49</v>
      </c>
      <c r="AN7" s="326">
        <f t="shared" si="31"/>
        <v>-3768589.51</v>
      </c>
      <c r="AO7" s="98">
        <f t="shared" si="64"/>
        <v>0.58126783222222222</v>
      </c>
      <c r="AP7" s="125" t="str">
        <f>IFERROR(VLOOKUP(M7,ARRIOLA24,6,FALSE),"")</f>
        <v/>
      </c>
      <c r="AQ7" s="140">
        <f t="shared" si="32"/>
        <v>475091.52</v>
      </c>
      <c r="AR7" s="123" t="str">
        <f t="shared" si="33"/>
        <v>0</v>
      </c>
      <c r="AS7" s="148">
        <f t="shared" si="34"/>
        <v>475091.52</v>
      </c>
      <c r="AT7" s="125" t="str">
        <f t="shared" si="35"/>
        <v/>
      </c>
      <c r="AU7" s="140">
        <f t="shared" si="36"/>
        <v>0</v>
      </c>
      <c r="AV7" s="326" t="str">
        <f t="shared" si="37"/>
        <v>0</v>
      </c>
      <c r="AW7" s="333">
        <f t="shared" si="38"/>
        <v>0</v>
      </c>
      <c r="AX7" s="125" t="str">
        <f t="shared" si="39"/>
        <v/>
      </c>
      <c r="AY7" s="1041">
        <f t="shared" si="40"/>
        <v>0</v>
      </c>
      <c r="AZ7" s="123" t="str">
        <f t="shared" si="41"/>
        <v>0</v>
      </c>
      <c r="BA7" s="125">
        <f t="shared" si="42"/>
        <v>0</v>
      </c>
      <c r="BB7" s="122">
        <f t="shared" ref="BB7:BD7" si="87">SUM(AY7,AU7,AQ7)</f>
        <v>475091.52</v>
      </c>
      <c r="BC7" s="326">
        <f t="shared" si="87"/>
        <v>0</v>
      </c>
      <c r="BD7" s="333">
        <f t="shared" si="87"/>
        <v>475091.52</v>
      </c>
      <c r="BE7" s="123">
        <f t="shared" si="44"/>
        <v>5706502.0099999998</v>
      </c>
      <c r="BF7" s="326">
        <f t="shared" ref="BF7:BG7" si="88">BC7+AL7</f>
        <v>0</v>
      </c>
      <c r="BG7" s="435">
        <f t="shared" si="88"/>
        <v>5706502.0099999998</v>
      </c>
      <c r="BH7" s="125" t="str">
        <f t="shared" si="46"/>
        <v/>
      </c>
      <c r="BI7" s="1041">
        <f t="shared" si="47"/>
        <v>0</v>
      </c>
      <c r="BJ7" s="326" t="str">
        <f t="shared" si="48"/>
        <v>0</v>
      </c>
      <c r="BK7" s="1045">
        <f t="shared" si="49"/>
        <v>0</v>
      </c>
      <c r="BL7" s="125" t="str">
        <f>IFERROR(VLOOKUP(M7,ARRIOLA24,10,FALSE),"")</f>
        <v/>
      </c>
      <c r="BM7" s="141">
        <f t="shared" si="50"/>
        <v>0</v>
      </c>
      <c r="BN7" s="332" t="str">
        <f t="shared" si="51"/>
        <v>0</v>
      </c>
      <c r="BO7" s="333">
        <f t="shared" si="52"/>
        <v>0</v>
      </c>
      <c r="BP7" s="125" t="str">
        <f>IFERROR(VLOOKUP(M7,ARRIOLA24,11,FALSE),"")</f>
        <v/>
      </c>
      <c r="BQ7" s="140">
        <f t="shared" si="53"/>
        <v>0</v>
      </c>
      <c r="BR7" s="123" t="str">
        <f t="shared" si="54"/>
        <v>0</v>
      </c>
      <c r="BS7" s="148">
        <f t="shared" si="55"/>
        <v>0</v>
      </c>
      <c r="BT7" s="140">
        <f t="shared" ref="BT7:BV7" si="89">SUM(BQ7,BM7,BI7)</f>
        <v>0</v>
      </c>
      <c r="BU7" s="123">
        <f t="shared" si="89"/>
        <v>0</v>
      </c>
      <c r="BV7" s="148">
        <f t="shared" si="89"/>
        <v>0</v>
      </c>
      <c r="BW7" s="125" t="str">
        <f t="shared" si="57"/>
        <v/>
      </c>
      <c r="BX7" s="140">
        <f t="shared" si="58"/>
        <v>0</v>
      </c>
      <c r="BY7" s="123" t="str">
        <f t="shared" si="59"/>
        <v>0</v>
      </c>
      <c r="BZ7" s="148">
        <f t="shared" si="60"/>
        <v>0</v>
      </c>
      <c r="CA7" s="123" t="str">
        <f t="shared" si="61"/>
        <v/>
      </c>
      <c r="CB7" s="326" t="str">
        <f t="shared" si="62"/>
        <v/>
      </c>
      <c r="CE7" s="1053" t="s">
        <v>4</v>
      </c>
      <c r="CF7" s="453">
        <v>58</v>
      </c>
      <c r="CG7" s="453">
        <v>48</v>
      </c>
      <c r="CH7" s="178">
        <v>48</v>
      </c>
      <c r="CI7" s="178">
        <v>48</v>
      </c>
      <c r="CJ7" s="178">
        <v>48</v>
      </c>
      <c r="CK7" s="178">
        <v>36</v>
      </c>
      <c r="CL7" s="1054">
        <v>35</v>
      </c>
      <c r="CM7" s="178">
        <v>74</v>
      </c>
      <c r="CN7" s="169">
        <v>74</v>
      </c>
      <c r="CO7" s="169">
        <v>73</v>
      </c>
      <c r="CP7" s="450">
        <v>58</v>
      </c>
    </row>
    <row r="8" spans="1:115" ht="15.75" customHeight="1">
      <c r="A8" s="436">
        <f t="shared" si="0"/>
        <v>112014480</v>
      </c>
      <c r="B8" s="93">
        <f t="shared" si="1"/>
        <v>12</v>
      </c>
      <c r="C8" s="558">
        <f t="shared" si="2"/>
        <v>0.15</v>
      </c>
      <c r="D8" s="558">
        <f t="shared" si="3"/>
        <v>0.09</v>
      </c>
      <c r="E8" s="715">
        <f t="shared" si="4"/>
        <v>0</v>
      </c>
      <c r="F8" s="701">
        <f t="shared" si="5"/>
        <v>12</v>
      </c>
      <c r="G8" s="700">
        <f t="shared" si="6"/>
        <v>0.15</v>
      </c>
      <c r="H8" s="700">
        <f t="shared" si="7"/>
        <v>0.09</v>
      </c>
      <c r="I8" s="702">
        <f t="shared" si="8"/>
        <v>0</v>
      </c>
      <c r="J8" s="837">
        <f t="shared" si="9"/>
        <v>55</v>
      </c>
      <c r="K8" s="699">
        <f t="shared" si="10"/>
        <v>0.15</v>
      </c>
      <c r="L8" s="1040">
        <f t="shared" si="11"/>
        <v>0.05</v>
      </c>
      <c r="M8" s="139" t="s">
        <v>999</v>
      </c>
      <c r="N8" s="123">
        <f>IFERROR(VLOOKUP(M8,ARRIOLA24,3,FALSE),"")</f>
        <v>0</v>
      </c>
      <c r="O8" s="561">
        <v>3000000</v>
      </c>
      <c r="P8" s="704">
        <f t="shared" si="13"/>
        <v>0</v>
      </c>
      <c r="Q8" s="704" t="str">
        <f t="shared" si="14"/>
        <v>0</v>
      </c>
      <c r="R8" s="704">
        <f t="shared" si="15"/>
        <v>0</v>
      </c>
      <c r="S8" s="326">
        <f t="shared" si="16"/>
        <v>-3000000</v>
      </c>
      <c r="T8" s="137">
        <f t="shared" si="68"/>
        <v>0</v>
      </c>
      <c r="U8" s="332">
        <f t="shared" si="17"/>
        <v>0</v>
      </c>
      <c r="V8" s="141">
        <v>3000000</v>
      </c>
      <c r="W8" s="113">
        <f t="shared" si="19"/>
        <v>0</v>
      </c>
      <c r="X8" s="704" t="str">
        <f t="shared" si="20"/>
        <v>0</v>
      </c>
      <c r="Y8" s="117">
        <f t="shared" si="21"/>
        <v>0</v>
      </c>
      <c r="Z8" s="123">
        <f t="shared" si="22"/>
        <v>-3000000</v>
      </c>
      <c r="AA8" s="98">
        <f t="shared" si="69"/>
        <v>0</v>
      </c>
      <c r="AB8" s="123">
        <f t="shared" si="23"/>
        <v>0</v>
      </c>
      <c r="AC8" s="326">
        <v>3000000</v>
      </c>
      <c r="AD8" s="326">
        <f t="shared" si="25"/>
        <v>451419.99</v>
      </c>
      <c r="AE8" s="326" t="str">
        <f t="shared" si="26"/>
        <v>0</v>
      </c>
      <c r="AF8" s="326">
        <f t="shared" si="27"/>
        <v>451419.99</v>
      </c>
      <c r="AG8" s="326">
        <f t="shared" si="83"/>
        <v>-2548580.0099999998</v>
      </c>
      <c r="AH8" s="494">
        <f t="shared" si="84"/>
        <v>0.15047332999999999</v>
      </c>
      <c r="AI8" s="141">
        <f t="shared" si="85"/>
        <v>9000000</v>
      </c>
      <c r="AJ8" s="416">
        <f>IFERROR(VLOOKUP(M8,trim2024,2,FALSE),"0")</f>
        <v>2912390.59</v>
      </c>
      <c r="AK8" s="326">
        <f t="shared" ref="AK8:AM8" si="90">SUM(P8,W8,AD8)</f>
        <v>451419.99</v>
      </c>
      <c r="AL8" s="326">
        <f t="shared" si="90"/>
        <v>0</v>
      </c>
      <c r="AM8" s="326">
        <f t="shared" si="90"/>
        <v>451419.99</v>
      </c>
      <c r="AN8" s="326">
        <f t="shared" si="31"/>
        <v>-8548580.0099999998</v>
      </c>
      <c r="AO8" s="98">
        <f>AM8/AI8</f>
        <v>5.0157776666666667E-2</v>
      </c>
      <c r="AP8" s="125">
        <f>IFERROR(VLOOKUP(M8,ARRIOLA24,6,FALSE),"")</f>
        <v>0</v>
      </c>
      <c r="AQ8" s="140">
        <f t="shared" si="32"/>
        <v>1533749.58</v>
      </c>
      <c r="AR8" s="123" t="str">
        <f t="shared" si="33"/>
        <v>0</v>
      </c>
      <c r="AS8" s="148">
        <f t="shared" si="34"/>
        <v>1533749.58</v>
      </c>
      <c r="AT8" s="125">
        <f t="shared" si="35"/>
        <v>0</v>
      </c>
      <c r="AU8" s="140">
        <f t="shared" si="36"/>
        <v>1013089.5</v>
      </c>
      <c r="AV8" s="326" t="str">
        <f t="shared" si="37"/>
        <v>0</v>
      </c>
      <c r="AW8" s="333">
        <f t="shared" si="38"/>
        <v>1013089.5</v>
      </c>
      <c r="AX8" s="125">
        <f t="shared" si="39"/>
        <v>0</v>
      </c>
      <c r="AY8" s="1041">
        <f t="shared" si="40"/>
        <v>1686376.76</v>
      </c>
      <c r="AZ8" s="123" t="str">
        <f t="shared" si="41"/>
        <v>0</v>
      </c>
      <c r="BA8" s="125">
        <f t="shared" si="42"/>
        <v>1686376.76</v>
      </c>
      <c r="BB8" s="122">
        <f t="shared" ref="BB8:BD8" si="91">SUM(AY8,AU8,AQ8)</f>
        <v>4233215.84</v>
      </c>
      <c r="BC8" s="326">
        <f t="shared" si="91"/>
        <v>0</v>
      </c>
      <c r="BD8" s="333">
        <f t="shared" si="91"/>
        <v>4233215.84</v>
      </c>
      <c r="BE8" s="123">
        <f t="shared" si="44"/>
        <v>4684635.83</v>
      </c>
      <c r="BF8" s="326">
        <f t="shared" ref="BF8:BG8" si="92">BC8+AL8</f>
        <v>0</v>
      </c>
      <c r="BG8" s="435">
        <f t="shared" si="92"/>
        <v>4684635.83</v>
      </c>
      <c r="BH8" s="125">
        <f t="shared" si="46"/>
        <v>2032336.25</v>
      </c>
      <c r="BI8" s="1041">
        <f t="shared" si="47"/>
        <v>0</v>
      </c>
      <c r="BJ8" s="326" t="str">
        <f t="shared" si="48"/>
        <v>0</v>
      </c>
      <c r="BK8" s="1045">
        <f t="shared" si="49"/>
        <v>0</v>
      </c>
      <c r="BL8" s="125">
        <f>IFERROR(VLOOKUP(M8,ARRIOLA24,10,FALSE),"")</f>
        <v>1438155.84</v>
      </c>
      <c r="BM8" s="141">
        <f t="shared" si="50"/>
        <v>748524</v>
      </c>
      <c r="BN8" s="332" t="str">
        <f t="shared" si="51"/>
        <v>0</v>
      </c>
      <c r="BO8" s="333">
        <f t="shared" si="52"/>
        <v>748524</v>
      </c>
      <c r="BP8" s="125">
        <f>IFERROR(VLOOKUP(M8,ARRIOLA24,11,FALSE),"")</f>
        <v>2184375.4500000002</v>
      </c>
      <c r="BQ8" s="140">
        <f t="shared" si="53"/>
        <v>0</v>
      </c>
      <c r="BR8" s="123" t="str">
        <f t="shared" si="54"/>
        <v>0</v>
      </c>
      <c r="BS8" s="148">
        <f t="shared" si="55"/>
        <v>0</v>
      </c>
      <c r="BT8" s="140">
        <f t="shared" ref="BT8:BV8" si="93">SUM(BQ8,BM8,BI8)</f>
        <v>748524</v>
      </c>
      <c r="BU8" s="123">
        <f t="shared" si="93"/>
        <v>0</v>
      </c>
      <c r="BV8" s="148">
        <f t="shared" si="93"/>
        <v>748524</v>
      </c>
      <c r="BW8" s="125">
        <f t="shared" si="57"/>
        <v>603416.44999999995</v>
      </c>
      <c r="BX8" s="140">
        <f t="shared" si="58"/>
        <v>0</v>
      </c>
      <c r="BY8" s="123" t="str">
        <f t="shared" si="59"/>
        <v>0</v>
      </c>
      <c r="BZ8" s="148">
        <f t="shared" si="60"/>
        <v>0</v>
      </c>
      <c r="CA8" s="123">
        <f t="shared" si="61"/>
        <v>759486.87</v>
      </c>
      <c r="CB8" s="326">
        <f t="shared" si="62"/>
        <v>1549487.27</v>
      </c>
      <c r="CE8" s="1055" t="s">
        <v>17</v>
      </c>
      <c r="CF8" s="1056">
        <f t="shared" ref="CF8:CP8" si="94">SUM(CF2:CF7)</f>
        <v>96</v>
      </c>
      <c r="CG8" s="1056">
        <f t="shared" si="94"/>
        <v>110</v>
      </c>
      <c r="CH8" s="1057">
        <f t="shared" si="94"/>
        <v>111</v>
      </c>
      <c r="CI8" s="1057">
        <f t="shared" si="94"/>
        <v>111</v>
      </c>
      <c r="CJ8" s="1057">
        <f t="shared" si="94"/>
        <v>114</v>
      </c>
      <c r="CK8" s="1057">
        <f t="shared" si="94"/>
        <v>124</v>
      </c>
      <c r="CL8" s="1058">
        <f t="shared" si="94"/>
        <v>124</v>
      </c>
      <c r="CM8" s="185">
        <f t="shared" si="94"/>
        <v>125</v>
      </c>
      <c r="CN8" s="185">
        <f t="shared" si="94"/>
        <v>126</v>
      </c>
      <c r="CO8" s="185">
        <f t="shared" si="94"/>
        <v>126</v>
      </c>
      <c r="CP8" s="184">
        <f t="shared" si="94"/>
        <v>96</v>
      </c>
    </row>
    <row r="9" spans="1:115" ht="15.75" customHeight="1">
      <c r="A9" s="436">
        <f t="shared" si="0"/>
        <v>112013137</v>
      </c>
      <c r="B9" s="93">
        <f t="shared" si="1"/>
        <v>12</v>
      </c>
      <c r="C9" s="558">
        <f t="shared" si="2"/>
        <v>0.15</v>
      </c>
      <c r="D9" s="558">
        <f t="shared" si="3"/>
        <v>0.09</v>
      </c>
      <c r="E9" s="715">
        <f t="shared" si="4"/>
        <v>0</v>
      </c>
      <c r="F9" s="701">
        <f t="shared" si="5"/>
        <v>22</v>
      </c>
      <c r="G9" s="700">
        <f t="shared" si="6"/>
        <v>0.1</v>
      </c>
      <c r="H9" s="700">
        <f t="shared" si="7"/>
        <v>0.09</v>
      </c>
      <c r="I9" s="702">
        <f t="shared" si="8"/>
        <v>0</v>
      </c>
      <c r="J9" s="837">
        <f t="shared" si="9"/>
        <v>63</v>
      </c>
      <c r="K9" s="699">
        <f t="shared" si="10"/>
        <v>0.1</v>
      </c>
      <c r="L9" s="1040">
        <f t="shared" si="11"/>
        <v>0.05</v>
      </c>
      <c r="M9" s="139" t="s">
        <v>1000</v>
      </c>
      <c r="N9" s="123"/>
      <c r="O9" s="326"/>
      <c r="P9" s="704">
        <f t="shared" si="13"/>
        <v>0</v>
      </c>
      <c r="Q9" s="704" t="str">
        <f t="shared" si="14"/>
        <v>0</v>
      </c>
      <c r="R9" s="704">
        <f t="shared" si="15"/>
        <v>0</v>
      </c>
      <c r="S9" s="326">
        <f t="shared" si="16"/>
        <v>0</v>
      </c>
      <c r="T9" s="137" t="e">
        <f t="shared" si="68"/>
        <v>#DIV/0!</v>
      </c>
      <c r="U9" s="332">
        <f t="shared" si="17"/>
        <v>0</v>
      </c>
      <c r="V9" s="141">
        <v>3000000</v>
      </c>
      <c r="W9" s="113">
        <f t="shared" si="19"/>
        <v>0</v>
      </c>
      <c r="X9" s="704" t="str">
        <f t="shared" si="20"/>
        <v>0</v>
      </c>
      <c r="Y9" s="117">
        <f t="shared" si="21"/>
        <v>0</v>
      </c>
      <c r="Z9" s="123">
        <f t="shared" si="22"/>
        <v>-3000000</v>
      </c>
      <c r="AA9" s="98">
        <f t="shared" si="69"/>
        <v>0</v>
      </c>
      <c r="AB9" s="123">
        <f t="shared" si="23"/>
        <v>21200.49</v>
      </c>
      <c r="AC9" s="326">
        <v>3000000</v>
      </c>
      <c r="AD9" s="326">
        <f t="shared" si="25"/>
        <v>0</v>
      </c>
      <c r="AE9" s="326" t="str">
        <f t="shared" si="26"/>
        <v>0</v>
      </c>
      <c r="AF9" s="326">
        <f t="shared" si="27"/>
        <v>0</v>
      </c>
      <c r="AG9" s="326">
        <f t="shared" si="83"/>
        <v>-3000000</v>
      </c>
      <c r="AH9" s="494">
        <f t="shared" si="84"/>
        <v>0</v>
      </c>
      <c r="AI9" s="141">
        <f t="shared" si="85"/>
        <v>6000000</v>
      </c>
      <c r="AJ9" s="416">
        <f>VLOOKUP(M9,trim2024,2,FALSE)</f>
        <v>56582</v>
      </c>
      <c r="AK9" s="326">
        <f t="shared" ref="AK9:AM9" si="95">SUM(P9,W9,AD9)</f>
        <v>0</v>
      </c>
      <c r="AL9" s="326">
        <f t="shared" si="95"/>
        <v>0</v>
      </c>
      <c r="AM9" s="326">
        <f t="shared" si="95"/>
        <v>0</v>
      </c>
      <c r="AN9" s="326">
        <f t="shared" si="31"/>
        <v>-6000000</v>
      </c>
      <c r="AO9" s="98">
        <f t="shared" ref="AO9:AO10" si="96">IFERROR(AM9/AI9,"")</f>
        <v>0</v>
      </c>
      <c r="AP9" s="125"/>
      <c r="AQ9" s="140">
        <f t="shared" si="32"/>
        <v>0</v>
      </c>
      <c r="AR9" s="123" t="str">
        <f t="shared" si="33"/>
        <v>0</v>
      </c>
      <c r="AS9" s="148">
        <f t="shared" si="34"/>
        <v>0</v>
      </c>
      <c r="AT9" s="125">
        <f t="shared" si="35"/>
        <v>0</v>
      </c>
      <c r="AU9" s="140">
        <f t="shared" si="36"/>
        <v>0</v>
      </c>
      <c r="AV9" s="326" t="str">
        <f t="shared" si="37"/>
        <v>0</v>
      </c>
      <c r="AW9" s="333">
        <f t="shared" si="38"/>
        <v>0</v>
      </c>
      <c r="AX9" s="125">
        <f t="shared" si="39"/>
        <v>0</v>
      </c>
      <c r="AY9" s="1041">
        <f t="shared" si="40"/>
        <v>636239.28</v>
      </c>
      <c r="AZ9" s="123" t="str">
        <f t="shared" si="41"/>
        <v>0</v>
      </c>
      <c r="BA9" s="125">
        <f t="shared" si="42"/>
        <v>636239.28</v>
      </c>
      <c r="BB9" s="122">
        <f t="shared" ref="BB9:BD9" si="97">SUM(AY9,AU9,AQ9)</f>
        <v>636239.28</v>
      </c>
      <c r="BC9" s="326">
        <f t="shared" si="97"/>
        <v>0</v>
      </c>
      <c r="BD9" s="333">
        <f t="shared" si="97"/>
        <v>636239.28</v>
      </c>
      <c r="BE9" s="123">
        <f t="shared" si="44"/>
        <v>636239.28</v>
      </c>
      <c r="BF9" s="326">
        <f t="shared" ref="BF9:BG9" si="98">BC9+AL9</f>
        <v>0</v>
      </c>
      <c r="BG9" s="435">
        <f t="shared" si="98"/>
        <v>636239.28</v>
      </c>
      <c r="BH9" s="125">
        <f t="shared" si="46"/>
        <v>0</v>
      </c>
      <c r="BI9" s="1041">
        <f t="shared" si="47"/>
        <v>0</v>
      </c>
      <c r="BJ9" s="326" t="str">
        <f t="shared" si="48"/>
        <v>0</v>
      </c>
      <c r="BK9" s="1045">
        <f t="shared" si="49"/>
        <v>0</v>
      </c>
      <c r="BL9" s="125"/>
      <c r="BM9" s="141">
        <f t="shared" si="50"/>
        <v>178962.43</v>
      </c>
      <c r="BN9" s="332" t="str">
        <f t="shared" si="51"/>
        <v>0</v>
      </c>
      <c r="BO9" s="333">
        <f t="shared" si="52"/>
        <v>178962.43</v>
      </c>
      <c r="BP9" s="125"/>
      <c r="BQ9" s="140">
        <f t="shared" si="53"/>
        <v>22842.19</v>
      </c>
      <c r="BR9" s="123" t="str">
        <f t="shared" si="54"/>
        <v>0</v>
      </c>
      <c r="BS9" s="148">
        <f t="shared" si="55"/>
        <v>22842.19</v>
      </c>
      <c r="BT9" s="140">
        <f t="shared" ref="BT9:BV9" si="99">SUM(BQ9,BM9,BI9)</f>
        <v>201804.62</v>
      </c>
      <c r="BU9" s="123">
        <f t="shared" si="99"/>
        <v>0</v>
      </c>
      <c r="BV9" s="148">
        <f t="shared" si="99"/>
        <v>201804.62</v>
      </c>
      <c r="BW9" s="125">
        <f t="shared" si="57"/>
        <v>0</v>
      </c>
      <c r="BX9" s="140">
        <f t="shared" si="58"/>
        <v>0</v>
      </c>
      <c r="BY9" s="123" t="str">
        <f t="shared" si="59"/>
        <v>0</v>
      </c>
      <c r="BZ9" s="148">
        <f t="shared" si="60"/>
        <v>0</v>
      </c>
      <c r="CA9" s="123">
        <f t="shared" si="61"/>
        <v>0</v>
      </c>
      <c r="CB9" s="326">
        <f t="shared" si="62"/>
        <v>56582</v>
      </c>
    </row>
    <row r="10" spans="1:115" ht="15.75" customHeight="1">
      <c r="A10" s="436">
        <f t="shared" si="0"/>
        <v>112013300</v>
      </c>
      <c r="B10" s="93">
        <f t="shared" si="1"/>
        <v>12</v>
      </c>
      <c r="C10" s="558">
        <f t="shared" si="2"/>
        <v>0.15</v>
      </c>
      <c r="D10" s="558">
        <f t="shared" si="3"/>
        <v>0.09</v>
      </c>
      <c r="E10" s="715">
        <f t="shared" si="4"/>
        <v>0</v>
      </c>
      <c r="F10" s="701">
        <f t="shared" si="5"/>
        <v>22</v>
      </c>
      <c r="G10" s="700">
        <f t="shared" si="6"/>
        <v>0.1</v>
      </c>
      <c r="H10" s="700">
        <f t="shared" si="7"/>
        <v>0.09</v>
      </c>
      <c r="I10" s="702">
        <f t="shared" si="8"/>
        <v>0</v>
      </c>
      <c r="J10" s="837">
        <f t="shared" si="9"/>
        <v>63</v>
      </c>
      <c r="K10" s="699">
        <f t="shared" si="10"/>
        <v>0.1</v>
      </c>
      <c r="L10" s="1040">
        <f t="shared" si="11"/>
        <v>0.05</v>
      </c>
      <c r="M10" s="139" t="s">
        <v>1001</v>
      </c>
      <c r="N10" s="123">
        <f t="shared" ref="N10:N30" si="100">IFERROR(VLOOKUP(M10,ARRIOLA24,3,FALSE),"")</f>
        <v>0</v>
      </c>
      <c r="O10" s="561">
        <v>3000000</v>
      </c>
      <c r="P10" s="704">
        <f t="shared" si="13"/>
        <v>1070671.28</v>
      </c>
      <c r="Q10" s="704" t="str">
        <f t="shared" si="14"/>
        <v>0</v>
      </c>
      <c r="R10" s="704">
        <f t="shared" si="15"/>
        <v>1070671.28</v>
      </c>
      <c r="S10" s="326">
        <f t="shared" si="16"/>
        <v>-1929328.72</v>
      </c>
      <c r="T10" s="137">
        <f t="shared" si="68"/>
        <v>0.35689042666666665</v>
      </c>
      <c r="U10" s="332">
        <f t="shared" si="17"/>
        <v>0</v>
      </c>
      <c r="V10" s="141">
        <v>3000000</v>
      </c>
      <c r="W10" s="113">
        <f t="shared" si="19"/>
        <v>0</v>
      </c>
      <c r="X10" s="704" t="str">
        <f t="shared" si="20"/>
        <v>0</v>
      </c>
      <c r="Y10" s="117">
        <f t="shared" si="21"/>
        <v>0</v>
      </c>
      <c r="Z10" s="123">
        <f t="shared" si="22"/>
        <v>-3000000</v>
      </c>
      <c r="AA10" s="98">
        <f t="shared" si="69"/>
        <v>0</v>
      </c>
      <c r="AB10" s="123">
        <f t="shared" si="23"/>
        <v>0</v>
      </c>
      <c r="AC10" s="326">
        <v>3000000</v>
      </c>
      <c r="AD10" s="326">
        <f t="shared" si="25"/>
        <v>0</v>
      </c>
      <c r="AE10" s="326" t="str">
        <f t="shared" si="26"/>
        <v>0</v>
      </c>
      <c r="AF10" s="326">
        <f t="shared" si="27"/>
        <v>0</v>
      </c>
      <c r="AG10" s="326">
        <f t="shared" si="83"/>
        <v>-3000000</v>
      </c>
      <c r="AH10" s="494">
        <f t="shared" si="84"/>
        <v>0</v>
      </c>
      <c r="AI10" s="141">
        <f t="shared" si="85"/>
        <v>9000000</v>
      </c>
      <c r="AJ10" s="416">
        <f>VLOOKUP(M10,trim2024,2,FALSE)</f>
        <v>2607239.5099999998</v>
      </c>
      <c r="AK10" s="326">
        <f t="shared" ref="AK10:AM10" si="101">SUM(P10,W10,AD10)</f>
        <v>1070671.28</v>
      </c>
      <c r="AL10" s="326">
        <f t="shared" si="101"/>
        <v>0</v>
      </c>
      <c r="AM10" s="326">
        <f t="shared" si="101"/>
        <v>1070671.28</v>
      </c>
      <c r="AN10" s="326">
        <f t="shared" si="31"/>
        <v>-7929328.7199999997</v>
      </c>
      <c r="AO10" s="98">
        <f t="shared" si="96"/>
        <v>0.11896347555555556</v>
      </c>
      <c r="AP10" s="125">
        <f t="shared" ref="AP10:AP41" si="102">IFERROR(VLOOKUP(M10,ARRIOLA24,6,FALSE),"")</f>
        <v>0</v>
      </c>
      <c r="AQ10" s="140">
        <f t="shared" si="32"/>
        <v>0</v>
      </c>
      <c r="AR10" s="123" t="str">
        <f t="shared" si="33"/>
        <v>0</v>
      </c>
      <c r="AS10" s="148">
        <f t="shared" si="34"/>
        <v>0</v>
      </c>
      <c r="AT10" s="125">
        <f t="shared" si="35"/>
        <v>0</v>
      </c>
      <c r="AU10" s="140">
        <f t="shared" si="36"/>
        <v>0</v>
      </c>
      <c r="AV10" s="326" t="str">
        <f t="shared" si="37"/>
        <v>0</v>
      </c>
      <c r="AW10" s="333">
        <f t="shared" si="38"/>
        <v>0</v>
      </c>
      <c r="AX10" s="125">
        <f t="shared" si="39"/>
        <v>0</v>
      </c>
      <c r="AY10" s="1041">
        <f t="shared" si="40"/>
        <v>0</v>
      </c>
      <c r="AZ10" s="123" t="str">
        <f t="shared" si="41"/>
        <v>0</v>
      </c>
      <c r="BA10" s="125">
        <f t="shared" si="42"/>
        <v>0</v>
      </c>
      <c r="BB10" s="122">
        <f t="shared" ref="BB10:BD10" si="103">SUM(AY10,AU10,AQ10)</f>
        <v>0</v>
      </c>
      <c r="BC10" s="326">
        <f t="shared" si="103"/>
        <v>0</v>
      </c>
      <c r="BD10" s="333">
        <f t="shared" si="103"/>
        <v>0</v>
      </c>
      <c r="BE10" s="123">
        <f t="shared" si="44"/>
        <v>1070671.28</v>
      </c>
      <c r="BF10" s="326">
        <f t="shared" ref="BF10:BG10" si="104">BC10+AL10</f>
        <v>0</v>
      </c>
      <c r="BG10" s="435">
        <f t="shared" si="104"/>
        <v>1070671.28</v>
      </c>
      <c r="BH10" s="125">
        <f t="shared" si="46"/>
        <v>0</v>
      </c>
      <c r="BI10" s="1041">
        <f t="shared" si="47"/>
        <v>0</v>
      </c>
      <c r="BJ10" s="326" t="str">
        <f t="shared" si="48"/>
        <v>0</v>
      </c>
      <c r="BK10" s="1045">
        <f t="shared" si="49"/>
        <v>0</v>
      </c>
      <c r="BL10" s="125">
        <f t="shared" ref="BL10:BL30" si="105">IFERROR(VLOOKUP(M10,ARRIOLA24,10,FALSE),"")</f>
        <v>0</v>
      </c>
      <c r="BM10" s="141">
        <f t="shared" si="50"/>
        <v>0</v>
      </c>
      <c r="BN10" s="332" t="str">
        <f t="shared" si="51"/>
        <v>0</v>
      </c>
      <c r="BO10" s="333">
        <f t="shared" si="52"/>
        <v>0</v>
      </c>
      <c r="BP10" s="125">
        <f t="shared" ref="BP10:BP30" si="106">IFERROR(VLOOKUP(M10,ARRIOLA24,11,FALSE),"")</f>
        <v>0</v>
      </c>
      <c r="BQ10" s="140">
        <f t="shared" si="53"/>
        <v>0</v>
      </c>
      <c r="BR10" s="123" t="str">
        <f t="shared" si="54"/>
        <v>0</v>
      </c>
      <c r="BS10" s="148">
        <f t="shared" si="55"/>
        <v>0</v>
      </c>
      <c r="BT10" s="140">
        <f t="shared" ref="BT10:BV10" si="107">SUM(BQ10,BM10,BI10)</f>
        <v>0</v>
      </c>
      <c r="BU10" s="123">
        <f t="shared" si="107"/>
        <v>0</v>
      </c>
      <c r="BV10" s="148">
        <f t="shared" si="107"/>
        <v>0</v>
      </c>
      <c r="BW10" s="125">
        <f t="shared" si="57"/>
        <v>1558116.3</v>
      </c>
      <c r="BX10" s="140">
        <f t="shared" si="58"/>
        <v>0</v>
      </c>
      <c r="BY10" s="123" t="str">
        <f t="shared" si="59"/>
        <v>0</v>
      </c>
      <c r="BZ10" s="148">
        <f t="shared" si="60"/>
        <v>0</v>
      </c>
      <c r="CA10" s="123">
        <f t="shared" si="61"/>
        <v>1049123.21</v>
      </c>
      <c r="CB10" s="326">
        <f t="shared" si="62"/>
        <v>0</v>
      </c>
    </row>
    <row r="11" spans="1:115" ht="15.75" customHeight="1">
      <c r="A11" s="436">
        <f t="shared" si="0"/>
        <v>112014449</v>
      </c>
      <c r="B11" s="93">
        <f t="shared" si="1"/>
        <v>12</v>
      </c>
      <c r="C11" s="558">
        <f t="shared" si="2"/>
        <v>0.15</v>
      </c>
      <c r="D11" s="558">
        <f t="shared" si="3"/>
        <v>0.09</v>
      </c>
      <c r="E11" s="715">
        <f t="shared" si="4"/>
        <v>0</v>
      </c>
      <c r="F11" s="701">
        <f t="shared" si="5"/>
        <v>22</v>
      </c>
      <c r="G11" s="700">
        <f t="shared" si="6"/>
        <v>0.1</v>
      </c>
      <c r="H11" s="700">
        <f t="shared" si="7"/>
        <v>0.09</v>
      </c>
      <c r="I11" s="702">
        <f t="shared" si="8"/>
        <v>0</v>
      </c>
      <c r="J11" s="837">
        <f t="shared" si="9"/>
        <v>63</v>
      </c>
      <c r="K11" s="699">
        <f t="shared" si="10"/>
        <v>0.1</v>
      </c>
      <c r="L11" s="1040">
        <f t="shared" si="11"/>
        <v>0.05</v>
      </c>
      <c r="M11" s="139" t="s">
        <v>1002</v>
      </c>
      <c r="N11" s="123">
        <f t="shared" si="100"/>
        <v>0</v>
      </c>
      <c r="O11" s="561">
        <v>3000000</v>
      </c>
      <c r="P11" s="704">
        <f t="shared" si="13"/>
        <v>251670.56</v>
      </c>
      <c r="Q11" s="704" t="str">
        <f t="shared" si="14"/>
        <v>0</v>
      </c>
      <c r="R11" s="704">
        <f t="shared" si="15"/>
        <v>251670.56</v>
      </c>
      <c r="S11" s="326">
        <f t="shared" si="16"/>
        <v>-2748329.44</v>
      </c>
      <c r="T11" s="137">
        <f t="shared" si="68"/>
        <v>8.3890186666666672E-2</v>
      </c>
      <c r="U11" s="332">
        <f t="shared" si="17"/>
        <v>0</v>
      </c>
      <c r="V11" s="141">
        <v>3000000</v>
      </c>
      <c r="W11" s="113">
        <f t="shared" si="19"/>
        <v>471000.48</v>
      </c>
      <c r="X11" s="704" t="str">
        <f t="shared" si="20"/>
        <v>0</v>
      </c>
      <c r="Y11" s="117">
        <f t="shared" si="21"/>
        <v>471000.48</v>
      </c>
      <c r="Z11" s="123">
        <f t="shared" si="22"/>
        <v>-2528999.52</v>
      </c>
      <c r="AA11" s="98">
        <f t="shared" si="69"/>
        <v>0.15700016</v>
      </c>
      <c r="AB11" s="123">
        <f t="shared" si="23"/>
        <v>0</v>
      </c>
      <c r="AC11" s="326">
        <v>3000000</v>
      </c>
      <c r="AD11" s="326">
        <f t="shared" si="25"/>
        <v>605994.25</v>
      </c>
      <c r="AE11" s="326" t="str">
        <f t="shared" si="26"/>
        <v>0</v>
      </c>
      <c r="AF11" s="326">
        <f t="shared" si="27"/>
        <v>605994.25</v>
      </c>
      <c r="AG11" s="326">
        <f t="shared" si="83"/>
        <v>-2394005.75</v>
      </c>
      <c r="AH11" s="494">
        <f t="shared" si="84"/>
        <v>0.20199808333333333</v>
      </c>
      <c r="AI11" s="141">
        <f t="shared" si="85"/>
        <v>9000000</v>
      </c>
      <c r="AJ11" s="416">
        <f t="shared" ref="AJ11:AJ41" si="108">IFERROR(VLOOKUP(M11,trim2024,2,FALSE),"0")</f>
        <v>1295470.77</v>
      </c>
      <c r="AK11" s="326">
        <f t="shared" ref="AK11:AM11" si="109">SUM(P11,W11,AD11)</f>
        <v>1328665.29</v>
      </c>
      <c r="AL11" s="326">
        <f t="shared" si="109"/>
        <v>0</v>
      </c>
      <c r="AM11" s="326">
        <f t="shared" si="109"/>
        <v>1328665.29</v>
      </c>
      <c r="AN11" s="326">
        <f t="shared" si="31"/>
        <v>-7671334.71</v>
      </c>
      <c r="AO11" s="98">
        <f t="shared" ref="AO11:AO27" si="110">AM11/AI11</f>
        <v>0.14762947666666668</v>
      </c>
      <c r="AP11" s="125">
        <f t="shared" si="102"/>
        <v>0</v>
      </c>
      <c r="AQ11" s="140">
        <f t="shared" si="32"/>
        <v>4175.8</v>
      </c>
      <c r="AR11" s="123" t="str">
        <f t="shared" si="33"/>
        <v>0</v>
      </c>
      <c r="AS11" s="148">
        <f t="shared" si="34"/>
        <v>4175.8</v>
      </c>
      <c r="AT11" s="125">
        <f t="shared" si="35"/>
        <v>441184</v>
      </c>
      <c r="AU11" s="140">
        <f t="shared" si="36"/>
        <v>114656.67</v>
      </c>
      <c r="AV11" s="326" t="str">
        <f t="shared" si="37"/>
        <v>0</v>
      </c>
      <c r="AW11" s="333">
        <f t="shared" si="38"/>
        <v>114656.67</v>
      </c>
      <c r="AX11" s="125">
        <f t="shared" si="39"/>
        <v>1133949.43</v>
      </c>
      <c r="AY11" s="1041">
        <f t="shared" si="40"/>
        <v>385070.18</v>
      </c>
      <c r="AZ11" s="123" t="str">
        <f t="shared" si="41"/>
        <v>0</v>
      </c>
      <c r="BA11" s="125">
        <f t="shared" si="42"/>
        <v>385070.18</v>
      </c>
      <c r="BB11" s="122">
        <f t="shared" ref="BB11:BD11" si="111">SUM(AY11,AU11,AQ11)</f>
        <v>503902.64999999997</v>
      </c>
      <c r="BC11" s="326">
        <f t="shared" si="111"/>
        <v>0</v>
      </c>
      <c r="BD11" s="333">
        <f t="shared" si="111"/>
        <v>503902.64999999997</v>
      </c>
      <c r="BE11" s="123">
        <f t="shared" si="44"/>
        <v>1832567.94</v>
      </c>
      <c r="BF11" s="326">
        <f t="shared" ref="BF11:BG11" si="112">BC11+AL11</f>
        <v>0</v>
      </c>
      <c r="BG11" s="435">
        <f t="shared" si="112"/>
        <v>1832567.94</v>
      </c>
      <c r="BH11" s="125">
        <f t="shared" si="46"/>
        <v>1042781.34</v>
      </c>
      <c r="BI11" s="1041">
        <f t="shared" si="47"/>
        <v>210764.44</v>
      </c>
      <c r="BJ11" s="326" t="str">
        <f t="shared" si="48"/>
        <v>0</v>
      </c>
      <c r="BK11" s="1045">
        <f t="shared" si="49"/>
        <v>210764.44</v>
      </c>
      <c r="BL11" s="125">
        <f t="shared" si="105"/>
        <v>0</v>
      </c>
      <c r="BM11" s="141">
        <f t="shared" si="50"/>
        <v>0</v>
      </c>
      <c r="BN11" s="332" t="str">
        <f t="shared" si="51"/>
        <v>0</v>
      </c>
      <c r="BO11" s="333">
        <f t="shared" si="52"/>
        <v>0</v>
      </c>
      <c r="BP11" s="125">
        <f t="shared" si="106"/>
        <v>120244.54</v>
      </c>
      <c r="BQ11" s="140">
        <f t="shared" si="53"/>
        <v>239927.38</v>
      </c>
      <c r="BR11" s="123" t="str">
        <f t="shared" si="54"/>
        <v>0</v>
      </c>
      <c r="BS11" s="148">
        <f t="shared" si="55"/>
        <v>239927.38</v>
      </c>
      <c r="BT11" s="140">
        <f t="shared" ref="BT11:BV11" si="113">SUM(BQ11,BM11,BI11)</f>
        <v>450691.82</v>
      </c>
      <c r="BU11" s="123">
        <f t="shared" si="113"/>
        <v>0</v>
      </c>
      <c r="BV11" s="148">
        <f t="shared" si="113"/>
        <v>450691.82</v>
      </c>
      <c r="BW11" s="125">
        <f t="shared" si="57"/>
        <v>0</v>
      </c>
      <c r="BX11" s="140">
        <f t="shared" si="58"/>
        <v>582257.57999999996</v>
      </c>
      <c r="BY11" s="123" t="str">
        <f t="shared" si="59"/>
        <v>0</v>
      </c>
      <c r="BZ11" s="148">
        <f t="shared" si="60"/>
        <v>582257.57999999996</v>
      </c>
      <c r="CA11" s="123">
        <f t="shared" si="61"/>
        <v>897116.12</v>
      </c>
      <c r="CB11" s="326">
        <f t="shared" si="62"/>
        <v>398354.65</v>
      </c>
    </row>
    <row r="12" spans="1:115" ht="15.75" customHeight="1">
      <c r="A12" s="436">
        <f t="shared" si="0"/>
        <v>112013818</v>
      </c>
      <c r="B12" s="93">
        <f t="shared" si="1"/>
        <v>7</v>
      </c>
      <c r="C12" s="558">
        <f t="shared" si="2"/>
        <v>0.1</v>
      </c>
      <c r="D12" s="558">
        <f t="shared" si="3"/>
        <v>0.2</v>
      </c>
      <c r="E12" s="715">
        <f t="shared" si="4"/>
        <v>0</v>
      </c>
      <c r="F12" s="701">
        <f t="shared" si="5"/>
        <v>7</v>
      </c>
      <c r="G12" s="700">
        <f t="shared" si="6"/>
        <v>0.1</v>
      </c>
      <c r="H12" s="700">
        <f t="shared" si="7"/>
        <v>0.2</v>
      </c>
      <c r="I12" s="702">
        <f t="shared" si="8"/>
        <v>0</v>
      </c>
      <c r="J12" s="837">
        <f t="shared" si="9"/>
        <v>62</v>
      </c>
      <c r="K12" s="699">
        <f t="shared" si="10"/>
        <v>0.1</v>
      </c>
      <c r="L12" s="1040">
        <f t="shared" si="11"/>
        <v>0.11</v>
      </c>
      <c r="M12" s="139" t="s">
        <v>1003</v>
      </c>
      <c r="N12" s="123">
        <f t="shared" si="100"/>
        <v>-318595.63</v>
      </c>
      <c r="O12" s="585">
        <v>2500000</v>
      </c>
      <c r="P12" s="704">
        <f t="shared" si="13"/>
        <v>1947120.5400000003</v>
      </c>
      <c r="Q12" s="704">
        <f t="shared" si="14"/>
        <v>573946.44999999995</v>
      </c>
      <c r="R12" s="704">
        <f t="shared" si="15"/>
        <v>2521066.9900000002</v>
      </c>
      <c r="S12" s="326">
        <f t="shared" si="16"/>
        <v>21066.990000000224</v>
      </c>
      <c r="T12" s="137">
        <f t="shared" si="68"/>
        <v>1.0084267960000002</v>
      </c>
      <c r="U12" s="860">
        <f t="shared" si="17"/>
        <v>2040070.13</v>
      </c>
      <c r="V12" s="251">
        <v>2500000</v>
      </c>
      <c r="W12" s="113">
        <f t="shared" si="19"/>
        <v>2339031.92</v>
      </c>
      <c r="X12" s="704">
        <f t="shared" si="20"/>
        <v>817006.5</v>
      </c>
      <c r="Y12" s="117">
        <f t="shared" si="21"/>
        <v>3156038.42</v>
      </c>
      <c r="Z12" s="123">
        <f t="shared" si="22"/>
        <v>656038.41999999993</v>
      </c>
      <c r="AA12" s="98">
        <f t="shared" si="69"/>
        <v>1.2624153679999999</v>
      </c>
      <c r="AB12" s="1059">
        <f t="shared" si="23"/>
        <v>5025408.1900000004</v>
      </c>
      <c r="AC12" s="975">
        <v>1800000</v>
      </c>
      <c r="AD12" s="326">
        <f t="shared" si="25"/>
        <v>4336311.8199999994</v>
      </c>
      <c r="AE12" s="326">
        <f t="shared" si="26"/>
        <v>872978.61</v>
      </c>
      <c r="AF12" s="326">
        <f t="shared" si="27"/>
        <v>5209290.43</v>
      </c>
      <c r="AG12" s="326">
        <f t="shared" si="83"/>
        <v>3409290.4299999997</v>
      </c>
      <c r="AH12" s="494">
        <f t="shared" si="84"/>
        <v>2.8940502388888887</v>
      </c>
      <c r="AI12" s="141">
        <f t="shared" si="85"/>
        <v>6800000</v>
      </c>
      <c r="AJ12" s="416">
        <f t="shared" si="108"/>
        <v>23055725.48</v>
      </c>
      <c r="AK12" s="326">
        <f t="shared" ref="AK12:AM12" si="114">SUM(P12,W12,AD12)</f>
        <v>8622464.2799999993</v>
      </c>
      <c r="AL12" s="326">
        <f t="shared" si="114"/>
        <v>2263931.56</v>
      </c>
      <c r="AM12" s="326">
        <f t="shared" si="114"/>
        <v>10886395.84</v>
      </c>
      <c r="AN12" s="326">
        <f t="shared" si="31"/>
        <v>4086395.84</v>
      </c>
      <c r="AO12" s="98">
        <f t="shared" si="110"/>
        <v>1.6009405647058823</v>
      </c>
      <c r="AP12" s="125">
        <f t="shared" si="102"/>
        <v>3971015.07</v>
      </c>
      <c r="AQ12" s="140">
        <f t="shared" si="32"/>
        <v>3867665.9699999997</v>
      </c>
      <c r="AR12" s="123">
        <f t="shared" si="33"/>
        <v>1005815.55</v>
      </c>
      <c r="AS12" s="148">
        <f t="shared" si="34"/>
        <v>4873481.5199999996</v>
      </c>
      <c r="AT12" s="125">
        <f t="shared" si="35"/>
        <v>3020789.69</v>
      </c>
      <c r="AU12" s="140">
        <f t="shared" si="36"/>
        <v>2813362.26</v>
      </c>
      <c r="AV12" s="326">
        <f t="shared" si="37"/>
        <v>639602.14</v>
      </c>
      <c r="AW12" s="333">
        <f t="shared" si="38"/>
        <v>3452964.4</v>
      </c>
      <c r="AX12" s="125">
        <f t="shared" si="39"/>
        <v>3134569.43</v>
      </c>
      <c r="AY12" s="1041">
        <f t="shared" si="40"/>
        <v>3064079.06</v>
      </c>
      <c r="AZ12" s="123">
        <f t="shared" si="41"/>
        <v>537747.34</v>
      </c>
      <c r="BA12" s="125">
        <f t="shared" si="42"/>
        <v>3601826.4</v>
      </c>
      <c r="BB12" s="122">
        <f t="shared" ref="BB12:BD12" si="115">SUM(AY12,AU12,AQ12)</f>
        <v>9745107.2899999991</v>
      </c>
      <c r="BC12" s="326">
        <f t="shared" si="115"/>
        <v>2183165.0300000003</v>
      </c>
      <c r="BD12" s="333">
        <f t="shared" si="115"/>
        <v>11928272.32</v>
      </c>
      <c r="BE12" s="123">
        <f t="shared" si="44"/>
        <v>20550736.600000001</v>
      </c>
      <c r="BF12" s="326">
        <f t="shared" ref="BF12:BG12" si="116">BC12+AL12</f>
        <v>4447096.59</v>
      </c>
      <c r="BG12" s="435">
        <f t="shared" si="116"/>
        <v>22814668.16</v>
      </c>
      <c r="BH12" s="125">
        <f t="shared" si="46"/>
        <v>3224694.94</v>
      </c>
      <c r="BI12" s="1041">
        <f t="shared" si="47"/>
        <v>3680677.3200000003</v>
      </c>
      <c r="BJ12" s="326">
        <f t="shared" si="48"/>
        <v>1037407.83</v>
      </c>
      <c r="BK12" s="1045">
        <f t="shared" si="49"/>
        <v>4718085.1500000004</v>
      </c>
      <c r="BL12" s="125">
        <f t="shared" si="105"/>
        <v>4405559.62</v>
      </c>
      <c r="BM12" s="141">
        <f t="shared" si="50"/>
        <v>3503694.47</v>
      </c>
      <c r="BN12" s="332">
        <f t="shared" si="51"/>
        <v>810971.69</v>
      </c>
      <c r="BO12" s="333">
        <f t="shared" si="52"/>
        <v>4314666.16</v>
      </c>
      <c r="BP12" s="125">
        <f t="shared" si="106"/>
        <v>6205760.7999999998</v>
      </c>
      <c r="BQ12" s="140">
        <f t="shared" si="53"/>
        <v>4691053.32</v>
      </c>
      <c r="BR12" s="123">
        <f t="shared" si="54"/>
        <v>648787.67000000004</v>
      </c>
      <c r="BS12" s="148">
        <f t="shared" si="55"/>
        <v>5339840.99</v>
      </c>
      <c r="BT12" s="140">
        <f t="shared" ref="BT12:BV12" si="117">SUM(BQ12,BM12,BI12)</f>
        <v>11875425.110000001</v>
      </c>
      <c r="BU12" s="123">
        <f t="shared" si="117"/>
        <v>2497167.19</v>
      </c>
      <c r="BV12" s="148">
        <f t="shared" si="117"/>
        <v>14372592.300000001</v>
      </c>
      <c r="BW12" s="125">
        <f t="shared" si="57"/>
        <v>10192377.5</v>
      </c>
      <c r="BX12" s="140">
        <f t="shared" si="58"/>
        <v>3423547.38</v>
      </c>
      <c r="BY12" s="123">
        <f t="shared" si="59"/>
        <v>1095710.01</v>
      </c>
      <c r="BZ12" s="148">
        <f t="shared" si="60"/>
        <v>4519257.3899999997</v>
      </c>
      <c r="CA12" s="123">
        <f t="shared" si="61"/>
        <v>7627468.5999999996</v>
      </c>
      <c r="CB12" s="326">
        <f t="shared" si="62"/>
        <v>5235879.38</v>
      </c>
      <c r="CE12" s="231" t="s">
        <v>78</v>
      </c>
      <c r="CF12" s="232"/>
      <c r="CG12" s="232"/>
    </row>
    <row r="13" spans="1:115" ht="15.75" customHeight="1">
      <c r="A13" s="436">
        <f t="shared" si="0"/>
        <v>112014453</v>
      </c>
      <c r="B13" s="93">
        <f t="shared" si="1"/>
        <v>22</v>
      </c>
      <c r="C13" s="137">
        <f t="shared" si="2"/>
        <v>0.1</v>
      </c>
      <c r="D13" s="137">
        <f t="shared" si="3"/>
        <v>0.09</v>
      </c>
      <c r="E13" s="494">
        <f t="shared" si="4"/>
        <v>0</v>
      </c>
      <c r="F13" s="701">
        <f t="shared" si="5"/>
        <v>22</v>
      </c>
      <c r="G13" s="700">
        <f t="shared" si="6"/>
        <v>0.1</v>
      </c>
      <c r="H13" s="700">
        <f t="shared" si="7"/>
        <v>0.09</v>
      </c>
      <c r="I13" s="702">
        <f t="shared" si="8"/>
        <v>0</v>
      </c>
      <c r="J13" s="837">
        <f t="shared" si="9"/>
        <v>63</v>
      </c>
      <c r="K13" s="699">
        <f t="shared" si="10"/>
        <v>0.1</v>
      </c>
      <c r="L13" s="1040">
        <f t="shared" si="11"/>
        <v>0.05</v>
      </c>
      <c r="M13" s="139" t="s">
        <v>1004</v>
      </c>
      <c r="N13" s="123">
        <f t="shared" si="100"/>
        <v>0</v>
      </c>
      <c r="O13" s="585">
        <v>2500000</v>
      </c>
      <c r="P13" s="704">
        <f t="shared" si="13"/>
        <v>164479.04999999999</v>
      </c>
      <c r="Q13" s="704" t="str">
        <f t="shared" si="14"/>
        <v>0</v>
      </c>
      <c r="R13" s="704">
        <f t="shared" si="15"/>
        <v>164479.04999999999</v>
      </c>
      <c r="S13" s="326">
        <f t="shared" si="16"/>
        <v>-2335520.9500000002</v>
      </c>
      <c r="T13" s="137">
        <f t="shared" si="68"/>
        <v>6.5791619999999995E-2</v>
      </c>
      <c r="U13" s="332">
        <f t="shared" si="17"/>
        <v>0</v>
      </c>
      <c r="V13" s="251">
        <v>2500000</v>
      </c>
      <c r="W13" s="113">
        <f t="shared" si="19"/>
        <v>742904.17</v>
      </c>
      <c r="X13" s="704" t="str">
        <f t="shared" si="20"/>
        <v>0</v>
      </c>
      <c r="Y13" s="117">
        <f t="shared" si="21"/>
        <v>742904.17</v>
      </c>
      <c r="Z13" s="123">
        <f t="shared" si="22"/>
        <v>-1757095.83</v>
      </c>
      <c r="AA13" s="98">
        <f t="shared" si="69"/>
        <v>0.29716166799999999</v>
      </c>
      <c r="AB13" s="123">
        <f t="shared" si="23"/>
        <v>0</v>
      </c>
      <c r="AC13" s="975">
        <v>1800000</v>
      </c>
      <c r="AD13" s="326">
        <f t="shared" si="25"/>
        <v>666915.4</v>
      </c>
      <c r="AE13" s="326" t="str">
        <f t="shared" si="26"/>
        <v>0</v>
      </c>
      <c r="AF13" s="326">
        <f t="shared" si="27"/>
        <v>666915.4</v>
      </c>
      <c r="AG13" s="326">
        <f t="shared" si="83"/>
        <v>-1133084.6000000001</v>
      </c>
      <c r="AH13" s="494">
        <f t="shared" si="84"/>
        <v>0.37050855555555556</v>
      </c>
      <c r="AI13" s="141">
        <f t="shared" si="85"/>
        <v>6800000</v>
      </c>
      <c r="AJ13" s="416">
        <f t="shared" si="108"/>
        <v>1669502.22</v>
      </c>
      <c r="AK13" s="326">
        <f t="shared" ref="AK13:AM13" si="118">SUM(P13,W13,AD13)</f>
        <v>1574298.62</v>
      </c>
      <c r="AL13" s="326">
        <f t="shared" si="118"/>
        <v>0</v>
      </c>
      <c r="AM13" s="326">
        <f t="shared" si="118"/>
        <v>1574298.62</v>
      </c>
      <c r="AN13" s="326">
        <f t="shared" si="31"/>
        <v>-5225701.38</v>
      </c>
      <c r="AO13" s="98">
        <f t="shared" si="110"/>
        <v>0.23151450294117648</v>
      </c>
      <c r="AP13" s="125">
        <f t="shared" si="102"/>
        <v>0</v>
      </c>
      <c r="AQ13" s="140">
        <f t="shared" si="32"/>
        <v>126780.26</v>
      </c>
      <c r="AR13" s="123" t="str">
        <f t="shared" si="33"/>
        <v>0</v>
      </c>
      <c r="AS13" s="148">
        <f t="shared" si="34"/>
        <v>126780.26</v>
      </c>
      <c r="AT13" s="125">
        <f t="shared" si="35"/>
        <v>439155.29</v>
      </c>
      <c r="AU13" s="140">
        <f t="shared" si="36"/>
        <v>167369.54</v>
      </c>
      <c r="AV13" s="326" t="str">
        <f t="shared" si="37"/>
        <v>0</v>
      </c>
      <c r="AW13" s="333">
        <f t="shared" si="38"/>
        <v>167369.54</v>
      </c>
      <c r="AX13" s="125">
        <f t="shared" si="39"/>
        <v>204337.44</v>
      </c>
      <c r="AY13" s="1041">
        <f t="shared" si="40"/>
        <v>677066.23</v>
      </c>
      <c r="AZ13" s="123" t="str">
        <f t="shared" si="41"/>
        <v>0</v>
      </c>
      <c r="BA13" s="125">
        <f t="shared" si="42"/>
        <v>677066.23</v>
      </c>
      <c r="BB13" s="122">
        <f t="shared" ref="BB13:BD13" si="119">SUM(AY13,AU13,AQ13)</f>
        <v>971216.03</v>
      </c>
      <c r="BC13" s="326">
        <f t="shared" si="119"/>
        <v>0</v>
      </c>
      <c r="BD13" s="333">
        <f t="shared" si="119"/>
        <v>971216.03</v>
      </c>
      <c r="BE13" s="123">
        <f t="shared" si="44"/>
        <v>2545514.6500000004</v>
      </c>
      <c r="BF13" s="326">
        <f t="shared" ref="BF13:BG13" si="120">BC13+AL13</f>
        <v>0</v>
      </c>
      <c r="BG13" s="435">
        <f t="shared" si="120"/>
        <v>2545514.6500000004</v>
      </c>
      <c r="BH13" s="125">
        <f t="shared" si="46"/>
        <v>1147712.95</v>
      </c>
      <c r="BI13" s="1041">
        <f t="shared" si="47"/>
        <v>707972.4</v>
      </c>
      <c r="BJ13" s="326" t="str">
        <f t="shared" si="48"/>
        <v>0</v>
      </c>
      <c r="BK13" s="1045">
        <f t="shared" si="49"/>
        <v>707972.4</v>
      </c>
      <c r="BL13" s="125">
        <f t="shared" si="105"/>
        <v>662856.73</v>
      </c>
      <c r="BM13" s="141">
        <f t="shared" si="50"/>
        <v>1415944.8</v>
      </c>
      <c r="BN13" s="332" t="str">
        <f t="shared" si="51"/>
        <v>0</v>
      </c>
      <c r="BO13" s="333">
        <f t="shared" si="52"/>
        <v>1415944.8</v>
      </c>
      <c r="BP13" s="125">
        <f t="shared" si="106"/>
        <v>1330994.06</v>
      </c>
      <c r="BQ13" s="140">
        <f t="shared" si="53"/>
        <v>122851.45</v>
      </c>
      <c r="BR13" s="123" t="str">
        <f t="shared" si="54"/>
        <v>0</v>
      </c>
      <c r="BS13" s="148">
        <f t="shared" si="55"/>
        <v>122851.45</v>
      </c>
      <c r="BT13" s="140">
        <f t="shared" ref="BT13:BV13" si="121">SUM(BQ13,BM13,BI13)</f>
        <v>2246768.65</v>
      </c>
      <c r="BU13" s="123">
        <f t="shared" si="121"/>
        <v>0</v>
      </c>
      <c r="BV13" s="148">
        <f t="shared" si="121"/>
        <v>2246768.65</v>
      </c>
      <c r="BW13" s="125">
        <f t="shared" si="57"/>
        <v>1080206.28</v>
      </c>
      <c r="BX13" s="140">
        <f t="shared" si="58"/>
        <v>0</v>
      </c>
      <c r="BY13" s="123" t="str">
        <f t="shared" si="59"/>
        <v>0</v>
      </c>
      <c r="BZ13" s="148">
        <f t="shared" si="60"/>
        <v>0</v>
      </c>
      <c r="CA13" s="123">
        <f t="shared" si="61"/>
        <v>567535.94999999995</v>
      </c>
      <c r="CB13" s="326">
        <f t="shared" si="62"/>
        <v>21760</v>
      </c>
      <c r="CE13" s="231" t="s">
        <v>80</v>
      </c>
      <c r="CF13" s="232"/>
      <c r="CG13" s="232"/>
    </row>
    <row r="14" spans="1:115" ht="15.75" customHeight="1">
      <c r="A14" s="436">
        <f t="shared" si="0"/>
        <v>112010400</v>
      </c>
      <c r="B14" s="93">
        <f t="shared" si="1"/>
        <v>31</v>
      </c>
      <c r="C14" s="558">
        <f t="shared" si="2"/>
        <v>0.1</v>
      </c>
      <c r="D14" s="558">
        <f t="shared" si="3"/>
        <v>0.23</v>
      </c>
      <c r="E14" s="715">
        <f t="shared" si="4"/>
        <v>0</v>
      </c>
      <c r="F14" s="701">
        <f t="shared" si="5"/>
        <v>31</v>
      </c>
      <c r="G14" s="700">
        <f t="shared" si="6"/>
        <v>0.1</v>
      </c>
      <c r="H14" s="700">
        <f t="shared" si="7"/>
        <v>0.23</v>
      </c>
      <c r="I14" s="702">
        <f t="shared" si="8"/>
        <v>0</v>
      </c>
      <c r="J14" s="837">
        <f t="shared" si="9"/>
        <v>61</v>
      </c>
      <c r="K14" s="699">
        <f t="shared" si="10"/>
        <v>0.1</v>
      </c>
      <c r="L14" s="1040">
        <f t="shared" si="11"/>
        <v>0.14000000000000001</v>
      </c>
      <c r="M14" s="139" t="s">
        <v>1005</v>
      </c>
      <c r="N14" s="123">
        <f t="shared" si="100"/>
        <v>1032754.77</v>
      </c>
      <c r="O14" s="326">
        <f>(N14*1.601)*1.05</f>
        <v>1736112.4061085</v>
      </c>
      <c r="P14" s="704">
        <f t="shared" si="13"/>
        <v>1751633.6900000002</v>
      </c>
      <c r="Q14" s="704">
        <f t="shared" si="14"/>
        <v>1378323.16</v>
      </c>
      <c r="R14" s="704">
        <f t="shared" si="15"/>
        <v>3129956.85</v>
      </c>
      <c r="S14" s="326">
        <f t="shared" si="16"/>
        <v>1393844.4438915001</v>
      </c>
      <c r="T14" s="137">
        <f t="shared" si="68"/>
        <v>1.8028538008180044</v>
      </c>
      <c r="U14" s="332">
        <f t="shared" si="17"/>
        <v>1624734.13</v>
      </c>
      <c r="V14" s="141">
        <f>(U14*1.7245)*1.05</f>
        <v>2941946.7075442495</v>
      </c>
      <c r="W14" s="113">
        <f t="shared" si="19"/>
        <v>1278999.27</v>
      </c>
      <c r="X14" s="704">
        <f t="shared" si="20"/>
        <v>154723.79999999999</v>
      </c>
      <c r="Y14" s="117">
        <f t="shared" si="21"/>
        <v>1433723.07</v>
      </c>
      <c r="Z14" s="123">
        <f t="shared" si="22"/>
        <v>-1508223.6375442494</v>
      </c>
      <c r="AA14" s="98">
        <f t="shared" si="69"/>
        <v>0.48733821939173777</v>
      </c>
      <c r="AB14" s="123">
        <f t="shared" si="23"/>
        <v>1231426.3799999999</v>
      </c>
      <c r="AC14" s="326">
        <f>(AB14*1.5955)*1.03</f>
        <v>2023683.0129686999</v>
      </c>
      <c r="AD14" s="326">
        <f t="shared" si="25"/>
        <v>885676.44000000018</v>
      </c>
      <c r="AE14" s="326">
        <f t="shared" si="26"/>
        <v>513655.91</v>
      </c>
      <c r="AF14" s="326">
        <f t="shared" si="27"/>
        <v>1399332.35</v>
      </c>
      <c r="AG14" s="326">
        <f t="shared" si="83"/>
        <v>-624350.66296869982</v>
      </c>
      <c r="AH14" s="494">
        <f t="shared" si="84"/>
        <v>0.69147803338389902</v>
      </c>
      <c r="AI14" s="141">
        <f t="shared" si="85"/>
        <v>6701742.1266214494</v>
      </c>
      <c r="AJ14" s="416">
        <f t="shared" si="108"/>
        <v>4593006.8600000003</v>
      </c>
      <c r="AK14" s="326">
        <f t="shared" ref="AK14:AM14" si="122">SUM(P14,W14,AD14)</f>
        <v>3916309.4000000004</v>
      </c>
      <c r="AL14" s="326">
        <f t="shared" si="122"/>
        <v>2046702.8699999999</v>
      </c>
      <c r="AM14" s="326">
        <f t="shared" si="122"/>
        <v>5963012.2699999996</v>
      </c>
      <c r="AN14" s="326">
        <f t="shared" si="31"/>
        <v>-738729.85662144981</v>
      </c>
      <c r="AO14" s="98">
        <f t="shared" si="110"/>
        <v>0.88977047420446398</v>
      </c>
      <c r="AP14" s="125">
        <f t="shared" si="102"/>
        <v>1023917.21</v>
      </c>
      <c r="AQ14" s="140">
        <f t="shared" si="32"/>
        <v>1236540.7000000002</v>
      </c>
      <c r="AR14" s="123">
        <f t="shared" si="33"/>
        <v>399204.65</v>
      </c>
      <c r="AS14" s="148">
        <f t="shared" si="34"/>
        <v>1635745.35</v>
      </c>
      <c r="AT14" s="125">
        <f t="shared" si="35"/>
        <v>843894.13</v>
      </c>
      <c r="AU14" s="140">
        <f t="shared" si="36"/>
        <v>1721476.0799999998</v>
      </c>
      <c r="AV14" s="326">
        <f t="shared" si="37"/>
        <v>736455.45</v>
      </c>
      <c r="AW14" s="333">
        <f t="shared" si="38"/>
        <v>2457931.5299999998</v>
      </c>
      <c r="AX14" s="125">
        <f t="shared" si="39"/>
        <v>829018.07</v>
      </c>
      <c r="AY14" s="1041">
        <f t="shared" si="40"/>
        <v>761998.46000000008</v>
      </c>
      <c r="AZ14" s="123">
        <f t="shared" si="41"/>
        <v>565197.09</v>
      </c>
      <c r="BA14" s="125">
        <f t="shared" si="42"/>
        <v>1327195.55</v>
      </c>
      <c r="BB14" s="122">
        <f t="shared" ref="BB14:BD14" si="123">SUM(AY14,AU14,AQ14)</f>
        <v>3720015.24</v>
      </c>
      <c r="BC14" s="326">
        <f t="shared" si="123"/>
        <v>1700857.19</v>
      </c>
      <c r="BD14" s="333">
        <f t="shared" si="123"/>
        <v>5420872.4299999997</v>
      </c>
      <c r="BE14" s="123">
        <f t="shared" si="44"/>
        <v>9337181.8300000001</v>
      </c>
      <c r="BF14" s="326">
        <f t="shared" ref="BF14:BG14" si="124">BC14+AL14</f>
        <v>3747560.0599999996</v>
      </c>
      <c r="BG14" s="435">
        <f t="shared" si="124"/>
        <v>11383884.699999999</v>
      </c>
      <c r="BH14" s="125">
        <f t="shared" si="46"/>
        <v>1041125.48</v>
      </c>
      <c r="BI14" s="1041">
        <f t="shared" si="47"/>
        <v>664340.77</v>
      </c>
      <c r="BJ14" s="326">
        <f t="shared" si="48"/>
        <v>702810.3</v>
      </c>
      <c r="BK14" s="1045">
        <f t="shared" si="49"/>
        <v>1367151.07</v>
      </c>
      <c r="BL14" s="125">
        <f t="shared" si="105"/>
        <v>617919.79</v>
      </c>
      <c r="BM14" s="141">
        <f t="shared" si="50"/>
        <v>1285310.97</v>
      </c>
      <c r="BN14" s="332">
        <f t="shared" si="51"/>
        <v>0</v>
      </c>
      <c r="BO14" s="333">
        <f t="shared" si="52"/>
        <v>1285310.97</v>
      </c>
      <c r="BP14" s="125">
        <f t="shared" si="106"/>
        <v>1856905.8</v>
      </c>
      <c r="BQ14" s="140">
        <f t="shared" si="53"/>
        <v>960880.70000000007</v>
      </c>
      <c r="BR14" s="123">
        <f t="shared" si="54"/>
        <v>653293.1</v>
      </c>
      <c r="BS14" s="148">
        <f t="shared" si="55"/>
        <v>1614173.8</v>
      </c>
      <c r="BT14" s="140">
        <f t="shared" ref="BT14:BV14" si="125">SUM(BQ14,BM14,BI14)</f>
        <v>2910532.44</v>
      </c>
      <c r="BU14" s="123">
        <f t="shared" si="125"/>
        <v>1356103.4</v>
      </c>
      <c r="BV14" s="148">
        <f t="shared" si="125"/>
        <v>4266635.84</v>
      </c>
      <c r="BW14" s="125">
        <f t="shared" si="57"/>
        <v>1390116.23</v>
      </c>
      <c r="BX14" s="140">
        <f t="shared" si="58"/>
        <v>1470651.61</v>
      </c>
      <c r="BY14" s="123">
        <f t="shared" si="59"/>
        <v>1322352.28</v>
      </c>
      <c r="BZ14" s="148">
        <f t="shared" si="60"/>
        <v>2793003.89</v>
      </c>
      <c r="CA14" s="123">
        <f t="shared" si="61"/>
        <v>2046981.68</v>
      </c>
      <c r="CB14" s="326">
        <f t="shared" si="62"/>
        <v>1155908.95</v>
      </c>
      <c r="CE14" s="231" t="s">
        <v>82</v>
      </c>
      <c r="CF14" s="232"/>
      <c r="CG14" s="232"/>
    </row>
    <row r="15" spans="1:115" ht="15.75" customHeight="1">
      <c r="A15" s="436">
        <f t="shared" si="0"/>
        <v>112014518</v>
      </c>
      <c r="B15" s="93">
        <f t="shared" si="1"/>
        <v>7</v>
      </c>
      <c r="C15" s="558">
        <f t="shared" si="2"/>
        <v>0.1</v>
      </c>
      <c r="D15" s="558">
        <f t="shared" si="3"/>
        <v>0.2</v>
      </c>
      <c r="E15" s="715">
        <f t="shared" si="4"/>
        <v>0</v>
      </c>
      <c r="F15" s="701">
        <f t="shared" si="5"/>
        <v>7</v>
      </c>
      <c r="G15" s="700">
        <f t="shared" si="6"/>
        <v>0.1</v>
      </c>
      <c r="H15" s="700">
        <f t="shared" si="7"/>
        <v>0.2</v>
      </c>
      <c r="I15" s="702">
        <f t="shared" si="8"/>
        <v>0</v>
      </c>
      <c r="J15" s="837">
        <f t="shared" si="9"/>
        <v>62</v>
      </c>
      <c r="K15" s="699">
        <f t="shared" si="10"/>
        <v>0.1</v>
      </c>
      <c r="L15" s="1040">
        <f t="shared" si="11"/>
        <v>0.11</v>
      </c>
      <c r="M15" s="139" t="s">
        <v>1006</v>
      </c>
      <c r="N15" s="123">
        <f t="shared" si="100"/>
        <v>406695.48</v>
      </c>
      <c r="O15" s="326">
        <v>1800000</v>
      </c>
      <c r="P15" s="704">
        <f t="shared" si="13"/>
        <v>1130978.3599999999</v>
      </c>
      <c r="Q15" s="704">
        <f t="shared" si="14"/>
        <v>924497.84</v>
      </c>
      <c r="R15" s="704">
        <f t="shared" si="15"/>
        <v>2055476.2</v>
      </c>
      <c r="S15" s="1060">
        <f t="shared" si="16"/>
        <v>255476.19999999995</v>
      </c>
      <c r="T15" s="1061">
        <f t="shared" si="68"/>
        <v>1.1419312222222222</v>
      </c>
      <c r="U15" s="1062">
        <f t="shared" si="17"/>
        <v>388514.4</v>
      </c>
      <c r="V15" s="1063">
        <v>1800000</v>
      </c>
      <c r="W15" s="113">
        <f t="shared" si="19"/>
        <v>540402.62</v>
      </c>
      <c r="X15" s="704">
        <f t="shared" si="20"/>
        <v>819872.88</v>
      </c>
      <c r="Y15" s="117">
        <f t="shared" si="21"/>
        <v>1360275.5</v>
      </c>
      <c r="Z15" s="459">
        <f t="shared" si="22"/>
        <v>-439724.5</v>
      </c>
      <c r="AA15" s="1064">
        <f t="shared" si="69"/>
        <v>0.75570861111111109</v>
      </c>
      <c r="AB15" s="459">
        <f t="shared" si="23"/>
        <v>288545.99</v>
      </c>
      <c r="AC15" s="1060">
        <v>1800000</v>
      </c>
      <c r="AD15" s="326">
        <f t="shared" si="25"/>
        <v>1045435.5900000001</v>
      </c>
      <c r="AE15" s="326">
        <f t="shared" si="26"/>
        <v>1026950.19</v>
      </c>
      <c r="AF15" s="326">
        <f t="shared" si="27"/>
        <v>2072385.78</v>
      </c>
      <c r="AG15" s="1060">
        <f t="shared" si="83"/>
        <v>272385.78000000003</v>
      </c>
      <c r="AH15" s="1065">
        <f t="shared" si="84"/>
        <v>1.1513254333333334</v>
      </c>
      <c r="AI15" s="1063">
        <f t="shared" si="85"/>
        <v>5400000</v>
      </c>
      <c r="AJ15" s="1066">
        <f t="shared" si="108"/>
        <v>4412193.3600000003</v>
      </c>
      <c r="AK15" s="1060">
        <f t="shared" ref="AK15:AM15" si="126">SUM(P15,W15,AD15)</f>
        <v>2716816.5700000003</v>
      </c>
      <c r="AL15" s="1060">
        <f t="shared" si="126"/>
        <v>2771320.91</v>
      </c>
      <c r="AM15" s="1060">
        <f t="shared" si="126"/>
        <v>5488137.4800000004</v>
      </c>
      <c r="AN15" s="1060">
        <f t="shared" si="31"/>
        <v>88137.480000000447</v>
      </c>
      <c r="AO15" s="1064">
        <f t="shared" si="110"/>
        <v>1.0163217555555557</v>
      </c>
      <c r="AP15" s="125">
        <f t="shared" si="102"/>
        <v>538800.41</v>
      </c>
      <c r="AQ15" s="140">
        <f t="shared" si="32"/>
        <v>1135397.5899999999</v>
      </c>
      <c r="AR15" s="123">
        <f t="shared" si="33"/>
        <v>830487.89</v>
      </c>
      <c r="AS15" s="148">
        <f t="shared" si="34"/>
        <v>1965885.48</v>
      </c>
      <c r="AT15" s="125">
        <f t="shared" si="35"/>
        <v>584747.28</v>
      </c>
      <c r="AU15" s="140">
        <f t="shared" si="36"/>
        <v>1115775.26</v>
      </c>
      <c r="AV15" s="326">
        <f t="shared" si="37"/>
        <v>765358.53</v>
      </c>
      <c r="AW15" s="333">
        <f t="shared" si="38"/>
        <v>1881133.79</v>
      </c>
      <c r="AX15" s="125">
        <f t="shared" si="39"/>
        <v>589156.1</v>
      </c>
      <c r="AY15" s="1041">
        <f t="shared" si="40"/>
        <v>680844.50999999989</v>
      </c>
      <c r="AZ15" s="123">
        <f t="shared" si="41"/>
        <v>751493.68</v>
      </c>
      <c r="BA15" s="125">
        <f t="shared" si="42"/>
        <v>1432338.19</v>
      </c>
      <c r="BB15" s="122">
        <f t="shared" ref="BB15:BD15" si="127">SUM(AY15,AU15,AQ15)</f>
        <v>2932017.36</v>
      </c>
      <c r="BC15" s="326">
        <f t="shared" si="127"/>
        <v>2347340.1</v>
      </c>
      <c r="BD15" s="333">
        <f t="shared" si="127"/>
        <v>5279357.46</v>
      </c>
      <c r="BE15" s="123">
        <f t="shared" si="44"/>
        <v>7996174.0300000003</v>
      </c>
      <c r="BF15" s="326">
        <f t="shared" ref="BF15:BG15" si="128">BC15+AL15</f>
        <v>5118661.01</v>
      </c>
      <c r="BG15" s="435">
        <f t="shared" si="128"/>
        <v>10767494.940000001</v>
      </c>
      <c r="BH15" s="125">
        <f t="shared" si="46"/>
        <v>619739.91</v>
      </c>
      <c r="BI15" s="1041">
        <f t="shared" si="47"/>
        <v>875199.69000000018</v>
      </c>
      <c r="BJ15" s="326">
        <f t="shared" si="48"/>
        <v>1102248.1599999999</v>
      </c>
      <c r="BK15" s="1045">
        <f t="shared" si="49"/>
        <v>1977447.85</v>
      </c>
      <c r="BL15" s="125">
        <f t="shared" si="105"/>
        <v>1186997.04</v>
      </c>
      <c r="BM15" s="141">
        <f t="shared" si="50"/>
        <v>2075952.21</v>
      </c>
      <c r="BN15" s="332">
        <f t="shared" si="51"/>
        <v>806974.56</v>
      </c>
      <c r="BO15" s="333">
        <f t="shared" si="52"/>
        <v>2882926.77</v>
      </c>
      <c r="BP15" s="125">
        <f t="shared" si="106"/>
        <v>914998.05</v>
      </c>
      <c r="BQ15" s="140">
        <f t="shared" si="53"/>
        <v>1055608.8599999999</v>
      </c>
      <c r="BR15" s="123">
        <f t="shared" si="54"/>
        <v>1300178.3999999999</v>
      </c>
      <c r="BS15" s="148">
        <f t="shared" si="55"/>
        <v>2355787.2599999998</v>
      </c>
      <c r="BT15" s="140">
        <f t="shared" ref="BT15:BV15" si="129">SUM(BQ15,BM15,BI15)</f>
        <v>4006760.76</v>
      </c>
      <c r="BU15" s="123">
        <f t="shared" si="129"/>
        <v>3209401.12</v>
      </c>
      <c r="BV15" s="148">
        <f t="shared" si="129"/>
        <v>7216161.879999999</v>
      </c>
      <c r="BW15" s="125">
        <f t="shared" si="57"/>
        <v>1266065.8899999999</v>
      </c>
      <c r="BX15" s="140">
        <f t="shared" si="58"/>
        <v>2210407.9900000002</v>
      </c>
      <c r="BY15" s="123">
        <f t="shared" si="59"/>
        <v>1293128.1299999999</v>
      </c>
      <c r="BZ15" s="148">
        <f t="shared" si="60"/>
        <v>3503536.12</v>
      </c>
      <c r="CA15" s="123">
        <f t="shared" si="61"/>
        <v>1760727.41</v>
      </c>
      <c r="CB15" s="326">
        <f t="shared" si="62"/>
        <v>1385400.07</v>
      </c>
      <c r="CE15" s="231" t="s">
        <v>84</v>
      </c>
      <c r="CF15" s="232"/>
      <c r="CG15" s="232"/>
    </row>
    <row r="16" spans="1:115" ht="15.75" customHeight="1">
      <c r="A16" s="436">
        <f t="shared" si="0"/>
        <v>112014461</v>
      </c>
      <c r="B16" s="93">
        <f t="shared" si="1"/>
        <v>7</v>
      </c>
      <c r="C16" s="699">
        <f t="shared" si="2"/>
        <v>0.1</v>
      </c>
      <c r="D16" s="699">
        <f t="shared" si="3"/>
        <v>0.2</v>
      </c>
      <c r="E16" s="700">
        <f t="shared" si="4"/>
        <v>0</v>
      </c>
      <c r="F16" s="701">
        <f t="shared" si="5"/>
        <v>7</v>
      </c>
      <c r="G16" s="700">
        <f t="shared" si="6"/>
        <v>0.1</v>
      </c>
      <c r="H16" s="700">
        <f t="shared" si="7"/>
        <v>0.2</v>
      </c>
      <c r="I16" s="702">
        <f t="shared" si="8"/>
        <v>0</v>
      </c>
      <c r="J16" s="837">
        <f t="shared" si="9"/>
        <v>62</v>
      </c>
      <c r="K16" s="699">
        <f t="shared" si="10"/>
        <v>0.1</v>
      </c>
      <c r="L16" s="1040">
        <f t="shared" si="11"/>
        <v>0.11</v>
      </c>
      <c r="M16" s="99" t="s">
        <v>1007</v>
      </c>
      <c r="N16" s="114">
        <f t="shared" si="100"/>
        <v>0</v>
      </c>
      <c r="O16" s="116">
        <v>1800000</v>
      </c>
      <c r="P16" s="704">
        <f t="shared" si="13"/>
        <v>586069.63</v>
      </c>
      <c r="Q16" s="704">
        <f t="shared" si="14"/>
        <v>70424.800000000003</v>
      </c>
      <c r="R16" s="704">
        <f t="shared" si="15"/>
        <v>656494.43000000005</v>
      </c>
      <c r="S16" s="116">
        <f t="shared" si="16"/>
        <v>-1143505.5699999998</v>
      </c>
      <c r="T16" s="94">
        <f t="shared" si="68"/>
        <v>0.36471912777777782</v>
      </c>
      <c r="U16" s="121">
        <f t="shared" si="17"/>
        <v>0</v>
      </c>
      <c r="V16" s="416">
        <v>1800000</v>
      </c>
      <c r="W16" s="113">
        <f t="shared" si="19"/>
        <v>822620.94000000006</v>
      </c>
      <c r="X16" s="704">
        <f t="shared" si="20"/>
        <v>39976.720000000001</v>
      </c>
      <c r="Y16" s="117">
        <f t="shared" si="21"/>
        <v>862597.66</v>
      </c>
      <c r="Z16" s="114">
        <f t="shared" si="22"/>
        <v>-937402.34</v>
      </c>
      <c r="AA16" s="413">
        <f t="shared" si="69"/>
        <v>0.47922092222222223</v>
      </c>
      <c r="AB16" s="114">
        <f t="shared" si="23"/>
        <v>0</v>
      </c>
      <c r="AC16" s="116">
        <v>1800000</v>
      </c>
      <c r="AD16" s="326">
        <f t="shared" si="25"/>
        <v>3319074.0300000003</v>
      </c>
      <c r="AE16" s="326">
        <f t="shared" si="26"/>
        <v>42375.360000000001</v>
      </c>
      <c r="AF16" s="326">
        <f t="shared" si="27"/>
        <v>3361449.39</v>
      </c>
      <c r="AG16" s="116">
        <f t="shared" si="83"/>
        <v>1561449.3900000001</v>
      </c>
      <c r="AH16" s="97">
        <f t="shared" si="84"/>
        <v>1.8674718833333335</v>
      </c>
      <c r="AI16" s="416">
        <f t="shared" si="85"/>
        <v>5400000</v>
      </c>
      <c r="AJ16" s="416">
        <f t="shared" si="108"/>
        <v>2140421.16</v>
      </c>
      <c r="AK16" s="116">
        <f t="shared" ref="AK16:AM16" si="130">SUM(P16,W16,AD16)</f>
        <v>4727764.6000000006</v>
      </c>
      <c r="AL16" s="116">
        <f t="shared" si="130"/>
        <v>152776.88</v>
      </c>
      <c r="AM16" s="116">
        <f t="shared" si="130"/>
        <v>4880541.4800000004</v>
      </c>
      <c r="AN16" s="116">
        <f t="shared" si="31"/>
        <v>-519458.51999999955</v>
      </c>
      <c r="AO16" s="413">
        <f t="shared" si="110"/>
        <v>0.90380397777777788</v>
      </c>
      <c r="AP16" s="125">
        <f t="shared" si="102"/>
        <v>0</v>
      </c>
      <c r="AQ16" s="140">
        <f t="shared" si="32"/>
        <v>212369.99</v>
      </c>
      <c r="AR16" s="123">
        <f t="shared" si="33"/>
        <v>0</v>
      </c>
      <c r="AS16" s="148">
        <f t="shared" si="34"/>
        <v>212369.99</v>
      </c>
      <c r="AT16" s="125">
        <f t="shared" si="35"/>
        <v>0</v>
      </c>
      <c r="AU16" s="140">
        <f t="shared" si="36"/>
        <v>350312.98000000004</v>
      </c>
      <c r="AV16" s="326">
        <f t="shared" si="37"/>
        <v>31057.599999999999</v>
      </c>
      <c r="AW16" s="333">
        <f t="shared" si="38"/>
        <v>381370.58</v>
      </c>
      <c r="AX16" s="125">
        <f t="shared" si="39"/>
        <v>215752.02</v>
      </c>
      <c r="AY16" s="1041">
        <f t="shared" si="40"/>
        <v>367447.55</v>
      </c>
      <c r="AZ16" s="123">
        <f t="shared" si="41"/>
        <v>0</v>
      </c>
      <c r="BA16" s="125">
        <f t="shared" si="42"/>
        <v>367447.55</v>
      </c>
      <c r="BB16" s="122">
        <f t="shared" ref="BB16:BD16" si="131">SUM(AY16,AU16,AQ16)</f>
        <v>930130.52</v>
      </c>
      <c r="BC16" s="326">
        <f t="shared" si="131"/>
        <v>31057.599999999999</v>
      </c>
      <c r="BD16" s="333">
        <f t="shared" si="131"/>
        <v>961188.12</v>
      </c>
      <c r="BE16" s="123">
        <f t="shared" si="44"/>
        <v>5688952.7200000007</v>
      </c>
      <c r="BF16" s="326">
        <f t="shared" ref="BF16:BG16" si="132">BC16+AL16</f>
        <v>183834.48</v>
      </c>
      <c r="BG16" s="435">
        <f t="shared" si="132"/>
        <v>5841729.6000000006</v>
      </c>
      <c r="BH16" s="125">
        <f t="shared" si="46"/>
        <v>404325.63</v>
      </c>
      <c r="BI16" s="1041">
        <f t="shared" si="47"/>
        <v>229194.13999999998</v>
      </c>
      <c r="BJ16" s="326">
        <f t="shared" si="48"/>
        <v>44494.16</v>
      </c>
      <c r="BK16" s="1045">
        <f t="shared" si="49"/>
        <v>273688.3</v>
      </c>
      <c r="BL16" s="125">
        <f t="shared" si="105"/>
        <v>671704.98</v>
      </c>
      <c r="BM16" s="141">
        <f t="shared" si="50"/>
        <v>436046.48999999993</v>
      </c>
      <c r="BN16" s="332">
        <f t="shared" si="51"/>
        <v>122512.46</v>
      </c>
      <c r="BO16" s="333">
        <f t="shared" si="52"/>
        <v>558558.94999999995</v>
      </c>
      <c r="BP16" s="125">
        <f t="shared" si="106"/>
        <v>320858.25</v>
      </c>
      <c r="BQ16" s="140">
        <f t="shared" si="53"/>
        <v>1098002.18</v>
      </c>
      <c r="BR16" s="123">
        <f t="shared" si="54"/>
        <v>0</v>
      </c>
      <c r="BS16" s="148">
        <f t="shared" si="55"/>
        <v>1098002.18</v>
      </c>
      <c r="BT16" s="140">
        <f t="shared" ref="BT16:BV16" si="133">SUM(BQ16,BM16,BI16)</f>
        <v>1763242.8099999998</v>
      </c>
      <c r="BU16" s="123">
        <f t="shared" si="133"/>
        <v>167006.62</v>
      </c>
      <c r="BV16" s="148">
        <f t="shared" si="133"/>
        <v>1930249.43</v>
      </c>
      <c r="BW16" s="125">
        <f t="shared" si="57"/>
        <v>1049374.57</v>
      </c>
      <c r="BX16" s="140">
        <f t="shared" si="58"/>
        <v>507747.34</v>
      </c>
      <c r="BY16" s="123">
        <f t="shared" si="59"/>
        <v>0</v>
      </c>
      <c r="BZ16" s="148">
        <f t="shared" si="60"/>
        <v>507747.34</v>
      </c>
      <c r="CA16" s="123">
        <f t="shared" si="61"/>
        <v>412711.86</v>
      </c>
      <c r="CB16" s="326">
        <f t="shared" si="62"/>
        <v>678334.73</v>
      </c>
      <c r="CE16" s="231" t="s">
        <v>86</v>
      </c>
      <c r="CF16" s="232"/>
      <c r="CG16" s="232"/>
    </row>
    <row r="17" spans="1:85" ht="15.75" customHeight="1">
      <c r="A17" s="436">
        <f t="shared" si="0"/>
        <v>112010582</v>
      </c>
      <c r="B17" s="93">
        <f t="shared" si="1"/>
        <v>7</v>
      </c>
      <c r="C17" s="558">
        <f t="shared" si="2"/>
        <v>0.1</v>
      </c>
      <c r="D17" s="558">
        <f t="shared" si="3"/>
        <v>0.2</v>
      </c>
      <c r="E17" s="715">
        <f t="shared" si="4"/>
        <v>0</v>
      </c>
      <c r="F17" s="701">
        <f t="shared" si="5"/>
        <v>7</v>
      </c>
      <c r="G17" s="700">
        <f t="shared" si="6"/>
        <v>0.1</v>
      </c>
      <c r="H17" s="700">
        <f t="shared" si="7"/>
        <v>0.2</v>
      </c>
      <c r="I17" s="702">
        <f t="shared" si="8"/>
        <v>0</v>
      </c>
      <c r="J17" s="837">
        <f t="shared" si="9"/>
        <v>62</v>
      </c>
      <c r="K17" s="699">
        <f t="shared" si="10"/>
        <v>0.1</v>
      </c>
      <c r="L17" s="1040">
        <f t="shared" si="11"/>
        <v>0.11</v>
      </c>
      <c r="M17" s="139" t="s">
        <v>1008</v>
      </c>
      <c r="N17" s="123">
        <f t="shared" si="100"/>
        <v>1647172.23</v>
      </c>
      <c r="O17" s="116">
        <f t="shared" ref="O17:O19" si="134">(N17*1.601)*1.05</f>
        <v>2768978.8772415002</v>
      </c>
      <c r="P17" s="704">
        <f t="shared" si="13"/>
        <v>1356822.88</v>
      </c>
      <c r="Q17" s="704">
        <f t="shared" si="14"/>
        <v>0</v>
      </c>
      <c r="R17" s="704">
        <f t="shared" si="15"/>
        <v>1356822.88</v>
      </c>
      <c r="S17" s="326">
        <f t="shared" si="16"/>
        <v>-1412155.9972415003</v>
      </c>
      <c r="T17" s="137">
        <f t="shared" si="68"/>
        <v>0.49000838942898978</v>
      </c>
      <c r="U17" s="332">
        <f t="shared" si="17"/>
        <v>2105737.79</v>
      </c>
      <c r="V17" s="416">
        <f>(U17*1.7245)*1.05</f>
        <v>3812912.0597977499</v>
      </c>
      <c r="W17" s="113">
        <f t="shared" si="19"/>
        <v>1682852.3400000003</v>
      </c>
      <c r="X17" s="704">
        <f t="shared" si="20"/>
        <v>432898.86</v>
      </c>
      <c r="Y17" s="117">
        <f t="shared" si="21"/>
        <v>2115751.2000000002</v>
      </c>
      <c r="Z17" s="123">
        <f t="shared" si="22"/>
        <v>-1697160.8597977497</v>
      </c>
      <c r="AA17" s="98">
        <f t="shared" si="69"/>
        <v>0.55489116109124925</v>
      </c>
      <c r="AB17" s="123">
        <f t="shared" si="23"/>
        <v>564893.91</v>
      </c>
      <c r="AC17" s="116">
        <v>1800000</v>
      </c>
      <c r="AD17" s="326">
        <f t="shared" si="25"/>
        <v>1460798.33</v>
      </c>
      <c r="AE17" s="326">
        <f t="shared" si="26"/>
        <v>380757.92</v>
      </c>
      <c r="AF17" s="326">
        <f t="shared" si="27"/>
        <v>1841556.25</v>
      </c>
      <c r="AG17" s="326">
        <f t="shared" si="83"/>
        <v>41556.25</v>
      </c>
      <c r="AH17" s="494">
        <f t="shared" si="84"/>
        <v>1.0230868055555555</v>
      </c>
      <c r="AI17" s="141">
        <f t="shared" si="85"/>
        <v>8381890.9370392505</v>
      </c>
      <c r="AJ17" s="416">
        <f t="shared" si="108"/>
        <v>5249440.7300000004</v>
      </c>
      <c r="AK17" s="326">
        <f t="shared" ref="AK17:AM17" si="135">SUM(P17,W17,AD17)</f>
        <v>4500473.5500000007</v>
      </c>
      <c r="AL17" s="326">
        <f t="shared" si="135"/>
        <v>813656.78</v>
      </c>
      <c r="AM17" s="326">
        <f t="shared" si="135"/>
        <v>5314130.33</v>
      </c>
      <c r="AN17" s="326">
        <f t="shared" si="31"/>
        <v>-3067760.6070392504</v>
      </c>
      <c r="AO17" s="98">
        <f t="shared" si="110"/>
        <v>0.63400136913224014</v>
      </c>
      <c r="AP17" s="125">
        <f t="shared" si="102"/>
        <v>2015148.7</v>
      </c>
      <c r="AQ17" s="140">
        <f t="shared" si="32"/>
        <v>983265.58000000007</v>
      </c>
      <c r="AR17" s="123">
        <f t="shared" si="33"/>
        <v>1328145.8799999999</v>
      </c>
      <c r="AS17" s="148">
        <f t="shared" si="34"/>
        <v>2311411.46</v>
      </c>
      <c r="AT17" s="125">
        <f t="shared" si="35"/>
        <v>662993.34</v>
      </c>
      <c r="AU17" s="140">
        <f t="shared" si="36"/>
        <v>1467745.1099999999</v>
      </c>
      <c r="AV17" s="326">
        <f t="shared" si="37"/>
        <v>1114582.3999999999</v>
      </c>
      <c r="AW17" s="333">
        <f t="shared" si="38"/>
        <v>2582327.5099999998</v>
      </c>
      <c r="AX17" s="125">
        <f t="shared" si="39"/>
        <v>878379.87</v>
      </c>
      <c r="AY17" s="1041">
        <f t="shared" si="40"/>
        <v>743578.05</v>
      </c>
      <c r="AZ17" s="123">
        <f t="shared" si="41"/>
        <v>897526.8</v>
      </c>
      <c r="BA17" s="125">
        <f t="shared" si="42"/>
        <v>1641104.85</v>
      </c>
      <c r="BB17" s="122">
        <f t="shared" ref="BB17:BD17" si="136">SUM(AY17,AU17,AQ17)</f>
        <v>3194588.74</v>
      </c>
      <c r="BC17" s="326">
        <f t="shared" si="136"/>
        <v>3340255.08</v>
      </c>
      <c r="BD17" s="333">
        <f t="shared" si="136"/>
        <v>6534843.8199999994</v>
      </c>
      <c r="BE17" s="123">
        <f t="shared" si="44"/>
        <v>11035317.370000001</v>
      </c>
      <c r="BF17" s="326">
        <f t="shared" ref="BF17:BG17" si="137">BC17+AL17</f>
        <v>4153911.8600000003</v>
      </c>
      <c r="BG17" s="435">
        <f t="shared" si="137"/>
        <v>11848974.149999999</v>
      </c>
      <c r="BH17" s="125">
        <f t="shared" si="46"/>
        <v>820207.42</v>
      </c>
      <c r="BI17" s="1041">
        <f t="shared" si="47"/>
        <v>670211.23</v>
      </c>
      <c r="BJ17" s="326">
        <f t="shared" si="48"/>
        <v>434310.7</v>
      </c>
      <c r="BK17" s="1045">
        <f t="shared" si="49"/>
        <v>1104521.93</v>
      </c>
      <c r="BL17" s="125">
        <f t="shared" si="105"/>
        <v>1778816.88</v>
      </c>
      <c r="BM17" s="141">
        <f t="shared" si="50"/>
        <v>572778.63</v>
      </c>
      <c r="BN17" s="332">
        <f t="shared" si="51"/>
        <v>953238.08</v>
      </c>
      <c r="BO17" s="333">
        <f t="shared" si="52"/>
        <v>1526016.71</v>
      </c>
      <c r="BP17" s="125">
        <f t="shared" si="106"/>
        <v>1074031.02</v>
      </c>
      <c r="BQ17" s="140">
        <f t="shared" si="53"/>
        <v>1062955.98</v>
      </c>
      <c r="BR17" s="123">
        <f t="shared" si="54"/>
        <v>850656.48</v>
      </c>
      <c r="BS17" s="148">
        <f t="shared" si="55"/>
        <v>1913612.46</v>
      </c>
      <c r="BT17" s="140">
        <f t="shared" ref="BT17:BV17" si="138">SUM(BQ17,BM17,BI17)</f>
        <v>2305945.84</v>
      </c>
      <c r="BU17" s="123">
        <f t="shared" si="138"/>
        <v>2238205.2600000002</v>
      </c>
      <c r="BV17" s="148">
        <f t="shared" si="138"/>
        <v>4544151.0999999996</v>
      </c>
      <c r="BW17" s="125">
        <f t="shared" si="57"/>
        <v>1605706.1</v>
      </c>
      <c r="BX17" s="140">
        <f t="shared" si="58"/>
        <v>2057661.23</v>
      </c>
      <c r="BY17" s="123">
        <f t="shared" si="59"/>
        <v>643429.07999999996</v>
      </c>
      <c r="BZ17" s="148">
        <f t="shared" si="60"/>
        <v>2701090.31</v>
      </c>
      <c r="CA17" s="123">
        <f t="shared" si="61"/>
        <v>2171003.58</v>
      </c>
      <c r="CB17" s="326">
        <f t="shared" si="62"/>
        <v>1472731.05</v>
      </c>
      <c r="CE17" s="242" t="s">
        <v>88</v>
      </c>
      <c r="CF17" s="243"/>
      <c r="CG17" s="243"/>
    </row>
    <row r="18" spans="1:85" ht="15.75" customHeight="1">
      <c r="A18" s="436">
        <f t="shared" si="0"/>
        <v>112013217</v>
      </c>
      <c r="B18" s="93">
        <f t="shared" si="1"/>
        <v>7</v>
      </c>
      <c r="C18" s="699">
        <f t="shared" si="2"/>
        <v>0.1</v>
      </c>
      <c r="D18" s="699">
        <f t="shared" si="3"/>
        <v>0.2</v>
      </c>
      <c r="E18" s="700">
        <f t="shared" si="4"/>
        <v>0</v>
      </c>
      <c r="F18" s="701">
        <f t="shared" si="5"/>
        <v>7</v>
      </c>
      <c r="G18" s="700">
        <f t="shared" si="6"/>
        <v>0.1</v>
      </c>
      <c r="H18" s="700">
        <f t="shared" si="7"/>
        <v>0.2</v>
      </c>
      <c r="I18" s="702">
        <f t="shared" si="8"/>
        <v>0</v>
      </c>
      <c r="J18" s="837">
        <f t="shared" si="9"/>
        <v>62</v>
      </c>
      <c r="K18" s="699">
        <f t="shared" si="10"/>
        <v>0.1</v>
      </c>
      <c r="L18" s="1040">
        <f t="shared" si="11"/>
        <v>0.11</v>
      </c>
      <c r="M18" s="99" t="s">
        <v>1009</v>
      </c>
      <c r="N18" s="114">
        <f t="shared" si="100"/>
        <v>1849062.63</v>
      </c>
      <c r="O18" s="116">
        <f t="shared" si="134"/>
        <v>3108366.7341614999</v>
      </c>
      <c r="P18" s="704">
        <f t="shared" si="13"/>
        <v>808386.82000000007</v>
      </c>
      <c r="Q18" s="704">
        <f t="shared" si="14"/>
        <v>204163.18</v>
      </c>
      <c r="R18" s="704">
        <f t="shared" si="15"/>
        <v>1012550</v>
      </c>
      <c r="S18" s="326">
        <f t="shared" si="16"/>
        <v>-2095816.7341614999</v>
      </c>
      <c r="T18" s="137">
        <f t="shared" si="68"/>
        <v>0.32574985083706387</v>
      </c>
      <c r="U18" s="121">
        <f t="shared" si="17"/>
        <v>618990.79</v>
      </c>
      <c r="V18" s="416">
        <v>1800000</v>
      </c>
      <c r="W18" s="113">
        <f t="shared" si="19"/>
        <v>410220.64999999997</v>
      </c>
      <c r="X18" s="704">
        <f t="shared" si="20"/>
        <v>181353.94</v>
      </c>
      <c r="Y18" s="117">
        <f t="shared" si="21"/>
        <v>591574.59</v>
      </c>
      <c r="Z18" s="123">
        <f t="shared" si="22"/>
        <v>-1208425.4100000001</v>
      </c>
      <c r="AA18" s="98">
        <f t="shared" si="69"/>
        <v>0.32865254999999999</v>
      </c>
      <c r="AB18" s="114">
        <f t="shared" si="23"/>
        <v>590353.74</v>
      </c>
      <c r="AC18" s="116">
        <v>1800000</v>
      </c>
      <c r="AD18" s="326">
        <f t="shared" si="25"/>
        <v>842420.36999999988</v>
      </c>
      <c r="AE18" s="326">
        <f t="shared" si="26"/>
        <v>203881.57</v>
      </c>
      <c r="AF18" s="326">
        <f t="shared" si="27"/>
        <v>1046301.94</v>
      </c>
      <c r="AG18" s="326">
        <f t="shared" si="83"/>
        <v>-753698.06</v>
      </c>
      <c r="AH18" s="494">
        <f t="shared" si="84"/>
        <v>0.58127885555555547</v>
      </c>
      <c r="AI18" s="416">
        <f t="shared" si="85"/>
        <v>6708366.7341614999</v>
      </c>
      <c r="AJ18" s="416">
        <f t="shared" si="108"/>
        <v>2595934.27</v>
      </c>
      <c r="AK18" s="326">
        <f t="shared" ref="AK18:AM18" si="139">SUM(P18,W18,AD18)</f>
        <v>2061027.8399999999</v>
      </c>
      <c r="AL18" s="326">
        <f t="shared" si="139"/>
        <v>589398.68999999994</v>
      </c>
      <c r="AM18" s="326">
        <f t="shared" si="139"/>
        <v>2650426.5299999998</v>
      </c>
      <c r="AN18" s="326">
        <f t="shared" si="31"/>
        <v>-4057940.2041615001</v>
      </c>
      <c r="AO18" s="98">
        <f t="shared" si="110"/>
        <v>0.39509267084386451</v>
      </c>
      <c r="AP18" s="125">
        <f t="shared" si="102"/>
        <v>917031.26</v>
      </c>
      <c r="AQ18" s="140">
        <f t="shared" si="32"/>
        <v>536402.30000000005</v>
      </c>
      <c r="AR18" s="123">
        <f t="shared" si="33"/>
        <v>107294.1</v>
      </c>
      <c r="AS18" s="148">
        <f t="shared" si="34"/>
        <v>643696.4</v>
      </c>
      <c r="AT18" s="125">
        <f t="shared" si="35"/>
        <v>528067.80000000005</v>
      </c>
      <c r="AU18" s="140">
        <f t="shared" si="36"/>
        <v>514562.48</v>
      </c>
      <c r="AV18" s="326">
        <f t="shared" si="37"/>
        <v>270506.51</v>
      </c>
      <c r="AW18" s="333">
        <f t="shared" si="38"/>
        <v>785068.99</v>
      </c>
      <c r="AX18" s="125">
        <f t="shared" si="39"/>
        <v>728479.65</v>
      </c>
      <c r="AY18" s="1041">
        <f t="shared" si="40"/>
        <v>566240.56999999995</v>
      </c>
      <c r="AZ18" s="123">
        <f t="shared" si="41"/>
        <v>101632.3</v>
      </c>
      <c r="BA18" s="125">
        <f t="shared" si="42"/>
        <v>667872.87</v>
      </c>
      <c r="BB18" s="122">
        <f t="shared" ref="BB18:BD18" si="140">SUM(AY18,AU18,AQ18)</f>
        <v>1617205.3499999999</v>
      </c>
      <c r="BC18" s="326">
        <f t="shared" si="140"/>
        <v>479432.91000000003</v>
      </c>
      <c r="BD18" s="333">
        <f t="shared" si="140"/>
        <v>2096638.2599999998</v>
      </c>
      <c r="BE18" s="123">
        <f t="shared" si="44"/>
        <v>4157666.0999999996</v>
      </c>
      <c r="BF18" s="326">
        <f t="shared" ref="BF18:BG18" si="141">BC18+AL18</f>
        <v>1068831.6000000001</v>
      </c>
      <c r="BG18" s="435">
        <f t="shared" si="141"/>
        <v>4747064.7899999991</v>
      </c>
      <c r="BH18" s="125">
        <f t="shared" si="46"/>
        <v>925049.5</v>
      </c>
      <c r="BI18" s="1041">
        <f t="shared" si="47"/>
        <v>128245.26000000001</v>
      </c>
      <c r="BJ18" s="326">
        <f t="shared" si="48"/>
        <v>108690.03</v>
      </c>
      <c r="BK18" s="1045">
        <f t="shared" si="49"/>
        <v>236935.29</v>
      </c>
      <c r="BL18" s="125">
        <f t="shared" si="105"/>
        <v>781004.97</v>
      </c>
      <c r="BM18" s="141">
        <f t="shared" si="50"/>
        <v>497304.98</v>
      </c>
      <c r="BN18" s="332">
        <f t="shared" si="51"/>
        <v>177122.17</v>
      </c>
      <c r="BO18" s="333">
        <f t="shared" si="52"/>
        <v>674427.15</v>
      </c>
      <c r="BP18" s="125">
        <f t="shared" si="106"/>
        <v>822723.61</v>
      </c>
      <c r="BQ18" s="140">
        <f t="shared" si="53"/>
        <v>1118429.43</v>
      </c>
      <c r="BR18" s="123">
        <f t="shared" si="54"/>
        <v>161745.46</v>
      </c>
      <c r="BS18" s="148">
        <f t="shared" si="55"/>
        <v>1280174.8899999999</v>
      </c>
      <c r="BT18" s="140">
        <f t="shared" ref="BT18:BV18" si="142">SUM(BQ18,BM18,BI18)</f>
        <v>1743979.67</v>
      </c>
      <c r="BU18" s="123">
        <f t="shared" si="142"/>
        <v>447557.66000000003</v>
      </c>
      <c r="BV18" s="148">
        <f t="shared" si="142"/>
        <v>2191537.33</v>
      </c>
      <c r="BW18" s="125">
        <f t="shared" si="57"/>
        <v>1203079.5900000001</v>
      </c>
      <c r="BX18" s="140">
        <f t="shared" si="58"/>
        <v>1044791.05</v>
      </c>
      <c r="BY18" s="123">
        <f t="shared" si="59"/>
        <v>194440.01</v>
      </c>
      <c r="BZ18" s="148">
        <f t="shared" si="60"/>
        <v>1239231.06</v>
      </c>
      <c r="CA18" s="123">
        <f t="shared" si="61"/>
        <v>701522.04</v>
      </c>
      <c r="CB18" s="326">
        <f t="shared" si="62"/>
        <v>691332.64</v>
      </c>
      <c r="CE18" s="242" t="s">
        <v>90</v>
      </c>
      <c r="CF18" s="243"/>
      <c r="CG18" s="243"/>
    </row>
    <row r="19" spans="1:85" ht="15.75" customHeight="1">
      <c r="A19" s="436">
        <f t="shared" si="0"/>
        <v>112012574</v>
      </c>
      <c r="B19" s="93">
        <f t="shared" si="1"/>
        <v>30</v>
      </c>
      <c r="C19" s="558">
        <f t="shared" si="2"/>
        <v>0.1</v>
      </c>
      <c r="D19" s="558">
        <f t="shared" si="3"/>
        <v>0.15</v>
      </c>
      <c r="E19" s="715">
        <f t="shared" si="4"/>
        <v>0</v>
      </c>
      <c r="F19" s="701">
        <f t="shared" si="5"/>
        <v>30</v>
      </c>
      <c r="G19" s="700">
        <f t="shared" si="6"/>
        <v>0.1</v>
      </c>
      <c r="H19" s="700">
        <f t="shared" si="7"/>
        <v>0.15</v>
      </c>
      <c r="I19" s="702">
        <f t="shared" si="8"/>
        <v>0</v>
      </c>
      <c r="J19" s="837">
        <f t="shared" si="9"/>
        <v>62</v>
      </c>
      <c r="K19" s="699">
        <f t="shared" si="10"/>
        <v>0.1</v>
      </c>
      <c r="L19" s="1040">
        <f t="shared" si="11"/>
        <v>0.11</v>
      </c>
      <c r="M19" s="139" t="s">
        <v>1010</v>
      </c>
      <c r="N19" s="123">
        <f t="shared" si="100"/>
        <v>1206003.32</v>
      </c>
      <c r="O19" s="326">
        <f t="shared" si="134"/>
        <v>2027351.8810860002</v>
      </c>
      <c r="P19" s="704">
        <f t="shared" si="13"/>
        <v>1157629.6100000001</v>
      </c>
      <c r="Q19" s="704">
        <f t="shared" si="14"/>
        <v>617461.73</v>
      </c>
      <c r="R19" s="704">
        <f t="shared" si="15"/>
        <v>1775091.34</v>
      </c>
      <c r="S19" s="326">
        <f t="shared" si="16"/>
        <v>-252260.54108600016</v>
      </c>
      <c r="T19" s="137">
        <f t="shared" si="68"/>
        <v>0.87557140749001561</v>
      </c>
      <c r="U19" s="332">
        <f t="shared" si="17"/>
        <v>796920.25</v>
      </c>
      <c r="V19" s="141">
        <v>1800000</v>
      </c>
      <c r="W19" s="113">
        <f t="shared" si="19"/>
        <v>1109321.3799999999</v>
      </c>
      <c r="X19" s="704">
        <f t="shared" si="20"/>
        <v>182413.33</v>
      </c>
      <c r="Y19" s="117">
        <f t="shared" si="21"/>
        <v>1291734.71</v>
      </c>
      <c r="Z19" s="123">
        <f t="shared" si="22"/>
        <v>-508265.29000000004</v>
      </c>
      <c r="AA19" s="98">
        <f t="shared" si="69"/>
        <v>0.71763039444444443</v>
      </c>
      <c r="AB19" s="123">
        <f t="shared" si="23"/>
        <v>1289177.43</v>
      </c>
      <c r="AC19" s="326">
        <f>(AB19*1.5955)*1.03</f>
        <v>2118589.06725195</v>
      </c>
      <c r="AD19" s="326">
        <f t="shared" si="25"/>
        <v>957041.4</v>
      </c>
      <c r="AE19" s="326">
        <f t="shared" si="26"/>
        <v>430257.65</v>
      </c>
      <c r="AF19" s="326">
        <f t="shared" si="27"/>
        <v>1387299.05</v>
      </c>
      <c r="AG19" s="326">
        <f t="shared" si="83"/>
        <v>-731290.01725194999</v>
      </c>
      <c r="AH19" s="494">
        <f t="shared" si="84"/>
        <v>0.65482215095138008</v>
      </c>
      <c r="AI19" s="141">
        <f t="shared" si="85"/>
        <v>5945940.9483379498</v>
      </c>
      <c r="AJ19" s="416">
        <f t="shared" si="108"/>
        <v>4805408.2699999996</v>
      </c>
      <c r="AK19" s="326">
        <f t="shared" ref="AK19:AM19" si="143">SUM(P19,W19,AD19)</f>
        <v>3223992.39</v>
      </c>
      <c r="AL19" s="326">
        <f t="shared" si="143"/>
        <v>1230132.71</v>
      </c>
      <c r="AM19" s="326">
        <f t="shared" si="143"/>
        <v>4454125.0999999996</v>
      </c>
      <c r="AN19" s="326">
        <f t="shared" si="31"/>
        <v>-1491815.8483379502</v>
      </c>
      <c r="AO19" s="98">
        <f t="shared" si="110"/>
        <v>0.74910348735384724</v>
      </c>
      <c r="AP19" s="125">
        <f t="shared" si="102"/>
        <v>934943.82</v>
      </c>
      <c r="AQ19" s="140">
        <f t="shared" si="32"/>
        <v>1195292.19</v>
      </c>
      <c r="AR19" s="123">
        <f t="shared" si="33"/>
        <v>118066.57</v>
      </c>
      <c r="AS19" s="148">
        <f t="shared" si="34"/>
        <v>1313358.76</v>
      </c>
      <c r="AT19" s="125">
        <f t="shared" si="35"/>
        <v>877930.09</v>
      </c>
      <c r="AU19" s="140">
        <f t="shared" si="36"/>
        <v>959750.35999999987</v>
      </c>
      <c r="AV19" s="326">
        <f t="shared" si="37"/>
        <v>248114.79</v>
      </c>
      <c r="AW19" s="333">
        <f t="shared" si="38"/>
        <v>1207865.1499999999</v>
      </c>
      <c r="AX19" s="125">
        <f t="shared" si="39"/>
        <v>691321.21</v>
      </c>
      <c r="AY19" s="1041">
        <f t="shared" si="40"/>
        <v>932317.78</v>
      </c>
      <c r="AZ19" s="123">
        <f t="shared" si="41"/>
        <v>340517.18</v>
      </c>
      <c r="BA19" s="125">
        <f t="shared" si="42"/>
        <v>1272834.96</v>
      </c>
      <c r="BB19" s="122">
        <f t="shared" ref="BB19:BD19" si="144">SUM(AY19,AU19,AQ19)</f>
        <v>3087360.33</v>
      </c>
      <c r="BC19" s="326">
        <f t="shared" si="144"/>
        <v>706698.54</v>
      </c>
      <c r="BD19" s="333">
        <f t="shared" si="144"/>
        <v>3794058.87</v>
      </c>
      <c r="BE19" s="123">
        <f t="shared" si="44"/>
        <v>7018051.2599999998</v>
      </c>
      <c r="BF19" s="326">
        <f t="shared" ref="BF19:BG19" si="145">BC19+AL19</f>
        <v>1936831.25</v>
      </c>
      <c r="BG19" s="435">
        <f t="shared" si="145"/>
        <v>8248183.9699999997</v>
      </c>
      <c r="BH19" s="125">
        <f t="shared" si="46"/>
        <v>1063259.24</v>
      </c>
      <c r="BI19" s="1041">
        <f t="shared" si="47"/>
        <v>606222.18999999994</v>
      </c>
      <c r="BJ19" s="326">
        <f t="shared" si="48"/>
        <v>401891.32</v>
      </c>
      <c r="BK19" s="1045">
        <f t="shared" si="49"/>
        <v>1008113.51</v>
      </c>
      <c r="BL19" s="125">
        <f t="shared" si="105"/>
        <v>840275.43</v>
      </c>
      <c r="BM19" s="141">
        <f t="shared" si="50"/>
        <v>1013019.67</v>
      </c>
      <c r="BN19" s="332">
        <f t="shared" si="51"/>
        <v>283219.61</v>
      </c>
      <c r="BO19" s="333">
        <f t="shared" si="52"/>
        <v>1296239.28</v>
      </c>
      <c r="BP19" s="125">
        <f t="shared" si="106"/>
        <v>1528851.32</v>
      </c>
      <c r="BQ19" s="140">
        <f t="shared" si="53"/>
        <v>1186800.77</v>
      </c>
      <c r="BR19" s="123">
        <f t="shared" si="54"/>
        <v>450758.25</v>
      </c>
      <c r="BS19" s="148">
        <f t="shared" si="55"/>
        <v>1637559.02</v>
      </c>
      <c r="BT19" s="140">
        <f t="shared" ref="BT19:BV19" si="146">SUM(BQ19,BM19,BI19)</f>
        <v>2806042.63</v>
      </c>
      <c r="BU19" s="123">
        <f t="shared" si="146"/>
        <v>1135869.18</v>
      </c>
      <c r="BV19" s="148">
        <f t="shared" si="146"/>
        <v>3941911.8099999996</v>
      </c>
      <c r="BW19" s="125">
        <f t="shared" si="57"/>
        <v>1368837.39</v>
      </c>
      <c r="BX19" s="140">
        <f t="shared" si="58"/>
        <v>2037383.55</v>
      </c>
      <c r="BY19" s="123">
        <f t="shared" si="59"/>
        <v>571224.19999999995</v>
      </c>
      <c r="BZ19" s="148">
        <f t="shared" si="60"/>
        <v>2608607.75</v>
      </c>
      <c r="CA19" s="123">
        <f t="shared" si="61"/>
        <v>1671387.19</v>
      </c>
      <c r="CB19" s="326">
        <f t="shared" si="62"/>
        <v>1765183.69</v>
      </c>
      <c r="CE19" s="242" t="s">
        <v>92</v>
      </c>
      <c r="CF19" s="242"/>
      <c r="CG19" s="242"/>
    </row>
    <row r="20" spans="1:85" ht="15.75" customHeight="1">
      <c r="A20" s="436">
        <f t="shared" si="0"/>
        <v>112012450</v>
      </c>
      <c r="B20" s="93">
        <f t="shared" si="1"/>
        <v>30</v>
      </c>
      <c r="C20" s="558">
        <f t="shared" si="2"/>
        <v>0.1</v>
      </c>
      <c r="D20" s="558">
        <f t="shared" si="3"/>
        <v>0.15</v>
      </c>
      <c r="E20" s="715">
        <f t="shared" si="4"/>
        <v>0</v>
      </c>
      <c r="F20" s="701">
        <f t="shared" si="5"/>
        <v>30</v>
      </c>
      <c r="G20" s="700">
        <f t="shared" si="6"/>
        <v>0.1</v>
      </c>
      <c r="H20" s="700">
        <f t="shared" si="7"/>
        <v>0.15</v>
      </c>
      <c r="I20" s="702">
        <f t="shared" si="8"/>
        <v>0</v>
      </c>
      <c r="J20" s="837">
        <f t="shared" si="9"/>
        <v>62</v>
      </c>
      <c r="K20" s="699">
        <f t="shared" si="10"/>
        <v>0.1</v>
      </c>
      <c r="L20" s="1040">
        <f t="shared" si="11"/>
        <v>0.11</v>
      </c>
      <c r="M20" s="139" t="s">
        <v>1011</v>
      </c>
      <c r="N20" s="123">
        <f t="shared" si="100"/>
        <v>508709.43</v>
      </c>
      <c r="O20" s="326">
        <v>1800000</v>
      </c>
      <c r="P20" s="704">
        <f t="shared" si="13"/>
        <v>876058.03</v>
      </c>
      <c r="Q20" s="704">
        <f t="shared" si="14"/>
        <v>39600</v>
      </c>
      <c r="R20" s="704">
        <f t="shared" si="15"/>
        <v>915658.03</v>
      </c>
      <c r="S20" s="326">
        <f t="shared" si="16"/>
        <v>-884341.97</v>
      </c>
      <c r="T20" s="137">
        <f t="shared" si="68"/>
        <v>0.50869890555555553</v>
      </c>
      <c r="U20" s="332">
        <f t="shared" si="17"/>
        <v>476536.74</v>
      </c>
      <c r="V20" s="141">
        <v>1800000</v>
      </c>
      <c r="W20" s="113">
        <f t="shared" si="19"/>
        <v>770926.81</v>
      </c>
      <c r="X20" s="704">
        <f t="shared" si="20"/>
        <v>0</v>
      </c>
      <c r="Y20" s="117">
        <f t="shared" si="21"/>
        <v>770926.81</v>
      </c>
      <c r="Z20" s="123">
        <f t="shared" si="22"/>
        <v>-1029073.19</v>
      </c>
      <c r="AA20" s="98">
        <f t="shared" si="69"/>
        <v>0.42829267222222223</v>
      </c>
      <c r="AB20" s="123">
        <f t="shared" si="23"/>
        <v>536883.74</v>
      </c>
      <c r="AC20" s="326">
        <v>1800000</v>
      </c>
      <c r="AD20" s="326">
        <f t="shared" si="25"/>
        <v>818169.38</v>
      </c>
      <c r="AE20" s="326">
        <f t="shared" si="26"/>
        <v>0</v>
      </c>
      <c r="AF20" s="326">
        <f t="shared" si="27"/>
        <v>818169.38</v>
      </c>
      <c r="AG20" s="326">
        <f t="shared" si="83"/>
        <v>-981830.62</v>
      </c>
      <c r="AH20" s="494">
        <f t="shared" si="84"/>
        <v>0.45453854444444447</v>
      </c>
      <c r="AI20" s="141">
        <f t="shared" si="85"/>
        <v>5400000</v>
      </c>
      <c r="AJ20" s="416">
        <f t="shared" si="108"/>
        <v>1710291.53</v>
      </c>
      <c r="AK20" s="326">
        <f t="shared" ref="AK20:AM20" si="147">SUM(P20,W20,AD20)</f>
        <v>2465154.2200000002</v>
      </c>
      <c r="AL20" s="326">
        <f t="shared" si="147"/>
        <v>39600</v>
      </c>
      <c r="AM20" s="326">
        <f t="shared" si="147"/>
        <v>2504754.2200000002</v>
      </c>
      <c r="AN20" s="326">
        <f t="shared" si="31"/>
        <v>-2895245.78</v>
      </c>
      <c r="AO20" s="98">
        <f t="shared" si="110"/>
        <v>0.46384337407407411</v>
      </c>
      <c r="AP20" s="125">
        <f t="shared" si="102"/>
        <v>1163378.42</v>
      </c>
      <c r="AQ20" s="140">
        <f t="shared" si="32"/>
        <v>671162.34</v>
      </c>
      <c r="AR20" s="123">
        <f t="shared" si="33"/>
        <v>0</v>
      </c>
      <c r="AS20" s="148">
        <f t="shared" si="34"/>
        <v>671162.34</v>
      </c>
      <c r="AT20" s="125">
        <f t="shared" si="35"/>
        <v>157982.15</v>
      </c>
      <c r="AU20" s="140">
        <f t="shared" si="36"/>
        <v>598277.81999999995</v>
      </c>
      <c r="AV20" s="326">
        <f t="shared" si="37"/>
        <v>0</v>
      </c>
      <c r="AW20" s="333">
        <f t="shared" si="38"/>
        <v>598277.81999999995</v>
      </c>
      <c r="AX20" s="125">
        <f t="shared" si="39"/>
        <v>115460.41</v>
      </c>
      <c r="AY20" s="1041">
        <f t="shared" si="40"/>
        <v>421134.37</v>
      </c>
      <c r="AZ20" s="123">
        <f t="shared" si="41"/>
        <v>0</v>
      </c>
      <c r="BA20" s="125">
        <f t="shared" si="42"/>
        <v>421134.37</v>
      </c>
      <c r="BB20" s="122">
        <f t="shared" ref="BB20:BD20" si="148">SUM(AY20,AU20,AQ20)</f>
        <v>1690574.5299999998</v>
      </c>
      <c r="BC20" s="326">
        <f t="shared" si="148"/>
        <v>0</v>
      </c>
      <c r="BD20" s="333">
        <f t="shared" si="148"/>
        <v>1690574.5299999998</v>
      </c>
      <c r="BE20" s="123">
        <f t="shared" si="44"/>
        <v>4155728.75</v>
      </c>
      <c r="BF20" s="326">
        <f t="shared" ref="BF20:BG20" si="149">BC20+AL20</f>
        <v>39600</v>
      </c>
      <c r="BG20" s="435">
        <f t="shared" si="149"/>
        <v>4195328.75</v>
      </c>
      <c r="BH20" s="125">
        <f t="shared" si="46"/>
        <v>657535.89</v>
      </c>
      <c r="BI20" s="1041">
        <f t="shared" si="47"/>
        <v>667214.19999999995</v>
      </c>
      <c r="BJ20" s="326">
        <f t="shared" si="48"/>
        <v>0</v>
      </c>
      <c r="BK20" s="1045">
        <f t="shared" si="49"/>
        <v>667214.19999999995</v>
      </c>
      <c r="BL20" s="125">
        <f t="shared" si="105"/>
        <v>525303.6</v>
      </c>
      <c r="BM20" s="141">
        <f t="shared" si="50"/>
        <v>382100.65</v>
      </c>
      <c r="BN20" s="332">
        <f t="shared" si="51"/>
        <v>0</v>
      </c>
      <c r="BO20" s="333">
        <f t="shared" si="52"/>
        <v>382100.65</v>
      </c>
      <c r="BP20" s="125">
        <f t="shared" si="106"/>
        <v>448295.24</v>
      </c>
      <c r="BQ20" s="140">
        <f t="shared" si="53"/>
        <v>979924.53</v>
      </c>
      <c r="BR20" s="123">
        <f t="shared" si="54"/>
        <v>0</v>
      </c>
      <c r="BS20" s="148">
        <f t="shared" si="55"/>
        <v>979924.53</v>
      </c>
      <c r="BT20" s="140">
        <f t="shared" ref="BT20:BV20" si="150">SUM(BQ20,BM20,BI20)</f>
        <v>2029239.3800000001</v>
      </c>
      <c r="BU20" s="123">
        <f t="shared" si="150"/>
        <v>0</v>
      </c>
      <c r="BV20" s="148">
        <f t="shared" si="150"/>
        <v>2029239.3800000001</v>
      </c>
      <c r="BW20" s="125">
        <f t="shared" si="57"/>
        <v>643740.71</v>
      </c>
      <c r="BX20" s="140">
        <f t="shared" si="58"/>
        <v>1226307</v>
      </c>
      <c r="BY20" s="123">
        <f t="shared" si="59"/>
        <v>0</v>
      </c>
      <c r="BZ20" s="148">
        <f t="shared" si="60"/>
        <v>1226307</v>
      </c>
      <c r="CA20" s="123">
        <f t="shared" si="61"/>
        <v>742210.62</v>
      </c>
      <c r="CB20" s="326">
        <f t="shared" si="62"/>
        <v>324340.2</v>
      </c>
      <c r="CE20" s="231" t="s">
        <v>94</v>
      </c>
      <c r="CF20" s="231"/>
      <c r="CG20" s="231"/>
    </row>
    <row r="21" spans="1:85" ht="15.75" customHeight="1">
      <c r="A21" s="436">
        <f t="shared" si="0"/>
        <v>112014283</v>
      </c>
      <c r="B21" s="93">
        <f t="shared" si="1"/>
        <v>22</v>
      </c>
      <c r="C21" s="558">
        <f t="shared" si="2"/>
        <v>0.1</v>
      </c>
      <c r="D21" s="558">
        <f t="shared" si="3"/>
        <v>0.09</v>
      </c>
      <c r="E21" s="715">
        <f t="shared" si="4"/>
        <v>0</v>
      </c>
      <c r="F21" s="701">
        <f t="shared" si="5"/>
        <v>22</v>
      </c>
      <c r="G21" s="700">
        <f t="shared" si="6"/>
        <v>0.1</v>
      </c>
      <c r="H21" s="700">
        <f t="shared" si="7"/>
        <v>0.09</v>
      </c>
      <c r="I21" s="702">
        <f t="shared" si="8"/>
        <v>0</v>
      </c>
      <c r="J21" s="837">
        <f t="shared" si="9"/>
        <v>63</v>
      </c>
      <c r="K21" s="699">
        <f t="shared" si="10"/>
        <v>0.1</v>
      </c>
      <c r="L21" s="1040">
        <f t="shared" si="11"/>
        <v>0.05</v>
      </c>
      <c r="M21" s="139" t="s">
        <v>1012</v>
      </c>
      <c r="N21" s="123">
        <f t="shared" si="100"/>
        <v>201954.74</v>
      </c>
      <c r="O21" s="326">
        <v>1800000</v>
      </c>
      <c r="P21" s="704">
        <f t="shared" si="13"/>
        <v>629510.04</v>
      </c>
      <c r="Q21" s="704">
        <f t="shared" si="14"/>
        <v>6600</v>
      </c>
      <c r="R21" s="704">
        <f t="shared" si="15"/>
        <v>636110.04</v>
      </c>
      <c r="S21" s="326">
        <f t="shared" si="16"/>
        <v>-1163889.96</v>
      </c>
      <c r="T21" s="137">
        <f t="shared" si="68"/>
        <v>0.35339446666666668</v>
      </c>
      <c r="U21" s="332">
        <f t="shared" si="17"/>
        <v>142676.07999999999</v>
      </c>
      <c r="V21" s="141">
        <v>1800000</v>
      </c>
      <c r="W21" s="113">
        <f t="shared" si="19"/>
        <v>259988.18000000002</v>
      </c>
      <c r="X21" s="704">
        <f t="shared" si="20"/>
        <v>3194.21</v>
      </c>
      <c r="Y21" s="117">
        <f t="shared" si="21"/>
        <v>263182.39</v>
      </c>
      <c r="Z21" s="123">
        <f t="shared" si="22"/>
        <v>-1536817.6099999999</v>
      </c>
      <c r="AA21" s="98">
        <f t="shared" si="69"/>
        <v>0.14621243888888891</v>
      </c>
      <c r="AB21" s="123">
        <f t="shared" si="23"/>
        <v>239787.74</v>
      </c>
      <c r="AC21" s="326">
        <v>1800000</v>
      </c>
      <c r="AD21" s="326">
        <f t="shared" si="25"/>
        <v>359856.7</v>
      </c>
      <c r="AE21" s="326">
        <f t="shared" si="26"/>
        <v>0</v>
      </c>
      <c r="AF21" s="326">
        <f t="shared" si="27"/>
        <v>359856.7</v>
      </c>
      <c r="AG21" s="326">
        <f t="shared" si="83"/>
        <v>-1440143.3</v>
      </c>
      <c r="AH21" s="494">
        <f t="shared" si="84"/>
        <v>0.19992038888888888</v>
      </c>
      <c r="AI21" s="141">
        <f t="shared" si="85"/>
        <v>5400000</v>
      </c>
      <c r="AJ21" s="416">
        <f t="shared" si="108"/>
        <v>1305583.93</v>
      </c>
      <c r="AK21" s="326">
        <f t="shared" ref="AK21:AM21" si="151">SUM(P21,W21,AD21)</f>
        <v>1249354.9200000002</v>
      </c>
      <c r="AL21" s="326">
        <f t="shared" si="151"/>
        <v>9794.2099999999991</v>
      </c>
      <c r="AM21" s="326">
        <f t="shared" si="151"/>
        <v>1259149.1300000001</v>
      </c>
      <c r="AN21" s="326">
        <f t="shared" si="31"/>
        <v>-4140850.87</v>
      </c>
      <c r="AO21" s="98">
        <f t="shared" si="110"/>
        <v>0.23317576481481483</v>
      </c>
      <c r="AP21" s="125">
        <f t="shared" si="102"/>
        <v>379055.85</v>
      </c>
      <c r="AQ21" s="140">
        <f t="shared" si="32"/>
        <v>380555.77</v>
      </c>
      <c r="AR21" s="123">
        <f t="shared" si="33"/>
        <v>0</v>
      </c>
      <c r="AS21" s="148">
        <f t="shared" si="34"/>
        <v>380555.77</v>
      </c>
      <c r="AT21" s="125">
        <f t="shared" si="35"/>
        <v>205108.74</v>
      </c>
      <c r="AU21" s="140">
        <f t="shared" si="36"/>
        <v>336625.78</v>
      </c>
      <c r="AV21" s="326">
        <f t="shared" si="37"/>
        <v>0</v>
      </c>
      <c r="AW21" s="333">
        <f t="shared" si="38"/>
        <v>336625.78</v>
      </c>
      <c r="AX21" s="125">
        <f t="shared" si="39"/>
        <v>152948.13</v>
      </c>
      <c r="AY21" s="1041">
        <f t="shared" si="40"/>
        <v>88164.03</v>
      </c>
      <c r="AZ21" s="123">
        <f t="shared" si="41"/>
        <v>0</v>
      </c>
      <c r="BA21" s="125">
        <f t="shared" si="42"/>
        <v>88164.03</v>
      </c>
      <c r="BB21" s="122">
        <f t="shared" ref="BB21:BD21" si="152">SUM(AY21,AU21,AQ21)</f>
        <v>805345.58000000007</v>
      </c>
      <c r="BC21" s="326">
        <f t="shared" si="152"/>
        <v>0</v>
      </c>
      <c r="BD21" s="333">
        <f t="shared" si="152"/>
        <v>805345.58000000007</v>
      </c>
      <c r="BE21" s="123">
        <f t="shared" si="44"/>
        <v>2054700.5000000002</v>
      </c>
      <c r="BF21" s="326">
        <f t="shared" ref="BF21:BG21" si="153">BC21+AL21</f>
        <v>9794.2099999999991</v>
      </c>
      <c r="BG21" s="435">
        <f t="shared" si="153"/>
        <v>2064494.7100000002</v>
      </c>
      <c r="BH21" s="125">
        <f t="shared" si="46"/>
        <v>518390.05</v>
      </c>
      <c r="BI21" s="1041">
        <f t="shared" si="47"/>
        <v>371240.35</v>
      </c>
      <c r="BJ21" s="326">
        <f t="shared" si="48"/>
        <v>0</v>
      </c>
      <c r="BK21" s="1045">
        <f t="shared" si="49"/>
        <v>371240.35</v>
      </c>
      <c r="BL21" s="125">
        <f t="shared" si="105"/>
        <v>389389.64</v>
      </c>
      <c r="BM21" s="141">
        <f t="shared" si="50"/>
        <v>334062.96999999997</v>
      </c>
      <c r="BN21" s="332">
        <f t="shared" si="51"/>
        <v>0</v>
      </c>
      <c r="BO21" s="333">
        <f t="shared" si="52"/>
        <v>334062.96999999997</v>
      </c>
      <c r="BP21" s="125">
        <f t="shared" si="106"/>
        <v>201059.33</v>
      </c>
      <c r="BQ21" s="140">
        <f t="shared" si="53"/>
        <v>726706.86</v>
      </c>
      <c r="BR21" s="123">
        <f t="shared" si="54"/>
        <v>0</v>
      </c>
      <c r="BS21" s="148">
        <f t="shared" si="55"/>
        <v>726706.86</v>
      </c>
      <c r="BT21" s="140">
        <f t="shared" ref="BT21:BV21" si="154">SUM(BQ21,BM21,BI21)</f>
        <v>1432010.1800000002</v>
      </c>
      <c r="BU21" s="123">
        <f t="shared" si="154"/>
        <v>0</v>
      </c>
      <c r="BV21" s="148">
        <f t="shared" si="154"/>
        <v>1432010.1800000002</v>
      </c>
      <c r="BW21" s="125">
        <f t="shared" si="57"/>
        <v>504796.68</v>
      </c>
      <c r="BX21" s="140">
        <f t="shared" si="58"/>
        <v>131827.37</v>
      </c>
      <c r="BY21" s="123">
        <f t="shared" si="59"/>
        <v>0</v>
      </c>
      <c r="BZ21" s="148">
        <f t="shared" si="60"/>
        <v>131827.37</v>
      </c>
      <c r="CA21" s="123">
        <f t="shared" si="61"/>
        <v>349158.14</v>
      </c>
      <c r="CB21" s="326">
        <f t="shared" si="62"/>
        <v>451629.11</v>
      </c>
      <c r="CE21" s="231" t="s">
        <v>96</v>
      </c>
      <c r="CF21" s="231"/>
      <c r="CG21" s="231"/>
    </row>
    <row r="22" spans="1:85" ht="15.75" customHeight="1">
      <c r="A22" s="436">
        <f t="shared" si="0"/>
        <v>112010740</v>
      </c>
      <c r="B22" s="93">
        <f t="shared" si="1"/>
        <v>22</v>
      </c>
      <c r="C22" s="558">
        <f t="shared" si="2"/>
        <v>0.1</v>
      </c>
      <c r="D22" s="558">
        <f t="shared" si="3"/>
        <v>0.09</v>
      </c>
      <c r="E22" s="715">
        <f t="shared" si="4"/>
        <v>0</v>
      </c>
      <c r="F22" s="701">
        <f t="shared" si="5"/>
        <v>22</v>
      </c>
      <c r="G22" s="700">
        <f t="shared" si="6"/>
        <v>0.1</v>
      </c>
      <c r="H22" s="700">
        <f t="shared" si="7"/>
        <v>0.09</v>
      </c>
      <c r="I22" s="702">
        <f t="shared" si="8"/>
        <v>0</v>
      </c>
      <c r="J22" s="837">
        <f t="shared" si="9"/>
        <v>63</v>
      </c>
      <c r="K22" s="699">
        <f t="shared" si="10"/>
        <v>0.1</v>
      </c>
      <c r="L22" s="1040">
        <f t="shared" si="11"/>
        <v>0.05</v>
      </c>
      <c r="M22" s="139" t="s">
        <v>1013</v>
      </c>
      <c r="N22" s="123">
        <f t="shared" si="100"/>
        <v>1566394.65</v>
      </c>
      <c r="O22" s="326">
        <f>(N22*1.601)*1.05</f>
        <v>2633187.7263824996</v>
      </c>
      <c r="P22" s="704">
        <f t="shared" si="13"/>
        <v>0</v>
      </c>
      <c r="Q22" s="704">
        <f t="shared" si="14"/>
        <v>0</v>
      </c>
      <c r="R22" s="704">
        <f t="shared" si="15"/>
        <v>0</v>
      </c>
      <c r="S22" s="326">
        <f t="shared" si="16"/>
        <v>-2633187.7263824996</v>
      </c>
      <c r="T22" s="137">
        <f t="shared" si="68"/>
        <v>0</v>
      </c>
      <c r="U22" s="332">
        <f t="shared" si="17"/>
        <v>1190790.18</v>
      </c>
      <c r="V22" s="141">
        <f>(U22*1.7245)*1.05</f>
        <v>2156193.5486805001</v>
      </c>
      <c r="W22" s="113">
        <f t="shared" si="19"/>
        <v>489630.64</v>
      </c>
      <c r="X22" s="704">
        <f t="shared" si="20"/>
        <v>0</v>
      </c>
      <c r="Y22" s="117">
        <f t="shared" si="21"/>
        <v>489630.64</v>
      </c>
      <c r="Z22" s="123">
        <f t="shared" si="22"/>
        <v>-1666562.9086805</v>
      </c>
      <c r="AA22" s="98">
        <f t="shared" si="69"/>
        <v>0.22708102447465042</v>
      </c>
      <c r="AB22" s="123">
        <f t="shared" si="23"/>
        <v>1507503.14</v>
      </c>
      <c r="AC22" s="326">
        <f>(AB22*1.5955)*1.03</f>
        <v>2477377.8976660999</v>
      </c>
      <c r="AD22" s="326">
        <f t="shared" si="25"/>
        <v>1993081.9200000002</v>
      </c>
      <c r="AE22" s="326">
        <f t="shared" si="26"/>
        <v>25280.89</v>
      </c>
      <c r="AF22" s="326">
        <f t="shared" si="27"/>
        <v>2018362.81</v>
      </c>
      <c r="AG22" s="326">
        <f t="shared" si="83"/>
        <v>-459015.08766609989</v>
      </c>
      <c r="AH22" s="494">
        <f t="shared" si="84"/>
        <v>0.81471737190416893</v>
      </c>
      <c r="AI22" s="141">
        <f t="shared" si="85"/>
        <v>7266759.1727290992</v>
      </c>
      <c r="AJ22" s="416">
        <f t="shared" si="108"/>
        <v>6317401.4199999999</v>
      </c>
      <c r="AK22" s="326">
        <f t="shared" ref="AK22:AM22" si="155">SUM(P22,W22,AD22)</f>
        <v>2482712.56</v>
      </c>
      <c r="AL22" s="326">
        <f t="shared" si="155"/>
        <v>25280.89</v>
      </c>
      <c r="AM22" s="326">
        <f t="shared" si="155"/>
        <v>2507993.4500000002</v>
      </c>
      <c r="AN22" s="326">
        <f t="shared" si="31"/>
        <v>-4758765.722729099</v>
      </c>
      <c r="AO22" s="98">
        <f t="shared" si="110"/>
        <v>0.34513231970203023</v>
      </c>
      <c r="AP22" s="125">
        <f t="shared" si="102"/>
        <v>1417871.18</v>
      </c>
      <c r="AQ22" s="140">
        <f t="shared" si="32"/>
        <v>2084065.58</v>
      </c>
      <c r="AR22" s="123">
        <f t="shared" si="33"/>
        <v>0</v>
      </c>
      <c r="AS22" s="148">
        <f t="shared" si="34"/>
        <v>2084065.58</v>
      </c>
      <c r="AT22" s="125">
        <f t="shared" si="35"/>
        <v>938112.03</v>
      </c>
      <c r="AU22" s="140">
        <f t="shared" si="36"/>
        <v>1939523.95</v>
      </c>
      <c r="AV22" s="326">
        <f t="shared" si="37"/>
        <v>53089.99</v>
      </c>
      <c r="AW22" s="333">
        <f t="shared" si="38"/>
        <v>1992613.94</v>
      </c>
      <c r="AX22" s="125">
        <f t="shared" si="39"/>
        <v>1166975.56</v>
      </c>
      <c r="AY22" s="1041">
        <f t="shared" si="40"/>
        <v>1506740.0299999998</v>
      </c>
      <c r="AZ22" s="123">
        <f t="shared" si="41"/>
        <v>72395.360000000001</v>
      </c>
      <c r="BA22" s="125">
        <f t="shared" si="42"/>
        <v>1579135.39</v>
      </c>
      <c r="BB22" s="122">
        <f t="shared" ref="BB22:BD22" si="156">SUM(AY22,AU22,AQ22)</f>
        <v>5530329.5599999996</v>
      </c>
      <c r="BC22" s="326">
        <f t="shared" si="156"/>
        <v>125485.35</v>
      </c>
      <c r="BD22" s="333">
        <f t="shared" si="156"/>
        <v>5655814.9100000001</v>
      </c>
      <c r="BE22" s="123">
        <f t="shared" si="44"/>
        <v>8138527.4700000007</v>
      </c>
      <c r="BF22" s="326">
        <f t="shared" ref="BF22:BG22" si="157">BC22+AL22</f>
        <v>150766.24</v>
      </c>
      <c r="BG22" s="435">
        <f t="shared" si="157"/>
        <v>8163808.3600000003</v>
      </c>
      <c r="BH22" s="125">
        <f t="shared" si="46"/>
        <v>1544759.62</v>
      </c>
      <c r="BI22" s="1041">
        <f t="shared" si="47"/>
        <v>1554942.66</v>
      </c>
      <c r="BJ22" s="326">
        <f t="shared" si="48"/>
        <v>0</v>
      </c>
      <c r="BK22" s="1045">
        <f t="shared" si="49"/>
        <v>1554942.66</v>
      </c>
      <c r="BL22" s="125">
        <f t="shared" si="105"/>
        <v>1486878.17</v>
      </c>
      <c r="BM22" s="141">
        <f t="shared" si="50"/>
        <v>1550916.19</v>
      </c>
      <c r="BN22" s="332">
        <f t="shared" si="51"/>
        <v>50676.78</v>
      </c>
      <c r="BO22" s="333">
        <f t="shared" si="52"/>
        <v>1601592.97</v>
      </c>
      <c r="BP22" s="125">
        <f t="shared" si="106"/>
        <v>1144597.33</v>
      </c>
      <c r="BQ22" s="140">
        <f t="shared" si="53"/>
        <v>1826291.67</v>
      </c>
      <c r="BR22" s="123">
        <f t="shared" si="54"/>
        <v>208113.63</v>
      </c>
      <c r="BS22" s="148">
        <f t="shared" si="55"/>
        <v>2034405.3</v>
      </c>
      <c r="BT22" s="140">
        <f t="shared" ref="BT22:BV22" si="158">SUM(BQ22,BM22,BI22)</f>
        <v>4932150.5199999996</v>
      </c>
      <c r="BU22" s="123">
        <f t="shared" si="158"/>
        <v>258790.41</v>
      </c>
      <c r="BV22" s="148">
        <f t="shared" si="158"/>
        <v>5190940.93</v>
      </c>
      <c r="BW22" s="125">
        <f t="shared" si="57"/>
        <v>1861071.11</v>
      </c>
      <c r="BX22" s="140">
        <f t="shared" si="58"/>
        <v>1851686.9700000002</v>
      </c>
      <c r="BY22" s="123">
        <f t="shared" si="59"/>
        <v>27234.89</v>
      </c>
      <c r="BZ22" s="148">
        <f t="shared" si="60"/>
        <v>1878921.86</v>
      </c>
      <c r="CA22" s="123">
        <f t="shared" si="61"/>
        <v>2091426.57</v>
      </c>
      <c r="CB22" s="326">
        <f t="shared" si="62"/>
        <v>2364903.7400000002</v>
      </c>
      <c r="CE22" s="231" t="s">
        <v>98</v>
      </c>
      <c r="CF22" s="231"/>
      <c r="CG22" s="231"/>
    </row>
    <row r="23" spans="1:85" ht="15.75" customHeight="1">
      <c r="A23" s="436">
        <f t="shared" si="0"/>
        <v>112011970</v>
      </c>
      <c r="B23" s="93">
        <f t="shared" si="1"/>
        <v>22</v>
      </c>
      <c r="C23" s="558">
        <f t="shared" si="2"/>
        <v>0.1</v>
      </c>
      <c r="D23" s="558">
        <f t="shared" si="3"/>
        <v>0.09</v>
      </c>
      <c r="E23" s="715">
        <f t="shared" si="4"/>
        <v>0</v>
      </c>
      <c r="F23" s="701">
        <f t="shared" si="5"/>
        <v>22</v>
      </c>
      <c r="G23" s="700">
        <f t="shared" si="6"/>
        <v>0.1</v>
      </c>
      <c r="H23" s="700">
        <f t="shared" si="7"/>
        <v>0.09</v>
      </c>
      <c r="I23" s="702">
        <f t="shared" si="8"/>
        <v>0</v>
      </c>
      <c r="J23" s="837">
        <f t="shared" si="9"/>
        <v>63</v>
      </c>
      <c r="K23" s="699">
        <f t="shared" si="10"/>
        <v>0.1</v>
      </c>
      <c r="L23" s="1040">
        <f t="shared" si="11"/>
        <v>0.05</v>
      </c>
      <c r="M23" s="139" t="s">
        <v>1014</v>
      </c>
      <c r="N23" s="123">
        <f t="shared" si="100"/>
        <v>0</v>
      </c>
      <c r="O23" s="326">
        <v>1800000</v>
      </c>
      <c r="P23" s="704">
        <f t="shared" si="13"/>
        <v>956503.93</v>
      </c>
      <c r="Q23" s="704">
        <f t="shared" si="14"/>
        <v>39600</v>
      </c>
      <c r="R23" s="704">
        <f t="shared" si="15"/>
        <v>996103.93</v>
      </c>
      <c r="S23" s="326">
        <f t="shared" si="16"/>
        <v>-803896.07</v>
      </c>
      <c r="T23" s="137">
        <f t="shared" si="68"/>
        <v>0.55339107222222228</v>
      </c>
      <c r="U23" s="332">
        <f t="shared" si="17"/>
        <v>0</v>
      </c>
      <c r="V23" s="141">
        <v>1800000</v>
      </c>
      <c r="W23" s="113">
        <f t="shared" si="19"/>
        <v>690144.94</v>
      </c>
      <c r="X23" s="704">
        <f t="shared" si="20"/>
        <v>0</v>
      </c>
      <c r="Y23" s="117">
        <f t="shared" si="21"/>
        <v>690144.94</v>
      </c>
      <c r="Z23" s="123">
        <f t="shared" si="22"/>
        <v>-1109855.06</v>
      </c>
      <c r="AA23" s="98">
        <f t="shared" si="69"/>
        <v>0.38341385555555552</v>
      </c>
      <c r="AB23" s="123">
        <f t="shared" si="23"/>
        <v>0</v>
      </c>
      <c r="AC23" s="326">
        <v>1800000</v>
      </c>
      <c r="AD23" s="326">
        <f t="shared" si="25"/>
        <v>516549.46</v>
      </c>
      <c r="AE23" s="326">
        <f t="shared" si="26"/>
        <v>0</v>
      </c>
      <c r="AF23" s="326">
        <f t="shared" si="27"/>
        <v>516549.46</v>
      </c>
      <c r="AG23" s="326">
        <f t="shared" si="83"/>
        <v>-1283450.54</v>
      </c>
      <c r="AH23" s="494">
        <f t="shared" si="84"/>
        <v>0.28697192222222223</v>
      </c>
      <c r="AI23" s="141">
        <f t="shared" si="85"/>
        <v>5400000</v>
      </c>
      <c r="AJ23" s="416">
        <f t="shared" si="108"/>
        <v>932097.02</v>
      </c>
      <c r="AK23" s="326">
        <f t="shared" ref="AK23:AM23" si="159">SUM(P23,W23,AD23)</f>
        <v>2163198.33</v>
      </c>
      <c r="AL23" s="326">
        <f t="shared" si="159"/>
        <v>39600</v>
      </c>
      <c r="AM23" s="326">
        <f t="shared" si="159"/>
        <v>2202798.33</v>
      </c>
      <c r="AN23" s="326">
        <f t="shared" si="31"/>
        <v>-3197201.67</v>
      </c>
      <c r="AO23" s="98">
        <f t="shared" si="110"/>
        <v>0.40792561666666666</v>
      </c>
      <c r="AP23" s="125">
        <f t="shared" si="102"/>
        <v>0</v>
      </c>
      <c r="AQ23" s="140">
        <f t="shared" si="32"/>
        <v>0</v>
      </c>
      <c r="AR23" s="123">
        <f t="shared" si="33"/>
        <v>0</v>
      </c>
      <c r="AS23" s="148">
        <f t="shared" si="34"/>
        <v>0</v>
      </c>
      <c r="AT23" s="125">
        <f t="shared" si="35"/>
        <v>0</v>
      </c>
      <c r="AU23" s="140">
        <f t="shared" si="36"/>
        <v>345606.53</v>
      </c>
      <c r="AV23" s="326">
        <f t="shared" si="37"/>
        <v>0</v>
      </c>
      <c r="AW23" s="333">
        <f t="shared" si="38"/>
        <v>345606.53</v>
      </c>
      <c r="AX23" s="125">
        <f t="shared" si="39"/>
        <v>0</v>
      </c>
      <c r="AY23" s="1041">
        <f t="shared" si="40"/>
        <v>404921.34</v>
      </c>
      <c r="AZ23" s="123">
        <f t="shared" si="41"/>
        <v>0</v>
      </c>
      <c r="BA23" s="125">
        <f t="shared" si="42"/>
        <v>404921.34</v>
      </c>
      <c r="BB23" s="122">
        <f t="shared" ref="BB23:BD23" si="160">SUM(AY23,AU23,AQ23)</f>
        <v>750527.87000000011</v>
      </c>
      <c r="BC23" s="326">
        <f t="shared" si="160"/>
        <v>0</v>
      </c>
      <c r="BD23" s="333">
        <f t="shared" si="160"/>
        <v>750527.87000000011</v>
      </c>
      <c r="BE23" s="123">
        <f t="shared" si="44"/>
        <v>2913726.2</v>
      </c>
      <c r="BF23" s="326">
        <f t="shared" ref="BF23:BG23" si="161">BC23+AL23</f>
        <v>39600</v>
      </c>
      <c r="BG23" s="435">
        <f t="shared" si="161"/>
        <v>2953326.2</v>
      </c>
      <c r="BH23" s="125">
        <f t="shared" si="46"/>
        <v>201870.79</v>
      </c>
      <c r="BI23" s="1041">
        <f t="shared" si="47"/>
        <v>252920.6</v>
      </c>
      <c r="BJ23" s="326">
        <f t="shared" si="48"/>
        <v>0</v>
      </c>
      <c r="BK23" s="1045">
        <f t="shared" si="49"/>
        <v>252920.6</v>
      </c>
      <c r="BL23" s="125">
        <f t="shared" si="105"/>
        <v>66594.77</v>
      </c>
      <c r="BM23" s="141">
        <f t="shared" si="50"/>
        <v>0</v>
      </c>
      <c r="BN23" s="332">
        <f t="shared" si="51"/>
        <v>0</v>
      </c>
      <c r="BO23" s="333">
        <f t="shared" si="52"/>
        <v>0</v>
      </c>
      <c r="BP23" s="125">
        <f t="shared" si="106"/>
        <v>0</v>
      </c>
      <c r="BQ23" s="140">
        <f t="shared" si="53"/>
        <v>472338.09</v>
      </c>
      <c r="BR23" s="123">
        <f t="shared" si="54"/>
        <v>0</v>
      </c>
      <c r="BS23" s="148">
        <f t="shared" si="55"/>
        <v>472338.09</v>
      </c>
      <c r="BT23" s="140">
        <f t="shared" ref="BT23:BV23" si="162">SUM(BQ23,BM23,BI23)</f>
        <v>725258.69000000006</v>
      </c>
      <c r="BU23" s="123">
        <f t="shared" si="162"/>
        <v>0</v>
      </c>
      <c r="BV23" s="148">
        <f t="shared" si="162"/>
        <v>725258.69000000006</v>
      </c>
      <c r="BW23" s="125">
        <f t="shared" si="57"/>
        <v>0</v>
      </c>
      <c r="BX23" s="140">
        <f t="shared" si="58"/>
        <v>0</v>
      </c>
      <c r="BY23" s="123">
        <f t="shared" si="59"/>
        <v>0</v>
      </c>
      <c r="BZ23" s="148">
        <f t="shared" si="60"/>
        <v>0</v>
      </c>
      <c r="CA23" s="123">
        <f t="shared" si="61"/>
        <v>391748.05</v>
      </c>
      <c r="CB23" s="326">
        <f t="shared" si="62"/>
        <v>540348.97</v>
      </c>
      <c r="CE23" s="245" t="s">
        <v>100</v>
      </c>
      <c r="CF23" s="245"/>
      <c r="CG23" s="245"/>
    </row>
    <row r="24" spans="1:85" ht="15.75" customHeight="1">
      <c r="A24" s="436">
        <f t="shared" si="0"/>
        <v>112012021</v>
      </c>
      <c r="B24" s="93">
        <f t="shared" si="1"/>
        <v>22</v>
      </c>
      <c r="C24" s="558">
        <f t="shared" si="2"/>
        <v>0.1</v>
      </c>
      <c r="D24" s="558">
        <f t="shared" si="3"/>
        <v>0.09</v>
      </c>
      <c r="E24" s="715">
        <f t="shared" si="4"/>
        <v>0</v>
      </c>
      <c r="F24" s="701">
        <f t="shared" si="5"/>
        <v>22</v>
      </c>
      <c r="G24" s="700">
        <f t="shared" si="6"/>
        <v>0.1</v>
      </c>
      <c r="H24" s="700">
        <f t="shared" si="7"/>
        <v>0.09</v>
      </c>
      <c r="I24" s="702">
        <f t="shared" si="8"/>
        <v>0</v>
      </c>
      <c r="J24" s="837">
        <f t="shared" si="9"/>
        <v>63</v>
      </c>
      <c r="K24" s="699">
        <f t="shared" si="10"/>
        <v>0.1</v>
      </c>
      <c r="L24" s="1040">
        <f t="shared" si="11"/>
        <v>0.05</v>
      </c>
      <c r="M24" s="139" t="s">
        <v>1015</v>
      </c>
      <c r="N24" s="123">
        <f t="shared" si="100"/>
        <v>1080929.74</v>
      </c>
      <c r="O24" s="326">
        <f>(N24*1.601)*1.05</f>
        <v>1817096.939427</v>
      </c>
      <c r="P24" s="704">
        <f t="shared" si="13"/>
        <v>1965288.72</v>
      </c>
      <c r="Q24" s="704">
        <f t="shared" si="14"/>
        <v>6600</v>
      </c>
      <c r="R24" s="704">
        <f t="shared" si="15"/>
        <v>1971888.72</v>
      </c>
      <c r="S24" s="326">
        <f t="shared" si="16"/>
        <v>154791.78057299997</v>
      </c>
      <c r="T24" s="137">
        <f t="shared" si="68"/>
        <v>1.0851863085641493</v>
      </c>
      <c r="U24" s="332">
        <f t="shared" si="17"/>
        <v>1172899.54</v>
      </c>
      <c r="V24" s="141">
        <f>(U24*1.7245)*1.05</f>
        <v>2123798.5195665001</v>
      </c>
      <c r="W24" s="113">
        <f t="shared" si="19"/>
        <v>2518355.09</v>
      </c>
      <c r="X24" s="704">
        <f t="shared" si="20"/>
        <v>0</v>
      </c>
      <c r="Y24" s="117">
        <f t="shared" si="21"/>
        <v>2518355.09</v>
      </c>
      <c r="Z24" s="123">
        <f t="shared" si="22"/>
        <v>394556.57043349976</v>
      </c>
      <c r="AA24" s="98">
        <f t="shared" si="69"/>
        <v>1.1857787199672947</v>
      </c>
      <c r="AB24" s="123">
        <f t="shared" si="23"/>
        <v>957894.94</v>
      </c>
      <c r="AC24" s="326">
        <v>1800000</v>
      </c>
      <c r="AD24" s="326">
        <f t="shared" si="25"/>
        <v>2197252.04</v>
      </c>
      <c r="AE24" s="326">
        <f t="shared" si="26"/>
        <v>0</v>
      </c>
      <c r="AF24" s="326">
        <f t="shared" si="27"/>
        <v>2197252.04</v>
      </c>
      <c r="AG24" s="326">
        <f t="shared" si="83"/>
        <v>397252.04000000004</v>
      </c>
      <c r="AH24" s="494">
        <f t="shared" si="84"/>
        <v>1.2206955777777777</v>
      </c>
      <c r="AI24" s="141">
        <f t="shared" si="85"/>
        <v>5740895.4589935001</v>
      </c>
      <c r="AJ24" s="416">
        <f t="shared" si="108"/>
        <v>5989692.8700000001</v>
      </c>
      <c r="AK24" s="326">
        <f t="shared" ref="AK24:AM24" si="163">SUM(P24,W24,AD24)</f>
        <v>6680895.8499999996</v>
      </c>
      <c r="AL24" s="326">
        <f t="shared" si="163"/>
        <v>6600</v>
      </c>
      <c r="AM24" s="326">
        <f t="shared" si="163"/>
        <v>6687495.8499999996</v>
      </c>
      <c r="AN24" s="326">
        <f t="shared" si="31"/>
        <v>946600.39100649953</v>
      </c>
      <c r="AO24" s="98">
        <f t="shared" si="110"/>
        <v>1.164887237151059</v>
      </c>
      <c r="AP24" s="125">
        <f t="shared" si="102"/>
        <v>895385.66</v>
      </c>
      <c r="AQ24" s="140">
        <f t="shared" si="32"/>
        <v>1452011.19</v>
      </c>
      <c r="AR24" s="123">
        <f t="shared" si="33"/>
        <v>0</v>
      </c>
      <c r="AS24" s="148">
        <f t="shared" si="34"/>
        <v>1452011.19</v>
      </c>
      <c r="AT24" s="125">
        <f t="shared" si="35"/>
        <v>867300.55</v>
      </c>
      <c r="AU24" s="140">
        <f t="shared" si="36"/>
        <v>1295860.3899999999</v>
      </c>
      <c r="AV24" s="326">
        <f t="shared" si="37"/>
        <v>0</v>
      </c>
      <c r="AW24" s="333">
        <f t="shared" si="38"/>
        <v>1295860.3899999999</v>
      </c>
      <c r="AX24" s="125">
        <f t="shared" si="39"/>
        <v>1017553.55</v>
      </c>
      <c r="AY24" s="1041">
        <f t="shared" si="40"/>
        <v>1461698.06</v>
      </c>
      <c r="AZ24" s="123">
        <f t="shared" si="41"/>
        <v>0</v>
      </c>
      <c r="BA24" s="125">
        <f t="shared" si="42"/>
        <v>1461698.06</v>
      </c>
      <c r="BB24" s="122">
        <f t="shared" ref="BB24:BD24" si="164">SUM(AY24,AU24,AQ24)</f>
        <v>4209569.6400000006</v>
      </c>
      <c r="BC24" s="326">
        <f t="shared" si="164"/>
        <v>0</v>
      </c>
      <c r="BD24" s="333">
        <f t="shared" si="164"/>
        <v>4209569.6400000006</v>
      </c>
      <c r="BE24" s="123">
        <f t="shared" si="44"/>
        <v>10890465.49</v>
      </c>
      <c r="BF24" s="326">
        <f t="shared" ref="BF24:BG24" si="165">BC24+AL24</f>
        <v>6600</v>
      </c>
      <c r="BG24" s="435">
        <f t="shared" si="165"/>
        <v>10897065.49</v>
      </c>
      <c r="BH24" s="125">
        <f t="shared" si="46"/>
        <v>1384076.26</v>
      </c>
      <c r="BI24" s="1041">
        <f t="shared" si="47"/>
        <v>1505712.29</v>
      </c>
      <c r="BJ24" s="326">
        <f t="shared" si="48"/>
        <v>0</v>
      </c>
      <c r="BK24" s="1045">
        <f t="shared" si="49"/>
        <v>1505712.29</v>
      </c>
      <c r="BL24" s="125">
        <f t="shared" si="105"/>
        <v>1408794.86</v>
      </c>
      <c r="BM24" s="141">
        <f t="shared" si="50"/>
        <v>3440872.7399999998</v>
      </c>
      <c r="BN24" s="332">
        <f t="shared" si="51"/>
        <v>31057.599999999999</v>
      </c>
      <c r="BO24" s="333">
        <f t="shared" si="52"/>
        <v>3471930.34</v>
      </c>
      <c r="BP24" s="125">
        <f t="shared" si="106"/>
        <v>1363875.44</v>
      </c>
      <c r="BQ24" s="140">
        <f t="shared" si="53"/>
        <v>2107148.69</v>
      </c>
      <c r="BR24" s="123">
        <f t="shared" si="54"/>
        <v>0</v>
      </c>
      <c r="BS24" s="148">
        <f t="shared" si="55"/>
        <v>2107148.69</v>
      </c>
      <c r="BT24" s="140">
        <f t="shared" ref="BT24:BV24" si="166">SUM(BQ24,BM24,BI24)</f>
        <v>7053733.7199999997</v>
      </c>
      <c r="BU24" s="123">
        <f t="shared" si="166"/>
        <v>31057.599999999999</v>
      </c>
      <c r="BV24" s="148">
        <f t="shared" si="166"/>
        <v>7084791.3199999994</v>
      </c>
      <c r="BW24" s="125">
        <f t="shared" si="57"/>
        <v>1513231.15</v>
      </c>
      <c r="BX24" s="140">
        <f t="shared" si="58"/>
        <v>3530292.77</v>
      </c>
      <c r="BY24" s="123">
        <f t="shared" si="59"/>
        <v>0</v>
      </c>
      <c r="BZ24" s="148">
        <f t="shared" si="60"/>
        <v>3530292.77</v>
      </c>
      <c r="CA24" s="123">
        <f t="shared" si="61"/>
        <v>1811125</v>
      </c>
      <c r="CB24" s="326">
        <f t="shared" si="62"/>
        <v>2665336.7200000002</v>
      </c>
    </row>
    <row r="25" spans="1:85" ht="15.75" customHeight="1">
      <c r="A25" s="436">
        <f t="shared" si="0"/>
        <v>112012273</v>
      </c>
      <c r="B25" s="93">
        <f t="shared" si="1"/>
        <v>22</v>
      </c>
      <c r="C25" s="558">
        <f t="shared" si="2"/>
        <v>0.1</v>
      </c>
      <c r="D25" s="558">
        <f t="shared" si="3"/>
        <v>0.09</v>
      </c>
      <c r="E25" s="715">
        <f t="shared" si="4"/>
        <v>0</v>
      </c>
      <c r="F25" s="701">
        <f t="shared" si="5"/>
        <v>22</v>
      </c>
      <c r="G25" s="700">
        <f t="shared" si="6"/>
        <v>0.1</v>
      </c>
      <c r="H25" s="700">
        <f t="shared" si="7"/>
        <v>0.09</v>
      </c>
      <c r="I25" s="702">
        <f t="shared" si="8"/>
        <v>0</v>
      </c>
      <c r="J25" s="837">
        <f t="shared" si="9"/>
        <v>63</v>
      </c>
      <c r="K25" s="699">
        <f t="shared" si="10"/>
        <v>0.1</v>
      </c>
      <c r="L25" s="1040">
        <f t="shared" si="11"/>
        <v>0.05</v>
      </c>
      <c r="M25" s="139" t="s">
        <v>1016</v>
      </c>
      <c r="N25" s="123">
        <f t="shared" si="100"/>
        <v>692266.47</v>
      </c>
      <c r="O25" s="326">
        <v>1800000</v>
      </c>
      <c r="P25" s="704">
        <f t="shared" si="13"/>
        <v>1343783.37</v>
      </c>
      <c r="Q25" s="704">
        <f t="shared" si="14"/>
        <v>0</v>
      </c>
      <c r="R25" s="704">
        <f t="shared" si="15"/>
        <v>1343783.37</v>
      </c>
      <c r="S25" s="326">
        <f t="shared" si="16"/>
        <v>-456216.62999999989</v>
      </c>
      <c r="T25" s="137">
        <f t="shared" si="68"/>
        <v>0.74654631666666671</v>
      </c>
      <c r="U25" s="332">
        <f t="shared" si="17"/>
        <v>368149.78</v>
      </c>
      <c r="V25" s="141">
        <v>1800000</v>
      </c>
      <c r="W25" s="113">
        <f t="shared" si="19"/>
        <v>677598.67</v>
      </c>
      <c r="X25" s="704">
        <f t="shared" si="20"/>
        <v>23849.87</v>
      </c>
      <c r="Y25" s="117">
        <f t="shared" si="21"/>
        <v>701448.54</v>
      </c>
      <c r="Z25" s="123">
        <f t="shared" si="22"/>
        <v>-1098551.46</v>
      </c>
      <c r="AA25" s="98">
        <f t="shared" si="69"/>
        <v>0.38969363333333334</v>
      </c>
      <c r="AB25" s="123">
        <f t="shared" si="23"/>
        <v>295848.84999999998</v>
      </c>
      <c r="AC25" s="326">
        <v>1800000</v>
      </c>
      <c r="AD25" s="326">
        <f t="shared" si="25"/>
        <v>1804312.59</v>
      </c>
      <c r="AE25" s="326">
        <f t="shared" si="26"/>
        <v>74925.39</v>
      </c>
      <c r="AF25" s="326">
        <f t="shared" si="27"/>
        <v>1879237.98</v>
      </c>
      <c r="AG25" s="326">
        <f t="shared" si="83"/>
        <v>79237.979999999981</v>
      </c>
      <c r="AH25" s="494">
        <f t="shared" si="84"/>
        <v>1.0440210999999999</v>
      </c>
      <c r="AI25" s="141">
        <f t="shared" si="85"/>
        <v>5400000</v>
      </c>
      <c r="AJ25" s="416">
        <f t="shared" si="108"/>
        <v>3621589.95</v>
      </c>
      <c r="AK25" s="326">
        <f t="shared" ref="AK25:AM25" si="167">SUM(P25,W25,AD25)</f>
        <v>3825694.63</v>
      </c>
      <c r="AL25" s="326">
        <f t="shared" si="167"/>
        <v>98775.26</v>
      </c>
      <c r="AM25" s="326">
        <f t="shared" si="167"/>
        <v>3924469.89</v>
      </c>
      <c r="AN25" s="326">
        <f t="shared" si="31"/>
        <v>-1475530.1099999999</v>
      </c>
      <c r="AO25" s="98">
        <f t="shared" si="110"/>
        <v>0.72675368333333334</v>
      </c>
      <c r="AP25" s="125">
        <f t="shared" si="102"/>
        <v>1508746.5</v>
      </c>
      <c r="AQ25" s="140">
        <f t="shared" si="32"/>
        <v>845110.44</v>
      </c>
      <c r="AR25" s="123">
        <f t="shared" si="33"/>
        <v>0</v>
      </c>
      <c r="AS25" s="148">
        <f t="shared" si="34"/>
        <v>845110.44</v>
      </c>
      <c r="AT25" s="125">
        <f t="shared" si="35"/>
        <v>430054.71</v>
      </c>
      <c r="AU25" s="140">
        <f t="shared" si="36"/>
        <v>1234628.25</v>
      </c>
      <c r="AV25" s="326">
        <f t="shared" si="37"/>
        <v>81201.539999999994</v>
      </c>
      <c r="AW25" s="333">
        <f t="shared" si="38"/>
        <v>1315829.79</v>
      </c>
      <c r="AX25" s="125">
        <f t="shared" si="39"/>
        <v>0.12</v>
      </c>
      <c r="AY25" s="1041">
        <f t="shared" si="40"/>
        <v>749799.45</v>
      </c>
      <c r="AZ25" s="123">
        <f t="shared" si="41"/>
        <v>98253.07</v>
      </c>
      <c r="BA25" s="125">
        <f t="shared" si="42"/>
        <v>848052.52</v>
      </c>
      <c r="BB25" s="122">
        <f t="shared" ref="BB25:BD25" si="168">SUM(AY25,AU25,AQ25)</f>
        <v>2829538.1399999997</v>
      </c>
      <c r="BC25" s="326">
        <f t="shared" si="168"/>
        <v>179454.61</v>
      </c>
      <c r="BD25" s="333">
        <f t="shared" si="168"/>
        <v>3008992.75</v>
      </c>
      <c r="BE25" s="123">
        <f t="shared" si="44"/>
        <v>6834687.3799999999</v>
      </c>
      <c r="BF25" s="326">
        <f t="shared" ref="BF25:BG25" si="169">BC25+AL25</f>
        <v>278229.87</v>
      </c>
      <c r="BG25" s="435">
        <f t="shared" si="169"/>
        <v>6933462.6400000006</v>
      </c>
      <c r="BH25" s="125">
        <f t="shared" si="46"/>
        <v>1950787.98</v>
      </c>
      <c r="BI25" s="1041">
        <f t="shared" si="47"/>
        <v>631755.57999999996</v>
      </c>
      <c r="BJ25" s="326">
        <f t="shared" si="48"/>
        <v>73689.649999999994</v>
      </c>
      <c r="BK25" s="1045">
        <f t="shared" si="49"/>
        <v>705445.23</v>
      </c>
      <c r="BL25" s="125">
        <f t="shared" si="105"/>
        <v>1184102.9099999999</v>
      </c>
      <c r="BM25" s="141">
        <f t="shared" si="50"/>
        <v>973861.83</v>
      </c>
      <c r="BN25" s="332">
        <f t="shared" si="51"/>
        <v>212527.15</v>
      </c>
      <c r="BO25" s="333">
        <f t="shared" si="52"/>
        <v>1186388.98</v>
      </c>
      <c r="BP25" s="125">
        <f t="shared" si="106"/>
        <v>373846.35</v>
      </c>
      <c r="BQ25" s="140">
        <f t="shared" si="53"/>
        <v>934468.61</v>
      </c>
      <c r="BR25" s="123">
        <f t="shared" si="54"/>
        <v>95319.74</v>
      </c>
      <c r="BS25" s="148">
        <f t="shared" si="55"/>
        <v>1029788.35</v>
      </c>
      <c r="BT25" s="140">
        <f t="shared" ref="BT25:BV25" si="170">SUM(BQ25,BM25,BI25)</f>
        <v>2540086.02</v>
      </c>
      <c r="BU25" s="123">
        <f t="shared" si="170"/>
        <v>381536.54000000004</v>
      </c>
      <c r="BV25" s="148">
        <f t="shared" si="170"/>
        <v>2921622.56</v>
      </c>
      <c r="BW25" s="125">
        <f t="shared" si="57"/>
        <v>722568.28</v>
      </c>
      <c r="BX25" s="140">
        <f t="shared" si="58"/>
        <v>902477.87</v>
      </c>
      <c r="BY25" s="123">
        <f t="shared" si="59"/>
        <v>37040.03</v>
      </c>
      <c r="BZ25" s="148">
        <f t="shared" si="60"/>
        <v>939517.9</v>
      </c>
      <c r="CA25" s="123">
        <f t="shared" si="61"/>
        <v>1620859.92</v>
      </c>
      <c r="CB25" s="326">
        <f t="shared" si="62"/>
        <v>1278161.75</v>
      </c>
    </row>
    <row r="26" spans="1:85" ht="15.75" customHeight="1">
      <c r="A26" s="436">
        <f t="shared" si="0"/>
        <v>112013484</v>
      </c>
      <c r="B26" s="93">
        <f t="shared" si="1"/>
        <v>22</v>
      </c>
      <c r="C26" s="558">
        <f t="shared" si="2"/>
        <v>0.1</v>
      </c>
      <c r="D26" s="558">
        <f t="shared" si="3"/>
        <v>0.09</v>
      </c>
      <c r="E26" s="715">
        <f t="shared" si="4"/>
        <v>0</v>
      </c>
      <c r="F26" s="701">
        <f t="shared" si="5"/>
        <v>22</v>
      </c>
      <c r="G26" s="700">
        <f t="shared" si="6"/>
        <v>0.1</v>
      </c>
      <c r="H26" s="700">
        <f t="shared" si="7"/>
        <v>0.09</v>
      </c>
      <c r="I26" s="702">
        <f t="shared" si="8"/>
        <v>0</v>
      </c>
      <c r="J26" s="837">
        <f t="shared" si="9"/>
        <v>63</v>
      </c>
      <c r="K26" s="699">
        <f t="shared" si="10"/>
        <v>0.1</v>
      </c>
      <c r="L26" s="1040">
        <f t="shared" si="11"/>
        <v>0.05</v>
      </c>
      <c r="M26" s="139" t="s">
        <v>1017</v>
      </c>
      <c r="N26" s="123">
        <f t="shared" si="100"/>
        <v>605227.49</v>
      </c>
      <c r="O26" s="326">
        <v>1800000</v>
      </c>
      <c r="P26" s="704">
        <f t="shared" si="13"/>
        <v>623832.56999999995</v>
      </c>
      <c r="Q26" s="704">
        <f t="shared" si="14"/>
        <v>0</v>
      </c>
      <c r="R26" s="704">
        <f t="shared" si="15"/>
        <v>623832.56999999995</v>
      </c>
      <c r="S26" s="326">
        <f t="shared" si="16"/>
        <v>-1176167.4300000002</v>
      </c>
      <c r="T26" s="137">
        <f t="shared" si="68"/>
        <v>0.34657364999999996</v>
      </c>
      <c r="U26" s="332">
        <f t="shared" si="17"/>
        <v>481211.2</v>
      </c>
      <c r="V26" s="141">
        <v>1800000</v>
      </c>
      <c r="W26" s="113">
        <f t="shared" si="19"/>
        <v>499017.34</v>
      </c>
      <c r="X26" s="704">
        <f t="shared" si="20"/>
        <v>0</v>
      </c>
      <c r="Y26" s="117">
        <f t="shared" si="21"/>
        <v>499017.34</v>
      </c>
      <c r="Z26" s="123">
        <f t="shared" si="22"/>
        <v>-1300982.6599999999</v>
      </c>
      <c r="AA26" s="98">
        <f t="shared" si="69"/>
        <v>0.27723185555555557</v>
      </c>
      <c r="AB26" s="123">
        <f t="shared" si="23"/>
        <v>0</v>
      </c>
      <c r="AC26" s="326">
        <v>1800000</v>
      </c>
      <c r="AD26" s="326">
        <f t="shared" si="25"/>
        <v>614520.47</v>
      </c>
      <c r="AE26" s="326">
        <f t="shared" si="26"/>
        <v>0</v>
      </c>
      <c r="AF26" s="326">
        <f t="shared" si="27"/>
        <v>614520.47</v>
      </c>
      <c r="AG26" s="326">
        <f t="shared" si="83"/>
        <v>-1185479.53</v>
      </c>
      <c r="AH26" s="494">
        <f t="shared" si="84"/>
        <v>0.3414002611111111</v>
      </c>
      <c r="AI26" s="141">
        <f t="shared" si="85"/>
        <v>5400000</v>
      </c>
      <c r="AJ26" s="416">
        <f t="shared" si="108"/>
        <v>1874588.77</v>
      </c>
      <c r="AK26" s="326">
        <f t="shared" ref="AK26:AM26" si="171">SUM(P26,W26,AD26)</f>
        <v>1737370.38</v>
      </c>
      <c r="AL26" s="326">
        <f t="shared" si="171"/>
        <v>0</v>
      </c>
      <c r="AM26" s="326">
        <f t="shared" si="171"/>
        <v>1737370.38</v>
      </c>
      <c r="AN26" s="326">
        <f t="shared" si="31"/>
        <v>-3662629.62</v>
      </c>
      <c r="AO26" s="98">
        <f t="shared" si="110"/>
        <v>0.32173525555555554</v>
      </c>
      <c r="AP26" s="125">
        <f t="shared" si="102"/>
        <v>338089.62</v>
      </c>
      <c r="AQ26" s="140">
        <f t="shared" si="32"/>
        <v>484633.12</v>
      </c>
      <c r="AR26" s="123">
        <f t="shared" si="33"/>
        <v>0</v>
      </c>
      <c r="AS26" s="148">
        <f t="shared" si="34"/>
        <v>484633.12</v>
      </c>
      <c r="AT26" s="125">
        <f t="shared" si="35"/>
        <v>1146413.98</v>
      </c>
      <c r="AU26" s="140">
        <f t="shared" si="36"/>
        <v>635149.87</v>
      </c>
      <c r="AV26" s="326">
        <f t="shared" si="37"/>
        <v>0</v>
      </c>
      <c r="AW26" s="333">
        <f t="shared" si="38"/>
        <v>635149.87</v>
      </c>
      <c r="AX26" s="125">
        <f t="shared" si="39"/>
        <v>72160.039999999994</v>
      </c>
      <c r="AY26" s="1041">
        <f t="shared" si="40"/>
        <v>326655.78000000003</v>
      </c>
      <c r="AZ26" s="123">
        <f t="shared" si="41"/>
        <v>0</v>
      </c>
      <c r="BA26" s="125">
        <f t="shared" si="42"/>
        <v>326655.78000000003</v>
      </c>
      <c r="BB26" s="122">
        <f t="shared" ref="BB26:BD26" si="172">SUM(AY26,AU26,AQ26)</f>
        <v>1446438.77</v>
      </c>
      <c r="BC26" s="326">
        <f t="shared" si="172"/>
        <v>0</v>
      </c>
      <c r="BD26" s="333">
        <f t="shared" si="172"/>
        <v>1446438.77</v>
      </c>
      <c r="BE26" s="123">
        <f t="shared" si="44"/>
        <v>3183809.15</v>
      </c>
      <c r="BF26" s="326">
        <f t="shared" ref="BF26:BG26" si="173">BC26+AL26</f>
        <v>0</v>
      </c>
      <c r="BG26" s="435">
        <f t="shared" si="173"/>
        <v>3183809.15</v>
      </c>
      <c r="BH26" s="125">
        <f t="shared" si="46"/>
        <v>191694.25</v>
      </c>
      <c r="BI26" s="1041">
        <f t="shared" si="47"/>
        <v>632554.46</v>
      </c>
      <c r="BJ26" s="326">
        <f t="shared" si="48"/>
        <v>0</v>
      </c>
      <c r="BK26" s="1045">
        <f t="shared" si="49"/>
        <v>632554.46</v>
      </c>
      <c r="BL26" s="125">
        <f t="shared" si="105"/>
        <v>123000.7</v>
      </c>
      <c r="BM26" s="141">
        <f t="shared" si="50"/>
        <v>297593.27999999997</v>
      </c>
      <c r="BN26" s="332">
        <f t="shared" si="51"/>
        <v>51592.76</v>
      </c>
      <c r="BO26" s="333">
        <f t="shared" si="52"/>
        <v>349186.04</v>
      </c>
      <c r="BP26" s="125">
        <f t="shared" si="106"/>
        <v>225359.01</v>
      </c>
      <c r="BQ26" s="140">
        <f t="shared" si="53"/>
        <v>220604.23</v>
      </c>
      <c r="BR26" s="123">
        <f t="shared" si="54"/>
        <v>0</v>
      </c>
      <c r="BS26" s="148">
        <f t="shared" si="55"/>
        <v>220604.23</v>
      </c>
      <c r="BT26" s="140">
        <f t="shared" ref="BT26:BV26" si="174">SUM(BQ26,BM26,BI26)</f>
        <v>1150751.97</v>
      </c>
      <c r="BU26" s="123">
        <f t="shared" si="174"/>
        <v>51592.76</v>
      </c>
      <c r="BV26" s="148">
        <f t="shared" si="174"/>
        <v>1202344.73</v>
      </c>
      <c r="BW26" s="125">
        <f t="shared" si="57"/>
        <v>716960.57</v>
      </c>
      <c r="BX26" s="140">
        <f t="shared" si="58"/>
        <v>177647.59999999998</v>
      </c>
      <c r="BY26" s="123">
        <f t="shared" si="59"/>
        <v>69315.990000000005</v>
      </c>
      <c r="BZ26" s="148">
        <f t="shared" si="60"/>
        <v>246963.59</v>
      </c>
      <c r="CA26" s="123">
        <f t="shared" si="61"/>
        <v>514720.36</v>
      </c>
      <c r="CB26" s="326">
        <f t="shared" si="62"/>
        <v>642907.85</v>
      </c>
    </row>
    <row r="27" spans="1:85" ht="15.75" customHeight="1">
      <c r="A27" s="436">
        <f t="shared" si="0"/>
        <v>112013501</v>
      </c>
      <c r="B27" s="93">
        <f t="shared" si="1"/>
        <v>22</v>
      </c>
      <c r="C27" s="558">
        <f t="shared" si="2"/>
        <v>0.1</v>
      </c>
      <c r="D27" s="558">
        <f t="shared" si="3"/>
        <v>0.09</v>
      </c>
      <c r="E27" s="715">
        <f t="shared" si="4"/>
        <v>0</v>
      </c>
      <c r="F27" s="701">
        <f t="shared" si="5"/>
        <v>22</v>
      </c>
      <c r="G27" s="700">
        <f t="shared" si="6"/>
        <v>0.1</v>
      </c>
      <c r="H27" s="700">
        <f t="shared" si="7"/>
        <v>0.09</v>
      </c>
      <c r="I27" s="702">
        <f t="shared" si="8"/>
        <v>0</v>
      </c>
      <c r="J27" s="837">
        <f t="shared" si="9"/>
        <v>63</v>
      </c>
      <c r="K27" s="699">
        <f t="shared" si="10"/>
        <v>0.1</v>
      </c>
      <c r="L27" s="1040">
        <f t="shared" si="11"/>
        <v>0.05</v>
      </c>
      <c r="M27" s="139" t="s">
        <v>1018</v>
      </c>
      <c r="N27" s="123">
        <f t="shared" si="100"/>
        <v>1100737.57</v>
      </c>
      <c r="O27" s="326">
        <f t="shared" ref="O27:O30" si="175">(N27*1.601)*1.05</f>
        <v>1850394.8920485002</v>
      </c>
      <c r="P27" s="704">
        <f t="shared" si="13"/>
        <v>866796.76</v>
      </c>
      <c r="Q27" s="704" t="str">
        <f t="shared" si="14"/>
        <v>0</v>
      </c>
      <c r="R27" s="704">
        <f t="shared" si="15"/>
        <v>866796.76</v>
      </c>
      <c r="S27" s="326">
        <f t="shared" si="16"/>
        <v>-983598.13204850024</v>
      </c>
      <c r="T27" s="137">
        <f t="shared" si="68"/>
        <v>0.46843879850986997</v>
      </c>
      <c r="U27" s="332">
        <f t="shared" si="17"/>
        <v>2494471.61</v>
      </c>
      <c r="V27" s="141">
        <f t="shared" ref="V27:V38" si="176">(U27*1.7245)*1.05</f>
        <v>4516802.1060172496</v>
      </c>
      <c r="W27" s="113">
        <f t="shared" si="19"/>
        <v>876675.74</v>
      </c>
      <c r="X27" s="704" t="str">
        <f t="shared" si="20"/>
        <v>0</v>
      </c>
      <c r="Y27" s="117">
        <f t="shared" si="21"/>
        <v>876675.74</v>
      </c>
      <c r="Z27" s="123">
        <f t="shared" si="22"/>
        <v>-3640126.3660172494</v>
      </c>
      <c r="AA27" s="98">
        <f t="shared" si="69"/>
        <v>0.19409212965786107</v>
      </c>
      <c r="AB27" s="123">
        <f t="shared" si="23"/>
        <v>558714.93999999994</v>
      </c>
      <c r="AC27" s="326">
        <v>1800000</v>
      </c>
      <c r="AD27" s="326">
        <f t="shared" si="25"/>
        <v>343155.69</v>
      </c>
      <c r="AE27" s="326" t="str">
        <f t="shared" si="26"/>
        <v>0</v>
      </c>
      <c r="AF27" s="326">
        <f t="shared" si="27"/>
        <v>343155.69</v>
      </c>
      <c r="AG27" s="326">
        <f t="shared" si="83"/>
        <v>-1456844.31</v>
      </c>
      <c r="AH27" s="494">
        <f t="shared" si="84"/>
        <v>0.19064205000000001</v>
      </c>
      <c r="AI27" s="141">
        <f t="shared" si="85"/>
        <v>8167196.9980657501</v>
      </c>
      <c r="AJ27" s="416">
        <f t="shared" si="108"/>
        <v>2195198.7999999998</v>
      </c>
      <c r="AK27" s="326">
        <f t="shared" ref="AK27:AM27" si="177">SUM(P27,W27,AD27)</f>
        <v>2086628.19</v>
      </c>
      <c r="AL27" s="326">
        <f t="shared" si="177"/>
        <v>0</v>
      </c>
      <c r="AM27" s="326">
        <f t="shared" si="177"/>
        <v>2086628.19</v>
      </c>
      <c r="AN27" s="326">
        <f t="shared" si="31"/>
        <v>-6080568.8080657497</v>
      </c>
      <c r="AO27" s="98">
        <f t="shared" si="110"/>
        <v>0.2554889015771481</v>
      </c>
      <c r="AP27" s="125">
        <f t="shared" si="102"/>
        <v>1720292.03</v>
      </c>
      <c r="AQ27" s="140">
        <f t="shared" si="32"/>
        <v>2656212.98</v>
      </c>
      <c r="AR27" s="123" t="str">
        <f t="shared" si="33"/>
        <v>0</v>
      </c>
      <c r="AS27" s="148">
        <f t="shared" si="34"/>
        <v>2656212.98</v>
      </c>
      <c r="AT27" s="125">
        <f t="shared" si="35"/>
        <v>27064.2</v>
      </c>
      <c r="AU27" s="140">
        <f t="shared" si="36"/>
        <v>704890.97</v>
      </c>
      <c r="AV27" s="326" t="str">
        <f t="shared" si="37"/>
        <v>0</v>
      </c>
      <c r="AW27" s="333">
        <f t="shared" si="38"/>
        <v>704890.97</v>
      </c>
      <c r="AX27" s="125">
        <f t="shared" si="39"/>
        <v>444875.41</v>
      </c>
      <c r="AY27" s="1041">
        <f t="shared" si="40"/>
        <v>972413.1</v>
      </c>
      <c r="AZ27" s="123" t="str">
        <f t="shared" si="41"/>
        <v>0</v>
      </c>
      <c r="BA27" s="125">
        <f t="shared" si="42"/>
        <v>972413.1</v>
      </c>
      <c r="BB27" s="122">
        <f t="shared" ref="BB27:BD27" si="178">SUM(AY27,AU27,AQ27)</f>
        <v>4333517.05</v>
      </c>
      <c r="BC27" s="326">
        <f t="shared" si="178"/>
        <v>0</v>
      </c>
      <c r="BD27" s="333">
        <f t="shared" si="178"/>
        <v>4333517.05</v>
      </c>
      <c r="BE27" s="123">
        <f t="shared" si="44"/>
        <v>6420145.2400000002</v>
      </c>
      <c r="BF27" s="326">
        <f t="shared" ref="BF27:BG27" si="179">BC27+AL27</f>
        <v>0</v>
      </c>
      <c r="BG27" s="435">
        <f t="shared" si="179"/>
        <v>6420145.2400000002</v>
      </c>
      <c r="BH27" s="125">
        <f t="shared" si="46"/>
        <v>105981.55</v>
      </c>
      <c r="BI27" s="1041">
        <f t="shared" si="47"/>
        <v>772474.79</v>
      </c>
      <c r="BJ27" s="326" t="str">
        <f t="shared" si="48"/>
        <v>0</v>
      </c>
      <c r="BK27" s="1045">
        <f t="shared" si="49"/>
        <v>772474.79</v>
      </c>
      <c r="BL27" s="125">
        <f t="shared" si="105"/>
        <v>1325188.3500000001</v>
      </c>
      <c r="BM27" s="141">
        <f t="shared" si="50"/>
        <v>544940.54</v>
      </c>
      <c r="BN27" s="332" t="str">
        <f t="shared" si="51"/>
        <v>0</v>
      </c>
      <c r="BO27" s="333">
        <f t="shared" si="52"/>
        <v>544940.54</v>
      </c>
      <c r="BP27" s="125">
        <f t="shared" si="106"/>
        <v>772562.21</v>
      </c>
      <c r="BQ27" s="140">
        <f t="shared" si="53"/>
        <v>448499.8</v>
      </c>
      <c r="BR27" s="123" t="str">
        <f t="shared" si="54"/>
        <v>0</v>
      </c>
      <c r="BS27" s="148">
        <f t="shared" si="55"/>
        <v>448499.8</v>
      </c>
      <c r="BT27" s="140">
        <f t="shared" ref="BT27:BV27" si="180">SUM(BQ27,BM27,BI27)</f>
        <v>1765915.1300000001</v>
      </c>
      <c r="BU27" s="123">
        <f t="shared" si="180"/>
        <v>0</v>
      </c>
      <c r="BV27" s="148">
        <f t="shared" si="180"/>
        <v>1765915.1300000001</v>
      </c>
      <c r="BW27" s="125">
        <f t="shared" si="57"/>
        <v>369177.23</v>
      </c>
      <c r="BX27" s="140">
        <f t="shared" si="58"/>
        <v>2559920.14</v>
      </c>
      <c r="BY27" s="123" t="str">
        <f t="shared" si="59"/>
        <v>0</v>
      </c>
      <c r="BZ27" s="148">
        <f t="shared" si="60"/>
        <v>2559920.14</v>
      </c>
      <c r="CA27" s="123">
        <f t="shared" si="61"/>
        <v>643279.01</v>
      </c>
      <c r="CB27" s="326">
        <f t="shared" si="62"/>
        <v>1182742.57</v>
      </c>
    </row>
    <row r="28" spans="1:85" ht="15.75" customHeight="1">
      <c r="A28" s="436">
        <f t="shared" si="0"/>
        <v>112013474</v>
      </c>
      <c r="B28" s="93">
        <f t="shared" si="1"/>
        <v>22</v>
      </c>
      <c r="C28" s="558">
        <f t="shared" si="2"/>
        <v>0.1</v>
      </c>
      <c r="D28" s="558">
        <f t="shared" si="3"/>
        <v>0.09</v>
      </c>
      <c r="E28" s="715">
        <f t="shared" si="4"/>
        <v>0</v>
      </c>
      <c r="F28" s="701">
        <f t="shared" si="5"/>
        <v>22</v>
      </c>
      <c r="G28" s="700">
        <f t="shared" si="6"/>
        <v>0.1</v>
      </c>
      <c r="H28" s="700">
        <f t="shared" si="7"/>
        <v>0.09</v>
      </c>
      <c r="I28" s="702">
        <f t="shared" si="8"/>
        <v>0</v>
      </c>
      <c r="J28" s="837">
        <f t="shared" si="9"/>
        <v>63</v>
      </c>
      <c r="K28" s="699">
        <f t="shared" si="10"/>
        <v>0.1</v>
      </c>
      <c r="L28" s="1040">
        <f t="shared" si="11"/>
        <v>0.05</v>
      </c>
      <c r="M28" s="139" t="s">
        <v>1019</v>
      </c>
      <c r="N28" s="123" t="str">
        <f t="shared" si="100"/>
        <v/>
      </c>
      <c r="O28" s="326" t="e">
        <f t="shared" si="175"/>
        <v>#VALUE!</v>
      </c>
      <c r="P28" s="704">
        <f t="shared" si="13"/>
        <v>0</v>
      </c>
      <c r="Q28" s="704" t="str">
        <f t="shared" si="14"/>
        <v>0</v>
      </c>
      <c r="R28" s="704">
        <f t="shared" si="15"/>
        <v>0</v>
      </c>
      <c r="S28" s="326" t="e">
        <f t="shared" si="16"/>
        <v>#VALUE!</v>
      </c>
      <c r="T28" s="137" t="str">
        <f t="shared" ref="T28:T38" si="181">IFERROR(R28/O28,"")</f>
        <v/>
      </c>
      <c r="U28" s="332" t="str">
        <f t="shared" si="17"/>
        <v/>
      </c>
      <c r="V28" s="141" t="e">
        <f t="shared" si="176"/>
        <v>#VALUE!</v>
      </c>
      <c r="W28" s="113">
        <f t="shared" si="19"/>
        <v>0</v>
      </c>
      <c r="X28" s="704" t="str">
        <f t="shared" si="20"/>
        <v>0</v>
      </c>
      <c r="Y28" s="117">
        <f t="shared" si="21"/>
        <v>0</v>
      </c>
      <c r="Z28" s="123" t="e">
        <f t="shared" si="22"/>
        <v>#VALUE!</v>
      </c>
      <c r="AA28" s="98" t="str">
        <f t="shared" ref="AA28:AA38" si="182">IFERROR(Y28/V28,"")</f>
        <v/>
      </c>
      <c r="AB28" s="123" t="str">
        <f t="shared" si="23"/>
        <v/>
      </c>
      <c r="AC28" s="326" t="e">
        <f t="shared" ref="AC28:AC39" si="183">(AB28*1.5955)*1.03</f>
        <v>#VALUE!</v>
      </c>
      <c r="AD28" s="326">
        <f t="shared" si="25"/>
        <v>0</v>
      </c>
      <c r="AE28" s="326" t="str">
        <f t="shared" si="26"/>
        <v>0</v>
      </c>
      <c r="AF28" s="326">
        <f t="shared" si="27"/>
        <v>0</v>
      </c>
      <c r="AG28" s="326" t="e">
        <f t="shared" si="83"/>
        <v>#VALUE!</v>
      </c>
      <c r="AH28" s="494" t="str">
        <f t="shared" ref="AH28:AH38" si="184">IFERROR(AF28/AC28,"")</f>
        <v/>
      </c>
      <c r="AI28" s="141" t="e">
        <f t="shared" si="85"/>
        <v>#VALUE!</v>
      </c>
      <c r="AJ28" s="416">
        <f t="shared" si="108"/>
        <v>885111.34</v>
      </c>
      <c r="AK28" s="326">
        <f t="shared" ref="AK28:AM28" si="185">SUM(P28,W28,AD28)</f>
        <v>0</v>
      </c>
      <c r="AL28" s="326">
        <f t="shared" si="185"/>
        <v>0</v>
      </c>
      <c r="AM28" s="326">
        <f t="shared" si="185"/>
        <v>0</v>
      </c>
      <c r="AN28" s="326" t="e">
        <f t="shared" si="31"/>
        <v>#VALUE!</v>
      </c>
      <c r="AO28" s="98" t="str">
        <f t="shared" ref="AO28:AO38" si="186">IFERROR(AM28/AI28,"")</f>
        <v/>
      </c>
      <c r="AP28" s="125" t="str">
        <f t="shared" si="102"/>
        <v/>
      </c>
      <c r="AQ28" s="140">
        <f t="shared" si="32"/>
        <v>0</v>
      </c>
      <c r="AR28" s="123" t="str">
        <f t="shared" si="33"/>
        <v>0</v>
      </c>
      <c r="AS28" s="148">
        <f t="shared" si="34"/>
        <v>0</v>
      </c>
      <c r="AT28" s="125" t="str">
        <f t="shared" si="35"/>
        <v/>
      </c>
      <c r="AU28" s="140">
        <f t="shared" si="36"/>
        <v>302587.3</v>
      </c>
      <c r="AV28" s="326" t="str">
        <f t="shared" si="37"/>
        <v>0</v>
      </c>
      <c r="AW28" s="333">
        <f t="shared" si="38"/>
        <v>302587.3</v>
      </c>
      <c r="AX28" s="125" t="str">
        <f t="shared" si="39"/>
        <v/>
      </c>
      <c r="AY28" s="1041">
        <f t="shared" si="40"/>
        <v>0</v>
      </c>
      <c r="AZ28" s="123" t="str">
        <f t="shared" si="41"/>
        <v>0</v>
      </c>
      <c r="BA28" s="125">
        <f t="shared" si="42"/>
        <v>0</v>
      </c>
      <c r="BB28" s="122">
        <f t="shared" ref="BB28:BD28" si="187">SUM(AY28,AU28,AQ28)</f>
        <v>302587.3</v>
      </c>
      <c r="BC28" s="326">
        <f t="shared" si="187"/>
        <v>0</v>
      </c>
      <c r="BD28" s="333">
        <f t="shared" si="187"/>
        <v>302587.3</v>
      </c>
      <c r="BE28" s="123">
        <f t="shared" si="44"/>
        <v>302587.3</v>
      </c>
      <c r="BF28" s="326">
        <f t="shared" ref="BF28:BG28" si="188">BC28+AL28</f>
        <v>0</v>
      </c>
      <c r="BG28" s="435">
        <f t="shared" si="188"/>
        <v>302587.3</v>
      </c>
      <c r="BH28" s="125" t="str">
        <f t="shared" si="46"/>
        <v/>
      </c>
      <c r="BI28" s="1041">
        <f t="shared" si="47"/>
        <v>223523.77</v>
      </c>
      <c r="BJ28" s="326" t="str">
        <f t="shared" si="48"/>
        <v>0</v>
      </c>
      <c r="BK28" s="1045">
        <f t="shared" si="49"/>
        <v>223523.77</v>
      </c>
      <c r="BL28" s="125" t="str">
        <f t="shared" si="105"/>
        <v/>
      </c>
      <c r="BM28" s="141">
        <f t="shared" si="50"/>
        <v>0</v>
      </c>
      <c r="BN28" s="332" t="str">
        <f t="shared" si="51"/>
        <v>0</v>
      </c>
      <c r="BO28" s="333">
        <f t="shared" si="52"/>
        <v>0</v>
      </c>
      <c r="BP28" s="125" t="str">
        <f t="shared" si="106"/>
        <v/>
      </c>
      <c r="BQ28" s="140">
        <f t="shared" si="53"/>
        <v>281721.59000000003</v>
      </c>
      <c r="BR28" s="123" t="str">
        <f t="shared" si="54"/>
        <v>0</v>
      </c>
      <c r="BS28" s="148">
        <f t="shared" si="55"/>
        <v>281721.59000000003</v>
      </c>
      <c r="BT28" s="140">
        <f t="shared" ref="BT28:BV28" si="189">SUM(BQ28,BM28,BI28)</f>
        <v>505245.36</v>
      </c>
      <c r="BU28" s="123">
        <f t="shared" si="189"/>
        <v>0</v>
      </c>
      <c r="BV28" s="148">
        <f t="shared" si="189"/>
        <v>505245.36</v>
      </c>
      <c r="BW28" s="125" t="str">
        <f t="shared" si="57"/>
        <v/>
      </c>
      <c r="BX28" s="140">
        <f t="shared" si="58"/>
        <v>535262.71999999997</v>
      </c>
      <c r="BY28" s="123" t="str">
        <f t="shared" si="59"/>
        <v>0</v>
      </c>
      <c r="BZ28" s="148">
        <f t="shared" si="60"/>
        <v>535262.71999999997</v>
      </c>
      <c r="CA28" s="123" t="str">
        <f t="shared" si="61"/>
        <v/>
      </c>
      <c r="CB28" s="326" t="str">
        <f t="shared" si="62"/>
        <v/>
      </c>
    </row>
    <row r="29" spans="1:85" ht="15.75" customHeight="1">
      <c r="A29" s="436">
        <f t="shared" si="0"/>
        <v>112014709</v>
      </c>
      <c r="B29" s="93">
        <f t="shared" si="1"/>
        <v>22</v>
      </c>
      <c r="C29" s="558">
        <f t="shared" si="2"/>
        <v>0.1</v>
      </c>
      <c r="D29" s="558">
        <f t="shared" si="3"/>
        <v>0.09</v>
      </c>
      <c r="E29" s="715">
        <f t="shared" si="4"/>
        <v>0</v>
      </c>
      <c r="F29" s="701">
        <f t="shared" si="5"/>
        <v>7</v>
      </c>
      <c r="G29" s="700">
        <f t="shared" si="6"/>
        <v>0.1</v>
      </c>
      <c r="H29" s="700">
        <f t="shared" si="7"/>
        <v>0.2</v>
      </c>
      <c r="I29" s="702">
        <f t="shared" si="8"/>
        <v>0</v>
      </c>
      <c r="J29" s="837">
        <f t="shared" si="9"/>
        <v>62</v>
      </c>
      <c r="K29" s="699">
        <f t="shared" si="10"/>
        <v>0.1</v>
      </c>
      <c r="L29" s="1040">
        <f t="shared" si="11"/>
        <v>0.11</v>
      </c>
      <c r="M29" s="189" t="s">
        <v>1020</v>
      </c>
      <c r="N29" s="123" t="str">
        <f t="shared" si="100"/>
        <v/>
      </c>
      <c r="O29" s="326" t="e">
        <f t="shared" si="175"/>
        <v>#VALUE!</v>
      </c>
      <c r="P29" s="704">
        <f t="shared" si="13"/>
        <v>0</v>
      </c>
      <c r="Q29" s="704">
        <f t="shared" si="14"/>
        <v>0</v>
      </c>
      <c r="R29" s="704">
        <f t="shared" si="15"/>
        <v>0</v>
      </c>
      <c r="S29" s="326" t="e">
        <f t="shared" si="16"/>
        <v>#VALUE!</v>
      </c>
      <c r="T29" s="137" t="str">
        <f t="shared" si="181"/>
        <v/>
      </c>
      <c r="U29" s="332" t="str">
        <f t="shared" si="17"/>
        <v/>
      </c>
      <c r="V29" s="141" t="e">
        <f t="shared" si="176"/>
        <v>#VALUE!</v>
      </c>
      <c r="W29" s="113">
        <f t="shared" si="19"/>
        <v>0</v>
      </c>
      <c r="X29" s="704">
        <f t="shared" si="20"/>
        <v>0</v>
      </c>
      <c r="Y29" s="117">
        <f t="shared" si="21"/>
        <v>0</v>
      </c>
      <c r="Z29" s="123" t="e">
        <f t="shared" si="22"/>
        <v>#VALUE!</v>
      </c>
      <c r="AA29" s="98" t="str">
        <f t="shared" si="182"/>
        <v/>
      </c>
      <c r="AB29" s="123" t="str">
        <f t="shared" si="23"/>
        <v/>
      </c>
      <c r="AC29" s="326" t="e">
        <f t="shared" si="183"/>
        <v>#VALUE!</v>
      </c>
      <c r="AD29" s="326">
        <f t="shared" si="25"/>
        <v>0</v>
      </c>
      <c r="AE29" s="326">
        <f t="shared" si="26"/>
        <v>0</v>
      </c>
      <c r="AF29" s="326">
        <f t="shared" si="27"/>
        <v>0</v>
      </c>
      <c r="AG29" s="326" t="e">
        <f t="shared" si="83"/>
        <v>#VALUE!</v>
      </c>
      <c r="AH29" s="494" t="str">
        <f t="shared" si="184"/>
        <v/>
      </c>
      <c r="AI29" s="141" t="e">
        <f t="shared" si="85"/>
        <v>#VALUE!</v>
      </c>
      <c r="AJ29" s="416" t="str">
        <f t="shared" si="108"/>
        <v>0</v>
      </c>
      <c r="AK29" s="326">
        <f t="shared" ref="AK29:AM29" si="190">SUM(P29,W29,AD29)</f>
        <v>0</v>
      </c>
      <c r="AL29" s="326">
        <f t="shared" si="190"/>
        <v>0</v>
      </c>
      <c r="AM29" s="326">
        <f t="shared" si="190"/>
        <v>0</v>
      </c>
      <c r="AN29" s="326" t="e">
        <f t="shared" si="31"/>
        <v>#VALUE!</v>
      </c>
      <c r="AO29" s="98" t="str">
        <f t="shared" si="186"/>
        <v/>
      </c>
      <c r="AP29" s="125" t="str">
        <f t="shared" si="102"/>
        <v/>
      </c>
      <c r="AQ29" s="140">
        <f t="shared" si="32"/>
        <v>0</v>
      </c>
      <c r="AR29" s="123">
        <f t="shared" si="33"/>
        <v>0</v>
      </c>
      <c r="AS29" s="148">
        <f t="shared" si="34"/>
        <v>0</v>
      </c>
      <c r="AT29" s="125" t="str">
        <f t="shared" si="35"/>
        <v/>
      </c>
      <c r="AU29" s="140">
        <f t="shared" si="36"/>
        <v>0</v>
      </c>
      <c r="AV29" s="326">
        <f t="shared" si="37"/>
        <v>0</v>
      </c>
      <c r="AW29" s="333">
        <f t="shared" si="38"/>
        <v>0</v>
      </c>
      <c r="AX29" s="125" t="str">
        <f t="shared" si="39"/>
        <v/>
      </c>
      <c r="AY29" s="1041">
        <f t="shared" si="40"/>
        <v>0</v>
      </c>
      <c r="AZ29" s="123">
        <f t="shared" si="41"/>
        <v>0</v>
      </c>
      <c r="BA29" s="125">
        <f t="shared" si="42"/>
        <v>0</v>
      </c>
      <c r="BB29" s="122">
        <f t="shared" ref="BB29:BD29" si="191">SUM(AY29,AU29,AQ29)</f>
        <v>0</v>
      </c>
      <c r="BC29" s="326">
        <f t="shared" si="191"/>
        <v>0</v>
      </c>
      <c r="BD29" s="333">
        <f t="shared" si="191"/>
        <v>0</v>
      </c>
      <c r="BE29" s="123">
        <f t="shared" si="44"/>
        <v>0</v>
      </c>
      <c r="BF29" s="326">
        <f t="shared" ref="BF29:BG29" si="192">BC29+AL29</f>
        <v>0</v>
      </c>
      <c r="BG29" s="435">
        <f t="shared" si="192"/>
        <v>0</v>
      </c>
      <c r="BH29" s="125" t="str">
        <f t="shared" si="46"/>
        <v/>
      </c>
      <c r="BI29" s="1041">
        <f t="shared" si="47"/>
        <v>0</v>
      </c>
      <c r="BJ29" s="326">
        <f t="shared" si="48"/>
        <v>0</v>
      </c>
      <c r="BK29" s="1045">
        <f t="shared" si="49"/>
        <v>0</v>
      </c>
      <c r="BL29" s="125" t="str">
        <f t="shared" si="105"/>
        <v/>
      </c>
      <c r="BM29" s="141">
        <f t="shared" si="50"/>
        <v>235899.17</v>
      </c>
      <c r="BN29" s="332">
        <f t="shared" si="51"/>
        <v>31057.599999999999</v>
      </c>
      <c r="BO29" s="333">
        <f t="shared" si="52"/>
        <v>266956.77</v>
      </c>
      <c r="BP29" s="125" t="str">
        <f t="shared" si="106"/>
        <v/>
      </c>
      <c r="BQ29" s="140">
        <f t="shared" si="53"/>
        <v>341747.36</v>
      </c>
      <c r="BR29" s="123">
        <f t="shared" si="54"/>
        <v>20917.52</v>
      </c>
      <c r="BS29" s="148">
        <f t="shared" si="55"/>
        <v>362664.88</v>
      </c>
      <c r="BT29" s="140">
        <f t="shared" ref="BT29:BV29" si="193">SUM(BQ29,BM29,BI29)</f>
        <v>577646.53</v>
      </c>
      <c r="BU29" s="123">
        <f t="shared" si="193"/>
        <v>51975.119999999995</v>
      </c>
      <c r="BV29" s="148">
        <f t="shared" si="193"/>
        <v>629621.65</v>
      </c>
      <c r="BW29" s="125" t="str">
        <f t="shared" si="57"/>
        <v/>
      </c>
      <c r="BX29" s="140">
        <f t="shared" si="58"/>
        <v>710420.33000000007</v>
      </c>
      <c r="BY29" s="123">
        <f t="shared" si="59"/>
        <v>47980.08</v>
      </c>
      <c r="BZ29" s="148">
        <f t="shared" si="60"/>
        <v>758400.41</v>
      </c>
      <c r="CA29" s="123" t="str">
        <f t="shared" si="61"/>
        <v/>
      </c>
      <c r="CB29" s="326" t="str">
        <f t="shared" si="62"/>
        <v/>
      </c>
    </row>
    <row r="30" spans="1:85" ht="15.75" customHeight="1">
      <c r="A30" s="436">
        <f t="shared" si="0"/>
        <v>112013516</v>
      </c>
      <c r="B30" s="93">
        <f t="shared" si="1"/>
        <v>7</v>
      </c>
      <c r="C30" s="558">
        <f t="shared" si="2"/>
        <v>0.1</v>
      </c>
      <c r="D30" s="558">
        <f t="shared" si="3"/>
        <v>0.2</v>
      </c>
      <c r="E30" s="715">
        <f t="shared" si="4"/>
        <v>0</v>
      </c>
      <c r="F30" s="701">
        <f t="shared" si="5"/>
        <v>7</v>
      </c>
      <c r="G30" s="700">
        <f t="shared" si="6"/>
        <v>0.1</v>
      </c>
      <c r="H30" s="700">
        <f t="shared" si="7"/>
        <v>0.2</v>
      </c>
      <c r="I30" s="702">
        <f t="shared" si="8"/>
        <v>0</v>
      </c>
      <c r="J30" s="837">
        <f t="shared" si="9"/>
        <v>62</v>
      </c>
      <c r="K30" s="699">
        <f t="shared" si="10"/>
        <v>0.1</v>
      </c>
      <c r="L30" s="1040">
        <f t="shared" si="11"/>
        <v>0.11</v>
      </c>
      <c r="M30" s="139" t="s">
        <v>1021</v>
      </c>
      <c r="N30" s="123" t="str">
        <f t="shared" si="100"/>
        <v/>
      </c>
      <c r="O30" s="326" t="e">
        <f t="shared" si="175"/>
        <v>#VALUE!</v>
      </c>
      <c r="P30" s="704">
        <f t="shared" si="13"/>
        <v>0</v>
      </c>
      <c r="Q30" s="704">
        <f t="shared" si="14"/>
        <v>0</v>
      </c>
      <c r="R30" s="704">
        <f t="shared" si="15"/>
        <v>0</v>
      </c>
      <c r="S30" s="326" t="e">
        <f t="shared" si="16"/>
        <v>#VALUE!</v>
      </c>
      <c r="T30" s="137" t="str">
        <f t="shared" si="181"/>
        <v/>
      </c>
      <c r="U30" s="332" t="str">
        <f t="shared" si="17"/>
        <v/>
      </c>
      <c r="V30" s="141" t="e">
        <f t="shared" si="176"/>
        <v>#VALUE!</v>
      </c>
      <c r="W30" s="113">
        <f t="shared" si="19"/>
        <v>0</v>
      </c>
      <c r="X30" s="704">
        <f t="shared" si="20"/>
        <v>0</v>
      </c>
      <c r="Y30" s="117">
        <f t="shared" si="21"/>
        <v>0</v>
      </c>
      <c r="Z30" s="123" t="e">
        <f t="shared" si="22"/>
        <v>#VALUE!</v>
      </c>
      <c r="AA30" s="98" t="str">
        <f t="shared" si="182"/>
        <v/>
      </c>
      <c r="AB30" s="123" t="str">
        <f t="shared" si="23"/>
        <v/>
      </c>
      <c r="AC30" s="326" t="e">
        <f t="shared" si="183"/>
        <v>#VALUE!</v>
      </c>
      <c r="AD30" s="326">
        <f t="shared" si="25"/>
        <v>0</v>
      </c>
      <c r="AE30" s="326">
        <f t="shared" si="26"/>
        <v>0</v>
      </c>
      <c r="AF30" s="326">
        <f t="shared" si="27"/>
        <v>0</v>
      </c>
      <c r="AG30" s="326" t="e">
        <f t="shared" si="83"/>
        <v>#VALUE!</v>
      </c>
      <c r="AH30" s="494" t="str">
        <f t="shared" si="184"/>
        <v/>
      </c>
      <c r="AI30" s="141" t="e">
        <f t="shared" si="85"/>
        <v>#VALUE!</v>
      </c>
      <c r="AJ30" s="416">
        <f t="shared" si="108"/>
        <v>4302018.66</v>
      </c>
      <c r="AK30" s="326">
        <f t="shared" ref="AK30:AM30" si="194">SUM(P30,W30,AD30)</f>
        <v>0</v>
      </c>
      <c r="AL30" s="326">
        <f t="shared" si="194"/>
        <v>0</v>
      </c>
      <c r="AM30" s="326">
        <f t="shared" si="194"/>
        <v>0</v>
      </c>
      <c r="AN30" s="326" t="e">
        <f t="shared" si="31"/>
        <v>#VALUE!</v>
      </c>
      <c r="AO30" s="98" t="str">
        <f t="shared" si="186"/>
        <v/>
      </c>
      <c r="AP30" s="125" t="str">
        <f t="shared" si="102"/>
        <v/>
      </c>
      <c r="AQ30" s="140">
        <f t="shared" si="32"/>
        <v>162994.78</v>
      </c>
      <c r="AR30" s="123">
        <f t="shared" si="33"/>
        <v>0</v>
      </c>
      <c r="AS30" s="148">
        <f t="shared" si="34"/>
        <v>162994.78</v>
      </c>
      <c r="AT30" s="125" t="str">
        <f t="shared" si="35"/>
        <v/>
      </c>
      <c r="AU30" s="140">
        <f t="shared" si="36"/>
        <v>257098.03000000003</v>
      </c>
      <c r="AV30" s="326">
        <f t="shared" si="37"/>
        <v>396218.5</v>
      </c>
      <c r="AW30" s="333">
        <f t="shared" si="38"/>
        <v>653316.53</v>
      </c>
      <c r="AX30" s="125" t="str">
        <f t="shared" si="39"/>
        <v/>
      </c>
      <c r="AY30" s="1041">
        <f t="shared" si="40"/>
        <v>226633.3</v>
      </c>
      <c r="AZ30" s="123">
        <f t="shared" si="41"/>
        <v>109629.51</v>
      </c>
      <c r="BA30" s="125">
        <f t="shared" si="42"/>
        <v>336262.81</v>
      </c>
      <c r="BB30" s="122">
        <f t="shared" ref="BB30:BD30" si="195">SUM(AY30,AU30,AQ30)</f>
        <v>646726.11</v>
      </c>
      <c r="BC30" s="326">
        <f t="shared" si="195"/>
        <v>505848.01</v>
      </c>
      <c r="BD30" s="333">
        <f t="shared" si="195"/>
        <v>1152574.1200000001</v>
      </c>
      <c r="BE30" s="123">
        <f t="shared" si="44"/>
        <v>1152574.1200000001</v>
      </c>
      <c r="BF30" s="326">
        <f t="shared" ref="BF30:BG30" si="196">BC30+AL30</f>
        <v>505848.01</v>
      </c>
      <c r="BG30" s="435">
        <f t="shared" si="196"/>
        <v>1152574.1200000001</v>
      </c>
      <c r="BH30" s="125" t="str">
        <f t="shared" si="46"/>
        <v/>
      </c>
      <c r="BI30" s="1041">
        <f t="shared" si="47"/>
        <v>270937.71999999997</v>
      </c>
      <c r="BJ30" s="326">
        <f t="shared" si="48"/>
        <v>0</v>
      </c>
      <c r="BK30" s="1045">
        <f t="shared" si="49"/>
        <v>270937.71999999997</v>
      </c>
      <c r="BL30" s="125" t="str">
        <f t="shared" si="105"/>
        <v/>
      </c>
      <c r="BM30" s="141">
        <f t="shared" si="50"/>
        <v>308799</v>
      </c>
      <c r="BN30" s="332">
        <f t="shared" si="51"/>
        <v>0</v>
      </c>
      <c r="BO30" s="333">
        <f t="shared" si="52"/>
        <v>308799</v>
      </c>
      <c r="BP30" s="125" t="str">
        <f t="shared" si="106"/>
        <v/>
      </c>
      <c r="BQ30" s="140">
        <f t="shared" si="53"/>
        <v>515498.9</v>
      </c>
      <c r="BR30" s="123">
        <f t="shared" si="54"/>
        <v>0</v>
      </c>
      <c r="BS30" s="148">
        <f t="shared" si="55"/>
        <v>515498.9</v>
      </c>
      <c r="BT30" s="140">
        <f t="shared" ref="BT30:BV30" si="197">SUM(BQ30,BM30,BI30)</f>
        <v>1095235.6200000001</v>
      </c>
      <c r="BU30" s="123">
        <f t="shared" si="197"/>
        <v>0</v>
      </c>
      <c r="BV30" s="148">
        <f t="shared" si="197"/>
        <v>1095235.6200000001</v>
      </c>
      <c r="BW30" s="125" t="str">
        <f t="shared" si="57"/>
        <v/>
      </c>
      <c r="BX30" s="140">
        <f t="shared" si="58"/>
        <v>291334.38</v>
      </c>
      <c r="BY30" s="123">
        <f t="shared" si="59"/>
        <v>0</v>
      </c>
      <c r="BZ30" s="148">
        <f t="shared" si="60"/>
        <v>291334.38</v>
      </c>
      <c r="CA30" s="123" t="str">
        <f t="shared" si="61"/>
        <v/>
      </c>
      <c r="CB30" s="326" t="str">
        <f t="shared" si="62"/>
        <v/>
      </c>
    </row>
    <row r="31" spans="1:85" ht="15.75" customHeight="1">
      <c r="A31" s="436">
        <f t="shared" si="0"/>
        <v>112014524</v>
      </c>
      <c r="B31" s="93">
        <f t="shared" si="1"/>
        <v>7</v>
      </c>
      <c r="C31" s="558">
        <f t="shared" si="2"/>
        <v>0.1</v>
      </c>
      <c r="D31" s="558">
        <f t="shared" si="3"/>
        <v>0.2</v>
      </c>
      <c r="E31" s="715">
        <f t="shared" si="4"/>
        <v>0</v>
      </c>
      <c r="F31" s="701">
        <f t="shared" si="5"/>
        <v>7</v>
      </c>
      <c r="G31" s="700">
        <f t="shared" si="6"/>
        <v>0.1</v>
      </c>
      <c r="H31" s="700">
        <f t="shared" si="7"/>
        <v>0.2</v>
      </c>
      <c r="I31" s="702">
        <f t="shared" si="8"/>
        <v>0</v>
      </c>
      <c r="J31" s="837">
        <f t="shared" si="9"/>
        <v>62</v>
      </c>
      <c r="K31" s="699">
        <f t="shared" si="10"/>
        <v>0.1</v>
      </c>
      <c r="L31" s="1040">
        <f t="shared" si="11"/>
        <v>0.11</v>
      </c>
      <c r="M31" s="139" t="s">
        <v>1022</v>
      </c>
      <c r="N31" s="123"/>
      <c r="O31" s="326"/>
      <c r="P31" s="704">
        <f t="shared" si="13"/>
        <v>0</v>
      </c>
      <c r="Q31" s="704">
        <f t="shared" si="14"/>
        <v>0</v>
      </c>
      <c r="R31" s="704">
        <f t="shared" si="15"/>
        <v>0</v>
      </c>
      <c r="S31" s="326">
        <f t="shared" si="16"/>
        <v>0</v>
      </c>
      <c r="T31" s="137" t="str">
        <f t="shared" si="181"/>
        <v/>
      </c>
      <c r="U31" s="332" t="str">
        <f t="shared" si="17"/>
        <v/>
      </c>
      <c r="V31" s="141" t="e">
        <f t="shared" si="176"/>
        <v>#VALUE!</v>
      </c>
      <c r="W31" s="113">
        <f t="shared" si="19"/>
        <v>0</v>
      </c>
      <c r="X31" s="704">
        <f t="shared" si="20"/>
        <v>0</v>
      </c>
      <c r="Y31" s="117">
        <f t="shared" si="21"/>
        <v>0</v>
      </c>
      <c r="Z31" s="123" t="e">
        <f t="shared" si="22"/>
        <v>#VALUE!</v>
      </c>
      <c r="AA31" s="98" t="str">
        <f t="shared" si="182"/>
        <v/>
      </c>
      <c r="AB31" s="123" t="str">
        <f t="shared" si="23"/>
        <v/>
      </c>
      <c r="AC31" s="326" t="e">
        <f t="shared" si="183"/>
        <v>#VALUE!</v>
      </c>
      <c r="AD31" s="326">
        <f t="shared" si="25"/>
        <v>0</v>
      </c>
      <c r="AE31" s="326">
        <f t="shared" si="26"/>
        <v>0</v>
      </c>
      <c r="AF31" s="326">
        <f t="shared" si="27"/>
        <v>0</v>
      </c>
      <c r="AG31" s="326" t="e">
        <f t="shared" si="83"/>
        <v>#VALUE!</v>
      </c>
      <c r="AH31" s="494" t="str">
        <f t="shared" si="184"/>
        <v/>
      </c>
      <c r="AI31" s="141" t="e">
        <f t="shared" si="85"/>
        <v>#VALUE!</v>
      </c>
      <c r="AJ31" s="416">
        <f t="shared" si="108"/>
        <v>8652880.9700000007</v>
      </c>
      <c r="AK31" s="326">
        <f t="shared" ref="AK31:AM31" si="198">SUM(P31,W31,AD31)</f>
        <v>0</v>
      </c>
      <c r="AL31" s="326">
        <f t="shared" si="198"/>
        <v>0</v>
      </c>
      <c r="AM31" s="326">
        <f t="shared" si="198"/>
        <v>0</v>
      </c>
      <c r="AN31" s="326" t="e">
        <f t="shared" si="31"/>
        <v>#VALUE!</v>
      </c>
      <c r="AO31" s="98" t="str">
        <f t="shared" si="186"/>
        <v/>
      </c>
      <c r="AP31" s="125" t="str">
        <f t="shared" si="102"/>
        <v/>
      </c>
      <c r="AQ31" s="140">
        <f t="shared" si="32"/>
        <v>0</v>
      </c>
      <c r="AR31" s="123">
        <f t="shared" si="33"/>
        <v>0</v>
      </c>
      <c r="AS31" s="148">
        <f t="shared" si="34"/>
        <v>0</v>
      </c>
      <c r="AT31" s="125" t="str">
        <f t="shared" si="35"/>
        <v/>
      </c>
      <c r="AU31" s="140">
        <f t="shared" si="36"/>
        <v>0</v>
      </c>
      <c r="AV31" s="326">
        <f t="shared" si="37"/>
        <v>566320.68999999994</v>
      </c>
      <c r="AW31" s="333">
        <f t="shared" si="38"/>
        <v>566320.68999999994</v>
      </c>
      <c r="AX31" s="125"/>
      <c r="AY31" s="1041">
        <f t="shared" si="40"/>
        <v>273297.65999999992</v>
      </c>
      <c r="AZ31" s="123">
        <f t="shared" si="41"/>
        <v>1841704.3</v>
      </c>
      <c r="BA31" s="125">
        <f t="shared" si="42"/>
        <v>2115001.96</v>
      </c>
      <c r="BB31" s="122">
        <f t="shared" ref="BB31:BD31" si="199">SUM(AY31,AU31,AQ31)</f>
        <v>273297.65999999992</v>
      </c>
      <c r="BC31" s="326">
        <f t="shared" si="199"/>
        <v>2408024.9900000002</v>
      </c>
      <c r="BD31" s="333">
        <f t="shared" si="199"/>
        <v>2681322.65</v>
      </c>
      <c r="BE31" s="123">
        <f t="shared" si="44"/>
        <v>2681322.65</v>
      </c>
      <c r="BF31" s="326">
        <f t="shared" ref="BF31:BG31" si="200">BC31+AL31</f>
        <v>2408024.9900000002</v>
      </c>
      <c r="BG31" s="435">
        <f t="shared" si="200"/>
        <v>2681322.65</v>
      </c>
      <c r="BH31" s="125"/>
      <c r="BI31" s="1041">
        <f t="shared" si="47"/>
        <v>-73817.010000000009</v>
      </c>
      <c r="BJ31" s="326">
        <f t="shared" si="48"/>
        <v>1214932.4099999999</v>
      </c>
      <c r="BK31" s="1045">
        <f t="shared" si="49"/>
        <v>1141115.3999999999</v>
      </c>
      <c r="BL31" s="125"/>
      <c r="BM31" s="141">
        <f t="shared" si="50"/>
        <v>-59395.64000000013</v>
      </c>
      <c r="BN31" s="332">
        <f t="shared" si="51"/>
        <v>1308508.8</v>
      </c>
      <c r="BO31" s="333">
        <f t="shared" si="52"/>
        <v>1249113.1599999999</v>
      </c>
      <c r="BP31" s="125"/>
      <c r="BQ31" s="140">
        <f t="shared" si="53"/>
        <v>0</v>
      </c>
      <c r="BR31" s="123">
        <f t="shared" si="54"/>
        <v>746270</v>
      </c>
      <c r="BS31" s="148">
        <f t="shared" si="55"/>
        <v>746270</v>
      </c>
      <c r="BT31" s="140">
        <f t="shared" ref="BT31:BV31" si="201">SUM(BQ31,BM31,BI31)</f>
        <v>-133212.65000000014</v>
      </c>
      <c r="BU31" s="123">
        <f t="shared" si="201"/>
        <v>3269711.21</v>
      </c>
      <c r="BV31" s="148">
        <f t="shared" si="201"/>
        <v>3136498.5599999996</v>
      </c>
      <c r="BW31" s="125" t="str">
        <f t="shared" si="57"/>
        <v/>
      </c>
      <c r="BX31" s="140">
        <f t="shared" si="58"/>
        <v>3565811.8</v>
      </c>
      <c r="BY31" s="123">
        <f t="shared" si="59"/>
        <v>101072.64</v>
      </c>
      <c r="BZ31" s="148">
        <f t="shared" si="60"/>
        <v>3666884.44</v>
      </c>
      <c r="CA31" s="123" t="str">
        <f t="shared" si="61"/>
        <v/>
      </c>
      <c r="CB31" s="326" t="str">
        <f t="shared" si="62"/>
        <v/>
      </c>
    </row>
    <row r="32" spans="1:85" ht="15.75" customHeight="1">
      <c r="A32" s="436">
        <f t="shared" si="0"/>
        <v>112014627</v>
      </c>
      <c r="B32" s="93">
        <f t="shared" si="1"/>
        <v>22</v>
      </c>
      <c r="C32" s="558">
        <f t="shared" si="2"/>
        <v>0.1</v>
      </c>
      <c r="D32" s="558">
        <f t="shared" si="3"/>
        <v>0.09</v>
      </c>
      <c r="E32" s="715">
        <f t="shared" si="4"/>
        <v>0</v>
      </c>
      <c r="F32" s="701">
        <f t="shared" si="5"/>
        <v>22</v>
      </c>
      <c r="G32" s="700">
        <f t="shared" si="6"/>
        <v>0.1</v>
      </c>
      <c r="H32" s="700">
        <f t="shared" si="7"/>
        <v>0.09</v>
      </c>
      <c r="I32" s="702">
        <f t="shared" si="8"/>
        <v>0</v>
      </c>
      <c r="J32" s="837">
        <f t="shared" si="9"/>
        <v>63</v>
      </c>
      <c r="K32" s="699">
        <f t="shared" si="10"/>
        <v>0.1</v>
      </c>
      <c r="L32" s="1040">
        <f t="shared" si="11"/>
        <v>0.05</v>
      </c>
      <c r="M32" s="139" t="s">
        <v>1023</v>
      </c>
      <c r="N32" s="123"/>
      <c r="O32" s="326"/>
      <c r="P32" s="704">
        <f t="shared" si="13"/>
        <v>0</v>
      </c>
      <c r="Q32" s="704" t="str">
        <f t="shared" si="14"/>
        <v>0</v>
      </c>
      <c r="R32" s="704">
        <f t="shared" si="15"/>
        <v>0</v>
      </c>
      <c r="S32" s="326">
        <f t="shared" si="16"/>
        <v>0</v>
      </c>
      <c r="T32" s="137" t="str">
        <f t="shared" si="181"/>
        <v/>
      </c>
      <c r="U32" s="332" t="str">
        <f t="shared" si="17"/>
        <v/>
      </c>
      <c r="V32" s="141" t="e">
        <f t="shared" si="176"/>
        <v>#VALUE!</v>
      </c>
      <c r="W32" s="113">
        <f t="shared" si="19"/>
        <v>-0.12</v>
      </c>
      <c r="X32" s="704" t="str">
        <f t="shared" si="20"/>
        <v>0</v>
      </c>
      <c r="Y32" s="117">
        <f t="shared" si="21"/>
        <v>-0.12</v>
      </c>
      <c r="Z32" s="123" t="e">
        <f t="shared" si="22"/>
        <v>#VALUE!</v>
      </c>
      <c r="AA32" s="98" t="str">
        <f t="shared" si="182"/>
        <v/>
      </c>
      <c r="AB32" s="123" t="str">
        <f t="shared" si="23"/>
        <v/>
      </c>
      <c r="AC32" s="326" t="e">
        <f t="shared" si="183"/>
        <v>#VALUE!</v>
      </c>
      <c r="AD32" s="326">
        <f t="shared" si="25"/>
        <v>0</v>
      </c>
      <c r="AE32" s="326" t="str">
        <f t="shared" si="26"/>
        <v>0</v>
      </c>
      <c r="AF32" s="326">
        <f t="shared" si="27"/>
        <v>0</v>
      </c>
      <c r="AG32" s="326" t="e">
        <f t="shared" si="83"/>
        <v>#VALUE!</v>
      </c>
      <c r="AH32" s="494" t="str">
        <f t="shared" si="184"/>
        <v/>
      </c>
      <c r="AI32" s="141" t="e">
        <f t="shared" si="85"/>
        <v>#VALUE!</v>
      </c>
      <c r="AJ32" s="416">
        <f t="shared" si="108"/>
        <v>2621778.7599999998</v>
      </c>
      <c r="AK32" s="326">
        <f t="shared" ref="AK32:AM32" si="202">SUM(P32,W32,AD32)</f>
        <v>-0.12</v>
      </c>
      <c r="AL32" s="326">
        <f t="shared" si="202"/>
        <v>0</v>
      </c>
      <c r="AM32" s="326">
        <f t="shared" si="202"/>
        <v>-0.12</v>
      </c>
      <c r="AN32" s="326" t="e">
        <f t="shared" si="31"/>
        <v>#VALUE!</v>
      </c>
      <c r="AO32" s="98" t="str">
        <f t="shared" si="186"/>
        <v/>
      </c>
      <c r="AP32" s="125" t="str">
        <f t="shared" si="102"/>
        <v/>
      </c>
      <c r="AQ32" s="140">
        <f t="shared" si="32"/>
        <v>0</v>
      </c>
      <c r="AR32" s="123" t="str">
        <f t="shared" si="33"/>
        <v>0</v>
      </c>
      <c r="AS32" s="148">
        <f t="shared" si="34"/>
        <v>0</v>
      </c>
      <c r="AT32" s="125" t="str">
        <f t="shared" si="35"/>
        <v/>
      </c>
      <c r="AU32" s="140">
        <f t="shared" si="36"/>
        <v>0</v>
      </c>
      <c r="AV32" s="326" t="str">
        <f t="shared" si="37"/>
        <v>0</v>
      </c>
      <c r="AW32" s="333">
        <f t="shared" si="38"/>
        <v>0</v>
      </c>
      <c r="AX32" s="125"/>
      <c r="AY32" s="1041">
        <f t="shared" si="40"/>
        <v>0</v>
      </c>
      <c r="AZ32" s="123" t="str">
        <f t="shared" si="41"/>
        <v>0</v>
      </c>
      <c r="BA32" s="125">
        <f t="shared" si="42"/>
        <v>0</v>
      </c>
      <c r="BB32" s="122">
        <f t="shared" ref="BB32:BD32" si="203">SUM(AY32,AU32,AQ32)</f>
        <v>0</v>
      </c>
      <c r="BC32" s="326">
        <f t="shared" si="203"/>
        <v>0</v>
      </c>
      <c r="BD32" s="333">
        <f t="shared" si="203"/>
        <v>0</v>
      </c>
      <c r="BE32" s="123">
        <f t="shared" si="44"/>
        <v>-0.12</v>
      </c>
      <c r="BF32" s="326">
        <f t="shared" ref="BF32:BG32" si="204">BC32+AL32</f>
        <v>0</v>
      </c>
      <c r="BG32" s="435">
        <f t="shared" si="204"/>
        <v>-0.12</v>
      </c>
      <c r="BH32" s="125"/>
      <c r="BI32" s="1041">
        <f t="shared" si="47"/>
        <v>369716.66</v>
      </c>
      <c r="BJ32" s="326" t="str">
        <f t="shared" si="48"/>
        <v>0</v>
      </c>
      <c r="BK32" s="1045">
        <f t="shared" si="49"/>
        <v>369716.66</v>
      </c>
      <c r="BL32" s="125"/>
      <c r="BM32" s="141">
        <f t="shared" si="50"/>
        <v>172452.2</v>
      </c>
      <c r="BN32" s="332" t="str">
        <f t="shared" si="51"/>
        <v>0</v>
      </c>
      <c r="BO32" s="333">
        <f t="shared" si="52"/>
        <v>172452.2</v>
      </c>
      <c r="BP32" s="125"/>
      <c r="BQ32" s="140">
        <f t="shared" si="53"/>
        <v>430819.08</v>
      </c>
      <c r="BR32" s="123" t="str">
        <f t="shared" si="54"/>
        <v>0</v>
      </c>
      <c r="BS32" s="148">
        <f t="shared" si="55"/>
        <v>430819.08</v>
      </c>
      <c r="BT32" s="140">
        <f t="shared" ref="BT32:BV32" si="205">SUM(BQ32,BM32,BI32)</f>
        <v>972987.94</v>
      </c>
      <c r="BU32" s="123">
        <f t="shared" si="205"/>
        <v>0</v>
      </c>
      <c r="BV32" s="148">
        <f t="shared" si="205"/>
        <v>972987.94</v>
      </c>
      <c r="BW32" s="125" t="str">
        <f t="shared" si="57"/>
        <v/>
      </c>
      <c r="BX32" s="140">
        <f t="shared" si="58"/>
        <v>1866807.88</v>
      </c>
      <c r="BY32" s="123" t="str">
        <f t="shared" si="59"/>
        <v>0</v>
      </c>
      <c r="BZ32" s="148">
        <f t="shared" si="60"/>
        <v>1866807.88</v>
      </c>
      <c r="CA32" s="123" t="str">
        <f t="shared" si="61"/>
        <v/>
      </c>
      <c r="CB32" s="326" t="str">
        <f t="shared" si="62"/>
        <v/>
      </c>
    </row>
    <row r="33" spans="1:80" ht="15.75" customHeight="1">
      <c r="A33" s="436">
        <f t="shared" si="0"/>
        <v>112014501</v>
      </c>
      <c r="B33" s="93">
        <f t="shared" si="1"/>
        <v>22</v>
      </c>
      <c r="C33" s="558">
        <f t="shared" si="2"/>
        <v>0.1</v>
      </c>
      <c r="D33" s="558">
        <f t="shared" si="3"/>
        <v>0.09</v>
      </c>
      <c r="E33" s="715">
        <f t="shared" si="4"/>
        <v>0</v>
      </c>
      <c r="F33" s="701">
        <f t="shared" si="5"/>
        <v>22</v>
      </c>
      <c r="G33" s="700">
        <f t="shared" si="6"/>
        <v>0.1</v>
      </c>
      <c r="H33" s="700">
        <f t="shared" si="7"/>
        <v>0.09</v>
      </c>
      <c r="I33" s="702">
        <f t="shared" si="8"/>
        <v>0</v>
      </c>
      <c r="J33" s="837">
        <f t="shared" si="9"/>
        <v>63</v>
      </c>
      <c r="K33" s="699">
        <f t="shared" si="10"/>
        <v>0.1</v>
      </c>
      <c r="L33" s="1040">
        <f t="shared" si="11"/>
        <v>0.05</v>
      </c>
      <c r="M33" s="139" t="s">
        <v>1024</v>
      </c>
      <c r="N33" s="123"/>
      <c r="O33" s="326"/>
      <c r="P33" s="704">
        <f t="shared" si="13"/>
        <v>0</v>
      </c>
      <c r="Q33" s="704" t="str">
        <f t="shared" si="14"/>
        <v>0</v>
      </c>
      <c r="R33" s="704">
        <f t="shared" si="15"/>
        <v>0</v>
      </c>
      <c r="S33" s="326">
        <f t="shared" si="16"/>
        <v>0</v>
      </c>
      <c r="T33" s="137" t="str">
        <f t="shared" si="181"/>
        <v/>
      </c>
      <c r="U33" s="332" t="str">
        <f t="shared" si="17"/>
        <v/>
      </c>
      <c r="V33" s="141" t="e">
        <f t="shared" si="176"/>
        <v>#VALUE!</v>
      </c>
      <c r="W33" s="113">
        <f t="shared" si="19"/>
        <v>0</v>
      </c>
      <c r="X33" s="704" t="str">
        <f t="shared" si="20"/>
        <v>0</v>
      </c>
      <c r="Y33" s="117">
        <f t="shared" si="21"/>
        <v>0</v>
      </c>
      <c r="Z33" s="123" t="e">
        <f t="shared" si="22"/>
        <v>#VALUE!</v>
      </c>
      <c r="AA33" s="98" t="str">
        <f t="shared" si="182"/>
        <v/>
      </c>
      <c r="AB33" s="123" t="str">
        <f t="shared" si="23"/>
        <v/>
      </c>
      <c r="AC33" s="326" t="e">
        <f t="shared" si="183"/>
        <v>#VALUE!</v>
      </c>
      <c r="AD33" s="326">
        <f t="shared" si="25"/>
        <v>0</v>
      </c>
      <c r="AE33" s="326" t="str">
        <f t="shared" si="26"/>
        <v>0</v>
      </c>
      <c r="AF33" s="326">
        <f t="shared" si="27"/>
        <v>0</v>
      </c>
      <c r="AG33" s="326" t="e">
        <f t="shared" si="83"/>
        <v>#VALUE!</v>
      </c>
      <c r="AH33" s="494" t="str">
        <f t="shared" si="184"/>
        <v/>
      </c>
      <c r="AI33" s="141" t="e">
        <f t="shared" si="85"/>
        <v>#VALUE!</v>
      </c>
      <c r="AJ33" s="416">
        <f t="shared" si="108"/>
        <v>1096151.75</v>
      </c>
      <c r="AK33" s="326">
        <f t="shared" ref="AK33:AM33" si="206">SUM(P33,W33,AD33)</f>
        <v>0</v>
      </c>
      <c r="AL33" s="326">
        <f t="shared" si="206"/>
        <v>0</v>
      </c>
      <c r="AM33" s="326">
        <f t="shared" si="206"/>
        <v>0</v>
      </c>
      <c r="AN33" s="326" t="e">
        <f t="shared" si="31"/>
        <v>#VALUE!</v>
      </c>
      <c r="AO33" s="98" t="str">
        <f t="shared" si="186"/>
        <v/>
      </c>
      <c r="AP33" s="125" t="str">
        <f t="shared" si="102"/>
        <v/>
      </c>
      <c r="AQ33" s="140">
        <f t="shared" si="32"/>
        <v>0</v>
      </c>
      <c r="AR33" s="123" t="str">
        <f t="shared" si="33"/>
        <v>0</v>
      </c>
      <c r="AS33" s="148">
        <f t="shared" si="34"/>
        <v>0</v>
      </c>
      <c r="AT33" s="125" t="str">
        <f t="shared" si="35"/>
        <v/>
      </c>
      <c r="AU33" s="140">
        <f t="shared" si="36"/>
        <v>153680.76999999999</v>
      </c>
      <c r="AV33" s="326" t="str">
        <f t="shared" si="37"/>
        <v>0</v>
      </c>
      <c r="AW33" s="333">
        <f t="shared" si="38"/>
        <v>153680.76999999999</v>
      </c>
      <c r="AX33" s="125"/>
      <c r="AY33" s="1041">
        <f t="shared" si="40"/>
        <v>129560.02</v>
      </c>
      <c r="AZ33" s="123" t="str">
        <f t="shared" si="41"/>
        <v>0</v>
      </c>
      <c r="BA33" s="125">
        <f t="shared" si="42"/>
        <v>129560.02</v>
      </c>
      <c r="BB33" s="122">
        <f t="shared" ref="BB33:BD33" si="207">SUM(AY33,AU33,AQ33)</f>
        <v>283240.78999999998</v>
      </c>
      <c r="BC33" s="326">
        <f t="shared" si="207"/>
        <v>0</v>
      </c>
      <c r="BD33" s="333">
        <f t="shared" si="207"/>
        <v>283240.78999999998</v>
      </c>
      <c r="BE33" s="123">
        <f t="shared" si="44"/>
        <v>283240.78999999998</v>
      </c>
      <c r="BF33" s="326">
        <f t="shared" ref="BF33:BG33" si="208">BC33+AL33</f>
        <v>0</v>
      </c>
      <c r="BG33" s="435">
        <f t="shared" si="208"/>
        <v>283240.78999999998</v>
      </c>
      <c r="BH33" s="125"/>
      <c r="BI33" s="1041">
        <f t="shared" si="47"/>
        <v>140493.54999999999</v>
      </c>
      <c r="BJ33" s="326" t="str">
        <f t="shared" si="48"/>
        <v>0</v>
      </c>
      <c r="BK33" s="1045">
        <f t="shared" si="49"/>
        <v>140493.54999999999</v>
      </c>
      <c r="BL33" s="125"/>
      <c r="BM33" s="141">
        <f t="shared" si="50"/>
        <v>318315.76</v>
      </c>
      <c r="BN33" s="332" t="str">
        <f t="shared" si="51"/>
        <v>0</v>
      </c>
      <c r="BO33" s="333">
        <f t="shared" si="52"/>
        <v>318315.76</v>
      </c>
      <c r="BP33" s="125"/>
      <c r="BQ33" s="140">
        <f t="shared" si="53"/>
        <v>267411.92</v>
      </c>
      <c r="BR33" s="123" t="str">
        <f t="shared" si="54"/>
        <v>0</v>
      </c>
      <c r="BS33" s="148">
        <f t="shared" si="55"/>
        <v>267411.92</v>
      </c>
      <c r="BT33" s="140">
        <f t="shared" ref="BT33:BV33" si="209">SUM(BQ33,BM33,BI33)</f>
        <v>726221.23</v>
      </c>
      <c r="BU33" s="123">
        <f t="shared" si="209"/>
        <v>0</v>
      </c>
      <c r="BV33" s="148">
        <f t="shared" si="209"/>
        <v>726221.23</v>
      </c>
      <c r="BW33" s="125" t="str">
        <f t="shared" si="57"/>
        <v/>
      </c>
      <c r="BX33" s="140">
        <f t="shared" si="58"/>
        <v>616022.54</v>
      </c>
      <c r="BY33" s="123" t="str">
        <f t="shared" si="59"/>
        <v>0</v>
      </c>
      <c r="BZ33" s="148">
        <f t="shared" si="60"/>
        <v>616022.54</v>
      </c>
      <c r="CA33" s="123" t="str">
        <f t="shared" si="61"/>
        <v/>
      </c>
      <c r="CB33" s="326" t="str">
        <f t="shared" si="62"/>
        <v/>
      </c>
    </row>
    <row r="34" spans="1:80" ht="15.75" customHeight="1">
      <c r="A34" s="436">
        <f t="shared" ref="A34:A65" si="210">VLOOKUP(M34,ARRCART4,3,FALSE)</f>
        <v>112014645</v>
      </c>
      <c r="B34" s="93">
        <f t="shared" ref="B34:B65" si="211">VLOOKUP(M34,ARRIOLACARTERA,2,FALSE)</f>
        <v>22</v>
      </c>
      <c r="C34" s="558">
        <f t="shared" si="2"/>
        <v>0.1</v>
      </c>
      <c r="D34" s="558">
        <f t="shared" si="3"/>
        <v>0.09</v>
      </c>
      <c r="E34" s="715">
        <f t="shared" si="4"/>
        <v>0</v>
      </c>
      <c r="F34" s="701">
        <f t="shared" ref="F34:F65" si="212">VLOOKUP(M34,ARRIOLCART2,2,FALSE)</f>
        <v>22</v>
      </c>
      <c r="G34" s="700">
        <f t="shared" si="6"/>
        <v>0.1</v>
      </c>
      <c r="H34" s="700">
        <f t="shared" si="7"/>
        <v>0.09</v>
      </c>
      <c r="I34" s="702">
        <f t="shared" si="8"/>
        <v>0</v>
      </c>
      <c r="J34" s="837">
        <f t="shared" ref="J34:J65" si="213">VLOOKUP(M34,ARRCART4,2,FALSE)</f>
        <v>63</v>
      </c>
      <c r="K34" s="699">
        <f t="shared" ref="K34:K65" si="214">VLOOKUP(J34,A458DC1025,2,FALSE)</f>
        <v>0.1</v>
      </c>
      <c r="L34" s="1040">
        <f t="shared" ref="L34:L65" si="215">VLOOKUP(J34,A458DC1025,3,FALSE)</f>
        <v>0.05</v>
      </c>
      <c r="M34" s="139" t="s">
        <v>1025</v>
      </c>
      <c r="N34" s="123"/>
      <c r="O34" s="326"/>
      <c r="P34" s="704">
        <f t="shared" si="13"/>
        <v>0</v>
      </c>
      <c r="Q34" s="704" t="str">
        <f t="shared" si="14"/>
        <v>0</v>
      </c>
      <c r="R34" s="704">
        <f t="shared" si="15"/>
        <v>0</v>
      </c>
      <c r="S34" s="326">
        <f t="shared" si="16"/>
        <v>0</v>
      </c>
      <c r="T34" s="137" t="str">
        <f t="shared" si="181"/>
        <v/>
      </c>
      <c r="U34" s="332" t="str">
        <f t="shared" si="17"/>
        <v/>
      </c>
      <c r="V34" s="141" t="e">
        <f t="shared" si="176"/>
        <v>#VALUE!</v>
      </c>
      <c r="W34" s="113">
        <f t="shared" si="19"/>
        <v>0</v>
      </c>
      <c r="X34" s="704" t="str">
        <f t="shared" si="20"/>
        <v>0</v>
      </c>
      <c r="Y34" s="117">
        <f t="shared" si="21"/>
        <v>0</v>
      </c>
      <c r="Z34" s="123" t="e">
        <f t="shared" si="22"/>
        <v>#VALUE!</v>
      </c>
      <c r="AA34" s="98" t="str">
        <f t="shared" si="182"/>
        <v/>
      </c>
      <c r="AB34" s="123" t="str">
        <f t="shared" si="23"/>
        <v/>
      </c>
      <c r="AC34" s="326" t="e">
        <f t="shared" si="183"/>
        <v>#VALUE!</v>
      </c>
      <c r="AD34" s="326">
        <f t="shared" si="25"/>
        <v>0</v>
      </c>
      <c r="AE34" s="326" t="str">
        <f t="shared" si="26"/>
        <v>0</v>
      </c>
      <c r="AF34" s="326">
        <f t="shared" si="27"/>
        <v>0</v>
      </c>
      <c r="AG34" s="326" t="e">
        <f t="shared" si="83"/>
        <v>#VALUE!</v>
      </c>
      <c r="AH34" s="494" t="str">
        <f t="shared" si="184"/>
        <v/>
      </c>
      <c r="AI34" s="141" t="e">
        <f t="shared" si="85"/>
        <v>#VALUE!</v>
      </c>
      <c r="AJ34" s="416" t="str">
        <f t="shared" si="108"/>
        <v>0</v>
      </c>
      <c r="AK34" s="326">
        <f t="shared" ref="AK34:AM34" si="216">SUM(P34,W34,AD34)</f>
        <v>0</v>
      </c>
      <c r="AL34" s="326">
        <f t="shared" si="216"/>
        <v>0</v>
      </c>
      <c r="AM34" s="326">
        <f t="shared" si="216"/>
        <v>0</v>
      </c>
      <c r="AN34" s="326" t="e">
        <f t="shared" si="31"/>
        <v>#VALUE!</v>
      </c>
      <c r="AO34" s="98" t="str">
        <f t="shared" si="186"/>
        <v/>
      </c>
      <c r="AP34" s="125" t="str">
        <f t="shared" si="102"/>
        <v/>
      </c>
      <c r="AQ34" s="140">
        <f t="shared" si="32"/>
        <v>0</v>
      </c>
      <c r="AR34" s="123" t="str">
        <f t="shared" si="33"/>
        <v>0</v>
      </c>
      <c r="AS34" s="148">
        <f t="shared" si="34"/>
        <v>0</v>
      </c>
      <c r="AT34" s="125" t="str">
        <f t="shared" si="35"/>
        <v/>
      </c>
      <c r="AU34" s="140">
        <f t="shared" si="36"/>
        <v>0</v>
      </c>
      <c r="AV34" s="326" t="str">
        <f t="shared" si="37"/>
        <v>0</v>
      </c>
      <c r="AW34" s="333">
        <f t="shared" si="38"/>
        <v>0</v>
      </c>
      <c r="AX34" s="125"/>
      <c r="AY34" s="1041">
        <f t="shared" si="40"/>
        <v>109626.71</v>
      </c>
      <c r="AZ34" s="123" t="str">
        <f t="shared" si="41"/>
        <v>0</v>
      </c>
      <c r="BA34" s="125">
        <f t="shared" si="42"/>
        <v>109626.71</v>
      </c>
      <c r="BB34" s="122">
        <f t="shared" ref="BB34:BD34" si="217">SUM(AY34,AU34,AQ34)</f>
        <v>109626.71</v>
      </c>
      <c r="BC34" s="326">
        <f t="shared" si="217"/>
        <v>0</v>
      </c>
      <c r="BD34" s="333">
        <f t="shared" si="217"/>
        <v>109626.71</v>
      </c>
      <c r="BE34" s="123">
        <f t="shared" si="44"/>
        <v>109626.71</v>
      </c>
      <c r="BF34" s="326">
        <f t="shared" ref="BF34:BG34" si="218">BC34+AL34</f>
        <v>0</v>
      </c>
      <c r="BG34" s="435">
        <f t="shared" si="218"/>
        <v>109626.71</v>
      </c>
      <c r="BH34" s="125"/>
      <c r="BI34" s="1041">
        <f t="shared" si="47"/>
        <v>0</v>
      </c>
      <c r="BJ34" s="326" t="str">
        <f t="shared" si="48"/>
        <v>0</v>
      </c>
      <c r="BK34" s="1045">
        <f t="shared" si="49"/>
        <v>0</v>
      </c>
      <c r="BL34" s="125"/>
      <c r="BM34" s="141">
        <f t="shared" si="50"/>
        <v>0</v>
      </c>
      <c r="BN34" s="332" t="str">
        <f t="shared" si="51"/>
        <v>0</v>
      </c>
      <c r="BO34" s="333">
        <f t="shared" si="52"/>
        <v>0</v>
      </c>
      <c r="BP34" s="125"/>
      <c r="BQ34" s="140">
        <f t="shared" si="53"/>
        <v>0</v>
      </c>
      <c r="BR34" s="123" t="str">
        <f t="shared" ref="BR34:BR65" si="219">IFERROR(VLOOKUP(M34,ARRIOALIM,11,FALSE),"0")</f>
        <v>0</v>
      </c>
      <c r="BS34" s="148">
        <f t="shared" ref="BS34:BS65" si="220">IFERROR(VLOOKUP(M34,ARRIOFC,11,FALSE),"")</f>
        <v>0</v>
      </c>
      <c r="BT34" s="140">
        <f t="shared" ref="BT34:BV34" si="221">SUM(BQ34,BM34,BI34)</f>
        <v>0</v>
      </c>
      <c r="BU34" s="123">
        <f t="shared" si="221"/>
        <v>0</v>
      </c>
      <c r="BV34" s="148">
        <f t="shared" si="221"/>
        <v>0</v>
      </c>
      <c r="BW34" s="125" t="str">
        <f t="shared" ref="BW34:BW65" si="222">IFERROR(VLOOKUP(M34,ARRIOLA24,12,FALSE),"")</f>
        <v/>
      </c>
      <c r="BX34" s="140">
        <f t="shared" si="58"/>
        <v>0</v>
      </c>
      <c r="BY34" s="123" t="str">
        <f t="shared" ref="BY34:BY65" si="223">IFERROR(VLOOKUP(M34,ARRIOALIM,12,FALSE),"0")</f>
        <v>0</v>
      </c>
      <c r="BZ34" s="148">
        <f t="shared" ref="BZ34:BZ65" si="224">IFERROR(VLOOKUP(M34,ARRIOFC,12,FALSE),"")</f>
        <v>0</v>
      </c>
      <c r="CA34" s="123" t="str">
        <f t="shared" ref="CA34:CA65" si="225">IFERROR(VLOOKUP(M34,ARRIOLA24,13,FALSE),"")</f>
        <v/>
      </c>
      <c r="CB34" s="326" t="str">
        <f t="shared" ref="CB34:CB65" si="226">IFERROR(VLOOKUP(M34,ARRIOLA24,14,FALSE),"")</f>
        <v/>
      </c>
    </row>
    <row r="35" spans="1:80" ht="15.75" customHeight="1">
      <c r="A35" s="436">
        <f t="shared" si="210"/>
        <v>112014470</v>
      </c>
      <c r="B35" s="93">
        <f t="shared" si="211"/>
        <v>22</v>
      </c>
      <c r="C35" s="558">
        <f t="shared" si="2"/>
        <v>0.1</v>
      </c>
      <c r="D35" s="558">
        <f t="shared" si="3"/>
        <v>0.09</v>
      </c>
      <c r="E35" s="715">
        <f t="shared" si="4"/>
        <v>0</v>
      </c>
      <c r="F35" s="701">
        <f t="shared" si="212"/>
        <v>22</v>
      </c>
      <c r="G35" s="700">
        <f t="shared" si="6"/>
        <v>0.1</v>
      </c>
      <c r="H35" s="700">
        <f t="shared" si="7"/>
        <v>0.09</v>
      </c>
      <c r="I35" s="702">
        <f t="shared" si="8"/>
        <v>0</v>
      </c>
      <c r="J35" s="837">
        <f t="shared" si="213"/>
        <v>63</v>
      </c>
      <c r="K35" s="699">
        <f t="shared" si="214"/>
        <v>0.1</v>
      </c>
      <c r="L35" s="1040">
        <f t="shared" si="215"/>
        <v>0.05</v>
      </c>
      <c r="M35" s="139" t="s">
        <v>1026</v>
      </c>
      <c r="N35" s="123"/>
      <c r="O35" s="326"/>
      <c r="P35" s="704">
        <f t="shared" si="13"/>
        <v>0</v>
      </c>
      <c r="Q35" s="704">
        <f t="shared" si="14"/>
        <v>0</v>
      </c>
      <c r="R35" s="704">
        <f t="shared" si="15"/>
        <v>0</v>
      </c>
      <c r="S35" s="326">
        <f t="shared" si="16"/>
        <v>0</v>
      </c>
      <c r="T35" s="137" t="str">
        <f t="shared" si="181"/>
        <v/>
      </c>
      <c r="U35" s="332" t="str">
        <f t="shared" si="17"/>
        <v/>
      </c>
      <c r="V35" s="141" t="e">
        <f t="shared" si="176"/>
        <v>#VALUE!</v>
      </c>
      <c r="W35" s="113">
        <f t="shared" si="19"/>
        <v>0</v>
      </c>
      <c r="X35" s="704">
        <f t="shared" si="20"/>
        <v>0</v>
      </c>
      <c r="Y35" s="117">
        <f t="shared" si="21"/>
        <v>0</v>
      </c>
      <c r="Z35" s="123" t="e">
        <f t="shared" si="22"/>
        <v>#VALUE!</v>
      </c>
      <c r="AA35" s="98" t="str">
        <f t="shared" si="182"/>
        <v/>
      </c>
      <c r="AB35" s="123" t="str">
        <f t="shared" si="23"/>
        <v/>
      </c>
      <c r="AC35" s="326" t="e">
        <f t="shared" si="183"/>
        <v>#VALUE!</v>
      </c>
      <c r="AD35" s="326">
        <f t="shared" si="25"/>
        <v>0</v>
      </c>
      <c r="AE35" s="326">
        <f t="shared" si="26"/>
        <v>0</v>
      </c>
      <c r="AF35" s="326">
        <f t="shared" si="27"/>
        <v>0</v>
      </c>
      <c r="AG35" s="326" t="e">
        <f t="shared" si="83"/>
        <v>#VALUE!</v>
      </c>
      <c r="AH35" s="494" t="str">
        <f t="shared" si="184"/>
        <v/>
      </c>
      <c r="AI35" s="141" t="e">
        <f t="shared" si="85"/>
        <v>#VALUE!</v>
      </c>
      <c r="AJ35" s="416">
        <f t="shared" si="108"/>
        <v>3497876.61</v>
      </c>
      <c r="AK35" s="326">
        <f t="shared" ref="AK35:AM35" si="227">SUM(P35,W35,AD35)</f>
        <v>0</v>
      </c>
      <c r="AL35" s="326">
        <f t="shared" si="227"/>
        <v>0</v>
      </c>
      <c r="AM35" s="326">
        <f t="shared" si="227"/>
        <v>0</v>
      </c>
      <c r="AN35" s="326" t="e">
        <f t="shared" si="31"/>
        <v>#VALUE!</v>
      </c>
      <c r="AO35" s="98" t="str">
        <f t="shared" si="186"/>
        <v/>
      </c>
      <c r="AP35" s="125" t="str">
        <f t="shared" si="102"/>
        <v/>
      </c>
      <c r="AQ35" s="140">
        <f t="shared" si="32"/>
        <v>0</v>
      </c>
      <c r="AR35" s="123">
        <f t="shared" si="33"/>
        <v>0</v>
      </c>
      <c r="AS35" s="148">
        <f t="shared" si="34"/>
        <v>0</v>
      </c>
      <c r="AT35" s="125" t="str">
        <f t="shared" si="35"/>
        <v/>
      </c>
      <c r="AU35" s="140">
        <f t="shared" si="36"/>
        <v>429178.71</v>
      </c>
      <c r="AV35" s="326">
        <f t="shared" si="37"/>
        <v>0</v>
      </c>
      <c r="AW35" s="333">
        <f t="shared" si="38"/>
        <v>429178.71</v>
      </c>
      <c r="AX35" s="125"/>
      <c r="AY35" s="1041">
        <f t="shared" si="40"/>
        <v>1200436.9600000002</v>
      </c>
      <c r="AZ35" s="123">
        <f t="shared" si="41"/>
        <v>28747.89</v>
      </c>
      <c r="BA35" s="125">
        <f t="shared" si="42"/>
        <v>1229184.8500000001</v>
      </c>
      <c r="BB35" s="122">
        <f t="shared" ref="BB35:BD35" si="228">SUM(AY35,AU35,AQ35)</f>
        <v>1629615.6700000002</v>
      </c>
      <c r="BC35" s="326">
        <f t="shared" si="228"/>
        <v>28747.89</v>
      </c>
      <c r="BD35" s="333">
        <f t="shared" si="228"/>
        <v>1658363.56</v>
      </c>
      <c r="BE35" s="123">
        <f t="shared" si="44"/>
        <v>1658363.56</v>
      </c>
      <c r="BF35" s="326">
        <f t="shared" ref="BF35:BG35" si="229">BC35+AL35</f>
        <v>28747.89</v>
      </c>
      <c r="BG35" s="435">
        <f t="shared" si="229"/>
        <v>1658363.56</v>
      </c>
      <c r="BH35" s="125"/>
      <c r="BI35" s="1041">
        <f t="shared" si="47"/>
        <v>1276362.1600000001</v>
      </c>
      <c r="BJ35" s="326">
        <f t="shared" si="48"/>
        <v>46504.14</v>
      </c>
      <c r="BK35" s="1045">
        <f t="shared" si="49"/>
        <v>1322866.3</v>
      </c>
      <c r="BL35" s="125"/>
      <c r="BM35" s="141">
        <f t="shared" si="50"/>
        <v>1257505</v>
      </c>
      <c r="BN35" s="332">
        <f t="shared" si="51"/>
        <v>17086.8</v>
      </c>
      <c r="BO35" s="333">
        <f t="shared" si="52"/>
        <v>1274591.8</v>
      </c>
      <c r="BP35" s="125"/>
      <c r="BQ35" s="140">
        <f t="shared" si="53"/>
        <v>1178722.03</v>
      </c>
      <c r="BR35" s="123">
        <f t="shared" si="219"/>
        <v>34173.550000000003</v>
      </c>
      <c r="BS35" s="148">
        <f t="shared" si="220"/>
        <v>1212895.58</v>
      </c>
      <c r="BT35" s="140">
        <f t="shared" ref="BT35:BV35" si="230">SUM(BQ35,BM35,BI35)</f>
        <v>3712589.1900000004</v>
      </c>
      <c r="BU35" s="123">
        <f t="shared" si="230"/>
        <v>97764.49</v>
      </c>
      <c r="BV35" s="148">
        <f t="shared" si="230"/>
        <v>3810353.6799999997</v>
      </c>
      <c r="BW35" s="125" t="str">
        <f t="shared" si="222"/>
        <v/>
      </c>
      <c r="BX35" s="140">
        <f t="shared" si="58"/>
        <v>1826670.3299999998</v>
      </c>
      <c r="BY35" s="123">
        <f t="shared" si="223"/>
        <v>17086.8</v>
      </c>
      <c r="BZ35" s="148">
        <f t="shared" si="224"/>
        <v>1843757.13</v>
      </c>
      <c r="CA35" s="123" t="str">
        <f t="shared" si="225"/>
        <v/>
      </c>
      <c r="CB35" s="326" t="str">
        <f t="shared" si="226"/>
        <v/>
      </c>
    </row>
    <row r="36" spans="1:80" ht="15.75" customHeight="1">
      <c r="A36" s="436">
        <f t="shared" si="210"/>
        <v>112013478</v>
      </c>
      <c r="B36" s="93">
        <f t="shared" si="211"/>
        <v>22</v>
      </c>
      <c r="C36" s="558">
        <f t="shared" si="2"/>
        <v>0.1</v>
      </c>
      <c r="D36" s="558">
        <f t="shared" si="3"/>
        <v>0.09</v>
      </c>
      <c r="E36" s="715">
        <f t="shared" si="4"/>
        <v>0</v>
      </c>
      <c r="F36" s="701">
        <f t="shared" si="212"/>
        <v>22</v>
      </c>
      <c r="G36" s="700">
        <f t="shared" si="6"/>
        <v>0.1</v>
      </c>
      <c r="H36" s="700">
        <f t="shared" si="7"/>
        <v>0.09</v>
      </c>
      <c r="I36" s="702">
        <f t="shared" si="8"/>
        <v>0</v>
      </c>
      <c r="J36" s="837">
        <f t="shared" si="213"/>
        <v>63</v>
      </c>
      <c r="K36" s="699">
        <f t="shared" si="214"/>
        <v>0.1</v>
      </c>
      <c r="L36" s="1040">
        <f t="shared" si="215"/>
        <v>0.05</v>
      </c>
      <c r="M36" s="139" t="s">
        <v>1027</v>
      </c>
      <c r="N36" s="123" t="str">
        <f t="shared" ref="N36:N41" si="231">IFERROR(VLOOKUP(M36,ARRIOLA24,3,FALSE),"")</f>
        <v/>
      </c>
      <c r="O36" s="326" t="e">
        <f t="shared" ref="O36:O39" si="232">(N36*1.601)*1.05</f>
        <v>#VALUE!</v>
      </c>
      <c r="P36" s="704">
        <f t="shared" si="13"/>
        <v>0</v>
      </c>
      <c r="Q36" s="704" t="str">
        <f t="shared" si="14"/>
        <v>0</v>
      </c>
      <c r="R36" s="704">
        <f t="shared" si="15"/>
        <v>0</v>
      </c>
      <c r="S36" s="326" t="e">
        <f t="shared" si="16"/>
        <v>#VALUE!</v>
      </c>
      <c r="T36" s="137" t="str">
        <f t="shared" si="181"/>
        <v/>
      </c>
      <c r="U36" s="332" t="str">
        <f t="shared" si="17"/>
        <v/>
      </c>
      <c r="V36" s="141" t="e">
        <f t="shared" si="176"/>
        <v>#VALUE!</v>
      </c>
      <c r="W36" s="113">
        <f t="shared" si="19"/>
        <v>0</v>
      </c>
      <c r="X36" s="704" t="str">
        <f t="shared" si="20"/>
        <v>0</v>
      </c>
      <c r="Y36" s="117">
        <f t="shared" si="21"/>
        <v>0</v>
      </c>
      <c r="Z36" s="123" t="e">
        <f t="shared" si="22"/>
        <v>#VALUE!</v>
      </c>
      <c r="AA36" s="98" t="str">
        <f t="shared" si="182"/>
        <v/>
      </c>
      <c r="AB36" s="123" t="str">
        <f t="shared" si="23"/>
        <v/>
      </c>
      <c r="AC36" s="326" t="e">
        <f t="shared" si="183"/>
        <v>#VALUE!</v>
      </c>
      <c r="AD36" s="326">
        <f t="shared" si="25"/>
        <v>0</v>
      </c>
      <c r="AE36" s="326" t="str">
        <f t="shared" si="26"/>
        <v>0</v>
      </c>
      <c r="AF36" s="326">
        <f t="shared" si="27"/>
        <v>0</v>
      </c>
      <c r="AG36" s="326" t="e">
        <f t="shared" si="83"/>
        <v>#VALUE!</v>
      </c>
      <c r="AH36" s="494" t="str">
        <f t="shared" si="184"/>
        <v/>
      </c>
      <c r="AI36" s="141" t="e">
        <f t="shared" si="85"/>
        <v>#VALUE!</v>
      </c>
      <c r="AJ36" s="416">
        <f t="shared" si="108"/>
        <v>8026597.7699999996</v>
      </c>
      <c r="AK36" s="326">
        <f t="shared" ref="AK36:AM36" si="233">SUM(P36,W36,AD36)</f>
        <v>0</v>
      </c>
      <c r="AL36" s="326">
        <f t="shared" si="233"/>
        <v>0</v>
      </c>
      <c r="AM36" s="326">
        <f t="shared" si="233"/>
        <v>0</v>
      </c>
      <c r="AN36" s="326" t="e">
        <f t="shared" si="31"/>
        <v>#VALUE!</v>
      </c>
      <c r="AO36" s="98" t="str">
        <f t="shared" si="186"/>
        <v/>
      </c>
      <c r="AP36" s="125" t="str">
        <f t="shared" si="102"/>
        <v/>
      </c>
      <c r="AQ36" s="140">
        <f t="shared" si="32"/>
        <v>0</v>
      </c>
      <c r="AR36" s="123" t="str">
        <f t="shared" si="33"/>
        <v>0</v>
      </c>
      <c r="AS36" s="148">
        <f t="shared" si="34"/>
        <v>0</v>
      </c>
      <c r="AT36" s="125" t="str">
        <f t="shared" si="35"/>
        <v/>
      </c>
      <c r="AU36" s="140">
        <f t="shared" si="36"/>
        <v>176934.15</v>
      </c>
      <c r="AV36" s="326" t="str">
        <f t="shared" si="37"/>
        <v>0</v>
      </c>
      <c r="AW36" s="333">
        <f t="shared" si="38"/>
        <v>176934.15</v>
      </c>
      <c r="AX36" s="125" t="str">
        <f t="shared" ref="AX36:AX41" si="234">IFERROR(VLOOKUP(M36,ARRIOLA24,8,FALSE),"")</f>
        <v/>
      </c>
      <c r="AY36" s="1041">
        <f t="shared" si="40"/>
        <v>733067.19</v>
      </c>
      <c r="AZ36" s="123" t="str">
        <f t="shared" si="41"/>
        <v>0</v>
      </c>
      <c r="BA36" s="125">
        <f t="shared" si="42"/>
        <v>733067.19</v>
      </c>
      <c r="BB36" s="122">
        <f t="shared" ref="BB36:BD36" si="235">SUM(AY36,AU36,AQ36)</f>
        <v>910001.34</v>
      </c>
      <c r="BC36" s="326">
        <f t="shared" si="235"/>
        <v>0</v>
      </c>
      <c r="BD36" s="333">
        <f t="shared" si="235"/>
        <v>910001.34</v>
      </c>
      <c r="BE36" s="123">
        <f t="shared" si="44"/>
        <v>910001.34</v>
      </c>
      <c r="BF36" s="326">
        <f t="shared" ref="BF36:BG36" si="236">BC36+AL36</f>
        <v>0</v>
      </c>
      <c r="BG36" s="435">
        <f t="shared" si="236"/>
        <v>910001.34</v>
      </c>
      <c r="BH36" s="125" t="str">
        <f t="shared" ref="BH36:BH41" si="237">IFERROR(VLOOKUP(M36,ARRIOLA24,9,FALSE),"")</f>
        <v/>
      </c>
      <c r="BI36" s="1041">
        <f t="shared" si="47"/>
        <v>0</v>
      </c>
      <c r="BJ36" s="326" t="str">
        <f t="shared" si="48"/>
        <v>0</v>
      </c>
      <c r="BK36" s="1045">
        <f t="shared" si="49"/>
        <v>0</v>
      </c>
      <c r="BL36" s="125" t="str">
        <f t="shared" ref="BL36:BL41" si="238">IFERROR(VLOOKUP(M36,ARRIOLA24,10,FALSE),"")</f>
        <v/>
      </c>
      <c r="BM36" s="141">
        <f t="shared" si="50"/>
        <v>67880.539999999994</v>
      </c>
      <c r="BN36" s="332" t="str">
        <f t="shared" si="51"/>
        <v>0</v>
      </c>
      <c r="BO36" s="333">
        <f t="shared" si="52"/>
        <v>67880.539999999994</v>
      </c>
      <c r="BP36" s="125" t="str">
        <f t="shared" ref="BP36:BP41" si="239">IFERROR(VLOOKUP(M36,ARRIOLA24,11,FALSE),"")</f>
        <v/>
      </c>
      <c r="BQ36" s="140">
        <f t="shared" si="53"/>
        <v>547371.89</v>
      </c>
      <c r="BR36" s="123" t="str">
        <f t="shared" si="219"/>
        <v>0</v>
      </c>
      <c r="BS36" s="148">
        <f t="shared" si="220"/>
        <v>547371.89</v>
      </c>
      <c r="BT36" s="140">
        <f t="shared" ref="BT36:BV36" si="240">SUM(BQ36,BM36,BI36)</f>
        <v>615252.43000000005</v>
      </c>
      <c r="BU36" s="123">
        <f t="shared" si="240"/>
        <v>0</v>
      </c>
      <c r="BV36" s="148">
        <f t="shared" si="240"/>
        <v>615252.43000000005</v>
      </c>
      <c r="BW36" s="125" t="str">
        <f t="shared" si="222"/>
        <v/>
      </c>
      <c r="BX36" s="140">
        <f t="shared" si="58"/>
        <v>216091.2</v>
      </c>
      <c r="BY36" s="123" t="str">
        <f t="shared" si="223"/>
        <v>0</v>
      </c>
      <c r="BZ36" s="148">
        <f t="shared" si="224"/>
        <v>216091.2</v>
      </c>
      <c r="CA36" s="123" t="str">
        <f t="shared" si="225"/>
        <v/>
      </c>
      <c r="CB36" s="326" t="str">
        <f t="shared" si="226"/>
        <v/>
      </c>
    </row>
    <row r="37" spans="1:80" ht="15.75" customHeight="1">
      <c r="A37" s="436">
        <f t="shared" si="210"/>
        <v>112013464</v>
      </c>
      <c r="B37" s="93">
        <f t="shared" si="211"/>
        <v>22</v>
      </c>
      <c r="C37" s="558">
        <f t="shared" si="2"/>
        <v>0.1</v>
      </c>
      <c r="D37" s="558">
        <f t="shared" si="3"/>
        <v>0.09</v>
      </c>
      <c r="E37" s="715">
        <f t="shared" si="4"/>
        <v>0</v>
      </c>
      <c r="F37" s="701">
        <f t="shared" si="212"/>
        <v>22</v>
      </c>
      <c r="G37" s="700">
        <f t="shared" si="6"/>
        <v>0.1</v>
      </c>
      <c r="H37" s="700">
        <f t="shared" si="7"/>
        <v>0.09</v>
      </c>
      <c r="I37" s="702">
        <f t="shared" si="8"/>
        <v>0</v>
      </c>
      <c r="J37" s="837">
        <f t="shared" si="213"/>
        <v>63</v>
      </c>
      <c r="K37" s="699">
        <f t="shared" si="214"/>
        <v>0.1</v>
      </c>
      <c r="L37" s="1040">
        <f t="shared" si="215"/>
        <v>0.05</v>
      </c>
      <c r="M37" s="139" t="s">
        <v>1028</v>
      </c>
      <c r="N37" s="123" t="str">
        <f t="shared" si="231"/>
        <v/>
      </c>
      <c r="O37" s="326" t="e">
        <f t="shared" si="232"/>
        <v>#VALUE!</v>
      </c>
      <c r="P37" s="704" t="e">
        <f t="shared" si="13"/>
        <v>#VALUE!</v>
      </c>
      <c r="Q37" s="704" t="str">
        <f t="shared" si="14"/>
        <v>0</v>
      </c>
      <c r="R37" s="704" t="str">
        <f t="shared" si="15"/>
        <v/>
      </c>
      <c r="S37" s="326" t="e">
        <f t="shared" si="16"/>
        <v>#VALUE!</v>
      </c>
      <c r="T37" s="137" t="str">
        <f t="shared" si="181"/>
        <v/>
      </c>
      <c r="U37" s="332" t="str">
        <f t="shared" si="17"/>
        <v/>
      </c>
      <c r="V37" s="141" t="e">
        <f t="shared" si="176"/>
        <v>#VALUE!</v>
      </c>
      <c r="W37" s="113" t="e">
        <f t="shared" si="19"/>
        <v>#VALUE!</v>
      </c>
      <c r="X37" s="704" t="str">
        <f t="shared" si="20"/>
        <v>0</v>
      </c>
      <c r="Y37" s="117" t="str">
        <f t="shared" si="21"/>
        <v/>
      </c>
      <c r="Z37" s="123" t="e">
        <f t="shared" si="22"/>
        <v>#VALUE!</v>
      </c>
      <c r="AA37" s="98" t="str">
        <f t="shared" si="182"/>
        <v/>
      </c>
      <c r="AB37" s="123" t="str">
        <f t="shared" si="23"/>
        <v/>
      </c>
      <c r="AC37" s="326" t="e">
        <f t="shared" si="183"/>
        <v>#VALUE!</v>
      </c>
      <c r="AD37" s="326" t="e">
        <f t="shared" si="25"/>
        <v>#VALUE!</v>
      </c>
      <c r="AE37" s="326" t="str">
        <f t="shared" si="26"/>
        <v>0</v>
      </c>
      <c r="AF37" s="326" t="str">
        <f t="shared" si="27"/>
        <v/>
      </c>
      <c r="AG37" s="326" t="e">
        <f t="shared" si="83"/>
        <v>#VALUE!</v>
      </c>
      <c r="AH37" s="494" t="str">
        <f t="shared" si="184"/>
        <v/>
      </c>
      <c r="AI37" s="141" t="e">
        <f t="shared" si="85"/>
        <v>#VALUE!</v>
      </c>
      <c r="AJ37" s="416">
        <f t="shared" si="108"/>
        <v>2004931.12</v>
      </c>
      <c r="AK37" s="326" t="e">
        <f t="shared" ref="AK37:AM37" si="241">SUM(P37,W37,AD37)</f>
        <v>#VALUE!</v>
      </c>
      <c r="AL37" s="326">
        <f t="shared" si="241"/>
        <v>0</v>
      </c>
      <c r="AM37" s="326">
        <f t="shared" si="241"/>
        <v>0</v>
      </c>
      <c r="AN37" s="326" t="e">
        <f t="shared" si="31"/>
        <v>#VALUE!</v>
      </c>
      <c r="AO37" s="98" t="str">
        <f t="shared" si="186"/>
        <v/>
      </c>
      <c r="AP37" s="125" t="str">
        <f t="shared" si="102"/>
        <v/>
      </c>
      <c r="AQ37" s="140" t="e">
        <f t="shared" si="32"/>
        <v>#VALUE!</v>
      </c>
      <c r="AR37" s="123" t="str">
        <f t="shared" si="33"/>
        <v>0</v>
      </c>
      <c r="AS37" s="148" t="str">
        <f t="shared" si="34"/>
        <v/>
      </c>
      <c r="AT37" s="125" t="str">
        <f t="shared" si="35"/>
        <v/>
      </c>
      <c r="AU37" s="140" t="e">
        <f t="shared" si="36"/>
        <v>#VALUE!</v>
      </c>
      <c r="AV37" s="326" t="str">
        <f t="shared" si="37"/>
        <v>0</v>
      </c>
      <c r="AW37" s="333" t="str">
        <f t="shared" si="38"/>
        <v/>
      </c>
      <c r="AX37" s="125" t="str">
        <f t="shared" si="234"/>
        <v/>
      </c>
      <c r="AY37" s="1041" t="e">
        <f t="shared" si="40"/>
        <v>#VALUE!</v>
      </c>
      <c r="AZ37" s="123" t="str">
        <f t="shared" si="41"/>
        <v>0</v>
      </c>
      <c r="BA37" s="125" t="str">
        <f t="shared" si="42"/>
        <v/>
      </c>
      <c r="BB37" s="122" t="e">
        <f t="shared" ref="BB37:BD37" si="242">SUM(AY37,AU37,AQ37)</f>
        <v>#VALUE!</v>
      </c>
      <c r="BC37" s="326">
        <f t="shared" si="242"/>
        <v>0</v>
      </c>
      <c r="BD37" s="333">
        <f t="shared" si="242"/>
        <v>0</v>
      </c>
      <c r="BE37" s="123" t="e">
        <f t="shared" si="44"/>
        <v>#VALUE!</v>
      </c>
      <c r="BF37" s="326">
        <f t="shared" ref="BF37:BG37" si="243">BC37+AL37</f>
        <v>0</v>
      </c>
      <c r="BG37" s="435">
        <f t="shared" si="243"/>
        <v>0</v>
      </c>
      <c r="BH37" s="125" t="str">
        <f t="shared" si="237"/>
        <v/>
      </c>
      <c r="BI37" s="1041" t="e">
        <f t="shared" si="47"/>
        <v>#VALUE!</v>
      </c>
      <c r="BJ37" s="326" t="str">
        <f t="shared" si="48"/>
        <v>0</v>
      </c>
      <c r="BK37" s="1045" t="str">
        <f t="shared" si="49"/>
        <v/>
      </c>
      <c r="BL37" s="125" t="str">
        <f t="shared" si="238"/>
        <v/>
      </c>
      <c r="BM37" s="141" t="e">
        <f t="shared" si="50"/>
        <v>#VALUE!</v>
      </c>
      <c r="BN37" s="332" t="str">
        <f t="shared" si="51"/>
        <v>0</v>
      </c>
      <c r="BO37" s="333" t="str">
        <f t="shared" si="52"/>
        <v/>
      </c>
      <c r="BP37" s="125" t="str">
        <f t="shared" si="239"/>
        <v/>
      </c>
      <c r="BQ37" s="140" t="e">
        <f t="shared" si="53"/>
        <v>#VALUE!</v>
      </c>
      <c r="BR37" s="123" t="str">
        <f t="shared" si="219"/>
        <v>0</v>
      </c>
      <c r="BS37" s="1067" t="str">
        <f t="shared" si="220"/>
        <v/>
      </c>
      <c r="BT37" s="140" t="e">
        <f t="shared" ref="BT37:BV37" si="244">SUM(BQ37,BM37,BI37)</f>
        <v>#VALUE!</v>
      </c>
      <c r="BU37" s="123">
        <f t="shared" si="244"/>
        <v>0</v>
      </c>
      <c r="BV37" s="148">
        <f t="shared" si="244"/>
        <v>0</v>
      </c>
      <c r="BW37" s="125" t="str">
        <f t="shared" si="222"/>
        <v/>
      </c>
      <c r="BX37" s="140" t="e">
        <f t="shared" si="58"/>
        <v>#VALUE!</v>
      </c>
      <c r="BY37" s="123" t="str">
        <f t="shared" si="223"/>
        <v>0</v>
      </c>
      <c r="BZ37" s="148" t="str">
        <f t="shared" si="224"/>
        <v/>
      </c>
      <c r="CA37" s="123" t="str">
        <f t="shared" si="225"/>
        <v/>
      </c>
      <c r="CB37" s="326" t="str">
        <f t="shared" si="226"/>
        <v/>
      </c>
    </row>
    <row r="38" spans="1:80" ht="15.75" customHeight="1">
      <c r="A38" s="436">
        <f t="shared" si="210"/>
        <v>112013460</v>
      </c>
      <c r="B38" s="93">
        <f t="shared" si="211"/>
        <v>22</v>
      </c>
      <c r="C38" s="558">
        <f t="shared" si="2"/>
        <v>0.1</v>
      </c>
      <c r="D38" s="558">
        <f t="shared" si="3"/>
        <v>0.09</v>
      </c>
      <c r="E38" s="715">
        <f t="shared" si="4"/>
        <v>0</v>
      </c>
      <c r="F38" s="701">
        <f t="shared" si="212"/>
        <v>22</v>
      </c>
      <c r="G38" s="700">
        <f t="shared" si="6"/>
        <v>0.1</v>
      </c>
      <c r="H38" s="700">
        <f t="shared" si="7"/>
        <v>0.09</v>
      </c>
      <c r="I38" s="702">
        <f t="shared" si="8"/>
        <v>0</v>
      </c>
      <c r="J38" s="837">
        <f t="shared" si="213"/>
        <v>63</v>
      </c>
      <c r="K38" s="699">
        <f t="shared" si="214"/>
        <v>0.1</v>
      </c>
      <c r="L38" s="1040">
        <f t="shared" si="215"/>
        <v>0.05</v>
      </c>
      <c r="M38" s="139" t="s">
        <v>1029</v>
      </c>
      <c r="N38" s="123" t="str">
        <f t="shared" si="231"/>
        <v/>
      </c>
      <c r="O38" s="326" t="e">
        <f t="shared" si="232"/>
        <v>#VALUE!</v>
      </c>
      <c r="P38" s="704">
        <f t="shared" si="13"/>
        <v>0</v>
      </c>
      <c r="Q38" s="704" t="str">
        <f t="shared" si="14"/>
        <v>0</v>
      </c>
      <c r="R38" s="704">
        <f t="shared" si="15"/>
        <v>0</v>
      </c>
      <c r="S38" s="326" t="e">
        <f t="shared" si="16"/>
        <v>#VALUE!</v>
      </c>
      <c r="T38" s="137" t="str">
        <f t="shared" si="181"/>
        <v/>
      </c>
      <c r="U38" s="332" t="str">
        <f t="shared" si="17"/>
        <v/>
      </c>
      <c r="V38" s="141" t="e">
        <f t="shared" si="176"/>
        <v>#VALUE!</v>
      </c>
      <c r="W38" s="113">
        <f t="shared" si="19"/>
        <v>0</v>
      </c>
      <c r="X38" s="704" t="str">
        <f t="shared" si="20"/>
        <v>0</v>
      </c>
      <c r="Y38" s="117">
        <f t="shared" si="21"/>
        <v>0</v>
      </c>
      <c r="Z38" s="123" t="e">
        <f t="shared" si="22"/>
        <v>#VALUE!</v>
      </c>
      <c r="AA38" s="98" t="str">
        <f t="shared" si="182"/>
        <v/>
      </c>
      <c r="AB38" s="123" t="str">
        <f t="shared" si="23"/>
        <v/>
      </c>
      <c r="AC38" s="326" t="e">
        <f t="shared" si="183"/>
        <v>#VALUE!</v>
      </c>
      <c r="AD38" s="326">
        <f t="shared" si="25"/>
        <v>0</v>
      </c>
      <c r="AE38" s="326" t="str">
        <f t="shared" si="26"/>
        <v>0</v>
      </c>
      <c r="AF38" s="326">
        <f t="shared" si="27"/>
        <v>0</v>
      </c>
      <c r="AG38" s="326" t="e">
        <f t="shared" si="83"/>
        <v>#VALUE!</v>
      </c>
      <c r="AH38" s="494" t="str">
        <f t="shared" si="184"/>
        <v/>
      </c>
      <c r="AI38" s="141" t="e">
        <f t="shared" si="85"/>
        <v>#VALUE!</v>
      </c>
      <c r="AJ38" s="416">
        <f t="shared" si="108"/>
        <v>1057445.74</v>
      </c>
      <c r="AK38" s="326">
        <f t="shared" ref="AK38:AM38" si="245">SUM(P38,W38,AD38)</f>
        <v>0</v>
      </c>
      <c r="AL38" s="326">
        <f t="shared" si="245"/>
        <v>0</v>
      </c>
      <c r="AM38" s="326">
        <f t="shared" si="245"/>
        <v>0</v>
      </c>
      <c r="AN38" s="326" t="e">
        <f t="shared" si="31"/>
        <v>#VALUE!</v>
      </c>
      <c r="AO38" s="98" t="str">
        <f t="shared" si="186"/>
        <v/>
      </c>
      <c r="AP38" s="125" t="str">
        <f t="shared" si="102"/>
        <v/>
      </c>
      <c r="AQ38" s="140">
        <f t="shared" si="32"/>
        <v>0</v>
      </c>
      <c r="AR38" s="123" t="str">
        <f t="shared" si="33"/>
        <v>0</v>
      </c>
      <c r="AS38" s="148">
        <f t="shared" si="34"/>
        <v>0</v>
      </c>
      <c r="AT38" s="125" t="str">
        <f t="shared" si="35"/>
        <v/>
      </c>
      <c r="AU38" s="140">
        <f t="shared" si="36"/>
        <v>229089.06</v>
      </c>
      <c r="AV38" s="326" t="str">
        <f t="shared" si="37"/>
        <v>0</v>
      </c>
      <c r="AW38" s="333">
        <f t="shared" si="38"/>
        <v>229089.06</v>
      </c>
      <c r="AX38" s="125" t="str">
        <f t="shared" si="234"/>
        <v/>
      </c>
      <c r="AY38" s="1041">
        <f t="shared" si="40"/>
        <v>382177.07</v>
      </c>
      <c r="AZ38" s="123" t="str">
        <f t="shared" si="41"/>
        <v>0</v>
      </c>
      <c r="BA38" s="125">
        <f t="shared" si="42"/>
        <v>382177.07</v>
      </c>
      <c r="BB38" s="122">
        <f t="shared" ref="BB38:BD38" si="246">SUM(AY38,AU38,AQ38)</f>
        <v>611266.13</v>
      </c>
      <c r="BC38" s="326">
        <f t="shared" si="246"/>
        <v>0</v>
      </c>
      <c r="BD38" s="333">
        <f t="shared" si="246"/>
        <v>611266.13</v>
      </c>
      <c r="BE38" s="123">
        <f t="shared" si="44"/>
        <v>611266.13</v>
      </c>
      <c r="BF38" s="326">
        <f t="shared" ref="BF38:BG38" si="247">BC38+AL38</f>
        <v>0</v>
      </c>
      <c r="BG38" s="435">
        <f t="shared" si="247"/>
        <v>611266.13</v>
      </c>
      <c r="BH38" s="125" t="str">
        <f t="shared" si="237"/>
        <v/>
      </c>
      <c r="BI38" s="1041">
        <f t="shared" si="47"/>
        <v>546126.62</v>
      </c>
      <c r="BJ38" s="326" t="str">
        <f t="shared" si="48"/>
        <v>0</v>
      </c>
      <c r="BK38" s="1045">
        <f t="shared" si="49"/>
        <v>546126.62</v>
      </c>
      <c r="BL38" s="125" t="str">
        <f t="shared" si="238"/>
        <v/>
      </c>
      <c r="BM38" s="141">
        <f t="shared" si="50"/>
        <v>301518.13</v>
      </c>
      <c r="BN38" s="332" t="str">
        <f t="shared" si="51"/>
        <v>0</v>
      </c>
      <c r="BO38" s="333">
        <f t="shared" si="52"/>
        <v>301518.13</v>
      </c>
      <c r="BP38" s="125" t="str">
        <f t="shared" si="239"/>
        <v/>
      </c>
      <c r="BQ38" s="140">
        <f t="shared" si="53"/>
        <v>84196.800000000003</v>
      </c>
      <c r="BR38" s="123" t="str">
        <f t="shared" si="219"/>
        <v>0</v>
      </c>
      <c r="BS38" s="148">
        <f t="shared" si="220"/>
        <v>84196.800000000003</v>
      </c>
      <c r="BT38" s="140">
        <f t="shared" ref="BT38:BV38" si="248">SUM(BQ38,BM38,BI38)</f>
        <v>931841.55</v>
      </c>
      <c r="BU38" s="123">
        <f t="shared" si="248"/>
        <v>0</v>
      </c>
      <c r="BV38" s="148">
        <f t="shared" si="248"/>
        <v>931841.55</v>
      </c>
      <c r="BW38" s="125" t="str">
        <f t="shared" si="222"/>
        <v/>
      </c>
      <c r="BX38" s="140">
        <f t="shared" si="58"/>
        <v>725452.52</v>
      </c>
      <c r="BY38" s="123" t="str">
        <f t="shared" si="223"/>
        <v>0</v>
      </c>
      <c r="BZ38" s="148">
        <f t="shared" si="224"/>
        <v>725452.52</v>
      </c>
      <c r="CA38" s="123" t="str">
        <f t="shared" si="225"/>
        <v/>
      </c>
      <c r="CB38" s="326" t="str">
        <f t="shared" si="226"/>
        <v/>
      </c>
    </row>
    <row r="39" spans="1:80" ht="15.75" customHeight="1">
      <c r="A39" s="436">
        <f t="shared" si="210"/>
        <v>112011317</v>
      </c>
      <c r="B39" s="93">
        <f t="shared" si="211"/>
        <v>22</v>
      </c>
      <c r="C39" s="558">
        <f t="shared" si="2"/>
        <v>0.1</v>
      </c>
      <c r="D39" s="558">
        <f t="shared" si="3"/>
        <v>0.09</v>
      </c>
      <c r="E39" s="715">
        <f t="shared" si="4"/>
        <v>0</v>
      </c>
      <c r="F39" s="701">
        <f t="shared" si="212"/>
        <v>1</v>
      </c>
      <c r="G39" s="700" t="str">
        <f t="shared" si="6"/>
        <v>Lista</v>
      </c>
      <c r="H39" s="700">
        <f t="shared" si="7"/>
        <v>0.09</v>
      </c>
      <c r="I39" s="702">
        <f t="shared" si="8"/>
        <v>0</v>
      </c>
      <c r="J39" s="837">
        <f t="shared" si="213"/>
        <v>63</v>
      </c>
      <c r="K39" s="699">
        <f t="shared" si="214"/>
        <v>0.1</v>
      </c>
      <c r="L39" s="1040">
        <f t="shared" si="215"/>
        <v>0.05</v>
      </c>
      <c r="M39" s="139" t="s">
        <v>1030</v>
      </c>
      <c r="N39" s="123">
        <f t="shared" si="231"/>
        <v>1324787.08</v>
      </c>
      <c r="O39" s="326">
        <f t="shared" si="232"/>
        <v>2227033.3208340001</v>
      </c>
      <c r="P39" s="704">
        <f t="shared" si="13"/>
        <v>1478987.04</v>
      </c>
      <c r="Q39" s="704">
        <f t="shared" si="14"/>
        <v>109230.39</v>
      </c>
      <c r="R39" s="704">
        <f t="shared" si="15"/>
        <v>1588217.43</v>
      </c>
      <c r="S39" s="326">
        <f t="shared" si="16"/>
        <v>-638815.89083400019</v>
      </c>
      <c r="T39" s="137">
        <f t="shared" ref="T39:T40" si="249">R39/O39</f>
        <v>0.71315386938406</v>
      </c>
      <c r="U39" s="332">
        <f t="shared" si="17"/>
        <v>837078.14</v>
      </c>
      <c r="V39" s="141">
        <v>1800000</v>
      </c>
      <c r="W39" s="113">
        <f t="shared" si="19"/>
        <v>1450657.42</v>
      </c>
      <c r="X39" s="704">
        <f t="shared" si="20"/>
        <v>60060.78</v>
      </c>
      <c r="Y39" s="117">
        <f t="shared" si="21"/>
        <v>1510718.2</v>
      </c>
      <c r="Z39" s="123">
        <f t="shared" si="22"/>
        <v>-289281.80000000005</v>
      </c>
      <c r="AA39" s="98">
        <f t="shared" ref="AA39:AA40" si="250">Y39/V39</f>
        <v>0.83928788888888883</v>
      </c>
      <c r="AB39" s="123">
        <f t="shared" si="23"/>
        <v>1466115.33</v>
      </c>
      <c r="AC39" s="326">
        <f t="shared" si="183"/>
        <v>2409362.6192854499</v>
      </c>
      <c r="AD39" s="326">
        <f t="shared" si="25"/>
        <v>2288888.7799999998</v>
      </c>
      <c r="AE39" s="326">
        <f t="shared" si="26"/>
        <v>0</v>
      </c>
      <c r="AF39" s="326">
        <f t="shared" si="27"/>
        <v>2288888.7799999998</v>
      </c>
      <c r="AG39" s="326">
        <f t="shared" si="83"/>
        <v>-120473.83928545006</v>
      </c>
      <c r="AH39" s="494">
        <f t="shared" ref="AH39:AH40" si="251">AF39/AC39</f>
        <v>0.94999763077540433</v>
      </c>
      <c r="AI39" s="141">
        <f t="shared" si="85"/>
        <v>6436395.94011945</v>
      </c>
      <c r="AJ39" s="416">
        <f t="shared" si="108"/>
        <v>4588378.5199999996</v>
      </c>
      <c r="AK39" s="326">
        <f t="shared" ref="AK39:AM39" si="252">SUM(P39,W39,AD39)</f>
        <v>5218533.24</v>
      </c>
      <c r="AL39" s="326">
        <f t="shared" si="252"/>
        <v>169291.16999999998</v>
      </c>
      <c r="AM39" s="326">
        <f t="shared" si="252"/>
        <v>5387824.4100000001</v>
      </c>
      <c r="AN39" s="326">
        <f t="shared" si="31"/>
        <v>-1048571.5301194498</v>
      </c>
      <c r="AO39" s="98">
        <f t="shared" ref="AO39:AO40" si="253">AM39/AI39</f>
        <v>0.83708716184107379</v>
      </c>
      <c r="AP39" s="125">
        <f t="shared" si="102"/>
        <v>1559405.11</v>
      </c>
      <c r="AQ39" s="140">
        <f t="shared" si="32"/>
        <v>1051699.46</v>
      </c>
      <c r="AR39" s="123">
        <f t="shared" si="33"/>
        <v>131743.5</v>
      </c>
      <c r="AS39" s="148">
        <f t="shared" si="34"/>
        <v>1183442.96</v>
      </c>
      <c r="AT39" s="125">
        <f t="shared" si="35"/>
        <v>504715.32</v>
      </c>
      <c r="AU39" s="140">
        <f t="shared" si="36"/>
        <v>1446356.6199999999</v>
      </c>
      <c r="AV39" s="326">
        <f t="shared" si="37"/>
        <v>20410.3</v>
      </c>
      <c r="AW39" s="333">
        <f t="shared" si="38"/>
        <v>1466766.92</v>
      </c>
      <c r="AX39" s="125">
        <f t="shared" si="234"/>
        <v>351044.25</v>
      </c>
      <c r="AY39" s="1041">
        <f t="shared" si="40"/>
        <v>811577.62</v>
      </c>
      <c r="AZ39" s="123">
        <f t="shared" si="41"/>
        <v>20410.3</v>
      </c>
      <c r="BA39" s="125">
        <f t="shared" si="42"/>
        <v>831987.92</v>
      </c>
      <c r="BB39" s="122">
        <f t="shared" ref="BB39:BD39" si="254">SUM(AY39,AU39,AQ39)</f>
        <v>3309633.6999999997</v>
      </c>
      <c r="BC39" s="326">
        <f t="shared" si="254"/>
        <v>172564.1</v>
      </c>
      <c r="BD39" s="333">
        <f t="shared" si="254"/>
        <v>3482197.8</v>
      </c>
      <c r="BE39" s="123">
        <f t="shared" si="44"/>
        <v>8700731.0399999991</v>
      </c>
      <c r="BF39" s="326">
        <f t="shared" ref="BF39:BG39" si="255">BC39+AL39</f>
        <v>341855.27</v>
      </c>
      <c r="BG39" s="435">
        <f t="shared" si="255"/>
        <v>8870022.2100000009</v>
      </c>
      <c r="BH39" s="125">
        <f t="shared" si="237"/>
        <v>757781.97</v>
      </c>
      <c r="BI39" s="1041">
        <f t="shared" si="47"/>
        <v>1106979.7999999998</v>
      </c>
      <c r="BJ39" s="326">
        <f t="shared" si="48"/>
        <v>118528.09</v>
      </c>
      <c r="BK39" s="1045">
        <f t="shared" si="49"/>
        <v>1225507.8899999999</v>
      </c>
      <c r="BL39" s="125">
        <f t="shared" si="238"/>
        <v>580457.88</v>
      </c>
      <c r="BM39" s="141">
        <f t="shared" si="50"/>
        <v>2862388.56</v>
      </c>
      <c r="BN39" s="332">
        <f t="shared" si="51"/>
        <v>225200.15</v>
      </c>
      <c r="BO39" s="333">
        <f t="shared" si="52"/>
        <v>3087588.71</v>
      </c>
      <c r="BP39" s="125">
        <f t="shared" si="239"/>
        <v>2526380.91</v>
      </c>
      <c r="BQ39" s="140">
        <f t="shared" si="53"/>
        <v>2830805.47</v>
      </c>
      <c r="BR39" s="123">
        <f t="shared" si="219"/>
        <v>36438.269999999997</v>
      </c>
      <c r="BS39" s="148">
        <f t="shared" si="220"/>
        <v>2867243.74</v>
      </c>
      <c r="BT39" s="140">
        <f t="shared" ref="BT39:BV39" si="256">SUM(BQ39,BM39,BI39)</f>
        <v>6800173.8300000001</v>
      </c>
      <c r="BU39" s="123">
        <f t="shared" si="256"/>
        <v>380166.51</v>
      </c>
      <c r="BV39" s="148">
        <f t="shared" si="256"/>
        <v>7180340.3399999999</v>
      </c>
      <c r="BW39" s="125">
        <f t="shared" si="222"/>
        <v>1633397.62</v>
      </c>
      <c r="BX39" s="140">
        <f t="shared" si="58"/>
        <v>2462578</v>
      </c>
      <c r="BY39" s="123">
        <f t="shared" si="223"/>
        <v>115035.53</v>
      </c>
      <c r="BZ39" s="148">
        <f t="shared" si="224"/>
        <v>2577613.5299999998</v>
      </c>
      <c r="CA39" s="123">
        <f t="shared" si="225"/>
        <v>1310039.8899999999</v>
      </c>
      <c r="CB39" s="326">
        <f t="shared" si="226"/>
        <v>1644941.01</v>
      </c>
    </row>
    <row r="40" spans="1:80" ht="15.75" customHeight="1">
      <c r="A40" s="436">
        <f t="shared" si="210"/>
        <v>112013688</v>
      </c>
      <c r="B40" s="93">
        <f t="shared" si="211"/>
        <v>22</v>
      </c>
      <c r="C40" s="558">
        <f t="shared" si="2"/>
        <v>0.1</v>
      </c>
      <c r="D40" s="558">
        <f t="shared" si="3"/>
        <v>0.09</v>
      </c>
      <c r="E40" s="715">
        <f t="shared" si="4"/>
        <v>0</v>
      </c>
      <c r="F40" s="701">
        <f t="shared" si="212"/>
        <v>22</v>
      </c>
      <c r="G40" s="700">
        <f t="shared" si="6"/>
        <v>0.1</v>
      </c>
      <c r="H40" s="700">
        <f t="shared" si="7"/>
        <v>0.09</v>
      </c>
      <c r="I40" s="702">
        <f t="shared" si="8"/>
        <v>0</v>
      </c>
      <c r="J40" s="837">
        <f t="shared" si="213"/>
        <v>71</v>
      </c>
      <c r="K40" s="699" t="str">
        <f t="shared" si="214"/>
        <v>Lista</v>
      </c>
      <c r="L40" s="1040">
        <f t="shared" si="215"/>
        <v>0.05</v>
      </c>
      <c r="M40" s="139" t="s">
        <v>1031</v>
      </c>
      <c r="N40" s="123">
        <f t="shared" si="231"/>
        <v>751974.55</v>
      </c>
      <c r="O40" s="326">
        <v>1800000</v>
      </c>
      <c r="P40" s="704">
        <f t="shared" si="13"/>
        <v>0</v>
      </c>
      <c r="Q40" s="704">
        <f t="shared" si="14"/>
        <v>0</v>
      </c>
      <c r="R40" s="704">
        <f t="shared" si="15"/>
        <v>0</v>
      </c>
      <c r="S40" s="326">
        <f t="shared" si="16"/>
        <v>-1800000</v>
      </c>
      <c r="T40" s="137">
        <f t="shared" si="249"/>
        <v>0</v>
      </c>
      <c r="U40" s="332">
        <f t="shared" si="17"/>
        <v>956370.52</v>
      </c>
      <c r="V40" s="141">
        <v>1800000</v>
      </c>
      <c r="W40" s="113">
        <f t="shared" si="19"/>
        <v>391919.03</v>
      </c>
      <c r="X40" s="704">
        <f t="shared" si="20"/>
        <v>0</v>
      </c>
      <c r="Y40" s="117">
        <f t="shared" si="21"/>
        <v>391919.03</v>
      </c>
      <c r="Z40" s="123">
        <f t="shared" si="22"/>
        <v>-1408080.97</v>
      </c>
      <c r="AA40" s="98">
        <f t="shared" si="250"/>
        <v>0.21773279444444446</v>
      </c>
      <c r="AB40" s="123">
        <f t="shared" si="23"/>
        <v>454579.32</v>
      </c>
      <c r="AC40" s="326">
        <v>1800000</v>
      </c>
      <c r="AD40" s="326">
        <f t="shared" si="25"/>
        <v>861756.46</v>
      </c>
      <c r="AE40" s="326">
        <f t="shared" si="26"/>
        <v>0</v>
      </c>
      <c r="AF40" s="326">
        <f t="shared" si="27"/>
        <v>861756.46</v>
      </c>
      <c r="AG40" s="326">
        <f t="shared" si="83"/>
        <v>-938243.54</v>
      </c>
      <c r="AH40" s="494">
        <f t="shared" si="251"/>
        <v>0.47875358888888886</v>
      </c>
      <c r="AI40" s="141">
        <f t="shared" si="85"/>
        <v>5400000</v>
      </c>
      <c r="AJ40" s="416">
        <f t="shared" si="108"/>
        <v>2861766.37</v>
      </c>
      <c r="AK40" s="326">
        <f t="shared" ref="AK40:AM40" si="257">SUM(P40,W40,AD40)</f>
        <v>1253675.49</v>
      </c>
      <c r="AL40" s="326">
        <f t="shared" si="257"/>
        <v>0</v>
      </c>
      <c r="AM40" s="326">
        <f t="shared" si="257"/>
        <v>1253675.49</v>
      </c>
      <c r="AN40" s="326">
        <f t="shared" si="31"/>
        <v>-4146324.51</v>
      </c>
      <c r="AO40" s="98">
        <f t="shared" si="253"/>
        <v>0.23216212777777778</v>
      </c>
      <c r="AP40" s="125">
        <f t="shared" si="102"/>
        <v>705850.31</v>
      </c>
      <c r="AQ40" s="140">
        <f t="shared" si="32"/>
        <v>1134740.8500000001</v>
      </c>
      <c r="AR40" s="123">
        <f t="shared" si="33"/>
        <v>0</v>
      </c>
      <c r="AS40" s="148">
        <f t="shared" si="34"/>
        <v>1134740.8500000001</v>
      </c>
      <c r="AT40" s="125">
        <f t="shared" si="35"/>
        <v>664320.74</v>
      </c>
      <c r="AU40" s="140">
        <f t="shared" si="36"/>
        <v>520438.74</v>
      </c>
      <c r="AV40" s="326">
        <f t="shared" si="37"/>
        <v>31057.599999999999</v>
      </c>
      <c r="AW40" s="333">
        <f t="shared" si="38"/>
        <v>551496.34</v>
      </c>
      <c r="AX40" s="125">
        <f t="shared" si="234"/>
        <v>702412.7</v>
      </c>
      <c r="AY40" s="1041">
        <f t="shared" si="40"/>
        <v>343056.04</v>
      </c>
      <c r="AZ40" s="123">
        <f t="shared" si="41"/>
        <v>0</v>
      </c>
      <c r="BA40" s="125">
        <f t="shared" si="42"/>
        <v>343056.04</v>
      </c>
      <c r="BB40" s="122">
        <f t="shared" ref="BB40:BD40" si="258">SUM(AY40,AU40,AQ40)</f>
        <v>1998235.6300000001</v>
      </c>
      <c r="BC40" s="326">
        <f t="shared" si="258"/>
        <v>31057.599999999999</v>
      </c>
      <c r="BD40" s="333">
        <f t="shared" si="258"/>
        <v>2029293.23</v>
      </c>
      <c r="BE40" s="123">
        <f t="shared" si="44"/>
        <v>3282968.7199999997</v>
      </c>
      <c r="BF40" s="326">
        <f t="shared" ref="BF40:BG40" si="259">BC40+AL40</f>
        <v>31057.599999999999</v>
      </c>
      <c r="BG40" s="435">
        <f t="shared" si="259"/>
        <v>3282968.7199999997</v>
      </c>
      <c r="BH40" s="125">
        <f t="shared" si="237"/>
        <v>639075.92000000004</v>
      </c>
      <c r="BI40" s="1041">
        <f t="shared" si="47"/>
        <v>0</v>
      </c>
      <c r="BJ40" s="326">
        <f t="shared" si="48"/>
        <v>0</v>
      </c>
      <c r="BK40" s="1045">
        <f t="shared" si="49"/>
        <v>0</v>
      </c>
      <c r="BL40" s="125">
        <f t="shared" si="238"/>
        <v>676866.84</v>
      </c>
      <c r="BM40" s="141">
        <f t="shared" si="50"/>
        <v>190483.54</v>
      </c>
      <c r="BN40" s="332">
        <f t="shared" si="51"/>
        <v>31057.599999999999</v>
      </c>
      <c r="BO40" s="333">
        <f t="shared" si="52"/>
        <v>221541.14</v>
      </c>
      <c r="BP40" s="125">
        <f t="shared" si="239"/>
        <v>720879.15</v>
      </c>
      <c r="BQ40" s="140">
        <f t="shared" si="53"/>
        <v>698584.97</v>
      </c>
      <c r="BR40" s="123">
        <f t="shared" si="219"/>
        <v>0</v>
      </c>
      <c r="BS40" s="148">
        <f t="shared" si="220"/>
        <v>698584.97</v>
      </c>
      <c r="BT40" s="140">
        <f t="shared" ref="BT40:BV40" si="260">SUM(BQ40,BM40,BI40)</f>
        <v>889068.51</v>
      </c>
      <c r="BU40" s="123">
        <f t="shared" si="260"/>
        <v>31057.599999999999</v>
      </c>
      <c r="BV40" s="148">
        <f t="shared" si="260"/>
        <v>920126.11</v>
      </c>
      <c r="BW40" s="125">
        <f t="shared" si="222"/>
        <v>892906.42</v>
      </c>
      <c r="BX40" s="140">
        <f t="shared" si="58"/>
        <v>268308.65000000002</v>
      </c>
      <c r="BY40" s="123">
        <f t="shared" si="223"/>
        <v>0</v>
      </c>
      <c r="BZ40" s="148">
        <f t="shared" si="224"/>
        <v>268308.65000000002</v>
      </c>
      <c r="CA40" s="123">
        <f t="shared" si="225"/>
        <v>800877.09</v>
      </c>
      <c r="CB40" s="326">
        <f t="shared" si="226"/>
        <v>1167982.8600000001</v>
      </c>
    </row>
    <row r="41" spans="1:80" ht="15.75" customHeight="1">
      <c r="A41" s="422">
        <f t="shared" si="210"/>
        <v>112014747</v>
      </c>
      <c r="B41" s="93" t="e">
        <f t="shared" si="211"/>
        <v>#N/A</v>
      </c>
      <c r="C41" s="558" t="str">
        <f t="shared" si="2"/>
        <v/>
      </c>
      <c r="D41" s="558" t="str">
        <f t="shared" si="3"/>
        <v/>
      </c>
      <c r="E41" s="715" t="str">
        <f t="shared" si="4"/>
        <v/>
      </c>
      <c r="F41" s="701">
        <f t="shared" si="212"/>
        <v>1</v>
      </c>
      <c r="G41" s="700" t="str">
        <f t="shared" si="6"/>
        <v>Lista</v>
      </c>
      <c r="H41" s="700">
        <f t="shared" si="7"/>
        <v>0.09</v>
      </c>
      <c r="I41" s="702">
        <f t="shared" si="8"/>
        <v>0</v>
      </c>
      <c r="J41" s="837">
        <f t="shared" si="213"/>
        <v>71</v>
      </c>
      <c r="K41" s="699" t="str">
        <f t="shared" si="214"/>
        <v>Lista</v>
      </c>
      <c r="L41" s="1040">
        <f t="shared" si="215"/>
        <v>0.05</v>
      </c>
      <c r="M41" s="139" t="s">
        <v>1032</v>
      </c>
      <c r="N41" s="123" t="str">
        <f t="shared" si="231"/>
        <v/>
      </c>
      <c r="O41" s="326" t="e">
        <f>(N41*1.601)*1.05</f>
        <v>#VALUE!</v>
      </c>
      <c r="P41" s="704">
        <f t="shared" si="13"/>
        <v>0</v>
      </c>
      <c r="Q41" s="704">
        <f t="shared" si="14"/>
        <v>0</v>
      </c>
      <c r="R41" s="704">
        <f t="shared" si="15"/>
        <v>0</v>
      </c>
      <c r="S41" s="326" t="e">
        <f t="shared" si="16"/>
        <v>#VALUE!</v>
      </c>
      <c r="T41" s="137" t="str">
        <f>IFERROR(R41/O41,"")</f>
        <v/>
      </c>
      <c r="U41" s="332" t="str">
        <f t="shared" si="17"/>
        <v/>
      </c>
      <c r="V41" s="141" t="e">
        <f>(U41*1.7245)*1.05</f>
        <v>#VALUE!</v>
      </c>
      <c r="W41" s="113">
        <f t="shared" si="19"/>
        <v>0</v>
      </c>
      <c r="X41" s="704">
        <f t="shared" si="20"/>
        <v>0</v>
      </c>
      <c r="Y41" s="117">
        <f t="shared" si="21"/>
        <v>0</v>
      </c>
      <c r="Z41" s="123" t="e">
        <f t="shared" si="22"/>
        <v>#VALUE!</v>
      </c>
      <c r="AA41" s="98" t="str">
        <f>IFERROR(Y41/V41,"")</f>
        <v/>
      </c>
      <c r="AB41" s="123" t="str">
        <f t="shared" si="23"/>
        <v/>
      </c>
      <c r="AC41" s="326" t="e">
        <f>(AB41*1.5955)*1.03</f>
        <v>#VALUE!</v>
      </c>
      <c r="AD41" s="326">
        <f t="shared" si="25"/>
        <v>0</v>
      </c>
      <c r="AE41" s="326">
        <f t="shared" si="26"/>
        <v>0</v>
      </c>
      <c r="AF41" s="326">
        <f t="shared" si="27"/>
        <v>0</v>
      </c>
      <c r="AG41" s="326" t="e">
        <f t="shared" si="83"/>
        <v>#VALUE!</v>
      </c>
      <c r="AH41" s="494" t="str">
        <f>IFERROR(AF41/AC41,"")</f>
        <v/>
      </c>
      <c r="AI41" s="141" t="e">
        <f t="shared" si="85"/>
        <v>#VALUE!</v>
      </c>
      <c r="AJ41" s="416" t="str">
        <f t="shared" si="108"/>
        <v>0</v>
      </c>
      <c r="AK41" s="326">
        <f t="shared" ref="AK41:AM41" si="261">SUM(P41,W41,AD41)</f>
        <v>0</v>
      </c>
      <c r="AL41" s="326">
        <f t="shared" si="261"/>
        <v>0</v>
      </c>
      <c r="AM41" s="326">
        <f t="shared" si="261"/>
        <v>0</v>
      </c>
      <c r="AN41" s="326" t="e">
        <f t="shared" si="31"/>
        <v>#VALUE!</v>
      </c>
      <c r="AO41" s="98" t="str">
        <f>IFERROR(AM41/AI41,"")</f>
        <v/>
      </c>
      <c r="AP41" s="125" t="str">
        <f t="shared" si="102"/>
        <v/>
      </c>
      <c r="AQ41" s="140">
        <f t="shared" si="32"/>
        <v>0</v>
      </c>
      <c r="AR41" s="123">
        <f t="shared" si="33"/>
        <v>0</v>
      </c>
      <c r="AS41" s="148">
        <f t="shared" si="34"/>
        <v>0</v>
      </c>
      <c r="AT41" s="125" t="str">
        <f t="shared" si="35"/>
        <v/>
      </c>
      <c r="AU41" s="140">
        <f t="shared" si="36"/>
        <v>0</v>
      </c>
      <c r="AV41" s="326">
        <f t="shared" si="37"/>
        <v>0</v>
      </c>
      <c r="AW41" s="333">
        <f t="shared" si="38"/>
        <v>0</v>
      </c>
      <c r="AX41" s="125" t="str">
        <f t="shared" si="234"/>
        <v/>
      </c>
      <c r="AY41" s="1041">
        <f t="shared" si="40"/>
        <v>0</v>
      </c>
      <c r="AZ41" s="123">
        <f t="shared" si="41"/>
        <v>0</v>
      </c>
      <c r="BA41" s="125">
        <f t="shared" si="42"/>
        <v>0</v>
      </c>
      <c r="BB41" s="122">
        <f t="shared" ref="BB41:BD41" si="262">SUM(AY41,AU41,AQ41)</f>
        <v>0</v>
      </c>
      <c r="BC41" s="326">
        <f t="shared" si="262"/>
        <v>0</v>
      </c>
      <c r="BD41" s="333">
        <f t="shared" si="262"/>
        <v>0</v>
      </c>
      <c r="BE41" s="123">
        <f t="shared" si="44"/>
        <v>0</v>
      </c>
      <c r="BF41" s="326">
        <f t="shared" ref="BF41:BG41" si="263">BC41+AL41</f>
        <v>0</v>
      </c>
      <c r="BG41" s="435">
        <f t="shared" si="263"/>
        <v>0</v>
      </c>
      <c r="BH41" s="125" t="str">
        <f t="shared" si="237"/>
        <v/>
      </c>
      <c r="BI41" s="1041">
        <f t="shared" si="47"/>
        <v>0</v>
      </c>
      <c r="BJ41" s="326">
        <f t="shared" si="48"/>
        <v>0</v>
      </c>
      <c r="BK41" s="1045">
        <f t="shared" si="49"/>
        <v>0</v>
      </c>
      <c r="BL41" s="125" t="str">
        <f t="shared" si="238"/>
        <v/>
      </c>
      <c r="BM41" s="141">
        <f t="shared" si="50"/>
        <v>0</v>
      </c>
      <c r="BN41" s="332">
        <f t="shared" si="51"/>
        <v>447445.19</v>
      </c>
      <c r="BO41" s="333">
        <f t="shared" si="52"/>
        <v>447445.19</v>
      </c>
      <c r="BP41" s="125" t="str">
        <f t="shared" si="239"/>
        <v/>
      </c>
      <c r="BQ41" s="140">
        <f t="shared" si="53"/>
        <v>0</v>
      </c>
      <c r="BR41" s="123">
        <f t="shared" si="219"/>
        <v>0</v>
      </c>
      <c r="BS41" s="148">
        <f t="shared" si="220"/>
        <v>0</v>
      </c>
      <c r="BT41" s="140">
        <f t="shared" ref="BT41:BV41" si="264">SUM(BQ41,BM41,BI41)</f>
        <v>0</v>
      </c>
      <c r="BU41" s="123">
        <f t="shared" si="264"/>
        <v>447445.19</v>
      </c>
      <c r="BV41" s="148">
        <f t="shared" si="264"/>
        <v>447445.19</v>
      </c>
      <c r="BW41" s="123" t="str">
        <f t="shared" si="222"/>
        <v/>
      </c>
      <c r="BX41" s="123">
        <f t="shared" si="58"/>
        <v>0</v>
      </c>
      <c r="BY41" s="123">
        <f t="shared" si="223"/>
        <v>0</v>
      </c>
      <c r="BZ41" s="148">
        <f t="shared" si="224"/>
        <v>0</v>
      </c>
      <c r="CA41" s="123" t="str">
        <f t="shared" si="225"/>
        <v/>
      </c>
      <c r="CB41" s="326" t="str">
        <f t="shared" si="226"/>
        <v/>
      </c>
    </row>
    <row r="42" spans="1:80" ht="15.75" customHeight="1">
      <c r="A42" s="422">
        <f t="shared" si="210"/>
        <v>112014770</v>
      </c>
      <c r="B42" s="93" t="e">
        <f t="shared" si="211"/>
        <v>#N/A</v>
      </c>
      <c r="C42" s="558" t="s">
        <v>208</v>
      </c>
      <c r="D42" s="558">
        <v>0.09</v>
      </c>
      <c r="E42" s="715"/>
      <c r="F42" s="701">
        <f t="shared" si="212"/>
        <v>1</v>
      </c>
      <c r="G42" s="700" t="s">
        <v>208</v>
      </c>
      <c r="H42" s="700">
        <v>0.09</v>
      </c>
      <c r="I42" s="702"/>
      <c r="J42" s="837">
        <f t="shared" si="213"/>
        <v>71</v>
      </c>
      <c r="K42" s="699" t="str">
        <f t="shared" si="214"/>
        <v>Lista</v>
      </c>
      <c r="L42" s="1040">
        <f t="shared" si="215"/>
        <v>0.05</v>
      </c>
      <c r="M42" s="139" t="s">
        <v>1033</v>
      </c>
      <c r="N42" s="123"/>
      <c r="O42" s="326">
        <v>0</v>
      </c>
      <c r="P42" s="704">
        <v>0</v>
      </c>
      <c r="Q42" s="704" t="s">
        <v>1034</v>
      </c>
      <c r="R42" s="704" t="s">
        <v>210</v>
      </c>
      <c r="S42" s="326">
        <v>0</v>
      </c>
      <c r="T42" s="137" t="s">
        <v>210</v>
      </c>
      <c r="U42" s="332"/>
      <c r="V42" s="141">
        <v>0</v>
      </c>
      <c r="W42" s="113">
        <v>0</v>
      </c>
      <c r="X42" s="704" t="s">
        <v>1034</v>
      </c>
      <c r="Y42" s="117" t="s">
        <v>210</v>
      </c>
      <c r="Z42" s="123">
        <v>0</v>
      </c>
      <c r="AA42" s="98" t="s">
        <v>210</v>
      </c>
      <c r="AB42" s="123"/>
      <c r="AC42" s="326">
        <v>0</v>
      </c>
      <c r="AD42" s="326">
        <v>0</v>
      </c>
      <c r="AE42" s="326" t="s">
        <v>1034</v>
      </c>
      <c r="AF42" s="326" t="s">
        <v>210</v>
      </c>
      <c r="AG42" s="326">
        <v>0</v>
      </c>
      <c r="AH42" s="494" t="s">
        <v>210</v>
      </c>
      <c r="AI42" s="141">
        <v>0</v>
      </c>
      <c r="AJ42" s="416" t="s">
        <v>1034</v>
      </c>
      <c r="AK42" s="326">
        <v>0</v>
      </c>
      <c r="AL42" s="326">
        <v>0</v>
      </c>
      <c r="AM42" s="326">
        <v>0</v>
      </c>
      <c r="AN42" s="326">
        <v>0</v>
      </c>
      <c r="AO42" s="98" t="s">
        <v>210</v>
      </c>
      <c r="AP42" s="125"/>
      <c r="AQ42" s="140">
        <v>0</v>
      </c>
      <c r="AR42" s="123" t="s">
        <v>1034</v>
      </c>
      <c r="AS42" s="148" t="s">
        <v>210</v>
      </c>
      <c r="AT42" s="125"/>
      <c r="AU42" s="140">
        <v>0</v>
      </c>
      <c r="AV42" s="326" t="s">
        <v>1034</v>
      </c>
      <c r="AW42" s="333" t="s">
        <v>210</v>
      </c>
      <c r="AX42" s="125"/>
      <c r="AY42" s="1041">
        <v>0</v>
      </c>
      <c r="AZ42" s="123" t="s">
        <v>1034</v>
      </c>
      <c r="BA42" s="125" t="s">
        <v>210</v>
      </c>
      <c r="BB42" s="122">
        <v>0</v>
      </c>
      <c r="BC42" s="326">
        <v>0</v>
      </c>
      <c r="BD42" s="333">
        <v>0</v>
      </c>
      <c r="BE42" s="123">
        <v>0</v>
      </c>
      <c r="BF42" s="326">
        <v>0</v>
      </c>
      <c r="BG42" s="435">
        <v>0</v>
      </c>
      <c r="BH42" s="125"/>
      <c r="BI42" s="1041">
        <v>0</v>
      </c>
      <c r="BJ42" s="326" t="s">
        <v>1034</v>
      </c>
      <c r="BK42" s="1045" t="s">
        <v>210</v>
      </c>
      <c r="BL42" s="125"/>
      <c r="BM42" s="141">
        <v>0</v>
      </c>
      <c r="BN42" s="332" t="s">
        <v>1034</v>
      </c>
      <c r="BO42" s="333" t="s">
        <v>210</v>
      </c>
      <c r="BP42" s="125"/>
      <c r="BQ42" s="140" t="e">
        <f t="shared" si="53"/>
        <v>#VALUE!</v>
      </c>
      <c r="BR42" s="123" t="str">
        <f t="shared" si="219"/>
        <v>0</v>
      </c>
      <c r="BS42" s="148" t="str">
        <f t="shared" si="220"/>
        <v/>
      </c>
      <c r="BT42" s="140" t="e">
        <f t="shared" ref="BT42:BV42" si="265">SUM(BQ42,BM42,BI42)</f>
        <v>#VALUE!</v>
      </c>
      <c r="BU42" s="123">
        <f t="shared" si="265"/>
        <v>0</v>
      </c>
      <c r="BV42" s="148">
        <f t="shared" si="265"/>
        <v>0</v>
      </c>
      <c r="BW42" s="123" t="str">
        <f t="shared" si="222"/>
        <v/>
      </c>
      <c r="BX42" s="123" t="e">
        <f t="shared" si="58"/>
        <v>#VALUE!</v>
      </c>
      <c r="BY42" s="123" t="str">
        <f t="shared" si="223"/>
        <v>0</v>
      </c>
      <c r="BZ42" s="148" t="str">
        <f t="shared" si="224"/>
        <v/>
      </c>
      <c r="CA42" s="123" t="str">
        <f t="shared" si="225"/>
        <v/>
      </c>
      <c r="CB42" s="326" t="str">
        <f t="shared" si="226"/>
        <v/>
      </c>
    </row>
    <row r="43" spans="1:80" ht="13">
      <c r="A43" s="436">
        <f t="shared" si="210"/>
        <v>112014404</v>
      </c>
      <c r="B43" s="93">
        <f t="shared" si="211"/>
        <v>10</v>
      </c>
      <c r="C43" s="558">
        <f t="shared" ref="C43:C74" si="266">IFERROR(VLOOKUP(B43,DES,2,FALSE),"")</f>
        <v>0.15</v>
      </c>
      <c r="D43" s="558">
        <f t="shared" ref="D43:D74" si="267">IFERROR(VLOOKUP(B43,DES,3,FALSE),"")</f>
        <v>0.23</v>
      </c>
      <c r="E43" s="715">
        <f t="shared" ref="E43:E74" si="268">IFERROR(VLOOKUP(B43,DES,4,FALSE),"")</f>
        <v>0</v>
      </c>
      <c r="F43" s="701">
        <f t="shared" si="212"/>
        <v>18</v>
      </c>
      <c r="G43" s="700" t="str">
        <f t="shared" ref="G43:G74" si="269">IFERROR(VLOOKUP(F43,DES,2,FALSE),"")</f>
        <v>Lista</v>
      </c>
      <c r="H43" s="700">
        <f t="shared" ref="H43:H74" si="270">IFERROR(VLOOKUP(F43,DES,3,FALSE),"")</f>
        <v>0.23</v>
      </c>
      <c r="I43" s="702">
        <f t="shared" ref="I43:I74" si="271">IFERROR(VLOOKUP(F43,DES,4,FALSE),"")</f>
        <v>0</v>
      </c>
      <c r="J43" s="837">
        <f t="shared" si="213"/>
        <v>69</v>
      </c>
      <c r="K43" s="699" t="str">
        <f t="shared" si="214"/>
        <v>Lista</v>
      </c>
      <c r="L43" s="1040">
        <f t="shared" si="215"/>
        <v>0.14000000000000001</v>
      </c>
      <c r="M43" s="139" t="s">
        <v>1035</v>
      </c>
      <c r="N43" s="123">
        <f t="shared" ref="N43:N61" si="272">IFERROR(VLOOKUP(M43,ARRIOLA24,3,FALSE),"")</f>
        <v>0</v>
      </c>
      <c r="O43" s="561">
        <v>3000000</v>
      </c>
      <c r="P43" s="704">
        <f t="shared" ref="P43:P97" si="273">R43-Q43</f>
        <v>3284798.8199999994</v>
      </c>
      <c r="Q43" s="704">
        <f t="shared" ref="Q43:Q74" si="274">IFERROR(VLOOKUP(M43,ARRIOALIM,3,FALSE),"0")</f>
        <v>1141246.03</v>
      </c>
      <c r="R43" s="704">
        <f t="shared" ref="R43:R74" si="275">IFERROR(VLOOKUP(M43,ARRIOFC,3,FALSE),"")</f>
        <v>4426044.8499999996</v>
      </c>
      <c r="S43" s="326">
        <f t="shared" ref="S43:S97" si="276">R43-O43</f>
        <v>1426044.8499999996</v>
      </c>
      <c r="T43" s="137">
        <f>R43/O43</f>
        <v>1.4753482833333331</v>
      </c>
      <c r="U43" s="332">
        <f t="shared" ref="U43:U74" si="277">IFERROR(VLOOKUP(M43,ARRIOLA24,4,FALSE),"")</f>
        <v>0</v>
      </c>
      <c r="V43" s="141">
        <v>3000000</v>
      </c>
      <c r="W43" s="113">
        <f t="shared" ref="W43:W97" si="278">Y43-X43</f>
        <v>0</v>
      </c>
      <c r="X43" s="704">
        <f t="shared" ref="X43:X74" si="279">IFERROR(VLOOKUP(M43,ARRIOALIM,4,FALSE),"0")</f>
        <v>0</v>
      </c>
      <c r="Y43" s="117">
        <f t="shared" ref="Y43:Y74" si="280">IFERROR(VLOOKUP(M43,ARRIOFC,4,FALSE),"")</f>
        <v>0</v>
      </c>
      <c r="Z43" s="123">
        <f t="shared" ref="Z43:Z61" si="281">Y43-V43</f>
        <v>-3000000</v>
      </c>
      <c r="AA43" s="98">
        <f>Y43/V43</f>
        <v>0</v>
      </c>
      <c r="AB43" s="123">
        <f t="shared" ref="AB43:AB74" si="282">IFERROR(VLOOKUP(M43,ARRIOLA24,5,FALSE),"")</f>
        <v>0</v>
      </c>
      <c r="AC43" s="326">
        <v>3000000</v>
      </c>
      <c r="AD43" s="326">
        <f t="shared" ref="AD43:AD97" si="283">AF43-AE43</f>
        <v>215966.66999999993</v>
      </c>
      <c r="AE43" s="326">
        <f t="shared" ref="AE43:AE74" si="284">IFERROR(VLOOKUP(M43,ARRIOALIM,5,FALSE),"0")</f>
        <v>1844352.62</v>
      </c>
      <c r="AF43" s="326">
        <f t="shared" ref="AF43:AF74" si="285">IFERROR(VLOOKUP(M43,ARRIOFC,5,FALSE),"")</f>
        <v>2060319.29</v>
      </c>
      <c r="AG43" s="326">
        <f t="shared" ref="AG43:AG97" si="286">AF43-AC43</f>
        <v>-939680.71</v>
      </c>
      <c r="AH43" s="494">
        <f>AF43/AC43</f>
        <v>0.68677309666666664</v>
      </c>
      <c r="AI43" s="141">
        <f t="shared" ref="AI43:AI97" si="287">SUM(O43,V43,AC43)</f>
        <v>9000000</v>
      </c>
      <c r="AJ43" s="416">
        <f>VLOOKUP(M43,trim2024,2,FALSE)</f>
        <v>8420480.7400000002</v>
      </c>
      <c r="AK43" s="326">
        <f t="shared" ref="AK43:AM43" si="288">SUM(P43,W43,AD43)</f>
        <v>3500765.4899999993</v>
      </c>
      <c r="AL43" s="326">
        <f t="shared" si="288"/>
        <v>2985598.6500000004</v>
      </c>
      <c r="AM43" s="326">
        <f t="shared" si="288"/>
        <v>6486364.1399999997</v>
      </c>
      <c r="AN43" s="326">
        <f t="shared" ref="AN43:AN97" si="289">AM43-AI43</f>
        <v>-2513635.8600000003</v>
      </c>
      <c r="AO43" s="98">
        <f>AM43/AI43</f>
        <v>0.72070712666666659</v>
      </c>
      <c r="AP43" s="125">
        <f t="shared" ref="AP43:AP61" si="290">IFERROR(VLOOKUP(M43,ARRIOLA24,6,FALSE),"")</f>
        <v>3062410.89</v>
      </c>
      <c r="AQ43" s="140">
        <f t="shared" ref="AQ43:AQ97" si="291">AS43-AR43</f>
        <v>0</v>
      </c>
      <c r="AR43" s="123">
        <f t="shared" ref="AR43:AR74" si="292">IFERROR(VLOOKUP(M43,ARRIOALIM,6,FALSE),"0")</f>
        <v>751457.78</v>
      </c>
      <c r="AS43" s="148">
        <f t="shared" ref="AS43:AS74" si="293">IFERROR(VLOOKUP(M43,ARRIOFC,6,FALSE),"")</f>
        <v>751457.78</v>
      </c>
      <c r="AT43" s="125">
        <f t="shared" ref="AT43:AT74" si="294">IFERROR(VLOOKUP(M43,ARRIOLA24,7,FALSE),"")</f>
        <v>148515.44</v>
      </c>
      <c r="AU43" s="140">
        <f t="shared" ref="AU43:AU97" si="295">AW43-AV43</f>
        <v>0</v>
      </c>
      <c r="AV43" s="326">
        <f t="shared" ref="AV43:AV74" si="296">IFERROR(VLOOKUP(M43,ARRIOALIM,7,FALSE),"0")</f>
        <v>968561.98</v>
      </c>
      <c r="AW43" s="333">
        <f t="shared" ref="AW43:AW74" si="297">IFERROR(VLOOKUP(M43,ARRIOFC,7,FALSE),"")</f>
        <v>968561.98</v>
      </c>
      <c r="AX43" s="125">
        <f t="shared" ref="AX43:AX61" si="298">IFERROR(VLOOKUP(M43,ARRIOLA24,8,FALSE),"")</f>
        <v>0</v>
      </c>
      <c r="AY43" s="1041">
        <f t="shared" ref="AY43:AY97" si="299">BA43-AZ43</f>
        <v>30141</v>
      </c>
      <c r="AZ43" s="123">
        <f t="shared" ref="AZ43:AZ74" si="300">IFERROR(VLOOKUP(M43,ARRIOALIM,8,FALSE),"0")</f>
        <v>532155.12</v>
      </c>
      <c r="BA43" s="125">
        <f t="shared" ref="BA43:BA74" si="301">IFERROR(VLOOKUP(M43,ARRIOFC,8,FALSE),"")</f>
        <v>562296.12</v>
      </c>
      <c r="BB43" s="122">
        <f t="shared" ref="BB43:BD43" si="302">SUM(AY43,AU43,AQ43)</f>
        <v>30141</v>
      </c>
      <c r="BC43" s="326">
        <f t="shared" si="302"/>
        <v>2252174.88</v>
      </c>
      <c r="BD43" s="333">
        <f t="shared" si="302"/>
        <v>2282315.88</v>
      </c>
      <c r="BE43" s="123">
        <f t="shared" ref="BE43:BE97" si="303">BD43+AK43</f>
        <v>5783081.3699999992</v>
      </c>
      <c r="BF43" s="326">
        <f t="shared" ref="BF43:BG43" si="304">BC43+AL43</f>
        <v>5237773.53</v>
      </c>
      <c r="BG43" s="435">
        <f t="shared" si="304"/>
        <v>8768680.0199999996</v>
      </c>
      <c r="BH43" s="125">
        <f t="shared" ref="BH43:BH61" si="305">IFERROR(VLOOKUP(M43,ARRIOLA24,9,FALSE),"")</f>
        <v>938604.21</v>
      </c>
      <c r="BI43" s="1041">
        <f t="shared" ref="BI43:BI97" si="306">BK43-BJ43</f>
        <v>39567.5</v>
      </c>
      <c r="BJ43" s="326">
        <f t="shared" ref="BJ43:BJ74" si="307">IFERROR(VLOOKUP(M43,ARRIOALIM,9,FALSE),"0")</f>
        <v>1653051.4</v>
      </c>
      <c r="BK43" s="1045">
        <f t="shared" ref="BK43:BK74" si="308">IFERROR(VLOOKUP(M43,ARRIOFC,9,FALSE),"")</f>
        <v>1692618.9</v>
      </c>
      <c r="BL43" s="125">
        <f t="shared" ref="BL43:BL61" si="309">IFERROR(VLOOKUP(M43,ARRIOLA24,10,FALSE),"")</f>
        <v>255617.82</v>
      </c>
      <c r="BM43" s="141">
        <f t="shared" ref="BM43:BM97" si="310">BO43-BN43</f>
        <v>0</v>
      </c>
      <c r="BN43" s="332">
        <f t="shared" ref="BN43:BN74" si="311">IFERROR(VLOOKUP(M43,ARRIOALIM,10,FALSE),"0")</f>
        <v>0</v>
      </c>
      <c r="BO43" s="333">
        <f t="shared" ref="BO43:BO74" si="312">IFERROR(VLOOKUP(M43,ARRIOFC,10,FALSE),"")</f>
        <v>0</v>
      </c>
      <c r="BP43" s="125">
        <f t="shared" ref="BP43:BP61" si="313">IFERROR(VLOOKUP(M43,ARRIOLA24,11,FALSE),"")</f>
        <v>1330398.3</v>
      </c>
      <c r="BQ43" s="140">
        <f t="shared" si="53"/>
        <v>0</v>
      </c>
      <c r="BR43" s="123">
        <f t="shared" si="219"/>
        <v>286184.82</v>
      </c>
      <c r="BS43" s="148">
        <f t="shared" si="220"/>
        <v>286184.82</v>
      </c>
      <c r="BT43" s="140">
        <f t="shared" ref="BT43:BV43" si="314">SUM(BQ43,BM43,BI43)</f>
        <v>39567.5</v>
      </c>
      <c r="BU43" s="123">
        <f t="shared" si="314"/>
        <v>1939236.22</v>
      </c>
      <c r="BV43" s="148">
        <f t="shared" si="314"/>
        <v>1978803.72</v>
      </c>
      <c r="BW43" s="125">
        <f t="shared" si="222"/>
        <v>3645863.04</v>
      </c>
      <c r="BX43" s="140">
        <f t="shared" si="58"/>
        <v>0</v>
      </c>
      <c r="BY43" s="123">
        <f t="shared" si="223"/>
        <v>0</v>
      </c>
      <c r="BZ43" s="148">
        <f t="shared" si="224"/>
        <v>0</v>
      </c>
      <c r="CA43" s="123">
        <f t="shared" si="225"/>
        <v>2144972.59</v>
      </c>
      <c r="CB43" s="326">
        <f t="shared" si="226"/>
        <v>2629645.12</v>
      </c>
    </row>
    <row r="44" spans="1:80" ht="13">
      <c r="A44" s="436">
        <f t="shared" si="210"/>
        <v>112012698</v>
      </c>
      <c r="B44" s="93">
        <f t="shared" si="211"/>
        <v>4</v>
      </c>
      <c r="C44" s="558" t="str">
        <f t="shared" si="266"/>
        <v>Lista</v>
      </c>
      <c r="D44" s="558">
        <f t="shared" si="267"/>
        <v>0.2</v>
      </c>
      <c r="E44" s="715">
        <f t="shared" si="268"/>
        <v>0</v>
      </c>
      <c r="F44" s="701">
        <f t="shared" si="212"/>
        <v>4</v>
      </c>
      <c r="G44" s="700" t="str">
        <f t="shared" si="269"/>
        <v>Lista</v>
      </c>
      <c r="H44" s="700">
        <f t="shared" si="270"/>
        <v>0.2</v>
      </c>
      <c r="I44" s="702">
        <f t="shared" si="271"/>
        <v>0</v>
      </c>
      <c r="J44" s="837">
        <f t="shared" si="213"/>
        <v>70</v>
      </c>
      <c r="K44" s="699" t="str">
        <f t="shared" si="214"/>
        <v>Lista</v>
      </c>
      <c r="L44" s="1040">
        <f t="shared" si="215"/>
        <v>0.11</v>
      </c>
      <c r="M44" s="139" t="s">
        <v>1036</v>
      </c>
      <c r="N44" s="123">
        <f t="shared" si="272"/>
        <v>1842253.08</v>
      </c>
      <c r="O44" s="326">
        <f t="shared" ref="O44:O47" si="315">(N44*1.601)*1.05</f>
        <v>3096919.5401340001</v>
      </c>
      <c r="P44" s="704">
        <f t="shared" si="273"/>
        <v>246195.06999999983</v>
      </c>
      <c r="Q44" s="704">
        <f t="shared" si="274"/>
        <v>2285723.44</v>
      </c>
      <c r="R44" s="704">
        <f t="shared" si="275"/>
        <v>2531918.5099999998</v>
      </c>
      <c r="S44" s="326">
        <f t="shared" si="276"/>
        <v>-565001.03013400035</v>
      </c>
      <c r="T44" s="137">
        <f t="shared" ref="T44:T47" si="316">IFERROR(R44/O44,"")</f>
        <v>0.81756031346246938</v>
      </c>
      <c r="U44" s="332">
        <f t="shared" si="277"/>
        <v>622589.15</v>
      </c>
      <c r="V44" s="141">
        <f t="shared" ref="V44:V51" si="317">(U44*1.7245)*1.05</f>
        <v>1127337.73863375</v>
      </c>
      <c r="W44" s="113">
        <f t="shared" si="278"/>
        <v>0</v>
      </c>
      <c r="X44" s="704">
        <f t="shared" si="279"/>
        <v>-104954.74</v>
      </c>
      <c r="Y44" s="117">
        <f t="shared" si="280"/>
        <v>-104954.74</v>
      </c>
      <c r="Z44" s="123">
        <f t="shared" si="281"/>
        <v>-1232292.47863375</v>
      </c>
      <c r="AA44" s="98">
        <f t="shared" ref="AA44:AA47" si="318">IFERROR(Y44/V44,"")</f>
        <v>-9.309964210654155E-2</v>
      </c>
      <c r="AB44" s="123">
        <f t="shared" si="282"/>
        <v>284010.84999999998</v>
      </c>
      <c r="AC44" s="326">
        <f t="shared" ref="AC44:AC47" si="319">(AB44*1.5955)*1.03</f>
        <v>466733.49051024992</v>
      </c>
      <c r="AD44" s="326">
        <f t="shared" si="283"/>
        <v>282171.94</v>
      </c>
      <c r="AE44" s="326">
        <f t="shared" si="284"/>
        <v>67170.960000000006</v>
      </c>
      <c r="AF44" s="326">
        <f t="shared" si="285"/>
        <v>349342.9</v>
      </c>
      <c r="AG44" s="326">
        <f t="shared" si="286"/>
        <v>-117390.59051024989</v>
      </c>
      <c r="AH44" s="494">
        <f t="shared" ref="AH44:AH47" si="320">IFERROR(AF44/AC44,"")</f>
        <v>0.74848475008314863</v>
      </c>
      <c r="AI44" s="141">
        <f t="shared" si="287"/>
        <v>4690990.7692779992</v>
      </c>
      <c r="AJ44" s="416">
        <f t="shared" ref="AJ44:AJ51" si="321">IFERROR(VLOOKUP(M44,trim2024,2,FALSE),"0")</f>
        <v>3946883.59</v>
      </c>
      <c r="AK44" s="326">
        <f t="shared" ref="AK44:AM44" si="322">SUM(P44,W44,AD44)</f>
        <v>528367.00999999978</v>
      </c>
      <c r="AL44" s="326">
        <f t="shared" si="322"/>
        <v>2247939.6599999997</v>
      </c>
      <c r="AM44" s="326">
        <f t="shared" si="322"/>
        <v>2776306.6699999995</v>
      </c>
      <c r="AN44" s="326">
        <f t="shared" si="289"/>
        <v>-1914684.0992779997</v>
      </c>
      <c r="AO44" s="98">
        <f t="shared" ref="AO44:AO47" si="323">IFERROR(AM44/AI44,"")</f>
        <v>0.59183801600771579</v>
      </c>
      <c r="AP44" s="125">
        <f t="shared" si="290"/>
        <v>1537418.08</v>
      </c>
      <c r="AQ44" s="140">
        <f t="shared" si="291"/>
        <v>0</v>
      </c>
      <c r="AR44" s="123">
        <f t="shared" si="292"/>
        <v>1607839.6</v>
      </c>
      <c r="AS44" s="148">
        <f t="shared" si="293"/>
        <v>1607839.6</v>
      </c>
      <c r="AT44" s="125">
        <f t="shared" si="294"/>
        <v>0</v>
      </c>
      <c r="AU44" s="140">
        <f t="shared" si="295"/>
        <v>0</v>
      </c>
      <c r="AV44" s="326">
        <f t="shared" si="296"/>
        <v>245215.2</v>
      </c>
      <c r="AW44" s="333">
        <f t="shared" si="297"/>
        <v>245215.2</v>
      </c>
      <c r="AX44" s="125">
        <f t="shared" si="298"/>
        <v>934068</v>
      </c>
      <c r="AY44" s="1041">
        <f t="shared" si="299"/>
        <v>33348.949999999997</v>
      </c>
      <c r="AZ44" s="123">
        <f t="shared" si="300"/>
        <v>0</v>
      </c>
      <c r="BA44" s="125">
        <f t="shared" si="301"/>
        <v>33348.949999999997</v>
      </c>
      <c r="BB44" s="122">
        <f t="shared" ref="BB44:BD44" si="324">SUM(AY44,AU44,AQ44)</f>
        <v>33348.949999999997</v>
      </c>
      <c r="BC44" s="326">
        <f t="shared" si="324"/>
        <v>1853054.8</v>
      </c>
      <c r="BD44" s="333">
        <f t="shared" si="324"/>
        <v>1886403.75</v>
      </c>
      <c r="BE44" s="123">
        <f t="shared" si="303"/>
        <v>2414770.7599999998</v>
      </c>
      <c r="BF44" s="326">
        <f t="shared" ref="BF44:BG44" si="325">BC44+AL44</f>
        <v>4100994.46</v>
      </c>
      <c r="BG44" s="435">
        <f t="shared" si="325"/>
        <v>4662710.42</v>
      </c>
      <c r="BH44" s="125">
        <f t="shared" si="305"/>
        <v>1041938.8</v>
      </c>
      <c r="BI44" s="1041">
        <f t="shared" si="306"/>
        <v>191224.35</v>
      </c>
      <c r="BJ44" s="326">
        <f t="shared" si="307"/>
        <v>0</v>
      </c>
      <c r="BK44" s="1045">
        <f t="shared" si="308"/>
        <v>191224.35</v>
      </c>
      <c r="BL44" s="125">
        <f t="shared" si="309"/>
        <v>1401102</v>
      </c>
      <c r="BM44" s="141">
        <f t="shared" si="310"/>
        <v>0</v>
      </c>
      <c r="BN44" s="332">
        <f t="shared" si="311"/>
        <v>0</v>
      </c>
      <c r="BO44" s="333">
        <f t="shared" si="312"/>
        <v>0</v>
      </c>
      <c r="BP44" s="125">
        <f t="shared" si="313"/>
        <v>2343841.2400000002</v>
      </c>
      <c r="BQ44" s="140">
        <f t="shared" si="53"/>
        <v>0</v>
      </c>
      <c r="BR44" s="123">
        <f t="shared" si="219"/>
        <v>0</v>
      </c>
      <c r="BS44" s="148">
        <f t="shared" si="220"/>
        <v>0</v>
      </c>
      <c r="BT44" s="140">
        <f t="shared" ref="BT44:BV44" si="326">SUM(BQ44,BM44,BI44)</f>
        <v>191224.35</v>
      </c>
      <c r="BU44" s="123">
        <f t="shared" si="326"/>
        <v>0</v>
      </c>
      <c r="BV44" s="148">
        <f t="shared" si="326"/>
        <v>191224.35</v>
      </c>
      <c r="BW44" s="125">
        <f t="shared" si="222"/>
        <v>677754.07</v>
      </c>
      <c r="BX44" s="140">
        <f t="shared" si="58"/>
        <v>0</v>
      </c>
      <c r="BY44" s="123">
        <f t="shared" si="223"/>
        <v>0</v>
      </c>
      <c r="BZ44" s="148">
        <f t="shared" si="224"/>
        <v>0</v>
      </c>
      <c r="CA44" s="123">
        <f t="shared" si="225"/>
        <v>0</v>
      </c>
      <c r="CB44" s="326">
        <f t="shared" si="226"/>
        <v>3269129.52</v>
      </c>
    </row>
    <row r="45" spans="1:80" ht="13">
      <c r="A45" s="436">
        <f t="shared" si="210"/>
        <v>112013841</v>
      </c>
      <c r="B45" s="93">
        <f t="shared" si="211"/>
        <v>4</v>
      </c>
      <c r="C45" s="558" t="str">
        <f t="shared" si="266"/>
        <v>Lista</v>
      </c>
      <c r="D45" s="558">
        <f t="shared" si="267"/>
        <v>0.2</v>
      </c>
      <c r="E45" s="715">
        <f t="shared" si="268"/>
        <v>0</v>
      </c>
      <c r="F45" s="701">
        <f t="shared" si="212"/>
        <v>4</v>
      </c>
      <c r="G45" s="700" t="str">
        <f t="shared" si="269"/>
        <v>Lista</v>
      </c>
      <c r="H45" s="700">
        <f t="shared" si="270"/>
        <v>0.2</v>
      </c>
      <c r="I45" s="702">
        <f t="shared" si="271"/>
        <v>0</v>
      </c>
      <c r="J45" s="837">
        <f t="shared" si="213"/>
        <v>70</v>
      </c>
      <c r="K45" s="699" t="str">
        <f t="shared" si="214"/>
        <v>Lista</v>
      </c>
      <c r="L45" s="1040">
        <f t="shared" si="215"/>
        <v>0.11</v>
      </c>
      <c r="M45" s="139" t="s">
        <v>1037</v>
      </c>
      <c r="N45" s="123">
        <f t="shared" si="272"/>
        <v>573322.80000000005</v>
      </c>
      <c r="O45" s="326">
        <f t="shared" si="315"/>
        <v>963784.29294000007</v>
      </c>
      <c r="P45" s="704">
        <f t="shared" si="273"/>
        <v>0</v>
      </c>
      <c r="Q45" s="704">
        <f t="shared" si="274"/>
        <v>659750.40000000002</v>
      </c>
      <c r="R45" s="704">
        <f t="shared" si="275"/>
        <v>659750.40000000002</v>
      </c>
      <c r="S45" s="326">
        <f t="shared" si="276"/>
        <v>-304033.89294000005</v>
      </c>
      <c r="T45" s="137">
        <f t="shared" si="316"/>
        <v>0.68454155647987147</v>
      </c>
      <c r="U45" s="332">
        <f t="shared" si="277"/>
        <v>788504.8</v>
      </c>
      <c r="V45" s="141">
        <f t="shared" si="317"/>
        <v>1427765.3539799999</v>
      </c>
      <c r="W45" s="113">
        <f t="shared" si="278"/>
        <v>0</v>
      </c>
      <c r="X45" s="704">
        <f t="shared" si="279"/>
        <v>0</v>
      </c>
      <c r="Y45" s="117">
        <f t="shared" si="280"/>
        <v>0</v>
      </c>
      <c r="Z45" s="123">
        <f t="shared" si="281"/>
        <v>-1427765.3539799999</v>
      </c>
      <c r="AA45" s="98">
        <f t="shared" si="318"/>
        <v>0</v>
      </c>
      <c r="AB45" s="123">
        <f t="shared" si="282"/>
        <v>0</v>
      </c>
      <c r="AC45" s="326">
        <f t="shared" si="319"/>
        <v>0</v>
      </c>
      <c r="AD45" s="326">
        <f t="shared" si="283"/>
        <v>0</v>
      </c>
      <c r="AE45" s="326">
        <f t="shared" si="284"/>
        <v>0</v>
      </c>
      <c r="AF45" s="326">
        <f t="shared" si="285"/>
        <v>0</v>
      </c>
      <c r="AG45" s="326">
        <f t="shared" si="286"/>
        <v>0</v>
      </c>
      <c r="AH45" s="494" t="str">
        <f t="shared" si="320"/>
        <v/>
      </c>
      <c r="AI45" s="141">
        <f t="shared" si="287"/>
        <v>2391549.6469200002</v>
      </c>
      <c r="AJ45" s="416">
        <f t="shared" si="321"/>
        <v>1184042.3999999999</v>
      </c>
      <c r="AK45" s="326">
        <f t="shared" ref="AK45:AM45" si="327">SUM(P45,W45,AD45)</f>
        <v>0</v>
      </c>
      <c r="AL45" s="326">
        <f t="shared" si="327"/>
        <v>659750.40000000002</v>
      </c>
      <c r="AM45" s="326">
        <f t="shared" si="327"/>
        <v>659750.40000000002</v>
      </c>
      <c r="AN45" s="326">
        <f t="shared" si="289"/>
        <v>-1731799.2469200003</v>
      </c>
      <c r="AO45" s="98">
        <f t="shared" si="323"/>
        <v>0.27586732345267068</v>
      </c>
      <c r="AP45" s="125">
        <f t="shared" si="290"/>
        <v>1086414.3999999999</v>
      </c>
      <c r="AQ45" s="140">
        <f t="shared" si="291"/>
        <v>0</v>
      </c>
      <c r="AR45" s="123">
        <f t="shared" si="292"/>
        <v>0</v>
      </c>
      <c r="AS45" s="148">
        <f t="shared" si="293"/>
        <v>0</v>
      </c>
      <c r="AT45" s="125">
        <f t="shared" si="294"/>
        <v>0</v>
      </c>
      <c r="AU45" s="140">
        <f t="shared" si="295"/>
        <v>0</v>
      </c>
      <c r="AV45" s="326">
        <f t="shared" si="296"/>
        <v>825140.4</v>
      </c>
      <c r="AW45" s="333">
        <f t="shared" si="297"/>
        <v>825140.4</v>
      </c>
      <c r="AX45" s="125">
        <f t="shared" si="298"/>
        <v>560440.80000000005</v>
      </c>
      <c r="AY45" s="1041">
        <f t="shared" si="299"/>
        <v>0</v>
      </c>
      <c r="AZ45" s="123">
        <f t="shared" si="300"/>
        <v>0</v>
      </c>
      <c r="BA45" s="125">
        <f t="shared" si="301"/>
        <v>0</v>
      </c>
      <c r="BB45" s="122">
        <f t="shared" ref="BB45:BD45" si="328">SUM(AY45,AU45,AQ45)</f>
        <v>0</v>
      </c>
      <c r="BC45" s="326">
        <f t="shared" si="328"/>
        <v>825140.4</v>
      </c>
      <c r="BD45" s="333">
        <f t="shared" si="328"/>
        <v>825140.4</v>
      </c>
      <c r="BE45" s="123">
        <f t="shared" si="303"/>
        <v>825140.4</v>
      </c>
      <c r="BF45" s="326">
        <f t="shared" ref="BF45:BG45" si="329">BC45+AL45</f>
        <v>1484890.8</v>
      </c>
      <c r="BG45" s="435">
        <f t="shared" si="329"/>
        <v>1484890.8</v>
      </c>
      <c r="BH45" s="125">
        <f t="shared" si="305"/>
        <v>0</v>
      </c>
      <c r="BI45" s="1041">
        <f t="shared" si="306"/>
        <v>0</v>
      </c>
      <c r="BJ45" s="326">
        <f t="shared" si="307"/>
        <v>927407.24</v>
      </c>
      <c r="BK45" s="1045">
        <f t="shared" si="308"/>
        <v>927407.24</v>
      </c>
      <c r="BL45" s="125">
        <f t="shared" si="309"/>
        <v>818338.4</v>
      </c>
      <c r="BM45" s="141">
        <f t="shared" si="310"/>
        <v>0</v>
      </c>
      <c r="BN45" s="332">
        <f t="shared" si="311"/>
        <v>0</v>
      </c>
      <c r="BO45" s="333">
        <f t="shared" si="312"/>
        <v>0</v>
      </c>
      <c r="BP45" s="125">
        <f t="shared" si="313"/>
        <v>0</v>
      </c>
      <c r="BQ45" s="140">
        <f t="shared" si="53"/>
        <v>0</v>
      </c>
      <c r="BR45" s="123">
        <f t="shared" si="219"/>
        <v>0</v>
      </c>
      <c r="BS45" s="148">
        <f t="shared" si="220"/>
        <v>0</v>
      </c>
      <c r="BT45" s="140">
        <f t="shared" ref="BT45:BV45" si="330">SUM(BQ45,BM45,BI45)</f>
        <v>0</v>
      </c>
      <c r="BU45" s="123">
        <f t="shared" si="330"/>
        <v>927407.24</v>
      </c>
      <c r="BV45" s="148">
        <f t="shared" si="330"/>
        <v>927407.24</v>
      </c>
      <c r="BW45" s="125">
        <f t="shared" si="222"/>
        <v>0</v>
      </c>
      <c r="BX45" s="140">
        <f t="shared" si="58"/>
        <v>0</v>
      </c>
      <c r="BY45" s="123">
        <f t="shared" si="223"/>
        <v>0</v>
      </c>
      <c r="BZ45" s="148">
        <f t="shared" si="224"/>
        <v>0</v>
      </c>
      <c r="CA45" s="123">
        <f t="shared" si="225"/>
        <v>1184042.3999999999</v>
      </c>
      <c r="CB45" s="326">
        <f t="shared" si="226"/>
        <v>0</v>
      </c>
    </row>
    <row r="46" spans="1:80" ht="13">
      <c r="A46" s="436">
        <f t="shared" si="210"/>
        <v>112014533</v>
      </c>
      <c r="B46" s="93">
        <f t="shared" si="211"/>
        <v>4</v>
      </c>
      <c r="C46" s="558" t="str">
        <f t="shared" si="266"/>
        <v>Lista</v>
      </c>
      <c r="D46" s="558">
        <f t="shared" si="267"/>
        <v>0.2</v>
      </c>
      <c r="E46" s="715">
        <f t="shared" si="268"/>
        <v>0</v>
      </c>
      <c r="F46" s="701">
        <f t="shared" si="212"/>
        <v>4</v>
      </c>
      <c r="G46" s="700" t="str">
        <f t="shared" si="269"/>
        <v>Lista</v>
      </c>
      <c r="H46" s="700">
        <f t="shared" si="270"/>
        <v>0.2</v>
      </c>
      <c r="I46" s="702">
        <f t="shared" si="271"/>
        <v>0</v>
      </c>
      <c r="J46" s="837">
        <f t="shared" si="213"/>
        <v>70</v>
      </c>
      <c r="K46" s="699" t="str">
        <f t="shared" si="214"/>
        <v>Lista</v>
      </c>
      <c r="L46" s="1040">
        <f t="shared" si="215"/>
        <v>0.11</v>
      </c>
      <c r="M46" s="139" t="s">
        <v>1038</v>
      </c>
      <c r="N46" s="123">
        <f t="shared" si="272"/>
        <v>0</v>
      </c>
      <c r="O46" s="326">
        <f t="shared" si="315"/>
        <v>0</v>
      </c>
      <c r="P46" s="704">
        <f t="shared" si="273"/>
        <v>0</v>
      </c>
      <c r="Q46" s="704">
        <f t="shared" si="274"/>
        <v>185528.48</v>
      </c>
      <c r="R46" s="704">
        <f t="shared" si="275"/>
        <v>185528.48</v>
      </c>
      <c r="S46" s="326">
        <f t="shared" si="276"/>
        <v>185528.48</v>
      </c>
      <c r="T46" s="137" t="str">
        <f t="shared" si="316"/>
        <v/>
      </c>
      <c r="U46" s="332">
        <f t="shared" si="277"/>
        <v>0</v>
      </c>
      <c r="V46" s="141">
        <f t="shared" si="317"/>
        <v>0</v>
      </c>
      <c r="W46" s="113">
        <f t="shared" si="278"/>
        <v>0</v>
      </c>
      <c r="X46" s="704">
        <f t="shared" si="279"/>
        <v>708994.32</v>
      </c>
      <c r="Y46" s="117">
        <f t="shared" si="280"/>
        <v>708994.32</v>
      </c>
      <c r="Z46" s="123">
        <f t="shared" si="281"/>
        <v>708994.32</v>
      </c>
      <c r="AA46" s="98" t="str">
        <f t="shared" si="318"/>
        <v/>
      </c>
      <c r="AB46" s="123">
        <f t="shared" si="282"/>
        <v>0</v>
      </c>
      <c r="AC46" s="326">
        <f t="shared" si="319"/>
        <v>0</v>
      </c>
      <c r="AD46" s="326">
        <f t="shared" si="283"/>
        <v>0</v>
      </c>
      <c r="AE46" s="326">
        <f t="shared" si="284"/>
        <v>0</v>
      </c>
      <c r="AF46" s="326">
        <f t="shared" si="285"/>
        <v>0</v>
      </c>
      <c r="AG46" s="326">
        <f t="shared" si="286"/>
        <v>0</v>
      </c>
      <c r="AH46" s="494" t="str">
        <f t="shared" si="320"/>
        <v/>
      </c>
      <c r="AI46" s="141">
        <f t="shared" si="287"/>
        <v>0</v>
      </c>
      <c r="AJ46" s="416">
        <f t="shared" si="321"/>
        <v>1155132</v>
      </c>
      <c r="AK46" s="326">
        <f t="shared" ref="AK46:AM46" si="331">SUM(P46,W46,AD46)</f>
        <v>0</v>
      </c>
      <c r="AL46" s="326">
        <f t="shared" si="331"/>
        <v>894522.79999999993</v>
      </c>
      <c r="AM46" s="326">
        <f t="shared" si="331"/>
        <v>894522.79999999993</v>
      </c>
      <c r="AN46" s="326">
        <f t="shared" si="289"/>
        <v>894522.79999999993</v>
      </c>
      <c r="AO46" s="98" t="str">
        <f t="shared" si="323"/>
        <v/>
      </c>
      <c r="AP46" s="125">
        <f t="shared" si="290"/>
        <v>0</v>
      </c>
      <c r="AQ46" s="140">
        <f t="shared" si="291"/>
        <v>0</v>
      </c>
      <c r="AR46" s="123">
        <f t="shared" si="292"/>
        <v>262789.59999999998</v>
      </c>
      <c r="AS46" s="148">
        <f t="shared" si="293"/>
        <v>262789.59999999998</v>
      </c>
      <c r="AT46" s="125">
        <f t="shared" si="294"/>
        <v>0</v>
      </c>
      <c r="AU46" s="140">
        <f t="shared" si="295"/>
        <v>0</v>
      </c>
      <c r="AV46" s="326">
        <f t="shared" si="296"/>
        <v>316524.32</v>
      </c>
      <c r="AW46" s="333">
        <f t="shared" si="297"/>
        <v>316524.32</v>
      </c>
      <c r="AX46" s="125">
        <f t="shared" si="298"/>
        <v>0</v>
      </c>
      <c r="AY46" s="1041">
        <f t="shared" si="299"/>
        <v>0</v>
      </c>
      <c r="AZ46" s="123">
        <f t="shared" si="300"/>
        <v>595737.36</v>
      </c>
      <c r="BA46" s="125">
        <f t="shared" si="301"/>
        <v>595737.36</v>
      </c>
      <c r="BB46" s="122">
        <f t="shared" ref="BB46:BD46" si="332">SUM(AY46,AU46,AQ46)</f>
        <v>0</v>
      </c>
      <c r="BC46" s="326">
        <f t="shared" si="332"/>
        <v>1175051.2799999998</v>
      </c>
      <c r="BD46" s="333">
        <f t="shared" si="332"/>
        <v>1175051.2799999998</v>
      </c>
      <c r="BE46" s="123">
        <f t="shared" si="303"/>
        <v>1175051.2799999998</v>
      </c>
      <c r="BF46" s="326">
        <f t="shared" ref="BF46:BG46" si="333">BC46+AL46</f>
        <v>2069574.0799999996</v>
      </c>
      <c r="BG46" s="435">
        <f t="shared" si="333"/>
        <v>2069574.0799999996</v>
      </c>
      <c r="BH46" s="125">
        <f t="shared" si="305"/>
        <v>0</v>
      </c>
      <c r="BI46" s="1041">
        <f t="shared" si="306"/>
        <v>0</v>
      </c>
      <c r="BJ46" s="326">
        <f t="shared" si="307"/>
        <v>177976.64</v>
      </c>
      <c r="BK46" s="1045">
        <f t="shared" si="308"/>
        <v>177976.64</v>
      </c>
      <c r="BL46" s="125">
        <f t="shared" si="309"/>
        <v>208840.3</v>
      </c>
      <c r="BM46" s="141">
        <f t="shared" si="310"/>
        <v>0</v>
      </c>
      <c r="BN46" s="332">
        <f t="shared" si="311"/>
        <v>67585.440000000002</v>
      </c>
      <c r="BO46" s="333">
        <f t="shared" si="312"/>
        <v>67585.440000000002</v>
      </c>
      <c r="BP46" s="125">
        <f t="shared" si="313"/>
        <v>418182.16</v>
      </c>
      <c r="BQ46" s="140">
        <f t="shared" si="53"/>
        <v>0</v>
      </c>
      <c r="BR46" s="123">
        <f t="shared" si="219"/>
        <v>0</v>
      </c>
      <c r="BS46" s="148">
        <f t="shared" si="220"/>
        <v>0</v>
      </c>
      <c r="BT46" s="140">
        <f t="shared" ref="BT46:BV46" si="334">SUM(BQ46,BM46,BI46)</f>
        <v>0</v>
      </c>
      <c r="BU46" s="123">
        <f t="shared" si="334"/>
        <v>245562.08000000002</v>
      </c>
      <c r="BV46" s="148">
        <f t="shared" si="334"/>
        <v>245562.08000000002</v>
      </c>
      <c r="BW46" s="125">
        <f t="shared" si="222"/>
        <v>385827.44</v>
      </c>
      <c r="BX46" s="140">
        <f t="shared" si="58"/>
        <v>0</v>
      </c>
      <c r="BY46" s="123">
        <f t="shared" si="223"/>
        <v>80928.320000000007</v>
      </c>
      <c r="BZ46" s="148">
        <f t="shared" si="224"/>
        <v>80928.320000000007</v>
      </c>
      <c r="CA46" s="123">
        <f t="shared" si="225"/>
        <v>499439.28</v>
      </c>
      <c r="CB46" s="326">
        <f t="shared" si="226"/>
        <v>269865.28000000003</v>
      </c>
    </row>
    <row r="47" spans="1:80" ht="13">
      <c r="A47" s="436">
        <f t="shared" si="210"/>
        <v>112014670</v>
      </c>
      <c r="B47" s="93">
        <f t="shared" si="211"/>
        <v>4</v>
      </c>
      <c r="C47" s="558" t="str">
        <f t="shared" si="266"/>
        <v>Lista</v>
      </c>
      <c r="D47" s="558">
        <f t="shared" si="267"/>
        <v>0.2</v>
      </c>
      <c r="E47" s="715">
        <f t="shared" si="268"/>
        <v>0</v>
      </c>
      <c r="F47" s="701">
        <f t="shared" si="212"/>
        <v>4</v>
      </c>
      <c r="G47" s="700" t="str">
        <f t="shared" si="269"/>
        <v>Lista</v>
      </c>
      <c r="H47" s="700">
        <f t="shared" si="270"/>
        <v>0.2</v>
      </c>
      <c r="I47" s="702">
        <f t="shared" si="271"/>
        <v>0</v>
      </c>
      <c r="J47" s="837">
        <f t="shared" si="213"/>
        <v>70</v>
      </c>
      <c r="K47" s="699" t="str">
        <f t="shared" si="214"/>
        <v>Lista</v>
      </c>
      <c r="L47" s="1040">
        <f t="shared" si="215"/>
        <v>0.11</v>
      </c>
      <c r="M47" s="139" t="s">
        <v>1039</v>
      </c>
      <c r="N47" s="123" t="str">
        <f t="shared" si="272"/>
        <v/>
      </c>
      <c r="O47" s="326" t="e">
        <f t="shared" si="315"/>
        <v>#VALUE!</v>
      </c>
      <c r="P47" s="704">
        <f t="shared" si="273"/>
        <v>0</v>
      </c>
      <c r="Q47" s="704">
        <f t="shared" si="274"/>
        <v>0</v>
      </c>
      <c r="R47" s="704">
        <f t="shared" si="275"/>
        <v>0</v>
      </c>
      <c r="S47" s="326" t="e">
        <f t="shared" si="276"/>
        <v>#VALUE!</v>
      </c>
      <c r="T47" s="137" t="str">
        <f t="shared" si="316"/>
        <v/>
      </c>
      <c r="U47" s="332" t="str">
        <f t="shared" si="277"/>
        <v/>
      </c>
      <c r="V47" s="141" t="e">
        <f t="shared" si="317"/>
        <v>#VALUE!</v>
      </c>
      <c r="W47" s="113">
        <f t="shared" si="278"/>
        <v>0</v>
      </c>
      <c r="X47" s="704">
        <f t="shared" si="279"/>
        <v>0</v>
      </c>
      <c r="Y47" s="117">
        <f t="shared" si="280"/>
        <v>0</v>
      </c>
      <c r="Z47" s="123" t="e">
        <f t="shared" si="281"/>
        <v>#VALUE!</v>
      </c>
      <c r="AA47" s="98" t="str">
        <f t="shared" si="318"/>
        <v/>
      </c>
      <c r="AB47" s="123" t="str">
        <f t="shared" si="282"/>
        <v/>
      </c>
      <c r="AC47" s="326" t="e">
        <f t="shared" si="319"/>
        <v>#VALUE!</v>
      </c>
      <c r="AD47" s="326">
        <f t="shared" si="283"/>
        <v>0</v>
      </c>
      <c r="AE47" s="326">
        <f t="shared" si="284"/>
        <v>0</v>
      </c>
      <c r="AF47" s="326">
        <f t="shared" si="285"/>
        <v>0</v>
      </c>
      <c r="AG47" s="326" t="e">
        <f t="shared" si="286"/>
        <v>#VALUE!</v>
      </c>
      <c r="AH47" s="494" t="str">
        <f t="shared" si="320"/>
        <v/>
      </c>
      <c r="AI47" s="141" t="e">
        <f t="shared" si="287"/>
        <v>#VALUE!</v>
      </c>
      <c r="AJ47" s="416" t="str">
        <f t="shared" si="321"/>
        <v>0</v>
      </c>
      <c r="AK47" s="326">
        <f t="shared" ref="AK47:AM47" si="335">SUM(P47,W47,AD47)</f>
        <v>0</v>
      </c>
      <c r="AL47" s="326">
        <f t="shared" si="335"/>
        <v>0</v>
      </c>
      <c r="AM47" s="326">
        <f t="shared" si="335"/>
        <v>0</v>
      </c>
      <c r="AN47" s="326" t="e">
        <f t="shared" si="289"/>
        <v>#VALUE!</v>
      </c>
      <c r="AO47" s="98" t="str">
        <f t="shared" si="323"/>
        <v/>
      </c>
      <c r="AP47" s="125" t="str">
        <f t="shared" si="290"/>
        <v/>
      </c>
      <c r="AQ47" s="140">
        <f t="shared" si="291"/>
        <v>0</v>
      </c>
      <c r="AR47" s="123">
        <f t="shared" si="292"/>
        <v>0</v>
      </c>
      <c r="AS47" s="148">
        <f t="shared" si="293"/>
        <v>0</v>
      </c>
      <c r="AT47" s="125" t="str">
        <f t="shared" si="294"/>
        <v/>
      </c>
      <c r="AU47" s="140">
        <f t="shared" si="295"/>
        <v>0</v>
      </c>
      <c r="AV47" s="326">
        <f t="shared" si="296"/>
        <v>502400.57</v>
      </c>
      <c r="AW47" s="333">
        <f t="shared" si="297"/>
        <v>502400.57</v>
      </c>
      <c r="AX47" s="125" t="str">
        <f t="shared" si="298"/>
        <v/>
      </c>
      <c r="AY47" s="1041">
        <f t="shared" si="299"/>
        <v>78257.59999999986</v>
      </c>
      <c r="AZ47" s="123">
        <f t="shared" si="300"/>
        <v>1705354.06</v>
      </c>
      <c r="BA47" s="125">
        <f t="shared" si="301"/>
        <v>1783611.66</v>
      </c>
      <c r="BB47" s="122">
        <f t="shared" ref="BB47:BD47" si="336">SUM(AY47,AU47,AQ47)</f>
        <v>78257.59999999986</v>
      </c>
      <c r="BC47" s="326">
        <f t="shared" si="336"/>
        <v>2207754.63</v>
      </c>
      <c r="BD47" s="333">
        <f t="shared" si="336"/>
        <v>2286012.23</v>
      </c>
      <c r="BE47" s="123">
        <f t="shared" si="303"/>
        <v>2286012.23</v>
      </c>
      <c r="BF47" s="326">
        <f t="shared" ref="BF47:BG47" si="337">BC47+AL47</f>
        <v>2207754.63</v>
      </c>
      <c r="BG47" s="435">
        <f t="shared" si="337"/>
        <v>2286012.23</v>
      </c>
      <c r="BH47" s="125" t="str">
        <f t="shared" si="305"/>
        <v/>
      </c>
      <c r="BI47" s="1041">
        <f t="shared" si="306"/>
        <v>0</v>
      </c>
      <c r="BJ47" s="326">
        <f t="shared" si="307"/>
        <v>3326916.63</v>
      </c>
      <c r="BK47" s="1045">
        <f t="shared" si="308"/>
        <v>3326916.63</v>
      </c>
      <c r="BL47" s="125" t="str">
        <f t="shared" si="309"/>
        <v/>
      </c>
      <c r="BM47" s="141">
        <f t="shared" si="310"/>
        <v>18350.560000000522</v>
      </c>
      <c r="BN47" s="332">
        <f t="shared" si="311"/>
        <v>4551443.0999999996</v>
      </c>
      <c r="BO47" s="333">
        <f t="shared" si="312"/>
        <v>4569793.66</v>
      </c>
      <c r="BP47" s="125" t="str">
        <f t="shared" si="313"/>
        <v/>
      </c>
      <c r="BQ47" s="140">
        <f t="shared" si="53"/>
        <v>0</v>
      </c>
      <c r="BR47" s="123">
        <f t="shared" si="219"/>
        <v>1553539.2</v>
      </c>
      <c r="BS47" s="148">
        <f t="shared" si="220"/>
        <v>1553539.2</v>
      </c>
      <c r="BT47" s="140">
        <f t="shared" ref="BT47:BV47" si="338">SUM(BQ47,BM47,BI47)</f>
        <v>18350.560000000522</v>
      </c>
      <c r="BU47" s="123">
        <f t="shared" si="338"/>
        <v>9431898.9299999997</v>
      </c>
      <c r="BV47" s="148">
        <f t="shared" si="338"/>
        <v>9450249.4900000002</v>
      </c>
      <c r="BW47" s="125" t="str">
        <f t="shared" si="222"/>
        <v/>
      </c>
      <c r="BX47" s="140">
        <f t="shared" si="58"/>
        <v>25131.85999999987</v>
      </c>
      <c r="BY47" s="123">
        <f t="shared" si="223"/>
        <v>3632180.69</v>
      </c>
      <c r="BZ47" s="148">
        <f t="shared" si="224"/>
        <v>3657312.55</v>
      </c>
      <c r="CA47" s="123" t="str">
        <f t="shared" si="225"/>
        <v/>
      </c>
      <c r="CB47" s="326" t="str">
        <f t="shared" si="226"/>
        <v/>
      </c>
    </row>
    <row r="48" spans="1:80" ht="13">
      <c r="A48" s="436">
        <f t="shared" si="210"/>
        <v>112011404</v>
      </c>
      <c r="B48" s="93">
        <f t="shared" si="211"/>
        <v>30</v>
      </c>
      <c r="C48" s="558">
        <f t="shared" si="266"/>
        <v>0.1</v>
      </c>
      <c r="D48" s="558">
        <f t="shared" si="267"/>
        <v>0.15</v>
      </c>
      <c r="E48" s="715">
        <f t="shared" si="268"/>
        <v>0</v>
      </c>
      <c r="F48" s="701">
        <f t="shared" si="212"/>
        <v>6</v>
      </c>
      <c r="G48" s="700" t="str">
        <f t="shared" si="269"/>
        <v>Lista</v>
      </c>
      <c r="H48" s="700">
        <f t="shared" si="270"/>
        <v>0.15</v>
      </c>
      <c r="I48" s="702">
        <f t="shared" si="271"/>
        <v>0</v>
      </c>
      <c r="J48" s="837">
        <f t="shared" si="213"/>
        <v>70</v>
      </c>
      <c r="K48" s="699" t="str">
        <f t="shared" si="214"/>
        <v>Lista</v>
      </c>
      <c r="L48" s="1040">
        <f t="shared" si="215"/>
        <v>0.11</v>
      </c>
      <c r="M48" s="139" t="s">
        <v>1040</v>
      </c>
      <c r="N48" s="123">
        <f t="shared" si="272"/>
        <v>218845.22</v>
      </c>
      <c r="O48" s="326">
        <v>1800000</v>
      </c>
      <c r="P48" s="704">
        <f t="shared" si="273"/>
        <v>387679.2</v>
      </c>
      <c r="Q48" s="704">
        <f t="shared" si="274"/>
        <v>0</v>
      </c>
      <c r="R48" s="704">
        <f t="shared" si="275"/>
        <v>387679.2</v>
      </c>
      <c r="S48" s="326">
        <f t="shared" si="276"/>
        <v>-1412320.8</v>
      </c>
      <c r="T48" s="137">
        <f>R48/O48</f>
        <v>0.21537733333333334</v>
      </c>
      <c r="U48" s="332">
        <f t="shared" si="277"/>
        <v>1505415.21</v>
      </c>
      <c r="V48" s="141">
        <f t="shared" si="317"/>
        <v>2725892.9561272496</v>
      </c>
      <c r="W48" s="113">
        <f t="shared" si="278"/>
        <v>735499.37</v>
      </c>
      <c r="X48" s="704">
        <f t="shared" si="279"/>
        <v>0</v>
      </c>
      <c r="Y48" s="117">
        <f t="shared" si="280"/>
        <v>735499.37</v>
      </c>
      <c r="Z48" s="123">
        <f t="shared" si="281"/>
        <v>-1990393.5861272495</v>
      </c>
      <c r="AA48" s="98">
        <f>Y48/V48</f>
        <v>0.26981960841373021</v>
      </c>
      <c r="AB48" s="123">
        <f t="shared" si="282"/>
        <v>70679.13</v>
      </c>
      <c r="AC48" s="326">
        <v>1800000</v>
      </c>
      <c r="AD48" s="326">
        <f t="shared" si="283"/>
        <v>432645.15</v>
      </c>
      <c r="AE48" s="326">
        <f t="shared" si="284"/>
        <v>0</v>
      </c>
      <c r="AF48" s="326">
        <f t="shared" si="285"/>
        <v>432645.15</v>
      </c>
      <c r="AG48" s="326">
        <f t="shared" si="286"/>
        <v>-1367354.85</v>
      </c>
      <c r="AH48" s="494">
        <f>AF48/AC48</f>
        <v>0.24035841666666669</v>
      </c>
      <c r="AI48" s="141">
        <f t="shared" si="287"/>
        <v>6325892.9561272496</v>
      </c>
      <c r="AJ48" s="416">
        <f t="shared" si="321"/>
        <v>1878832.06</v>
      </c>
      <c r="AK48" s="326">
        <f t="shared" ref="AK48:AM48" si="339">SUM(P48,W48,AD48)</f>
        <v>1555823.7200000002</v>
      </c>
      <c r="AL48" s="326">
        <f t="shared" si="339"/>
        <v>0</v>
      </c>
      <c r="AM48" s="326">
        <f t="shared" si="339"/>
        <v>1555823.7200000002</v>
      </c>
      <c r="AN48" s="326">
        <f t="shared" si="289"/>
        <v>-4770069.2361272499</v>
      </c>
      <c r="AO48" s="98">
        <f>AM48/AI48</f>
        <v>0.24594531251007526</v>
      </c>
      <c r="AP48" s="125">
        <f t="shared" si="290"/>
        <v>271199.65000000002</v>
      </c>
      <c r="AQ48" s="140">
        <f t="shared" si="291"/>
        <v>366892.71</v>
      </c>
      <c r="AR48" s="123">
        <f t="shared" si="292"/>
        <v>33659.919999999998</v>
      </c>
      <c r="AS48" s="148">
        <f t="shared" si="293"/>
        <v>400552.63</v>
      </c>
      <c r="AT48" s="125">
        <f t="shared" si="294"/>
        <v>264435.64</v>
      </c>
      <c r="AU48" s="140">
        <f t="shared" si="295"/>
        <v>426510.93</v>
      </c>
      <c r="AV48" s="326">
        <f t="shared" si="296"/>
        <v>67319.83</v>
      </c>
      <c r="AW48" s="333">
        <f t="shared" si="297"/>
        <v>493830.76</v>
      </c>
      <c r="AX48" s="125">
        <f t="shared" si="298"/>
        <v>325027.13</v>
      </c>
      <c r="AY48" s="1041">
        <f t="shared" si="299"/>
        <v>512035.47</v>
      </c>
      <c r="AZ48" s="123">
        <f t="shared" si="300"/>
        <v>0</v>
      </c>
      <c r="BA48" s="125">
        <f t="shared" si="301"/>
        <v>512035.47</v>
      </c>
      <c r="BB48" s="122">
        <f t="shared" ref="BB48:BD48" si="340">SUM(AY48,AU48,AQ48)</f>
        <v>1305439.1099999999</v>
      </c>
      <c r="BC48" s="326">
        <f t="shared" si="340"/>
        <v>100979.75</v>
      </c>
      <c r="BD48" s="333">
        <f t="shared" si="340"/>
        <v>1406418.8599999999</v>
      </c>
      <c r="BE48" s="123">
        <f t="shared" si="303"/>
        <v>2962242.58</v>
      </c>
      <c r="BF48" s="326">
        <f t="shared" ref="BF48:BG48" si="341">BC48+AL48</f>
        <v>100979.75</v>
      </c>
      <c r="BG48" s="435">
        <f t="shared" si="341"/>
        <v>2962242.58</v>
      </c>
      <c r="BH48" s="125">
        <f t="shared" si="305"/>
        <v>1020301.63</v>
      </c>
      <c r="BI48" s="1041">
        <f t="shared" si="306"/>
        <v>807915.42</v>
      </c>
      <c r="BJ48" s="326">
        <f t="shared" si="307"/>
        <v>0</v>
      </c>
      <c r="BK48" s="1045">
        <f t="shared" si="308"/>
        <v>807915.42</v>
      </c>
      <c r="BL48" s="125">
        <f t="shared" si="309"/>
        <v>45900</v>
      </c>
      <c r="BM48" s="141">
        <f t="shared" si="310"/>
        <v>1785926.03</v>
      </c>
      <c r="BN48" s="332">
        <f t="shared" si="311"/>
        <v>67319.83</v>
      </c>
      <c r="BO48" s="333">
        <f t="shared" si="312"/>
        <v>1853245.86</v>
      </c>
      <c r="BP48" s="125">
        <f t="shared" si="313"/>
        <v>332023.88</v>
      </c>
      <c r="BQ48" s="140">
        <f t="shared" si="53"/>
        <v>381592.32000000001</v>
      </c>
      <c r="BR48" s="123">
        <f t="shared" si="219"/>
        <v>0</v>
      </c>
      <c r="BS48" s="148">
        <f t="shared" si="220"/>
        <v>381592.32000000001</v>
      </c>
      <c r="BT48" s="140">
        <f t="shared" ref="BT48:BV48" si="342">SUM(BQ48,BM48,BI48)</f>
        <v>2975433.77</v>
      </c>
      <c r="BU48" s="123">
        <f t="shared" si="342"/>
        <v>67319.83</v>
      </c>
      <c r="BV48" s="148">
        <f t="shared" si="342"/>
        <v>3042753.6</v>
      </c>
      <c r="BW48" s="125">
        <f t="shared" si="222"/>
        <v>990224.36</v>
      </c>
      <c r="BX48" s="140">
        <f t="shared" si="58"/>
        <v>1790053.04</v>
      </c>
      <c r="BY48" s="123">
        <f t="shared" si="223"/>
        <v>0</v>
      </c>
      <c r="BZ48" s="148">
        <f t="shared" si="224"/>
        <v>1790053.04</v>
      </c>
      <c r="CA48" s="123">
        <f t="shared" si="225"/>
        <v>602342.5</v>
      </c>
      <c r="CB48" s="326">
        <f t="shared" si="226"/>
        <v>286265.2</v>
      </c>
    </row>
    <row r="49" spans="1:80" ht="13">
      <c r="A49" s="436">
        <f t="shared" si="210"/>
        <v>112012196</v>
      </c>
      <c r="B49" s="93">
        <f t="shared" si="211"/>
        <v>6</v>
      </c>
      <c r="C49" s="558" t="str">
        <f t="shared" si="266"/>
        <v>Lista</v>
      </c>
      <c r="D49" s="558">
        <f t="shared" si="267"/>
        <v>0.15</v>
      </c>
      <c r="E49" s="715">
        <f t="shared" si="268"/>
        <v>0</v>
      </c>
      <c r="F49" s="701">
        <f t="shared" si="212"/>
        <v>6</v>
      </c>
      <c r="G49" s="700" t="str">
        <f t="shared" si="269"/>
        <v>Lista</v>
      </c>
      <c r="H49" s="700">
        <f t="shared" si="270"/>
        <v>0.15</v>
      </c>
      <c r="I49" s="702">
        <f t="shared" si="271"/>
        <v>0</v>
      </c>
      <c r="J49" s="837">
        <f t="shared" si="213"/>
        <v>70</v>
      </c>
      <c r="K49" s="699" t="str">
        <f t="shared" si="214"/>
        <v>Lista</v>
      </c>
      <c r="L49" s="1040">
        <f t="shared" si="215"/>
        <v>0.11</v>
      </c>
      <c r="M49" s="139" t="s">
        <v>1041</v>
      </c>
      <c r="N49" s="123">
        <f t="shared" si="272"/>
        <v>494038.76</v>
      </c>
      <c r="O49" s="326">
        <f t="shared" ref="O49:O51" si="343">(N49*1.601)*1.05</f>
        <v>830503.85749800003</v>
      </c>
      <c r="P49" s="704">
        <f t="shared" si="273"/>
        <v>998850.29</v>
      </c>
      <c r="Q49" s="704">
        <f t="shared" si="274"/>
        <v>0</v>
      </c>
      <c r="R49" s="704">
        <f t="shared" si="275"/>
        <v>998850.29</v>
      </c>
      <c r="S49" s="326">
        <f t="shared" si="276"/>
        <v>168346.43250200001</v>
      </c>
      <c r="T49" s="137">
        <f t="shared" ref="T49:T51" si="344">IFERROR(R49/O49,"")</f>
        <v>1.2027039741984646</v>
      </c>
      <c r="U49" s="332">
        <f t="shared" si="277"/>
        <v>1199040.78</v>
      </c>
      <c r="V49" s="141">
        <f t="shared" si="317"/>
        <v>2171133.1163654998</v>
      </c>
      <c r="W49" s="113">
        <f t="shared" si="278"/>
        <v>1277356.73</v>
      </c>
      <c r="X49" s="704">
        <f t="shared" si="279"/>
        <v>6388.42</v>
      </c>
      <c r="Y49" s="117">
        <f t="shared" si="280"/>
        <v>1283745.1499999999</v>
      </c>
      <c r="Z49" s="123">
        <f t="shared" si="281"/>
        <v>-887387.96636549989</v>
      </c>
      <c r="AA49" s="98">
        <f t="shared" ref="AA49:AA51" si="345">IFERROR(Y49/V49,"")</f>
        <v>0.59127887660292477</v>
      </c>
      <c r="AB49" s="123">
        <f t="shared" si="282"/>
        <v>231681.38</v>
      </c>
      <c r="AC49" s="326">
        <f t="shared" ref="AC49:AC51" si="346">(AB49*1.5955)*1.03</f>
        <v>380737.07104369998</v>
      </c>
      <c r="AD49" s="326">
        <f t="shared" si="283"/>
        <v>264171.94</v>
      </c>
      <c r="AE49" s="326">
        <f t="shared" si="284"/>
        <v>0</v>
      </c>
      <c r="AF49" s="326">
        <f t="shared" si="285"/>
        <v>264171.94</v>
      </c>
      <c r="AG49" s="326">
        <f t="shared" si="286"/>
        <v>-116565.13104369998</v>
      </c>
      <c r="AH49" s="494">
        <f t="shared" ref="AH49:AH51" si="347">IFERROR(AF49/AC49,"")</f>
        <v>0.69384349487123897</v>
      </c>
      <c r="AI49" s="141">
        <f t="shared" si="287"/>
        <v>3382374.0449071997</v>
      </c>
      <c r="AJ49" s="416">
        <f t="shared" si="321"/>
        <v>1585572.41</v>
      </c>
      <c r="AK49" s="326">
        <f t="shared" ref="AK49:AM49" si="348">SUM(P49,W49,AD49)</f>
        <v>2540378.96</v>
      </c>
      <c r="AL49" s="326">
        <f t="shared" si="348"/>
        <v>6388.42</v>
      </c>
      <c r="AM49" s="326">
        <f t="shared" si="348"/>
        <v>2546767.38</v>
      </c>
      <c r="AN49" s="326">
        <f t="shared" si="289"/>
        <v>-835606.6649071998</v>
      </c>
      <c r="AO49" s="98">
        <f t="shared" ref="AO49:AO52" si="349">IFERROR(AM49/AI49,"")</f>
        <v>0.75295261440248962</v>
      </c>
      <c r="AP49" s="125">
        <f t="shared" si="290"/>
        <v>0</v>
      </c>
      <c r="AQ49" s="140">
        <f t="shared" si="291"/>
        <v>851916.51</v>
      </c>
      <c r="AR49" s="123">
        <f t="shared" si="292"/>
        <v>49068.97</v>
      </c>
      <c r="AS49" s="148">
        <f t="shared" si="293"/>
        <v>900985.48</v>
      </c>
      <c r="AT49" s="125">
        <f t="shared" si="294"/>
        <v>918254.33</v>
      </c>
      <c r="AU49" s="140">
        <f t="shared" si="295"/>
        <v>902521.52</v>
      </c>
      <c r="AV49" s="326">
        <f t="shared" si="296"/>
        <v>49068.97</v>
      </c>
      <c r="AW49" s="333">
        <f t="shared" si="297"/>
        <v>951590.49</v>
      </c>
      <c r="AX49" s="125">
        <f t="shared" si="298"/>
        <v>661307.56999999995</v>
      </c>
      <c r="AY49" s="1041">
        <f t="shared" si="299"/>
        <v>95162.69</v>
      </c>
      <c r="AZ49" s="123">
        <f t="shared" si="300"/>
        <v>0</v>
      </c>
      <c r="BA49" s="125">
        <f t="shared" si="301"/>
        <v>95162.69</v>
      </c>
      <c r="BB49" s="122">
        <f t="shared" ref="BB49:BD49" si="350">SUM(AY49,AU49,AQ49)</f>
        <v>1849600.72</v>
      </c>
      <c r="BC49" s="326">
        <f t="shared" si="350"/>
        <v>98137.94</v>
      </c>
      <c r="BD49" s="333">
        <f t="shared" si="350"/>
        <v>1947738.66</v>
      </c>
      <c r="BE49" s="123">
        <f t="shared" si="303"/>
        <v>4488117.62</v>
      </c>
      <c r="BF49" s="326">
        <f t="shared" ref="BF49:BG49" si="351">BC49+AL49</f>
        <v>104526.36</v>
      </c>
      <c r="BG49" s="435">
        <f t="shared" si="351"/>
        <v>4494506.04</v>
      </c>
      <c r="BH49" s="125">
        <f t="shared" si="305"/>
        <v>0</v>
      </c>
      <c r="BI49" s="1041">
        <f t="shared" si="306"/>
        <v>560489.26</v>
      </c>
      <c r="BJ49" s="326">
        <f t="shared" si="307"/>
        <v>171741.4</v>
      </c>
      <c r="BK49" s="1045">
        <f t="shared" si="308"/>
        <v>732230.66</v>
      </c>
      <c r="BL49" s="125">
        <f t="shared" si="309"/>
        <v>703551.72</v>
      </c>
      <c r="BM49" s="141">
        <f t="shared" si="310"/>
        <v>480382.29</v>
      </c>
      <c r="BN49" s="332">
        <f t="shared" si="311"/>
        <v>0</v>
      </c>
      <c r="BO49" s="333">
        <f t="shared" si="312"/>
        <v>480382.29</v>
      </c>
      <c r="BP49" s="125">
        <f t="shared" si="313"/>
        <v>789709.03</v>
      </c>
      <c r="BQ49" s="140">
        <f t="shared" si="53"/>
        <v>325291.70999999996</v>
      </c>
      <c r="BR49" s="123">
        <f t="shared" si="219"/>
        <v>73603.460000000006</v>
      </c>
      <c r="BS49" s="148">
        <f t="shared" si="220"/>
        <v>398895.17</v>
      </c>
      <c r="BT49" s="140">
        <f t="shared" ref="BT49:BV49" si="352">SUM(BQ49,BM49,BI49)</f>
        <v>1366163.26</v>
      </c>
      <c r="BU49" s="123">
        <f t="shared" si="352"/>
        <v>245344.86</v>
      </c>
      <c r="BV49" s="148">
        <f t="shared" si="352"/>
        <v>1611508.12</v>
      </c>
      <c r="BW49" s="125">
        <f t="shared" si="222"/>
        <v>463918.12</v>
      </c>
      <c r="BX49" s="140">
        <f t="shared" si="58"/>
        <v>0</v>
      </c>
      <c r="BY49" s="123">
        <f t="shared" si="223"/>
        <v>0</v>
      </c>
      <c r="BZ49" s="148">
        <f t="shared" si="224"/>
        <v>0</v>
      </c>
      <c r="CA49" s="123">
        <f t="shared" si="225"/>
        <v>957226.72</v>
      </c>
      <c r="CB49" s="326">
        <f t="shared" si="226"/>
        <v>164427.56</v>
      </c>
    </row>
    <row r="50" spans="1:80" ht="13">
      <c r="A50" s="436">
        <f t="shared" si="210"/>
        <v>112012293</v>
      </c>
      <c r="B50" s="93">
        <f t="shared" si="211"/>
        <v>6</v>
      </c>
      <c r="C50" s="558" t="str">
        <f t="shared" si="266"/>
        <v>Lista</v>
      </c>
      <c r="D50" s="558">
        <f t="shared" si="267"/>
        <v>0.15</v>
      </c>
      <c r="E50" s="715">
        <f t="shared" si="268"/>
        <v>0</v>
      </c>
      <c r="F50" s="701">
        <f t="shared" si="212"/>
        <v>6</v>
      </c>
      <c r="G50" s="700" t="str">
        <f t="shared" si="269"/>
        <v>Lista</v>
      </c>
      <c r="H50" s="700">
        <f t="shared" si="270"/>
        <v>0.15</v>
      </c>
      <c r="I50" s="702">
        <f t="shared" si="271"/>
        <v>0</v>
      </c>
      <c r="J50" s="837">
        <f t="shared" si="213"/>
        <v>70</v>
      </c>
      <c r="K50" s="699" t="str">
        <f t="shared" si="214"/>
        <v>Lista</v>
      </c>
      <c r="L50" s="1040">
        <f t="shared" si="215"/>
        <v>0.11</v>
      </c>
      <c r="M50" s="139" t="s">
        <v>1042</v>
      </c>
      <c r="N50" s="123">
        <f t="shared" si="272"/>
        <v>28404.45</v>
      </c>
      <c r="O50" s="326">
        <f t="shared" si="343"/>
        <v>47749.300672500001</v>
      </c>
      <c r="P50" s="704">
        <f t="shared" si="273"/>
        <v>176161.29</v>
      </c>
      <c r="Q50" s="704">
        <f t="shared" si="274"/>
        <v>0</v>
      </c>
      <c r="R50" s="704">
        <f t="shared" si="275"/>
        <v>176161.29</v>
      </c>
      <c r="S50" s="326">
        <f t="shared" si="276"/>
        <v>128411.98932750001</v>
      </c>
      <c r="T50" s="137">
        <f t="shared" si="344"/>
        <v>3.6892957073496082</v>
      </c>
      <c r="U50" s="332">
        <f t="shared" si="277"/>
        <v>34177.629999999997</v>
      </c>
      <c r="V50" s="141">
        <f t="shared" si="317"/>
        <v>61886.289081749994</v>
      </c>
      <c r="W50" s="113">
        <f t="shared" si="278"/>
        <v>580265.75</v>
      </c>
      <c r="X50" s="704">
        <f t="shared" si="279"/>
        <v>42475.27</v>
      </c>
      <c r="Y50" s="117">
        <f t="shared" si="280"/>
        <v>622741.02</v>
      </c>
      <c r="Z50" s="123">
        <f t="shared" si="281"/>
        <v>560854.73091825005</v>
      </c>
      <c r="AA50" s="98">
        <f t="shared" si="345"/>
        <v>10.06266540198229</v>
      </c>
      <c r="AB50" s="123">
        <f t="shared" si="282"/>
        <v>40964.639999999999</v>
      </c>
      <c r="AC50" s="326">
        <f t="shared" si="346"/>
        <v>67319.855613599997</v>
      </c>
      <c r="AD50" s="326">
        <f t="shared" si="283"/>
        <v>0</v>
      </c>
      <c r="AE50" s="326">
        <f t="shared" si="284"/>
        <v>0</v>
      </c>
      <c r="AF50" s="326">
        <f t="shared" si="285"/>
        <v>0</v>
      </c>
      <c r="AG50" s="326">
        <f t="shared" si="286"/>
        <v>-67319.855613599997</v>
      </c>
      <c r="AH50" s="494">
        <f t="shared" si="347"/>
        <v>0</v>
      </c>
      <c r="AI50" s="141">
        <f t="shared" si="287"/>
        <v>176955.44536784998</v>
      </c>
      <c r="AJ50" s="416">
        <f t="shared" si="321"/>
        <v>383539.87</v>
      </c>
      <c r="AK50" s="326">
        <f t="shared" ref="AK50:AM50" si="353">SUM(P50,W50,AD50)</f>
        <v>756427.04</v>
      </c>
      <c r="AL50" s="326">
        <f t="shared" si="353"/>
        <v>42475.27</v>
      </c>
      <c r="AM50" s="326">
        <f t="shared" si="353"/>
        <v>798902.31</v>
      </c>
      <c r="AN50" s="326">
        <f t="shared" si="289"/>
        <v>621946.86463215004</v>
      </c>
      <c r="AO50" s="98">
        <f t="shared" si="349"/>
        <v>4.5147088202867369</v>
      </c>
      <c r="AP50" s="125">
        <f t="shared" si="290"/>
        <v>10911.1</v>
      </c>
      <c r="AQ50" s="140">
        <f t="shared" si="291"/>
        <v>88127.55</v>
      </c>
      <c r="AR50" s="123">
        <f t="shared" si="292"/>
        <v>39657.94</v>
      </c>
      <c r="AS50" s="148">
        <f t="shared" si="293"/>
        <v>127785.49</v>
      </c>
      <c r="AT50" s="125">
        <f t="shared" si="294"/>
        <v>100448.86</v>
      </c>
      <c r="AU50" s="140">
        <f t="shared" si="295"/>
        <v>15928.330000000002</v>
      </c>
      <c r="AV50" s="326">
        <f t="shared" si="296"/>
        <v>75300.649999999994</v>
      </c>
      <c r="AW50" s="333">
        <f t="shared" si="297"/>
        <v>91228.98</v>
      </c>
      <c r="AX50" s="125">
        <f t="shared" si="298"/>
        <v>164326.35999999999</v>
      </c>
      <c r="AY50" s="1041">
        <f t="shared" si="299"/>
        <v>95239.88</v>
      </c>
      <c r="AZ50" s="123">
        <f t="shared" si="300"/>
        <v>67319.66</v>
      </c>
      <c r="BA50" s="125">
        <f t="shared" si="301"/>
        <v>162559.54</v>
      </c>
      <c r="BB50" s="122">
        <f t="shared" ref="BB50:BD50" si="354">SUM(AY50,AU50,AQ50)</f>
        <v>199295.76</v>
      </c>
      <c r="BC50" s="326">
        <f t="shared" si="354"/>
        <v>182278.25</v>
      </c>
      <c r="BD50" s="333">
        <f t="shared" si="354"/>
        <v>381574.01</v>
      </c>
      <c r="BE50" s="123">
        <f t="shared" si="303"/>
        <v>1138001.05</v>
      </c>
      <c r="BF50" s="326">
        <f t="shared" ref="BF50:BG50" si="355">BC50+AL50</f>
        <v>224753.52</v>
      </c>
      <c r="BG50" s="435">
        <f t="shared" si="355"/>
        <v>1180476.32</v>
      </c>
      <c r="BH50" s="125">
        <f t="shared" si="305"/>
        <v>70537.52</v>
      </c>
      <c r="BI50" s="1041">
        <f t="shared" si="306"/>
        <v>0</v>
      </c>
      <c r="BJ50" s="326">
        <f t="shared" si="307"/>
        <v>0</v>
      </c>
      <c r="BK50" s="1045">
        <f t="shared" si="308"/>
        <v>0</v>
      </c>
      <c r="BL50" s="125">
        <f t="shared" si="309"/>
        <v>0</v>
      </c>
      <c r="BM50" s="141">
        <f t="shared" si="310"/>
        <v>0</v>
      </c>
      <c r="BN50" s="332">
        <f t="shared" si="311"/>
        <v>0</v>
      </c>
      <c r="BO50" s="333">
        <f t="shared" si="312"/>
        <v>0</v>
      </c>
      <c r="BP50" s="125">
        <f t="shared" si="313"/>
        <v>34324.019999999997</v>
      </c>
      <c r="BQ50" s="140">
        <f t="shared" si="53"/>
        <v>0</v>
      </c>
      <c r="BR50" s="123">
        <f t="shared" si="219"/>
        <v>0</v>
      </c>
      <c r="BS50" s="148">
        <f t="shared" si="220"/>
        <v>0</v>
      </c>
      <c r="BT50" s="140">
        <f t="shared" ref="BT50:BV50" si="356">SUM(BQ50,BM50,BI50)</f>
        <v>0</v>
      </c>
      <c r="BU50" s="123">
        <f t="shared" si="356"/>
        <v>0</v>
      </c>
      <c r="BV50" s="148">
        <f t="shared" si="356"/>
        <v>0</v>
      </c>
      <c r="BW50" s="125">
        <f t="shared" si="222"/>
        <v>29502.32</v>
      </c>
      <c r="BX50" s="140">
        <f t="shared" si="58"/>
        <v>0</v>
      </c>
      <c r="BY50" s="123">
        <f t="shared" si="223"/>
        <v>0</v>
      </c>
      <c r="BZ50" s="148">
        <f t="shared" si="224"/>
        <v>0</v>
      </c>
      <c r="CA50" s="123">
        <f t="shared" si="225"/>
        <v>137128.14000000001</v>
      </c>
      <c r="CB50" s="326">
        <f t="shared" si="226"/>
        <v>216909.41</v>
      </c>
    </row>
    <row r="51" spans="1:80" ht="13">
      <c r="A51" s="436">
        <f t="shared" si="210"/>
        <v>112013097</v>
      </c>
      <c r="B51" s="93">
        <f t="shared" si="211"/>
        <v>6</v>
      </c>
      <c r="C51" s="558" t="str">
        <f t="shared" si="266"/>
        <v>Lista</v>
      </c>
      <c r="D51" s="558">
        <f t="shared" si="267"/>
        <v>0.15</v>
      </c>
      <c r="E51" s="715">
        <f t="shared" si="268"/>
        <v>0</v>
      </c>
      <c r="F51" s="701">
        <f t="shared" si="212"/>
        <v>6</v>
      </c>
      <c r="G51" s="700" t="str">
        <f t="shared" si="269"/>
        <v>Lista</v>
      </c>
      <c r="H51" s="700">
        <f t="shared" si="270"/>
        <v>0.15</v>
      </c>
      <c r="I51" s="702">
        <f t="shared" si="271"/>
        <v>0</v>
      </c>
      <c r="J51" s="837">
        <f t="shared" si="213"/>
        <v>70</v>
      </c>
      <c r="K51" s="699" t="str">
        <f t="shared" si="214"/>
        <v>Lista</v>
      </c>
      <c r="L51" s="1040">
        <f t="shared" si="215"/>
        <v>0.11</v>
      </c>
      <c r="M51" s="139" t="s">
        <v>1043</v>
      </c>
      <c r="N51" s="123">
        <f t="shared" si="272"/>
        <v>245546.2</v>
      </c>
      <c r="O51" s="326">
        <f t="shared" si="343"/>
        <v>412775.43951000005</v>
      </c>
      <c r="P51" s="704">
        <f t="shared" si="273"/>
        <v>0</v>
      </c>
      <c r="Q51" s="704">
        <f t="shared" si="274"/>
        <v>0</v>
      </c>
      <c r="R51" s="704">
        <f t="shared" si="275"/>
        <v>0</v>
      </c>
      <c r="S51" s="326">
        <f t="shared" si="276"/>
        <v>-412775.43951000005</v>
      </c>
      <c r="T51" s="137">
        <f t="shared" si="344"/>
        <v>0</v>
      </c>
      <c r="U51" s="332">
        <f t="shared" si="277"/>
        <v>751653.62</v>
      </c>
      <c r="V51" s="141">
        <f t="shared" si="317"/>
        <v>1361038.0010745001</v>
      </c>
      <c r="W51" s="113">
        <f t="shared" si="278"/>
        <v>0</v>
      </c>
      <c r="X51" s="704">
        <f t="shared" si="279"/>
        <v>680397.1</v>
      </c>
      <c r="Y51" s="117">
        <f t="shared" si="280"/>
        <v>680397.1</v>
      </c>
      <c r="Z51" s="123">
        <f t="shared" si="281"/>
        <v>-680640.90107450017</v>
      </c>
      <c r="AA51" s="98">
        <f t="shared" si="345"/>
        <v>0.49991043561079568</v>
      </c>
      <c r="AB51" s="123">
        <f t="shared" si="282"/>
        <v>0</v>
      </c>
      <c r="AC51" s="326">
        <f t="shared" si="346"/>
        <v>0</v>
      </c>
      <c r="AD51" s="326">
        <f t="shared" si="283"/>
        <v>381894.09</v>
      </c>
      <c r="AE51" s="326">
        <f t="shared" si="284"/>
        <v>0</v>
      </c>
      <c r="AF51" s="326">
        <f t="shared" si="285"/>
        <v>381894.09</v>
      </c>
      <c r="AG51" s="326">
        <f t="shared" si="286"/>
        <v>381894.09</v>
      </c>
      <c r="AH51" s="494" t="str">
        <f t="shared" si="347"/>
        <v/>
      </c>
      <c r="AI51" s="141">
        <f t="shared" si="287"/>
        <v>1773813.4405845003</v>
      </c>
      <c r="AJ51" s="416">
        <f t="shared" si="321"/>
        <v>1337121.3799999999</v>
      </c>
      <c r="AK51" s="326">
        <f t="shared" ref="AK51:AM51" si="357">SUM(P51,W51,AD51)</f>
        <v>381894.09</v>
      </c>
      <c r="AL51" s="326">
        <f t="shared" si="357"/>
        <v>680397.1</v>
      </c>
      <c r="AM51" s="326">
        <f t="shared" si="357"/>
        <v>1062291.19</v>
      </c>
      <c r="AN51" s="326">
        <f t="shared" si="289"/>
        <v>-711522.25058450038</v>
      </c>
      <c r="AO51" s="98">
        <f t="shared" si="349"/>
        <v>0.59887424781828114</v>
      </c>
      <c r="AP51" s="125">
        <f t="shared" si="290"/>
        <v>0</v>
      </c>
      <c r="AQ51" s="140">
        <f t="shared" si="291"/>
        <v>504053.4</v>
      </c>
      <c r="AR51" s="123">
        <f t="shared" si="292"/>
        <v>0</v>
      </c>
      <c r="AS51" s="148">
        <f t="shared" si="293"/>
        <v>504053.4</v>
      </c>
      <c r="AT51" s="125">
        <f t="shared" si="294"/>
        <v>272916.63</v>
      </c>
      <c r="AU51" s="140">
        <f t="shared" si="295"/>
        <v>0</v>
      </c>
      <c r="AV51" s="326">
        <f t="shared" si="296"/>
        <v>554222.69999999995</v>
      </c>
      <c r="AW51" s="333">
        <f t="shared" si="297"/>
        <v>554222.69999999995</v>
      </c>
      <c r="AX51" s="125">
        <f t="shared" si="298"/>
        <v>451889.36</v>
      </c>
      <c r="AY51" s="1041">
        <f t="shared" si="299"/>
        <v>0</v>
      </c>
      <c r="AZ51" s="123">
        <f t="shared" si="300"/>
        <v>0</v>
      </c>
      <c r="BA51" s="125">
        <f t="shared" si="301"/>
        <v>0</v>
      </c>
      <c r="BB51" s="122">
        <f t="shared" ref="BB51:BD51" si="358">SUM(AY51,AU51,AQ51)</f>
        <v>504053.4</v>
      </c>
      <c r="BC51" s="326">
        <f t="shared" si="358"/>
        <v>554222.69999999995</v>
      </c>
      <c r="BD51" s="333">
        <f t="shared" si="358"/>
        <v>1058276.1000000001</v>
      </c>
      <c r="BE51" s="123">
        <f t="shared" si="303"/>
        <v>1440170.1900000002</v>
      </c>
      <c r="BF51" s="326">
        <f t="shared" ref="BF51:BG51" si="359">BC51+AL51</f>
        <v>1234619.7999999998</v>
      </c>
      <c r="BG51" s="435">
        <f t="shared" si="359"/>
        <v>2120567.29</v>
      </c>
      <c r="BH51" s="125">
        <f t="shared" si="305"/>
        <v>434006.62</v>
      </c>
      <c r="BI51" s="1041">
        <f t="shared" si="306"/>
        <v>0</v>
      </c>
      <c r="BJ51" s="326">
        <f t="shared" si="307"/>
        <v>0</v>
      </c>
      <c r="BK51" s="1045">
        <f t="shared" si="308"/>
        <v>0</v>
      </c>
      <c r="BL51" s="125">
        <f t="shared" si="309"/>
        <v>0</v>
      </c>
      <c r="BM51" s="141">
        <f t="shared" si="310"/>
        <v>0</v>
      </c>
      <c r="BN51" s="332">
        <f t="shared" si="311"/>
        <v>-0.43</v>
      </c>
      <c r="BO51" s="333">
        <f t="shared" si="312"/>
        <v>-0.43</v>
      </c>
      <c r="BP51" s="125">
        <f t="shared" si="313"/>
        <v>0</v>
      </c>
      <c r="BQ51" s="140">
        <f t="shared" si="53"/>
        <v>0</v>
      </c>
      <c r="BR51" s="123">
        <f t="shared" si="219"/>
        <v>0</v>
      </c>
      <c r="BS51" s="148">
        <f t="shared" si="220"/>
        <v>0</v>
      </c>
      <c r="BT51" s="140">
        <f t="shared" ref="BT51:BV51" si="360">SUM(BQ51,BM51,BI51)</f>
        <v>0</v>
      </c>
      <c r="BU51" s="123">
        <f t="shared" si="360"/>
        <v>-0.43</v>
      </c>
      <c r="BV51" s="148">
        <f t="shared" si="360"/>
        <v>-0.43</v>
      </c>
      <c r="BW51" s="125">
        <f t="shared" si="222"/>
        <v>1337121.3799999999</v>
      </c>
      <c r="BX51" s="140">
        <f t="shared" si="58"/>
        <v>0</v>
      </c>
      <c r="BY51" s="123">
        <f t="shared" si="223"/>
        <v>0</v>
      </c>
      <c r="BZ51" s="148">
        <f t="shared" si="224"/>
        <v>0</v>
      </c>
      <c r="CA51" s="123">
        <f t="shared" si="225"/>
        <v>0</v>
      </c>
      <c r="CB51" s="326">
        <f t="shared" si="226"/>
        <v>0</v>
      </c>
    </row>
    <row r="52" spans="1:80" ht="13">
      <c r="A52" s="436">
        <f t="shared" si="210"/>
        <v>112010149</v>
      </c>
      <c r="B52" s="93">
        <f t="shared" si="211"/>
        <v>12</v>
      </c>
      <c r="C52" s="558">
        <f t="shared" si="266"/>
        <v>0.15</v>
      </c>
      <c r="D52" s="558">
        <f t="shared" si="267"/>
        <v>0.09</v>
      </c>
      <c r="E52" s="715">
        <f t="shared" si="268"/>
        <v>0</v>
      </c>
      <c r="F52" s="701">
        <f t="shared" si="212"/>
        <v>1</v>
      </c>
      <c r="G52" s="700" t="str">
        <f t="shared" si="269"/>
        <v>Lista</v>
      </c>
      <c r="H52" s="700">
        <f t="shared" si="270"/>
        <v>0.09</v>
      </c>
      <c r="I52" s="702">
        <f t="shared" si="271"/>
        <v>0</v>
      </c>
      <c r="J52" s="837">
        <f t="shared" si="213"/>
        <v>71</v>
      </c>
      <c r="K52" s="699" t="str">
        <f t="shared" si="214"/>
        <v>Lista</v>
      </c>
      <c r="L52" s="1040">
        <f t="shared" si="215"/>
        <v>0.05</v>
      </c>
      <c r="M52" s="139" t="s">
        <v>1044</v>
      </c>
      <c r="N52" s="123">
        <f t="shared" si="272"/>
        <v>168787.9</v>
      </c>
      <c r="O52" s="561">
        <v>3000000</v>
      </c>
      <c r="P52" s="704">
        <f t="shared" si="273"/>
        <v>0</v>
      </c>
      <c r="Q52" s="704" t="str">
        <f t="shared" si="274"/>
        <v>0</v>
      </c>
      <c r="R52" s="704">
        <f t="shared" si="275"/>
        <v>0</v>
      </c>
      <c r="S52" s="326">
        <f t="shared" si="276"/>
        <v>-3000000</v>
      </c>
      <c r="T52" s="137">
        <f t="shared" ref="T52:T59" si="361">R52/O52</f>
        <v>0</v>
      </c>
      <c r="U52" s="332">
        <f t="shared" si="277"/>
        <v>125900.46</v>
      </c>
      <c r="V52" s="141">
        <v>3000000</v>
      </c>
      <c r="W52" s="113">
        <f t="shared" si="278"/>
        <v>0</v>
      </c>
      <c r="X52" s="704" t="str">
        <f t="shared" si="279"/>
        <v>0</v>
      </c>
      <c r="Y52" s="117">
        <f t="shared" si="280"/>
        <v>0</v>
      </c>
      <c r="Z52" s="123">
        <f t="shared" si="281"/>
        <v>-3000000</v>
      </c>
      <c r="AA52" s="98">
        <f t="shared" ref="AA52:AA59" si="362">Y52/V52</f>
        <v>0</v>
      </c>
      <c r="AB52" s="123">
        <f t="shared" si="282"/>
        <v>0</v>
      </c>
      <c r="AC52" s="326">
        <v>3000000</v>
      </c>
      <c r="AD52" s="326">
        <f t="shared" si="283"/>
        <v>389261.8</v>
      </c>
      <c r="AE52" s="326" t="str">
        <f t="shared" si="284"/>
        <v>0</v>
      </c>
      <c r="AF52" s="326">
        <f t="shared" si="285"/>
        <v>389261.8</v>
      </c>
      <c r="AG52" s="326">
        <f t="shared" si="286"/>
        <v>-2610738.2000000002</v>
      </c>
      <c r="AH52" s="494">
        <f t="shared" ref="AH52:AH59" si="363">AF52/AC52</f>
        <v>0.12975393333333332</v>
      </c>
      <c r="AI52" s="141">
        <f t="shared" si="287"/>
        <v>9000000</v>
      </c>
      <c r="AJ52" s="416">
        <f>VLOOKUP(M52,trim2024,2,FALSE)</f>
        <v>583942.53</v>
      </c>
      <c r="AK52" s="326">
        <f t="shared" ref="AK52:AM52" si="364">SUM(P52,W52,AD52)</f>
        <v>389261.8</v>
      </c>
      <c r="AL52" s="326">
        <f t="shared" si="364"/>
        <v>0</v>
      </c>
      <c r="AM52" s="326">
        <f t="shared" si="364"/>
        <v>389261.8</v>
      </c>
      <c r="AN52" s="326">
        <f t="shared" si="289"/>
        <v>-8610738.1999999993</v>
      </c>
      <c r="AO52" s="98">
        <f t="shared" si="349"/>
        <v>4.3251311111111107E-2</v>
      </c>
      <c r="AP52" s="125">
        <f t="shared" si="290"/>
        <v>193250.85</v>
      </c>
      <c r="AQ52" s="140">
        <f t="shared" si="291"/>
        <v>0</v>
      </c>
      <c r="AR52" s="123" t="str">
        <f t="shared" si="292"/>
        <v>0</v>
      </c>
      <c r="AS52" s="148">
        <f t="shared" si="293"/>
        <v>0</v>
      </c>
      <c r="AT52" s="125">
        <f t="shared" si="294"/>
        <v>0</v>
      </c>
      <c r="AU52" s="140">
        <f t="shared" si="295"/>
        <v>175217.3</v>
      </c>
      <c r="AV52" s="326" t="str">
        <f t="shared" si="296"/>
        <v>0</v>
      </c>
      <c r="AW52" s="333">
        <f t="shared" si="297"/>
        <v>175217.3</v>
      </c>
      <c r="AX52" s="125">
        <f t="shared" si="298"/>
        <v>0</v>
      </c>
      <c r="AY52" s="1041">
        <f t="shared" si="299"/>
        <v>0</v>
      </c>
      <c r="AZ52" s="123" t="str">
        <f t="shared" si="300"/>
        <v>0</v>
      </c>
      <c r="BA52" s="125">
        <f t="shared" si="301"/>
        <v>0</v>
      </c>
      <c r="BB52" s="122">
        <f t="shared" ref="BB52:BD52" si="365">SUM(AY52,AU52,AQ52)</f>
        <v>175217.3</v>
      </c>
      <c r="BC52" s="326">
        <f t="shared" si="365"/>
        <v>0</v>
      </c>
      <c r="BD52" s="333">
        <f t="shared" si="365"/>
        <v>175217.3</v>
      </c>
      <c r="BE52" s="123">
        <f t="shared" si="303"/>
        <v>564479.1</v>
      </c>
      <c r="BF52" s="326">
        <f t="shared" ref="BF52:BG52" si="366">BC52+AL52</f>
        <v>0</v>
      </c>
      <c r="BG52" s="435">
        <f t="shared" si="366"/>
        <v>564479.1</v>
      </c>
      <c r="BH52" s="125">
        <f t="shared" si="305"/>
        <v>0</v>
      </c>
      <c r="BI52" s="1041">
        <f t="shared" si="306"/>
        <v>0</v>
      </c>
      <c r="BJ52" s="326" t="str">
        <f t="shared" si="307"/>
        <v>0</v>
      </c>
      <c r="BK52" s="1045">
        <f t="shared" si="308"/>
        <v>0</v>
      </c>
      <c r="BL52" s="125">
        <f t="shared" si="309"/>
        <v>152548</v>
      </c>
      <c r="BM52" s="141">
        <f t="shared" si="310"/>
        <v>0</v>
      </c>
      <c r="BN52" s="332" t="str">
        <f t="shared" si="311"/>
        <v>0</v>
      </c>
      <c r="BO52" s="333">
        <f t="shared" si="312"/>
        <v>0</v>
      </c>
      <c r="BP52" s="125">
        <f t="shared" si="313"/>
        <v>397751.62</v>
      </c>
      <c r="BQ52" s="140">
        <f t="shared" si="53"/>
        <v>0</v>
      </c>
      <c r="BR52" s="123" t="str">
        <f t="shared" si="219"/>
        <v>0</v>
      </c>
      <c r="BS52" s="148">
        <f t="shared" si="220"/>
        <v>0</v>
      </c>
      <c r="BT52" s="140">
        <f t="shared" ref="BT52:BV52" si="367">SUM(BQ52,BM52,BI52)</f>
        <v>0</v>
      </c>
      <c r="BU52" s="123">
        <f t="shared" si="367"/>
        <v>0</v>
      </c>
      <c r="BV52" s="148">
        <f t="shared" si="367"/>
        <v>0</v>
      </c>
      <c r="BW52" s="125">
        <f t="shared" si="222"/>
        <v>0</v>
      </c>
      <c r="BX52" s="140">
        <f t="shared" si="58"/>
        <v>0</v>
      </c>
      <c r="BY52" s="123" t="str">
        <f t="shared" si="223"/>
        <v>0</v>
      </c>
      <c r="BZ52" s="148">
        <f t="shared" si="224"/>
        <v>0</v>
      </c>
      <c r="CA52" s="123">
        <f t="shared" si="225"/>
        <v>275390.87</v>
      </c>
      <c r="CB52" s="326">
        <f t="shared" si="226"/>
        <v>308551.65999999997</v>
      </c>
    </row>
    <row r="53" spans="1:80" ht="13">
      <c r="A53" s="436">
        <f t="shared" si="210"/>
        <v>112014371</v>
      </c>
      <c r="B53" s="93">
        <f t="shared" si="211"/>
        <v>12</v>
      </c>
      <c r="C53" s="558">
        <f t="shared" si="266"/>
        <v>0.15</v>
      </c>
      <c r="D53" s="558">
        <f t="shared" si="267"/>
        <v>0.09</v>
      </c>
      <c r="E53" s="715">
        <f t="shared" si="268"/>
        <v>0</v>
      </c>
      <c r="F53" s="701">
        <f t="shared" si="212"/>
        <v>1</v>
      </c>
      <c r="G53" s="700" t="str">
        <f t="shared" si="269"/>
        <v>Lista</v>
      </c>
      <c r="H53" s="700">
        <f t="shared" si="270"/>
        <v>0.09</v>
      </c>
      <c r="I53" s="702">
        <f t="shared" si="271"/>
        <v>0</v>
      </c>
      <c r="J53" s="837">
        <f t="shared" si="213"/>
        <v>71</v>
      </c>
      <c r="K53" s="699" t="str">
        <f t="shared" si="214"/>
        <v>Lista</v>
      </c>
      <c r="L53" s="1040">
        <f t="shared" si="215"/>
        <v>0.05</v>
      </c>
      <c r="M53" s="139" t="s">
        <v>1045</v>
      </c>
      <c r="N53" s="123">
        <f t="shared" si="272"/>
        <v>0</v>
      </c>
      <c r="O53" s="561">
        <v>3000000</v>
      </c>
      <c r="P53" s="704">
        <f t="shared" si="273"/>
        <v>473765.3</v>
      </c>
      <c r="Q53" s="704" t="str">
        <f t="shared" si="274"/>
        <v>0</v>
      </c>
      <c r="R53" s="704">
        <f t="shared" si="275"/>
        <v>473765.3</v>
      </c>
      <c r="S53" s="326">
        <f t="shared" si="276"/>
        <v>-2526234.7000000002</v>
      </c>
      <c r="T53" s="137">
        <f t="shared" si="361"/>
        <v>0.15792176666666666</v>
      </c>
      <c r="U53" s="332">
        <f t="shared" si="277"/>
        <v>513422.74</v>
      </c>
      <c r="V53" s="141">
        <v>3000000</v>
      </c>
      <c r="W53" s="113">
        <f t="shared" si="278"/>
        <v>1200961.8600000001</v>
      </c>
      <c r="X53" s="704" t="str">
        <f t="shared" si="279"/>
        <v>0</v>
      </c>
      <c r="Y53" s="117">
        <f t="shared" si="280"/>
        <v>1200961.8600000001</v>
      </c>
      <c r="Z53" s="123">
        <f t="shared" si="281"/>
        <v>-1799038.14</v>
      </c>
      <c r="AA53" s="98">
        <f t="shared" si="362"/>
        <v>0.40032062000000002</v>
      </c>
      <c r="AB53" s="123">
        <f t="shared" si="282"/>
        <v>661389.23</v>
      </c>
      <c r="AC53" s="326">
        <v>3000000</v>
      </c>
      <c r="AD53" s="326">
        <f t="shared" si="283"/>
        <v>36123.699999999997</v>
      </c>
      <c r="AE53" s="326" t="str">
        <f t="shared" si="284"/>
        <v>0</v>
      </c>
      <c r="AF53" s="326">
        <f t="shared" si="285"/>
        <v>36123.699999999997</v>
      </c>
      <c r="AG53" s="326">
        <f t="shared" si="286"/>
        <v>-2963876.3</v>
      </c>
      <c r="AH53" s="494">
        <f t="shared" si="363"/>
        <v>1.2041233333333332E-2</v>
      </c>
      <c r="AI53" s="141">
        <f t="shared" si="287"/>
        <v>9000000</v>
      </c>
      <c r="AJ53" s="416">
        <f t="shared" ref="AJ53:AJ97" si="368">IFERROR(VLOOKUP(M53,trim2024,2,FALSE),"0")</f>
        <v>2633018.34</v>
      </c>
      <c r="AK53" s="326">
        <f t="shared" ref="AK53:AM53" si="369">SUM(P53,W53,AD53)</f>
        <v>1710850.86</v>
      </c>
      <c r="AL53" s="326">
        <f t="shared" si="369"/>
        <v>0</v>
      </c>
      <c r="AM53" s="326">
        <f t="shared" si="369"/>
        <v>1710850.86</v>
      </c>
      <c r="AN53" s="326">
        <f t="shared" si="289"/>
        <v>-7289149.1399999997</v>
      </c>
      <c r="AO53" s="98">
        <f t="shared" ref="AO53:AO59" si="370">AM53/AI53</f>
        <v>0.19009454000000001</v>
      </c>
      <c r="AP53" s="125">
        <f t="shared" si="290"/>
        <v>183431.93</v>
      </c>
      <c r="AQ53" s="140">
        <f t="shared" si="291"/>
        <v>0</v>
      </c>
      <c r="AR53" s="123" t="str">
        <f t="shared" si="292"/>
        <v>0</v>
      </c>
      <c r="AS53" s="148">
        <f t="shared" si="293"/>
        <v>0</v>
      </c>
      <c r="AT53" s="125">
        <f t="shared" si="294"/>
        <v>728860.98</v>
      </c>
      <c r="AU53" s="140">
        <f t="shared" si="295"/>
        <v>0</v>
      </c>
      <c r="AV53" s="326" t="str">
        <f t="shared" si="296"/>
        <v>0</v>
      </c>
      <c r="AW53" s="333">
        <f t="shared" si="297"/>
        <v>0</v>
      </c>
      <c r="AX53" s="125">
        <f t="shared" si="298"/>
        <v>776516.79</v>
      </c>
      <c r="AY53" s="1041">
        <f t="shared" si="299"/>
        <v>0</v>
      </c>
      <c r="AZ53" s="123" t="str">
        <f t="shared" si="300"/>
        <v>0</v>
      </c>
      <c r="BA53" s="125">
        <f t="shared" si="301"/>
        <v>0</v>
      </c>
      <c r="BB53" s="122">
        <f t="shared" ref="BB53:BD53" si="371">SUM(AY53,AU53,AQ53)</f>
        <v>0</v>
      </c>
      <c r="BC53" s="326">
        <f t="shared" si="371"/>
        <v>0</v>
      </c>
      <c r="BD53" s="333">
        <f t="shared" si="371"/>
        <v>0</v>
      </c>
      <c r="BE53" s="123">
        <f t="shared" si="303"/>
        <v>1710850.86</v>
      </c>
      <c r="BF53" s="326">
        <f t="shared" ref="BF53:BG53" si="372">BC53+AL53</f>
        <v>0</v>
      </c>
      <c r="BG53" s="435">
        <f t="shared" si="372"/>
        <v>1710850.86</v>
      </c>
      <c r="BH53" s="125">
        <f t="shared" si="305"/>
        <v>1737201.76</v>
      </c>
      <c r="BI53" s="1041">
        <f t="shared" si="306"/>
        <v>0</v>
      </c>
      <c r="BJ53" s="326" t="str">
        <f t="shared" si="307"/>
        <v>0</v>
      </c>
      <c r="BK53" s="1045">
        <f t="shared" si="308"/>
        <v>0</v>
      </c>
      <c r="BL53" s="125">
        <f t="shared" si="309"/>
        <v>1925862.12</v>
      </c>
      <c r="BM53" s="141">
        <f t="shared" si="310"/>
        <v>0</v>
      </c>
      <c r="BN53" s="332" t="str">
        <f t="shared" si="311"/>
        <v>0</v>
      </c>
      <c r="BO53" s="333">
        <f t="shared" si="312"/>
        <v>0</v>
      </c>
      <c r="BP53" s="125">
        <f t="shared" si="313"/>
        <v>803559</v>
      </c>
      <c r="BQ53" s="140">
        <f t="shared" si="53"/>
        <v>0</v>
      </c>
      <c r="BR53" s="123" t="str">
        <f t="shared" si="219"/>
        <v>0</v>
      </c>
      <c r="BS53" s="148">
        <f t="shared" si="220"/>
        <v>0</v>
      </c>
      <c r="BT53" s="140">
        <f t="shared" ref="BT53:BV53" si="373">SUM(BQ53,BM53,BI53)</f>
        <v>0</v>
      </c>
      <c r="BU53" s="123">
        <f t="shared" si="373"/>
        <v>0</v>
      </c>
      <c r="BV53" s="148">
        <f t="shared" si="373"/>
        <v>0</v>
      </c>
      <c r="BW53" s="125">
        <f t="shared" si="222"/>
        <v>854846.79</v>
      </c>
      <c r="BX53" s="140">
        <f t="shared" si="58"/>
        <v>0</v>
      </c>
      <c r="BY53" s="123" t="str">
        <f t="shared" si="223"/>
        <v>0</v>
      </c>
      <c r="BZ53" s="148">
        <f t="shared" si="224"/>
        <v>0</v>
      </c>
      <c r="CA53" s="123">
        <f t="shared" si="225"/>
        <v>1302239.8600000001</v>
      </c>
      <c r="CB53" s="326">
        <f t="shared" si="226"/>
        <v>475931.69</v>
      </c>
    </row>
    <row r="54" spans="1:80" ht="13">
      <c r="A54" s="436">
        <f t="shared" si="210"/>
        <v>112014497</v>
      </c>
      <c r="B54" s="93">
        <f t="shared" si="211"/>
        <v>12</v>
      </c>
      <c r="C54" s="558">
        <f t="shared" si="266"/>
        <v>0.15</v>
      </c>
      <c r="D54" s="558">
        <f t="shared" si="267"/>
        <v>0.09</v>
      </c>
      <c r="E54" s="715">
        <f t="shared" si="268"/>
        <v>0</v>
      </c>
      <c r="F54" s="701">
        <f t="shared" si="212"/>
        <v>1</v>
      </c>
      <c r="G54" s="700" t="str">
        <f t="shared" si="269"/>
        <v>Lista</v>
      </c>
      <c r="H54" s="700">
        <f t="shared" si="270"/>
        <v>0.09</v>
      </c>
      <c r="I54" s="702">
        <f t="shared" si="271"/>
        <v>0</v>
      </c>
      <c r="J54" s="837">
        <f t="shared" si="213"/>
        <v>71</v>
      </c>
      <c r="K54" s="699" t="str">
        <f t="shared" si="214"/>
        <v>Lista</v>
      </c>
      <c r="L54" s="1040">
        <f t="shared" si="215"/>
        <v>0.05</v>
      </c>
      <c r="M54" s="139" t="s">
        <v>1046</v>
      </c>
      <c r="N54" s="123" t="str">
        <f t="shared" si="272"/>
        <v/>
      </c>
      <c r="O54" s="561">
        <v>3000000</v>
      </c>
      <c r="P54" s="704">
        <f t="shared" si="273"/>
        <v>362647.93</v>
      </c>
      <c r="Q54" s="704" t="str">
        <f t="shared" si="274"/>
        <v>0</v>
      </c>
      <c r="R54" s="704">
        <f t="shared" si="275"/>
        <v>362647.93</v>
      </c>
      <c r="S54" s="326">
        <f t="shared" si="276"/>
        <v>-2637352.0699999998</v>
      </c>
      <c r="T54" s="137">
        <f t="shared" si="361"/>
        <v>0.12088264333333333</v>
      </c>
      <c r="U54" s="332" t="str">
        <f t="shared" si="277"/>
        <v/>
      </c>
      <c r="V54" s="141">
        <v>3000000</v>
      </c>
      <c r="W54" s="113">
        <f t="shared" si="278"/>
        <v>0</v>
      </c>
      <c r="X54" s="704" t="str">
        <f t="shared" si="279"/>
        <v>0</v>
      </c>
      <c r="Y54" s="117">
        <f t="shared" si="280"/>
        <v>0</v>
      </c>
      <c r="Z54" s="123">
        <f t="shared" si="281"/>
        <v>-3000000</v>
      </c>
      <c r="AA54" s="98">
        <f t="shared" si="362"/>
        <v>0</v>
      </c>
      <c r="AB54" s="123" t="str">
        <f t="shared" si="282"/>
        <v/>
      </c>
      <c r="AC54" s="326">
        <v>3000000</v>
      </c>
      <c r="AD54" s="326">
        <f t="shared" si="283"/>
        <v>0</v>
      </c>
      <c r="AE54" s="326" t="str">
        <f t="shared" si="284"/>
        <v>0</v>
      </c>
      <c r="AF54" s="326">
        <f t="shared" si="285"/>
        <v>0</v>
      </c>
      <c r="AG54" s="326">
        <f t="shared" si="286"/>
        <v>-3000000</v>
      </c>
      <c r="AH54" s="494">
        <f t="shared" si="363"/>
        <v>0</v>
      </c>
      <c r="AI54" s="141">
        <f t="shared" si="287"/>
        <v>9000000</v>
      </c>
      <c r="AJ54" s="416" t="str">
        <f t="shared" si="368"/>
        <v>0</v>
      </c>
      <c r="AK54" s="326">
        <f t="shared" ref="AK54:AM54" si="374">SUM(P54,W54,AD54)</f>
        <v>362647.93</v>
      </c>
      <c r="AL54" s="326">
        <f t="shared" si="374"/>
        <v>0</v>
      </c>
      <c r="AM54" s="326">
        <f t="shared" si="374"/>
        <v>362647.93</v>
      </c>
      <c r="AN54" s="326">
        <f t="shared" si="289"/>
        <v>-8637352.0700000003</v>
      </c>
      <c r="AO54" s="98">
        <f t="shared" si="370"/>
        <v>4.0294214444444441E-2</v>
      </c>
      <c r="AP54" s="125" t="str">
        <f t="shared" si="290"/>
        <v/>
      </c>
      <c r="AQ54" s="140">
        <f t="shared" si="291"/>
        <v>492668.5</v>
      </c>
      <c r="AR54" s="123" t="str">
        <f t="shared" si="292"/>
        <v>0</v>
      </c>
      <c r="AS54" s="148">
        <f t="shared" si="293"/>
        <v>492668.5</v>
      </c>
      <c r="AT54" s="125" t="str">
        <f t="shared" si="294"/>
        <v/>
      </c>
      <c r="AU54" s="140">
        <f t="shared" si="295"/>
        <v>0</v>
      </c>
      <c r="AV54" s="326" t="str">
        <f t="shared" si="296"/>
        <v>0</v>
      </c>
      <c r="AW54" s="333">
        <f t="shared" si="297"/>
        <v>0</v>
      </c>
      <c r="AX54" s="125" t="str">
        <f t="shared" si="298"/>
        <v/>
      </c>
      <c r="AY54" s="1041">
        <f t="shared" si="299"/>
        <v>0</v>
      </c>
      <c r="AZ54" s="123" t="str">
        <f t="shared" si="300"/>
        <v>0</v>
      </c>
      <c r="BA54" s="125">
        <f t="shared" si="301"/>
        <v>0</v>
      </c>
      <c r="BB54" s="122">
        <f t="shared" ref="BB54:BD54" si="375">SUM(AY54,AU54,AQ54)</f>
        <v>492668.5</v>
      </c>
      <c r="BC54" s="326">
        <f t="shared" si="375"/>
        <v>0</v>
      </c>
      <c r="BD54" s="333">
        <f t="shared" si="375"/>
        <v>492668.5</v>
      </c>
      <c r="BE54" s="123">
        <f t="shared" si="303"/>
        <v>855316.42999999993</v>
      </c>
      <c r="BF54" s="326">
        <f t="shared" ref="BF54:BG54" si="376">BC54+AL54</f>
        <v>0</v>
      </c>
      <c r="BG54" s="435">
        <f t="shared" si="376"/>
        <v>855316.42999999993</v>
      </c>
      <c r="BH54" s="125" t="str">
        <f t="shared" si="305"/>
        <v/>
      </c>
      <c r="BI54" s="1041">
        <f t="shared" si="306"/>
        <v>228796.75</v>
      </c>
      <c r="BJ54" s="326" t="str">
        <f t="shared" si="307"/>
        <v>0</v>
      </c>
      <c r="BK54" s="1045">
        <f t="shared" si="308"/>
        <v>228796.75</v>
      </c>
      <c r="BL54" s="125" t="str">
        <f t="shared" si="309"/>
        <v/>
      </c>
      <c r="BM54" s="141">
        <f t="shared" si="310"/>
        <v>0</v>
      </c>
      <c r="BN54" s="332" t="str">
        <f t="shared" si="311"/>
        <v>0</v>
      </c>
      <c r="BO54" s="333">
        <f t="shared" si="312"/>
        <v>0</v>
      </c>
      <c r="BP54" s="125" t="str">
        <f t="shared" si="313"/>
        <v/>
      </c>
      <c r="BQ54" s="140">
        <f t="shared" si="53"/>
        <v>0</v>
      </c>
      <c r="BR54" s="123" t="str">
        <f t="shared" si="219"/>
        <v>0</v>
      </c>
      <c r="BS54" s="148">
        <f t="shared" si="220"/>
        <v>0</v>
      </c>
      <c r="BT54" s="140">
        <f t="shared" ref="BT54:BV54" si="377">SUM(BQ54,BM54,BI54)</f>
        <v>228796.75</v>
      </c>
      <c r="BU54" s="123">
        <f t="shared" si="377"/>
        <v>0</v>
      </c>
      <c r="BV54" s="148">
        <f t="shared" si="377"/>
        <v>228796.75</v>
      </c>
      <c r="BW54" s="125" t="str">
        <f t="shared" si="222"/>
        <v/>
      </c>
      <c r="BX54" s="140">
        <f t="shared" si="58"/>
        <v>0</v>
      </c>
      <c r="BY54" s="123" t="str">
        <f t="shared" si="223"/>
        <v>0</v>
      </c>
      <c r="BZ54" s="148">
        <f t="shared" si="224"/>
        <v>0</v>
      </c>
      <c r="CA54" s="123" t="str">
        <f t="shared" si="225"/>
        <v/>
      </c>
      <c r="CB54" s="326" t="str">
        <f t="shared" si="226"/>
        <v/>
      </c>
    </row>
    <row r="55" spans="1:80" ht="13">
      <c r="A55" s="436">
        <f t="shared" si="210"/>
        <v>112011685</v>
      </c>
      <c r="B55" s="93">
        <f t="shared" si="211"/>
        <v>22</v>
      </c>
      <c r="C55" s="558">
        <f t="shared" si="266"/>
        <v>0.1</v>
      </c>
      <c r="D55" s="558">
        <f t="shared" si="267"/>
        <v>0.09</v>
      </c>
      <c r="E55" s="715">
        <f t="shared" si="268"/>
        <v>0</v>
      </c>
      <c r="F55" s="701">
        <f t="shared" si="212"/>
        <v>1</v>
      </c>
      <c r="G55" s="700" t="str">
        <f t="shared" si="269"/>
        <v>Lista</v>
      </c>
      <c r="H55" s="700">
        <f t="shared" si="270"/>
        <v>0.09</v>
      </c>
      <c r="I55" s="702">
        <f t="shared" si="271"/>
        <v>0</v>
      </c>
      <c r="J55" s="837">
        <f t="shared" si="213"/>
        <v>71</v>
      </c>
      <c r="K55" s="699" t="str">
        <f t="shared" si="214"/>
        <v>Lista</v>
      </c>
      <c r="L55" s="1040">
        <f t="shared" si="215"/>
        <v>0.05</v>
      </c>
      <c r="M55" s="163" t="s">
        <v>1047</v>
      </c>
      <c r="N55" s="274">
        <f t="shared" si="272"/>
        <v>232761.44</v>
      </c>
      <c r="O55" s="471">
        <v>1800000</v>
      </c>
      <c r="P55" s="704">
        <f t="shared" si="273"/>
        <v>501087.23</v>
      </c>
      <c r="Q55" s="704" t="str">
        <f t="shared" si="274"/>
        <v>0</v>
      </c>
      <c r="R55" s="704">
        <f t="shared" si="275"/>
        <v>501087.23</v>
      </c>
      <c r="S55" s="326">
        <f t="shared" si="276"/>
        <v>-1298912.77</v>
      </c>
      <c r="T55" s="137">
        <f t="shared" si="361"/>
        <v>0.27838179444444444</v>
      </c>
      <c r="U55" s="332">
        <f t="shared" si="277"/>
        <v>112977.85</v>
      </c>
      <c r="V55" s="141">
        <v>1800000</v>
      </c>
      <c r="W55" s="113">
        <f t="shared" si="278"/>
        <v>565135.67000000004</v>
      </c>
      <c r="X55" s="704" t="str">
        <f t="shared" si="279"/>
        <v>0</v>
      </c>
      <c r="Y55" s="117">
        <f t="shared" si="280"/>
        <v>565135.67000000004</v>
      </c>
      <c r="Z55" s="123">
        <f t="shared" si="281"/>
        <v>-1234864.33</v>
      </c>
      <c r="AA55" s="98">
        <f t="shared" si="362"/>
        <v>0.31396426111111114</v>
      </c>
      <c r="AB55" s="123">
        <f t="shared" si="282"/>
        <v>460486.35</v>
      </c>
      <c r="AC55" s="326">
        <v>1800000</v>
      </c>
      <c r="AD55" s="326">
        <f t="shared" si="283"/>
        <v>50850.06</v>
      </c>
      <c r="AE55" s="326" t="str">
        <f t="shared" si="284"/>
        <v>0</v>
      </c>
      <c r="AF55" s="326">
        <f t="shared" si="285"/>
        <v>50850.06</v>
      </c>
      <c r="AG55" s="326">
        <f t="shared" si="286"/>
        <v>-1749149.94</v>
      </c>
      <c r="AH55" s="494">
        <f t="shared" si="363"/>
        <v>2.825003333333333E-2</v>
      </c>
      <c r="AI55" s="141">
        <f t="shared" si="287"/>
        <v>5400000</v>
      </c>
      <c r="AJ55" s="416">
        <f t="shared" si="368"/>
        <v>1027703.8</v>
      </c>
      <c r="AK55" s="326">
        <f t="shared" ref="AK55:AM55" si="378">SUM(P55,W55,AD55)</f>
        <v>1117072.96</v>
      </c>
      <c r="AL55" s="326">
        <f t="shared" si="378"/>
        <v>0</v>
      </c>
      <c r="AM55" s="326">
        <f t="shared" si="378"/>
        <v>1117072.96</v>
      </c>
      <c r="AN55" s="326">
        <f t="shared" si="289"/>
        <v>-4282927.04</v>
      </c>
      <c r="AO55" s="98">
        <f t="shared" si="370"/>
        <v>0.20686536296296296</v>
      </c>
      <c r="AP55" s="125">
        <f t="shared" si="290"/>
        <v>314564.09000000003</v>
      </c>
      <c r="AQ55" s="140">
        <f t="shared" si="291"/>
        <v>1463157.23</v>
      </c>
      <c r="AR55" s="123" t="str">
        <f t="shared" si="292"/>
        <v>0</v>
      </c>
      <c r="AS55" s="148">
        <f t="shared" si="293"/>
        <v>1463157.23</v>
      </c>
      <c r="AT55" s="125">
        <f t="shared" si="294"/>
        <v>35371.25</v>
      </c>
      <c r="AU55" s="140">
        <f t="shared" si="295"/>
        <v>818048.9</v>
      </c>
      <c r="AV55" s="326" t="str">
        <f t="shared" si="296"/>
        <v>0</v>
      </c>
      <c r="AW55" s="333">
        <f t="shared" si="297"/>
        <v>818048.9</v>
      </c>
      <c r="AX55" s="125">
        <f t="shared" si="298"/>
        <v>0</v>
      </c>
      <c r="AY55" s="1041">
        <f t="shared" si="299"/>
        <v>106415.47</v>
      </c>
      <c r="AZ55" s="123" t="str">
        <f t="shared" si="300"/>
        <v>0</v>
      </c>
      <c r="BA55" s="125">
        <f t="shared" si="301"/>
        <v>106415.47</v>
      </c>
      <c r="BB55" s="122">
        <f t="shared" ref="BB55:BD55" si="379">SUM(AY55,AU55,AQ55)</f>
        <v>2387621.6</v>
      </c>
      <c r="BC55" s="326">
        <f t="shared" si="379"/>
        <v>0</v>
      </c>
      <c r="BD55" s="333">
        <f t="shared" si="379"/>
        <v>2387621.6</v>
      </c>
      <c r="BE55" s="123">
        <f t="shared" si="303"/>
        <v>3504694.56</v>
      </c>
      <c r="BF55" s="326">
        <f t="shared" ref="BF55:BG55" si="380">BC55+AL55</f>
        <v>0</v>
      </c>
      <c r="BG55" s="435">
        <f t="shared" si="380"/>
        <v>3504694.56</v>
      </c>
      <c r="BH55" s="125">
        <f t="shared" si="305"/>
        <v>167265.71</v>
      </c>
      <c r="BI55" s="1041">
        <f t="shared" si="306"/>
        <v>569830.66</v>
      </c>
      <c r="BJ55" s="326" t="str">
        <f t="shared" si="307"/>
        <v>0</v>
      </c>
      <c r="BK55" s="1045">
        <f t="shared" si="308"/>
        <v>569830.66</v>
      </c>
      <c r="BL55" s="125">
        <f t="shared" si="309"/>
        <v>312305.99</v>
      </c>
      <c r="BM55" s="141">
        <f t="shared" si="310"/>
        <v>587517.82999999996</v>
      </c>
      <c r="BN55" s="332" t="str">
        <f t="shared" si="311"/>
        <v>0</v>
      </c>
      <c r="BO55" s="333">
        <f t="shared" si="312"/>
        <v>587517.82999999996</v>
      </c>
      <c r="BP55" s="125">
        <f t="shared" si="313"/>
        <v>178718.72</v>
      </c>
      <c r="BQ55" s="140">
        <f t="shared" si="53"/>
        <v>803614.08</v>
      </c>
      <c r="BR55" s="123" t="str">
        <f t="shared" si="219"/>
        <v>0</v>
      </c>
      <c r="BS55" s="148">
        <f t="shared" si="220"/>
        <v>803614.08</v>
      </c>
      <c r="BT55" s="140">
        <f t="shared" ref="BT55:BV55" si="381">SUM(BQ55,BM55,BI55)</f>
        <v>1960962.5699999998</v>
      </c>
      <c r="BU55" s="123">
        <f t="shared" si="381"/>
        <v>0</v>
      </c>
      <c r="BV55" s="148">
        <f t="shared" si="381"/>
        <v>1960962.5699999998</v>
      </c>
      <c r="BW55" s="125">
        <f t="shared" si="222"/>
        <v>604461.76</v>
      </c>
      <c r="BX55" s="140">
        <f t="shared" si="58"/>
        <v>346622.84</v>
      </c>
      <c r="BY55" s="123" t="str">
        <f t="shared" si="223"/>
        <v>0</v>
      </c>
      <c r="BZ55" s="148">
        <f t="shared" si="224"/>
        <v>346622.84</v>
      </c>
      <c r="CA55" s="123">
        <f t="shared" si="225"/>
        <v>335945.72</v>
      </c>
      <c r="CB55" s="326">
        <f t="shared" si="226"/>
        <v>87296.320000000007</v>
      </c>
    </row>
    <row r="56" spans="1:80" ht="13">
      <c r="A56" s="436">
        <f t="shared" si="210"/>
        <v>112012154</v>
      </c>
      <c r="B56" s="93">
        <f t="shared" si="211"/>
        <v>22</v>
      </c>
      <c r="C56" s="558">
        <f t="shared" si="266"/>
        <v>0.1</v>
      </c>
      <c r="D56" s="558">
        <f t="shared" si="267"/>
        <v>0.09</v>
      </c>
      <c r="E56" s="715">
        <f t="shared" si="268"/>
        <v>0</v>
      </c>
      <c r="F56" s="701">
        <f t="shared" si="212"/>
        <v>1</v>
      </c>
      <c r="G56" s="700" t="str">
        <f t="shared" si="269"/>
        <v>Lista</v>
      </c>
      <c r="H56" s="700">
        <f t="shared" si="270"/>
        <v>0.09</v>
      </c>
      <c r="I56" s="702">
        <f t="shared" si="271"/>
        <v>0</v>
      </c>
      <c r="J56" s="837">
        <f t="shared" si="213"/>
        <v>71</v>
      </c>
      <c r="K56" s="699" t="str">
        <f t="shared" si="214"/>
        <v>Lista</v>
      </c>
      <c r="L56" s="1040">
        <f t="shared" si="215"/>
        <v>0.05</v>
      </c>
      <c r="M56" s="139" t="s">
        <v>1048</v>
      </c>
      <c r="N56" s="123">
        <f t="shared" si="272"/>
        <v>559501.61</v>
      </c>
      <c r="O56" s="326">
        <v>1800000</v>
      </c>
      <c r="P56" s="704">
        <f t="shared" si="273"/>
        <v>962609.98</v>
      </c>
      <c r="Q56" s="704">
        <f t="shared" si="274"/>
        <v>-15313.87</v>
      </c>
      <c r="R56" s="704">
        <f t="shared" si="275"/>
        <v>947296.11</v>
      </c>
      <c r="S56" s="326">
        <f t="shared" si="276"/>
        <v>-852703.89</v>
      </c>
      <c r="T56" s="137">
        <f t="shared" si="361"/>
        <v>0.52627561666666667</v>
      </c>
      <c r="U56" s="332">
        <f t="shared" si="277"/>
        <v>277418.7</v>
      </c>
      <c r="V56" s="141">
        <v>1800000</v>
      </c>
      <c r="W56" s="113">
        <f t="shared" si="278"/>
        <v>303428.14</v>
      </c>
      <c r="X56" s="704">
        <f t="shared" si="279"/>
        <v>174728.57</v>
      </c>
      <c r="Y56" s="117">
        <f t="shared" si="280"/>
        <v>478156.71</v>
      </c>
      <c r="Z56" s="123">
        <f t="shared" si="281"/>
        <v>-1321843.29</v>
      </c>
      <c r="AA56" s="98">
        <f t="shared" si="362"/>
        <v>0.26564261666666666</v>
      </c>
      <c r="AB56" s="123">
        <f t="shared" si="282"/>
        <v>236130.88</v>
      </c>
      <c r="AC56" s="326">
        <v>1800000</v>
      </c>
      <c r="AD56" s="326">
        <f t="shared" si="283"/>
        <v>561970</v>
      </c>
      <c r="AE56" s="326">
        <f t="shared" si="284"/>
        <v>140690.78</v>
      </c>
      <c r="AF56" s="326">
        <f t="shared" si="285"/>
        <v>702660.78</v>
      </c>
      <c r="AG56" s="326">
        <f t="shared" si="286"/>
        <v>-1097339.22</v>
      </c>
      <c r="AH56" s="494">
        <f t="shared" si="363"/>
        <v>0.39036710000000002</v>
      </c>
      <c r="AI56" s="141">
        <f t="shared" si="287"/>
        <v>5400000</v>
      </c>
      <c r="AJ56" s="416">
        <f t="shared" si="368"/>
        <v>1856591.08</v>
      </c>
      <c r="AK56" s="326">
        <f t="shared" ref="AK56:AM56" si="382">SUM(P56,W56,AD56)</f>
        <v>1828008.12</v>
      </c>
      <c r="AL56" s="326">
        <f t="shared" si="382"/>
        <v>300105.48</v>
      </c>
      <c r="AM56" s="326">
        <f t="shared" si="382"/>
        <v>2128113.6</v>
      </c>
      <c r="AN56" s="326">
        <f t="shared" si="289"/>
        <v>-3271886.4</v>
      </c>
      <c r="AO56" s="98">
        <f t="shared" si="370"/>
        <v>0.39409511111111112</v>
      </c>
      <c r="AP56" s="125">
        <f t="shared" si="290"/>
        <v>307908.73</v>
      </c>
      <c r="AQ56" s="140">
        <f t="shared" si="291"/>
        <v>302115.53999999998</v>
      </c>
      <c r="AR56" s="123">
        <f t="shared" si="292"/>
        <v>33739.18</v>
      </c>
      <c r="AS56" s="148">
        <f t="shared" si="293"/>
        <v>335854.72</v>
      </c>
      <c r="AT56" s="125">
        <f t="shared" si="294"/>
        <v>265079.36</v>
      </c>
      <c r="AU56" s="140">
        <f t="shared" si="295"/>
        <v>488605.60000000003</v>
      </c>
      <c r="AV56" s="326">
        <f t="shared" si="296"/>
        <v>104291.18</v>
      </c>
      <c r="AW56" s="333">
        <f t="shared" si="297"/>
        <v>592896.78</v>
      </c>
      <c r="AX56" s="125">
        <f t="shared" si="298"/>
        <v>91294.07</v>
      </c>
      <c r="AY56" s="1041">
        <f t="shared" si="299"/>
        <v>141231.6</v>
      </c>
      <c r="AZ56" s="123">
        <f t="shared" si="300"/>
        <v>44311.66</v>
      </c>
      <c r="BA56" s="125">
        <f t="shared" si="301"/>
        <v>185543.26</v>
      </c>
      <c r="BB56" s="122">
        <f t="shared" ref="BB56:BD56" si="383">SUM(AY56,AU56,AQ56)</f>
        <v>931952.74</v>
      </c>
      <c r="BC56" s="326">
        <f t="shared" si="383"/>
        <v>182342.02</v>
      </c>
      <c r="BD56" s="333">
        <f t="shared" si="383"/>
        <v>1114294.76</v>
      </c>
      <c r="BE56" s="123">
        <f t="shared" si="303"/>
        <v>2942302.88</v>
      </c>
      <c r="BF56" s="326">
        <f t="shared" ref="BF56:BG56" si="384">BC56+AL56</f>
        <v>482447.5</v>
      </c>
      <c r="BG56" s="435">
        <f t="shared" si="384"/>
        <v>3242408.3600000003</v>
      </c>
      <c r="BH56" s="125">
        <f t="shared" si="305"/>
        <v>154625.96</v>
      </c>
      <c r="BI56" s="1041">
        <f t="shared" si="306"/>
        <v>342288.39</v>
      </c>
      <c r="BJ56" s="326">
        <f t="shared" si="307"/>
        <v>131287</v>
      </c>
      <c r="BK56" s="1045">
        <f t="shared" si="308"/>
        <v>473575.39</v>
      </c>
      <c r="BL56" s="125">
        <f t="shared" si="309"/>
        <v>191143.47</v>
      </c>
      <c r="BM56" s="141">
        <f t="shared" si="310"/>
        <v>205149.01</v>
      </c>
      <c r="BN56" s="332">
        <f t="shared" si="311"/>
        <v>65907.31</v>
      </c>
      <c r="BO56" s="333">
        <f t="shared" si="312"/>
        <v>271056.32</v>
      </c>
      <c r="BP56" s="125">
        <f t="shared" si="313"/>
        <v>388199.13</v>
      </c>
      <c r="BQ56" s="140">
        <f t="shared" si="53"/>
        <v>71368.790000000008</v>
      </c>
      <c r="BR56" s="123">
        <f t="shared" si="219"/>
        <v>88473.22</v>
      </c>
      <c r="BS56" s="148">
        <f t="shared" si="220"/>
        <v>159842.01</v>
      </c>
      <c r="BT56" s="140">
        <f t="shared" ref="BT56:BV56" si="385">SUM(BQ56,BM56,BI56)</f>
        <v>618806.19000000006</v>
      </c>
      <c r="BU56" s="123">
        <f t="shared" si="385"/>
        <v>285667.53000000003</v>
      </c>
      <c r="BV56" s="148">
        <f t="shared" si="385"/>
        <v>904473.72</v>
      </c>
      <c r="BW56" s="125">
        <f t="shared" si="222"/>
        <v>459824.08</v>
      </c>
      <c r="BX56" s="140">
        <f t="shared" si="58"/>
        <v>7036.2099999999919</v>
      </c>
      <c r="BY56" s="123">
        <f t="shared" si="223"/>
        <v>97866.22</v>
      </c>
      <c r="BZ56" s="148">
        <f t="shared" si="224"/>
        <v>104902.43</v>
      </c>
      <c r="CA56" s="123">
        <f t="shared" si="225"/>
        <v>453345.92</v>
      </c>
      <c r="CB56" s="326">
        <f t="shared" si="226"/>
        <v>943421.08</v>
      </c>
    </row>
    <row r="57" spans="1:80" ht="13">
      <c r="A57" s="436">
        <f t="shared" si="210"/>
        <v>112013829</v>
      </c>
      <c r="B57" s="93">
        <f t="shared" si="211"/>
        <v>22</v>
      </c>
      <c r="C57" s="558">
        <f t="shared" si="266"/>
        <v>0.1</v>
      </c>
      <c r="D57" s="558">
        <f t="shared" si="267"/>
        <v>0.09</v>
      </c>
      <c r="E57" s="715">
        <f t="shared" si="268"/>
        <v>0</v>
      </c>
      <c r="F57" s="701">
        <f t="shared" si="212"/>
        <v>1</v>
      </c>
      <c r="G57" s="700" t="str">
        <f t="shared" si="269"/>
        <v>Lista</v>
      </c>
      <c r="H57" s="700">
        <f t="shared" si="270"/>
        <v>0.09</v>
      </c>
      <c r="I57" s="702">
        <f t="shared" si="271"/>
        <v>0</v>
      </c>
      <c r="J57" s="837">
        <f t="shared" si="213"/>
        <v>71</v>
      </c>
      <c r="K57" s="699" t="str">
        <f t="shared" si="214"/>
        <v>Lista</v>
      </c>
      <c r="L57" s="1040">
        <f t="shared" si="215"/>
        <v>0.05</v>
      </c>
      <c r="M57" s="139" t="s">
        <v>1049</v>
      </c>
      <c r="N57" s="123">
        <f t="shared" si="272"/>
        <v>417280.56</v>
      </c>
      <c r="O57" s="326">
        <v>1800000</v>
      </c>
      <c r="P57" s="704">
        <f t="shared" si="273"/>
        <v>553480.42000000004</v>
      </c>
      <c r="Q57" s="704" t="str">
        <f t="shared" si="274"/>
        <v>0</v>
      </c>
      <c r="R57" s="704">
        <f t="shared" si="275"/>
        <v>553480.42000000004</v>
      </c>
      <c r="S57" s="326">
        <f t="shared" si="276"/>
        <v>-1246519.58</v>
      </c>
      <c r="T57" s="137">
        <f t="shared" si="361"/>
        <v>0.30748912222222224</v>
      </c>
      <c r="U57" s="332">
        <f t="shared" si="277"/>
        <v>341876.76</v>
      </c>
      <c r="V57" s="141">
        <v>1800000</v>
      </c>
      <c r="W57" s="113">
        <f t="shared" si="278"/>
        <v>457959.74</v>
      </c>
      <c r="X57" s="704" t="str">
        <f t="shared" si="279"/>
        <v>0</v>
      </c>
      <c r="Y57" s="117">
        <f t="shared" si="280"/>
        <v>457959.74</v>
      </c>
      <c r="Z57" s="123">
        <f t="shared" si="281"/>
        <v>-1342040.26</v>
      </c>
      <c r="AA57" s="98">
        <f t="shared" si="362"/>
        <v>0.25442207777777776</v>
      </c>
      <c r="AB57" s="123">
        <f t="shared" si="282"/>
        <v>352002.43</v>
      </c>
      <c r="AC57" s="326">
        <v>1800000</v>
      </c>
      <c r="AD57" s="326">
        <f t="shared" si="283"/>
        <v>274477.09000000003</v>
      </c>
      <c r="AE57" s="326" t="str">
        <f t="shared" si="284"/>
        <v>0</v>
      </c>
      <c r="AF57" s="326">
        <f t="shared" si="285"/>
        <v>274477.09000000003</v>
      </c>
      <c r="AG57" s="326">
        <f t="shared" si="286"/>
        <v>-1525522.91</v>
      </c>
      <c r="AH57" s="494">
        <f t="shared" si="363"/>
        <v>0.15248727222222225</v>
      </c>
      <c r="AI57" s="141">
        <f t="shared" si="287"/>
        <v>5400000</v>
      </c>
      <c r="AJ57" s="416">
        <f t="shared" si="368"/>
        <v>866637.21</v>
      </c>
      <c r="AK57" s="326">
        <f t="shared" ref="AK57:AM57" si="386">SUM(P57,W57,AD57)</f>
        <v>1285917.25</v>
      </c>
      <c r="AL57" s="326">
        <f t="shared" si="386"/>
        <v>0</v>
      </c>
      <c r="AM57" s="326">
        <f t="shared" si="386"/>
        <v>1285917.25</v>
      </c>
      <c r="AN57" s="326">
        <f t="shared" si="289"/>
        <v>-4114082.75</v>
      </c>
      <c r="AO57" s="98">
        <f t="shared" si="370"/>
        <v>0.23813282407407407</v>
      </c>
      <c r="AP57" s="125">
        <f t="shared" si="290"/>
        <v>156849.75</v>
      </c>
      <c r="AQ57" s="140">
        <f t="shared" si="291"/>
        <v>570115.83999999997</v>
      </c>
      <c r="AR57" s="123" t="str">
        <f t="shared" si="292"/>
        <v>0</v>
      </c>
      <c r="AS57" s="148">
        <f t="shared" si="293"/>
        <v>570115.83999999997</v>
      </c>
      <c r="AT57" s="125">
        <f t="shared" si="294"/>
        <v>178515.82</v>
      </c>
      <c r="AU57" s="140">
        <f t="shared" si="295"/>
        <v>309289.94</v>
      </c>
      <c r="AV57" s="326" t="str">
        <f t="shared" si="296"/>
        <v>0</v>
      </c>
      <c r="AW57" s="333">
        <f t="shared" si="297"/>
        <v>309289.94</v>
      </c>
      <c r="AX57" s="125">
        <f t="shared" si="298"/>
        <v>262016.9</v>
      </c>
      <c r="AY57" s="1041">
        <f t="shared" si="299"/>
        <v>305496.62</v>
      </c>
      <c r="AZ57" s="123" t="str">
        <f t="shared" si="300"/>
        <v>0</v>
      </c>
      <c r="BA57" s="125">
        <f t="shared" si="301"/>
        <v>305496.62</v>
      </c>
      <c r="BB57" s="122">
        <f t="shared" ref="BB57:BD57" si="387">SUM(AY57,AU57,AQ57)</f>
        <v>1184902.3999999999</v>
      </c>
      <c r="BC57" s="326">
        <f t="shared" si="387"/>
        <v>0</v>
      </c>
      <c r="BD57" s="333">
        <f t="shared" si="387"/>
        <v>1184902.3999999999</v>
      </c>
      <c r="BE57" s="123">
        <f t="shared" si="303"/>
        <v>2470819.65</v>
      </c>
      <c r="BF57" s="326">
        <f t="shared" ref="BF57:BG57" si="388">BC57+AL57</f>
        <v>0</v>
      </c>
      <c r="BG57" s="435">
        <f t="shared" si="388"/>
        <v>2470819.65</v>
      </c>
      <c r="BH57" s="125">
        <f t="shared" si="305"/>
        <v>321805.65999999997</v>
      </c>
      <c r="BI57" s="1041">
        <f t="shared" si="306"/>
        <v>194432.92</v>
      </c>
      <c r="BJ57" s="326" t="str">
        <f t="shared" si="307"/>
        <v>0</v>
      </c>
      <c r="BK57" s="1045">
        <f t="shared" si="308"/>
        <v>194432.92</v>
      </c>
      <c r="BL57" s="125">
        <f t="shared" si="309"/>
        <v>330433.96999999997</v>
      </c>
      <c r="BM57" s="141">
        <f t="shared" si="310"/>
        <v>155054.72</v>
      </c>
      <c r="BN57" s="332" t="str">
        <f t="shared" si="311"/>
        <v>0</v>
      </c>
      <c r="BO57" s="333">
        <f t="shared" si="312"/>
        <v>155054.72</v>
      </c>
      <c r="BP57" s="125">
        <f t="shared" si="313"/>
        <v>363594.51</v>
      </c>
      <c r="BQ57" s="140">
        <f t="shared" si="53"/>
        <v>871019.81</v>
      </c>
      <c r="BR57" s="123" t="str">
        <f t="shared" si="219"/>
        <v>0</v>
      </c>
      <c r="BS57" s="148">
        <f t="shared" si="220"/>
        <v>871019.81</v>
      </c>
      <c r="BT57" s="140">
        <f t="shared" ref="BT57:BV57" si="389">SUM(BQ57,BM57,BI57)</f>
        <v>1220507.45</v>
      </c>
      <c r="BU57" s="123">
        <f t="shared" si="389"/>
        <v>0</v>
      </c>
      <c r="BV57" s="148">
        <f t="shared" si="389"/>
        <v>1220507.45</v>
      </c>
      <c r="BW57" s="125">
        <f t="shared" si="222"/>
        <v>368209.3</v>
      </c>
      <c r="BX57" s="140">
        <f t="shared" si="58"/>
        <v>149237.32</v>
      </c>
      <c r="BY57" s="123" t="str">
        <f t="shared" si="223"/>
        <v>0</v>
      </c>
      <c r="BZ57" s="148">
        <f t="shared" si="224"/>
        <v>149237.32</v>
      </c>
      <c r="CA57" s="123">
        <f t="shared" si="225"/>
        <v>333171.28000000003</v>
      </c>
      <c r="CB57" s="326">
        <f t="shared" si="226"/>
        <v>165256.63</v>
      </c>
    </row>
    <row r="58" spans="1:80" ht="13">
      <c r="A58" s="436">
        <f t="shared" si="210"/>
        <v>112013842</v>
      </c>
      <c r="B58" s="93">
        <f t="shared" si="211"/>
        <v>22</v>
      </c>
      <c r="C58" s="558">
        <f t="shared" si="266"/>
        <v>0.1</v>
      </c>
      <c r="D58" s="558">
        <f t="shared" si="267"/>
        <v>0.09</v>
      </c>
      <c r="E58" s="715">
        <f t="shared" si="268"/>
        <v>0</v>
      </c>
      <c r="F58" s="701">
        <f t="shared" si="212"/>
        <v>1</v>
      </c>
      <c r="G58" s="700" t="str">
        <f t="shared" si="269"/>
        <v>Lista</v>
      </c>
      <c r="H58" s="700">
        <f t="shared" si="270"/>
        <v>0.09</v>
      </c>
      <c r="I58" s="702">
        <f t="shared" si="271"/>
        <v>0</v>
      </c>
      <c r="J58" s="837">
        <f t="shared" si="213"/>
        <v>71</v>
      </c>
      <c r="K58" s="699" t="str">
        <f t="shared" si="214"/>
        <v>Lista</v>
      </c>
      <c r="L58" s="1040">
        <f t="shared" si="215"/>
        <v>0.05</v>
      </c>
      <c r="M58" s="139" t="s">
        <v>1050</v>
      </c>
      <c r="N58" s="123">
        <f t="shared" si="272"/>
        <v>830773.13</v>
      </c>
      <c r="O58" s="326">
        <v>1800000</v>
      </c>
      <c r="P58" s="704">
        <f t="shared" si="273"/>
        <v>705781.92</v>
      </c>
      <c r="Q58" s="704" t="str">
        <f t="shared" si="274"/>
        <v>0</v>
      </c>
      <c r="R58" s="704">
        <f t="shared" si="275"/>
        <v>705781.92</v>
      </c>
      <c r="S58" s="326">
        <f t="shared" si="276"/>
        <v>-1094218.08</v>
      </c>
      <c r="T58" s="137">
        <f t="shared" si="361"/>
        <v>0.39210106666666666</v>
      </c>
      <c r="U58" s="332">
        <f t="shared" si="277"/>
        <v>1129471.3700000001</v>
      </c>
      <c r="V58" s="141">
        <f>(U58*1.7245)*1.05</f>
        <v>2045162.0464432503</v>
      </c>
      <c r="W58" s="113">
        <f t="shared" si="278"/>
        <v>282169.59999999998</v>
      </c>
      <c r="X58" s="704" t="str">
        <f t="shared" si="279"/>
        <v>0</v>
      </c>
      <c r="Y58" s="117">
        <f t="shared" si="280"/>
        <v>282169.59999999998</v>
      </c>
      <c r="Z58" s="123">
        <f t="shared" si="281"/>
        <v>-1762992.4464432504</v>
      </c>
      <c r="AA58" s="98">
        <f t="shared" si="362"/>
        <v>0.13796931176711513</v>
      </c>
      <c r="AB58" s="123">
        <f t="shared" si="282"/>
        <v>433856.24</v>
      </c>
      <c r="AC58" s="326">
        <v>1800000</v>
      </c>
      <c r="AD58" s="326">
        <f t="shared" si="283"/>
        <v>1223231.07</v>
      </c>
      <c r="AE58" s="326" t="str">
        <f t="shared" si="284"/>
        <v>0</v>
      </c>
      <c r="AF58" s="326">
        <f t="shared" si="285"/>
        <v>1223231.07</v>
      </c>
      <c r="AG58" s="326">
        <f t="shared" si="286"/>
        <v>-576768.92999999993</v>
      </c>
      <c r="AH58" s="494">
        <f t="shared" si="363"/>
        <v>0.67957281666666669</v>
      </c>
      <c r="AI58" s="141">
        <f t="shared" si="287"/>
        <v>5645162.04644325</v>
      </c>
      <c r="AJ58" s="416">
        <f t="shared" si="368"/>
        <v>736130.41</v>
      </c>
      <c r="AK58" s="326">
        <f t="shared" ref="AK58:AM58" si="390">SUM(P58,W58,AD58)</f>
        <v>2211182.59</v>
      </c>
      <c r="AL58" s="326">
        <f t="shared" si="390"/>
        <v>0</v>
      </c>
      <c r="AM58" s="326">
        <f t="shared" si="390"/>
        <v>2211182.59</v>
      </c>
      <c r="AN58" s="326">
        <f t="shared" si="289"/>
        <v>-3433979.4564432502</v>
      </c>
      <c r="AO58" s="98">
        <f t="shared" si="370"/>
        <v>0.39169514919295567</v>
      </c>
      <c r="AP58" s="125">
        <f t="shared" si="290"/>
        <v>376293.65</v>
      </c>
      <c r="AQ58" s="140">
        <f t="shared" si="291"/>
        <v>612517.25</v>
      </c>
      <c r="AR58" s="123" t="str">
        <f t="shared" si="292"/>
        <v>0</v>
      </c>
      <c r="AS58" s="148">
        <f t="shared" si="293"/>
        <v>612517.25</v>
      </c>
      <c r="AT58" s="125">
        <f t="shared" si="294"/>
        <v>160297.4</v>
      </c>
      <c r="AU58" s="140">
        <f t="shared" si="295"/>
        <v>447373.18</v>
      </c>
      <c r="AV58" s="326" t="str">
        <f t="shared" si="296"/>
        <v>0</v>
      </c>
      <c r="AW58" s="333">
        <f t="shared" si="297"/>
        <v>447373.18</v>
      </c>
      <c r="AX58" s="125">
        <f t="shared" si="298"/>
        <v>222452.53</v>
      </c>
      <c r="AY58" s="1041">
        <f t="shared" si="299"/>
        <v>190612.73</v>
      </c>
      <c r="AZ58" s="123" t="str">
        <f t="shared" si="300"/>
        <v>0</v>
      </c>
      <c r="BA58" s="125">
        <f t="shared" si="301"/>
        <v>190612.73</v>
      </c>
      <c r="BB58" s="122">
        <f t="shared" ref="BB58:BD58" si="391">SUM(AY58,AU58,AQ58)</f>
        <v>1250503.1600000001</v>
      </c>
      <c r="BC58" s="326">
        <f t="shared" si="391"/>
        <v>0</v>
      </c>
      <c r="BD58" s="333">
        <f t="shared" si="391"/>
        <v>1250503.1600000001</v>
      </c>
      <c r="BE58" s="123">
        <f t="shared" si="303"/>
        <v>3461685.75</v>
      </c>
      <c r="BF58" s="326">
        <f t="shared" ref="BF58:BG58" si="392">BC58+AL58</f>
        <v>0</v>
      </c>
      <c r="BG58" s="435">
        <f t="shared" si="392"/>
        <v>3461685.75</v>
      </c>
      <c r="BH58" s="125">
        <f t="shared" si="305"/>
        <v>172249.16</v>
      </c>
      <c r="BI58" s="1041">
        <f t="shared" si="306"/>
        <v>153801.35999999999</v>
      </c>
      <c r="BJ58" s="326" t="str">
        <f t="shared" si="307"/>
        <v>0</v>
      </c>
      <c r="BK58" s="1045">
        <f t="shared" si="308"/>
        <v>153801.35999999999</v>
      </c>
      <c r="BL58" s="125">
        <f t="shared" si="309"/>
        <v>181901.09</v>
      </c>
      <c r="BM58" s="141">
        <f t="shared" si="310"/>
        <v>580118.36</v>
      </c>
      <c r="BN58" s="332" t="str">
        <f t="shared" si="311"/>
        <v>0</v>
      </c>
      <c r="BO58" s="333">
        <f t="shared" si="312"/>
        <v>580118.36</v>
      </c>
      <c r="BP58" s="125">
        <f t="shared" si="313"/>
        <v>339810.22</v>
      </c>
      <c r="BQ58" s="140">
        <f t="shared" si="53"/>
        <v>396905.21</v>
      </c>
      <c r="BR58" s="123" t="str">
        <f t="shared" si="219"/>
        <v>0</v>
      </c>
      <c r="BS58" s="148">
        <f t="shared" si="220"/>
        <v>396905.21</v>
      </c>
      <c r="BT58" s="140">
        <f t="shared" ref="BT58:BV58" si="393">SUM(BQ58,BM58,BI58)</f>
        <v>1130824.9300000002</v>
      </c>
      <c r="BU58" s="123">
        <f t="shared" si="393"/>
        <v>0</v>
      </c>
      <c r="BV58" s="148">
        <f t="shared" si="393"/>
        <v>1130824.9300000002</v>
      </c>
      <c r="BW58" s="125">
        <f t="shared" si="222"/>
        <v>125442.69</v>
      </c>
      <c r="BX58" s="140">
        <f t="shared" si="58"/>
        <v>844023.58</v>
      </c>
      <c r="BY58" s="123" t="str">
        <f t="shared" si="223"/>
        <v>0</v>
      </c>
      <c r="BZ58" s="148">
        <f t="shared" si="224"/>
        <v>844023.58</v>
      </c>
      <c r="CA58" s="123">
        <f t="shared" si="225"/>
        <v>430317.34</v>
      </c>
      <c r="CB58" s="326">
        <f t="shared" si="226"/>
        <v>180370.38</v>
      </c>
    </row>
    <row r="59" spans="1:80" ht="13">
      <c r="A59" s="436">
        <f t="shared" si="210"/>
        <v>112014511</v>
      </c>
      <c r="B59" s="93">
        <f t="shared" si="211"/>
        <v>22</v>
      </c>
      <c r="C59" s="558">
        <f t="shared" si="266"/>
        <v>0.1</v>
      </c>
      <c r="D59" s="558">
        <f t="shared" si="267"/>
        <v>0.09</v>
      </c>
      <c r="E59" s="715">
        <f t="shared" si="268"/>
        <v>0</v>
      </c>
      <c r="F59" s="701">
        <f t="shared" si="212"/>
        <v>1</v>
      </c>
      <c r="G59" s="700" t="str">
        <f t="shared" si="269"/>
        <v>Lista</v>
      </c>
      <c r="H59" s="700">
        <f t="shared" si="270"/>
        <v>0.09</v>
      </c>
      <c r="I59" s="702">
        <f t="shared" si="271"/>
        <v>0</v>
      </c>
      <c r="J59" s="837">
        <f t="shared" si="213"/>
        <v>71</v>
      </c>
      <c r="K59" s="699" t="str">
        <f t="shared" si="214"/>
        <v>Lista</v>
      </c>
      <c r="L59" s="1040">
        <f t="shared" si="215"/>
        <v>0.05</v>
      </c>
      <c r="M59" s="139" t="s">
        <v>1051</v>
      </c>
      <c r="N59" s="123">
        <f t="shared" si="272"/>
        <v>0</v>
      </c>
      <c r="O59" s="326">
        <v>1800000</v>
      </c>
      <c r="P59" s="704">
        <f t="shared" si="273"/>
        <v>373040.58</v>
      </c>
      <c r="Q59" s="704">
        <f t="shared" si="274"/>
        <v>0</v>
      </c>
      <c r="R59" s="704">
        <f t="shared" si="275"/>
        <v>373040.58</v>
      </c>
      <c r="S59" s="326">
        <f t="shared" si="276"/>
        <v>-1426959.42</v>
      </c>
      <c r="T59" s="137">
        <f t="shared" si="361"/>
        <v>0.20724476666666666</v>
      </c>
      <c r="U59" s="332">
        <f t="shared" si="277"/>
        <v>0</v>
      </c>
      <c r="V59" s="141">
        <v>1800000</v>
      </c>
      <c r="W59" s="113">
        <f t="shared" si="278"/>
        <v>419818.79</v>
      </c>
      <c r="X59" s="704">
        <f t="shared" si="279"/>
        <v>0</v>
      </c>
      <c r="Y59" s="117">
        <f t="shared" si="280"/>
        <v>419818.79</v>
      </c>
      <c r="Z59" s="123">
        <f t="shared" si="281"/>
        <v>-1380181.21</v>
      </c>
      <c r="AA59" s="98">
        <f t="shared" si="362"/>
        <v>0.2332326611111111</v>
      </c>
      <c r="AB59" s="123">
        <f t="shared" si="282"/>
        <v>0</v>
      </c>
      <c r="AC59" s="326">
        <v>1800000</v>
      </c>
      <c r="AD59" s="326">
        <f t="shared" si="283"/>
        <v>192448.54</v>
      </c>
      <c r="AE59" s="326">
        <f t="shared" si="284"/>
        <v>0</v>
      </c>
      <c r="AF59" s="326">
        <f t="shared" si="285"/>
        <v>192448.54</v>
      </c>
      <c r="AG59" s="326">
        <f t="shared" si="286"/>
        <v>-1607551.46</v>
      </c>
      <c r="AH59" s="494">
        <f t="shared" si="363"/>
        <v>0.10691585555555556</v>
      </c>
      <c r="AI59" s="141">
        <f t="shared" si="287"/>
        <v>5400000</v>
      </c>
      <c r="AJ59" s="416">
        <f t="shared" si="368"/>
        <v>663492.68000000005</v>
      </c>
      <c r="AK59" s="326">
        <f t="shared" ref="AK59:AM59" si="394">SUM(P59,W59,AD59)</f>
        <v>985307.91</v>
      </c>
      <c r="AL59" s="326">
        <f t="shared" si="394"/>
        <v>0</v>
      </c>
      <c r="AM59" s="326">
        <f t="shared" si="394"/>
        <v>985307.91</v>
      </c>
      <c r="AN59" s="326">
        <f t="shared" si="289"/>
        <v>-4414692.09</v>
      </c>
      <c r="AO59" s="98">
        <f t="shared" si="370"/>
        <v>0.18246442777777777</v>
      </c>
      <c r="AP59" s="125">
        <f t="shared" si="290"/>
        <v>0</v>
      </c>
      <c r="AQ59" s="140">
        <f t="shared" si="291"/>
        <v>394089.26</v>
      </c>
      <c r="AR59" s="123">
        <f t="shared" si="292"/>
        <v>34285.949999999997</v>
      </c>
      <c r="AS59" s="148">
        <f t="shared" si="293"/>
        <v>428375.21</v>
      </c>
      <c r="AT59" s="125">
        <f t="shared" si="294"/>
        <v>0</v>
      </c>
      <c r="AU59" s="140">
        <f t="shared" si="295"/>
        <v>64913.429999999993</v>
      </c>
      <c r="AV59" s="326">
        <f t="shared" si="296"/>
        <v>84416.66</v>
      </c>
      <c r="AW59" s="333">
        <f t="shared" si="297"/>
        <v>149330.09</v>
      </c>
      <c r="AX59" s="125">
        <f t="shared" si="298"/>
        <v>0</v>
      </c>
      <c r="AY59" s="1041">
        <f t="shared" si="299"/>
        <v>281294.96000000002</v>
      </c>
      <c r="AZ59" s="123">
        <f t="shared" si="300"/>
        <v>0</v>
      </c>
      <c r="BA59" s="125">
        <f t="shared" si="301"/>
        <v>281294.96000000002</v>
      </c>
      <c r="BB59" s="122">
        <f t="shared" ref="BB59:BD59" si="395">SUM(AY59,AU59,AQ59)</f>
        <v>740297.65</v>
      </c>
      <c r="BC59" s="326">
        <f t="shared" si="395"/>
        <v>118702.61</v>
      </c>
      <c r="BD59" s="333">
        <f t="shared" si="395"/>
        <v>859000.26</v>
      </c>
      <c r="BE59" s="123">
        <f t="shared" si="303"/>
        <v>1844308.17</v>
      </c>
      <c r="BF59" s="326">
        <f t="shared" ref="BF59:BG59" si="396">BC59+AL59</f>
        <v>118702.61</v>
      </c>
      <c r="BG59" s="435">
        <f t="shared" si="396"/>
        <v>1844308.17</v>
      </c>
      <c r="BH59" s="125">
        <f t="shared" si="305"/>
        <v>0</v>
      </c>
      <c r="BI59" s="1041">
        <f t="shared" si="306"/>
        <v>169052.53999999998</v>
      </c>
      <c r="BJ59" s="326">
        <f t="shared" si="307"/>
        <v>140636.93</v>
      </c>
      <c r="BK59" s="1045">
        <f t="shared" si="308"/>
        <v>309689.46999999997</v>
      </c>
      <c r="BL59" s="125">
        <f t="shared" si="309"/>
        <v>71694.320000000007</v>
      </c>
      <c r="BM59" s="141">
        <f t="shared" si="310"/>
        <v>400179.43000000005</v>
      </c>
      <c r="BN59" s="332">
        <f t="shared" si="311"/>
        <v>125524.34</v>
      </c>
      <c r="BO59" s="333">
        <f t="shared" si="312"/>
        <v>525703.77</v>
      </c>
      <c r="BP59" s="125">
        <f t="shared" si="313"/>
        <v>521959.75</v>
      </c>
      <c r="BQ59" s="140">
        <f t="shared" si="53"/>
        <v>399125.14</v>
      </c>
      <c r="BR59" s="123">
        <f t="shared" si="219"/>
        <v>48098.94</v>
      </c>
      <c r="BS59" s="148">
        <f t="shared" si="220"/>
        <v>447224.08</v>
      </c>
      <c r="BT59" s="140">
        <f t="shared" ref="BT59:BV59" si="397">SUM(BQ59,BM59,BI59)</f>
        <v>968357.1100000001</v>
      </c>
      <c r="BU59" s="123">
        <f t="shared" si="397"/>
        <v>314260.20999999996</v>
      </c>
      <c r="BV59" s="148">
        <f t="shared" si="397"/>
        <v>1282617.32</v>
      </c>
      <c r="BW59" s="125">
        <f t="shared" si="222"/>
        <v>50999.29</v>
      </c>
      <c r="BX59" s="140">
        <f t="shared" si="58"/>
        <v>571096.17999999993</v>
      </c>
      <c r="BY59" s="123">
        <f t="shared" si="223"/>
        <v>50009.65</v>
      </c>
      <c r="BZ59" s="148">
        <f t="shared" si="224"/>
        <v>621105.82999999996</v>
      </c>
      <c r="CA59" s="123">
        <f t="shared" si="225"/>
        <v>386110.79</v>
      </c>
      <c r="CB59" s="326">
        <f t="shared" si="226"/>
        <v>226382.6</v>
      </c>
    </row>
    <row r="60" spans="1:80" ht="13">
      <c r="A60" s="436">
        <f t="shared" si="210"/>
        <v>112013648</v>
      </c>
      <c r="B60" s="93">
        <f t="shared" si="211"/>
        <v>22</v>
      </c>
      <c r="C60" s="699">
        <f t="shared" si="266"/>
        <v>0.1</v>
      </c>
      <c r="D60" s="699">
        <f t="shared" si="267"/>
        <v>0.09</v>
      </c>
      <c r="E60" s="700">
        <f t="shared" si="268"/>
        <v>0</v>
      </c>
      <c r="F60" s="701">
        <f t="shared" si="212"/>
        <v>1</v>
      </c>
      <c r="G60" s="700" t="str">
        <f t="shared" si="269"/>
        <v>Lista</v>
      </c>
      <c r="H60" s="700">
        <f t="shared" si="270"/>
        <v>0.09</v>
      </c>
      <c r="I60" s="702">
        <f t="shared" si="271"/>
        <v>0</v>
      </c>
      <c r="J60" s="837">
        <f t="shared" si="213"/>
        <v>71</v>
      </c>
      <c r="K60" s="699" t="str">
        <f t="shared" si="214"/>
        <v>Lista</v>
      </c>
      <c r="L60" s="1040">
        <f t="shared" si="215"/>
        <v>0.05</v>
      </c>
      <c r="M60" s="99" t="s">
        <v>1052</v>
      </c>
      <c r="N60" s="114" t="str">
        <f t="shared" si="272"/>
        <v/>
      </c>
      <c r="O60" s="116" t="e">
        <f>(N60*1.601)*1.05</f>
        <v>#VALUE!</v>
      </c>
      <c r="P60" s="704" t="e">
        <f t="shared" si="273"/>
        <v>#VALUE!</v>
      </c>
      <c r="Q60" s="704" t="str">
        <f t="shared" si="274"/>
        <v>0</v>
      </c>
      <c r="R60" s="704" t="str">
        <f t="shared" si="275"/>
        <v/>
      </c>
      <c r="S60" s="326" t="e">
        <f t="shared" si="276"/>
        <v>#VALUE!</v>
      </c>
      <c r="T60" s="137" t="str">
        <f>IFERROR(R60/O60,"")</f>
        <v/>
      </c>
      <c r="U60" s="332" t="str">
        <f t="shared" si="277"/>
        <v/>
      </c>
      <c r="V60" s="141" t="e">
        <f>(U60*1.7245)*1.05</f>
        <v>#VALUE!</v>
      </c>
      <c r="W60" s="113" t="e">
        <f t="shared" si="278"/>
        <v>#VALUE!</v>
      </c>
      <c r="X60" s="704" t="str">
        <f t="shared" si="279"/>
        <v>0</v>
      </c>
      <c r="Y60" s="117" t="str">
        <f t="shared" si="280"/>
        <v/>
      </c>
      <c r="Z60" s="123" t="e">
        <f t="shared" si="281"/>
        <v>#VALUE!</v>
      </c>
      <c r="AA60" s="98" t="str">
        <f>IFERROR(Y60/V60,"")</f>
        <v/>
      </c>
      <c r="AB60" s="123" t="str">
        <f t="shared" si="282"/>
        <v/>
      </c>
      <c r="AC60" s="326" t="e">
        <f>(AB60*1.5955)*1.03</f>
        <v>#VALUE!</v>
      </c>
      <c r="AD60" s="326" t="e">
        <f t="shared" si="283"/>
        <v>#VALUE!</v>
      </c>
      <c r="AE60" s="326" t="str">
        <f t="shared" si="284"/>
        <v>0</v>
      </c>
      <c r="AF60" s="326" t="str">
        <f t="shared" si="285"/>
        <v/>
      </c>
      <c r="AG60" s="326" t="e">
        <f t="shared" si="286"/>
        <v>#VALUE!</v>
      </c>
      <c r="AH60" s="494" t="str">
        <f>IFERROR(AF60/AC60,"")</f>
        <v/>
      </c>
      <c r="AI60" s="141" t="e">
        <f t="shared" si="287"/>
        <v>#VALUE!</v>
      </c>
      <c r="AJ60" s="416" t="str">
        <f t="shared" si="368"/>
        <v>0</v>
      </c>
      <c r="AK60" s="326" t="e">
        <f t="shared" ref="AK60:AM60" si="398">SUM(P60,W60,AD60)</f>
        <v>#VALUE!</v>
      </c>
      <c r="AL60" s="326">
        <f t="shared" si="398"/>
        <v>0</v>
      </c>
      <c r="AM60" s="326">
        <f t="shared" si="398"/>
        <v>0</v>
      </c>
      <c r="AN60" s="326" t="e">
        <f t="shared" si="289"/>
        <v>#VALUE!</v>
      </c>
      <c r="AO60" s="98" t="str">
        <f>IFERROR(AM60/AI60,"")</f>
        <v/>
      </c>
      <c r="AP60" s="125" t="str">
        <f t="shared" si="290"/>
        <v/>
      </c>
      <c r="AQ60" s="140" t="e">
        <f t="shared" si="291"/>
        <v>#VALUE!</v>
      </c>
      <c r="AR60" s="123" t="str">
        <f t="shared" si="292"/>
        <v>0</v>
      </c>
      <c r="AS60" s="148" t="str">
        <f t="shared" si="293"/>
        <v/>
      </c>
      <c r="AT60" s="125" t="str">
        <f t="shared" si="294"/>
        <v/>
      </c>
      <c r="AU60" s="140" t="e">
        <f t="shared" si="295"/>
        <v>#VALUE!</v>
      </c>
      <c r="AV60" s="326" t="str">
        <f t="shared" si="296"/>
        <v>0</v>
      </c>
      <c r="AW60" s="333" t="str">
        <f t="shared" si="297"/>
        <v/>
      </c>
      <c r="AX60" s="125" t="str">
        <f t="shared" si="298"/>
        <v/>
      </c>
      <c r="AY60" s="1041" t="e">
        <f t="shared" si="299"/>
        <v>#VALUE!</v>
      </c>
      <c r="AZ60" s="123" t="str">
        <f t="shared" si="300"/>
        <v>0</v>
      </c>
      <c r="BA60" s="125" t="str">
        <f t="shared" si="301"/>
        <v/>
      </c>
      <c r="BB60" s="122" t="e">
        <f t="shared" ref="BB60:BD60" si="399">SUM(AY60,AU60,AQ60)</f>
        <v>#VALUE!</v>
      </c>
      <c r="BC60" s="326">
        <f t="shared" si="399"/>
        <v>0</v>
      </c>
      <c r="BD60" s="333">
        <f t="shared" si="399"/>
        <v>0</v>
      </c>
      <c r="BE60" s="123" t="e">
        <f t="shared" si="303"/>
        <v>#VALUE!</v>
      </c>
      <c r="BF60" s="326">
        <f t="shared" ref="BF60:BG60" si="400">BC60+AL60</f>
        <v>0</v>
      </c>
      <c r="BG60" s="435">
        <f t="shared" si="400"/>
        <v>0</v>
      </c>
      <c r="BH60" s="125" t="str">
        <f t="shared" si="305"/>
        <v/>
      </c>
      <c r="BI60" s="1041" t="e">
        <f t="shared" si="306"/>
        <v>#VALUE!</v>
      </c>
      <c r="BJ60" s="326" t="str">
        <f t="shared" si="307"/>
        <v>0</v>
      </c>
      <c r="BK60" s="1045" t="str">
        <f t="shared" si="308"/>
        <v/>
      </c>
      <c r="BL60" s="125" t="str">
        <f t="shared" si="309"/>
        <v/>
      </c>
      <c r="BM60" s="141" t="e">
        <f t="shared" si="310"/>
        <v>#VALUE!</v>
      </c>
      <c r="BN60" s="332" t="str">
        <f t="shared" si="311"/>
        <v>0</v>
      </c>
      <c r="BO60" s="333" t="str">
        <f t="shared" si="312"/>
        <v/>
      </c>
      <c r="BP60" s="125" t="str">
        <f t="shared" si="313"/>
        <v/>
      </c>
      <c r="BQ60" s="140" t="e">
        <f t="shared" si="53"/>
        <v>#VALUE!</v>
      </c>
      <c r="BR60" s="123" t="str">
        <f t="shared" si="219"/>
        <v>0</v>
      </c>
      <c r="BS60" s="148" t="str">
        <f t="shared" si="220"/>
        <v/>
      </c>
      <c r="BT60" s="140" t="e">
        <f t="shared" ref="BT60:BV60" si="401">SUM(BQ60,BM60,BI60)</f>
        <v>#VALUE!</v>
      </c>
      <c r="BU60" s="123">
        <f t="shared" si="401"/>
        <v>0</v>
      </c>
      <c r="BV60" s="148">
        <f t="shared" si="401"/>
        <v>0</v>
      </c>
      <c r="BW60" s="125" t="str">
        <f t="shared" si="222"/>
        <v/>
      </c>
      <c r="BX60" s="140" t="e">
        <f t="shared" si="58"/>
        <v>#VALUE!</v>
      </c>
      <c r="BY60" s="123" t="str">
        <f t="shared" si="223"/>
        <v>0</v>
      </c>
      <c r="BZ60" s="148" t="str">
        <f t="shared" si="224"/>
        <v/>
      </c>
      <c r="CA60" s="123" t="str">
        <f t="shared" si="225"/>
        <v/>
      </c>
      <c r="CB60" s="326" t="str">
        <f t="shared" si="226"/>
        <v/>
      </c>
    </row>
    <row r="61" spans="1:80" ht="13">
      <c r="A61" s="436">
        <f t="shared" si="210"/>
        <v>112014688</v>
      </c>
      <c r="B61" s="93">
        <f t="shared" si="211"/>
        <v>22</v>
      </c>
      <c r="C61" s="558">
        <f t="shared" si="266"/>
        <v>0.1</v>
      </c>
      <c r="D61" s="558">
        <f t="shared" si="267"/>
        <v>0.09</v>
      </c>
      <c r="E61" s="715">
        <f t="shared" si="268"/>
        <v>0</v>
      </c>
      <c r="F61" s="701">
        <f t="shared" si="212"/>
        <v>1</v>
      </c>
      <c r="G61" s="700" t="str">
        <f t="shared" si="269"/>
        <v>Lista</v>
      </c>
      <c r="H61" s="700">
        <f t="shared" si="270"/>
        <v>0.09</v>
      </c>
      <c r="I61" s="702">
        <f t="shared" si="271"/>
        <v>0</v>
      </c>
      <c r="J61" s="837">
        <f t="shared" si="213"/>
        <v>71</v>
      </c>
      <c r="K61" s="699" t="str">
        <f t="shared" si="214"/>
        <v>Lista</v>
      </c>
      <c r="L61" s="1040">
        <f t="shared" si="215"/>
        <v>0.05</v>
      </c>
      <c r="M61" s="233" t="s">
        <v>1053</v>
      </c>
      <c r="N61" s="123" t="str">
        <f t="shared" si="272"/>
        <v/>
      </c>
      <c r="O61" s="326">
        <v>1800000</v>
      </c>
      <c r="P61" s="704" t="e">
        <f t="shared" si="273"/>
        <v>#VALUE!</v>
      </c>
      <c r="Q61" s="704" t="str">
        <f t="shared" si="274"/>
        <v>0</v>
      </c>
      <c r="R61" s="704" t="str">
        <f t="shared" si="275"/>
        <v/>
      </c>
      <c r="S61" s="326" t="e">
        <f t="shared" si="276"/>
        <v>#VALUE!</v>
      </c>
      <c r="T61" s="137" t="e">
        <f>R61/O61</f>
        <v>#VALUE!</v>
      </c>
      <c r="U61" s="332" t="str">
        <f t="shared" si="277"/>
        <v/>
      </c>
      <c r="V61" s="141">
        <v>1800000</v>
      </c>
      <c r="W61" s="113" t="e">
        <f t="shared" si="278"/>
        <v>#VALUE!</v>
      </c>
      <c r="X61" s="704" t="str">
        <f t="shared" si="279"/>
        <v>0</v>
      </c>
      <c r="Y61" s="117" t="str">
        <f t="shared" si="280"/>
        <v/>
      </c>
      <c r="Z61" s="123" t="e">
        <f t="shared" si="281"/>
        <v>#VALUE!</v>
      </c>
      <c r="AA61" s="98" t="e">
        <f>Y61/V61</f>
        <v>#VALUE!</v>
      </c>
      <c r="AB61" s="123" t="str">
        <f t="shared" si="282"/>
        <v/>
      </c>
      <c r="AC61" s="326">
        <v>1800000</v>
      </c>
      <c r="AD61" s="326" t="e">
        <f t="shared" si="283"/>
        <v>#VALUE!</v>
      </c>
      <c r="AE61" s="326" t="str">
        <f t="shared" si="284"/>
        <v>0</v>
      </c>
      <c r="AF61" s="326" t="str">
        <f t="shared" si="285"/>
        <v/>
      </c>
      <c r="AG61" s="326" t="e">
        <f t="shared" si="286"/>
        <v>#VALUE!</v>
      </c>
      <c r="AH61" s="494" t="e">
        <f>AF61/AC61</f>
        <v>#VALUE!</v>
      </c>
      <c r="AI61" s="141">
        <f t="shared" si="287"/>
        <v>5400000</v>
      </c>
      <c r="AJ61" s="416" t="str">
        <f t="shared" si="368"/>
        <v>0</v>
      </c>
      <c r="AK61" s="326" t="e">
        <f t="shared" ref="AK61:AM61" si="402">SUM(P61,W61,AD61)</f>
        <v>#VALUE!</v>
      </c>
      <c r="AL61" s="326">
        <f t="shared" si="402"/>
        <v>0</v>
      </c>
      <c r="AM61" s="326">
        <f t="shared" si="402"/>
        <v>0</v>
      </c>
      <c r="AN61" s="326">
        <f t="shared" si="289"/>
        <v>-5400000</v>
      </c>
      <c r="AO61" s="98">
        <f>AM61/AI61</f>
        <v>0</v>
      </c>
      <c r="AP61" s="125" t="str">
        <f t="shared" si="290"/>
        <v/>
      </c>
      <c r="AQ61" s="140" t="e">
        <f t="shared" si="291"/>
        <v>#VALUE!</v>
      </c>
      <c r="AR61" s="123" t="str">
        <f t="shared" si="292"/>
        <v>0</v>
      </c>
      <c r="AS61" s="148" t="str">
        <f t="shared" si="293"/>
        <v/>
      </c>
      <c r="AT61" s="125" t="str">
        <f t="shared" si="294"/>
        <v/>
      </c>
      <c r="AU61" s="140" t="e">
        <f t="shared" si="295"/>
        <v>#VALUE!</v>
      </c>
      <c r="AV61" s="326" t="str">
        <f t="shared" si="296"/>
        <v>0</v>
      </c>
      <c r="AW61" s="333" t="str">
        <f t="shared" si="297"/>
        <v/>
      </c>
      <c r="AX61" s="125" t="str">
        <f t="shared" si="298"/>
        <v/>
      </c>
      <c r="AY61" s="1041" t="e">
        <f t="shared" si="299"/>
        <v>#VALUE!</v>
      </c>
      <c r="AZ61" s="123" t="str">
        <f t="shared" si="300"/>
        <v>0</v>
      </c>
      <c r="BA61" s="125" t="str">
        <f t="shared" si="301"/>
        <v/>
      </c>
      <c r="BB61" s="122" t="e">
        <f t="shared" ref="BB61:BD61" si="403">SUM(AY61,AU61,AQ61)</f>
        <v>#VALUE!</v>
      </c>
      <c r="BC61" s="326">
        <f t="shared" si="403"/>
        <v>0</v>
      </c>
      <c r="BD61" s="333">
        <f t="shared" si="403"/>
        <v>0</v>
      </c>
      <c r="BE61" s="123" t="e">
        <f t="shared" si="303"/>
        <v>#VALUE!</v>
      </c>
      <c r="BF61" s="326">
        <f t="shared" ref="BF61:BG61" si="404">BC61+AL61</f>
        <v>0</v>
      </c>
      <c r="BG61" s="435">
        <f t="shared" si="404"/>
        <v>0</v>
      </c>
      <c r="BH61" s="125" t="str">
        <f t="shared" si="305"/>
        <v/>
      </c>
      <c r="BI61" s="1041" t="e">
        <f t="shared" si="306"/>
        <v>#VALUE!</v>
      </c>
      <c r="BJ61" s="326" t="str">
        <f t="shared" si="307"/>
        <v>0</v>
      </c>
      <c r="BK61" s="1045" t="str">
        <f t="shared" si="308"/>
        <v/>
      </c>
      <c r="BL61" s="125" t="str">
        <f t="shared" si="309"/>
        <v/>
      </c>
      <c r="BM61" s="141" t="e">
        <f t="shared" si="310"/>
        <v>#VALUE!</v>
      </c>
      <c r="BN61" s="332" t="str">
        <f t="shared" si="311"/>
        <v>0</v>
      </c>
      <c r="BO61" s="333" t="str">
        <f t="shared" si="312"/>
        <v/>
      </c>
      <c r="BP61" s="125" t="str">
        <f t="shared" si="313"/>
        <v/>
      </c>
      <c r="BQ61" s="140" t="e">
        <f t="shared" si="53"/>
        <v>#VALUE!</v>
      </c>
      <c r="BR61" s="123" t="str">
        <f t="shared" si="219"/>
        <v>0</v>
      </c>
      <c r="BS61" s="148" t="str">
        <f t="shared" si="220"/>
        <v/>
      </c>
      <c r="BT61" s="140" t="e">
        <f t="shared" ref="BT61:BV61" si="405">SUM(BQ61,BM61,BI61)</f>
        <v>#VALUE!</v>
      </c>
      <c r="BU61" s="123">
        <f t="shared" si="405"/>
        <v>0</v>
      </c>
      <c r="BV61" s="148">
        <f t="shared" si="405"/>
        <v>0</v>
      </c>
      <c r="BW61" s="125" t="str">
        <f t="shared" si="222"/>
        <v/>
      </c>
      <c r="BX61" s="140" t="e">
        <f t="shared" si="58"/>
        <v>#VALUE!</v>
      </c>
      <c r="BY61" s="123" t="str">
        <f t="shared" si="223"/>
        <v>0</v>
      </c>
      <c r="BZ61" s="148" t="str">
        <f t="shared" si="224"/>
        <v/>
      </c>
      <c r="CA61" s="123" t="str">
        <f t="shared" si="225"/>
        <v/>
      </c>
      <c r="CB61" s="326" t="str">
        <f t="shared" si="226"/>
        <v/>
      </c>
    </row>
    <row r="62" spans="1:80" ht="13">
      <c r="A62" s="436">
        <f t="shared" si="210"/>
        <v>112014425</v>
      </c>
      <c r="B62" s="93">
        <f t="shared" si="211"/>
        <v>22</v>
      </c>
      <c r="C62" s="558">
        <f t="shared" si="266"/>
        <v>0.1</v>
      </c>
      <c r="D62" s="558">
        <f t="shared" si="267"/>
        <v>0.09</v>
      </c>
      <c r="E62" s="715">
        <f t="shared" si="268"/>
        <v>0</v>
      </c>
      <c r="F62" s="701">
        <f t="shared" si="212"/>
        <v>1</v>
      </c>
      <c r="G62" s="700" t="str">
        <f t="shared" si="269"/>
        <v>Lista</v>
      </c>
      <c r="H62" s="700">
        <f t="shared" si="270"/>
        <v>0.09</v>
      </c>
      <c r="I62" s="702">
        <f t="shared" si="271"/>
        <v>0</v>
      </c>
      <c r="J62" s="837">
        <f t="shared" si="213"/>
        <v>71</v>
      </c>
      <c r="K62" s="699" t="str">
        <f t="shared" si="214"/>
        <v>Lista</v>
      </c>
      <c r="L62" s="1040">
        <f t="shared" si="215"/>
        <v>0.05</v>
      </c>
      <c r="M62" s="139" t="s">
        <v>1054</v>
      </c>
      <c r="N62" s="123"/>
      <c r="O62" s="326"/>
      <c r="P62" s="704" t="e">
        <f t="shared" si="273"/>
        <v>#VALUE!</v>
      </c>
      <c r="Q62" s="704" t="str">
        <f t="shared" si="274"/>
        <v>0</v>
      </c>
      <c r="R62" s="704" t="str">
        <f t="shared" si="275"/>
        <v/>
      </c>
      <c r="S62" s="326" t="e">
        <f t="shared" si="276"/>
        <v>#VALUE!</v>
      </c>
      <c r="T62" s="137" t="str">
        <f t="shared" ref="T62:T97" si="406">IFERROR(R62/O62,"")</f>
        <v/>
      </c>
      <c r="U62" s="332" t="str">
        <f t="shared" si="277"/>
        <v/>
      </c>
      <c r="V62" s="141"/>
      <c r="W62" s="113" t="e">
        <f t="shared" si="278"/>
        <v>#VALUE!</v>
      </c>
      <c r="X62" s="704" t="str">
        <f t="shared" si="279"/>
        <v>0</v>
      </c>
      <c r="Y62" s="117" t="str">
        <f t="shared" si="280"/>
        <v/>
      </c>
      <c r="Z62" s="123"/>
      <c r="AA62" s="98" t="str">
        <f t="shared" ref="AA62:AA97" si="407">IFERROR(Y62/V62,"")</f>
        <v/>
      </c>
      <c r="AB62" s="123" t="str">
        <f t="shared" si="282"/>
        <v/>
      </c>
      <c r="AC62" s="326"/>
      <c r="AD62" s="326" t="e">
        <f t="shared" si="283"/>
        <v>#VALUE!</v>
      </c>
      <c r="AE62" s="326" t="str">
        <f t="shared" si="284"/>
        <v>0</v>
      </c>
      <c r="AF62" s="326" t="str">
        <f t="shared" si="285"/>
        <v/>
      </c>
      <c r="AG62" s="326" t="e">
        <f t="shared" si="286"/>
        <v>#VALUE!</v>
      </c>
      <c r="AH62" s="494" t="str">
        <f t="shared" ref="AH62:AH97" si="408">IFERROR(AF62/AC62,"")</f>
        <v/>
      </c>
      <c r="AI62" s="141">
        <f t="shared" si="287"/>
        <v>0</v>
      </c>
      <c r="AJ62" s="416" t="str">
        <f t="shared" si="368"/>
        <v>0</v>
      </c>
      <c r="AK62" s="326" t="e">
        <f t="shared" ref="AK62:AM62" si="409">SUM(P62,W62,AD62)</f>
        <v>#VALUE!</v>
      </c>
      <c r="AL62" s="326">
        <f t="shared" si="409"/>
        <v>0</v>
      </c>
      <c r="AM62" s="326">
        <f t="shared" si="409"/>
        <v>0</v>
      </c>
      <c r="AN62" s="326">
        <f t="shared" si="289"/>
        <v>0</v>
      </c>
      <c r="AO62" s="98" t="str">
        <f t="shared" ref="AO62:AO98" si="410">IFERROR(AM62/AI62,"")</f>
        <v/>
      </c>
      <c r="AP62" s="125"/>
      <c r="AQ62" s="140" t="e">
        <f t="shared" si="291"/>
        <v>#VALUE!</v>
      </c>
      <c r="AR62" s="123" t="str">
        <f t="shared" si="292"/>
        <v>0</v>
      </c>
      <c r="AS62" s="148" t="str">
        <f t="shared" si="293"/>
        <v/>
      </c>
      <c r="AT62" s="125" t="str">
        <f t="shared" si="294"/>
        <v/>
      </c>
      <c r="AU62" s="140" t="e">
        <f t="shared" si="295"/>
        <v>#VALUE!</v>
      </c>
      <c r="AV62" s="326" t="str">
        <f t="shared" si="296"/>
        <v>0</v>
      </c>
      <c r="AW62" s="333" t="str">
        <f t="shared" si="297"/>
        <v/>
      </c>
      <c r="AX62" s="125"/>
      <c r="AY62" s="1041" t="e">
        <f t="shared" si="299"/>
        <v>#VALUE!</v>
      </c>
      <c r="AZ62" s="123" t="str">
        <f t="shared" si="300"/>
        <v>0</v>
      </c>
      <c r="BA62" s="125" t="str">
        <f t="shared" si="301"/>
        <v/>
      </c>
      <c r="BB62" s="122" t="e">
        <f t="shared" ref="BB62:BD62" si="411">SUM(AY62,AU62,AQ62)</f>
        <v>#VALUE!</v>
      </c>
      <c r="BC62" s="326">
        <f t="shared" si="411"/>
        <v>0</v>
      </c>
      <c r="BD62" s="333">
        <f t="shared" si="411"/>
        <v>0</v>
      </c>
      <c r="BE62" s="123" t="e">
        <f t="shared" si="303"/>
        <v>#VALUE!</v>
      </c>
      <c r="BF62" s="326">
        <f t="shared" ref="BF62:BG62" si="412">BC62+AL62</f>
        <v>0</v>
      </c>
      <c r="BG62" s="435">
        <f t="shared" si="412"/>
        <v>0</v>
      </c>
      <c r="BH62" s="125"/>
      <c r="BI62" s="1041" t="e">
        <f t="shared" si="306"/>
        <v>#VALUE!</v>
      </c>
      <c r="BJ62" s="326" t="str">
        <f t="shared" si="307"/>
        <v>0</v>
      </c>
      <c r="BK62" s="1045" t="str">
        <f t="shared" si="308"/>
        <v/>
      </c>
      <c r="BL62" s="125"/>
      <c r="BM62" s="141" t="e">
        <f t="shared" si="310"/>
        <v>#VALUE!</v>
      </c>
      <c r="BN62" s="332" t="str">
        <f t="shared" si="311"/>
        <v>0</v>
      </c>
      <c r="BO62" s="333" t="str">
        <f t="shared" si="312"/>
        <v/>
      </c>
      <c r="BP62" s="125"/>
      <c r="BQ62" s="140" t="e">
        <f t="shared" si="53"/>
        <v>#VALUE!</v>
      </c>
      <c r="BR62" s="123" t="str">
        <f t="shared" si="219"/>
        <v>0</v>
      </c>
      <c r="BS62" s="148" t="str">
        <f t="shared" si="220"/>
        <v/>
      </c>
      <c r="BT62" s="140" t="e">
        <f t="shared" ref="BT62:BV62" si="413">SUM(BQ62,BM62,BI62)</f>
        <v>#VALUE!</v>
      </c>
      <c r="BU62" s="123">
        <f t="shared" si="413"/>
        <v>0</v>
      </c>
      <c r="BV62" s="148">
        <f t="shared" si="413"/>
        <v>0</v>
      </c>
      <c r="BW62" s="125" t="str">
        <f t="shared" si="222"/>
        <v/>
      </c>
      <c r="BX62" s="140" t="e">
        <f t="shared" si="58"/>
        <v>#VALUE!</v>
      </c>
      <c r="BY62" s="123" t="str">
        <f t="shared" si="223"/>
        <v>0</v>
      </c>
      <c r="BZ62" s="148" t="str">
        <f t="shared" si="224"/>
        <v/>
      </c>
      <c r="CA62" s="123" t="str">
        <f t="shared" si="225"/>
        <v/>
      </c>
      <c r="CB62" s="326" t="str">
        <f t="shared" si="226"/>
        <v/>
      </c>
    </row>
    <row r="63" spans="1:80" ht="13">
      <c r="A63" s="436">
        <f t="shared" si="210"/>
        <v>112013706</v>
      </c>
      <c r="B63" s="93">
        <f t="shared" si="211"/>
        <v>22</v>
      </c>
      <c r="C63" s="558">
        <f t="shared" si="266"/>
        <v>0.1</v>
      </c>
      <c r="D63" s="558">
        <f t="shared" si="267"/>
        <v>0.09</v>
      </c>
      <c r="E63" s="715">
        <f t="shared" si="268"/>
        <v>0</v>
      </c>
      <c r="F63" s="701">
        <f t="shared" si="212"/>
        <v>1</v>
      </c>
      <c r="G63" s="700" t="str">
        <f t="shared" si="269"/>
        <v>Lista</v>
      </c>
      <c r="H63" s="700">
        <f t="shared" si="270"/>
        <v>0.09</v>
      </c>
      <c r="I63" s="702">
        <f t="shared" si="271"/>
        <v>0</v>
      </c>
      <c r="J63" s="837">
        <f t="shared" si="213"/>
        <v>71</v>
      </c>
      <c r="K63" s="699" t="str">
        <f t="shared" si="214"/>
        <v>Lista</v>
      </c>
      <c r="L63" s="1040">
        <f t="shared" si="215"/>
        <v>0.05</v>
      </c>
      <c r="M63" s="139" t="s">
        <v>1055</v>
      </c>
      <c r="N63" s="123" t="str">
        <f>IFERROR(VLOOKUP(M63,ARRIOLA24,3,FALSE),"")</f>
        <v/>
      </c>
      <c r="O63" s="326" t="e">
        <f t="shared" ref="O63:O64" si="414">(N63*1.601)*1.05</f>
        <v>#VALUE!</v>
      </c>
      <c r="P63" s="704">
        <f t="shared" si="273"/>
        <v>0</v>
      </c>
      <c r="Q63" s="704" t="str">
        <f t="shared" si="274"/>
        <v>0</v>
      </c>
      <c r="R63" s="704">
        <f t="shared" si="275"/>
        <v>0</v>
      </c>
      <c r="S63" s="326" t="e">
        <f t="shared" si="276"/>
        <v>#VALUE!</v>
      </c>
      <c r="T63" s="137" t="str">
        <f t="shared" si="406"/>
        <v/>
      </c>
      <c r="U63" s="332" t="str">
        <f t="shared" si="277"/>
        <v/>
      </c>
      <c r="V63" s="141" t="e">
        <f t="shared" ref="V63:V97" si="415">(U63*1.7245)*1.05</f>
        <v>#VALUE!</v>
      </c>
      <c r="W63" s="113">
        <f t="shared" si="278"/>
        <v>0</v>
      </c>
      <c r="X63" s="704" t="str">
        <f t="shared" si="279"/>
        <v>0</v>
      </c>
      <c r="Y63" s="117">
        <f t="shared" si="280"/>
        <v>0</v>
      </c>
      <c r="Z63" s="123" t="e">
        <f t="shared" ref="Z63:Z97" si="416">Y63-V63</f>
        <v>#VALUE!</v>
      </c>
      <c r="AA63" s="98" t="str">
        <f t="shared" si="407"/>
        <v/>
      </c>
      <c r="AB63" s="123" t="str">
        <f t="shared" si="282"/>
        <v/>
      </c>
      <c r="AC63" s="326" t="e">
        <f t="shared" ref="AC63:AC97" si="417">(AB63*1.5955)*1.03</f>
        <v>#VALUE!</v>
      </c>
      <c r="AD63" s="326">
        <f t="shared" si="283"/>
        <v>0</v>
      </c>
      <c r="AE63" s="326" t="str">
        <f t="shared" si="284"/>
        <v>0</v>
      </c>
      <c r="AF63" s="326">
        <f t="shared" si="285"/>
        <v>0</v>
      </c>
      <c r="AG63" s="326" t="e">
        <f t="shared" si="286"/>
        <v>#VALUE!</v>
      </c>
      <c r="AH63" s="494" t="str">
        <f t="shared" si="408"/>
        <v/>
      </c>
      <c r="AI63" s="141" t="e">
        <f t="shared" si="287"/>
        <v>#VALUE!</v>
      </c>
      <c r="AJ63" s="416">
        <f t="shared" si="368"/>
        <v>295188.55</v>
      </c>
      <c r="AK63" s="326">
        <f t="shared" ref="AK63:AM63" si="418">SUM(P63,W63,AD63)</f>
        <v>0</v>
      </c>
      <c r="AL63" s="326">
        <f t="shared" si="418"/>
        <v>0</v>
      </c>
      <c r="AM63" s="326">
        <f t="shared" si="418"/>
        <v>0</v>
      </c>
      <c r="AN63" s="326" t="e">
        <f t="shared" si="289"/>
        <v>#VALUE!</v>
      </c>
      <c r="AO63" s="98" t="str">
        <f t="shared" si="410"/>
        <v/>
      </c>
      <c r="AP63" s="125" t="str">
        <f t="shared" ref="AP63:AP97" si="419">IFERROR(VLOOKUP(M63,ARRIOLA24,6,FALSE),"")</f>
        <v/>
      </c>
      <c r="AQ63" s="140">
        <f t="shared" si="291"/>
        <v>0</v>
      </c>
      <c r="AR63" s="123" t="str">
        <f t="shared" si="292"/>
        <v>0</v>
      </c>
      <c r="AS63" s="148">
        <f t="shared" si="293"/>
        <v>0</v>
      </c>
      <c r="AT63" s="125" t="str">
        <f t="shared" si="294"/>
        <v/>
      </c>
      <c r="AU63" s="140">
        <f t="shared" si="295"/>
        <v>0</v>
      </c>
      <c r="AV63" s="326" t="str">
        <f t="shared" si="296"/>
        <v>0</v>
      </c>
      <c r="AW63" s="333">
        <f t="shared" si="297"/>
        <v>0</v>
      </c>
      <c r="AX63" s="125" t="str">
        <f>IFERROR(VLOOKUP(M63,ARRIOLA24,8,FALSE),"")</f>
        <v/>
      </c>
      <c r="AY63" s="1041">
        <f t="shared" si="299"/>
        <v>0</v>
      </c>
      <c r="AZ63" s="123" t="str">
        <f t="shared" si="300"/>
        <v>0</v>
      </c>
      <c r="BA63" s="125">
        <f t="shared" si="301"/>
        <v>0</v>
      </c>
      <c r="BB63" s="122">
        <f t="shared" ref="BB63:BD63" si="420">SUM(AY63,AU63,AQ63)</f>
        <v>0</v>
      </c>
      <c r="BC63" s="326">
        <f t="shared" si="420"/>
        <v>0</v>
      </c>
      <c r="BD63" s="333">
        <f t="shared" si="420"/>
        <v>0</v>
      </c>
      <c r="BE63" s="123">
        <f t="shared" si="303"/>
        <v>0</v>
      </c>
      <c r="BF63" s="326">
        <f t="shared" ref="BF63:BG63" si="421">BC63+AL63</f>
        <v>0</v>
      </c>
      <c r="BG63" s="435">
        <f t="shared" si="421"/>
        <v>0</v>
      </c>
      <c r="BH63" s="125" t="str">
        <f>IFERROR(VLOOKUP(M63,ARRIOLA24,9,FALSE),"")</f>
        <v/>
      </c>
      <c r="BI63" s="1041">
        <f t="shared" si="306"/>
        <v>208005.5</v>
      </c>
      <c r="BJ63" s="326" t="str">
        <f t="shared" si="307"/>
        <v>0</v>
      </c>
      <c r="BK63" s="1045">
        <f t="shared" si="308"/>
        <v>208005.5</v>
      </c>
      <c r="BL63" s="125" t="str">
        <f>IFERROR(VLOOKUP(M63,ARRIOLA24,10,FALSE),"")</f>
        <v/>
      </c>
      <c r="BM63" s="141">
        <f t="shared" si="310"/>
        <v>0</v>
      </c>
      <c r="BN63" s="332" t="str">
        <f t="shared" si="311"/>
        <v>0</v>
      </c>
      <c r="BO63" s="333">
        <f t="shared" si="312"/>
        <v>0</v>
      </c>
      <c r="BP63" s="125" t="str">
        <f>IFERROR(VLOOKUP(M63,ARRIOLA24,11,FALSE),"")</f>
        <v/>
      </c>
      <c r="BQ63" s="140">
        <f t="shared" si="53"/>
        <v>0</v>
      </c>
      <c r="BR63" s="123" t="str">
        <f t="shared" si="219"/>
        <v>0</v>
      </c>
      <c r="BS63" s="148">
        <f t="shared" si="220"/>
        <v>0</v>
      </c>
      <c r="BT63" s="140">
        <f t="shared" ref="BT63:BV63" si="422">SUM(BQ63,BM63,BI63)</f>
        <v>208005.5</v>
      </c>
      <c r="BU63" s="123">
        <f t="shared" si="422"/>
        <v>0</v>
      </c>
      <c r="BV63" s="148">
        <f t="shared" si="422"/>
        <v>208005.5</v>
      </c>
      <c r="BW63" s="125" t="str">
        <f t="shared" si="222"/>
        <v/>
      </c>
      <c r="BX63" s="140">
        <f t="shared" si="58"/>
        <v>0</v>
      </c>
      <c r="BY63" s="123" t="str">
        <f t="shared" si="223"/>
        <v>0</v>
      </c>
      <c r="BZ63" s="148">
        <f t="shared" si="224"/>
        <v>0</v>
      </c>
      <c r="CA63" s="123" t="str">
        <f t="shared" si="225"/>
        <v/>
      </c>
      <c r="CB63" s="326" t="str">
        <f t="shared" si="226"/>
        <v/>
      </c>
    </row>
    <row r="64" spans="1:80" ht="13">
      <c r="A64" s="436">
        <f t="shared" si="210"/>
        <v>112013450</v>
      </c>
      <c r="B64" s="93">
        <f t="shared" si="211"/>
        <v>22</v>
      </c>
      <c r="C64" s="558">
        <f t="shared" si="266"/>
        <v>0.1</v>
      </c>
      <c r="D64" s="558">
        <f t="shared" si="267"/>
        <v>0.09</v>
      </c>
      <c r="E64" s="715">
        <f t="shared" si="268"/>
        <v>0</v>
      </c>
      <c r="F64" s="701">
        <f t="shared" si="212"/>
        <v>1</v>
      </c>
      <c r="G64" s="700" t="str">
        <f t="shared" si="269"/>
        <v>Lista</v>
      </c>
      <c r="H64" s="700">
        <f t="shared" si="270"/>
        <v>0.09</v>
      </c>
      <c r="I64" s="702">
        <f t="shared" si="271"/>
        <v>0</v>
      </c>
      <c r="J64" s="837">
        <f t="shared" si="213"/>
        <v>71</v>
      </c>
      <c r="K64" s="699" t="str">
        <f t="shared" si="214"/>
        <v>Lista</v>
      </c>
      <c r="L64" s="1040">
        <f t="shared" si="215"/>
        <v>0.05</v>
      </c>
      <c r="M64" s="139" t="s">
        <v>1056</v>
      </c>
      <c r="N64" s="123" t="str">
        <f>IFERROR(VLOOKUP(M64,ARRIOLA24,3,FALSE),"")</f>
        <v/>
      </c>
      <c r="O64" s="326" t="e">
        <f t="shared" si="414"/>
        <v>#VALUE!</v>
      </c>
      <c r="P64" s="704">
        <f t="shared" si="273"/>
        <v>0</v>
      </c>
      <c r="Q64" s="704" t="str">
        <f t="shared" si="274"/>
        <v>0</v>
      </c>
      <c r="R64" s="704">
        <f t="shared" si="275"/>
        <v>0</v>
      </c>
      <c r="S64" s="326" t="e">
        <f t="shared" si="276"/>
        <v>#VALUE!</v>
      </c>
      <c r="T64" s="137" t="str">
        <f t="shared" si="406"/>
        <v/>
      </c>
      <c r="U64" s="332" t="str">
        <f t="shared" si="277"/>
        <v/>
      </c>
      <c r="V64" s="141" t="e">
        <f t="shared" si="415"/>
        <v>#VALUE!</v>
      </c>
      <c r="W64" s="113">
        <f t="shared" si="278"/>
        <v>0</v>
      </c>
      <c r="X64" s="704" t="str">
        <f t="shared" si="279"/>
        <v>0</v>
      </c>
      <c r="Y64" s="117">
        <f t="shared" si="280"/>
        <v>0</v>
      </c>
      <c r="Z64" s="123" t="e">
        <f t="shared" si="416"/>
        <v>#VALUE!</v>
      </c>
      <c r="AA64" s="98" t="str">
        <f t="shared" si="407"/>
        <v/>
      </c>
      <c r="AB64" s="123" t="str">
        <f t="shared" si="282"/>
        <v/>
      </c>
      <c r="AC64" s="326" t="e">
        <f t="shared" si="417"/>
        <v>#VALUE!</v>
      </c>
      <c r="AD64" s="326">
        <f t="shared" si="283"/>
        <v>0</v>
      </c>
      <c r="AE64" s="326" t="str">
        <f t="shared" si="284"/>
        <v>0</v>
      </c>
      <c r="AF64" s="326">
        <f t="shared" si="285"/>
        <v>0</v>
      </c>
      <c r="AG64" s="326" t="e">
        <f t="shared" si="286"/>
        <v>#VALUE!</v>
      </c>
      <c r="AH64" s="494" t="str">
        <f t="shared" si="408"/>
        <v/>
      </c>
      <c r="AI64" s="141" t="e">
        <f t="shared" si="287"/>
        <v>#VALUE!</v>
      </c>
      <c r="AJ64" s="416">
        <f t="shared" si="368"/>
        <v>982138.16</v>
      </c>
      <c r="AK64" s="326">
        <f t="shared" ref="AK64:AM64" si="423">SUM(P64,W64,AD64)</f>
        <v>0</v>
      </c>
      <c r="AL64" s="326">
        <f t="shared" si="423"/>
        <v>0</v>
      </c>
      <c r="AM64" s="326">
        <f t="shared" si="423"/>
        <v>0</v>
      </c>
      <c r="AN64" s="326" t="e">
        <f t="shared" si="289"/>
        <v>#VALUE!</v>
      </c>
      <c r="AO64" s="98" t="str">
        <f t="shared" si="410"/>
        <v/>
      </c>
      <c r="AP64" s="125" t="str">
        <f t="shared" si="419"/>
        <v/>
      </c>
      <c r="AQ64" s="140">
        <f t="shared" si="291"/>
        <v>197824.7</v>
      </c>
      <c r="AR64" s="123" t="str">
        <f t="shared" si="292"/>
        <v>0</v>
      </c>
      <c r="AS64" s="148">
        <f t="shared" si="293"/>
        <v>197824.7</v>
      </c>
      <c r="AT64" s="125" t="str">
        <f t="shared" si="294"/>
        <v/>
      </c>
      <c r="AU64" s="140">
        <f t="shared" si="295"/>
        <v>0</v>
      </c>
      <c r="AV64" s="326" t="str">
        <f t="shared" si="296"/>
        <v>0</v>
      </c>
      <c r="AW64" s="333">
        <f t="shared" si="297"/>
        <v>0</v>
      </c>
      <c r="AX64" s="125" t="str">
        <f>IFERROR(VLOOKUP(M64,ARRIOLA24,8,FALSE),"")</f>
        <v/>
      </c>
      <c r="AY64" s="1041">
        <f t="shared" si="299"/>
        <v>0</v>
      </c>
      <c r="AZ64" s="123" t="str">
        <f t="shared" si="300"/>
        <v>0</v>
      </c>
      <c r="BA64" s="125">
        <f t="shared" si="301"/>
        <v>0</v>
      </c>
      <c r="BB64" s="122">
        <f t="shared" ref="BB64:BD64" si="424">SUM(AY64,AU64,AQ64)</f>
        <v>197824.7</v>
      </c>
      <c r="BC64" s="326">
        <f t="shared" si="424"/>
        <v>0</v>
      </c>
      <c r="BD64" s="333">
        <f t="shared" si="424"/>
        <v>197824.7</v>
      </c>
      <c r="BE64" s="123">
        <f t="shared" si="303"/>
        <v>197824.7</v>
      </c>
      <c r="BF64" s="326">
        <f t="shared" ref="BF64:BG64" si="425">BC64+AL64</f>
        <v>0</v>
      </c>
      <c r="BG64" s="435">
        <f t="shared" si="425"/>
        <v>197824.7</v>
      </c>
      <c r="BH64" s="125" t="str">
        <f>IFERROR(VLOOKUP(M64,ARRIOLA24,9,FALSE),"")</f>
        <v/>
      </c>
      <c r="BI64" s="1041">
        <f t="shared" si="306"/>
        <v>0</v>
      </c>
      <c r="BJ64" s="326" t="str">
        <f t="shared" si="307"/>
        <v>0</v>
      </c>
      <c r="BK64" s="1045">
        <f t="shared" si="308"/>
        <v>0</v>
      </c>
      <c r="BL64" s="125" t="str">
        <f>IFERROR(VLOOKUP(M64,ARRIOLA24,10,FALSE),"")</f>
        <v/>
      </c>
      <c r="BM64" s="141">
        <f t="shared" si="310"/>
        <v>0</v>
      </c>
      <c r="BN64" s="332" t="str">
        <f t="shared" si="311"/>
        <v>0</v>
      </c>
      <c r="BO64" s="333">
        <f t="shared" si="312"/>
        <v>0</v>
      </c>
      <c r="BP64" s="125" t="str">
        <f>IFERROR(VLOOKUP(M64,ARRIOLA24,11,FALSE),"")</f>
        <v/>
      </c>
      <c r="BQ64" s="140">
        <f t="shared" si="53"/>
        <v>0</v>
      </c>
      <c r="BR64" s="123" t="str">
        <f t="shared" si="219"/>
        <v>0</v>
      </c>
      <c r="BS64" s="148">
        <f t="shared" si="220"/>
        <v>0</v>
      </c>
      <c r="BT64" s="140">
        <f t="shared" ref="BT64:BV64" si="426">SUM(BQ64,BM64,BI64)</f>
        <v>0</v>
      </c>
      <c r="BU64" s="123">
        <f t="shared" si="426"/>
        <v>0</v>
      </c>
      <c r="BV64" s="148">
        <f t="shared" si="426"/>
        <v>0</v>
      </c>
      <c r="BW64" s="125" t="str">
        <f t="shared" si="222"/>
        <v/>
      </c>
      <c r="BX64" s="140">
        <f t="shared" si="58"/>
        <v>0</v>
      </c>
      <c r="BY64" s="123" t="str">
        <f t="shared" si="223"/>
        <v>0</v>
      </c>
      <c r="BZ64" s="148">
        <f t="shared" si="224"/>
        <v>0</v>
      </c>
      <c r="CA64" s="123" t="str">
        <f t="shared" si="225"/>
        <v/>
      </c>
      <c r="CB64" s="326" t="str">
        <f t="shared" si="226"/>
        <v/>
      </c>
    </row>
    <row r="65" spans="1:80" ht="13">
      <c r="A65" s="436">
        <f t="shared" si="210"/>
        <v>112013625</v>
      </c>
      <c r="B65" s="93">
        <f t="shared" si="211"/>
        <v>22</v>
      </c>
      <c r="C65" s="558">
        <f t="shared" si="266"/>
        <v>0.1</v>
      </c>
      <c r="D65" s="558">
        <f t="shared" si="267"/>
        <v>0.09</v>
      </c>
      <c r="E65" s="715">
        <f t="shared" si="268"/>
        <v>0</v>
      </c>
      <c r="F65" s="701">
        <f t="shared" si="212"/>
        <v>1</v>
      </c>
      <c r="G65" s="700" t="str">
        <f t="shared" si="269"/>
        <v>Lista</v>
      </c>
      <c r="H65" s="700">
        <f t="shared" si="270"/>
        <v>0.09</v>
      </c>
      <c r="I65" s="702">
        <f t="shared" si="271"/>
        <v>0</v>
      </c>
      <c r="J65" s="837">
        <f t="shared" si="213"/>
        <v>71</v>
      </c>
      <c r="K65" s="699" t="str">
        <f t="shared" si="214"/>
        <v>Lista</v>
      </c>
      <c r="L65" s="1040">
        <f t="shared" si="215"/>
        <v>0.05</v>
      </c>
      <c r="M65" s="139" t="s">
        <v>1057</v>
      </c>
      <c r="N65" s="123"/>
      <c r="O65" s="326"/>
      <c r="P65" s="704" t="e">
        <f t="shared" si="273"/>
        <v>#VALUE!</v>
      </c>
      <c r="Q65" s="704" t="str">
        <f t="shared" si="274"/>
        <v>0</v>
      </c>
      <c r="R65" s="704" t="str">
        <f t="shared" si="275"/>
        <v/>
      </c>
      <c r="S65" s="326" t="e">
        <f t="shared" si="276"/>
        <v>#VALUE!</v>
      </c>
      <c r="T65" s="137" t="str">
        <f t="shared" si="406"/>
        <v/>
      </c>
      <c r="U65" s="332" t="str">
        <f t="shared" si="277"/>
        <v/>
      </c>
      <c r="V65" s="141" t="e">
        <f t="shared" si="415"/>
        <v>#VALUE!</v>
      </c>
      <c r="W65" s="113" t="e">
        <f t="shared" si="278"/>
        <v>#VALUE!</v>
      </c>
      <c r="X65" s="704" t="str">
        <f t="shared" si="279"/>
        <v>0</v>
      </c>
      <c r="Y65" s="117" t="str">
        <f t="shared" si="280"/>
        <v/>
      </c>
      <c r="Z65" s="123" t="e">
        <f t="shared" si="416"/>
        <v>#VALUE!</v>
      </c>
      <c r="AA65" s="98" t="str">
        <f t="shared" si="407"/>
        <v/>
      </c>
      <c r="AB65" s="123" t="str">
        <f t="shared" si="282"/>
        <v/>
      </c>
      <c r="AC65" s="326" t="e">
        <f t="shared" si="417"/>
        <v>#VALUE!</v>
      </c>
      <c r="AD65" s="326" t="e">
        <f t="shared" si="283"/>
        <v>#VALUE!</v>
      </c>
      <c r="AE65" s="326" t="str">
        <f t="shared" si="284"/>
        <v>0</v>
      </c>
      <c r="AF65" s="326" t="str">
        <f t="shared" si="285"/>
        <v/>
      </c>
      <c r="AG65" s="326" t="e">
        <f t="shared" si="286"/>
        <v>#VALUE!</v>
      </c>
      <c r="AH65" s="494" t="str">
        <f t="shared" si="408"/>
        <v/>
      </c>
      <c r="AI65" s="141" t="e">
        <f t="shared" si="287"/>
        <v>#VALUE!</v>
      </c>
      <c r="AJ65" s="416" t="str">
        <f t="shared" si="368"/>
        <v>0</v>
      </c>
      <c r="AK65" s="326" t="e">
        <f t="shared" ref="AK65:AM65" si="427">SUM(P65,W65,AD65)</f>
        <v>#VALUE!</v>
      </c>
      <c r="AL65" s="326">
        <f t="shared" si="427"/>
        <v>0</v>
      </c>
      <c r="AM65" s="326">
        <f t="shared" si="427"/>
        <v>0</v>
      </c>
      <c r="AN65" s="326" t="e">
        <f t="shared" si="289"/>
        <v>#VALUE!</v>
      </c>
      <c r="AO65" s="98" t="str">
        <f t="shared" si="410"/>
        <v/>
      </c>
      <c r="AP65" s="125" t="str">
        <f t="shared" si="419"/>
        <v/>
      </c>
      <c r="AQ65" s="140" t="e">
        <f t="shared" si="291"/>
        <v>#VALUE!</v>
      </c>
      <c r="AR65" s="123" t="str">
        <f t="shared" si="292"/>
        <v>0</v>
      </c>
      <c r="AS65" s="148" t="str">
        <f t="shared" si="293"/>
        <v/>
      </c>
      <c r="AT65" s="125" t="str">
        <f t="shared" si="294"/>
        <v/>
      </c>
      <c r="AU65" s="140" t="e">
        <f t="shared" si="295"/>
        <v>#VALUE!</v>
      </c>
      <c r="AV65" s="326" t="str">
        <f t="shared" si="296"/>
        <v>0</v>
      </c>
      <c r="AW65" s="333" t="str">
        <f t="shared" si="297"/>
        <v/>
      </c>
      <c r="AX65" s="125"/>
      <c r="AY65" s="1041" t="e">
        <f t="shared" si="299"/>
        <v>#VALUE!</v>
      </c>
      <c r="AZ65" s="123" t="str">
        <f t="shared" si="300"/>
        <v>0</v>
      </c>
      <c r="BA65" s="125" t="str">
        <f t="shared" si="301"/>
        <v/>
      </c>
      <c r="BB65" s="122" t="e">
        <f t="shared" ref="BB65:BD65" si="428">SUM(AY65,AU65,AQ65)</f>
        <v>#VALUE!</v>
      </c>
      <c r="BC65" s="326">
        <f t="shared" si="428"/>
        <v>0</v>
      </c>
      <c r="BD65" s="333">
        <f t="shared" si="428"/>
        <v>0</v>
      </c>
      <c r="BE65" s="123" t="e">
        <f t="shared" si="303"/>
        <v>#VALUE!</v>
      </c>
      <c r="BF65" s="326">
        <f t="shared" ref="BF65:BG65" si="429">BC65+AL65</f>
        <v>0</v>
      </c>
      <c r="BG65" s="435">
        <f t="shared" si="429"/>
        <v>0</v>
      </c>
      <c r="BH65" s="125"/>
      <c r="BI65" s="1041" t="e">
        <f t="shared" si="306"/>
        <v>#VALUE!</v>
      </c>
      <c r="BJ65" s="326" t="str">
        <f t="shared" si="307"/>
        <v>0</v>
      </c>
      <c r="BK65" s="1045" t="str">
        <f t="shared" si="308"/>
        <v/>
      </c>
      <c r="BL65" s="125"/>
      <c r="BM65" s="141" t="e">
        <f t="shared" si="310"/>
        <v>#VALUE!</v>
      </c>
      <c r="BN65" s="332" t="str">
        <f t="shared" si="311"/>
        <v>0</v>
      </c>
      <c r="BO65" s="333" t="str">
        <f t="shared" si="312"/>
        <v/>
      </c>
      <c r="BP65" s="125"/>
      <c r="BQ65" s="140" t="e">
        <f t="shared" si="53"/>
        <v>#VALUE!</v>
      </c>
      <c r="BR65" s="123" t="str">
        <f t="shared" si="219"/>
        <v>0</v>
      </c>
      <c r="BS65" s="148" t="str">
        <f t="shared" si="220"/>
        <v/>
      </c>
      <c r="BT65" s="140" t="e">
        <f t="shared" ref="BT65:BV65" si="430">SUM(BQ65,BM65,BI65)</f>
        <v>#VALUE!</v>
      </c>
      <c r="BU65" s="123">
        <f t="shared" si="430"/>
        <v>0</v>
      </c>
      <c r="BV65" s="148">
        <f t="shared" si="430"/>
        <v>0</v>
      </c>
      <c r="BW65" s="125" t="str">
        <f t="shared" si="222"/>
        <v/>
      </c>
      <c r="BX65" s="140" t="e">
        <f t="shared" si="58"/>
        <v>#VALUE!</v>
      </c>
      <c r="BY65" s="123" t="str">
        <f t="shared" si="223"/>
        <v>0</v>
      </c>
      <c r="BZ65" s="148" t="str">
        <f t="shared" si="224"/>
        <v/>
      </c>
      <c r="CA65" s="123" t="str">
        <f t="shared" si="225"/>
        <v/>
      </c>
      <c r="CB65" s="326" t="str">
        <f t="shared" si="226"/>
        <v/>
      </c>
    </row>
    <row r="66" spans="1:80" ht="13">
      <c r="A66" s="436">
        <f t="shared" ref="A66:A97" si="431">VLOOKUP(M66,ARRCART4,3,FALSE)</f>
        <v>112013490</v>
      </c>
      <c r="B66" s="93">
        <f t="shared" ref="B66:B97" si="432">VLOOKUP(M66,ARRIOLACARTERA,2,FALSE)</f>
        <v>22</v>
      </c>
      <c r="C66" s="558">
        <f t="shared" si="266"/>
        <v>0.1</v>
      </c>
      <c r="D66" s="558">
        <f t="shared" si="267"/>
        <v>0.09</v>
      </c>
      <c r="E66" s="715">
        <f t="shared" si="268"/>
        <v>0</v>
      </c>
      <c r="F66" s="701">
        <f t="shared" ref="F66:F97" si="433">VLOOKUP(M66,ARRIOLCART2,2,FALSE)</f>
        <v>1</v>
      </c>
      <c r="G66" s="700" t="str">
        <f t="shared" si="269"/>
        <v>Lista</v>
      </c>
      <c r="H66" s="700">
        <f t="shared" si="270"/>
        <v>0.09</v>
      </c>
      <c r="I66" s="702">
        <f t="shared" si="271"/>
        <v>0</v>
      </c>
      <c r="J66" s="837">
        <f t="shared" ref="J66:J97" si="434">VLOOKUP(M66,ARRCART4,2,FALSE)</f>
        <v>71</v>
      </c>
      <c r="K66" s="699" t="str">
        <f t="shared" ref="K66:K97" si="435">VLOOKUP(J66,A458DC1025,2,FALSE)</f>
        <v>Lista</v>
      </c>
      <c r="L66" s="1040">
        <f t="shared" ref="L66:L97" si="436">VLOOKUP(J66,A458DC1025,3,FALSE)</f>
        <v>0.05</v>
      </c>
      <c r="M66" s="139" t="s">
        <v>1058</v>
      </c>
      <c r="N66" s="123"/>
      <c r="O66" s="326"/>
      <c r="P66" s="704" t="e">
        <f t="shared" si="273"/>
        <v>#VALUE!</v>
      </c>
      <c r="Q66" s="704" t="str">
        <f t="shared" si="274"/>
        <v>0</v>
      </c>
      <c r="R66" s="704" t="str">
        <f t="shared" si="275"/>
        <v/>
      </c>
      <c r="S66" s="326" t="e">
        <f t="shared" si="276"/>
        <v>#VALUE!</v>
      </c>
      <c r="T66" s="137" t="str">
        <f t="shared" si="406"/>
        <v/>
      </c>
      <c r="U66" s="332" t="str">
        <f t="shared" si="277"/>
        <v/>
      </c>
      <c r="V66" s="141" t="e">
        <f t="shared" si="415"/>
        <v>#VALUE!</v>
      </c>
      <c r="W66" s="113" t="e">
        <f t="shared" si="278"/>
        <v>#VALUE!</v>
      </c>
      <c r="X66" s="704" t="str">
        <f t="shared" si="279"/>
        <v>0</v>
      </c>
      <c r="Y66" s="117" t="str">
        <f t="shared" si="280"/>
        <v/>
      </c>
      <c r="Z66" s="123" t="e">
        <f t="shared" si="416"/>
        <v>#VALUE!</v>
      </c>
      <c r="AA66" s="98" t="str">
        <f t="shared" si="407"/>
        <v/>
      </c>
      <c r="AB66" s="123" t="str">
        <f t="shared" si="282"/>
        <v/>
      </c>
      <c r="AC66" s="326" t="e">
        <f t="shared" si="417"/>
        <v>#VALUE!</v>
      </c>
      <c r="AD66" s="326" t="e">
        <f t="shared" si="283"/>
        <v>#VALUE!</v>
      </c>
      <c r="AE66" s="326" t="str">
        <f t="shared" si="284"/>
        <v>0</v>
      </c>
      <c r="AF66" s="326" t="str">
        <f t="shared" si="285"/>
        <v/>
      </c>
      <c r="AG66" s="326" t="e">
        <f t="shared" si="286"/>
        <v>#VALUE!</v>
      </c>
      <c r="AH66" s="494" t="str">
        <f t="shared" si="408"/>
        <v/>
      </c>
      <c r="AI66" s="141" t="e">
        <f t="shared" si="287"/>
        <v>#VALUE!</v>
      </c>
      <c r="AJ66" s="416" t="str">
        <f t="shared" si="368"/>
        <v>0</v>
      </c>
      <c r="AK66" s="326" t="e">
        <f t="shared" ref="AK66:AM66" si="437">SUM(P66,W66,AD66)</f>
        <v>#VALUE!</v>
      </c>
      <c r="AL66" s="326">
        <f t="shared" si="437"/>
        <v>0</v>
      </c>
      <c r="AM66" s="326">
        <f t="shared" si="437"/>
        <v>0</v>
      </c>
      <c r="AN66" s="326" t="e">
        <f t="shared" si="289"/>
        <v>#VALUE!</v>
      </c>
      <c r="AO66" s="98" t="str">
        <f t="shared" si="410"/>
        <v/>
      </c>
      <c r="AP66" s="125" t="str">
        <f t="shared" si="419"/>
        <v/>
      </c>
      <c r="AQ66" s="140" t="e">
        <f t="shared" si="291"/>
        <v>#VALUE!</v>
      </c>
      <c r="AR66" s="123" t="str">
        <f t="shared" si="292"/>
        <v>0</v>
      </c>
      <c r="AS66" s="148" t="str">
        <f t="shared" si="293"/>
        <v/>
      </c>
      <c r="AT66" s="125" t="str">
        <f t="shared" si="294"/>
        <v/>
      </c>
      <c r="AU66" s="140" t="e">
        <f t="shared" si="295"/>
        <v>#VALUE!</v>
      </c>
      <c r="AV66" s="326" t="str">
        <f t="shared" si="296"/>
        <v>0</v>
      </c>
      <c r="AW66" s="333" t="str">
        <f t="shared" si="297"/>
        <v/>
      </c>
      <c r="AX66" s="125"/>
      <c r="AY66" s="1041" t="e">
        <f t="shared" si="299"/>
        <v>#VALUE!</v>
      </c>
      <c r="AZ66" s="123" t="str">
        <f t="shared" si="300"/>
        <v>0</v>
      </c>
      <c r="BA66" s="125" t="str">
        <f t="shared" si="301"/>
        <v/>
      </c>
      <c r="BB66" s="122" t="e">
        <f t="shared" ref="BB66:BD66" si="438">SUM(AY66,AU66,AQ66)</f>
        <v>#VALUE!</v>
      </c>
      <c r="BC66" s="326">
        <f t="shared" si="438"/>
        <v>0</v>
      </c>
      <c r="BD66" s="333">
        <f t="shared" si="438"/>
        <v>0</v>
      </c>
      <c r="BE66" s="123" t="e">
        <f t="shared" si="303"/>
        <v>#VALUE!</v>
      </c>
      <c r="BF66" s="326">
        <f t="shared" ref="BF66:BG66" si="439">BC66+AL66</f>
        <v>0</v>
      </c>
      <c r="BG66" s="435">
        <f t="shared" si="439"/>
        <v>0</v>
      </c>
      <c r="BH66" s="125"/>
      <c r="BI66" s="1041" t="e">
        <f t="shared" si="306"/>
        <v>#VALUE!</v>
      </c>
      <c r="BJ66" s="326" t="str">
        <f t="shared" si="307"/>
        <v>0</v>
      </c>
      <c r="BK66" s="1045" t="str">
        <f t="shared" si="308"/>
        <v/>
      </c>
      <c r="BL66" s="125"/>
      <c r="BM66" s="141" t="e">
        <f t="shared" si="310"/>
        <v>#VALUE!</v>
      </c>
      <c r="BN66" s="332" t="str">
        <f t="shared" si="311"/>
        <v>0</v>
      </c>
      <c r="BO66" s="333" t="str">
        <f t="shared" si="312"/>
        <v/>
      </c>
      <c r="BP66" s="125"/>
      <c r="BQ66" s="140" t="e">
        <f t="shared" si="53"/>
        <v>#VALUE!</v>
      </c>
      <c r="BR66" s="123" t="str">
        <f t="shared" ref="BR66:BR97" si="440">IFERROR(VLOOKUP(M66,ARRIOALIM,11,FALSE),"0")</f>
        <v>0</v>
      </c>
      <c r="BS66" s="148" t="str">
        <f t="shared" ref="BS66:BS97" si="441">IFERROR(VLOOKUP(M66,ARRIOFC,11,FALSE),"")</f>
        <v/>
      </c>
      <c r="BT66" s="140" t="e">
        <f t="shared" ref="BT66:BV66" si="442">SUM(BQ66,BM66,BI66)</f>
        <v>#VALUE!</v>
      </c>
      <c r="BU66" s="123">
        <f t="shared" si="442"/>
        <v>0</v>
      </c>
      <c r="BV66" s="148">
        <f t="shared" si="442"/>
        <v>0</v>
      </c>
      <c r="BW66" s="125" t="str">
        <f t="shared" ref="BW66:BW97" si="443">IFERROR(VLOOKUP(M66,ARRIOLA24,12,FALSE),"")</f>
        <v/>
      </c>
      <c r="BX66" s="140" t="e">
        <f t="shared" si="58"/>
        <v>#VALUE!</v>
      </c>
      <c r="BY66" s="123" t="str">
        <f t="shared" ref="BY66:BY97" si="444">IFERROR(VLOOKUP(M66,ARRIOALIM,12,FALSE),"0")</f>
        <v>0</v>
      </c>
      <c r="BZ66" s="148" t="str">
        <f t="shared" ref="BZ66:BZ97" si="445">IFERROR(VLOOKUP(M66,ARRIOFC,12,FALSE),"")</f>
        <v/>
      </c>
      <c r="CA66" s="123" t="str">
        <f t="shared" ref="CA66:CA97" si="446">IFERROR(VLOOKUP(M66,ARRIOLA24,13,FALSE),"")</f>
        <v/>
      </c>
      <c r="CB66" s="326" t="str">
        <f t="shared" ref="CB66:CB97" si="447">IFERROR(VLOOKUP(M66,ARRIOLA24,14,FALSE),"")</f>
        <v/>
      </c>
    </row>
    <row r="67" spans="1:80" ht="13">
      <c r="A67" s="436">
        <f t="shared" si="431"/>
        <v>112014556</v>
      </c>
      <c r="B67" s="93">
        <f t="shared" si="432"/>
        <v>22</v>
      </c>
      <c r="C67" s="699">
        <f t="shared" si="266"/>
        <v>0.1</v>
      </c>
      <c r="D67" s="699">
        <f t="shared" si="267"/>
        <v>0.09</v>
      </c>
      <c r="E67" s="700">
        <f t="shared" si="268"/>
        <v>0</v>
      </c>
      <c r="F67" s="701">
        <f t="shared" si="433"/>
        <v>1</v>
      </c>
      <c r="G67" s="700" t="str">
        <f t="shared" si="269"/>
        <v>Lista</v>
      </c>
      <c r="H67" s="700">
        <f t="shared" si="270"/>
        <v>0.09</v>
      </c>
      <c r="I67" s="702">
        <f t="shared" si="271"/>
        <v>0</v>
      </c>
      <c r="J67" s="837">
        <f t="shared" si="434"/>
        <v>71</v>
      </c>
      <c r="K67" s="699" t="str">
        <f t="shared" si="435"/>
        <v>Lista</v>
      </c>
      <c r="L67" s="1040">
        <f t="shared" si="436"/>
        <v>0.05</v>
      </c>
      <c r="M67" s="99" t="s">
        <v>1059</v>
      </c>
      <c r="N67" s="114"/>
      <c r="O67" s="116"/>
      <c r="P67" s="704" t="e">
        <f t="shared" si="273"/>
        <v>#VALUE!</v>
      </c>
      <c r="Q67" s="704" t="str">
        <f t="shared" si="274"/>
        <v>0</v>
      </c>
      <c r="R67" s="704" t="str">
        <f t="shared" si="275"/>
        <v/>
      </c>
      <c r="S67" s="326" t="e">
        <f t="shared" si="276"/>
        <v>#VALUE!</v>
      </c>
      <c r="T67" s="137" t="str">
        <f t="shared" si="406"/>
        <v/>
      </c>
      <c r="U67" s="332" t="str">
        <f t="shared" si="277"/>
        <v/>
      </c>
      <c r="V67" s="141" t="e">
        <f t="shared" si="415"/>
        <v>#VALUE!</v>
      </c>
      <c r="W67" s="113" t="e">
        <f t="shared" si="278"/>
        <v>#VALUE!</v>
      </c>
      <c r="X67" s="704" t="str">
        <f t="shared" si="279"/>
        <v>0</v>
      </c>
      <c r="Y67" s="117" t="str">
        <f t="shared" si="280"/>
        <v/>
      </c>
      <c r="Z67" s="123" t="e">
        <f t="shared" si="416"/>
        <v>#VALUE!</v>
      </c>
      <c r="AA67" s="98" t="str">
        <f t="shared" si="407"/>
        <v/>
      </c>
      <c r="AB67" s="123" t="str">
        <f t="shared" si="282"/>
        <v/>
      </c>
      <c r="AC67" s="326" t="e">
        <f t="shared" si="417"/>
        <v>#VALUE!</v>
      </c>
      <c r="AD67" s="326" t="e">
        <f t="shared" si="283"/>
        <v>#VALUE!</v>
      </c>
      <c r="AE67" s="326" t="str">
        <f t="shared" si="284"/>
        <v>0</v>
      </c>
      <c r="AF67" s="326" t="str">
        <f t="shared" si="285"/>
        <v/>
      </c>
      <c r="AG67" s="326" t="e">
        <f t="shared" si="286"/>
        <v>#VALUE!</v>
      </c>
      <c r="AH67" s="494" t="str">
        <f t="shared" si="408"/>
        <v/>
      </c>
      <c r="AI67" s="141" t="e">
        <f t="shared" si="287"/>
        <v>#VALUE!</v>
      </c>
      <c r="AJ67" s="416">
        <f t="shared" si="368"/>
        <v>624281.26</v>
      </c>
      <c r="AK67" s="326" t="e">
        <f t="shared" ref="AK67:AM67" si="448">SUM(P67,W67,AD67)</f>
        <v>#VALUE!</v>
      </c>
      <c r="AL67" s="326">
        <f t="shared" si="448"/>
        <v>0</v>
      </c>
      <c r="AM67" s="326">
        <f t="shared" si="448"/>
        <v>0</v>
      </c>
      <c r="AN67" s="326" t="e">
        <f t="shared" si="289"/>
        <v>#VALUE!</v>
      </c>
      <c r="AO67" s="98" t="str">
        <f t="shared" si="410"/>
        <v/>
      </c>
      <c r="AP67" s="125" t="str">
        <f t="shared" si="419"/>
        <v/>
      </c>
      <c r="AQ67" s="140" t="e">
        <f t="shared" si="291"/>
        <v>#VALUE!</v>
      </c>
      <c r="AR67" s="123" t="str">
        <f t="shared" si="292"/>
        <v>0</v>
      </c>
      <c r="AS67" s="148" t="str">
        <f t="shared" si="293"/>
        <v/>
      </c>
      <c r="AT67" s="125" t="str">
        <f t="shared" si="294"/>
        <v/>
      </c>
      <c r="AU67" s="140" t="e">
        <f t="shared" si="295"/>
        <v>#VALUE!</v>
      </c>
      <c r="AV67" s="326" t="str">
        <f t="shared" si="296"/>
        <v>0</v>
      </c>
      <c r="AW67" s="333" t="str">
        <f t="shared" si="297"/>
        <v/>
      </c>
      <c r="AX67" s="125"/>
      <c r="AY67" s="1041" t="e">
        <f t="shared" si="299"/>
        <v>#VALUE!</v>
      </c>
      <c r="AZ67" s="123" t="str">
        <f t="shared" si="300"/>
        <v>0</v>
      </c>
      <c r="BA67" s="125" t="str">
        <f t="shared" si="301"/>
        <v/>
      </c>
      <c r="BB67" s="122" t="e">
        <f t="shared" ref="BB67:BD67" si="449">SUM(AY67,AU67,AQ67)</f>
        <v>#VALUE!</v>
      </c>
      <c r="BC67" s="326">
        <f t="shared" si="449"/>
        <v>0</v>
      </c>
      <c r="BD67" s="333">
        <f t="shared" si="449"/>
        <v>0</v>
      </c>
      <c r="BE67" s="123" t="e">
        <f t="shared" si="303"/>
        <v>#VALUE!</v>
      </c>
      <c r="BF67" s="326">
        <f t="shared" ref="BF67:BG67" si="450">BC67+AL67</f>
        <v>0</v>
      </c>
      <c r="BG67" s="435">
        <f t="shared" si="450"/>
        <v>0</v>
      </c>
      <c r="BH67" s="125"/>
      <c r="BI67" s="1041" t="e">
        <f t="shared" si="306"/>
        <v>#VALUE!</v>
      </c>
      <c r="BJ67" s="326" t="str">
        <f t="shared" si="307"/>
        <v>0</v>
      </c>
      <c r="BK67" s="1045" t="str">
        <f t="shared" si="308"/>
        <v/>
      </c>
      <c r="BL67" s="125"/>
      <c r="BM67" s="141" t="e">
        <f t="shared" si="310"/>
        <v>#VALUE!</v>
      </c>
      <c r="BN67" s="332" t="str">
        <f t="shared" si="311"/>
        <v>0</v>
      </c>
      <c r="BO67" s="333" t="str">
        <f t="shared" si="312"/>
        <v/>
      </c>
      <c r="BP67" s="125"/>
      <c r="BQ67" s="140" t="e">
        <f t="shared" si="53"/>
        <v>#VALUE!</v>
      </c>
      <c r="BR67" s="123" t="str">
        <f t="shared" si="440"/>
        <v>0</v>
      </c>
      <c r="BS67" s="148" t="str">
        <f t="shared" si="441"/>
        <v/>
      </c>
      <c r="BT67" s="140" t="e">
        <f t="shared" ref="BT67:BV67" si="451">SUM(BQ67,BM67,BI67)</f>
        <v>#VALUE!</v>
      </c>
      <c r="BU67" s="123">
        <f t="shared" si="451"/>
        <v>0</v>
      </c>
      <c r="BV67" s="148">
        <f t="shared" si="451"/>
        <v>0</v>
      </c>
      <c r="BW67" s="125" t="str">
        <f t="shared" si="443"/>
        <v/>
      </c>
      <c r="BX67" s="140" t="e">
        <f t="shared" si="58"/>
        <v>#VALUE!</v>
      </c>
      <c r="BY67" s="123" t="str">
        <f t="shared" si="444"/>
        <v>0</v>
      </c>
      <c r="BZ67" s="148" t="str">
        <f t="shared" si="445"/>
        <v/>
      </c>
      <c r="CA67" s="123" t="str">
        <f t="shared" si="446"/>
        <v/>
      </c>
      <c r="CB67" s="326" t="str">
        <f t="shared" si="447"/>
        <v/>
      </c>
    </row>
    <row r="68" spans="1:80" ht="13">
      <c r="A68" s="436">
        <f t="shared" si="431"/>
        <v>112014591</v>
      </c>
      <c r="B68" s="93">
        <f t="shared" si="432"/>
        <v>22</v>
      </c>
      <c r="C68" s="137">
        <f t="shared" si="266"/>
        <v>0.1</v>
      </c>
      <c r="D68" s="137">
        <f t="shared" si="267"/>
        <v>0.09</v>
      </c>
      <c r="E68" s="494">
        <f t="shared" si="268"/>
        <v>0</v>
      </c>
      <c r="F68" s="701">
        <f t="shared" si="433"/>
        <v>1</v>
      </c>
      <c r="G68" s="700" t="str">
        <f t="shared" si="269"/>
        <v>Lista</v>
      </c>
      <c r="H68" s="700">
        <f t="shared" si="270"/>
        <v>0.09</v>
      </c>
      <c r="I68" s="702">
        <f t="shared" si="271"/>
        <v>0</v>
      </c>
      <c r="J68" s="837">
        <f t="shared" si="434"/>
        <v>71</v>
      </c>
      <c r="K68" s="699" t="str">
        <f t="shared" si="435"/>
        <v>Lista</v>
      </c>
      <c r="L68" s="1040">
        <f t="shared" si="436"/>
        <v>0.05</v>
      </c>
      <c r="M68" s="139" t="s">
        <v>1060</v>
      </c>
      <c r="N68" s="123">
        <f>IFERROR(VLOOKUP(M68,ARRIOLA24,3,FALSE),"")</f>
        <v>0</v>
      </c>
      <c r="O68" s="326">
        <v>1800000</v>
      </c>
      <c r="P68" s="704">
        <f t="shared" si="273"/>
        <v>248613.59000000003</v>
      </c>
      <c r="Q68" s="704">
        <f t="shared" si="274"/>
        <v>113711.48</v>
      </c>
      <c r="R68" s="704">
        <f t="shared" si="275"/>
        <v>362325.07</v>
      </c>
      <c r="S68" s="326">
        <f t="shared" si="276"/>
        <v>-1437674.93</v>
      </c>
      <c r="T68" s="137">
        <f t="shared" si="406"/>
        <v>0.20129170555555556</v>
      </c>
      <c r="U68" s="332">
        <f t="shared" si="277"/>
        <v>0</v>
      </c>
      <c r="V68" s="141">
        <f t="shared" si="415"/>
        <v>0</v>
      </c>
      <c r="W68" s="113">
        <f t="shared" si="278"/>
        <v>85703.97000000003</v>
      </c>
      <c r="X68" s="704">
        <f t="shared" si="279"/>
        <v>272874.90999999997</v>
      </c>
      <c r="Y68" s="117">
        <f t="shared" si="280"/>
        <v>358578.88</v>
      </c>
      <c r="Z68" s="123">
        <f t="shared" si="416"/>
        <v>358578.88</v>
      </c>
      <c r="AA68" s="98" t="str">
        <f t="shared" si="407"/>
        <v/>
      </c>
      <c r="AB68" s="123">
        <f t="shared" si="282"/>
        <v>0</v>
      </c>
      <c r="AC68" s="326">
        <f t="shared" si="417"/>
        <v>0</v>
      </c>
      <c r="AD68" s="326">
        <f t="shared" si="283"/>
        <v>180815.66999999998</v>
      </c>
      <c r="AE68" s="326">
        <f t="shared" si="284"/>
        <v>66328.94</v>
      </c>
      <c r="AF68" s="326">
        <f t="shared" si="285"/>
        <v>247144.61</v>
      </c>
      <c r="AG68" s="326">
        <f t="shared" si="286"/>
        <v>247144.61</v>
      </c>
      <c r="AH68" s="494" t="str">
        <f t="shared" si="408"/>
        <v/>
      </c>
      <c r="AI68" s="141">
        <f t="shared" si="287"/>
        <v>1800000</v>
      </c>
      <c r="AJ68" s="416">
        <f t="shared" si="368"/>
        <v>514529.73</v>
      </c>
      <c r="AK68" s="326">
        <f t="shared" ref="AK68:AM68" si="452">SUM(P68,W68,AD68)</f>
        <v>515133.23000000004</v>
      </c>
      <c r="AL68" s="326">
        <f t="shared" si="452"/>
        <v>452915.32999999996</v>
      </c>
      <c r="AM68" s="326">
        <f t="shared" si="452"/>
        <v>968048.55999999994</v>
      </c>
      <c r="AN68" s="326">
        <f t="shared" si="289"/>
        <v>-831951.44000000006</v>
      </c>
      <c r="AO68" s="98">
        <f t="shared" si="410"/>
        <v>0.53780475555555551</v>
      </c>
      <c r="AP68" s="125">
        <f t="shared" si="419"/>
        <v>0</v>
      </c>
      <c r="AQ68" s="140">
        <f t="shared" si="291"/>
        <v>201293.53</v>
      </c>
      <c r="AR68" s="123">
        <f t="shared" si="292"/>
        <v>28952.21</v>
      </c>
      <c r="AS68" s="148">
        <f t="shared" si="293"/>
        <v>230245.74</v>
      </c>
      <c r="AT68" s="125">
        <f t="shared" si="294"/>
        <v>0</v>
      </c>
      <c r="AU68" s="140">
        <f t="shared" si="295"/>
        <v>120750.57</v>
      </c>
      <c r="AV68" s="326">
        <f t="shared" si="296"/>
        <v>0</v>
      </c>
      <c r="AW68" s="333">
        <f t="shared" si="297"/>
        <v>120750.57</v>
      </c>
      <c r="AX68" s="125">
        <f>IFERROR(VLOOKUP(M68,ARRIOLA24,8,FALSE),"")</f>
        <v>0</v>
      </c>
      <c r="AY68" s="1041">
        <f t="shared" si="299"/>
        <v>71140.090000000011</v>
      </c>
      <c r="AZ68" s="123">
        <f t="shared" si="300"/>
        <v>72000.539999999994</v>
      </c>
      <c r="BA68" s="125">
        <f t="shared" si="301"/>
        <v>143140.63</v>
      </c>
      <c r="BB68" s="122">
        <f t="shared" ref="BB68:BD68" si="453">SUM(AY68,AU68,AQ68)</f>
        <v>393184.19000000006</v>
      </c>
      <c r="BC68" s="326">
        <f t="shared" si="453"/>
        <v>100952.75</v>
      </c>
      <c r="BD68" s="333">
        <f t="shared" si="453"/>
        <v>494136.94</v>
      </c>
      <c r="BE68" s="123">
        <f t="shared" si="303"/>
        <v>1009270.17</v>
      </c>
      <c r="BF68" s="326">
        <f t="shared" ref="BF68:BG68" si="454">BC68+AL68</f>
        <v>553868.07999999996</v>
      </c>
      <c r="BG68" s="435">
        <f t="shared" si="454"/>
        <v>1462185.5</v>
      </c>
      <c r="BH68" s="125">
        <f>IFERROR(VLOOKUP(M68,ARRIOLA24,9,FALSE),"")</f>
        <v>0</v>
      </c>
      <c r="BI68" s="1041">
        <f t="shared" si="306"/>
        <v>110916.86000000002</v>
      </c>
      <c r="BJ68" s="326">
        <f t="shared" si="307"/>
        <v>113740.68</v>
      </c>
      <c r="BK68" s="1045">
        <f t="shared" si="308"/>
        <v>224657.54</v>
      </c>
      <c r="BL68" s="125">
        <f>IFERROR(VLOOKUP(M68,ARRIOLA24,10,FALSE),"")</f>
        <v>0</v>
      </c>
      <c r="BM68" s="141">
        <f t="shared" si="310"/>
        <v>58300.200000000004</v>
      </c>
      <c r="BN68" s="332">
        <f t="shared" si="311"/>
        <v>36000.269999999997</v>
      </c>
      <c r="BO68" s="333">
        <f t="shared" si="312"/>
        <v>94300.47</v>
      </c>
      <c r="BP68" s="125">
        <f>IFERROR(VLOOKUP(M68,ARRIOLA24,11,FALSE),"")</f>
        <v>0</v>
      </c>
      <c r="BQ68" s="140">
        <f t="shared" si="53"/>
        <v>254535.11</v>
      </c>
      <c r="BR68" s="123">
        <f t="shared" si="440"/>
        <v>54607</v>
      </c>
      <c r="BS68" s="148">
        <f t="shared" si="441"/>
        <v>309142.11</v>
      </c>
      <c r="BT68" s="140">
        <f t="shared" ref="BT68:BV68" si="455">SUM(BQ68,BM68,BI68)</f>
        <v>423752.17000000004</v>
      </c>
      <c r="BU68" s="123">
        <f t="shared" si="455"/>
        <v>204347.94999999998</v>
      </c>
      <c r="BV68" s="148">
        <f t="shared" si="455"/>
        <v>628100.12</v>
      </c>
      <c r="BW68" s="125">
        <f t="shared" si="443"/>
        <v>0</v>
      </c>
      <c r="BX68" s="140">
        <f t="shared" si="58"/>
        <v>76037.5</v>
      </c>
      <c r="BY68" s="123">
        <f t="shared" si="444"/>
        <v>30729.37</v>
      </c>
      <c r="BZ68" s="148">
        <f t="shared" si="445"/>
        <v>106766.87</v>
      </c>
      <c r="CA68" s="123">
        <f t="shared" si="446"/>
        <v>269099.15000000002</v>
      </c>
      <c r="CB68" s="326">
        <f t="shared" si="447"/>
        <v>245430.57</v>
      </c>
    </row>
    <row r="69" spans="1:80" ht="13">
      <c r="A69" s="436">
        <f t="shared" si="431"/>
        <v>112013809</v>
      </c>
      <c r="B69" s="93">
        <f t="shared" si="432"/>
        <v>20</v>
      </c>
      <c r="C69" s="558">
        <f t="shared" si="266"/>
        <v>0.05</v>
      </c>
      <c r="D69" s="558">
        <f t="shared" si="267"/>
        <v>0.09</v>
      </c>
      <c r="E69" s="715">
        <f t="shared" si="268"/>
        <v>0</v>
      </c>
      <c r="F69" s="701">
        <f t="shared" si="433"/>
        <v>1</v>
      </c>
      <c r="G69" s="700" t="str">
        <f t="shared" si="269"/>
        <v>Lista</v>
      </c>
      <c r="H69" s="700">
        <f t="shared" si="270"/>
        <v>0.09</v>
      </c>
      <c r="I69" s="702">
        <f t="shared" si="271"/>
        <v>0</v>
      </c>
      <c r="J69" s="837">
        <f t="shared" si="434"/>
        <v>71</v>
      </c>
      <c r="K69" s="699" t="str">
        <f t="shared" si="435"/>
        <v>Lista</v>
      </c>
      <c r="L69" s="1040">
        <f t="shared" si="436"/>
        <v>0.05</v>
      </c>
      <c r="M69" s="139" t="s">
        <v>1061</v>
      </c>
      <c r="N69" s="123" t="str">
        <f>IFERROR(VLOOKUP(M69,ARRIOLA24,3,FALSE),"")</f>
        <v/>
      </c>
      <c r="O69" s="326" t="e">
        <f>(N69*1.601)*1.05</f>
        <v>#VALUE!</v>
      </c>
      <c r="P69" s="704" t="e">
        <f t="shared" si="273"/>
        <v>#VALUE!</v>
      </c>
      <c r="Q69" s="704" t="str">
        <f t="shared" si="274"/>
        <v>0</v>
      </c>
      <c r="R69" s="704" t="str">
        <f t="shared" si="275"/>
        <v/>
      </c>
      <c r="S69" s="326" t="e">
        <f t="shared" si="276"/>
        <v>#VALUE!</v>
      </c>
      <c r="T69" s="137" t="str">
        <f t="shared" si="406"/>
        <v/>
      </c>
      <c r="U69" s="332" t="str">
        <f t="shared" si="277"/>
        <v/>
      </c>
      <c r="V69" s="141" t="e">
        <f t="shared" si="415"/>
        <v>#VALUE!</v>
      </c>
      <c r="W69" s="113" t="e">
        <f t="shared" si="278"/>
        <v>#VALUE!</v>
      </c>
      <c r="X69" s="704" t="str">
        <f t="shared" si="279"/>
        <v>0</v>
      </c>
      <c r="Y69" s="117" t="str">
        <f t="shared" si="280"/>
        <v/>
      </c>
      <c r="Z69" s="123" t="e">
        <f t="shared" si="416"/>
        <v>#VALUE!</v>
      </c>
      <c r="AA69" s="98" t="str">
        <f t="shared" si="407"/>
        <v/>
      </c>
      <c r="AB69" s="123" t="str">
        <f t="shared" si="282"/>
        <v/>
      </c>
      <c r="AC69" s="326" t="e">
        <f t="shared" si="417"/>
        <v>#VALUE!</v>
      </c>
      <c r="AD69" s="326" t="e">
        <f t="shared" si="283"/>
        <v>#VALUE!</v>
      </c>
      <c r="AE69" s="326" t="str">
        <f t="shared" si="284"/>
        <v>0</v>
      </c>
      <c r="AF69" s="326" t="str">
        <f t="shared" si="285"/>
        <v/>
      </c>
      <c r="AG69" s="326" t="e">
        <f t="shared" si="286"/>
        <v>#VALUE!</v>
      </c>
      <c r="AH69" s="494" t="str">
        <f t="shared" si="408"/>
        <v/>
      </c>
      <c r="AI69" s="141" t="e">
        <f t="shared" si="287"/>
        <v>#VALUE!</v>
      </c>
      <c r="AJ69" s="416" t="str">
        <f t="shared" si="368"/>
        <v>0</v>
      </c>
      <c r="AK69" s="326" t="e">
        <f t="shared" ref="AK69:AM69" si="456">SUM(P69,W69,AD69)</f>
        <v>#VALUE!</v>
      </c>
      <c r="AL69" s="326">
        <f t="shared" si="456"/>
        <v>0</v>
      </c>
      <c r="AM69" s="326">
        <f t="shared" si="456"/>
        <v>0</v>
      </c>
      <c r="AN69" s="326" t="e">
        <f t="shared" si="289"/>
        <v>#VALUE!</v>
      </c>
      <c r="AO69" s="98" t="str">
        <f t="shared" si="410"/>
        <v/>
      </c>
      <c r="AP69" s="125" t="str">
        <f t="shared" si="419"/>
        <v/>
      </c>
      <c r="AQ69" s="140" t="e">
        <f t="shared" si="291"/>
        <v>#VALUE!</v>
      </c>
      <c r="AR69" s="123" t="str">
        <f t="shared" si="292"/>
        <v>0</v>
      </c>
      <c r="AS69" s="148" t="str">
        <f t="shared" si="293"/>
        <v/>
      </c>
      <c r="AT69" s="125" t="str">
        <f t="shared" si="294"/>
        <v/>
      </c>
      <c r="AU69" s="140" t="e">
        <f t="shared" si="295"/>
        <v>#VALUE!</v>
      </c>
      <c r="AV69" s="326" t="str">
        <f t="shared" si="296"/>
        <v>0</v>
      </c>
      <c r="AW69" s="333" t="str">
        <f t="shared" si="297"/>
        <v/>
      </c>
      <c r="AX69" s="125" t="str">
        <f>IFERROR(VLOOKUP(M69,ARRIOLA24,8,FALSE),"")</f>
        <v/>
      </c>
      <c r="AY69" s="1041" t="e">
        <f t="shared" si="299"/>
        <v>#VALUE!</v>
      </c>
      <c r="AZ69" s="123" t="str">
        <f t="shared" si="300"/>
        <v>0</v>
      </c>
      <c r="BA69" s="125" t="str">
        <f t="shared" si="301"/>
        <v/>
      </c>
      <c r="BB69" s="122" t="e">
        <f t="shared" ref="BB69:BD69" si="457">SUM(AY69,AU69,AQ69)</f>
        <v>#VALUE!</v>
      </c>
      <c r="BC69" s="326">
        <f t="shared" si="457"/>
        <v>0</v>
      </c>
      <c r="BD69" s="333">
        <f t="shared" si="457"/>
        <v>0</v>
      </c>
      <c r="BE69" s="123" t="e">
        <f t="shared" si="303"/>
        <v>#VALUE!</v>
      </c>
      <c r="BF69" s="326">
        <f t="shared" ref="BF69:BG69" si="458">BC69+AL69</f>
        <v>0</v>
      </c>
      <c r="BG69" s="435">
        <f t="shared" si="458"/>
        <v>0</v>
      </c>
      <c r="BH69" s="125" t="str">
        <f>IFERROR(VLOOKUP(M69,ARRIOLA24,9,FALSE),"")</f>
        <v/>
      </c>
      <c r="BI69" s="1041" t="e">
        <f t="shared" si="306"/>
        <v>#VALUE!</v>
      </c>
      <c r="BJ69" s="326" t="str">
        <f t="shared" si="307"/>
        <v>0</v>
      </c>
      <c r="BK69" s="1045" t="str">
        <f t="shared" si="308"/>
        <v/>
      </c>
      <c r="BL69" s="125" t="str">
        <f>IFERROR(VLOOKUP(M69,ARRIOLA24,10,FALSE),"")</f>
        <v/>
      </c>
      <c r="BM69" s="141" t="e">
        <f t="shared" si="310"/>
        <v>#VALUE!</v>
      </c>
      <c r="BN69" s="332" t="str">
        <f t="shared" si="311"/>
        <v>0</v>
      </c>
      <c r="BO69" s="333" t="str">
        <f t="shared" si="312"/>
        <v/>
      </c>
      <c r="BP69" s="125" t="str">
        <f>IFERROR(VLOOKUP(M69,ARRIOLA24,11,FALSE),"")</f>
        <v/>
      </c>
      <c r="BQ69" s="140" t="e">
        <f t="shared" si="53"/>
        <v>#VALUE!</v>
      </c>
      <c r="BR69" s="123" t="str">
        <f t="shared" si="440"/>
        <v>0</v>
      </c>
      <c r="BS69" s="148" t="str">
        <f t="shared" si="441"/>
        <v/>
      </c>
      <c r="BT69" s="140" t="e">
        <f t="shared" ref="BT69:BV69" si="459">SUM(BQ69,BM69,BI69)</f>
        <v>#VALUE!</v>
      </c>
      <c r="BU69" s="123">
        <f t="shared" si="459"/>
        <v>0</v>
      </c>
      <c r="BV69" s="148">
        <f t="shared" si="459"/>
        <v>0</v>
      </c>
      <c r="BW69" s="125" t="str">
        <f t="shared" si="443"/>
        <v/>
      </c>
      <c r="BX69" s="140" t="e">
        <f t="shared" si="58"/>
        <v>#VALUE!</v>
      </c>
      <c r="BY69" s="123" t="str">
        <f t="shared" si="444"/>
        <v>0</v>
      </c>
      <c r="BZ69" s="148" t="str">
        <f t="shared" si="445"/>
        <v/>
      </c>
      <c r="CA69" s="123" t="str">
        <f t="shared" si="446"/>
        <v/>
      </c>
      <c r="CB69" s="326" t="str">
        <f t="shared" si="447"/>
        <v/>
      </c>
    </row>
    <row r="70" spans="1:80" ht="13">
      <c r="A70" s="436">
        <f t="shared" si="431"/>
        <v>112013469</v>
      </c>
      <c r="B70" s="93">
        <f t="shared" si="432"/>
        <v>20</v>
      </c>
      <c r="C70" s="558">
        <f t="shared" si="266"/>
        <v>0.05</v>
      </c>
      <c r="D70" s="558">
        <f t="shared" si="267"/>
        <v>0.09</v>
      </c>
      <c r="E70" s="715">
        <f t="shared" si="268"/>
        <v>0</v>
      </c>
      <c r="F70" s="701">
        <f t="shared" si="433"/>
        <v>1</v>
      </c>
      <c r="G70" s="700" t="str">
        <f t="shared" si="269"/>
        <v>Lista</v>
      </c>
      <c r="H70" s="700">
        <f t="shared" si="270"/>
        <v>0.09</v>
      </c>
      <c r="I70" s="702">
        <f t="shared" si="271"/>
        <v>0</v>
      </c>
      <c r="J70" s="837">
        <f t="shared" si="434"/>
        <v>71</v>
      </c>
      <c r="K70" s="699" t="str">
        <f t="shared" si="435"/>
        <v>Lista</v>
      </c>
      <c r="L70" s="1040">
        <f t="shared" si="436"/>
        <v>0.05</v>
      </c>
      <c r="M70" s="139" t="s">
        <v>1062</v>
      </c>
      <c r="N70" s="123"/>
      <c r="O70" s="326"/>
      <c r="P70" s="704">
        <f t="shared" si="273"/>
        <v>0</v>
      </c>
      <c r="Q70" s="704" t="str">
        <f t="shared" si="274"/>
        <v>0</v>
      </c>
      <c r="R70" s="704">
        <f t="shared" si="275"/>
        <v>0</v>
      </c>
      <c r="S70" s="326">
        <f t="shared" si="276"/>
        <v>0</v>
      </c>
      <c r="T70" s="137" t="str">
        <f t="shared" si="406"/>
        <v/>
      </c>
      <c r="U70" s="332" t="str">
        <f t="shared" si="277"/>
        <v/>
      </c>
      <c r="V70" s="141" t="e">
        <f t="shared" si="415"/>
        <v>#VALUE!</v>
      </c>
      <c r="W70" s="113">
        <f t="shared" si="278"/>
        <v>0</v>
      </c>
      <c r="X70" s="704" t="str">
        <f t="shared" si="279"/>
        <v>0</v>
      </c>
      <c r="Y70" s="117">
        <f t="shared" si="280"/>
        <v>0</v>
      </c>
      <c r="Z70" s="123" t="e">
        <f t="shared" si="416"/>
        <v>#VALUE!</v>
      </c>
      <c r="AA70" s="98" t="str">
        <f t="shared" si="407"/>
        <v/>
      </c>
      <c r="AB70" s="123" t="str">
        <f t="shared" si="282"/>
        <v/>
      </c>
      <c r="AC70" s="326" t="e">
        <f t="shared" si="417"/>
        <v>#VALUE!</v>
      </c>
      <c r="AD70" s="326">
        <f t="shared" si="283"/>
        <v>0</v>
      </c>
      <c r="AE70" s="326" t="str">
        <f t="shared" si="284"/>
        <v>0</v>
      </c>
      <c r="AF70" s="326">
        <f t="shared" si="285"/>
        <v>0</v>
      </c>
      <c r="AG70" s="326" t="e">
        <f t="shared" si="286"/>
        <v>#VALUE!</v>
      </c>
      <c r="AH70" s="494" t="str">
        <f t="shared" si="408"/>
        <v/>
      </c>
      <c r="AI70" s="141" t="e">
        <f t="shared" si="287"/>
        <v>#VALUE!</v>
      </c>
      <c r="AJ70" s="416" t="str">
        <f t="shared" si="368"/>
        <v>0</v>
      </c>
      <c r="AK70" s="326">
        <f t="shared" ref="AK70:AM70" si="460">SUM(P70,W70,AD70)</f>
        <v>0</v>
      </c>
      <c r="AL70" s="326">
        <f t="shared" si="460"/>
        <v>0</v>
      </c>
      <c r="AM70" s="326">
        <f t="shared" si="460"/>
        <v>0</v>
      </c>
      <c r="AN70" s="326" t="e">
        <f t="shared" si="289"/>
        <v>#VALUE!</v>
      </c>
      <c r="AO70" s="98" t="str">
        <f t="shared" si="410"/>
        <v/>
      </c>
      <c r="AP70" s="125" t="str">
        <f t="shared" si="419"/>
        <v/>
      </c>
      <c r="AQ70" s="140">
        <f t="shared" si="291"/>
        <v>0</v>
      </c>
      <c r="AR70" s="123" t="str">
        <f t="shared" si="292"/>
        <v>0</v>
      </c>
      <c r="AS70" s="148">
        <f t="shared" si="293"/>
        <v>0</v>
      </c>
      <c r="AT70" s="125" t="str">
        <f t="shared" si="294"/>
        <v/>
      </c>
      <c r="AU70" s="140">
        <f t="shared" si="295"/>
        <v>0</v>
      </c>
      <c r="AV70" s="326" t="str">
        <f t="shared" si="296"/>
        <v>0</v>
      </c>
      <c r="AW70" s="333">
        <f t="shared" si="297"/>
        <v>0</v>
      </c>
      <c r="AX70" s="125"/>
      <c r="AY70" s="1041">
        <f t="shared" si="299"/>
        <v>0</v>
      </c>
      <c r="AZ70" s="123" t="str">
        <f t="shared" si="300"/>
        <v>0</v>
      </c>
      <c r="BA70" s="125">
        <f t="shared" si="301"/>
        <v>0</v>
      </c>
      <c r="BB70" s="122">
        <f t="shared" ref="BB70:BD70" si="461">SUM(AY70,AU70,AQ70)</f>
        <v>0</v>
      </c>
      <c r="BC70" s="326">
        <f t="shared" si="461"/>
        <v>0</v>
      </c>
      <c r="BD70" s="333">
        <f t="shared" si="461"/>
        <v>0</v>
      </c>
      <c r="BE70" s="123">
        <f t="shared" si="303"/>
        <v>0</v>
      </c>
      <c r="BF70" s="326">
        <f t="shared" ref="BF70:BG70" si="462">BC70+AL70</f>
        <v>0</v>
      </c>
      <c r="BG70" s="435">
        <f t="shared" si="462"/>
        <v>0</v>
      </c>
      <c r="BH70" s="125"/>
      <c r="BI70" s="1041">
        <f t="shared" si="306"/>
        <v>0</v>
      </c>
      <c r="BJ70" s="326" t="str">
        <f t="shared" si="307"/>
        <v>0</v>
      </c>
      <c r="BK70" s="1045">
        <f t="shared" si="308"/>
        <v>0</v>
      </c>
      <c r="BL70" s="125"/>
      <c r="BM70" s="141">
        <f t="shared" si="310"/>
        <v>0</v>
      </c>
      <c r="BN70" s="332" t="str">
        <f t="shared" si="311"/>
        <v>0</v>
      </c>
      <c r="BO70" s="333">
        <f t="shared" si="312"/>
        <v>0</v>
      </c>
      <c r="BP70" s="125"/>
      <c r="BQ70" s="140">
        <f t="shared" si="53"/>
        <v>252799</v>
      </c>
      <c r="BR70" s="123" t="str">
        <f t="shared" si="440"/>
        <v>0</v>
      </c>
      <c r="BS70" s="148">
        <f t="shared" si="441"/>
        <v>252799</v>
      </c>
      <c r="BT70" s="140">
        <f t="shared" ref="BT70:BV70" si="463">SUM(BQ70,BM70,BI70)</f>
        <v>252799</v>
      </c>
      <c r="BU70" s="123">
        <f t="shared" si="463"/>
        <v>0</v>
      </c>
      <c r="BV70" s="148">
        <f t="shared" si="463"/>
        <v>252799</v>
      </c>
      <c r="BW70" s="125" t="str">
        <f t="shared" si="443"/>
        <v/>
      </c>
      <c r="BX70" s="140">
        <f t="shared" si="58"/>
        <v>0</v>
      </c>
      <c r="BY70" s="123" t="str">
        <f t="shared" si="444"/>
        <v>0</v>
      </c>
      <c r="BZ70" s="148">
        <f t="shared" si="445"/>
        <v>0</v>
      </c>
      <c r="CA70" s="123" t="str">
        <f t="shared" si="446"/>
        <v/>
      </c>
      <c r="CB70" s="326" t="str">
        <f t="shared" si="447"/>
        <v/>
      </c>
    </row>
    <row r="71" spans="1:80" ht="13">
      <c r="A71" s="436">
        <f t="shared" si="431"/>
        <v>112013542</v>
      </c>
      <c r="B71" s="93">
        <f t="shared" si="432"/>
        <v>20</v>
      </c>
      <c r="C71" s="558">
        <f t="shared" si="266"/>
        <v>0.05</v>
      </c>
      <c r="D71" s="558">
        <f t="shared" si="267"/>
        <v>0.09</v>
      </c>
      <c r="E71" s="715">
        <f t="shared" si="268"/>
        <v>0</v>
      </c>
      <c r="F71" s="701">
        <f t="shared" si="433"/>
        <v>1</v>
      </c>
      <c r="G71" s="700" t="str">
        <f t="shared" si="269"/>
        <v>Lista</v>
      </c>
      <c r="H71" s="700">
        <f t="shared" si="270"/>
        <v>0.09</v>
      </c>
      <c r="I71" s="702">
        <f t="shared" si="271"/>
        <v>0</v>
      </c>
      <c r="J71" s="837">
        <f t="shared" si="434"/>
        <v>71</v>
      </c>
      <c r="K71" s="699" t="str">
        <f t="shared" si="435"/>
        <v>Lista</v>
      </c>
      <c r="L71" s="1040">
        <f t="shared" si="436"/>
        <v>0.05</v>
      </c>
      <c r="M71" s="139" t="s">
        <v>1063</v>
      </c>
      <c r="N71" s="123" t="str">
        <f t="shared" ref="N71:N97" si="464">IFERROR(VLOOKUP(M71,ARRIOLA24,3,FALSE),"")</f>
        <v/>
      </c>
      <c r="O71" s="326" t="e">
        <f>(N71*1.601)*1.05</f>
        <v>#VALUE!</v>
      </c>
      <c r="P71" s="704">
        <f t="shared" si="273"/>
        <v>0</v>
      </c>
      <c r="Q71" s="704">
        <f t="shared" si="274"/>
        <v>0</v>
      </c>
      <c r="R71" s="704">
        <f t="shared" si="275"/>
        <v>0</v>
      </c>
      <c r="S71" s="326" t="e">
        <f t="shared" si="276"/>
        <v>#VALUE!</v>
      </c>
      <c r="T71" s="137" t="str">
        <f t="shared" si="406"/>
        <v/>
      </c>
      <c r="U71" s="332" t="str">
        <f t="shared" si="277"/>
        <v/>
      </c>
      <c r="V71" s="141" t="e">
        <f t="shared" si="415"/>
        <v>#VALUE!</v>
      </c>
      <c r="W71" s="113">
        <f t="shared" si="278"/>
        <v>0</v>
      </c>
      <c r="X71" s="704">
        <f t="shared" si="279"/>
        <v>0</v>
      </c>
      <c r="Y71" s="117">
        <f t="shared" si="280"/>
        <v>0</v>
      </c>
      <c r="Z71" s="123" t="e">
        <f t="shared" si="416"/>
        <v>#VALUE!</v>
      </c>
      <c r="AA71" s="98" t="str">
        <f t="shared" si="407"/>
        <v/>
      </c>
      <c r="AB71" s="123" t="str">
        <f t="shared" si="282"/>
        <v/>
      </c>
      <c r="AC71" s="326" t="e">
        <f t="shared" si="417"/>
        <v>#VALUE!</v>
      </c>
      <c r="AD71" s="326">
        <f t="shared" si="283"/>
        <v>0</v>
      </c>
      <c r="AE71" s="326">
        <f t="shared" si="284"/>
        <v>0</v>
      </c>
      <c r="AF71" s="326">
        <f t="shared" si="285"/>
        <v>0</v>
      </c>
      <c r="AG71" s="326" t="e">
        <f t="shared" si="286"/>
        <v>#VALUE!</v>
      </c>
      <c r="AH71" s="494" t="str">
        <f t="shared" si="408"/>
        <v/>
      </c>
      <c r="AI71" s="141" t="e">
        <f t="shared" si="287"/>
        <v>#VALUE!</v>
      </c>
      <c r="AJ71" s="416" t="str">
        <f t="shared" si="368"/>
        <v>0</v>
      </c>
      <c r="AK71" s="326">
        <f t="shared" ref="AK71:AM71" si="465">SUM(P71,W71,AD71)</f>
        <v>0</v>
      </c>
      <c r="AL71" s="326">
        <f t="shared" si="465"/>
        <v>0</v>
      </c>
      <c r="AM71" s="326">
        <f t="shared" si="465"/>
        <v>0</v>
      </c>
      <c r="AN71" s="326" t="e">
        <f t="shared" si="289"/>
        <v>#VALUE!</v>
      </c>
      <c r="AO71" s="98" t="str">
        <f t="shared" si="410"/>
        <v/>
      </c>
      <c r="AP71" s="125" t="str">
        <f t="shared" si="419"/>
        <v/>
      </c>
      <c r="AQ71" s="140">
        <f t="shared" si="291"/>
        <v>0</v>
      </c>
      <c r="AR71" s="123">
        <f t="shared" si="292"/>
        <v>0</v>
      </c>
      <c r="AS71" s="148">
        <f t="shared" si="293"/>
        <v>0</v>
      </c>
      <c r="AT71" s="125" t="str">
        <f t="shared" si="294"/>
        <v/>
      </c>
      <c r="AU71" s="140">
        <f t="shared" si="295"/>
        <v>0</v>
      </c>
      <c r="AV71" s="326">
        <f t="shared" si="296"/>
        <v>0</v>
      </c>
      <c r="AW71" s="333">
        <f t="shared" si="297"/>
        <v>0</v>
      </c>
      <c r="AX71" s="125" t="str">
        <f t="shared" ref="AX71:AX97" si="466">IFERROR(VLOOKUP(M71,ARRIOLA24,8,FALSE),"")</f>
        <v/>
      </c>
      <c r="AY71" s="1041">
        <f t="shared" si="299"/>
        <v>0</v>
      </c>
      <c r="AZ71" s="123">
        <f t="shared" si="300"/>
        <v>0</v>
      </c>
      <c r="BA71" s="125">
        <f t="shared" si="301"/>
        <v>0</v>
      </c>
      <c r="BB71" s="122">
        <f t="shared" ref="BB71:BD71" si="467">SUM(AY71,AU71,AQ71)</f>
        <v>0</v>
      </c>
      <c r="BC71" s="326">
        <f t="shared" si="467"/>
        <v>0</v>
      </c>
      <c r="BD71" s="333">
        <f t="shared" si="467"/>
        <v>0</v>
      </c>
      <c r="BE71" s="123">
        <f t="shared" si="303"/>
        <v>0</v>
      </c>
      <c r="BF71" s="326">
        <f t="shared" ref="BF71:BG71" si="468">BC71+AL71</f>
        <v>0</v>
      </c>
      <c r="BG71" s="435">
        <f t="shared" si="468"/>
        <v>0</v>
      </c>
      <c r="BH71" s="125" t="str">
        <f t="shared" ref="BH71:BH97" si="469">IFERROR(VLOOKUP(M71,ARRIOLA24,9,FALSE),"")</f>
        <v/>
      </c>
      <c r="BI71" s="1041">
        <f t="shared" si="306"/>
        <v>0</v>
      </c>
      <c r="BJ71" s="326">
        <f t="shared" si="307"/>
        <v>17086.75</v>
      </c>
      <c r="BK71" s="1045">
        <f t="shared" si="308"/>
        <v>17086.75</v>
      </c>
      <c r="BL71" s="125" t="str">
        <f t="shared" ref="BL71:BL97" si="470">IFERROR(VLOOKUP(M71,ARRIOLA24,10,FALSE),"")</f>
        <v/>
      </c>
      <c r="BM71" s="141">
        <f t="shared" si="310"/>
        <v>0</v>
      </c>
      <c r="BN71" s="332">
        <f t="shared" si="311"/>
        <v>17086.75</v>
      </c>
      <c r="BO71" s="333">
        <f t="shared" si="312"/>
        <v>17086.75</v>
      </c>
      <c r="BP71" s="125" t="str">
        <f t="shared" ref="BP71:BP97" si="471">IFERROR(VLOOKUP(M71,ARRIOLA24,11,FALSE),"")</f>
        <v/>
      </c>
      <c r="BQ71" s="140">
        <f t="shared" si="53"/>
        <v>0</v>
      </c>
      <c r="BR71" s="123">
        <f t="shared" si="440"/>
        <v>0</v>
      </c>
      <c r="BS71" s="148">
        <f t="shared" si="441"/>
        <v>0</v>
      </c>
      <c r="BT71" s="140">
        <f t="shared" ref="BT71:BV71" si="472">SUM(BQ71,BM71,BI71)</f>
        <v>0</v>
      </c>
      <c r="BU71" s="123">
        <f t="shared" si="472"/>
        <v>34173.5</v>
      </c>
      <c r="BV71" s="148">
        <f t="shared" si="472"/>
        <v>34173.5</v>
      </c>
      <c r="BW71" s="125" t="str">
        <f t="shared" si="443"/>
        <v/>
      </c>
      <c r="BX71" s="140">
        <f t="shared" si="58"/>
        <v>0</v>
      </c>
      <c r="BY71" s="123">
        <f t="shared" si="444"/>
        <v>0</v>
      </c>
      <c r="BZ71" s="148">
        <f t="shared" si="445"/>
        <v>0</v>
      </c>
      <c r="CA71" s="123" t="str">
        <f t="shared" si="446"/>
        <v/>
      </c>
      <c r="CB71" s="326" t="str">
        <f t="shared" si="447"/>
        <v/>
      </c>
    </row>
    <row r="72" spans="1:80" ht="13">
      <c r="A72" s="436">
        <f t="shared" si="431"/>
        <v>112011623</v>
      </c>
      <c r="B72" s="93">
        <f t="shared" si="432"/>
        <v>20</v>
      </c>
      <c r="C72" s="558">
        <f t="shared" si="266"/>
        <v>0.05</v>
      </c>
      <c r="D72" s="558">
        <f t="shared" si="267"/>
        <v>0.09</v>
      </c>
      <c r="E72" s="715">
        <f t="shared" si="268"/>
        <v>0</v>
      </c>
      <c r="F72" s="701">
        <f t="shared" si="433"/>
        <v>1</v>
      </c>
      <c r="G72" s="700" t="str">
        <f t="shared" si="269"/>
        <v>Lista</v>
      </c>
      <c r="H72" s="700">
        <f t="shared" si="270"/>
        <v>0.09</v>
      </c>
      <c r="I72" s="702">
        <f t="shared" si="271"/>
        <v>0</v>
      </c>
      <c r="J72" s="837">
        <f t="shared" si="434"/>
        <v>71</v>
      </c>
      <c r="K72" s="699" t="str">
        <f t="shared" si="435"/>
        <v>Lista</v>
      </c>
      <c r="L72" s="1040">
        <f t="shared" si="436"/>
        <v>0.05</v>
      </c>
      <c r="M72" s="139" t="s">
        <v>1064</v>
      </c>
      <c r="N72" s="123">
        <f t="shared" si="464"/>
        <v>176232.48</v>
      </c>
      <c r="O72" s="326">
        <v>1500000</v>
      </c>
      <c r="P72" s="704">
        <f t="shared" si="273"/>
        <v>178730.15</v>
      </c>
      <c r="Q72" s="704" t="str">
        <f t="shared" si="274"/>
        <v>0</v>
      </c>
      <c r="R72" s="704">
        <f t="shared" si="275"/>
        <v>178730.15</v>
      </c>
      <c r="S72" s="326">
        <f t="shared" si="276"/>
        <v>-1321269.8500000001</v>
      </c>
      <c r="T72" s="137">
        <f t="shared" si="406"/>
        <v>0.11915343333333334</v>
      </c>
      <c r="U72" s="332">
        <f t="shared" si="277"/>
        <v>348116.65</v>
      </c>
      <c r="V72" s="141">
        <f t="shared" si="415"/>
        <v>630343.52107125008</v>
      </c>
      <c r="W72" s="113">
        <f t="shared" si="278"/>
        <v>117389.6</v>
      </c>
      <c r="X72" s="704" t="str">
        <f t="shared" si="279"/>
        <v>0</v>
      </c>
      <c r="Y72" s="117">
        <f t="shared" si="280"/>
        <v>117389.6</v>
      </c>
      <c r="Z72" s="123">
        <f t="shared" si="416"/>
        <v>-512953.92107125011</v>
      </c>
      <c r="AA72" s="98">
        <f t="shared" si="407"/>
        <v>0.18623115186541439</v>
      </c>
      <c r="AB72" s="123">
        <f t="shared" si="282"/>
        <v>222738.76</v>
      </c>
      <c r="AC72" s="326">
        <f t="shared" si="417"/>
        <v>366041.08232739998</v>
      </c>
      <c r="AD72" s="326">
        <f t="shared" si="283"/>
        <v>807292.09</v>
      </c>
      <c r="AE72" s="326" t="str">
        <f t="shared" si="284"/>
        <v>0</v>
      </c>
      <c r="AF72" s="326">
        <f t="shared" si="285"/>
        <v>807292.09</v>
      </c>
      <c r="AG72" s="326">
        <f t="shared" si="286"/>
        <v>441251.00767259998</v>
      </c>
      <c r="AH72" s="494">
        <f t="shared" si="408"/>
        <v>2.2054685361189312</v>
      </c>
      <c r="AI72" s="141">
        <f t="shared" si="287"/>
        <v>2496384.60339865</v>
      </c>
      <c r="AJ72" s="416">
        <f t="shared" si="368"/>
        <v>1301176.76</v>
      </c>
      <c r="AK72" s="326">
        <f t="shared" ref="AK72:AM72" si="473">SUM(P72,W72,AD72)</f>
        <v>1103411.8399999999</v>
      </c>
      <c r="AL72" s="326">
        <f t="shared" si="473"/>
        <v>0</v>
      </c>
      <c r="AM72" s="326">
        <f t="shared" si="473"/>
        <v>1103411.8399999999</v>
      </c>
      <c r="AN72" s="326">
        <f t="shared" si="289"/>
        <v>-1392972.7633986501</v>
      </c>
      <c r="AO72" s="98">
        <f t="shared" si="410"/>
        <v>0.44200394382251162</v>
      </c>
      <c r="AP72" s="125">
        <f t="shared" si="419"/>
        <v>614027.09</v>
      </c>
      <c r="AQ72" s="140">
        <f t="shared" si="291"/>
        <v>64000.17</v>
      </c>
      <c r="AR72" s="123" t="str">
        <f t="shared" si="292"/>
        <v>0</v>
      </c>
      <c r="AS72" s="148">
        <f t="shared" si="293"/>
        <v>64000.17</v>
      </c>
      <c r="AT72" s="125">
        <f t="shared" si="294"/>
        <v>279469.03000000003</v>
      </c>
      <c r="AU72" s="140">
        <f t="shared" si="295"/>
        <v>592572.84</v>
      </c>
      <c r="AV72" s="326" t="str">
        <f t="shared" si="296"/>
        <v>0</v>
      </c>
      <c r="AW72" s="333">
        <f t="shared" si="297"/>
        <v>592572.84</v>
      </c>
      <c r="AX72" s="125">
        <f t="shared" si="466"/>
        <v>360165.93</v>
      </c>
      <c r="AY72" s="1041">
        <f t="shared" si="299"/>
        <v>248873.02</v>
      </c>
      <c r="AZ72" s="123" t="str">
        <f t="shared" si="300"/>
        <v>0</v>
      </c>
      <c r="BA72" s="125">
        <f t="shared" si="301"/>
        <v>248873.02</v>
      </c>
      <c r="BB72" s="122">
        <f t="shared" ref="BB72:BD72" si="474">SUM(AY72,AU72,AQ72)</f>
        <v>905446.03</v>
      </c>
      <c r="BC72" s="326">
        <f t="shared" si="474"/>
        <v>0</v>
      </c>
      <c r="BD72" s="333">
        <f t="shared" si="474"/>
        <v>905446.03</v>
      </c>
      <c r="BE72" s="123">
        <f t="shared" si="303"/>
        <v>2008857.8699999999</v>
      </c>
      <c r="BF72" s="326">
        <f t="shared" ref="BF72:BG72" si="475">BC72+AL72</f>
        <v>0</v>
      </c>
      <c r="BG72" s="435">
        <f t="shared" si="475"/>
        <v>2008857.8699999999</v>
      </c>
      <c r="BH72" s="125">
        <f t="shared" si="469"/>
        <v>380660.03</v>
      </c>
      <c r="BI72" s="1041">
        <f t="shared" si="306"/>
        <v>961590.81</v>
      </c>
      <c r="BJ72" s="326" t="str">
        <f t="shared" si="307"/>
        <v>0</v>
      </c>
      <c r="BK72" s="1045">
        <f t="shared" si="308"/>
        <v>961590.81</v>
      </c>
      <c r="BL72" s="125">
        <f t="shared" si="470"/>
        <v>98451.83</v>
      </c>
      <c r="BM72" s="141">
        <f t="shared" si="310"/>
        <v>248362.3</v>
      </c>
      <c r="BN72" s="332" t="str">
        <f t="shared" si="311"/>
        <v>0</v>
      </c>
      <c r="BO72" s="333">
        <f t="shared" si="312"/>
        <v>248362.3</v>
      </c>
      <c r="BP72" s="125">
        <f t="shared" si="471"/>
        <v>425624.22</v>
      </c>
      <c r="BQ72" s="140">
        <f t="shared" si="53"/>
        <v>209486.55</v>
      </c>
      <c r="BR72" s="123" t="str">
        <f t="shared" si="440"/>
        <v>0</v>
      </c>
      <c r="BS72" s="148">
        <f t="shared" si="441"/>
        <v>209486.55</v>
      </c>
      <c r="BT72" s="140">
        <f t="shared" ref="BT72:BV72" si="476">SUM(BQ72,BM72,BI72)</f>
        <v>1419439.6600000001</v>
      </c>
      <c r="BU72" s="123">
        <f t="shared" si="476"/>
        <v>0</v>
      </c>
      <c r="BV72" s="148">
        <f t="shared" si="476"/>
        <v>1419439.6600000001</v>
      </c>
      <c r="BW72" s="125">
        <f t="shared" si="443"/>
        <v>452373.84</v>
      </c>
      <c r="BX72" s="140">
        <f t="shared" si="58"/>
        <v>1448299.17</v>
      </c>
      <c r="BY72" s="123" t="str">
        <f t="shared" si="444"/>
        <v>0</v>
      </c>
      <c r="BZ72" s="148">
        <f t="shared" si="445"/>
        <v>1448299.17</v>
      </c>
      <c r="CA72" s="123">
        <f t="shared" si="446"/>
        <v>431112.91</v>
      </c>
      <c r="CB72" s="326">
        <f t="shared" si="447"/>
        <v>417690.01</v>
      </c>
    </row>
    <row r="73" spans="1:80" ht="13">
      <c r="A73" s="436">
        <f t="shared" si="431"/>
        <v>112011567</v>
      </c>
      <c r="B73" s="93">
        <f t="shared" si="432"/>
        <v>20</v>
      </c>
      <c r="C73" s="558">
        <f t="shared" si="266"/>
        <v>0.05</v>
      </c>
      <c r="D73" s="558">
        <f t="shared" si="267"/>
        <v>0.09</v>
      </c>
      <c r="E73" s="715">
        <f t="shared" si="268"/>
        <v>0</v>
      </c>
      <c r="F73" s="701">
        <f t="shared" si="433"/>
        <v>1</v>
      </c>
      <c r="G73" s="700" t="str">
        <f t="shared" si="269"/>
        <v>Lista</v>
      </c>
      <c r="H73" s="700">
        <f t="shared" si="270"/>
        <v>0.09</v>
      </c>
      <c r="I73" s="702">
        <f t="shared" si="271"/>
        <v>0</v>
      </c>
      <c r="J73" s="837">
        <f t="shared" si="434"/>
        <v>71</v>
      </c>
      <c r="K73" s="699" t="str">
        <f t="shared" si="435"/>
        <v>Lista</v>
      </c>
      <c r="L73" s="1040">
        <f t="shared" si="436"/>
        <v>0.05</v>
      </c>
      <c r="M73" s="139" t="s">
        <v>1065</v>
      </c>
      <c r="N73" s="123" t="str">
        <f t="shared" si="464"/>
        <v/>
      </c>
      <c r="O73" s="326">
        <v>1800000</v>
      </c>
      <c r="P73" s="704" t="e">
        <f t="shared" si="273"/>
        <v>#VALUE!</v>
      </c>
      <c r="Q73" s="704" t="str">
        <f t="shared" si="274"/>
        <v>0</v>
      </c>
      <c r="R73" s="704" t="str">
        <f t="shared" si="275"/>
        <v/>
      </c>
      <c r="S73" s="326" t="e">
        <f t="shared" si="276"/>
        <v>#VALUE!</v>
      </c>
      <c r="T73" s="137" t="str">
        <f t="shared" si="406"/>
        <v/>
      </c>
      <c r="U73" s="332" t="str">
        <f t="shared" si="277"/>
        <v/>
      </c>
      <c r="V73" s="141" t="e">
        <f t="shared" si="415"/>
        <v>#VALUE!</v>
      </c>
      <c r="W73" s="113" t="e">
        <f t="shared" si="278"/>
        <v>#VALUE!</v>
      </c>
      <c r="X73" s="704" t="str">
        <f t="shared" si="279"/>
        <v>0</v>
      </c>
      <c r="Y73" s="117" t="str">
        <f t="shared" si="280"/>
        <v/>
      </c>
      <c r="Z73" s="123" t="e">
        <f t="shared" si="416"/>
        <v>#VALUE!</v>
      </c>
      <c r="AA73" s="98" t="str">
        <f t="shared" si="407"/>
        <v/>
      </c>
      <c r="AB73" s="123" t="str">
        <f t="shared" si="282"/>
        <v/>
      </c>
      <c r="AC73" s="326" t="e">
        <f t="shared" si="417"/>
        <v>#VALUE!</v>
      </c>
      <c r="AD73" s="326" t="e">
        <f t="shared" si="283"/>
        <v>#VALUE!</v>
      </c>
      <c r="AE73" s="326" t="str">
        <f t="shared" si="284"/>
        <v>0</v>
      </c>
      <c r="AF73" s="326" t="str">
        <f t="shared" si="285"/>
        <v/>
      </c>
      <c r="AG73" s="326" t="e">
        <f t="shared" si="286"/>
        <v>#VALUE!</v>
      </c>
      <c r="AH73" s="494" t="str">
        <f t="shared" si="408"/>
        <v/>
      </c>
      <c r="AI73" s="141" t="e">
        <f t="shared" si="287"/>
        <v>#VALUE!</v>
      </c>
      <c r="AJ73" s="416">
        <f t="shared" si="368"/>
        <v>508332.05</v>
      </c>
      <c r="AK73" s="326" t="e">
        <f t="shared" ref="AK73:AM73" si="477">SUM(P73,W73,AD73)</f>
        <v>#VALUE!</v>
      </c>
      <c r="AL73" s="326">
        <f t="shared" si="477"/>
        <v>0</v>
      </c>
      <c r="AM73" s="326">
        <f t="shared" si="477"/>
        <v>0</v>
      </c>
      <c r="AN73" s="326" t="e">
        <f t="shared" si="289"/>
        <v>#VALUE!</v>
      </c>
      <c r="AO73" s="98" t="str">
        <f t="shared" si="410"/>
        <v/>
      </c>
      <c r="AP73" s="125" t="str">
        <f t="shared" si="419"/>
        <v/>
      </c>
      <c r="AQ73" s="140" t="e">
        <f t="shared" si="291"/>
        <v>#VALUE!</v>
      </c>
      <c r="AR73" s="123" t="str">
        <f t="shared" si="292"/>
        <v>0</v>
      </c>
      <c r="AS73" s="148" t="str">
        <f t="shared" si="293"/>
        <v/>
      </c>
      <c r="AT73" s="125" t="str">
        <f t="shared" si="294"/>
        <v/>
      </c>
      <c r="AU73" s="140" t="e">
        <f t="shared" si="295"/>
        <v>#VALUE!</v>
      </c>
      <c r="AV73" s="326" t="str">
        <f t="shared" si="296"/>
        <v>0</v>
      </c>
      <c r="AW73" s="333" t="str">
        <f t="shared" si="297"/>
        <v/>
      </c>
      <c r="AX73" s="125" t="str">
        <f t="shared" si="466"/>
        <v/>
      </c>
      <c r="AY73" s="1041" t="e">
        <f t="shared" si="299"/>
        <v>#VALUE!</v>
      </c>
      <c r="AZ73" s="123" t="str">
        <f t="shared" si="300"/>
        <v>0</v>
      </c>
      <c r="BA73" s="125" t="str">
        <f t="shared" si="301"/>
        <v/>
      </c>
      <c r="BB73" s="122" t="e">
        <f t="shared" ref="BB73:BD73" si="478">SUM(AY73,AU73,AQ73)</f>
        <v>#VALUE!</v>
      </c>
      <c r="BC73" s="326">
        <f t="shared" si="478"/>
        <v>0</v>
      </c>
      <c r="BD73" s="333">
        <f t="shared" si="478"/>
        <v>0</v>
      </c>
      <c r="BE73" s="123" t="e">
        <f t="shared" si="303"/>
        <v>#VALUE!</v>
      </c>
      <c r="BF73" s="326">
        <f t="shared" ref="BF73:BG73" si="479">BC73+AL73</f>
        <v>0</v>
      </c>
      <c r="BG73" s="435">
        <f t="shared" si="479"/>
        <v>0</v>
      </c>
      <c r="BH73" s="125" t="str">
        <f t="shared" si="469"/>
        <v/>
      </c>
      <c r="BI73" s="1041" t="e">
        <f t="shared" si="306"/>
        <v>#VALUE!</v>
      </c>
      <c r="BJ73" s="326" t="str">
        <f t="shared" si="307"/>
        <v>0</v>
      </c>
      <c r="BK73" s="1045" t="str">
        <f t="shared" si="308"/>
        <v/>
      </c>
      <c r="BL73" s="125" t="str">
        <f t="shared" si="470"/>
        <v/>
      </c>
      <c r="BM73" s="141" t="e">
        <f t="shared" si="310"/>
        <v>#VALUE!</v>
      </c>
      <c r="BN73" s="332" t="str">
        <f t="shared" si="311"/>
        <v>0</v>
      </c>
      <c r="BO73" s="333" t="str">
        <f t="shared" si="312"/>
        <v/>
      </c>
      <c r="BP73" s="125" t="str">
        <f t="shared" si="471"/>
        <v/>
      </c>
      <c r="BQ73" s="140" t="e">
        <f t="shared" si="53"/>
        <v>#VALUE!</v>
      </c>
      <c r="BR73" s="123" t="str">
        <f t="shared" si="440"/>
        <v>0</v>
      </c>
      <c r="BS73" s="148" t="str">
        <f t="shared" si="441"/>
        <v/>
      </c>
      <c r="BT73" s="140" t="e">
        <f t="shared" ref="BT73:BV73" si="480">SUM(BQ73,BM73,BI73)</f>
        <v>#VALUE!</v>
      </c>
      <c r="BU73" s="123">
        <f t="shared" si="480"/>
        <v>0</v>
      </c>
      <c r="BV73" s="148">
        <f t="shared" si="480"/>
        <v>0</v>
      </c>
      <c r="BW73" s="125" t="str">
        <f t="shared" si="443"/>
        <v/>
      </c>
      <c r="BX73" s="140" t="e">
        <f t="shared" si="58"/>
        <v>#VALUE!</v>
      </c>
      <c r="BY73" s="123" t="str">
        <f t="shared" si="444"/>
        <v>0</v>
      </c>
      <c r="BZ73" s="148" t="str">
        <f t="shared" si="445"/>
        <v/>
      </c>
      <c r="CA73" s="123" t="str">
        <f t="shared" si="446"/>
        <v/>
      </c>
      <c r="CB73" s="326" t="str">
        <f t="shared" si="447"/>
        <v/>
      </c>
    </row>
    <row r="74" spans="1:80" ht="13">
      <c r="A74" s="436">
        <f t="shared" si="431"/>
        <v>112013651</v>
      </c>
      <c r="B74" s="93">
        <f t="shared" si="432"/>
        <v>20</v>
      </c>
      <c r="C74" s="558">
        <f t="shared" si="266"/>
        <v>0.05</v>
      </c>
      <c r="D74" s="558">
        <f t="shared" si="267"/>
        <v>0.09</v>
      </c>
      <c r="E74" s="715">
        <f t="shared" si="268"/>
        <v>0</v>
      </c>
      <c r="F74" s="701">
        <f t="shared" si="433"/>
        <v>1</v>
      </c>
      <c r="G74" s="700" t="str">
        <f t="shared" si="269"/>
        <v>Lista</v>
      </c>
      <c r="H74" s="700">
        <f t="shared" si="270"/>
        <v>0.09</v>
      </c>
      <c r="I74" s="702">
        <f t="shared" si="271"/>
        <v>0</v>
      </c>
      <c r="J74" s="837">
        <f t="shared" si="434"/>
        <v>71</v>
      </c>
      <c r="K74" s="699" t="str">
        <f t="shared" si="435"/>
        <v>Lista</v>
      </c>
      <c r="L74" s="1040">
        <f t="shared" si="436"/>
        <v>0.05</v>
      </c>
      <c r="M74" s="139" t="s">
        <v>1066</v>
      </c>
      <c r="N74" s="123">
        <f t="shared" si="464"/>
        <v>0</v>
      </c>
      <c r="O74" s="326">
        <v>1500000</v>
      </c>
      <c r="P74" s="704">
        <f t="shared" si="273"/>
        <v>0</v>
      </c>
      <c r="Q74" s="704">
        <f t="shared" si="274"/>
        <v>0</v>
      </c>
      <c r="R74" s="704">
        <f t="shared" si="275"/>
        <v>0</v>
      </c>
      <c r="S74" s="326">
        <f t="shared" si="276"/>
        <v>-1500000</v>
      </c>
      <c r="T74" s="137">
        <f t="shared" si="406"/>
        <v>0</v>
      </c>
      <c r="U74" s="332">
        <f t="shared" si="277"/>
        <v>389132.42</v>
      </c>
      <c r="V74" s="141">
        <f t="shared" si="415"/>
        <v>704611.8012044999</v>
      </c>
      <c r="W74" s="113">
        <f t="shared" si="278"/>
        <v>123877.6</v>
      </c>
      <c r="X74" s="704">
        <f t="shared" si="279"/>
        <v>6388.42</v>
      </c>
      <c r="Y74" s="117">
        <f t="shared" si="280"/>
        <v>130266.02</v>
      </c>
      <c r="Z74" s="123">
        <f t="shared" si="416"/>
        <v>-574345.78120449989</v>
      </c>
      <c r="AA74" s="98">
        <f t="shared" si="407"/>
        <v>0.18487629610704295</v>
      </c>
      <c r="AB74" s="123">
        <f t="shared" si="282"/>
        <v>49987.31</v>
      </c>
      <c r="AC74" s="326">
        <f t="shared" si="417"/>
        <v>82147.395698149994</v>
      </c>
      <c r="AD74" s="326">
        <f t="shared" si="283"/>
        <v>0</v>
      </c>
      <c r="AE74" s="326">
        <f t="shared" si="284"/>
        <v>0</v>
      </c>
      <c r="AF74" s="326">
        <f t="shared" si="285"/>
        <v>0</v>
      </c>
      <c r="AG74" s="326">
        <f t="shared" si="286"/>
        <v>-82147.395698149994</v>
      </c>
      <c r="AH74" s="494">
        <f t="shared" si="408"/>
        <v>0</v>
      </c>
      <c r="AI74" s="141">
        <f t="shared" si="287"/>
        <v>2286759.1969026499</v>
      </c>
      <c r="AJ74" s="416">
        <f t="shared" si="368"/>
        <v>849030.56</v>
      </c>
      <c r="AK74" s="326">
        <f t="shared" ref="AK74:AM74" si="481">SUM(P74,W74,AD74)</f>
        <v>123877.6</v>
      </c>
      <c r="AL74" s="326">
        <f t="shared" si="481"/>
        <v>6388.42</v>
      </c>
      <c r="AM74" s="326">
        <f t="shared" si="481"/>
        <v>130266.02</v>
      </c>
      <c r="AN74" s="326">
        <f t="shared" si="289"/>
        <v>-2156493.1769026499</v>
      </c>
      <c r="AO74" s="98">
        <f t="shared" si="410"/>
        <v>5.6965342121042567E-2</v>
      </c>
      <c r="AP74" s="125">
        <f t="shared" si="419"/>
        <v>467236.12</v>
      </c>
      <c r="AQ74" s="140">
        <f t="shared" si="291"/>
        <v>250056.83</v>
      </c>
      <c r="AR74" s="123">
        <f t="shared" si="292"/>
        <v>0</v>
      </c>
      <c r="AS74" s="148">
        <f t="shared" si="293"/>
        <v>250056.83</v>
      </c>
      <c r="AT74" s="125">
        <f t="shared" si="294"/>
        <v>0</v>
      </c>
      <c r="AU74" s="140">
        <f t="shared" si="295"/>
        <v>264238.14</v>
      </c>
      <c r="AV74" s="326">
        <f t="shared" si="296"/>
        <v>0</v>
      </c>
      <c r="AW74" s="333">
        <f t="shared" si="297"/>
        <v>264238.14</v>
      </c>
      <c r="AX74" s="125">
        <f t="shared" si="466"/>
        <v>69748.789999999994</v>
      </c>
      <c r="AY74" s="1041">
        <f t="shared" si="299"/>
        <v>83320.850000000006</v>
      </c>
      <c r="AZ74" s="123">
        <f t="shared" si="300"/>
        <v>0</v>
      </c>
      <c r="BA74" s="125">
        <f t="shared" si="301"/>
        <v>83320.850000000006</v>
      </c>
      <c r="BB74" s="122">
        <f t="shared" ref="BB74:BD74" si="482">SUM(AY74,AU74,AQ74)</f>
        <v>597615.81999999995</v>
      </c>
      <c r="BC74" s="326">
        <f t="shared" si="482"/>
        <v>0</v>
      </c>
      <c r="BD74" s="333">
        <f t="shared" si="482"/>
        <v>597615.81999999995</v>
      </c>
      <c r="BE74" s="123">
        <f t="shared" si="303"/>
        <v>721493.41999999993</v>
      </c>
      <c r="BF74" s="326">
        <f t="shared" ref="BF74:BG74" si="483">BC74+AL74</f>
        <v>6388.42</v>
      </c>
      <c r="BG74" s="435">
        <f t="shared" si="483"/>
        <v>727881.84</v>
      </c>
      <c r="BH74" s="125">
        <f t="shared" si="469"/>
        <v>0</v>
      </c>
      <c r="BI74" s="1041">
        <f t="shared" si="306"/>
        <v>0</v>
      </c>
      <c r="BJ74" s="326">
        <f t="shared" si="307"/>
        <v>0</v>
      </c>
      <c r="BK74" s="1045">
        <f t="shared" si="308"/>
        <v>0</v>
      </c>
      <c r="BL74" s="125">
        <f t="shared" si="470"/>
        <v>134703.26999999999</v>
      </c>
      <c r="BM74" s="141">
        <f t="shared" si="310"/>
        <v>155556.63</v>
      </c>
      <c r="BN74" s="332">
        <f t="shared" si="311"/>
        <v>0</v>
      </c>
      <c r="BO74" s="333">
        <f t="shared" si="312"/>
        <v>155556.63</v>
      </c>
      <c r="BP74" s="125">
        <f t="shared" si="471"/>
        <v>255245.76</v>
      </c>
      <c r="BQ74" s="140">
        <f t="shared" si="53"/>
        <v>163956.85</v>
      </c>
      <c r="BR74" s="123">
        <f t="shared" si="440"/>
        <v>0</v>
      </c>
      <c r="BS74" s="148">
        <f t="shared" si="441"/>
        <v>163956.85</v>
      </c>
      <c r="BT74" s="140">
        <f t="shared" ref="BT74:BV74" si="484">SUM(BQ74,BM74,BI74)</f>
        <v>319513.48</v>
      </c>
      <c r="BU74" s="123">
        <f t="shared" si="484"/>
        <v>0</v>
      </c>
      <c r="BV74" s="148">
        <f t="shared" si="484"/>
        <v>319513.48</v>
      </c>
      <c r="BW74" s="125">
        <f t="shared" si="443"/>
        <v>643920.93999999994</v>
      </c>
      <c r="BX74" s="140">
        <f t="shared" si="58"/>
        <v>241231.27</v>
      </c>
      <c r="BY74" s="123">
        <f t="shared" si="444"/>
        <v>0</v>
      </c>
      <c r="BZ74" s="148">
        <f t="shared" si="445"/>
        <v>241231.27</v>
      </c>
      <c r="CA74" s="123">
        <f t="shared" si="446"/>
        <v>121623.49</v>
      </c>
      <c r="CB74" s="326">
        <f t="shared" si="447"/>
        <v>83486.13</v>
      </c>
    </row>
    <row r="75" spans="1:80" ht="13">
      <c r="A75" s="436">
        <f t="shared" si="431"/>
        <v>112014129</v>
      </c>
      <c r="B75" s="93">
        <f t="shared" si="432"/>
        <v>1</v>
      </c>
      <c r="C75" s="558" t="str">
        <f t="shared" ref="C75:C106" si="485">IFERROR(VLOOKUP(B75,DES,2,FALSE),"")</f>
        <v>Lista</v>
      </c>
      <c r="D75" s="558">
        <f t="shared" ref="D75:D97" si="486">IFERROR(VLOOKUP(B75,DES,3,FALSE),"")</f>
        <v>0.09</v>
      </c>
      <c r="E75" s="715">
        <f t="shared" ref="E75:E97" si="487">IFERROR(VLOOKUP(B75,DES,4,FALSE),"")</f>
        <v>0</v>
      </c>
      <c r="F75" s="701">
        <f t="shared" si="433"/>
        <v>1</v>
      </c>
      <c r="G75" s="700" t="str">
        <f t="shared" ref="G75:G106" si="488">IFERROR(VLOOKUP(F75,DES,2,FALSE),"")</f>
        <v>Lista</v>
      </c>
      <c r="H75" s="700">
        <f t="shared" ref="H75:H97" si="489">IFERROR(VLOOKUP(F75,DES,3,FALSE),"")</f>
        <v>0.09</v>
      </c>
      <c r="I75" s="702">
        <f t="shared" ref="I75:I97" si="490">IFERROR(VLOOKUP(F75,DES,4,FALSE),"")</f>
        <v>0</v>
      </c>
      <c r="J75" s="837">
        <f t="shared" si="434"/>
        <v>71</v>
      </c>
      <c r="K75" s="699" t="str">
        <f t="shared" si="435"/>
        <v>Lista</v>
      </c>
      <c r="L75" s="1040">
        <f t="shared" si="436"/>
        <v>0.05</v>
      </c>
      <c r="M75" s="139" t="s">
        <v>1067</v>
      </c>
      <c r="N75" s="123">
        <f t="shared" si="464"/>
        <v>220862.44</v>
      </c>
      <c r="O75" s="326">
        <f t="shared" ref="O75:O97" si="491">(N75*1.601)*1.05</f>
        <v>371280.80476199999</v>
      </c>
      <c r="P75" s="704">
        <f t="shared" si="273"/>
        <v>510499.54</v>
      </c>
      <c r="Q75" s="704" t="str">
        <f t="shared" ref="Q75:Q97" si="492">IFERROR(VLOOKUP(M75,ARRIOALIM,3,FALSE),"0")</f>
        <v>0</v>
      </c>
      <c r="R75" s="704">
        <f t="shared" ref="R75:R97" si="493">IFERROR(VLOOKUP(M75,ARRIOFC,3,FALSE),"")</f>
        <v>510499.54</v>
      </c>
      <c r="S75" s="326">
        <f t="shared" si="276"/>
        <v>139218.73523799999</v>
      </c>
      <c r="T75" s="137">
        <f t="shared" si="406"/>
        <v>1.3749688469007779</v>
      </c>
      <c r="U75" s="332">
        <f t="shared" ref="U75:U97" si="494">IFERROR(VLOOKUP(M75,ARRIOLA24,4,FALSE),"")</f>
        <v>14427.21</v>
      </c>
      <c r="V75" s="141">
        <f t="shared" si="415"/>
        <v>26123.709827250001</v>
      </c>
      <c r="W75" s="113">
        <f t="shared" si="278"/>
        <v>-62910.15</v>
      </c>
      <c r="X75" s="704" t="str">
        <f t="shared" ref="X75:X97" si="495">IFERROR(VLOOKUP(M75,ARRIOALIM,4,FALSE),"0")</f>
        <v>0</v>
      </c>
      <c r="Y75" s="117">
        <f t="shared" ref="Y75:Y97" si="496">IFERROR(VLOOKUP(M75,ARRIOFC,4,FALSE),"")</f>
        <v>-62910.15</v>
      </c>
      <c r="Z75" s="123">
        <f t="shared" si="416"/>
        <v>-89033.859827250009</v>
      </c>
      <c r="AA75" s="98">
        <f t="shared" si="407"/>
        <v>-2.4081629453094582</v>
      </c>
      <c r="AB75" s="123">
        <f t="shared" ref="AB75:AB97" si="497">IFERROR(VLOOKUP(M75,ARRIOLA24,5,FALSE),"")</f>
        <v>293600.53999999998</v>
      </c>
      <c r="AC75" s="326">
        <f t="shared" si="417"/>
        <v>482492.85141709994</v>
      </c>
      <c r="AD75" s="326">
        <f t="shared" si="283"/>
        <v>483281.27</v>
      </c>
      <c r="AE75" s="326" t="str">
        <f t="shared" ref="AE75:AE97" si="498">IFERROR(VLOOKUP(M75,ARRIOALIM,5,FALSE),"0")</f>
        <v>0</v>
      </c>
      <c r="AF75" s="326">
        <f t="shared" ref="AF75:AF97" si="499">IFERROR(VLOOKUP(M75,ARRIOFC,5,FALSE),"")</f>
        <v>483281.27</v>
      </c>
      <c r="AG75" s="326">
        <f t="shared" si="286"/>
        <v>788.41858290007804</v>
      </c>
      <c r="AH75" s="494">
        <f t="shared" si="408"/>
        <v>1.0016340523607437</v>
      </c>
      <c r="AI75" s="141">
        <f t="shared" si="287"/>
        <v>879897.36600634991</v>
      </c>
      <c r="AJ75" s="416">
        <f t="shared" si="368"/>
        <v>411864.11</v>
      </c>
      <c r="AK75" s="326">
        <f t="shared" ref="AK75:AM75" si="500">SUM(P75,W75,AD75)</f>
        <v>930870.65999999992</v>
      </c>
      <c r="AL75" s="326">
        <f t="shared" si="500"/>
        <v>0</v>
      </c>
      <c r="AM75" s="326">
        <f t="shared" si="500"/>
        <v>930870.65999999992</v>
      </c>
      <c r="AN75" s="326">
        <f t="shared" si="289"/>
        <v>50973.293993650004</v>
      </c>
      <c r="AO75" s="98">
        <f t="shared" si="410"/>
        <v>1.0579309541804927</v>
      </c>
      <c r="AP75" s="125">
        <f t="shared" si="419"/>
        <v>161127.85</v>
      </c>
      <c r="AQ75" s="140">
        <f t="shared" si="291"/>
        <v>239377.35</v>
      </c>
      <c r="AR75" s="123" t="str">
        <f t="shared" ref="AR75:AR97" si="501">IFERROR(VLOOKUP(M75,ARRIOALIM,6,FALSE),"0")</f>
        <v>0</v>
      </c>
      <c r="AS75" s="148">
        <f t="shared" ref="AS75:AS97" si="502">IFERROR(VLOOKUP(M75,ARRIOFC,6,FALSE),"")</f>
        <v>239377.35</v>
      </c>
      <c r="AT75" s="125">
        <f t="shared" ref="AT75:AT97" si="503">IFERROR(VLOOKUP(M75,ARRIOLA24,7,FALSE),"")</f>
        <v>69198.490000000005</v>
      </c>
      <c r="AU75" s="140">
        <f t="shared" si="295"/>
        <v>0</v>
      </c>
      <c r="AV75" s="326" t="str">
        <f t="shared" ref="AV75:AV97" si="504">IFERROR(VLOOKUP(M75,ARRIOALIM,7,FALSE),"0")</f>
        <v>0</v>
      </c>
      <c r="AW75" s="333">
        <f t="shared" ref="AW75:AW97" si="505">IFERROR(VLOOKUP(M75,ARRIOFC,7,FALSE),"")</f>
        <v>0</v>
      </c>
      <c r="AX75" s="125">
        <f t="shared" si="466"/>
        <v>171114.92</v>
      </c>
      <c r="AY75" s="1041">
        <f t="shared" si="299"/>
        <v>0</v>
      </c>
      <c r="AZ75" s="123" t="str">
        <f t="shared" ref="AZ75:AZ97" si="506">IFERROR(VLOOKUP(M75,ARRIOALIM,8,FALSE),"0")</f>
        <v>0</v>
      </c>
      <c r="BA75" s="125">
        <f t="shared" ref="BA75:BA97" si="507">IFERROR(VLOOKUP(M75,ARRIOFC,8,FALSE),"")</f>
        <v>0</v>
      </c>
      <c r="BB75" s="122">
        <f t="shared" ref="BB75:BD75" si="508">SUM(AY75,AU75,AQ75)</f>
        <v>239377.35</v>
      </c>
      <c r="BC75" s="326">
        <f t="shared" si="508"/>
        <v>0</v>
      </c>
      <c r="BD75" s="333">
        <f t="shared" si="508"/>
        <v>239377.35</v>
      </c>
      <c r="BE75" s="123">
        <f t="shared" si="303"/>
        <v>1170248.01</v>
      </c>
      <c r="BF75" s="326">
        <f t="shared" ref="BF75:BG75" si="509">BC75+AL75</f>
        <v>0</v>
      </c>
      <c r="BG75" s="435">
        <f t="shared" si="509"/>
        <v>1170248.01</v>
      </c>
      <c r="BH75" s="125">
        <f t="shared" si="469"/>
        <v>205123.38</v>
      </c>
      <c r="BI75" s="1041">
        <f t="shared" si="306"/>
        <v>0</v>
      </c>
      <c r="BJ75" s="326" t="str">
        <f t="shared" ref="BJ75:BJ97" si="510">IFERROR(VLOOKUP(M75,ARRIOALIM,9,FALSE),"0")</f>
        <v>0</v>
      </c>
      <c r="BK75" s="1045">
        <f t="shared" ref="BK75:BK97" si="511">IFERROR(VLOOKUP(M75,ARRIOFC,9,FALSE),"")</f>
        <v>0</v>
      </c>
      <c r="BL75" s="125">
        <f t="shared" si="470"/>
        <v>135430.88</v>
      </c>
      <c r="BM75" s="141">
        <f t="shared" si="310"/>
        <v>0</v>
      </c>
      <c r="BN75" s="332" t="str">
        <f t="shared" ref="BN75:BN97" si="512">IFERROR(VLOOKUP(M75,ARRIOALIM,10,FALSE),"0")</f>
        <v>0</v>
      </c>
      <c r="BO75" s="333">
        <f t="shared" ref="BO75:BO97" si="513">IFERROR(VLOOKUP(M75,ARRIOFC,10,FALSE),"")</f>
        <v>0</v>
      </c>
      <c r="BP75" s="125">
        <f t="shared" si="471"/>
        <v>274516.90999999997</v>
      </c>
      <c r="BQ75" s="140">
        <f t="shared" si="53"/>
        <v>0</v>
      </c>
      <c r="BR75" s="123" t="str">
        <f t="shared" si="440"/>
        <v>0</v>
      </c>
      <c r="BS75" s="148">
        <f t="shared" si="441"/>
        <v>0</v>
      </c>
      <c r="BT75" s="140">
        <f t="shared" ref="BT75:BV75" si="514">SUM(BQ75,BM75,BI75)</f>
        <v>0</v>
      </c>
      <c r="BU75" s="123">
        <f t="shared" si="514"/>
        <v>0</v>
      </c>
      <c r="BV75" s="148">
        <f t="shared" si="514"/>
        <v>0</v>
      </c>
      <c r="BW75" s="125">
        <f t="shared" si="443"/>
        <v>59268.7</v>
      </c>
      <c r="BX75" s="140">
        <f t="shared" si="58"/>
        <v>0</v>
      </c>
      <c r="BY75" s="123" t="str">
        <f t="shared" si="444"/>
        <v>0</v>
      </c>
      <c r="BZ75" s="148">
        <f t="shared" si="445"/>
        <v>0</v>
      </c>
      <c r="CA75" s="123">
        <f t="shared" si="446"/>
        <v>211057.57</v>
      </c>
      <c r="CB75" s="326">
        <f t="shared" si="447"/>
        <v>141537.84</v>
      </c>
    </row>
    <row r="76" spans="1:80" ht="13">
      <c r="A76" s="436">
        <f t="shared" si="431"/>
        <v>112010443</v>
      </c>
      <c r="B76" s="93">
        <f t="shared" si="432"/>
        <v>1</v>
      </c>
      <c r="C76" s="558" t="str">
        <f t="shared" si="485"/>
        <v>Lista</v>
      </c>
      <c r="D76" s="558">
        <f t="shared" si="486"/>
        <v>0.09</v>
      </c>
      <c r="E76" s="715">
        <f t="shared" si="487"/>
        <v>0</v>
      </c>
      <c r="F76" s="701">
        <f t="shared" si="433"/>
        <v>1</v>
      </c>
      <c r="G76" s="700" t="str">
        <f t="shared" si="488"/>
        <v>Lista</v>
      </c>
      <c r="H76" s="700">
        <f t="shared" si="489"/>
        <v>0.09</v>
      </c>
      <c r="I76" s="702">
        <f t="shared" si="490"/>
        <v>0</v>
      </c>
      <c r="J76" s="837">
        <f t="shared" si="434"/>
        <v>71</v>
      </c>
      <c r="K76" s="699" t="str">
        <f t="shared" si="435"/>
        <v>Lista</v>
      </c>
      <c r="L76" s="1040">
        <f t="shared" si="436"/>
        <v>0.05</v>
      </c>
      <c r="M76" s="139" t="s">
        <v>1068</v>
      </c>
      <c r="N76" s="123" t="str">
        <f t="shared" si="464"/>
        <v/>
      </c>
      <c r="O76" s="326" t="e">
        <f t="shared" si="491"/>
        <v>#VALUE!</v>
      </c>
      <c r="P76" s="704" t="e">
        <f t="shared" si="273"/>
        <v>#VALUE!</v>
      </c>
      <c r="Q76" s="704" t="str">
        <f t="shared" si="492"/>
        <v>0</v>
      </c>
      <c r="R76" s="704" t="str">
        <f t="shared" si="493"/>
        <v/>
      </c>
      <c r="S76" s="326" t="e">
        <f t="shared" si="276"/>
        <v>#VALUE!</v>
      </c>
      <c r="T76" s="137" t="str">
        <f t="shared" si="406"/>
        <v/>
      </c>
      <c r="U76" s="332" t="str">
        <f t="shared" si="494"/>
        <v/>
      </c>
      <c r="V76" s="141" t="e">
        <f t="shared" si="415"/>
        <v>#VALUE!</v>
      </c>
      <c r="W76" s="113" t="e">
        <f t="shared" si="278"/>
        <v>#VALUE!</v>
      </c>
      <c r="X76" s="704" t="str">
        <f t="shared" si="495"/>
        <v>0</v>
      </c>
      <c r="Y76" s="117" t="str">
        <f t="shared" si="496"/>
        <v/>
      </c>
      <c r="Z76" s="123" t="e">
        <f t="shared" si="416"/>
        <v>#VALUE!</v>
      </c>
      <c r="AA76" s="98" t="str">
        <f t="shared" si="407"/>
        <v/>
      </c>
      <c r="AB76" s="123" t="str">
        <f t="shared" si="497"/>
        <v/>
      </c>
      <c r="AC76" s="326" t="e">
        <f t="shared" si="417"/>
        <v>#VALUE!</v>
      </c>
      <c r="AD76" s="326" t="e">
        <f t="shared" si="283"/>
        <v>#VALUE!</v>
      </c>
      <c r="AE76" s="326" t="str">
        <f t="shared" si="498"/>
        <v>0</v>
      </c>
      <c r="AF76" s="326" t="str">
        <f t="shared" si="499"/>
        <v/>
      </c>
      <c r="AG76" s="326" t="e">
        <f t="shared" si="286"/>
        <v>#VALUE!</v>
      </c>
      <c r="AH76" s="494" t="str">
        <f t="shared" si="408"/>
        <v/>
      </c>
      <c r="AI76" s="141" t="e">
        <f t="shared" si="287"/>
        <v>#VALUE!</v>
      </c>
      <c r="AJ76" s="416" t="str">
        <f t="shared" si="368"/>
        <v>0</v>
      </c>
      <c r="AK76" s="326" t="e">
        <f t="shared" ref="AK76:AM76" si="515">SUM(P76,W76,AD76)</f>
        <v>#VALUE!</v>
      </c>
      <c r="AL76" s="326">
        <f t="shared" si="515"/>
        <v>0</v>
      </c>
      <c r="AM76" s="326">
        <f t="shared" si="515"/>
        <v>0</v>
      </c>
      <c r="AN76" s="326" t="e">
        <f t="shared" si="289"/>
        <v>#VALUE!</v>
      </c>
      <c r="AO76" s="98" t="str">
        <f t="shared" si="410"/>
        <v/>
      </c>
      <c r="AP76" s="125" t="str">
        <f t="shared" si="419"/>
        <v/>
      </c>
      <c r="AQ76" s="140" t="e">
        <f t="shared" si="291"/>
        <v>#VALUE!</v>
      </c>
      <c r="AR76" s="123" t="str">
        <f t="shared" si="501"/>
        <v>0</v>
      </c>
      <c r="AS76" s="148" t="str">
        <f t="shared" si="502"/>
        <v/>
      </c>
      <c r="AT76" s="125" t="str">
        <f t="shared" si="503"/>
        <v/>
      </c>
      <c r="AU76" s="140" t="e">
        <f t="shared" si="295"/>
        <v>#VALUE!</v>
      </c>
      <c r="AV76" s="326" t="str">
        <f t="shared" si="504"/>
        <v>0</v>
      </c>
      <c r="AW76" s="333" t="str">
        <f t="shared" si="505"/>
        <v/>
      </c>
      <c r="AX76" s="125" t="str">
        <f t="shared" si="466"/>
        <v/>
      </c>
      <c r="AY76" s="1041" t="e">
        <f t="shared" si="299"/>
        <v>#VALUE!</v>
      </c>
      <c r="AZ76" s="123" t="str">
        <f t="shared" si="506"/>
        <v>0</v>
      </c>
      <c r="BA76" s="125" t="str">
        <f t="shared" si="507"/>
        <v/>
      </c>
      <c r="BB76" s="122" t="e">
        <f t="shared" ref="BB76:BD76" si="516">SUM(AY76,AU76,AQ76)</f>
        <v>#VALUE!</v>
      </c>
      <c r="BC76" s="326">
        <f t="shared" si="516"/>
        <v>0</v>
      </c>
      <c r="BD76" s="333">
        <f t="shared" si="516"/>
        <v>0</v>
      </c>
      <c r="BE76" s="123" t="e">
        <f t="shared" si="303"/>
        <v>#VALUE!</v>
      </c>
      <c r="BF76" s="326">
        <f t="shared" ref="BF76:BG76" si="517">BC76+AL76</f>
        <v>0</v>
      </c>
      <c r="BG76" s="435">
        <f t="shared" si="517"/>
        <v>0</v>
      </c>
      <c r="BH76" s="125" t="str">
        <f t="shared" si="469"/>
        <v/>
      </c>
      <c r="BI76" s="1041" t="e">
        <f t="shared" si="306"/>
        <v>#VALUE!</v>
      </c>
      <c r="BJ76" s="326" t="str">
        <f t="shared" si="510"/>
        <v>0</v>
      </c>
      <c r="BK76" s="1045" t="str">
        <f t="shared" si="511"/>
        <v/>
      </c>
      <c r="BL76" s="125" t="str">
        <f t="shared" si="470"/>
        <v/>
      </c>
      <c r="BM76" s="141" t="e">
        <f t="shared" si="310"/>
        <v>#VALUE!</v>
      </c>
      <c r="BN76" s="332" t="str">
        <f t="shared" si="512"/>
        <v>0</v>
      </c>
      <c r="BO76" s="333" t="str">
        <f t="shared" si="513"/>
        <v/>
      </c>
      <c r="BP76" s="125" t="str">
        <f t="shared" si="471"/>
        <v/>
      </c>
      <c r="BQ76" s="140" t="e">
        <f t="shared" si="53"/>
        <v>#VALUE!</v>
      </c>
      <c r="BR76" s="123" t="str">
        <f t="shared" si="440"/>
        <v>0</v>
      </c>
      <c r="BS76" s="148" t="str">
        <f t="shared" si="441"/>
        <v/>
      </c>
      <c r="BT76" s="140" t="e">
        <f t="shared" ref="BT76:BV76" si="518">SUM(BQ76,BM76,BI76)</f>
        <v>#VALUE!</v>
      </c>
      <c r="BU76" s="123">
        <f t="shared" si="518"/>
        <v>0</v>
      </c>
      <c r="BV76" s="148">
        <f t="shared" si="518"/>
        <v>0</v>
      </c>
      <c r="BW76" s="125" t="str">
        <f t="shared" si="443"/>
        <v/>
      </c>
      <c r="BX76" s="140" t="e">
        <f t="shared" si="58"/>
        <v>#VALUE!</v>
      </c>
      <c r="BY76" s="123" t="str">
        <f t="shared" si="444"/>
        <v>0</v>
      </c>
      <c r="BZ76" s="148" t="str">
        <f t="shared" si="445"/>
        <v/>
      </c>
      <c r="CA76" s="123" t="str">
        <f t="shared" si="446"/>
        <v/>
      </c>
      <c r="CB76" s="326" t="str">
        <f t="shared" si="447"/>
        <v/>
      </c>
    </row>
    <row r="77" spans="1:80" ht="13">
      <c r="A77" s="436">
        <f t="shared" si="431"/>
        <v>112010811</v>
      </c>
      <c r="B77" s="93">
        <f t="shared" si="432"/>
        <v>1</v>
      </c>
      <c r="C77" s="558" t="str">
        <f t="shared" si="485"/>
        <v>Lista</v>
      </c>
      <c r="D77" s="558">
        <f t="shared" si="486"/>
        <v>0.09</v>
      </c>
      <c r="E77" s="715">
        <f t="shared" si="487"/>
        <v>0</v>
      </c>
      <c r="F77" s="701">
        <f t="shared" si="433"/>
        <v>1</v>
      </c>
      <c r="G77" s="700" t="str">
        <f t="shared" si="488"/>
        <v>Lista</v>
      </c>
      <c r="H77" s="700">
        <f t="shared" si="489"/>
        <v>0.09</v>
      </c>
      <c r="I77" s="702">
        <f t="shared" si="490"/>
        <v>0</v>
      </c>
      <c r="J77" s="837">
        <f t="shared" si="434"/>
        <v>71</v>
      </c>
      <c r="K77" s="699" t="str">
        <f t="shared" si="435"/>
        <v>Lista</v>
      </c>
      <c r="L77" s="1040">
        <f t="shared" si="436"/>
        <v>0.05</v>
      </c>
      <c r="M77" s="139" t="s">
        <v>1069</v>
      </c>
      <c r="N77" s="123" t="str">
        <f t="shared" si="464"/>
        <v/>
      </c>
      <c r="O77" s="326" t="e">
        <f t="shared" si="491"/>
        <v>#VALUE!</v>
      </c>
      <c r="P77" s="704" t="e">
        <f t="shared" si="273"/>
        <v>#VALUE!</v>
      </c>
      <c r="Q77" s="704" t="str">
        <f t="shared" si="492"/>
        <v>0</v>
      </c>
      <c r="R77" s="704" t="str">
        <f t="shared" si="493"/>
        <v/>
      </c>
      <c r="S77" s="326" t="e">
        <f t="shared" si="276"/>
        <v>#VALUE!</v>
      </c>
      <c r="T77" s="137" t="str">
        <f t="shared" si="406"/>
        <v/>
      </c>
      <c r="U77" s="332" t="str">
        <f t="shared" si="494"/>
        <v/>
      </c>
      <c r="V77" s="141" t="e">
        <f t="shared" si="415"/>
        <v>#VALUE!</v>
      </c>
      <c r="W77" s="113" t="e">
        <f t="shared" si="278"/>
        <v>#VALUE!</v>
      </c>
      <c r="X77" s="704" t="str">
        <f t="shared" si="495"/>
        <v>0</v>
      </c>
      <c r="Y77" s="117" t="str">
        <f t="shared" si="496"/>
        <v/>
      </c>
      <c r="Z77" s="123" t="e">
        <f t="shared" si="416"/>
        <v>#VALUE!</v>
      </c>
      <c r="AA77" s="98" t="str">
        <f t="shared" si="407"/>
        <v/>
      </c>
      <c r="AB77" s="123" t="str">
        <f t="shared" si="497"/>
        <v/>
      </c>
      <c r="AC77" s="326" t="e">
        <f t="shared" si="417"/>
        <v>#VALUE!</v>
      </c>
      <c r="AD77" s="326" t="e">
        <f t="shared" si="283"/>
        <v>#VALUE!</v>
      </c>
      <c r="AE77" s="326" t="str">
        <f t="shared" si="498"/>
        <v>0</v>
      </c>
      <c r="AF77" s="326" t="str">
        <f t="shared" si="499"/>
        <v/>
      </c>
      <c r="AG77" s="326" t="e">
        <f t="shared" si="286"/>
        <v>#VALUE!</v>
      </c>
      <c r="AH77" s="494" t="str">
        <f t="shared" si="408"/>
        <v/>
      </c>
      <c r="AI77" s="141" t="e">
        <f t="shared" si="287"/>
        <v>#VALUE!</v>
      </c>
      <c r="AJ77" s="416" t="str">
        <f t="shared" si="368"/>
        <v>0</v>
      </c>
      <c r="AK77" s="326" t="e">
        <f t="shared" ref="AK77:AM77" si="519">SUM(P77,W77,AD77)</f>
        <v>#VALUE!</v>
      </c>
      <c r="AL77" s="326">
        <f t="shared" si="519"/>
        <v>0</v>
      </c>
      <c r="AM77" s="326">
        <f t="shared" si="519"/>
        <v>0</v>
      </c>
      <c r="AN77" s="326" t="e">
        <f t="shared" si="289"/>
        <v>#VALUE!</v>
      </c>
      <c r="AO77" s="98" t="str">
        <f t="shared" si="410"/>
        <v/>
      </c>
      <c r="AP77" s="125" t="str">
        <f t="shared" si="419"/>
        <v/>
      </c>
      <c r="AQ77" s="140" t="e">
        <f t="shared" si="291"/>
        <v>#VALUE!</v>
      </c>
      <c r="AR77" s="123" t="str">
        <f t="shared" si="501"/>
        <v>0</v>
      </c>
      <c r="AS77" s="148" t="str">
        <f t="shared" si="502"/>
        <v/>
      </c>
      <c r="AT77" s="125" t="str">
        <f t="shared" si="503"/>
        <v/>
      </c>
      <c r="AU77" s="140" t="e">
        <f t="shared" si="295"/>
        <v>#VALUE!</v>
      </c>
      <c r="AV77" s="326" t="str">
        <f t="shared" si="504"/>
        <v>0</v>
      </c>
      <c r="AW77" s="333" t="str">
        <f t="shared" si="505"/>
        <v/>
      </c>
      <c r="AX77" s="125" t="str">
        <f t="shared" si="466"/>
        <v/>
      </c>
      <c r="AY77" s="1041" t="e">
        <f t="shared" si="299"/>
        <v>#VALUE!</v>
      </c>
      <c r="AZ77" s="123" t="str">
        <f t="shared" si="506"/>
        <v>0</v>
      </c>
      <c r="BA77" s="125" t="str">
        <f t="shared" si="507"/>
        <v/>
      </c>
      <c r="BB77" s="122" t="e">
        <f t="shared" ref="BB77:BD77" si="520">SUM(AY77,AU77,AQ77)</f>
        <v>#VALUE!</v>
      </c>
      <c r="BC77" s="326">
        <f t="shared" si="520"/>
        <v>0</v>
      </c>
      <c r="BD77" s="333">
        <f t="shared" si="520"/>
        <v>0</v>
      </c>
      <c r="BE77" s="123" t="e">
        <f t="shared" si="303"/>
        <v>#VALUE!</v>
      </c>
      <c r="BF77" s="326">
        <f t="shared" ref="BF77:BG77" si="521">BC77+AL77</f>
        <v>0</v>
      </c>
      <c r="BG77" s="435">
        <f t="shared" si="521"/>
        <v>0</v>
      </c>
      <c r="BH77" s="125" t="str">
        <f t="shared" si="469"/>
        <v/>
      </c>
      <c r="BI77" s="1041" t="e">
        <f t="shared" si="306"/>
        <v>#VALUE!</v>
      </c>
      <c r="BJ77" s="326" t="str">
        <f t="shared" si="510"/>
        <v>0</v>
      </c>
      <c r="BK77" s="1045" t="str">
        <f t="shared" si="511"/>
        <v/>
      </c>
      <c r="BL77" s="125" t="str">
        <f t="shared" si="470"/>
        <v/>
      </c>
      <c r="BM77" s="141" t="e">
        <f t="shared" si="310"/>
        <v>#VALUE!</v>
      </c>
      <c r="BN77" s="332" t="str">
        <f t="shared" si="512"/>
        <v>0</v>
      </c>
      <c r="BO77" s="333" t="str">
        <f t="shared" si="513"/>
        <v/>
      </c>
      <c r="BP77" s="125" t="str">
        <f t="shared" si="471"/>
        <v/>
      </c>
      <c r="BQ77" s="140" t="e">
        <f t="shared" si="53"/>
        <v>#VALUE!</v>
      </c>
      <c r="BR77" s="123" t="str">
        <f t="shared" si="440"/>
        <v>0</v>
      </c>
      <c r="BS77" s="148" t="str">
        <f t="shared" si="441"/>
        <v/>
      </c>
      <c r="BT77" s="140" t="e">
        <f t="shared" ref="BT77:BV77" si="522">SUM(BQ77,BM77,BI77)</f>
        <v>#VALUE!</v>
      </c>
      <c r="BU77" s="123">
        <f t="shared" si="522"/>
        <v>0</v>
      </c>
      <c r="BV77" s="148">
        <f t="shared" si="522"/>
        <v>0</v>
      </c>
      <c r="BW77" s="125" t="str">
        <f t="shared" si="443"/>
        <v/>
      </c>
      <c r="BX77" s="140" t="e">
        <f t="shared" si="58"/>
        <v>#VALUE!</v>
      </c>
      <c r="BY77" s="123" t="str">
        <f t="shared" si="444"/>
        <v>0</v>
      </c>
      <c r="BZ77" s="148" t="str">
        <f t="shared" si="445"/>
        <v/>
      </c>
      <c r="CA77" s="123" t="str">
        <f t="shared" si="446"/>
        <v/>
      </c>
      <c r="CB77" s="326" t="str">
        <f t="shared" si="447"/>
        <v/>
      </c>
    </row>
    <row r="78" spans="1:80" ht="13">
      <c r="A78" s="436">
        <f t="shared" si="431"/>
        <v>112011474</v>
      </c>
      <c r="B78" s="93">
        <f t="shared" si="432"/>
        <v>1</v>
      </c>
      <c r="C78" s="558" t="str">
        <f t="shared" si="485"/>
        <v>Lista</v>
      </c>
      <c r="D78" s="558">
        <f t="shared" si="486"/>
        <v>0.09</v>
      </c>
      <c r="E78" s="715">
        <f t="shared" si="487"/>
        <v>0</v>
      </c>
      <c r="F78" s="701">
        <f t="shared" si="433"/>
        <v>1</v>
      </c>
      <c r="G78" s="700" t="str">
        <f t="shared" si="488"/>
        <v>Lista</v>
      </c>
      <c r="H78" s="700">
        <f t="shared" si="489"/>
        <v>0.09</v>
      </c>
      <c r="I78" s="702">
        <f t="shared" si="490"/>
        <v>0</v>
      </c>
      <c r="J78" s="837">
        <f t="shared" si="434"/>
        <v>71</v>
      </c>
      <c r="K78" s="699" t="str">
        <f t="shared" si="435"/>
        <v>Lista</v>
      </c>
      <c r="L78" s="1040">
        <f t="shared" si="436"/>
        <v>0.05</v>
      </c>
      <c r="M78" s="139" t="s">
        <v>1070</v>
      </c>
      <c r="N78" s="123">
        <f t="shared" si="464"/>
        <v>15758.07</v>
      </c>
      <c r="O78" s="326">
        <f t="shared" si="491"/>
        <v>26490.1035735</v>
      </c>
      <c r="P78" s="704">
        <f t="shared" si="273"/>
        <v>46341</v>
      </c>
      <c r="Q78" s="704" t="str">
        <f t="shared" si="492"/>
        <v>0</v>
      </c>
      <c r="R78" s="704">
        <f t="shared" si="493"/>
        <v>46341</v>
      </c>
      <c r="S78" s="326">
        <f t="shared" si="276"/>
        <v>19850.8964265</v>
      </c>
      <c r="T78" s="137">
        <f t="shared" si="406"/>
        <v>1.7493702835634932</v>
      </c>
      <c r="U78" s="332">
        <f t="shared" si="494"/>
        <v>223742.38</v>
      </c>
      <c r="V78" s="141">
        <f t="shared" si="415"/>
        <v>405135.92102549999</v>
      </c>
      <c r="W78" s="113">
        <f t="shared" si="278"/>
        <v>0</v>
      </c>
      <c r="X78" s="704" t="str">
        <f t="shared" si="495"/>
        <v>0</v>
      </c>
      <c r="Y78" s="117">
        <f t="shared" si="496"/>
        <v>0</v>
      </c>
      <c r="Z78" s="123">
        <f t="shared" si="416"/>
        <v>-405135.92102549999</v>
      </c>
      <c r="AA78" s="98">
        <f t="shared" si="407"/>
        <v>0</v>
      </c>
      <c r="AB78" s="123">
        <f t="shared" si="497"/>
        <v>0</v>
      </c>
      <c r="AC78" s="326">
        <f t="shared" si="417"/>
        <v>0</v>
      </c>
      <c r="AD78" s="326">
        <f t="shared" si="283"/>
        <v>0</v>
      </c>
      <c r="AE78" s="326" t="str">
        <f t="shared" si="498"/>
        <v>0</v>
      </c>
      <c r="AF78" s="326">
        <f t="shared" si="499"/>
        <v>0</v>
      </c>
      <c r="AG78" s="326">
        <f t="shared" si="286"/>
        <v>0</v>
      </c>
      <c r="AH78" s="494" t="str">
        <f t="shared" si="408"/>
        <v/>
      </c>
      <c r="AI78" s="141">
        <f t="shared" si="287"/>
        <v>431626.024599</v>
      </c>
      <c r="AJ78" s="416" t="str">
        <f t="shared" si="368"/>
        <v>0</v>
      </c>
      <c r="AK78" s="326">
        <f t="shared" ref="AK78:AM78" si="523">SUM(P78,W78,AD78)</f>
        <v>46341</v>
      </c>
      <c r="AL78" s="326">
        <f t="shared" si="523"/>
        <v>0</v>
      </c>
      <c r="AM78" s="326">
        <f t="shared" si="523"/>
        <v>46341</v>
      </c>
      <c r="AN78" s="326">
        <f t="shared" si="289"/>
        <v>-385285.024599</v>
      </c>
      <c r="AO78" s="98">
        <f t="shared" si="410"/>
        <v>0.10736377641513362</v>
      </c>
      <c r="AP78" s="125">
        <f t="shared" si="419"/>
        <v>92439.6</v>
      </c>
      <c r="AQ78" s="140">
        <f t="shared" si="291"/>
        <v>0</v>
      </c>
      <c r="AR78" s="123" t="str">
        <f t="shared" si="501"/>
        <v>0</v>
      </c>
      <c r="AS78" s="148">
        <f t="shared" si="502"/>
        <v>0</v>
      </c>
      <c r="AT78" s="125">
        <f t="shared" si="503"/>
        <v>101956.14</v>
      </c>
      <c r="AU78" s="140">
        <f t="shared" si="295"/>
        <v>0</v>
      </c>
      <c r="AV78" s="326" t="str">
        <f t="shared" si="504"/>
        <v>0</v>
      </c>
      <c r="AW78" s="333">
        <f t="shared" si="505"/>
        <v>0</v>
      </c>
      <c r="AX78" s="125">
        <f t="shared" si="466"/>
        <v>103500.67</v>
      </c>
      <c r="AY78" s="1041">
        <f t="shared" si="299"/>
        <v>0</v>
      </c>
      <c r="AZ78" s="123" t="str">
        <f t="shared" si="506"/>
        <v>0</v>
      </c>
      <c r="BA78" s="125">
        <f t="shared" si="507"/>
        <v>0</v>
      </c>
      <c r="BB78" s="122">
        <f t="shared" ref="BB78:BD78" si="524">SUM(AY78,AU78,AQ78)</f>
        <v>0</v>
      </c>
      <c r="BC78" s="326">
        <f t="shared" si="524"/>
        <v>0</v>
      </c>
      <c r="BD78" s="333">
        <f t="shared" si="524"/>
        <v>0</v>
      </c>
      <c r="BE78" s="123">
        <f t="shared" si="303"/>
        <v>46341</v>
      </c>
      <c r="BF78" s="326">
        <f t="shared" ref="BF78:BG78" si="525">BC78+AL78</f>
        <v>0</v>
      </c>
      <c r="BG78" s="435">
        <f t="shared" si="525"/>
        <v>46341</v>
      </c>
      <c r="BH78" s="125">
        <f t="shared" si="469"/>
        <v>38978.42</v>
      </c>
      <c r="BI78" s="1041">
        <f t="shared" si="306"/>
        <v>0</v>
      </c>
      <c r="BJ78" s="326" t="str">
        <f t="shared" si="510"/>
        <v>0</v>
      </c>
      <c r="BK78" s="1045">
        <f t="shared" si="511"/>
        <v>0</v>
      </c>
      <c r="BL78" s="125">
        <f t="shared" si="470"/>
        <v>89385.279999999999</v>
      </c>
      <c r="BM78" s="141">
        <f t="shared" si="310"/>
        <v>0</v>
      </c>
      <c r="BN78" s="332" t="str">
        <f t="shared" si="512"/>
        <v>0</v>
      </c>
      <c r="BO78" s="333">
        <f t="shared" si="513"/>
        <v>0</v>
      </c>
      <c r="BP78" s="125">
        <f t="shared" si="471"/>
        <v>0</v>
      </c>
      <c r="BQ78" s="140">
        <f t="shared" si="53"/>
        <v>0</v>
      </c>
      <c r="BR78" s="123" t="str">
        <f t="shared" si="440"/>
        <v>0</v>
      </c>
      <c r="BS78" s="148">
        <f t="shared" si="441"/>
        <v>0</v>
      </c>
      <c r="BT78" s="140">
        <f t="shared" ref="BT78:BV78" si="526">SUM(BQ78,BM78,BI78)</f>
        <v>0</v>
      </c>
      <c r="BU78" s="123">
        <f t="shared" si="526"/>
        <v>0</v>
      </c>
      <c r="BV78" s="148">
        <f t="shared" si="526"/>
        <v>0</v>
      </c>
      <c r="BW78" s="125">
        <f t="shared" si="443"/>
        <v>0</v>
      </c>
      <c r="BX78" s="140">
        <f t="shared" si="58"/>
        <v>0</v>
      </c>
      <c r="BY78" s="123" t="str">
        <f t="shared" si="444"/>
        <v>0</v>
      </c>
      <c r="BZ78" s="148">
        <f t="shared" si="445"/>
        <v>0</v>
      </c>
      <c r="CA78" s="123">
        <f t="shared" si="446"/>
        <v>0</v>
      </c>
      <c r="CB78" s="326">
        <f t="shared" si="447"/>
        <v>0</v>
      </c>
    </row>
    <row r="79" spans="1:80" ht="13">
      <c r="A79" s="436">
        <f t="shared" si="431"/>
        <v>112011594</v>
      </c>
      <c r="B79" s="93">
        <f t="shared" si="432"/>
        <v>1</v>
      </c>
      <c r="C79" s="558" t="str">
        <f t="shared" si="485"/>
        <v>Lista</v>
      </c>
      <c r="D79" s="558">
        <f t="shared" si="486"/>
        <v>0.09</v>
      </c>
      <c r="E79" s="715">
        <f t="shared" si="487"/>
        <v>0</v>
      </c>
      <c r="F79" s="701">
        <f t="shared" si="433"/>
        <v>1</v>
      </c>
      <c r="G79" s="700" t="str">
        <f t="shared" si="488"/>
        <v>Lista</v>
      </c>
      <c r="H79" s="700">
        <f t="shared" si="489"/>
        <v>0.09</v>
      </c>
      <c r="I79" s="702">
        <f t="shared" si="490"/>
        <v>0</v>
      </c>
      <c r="J79" s="837">
        <f t="shared" si="434"/>
        <v>71</v>
      </c>
      <c r="K79" s="699" t="str">
        <f t="shared" si="435"/>
        <v>Lista</v>
      </c>
      <c r="L79" s="1040">
        <f t="shared" si="436"/>
        <v>0.05</v>
      </c>
      <c r="M79" s="139" t="s">
        <v>1071</v>
      </c>
      <c r="N79" s="123">
        <f t="shared" si="464"/>
        <v>178407.46</v>
      </c>
      <c r="O79" s="326">
        <f t="shared" si="491"/>
        <v>299911.86063300003</v>
      </c>
      <c r="P79" s="704">
        <f t="shared" si="273"/>
        <v>237553.8</v>
      </c>
      <c r="Q79" s="704" t="str">
        <f t="shared" si="492"/>
        <v>0</v>
      </c>
      <c r="R79" s="704">
        <f t="shared" si="493"/>
        <v>237553.8</v>
      </c>
      <c r="S79" s="326">
        <f t="shared" si="276"/>
        <v>-62358.060633000045</v>
      </c>
      <c r="T79" s="137">
        <f t="shared" si="406"/>
        <v>0.7920787110540215</v>
      </c>
      <c r="U79" s="332">
        <f t="shared" si="494"/>
        <v>0</v>
      </c>
      <c r="V79" s="141">
        <f t="shared" si="415"/>
        <v>0</v>
      </c>
      <c r="W79" s="113">
        <f t="shared" si="278"/>
        <v>223216.49</v>
      </c>
      <c r="X79" s="704" t="str">
        <f t="shared" si="495"/>
        <v>0</v>
      </c>
      <c r="Y79" s="117">
        <f t="shared" si="496"/>
        <v>223216.49</v>
      </c>
      <c r="Z79" s="123">
        <f t="shared" si="416"/>
        <v>223216.49</v>
      </c>
      <c r="AA79" s="98" t="str">
        <f t="shared" si="407"/>
        <v/>
      </c>
      <c r="AB79" s="123">
        <f t="shared" si="497"/>
        <v>89624.06</v>
      </c>
      <c r="AC79" s="326">
        <f t="shared" si="417"/>
        <v>147285.04336189997</v>
      </c>
      <c r="AD79" s="326">
        <f t="shared" si="283"/>
        <v>426495.44</v>
      </c>
      <c r="AE79" s="326" t="str">
        <f t="shared" si="498"/>
        <v>0</v>
      </c>
      <c r="AF79" s="326">
        <f t="shared" si="499"/>
        <v>426495.44</v>
      </c>
      <c r="AG79" s="326">
        <f t="shared" si="286"/>
        <v>279210.39663810004</v>
      </c>
      <c r="AH79" s="494">
        <f t="shared" si="408"/>
        <v>2.8957145292210087</v>
      </c>
      <c r="AI79" s="141">
        <f t="shared" si="287"/>
        <v>447196.9039949</v>
      </c>
      <c r="AJ79" s="416">
        <f t="shared" si="368"/>
        <v>291004.84000000003</v>
      </c>
      <c r="AK79" s="326">
        <f t="shared" ref="AK79:AM79" si="527">SUM(P79,W79,AD79)</f>
        <v>887265.73</v>
      </c>
      <c r="AL79" s="326">
        <f t="shared" si="527"/>
        <v>0</v>
      </c>
      <c r="AM79" s="326">
        <f t="shared" si="527"/>
        <v>887265.73</v>
      </c>
      <c r="AN79" s="326">
        <f t="shared" si="289"/>
        <v>440068.82600509998</v>
      </c>
      <c r="AO79" s="98">
        <f t="shared" si="410"/>
        <v>1.9840605381519338</v>
      </c>
      <c r="AP79" s="125">
        <f t="shared" si="419"/>
        <v>0</v>
      </c>
      <c r="AQ79" s="140">
        <f t="shared" si="291"/>
        <v>80781.55</v>
      </c>
      <c r="AR79" s="123" t="str">
        <f t="shared" si="501"/>
        <v>0</v>
      </c>
      <c r="AS79" s="148">
        <f t="shared" si="502"/>
        <v>80781.55</v>
      </c>
      <c r="AT79" s="125">
        <f t="shared" si="503"/>
        <v>244798.92</v>
      </c>
      <c r="AU79" s="140">
        <f t="shared" si="295"/>
        <v>14650</v>
      </c>
      <c r="AV79" s="326" t="str">
        <f t="shared" si="504"/>
        <v>0</v>
      </c>
      <c r="AW79" s="333">
        <f t="shared" si="505"/>
        <v>14650</v>
      </c>
      <c r="AX79" s="125">
        <f t="shared" si="466"/>
        <v>0</v>
      </c>
      <c r="AY79" s="1041">
        <f t="shared" si="299"/>
        <v>0</v>
      </c>
      <c r="AZ79" s="123" t="str">
        <f t="shared" si="506"/>
        <v>0</v>
      </c>
      <c r="BA79" s="125">
        <f t="shared" si="507"/>
        <v>0</v>
      </c>
      <c r="BB79" s="122">
        <f t="shared" ref="BB79:BD79" si="528">SUM(AY79,AU79,AQ79)</f>
        <v>95431.55</v>
      </c>
      <c r="BC79" s="326">
        <f t="shared" si="528"/>
        <v>0</v>
      </c>
      <c r="BD79" s="333">
        <f t="shared" si="528"/>
        <v>95431.55</v>
      </c>
      <c r="BE79" s="123">
        <f t="shared" si="303"/>
        <v>982697.28</v>
      </c>
      <c r="BF79" s="326">
        <f t="shared" ref="BF79:BG79" si="529">BC79+AL79</f>
        <v>0</v>
      </c>
      <c r="BG79" s="435">
        <f t="shared" si="529"/>
        <v>982697.28</v>
      </c>
      <c r="BH79" s="125">
        <f t="shared" si="469"/>
        <v>185364.71</v>
      </c>
      <c r="BI79" s="1041">
        <f t="shared" si="306"/>
        <v>433711.45</v>
      </c>
      <c r="BJ79" s="326" t="str">
        <f t="shared" si="510"/>
        <v>0</v>
      </c>
      <c r="BK79" s="1045">
        <f t="shared" si="511"/>
        <v>433711.45</v>
      </c>
      <c r="BL79" s="125">
        <f t="shared" si="470"/>
        <v>112795.23</v>
      </c>
      <c r="BM79" s="141">
        <f t="shared" si="310"/>
        <v>0</v>
      </c>
      <c r="BN79" s="332" t="str">
        <f t="shared" si="512"/>
        <v>0</v>
      </c>
      <c r="BO79" s="333">
        <f t="shared" si="513"/>
        <v>0</v>
      </c>
      <c r="BP79" s="125">
        <f t="shared" si="471"/>
        <v>277467.75</v>
      </c>
      <c r="BQ79" s="140">
        <f t="shared" si="53"/>
        <v>0</v>
      </c>
      <c r="BR79" s="123" t="str">
        <f t="shared" si="440"/>
        <v>0</v>
      </c>
      <c r="BS79" s="148">
        <f t="shared" si="441"/>
        <v>0</v>
      </c>
      <c r="BT79" s="140">
        <f t="shared" ref="BT79:BV79" si="530">SUM(BQ79,BM79,BI79)</f>
        <v>433711.45</v>
      </c>
      <c r="BU79" s="123">
        <f t="shared" si="530"/>
        <v>0</v>
      </c>
      <c r="BV79" s="148">
        <f t="shared" si="530"/>
        <v>433711.45</v>
      </c>
      <c r="BW79" s="125">
        <f t="shared" si="443"/>
        <v>142206.20000000001</v>
      </c>
      <c r="BX79" s="140">
        <f t="shared" si="58"/>
        <v>603441.76</v>
      </c>
      <c r="BY79" s="123" t="str">
        <f t="shared" si="444"/>
        <v>0</v>
      </c>
      <c r="BZ79" s="148">
        <f t="shared" si="445"/>
        <v>603441.76</v>
      </c>
      <c r="CA79" s="123">
        <f t="shared" si="446"/>
        <v>0</v>
      </c>
      <c r="CB79" s="326">
        <f t="shared" si="447"/>
        <v>148798.64000000001</v>
      </c>
    </row>
    <row r="80" spans="1:80" ht="13">
      <c r="A80" s="436">
        <f t="shared" si="431"/>
        <v>112011681</v>
      </c>
      <c r="B80" s="93">
        <f t="shared" si="432"/>
        <v>1</v>
      </c>
      <c r="C80" s="558" t="str">
        <f t="shared" si="485"/>
        <v>Lista</v>
      </c>
      <c r="D80" s="558">
        <f t="shared" si="486"/>
        <v>0.09</v>
      </c>
      <c r="E80" s="715">
        <f t="shared" si="487"/>
        <v>0</v>
      </c>
      <c r="F80" s="701">
        <f t="shared" si="433"/>
        <v>1</v>
      </c>
      <c r="G80" s="700" t="str">
        <f t="shared" si="488"/>
        <v>Lista</v>
      </c>
      <c r="H80" s="700">
        <f t="shared" si="489"/>
        <v>0.09</v>
      </c>
      <c r="I80" s="702">
        <f t="shared" si="490"/>
        <v>0</v>
      </c>
      <c r="J80" s="837">
        <f t="shared" si="434"/>
        <v>71</v>
      </c>
      <c r="K80" s="699" t="str">
        <f t="shared" si="435"/>
        <v>Lista</v>
      </c>
      <c r="L80" s="1040">
        <f t="shared" si="436"/>
        <v>0.05</v>
      </c>
      <c r="M80" s="139" t="s">
        <v>1072</v>
      </c>
      <c r="N80" s="123">
        <f t="shared" si="464"/>
        <v>410689.4</v>
      </c>
      <c r="O80" s="326">
        <f t="shared" si="491"/>
        <v>690389.41587000014</v>
      </c>
      <c r="P80" s="704" t="e">
        <f t="shared" si="273"/>
        <v>#VALUE!</v>
      </c>
      <c r="Q80" s="704" t="str">
        <f t="shared" si="492"/>
        <v>0</v>
      </c>
      <c r="R80" s="704" t="str">
        <f t="shared" si="493"/>
        <v/>
      </c>
      <c r="S80" s="326" t="e">
        <f t="shared" si="276"/>
        <v>#VALUE!</v>
      </c>
      <c r="T80" s="137" t="str">
        <f t="shared" si="406"/>
        <v/>
      </c>
      <c r="U80" s="332">
        <f t="shared" si="494"/>
        <v>0</v>
      </c>
      <c r="V80" s="141">
        <f t="shared" si="415"/>
        <v>0</v>
      </c>
      <c r="W80" s="113" t="e">
        <f t="shared" si="278"/>
        <v>#VALUE!</v>
      </c>
      <c r="X80" s="704" t="str">
        <f t="shared" si="495"/>
        <v>0</v>
      </c>
      <c r="Y80" s="117" t="str">
        <f t="shared" si="496"/>
        <v/>
      </c>
      <c r="Z80" s="123" t="e">
        <f t="shared" si="416"/>
        <v>#VALUE!</v>
      </c>
      <c r="AA80" s="98" t="str">
        <f t="shared" si="407"/>
        <v/>
      </c>
      <c r="AB80" s="123">
        <f t="shared" si="497"/>
        <v>0</v>
      </c>
      <c r="AC80" s="326">
        <f t="shared" si="417"/>
        <v>0</v>
      </c>
      <c r="AD80" s="326" t="e">
        <f t="shared" si="283"/>
        <v>#VALUE!</v>
      </c>
      <c r="AE80" s="326" t="str">
        <f t="shared" si="498"/>
        <v>0</v>
      </c>
      <c r="AF80" s="326" t="str">
        <f t="shared" si="499"/>
        <v/>
      </c>
      <c r="AG80" s="326" t="e">
        <f t="shared" si="286"/>
        <v>#VALUE!</v>
      </c>
      <c r="AH80" s="494" t="str">
        <f t="shared" si="408"/>
        <v/>
      </c>
      <c r="AI80" s="141">
        <f t="shared" si="287"/>
        <v>690389.41587000014</v>
      </c>
      <c r="AJ80" s="416" t="str">
        <f t="shared" si="368"/>
        <v>0</v>
      </c>
      <c r="AK80" s="326" t="e">
        <f t="shared" ref="AK80:AM80" si="531">SUM(P80,W80,AD80)</f>
        <v>#VALUE!</v>
      </c>
      <c r="AL80" s="326">
        <f t="shared" si="531"/>
        <v>0</v>
      </c>
      <c r="AM80" s="326">
        <f t="shared" si="531"/>
        <v>0</v>
      </c>
      <c r="AN80" s="326">
        <f t="shared" si="289"/>
        <v>-690389.41587000014</v>
      </c>
      <c r="AO80" s="98">
        <f t="shared" si="410"/>
        <v>0</v>
      </c>
      <c r="AP80" s="125">
        <f t="shared" si="419"/>
        <v>161206.94</v>
      </c>
      <c r="AQ80" s="140" t="e">
        <f t="shared" si="291"/>
        <v>#VALUE!</v>
      </c>
      <c r="AR80" s="123" t="str">
        <f t="shared" si="501"/>
        <v>0</v>
      </c>
      <c r="AS80" s="148" t="str">
        <f t="shared" si="502"/>
        <v/>
      </c>
      <c r="AT80" s="125">
        <f t="shared" si="503"/>
        <v>0</v>
      </c>
      <c r="AU80" s="140" t="e">
        <f t="shared" si="295"/>
        <v>#VALUE!</v>
      </c>
      <c r="AV80" s="326" t="str">
        <f t="shared" si="504"/>
        <v>0</v>
      </c>
      <c r="AW80" s="333" t="str">
        <f t="shared" si="505"/>
        <v/>
      </c>
      <c r="AX80" s="125">
        <f t="shared" si="466"/>
        <v>0</v>
      </c>
      <c r="AY80" s="1041" t="e">
        <f t="shared" si="299"/>
        <v>#VALUE!</v>
      </c>
      <c r="AZ80" s="123" t="str">
        <f t="shared" si="506"/>
        <v>0</v>
      </c>
      <c r="BA80" s="125" t="str">
        <f t="shared" si="507"/>
        <v/>
      </c>
      <c r="BB80" s="122" t="e">
        <f t="shared" ref="BB80:BD80" si="532">SUM(AY80,AU80,AQ80)</f>
        <v>#VALUE!</v>
      </c>
      <c r="BC80" s="326">
        <f t="shared" si="532"/>
        <v>0</v>
      </c>
      <c r="BD80" s="333">
        <f t="shared" si="532"/>
        <v>0</v>
      </c>
      <c r="BE80" s="123" t="e">
        <f t="shared" si="303"/>
        <v>#VALUE!</v>
      </c>
      <c r="BF80" s="326">
        <f t="shared" ref="BF80:BG80" si="533">BC80+AL80</f>
        <v>0</v>
      </c>
      <c r="BG80" s="435">
        <f t="shared" si="533"/>
        <v>0</v>
      </c>
      <c r="BH80" s="125">
        <f t="shared" si="469"/>
        <v>0</v>
      </c>
      <c r="BI80" s="1041" t="e">
        <f t="shared" si="306"/>
        <v>#VALUE!</v>
      </c>
      <c r="BJ80" s="326" t="str">
        <f t="shared" si="510"/>
        <v>0</v>
      </c>
      <c r="BK80" s="1045" t="str">
        <f t="shared" si="511"/>
        <v/>
      </c>
      <c r="BL80" s="125">
        <f t="shared" si="470"/>
        <v>0</v>
      </c>
      <c r="BM80" s="141" t="e">
        <f t="shared" si="310"/>
        <v>#VALUE!</v>
      </c>
      <c r="BN80" s="332" t="str">
        <f t="shared" si="512"/>
        <v>0</v>
      </c>
      <c r="BO80" s="333" t="str">
        <f t="shared" si="513"/>
        <v/>
      </c>
      <c r="BP80" s="125">
        <f t="shared" si="471"/>
        <v>0</v>
      </c>
      <c r="BQ80" s="140" t="e">
        <f t="shared" si="53"/>
        <v>#VALUE!</v>
      </c>
      <c r="BR80" s="123" t="str">
        <f t="shared" si="440"/>
        <v>0</v>
      </c>
      <c r="BS80" s="148" t="str">
        <f t="shared" si="441"/>
        <v/>
      </c>
      <c r="BT80" s="140" t="e">
        <f t="shared" ref="BT80:BV80" si="534">SUM(BQ80,BM80,BI80)</f>
        <v>#VALUE!</v>
      </c>
      <c r="BU80" s="123">
        <f t="shared" si="534"/>
        <v>0</v>
      </c>
      <c r="BV80" s="148">
        <f t="shared" si="534"/>
        <v>0</v>
      </c>
      <c r="BW80" s="125">
        <f t="shared" si="443"/>
        <v>0</v>
      </c>
      <c r="BX80" s="140" t="e">
        <f t="shared" si="58"/>
        <v>#VALUE!</v>
      </c>
      <c r="BY80" s="123" t="str">
        <f t="shared" si="444"/>
        <v>0</v>
      </c>
      <c r="BZ80" s="148" t="str">
        <f t="shared" si="445"/>
        <v/>
      </c>
      <c r="CA80" s="123">
        <f t="shared" si="446"/>
        <v>0</v>
      </c>
      <c r="CB80" s="326">
        <f t="shared" si="447"/>
        <v>0</v>
      </c>
    </row>
    <row r="81" spans="1:80" ht="13">
      <c r="A81" s="436">
        <f t="shared" si="431"/>
        <v>112011971</v>
      </c>
      <c r="B81" s="93">
        <f t="shared" si="432"/>
        <v>1</v>
      </c>
      <c r="C81" s="558" t="str">
        <f t="shared" si="485"/>
        <v>Lista</v>
      </c>
      <c r="D81" s="558">
        <f t="shared" si="486"/>
        <v>0.09</v>
      </c>
      <c r="E81" s="715">
        <f t="shared" si="487"/>
        <v>0</v>
      </c>
      <c r="F81" s="701">
        <f t="shared" si="433"/>
        <v>1</v>
      </c>
      <c r="G81" s="700" t="str">
        <f t="shared" si="488"/>
        <v>Lista</v>
      </c>
      <c r="H81" s="700">
        <f t="shared" si="489"/>
        <v>0.09</v>
      </c>
      <c r="I81" s="702">
        <f t="shared" si="490"/>
        <v>0</v>
      </c>
      <c r="J81" s="837">
        <f t="shared" si="434"/>
        <v>71</v>
      </c>
      <c r="K81" s="699" t="str">
        <f t="shared" si="435"/>
        <v>Lista</v>
      </c>
      <c r="L81" s="1040">
        <f t="shared" si="436"/>
        <v>0.05</v>
      </c>
      <c r="M81" s="139" t="s">
        <v>1073</v>
      </c>
      <c r="N81" s="123">
        <f t="shared" si="464"/>
        <v>34674.01</v>
      </c>
      <c r="O81" s="326">
        <f t="shared" si="491"/>
        <v>58288.744510500001</v>
      </c>
      <c r="P81" s="704">
        <f t="shared" si="273"/>
        <v>121554.94</v>
      </c>
      <c r="Q81" s="704" t="str">
        <f t="shared" si="492"/>
        <v>0</v>
      </c>
      <c r="R81" s="704">
        <f t="shared" si="493"/>
        <v>121554.94</v>
      </c>
      <c r="S81" s="326">
        <f t="shared" si="276"/>
        <v>63266.195489500002</v>
      </c>
      <c r="T81" s="137">
        <f t="shared" si="406"/>
        <v>2.0853930037574129</v>
      </c>
      <c r="U81" s="332">
        <f t="shared" si="494"/>
        <v>0</v>
      </c>
      <c r="V81" s="141">
        <f t="shared" si="415"/>
        <v>0</v>
      </c>
      <c r="W81" s="113">
        <f t="shared" si="278"/>
        <v>37244.32</v>
      </c>
      <c r="X81" s="704" t="str">
        <f t="shared" si="495"/>
        <v>0</v>
      </c>
      <c r="Y81" s="117">
        <f t="shared" si="496"/>
        <v>37244.32</v>
      </c>
      <c r="Z81" s="123">
        <f t="shared" si="416"/>
        <v>37244.32</v>
      </c>
      <c r="AA81" s="98" t="str">
        <f t="shared" si="407"/>
        <v/>
      </c>
      <c r="AB81" s="123">
        <f t="shared" si="497"/>
        <v>0</v>
      </c>
      <c r="AC81" s="326">
        <f t="shared" si="417"/>
        <v>0</v>
      </c>
      <c r="AD81" s="326">
        <f t="shared" si="283"/>
        <v>63721.04</v>
      </c>
      <c r="AE81" s="326" t="str">
        <f t="shared" si="498"/>
        <v>0</v>
      </c>
      <c r="AF81" s="326">
        <f t="shared" si="499"/>
        <v>63721.04</v>
      </c>
      <c r="AG81" s="326">
        <f t="shared" si="286"/>
        <v>63721.04</v>
      </c>
      <c r="AH81" s="494" t="str">
        <f t="shared" si="408"/>
        <v/>
      </c>
      <c r="AI81" s="141">
        <f t="shared" si="287"/>
        <v>58288.744510500001</v>
      </c>
      <c r="AJ81" s="416">
        <f t="shared" si="368"/>
        <v>161166.5</v>
      </c>
      <c r="AK81" s="326">
        <f t="shared" ref="AK81:AM81" si="535">SUM(P81,W81,AD81)</f>
        <v>222520.30000000002</v>
      </c>
      <c r="AL81" s="326">
        <f t="shared" si="535"/>
        <v>0</v>
      </c>
      <c r="AM81" s="326">
        <f t="shared" si="535"/>
        <v>222520.30000000002</v>
      </c>
      <c r="AN81" s="326">
        <f t="shared" si="289"/>
        <v>164231.55548950002</v>
      </c>
      <c r="AO81" s="98">
        <f t="shared" si="410"/>
        <v>3.8175517738234306</v>
      </c>
      <c r="AP81" s="125">
        <f t="shared" si="419"/>
        <v>56989.48</v>
      </c>
      <c r="AQ81" s="140">
        <f t="shared" si="291"/>
        <v>55025.43</v>
      </c>
      <c r="AR81" s="123" t="str">
        <f t="shared" si="501"/>
        <v>0</v>
      </c>
      <c r="AS81" s="148">
        <f t="shared" si="502"/>
        <v>55025.43</v>
      </c>
      <c r="AT81" s="125">
        <f t="shared" si="503"/>
        <v>0</v>
      </c>
      <c r="AU81" s="140">
        <f t="shared" si="295"/>
        <v>48851</v>
      </c>
      <c r="AV81" s="326" t="str">
        <f t="shared" si="504"/>
        <v>0</v>
      </c>
      <c r="AW81" s="333">
        <f t="shared" si="505"/>
        <v>48851</v>
      </c>
      <c r="AX81" s="125">
        <f t="shared" si="466"/>
        <v>51232.83</v>
      </c>
      <c r="AY81" s="1041">
        <f t="shared" si="299"/>
        <v>34523.599999999999</v>
      </c>
      <c r="AZ81" s="123" t="str">
        <f t="shared" si="506"/>
        <v>0</v>
      </c>
      <c r="BA81" s="125">
        <f t="shared" si="507"/>
        <v>34523.599999999999</v>
      </c>
      <c r="BB81" s="122">
        <f t="shared" ref="BB81:BD81" si="536">SUM(AY81,AU81,AQ81)</f>
        <v>138400.03</v>
      </c>
      <c r="BC81" s="326">
        <f t="shared" si="536"/>
        <v>0</v>
      </c>
      <c r="BD81" s="333">
        <f t="shared" si="536"/>
        <v>138400.03</v>
      </c>
      <c r="BE81" s="123">
        <f t="shared" si="303"/>
        <v>360920.33</v>
      </c>
      <c r="BF81" s="326">
        <f t="shared" ref="BF81:BG81" si="537">BC81+AL81</f>
        <v>0</v>
      </c>
      <c r="BG81" s="435">
        <f t="shared" si="537"/>
        <v>360920.33</v>
      </c>
      <c r="BH81" s="125">
        <f t="shared" si="469"/>
        <v>0</v>
      </c>
      <c r="BI81" s="1041">
        <f t="shared" si="306"/>
        <v>0</v>
      </c>
      <c r="BJ81" s="326" t="str">
        <f t="shared" si="510"/>
        <v>0</v>
      </c>
      <c r="BK81" s="1045">
        <f t="shared" si="511"/>
        <v>0</v>
      </c>
      <c r="BL81" s="125">
        <f t="shared" si="470"/>
        <v>54167.48</v>
      </c>
      <c r="BM81" s="141">
        <f t="shared" si="310"/>
        <v>0</v>
      </c>
      <c r="BN81" s="332" t="str">
        <f t="shared" si="512"/>
        <v>0</v>
      </c>
      <c r="BO81" s="333">
        <f t="shared" si="513"/>
        <v>0</v>
      </c>
      <c r="BP81" s="125">
        <f t="shared" si="471"/>
        <v>119093.91</v>
      </c>
      <c r="BQ81" s="140">
        <f t="shared" si="53"/>
        <v>50234.15</v>
      </c>
      <c r="BR81" s="123" t="str">
        <f t="shared" si="440"/>
        <v>0</v>
      </c>
      <c r="BS81" s="148">
        <f t="shared" si="441"/>
        <v>50234.15</v>
      </c>
      <c r="BT81" s="140">
        <f t="shared" ref="BT81:BV81" si="538">SUM(BQ81,BM81,BI81)</f>
        <v>50234.15</v>
      </c>
      <c r="BU81" s="123">
        <f t="shared" si="538"/>
        <v>0</v>
      </c>
      <c r="BV81" s="148">
        <f t="shared" si="538"/>
        <v>50234.15</v>
      </c>
      <c r="BW81" s="125">
        <f t="shared" si="443"/>
        <v>125919.71</v>
      </c>
      <c r="BX81" s="140">
        <f t="shared" si="58"/>
        <v>0</v>
      </c>
      <c r="BY81" s="123" t="str">
        <f t="shared" si="444"/>
        <v>0</v>
      </c>
      <c r="BZ81" s="148">
        <f t="shared" si="445"/>
        <v>0</v>
      </c>
      <c r="CA81" s="123">
        <f t="shared" si="446"/>
        <v>0</v>
      </c>
      <c r="CB81" s="326">
        <f t="shared" si="447"/>
        <v>35246.79</v>
      </c>
    </row>
    <row r="82" spans="1:80" ht="13">
      <c r="A82" s="436">
        <f t="shared" si="431"/>
        <v>112012161</v>
      </c>
      <c r="B82" s="93">
        <f t="shared" si="432"/>
        <v>1</v>
      </c>
      <c r="C82" s="558" t="str">
        <f t="shared" si="485"/>
        <v>Lista</v>
      </c>
      <c r="D82" s="558">
        <f t="shared" si="486"/>
        <v>0.09</v>
      </c>
      <c r="E82" s="715">
        <f t="shared" si="487"/>
        <v>0</v>
      </c>
      <c r="F82" s="701">
        <f t="shared" si="433"/>
        <v>1</v>
      </c>
      <c r="G82" s="700" t="str">
        <f t="shared" si="488"/>
        <v>Lista</v>
      </c>
      <c r="H82" s="700">
        <f t="shared" si="489"/>
        <v>0.09</v>
      </c>
      <c r="I82" s="702">
        <f t="shared" si="490"/>
        <v>0</v>
      </c>
      <c r="J82" s="837">
        <f t="shared" si="434"/>
        <v>71</v>
      </c>
      <c r="K82" s="699" t="str">
        <f t="shared" si="435"/>
        <v>Lista</v>
      </c>
      <c r="L82" s="1040">
        <f t="shared" si="436"/>
        <v>0.05</v>
      </c>
      <c r="M82" s="139" t="s">
        <v>1074</v>
      </c>
      <c r="N82" s="123">
        <f t="shared" si="464"/>
        <v>189618.28</v>
      </c>
      <c r="O82" s="326">
        <f t="shared" si="491"/>
        <v>318757.80959400005</v>
      </c>
      <c r="P82" s="704">
        <f t="shared" si="273"/>
        <v>576602.56999999995</v>
      </c>
      <c r="Q82" s="704" t="str">
        <f t="shared" si="492"/>
        <v>0</v>
      </c>
      <c r="R82" s="704">
        <f t="shared" si="493"/>
        <v>576602.56999999995</v>
      </c>
      <c r="S82" s="326">
        <f t="shared" si="276"/>
        <v>257844.7604059999</v>
      </c>
      <c r="T82" s="137">
        <f t="shared" si="406"/>
        <v>1.8089049198023266</v>
      </c>
      <c r="U82" s="332">
        <f t="shared" si="494"/>
        <v>105500.92</v>
      </c>
      <c r="V82" s="141">
        <f t="shared" si="415"/>
        <v>191033.15336699999</v>
      </c>
      <c r="W82" s="113">
        <f t="shared" si="278"/>
        <v>314468.52</v>
      </c>
      <c r="X82" s="704" t="str">
        <f t="shared" si="495"/>
        <v>0</v>
      </c>
      <c r="Y82" s="117">
        <f t="shared" si="496"/>
        <v>314468.52</v>
      </c>
      <c r="Z82" s="123">
        <f t="shared" si="416"/>
        <v>123435.36663300003</v>
      </c>
      <c r="AA82" s="98">
        <f t="shared" si="407"/>
        <v>1.6461463073682521</v>
      </c>
      <c r="AB82" s="123">
        <f t="shared" si="497"/>
        <v>98921.2</v>
      </c>
      <c r="AC82" s="326">
        <f t="shared" si="417"/>
        <v>162563.63783799997</v>
      </c>
      <c r="AD82" s="326">
        <f t="shared" si="283"/>
        <v>246006.09</v>
      </c>
      <c r="AE82" s="326" t="str">
        <f t="shared" si="498"/>
        <v>0</v>
      </c>
      <c r="AF82" s="326">
        <f t="shared" si="499"/>
        <v>246006.09</v>
      </c>
      <c r="AG82" s="326">
        <f t="shared" si="286"/>
        <v>83442.452162000031</v>
      </c>
      <c r="AH82" s="494">
        <f t="shared" si="408"/>
        <v>1.5132909995847483</v>
      </c>
      <c r="AI82" s="141">
        <f t="shared" si="287"/>
        <v>672354.60079900001</v>
      </c>
      <c r="AJ82" s="416">
        <f t="shared" si="368"/>
        <v>884139.99</v>
      </c>
      <c r="AK82" s="326">
        <f t="shared" ref="AK82:AM82" si="539">SUM(P82,W82,AD82)</f>
        <v>1137077.18</v>
      </c>
      <c r="AL82" s="326">
        <f t="shared" si="539"/>
        <v>0</v>
      </c>
      <c r="AM82" s="326">
        <f t="shared" si="539"/>
        <v>1137077.18</v>
      </c>
      <c r="AN82" s="326">
        <f t="shared" si="289"/>
        <v>464722.57920099993</v>
      </c>
      <c r="AO82" s="98">
        <f t="shared" si="410"/>
        <v>1.6911867318952554</v>
      </c>
      <c r="AP82" s="125">
        <f t="shared" si="419"/>
        <v>157124.67000000001</v>
      </c>
      <c r="AQ82" s="140">
        <f t="shared" si="291"/>
        <v>313852.08</v>
      </c>
      <c r="AR82" s="123" t="str">
        <f t="shared" si="501"/>
        <v>0</v>
      </c>
      <c r="AS82" s="148">
        <f t="shared" si="502"/>
        <v>313852.08</v>
      </c>
      <c r="AT82" s="125">
        <f t="shared" si="503"/>
        <v>159545.06</v>
      </c>
      <c r="AU82" s="140">
        <f t="shared" si="295"/>
        <v>464998.82</v>
      </c>
      <c r="AV82" s="326" t="str">
        <f t="shared" si="504"/>
        <v>0</v>
      </c>
      <c r="AW82" s="333">
        <f t="shared" si="505"/>
        <v>464998.82</v>
      </c>
      <c r="AX82" s="125">
        <f t="shared" si="466"/>
        <v>261071.43</v>
      </c>
      <c r="AY82" s="1041">
        <f t="shared" si="299"/>
        <v>216210.28</v>
      </c>
      <c r="AZ82" s="123" t="str">
        <f t="shared" si="506"/>
        <v>0</v>
      </c>
      <c r="BA82" s="125">
        <f t="shared" si="507"/>
        <v>216210.28</v>
      </c>
      <c r="BB82" s="122">
        <f t="shared" ref="BB82:BD82" si="540">SUM(AY82,AU82,AQ82)</f>
        <v>995061.17999999993</v>
      </c>
      <c r="BC82" s="326">
        <f t="shared" si="540"/>
        <v>0</v>
      </c>
      <c r="BD82" s="333">
        <f t="shared" si="540"/>
        <v>995061.17999999993</v>
      </c>
      <c r="BE82" s="123">
        <f t="shared" si="303"/>
        <v>2132138.36</v>
      </c>
      <c r="BF82" s="326">
        <f t="shared" ref="BF82:BG82" si="541">BC82+AL82</f>
        <v>0</v>
      </c>
      <c r="BG82" s="435">
        <f t="shared" si="541"/>
        <v>2132138.36</v>
      </c>
      <c r="BH82" s="125">
        <f t="shared" si="469"/>
        <v>330147.12</v>
      </c>
      <c r="BI82" s="1041">
        <f t="shared" si="306"/>
        <v>206360.94</v>
      </c>
      <c r="BJ82" s="326" t="str">
        <f t="shared" si="510"/>
        <v>0</v>
      </c>
      <c r="BK82" s="1045">
        <f t="shared" si="511"/>
        <v>206360.94</v>
      </c>
      <c r="BL82" s="125">
        <f t="shared" si="470"/>
        <v>118460.97</v>
      </c>
      <c r="BM82" s="141">
        <f t="shared" si="310"/>
        <v>688769.81</v>
      </c>
      <c r="BN82" s="332" t="str">
        <f t="shared" si="512"/>
        <v>0</v>
      </c>
      <c r="BO82" s="333">
        <f t="shared" si="513"/>
        <v>688769.81</v>
      </c>
      <c r="BP82" s="125">
        <f t="shared" si="471"/>
        <v>113302.1</v>
      </c>
      <c r="BQ82" s="140">
        <f t="shared" si="53"/>
        <v>120812.28</v>
      </c>
      <c r="BR82" s="123" t="str">
        <f t="shared" si="440"/>
        <v>0</v>
      </c>
      <c r="BS82" s="148">
        <f t="shared" si="441"/>
        <v>120812.28</v>
      </c>
      <c r="BT82" s="140">
        <f t="shared" ref="BT82:BV82" si="542">SUM(BQ82,BM82,BI82)</f>
        <v>1015943.03</v>
      </c>
      <c r="BU82" s="123">
        <f t="shared" si="542"/>
        <v>0</v>
      </c>
      <c r="BV82" s="148">
        <f t="shared" si="542"/>
        <v>1015943.03</v>
      </c>
      <c r="BW82" s="125">
        <f t="shared" si="443"/>
        <v>584286.18000000005</v>
      </c>
      <c r="BX82" s="140">
        <f t="shared" si="58"/>
        <v>213334.69</v>
      </c>
      <c r="BY82" s="123" t="str">
        <f t="shared" si="444"/>
        <v>0</v>
      </c>
      <c r="BZ82" s="148">
        <f t="shared" si="445"/>
        <v>213334.69</v>
      </c>
      <c r="CA82" s="123">
        <f t="shared" si="446"/>
        <v>0</v>
      </c>
      <c r="CB82" s="326">
        <f t="shared" si="447"/>
        <v>299853.81</v>
      </c>
    </row>
    <row r="83" spans="1:80" ht="13">
      <c r="A83" s="436">
        <f t="shared" si="431"/>
        <v>112012304</v>
      </c>
      <c r="B83" s="93">
        <f t="shared" si="432"/>
        <v>1</v>
      </c>
      <c r="C83" s="558" t="str">
        <f t="shared" si="485"/>
        <v>Lista</v>
      </c>
      <c r="D83" s="558">
        <f t="shared" si="486"/>
        <v>0.09</v>
      </c>
      <c r="E83" s="715">
        <f t="shared" si="487"/>
        <v>0</v>
      </c>
      <c r="F83" s="701">
        <f t="shared" si="433"/>
        <v>1</v>
      </c>
      <c r="G83" s="700" t="str">
        <f t="shared" si="488"/>
        <v>Lista</v>
      </c>
      <c r="H83" s="700">
        <f t="shared" si="489"/>
        <v>0.09</v>
      </c>
      <c r="I83" s="702">
        <f t="shared" si="490"/>
        <v>0</v>
      </c>
      <c r="J83" s="837">
        <f t="shared" si="434"/>
        <v>71</v>
      </c>
      <c r="K83" s="699" t="str">
        <f t="shared" si="435"/>
        <v>Lista</v>
      </c>
      <c r="L83" s="1040">
        <f t="shared" si="436"/>
        <v>0.05</v>
      </c>
      <c r="M83" s="139" t="s">
        <v>1075</v>
      </c>
      <c r="N83" s="123">
        <f t="shared" si="464"/>
        <v>52479.68</v>
      </c>
      <c r="O83" s="326">
        <f t="shared" si="491"/>
        <v>88220.966064000007</v>
      </c>
      <c r="P83" s="704">
        <f t="shared" si="273"/>
        <v>68477.570000000007</v>
      </c>
      <c r="Q83" s="704" t="str">
        <f t="shared" si="492"/>
        <v>0</v>
      </c>
      <c r="R83" s="704">
        <f t="shared" si="493"/>
        <v>68477.570000000007</v>
      </c>
      <c r="S83" s="326">
        <f t="shared" si="276"/>
        <v>-19743.396064</v>
      </c>
      <c r="T83" s="137">
        <f t="shared" si="406"/>
        <v>0.77620517043899595</v>
      </c>
      <c r="U83" s="332">
        <f t="shared" si="494"/>
        <v>102910.84</v>
      </c>
      <c r="V83" s="141">
        <f t="shared" si="415"/>
        <v>186343.230759</v>
      </c>
      <c r="W83" s="113">
        <f t="shared" si="278"/>
        <v>80183.8</v>
      </c>
      <c r="X83" s="704" t="str">
        <f t="shared" si="495"/>
        <v>0</v>
      </c>
      <c r="Y83" s="117">
        <f t="shared" si="496"/>
        <v>80183.8</v>
      </c>
      <c r="Z83" s="123">
        <f t="shared" si="416"/>
        <v>-106159.430759</v>
      </c>
      <c r="AA83" s="98">
        <f t="shared" si="407"/>
        <v>0.43030165181424113</v>
      </c>
      <c r="AB83" s="123">
        <f t="shared" si="497"/>
        <v>0</v>
      </c>
      <c r="AC83" s="326">
        <f t="shared" si="417"/>
        <v>0</v>
      </c>
      <c r="AD83" s="326">
        <f t="shared" si="283"/>
        <v>20035.52</v>
      </c>
      <c r="AE83" s="326" t="str">
        <f t="shared" si="498"/>
        <v>0</v>
      </c>
      <c r="AF83" s="326">
        <f t="shared" si="499"/>
        <v>20035.52</v>
      </c>
      <c r="AG83" s="326">
        <f t="shared" si="286"/>
        <v>20035.52</v>
      </c>
      <c r="AH83" s="494" t="str">
        <f t="shared" si="408"/>
        <v/>
      </c>
      <c r="AI83" s="141">
        <f t="shared" si="287"/>
        <v>274564.19682299998</v>
      </c>
      <c r="AJ83" s="416">
        <f t="shared" si="368"/>
        <v>398555.88</v>
      </c>
      <c r="AK83" s="326">
        <f t="shared" ref="AK83:AM83" si="543">SUM(P83,W83,AD83)</f>
        <v>168696.88999999998</v>
      </c>
      <c r="AL83" s="326">
        <f t="shared" si="543"/>
        <v>0</v>
      </c>
      <c r="AM83" s="326">
        <f t="shared" si="543"/>
        <v>168696.88999999998</v>
      </c>
      <c r="AN83" s="326">
        <f t="shared" si="289"/>
        <v>-105867.30682299999</v>
      </c>
      <c r="AO83" s="98">
        <f t="shared" si="410"/>
        <v>0.61441692672242987</v>
      </c>
      <c r="AP83" s="125">
        <f t="shared" si="419"/>
        <v>60890.35</v>
      </c>
      <c r="AQ83" s="140">
        <f t="shared" si="291"/>
        <v>0</v>
      </c>
      <c r="AR83" s="123" t="str">
        <f t="shared" si="501"/>
        <v>0</v>
      </c>
      <c r="AS83" s="148">
        <f t="shared" si="502"/>
        <v>0</v>
      </c>
      <c r="AT83" s="125">
        <f t="shared" si="503"/>
        <v>30193.89</v>
      </c>
      <c r="AU83" s="140">
        <f t="shared" si="295"/>
        <v>188258.75</v>
      </c>
      <c r="AV83" s="326" t="str">
        <f t="shared" si="504"/>
        <v>0</v>
      </c>
      <c r="AW83" s="333">
        <f t="shared" si="505"/>
        <v>188258.75</v>
      </c>
      <c r="AX83" s="125">
        <f t="shared" si="466"/>
        <v>32017.26</v>
      </c>
      <c r="AY83" s="1041">
        <f t="shared" si="299"/>
        <v>0</v>
      </c>
      <c r="AZ83" s="123" t="str">
        <f t="shared" si="506"/>
        <v>0</v>
      </c>
      <c r="BA83" s="125">
        <f t="shared" si="507"/>
        <v>0</v>
      </c>
      <c r="BB83" s="122">
        <f t="shared" ref="BB83:BD83" si="544">SUM(AY83,AU83,AQ83)</f>
        <v>188258.75</v>
      </c>
      <c r="BC83" s="326">
        <f t="shared" si="544"/>
        <v>0</v>
      </c>
      <c r="BD83" s="333">
        <f t="shared" si="544"/>
        <v>188258.75</v>
      </c>
      <c r="BE83" s="123">
        <f t="shared" si="303"/>
        <v>356955.64</v>
      </c>
      <c r="BF83" s="326">
        <f t="shared" ref="BF83:BG83" si="545">BC83+AL83</f>
        <v>0</v>
      </c>
      <c r="BG83" s="435">
        <f t="shared" si="545"/>
        <v>356955.64</v>
      </c>
      <c r="BH83" s="125">
        <f t="shared" si="469"/>
        <v>242265.01</v>
      </c>
      <c r="BI83" s="1041">
        <f t="shared" si="306"/>
        <v>11532.23</v>
      </c>
      <c r="BJ83" s="326" t="str">
        <f t="shared" si="510"/>
        <v>0</v>
      </c>
      <c r="BK83" s="1045">
        <f t="shared" si="511"/>
        <v>11532.23</v>
      </c>
      <c r="BL83" s="125">
        <f t="shared" si="470"/>
        <v>223152.5</v>
      </c>
      <c r="BM83" s="141">
        <f t="shared" si="310"/>
        <v>110808.42</v>
      </c>
      <c r="BN83" s="332" t="str">
        <f t="shared" si="512"/>
        <v>0</v>
      </c>
      <c r="BO83" s="333">
        <f t="shared" si="513"/>
        <v>110808.42</v>
      </c>
      <c r="BP83" s="125">
        <f t="shared" si="471"/>
        <v>300635.01</v>
      </c>
      <c r="BQ83" s="140">
        <f t="shared" si="53"/>
        <v>290837.84999999998</v>
      </c>
      <c r="BR83" s="123" t="str">
        <f t="shared" si="440"/>
        <v>0</v>
      </c>
      <c r="BS83" s="148">
        <f t="shared" si="441"/>
        <v>290837.84999999998</v>
      </c>
      <c r="BT83" s="140">
        <f t="shared" ref="BT83:BV83" si="546">SUM(BQ83,BM83,BI83)</f>
        <v>413178.49999999994</v>
      </c>
      <c r="BU83" s="123">
        <f t="shared" si="546"/>
        <v>0</v>
      </c>
      <c r="BV83" s="148">
        <f t="shared" si="546"/>
        <v>413178.49999999994</v>
      </c>
      <c r="BW83" s="125">
        <f t="shared" si="443"/>
        <v>90847.86</v>
      </c>
      <c r="BX83" s="140">
        <f t="shared" si="58"/>
        <v>171427.36</v>
      </c>
      <c r="BY83" s="123" t="str">
        <f t="shared" si="444"/>
        <v>0</v>
      </c>
      <c r="BZ83" s="148">
        <f t="shared" si="445"/>
        <v>171427.36</v>
      </c>
      <c r="CA83" s="123">
        <f t="shared" si="446"/>
        <v>242022.16</v>
      </c>
      <c r="CB83" s="326">
        <f t="shared" si="447"/>
        <v>65685.86</v>
      </c>
    </row>
    <row r="84" spans="1:80" ht="13">
      <c r="A84" s="436">
        <f t="shared" si="431"/>
        <v>112012342</v>
      </c>
      <c r="B84" s="93">
        <f t="shared" si="432"/>
        <v>1</v>
      </c>
      <c r="C84" s="558" t="str">
        <f t="shared" si="485"/>
        <v>Lista</v>
      </c>
      <c r="D84" s="558">
        <f t="shared" si="486"/>
        <v>0.09</v>
      </c>
      <c r="E84" s="715">
        <f t="shared" si="487"/>
        <v>0</v>
      </c>
      <c r="F84" s="701">
        <f t="shared" si="433"/>
        <v>1</v>
      </c>
      <c r="G84" s="700" t="str">
        <f t="shared" si="488"/>
        <v>Lista</v>
      </c>
      <c r="H84" s="700">
        <f t="shared" si="489"/>
        <v>0.09</v>
      </c>
      <c r="I84" s="702">
        <f t="shared" si="490"/>
        <v>0</v>
      </c>
      <c r="J84" s="837">
        <f t="shared" si="434"/>
        <v>71</v>
      </c>
      <c r="K84" s="699" t="str">
        <f t="shared" si="435"/>
        <v>Lista</v>
      </c>
      <c r="L84" s="1040">
        <f t="shared" si="436"/>
        <v>0.05</v>
      </c>
      <c r="M84" s="139" t="s">
        <v>1076</v>
      </c>
      <c r="N84" s="123">
        <f t="shared" si="464"/>
        <v>0</v>
      </c>
      <c r="O84" s="326">
        <f t="shared" si="491"/>
        <v>0</v>
      </c>
      <c r="P84" s="704">
        <f t="shared" si="273"/>
        <v>0</v>
      </c>
      <c r="Q84" s="704" t="str">
        <f t="shared" si="492"/>
        <v>0</v>
      </c>
      <c r="R84" s="704">
        <f t="shared" si="493"/>
        <v>0</v>
      </c>
      <c r="S84" s="326">
        <f t="shared" si="276"/>
        <v>0</v>
      </c>
      <c r="T84" s="137" t="str">
        <f t="shared" si="406"/>
        <v/>
      </c>
      <c r="U84" s="332">
        <f t="shared" si="494"/>
        <v>0</v>
      </c>
      <c r="V84" s="141">
        <f t="shared" si="415"/>
        <v>0</v>
      </c>
      <c r="W84" s="113">
        <f t="shared" si="278"/>
        <v>0</v>
      </c>
      <c r="X84" s="704" t="str">
        <f t="shared" si="495"/>
        <v>0</v>
      </c>
      <c r="Y84" s="117">
        <f t="shared" si="496"/>
        <v>0</v>
      </c>
      <c r="Z84" s="123">
        <f t="shared" si="416"/>
        <v>0</v>
      </c>
      <c r="AA84" s="98" t="str">
        <f t="shared" si="407"/>
        <v/>
      </c>
      <c r="AB84" s="123">
        <f t="shared" si="497"/>
        <v>704998.47</v>
      </c>
      <c r="AC84" s="326">
        <f t="shared" si="417"/>
        <v>1158569.8106515501</v>
      </c>
      <c r="AD84" s="326">
        <f t="shared" si="283"/>
        <v>0</v>
      </c>
      <c r="AE84" s="326" t="str">
        <f t="shared" si="498"/>
        <v>0</v>
      </c>
      <c r="AF84" s="326">
        <f t="shared" si="499"/>
        <v>0</v>
      </c>
      <c r="AG84" s="326">
        <f t="shared" si="286"/>
        <v>-1158569.8106515501</v>
      </c>
      <c r="AH84" s="494">
        <f t="shared" si="408"/>
        <v>0</v>
      </c>
      <c r="AI84" s="141">
        <f t="shared" si="287"/>
        <v>1158569.8106515501</v>
      </c>
      <c r="AJ84" s="416" t="str">
        <f t="shared" si="368"/>
        <v>0</v>
      </c>
      <c r="AK84" s="326">
        <f t="shared" ref="AK84:AM84" si="547">SUM(P84,W84,AD84)</f>
        <v>0</v>
      </c>
      <c r="AL84" s="326">
        <f t="shared" si="547"/>
        <v>0</v>
      </c>
      <c r="AM84" s="326">
        <f t="shared" si="547"/>
        <v>0</v>
      </c>
      <c r="AN84" s="326">
        <f t="shared" si="289"/>
        <v>-1158569.8106515501</v>
      </c>
      <c r="AO84" s="98">
        <f t="shared" si="410"/>
        <v>0</v>
      </c>
      <c r="AP84" s="125">
        <f t="shared" si="419"/>
        <v>62194.3</v>
      </c>
      <c r="AQ84" s="140">
        <f t="shared" si="291"/>
        <v>0</v>
      </c>
      <c r="AR84" s="123" t="str">
        <f t="shared" si="501"/>
        <v>0</v>
      </c>
      <c r="AS84" s="148">
        <f t="shared" si="502"/>
        <v>0</v>
      </c>
      <c r="AT84" s="125">
        <f t="shared" si="503"/>
        <v>0</v>
      </c>
      <c r="AU84" s="140">
        <f t="shared" si="295"/>
        <v>0</v>
      </c>
      <c r="AV84" s="326" t="str">
        <f t="shared" si="504"/>
        <v>0</v>
      </c>
      <c r="AW84" s="333">
        <f t="shared" si="505"/>
        <v>0</v>
      </c>
      <c r="AX84" s="125">
        <f t="shared" si="466"/>
        <v>0</v>
      </c>
      <c r="AY84" s="1041">
        <f t="shared" si="299"/>
        <v>0</v>
      </c>
      <c r="AZ84" s="123" t="str">
        <f t="shared" si="506"/>
        <v>0</v>
      </c>
      <c r="BA84" s="125">
        <f t="shared" si="507"/>
        <v>0</v>
      </c>
      <c r="BB84" s="122">
        <f t="shared" ref="BB84:BD84" si="548">SUM(AY84,AU84,AQ84)</f>
        <v>0</v>
      </c>
      <c r="BC84" s="326">
        <f t="shared" si="548"/>
        <v>0</v>
      </c>
      <c r="BD84" s="333">
        <f t="shared" si="548"/>
        <v>0</v>
      </c>
      <c r="BE84" s="123">
        <f t="shared" si="303"/>
        <v>0</v>
      </c>
      <c r="BF84" s="326">
        <f t="shared" ref="BF84:BG84" si="549">BC84+AL84</f>
        <v>0</v>
      </c>
      <c r="BG84" s="435">
        <f t="shared" si="549"/>
        <v>0</v>
      </c>
      <c r="BH84" s="125">
        <f t="shared" si="469"/>
        <v>0</v>
      </c>
      <c r="BI84" s="1041">
        <f t="shared" si="306"/>
        <v>0</v>
      </c>
      <c r="BJ84" s="326" t="str">
        <f t="shared" si="510"/>
        <v>0</v>
      </c>
      <c r="BK84" s="1045">
        <f t="shared" si="511"/>
        <v>0</v>
      </c>
      <c r="BL84" s="125">
        <f t="shared" si="470"/>
        <v>0</v>
      </c>
      <c r="BM84" s="141">
        <f t="shared" si="310"/>
        <v>1545283.99</v>
      </c>
      <c r="BN84" s="332" t="str">
        <f t="shared" si="512"/>
        <v>0</v>
      </c>
      <c r="BO84" s="333">
        <f t="shared" si="513"/>
        <v>1545283.99</v>
      </c>
      <c r="BP84" s="125">
        <f t="shared" si="471"/>
        <v>342321.33</v>
      </c>
      <c r="BQ84" s="140">
        <f t="shared" si="53"/>
        <v>0</v>
      </c>
      <c r="BR84" s="123" t="str">
        <f t="shared" si="440"/>
        <v>0</v>
      </c>
      <c r="BS84" s="148">
        <f t="shared" si="441"/>
        <v>0</v>
      </c>
      <c r="BT84" s="140">
        <f t="shared" ref="BT84:BV84" si="550">SUM(BQ84,BM84,BI84)</f>
        <v>1545283.99</v>
      </c>
      <c r="BU84" s="123">
        <f t="shared" si="550"/>
        <v>0</v>
      </c>
      <c r="BV84" s="148">
        <f t="shared" si="550"/>
        <v>1545283.99</v>
      </c>
      <c r="BW84" s="125">
        <f t="shared" si="443"/>
        <v>0</v>
      </c>
      <c r="BX84" s="140">
        <f t="shared" si="58"/>
        <v>0</v>
      </c>
      <c r="BY84" s="123" t="str">
        <f t="shared" si="444"/>
        <v>0</v>
      </c>
      <c r="BZ84" s="148">
        <f t="shared" si="445"/>
        <v>0</v>
      </c>
      <c r="CA84" s="123">
        <f t="shared" si="446"/>
        <v>0</v>
      </c>
      <c r="CB84" s="326">
        <f t="shared" si="447"/>
        <v>0</v>
      </c>
    </row>
    <row r="85" spans="1:80" ht="13">
      <c r="A85" s="436">
        <f t="shared" si="431"/>
        <v>112012463</v>
      </c>
      <c r="B85" s="93">
        <f t="shared" si="432"/>
        <v>1</v>
      </c>
      <c r="C85" s="558" t="str">
        <f t="shared" si="485"/>
        <v>Lista</v>
      </c>
      <c r="D85" s="558">
        <f t="shared" si="486"/>
        <v>0.09</v>
      </c>
      <c r="E85" s="715">
        <f t="shared" si="487"/>
        <v>0</v>
      </c>
      <c r="F85" s="701">
        <f t="shared" si="433"/>
        <v>1</v>
      </c>
      <c r="G85" s="700" t="str">
        <f t="shared" si="488"/>
        <v>Lista</v>
      </c>
      <c r="H85" s="700">
        <f t="shared" si="489"/>
        <v>0.09</v>
      </c>
      <c r="I85" s="702">
        <f t="shared" si="490"/>
        <v>0</v>
      </c>
      <c r="J85" s="837">
        <f t="shared" si="434"/>
        <v>71</v>
      </c>
      <c r="K85" s="699" t="str">
        <f t="shared" si="435"/>
        <v>Lista</v>
      </c>
      <c r="L85" s="1040">
        <f t="shared" si="436"/>
        <v>0.05</v>
      </c>
      <c r="M85" s="139" t="s">
        <v>1077</v>
      </c>
      <c r="N85" s="123">
        <f t="shared" si="464"/>
        <v>261089.69</v>
      </c>
      <c r="O85" s="326">
        <f t="shared" si="491"/>
        <v>438904.82337450003</v>
      </c>
      <c r="P85" s="704">
        <f t="shared" si="273"/>
        <v>544805.14</v>
      </c>
      <c r="Q85" s="704">
        <f t="shared" si="492"/>
        <v>0</v>
      </c>
      <c r="R85" s="704">
        <f t="shared" si="493"/>
        <v>544805.14</v>
      </c>
      <c r="S85" s="326">
        <f t="shared" si="276"/>
        <v>105900.31662549998</v>
      </c>
      <c r="T85" s="137">
        <f t="shared" si="406"/>
        <v>1.2412831005394065</v>
      </c>
      <c r="U85" s="332">
        <f t="shared" si="494"/>
        <v>340133.93</v>
      </c>
      <c r="V85" s="141">
        <f t="shared" si="415"/>
        <v>615889.01039925008</v>
      </c>
      <c r="W85" s="113">
        <f t="shared" si="278"/>
        <v>295755.97000000003</v>
      </c>
      <c r="X85" s="704">
        <f t="shared" si="495"/>
        <v>57893.49</v>
      </c>
      <c r="Y85" s="117">
        <f t="shared" si="496"/>
        <v>353649.46</v>
      </c>
      <c r="Z85" s="123">
        <f t="shared" si="416"/>
        <v>-262239.55039925006</v>
      </c>
      <c r="AA85" s="98">
        <f t="shared" si="407"/>
        <v>0.57420972614975996</v>
      </c>
      <c r="AB85" s="123">
        <f t="shared" si="497"/>
        <v>53318</v>
      </c>
      <c r="AC85" s="326">
        <f t="shared" si="417"/>
        <v>87620.935069999992</v>
      </c>
      <c r="AD85" s="326">
        <f t="shared" si="283"/>
        <v>441532.98</v>
      </c>
      <c r="AE85" s="326">
        <f t="shared" si="498"/>
        <v>0</v>
      </c>
      <c r="AF85" s="326">
        <f t="shared" si="499"/>
        <v>441532.98</v>
      </c>
      <c r="AG85" s="326">
        <f t="shared" si="286"/>
        <v>353912.04492999997</v>
      </c>
      <c r="AH85" s="494">
        <f t="shared" si="408"/>
        <v>5.0391265471803193</v>
      </c>
      <c r="AI85" s="141">
        <f t="shared" si="287"/>
        <v>1142414.76884375</v>
      </c>
      <c r="AJ85" s="416">
        <f t="shared" si="368"/>
        <v>611445.61</v>
      </c>
      <c r="AK85" s="326">
        <f t="shared" ref="AK85:AM85" si="551">SUM(P85,W85,AD85)</f>
        <v>1282094.0900000001</v>
      </c>
      <c r="AL85" s="326">
        <f t="shared" si="551"/>
        <v>57893.49</v>
      </c>
      <c r="AM85" s="326">
        <f t="shared" si="551"/>
        <v>1339987.58</v>
      </c>
      <c r="AN85" s="326">
        <f t="shared" si="289"/>
        <v>197572.81115625007</v>
      </c>
      <c r="AO85" s="98">
        <f t="shared" si="410"/>
        <v>1.1729431521234759</v>
      </c>
      <c r="AP85" s="125">
        <f t="shared" si="419"/>
        <v>282921.36</v>
      </c>
      <c r="AQ85" s="140">
        <f t="shared" si="291"/>
        <v>208340.29</v>
      </c>
      <c r="AR85" s="123">
        <f t="shared" si="501"/>
        <v>0</v>
      </c>
      <c r="AS85" s="148">
        <f t="shared" si="502"/>
        <v>208340.29</v>
      </c>
      <c r="AT85" s="125">
        <f t="shared" si="503"/>
        <v>0</v>
      </c>
      <c r="AU85" s="140">
        <f t="shared" si="295"/>
        <v>240782.86</v>
      </c>
      <c r="AV85" s="326">
        <f t="shared" si="504"/>
        <v>0</v>
      </c>
      <c r="AW85" s="333">
        <f t="shared" si="505"/>
        <v>240782.86</v>
      </c>
      <c r="AX85" s="125">
        <f t="shared" si="466"/>
        <v>47039.03</v>
      </c>
      <c r="AY85" s="1041">
        <f t="shared" si="299"/>
        <v>225986.05</v>
      </c>
      <c r="AZ85" s="123">
        <f t="shared" si="506"/>
        <v>0</v>
      </c>
      <c r="BA85" s="125">
        <f t="shared" si="507"/>
        <v>225986.05</v>
      </c>
      <c r="BB85" s="122">
        <f t="shared" ref="BB85:BD85" si="552">SUM(AY85,AU85,AQ85)</f>
        <v>675109.2</v>
      </c>
      <c r="BC85" s="326">
        <f t="shared" si="552"/>
        <v>0</v>
      </c>
      <c r="BD85" s="333">
        <f t="shared" si="552"/>
        <v>675109.2</v>
      </c>
      <c r="BE85" s="123">
        <f t="shared" si="303"/>
        <v>1957203.29</v>
      </c>
      <c r="BF85" s="326">
        <f t="shared" ref="BF85:BG85" si="553">BC85+AL85</f>
        <v>57893.49</v>
      </c>
      <c r="BG85" s="435">
        <f t="shared" si="553"/>
        <v>2015096.78</v>
      </c>
      <c r="BH85" s="125">
        <f t="shared" si="469"/>
        <v>133648.57</v>
      </c>
      <c r="BI85" s="1041">
        <f t="shared" si="306"/>
        <v>110283.86</v>
      </c>
      <c r="BJ85" s="326">
        <f t="shared" si="510"/>
        <v>0</v>
      </c>
      <c r="BK85" s="1045">
        <f t="shared" si="511"/>
        <v>110283.86</v>
      </c>
      <c r="BL85" s="125">
        <f t="shared" si="470"/>
        <v>230113.35</v>
      </c>
      <c r="BM85" s="141">
        <f t="shared" si="310"/>
        <v>97386.880000000005</v>
      </c>
      <c r="BN85" s="332">
        <f t="shared" si="512"/>
        <v>17086.75</v>
      </c>
      <c r="BO85" s="333">
        <f t="shared" si="513"/>
        <v>114473.63</v>
      </c>
      <c r="BP85" s="125">
        <f t="shared" si="471"/>
        <v>14203.33</v>
      </c>
      <c r="BQ85" s="140">
        <f t="shared" si="53"/>
        <v>221721.5</v>
      </c>
      <c r="BR85" s="123">
        <f t="shared" si="440"/>
        <v>51260.25</v>
      </c>
      <c r="BS85" s="148">
        <f t="shared" si="441"/>
        <v>272981.75</v>
      </c>
      <c r="BT85" s="140">
        <f t="shared" ref="BT85:BV85" si="554">SUM(BQ85,BM85,BI85)</f>
        <v>429392.24</v>
      </c>
      <c r="BU85" s="123">
        <f t="shared" si="554"/>
        <v>68347</v>
      </c>
      <c r="BV85" s="148">
        <f t="shared" si="554"/>
        <v>497739.24</v>
      </c>
      <c r="BW85" s="125">
        <f t="shared" si="443"/>
        <v>171901.9</v>
      </c>
      <c r="BX85" s="140">
        <f t="shared" si="58"/>
        <v>456959.17</v>
      </c>
      <c r="BY85" s="123">
        <f t="shared" si="444"/>
        <v>0</v>
      </c>
      <c r="BZ85" s="148">
        <f t="shared" si="445"/>
        <v>456959.17</v>
      </c>
      <c r="CA85" s="123">
        <f t="shared" si="446"/>
        <v>217635.93</v>
      </c>
      <c r="CB85" s="326">
        <f t="shared" si="447"/>
        <v>221907.78</v>
      </c>
    </row>
    <row r="86" spans="1:80" ht="13">
      <c r="A86" s="436">
        <f t="shared" si="431"/>
        <v>112012638</v>
      </c>
      <c r="B86" s="93">
        <f t="shared" si="432"/>
        <v>1</v>
      </c>
      <c r="C86" s="558" t="str">
        <f t="shared" si="485"/>
        <v>Lista</v>
      </c>
      <c r="D86" s="558">
        <f t="shared" si="486"/>
        <v>0.09</v>
      </c>
      <c r="E86" s="715">
        <f t="shared" si="487"/>
        <v>0</v>
      </c>
      <c r="F86" s="701">
        <f t="shared" si="433"/>
        <v>1</v>
      </c>
      <c r="G86" s="700" t="str">
        <f t="shared" si="488"/>
        <v>Lista</v>
      </c>
      <c r="H86" s="700">
        <f t="shared" si="489"/>
        <v>0.09</v>
      </c>
      <c r="I86" s="702">
        <f t="shared" si="490"/>
        <v>0</v>
      </c>
      <c r="J86" s="837">
        <f t="shared" si="434"/>
        <v>71</v>
      </c>
      <c r="K86" s="699" t="str">
        <f t="shared" si="435"/>
        <v>Lista</v>
      </c>
      <c r="L86" s="1040">
        <f t="shared" si="436"/>
        <v>0.05</v>
      </c>
      <c r="M86" s="139" t="s">
        <v>1078</v>
      </c>
      <c r="N86" s="123">
        <f t="shared" si="464"/>
        <v>56705.4</v>
      </c>
      <c r="O86" s="326">
        <f t="shared" si="491"/>
        <v>95324.612670000017</v>
      </c>
      <c r="P86" s="704">
        <f t="shared" si="273"/>
        <v>221834.73</v>
      </c>
      <c r="Q86" s="704" t="str">
        <f t="shared" si="492"/>
        <v>0</v>
      </c>
      <c r="R86" s="704">
        <f t="shared" si="493"/>
        <v>221834.73</v>
      </c>
      <c r="S86" s="326">
        <f t="shared" si="276"/>
        <v>126510.11732999999</v>
      </c>
      <c r="T86" s="137">
        <f t="shared" si="406"/>
        <v>2.3271506045134394</v>
      </c>
      <c r="U86" s="332">
        <f t="shared" si="494"/>
        <v>174570.65</v>
      </c>
      <c r="V86" s="141">
        <f t="shared" si="415"/>
        <v>316099.44022125</v>
      </c>
      <c r="W86" s="113">
        <f t="shared" si="278"/>
        <v>67368.600000000006</v>
      </c>
      <c r="X86" s="704" t="str">
        <f t="shared" si="495"/>
        <v>0</v>
      </c>
      <c r="Y86" s="117">
        <f t="shared" si="496"/>
        <v>67368.600000000006</v>
      </c>
      <c r="Z86" s="123">
        <f t="shared" si="416"/>
        <v>-248730.84022124999</v>
      </c>
      <c r="AA86" s="98">
        <f t="shared" si="407"/>
        <v>0.2131247051650777</v>
      </c>
      <c r="AB86" s="123">
        <f t="shared" si="497"/>
        <v>56705.4</v>
      </c>
      <c r="AC86" s="326">
        <f t="shared" si="417"/>
        <v>93187.669670999996</v>
      </c>
      <c r="AD86" s="326">
        <f t="shared" si="283"/>
        <v>121650.75</v>
      </c>
      <c r="AE86" s="326" t="str">
        <f t="shared" si="498"/>
        <v>0</v>
      </c>
      <c r="AF86" s="326">
        <f t="shared" si="499"/>
        <v>121650.75</v>
      </c>
      <c r="AG86" s="326">
        <f t="shared" si="286"/>
        <v>28463.080329000004</v>
      </c>
      <c r="AH86" s="494">
        <f t="shared" si="408"/>
        <v>1.3054382669884246</v>
      </c>
      <c r="AI86" s="141">
        <f t="shared" si="287"/>
        <v>504611.72256224998</v>
      </c>
      <c r="AJ86" s="416">
        <f t="shared" si="368"/>
        <v>258958.43</v>
      </c>
      <c r="AK86" s="326">
        <f t="shared" ref="AK86:AM86" si="555">SUM(P86,W86,AD86)</f>
        <v>410854.08</v>
      </c>
      <c r="AL86" s="326">
        <f t="shared" si="555"/>
        <v>0</v>
      </c>
      <c r="AM86" s="326">
        <f t="shared" si="555"/>
        <v>410854.08</v>
      </c>
      <c r="AN86" s="326">
        <f t="shared" si="289"/>
        <v>-93757.642562249966</v>
      </c>
      <c r="AO86" s="98">
        <f t="shared" si="410"/>
        <v>0.81419844531914576</v>
      </c>
      <c r="AP86" s="125">
        <f t="shared" si="419"/>
        <v>201869.4</v>
      </c>
      <c r="AQ86" s="140">
        <f t="shared" si="291"/>
        <v>0</v>
      </c>
      <c r="AR86" s="123" t="str">
        <f t="shared" si="501"/>
        <v>0</v>
      </c>
      <c r="AS86" s="148">
        <f t="shared" si="502"/>
        <v>0</v>
      </c>
      <c r="AT86" s="125">
        <f t="shared" si="503"/>
        <v>129035.8</v>
      </c>
      <c r="AU86" s="140">
        <f t="shared" si="295"/>
        <v>95157.9</v>
      </c>
      <c r="AV86" s="326" t="str">
        <f t="shared" si="504"/>
        <v>0</v>
      </c>
      <c r="AW86" s="333">
        <f t="shared" si="505"/>
        <v>95157.9</v>
      </c>
      <c r="AX86" s="125">
        <f t="shared" si="466"/>
        <v>86372.56</v>
      </c>
      <c r="AY86" s="1041">
        <f t="shared" si="299"/>
        <v>244141.12</v>
      </c>
      <c r="AZ86" s="123" t="str">
        <f t="shared" si="506"/>
        <v>0</v>
      </c>
      <c r="BA86" s="125">
        <f t="shared" si="507"/>
        <v>244141.12</v>
      </c>
      <c r="BB86" s="122">
        <f t="shared" ref="BB86:BD86" si="556">SUM(AY86,AU86,AQ86)</f>
        <v>339299.02</v>
      </c>
      <c r="BC86" s="326">
        <f t="shared" si="556"/>
        <v>0</v>
      </c>
      <c r="BD86" s="333">
        <f t="shared" si="556"/>
        <v>339299.02</v>
      </c>
      <c r="BE86" s="123">
        <f t="shared" si="303"/>
        <v>750153.10000000009</v>
      </c>
      <c r="BF86" s="326">
        <f t="shared" ref="BF86:BG86" si="557">BC86+AL86</f>
        <v>0</v>
      </c>
      <c r="BG86" s="435">
        <f t="shared" si="557"/>
        <v>750153.10000000009</v>
      </c>
      <c r="BH86" s="125">
        <f t="shared" si="469"/>
        <v>244412.12</v>
      </c>
      <c r="BI86" s="1041">
        <f t="shared" si="306"/>
        <v>0</v>
      </c>
      <c r="BJ86" s="326" t="str">
        <f t="shared" si="510"/>
        <v>0</v>
      </c>
      <c r="BK86" s="1045">
        <f t="shared" si="511"/>
        <v>0</v>
      </c>
      <c r="BL86" s="125">
        <f t="shared" si="470"/>
        <v>195307.54</v>
      </c>
      <c r="BM86" s="141">
        <f t="shared" si="310"/>
        <v>30307.51</v>
      </c>
      <c r="BN86" s="332" t="str">
        <f t="shared" si="512"/>
        <v>0</v>
      </c>
      <c r="BO86" s="333">
        <f t="shared" si="513"/>
        <v>30307.51</v>
      </c>
      <c r="BP86" s="125">
        <f t="shared" si="471"/>
        <v>79076.7</v>
      </c>
      <c r="BQ86" s="140">
        <f t="shared" si="53"/>
        <v>71722.11</v>
      </c>
      <c r="BR86" s="123" t="str">
        <f t="shared" si="440"/>
        <v>0</v>
      </c>
      <c r="BS86" s="148">
        <f t="shared" si="441"/>
        <v>71722.11</v>
      </c>
      <c r="BT86" s="140">
        <f t="shared" ref="BT86:BV86" si="558">SUM(BQ86,BM86,BI86)</f>
        <v>102029.62</v>
      </c>
      <c r="BU86" s="123">
        <f t="shared" si="558"/>
        <v>0</v>
      </c>
      <c r="BV86" s="148">
        <f t="shared" si="558"/>
        <v>102029.62</v>
      </c>
      <c r="BW86" s="125">
        <f t="shared" si="443"/>
        <v>0</v>
      </c>
      <c r="BX86" s="140">
        <f t="shared" si="58"/>
        <v>121355.2</v>
      </c>
      <c r="BY86" s="123" t="str">
        <f t="shared" si="444"/>
        <v>0</v>
      </c>
      <c r="BZ86" s="148">
        <f t="shared" si="445"/>
        <v>121355.2</v>
      </c>
      <c r="CA86" s="123">
        <f t="shared" si="446"/>
        <v>56525.37</v>
      </c>
      <c r="CB86" s="326">
        <f t="shared" si="447"/>
        <v>202433.06</v>
      </c>
    </row>
    <row r="87" spans="1:80" ht="13">
      <c r="A87" s="436">
        <f t="shared" si="431"/>
        <v>112012717</v>
      </c>
      <c r="B87" s="93">
        <f t="shared" si="432"/>
        <v>1</v>
      </c>
      <c r="C87" s="558" t="str">
        <f t="shared" si="485"/>
        <v>Lista</v>
      </c>
      <c r="D87" s="558">
        <f t="shared" si="486"/>
        <v>0.09</v>
      </c>
      <c r="E87" s="715">
        <f t="shared" si="487"/>
        <v>0</v>
      </c>
      <c r="F87" s="701">
        <f t="shared" si="433"/>
        <v>1</v>
      </c>
      <c r="G87" s="700" t="str">
        <f t="shared" si="488"/>
        <v>Lista</v>
      </c>
      <c r="H87" s="700">
        <f t="shared" si="489"/>
        <v>0.09</v>
      </c>
      <c r="I87" s="702">
        <f t="shared" si="490"/>
        <v>0</v>
      </c>
      <c r="J87" s="837">
        <f t="shared" si="434"/>
        <v>71</v>
      </c>
      <c r="K87" s="699" t="str">
        <f t="shared" si="435"/>
        <v>Lista</v>
      </c>
      <c r="L87" s="1040">
        <f t="shared" si="436"/>
        <v>0.05</v>
      </c>
      <c r="M87" s="139" t="s">
        <v>1079</v>
      </c>
      <c r="N87" s="123">
        <f t="shared" si="464"/>
        <v>238892.31</v>
      </c>
      <c r="O87" s="326">
        <f t="shared" si="491"/>
        <v>401589.91772549995</v>
      </c>
      <c r="P87" s="704">
        <f t="shared" si="273"/>
        <v>212116</v>
      </c>
      <c r="Q87" s="704" t="str">
        <f t="shared" si="492"/>
        <v>0</v>
      </c>
      <c r="R87" s="704">
        <f t="shared" si="493"/>
        <v>212116</v>
      </c>
      <c r="S87" s="326">
        <f t="shared" si="276"/>
        <v>-189473.91772549995</v>
      </c>
      <c r="T87" s="137">
        <f t="shared" si="406"/>
        <v>0.52819055120051184</v>
      </c>
      <c r="U87" s="332">
        <f t="shared" si="494"/>
        <v>114286.08</v>
      </c>
      <c r="V87" s="141">
        <f t="shared" si="415"/>
        <v>206940.66220799999</v>
      </c>
      <c r="W87" s="113">
        <f t="shared" si="278"/>
        <v>173424</v>
      </c>
      <c r="X87" s="704" t="str">
        <f t="shared" si="495"/>
        <v>0</v>
      </c>
      <c r="Y87" s="117">
        <f t="shared" si="496"/>
        <v>173424</v>
      </c>
      <c r="Z87" s="123">
        <f t="shared" si="416"/>
        <v>-33516.662207999994</v>
      </c>
      <c r="AA87" s="98">
        <f t="shared" si="407"/>
        <v>0.83803732987810897</v>
      </c>
      <c r="AB87" s="123">
        <f t="shared" si="497"/>
        <v>268636.95</v>
      </c>
      <c r="AC87" s="326">
        <f t="shared" si="417"/>
        <v>441468.56133675005</v>
      </c>
      <c r="AD87" s="326">
        <f t="shared" si="283"/>
        <v>173424</v>
      </c>
      <c r="AE87" s="326" t="str">
        <f t="shared" si="498"/>
        <v>0</v>
      </c>
      <c r="AF87" s="326">
        <f t="shared" si="499"/>
        <v>173424</v>
      </c>
      <c r="AG87" s="326">
        <f t="shared" si="286"/>
        <v>-268044.56133675005</v>
      </c>
      <c r="AH87" s="494">
        <f t="shared" si="408"/>
        <v>0.39283431525651274</v>
      </c>
      <c r="AI87" s="141">
        <f t="shared" si="287"/>
        <v>1049999.1412702501</v>
      </c>
      <c r="AJ87" s="416">
        <f t="shared" si="368"/>
        <v>847912.26</v>
      </c>
      <c r="AK87" s="326">
        <f t="shared" ref="AK87:AM87" si="559">SUM(P87,W87,AD87)</f>
        <v>558964</v>
      </c>
      <c r="AL87" s="326">
        <f t="shared" si="559"/>
        <v>0</v>
      </c>
      <c r="AM87" s="326">
        <f t="shared" si="559"/>
        <v>558964</v>
      </c>
      <c r="AN87" s="326">
        <f t="shared" si="289"/>
        <v>-491035.14127025008</v>
      </c>
      <c r="AO87" s="98">
        <f t="shared" si="410"/>
        <v>0.5323471020402798</v>
      </c>
      <c r="AP87" s="125">
        <f t="shared" si="419"/>
        <v>243542.78</v>
      </c>
      <c r="AQ87" s="140">
        <f t="shared" si="291"/>
        <v>388135.55</v>
      </c>
      <c r="AR87" s="123" t="str">
        <f t="shared" si="501"/>
        <v>0</v>
      </c>
      <c r="AS87" s="148">
        <f t="shared" si="502"/>
        <v>388135.55</v>
      </c>
      <c r="AT87" s="125">
        <f t="shared" si="503"/>
        <v>149583.18</v>
      </c>
      <c r="AU87" s="140">
        <f t="shared" si="295"/>
        <v>220630.57</v>
      </c>
      <c r="AV87" s="326" t="str">
        <f t="shared" si="504"/>
        <v>0</v>
      </c>
      <c r="AW87" s="333">
        <f t="shared" si="505"/>
        <v>220630.57</v>
      </c>
      <c r="AX87" s="125">
        <f t="shared" si="466"/>
        <v>143283.07999999999</v>
      </c>
      <c r="AY87" s="1041">
        <f t="shared" si="299"/>
        <v>193287.77</v>
      </c>
      <c r="AZ87" s="123" t="str">
        <f t="shared" si="506"/>
        <v>0</v>
      </c>
      <c r="BA87" s="125">
        <f t="shared" si="507"/>
        <v>193287.77</v>
      </c>
      <c r="BB87" s="122">
        <f t="shared" ref="BB87:BD87" si="560">SUM(AY87,AU87,AQ87)</f>
        <v>802053.8899999999</v>
      </c>
      <c r="BC87" s="326">
        <f t="shared" si="560"/>
        <v>0</v>
      </c>
      <c r="BD87" s="333">
        <f t="shared" si="560"/>
        <v>802053.8899999999</v>
      </c>
      <c r="BE87" s="123">
        <f t="shared" si="303"/>
        <v>1361017.89</v>
      </c>
      <c r="BF87" s="326">
        <f t="shared" ref="BF87:BG87" si="561">BC87+AL87</f>
        <v>0</v>
      </c>
      <c r="BG87" s="435">
        <f t="shared" si="561"/>
        <v>1361017.89</v>
      </c>
      <c r="BH87" s="125">
        <f t="shared" si="469"/>
        <v>362563.94</v>
      </c>
      <c r="BI87" s="1041">
        <f t="shared" si="306"/>
        <v>193287.77</v>
      </c>
      <c r="BJ87" s="326" t="str">
        <f t="shared" si="510"/>
        <v>0</v>
      </c>
      <c r="BK87" s="1045">
        <f t="shared" si="511"/>
        <v>193287.77</v>
      </c>
      <c r="BL87" s="125">
        <f t="shared" si="470"/>
        <v>144640.32000000001</v>
      </c>
      <c r="BM87" s="141">
        <f t="shared" si="310"/>
        <v>148200</v>
      </c>
      <c r="BN87" s="332" t="str">
        <f t="shared" si="512"/>
        <v>0</v>
      </c>
      <c r="BO87" s="333">
        <f t="shared" si="513"/>
        <v>148200</v>
      </c>
      <c r="BP87" s="125">
        <f t="shared" si="471"/>
        <v>191124.12</v>
      </c>
      <c r="BQ87" s="140">
        <f t="shared" si="53"/>
        <v>447166.3</v>
      </c>
      <c r="BR87" s="123" t="str">
        <f t="shared" si="440"/>
        <v>0</v>
      </c>
      <c r="BS87" s="148">
        <f t="shared" si="441"/>
        <v>447166.3</v>
      </c>
      <c r="BT87" s="140">
        <f t="shared" ref="BT87:BV87" si="562">SUM(BQ87,BM87,BI87)</f>
        <v>788654.07000000007</v>
      </c>
      <c r="BU87" s="123">
        <f t="shared" si="562"/>
        <v>0</v>
      </c>
      <c r="BV87" s="148">
        <f t="shared" si="562"/>
        <v>788654.07000000007</v>
      </c>
      <c r="BW87" s="125">
        <f t="shared" si="443"/>
        <v>322385.86</v>
      </c>
      <c r="BX87" s="140">
        <f t="shared" si="58"/>
        <v>543125.52</v>
      </c>
      <c r="BY87" s="123" t="str">
        <f t="shared" si="444"/>
        <v>0</v>
      </c>
      <c r="BZ87" s="148">
        <f t="shared" si="445"/>
        <v>543125.52</v>
      </c>
      <c r="CA87" s="123">
        <f t="shared" si="446"/>
        <v>315315.84000000003</v>
      </c>
      <c r="CB87" s="326">
        <f t="shared" si="447"/>
        <v>210210.56</v>
      </c>
    </row>
    <row r="88" spans="1:80" ht="13">
      <c r="A88" s="436">
        <f t="shared" si="431"/>
        <v>112012827</v>
      </c>
      <c r="B88" s="93">
        <f t="shared" si="432"/>
        <v>1</v>
      </c>
      <c r="C88" s="558" t="str">
        <f t="shared" si="485"/>
        <v>Lista</v>
      </c>
      <c r="D88" s="558">
        <f t="shared" si="486"/>
        <v>0.09</v>
      </c>
      <c r="E88" s="715">
        <f t="shared" si="487"/>
        <v>0</v>
      </c>
      <c r="F88" s="701">
        <f t="shared" si="433"/>
        <v>1</v>
      </c>
      <c r="G88" s="700" t="str">
        <f t="shared" si="488"/>
        <v>Lista</v>
      </c>
      <c r="H88" s="700">
        <f t="shared" si="489"/>
        <v>0.09</v>
      </c>
      <c r="I88" s="702">
        <f t="shared" si="490"/>
        <v>0</v>
      </c>
      <c r="J88" s="837">
        <f t="shared" si="434"/>
        <v>71</v>
      </c>
      <c r="K88" s="699" t="str">
        <f t="shared" si="435"/>
        <v>Lista</v>
      </c>
      <c r="L88" s="1040">
        <f t="shared" si="436"/>
        <v>0.05</v>
      </c>
      <c r="M88" s="139" t="s">
        <v>1080</v>
      </c>
      <c r="N88" s="123">
        <f t="shared" si="464"/>
        <v>30364.91</v>
      </c>
      <c r="O88" s="326">
        <f t="shared" si="491"/>
        <v>51044.931955499997</v>
      </c>
      <c r="P88" s="704">
        <f t="shared" si="273"/>
        <v>71294.600000000006</v>
      </c>
      <c r="Q88" s="704" t="str">
        <f t="shared" si="492"/>
        <v>0</v>
      </c>
      <c r="R88" s="704">
        <f t="shared" si="493"/>
        <v>71294.600000000006</v>
      </c>
      <c r="S88" s="326">
        <f t="shared" si="276"/>
        <v>20249.668044500009</v>
      </c>
      <c r="T88" s="137">
        <f t="shared" si="406"/>
        <v>1.3967028119883338</v>
      </c>
      <c r="U88" s="332">
        <f t="shared" si="494"/>
        <v>0</v>
      </c>
      <c r="V88" s="141">
        <f t="shared" si="415"/>
        <v>0</v>
      </c>
      <c r="W88" s="113">
        <f t="shared" si="278"/>
        <v>85237.6</v>
      </c>
      <c r="X88" s="704" t="str">
        <f t="shared" si="495"/>
        <v>0</v>
      </c>
      <c r="Y88" s="117">
        <f t="shared" si="496"/>
        <v>85237.6</v>
      </c>
      <c r="Z88" s="123">
        <f t="shared" si="416"/>
        <v>85237.6</v>
      </c>
      <c r="AA88" s="98" t="str">
        <f t="shared" si="407"/>
        <v/>
      </c>
      <c r="AB88" s="123">
        <f t="shared" si="497"/>
        <v>56599.18</v>
      </c>
      <c r="AC88" s="326">
        <f t="shared" si="417"/>
        <v>93013.111440699999</v>
      </c>
      <c r="AD88" s="326">
        <f t="shared" si="283"/>
        <v>129444.89</v>
      </c>
      <c r="AE88" s="326" t="str">
        <f t="shared" si="498"/>
        <v>0</v>
      </c>
      <c r="AF88" s="326">
        <f t="shared" si="499"/>
        <v>129444.89</v>
      </c>
      <c r="AG88" s="326">
        <f t="shared" si="286"/>
        <v>36431.778559300001</v>
      </c>
      <c r="AH88" s="494">
        <f t="shared" si="408"/>
        <v>1.3916843334772957</v>
      </c>
      <c r="AI88" s="141">
        <f t="shared" si="287"/>
        <v>144058.0433962</v>
      </c>
      <c r="AJ88" s="416">
        <f t="shared" si="368"/>
        <v>255848.88</v>
      </c>
      <c r="AK88" s="326">
        <f t="shared" ref="AK88:AM88" si="563">SUM(P88,W88,AD88)</f>
        <v>285977.09000000003</v>
      </c>
      <c r="AL88" s="326">
        <f t="shared" si="563"/>
        <v>0</v>
      </c>
      <c r="AM88" s="326">
        <f t="shared" si="563"/>
        <v>285977.09000000003</v>
      </c>
      <c r="AN88" s="326">
        <f t="shared" si="289"/>
        <v>141919.04660380003</v>
      </c>
      <c r="AO88" s="98">
        <f t="shared" si="410"/>
        <v>1.9851518405916626</v>
      </c>
      <c r="AP88" s="125">
        <f t="shared" si="419"/>
        <v>0</v>
      </c>
      <c r="AQ88" s="140">
        <f t="shared" si="291"/>
        <v>0</v>
      </c>
      <c r="AR88" s="123" t="str">
        <f t="shared" si="501"/>
        <v>0</v>
      </c>
      <c r="AS88" s="148">
        <f t="shared" si="502"/>
        <v>0</v>
      </c>
      <c r="AT88" s="125">
        <f t="shared" si="503"/>
        <v>48364.2</v>
      </c>
      <c r="AU88" s="140">
        <f t="shared" si="295"/>
        <v>59907.16</v>
      </c>
      <c r="AV88" s="326" t="str">
        <f t="shared" si="504"/>
        <v>0</v>
      </c>
      <c r="AW88" s="333">
        <f t="shared" si="505"/>
        <v>59907.16</v>
      </c>
      <c r="AX88" s="125">
        <f t="shared" si="466"/>
        <v>112705.18</v>
      </c>
      <c r="AY88" s="1041">
        <f t="shared" si="299"/>
        <v>24980.560000000001</v>
      </c>
      <c r="AZ88" s="123" t="str">
        <f t="shared" si="506"/>
        <v>0</v>
      </c>
      <c r="BA88" s="125">
        <f t="shared" si="507"/>
        <v>24980.560000000001</v>
      </c>
      <c r="BB88" s="122">
        <f t="shared" ref="BB88:BD88" si="564">SUM(AY88,AU88,AQ88)</f>
        <v>84887.72</v>
      </c>
      <c r="BC88" s="326">
        <f t="shared" si="564"/>
        <v>0</v>
      </c>
      <c r="BD88" s="333">
        <f t="shared" si="564"/>
        <v>84887.72</v>
      </c>
      <c r="BE88" s="123">
        <f t="shared" si="303"/>
        <v>370864.81000000006</v>
      </c>
      <c r="BF88" s="326">
        <f t="shared" ref="BF88:BG88" si="565">BC88+AL88</f>
        <v>0</v>
      </c>
      <c r="BG88" s="435">
        <f t="shared" si="565"/>
        <v>370864.81000000006</v>
      </c>
      <c r="BH88" s="125">
        <f t="shared" si="469"/>
        <v>52235.1</v>
      </c>
      <c r="BI88" s="1041">
        <f t="shared" si="306"/>
        <v>115468.85</v>
      </c>
      <c r="BJ88" s="326" t="str">
        <f t="shared" si="510"/>
        <v>0</v>
      </c>
      <c r="BK88" s="1045">
        <f t="shared" si="511"/>
        <v>115468.85</v>
      </c>
      <c r="BL88" s="125">
        <f t="shared" si="470"/>
        <v>23925</v>
      </c>
      <c r="BM88" s="141">
        <f t="shared" si="310"/>
        <v>0</v>
      </c>
      <c r="BN88" s="332" t="str">
        <f t="shared" si="512"/>
        <v>0</v>
      </c>
      <c r="BO88" s="333">
        <f t="shared" si="513"/>
        <v>0</v>
      </c>
      <c r="BP88" s="125">
        <f t="shared" si="471"/>
        <v>46343.38</v>
      </c>
      <c r="BQ88" s="140">
        <f t="shared" si="53"/>
        <v>99988.94</v>
      </c>
      <c r="BR88" s="123" t="str">
        <f t="shared" si="440"/>
        <v>0</v>
      </c>
      <c r="BS88" s="148">
        <f t="shared" si="441"/>
        <v>99988.94</v>
      </c>
      <c r="BT88" s="140">
        <f t="shared" ref="BT88:BV88" si="566">SUM(BQ88,BM88,BI88)</f>
        <v>215457.79</v>
      </c>
      <c r="BU88" s="123">
        <f t="shared" si="566"/>
        <v>0</v>
      </c>
      <c r="BV88" s="148">
        <f t="shared" si="566"/>
        <v>215457.79</v>
      </c>
      <c r="BW88" s="125">
        <f t="shared" si="443"/>
        <v>65876.679999999993</v>
      </c>
      <c r="BX88" s="140">
        <f t="shared" si="58"/>
        <v>0</v>
      </c>
      <c r="BY88" s="123" t="str">
        <f t="shared" si="444"/>
        <v>0</v>
      </c>
      <c r="BZ88" s="148">
        <f t="shared" si="445"/>
        <v>0</v>
      </c>
      <c r="CA88" s="123">
        <f t="shared" si="446"/>
        <v>37635.589999999997</v>
      </c>
      <c r="CB88" s="326">
        <f t="shared" si="447"/>
        <v>152336.60999999999</v>
      </c>
    </row>
    <row r="89" spans="1:80" ht="13">
      <c r="A89" s="436">
        <f t="shared" si="431"/>
        <v>112013162</v>
      </c>
      <c r="B89" s="93">
        <f t="shared" si="432"/>
        <v>1</v>
      </c>
      <c r="C89" s="558" t="str">
        <f t="shared" si="485"/>
        <v>Lista</v>
      </c>
      <c r="D89" s="558">
        <f t="shared" si="486"/>
        <v>0.09</v>
      </c>
      <c r="E89" s="715">
        <f t="shared" si="487"/>
        <v>0</v>
      </c>
      <c r="F89" s="701">
        <f t="shared" si="433"/>
        <v>1</v>
      </c>
      <c r="G89" s="700" t="str">
        <f t="shared" si="488"/>
        <v>Lista</v>
      </c>
      <c r="H89" s="700">
        <f t="shared" si="489"/>
        <v>0.09</v>
      </c>
      <c r="I89" s="702">
        <f t="shared" si="490"/>
        <v>0</v>
      </c>
      <c r="J89" s="837">
        <f t="shared" si="434"/>
        <v>71</v>
      </c>
      <c r="K89" s="699" t="str">
        <f t="shared" si="435"/>
        <v>Lista</v>
      </c>
      <c r="L89" s="1040">
        <f t="shared" si="436"/>
        <v>0.05</v>
      </c>
      <c r="M89" s="139" t="s">
        <v>1081</v>
      </c>
      <c r="N89" s="123">
        <f t="shared" si="464"/>
        <v>76761.7</v>
      </c>
      <c r="O89" s="326">
        <f t="shared" si="491"/>
        <v>129040.255785</v>
      </c>
      <c r="P89" s="704">
        <f t="shared" si="273"/>
        <v>-68621.399999999994</v>
      </c>
      <c r="Q89" s="704">
        <f t="shared" si="492"/>
        <v>39600</v>
      </c>
      <c r="R89" s="704">
        <f t="shared" si="493"/>
        <v>-29021.4</v>
      </c>
      <c r="S89" s="326">
        <f t="shared" si="276"/>
        <v>-158061.65578500001</v>
      </c>
      <c r="T89" s="137">
        <f t="shared" si="406"/>
        <v>-0.22490191005474999</v>
      </c>
      <c r="U89" s="332">
        <f t="shared" si="494"/>
        <v>108220.87</v>
      </c>
      <c r="V89" s="141">
        <f t="shared" si="415"/>
        <v>195958.23483075001</v>
      </c>
      <c r="W89" s="113">
        <f t="shared" si="278"/>
        <v>45320.399999999994</v>
      </c>
      <c r="X89" s="704">
        <f t="shared" si="495"/>
        <v>28500</v>
      </c>
      <c r="Y89" s="117">
        <f t="shared" si="496"/>
        <v>73820.399999999994</v>
      </c>
      <c r="Z89" s="123">
        <f t="shared" si="416"/>
        <v>-122137.83483075001</v>
      </c>
      <c r="AA89" s="98">
        <f t="shared" si="407"/>
        <v>0.37671496716511554</v>
      </c>
      <c r="AB89" s="123">
        <f t="shared" si="497"/>
        <v>0</v>
      </c>
      <c r="AC89" s="326">
        <f t="shared" si="417"/>
        <v>0</v>
      </c>
      <c r="AD89" s="326">
        <f t="shared" si="283"/>
        <v>0</v>
      </c>
      <c r="AE89" s="326">
        <f t="shared" si="498"/>
        <v>0</v>
      </c>
      <c r="AF89" s="326">
        <f t="shared" si="499"/>
        <v>0</v>
      </c>
      <c r="AG89" s="326">
        <f t="shared" si="286"/>
        <v>0</v>
      </c>
      <c r="AH89" s="494" t="str">
        <f t="shared" si="408"/>
        <v/>
      </c>
      <c r="AI89" s="141">
        <f t="shared" si="287"/>
        <v>324998.49061575002</v>
      </c>
      <c r="AJ89" s="416">
        <f t="shared" si="368"/>
        <v>676014.9</v>
      </c>
      <c r="AK89" s="326">
        <f t="shared" ref="AK89:AM89" si="567">SUM(P89,W89,AD89)</f>
        <v>-23301</v>
      </c>
      <c r="AL89" s="326">
        <f t="shared" si="567"/>
        <v>68100</v>
      </c>
      <c r="AM89" s="326">
        <f t="shared" si="567"/>
        <v>44798.999999999993</v>
      </c>
      <c r="AN89" s="326">
        <f t="shared" si="289"/>
        <v>-280199.49061575002</v>
      </c>
      <c r="AO89" s="98">
        <f t="shared" si="410"/>
        <v>0.13784371710503246</v>
      </c>
      <c r="AP89" s="125">
        <f t="shared" si="419"/>
        <v>34552.36</v>
      </c>
      <c r="AQ89" s="140">
        <f t="shared" si="291"/>
        <v>0</v>
      </c>
      <c r="AR89" s="123">
        <f t="shared" si="501"/>
        <v>0</v>
      </c>
      <c r="AS89" s="148">
        <f t="shared" si="502"/>
        <v>0</v>
      </c>
      <c r="AT89" s="125">
        <f t="shared" si="503"/>
        <v>0</v>
      </c>
      <c r="AU89" s="140">
        <f t="shared" si="295"/>
        <v>0</v>
      </c>
      <c r="AV89" s="326">
        <f t="shared" si="504"/>
        <v>0</v>
      </c>
      <c r="AW89" s="333">
        <f t="shared" si="505"/>
        <v>0</v>
      </c>
      <c r="AX89" s="125">
        <f t="shared" si="466"/>
        <v>88321.24</v>
      </c>
      <c r="AY89" s="1041">
        <f t="shared" si="299"/>
        <v>0</v>
      </c>
      <c r="AZ89" s="123">
        <f t="shared" si="506"/>
        <v>0</v>
      </c>
      <c r="BA89" s="125">
        <f t="shared" si="507"/>
        <v>0</v>
      </c>
      <c r="BB89" s="122">
        <f t="shared" ref="BB89:BD89" si="568">SUM(AY89,AU89,AQ89)</f>
        <v>0</v>
      </c>
      <c r="BC89" s="326">
        <f t="shared" si="568"/>
        <v>0</v>
      </c>
      <c r="BD89" s="333">
        <f t="shared" si="568"/>
        <v>0</v>
      </c>
      <c r="BE89" s="123">
        <f t="shared" si="303"/>
        <v>-23301</v>
      </c>
      <c r="BF89" s="326">
        <f t="shared" ref="BF89:BG89" si="569">BC89+AL89</f>
        <v>68100</v>
      </c>
      <c r="BG89" s="435">
        <f t="shared" si="569"/>
        <v>44798.999999999993</v>
      </c>
      <c r="BH89" s="125">
        <f t="shared" si="469"/>
        <v>15270.7</v>
      </c>
      <c r="BI89" s="1041">
        <f t="shared" si="306"/>
        <v>0</v>
      </c>
      <c r="BJ89" s="326">
        <f t="shared" si="510"/>
        <v>0</v>
      </c>
      <c r="BK89" s="1045">
        <f t="shared" si="511"/>
        <v>0</v>
      </c>
      <c r="BL89" s="125">
        <f t="shared" si="470"/>
        <v>133317.98000000001</v>
      </c>
      <c r="BM89" s="141">
        <f t="shared" si="310"/>
        <v>0</v>
      </c>
      <c r="BN89" s="332">
        <f t="shared" si="512"/>
        <v>0</v>
      </c>
      <c r="BO89" s="333">
        <f t="shared" si="513"/>
        <v>0</v>
      </c>
      <c r="BP89" s="125">
        <f t="shared" si="471"/>
        <v>0</v>
      </c>
      <c r="BQ89" s="140">
        <f t="shared" si="53"/>
        <v>0</v>
      </c>
      <c r="BR89" s="123">
        <f t="shared" si="440"/>
        <v>0</v>
      </c>
      <c r="BS89" s="148">
        <f t="shared" si="441"/>
        <v>0</v>
      </c>
      <c r="BT89" s="140">
        <f t="shared" ref="BT89:BV89" si="570">SUM(BQ89,BM89,BI89)</f>
        <v>0</v>
      </c>
      <c r="BU89" s="123">
        <f t="shared" si="570"/>
        <v>0</v>
      </c>
      <c r="BV89" s="148">
        <f t="shared" si="570"/>
        <v>0</v>
      </c>
      <c r="BW89" s="125">
        <f t="shared" si="443"/>
        <v>204967.7</v>
      </c>
      <c r="BX89" s="140">
        <f t="shared" si="58"/>
        <v>0</v>
      </c>
      <c r="BY89" s="123">
        <f t="shared" si="444"/>
        <v>0</v>
      </c>
      <c r="BZ89" s="148">
        <f t="shared" si="445"/>
        <v>0</v>
      </c>
      <c r="CA89" s="123">
        <f t="shared" si="446"/>
        <v>313522.2</v>
      </c>
      <c r="CB89" s="326">
        <f t="shared" si="447"/>
        <v>157525</v>
      </c>
    </row>
    <row r="90" spans="1:80" ht="13">
      <c r="A90" s="436">
        <f t="shared" si="431"/>
        <v>112013725</v>
      </c>
      <c r="B90" s="93">
        <f t="shared" si="432"/>
        <v>1</v>
      </c>
      <c r="C90" s="558" t="str">
        <f t="shared" si="485"/>
        <v>Lista</v>
      </c>
      <c r="D90" s="558">
        <f t="shared" si="486"/>
        <v>0.09</v>
      </c>
      <c r="E90" s="715">
        <f t="shared" si="487"/>
        <v>0</v>
      </c>
      <c r="F90" s="701">
        <f t="shared" si="433"/>
        <v>1</v>
      </c>
      <c r="G90" s="700" t="str">
        <f t="shared" si="488"/>
        <v>Lista</v>
      </c>
      <c r="H90" s="700">
        <f t="shared" si="489"/>
        <v>0.09</v>
      </c>
      <c r="I90" s="702">
        <f t="shared" si="490"/>
        <v>0</v>
      </c>
      <c r="J90" s="837">
        <f t="shared" si="434"/>
        <v>71</v>
      </c>
      <c r="K90" s="699" t="str">
        <f t="shared" si="435"/>
        <v>Lista</v>
      </c>
      <c r="L90" s="1040">
        <f t="shared" si="436"/>
        <v>0.05</v>
      </c>
      <c r="M90" s="139" t="s">
        <v>1082</v>
      </c>
      <c r="N90" s="123">
        <f t="shared" si="464"/>
        <v>18020.93</v>
      </c>
      <c r="O90" s="326">
        <f t="shared" si="491"/>
        <v>30294.084376500003</v>
      </c>
      <c r="P90" s="704" t="e">
        <f t="shared" si="273"/>
        <v>#VALUE!</v>
      </c>
      <c r="Q90" s="704" t="str">
        <f t="shared" si="492"/>
        <v>0</v>
      </c>
      <c r="R90" s="704" t="str">
        <f t="shared" si="493"/>
        <v/>
      </c>
      <c r="S90" s="326" t="e">
        <f t="shared" si="276"/>
        <v>#VALUE!</v>
      </c>
      <c r="T90" s="137" t="str">
        <f t="shared" si="406"/>
        <v/>
      </c>
      <c r="U90" s="332">
        <f t="shared" si="494"/>
        <v>51034.86</v>
      </c>
      <c r="V90" s="141">
        <f t="shared" si="415"/>
        <v>92410.096873500006</v>
      </c>
      <c r="W90" s="113" t="e">
        <f t="shared" si="278"/>
        <v>#VALUE!</v>
      </c>
      <c r="X90" s="704" t="str">
        <f t="shared" si="495"/>
        <v>0</v>
      </c>
      <c r="Y90" s="117" t="str">
        <f t="shared" si="496"/>
        <v/>
      </c>
      <c r="Z90" s="123" t="e">
        <f t="shared" si="416"/>
        <v>#VALUE!</v>
      </c>
      <c r="AA90" s="98" t="str">
        <f t="shared" si="407"/>
        <v/>
      </c>
      <c r="AB90" s="123">
        <f t="shared" si="497"/>
        <v>47427.3</v>
      </c>
      <c r="AC90" s="326">
        <f t="shared" si="417"/>
        <v>77940.364864500007</v>
      </c>
      <c r="AD90" s="326" t="e">
        <f t="shared" si="283"/>
        <v>#VALUE!</v>
      </c>
      <c r="AE90" s="326" t="str">
        <f t="shared" si="498"/>
        <v>0</v>
      </c>
      <c r="AF90" s="326" t="str">
        <f t="shared" si="499"/>
        <v/>
      </c>
      <c r="AG90" s="326" t="e">
        <f t="shared" si="286"/>
        <v>#VALUE!</v>
      </c>
      <c r="AH90" s="494" t="str">
        <f t="shared" si="408"/>
        <v/>
      </c>
      <c r="AI90" s="141">
        <f t="shared" si="287"/>
        <v>200644.54611450003</v>
      </c>
      <c r="AJ90" s="416">
        <f t="shared" si="368"/>
        <v>146493.20000000001</v>
      </c>
      <c r="AK90" s="326" t="e">
        <f t="shared" ref="AK90:AM90" si="571">SUM(P90,W90,AD90)</f>
        <v>#VALUE!</v>
      </c>
      <c r="AL90" s="326">
        <f t="shared" si="571"/>
        <v>0</v>
      </c>
      <c r="AM90" s="326">
        <f t="shared" si="571"/>
        <v>0</v>
      </c>
      <c r="AN90" s="326">
        <f t="shared" si="289"/>
        <v>-200644.54611450003</v>
      </c>
      <c r="AO90" s="98">
        <f t="shared" si="410"/>
        <v>0</v>
      </c>
      <c r="AP90" s="125">
        <f t="shared" si="419"/>
        <v>13253</v>
      </c>
      <c r="AQ90" s="140" t="e">
        <f t="shared" si="291"/>
        <v>#VALUE!</v>
      </c>
      <c r="AR90" s="123" t="str">
        <f t="shared" si="501"/>
        <v>0</v>
      </c>
      <c r="AS90" s="148" t="str">
        <f t="shared" si="502"/>
        <v/>
      </c>
      <c r="AT90" s="125">
        <f t="shared" si="503"/>
        <v>157302.24</v>
      </c>
      <c r="AU90" s="140" t="e">
        <f t="shared" si="295"/>
        <v>#VALUE!</v>
      </c>
      <c r="AV90" s="326" t="str">
        <f t="shared" si="504"/>
        <v>0</v>
      </c>
      <c r="AW90" s="333" t="str">
        <f t="shared" si="505"/>
        <v/>
      </c>
      <c r="AX90" s="125">
        <f t="shared" si="466"/>
        <v>0</v>
      </c>
      <c r="AY90" s="1041" t="e">
        <f t="shared" si="299"/>
        <v>#VALUE!</v>
      </c>
      <c r="AZ90" s="123" t="str">
        <f t="shared" si="506"/>
        <v>0</v>
      </c>
      <c r="BA90" s="125" t="str">
        <f t="shared" si="507"/>
        <v/>
      </c>
      <c r="BB90" s="122" t="e">
        <f t="shared" ref="BB90:BD90" si="572">SUM(AY90,AU90,AQ90)</f>
        <v>#VALUE!</v>
      </c>
      <c r="BC90" s="326">
        <f t="shared" si="572"/>
        <v>0</v>
      </c>
      <c r="BD90" s="333">
        <f t="shared" si="572"/>
        <v>0</v>
      </c>
      <c r="BE90" s="123" t="e">
        <f t="shared" si="303"/>
        <v>#VALUE!</v>
      </c>
      <c r="BF90" s="326">
        <f t="shared" ref="BF90:BG90" si="573">BC90+AL90</f>
        <v>0</v>
      </c>
      <c r="BG90" s="435">
        <f t="shared" si="573"/>
        <v>0</v>
      </c>
      <c r="BH90" s="125">
        <f t="shared" si="469"/>
        <v>0</v>
      </c>
      <c r="BI90" s="1041" t="e">
        <f t="shared" si="306"/>
        <v>#VALUE!</v>
      </c>
      <c r="BJ90" s="326" t="str">
        <f t="shared" si="510"/>
        <v>0</v>
      </c>
      <c r="BK90" s="1045" t="str">
        <f t="shared" si="511"/>
        <v/>
      </c>
      <c r="BL90" s="125">
        <f t="shared" si="470"/>
        <v>37253.919999999998</v>
      </c>
      <c r="BM90" s="141" t="e">
        <f t="shared" si="310"/>
        <v>#VALUE!</v>
      </c>
      <c r="BN90" s="332" t="str">
        <f t="shared" si="512"/>
        <v>0</v>
      </c>
      <c r="BO90" s="333" t="str">
        <f t="shared" si="513"/>
        <v/>
      </c>
      <c r="BP90" s="125">
        <f t="shared" si="471"/>
        <v>0</v>
      </c>
      <c r="BQ90" s="140" t="e">
        <f t="shared" si="53"/>
        <v>#VALUE!</v>
      </c>
      <c r="BR90" s="123" t="str">
        <f t="shared" si="440"/>
        <v>0</v>
      </c>
      <c r="BS90" s="148" t="str">
        <f t="shared" si="441"/>
        <v/>
      </c>
      <c r="BT90" s="140" t="e">
        <f t="shared" ref="BT90:BV90" si="574">SUM(BQ90,BM90,BI90)</f>
        <v>#VALUE!</v>
      </c>
      <c r="BU90" s="123">
        <f t="shared" si="574"/>
        <v>0</v>
      </c>
      <c r="BV90" s="148">
        <f t="shared" si="574"/>
        <v>0</v>
      </c>
      <c r="BW90" s="125">
        <f t="shared" si="443"/>
        <v>54193.2</v>
      </c>
      <c r="BX90" s="140" t="e">
        <f t="shared" si="58"/>
        <v>#VALUE!</v>
      </c>
      <c r="BY90" s="123" t="str">
        <f t="shared" si="444"/>
        <v>0</v>
      </c>
      <c r="BZ90" s="148" t="str">
        <f t="shared" si="445"/>
        <v/>
      </c>
      <c r="CA90" s="123">
        <f t="shared" si="446"/>
        <v>0</v>
      </c>
      <c r="CB90" s="326">
        <f t="shared" si="447"/>
        <v>92300</v>
      </c>
    </row>
    <row r="91" spans="1:80" ht="13">
      <c r="A91" s="436">
        <f t="shared" si="431"/>
        <v>112013787</v>
      </c>
      <c r="B91" s="93">
        <f t="shared" si="432"/>
        <v>1</v>
      </c>
      <c r="C91" s="558" t="str">
        <f t="shared" si="485"/>
        <v>Lista</v>
      </c>
      <c r="D91" s="558">
        <f t="shared" si="486"/>
        <v>0.09</v>
      </c>
      <c r="E91" s="715">
        <f t="shared" si="487"/>
        <v>0</v>
      </c>
      <c r="F91" s="701">
        <f t="shared" si="433"/>
        <v>1</v>
      </c>
      <c r="G91" s="700" t="str">
        <f t="shared" si="488"/>
        <v>Lista</v>
      </c>
      <c r="H91" s="700">
        <f t="shared" si="489"/>
        <v>0.09</v>
      </c>
      <c r="I91" s="702">
        <f t="shared" si="490"/>
        <v>0</v>
      </c>
      <c r="J91" s="837">
        <f t="shared" si="434"/>
        <v>71</v>
      </c>
      <c r="K91" s="699" t="str">
        <f t="shared" si="435"/>
        <v>Lista</v>
      </c>
      <c r="L91" s="1040">
        <f t="shared" si="436"/>
        <v>0.05</v>
      </c>
      <c r="M91" s="139" t="s">
        <v>1083</v>
      </c>
      <c r="N91" s="123">
        <f t="shared" si="464"/>
        <v>0</v>
      </c>
      <c r="O91" s="326">
        <f t="shared" si="491"/>
        <v>0</v>
      </c>
      <c r="P91" s="704">
        <f t="shared" si="273"/>
        <v>0</v>
      </c>
      <c r="Q91" s="704" t="str">
        <f t="shared" si="492"/>
        <v>0</v>
      </c>
      <c r="R91" s="704">
        <f t="shared" si="493"/>
        <v>0</v>
      </c>
      <c r="S91" s="326">
        <f t="shared" si="276"/>
        <v>0</v>
      </c>
      <c r="T91" s="137" t="str">
        <f t="shared" si="406"/>
        <v/>
      </c>
      <c r="U91" s="332">
        <f t="shared" si="494"/>
        <v>48766.18</v>
      </c>
      <c r="V91" s="141">
        <f t="shared" si="415"/>
        <v>88302.1412805</v>
      </c>
      <c r="W91" s="113">
        <f t="shared" si="278"/>
        <v>130616.48</v>
      </c>
      <c r="X91" s="704" t="str">
        <f t="shared" si="495"/>
        <v>0</v>
      </c>
      <c r="Y91" s="117">
        <f t="shared" si="496"/>
        <v>130616.48</v>
      </c>
      <c r="Z91" s="123">
        <f t="shared" si="416"/>
        <v>42314.338719499996</v>
      </c>
      <c r="AA91" s="98">
        <f t="shared" si="407"/>
        <v>1.4791994634092116</v>
      </c>
      <c r="AB91" s="123">
        <f t="shared" si="497"/>
        <v>0</v>
      </c>
      <c r="AC91" s="326">
        <f t="shared" si="417"/>
        <v>0</v>
      </c>
      <c r="AD91" s="326">
        <f t="shared" si="283"/>
        <v>0</v>
      </c>
      <c r="AE91" s="326" t="str">
        <f t="shared" si="498"/>
        <v>0</v>
      </c>
      <c r="AF91" s="326">
        <f t="shared" si="499"/>
        <v>0</v>
      </c>
      <c r="AG91" s="326">
        <f t="shared" si="286"/>
        <v>0</v>
      </c>
      <c r="AH91" s="494" t="str">
        <f t="shared" si="408"/>
        <v/>
      </c>
      <c r="AI91" s="141">
        <f t="shared" si="287"/>
        <v>88302.1412805</v>
      </c>
      <c r="AJ91" s="416">
        <f t="shared" si="368"/>
        <v>181770.3</v>
      </c>
      <c r="AK91" s="326">
        <f t="shared" ref="AK91:AM91" si="575">SUM(P91,W91,AD91)</f>
        <v>130616.48</v>
      </c>
      <c r="AL91" s="326">
        <f t="shared" si="575"/>
        <v>0</v>
      </c>
      <c r="AM91" s="326">
        <f t="shared" si="575"/>
        <v>130616.48</v>
      </c>
      <c r="AN91" s="326">
        <f t="shared" si="289"/>
        <v>42314.338719499996</v>
      </c>
      <c r="AO91" s="98">
        <f t="shared" si="410"/>
        <v>1.4791994634092116</v>
      </c>
      <c r="AP91" s="125">
        <f t="shared" si="419"/>
        <v>0</v>
      </c>
      <c r="AQ91" s="140">
        <f t="shared" si="291"/>
        <v>156635.29999999999</v>
      </c>
      <c r="AR91" s="123" t="str">
        <f t="shared" si="501"/>
        <v>0</v>
      </c>
      <c r="AS91" s="148">
        <f t="shared" si="502"/>
        <v>156635.29999999999</v>
      </c>
      <c r="AT91" s="125">
        <f t="shared" si="503"/>
        <v>0</v>
      </c>
      <c r="AU91" s="140">
        <f t="shared" si="295"/>
        <v>0</v>
      </c>
      <c r="AV91" s="326" t="str">
        <f t="shared" si="504"/>
        <v>0</v>
      </c>
      <c r="AW91" s="333">
        <f t="shared" si="505"/>
        <v>0</v>
      </c>
      <c r="AX91" s="125">
        <f t="shared" si="466"/>
        <v>0</v>
      </c>
      <c r="AY91" s="1041">
        <f t="shared" si="299"/>
        <v>0</v>
      </c>
      <c r="AZ91" s="123" t="str">
        <f t="shared" si="506"/>
        <v>0</v>
      </c>
      <c r="BA91" s="125">
        <f t="shared" si="507"/>
        <v>0</v>
      </c>
      <c r="BB91" s="122">
        <f t="shared" ref="BB91:BD91" si="576">SUM(AY91,AU91,AQ91)</f>
        <v>156635.29999999999</v>
      </c>
      <c r="BC91" s="326">
        <f t="shared" si="576"/>
        <v>0</v>
      </c>
      <c r="BD91" s="333">
        <f t="shared" si="576"/>
        <v>156635.29999999999</v>
      </c>
      <c r="BE91" s="123">
        <f t="shared" si="303"/>
        <v>287251.77999999997</v>
      </c>
      <c r="BF91" s="326">
        <f t="shared" ref="BF91:BG91" si="577">BC91+AL91</f>
        <v>0</v>
      </c>
      <c r="BG91" s="435">
        <f t="shared" si="577"/>
        <v>287251.77999999997</v>
      </c>
      <c r="BH91" s="125">
        <f t="shared" si="469"/>
        <v>0</v>
      </c>
      <c r="BI91" s="1041">
        <f t="shared" si="306"/>
        <v>101936.8</v>
      </c>
      <c r="BJ91" s="326" t="str">
        <f t="shared" si="510"/>
        <v>0</v>
      </c>
      <c r="BK91" s="1045">
        <f t="shared" si="511"/>
        <v>101936.8</v>
      </c>
      <c r="BL91" s="125">
        <f t="shared" si="470"/>
        <v>0</v>
      </c>
      <c r="BM91" s="141">
        <f t="shared" si="310"/>
        <v>81932.639999999999</v>
      </c>
      <c r="BN91" s="332" t="str">
        <f t="shared" si="512"/>
        <v>0</v>
      </c>
      <c r="BO91" s="333">
        <f t="shared" si="513"/>
        <v>81932.639999999999</v>
      </c>
      <c r="BP91" s="125">
        <f t="shared" si="471"/>
        <v>201536.45</v>
      </c>
      <c r="BQ91" s="140">
        <f t="shared" si="53"/>
        <v>35948.5</v>
      </c>
      <c r="BR91" s="123" t="str">
        <f t="shared" si="440"/>
        <v>0</v>
      </c>
      <c r="BS91" s="148">
        <f t="shared" si="441"/>
        <v>35948.5</v>
      </c>
      <c r="BT91" s="140">
        <f t="shared" ref="BT91:BV91" si="578">SUM(BQ91,BM91,BI91)</f>
        <v>219817.94</v>
      </c>
      <c r="BU91" s="123">
        <f t="shared" si="578"/>
        <v>0</v>
      </c>
      <c r="BV91" s="148">
        <f t="shared" si="578"/>
        <v>219817.94</v>
      </c>
      <c r="BW91" s="125">
        <f t="shared" si="443"/>
        <v>0</v>
      </c>
      <c r="BX91" s="140">
        <f t="shared" si="58"/>
        <v>0</v>
      </c>
      <c r="BY91" s="123" t="str">
        <f t="shared" si="444"/>
        <v>0</v>
      </c>
      <c r="BZ91" s="148">
        <f t="shared" si="445"/>
        <v>0</v>
      </c>
      <c r="CA91" s="123">
        <f t="shared" si="446"/>
        <v>67969</v>
      </c>
      <c r="CB91" s="326">
        <f t="shared" si="447"/>
        <v>113801.3</v>
      </c>
    </row>
    <row r="92" spans="1:80" ht="13">
      <c r="A92" s="436">
        <f t="shared" si="431"/>
        <v>112013791</v>
      </c>
      <c r="B92" s="93">
        <f t="shared" si="432"/>
        <v>1</v>
      </c>
      <c r="C92" s="558" t="str">
        <f t="shared" si="485"/>
        <v>Lista</v>
      </c>
      <c r="D92" s="558">
        <f t="shared" si="486"/>
        <v>0.09</v>
      </c>
      <c r="E92" s="715">
        <f t="shared" si="487"/>
        <v>0</v>
      </c>
      <c r="F92" s="701">
        <f t="shared" si="433"/>
        <v>1</v>
      </c>
      <c r="G92" s="700" t="str">
        <f t="shared" si="488"/>
        <v>Lista</v>
      </c>
      <c r="H92" s="700">
        <f t="shared" si="489"/>
        <v>0.09</v>
      </c>
      <c r="I92" s="702">
        <f t="shared" si="490"/>
        <v>0</v>
      </c>
      <c r="J92" s="837">
        <f t="shared" si="434"/>
        <v>71</v>
      </c>
      <c r="K92" s="699" t="str">
        <f t="shared" si="435"/>
        <v>Lista</v>
      </c>
      <c r="L92" s="1040">
        <f t="shared" si="436"/>
        <v>0.05</v>
      </c>
      <c r="M92" s="139" t="s">
        <v>1084</v>
      </c>
      <c r="N92" s="123">
        <f t="shared" si="464"/>
        <v>464447.19</v>
      </c>
      <c r="O92" s="326">
        <f t="shared" si="491"/>
        <v>780758.94874950009</v>
      </c>
      <c r="P92" s="704">
        <f t="shared" si="273"/>
        <v>0</v>
      </c>
      <c r="Q92" s="704" t="str">
        <f t="shared" si="492"/>
        <v>0</v>
      </c>
      <c r="R92" s="704">
        <f t="shared" si="493"/>
        <v>0</v>
      </c>
      <c r="S92" s="326">
        <f t="shared" si="276"/>
        <v>-780758.94874950009</v>
      </c>
      <c r="T92" s="137">
        <f t="shared" si="406"/>
        <v>0</v>
      </c>
      <c r="U92" s="332">
        <f t="shared" si="494"/>
        <v>0</v>
      </c>
      <c r="V92" s="141">
        <f t="shared" si="415"/>
        <v>0</v>
      </c>
      <c r="W92" s="113">
        <f t="shared" si="278"/>
        <v>671232.91</v>
      </c>
      <c r="X92" s="704" t="str">
        <f t="shared" si="495"/>
        <v>0</v>
      </c>
      <c r="Y92" s="117">
        <f t="shared" si="496"/>
        <v>671232.91</v>
      </c>
      <c r="Z92" s="123">
        <f t="shared" si="416"/>
        <v>671232.91</v>
      </c>
      <c r="AA92" s="98" t="str">
        <f t="shared" si="407"/>
        <v/>
      </c>
      <c r="AB92" s="123">
        <f t="shared" si="497"/>
        <v>0</v>
      </c>
      <c r="AC92" s="326">
        <f t="shared" si="417"/>
        <v>0</v>
      </c>
      <c r="AD92" s="326">
        <f t="shared" si="283"/>
        <v>24928</v>
      </c>
      <c r="AE92" s="326" t="str">
        <f t="shared" si="498"/>
        <v>0</v>
      </c>
      <c r="AF92" s="326">
        <f t="shared" si="499"/>
        <v>24928</v>
      </c>
      <c r="AG92" s="326">
        <f t="shared" si="286"/>
        <v>24928</v>
      </c>
      <c r="AH92" s="494" t="str">
        <f t="shared" si="408"/>
        <v/>
      </c>
      <c r="AI92" s="141">
        <f t="shared" si="287"/>
        <v>780758.94874950009</v>
      </c>
      <c r="AJ92" s="416">
        <f t="shared" si="368"/>
        <v>395582.36</v>
      </c>
      <c r="AK92" s="326">
        <f t="shared" ref="AK92:AM92" si="579">SUM(P92,W92,AD92)</f>
        <v>696160.91</v>
      </c>
      <c r="AL92" s="326">
        <f t="shared" si="579"/>
        <v>0</v>
      </c>
      <c r="AM92" s="326">
        <f t="shared" si="579"/>
        <v>696160.91</v>
      </c>
      <c r="AN92" s="326">
        <f t="shared" si="289"/>
        <v>-84598.038749500061</v>
      </c>
      <c r="AO92" s="98">
        <f t="shared" si="410"/>
        <v>0.89164640522533078</v>
      </c>
      <c r="AP92" s="125">
        <f t="shared" si="419"/>
        <v>49679.5</v>
      </c>
      <c r="AQ92" s="140">
        <f t="shared" si="291"/>
        <v>0</v>
      </c>
      <c r="AR92" s="123" t="str">
        <f t="shared" si="501"/>
        <v>0</v>
      </c>
      <c r="AS92" s="148">
        <f t="shared" si="502"/>
        <v>0</v>
      </c>
      <c r="AT92" s="125">
        <f t="shared" si="503"/>
        <v>6490.62</v>
      </c>
      <c r="AU92" s="140">
        <f t="shared" si="295"/>
        <v>40894.44</v>
      </c>
      <c r="AV92" s="326" t="str">
        <f t="shared" si="504"/>
        <v>0</v>
      </c>
      <c r="AW92" s="333">
        <f t="shared" si="505"/>
        <v>40894.44</v>
      </c>
      <c r="AX92" s="125">
        <f t="shared" si="466"/>
        <v>101457.68</v>
      </c>
      <c r="AY92" s="1041">
        <f t="shared" si="299"/>
        <v>192692.87</v>
      </c>
      <c r="AZ92" s="123" t="str">
        <f t="shared" si="506"/>
        <v>0</v>
      </c>
      <c r="BA92" s="125">
        <f t="shared" si="507"/>
        <v>192692.87</v>
      </c>
      <c r="BB92" s="122">
        <f t="shared" ref="BB92:BD92" si="580">SUM(AY92,AU92,AQ92)</f>
        <v>233587.31</v>
      </c>
      <c r="BC92" s="326">
        <f t="shared" si="580"/>
        <v>0</v>
      </c>
      <c r="BD92" s="333">
        <f t="shared" si="580"/>
        <v>233587.31</v>
      </c>
      <c r="BE92" s="123">
        <f t="shared" si="303"/>
        <v>929748.22</v>
      </c>
      <c r="BF92" s="326">
        <f t="shared" ref="BF92:BG92" si="581">BC92+AL92</f>
        <v>0</v>
      </c>
      <c r="BG92" s="435">
        <f t="shared" si="581"/>
        <v>929748.22</v>
      </c>
      <c r="BH92" s="125">
        <f t="shared" si="469"/>
        <v>48102.5</v>
      </c>
      <c r="BI92" s="1041">
        <f t="shared" si="306"/>
        <v>0</v>
      </c>
      <c r="BJ92" s="326" t="str">
        <f t="shared" si="510"/>
        <v>0</v>
      </c>
      <c r="BK92" s="1045">
        <f t="shared" si="511"/>
        <v>0</v>
      </c>
      <c r="BL92" s="125">
        <f t="shared" si="470"/>
        <v>125023.83</v>
      </c>
      <c r="BM92" s="141">
        <f t="shared" si="310"/>
        <v>0</v>
      </c>
      <c r="BN92" s="332" t="str">
        <f t="shared" si="512"/>
        <v>0</v>
      </c>
      <c r="BO92" s="333">
        <f t="shared" si="513"/>
        <v>0</v>
      </c>
      <c r="BP92" s="125">
        <f t="shared" si="471"/>
        <v>255832.95999999999</v>
      </c>
      <c r="BQ92" s="140">
        <f t="shared" si="53"/>
        <v>113403.76</v>
      </c>
      <c r="BR92" s="123" t="str">
        <f t="shared" si="440"/>
        <v>0</v>
      </c>
      <c r="BS92" s="148">
        <f t="shared" si="441"/>
        <v>113403.76</v>
      </c>
      <c r="BT92" s="140">
        <f t="shared" ref="BT92:BV92" si="582">SUM(BQ92,BM92,BI92)</f>
        <v>113403.76</v>
      </c>
      <c r="BU92" s="123">
        <f t="shared" si="582"/>
        <v>0</v>
      </c>
      <c r="BV92" s="148">
        <f t="shared" si="582"/>
        <v>113403.76</v>
      </c>
      <c r="BW92" s="125">
        <f t="shared" si="443"/>
        <v>103225.43</v>
      </c>
      <c r="BX92" s="140">
        <f t="shared" si="58"/>
        <v>0</v>
      </c>
      <c r="BY92" s="123" t="str">
        <f t="shared" si="444"/>
        <v>0</v>
      </c>
      <c r="BZ92" s="148">
        <f t="shared" si="445"/>
        <v>0</v>
      </c>
      <c r="CA92" s="123">
        <f t="shared" si="446"/>
        <v>220391.55</v>
      </c>
      <c r="CB92" s="326">
        <f t="shared" si="447"/>
        <v>71965.39</v>
      </c>
    </row>
    <row r="93" spans="1:80" ht="13">
      <c r="A93" s="436">
        <f t="shared" si="431"/>
        <v>112013843</v>
      </c>
      <c r="B93" s="93">
        <f t="shared" si="432"/>
        <v>1</v>
      </c>
      <c r="C93" s="558" t="str">
        <f t="shared" si="485"/>
        <v>Lista</v>
      </c>
      <c r="D93" s="558">
        <f t="shared" si="486"/>
        <v>0.09</v>
      </c>
      <c r="E93" s="715">
        <f t="shared" si="487"/>
        <v>0</v>
      </c>
      <c r="F93" s="701">
        <f t="shared" si="433"/>
        <v>1</v>
      </c>
      <c r="G93" s="700" t="str">
        <f t="shared" si="488"/>
        <v>Lista</v>
      </c>
      <c r="H93" s="700">
        <f t="shared" si="489"/>
        <v>0.09</v>
      </c>
      <c r="I93" s="702">
        <f t="shared" si="490"/>
        <v>0</v>
      </c>
      <c r="J93" s="837">
        <f t="shared" si="434"/>
        <v>71</v>
      </c>
      <c r="K93" s="699" t="str">
        <f t="shared" si="435"/>
        <v>Lista</v>
      </c>
      <c r="L93" s="1040">
        <f t="shared" si="436"/>
        <v>0.05</v>
      </c>
      <c r="M93" s="139" t="s">
        <v>1085</v>
      </c>
      <c r="N93" s="123">
        <f t="shared" si="464"/>
        <v>0</v>
      </c>
      <c r="O93" s="326">
        <f t="shared" si="491"/>
        <v>0</v>
      </c>
      <c r="P93" s="704">
        <f t="shared" si="273"/>
        <v>29559.47</v>
      </c>
      <c r="Q93" s="704" t="str">
        <f t="shared" si="492"/>
        <v>0</v>
      </c>
      <c r="R93" s="704">
        <f t="shared" si="493"/>
        <v>29559.47</v>
      </c>
      <c r="S93" s="326">
        <f t="shared" si="276"/>
        <v>29559.47</v>
      </c>
      <c r="T93" s="137" t="str">
        <f t="shared" si="406"/>
        <v/>
      </c>
      <c r="U93" s="332">
        <f t="shared" si="494"/>
        <v>0</v>
      </c>
      <c r="V93" s="141">
        <f t="shared" si="415"/>
        <v>0</v>
      </c>
      <c r="W93" s="113">
        <f t="shared" si="278"/>
        <v>54806.48</v>
      </c>
      <c r="X93" s="704" t="str">
        <f t="shared" si="495"/>
        <v>0</v>
      </c>
      <c r="Y93" s="117">
        <f t="shared" si="496"/>
        <v>54806.48</v>
      </c>
      <c r="Z93" s="123">
        <f t="shared" si="416"/>
        <v>54806.48</v>
      </c>
      <c r="AA93" s="98" t="str">
        <f t="shared" si="407"/>
        <v/>
      </c>
      <c r="AB93" s="123">
        <f t="shared" si="497"/>
        <v>0</v>
      </c>
      <c r="AC93" s="326">
        <f t="shared" si="417"/>
        <v>0</v>
      </c>
      <c r="AD93" s="326">
        <f t="shared" si="283"/>
        <v>-3011.69</v>
      </c>
      <c r="AE93" s="326" t="str">
        <f t="shared" si="498"/>
        <v>0</v>
      </c>
      <c r="AF93" s="326">
        <f t="shared" si="499"/>
        <v>-3011.69</v>
      </c>
      <c r="AG93" s="326">
        <f t="shared" si="286"/>
        <v>-3011.69</v>
      </c>
      <c r="AH93" s="494" t="str">
        <f t="shared" si="408"/>
        <v/>
      </c>
      <c r="AI93" s="141">
        <f t="shared" si="287"/>
        <v>0</v>
      </c>
      <c r="AJ93" s="416">
        <f t="shared" si="368"/>
        <v>288355.75</v>
      </c>
      <c r="AK93" s="326">
        <f t="shared" ref="AK93:AM93" si="583">SUM(P93,W93,AD93)</f>
        <v>81354.260000000009</v>
      </c>
      <c r="AL93" s="326">
        <f t="shared" si="583"/>
        <v>0</v>
      </c>
      <c r="AM93" s="326">
        <f t="shared" si="583"/>
        <v>81354.260000000009</v>
      </c>
      <c r="AN93" s="326">
        <f t="shared" si="289"/>
        <v>81354.260000000009</v>
      </c>
      <c r="AO93" s="98" t="str">
        <f t="shared" si="410"/>
        <v/>
      </c>
      <c r="AP93" s="125">
        <f t="shared" si="419"/>
        <v>0</v>
      </c>
      <c r="AQ93" s="140">
        <f t="shared" si="291"/>
        <v>0</v>
      </c>
      <c r="AR93" s="123" t="str">
        <f t="shared" si="501"/>
        <v>0</v>
      </c>
      <c r="AS93" s="148">
        <f t="shared" si="502"/>
        <v>0</v>
      </c>
      <c r="AT93" s="125">
        <f t="shared" si="503"/>
        <v>0</v>
      </c>
      <c r="AU93" s="140">
        <f t="shared" si="295"/>
        <v>0</v>
      </c>
      <c r="AV93" s="326" t="str">
        <f t="shared" si="504"/>
        <v>0</v>
      </c>
      <c r="AW93" s="333">
        <f t="shared" si="505"/>
        <v>0</v>
      </c>
      <c r="AX93" s="125">
        <f t="shared" si="466"/>
        <v>0</v>
      </c>
      <c r="AY93" s="1041">
        <f t="shared" si="299"/>
        <v>0</v>
      </c>
      <c r="AZ93" s="123" t="str">
        <f t="shared" si="506"/>
        <v>0</v>
      </c>
      <c r="BA93" s="125">
        <f t="shared" si="507"/>
        <v>0</v>
      </c>
      <c r="BB93" s="122">
        <f t="shared" ref="BB93:BD93" si="584">SUM(AY93,AU93,AQ93)</f>
        <v>0</v>
      </c>
      <c r="BC93" s="326">
        <f t="shared" si="584"/>
        <v>0</v>
      </c>
      <c r="BD93" s="333">
        <f t="shared" si="584"/>
        <v>0</v>
      </c>
      <c r="BE93" s="123">
        <f t="shared" si="303"/>
        <v>81354.260000000009</v>
      </c>
      <c r="BF93" s="326">
        <f t="shared" ref="BF93:BG93" si="585">BC93+AL93</f>
        <v>0</v>
      </c>
      <c r="BG93" s="435">
        <f t="shared" si="585"/>
        <v>81354.260000000009</v>
      </c>
      <c r="BH93" s="125">
        <f t="shared" si="469"/>
        <v>0</v>
      </c>
      <c r="BI93" s="1041">
        <f t="shared" si="306"/>
        <v>27510.19</v>
      </c>
      <c r="BJ93" s="326" t="str">
        <f t="shared" si="510"/>
        <v>0</v>
      </c>
      <c r="BK93" s="1045">
        <f t="shared" si="511"/>
        <v>27510.19</v>
      </c>
      <c r="BL93" s="125">
        <f t="shared" si="470"/>
        <v>0</v>
      </c>
      <c r="BM93" s="141">
        <f t="shared" si="310"/>
        <v>0</v>
      </c>
      <c r="BN93" s="332" t="str">
        <f t="shared" si="512"/>
        <v>0</v>
      </c>
      <c r="BO93" s="333">
        <f t="shared" si="513"/>
        <v>0</v>
      </c>
      <c r="BP93" s="125">
        <f t="shared" si="471"/>
        <v>95395.199999999997</v>
      </c>
      <c r="BQ93" s="140">
        <f t="shared" si="53"/>
        <v>0</v>
      </c>
      <c r="BR93" s="123" t="str">
        <f t="shared" si="440"/>
        <v>0</v>
      </c>
      <c r="BS93" s="148">
        <f t="shared" si="441"/>
        <v>0</v>
      </c>
      <c r="BT93" s="140">
        <f t="shared" ref="BT93:BV93" si="586">SUM(BQ93,BM93,BI93)</f>
        <v>27510.19</v>
      </c>
      <c r="BU93" s="123">
        <f t="shared" si="586"/>
        <v>0</v>
      </c>
      <c r="BV93" s="148">
        <f t="shared" si="586"/>
        <v>27510.19</v>
      </c>
      <c r="BW93" s="125">
        <f t="shared" si="443"/>
        <v>0</v>
      </c>
      <c r="BX93" s="140">
        <f t="shared" si="58"/>
        <v>0</v>
      </c>
      <c r="BY93" s="123" t="str">
        <f t="shared" si="444"/>
        <v>0</v>
      </c>
      <c r="BZ93" s="148">
        <f t="shared" si="445"/>
        <v>0</v>
      </c>
      <c r="CA93" s="123">
        <f t="shared" si="446"/>
        <v>136254.23000000001</v>
      </c>
      <c r="CB93" s="326">
        <f t="shared" si="447"/>
        <v>152101.53</v>
      </c>
    </row>
    <row r="94" spans="1:80" ht="13">
      <c r="A94" s="436">
        <f t="shared" si="431"/>
        <v>112014021</v>
      </c>
      <c r="B94" s="93">
        <f t="shared" si="432"/>
        <v>1</v>
      </c>
      <c r="C94" s="558" t="str">
        <f t="shared" si="485"/>
        <v>Lista</v>
      </c>
      <c r="D94" s="558">
        <f t="shared" si="486"/>
        <v>0.09</v>
      </c>
      <c r="E94" s="715">
        <f t="shared" si="487"/>
        <v>0</v>
      </c>
      <c r="F94" s="701">
        <f t="shared" si="433"/>
        <v>1</v>
      </c>
      <c r="G94" s="700" t="str">
        <f t="shared" si="488"/>
        <v>Lista</v>
      </c>
      <c r="H94" s="700">
        <f t="shared" si="489"/>
        <v>0.09</v>
      </c>
      <c r="I94" s="702">
        <f t="shared" si="490"/>
        <v>0</v>
      </c>
      <c r="J94" s="837">
        <f t="shared" si="434"/>
        <v>71</v>
      </c>
      <c r="K94" s="699" t="str">
        <f t="shared" si="435"/>
        <v>Lista</v>
      </c>
      <c r="L94" s="1040">
        <f t="shared" si="436"/>
        <v>0.05</v>
      </c>
      <c r="M94" s="139" t="s">
        <v>1086</v>
      </c>
      <c r="N94" s="123">
        <f t="shared" si="464"/>
        <v>250649.17</v>
      </c>
      <c r="O94" s="326">
        <f t="shared" si="491"/>
        <v>421353.7872285</v>
      </c>
      <c r="P94" s="704">
        <f t="shared" si="273"/>
        <v>571758.56999999995</v>
      </c>
      <c r="Q94" s="704" t="str">
        <f t="shared" si="492"/>
        <v>0</v>
      </c>
      <c r="R94" s="704">
        <f t="shared" si="493"/>
        <v>571758.56999999995</v>
      </c>
      <c r="S94" s="326">
        <f t="shared" si="276"/>
        <v>150404.78277149994</v>
      </c>
      <c r="T94" s="137">
        <f t="shared" si="406"/>
        <v>1.3569560481722585</v>
      </c>
      <c r="U94" s="332">
        <f t="shared" si="494"/>
        <v>293663.78999999998</v>
      </c>
      <c r="V94" s="141">
        <f t="shared" si="415"/>
        <v>531744.36614774994</v>
      </c>
      <c r="W94" s="113">
        <f t="shared" si="278"/>
        <v>0</v>
      </c>
      <c r="X94" s="704" t="str">
        <f t="shared" si="495"/>
        <v>0</v>
      </c>
      <c r="Y94" s="117">
        <f t="shared" si="496"/>
        <v>0</v>
      </c>
      <c r="Z94" s="123">
        <f t="shared" si="416"/>
        <v>-531744.36614774994</v>
      </c>
      <c r="AA94" s="98">
        <f t="shared" si="407"/>
        <v>0</v>
      </c>
      <c r="AB94" s="123">
        <f t="shared" si="497"/>
        <v>77418.929999999993</v>
      </c>
      <c r="AC94" s="326">
        <f t="shared" si="417"/>
        <v>127227.55989944999</v>
      </c>
      <c r="AD94" s="326">
        <f t="shared" si="283"/>
        <v>0</v>
      </c>
      <c r="AE94" s="326" t="str">
        <f t="shared" si="498"/>
        <v>0</v>
      </c>
      <c r="AF94" s="326">
        <f t="shared" si="499"/>
        <v>0</v>
      </c>
      <c r="AG94" s="326">
        <f t="shared" si="286"/>
        <v>-127227.55989944999</v>
      </c>
      <c r="AH94" s="494">
        <f t="shared" si="408"/>
        <v>0</v>
      </c>
      <c r="AI94" s="141">
        <f t="shared" si="287"/>
        <v>1080325.7132756999</v>
      </c>
      <c r="AJ94" s="416">
        <f t="shared" si="368"/>
        <v>653184.01</v>
      </c>
      <c r="AK94" s="326">
        <f t="shared" ref="AK94:AM94" si="587">SUM(P94,W94,AD94)</f>
        <v>571758.56999999995</v>
      </c>
      <c r="AL94" s="326">
        <f t="shared" si="587"/>
        <v>0</v>
      </c>
      <c r="AM94" s="326">
        <f t="shared" si="587"/>
        <v>571758.56999999995</v>
      </c>
      <c r="AN94" s="326">
        <f t="shared" si="289"/>
        <v>-508567.14327569993</v>
      </c>
      <c r="AO94" s="98">
        <f t="shared" si="410"/>
        <v>0.52924646981357815</v>
      </c>
      <c r="AP94" s="125">
        <f t="shared" si="419"/>
        <v>0</v>
      </c>
      <c r="AQ94" s="140">
        <f t="shared" si="291"/>
        <v>0</v>
      </c>
      <c r="AR94" s="123" t="str">
        <f t="shared" si="501"/>
        <v>0</v>
      </c>
      <c r="AS94" s="148">
        <f t="shared" si="502"/>
        <v>0</v>
      </c>
      <c r="AT94" s="125">
        <f t="shared" si="503"/>
        <v>307269.89</v>
      </c>
      <c r="AU94" s="140">
        <f t="shared" si="295"/>
        <v>0</v>
      </c>
      <c r="AV94" s="326" t="str">
        <f t="shared" si="504"/>
        <v>0</v>
      </c>
      <c r="AW94" s="333">
        <f t="shared" si="505"/>
        <v>0</v>
      </c>
      <c r="AX94" s="125">
        <f t="shared" si="466"/>
        <v>142468.32999999999</v>
      </c>
      <c r="AY94" s="1041">
        <f t="shared" si="299"/>
        <v>0</v>
      </c>
      <c r="AZ94" s="123" t="str">
        <f t="shared" si="506"/>
        <v>0</v>
      </c>
      <c r="BA94" s="125">
        <f t="shared" si="507"/>
        <v>0</v>
      </c>
      <c r="BB94" s="122">
        <f t="shared" ref="BB94:BD94" si="588">SUM(AY94,AU94,AQ94)</f>
        <v>0</v>
      </c>
      <c r="BC94" s="326">
        <f t="shared" si="588"/>
        <v>0</v>
      </c>
      <c r="BD94" s="333">
        <f t="shared" si="588"/>
        <v>0</v>
      </c>
      <c r="BE94" s="123">
        <f t="shared" si="303"/>
        <v>571758.56999999995</v>
      </c>
      <c r="BF94" s="326">
        <f t="shared" ref="BF94:BG94" si="589">BC94+AL94</f>
        <v>0</v>
      </c>
      <c r="BG94" s="435">
        <f t="shared" si="589"/>
        <v>571758.56999999995</v>
      </c>
      <c r="BH94" s="125">
        <f t="shared" si="469"/>
        <v>390379.07</v>
      </c>
      <c r="BI94" s="1041">
        <f t="shared" si="306"/>
        <v>146333.49</v>
      </c>
      <c r="BJ94" s="326" t="str">
        <f t="shared" si="510"/>
        <v>0</v>
      </c>
      <c r="BK94" s="1045">
        <f t="shared" si="511"/>
        <v>146333.49</v>
      </c>
      <c r="BL94" s="125">
        <f t="shared" si="470"/>
        <v>0</v>
      </c>
      <c r="BM94" s="141">
        <f t="shared" si="310"/>
        <v>0</v>
      </c>
      <c r="BN94" s="332" t="str">
        <f t="shared" si="512"/>
        <v>0</v>
      </c>
      <c r="BO94" s="333">
        <f t="shared" si="513"/>
        <v>0</v>
      </c>
      <c r="BP94" s="125">
        <f t="shared" si="471"/>
        <v>156955.03</v>
      </c>
      <c r="BQ94" s="140">
        <f t="shared" si="53"/>
        <v>0</v>
      </c>
      <c r="BR94" s="123" t="str">
        <f t="shared" si="440"/>
        <v>0</v>
      </c>
      <c r="BS94" s="148">
        <f t="shared" si="441"/>
        <v>0</v>
      </c>
      <c r="BT94" s="140">
        <f t="shared" ref="BT94:BV94" si="590">SUM(BQ94,BM94,BI94)</f>
        <v>146333.49</v>
      </c>
      <c r="BU94" s="123">
        <f t="shared" si="590"/>
        <v>0</v>
      </c>
      <c r="BV94" s="148">
        <f t="shared" si="590"/>
        <v>146333.49</v>
      </c>
      <c r="BW94" s="125">
        <f t="shared" si="443"/>
        <v>361836.44</v>
      </c>
      <c r="BX94" s="140">
        <f t="shared" si="58"/>
        <v>0</v>
      </c>
      <c r="BY94" s="123" t="str">
        <f t="shared" si="444"/>
        <v>0</v>
      </c>
      <c r="BZ94" s="148">
        <f t="shared" si="445"/>
        <v>0</v>
      </c>
      <c r="CA94" s="123">
        <f t="shared" si="446"/>
        <v>291347.57</v>
      </c>
      <c r="CB94" s="326">
        <f t="shared" si="447"/>
        <v>0</v>
      </c>
    </row>
    <row r="95" spans="1:80" ht="13">
      <c r="A95" s="436">
        <f t="shared" si="431"/>
        <v>112014312</v>
      </c>
      <c r="B95" s="93">
        <f t="shared" si="432"/>
        <v>1</v>
      </c>
      <c r="C95" s="558" t="str">
        <f t="shared" si="485"/>
        <v>Lista</v>
      </c>
      <c r="D95" s="558">
        <f t="shared" si="486"/>
        <v>0.09</v>
      </c>
      <c r="E95" s="715">
        <f t="shared" si="487"/>
        <v>0</v>
      </c>
      <c r="F95" s="701">
        <f t="shared" si="433"/>
        <v>1</v>
      </c>
      <c r="G95" s="700" t="str">
        <f t="shared" si="488"/>
        <v>Lista</v>
      </c>
      <c r="H95" s="700">
        <f t="shared" si="489"/>
        <v>0.09</v>
      </c>
      <c r="I95" s="702">
        <f t="shared" si="490"/>
        <v>0</v>
      </c>
      <c r="J95" s="837">
        <f t="shared" si="434"/>
        <v>71</v>
      </c>
      <c r="K95" s="699" t="str">
        <f t="shared" si="435"/>
        <v>Lista</v>
      </c>
      <c r="L95" s="1040">
        <f t="shared" si="436"/>
        <v>0.05</v>
      </c>
      <c r="M95" s="139" t="s">
        <v>1087</v>
      </c>
      <c r="N95" s="123">
        <f t="shared" si="464"/>
        <v>1749232.8</v>
      </c>
      <c r="O95" s="326">
        <f t="shared" si="491"/>
        <v>2940547.79844</v>
      </c>
      <c r="P95" s="704">
        <f t="shared" si="273"/>
        <v>0</v>
      </c>
      <c r="Q95" s="704" t="str">
        <f t="shared" si="492"/>
        <v>0</v>
      </c>
      <c r="R95" s="704">
        <f t="shared" si="493"/>
        <v>0</v>
      </c>
      <c r="S95" s="326">
        <f t="shared" si="276"/>
        <v>-2940547.79844</v>
      </c>
      <c r="T95" s="137">
        <f t="shared" si="406"/>
        <v>0</v>
      </c>
      <c r="U95" s="332">
        <f t="shared" si="494"/>
        <v>85883.49</v>
      </c>
      <c r="V95" s="141">
        <f t="shared" si="415"/>
        <v>155511.38243025003</v>
      </c>
      <c r="W95" s="113">
        <f t="shared" si="278"/>
        <v>0</v>
      </c>
      <c r="X95" s="704" t="str">
        <f t="shared" si="495"/>
        <v>0</v>
      </c>
      <c r="Y95" s="117">
        <f t="shared" si="496"/>
        <v>0</v>
      </c>
      <c r="Z95" s="123">
        <f t="shared" si="416"/>
        <v>-155511.38243025003</v>
      </c>
      <c r="AA95" s="98">
        <f t="shared" si="407"/>
        <v>0</v>
      </c>
      <c r="AB95" s="123">
        <f t="shared" si="497"/>
        <v>132069.6</v>
      </c>
      <c r="AC95" s="326">
        <f t="shared" si="417"/>
        <v>217038.55820400003</v>
      </c>
      <c r="AD95" s="326">
        <f t="shared" si="283"/>
        <v>0</v>
      </c>
      <c r="AE95" s="326" t="str">
        <f t="shared" si="498"/>
        <v>0</v>
      </c>
      <c r="AF95" s="326">
        <f t="shared" si="499"/>
        <v>0</v>
      </c>
      <c r="AG95" s="326">
        <f t="shared" si="286"/>
        <v>-217038.55820400003</v>
      </c>
      <c r="AH95" s="494">
        <f t="shared" si="408"/>
        <v>0</v>
      </c>
      <c r="AI95" s="141">
        <f t="shared" si="287"/>
        <v>3313097.7390742498</v>
      </c>
      <c r="AJ95" s="416" t="str">
        <f t="shared" si="368"/>
        <v>0</v>
      </c>
      <c r="AK95" s="326">
        <f t="shared" ref="AK95:AM95" si="591">SUM(P95,W95,AD95)</f>
        <v>0</v>
      </c>
      <c r="AL95" s="326">
        <f t="shared" si="591"/>
        <v>0</v>
      </c>
      <c r="AM95" s="326">
        <f t="shared" si="591"/>
        <v>0</v>
      </c>
      <c r="AN95" s="326">
        <f t="shared" si="289"/>
        <v>-3313097.7390742498</v>
      </c>
      <c r="AO95" s="98">
        <f t="shared" si="410"/>
        <v>0</v>
      </c>
      <c r="AP95" s="125">
        <f t="shared" si="419"/>
        <v>0</v>
      </c>
      <c r="AQ95" s="140">
        <f t="shared" si="291"/>
        <v>0</v>
      </c>
      <c r="AR95" s="123" t="str">
        <f t="shared" si="501"/>
        <v>0</v>
      </c>
      <c r="AS95" s="148">
        <f t="shared" si="502"/>
        <v>0</v>
      </c>
      <c r="AT95" s="125">
        <f t="shared" si="503"/>
        <v>0</v>
      </c>
      <c r="AU95" s="140">
        <f t="shared" si="295"/>
        <v>0</v>
      </c>
      <c r="AV95" s="326" t="str">
        <f t="shared" si="504"/>
        <v>0</v>
      </c>
      <c r="AW95" s="333">
        <f t="shared" si="505"/>
        <v>0</v>
      </c>
      <c r="AX95" s="125">
        <f t="shared" si="466"/>
        <v>0</v>
      </c>
      <c r="AY95" s="1041">
        <f t="shared" si="299"/>
        <v>0</v>
      </c>
      <c r="AZ95" s="123" t="str">
        <f t="shared" si="506"/>
        <v>0</v>
      </c>
      <c r="BA95" s="125">
        <f t="shared" si="507"/>
        <v>0</v>
      </c>
      <c r="BB95" s="122">
        <f t="shared" ref="BB95:BD95" si="592">SUM(AY95,AU95,AQ95)</f>
        <v>0</v>
      </c>
      <c r="BC95" s="326">
        <f t="shared" si="592"/>
        <v>0</v>
      </c>
      <c r="BD95" s="333">
        <f t="shared" si="592"/>
        <v>0</v>
      </c>
      <c r="BE95" s="123">
        <f t="shared" si="303"/>
        <v>0</v>
      </c>
      <c r="BF95" s="326">
        <f t="shared" ref="BF95:BG95" si="593">BC95+AL95</f>
        <v>0</v>
      </c>
      <c r="BG95" s="435">
        <f t="shared" si="593"/>
        <v>0</v>
      </c>
      <c r="BH95" s="125">
        <f t="shared" si="469"/>
        <v>0</v>
      </c>
      <c r="BI95" s="1041">
        <f t="shared" si="306"/>
        <v>0</v>
      </c>
      <c r="BJ95" s="326" t="str">
        <f t="shared" si="510"/>
        <v>0</v>
      </c>
      <c r="BK95" s="1045">
        <f t="shared" si="511"/>
        <v>0</v>
      </c>
      <c r="BL95" s="125">
        <f t="shared" si="470"/>
        <v>0</v>
      </c>
      <c r="BM95" s="141">
        <f t="shared" si="310"/>
        <v>0</v>
      </c>
      <c r="BN95" s="332" t="str">
        <f t="shared" si="512"/>
        <v>0</v>
      </c>
      <c r="BO95" s="333">
        <f t="shared" si="513"/>
        <v>0</v>
      </c>
      <c r="BP95" s="125">
        <f t="shared" si="471"/>
        <v>1418500</v>
      </c>
      <c r="BQ95" s="140">
        <f t="shared" si="53"/>
        <v>100522</v>
      </c>
      <c r="BR95" s="123" t="str">
        <f t="shared" si="440"/>
        <v>0</v>
      </c>
      <c r="BS95" s="148">
        <f t="shared" si="441"/>
        <v>100522</v>
      </c>
      <c r="BT95" s="140">
        <f t="shared" ref="BT95:BV95" si="594">SUM(BQ95,BM95,BI95)</f>
        <v>100522</v>
      </c>
      <c r="BU95" s="123">
        <f t="shared" si="594"/>
        <v>0</v>
      </c>
      <c r="BV95" s="148">
        <f t="shared" si="594"/>
        <v>100522</v>
      </c>
      <c r="BW95" s="125">
        <f t="shared" si="443"/>
        <v>0</v>
      </c>
      <c r="BX95" s="140">
        <f t="shared" si="58"/>
        <v>0</v>
      </c>
      <c r="BY95" s="123" t="str">
        <f t="shared" si="444"/>
        <v>0</v>
      </c>
      <c r="BZ95" s="148">
        <f t="shared" si="445"/>
        <v>0</v>
      </c>
      <c r="CA95" s="123">
        <f t="shared" si="446"/>
        <v>0</v>
      </c>
      <c r="CB95" s="326">
        <f t="shared" si="447"/>
        <v>0</v>
      </c>
    </row>
    <row r="96" spans="1:80" ht="13">
      <c r="A96" s="436">
        <f t="shared" si="431"/>
        <v>112014402</v>
      </c>
      <c r="B96" s="93">
        <f t="shared" si="432"/>
        <v>1</v>
      </c>
      <c r="C96" s="558" t="str">
        <f t="shared" si="485"/>
        <v>Lista</v>
      </c>
      <c r="D96" s="558">
        <f t="shared" si="486"/>
        <v>0.09</v>
      </c>
      <c r="E96" s="715">
        <f t="shared" si="487"/>
        <v>0</v>
      </c>
      <c r="F96" s="701">
        <f t="shared" si="433"/>
        <v>1</v>
      </c>
      <c r="G96" s="700" t="str">
        <f t="shared" si="488"/>
        <v>Lista</v>
      </c>
      <c r="H96" s="700">
        <f t="shared" si="489"/>
        <v>0.09</v>
      </c>
      <c r="I96" s="702">
        <f t="shared" si="490"/>
        <v>0</v>
      </c>
      <c r="J96" s="837">
        <f t="shared" si="434"/>
        <v>71</v>
      </c>
      <c r="K96" s="699" t="str">
        <f t="shared" si="435"/>
        <v>Lista</v>
      </c>
      <c r="L96" s="1040">
        <f t="shared" si="436"/>
        <v>0.05</v>
      </c>
      <c r="M96" s="139" t="s">
        <v>1088</v>
      </c>
      <c r="N96" s="123">
        <f t="shared" si="464"/>
        <v>0</v>
      </c>
      <c r="O96" s="326">
        <f t="shared" si="491"/>
        <v>0</v>
      </c>
      <c r="P96" s="704">
        <f t="shared" si="273"/>
        <v>601497.34</v>
      </c>
      <c r="Q96" s="704" t="str">
        <f t="shared" si="492"/>
        <v>0</v>
      </c>
      <c r="R96" s="704">
        <f t="shared" si="493"/>
        <v>601497.34</v>
      </c>
      <c r="S96" s="326">
        <f t="shared" si="276"/>
        <v>601497.34</v>
      </c>
      <c r="T96" s="137" t="str">
        <f t="shared" si="406"/>
        <v/>
      </c>
      <c r="U96" s="332">
        <f t="shared" si="494"/>
        <v>0</v>
      </c>
      <c r="V96" s="141">
        <f t="shared" si="415"/>
        <v>0</v>
      </c>
      <c r="W96" s="113">
        <f t="shared" si="278"/>
        <v>466036.73</v>
      </c>
      <c r="X96" s="704" t="str">
        <f t="shared" si="495"/>
        <v>0</v>
      </c>
      <c r="Y96" s="117">
        <f t="shared" si="496"/>
        <v>466036.73</v>
      </c>
      <c r="Z96" s="123">
        <f t="shared" si="416"/>
        <v>466036.73</v>
      </c>
      <c r="AA96" s="98" t="str">
        <f t="shared" si="407"/>
        <v/>
      </c>
      <c r="AB96" s="123">
        <f t="shared" si="497"/>
        <v>0</v>
      </c>
      <c r="AC96" s="326">
        <f t="shared" si="417"/>
        <v>0</v>
      </c>
      <c r="AD96" s="326">
        <f t="shared" si="283"/>
        <v>298623.17</v>
      </c>
      <c r="AE96" s="326" t="str">
        <f t="shared" si="498"/>
        <v>0</v>
      </c>
      <c r="AF96" s="326">
        <f t="shared" si="499"/>
        <v>298623.17</v>
      </c>
      <c r="AG96" s="326">
        <f t="shared" si="286"/>
        <v>298623.17</v>
      </c>
      <c r="AH96" s="494" t="str">
        <f t="shared" si="408"/>
        <v/>
      </c>
      <c r="AI96" s="141">
        <f t="shared" si="287"/>
        <v>0</v>
      </c>
      <c r="AJ96" s="416">
        <f t="shared" si="368"/>
        <v>793237.43</v>
      </c>
      <c r="AK96" s="326">
        <f t="shared" ref="AK96:AM96" si="595">SUM(P96,W96,AD96)</f>
        <v>1366157.2399999998</v>
      </c>
      <c r="AL96" s="326">
        <f t="shared" si="595"/>
        <v>0</v>
      </c>
      <c r="AM96" s="326">
        <f t="shared" si="595"/>
        <v>1366157.2399999998</v>
      </c>
      <c r="AN96" s="326">
        <f t="shared" si="289"/>
        <v>1366157.2399999998</v>
      </c>
      <c r="AO96" s="98" t="str">
        <f t="shared" si="410"/>
        <v/>
      </c>
      <c r="AP96" s="125">
        <f t="shared" si="419"/>
        <v>11756.2</v>
      </c>
      <c r="AQ96" s="140">
        <f t="shared" si="291"/>
        <v>549024.34</v>
      </c>
      <c r="AR96" s="123" t="str">
        <f t="shared" si="501"/>
        <v>0</v>
      </c>
      <c r="AS96" s="148">
        <f t="shared" si="502"/>
        <v>549024.34</v>
      </c>
      <c r="AT96" s="125">
        <f t="shared" si="503"/>
        <v>100135.55</v>
      </c>
      <c r="AU96" s="140">
        <f t="shared" si="295"/>
        <v>395166.03</v>
      </c>
      <c r="AV96" s="326" t="str">
        <f t="shared" si="504"/>
        <v>0</v>
      </c>
      <c r="AW96" s="333">
        <f t="shared" si="505"/>
        <v>395166.03</v>
      </c>
      <c r="AX96" s="125">
        <f t="shared" si="466"/>
        <v>220880.38</v>
      </c>
      <c r="AY96" s="1041">
        <f t="shared" si="299"/>
        <v>579519.01</v>
      </c>
      <c r="AZ96" s="123" t="str">
        <f t="shared" si="506"/>
        <v>0</v>
      </c>
      <c r="BA96" s="125">
        <f t="shared" si="507"/>
        <v>579519.01</v>
      </c>
      <c r="BB96" s="122">
        <f t="shared" ref="BB96:BD96" si="596">SUM(AY96,AU96,AQ96)</f>
        <v>1523709.38</v>
      </c>
      <c r="BC96" s="326">
        <f t="shared" si="596"/>
        <v>0</v>
      </c>
      <c r="BD96" s="333">
        <f t="shared" si="596"/>
        <v>1523709.38</v>
      </c>
      <c r="BE96" s="123">
        <f t="shared" si="303"/>
        <v>2889866.6199999996</v>
      </c>
      <c r="BF96" s="326">
        <f t="shared" ref="BF96:BG96" si="597">BC96+AL96</f>
        <v>0</v>
      </c>
      <c r="BG96" s="435">
        <f t="shared" si="597"/>
        <v>2889866.6199999996</v>
      </c>
      <c r="BH96" s="125">
        <f t="shared" si="469"/>
        <v>239430.56</v>
      </c>
      <c r="BI96" s="1041">
        <f t="shared" si="306"/>
        <v>0</v>
      </c>
      <c r="BJ96" s="326" t="str">
        <f t="shared" si="510"/>
        <v>0</v>
      </c>
      <c r="BK96" s="1045">
        <f t="shared" si="511"/>
        <v>0</v>
      </c>
      <c r="BL96" s="125">
        <f t="shared" si="470"/>
        <v>172401.5</v>
      </c>
      <c r="BM96" s="141">
        <f t="shared" si="310"/>
        <v>341737.15</v>
      </c>
      <c r="BN96" s="332" t="str">
        <f t="shared" si="512"/>
        <v>0</v>
      </c>
      <c r="BO96" s="333">
        <f t="shared" si="513"/>
        <v>341737.15</v>
      </c>
      <c r="BP96" s="125">
        <f t="shared" si="471"/>
        <v>135414.62</v>
      </c>
      <c r="BQ96" s="140">
        <f t="shared" si="53"/>
        <v>87688.76</v>
      </c>
      <c r="BR96" s="123" t="str">
        <f t="shared" si="440"/>
        <v>0</v>
      </c>
      <c r="BS96" s="148">
        <f t="shared" si="441"/>
        <v>87688.76</v>
      </c>
      <c r="BT96" s="140">
        <f t="shared" ref="BT96:BV96" si="598">SUM(BQ96,BM96,BI96)</f>
        <v>429425.91000000003</v>
      </c>
      <c r="BU96" s="123">
        <f t="shared" si="598"/>
        <v>0</v>
      </c>
      <c r="BV96" s="148">
        <f t="shared" si="598"/>
        <v>429425.91000000003</v>
      </c>
      <c r="BW96" s="125">
        <f t="shared" si="443"/>
        <v>67369.64</v>
      </c>
      <c r="BX96" s="140">
        <f t="shared" si="58"/>
        <v>235345.15</v>
      </c>
      <c r="BY96" s="123" t="str">
        <f t="shared" si="444"/>
        <v>0</v>
      </c>
      <c r="BZ96" s="148">
        <f t="shared" si="445"/>
        <v>235345.15</v>
      </c>
      <c r="CA96" s="123">
        <f t="shared" si="446"/>
        <v>294353.89</v>
      </c>
      <c r="CB96" s="326">
        <f t="shared" si="447"/>
        <v>431513.9</v>
      </c>
    </row>
    <row r="97" spans="1:115" ht="13">
      <c r="A97" s="436">
        <f t="shared" si="431"/>
        <v>112014500</v>
      </c>
      <c r="B97" s="93">
        <f t="shared" si="432"/>
        <v>1</v>
      </c>
      <c r="C97" s="558" t="str">
        <f t="shared" si="485"/>
        <v>Lista</v>
      </c>
      <c r="D97" s="558">
        <f t="shared" si="486"/>
        <v>0.09</v>
      </c>
      <c r="E97" s="715">
        <f t="shared" si="487"/>
        <v>0</v>
      </c>
      <c r="F97" s="701">
        <f t="shared" si="433"/>
        <v>1</v>
      </c>
      <c r="G97" s="700" t="str">
        <f t="shared" si="488"/>
        <v>Lista</v>
      </c>
      <c r="H97" s="700">
        <f t="shared" si="489"/>
        <v>0.09</v>
      </c>
      <c r="I97" s="702">
        <f t="shared" si="490"/>
        <v>0</v>
      </c>
      <c r="J97" s="837">
        <f t="shared" si="434"/>
        <v>71</v>
      </c>
      <c r="K97" s="699" t="str">
        <f t="shared" si="435"/>
        <v>Lista</v>
      </c>
      <c r="L97" s="1040">
        <f t="shared" si="436"/>
        <v>0.05</v>
      </c>
      <c r="M97" s="139" t="s">
        <v>1089</v>
      </c>
      <c r="N97" s="123">
        <f t="shared" si="464"/>
        <v>0</v>
      </c>
      <c r="O97" s="326">
        <f t="shared" si="491"/>
        <v>0</v>
      </c>
      <c r="P97" s="704">
        <f t="shared" si="273"/>
        <v>94636.800000000003</v>
      </c>
      <c r="Q97" s="704">
        <f t="shared" si="492"/>
        <v>0</v>
      </c>
      <c r="R97" s="704">
        <f t="shared" si="493"/>
        <v>94636.800000000003</v>
      </c>
      <c r="S97" s="326">
        <f t="shared" si="276"/>
        <v>94636.800000000003</v>
      </c>
      <c r="T97" s="137" t="str">
        <f t="shared" si="406"/>
        <v/>
      </c>
      <c r="U97" s="332">
        <f t="shared" si="494"/>
        <v>0</v>
      </c>
      <c r="V97" s="141">
        <f t="shared" si="415"/>
        <v>0</v>
      </c>
      <c r="W97" s="113">
        <f t="shared" si="278"/>
        <v>27158.34</v>
      </c>
      <c r="X97" s="704">
        <f t="shared" si="495"/>
        <v>0</v>
      </c>
      <c r="Y97" s="117">
        <f t="shared" si="496"/>
        <v>27158.34</v>
      </c>
      <c r="Z97" s="123">
        <f t="shared" si="416"/>
        <v>27158.34</v>
      </c>
      <c r="AA97" s="98" t="str">
        <f t="shared" si="407"/>
        <v/>
      </c>
      <c r="AB97" s="123">
        <f t="shared" si="497"/>
        <v>0</v>
      </c>
      <c r="AC97" s="326">
        <f t="shared" si="417"/>
        <v>0</v>
      </c>
      <c r="AD97" s="326">
        <f t="shared" si="283"/>
        <v>120047.05</v>
      </c>
      <c r="AE97" s="326">
        <f t="shared" si="498"/>
        <v>0</v>
      </c>
      <c r="AF97" s="326">
        <f t="shared" si="499"/>
        <v>120047.05</v>
      </c>
      <c r="AG97" s="326">
        <f t="shared" si="286"/>
        <v>120047.05</v>
      </c>
      <c r="AH97" s="494" t="str">
        <f t="shared" si="408"/>
        <v/>
      </c>
      <c r="AI97" s="141">
        <f t="shared" si="287"/>
        <v>0</v>
      </c>
      <c r="AJ97" s="1068">
        <f t="shared" si="368"/>
        <v>50996</v>
      </c>
      <c r="AK97" s="471">
        <f t="shared" ref="AK97:AM97" si="599">SUM(P97,W97,AD97)</f>
        <v>241842.19</v>
      </c>
      <c r="AL97" s="471">
        <f t="shared" si="599"/>
        <v>0</v>
      </c>
      <c r="AM97" s="471">
        <f t="shared" si="599"/>
        <v>241842.19</v>
      </c>
      <c r="AN97" s="471">
        <f t="shared" si="289"/>
        <v>241842.19</v>
      </c>
      <c r="AO97" s="608" t="str">
        <f t="shared" si="410"/>
        <v/>
      </c>
      <c r="AP97" s="125">
        <f t="shared" si="419"/>
        <v>0</v>
      </c>
      <c r="AQ97" s="140">
        <f t="shared" si="291"/>
        <v>17099.599999999999</v>
      </c>
      <c r="AR97" s="123">
        <f t="shared" si="501"/>
        <v>0</v>
      </c>
      <c r="AS97" s="148">
        <f t="shared" si="502"/>
        <v>17099.599999999999</v>
      </c>
      <c r="AT97" s="125">
        <f t="shared" si="503"/>
        <v>0</v>
      </c>
      <c r="AU97" s="164">
        <f t="shared" si="295"/>
        <v>0</v>
      </c>
      <c r="AV97" s="471">
        <f t="shared" si="504"/>
        <v>0</v>
      </c>
      <c r="AW97" s="472">
        <f t="shared" si="505"/>
        <v>0</v>
      </c>
      <c r="AX97" s="271">
        <f t="shared" si="466"/>
        <v>0</v>
      </c>
      <c r="AY97" s="1069">
        <f t="shared" si="299"/>
        <v>0</v>
      </c>
      <c r="AZ97" s="274">
        <f t="shared" si="506"/>
        <v>0</v>
      </c>
      <c r="BA97" s="271">
        <f t="shared" si="507"/>
        <v>0</v>
      </c>
      <c r="BB97" s="122">
        <f t="shared" ref="BB97:BD97" si="600">SUM(AY97,AU97,AQ97)</f>
        <v>17099.599999999999</v>
      </c>
      <c r="BC97" s="326">
        <f t="shared" si="600"/>
        <v>0</v>
      </c>
      <c r="BD97" s="333">
        <f t="shared" si="600"/>
        <v>17099.599999999999</v>
      </c>
      <c r="BE97" s="123">
        <f t="shared" si="303"/>
        <v>258941.79</v>
      </c>
      <c r="BF97" s="326">
        <f t="shared" ref="BF97:BG97" si="601">BC97+AL97</f>
        <v>0</v>
      </c>
      <c r="BG97" s="435">
        <f t="shared" si="601"/>
        <v>258941.79</v>
      </c>
      <c r="BH97" s="271">
        <f t="shared" si="469"/>
        <v>17579.66</v>
      </c>
      <c r="BI97" s="1069">
        <f t="shared" si="306"/>
        <v>55198.879999999997</v>
      </c>
      <c r="BJ97" s="471">
        <f t="shared" si="510"/>
        <v>0</v>
      </c>
      <c r="BK97" s="1070">
        <f t="shared" si="511"/>
        <v>55198.879999999997</v>
      </c>
      <c r="BL97" s="271">
        <f t="shared" si="470"/>
        <v>0</v>
      </c>
      <c r="BM97" s="141">
        <f t="shared" si="310"/>
        <v>26414.37</v>
      </c>
      <c r="BN97" s="332">
        <f t="shared" si="512"/>
        <v>0</v>
      </c>
      <c r="BO97" s="333">
        <f t="shared" si="513"/>
        <v>26414.37</v>
      </c>
      <c r="BP97" s="271">
        <f t="shared" si="471"/>
        <v>17496.47</v>
      </c>
      <c r="BQ97" s="140">
        <f t="shared" si="53"/>
        <v>217923.63</v>
      </c>
      <c r="BR97" s="123">
        <f t="shared" si="440"/>
        <v>0</v>
      </c>
      <c r="BS97" s="148">
        <f t="shared" si="441"/>
        <v>217923.63</v>
      </c>
      <c r="BT97" s="140">
        <f t="shared" ref="BT97:BV97" si="602">SUM(BQ97,BM97,BI97)</f>
        <v>299536.88</v>
      </c>
      <c r="BU97" s="123">
        <f t="shared" si="602"/>
        <v>0</v>
      </c>
      <c r="BV97" s="148">
        <f t="shared" si="602"/>
        <v>299536.88</v>
      </c>
      <c r="BW97" s="125">
        <f t="shared" si="443"/>
        <v>50996</v>
      </c>
      <c r="BX97" s="140">
        <f t="shared" si="58"/>
        <v>0</v>
      </c>
      <c r="BY97" s="123">
        <f t="shared" si="444"/>
        <v>0</v>
      </c>
      <c r="BZ97" s="148">
        <f t="shared" si="445"/>
        <v>0</v>
      </c>
      <c r="CA97" s="123">
        <f t="shared" si="446"/>
        <v>0</v>
      </c>
      <c r="CB97" s="326">
        <f t="shared" si="447"/>
        <v>0</v>
      </c>
    </row>
    <row r="98" spans="1:115" ht="13">
      <c r="A98" s="905"/>
      <c r="B98" s="1071"/>
      <c r="C98" s="906"/>
      <c r="D98" s="906"/>
      <c r="E98" s="906"/>
      <c r="F98" s="908"/>
      <c r="G98" s="906"/>
      <c r="H98" s="906"/>
      <c r="I98" s="907"/>
      <c r="J98" s="906"/>
      <c r="K98" s="906"/>
      <c r="L98" s="907"/>
      <c r="M98" s="907" t="s">
        <v>17</v>
      </c>
      <c r="N98" s="919">
        <f t="shared" ref="N98:O98" si="603">SUM(N2:N96)</f>
        <v>24417925.520000003</v>
      </c>
      <c r="O98" s="767" t="e">
        <f t="shared" si="603"/>
        <v>#VALUE!</v>
      </c>
      <c r="P98" s="1072" t="e">
        <f t="shared" ref="P98:AN98" si="604">SUM(P2:P97,P103:P146)</f>
        <v>#VALUE!</v>
      </c>
      <c r="Q98" s="1072">
        <f t="shared" si="604"/>
        <v>20438602.650000002</v>
      </c>
      <c r="R98" s="1072">
        <f t="shared" si="604"/>
        <v>90423148.479999989</v>
      </c>
      <c r="S98" s="1072" t="e">
        <f t="shared" si="604"/>
        <v>#VALUE!</v>
      </c>
      <c r="T98" s="1072" t="e">
        <f t="shared" si="604"/>
        <v>#VALUE!</v>
      </c>
      <c r="U98" s="1072">
        <f t="shared" si="604"/>
        <v>49934067.760000005</v>
      </c>
      <c r="V98" s="1072" t="e">
        <f t="shared" si="604"/>
        <v>#VALUE!</v>
      </c>
      <c r="W98" s="1072" t="e">
        <f t="shared" si="604"/>
        <v>#VALUE!</v>
      </c>
      <c r="X98" s="1072">
        <f t="shared" si="604"/>
        <v>15074101.15</v>
      </c>
      <c r="Y98" s="1072">
        <f t="shared" si="604"/>
        <v>68311009.510000005</v>
      </c>
      <c r="Z98" s="1072" t="e">
        <f t="shared" si="604"/>
        <v>#VALUE!</v>
      </c>
      <c r="AA98" s="1072" t="e">
        <f t="shared" si="604"/>
        <v>#VALUE!</v>
      </c>
      <c r="AB98" s="1072">
        <f t="shared" si="604"/>
        <v>37477950.879999988</v>
      </c>
      <c r="AC98" s="1072" t="e">
        <f t="shared" si="604"/>
        <v>#VALUE!</v>
      </c>
      <c r="AD98" s="1072" t="e">
        <f t="shared" si="604"/>
        <v>#VALUE!</v>
      </c>
      <c r="AE98" s="1072">
        <f t="shared" si="604"/>
        <v>13930970.370000001</v>
      </c>
      <c r="AF98" s="1072">
        <f t="shared" si="604"/>
        <v>75259095.950000033</v>
      </c>
      <c r="AG98" s="1072" t="e">
        <f t="shared" si="604"/>
        <v>#VALUE!</v>
      </c>
      <c r="AH98" s="1072" t="e">
        <f t="shared" si="604"/>
        <v>#VALUE!</v>
      </c>
      <c r="AI98" s="1073" t="e">
        <f t="shared" si="604"/>
        <v>#VALUE!</v>
      </c>
      <c r="AJ98" s="1074" t="e">
        <f t="shared" si="604"/>
        <v>#N/A</v>
      </c>
      <c r="AK98" s="1075" t="e">
        <f t="shared" si="604"/>
        <v>#VALUE!</v>
      </c>
      <c r="AL98" s="1075">
        <f t="shared" si="604"/>
        <v>49443674.170000009</v>
      </c>
      <c r="AM98" s="1075">
        <f t="shared" si="604"/>
        <v>233993253.93999994</v>
      </c>
      <c r="AN98" s="1076" t="e">
        <f t="shared" si="604"/>
        <v>#VALUE!</v>
      </c>
      <c r="AO98" s="1077" t="str">
        <f t="shared" si="410"/>
        <v/>
      </c>
      <c r="AP98" s="1078">
        <f t="shared" ref="AP98:BZ98" si="605">SUM(AP2:AP97,AP103:AP146)</f>
        <v>50415409.380000003</v>
      </c>
      <c r="AQ98" s="1072" t="e">
        <f t="shared" si="605"/>
        <v>#VALUE!</v>
      </c>
      <c r="AR98" s="1072">
        <f t="shared" si="605"/>
        <v>20557882.75</v>
      </c>
      <c r="AS98" s="1072">
        <f t="shared" si="605"/>
        <v>73624447.799999997</v>
      </c>
      <c r="AT98" s="1073">
        <f t="shared" si="605"/>
        <v>45267209.029999986</v>
      </c>
      <c r="AU98" s="1079" t="e">
        <f t="shared" si="605"/>
        <v>#VALUE!</v>
      </c>
      <c r="AV98" s="1080">
        <f t="shared" si="605"/>
        <v>20779248.239999998</v>
      </c>
      <c r="AW98" s="1080">
        <f t="shared" si="605"/>
        <v>68710451.569999993</v>
      </c>
      <c r="AX98" s="1080">
        <f t="shared" si="605"/>
        <v>35343990.940000005</v>
      </c>
      <c r="AY98" s="1080" t="e">
        <f t="shared" si="605"/>
        <v>#VALUE!</v>
      </c>
      <c r="AZ98" s="1080">
        <f t="shared" si="605"/>
        <v>19016043.659999996</v>
      </c>
      <c r="BA98" s="1081">
        <f t="shared" si="605"/>
        <v>62405119.319999993</v>
      </c>
      <c r="BB98" s="1082" t="e">
        <f t="shared" si="605"/>
        <v>#VALUE!</v>
      </c>
      <c r="BC98" s="1083">
        <f t="shared" si="605"/>
        <v>60211632.509999983</v>
      </c>
      <c r="BD98" s="1084">
        <f t="shared" si="605"/>
        <v>202770613.88</v>
      </c>
      <c r="BE98" s="1085" t="e">
        <f t="shared" si="605"/>
        <v>#VALUE!</v>
      </c>
      <c r="BF98" s="1083">
        <f t="shared" si="605"/>
        <v>109326742.80000001</v>
      </c>
      <c r="BG98" s="1086">
        <f t="shared" si="605"/>
        <v>434133230.82999992</v>
      </c>
      <c r="BH98" s="1087">
        <f t="shared" si="605"/>
        <v>52609191.860000007</v>
      </c>
      <c r="BI98" s="1079" t="e">
        <f t="shared" si="605"/>
        <v>#VALUE!</v>
      </c>
      <c r="BJ98" s="1080">
        <f t="shared" si="605"/>
        <v>29929303.960000001</v>
      </c>
      <c r="BK98" s="1088">
        <f t="shared" si="605"/>
        <v>70339785.24000001</v>
      </c>
      <c r="BL98" s="1081">
        <f t="shared" si="605"/>
        <v>59930758.539999984</v>
      </c>
      <c r="BM98" s="1089" t="e">
        <f t="shared" si="605"/>
        <v>#VALUE!</v>
      </c>
      <c r="BN98" s="1090">
        <f t="shared" si="605"/>
        <v>27353306.479999997</v>
      </c>
      <c r="BO98" s="1091">
        <f t="shared" si="605"/>
        <v>79506632.49000001</v>
      </c>
      <c r="BP98" s="1090">
        <f t="shared" si="605"/>
        <v>61431905.729999967</v>
      </c>
      <c r="BQ98" s="1092" t="e">
        <f t="shared" si="605"/>
        <v>#VALUE!</v>
      </c>
      <c r="BR98" s="1091">
        <f t="shared" si="605"/>
        <v>13811828.720000006</v>
      </c>
      <c r="BS98" s="1091">
        <f t="shared" si="605"/>
        <v>73625189.989999995</v>
      </c>
      <c r="BT98" s="1092" t="e">
        <f t="shared" si="605"/>
        <v>#VALUE!</v>
      </c>
      <c r="BU98" s="1092">
        <f t="shared" si="605"/>
        <v>71094439.159999996</v>
      </c>
      <c r="BV98" s="1092">
        <f t="shared" si="605"/>
        <v>223471607.71999994</v>
      </c>
      <c r="BW98" s="1092">
        <f t="shared" si="605"/>
        <v>78180306.400000006</v>
      </c>
      <c r="BX98" s="1092" t="e">
        <f t="shared" si="605"/>
        <v>#VALUE!</v>
      </c>
      <c r="BY98" s="1092">
        <f t="shared" si="605"/>
        <v>20914421.039999999</v>
      </c>
      <c r="BZ98" s="1092">
        <f t="shared" si="605"/>
        <v>104592468.56</v>
      </c>
      <c r="CA98" s="1093">
        <f>SUM(CA2:CA96)</f>
        <v>44094343.530000001</v>
      </c>
      <c r="CB98" s="1094">
        <f>SUM(CB2:CB97)</f>
        <v>41912676.300000019</v>
      </c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  <c r="CM98" s="188"/>
      <c r="CN98" s="188"/>
      <c r="CO98" s="188"/>
      <c r="CP98" s="188"/>
      <c r="CQ98" s="188"/>
      <c r="CR98" s="188"/>
      <c r="CS98" s="188"/>
      <c r="CT98" s="188"/>
      <c r="CU98" s="188"/>
      <c r="CV98" s="188"/>
      <c r="CW98" s="188"/>
      <c r="CX98" s="188"/>
      <c r="CY98" s="188"/>
      <c r="CZ98" s="188"/>
      <c r="DA98" s="188"/>
      <c r="DB98" s="188"/>
      <c r="DC98" s="188"/>
      <c r="DD98" s="188"/>
      <c r="DE98" s="188"/>
      <c r="DF98" s="188"/>
      <c r="DG98" s="188"/>
      <c r="DH98" s="188"/>
      <c r="DI98" s="188"/>
      <c r="DJ98" s="188"/>
      <c r="DK98" s="188"/>
    </row>
    <row r="99" spans="1:115" ht="13">
      <c r="B99" s="294"/>
      <c r="F99" s="296"/>
      <c r="J99" s="302"/>
      <c r="P99" s="618"/>
      <c r="Q99" s="618"/>
      <c r="R99" s="618"/>
      <c r="T99" s="295"/>
      <c r="X99" s="618"/>
      <c r="AA99" s="295"/>
      <c r="AH99" s="295"/>
      <c r="AO99" s="295"/>
    </row>
    <row r="100" spans="1:115" ht="13">
      <c r="B100" s="294"/>
      <c r="F100" s="296"/>
      <c r="J100" s="302"/>
      <c r="M100" s="619" t="s">
        <v>227</v>
      </c>
      <c r="P100" s="618"/>
      <c r="Q100" s="618"/>
      <c r="R100" s="618"/>
      <c r="T100" s="295"/>
      <c r="X100" s="618"/>
      <c r="AA100" s="295"/>
      <c r="AH100" s="295"/>
      <c r="AO100" s="295"/>
      <c r="CC100" s="302" t="s">
        <v>1090</v>
      </c>
      <c r="CD100" s="302"/>
    </row>
    <row r="101" spans="1:115" ht="13">
      <c r="B101" s="294"/>
      <c r="F101" s="296"/>
      <c r="J101" s="302"/>
      <c r="M101" s="484" t="s">
        <v>228</v>
      </c>
      <c r="P101" s="618"/>
      <c r="Q101" s="618"/>
      <c r="R101" s="618"/>
      <c r="T101" s="295"/>
      <c r="X101" s="618"/>
      <c r="AA101" s="295"/>
      <c r="AH101" s="295"/>
      <c r="AO101" s="295"/>
    </row>
    <row r="102" spans="1:115" ht="13">
      <c r="B102" s="485" t="s">
        <v>486</v>
      </c>
      <c r="C102" s="772" t="s">
        <v>666</v>
      </c>
      <c r="F102" s="296"/>
      <c r="J102" s="302"/>
      <c r="P102" s="618"/>
      <c r="Q102" s="618"/>
      <c r="R102" s="618"/>
      <c r="T102" s="295"/>
      <c r="X102" s="618"/>
      <c r="AA102" s="295"/>
      <c r="AH102" s="295"/>
      <c r="AO102" s="295"/>
    </row>
    <row r="103" spans="1:115" ht="13">
      <c r="A103" s="773"/>
      <c r="B103" s="486" t="e">
        <f t="shared" ref="B103:B134" si="606">VLOOKUP(M103,ARRIOLACARTERA,2,FALSE)</f>
        <v>#N/A</v>
      </c>
      <c r="C103" s="774" t="str">
        <f t="shared" ref="C103:C134" si="607">IFERROR(VLOOKUP(B103,DES,2,FALSE),"")</f>
        <v/>
      </c>
      <c r="D103" s="774" t="str">
        <f t="shared" ref="D103:D134" si="608">IFERROR(VLOOKUP(B103,DES,3,FALSE),"")</f>
        <v/>
      </c>
      <c r="E103" s="1095" t="str">
        <f t="shared" ref="E103:E134" si="609">IFERROR(VLOOKUP(B103,DES,4,FALSE),"")</f>
        <v/>
      </c>
      <c r="F103" s="1096"/>
      <c r="G103" s="1095"/>
      <c r="H103" s="1095"/>
      <c r="I103" s="1097"/>
      <c r="J103" s="1098"/>
      <c r="K103" s="1095"/>
      <c r="L103" s="1095"/>
      <c r="M103" s="1099" t="s">
        <v>1091</v>
      </c>
      <c r="N103" s="321"/>
      <c r="O103" s="312"/>
      <c r="P103" s="777">
        <f t="shared" ref="P103:P146" si="610">R103-Q103</f>
        <v>0</v>
      </c>
      <c r="Q103" s="777">
        <f t="shared" ref="Q103:Q146" si="611">IFERROR(VLOOKUP(M103,ARRIOALIM,3,FALSE),"0")</f>
        <v>64119.61</v>
      </c>
      <c r="R103" s="777">
        <f t="shared" ref="R103:R146" si="612">IFERROR(VLOOKUP(M103,ARRIOFC,3,FALSE),"")</f>
        <v>64119.61</v>
      </c>
      <c r="S103" s="312">
        <f t="shared" ref="S103:S146" si="613">R103-O103</f>
        <v>64119.61</v>
      </c>
      <c r="T103" s="310" t="str">
        <f>IFERROR(R103/O103,"")</f>
        <v/>
      </c>
      <c r="U103" s="318">
        <f t="shared" ref="U103:U146" si="614">IFERROR(VLOOKUP(M103,ARRIOLA24,4,FALSE),"")</f>
        <v>52702.22</v>
      </c>
      <c r="V103" s="627">
        <f t="shared" ref="V103:V104" si="615">(U103*1.7245)*1.05</f>
        <v>95429.227309500013</v>
      </c>
      <c r="W103" s="319">
        <f t="shared" ref="W103:W146" si="616">Y103-X103</f>
        <v>0</v>
      </c>
      <c r="X103" s="777">
        <f t="shared" ref="X103:X146" si="617">IFERROR(VLOOKUP(M103,ARRIOALIM,4,FALSE),"0")</f>
        <v>79888.44</v>
      </c>
      <c r="Y103" s="320">
        <f t="shared" ref="Y103:Y146" si="618">IFERROR(VLOOKUP(M103,ARRIOFC,4,FALSE),"")</f>
        <v>79888.44</v>
      </c>
      <c r="Z103" s="321">
        <f t="shared" ref="Z103:Z114" si="619">Y103-V103</f>
        <v>-15540.78730950001</v>
      </c>
      <c r="AA103" s="628">
        <f>IFERROR(Y103/V103,"")</f>
        <v>0.83714855765207563</v>
      </c>
      <c r="AB103" s="321">
        <f t="shared" ref="AB103:AB146" si="620">IFERROR(VLOOKUP(M103,ARRIOLA24,5,FALSE),"")</f>
        <v>165208.82</v>
      </c>
      <c r="AC103" s="312">
        <f t="shared" ref="AC103:AC104" si="621">(AB103*1.5955)*1.03</f>
        <v>271498.39247929998</v>
      </c>
      <c r="AD103" s="312">
        <f t="shared" ref="AD103:AD146" si="622">AF103-AE103</f>
        <v>0</v>
      </c>
      <c r="AE103" s="312">
        <f t="shared" ref="AE103:AE146" si="623">IFERROR(VLOOKUP(M103,ARRIOALIM,5,FALSE),"0")</f>
        <v>0</v>
      </c>
      <c r="AF103" s="312">
        <f t="shared" ref="AF103:AF146" si="624">IFERROR(VLOOKUP(M103,ARRIOFC,5,FALSE),"")</f>
        <v>0</v>
      </c>
      <c r="AG103" s="312">
        <f t="shared" ref="AG103:AG146" si="625">AF103-AC103</f>
        <v>-271498.39247929998</v>
      </c>
      <c r="AH103" s="487">
        <f>IFERROR(AF103/AC103,"")</f>
        <v>0</v>
      </c>
      <c r="AI103" s="627">
        <f t="shared" ref="AI103:AI146" si="626">SUM(O103,V103,AC103)</f>
        <v>366927.61978880002</v>
      </c>
      <c r="AJ103" s="627">
        <f>IFERROR(VLOOKUP(M103,trim2024,2,FALSE),"0")</f>
        <v>214731.58</v>
      </c>
      <c r="AK103" s="312">
        <f t="shared" ref="AK103:AM103" si="627">SUM(P103,W103,AD103)</f>
        <v>0</v>
      </c>
      <c r="AL103" s="312">
        <f t="shared" si="627"/>
        <v>144008.04999999999</v>
      </c>
      <c r="AM103" s="312">
        <f t="shared" si="627"/>
        <v>144008.04999999999</v>
      </c>
      <c r="AN103" s="312">
        <f t="shared" ref="AN103:AN146" si="628">AM103-AI103</f>
        <v>-222919.56978880003</v>
      </c>
      <c r="AO103" s="310">
        <f>IFERROR(AM103/AI103,"")</f>
        <v>0.39246991023158634</v>
      </c>
      <c r="AP103" s="321"/>
      <c r="AQ103" s="1100">
        <f t="shared" ref="AQ103:AQ142" si="629">AS103-AR103</f>
        <v>0</v>
      </c>
      <c r="AR103" s="1101">
        <f t="shared" ref="AR103:AR146" si="630">IFERROR(VLOOKUP(M103,ARRIOALIM,6,FALSE),"0")</f>
        <v>0</v>
      </c>
      <c r="AS103" s="1102">
        <f t="shared" ref="AS103:AS146" si="631">IFERROR(VLOOKUP(M103,ARRIOFC,6,FALSE),"")</f>
        <v>0</v>
      </c>
      <c r="AT103" s="1103">
        <f t="shared" ref="AT103:AT146" si="632">IFERROR(VLOOKUP(M103,ARRIOLA24,7,FALSE),"")</f>
        <v>42210.41</v>
      </c>
      <c r="AU103" s="1100">
        <f t="shared" ref="AU103:AU146" si="633">AW103-AV103</f>
        <v>0</v>
      </c>
      <c r="AV103" s="313">
        <f t="shared" ref="AV103:AV146" si="634">IFERROR(VLOOKUP(M103,ARRIOALIM,7,FALSE),"0")</f>
        <v>0</v>
      </c>
      <c r="AW103" s="1104">
        <f t="shared" ref="AW103:AW146" si="635">IFERROR(VLOOKUP(M103,ARRIOFC,7,FALSE),"")</f>
        <v>0</v>
      </c>
      <c r="AX103" s="1105">
        <f t="shared" ref="AX103:AX112" si="636">IFERROR(VLOOKUP(M103,ARRIOLA24,8,FALSE),"")</f>
        <v>111902.18</v>
      </c>
      <c r="AY103" s="1105"/>
      <c r="AZ103" s="1105"/>
      <c r="BA103" s="1105"/>
      <c r="BB103" s="1105"/>
      <c r="BC103" s="1105"/>
      <c r="BD103" s="1105"/>
      <c r="BE103" s="1105"/>
      <c r="BF103" s="1105"/>
      <c r="BG103" s="1105"/>
      <c r="BH103" s="1106">
        <f t="shared" ref="BH103:BH112" si="637">IFERROR(VLOOKUP(M103,ARRIOLA24,9,FALSE),"")</f>
        <v>17000</v>
      </c>
      <c r="BI103" s="1107"/>
      <c r="BJ103" s="1108"/>
      <c r="BK103" s="1109"/>
      <c r="BL103" s="1105">
        <f t="shared" ref="BL103:BL112" si="638">IFERROR(VLOOKUP(M103,ARRIOLA24,10,FALSE),"")</f>
        <v>12257.53</v>
      </c>
      <c r="BM103" s="1108"/>
      <c r="BN103" s="1108"/>
      <c r="BO103" s="1108"/>
      <c r="BP103" s="1106">
        <f t="shared" ref="BP103:BP112" si="639">IFERROR(VLOOKUP(M103,ARRIOLA24,11,FALSE),"")</f>
        <v>254195.25</v>
      </c>
      <c r="BQ103" s="1107"/>
      <c r="BR103" s="1108"/>
      <c r="BS103" s="1109"/>
      <c r="BT103" s="1105"/>
      <c r="BU103" s="1108"/>
      <c r="BV103" s="1108"/>
      <c r="BW103" s="1106">
        <f t="shared" ref="BW103:BW139" si="640">IFERROR(VLOOKUP(M103,ARRIOLA24,12,FALSE),"")</f>
        <v>90215.18</v>
      </c>
      <c r="BX103" s="1107"/>
      <c r="BY103" s="1108"/>
      <c r="BZ103" s="1109"/>
      <c r="CA103" s="1110">
        <f t="shared" ref="CA103:CA139" si="641">IFERROR(VLOOKUP(M103,ARRIOLA24,13,FALSE),"")</f>
        <v>124516.4</v>
      </c>
      <c r="CB103" s="1111">
        <f t="shared" ref="CB103:CB139" si="642">IFERROR(VLOOKUP(M103,ARRIOLA24,14,FALSE),"")</f>
        <v>0</v>
      </c>
    </row>
    <row r="104" spans="1:115" ht="13">
      <c r="A104" s="436" t="e">
        <f t="shared" ref="A104:A134" si="643">VLOOKUP(M104,ARRCART4,3,FALSE)</f>
        <v>#N/A</v>
      </c>
      <c r="B104" s="93">
        <f t="shared" si="606"/>
        <v>10</v>
      </c>
      <c r="C104" s="558">
        <f t="shared" si="607"/>
        <v>0.15</v>
      </c>
      <c r="D104" s="558">
        <f t="shared" si="608"/>
        <v>0.23</v>
      </c>
      <c r="E104" s="715">
        <f t="shared" si="609"/>
        <v>0</v>
      </c>
      <c r="F104" s="701">
        <f t="shared" ref="F104:F134" si="644">VLOOKUP(M104,ARRIOLCART2,2,FALSE)</f>
        <v>10</v>
      </c>
      <c r="G104" s="700">
        <f t="shared" ref="G104:G134" si="645">IFERROR(VLOOKUP(F104,DES,2,FALSE),"")</f>
        <v>0.15</v>
      </c>
      <c r="H104" s="700">
        <f t="shared" ref="H104:H134" si="646">IFERROR(VLOOKUP(F104,DES,3,FALSE),"")</f>
        <v>0.23</v>
      </c>
      <c r="I104" s="702">
        <f t="shared" ref="I104:I134" si="647">IFERROR(VLOOKUP(F104,DES,4,FALSE),"")</f>
        <v>0</v>
      </c>
      <c r="J104" s="837">
        <f t="shared" ref="J104:J134" si="648">VLOOKUP(M104,CART.ARR.3,2,FALSE)</f>
        <v>53</v>
      </c>
      <c r="K104" s="699">
        <f t="shared" ref="K104:K134" si="649">VLOOKUP(J104,A458DC1025,2,FALSE)</f>
        <v>0.15</v>
      </c>
      <c r="L104" s="1040">
        <f t="shared" ref="L104:L134" si="650">VLOOKUP(J104,A458DC1025,3,FALSE)</f>
        <v>0.14000000000000001</v>
      </c>
      <c r="M104" s="498" t="s">
        <v>842</v>
      </c>
      <c r="N104" s="123">
        <f t="shared" ref="N104:N112" si="651">IFERROR(VLOOKUP(M104,ARRIOLA24,3,FALSE),"")</f>
        <v>3162266.68</v>
      </c>
      <c r="O104" s="326">
        <f>(N104*1.601)*1.05</f>
        <v>5315928.4024140006</v>
      </c>
      <c r="P104" s="704">
        <f t="shared" si="610"/>
        <v>0</v>
      </c>
      <c r="Q104" s="704">
        <f t="shared" si="611"/>
        <v>4805734.8600000003</v>
      </c>
      <c r="R104" s="704">
        <f t="shared" si="612"/>
        <v>4805734.8600000003</v>
      </c>
      <c r="S104" s="326">
        <f t="shared" si="613"/>
        <v>-510193.54241400026</v>
      </c>
      <c r="T104" s="137">
        <f t="shared" ref="T104:T108" si="652">R104/O104</f>
        <v>0.90402550527536873</v>
      </c>
      <c r="U104" s="332">
        <f t="shared" si="614"/>
        <v>3079492.4</v>
      </c>
      <c r="V104" s="141">
        <f t="shared" si="615"/>
        <v>5576113.8759899996</v>
      </c>
      <c r="W104" s="113">
        <f t="shared" si="616"/>
        <v>347647.16000000015</v>
      </c>
      <c r="X104" s="704">
        <f t="shared" si="617"/>
        <v>3555859.11</v>
      </c>
      <c r="Y104" s="117">
        <f t="shared" si="618"/>
        <v>3903506.27</v>
      </c>
      <c r="Z104" s="123">
        <f t="shared" si="619"/>
        <v>-1672607.6059899996</v>
      </c>
      <c r="AA104" s="98">
        <f t="shared" ref="AA104:AA108" si="653">Y104/V104</f>
        <v>0.70004062987450377</v>
      </c>
      <c r="AB104" s="123">
        <f t="shared" si="620"/>
        <v>2808995.14</v>
      </c>
      <c r="AC104" s="326">
        <f t="shared" si="621"/>
        <v>4616204.2982460996</v>
      </c>
      <c r="AD104" s="326">
        <f t="shared" si="622"/>
        <v>1662203.0699999998</v>
      </c>
      <c r="AE104" s="326">
        <f t="shared" si="623"/>
        <v>3288328.78</v>
      </c>
      <c r="AF104" s="326">
        <f t="shared" si="624"/>
        <v>4950531.8499999996</v>
      </c>
      <c r="AG104" s="326">
        <f t="shared" si="625"/>
        <v>334327.55175390001</v>
      </c>
      <c r="AH104" s="494">
        <f t="shared" ref="AH104:AH108" si="654">AF104/AC104</f>
        <v>1.0724247737217623</v>
      </c>
      <c r="AI104" s="141">
        <f t="shared" si="626"/>
        <v>15508246.576650102</v>
      </c>
      <c r="AJ104" s="416">
        <f>VLOOKUP(M104,trim2024,2,FALSE)</f>
        <v>9786612.4700000007</v>
      </c>
      <c r="AK104" s="326">
        <f t="shared" ref="AK104:AM104" si="655">SUM(P104,W104,AD104)</f>
        <v>2009850.23</v>
      </c>
      <c r="AL104" s="326">
        <f t="shared" si="655"/>
        <v>11649922.75</v>
      </c>
      <c r="AM104" s="326">
        <f t="shared" si="655"/>
        <v>13659772.98</v>
      </c>
      <c r="AN104" s="326">
        <f t="shared" si="628"/>
        <v>-1848473.5966501012</v>
      </c>
      <c r="AO104" s="98">
        <f t="shared" ref="AO104:AO105" si="656">AM104/AI104</f>
        <v>0.88080705400743087</v>
      </c>
      <c r="AP104" s="125">
        <f t="shared" ref="AP104:AP112" si="657">IFERROR(VLOOKUP(M104,ARRIOLA24,6,FALSE),"")</f>
        <v>2754921.72</v>
      </c>
      <c r="AQ104" s="140">
        <f t="shared" si="629"/>
        <v>0</v>
      </c>
      <c r="AR104" s="123">
        <f t="shared" si="630"/>
        <v>5876612.6699999999</v>
      </c>
      <c r="AS104" s="148">
        <f t="shared" si="631"/>
        <v>5876612.6699999999</v>
      </c>
      <c r="AT104" s="125">
        <f t="shared" si="632"/>
        <v>715413.88</v>
      </c>
      <c r="AU104" s="140">
        <f t="shared" si="633"/>
        <v>0</v>
      </c>
      <c r="AV104" s="326">
        <f t="shared" si="634"/>
        <v>4643911.58</v>
      </c>
      <c r="AW104" s="333">
        <f t="shared" si="635"/>
        <v>4643911.58</v>
      </c>
      <c r="AX104" s="125">
        <f t="shared" si="636"/>
        <v>659883.61</v>
      </c>
      <c r="AY104" s="1041">
        <f t="shared" ref="AY104:AY134" si="658">BA104-AZ104</f>
        <v>187313.26000000024</v>
      </c>
      <c r="AZ104" s="123">
        <f t="shared" ref="AZ104:AZ134" si="659">IFERROR(VLOOKUP(M104,ARRIOALIM,8,FALSE),"0")</f>
        <v>3962196.01</v>
      </c>
      <c r="BA104" s="125">
        <f t="shared" ref="BA104:BA134" si="660">IFERROR(VLOOKUP(M104,ARRIOFC,8,FALSE),"")</f>
        <v>4149509.27</v>
      </c>
      <c r="BB104" s="122">
        <f t="shared" ref="BB104:BD104" si="661">SUM(AY104,AU104,AQ104)</f>
        <v>187313.26000000024</v>
      </c>
      <c r="BC104" s="326">
        <f t="shared" si="661"/>
        <v>14482720.26</v>
      </c>
      <c r="BD104" s="333">
        <f t="shared" si="661"/>
        <v>14670033.52</v>
      </c>
      <c r="BE104" s="123">
        <f t="shared" ref="BE104:BE134" si="662">BD104+AK104</f>
        <v>16679883.75</v>
      </c>
      <c r="BF104" s="326">
        <f t="shared" ref="BF104:BG104" si="663">BC104+AL104</f>
        <v>26132643.009999998</v>
      </c>
      <c r="BG104" s="435">
        <f t="shared" si="663"/>
        <v>28329806.5</v>
      </c>
      <c r="BH104" s="125">
        <f t="shared" si="637"/>
        <v>3187952.15</v>
      </c>
      <c r="BI104" s="140">
        <f t="shared" ref="BI104:BI134" si="664">BK104-BJ104</f>
        <v>0</v>
      </c>
      <c r="BJ104" s="326">
        <f t="shared" ref="BJ104:BJ134" si="665">IFERROR(VLOOKUP(M104,ARRIOALIM,9,FALSE),"0")</f>
        <v>8477638.5800000001</v>
      </c>
      <c r="BK104" s="1112">
        <f t="shared" ref="BK104:BK134" si="666">IFERROR(VLOOKUP(M104,ARRIOFC,9,FALSE),"")</f>
        <v>8477638.5800000001</v>
      </c>
      <c r="BL104" s="125">
        <f t="shared" si="638"/>
        <v>5558423.4299999997</v>
      </c>
      <c r="BM104" s="141">
        <f t="shared" ref="BM104:BM134" si="667">BO104-BN104</f>
        <v>0</v>
      </c>
      <c r="BN104" s="332">
        <f t="shared" ref="BN104:BN134" si="668">IFERROR(VLOOKUP(M104,ARRIOALIM,10,FALSE),"0")</f>
        <v>5437882.9000000004</v>
      </c>
      <c r="BO104" s="333">
        <f t="shared" ref="BO104:BO134" si="669">IFERROR(VLOOKUP(M104,ARRIOFC,10,FALSE),"")</f>
        <v>5437882.9000000004</v>
      </c>
      <c r="BP104" s="125">
        <f t="shared" si="639"/>
        <v>3366433.05</v>
      </c>
      <c r="BQ104" s="140">
        <f t="shared" ref="BQ104:BQ134" si="670">BS104-BR104</f>
        <v>906534.81999999983</v>
      </c>
      <c r="BR104" s="123">
        <f t="shared" ref="BR104:BR134" si="671">IFERROR(VLOOKUP(M104,ARRIOALIM,11,FALSE),"0")</f>
        <v>1637202.04</v>
      </c>
      <c r="BS104" s="148">
        <f t="shared" ref="BS104:BS134" si="672">IFERROR(VLOOKUP(M104,ARRIOFC,11,FALSE),"")</f>
        <v>2543736.86</v>
      </c>
      <c r="BT104" s="140">
        <f t="shared" ref="BT104:BV104" si="673">SUM(BQ104,BM104,BI104)</f>
        <v>906534.81999999983</v>
      </c>
      <c r="BU104" s="123">
        <f t="shared" si="673"/>
        <v>15552723.52</v>
      </c>
      <c r="BV104" s="148">
        <f t="shared" si="673"/>
        <v>16459258.34</v>
      </c>
      <c r="BW104" s="125">
        <f t="shared" si="640"/>
        <v>3323322.08</v>
      </c>
      <c r="BX104" s="140">
        <f t="shared" ref="BX104:BX134" si="674">BZ104-BY104</f>
        <v>1412105.2399999993</v>
      </c>
      <c r="BY104" s="123">
        <f t="shared" ref="BY104:BY134" si="675">IFERROR(VLOOKUP(M104,ARRIOALIM,12,FALSE),"0")</f>
        <v>4851325.78</v>
      </c>
      <c r="BZ104" s="148">
        <f t="shared" ref="BZ104:BZ134" si="676">IFERROR(VLOOKUP(M104,ARRIOFC,12,FALSE),"")</f>
        <v>6263431.0199999996</v>
      </c>
      <c r="CA104" s="123">
        <f t="shared" si="641"/>
        <v>331749.45</v>
      </c>
      <c r="CB104" s="326">
        <f t="shared" si="642"/>
        <v>6131540.9400000004</v>
      </c>
      <c r="CQ104" s="136"/>
      <c r="CR104" s="136"/>
      <c r="CS104" s="136"/>
      <c r="CT104" s="136"/>
      <c r="CU104" s="136"/>
      <c r="CV104" s="136"/>
      <c r="CW104" s="136"/>
      <c r="CX104" s="136"/>
      <c r="CY104" s="136"/>
      <c r="CZ104" s="136"/>
      <c r="DA104" s="136"/>
      <c r="DB104" s="136"/>
      <c r="DC104" s="136"/>
      <c r="DD104" s="136"/>
      <c r="DE104" s="136"/>
      <c r="DF104" s="136"/>
      <c r="DG104" s="136"/>
      <c r="DH104" s="136"/>
      <c r="DI104" s="136"/>
      <c r="DJ104" s="136"/>
      <c r="DK104" s="136"/>
    </row>
    <row r="105" spans="1:115" ht="13">
      <c r="A105" s="436" t="e">
        <f t="shared" si="643"/>
        <v>#N/A</v>
      </c>
      <c r="B105" s="93">
        <f t="shared" si="606"/>
        <v>10</v>
      </c>
      <c r="C105" s="558">
        <f t="shared" si="607"/>
        <v>0.15</v>
      </c>
      <c r="D105" s="558">
        <f t="shared" si="608"/>
        <v>0.23</v>
      </c>
      <c r="E105" s="715">
        <f t="shared" si="609"/>
        <v>0</v>
      </c>
      <c r="F105" s="701">
        <f t="shared" si="644"/>
        <v>10</v>
      </c>
      <c r="G105" s="700">
        <f t="shared" si="645"/>
        <v>0.15</v>
      </c>
      <c r="H105" s="700">
        <f t="shared" si="646"/>
        <v>0.23</v>
      </c>
      <c r="I105" s="702">
        <f t="shared" si="647"/>
        <v>0</v>
      </c>
      <c r="J105" s="837">
        <f t="shared" si="648"/>
        <v>53</v>
      </c>
      <c r="K105" s="699">
        <f t="shared" si="649"/>
        <v>0.15</v>
      </c>
      <c r="L105" s="1040">
        <f t="shared" si="650"/>
        <v>0.14000000000000001</v>
      </c>
      <c r="M105" s="498" t="s">
        <v>843</v>
      </c>
      <c r="N105" s="123">
        <f t="shared" si="651"/>
        <v>0</v>
      </c>
      <c r="O105" s="561">
        <v>3000000</v>
      </c>
      <c r="P105" s="704">
        <f t="shared" si="610"/>
        <v>111638.91999999998</v>
      </c>
      <c r="Q105" s="704">
        <f t="shared" si="611"/>
        <v>163482.37</v>
      </c>
      <c r="R105" s="704">
        <f t="shared" si="612"/>
        <v>275121.28999999998</v>
      </c>
      <c r="S105" s="326">
        <f t="shared" si="613"/>
        <v>-2724878.71</v>
      </c>
      <c r="T105" s="137">
        <f t="shared" si="652"/>
        <v>9.1707096666666654E-2</v>
      </c>
      <c r="U105" s="332">
        <f t="shared" si="614"/>
        <v>0</v>
      </c>
      <c r="V105" s="141">
        <v>3000000</v>
      </c>
      <c r="W105" s="113">
        <f t="shared" si="616"/>
        <v>149731</v>
      </c>
      <c r="X105" s="704">
        <f t="shared" si="617"/>
        <v>135567.74</v>
      </c>
      <c r="Y105" s="117">
        <f t="shared" si="618"/>
        <v>285298.74</v>
      </c>
      <c r="Z105" s="123">
        <f t="shared" si="619"/>
        <v>-2714701.26</v>
      </c>
      <c r="AA105" s="98">
        <f t="shared" si="653"/>
        <v>9.5099580000000003E-2</v>
      </c>
      <c r="AB105" s="123">
        <f t="shared" si="620"/>
        <v>0</v>
      </c>
      <c r="AC105" s="326">
        <v>3000000</v>
      </c>
      <c r="AD105" s="326">
        <f t="shared" si="622"/>
        <v>64376.140000000014</v>
      </c>
      <c r="AE105" s="326">
        <f t="shared" si="623"/>
        <v>323328.82</v>
      </c>
      <c r="AF105" s="326">
        <f t="shared" si="624"/>
        <v>387704.96</v>
      </c>
      <c r="AG105" s="326">
        <f t="shared" si="625"/>
        <v>-2612295.04</v>
      </c>
      <c r="AH105" s="494">
        <f t="shared" si="654"/>
        <v>0.12923498666666666</v>
      </c>
      <c r="AI105" s="141">
        <f t="shared" si="626"/>
        <v>9000000</v>
      </c>
      <c r="AJ105" s="416">
        <f>VLOOKUP(M105,trim2024,2,FALSE)</f>
        <v>861100.14</v>
      </c>
      <c r="AK105" s="326">
        <f t="shared" ref="AK105:AM105" si="677">SUM(P105,W105,AD105)</f>
        <v>325746.06</v>
      </c>
      <c r="AL105" s="326">
        <f t="shared" si="677"/>
        <v>622378.92999999993</v>
      </c>
      <c r="AM105" s="326">
        <f t="shared" si="677"/>
        <v>948124.99</v>
      </c>
      <c r="AN105" s="326">
        <f t="shared" si="628"/>
        <v>-8051875.0099999998</v>
      </c>
      <c r="AO105" s="98">
        <f t="shared" si="656"/>
        <v>0.10534722111111111</v>
      </c>
      <c r="AP105" s="125">
        <f t="shared" si="657"/>
        <v>121177.41</v>
      </c>
      <c r="AQ105" s="140">
        <f t="shared" si="629"/>
        <v>94481.63</v>
      </c>
      <c r="AR105" s="123">
        <f t="shared" si="630"/>
        <v>377216.92</v>
      </c>
      <c r="AS105" s="148">
        <f t="shared" si="631"/>
        <v>471698.55</v>
      </c>
      <c r="AT105" s="125">
        <f t="shared" si="632"/>
        <v>0</v>
      </c>
      <c r="AU105" s="140">
        <f t="shared" si="633"/>
        <v>202980.09999999998</v>
      </c>
      <c r="AV105" s="326">
        <f t="shared" si="634"/>
        <v>169235.82</v>
      </c>
      <c r="AW105" s="333">
        <f t="shared" si="635"/>
        <v>372215.92</v>
      </c>
      <c r="AX105" s="125">
        <f t="shared" si="636"/>
        <v>218999.03</v>
      </c>
      <c r="AY105" s="1041">
        <f t="shared" si="658"/>
        <v>103244.44</v>
      </c>
      <c r="AZ105" s="123">
        <f t="shared" si="659"/>
        <v>270630.05</v>
      </c>
      <c r="BA105" s="125">
        <f t="shared" si="660"/>
        <v>373874.49</v>
      </c>
      <c r="BB105" s="122">
        <f t="shared" ref="BB105:BD105" si="678">SUM(AY105,AU105,AQ105)</f>
        <v>400706.17</v>
      </c>
      <c r="BC105" s="326">
        <f t="shared" si="678"/>
        <v>817082.79</v>
      </c>
      <c r="BD105" s="333">
        <f t="shared" si="678"/>
        <v>1217788.96</v>
      </c>
      <c r="BE105" s="123">
        <f t="shared" si="662"/>
        <v>1543535.02</v>
      </c>
      <c r="BF105" s="326">
        <f t="shared" ref="BF105:BG105" si="679">BC105+AL105</f>
        <v>1439461.72</v>
      </c>
      <c r="BG105" s="435">
        <f t="shared" si="679"/>
        <v>2165913.9500000002</v>
      </c>
      <c r="BH105" s="125">
        <f t="shared" si="637"/>
        <v>262494.96000000002</v>
      </c>
      <c r="BI105" s="140">
        <f t="shared" si="664"/>
        <v>94795.520000000019</v>
      </c>
      <c r="BJ105" s="326">
        <f t="shared" si="665"/>
        <v>286284.06</v>
      </c>
      <c r="BK105" s="333">
        <f t="shared" si="666"/>
        <v>381079.58</v>
      </c>
      <c r="BL105" s="125">
        <f t="shared" si="638"/>
        <v>188708.22</v>
      </c>
      <c r="BM105" s="141">
        <f t="shared" si="667"/>
        <v>128709.23999999999</v>
      </c>
      <c r="BN105" s="332">
        <f t="shared" si="668"/>
        <v>333841.77</v>
      </c>
      <c r="BO105" s="333">
        <f t="shared" si="669"/>
        <v>462551.01</v>
      </c>
      <c r="BP105" s="125">
        <f t="shared" si="639"/>
        <v>18084.599999999999</v>
      </c>
      <c r="BQ105" s="140">
        <f t="shared" si="670"/>
        <v>162704.75</v>
      </c>
      <c r="BR105" s="123">
        <f t="shared" si="671"/>
        <v>242865.82</v>
      </c>
      <c r="BS105" s="148">
        <f t="shared" si="672"/>
        <v>405570.57</v>
      </c>
      <c r="BT105" s="140">
        <f t="shared" ref="BT105:BV105" si="680">SUM(BQ105,BM105,BI105)</f>
        <v>386209.51</v>
      </c>
      <c r="BU105" s="123">
        <f t="shared" si="680"/>
        <v>862991.65000000014</v>
      </c>
      <c r="BV105" s="148">
        <f t="shared" si="680"/>
        <v>1249201.1600000001</v>
      </c>
      <c r="BW105" s="125">
        <f t="shared" si="640"/>
        <v>339829.52</v>
      </c>
      <c r="BX105" s="140">
        <f t="shared" si="674"/>
        <v>454545.8</v>
      </c>
      <c r="BY105" s="123">
        <f t="shared" si="675"/>
        <v>336939.68</v>
      </c>
      <c r="BZ105" s="148">
        <f t="shared" si="676"/>
        <v>791485.48</v>
      </c>
      <c r="CA105" s="123">
        <f t="shared" si="641"/>
        <v>124781.05</v>
      </c>
      <c r="CB105" s="326">
        <f t="shared" si="642"/>
        <v>396489.57</v>
      </c>
      <c r="CQ105" s="136"/>
      <c r="CR105" s="136"/>
      <c r="CS105" s="136"/>
      <c r="CT105" s="136"/>
      <c r="CU105" s="136"/>
      <c r="CV105" s="136"/>
      <c r="CW105" s="136"/>
      <c r="CX105" s="136"/>
      <c r="CY105" s="136"/>
      <c r="CZ105" s="136"/>
      <c r="DA105" s="136"/>
      <c r="DB105" s="136"/>
      <c r="DC105" s="136"/>
      <c r="DD105" s="136"/>
      <c r="DE105" s="136"/>
      <c r="DF105" s="136"/>
      <c r="DG105" s="136"/>
      <c r="DH105" s="136"/>
      <c r="DI105" s="136"/>
      <c r="DJ105" s="136"/>
      <c r="DK105" s="136"/>
    </row>
    <row r="106" spans="1:115" ht="13">
      <c r="A106" s="422" t="e">
        <f t="shared" si="643"/>
        <v>#N/A</v>
      </c>
      <c r="B106" s="93">
        <f t="shared" si="606"/>
        <v>12</v>
      </c>
      <c r="C106" s="558">
        <f t="shared" si="607"/>
        <v>0.15</v>
      </c>
      <c r="D106" s="558">
        <f t="shared" si="608"/>
        <v>0.09</v>
      </c>
      <c r="E106" s="715">
        <f t="shared" si="609"/>
        <v>0</v>
      </c>
      <c r="F106" s="701">
        <f t="shared" si="644"/>
        <v>22</v>
      </c>
      <c r="G106" s="700">
        <f t="shared" si="645"/>
        <v>0.1</v>
      </c>
      <c r="H106" s="700">
        <f t="shared" si="646"/>
        <v>0.09</v>
      </c>
      <c r="I106" s="702">
        <f t="shared" si="647"/>
        <v>0</v>
      </c>
      <c r="J106" s="837">
        <f t="shared" si="648"/>
        <v>63</v>
      </c>
      <c r="K106" s="699">
        <f t="shared" si="649"/>
        <v>0.1</v>
      </c>
      <c r="L106" s="1040">
        <f t="shared" si="650"/>
        <v>0.05</v>
      </c>
      <c r="M106" s="498" t="s">
        <v>1092</v>
      </c>
      <c r="N106" s="123">
        <f t="shared" si="651"/>
        <v>295293.77</v>
      </c>
      <c r="O106" s="561">
        <v>3000000</v>
      </c>
      <c r="P106" s="704">
        <f t="shared" si="610"/>
        <v>0</v>
      </c>
      <c r="Q106" s="704" t="str">
        <f t="shared" si="611"/>
        <v>0</v>
      </c>
      <c r="R106" s="704">
        <f t="shared" si="612"/>
        <v>0</v>
      </c>
      <c r="S106" s="326">
        <f t="shared" si="613"/>
        <v>-3000000</v>
      </c>
      <c r="T106" s="137">
        <f t="shared" si="652"/>
        <v>0</v>
      </c>
      <c r="U106" s="332">
        <f t="shared" si="614"/>
        <v>0</v>
      </c>
      <c r="V106" s="141">
        <v>3000000</v>
      </c>
      <c r="W106" s="113">
        <f t="shared" si="616"/>
        <v>0</v>
      </c>
      <c r="X106" s="704" t="str">
        <f t="shared" si="617"/>
        <v>0</v>
      </c>
      <c r="Y106" s="117">
        <f t="shared" si="618"/>
        <v>0</v>
      </c>
      <c r="Z106" s="123">
        <f t="shared" si="619"/>
        <v>-3000000</v>
      </c>
      <c r="AA106" s="98">
        <f t="shared" si="653"/>
        <v>0</v>
      </c>
      <c r="AB106" s="123">
        <f t="shared" si="620"/>
        <v>0</v>
      </c>
      <c r="AC106" s="326">
        <v>3000000</v>
      </c>
      <c r="AD106" s="326">
        <f t="shared" si="622"/>
        <v>0</v>
      </c>
      <c r="AE106" s="326" t="str">
        <f t="shared" si="623"/>
        <v>0</v>
      </c>
      <c r="AF106" s="326">
        <f t="shared" si="624"/>
        <v>0</v>
      </c>
      <c r="AG106" s="326">
        <f t="shared" si="625"/>
        <v>-3000000</v>
      </c>
      <c r="AH106" s="494">
        <f t="shared" si="654"/>
        <v>0</v>
      </c>
      <c r="AI106" s="141">
        <f t="shared" si="626"/>
        <v>9000000</v>
      </c>
      <c r="AJ106" s="416">
        <f>VLOOKUP(M106,trim2024,2,FALSE)</f>
        <v>1164612.95</v>
      </c>
      <c r="AK106" s="326">
        <f t="shared" ref="AK106:AM106" si="681">SUM(P106,W106,AD106)</f>
        <v>0</v>
      </c>
      <c r="AL106" s="326">
        <f t="shared" si="681"/>
        <v>0</v>
      </c>
      <c r="AM106" s="326">
        <f t="shared" si="681"/>
        <v>0</v>
      </c>
      <c r="AN106" s="326">
        <f t="shared" si="628"/>
        <v>-9000000</v>
      </c>
      <c r="AO106" s="98">
        <f>IFERROR(AM106/AI106,"")</f>
        <v>0</v>
      </c>
      <c r="AP106" s="125">
        <f t="shared" si="657"/>
        <v>83357.61</v>
      </c>
      <c r="AQ106" s="140">
        <f t="shared" si="629"/>
        <v>0</v>
      </c>
      <c r="AR106" s="123" t="str">
        <f t="shared" si="630"/>
        <v>0</v>
      </c>
      <c r="AS106" s="148">
        <f t="shared" si="631"/>
        <v>0</v>
      </c>
      <c r="AT106" s="125">
        <f t="shared" si="632"/>
        <v>104968.85</v>
      </c>
      <c r="AU106" s="140">
        <f t="shared" si="633"/>
        <v>0</v>
      </c>
      <c r="AV106" s="326" t="str">
        <f t="shared" si="634"/>
        <v>0</v>
      </c>
      <c r="AW106" s="333">
        <f t="shared" si="635"/>
        <v>0</v>
      </c>
      <c r="AX106" s="125">
        <f t="shared" si="636"/>
        <v>0</v>
      </c>
      <c r="AY106" s="1041">
        <f t="shared" si="658"/>
        <v>0</v>
      </c>
      <c r="AZ106" s="123" t="str">
        <f t="shared" si="659"/>
        <v>0</v>
      </c>
      <c r="BA106" s="125">
        <f t="shared" si="660"/>
        <v>0</v>
      </c>
      <c r="BB106" s="122">
        <f t="shared" ref="BB106:BD106" si="682">SUM(AY106,AU106,AQ106)</f>
        <v>0</v>
      </c>
      <c r="BC106" s="326">
        <f t="shared" si="682"/>
        <v>0</v>
      </c>
      <c r="BD106" s="333">
        <f t="shared" si="682"/>
        <v>0</v>
      </c>
      <c r="BE106" s="123">
        <f t="shared" si="662"/>
        <v>0</v>
      </c>
      <c r="BF106" s="326">
        <f t="shared" ref="BF106:BG106" si="683">BC106+AL106</f>
        <v>0</v>
      </c>
      <c r="BG106" s="435">
        <f t="shared" si="683"/>
        <v>0</v>
      </c>
      <c r="BH106" s="125">
        <f t="shared" si="637"/>
        <v>0</v>
      </c>
      <c r="BI106" s="140">
        <f t="shared" si="664"/>
        <v>0</v>
      </c>
      <c r="BJ106" s="326" t="str">
        <f t="shared" si="665"/>
        <v>0</v>
      </c>
      <c r="BK106" s="333">
        <f t="shared" si="666"/>
        <v>0</v>
      </c>
      <c r="BL106" s="125">
        <f t="shared" si="638"/>
        <v>0</v>
      </c>
      <c r="BM106" s="141">
        <f t="shared" si="667"/>
        <v>0</v>
      </c>
      <c r="BN106" s="332" t="str">
        <f t="shared" si="668"/>
        <v>0</v>
      </c>
      <c r="BO106" s="333">
        <f t="shared" si="669"/>
        <v>0</v>
      </c>
      <c r="BP106" s="125">
        <f t="shared" si="639"/>
        <v>0</v>
      </c>
      <c r="BQ106" s="140">
        <f t="shared" si="670"/>
        <v>837136.12</v>
      </c>
      <c r="BR106" s="123" t="str">
        <f t="shared" si="671"/>
        <v>0</v>
      </c>
      <c r="BS106" s="148">
        <f t="shared" si="672"/>
        <v>837136.12</v>
      </c>
      <c r="BT106" s="140">
        <f t="shared" ref="BT106:BV106" si="684">SUM(BQ106,BM106,BI106)</f>
        <v>837136.12</v>
      </c>
      <c r="BU106" s="123">
        <f t="shared" si="684"/>
        <v>0</v>
      </c>
      <c r="BV106" s="148">
        <f t="shared" si="684"/>
        <v>837136.12</v>
      </c>
      <c r="BW106" s="125">
        <f t="shared" si="640"/>
        <v>0</v>
      </c>
      <c r="BX106" s="140">
        <f t="shared" si="674"/>
        <v>0</v>
      </c>
      <c r="BY106" s="123" t="str">
        <f t="shared" si="675"/>
        <v>0</v>
      </c>
      <c r="BZ106" s="148">
        <f t="shared" si="676"/>
        <v>0</v>
      </c>
      <c r="CA106" s="123">
        <f t="shared" si="641"/>
        <v>0</v>
      </c>
      <c r="CB106" s="326">
        <f t="shared" si="642"/>
        <v>1164612.95</v>
      </c>
    </row>
    <row r="107" spans="1:115" ht="13">
      <c r="A107" s="422" t="e">
        <f t="shared" si="643"/>
        <v>#N/A</v>
      </c>
      <c r="B107" s="93">
        <f t="shared" si="606"/>
        <v>22</v>
      </c>
      <c r="C107" s="558">
        <f t="shared" si="607"/>
        <v>0.1</v>
      </c>
      <c r="D107" s="558">
        <f t="shared" si="608"/>
        <v>0.09</v>
      </c>
      <c r="E107" s="715">
        <f t="shared" si="609"/>
        <v>0</v>
      </c>
      <c r="F107" s="701">
        <f t="shared" si="644"/>
        <v>1</v>
      </c>
      <c r="G107" s="700" t="str">
        <f t="shared" si="645"/>
        <v>Lista</v>
      </c>
      <c r="H107" s="700">
        <f t="shared" si="646"/>
        <v>0.09</v>
      </c>
      <c r="I107" s="702">
        <f t="shared" si="647"/>
        <v>0</v>
      </c>
      <c r="J107" s="837">
        <f t="shared" si="648"/>
        <v>71</v>
      </c>
      <c r="K107" s="699" t="str">
        <f t="shared" si="649"/>
        <v>Lista</v>
      </c>
      <c r="L107" s="1040">
        <f t="shared" si="650"/>
        <v>0.05</v>
      </c>
      <c r="M107" s="498" t="s">
        <v>869</v>
      </c>
      <c r="N107" s="123">
        <f t="shared" si="651"/>
        <v>336261.8</v>
      </c>
      <c r="O107" s="326">
        <v>1800000</v>
      </c>
      <c r="P107" s="704">
        <f t="shared" si="610"/>
        <v>516018.46</v>
      </c>
      <c r="Q107" s="704">
        <f t="shared" si="611"/>
        <v>0</v>
      </c>
      <c r="R107" s="704">
        <f t="shared" si="612"/>
        <v>516018.46</v>
      </c>
      <c r="S107" s="326">
        <f t="shared" si="613"/>
        <v>-1283981.54</v>
      </c>
      <c r="T107" s="137">
        <f t="shared" si="652"/>
        <v>0.28667692222222224</v>
      </c>
      <c r="U107" s="332">
        <f t="shared" si="614"/>
        <v>222596.6</v>
      </c>
      <c r="V107" s="141">
        <v>1800000</v>
      </c>
      <c r="W107" s="113">
        <f t="shared" si="616"/>
        <v>0</v>
      </c>
      <c r="X107" s="704">
        <f t="shared" si="617"/>
        <v>0</v>
      </c>
      <c r="Y107" s="117">
        <f t="shared" si="618"/>
        <v>0</v>
      </c>
      <c r="Z107" s="123">
        <f t="shared" si="619"/>
        <v>-1800000</v>
      </c>
      <c r="AA107" s="98">
        <f t="shared" si="653"/>
        <v>0</v>
      </c>
      <c r="AB107" s="123">
        <f t="shared" si="620"/>
        <v>110979.63</v>
      </c>
      <c r="AC107" s="326">
        <v>1800000</v>
      </c>
      <c r="AD107" s="326">
        <f t="shared" si="622"/>
        <v>0</v>
      </c>
      <c r="AE107" s="326">
        <f t="shared" si="623"/>
        <v>0</v>
      </c>
      <c r="AF107" s="326">
        <f t="shared" si="624"/>
        <v>0</v>
      </c>
      <c r="AG107" s="326">
        <f t="shared" si="625"/>
        <v>-1800000</v>
      </c>
      <c r="AH107" s="494">
        <f t="shared" si="654"/>
        <v>0</v>
      </c>
      <c r="AI107" s="141">
        <f t="shared" si="626"/>
        <v>5400000</v>
      </c>
      <c r="AJ107" s="416">
        <f t="shared" ref="AJ107:AJ132" si="685">IFERROR(VLOOKUP(M107,trim2024,2,FALSE),"0")</f>
        <v>1171361.95</v>
      </c>
      <c r="AK107" s="326">
        <f t="shared" ref="AK107:AM107" si="686">SUM(P107,W107,AD107)</f>
        <v>516018.46</v>
      </c>
      <c r="AL107" s="326">
        <f t="shared" si="686"/>
        <v>0</v>
      </c>
      <c r="AM107" s="326">
        <f t="shared" si="686"/>
        <v>516018.46</v>
      </c>
      <c r="AN107" s="326">
        <f t="shared" si="628"/>
        <v>-4883981.54</v>
      </c>
      <c r="AO107" s="98">
        <f t="shared" ref="AO107:AO108" si="687">AM107/AI107</f>
        <v>9.5558974074074071E-2</v>
      </c>
      <c r="AP107" s="125">
        <f t="shared" si="657"/>
        <v>265314.62</v>
      </c>
      <c r="AQ107" s="140">
        <f t="shared" si="629"/>
        <v>225867.6</v>
      </c>
      <c r="AR107" s="123">
        <f t="shared" si="630"/>
        <v>0</v>
      </c>
      <c r="AS107" s="148">
        <f t="shared" si="631"/>
        <v>225867.6</v>
      </c>
      <c r="AT107" s="125">
        <f t="shared" si="632"/>
        <v>649130.34</v>
      </c>
      <c r="AU107" s="140">
        <f t="shared" si="633"/>
        <v>68400</v>
      </c>
      <c r="AV107" s="326">
        <f t="shared" si="634"/>
        <v>89072.16</v>
      </c>
      <c r="AW107" s="333">
        <f t="shared" si="635"/>
        <v>157472.16</v>
      </c>
      <c r="AX107" s="125">
        <f t="shared" si="636"/>
        <v>469784.68</v>
      </c>
      <c r="AY107" s="1041">
        <f t="shared" si="658"/>
        <v>242080.75</v>
      </c>
      <c r="AZ107" s="123">
        <f t="shared" si="659"/>
        <v>0</v>
      </c>
      <c r="BA107" s="125">
        <f t="shared" si="660"/>
        <v>242080.75</v>
      </c>
      <c r="BB107" s="122">
        <f t="shared" ref="BB107:BD107" si="688">SUM(AY107,AU107,AQ107)</f>
        <v>536348.35</v>
      </c>
      <c r="BC107" s="326">
        <f t="shared" si="688"/>
        <v>89072.16</v>
      </c>
      <c r="BD107" s="333">
        <f t="shared" si="688"/>
        <v>625420.51</v>
      </c>
      <c r="BE107" s="123">
        <f t="shared" si="662"/>
        <v>1141438.97</v>
      </c>
      <c r="BF107" s="326">
        <f t="shared" ref="BF107:BG107" si="689">BC107+AL107</f>
        <v>89072.16</v>
      </c>
      <c r="BG107" s="435">
        <f t="shared" si="689"/>
        <v>1141438.97</v>
      </c>
      <c r="BH107" s="125">
        <f t="shared" si="637"/>
        <v>455554.79</v>
      </c>
      <c r="BI107" s="140">
        <f t="shared" si="664"/>
        <v>0</v>
      </c>
      <c r="BJ107" s="326">
        <f t="shared" si="665"/>
        <v>0</v>
      </c>
      <c r="BK107" s="333">
        <f t="shared" si="666"/>
        <v>0</v>
      </c>
      <c r="BL107" s="125">
        <f t="shared" si="638"/>
        <v>916120.15</v>
      </c>
      <c r="BM107" s="141">
        <f t="shared" si="667"/>
        <v>264592.49</v>
      </c>
      <c r="BN107" s="332">
        <f t="shared" si="668"/>
        <v>0</v>
      </c>
      <c r="BO107" s="333">
        <f t="shared" si="669"/>
        <v>264592.49</v>
      </c>
      <c r="BP107" s="125">
        <f t="shared" si="639"/>
        <v>273086.40999999997</v>
      </c>
      <c r="BQ107" s="140">
        <f t="shared" si="670"/>
        <v>79338.720000000001</v>
      </c>
      <c r="BR107" s="123">
        <f t="shared" si="671"/>
        <v>0</v>
      </c>
      <c r="BS107" s="148">
        <f t="shared" si="672"/>
        <v>79338.720000000001</v>
      </c>
      <c r="BT107" s="140">
        <f t="shared" ref="BT107:BV107" si="690">SUM(BQ107,BM107,BI107)</f>
        <v>343931.20999999996</v>
      </c>
      <c r="BU107" s="123">
        <f t="shared" si="690"/>
        <v>0</v>
      </c>
      <c r="BV107" s="148">
        <f t="shared" si="690"/>
        <v>343931.20999999996</v>
      </c>
      <c r="BW107" s="125">
        <f t="shared" si="640"/>
        <v>231963.12</v>
      </c>
      <c r="BX107" s="140">
        <f t="shared" si="674"/>
        <v>47172</v>
      </c>
      <c r="BY107" s="123">
        <f t="shared" si="675"/>
        <v>0</v>
      </c>
      <c r="BZ107" s="148">
        <f t="shared" si="676"/>
        <v>47172</v>
      </c>
      <c r="CA107" s="123">
        <f t="shared" si="641"/>
        <v>852629.11</v>
      </c>
      <c r="CB107" s="326">
        <f t="shared" si="642"/>
        <v>86769.72</v>
      </c>
    </row>
    <row r="108" spans="1:115" ht="13">
      <c r="A108" s="422" t="e">
        <f t="shared" si="643"/>
        <v>#N/A</v>
      </c>
      <c r="B108" s="93">
        <f t="shared" si="606"/>
        <v>22</v>
      </c>
      <c r="C108" s="699">
        <f t="shared" si="607"/>
        <v>0.1</v>
      </c>
      <c r="D108" s="699">
        <f t="shared" si="608"/>
        <v>0.09</v>
      </c>
      <c r="E108" s="700">
        <f t="shared" si="609"/>
        <v>0</v>
      </c>
      <c r="F108" s="701">
        <f t="shared" si="644"/>
        <v>1</v>
      </c>
      <c r="G108" s="700" t="str">
        <f t="shared" si="645"/>
        <v>Lista</v>
      </c>
      <c r="H108" s="700">
        <f t="shared" si="646"/>
        <v>0.09</v>
      </c>
      <c r="I108" s="702">
        <f t="shared" si="647"/>
        <v>0</v>
      </c>
      <c r="J108" s="837">
        <f t="shared" si="648"/>
        <v>71</v>
      </c>
      <c r="K108" s="699" t="str">
        <f t="shared" si="649"/>
        <v>Lista</v>
      </c>
      <c r="L108" s="1040">
        <f t="shared" si="650"/>
        <v>0.05</v>
      </c>
      <c r="M108" s="135" t="s">
        <v>1093</v>
      </c>
      <c r="N108" s="114">
        <f t="shared" si="651"/>
        <v>0</v>
      </c>
      <c r="O108" s="326">
        <v>1800000</v>
      </c>
      <c r="P108" s="704">
        <f t="shared" si="610"/>
        <v>501030.99</v>
      </c>
      <c r="Q108" s="704">
        <f t="shared" si="611"/>
        <v>0</v>
      </c>
      <c r="R108" s="704">
        <f t="shared" si="612"/>
        <v>501030.99</v>
      </c>
      <c r="S108" s="326">
        <f t="shared" si="613"/>
        <v>-1298969.01</v>
      </c>
      <c r="T108" s="137">
        <f t="shared" si="652"/>
        <v>0.27835054999999997</v>
      </c>
      <c r="U108" s="332">
        <f t="shared" si="614"/>
        <v>0</v>
      </c>
      <c r="V108" s="141">
        <v>1800000</v>
      </c>
      <c r="W108" s="113">
        <f t="shared" si="616"/>
        <v>79377.679999999993</v>
      </c>
      <c r="X108" s="704">
        <f t="shared" si="617"/>
        <v>0</v>
      </c>
      <c r="Y108" s="117">
        <f t="shared" si="618"/>
        <v>79377.679999999993</v>
      </c>
      <c r="Z108" s="123">
        <f t="shared" si="619"/>
        <v>-1720622.32</v>
      </c>
      <c r="AA108" s="98">
        <f t="shared" si="653"/>
        <v>4.4098711111111105E-2</v>
      </c>
      <c r="AB108" s="123">
        <f t="shared" si="620"/>
        <v>5796.31</v>
      </c>
      <c r="AC108" s="326">
        <v>1800000</v>
      </c>
      <c r="AD108" s="326">
        <f t="shared" si="622"/>
        <v>281082.46000000002</v>
      </c>
      <c r="AE108" s="326">
        <f t="shared" si="623"/>
        <v>0</v>
      </c>
      <c r="AF108" s="326">
        <f t="shared" si="624"/>
        <v>281082.46000000002</v>
      </c>
      <c r="AG108" s="326">
        <f t="shared" si="625"/>
        <v>-1518917.54</v>
      </c>
      <c r="AH108" s="494">
        <f t="shared" si="654"/>
        <v>0.15615692222222224</v>
      </c>
      <c r="AI108" s="141">
        <f t="shared" si="626"/>
        <v>5400000</v>
      </c>
      <c r="AJ108" s="416">
        <f t="shared" si="685"/>
        <v>1039248.74</v>
      </c>
      <c r="AK108" s="326">
        <f t="shared" ref="AK108:AM108" si="691">SUM(P108,W108,AD108)</f>
        <v>861491.12999999989</v>
      </c>
      <c r="AL108" s="326">
        <f t="shared" si="691"/>
        <v>0</v>
      </c>
      <c r="AM108" s="326">
        <f t="shared" si="691"/>
        <v>861491.12999999989</v>
      </c>
      <c r="AN108" s="326">
        <f t="shared" si="628"/>
        <v>-4538508.87</v>
      </c>
      <c r="AO108" s="98">
        <f t="shared" si="687"/>
        <v>0.15953539444444442</v>
      </c>
      <c r="AP108" s="125">
        <f t="shared" si="657"/>
        <v>501502.64</v>
      </c>
      <c r="AQ108" s="140">
        <f t="shared" si="629"/>
        <v>188778.42</v>
      </c>
      <c r="AR108" s="123">
        <f t="shared" si="630"/>
        <v>0</v>
      </c>
      <c r="AS108" s="148">
        <f t="shared" si="631"/>
        <v>188778.42</v>
      </c>
      <c r="AT108" s="125">
        <f t="shared" si="632"/>
        <v>252732.01</v>
      </c>
      <c r="AU108" s="140">
        <f t="shared" si="633"/>
        <v>115057.62</v>
      </c>
      <c r="AV108" s="326">
        <f t="shared" si="634"/>
        <v>0</v>
      </c>
      <c r="AW108" s="333">
        <f t="shared" si="635"/>
        <v>115057.62</v>
      </c>
      <c r="AX108" s="125">
        <f t="shared" si="636"/>
        <v>395521.09</v>
      </c>
      <c r="AY108" s="1041">
        <f t="shared" si="658"/>
        <v>23864.400000000001</v>
      </c>
      <c r="AZ108" s="123">
        <f t="shared" si="659"/>
        <v>0</v>
      </c>
      <c r="BA108" s="125">
        <f t="shared" si="660"/>
        <v>23864.400000000001</v>
      </c>
      <c r="BB108" s="122">
        <f t="shared" ref="BB108:BD108" si="692">SUM(AY108,AU108,AQ108)</f>
        <v>327700.44</v>
      </c>
      <c r="BC108" s="326">
        <f t="shared" si="692"/>
        <v>0</v>
      </c>
      <c r="BD108" s="333">
        <f t="shared" si="692"/>
        <v>327700.44</v>
      </c>
      <c r="BE108" s="123">
        <f t="shared" si="662"/>
        <v>1189191.5699999998</v>
      </c>
      <c r="BF108" s="326">
        <f t="shared" ref="BF108:BG108" si="693">BC108+AL108</f>
        <v>0</v>
      </c>
      <c r="BG108" s="435">
        <f t="shared" si="693"/>
        <v>1189191.5699999998</v>
      </c>
      <c r="BH108" s="125">
        <f t="shared" si="637"/>
        <v>365395.49</v>
      </c>
      <c r="BI108" s="140">
        <f t="shared" si="664"/>
        <v>88602.3</v>
      </c>
      <c r="BJ108" s="326">
        <f t="shared" si="665"/>
        <v>0</v>
      </c>
      <c r="BK108" s="333">
        <f t="shared" si="666"/>
        <v>88602.3</v>
      </c>
      <c r="BL108" s="125">
        <f t="shared" si="638"/>
        <v>423471.64</v>
      </c>
      <c r="BM108" s="141">
        <f t="shared" si="667"/>
        <v>111898.5</v>
      </c>
      <c r="BN108" s="332">
        <f t="shared" si="668"/>
        <v>63432.63</v>
      </c>
      <c r="BO108" s="333">
        <f t="shared" si="669"/>
        <v>175331.13</v>
      </c>
      <c r="BP108" s="125">
        <f t="shared" si="639"/>
        <v>493123.3</v>
      </c>
      <c r="BQ108" s="140">
        <f t="shared" si="670"/>
        <v>179086.2</v>
      </c>
      <c r="BR108" s="123">
        <f t="shared" si="671"/>
        <v>75356.39</v>
      </c>
      <c r="BS108" s="148">
        <f t="shared" si="672"/>
        <v>254442.59</v>
      </c>
      <c r="BT108" s="140">
        <f t="shared" ref="BT108:BV108" si="694">SUM(BQ108,BM108,BI108)</f>
        <v>379587</v>
      </c>
      <c r="BU108" s="123">
        <f t="shared" si="694"/>
        <v>138789.01999999999</v>
      </c>
      <c r="BV108" s="148">
        <f t="shared" si="694"/>
        <v>518376.01999999996</v>
      </c>
      <c r="BW108" s="125">
        <f t="shared" si="640"/>
        <v>286455.40000000002</v>
      </c>
      <c r="BX108" s="140">
        <f t="shared" si="674"/>
        <v>0</v>
      </c>
      <c r="BY108" s="123">
        <f t="shared" si="675"/>
        <v>0</v>
      </c>
      <c r="BZ108" s="148">
        <f t="shared" si="676"/>
        <v>0</v>
      </c>
      <c r="CA108" s="123">
        <f t="shared" si="641"/>
        <v>525755.43999999994</v>
      </c>
      <c r="CB108" s="326">
        <f t="shared" si="642"/>
        <v>227037.89</v>
      </c>
    </row>
    <row r="109" spans="1:115" ht="13">
      <c r="A109" s="422" t="e">
        <f t="shared" si="643"/>
        <v>#N/A</v>
      </c>
      <c r="B109" s="93">
        <f t="shared" si="606"/>
        <v>20</v>
      </c>
      <c r="C109" s="558">
        <f t="shared" si="607"/>
        <v>0.05</v>
      </c>
      <c r="D109" s="558">
        <f t="shared" si="608"/>
        <v>0.09</v>
      </c>
      <c r="E109" s="715">
        <f t="shared" si="609"/>
        <v>0</v>
      </c>
      <c r="F109" s="701">
        <f t="shared" si="644"/>
        <v>1</v>
      </c>
      <c r="G109" s="700" t="str">
        <f t="shared" si="645"/>
        <v>Lista</v>
      </c>
      <c r="H109" s="700">
        <f t="shared" si="646"/>
        <v>0.09</v>
      </c>
      <c r="I109" s="702">
        <f t="shared" si="647"/>
        <v>0</v>
      </c>
      <c r="J109" s="837">
        <f t="shared" si="648"/>
        <v>71</v>
      </c>
      <c r="K109" s="699" t="str">
        <f t="shared" si="649"/>
        <v>Lista</v>
      </c>
      <c r="L109" s="1040">
        <f t="shared" si="650"/>
        <v>0.05</v>
      </c>
      <c r="M109" s="498" t="s">
        <v>1094</v>
      </c>
      <c r="N109" s="123">
        <f t="shared" si="651"/>
        <v>196790.65</v>
      </c>
      <c r="O109" s="326">
        <v>1500000</v>
      </c>
      <c r="P109" s="704">
        <f t="shared" si="610"/>
        <v>53147.130000000005</v>
      </c>
      <c r="Q109" s="704">
        <f t="shared" si="611"/>
        <v>25443.83</v>
      </c>
      <c r="R109" s="704">
        <f t="shared" si="612"/>
        <v>78590.960000000006</v>
      </c>
      <c r="S109" s="326">
        <f t="shared" si="613"/>
        <v>-1421409.04</v>
      </c>
      <c r="T109" s="137">
        <f t="shared" ref="T109:T112" si="695">IFERROR(R109/O109,"")</f>
        <v>5.2393973333333337E-2</v>
      </c>
      <c r="U109" s="332">
        <f t="shared" si="614"/>
        <v>311069.12</v>
      </c>
      <c r="V109" s="141">
        <f t="shared" ref="V109:V112" si="696">(U109*1.7245)*1.05</f>
        <v>563260.63231200003</v>
      </c>
      <c r="W109" s="113">
        <f t="shared" si="616"/>
        <v>0</v>
      </c>
      <c r="X109" s="704">
        <f t="shared" si="617"/>
        <v>25443.83</v>
      </c>
      <c r="Y109" s="117">
        <f t="shared" si="618"/>
        <v>25443.83</v>
      </c>
      <c r="Z109" s="123">
        <f t="shared" si="619"/>
        <v>-537816.80231200007</v>
      </c>
      <c r="AA109" s="98">
        <f t="shared" ref="AA109:AA112" si="697">IFERROR(Y109/V109,"")</f>
        <v>4.5172391856255656E-2</v>
      </c>
      <c r="AB109" s="123">
        <f t="shared" si="620"/>
        <v>251972.52</v>
      </c>
      <c r="AC109" s="326">
        <f t="shared" ref="AC109:AC112" si="698">(AB109*1.5955)*1.03</f>
        <v>414082.82032980002</v>
      </c>
      <c r="AD109" s="326">
        <f t="shared" si="622"/>
        <v>0</v>
      </c>
      <c r="AE109" s="326">
        <f t="shared" si="623"/>
        <v>0</v>
      </c>
      <c r="AF109" s="326">
        <f t="shared" si="624"/>
        <v>0</v>
      </c>
      <c r="AG109" s="326">
        <f t="shared" si="625"/>
        <v>-414082.82032980002</v>
      </c>
      <c r="AH109" s="494">
        <f t="shared" ref="AH109:AH112" si="699">IFERROR(AF109/AC109,"")</f>
        <v>0</v>
      </c>
      <c r="AI109" s="141">
        <f t="shared" si="626"/>
        <v>2477343.4526418</v>
      </c>
      <c r="AJ109" s="416">
        <f t="shared" si="685"/>
        <v>844094.19</v>
      </c>
      <c r="AK109" s="326">
        <f t="shared" ref="AK109:AM109" si="700">SUM(P109,W109,AD109)</f>
        <v>53147.130000000005</v>
      </c>
      <c r="AL109" s="326">
        <f t="shared" si="700"/>
        <v>50887.66</v>
      </c>
      <c r="AM109" s="326">
        <f t="shared" si="700"/>
        <v>104034.79000000001</v>
      </c>
      <c r="AN109" s="326">
        <f t="shared" si="628"/>
        <v>-2373308.6626418</v>
      </c>
      <c r="AO109" s="98">
        <f t="shared" ref="AO109:AO112" si="701">IFERROR(AM109/AI109,"")</f>
        <v>4.1994496116014496E-2</v>
      </c>
      <c r="AP109" s="125">
        <f t="shared" si="657"/>
        <v>149982.92000000001</v>
      </c>
      <c r="AQ109" s="140">
        <f t="shared" si="629"/>
        <v>61115.4</v>
      </c>
      <c r="AR109" s="123">
        <f t="shared" si="630"/>
        <v>27224.9</v>
      </c>
      <c r="AS109" s="148">
        <f t="shared" si="631"/>
        <v>88340.3</v>
      </c>
      <c r="AT109" s="125">
        <f t="shared" si="632"/>
        <v>295802.7</v>
      </c>
      <c r="AU109" s="140">
        <f t="shared" si="633"/>
        <v>0</v>
      </c>
      <c r="AV109" s="326">
        <f t="shared" si="634"/>
        <v>28586.14</v>
      </c>
      <c r="AW109" s="333">
        <f t="shared" si="635"/>
        <v>28586.14</v>
      </c>
      <c r="AX109" s="125">
        <f t="shared" si="636"/>
        <v>160698.46</v>
      </c>
      <c r="AY109" s="1041">
        <f t="shared" si="658"/>
        <v>0</v>
      </c>
      <c r="AZ109" s="123">
        <f t="shared" si="659"/>
        <v>28586.14</v>
      </c>
      <c r="BA109" s="125">
        <f t="shared" si="660"/>
        <v>28586.14</v>
      </c>
      <c r="BB109" s="122">
        <f t="shared" ref="BB109:BD109" si="702">SUM(AY109,AU109,AQ109)</f>
        <v>61115.4</v>
      </c>
      <c r="BC109" s="326">
        <f t="shared" si="702"/>
        <v>84397.18</v>
      </c>
      <c r="BD109" s="333">
        <f t="shared" si="702"/>
        <v>145512.58000000002</v>
      </c>
      <c r="BE109" s="123">
        <f t="shared" si="662"/>
        <v>198659.71000000002</v>
      </c>
      <c r="BF109" s="326">
        <f t="shared" ref="BF109:BG109" si="703">BC109+AL109</f>
        <v>135284.84</v>
      </c>
      <c r="BG109" s="435">
        <f t="shared" si="703"/>
        <v>249547.37000000002</v>
      </c>
      <c r="BH109" s="125">
        <f t="shared" si="637"/>
        <v>220266.57</v>
      </c>
      <c r="BI109" s="140">
        <f t="shared" si="664"/>
        <v>42393.75</v>
      </c>
      <c r="BJ109" s="326">
        <f t="shared" si="665"/>
        <v>0</v>
      </c>
      <c r="BK109" s="333">
        <f t="shared" si="666"/>
        <v>42393.75</v>
      </c>
      <c r="BL109" s="125">
        <f t="shared" si="638"/>
        <v>302565.61</v>
      </c>
      <c r="BM109" s="141">
        <f t="shared" si="667"/>
        <v>0</v>
      </c>
      <c r="BN109" s="332">
        <f t="shared" si="668"/>
        <v>28586.14</v>
      </c>
      <c r="BO109" s="333">
        <f t="shared" si="669"/>
        <v>28586.14</v>
      </c>
      <c r="BP109" s="125">
        <f t="shared" si="639"/>
        <v>563166.71</v>
      </c>
      <c r="BQ109" s="140">
        <f t="shared" si="670"/>
        <v>0</v>
      </c>
      <c r="BR109" s="123">
        <f t="shared" si="671"/>
        <v>0</v>
      </c>
      <c r="BS109" s="148">
        <f t="shared" si="672"/>
        <v>0</v>
      </c>
      <c r="BT109" s="140">
        <f t="shared" ref="BT109:BV109" si="704">SUM(BQ109,BM109,BI109)</f>
        <v>42393.75</v>
      </c>
      <c r="BU109" s="123">
        <f t="shared" si="704"/>
        <v>28586.14</v>
      </c>
      <c r="BV109" s="148">
        <f t="shared" si="704"/>
        <v>70979.89</v>
      </c>
      <c r="BW109" s="125">
        <f t="shared" si="640"/>
        <v>385630.53</v>
      </c>
      <c r="BX109" s="140">
        <f t="shared" si="674"/>
        <v>13497</v>
      </c>
      <c r="BY109" s="123">
        <f t="shared" si="675"/>
        <v>32262</v>
      </c>
      <c r="BZ109" s="148">
        <f t="shared" si="676"/>
        <v>45759</v>
      </c>
      <c r="CA109" s="123">
        <f t="shared" si="641"/>
        <v>315990.12</v>
      </c>
      <c r="CB109" s="326">
        <f t="shared" si="642"/>
        <v>142473.54</v>
      </c>
    </row>
    <row r="110" spans="1:115" ht="13">
      <c r="A110" s="422" t="e">
        <f t="shared" si="643"/>
        <v>#N/A</v>
      </c>
      <c r="B110" s="93">
        <f t="shared" si="606"/>
        <v>1</v>
      </c>
      <c r="C110" s="558" t="str">
        <f t="shared" si="607"/>
        <v>Lista</v>
      </c>
      <c r="D110" s="558">
        <f t="shared" si="608"/>
        <v>0.09</v>
      </c>
      <c r="E110" s="715">
        <f t="shared" si="609"/>
        <v>0</v>
      </c>
      <c r="F110" s="701">
        <f t="shared" si="644"/>
        <v>1</v>
      </c>
      <c r="G110" s="700" t="str">
        <f t="shared" si="645"/>
        <v>Lista</v>
      </c>
      <c r="H110" s="700">
        <f t="shared" si="646"/>
        <v>0.09</v>
      </c>
      <c r="I110" s="702">
        <f t="shared" si="647"/>
        <v>0</v>
      </c>
      <c r="J110" s="837">
        <f t="shared" si="648"/>
        <v>71</v>
      </c>
      <c r="K110" s="699" t="str">
        <f t="shared" si="649"/>
        <v>Lista</v>
      </c>
      <c r="L110" s="1040">
        <f t="shared" si="650"/>
        <v>0.05</v>
      </c>
      <c r="M110" s="498" t="s">
        <v>1095</v>
      </c>
      <c r="N110" s="123">
        <f t="shared" si="651"/>
        <v>414650.53</v>
      </c>
      <c r="O110" s="326">
        <f t="shared" ref="O110:O112" si="705">(N110*1.601)*1.05</f>
        <v>697048.27345650003</v>
      </c>
      <c r="P110" s="704">
        <f t="shared" si="610"/>
        <v>832557.47</v>
      </c>
      <c r="Q110" s="704">
        <f t="shared" si="611"/>
        <v>23849.9</v>
      </c>
      <c r="R110" s="704">
        <f t="shared" si="612"/>
        <v>856407.37</v>
      </c>
      <c r="S110" s="326">
        <f t="shared" si="613"/>
        <v>159359.09654349997</v>
      </c>
      <c r="T110" s="137">
        <f t="shared" si="695"/>
        <v>1.2286198856117603</v>
      </c>
      <c r="U110" s="332">
        <f t="shared" si="614"/>
        <v>165156.82999999999</v>
      </c>
      <c r="V110" s="141">
        <f t="shared" si="696"/>
        <v>299053.60100174998</v>
      </c>
      <c r="W110" s="113">
        <f t="shared" si="616"/>
        <v>596983.88</v>
      </c>
      <c r="X110" s="704">
        <f t="shared" si="617"/>
        <v>0</v>
      </c>
      <c r="Y110" s="117">
        <f t="shared" si="618"/>
        <v>596983.88</v>
      </c>
      <c r="Z110" s="123">
        <f t="shared" si="619"/>
        <v>297930.27899825003</v>
      </c>
      <c r="AA110" s="98">
        <f t="shared" si="697"/>
        <v>1.9962437435973446</v>
      </c>
      <c r="AB110" s="123">
        <f t="shared" si="620"/>
        <v>458730.9</v>
      </c>
      <c r="AC110" s="326">
        <f t="shared" si="698"/>
        <v>753862.30547850009</v>
      </c>
      <c r="AD110" s="326">
        <f t="shared" si="622"/>
        <v>727668.63</v>
      </c>
      <c r="AE110" s="326">
        <f t="shared" si="623"/>
        <v>0</v>
      </c>
      <c r="AF110" s="326">
        <f t="shared" si="624"/>
        <v>727668.63</v>
      </c>
      <c r="AG110" s="326">
        <f t="shared" si="625"/>
        <v>-26193.675478500081</v>
      </c>
      <c r="AH110" s="494">
        <f t="shared" si="699"/>
        <v>0.96525403208497851</v>
      </c>
      <c r="AI110" s="141">
        <f t="shared" si="626"/>
        <v>1749964.1799367501</v>
      </c>
      <c r="AJ110" s="416">
        <f t="shared" si="685"/>
        <v>2371082.2400000002</v>
      </c>
      <c r="AK110" s="326">
        <f t="shared" ref="AK110:AM110" si="706">SUM(P110,W110,AD110)</f>
        <v>2157209.98</v>
      </c>
      <c r="AL110" s="326">
        <f t="shared" si="706"/>
        <v>23849.9</v>
      </c>
      <c r="AM110" s="326">
        <f t="shared" si="706"/>
        <v>2181059.88</v>
      </c>
      <c r="AN110" s="326">
        <f t="shared" si="628"/>
        <v>431095.70006324979</v>
      </c>
      <c r="AO110" s="98">
        <f t="shared" si="701"/>
        <v>1.2463454423843299</v>
      </c>
      <c r="AP110" s="125">
        <f t="shared" si="657"/>
        <v>658959.67000000004</v>
      </c>
      <c r="AQ110" s="140">
        <f t="shared" si="629"/>
        <v>805537.95</v>
      </c>
      <c r="AR110" s="123">
        <f t="shared" si="630"/>
        <v>0</v>
      </c>
      <c r="AS110" s="148">
        <f t="shared" si="631"/>
        <v>805537.95</v>
      </c>
      <c r="AT110" s="125">
        <f t="shared" si="632"/>
        <v>545044.93000000005</v>
      </c>
      <c r="AU110" s="140">
        <f t="shared" si="633"/>
        <v>479095.94</v>
      </c>
      <c r="AV110" s="326">
        <f t="shared" si="634"/>
        <v>0</v>
      </c>
      <c r="AW110" s="333">
        <f t="shared" si="635"/>
        <v>479095.94</v>
      </c>
      <c r="AX110" s="125">
        <f t="shared" si="636"/>
        <v>558252.09</v>
      </c>
      <c r="AY110" s="1041">
        <f t="shared" si="658"/>
        <v>602375.07999999996</v>
      </c>
      <c r="AZ110" s="123">
        <f t="shared" si="659"/>
        <v>0</v>
      </c>
      <c r="BA110" s="125">
        <f t="shared" si="660"/>
        <v>602375.07999999996</v>
      </c>
      <c r="BB110" s="122">
        <f t="shared" ref="BB110:BD110" si="707">SUM(AY110,AU110,AQ110)</f>
        <v>1887008.97</v>
      </c>
      <c r="BC110" s="326">
        <f t="shared" si="707"/>
        <v>0</v>
      </c>
      <c r="BD110" s="333">
        <f t="shared" si="707"/>
        <v>1887008.97</v>
      </c>
      <c r="BE110" s="123">
        <f t="shared" si="662"/>
        <v>4044218.95</v>
      </c>
      <c r="BF110" s="326">
        <f t="shared" ref="BF110:BG110" si="708">BC110+AL110</f>
        <v>23849.9</v>
      </c>
      <c r="BG110" s="435">
        <f t="shared" si="708"/>
        <v>4068068.8499999996</v>
      </c>
      <c r="BH110" s="125">
        <f t="shared" si="637"/>
        <v>621972.80000000005</v>
      </c>
      <c r="BI110" s="140">
        <f t="shared" si="664"/>
        <v>244314.01</v>
      </c>
      <c r="BJ110" s="326">
        <f t="shared" si="665"/>
        <v>0</v>
      </c>
      <c r="BK110" s="333">
        <f t="shared" si="666"/>
        <v>244314.01</v>
      </c>
      <c r="BL110" s="125">
        <f t="shared" si="638"/>
        <v>676209.87</v>
      </c>
      <c r="BM110" s="141">
        <f t="shared" si="667"/>
        <v>448142.84</v>
      </c>
      <c r="BN110" s="332">
        <f t="shared" si="668"/>
        <v>0</v>
      </c>
      <c r="BO110" s="333">
        <f t="shared" si="669"/>
        <v>448142.84</v>
      </c>
      <c r="BP110" s="125">
        <f t="shared" si="639"/>
        <v>612869.93000000005</v>
      </c>
      <c r="BQ110" s="140">
        <f t="shared" si="670"/>
        <v>115217.44</v>
      </c>
      <c r="BR110" s="123">
        <f t="shared" si="671"/>
        <v>0</v>
      </c>
      <c r="BS110" s="148">
        <f t="shared" si="672"/>
        <v>115217.44</v>
      </c>
      <c r="BT110" s="140">
        <f t="shared" ref="BT110:BV110" si="709">SUM(BQ110,BM110,BI110)</f>
        <v>807674.29</v>
      </c>
      <c r="BU110" s="123">
        <f t="shared" si="709"/>
        <v>0</v>
      </c>
      <c r="BV110" s="148">
        <f t="shared" si="709"/>
        <v>807674.29</v>
      </c>
      <c r="BW110" s="125">
        <f t="shared" si="640"/>
        <v>821858.3</v>
      </c>
      <c r="BX110" s="140">
        <f t="shared" si="674"/>
        <v>0</v>
      </c>
      <c r="BY110" s="123">
        <f t="shared" si="675"/>
        <v>0</v>
      </c>
      <c r="BZ110" s="148">
        <f t="shared" si="676"/>
        <v>0</v>
      </c>
      <c r="CA110" s="123">
        <f t="shared" si="641"/>
        <v>837038.62</v>
      </c>
      <c r="CB110" s="326">
        <f t="shared" si="642"/>
        <v>712185.32</v>
      </c>
    </row>
    <row r="111" spans="1:115" ht="13">
      <c r="A111" s="422" t="e">
        <f t="shared" si="643"/>
        <v>#N/A</v>
      </c>
      <c r="B111" s="93">
        <f t="shared" si="606"/>
        <v>1</v>
      </c>
      <c r="C111" s="558" t="str">
        <f t="shared" si="607"/>
        <v>Lista</v>
      </c>
      <c r="D111" s="558">
        <f t="shared" si="608"/>
        <v>0.09</v>
      </c>
      <c r="E111" s="715">
        <f t="shared" si="609"/>
        <v>0</v>
      </c>
      <c r="F111" s="701">
        <f t="shared" si="644"/>
        <v>1</v>
      </c>
      <c r="G111" s="700" t="str">
        <f t="shared" si="645"/>
        <v>Lista</v>
      </c>
      <c r="H111" s="700">
        <f t="shared" si="646"/>
        <v>0.09</v>
      </c>
      <c r="I111" s="702">
        <f t="shared" si="647"/>
        <v>0</v>
      </c>
      <c r="J111" s="837">
        <f t="shared" si="648"/>
        <v>71</v>
      </c>
      <c r="K111" s="699" t="str">
        <f t="shared" si="649"/>
        <v>Lista</v>
      </c>
      <c r="L111" s="1040">
        <f t="shared" si="650"/>
        <v>0.05</v>
      </c>
      <c r="M111" s="498" t="s">
        <v>1096</v>
      </c>
      <c r="N111" s="123">
        <f t="shared" si="651"/>
        <v>0</v>
      </c>
      <c r="O111" s="326">
        <f t="shared" si="705"/>
        <v>0</v>
      </c>
      <c r="P111" s="704">
        <f t="shared" si="610"/>
        <v>0</v>
      </c>
      <c r="Q111" s="704">
        <f t="shared" si="611"/>
        <v>0</v>
      </c>
      <c r="R111" s="704">
        <f t="shared" si="612"/>
        <v>0</v>
      </c>
      <c r="S111" s="326">
        <f t="shared" si="613"/>
        <v>0</v>
      </c>
      <c r="T111" s="137" t="str">
        <f t="shared" si="695"/>
        <v/>
      </c>
      <c r="U111" s="332">
        <f t="shared" si="614"/>
        <v>0</v>
      </c>
      <c r="V111" s="141">
        <f t="shared" si="696"/>
        <v>0</v>
      </c>
      <c r="W111" s="113">
        <f t="shared" si="616"/>
        <v>0</v>
      </c>
      <c r="X111" s="704">
        <f t="shared" si="617"/>
        <v>43495.51</v>
      </c>
      <c r="Y111" s="117">
        <f t="shared" si="618"/>
        <v>43495.51</v>
      </c>
      <c r="Z111" s="123">
        <f t="shared" si="619"/>
        <v>43495.51</v>
      </c>
      <c r="AA111" s="98" t="str">
        <f t="shared" si="697"/>
        <v/>
      </c>
      <c r="AB111" s="123">
        <f t="shared" si="620"/>
        <v>0</v>
      </c>
      <c r="AC111" s="326">
        <f t="shared" si="698"/>
        <v>0</v>
      </c>
      <c r="AD111" s="326">
        <f t="shared" si="622"/>
        <v>0</v>
      </c>
      <c r="AE111" s="326">
        <f t="shared" si="623"/>
        <v>0</v>
      </c>
      <c r="AF111" s="326">
        <f t="shared" si="624"/>
        <v>0</v>
      </c>
      <c r="AG111" s="326">
        <f t="shared" si="625"/>
        <v>0</v>
      </c>
      <c r="AH111" s="494" t="str">
        <f t="shared" si="699"/>
        <v/>
      </c>
      <c r="AI111" s="141">
        <f t="shared" si="626"/>
        <v>0</v>
      </c>
      <c r="AJ111" s="416">
        <f t="shared" si="685"/>
        <v>5477.48</v>
      </c>
      <c r="AK111" s="326">
        <f t="shared" ref="AK111:AM111" si="710">SUM(P111,W111,AD111)</f>
        <v>0</v>
      </c>
      <c r="AL111" s="326">
        <f t="shared" si="710"/>
        <v>43495.51</v>
      </c>
      <c r="AM111" s="326">
        <f t="shared" si="710"/>
        <v>43495.51</v>
      </c>
      <c r="AN111" s="326">
        <f t="shared" si="628"/>
        <v>43495.51</v>
      </c>
      <c r="AO111" s="98" t="str">
        <f t="shared" si="701"/>
        <v/>
      </c>
      <c r="AP111" s="125">
        <f t="shared" si="657"/>
        <v>116602.24000000001</v>
      </c>
      <c r="AQ111" s="140">
        <f t="shared" si="629"/>
        <v>0</v>
      </c>
      <c r="AR111" s="123">
        <f t="shared" si="630"/>
        <v>0</v>
      </c>
      <c r="AS111" s="148">
        <f t="shared" si="631"/>
        <v>0</v>
      </c>
      <c r="AT111" s="125">
        <f t="shared" si="632"/>
        <v>0</v>
      </c>
      <c r="AU111" s="140">
        <f t="shared" si="633"/>
        <v>0</v>
      </c>
      <c r="AV111" s="326">
        <f t="shared" si="634"/>
        <v>0</v>
      </c>
      <c r="AW111" s="333">
        <f t="shared" si="635"/>
        <v>0</v>
      </c>
      <c r="AX111" s="125">
        <f t="shared" si="636"/>
        <v>115000.04</v>
      </c>
      <c r="AY111" s="1041">
        <f t="shared" si="658"/>
        <v>75072.42</v>
      </c>
      <c r="AZ111" s="123">
        <f t="shared" si="659"/>
        <v>0</v>
      </c>
      <c r="BA111" s="125">
        <f t="shared" si="660"/>
        <v>75072.42</v>
      </c>
      <c r="BB111" s="122">
        <f t="shared" ref="BB111:BD111" si="711">SUM(AY111,AU111,AQ111)</f>
        <v>75072.42</v>
      </c>
      <c r="BC111" s="326">
        <f t="shared" si="711"/>
        <v>0</v>
      </c>
      <c r="BD111" s="333">
        <f t="shared" si="711"/>
        <v>75072.42</v>
      </c>
      <c r="BE111" s="123">
        <f t="shared" si="662"/>
        <v>75072.42</v>
      </c>
      <c r="BF111" s="326">
        <f t="shared" ref="BF111:BG111" si="712">BC111+AL111</f>
        <v>43495.51</v>
      </c>
      <c r="BG111" s="435">
        <f t="shared" si="712"/>
        <v>118567.93</v>
      </c>
      <c r="BH111" s="125">
        <f t="shared" si="637"/>
        <v>17862.96</v>
      </c>
      <c r="BI111" s="140">
        <f t="shared" si="664"/>
        <v>0</v>
      </c>
      <c r="BJ111" s="326">
        <f t="shared" si="665"/>
        <v>0</v>
      </c>
      <c r="BK111" s="333">
        <f t="shared" si="666"/>
        <v>0</v>
      </c>
      <c r="BL111" s="125">
        <f t="shared" si="638"/>
        <v>121274.52</v>
      </c>
      <c r="BM111" s="141">
        <f t="shared" si="667"/>
        <v>-75072.42</v>
      </c>
      <c r="BN111" s="332">
        <f t="shared" si="668"/>
        <v>0</v>
      </c>
      <c r="BO111" s="333">
        <f t="shared" si="669"/>
        <v>-75072.42</v>
      </c>
      <c r="BP111" s="125">
        <f t="shared" si="639"/>
        <v>24967.8</v>
      </c>
      <c r="BQ111" s="140">
        <f t="shared" si="670"/>
        <v>0</v>
      </c>
      <c r="BR111" s="123">
        <f t="shared" si="671"/>
        <v>0</v>
      </c>
      <c r="BS111" s="148">
        <f t="shared" si="672"/>
        <v>0</v>
      </c>
      <c r="BT111" s="140">
        <f t="shared" ref="BT111:BV111" si="713">SUM(BQ111,BM111,BI111)</f>
        <v>-75072.42</v>
      </c>
      <c r="BU111" s="123">
        <f t="shared" si="713"/>
        <v>0</v>
      </c>
      <c r="BV111" s="148">
        <f t="shared" si="713"/>
        <v>-75072.42</v>
      </c>
      <c r="BW111" s="125">
        <f t="shared" si="640"/>
        <v>0</v>
      </c>
      <c r="BX111" s="140">
        <f t="shared" si="674"/>
        <v>0</v>
      </c>
      <c r="BY111" s="123">
        <f t="shared" si="675"/>
        <v>0</v>
      </c>
      <c r="BZ111" s="148">
        <f t="shared" si="676"/>
        <v>0</v>
      </c>
      <c r="CA111" s="123">
        <f t="shared" si="641"/>
        <v>5477.48</v>
      </c>
      <c r="CB111" s="326">
        <f t="shared" si="642"/>
        <v>0</v>
      </c>
    </row>
    <row r="112" spans="1:115" ht="13">
      <c r="A112" s="422" t="e">
        <f t="shared" si="643"/>
        <v>#N/A</v>
      </c>
      <c r="B112" s="93">
        <f t="shared" si="606"/>
        <v>1</v>
      </c>
      <c r="C112" s="558" t="str">
        <f t="shared" si="607"/>
        <v>Lista</v>
      </c>
      <c r="D112" s="558">
        <f t="shared" si="608"/>
        <v>0.09</v>
      </c>
      <c r="E112" s="715">
        <f t="shared" si="609"/>
        <v>0</v>
      </c>
      <c r="F112" s="701">
        <f t="shared" si="644"/>
        <v>1</v>
      </c>
      <c r="G112" s="700" t="str">
        <f t="shared" si="645"/>
        <v>Lista</v>
      </c>
      <c r="H112" s="700">
        <f t="shared" si="646"/>
        <v>0.09</v>
      </c>
      <c r="I112" s="702">
        <f t="shared" si="647"/>
        <v>0</v>
      </c>
      <c r="J112" s="837">
        <f t="shared" si="648"/>
        <v>71</v>
      </c>
      <c r="K112" s="699" t="str">
        <f t="shared" si="649"/>
        <v>Lista</v>
      </c>
      <c r="L112" s="1040">
        <f t="shared" si="650"/>
        <v>0.05</v>
      </c>
      <c r="M112" s="498" t="s">
        <v>1097</v>
      </c>
      <c r="N112" s="123">
        <f t="shared" si="651"/>
        <v>17463.599999999999</v>
      </c>
      <c r="O112" s="326">
        <f t="shared" si="705"/>
        <v>29357.18478</v>
      </c>
      <c r="P112" s="704">
        <f t="shared" si="610"/>
        <v>107645</v>
      </c>
      <c r="Q112" s="704">
        <f t="shared" si="611"/>
        <v>0</v>
      </c>
      <c r="R112" s="704">
        <f t="shared" si="612"/>
        <v>107645</v>
      </c>
      <c r="S112" s="326">
        <f t="shared" si="613"/>
        <v>78287.815220000004</v>
      </c>
      <c r="T112" s="137">
        <f t="shared" si="695"/>
        <v>3.6667344231635823</v>
      </c>
      <c r="U112" s="332">
        <f t="shared" si="614"/>
        <v>162914.5</v>
      </c>
      <c r="V112" s="141">
        <f t="shared" si="696"/>
        <v>294993.35801249999</v>
      </c>
      <c r="W112" s="113">
        <f t="shared" si="616"/>
        <v>61650.86</v>
      </c>
      <c r="X112" s="704">
        <f t="shared" si="617"/>
        <v>0</v>
      </c>
      <c r="Y112" s="117">
        <f t="shared" si="618"/>
        <v>61650.86</v>
      </c>
      <c r="Z112" s="123">
        <f t="shared" si="619"/>
        <v>-233342.4980125</v>
      </c>
      <c r="AA112" s="98">
        <f t="shared" si="697"/>
        <v>0.20899067157094303</v>
      </c>
      <c r="AB112" s="123">
        <f t="shared" si="620"/>
        <v>118330.72</v>
      </c>
      <c r="AC112" s="326">
        <f t="shared" si="698"/>
        <v>194460.5636728</v>
      </c>
      <c r="AD112" s="326">
        <f t="shared" si="622"/>
        <v>120706.56</v>
      </c>
      <c r="AE112" s="326">
        <f t="shared" si="623"/>
        <v>20137.28</v>
      </c>
      <c r="AF112" s="326">
        <f t="shared" si="624"/>
        <v>140843.84</v>
      </c>
      <c r="AG112" s="326">
        <f t="shared" si="625"/>
        <v>-53616.723672799999</v>
      </c>
      <c r="AH112" s="494">
        <f t="shared" si="699"/>
        <v>0.7242797065886547</v>
      </c>
      <c r="AI112" s="141">
        <f t="shared" si="626"/>
        <v>518811.10646529996</v>
      </c>
      <c r="AJ112" s="416">
        <f t="shared" si="685"/>
        <v>461164.08</v>
      </c>
      <c r="AK112" s="326">
        <f t="shared" ref="AK112:AM112" si="714">SUM(P112,W112,AD112)</f>
        <v>290002.42</v>
      </c>
      <c r="AL112" s="326">
        <f t="shared" si="714"/>
        <v>20137.28</v>
      </c>
      <c r="AM112" s="326">
        <f t="shared" si="714"/>
        <v>310139.69999999995</v>
      </c>
      <c r="AN112" s="326">
        <f t="shared" si="628"/>
        <v>-208671.40646530001</v>
      </c>
      <c r="AO112" s="98">
        <f t="shared" si="701"/>
        <v>0.59778924571026559</v>
      </c>
      <c r="AP112" s="125">
        <f t="shared" si="657"/>
        <v>154965.01999999999</v>
      </c>
      <c r="AQ112" s="140">
        <f t="shared" si="629"/>
        <v>116622.5</v>
      </c>
      <c r="AR112" s="123">
        <f t="shared" si="630"/>
        <v>0</v>
      </c>
      <c r="AS112" s="148">
        <f t="shared" si="631"/>
        <v>116622.5</v>
      </c>
      <c r="AT112" s="125">
        <f t="shared" si="632"/>
        <v>84697.45</v>
      </c>
      <c r="AU112" s="140">
        <f t="shared" si="633"/>
        <v>0</v>
      </c>
      <c r="AV112" s="326">
        <f t="shared" si="634"/>
        <v>0</v>
      </c>
      <c r="AW112" s="333">
        <f t="shared" si="635"/>
        <v>0</v>
      </c>
      <c r="AX112" s="125">
        <f t="shared" si="636"/>
        <v>123193.16</v>
      </c>
      <c r="AY112" s="1041">
        <f t="shared" si="658"/>
        <v>0</v>
      </c>
      <c r="AZ112" s="123">
        <f t="shared" si="659"/>
        <v>89072.16</v>
      </c>
      <c r="BA112" s="125">
        <f t="shared" si="660"/>
        <v>89072.16</v>
      </c>
      <c r="BB112" s="122">
        <f t="shared" ref="BB112:BD112" si="715">SUM(AY112,AU112,AQ112)</f>
        <v>116622.5</v>
      </c>
      <c r="BC112" s="326">
        <f t="shared" si="715"/>
        <v>89072.16</v>
      </c>
      <c r="BD112" s="333">
        <f t="shared" si="715"/>
        <v>205694.66</v>
      </c>
      <c r="BE112" s="123">
        <f t="shared" si="662"/>
        <v>495697.07999999996</v>
      </c>
      <c r="BF112" s="326">
        <f t="shared" ref="BF112:BG112" si="716">BC112+AL112</f>
        <v>109209.44</v>
      </c>
      <c r="BG112" s="435">
        <f t="shared" si="716"/>
        <v>515834.36</v>
      </c>
      <c r="BH112" s="125">
        <f t="shared" si="637"/>
        <v>163733.34</v>
      </c>
      <c r="BI112" s="140">
        <f t="shared" si="664"/>
        <v>0</v>
      </c>
      <c r="BJ112" s="326">
        <f t="shared" si="665"/>
        <v>0</v>
      </c>
      <c r="BK112" s="333">
        <f t="shared" si="666"/>
        <v>0</v>
      </c>
      <c r="BL112" s="125">
        <f t="shared" si="638"/>
        <v>144050.91</v>
      </c>
      <c r="BM112" s="141">
        <f t="shared" si="667"/>
        <v>0</v>
      </c>
      <c r="BN112" s="332">
        <f t="shared" si="668"/>
        <v>0</v>
      </c>
      <c r="BO112" s="333">
        <f t="shared" si="669"/>
        <v>0</v>
      </c>
      <c r="BP112" s="125">
        <f t="shared" si="639"/>
        <v>172800.73</v>
      </c>
      <c r="BQ112" s="140">
        <f t="shared" si="670"/>
        <v>0</v>
      </c>
      <c r="BR112" s="123">
        <f t="shared" si="671"/>
        <v>0</v>
      </c>
      <c r="BS112" s="148">
        <f t="shared" si="672"/>
        <v>0</v>
      </c>
      <c r="BT112" s="140">
        <f t="shared" ref="BT112:BV112" si="717">SUM(BQ112,BM112,BI112)</f>
        <v>0</v>
      </c>
      <c r="BU112" s="123">
        <f t="shared" si="717"/>
        <v>0</v>
      </c>
      <c r="BV112" s="148">
        <f t="shared" si="717"/>
        <v>0</v>
      </c>
      <c r="BW112" s="125">
        <f t="shared" si="640"/>
        <v>164446.88</v>
      </c>
      <c r="BX112" s="140">
        <f t="shared" si="674"/>
        <v>91706</v>
      </c>
      <c r="BY112" s="123">
        <f t="shared" si="675"/>
        <v>0</v>
      </c>
      <c r="BZ112" s="148">
        <f t="shared" si="676"/>
        <v>91706</v>
      </c>
      <c r="CA112" s="123">
        <f t="shared" si="641"/>
        <v>77988.039999999994</v>
      </c>
      <c r="CB112" s="326">
        <f t="shared" si="642"/>
        <v>218729.16</v>
      </c>
    </row>
    <row r="113" spans="1:80" ht="13">
      <c r="A113" s="422" t="e">
        <f t="shared" si="643"/>
        <v>#N/A</v>
      </c>
      <c r="B113" s="93">
        <f t="shared" si="606"/>
        <v>31</v>
      </c>
      <c r="C113" s="558">
        <f t="shared" si="607"/>
        <v>0.1</v>
      </c>
      <c r="D113" s="558">
        <f t="shared" si="608"/>
        <v>0.23</v>
      </c>
      <c r="E113" s="715">
        <f t="shared" si="609"/>
        <v>0</v>
      </c>
      <c r="F113" s="701">
        <f t="shared" si="644"/>
        <v>18</v>
      </c>
      <c r="G113" s="700" t="str">
        <f t="shared" si="645"/>
        <v>Lista</v>
      </c>
      <c r="H113" s="700">
        <f t="shared" si="646"/>
        <v>0.23</v>
      </c>
      <c r="I113" s="702">
        <f t="shared" si="647"/>
        <v>0</v>
      </c>
      <c r="J113" s="837">
        <f t="shared" si="648"/>
        <v>69</v>
      </c>
      <c r="K113" s="699" t="str">
        <f t="shared" si="649"/>
        <v>Lista</v>
      </c>
      <c r="L113" s="1040">
        <f t="shared" si="650"/>
        <v>0.14000000000000001</v>
      </c>
      <c r="M113" s="498" t="s">
        <v>1098</v>
      </c>
      <c r="N113" s="123"/>
      <c r="O113" s="326"/>
      <c r="P113" s="704">
        <f t="shared" si="610"/>
        <v>0</v>
      </c>
      <c r="Q113" s="704">
        <f t="shared" si="611"/>
        <v>0</v>
      </c>
      <c r="R113" s="704">
        <f t="shared" si="612"/>
        <v>0</v>
      </c>
      <c r="S113" s="326">
        <f t="shared" si="613"/>
        <v>0</v>
      </c>
      <c r="T113" s="137" t="e">
        <f t="shared" ref="T113:T114" si="718">R113/O113</f>
        <v>#DIV/0!</v>
      </c>
      <c r="U113" s="332" t="str">
        <f t="shared" si="614"/>
        <v/>
      </c>
      <c r="V113" s="141">
        <v>1800000</v>
      </c>
      <c r="W113" s="113">
        <f t="shared" si="616"/>
        <v>0</v>
      </c>
      <c r="X113" s="704">
        <f t="shared" si="617"/>
        <v>0</v>
      </c>
      <c r="Y113" s="117">
        <f t="shared" si="618"/>
        <v>0</v>
      </c>
      <c r="Z113" s="123">
        <f t="shared" si="619"/>
        <v>-1800000</v>
      </c>
      <c r="AA113" s="98">
        <f t="shared" ref="AA113:AA114" si="719">Y113/V113</f>
        <v>0</v>
      </c>
      <c r="AB113" s="123" t="str">
        <f t="shared" si="620"/>
        <v/>
      </c>
      <c r="AC113" s="326">
        <v>1800000</v>
      </c>
      <c r="AD113" s="326">
        <f t="shared" si="622"/>
        <v>0</v>
      </c>
      <c r="AE113" s="326">
        <f t="shared" si="623"/>
        <v>0</v>
      </c>
      <c r="AF113" s="326">
        <f t="shared" si="624"/>
        <v>0</v>
      </c>
      <c r="AG113" s="326">
        <f t="shared" si="625"/>
        <v>-1800000</v>
      </c>
      <c r="AH113" s="494">
        <f t="shared" ref="AH113:AH114" si="720">AF113/AC113</f>
        <v>0</v>
      </c>
      <c r="AI113" s="141">
        <f t="shared" si="626"/>
        <v>3600000</v>
      </c>
      <c r="AJ113" s="416" t="str">
        <f t="shared" si="685"/>
        <v>0</v>
      </c>
      <c r="AK113" s="326">
        <f t="shared" ref="AK113:AM113" si="721">SUM(P113,W113,AD113)</f>
        <v>0</v>
      </c>
      <c r="AL113" s="326">
        <f t="shared" si="721"/>
        <v>0</v>
      </c>
      <c r="AM113" s="326">
        <f t="shared" si="721"/>
        <v>0</v>
      </c>
      <c r="AN113" s="326">
        <f t="shared" si="628"/>
        <v>-3600000</v>
      </c>
      <c r="AO113" s="98">
        <f t="shared" ref="AO113:AO114" si="722">AM113/AI113</f>
        <v>0</v>
      </c>
      <c r="AP113" s="125"/>
      <c r="AQ113" s="140">
        <f t="shared" si="629"/>
        <v>0</v>
      </c>
      <c r="AR113" s="123">
        <f t="shared" si="630"/>
        <v>0</v>
      </c>
      <c r="AS113" s="148">
        <f t="shared" si="631"/>
        <v>0</v>
      </c>
      <c r="AT113" s="125" t="str">
        <f t="shared" si="632"/>
        <v/>
      </c>
      <c r="AU113" s="140">
        <f t="shared" si="633"/>
        <v>0</v>
      </c>
      <c r="AV113" s="326">
        <f t="shared" si="634"/>
        <v>273206.86</v>
      </c>
      <c r="AW113" s="333">
        <f t="shared" si="635"/>
        <v>273206.86</v>
      </c>
      <c r="AX113" s="125"/>
      <c r="AY113" s="1041">
        <f t="shared" si="658"/>
        <v>92506.68</v>
      </c>
      <c r="AZ113" s="123">
        <f t="shared" si="659"/>
        <v>464264.71</v>
      </c>
      <c r="BA113" s="125">
        <f t="shared" si="660"/>
        <v>556771.39</v>
      </c>
      <c r="BB113" s="122">
        <f t="shared" ref="BB113:BD113" si="723">SUM(AY113,AU113,AQ113)</f>
        <v>92506.68</v>
      </c>
      <c r="BC113" s="326">
        <f t="shared" si="723"/>
        <v>737471.57000000007</v>
      </c>
      <c r="BD113" s="333">
        <f t="shared" si="723"/>
        <v>829978.25</v>
      </c>
      <c r="BE113" s="123">
        <f t="shared" si="662"/>
        <v>829978.25</v>
      </c>
      <c r="BF113" s="326">
        <f t="shared" ref="BF113:BG113" si="724">BC113+AL113</f>
        <v>737471.57000000007</v>
      </c>
      <c r="BG113" s="435">
        <f t="shared" si="724"/>
        <v>829978.25</v>
      </c>
      <c r="BH113" s="125"/>
      <c r="BI113" s="140">
        <f t="shared" si="664"/>
        <v>0</v>
      </c>
      <c r="BJ113" s="326">
        <f t="shared" si="665"/>
        <v>0</v>
      </c>
      <c r="BK113" s="333">
        <f t="shared" si="666"/>
        <v>0</v>
      </c>
      <c r="BL113" s="125"/>
      <c r="BM113" s="141">
        <f t="shared" si="667"/>
        <v>0</v>
      </c>
      <c r="BN113" s="332">
        <f t="shared" si="668"/>
        <v>0</v>
      </c>
      <c r="BO113" s="333">
        <f t="shared" si="669"/>
        <v>0</v>
      </c>
      <c r="BP113" s="125"/>
      <c r="BQ113" s="140">
        <f t="shared" si="670"/>
        <v>0</v>
      </c>
      <c r="BR113" s="123">
        <f t="shared" si="671"/>
        <v>0</v>
      </c>
      <c r="BS113" s="148">
        <f t="shared" si="672"/>
        <v>0</v>
      </c>
      <c r="BT113" s="140">
        <f t="shared" ref="BT113:BV113" si="725">SUM(BQ113,BM113,BI113)</f>
        <v>0</v>
      </c>
      <c r="BU113" s="123">
        <f t="shared" si="725"/>
        <v>0</v>
      </c>
      <c r="BV113" s="148">
        <f t="shared" si="725"/>
        <v>0</v>
      </c>
      <c r="BW113" s="125" t="str">
        <f t="shared" si="640"/>
        <v/>
      </c>
      <c r="BX113" s="140">
        <f t="shared" si="674"/>
        <v>0</v>
      </c>
      <c r="BY113" s="123">
        <f t="shared" si="675"/>
        <v>0</v>
      </c>
      <c r="BZ113" s="148">
        <f t="shared" si="676"/>
        <v>0</v>
      </c>
      <c r="CA113" s="123" t="str">
        <f t="shared" si="641"/>
        <v/>
      </c>
      <c r="CB113" s="326" t="str">
        <f t="shared" si="642"/>
        <v/>
      </c>
    </row>
    <row r="114" spans="1:80" ht="13">
      <c r="A114" s="422" t="e">
        <f t="shared" si="643"/>
        <v>#N/A</v>
      </c>
      <c r="B114" s="93">
        <f t="shared" si="606"/>
        <v>7</v>
      </c>
      <c r="C114" s="558">
        <f t="shared" si="607"/>
        <v>0.1</v>
      </c>
      <c r="D114" s="558">
        <f t="shared" si="608"/>
        <v>0.2</v>
      </c>
      <c r="E114" s="715">
        <f t="shared" si="609"/>
        <v>0</v>
      </c>
      <c r="F114" s="701">
        <f t="shared" si="644"/>
        <v>4</v>
      </c>
      <c r="G114" s="700" t="str">
        <f t="shared" si="645"/>
        <v>Lista</v>
      </c>
      <c r="H114" s="700">
        <f t="shared" si="646"/>
        <v>0.2</v>
      </c>
      <c r="I114" s="702">
        <f t="shared" si="647"/>
        <v>0</v>
      </c>
      <c r="J114" s="837">
        <f t="shared" si="648"/>
        <v>70</v>
      </c>
      <c r="K114" s="699" t="str">
        <f t="shared" si="649"/>
        <v>Lista</v>
      </c>
      <c r="L114" s="1040">
        <f t="shared" si="650"/>
        <v>0.11</v>
      </c>
      <c r="M114" s="498" t="s">
        <v>1099</v>
      </c>
      <c r="N114" s="123">
        <f>IFERROR(VLOOKUP(M114,ARRIOLA24,3,FALSE),"")</f>
        <v>423626.55</v>
      </c>
      <c r="O114" s="326">
        <v>1800000</v>
      </c>
      <c r="P114" s="704">
        <f t="shared" si="610"/>
        <v>577324.91</v>
      </c>
      <c r="Q114" s="704">
        <f t="shared" si="611"/>
        <v>61638.879999999997</v>
      </c>
      <c r="R114" s="704">
        <f t="shared" si="612"/>
        <v>638963.79</v>
      </c>
      <c r="S114" s="326">
        <f t="shared" si="613"/>
        <v>-1161036.21</v>
      </c>
      <c r="T114" s="137">
        <f t="shared" si="718"/>
        <v>0.35497988333333336</v>
      </c>
      <c r="U114" s="332">
        <f t="shared" si="614"/>
        <v>261645.95</v>
      </c>
      <c r="V114" s="141">
        <v>1800000</v>
      </c>
      <c r="W114" s="113">
        <f t="shared" si="616"/>
        <v>306688.45</v>
      </c>
      <c r="X114" s="704">
        <f t="shared" si="617"/>
        <v>0</v>
      </c>
      <c r="Y114" s="117">
        <f t="shared" si="618"/>
        <v>306688.45</v>
      </c>
      <c r="Z114" s="123">
        <f t="shared" si="619"/>
        <v>-1493311.55</v>
      </c>
      <c r="AA114" s="98">
        <f t="shared" si="719"/>
        <v>0.17038247222222222</v>
      </c>
      <c r="AB114" s="123">
        <f t="shared" si="620"/>
        <v>396925.62</v>
      </c>
      <c r="AC114" s="326">
        <v>1800000</v>
      </c>
      <c r="AD114" s="326">
        <f t="shared" si="622"/>
        <v>624863.30000000005</v>
      </c>
      <c r="AE114" s="326">
        <f t="shared" si="623"/>
        <v>264957.12</v>
      </c>
      <c r="AF114" s="326">
        <f t="shared" si="624"/>
        <v>889820.42</v>
      </c>
      <c r="AG114" s="326">
        <f t="shared" si="625"/>
        <v>-910179.58</v>
      </c>
      <c r="AH114" s="494">
        <f t="shared" si="720"/>
        <v>0.4943446777777778</v>
      </c>
      <c r="AI114" s="141">
        <f t="shared" si="626"/>
        <v>5400000</v>
      </c>
      <c r="AJ114" s="416">
        <f t="shared" si="685"/>
        <v>3412229.32</v>
      </c>
      <c r="AK114" s="326">
        <f t="shared" ref="AK114:AM114" si="726">SUM(P114,W114,AD114)</f>
        <v>1508876.6600000001</v>
      </c>
      <c r="AL114" s="326">
        <f t="shared" si="726"/>
        <v>326596</v>
      </c>
      <c r="AM114" s="326">
        <f t="shared" si="726"/>
        <v>1835472.6600000001</v>
      </c>
      <c r="AN114" s="326">
        <f t="shared" si="628"/>
        <v>-3564527.34</v>
      </c>
      <c r="AO114" s="98">
        <f t="shared" si="722"/>
        <v>0.33990234444444445</v>
      </c>
      <c r="AP114" s="125">
        <f>IFERROR(VLOOKUP(M114,ARRIOLA24,6,FALSE),"")</f>
        <v>420797.12</v>
      </c>
      <c r="AQ114" s="140">
        <f t="shared" si="629"/>
        <v>217639.08000000002</v>
      </c>
      <c r="AR114" s="123">
        <f t="shared" si="630"/>
        <v>276136.62</v>
      </c>
      <c r="AS114" s="148">
        <f t="shared" si="631"/>
        <v>493775.7</v>
      </c>
      <c r="AT114" s="125">
        <f t="shared" si="632"/>
        <v>1811151.63</v>
      </c>
      <c r="AU114" s="140">
        <f t="shared" si="633"/>
        <v>795181.17</v>
      </c>
      <c r="AV114" s="326">
        <f t="shared" si="634"/>
        <v>39191.370000000003</v>
      </c>
      <c r="AW114" s="333">
        <f t="shared" si="635"/>
        <v>834372.54</v>
      </c>
      <c r="AX114" s="125">
        <f>IFERROR(VLOOKUP(M114,ARRIOLA24,8,FALSE),"")</f>
        <v>194718.69</v>
      </c>
      <c r="AY114" s="1041">
        <f t="shared" si="658"/>
        <v>251299.15999999997</v>
      </c>
      <c r="AZ114" s="123">
        <f t="shared" si="659"/>
        <v>185977.63</v>
      </c>
      <c r="BA114" s="125">
        <f t="shared" si="660"/>
        <v>437276.79</v>
      </c>
      <c r="BB114" s="122">
        <f t="shared" ref="BB114:BD114" si="727">SUM(AY114,AU114,AQ114)</f>
        <v>1264119.4100000001</v>
      </c>
      <c r="BC114" s="326">
        <f t="shared" si="727"/>
        <v>501305.62</v>
      </c>
      <c r="BD114" s="333">
        <f t="shared" si="727"/>
        <v>1765425.03</v>
      </c>
      <c r="BE114" s="123">
        <f t="shared" si="662"/>
        <v>3274301.6900000004</v>
      </c>
      <c r="BF114" s="326">
        <f t="shared" ref="BF114:BG114" si="728">BC114+AL114</f>
        <v>827901.62</v>
      </c>
      <c r="BG114" s="435">
        <f t="shared" si="728"/>
        <v>3600897.6900000004</v>
      </c>
      <c r="BH114" s="125">
        <f>IFERROR(VLOOKUP(M114,ARRIOLA24,9,FALSE),"")</f>
        <v>375667.49</v>
      </c>
      <c r="BI114" s="140">
        <f t="shared" si="664"/>
        <v>269186.81999999995</v>
      </c>
      <c r="BJ114" s="326">
        <f t="shared" si="665"/>
        <v>289317.87</v>
      </c>
      <c r="BK114" s="333">
        <f t="shared" si="666"/>
        <v>558504.68999999994</v>
      </c>
      <c r="BL114" s="125">
        <f>IFERROR(VLOOKUP(M114,ARRIOLA24,10,FALSE),"")</f>
        <v>308581</v>
      </c>
      <c r="BM114" s="141">
        <f t="shared" si="667"/>
        <v>490876.13</v>
      </c>
      <c r="BN114" s="332">
        <f t="shared" si="668"/>
        <v>0</v>
      </c>
      <c r="BO114" s="333">
        <f t="shared" si="669"/>
        <v>490876.13</v>
      </c>
      <c r="BP114" s="125">
        <f>IFERROR(VLOOKUP(M114,ARRIOLA24,11,FALSE),"")</f>
        <v>623360.22</v>
      </c>
      <c r="BQ114" s="140">
        <f t="shared" si="670"/>
        <v>1139049.32</v>
      </c>
      <c r="BR114" s="123">
        <f t="shared" si="671"/>
        <v>72560.479999999996</v>
      </c>
      <c r="BS114" s="148">
        <f t="shared" si="672"/>
        <v>1211609.8</v>
      </c>
      <c r="BT114" s="140">
        <f t="shared" ref="BT114:BV114" si="729">SUM(BQ114,BM114,BI114)</f>
        <v>1899112.27</v>
      </c>
      <c r="BU114" s="123">
        <f t="shared" si="729"/>
        <v>361878.35</v>
      </c>
      <c r="BV114" s="148">
        <f t="shared" si="729"/>
        <v>2260990.62</v>
      </c>
      <c r="BW114" s="125">
        <f t="shared" si="640"/>
        <v>1032310.65</v>
      </c>
      <c r="BX114" s="140">
        <f t="shared" si="674"/>
        <v>1691678.32</v>
      </c>
      <c r="BY114" s="123">
        <f t="shared" si="675"/>
        <v>183822.79</v>
      </c>
      <c r="BZ114" s="148">
        <f t="shared" si="676"/>
        <v>1875501.11</v>
      </c>
      <c r="CA114" s="123">
        <f t="shared" si="641"/>
        <v>1694942.89</v>
      </c>
      <c r="CB114" s="326">
        <f t="shared" si="642"/>
        <v>684975.78</v>
      </c>
    </row>
    <row r="115" spans="1:80" ht="13">
      <c r="A115" s="422" t="e">
        <f t="shared" si="643"/>
        <v>#N/A</v>
      </c>
      <c r="B115" s="93">
        <f t="shared" si="606"/>
        <v>7</v>
      </c>
      <c r="C115" s="558">
        <f t="shared" si="607"/>
        <v>0.1</v>
      </c>
      <c r="D115" s="558">
        <f t="shared" si="608"/>
        <v>0.2</v>
      </c>
      <c r="E115" s="715">
        <f t="shared" si="609"/>
        <v>0</v>
      </c>
      <c r="F115" s="701">
        <f t="shared" si="644"/>
        <v>4</v>
      </c>
      <c r="G115" s="700" t="str">
        <f t="shared" si="645"/>
        <v>Lista</v>
      </c>
      <c r="H115" s="700">
        <f t="shared" si="646"/>
        <v>0.2</v>
      </c>
      <c r="I115" s="702">
        <f t="shared" si="647"/>
        <v>0</v>
      </c>
      <c r="J115" s="837">
        <f t="shared" si="648"/>
        <v>70</v>
      </c>
      <c r="K115" s="699" t="str">
        <f t="shared" si="649"/>
        <v>Lista</v>
      </c>
      <c r="L115" s="1040">
        <f t="shared" si="650"/>
        <v>0.11</v>
      </c>
      <c r="M115" s="851" t="s">
        <v>1100</v>
      </c>
      <c r="N115" s="123"/>
      <c r="O115" s="326"/>
      <c r="P115" s="704">
        <f t="shared" si="610"/>
        <v>0</v>
      </c>
      <c r="Q115" s="704">
        <f t="shared" si="611"/>
        <v>0</v>
      </c>
      <c r="R115" s="704">
        <f t="shared" si="612"/>
        <v>0</v>
      </c>
      <c r="S115" s="326">
        <f t="shared" si="613"/>
        <v>0</v>
      </c>
      <c r="T115" s="137" t="str">
        <f t="shared" ref="T115:T120" si="730">IFERROR(R115/O115,"")</f>
        <v/>
      </c>
      <c r="U115" s="332" t="str">
        <f t="shared" si="614"/>
        <v/>
      </c>
      <c r="V115" s="141"/>
      <c r="W115" s="113">
        <f t="shared" si="616"/>
        <v>0</v>
      </c>
      <c r="X115" s="704">
        <f t="shared" si="617"/>
        <v>0</v>
      </c>
      <c r="Y115" s="117">
        <f t="shared" si="618"/>
        <v>0</v>
      </c>
      <c r="Z115" s="123"/>
      <c r="AA115" s="98" t="str">
        <f t="shared" ref="AA115:AA120" si="731">IFERROR(Y115/V115,"")</f>
        <v/>
      </c>
      <c r="AB115" s="123" t="str">
        <f t="shared" si="620"/>
        <v/>
      </c>
      <c r="AC115" s="326"/>
      <c r="AD115" s="326">
        <f t="shared" si="622"/>
        <v>0</v>
      </c>
      <c r="AE115" s="326">
        <f t="shared" si="623"/>
        <v>0</v>
      </c>
      <c r="AF115" s="326">
        <f t="shared" si="624"/>
        <v>0</v>
      </c>
      <c r="AG115" s="326">
        <f t="shared" si="625"/>
        <v>0</v>
      </c>
      <c r="AH115" s="494" t="str">
        <f t="shared" ref="AH115:AH120" si="732">IFERROR(AF115/AC115,"")</f>
        <v/>
      </c>
      <c r="AI115" s="141">
        <f t="shared" si="626"/>
        <v>0</v>
      </c>
      <c r="AJ115" s="416" t="str">
        <f t="shared" si="685"/>
        <v>0</v>
      </c>
      <c r="AK115" s="326">
        <f t="shared" ref="AK115:AM115" si="733">SUM(P115,W115,AD115)</f>
        <v>0</v>
      </c>
      <c r="AL115" s="326">
        <f t="shared" si="733"/>
        <v>0</v>
      </c>
      <c r="AM115" s="326">
        <f t="shared" si="733"/>
        <v>0</v>
      </c>
      <c r="AN115" s="326">
        <f t="shared" si="628"/>
        <v>0</v>
      </c>
      <c r="AO115" s="98" t="str">
        <f t="shared" ref="AO115:AO120" si="734">IFERROR(AM115/AI115,"")</f>
        <v/>
      </c>
      <c r="AP115" s="125"/>
      <c r="AQ115" s="140">
        <f t="shared" si="629"/>
        <v>0</v>
      </c>
      <c r="AR115" s="123">
        <f t="shared" si="630"/>
        <v>0</v>
      </c>
      <c r="AS115" s="148">
        <f t="shared" si="631"/>
        <v>0</v>
      </c>
      <c r="AT115" s="125" t="str">
        <f t="shared" si="632"/>
        <v/>
      </c>
      <c r="AU115" s="140">
        <f t="shared" si="633"/>
        <v>1302741.3500000001</v>
      </c>
      <c r="AV115" s="326">
        <f t="shared" si="634"/>
        <v>44494.16</v>
      </c>
      <c r="AW115" s="333">
        <f t="shared" si="635"/>
        <v>1347235.51</v>
      </c>
      <c r="AX115" s="125"/>
      <c r="AY115" s="1041">
        <f t="shared" si="658"/>
        <v>207001.47</v>
      </c>
      <c r="AZ115" s="123">
        <f t="shared" si="659"/>
        <v>10233.52</v>
      </c>
      <c r="BA115" s="125">
        <f t="shared" si="660"/>
        <v>217234.99</v>
      </c>
      <c r="BB115" s="122">
        <f t="shared" ref="BB115:BD115" si="735">SUM(AY115,AU115,AQ115)</f>
        <v>1509742.82</v>
      </c>
      <c r="BC115" s="326">
        <f t="shared" si="735"/>
        <v>54727.680000000008</v>
      </c>
      <c r="BD115" s="333">
        <f t="shared" si="735"/>
        <v>1564470.5</v>
      </c>
      <c r="BE115" s="123">
        <f t="shared" si="662"/>
        <v>1564470.5</v>
      </c>
      <c r="BF115" s="326">
        <f t="shared" ref="BF115:BG115" si="736">BC115+AL115</f>
        <v>54727.680000000008</v>
      </c>
      <c r="BG115" s="435">
        <f t="shared" si="736"/>
        <v>1564470.5</v>
      </c>
      <c r="BH115" s="125"/>
      <c r="BI115" s="140">
        <f t="shared" si="664"/>
        <v>214755.58</v>
      </c>
      <c r="BJ115" s="326">
        <f t="shared" si="665"/>
        <v>0</v>
      </c>
      <c r="BK115" s="333">
        <f t="shared" si="666"/>
        <v>214755.58</v>
      </c>
      <c r="BL115" s="125"/>
      <c r="BM115" s="141">
        <f t="shared" si="667"/>
        <v>0</v>
      </c>
      <c r="BN115" s="332">
        <f t="shared" si="668"/>
        <v>0</v>
      </c>
      <c r="BO115" s="333">
        <f t="shared" si="669"/>
        <v>0</v>
      </c>
      <c r="BP115" s="125"/>
      <c r="BQ115" s="140">
        <f t="shared" si="670"/>
        <v>0</v>
      </c>
      <c r="BR115" s="123">
        <f t="shared" si="671"/>
        <v>41074.400000000001</v>
      </c>
      <c r="BS115" s="148">
        <f t="shared" si="672"/>
        <v>41074.400000000001</v>
      </c>
      <c r="BT115" s="140">
        <f t="shared" ref="BT115:BV115" si="737">SUM(BQ115,BM115,BI115)</f>
        <v>214755.58</v>
      </c>
      <c r="BU115" s="123">
        <f t="shared" si="737"/>
        <v>41074.400000000001</v>
      </c>
      <c r="BV115" s="148">
        <f t="shared" si="737"/>
        <v>255829.97999999998</v>
      </c>
      <c r="BW115" s="125" t="str">
        <f t="shared" si="640"/>
        <v/>
      </c>
      <c r="BX115" s="140">
        <f t="shared" si="674"/>
        <v>0</v>
      </c>
      <c r="BY115" s="123">
        <f t="shared" si="675"/>
        <v>117040.82</v>
      </c>
      <c r="BZ115" s="148">
        <f t="shared" si="676"/>
        <v>117040.82</v>
      </c>
      <c r="CA115" s="123" t="str">
        <f t="shared" si="641"/>
        <v/>
      </c>
      <c r="CB115" s="326" t="str">
        <f t="shared" si="642"/>
        <v/>
      </c>
    </row>
    <row r="116" spans="1:80" ht="13">
      <c r="A116" s="422" t="e">
        <f t="shared" si="643"/>
        <v>#N/A</v>
      </c>
      <c r="B116" s="93">
        <f t="shared" si="606"/>
        <v>7</v>
      </c>
      <c r="C116" s="558">
        <f t="shared" si="607"/>
        <v>0.1</v>
      </c>
      <c r="D116" s="558">
        <f t="shared" si="608"/>
        <v>0.2</v>
      </c>
      <c r="E116" s="715">
        <f t="shared" si="609"/>
        <v>0</v>
      </c>
      <c r="F116" s="701">
        <f t="shared" si="644"/>
        <v>4</v>
      </c>
      <c r="G116" s="700" t="str">
        <f t="shared" si="645"/>
        <v>Lista</v>
      </c>
      <c r="H116" s="700">
        <f t="shared" si="646"/>
        <v>0.2</v>
      </c>
      <c r="I116" s="702">
        <f t="shared" si="647"/>
        <v>0</v>
      </c>
      <c r="J116" s="837">
        <f t="shared" si="648"/>
        <v>70</v>
      </c>
      <c r="K116" s="699" t="str">
        <f t="shared" si="649"/>
        <v>Lista</v>
      </c>
      <c r="L116" s="1040">
        <f t="shared" si="650"/>
        <v>0.11</v>
      </c>
      <c r="M116" s="1113" t="s">
        <v>1101</v>
      </c>
      <c r="N116" s="123" t="str">
        <f t="shared" ref="N116:N134" si="738">IFERROR(VLOOKUP(M116,ARRIOLA24,3,FALSE),"")</f>
        <v/>
      </c>
      <c r="O116" s="326" t="e">
        <f>(N116*1.601)*1.05</f>
        <v>#VALUE!</v>
      </c>
      <c r="P116" s="704">
        <f t="shared" si="610"/>
        <v>0</v>
      </c>
      <c r="Q116" s="704">
        <f t="shared" si="611"/>
        <v>0</v>
      </c>
      <c r="R116" s="704">
        <f t="shared" si="612"/>
        <v>0</v>
      </c>
      <c r="S116" s="326" t="e">
        <f t="shared" si="613"/>
        <v>#VALUE!</v>
      </c>
      <c r="T116" s="137" t="str">
        <f t="shared" si="730"/>
        <v/>
      </c>
      <c r="U116" s="332" t="str">
        <f t="shared" si="614"/>
        <v/>
      </c>
      <c r="V116" s="141" t="e">
        <f t="shared" ref="V116:V120" si="739">(U116*1.7245)*1.05</f>
        <v>#VALUE!</v>
      </c>
      <c r="W116" s="113">
        <f t="shared" si="616"/>
        <v>0</v>
      </c>
      <c r="X116" s="704">
        <f t="shared" si="617"/>
        <v>0</v>
      </c>
      <c r="Y116" s="117">
        <f t="shared" si="618"/>
        <v>0</v>
      </c>
      <c r="Z116" s="123" t="e">
        <f t="shared" ref="Z116:Z146" si="740">Y116-V116</f>
        <v>#VALUE!</v>
      </c>
      <c r="AA116" s="98" t="str">
        <f t="shared" si="731"/>
        <v/>
      </c>
      <c r="AB116" s="123" t="str">
        <f t="shared" si="620"/>
        <v/>
      </c>
      <c r="AC116" s="326">
        <v>1800000</v>
      </c>
      <c r="AD116" s="326">
        <f t="shared" si="622"/>
        <v>0</v>
      </c>
      <c r="AE116" s="326">
        <f t="shared" si="623"/>
        <v>134158.64000000001</v>
      </c>
      <c r="AF116" s="326">
        <f t="shared" si="624"/>
        <v>134158.64000000001</v>
      </c>
      <c r="AG116" s="326">
        <f t="shared" si="625"/>
        <v>-1665841.3599999999</v>
      </c>
      <c r="AH116" s="494">
        <f t="shared" si="732"/>
        <v>7.4532577777777789E-2</v>
      </c>
      <c r="AI116" s="141" t="e">
        <f t="shared" si="626"/>
        <v>#VALUE!</v>
      </c>
      <c r="AJ116" s="416" t="str">
        <f t="shared" si="685"/>
        <v>0</v>
      </c>
      <c r="AK116" s="326">
        <f t="shared" ref="AK116:AM116" si="741">SUM(P116,W116,AD116)</f>
        <v>0</v>
      </c>
      <c r="AL116" s="326">
        <f t="shared" si="741"/>
        <v>134158.64000000001</v>
      </c>
      <c r="AM116" s="326">
        <f t="shared" si="741"/>
        <v>134158.64000000001</v>
      </c>
      <c r="AN116" s="326" t="e">
        <f t="shared" si="628"/>
        <v>#VALUE!</v>
      </c>
      <c r="AO116" s="98" t="str">
        <f t="shared" si="734"/>
        <v/>
      </c>
      <c r="AP116" s="125" t="str">
        <f t="shared" ref="AP116:AP134" si="742">IFERROR(VLOOKUP(M116,ARRIOLA24,6,FALSE),"")</f>
        <v/>
      </c>
      <c r="AQ116" s="140">
        <f t="shared" si="629"/>
        <v>0</v>
      </c>
      <c r="AR116" s="123">
        <f t="shared" si="630"/>
        <v>57729.68</v>
      </c>
      <c r="AS116" s="148">
        <f t="shared" si="631"/>
        <v>57729.68</v>
      </c>
      <c r="AT116" s="125" t="str">
        <f t="shared" si="632"/>
        <v/>
      </c>
      <c r="AU116" s="140">
        <f t="shared" si="633"/>
        <v>0</v>
      </c>
      <c r="AV116" s="326">
        <f t="shared" si="634"/>
        <v>59752.160000000003</v>
      </c>
      <c r="AW116" s="333">
        <f t="shared" si="635"/>
        <v>59752.160000000003</v>
      </c>
      <c r="AX116" s="125" t="str">
        <f t="shared" ref="AX116:AX139" si="743">IFERROR(VLOOKUP(M116,ARRIOLA24,8,FALSE),"")</f>
        <v/>
      </c>
      <c r="AY116" s="1041">
        <f t="shared" si="658"/>
        <v>0</v>
      </c>
      <c r="AZ116" s="123">
        <f t="shared" si="659"/>
        <v>0</v>
      </c>
      <c r="BA116" s="125">
        <f t="shared" si="660"/>
        <v>0</v>
      </c>
      <c r="BB116" s="122">
        <f t="shared" ref="BB116:BD116" si="744">SUM(AY116,AU116,AQ116)</f>
        <v>0</v>
      </c>
      <c r="BC116" s="326">
        <f t="shared" si="744"/>
        <v>117481.84</v>
      </c>
      <c r="BD116" s="333">
        <f t="shared" si="744"/>
        <v>117481.84</v>
      </c>
      <c r="BE116" s="123">
        <f t="shared" si="662"/>
        <v>117481.84</v>
      </c>
      <c r="BF116" s="326">
        <f t="shared" ref="BF116:BG116" si="745">BC116+AL116</f>
        <v>251640.48</v>
      </c>
      <c r="BG116" s="435">
        <f t="shared" si="745"/>
        <v>251640.48</v>
      </c>
      <c r="BH116" s="125" t="str">
        <f t="shared" ref="BH116:BH139" si="746">IFERROR(VLOOKUP(M116,ARRIOLA24,9,FALSE),"")</f>
        <v/>
      </c>
      <c r="BI116" s="140">
        <f t="shared" si="664"/>
        <v>0</v>
      </c>
      <c r="BJ116" s="326">
        <f t="shared" si="665"/>
        <v>22887</v>
      </c>
      <c r="BK116" s="333">
        <f t="shared" si="666"/>
        <v>22887</v>
      </c>
      <c r="BL116" s="125" t="str">
        <f t="shared" ref="BL116:BL139" si="747">IFERROR(VLOOKUP(M116,ARRIOLA24,10,FALSE),"")</f>
        <v/>
      </c>
      <c r="BM116" s="141">
        <f t="shared" si="667"/>
        <v>0</v>
      </c>
      <c r="BN116" s="332">
        <f t="shared" si="668"/>
        <v>0</v>
      </c>
      <c r="BO116" s="333">
        <f t="shared" si="669"/>
        <v>0</v>
      </c>
      <c r="BP116" s="125" t="str">
        <f t="shared" ref="BP116:BP139" si="748">IFERROR(VLOOKUP(M116,ARRIOLA24,11,FALSE),"")</f>
        <v/>
      </c>
      <c r="BQ116" s="140">
        <f t="shared" si="670"/>
        <v>0</v>
      </c>
      <c r="BR116" s="123">
        <f t="shared" si="671"/>
        <v>115098.16</v>
      </c>
      <c r="BS116" s="148">
        <f t="shared" si="672"/>
        <v>115098.16</v>
      </c>
      <c r="BT116" s="140">
        <f t="shared" ref="BT116:BV116" si="749">SUM(BQ116,BM116,BI116)</f>
        <v>0</v>
      </c>
      <c r="BU116" s="123">
        <f t="shared" si="749"/>
        <v>137985.16</v>
      </c>
      <c r="BV116" s="148">
        <f t="shared" si="749"/>
        <v>137985.16</v>
      </c>
      <c r="BW116" s="125" t="str">
        <f t="shared" si="640"/>
        <v/>
      </c>
      <c r="BX116" s="140">
        <f t="shared" si="674"/>
        <v>22803.100000000006</v>
      </c>
      <c r="BY116" s="123">
        <f t="shared" si="675"/>
        <v>147636.49</v>
      </c>
      <c r="BZ116" s="148">
        <f t="shared" si="676"/>
        <v>170439.59</v>
      </c>
      <c r="CA116" s="123" t="str">
        <f t="shared" si="641"/>
        <v/>
      </c>
      <c r="CB116" s="326" t="str">
        <f t="shared" si="642"/>
        <v/>
      </c>
    </row>
    <row r="117" spans="1:80" ht="13">
      <c r="A117" s="422" t="e">
        <f t="shared" si="643"/>
        <v>#N/A</v>
      </c>
      <c r="B117" s="93">
        <f t="shared" si="606"/>
        <v>29</v>
      </c>
      <c r="C117" s="558">
        <f t="shared" si="607"/>
        <v>0.05</v>
      </c>
      <c r="D117" s="558">
        <f t="shared" si="608"/>
        <v>0.2</v>
      </c>
      <c r="E117" s="715">
        <f t="shared" si="609"/>
        <v>0</v>
      </c>
      <c r="F117" s="701">
        <f t="shared" si="644"/>
        <v>4</v>
      </c>
      <c r="G117" s="700" t="str">
        <f t="shared" si="645"/>
        <v>Lista</v>
      </c>
      <c r="H117" s="700">
        <f t="shared" si="646"/>
        <v>0.2</v>
      </c>
      <c r="I117" s="702">
        <f t="shared" si="647"/>
        <v>0</v>
      </c>
      <c r="J117" s="837">
        <f t="shared" si="648"/>
        <v>70</v>
      </c>
      <c r="K117" s="699" t="str">
        <f t="shared" si="649"/>
        <v>Lista</v>
      </c>
      <c r="L117" s="1040">
        <f t="shared" si="650"/>
        <v>0.11</v>
      </c>
      <c r="M117" s="498" t="s">
        <v>1102</v>
      </c>
      <c r="N117" s="123">
        <f t="shared" si="738"/>
        <v>744270.98</v>
      </c>
      <c r="O117" s="326">
        <v>1500000</v>
      </c>
      <c r="P117" s="704">
        <f t="shared" si="610"/>
        <v>749608.99</v>
      </c>
      <c r="Q117" s="704">
        <f t="shared" si="611"/>
        <v>94296.48</v>
      </c>
      <c r="R117" s="704">
        <f t="shared" si="612"/>
        <v>843905.47</v>
      </c>
      <c r="S117" s="326">
        <f t="shared" si="613"/>
        <v>-656094.53</v>
      </c>
      <c r="T117" s="137">
        <f t="shared" si="730"/>
        <v>0.56260364666666662</v>
      </c>
      <c r="U117" s="332">
        <f t="shared" si="614"/>
        <v>608088.68000000005</v>
      </c>
      <c r="V117" s="141">
        <f t="shared" si="739"/>
        <v>1101081.375093</v>
      </c>
      <c r="W117" s="113">
        <f t="shared" si="616"/>
        <v>88015.530000000013</v>
      </c>
      <c r="X117" s="704">
        <f t="shared" si="617"/>
        <v>81096.479999999996</v>
      </c>
      <c r="Y117" s="117">
        <f t="shared" si="618"/>
        <v>169112.01</v>
      </c>
      <c r="Z117" s="123">
        <f t="shared" si="740"/>
        <v>-931969.365093</v>
      </c>
      <c r="AA117" s="98">
        <f t="shared" si="731"/>
        <v>0.15358720420251989</v>
      </c>
      <c r="AB117" s="123">
        <f t="shared" si="620"/>
        <v>354648.81</v>
      </c>
      <c r="AC117" s="326">
        <f t="shared" ref="AC117:AC120" si="750">(AB117*1.5955)*1.03</f>
        <v>582817.44164564996</v>
      </c>
      <c r="AD117" s="326">
        <f t="shared" si="622"/>
        <v>269088.7</v>
      </c>
      <c r="AE117" s="326">
        <f t="shared" si="623"/>
        <v>0</v>
      </c>
      <c r="AF117" s="326">
        <f t="shared" si="624"/>
        <v>269088.7</v>
      </c>
      <c r="AG117" s="326">
        <f t="shared" si="625"/>
        <v>-313728.74164564995</v>
      </c>
      <c r="AH117" s="494">
        <f t="shared" si="732"/>
        <v>0.46170323805031999</v>
      </c>
      <c r="AI117" s="141">
        <f t="shared" si="626"/>
        <v>3183898.8167386502</v>
      </c>
      <c r="AJ117" s="416">
        <f t="shared" si="685"/>
        <v>2001412.45</v>
      </c>
      <c r="AK117" s="326">
        <f t="shared" ref="AK117:AM117" si="751">SUM(P117,W117,AD117)</f>
        <v>1106713.22</v>
      </c>
      <c r="AL117" s="326">
        <f t="shared" si="751"/>
        <v>175392.96</v>
      </c>
      <c r="AM117" s="326">
        <f t="shared" si="751"/>
        <v>1282106.18</v>
      </c>
      <c r="AN117" s="326">
        <f t="shared" si="628"/>
        <v>-1901792.6367386503</v>
      </c>
      <c r="AO117" s="98">
        <f t="shared" si="734"/>
        <v>0.40268433571431594</v>
      </c>
      <c r="AP117" s="125">
        <f t="shared" si="742"/>
        <v>638444.43000000005</v>
      </c>
      <c r="AQ117" s="140">
        <f t="shared" si="629"/>
        <v>168592.11000000002</v>
      </c>
      <c r="AR117" s="123">
        <f t="shared" si="630"/>
        <v>117860.16</v>
      </c>
      <c r="AS117" s="148">
        <f t="shared" si="631"/>
        <v>286452.27</v>
      </c>
      <c r="AT117" s="125">
        <f t="shared" si="632"/>
        <v>529895.49</v>
      </c>
      <c r="AU117" s="140">
        <f t="shared" si="633"/>
        <v>0</v>
      </c>
      <c r="AV117" s="326">
        <f t="shared" si="634"/>
        <v>0</v>
      </c>
      <c r="AW117" s="333">
        <f t="shared" si="635"/>
        <v>0</v>
      </c>
      <c r="AX117" s="125">
        <f t="shared" si="743"/>
        <v>0</v>
      </c>
      <c r="AY117" s="1041">
        <f t="shared" si="658"/>
        <v>36306.120000000003</v>
      </c>
      <c r="AZ117" s="123">
        <f t="shared" si="659"/>
        <v>30938.32</v>
      </c>
      <c r="BA117" s="125">
        <f t="shared" si="660"/>
        <v>67244.44</v>
      </c>
      <c r="BB117" s="122">
        <f t="shared" ref="BB117:BD117" si="752">SUM(AY117,AU117,AQ117)</f>
        <v>204898.23</v>
      </c>
      <c r="BC117" s="326">
        <f t="shared" si="752"/>
        <v>148798.48000000001</v>
      </c>
      <c r="BD117" s="333">
        <f t="shared" si="752"/>
        <v>353696.71</v>
      </c>
      <c r="BE117" s="123">
        <f t="shared" si="662"/>
        <v>1460409.93</v>
      </c>
      <c r="BF117" s="326">
        <f t="shared" ref="BF117:BG117" si="753">BC117+AL117</f>
        <v>324191.44</v>
      </c>
      <c r="BG117" s="435">
        <f t="shared" si="753"/>
        <v>1635802.89</v>
      </c>
      <c r="BH117" s="125">
        <f t="shared" si="746"/>
        <v>406269.52</v>
      </c>
      <c r="BI117" s="140">
        <f t="shared" si="664"/>
        <v>0</v>
      </c>
      <c r="BJ117" s="326">
        <f t="shared" si="665"/>
        <v>0</v>
      </c>
      <c r="BK117" s="333">
        <f t="shared" si="666"/>
        <v>0</v>
      </c>
      <c r="BL117" s="125">
        <f t="shared" si="747"/>
        <v>454602.14</v>
      </c>
      <c r="BM117" s="141">
        <f t="shared" si="667"/>
        <v>0</v>
      </c>
      <c r="BN117" s="332">
        <f t="shared" si="668"/>
        <v>0</v>
      </c>
      <c r="BO117" s="333">
        <f t="shared" si="669"/>
        <v>0</v>
      </c>
      <c r="BP117" s="125">
        <f t="shared" si="748"/>
        <v>384769.61</v>
      </c>
      <c r="BQ117" s="140">
        <f t="shared" si="670"/>
        <v>0</v>
      </c>
      <c r="BR117" s="123">
        <f t="shared" si="671"/>
        <v>0</v>
      </c>
      <c r="BS117" s="148">
        <f t="shared" si="672"/>
        <v>0</v>
      </c>
      <c r="BT117" s="140">
        <f t="shared" ref="BT117:BV117" si="754">SUM(BQ117,BM117,BI117)</f>
        <v>0</v>
      </c>
      <c r="BU117" s="123">
        <f t="shared" si="754"/>
        <v>0</v>
      </c>
      <c r="BV117" s="148">
        <f t="shared" si="754"/>
        <v>0</v>
      </c>
      <c r="BW117" s="125">
        <f t="shared" si="640"/>
        <v>1087327.1000000001</v>
      </c>
      <c r="BX117" s="140">
        <f t="shared" si="674"/>
        <v>0</v>
      </c>
      <c r="BY117" s="123">
        <f t="shared" si="675"/>
        <v>0</v>
      </c>
      <c r="BZ117" s="148">
        <f t="shared" si="676"/>
        <v>0</v>
      </c>
      <c r="CA117" s="123">
        <f t="shared" si="641"/>
        <v>327857.05</v>
      </c>
      <c r="CB117" s="326">
        <f t="shared" si="642"/>
        <v>586228.29</v>
      </c>
    </row>
    <row r="118" spans="1:80" ht="13">
      <c r="A118" s="422" t="e">
        <f t="shared" si="643"/>
        <v>#N/A</v>
      </c>
      <c r="B118" s="93">
        <f t="shared" si="606"/>
        <v>29</v>
      </c>
      <c r="C118" s="558">
        <f t="shared" si="607"/>
        <v>0.05</v>
      </c>
      <c r="D118" s="558">
        <f t="shared" si="608"/>
        <v>0.2</v>
      </c>
      <c r="E118" s="715">
        <f t="shared" si="609"/>
        <v>0</v>
      </c>
      <c r="F118" s="701">
        <f t="shared" si="644"/>
        <v>4</v>
      </c>
      <c r="G118" s="700" t="str">
        <f t="shared" si="645"/>
        <v>Lista</v>
      </c>
      <c r="H118" s="700">
        <f t="shared" si="646"/>
        <v>0.2</v>
      </c>
      <c r="I118" s="702">
        <f t="shared" si="647"/>
        <v>0</v>
      </c>
      <c r="J118" s="837">
        <f t="shared" si="648"/>
        <v>70</v>
      </c>
      <c r="K118" s="699" t="str">
        <f t="shared" si="649"/>
        <v>Lista</v>
      </c>
      <c r="L118" s="1040">
        <f t="shared" si="650"/>
        <v>0.11</v>
      </c>
      <c r="M118" s="1114" t="s">
        <v>1103</v>
      </c>
      <c r="N118" s="123">
        <f t="shared" si="738"/>
        <v>0</v>
      </c>
      <c r="O118" s="326">
        <v>1500000</v>
      </c>
      <c r="P118" s="704">
        <f t="shared" si="610"/>
        <v>0</v>
      </c>
      <c r="Q118" s="704">
        <f t="shared" si="611"/>
        <v>39976.720000000001</v>
      </c>
      <c r="R118" s="704">
        <f t="shared" si="612"/>
        <v>39976.720000000001</v>
      </c>
      <c r="S118" s="326">
        <f t="shared" si="613"/>
        <v>-1460023.28</v>
      </c>
      <c r="T118" s="137">
        <f t="shared" si="730"/>
        <v>2.6651146666666667E-2</v>
      </c>
      <c r="U118" s="332">
        <f t="shared" si="614"/>
        <v>827130.87</v>
      </c>
      <c r="V118" s="141">
        <f t="shared" si="739"/>
        <v>1497706.5445807499</v>
      </c>
      <c r="W118" s="113">
        <f t="shared" si="616"/>
        <v>10532.910000000033</v>
      </c>
      <c r="X118" s="704">
        <f t="shared" si="617"/>
        <v>393696.29</v>
      </c>
      <c r="Y118" s="117">
        <f t="shared" si="618"/>
        <v>404229.2</v>
      </c>
      <c r="Z118" s="123">
        <f t="shared" si="740"/>
        <v>-1093477.34458075</v>
      </c>
      <c r="AA118" s="98">
        <f t="shared" si="731"/>
        <v>0.26989880057788962</v>
      </c>
      <c r="AB118" s="123">
        <f t="shared" si="620"/>
        <v>0</v>
      </c>
      <c r="AC118" s="326">
        <f t="shared" si="750"/>
        <v>0</v>
      </c>
      <c r="AD118" s="326">
        <f t="shared" si="622"/>
        <v>0</v>
      </c>
      <c r="AE118" s="326">
        <f t="shared" si="623"/>
        <v>280415.82</v>
      </c>
      <c r="AF118" s="326">
        <f t="shared" si="624"/>
        <v>280415.82</v>
      </c>
      <c r="AG118" s="326">
        <f t="shared" si="625"/>
        <v>280415.82</v>
      </c>
      <c r="AH118" s="494" t="str">
        <f t="shared" si="732"/>
        <v/>
      </c>
      <c r="AI118" s="141">
        <f t="shared" si="626"/>
        <v>2997706.5445807502</v>
      </c>
      <c r="AJ118" s="416">
        <f t="shared" si="685"/>
        <v>1476099.39</v>
      </c>
      <c r="AK118" s="326">
        <f t="shared" ref="AK118:AM118" si="755">SUM(P118,W118,AD118)</f>
        <v>10532.910000000033</v>
      </c>
      <c r="AL118" s="326">
        <f t="shared" si="755"/>
        <v>714088.83000000007</v>
      </c>
      <c r="AM118" s="326">
        <f t="shared" si="755"/>
        <v>724621.74</v>
      </c>
      <c r="AN118" s="326">
        <f t="shared" si="628"/>
        <v>-2273084.8045807499</v>
      </c>
      <c r="AO118" s="98">
        <f t="shared" si="734"/>
        <v>0.24172537545743769</v>
      </c>
      <c r="AP118" s="125">
        <f t="shared" si="742"/>
        <v>720375.26</v>
      </c>
      <c r="AQ118" s="140">
        <f t="shared" si="629"/>
        <v>0</v>
      </c>
      <c r="AR118" s="123">
        <f t="shared" si="630"/>
        <v>665977.63</v>
      </c>
      <c r="AS118" s="148">
        <f t="shared" si="631"/>
        <v>665977.63</v>
      </c>
      <c r="AT118" s="125">
        <f t="shared" si="632"/>
        <v>715649.36</v>
      </c>
      <c r="AU118" s="140">
        <f t="shared" si="633"/>
        <v>0</v>
      </c>
      <c r="AV118" s="326">
        <f t="shared" si="634"/>
        <v>760356.64</v>
      </c>
      <c r="AW118" s="333">
        <f t="shared" si="635"/>
        <v>760356.64</v>
      </c>
      <c r="AX118" s="125">
        <f t="shared" si="743"/>
        <v>327011.77</v>
      </c>
      <c r="AY118" s="1041">
        <f t="shared" si="658"/>
        <v>0</v>
      </c>
      <c r="AZ118" s="123">
        <f t="shared" si="659"/>
        <v>496354.02</v>
      </c>
      <c r="BA118" s="125">
        <f t="shared" si="660"/>
        <v>496354.02</v>
      </c>
      <c r="BB118" s="122">
        <f t="shared" ref="BB118:BD118" si="756">SUM(AY118,AU118,AQ118)</f>
        <v>0</v>
      </c>
      <c r="BC118" s="326">
        <f t="shared" si="756"/>
        <v>1922688.29</v>
      </c>
      <c r="BD118" s="333">
        <f t="shared" si="756"/>
        <v>1922688.29</v>
      </c>
      <c r="BE118" s="123">
        <f t="shared" si="662"/>
        <v>1933221.2000000002</v>
      </c>
      <c r="BF118" s="326">
        <f t="shared" ref="BF118:BG118" si="757">BC118+AL118</f>
        <v>2636777.12</v>
      </c>
      <c r="BG118" s="435">
        <f t="shared" si="757"/>
        <v>2647310.0300000003</v>
      </c>
      <c r="BH118" s="125">
        <f t="shared" si="746"/>
        <v>182375.89</v>
      </c>
      <c r="BI118" s="140">
        <f t="shared" si="664"/>
        <v>0</v>
      </c>
      <c r="BJ118" s="326">
        <f t="shared" si="665"/>
        <v>185967.2</v>
      </c>
      <c r="BK118" s="333">
        <f t="shared" si="666"/>
        <v>185967.2</v>
      </c>
      <c r="BL118" s="125">
        <f t="shared" si="747"/>
        <v>376252.8</v>
      </c>
      <c r="BM118" s="141">
        <f t="shared" si="667"/>
        <v>0</v>
      </c>
      <c r="BN118" s="332">
        <f t="shared" si="668"/>
        <v>608694.56000000006</v>
      </c>
      <c r="BO118" s="333">
        <f t="shared" si="669"/>
        <v>608694.56000000006</v>
      </c>
      <c r="BP118" s="125">
        <f t="shared" si="748"/>
        <v>408365.18</v>
      </c>
      <c r="BQ118" s="140">
        <f t="shared" si="670"/>
        <v>0</v>
      </c>
      <c r="BR118" s="123">
        <f t="shared" si="671"/>
        <v>404395.06</v>
      </c>
      <c r="BS118" s="148">
        <f t="shared" si="672"/>
        <v>404395.06</v>
      </c>
      <c r="BT118" s="140">
        <f t="shared" ref="BT118:BV118" si="758">SUM(BQ118,BM118,BI118)</f>
        <v>0</v>
      </c>
      <c r="BU118" s="123">
        <f t="shared" si="758"/>
        <v>1199056.82</v>
      </c>
      <c r="BV118" s="148">
        <f t="shared" si="758"/>
        <v>1199056.82</v>
      </c>
      <c r="BW118" s="125">
        <f t="shared" si="640"/>
        <v>554177.18000000005</v>
      </c>
      <c r="BX118" s="140">
        <f t="shared" si="674"/>
        <v>0</v>
      </c>
      <c r="BY118" s="123">
        <f t="shared" si="675"/>
        <v>663199</v>
      </c>
      <c r="BZ118" s="148">
        <f t="shared" si="676"/>
        <v>663199</v>
      </c>
      <c r="CA118" s="123">
        <f t="shared" si="641"/>
        <v>310607.46999999997</v>
      </c>
      <c r="CB118" s="326">
        <f t="shared" si="642"/>
        <v>611314.74</v>
      </c>
    </row>
    <row r="119" spans="1:80" ht="13">
      <c r="A119" s="422" t="e">
        <f t="shared" si="643"/>
        <v>#N/A</v>
      </c>
      <c r="B119" s="93">
        <f t="shared" si="606"/>
        <v>29</v>
      </c>
      <c r="C119" s="558">
        <f t="shared" si="607"/>
        <v>0.05</v>
      </c>
      <c r="D119" s="558">
        <f t="shared" si="608"/>
        <v>0.2</v>
      </c>
      <c r="E119" s="715">
        <f t="shared" si="609"/>
        <v>0</v>
      </c>
      <c r="F119" s="701">
        <f t="shared" si="644"/>
        <v>4</v>
      </c>
      <c r="G119" s="700" t="str">
        <f t="shared" si="645"/>
        <v>Lista</v>
      </c>
      <c r="H119" s="700">
        <f t="shared" si="646"/>
        <v>0.2</v>
      </c>
      <c r="I119" s="702">
        <f t="shared" si="647"/>
        <v>0</v>
      </c>
      <c r="J119" s="837">
        <f t="shared" si="648"/>
        <v>70</v>
      </c>
      <c r="K119" s="699" t="str">
        <f t="shared" si="649"/>
        <v>Lista</v>
      </c>
      <c r="L119" s="1040">
        <f t="shared" si="650"/>
        <v>0.11</v>
      </c>
      <c r="M119" s="498" t="s">
        <v>1104</v>
      </c>
      <c r="N119" s="123">
        <f t="shared" si="738"/>
        <v>714376.94</v>
      </c>
      <c r="O119" s="326">
        <v>1500000</v>
      </c>
      <c r="P119" s="704">
        <f t="shared" si="610"/>
        <v>0</v>
      </c>
      <c r="Q119" s="704">
        <f t="shared" si="611"/>
        <v>824468.82</v>
      </c>
      <c r="R119" s="704">
        <f t="shared" si="612"/>
        <v>824468.82</v>
      </c>
      <c r="S119" s="326">
        <f t="shared" si="613"/>
        <v>-675531.18</v>
      </c>
      <c r="T119" s="137">
        <f t="shared" si="730"/>
        <v>0.54964587999999992</v>
      </c>
      <c r="U119" s="332">
        <f t="shared" si="614"/>
        <v>463619.92</v>
      </c>
      <c r="V119" s="141">
        <f t="shared" si="739"/>
        <v>839488.179642</v>
      </c>
      <c r="W119" s="113">
        <f t="shared" si="616"/>
        <v>0</v>
      </c>
      <c r="X119" s="704">
        <f t="shared" si="617"/>
        <v>288781.59000000003</v>
      </c>
      <c r="Y119" s="117">
        <f t="shared" si="618"/>
        <v>288781.59000000003</v>
      </c>
      <c r="Z119" s="123">
        <f t="shared" si="740"/>
        <v>-550706.58964199992</v>
      </c>
      <c r="AA119" s="98">
        <f t="shared" si="731"/>
        <v>0.34399720806450307</v>
      </c>
      <c r="AB119" s="123">
        <f t="shared" si="620"/>
        <v>669804.22</v>
      </c>
      <c r="AC119" s="326">
        <f t="shared" si="750"/>
        <v>1100732.8120003</v>
      </c>
      <c r="AD119" s="326">
        <f t="shared" si="622"/>
        <v>0</v>
      </c>
      <c r="AE119" s="326">
        <f t="shared" si="623"/>
        <v>583108.31999999995</v>
      </c>
      <c r="AF119" s="326">
        <f t="shared" si="624"/>
        <v>583108.31999999995</v>
      </c>
      <c r="AG119" s="326">
        <f t="shared" si="625"/>
        <v>-517624.49200030009</v>
      </c>
      <c r="AH119" s="494">
        <f t="shared" si="732"/>
        <v>0.5297455600876928</v>
      </c>
      <c r="AI119" s="141">
        <f t="shared" si="626"/>
        <v>3440220.9916423</v>
      </c>
      <c r="AJ119" s="416">
        <f t="shared" si="685"/>
        <v>1723912.54</v>
      </c>
      <c r="AK119" s="326">
        <f t="shared" ref="AK119:AM119" si="759">SUM(P119,W119,AD119)</f>
        <v>0</v>
      </c>
      <c r="AL119" s="326">
        <f t="shared" si="759"/>
        <v>1696358.73</v>
      </c>
      <c r="AM119" s="326">
        <f t="shared" si="759"/>
        <v>1696358.73</v>
      </c>
      <c r="AN119" s="326">
        <f t="shared" si="628"/>
        <v>-1743862.2616423001</v>
      </c>
      <c r="AO119" s="98">
        <f t="shared" si="734"/>
        <v>0.49309586044650833</v>
      </c>
      <c r="AP119" s="125">
        <f t="shared" si="742"/>
        <v>549606.85</v>
      </c>
      <c r="AQ119" s="140">
        <f t="shared" si="629"/>
        <v>273439.25999999989</v>
      </c>
      <c r="AR119" s="123">
        <f t="shared" si="630"/>
        <v>635691.68000000005</v>
      </c>
      <c r="AS119" s="148">
        <f t="shared" si="631"/>
        <v>909130.94</v>
      </c>
      <c r="AT119" s="125">
        <f t="shared" si="632"/>
        <v>439328.27</v>
      </c>
      <c r="AU119" s="140">
        <f t="shared" si="633"/>
        <v>0</v>
      </c>
      <c r="AV119" s="326">
        <f t="shared" si="634"/>
        <v>502480.24</v>
      </c>
      <c r="AW119" s="333">
        <f t="shared" si="635"/>
        <v>502480.24</v>
      </c>
      <c r="AX119" s="125">
        <f t="shared" si="743"/>
        <v>475379.44</v>
      </c>
      <c r="AY119" s="1041">
        <f t="shared" si="658"/>
        <v>0</v>
      </c>
      <c r="AZ119" s="123">
        <f t="shared" si="659"/>
        <v>490363.09</v>
      </c>
      <c r="BA119" s="125">
        <f t="shared" si="660"/>
        <v>490363.09</v>
      </c>
      <c r="BB119" s="122">
        <f t="shared" ref="BB119:BD119" si="760">SUM(AY119,AU119,AQ119)</f>
        <v>273439.25999999989</v>
      </c>
      <c r="BC119" s="326">
        <f t="shared" si="760"/>
        <v>1628535.0100000002</v>
      </c>
      <c r="BD119" s="333">
        <f t="shared" si="760"/>
        <v>1901974.27</v>
      </c>
      <c r="BE119" s="123">
        <f t="shared" si="662"/>
        <v>1901974.27</v>
      </c>
      <c r="BF119" s="326">
        <f t="shared" ref="BF119:BG119" si="761">BC119+AL119</f>
        <v>3324893.74</v>
      </c>
      <c r="BG119" s="435">
        <f t="shared" si="761"/>
        <v>3598333</v>
      </c>
      <c r="BH119" s="125">
        <f t="shared" si="746"/>
        <v>510090.63</v>
      </c>
      <c r="BI119" s="140">
        <f t="shared" si="664"/>
        <v>0</v>
      </c>
      <c r="BJ119" s="326">
        <f t="shared" si="665"/>
        <v>588862.1</v>
      </c>
      <c r="BK119" s="333">
        <f t="shared" si="666"/>
        <v>588862.1</v>
      </c>
      <c r="BL119" s="125">
        <f t="shared" si="747"/>
        <v>449655.33</v>
      </c>
      <c r="BM119" s="141">
        <f t="shared" si="667"/>
        <v>0</v>
      </c>
      <c r="BN119" s="332">
        <f t="shared" si="668"/>
        <v>376796.64</v>
      </c>
      <c r="BO119" s="333">
        <f t="shared" si="669"/>
        <v>376796.64</v>
      </c>
      <c r="BP119" s="125">
        <f t="shared" si="748"/>
        <v>434513.74</v>
      </c>
      <c r="BQ119" s="140">
        <f t="shared" si="670"/>
        <v>0</v>
      </c>
      <c r="BR119" s="123">
        <f t="shared" si="671"/>
        <v>330312.8</v>
      </c>
      <c r="BS119" s="148">
        <f t="shared" si="672"/>
        <v>330312.8</v>
      </c>
      <c r="BT119" s="140">
        <f t="shared" ref="BT119:BV119" si="762">SUM(BQ119,BM119,BI119)</f>
        <v>0</v>
      </c>
      <c r="BU119" s="123">
        <f t="shared" si="762"/>
        <v>1295971.54</v>
      </c>
      <c r="BV119" s="148">
        <f t="shared" si="762"/>
        <v>1295971.54</v>
      </c>
      <c r="BW119" s="125">
        <f t="shared" si="640"/>
        <v>381364.55</v>
      </c>
      <c r="BX119" s="140">
        <f t="shared" si="674"/>
        <v>0</v>
      </c>
      <c r="BY119" s="123">
        <f t="shared" si="675"/>
        <v>658165.96</v>
      </c>
      <c r="BZ119" s="148">
        <f t="shared" si="676"/>
        <v>658165.96</v>
      </c>
      <c r="CA119" s="123">
        <f t="shared" si="641"/>
        <v>933861.64</v>
      </c>
      <c r="CB119" s="326">
        <f t="shared" si="642"/>
        <v>408686.35</v>
      </c>
    </row>
    <row r="120" spans="1:80" ht="13">
      <c r="A120" s="422" t="e">
        <f t="shared" si="643"/>
        <v>#N/A</v>
      </c>
      <c r="B120" s="93">
        <f t="shared" si="606"/>
        <v>4</v>
      </c>
      <c r="C120" s="558" t="str">
        <f t="shared" si="607"/>
        <v>Lista</v>
      </c>
      <c r="D120" s="558">
        <f t="shared" si="608"/>
        <v>0.2</v>
      </c>
      <c r="E120" s="715">
        <f t="shared" si="609"/>
        <v>0</v>
      </c>
      <c r="F120" s="701">
        <f t="shared" si="644"/>
        <v>4</v>
      </c>
      <c r="G120" s="700" t="str">
        <f t="shared" si="645"/>
        <v>Lista</v>
      </c>
      <c r="H120" s="700">
        <f t="shared" si="646"/>
        <v>0.2</v>
      </c>
      <c r="I120" s="702">
        <f t="shared" si="647"/>
        <v>0</v>
      </c>
      <c r="J120" s="837">
        <f t="shared" si="648"/>
        <v>70</v>
      </c>
      <c r="K120" s="699" t="str">
        <f t="shared" si="649"/>
        <v>Lista</v>
      </c>
      <c r="L120" s="1040">
        <f t="shared" si="650"/>
        <v>0.11</v>
      </c>
      <c r="M120" s="498" t="s">
        <v>1105</v>
      </c>
      <c r="N120" s="123">
        <f t="shared" si="738"/>
        <v>181038.17</v>
      </c>
      <c r="O120" s="326">
        <f>(N120*1.601)*1.05</f>
        <v>304334.21567850001</v>
      </c>
      <c r="P120" s="704">
        <f t="shared" si="610"/>
        <v>64554.659999999916</v>
      </c>
      <c r="Q120" s="704">
        <f t="shared" si="611"/>
        <v>1402675.55</v>
      </c>
      <c r="R120" s="704">
        <f t="shared" si="612"/>
        <v>1467230.21</v>
      </c>
      <c r="S120" s="326">
        <f t="shared" si="613"/>
        <v>1162895.9943215</v>
      </c>
      <c r="T120" s="137">
        <f t="shared" si="730"/>
        <v>4.8211148612681409</v>
      </c>
      <c r="U120" s="332">
        <f t="shared" si="614"/>
        <v>459318.48</v>
      </c>
      <c r="V120" s="141">
        <f t="shared" si="739"/>
        <v>831699.45469799999</v>
      </c>
      <c r="W120" s="113">
        <f t="shared" si="616"/>
        <v>0</v>
      </c>
      <c r="X120" s="704">
        <f t="shared" si="617"/>
        <v>847979.42</v>
      </c>
      <c r="Y120" s="117">
        <f t="shared" si="618"/>
        <v>847979.42</v>
      </c>
      <c r="Z120" s="123">
        <f t="shared" si="740"/>
        <v>16279.965302000055</v>
      </c>
      <c r="AA120" s="98">
        <f t="shared" si="731"/>
        <v>1.0195743368713781</v>
      </c>
      <c r="AB120" s="123">
        <f t="shared" si="620"/>
        <v>616616.07999999996</v>
      </c>
      <c r="AC120" s="326">
        <f t="shared" si="750"/>
        <v>1013325.2843091999</v>
      </c>
      <c r="AD120" s="326">
        <f t="shared" si="622"/>
        <v>0</v>
      </c>
      <c r="AE120" s="326">
        <f t="shared" si="623"/>
        <v>524426.96</v>
      </c>
      <c r="AF120" s="326">
        <f t="shared" si="624"/>
        <v>524426.96</v>
      </c>
      <c r="AG120" s="326">
        <f t="shared" si="625"/>
        <v>-488898.32430919993</v>
      </c>
      <c r="AH120" s="494">
        <f t="shared" si="732"/>
        <v>0.5175307160696283</v>
      </c>
      <c r="AI120" s="141">
        <f t="shared" si="626"/>
        <v>2149358.9546857001</v>
      </c>
      <c r="AJ120" s="416">
        <f t="shared" si="685"/>
        <v>1489162.4</v>
      </c>
      <c r="AK120" s="326">
        <f t="shared" ref="AK120:AM120" si="763">SUM(P120,W120,AD120)</f>
        <v>64554.659999999916</v>
      </c>
      <c r="AL120" s="326">
        <f t="shared" si="763"/>
        <v>2775081.93</v>
      </c>
      <c r="AM120" s="326">
        <f t="shared" si="763"/>
        <v>2839636.59</v>
      </c>
      <c r="AN120" s="326">
        <f t="shared" si="628"/>
        <v>690277.63531429972</v>
      </c>
      <c r="AO120" s="98">
        <f t="shared" si="734"/>
        <v>1.3211551210696859</v>
      </c>
      <c r="AP120" s="125">
        <f t="shared" si="742"/>
        <v>867627.9</v>
      </c>
      <c r="AQ120" s="140">
        <f t="shared" si="629"/>
        <v>0</v>
      </c>
      <c r="AR120" s="123">
        <f t="shared" si="630"/>
        <v>845011.36</v>
      </c>
      <c r="AS120" s="148">
        <f t="shared" si="631"/>
        <v>845011.36</v>
      </c>
      <c r="AT120" s="125">
        <f t="shared" si="632"/>
        <v>204553.52</v>
      </c>
      <c r="AU120" s="140">
        <f t="shared" si="633"/>
        <v>0</v>
      </c>
      <c r="AV120" s="326">
        <f t="shared" si="634"/>
        <v>799826.6</v>
      </c>
      <c r="AW120" s="333">
        <f t="shared" si="635"/>
        <v>799826.6</v>
      </c>
      <c r="AX120" s="125">
        <f t="shared" si="743"/>
        <v>522912.03</v>
      </c>
      <c r="AY120" s="1041">
        <f t="shared" si="658"/>
        <v>0</v>
      </c>
      <c r="AZ120" s="123">
        <f t="shared" si="659"/>
        <v>710290.08</v>
      </c>
      <c r="BA120" s="125">
        <f t="shared" si="660"/>
        <v>710290.08</v>
      </c>
      <c r="BB120" s="122">
        <f t="shared" ref="BB120:BD120" si="764">SUM(AY120,AU120,AQ120)</f>
        <v>0</v>
      </c>
      <c r="BC120" s="326">
        <f t="shared" si="764"/>
        <v>2355128.04</v>
      </c>
      <c r="BD120" s="333">
        <f t="shared" si="764"/>
        <v>2355128.04</v>
      </c>
      <c r="BE120" s="123">
        <f t="shared" si="662"/>
        <v>2419682.7000000002</v>
      </c>
      <c r="BF120" s="326">
        <f t="shared" ref="BF120:BG120" si="765">BC120+AL120</f>
        <v>5130209.9700000007</v>
      </c>
      <c r="BG120" s="435">
        <f t="shared" si="765"/>
        <v>5194764.63</v>
      </c>
      <c r="BH120" s="125">
        <f t="shared" si="746"/>
        <v>926368.82</v>
      </c>
      <c r="BI120" s="140">
        <f t="shared" si="664"/>
        <v>0</v>
      </c>
      <c r="BJ120" s="326">
        <f t="shared" si="665"/>
        <v>1452627.84</v>
      </c>
      <c r="BK120" s="333">
        <f t="shared" si="666"/>
        <v>1452627.84</v>
      </c>
      <c r="BL120" s="125">
        <f t="shared" si="747"/>
        <v>878299.14</v>
      </c>
      <c r="BM120" s="141">
        <f t="shared" si="667"/>
        <v>0</v>
      </c>
      <c r="BN120" s="332">
        <f t="shared" si="668"/>
        <v>480254.88</v>
      </c>
      <c r="BO120" s="333">
        <f t="shared" si="669"/>
        <v>480254.88</v>
      </c>
      <c r="BP120" s="125">
        <f t="shared" si="748"/>
        <v>529583.43999999994</v>
      </c>
      <c r="BQ120" s="140">
        <f t="shared" si="670"/>
        <v>98770.070000000065</v>
      </c>
      <c r="BR120" s="123">
        <f t="shared" si="671"/>
        <v>921028.2</v>
      </c>
      <c r="BS120" s="148">
        <f t="shared" si="672"/>
        <v>1019798.27</v>
      </c>
      <c r="BT120" s="140">
        <f t="shared" ref="BT120:BV120" si="766">SUM(BQ120,BM120,BI120)</f>
        <v>98770.070000000065</v>
      </c>
      <c r="BU120" s="123">
        <f t="shared" si="766"/>
        <v>2853910.92</v>
      </c>
      <c r="BV120" s="148">
        <f t="shared" si="766"/>
        <v>2952680.99</v>
      </c>
      <c r="BW120" s="125">
        <f t="shared" si="640"/>
        <v>683105.92</v>
      </c>
      <c r="BX120" s="140">
        <f t="shared" si="674"/>
        <v>0</v>
      </c>
      <c r="BY120" s="123">
        <f t="shared" si="675"/>
        <v>798080.16</v>
      </c>
      <c r="BZ120" s="148">
        <f t="shared" si="676"/>
        <v>798080.16</v>
      </c>
      <c r="CA120" s="123">
        <f t="shared" si="641"/>
        <v>522518.8</v>
      </c>
      <c r="CB120" s="326">
        <f t="shared" si="642"/>
        <v>283537.68</v>
      </c>
    </row>
    <row r="121" spans="1:80" ht="13">
      <c r="A121" s="422" t="e">
        <f t="shared" si="643"/>
        <v>#N/A</v>
      </c>
      <c r="B121" s="93">
        <f t="shared" si="606"/>
        <v>30</v>
      </c>
      <c r="C121" s="558">
        <f t="shared" si="607"/>
        <v>0.1</v>
      </c>
      <c r="D121" s="558">
        <f t="shared" si="608"/>
        <v>0.15</v>
      </c>
      <c r="E121" s="715">
        <f t="shared" si="609"/>
        <v>0</v>
      </c>
      <c r="F121" s="701">
        <f t="shared" si="644"/>
        <v>6</v>
      </c>
      <c r="G121" s="700" t="str">
        <f t="shared" si="645"/>
        <v>Lista</v>
      </c>
      <c r="H121" s="700">
        <f t="shared" si="646"/>
        <v>0.15</v>
      </c>
      <c r="I121" s="702">
        <f t="shared" si="647"/>
        <v>0</v>
      </c>
      <c r="J121" s="837">
        <f t="shared" si="648"/>
        <v>70</v>
      </c>
      <c r="K121" s="699" t="str">
        <f t="shared" si="649"/>
        <v>Lista</v>
      </c>
      <c r="L121" s="1040">
        <f t="shared" si="650"/>
        <v>0.11</v>
      </c>
      <c r="M121" s="498" t="s">
        <v>1106</v>
      </c>
      <c r="N121" s="123">
        <f t="shared" si="738"/>
        <v>0</v>
      </c>
      <c r="O121" s="326">
        <v>1800000</v>
      </c>
      <c r="P121" s="704">
        <f t="shared" si="610"/>
        <v>18103.14</v>
      </c>
      <c r="Q121" s="704">
        <f t="shared" si="611"/>
        <v>129853.99</v>
      </c>
      <c r="R121" s="704">
        <f t="shared" si="612"/>
        <v>147957.13</v>
      </c>
      <c r="S121" s="326">
        <f t="shared" si="613"/>
        <v>-1652042.87</v>
      </c>
      <c r="T121" s="137">
        <f>R121/O121</f>
        <v>8.2198405555555562E-2</v>
      </c>
      <c r="U121" s="332">
        <f t="shared" si="614"/>
        <v>0</v>
      </c>
      <c r="V121" s="141">
        <v>1800000</v>
      </c>
      <c r="W121" s="113">
        <f t="shared" si="616"/>
        <v>3603.6600000000035</v>
      </c>
      <c r="X121" s="704">
        <f t="shared" si="617"/>
        <v>241689.77</v>
      </c>
      <c r="Y121" s="117">
        <f t="shared" si="618"/>
        <v>245293.43</v>
      </c>
      <c r="Z121" s="123">
        <f t="shared" si="740"/>
        <v>-1554706.57</v>
      </c>
      <c r="AA121" s="98">
        <f>Y121/V121</f>
        <v>0.13627412777777778</v>
      </c>
      <c r="AB121" s="123">
        <f t="shared" si="620"/>
        <v>0</v>
      </c>
      <c r="AC121" s="326">
        <v>1800000</v>
      </c>
      <c r="AD121" s="326">
        <f t="shared" si="622"/>
        <v>0</v>
      </c>
      <c r="AE121" s="326">
        <f t="shared" si="623"/>
        <v>274713.71000000002</v>
      </c>
      <c r="AF121" s="326">
        <f t="shared" si="624"/>
        <v>274713.71000000002</v>
      </c>
      <c r="AG121" s="326">
        <f t="shared" si="625"/>
        <v>-1525286.29</v>
      </c>
      <c r="AH121" s="494">
        <f>AF121/AC121</f>
        <v>0.1526187277777778</v>
      </c>
      <c r="AI121" s="141">
        <f t="shared" si="626"/>
        <v>5400000</v>
      </c>
      <c r="AJ121" s="416">
        <f t="shared" si="685"/>
        <v>517234.68</v>
      </c>
      <c r="AK121" s="326">
        <f t="shared" ref="AK121:AM121" si="767">SUM(P121,W121,AD121)</f>
        <v>21706.800000000003</v>
      </c>
      <c r="AL121" s="326">
        <f t="shared" si="767"/>
        <v>646257.47</v>
      </c>
      <c r="AM121" s="326">
        <f t="shared" si="767"/>
        <v>667964.27</v>
      </c>
      <c r="AN121" s="326">
        <f t="shared" si="628"/>
        <v>-4732035.7300000004</v>
      </c>
      <c r="AO121" s="98">
        <f>AM121/AI121</f>
        <v>0.12369708703703704</v>
      </c>
      <c r="AP121" s="125">
        <f t="shared" si="742"/>
        <v>0</v>
      </c>
      <c r="AQ121" s="140">
        <f t="shared" si="629"/>
        <v>0</v>
      </c>
      <c r="AR121" s="123">
        <f t="shared" si="630"/>
        <v>172189.6</v>
      </c>
      <c r="AS121" s="148">
        <f t="shared" si="631"/>
        <v>172189.6</v>
      </c>
      <c r="AT121" s="125">
        <f t="shared" si="632"/>
        <v>119635.87</v>
      </c>
      <c r="AU121" s="140">
        <f t="shared" si="633"/>
        <v>302160.73</v>
      </c>
      <c r="AV121" s="326">
        <f t="shared" si="634"/>
        <v>210215.2</v>
      </c>
      <c r="AW121" s="333">
        <f t="shared" si="635"/>
        <v>512375.93</v>
      </c>
      <c r="AX121" s="125">
        <f t="shared" si="743"/>
        <v>63563</v>
      </c>
      <c r="AY121" s="1041">
        <f t="shared" si="658"/>
        <v>9828</v>
      </c>
      <c r="AZ121" s="123">
        <f t="shared" si="659"/>
        <v>130556.69</v>
      </c>
      <c r="BA121" s="125">
        <f t="shared" si="660"/>
        <v>140384.69</v>
      </c>
      <c r="BB121" s="122">
        <f t="shared" ref="BB121:BD121" si="768">SUM(AY121,AU121,AQ121)</f>
        <v>311988.73</v>
      </c>
      <c r="BC121" s="326">
        <f t="shared" si="768"/>
        <v>512961.49</v>
      </c>
      <c r="BD121" s="333">
        <f t="shared" si="768"/>
        <v>824950.22</v>
      </c>
      <c r="BE121" s="123">
        <f t="shared" si="662"/>
        <v>846657.02</v>
      </c>
      <c r="BF121" s="326">
        <f t="shared" ref="BF121:BG121" si="769">BC121+AL121</f>
        <v>1159218.96</v>
      </c>
      <c r="BG121" s="435">
        <f t="shared" si="769"/>
        <v>1492914.49</v>
      </c>
      <c r="BH121" s="125">
        <f t="shared" si="746"/>
        <v>211599.51</v>
      </c>
      <c r="BI121" s="140">
        <f t="shared" si="664"/>
        <v>0</v>
      </c>
      <c r="BJ121" s="326">
        <f t="shared" si="665"/>
        <v>231357.11</v>
      </c>
      <c r="BK121" s="333">
        <f t="shared" si="666"/>
        <v>231357.11</v>
      </c>
      <c r="BL121" s="125">
        <f t="shared" si="747"/>
        <v>163627.54999999999</v>
      </c>
      <c r="BM121" s="141">
        <f t="shared" si="667"/>
        <v>84218.200000000012</v>
      </c>
      <c r="BN121" s="332">
        <f t="shared" si="668"/>
        <v>130556.69</v>
      </c>
      <c r="BO121" s="333">
        <f t="shared" si="669"/>
        <v>214774.89</v>
      </c>
      <c r="BP121" s="125">
        <f t="shared" si="748"/>
        <v>313328.90999999997</v>
      </c>
      <c r="BQ121" s="140">
        <f t="shared" si="670"/>
        <v>74567.599999999991</v>
      </c>
      <c r="BR121" s="123">
        <f t="shared" si="671"/>
        <v>105576.71</v>
      </c>
      <c r="BS121" s="148">
        <f t="shared" si="672"/>
        <v>180144.31</v>
      </c>
      <c r="BT121" s="140">
        <f t="shared" ref="BT121:BV121" si="770">SUM(BQ121,BM121,BI121)</f>
        <v>158785.79999999999</v>
      </c>
      <c r="BU121" s="123">
        <f t="shared" si="770"/>
        <v>467490.51</v>
      </c>
      <c r="BV121" s="148">
        <f t="shared" si="770"/>
        <v>626276.31000000006</v>
      </c>
      <c r="BW121" s="125">
        <f t="shared" si="640"/>
        <v>195939.91</v>
      </c>
      <c r="BX121" s="140">
        <f t="shared" si="674"/>
        <v>170036.45</v>
      </c>
      <c r="BY121" s="123">
        <f t="shared" si="675"/>
        <v>176546.39</v>
      </c>
      <c r="BZ121" s="148">
        <f t="shared" si="676"/>
        <v>346582.84</v>
      </c>
      <c r="CA121" s="123">
        <f t="shared" si="641"/>
        <v>115049.41</v>
      </c>
      <c r="CB121" s="326">
        <f t="shared" si="642"/>
        <v>206245.36</v>
      </c>
    </row>
    <row r="122" spans="1:80" ht="13">
      <c r="A122" s="422" t="e">
        <f t="shared" si="643"/>
        <v>#N/A</v>
      </c>
      <c r="B122" s="93">
        <f t="shared" si="606"/>
        <v>6</v>
      </c>
      <c r="C122" s="558" t="str">
        <f t="shared" si="607"/>
        <v>Lista</v>
      </c>
      <c r="D122" s="558">
        <f t="shared" si="608"/>
        <v>0.15</v>
      </c>
      <c r="E122" s="715">
        <f t="shared" si="609"/>
        <v>0</v>
      </c>
      <c r="F122" s="701">
        <f t="shared" si="644"/>
        <v>6</v>
      </c>
      <c r="G122" s="700" t="str">
        <f t="shared" si="645"/>
        <v>Lista</v>
      </c>
      <c r="H122" s="700">
        <f t="shared" si="646"/>
        <v>0.15</v>
      </c>
      <c r="I122" s="702">
        <f t="shared" si="647"/>
        <v>0</v>
      </c>
      <c r="J122" s="837">
        <f t="shared" si="648"/>
        <v>70</v>
      </c>
      <c r="K122" s="699" t="str">
        <f t="shared" si="649"/>
        <v>Lista</v>
      </c>
      <c r="L122" s="1040">
        <f t="shared" si="650"/>
        <v>0.11</v>
      </c>
      <c r="M122" s="498" t="s">
        <v>887</v>
      </c>
      <c r="N122" s="123">
        <f t="shared" si="738"/>
        <v>152266.74</v>
      </c>
      <c r="O122" s="326">
        <f t="shared" ref="O122:O124" si="771">(N122*1.601)*1.05</f>
        <v>255968.00327699998</v>
      </c>
      <c r="P122" s="704">
        <f t="shared" si="610"/>
        <v>0</v>
      </c>
      <c r="Q122" s="704">
        <f t="shared" si="611"/>
        <v>317975.8</v>
      </c>
      <c r="R122" s="704">
        <f t="shared" si="612"/>
        <v>317975.8</v>
      </c>
      <c r="S122" s="326">
        <f t="shared" si="613"/>
        <v>62007.796723000007</v>
      </c>
      <c r="T122" s="137">
        <f>IFERROR(R122/O122,"")</f>
        <v>1.2422482338774867</v>
      </c>
      <c r="U122" s="332">
        <f t="shared" si="614"/>
        <v>135390.9</v>
      </c>
      <c r="V122" s="141">
        <f t="shared" ref="V122:V123" si="772">(U122*1.7245)*1.05</f>
        <v>245155.68740250001</v>
      </c>
      <c r="W122" s="113">
        <f t="shared" si="616"/>
        <v>0</v>
      </c>
      <c r="X122" s="704">
        <f t="shared" si="617"/>
        <v>0</v>
      </c>
      <c r="Y122" s="117">
        <f t="shared" si="618"/>
        <v>0</v>
      </c>
      <c r="Z122" s="123">
        <f t="shared" si="740"/>
        <v>-245155.68740250001</v>
      </c>
      <c r="AA122" s="98">
        <f>IFERROR(Y122/V122,"")</f>
        <v>0</v>
      </c>
      <c r="AB122" s="123">
        <f t="shared" si="620"/>
        <v>172400.18</v>
      </c>
      <c r="AC122" s="326">
        <f t="shared" ref="AC122:AC124" si="773">(AB122*1.5955)*1.03</f>
        <v>283316.42180569994</v>
      </c>
      <c r="AD122" s="326">
        <f t="shared" si="622"/>
        <v>0</v>
      </c>
      <c r="AE122" s="326">
        <f t="shared" si="623"/>
        <v>128228.28</v>
      </c>
      <c r="AF122" s="326">
        <f t="shared" si="624"/>
        <v>128228.28</v>
      </c>
      <c r="AG122" s="326">
        <f t="shared" si="625"/>
        <v>-155088.14180569994</v>
      </c>
      <c r="AH122" s="494">
        <f>IFERROR(AF122/AC122,"")</f>
        <v>0.45259741451887919</v>
      </c>
      <c r="AI122" s="141">
        <f t="shared" si="626"/>
        <v>784440.11248519993</v>
      </c>
      <c r="AJ122" s="416">
        <f t="shared" si="685"/>
        <v>262687.89</v>
      </c>
      <c r="AK122" s="326">
        <f t="shared" ref="AK122:AM122" si="774">SUM(P122,W122,AD122)</f>
        <v>0</v>
      </c>
      <c r="AL122" s="326">
        <f t="shared" si="774"/>
        <v>446204.07999999996</v>
      </c>
      <c r="AM122" s="326">
        <f t="shared" si="774"/>
        <v>446204.07999999996</v>
      </c>
      <c r="AN122" s="326">
        <f t="shared" si="628"/>
        <v>-338236.03248519998</v>
      </c>
      <c r="AO122" s="98">
        <f>IFERROR(AM122/AI122,"")</f>
        <v>0.56881854063578186</v>
      </c>
      <c r="AP122" s="125">
        <f t="shared" si="742"/>
        <v>187045.98</v>
      </c>
      <c r="AQ122" s="140">
        <f t="shared" si="629"/>
        <v>0</v>
      </c>
      <c r="AR122" s="123">
        <f t="shared" si="630"/>
        <v>136591.43</v>
      </c>
      <c r="AS122" s="148">
        <f t="shared" si="631"/>
        <v>136591.43</v>
      </c>
      <c r="AT122" s="125">
        <f t="shared" si="632"/>
        <v>114650.09</v>
      </c>
      <c r="AU122" s="140">
        <f t="shared" si="633"/>
        <v>0</v>
      </c>
      <c r="AV122" s="326">
        <f t="shared" si="634"/>
        <v>100979.75</v>
      </c>
      <c r="AW122" s="333">
        <f t="shared" si="635"/>
        <v>100979.75</v>
      </c>
      <c r="AX122" s="125">
        <f t="shared" si="743"/>
        <v>0</v>
      </c>
      <c r="AY122" s="1041">
        <f t="shared" si="658"/>
        <v>0</v>
      </c>
      <c r="AZ122" s="123">
        <f t="shared" si="659"/>
        <v>0</v>
      </c>
      <c r="BA122" s="125">
        <f t="shared" si="660"/>
        <v>0</v>
      </c>
      <c r="BB122" s="122">
        <f t="shared" ref="BB122:BD122" si="775">SUM(AY122,AU122,AQ122)</f>
        <v>0</v>
      </c>
      <c r="BC122" s="326">
        <f t="shared" si="775"/>
        <v>237571.18</v>
      </c>
      <c r="BD122" s="333">
        <f t="shared" si="775"/>
        <v>237571.18</v>
      </c>
      <c r="BE122" s="123">
        <f t="shared" si="662"/>
        <v>237571.18</v>
      </c>
      <c r="BF122" s="326">
        <f t="shared" ref="BF122:BG122" si="776">BC122+AL122</f>
        <v>683775.26</v>
      </c>
      <c r="BG122" s="435">
        <f t="shared" si="776"/>
        <v>683775.26</v>
      </c>
      <c r="BH122" s="125">
        <f t="shared" si="746"/>
        <v>330326.73</v>
      </c>
      <c r="BI122" s="140">
        <f t="shared" si="664"/>
        <v>0</v>
      </c>
      <c r="BJ122" s="326">
        <f t="shared" si="665"/>
        <v>206909.89</v>
      </c>
      <c r="BK122" s="333">
        <f t="shared" si="666"/>
        <v>206909.89</v>
      </c>
      <c r="BL122" s="125">
        <f t="shared" si="747"/>
        <v>149895.48000000001</v>
      </c>
      <c r="BM122" s="141">
        <f t="shared" si="667"/>
        <v>0</v>
      </c>
      <c r="BN122" s="332">
        <f t="shared" si="668"/>
        <v>167885.46</v>
      </c>
      <c r="BO122" s="333">
        <f t="shared" si="669"/>
        <v>167885.46</v>
      </c>
      <c r="BP122" s="125">
        <f t="shared" si="748"/>
        <v>131345.66</v>
      </c>
      <c r="BQ122" s="140">
        <f t="shared" si="670"/>
        <v>0</v>
      </c>
      <c r="BR122" s="123">
        <f t="shared" si="671"/>
        <v>115954.71</v>
      </c>
      <c r="BS122" s="148">
        <f t="shared" si="672"/>
        <v>115954.71</v>
      </c>
      <c r="BT122" s="140">
        <f t="shared" ref="BT122:BV122" si="777">SUM(BQ122,BM122,BI122)</f>
        <v>0</v>
      </c>
      <c r="BU122" s="123">
        <f t="shared" si="777"/>
        <v>490750.06</v>
      </c>
      <c r="BV122" s="148">
        <f t="shared" si="777"/>
        <v>490750.06</v>
      </c>
      <c r="BW122" s="125">
        <f t="shared" si="640"/>
        <v>93350.13</v>
      </c>
      <c r="BX122" s="140">
        <f t="shared" si="674"/>
        <v>0</v>
      </c>
      <c r="BY122" s="123">
        <f t="shared" si="675"/>
        <v>143194.59</v>
      </c>
      <c r="BZ122" s="148">
        <f t="shared" si="676"/>
        <v>143194.59</v>
      </c>
      <c r="CA122" s="123">
        <f t="shared" si="641"/>
        <v>169337.77</v>
      </c>
      <c r="CB122" s="326">
        <f t="shared" si="642"/>
        <v>0</v>
      </c>
    </row>
    <row r="123" spans="1:80" ht="13">
      <c r="A123" s="422" t="e">
        <f t="shared" si="643"/>
        <v>#N/A</v>
      </c>
      <c r="B123" s="93">
        <f t="shared" si="606"/>
        <v>22</v>
      </c>
      <c r="C123" s="558">
        <f t="shared" si="607"/>
        <v>0.1</v>
      </c>
      <c r="D123" s="558">
        <f t="shared" si="608"/>
        <v>0.09</v>
      </c>
      <c r="E123" s="715">
        <f t="shared" si="609"/>
        <v>0</v>
      </c>
      <c r="F123" s="701">
        <f t="shared" si="644"/>
        <v>22</v>
      </c>
      <c r="G123" s="700">
        <f t="shared" si="645"/>
        <v>0.1</v>
      </c>
      <c r="H123" s="700">
        <f t="shared" si="646"/>
        <v>0.09</v>
      </c>
      <c r="I123" s="702">
        <f t="shared" si="647"/>
        <v>0</v>
      </c>
      <c r="J123" s="837">
        <f t="shared" si="648"/>
        <v>63</v>
      </c>
      <c r="K123" s="699">
        <f t="shared" si="649"/>
        <v>0.1</v>
      </c>
      <c r="L123" s="1040">
        <f t="shared" si="650"/>
        <v>0.05</v>
      </c>
      <c r="M123" s="498" t="s">
        <v>1107</v>
      </c>
      <c r="N123" s="123">
        <f t="shared" si="738"/>
        <v>2934961.96</v>
      </c>
      <c r="O123" s="326">
        <f t="shared" si="771"/>
        <v>4933817.8028579997</v>
      </c>
      <c r="P123" s="704">
        <f t="shared" si="610"/>
        <v>1886159.2</v>
      </c>
      <c r="Q123" s="704">
        <f t="shared" si="611"/>
        <v>0</v>
      </c>
      <c r="R123" s="704">
        <f t="shared" si="612"/>
        <v>1886159.2</v>
      </c>
      <c r="S123" s="326">
        <f t="shared" si="613"/>
        <v>-3047658.6028579995</v>
      </c>
      <c r="T123" s="137">
        <f t="shared" ref="T123:T134" si="778">R123/O123</f>
        <v>0.38229202523599665</v>
      </c>
      <c r="U123" s="332">
        <f t="shared" si="614"/>
        <v>3043048.15</v>
      </c>
      <c r="V123" s="141">
        <f t="shared" si="772"/>
        <v>5510123.3614087496</v>
      </c>
      <c r="W123" s="113">
        <f t="shared" si="616"/>
        <v>2188924.2999999998</v>
      </c>
      <c r="X123" s="704">
        <f t="shared" si="617"/>
        <v>0</v>
      </c>
      <c r="Y123" s="117">
        <f t="shared" si="618"/>
        <v>2188924.2999999998</v>
      </c>
      <c r="Z123" s="123">
        <f t="shared" si="740"/>
        <v>-3321199.0614087498</v>
      </c>
      <c r="AA123" s="98">
        <f t="shared" ref="AA123:AA134" si="779">Y123/V123</f>
        <v>0.39725504429366659</v>
      </c>
      <c r="AB123" s="123">
        <f t="shared" si="620"/>
        <v>2109822.12</v>
      </c>
      <c r="AC123" s="326">
        <f t="shared" si="773"/>
        <v>3467207.8282338004</v>
      </c>
      <c r="AD123" s="326">
        <f t="shared" si="622"/>
        <v>2706968.14</v>
      </c>
      <c r="AE123" s="326">
        <f t="shared" si="623"/>
        <v>146481.28</v>
      </c>
      <c r="AF123" s="326">
        <f t="shared" si="624"/>
        <v>2853449.42</v>
      </c>
      <c r="AG123" s="326">
        <f t="shared" si="625"/>
        <v>-613758.40823380044</v>
      </c>
      <c r="AH123" s="494">
        <f t="shared" ref="AH123:AH134" si="780">AF123/AC123</f>
        <v>0.82298193859741897</v>
      </c>
      <c r="AI123" s="141">
        <f t="shared" si="626"/>
        <v>13911148.992500551</v>
      </c>
      <c r="AJ123" s="416">
        <f t="shared" si="685"/>
        <v>13842169.08</v>
      </c>
      <c r="AK123" s="326">
        <f t="shared" ref="AK123:AM123" si="781">SUM(P123,W123,AD123)</f>
        <v>6782051.6400000006</v>
      </c>
      <c r="AL123" s="326">
        <f t="shared" si="781"/>
        <v>146481.28</v>
      </c>
      <c r="AM123" s="326">
        <f t="shared" si="781"/>
        <v>6928532.9199999999</v>
      </c>
      <c r="AN123" s="326">
        <f t="shared" si="628"/>
        <v>-6982616.0725005511</v>
      </c>
      <c r="AO123" s="98">
        <f t="shared" ref="AO123:AO132" si="782">AM123/AI123</f>
        <v>0.4980561220166031</v>
      </c>
      <c r="AP123" s="125">
        <f t="shared" si="742"/>
        <v>2968108.12</v>
      </c>
      <c r="AQ123" s="140">
        <f t="shared" si="629"/>
        <v>3192453.55</v>
      </c>
      <c r="AR123" s="123">
        <f t="shared" si="630"/>
        <v>0</v>
      </c>
      <c r="AS123" s="148">
        <f t="shared" si="631"/>
        <v>3192453.55</v>
      </c>
      <c r="AT123" s="125">
        <f t="shared" si="632"/>
        <v>7468023.5599999996</v>
      </c>
      <c r="AU123" s="140">
        <f t="shared" si="633"/>
        <v>2398237.36</v>
      </c>
      <c r="AV123" s="326">
        <f t="shared" si="634"/>
        <v>164665.85</v>
      </c>
      <c r="AW123" s="333">
        <f t="shared" si="635"/>
        <v>2562903.21</v>
      </c>
      <c r="AX123" s="125">
        <f t="shared" si="743"/>
        <v>4566795.0999999996</v>
      </c>
      <c r="AY123" s="1041">
        <f t="shared" si="658"/>
        <v>1647914.61</v>
      </c>
      <c r="AZ123" s="123">
        <f t="shared" si="659"/>
        <v>0</v>
      </c>
      <c r="BA123" s="125">
        <f t="shared" si="660"/>
        <v>1647914.61</v>
      </c>
      <c r="BB123" s="122">
        <f t="shared" ref="BB123:BD123" si="783">SUM(AY123,AU123,AQ123)</f>
        <v>7238605.5199999996</v>
      </c>
      <c r="BC123" s="326">
        <f t="shared" si="783"/>
        <v>164665.85</v>
      </c>
      <c r="BD123" s="333">
        <f t="shared" si="783"/>
        <v>7403271.3700000001</v>
      </c>
      <c r="BE123" s="123">
        <f t="shared" si="662"/>
        <v>14185323.010000002</v>
      </c>
      <c r="BF123" s="326">
        <f t="shared" ref="BF123:BG123" si="784">BC123+AL123</f>
        <v>311147.13</v>
      </c>
      <c r="BG123" s="435">
        <f t="shared" si="784"/>
        <v>14331804.289999999</v>
      </c>
      <c r="BH123" s="125">
        <f t="shared" si="746"/>
        <v>3424902.07</v>
      </c>
      <c r="BI123" s="140">
        <f t="shared" si="664"/>
        <v>1576532.45</v>
      </c>
      <c r="BJ123" s="326">
        <f t="shared" si="665"/>
        <v>0</v>
      </c>
      <c r="BK123" s="333">
        <f t="shared" si="666"/>
        <v>1576532.45</v>
      </c>
      <c r="BL123" s="125">
        <f t="shared" si="747"/>
        <v>1344442.77</v>
      </c>
      <c r="BM123" s="141">
        <f t="shared" si="667"/>
        <v>2732495.98</v>
      </c>
      <c r="BN123" s="332">
        <f t="shared" si="668"/>
        <v>133207.32999999999</v>
      </c>
      <c r="BO123" s="333">
        <f t="shared" si="669"/>
        <v>2865703.31</v>
      </c>
      <c r="BP123" s="125">
        <f t="shared" si="748"/>
        <v>1813643.73</v>
      </c>
      <c r="BQ123" s="140">
        <f t="shared" si="670"/>
        <v>2219021.7600000002</v>
      </c>
      <c r="BR123" s="123">
        <f t="shared" si="671"/>
        <v>191693.92</v>
      </c>
      <c r="BS123" s="148">
        <f t="shared" si="672"/>
        <v>2410715.6800000002</v>
      </c>
      <c r="BT123" s="140">
        <f t="shared" ref="BT123:BV123" si="785">SUM(BQ123,BM123,BI123)</f>
        <v>6528050.1900000004</v>
      </c>
      <c r="BU123" s="123">
        <f t="shared" si="785"/>
        <v>324901.25</v>
      </c>
      <c r="BV123" s="148">
        <f t="shared" si="785"/>
        <v>6852951.4400000004</v>
      </c>
      <c r="BW123" s="125">
        <f t="shared" si="640"/>
        <v>3494650.04</v>
      </c>
      <c r="BX123" s="140">
        <f t="shared" si="674"/>
        <v>6939855.29</v>
      </c>
      <c r="BY123" s="123">
        <f t="shared" si="675"/>
        <v>57063.75</v>
      </c>
      <c r="BZ123" s="148">
        <f t="shared" si="676"/>
        <v>6996919.04</v>
      </c>
      <c r="CA123" s="123">
        <f t="shared" si="641"/>
        <v>2166991.27</v>
      </c>
      <c r="CB123" s="326">
        <f t="shared" si="642"/>
        <v>8180527.7699999996</v>
      </c>
    </row>
    <row r="124" spans="1:80" ht="13">
      <c r="A124" s="422" t="e">
        <f t="shared" si="643"/>
        <v>#N/A</v>
      </c>
      <c r="B124" s="93">
        <f t="shared" si="606"/>
        <v>7</v>
      </c>
      <c r="C124" s="558">
        <f t="shared" si="607"/>
        <v>0.1</v>
      </c>
      <c r="D124" s="558">
        <f t="shared" si="608"/>
        <v>0.2</v>
      </c>
      <c r="E124" s="715">
        <f t="shared" si="609"/>
        <v>0</v>
      </c>
      <c r="F124" s="701">
        <f t="shared" si="644"/>
        <v>7</v>
      </c>
      <c r="G124" s="700">
        <f t="shared" si="645"/>
        <v>0.1</v>
      </c>
      <c r="H124" s="700">
        <f t="shared" si="646"/>
        <v>0.2</v>
      </c>
      <c r="I124" s="702">
        <f t="shared" si="647"/>
        <v>0</v>
      </c>
      <c r="J124" s="837">
        <f t="shared" si="648"/>
        <v>62</v>
      </c>
      <c r="K124" s="699">
        <f t="shared" si="649"/>
        <v>0.1</v>
      </c>
      <c r="L124" s="1040">
        <f t="shared" si="650"/>
        <v>0.11</v>
      </c>
      <c r="M124" s="498" t="s">
        <v>1108</v>
      </c>
      <c r="N124" s="123">
        <f t="shared" si="738"/>
        <v>1319121.69</v>
      </c>
      <c r="O124" s="326">
        <f t="shared" si="771"/>
        <v>2217509.5169744999</v>
      </c>
      <c r="P124" s="704">
        <f t="shared" si="610"/>
        <v>1792837.2200000002</v>
      </c>
      <c r="Q124" s="704">
        <f t="shared" si="611"/>
        <v>1195470.96</v>
      </c>
      <c r="R124" s="704">
        <f t="shared" si="612"/>
        <v>2988308.18</v>
      </c>
      <c r="S124" s="326">
        <f t="shared" si="613"/>
        <v>770798.66302550025</v>
      </c>
      <c r="T124" s="137">
        <f t="shared" si="778"/>
        <v>1.3475965524049491</v>
      </c>
      <c r="U124" s="332">
        <f t="shared" si="614"/>
        <v>275840.43</v>
      </c>
      <c r="V124" s="141">
        <v>1800000</v>
      </c>
      <c r="W124" s="113">
        <f t="shared" si="616"/>
        <v>901398.59999999986</v>
      </c>
      <c r="X124" s="704">
        <f t="shared" si="617"/>
        <v>656365.55000000005</v>
      </c>
      <c r="Y124" s="117">
        <f t="shared" si="618"/>
        <v>1557764.15</v>
      </c>
      <c r="Z124" s="123">
        <f t="shared" si="740"/>
        <v>-242235.85000000009</v>
      </c>
      <c r="AA124" s="98">
        <f t="shared" si="779"/>
        <v>0.86542452777777767</v>
      </c>
      <c r="AB124" s="123">
        <f t="shared" si="620"/>
        <v>1295615.57</v>
      </c>
      <c r="AC124" s="326">
        <f t="shared" si="773"/>
        <v>2129169.2811930501</v>
      </c>
      <c r="AD124" s="326">
        <f t="shared" si="622"/>
        <v>0</v>
      </c>
      <c r="AE124" s="326">
        <f t="shared" si="623"/>
        <v>0</v>
      </c>
      <c r="AF124" s="326">
        <f t="shared" si="624"/>
        <v>0</v>
      </c>
      <c r="AG124" s="326">
        <f t="shared" si="625"/>
        <v>-2129169.2811930501</v>
      </c>
      <c r="AH124" s="494">
        <f t="shared" si="780"/>
        <v>0</v>
      </c>
      <c r="AI124" s="141">
        <f t="shared" si="626"/>
        <v>6146678.79816755</v>
      </c>
      <c r="AJ124" s="416">
        <f t="shared" si="685"/>
        <v>5387012.1100000003</v>
      </c>
      <c r="AK124" s="326">
        <f t="shared" ref="AK124:AM124" si="786">SUM(P124,W124,AD124)</f>
        <v>2694235.8200000003</v>
      </c>
      <c r="AL124" s="326">
        <f t="shared" si="786"/>
        <v>1851836.51</v>
      </c>
      <c r="AM124" s="326">
        <f t="shared" si="786"/>
        <v>4546072.33</v>
      </c>
      <c r="AN124" s="326">
        <f t="shared" si="628"/>
        <v>-1600606.4681675499</v>
      </c>
      <c r="AO124" s="98">
        <f t="shared" si="782"/>
        <v>0.73959816012433843</v>
      </c>
      <c r="AP124" s="125">
        <f t="shared" si="742"/>
        <v>856610.88</v>
      </c>
      <c r="AQ124" s="140">
        <f t="shared" si="629"/>
        <v>0</v>
      </c>
      <c r="AR124" s="123">
        <f t="shared" si="630"/>
        <v>618689.92000000004</v>
      </c>
      <c r="AS124" s="148">
        <f t="shared" si="631"/>
        <v>618689.92000000004</v>
      </c>
      <c r="AT124" s="125">
        <f t="shared" si="632"/>
        <v>587443.19999999995</v>
      </c>
      <c r="AU124" s="140">
        <f t="shared" si="633"/>
        <v>71579.950000000012</v>
      </c>
      <c r="AV124" s="326">
        <f t="shared" si="634"/>
        <v>296901.59999999998</v>
      </c>
      <c r="AW124" s="333">
        <f t="shared" si="635"/>
        <v>368481.55</v>
      </c>
      <c r="AX124" s="125">
        <f t="shared" si="743"/>
        <v>446236.42</v>
      </c>
      <c r="AY124" s="1041">
        <f t="shared" si="658"/>
        <v>232318.27000000002</v>
      </c>
      <c r="AZ124" s="123">
        <f t="shared" si="659"/>
        <v>610197.28</v>
      </c>
      <c r="BA124" s="125">
        <f t="shared" si="660"/>
        <v>842515.55</v>
      </c>
      <c r="BB124" s="122">
        <f t="shared" ref="BB124:BD124" si="787">SUM(AY124,AU124,AQ124)</f>
        <v>303898.22000000003</v>
      </c>
      <c r="BC124" s="326">
        <f t="shared" si="787"/>
        <v>1525788.8</v>
      </c>
      <c r="BD124" s="333">
        <f t="shared" si="787"/>
        <v>1829687.02</v>
      </c>
      <c r="BE124" s="123">
        <f t="shared" si="662"/>
        <v>4523922.84</v>
      </c>
      <c r="BF124" s="326">
        <f t="shared" ref="BF124:BG124" si="788">BC124+AL124</f>
        <v>3377625.31</v>
      </c>
      <c r="BG124" s="435">
        <f t="shared" si="788"/>
        <v>6375759.3499999996</v>
      </c>
      <c r="BH124" s="125">
        <f t="shared" si="746"/>
        <v>1381922.08</v>
      </c>
      <c r="BI124" s="140">
        <f t="shared" si="664"/>
        <v>0</v>
      </c>
      <c r="BJ124" s="326">
        <f t="shared" si="665"/>
        <v>785569.52</v>
      </c>
      <c r="BK124" s="333">
        <f t="shared" si="666"/>
        <v>785569.52</v>
      </c>
      <c r="BL124" s="125">
        <f t="shared" si="747"/>
        <v>1293086.72</v>
      </c>
      <c r="BM124" s="141">
        <f t="shared" si="667"/>
        <v>287588.44000000006</v>
      </c>
      <c r="BN124" s="332">
        <f t="shared" si="668"/>
        <v>651922.72</v>
      </c>
      <c r="BO124" s="333">
        <f t="shared" si="669"/>
        <v>939511.16</v>
      </c>
      <c r="BP124" s="125">
        <f t="shared" si="748"/>
        <v>742472.03</v>
      </c>
      <c r="BQ124" s="140">
        <f t="shared" si="670"/>
        <v>363521.82000000007</v>
      </c>
      <c r="BR124" s="123">
        <f t="shared" si="671"/>
        <v>574613.43999999994</v>
      </c>
      <c r="BS124" s="148">
        <f t="shared" si="672"/>
        <v>938135.26</v>
      </c>
      <c r="BT124" s="140">
        <f t="shared" ref="BT124:BV124" si="789">SUM(BQ124,BM124,BI124)</f>
        <v>651110.26000000013</v>
      </c>
      <c r="BU124" s="123">
        <f t="shared" si="789"/>
        <v>2012105.68</v>
      </c>
      <c r="BV124" s="148">
        <f t="shared" si="789"/>
        <v>2663215.94</v>
      </c>
      <c r="BW124" s="125">
        <f t="shared" si="640"/>
        <v>1319458.31</v>
      </c>
      <c r="BX124" s="140">
        <f t="shared" si="674"/>
        <v>0</v>
      </c>
      <c r="BY124" s="123">
        <f t="shared" si="675"/>
        <v>997198.24</v>
      </c>
      <c r="BZ124" s="148">
        <f t="shared" si="676"/>
        <v>997198.24</v>
      </c>
      <c r="CA124" s="123">
        <f t="shared" si="641"/>
        <v>1142588.6399999999</v>
      </c>
      <c r="CB124" s="326">
        <f t="shared" si="642"/>
        <v>2924965.15</v>
      </c>
    </row>
    <row r="125" spans="1:80" ht="13">
      <c r="A125" s="422" t="e">
        <f t="shared" si="643"/>
        <v>#N/A</v>
      </c>
      <c r="B125" s="93">
        <f t="shared" si="606"/>
        <v>22</v>
      </c>
      <c r="C125" s="558">
        <f t="shared" si="607"/>
        <v>0.1</v>
      </c>
      <c r="D125" s="558">
        <f t="shared" si="608"/>
        <v>0.09</v>
      </c>
      <c r="E125" s="715">
        <f t="shared" si="609"/>
        <v>0</v>
      </c>
      <c r="F125" s="701">
        <f t="shared" si="644"/>
        <v>22</v>
      </c>
      <c r="G125" s="700">
        <f t="shared" si="645"/>
        <v>0.1</v>
      </c>
      <c r="H125" s="700">
        <f t="shared" si="646"/>
        <v>0.09</v>
      </c>
      <c r="I125" s="702">
        <f t="shared" si="647"/>
        <v>0</v>
      </c>
      <c r="J125" s="837">
        <f t="shared" si="648"/>
        <v>63</v>
      </c>
      <c r="K125" s="699">
        <f t="shared" si="649"/>
        <v>0.1</v>
      </c>
      <c r="L125" s="1040">
        <f t="shared" si="650"/>
        <v>0.05</v>
      </c>
      <c r="M125" s="498" t="s">
        <v>870</v>
      </c>
      <c r="N125" s="123">
        <f t="shared" si="738"/>
        <v>0</v>
      </c>
      <c r="O125" s="326">
        <v>1800000</v>
      </c>
      <c r="P125" s="704">
        <f t="shared" si="610"/>
        <v>8537695.8200000003</v>
      </c>
      <c r="Q125" s="704">
        <f t="shared" si="611"/>
        <v>410198.25</v>
      </c>
      <c r="R125" s="704">
        <f t="shared" si="612"/>
        <v>8947894.0700000003</v>
      </c>
      <c r="S125" s="326">
        <f t="shared" si="613"/>
        <v>7147894.0700000003</v>
      </c>
      <c r="T125" s="137">
        <f t="shared" si="778"/>
        <v>4.9710522611111116</v>
      </c>
      <c r="U125" s="332">
        <f t="shared" si="614"/>
        <v>0</v>
      </c>
      <c r="V125" s="141">
        <v>1800000</v>
      </c>
      <c r="W125" s="113">
        <f t="shared" si="616"/>
        <v>2560963.75</v>
      </c>
      <c r="X125" s="704">
        <f t="shared" si="617"/>
        <v>342534.43</v>
      </c>
      <c r="Y125" s="117">
        <f t="shared" si="618"/>
        <v>2903498.18</v>
      </c>
      <c r="Z125" s="123">
        <f t="shared" si="740"/>
        <v>1103498.1800000002</v>
      </c>
      <c r="AA125" s="98">
        <f t="shared" si="779"/>
        <v>1.6130545444444446</v>
      </c>
      <c r="AB125" s="123">
        <f t="shared" si="620"/>
        <v>0</v>
      </c>
      <c r="AC125" s="326">
        <v>1800000</v>
      </c>
      <c r="AD125" s="326">
        <f t="shared" si="622"/>
        <v>1435604.26</v>
      </c>
      <c r="AE125" s="326">
        <f t="shared" si="623"/>
        <v>521479.72</v>
      </c>
      <c r="AF125" s="326">
        <f t="shared" si="624"/>
        <v>1957083.98</v>
      </c>
      <c r="AG125" s="326">
        <f t="shared" si="625"/>
        <v>157083.97999999998</v>
      </c>
      <c r="AH125" s="494">
        <f t="shared" si="780"/>
        <v>1.0872688777777777</v>
      </c>
      <c r="AI125" s="141">
        <f t="shared" si="626"/>
        <v>5400000</v>
      </c>
      <c r="AJ125" s="416">
        <f t="shared" si="685"/>
        <v>19391045.859999999</v>
      </c>
      <c r="AK125" s="326">
        <f t="shared" ref="AK125:AM125" si="790">SUM(P125,W125,AD125)</f>
        <v>12534263.83</v>
      </c>
      <c r="AL125" s="326">
        <f t="shared" si="790"/>
        <v>1274212.3999999999</v>
      </c>
      <c r="AM125" s="326">
        <f t="shared" si="790"/>
        <v>13808476.23</v>
      </c>
      <c r="AN125" s="326">
        <f t="shared" si="628"/>
        <v>8408476.2300000004</v>
      </c>
      <c r="AO125" s="98">
        <f t="shared" si="782"/>
        <v>2.5571252277777781</v>
      </c>
      <c r="AP125" s="125">
        <f t="shared" si="742"/>
        <v>634527.77</v>
      </c>
      <c r="AQ125" s="140">
        <f t="shared" si="629"/>
        <v>2012782.5499999998</v>
      </c>
      <c r="AR125" s="123">
        <f t="shared" si="630"/>
        <v>454258.85</v>
      </c>
      <c r="AS125" s="148">
        <f t="shared" si="631"/>
        <v>2467041.4</v>
      </c>
      <c r="AT125" s="125">
        <f t="shared" si="632"/>
        <v>4701647.25</v>
      </c>
      <c r="AU125" s="140">
        <f t="shared" si="633"/>
        <v>1290930.95</v>
      </c>
      <c r="AV125" s="326">
        <f t="shared" si="634"/>
        <v>178144.33</v>
      </c>
      <c r="AW125" s="333">
        <f t="shared" si="635"/>
        <v>1469075.28</v>
      </c>
      <c r="AX125" s="125">
        <f t="shared" si="743"/>
        <v>1052659.57</v>
      </c>
      <c r="AY125" s="1041">
        <f t="shared" si="658"/>
        <v>2001962.6</v>
      </c>
      <c r="AZ125" s="123">
        <f t="shared" si="659"/>
        <v>507306.62</v>
      </c>
      <c r="BA125" s="125">
        <f t="shared" si="660"/>
        <v>2509269.2200000002</v>
      </c>
      <c r="BB125" s="122">
        <f t="shared" ref="BB125:BD125" si="791">SUM(AY125,AU125,AQ125)</f>
        <v>5305676.0999999996</v>
      </c>
      <c r="BC125" s="326">
        <f t="shared" si="791"/>
        <v>1139709.7999999998</v>
      </c>
      <c r="BD125" s="333">
        <f t="shared" si="791"/>
        <v>6445385.9000000004</v>
      </c>
      <c r="BE125" s="123">
        <f t="shared" si="662"/>
        <v>18979649.73</v>
      </c>
      <c r="BF125" s="326">
        <f t="shared" ref="BF125:BG125" si="792">BC125+AL125</f>
        <v>2413922.1999999997</v>
      </c>
      <c r="BG125" s="435">
        <f t="shared" si="792"/>
        <v>20253862.130000003</v>
      </c>
      <c r="BH125" s="125">
        <f t="shared" si="746"/>
        <v>1838642.29</v>
      </c>
      <c r="BI125" s="140">
        <f t="shared" si="664"/>
        <v>1977957.6400000001</v>
      </c>
      <c r="BJ125" s="326">
        <f t="shared" si="665"/>
        <v>340453.4</v>
      </c>
      <c r="BK125" s="333">
        <f t="shared" si="666"/>
        <v>2318411.04</v>
      </c>
      <c r="BL125" s="125">
        <f t="shared" si="747"/>
        <v>2602834.2200000002</v>
      </c>
      <c r="BM125" s="141">
        <f t="shared" si="667"/>
        <v>1951472.8800000001</v>
      </c>
      <c r="BN125" s="332">
        <f t="shared" si="668"/>
        <v>464199.55</v>
      </c>
      <c r="BO125" s="333">
        <f t="shared" si="669"/>
        <v>2415672.4300000002</v>
      </c>
      <c r="BP125" s="125">
        <f t="shared" si="748"/>
        <v>1651694.96</v>
      </c>
      <c r="BQ125" s="140">
        <f t="shared" si="670"/>
        <v>2080738.79</v>
      </c>
      <c r="BR125" s="123">
        <f t="shared" si="671"/>
        <v>560084.96</v>
      </c>
      <c r="BS125" s="148">
        <f t="shared" si="672"/>
        <v>2640823.75</v>
      </c>
      <c r="BT125" s="140">
        <f t="shared" ref="BT125:BV125" si="793">SUM(BQ125,BM125,BI125)</f>
        <v>6010169.3100000005</v>
      </c>
      <c r="BU125" s="123">
        <f t="shared" si="793"/>
        <v>1364737.9100000001</v>
      </c>
      <c r="BV125" s="148">
        <f t="shared" si="793"/>
        <v>7374907.2199999997</v>
      </c>
      <c r="BW125" s="125">
        <f t="shared" si="640"/>
        <v>2974203.74</v>
      </c>
      <c r="BX125" s="140">
        <f t="shared" si="674"/>
        <v>6243093.5999999996</v>
      </c>
      <c r="BY125" s="123">
        <f t="shared" si="675"/>
        <v>374024.79</v>
      </c>
      <c r="BZ125" s="148">
        <f t="shared" si="676"/>
        <v>6617118.3899999997</v>
      </c>
      <c r="CA125" s="123">
        <f t="shared" si="641"/>
        <v>6718090.1500000004</v>
      </c>
      <c r="CB125" s="326">
        <f t="shared" si="642"/>
        <v>9698751.9600000009</v>
      </c>
    </row>
    <row r="126" spans="1:80" ht="13">
      <c r="A126" s="422" t="e">
        <f t="shared" si="643"/>
        <v>#N/A</v>
      </c>
      <c r="B126" s="93">
        <f t="shared" si="606"/>
        <v>22</v>
      </c>
      <c r="C126" s="558">
        <f t="shared" si="607"/>
        <v>0.1</v>
      </c>
      <c r="D126" s="558">
        <f t="shared" si="608"/>
        <v>0.09</v>
      </c>
      <c r="E126" s="715">
        <f t="shared" si="609"/>
        <v>0</v>
      </c>
      <c r="F126" s="701">
        <f t="shared" si="644"/>
        <v>22</v>
      </c>
      <c r="G126" s="700">
        <f t="shared" si="645"/>
        <v>0.1</v>
      </c>
      <c r="H126" s="700">
        <f t="shared" si="646"/>
        <v>0.09</v>
      </c>
      <c r="I126" s="702">
        <f t="shared" si="647"/>
        <v>0</v>
      </c>
      <c r="J126" s="837">
        <f t="shared" si="648"/>
        <v>63</v>
      </c>
      <c r="K126" s="699">
        <f t="shared" si="649"/>
        <v>0.1</v>
      </c>
      <c r="L126" s="1040">
        <f t="shared" si="650"/>
        <v>0.05</v>
      </c>
      <c r="M126" s="498" t="s">
        <v>871</v>
      </c>
      <c r="N126" s="123">
        <f t="shared" si="738"/>
        <v>199655.21</v>
      </c>
      <c r="O126" s="326">
        <v>1800000</v>
      </c>
      <c r="P126" s="704">
        <f t="shared" si="610"/>
        <v>533544.65</v>
      </c>
      <c r="Q126" s="704" t="str">
        <f t="shared" si="611"/>
        <v>0</v>
      </c>
      <c r="R126" s="704">
        <f t="shared" si="612"/>
        <v>533544.65</v>
      </c>
      <c r="S126" s="326">
        <f t="shared" si="613"/>
        <v>-1266455.3500000001</v>
      </c>
      <c r="T126" s="137">
        <f t="shared" si="778"/>
        <v>0.29641369444444443</v>
      </c>
      <c r="U126" s="332">
        <f t="shared" si="614"/>
        <v>245795.52</v>
      </c>
      <c r="V126" s="141">
        <v>1800000</v>
      </c>
      <c r="W126" s="113">
        <f t="shared" si="616"/>
        <v>478088.82</v>
      </c>
      <c r="X126" s="704" t="str">
        <f t="shared" si="617"/>
        <v>0</v>
      </c>
      <c r="Y126" s="117">
        <f t="shared" si="618"/>
        <v>478088.82</v>
      </c>
      <c r="Z126" s="123">
        <f t="shared" si="740"/>
        <v>-1321911.18</v>
      </c>
      <c r="AA126" s="98">
        <f t="shared" si="779"/>
        <v>0.26560489999999998</v>
      </c>
      <c r="AB126" s="123">
        <f t="shared" si="620"/>
        <v>274472.46000000002</v>
      </c>
      <c r="AC126" s="326">
        <v>1800000</v>
      </c>
      <c r="AD126" s="326">
        <f t="shared" si="622"/>
        <v>438011.42</v>
      </c>
      <c r="AE126" s="326" t="str">
        <f t="shared" si="623"/>
        <v>0</v>
      </c>
      <c r="AF126" s="326">
        <f t="shared" si="624"/>
        <v>438011.42</v>
      </c>
      <c r="AG126" s="326">
        <f t="shared" si="625"/>
        <v>-1361988.58</v>
      </c>
      <c r="AH126" s="494">
        <f t="shared" si="780"/>
        <v>0.24333967777777776</v>
      </c>
      <c r="AI126" s="141">
        <f t="shared" si="626"/>
        <v>5400000</v>
      </c>
      <c r="AJ126" s="416">
        <f t="shared" si="685"/>
        <v>1594991.34</v>
      </c>
      <c r="AK126" s="326">
        <f t="shared" ref="AK126:AM126" si="794">SUM(P126,W126,AD126)</f>
        <v>1449644.89</v>
      </c>
      <c r="AL126" s="326">
        <f t="shared" si="794"/>
        <v>0</v>
      </c>
      <c r="AM126" s="326">
        <f t="shared" si="794"/>
        <v>1449644.89</v>
      </c>
      <c r="AN126" s="326">
        <f t="shared" si="628"/>
        <v>-3950355.1100000003</v>
      </c>
      <c r="AO126" s="98">
        <f t="shared" si="782"/>
        <v>0.26845275740740737</v>
      </c>
      <c r="AP126" s="125">
        <f t="shared" si="742"/>
        <v>327547.62</v>
      </c>
      <c r="AQ126" s="140">
        <f t="shared" si="629"/>
        <v>450360.53</v>
      </c>
      <c r="AR126" s="123" t="str">
        <f t="shared" si="630"/>
        <v>0</v>
      </c>
      <c r="AS126" s="148">
        <f t="shared" si="631"/>
        <v>450360.53</v>
      </c>
      <c r="AT126" s="125">
        <f t="shared" si="632"/>
        <v>272420.87</v>
      </c>
      <c r="AU126" s="140">
        <f t="shared" si="633"/>
        <v>383057.29</v>
      </c>
      <c r="AV126" s="326" t="str">
        <f t="shared" si="634"/>
        <v>0</v>
      </c>
      <c r="AW126" s="333">
        <f t="shared" si="635"/>
        <v>383057.29</v>
      </c>
      <c r="AX126" s="125">
        <f t="shared" si="743"/>
        <v>307587.98</v>
      </c>
      <c r="AY126" s="1041">
        <f t="shared" si="658"/>
        <v>405857.41</v>
      </c>
      <c r="AZ126" s="123" t="str">
        <f t="shared" si="659"/>
        <v>0</v>
      </c>
      <c r="BA126" s="125">
        <f t="shared" si="660"/>
        <v>405857.41</v>
      </c>
      <c r="BB126" s="122">
        <f t="shared" ref="BB126:BD126" si="795">SUM(AY126,AU126,AQ126)</f>
        <v>1239275.23</v>
      </c>
      <c r="BC126" s="326">
        <f t="shared" si="795"/>
        <v>0</v>
      </c>
      <c r="BD126" s="333">
        <f t="shared" si="795"/>
        <v>1239275.23</v>
      </c>
      <c r="BE126" s="123">
        <f t="shared" si="662"/>
        <v>2688920.12</v>
      </c>
      <c r="BF126" s="326">
        <f t="shared" ref="BF126:BG126" si="796">BC126+AL126</f>
        <v>0</v>
      </c>
      <c r="BG126" s="435">
        <f t="shared" si="796"/>
        <v>2688920.12</v>
      </c>
      <c r="BH126" s="125">
        <f t="shared" si="746"/>
        <v>347096.12</v>
      </c>
      <c r="BI126" s="140">
        <f t="shared" si="664"/>
        <v>633776.03</v>
      </c>
      <c r="BJ126" s="326" t="str">
        <f t="shared" si="665"/>
        <v>0</v>
      </c>
      <c r="BK126" s="333">
        <f t="shared" si="666"/>
        <v>633776.03</v>
      </c>
      <c r="BL126" s="125">
        <f t="shared" si="747"/>
        <v>270639.89</v>
      </c>
      <c r="BM126" s="141">
        <f t="shared" si="667"/>
        <v>478117.89</v>
      </c>
      <c r="BN126" s="332" t="str">
        <f t="shared" si="668"/>
        <v>0</v>
      </c>
      <c r="BO126" s="333">
        <f t="shared" si="669"/>
        <v>478117.89</v>
      </c>
      <c r="BP126" s="125">
        <f t="shared" si="748"/>
        <v>318165</v>
      </c>
      <c r="BQ126" s="140">
        <f t="shared" si="670"/>
        <v>542838.31000000006</v>
      </c>
      <c r="BR126" s="123" t="str">
        <f t="shared" si="671"/>
        <v>0</v>
      </c>
      <c r="BS126" s="148">
        <f t="shared" si="672"/>
        <v>542838.31000000006</v>
      </c>
      <c r="BT126" s="140">
        <f t="shared" ref="BT126:BV126" si="797">SUM(BQ126,BM126,BI126)</f>
        <v>1654732.23</v>
      </c>
      <c r="BU126" s="123">
        <f t="shared" si="797"/>
        <v>0</v>
      </c>
      <c r="BV126" s="148">
        <f t="shared" si="797"/>
        <v>1654732.23</v>
      </c>
      <c r="BW126" s="125">
        <f t="shared" si="640"/>
        <v>513823.09</v>
      </c>
      <c r="BX126" s="140">
        <f t="shared" si="674"/>
        <v>605199.89</v>
      </c>
      <c r="BY126" s="123" t="str">
        <f t="shared" si="675"/>
        <v>0</v>
      </c>
      <c r="BZ126" s="148">
        <f t="shared" si="676"/>
        <v>605199.89</v>
      </c>
      <c r="CA126" s="123">
        <f t="shared" si="641"/>
        <v>526083.06999999995</v>
      </c>
      <c r="CB126" s="326">
        <f t="shared" si="642"/>
        <v>555085.18000000005</v>
      </c>
    </row>
    <row r="127" spans="1:80" ht="13">
      <c r="A127" s="422" t="e">
        <f t="shared" si="643"/>
        <v>#N/A</v>
      </c>
      <c r="B127" s="93">
        <f t="shared" si="606"/>
        <v>22</v>
      </c>
      <c r="C127" s="558">
        <f t="shared" si="607"/>
        <v>0.1</v>
      </c>
      <c r="D127" s="558">
        <f t="shared" si="608"/>
        <v>0.09</v>
      </c>
      <c r="E127" s="715">
        <f t="shared" si="609"/>
        <v>0</v>
      </c>
      <c r="F127" s="701">
        <f t="shared" si="644"/>
        <v>22</v>
      </c>
      <c r="G127" s="700">
        <f t="shared" si="645"/>
        <v>0.1</v>
      </c>
      <c r="H127" s="700">
        <f t="shared" si="646"/>
        <v>0.09</v>
      </c>
      <c r="I127" s="702">
        <f t="shared" si="647"/>
        <v>0</v>
      </c>
      <c r="J127" s="837">
        <f t="shared" si="648"/>
        <v>63</v>
      </c>
      <c r="K127" s="699">
        <f t="shared" si="649"/>
        <v>0.1</v>
      </c>
      <c r="L127" s="1040">
        <f t="shared" si="650"/>
        <v>0.05</v>
      </c>
      <c r="M127" s="498" t="s">
        <v>1109</v>
      </c>
      <c r="N127" s="123">
        <f t="shared" si="738"/>
        <v>256933.33</v>
      </c>
      <c r="O127" s="326">
        <v>1800000</v>
      </c>
      <c r="P127" s="704">
        <f t="shared" si="610"/>
        <v>70349.460000000006</v>
      </c>
      <c r="Q127" s="704" t="str">
        <f t="shared" si="611"/>
        <v>0</v>
      </c>
      <c r="R127" s="704">
        <f t="shared" si="612"/>
        <v>70349.460000000006</v>
      </c>
      <c r="S127" s="326">
        <f t="shared" si="613"/>
        <v>-1729650.54</v>
      </c>
      <c r="T127" s="137">
        <f t="shared" si="778"/>
        <v>3.9083033333333336E-2</v>
      </c>
      <c r="U127" s="332">
        <f t="shared" si="614"/>
        <v>189127.32</v>
      </c>
      <c r="V127" s="141">
        <v>1800000</v>
      </c>
      <c r="W127" s="113">
        <f t="shared" si="616"/>
        <v>36487.26</v>
      </c>
      <c r="X127" s="704" t="str">
        <f t="shared" si="617"/>
        <v>0</v>
      </c>
      <c r="Y127" s="117">
        <f t="shared" si="618"/>
        <v>36487.26</v>
      </c>
      <c r="Z127" s="123">
        <f t="shared" si="740"/>
        <v>-1763512.74</v>
      </c>
      <c r="AA127" s="98">
        <f t="shared" si="779"/>
        <v>2.0270700000000003E-2</v>
      </c>
      <c r="AB127" s="123">
        <f t="shared" si="620"/>
        <v>0</v>
      </c>
      <c r="AC127" s="326">
        <v>1800000</v>
      </c>
      <c r="AD127" s="326">
        <f t="shared" si="622"/>
        <v>831562.47</v>
      </c>
      <c r="AE127" s="326" t="str">
        <f t="shared" si="623"/>
        <v>0</v>
      </c>
      <c r="AF127" s="326">
        <f t="shared" si="624"/>
        <v>831562.47</v>
      </c>
      <c r="AG127" s="326">
        <f t="shared" si="625"/>
        <v>-968437.53</v>
      </c>
      <c r="AH127" s="494">
        <f t="shared" si="780"/>
        <v>0.46197915000000001</v>
      </c>
      <c r="AI127" s="141">
        <f t="shared" si="626"/>
        <v>5400000</v>
      </c>
      <c r="AJ127" s="416">
        <f t="shared" si="685"/>
        <v>1614917.72</v>
      </c>
      <c r="AK127" s="326">
        <f t="shared" ref="AK127:AM127" si="798">SUM(P127,W127,AD127)</f>
        <v>938399.19</v>
      </c>
      <c r="AL127" s="326">
        <f t="shared" si="798"/>
        <v>0</v>
      </c>
      <c r="AM127" s="326">
        <f t="shared" si="798"/>
        <v>938399.19</v>
      </c>
      <c r="AN127" s="326">
        <f t="shared" si="628"/>
        <v>-4461600.8100000005</v>
      </c>
      <c r="AO127" s="98">
        <f t="shared" si="782"/>
        <v>0.17377762777777778</v>
      </c>
      <c r="AP127" s="125">
        <f t="shared" si="742"/>
        <v>278667.18</v>
      </c>
      <c r="AQ127" s="140">
        <f t="shared" si="629"/>
        <v>454231.31</v>
      </c>
      <c r="AR127" s="123" t="str">
        <f t="shared" si="630"/>
        <v>0</v>
      </c>
      <c r="AS127" s="148">
        <f t="shared" si="631"/>
        <v>454231.31</v>
      </c>
      <c r="AT127" s="125">
        <f t="shared" si="632"/>
        <v>402571.42</v>
      </c>
      <c r="AU127" s="140">
        <f t="shared" si="633"/>
        <v>212095.05</v>
      </c>
      <c r="AV127" s="326" t="str">
        <f t="shared" si="634"/>
        <v>0</v>
      </c>
      <c r="AW127" s="333">
        <f t="shared" si="635"/>
        <v>212095.05</v>
      </c>
      <c r="AX127" s="125">
        <f t="shared" si="743"/>
        <v>407864.87</v>
      </c>
      <c r="AY127" s="1041">
        <f t="shared" si="658"/>
        <v>513942.39</v>
      </c>
      <c r="AZ127" s="123" t="str">
        <f t="shared" si="659"/>
        <v>0</v>
      </c>
      <c r="BA127" s="125">
        <f t="shared" si="660"/>
        <v>513942.39</v>
      </c>
      <c r="BB127" s="122">
        <f t="shared" ref="BB127:BD127" si="799">SUM(AY127,AU127,AQ127)</f>
        <v>1180268.75</v>
      </c>
      <c r="BC127" s="326">
        <f t="shared" si="799"/>
        <v>0</v>
      </c>
      <c r="BD127" s="333">
        <f t="shared" si="799"/>
        <v>1180268.75</v>
      </c>
      <c r="BE127" s="123">
        <f t="shared" si="662"/>
        <v>2118667.94</v>
      </c>
      <c r="BF127" s="326">
        <f t="shared" ref="BF127:BG127" si="800">BC127+AL127</f>
        <v>0</v>
      </c>
      <c r="BG127" s="435">
        <f t="shared" si="800"/>
        <v>2118667.94</v>
      </c>
      <c r="BH127" s="125">
        <f t="shared" si="746"/>
        <v>245954.42</v>
      </c>
      <c r="BI127" s="140">
        <f t="shared" si="664"/>
        <v>0</v>
      </c>
      <c r="BJ127" s="326" t="str">
        <f t="shared" si="665"/>
        <v>0</v>
      </c>
      <c r="BK127" s="333">
        <f t="shared" si="666"/>
        <v>0</v>
      </c>
      <c r="BL127" s="125">
        <f t="shared" si="747"/>
        <v>340479.39</v>
      </c>
      <c r="BM127" s="141">
        <f t="shared" si="667"/>
        <v>515893.99</v>
      </c>
      <c r="BN127" s="332" t="str">
        <f t="shared" si="668"/>
        <v>0</v>
      </c>
      <c r="BO127" s="333">
        <f t="shared" si="669"/>
        <v>515893.99</v>
      </c>
      <c r="BP127" s="125">
        <f t="shared" si="748"/>
        <v>440101.22</v>
      </c>
      <c r="BQ127" s="140">
        <f t="shared" si="670"/>
        <v>458747.46</v>
      </c>
      <c r="BR127" s="123" t="str">
        <f t="shared" si="671"/>
        <v>0</v>
      </c>
      <c r="BS127" s="148">
        <f t="shared" si="672"/>
        <v>458747.46</v>
      </c>
      <c r="BT127" s="140">
        <f t="shared" ref="BT127:BV127" si="801">SUM(BQ127,BM127,BI127)</f>
        <v>974641.45</v>
      </c>
      <c r="BU127" s="123">
        <f t="shared" si="801"/>
        <v>0</v>
      </c>
      <c r="BV127" s="148">
        <f t="shared" si="801"/>
        <v>974641.45</v>
      </c>
      <c r="BW127" s="125">
        <f t="shared" si="640"/>
        <v>707549.81</v>
      </c>
      <c r="BX127" s="140">
        <f t="shared" si="674"/>
        <v>632199.18999999994</v>
      </c>
      <c r="BY127" s="123" t="str">
        <f t="shared" si="675"/>
        <v>0</v>
      </c>
      <c r="BZ127" s="148">
        <f t="shared" si="676"/>
        <v>632199.18999999994</v>
      </c>
      <c r="CA127" s="123">
        <f t="shared" si="641"/>
        <v>462022.67</v>
      </c>
      <c r="CB127" s="326">
        <f t="shared" si="642"/>
        <v>445345.24</v>
      </c>
    </row>
    <row r="128" spans="1:80" ht="13">
      <c r="A128" s="422" t="e">
        <f t="shared" si="643"/>
        <v>#N/A</v>
      </c>
      <c r="B128" s="93">
        <f t="shared" si="606"/>
        <v>22</v>
      </c>
      <c r="C128" s="558">
        <f t="shared" si="607"/>
        <v>0.1</v>
      </c>
      <c r="D128" s="558">
        <f t="shared" si="608"/>
        <v>0.09</v>
      </c>
      <c r="E128" s="715">
        <f t="shared" si="609"/>
        <v>0</v>
      </c>
      <c r="F128" s="701">
        <f t="shared" si="644"/>
        <v>22</v>
      </c>
      <c r="G128" s="700">
        <f t="shared" si="645"/>
        <v>0.1</v>
      </c>
      <c r="H128" s="700">
        <f t="shared" si="646"/>
        <v>0.09</v>
      </c>
      <c r="I128" s="702">
        <f t="shared" si="647"/>
        <v>0</v>
      </c>
      <c r="J128" s="837">
        <f t="shared" si="648"/>
        <v>63</v>
      </c>
      <c r="K128" s="699">
        <f t="shared" si="649"/>
        <v>0.1</v>
      </c>
      <c r="L128" s="1040">
        <f t="shared" si="650"/>
        <v>0.05</v>
      </c>
      <c r="M128" s="498" t="s">
        <v>1110</v>
      </c>
      <c r="N128" s="123">
        <f t="shared" si="738"/>
        <v>816116.06</v>
      </c>
      <c r="O128" s="326">
        <v>1800000</v>
      </c>
      <c r="P128" s="704">
        <f t="shared" si="610"/>
        <v>1805533.46</v>
      </c>
      <c r="Q128" s="704" t="str">
        <f t="shared" si="611"/>
        <v>0</v>
      </c>
      <c r="R128" s="704">
        <f t="shared" si="612"/>
        <v>1805533.46</v>
      </c>
      <c r="S128" s="326">
        <f t="shared" si="613"/>
        <v>5533.4599999999627</v>
      </c>
      <c r="T128" s="137">
        <f t="shared" si="778"/>
        <v>1.0030741444444444</v>
      </c>
      <c r="U128" s="332">
        <f t="shared" si="614"/>
        <v>2033851.88</v>
      </c>
      <c r="V128" s="141">
        <f>(U128*1.7245)*1.05</f>
        <v>3682746.445413</v>
      </c>
      <c r="W128" s="113">
        <f t="shared" si="616"/>
        <v>1675820.23</v>
      </c>
      <c r="X128" s="704" t="str">
        <f t="shared" si="617"/>
        <v>0</v>
      </c>
      <c r="Y128" s="117">
        <f t="shared" si="618"/>
        <v>1675820.23</v>
      </c>
      <c r="Z128" s="123">
        <f t="shared" si="740"/>
        <v>-2006926.215413</v>
      </c>
      <c r="AA128" s="98">
        <f t="shared" si="779"/>
        <v>0.45504632340010742</v>
      </c>
      <c r="AB128" s="123">
        <f t="shared" si="620"/>
        <v>1747980.73</v>
      </c>
      <c r="AC128" s="326">
        <f>(AB128*1.5955)*1.03</f>
        <v>2872570.3523564497</v>
      </c>
      <c r="AD128" s="326">
        <f t="shared" si="622"/>
        <v>2335537.31</v>
      </c>
      <c r="AE128" s="326" t="str">
        <f t="shared" si="623"/>
        <v>0</v>
      </c>
      <c r="AF128" s="326">
        <f t="shared" si="624"/>
        <v>2335537.31</v>
      </c>
      <c r="AG128" s="326">
        <f t="shared" si="625"/>
        <v>-537033.04235644965</v>
      </c>
      <c r="AH128" s="494">
        <f t="shared" si="780"/>
        <v>0.81304790606228095</v>
      </c>
      <c r="AI128" s="141">
        <f t="shared" si="626"/>
        <v>8355316.7977694497</v>
      </c>
      <c r="AJ128" s="416">
        <f t="shared" si="685"/>
        <v>6671179.5099999998</v>
      </c>
      <c r="AK128" s="326">
        <f t="shared" ref="AK128:AM128" si="802">SUM(P128,W128,AD128)</f>
        <v>5816891</v>
      </c>
      <c r="AL128" s="326">
        <f t="shared" si="802"/>
        <v>0</v>
      </c>
      <c r="AM128" s="326">
        <f t="shared" si="802"/>
        <v>5816891</v>
      </c>
      <c r="AN128" s="326">
        <f t="shared" si="628"/>
        <v>-2538425.7977694497</v>
      </c>
      <c r="AO128" s="98">
        <f t="shared" si="782"/>
        <v>0.69619035888057379</v>
      </c>
      <c r="AP128" s="125">
        <f t="shared" si="742"/>
        <v>1349931.65</v>
      </c>
      <c r="AQ128" s="140">
        <f t="shared" si="629"/>
        <v>1217997.48</v>
      </c>
      <c r="AR128" s="123" t="str">
        <f t="shared" si="630"/>
        <v>0</v>
      </c>
      <c r="AS128" s="148">
        <f t="shared" si="631"/>
        <v>1217997.48</v>
      </c>
      <c r="AT128" s="125">
        <f t="shared" si="632"/>
        <v>1284259.8700000001</v>
      </c>
      <c r="AU128" s="140">
        <f t="shared" si="633"/>
        <v>1643828.1</v>
      </c>
      <c r="AV128" s="326" t="str">
        <f t="shared" si="634"/>
        <v>0</v>
      </c>
      <c r="AW128" s="333">
        <f t="shared" si="635"/>
        <v>1643828.1</v>
      </c>
      <c r="AX128" s="125">
        <f t="shared" si="743"/>
        <v>1283655.51</v>
      </c>
      <c r="AY128" s="1041">
        <f t="shared" si="658"/>
        <v>1093028.01</v>
      </c>
      <c r="AZ128" s="123" t="str">
        <f t="shared" si="659"/>
        <v>0</v>
      </c>
      <c r="BA128" s="125">
        <f t="shared" si="660"/>
        <v>1093028.01</v>
      </c>
      <c r="BB128" s="122">
        <f t="shared" ref="BB128:BD128" si="803">SUM(AY128,AU128,AQ128)</f>
        <v>3954853.5900000003</v>
      </c>
      <c r="BC128" s="326">
        <f t="shared" si="803"/>
        <v>0</v>
      </c>
      <c r="BD128" s="333">
        <f t="shared" si="803"/>
        <v>3954853.5900000003</v>
      </c>
      <c r="BE128" s="123">
        <f t="shared" si="662"/>
        <v>9771744.5899999999</v>
      </c>
      <c r="BF128" s="326">
        <f t="shared" ref="BF128:BG128" si="804">BC128+AL128</f>
        <v>0</v>
      </c>
      <c r="BG128" s="435">
        <f t="shared" si="804"/>
        <v>9771744.5899999999</v>
      </c>
      <c r="BH128" s="125">
        <f t="shared" si="746"/>
        <v>1423072.22</v>
      </c>
      <c r="BI128" s="140">
        <f t="shared" si="664"/>
        <v>1695142.4</v>
      </c>
      <c r="BJ128" s="326" t="str">
        <f t="shared" si="665"/>
        <v>0</v>
      </c>
      <c r="BK128" s="333">
        <f t="shared" si="666"/>
        <v>1695142.4</v>
      </c>
      <c r="BL128" s="125">
        <f t="shared" si="747"/>
        <v>1425799.52</v>
      </c>
      <c r="BM128" s="141">
        <f t="shared" si="667"/>
        <v>1038808.32</v>
      </c>
      <c r="BN128" s="332" t="str">
        <f t="shared" si="668"/>
        <v>0</v>
      </c>
      <c r="BO128" s="333">
        <f t="shared" si="669"/>
        <v>1038808.32</v>
      </c>
      <c r="BP128" s="125">
        <f t="shared" si="748"/>
        <v>516324.72</v>
      </c>
      <c r="BQ128" s="140">
        <f t="shared" si="670"/>
        <v>2184010.1</v>
      </c>
      <c r="BR128" s="123" t="str">
        <f t="shared" si="671"/>
        <v>0</v>
      </c>
      <c r="BS128" s="148">
        <f t="shared" si="672"/>
        <v>2184010.1</v>
      </c>
      <c r="BT128" s="140">
        <f t="shared" ref="BT128:BV128" si="805">SUM(BQ128,BM128,BI128)</f>
        <v>4917960.82</v>
      </c>
      <c r="BU128" s="123">
        <f t="shared" si="805"/>
        <v>0</v>
      </c>
      <c r="BV128" s="148">
        <f t="shared" si="805"/>
        <v>4917960.82</v>
      </c>
      <c r="BW128" s="125">
        <f t="shared" si="640"/>
        <v>1318258.3600000001</v>
      </c>
      <c r="BX128" s="140">
        <f t="shared" si="674"/>
        <v>1276626.08</v>
      </c>
      <c r="BY128" s="123" t="str">
        <f t="shared" si="675"/>
        <v>0</v>
      </c>
      <c r="BZ128" s="148">
        <f t="shared" si="676"/>
        <v>1276626.08</v>
      </c>
      <c r="CA128" s="123">
        <f t="shared" si="641"/>
        <v>2758179.48</v>
      </c>
      <c r="CB128" s="326">
        <f t="shared" si="642"/>
        <v>2594741.67</v>
      </c>
    </row>
    <row r="129" spans="1:115" ht="13">
      <c r="A129" s="422" t="e">
        <f t="shared" si="643"/>
        <v>#N/A</v>
      </c>
      <c r="B129" s="93">
        <f t="shared" si="606"/>
        <v>22</v>
      </c>
      <c r="C129" s="558">
        <f t="shared" si="607"/>
        <v>0.1</v>
      </c>
      <c r="D129" s="558">
        <f t="shared" si="608"/>
        <v>0.09</v>
      </c>
      <c r="E129" s="715">
        <f t="shared" si="609"/>
        <v>0</v>
      </c>
      <c r="F129" s="701">
        <f t="shared" si="644"/>
        <v>22</v>
      </c>
      <c r="G129" s="700">
        <f t="shared" si="645"/>
        <v>0.1</v>
      </c>
      <c r="H129" s="700">
        <f t="shared" si="646"/>
        <v>0.09</v>
      </c>
      <c r="I129" s="702">
        <f t="shared" si="647"/>
        <v>0</v>
      </c>
      <c r="J129" s="837">
        <f t="shared" si="648"/>
        <v>63</v>
      </c>
      <c r="K129" s="699">
        <f t="shared" si="649"/>
        <v>0.1</v>
      </c>
      <c r="L129" s="1040">
        <f t="shared" si="650"/>
        <v>0.05</v>
      </c>
      <c r="M129" s="498" t="s">
        <v>873</v>
      </c>
      <c r="N129" s="123">
        <f t="shared" si="738"/>
        <v>508451.36</v>
      </c>
      <c r="O129" s="326">
        <v>1800000</v>
      </c>
      <c r="P129" s="704">
        <f t="shared" si="610"/>
        <v>450061.51</v>
      </c>
      <c r="Q129" s="704">
        <f t="shared" si="611"/>
        <v>49393.13</v>
      </c>
      <c r="R129" s="704">
        <f t="shared" si="612"/>
        <v>499454.64</v>
      </c>
      <c r="S129" s="326">
        <f t="shared" si="613"/>
        <v>-1300545.3599999999</v>
      </c>
      <c r="T129" s="137">
        <f t="shared" si="778"/>
        <v>0.27747480000000002</v>
      </c>
      <c r="U129" s="332">
        <f t="shared" si="614"/>
        <v>597070.51</v>
      </c>
      <c r="V129" s="141">
        <v>1800000</v>
      </c>
      <c r="W129" s="113">
        <f t="shared" si="616"/>
        <v>107071.45</v>
      </c>
      <c r="X129" s="704">
        <f t="shared" si="617"/>
        <v>0</v>
      </c>
      <c r="Y129" s="117">
        <f t="shared" si="618"/>
        <v>107071.45</v>
      </c>
      <c r="Z129" s="123">
        <f t="shared" si="740"/>
        <v>-1692928.55</v>
      </c>
      <c r="AA129" s="98">
        <f t="shared" si="779"/>
        <v>5.9484138888888885E-2</v>
      </c>
      <c r="AB129" s="123">
        <f t="shared" si="620"/>
        <v>646035.16</v>
      </c>
      <c r="AC129" s="326">
        <v>1800000</v>
      </c>
      <c r="AD129" s="326">
        <f t="shared" si="622"/>
        <v>500456.81999999995</v>
      </c>
      <c r="AE129" s="326">
        <f t="shared" si="623"/>
        <v>265124.65000000002</v>
      </c>
      <c r="AF129" s="326">
        <f t="shared" si="624"/>
        <v>765581.47</v>
      </c>
      <c r="AG129" s="326">
        <f t="shared" si="625"/>
        <v>-1034418.53</v>
      </c>
      <c r="AH129" s="494">
        <f t="shared" si="780"/>
        <v>0.42532303888888889</v>
      </c>
      <c r="AI129" s="141">
        <f t="shared" si="626"/>
        <v>5400000</v>
      </c>
      <c r="AJ129" s="416">
        <f t="shared" si="685"/>
        <v>1726999.92</v>
      </c>
      <c r="AK129" s="326">
        <f t="shared" ref="AK129:AM129" si="806">SUM(P129,W129,AD129)</f>
        <v>1057589.7799999998</v>
      </c>
      <c r="AL129" s="326">
        <f t="shared" si="806"/>
        <v>314517.78000000003</v>
      </c>
      <c r="AM129" s="326">
        <f t="shared" si="806"/>
        <v>1372107.56</v>
      </c>
      <c r="AN129" s="326">
        <f t="shared" si="628"/>
        <v>-4027892.44</v>
      </c>
      <c r="AO129" s="98">
        <f t="shared" si="782"/>
        <v>0.25409399259259258</v>
      </c>
      <c r="AP129" s="125">
        <f t="shared" si="742"/>
        <v>567109.68999999994</v>
      </c>
      <c r="AQ129" s="140">
        <f t="shared" si="629"/>
        <v>187203.6</v>
      </c>
      <c r="AR129" s="123">
        <f t="shared" si="630"/>
        <v>43347.02</v>
      </c>
      <c r="AS129" s="148">
        <f t="shared" si="631"/>
        <v>230550.62</v>
      </c>
      <c r="AT129" s="125">
        <f t="shared" si="632"/>
        <v>768013.28</v>
      </c>
      <c r="AU129" s="140">
        <f t="shared" si="633"/>
        <v>125159.69</v>
      </c>
      <c r="AV129" s="326">
        <f t="shared" si="634"/>
        <v>217988.82</v>
      </c>
      <c r="AW129" s="333">
        <f t="shared" si="635"/>
        <v>343148.51</v>
      </c>
      <c r="AX129" s="125">
        <f t="shared" si="743"/>
        <v>109962.57</v>
      </c>
      <c r="AY129" s="1041">
        <f t="shared" si="658"/>
        <v>0</v>
      </c>
      <c r="AZ129" s="123">
        <f t="shared" si="659"/>
        <v>0</v>
      </c>
      <c r="BA129" s="125">
        <f t="shared" si="660"/>
        <v>0</v>
      </c>
      <c r="BB129" s="122">
        <f t="shared" ref="BB129:BD129" si="807">SUM(AY129,AU129,AQ129)</f>
        <v>312363.29000000004</v>
      </c>
      <c r="BC129" s="326">
        <f t="shared" si="807"/>
        <v>261335.84</v>
      </c>
      <c r="BD129" s="333">
        <f t="shared" si="807"/>
        <v>573699.13</v>
      </c>
      <c r="BE129" s="123">
        <f t="shared" si="662"/>
        <v>1631288.9099999997</v>
      </c>
      <c r="BF129" s="326">
        <f t="shared" ref="BF129:BG129" si="808">BC129+AL129</f>
        <v>575853.62</v>
      </c>
      <c r="BG129" s="435">
        <f t="shared" si="808"/>
        <v>1945806.69</v>
      </c>
      <c r="BH129" s="125">
        <f t="shared" si="746"/>
        <v>590644.4</v>
      </c>
      <c r="BI129" s="140">
        <f t="shared" si="664"/>
        <v>126282.59999999998</v>
      </c>
      <c r="BJ129" s="326">
        <f t="shared" si="665"/>
        <v>200102.76</v>
      </c>
      <c r="BK129" s="333">
        <f t="shared" si="666"/>
        <v>326385.36</v>
      </c>
      <c r="BL129" s="125">
        <f t="shared" si="747"/>
        <v>496417.02</v>
      </c>
      <c r="BM129" s="141">
        <f t="shared" si="667"/>
        <v>73988.330000000016</v>
      </c>
      <c r="BN129" s="332">
        <f t="shared" si="668"/>
        <v>142930.51999999999</v>
      </c>
      <c r="BO129" s="333">
        <f t="shared" si="669"/>
        <v>216918.85</v>
      </c>
      <c r="BP129" s="125">
        <f t="shared" si="748"/>
        <v>521122.75</v>
      </c>
      <c r="BQ129" s="140">
        <f t="shared" si="670"/>
        <v>260362.26</v>
      </c>
      <c r="BR129" s="123">
        <f t="shared" si="671"/>
        <v>0</v>
      </c>
      <c r="BS129" s="148">
        <f t="shared" si="672"/>
        <v>260362.26</v>
      </c>
      <c r="BT129" s="140">
        <f t="shared" ref="BT129:BV129" si="809">SUM(BQ129,BM129,BI129)</f>
        <v>460633.19</v>
      </c>
      <c r="BU129" s="123">
        <f t="shared" si="809"/>
        <v>343033.28</v>
      </c>
      <c r="BV129" s="148">
        <f t="shared" si="809"/>
        <v>803666.47</v>
      </c>
      <c r="BW129" s="125">
        <f t="shared" si="640"/>
        <v>519699.77</v>
      </c>
      <c r="BX129" s="140">
        <f t="shared" si="674"/>
        <v>0</v>
      </c>
      <c r="BY129" s="123">
        <f t="shared" si="675"/>
        <v>310735.77</v>
      </c>
      <c r="BZ129" s="148">
        <f t="shared" si="676"/>
        <v>310735.77</v>
      </c>
      <c r="CA129" s="123">
        <f t="shared" si="641"/>
        <v>545934.96</v>
      </c>
      <c r="CB129" s="326">
        <f t="shared" si="642"/>
        <v>661365.19999999995</v>
      </c>
    </row>
    <row r="130" spans="1:115" ht="13">
      <c r="A130" s="422" t="e">
        <f t="shared" si="643"/>
        <v>#N/A</v>
      </c>
      <c r="B130" s="93">
        <f t="shared" si="606"/>
        <v>22</v>
      </c>
      <c r="C130" s="558">
        <f t="shared" si="607"/>
        <v>0.1</v>
      </c>
      <c r="D130" s="558">
        <f t="shared" si="608"/>
        <v>0.09</v>
      </c>
      <c r="E130" s="715">
        <f t="shared" si="609"/>
        <v>0</v>
      </c>
      <c r="F130" s="701">
        <f t="shared" si="644"/>
        <v>22</v>
      </c>
      <c r="G130" s="700">
        <f t="shared" si="645"/>
        <v>0.1</v>
      </c>
      <c r="H130" s="700">
        <f t="shared" si="646"/>
        <v>0.09</v>
      </c>
      <c r="I130" s="702">
        <f t="shared" si="647"/>
        <v>0</v>
      </c>
      <c r="J130" s="837">
        <f t="shared" si="648"/>
        <v>63</v>
      </c>
      <c r="K130" s="699">
        <f t="shared" si="649"/>
        <v>0.1</v>
      </c>
      <c r="L130" s="1040">
        <f t="shared" si="650"/>
        <v>0.05</v>
      </c>
      <c r="M130" s="498" t="s">
        <v>868</v>
      </c>
      <c r="N130" s="123">
        <f t="shared" si="738"/>
        <v>273050.7</v>
      </c>
      <c r="O130" s="326">
        <v>1800000</v>
      </c>
      <c r="P130" s="704">
        <f t="shared" si="610"/>
        <v>483512.84</v>
      </c>
      <c r="Q130" s="704" t="str">
        <f t="shared" si="611"/>
        <v>0</v>
      </c>
      <c r="R130" s="704">
        <f t="shared" si="612"/>
        <v>483512.84</v>
      </c>
      <c r="S130" s="326">
        <f t="shared" si="613"/>
        <v>-1316487.1599999999</v>
      </c>
      <c r="T130" s="137">
        <f t="shared" si="778"/>
        <v>0.26861824444444443</v>
      </c>
      <c r="U130" s="332">
        <f t="shared" si="614"/>
        <v>280029.82</v>
      </c>
      <c r="V130" s="141">
        <v>1800000</v>
      </c>
      <c r="W130" s="113">
        <f t="shared" si="616"/>
        <v>241618.29</v>
      </c>
      <c r="X130" s="704" t="str">
        <f t="shared" si="617"/>
        <v>0</v>
      </c>
      <c r="Y130" s="117">
        <f t="shared" si="618"/>
        <v>241618.29</v>
      </c>
      <c r="Z130" s="123">
        <f t="shared" si="740"/>
        <v>-1558381.71</v>
      </c>
      <c r="AA130" s="98">
        <f t="shared" si="779"/>
        <v>0.13423238333333334</v>
      </c>
      <c r="AB130" s="123">
        <f t="shared" si="620"/>
        <v>223015.43</v>
      </c>
      <c r="AC130" s="326">
        <v>1800000</v>
      </c>
      <c r="AD130" s="326">
        <f t="shared" si="622"/>
        <v>285437.52</v>
      </c>
      <c r="AE130" s="326" t="str">
        <f t="shared" si="623"/>
        <v>0</v>
      </c>
      <c r="AF130" s="326">
        <f t="shared" si="624"/>
        <v>285437.52</v>
      </c>
      <c r="AG130" s="326">
        <f t="shared" si="625"/>
        <v>-1514562.48</v>
      </c>
      <c r="AH130" s="494">
        <f t="shared" si="780"/>
        <v>0.15857640000000001</v>
      </c>
      <c r="AI130" s="141">
        <f t="shared" si="626"/>
        <v>5400000</v>
      </c>
      <c r="AJ130" s="416">
        <f t="shared" si="685"/>
        <v>1308405.79</v>
      </c>
      <c r="AK130" s="326">
        <f t="shared" ref="AK130:AM130" si="810">SUM(P130,W130,AD130)</f>
        <v>1010568.65</v>
      </c>
      <c r="AL130" s="326">
        <f t="shared" si="810"/>
        <v>0</v>
      </c>
      <c r="AM130" s="326">
        <f t="shared" si="810"/>
        <v>1010568.65</v>
      </c>
      <c r="AN130" s="326">
        <f t="shared" si="628"/>
        <v>-4389431.3499999996</v>
      </c>
      <c r="AO130" s="98">
        <f t="shared" si="782"/>
        <v>0.1871423425925926</v>
      </c>
      <c r="AP130" s="125">
        <f t="shared" si="742"/>
        <v>206302.77</v>
      </c>
      <c r="AQ130" s="140">
        <f t="shared" si="629"/>
        <v>471491.73</v>
      </c>
      <c r="AR130" s="123" t="str">
        <f t="shared" si="630"/>
        <v>0</v>
      </c>
      <c r="AS130" s="148">
        <f t="shared" si="631"/>
        <v>471491.73</v>
      </c>
      <c r="AT130" s="125">
        <f t="shared" si="632"/>
        <v>183101.62</v>
      </c>
      <c r="AU130" s="140">
        <f t="shared" si="633"/>
        <v>256071.27</v>
      </c>
      <c r="AV130" s="326" t="str">
        <f t="shared" si="634"/>
        <v>0</v>
      </c>
      <c r="AW130" s="333">
        <f t="shared" si="635"/>
        <v>256071.27</v>
      </c>
      <c r="AX130" s="125">
        <f t="shared" si="743"/>
        <v>305926.09999999998</v>
      </c>
      <c r="AY130" s="1041">
        <f t="shared" si="658"/>
        <v>295488.98</v>
      </c>
      <c r="AZ130" s="123" t="str">
        <f t="shared" si="659"/>
        <v>0</v>
      </c>
      <c r="BA130" s="125">
        <f t="shared" si="660"/>
        <v>295488.98</v>
      </c>
      <c r="BB130" s="122">
        <f t="shared" ref="BB130:BD130" si="811">SUM(AY130,AU130,AQ130)</f>
        <v>1023051.98</v>
      </c>
      <c r="BC130" s="326">
        <f t="shared" si="811"/>
        <v>0</v>
      </c>
      <c r="BD130" s="333">
        <f t="shared" si="811"/>
        <v>1023051.98</v>
      </c>
      <c r="BE130" s="123">
        <f t="shared" si="662"/>
        <v>2033620.63</v>
      </c>
      <c r="BF130" s="326">
        <f t="shared" ref="BF130:BG130" si="812">BC130+AL130</f>
        <v>0</v>
      </c>
      <c r="BG130" s="435">
        <f t="shared" si="812"/>
        <v>2033620.63</v>
      </c>
      <c r="BH130" s="125">
        <f t="shared" si="746"/>
        <v>235204.36</v>
      </c>
      <c r="BI130" s="140">
        <f t="shared" si="664"/>
        <v>285311.84000000003</v>
      </c>
      <c r="BJ130" s="326" t="str">
        <f t="shared" si="665"/>
        <v>0</v>
      </c>
      <c r="BK130" s="333">
        <f t="shared" si="666"/>
        <v>285311.84000000003</v>
      </c>
      <c r="BL130" s="125">
        <f t="shared" si="747"/>
        <v>267586.90000000002</v>
      </c>
      <c r="BM130" s="141">
        <f t="shared" si="667"/>
        <v>402425.07</v>
      </c>
      <c r="BN130" s="332" t="str">
        <f t="shared" si="668"/>
        <v>0</v>
      </c>
      <c r="BO130" s="333">
        <f t="shared" si="669"/>
        <v>402425.07</v>
      </c>
      <c r="BP130" s="125">
        <f t="shared" si="748"/>
        <v>604302.43000000005</v>
      </c>
      <c r="BQ130" s="140">
        <f t="shared" si="670"/>
        <v>590487.93000000005</v>
      </c>
      <c r="BR130" s="123" t="str">
        <f t="shared" si="671"/>
        <v>0</v>
      </c>
      <c r="BS130" s="148">
        <f t="shared" si="672"/>
        <v>590487.93000000005</v>
      </c>
      <c r="BT130" s="140">
        <f t="shared" ref="BT130:BV130" si="813">SUM(BQ130,BM130,BI130)</f>
        <v>1278224.8400000001</v>
      </c>
      <c r="BU130" s="123">
        <f t="shared" si="813"/>
        <v>0</v>
      </c>
      <c r="BV130" s="148">
        <f t="shared" si="813"/>
        <v>1278224.8400000001</v>
      </c>
      <c r="BW130" s="125">
        <f t="shared" si="640"/>
        <v>399051.85</v>
      </c>
      <c r="BX130" s="140">
        <f t="shared" si="674"/>
        <v>196650.86</v>
      </c>
      <c r="BY130" s="123" t="str">
        <f t="shared" si="675"/>
        <v>0</v>
      </c>
      <c r="BZ130" s="148">
        <f t="shared" si="676"/>
        <v>196650.86</v>
      </c>
      <c r="CA130" s="123">
        <f t="shared" si="641"/>
        <v>394537.83</v>
      </c>
      <c r="CB130" s="326">
        <f t="shared" si="642"/>
        <v>514816.12</v>
      </c>
    </row>
    <row r="131" spans="1:115" ht="13">
      <c r="A131" s="422" t="e">
        <f t="shared" si="643"/>
        <v>#N/A</v>
      </c>
      <c r="B131" s="93">
        <f t="shared" si="606"/>
        <v>22</v>
      </c>
      <c r="C131" s="558">
        <f t="shared" si="607"/>
        <v>0.1</v>
      </c>
      <c r="D131" s="558">
        <f t="shared" si="608"/>
        <v>0.09</v>
      </c>
      <c r="E131" s="715">
        <f t="shared" si="609"/>
        <v>0</v>
      </c>
      <c r="F131" s="701">
        <f t="shared" si="644"/>
        <v>22</v>
      </c>
      <c r="G131" s="700">
        <f t="shared" si="645"/>
        <v>0.1</v>
      </c>
      <c r="H131" s="700">
        <f t="shared" si="646"/>
        <v>0.09</v>
      </c>
      <c r="I131" s="702">
        <f t="shared" si="647"/>
        <v>0</v>
      </c>
      <c r="J131" s="837">
        <f t="shared" si="648"/>
        <v>63</v>
      </c>
      <c r="K131" s="699">
        <f t="shared" si="649"/>
        <v>0.1</v>
      </c>
      <c r="L131" s="1040">
        <f t="shared" si="650"/>
        <v>0.05</v>
      </c>
      <c r="M131" s="498" t="s">
        <v>1111</v>
      </c>
      <c r="N131" s="123">
        <f t="shared" si="738"/>
        <v>0</v>
      </c>
      <c r="O131" s="326">
        <v>1800000</v>
      </c>
      <c r="P131" s="704">
        <f t="shared" si="610"/>
        <v>779430.52</v>
      </c>
      <c r="Q131" s="704">
        <f t="shared" si="611"/>
        <v>0</v>
      </c>
      <c r="R131" s="704">
        <f t="shared" si="612"/>
        <v>779430.52</v>
      </c>
      <c r="S131" s="326">
        <f t="shared" si="613"/>
        <v>-1020569.48</v>
      </c>
      <c r="T131" s="137">
        <f t="shared" si="778"/>
        <v>0.43301695555555558</v>
      </c>
      <c r="U131" s="332">
        <f t="shared" si="614"/>
        <v>26458.2</v>
      </c>
      <c r="V131" s="141">
        <v>1800000</v>
      </c>
      <c r="W131" s="113">
        <f t="shared" si="616"/>
        <v>432482.46</v>
      </c>
      <c r="X131" s="704">
        <f t="shared" si="617"/>
        <v>0</v>
      </c>
      <c r="Y131" s="117">
        <f t="shared" si="618"/>
        <v>432482.46</v>
      </c>
      <c r="Z131" s="123">
        <f t="shared" si="740"/>
        <v>-1367517.54</v>
      </c>
      <c r="AA131" s="98">
        <f t="shared" si="779"/>
        <v>0.24026803333333335</v>
      </c>
      <c r="AB131" s="123">
        <f t="shared" si="620"/>
        <v>72582.59</v>
      </c>
      <c r="AC131" s="326">
        <v>1800000</v>
      </c>
      <c r="AD131" s="326">
        <f t="shared" si="622"/>
        <v>235800.21</v>
      </c>
      <c r="AE131" s="326">
        <f t="shared" si="623"/>
        <v>0</v>
      </c>
      <c r="AF131" s="326">
        <f t="shared" si="624"/>
        <v>235800.21</v>
      </c>
      <c r="AG131" s="326">
        <f t="shared" si="625"/>
        <v>-1564199.79</v>
      </c>
      <c r="AH131" s="494">
        <f t="shared" si="780"/>
        <v>0.13100011666666667</v>
      </c>
      <c r="AI131" s="141">
        <f t="shared" si="626"/>
        <v>5400000</v>
      </c>
      <c r="AJ131" s="416">
        <f t="shared" si="685"/>
        <v>1753800.54</v>
      </c>
      <c r="AK131" s="326">
        <f t="shared" ref="AK131:AM131" si="814">SUM(P131,W131,AD131)</f>
        <v>1447713.19</v>
      </c>
      <c r="AL131" s="326">
        <f t="shared" si="814"/>
        <v>0</v>
      </c>
      <c r="AM131" s="326">
        <f t="shared" si="814"/>
        <v>1447713.19</v>
      </c>
      <c r="AN131" s="326">
        <f t="shared" si="628"/>
        <v>-3952286.81</v>
      </c>
      <c r="AO131" s="98">
        <f t="shared" si="782"/>
        <v>0.26809503518518518</v>
      </c>
      <c r="AP131" s="125">
        <f t="shared" si="742"/>
        <v>496080.38</v>
      </c>
      <c r="AQ131" s="140">
        <f t="shared" si="629"/>
        <v>216632.28999999998</v>
      </c>
      <c r="AR131" s="123">
        <f t="shared" si="630"/>
        <v>10572.07</v>
      </c>
      <c r="AS131" s="148">
        <f t="shared" si="631"/>
        <v>227204.36</v>
      </c>
      <c r="AT131" s="125">
        <f t="shared" si="632"/>
        <v>238865.78</v>
      </c>
      <c r="AU131" s="140">
        <f t="shared" si="633"/>
        <v>192140.50999999998</v>
      </c>
      <c r="AV131" s="326">
        <f t="shared" si="634"/>
        <v>31057.599999999999</v>
      </c>
      <c r="AW131" s="333">
        <f t="shared" si="635"/>
        <v>223198.11</v>
      </c>
      <c r="AX131" s="125">
        <f t="shared" si="743"/>
        <v>282531.82</v>
      </c>
      <c r="AY131" s="1041">
        <f t="shared" si="658"/>
        <v>244372.91</v>
      </c>
      <c r="AZ131" s="123">
        <f t="shared" si="659"/>
        <v>0</v>
      </c>
      <c r="BA131" s="125">
        <f t="shared" si="660"/>
        <v>244372.91</v>
      </c>
      <c r="BB131" s="122">
        <f t="shared" ref="BB131:BD131" si="815">SUM(AY131,AU131,AQ131)</f>
        <v>653145.71</v>
      </c>
      <c r="BC131" s="326">
        <f t="shared" si="815"/>
        <v>41629.67</v>
      </c>
      <c r="BD131" s="333">
        <f t="shared" si="815"/>
        <v>694775.38</v>
      </c>
      <c r="BE131" s="123">
        <f t="shared" si="662"/>
        <v>2142488.5699999998</v>
      </c>
      <c r="BF131" s="326">
        <f t="shared" ref="BF131:BG131" si="816">BC131+AL131</f>
        <v>41629.67</v>
      </c>
      <c r="BG131" s="435">
        <f t="shared" si="816"/>
        <v>2142488.5699999998</v>
      </c>
      <c r="BH131" s="125">
        <f t="shared" si="746"/>
        <v>473534.32</v>
      </c>
      <c r="BI131" s="140">
        <f t="shared" si="664"/>
        <v>226245.75</v>
      </c>
      <c r="BJ131" s="326">
        <f t="shared" si="665"/>
        <v>0</v>
      </c>
      <c r="BK131" s="333">
        <f t="shared" si="666"/>
        <v>226245.75</v>
      </c>
      <c r="BL131" s="125">
        <f t="shared" si="747"/>
        <v>343688.39</v>
      </c>
      <c r="BM131" s="141">
        <f t="shared" si="667"/>
        <v>310396.34000000003</v>
      </c>
      <c r="BN131" s="332">
        <f t="shared" si="668"/>
        <v>0</v>
      </c>
      <c r="BO131" s="333">
        <f t="shared" si="669"/>
        <v>310396.34000000003</v>
      </c>
      <c r="BP131" s="125">
        <f t="shared" si="748"/>
        <v>390087.42</v>
      </c>
      <c r="BQ131" s="140">
        <f t="shared" si="670"/>
        <v>69223.489999999991</v>
      </c>
      <c r="BR131" s="123">
        <f t="shared" si="671"/>
        <v>26008.21</v>
      </c>
      <c r="BS131" s="148">
        <f t="shared" si="672"/>
        <v>95231.7</v>
      </c>
      <c r="BT131" s="140">
        <f t="shared" ref="BT131:BV131" si="817">SUM(BQ131,BM131,BI131)</f>
        <v>605865.58000000007</v>
      </c>
      <c r="BU131" s="123">
        <f t="shared" si="817"/>
        <v>26008.21</v>
      </c>
      <c r="BV131" s="148">
        <f t="shared" si="817"/>
        <v>631873.79</v>
      </c>
      <c r="BW131" s="125">
        <f t="shared" si="640"/>
        <v>346988.91</v>
      </c>
      <c r="BX131" s="140">
        <f t="shared" si="674"/>
        <v>154226.62</v>
      </c>
      <c r="BY131" s="123">
        <f t="shared" si="675"/>
        <v>18725.82</v>
      </c>
      <c r="BZ131" s="148">
        <f t="shared" si="676"/>
        <v>172952.44</v>
      </c>
      <c r="CA131" s="123">
        <f t="shared" si="641"/>
        <v>593764.68999999994</v>
      </c>
      <c r="CB131" s="326">
        <f t="shared" si="642"/>
        <v>813046.94</v>
      </c>
    </row>
    <row r="132" spans="1:115" ht="13">
      <c r="A132" s="422" t="e">
        <f t="shared" si="643"/>
        <v>#N/A</v>
      </c>
      <c r="B132" s="93">
        <f t="shared" si="606"/>
        <v>22</v>
      </c>
      <c r="C132" s="558">
        <f t="shared" si="607"/>
        <v>0.1</v>
      </c>
      <c r="D132" s="558">
        <f t="shared" si="608"/>
        <v>0.09</v>
      </c>
      <c r="E132" s="715">
        <f t="shared" si="609"/>
        <v>0</v>
      </c>
      <c r="F132" s="701">
        <f t="shared" si="644"/>
        <v>22</v>
      </c>
      <c r="G132" s="700">
        <f t="shared" si="645"/>
        <v>0.1</v>
      </c>
      <c r="H132" s="700">
        <f t="shared" si="646"/>
        <v>0.09</v>
      </c>
      <c r="I132" s="702">
        <f t="shared" si="647"/>
        <v>0</v>
      </c>
      <c r="J132" s="837">
        <f t="shared" si="648"/>
        <v>63</v>
      </c>
      <c r="K132" s="699">
        <f t="shared" si="649"/>
        <v>0.1</v>
      </c>
      <c r="L132" s="1040">
        <f t="shared" si="650"/>
        <v>0.05</v>
      </c>
      <c r="M132" s="498" t="s">
        <v>860</v>
      </c>
      <c r="N132" s="123">
        <f t="shared" si="738"/>
        <v>85084.18</v>
      </c>
      <c r="O132" s="326">
        <v>1800000</v>
      </c>
      <c r="P132" s="704">
        <f t="shared" si="610"/>
        <v>37597.050000000003</v>
      </c>
      <c r="Q132" s="704" t="str">
        <f t="shared" si="611"/>
        <v>0</v>
      </c>
      <c r="R132" s="704">
        <f t="shared" si="612"/>
        <v>37597.050000000003</v>
      </c>
      <c r="S132" s="326">
        <f t="shared" si="613"/>
        <v>-1762402.95</v>
      </c>
      <c r="T132" s="137">
        <f t="shared" si="778"/>
        <v>2.0887250000000003E-2</v>
      </c>
      <c r="U132" s="332">
        <f t="shared" si="614"/>
        <v>53627.59</v>
      </c>
      <c r="V132" s="141">
        <v>1800000</v>
      </c>
      <c r="W132" s="113">
        <f t="shared" si="616"/>
        <v>35255.81</v>
      </c>
      <c r="X132" s="704" t="str">
        <f t="shared" si="617"/>
        <v>0</v>
      </c>
      <c r="Y132" s="117">
        <f t="shared" si="618"/>
        <v>35255.81</v>
      </c>
      <c r="Z132" s="123">
        <f t="shared" si="740"/>
        <v>-1764744.19</v>
      </c>
      <c r="AA132" s="98">
        <f t="shared" si="779"/>
        <v>1.9586561111111109E-2</v>
      </c>
      <c r="AB132" s="123">
        <f t="shared" si="620"/>
        <v>197399.39</v>
      </c>
      <c r="AC132" s="326">
        <v>1800000</v>
      </c>
      <c r="AD132" s="326">
        <f t="shared" si="622"/>
        <v>111009.98</v>
      </c>
      <c r="AE132" s="326" t="str">
        <f t="shared" si="623"/>
        <v>0</v>
      </c>
      <c r="AF132" s="326">
        <f t="shared" si="624"/>
        <v>111009.98</v>
      </c>
      <c r="AG132" s="326">
        <f t="shared" si="625"/>
        <v>-1688990.02</v>
      </c>
      <c r="AH132" s="494">
        <f t="shared" si="780"/>
        <v>6.1672211111111111E-2</v>
      </c>
      <c r="AI132" s="141">
        <f t="shared" si="626"/>
        <v>5400000</v>
      </c>
      <c r="AJ132" s="416">
        <f t="shared" si="685"/>
        <v>658508.68999999994</v>
      </c>
      <c r="AK132" s="326">
        <f t="shared" ref="AK132:AM132" si="818">SUM(P132,W132,AD132)</f>
        <v>183862.84</v>
      </c>
      <c r="AL132" s="326">
        <f t="shared" si="818"/>
        <v>0</v>
      </c>
      <c r="AM132" s="326">
        <f t="shared" si="818"/>
        <v>183862.84</v>
      </c>
      <c r="AN132" s="326">
        <f t="shared" si="628"/>
        <v>-5216137.16</v>
      </c>
      <c r="AO132" s="98">
        <f t="shared" si="782"/>
        <v>3.4048674074074074E-2</v>
      </c>
      <c r="AP132" s="125">
        <f t="shared" si="742"/>
        <v>55631</v>
      </c>
      <c r="AQ132" s="140">
        <f t="shared" si="629"/>
        <v>179881.46</v>
      </c>
      <c r="AR132" s="123" t="str">
        <f t="shared" si="630"/>
        <v>0</v>
      </c>
      <c r="AS132" s="148">
        <f t="shared" si="631"/>
        <v>179881.46</v>
      </c>
      <c r="AT132" s="125">
        <f t="shared" si="632"/>
        <v>150418.07999999999</v>
      </c>
      <c r="AU132" s="140">
        <f t="shared" si="633"/>
        <v>32441.58</v>
      </c>
      <c r="AV132" s="326" t="str">
        <f t="shared" si="634"/>
        <v>0</v>
      </c>
      <c r="AW132" s="333">
        <f t="shared" si="635"/>
        <v>32441.58</v>
      </c>
      <c r="AX132" s="125">
        <f t="shared" si="743"/>
        <v>27477</v>
      </c>
      <c r="AY132" s="1041">
        <f t="shared" si="658"/>
        <v>0</v>
      </c>
      <c r="AZ132" s="123" t="str">
        <f t="shared" si="659"/>
        <v>0</v>
      </c>
      <c r="BA132" s="125">
        <f t="shared" si="660"/>
        <v>0</v>
      </c>
      <c r="BB132" s="122">
        <f t="shared" ref="BB132:BD132" si="819">SUM(AY132,AU132,AQ132)</f>
        <v>212323.03999999998</v>
      </c>
      <c r="BC132" s="326">
        <f t="shared" si="819"/>
        <v>0</v>
      </c>
      <c r="BD132" s="333">
        <f t="shared" si="819"/>
        <v>212323.03999999998</v>
      </c>
      <c r="BE132" s="123">
        <f t="shared" si="662"/>
        <v>396185.88</v>
      </c>
      <c r="BF132" s="326">
        <f t="shared" ref="BF132:BG132" si="820">BC132+AL132</f>
        <v>0</v>
      </c>
      <c r="BG132" s="435">
        <f t="shared" si="820"/>
        <v>396185.88</v>
      </c>
      <c r="BH132" s="125">
        <f t="shared" si="746"/>
        <v>0</v>
      </c>
      <c r="BI132" s="140">
        <f t="shared" si="664"/>
        <v>14112.87</v>
      </c>
      <c r="BJ132" s="326" t="str">
        <f t="shared" si="665"/>
        <v>0</v>
      </c>
      <c r="BK132" s="333">
        <f t="shared" si="666"/>
        <v>14112.87</v>
      </c>
      <c r="BL132" s="125">
        <f t="shared" si="747"/>
        <v>0</v>
      </c>
      <c r="BM132" s="141">
        <f t="shared" si="667"/>
        <v>78104.09</v>
      </c>
      <c r="BN132" s="332" t="str">
        <f t="shared" si="668"/>
        <v>0</v>
      </c>
      <c r="BO132" s="333">
        <f t="shared" si="669"/>
        <v>78104.09</v>
      </c>
      <c r="BP132" s="125">
        <f t="shared" si="748"/>
        <v>20686.25</v>
      </c>
      <c r="BQ132" s="140">
        <f t="shared" si="670"/>
        <v>485051.72</v>
      </c>
      <c r="BR132" s="123" t="str">
        <f t="shared" si="671"/>
        <v>0</v>
      </c>
      <c r="BS132" s="148">
        <f t="shared" si="672"/>
        <v>485051.72</v>
      </c>
      <c r="BT132" s="140">
        <f t="shared" ref="BT132:BV132" si="821">SUM(BQ132,BM132,BI132)</f>
        <v>577268.67999999993</v>
      </c>
      <c r="BU132" s="123">
        <f t="shared" si="821"/>
        <v>0</v>
      </c>
      <c r="BV132" s="148">
        <f t="shared" si="821"/>
        <v>577268.67999999993</v>
      </c>
      <c r="BW132" s="125">
        <f t="shared" si="640"/>
        <v>15774.84</v>
      </c>
      <c r="BX132" s="140">
        <f t="shared" si="674"/>
        <v>617247.78</v>
      </c>
      <c r="BY132" s="123" t="str">
        <f t="shared" si="675"/>
        <v>0</v>
      </c>
      <c r="BZ132" s="148">
        <f t="shared" si="676"/>
        <v>617247.78</v>
      </c>
      <c r="CA132" s="123">
        <f t="shared" si="641"/>
        <v>61783.8</v>
      </c>
      <c r="CB132" s="326">
        <f t="shared" si="642"/>
        <v>580950.05000000005</v>
      </c>
    </row>
    <row r="133" spans="1:115" ht="13">
      <c r="A133" s="422" t="e">
        <f t="shared" si="643"/>
        <v>#N/A</v>
      </c>
      <c r="B133" s="93">
        <f t="shared" si="606"/>
        <v>12</v>
      </c>
      <c r="C133" s="558">
        <f t="shared" si="607"/>
        <v>0.15</v>
      </c>
      <c r="D133" s="558">
        <f t="shared" si="608"/>
        <v>0.09</v>
      </c>
      <c r="E133" s="715">
        <f t="shared" si="609"/>
        <v>0</v>
      </c>
      <c r="F133" s="701">
        <f t="shared" si="644"/>
        <v>12</v>
      </c>
      <c r="G133" s="700">
        <f t="shared" si="645"/>
        <v>0.15</v>
      </c>
      <c r="H133" s="700">
        <f t="shared" si="646"/>
        <v>0.09</v>
      </c>
      <c r="I133" s="702">
        <f t="shared" si="647"/>
        <v>0</v>
      </c>
      <c r="J133" s="837">
        <f t="shared" si="648"/>
        <v>55</v>
      </c>
      <c r="K133" s="699">
        <f t="shared" si="649"/>
        <v>0.15</v>
      </c>
      <c r="L133" s="1040">
        <f t="shared" si="650"/>
        <v>0.05</v>
      </c>
      <c r="M133" s="498" t="s">
        <v>1112</v>
      </c>
      <c r="N133" s="123">
        <f t="shared" si="738"/>
        <v>2018810.13</v>
      </c>
      <c r="O133" s="326">
        <f t="shared" ref="O133:O134" si="822">(N133*1.601)*1.05</f>
        <v>3393720.7690364998</v>
      </c>
      <c r="P133" s="704">
        <f t="shared" si="610"/>
        <v>7317773.7400000002</v>
      </c>
      <c r="Q133" s="704" t="str">
        <f t="shared" si="611"/>
        <v>0</v>
      </c>
      <c r="R133" s="704">
        <f t="shared" si="612"/>
        <v>7317773.7400000002</v>
      </c>
      <c r="S133" s="326">
        <f t="shared" si="613"/>
        <v>3924052.9709635004</v>
      </c>
      <c r="T133" s="137">
        <f t="shared" si="778"/>
        <v>2.1562686614543027</v>
      </c>
      <c r="U133" s="332">
        <f t="shared" si="614"/>
        <v>2080726.43</v>
      </c>
      <c r="V133" s="141">
        <v>3000000</v>
      </c>
      <c r="W133" s="113">
        <f t="shared" si="616"/>
        <v>7827532</v>
      </c>
      <c r="X133" s="704" t="str">
        <f t="shared" si="617"/>
        <v>0</v>
      </c>
      <c r="Y133" s="117">
        <f t="shared" si="618"/>
        <v>7827532</v>
      </c>
      <c r="Z133" s="123">
        <f t="shared" si="740"/>
        <v>4827532</v>
      </c>
      <c r="AA133" s="98">
        <f t="shared" si="779"/>
        <v>2.6091773333333332</v>
      </c>
      <c r="AB133" s="123">
        <f t="shared" si="620"/>
        <v>593510.04</v>
      </c>
      <c r="AC133" s="326">
        <v>3000000</v>
      </c>
      <c r="AD133" s="326">
        <f t="shared" si="622"/>
        <v>6873330.3499999996</v>
      </c>
      <c r="AE133" s="326" t="str">
        <f t="shared" si="623"/>
        <v>0</v>
      </c>
      <c r="AF133" s="326">
        <f t="shared" si="624"/>
        <v>6873330.3499999996</v>
      </c>
      <c r="AG133" s="326">
        <f t="shared" si="625"/>
        <v>3873330.3499999996</v>
      </c>
      <c r="AH133" s="494">
        <f t="shared" si="780"/>
        <v>2.2911101166666668</v>
      </c>
      <c r="AI133" s="141">
        <f t="shared" si="626"/>
        <v>9393720.7690364998</v>
      </c>
      <c r="AJ133" s="416">
        <f>VLOOKUP(M133,trim2024,2,FALSE)</f>
        <v>16578127.27</v>
      </c>
      <c r="AK133" s="326">
        <f t="shared" ref="AK133:AM133" si="823">SUM(P133,W133,AD133)</f>
        <v>22018636.09</v>
      </c>
      <c r="AL133" s="326">
        <f t="shared" si="823"/>
        <v>0</v>
      </c>
      <c r="AM133" s="326">
        <f t="shared" si="823"/>
        <v>22018636.09</v>
      </c>
      <c r="AN133" s="326">
        <f t="shared" si="628"/>
        <v>12624915.3209635</v>
      </c>
      <c r="AO133" s="98">
        <f>IFERROR(AM133/AI133,"")</f>
        <v>2.3439738769516798</v>
      </c>
      <c r="AP133" s="125">
        <f t="shared" si="742"/>
        <v>1022040.55</v>
      </c>
      <c r="AQ133" s="140">
        <f t="shared" si="629"/>
        <v>6097010.3700000001</v>
      </c>
      <c r="AR133" s="123" t="str">
        <f t="shared" si="630"/>
        <v>0</v>
      </c>
      <c r="AS133" s="148">
        <f t="shared" si="631"/>
        <v>6097010.3700000001</v>
      </c>
      <c r="AT133" s="125">
        <f t="shared" si="632"/>
        <v>522613.36</v>
      </c>
      <c r="AU133" s="140">
        <f t="shared" si="633"/>
        <v>5737028.5099999998</v>
      </c>
      <c r="AV133" s="326" t="str">
        <f t="shared" si="634"/>
        <v>0</v>
      </c>
      <c r="AW133" s="333">
        <f t="shared" si="635"/>
        <v>5737028.5099999998</v>
      </c>
      <c r="AX133" s="125">
        <f t="shared" si="743"/>
        <v>1327459.18</v>
      </c>
      <c r="AY133" s="1041">
        <f t="shared" si="658"/>
        <v>5105076.74</v>
      </c>
      <c r="AZ133" s="123" t="str">
        <f t="shared" si="659"/>
        <v>0</v>
      </c>
      <c r="BA133" s="125">
        <f t="shared" si="660"/>
        <v>5105076.74</v>
      </c>
      <c r="BB133" s="122">
        <f t="shared" ref="BB133:BD133" si="824">SUM(AY133,AU133,AQ133)</f>
        <v>16939115.620000001</v>
      </c>
      <c r="BC133" s="326">
        <f t="shared" si="824"/>
        <v>0</v>
      </c>
      <c r="BD133" s="333">
        <f t="shared" si="824"/>
        <v>16939115.620000001</v>
      </c>
      <c r="BE133" s="123">
        <f t="shared" si="662"/>
        <v>38957751.710000001</v>
      </c>
      <c r="BF133" s="326">
        <f t="shared" ref="BF133:BG133" si="825">BC133+AL133</f>
        <v>0</v>
      </c>
      <c r="BG133" s="435">
        <f t="shared" si="825"/>
        <v>38957751.710000001</v>
      </c>
      <c r="BH133" s="125">
        <f t="shared" si="746"/>
        <v>1038804.3</v>
      </c>
      <c r="BI133" s="140">
        <f t="shared" si="664"/>
        <v>3768632.49</v>
      </c>
      <c r="BJ133" s="326" t="str">
        <f t="shared" si="665"/>
        <v>0</v>
      </c>
      <c r="BK133" s="333">
        <f t="shared" si="666"/>
        <v>3768632.49</v>
      </c>
      <c r="BL133" s="125">
        <f t="shared" si="747"/>
        <v>4015883.65</v>
      </c>
      <c r="BM133" s="141">
        <f t="shared" si="667"/>
        <v>4454512.5199999996</v>
      </c>
      <c r="BN133" s="332" t="str">
        <f t="shared" si="668"/>
        <v>0</v>
      </c>
      <c r="BO133" s="333">
        <f t="shared" si="669"/>
        <v>4454512.5199999996</v>
      </c>
      <c r="BP133" s="125">
        <f t="shared" si="748"/>
        <v>6108906.4900000002</v>
      </c>
      <c r="BQ133" s="140">
        <f t="shared" si="670"/>
        <v>6737637.3600000003</v>
      </c>
      <c r="BR133" s="123" t="str">
        <f t="shared" si="671"/>
        <v>0</v>
      </c>
      <c r="BS133" s="148">
        <f t="shared" si="672"/>
        <v>6737637.3600000003</v>
      </c>
      <c r="BT133" s="140">
        <f t="shared" ref="BT133:BV133" si="826">SUM(BQ133,BM133,BI133)</f>
        <v>14960782.369999999</v>
      </c>
      <c r="BU133" s="123">
        <f t="shared" si="826"/>
        <v>0</v>
      </c>
      <c r="BV133" s="148">
        <f t="shared" si="826"/>
        <v>14960782.369999999</v>
      </c>
      <c r="BW133" s="125">
        <f t="shared" si="640"/>
        <v>6932781.8499999996</v>
      </c>
      <c r="BX133" s="140">
        <f t="shared" si="674"/>
        <v>7283951.8300000001</v>
      </c>
      <c r="BY133" s="123" t="str">
        <f t="shared" si="675"/>
        <v>0</v>
      </c>
      <c r="BZ133" s="148">
        <f t="shared" si="676"/>
        <v>7283951.8300000001</v>
      </c>
      <c r="CA133" s="123">
        <f t="shared" si="641"/>
        <v>4643166.2699999996</v>
      </c>
      <c r="CB133" s="326">
        <f t="shared" si="642"/>
        <v>5002179.1500000004</v>
      </c>
      <c r="CP133" s="171"/>
      <c r="CQ133" s="171"/>
      <c r="CR133" s="171"/>
      <c r="CS133" s="171"/>
      <c r="CT133" s="171"/>
      <c r="CU133" s="171"/>
      <c r="CV133" s="171"/>
      <c r="CW133" s="171"/>
      <c r="CX133" s="171"/>
      <c r="CY133" s="171"/>
      <c r="CZ133" s="171"/>
      <c r="DA133" s="171"/>
      <c r="DB133" s="171"/>
      <c r="DC133" s="171"/>
      <c r="DD133" s="171"/>
      <c r="DE133" s="171"/>
      <c r="DF133" s="171"/>
      <c r="DG133" s="171"/>
      <c r="DH133" s="171"/>
      <c r="DI133" s="171"/>
      <c r="DJ133" s="171"/>
      <c r="DK133" s="171"/>
    </row>
    <row r="134" spans="1:115" ht="13">
      <c r="A134" s="436" t="e">
        <f t="shared" si="643"/>
        <v>#N/A</v>
      </c>
      <c r="B134" s="93">
        <f t="shared" si="606"/>
        <v>10</v>
      </c>
      <c r="C134" s="699">
        <f t="shared" si="607"/>
        <v>0.15</v>
      </c>
      <c r="D134" s="699">
        <f t="shared" si="608"/>
        <v>0.23</v>
      </c>
      <c r="E134" s="700">
        <f t="shared" si="609"/>
        <v>0</v>
      </c>
      <c r="F134" s="701">
        <f t="shared" si="644"/>
        <v>10</v>
      </c>
      <c r="G134" s="700">
        <f t="shared" si="645"/>
        <v>0.15</v>
      </c>
      <c r="H134" s="700">
        <f t="shared" si="646"/>
        <v>0.23</v>
      </c>
      <c r="I134" s="702">
        <f t="shared" si="647"/>
        <v>0</v>
      </c>
      <c r="J134" s="837">
        <f t="shared" si="648"/>
        <v>53</v>
      </c>
      <c r="K134" s="699">
        <f t="shared" si="649"/>
        <v>0.15</v>
      </c>
      <c r="L134" s="1040">
        <f t="shared" si="650"/>
        <v>0.14000000000000001</v>
      </c>
      <c r="M134" s="135" t="s">
        <v>1113</v>
      </c>
      <c r="N134" s="114">
        <f t="shared" si="738"/>
        <v>3584158.28</v>
      </c>
      <c r="O134" s="116">
        <f t="shared" si="822"/>
        <v>6025149.2765939999</v>
      </c>
      <c r="P134" s="704">
        <f t="shared" si="610"/>
        <v>5035497.62</v>
      </c>
      <c r="Q134" s="704">
        <f t="shared" si="611"/>
        <v>2184814.38</v>
      </c>
      <c r="R134" s="704">
        <f t="shared" si="612"/>
        <v>7220312</v>
      </c>
      <c r="S134" s="116">
        <f t="shared" si="613"/>
        <v>1195162.7234060001</v>
      </c>
      <c r="T134" s="94">
        <f t="shared" si="778"/>
        <v>1.1983623423321426</v>
      </c>
      <c r="U134" s="121">
        <f t="shared" si="614"/>
        <v>5869442.6600000001</v>
      </c>
      <c r="V134" s="416">
        <f t="shared" ref="V134:V146" si="827">(U134*1.7245)*1.05</f>
        <v>10627946.5605285</v>
      </c>
      <c r="W134" s="113">
        <f t="shared" si="616"/>
        <v>3447002.0600000005</v>
      </c>
      <c r="X134" s="704">
        <f t="shared" si="617"/>
        <v>3622382.26</v>
      </c>
      <c r="Y134" s="117">
        <f t="shared" si="618"/>
        <v>7069384.3200000003</v>
      </c>
      <c r="Z134" s="114">
        <f t="shared" si="740"/>
        <v>-3558562.2405284997</v>
      </c>
      <c r="AA134" s="413">
        <f t="shared" si="779"/>
        <v>0.66516935136418853</v>
      </c>
      <c r="AB134" s="123">
        <f t="shared" si="620"/>
        <v>2852244.43</v>
      </c>
      <c r="AC134" s="326">
        <f t="shared" ref="AC134:AC146" si="828">(AB134*1.5955)*1.03</f>
        <v>4687278.6677069496</v>
      </c>
      <c r="AD134" s="326">
        <f t="shared" si="622"/>
        <v>2751244.21</v>
      </c>
      <c r="AE134" s="326">
        <f t="shared" si="623"/>
        <v>1163481.47</v>
      </c>
      <c r="AF134" s="326">
        <f t="shared" si="624"/>
        <v>3914725.68</v>
      </c>
      <c r="AG134" s="326">
        <f t="shared" si="625"/>
        <v>-772552.98770694947</v>
      </c>
      <c r="AH134" s="494">
        <f t="shared" si="780"/>
        <v>0.83518091360143354</v>
      </c>
      <c r="AI134" s="416">
        <f t="shared" si="626"/>
        <v>21340374.504829451</v>
      </c>
      <c r="AJ134" s="416">
        <f>VLOOKUP(M134,trim2024,2,FALSE)</f>
        <v>13259583.35</v>
      </c>
      <c r="AK134" s="116">
        <f t="shared" ref="AK134:AM134" si="829">SUM(P134,W134,AD134)</f>
        <v>11233743.890000001</v>
      </c>
      <c r="AL134" s="116">
        <f t="shared" si="829"/>
        <v>6970678.1099999994</v>
      </c>
      <c r="AM134" s="116">
        <f t="shared" si="829"/>
        <v>18204422</v>
      </c>
      <c r="AN134" s="116">
        <f t="shared" si="628"/>
        <v>-3135952.5048294514</v>
      </c>
      <c r="AO134" s="413">
        <f>AM134/AI134</f>
        <v>0.85305072766554457</v>
      </c>
      <c r="AP134" s="125">
        <f t="shared" si="742"/>
        <v>972922.64</v>
      </c>
      <c r="AQ134" s="140">
        <f t="shared" si="629"/>
        <v>1966938.7600000002</v>
      </c>
      <c r="AR134" s="123">
        <f t="shared" si="630"/>
        <v>3329938.03</v>
      </c>
      <c r="AS134" s="148">
        <f t="shared" si="631"/>
        <v>5296876.79</v>
      </c>
      <c r="AT134" s="125">
        <f t="shared" si="632"/>
        <v>653075.01</v>
      </c>
      <c r="AU134" s="140">
        <f t="shared" si="633"/>
        <v>1730875.2899999996</v>
      </c>
      <c r="AV134" s="326">
        <f t="shared" si="634"/>
        <v>3117745.72</v>
      </c>
      <c r="AW134" s="333">
        <f t="shared" si="635"/>
        <v>4848621.01</v>
      </c>
      <c r="AX134" s="125">
        <f t="shared" si="743"/>
        <v>1243253.92</v>
      </c>
      <c r="AY134" s="1041">
        <f t="shared" si="658"/>
        <v>1131755.3700000001</v>
      </c>
      <c r="AZ134" s="123">
        <f t="shared" si="659"/>
        <v>2195074.04</v>
      </c>
      <c r="BA134" s="125">
        <f t="shared" si="660"/>
        <v>3326829.41</v>
      </c>
      <c r="BB134" s="118">
        <f t="shared" ref="BB134:BD134" si="830">SUM(AY134,AU134,AQ134)</f>
        <v>4829569.42</v>
      </c>
      <c r="BC134" s="116">
        <f t="shared" si="830"/>
        <v>8642757.7899999991</v>
      </c>
      <c r="BD134" s="117">
        <f t="shared" si="830"/>
        <v>13472327.210000001</v>
      </c>
      <c r="BE134" s="114">
        <f t="shared" si="662"/>
        <v>24706071.100000001</v>
      </c>
      <c r="BF134" s="116">
        <f t="shared" ref="BF134:BG134" si="831">BC134+AL134</f>
        <v>15613435.899999999</v>
      </c>
      <c r="BG134" s="119">
        <f t="shared" si="831"/>
        <v>31676749.210000001</v>
      </c>
      <c r="BH134" s="125">
        <f t="shared" si="746"/>
        <v>2341003.73</v>
      </c>
      <c r="BI134" s="140">
        <f t="shared" si="664"/>
        <v>284850.08000000054</v>
      </c>
      <c r="BJ134" s="326">
        <f t="shared" si="665"/>
        <v>3948396.36</v>
      </c>
      <c r="BK134" s="1115">
        <f t="shared" si="666"/>
        <v>4233246.4400000004</v>
      </c>
      <c r="BL134" s="125">
        <f t="shared" si="747"/>
        <v>4246836.68</v>
      </c>
      <c r="BM134" s="141">
        <f t="shared" si="667"/>
        <v>1357559.9399999995</v>
      </c>
      <c r="BN134" s="332">
        <f t="shared" si="668"/>
        <v>7082955.9000000004</v>
      </c>
      <c r="BO134" s="333">
        <f t="shared" si="669"/>
        <v>8440515.8399999999</v>
      </c>
      <c r="BP134" s="125">
        <f t="shared" si="748"/>
        <v>1056861.9099999999</v>
      </c>
      <c r="BQ134" s="140">
        <f t="shared" si="670"/>
        <v>2165319.56</v>
      </c>
      <c r="BR134" s="123">
        <f t="shared" si="671"/>
        <v>450340.43</v>
      </c>
      <c r="BS134" s="148">
        <f t="shared" si="672"/>
        <v>2615659.9900000002</v>
      </c>
      <c r="BT134" s="140">
        <f t="shared" ref="BT134:BV134" si="832">SUM(BQ134,BM134,BI134)</f>
        <v>3807729.58</v>
      </c>
      <c r="BU134" s="123">
        <f t="shared" si="832"/>
        <v>11481692.689999999</v>
      </c>
      <c r="BV134" s="148">
        <f t="shared" si="832"/>
        <v>15289422.27</v>
      </c>
      <c r="BW134" s="125">
        <f t="shared" si="640"/>
        <v>3610973.54</v>
      </c>
      <c r="BX134" s="140">
        <f t="shared" si="674"/>
        <v>4005291.2</v>
      </c>
      <c r="BY134" s="123">
        <f t="shared" si="675"/>
        <v>1045846.78</v>
      </c>
      <c r="BZ134" s="148">
        <f t="shared" si="676"/>
        <v>5051137.9800000004</v>
      </c>
      <c r="CA134" s="123">
        <f t="shared" si="641"/>
        <v>3730792.3</v>
      </c>
      <c r="CB134" s="326">
        <f t="shared" si="642"/>
        <v>5917817.5099999998</v>
      </c>
      <c r="CE134" s="127"/>
      <c r="CF134" s="981"/>
      <c r="CG134" s="981"/>
      <c r="CH134" s="981"/>
      <c r="CI134" s="981"/>
      <c r="CJ134" s="136"/>
      <c r="CK134" s="136"/>
      <c r="CL134" s="136"/>
      <c r="CM134" s="136"/>
      <c r="CN134" s="136"/>
      <c r="CO134" s="136"/>
      <c r="CP134" s="136"/>
      <c r="CQ134" s="136"/>
      <c r="CR134" s="136"/>
      <c r="CS134" s="136"/>
      <c r="CT134" s="136"/>
      <c r="CU134" s="136"/>
      <c r="CV134" s="136"/>
      <c r="CW134" s="136"/>
      <c r="CX134" s="136"/>
      <c r="CY134" s="136"/>
      <c r="CZ134" s="136"/>
      <c r="DA134" s="136"/>
      <c r="DB134" s="136"/>
      <c r="DC134" s="136"/>
      <c r="DD134" s="136"/>
      <c r="DE134" s="136"/>
      <c r="DF134" s="136"/>
      <c r="DG134" s="136"/>
      <c r="DH134" s="136"/>
      <c r="DI134" s="136"/>
      <c r="DJ134" s="136"/>
      <c r="DK134" s="136"/>
    </row>
    <row r="135" spans="1:115" ht="13">
      <c r="A135" s="422"/>
      <c r="B135" s="93"/>
      <c r="C135" s="558"/>
      <c r="D135" s="558"/>
      <c r="E135" s="715"/>
      <c r="F135" s="836"/>
      <c r="G135" s="558"/>
      <c r="H135" s="558"/>
      <c r="I135" s="559"/>
      <c r="J135" s="1116"/>
      <c r="K135" s="558"/>
      <c r="L135" s="715"/>
      <c r="M135" s="1117" t="s">
        <v>1114</v>
      </c>
      <c r="N135" s="123"/>
      <c r="O135" s="326"/>
      <c r="P135" s="716">
        <f t="shared" si="610"/>
        <v>0</v>
      </c>
      <c r="Q135" s="716" t="str">
        <f t="shared" si="611"/>
        <v>0</v>
      </c>
      <c r="R135" s="716">
        <f t="shared" si="612"/>
        <v>0</v>
      </c>
      <c r="S135" s="326">
        <f t="shared" si="613"/>
        <v>0</v>
      </c>
      <c r="T135" s="137" t="str">
        <f t="shared" ref="T135:T146" si="833">IFERROR(R135/O135,"")</f>
        <v/>
      </c>
      <c r="U135" s="332">
        <f t="shared" si="614"/>
        <v>0</v>
      </c>
      <c r="V135" s="141">
        <f t="shared" si="827"/>
        <v>0</v>
      </c>
      <c r="W135" s="140">
        <f t="shared" si="616"/>
        <v>0</v>
      </c>
      <c r="X135" s="716" t="str">
        <f t="shared" si="617"/>
        <v>0</v>
      </c>
      <c r="Y135" s="333">
        <f t="shared" si="618"/>
        <v>0</v>
      </c>
      <c r="Z135" s="123">
        <f t="shared" si="740"/>
        <v>0</v>
      </c>
      <c r="AA135" s="98" t="str">
        <f t="shared" ref="AA135:AA146" si="834">IFERROR(Y135/V135,"")</f>
        <v/>
      </c>
      <c r="AB135" s="123">
        <f t="shared" si="620"/>
        <v>0</v>
      </c>
      <c r="AC135" s="326">
        <f t="shared" si="828"/>
        <v>0</v>
      </c>
      <c r="AD135" s="326">
        <f t="shared" si="622"/>
        <v>0</v>
      </c>
      <c r="AE135" s="326" t="str">
        <f t="shared" si="623"/>
        <v>0</v>
      </c>
      <c r="AF135" s="326">
        <f t="shared" si="624"/>
        <v>0</v>
      </c>
      <c r="AG135" s="326">
        <f t="shared" si="625"/>
        <v>0</v>
      </c>
      <c r="AH135" s="494" t="str">
        <f t="shared" ref="AH135:AH146" si="835">IFERROR(AF135/AC135,"")</f>
        <v/>
      </c>
      <c r="AI135" s="141">
        <f t="shared" si="626"/>
        <v>0</v>
      </c>
      <c r="AJ135" s="141" t="str">
        <f t="shared" ref="AJ135:AJ146" si="836">IFERROR(VLOOKUP(M135,trim2024,2,FALSE),"0")</f>
        <v>0</v>
      </c>
      <c r="AK135" s="326">
        <f t="shared" ref="AK135:AM135" si="837">SUM(P135,W135,AD135)</f>
        <v>0</v>
      </c>
      <c r="AL135" s="326">
        <f t="shared" si="837"/>
        <v>0</v>
      </c>
      <c r="AM135" s="326">
        <f t="shared" si="837"/>
        <v>0</v>
      </c>
      <c r="AN135" s="326">
        <f t="shared" si="628"/>
        <v>0</v>
      </c>
      <c r="AO135" s="137" t="str">
        <f t="shared" ref="AO135:AO146" si="838">IFERROR(AM135/AI135,"")</f>
        <v/>
      </c>
      <c r="AP135" s="123"/>
      <c r="AQ135" s="200">
        <f t="shared" si="629"/>
        <v>1689300.97</v>
      </c>
      <c r="AR135" s="142" t="str">
        <f t="shared" si="630"/>
        <v>0</v>
      </c>
      <c r="AS135" s="228">
        <f t="shared" si="631"/>
        <v>1689300.97</v>
      </c>
      <c r="AT135" s="1118">
        <f t="shared" si="632"/>
        <v>1632335.35</v>
      </c>
      <c r="AU135" s="200">
        <f t="shared" si="633"/>
        <v>0</v>
      </c>
      <c r="AV135" s="145" t="str">
        <f t="shared" si="634"/>
        <v>0</v>
      </c>
      <c r="AW135" s="1119">
        <f t="shared" si="635"/>
        <v>0</v>
      </c>
      <c r="AX135" s="1110">
        <f t="shared" si="743"/>
        <v>0</v>
      </c>
      <c r="AY135" s="1110"/>
      <c r="AZ135" s="1110"/>
      <c r="BA135" s="1110"/>
      <c r="BB135" s="1110"/>
      <c r="BC135" s="1110"/>
      <c r="BD135" s="1110"/>
      <c r="BE135" s="1110"/>
      <c r="BF135" s="1110"/>
      <c r="BG135" s="1110"/>
      <c r="BH135" s="1120">
        <f t="shared" si="746"/>
        <v>0</v>
      </c>
      <c r="BI135" s="1121"/>
      <c r="BJ135" s="1122"/>
      <c r="BK135" s="1123"/>
      <c r="BL135" s="1110">
        <f t="shared" si="747"/>
        <v>258308.22</v>
      </c>
      <c r="BM135" s="1122"/>
      <c r="BN135" s="1122"/>
      <c r="BO135" s="1122"/>
      <c r="BP135" s="1120">
        <f t="shared" si="748"/>
        <v>-100177.65</v>
      </c>
      <c r="BQ135" s="1121"/>
      <c r="BR135" s="1122"/>
      <c r="BS135" s="1123"/>
      <c r="BT135" s="1110"/>
      <c r="BU135" s="1122"/>
      <c r="BV135" s="1122"/>
      <c r="BW135" s="1120">
        <f t="shared" si="640"/>
        <v>0</v>
      </c>
      <c r="BX135" s="1121"/>
      <c r="BY135" s="1122"/>
      <c r="BZ135" s="1123"/>
      <c r="CA135" s="1110">
        <f t="shared" si="641"/>
        <v>0</v>
      </c>
      <c r="CB135" s="1111">
        <f t="shared" si="642"/>
        <v>0</v>
      </c>
    </row>
    <row r="136" spans="1:115" ht="13">
      <c r="A136" s="422" t="e">
        <f>VLOOKUP(M136,ARRIOLACARTERA,3,FALSE)</f>
        <v>#N/A</v>
      </c>
      <c r="B136" s="93" t="e">
        <f>VLOOKUP(M136,ARRIOLACARTERA,2,FALSE)</f>
        <v>#N/A</v>
      </c>
      <c r="C136" s="558" t="str">
        <f>IFERROR(VLOOKUP(B136,DES,2,FALSE),"")</f>
        <v/>
      </c>
      <c r="D136" s="558" t="str">
        <f>IFERROR(VLOOKUP(B136,DES,3,FALSE),"")</f>
        <v/>
      </c>
      <c r="E136" s="715" t="str">
        <f>IFERROR(VLOOKUP(B136,DES,4,FALSE),"")</f>
        <v/>
      </c>
      <c r="F136" s="836"/>
      <c r="G136" s="558"/>
      <c r="H136" s="558"/>
      <c r="I136" s="559"/>
      <c r="J136" s="1116"/>
      <c r="K136" s="558"/>
      <c r="L136" s="715"/>
      <c r="M136" s="498" t="s">
        <v>1115</v>
      </c>
      <c r="N136" s="123">
        <f>IFERROR(VLOOKUP(M136,ARRIOLA24,3,FALSE),"")</f>
        <v>61921.279999999999</v>
      </c>
      <c r="O136" s="326">
        <f t="shared" ref="O136:O137" si="839">(N136*1.601)*1.05</f>
        <v>104092.767744</v>
      </c>
      <c r="P136" s="716">
        <f t="shared" si="610"/>
        <v>0</v>
      </c>
      <c r="Q136" s="716">
        <f t="shared" si="611"/>
        <v>107141.68</v>
      </c>
      <c r="R136" s="716">
        <f t="shared" si="612"/>
        <v>107141.68</v>
      </c>
      <c r="S136" s="326">
        <f t="shared" si="613"/>
        <v>3048.912255999996</v>
      </c>
      <c r="T136" s="137">
        <f t="shared" si="833"/>
        <v>1.0292903370914137</v>
      </c>
      <c r="U136" s="332">
        <f t="shared" si="614"/>
        <v>148871.92000000001</v>
      </c>
      <c r="V136" s="141">
        <f t="shared" si="827"/>
        <v>269566.107342</v>
      </c>
      <c r="W136" s="113">
        <f t="shared" si="616"/>
        <v>0</v>
      </c>
      <c r="X136" s="704">
        <f t="shared" si="617"/>
        <v>90330.64</v>
      </c>
      <c r="Y136" s="117">
        <f t="shared" si="618"/>
        <v>90330.64</v>
      </c>
      <c r="Z136" s="123">
        <f t="shared" si="740"/>
        <v>-179235.46734199999</v>
      </c>
      <c r="AA136" s="98">
        <f t="shared" si="834"/>
        <v>0.33509642918646676</v>
      </c>
      <c r="AB136" s="123">
        <f t="shared" si="620"/>
        <v>138257.60000000001</v>
      </c>
      <c r="AC136" s="326">
        <f t="shared" si="828"/>
        <v>227207.70082400003</v>
      </c>
      <c r="AD136" s="326">
        <f t="shared" si="622"/>
        <v>0</v>
      </c>
      <c r="AE136" s="326">
        <f t="shared" si="623"/>
        <v>95585.600000000006</v>
      </c>
      <c r="AF136" s="326">
        <f t="shared" si="624"/>
        <v>95585.600000000006</v>
      </c>
      <c r="AG136" s="326">
        <f t="shared" si="625"/>
        <v>-131622.10082400002</v>
      </c>
      <c r="AH136" s="494">
        <f t="shared" si="835"/>
        <v>0.42069700830273649</v>
      </c>
      <c r="AI136" s="141">
        <f t="shared" si="626"/>
        <v>600866.57591000001</v>
      </c>
      <c r="AJ136" s="416">
        <f t="shared" si="836"/>
        <v>353818.88</v>
      </c>
      <c r="AK136" s="326">
        <f t="shared" ref="AK136:AM136" si="840">SUM(P136,W136,AD136)</f>
        <v>0</v>
      </c>
      <c r="AL136" s="326">
        <f t="shared" si="840"/>
        <v>293057.92000000004</v>
      </c>
      <c r="AM136" s="326">
        <f t="shared" si="840"/>
        <v>293057.92000000004</v>
      </c>
      <c r="AN136" s="326">
        <f t="shared" si="628"/>
        <v>-307808.65590999997</v>
      </c>
      <c r="AO136" s="98">
        <f t="shared" si="838"/>
        <v>0.48772544812659929</v>
      </c>
      <c r="AP136" s="125">
        <f>IFERROR(VLOOKUP(M136,ARRIOLA24,6,FALSE),"")</f>
        <v>112588.56</v>
      </c>
      <c r="AQ136" s="140">
        <f t="shared" si="629"/>
        <v>0</v>
      </c>
      <c r="AR136" s="123">
        <f t="shared" si="630"/>
        <v>45082.96</v>
      </c>
      <c r="AS136" s="148">
        <f t="shared" si="631"/>
        <v>45082.96</v>
      </c>
      <c r="AT136" s="125">
        <f t="shared" si="632"/>
        <v>94084.08</v>
      </c>
      <c r="AU136" s="140">
        <f t="shared" si="633"/>
        <v>0</v>
      </c>
      <c r="AV136" s="326">
        <f t="shared" si="634"/>
        <v>148868.88</v>
      </c>
      <c r="AW136" s="333">
        <f t="shared" si="635"/>
        <v>148868.88</v>
      </c>
      <c r="AX136" s="125">
        <f t="shared" si="743"/>
        <v>19020</v>
      </c>
      <c r="AY136" s="1041">
        <f>BA136-AZ136</f>
        <v>0</v>
      </c>
      <c r="AZ136" s="123">
        <f>IFERROR(VLOOKUP(M136,ARRIOALIM,8,FALSE),"0")</f>
        <v>75466.559999999998</v>
      </c>
      <c r="BA136" s="125">
        <f>IFERROR(VLOOKUP(M136,ARRIOFC,8,FALSE),"")</f>
        <v>75466.559999999998</v>
      </c>
      <c r="BB136" s="122">
        <f t="shared" ref="BB136:BD136" si="841">SUM(AY136,AU136,AQ136)</f>
        <v>0</v>
      </c>
      <c r="BC136" s="326">
        <f t="shared" si="841"/>
        <v>269418.40000000002</v>
      </c>
      <c r="BD136" s="333">
        <f t="shared" si="841"/>
        <v>269418.40000000002</v>
      </c>
      <c r="BE136" s="123">
        <f>BD136+AK136</f>
        <v>269418.40000000002</v>
      </c>
      <c r="BF136" s="326">
        <f t="shared" ref="BF136:BG136" si="842">BC136+AL136</f>
        <v>562476.32000000007</v>
      </c>
      <c r="BG136" s="435">
        <f t="shared" si="842"/>
        <v>562476.32000000007</v>
      </c>
      <c r="BH136" s="125">
        <f t="shared" si="746"/>
        <v>162036.07999999999</v>
      </c>
      <c r="BI136" s="140">
        <f>BK136-BJ136</f>
        <v>0</v>
      </c>
      <c r="BJ136" s="326">
        <f>IFERROR(VLOOKUP(M136,ARRIOALIM,9,FALSE),"0")</f>
        <v>0</v>
      </c>
      <c r="BK136" s="333">
        <f>IFERROR(VLOOKUP(M136,ARRIOFC,9,FALSE),"")</f>
        <v>0</v>
      </c>
      <c r="BL136" s="123">
        <f t="shared" si="747"/>
        <v>203557.76000000001</v>
      </c>
      <c r="BM136" s="125"/>
      <c r="BN136" s="125"/>
      <c r="BO136" s="125"/>
      <c r="BP136" s="332">
        <f t="shared" si="748"/>
        <v>70949.36</v>
      </c>
      <c r="BQ136" s="140"/>
      <c r="BR136" s="326"/>
      <c r="BS136" s="333"/>
      <c r="BT136" s="123"/>
      <c r="BU136" s="326"/>
      <c r="BV136" s="326"/>
      <c r="BW136" s="332">
        <f t="shared" si="640"/>
        <v>78253.600000000006</v>
      </c>
      <c r="BX136" s="140"/>
      <c r="BY136" s="326"/>
      <c r="BZ136" s="333"/>
      <c r="CA136" s="123">
        <f t="shared" si="641"/>
        <v>91897.279999999999</v>
      </c>
      <c r="CB136" s="326">
        <f t="shared" si="642"/>
        <v>183668</v>
      </c>
    </row>
    <row r="137" spans="1:115" ht="13">
      <c r="A137" s="1124" t="e">
        <f>VLOOKUP(M137,ARRIOLACARTERA,3,FALSE)</f>
        <v>#N/A</v>
      </c>
      <c r="B137" s="1125" t="e">
        <f>VLOOKUP(M137,ARRIOLACARTERA,2,FALSE)</f>
        <v>#N/A</v>
      </c>
      <c r="C137" s="984" t="str">
        <f>IFERROR(VLOOKUP(B137,DES,2,FALSE),"")</f>
        <v/>
      </c>
      <c r="D137" s="984" t="str">
        <f>IFERROR(VLOOKUP(B137,DES,3,FALSE),"")</f>
        <v/>
      </c>
      <c r="E137" s="1126" t="str">
        <f>IFERROR(VLOOKUP(B137,DES,4,FALSE),"")</f>
        <v/>
      </c>
      <c r="F137" s="1127"/>
      <c r="G137" s="984"/>
      <c r="H137" s="984"/>
      <c r="I137" s="864"/>
      <c r="J137" s="1128"/>
      <c r="K137" s="984"/>
      <c r="L137" s="1126"/>
      <c r="M137" s="1129" t="s">
        <v>1116</v>
      </c>
      <c r="N137" s="1130">
        <f>IFERROR(VLOOKUP(M137,ARRIOLA24,3,FALSE),"")</f>
        <v>0</v>
      </c>
      <c r="O137" s="878">
        <f t="shared" si="839"/>
        <v>0</v>
      </c>
      <c r="P137" s="716">
        <f t="shared" si="610"/>
        <v>0</v>
      </c>
      <c r="Q137" s="716">
        <f t="shared" si="611"/>
        <v>0</v>
      </c>
      <c r="R137" s="716">
        <f t="shared" si="612"/>
        <v>0</v>
      </c>
      <c r="S137" s="326">
        <f t="shared" si="613"/>
        <v>0</v>
      </c>
      <c r="T137" s="137" t="str">
        <f t="shared" si="833"/>
        <v/>
      </c>
      <c r="U137" s="332">
        <f t="shared" si="614"/>
        <v>0</v>
      </c>
      <c r="V137" s="141">
        <f t="shared" si="827"/>
        <v>0</v>
      </c>
      <c r="W137" s="140">
        <f t="shared" si="616"/>
        <v>0</v>
      </c>
      <c r="X137" s="716">
        <f t="shared" si="617"/>
        <v>0</v>
      </c>
      <c r="Y137" s="333">
        <f t="shared" si="618"/>
        <v>0</v>
      </c>
      <c r="Z137" s="123">
        <f t="shared" si="740"/>
        <v>0</v>
      </c>
      <c r="AA137" s="98" t="str">
        <f t="shared" si="834"/>
        <v/>
      </c>
      <c r="AB137" s="123">
        <f t="shared" si="620"/>
        <v>0</v>
      </c>
      <c r="AC137" s="326">
        <f t="shared" si="828"/>
        <v>0</v>
      </c>
      <c r="AD137" s="326">
        <f t="shared" si="622"/>
        <v>90522.12000000001</v>
      </c>
      <c r="AE137" s="326">
        <f t="shared" si="623"/>
        <v>94965.77</v>
      </c>
      <c r="AF137" s="326">
        <f t="shared" si="624"/>
        <v>185487.89</v>
      </c>
      <c r="AG137" s="326">
        <f t="shared" si="625"/>
        <v>185487.89</v>
      </c>
      <c r="AH137" s="494" t="str">
        <f t="shared" si="835"/>
        <v/>
      </c>
      <c r="AI137" s="141">
        <f t="shared" si="626"/>
        <v>0</v>
      </c>
      <c r="AJ137" s="141">
        <f t="shared" si="836"/>
        <v>82523.12</v>
      </c>
      <c r="AK137" s="326">
        <f t="shared" ref="AK137:AM137" si="843">SUM(P137,W137,AD137)</f>
        <v>90522.12000000001</v>
      </c>
      <c r="AL137" s="326">
        <f t="shared" si="843"/>
        <v>94965.77</v>
      </c>
      <c r="AM137" s="326">
        <f t="shared" si="843"/>
        <v>185487.89</v>
      </c>
      <c r="AN137" s="326">
        <f t="shared" si="628"/>
        <v>185487.89</v>
      </c>
      <c r="AO137" s="137" t="str">
        <f t="shared" si="838"/>
        <v/>
      </c>
      <c r="AP137" s="123"/>
      <c r="AQ137" s="200">
        <f t="shared" si="629"/>
        <v>0</v>
      </c>
      <c r="AR137" s="142">
        <f t="shared" si="630"/>
        <v>105541.96</v>
      </c>
      <c r="AS137" s="228">
        <f t="shared" si="631"/>
        <v>105541.96</v>
      </c>
      <c r="AT137" s="1118">
        <f t="shared" si="632"/>
        <v>22741.32</v>
      </c>
      <c r="AU137" s="200">
        <f t="shared" si="633"/>
        <v>0</v>
      </c>
      <c r="AV137" s="145">
        <f t="shared" si="634"/>
        <v>36000.18</v>
      </c>
      <c r="AW137" s="1119">
        <f t="shared" si="635"/>
        <v>36000.18</v>
      </c>
      <c r="AX137" s="1110">
        <f t="shared" si="743"/>
        <v>53451.35</v>
      </c>
      <c r="AY137" s="1110"/>
      <c r="AZ137" s="1110"/>
      <c r="BA137" s="1110"/>
      <c r="BB137" s="1110"/>
      <c r="BC137" s="1110"/>
      <c r="BD137" s="1110"/>
      <c r="BE137" s="1110"/>
      <c r="BF137" s="1110"/>
      <c r="BG137" s="1110"/>
      <c r="BH137" s="1120">
        <f t="shared" si="746"/>
        <v>0</v>
      </c>
      <c r="BI137" s="1121"/>
      <c r="BJ137" s="1122"/>
      <c r="BK137" s="1123"/>
      <c r="BL137" s="1110">
        <f t="shared" si="747"/>
        <v>0</v>
      </c>
      <c r="BM137" s="1122"/>
      <c r="BN137" s="1122"/>
      <c r="BO137" s="1122"/>
      <c r="BP137" s="1120">
        <f t="shared" si="748"/>
        <v>57727.49</v>
      </c>
      <c r="BQ137" s="1121"/>
      <c r="BR137" s="1122"/>
      <c r="BS137" s="1123"/>
      <c r="BT137" s="1110"/>
      <c r="BU137" s="1122"/>
      <c r="BV137" s="1122"/>
      <c r="BW137" s="1120">
        <f t="shared" si="640"/>
        <v>0</v>
      </c>
      <c r="BX137" s="1121"/>
      <c r="BY137" s="1122"/>
      <c r="BZ137" s="1123"/>
      <c r="CA137" s="1110">
        <f t="shared" si="641"/>
        <v>19600.22</v>
      </c>
      <c r="CB137" s="1111">
        <f t="shared" si="642"/>
        <v>62922.9</v>
      </c>
      <c r="CC137" s="229"/>
      <c r="CD137" s="229"/>
      <c r="CE137" s="229"/>
      <c r="CF137" s="229"/>
      <c r="CG137" s="229"/>
      <c r="CH137" s="229"/>
      <c r="CI137" s="229"/>
      <c r="CJ137" s="229"/>
      <c r="CK137" s="229"/>
      <c r="CL137" s="229"/>
      <c r="CM137" s="229"/>
      <c r="CN137" s="229"/>
      <c r="CO137" s="229"/>
      <c r="CP137" s="229"/>
      <c r="CQ137" s="229"/>
      <c r="CR137" s="229"/>
      <c r="CS137" s="229"/>
      <c r="CT137" s="229"/>
      <c r="CU137" s="229"/>
      <c r="CV137" s="229"/>
      <c r="CW137" s="229"/>
      <c r="CX137" s="229"/>
      <c r="CY137" s="229"/>
      <c r="CZ137" s="229"/>
      <c r="DA137" s="229"/>
      <c r="DB137" s="229"/>
      <c r="DC137" s="229"/>
      <c r="DD137" s="229"/>
      <c r="DE137" s="229"/>
      <c r="DF137" s="229"/>
      <c r="DG137" s="229"/>
      <c r="DH137" s="229"/>
      <c r="DI137" s="229"/>
      <c r="DJ137" s="229"/>
      <c r="DK137" s="229"/>
    </row>
    <row r="138" spans="1:115" ht="13">
      <c r="A138" s="422"/>
      <c r="B138" s="93"/>
      <c r="C138" s="558"/>
      <c r="D138" s="558"/>
      <c r="E138" s="715"/>
      <c r="F138" s="836"/>
      <c r="G138" s="558"/>
      <c r="H138" s="558"/>
      <c r="I138" s="559"/>
      <c r="J138" s="1116"/>
      <c r="K138" s="558"/>
      <c r="L138" s="715"/>
      <c r="M138" s="498" t="s">
        <v>1117</v>
      </c>
      <c r="N138" s="123"/>
      <c r="O138" s="326"/>
      <c r="P138" s="716">
        <f t="shared" si="610"/>
        <v>0</v>
      </c>
      <c r="Q138" s="716" t="str">
        <f t="shared" si="611"/>
        <v>0</v>
      </c>
      <c r="R138" s="716">
        <f t="shared" si="612"/>
        <v>0</v>
      </c>
      <c r="S138" s="326">
        <f t="shared" si="613"/>
        <v>0</v>
      </c>
      <c r="T138" s="137" t="str">
        <f t="shared" si="833"/>
        <v/>
      </c>
      <c r="U138" s="332">
        <f t="shared" si="614"/>
        <v>218449.59</v>
      </c>
      <c r="V138" s="141">
        <f t="shared" si="827"/>
        <v>395552.13385275</v>
      </c>
      <c r="W138" s="140">
        <f t="shared" si="616"/>
        <v>0</v>
      </c>
      <c r="X138" s="716" t="str">
        <f t="shared" si="617"/>
        <v>0</v>
      </c>
      <c r="Y138" s="333">
        <f t="shared" si="618"/>
        <v>0</v>
      </c>
      <c r="Z138" s="123">
        <f t="shared" si="740"/>
        <v>-395552.13385275</v>
      </c>
      <c r="AA138" s="98">
        <f t="shared" si="834"/>
        <v>0</v>
      </c>
      <c r="AB138" s="123">
        <f t="shared" si="620"/>
        <v>0</v>
      </c>
      <c r="AC138" s="326">
        <f t="shared" si="828"/>
        <v>0</v>
      </c>
      <c r="AD138" s="326">
        <f t="shared" si="622"/>
        <v>949477.69</v>
      </c>
      <c r="AE138" s="326" t="str">
        <f t="shared" si="623"/>
        <v>0</v>
      </c>
      <c r="AF138" s="326">
        <f t="shared" si="624"/>
        <v>949477.69</v>
      </c>
      <c r="AG138" s="326">
        <f t="shared" si="625"/>
        <v>949477.69</v>
      </c>
      <c r="AH138" s="494" t="str">
        <f t="shared" si="835"/>
        <v/>
      </c>
      <c r="AI138" s="141">
        <f t="shared" si="626"/>
        <v>395552.13385275</v>
      </c>
      <c r="AJ138" s="141">
        <f t="shared" si="836"/>
        <v>387522.31</v>
      </c>
      <c r="AK138" s="326">
        <f t="shared" ref="AK138:AM138" si="844">SUM(P138,W138,AD138)</f>
        <v>949477.69</v>
      </c>
      <c r="AL138" s="326">
        <f t="shared" si="844"/>
        <v>0</v>
      </c>
      <c r="AM138" s="326">
        <f t="shared" si="844"/>
        <v>949477.69</v>
      </c>
      <c r="AN138" s="326">
        <f t="shared" si="628"/>
        <v>553925.55614724988</v>
      </c>
      <c r="AO138" s="137">
        <f t="shared" si="838"/>
        <v>2.4003857108591826</v>
      </c>
      <c r="AP138" s="123"/>
      <c r="AQ138" s="200">
        <f t="shared" si="629"/>
        <v>0</v>
      </c>
      <c r="AR138" s="123" t="str">
        <f t="shared" si="630"/>
        <v>0</v>
      </c>
      <c r="AS138" s="148">
        <f t="shared" si="631"/>
        <v>0</v>
      </c>
      <c r="AT138" s="125">
        <f t="shared" si="632"/>
        <v>0</v>
      </c>
      <c r="AU138" s="200">
        <f t="shared" si="633"/>
        <v>0</v>
      </c>
      <c r="AV138" s="145" t="str">
        <f t="shared" si="634"/>
        <v>0</v>
      </c>
      <c r="AW138" s="1119">
        <f t="shared" si="635"/>
        <v>0</v>
      </c>
      <c r="AX138" s="1110">
        <f t="shared" si="743"/>
        <v>0</v>
      </c>
      <c r="AY138" s="1110"/>
      <c r="AZ138" s="1110"/>
      <c r="BA138" s="1110"/>
      <c r="BB138" s="1110"/>
      <c r="BC138" s="1110"/>
      <c r="BD138" s="1110"/>
      <c r="BE138" s="1110"/>
      <c r="BF138" s="1110"/>
      <c r="BG138" s="1110"/>
      <c r="BH138" s="1120">
        <f t="shared" si="746"/>
        <v>0</v>
      </c>
      <c r="BI138" s="1121"/>
      <c r="BJ138" s="1122"/>
      <c r="BK138" s="1123"/>
      <c r="BL138" s="1110">
        <f t="shared" si="747"/>
        <v>0</v>
      </c>
      <c r="BM138" s="1122"/>
      <c r="BN138" s="1122"/>
      <c r="BO138" s="1122"/>
      <c r="BP138" s="1120">
        <f t="shared" si="748"/>
        <v>0</v>
      </c>
      <c r="BQ138" s="1121"/>
      <c r="BR138" s="1122"/>
      <c r="BS138" s="1123"/>
      <c r="BT138" s="1110"/>
      <c r="BU138" s="1122"/>
      <c r="BV138" s="1122"/>
      <c r="BW138" s="1120">
        <f t="shared" si="640"/>
        <v>0</v>
      </c>
      <c r="BX138" s="1121"/>
      <c r="BY138" s="1122"/>
      <c r="BZ138" s="1123"/>
      <c r="CA138" s="1110">
        <f t="shared" si="641"/>
        <v>387522.31</v>
      </c>
      <c r="CB138" s="1111">
        <f t="shared" si="642"/>
        <v>0</v>
      </c>
    </row>
    <row r="139" spans="1:115" ht="13">
      <c r="A139" s="422" t="e">
        <f>VLOOKUP(M139,ARRIOLACARTERA,3,FALSE)</f>
        <v>#N/A</v>
      </c>
      <c r="B139" s="93" t="e">
        <f>VLOOKUP(M139,ARRIOLACARTERA,2,FALSE)</f>
        <v>#N/A</v>
      </c>
      <c r="C139" s="558" t="str">
        <f>IFERROR(VLOOKUP(B139,DES,2,FALSE),"")</f>
        <v/>
      </c>
      <c r="D139" s="558" t="str">
        <f>IFERROR(VLOOKUP(B139,DES,3,FALSE),"")</f>
        <v/>
      </c>
      <c r="E139" s="715" t="str">
        <f>IFERROR(VLOOKUP(B139,DES,4,FALSE),"")</f>
        <v/>
      </c>
      <c r="F139" s="836"/>
      <c r="G139" s="558"/>
      <c r="H139" s="558"/>
      <c r="I139" s="559"/>
      <c r="J139" s="1116"/>
      <c r="K139" s="558"/>
      <c r="L139" s="715"/>
      <c r="M139" s="498" t="s">
        <v>1118</v>
      </c>
      <c r="N139" s="123" t="str">
        <f>IFERROR(VLOOKUP(M139,ARRIOLA24,3,FALSE),"")</f>
        <v/>
      </c>
      <c r="O139" s="326" t="e">
        <f>(N139*1.601)*1.05</f>
        <v>#VALUE!</v>
      </c>
      <c r="P139" s="716">
        <f t="shared" si="610"/>
        <v>0</v>
      </c>
      <c r="Q139" s="716">
        <f t="shared" si="611"/>
        <v>89590.06</v>
      </c>
      <c r="R139" s="716">
        <f t="shared" si="612"/>
        <v>89590.06</v>
      </c>
      <c r="S139" s="326" t="e">
        <f t="shared" si="613"/>
        <v>#VALUE!</v>
      </c>
      <c r="T139" s="137" t="str">
        <f t="shared" si="833"/>
        <v/>
      </c>
      <c r="U139" s="332" t="str">
        <f t="shared" si="614"/>
        <v/>
      </c>
      <c r="V139" s="141" t="e">
        <f t="shared" si="827"/>
        <v>#VALUE!</v>
      </c>
      <c r="W139" s="140">
        <f t="shared" si="616"/>
        <v>0</v>
      </c>
      <c r="X139" s="716">
        <f t="shared" si="617"/>
        <v>0</v>
      </c>
      <c r="Y139" s="333">
        <f t="shared" si="618"/>
        <v>0</v>
      </c>
      <c r="Z139" s="123" t="e">
        <f t="shared" si="740"/>
        <v>#VALUE!</v>
      </c>
      <c r="AA139" s="98" t="str">
        <f t="shared" si="834"/>
        <v/>
      </c>
      <c r="AB139" s="123" t="str">
        <f t="shared" si="620"/>
        <v/>
      </c>
      <c r="AC139" s="326" t="e">
        <f t="shared" si="828"/>
        <v>#VALUE!</v>
      </c>
      <c r="AD139" s="326">
        <f t="shared" si="622"/>
        <v>0</v>
      </c>
      <c r="AE139" s="326">
        <f t="shared" si="623"/>
        <v>0</v>
      </c>
      <c r="AF139" s="326">
        <f t="shared" si="624"/>
        <v>0</v>
      </c>
      <c r="AG139" s="326" t="e">
        <f t="shared" si="625"/>
        <v>#VALUE!</v>
      </c>
      <c r="AH139" s="494" t="str">
        <f t="shared" si="835"/>
        <v/>
      </c>
      <c r="AI139" s="141" t="e">
        <f t="shared" si="626"/>
        <v>#VALUE!</v>
      </c>
      <c r="AJ139" s="141" t="str">
        <f t="shared" si="836"/>
        <v>0</v>
      </c>
      <c r="AK139" s="326">
        <f t="shared" ref="AK139:AM139" si="845">SUM(P139,W139,AD139)</f>
        <v>0</v>
      </c>
      <c r="AL139" s="326">
        <f t="shared" si="845"/>
        <v>89590.06</v>
      </c>
      <c r="AM139" s="326">
        <f t="shared" si="845"/>
        <v>89590.06</v>
      </c>
      <c r="AN139" s="326" t="e">
        <f t="shared" si="628"/>
        <v>#VALUE!</v>
      </c>
      <c r="AO139" s="137" t="str">
        <f t="shared" si="838"/>
        <v/>
      </c>
      <c r="AP139" s="123"/>
      <c r="AQ139" s="200">
        <f t="shared" si="629"/>
        <v>0</v>
      </c>
      <c r="AR139" s="142">
        <f t="shared" si="630"/>
        <v>0</v>
      </c>
      <c r="AS139" s="228">
        <f t="shared" si="631"/>
        <v>0</v>
      </c>
      <c r="AT139" s="1118" t="str">
        <f t="shared" si="632"/>
        <v/>
      </c>
      <c r="AU139" s="200">
        <f t="shared" si="633"/>
        <v>0</v>
      </c>
      <c r="AV139" s="145">
        <f t="shared" si="634"/>
        <v>0</v>
      </c>
      <c r="AW139" s="1119">
        <f t="shared" si="635"/>
        <v>0</v>
      </c>
      <c r="AX139" s="1110" t="str">
        <f t="shared" si="743"/>
        <v/>
      </c>
      <c r="AY139" s="1110"/>
      <c r="AZ139" s="1110"/>
      <c r="BA139" s="1110"/>
      <c r="BB139" s="1110"/>
      <c r="BC139" s="1110"/>
      <c r="BD139" s="1110"/>
      <c r="BE139" s="1110"/>
      <c r="BF139" s="1110"/>
      <c r="BG139" s="1110"/>
      <c r="BH139" s="1120" t="str">
        <f t="shared" si="746"/>
        <v/>
      </c>
      <c r="BI139" s="1121"/>
      <c r="BJ139" s="1122"/>
      <c r="BK139" s="1123"/>
      <c r="BL139" s="1110" t="str">
        <f t="shared" si="747"/>
        <v/>
      </c>
      <c r="BM139" s="1122"/>
      <c r="BN139" s="1122"/>
      <c r="BO139" s="1122"/>
      <c r="BP139" s="1120" t="str">
        <f t="shared" si="748"/>
        <v/>
      </c>
      <c r="BQ139" s="1121"/>
      <c r="BR139" s="1122"/>
      <c r="BS139" s="1123"/>
      <c r="BT139" s="1110"/>
      <c r="BU139" s="1122"/>
      <c r="BV139" s="1122"/>
      <c r="BW139" s="1120" t="str">
        <f t="shared" si="640"/>
        <v/>
      </c>
      <c r="BX139" s="1121"/>
      <c r="BY139" s="1122"/>
      <c r="BZ139" s="1123"/>
      <c r="CA139" s="1110" t="str">
        <f t="shared" si="641"/>
        <v/>
      </c>
      <c r="CB139" s="1111" t="str">
        <f t="shared" si="642"/>
        <v/>
      </c>
    </row>
    <row r="140" spans="1:115" ht="13">
      <c r="A140" s="422"/>
      <c r="B140" s="93"/>
      <c r="C140" s="558"/>
      <c r="D140" s="558"/>
      <c r="E140" s="715"/>
      <c r="F140" s="836"/>
      <c r="G140" s="558"/>
      <c r="H140" s="558"/>
      <c r="I140" s="559"/>
      <c r="J140" s="1116"/>
      <c r="K140" s="558"/>
      <c r="L140" s="715"/>
      <c r="M140" s="1117" t="s">
        <v>979</v>
      </c>
      <c r="N140" s="123"/>
      <c r="O140" s="326"/>
      <c r="P140" s="716">
        <f t="shared" si="610"/>
        <v>0</v>
      </c>
      <c r="Q140" s="716" t="str">
        <f t="shared" si="611"/>
        <v>0</v>
      </c>
      <c r="R140" s="716">
        <f t="shared" si="612"/>
        <v>0</v>
      </c>
      <c r="S140" s="326">
        <f t="shared" si="613"/>
        <v>0</v>
      </c>
      <c r="T140" s="137" t="str">
        <f t="shared" si="833"/>
        <v/>
      </c>
      <c r="U140" s="332">
        <f t="shared" si="614"/>
        <v>370176</v>
      </c>
      <c r="V140" s="141">
        <f t="shared" si="827"/>
        <v>670286.93760000006</v>
      </c>
      <c r="W140" s="140">
        <f t="shared" si="616"/>
        <v>0</v>
      </c>
      <c r="X140" s="716" t="str">
        <f t="shared" si="617"/>
        <v>0</v>
      </c>
      <c r="Y140" s="333">
        <f t="shared" si="618"/>
        <v>0</v>
      </c>
      <c r="Z140" s="123">
        <f t="shared" si="740"/>
        <v>-670286.93760000006</v>
      </c>
      <c r="AA140" s="98">
        <f t="shared" si="834"/>
        <v>0</v>
      </c>
      <c r="AB140" s="123">
        <f t="shared" si="620"/>
        <v>0</v>
      </c>
      <c r="AC140" s="326">
        <f t="shared" si="828"/>
        <v>0</v>
      </c>
      <c r="AD140" s="326">
        <f t="shared" si="622"/>
        <v>451306.1</v>
      </c>
      <c r="AE140" s="326" t="str">
        <f t="shared" si="623"/>
        <v>0</v>
      </c>
      <c r="AF140" s="326">
        <f t="shared" si="624"/>
        <v>451306.1</v>
      </c>
      <c r="AG140" s="326">
        <f t="shared" si="625"/>
        <v>451306.1</v>
      </c>
      <c r="AH140" s="494" t="str">
        <f t="shared" si="835"/>
        <v/>
      </c>
      <c r="AI140" s="141">
        <f t="shared" si="626"/>
        <v>670286.93760000006</v>
      </c>
      <c r="AJ140" s="141">
        <f t="shared" si="836"/>
        <v>446774.45</v>
      </c>
      <c r="AK140" s="326">
        <f t="shared" ref="AK140:AM140" si="846">SUM(P140,W140,AD140)</f>
        <v>451306.1</v>
      </c>
      <c r="AL140" s="326">
        <f t="shared" si="846"/>
        <v>0</v>
      </c>
      <c r="AM140" s="326">
        <f t="shared" si="846"/>
        <v>451306.1</v>
      </c>
      <c r="AN140" s="326">
        <f t="shared" si="628"/>
        <v>-218980.83760000009</v>
      </c>
      <c r="AO140" s="137">
        <f t="shared" si="838"/>
        <v>0.67330284193800161</v>
      </c>
      <c r="AP140" s="123"/>
      <c r="AQ140" s="200">
        <f t="shared" si="629"/>
        <v>0</v>
      </c>
      <c r="AR140" s="123" t="str">
        <f t="shared" si="630"/>
        <v>0</v>
      </c>
      <c r="AS140" s="148">
        <f t="shared" si="631"/>
        <v>0</v>
      </c>
      <c r="AT140" s="125">
        <f t="shared" si="632"/>
        <v>0</v>
      </c>
      <c r="AU140" s="200">
        <f t="shared" si="633"/>
        <v>0</v>
      </c>
      <c r="AV140" s="145" t="str">
        <f t="shared" si="634"/>
        <v>0</v>
      </c>
      <c r="AW140" s="1119">
        <f t="shared" si="635"/>
        <v>0</v>
      </c>
      <c r="AX140" s="1110"/>
      <c r="AY140" s="1110"/>
      <c r="AZ140" s="1110"/>
      <c r="BA140" s="1110"/>
      <c r="BB140" s="1110"/>
      <c r="BC140" s="1110"/>
      <c r="BD140" s="1110"/>
      <c r="BE140" s="1110"/>
      <c r="BF140" s="1110"/>
      <c r="BG140" s="1110"/>
      <c r="BH140" s="1120"/>
      <c r="BI140" s="1121"/>
      <c r="BJ140" s="1122"/>
      <c r="BK140" s="1123"/>
      <c r="BL140" s="1110"/>
      <c r="BM140" s="1122"/>
      <c r="BN140" s="1122"/>
      <c r="BO140" s="1122"/>
      <c r="BP140" s="1120"/>
      <c r="BQ140" s="1121"/>
      <c r="BR140" s="1122"/>
      <c r="BS140" s="1123"/>
      <c r="BT140" s="1110"/>
      <c r="BU140" s="1122"/>
      <c r="BV140" s="1122"/>
      <c r="BW140" s="1120"/>
      <c r="BX140" s="1121"/>
      <c r="BY140" s="1122"/>
      <c r="BZ140" s="1123"/>
      <c r="CA140" s="1110"/>
      <c r="CB140" s="1111"/>
    </row>
    <row r="141" spans="1:115" ht="13">
      <c r="A141" s="422"/>
      <c r="B141" s="93"/>
      <c r="C141" s="558"/>
      <c r="D141" s="558"/>
      <c r="E141" s="715"/>
      <c r="F141" s="836"/>
      <c r="G141" s="558"/>
      <c r="H141" s="558"/>
      <c r="I141" s="559"/>
      <c r="J141" s="1116"/>
      <c r="K141" s="558"/>
      <c r="L141" s="715"/>
      <c r="M141" s="1117" t="s">
        <v>978</v>
      </c>
      <c r="N141" s="123"/>
      <c r="O141" s="326"/>
      <c r="P141" s="716">
        <f t="shared" si="610"/>
        <v>132794.56</v>
      </c>
      <c r="Q141" s="716" t="str">
        <f t="shared" si="611"/>
        <v>0</v>
      </c>
      <c r="R141" s="716">
        <f t="shared" si="612"/>
        <v>132794.56</v>
      </c>
      <c r="S141" s="326">
        <f t="shared" si="613"/>
        <v>132794.56</v>
      </c>
      <c r="T141" s="137" t="str">
        <f t="shared" si="833"/>
        <v/>
      </c>
      <c r="U141" s="332">
        <f t="shared" si="614"/>
        <v>0</v>
      </c>
      <c r="V141" s="141">
        <f t="shared" si="827"/>
        <v>0</v>
      </c>
      <c r="W141" s="140">
        <f t="shared" si="616"/>
        <v>0</v>
      </c>
      <c r="X141" s="716" t="str">
        <f t="shared" si="617"/>
        <v>0</v>
      </c>
      <c r="Y141" s="333">
        <f t="shared" si="618"/>
        <v>0</v>
      </c>
      <c r="Z141" s="123">
        <f t="shared" si="740"/>
        <v>0</v>
      </c>
      <c r="AA141" s="98" t="str">
        <f t="shared" si="834"/>
        <v/>
      </c>
      <c r="AB141" s="123">
        <f t="shared" si="620"/>
        <v>17657.25</v>
      </c>
      <c r="AC141" s="326">
        <f t="shared" si="828"/>
        <v>29017.306646249999</v>
      </c>
      <c r="AD141" s="326">
        <f t="shared" si="622"/>
        <v>225679.54</v>
      </c>
      <c r="AE141" s="326" t="str">
        <f t="shared" si="623"/>
        <v>0</v>
      </c>
      <c r="AF141" s="326">
        <f t="shared" si="624"/>
        <v>225679.54</v>
      </c>
      <c r="AG141" s="326">
        <f t="shared" si="625"/>
        <v>196662.23335375002</v>
      </c>
      <c r="AH141" s="494">
        <f t="shared" si="835"/>
        <v>7.7774116926584336</v>
      </c>
      <c r="AI141" s="141">
        <f t="shared" si="626"/>
        <v>29017.306646249999</v>
      </c>
      <c r="AJ141" s="141">
        <f t="shared" si="836"/>
        <v>243316.47</v>
      </c>
      <c r="AK141" s="326">
        <f t="shared" ref="AK141:AM141" si="847">SUM(P141,W141,AD141)</f>
        <v>358474.1</v>
      </c>
      <c r="AL141" s="326">
        <f t="shared" si="847"/>
        <v>0</v>
      </c>
      <c r="AM141" s="326">
        <f t="shared" si="847"/>
        <v>358474.1</v>
      </c>
      <c r="AN141" s="326">
        <f t="shared" si="628"/>
        <v>329456.79335374996</v>
      </c>
      <c r="AO141" s="137">
        <f t="shared" si="838"/>
        <v>12.353803348124549</v>
      </c>
      <c r="AP141" s="123"/>
      <c r="AQ141" s="200">
        <f t="shared" si="629"/>
        <v>0</v>
      </c>
      <c r="AR141" s="123" t="str">
        <f t="shared" si="630"/>
        <v>0</v>
      </c>
      <c r="AS141" s="148">
        <f t="shared" si="631"/>
        <v>0</v>
      </c>
      <c r="AT141" s="125">
        <f t="shared" si="632"/>
        <v>34969</v>
      </c>
      <c r="AU141" s="200">
        <f t="shared" si="633"/>
        <v>72519.7</v>
      </c>
      <c r="AV141" s="145" t="str">
        <f t="shared" si="634"/>
        <v>0</v>
      </c>
      <c r="AW141" s="1119">
        <f t="shared" si="635"/>
        <v>72519.7</v>
      </c>
      <c r="AX141" s="1110"/>
      <c r="AY141" s="1110"/>
      <c r="AZ141" s="1110"/>
      <c r="BA141" s="1110"/>
      <c r="BB141" s="1110"/>
      <c r="BC141" s="1110"/>
      <c r="BD141" s="1110"/>
      <c r="BE141" s="1110"/>
      <c r="BF141" s="1110"/>
      <c r="BG141" s="1110"/>
      <c r="BH141" s="1120"/>
      <c r="BI141" s="1121"/>
      <c r="BJ141" s="1122"/>
      <c r="BK141" s="1123"/>
      <c r="BL141" s="1110"/>
      <c r="BM141" s="1122"/>
      <c r="BN141" s="1122"/>
      <c r="BO141" s="1122"/>
      <c r="BP141" s="1120"/>
      <c r="BQ141" s="1121"/>
      <c r="BR141" s="1122"/>
      <c r="BS141" s="1123"/>
      <c r="BT141" s="1110"/>
      <c r="BU141" s="1122"/>
      <c r="BV141" s="1122"/>
      <c r="BW141" s="1120"/>
      <c r="BX141" s="1121"/>
      <c r="BY141" s="1122"/>
      <c r="BZ141" s="1123"/>
      <c r="CA141" s="1110"/>
      <c r="CB141" s="1111"/>
    </row>
    <row r="142" spans="1:115" ht="13">
      <c r="A142" s="422"/>
      <c r="B142" s="93"/>
      <c r="C142" s="558"/>
      <c r="D142" s="558"/>
      <c r="E142" s="715"/>
      <c r="F142" s="836"/>
      <c r="G142" s="558"/>
      <c r="H142" s="558"/>
      <c r="I142" s="559"/>
      <c r="J142" s="1116"/>
      <c r="K142" s="558"/>
      <c r="L142" s="715"/>
      <c r="M142" s="498" t="s">
        <v>1119</v>
      </c>
      <c r="N142" s="123"/>
      <c r="O142" s="326"/>
      <c r="P142" s="716">
        <f t="shared" si="610"/>
        <v>121678.43</v>
      </c>
      <c r="Q142" s="716" t="str">
        <f t="shared" si="611"/>
        <v>0</v>
      </c>
      <c r="R142" s="716">
        <f t="shared" si="612"/>
        <v>121678.43</v>
      </c>
      <c r="S142" s="326">
        <f t="shared" si="613"/>
        <v>121678.43</v>
      </c>
      <c r="T142" s="137" t="str">
        <f t="shared" si="833"/>
        <v/>
      </c>
      <c r="U142" s="332">
        <f t="shared" si="614"/>
        <v>0</v>
      </c>
      <c r="V142" s="141">
        <f t="shared" si="827"/>
        <v>0</v>
      </c>
      <c r="W142" s="140">
        <f t="shared" si="616"/>
        <v>23986.29</v>
      </c>
      <c r="X142" s="716" t="str">
        <f t="shared" si="617"/>
        <v>0</v>
      </c>
      <c r="Y142" s="333">
        <f t="shared" si="618"/>
        <v>23986.29</v>
      </c>
      <c r="Z142" s="123">
        <f t="shared" si="740"/>
        <v>23986.29</v>
      </c>
      <c r="AA142" s="98" t="str">
        <f t="shared" si="834"/>
        <v/>
      </c>
      <c r="AB142" s="123">
        <f t="shared" si="620"/>
        <v>56705.4</v>
      </c>
      <c r="AC142" s="326">
        <f t="shared" si="828"/>
        <v>93187.669670999996</v>
      </c>
      <c r="AD142" s="326">
        <f t="shared" si="622"/>
        <v>106424.79</v>
      </c>
      <c r="AE142" s="326" t="str">
        <f t="shared" si="623"/>
        <v>0</v>
      </c>
      <c r="AF142" s="326">
        <f t="shared" si="624"/>
        <v>106424.79</v>
      </c>
      <c r="AG142" s="326">
        <f t="shared" si="625"/>
        <v>13237.120328999998</v>
      </c>
      <c r="AH142" s="494">
        <f t="shared" si="835"/>
        <v>1.142047980980035</v>
      </c>
      <c r="AI142" s="141">
        <f t="shared" si="626"/>
        <v>93187.669670999996</v>
      </c>
      <c r="AJ142" s="141">
        <f t="shared" si="836"/>
        <v>158335.21</v>
      </c>
      <c r="AK142" s="326">
        <f t="shared" ref="AK142:AM142" si="848">SUM(P142,W142,AD142)</f>
        <v>252089.51</v>
      </c>
      <c r="AL142" s="326">
        <f t="shared" si="848"/>
        <v>0</v>
      </c>
      <c r="AM142" s="326">
        <f t="shared" si="848"/>
        <v>252089.51</v>
      </c>
      <c r="AN142" s="326">
        <f t="shared" si="628"/>
        <v>158901.84032900003</v>
      </c>
      <c r="AO142" s="137">
        <f t="shared" si="838"/>
        <v>2.705180963211169</v>
      </c>
      <c r="AP142" s="123"/>
      <c r="AQ142" s="200">
        <f t="shared" si="629"/>
        <v>66042</v>
      </c>
      <c r="AR142" s="142" t="str">
        <f t="shared" si="630"/>
        <v>0</v>
      </c>
      <c r="AS142" s="228">
        <f t="shared" si="631"/>
        <v>66042</v>
      </c>
      <c r="AT142" s="1118">
        <f t="shared" si="632"/>
        <v>4860.9799999999996</v>
      </c>
      <c r="AU142" s="200">
        <f t="shared" si="633"/>
        <v>0</v>
      </c>
      <c r="AV142" s="145" t="str">
        <f t="shared" si="634"/>
        <v>0</v>
      </c>
      <c r="AW142" s="1119">
        <f t="shared" si="635"/>
        <v>0</v>
      </c>
      <c r="AX142" s="1110">
        <f>IFERROR(VLOOKUP(M142,ARRIOLA24,8,FALSE),"")</f>
        <v>29988.16</v>
      </c>
      <c r="AY142" s="1110"/>
      <c r="AZ142" s="1110"/>
      <c r="BA142" s="1110"/>
      <c r="BB142" s="1110"/>
      <c r="BC142" s="1110"/>
      <c r="BD142" s="1110"/>
      <c r="BE142" s="1110"/>
      <c r="BF142" s="1110"/>
      <c r="BG142" s="1110"/>
      <c r="BH142" s="1120">
        <f>IFERROR(VLOOKUP(M142,ARRIOLA24,9,FALSE),"")</f>
        <v>57952.58</v>
      </c>
      <c r="BI142" s="1121"/>
      <c r="BJ142" s="1122"/>
      <c r="BK142" s="1123"/>
      <c r="BL142" s="1110">
        <f>IFERROR(VLOOKUP(M142,ARRIOLA24,10,FALSE),"")</f>
        <v>117237.63</v>
      </c>
      <c r="BM142" s="1122"/>
      <c r="BN142" s="1122"/>
      <c r="BO142" s="1122"/>
      <c r="BP142" s="1120">
        <f>IFERROR(VLOOKUP(M142,ARRIOLA24,11,FALSE),"")</f>
        <v>87844.47</v>
      </c>
      <c r="BQ142" s="1121"/>
      <c r="BR142" s="1122"/>
      <c r="BS142" s="1123"/>
      <c r="BT142" s="1110"/>
      <c r="BU142" s="1122"/>
      <c r="BV142" s="1122"/>
      <c r="BW142" s="1120">
        <f>IFERROR(VLOOKUP(M142,ARRIOLA24,12,FALSE),"")</f>
        <v>98371.34</v>
      </c>
      <c r="BX142" s="1121"/>
      <c r="BY142" s="1122"/>
      <c r="BZ142" s="1123"/>
      <c r="CA142" s="1110">
        <f>IFERROR(VLOOKUP(M142,ARRIOLA24,13,FALSE),"")</f>
        <v>13429.96</v>
      </c>
      <c r="CB142" s="1111">
        <f>IFERROR(VLOOKUP(M142,ARRIOLA24,14,FALSE),"")</f>
        <v>46533.91</v>
      </c>
    </row>
    <row r="143" spans="1:115" ht="13">
      <c r="A143" s="422"/>
      <c r="B143" s="93"/>
      <c r="C143" s="558"/>
      <c r="D143" s="558"/>
      <c r="E143" s="715"/>
      <c r="F143" s="836"/>
      <c r="G143" s="558"/>
      <c r="H143" s="558"/>
      <c r="I143" s="559"/>
      <c r="J143" s="1116"/>
      <c r="K143" s="558"/>
      <c r="L143" s="715"/>
      <c r="M143" s="498" t="s">
        <v>1120</v>
      </c>
      <c r="N143" s="123"/>
      <c r="O143" s="326"/>
      <c r="P143" s="716">
        <f t="shared" si="610"/>
        <v>0</v>
      </c>
      <c r="Q143" s="716" t="str">
        <f t="shared" si="611"/>
        <v>0</v>
      </c>
      <c r="R143" s="716">
        <f t="shared" si="612"/>
        <v>0</v>
      </c>
      <c r="S143" s="326">
        <f t="shared" si="613"/>
        <v>0</v>
      </c>
      <c r="T143" s="137" t="str">
        <f t="shared" si="833"/>
        <v/>
      </c>
      <c r="U143" s="332">
        <f t="shared" si="614"/>
        <v>0</v>
      </c>
      <c r="V143" s="141">
        <f t="shared" si="827"/>
        <v>0</v>
      </c>
      <c r="W143" s="140">
        <f t="shared" si="616"/>
        <v>0</v>
      </c>
      <c r="X143" s="716" t="str">
        <f t="shared" si="617"/>
        <v>0</v>
      </c>
      <c r="Y143" s="333">
        <f t="shared" si="618"/>
        <v>0</v>
      </c>
      <c r="Z143" s="123">
        <f t="shared" si="740"/>
        <v>0</v>
      </c>
      <c r="AA143" s="98" t="str">
        <f t="shared" si="834"/>
        <v/>
      </c>
      <c r="AB143" s="123">
        <f t="shared" si="620"/>
        <v>0</v>
      </c>
      <c r="AC143" s="326">
        <f t="shared" si="828"/>
        <v>0</v>
      </c>
      <c r="AD143" s="326">
        <f t="shared" si="622"/>
        <v>26822.34</v>
      </c>
      <c r="AE143" s="326" t="str">
        <f t="shared" si="623"/>
        <v>0</v>
      </c>
      <c r="AF143" s="326">
        <f t="shared" si="624"/>
        <v>26822.34</v>
      </c>
      <c r="AG143" s="326">
        <f t="shared" si="625"/>
        <v>26822.34</v>
      </c>
      <c r="AH143" s="494" t="str">
        <f t="shared" si="835"/>
        <v/>
      </c>
      <c r="AI143" s="141">
        <f t="shared" si="626"/>
        <v>0</v>
      </c>
      <c r="AJ143" s="141">
        <f t="shared" si="836"/>
        <v>140911.57999999999</v>
      </c>
      <c r="AK143" s="326">
        <f t="shared" ref="AK143:AM143" si="849">SUM(P143,W143,AD143)</f>
        <v>26822.34</v>
      </c>
      <c r="AL143" s="326">
        <f t="shared" si="849"/>
        <v>0</v>
      </c>
      <c r="AM143" s="326">
        <f t="shared" si="849"/>
        <v>26822.34</v>
      </c>
      <c r="AN143" s="326">
        <f t="shared" si="628"/>
        <v>26822.34</v>
      </c>
      <c r="AO143" s="137" t="str">
        <f t="shared" si="838"/>
        <v/>
      </c>
      <c r="AP143" s="123"/>
      <c r="AQ143" s="200"/>
      <c r="AR143" s="123" t="str">
        <f t="shared" si="630"/>
        <v>0</v>
      </c>
      <c r="AS143" s="148">
        <f t="shared" si="631"/>
        <v>0</v>
      </c>
      <c r="AT143" s="125">
        <f t="shared" si="632"/>
        <v>86270.83</v>
      </c>
      <c r="AU143" s="200">
        <f t="shared" si="633"/>
        <v>0</v>
      </c>
      <c r="AV143" s="145" t="str">
        <f t="shared" si="634"/>
        <v>0</v>
      </c>
      <c r="AW143" s="1119">
        <f t="shared" si="635"/>
        <v>0</v>
      </c>
      <c r="AX143" s="1110">
        <f>IFERROR(VLOOKUP(M143,ARRIOLA24,8,FALSE),"")</f>
        <v>0</v>
      </c>
      <c r="AY143" s="1110"/>
      <c r="AZ143" s="1110"/>
      <c r="BA143" s="1110"/>
      <c r="BB143" s="1110"/>
      <c r="BC143" s="1110"/>
      <c r="BD143" s="1110"/>
      <c r="BE143" s="1110"/>
      <c r="BF143" s="1110"/>
      <c r="BG143" s="1110"/>
      <c r="BH143" s="1120">
        <f>IFERROR(VLOOKUP(M143,ARRIOLA24,9,FALSE),"")</f>
        <v>0</v>
      </c>
      <c r="BI143" s="1121"/>
      <c r="BJ143" s="1122"/>
      <c r="BK143" s="1123"/>
      <c r="BL143" s="1110">
        <f>IFERROR(VLOOKUP(M143,ARRIOLA24,10,FALSE),"")</f>
        <v>68486.95</v>
      </c>
      <c r="BM143" s="1122"/>
      <c r="BN143" s="1122"/>
      <c r="BO143" s="1122"/>
      <c r="BP143" s="1120">
        <f>IFERROR(VLOOKUP(M143,ARRIOLA24,11,FALSE),"")</f>
        <v>66630.259999999995</v>
      </c>
      <c r="BQ143" s="1121"/>
      <c r="BR143" s="1122"/>
      <c r="BS143" s="1123"/>
      <c r="BT143" s="1110"/>
      <c r="BU143" s="1122"/>
      <c r="BV143" s="1122"/>
      <c r="BW143" s="1120">
        <f>IFERROR(VLOOKUP(M143,ARRIOLA24,12,FALSE),"")</f>
        <v>2974</v>
      </c>
      <c r="BX143" s="1121"/>
      <c r="BY143" s="1122"/>
      <c r="BZ143" s="1123"/>
      <c r="CA143" s="1110">
        <f>IFERROR(VLOOKUP(M143,ARRIOLA24,13,FALSE),"")</f>
        <v>55468.78</v>
      </c>
      <c r="CB143" s="1111">
        <f>IFERROR(VLOOKUP(M143,ARRIOLA24,14,FALSE),"")</f>
        <v>82468.800000000003</v>
      </c>
    </row>
    <row r="144" spans="1:115" ht="13">
      <c r="A144" s="422"/>
      <c r="B144" s="93"/>
      <c r="C144" s="558"/>
      <c r="D144" s="558"/>
      <c r="E144" s="715"/>
      <c r="F144" s="836"/>
      <c r="G144" s="558"/>
      <c r="H144" s="558"/>
      <c r="I144" s="559"/>
      <c r="J144" s="1116"/>
      <c r="K144" s="558"/>
      <c r="L144" s="715"/>
      <c r="M144" s="498" t="s">
        <v>1121</v>
      </c>
      <c r="N144" s="123"/>
      <c r="O144" s="326"/>
      <c r="P144" s="716">
        <f t="shared" si="610"/>
        <v>11074.91</v>
      </c>
      <c r="Q144" s="716" t="str">
        <f t="shared" si="611"/>
        <v>0</v>
      </c>
      <c r="R144" s="716">
        <f t="shared" si="612"/>
        <v>11074.91</v>
      </c>
      <c r="S144" s="326">
        <f t="shared" si="613"/>
        <v>11074.91</v>
      </c>
      <c r="T144" s="137" t="str">
        <f t="shared" si="833"/>
        <v/>
      </c>
      <c r="U144" s="332">
        <f t="shared" si="614"/>
        <v>0</v>
      </c>
      <c r="V144" s="141">
        <f t="shared" si="827"/>
        <v>0</v>
      </c>
      <c r="W144" s="140">
        <f t="shared" si="616"/>
        <v>0</v>
      </c>
      <c r="X144" s="716" t="str">
        <f t="shared" si="617"/>
        <v>0</v>
      </c>
      <c r="Y144" s="333">
        <f t="shared" si="618"/>
        <v>0</v>
      </c>
      <c r="Z144" s="123">
        <f t="shared" si="740"/>
        <v>0</v>
      </c>
      <c r="AA144" s="98" t="str">
        <f t="shared" si="834"/>
        <v/>
      </c>
      <c r="AB144" s="123">
        <f t="shared" si="620"/>
        <v>0</v>
      </c>
      <c r="AC144" s="326">
        <f t="shared" si="828"/>
        <v>0</v>
      </c>
      <c r="AD144" s="326">
        <f t="shared" si="622"/>
        <v>50641.96</v>
      </c>
      <c r="AE144" s="326" t="str">
        <f t="shared" si="623"/>
        <v>0</v>
      </c>
      <c r="AF144" s="326">
        <f t="shared" si="624"/>
        <v>50641.96</v>
      </c>
      <c r="AG144" s="326">
        <f t="shared" si="625"/>
        <v>50641.96</v>
      </c>
      <c r="AH144" s="494" t="str">
        <f t="shared" si="835"/>
        <v/>
      </c>
      <c r="AI144" s="141">
        <f t="shared" si="626"/>
        <v>0</v>
      </c>
      <c r="AJ144" s="141">
        <f t="shared" si="836"/>
        <v>78719.89</v>
      </c>
      <c r="AK144" s="326">
        <f t="shared" ref="AK144:AM144" si="850">SUM(P144,W144,AD144)</f>
        <v>61716.869999999995</v>
      </c>
      <c r="AL144" s="326">
        <f t="shared" si="850"/>
        <v>0</v>
      </c>
      <c r="AM144" s="326">
        <f t="shared" si="850"/>
        <v>61716.869999999995</v>
      </c>
      <c r="AN144" s="326">
        <f t="shared" si="628"/>
        <v>61716.869999999995</v>
      </c>
      <c r="AO144" s="137" t="str">
        <f t="shared" si="838"/>
        <v/>
      </c>
      <c r="AP144" s="123"/>
      <c r="AQ144" s="200">
        <f t="shared" ref="AQ144:AQ146" si="851">AS144-AR144</f>
        <v>0</v>
      </c>
      <c r="AR144" s="142" t="str">
        <f t="shared" si="630"/>
        <v>0</v>
      </c>
      <c r="AS144" s="228">
        <f t="shared" si="631"/>
        <v>0</v>
      </c>
      <c r="AT144" s="1118">
        <f t="shared" si="632"/>
        <v>0</v>
      </c>
      <c r="AU144" s="200">
        <f t="shared" si="633"/>
        <v>0</v>
      </c>
      <c r="AV144" s="145" t="str">
        <f t="shared" si="634"/>
        <v>0</v>
      </c>
      <c r="AW144" s="1119">
        <f t="shared" si="635"/>
        <v>0</v>
      </c>
      <c r="AX144" s="1110"/>
      <c r="AY144" s="1110"/>
      <c r="AZ144" s="1110"/>
      <c r="BA144" s="1110"/>
      <c r="BB144" s="1110"/>
      <c r="BC144" s="1110"/>
      <c r="BD144" s="1110"/>
      <c r="BE144" s="1110"/>
      <c r="BF144" s="1110"/>
      <c r="BG144" s="1110"/>
      <c r="BH144" s="1120"/>
      <c r="BI144" s="1121"/>
      <c r="BJ144" s="1122"/>
      <c r="BK144" s="1123"/>
      <c r="BL144" s="1110"/>
      <c r="BM144" s="1122"/>
      <c r="BN144" s="1122"/>
      <c r="BO144" s="1122"/>
      <c r="BP144" s="1120"/>
      <c r="BQ144" s="1121"/>
      <c r="BR144" s="1122"/>
      <c r="BS144" s="1123"/>
      <c r="BT144" s="1110"/>
      <c r="BU144" s="1122"/>
      <c r="BV144" s="1122"/>
      <c r="BW144" s="1120"/>
      <c r="BX144" s="1121"/>
      <c r="BY144" s="1122"/>
      <c r="BZ144" s="1123"/>
      <c r="CA144" s="1110"/>
      <c r="CB144" s="1111"/>
    </row>
    <row r="145" spans="1:115" ht="13">
      <c r="A145" s="1124" t="e">
        <f>VLOOKUP(#REF!,ARRIOLACARTERA,3,FALSE)</f>
        <v>#REF!</v>
      </c>
      <c r="B145" s="1125" t="e">
        <f>VLOOKUP(#REF!,ARRIOLACARTERA,2,FALSE)</f>
        <v>#REF!</v>
      </c>
      <c r="C145" s="984" t="str">
        <f>IFERROR(VLOOKUP(B145,DES,2,FALSE),"")</f>
        <v/>
      </c>
      <c r="D145" s="984" t="str">
        <f>IFERROR(VLOOKUP(B145,DES,3,FALSE),"")</f>
        <v/>
      </c>
      <c r="E145" s="1126" t="str">
        <f>IFERROR(VLOOKUP(B145,DES,4,FALSE),"")</f>
        <v/>
      </c>
      <c r="F145" s="1127"/>
      <c r="G145" s="984"/>
      <c r="H145" s="984"/>
      <c r="I145" s="864"/>
      <c r="J145" s="1128"/>
      <c r="K145" s="984"/>
      <c r="L145" s="1126"/>
      <c r="M145" s="498" t="s">
        <v>980</v>
      </c>
      <c r="N145" s="1130" t="str">
        <f>IFERROR(VLOOKUP(#REF!,ARRIOLA24,3,FALSE),"")</f>
        <v/>
      </c>
      <c r="O145" s="878" t="e">
        <f>(N145*1.601)*1.05</f>
        <v>#VALUE!</v>
      </c>
      <c r="P145" s="716">
        <f t="shared" si="610"/>
        <v>46341</v>
      </c>
      <c r="Q145" s="716" t="str">
        <f t="shared" si="611"/>
        <v>0</v>
      </c>
      <c r="R145" s="716">
        <f t="shared" si="612"/>
        <v>46341</v>
      </c>
      <c r="S145" s="326" t="e">
        <f t="shared" si="613"/>
        <v>#VALUE!</v>
      </c>
      <c r="T145" s="137" t="str">
        <f t="shared" si="833"/>
        <v/>
      </c>
      <c r="U145" s="332">
        <f t="shared" si="614"/>
        <v>0</v>
      </c>
      <c r="V145" s="141">
        <f t="shared" si="827"/>
        <v>0</v>
      </c>
      <c r="W145" s="140">
        <f t="shared" si="616"/>
        <v>38186.58</v>
      </c>
      <c r="X145" s="716" t="str">
        <f t="shared" si="617"/>
        <v>0</v>
      </c>
      <c r="Y145" s="333">
        <f t="shared" si="618"/>
        <v>38186.58</v>
      </c>
      <c r="Z145" s="123">
        <f t="shared" si="740"/>
        <v>38186.58</v>
      </c>
      <c r="AA145" s="98" t="str">
        <f t="shared" si="834"/>
        <v/>
      </c>
      <c r="AB145" s="123">
        <f t="shared" si="620"/>
        <v>0</v>
      </c>
      <c r="AC145" s="326">
        <f t="shared" si="828"/>
        <v>0</v>
      </c>
      <c r="AD145" s="326">
        <f t="shared" si="622"/>
        <v>0</v>
      </c>
      <c r="AE145" s="326" t="str">
        <f t="shared" si="623"/>
        <v>0</v>
      </c>
      <c r="AF145" s="326">
        <f t="shared" si="624"/>
        <v>0</v>
      </c>
      <c r="AG145" s="326">
        <f t="shared" si="625"/>
        <v>0</v>
      </c>
      <c r="AH145" s="494" t="str">
        <f t="shared" si="835"/>
        <v/>
      </c>
      <c r="AI145" s="141" t="e">
        <f t="shared" si="626"/>
        <v>#VALUE!</v>
      </c>
      <c r="AJ145" s="141" t="str">
        <f t="shared" si="836"/>
        <v>0</v>
      </c>
      <c r="AK145" s="326">
        <f t="shared" ref="AK145:AM145" si="852">SUM(P145,W145,AD145)</f>
        <v>84527.58</v>
      </c>
      <c r="AL145" s="326">
        <f t="shared" si="852"/>
        <v>0</v>
      </c>
      <c r="AM145" s="326">
        <f t="shared" si="852"/>
        <v>84527.58</v>
      </c>
      <c r="AN145" s="326" t="e">
        <f t="shared" si="628"/>
        <v>#VALUE!</v>
      </c>
      <c r="AO145" s="137" t="str">
        <f t="shared" si="838"/>
        <v/>
      </c>
      <c r="AP145" s="123"/>
      <c r="AQ145" s="200">
        <f t="shared" si="851"/>
        <v>0</v>
      </c>
      <c r="AR145" s="123" t="str">
        <f t="shared" si="630"/>
        <v>0</v>
      </c>
      <c r="AS145" s="148">
        <f t="shared" si="631"/>
        <v>0</v>
      </c>
      <c r="AT145" s="125">
        <f t="shared" si="632"/>
        <v>0</v>
      </c>
      <c r="AU145" s="200">
        <f t="shared" si="633"/>
        <v>0</v>
      </c>
      <c r="AV145" s="145" t="str">
        <f t="shared" si="634"/>
        <v>0</v>
      </c>
      <c r="AW145" s="1119">
        <f t="shared" si="635"/>
        <v>0</v>
      </c>
      <c r="AX145" s="1110">
        <f>IFERROR(VLOOKUP(M145,ARRIOLA24,8,FALSE),"")</f>
        <v>0</v>
      </c>
      <c r="AY145" s="1110"/>
      <c r="AZ145" s="1110"/>
      <c r="BA145" s="1110"/>
      <c r="BB145" s="1110"/>
      <c r="BC145" s="1110"/>
      <c r="BD145" s="1110"/>
      <c r="BE145" s="1110"/>
      <c r="BF145" s="1110"/>
      <c r="BG145" s="1110"/>
      <c r="BH145" s="1120">
        <f>IFERROR(VLOOKUP(M145,ARRIOLA24,9,FALSE),"")</f>
        <v>78997.75</v>
      </c>
      <c r="BI145" s="1121"/>
      <c r="BJ145" s="1122"/>
      <c r="BK145" s="1123"/>
      <c r="BL145" s="1110">
        <f>IFERROR(VLOOKUP(M145,ARRIOLA24,10,FALSE),"")</f>
        <v>0</v>
      </c>
      <c r="BM145" s="1122"/>
      <c r="BN145" s="1122"/>
      <c r="BO145" s="1122"/>
      <c r="BP145" s="1120">
        <f>IFERROR(VLOOKUP(M145,ARRIOLA24,11,FALSE),"")</f>
        <v>0</v>
      </c>
      <c r="BQ145" s="1121"/>
      <c r="BR145" s="1122"/>
      <c r="BS145" s="1123"/>
      <c r="BT145" s="1110"/>
      <c r="BU145" s="1122"/>
      <c r="BV145" s="1122"/>
      <c r="BW145" s="1120">
        <f>IFERROR(VLOOKUP(M145,ARRIOLA24,12,FALSE),"")</f>
        <v>0</v>
      </c>
      <c r="BX145" s="1121"/>
      <c r="BY145" s="1122"/>
      <c r="BZ145" s="1123"/>
      <c r="CA145" s="1110">
        <f>IFERROR(VLOOKUP(M145,ARRIOLA24,13,FALSE),"")</f>
        <v>0</v>
      </c>
      <c r="CB145" s="1111">
        <f>IFERROR(VLOOKUP(M145,ARRIOLA24,14,FALSE),"")</f>
        <v>0</v>
      </c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U145" s="229"/>
      <c r="CV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</row>
    <row r="146" spans="1:115" ht="13">
      <c r="A146" s="1131"/>
      <c r="B146" s="503" t="e">
        <f>VLOOKUP(M146,ARRIOLACARTERA,2,FALSE)</f>
        <v>#N/A</v>
      </c>
      <c r="C146" s="801" t="str">
        <f>IFERROR(VLOOKUP(B146,DES,2,FALSE),"")</f>
        <v/>
      </c>
      <c r="D146" s="801" t="str">
        <f>IFERROR(VLOOKUP(B146,DES,3,FALSE),"")</f>
        <v/>
      </c>
      <c r="E146" s="1132" t="str">
        <f>IFERROR(VLOOKUP(B146,DES,4,FALSE),"")</f>
        <v/>
      </c>
      <c r="F146" s="1133"/>
      <c r="G146" s="801"/>
      <c r="H146" s="801"/>
      <c r="I146" s="899"/>
      <c r="J146" s="1134"/>
      <c r="K146" s="801"/>
      <c r="L146" s="1132"/>
      <c r="M146" s="1135" t="s">
        <v>1122</v>
      </c>
      <c r="N146" s="349"/>
      <c r="O146" s="340"/>
      <c r="P146" s="804">
        <f t="shared" si="610"/>
        <v>0</v>
      </c>
      <c r="Q146" s="804" t="str">
        <f t="shared" si="611"/>
        <v>0</v>
      </c>
      <c r="R146" s="804">
        <f t="shared" si="612"/>
        <v>0</v>
      </c>
      <c r="S146" s="340">
        <f t="shared" si="613"/>
        <v>0</v>
      </c>
      <c r="T146" s="338" t="str">
        <f t="shared" si="833"/>
        <v/>
      </c>
      <c r="U146" s="347">
        <f t="shared" si="614"/>
        <v>0</v>
      </c>
      <c r="V146" s="651">
        <f t="shared" si="827"/>
        <v>0</v>
      </c>
      <c r="W146" s="259">
        <f t="shared" si="616"/>
        <v>27136.799999999999</v>
      </c>
      <c r="X146" s="804" t="str">
        <f t="shared" si="617"/>
        <v>0</v>
      </c>
      <c r="Y146" s="348">
        <f t="shared" si="618"/>
        <v>27136.799999999999</v>
      </c>
      <c r="Z146" s="349">
        <f t="shared" si="740"/>
        <v>27136.799999999999</v>
      </c>
      <c r="AA146" s="465" t="str">
        <f t="shared" si="834"/>
        <v/>
      </c>
      <c r="AB146" s="349">
        <f t="shared" si="620"/>
        <v>0</v>
      </c>
      <c r="AC146" s="340">
        <f t="shared" si="828"/>
        <v>0</v>
      </c>
      <c r="AD146" s="340">
        <f t="shared" si="622"/>
        <v>0</v>
      </c>
      <c r="AE146" s="340" t="str">
        <f t="shared" si="623"/>
        <v>0</v>
      </c>
      <c r="AF146" s="340">
        <f t="shared" si="624"/>
        <v>0</v>
      </c>
      <c r="AG146" s="340">
        <f t="shared" si="625"/>
        <v>0</v>
      </c>
      <c r="AH146" s="502" t="str">
        <f t="shared" si="835"/>
        <v/>
      </c>
      <c r="AI146" s="651">
        <f t="shared" si="626"/>
        <v>0</v>
      </c>
      <c r="AJ146" s="651">
        <f t="shared" si="836"/>
        <v>169890</v>
      </c>
      <c r="AK146" s="340">
        <f t="shared" ref="AK146:AM146" si="853">SUM(P146,W146,AD146)</f>
        <v>27136.799999999999</v>
      </c>
      <c r="AL146" s="340">
        <f t="shared" si="853"/>
        <v>0</v>
      </c>
      <c r="AM146" s="340">
        <f t="shared" si="853"/>
        <v>27136.799999999999</v>
      </c>
      <c r="AN146" s="340">
        <f t="shared" si="628"/>
        <v>27136.799999999999</v>
      </c>
      <c r="AO146" s="338" t="str">
        <f t="shared" si="838"/>
        <v/>
      </c>
      <c r="AP146" s="349"/>
      <c r="AQ146" s="1136">
        <f t="shared" si="851"/>
        <v>0</v>
      </c>
      <c r="AR146" s="1137" t="str">
        <f t="shared" si="630"/>
        <v>0</v>
      </c>
      <c r="AS146" s="1138">
        <f t="shared" si="631"/>
        <v>0</v>
      </c>
      <c r="AT146" s="1139">
        <f t="shared" si="632"/>
        <v>6210.16</v>
      </c>
      <c r="AU146" s="1136">
        <f t="shared" si="633"/>
        <v>0</v>
      </c>
      <c r="AV146" s="341" t="str">
        <f t="shared" si="634"/>
        <v>0</v>
      </c>
      <c r="AW146" s="1140">
        <f t="shared" si="635"/>
        <v>0</v>
      </c>
      <c r="AX146" s="1141">
        <f>IFERROR(VLOOKUP(M146,ARRIOLA24,8,FALSE),"")</f>
        <v>0</v>
      </c>
      <c r="AY146" s="1141"/>
      <c r="AZ146" s="1141"/>
      <c r="BA146" s="1141"/>
      <c r="BB146" s="1141"/>
      <c r="BC146" s="1141"/>
      <c r="BD146" s="1141"/>
      <c r="BE146" s="1141"/>
      <c r="BF146" s="1141"/>
      <c r="BG146" s="1141"/>
      <c r="BH146" s="1142">
        <f>IFERROR(VLOOKUP(M146,ARRIOLA24,9,FALSE),"")</f>
        <v>0</v>
      </c>
      <c r="BI146" s="1143"/>
      <c r="BJ146" s="1144"/>
      <c r="BK146" s="1145"/>
      <c r="BL146" s="1141">
        <f>IFERROR(VLOOKUP(M146,ARRIOLA24,10,FALSE),"")</f>
        <v>43880.4</v>
      </c>
      <c r="BM146" s="1144"/>
      <c r="BN146" s="1144"/>
      <c r="BO146" s="1144"/>
      <c r="BP146" s="1142">
        <f>IFERROR(VLOOKUP(M146,ARRIOLA24,11,FALSE),"")</f>
        <v>0</v>
      </c>
      <c r="BQ146" s="1143"/>
      <c r="BR146" s="1144"/>
      <c r="BS146" s="1145"/>
      <c r="BT146" s="1141"/>
      <c r="BU146" s="1144"/>
      <c r="BV146" s="1144"/>
      <c r="BW146" s="1142">
        <f>IFERROR(VLOOKUP(M146,ARRIOLA24,12,FALSE),"")</f>
        <v>169890</v>
      </c>
      <c r="BX146" s="1143"/>
      <c r="BY146" s="1144"/>
      <c r="BZ146" s="1145"/>
      <c r="CA146" s="1110">
        <f>IFERROR(VLOOKUP(M146,ARRIOLA24,13,FALSE),"")</f>
        <v>0</v>
      </c>
      <c r="CB146" s="1111">
        <f>IFERROR(VLOOKUP(M146,ARRIOLA24,14,FALSE),"")</f>
        <v>0</v>
      </c>
    </row>
    <row r="147" spans="1:115" ht="13">
      <c r="B147" s="294"/>
      <c r="F147" s="296"/>
      <c r="J147" s="302"/>
      <c r="P147" s="618"/>
      <c r="Q147" s="618"/>
      <c r="R147" s="618"/>
      <c r="T147" s="295"/>
      <c r="X147" s="618"/>
      <c r="AA147" s="295"/>
      <c r="AH147" s="295"/>
      <c r="AO147" s="295"/>
    </row>
    <row r="148" spans="1:115" ht="13">
      <c r="B148" s="553"/>
      <c r="F148" s="296"/>
      <c r="J148" s="302"/>
      <c r="P148" s="618"/>
      <c r="Q148" s="618"/>
      <c r="R148" s="618"/>
      <c r="T148" s="295"/>
      <c r="X148" s="618"/>
      <c r="AA148" s="295"/>
      <c r="AH148" s="295"/>
      <c r="AO148" s="295"/>
    </row>
    <row r="149" spans="1:115" ht="13">
      <c r="B149" s="294"/>
      <c r="F149" s="296"/>
      <c r="J149" s="302"/>
      <c r="P149" s="618"/>
      <c r="Q149" s="618"/>
      <c r="R149" s="618"/>
      <c r="T149" s="295"/>
      <c r="X149" s="618"/>
      <c r="AA149" s="295"/>
      <c r="AH149" s="295"/>
      <c r="AO149" s="295"/>
    </row>
    <row r="150" spans="1:115" ht="13">
      <c r="B150" s="553"/>
      <c r="F150" s="296"/>
      <c r="J150" s="302"/>
      <c r="P150" s="618"/>
      <c r="Q150" s="618"/>
      <c r="R150" s="618"/>
      <c r="T150" s="295"/>
      <c r="X150" s="618"/>
      <c r="AA150" s="295"/>
      <c r="AH150" s="295"/>
      <c r="AO150" s="295"/>
    </row>
    <row r="151" spans="1:115" ht="13">
      <c r="B151" s="294"/>
      <c r="F151" s="296"/>
      <c r="J151" s="302"/>
      <c r="P151" s="618"/>
      <c r="Q151" s="618"/>
      <c r="R151" s="618"/>
      <c r="T151" s="295"/>
      <c r="X151" s="618"/>
      <c r="AA151" s="295"/>
      <c r="AH151" s="295"/>
      <c r="AO151" s="295"/>
    </row>
    <row r="152" spans="1:115" ht="13">
      <c r="B152" s="294"/>
      <c r="F152" s="296"/>
      <c r="J152" s="302"/>
      <c r="P152" s="618"/>
      <c r="Q152" s="618"/>
      <c r="R152" s="618"/>
      <c r="T152" s="295"/>
      <c r="X152" s="618"/>
      <c r="AA152" s="295"/>
      <c r="AH152" s="295"/>
      <c r="AO152" s="295"/>
    </row>
    <row r="153" spans="1:115" ht="13">
      <c r="B153" s="294"/>
      <c r="F153" s="296"/>
      <c r="J153" s="302"/>
      <c r="P153" s="618"/>
      <c r="Q153" s="618"/>
      <c r="R153" s="618"/>
      <c r="T153" s="295"/>
      <c r="X153" s="618"/>
      <c r="AA153" s="295"/>
      <c r="AH153" s="295"/>
      <c r="AO153" s="295"/>
    </row>
    <row r="154" spans="1:115" ht="13">
      <c r="B154" s="294"/>
      <c r="F154" s="296"/>
      <c r="J154" s="302"/>
      <c r="P154" s="618"/>
      <c r="Q154" s="618"/>
      <c r="R154" s="618"/>
      <c r="T154" s="295"/>
      <c r="X154" s="618"/>
      <c r="AA154" s="295"/>
      <c r="AH154" s="295"/>
      <c r="AO154" s="295"/>
    </row>
    <row r="155" spans="1:115" ht="13">
      <c r="B155" s="294"/>
      <c r="F155" s="296"/>
      <c r="J155" s="302"/>
      <c r="P155" s="618"/>
      <c r="Q155" s="618"/>
      <c r="R155" s="618"/>
      <c r="T155" s="295"/>
      <c r="X155" s="618"/>
      <c r="AA155" s="295"/>
      <c r="AH155" s="295"/>
      <c r="AO155" s="295"/>
    </row>
    <row r="156" spans="1:115" ht="13">
      <c r="B156" s="294"/>
      <c r="F156" s="296"/>
      <c r="J156" s="302"/>
      <c r="P156" s="618"/>
      <c r="Q156" s="618"/>
      <c r="R156" s="618"/>
      <c r="T156" s="295"/>
      <c r="X156" s="618"/>
      <c r="AA156" s="295"/>
      <c r="AH156" s="295"/>
      <c r="AO156" s="295"/>
    </row>
    <row r="157" spans="1:115" ht="13">
      <c r="B157" s="294"/>
      <c r="F157" s="296"/>
      <c r="J157" s="302"/>
      <c r="P157" s="618"/>
      <c r="Q157" s="618"/>
      <c r="R157" s="618"/>
      <c r="T157" s="295"/>
      <c r="X157" s="618"/>
      <c r="AA157" s="295"/>
      <c r="AH157" s="295"/>
      <c r="AO157" s="295"/>
    </row>
    <row r="158" spans="1:115" ht="13">
      <c r="B158" s="294"/>
      <c r="F158" s="296"/>
      <c r="J158" s="302"/>
      <c r="P158" s="618"/>
      <c r="Q158" s="618"/>
      <c r="R158" s="618"/>
      <c r="T158" s="295"/>
      <c r="X158" s="618"/>
      <c r="AA158" s="295"/>
      <c r="AH158" s="295"/>
      <c r="AO158" s="295"/>
    </row>
    <row r="159" spans="1:115" ht="13">
      <c r="B159" s="294"/>
      <c r="F159" s="296"/>
      <c r="J159" s="302"/>
      <c r="P159" s="618"/>
      <c r="Q159" s="618"/>
      <c r="R159" s="618"/>
      <c r="T159" s="295"/>
      <c r="X159" s="618"/>
      <c r="AA159" s="295"/>
      <c r="AH159" s="295"/>
      <c r="AO159" s="295"/>
    </row>
    <row r="160" spans="1:115" ht="13">
      <c r="B160" s="294"/>
      <c r="F160" s="296"/>
      <c r="J160" s="302"/>
      <c r="P160" s="618"/>
      <c r="Q160" s="618"/>
      <c r="R160" s="618"/>
      <c r="T160" s="295"/>
      <c r="X160" s="618"/>
      <c r="AA160" s="295"/>
      <c r="AH160" s="295"/>
      <c r="AO160" s="295"/>
    </row>
    <row r="161" spans="2:115" ht="13">
      <c r="B161" s="294"/>
      <c r="F161" s="296"/>
      <c r="J161" s="302"/>
      <c r="P161" s="618"/>
      <c r="Q161" s="618"/>
      <c r="R161" s="618"/>
      <c r="T161" s="295"/>
      <c r="X161" s="618"/>
      <c r="AA161" s="295"/>
      <c r="AH161" s="295"/>
      <c r="AO161" s="295"/>
    </row>
    <row r="162" spans="2:115" ht="13">
      <c r="B162" s="294"/>
      <c r="F162" s="296"/>
      <c r="J162" s="302"/>
      <c r="P162" s="618"/>
      <c r="Q162" s="618"/>
      <c r="R162" s="618"/>
      <c r="T162" s="295"/>
      <c r="X162" s="618"/>
      <c r="AA162" s="295"/>
      <c r="AH162" s="295"/>
      <c r="AO162" s="295"/>
    </row>
    <row r="163" spans="2:115" ht="13">
      <c r="B163" s="294"/>
      <c r="F163" s="296"/>
      <c r="J163" s="302"/>
      <c r="P163" s="618"/>
      <c r="Q163" s="618"/>
      <c r="R163" s="618"/>
      <c r="T163" s="295"/>
      <c r="X163" s="618"/>
      <c r="AA163" s="295"/>
      <c r="AH163" s="295"/>
      <c r="AO163" s="295"/>
    </row>
    <row r="164" spans="2:115" ht="13">
      <c r="B164" s="294"/>
      <c r="F164" s="296"/>
      <c r="J164" s="302"/>
      <c r="P164" s="618"/>
      <c r="Q164" s="618"/>
      <c r="R164" s="618"/>
      <c r="T164" s="295"/>
      <c r="X164" s="618"/>
      <c r="AA164" s="295"/>
      <c r="AH164" s="295"/>
      <c r="AO164" s="295"/>
      <c r="CX164" s="352">
        <f>CX168-R98</f>
        <v>-1.9999995827674866E-2</v>
      </c>
      <c r="CY164" s="352">
        <f>CY168-Y98</f>
        <v>1.9999995827674866E-2</v>
      </c>
      <c r="CZ164" s="352">
        <f>CZ168-AF98</f>
        <v>-8.0000028014183044E-2</v>
      </c>
      <c r="DA164" s="352">
        <f>DA168-AS98</f>
        <v>-3.9999991655349731E-2</v>
      </c>
      <c r="DB164" s="352">
        <f>DB168-AW98</f>
        <v>1.000000536441803E-2</v>
      </c>
      <c r="DC164" s="352">
        <f>DC168-BA98</f>
        <v>0</v>
      </c>
      <c r="DD164" s="352">
        <f>DD168-BK98</f>
        <v>9.9999904632568359E-3</v>
      </c>
      <c r="DE164" s="352">
        <f>DE168-BO98</f>
        <v>-4.0000006556510925E-2</v>
      </c>
      <c r="DF164" s="352">
        <f>DF168-BS98</f>
        <v>-3.9999991655349731E-2</v>
      </c>
      <c r="DG164" s="352">
        <f>DG168-BZ98</f>
        <v>-3.0000001192092896E-2</v>
      </c>
    </row>
    <row r="165" spans="2:115" ht="13">
      <c r="B165" s="294"/>
      <c r="F165" s="296"/>
      <c r="J165" s="302"/>
      <c r="P165" s="618"/>
      <c r="Q165" s="618"/>
      <c r="R165" s="618"/>
      <c r="T165" s="295"/>
      <c r="X165" s="618"/>
      <c r="AA165" s="295"/>
      <c r="AH165" s="295"/>
      <c r="AO165" s="295"/>
      <c r="CU165" s="509">
        <v>0</v>
      </c>
      <c r="CV165" s="354">
        <v>1</v>
      </c>
      <c r="CW165" s="354">
        <v>2</v>
      </c>
      <c r="CX165" s="354">
        <v>3</v>
      </c>
      <c r="CY165" s="354">
        <v>4</v>
      </c>
      <c r="CZ165" s="354">
        <v>5</v>
      </c>
      <c r="DA165" s="354">
        <v>6</v>
      </c>
      <c r="DB165" s="354">
        <v>7</v>
      </c>
      <c r="DC165" s="354">
        <v>8</v>
      </c>
      <c r="DD165" s="354">
        <v>9</v>
      </c>
      <c r="DE165" s="354">
        <v>10</v>
      </c>
      <c r="DF165" s="354">
        <v>11</v>
      </c>
      <c r="DG165" s="354">
        <v>12</v>
      </c>
      <c r="DH165" s="354">
        <v>13</v>
      </c>
      <c r="DI165" s="354">
        <v>14</v>
      </c>
      <c r="DJ165" s="354">
        <v>15</v>
      </c>
      <c r="DK165" s="355">
        <v>16</v>
      </c>
    </row>
    <row r="166" spans="2:115" ht="13">
      <c r="B166" s="294"/>
      <c r="F166" s="296"/>
      <c r="J166" s="302"/>
      <c r="P166" s="618"/>
      <c r="Q166" s="618"/>
      <c r="R166" s="618"/>
      <c r="T166" s="295"/>
      <c r="X166" s="618"/>
      <c r="AA166" s="295"/>
      <c r="AH166" s="295"/>
      <c r="AO166" s="295"/>
      <c r="CU166" s="510"/>
      <c r="CX166" s="357">
        <v>45658</v>
      </c>
      <c r="CY166" s="357">
        <v>45689</v>
      </c>
      <c r="CZ166" s="357">
        <v>45717</v>
      </c>
      <c r="DA166" s="357">
        <v>45748</v>
      </c>
      <c r="DB166" s="357">
        <v>45778</v>
      </c>
      <c r="DC166" s="357">
        <v>45809</v>
      </c>
      <c r="DD166" s="357">
        <v>45839</v>
      </c>
      <c r="DE166" s="357">
        <v>45870</v>
      </c>
      <c r="DF166" s="357">
        <v>45901</v>
      </c>
      <c r="DG166" s="357">
        <v>45931</v>
      </c>
      <c r="DH166" s="357">
        <v>45962</v>
      </c>
      <c r="DI166" s="357">
        <v>45992</v>
      </c>
      <c r="DJ166" s="357"/>
      <c r="DK166" s="358"/>
    </row>
    <row r="167" spans="2:115" ht="13">
      <c r="B167" s="294"/>
      <c r="F167" s="296"/>
      <c r="J167" s="302"/>
      <c r="P167" s="618"/>
      <c r="Q167" s="618"/>
      <c r="R167" s="618"/>
      <c r="T167" s="295"/>
      <c r="X167" s="618"/>
      <c r="AA167" s="295"/>
      <c r="AH167" s="295"/>
      <c r="AO167" s="295"/>
      <c r="CU167" s="510"/>
      <c r="CV167" s="511"/>
      <c r="CW167" s="377" t="s">
        <v>241</v>
      </c>
      <c r="CX167" s="360">
        <v>45658</v>
      </c>
      <c r="CY167" s="360">
        <v>45689</v>
      </c>
      <c r="CZ167" s="360">
        <v>45717</v>
      </c>
      <c r="DA167" s="360">
        <v>45748</v>
      </c>
      <c r="DB167" s="360">
        <v>45778</v>
      </c>
      <c r="DC167" s="360">
        <v>45809</v>
      </c>
      <c r="DD167" s="360">
        <v>45839</v>
      </c>
      <c r="DE167" s="360">
        <v>45870</v>
      </c>
      <c r="DF167" s="360">
        <v>45901</v>
      </c>
      <c r="DG167" s="360">
        <v>45931</v>
      </c>
      <c r="DH167" s="360"/>
      <c r="DI167" s="360"/>
      <c r="DJ167" s="357"/>
      <c r="DK167" s="358"/>
    </row>
    <row r="168" spans="2:115" ht="13">
      <c r="B168" s="294"/>
      <c r="F168" s="296"/>
      <c r="J168" s="302"/>
      <c r="P168" s="618"/>
      <c r="Q168" s="618"/>
      <c r="R168" s="618"/>
      <c r="T168" s="295"/>
      <c r="X168" s="618"/>
      <c r="AA168" s="295"/>
      <c r="AH168" s="295"/>
      <c r="AO168" s="295"/>
      <c r="CU168" s="510"/>
      <c r="CV168" s="359" t="s">
        <v>241</v>
      </c>
      <c r="CW168" s="361">
        <v>766797348.71000004</v>
      </c>
      <c r="CX168" s="361">
        <v>90423148.459999993</v>
      </c>
      <c r="CY168" s="361">
        <v>68311009.530000001</v>
      </c>
      <c r="CZ168" s="361">
        <v>75259095.870000005</v>
      </c>
      <c r="DA168" s="361">
        <v>73624447.760000005</v>
      </c>
      <c r="DB168" s="361">
        <v>68710451.579999998</v>
      </c>
      <c r="DC168" s="361">
        <v>62405119.32</v>
      </c>
      <c r="DD168" s="361">
        <v>70339785.25</v>
      </c>
      <c r="DE168" s="361">
        <v>79506632.450000003</v>
      </c>
      <c r="DF168" s="361">
        <v>73625189.950000003</v>
      </c>
      <c r="DG168" s="361">
        <v>104592468.53</v>
      </c>
      <c r="DH168" s="361"/>
      <c r="DI168" s="361"/>
      <c r="DJ168" s="361"/>
      <c r="DK168" s="362"/>
    </row>
    <row r="169" spans="2:115" ht="13">
      <c r="B169" s="294"/>
      <c r="F169" s="296"/>
      <c r="J169" s="302"/>
      <c r="P169" s="618"/>
      <c r="Q169" s="618"/>
      <c r="R169" s="618"/>
      <c r="T169" s="295"/>
      <c r="X169" s="618"/>
      <c r="AA169" s="295"/>
      <c r="AH169" s="295"/>
      <c r="AO169" s="295"/>
      <c r="CT169" s="302">
        <f t="shared" ref="CT169:CT200" si="854">VLOOKUP(CV169,ARRIOLACARTERA,3,FALSE)</f>
        <v>112011304</v>
      </c>
      <c r="CU169" s="510">
        <v>1</v>
      </c>
      <c r="CV169" s="359" t="s">
        <v>1112</v>
      </c>
      <c r="CW169" s="361">
        <v>61202485.899999999</v>
      </c>
      <c r="CX169" s="361">
        <v>7317773.7400000002</v>
      </c>
      <c r="CY169" s="361">
        <v>7827532</v>
      </c>
      <c r="CZ169" s="361">
        <v>6873330.3499999996</v>
      </c>
      <c r="DA169" s="361">
        <v>6097010.3700000001</v>
      </c>
      <c r="DB169" s="361">
        <v>5737028.5099999998</v>
      </c>
      <c r="DC169" s="361">
        <v>5105076.74</v>
      </c>
      <c r="DD169" s="361">
        <v>3768632.49</v>
      </c>
      <c r="DE169" s="361">
        <v>4454512.5199999996</v>
      </c>
      <c r="DF169" s="361">
        <v>6737637.3600000003</v>
      </c>
      <c r="DG169" s="361">
        <v>7283951.8300000001</v>
      </c>
      <c r="DH169" s="361"/>
      <c r="DI169" s="361"/>
      <c r="DJ169" s="361"/>
      <c r="DK169" s="362"/>
    </row>
    <row r="170" spans="2:115" ht="13">
      <c r="B170" s="294"/>
      <c r="F170" s="296"/>
      <c r="J170" s="302"/>
      <c r="P170" s="618"/>
      <c r="Q170" s="618"/>
      <c r="R170" s="618"/>
      <c r="T170" s="295"/>
      <c r="X170" s="618"/>
      <c r="AA170" s="295"/>
      <c r="AH170" s="295"/>
      <c r="AO170" s="295"/>
      <c r="CT170" s="302">
        <f t="shared" si="854"/>
        <v>112012420</v>
      </c>
      <c r="CU170" s="510">
        <v>2</v>
      </c>
      <c r="CV170" s="359" t="s">
        <v>1113</v>
      </c>
      <c r="CW170" s="361">
        <v>52017309.469999999</v>
      </c>
      <c r="CX170" s="361">
        <v>7220312</v>
      </c>
      <c r="CY170" s="361">
        <v>7069384.3200000003</v>
      </c>
      <c r="CZ170" s="361">
        <v>3914725.68</v>
      </c>
      <c r="DA170" s="361">
        <v>5296876.79</v>
      </c>
      <c r="DB170" s="361">
        <v>4848621.01</v>
      </c>
      <c r="DC170" s="361">
        <v>3326829.41</v>
      </c>
      <c r="DD170" s="361">
        <v>4233246.4400000004</v>
      </c>
      <c r="DE170" s="361">
        <v>8440515.8399999999</v>
      </c>
      <c r="DF170" s="361">
        <v>2615659.9900000002</v>
      </c>
      <c r="DG170" s="361">
        <v>5051137.9800000004</v>
      </c>
      <c r="DH170" s="361"/>
      <c r="DI170" s="361"/>
      <c r="DJ170" s="361"/>
      <c r="DK170" s="362"/>
    </row>
    <row r="171" spans="2:115" ht="13">
      <c r="B171" s="294"/>
      <c r="F171" s="296"/>
      <c r="J171" s="302"/>
      <c r="P171" s="618"/>
      <c r="Q171" s="618"/>
      <c r="R171" s="618"/>
      <c r="T171" s="295"/>
      <c r="X171" s="618"/>
      <c r="AA171" s="295"/>
      <c r="AH171" s="295"/>
      <c r="AO171" s="295"/>
      <c r="CT171" s="302">
        <f t="shared" si="854"/>
        <v>112013957</v>
      </c>
      <c r="CU171" s="510">
        <v>3</v>
      </c>
      <c r="CV171" s="359" t="s">
        <v>842</v>
      </c>
      <c r="CW171" s="361">
        <v>51052495.840000004</v>
      </c>
      <c r="CX171" s="361">
        <v>4805734.8600000003</v>
      </c>
      <c r="CY171" s="361">
        <v>3903506.27</v>
      </c>
      <c r="CZ171" s="361">
        <v>4950531.8499999996</v>
      </c>
      <c r="DA171" s="361">
        <v>5876612.6699999999</v>
      </c>
      <c r="DB171" s="361">
        <v>4643911.58</v>
      </c>
      <c r="DC171" s="361">
        <v>4149509.27</v>
      </c>
      <c r="DD171" s="361">
        <v>8477638.5800000001</v>
      </c>
      <c r="DE171" s="361">
        <v>5437882.9000000004</v>
      </c>
      <c r="DF171" s="361">
        <v>2543736.86</v>
      </c>
      <c r="DG171" s="361">
        <v>6263431.0199999996</v>
      </c>
      <c r="DH171" s="361"/>
      <c r="DI171" s="361"/>
      <c r="DJ171" s="361"/>
      <c r="DK171" s="362"/>
    </row>
    <row r="172" spans="2:115" ht="13">
      <c r="B172" s="294"/>
      <c r="F172" s="296"/>
      <c r="J172" s="302"/>
      <c r="P172" s="618"/>
      <c r="Q172" s="618"/>
      <c r="R172" s="618"/>
      <c r="T172" s="295"/>
      <c r="X172" s="618"/>
      <c r="AA172" s="295"/>
      <c r="AH172" s="295"/>
      <c r="AO172" s="295"/>
      <c r="CT172" s="302">
        <f t="shared" si="854"/>
        <v>112013818</v>
      </c>
      <c r="CU172" s="510">
        <v>4</v>
      </c>
      <c r="CV172" s="359" t="s">
        <v>1003</v>
      </c>
      <c r="CW172" s="361">
        <v>41706517.829999998</v>
      </c>
      <c r="CX172" s="361">
        <v>2521066.9900000002</v>
      </c>
      <c r="CY172" s="361">
        <v>3156038.42</v>
      </c>
      <c r="CZ172" s="361">
        <v>5209290.43</v>
      </c>
      <c r="DA172" s="361">
        <v>4873481.5199999996</v>
      </c>
      <c r="DB172" s="361">
        <v>3452964.4</v>
      </c>
      <c r="DC172" s="361">
        <v>3601826.4</v>
      </c>
      <c r="DD172" s="361">
        <v>4718085.1500000004</v>
      </c>
      <c r="DE172" s="361">
        <v>4314666.16</v>
      </c>
      <c r="DF172" s="361">
        <v>5339840.99</v>
      </c>
      <c r="DG172" s="361">
        <v>4519257.3899999997</v>
      </c>
      <c r="DH172" s="361"/>
      <c r="DI172" s="361"/>
      <c r="DJ172" s="361"/>
      <c r="DK172" s="362"/>
    </row>
    <row r="173" spans="2:115" ht="13">
      <c r="B173" s="294"/>
      <c r="F173" s="296"/>
      <c r="J173" s="302"/>
      <c r="P173" s="618"/>
      <c r="Q173" s="618"/>
      <c r="R173" s="618"/>
      <c r="T173" s="295"/>
      <c r="X173" s="618"/>
      <c r="AA173" s="295"/>
      <c r="AH173" s="295"/>
      <c r="AO173" s="295"/>
      <c r="CT173" s="302">
        <f t="shared" si="854"/>
        <v>112010450</v>
      </c>
      <c r="CU173" s="510">
        <v>5</v>
      </c>
      <c r="CV173" s="359" t="s">
        <v>870</v>
      </c>
      <c r="CW173" s="361">
        <v>34245887.740000002</v>
      </c>
      <c r="CX173" s="361">
        <v>8947894.0700000003</v>
      </c>
      <c r="CY173" s="361">
        <v>2903498.18</v>
      </c>
      <c r="CZ173" s="361">
        <v>1957083.98</v>
      </c>
      <c r="DA173" s="361">
        <v>2467041.4</v>
      </c>
      <c r="DB173" s="361">
        <v>1469075.28</v>
      </c>
      <c r="DC173" s="361">
        <v>2509269.2200000002</v>
      </c>
      <c r="DD173" s="361">
        <v>2318411.04</v>
      </c>
      <c r="DE173" s="361">
        <v>2415672.4300000002</v>
      </c>
      <c r="DF173" s="361">
        <v>2640823.75</v>
      </c>
      <c r="DG173" s="361">
        <v>6617118.3899999997</v>
      </c>
      <c r="DH173" s="361"/>
      <c r="DI173" s="361"/>
      <c r="DJ173" s="361"/>
      <c r="DK173" s="362"/>
    </row>
    <row r="174" spans="2:115" ht="13">
      <c r="B174" s="294"/>
      <c r="F174" s="296"/>
      <c r="J174" s="302"/>
      <c r="P174" s="618"/>
      <c r="Q174" s="618"/>
      <c r="R174" s="618"/>
      <c r="T174" s="295"/>
      <c r="X174" s="618"/>
      <c r="AA174" s="295"/>
      <c r="AH174" s="295"/>
      <c r="AO174" s="295"/>
      <c r="CT174" s="302">
        <f t="shared" si="854"/>
        <v>112010797</v>
      </c>
      <c r="CU174" s="510">
        <v>6</v>
      </c>
      <c r="CV174" s="359" t="s">
        <v>1107</v>
      </c>
      <c r="CW174" s="361">
        <v>28181674.760000002</v>
      </c>
      <c r="CX174" s="361">
        <v>1886159.2</v>
      </c>
      <c r="CY174" s="361">
        <v>2188924.2999999998</v>
      </c>
      <c r="CZ174" s="361">
        <v>2853449.42</v>
      </c>
      <c r="DA174" s="361">
        <v>3192453.55</v>
      </c>
      <c r="DB174" s="361">
        <v>2562903.21</v>
      </c>
      <c r="DC174" s="361">
        <v>1647914.61</v>
      </c>
      <c r="DD174" s="361">
        <v>1576532.45</v>
      </c>
      <c r="DE174" s="361">
        <v>2865703.31</v>
      </c>
      <c r="DF174" s="361">
        <v>2410715.6800000002</v>
      </c>
      <c r="DG174" s="361">
        <v>6996919.04</v>
      </c>
      <c r="DH174" s="361"/>
      <c r="DI174" s="361"/>
      <c r="DJ174" s="361"/>
      <c r="DK174" s="362"/>
    </row>
    <row r="175" spans="2:115" ht="13">
      <c r="B175" s="294"/>
      <c r="F175" s="296"/>
      <c r="J175" s="302"/>
      <c r="P175" s="618"/>
      <c r="Q175" s="618"/>
      <c r="R175" s="618"/>
      <c r="T175" s="295"/>
      <c r="X175" s="618"/>
      <c r="AA175" s="295"/>
      <c r="AH175" s="295"/>
      <c r="AO175" s="295"/>
      <c r="CT175" s="302">
        <f t="shared" si="854"/>
        <v>112012021</v>
      </c>
      <c r="CU175" s="510">
        <v>7</v>
      </c>
      <c r="CV175" s="359" t="s">
        <v>1015</v>
      </c>
      <c r="CW175" s="361">
        <v>21512149.59</v>
      </c>
      <c r="CX175" s="361">
        <v>1971888.72</v>
      </c>
      <c r="CY175" s="361">
        <v>2518355.09</v>
      </c>
      <c r="CZ175" s="361">
        <v>2197252.04</v>
      </c>
      <c r="DA175" s="361">
        <v>1452011.19</v>
      </c>
      <c r="DB175" s="361">
        <v>1295860.3899999999</v>
      </c>
      <c r="DC175" s="361">
        <v>1461698.06</v>
      </c>
      <c r="DD175" s="361">
        <v>1505712.29</v>
      </c>
      <c r="DE175" s="361">
        <v>3471930.34</v>
      </c>
      <c r="DF175" s="361">
        <v>2107148.69</v>
      </c>
      <c r="DG175" s="361">
        <v>3530292.77</v>
      </c>
      <c r="DH175" s="361"/>
      <c r="DI175" s="361"/>
      <c r="DJ175" s="361"/>
      <c r="DK175" s="362"/>
    </row>
    <row r="176" spans="2:115" ht="13">
      <c r="B176" s="294"/>
      <c r="F176" s="296"/>
      <c r="J176" s="302"/>
      <c r="P176" s="618"/>
      <c r="Q176" s="618"/>
      <c r="R176" s="618"/>
      <c r="T176" s="295"/>
      <c r="X176" s="618"/>
      <c r="AA176" s="295"/>
      <c r="AH176" s="295"/>
      <c r="AO176" s="295"/>
      <c r="CT176" s="302">
        <f t="shared" si="854"/>
        <v>112013709</v>
      </c>
      <c r="CU176" s="510">
        <v>8</v>
      </c>
      <c r="CV176" s="359" t="s">
        <v>1006</v>
      </c>
      <c r="CW176" s="361">
        <v>21487192.93</v>
      </c>
      <c r="CX176" s="361">
        <v>2055476.2</v>
      </c>
      <c r="CY176" s="361">
        <v>1360275.5</v>
      </c>
      <c r="CZ176" s="361">
        <v>2072385.78</v>
      </c>
      <c r="DA176" s="361">
        <v>1965885.48</v>
      </c>
      <c r="DB176" s="361">
        <v>1881133.79</v>
      </c>
      <c r="DC176" s="361">
        <v>1432338.19</v>
      </c>
      <c r="DD176" s="361">
        <v>1977447.85</v>
      </c>
      <c r="DE176" s="361">
        <v>2882926.77</v>
      </c>
      <c r="DF176" s="361">
        <v>2355787.2599999998</v>
      </c>
      <c r="DG176" s="361">
        <v>3503536.12</v>
      </c>
      <c r="DH176" s="361"/>
      <c r="DI176" s="361"/>
      <c r="DJ176" s="361"/>
      <c r="DK176" s="362"/>
    </row>
    <row r="177" spans="2:115" ht="13">
      <c r="B177" s="294"/>
      <c r="F177" s="296"/>
      <c r="J177" s="302"/>
      <c r="P177" s="618"/>
      <c r="Q177" s="618"/>
      <c r="R177" s="618"/>
      <c r="T177" s="295"/>
      <c r="X177" s="618"/>
      <c r="AA177" s="295"/>
      <c r="AH177" s="295"/>
      <c r="AO177" s="295"/>
      <c r="CT177" s="302">
        <f t="shared" si="854"/>
        <v>112010582</v>
      </c>
      <c r="CU177" s="510">
        <v>9</v>
      </c>
      <c r="CV177" s="359" t="s">
        <v>1008</v>
      </c>
      <c r="CW177" s="361">
        <v>19094215.550000001</v>
      </c>
      <c r="CX177" s="361">
        <v>1356822.88</v>
      </c>
      <c r="CY177" s="361">
        <v>2115751.2000000002</v>
      </c>
      <c r="CZ177" s="361">
        <v>1841556.25</v>
      </c>
      <c r="DA177" s="361">
        <v>2311411.46</v>
      </c>
      <c r="DB177" s="361">
        <v>2582327.5099999998</v>
      </c>
      <c r="DC177" s="361">
        <v>1641104.85</v>
      </c>
      <c r="DD177" s="361">
        <v>1104521.93</v>
      </c>
      <c r="DE177" s="361">
        <v>1526016.71</v>
      </c>
      <c r="DF177" s="361">
        <v>1913612.46</v>
      </c>
      <c r="DG177" s="361">
        <v>2701090.31</v>
      </c>
      <c r="DH177" s="361"/>
      <c r="DI177" s="361"/>
      <c r="DJ177" s="361"/>
      <c r="DK177" s="362"/>
    </row>
    <row r="178" spans="2:115" ht="13">
      <c r="B178" s="294"/>
      <c r="F178" s="296"/>
      <c r="J178" s="302"/>
      <c r="P178" s="618"/>
      <c r="Q178" s="618"/>
      <c r="R178" s="618"/>
      <c r="T178" s="295"/>
      <c r="X178" s="618"/>
      <c r="AA178" s="295"/>
      <c r="AH178" s="295"/>
      <c r="AO178" s="295"/>
      <c r="CT178" s="302">
        <f t="shared" si="854"/>
        <v>112011426</v>
      </c>
      <c r="CU178" s="510">
        <v>10</v>
      </c>
      <c r="CV178" s="359" t="s">
        <v>1030</v>
      </c>
      <c r="CW178" s="361">
        <v>18627976.09</v>
      </c>
      <c r="CX178" s="361">
        <v>1588217.43</v>
      </c>
      <c r="CY178" s="361">
        <v>1510718.2</v>
      </c>
      <c r="CZ178" s="361">
        <v>2288888.7799999998</v>
      </c>
      <c r="DA178" s="361">
        <v>1183442.96</v>
      </c>
      <c r="DB178" s="361">
        <v>1466766.92</v>
      </c>
      <c r="DC178" s="361">
        <v>831987.92</v>
      </c>
      <c r="DD178" s="361">
        <v>1225507.8899999999</v>
      </c>
      <c r="DE178" s="361">
        <v>3087588.71</v>
      </c>
      <c r="DF178" s="361">
        <v>2867243.74</v>
      </c>
      <c r="DG178" s="361">
        <v>2577613.5299999998</v>
      </c>
      <c r="DH178" s="361"/>
      <c r="DI178" s="361"/>
      <c r="DJ178" s="361"/>
      <c r="DK178" s="362"/>
    </row>
    <row r="179" spans="2:115" ht="13">
      <c r="B179" s="294"/>
      <c r="F179" s="296"/>
      <c r="J179" s="302"/>
      <c r="P179" s="618"/>
      <c r="Q179" s="618"/>
      <c r="R179" s="618"/>
      <c r="T179" s="295"/>
      <c r="X179" s="618"/>
      <c r="AA179" s="295"/>
      <c r="AH179" s="295"/>
      <c r="AO179" s="295"/>
      <c r="CT179" s="302">
        <f t="shared" si="854"/>
        <v>112010400</v>
      </c>
      <c r="CU179" s="510">
        <v>11</v>
      </c>
      <c r="CV179" s="359" t="s">
        <v>1005</v>
      </c>
      <c r="CW179" s="361">
        <v>18443524.440000001</v>
      </c>
      <c r="CX179" s="361">
        <v>3129956.85</v>
      </c>
      <c r="CY179" s="361">
        <v>1433723.07</v>
      </c>
      <c r="CZ179" s="361">
        <v>1399332.35</v>
      </c>
      <c r="DA179" s="361">
        <v>1635745.35</v>
      </c>
      <c r="DB179" s="361">
        <v>2457931.5299999998</v>
      </c>
      <c r="DC179" s="361">
        <v>1327195.55</v>
      </c>
      <c r="DD179" s="361">
        <v>1367151.07</v>
      </c>
      <c r="DE179" s="361">
        <v>1285310.97</v>
      </c>
      <c r="DF179" s="361">
        <v>1614173.8</v>
      </c>
      <c r="DG179" s="361">
        <v>2793003.89</v>
      </c>
      <c r="DH179" s="361"/>
      <c r="DI179" s="361"/>
      <c r="DJ179" s="361"/>
      <c r="DK179" s="362"/>
    </row>
    <row r="180" spans="2:115" ht="13">
      <c r="B180" s="294"/>
      <c r="F180" s="296"/>
      <c r="J180" s="302"/>
      <c r="P180" s="618"/>
      <c r="Q180" s="618"/>
      <c r="R180" s="618"/>
      <c r="T180" s="295"/>
      <c r="X180" s="618"/>
      <c r="AA180" s="295"/>
      <c r="AH180" s="295"/>
      <c r="AO180" s="295"/>
      <c r="CT180" s="302">
        <f t="shared" si="854"/>
        <v>112010077</v>
      </c>
      <c r="CU180" s="510">
        <v>12</v>
      </c>
      <c r="CV180" s="359" t="s">
        <v>995</v>
      </c>
      <c r="CW180" s="361">
        <v>16115871.640000001</v>
      </c>
      <c r="CX180" s="361">
        <v>1283244.26</v>
      </c>
      <c r="CY180" s="361">
        <v>1976831.33</v>
      </c>
      <c r="CZ180" s="361">
        <v>1435458.2</v>
      </c>
      <c r="DA180" s="361">
        <v>1479540.29</v>
      </c>
      <c r="DB180" s="361">
        <v>1965765.28</v>
      </c>
      <c r="DC180" s="361">
        <v>1108314.03</v>
      </c>
      <c r="DD180" s="361">
        <v>1594533.78</v>
      </c>
      <c r="DE180" s="361">
        <v>1506372.58</v>
      </c>
      <c r="DF180" s="361">
        <v>1211172.32</v>
      </c>
      <c r="DG180" s="361">
        <v>2554639.5699999998</v>
      </c>
      <c r="DH180" s="361"/>
      <c r="DI180" s="361"/>
      <c r="DJ180" s="361"/>
      <c r="DK180" s="362"/>
    </row>
    <row r="181" spans="2:115" ht="13">
      <c r="B181" s="294"/>
      <c r="F181" s="296"/>
      <c r="J181" s="302"/>
      <c r="P181" s="618"/>
      <c r="Q181" s="618"/>
      <c r="R181" s="618"/>
      <c r="T181" s="295"/>
      <c r="X181" s="618"/>
      <c r="AA181" s="295"/>
      <c r="AH181" s="295"/>
      <c r="AO181" s="295"/>
      <c r="CT181" s="302">
        <f t="shared" si="854"/>
        <v>112010650</v>
      </c>
      <c r="CU181" s="510">
        <v>13</v>
      </c>
      <c r="CV181" s="359" t="s">
        <v>1110</v>
      </c>
      <c r="CW181" s="361">
        <v>15966331.5</v>
      </c>
      <c r="CX181" s="361">
        <v>1805533.46</v>
      </c>
      <c r="CY181" s="361">
        <v>1675820.23</v>
      </c>
      <c r="CZ181" s="361">
        <v>2335537.31</v>
      </c>
      <c r="DA181" s="361">
        <v>1217997.48</v>
      </c>
      <c r="DB181" s="361">
        <v>1643828.1</v>
      </c>
      <c r="DC181" s="361">
        <v>1093028.01</v>
      </c>
      <c r="DD181" s="361">
        <v>1695142.4</v>
      </c>
      <c r="DE181" s="361">
        <v>1038808.32</v>
      </c>
      <c r="DF181" s="361">
        <v>2184010.1</v>
      </c>
      <c r="DG181" s="361">
        <v>1276626.08</v>
      </c>
      <c r="DH181" s="361"/>
      <c r="DI181" s="361"/>
      <c r="DJ181" s="361"/>
      <c r="DK181" s="362"/>
    </row>
    <row r="182" spans="2:115" ht="13">
      <c r="B182" s="294"/>
      <c r="F182" s="296"/>
      <c r="J182" s="302"/>
      <c r="P182" s="618"/>
      <c r="Q182" s="618"/>
      <c r="R182" s="618"/>
      <c r="T182" s="295"/>
      <c r="X182" s="618"/>
      <c r="AA182" s="295"/>
      <c r="AH182" s="295"/>
      <c r="AO182" s="295"/>
      <c r="CT182" s="302">
        <f t="shared" si="854"/>
        <v>112014670</v>
      </c>
      <c r="CU182" s="510">
        <v>14</v>
      </c>
      <c r="CV182" s="359" t="s">
        <v>1039</v>
      </c>
      <c r="CW182" s="361">
        <v>15393574.27</v>
      </c>
      <c r="CX182" s="361">
        <v>0</v>
      </c>
      <c r="CY182" s="361">
        <v>0</v>
      </c>
      <c r="CZ182" s="361">
        <v>0</v>
      </c>
      <c r="DA182" s="361">
        <v>0</v>
      </c>
      <c r="DB182" s="361">
        <v>502400.57</v>
      </c>
      <c r="DC182" s="361">
        <v>1783611.66</v>
      </c>
      <c r="DD182" s="361">
        <v>3326916.63</v>
      </c>
      <c r="DE182" s="361">
        <v>4569793.66</v>
      </c>
      <c r="DF182" s="361">
        <v>1553539.2</v>
      </c>
      <c r="DG182" s="361">
        <v>3657312.55</v>
      </c>
      <c r="DH182" s="361"/>
      <c r="DI182" s="361"/>
      <c r="DJ182" s="361"/>
      <c r="DK182" s="362"/>
    </row>
    <row r="183" spans="2:115" ht="13">
      <c r="B183" s="294"/>
      <c r="F183" s="296"/>
      <c r="J183" s="302"/>
      <c r="P183" s="618"/>
      <c r="Q183" s="618"/>
      <c r="R183" s="618"/>
      <c r="T183" s="295"/>
      <c r="X183" s="618"/>
      <c r="AA183" s="295"/>
      <c r="AH183" s="295"/>
      <c r="AO183" s="295"/>
      <c r="CT183" s="302">
        <f t="shared" si="854"/>
        <v>112010740</v>
      </c>
      <c r="CU183" s="510">
        <v>15</v>
      </c>
      <c r="CV183" s="359" t="s">
        <v>1013</v>
      </c>
      <c r="CW183" s="361">
        <v>15233671.15</v>
      </c>
      <c r="CX183" s="361">
        <v>0</v>
      </c>
      <c r="CY183" s="361">
        <v>489630.64</v>
      </c>
      <c r="CZ183" s="361">
        <v>2018362.81</v>
      </c>
      <c r="DA183" s="361">
        <v>2084065.58</v>
      </c>
      <c r="DB183" s="361">
        <v>1992613.94</v>
      </c>
      <c r="DC183" s="361">
        <v>1579135.39</v>
      </c>
      <c r="DD183" s="361">
        <v>1554942.66</v>
      </c>
      <c r="DE183" s="361">
        <v>1601592.97</v>
      </c>
      <c r="DF183" s="361">
        <v>2034405.3</v>
      </c>
      <c r="DG183" s="361">
        <v>1878921.86</v>
      </c>
      <c r="DH183" s="365"/>
      <c r="DI183" s="365"/>
      <c r="DJ183" s="365"/>
      <c r="DK183" s="366"/>
    </row>
    <row r="184" spans="2:115" ht="13">
      <c r="B184" s="294"/>
      <c r="F184" s="296"/>
      <c r="J184" s="302"/>
      <c r="P184" s="618"/>
      <c r="Q184" s="618"/>
      <c r="R184" s="618"/>
      <c r="T184" s="295"/>
      <c r="X184" s="618"/>
      <c r="AA184" s="295"/>
      <c r="AH184" s="295"/>
      <c r="AO184" s="295"/>
      <c r="CT184" s="302">
        <f t="shared" si="854"/>
        <v>112012633</v>
      </c>
      <c r="CU184" s="510">
        <v>16</v>
      </c>
      <c r="CV184" s="424" t="s">
        <v>1010</v>
      </c>
      <c r="CW184" s="361">
        <v>14798703.529999999</v>
      </c>
      <c r="CX184" s="361">
        <v>1775091.34</v>
      </c>
      <c r="CY184" s="361">
        <v>1291734.71</v>
      </c>
      <c r="CZ184" s="361">
        <v>1387299.05</v>
      </c>
      <c r="DA184" s="361">
        <v>1313358.76</v>
      </c>
      <c r="DB184" s="361">
        <v>1207865.1499999999</v>
      </c>
      <c r="DC184" s="361">
        <v>1272834.96</v>
      </c>
      <c r="DD184" s="361">
        <v>1008113.51</v>
      </c>
      <c r="DE184" s="361">
        <v>1296239.28</v>
      </c>
      <c r="DF184" s="361">
        <v>1637559.02</v>
      </c>
      <c r="DG184" s="361">
        <v>2608607.75</v>
      </c>
      <c r="DH184" s="361"/>
      <c r="DI184" s="361"/>
      <c r="DJ184" s="361"/>
      <c r="DK184" s="362"/>
    </row>
    <row r="185" spans="2:115" ht="13">
      <c r="B185" s="294"/>
      <c r="F185" s="296"/>
      <c r="J185" s="302"/>
      <c r="P185" s="618"/>
      <c r="Q185" s="618"/>
      <c r="R185" s="618"/>
      <c r="T185" s="295"/>
      <c r="X185" s="618"/>
      <c r="AA185" s="295"/>
      <c r="AH185" s="295"/>
      <c r="AO185" s="295"/>
      <c r="CT185" s="302">
        <f t="shared" si="854"/>
        <v>112013493</v>
      </c>
      <c r="CU185" s="510">
        <v>17</v>
      </c>
      <c r="CV185" s="359" t="s">
        <v>994</v>
      </c>
      <c r="CW185" s="361">
        <v>12171519.66</v>
      </c>
      <c r="CX185" s="361">
        <v>0</v>
      </c>
      <c r="CY185" s="361">
        <v>0</v>
      </c>
      <c r="CZ185" s="361">
        <v>0</v>
      </c>
      <c r="DA185" s="361">
        <v>0</v>
      </c>
      <c r="DB185" s="361">
        <v>-11978.34</v>
      </c>
      <c r="DC185" s="361">
        <v>2628379.88</v>
      </c>
      <c r="DD185" s="361">
        <v>2114585.42</v>
      </c>
      <c r="DE185" s="361">
        <v>2235770.84</v>
      </c>
      <c r="DF185" s="361">
        <v>2288045.7599999998</v>
      </c>
      <c r="DG185" s="361">
        <v>2916716.11</v>
      </c>
      <c r="DH185" s="361"/>
      <c r="DI185" s="361"/>
      <c r="DJ185" s="361"/>
      <c r="DK185" s="362"/>
    </row>
    <row r="186" spans="2:115" ht="13">
      <c r="B186" s="294"/>
      <c r="F186" s="296"/>
      <c r="J186" s="302"/>
      <c r="P186" s="618"/>
      <c r="Q186" s="618"/>
      <c r="R186" s="618"/>
      <c r="T186" s="295"/>
      <c r="X186" s="618"/>
      <c r="AA186" s="295"/>
      <c r="AH186" s="295"/>
      <c r="AO186" s="295"/>
      <c r="CT186" s="302">
        <f t="shared" si="854"/>
        <v>112012273</v>
      </c>
      <c r="CU186" s="510">
        <v>18</v>
      </c>
      <c r="CV186" s="359" t="s">
        <v>1016</v>
      </c>
      <c r="CW186" s="361">
        <v>10794603.1</v>
      </c>
      <c r="CX186" s="361">
        <v>1343783.37</v>
      </c>
      <c r="CY186" s="361">
        <v>701448.54</v>
      </c>
      <c r="CZ186" s="361">
        <v>1879237.98</v>
      </c>
      <c r="DA186" s="361">
        <v>845110.44</v>
      </c>
      <c r="DB186" s="361">
        <v>1315829.79</v>
      </c>
      <c r="DC186" s="361">
        <v>848052.52</v>
      </c>
      <c r="DD186" s="361">
        <v>705445.23</v>
      </c>
      <c r="DE186" s="361">
        <v>1186388.98</v>
      </c>
      <c r="DF186" s="361">
        <v>1029788.35</v>
      </c>
      <c r="DG186" s="361">
        <v>939517.9</v>
      </c>
      <c r="DH186" s="361"/>
      <c r="DI186" s="361"/>
      <c r="DJ186" s="361"/>
      <c r="DK186" s="362"/>
    </row>
    <row r="187" spans="2:115" ht="13">
      <c r="B187" s="294"/>
      <c r="F187" s="296"/>
      <c r="J187" s="302"/>
      <c r="P187" s="618"/>
      <c r="Q187" s="618"/>
      <c r="R187" s="618"/>
      <c r="T187" s="295"/>
      <c r="X187" s="618"/>
      <c r="AA187" s="295"/>
      <c r="AH187" s="295"/>
      <c r="AO187" s="295"/>
      <c r="CT187" s="302">
        <f t="shared" si="854"/>
        <v>112014404</v>
      </c>
      <c r="CU187" s="510">
        <v>19</v>
      </c>
      <c r="CV187" s="359" t="s">
        <v>1035</v>
      </c>
      <c r="CW187" s="361">
        <v>10747483.75</v>
      </c>
      <c r="CX187" s="361">
        <v>4426044.8499999996</v>
      </c>
      <c r="CY187" s="361">
        <v>0</v>
      </c>
      <c r="CZ187" s="361">
        <v>2060319.29</v>
      </c>
      <c r="DA187" s="361">
        <v>751457.78</v>
      </c>
      <c r="DB187" s="361">
        <v>968561.98</v>
      </c>
      <c r="DC187" s="361">
        <v>562296.12</v>
      </c>
      <c r="DD187" s="361">
        <v>1692618.9</v>
      </c>
      <c r="DE187" s="361">
        <v>0</v>
      </c>
      <c r="DF187" s="361">
        <v>286184.82</v>
      </c>
      <c r="DG187" s="361">
        <v>0</v>
      </c>
      <c r="DH187" s="361"/>
      <c r="DI187" s="361"/>
      <c r="DJ187" s="361"/>
      <c r="DK187" s="362"/>
    </row>
    <row r="188" spans="2:115" ht="13">
      <c r="B188" s="294"/>
      <c r="F188" s="296"/>
      <c r="J188" s="302"/>
      <c r="P188" s="618"/>
      <c r="Q188" s="618"/>
      <c r="R188" s="618"/>
      <c r="T188" s="295"/>
      <c r="X188" s="618"/>
      <c r="AA188" s="295"/>
      <c r="AH188" s="295"/>
      <c r="AO188" s="295"/>
      <c r="CT188" s="302">
        <f t="shared" si="854"/>
        <v>112013501</v>
      </c>
      <c r="CU188" s="510">
        <v>20</v>
      </c>
      <c r="CV188" s="359" t="s">
        <v>1018</v>
      </c>
      <c r="CW188" s="361">
        <v>10745980.51</v>
      </c>
      <c r="CX188" s="361">
        <v>866796.76</v>
      </c>
      <c r="CY188" s="361">
        <v>876675.74</v>
      </c>
      <c r="CZ188" s="361">
        <v>343155.69</v>
      </c>
      <c r="DA188" s="361">
        <v>2656212.98</v>
      </c>
      <c r="DB188" s="361">
        <v>704890.97</v>
      </c>
      <c r="DC188" s="361">
        <v>972413.1</v>
      </c>
      <c r="DD188" s="361">
        <v>772474.79</v>
      </c>
      <c r="DE188" s="361">
        <v>544940.54</v>
      </c>
      <c r="DF188" s="361">
        <v>448499.8</v>
      </c>
      <c r="DG188" s="361">
        <v>2559920.14</v>
      </c>
      <c r="DH188" s="361"/>
      <c r="DI188" s="361"/>
      <c r="DJ188" s="361"/>
      <c r="DK188" s="362"/>
    </row>
    <row r="189" spans="2:115" ht="13">
      <c r="B189" s="294"/>
      <c r="F189" s="296"/>
      <c r="J189" s="302"/>
      <c r="P189" s="618"/>
      <c r="Q189" s="618"/>
      <c r="R189" s="618"/>
      <c r="T189" s="295"/>
      <c r="X189" s="618"/>
      <c r="AA189" s="295"/>
      <c r="AH189" s="295"/>
      <c r="AO189" s="295"/>
      <c r="CT189" s="302">
        <f t="shared" si="854"/>
        <v>112013257</v>
      </c>
      <c r="CU189" s="510">
        <v>21</v>
      </c>
      <c r="CV189" s="359" t="s">
        <v>1108</v>
      </c>
      <c r="CW189" s="361">
        <v>10036173.52</v>
      </c>
      <c r="CX189" s="361">
        <v>2988308.18</v>
      </c>
      <c r="CY189" s="361">
        <v>1557764.15</v>
      </c>
      <c r="CZ189" s="361">
        <v>0</v>
      </c>
      <c r="DA189" s="361">
        <v>618689.92000000004</v>
      </c>
      <c r="DB189" s="361">
        <v>368481.55</v>
      </c>
      <c r="DC189" s="361">
        <v>842515.55</v>
      </c>
      <c r="DD189" s="361">
        <v>785569.52</v>
      </c>
      <c r="DE189" s="361">
        <v>939511.16</v>
      </c>
      <c r="DF189" s="361">
        <v>938135.26</v>
      </c>
      <c r="DG189" s="361">
        <v>997198.24</v>
      </c>
      <c r="DH189" s="361"/>
      <c r="DI189" s="361"/>
      <c r="DJ189" s="361"/>
      <c r="DK189" s="362"/>
    </row>
    <row r="190" spans="2:115" ht="13">
      <c r="B190" s="294"/>
      <c r="F190" s="296"/>
      <c r="J190" s="302"/>
      <c r="P190" s="618"/>
      <c r="Q190" s="618"/>
      <c r="R190" s="618"/>
      <c r="T190" s="295"/>
      <c r="X190" s="618"/>
      <c r="AA190" s="295"/>
      <c r="AH190" s="295"/>
      <c r="AO190" s="295"/>
      <c r="CT190" s="302">
        <f t="shared" si="854"/>
        <v>112010082</v>
      </c>
      <c r="CU190" s="510">
        <v>22</v>
      </c>
      <c r="CV190" s="359" t="s">
        <v>996</v>
      </c>
      <c r="CW190" s="361">
        <v>9721896.7599999998</v>
      </c>
      <c r="CX190" s="361">
        <v>1074592.3700000001</v>
      </c>
      <c r="CY190" s="361">
        <v>522845.42</v>
      </c>
      <c r="CZ190" s="361">
        <v>1661153.22</v>
      </c>
      <c r="DA190" s="361">
        <v>635605.71</v>
      </c>
      <c r="DB190" s="361">
        <v>997853.8</v>
      </c>
      <c r="DC190" s="361">
        <v>572496.5</v>
      </c>
      <c r="DD190" s="361">
        <v>886680.47</v>
      </c>
      <c r="DE190" s="361">
        <v>775373.86</v>
      </c>
      <c r="DF190" s="361">
        <v>1442921.78</v>
      </c>
      <c r="DG190" s="361">
        <v>1152373.6200000001</v>
      </c>
      <c r="DH190" s="361"/>
      <c r="DI190" s="361"/>
      <c r="DJ190" s="361"/>
      <c r="DK190" s="362"/>
    </row>
    <row r="191" spans="2:115" ht="13">
      <c r="B191" s="294"/>
      <c r="F191" s="296"/>
      <c r="J191" s="302"/>
      <c r="P191" s="618"/>
      <c r="Q191" s="618"/>
      <c r="R191" s="618"/>
      <c r="T191" s="295"/>
      <c r="X191" s="618"/>
      <c r="AA191" s="295"/>
      <c r="AH191" s="295"/>
      <c r="AO191" s="295"/>
      <c r="CT191" s="302">
        <f t="shared" si="854"/>
        <v>112014524</v>
      </c>
      <c r="CU191" s="510">
        <v>23</v>
      </c>
      <c r="CV191" s="359" t="s">
        <v>1022</v>
      </c>
      <c r="CW191" s="361">
        <v>9484705.6400000006</v>
      </c>
      <c r="CX191" s="361">
        <v>0</v>
      </c>
      <c r="CY191" s="361">
        <v>0</v>
      </c>
      <c r="CZ191" s="361">
        <v>0</v>
      </c>
      <c r="DA191" s="361">
        <v>0</v>
      </c>
      <c r="DB191" s="361">
        <v>566320.68999999994</v>
      </c>
      <c r="DC191" s="361">
        <v>2115001.96</v>
      </c>
      <c r="DD191" s="361">
        <v>1141115.3999999999</v>
      </c>
      <c r="DE191" s="361">
        <v>1249113.1599999999</v>
      </c>
      <c r="DF191" s="361">
        <v>746270</v>
      </c>
      <c r="DG191" s="361">
        <v>3666884.44</v>
      </c>
      <c r="DH191" s="361"/>
      <c r="DI191" s="361"/>
      <c r="DJ191" s="361"/>
      <c r="DK191" s="362"/>
    </row>
    <row r="192" spans="2:115" ht="13">
      <c r="B192" s="294"/>
      <c r="F192" s="296"/>
      <c r="J192" s="302"/>
      <c r="P192" s="618"/>
      <c r="Q192" s="618"/>
      <c r="R192" s="618"/>
      <c r="T192" s="295"/>
      <c r="X192" s="618"/>
      <c r="AA192" s="295"/>
      <c r="AH192" s="295"/>
      <c r="AO192" s="295"/>
      <c r="CT192" s="302">
        <f t="shared" si="854"/>
        <v>112010461</v>
      </c>
      <c r="CU192" s="510">
        <v>24</v>
      </c>
      <c r="CV192" s="359" t="s">
        <v>1105</v>
      </c>
      <c r="CW192" s="361">
        <v>8945525.7899999991</v>
      </c>
      <c r="CX192" s="361">
        <v>1467230.21</v>
      </c>
      <c r="CY192" s="361">
        <v>847979.42</v>
      </c>
      <c r="CZ192" s="361">
        <v>524426.96</v>
      </c>
      <c r="DA192" s="361">
        <v>845011.36</v>
      </c>
      <c r="DB192" s="361">
        <v>799826.6</v>
      </c>
      <c r="DC192" s="361">
        <v>710290.08</v>
      </c>
      <c r="DD192" s="361">
        <v>1452627.84</v>
      </c>
      <c r="DE192" s="361">
        <v>480254.88</v>
      </c>
      <c r="DF192" s="361">
        <v>1019798.27</v>
      </c>
      <c r="DG192" s="361">
        <v>798080.16</v>
      </c>
      <c r="DH192" s="361"/>
      <c r="DI192" s="361"/>
      <c r="DJ192" s="361"/>
      <c r="DK192" s="362"/>
    </row>
    <row r="193" spans="2:115" ht="13">
      <c r="B193" s="294"/>
      <c r="F193" s="296"/>
      <c r="J193" s="302"/>
      <c r="P193" s="618"/>
      <c r="Q193" s="618"/>
      <c r="R193" s="618"/>
      <c r="T193" s="295"/>
      <c r="X193" s="618"/>
      <c r="AA193" s="295"/>
      <c r="AH193" s="295"/>
      <c r="AO193" s="295"/>
      <c r="CT193" s="302">
        <f t="shared" si="854"/>
        <v>112014461</v>
      </c>
      <c r="CU193" s="510">
        <v>25</v>
      </c>
      <c r="CV193" s="359" t="s">
        <v>1007</v>
      </c>
      <c r="CW193" s="361">
        <v>8279726.3799999999</v>
      </c>
      <c r="CX193" s="361">
        <v>656494.43000000005</v>
      </c>
      <c r="CY193" s="361">
        <v>862597.66</v>
      </c>
      <c r="CZ193" s="361">
        <v>3361449.39</v>
      </c>
      <c r="DA193" s="361">
        <v>212369.99</v>
      </c>
      <c r="DB193" s="361">
        <v>381370.58</v>
      </c>
      <c r="DC193" s="361">
        <v>367447.55</v>
      </c>
      <c r="DD193" s="361">
        <v>273688.3</v>
      </c>
      <c r="DE193" s="361">
        <v>558558.94999999995</v>
      </c>
      <c r="DF193" s="361">
        <v>1098002.18</v>
      </c>
      <c r="DG193" s="361">
        <v>507747.34</v>
      </c>
      <c r="DH193" s="365"/>
      <c r="DI193" s="365"/>
      <c r="DJ193" s="365"/>
      <c r="DK193" s="366"/>
    </row>
    <row r="194" spans="2:115" ht="13">
      <c r="B194" s="294"/>
      <c r="F194" s="296"/>
      <c r="J194" s="302"/>
      <c r="P194" s="618"/>
      <c r="Q194" s="618"/>
      <c r="R194" s="618"/>
      <c r="T194" s="295"/>
      <c r="X194" s="618"/>
      <c r="AA194" s="295"/>
      <c r="AH194" s="295"/>
      <c r="AO194" s="295"/>
      <c r="CT194" s="302">
        <f t="shared" si="854"/>
        <v>112013217</v>
      </c>
      <c r="CU194" s="510">
        <v>26</v>
      </c>
      <c r="CV194" s="359" t="s">
        <v>1009</v>
      </c>
      <c r="CW194" s="361">
        <v>8177833.1799999997</v>
      </c>
      <c r="CX194" s="361">
        <v>1012550</v>
      </c>
      <c r="CY194" s="361">
        <v>591574.59</v>
      </c>
      <c r="CZ194" s="361">
        <v>1046301.94</v>
      </c>
      <c r="DA194" s="361">
        <v>643696.4</v>
      </c>
      <c r="DB194" s="361">
        <v>785068.99</v>
      </c>
      <c r="DC194" s="361">
        <v>667872.87</v>
      </c>
      <c r="DD194" s="361">
        <v>236935.29</v>
      </c>
      <c r="DE194" s="361">
        <v>674427.15</v>
      </c>
      <c r="DF194" s="361">
        <v>1280174.8899999999</v>
      </c>
      <c r="DG194" s="361">
        <v>1239231.06</v>
      </c>
      <c r="DH194" s="361"/>
      <c r="DI194" s="361"/>
      <c r="DJ194" s="361"/>
      <c r="DK194" s="362"/>
    </row>
    <row r="195" spans="2:115" ht="13">
      <c r="B195" s="294"/>
      <c r="F195" s="296"/>
      <c r="J195" s="302"/>
      <c r="P195" s="618"/>
      <c r="Q195" s="618"/>
      <c r="R195" s="618"/>
      <c r="T195" s="295"/>
      <c r="X195" s="618"/>
      <c r="AA195" s="295"/>
      <c r="AH195" s="295"/>
      <c r="AO195" s="295"/>
      <c r="CT195" s="302">
        <f t="shared" si="854"/>
        <v>112011404</v>
      </c>
      <c r="CU195" s="510">
        <v>27</v>
      </c>
      <c r="CV195" s="359" t="s">
        <v>1040</v>
      </c>
      <c r="CW195" s="361">
        <v>7795049.21</v>
      </c>
      <c r="CX195" s="361">
        <v>387679.2</v>
      </c>
      <c r="CY195" s="361">
        <v>735499.37</v>
      </c>
      <c r="CZ195" s="361">
        <v>432645.15</v>
      </c>
      <c r="DA195" s="361">
        <v>400552.63</v>
      </c>
      <c r="DB195" s="361">
        <v>493830.76</v>
      </c>
      <c r="DC195" s="361">
        <v>512035.47</v>
      </c>
      <c r="DD195" s="361">
        <v>807915.42</v>
      </c>
      <c r="DE195" s="361">
        <v>1853245.86</v>
      </c>
      <c r="DF195" s="361">
        <v>381592.32000000001</v>
      </c>
      <c r="DG195" s="361">
        <v>1790053.04</v>
      </c>
      <c r="DH195" s="361"/>
      <c r="DI195" s="361"/>
      <c r="DJ195" s="361"/>
      <c r="DK195" s="362"/>
    </row>
    <row r="196" spans="2:115" ht="13">
      <c r="B196" s="294"/>
      <c r="F196" s="296"/>
      <c r="J196" s="302"/>
      <c r="P196" s="618"/>
      <c r="Q196" s="618"/>
      <c r="R196" s="618"/>
      <c r="T196" s="295"/>
      <c r="X196" s="618"/>
      <c r="AA196" s="295"/>
      <c r="AH196" s="295"/>
      <c r="AO196" s="295"/>
      <c r="CT196" s="302">
        <f t="shared" si="854"/>
        <v>112012452</v>
      </c>
      <c r="CU196" s="510">
        <v>28</v>
      </c>
      <c r="CV196" s="359" t="s">
        <v>1099</v>
      </c>
      <c r="CW196" s="361">
        <v>7737389.4199999999</v>
      </c>
      <c r="CX196" s="361">
        <v>638963.79</v>
      </c>
      <c r="CY196" s="361">
        <v>306688.45</v>
      </c>
      <c r="CZ196" s="361">
        <v>889820.42</v>
      </c>
      <c r="DA196" s="361">
        <v>493775.7</v>
      </c>
      <c r="DB196" s="361">
        <v>834372.54</v>
      </c>
      <c r="DC196" s="361">
        <v>437276.79</v>
      </c>
      <c r="DD196" s="361">
        <v>558504.68999999994</v>
      </c>
      <c r="DE196" s="361">
        <v>490876.13</v>
      </c>
      <c r="DF196" s="361">
        <v>1211609.8</v>
      </c>
      <c r="DG196" s="361">
        <v>1875501.11</v>
      </c>
      <c r="DH196" s="361"/>
      <c r="DI196" s="361"/>
      <c r="DJ196" s="361"/>
      <c r="DK196" s="362"/>
    </row>
    <row r="197" spans="2:115" ht="13">
      <c r="B197" s="294"/>
      <c r="F197" s="296"/>
      <c r="J197" s="302"/>
      <c r="P197" s="618"/>
      <c r="Q197" s="618"/>
      <c r="R197" s="618"/>
      <c r="T197" s="295"/>
      <c r="X197" s="618"/>
      <c r="AA197" s="295"/>
      <c r="AH197" s="295"/>
      <c r="AO197" s="295"/>
      <c r="CT197" s="302">
        <f t="shared" si="854"/>
        <v>112012450</v>
      </c>
      <c r="CU197" s="510">
        <v>29</v>
      </c>
      <c r="CV197" s="359" t="s">
        <v>1011</v>
      </c>
      <c r="CW197" s="361">
        <v>7450875.1200000001</v>
      </c>
      <c r="CX197" s="361">
        <v>915658.03</v>
      </c>
      <c r="CY197" s="361">
        <v>770926.81</v>
      </c>
      <c r="CZ197" s="361">
        <v>818169.38</v>
      </c>
      <c r="DA197" s="361">
        <v>671162.34</v>
      </c>
      <c r="DB197" s="361">
        <v>598277.81999999995</v>
      </c>
      <c r="DC197" s="361">
        <v>421134.37</v>
      </c>
      <c r="DD197" s="361">
        <v>667214.19999999995</v>
      </c>
      <c r="DE197" s="361">
        <v>382100.65</v>
      </c>
      <c r="DF197" s="361">
        <v>979924.53</v>
      </c>
      <c r="DG197" s="361">
        <v>1226307</v>
      </c>
      <c r="DH197" s="365"/>
      <c r="DI197" s="365"/>
      <c r="DJ197" s="365"/>
      <c r="DK197" s="366"/>
    </row>
    <row r="198" spans="2:115" ht="13">
      <c r="B198" s="294"/>
      <c r="F198" s="296"/>
      <c r="J198" s="302"/>
      <c r="P198" s="618"/>
      <c r="Q198" s="618"/>
      <c r="R198" s="618"/>
      <c r="T198" s="295"/>
      <c r="X198" s="618"/>
      <c r="AA198" s="295"/>
      <c r="AH198" s="295"/>
      <c r="AO198" s="295"/>
      <c r="CT198" s="302">
        <f t="shared" si="854"/>
        <v>112014470</v>
      </c>
      <c r="CU198" s="510">
        <v>30</v>
      </c>
      <c r="CV198" s="359" t="s">
        <v>1026</v>
      </c>
      <c r="CW198" s="361">
        <v>7312474.3600000003</v>
      </c>
      <c r="CX198" s="361">
        <v>0</v>
      </c>
      <c r="CY198" s="361">
        <v>0</v>
      </c>
      <c r="CZ198" s="361">
        <v>0</v>
      </c>
      <c r="DA198" s="361">
        <v>0</v>
      </c>
      <c r="DB198" s="361">
        <v>429178.71</v>
      </c>
      <c r="DC198" s="361">
        <v>1229184.8500000001</v>
      </c>
      <c r="DD198" s="361">
        <v>1322866.3</v>
      </c>
      <c r="DE198" s="361">
        <v>1274591.8</v>
      </c>
      <c r="DF198" s="361">
        <v>1212895.58</v>
      </c>
      <c r="DG198" s="361">
        <v>1843757.13</v>
      </c>
      <c r="DH198" s="361"/>
      <c r="DI198" s="361"/>
      <c r="DJ198" s="361"/>
      <c r="DK198" s="362"/>
    </row>
    <row r="199" spans="2:115" ht="13">
      <c r="B199" s="294"/>
      <c r="F199" s="296"/>
      <c r="J199" s="302"/>
      <c r="P199" s="618"/>
      <c r="Q199" s="618"/>
      <c r="R199" s="618"/>
      <c r="T199" s="295"/>
      <c r="X199" s="618"/>
      <c r="AA199" s="295"/>
      <c r="AH199" s="295"/>
      <c r="AO199" s="295"/>
      <c r="CT199" s="302">
        <f t="shared" si="854"/>
        <v>112012196</v>
      </c>
      <c r="CU199" s="510">
        <v>31</v>
      </c>
      <c r="CV199" s="359" t="s">
        <v>1041</v>
      </c>
      <c r="CW199" s="361">
        <v>6106014.1399999997</v>
      </c>
      <c r="CX199" s="361">
        <v>998850.29</v>
      </c>
      <c r="CY199" s="361">
        <v>1283745.1499999999</v>
      </c>
      <c r="CZ199" s="361">
        <v>264171.94</v>
      </c>
      <c r="DA199" s="361">
        <v>900985.48</v>
      </c>
      <c r="DB199" s="361">
        <v>951590.49</v>
      </c>
      <c r="DC199" s="361">
        <v>95162.69</v>
      </c>
      <c r="DD199" s="361">
        <v>732230.66</v>
      </c>
      <c r="DE199" s="361">
        <v>480382.29</v>
      </c>
      <c r="DF199" s="361">
        <v>398895.17</v>
      </c>
      <c r="DG199" s="361">
        <v>0</v>
      </c>
      <c r="DH199" s="361"/>
      <c r="DI199" s="361"/>
      <c r="DJ199" s="361"/>
      <c r="DK199" s="362"/>
    </row>
    <row r="200" spans="2:115" ht="13">
      <c r="B200" s="294"/>
      <c r="F200" s="296"/>
      <c r="J200" s="302"/>
      <c r="P200" s="618"/>
      <c r="Q200" s="618"/>
      <c r="R200" s="618"/>
      <c r="T200" s="295"/>
      <c r="X200" s="618"/>
      <c r="AA200" s="295"/>
      <c r="AH200" s="295"/>
      <c r="AO200" s="295"/>
      <c r="CT200" s="302">
        <f t="shared" si="854"/>
        <v>112011685</v>
      </c>
      <c r="CU200" s="510">
        <v>32</v>
      </c>
      <c r="CV200" s="359" t="s">
        <v>1047</v>
      </c>
      <c r="CW200" s="361">
        <v>5812279.9699999997</v>
      </c>
      <c r="CX200" s="361">
        <v>501087.23</v>
      </c>
      <c r="CY200" s="361">
        <v>565135.67000000004</v>
      </c>
      <c r="CZ200" s="361">
        <v>50850.06</v>
      </c>
      <c r="DA200" s="361">
        <v>1463157.23</v>
      </c>
      <c r="DB200" s="361">
        <v>818048.9</v>
      </c>
      <c r="DC200" s="361">
        <v>106415.47</v>
      </c>
      <c r="DD200" s="361">
        <v>569830.66</v>
      </c>
      <c r="DE200" s="361">
        <v>587517.82999999996</v>
      </c>
      <c r="DF200" s="361">
        <v>803614.08</v>
      </c>
      <c r="DG200" s="361">
        <v>346622.84</v>
      </c>
      <c r="DH200" s="361"/>
      <c r="DI200" s="361"/>
      <c r="DJ200" s="361"/>
      <c r="DK200" s="362"/>
    </row>
    <row r="201" spans="2:115" ht="13">
      <c r="B201" s="294"/>
      <c r="F201" s="296"/>
      <c r="J201" s="302"/>
      <c r="P201" s="618"/>
      <c r="Q201" s="618"/>
      <c r="R201" s="618"/>
      <c r="T201" s="295"/>
      <c r="X201" s="618"/>
      <c r="AA201" s="295"/>
      <c r="AH201" s="295"/>
      <c r="AO201" s="295"/>
      <c r="CT201" s="302">
        <f t="shared" ref="CT201:CT232" si="855">VLOOKUP(CV201,ARRIOLACARTERA,3,FALSE)</f>
        <v>112013506</v>
      </c>
      <c r="CU201" s="510">
        <v>33</v>
      </c>
      <c r="CV201" s="139" t="s">
        <v>998</v>
      </c>
      <c r="CW201" s="361">
        <v>5706502.0099999998</v>
      </c>
      <c r="CX201" s="361">
        <v>2861406.09</v>
      </c>
      <c r="CY201" s="361">
        <v>2370004.4</v>
      </c>
      <c r="CZ201" s="361">
        <v>0</v>
      </c>
      <c r="DA201" s="361">
        <v>475091.52</v>
      </c>
      <c r="DB201" s="361">
        <v>0</v>
      </c>
      <c r="DC201" s="361">
        <v>0</v>
      </c>
      <c r="DD201" s="361">
        <v>0</v>
      </c>
      <c r="DE201" s="361">
        <v>0</v>
      </c>
      <c r="DF201" s="361">
        <v>0</v>
      </c>
      <c r="DG201" s="361">
        <v>0</v>
      </c>
      <c r="DH201" s="365"/>
      <c r="DI201" s="365"/>
      <c r="DJ201" s="365"/>
      <c r="DK201" s="366"/>
    </row>
    <row r="202" spans="2:115" ht="13">
      <c r="B202" s="294"/>
      <c r="F202" s="296"/>
      <c r="J202" s="302"/>
      <c r="P202" s="618"/>
      <c r="Q202" s="618"/>
      <c r="R202" s="618"/>
      <c r="T202" s="295"/>
      <c r="X202" s="618"/>
      <c r="AA202" s="295"/>
      <c r="AH202" s="295"/>
      <c r="AO202" s="295"/>
      <c r="CT202" s="302">
        <f t="shared" si="855"/>
        <v>112012176</v>
      </c>
      <c r="CU202" s="510">
        <v>34</v>
      </c>
      <c r="CV202" s="359" t="s">
        <v>1104</v>
      </c>
      <c r="CW202" s="361">
        <v>5552470.5099999998</v>
      </c>
      <c r="CX202" s="361">
        <v>824468.82</v>
      </c>
      <c r="CY202" s="361">
        <v>288781.59000000003</v>
      </c>
      <c r="CZ202" s="361">
        <v>583108.31999999995</v>
      </c>
      <c r="DA202" s="361">
        <v>909130.94</v>
      </c>
      <c r="DB202" s="361">
        <v>502480.24</v>
      </c>
      <c r="DC202" s="361">
        <v>490363.09</v>
      </c>
      <c r="DD202" s="361">
        <v>588862.1</v>
      </c>
      <c r="DE202" s="361">
        <v>376796.64</v>
      </c>
      <c r="DF202" s="361">
        <v>330312.8</v>
      </c>
      <c r="DG202" s="361">
        <v>658165.96</v>
      </c>
      <c r="DH202" s="361"/>
      <c r="DI202" s="361"/>
      <c r="DJ202" s="361"/>
      <c r="DK202" s="362"/>
    </row>
    <row r="203" spans="2:115" ht="13">
      <c r="B203" s="294"/>
      <c r="F203" s="296"/>
      <c r="J203" s="302"/>
      <c r="P203" s="618"/>
      <c r="Q203" s="618"/>
      <c r="R203" s="618"/>
      <c r="T203" s="295"/>
      <c r="X203" s="618"/>
      <c r="AA203" s="295"/>
      <c r="AH203" s="295"/>
      <c r="AO203" s="295"/>
      <c r="CT203" s="302">
        <f t="shared" si="855"/>
        <v>112013842</v>
      </c>
      <c r="CU203" s="510">
        <v>35</v>
      </c>
      <c r="CV203" s="359" t="s">
        <v>1050</v>
      </c>
      <c r="CW203" s="361">
        <v>5436534.25</v>
      </c>
      <c r="CX203" s="361">
        <v>705781.92</v>
      </c>
      <c r="CY203" s="361">
        <v>282169.59999999998</v>
      </c>
      <c r="CZ203" s="361">
        <v>1223231.07</v>
      </c>
      <c r="DA203" s="361">
        <v>612517.25</v>
      </c>
      <c r="DB203" s="361">
        <v>447373.18</v>
      </c>
      <c r="DC203" s="361">
        <v>190612.73</v>
      </c>
      <c r="DD203" s="361">
        <v>153801.35999999999</v>
      </c>
      <c r="DE203" s="361">
        <v>580118.36</v>
      </c>
      <c r="DF203" s="361">
        <v>396905.21</v>
      </c>
      <c r="DG203" s="361">
        <v>844023.58</v>
      </c>
      <c r="DH203" s="361"/>
      <c r="DI203" s="361"/>
      <c r="DJ203" s="361"/>
      <c r="DK203" s="362"/>
    </row>
    <row r="204" spans="2:115" ht="13">
      <c r="B204" s="294"/>
      <c r="F204" s="296"/>
      <c r="J204" s="302"/>
      <c r="P204" s="618"/>
      <c r="Q204" s="618"/>
      <c r="R204" s="618"/>
      <c r="T204" s="295"/>
      <c r="X204" s="618"/>
      <c r="AA204" s="295"/>
      <c r="AH204" s="295"/>
      <c r="AO204" s="295"/>
      <c r="CT204" s="302">
        <f t="shared" si="855"/>
        <v>112014480</v>
      </c>
      <c r="CU204" s="510">
        <v>36</v>
      </c>
      <c r="CV204" s="359" t="s">
        <v>999</v>
      </c>
      <c r="CW204" s="361">
        <v>5433159.8300000001</v>
      </c>
      <c r="CX204" s="361">
        <v>0</v>
      </c>
      <c r="CY204" s="361">
        <v>0</v>
      </c>
      <c r="CZ204" s="361">
        <v>451419.99</v>
      </c>
      <c r="DA204" s="361">
        <v>1533749.58</v>
      </c>
      <c r="DB204" s="361">
        <v>1013089.5</v>
      </c>
      <c r="DC204" s="361">
        <v>1686376.76</v>
      </c>
      <c r="DD204" s="361">
        <v>0</v>
      </c>
      <c r="DE204" s="361">
        <v>748524</v>
      </c>
      <c r="DF204" s="361">
        <v>0</v>
      </c>
      <c r="DG204" s="361">
        <v>0</v>
      </c>
      <c r="DH204" s="361"/>
      <c r="DI204" s="361"/>
      <c r="DJ204" s="361"/>
      <c r="DK204" s="362"/>
    </row>
    <row r="205" spans="2:115" ht="13">
      <c r="B205" s="294"/>
      <c r="F205" s="296"/>
      <c r="J205" s="302"/>
      <c r="P205" s="618"/>
      <c r="Q205" s="618"/>
      <c r="R205" s="618"/>
      <c r="T205" s="295"/>
      <c r="X205" s="618"/>
      <c r="AA205" s="295"/>
      <c r="AH205" s="295"/>
      <c r="AO205" s="295"/>
      <c r="CT205" s="302">
        <f t="shared" si="855"/>
        <v>112014254</v>
      </c>
      <c r="CU205" s="510">
        <v>37</v>
      </c>
      <c r="CV205" s="359" t="s">
        <v>997</v>
      </c>
      <c r="CW205" s="361">
        <v>5040169.8899999997</v>
      </c>
      <c r="CX205" s="361">
        <v>0</v>
      </c>
      <c r="CY205" s="361">
        <v>0</v>
      </c>
      <c r="CZ205" s="361">
        <v>0</v>
      </c>
      <c r="DA205" s="361">
        <v>0</v>
      </c>
      <c r="DB205" s="361">
        <v>448813.12</v>
      </c>
      <c r="DC205" s="361">
        <v>327550.34999999998</v>
      </c>
      <c r="DD205" s="361">
        <v>1277865.8700000001</v>
      </c>
      <c r="DE205" s="361">
        <v>589565.15</v>
      </c>
      <c r="DF205" s="361">
        <v>1267220.74</v>
      </c>
      <c r="DG205" s="361">
        <v>1129154.6599999999</v>
      </c>
      <c r="DH205" s="361"/>
      <c r="DI205" s="361"/>
      <c r="DJ205" s="361"/>
      <c r="DK205" s="362"/>
    </row>
    <row r="206" spans="2:115" ht="13">
      <c r="B206" s="294"/>
      <c r="F206" s="296"/>
      <c r="J206" s="302"/>
      <c r="P206" s="618"/>
      <c r="Q206" s="618"/>
      <c r="R206" s="618"/>
      <c r="T206" s="295"/>
      <c r="X206" s="618"/>
      <c r="AA206" s="295"/>
      <c r="AH206" s="295"/>
      <c r="AO206" s="295"/>
      <c r="CT206" s="302">
        <f t="shared" si="855"/>
        <v>112010488</v>
      </c>
      <c r="CU206" s="510">
        <v>38</v>
      </c>
      <c r="CV206" s="359" t="s">
        <v>871</v>
      </c>
      <c r="CW206" s="361">
        <v>4948852.2300000004</v>
      </c>
      <c r="CX206" s="361">
        <v>533544.65</v>
      </c>
      <c r="CY206" s="361">
        <v>478088.82</v>
      </c>
      <c r="CZ206" s="361">
        <v>438011.42</v>
      </c>
      <c r="DA206" s="361">
        <v>450360.53</v>
      </c>
      <c r="DB206" s="361">
        <v>383057.29</v>
      </c>
      <c r="DC206" s="361">
        <v>405857.41</v>
      </c>
      <c r="DD206" s="361">
        <v>633776.03</v>
      </c>
      <c r="DE206" s="361">
        <v>478117.89</v>
      </c>
      <c r="DF206" s="361">
        <v>542838.31000000006</v>
      </c>
      <c r="DG206" s="361">
        <v>605199.89</v>
      </c>
      <c r="DH206" s="361"/>
      <c r="DI206" s="361"/>
      <c r="DJ206" s="361"/>
      <c r="DK206" s="362"/>
    </row>
    <row r="207" spans="2:115" ht="13">
      <c r="B207" s="294"/>
      <c r="F207" s="296"/>
      <c r="J207" s="302"/>
      <c r="P207" s="618"/>
      <c r="Q207" s="618"/>
      <c r="R207" s="618"/>
      <c r="T207" s="295"/>
      <c r="X207" s="618"/>
      <c r="AA207" s="295"/>
      <c r="AH207" s="295"/>
      <c r="AO207" s="295"/>
      <c r="CT207" s="302">
        <f t="shared" si="855"/>
        <v>112011623</v>
      </c>
      <c r="CU207" s="510">
        <v>39</v>
      </c>
      <c r="CV207" s="359" t="s">
        <v>1064</v>
      </c>
      <c r="CW207" s="361">
        <v>4876596.7</v>
      </c>
      <c r="CX207" s="361">
        <v>178730.15</v>
      </c>
      <c r="CY207" s="361">
        <v>117389.6</v>
      </c>
      <c r="CZ207" s="361">
        <v>807292.09</v>
      </c>
      <c r="DA207" s="361">
        <v>64000.17</v>
      </c>
      <c r="DB207" s="361">
        <v>592572.84</v>
      </c>
      <c r="DC207" s="361">
        <v>248873.02</v>
      </c>
      <c r="DD207" s="361">
        <v>961590.81</v>
      </c>
      <c r="DE207" s="361">
        <v>248362.3</v>
      </c>
      <c r="DF207" s="361">
        <v>209486.55</v>
      </c>
      <c r="DG207" s="361">
        <v>1448299.17</v>
      </c>
      <c r="DH207" s="361"/>
      <c r="DI207" s="361"/>
      <c r="DJ207" s="361"/>
      <c r="DK207" s="362"/>
    </row>
    <row r="208" spans="2:115" ht="13">
      <c r="B208" s="294"/>
      <c r="F208" s="296"/>
      <c r="J208" s="302"/>
      <c r="P208" s="618"/>
      <c r="Q208" s="618"/>
      <c r="R208" s="618"/>
      <c r="T208" s="295"/>
      <c r="X208" s="618"/>
      <c r="AA208" s="295"/>
      <c r="AH208" s="295"/>
      <c r="AO208" s="295"/>
      <c r="CT208" s="302">
        <f t="shared" si="855"/>
        <v>112014249</v>
      </c>
      <c r="CU208" s="510">
        <v>40</v>
      </c>
      <c r="CV208" s="359" t="s">
        <v>1095</v>
      </c>
      <c r="CW208" s="361">
        <v>4875743.1399999997</v>
      </c>
      <c r="CX208" s="361">
        <v>856407.37</v>
      </c>
      <c r="CY208" s="361">
        <v>596983.88</v>
      </c>
      <c r="CZ208" s="361">
        <v>727668.63</v>
      </c>
      <c r="DA208" s="361">
        <v>805537.95</v>
      </c>
      <c r="DB208" s="361">
        <v>479095.94</v>
      </c>
      <c r="DC208" s="361">
        <v>602375.07999999996</v>
      </c>
      <c r="DD208" s="361">
        <v>244314.01</v>
      </c>
      <c r="DE208" s="361">
        <v>448142.84</v>
      </c>
      <c r="DF208" s="361">
        <v>115217.44</v>
      </c>
      <c r="DG208" s="361">
        <v>0</v>
      </c>
      <c r="DH208" s="361"/>
      <c r="DI208" s="361"/>
      <c r="DJ208" s="361"/>
      <c r="DK208" s="362"/>
    </row>
    <row r="209" spans="2:115" ht="13">
      <c r="B209" s="294"/>
      <c r="F209" s="296"/>
      <c r="J209" s="302"/>
      <c r="P209" s="618"/>
      <c r="Q209" s="618"/>
      <c r="R209" s="618"/>
      <c r="T209" s="295"/>
      <c r="X209" s="618"/>
      <c r="AA209" s="295"/>
      <c r="AH209" s="295"/>
      <c r="AO209" s="295"/>
      <c r="CT209" s="302">
        <f t="shared" si="855"/>
        <v>112012698</v>
      </c>
      <c r="CU209" s="510">
        <v>41</v>
      </c>
      <c r="CV209" s="359" t="s">
        <v>1036</v>
      </c>
      <c r="CW209" s="361">
        <v>4853934.7699999996</v>
      </c>
      <c r="CX209" s="361">
        <v>2531918.5099999998</v>
      </c>
      <c r="CY209" s="361">
        <v>-104954.74</v>
      </c>
      <c r="CZ209" s="361">
        <v>349342.9</v>
      </c>
      <c r="DA209" s="361">
        <v>1607839.6</v>
      </c>
      <c r="DB209" s="361">
        <v>245215.2</v>
      </c>
      <c r="DC209" s="361">
        <v>33348.949999999997</v>
      </c>
      <c r="DD209" s="361">
        <v>191224.35</v>
      </c>
      <c r="DE209" s="361">
        <v>0</v>
      </c>
      <c r="DF209" s="361">
        <v>0</v>
      </c>
      <c r="DG209" s="361">
        <v>0</v>
      </c>
      <c r="DH209" s="361"/>
      <c r="DI209" s="361"/>
      <c r="DJ209" s="361"/>
      <c r="DK209" s="362"/>
    </row>
    <row r="210" spans="2:115" ht="13">
      <c r="B210" s="294"/>
      <c r="F210" s="296"/>
      <c r="J210" s="302"/>
      <c r="P210" s="618"/>
      <c r="Q210" s="618"/>
      <c r="R210" s="618"/>
      <c r="T210" s="295"/>
      <c r="X210" s="618"/>
      <c r="AA210" s="295"/>
      <c r="AH210" s="295"/>
      <c r="AO210" s="295"/>
      <c r="CT210" s="302">
        <f t="shared" si="855"/>
        <v>112014453</v>
      </c>
      <c r="CU210" s="510">
        <v>42</v>
      </c>
      <c r="CV210" s="359" t="s">
        <v>1004</v>
      </c>
      <c r="CW210" s="361">
        <v>4792283.29</v>
      </c>
      <c r="CX210" s="361">
        <v>164479.04999999999</v>
      </c>
      <c r="CY210" s="361">
        <v>742904.17</v>
      </c>
      <c r="CZ210" s="361">
        <v>666915.4</v>
      </c>
      <c r="DA210" s="361">
        <v>126780.26</v>
      </c>
      <c r="DB210" s="361">
        <v>167369.54</v>
      </c>
      <c r="DC210" s="361">
        <v>677066.23</v>
      </c>
      <c r="DD210" s="361">
        <v>707972.4</v>
      </c>
      <c r="DE210" s="361">
        <v>1415944.8</v>
      </c>
      <c r="DF210" s="361">
        <v>122851.45</v>
      </c>
      <c r="DG210" s="361">
        <v>0</v>
      </c>
      <c r="DH210" s="361"/>
      <c r="DI210" s="361"/>
      <c r="DJ210" s="361"/>
      <c r="DK210" s="362"/>
    </row>
    <row r="211" spans="2:115" ht="13">
      <c r="B211" s="294"/>
      <c r="F211" s="296"/>
      <c r="J211" s="302"/>
      <c r="P211" s="618"/>
      <c r="Q211" s="618"/>
      <c r="R211" s="618"/>
      <c r="T211" s="295"/>
      <c r="X211" s="618"/>
      <c r="AA211" s="295"/>
      <c r="AH211" s="295"/>
      <c r="AO211" s="295"/>
      <c r="CT211" s="302">
        <f t="shared" si="855"/>
        <v>112013484</v>
      </c>
      <c r="CU211" s="510">
        <v>43</v>
      </c>
      <c r="CV211" s="359" t="s">
        <v>1017</v>
      </c>
      <c r="CW211" s="361">
        <v>4633117.47</v>
      </c>
      <c r="CX211" s="361">
        <v>623832.56999999995</v>
      </c>
      <c r="CY211" s="361">
        <v>499017.34</v>
      </c>
      <c r="CZ211" s="361">
        <v>614520.47</v>
      </c>
      <c r="DA211" s="361">
        <v>484633.12</v>
      </c>
      <c r="DB211" s="361">
        <v>635149.87</v>
      </c>
      <c r="DC211" s="361">
        <v>326655.78000000003</v>
      </c>
      <c r="DD211" s="361">
        <v>632554.46</v>
      </c>
      <c r="DE211" s="361">
        <v>349186.04</v>
      </c>
      <c r="DF211" s="361">
        <v>220604.23</v>
      </c>
      <c r="DG211" s="361">
        <v>246963.59</v>
      </c>
      <c r="DH211" s="365"/>
      <c r="DI211" s="365"/>
      <c r="DJ211" s="365"/>
      <c r="DK211" s="366"/>
    </row>
    <row r="212" spans="2:115" ht="13">
      <c r="B212" s="294"/>
      <c r="F212" s="296"/>
      <c r="J212" s="302"/>
      <c r="P212" s="618"/>
      <c r="Q212" s="618"/>
      <c r="R212" s="618"/>
      <c r="T212" s="295"/>
      <c r="X212" s="618"/>
      <c r="AA212" s="295"/>
      <c r="AH212" s="295"/>
      <c r="AO212" s="295"/>
      <c r="CT212" s="302">
        <f t="shared" si="855"/>
        <v>112011658</v>
      </c>
      <c r="CU212" s="510">
        <v>44</v>
      </c>
      <c r="CV212" s="359" t="s">
        <v>1103</v>
      </c>
      <c r="CW212" s="361">
        <v>4509565.8499999996</v>
      </c>
      <c r="CX212" s="361">
        <v>39976.720000000001</v>
      </c>
      <c r="CY212" s="361">
        <v>404229.2</v>
      </c>
      <c r="CZ212" s="361">
        <v>280415.82</v>
      </c>
      <c r="DA212" s="361">
        <v>665977.63</v>
      </c>
      <c r="DB212" s="361">
        <v>760356.64</v>
      </c>
      <c r="DC212" s="361">
        <v>496354.02</v>
      </c>
      <c r="DD212" s="361">
        <v>185967.2</v>
      </c>
      <c r="DE212" s="361">
        <v>608694.56000000006</v>
      </c>
      <c r="DF212" s="361">
        <v>404395.06</v>
      </c>
      <c r="DG212" s="361">
        <v>663199</v>
      </c>
      <c r="DH212" s="361"/>
      <c r="DI212" s="361"/>
      <c r="DJ212" s="361"/>
      <c r="DK212" s="362"/>
    </row>
    <row r="213" spans="2:115" ht="13">
      <c r="B213" s="294"/>
      <c r="F213" s="296"/>
      <c r="J213" s="302"/>
      <c r="P213" s="618"/>
      <c r="Q213" s="618"/>
      <c r="R213" s="618"/>
      <c r="T213" s="295"/>
      <c r="X213" s="618"/>
      <c r="AA213" s="295"/>
      <c r="AH213" s="295"/>
      <c r="AO213" s="295"/>
      <c r="CT213" s="302">
        <f t="shared" si="855"/>
        <v>112013794</v>
      </c>
      <c r="CU213" s="510">
        <v>45</v>
      </c>
      <c r="CV213" s="359" t="s">
        <v>1031</v>
      </c>
      <c r="CW213" s="361">
        <v>4471403.4800000004</v>
      </c>
      <c r="CX213" s="361">
        <v>0</v>
      </c>
      <c r="CY213" s="361">
        <v>391919.03</v>
      </c>
      <c r="CZ213" s="361">
        <v>861756.46</v>
      </c>
      <c r="DA213" s="361">
        <v>1134740.8500000001</v>
      </c>
      <c r="DB213" s="361">
        <v>551496.34</v>
      </c>
      <c r="DC213" s="361">
        <v>343056.04</v>
      </c>
      <c r="DD213" s="361">
        <v>0</v>
      </c>
      <c r="DE213" s="361">
        <v>221541.14</v>
      </c>
      <c r="DF213" s="361">
        <v>698584.97</v>
      </c>
      <c r="DG213" s="361">
        <v>268308.65000000002</v>
      </c>
      <c r="DH213" s="365"/>
      <c r="DI213" s="365"/>
      <c r="DJ213" s="365"/>
      <c r="DK213" s="366"/>
    </row>
    <row r="214" spans="2:115" ht="13">
      <c r="B214" s="294"/>
      <c r="F214" s="296"/>
      <c r="J214" s="302"/>
      <c r="P214" s="618"/>
      <c r="Q214" s="618"/>
      <c r="R214" s="618"/>
      <c r="T214" s="295"/>
      <c r="X214" s="618"/>
      <c r="AA214" s="295"/>
      <c r="AH214" s="295"/>
      <c r="AO214" s="295"/>
      <c r="CT214" s="302">
        <f t="shared" si="855"/>
        <v>112012154</v>
      </c>
      <c r="CU214" s="510">
        <v>46</v>
      </c>
      <c r="CV214" s="359" t="s">
        <v>1048</v>
      </c>
      <c r="CW214" s="361">
        <v>4251784.5</v>
      </c>
      <c r="CX214" s="361">
        <v>947296.11</v>
      </c>
      <c r="CY214" s="361">
        <v>478156.71</v>
      </c>
      <c r="CZ214" s="361">
        <v>702660.78</v>
      </c>
      <c r="DA214" s="361">
        <v>335854.72</v>
      </c>
      <c r="DB214" s="361">
        <v>592896.78</v>
      </c>
      <c r="DC214" s="361">
        <v>185543.26</v>
      </c>
      <c r="DD214" s="361">
        <v>473575.39</v>
      </c>
      <c r="DE214" s="361">
        <v>271056.32</v>
      </c>
      <c r="DF214" s="361">
        <v>159842.01</v>
      </c>
      <c r="DG214" s="361">
        <v>104902.43</v>
      </c>
      <c r="DH214" s="361"/>
      <c r="DI214" s="361"/>
      <c r="DJ214" s="361"/>
      <c r="DK214" s="362"/>
    </row>
    <row r="215" spans="2:115" ht="13">
      <c r="B215" s="294"/>
      <c r="F215" s="296"/>
      <c r="J215" s="302"/>
      <c r="P215" s="618"/>
      <c r="Q215" s="618"/>
      <c r="R215" s="618"/>
      <c r="T215" s="295"/>
      <c r="X215" s="618"/>
      <c r="AA215" s="295"/>
      <c r="AH215" s="295"/>
      <c r="AO215" s="295"/>
      <c r="CT215" s="302">
        <f t="shared" si="855"/>
        <v>112014403</v>
      </c>
      <c r="CU215" s="510">
        <v>47</v>
      </c>
      <c r="CV215" s="359" t="s">
        <v>843</v>
      </c>
      <c r="CW215" s="361">
        <v>4206600.57</v>
      </c>
      <c r="CX215" s="361">
        <v>275121.28999999998</v>
      </c>
      <c r="CY215" s="361">
        <v>285298.74</v>
      </c>
      <c r="CZ215" s="361">
        <v>387704.96</v>
      </c>
      <c r="DA215" s="361">
        <v>471698.55</v>
      </c>
      <c r="DB215" s="361">
        <v>372215.92</v>
      </c>
      <c r="DC215" s="361">
        <v>373874.49</v>
      </c>
      <c r="DD215" s="361">
        <v>381079.58</v>
      </c>
      <c r="DE215" s="361">
        <v>462551.01</v>
      </c>
      <c r="DF215" s="361">
        <v>405570.57</v>
      </c>
      <c r="DG215" s="361">
        <v>791485.48</v>
      </c>
      <c r="DH215" s="361"/>
      <c r="DI215" s="361"/>
      <c r="DJ215" s="361"/>
      <c r="DK215" s="362"/>
    </row>
    <row r="216" spans="2:115" ht="13">
      <c r="B216" s="294"/>
      <c r="F216" s="296"/>
      <c r="J216" s="302"/>
      <c r="P216" s="618"/>
      <c r="Q216" s="618"/>
      <c r="R216" s="618"/>
      <c r="T216" s="295"/>
      <c r="X216" s="618"/>
      <c r="AA216" s="295"/>
      <c r="AH216" s="295"/>
      <c r="AO216" s="295"/>
      <c r="CT216" s="302">
        <f t="shared" si="855"/>
        <v>112013829</v>
      </c>
      <c r="CU216" s="510">
        <v>48</v>
      </c>
      <c r="CV216" s="359" t="s">
        <v>1049</v>
      </c>
      <c r="CW216" s="361">
        <v>3840564.42</v>
      </c>
      <c r="CX216" s="361">
        <v>553480.42000000004</v>
      </c>
      <c r="CY216" s="361">
        <v>457959.74</v>
      </c>
      <c r="CZ216" s="361">
        <v>274477.09000000003</v>
      </c>
      <c r="DA216" s="361">
        <v>570115.83999999997</v>
      </c>
      <c r="DB216" s="361">
        <v>309289.94</v>
      </c>
      <c r="DC216" s="361">
        <v>305496.62</v>
      </c>
      <c r="DD216" s="361">
        <v>194432.92</v>
      </c>
      <c r="DE216" s="361">
        <v>155054.72</v>
      </c>
      <c r="DF216" s="361">
        <v>871019.81</v>
      </c>
      <c r="DG216" s="361">
        <v>149237.32</v>
      </c>
      <c r="DH216" s="361"/>
      <c r="DI216" s="361"/>
      <c r="DJ216" s="361"/>
      <c r="DK216" s="362"/>
    </row>
    <row r="217" spans="2:115" ht="13">
      <c r="B217" s="294"/>
      <c r="F217" s="296"/>
      <c r="J217" s="302"/>
      <c r="P217" s="618"/>
      <c r="Q217" s="618"/>
      <c r="R217" s="618"/>
      <c r="T217" s="295"/>
      <c r="X217" s="618"/>
      <c r="AA217" s="295"/>
      <c r="AH217" s="295"/>
      <c r="AO217" s="295"/>
      <c r="CT217" s="302">
        <f t="shared" si="855"/>
        <v>112014511</v>
      </c>
      <c r="CU217" s="510">
        <v>49</v>
      </c>
      <c r="CV217" s="359" t="s">
        <v>1051</v>
      </c>
      <c r="CW217" s="361">
        <v>3748031.32</v>
      </c>
      <c r="CX217" s="361">
        <v>373040.58</v>
      </c>
      <c r="CY217" s="361">
        <v>419818.79</v>
      </c>
      <c r="CZ217" s="361">
        <v>192448.54</v>
      </c>
      <c r="DA217" s="361">
        <v>428375.21</v>
      </c>
      <c r="DB217" s="361">
        <v>149330.09</v>
      </c>
      <c r="DC217" s="361">
        <v>281294.96000000002</v>
      </c>
      <c r="DD217" s="361">
        <v>309689.46999999997</v>
      </c>
      <c r="DE217" s="361">
        <v>525703.77</v>
      </c>
      <c r="DF217" s="361">
        <v>447224.08</v>
      </c>
      <c r="DG217" s="361">
        <v>621105.82999999996</v>
      </c>
      <c r="DH217" s="361"/>
      <c r="DI217" s="361"/>
      <c r="DJ217" s="361"/>
      <c r="DK217" s="362"/>
    </row>
    <row r="218" spans="2:115" ht="13">
      <c r="B218" s="294"/>
      <c r="F218" s="296"/>
      <c r="J218" s="302"/>
      <c r="P218" s="618"/>
      <c r="Q218" s="618"/>
      <c r="R218" s="618"/>
      <c r="T218" s="295"/>
      <c r="X218" s="618"/>
      <c r="AA218" s="295"/>
      <c r="AH218" s="295"/>
      <c r="AO218" s="295"/>
      <c r="CT218" s="302">
        <f t="shared" si="855"/>
        <v>112010497</v>
      </c>
      <c r="CU218" s="510">
        <v>50</v>
      </c>
      <c r="CV218" s="359" t="s">
        <v>1109</v>
      </c>
      <c r="CW218" s="361">
        <v>3725508.57</v>
      </c>
      <c r="CX218" s="361">
        <v>70349.460000000006</v>
      </c>
      <c r="CY218" s="361">
        <v>36487.26</v>
      </c>
      <c r="CZ218" s="361">
        <v>831562.47</v>
      </c>
      <c r="DA218" s="361">
        <v>454231.31</v>
      </c>
      <c r="DB218" s="361">
        <v>212095.05</v>
      </c>
      <c r="DC218" s="361">
        <v>513942.39</v>
      </c>
      <c r="DD218" s="361">
        <v>0</v>
      </c>
      <c r="DE218" s="361">
        <v>515893.99</v>
      </c>
      <c r="DF218" s="361">
        <v>458747.46</v>
      </c>
      <c r="DG218" s="361">
        <v>632199.18999999994</v>
      </c>
      <c r="DH218" s="361"/>
      <c r="DI218" s="361"/>
      <c r="DJ218" s="361"/>
      <c r="DK218" s="362"/>
    </row>
    <row r="219" spans="2:115" ht="13">
      <c r="B219" s="294"/>
      <c r="F219" s="296"/>
      <c r="J219" s="302"/>
      <c r="P219" s="618"/>
      <c r="Q219" s="618"/>
      <c r="R219" s="618"/>
      <c r="T219" s="295"/>
      <c r="X219" s="618"/>
      <c r="AA219" s="295"/>
      <c r="AH219" s="295"/>
      <c r="AO219" s="295"/>
      <c r="CT219" s="302">
        <f t="shared" si="855"/>
        <v>112011970</v>
      </c>
      <c r="CU219" s="510">
        <v>51</v>
      </c>
      <c r="CV219" s="359" t="s">
        <v>1014</v>
      </c>
      <c r="CW219" s="361">
        <v>3678584.89</v>
      </c>
      <c r="CX219" s="361">
        <v>996103.93</v>
      </c>
      <c r="CY219" s="361">
        <v>690144.94</v>
      </c>
      <c r="CZ219" s="361">
        <v>516549.46</v>
      </c>
      <c r="DA219" s="361">
        <v>0</v>
      </c>
      <c r="DB219" s="361">
        <v>345606.53</v>
      </c>
      <c r="DC219" s="361">
        <v>404921.34</v>
      </c>
      <c r="DD219" s="361">
        <v>252920.6</v>
      </c>
      <c r="DE219" s="361">
        <v>0</v>
      </c>
      <c r="DF219" s="361">
        <v>472338.09</v>
      </c>
      <c r="DG219" s="365">
        <v>0</v>
      </c>
      <c r="DH219" s="365"/>
      <c r="DI219" s="365"/>
      <c r="DJ219" s="365"/>
      <c r="DK219" s="366"/>
    </row>
    <row r="220" spans="2:115" ht="13">
      <c r="B220" s="294"/>
      <c r="F220" s="296"/>
      <c r="J220" s="302"/>
      <c r="P220" s="618"/>
      <c r="Q220" s="618"/>
      <c r="R220" s="618"/>
      <c r="T220" s="295"/>
      <c r="X220" s="618"/>
      <c r="AA220" s="295"/>
      <c r="AH220" s="295"/>
      <c r="AO220" s="295"/>
      <c r="CT220" s="302">
        <f t="shared" si="855"/>
        <v>112014283</v>
      </c>
      <c r="CU220" s="510">
        <v>52</v>
      </c>
      <c r="CV220" s="359" t="s">
        <v>1012</v>
      </c>
      <c r="CW220" s="361">
        <v>3628332.26</v>
      </c>
      <c r="CX220" s="361">
        <v>636110.04</v>
      </c>
      <c r="CY220" s="361">
        <v>263182.39</v>
      </c>
      <c r="CZ220" s="361">
        <v>359856.7</v>
      </c>
      <c r="DA220" s="361">
        <v>380555.77</v>
      </c>
      <c r="DB220" s="361">
        <v>336625.78</v>
      </c>
      <c r="DC220" s="361">
        <v>88164.03</v>
      </c>
      <c r="DD220" s="361">
        <v>371240.35</v>
      </c>
      <c r="DE220" s="361">
        <v>334062.96999999997</v>
      </c>
      <c r="DF220" s="361">
        <v>726706.86</v>
      </c>
      <c r="DG220" s="361">
        <v>131827.37</v>
      </c>
      <c r="DH220" s="361"/>
      <c r="DI220" s="361"/>
      <c r="DJ220" s="361"/>
      <c r="DK220" s="362"/>
    </row>
    <row r="221" spans="2:115" ht="13">
      <c r="B221" s="294"/>
      <c r="F221" s="296"/>
      <c r="J221" s="302"/>
      <c r="P221" s="618"/>
      <c r="Q221" s="618"/>
      <c r="R221" s="618"/>
      <c r="T221" s="295"/>
      <c r="X221" s="618"/>
      <c r="AA221" s="295"/>
      <c r="AH221" s="295"/>
      <c r="AO221" s="295"/>
      <c r="CT221" s="302">
        <f t="shared" si="855"/>
        <v>112014402</v>
      </c>
      <c r="CU221" s="510">
        <v>53</v>
      </c>
      <c r="CV221" s="359" t="s">
        <v>1088</v>
      </c>
      <c r="CW221" s="361">
        <v>3554637.69</v>
      </c>
      <c r="CX221" s="361">
        <v>601497.34</v>
      </c>
      <c r="CY221" s="361">
        <v>466036.73</v>
      </c>
      <c r="CZ221" s="361">
        <v>298623.17</v>
      </c>
      <c r="DA221" s="361">
        <v>549024.34</v>
      </c>
      <c r="DB221" s="361">
        <v>395166.03</v>
      </c>
      <c r="DC221" s="361">
        <v>579519.01</v>
      </c>
      <c r="DD221" s="361">
        <v>0</v>
      </c>
      <c r="DE221" s="361">
        <v>341737.15</v>
      </c>
      <c r="DF221" s="361">
        <v>87688.76</v>
      </c>
      <c r="DG221" s="361">
        <v>235345.15</v>
      </c>
      <c r="DH221" s="361"/>
      <c r="DI221" s="361"/>
      <c r="DJ221" s="361"/>
      <c r="DK221" s="362"/>
    </row>
    <row r="222" spans="2:115" ht="13">
      <c r="B222" s="294"/>
      <c r="F222" s="296"/>
      <c r="J222" s="302"/>
      <c r="P222" s="618"/>
      <c r="Q222" s="618"/>
      <c r="R222" s="618"/>
      <c r="T222" s="295"/>
      <c r="X222" s="618"/>
      <c r="AA222" s="295"/>
      <c r="AH222" s="295"/>
      <c r="AO222" s="295"/>
      <c r="CT222" s="302">
        <f t="shared" si="855"/>
        <v>112011508</v>
      </c>
      <c r="CU222" s="510">
        <v>54</v>
      </c>
      <c r="CV222" s="359" t="s">
        <v>868</v>
      </c>
      <c r="CW222" s="361">
        <v>3508496.32</v>
      </c>
      <c r="CX222" s="361">
        <v>483512.84</v>
      </c>
      <c r="CY222" s="361">
        <v>241618.29</v>
      </c>
      <c r="CZ222" s="361">
        <v>285437.52</v>
      </c>
      <c r="DA222" s="361">
        <v>471491.73</v>
      </c>
      <c r="DB222" s="361">
        <v>256071.27</v>
      </c>
      <c r="DC222" s="361">
        <v>295488.98</v>
      </c>
      <c r="DD222" s="361">
        <v>285311.84000000003</v>
      </c>
      <c r="DE222" s="361">
        <v>402425.07</v>
      </c>
      <c r="DF222" s="361">
        <v>590487.93000000005</v>
      </c>
      <c r="DG222" s="361">
        <v>196650.86</v>
      </c>
      <c r="DH222" s="361"/>
      <c r="DI222" s="361"/>
      <c r="DJ222" s="361"/>
      <c r="DK222" s="362"/>
    </row>
    <row r="223" spans="2:115" ht="13">
      <c r="B223" s="294"/>
      <c r="F223" s="296"/>
      <c r="J223" s="302"/>
      <c r="P223" s="618"/>
      <c r="Q223" s="618"/>
      <c r="R223" s="618"/>
      <c r="T223" s="295"/>
      <c r="X223" s="618"/>
      <c r="AA223" s="295"/>
      <c r="AH223" s="295"/>
      <c r="AO223" s="295"/>
      <c r="CT223" s="302">
        <f t="shared" si="855"/>
        <v>112012161</v>
      </c>
      <c r="CU223" s="510">
        <v>55</v>
      </c>
      <c r="CV223" s="359" t="s">
        <v>1074</v>
      </c>
      <c r="CW223" s="361">
        <v>3361416.07</v>
      </c>
      <c r="CX223" s="361">
        <v>576602.56999999995</v>
      </c>
      <c r="CY223" s="361">
        <v>314468.52</v>
      </c>
      <c r="CZ223" s="361">
        <v>246006.09</v>
      </c>
      <c r="DA223" s="361">
        <v>313852.08</v>
      </c>
      <c r="DB223" s="361">
        <v>464998.82</v>
      </c>
      <c r="DC223" s="361">
        <v>216210.28</v>
      </c>
      <c r="DD223" s="361">
        <v>206360.94</v>
      </c>
      <c r="DE223" s="361">
        <v>688769.81</v>
      </c>
      <c r="DF223" s="361">
        <v>120812.28</v>
      </c>
      <c r="DG223" s="361">
        <v>213334.69</v>
      </c>
      <c r="DH223" s="365"/>
      <c r="DI223" s="365"/>
      <c r="DJ223" s="365"/>
      <c r="DK223" s="366"/>
    </row>
    <row r="224" spans="2:115" ht="13">
      <c r="B224" s="294"/>
      <c r="F224" s="296"/>
      <c r="J224" s="302"/>
      <c r="P224" s="618"/>
      <c r="Q224" s="618"/>
      <c r="R224" s="618"/>
      <c r="T224" s="295"/>
      <c r="X224" s="618"/>
      <c r="AA224" s="295"/>
      <c r="AH224" s="295"/>
      <c r="AO224" s="295"/>
      <c r="CT224" s="302">
        <f t="shared" si="855"/>
        <v>112010673</v>
      </c>
      <c r="CU224" s="510">
        <v>56</v>
      </c>
      <c r="CV224" s="359" t="s">
        <v>873</v>
      </c>
      <c r="CW224" s="361">
        <v>3060208.94</v>
      </c>
      <c r="CX224" s="361">
        <v>499454.64</v>
      </c>
      <c r="CY224" s="361">
        <v>107071.45</v>
      </c>
      <c r="CZ224" s="361">
        <v>765581.47</v>
      </c>
      <c r="DA224" s="361">
        <v>230550.62</v>
      </c>
      <c r="DB224" s="361">
        <v>343148.51</v>
      </c>
      <c r="DC224" s="361">
        <v>0</v>
      </c>
      <c r="DD224" s="361">
        <v>326385.36</v>
      </c>
      <c r="DE224" s="361">
        <v>216918.85</v>
      </c>
      <c r="DF224" s="361">
        <v>260362.26</v>
      </c>
      <c r="DG224" s="361">
        <v>310735.77</v>
      </c>
      <c r="DH224" s="365"/>
      <c r="DI224" s="365"/>
      <c r="DJ224" s="365"/>
      <c r="DK224" s="366"/>
    </row>
    <row r="225" spans="2:115" ht="13">
      <c r="B225" s="294"/>
      <c r="F225" s="296"/>
      <c r="J225" s="302"/>
      <c r="P225" s="618"/>
      <c r="Q225" s="618"/>
      <c r="R225" s="618"/>
      <c r="T225" s="295"/>
      <c r="X225" s="618"/>
      <c r="AA225" s="295"/>
      <c r="AH225" s="295"/>
      <c r="AO225" s="295"/>
      <c r="CT225" s="302">
        <f t="shared" si="855"/>
        <v>112012463</v>
      </c>
      <c r="CU225" s="510">
        <v>57</v>
      </c>
      <c r="CV225" s="359" t="s">
        <v>1077</v>
      </c>
      <c r="CW225" s="361">
        <v>2969795.18</v>
      </c>
      <c r="CX225" s="361">
        <v>544805.14</v>
      </c>
      <c r="CY225" s="361">
        <v>353649.46</v>
      </c>
      <c r="CZ225" s="361">
        <v>441532.98</v>
      </c>
      <c r="DA225" s="361">
        <v>208340.29</v>
      </c>
      <c r="DB225" s="361">
        <v>240782.86</v>
      </c>
      <c r="DC225" s="361">
        <v>225986.05</v>
      </c>
      <c r="DD225" s="361">
        <v>110283.86</v>
      </c>
      <c r="DE225" s="361">
        <v>114473.63</v>
      </c>
      <c r="DF225" s="361">
        <v>272981.75</v>
      </c>
      <c r="DG225" s="361">
        <v>456959.17</v>
      </c>
      <c r="DH225" s="361"/>
      <c r="DI225" s="361"/>
      <c r="DJ225" s="361"/>
      <c r="DK225" s="362"/>
    </row>
    <row r="226" spans="2:115" ht="13">
      <c r="B226" s="294"/>
      <c r="F226" s="296"/>
      <c r="J226" s="302"/>
      <c r="P226" s="618"/>
      <c r="Q226" s="618"/>
      <c r="R226" s="618"/>
      <c r="T226" s="295"/>
      <c r="X226" s="618"/>
      <c r="AA226" s="295"/>
      <c r="AH226" s="295"/>
      <c r="AO226" s="295"/>
      <c r="CT226" s="302">
        <f t="shared" si="855"/>
        <v>112011976</v>
      </c>
      <c r="CU226" s="510">
        <v>58</v>
      </c>
      <c r="CV226" s="359" t="s">
        <v>1111</v>
      </c>
      <c r="CW226" s="361">
        <v>2947314.8</v>
      </c>
      <c r="CX226" s="361">
        <v>779430.52</v>
      </c>
      <c r="CY226" s="361">
        <v>432482.46</v>
      </c>
      <c r="CZ226" s="361">
        <v>235800.21</v>
      </c>
      <c r="DA226" s="361">
        <v>227204.36</v>
      </c>
      <c r="DB226" s="361">
        <v>223198.11</v>
      </c>
      <c r="DC226" s="361">
        <v>244372.91</v>
      </c>
      <c r="DD226" s="361">
        <v>226245.75</v>
      </c>
      <c r="DE226" s="361">
        <v>310396.34000000003</v>
      </c>
      <c r="DF226" s="361">
        <v>95231.7</v>
      </c>
      <c r="DG226" s="361">
        <v>172952.44</v>
      </c>
      <c r="DH226" s="361"/>
      <c r="DI226" s="361"/>
      <c r="DJ226" s="361"/>
      <c r="DK226" s="362"/>
    </row>
    <row r="227" spans="2:115" ht="13">
      <c r="B227" s="294"/>
      <c r="F227" s="296"/>
      <c r="J227" s="302"/>
      <c r="P227" s="618"/>
      <c r="Q227" s="618"/>
      <c r="R227" s="618"/>
      <c r="T227" s="295"/>
      <c r="X227" s="618"/>
      <c r="AA227" s="295"/>
      <c r="AH227" s="295"/>
      <c r="AO227" s="295"/>
      <c r="CT227" s="302">
        <f t="shared" si="855"/>
        <v>112014449</v>
      </c>
      <c r="CU227" s="510">
        <v>59</v>
      </c>
      <c r="CV227" s="359" t="s">
        <v>1002</v>
      </c>
      <c r="CW227" s="361">
        <v>2865517.32</v>
      </c>
      <c r="CX227" s="361">
        <v>251670.56</v>
      </c>
      <c r="CY227" s="361">
        <v>471000.48</v>
      </c>
      <c r="CZ227" s="361">
        <v>605994.25</v>
      </c>
      <c r="DA227" s="361">
        <v>4175.8</v>
      </c>
      <c r="DB227" s="361">
        <v>114656.67</v>
      </c>
      <c r="DC227" s="361">
        <v>385070.18</v>
      </c>
      <c r="DD227" s="361">
        <v>210764.44</v>
      </c>
      <c r="DE227" s="361">
        <v>0</v>
      </c>
      <c r="DF227" s="361">
        <v>239927.38</v>
      </c>
      <c r="DG227" s="361">
        <v>582257.57999999996</v>
      </c>
      <c r="DH227" s="361"/>
      <c r="DI227" s="361"/>
      <c r="DJ227" s="361"/>
      <c r="DK227" s="362"/>
    </row>
    <row r="228" spans="2:115" ht="13">
      <c r="B228" s="294"/>
      <c r="F228" s="296"/>
      <c r="J228" s="302"/>
      <c r="P228" s="618"/>
      <c r="Q228" s="618"/>
      <c r="R228" s="618"/>
      <c r="T228" s="295"/>
      <c r="X228" s="618"/>
      <c r="AA228" s="295"/>
      <c r="AH228" s="295"/>
      <c r="AO228" s="295"/>
      <c r="CT228" s="302">
        <f t="shared" si="855"/>
        <v>112014627</v>
      </c>
      <c r="CU228" s="510">
        <v>60</v>
      </c>
      <c r="CV228" s="359" t="s">
        <v>1023</v>
      </c>
      <c r="CW228" s="361">
        <v>2839795.7</v>
      </c>
      <c r="CX228" s="361">
        <v>0</v>
      </c>
      <c r="CY228" s="361">
        <v>-0.12</v>
      </c>
      <c r="CZ228" s="361">
        <v>0</v>
      </c>
      <c r="DA228" s="361">
        <v>0</v>
      </c>
      <c r="DB228" s="361">
        <v>0</v>
      </c>
      <c r="DC228" s="361">
        <v>0</v>
      </c>
      <c r="DD228" s="361">
        <v>369716.66</v>
      </c>
      <c r="DE228" s="361">
        <v>172452.2</v>
      </c>
      <c r="DF228" s="361">
        <v>430819.08</v>
      </c>
      <c r="DG228" s="361">
        <v>1866807.88</v>
      </c>
      <c r="DH228" s="361"/>
      <c r="DI228" s="361"/>
      <c r="DJ228" s="361"/>
      <c r="DK228" s="362"/>
    </row>
    <row r="229" spans="2:115" ht="13">
      <c r="B229" s="294"/>
      <c r="F229" s="296"/>
      <c r="J229" s="302"/>
      <c r="P229" s="618"/>
      <c r="Q229" s="618"/>
      <c r="R229" s="618"/>
      <c r="T229" s="295"/>
      <c r="X229" s="618"/>
      <c r="AA229" s="295"/>
      <c r="AH229" s="295"/>
      <c r="AO229" s="295"/>
      <c r="CT229" s="302">
        <f t="shared" si="855"/>
        <v>112012717</v>
      </c>
      <c r="CU229" s="510">
        <v>61</v>
      </c>
      <c r="CV229" s="359" t="s">
        <v>1079</v>
      </c>
      <c r="CW229" s="361">
        <v>2692797.48</v>
      </c>
      <c r="CX229" s="361">
        <v>212116</v>
      </c>
      <c r="CY229" s="361">
        <v>173424</v>
      </c>
      <c r="CZ229" s="361">
        <v>173424</v>
      </c>
      <c r="DA229" s="361">
        <v>388135.55</v>
      </c>
      <c r="DB229" s="361">
        <v>220630.57</v>
      </c>
      <c r="DC229" s="361">
        <v>193287.77</v>
      </c>
      <c r="DD229" s="361">
        <v>193287.77</v>
      </c>
      <c r="DE229" s="361">
        <v>148200</v>
      </c>
      <c r="DF229" s="361">
        <v>447166.3</v>
      </c>
      <c r="DG229" s="361">
        <v>543125.52</v>
      </c>
      <c r="DH229" s="361"/>
      <c r="DI229" s="361"/>
      <c r="DJ229" s="361"/>
      <c r="DK229" s="362"/>
    </row>
    <row r="230" spans="2:115" ht="13">
      <c r="B230" s="294"/>
      <c r="F230" s="296"/>
      <c r="J230" s="302"/>
      <c r="P230" s="618"/>
      <c r="Q230" s="618"/>
      <c r="R230" s="618"/>
      <c r="T230" s="295"/>
      <c r="X230" s="618"/>
      <c r="AA230" s="295"/>
      <c r="AH230" s="295"/>
      <c r="AO230" s="295"/>
      <c r="CT230" s="302">
        <f t="shared" si="855"/>
        <v>112013516</v>
      </c>
      <c r="CU230" s="510">
        <v>62</v>
      </c>
      <c r="CV230" s="359" t="s">
        <v>1021</v>
      </c>
      <c r="CW230" s="361">
        <v>2539144.12</v>
      </c>
      <c r="CX230" s="361">
        <v>0</v>
      </c>
      <c r="CY230" s="361">
        <v>0</v>
      </c>
      <c r="CZ230" s="361">
        <v>0</v>
      </c>
      <c r="DA230" s="361">
        <v>162994.78</v>
      </c>
      <c r="DB230" s="361">
        <v>653316.53</v>
      </c>
      <c r="DC230" s="361">
        <v>336262.81</v>
      </c>
      <c r="DD230" s="361">
        <v>270937.71999999997</v>
      </c>
      <c r="DE230" s="361">
        <v>308799</v>
      </c>
      <c r="DF230" s="361">
        <v>515498.9</v>
      </c>
      <c r="DG230" s="361">
        <v>291334.38</v>
      </c>
      <c r="DH230" s="361"/>
      <c r="DI230" s="361"/>
      <c r="DJ230" s="361"/>
      <c r="DK230" s="362"/>
    </row>
    <row r="231" spans="2:115" ht="13">
      <c r="B231" s="294"/>
      <c r="F231" s="296"/>
      <c r="J231" s="302"/>
      <c r="P231" s="618"/>
      <c r="Q231" s="618"/>
      <c r="R231" s="618"/>
      <c r="T231" s="295"/>
      <c r="X231" s="618"/>
      <c r="AA231" s="295"/>
      <c r="AH231" s="295"/>
      <c r="AO231" s="295"/>
      <c r="CT231" s="302">
        <f t="shared" si="855"/>
        <v>112014420</v>
      </c>
      <c r="CU231" s="510">
        <v>63</v>
      </c>
      <c r="CV231" s="359" t="s">
        <v>1106</v>
      </c>
      <c r="CW231" s="361">
        <v>2465773.63</v>
      </c>
      <c r="CX231" s="361">
        <v>147957.13</v>
      </c>
      <c r="CY231" s="361">
        <v>245293.43</v>
      </c>
      <c r="CZ231" s="361">
        <v>274713.71000000002</v>
      </c>
      <c r="DA231" s="361">
        <v>172189.6</v>
      </c>
      <c r="DB231" s="361">
        <v>512375.93</v>
      </c>
      <c r="DC231" s="361">
        <v>140384.69</v>
      </c>
      <c r="DD231" s="361">
        <v>231357.11</v>
      </c>
      <c r="DE231" s="361">
        <v>214774.89</v>
      </c>
      <c r="DF231" s="361">
        <v>180144.31</v>
      </c>
      <c r="DG231" s="361">
        <v>346582.84</v>
      </c>
      <c r="DH231" s="361"/>
      <c r="DI231" s="361"/>
      <c r="DJ231" s="361"/>
      <c r="DK231" s="362"/>
    </row>
    <row r="232" spans="2:115" ht="13">
      <c r="B232" s="294"/>
      <c r="F232" s="296"/>
      <c r="J232" s="302"/>
      <c r="P232" s="618"/>
      <c r="Q232" s="618"/>
      <c r="R232" s="618"/>
      <c r="T232" s="295"/>
      <c r="X232" s="618"/>
      <c r="AA232" s="295"/>
      <c r="AH232" s="295"/>
      <c r="AO232" s="295"/>
      <c r="CT232" s="302">
        <f t="shared" si="855"/>
        <v>112013841</v>
      </c>
      <c r="CU232" s="510">
        <v>64</v>
      </c>
      <c r="CV232" s="359" t="s">
        <v>1037</v>
      </c>
      <c r="CW232" s="361">
        <v>2412298.04</v>
      </c>
      <c r="CX232" s="361">
        <v>659750.40000000002</v>
      </c>
      <c r="CY232" s="361">
        <v>0</v>
      </c>
      <c r="CZ232" s="361">
        <v>0</v>
      </c>
      <c r="DA232" s="361">
        <v>0</v>
      </c>
      <c r="DB232" s="361">
        <v>825140.4</v>
      </c>
      <c r="DC232" s="361">
        <v>0</v>
      </c>
      <c r="DD232" s="361">
        <v>927407.24</v>
      </c>
      <c r="DE232" s="365">
        <v>0</v>
      </c>
      <c r="DF232" s="365">
        <v>0</v>
      </c>
      <c r="DG232" s="365">
        <v>0</v>
      </c>
      <c r="DH232" s="365"/>
      <c r="DI232" s="365"/>
      <c r="DJ232" s="365"/>
      <c r="DK232" s="366"/>
    </row>
    <row r="233" spans="2:115" ht="13">
      <c r="B233" s="294"/>
      <c r="F233" s="296"/>
      <c r="J233" s="302"/>
      <c r="P233" s="618"/>
      <c r="Q233" s="618"/>
      <c r="R233" s="618"/>
      <c r="T233" s="295"/>
      <c r="X233" s="618"/>
      <c r="AA233" s="295"/>
      <c r="AH233" s="295"/>
      <c r="AO233" s="295"/>
      <c r="CT233" s="302">
        <f t="shared" ref="CT233:CT264" si="856">VLOOKUP(CV233,ARRIOLACARTERA,3,FALSE)</f>
        <v>112014533</v>
      </c>
      <c r="CU233" s="510">
        <v>65</v>
      </c>
      <c r="CV233" s="359" t="s">
        <v>1038</v>
      </c>
      <c r="CW233" s="361">
        <v>2396064.48</v>
      </c>
      <c r="CX233" s="361">
        <v>185528.48</v>
      </c>
      <c r="CY233" s="361">
        <v>708994.32</v>
      </c>
      <c r="CZ233" s="361">
        <v>0</v>
      </c>
      <c r="DA233" s="361">
        <v>262789.59999999998</v>
      </c>
      <c r="DB233" s="361">
        <v>316524.32</v>
      </c>
      <c r="DC233" s="361">
        <v>595737.36</v>
      </c>
      <c r="DD233" s="361">
        <v>177976.64</v>
      </c>
      <c r="DE233" s="361">
        <v>67585.440000000002</v>
      </c>
      <c r="DF233" s="361">
        <v>0</v>
      </c>
      <c r="DG233" s="361">
        <v>80928.320000000007</v>
      </c>
      <c r="DH233" s="361"/>
      <c r="DI233" s="361"/>
      <c r="DJ233" s="361"/>
      <c r="DK233" s="362"/>
    </row>
    <row r="234" spans="2:115" ht="13">
      <c r="B234" s="294"/>
      <c r="F234" s="296"/>
      <c r="J234" s="302"/>
      <c r="P234" s="618"/>
      <c r="Q234" s="618"/>
      <c r="R234" s="618"/>
      <c r="T234" s="295"/>
      <c r="X234" s="618"/>
      <c r="AA234" s="295"/>
      <c r="AH234" s="295"/>
      <c r="AO234" s="295"/>
      <c r="CT234" s="302">
        <f t="shared" si="856"/>
        <v>112013460</v>
      </c>
      <c r="CU234" s="510">
        <v>66</v>
      </c>
      <c r="CV234" s="359" t="s">
        <v>1029</v>
      </c>
      <c r="CW234" s="361">
        <v>2268560.21</v>
      </c>
      <c r="CX234" s="361">
        <v>0</v>
      </c>
      <c r="CY234" s="361">
        <v>0</v>
      </c>
      <c r="CZ234" s="361">
        <v>0</v>
      </c>
      <c r="DA234" s="361">
        <v>0</v>
      </c>
      <c r="DB234" s="361">
        <v>229089.06</v>
      </c>
      <c r="DC234" s="361">
        <v>382177.07</v>
      </c>
      <c r="DD234" s="361">
        <v>546126.62</v>
      </c>
      <c r="DE234" s="361">
        <v>301518.13</v>
      </c>
      <c r="DF234" s="361">
        <v>84196.800000000003</v>
      </c>
      <c r="DG234" s="361">
        <v>725452.52</v>
      </c>
      <c r="DH234" s="361"/>
      <c r="DI234" s="361"/>
      <c r="DJ234" s="361"/>
      <c r="DK234" s="362"/>
    </row>
    <row r="235" spans="2:115" ht="13">
      <c r="B235" s="294"/>
      <c r="F235" s="296"/>
      <c r="J235" s="302"/>
      <c r="P235" s="618"/>
      <c r="Q235" s="618"/>
      <c r="R235" s="618"/>
      <c r="T235" s="295"/>
      <c r="X235" s="618"/>
      <c r="AA235" s="295"/>
      <c r="AH235" s="295"/>
      <c r="AO235" s="295"/>
      <c r="CT235" s="302">
        <f t="shared" si="856"/>
        <v>112014591</v>
      </c>
      <c r="CU235" s="510">
        <v>67</v>
      </c>
      <c r="CV235" s="359" t="s">
        <v>1060</v>
      </c>
      <c r="CW235" s="361">
        <v>2197052.5</v>
      </c>
      <c r="CX235" s="361">
        <v>362325.07</v>
      </c>
      <c r="CY235" s="361">
        <v>358578.88</v>
      </c>
      <c r="CZ235" s="361">
        <v>247144.61</v>
      </c>
      <c r="DA235" s="361">
        <v>230245.74</v>
      </c>
      <c r="DB235" s="361">
        <v>120750.57</v>
      </c>
      <c r="DC235" s="361">
        <v>143140.63</v>
      </c>
      <c r="DD235" s="361">
        <v>224657.54</v>
      </c>
      <c r="DE235" s="361">
        <v>94300.47</v>
      </c>
      <c r="DF235" s="361">
        <v>309142.11</v>
      </c>
      <c r="DG235" s="361">
        <v>106766.87</v>
      </c>
      <c r="DH235" s="361"/>
      <c r="DI235" s="361"/>
      <c r="DJ235" s="361"/>
      <c r="DK235" s="362"/>
    </row>
    <row r="236" spans="2:115" ht="13">
      <c r="B236" s="294"/>
      <c r="F236" s="296"/>
      <c r="J236" s="302"/>
      <c r="P236" s="618"/>
      <c r="Q236" s="618"/>
      <c r="R236" s="618"/>
      <c r="T236" s="295"/>
      <c r="X236" s="618"/>
      <c r="AA236" s="295"/>
      <c r="AH236" s="295"/>
      <c r="AO236" s="295"/>
      <c r="CT236" s="302">
        <f t="shared" si="856"/>
        <v>112013097</v>
      </c>
      <c r="CU236" s="510">
        <v>68</v>
      </c>
      <c r="CV236" s="359" t="s">
        <v>1043</v>
      </c>
      <c r="CW236" s="361">
        <v>2120566.86</v>
      </c>
      <c r="CX236" s="361">
        <v>0</v>
      </c>
      <c r="CY236" s="361">
        <v>680397.1</v>
      </c>
      <c r="CZ236" s="361">
        <v>381894.09</v>
      </c>
      <c r="DA236" s="361">
        <v>504053.4</v>
      </c>
      <c r="DB236" s="361">
        <v>554222.69999999995</v>
      </c>
      <c r="DC236" s="361">
        <v>0</v>
      </c>
      <c r="DD236" s="365">
        <v>0</v>
      </c>
      <c r="DE236" s="365">
        <v>-0.43</v>
      </c>
      <c r="DF236" s="365">
        <v>0</v>
      </c>
      <c r="DG236" s="365">
        <v>0</v>
      </c>
      <c r="DH236" s="365"/>
      <c r="DI236" s="365"/>
      <c r="DJ236" s="365"/>
      <c r="DK236" s="366"/>
    </row>
    <row r="237" spans="2:115" ht="13">
      <c r="B237" s="294"/>
      <c r="F237" s="296"/>
      <c r="J237" s="302"/>
      <c r="P237" s="618"/>
      <c r="Q237" s="618"/>
      <c r="R237" s="618"/>
      <c r="T237" s="295"/>
      <c r="X237" s="618"/>
      <c r="AA237" s="295"/>
      <c r="AH237" s="295"/>
      <c r="AO237" s="295"/>
      <c r="CT237" s="302">
        <f t="shared" si="856"/>
        <v>112011594</v>
      </c>
      <c r="CU237" s="510">
        <v>69</v>
      </c>
      <c r="CV237" s="359" t="s">
        <v>1071</v>
      </c>
      <c r="CW237" s="361">
        <v>2019850.49</v>
      </c>
      <c r="CX237" s="361">
        <v>237553.8</v>
      </c>
      <c r="CY237" s="361">
        <v>223216.49</v>
      </c>
      <c r="CZ237" s="361">
        <v>426495.44</v>
      </c>
      <c r="DA237" s="361">
        <v>80781.55</v>
      </c>
      <c r="DB237" s="361">
        <v>14650</v>
      </c>
      <c r="DC237" s="361">
        <v>0</v>
      </c>
      <c r="DD237" s="361">
        <v>433711.45</v>
      </c>
      <c r="DE237" s="361">
        <v>0</v>
      </c>
      <c r="DF237" s="361">
        <v>0</v>
      </c>
      <c r="DG237" s="361">
        <v>603441.76</v>
      </c>
      <c r="DH237" s="361"/>
      <c r="DI237" s="361"/>
      <c r="DJ237" s="361"/>
      <c r="DK237" s="362"/>
    </row>
    <row r="238" spans="2:115" ht="13">
      <c r="B238" s="294"/>
      <c r="F238" s="296"/>
      <c r="J238" s="302"/>
      <c r="P238" s="618"/>
      <c r="Q238" s="618"/>
      <c r="R238" s="618"/>
      <c r="T238" s="295"/>
      <c r="X238" s="618"/>
      <c r="AA238" s="295"/>
      <c r="AH238" s="295"/>
      <c r="AO238" s="295"/>
      <c r="CT238" s="302">
        <f t="shared" si="856"/>
        <v>112014694</v>
      </c>
      <c r="CU238" s="510">
        <v>70</v>
      </c>
      <c r="CV238" s="359" t="s">
        <v>1100</v>
      </c>
      <c r="CW238" s="361">
        <v>1937341.3</v>
      </c>
      <c r="CX238" s="361">
        <v>0</v>
      </c>
      <c r="CY238" s="361">
        <v>0</v>
      </c>
      <c r="CZ238" s="361">
        <v>0</v>
      </c>
      <c r="DA238" s="361">
        <v>0</v>
      </c>
      <c r="DB238" s="361">
        <v>1347235.51</v>
      </c>
      <c r="DC238" s="361">
        <v>217234.99</v>
      </c>
      <c r="DD238" s="361">
        <v>214755.58</v>
      </c>
      <c r="DE238" s="361">
        <v>0</v>
      </c>
      <c r="DF238" s="361">
        <v>41074.400000000001</v>
      </c>
      <c r="DG238" s="361">
        <v>117040.82</v>
      </c>
      <c r="DH238" s="361"/>
      <c r="DI238" s="361"/>
      <c r="DJ238" s="361"/>
      <c r="DK238" s="362"/>
    </row>
    <row r="239" spans="2:115" ht="13">
      <c r="B239" s="294"/>
      <c r="F239" s="296"/>
      <c r="J239" s="302"/>
      <c r="P239" s="618"/>
      <c r="Q239" s="618"/>
      <c r="R239" s="618"/>
      <c r="T239" s="295"/>
      <c r="X239" s="618"/>
      <c r="AA239" s="295"/>
      <c r="AH239" s="295"/>
      <c r="AO239" s="295"/>
      <c r="CT239" s="302">
        <f t="shared" si="856"/>
        <v>112013478</v>
      </c>
      <c r="CU239" s="510">
        <v>71</v>
      </c>
      <c r="CV239" s="359" t="s">
        <v>1027</v>
      </c>
      <c r="CW239" s="361">
        <v>1741344.97</v>
      </c>
      <c r="CX239" s="361">
        <v>0</v>
      </c>
      <c r="CY239" s="361">
        <v>0</v>
      </c>
      <c r="CZ239" s="361">
        <v>0</v>
      </c>
      <c r="DA239" s="361">
        <v>0</v>
      </c>
      <c r="DB239" s="361">
        <v>176934.15</v>
      </c>
      <c r="DC239" s="361">
        <v>733067.19</v>
      </c>
      <c r="DD239" s="361">
        <v>0</v>
      </c>
      <c r="DE239" s="361">
        <v>67880.539999999994</v>
      </c>
      <c r="DF239" s="361">
        <v>547371.89</v>
      </c>
      <c r="DG239" s="361">
        <v>216091.2</v>
      </c>
      <c r="DH239" s="361"/>
      <c r="DI239" s="361"/>
      <c r="DJ239" s="361"/>
      <c r="DK239" s="362"/>
    </row>
    <row r="240" spans="2:115" ht="13">
      <c r="B240" s="294"/>
      <c r="F240" s="296"/>
      <c r="J240" s="302"/>
      <c r="P240" s="618"/>
      <c r="Q240" s="618"/>
      <c r="R240" s="618"/>
      <c r="T240" s="295"/>
      <c r="X240" s="618"/>
      <c r="AA240" s="295"/>
      <c r="AH240" s="295"/>
      <c r="AO240" s="295"/>
      <c r="CT240" s="302">
        <f t="shared" si="856"/>
        <v>112014371</v>
      </c>
      <c r="CU240" s="510">
        <v>72</v>
      </c>
      <c r="CV240" s="359" t="s">
        <v>1045</v>
      </c>
      <c r="CW240" s="361">
        <v>1710850.86</v>
      </c>
      <c r="CX240" s="361">
        <v>473765.3</v>
      </c>
      <c r="CY240" s="361">
        <v>1200961.8600000001</v>
      </c>
      <c r="CZ240" s="361">
        <v>36123.699999999997</v>
      </c>
      <c r="DA240" s="361">
        <v>0</v>
      </c>
      <c r="DB240" s="361">
        <v>0</v>
      </c>
      <c r="DC240" s="361">
        <v>0</v>
      </c>
      <c r="DD240" s="361">
        <v>0</v>
      </c>
      <c r="DE240" s="361">
        <v>0</v>
      </c>
      <c r="DF240" s="361">
        <v>0</v>
      </c>
      <c r="DG240" s="361">
        <v>0</v>
      </c>
      <c r="DH240" s="361"/>
      <c r="DI240" s="361"/>
      <c r="DJ240" s="361"/>
      <c r="DK240" s="362"/>
    </row>
    <row r="241" spans="2:115" ht="13">
      <c r="B241" s="294"/>
      <c r="F241" s="296"/>
      <c r="J241" s="302"/>
      <c r="P241" s="618"/>
      <c r="Q241" s="618"/>
      <c r="R241" s="618"/>
      <c r="T241" s="295"/>
      <c r="X241" s="618"/>
      <c r="AA241" s="295"/>
      <c r="AH241" s="295"/>
      <c r="AO241" s="295"/>
      <c r="CT241" s="302">
        <f t="shared" si="856"/>
        <v>112012366</v>
      </c>
      <c r="CU241" s="510">
        <v>73</v>
      </c>
      <c r="CV241" s="359" t="s">
        <v>1093</v>
      </c>
      <c r="CW241" s="361">
        <v>1707567.59</v>
      </c>
      <c r="CX241" s="361">
        <v>501030.99</v>
      </c>
      <c r="CY241" s="361">
        <v>79377.679999999993</v>
      </c>
      <c r="CZ241" s="361">
        <v>281082.46000000002</v>
      </c>
      <c r="DA241" s="361">
        <v>188778.42</v>
      </c>
      <c r="DB241" s="361">
        <v>115057.62</v>
      </c>
      <c r="DC241" s="361">
        <v>23864.400000000001</v>
      </c>
      <c r="DD241" s="361">
        <v>88602.3</v>
      </c>
      <c r="DE241" s="361">
        <v>175331.13</v>
      </c>
      <c r="DF241" s="361">
        <v>254442.59</v>
      </c>
      <c r="DG241" s="361">
        <v>0</v>
      </c>
      <c r="DH241" s="361"/>
      <c r="DI241" s="361"/>
      <c r="DJ241" s="361"/>
      <c r="DK241" s="362"/>
    </row>
    <row r="242" spans="2:115" ht="13">
      <c r="B242" s="294"/>
      <c r="F242" s="296"/>
      <c r="J242" s="302"/>
      <c r="P242" s="618"/>
      <c r="Q242" s="618"/>
      <c r="R242" s="618"/>
      <c r="T242" s="295"/>
      <c r="X242" s="618"/>
      <c r="AA242" s="295"/>
      <c r="AH242" s="295"/>
      <c r="AO242" s="295"/>
      <c r="CT242" s="302" t="e">
        <f t="shared" si="856"/>
        <v>#N/A</v>
      </c>
      <c r="CU242" s="510">
        <v>74</v>
      </c>
      <c r="CV242" s="359" t="s">
        <v>1114</v>
      </c>
      <c r="CW242" s="361">
        <v>1689300.97</v>
      </c>
      <c r="CX242" s="361">
        <v>0</v>
      </c>
      <c r="CY242" s="361">
        <v>0</v>
      </c>
      <c r="CZ242" s="361">
        <v>0</v>
      </c>
      <c r="DA242" s="361">
        <v>1689300.97</v>
      </c>
      <c r="DB242" s="361">
        <v>0</v>
      </c>
      <c r="DC242" s="361">
        <v>0</v>
      </c>
      <c r="DD242" s="361">
        <v>0</v>
      </c>
      <c r="DE242" s="361">
        <v>0</v>
      </c>
      <c r="DF242" s="361">
        <v>0</v>
      </c>
      <c r="DG242" s="361">
        <v>0</v>
      </c>
      <c r="DH242" s="365"/>
      <c r="DI242" s="365"/>
      <c r="DJ242" s="365"/>
      <c r="DK242" s="366"/>
    </row>
    <row r="243" spans="2:115" ht="13">
      <c r="B243" s="294"/>
      <c r="F243" s="296"/>
      <c r="J243" s="302"/>
      <c r="P243" s="618"/>
      <c r="Q243" s="618"/>
      <c r="R243" s="618"/>
      <c r="T243" s="295"/>
      <c r="X243" s="618"/>
      <c r="AA243" s="295"/>
      <c r="AH243" s="295"/>
      <c r="AO243" s="295"/>
      <c r="CT243" s="302">
        <f t="shared" si="856"/>
        <v>112010098</v>
      </c>
      <c r="CU243" s="510">
        <v>75</v>
      </c>
      <c r="CV243" s="359" t="s">
        <v>1102</v>
      </c>
      <c r="CW243" s="361">
        <v>1635802.89</v>
      </c>
      <c r="CX243" s="361">
        <v>843905.47</v>
      </c>
      <c r="CY243" s="361">
        <v>169112.01</v>
      </c>
      <c r="CZ243" s="361">
        <v>269088.7</v>
      </c>
      <c r="DA243" s="361">
        <v>286452.27</v>
      </c>
      <c r="DB243" s="361">
        <v>0</v>
      </c>
      <c r="DC243" s="361">
        <v>67244.44</v>
      </c>
      <c r="DD243" s="361">
        <v>0</v>
      </c>
      <c r="DE243" s="361">
        <v>0</v>
      </c>
      <c r="DF243" s="361">
        <v>0</v>
      </c>
      <c r="DG243" s="361">
        <v>0</v>
      </c>
      <c r="DH243" s="361"/>
      <c r="DI243" s="361"/>
      <c r="DJ243" s="361"/>
      <c r="DK243" s="362"/>
    </row>
    <row r="244" spans="2:115" ht="13">
      <c r="B244" s="294"/>
      <c r="F244" s="296"/>
      <c r="J244" s="302"/>
      <c r="P244" s="618"/>
      <c r="Q244" s="618"/>
      <c r="R244" s="618"/>
      <c r="T244" s="295"/>
      <c r="X244" s="618"/>
      <c r="AA244" s="295"/>
      <c r="AH244" s="295"/>
      <c r="AO244" s="295"/>
      <c r="CT244" s="302">
        <f t="shared" si="856"/>
        <v>112014501</v>
      </c>
      <c r="CU244" s="510">
        <v>76</v>
      </c>
      <c r="CV244" s="359" t="s">
        <v>1024</v>
      </c>
      <c r="CW244" s="361">
        <v>1625484.56</v>
      </c>
      <c r="CX244" s="361">
        <v>0</v>
      </c>
      <c r="CY244" s="361">
        <v>0</v>
      </c>
      <c r="CZ244" s="361">
        <v>0</v>
      </c>
      <c r="DA244" s="361">
        <v>0</v>
      </c>
      <c r="DB244" s="361">
        <v>153680.76999999999</v>
      </c>
      <c r="DC244" s="361">
        <v>129560.02</v>
      </c>
      <c r="DD244" s="361">
        <v>140493.54999999999</v>
      </c>
      <c r="DE244" s="361">
        <v>318315.76</v>
      </c>
      <c r="DF244" s="361">
        <v>267411.92</v>
      </c>
      <c r="DG244" s="361">
        <v>616022.54</v>
      </c>
      <c r="DH244" s="361"/>
      <c r="DI244" s="361"/>
      <c r="DJ244" s="361"/>
      <c r="DK244" s="362"/>
    </row>
    <row r="245" spans="2:115" ht="13">
      <c r="B245" s="294"/>
      <c r="F245" s="296"/>
      <c r="J245" s="302"/>
      <c r="P245" s="618"/>
      <c r="Q245" s="618"/>
      <c r="R245" s="618"/>
      <c r="T245" s="295"/>
      <c r="X245" s="618"/>
      <c r="AA245" s="295"/>
      <c r="AH245" s="295"/>
      <c r="AO245" s="295"/>
      <c r="CT245" s="302">
        <f t="shared" si="856"/>
        <v>112012374</v>
      </c>
      <c r="CU245" s="510">
        <v>77</v>
      </c>
      <c r="CV245" s="359" t="s">
        <v>860</v>
      </c>
      <c r="CW245" s="361">
        <v>1590702.34</v>
      </c>
      <c r="CX245" s="361">
        <v>37597.050000000003</v>
      </c>
      <c r="CY245" s="361">
        <v>35255.81</v>
      </c>
      <c r="CZ245" s="361">
        <v>111009.98</v>
      </c>
      <c r="DA245" s="361">
        <v>179881.46</v>
      </c>
      <c r="DB245" s="361">
        <v>32441.58</v>
      </c>
      <c r="DC245" s="361">
        <v>0</v>
      </c>
      <c r="DD245" s="361">
        <v>14112.87</v>
      </c>
      <c r="DE245" s="361">
        <v>78104.09</v>
      </c>
      <c r="DF245" s="361">
        <v>485051.72</v>
      </c>
      <c r="DG245" s="361">
        <v>617247.78</v>
      </c>
      <c r="DH245" s="361"/>
      <c r="DI245" s="361"/>
      <c r="DJ245" s="361"/>
      <c r="DK245" s="362"/>
    </row>
    <row r="246" spans="2:115" ht="13">
      <c r="B246" s="294"/>
      <c r="F246" s="296"/>
      <c r="J246" s="302"/>
      <c r="P246" s="618"/>
      <c r="Q246" s="618"/>
      <c r="R246" s="618"/>
      <c r="T246" s="295"/>
      <c r="X246" s="618"/>
      <c r="AA246" s="295"/>
      <c r="AH246" s="295"/>
      <c r="AO246" s="295"/>
      <c r="CT246" s="302">
        <f t="shared" si="856"/>
        <v>112012342</v>
      </c>
      <c r="CU246" s="510">
        <v>78</v>
      </c>
      <c r="CV246" s="359" t="s">
        <v>1076</v>
      </c>
      <c r="CW246" s="361">
        <v>1545283.99</v>
      </c>
      <c r="CX246" s="361">
        <v>0</v>
      </c>
      <c r="CY246" s="361">
        <v>0</v>
      </c>
      <c r="CZ246" s="361">
        <v>0</v>
      </c>
      <c r="DA246" s="361">
        <v>0</v>
      </c>
      <c r="DB246" s="361">
        <v>0</v>
      </c>
      <c r="DC246" s="361">
        <v>0</v>
      </c>
      <c r="DD246" s="361">
        <v>0</v>
      </c>
      <c r="DE246" s="361">
        <v>1545283.99</v>
      </c>
      <c r="DF246" s="361">
        <v>0</v>
      </c>
      <c r="DG246" s="361">
        <v>0</v>
      </c>
      <c r="DH246" s="361"/>
      <c r="DI246" s="361"/>
      <c r="DJ246" s="361"/>
      <c r="DK246" s="362"/>
    </row>
    <row r="247" spans="2:115" ht="13">
      <c r="B247" s="294"/>
      <c r="F247" s="296"/>
      <c r="J247" s="302"/>
      <c r="P247" s="618"/>
      <c r="Q247" s="618"/>
      <c r="R247" s="618"/>
      <c r="T247" s="295"/>
      <c r="X247" s="618"/>
      <c r="AA247" s="295"/>
      <c r="AH247" s="295"/>
      <c r="AO247" s="295"/>
      <c r="CT247" s="302">
        <f t="shared" si="856"/>
        <v>112011730</v>
      </c>
      <c r="CU247" s="510">
        <v>79</v>
      </c>
      <c r="CV247" s="359" t="s">
        <v>869</v>
      </c>
      <c r="CW247" s="361">
        <v>1532542.19</v>
      </c>
      <c r="CX247" s="361">
        <v>516018.46</v>
      </c>
      <c r="CY247" s="361">
        <v>0</v>
      </c>
      <c r="CZ247" s="361">
        <v>0</v>
      </c>
      <c r="DA247" s="361">
        <v>225867.6</v>
      </c>
      <c r="DB247" s="361">
        <v>157472.16</v>
      </c>
      <c r="DC247" s="361">
        <v>242080.75</v>
      </c>
      <c r="DD247" s="365">
        <v>0</v>
      </c>
      <c r="DE247" s="361">
        <v>264592.49</v>
      </c>
      <c r="DF247" s="361">
        <v>79338.720000000001</v>
      </c>
      <c r="DG247" s="361">
        <v>47172</v>
      </c>
      <c r="DH247" s="365"/>
      <c r="DI247" s="365"/>
      <c r="DJ247" s="365"/>
      <c r="DK247" s="366"/>
    </row>
    <row r="248" spans="2:115" ht="13">
      <c r="B248" s="294"/>
      <c r="F248" s="296"/>
      <c r="J248" s="302"/>
      <c r="P248" s="618"/>
      <c r="Q248" s="618"/>
      <c r="R248" s="618"/>
      <c r="T248" s="295"/>
      <c r="X248" s="618"/>
      <c r="AA248" s="295"/>
      <c r="AH248" s="295"/>
      <c r="AO248" s="295"/>
      <c r="CT248" s="302">
        <f t="shared" si="856"/>
        <v>112014709</v>
      </c>
      <c r="CU248" s="510">
        <v>80</v>
      </c>
      <c r="CV248" s="359" t="s">
        <v>1020</v>
      </c>
      <c r="CW248" s="361">
        <v>1388022.06</v>
      </c>
      <c r="CX248" s="361">
        <v>0</v>
      </c>
      <c r="CY248" s="361">
        <v>0</v>
      </c>
      <c r="CZ248" s="361">
        <v>0</v>
      </c>
      <c r="DA248" s="361">
        <v>0</v>
      </c>
      <c r="DB248" s="361">
        <v>0</v>
      </c>
      <c r="DC248" s="361">
        <v>0</v>
      </c>
      <c r="DD248" s="361">
        <v>0</v>
      </c>
      <c r="DE248" s="361">
        <v>266956.77</v>
      </c>
      <c r="DF248" s="361">
        <v>362664.88</v>
      </c>
      <c r="DG248" s="361">
        <v>758400.41</v>
      </c>
      <c r="DH248" s="361"/>
      <c r="DI248" s="361"/>
      <c r="DJ248" s="361"/>
      <c r="DK248" s="362"/>
    </row>
    <row r="249" spans="2:115" ht="13">
      <c r="B249" s="294"/>
      <c r="F249" s="296"/>
      <c r="J249" s="302"/>
      <c r="P249" s="618"/>
      <c r="Q249" s="618"/>
      <c r="R249" s="618"/>
      <c r="T249" s="295"/>
      <c r="X249" s="618"/>
      <c r="AA249" s="295"/>
      <c r="AH249" s="295"/>
      <c r="AO249" s="295"/>
      <c r="CT249" s="302">
        <f t="shared" si="856"/>
        <v>112013474</v>
      </c>
      <c r="CU249" s="510">
        <v>81</v>
      </c>
      <c r="CV249" s="359" t="s">
        <v>1019</v>
      </c>
      <c r="CW249" s="361">
        <v>1343095.37</v>
      </c>
      <c r="CX249" s="361">
        <v>0</v>
      </c>
      <c r="CY249" s="361">
        <v>0</v>
      </c>
      <c r="CZ249" s="361">
        <v>0</v>
      </c>
      <c r="DA249" s="361">
        <v>0</v>
      </c>
      <c r="DB249" s="361">
        <v>302587.3</v>
      </c>
      <c r="DC249" s="361">
        <v>0</v>
      </c>
      <c r="DD249" s="361">
        <v>223523.77</v>
      </c>
      <c r="DE249" s="361">
        <v>0</v>
      </c>
      <c r="DF249" s="361">
        <v>281721.59000000003</v>
      </c>
      <c r="DG249" s="361">
        <v>535262.71999999997</v>
      </c>
      <c r="DH249" s="361"/>
      <c r="DI249" s="361"/>
      <c r="DJ249" s="361"/>
      <c r="DK249" s="362"/>
    </row>
    <row r="250" spans="2:115" ht="13">
      <c r="B250" s="294"/>
      <c r="F250" s="296"/>
      <c r="J250" s="302"/>
      <c r="P250" s="618"/>
      <c r="Q250" s="618"/>
      <c r="R250" s="618"/>
      <c r="T250" s="295"/>
      <c r="X250" s="618"/>
      <c r="AA250" s="295"/>
      <c r="AH250" s="295"/>
      <c r="AO250" s="295"/>
      <c r="CT250" s="302">
        <f t="shared" si="856"/>
        <v>112013108</v>
      </c>
      <c r="CU250" s="510">
        <v>82</v>
      </c>
      <c r="CV250" s="359" t="s">
        <v>887</v>
      </c>
      <c r="CW250" s="361">
        <v>1317719.8999999999</v>
      </c>
      <c r="CX250" s="361">
        <v>317975.8</v>
      </c>
      <c r="CY250" s="361">
        <v>0</v>
      </c>
      <c r="CZ250" s="361">
        <v>128228.28</v>
      </c>
      <c r="DA250" s="361">
        <v>136591.43</v>
      </c>
      <c r="DB250" s="361">
        <v>100979.75</v>
      </c>
      <c r="DC250" s="361">
        <v>0</v>
      </c>
      <c r="DD250" s="361">
        <v>206909.89</v>
      </c>
      <c r="DE250" s="361">
        <v>167885.46</v>
      </c>
      <c r="DF250" s="361">
        <v>115954.71</v>
      </c>
      <c r="DG250" s="361">
        <v>143194.59</v>
      </c>
      <c r="DH250" s="365"/>
      <c r="DI250" s="365"/>
      <c r="DJ250" s="365"/>
      <c r="DK250" s="366"/>
    </row>
    <row r="251" spans="2:115" ht="13">
      <c r="B251" s="294"/>
      <c r="F251" s="296"/>
      <c r="J251" s="302"/>
      <c r="P251" s="618"/>
      <c r="Q251" s="618"/>
      <c r="R251" s="618"/>
      <c r="T251" s="295"/>
      <c r="X251" s="618"/>
      <c r="AA251" s="295"/>
      <c r="AH251" s="295"/>
      <c r="AO251" s="295"/>
      <c r="CT251" s="302">
        <f t="shared" si="856"/>
        <v>112013651</v>
      </c>
      <c r="CU251" s="510">
        <v>83</v>
      </c>
      <c r="CV251" s="359" t="s">
        <v>1066</v>
      </c>
      <c r="CW251" s="361">
        <v>1288626.5900000001</v>
      </c>
      <c r="CX251" s="361">
        <v>0</v>
      </c>
      <c r="CY251" s="361">
        <v>130266.02</v>
      </c>
      <c r="CZ251" s="361">
        <v>0</v>
      </c>
      <c r="DA251" s="361">
        <v>250056.83</v>
      </c>
      <c r="DB251" s="361">
        <v>264238.14</v>
      </c>
      <c r="DC251" s="361">
        <v>83320.850000000006</v>
      </c>
      <c r="DD251" s="361">
        <v>0</v>
      </c>
      <c r="DE251" s="361">
        <v>155556.63</v>
      </c>
      <c r="DF251" s="361">
        <v>163956.85</v>
      </c>
      <c r="DG251" s="361">
        <v>241231.27</v>
      </c>
      <c r="DH251" s="361"/>
      <c r="DI251" s="361"/>
      <c r="DJ251" s="361"/>
      <c r="DK251" s="362"/>
    </row>
    <row r="252" spans="2:115" ht="13">
      <c r="B252" s="294"/>
      <c r="F252" s="296"/>
      <c r="J252" s="302"/>
      <c r="P252" s="618"/>
      <c r="Q252" s="618"/>
      <c r="R252" s="618"/>
      <c r="T252" s="295"/>
      <c r="X252" s="618"/>
      <c r="AA252" s="295"/>
      <c r="AH252" s="295"/>
      <c r="AO252" s="295"/>
      <c r="CT252" s="302">
        <f t="shared" si="856"/>
        <v>112012293</v>
      </c>
      <c r="CU252" s="510">
        <v>84</v>
      </c>
      <c r="CV252" s="359" t="s">
        <v>1042</v>
      </c>
      <c r="CW252" s="361">
        <v>1180476.31</v>
      </c>
      <c r="CX252" s="361">
        <v>176161.29</v>
      </c>
      <c r="CY252" s="361">
        <v>622741.02</v>
      </c>
      <c r="CZ252" s="361">
        <v>0</v>
      </c>
      <c r="DA252" s="361">
        <v>127785.49</v>
      </c>
      <c r="DB252" s="361">
        <v>91228.98</v>
      </c>
      <c r="DC252" s="361">
        <v>162559.54</v>
      </c>
      <c r="DD252" s="365">
        <v>0</v>
      </c>
      <c r="DE252" s="361">
        <v>0</v>
      </c>
      <c r="DF252" s="365">
        <v>0</v>
      </c>
      <c r="DG252" s="365">
        <v>0</v>
      </c>
      <c r="DH252" s="365"/>
      <c r="DI252" s="365"/>
      <c r="DJ252" s="365"/>
      <c r="DK252" s="366"/>
    </row>
    <row r="253" spans="2:115" ht="13">
      <c r="B253" s="294"/>
      <c r="F253" s="296"/>
      <c r="J253" s="302"/>
      <c r="P253" s="618"/>
      <c r="Q253" s="618"/>
      <c r="R253" s="618"/>
      <c r="T253" s="295"/>
      <c r="X253" s="618"/>
      <c r="AA253" s="295"/>
      <c r="AH253" s="295"/>
      <c r="AO253" s="295"/>
      <c r="CT253" s="302">
        <f t="shared" si="856"/>
        <v>112014129</v>
      </c>
      <c r="CU253" s="510">
        <v>85</v>
      </c>
      <c r="CV253" s="359" t="s">
        <v>1067</v>
      </c>
      <c r="CW253" s="361">
        <v>1170248.01</v>
      </c>
      <c r="CX253" s="361">
        <v>510499.54</v>
      </c>
      <c r="CY253" s="361">
        <v>-62910.15</v>
      </c>
      <c r="CZ253" s="361">
        <v>483281.27</v>
      </c>
      <c r="DA253" s="361">
        <v>239377.35</v>
      </c>
      <c r="DB253" s="361">
        <v>0</v>
      </c>
      <c r="DC253" s="361">
        <v>0</v>
      </c>
      <c r="DD253" s="361">
        <v>0</v>
      </c>
      <c r="DE253" s="365">
        <v>0</v>
      </c>
      <c r="DF253" s="361">
        <v>0</v>
      </c>
      <c r="DG253" s="365">
        <v>0</v>
      </c>
      <c r="DH253" s="365"/>
      <c r="DI253" s="365"/>
      <c r="DJ253" s="365"/>
      <c r="DK253" s="366"/>
    </row>
    <row r="254" spans="2:115" ht="13">
      <c r="B254" s="294"/>
      <c r="F254" s="296"/>
      <c r="J254" s="302"/>
      <c r="P254" s="618"/>
      <c r="Q254" s="618"/>
      <c r="R254" s="618"/>
      <c r="T254" s="295"/>
      <c r="X254" s="618"/>
      <c r="AA254" s="295"/>
      <c r="AH254" s="295"/>
      <c r="AO254" s="295"/>
      <c r="CT254" s="302">
        <f t="shared" si="856"/>
        <v>112014497</v>
      </c>
      <c r="CU254" s="510">
        <v>86</v>
      </c>
      <c r="CV254" s="359" t="s">
        <v>1046</v>
      </c>
      <c r="CW254" s="361">
        <v>1084113.18</v>
      </c>
      <c r="CX254" s="361">
        <v>362647.93</v>
      </c>
      <c r="CY254" s="361">
        <v>0</v>
      </c>
      <c r="CZ254" s="361">
        <v>0</v>
      </c>
      <c r="DA254" s="361">
        <v>492668.5</v>
      </c>
      <c r="DB254" s="361">
        <v>0</v>
      </c>
      <c r="DC254" s="361">
        <v>0</v>
      </c>
      <c r="DD254" s="361">
        <v>228796.75</v>
      </c>
      <c r="DE254" s="361">
        <v>0</v>
      </c>
      <c r="DF254" s="361">
        <v>0</v>
      </c>
      <c r="DG254" s="365">
        <v>0</v>
      </c>
      <c r="DH254" s="365"/>
      <c r="DI254" s="365"/>
      <c r="DJ254" s="365"/>
      <c r="DK254" s="366"/>
    </row>
    <row r="255" spans="2:115" ht="13">
      <c r="B255" s="294"/>
      <c r="F255" s="296"/>
      <c r="J255" s="302"/>
      <c r="P255" s="618"/>
      <c r="Q255" s="618"/>
      <c r="R255" s="618"/>
      <c r="T255" s="295"/>
      <c r="X255" s="618"/>
      <c r="AA255" s="295"/>
      <c r="AH255" s="295"/>
      <c r="AO255" s="295"/>
      <c r="CT255" s="302">
        <f t="shared" si="856"/>
        <v>112013300</v>
      </c>
      <c r="CU255" s="510">
        <v>87</v>
      </c>
      <c r="CV255" s="359" t="s">
        <v>1001</v>
      </c>
      <c r="CW255" s="361">
        <v>1070671.28</v>
      </c>
      <c r="CX255" s="361">
        <v>1070671.28</v>
      </c>
      <c r="CY255" s="361">
        <v>0</v>
      </c>
      <c r="CZ255" s="361">
        <v>0</v>
      </c>
      <c r="DA255" s="361">
        <v>0</v>
      </c>
      <c r="DB255" s="361">
        <v>0</v>
      </c>
      <c r="DC255" s="361">
        <v>0</v>
      </c>
      <c r="DD255" s="365">
        <v>0</v>
      </c>
      <c r="DE255" s="361">
        <v>0</v>
      </c>
      <c r="DF255" s="365">
        <v>0</v>
      </c>
      <c r="DG255" s="365">
        <v>0</v>
      </c>
      <c r="DH255" s="365"/>
      <c r="DI255" s="365"/>
      <c r="DJ255" s="365"/>
      <c r="DK255" s="366"/>
    </row>
    <row r="256" spans="2:115" ht="13">
      <c r="B256" s="294"/>
      <c r="F256" s="296"/>
      <c r="J256" s="302"/>
      <c r="P256" s="618"/>
      <c r="Q256" s="618"/>
      <c r="R256" s="618"/>
      <c r="T256" s="295"/>
      <c r="X256" s="618"/>
      <c r="AA256" s="295"/>
      <c r="AH256" s="295"/>
      <c r="AO256" s="295"/>
      <c r="CT256" s="302">
        <f t="shared" si="856"/>
        <v>112013791</v>
      </c>
      <c r="CU256" s="510">
        <v>88</v>
      </c>
      <c r="CV256" s="359" t="s">
        <v>1084</v>
      </c>
      <c r="CW256" s="361">
        <v>1043151.97</v>
      </c>
      <c r="CX256" s="361">
        <v>0</v>
      </c>
      <c r="CY256" s="361">
        <v>671232.91</v>
      </c>
      <c r="CZ256" s="361">
        <v>24928</v>
      </c>
      <c r="DA256" s="361">
        <v>0</v>
      </c>
      <c r="DB256" s="361">
        <v>40894.44</v>
      </c>
      <c r="DC256" s="361">
        <v>192692.87</v>
      </c>
      <c r="DD256" s="361">
        <v>0</v>
      </c>
      <c r="DE256" s="361">
        <v>0</v>
      </c>
      <c r="DF256" s="361">
        <v>113403.76</v>
      </c>
      <c r="DG256" s="361">
        <v>0</v>
      </c>
      <c r="DH256" s="361"/>
      <c r="DI256" s="361"/>
      <c r="DJ256" s="361"/>
      <c r="DK256" s="362"/>
    </row>
    <row r="257" spans="2:115" ht="13">
      <c r="B257" s="294"/>
      <c r="F257" s="296"/>
      <c r="J257" s="302"/>
      <c r="P257" s="618"/>
      <c r="Q257" s="618"/>
      <c r="R257" s="618"/>
      <c r="T257" s="295"/>
      <c r="X257" s="618"/>
      <c r="AA257" s="295"/>
      <c r="AH257" s="295"/>
      <c r="AO257" s="295"/>
      <c r="CT257" s="302">
        <f t="shared" si="856"/>
        <v>112012638</v>
      </c>
      <c r="CU257" s="510">
        <v>89</v>
      </c>
      <c r="CV257" s="302" t="s">
        <v>1078</v>
      </c>
      <c r="CW257" s="352">
        <v>973537.92</v>
      </c>
      <c r="CX257" s="352">
        <v>221834.73</v>
      </c>
      <c r="CY257" s="352">
        <v>67368.600000000006</v>
      </c>
      <c r="CZ257" s="352">
        <v>121650.75</v>
      </c>
      <c r="DA257" s="352">
        <v>0</v>
      </c>
      <c r="DB257" s="352">
        <v>95157.9</v>
      </c>
      <c r="DC257" s="352">
        <v>244141.12</v>
      </c>
      <c r="DD257" s="352">
        <v>0</v>
      </c>
      <c r="DE257" s="352">
        <v>30307.51</v>
      </c>
      <c r="DF257" s="352">
        <v>71722.11</v>
      </c>
      <c r="DG257" s="352">
        <v>121355.2</v>
      </c>
      <c r="DK257" s="367"/>
    </row>
    <row r="258" spans="2:115" ht="13">
      <c r="B258" s="294"/>
      <c r="F258" s="296"/>
      <c r="J258" s="302"/>
      <c r="P258" s="618"/>
      <c r="Q258" s="618"/>
      <c r="R258" s="618"/>
      <c r="T258" s="295"/>
      <c r="X258" s="618"/>
      <c r="AA258" s="295"/>
      <c r="AH258" s="295"/>
      <c r="AO258" s="295"/>
      <c r="CT258" s="302" t="e">
        <f t="shared" si="856"/>
        <v>#N/A</v>
      </c>
      <c r="CU258" s="510">
        <v>90</v>
      </c>
      <c r="CV258" s="302" t="s">
        <v>1117</v>
      </c>
      <c r="CW258" s="352">
        <v>949477.69</v>
      </c>
      <c r="CX258" s="352">
        <v>0</v>
      </c>
      <c r="CY258" s="352">
        <v>0</v>
      </c>
      <c r="CZ258" s="352">
        <v>949477.69</v>
      </c>
      <c r="DA258" s="352">
        <v>0</v>
      </c>
      <c r="DB258" s="352">
        <v>0</v>
      </c>
      <c r="DC258" s="352">
        <v>0</v>
      </c>
      <c r="DD258" s="302">
        <v>0</v>
      </c>
      <c r="DE258" s="302">
        <v>0</v>
      </c>
      <c r="DF258" s="352">
        <v>0</v>
      </c>
      <c r="DG258" s="302">
        <v>0</v>
      </c>
      <c r="DK258" s="367"/>
    </row>
    <row r="259" spans="2:115" ht="13">
      <c r="B259" s="294"/>
      <c r="F259" s="296"/>
      <c r="J259" s="302"/>
      <c r="P259" s="618"/>
      <c r="Q259" s="618"/>
      <c r="R259" s="618"/>
      <c r="T259" s="295"/>
      <c r="X259" s="618"/>
      <c r="AA259" s="295"/>
      <c r="AH259" s="295"/>
      <c r="AO259" s="295"/>
      <c r="CT259" s="302">
        <f t="shared" si="856"/>
        <v>112012304</v>
      </c>
      <c r="CU259" s="510">
        <v>91</v>
      </c>
      <c r="CV259" s="302" t="s">
        <v>1075</v>
      </c>
      <c r="CW259" s="352">
        <v>941561.51</v>
      </c>
      <c r="CX259" s="352">
        <v>68477.570000000007</v>
      </c>
      <c r="CY259" s="352">
        <v>80183.8</v>
      </c>
      <c r="CZ259" s="352">
        <v>20035.52</v>
      </c>
      <c r="DA259" s="352">
        <v>0</v>
      </c>
      <c r="DB259" s="352">
        <v>188258.75</v>
      </c>
      <c r="DC259" s="352">
        <v>0</v>
      </c>
      <c r="DD259" s="352">
        <v>11532.23</v>
      </c>
      <c r="DE259" s="352">
        <v>110808.42</v>
      </c>
      <c r="DF259" s="352">
        <v>290837.84999999998</v>
      </c>
      <c r="DG259" s="352">
        <v>171427.36</v>
      </c>
      <c r="DK259" s="367"/>
    </row>
    <row r="260" spans="2:115" ht="13">
      <c r="B260" s="294"/>
      <c r="F260" s="296"/>
      <c r="J260" s="302"/>
      <c r="P260" s="618"/>
      <c r="Q260" s="618"/>
      <c r="R260" s="618"/>
      <c r="T260" s="295"/>
      <c r="X260" s="618"/>
      <c r="AA260" s="295"/>
      <c r="AH260" s="295"/>
      <c r="AO260" s="295"/>
      <c r="CT260" s="302">
        <f t="shared" si="856"/>
        <v>112013137</v>
      </c>
      <c r="CU260" s="510">
        <v>92</v>
      </c>
      <c r="CV260" s="302" t="s">
        <v>1000</v>
      </c>
      <c r="CW260" s="352">
        <v>838043.89</v>
      </c>
      <c r="CX260" s="352">
        <v>0</v>
      </c>
      <c r="CY260" s="352">
        <v>0</v>
      </c>
      <c r="CZ260" s="352">
        <v>0</v>
      </c>
      <c r="DA260" s="352">
        <v>0</v>
      </c>
      <c r="DB260" s="352">
        <v>0</v>
      </c>
      <c r="DC260" s="352">
        <v>636239.28</v>
      </c>
      <c r="DD260" s="352">
        <v>0</v>
      </c>
      <c r="DE260" s="352">
        <v>178962.43</v>
      </c>
      <c r="DF260" s="352">
        <v>22842.19</v>
      </c>
      <c r="DG260" s="302">
        <v>0</v>
      </c>
      <c r="DK260" s="367"/>
    </row>
    <row r="261" spans="2:115" ht="13">
      <c r="B261" s="294"/>
      <c r="F261" s="296"/>
      <c r="J261" s="302"/>
      <c r="P261" s="618"/>
      <c r="Q261" s="618"/>
      <c r="R261" s="618"/>
      <c r="T261" s="295"/>
      <c r="X261" s="618"/>
      <c r="AA261" s="295"/>
      <c r="AH261" s="295"/>
      <c r="AO261" s="295"/>
      <c r="CT261" s="302">
        <f t="shared" si="856"/>
        <v>112011430</v>
      </c>
      <c r="CU261" s="510">
        <v>93</v>
      </c>
      <c r="CV261" s="302" t="s">
        <v>1092</v>
      </c>
      <c r="CW261" s="352">
        <v>837136.12</v>
      </c>
      <c r="CX261" s="352">
        <v>0</v>
      </c>
      <c r="CY261" s="352">
        <v>0</v>
      </c>
      <c r="CZ261" s="352">
        <v>0</v>
      </c>
      <c r="DA261" s="352">
        <v>0</v>
      </c>
      <c r="DB261" s="352">
        <v>0</v>
      </c>
      <c r="DC261" s="352">
        <v>0</v>
      </c>
      <c r="DD261" s="352">
        <v>0</v>
      </c>
      <c r="DE261" s="352">
        <v>0</v>
      </c>
      <c r="DF261" s="352">
        <v>837136.12</v>
      </c>
      <c r="DG261" s="352">
        <v>0</v>
      </c>
      <c r="DK261" s="367"/>
    </row>
    <row r="262" spans="2:115" ht="13">
      <c r="B262" s="294"/>
      <c r="F262" s="296"/>
      <c r="J262" s="302"/>
      <c r="P262" s="618"/>
      <c r="Q262" s="618"/>
      <c r="R262" s="618"/>
      <c r="T262" s="295"/>
      <c r="X262" s="618"/>
      <c r="AA262" s="295"/>
      <c r="AH262" s="295"/>
      <c r="AO262" s="295"/>
      <c r="CT262" s="302">
        <f t="shared" si="856"/>
        <v>112014251</v>
      </c>
      <c r="CU262" s="510">
        <v>94</v>
      </c>
      <c r="CV262" s="302" t="s">
        <v>1098</v>
      </c>
      <c r="CW262" s="352">
        <v>829978.25</v>
      </c>
      <c r="CX262" s="352">
        <v>0</v>
      </c>
      <c r="CY262" s="352">
        <v>0</v>
      </c>
      <c r="CZ262" s="352">
        <v>0</v>
      </c>
      <c r="DA262" s="352">
        <v>0</v>
      </c>
      <c r="DB262" s="352">
        <v>273206.86</v>
      </c>
      <c r="DC262" s="352">
        <v>556771.39</v>
      </c>
      <c r="DD262" s="352">
        <v>0</v>
      </c>
      <c r="DE262" s="352">
        <v>0</v>
      </c>
      <c r="DF262" s="352">
        <v>0</v>
      </c>
      <c r="DG262" s="352">
        <v>0</v>
      </c>
      <c r="DK262" s="367"/>
    </row>
    <row r="263" spans="2:115" ht="13">
      <c r="B263" s="294"/>
      <c r="F263" s="296"/>
      <c r="J263" s="302"/>
      <c r="P263" s="618"/>
      <c r="Q263" s="618"/>
      <c r="R263" s="618"/>
      <c r="T263" s="295"/>
      <c r="X263" s="618"/>
      <c r="AA263" s="295"/>
      <c r="AH263" s="295"/>
      <c r="AO263" s="295"/>
      <c r="CT263" s="302">
        <f t="shared" si="856"/>
        <v>112014021</v>
      </c>
      <c r="CU263" s="510">
        <v>95</v>
      </c>
      <c r="CV263" s="302" t="s">
        <v>1086</v>
      </c>
      <c r="CW263" s="352">
        <v>718092.06</v>
      </c>
      <c r="CX263" s="352">
        <v>571758.56999999995</v>
      </c>
      <c r="CY263" s="352">
        <v>0</v>
      </c>
      <c r="CZ263" s="352">
        <v>0</v>
      </c>
      <c r="DA263" s="352">
        <v>0</v>
      </c>
      <c r="DB263" s="352">
        <v>0</v>
      </c>
      <c r="DC263" s="352">
        <v>0</v>
      </c>
      <c r="DD263" s="352">
        <v>146333.49</v>
      </c>
      <c r="DE263" s="302">
        <v>0</v>
      </c>
      <c r="DF263" s="302">
        <v>0</v>
      </c>
      <c r="DG263" s="302">
        <v>0</v>
      </c>
      <c r="DK263" s="367"/>
    </row>
    <row r="264" spans="2:115" ht="13">
      <c r="B264" s="294"/>
      <c r="F264" s="296"/>
      <c r="J264" s="302"/>
      <c r="P264" s="618"/>
      <c r="Q264" s="618"/>
      <c r="R264" s="618"/>
      <c r="T264" s="295"/>
      <c r="X264" s="618"/>
      <c r="AA264" s="295"/>
      <c r="AH264" s="295"/>
      <c r="AO264" s="295"/>
      <c r="CT264" s="302">
        <f t="shared" si="856"/>
        <v>112012069</v>
      </c>
      <c r="CU264" s="510">
        <v>96</v>
      </c>
      <c r="CV264" s="302" t="s">
        <v>1097</v>
      </c>
      <c r="CW264" s="352">
        <v>607540.36</v>
      </c>
      <c r="CX264" s="352">
        <v>107645</v>
      </c>
      <c r="CY264" s="352">
        <v>61650.86</v>
      </c>
      <c r="CZ264" s="352">
        <v>140843.84</v>
      </c>
      <c r="DA264" s="352">
        <v>116622.5</v>
      </c>
      <c r="DB264" s="352">
        <v>0</v>
      </c>
      <c r="DC264" s="352">
        <v>89072.16</v>
      </c>
      <c r="DD264" s="352">
        <v>0</v>
      </c>
      <c r="DE264" s="352">
        <v>0</v>
      </c>
      <c r="DF264" s="352">
        <v>0</v>
      </c>
      <c r="DG264" s="352">
        <v>91706</v>
      </c>
      <c r="DK264" s="367"/>
    </row>
    <row r="265" spans="2:115" ht="13">
      <c r="B265" s="294"/>
      <c r="F265" s="296"/>
      <c r="J265" s="302"/>
      <c r="P265" s="618"/>
      <c r="Q265" s="618"/>
      <c r="R265" s="618"/>
      <c r="T265" s="295"/>
      <c r="X265" s="618"/>
      <c r="AA265" s="295"/>
      <c r="AH265" s="295"/>
      <c r="AO265" s="295"/>
      <c r="CT265" s="302">
        <f t="shared" ref="CT265:CT300" si="857">VLOOKUP(CV265,ARRIOLACARTERA,3,FALSE)</f>
        <v>112012827</v>
      </c>
      <c r="CU265" s="510">
        <v>97</v>
      </c>
      <c r="CV265" s="302" t="s">
        <v>1080</v>
      </c>
      <c r="CW265" s="352">
        <v>586322.59</v>
      </c>
      <c r="CX265" s="352">
        <v>71294.600000000006</v>
      </c>
      <c r="CY265" s="352">
        <v>85237.6</v>
      </c>
      <c r="CZ265" s="352">
        <v>129444.89</v>
      </c>
      <c r="DA265" s="352">
        <v>0</v>
      </c>
      <c r="DB265" s="352">
        <v>59907.16</v>
      </c>
      <c r="DC265" s="352">
        <v>24980.560000000001</v>
      </c>
      <c r="DD265" s="352">
        <v>115468.85</v>
      </c>
      <c r="DE265" s="302">
        <v>0</v>
      </c>
      <c r="DF265" s="352">
        <v>99988.94</v>
      </c>
      <c r="DG265" s="302">
        <v>0</v>
      </c>
      <c r="DK265" s="367"/>
    </row>
    <row r="266" spans="2:115" ht="13">
      <c r="B266" s="294"/>
      <c r="F266" s="296"/>
      <c r="J266" s="302"/>
      <c r="P266" s="618"/>
      <c r="Q266" s="618"/>
      <c r="R266" s="618"/>
      <c r="T266" s="295"/>
      <c r="X266" s="618"/>
      <c r="AA266" s="295"/>
      <c r="AH266" s="295"/>
      <c r="AO266" s="295"/>
      <c r="CT266" s="302">
        <f t="shared" si="857"/>
        <v>112010149</v>
      </c>
      <c r="CU266" s="510">
        <v>98</v>
      </c>
      <c r="CV266" s="302" t="s">
        <v>1044</v>
      </c>
      <c r="CW266" s="352">
        <v>564479.1</v>
      </c>
      <c r="CX266" s="352">
        <v>0</v>
      </c>
      <c r="CY266" s="352">
        <v>0</v>
      </c>
      <c r="CZ266" s="352">
        <v>389261.8</v>
      </c>
      <c r="DA266" s="352">
        <v>0</v>
      </c>
      <c r="DB266" s="352">
        <v>175217.3</v>
      </c>
      <c r="DC266" s="352">
        <v>0</v>
      </c>
      <c r="DD266" s="302">
        <v>0</v>
      </c>
      <c r="DE266" s="352">
        <v>0</v>
      </c>
      <c r="DF266" s="302">
        <v>0</v>
      </c>
      <c r="DG266" s="302">
        <v>0</v>
      </c>
      <c r="DK266" s="367"/>
    </row>
    <row r="267" spans="2:115" ht="13">
      <c r="B267" s="294"/>
      <c r="F267" s="296"/>
      <c r="J267" s="302"/>
      <c r="P267" s="618"/>
      <c r="Q267" s="618"/>
      <c r="R267" s="618"/>
      <c r="T267" s="295"/>
      <c r="X267" s="618"/>
      <c r="AA267" s="295"/>
      <c r="AH267" s="295"/>
      <c r="AO267" s="295"/>
      <c r="CT267" s="302" t="e">
        <f t="shared" si="857"/>
        <v>#N/A</v>
      </c>
      <c r="CU267" s="510">
        <v>99</v>
      </c>
      <c r="CV267" s="302" t="s">
        <v>1115</v>
      </c>
      <c r="CW267" s="352">
        <v>562476.31999999995</v>
      </c>
      <c r="CX267" s="352">
        <v>107141.68</v>
      </c>
      <c r="CY267" s="352">
        <v>90330.64</v>
      </c>
      <c r="CZ267" s="352">
        <v>95585.600000000006</v>
      </c>
      <c r="DA267" s="352">
        <v>45082.96</v>
      </c>
      <c r="DB267" s="352">
        <v>148868.88</v>
      </c>
      <c r="DC267" s="352">
        <v>75466.559999999998</v>
      </c>
      <c r="DD267" s="352">
        <v>0</v>
      </c>
      <c r="DE267" s="352">
        <v>0</v>
      </c>
      <c r="DF267" s="352">
        <v>0</v>
      </c>
      <c r="DG267" s="302">
        <v>0</v>
      </c>
      <c r="DK267" s="367"/>
    </row>
    <row r="268" spans="2:115" ht="13">
      <c r="B268" s="294"/>
      <c r="F268" s="296"/>
      <c r="J268" s="302"/>
      <c r="P268" s="618"/>
      <c r="Q268" s="618"/>
      <c r="R268" s="618"/>
      <c r="T268" s="295"/>
      <c r="X268" s="618"/>
      <c r="AA268" s="295"/>
      <c r="AH268" s="295"/>
      <c r="AO268" s="295"/>
      <c r="CT268" s="302">
        <f t="shared" si="857"/>
        <v>112014666</v>
      </c>
      <c r="CU268" s="510">
        <v>100</v>
      </c>
      <c r="CV268" s="302" t="s">
        <v>1101</v>
      </c>
      <c r="CW268" s="352">
        <v>560065.23</v>
      </c>
      <c r="CX268" s="352">
        <v>0</v>
      </c>
      <c r="CY268" s="352">
        <v>0</v>
      </c>
      <c r="CZ268" s="352">
        <v>134158.64000000001</v>
      </c>
      <c r="DA268" s="352">
        <v>57729.68</v>
      </c>
      <c r="DB268" s="352">
        <v>59752.160000000003</v>
      </c>
      <c r="DC268" s="352">
        <v>0</v>
      </c>
      <c r="DD268" s="352">
        <v>22887</v>
      </c>
      <c r="DE268" s="302">
        <v>0</v>
      </c>
      <c r="DF268" s="352">
        <v>115098.16</v>
      </c>
      <c r="DG268" s="352">
        <v>170439.59</v>
      </c>
      <c r="DK268" s="367"/>
    </row>
    <row r="269" spans="2:115" ht="13">
      <c r="B269" s="294"/>
      <c r="F269" s="296"/>
      <c r="J269" s="302"/>
      <c r="P269" s="618"/>
      <c r="Q269" s="618"/>
      <c r="R269" s="618"/>
      <c r="T269" s="295"/>
      <c r="X269" s="618"/>
      <c r="AA269" s="295"/>
      <c r="AH269" s="295"/>
      <c r="AO269" s="295"/>
      <c r="CT269" s="302">
        <f t="shared" si="857"/>
        <v>112014500</v>
      </c>
      <c r="CU269" s="510">
        <v>101</v>
      </c>
      <c r="CV269" s="302" t="s">
        <v>1089</v>
      </c>
      <c r="CW269" s="352">
        <v>558478.68000000005</v>
      </c>
      <c r="CX269" s="352">
        <v>94636.800000000003</v>
      </c>
      <c r="CY269" s="352">
        <v>27158.34</v>
      </c>
      <c r="CZ269" s="352">
        <v>120047.05</v>
      </c>
      <c r="DA269" s="352">
        <v>17099.599999999999</v>
      </c>
      <c r="DB269" s="302">
        <v>0</v>
      </c>
      <c r="DC269" s="302">
        <v>0</v>
      </c>
      <c r="DD269" s="352">
        <v>55198.879999999997</v>
      </c>
      <c r="DE269" s="352">
        <v>26414.37</v>
      </c>
      <c r="DF269" s="352">
        <v>217923.63</v>
      </c>
      <c r="DG269" s="302">
        <v>0</v>
      </c>
      <c r="DK269" s="367"/>
    </row>
    <row r="270" spans="2:115" ht="13">
      <c r="B270" s="294"/>
      <c r="F270" s="296"/>
      <c r="J270" s="302"/>
      <c r="P270" s="618"/>
      <c r="Q270" s="618"/>
      <c r="R270" s="618"/>
      <c r="T270" s="295"/>
      <c r="X270" s="618"/>
      <c r="AA270" s="295"/>
      <c r="AH270" s="295"/>
      <c r="AO270" s="295"/>
      <c r="CT270" s="302">
        <f t="shared" si="857"/>
        <v>112013787</v>
      </c>
      <c r="CU270" s="510">
        <v>102</v>
      </c>
      <c r="CV270" s="302" t="s">
        <v>1083</v>
      </c>
      <c r="CW270" s="352">
        <v>507069.72</v>
      </c>
      <c r="CX270" s="352">
        <v>0</v>
      </c>
      <c r="CY270" s="352">
        <v>130616.48</v>
      </c>
      <c r="CZ270" s="352">
        <v>0</v>
      </c>
      <c r="DA270" s="352">
        <v>156635.29999999999</v>
      </c>
      <c r="DB270" s="352">
        <v>0</v>
      </c>
      <c r="DC270" s="352">
        <v>0</v>
      </c>
      <c r="DD270" s="352">
        <v>101936.8</v>
      </c>
      <c r="DE270" s="352">
        <v>81932.639999999999</v>
      </c>
      <c r="DF270" s="352">
        <v>35948.5</v>
      </c>
      <c r="DG270" s="302">
        <v>0</v>
      </c>
      <c r="DK270" s="367"/>
    </row>
    <row r="271" spans="2:115" ht="13">
      <c r="B271" s="294"/>
      <c r="F271" s="296"/>
      <c r="J271" s="302"/>
      <c r="P271" s="618"/>
      <c r="Q271" s="618"/>
      <c r="R271" s="618"/>
      <c r="T271" s="295"/>
      <c r="X271" s="618"/>
      <c r="AA271" s="295"/>
      <c r="AH271" s="295"/>
      <c r="AO271" s="295"/>
      <c r="CT271" s="302" t="e">
        <f t="shared" si="857"/>
        <v>#N/A</v>
      </c>
      <c r="CU271" s="510">
        <v>103</v>
      </c>
      <c r="CV271" s="302" t="s">
        <v>979</v>
      </c>
      <c r="CW271" s="352">
        <v>451306.1</v>
      </c>
      <c r="CX271" s="352">
        <v>0</v>
      </c>
      <c r="CY271" s="352">
        <v>0</v>
      </c>
      <c r="CZ271" s="352">
        <v>451306.1</v>
      </c>
      <c r="DA271" s="352">
        <v>0</v>
      </c>
      <c r="DB271" s="352">
        <v>0</v>
      </c>
      <c r="DC271" s="302">
        <v>0</v>
      </c>
      <c r="DD271" s="352">
        <v>0</v>
      </c>
      <c r="DE271" s="352">
        <v>0</v>
      </c>
      <c r="DF271" s="302">
        <v>0</v>
      </c>
      <c r="DG271" s="302">
        <v>0</v>
      </c>
      <c r="DK271" s="367"/>
    </row>
    <row r="272" spans="2:115" ht="13">
      <c r="B272" s="294"/>
      <c r="F272" s="296"/>
      <c r="J272" s="302"/>
      <c r="P272" s="618"/>
      <c r="Q272" s="618"/>
      <c r="R272" s="618"/>
      <c r="T272" s="295"/>
      <c r="X272" s="618"/>
      <c r="AA272" s="295"/>
      <c r="AH272" s="295"/>
      <c r="AO272" s="295"/>
      <c r="CT272" s="302" t="e">
        <f t="shared" si="857"/>
        <v>#N/A</v>
      </c>
      <c r="CU272" s="510">
        <v>104</v>
      </c>
      <c r="CV272" s="302" t="s">
        <v>1032</v>
      </c>
      <c r="CW272" s="352">
        <v>447445.19</v>
      </c>
      <c r="CX272" s="352">
        <v>0</v>
      </c>
      <c r="CY272" s="352">
        <v>0</v>
      </c>
      <c r="CZ272" s="352">
        <v>0</v>
      </c>
      <c r="DA272" s="352">
        <v>0</v>
      </c>
      <c r="DB272" s="352">
        <v>0</v>
      </c>
      <c r="DC272" s="352">
        <v>0</v>
      </c>
      <c r="DD272" s="302">
        <v>0</v>
      </c>
      <c r="DE272" s="352">
        <v>447445.19</v>
      </c>
      <c r="DF272" s="302">
        <v>0</v>
      </c>
      <c r="DG272" s="302">
        <v>0</v>
      </c>
      <c r="DK272" s="367"/>
    </row>
    <row r="273" spans="2:115" ht="13">
      <c r="B273" s="294"/>
      <c r="F273" s="296"/>
      <c r="J273" s="302"/>
      <c r="P273" s="618"/>
      <c r="Q273" s="618"/>
      <c r="R273" s="618"/>
      <c r="T273" s="295"/>
      <c r="X273" s="618"/>
      <c r="AA273" s="295"/>
      <c r="AH273" s="295"/>
      <c r="AO273" s="295"/>
      <c r="CT273" s="302" t="e">
        <f t="shared" si="857"/>
        <v>#N/A</v>
      </c>
      <c r="CU273" s="510">
        <v>105</v>
      </c>
      <c r="CV273" s="789" t="s">
        <v>978</v>
      </c>
      <c r="CW273" s="352">
        <v>430993.8</v>
      </c>
      <c r="CX273" s="352">
        <v>132794.56</v>
      </c>
      <c r="CY273" s="352">
        <v>0</v>
      </c>
      <c r="CZ273" s="352">
        <v>225679.54</v>
      </c>
      <c r="DA273" s="352">
        <v>0</v>
      </c>
      <c r="DB273" s="352">
        <v>72519.7</v>
      </c>
      <c r="DC273" s="352">
        <v>0</v>
      </c>
      <c r="DD273" s="352">
        <v>0</v>
      </c>
      <c r="DE273" s="352">
        <v>0</v>
      </c>
      <c r="DF273" s="352">
        <v>0</v>
      </c>
      <c r="DG273" s="302">
        <v>0</v>
      </c>
      <c r="DK273" s="367"/>
    </row>
    <row r="274" spans="2:115" ht="13">
      <c r="B274" s="294"/>
      <c r="F274" s="296"/>
      <c r="J274" s="302"/>
      <c r="P274" s="618"/>
      <c r="Q274" s="618"/>
      <c r="R274" s="618"/>
      <c r="T274" s="295"/>
      <c r="X274" s="618"/>
      <c r="AA274" s="295"/>
      <c r="AH274" s="295"/>
      <c r="AO274" s="295"/>
      <c r="CT274" s="302">
        <f t="shared" si="857"/>
        <v>112011971</v>
      </c>
      <c r="CU274" s="510">
        <v>106</v>
      </c>
      <c r="CV274" s="302" t="s">
        <v>1073</v>
      </c>
      <c r="CW274" s="352">
        <v>411154.47</v>
      </c>
      <c r="CX274" s="352">
        <v>121554.94</v>
      </c>
      <c r="CY274" s="352">
        <v>37244.32</v>
      </c>
      <c r="CZ274" s="352">
        <v>63721.04</v>
      </c>
      <c r="DA274" s="352">
        <v>55025.43</v>
      </c>
      <c r="DB274" s="352">
        <v>48851</v>
      </c>
      <c r="DC274" s="352">
        <v>34523.599999999999</v>
      </c>
      <c r="DD274" s="352">
        <v>0</v>
      </c>
      <c r="DE274" s="302">
        <v>0</v>
      </c>
      <c r="DF274" s="352">
        <v>50234.15</v>
      </c>
      <c r="DG274" s="302">
        <v>0</v>
      </c>
      <c r="DK274" s="367"/>
    </row>
    <row r="275" spans="2:115" ht="13">
      <c r="B275" s="294"/>
      <c r="F275" s="296"/>
      <c r="J275" s="302"/>
      <c r="P275" s="618"/>
      <c r="Q275" s="618"/>
      <c r="R275" s="618"/>
      <c r="T275" s="295"/>
      <c r="X275" s="618"/>
      <c r="AA275" s="295"/>
      <c r="AH275" s="295"/>
      <c r="AO275" s="295"/>
      <c r="CT275" s="302">
        <f t="shared" si="857"/>
        <v>112012428</v>
      </c>
      <c r="CU275" s="510">
        <v>107</v>
      </c>
      <c r="CV275" s="302" t="s">
        <v>1094</v>
      </c>
      <c r="CW275" s="352">
        <v>366286.26</v>
      </c>
      <c r="CX275" s="352">
        <v>78590.960000000006</v>
      </c>
      <c r="CY275" s="352">
        <v>25443.83</v>
      </c>
      <c r="CZ275" s="352">
        <v>0</v>
      </c>
      <c r="DA275" s="352">
        <v>88340.3</v>
      </c>
      <c r="DB275" s="352">
        <v>28586.14</v>
      </c>
      <c r="DC275" s="352">
        <v>28586.14</v>
      </c>
      <c r="DD275" s="352">
        <v>42393.75</v>
      </c>
      <c r="DE275" s="352">
        <v>28586.14</v>
      </c>
      <c r="DF275" s="302">
        <v>0</v>
      </c>
      <c r="DG275" s="352">
        <v>45759</v>
      </c>
      <c r="DK275" s="367"/>
    </row>
    <row r="276" spans="2:115" ht="13">
      <c r="B276" s="294"/>
      <c r="F276" s="296"/>
      <c r="J276" s="302"/>
      <c r="P276" s="618"/>
      <c r="Q276" s="618"/>
      <c r="R276" s="618"/>
      <c r="T276" s="295"/>
      <c r="X276" s="618"/>
      <c r="AA276" s="295"/>
      <c r="AH276" s="295"/>
      <c r="AO276" s="295"/>
      <c r="CT276" s="302" t="e">
        <f t="shared" si="857"/>
        <v>#N/A</v>
      </c>
      <c r="CU276" s="510">
        <v>108</v>
      </c>
      <c r="CV276" s="302" t="s">
        <v>1116</v>
      </c>
      <c r="CW276" s="352">
        <v>327030.02</v>
      </c>
      <c r="CX276" s="352">
        <v>0</v>
      </c>
      <c r="CY276" s="352">
        <v>0</v>
      </c>
      <c r="CZ276" s="352">
        <v>185487.89</v>
      </c>
      <c r="DA276" s="352">
        <v>105541.96</v>
      </c>
      <c r="DB276" s="352">
        <v>36000.18</v>
      </c>
      <c r="DC276" s="352">
        <v>0</v>
      </c>
      <c r="DD276" s="352">
        <v>0</v>
      </c>
      <c r="DE276" s="352">
        <v>0</v>
      </c>
      <c r="DF276" s="302">
        <v>0</v>
      </c>
      <c r="DG276" s="302">
        <v>0</v>
      </c>
      <c r="DK276" s="367"/>
    </row>
    <row r="277" spans="2:115" ht="13">
      <c r="B277" s="294"/>
      <c r="F277" s="296"/>
      <c r="J277" s="302"/>
      <c r="P277" s="618"/>
      <c r="Q277" s="618"/>
      <c r="R277" s="618"/>
      <c r="T277" s="295"/>
      <c r="X277" s="618"/>
      <c r="AA277" s="295"/>
      <c r="AH277" s="295"/>
      <c r="AO277" s="295"/>
      <c r="CT277" s="302" t="e">
        <f t="shared" si="857"/>
        <v>#N/A</v>
      </c>
      <c r="CU277" s="510">
        <v>109</v>
      </c>
      <c r="CV277" s="302" t="s">
        <v>1119</v>
      </c>
      <c r="CW277" s="352">
        <v>318131.51</v>
      </c>
      <c r="CX277" s="352">
        <v>121678.43</v>
      </c>
      <c r="CY277" s="352">
        <v>23986.29</v>
      </c>
      <c r="CZ277" s="352">
        <v>106424.79</v>
      </c>
      <c r="DA277" s="352">
        <v>66042</v>
      </c>
      <c r="DB277" s="302">
        <v>0</v>
      </c>
      <c r="DC277" s="352">
        <v>0</v>
      </c>
      <c r="DD277" s="302">
        <v>0</v>
      </c>
      <c r="DE277" s="302">
        <v>0</v>
      </c>
      <c r="DF277" s="302">
        <v>0</v>
      </c>
      <c r="DG277" s="302">
        <v>0</v>
      </c>
      <c r="DK277" s="367"/>
    </row>
    <row r="278" spans="2:115" ht="13">
      <c r="B278" s="294"/>
      <c r="F278" s="296"/>
      <c r="J278" s="302"/>
      <c r="P278" s="618"/>
      <c r="Q278" s="618"/>
      <c r="R278" s="618"/>
      <c r="T278" s="295"/>
      <c r="X278" s="618"/>
      <c r="AA278" s="295"/>
      <c r="AH278" s="295"/>
      <c r="AO278" s="295"/>
      <c r="CT278" s="302">
        <f t="shared" si="857"/>
        <v>112013469</v>
      </c>
      <c r="CU278" s="510">
        <v>110</v>
      </c>
      <c r="CV278" s="302" t="s">
        <v>1062</v>
      </c>
      <c r="CW278" s="352">
        <v>252799</v>
      </c>
      <c r="CX278" s="352">
        <v>0</v>
      </c>
      <c r="CY278" s="352">
        <v>0</v>
      </c>
      <c r="CZ278" s="352">
        <v>0</v>
      </c>
      <c r="DA278" s="302">
        <v>0</v>
      </c>
      <c r="DB278" s="302">
        <v>0</v>
      </c>
      <c r="DC278" s="302">
        <v>0</v>
      </c>
      <c r="DD278" s="302">
        <v>0</v>
      </c>
      <c r="DE278" s="302">
        <v>0</v>
      </c>
      <c r="DF278" s="352">
        <v>252799</v>
      </c>
      <c r="DG278" s="302">
        <v>0</v>
      </c>
      <c r="DK278" s="367"/>
    </row>
    <row r="279" spans="2:115" ht="13">
      <c r="B279" s="294"/>
      <c r="F279" s="296"/>
      <c r="J279" s="302"/>
      <c r="P279" s="618"/>
      <c r="Q279" s="618"/>
      <c r="R279" s="618"/>
      <c r="T279" s="295"/>
      <c r="X279" s="618"/>
      <c r="AA279" s="295"/>
      <c r="AH279" s="295"/>
      <c r="AO279" s="295"/>
      <c r="CT279" s="302">
        <f t="shared" si="857"/>
        <v>112013706</v>
      </c>
      <c r="CU279" s="510">
        <v>111</v>
      </c>
      <c r="CV279" s="302" t="s">
        <v>1055</v>
      </c>
      <c r="CW279" s="352">
        <v>208005.5</v>
      </c>
      <c r="CX279" s="352">
        <v>0</v>
      </c>
      <c r="CY279" s="352">
        <v>0</v>
      </c>
      <c r="CZ279" s="352">
        <v>0</v>
      </c>
      <c r="DA279" s="302">
        <v>0</v>
      </c>
      <c r="DB279" s="302">
        <v>0</v>
      </c>
      <c r="DC279" s="352">
        <v>0</v>
      </c>
      <c r="DD279" s="352">
        <v>208005.5</v>
      </c>
      <c r="DE279" s="302">
        <v>0</v>
      </c>
      <c r="DF279" s="302">
        <v>0</v>
      </c>
      <c r="DG279" s="302">
        <v>0</v>
      </c>
      <c r="DK279" s="367"/>
    </row>
    <row r="280" spans="2:115" ht="13">
      <c r="B280" s="294"/>
      <c r="F280" s="296"/>
      <c r="J280" s="302"/>
      <c r="P280" s="618"/>
      <c r="Q280" s="618"/>
      <c r="R280" s="618"/>
      <c r="T280" s="295"/>
      <c r="X280" s="618"/>
      <c r="AA280" s="295"/>
      <c r="AH280" s="295"/>
      <c r="AO280" s="295"/>
      <c r="CT280" s="302">
        <f t="shared" si="857"/>
        <v>112013451</v>
      </c>
      <c r="CU280" s="510">
        <v>112</v>
      </c>
      <c r="CV280" s="302" t="s">
        <v>1056</v>
      </c>
      <c r="CW280" s="352">
        <v>197824.7</v>
      </c>
      <c r="CX280" s="352">
        <v>0</v>
      </c>
      <c r="CY280" s="302">
        <v>0</v>
      </c>
      <c r="CZ280" s="352">
        <v>0</v>
      </c>
      <c r="DA280" s="352">
        <v>197824.7</v>
      </c>
      <c r="DB280" s="302">
        <v>0</v>
      </c>
      <c r="DC280" s="352">
        <v>0</v>
      </c>
      <c r="DD280" s="302">
        <v>0</v>
      </c>
      <c r="DE280" s="302">
        <v>0</v>
      </c>
      <c r="DF280" s="302">
        <v>0</v>
      </c>
      <c r="DG280" s="302">
        <v>0</v>
      </c>
      <c r="DK280" s="367"/>
    </row>
    <row r="281" spans="2:115" ht="13">
      <c r="B281" s="294"/>
      <c r="F281" s="296"/>
      <c r="J281" s="302"/>
      <c r="P281" s="618"/>
      <c r="Q281" s="618"/>
      <c r="R281" s="618"/>
      <c r="T281" s="295"/>
      <c r="X281" s="618"/>
      <c r="AA281" s="295"/>
      <c r="AH281" s="295"/>
      <c r="AO281" s="295"/>
      <c r="CT281" s="302" t="e">
        <f t="shared" si="857"/>
        <v>#N/A</v>
      </c>
      <c r="CU281" s="510">
        <v>113</v>
      </c>
      <c r="CV281" s="302" t="s">
        <v>1091</v>
      </c>
      <c r="CW281" s="352">
        <v>144008.04999999999</v>
      </c>
      <c r="CX281" s="352">
        <v>64119.61</v>
      </c>
      <c r="CY281" s="352">
        <v>79888.44</v>
      </c>
      <c r="CZ281" s="352">
        <v>0</v>
      </c>
      <c r="DA281" s="302">
        <v>0</v>
      </c>
      <c r="DB281" s="302">
        <v>0</v>
      </c>
      <c r="DC281" s="302">
        <v>0</v>
      </c>
      <c r="DD281" s="352">
        <v>0</v>
      </c>
      <c r="DE281" s="302">
        <v>0</v>
      </c>
      <c r="DF281" s="302">
        <v>0</v>
      </c>
      <c r="DG281" s="302">
        <v>0</v>
      </c>
      <c r="DK281" s="367"/>
    </row>
    <row r="282" spans="2:115" ht="13">
      <c r="B282" s="294"/>
      <c r="F282" s="296"/>
      <c r="J282" s="302"/>
      <c r="P282" s="618"/>
      <c r="Q282" s="618"/>
      <c r="R282" s="618"/>
      <c r="T282" s="295"/>
      <c r="X282" s="618"/>
      <c r="AA282" s="295"/>
      <c r="AH282" s="295"/>
      <c r="AO282" s="295"/>
      <c r="CT282" s="302">
        <f t="shared" si="857"/>
        <v>112014645</v>
      </c>
      <c r="CU282" s="510">
        <v>114</v>
      </c>
      <c r="CV282" s="302" t="s">
        <v>1025</v>
      </c>
      <c r="CW282" s="352">
        <v>109626.71</v>
      </c>
      <c r="CX282" s="352">
        <v>0</v>
      </c>
      <c r="CY282" s="352">
        <v>0</v>
      </c>
      <c r="CZ282" s="302">
        <v>0</v>
      </c>
      <c r="DA282" s="302">
        <v>0</v>
      </c>
      <c r="DB282" s="302">
        <v>0</v>
      </c>
      <c r="DC282" s="352">
        <v>109626.71</v>
      </c>
      <c r="DD282" s="302">
        <v>0</v>
      </c>
      <c r="DE282" s="302">
        <v>0</v>
      </c>
      <c r="DF282" s="302">
        <v>0</v>
      </c>
      <c r="DG282" s="302">
        <v>0</v>
      </c>
      <c r="DK282" s="367"/>
    </row>
    <row r="283" spans="2:115" ht="13">
      <c r="B283" s="294"/>
      <c r="F283" s="296"/>
      <c r="J283" s="302"/>
      <c r="P283" s="618"/>
      <c r="Q283" s="618"/>
      <c r="R283" s="618"/>
      <c r="T283" s="295"/>
      <c r="X283" s="618"/>
      <c r="AA283" s="295"/>
      <c r="AH283" s="295"/>
      <c r="AO283" s="295"/>
      <c r="CT283" s="302">
        <f t="shared" si="857"/>
        <v>112013843</v>
      </c>
      <c r="CU283" s="510">
        <v>115</v>
      </c>
      <c r="CV283" s="302" t="s">
        <v>1085</v>
      </c>
      <c r="CW283" s="352">
        <v>108864.45</v>
      </c>
      <c r="CX283" s="352">
        <v>29559.47</v>
      </c>
      <c r="CY283" s="352">
        <v>54806.48</v>
      </c>
      <c r="CZ283" s="352">
        <v>-3011.69</v>
      </c>
      <c r="DA283" s="302">
        <v>0</v>
      </c>
      <c r="DB283" s="302">
        <v>0</v>
      </c>
      <c r="DC283" s="302">
        <v>0</v>
      </c>
      <c r="DD283" s="352">
        <v>27510.19</v>
      </c>
      <c r="DE283" s="302">
        <v>0</v>
      </c>
      <c r="DF283" s="302">
        <v>0</v>
      </c>
      <c r="DG283" s="302">
        <v>0</v>
      </c>
      <c r="DK283" s="367"/>
    </row>
    <row r="284" spans="2:115" ht="13">
      <c r="B284" s="294"/>
      <c r="F284" s="296"/>
      <c r="J284" s="302"/>
      <c r="P284" s="618"/>
      <c r="Q284" s="618"/>
      <c r="R284" s="618"/>
      <c r="T284" s="295"/>
      <c r="X284" s="618"/>
      <c r="AA284" s="295"/>
      <c r="AH284" s="295"/>
      <c r="AO284" s="295"/>
      <c r="CT284" s="302">
        <f t="shared" si="857"/>
        <v>112014312</v>
      </c>
      <c r="CU284" s="510">
        <v>116</v>
      </c>
      <c r="CV284" s="302" t="s">
        <v>1087</v>
      </c>
      <c r="CW284" s="352">
        <v>100522</v>
      </c>
      <c r="CX284" s="352">
        <v>0</v>
      </c>
      <c r="CY284" s="302">
        <v>0</v>
      </c>
      <c r="CZ284" s="352">
        <v>0</v>
      </c>
      <c r="DA284" s="302">
        <v>0</v>
      </c>
      <c r="DB284" s="302">
        <v>0</v>
      </c>
      <c r="DC284" s="302">
        <v>0</v>
      </c>
      <c r="DD284" s="302">
        <v>0</v>
      </c>
      <c r="DE284" s="302">
        <v>0</v>
      </c>
      <c r="DF284" s="352">
        <v>100522</v>
      </c>
      <c r="DG284" s="302">
        <v>0</v>
      </c>
      <c r="DK284" s="367"/>
    </row>
    <row r="285" spans="2:115" ht="13">
      <c r="B285" s="294"/>
      <c r="F285" s="296"/>
      <c r="J285" s="302"/>
      <c r="P285" s="618"/>
      <c r="Q285" s="618"/>
      <c r="R285" s="618"/>
      <c r="T285" s="295"/>
      <c r="X285" s="618"/>
      <c r="AA285" s="295"/>
      <c r="AH285" s="295"/>
      <c r="AO285" s="295"/>
      <c r="CT285" s="302" t="e">
        <f t="shared" si="857"/>
        <v>#N/A</v>
      </c>
      <c r="CU285" s="510">
        <v>117</v>
      </c>
      <c r="CV285" s="302" t="s">
        <v>1118</v>
      </c>
      <c r="CW285" s="352">
        <v>89590.06</v>
      </c>
      <c r="CX285" s="352">
        <v>89590.06</v>
      </c>
      <c r="CY285" s="302">
        <v>0</v>
      </c>
      <c r="CZ285" s="302">
        <v>0</v>
      </c>
      <c r="DA285" s="302">
        <v>0</v>
      </c>
      <c r="DB285" s="302">
        <v>0</v>
      </c>
      <c r="DC285" s="302">
        <v>0</v>
      </c>
      <c r="DD285" s="302">
        <v>0</v>
      </c>
      <c r="DE285" s="352">
        <v>0</v>
      </c>
      <c r="DF285" s="302">
        <v>0</v>
      </c>
      <c r="DG285" s="302">
        <v>0</v>
      </c>
      <c r="DK285" s="367"/>
    </row>
    <row r="286" spans="2:115" ht="13">
      <c r="B286" s="294"/>
      <c r="F286" s="296"/>
      <c r="J286" s="302"/>
      <c r="P286" s="618"/>
      <c r="Q286" s="618"/>
      <c r="R286" s="618"/>
      <c r="T286" s="295"/>
      <c r="X286" s="618"/>
      <c r="AA286" s="295"/>
      <c r="AH286" s="295"/>
      <c r="AO286" s="295"/>
      <c r="CT286" s="302" t="e">
        <f t="shared" si="857"/>
        <v>#N/A</v>
      </c>
      <c r="CU286" s="510">
        <v>118</v>
      </c>
      <c r="CV286" s="302" t="s">
        <v>980</v>
      </c>
      <c r="CW286" s="352">
        <v>84527.58</v>
      </c>
      <c r="CX286" s="352">
        <v>46341</v>
      </c>
      <c r="CY286" s="352">
        <v>38186.58</v>
      </c>
      <c r="CZ286" s="302">
        <v>0</v>
      </c>
      <c r="DA286" s="302">
        <v>0</v>
      </c>
      <c r="DB286" s="302">
        <v>0</v>
      </c>
      <c r="DC286" s="302">
        <v>0</v>
      </c>
      <c r="DD286" s="302">
        <v>0</v>
      </c>
      <c r="DE286" s="302">
        <v>0</v>
      </c>
      <c r="DF286" s="302">
        <v>0</v>
      </c>
      <c r="DG286" s="302">
        <v>0</v>
      </c>
      <c r="DK286" s="367"/>
    </row>
    <row r="287" spans="2:115" ht="13">
      <c r="B287" s="294"/>
      <c r="F287" s="296"/>
      <c r="J287" s="302"/>
      <c r="P287" s="618"/>
      <c r="Q287" s="618"/>
      <c r="R287" s="618"/>
      <c r="T287" s="295"/>
      <c r="X287" s="618"/>
      <c r="AA287" s="295"/>
      <c r="AH287" s="295"/>
      <c r="AO287" s="295"/>
      <c r="CT287" s="302" t="e">
        <f t="shared" si="857"/>
        <v>#N/A</v>
      </c>
      <c r="CU287" s="510">
        <v>119</v>
      </c>
      <c r="CV287" s="302" t="s">
        <v>1121</v>
      </c>
      <c r="CW287" s="352">
        <v>61716.87</v>
      </c>
      <c r="CX287" s="352">
        <v>11074.91</v>
      </c>
      <c r="CY287" s="352">
        <v>0</v>
      </c>
      <c r="CZ287" s="352">
        <v>50641.96</v>
      </c>
      <c r="DA287" s="302">
        <v>0</v>
      </c>
      <c r="DB287" s="302">
        <v>0</v>
      </c>
      <c r="DC287" s="302">
        <v>0</v>
      </c>
      <c r="DD287" s="302">
        <v>0</v>
      </c>
      <c r="DE287" s="302">
        <v>0</v>
      </c>
      <c r="DF287" s="302">
        <v>0</v>
      </c>
      <c r="DG287" s="302">
        <v>0</v>
      </c>
      <c r="DK287" s="367"/>
    </row>
    <row r="288" spans="2:115" ht="13">
      <c r="B288" s="294"/>
      <c r="F288" s="296"/>
      <c r="J288" s="302"/>
      <c r="P288" s="618"/>
      <c r="Q288" s="618"/>
      <c r="R288" s="618"/>
      <c r="T288" s="295"/>
      <c r="X288" s="618"/>
      <c r="AA288" s="295"/>
      <c r="AH288" s="295"/>
      <c r="AO288" s="295"/>
      <c r="CT288" s="302">
        <f t="shared" si="857"/>
        <v>112011474</v>
      </c>
      <c r="CU288" s="510">
        <v>120</v>
      </c>
      <c r="CV288" s="302" t="s">
        <v>1070</v>
      </c>
      <c r="CW288" s="352">
        <v>46341</v>
      </c>
      <c r="CX288" s="352">
        <v>46341</v>
      </c>
      <c r="CY288" s="352">
        <v>0</v>
      </c>
      <c r="CZ288" s="302">
        <v>0</v>
      </c>
      <c r="DA288" s="302">
        <v>0</v>
      </c>
      <c r="DB288" s="302">
        <v>0</v>
      </c>
      <c r="DC288" s="302">
        <v>0</v>
      </c>
      <c r="DD288" s="302">
        <v>0</v>
      </c>
      <c r="DE288" s="302">
        <v>0</v>
      </c>
      <c r="DF288" s="302">
        <v>0</v>
      </c>
      <c r="DG288" s="302">
        <v>0</v>
      </c>
      <c r="DK288" s="367"/>
    </row>
    <row r="289" spans="2:115" ht="13">
      <c r="B289" s="294"/>
      <c r="F289" s="296"/>
      <c r="J289" s="302"/>
      <c r="P289" s="618"/>
      <c r="Q289" s="618"/>
      <c r="R289" s="618"/>
      <c r="T289" s="295"/>
      <c r="X289" s="618"/>
      <c r="AA289" s="295"/>
      <c r="AH289" s="295"/>
      <c r="AO289" s="295"/>
      <c r="CT289" s="302">
        <f t="shared" si="857"/>
        <v>112013162</v>
      </c>
      <c r="CU289" s="510">
        <v>121</v>
      </c>
      <c r="CV289" s="302" t="s">
        <v>1081</v>
      </c>
      <c r="CW289" s="352">
        <v>44799</v>
      </c>
      <c r="CX289" s="352">
        <v>-29021.4</v>
      </c>
      <c r="CY289" s="352">
        <v>73820.399999999994</v>
      </c>
      <c r="CZ289" s="352">
        <v>0</v>
      </c>
      <c r="DA289" s="302">
        <v>0</v>
      </c>
      <c r="DB289" s="302">
        <v>0</v>
      </c>
      <c r="DC289" s="302">
        <v>0</v>
      </c>
      <c r="DD289" s="302">
        <v>0</v>
      </c>
      <c r="DE289" s="302">
        <v>0</v>
      </c>
      <c r="DF289" s="302">
        <v>0</v>
      </c>
      <c r="DG289" s="302">
        <v>0</v>
      </c>
      <c r="DK289" s="367"/>
    </row>
    <row r="290" spans="2:115" ht="13">
      <c r="B290" s="294"/>
      <c r="F290" s="296"/>
      <c r="J290" s="302"/>
      <c r="P290" s="618"/>
      <c r="Q290" s="618"/>
      <c r="R290" s="618"/>
      <c r="T290" s="295"/>
      <c r="X290" s="618"/>
      <c r="AA290" s="295"/>
      <c r="AH290" s="295"/>
      <c r="AO290" s="295"/>
      <c r="CT290" s="302">
        <f t="shared" si="857"/>
        <v>112012041</v>
      </c>
      <c r="CU290" s="510">
        <v>122</v>
      </c>
      <c r="CV290" s="302" t="s">
        <v>1096</v>
      </c>
      <c r="CW290" s="352">
        <v>43495.51</v>
      </c>
      <c r="CX290" s="302">
        <v>0</v>
      </c>
      <c r="CY290" s="352">
        <v>43495.51</v>
      </c>
      <c r="CZ290" s="302">
        <v>0</v>
      </c>
      <c r="DA290" s="302">
        <v>0</v>
      </c>
      <c r="DB290" s="302">
        <v>0</v>
      </c>
      <c r="DC290" s="352">
        <v>75072.42</v>
      </c>
      <c r="DD290" s="352">
        <v>0</v>
      </c>
      <c r="DE290" s="352">
        <v>-75072.42</v>
      </c>
      <c r="DF290" s="302">
        <v>0</v>
      </c>
      <c r="DG290" s="302">
        <v>0</v>
      </c>
      <c r="DK290" s="367"/>
    </row>
    <row r="291" spans="2:115" ht="13">
      <c r="B291" s="294"/>
      <c r="F291" s="296"/>
      <c r="J291" s="302"/>
      <c r="P291" s="618"/>
      <c r="Q291" s="618"/>
      <c r="R291" s="618"/>
      <c r="T291" s="295"/>
      <c r="X291" s="618"/>
      <c r="AA291" s="295"/>
      <c r="AH291" s="295"/>
      <c r="AO291" s="295"/>
      <c r="CT291" s="302">
        <f t="shared" si="857"/>
        <v>112013542</v>
      </c>
      <c r="CU291" s="510">
        <v>123</v>
      </c>
      <c r="CV291" s="302" t="s">
        <v>1063</v>
      </c>
      <c r="CW291" s="352">
        <v>34173.5</v>
      </c>
      <c r="CX291" s="302">
        <v>0</v>
      </c>
      <c r="CY291" s="302">
        <v>0</v>
      </c>
      <c r="CZ291" s="302">
        <v>0</v>
      </c>
      <c r="DA291" s="302">
        <v>0</v>
      </c>
      <c r="DB291" s="302">
        <v>0</v>
      </c>
      <c r="DC291" s="302">
        <v>0</v>
      </c>
      <c r="DD291" s="352">
        <v>17086.75</v>
      </c>
      <c r="DE291" s="352">
        <v>17086.75</v>
      </c>
      <c r="DF291" s="302">
        <v>0</v>
      </c>
      <c r="DG291" s="302">
        <v>0</v>
      </c>
      <c r="DK291" s="367"/>
    </row>
    <row r="292" spans="2:115" ht="13">
      <c r="B292" s="294"/>
      <c r="F292" s="296"/>
      <c r="J292" s="302"/>
      <c r="P292" s="618"/>
      <c r="Q292" s="618"/>
      <c r="R292" s="618"/>
      <c r="T292" s="295"/>
      <c r="X292" s="618"/>
      <c r="AA292" s="295"/>
      <c r="AH292" s="295"/>
      <c r="AO292" s="295"/>
      <c r="CT292" s="302" t="e">
        <f t="shared" si="857"/>
        <v>#N/A</v>
      </c>
      <c r="CU292" s="510">
        <v>124</v>
      </c>
      <c r="CV292" s="302" t="s">
        <v>1122</v>
      </c>
      <c r="CW292" s="352">
        <v>27136.799999999999</v>
      </c>
      <c r="CX292" s="302">
        <v>0</v>
      </c>
      <c r="CY292" s="352">
        <v>27136.799999999999</v>
      </c>
      <c r="CZ292" s="302">
        <v>0</v>
      </c>
      <c r="DA292" s="302">
        <v>0</v>
      </c>
      <c r="DB292" s="302">
        <v>0</v>
      </c>
      <c r="DC292" s="302">
        <v>0</v>
      </c>
      <c r="DD292" s="302">
        <v>0</v>
      </c>
      <c r="DE292" s="302">
        <v>0</v>
      </c>
      <c r="DF292" s="302">
        <v>0</v>
      </c>
      <c r="DG292" s="302">
        <v>0</v>
      </c>
      <c r="DK292" s="367"/>
    </row>
    <row r="293" spans="2:115" ht="13">
      <c r="B293" s="294"/>
      <c r="F293" s="296"/>
      <c r="J293" s="302"/>
      <c r="P293" s="618"/>
      <c r="Q293" s="618"/>
      <c r="R293" s="618"/>
      <c r="T293" s="295"/>
      <c r="X293" s="618"/>
      <c r="AA293" s="295"/>
      <c r="AH293" s="295"/>
      <c r="AO293" s="295"/>
      <c r="CT293" s="302" t="e">
        <f t="shared" si="857"/>
        <v>#N/A</v>
      </c>
      <c r="CU293" s="510">
        <v>125</v>
      </c>
      <c r="CV293" s="302" t="s">
        <v>1120</v>
      </c>
      <c r="CW293" s="352">
        <v>26822.34</v>
      </c>
      <c r="CX293" s="302">
        <v>0</v>
      </c>
      <c r="CY293" s="302">
        <v>0</v>
      </c>
      <c r="CZ293" s="352">
        <v>26822.34</v>
      </c>
      <c r="DA293" s="302">
        <v>0</v>
      </c>
      <c r="DB293" s="302">
        <v>0</v>
      </c>
      <c r="DC293" s="302">
        <v>0</v>
      </c>
      <c r="DD293" s="302">
        <v>0</v>
      </c>
      <c r="DE293" s="302">
        <v>0</v>
      </c>
      <c r="DF293" s="302">
        <v>0</v>
      </c>
      <c r="DG293" s="302">
        <v>0</v>
      </c>
      <c r="DK293" s="367"/>
    </row>
    <row r="294" spans="2:115" ht="13">
      <c r="B294" s="294"/>
      <c r="F294" s="296"/>
      <c r="J294" s="302"/>
      <c r="P294" s="618"/>
      <c r="Q294" s="618"/>
      <c r="R294" s="618"/>
      <c r="T294" s="295"/>
      <c r="X294" s="618"/>
      <c r="AA294" s="295"/>
      <c r="AH294" s="295"/>
      <c r="AO294" s="295"/>
      <c r="CT294" s="302" t="e">
        <f t="shared" si="857"/>
        <v>#N/A</v>
      </c>
      <c r="CU294" s="510">
        <v>126</v>
      </c>
      <c r="DK294" s="367"/>
    </row>
    <row r="295" spans="2:115" ht="13">
      <c r="B295" s="294"/>
      <c r="F295" s="296"/>
      <c r="J295" s="302"/>
      <c r="P295" s="618"/>
      <c r="Q295" s="618"/>
      <c r="R295" s="618"/>
      <c r="T295" s="295"/>
      <c r="X295" s="618"/>
      <c r="AA295" s="295"/>
      <c r="AH295" s="295"/>
      <c r="AO295" s="295"/>
      <c r="CT295" s="302" t="e">
        <f t="shared" si="857"/>
        <v>#N/A</v>
      </c>
      <c r="CU295" s="510">
        <v>127</v>
      </c>
      <c r="DK295" s="367"/>
    </row>
    <row r="296" spans="2:115" ht="13">
      <c r="B296" s="294"/>
      <c r="F296" s="296"/>
      <c r="J296" s="302"/>
      <c r="P296" s="618"/>
      <c r="Q296" s="618"/>
      <c r="R296" s="618"/>
      <c r="T296" s="295"/>
      <c r="X296" s="618"/>
      <c r="AA296" s="295"/>
      <c r="AH296" s="295"/>
      <c r="AO296" s="295"/>
      <c r="CT296" s="302" t="e">
        <f t="shared" si="857"/>
        <v>#N/A</v>
      </c>
      <c r="CU296" s="510">
        <v>128</v>
      </c>
      <c r="DK296" s="367"/>
    </row>
    <row r="297" spans="2:115" ht="13">
      <c r="B297" s="294"/>
      <c r="F297" s="296"/>
      <c r="J297" s="302"/>
      <c r="P297" s="618"/>
      <c r="Q297" s="618"/>
      <c r="R297" s="618"/>
      <c r="T297" s="295"/>
      <c r="X297" s="618"/>
      <c r="AA297" s="295"/>
      <c r="AH297" s="295"/>
      <c r="AO297" s="295"/>
      <c r="CT297" s="302" t="e">
        <f t="shared" si="857"/>
        <v>#N/A</v>
      </c>
      <c r="CU297" s="510">
        <v>129</v>
      </c>
      <c r="DK297" s="367"/>
    </row>
    <row r="298" spans="2:115" ht="13">
      <c r="B298" s="294"/>
      <c r="F298" s="296"/>
      <c r="J298" s="302"/>
      <c r="P298" s="618"/>
      <c r="Q298" s="618"/>
      <c r="R298" s="618"/>
      <c r="T298" s="295"/>
      <c r="X298" s="618"/>
      <c r="AA298" s="295"/>
      <c r="AH298" s="295"/>
      <c r="AO298" s="295"/>
      <c r="CT298" s="302" t="e">
        <f t="shared" si="857"/>
        <v>#N/A</v>
      </c>
      <c r="CU298" s="510">
        <v>130</v>
      </c>
      <c r="DK298" s="367"/>
    </row>
    <row r="299" spans="2:115" ht="13">
      <c r="B299" s="294"/>
      <c r="F299" s="296"/>
      <c r="J299" s="302"/>
      <c r="P299" s="618"/>
      <c r="Q299" s="618"/>
      <c r="R299" s="618"/>
      <c r="T299" s="295"/>
      <c r="X299" s="618"/>
      <c r="AA299" s="295"/>
      <c r="AH299" s="295"/>
      <c r="AO299" s="295"/>
      <c r="CT299" s="302" t="e">
        <f t="shared" si="857"/>
        <v>#N/A</v>
      </c>
      <c r="CU299" s="510">
        <v>131</v>
      </c>
      <c r="DK299" s="367"/>
    </row>
    <row r="300" spans="2:115" ht="13">
      <c r="B300" s="294"/>
      <c r="F300" s="296"/>
      <c r="J300" s="302"/>
      <c r="P300" s="618"/>
      <c r="Q300" s="618"/>
      <c r="R300" s="618"/>
      <c r="T300" s="295"/>
      <c r="X300" s="618"/>
      <c r="AA300" s="295"/>
      <c r="AH300" s="295"/>
      <c r="AO300" s="295"/>
      <c r="CT300" s="302" t="e">
        <f t="shared" si="857"/>
        <v>#N/A</v>
      </c>
      <c r="CU300" s="510">
        <v>132</v>
      </c>
      <c r="DK300" s="367"/>
    </row>
    <row r="301" spans="2:115" ht="13">
      <c r="B301" s="294"/>
      <c r="F301" s="296"/>
      <c r="J301" s="302"/>
      <c r="P301" s="618"/>
      <c r="Q301" s="618"/>
      <c r="R301" s="618"/>
      <c r="T301" s="295"/>
      <c r="X301" s="618"/>
      <c r="AA301" s="295"/>
      <c r="AH301" s="295"/>
      <c r="AO301" s="295"/>
      <c r="CU301" s="510">
        <v>133</v>
      </c>
      <c r="DK301" s="367"/>
    </row>
    <row r="302" spans="2:115" ht="13">
      <c r="B302" s="294"/>
      <c r="F302" s="296"/>
      <c r="J302" s="302"/>
      <c r="P302" s="618"/>
      <c r="Q302" s="618"/>
      <c r="R302" s="618"/>
      <c r="T302" s="295"/>
      <c r="X302" s="618"/>
      <c r="AA302" s="295"/>
      <c r="AH302" s="295"/>
      <c r="AO302" s="295"/>
      <c r="CU302" s="510">
        <v>134</v>
      </c>
      <c r="DK302" s="367"/>
    </row>
    <row r="303" spans="2:115" ht="13">
      <c r="B303" s="294"/>
      <c r="F303" s="296"/>
      <c r="J303" s="302"/>
      <c r="P303" s="618"/>
      <c r="Q303" s="618"/>
      <c r="R303" s="618"/>
      <c r="T303" s="295"/>
      <c r="X303" s="618"/>
      <c r="AA303" s="295"/>
      <c r="AH303" s="295"/>
      <c r="AO303" s="295"/>
      <c r="CU303" s="510">
        <v>135</v>
      </c>
      <c r="DK303" s="367"/>
    </row>
    <row r="304" spans="2:115" ht="13">
      <c r="B304" s="294"/>
      <c r="F304" s="296"/>
      <c r="J304" s="302"/>
      <c r="P304" s="618"/>
      <c r="Q304" s="618"/>
      <c r="R304" s="618"/>
      <c r="T304" s="295"/>
      <c r="X304" s="618"/>
      <c r="AA304" s="295"/>
      <c r="AH304" s="295"/>
      <c r="AO304" s="295"/>
      <c r="CU304" s="510">
        <v>136</v>
      </c>
      <c r="DK304" s="367"/>
    </row>
    <row r="305" spans="2:115" ht="13">
      <c r="B305" s="294"/>
      <c r="F305" s="296"/>
      <c r="J305" s="302"/>
      <c r="P305" s="618"/>
      <c r="Q305" s="618"/>
      <c r="R305" s="618"/>
      <c r="T305" s="295"/>
      <c r="X305" s="618"/>
      <c r="AA305" s="295"/>
      <c r="AH305" s="295"/>
      <c r="AO305" s="295"/>
      <c r="CU305" s="510">
        <v>137</v>
      </c>
      <c r="DK305" s="367"/>
    </row>
    <row r="306" spans="2:115" ht="13">
      <c r="B306" s="294"/>
      <c r="F306" s="296"/>
      <c r="J306" s="302"/>
      <c r="P306" s="618"/>
      <c r="Q306" s="618"/>
      <c r="R306" s="618"/>
      <c r="T306" s="295"/>
      <c r="X306" s="618"/>
      <c r="AA306" s="295"/>
      <c r="AH306" s="295"/>
      <c r="AO306" s="295"/>
      <c r="CU306" s="510">
        <v>138</v>
      </c>
      <c r="DK306" s="367"/>
    </row>
    <row r="307" spans="2:115" ht="13">
      <c r="B307" s="294"/>
      <c r="F307" s="296"/>
      <c r="J307" s="302"/>
      <c r="P307" s="618"/>
      <c r="Q307" s="618"/>
      <c r="R307" s="618"/>
      <c r="T307" s="295"/>
      <c r="X307" s="618"/>
      <c r="AA307" s="295"/>
      <c r="AH307" s="295"/>
      <c r="AO307" s="295"/>
      <c r="CU307" s="510">
        <v>139</v>
      </c>
      <c r="DK307" s="367"/>
    </row>
    <row r="308" spans="2:115" ht="13">
      <c r="B308" s="294"/>
      <c r="F308" s="296"/>
      <c r="J308" s="302"/>
      <c r="P308" s="618"/>
      <c r="Q308" s="618"/>
      <c r="R308" s="618"/>
      <c r="T308" s="295"/>
      <c r="X308" s="618"/>
      <c r="AA308" s="295"/>
      <c r="AH308" s="295"/>
      <c r="AO308" s="295"/>
      <c r="CU308" s="510">
        <v>140</v>
      </c>
      <c r="DK308" s="367"/>
    </row>
    <row r="309" spans="2:115" ht="13">
      <c r="B309" s="294"/>
      <c r="F309" s="296"/>
      <c r="J309" s="302"/>
      <c r="P309" s="618"/>
      <c r="Q309" s="618"/>
      <c r="R309" s="618"/>
      <c r="T309" s="295"/>
      <c r="X309" s="618"/>
      <c r="AA309" s="295"/>
      <c r="AH309" s="295"/>
      <c r="AO309" s="295"/>
      <c r="CU309" s="512">
        <v>141</v>
      </c>
      <c r="CV309" s="369"/>
      <c r="CW309" s="369"/>
      <c r="CX309" s="369"/>
      <c r="CY309" s="369"/>
      <c r="CZ309" s="369"/>
      <c r="DA309" s="369"/>
      <c r="DB309" s="369"/>
      <c r="DC309" s="369"/>
      <c r="DD309" s="369"/>
      <c r="DE309" s="369"/>
      <c r="DF309" s="369"/>
      <c r="DG309" s="369"/>
      <c r="DH309" s="369"/>
      <c r="DI309" s="369"/>
      <c r="DJ309" s="369"/>
      <c r="DK309" s="370"/>
    </row>
    <row r="310" spans="2:115" ht="13">
      <c r="B310" s="294"/>
      <c r="F310" s="296"/>
      <c r="J310" s="302"/>
      <c r="P310" s="618"/>
      <c r="Q310" s="618"/>
      <c r="R310" s="618"/>
      <c r="T310" s="295"/>
      <c r="X310" s="618"/>
      <c r="AA310" s="295"/>
      <c r="AH310" s="295"/>
      <c r="AO310" s="295"/>
    </row>
    <row r="311" spans="2:115" ht="13">
      <c r="B311" s="294"/>
      <c r="F311" s="296"/>
      <c r="J311" s="302"/>
      <c r="P311" s="618"/>
      <c r="Q311" s="618"/>
      <c r="R311" s="618"/>
      <c r="T311" s="295"/>
      <c r="X311" s="618"/>
      <c r="AA311" s="295"/>
      <c r="AH311" s="295"/>
      <c r="AO311" s="295"/>
      <c r="CX311" s="352">
        <f>CX315-Q98</f>
        <v>9.9999979138374329E-3</v>
      </c>
      <c r="CY311" s="352">
        <f>CY315-X98</f>
        <v>65045.299999998882</v>
      </c>
      <c r="CZ311" s="352">
        <f>CZ315-AE98</f>
        <v>-1.0000001639127731E-2</v>
      </c>
      <c r="DA311" s="352">
        <f>DA315-AR98</f>
        <v>0</v>
      </c>
      <c r="DB311" s="352">
        <f>DB315-AV98</f>
        <v>-2.9999997466802597E-2</v>
      </c>
      <c r="DC311" s="352">
        <f>DC315-AZ98</f>
        <v>1.000000536441803E-2</v>
      </c>
      <c r="DD311" s="352">
        <f>DD315-BJ98</f>
        <v>9.9999979138374329E-3</v>
      </c>
      <c r="DE311" s="352">
        <f>DE315-BN98</f>
        <v>-9.9999979138374329E-3</v>
      </c>
      <c r="DF311" s="352">
        <f>DF315-BR98</f>
        <v>-1.000000536441803E-2</v>
      </c>
      <c r="DG311" s="352">
        <f>DG315-BY98</f>
        <v>-9.9999979138374329E-3</v>
      </c>
    </row>
    <row r="312" spans="2:115" ht="13">
      <c r="B312" s="294"/>
      <c r="F312" s="296"/>
      <c r="J312" s="302"/>
      <c r="P312" s="618"/>
      <c r="Q312" s="618"/>
      <c r="R312" s="618"/>
      <c r="T312" s="295"/>
      <c r="X312" s="618"/>
      <c r="AA312" s="295"/>
      <c r="AH312" s="295"/>
      <c r="AO312" s="295"/>
      <c r="CU312" s="371"/>
      <c r="CV312" s="372">
        <v>1</v>
      </c>
      <c r="CW312" s="372">
        <v>2</v>
      </c>
      <c r="CX312" s="372">
        <v>3</v>
      </c>
      <c r="CY312" s="372">
        <v>4</v>
      </c>
      <c r="CZ312" s="372">
        <v>5</v>
      </c>
      <c r="DA312" s="372">
        <v>6</v>
      </c>
      <c r="DB312" s="372">
        <v>7</v>
      </c>
      <c r="DC312" s="372">
        <v>8</v>
      </c>
      <c r="DD312" s="372">
        <v>9</v>
      </c>
      <c r="DE312" s="372">
        <v>10</v>
      </c>
      <c r="DF312" s="372">
        <v>11</v>
      </c>
      <c r="DG312" s="372">
        <v>12</v>
      </c>
      <c r="DH312" s="372">
        <v>13</v>
      </c>
      <c r="DI312" s="372">
        <v>14</v>
      </c>
      <c r="DJ312" s="372">
        <v>15</v>
      </c>
      <c r="DK312" s="373">
        <v>16</v>
      </c>
    </row>
    <row r="313" spans="2:115" ht="13">
      <c r="B313" s="294"/>
      <c r="F313" s="296"/>
      <c r="J313" s="302"/>
      <c r="P313" s="618"/>
      <c r="Q313" s="618"/>
      <c r="R313" s="618"/>
      <c r="T313" s="295"/>
      <c r="X313" s="618"/>
      <c r="AA313" s="295"/>
      <c r="AH313" s="295"/>
      <c r="AO313" s="295"/>
      <c r="CU313" s="374"/>
      <c r="CX313" s="357">
        <v>45658</v>
      </c>
      <c r="CY313" s="357">
        <v>45689</v>
      </c>
      <c r="CZ313" s="357">
        <v>45717</v>
      </c>
      <c r="DA313" s="357">
        <v>45748</v>
      </c>
      <c r="DB313" s="357">
        <v>45778</v>
      </c>
      <c r="DC313" s="357">
        <v>45809</v>
      </c>
      <c r="DD313" s="357">
        <v>45839</v>
      </c>
      <c r="DE313" s="357">
        <v>45870</v>
      </c>
      <c r="DF313" s="357">
        <v>45901</v>
      </c>
      <c r="DG313" s="357">
        <v>45931</v>
      </c>
      <c r="DH313" s="357">
        <v>45962</v>
      </c>
      <c r="DI313" s="357">
        <v>45992</v>
      </c>
      <c r="DJ313" s="357"/>
      <c r="DK313" s="375"/>
    </row>
    <row r="314" spans="2:115" ht="13">
      <c r="B314" s="294"/>
      <c r="F314" s="296"/>
      <c r="J314" s="302"/>
      <c r="P314" s="618"/>
      <c r="Q314" s="618"/>
      <c r="R314" s="618"/>
      <c r="T314" s="295"/>
      <c r="X314" s="618"/>
      <c r="AA314" s="295"/>
      <c r="AH314" s="295"/>
      <c r="AO314" s="295"/>
      <c r="CU314" s="374"/>
      <c r="CV314" s="376"/>
      <c r="CW314" s="377" t="s">
        <v>241</v>
      </c>
      <c r="CX314" s="360">
        <v>45658</v>
      </c>
      <c r="CY314" s="360">
        <v>45689</v>
      </c>
      <c r="CZ314" s="360">
        <v>45717</v>
      </c>
      <c r="DA314" s="360">
        <v>45748</v>
      </c>
      <c r="DB314" s="360">
        <v>45778</v>
      </c>
      <c r="DC314" s="360">
        <v>45809</v>
      </c>
      <c r="DD314" s="360">
        <v>45839</v>
      </c>
      <c r="DE314" s="360">
        <v>45870</v>
      </c>
      <c r="DF314" s="360">
        <v>45901</v>
      </c>
      <c r="DG314" s="360">
        <v>45931</v>
      </c>
      <c r="DH314" s="360"/>
      <c r="DI314" s="360"/>
      <c r="DJ314" s="357"/>
      <c r="DK314" s="375"/>
    </row>
    <row r="315" spans="2:115" ht="13">
      <c r="B315" s="294"/>
      <c r="F315" s="296"/>
      <c r="J315" s="302"/>
      <c r="P315" s="618"/>
      <c r="Q315" s="618"/>
      <c r="R315" s="618"/>
      <c r="T315" s="295"/>
      <c r="X315" s="618"/>
      <c r="AA315" s="295"/>
      <c r="AH315" s="295"/>
      <c r="AO315" s="295"/>
      <c r="CU315" s="374"/>
      <c r="CV315" s="359" t="s">
        <v>241</v>
      </c>
      <c r="CW315" s="361">
        <v>201870754.28</v>
      </c>
      <c r="CX315" s="361">
        <v>20438602.66</v>
      </c>
      <c r="CY315" s="361">
        <v>15139146.449999999</v>
      </c>
      <c r="CZ315" s="361">
        <v>13930970.359999999</v>
      </c>
      <c r="DA315" s="361">
        <v>20557882.75</v>
      </c>
      <c r="DB315" s="361">
        <v>20779248.210000001</v>
      </c>
      <c r="DC315" s="361">
        <v>19016043.670000002</v>
      </c>
      <c r="DD315" s="361">
        <v>29929303.969999999</v>
      </c>
      <c r="DE315" s="361">
        <v>27353306.469999999</v>
      </c>
      <c r="DF315" s="361">
        <v>13811828.710000001</v>
      </c>
      <c r="DG315" s="361">
        <v>20914421.030000001</v>
      </c>
      <c r="DH315" s="361"/>
      <c r="DI315" s="361"/>
      <c r="DJ315" s="361"/>
      <c r="DK315" s="378"/>
    </row>
    <row r="316" spans="2:115" ht="13">
      <c r="B316" s="294"/>
      <c r="F316" s="296"/>
      <c r="J316" s="302"/>
      <c r="P316" s="618"/>
      <c r="Q316" s="618"/>
      <c r="R316" s="618"/>
      <c r="T316" s="295"/>
      <c r="X316" s="618"/>
      <c r="AA316" s="295"/>
      <c r="AH316" s="295"/>
      <c r="AO316" s="295"/>
      <c r="CU316" s="374">
        <v>1</v>
      </c>
      <c r="CV316" s="359" t="s">
        <v>842</v>
      </c>
      <c r="CW316" s="361">
        <v>46536692.299999997</v>
      </c>
      <c r="CX316" s="361">
        <v>4805734.8600000003</v>
      </c>
      <c r="CY316" s="361">
        <v>3555859.11</v>
      </c>
      <c r="CZ316" s="361">
        <v>3288328.78</v>
      </c>
      <c r="DA316" s="361">
        <v>5876612.6699999999</v>
      </c>
      <c r="DB316" s="361">
        <v>4643911.58</v>
      </c>
      <c r="DC316" s="361">
        <v>3962196.01</v>
      </c>
      <c r="DD316" s="361">
        <v>8477638.5800000001</v>
      </c>
      <c r="DE316" s="361">
        <v>5437882.9000000004</v>
      </c>
      <c r="DF316" s="361">
        <v>1637202.04</v>
      </c>
      <c r="DG316" s="361">
        <v>4851325.78</v>
      </c>
      <c r="DH316" s="361"/>
      <c r="DI316" s="361"/>
      <c r="DJ316" s="361"/>
      <c r="DK316" s="378"/>
    </row>
    <row r="317" spans="2:115" ht="13">
      <c r="B317" s="294"/>
      <c r="F317" s="296"/>
      <c r="J317" s="302"/>
      <c r="P317" s="618"/>
      <c r="Q317" s="618"/>
      <c r="R317" s="618"/>
      <c r="T317" s="295"/>
      <c r="X317" s="618"/>
      <c r="AA317" s="295"/>
      <c r="AH317" s="295"/>
      <c r="AO317" s="295"/>
      <c r="CU317" s="374">
        <v>2</v>
      </c>
      <c r="CV317" s="359" t="s">
        <v>1113</v>
      </c>
      <c r="CW317" s="361">
        <v>28140975.370000001</v>
      </c>
      <c r="CX317" s="361">
        <v>2184814.38</v>
      </c>
      <c r="CY317" s="361">
        <v>3622382.26</v>
      </c>
      <c r="CZ317" s="361">
        <v>1163481.47</v>
      </c>
      <c r="DA317" s="361">
        <v>3329938.03</v>
      </c>
      <c r="DB317" s="361">
        <v>3117745.72</v>
      </c>
      <c r="DC317" s="361">
        <v>2195074.04</v>
      </c>
      <c r="DD317" s="361">
        <v>3948396.36</v>
      </c>
      <c r="DE317" s="361">
        <v>7082955.9000000004</v>
      </c>
      <c r="DF317" s="361">
        <v>450340.43</v>
      </c>
      <c r="DG317" s="361">
        <v>1045846.78</v>
      </c>
      <c r="DH317" s="361"/>
      <c r="DI317" s="361"/>
      <c r="DJ317" s="361"/>
      <c r="DK317" s="378"/>
    </row>
    <row r="318" spans="2:115" ht="13">
      <c r="B318" s="294"/>
      <c r="F318" s="296"/>
      <c r="J318" s="302"/>
      <c r="P318" s="618"/>
      <c r="Q318" s="618"/>
      <c r="R318" s="618"/>
      <c r="T318" s="295"/>
      <c r="X318" s="618"/>
      <c r="AA318" s="295"/>
      <c r="AH318" s="295"/>
      <c r="AO318" s="295"/>
      <c r="CU318" s="374">
        <v>3</v>
      </c>
      <c r="CV318" s="359" t="s">
        <v>1039</v>
      </c>
      <c r="CW318" s="361">
        <v>15271834.26</v>
      </c>
      <c r="CX318" s="361">
        <v>0</v>
      </c>
      <c r="CY318" s="361">
        <v>0</v>
      </c>
      <c r="CZ318" s="361">
        <v>0</v>
      </c>
      <c r="DA318" s="361">
        <v>0</v>
      </c>
      <c r="DB318" s="361">
        <v>502400.57</v>
      </c>
      <c r="DC318" s="361">
        <v>1705354.06</v>
      </c>
      <c r="DD318" s="361">
        <v>3326916.63</v>
      </c>
      <c r="DE318" s="361">
        <v>4551443.0999999996</v>
      </c>
      <c r="DF318" s="361">
        <v>1553539.2</v>
      </c>
      <c r="DG318" s="361">
        <v>3632180.69</v>
      </c>
      <c r="DH318" s="361"/>
      <c r="DI318" s="361"/>
      <c r="DJ318" s="361"/>
      <c r="DK318" s="378"/>
    </row>
    <row r="319" spans="2:115" ht="13">
      <c r="B319" s="294"/>
      <c r="F319" s="296"/>
      <c r="J319" s="302"/>
      <c r="P319" s="618"/>
      <c r="Q319" s="618"/>
      <c r="R319" s="618"/>
      <c r="T319" s="295"/>
      <c r="X319" s="618"/>
      <c r="AA319" s="295"/>
      <c r="AH319" s="295"/>
      <c r="AO319" s="295"/>
      <c r="CU319" s="374">
        <v>4</v>
      </c>
      <c r="CV319" s="359" t="s">
        <v>1006</v>
      </c>
      <c r="CW319" s="361">
        <v>9621190.2599999998</v>
      </c>
      <c r="CX319" s="361">
        <v>924497.84</v>
      </c>
      <c r="CY319" s="361">
        <v>819872.88</v>
      </c>
      <c r="CZ319" s="361">
        <v>1026950.19</v>
      </c>
      <c r="DA319" s="361">
        <v>830487.89</v>
      </c>
      <c r="DB319" s="361">
        <v>765358.53</v>
      </c>
      <c r="DC319" s="361">
        <v>751493.68</v>
      </c>
      <c r="DD319" s="361">
        <v>1102248.1599999999</v>
      </c>
      <c r="DE319" s="361">
        <v>806974.56</v>
      </c>
      <c r="DF319" s="361">
        <v>1300178.3999999999</v>
      </c>
      <c r="DG319" s="361">
        <v>1293128.1299999999</v>
      </c>
      <c r="DH319" s="361"/>
      <c r="DI319" s="361"/>
      <c r="DJ319" s="361"/>
      <c r="DK319" s="378"/>
    </row>
    <row r="320" spans="2:115" ht="13">
      <c r="B320" s="294"/>
      <c r="F320" s="296"/>
      <c r="J320" s="302"/>
      <c r="P320" s="618"/>
      <c r="Q320" s="618"/>
      <c r="R320" s="618"/>
      <c r="T320" s="295"/>
      <c r="X320" s="618"/>
      <c r="AA320" s="295"/>
      <c r="AH320" s="295"/>
      <c r="AO320" s="295"/>
      <c r="CU320" s="374">
        <v>5</v>
      </c>
      <c r="CV320" s="359" t="s">
        <v>1105</v>
      </c>
      <c r="CW320" s="361">
        <v>8782201.0600000005</v>
      </c>
      <c r="CX320" s="361">
        <v>1402675.55</v>
      </c>
      <c r="CY320" s="361">
        <v>847979.42</v>
      </c>
      <c r="CZ320" s="361">
        <v>524426.96</v>
      </c>
      <c r="DA320" s="361">
        <v>845011.36</v>
      </c>
      <c r="DB320" s="361">
        <v>799826.6</v>
      </c>
      <c r="DC320" s="361">
        <v>710290.08</v>
      </c>
      <c r="DD320" s="361">
        <v>1452627.84</v>
      </c>
      <c r="DE320" s="361">
        <v>480254.88</v>
      </c>
      <c r="DF320" s="361">
        <v>921028.2</v>
      </c>
      <c r="DG320" s="361">
        <v>798080.16</v>
      </c>
      <c r="DH320" s="361"/>
      <c r="DI320" s="361"/>
      <c r="DJ320" s="361"/>
      <c r="DK320" s="378"/>
    </row>
    <row r="321" spans="2:115" ht="13">
      <c r="B321" s="294"/>
      <c r="F321" s="296"/>
      <c r="J321" s="302"/>
      <c r="P321" s="618"/>
      <c r="Q321" s="618"/>
      <c r="R321" s="618"/>
      <c r="T321" s="295"/>
      <c r="X321" s="618"/>
      <c r="AA321" s="295"/>
      <c r="AH321" s="295"/>
      <c r="AO321" s="295"/>
      <c r="CU321" s="374">
        <v>6</v>
      </c>
      <c r="CV321" s="359" t="s">
        <v>1003</v>
      </c>
      <c r="CW321" s="361">
        <v>8039973.8099999996</v>
      </c>
      <c r="CX321" s="361">
        <v>573946.44999999995</v>
      </c>
      <c r="CY321" s="361">
        <v>817006.5</v>
      </c>
      <c r="CZ321" s="361">
        <v>872978.61</v>
      </c>
      <c r="DA321" s="361">
        <v>1005815.55</v>
      </c>
      <c r="DB321" s="361">
        <v>639602.14</v>
      </c>
      <c r="DC321" s="361">
        <v>537747.34</v>
      </c>
      <c r="DD321" s="361">
        <v>1037407.83</v>
      </c>
      <c r="DE321" s="361">
        <v>810971.69</v>
      </c>
      <c r="DF321" s="361">
        <v>648787.67000000004</v>
      </c>
      <c r="DG321" s="361">
        <v>1095710.01</v>
      </c>
      <c r="DH321" s="361"/>
      <c r="DI321" s="361"/>
      <c r="DJ321" s="361"/>
      <c r="DK321" s="378"/>
    </row>
    <row r="322" spans="2:115" ht="13">
      <c r="B322" s="294"/>
      <c r="F322" s="296"/>
      <c r="J322" s="302"/>
      <c r="P322" s="618"/>
      <c r="Q322" s="618"/>
      <c r="R322" s="618"/>
      <c r="T322" s="295"/>
      <c r="X322" s="618"/>
      <c r="AA322" s="295"/>
      <c r="AH322" s="295"/>
      <c r="AO322" s="295"/>
      <c r="CU322" s="374">
        <v>7</v>
      </c>
      <c r="CV322" s="359" t="s">
        <v>1035</v>
      </c>
      <c r="CW322" s="361">
        <v>7177009.7599999998</v>
      </c>
      <c r="CX322" s="361">
        <v>1141246.03</v>
      </c>
      <c r="CY322" s="361">
        <v>0</v>
      </c>
      <c r="CZ322" s="361">
        <v>1844352.62</v>
      </c>
      <c r="DA322" s="361">
        <v>751457.78</v>
      </c>
      <c r="DB322" s="361">
        <v>968561.98</v>
      </c>
      <c r="DC322" s="361">
        <v>532155.12</v>
      </c>
      <c r="DD322" s="361">
        <v>1653051.4</v>
      </c>
      <c r="DE322" s="361">
        <v>0</v>
      </c>
      <c r="DF322" s="361">
        <v>286184.82</v>
      </c>
      <c r="DG322" s="361">
        <v>0</v>
      </c>
      <c r="DH322" s="361"/>
      <c r="DI322" s="361"/>
      <c r="DJ322" s="361"/>
      <c r="DK322" s="378"/>
    </row>
    <row r="323" spans="2:115" ht="13">
      <c r="B323" s="294"/>
      <c r="F323" s="296"/>
      <c r="J323" s="302"/>
      <c r="P323" s="618"/>
      <c r="Q323" s="618"/>
      <c r="R323" s="618"/>
      <c r="T323" s="295"/>
      <c r="X323" s="618"/>
      <c r="AA323" s="295"/>
      <c r="AH323" s="295"/>
      <c r="AO323" s="295"/>
      <c r="CU323" s="374">
        <v>8</v>
      </c>
      <c r="CV323" s="359" t="s">
        <v>1008</v>
      </c>
      <c r="CW323" s="361">
        <v>7035546.2000000002</v>
      </c>
      <c r="CX323" s="361">
        <v>0</v>
      </c>
      <c r="CY323" s="361">
        <v>432898.86</v>
      </c>
      <c r="CZ323" s="361">
        <v>380757.92</v>
      </c>
      <c r="DA323" s="361">
        <v>1328145.8799999999</v>
      </c>
      <c r="DB323" s="361">
        <v>1114582.3999999999</v>
      </c>
      <c r="DC323" s="361">
        <v>897526.8</v>
      </c>
      <c r="DD323" s="361">
        <v>434310.7</v>
      </c>
      <c r="DE323" s="361">
        <v>953238.08</v>
      </c>
      <c r="DF323" s="361">
        <v>850656.48</v>
      </c>
      <c r="DG323" s="361">
        <v>643429.07999999996</v>
      </c>
      <c r="DH323" s="361"/>
      <c r="DI323" s="361"/>
      <c r="DJ323" s="361"/>
      <c r="DK323" s="378"/>
    </row>
    <row r="324" spans="2:115" ht="13">
      <c r="B324" s="294"/>
      <c r="F324" s="296"/>
      <c r="J324" s="302"/>
      <c r="P324" s="618"/>
      <c r="Q324" s="618"/>
      <c r="R324" s="618"/>
      <c r="T324" s="295"/>
      <c r="X324" s="618"/>
      <c r="AA324" s="295"/>
      <c r="AH324" s="295"/>
      <c r="AO324" s="295"/>
      <c r="CU324" s="374">
        <v>9</v>
      </c>
      <c r="CV324" s="359" t="s">
        <v>1005</v>
      </c>
      <c r="CW324" s="361">
        <v>6426015.75</v>
      </c>
      <c r="CX324" s="361">
        <v>1378323.16</v>
      </c>
      <c r="CY324" s="361">
        <v>154723.79999999999</v>
      </c>
      <c r="CZ324" s="361">
        <v>513655.91</v>
      </c>
      <c r="DA324" s="361">
        <v>399204.65</v>
      </c>
      <c r="DB324" s="361">
        <v>736455.45</v>
      </c>
      <c r="DC324" s="361">
        <v>565197.09</v>
      </c>
      <c r="DD324" s="361">
        <v>702810.3</v>
      </c>
      <c r="DE324" s="361">
        <v>0</v>
      </c>
      <c r="DF324" s="361">
        <v>653293.1</v>
      </c>
      <c r="DG324" s="361">
        <v>1322352.28</v>
      </c>
      <c r="DH324" s="361"/>
      <c r="DI324" s="361"/>
      <c r="DJ324" s="361"/>
      <c r="DK324" s="378"/>
    </row>
    <row r="325" spans="2:115" ht="13">
      <c r="B325" s="294"/>
      <c r="F325" s="296"/>
      <c r="J325" s="302"/>
      <c r="P325" s="618"/>
      <c r="Q325" s="618"/>
      <c r="R325" s="618"/>
      <c r="T325" s="295"/>
      <c r="X325" s="618"/>
      <c r="AA325" s="295"/>
      <c r="AH325" s="295"/>
      <c r="AO325" s="295"/>
      <c r="CU325" s="374">
        <v>10</v>
      </c>
      <c r="CV325" s="359" t="s">
        <v>1108</v>
      </c>
      <c r="CW325" s="361">
        <v>6386929.2300000004</v>
      </c>
      <c r="CX325" s="361">
        <v>1195470.96</v>
      </c>
      <c r="CY325" s="361">
        <v>656365.55000000005</v>
      </c>
      <c r="CZ325" s="361">
        <v>0</v>
      </c>
      <c r="DA325" s="361">
        <v>618689.92000000004</v>
      </c>
      <c r="DB325" s="361">
        <v>296901.59999999998</v>
      </c>
      <c r="DC325" s="361">
        <v>610197.28</v>
      </c>
      <c r="DD325" s="361">
        <v>785569.52</v>
      </c>
      <c r="DE325" s="361">
        <v>651922.72</v>
      </c>
      <c r="DF325" s="361">
        <v>574613.43999999994</v>
      </c>
      <c r="DG325" s="361">
        <v>997198.24</v>
      </c>
      <c r="DH325" s="361"/>
      <c r="DI325" s="361"/>
      <c r="DJ325" s="361"/>
      <c r="DK325" s="378"/>
    </row>
    <row r="326" spans="2:115" ht="13">
      <c r="B326" s="294"/>
      <c r="F326" s="296"/>
      <c r="J326" s="302"/>
      <c r="P326" s="618"/>
      <c r="Q326" s="618"/>
      <c r="R326" s="618"/>
      <c r="T326" s="295"/>
      <c r="X326" s="618"/>
      <c r="AA326" s="295"/>
      <c r="AH326" s="295"/>
      <c r="AO326" s="295"/>
      <c r="CU326" s="374">
        <v>11</v>
      </c>
      <c r="CV326" s="359" t="s">
        <v>1022</v>
      </c>
      <c r="CW326" s="361">
        <v>5778808.8399999999</v>
      </c>
      <c r="CX326" s="361">
        <v>0</v>
      </c>
      <c r="CY326" s="361">
        <v>0</v>
      </c>
      <c r="CZ326" s="361">
        <v>0</v>
      </c>
      <c r="DA326" s="361">
        <v>0</v>
      </c>
      <c r="DB326" s="361">
        <v>566320.68999999994</v>
      </c>
      <c r="DC326" s="361">
        <v>1841704.3</v>
      </c>
      <c r="DD326" s="361">
        <v>1214932.4099999999</v>
      </c>
      <c r="DE326" s="361">
        <v>1308508.8</v>
      </c>
      <c r="DF326" s="361">
        <v>746270</v>
      </c>
      <c r="DG326" s="361">
        <v>101072.64</v>
      </c>
      <c r="DH326" s="361"/>
      <c r="DI326" s="361"/>
      <c r="DJ326" s="361"/>
      <c r="DK326" s="378"/>
    </row>
    <row r="327" spans="2:115" ht="13">
      <c r="B327" s="294"/>
      <c r="F327" s="296"/>
      <c r="J327" s="302"/>
      <c r="P327" s="618"/>
      <c r="Q327" s="618"/>
      <c r="R327" s="618"/>
      <c r="T327" s="295"/>
      <c r="X327" s="618"/>
      <c r="AA327" s="295"/>
      <c r="AH327" s="295"/>
      <c r="AO327" s="295"/>
      <c r="CU327" s="374">
        <v>12</v>
      </c>
      <c r="CV327" s="359" t="s">
        <v>1104</v>
      </c>
      <c r="CW327" s="361">
        <v>5279031.25</v>
      </c>
      <c r="CX327" s="361">
        <v>824468.82</v>
      </c>
      <c r="CY327" s="361">
        <v>288781.59000000003</v>
      </c>
      <c r="CZ327" s="361">
        <v>583108.31999999995</v>
      </c>
      <c r="DA327" s="361">
        <v>635691.68000000005</v>
      </c>
      <c r="DB327" s="361">
        <v>502480.24</v>
      </c>
      <c r="DC327" s="361">
        <v>490363.09</v>
      </c>
      <c r="DD327" s="361">
        <v>588862.1</v>
      </c>
      <c r="DE327" s="361">
        <v>376796.64</v>
      </c>
      <c r="DF327" s="361">
        <v>330312.8</v>
      </c>
      <c r="DG327" s="361">
        <v>658165.96</v>
      </c>
      <c r="DH327" s="361"/>
      <c r="DI327" s="361"/>
      <c r="DJ327" s="361"/>
      <c r="DK327" s="378"/>
    </row>
    <row r="328" spans="2:115" ht="13">
      <c r="B328" s="294"/>
      <c r="F328" s="296"/>
      <c r="J328" s="302"/>
      <c r="P328" s="618"/>
      <c r="Q328" s="618"/>
      <c r="R328" s="618"/>
      <c r="T328" s="295"/>
      <c r="X328" s="618"/>
      <c r="AA328" s="295"/>
      <c r="AH328" s="295"/>
      <c r="AO328" s="295"/>
      <c r="CU328" s="374">
        <v>13</v>
      </c>
      <c r="CV328" s="359" t="s">
        <v>1103</v>
      </c>
      <c r="CW328" s="361">
        <v>4499032.93</v>
      </c>
      <c r="CX328" s="361">
        <v>39976.720000000001</v>
      </c>
      <c r="CY328" s="361">
        <v>393696.29</v>
      </c>
      <c r="CZ328" s="361">
        <v>280415.82</v>
      </c>
      <c r="DA328" s="361">
        <v>665977.63</v>
      </c>
      <c r="DB328" s="361">
        <v>760356.64</v>
      </c>
      <c r="DC328" s="361">
        <v>496354.02</v>
      </c>
      <c r="DD328" s="361">
        <v>185967.2</v>
      </c>
      <c r="DE328" s="361">
        <v>608694.56000000006</v>
      </c>
      <c r="DF328" s="361">
        <v>404395.06</v>
      </c>
      <c r="DG328" s="361">
        <v>663199</v>
      </c>
      <c r="DH328" s="361"/>
      <c r="DI328" s="361"/>
      <c r="DJ328" s="361"/>
      <c r="DK328" s="378"/>
    </row>
    <row r="329" spans="2:115" ht="13">
      <c r="B329" s="294"/>
      <c r="F329" s="296"/>
      <c r="J329" s="302"/>
      <c r="P329" s="618"/>
      <c r="Q329" s="618"/>
      <c r="R329" s="618"/>
      <c r="T329" s="295"/>
      <c r="X329" s="618"/>
      <c r="AA329" s="295"/>
      <c r="AH329" s="295"/>
      <c r="AO329" s="295"/>
      <c r="CU329" s="374">
        <v>14</v>
      </c>
      <c r="CV329" s="359" t="s">
        <v>870</v>
      </c>
      <c r="CW329" s="361">
        <v>4152684.89</v>
      </c>
      <c r="CX329" s="361">
        <v>410198.25</v>
      </c>
      <c r="CY329" s="361">
        <v>342534.43</v>
      </c>
      <c r="CZ329" s="361">
        <v>521479.72</v>
      </c>
      <c r="DA329" s="361">
        <v>454258.85</v>
      </c>
      <c r="DB329" s="361">
        <v>178144.33</v>
      </c>
      <c r="DC329" s="361">
        <v>507306.62</v>
      </c>
      <c r="DD329" s="361">
        <v>340453.4</v>
      </c>
      <c r="DE329" s="361">
        <v>464199.55</v>
      </c>
      <c r="DF329" s="361">
        <v>560084.96</v>
      </c>
      <c r="DG329" s="361">
        <v>374024.79</v>
      </c>
      <c r="DH329" s="361"/>
      <c r="DI329" s="361"/>
      <c r="DJ329" s="361"/>
      <c r="DK329" s="378"/>
    </row>
    <row r="330" spans="2:115" ht="13">
      <c r="B330" s="294"/>
      <c r="F330" s="296"/>
      <c r="J330" s="302"/>
      <c r="P330" s="618"/>
      <c r="Q330" s="618"/>
      <c r="R330" s="618"/>
      <c r="T330" s="295"/>
      <c r="X330" s="618"/>
      <c r="AA330" s="295"/>
      <c r="AH330" s="295"/>
      <c r="AO330" s="295"/>
      <c r="CU330" s="374">
        <v>15</v>
      </c>
      <c r="CV330" s="359" t="s">
        <v>1036</v>
      </c>
      <c r="CW330" s="361">
        <v>4100994.46</v>
      </c>
      <c r="CX330" s="361">
        <v>2285723.44</v>
      </c>
      <c r="CY330" s="361">
        <v>-104954.74</v>
      </c>
      <c r="CZ330" s="361">
        <v>67170.960000000006</v>
      </c>
      <c r="DA330" s="361">
        <v>1607839.6</v>
      </c>
      <c r="DB330" s="361">
        <v>245215.2</v>
      </c>
      <c r="DC330" s="361">
        <v>0</v>
      </c>
      <c r="DD330" s="361">
        <v>0</v>
      </c>
      <c r="DE330" s="361">
        <v>0</v>
      </c>
      <c r="DF330" s="361">
        <v>0</v>
      </c>
      <c r="DG330" s="365">
        <v>0</v>
      </c>
      <c r="DH330" s="365"/>
      <c r="DI330" s="365"/>
      <c r="DJ330" s="365"/>
      <c r="DK330" s="379"/>
    </row>
    <row r="331" spans="2:115" ht="13">
      <c r="B331" s="294"/>
      <c r="F331" s="296"/>
      <c r="J331" s="302"/>
      <c r="P331" s="618"/>
      <c r="Q331" s="618"/>
      <c r="R331" s="618"/>
      <c r="T331" s="295"/>
      <c r="X331" s="618"/>
      <c r="AA331" s="295"/>
      <c r="AH331" s="295"/>
      <c r="AO331" s="295"/>
      <c r="CU331" s="374">
        <v>16</v>
      </c>
      <c r="CV331" s="359" t="s">
        <v>1010</v>
      </c>
      <c r="CW331" s="361">
        <v>3643924.63</v>
      </c>
      <c r="CX331" s="361">
        <v>617461.73</v>
      </c>
      <c r="CY331" s="361">
        <v>182413.33</v>
      </c>
      <c r="CZ331" s="361">
        <v>430257.65</v>
      </c>
      <c r="DA331" s="361">
        <v>118066.57</v>
      </c>
      <c r="DB331" s="361">
        <v>248114.79</v>
      </c>
      <c r="DC331" s="361">
        <v>340517.18</v>
      </c>
      <c r="DD331" s="361">
        <v>401891.32</v>
      </c>
      <c r="DE331" s="361">
        <v>283219.61</v>
      </c>
      <c r="DF331" s="361">
        <v>450758.25</v>
      </c>
      <c r="DG331" s="361">
        <v>571224.19999999995</v>
      </c>
      <c r="DH331" s="361"/>
      <c r="DI331" s="361"/>
      <c r="DJ331" s="361"/>
      <c r="DK331" s="378"/>
    </row>
    <row r="332" spans="2:115" ht="13">
      <c r="B332" s="294"/>
      <c r="F332" s="296"/>
      <c r="J332" s="302"/>
      <c r="P332" s="618"/>
      <c r="Q332" s="618"/>
      <c r="R332" s="618"/>
      <c r="T332" s="295"/>
      <c r="X332" s="618"/>
      <c r="AA332" s="295"/>
      <c r="AH332" s="295"/>
      <c r="AO332" s="295"/>
      <c r="CU332" s="374">
        <v>17</v>
      </c>
      <c r="CV332" s="359" t="s">
        <v>994</v>
      </c>
      <c r="CW332" s="361">
        <v>2766895.43</v>
      </c>
      <c r="CX332" s="361">
        <v>0</v>
      </c>
      <c r="CY332" s="361">
        <v>0</v>
      </c>
      <c r="CZ332" s="361">
        <v>0</v>
      </c>
      <c r="DA332" s="361">
        <v>0</v>
      </c>
      <c r="DB332" s="361">
        <v>0</v>
      </c>
      <c r="DC332" s="361">
        <v>339190.08</v>
      </c>
      <c r="DD332" s="361">
        <v>754433.77</v>
      </c>
      <c r="DE332" s="361">
        <v>710898.83</v>
      </c>
      <c r="DF332" s="361">
        <v>386524.43</v>
      </c>
      <c r="DG332" s="361">
        <v>575848.31000000006</v>
      </c>
      <c r="DH332" s="361"/>
      <c r="DI332" s="361"/>
      <c r="DJ332" s="361"/>
      <c r="DK332" s="378"/>
    </row>
    <row r="333" spans="2:115" ht="13">
      <c r="B333" s="294"/>
      <c r="F333" s="296"/>
      <c r="J333" s="302"/>
      <c r="P333" s="618"/>
      <c r="Q333" s="618"/>
      <c r="R333" s="618"/>
      <c r="T333" s="295"/>
      <c r="X333" s="618"/>
      <c r="AA333" s="295"/>
      <c r="AH333" s="295"/>
      <c r="AO333" s="295"/>
      <c r="CU333" s="374">
        <v>18</v>
      </c>
      <c r="CV333" s="359" t="s">
        <v>843</v>
      </c>
      <c r="CW333" s="361">
        <v>2639393.04</v>
      </c>
      <c r="CX333" s="361">
        <v>163482.37</v>
      </c>
      <c r="CY333" s="361">
        <v>135567.74</v>
      </c>
      <c r="CZ333" s="361">
        <v>323328.82</v>
      </c>
      <c r="DA333" s="361">
        <v>377216.92</v>
      </c>
      <c r="DB333" s="361">
        <v>169235.82</v>
      </c>
      <c r="DC333" s="361">
        <v>270630.05</v>
      </c>
      <c r="DD333" s="361">
        <v>286284.06</v>
      </c>
      <c r="DE333" s="361">
        <v>333841.77</v>
      </c>
      <c r="DF333" s="361">
        <v>242865.82</v>
      </c>
      <c r="DG333" s="361">
        <v>336939.68</v>
      </c>
      <c r="DH333" s="361"/>
      <c r="DI333" s="361"/>
      <c r="DJ333" s="361"/>
      <c r="DK333" s="378"/>
    </row>
    <row r="334" spans="2:115" ht="13">
      <c r="B334" s="294"/>
      <c r="F334" s="296"/>
      <c r="J334" s="302"/>
      <c r="P334" s="618"/>
      <c r="Q334" s="618"/>
      <c r="R334" s="618"/>
      <c r="T334" s="295"/>
      <c r="X334" s="618"/>
      <c r="AA334" s="295"/>
      <c r="AH334" s="295"/>
      <c r="AO334" s="295"/>
      <c r="CU334" s="374">
        <v>19</v>
      </c>
      <c r="CV334" s="359" t="s">
        <v>1037</v>
      </c>
      <c r="CW334" s="361">
        <v>2412298.04</v>
      </c>
      <c r="CX334" s="361">
        <v>659750.40000000002</v>
      </c>
      <c r="CY334" s="361">
        <v>0</v>
      </c>
      <c r="CZ334" s="361">
        <v>0</v>
      </c>
      <c r="DA334" s="361">
        <v>0</v>
      </c>
      <c r="DB334" s="361">
        <v>825140.4</v>
      </c>
      <c r="DC334" s="361">
        <v>0</v>
      </c>
      <c r="DD334" s="361">
        <v>927407.24</v>
      </c>
      <c r="DE334" s="361">
        <v>0</v>
      </c>
      <c r="DF334" s="361">
        <v>0</v>
      </c>
      <c r="DG334" s="361">
        <v>0</v>
      </c>
      <c r="DH334" s="361"/>
      <c r="DI334" s="361"/>
      <c r="DJ334" s="361"/>
      <c r="DK334" s="378"/>
    </row>
    <row r="335" spans="2:115" ht="13">
      <c r="B335" s="294"/>
      <c r="F335" s="296"/>
      <c r="J335" s="302"/>
      <c r="P335" s="618"/>
      <c r="Q335" s="618"/>
      <c r="R335" s="618"/>
      <c r="T335" s="295"/>
      <c r="X335" s="618"/>
      <c r="AA335" s="295"/>
      <c r="AH335" s="295"/>
      <c r="AO335" s="295"/>
      <c r="CU335" s="374">
        <v>20</v>
      </c>
      <c r="CV335" s="359" t="s">
        <v>1038</v>
      </c>
      <c r="CW335" s="361">
        <v>2396064.48</v>
      </c>
      <c r="CX335" s="361">
        <v>185528.48</v>
      </c>
      <c r="CY335" s="361">
        <v>708994.32</v>
      </c>
      <c r="CZ335" s="361">
        <v>0</v>
      </c>
      <c r="DA335" s="361">
        <v>262789.59999999998</v>
      </c>
      <c r="DB335" s="361">
        <v>316524.32</v>
      </c>
      <c r="DC335" s="361">
        <v>595737.36</v>
      </c>
      <c r="DD335" s="361">
        <v>177976.64</v>
      </c>
      <c r="DE335" s="361">
        <v>67585.440000000002</v>
      </c>
      <c r="DF335" s="361">
        <v>0</v>
      </c>
      <c r="DG335" s="361">
        <v>80928.320000000007</v>
      </c>
      <c r="DH335" s="361"/>
      <c r="DI335" s="361"/>
      <c r="DJ335" s="361"/>
      <c r="DK335" s="378"/>
    </row>
    <row r="336" spans="2:115" ht="13">
      <c r="B336" s="294"/>
      <c r="F336" s="296"/>
      <c r="J336" s="302"/>
      <c r="P336" s="618"/>
      <c r="Q336" s="618"/>
      <c r="R336" s="618"/>
      <c r="T336" s="295"/>
      <c r="X336" s="618"/>
      <c r="AA336" s="295"/>
      <c r="AH336" s="295"/>
      <c r="AO336" s="295"/>
      <c r="CU336" s="374">
        <v>21</v>
      </c>
      <c r="CV336" s="359" t="s">
        <v>1106</v>
      </c>
      <c r="CW336" s="361">
        <v>1803255.84</v>
      </c>
      <c r="CX336" s="361">
        <v>129853.99</v>
      </c>
      <c r="CY336" s="361">
        <v>241689.77</v>
      </c>
      <c r="CZ336" s="361">
        <v>274713.71000000002</v>
      </c>
      <c r="DA336" s="361">
        <v>172189.6</v>
      </c>
      <c r="DB336" s="361">
        <v>210215.2</v>
      </c>
      <c r="DC336" s="361">
        <v>130556.69</v>
      </c>
      <c r="DD336" s="361">
        <v>231357.11</v>
      </c>
      <c r="DE336" s="361">
        <v>130556.69</v>
      </c>
      <c r="DF336" s="361">
        <v>105576.71</v>
      </c>
      <c r="DG336" s="361">
        <v>176546.39</v>
      </c>
      <c r="DH336" s="361"/>
      <c r="DI336" s="361"/>
      <c r="DJ336" s="361"/>
      <c r="DK336" s="378"/>
    </row>
    <row r="337" spans="2:115" ht="13">
      <c r="B337" s="294"/>
      <c r="F337" s="296"/>
      <c r="J337" s="302"/>
      <c r="P337" s="618"/>
      <c r="Q337" s="618"/>
      <c r="R337" s="618"/>
      <c r="T337" s="295"/>
      <c r="X337" s="618"/>
      <c r="AA337" s="295"/>
      <c r="AH337" s="295"/>
      <c r="AO337" s="295"/>
      <c r="CU337" s="374">
        <v>22</v>
      </c>
      <c r="CV337" s="359" t="s">
        <v>1009</v>
      </c>
      <c r="CW337" s="361">
        <v>1710829.27</v>
      </c>
      <c r="CX337" s="361">
        <v>204163.18</v>
      </c>
      <c r="CY337" s="361">
        <v>181353.94</v>
      </c>
      <c r="CZ337" s="361">
        <v>203881.57</v>
      </c>
      <c r="DA337" s="361">
        <v>107294.1</v>
      </c>
      <c r="DB337" s="361">
        <v>270506.51</v>
      </c>
      <c r="DC337" s="361">
        <v>101632.3</v>
      </c>
      <c r="DD337" s="361">
        <v>108690.03</v>
      </c>
      <c r="DE337" s="361">
        <v>177122.17</v>
      </c>
      <c r="DF337" s="361">
        <v>161745.46</v>
      </c>
      <c r="DG337" s="361">
        <v>194440.01</v>
      </c>
      <c r="DH337" s="361"/>
      <c r="DI337" s="361"/>
      <c r="DJ337" s="361"/>
      <c r="DK337" s="378"/>
    </row>
    <row r="338" spans="2:115" ht="13">
      <c r="B338" s="294"/>
      <c r="F338" s="296"/>
      <c r="J338" s="302"/>
      <c r="P338" s="618"/>
      <c r="Q338" s="618"/>
      <c r="R338" s="618"/>
      <c r="T338" s="295"/>
      <c r="X338" s="618"/>
      <c r="AA338" s="295"/>
      <c r="AH338" s="295"/>
      <c r="AO338" s="295"/>
      <c r="CU338" s="374">
        <v>23</v>
      </c>
      <c r="CV338" s="359" t="s">
        <v>1099</v>
      </c>
      <c r="CW338" s="361">
        <v>1373602.76</v>
      </c>
      <c r="CX338" s="361">
        <v>61638.879999999997</v>
      </c>
      <c r="CY338" s="361">
        <v>0</v>
      </c>
      <c r="CZ338" s="361">
        <v>264957.12</v>
      </c>
      <c r="DA338" s="361">
        <v>276136.62</v>
      </c>
      <c r="DB338" s="361">
        <v>39191.370000000003</v>
      </c>
      <c r="DC338" s="361">
        <v>185977.63</v>
      </c>
      <c r="DD338" s="361">
        <v>289317.87</v>
      </c>
      <c r="DE338" s="361">
        <v>0</v>
      </c>
      <c r="DF338" s="361">
        <v>72560.479999999996</v>
      </c>
      <c r="DG338" s="361">
        <v>183822.79</v>
      </c>
      <c r="DH338" s="361"/>
      <c r="DI338" s="361"/>
      <c r="DJ338" s="361"/>
      <c r="DK338" s="378"/>
    </row>
    <row r="339" spans="2:115" ht="13">
      <c r="B339" s="294"/>
      <c r="F339" s="296"/>
      <c r="J339" s="302"/>
      <c r="P339" s="618"/>
      <c r="Q339" s="618"/>
      <c r="R339" s="618"/>
      <c r="T339" s="295"/>
      <c r="X339" s="618"/>
      <c r="AA339" s="295"/>
      <c r="AH339" s="295"/>
      <c r="AO339" s="295"/>
      <c r="CU339" s="374">
        <v>24</v>
      </c>
      <c r="CV339" s="359" t="s">
        <v>887</v>
      </c>
      <c r="CW339" s="361">
        <v>1317719.8999999999</v>
      </c>
      <c r="CX339" s="361">
        <v>317975.8</v>
      </c>
      <c r="CY339" s="361">
        <v>0</v>
      </c>
      <c r="CZ339" s="361">
        <v>128228.28</v>
      </c>
      <c r="DA339" s="361">
        <v>136591.43</v>
      </c>
      <c r="DB339" s="361">
        <v>100979.75</v>
      </c>
      <c r="DC339" s="361">
        <v>0</v>
      </c>
      <c r="DD339" s="361">
        <v>206909.89</v>
      </c>
      <c r="DE339" s="361">
        <v>167885.46</v>
      </c>
      <c r="DF339" s="361">
        <v>115954.71</v>
      </c>
      <c r="DG339" s="361">
        <v>143194.59</v>
      </c>
      <c r="DH339" s="361"/>
      <c r="DI339" s="361"/>
      <c r="DJ339" s="361"/>
      <c r="DK339" s="378"/>
    </row>
    <row r="340" spans="2:115" ht="13">
      <c r="B340" s="294"/>
      <c r="F340" s="296"/>
      <c r="J340" s="302"/>
      <c r="P340" s="618"/>
      <c r="Q340" s="618"/>
      <c r="R340" s="618"/>
      <c r="T340" s="295"/>
      <c r="X340" s="618"/>
      <c r="AA340" s="295"/>
      <c r="AH340" s="295"/>
      <c r="AO340" s="295"/>
      <c r="CU340" s="374">
        <v>25</v>
      </c>
      <c r="CV340" s="359" t="s">
        <v>1043</v>
      </c>
      <c r="CW340" s="361">
        <v>1234619.3700000001</v>
      </c>
      <c r="CX340" s="361">
        <v>0</v>
      </c>
      <c r="CY340" s="361">
        <v>680397.1</v>
      </c>
      <c r="CZ340" s="361">
        <v>0</v>
      </c>
      <c r="DA340" s="361">
        <v>0</v>
      </c>
      <c r="DB340" s="361">
        <v>554222.69999999995</v>
      </c>
      <c r="DC340" s="365">
        <v>0</v>
      </c>
      <c r="DD340" s="361">
        <v>0</v>
      </c>
      <c r="DE340" s="361">
        <v>-0.43</v>
      </c>
      <c r="DF340" s="361">
        <v>0</v>
      </c>
      <c r="DG340" s="365">
        <v>0</v>
      </c>
      <c r="DH340" s="365"/>
      <c r="DI340" s="365"/>
      <c r="DJ340" s="365"/>
      <c r="DK340" s="379"/>
    </row>
    <row r="341" spans="2:115" ht="13">
      <c r="B341" s="294"/>
      <c r="F341" s="296"/>
      <c r="J341" s="302"/>
      <c r="P341" s="618"/>
      <c r="Q341" s="618"/>
      <c r="R341" s="618"/>
      <c r="T341" s="295"/>
      <c r="X341" s="618"/>
      <c r="AA341" s="295"/>
      <c r="AH341" s="295"/>
      <c r="AO341" s="295"/>
      <c r="CU341" s="374">
        <v>26</v>
      </c>
      <c r="CV341" s="359" t="s">
        <v>873</v>
      </c>
      <c r="CW341" s="361">
        <v>1229622.67</v>
      </c>
      <c r="CX341" s="361">
        <v>49393.13</v>
      </c>
      <c r="CY341" s="361">
        <v>0</v>
      </c>
      <c r="CZ341" s="361">
        <v>265124.65000000002</v>
      </c>
      <c r="DA341" s="361">
        <v>43347.02</v>
      </c>
      <c r="DB341" s="361">
        <v>217988.82</v>
      </c>
      <c r="DC341" s="361">
        <v>0</v>
      </c>
      <c r="DD341" s="361">
        <v>200102.76</v>
      </c>
      <c r="DE341" s="361">
        <v>142930.51999999999</v>
      </c>
      <c r="DF341" s="361">
        <v>0</v>
      </c>
      <c r="DG341" s="361">
        <v>310735.77</v>
      </c>
      <c r="DH341" s="361"/>
      <c r="DI341" s="361"/>
      <c r="DJ341" s="361"/>
      <c r="DK341" s="378"/>
    </row>
    <row r="342" spans="2:115" ht="13">
      <c r="B342" s="294"/>
      <c r="F342" s="296"/>
      <c r="J342" s="302"/>
      <c r="P342" s="618"/>
      <c r="Q342" s="618"/>
      <c r="R342" s="618"/>
      <c r="T342" s="295"/>
      <c r="X342" s="618"/>
      <c r="AA342" s="295"/>
      <c r="AH342" s="295"/>
      <c r="AO342" s="295"/>
      <c r="CU342" s="374">
        <v>27</v>
      </c>
      <c r="CV342" s="359" t="s">
        <v>1048</v>
      </c>
      <c r="CW342" s="361">
        <v>865981.25</v>
      </c>
      <c r="CX342" s="361">
        <v>-15313.87</v>
      </c>
      <c r="CY342" s="361">
        <v>174728.57</v>
      </c>
      <c r="CZ342" s="361">
        <v>140690.78</v>
      </c>
      <c r="DA342" s="361">
        <v>33739.18</v>
      </c>
      <c r="DB342" s="361">
        <v>104291.18</v>
      </c>
      <c r="DC342" s="361">
        <v>44311.66</v>
      </c>
      <c r="DD342" s="361">
        <v>131287</v>
      </c>
      <c r="DE342" s="361">
        <v>65907.31</v>
      </c>
      <c r="DF342" s="361">
        <v>88473.22</v>
      </c>
      <c r="DG342" s="361">
        <v>97866.22</v>
      </c>
      <c r="DH342" s="361"/>
      <c r="DI342" s="361"/>
      <c r="DJ342" s="361"/>
      <c r="DK342" s="378"/>
    </row>
    <row r="343" spans="2:115" ht="13">
      <c r="B343" s="294"/>
      <c r="F343" s="296"/>
      <c r="J343" s="302"/>
      <c r="P343" s="618"/>
      <c r="Q343" s="618"/>
      <c r="R343" s="618"/>
      <c r="T343" s="295"/>
      <c r="X343" s="618"/>
      <c r="AA343" s="295"/>
      <c r="AH343" s="295"/>
      <c r="AO343" s="295"/>
      <c r="CU343" s="374">
        <v>28</v>
      </c>
      <c r="CV343" s="359" t="s">
        <v>1030</v>
      </c>
      <c r="CW343" s="361">
        <v>837057.31</v>
      </c>
      <c r="CX343" s="361">
        <v>109230.39</v>
      </c>
      <c r="CY343" s="361">
        <v>60060.78</v>
      </c>
      <c r="CZ343" s="361">
        <v>0</v>
      </c>
      <c r="DA343" s="361">
        <v>131743.5</v>
      </c>
      <c r="DB343" s="361">
        <v>20410.3</v>
      </c>
      <c r="DC343" s="361">
        <v>20410.3</v>
      </c>
      <c r="DD343" s="361">
        <v>118528.09</v>
      </c>
      <c r="DE343" s="361">
        <v>225200.15</v>
      </c>
      <c r="DF343" s="361">
        <v>36438.269999999997</v>
      </c>
      <c r="DG343" s="361">
        <v>115035.53</v>
      </c>
      <c r="DH343" s="361"/>
      <c r="DI343" s="361"/>
      <c r="DJ343" s="361"/>
      <c r="DK343" s="378"/>
    </row>
    <row r="344" spans="2:115" ht="13">
      <c r="B344" s="294"/>
      <c r="F344" s="296"/>
      <c r="J344" s="302"/>
      <c r="P344" s="618"/>
      <c r="Q344" s="618"/>
      <c r="R344" s="618"/>
      <c r="T344" s="295"/>
      <c r="X344" s="618"/>
      <c r="AA344" s="295"/>
      <c r="AH344" s="295"/>
      <c r="AO344" s="295"/>
      <c r="CU344" s="374">
        <v>29</v>
      </c>
      <c r="CV344" s="359" t="s">
        <v>996</v>
      </c>
      <c r="CW344" s="361">
        <v>818327.23</v>
      </c>
      <c r="CX344" s="361">
        <v>67783.87</v>
      </c>
      <c r="CY344" s="361">
        <v>79953.440000000002</v>
      </c>
      <c r="CZ344" s="361">
        <v>132441.35999999999</v>
      </c>
      <c r="DA344" s="361">
        <v>0</v>
      </c>
      <c r="DB344" s="361">
        <v>89070.48</v>
      </c>
      <c r="DC344" s="361">
        <v>37213.440000000002</v>
      </c>
      <c r="DD344" s="361">
        <v>213145.04</v>
      </c>
      <c r="DE344" s="361">
        <v>0</v>
      </c>
      <c r="DF344" s="361">
        <v>198719.6</v>
      </c>
      <c r="DG344" s="365">
        <v>0</v>
      </c>
      <c r="DH344" s="365"/>
      <c r="DI344" s="365"/>
      <c r="DJ344" s="365"/>
      <c r="DK344" s="379"/>
    </row>
    <row r="345" spans="2:115" ht="13">
      <c r="B345" s="294"/>
      <c r="F345" s="296"/>
      <c r="J345" s="302"/>
      <c r="P345" s="618"/>
      <c r="Q345" s="618"/>
      <c r="R345" s="618"/>
      <c r="T345" s="295"/>
      <c r="X345" s="618"/>
      <c r="AA345" s="295"/>
      <c r="AH345" s="295"/>
      <c r="AO345" s="295"/>
      <c r="CU345" s="374">
        <v>30</v>
      </c>
      <c r="CV345" s="359" t="s">
        <v>1060</v>
      </c>
      <c r="CW345" s="361">
        <v>788945.4</v>
      </c>
      <c r="CX345" s="361">
        <v>113711.48</v>
      </c>
      <c r="CY345" s="361">
        <v>272874.90999999997</v>
      </c>
      <c r="CZ345" s="361">
        <v>66328.94</v>
      </c>
      <c r="DA345" s="361">
        <v>28952.21</v>
      </c>
      <c r="DB345" s="361">
        <v>0</v>
      </c>
      <c r="DC345" s="361">
        <v>72000.539999999994</v>
      </c>
      <c r="DD345" s="361">
        <v>113740.68</v>
      </c>
      <c r="DE345" s="361">
        <v>36000.269999999997</v>
      </c>
      <c r="DF345" s="361">
        <v>54607</v>
      </c>
      <c r="DG345" s="361">
        <v>30729.37</v>
      </c>
      <c r="DH345" s="361"/>
      <c r="DI345" s="361"/>
      <c r="DJ345" s="361"/>
      <c r="DK345" s="378"/>
    </row>
    <row r="346" spans="2:115" ht="13">
      <c r="B346" s="294"/>
      <c r="F346" s="296"/>
      <c r="J346" s="302"/>
      <c r="P346" s="618"/>
      <c r="Q346" s="618"/>
      <c r="R346" s="618"/>
      <c r="T346" s="295"/>
      <c r="X346" s="618"/>
      <c r="AA346" s="295"/>
      <c r="AH346" s="295"/>
      <c r="AO346" s="295"/>
      <c r="CU346" s="374">
        <v>31</v>
      </c>
      <c r="CV346" s="359" t="s">
        <v>1098</v>
      </c>
      <c r="CW346" s="361">
        <v>737471.57</v>
      </c>
      <c r="CX346" s="361">
        <v>0</v>
      </c>
      <c r="CY346" s="361">
        <v>0</v>
      </c>
      <c r="CZ346" s="361">
        <v>0</v>
      </c>
      <c r="DA346" s="361">
        <v>0</v>
      </c>
      <c r="DB346" s="361">
        <v>273206.86</v>
      </c>
      <c r="DC346" s="361">
        <v>464264.71</v>
      </c>
      <c r="DD346" s="361">
        <v>0</v>
      </c>
      <c r="DE346" s="361">
        <v>0</v>
      </c>
      <c r="DF346" s="361">
        <v>0</v>
      </c>
      <c r="DG346" s="361">
        <v>0</v>
      </c>
      <c r="DH346" s="361"/>
      <c r="DI346" s="361"/>
      <c r="DJ346" s="361"/>
      <c r="DK346" s="378"/>
    </row>
    <row r="347" spans="2:115" ht="13">
      <c r="B347" s="294"/>
      <c r="F347" s="296"/>
      <c r="J347" s="302"/>
      <c r="P347" s="618"/>
      <c r="Q347" s="618"/>
      <c r="R347" s="618"/>
      <c r="T347" s="295"/>
      <c r="X347" s="618"/>
      <c r="AA347" s="295"/>
      <c r="AH347" s="295"/>
      <c r="AO347" s="295"/>
      <c r="CU347" s="374">
        <v>32</v>
      </c>
      <c r="CV347" s="359" t="s">
        <v>1016</v>
      </c>
      <c r="CW347" s="361">
        <v>696806.43</v>
      </c>
      <c r="CX347" s="361">
        <v>0</v>
      </c>
      <c r="CY347" s="361">
        <v>23849.87</v>
      </c>
      <c r="CZ347" s="361">
        <v>74925.39</v>
      </c>
      <c r="DA347" s="361">
        <v>0</v>
      </c>
      <c r="DB347" s="361">
        <v>81201.539999999994</v>
      </c>
      <c r="DC347" s="361">
        <v>98253.07</v>
      </c>
      <c r="DD347" s="361">
        <v>73689.649999999994</v>
      </c>
      <c r="DE347" s="361">
        <v>212527.15</v>
      </c>
      <c r="DF347" s="361">
        <v>95319.74</v>
      </c>
      <c r="DG347" s="361">
        <v>37040.03</v>
      </c>
      <c r="DH347" s="361"/>
      <c r="DI347" s="361"/>
      <c r="DJ347" s="361"/>
      <c r="DK347" s="378"/>
    </row>
    <row r="348" spans="2:115" ht="13">
      <c r="B348" s="294"/>
      <c r="F348" s="296"/>
      <c r="J348" s="302"/>
      <c r="P348" s="618"/>
      <c r="Q348" s="618"/>
      <c r="R348" s="618"/>
      <c r="T348" s="295"/>
      <c r="X348" s="618"/>
      <c r="AA348" s="295"/>
      <c r="AH348" s="295"/>
      <c r="AO348" s="295"/>
      <c r="CU348" s="374">
        <v>33</v>
      </c>
      <c r="CV348" s="359" t="s">
        <v>1107</v>
      </c>
      <c r="CW348" s="361">
        <v>693112.12</v>
      </c>
      <c r="CX348" s="361">
        <v>0</v>
      </c>
      <c r="CY348" s="361">
        <v>0</v>
      </c>
      <c r="CZ348" s="361">
        <v>146481.28</v>
      </c>
      <c r="DA348" s="361">
        <v>0</v>
      </c>
      <c r="DB348" s="361">
        <v>164665.85</v>
      </c>
      <c r="DC348" s="361">
        <v>0</v>
      </c>
      <c r="DD348" s="361">
        <v>0</v>
      </c>
      <c r="DE348" s="361">
        <v>133207.32999999999</v>
      </c>
      <c r="DF348" s="361">
        <v>191693.92</v>
      </c>
      <c r="DG348" s="361">
        <v>57063.75</v>
      </c>
      <c r="DH348" s="365"/>
      <c r="DI348" s="365"/>
      <c r="DJ348" s="365"/>
      <c r="DK348" s="379"/>
    </row>
    <row r="349" spans="2:115" ht="13">
      <c r="B349" s="294"/>
      <c r="F349" s="296"/>
      <c r="J349" s="302"/>
      <c r="P349" s="618"/>
      <c r="Q349" s="618"/>
      <c r="R349" s="618"/>
      <c r="T349" s="295"/>
      <c r="X349" s="618"/>
      <c r="AA349" s="295"/>
      <c r="AH349" s="295"/>
      <c r="AO349" s="295"/>
      <c r="CU349" s="374">
        <v>34</v>
      </c>
      <c r="CV349" s="359" t="s">
        <v>1115</v>
      </c>
      <c r="CW349" s="361">
        <v>562476.31999999995</v>
      </c>
      <c r="CX349" s="361">
        <v>107141.68</v>
      </c>
      <c r="CY349" s="361">
        <v>90330.64</v>
      </c>
      <c r="CZ349" s="361">
        <v>95585.600000000006</v>
      </c>
      <c r="DA349" s="361">
        <v>45082.96</v>
      </c>
      <c r="DB349" s="361">
        <v>148868.88</v>
      </c>
      <c r="DC349" s="361">
        <v>75466.559999999998</v>
      </c>
      <c r="DD349" s="361">
        <v>0</v>
      </c>
      <c r="DE349" s="361">
        <v>0</v>
      </c>
      <c r="DF349" s="361">
        <v>0</v>
      </c>
      <c r="DG349" s="361">
        <v>0</v>
      </c>
      <c r="DH349" s="361"/>
      <c r="DI349" s="361"/>
      <c r="DJ349" s="361"/>
      <c r="DK349" s="378"/>
    </row>
    <row r="350" spans="2:115" ht="13">
      <c r="B350" s="294"/>
      <c r="F350" s="296"/>
      <c r="J350" s="302"/>
      <c r="P350" s="618"/>
      <c r="Q350" s="618"/>
      <c r="R350" s="618"/>
      <c r="T350" s="295"/>
      <c r="X350" s="618"/>
      <c r="AA350" s="295"/>
      <c r="AH350" s="295"/>
      <c r="AO350" s="295"/>
      <c r="CU350" s="374">
        <v>35</v>
      </c>
      <c r="CV350" s="359" t="s">
        <v>1101</v>
      </c>
      <c r="CW350" s="361">
        <v>537262.13</v>
      </c>
      <c r="CX350" s="361">
        <v>0</v>
      </c>
      <c r="CY350" s="361">
        <v>0</v>
      </c>
      <c r="CZ350" s="361">
        <v>134158.64000000001</v>
      </c>
      <c r="DA350" s="361">
        <v>57729.68</v>
      </c>
      <c r="DB350" s="361">
        <v>59752.160000000003</v>
      </c>
      <c r="DC350" s="361">
        <v>0</v>
      </c>
      <c r="DD350" s="361">
        <v>22887</v>
      </c>
      <c r="DE350" s="361">
        <v>0</v>
      </c>
      <c r="DF350" s="361">
        <v>115098.16</v>
      </c>
      <c r="DG350" s="361">
        <v>147636.49</v>
      </c>
      <c r="DH350" s="361"/>
      <c r="DI350" s="361"/>
      <c r="DJ350" s="361"/>
      <c r="DK350" s="378"/>
    </row>
    <row r="351" spans="2:115" ht="13">
      <c r="B351" s="294"/>
      <c r="F351" s="296"/>
      <c r="J351" s="302"/>
      <c r="P351" s="618"/>
      <c r="Q351" s="618"/>
      <c r="R351" s="618"/>
      <c r="T351" s="295"/>
      <c r="X351" s="618"/>
      <c r="AA351" s="295"/>
      <c r="AH351" s="295"/>
      <c r="AO351" s="295"/>
      <c r="CU351" s="374">
        <v>36</v>
      </c>
      <c r="CV351" s="359" t="s">
        <v>1021</v>
      </c>
      <c r="CW351" s="361">
        <v>505848.01</v>
      </c>
      <c r="CX351" s="361">
        <v>0</v>
      </c>
      <c r="CY351" s="361">
        <v>0</v>
      </c>
      <c r="CZ351" s="361">
        <v>0</v>
      </c>
      <c r="DA351" s="361">
        <v>0</v>
      </c>
      <c r="DB351" s="361">
        <v>396218.5</v>
      </c>
      <c r="DC351" s="361">
        <v>109629.51</v>
      </c>
      <c r="DD351" s="361">
        <v>0</v>
      </c>
      <c r="DE351" s="361">
        <v>0</v>
      </c>
      <c r="DF351" s="361">
        <v>0</v>
      </c>
      <c r="DG351" s="361">
        <v>0</v>
      </c>
      <c r="DH351" s="361"/>
      <c r="DI351" s="361"/>
      <c r="DJ351" s="361"/>
      <c r="DK351" s="378"/>
    </row>
    <row r="352" spans="2:115" ht="13">
      <c r="B352" s="294"/>
      <c r="F352" s="296"/>
      <c r="J352" s="302"/>
      <c r="P352" s="618"/>
      <c r="Q352" s="618"/>
      <c r="R352" s="618"/>
      <c r="T352" s="295"/>
      <c r="X352" s="618"/>
      <c r="AA352" s="295"/>
      <c r="AH352" s="295"/>
      <c r="AO352" s="295"/>
      <c r="CU352" s="374">
        <v>37</v>
      </c>
      <c r="CV352" s="359" t="s">
        <v>1051</v>
      </c>
      <c r="CW352" s="361">
        <v>482972.47</v>
      </c>
      <c r="CX352" s="361">
        <v>0</v>
      </c>
      <c r="CY352" s="361">
        <v>0</v>
      </c>
      <c r="CZ352" s="361">
        <v>0</v>
      </c>
      <c r="DA352" s="361">
        <v>34285.949999999997</v>
      </c>
      <c r="DB352" s="361">
        <v>84416.66</v>
      </c>
      <c r="DC352" s="361">
        <v>0</v>
      </c>
      <c r="DD352" s="361">
        <v>140636.93</v>
      </c>
      <c r="DE352" s="361">
        <v>125524.34</v>
      </c>
      <c r="DF352" s="361">
        <v>48098.94</v>
      </c>
      <c r="DG352" s="361">
        <v>50009.65</v>
      </c>
      <c r="DH352" s="361"/>
      <c r="DI352" s="361"/>
      <c r="DJ352" s="361"/>
      <c r="DK352" s="378"/>
    </row>
    <row r="353" spans="2:115" ht="13">
      <c r="B353" s="294"/>
      <c r="F353" s="296"/>
      <c r="J353" s="302"/>
      <c r="P353" s="618"/>
      <c r="Q353" s="618"/>
      <c r="R353" s="618"/>
      <c r="T353" s="295"/>
      <c r="X353" s="618"/>
      <c r="AA353" s="295"/>
      <c r="AH353" s="295"/>
      <c r="AO353" s="295"/>
      <c r="CU353" s="374">
        <v>38</v>
      </c>
      <c r="CV353" s="359" t="s">
        <v>1032</v>
      </c>
      <c r="CW353" s="361">
        <v>447445.19</v>
      </c>
      <c r="CX353" s="361">
        <v>0</v>
      </c>
      <c r="CY353" s="361">
        <v>0</v>
      </c>
      <c r="CZ353" s="361">
        <v>0</v>
      </c>
      <c r="DA353" s="361">
        <v>0</v>
      </c>
      <c r="DB353" s="361">
        <v>0</v>
      </c>
      <c r="DC353" s="361">
        <v>0</v>
      </c>
      <c r="DD353" s="361">
        <v>0</v>
      </c>
      <c r="DE353" s="361">
        <v>447445.19</v>
      </c>
      <c r="DF353" s="361">
        <v>0</v>
      </c>
      <c r="DG353" s="361">
        <v>0</v>
      </c>
      <c r="DH353" s="361"/>
      <c r="DI353" s="361"/>
      <c r="DJ353" s="361"/>
      <c r="DK353" s="378"/>
    </row>
    <row r="354" spans="2:115" ht="13">
      <c r="B354" s="294"/>
      <c r="F354" s="296"/>
      <c r="J354" s="302"/>
      <c r="P354" s="618"/>
      <c r="Q354" s="618"/>
      <c r="R354" s="618"/>
      <c r="T354" s="295"/>
      <c r="X354" s="618"/>
      <c r="AA354" s="295"/>
      <c r="AH354" s="295"/>
      <c r="AO354" s="295"/>
      <c r="CU354" s="374">
        <v>39</v>
      </c>
      <c r="CV354" s="359" t="s">
        <v>1013</v>
      </c>
      <c r="CW354" s="361">
        <v>436791.53</v>
      </c>
      <c r="CX354" s="361">
        <v>0</v>
      </c>
      <c r="CY354" s="361">
        <v>0</v>
      </c>
      <c r="CZ354" s="361">
        <v>25280.89</v>
      </c>
      <c r="DA354" s="361">
        <v>0</v>
      </c>
      <c r="DB354" s="361">
        <v>53089.99</v>
      </c>
      <c r="DC354" s="361">
        <v>72395.360000000001</v>
      </c>
      <c r="DD354" s="361">
        <v>0</v>
      </c>
      <c r="DE354" s="361">
        <v>50676.78</v>
      </c>
      <c r="DF354" s="361">
        <v>208113.63</v>
      </c>
      <c r="DG354" s="361">
        <v>27234.89</v>
      </c>
      <c r="DH354" s="361"/>
      <c r="DI354" s="361"/>
      <c r="DJ354" s="361"/>
      <c r="DK354" s="378"/>
    </row>
    <row r="355" spans="2:115" ht="13">
      <c r="B355" s="294"/>
      <c r="F355" s="296"/>
      <c r="J355" s="302"/>
      <c r="P355" s="618"/>
      <c r="Q355" s="618"/>
      <c r="R355" s="618"/>
      <c r="T355" s="295"/>
      <c r="X355" s="618"/>
      <c r="AA355" s="295"/>
      <c r="AH355" s="295"/>
      <c r="AO355" s="295"/>
      <c r="CU355" s="374">
        <v>40</v>
      </c>
      <c r="CV355" s="359" t="s">
        <v>1007</v>
      </c>
      <c r="CW355" s="361">
        <v>350841.1</v>
      </c>
      <c r="CX355" s="361">
        <v>70424.800000000003</v>
      </c>
      <c r="CY355" s="361">
        <v>39976.720000000001</v>
      </c>
      <c r="CZ355" s="361">
        <v>42375.360000000001</v>
      </c>
      <c r="DA355" s="361">
        <v>0</v>
      </c>
      <c r="DB355" s="361">
        <v>31057.599999999999</v>
      </c>
      <c r="DC355" s="361">
        <v>0</v>
      </c>
      <c r="DD355" s="361">
        <v>44494.16</v>
      </c>
      <c r="DE355" s="361">
        <v>122512.46</v>
      </c>
      <c r="DF355" s="361">
        <v>0</v>
      </c>
      <c r="DG355" s="361">
        <v>0</v>
      </c>
      <c r="DH355" s="361"/>
      <c r="DI355" s="361"/>
      <c r="DJ355" s="361"/>
      <c r="DK355" s="378"/>
    </row>
    <row r="356" spans="2:115" ht="13">
      <c r="B356" s="294"/>
      <c r="F356" s="296"/>
      <c r="J356" s="302"/>
      <c r="P356" s="618"/>
      <c r="Q356" s="618"/>
      <c r="R356" s="618"/>
      <c r="T356" s="295"/>
      <c r="X356" s="618"/>
      <c r="AA356" s="295"/>
      <c r="AH356" s="295"/>
      <c r="AO356" s="295"/>
      <c r="CU356" s="374">
        <v>41</v>
      </c>
      <c r="CV356" s="359" t="s">
        <v>1041</v>
      </c>
      <c r="CW356" s="361">
        <v>349871.21</v>
      </c>
      <c r="CX356" s="361">
        <v>0</v>
      </c>
      <c r="CY356" s="361">
        <v>6388.42</v>
      </c>
      <c r="CZ356" s="361">
        <v>0</v>
      </c>
      <c r="DA356" s="361">
        <v>49068.97</v>
      </c>
      <c r="DB356" s="361">
        <v>49068.97</v>
      </c>
      <c r="DC356" s="361">
        <v>0</v>
      </c>
      <c r="DD356" s="361">
        <v>171741.4</v>
      </c>
      <c r="DE356" s="361">
        <v>0</v>
      </c>
      <c r="DF356" s="361">
        <v>73603.460000000006</v>
      </c>
      <c r="DG356" s="361">
        <v>0</v>
      </c>
      <c r="DH356" s="361"/>
      <c r="DI356" s="361"/>
      <c r="DJ356" s="361"/>
      <c r="DK356" s="378"/>
    </row>
    <row r="357" spans="2:115" ht="13">
      <c r="B357" s="294"/>
      <c r="F357" s="296"/>
      <c r="J357" s="302"/>
      <c r="P357" s="618"/>
      <c r="Q357" s="618"/>
      <c r="R357" s="618"/>
      <c r="T357" s="295"/>
      <c r="X357" s="618"/>
      <c r="AA357" s="295"/>
      <c r="AH357" s="295"/>
      <c r="AO357" s="295"/>
      <c r="CU357" s="374">
        <v>42</v>
      </c>
      <c r="CV357" s="424" t="s">
        <v>1102</v>
      </c>
      <c r="CW357" s="361">
        <v>324191.44</v>
      </c>
      <c r="CX357" s="361">
        <v>94296.48</v>
      </c>
      <c r="CY357" s="361">
        <v>81096.479999999996</v>
      </c>
      <c r="CZ357" s="361">
        <v>0</v>
      </c>
      <c r="DA357" s="361">
        <v>117860.16</v>
      </c>
      <c r="DB357" s="361">
        <v>0</v>
      </c>
      <c r="DC357" s="361">
        <v>30938.32</v>
      </c>
      <c r="DD357" s="361">
        <v>0</v>
      </c>
      <c r="DE357" s="361">
        <v>0</v>
      </c>
      <c r="DF357" s="361">
        <v>0</v>
      </c>
      <c r="DG357" s="361">
        <v>0</v>
      </c>
      <c r="DH357" s="361"/>
      <c r="DI357" s="361"/>
      <c r="DJ357" s="361"/>
      <c r="DK357" s="378"/>
    </row>
    <row r="358" spans="2:115" ht="13">
      <c r="B358" s="294"/>
      <c r="F358" s="296"/>
      <c r="J358" s="302"/>
      <c r="P358" s="618"/>
      <c r="Q358" s="618"/>
      <c r="R358" s="618"/>
      <c r="T358" s="295"/>
      <c r="X358" s="618"/>
      <c r="AA358" s="295"/>
      <c r="AH358" s="295"/>
      <c r="AO358" s="295"/>
      <c r="CU358" s="374">
        <v>43</v>
      </c>
      <c r="CV358" s="359" t="s">
        <v>1116</v>
      </c>
      <c r="CW358" s="361">
        <v>236507.9</v>
      </c>
      <c r="CX358" s="361">
        <v>0</v>
      </c>
      <c r="CY358" s="361">
        <v>0</v>
      </c>
      <c r="CZ358" s="361">
        <v>94965.77</v>
      </c>
      <c r="DA358" s="361">
        <v>105541.96</v>
      </c>
      <c r="DB358" s="361">
        <v>36000.18</v>
      </c>
      <c r="DC358" s="361">
        <v>0</v>
      </c>
      <c r="DD358" s="365">
        <v>0</v>
      </c>
      <c r="DE358" s="365">
        <v>0</v>
      </c>
      <c r="DF358" s="365">
        <v>0</v>
      </c>
      <c r="DG358" s="365">
        <v>0</v>
      </c>
      <c r="DH358" s="365"/>
      <c r="DI358" s="365"/>
      <c r="DJ358" s="365"/>
      <c r="DK358" s="379"/>
    </row>
    <row r="359" spans="2:115" ht="13">
      <c r="B359" s="294"/>
      <c r="F359" s="296"/>
      <c r="J359" s="302"/>
      <c r="P359" s="618"/>
      <c r="Q359" s="618"/>
      <c r="R359" s="618"/>
      <c r="T359" s="295"/>
      <c r="X359" s="618"/>
      <c r="AA359" s="295"/>
      <c r="AH359" s="295"/>
      <c r="AO359" s="295"/>
      <c r="CU359" s="374">
        <v>44</v>
      </c>
      <c r="CV359" s="359" t="s">
        <v>1042</v>
      </c>
      <c r="CW359" s="361">
        <v>224753.52</v>
      </c>
      <c r="CX359" s="361">
        <v>0</v>
      </c>
      <c r="CY359" s="361">
        <v>42475.27</v>
      </c>
      <c r="CZ359" s="361">
        <v>0</v>
      </c>
      <c r="DA359" s="361">
        <v>39657.94</v>
      </c>
      <c r="DB359" s="361">
        <v>75300.649999999994</v>
      </c>
      <c r="DC359" s="361">
        <v>67319.66</v>
      </c>
      <c r="DD359" s="361">
        <v>0</v>
      </c>
      <c r="DE359" s="361">
        <v>0</v>
      </c>
      <c r="DF359" s="361">
        <v>0</v>
      </c>
      <c r="DG359" s="361">
        <v>0</v>
      </c>
      <c r="DH359" s="361"/>
      <c r="DI359" s="361"/>
      <c r="DJ359" s="361"/>
      <c r="DK359" s="378"/>
    </row>
    <row r="360" spans="2:115" ht="13">
      <c r="B360" s="294"/>
      <c r="F360" s="296"/>
      <c r="J360" s="302"/>
      <c r="P360" s="618"/>
      <c r="Q360" s="618"/>
      <c r="R360" s="618"/>
      <c r="T360" s="295"/>
      <c r="X360" s="618"/>
      <c r="AA360" s="295"/>
      <c r="AH360" s="295"/>
      <c r="AO360" s="295"/>
      <c r="CU360" s="374">
        <v>45</v>
      </c>
      <c r="CV360" s="359" t="s">
        <v>1100</v>
      </c>
      <c r="CW360" s="361">
        <v>212842.9</v>
      </c>
      <c r="CX360" s="361">
        <v>0</v>
      </c>
      <c r="CY360" s="361">
        <v>0</v>
      </c>
      <c r="CZ360" s="361">
        <v>0</v>
      </c>
      <c r="DA360" s="361">
        <v>0</v>
      </c>
      <c r="DB360" s="361">
        <v>44494.16</v>
      </c>
      <c r="DC360" s="361">
        <v>10233.52</v>
      </c>
      <c r="DD360" s="365">
        <v>0</v>
      </c>
      <c r="DE360" s="361">
        <v>0</v>
      </c>
      <c r="DF360" s="361">
        <v>41074.400000000001</v>
      </c>
      <c r="DG360" s="361">
        <v>117040.82</v>
      </c>
      <c r="DH360" s="365"/>
      <c r="DI360" s="365"/>
      <c r="DJ360" s="365"/>
      <c r="DK360" s="379"/>
    </row>
    <row r="361" spans="2:115" ht="13">
      <c r="B361" s="294"/>
      <c r="F361" s="296"/>
      <c r="J361" s="302"/>
      <c r="P361" s="618"/>
      <c r="Q361" s="618"/>
      <c r="R361" s="618"/>
      <c r="T361" s="295"/>
      <c r="X361" s="618"/>
      <c r="AA361" s="295"/>
      <c r="AH361" s="295"/>
      <c r="AO361" s="295"/>
      <c r="CU361" s="374">
        <v>46</v>
      </c>
      <c r="CV361" s="359" t="s">
        <v>1094</v>
      </c>
      <c r="CW361" s="361">
        <v>196132.98</v>
      </c>
      <c r="CX361" s="361">
        <v>25443.83</v>
      </c>
      <c r="CY361" s="361">
        <v>25443.83</v>
      </c>
      <c r="CZ361" s="361">
        <v>0</v>
      </c>
      <c r="DA361" s="361">
        <v>27224.9</v>
      </c>
      <c r="DB361" s="361">
        <v>28586.14</v>
      </c>
      <c r="DC361" s="361">
        <v>28586.14</v>
      </c>
      <c r="DD361" s="361">
        <v>0</v>
      </c>
      <c r="DE361" s="361">
        <v>28586.14</v>
      </c>
      <c r="DF361" s="361">
        <v>0</v>
      </c>
      <c r="DG361" s="361">
        <v>32262</v>
      </c>
      <c r="DH361" s="361"/>
      <c r="DI361" s="361"/>
      <c r="DJ361" s="361"/>
      <c r="DK361" s="378"/>
    </row>
    <row r="362" spans="2:115" ht="13">
      <c r="B362" s="294"/>
      <c r="F362" s="296"/>
      <c r="J362" s="302"/>
      <c r="P362" s="618"/>
      <c r="Q362" s="618"/>
      <c r="R362" s="618"/>
      <c r="T362" s="295"/>
      <c r="X362" s="618"/>
      <c r="AA362" s="295"/>
      <c r="AH362" s="295"/>
      <c r="AO362" s="295"/>
      <c r="CU362" s="374">
        <v>47</v>
      </c>
      <c r="CV362" s="359" t="s">
        <v>1040</v>
      </c>
      <c r="CW362" s="361">
        <v>168299.58</v>
      </c>
      <c r="CX362" s="361">
        <v>0</v>
      </c>
      <c r="CY362" s="361">
        <v>0</v>
      </c>
      <c r="CZ362" s="361">
        <v>0</v>
      </c>
      <c r="DA362" s="361">
        <v>33659.919999999998</v>
      </c>
      <c r="DB362" s="361">
        <v>67319.83</v>
      </c>
      <c r="DC362" s="361">
        <v>0</v>
      </c>
      <c r="DD362" s="361">
        <v>0</v>
      </c>
      <c r="DE362" s="361">
        <v>67319.83</v>
      </c>
      <c r="DF362" s="361">
        <v>0</v>
      </c>
      <c r="DG362" s="361">
        <v>0</v>
      </c>
      <c r="DH362" s="361"/>
      <c r="DI362" s="361"/>
      <c r="DJ362" s="361"/>
      <c r="DK362" s="378"/>
    </row>
    <row r="363" spans="2:115" ht="13">
      <c r="B363" s="294"/>
      <c r="F363" s="296"/>
      <c r="J363" s="302"/>
      <c r="P363" s="618"/>
      <c r="Q363" s="618"/>
      <c r="R363" s="618"/>
      <c r="T363" s="295"/>
      <c r="X363" s="618"/>
      <c r="AA363" s="295"/>
      <c r="AH363" s="295"/>
      <c r="AO363" s="295"/>
      <c r="CU363" s="374">
        <v>48</v>
      </c>
      <c r="CV363" s="359" t="s">
        <v>1091</v>
      </c>
      <c r="CW363" s="361">
        <v>144008.04999999999</v>
      </c>
      <c r="CX363" s="361">
        <v>64119.61</v>
      </c>
      <c r="CY363" s="361">
        <v>79888.44</v>
      </c>
      <c r="CZ363" s="361">
        <v>0</v>
      </c>
      <c r="DA363" s="361">
        <v>0</v>
      </c>
      <c r="DB363" s="361">
        <v>0</v>
      </c>
      <c r="DC363" s="361">
        <v>0</v>
      </c>
      <c r="DD363" s="361">
        <v>0</v>
      </c>
      <c r="DE363" s="361">
        <v>0</v>
      </c>
      <c r="DF363" s="361">
        <v>0</v>
      </c>
      <c r="DG363" s="361">
        <v>0</v>
      </c>
      <c r="DH363" s="361"/>
      <c r="DI363" s="361"/>
      <c r="DJ363" s="361"/>
      <c r="DK363" s="378"/>
    </row>
    <row r="364" spans="2:115" ht="13">
      <c r="B364" s="294"/>
      <c r="F364" s="296"/>
      <c r="J364" s="302"/>
      <c r="P364" s="618"/>
      <c r="Q364" s="618"/>
      <c r="R364" s="618"/>
      <c r="T364" s="295"/>
      <c r="X364" s="618"/>
      <c r="AA364" s="295"/>
      <c r="AH364" s="295"/>
      <c r="AO364" s="295"/>
      <c r="CU364" s="374">
        <v>49</v>
      </c>
      <c r="CV364" s="359" t="s">
        <v>1026</v>
      </c>
      <c r="CW364" s="361">
        <v>143599.18</v>
      </c>
      <c r="CX364" s="361">
        <v>0</v>
      </c>
      <c r="CY364" s="361">
        <v>0</v>
      </c>
      <c r="CZ364" s="361">
        <v>0</v>
      </c>
      <c r="DA364" s="361">
        <v>0</v>
      </c>
      <c r="DB364" s="361">
        <v>0</v>
      </c>
      <c r="DC364" s="361">
        <v>28747.89</v>
      </c>
      <c r="DD364" s="361">
        <v>46504.14</v>
      </c>
      <c r="DE364" s="361">
        <v>17086.8</v>
      </c>
      <c r="DF364" s="361">
        <v>34173.550000000003</v>
      </c>
      <c r="DG364" s="361">
        <v>17086.8</v>
      </c>
      <c r="DH364" s="361"/>
      <c r="DI364" s="361"/>
      <c r="DJ364" s="361"/>
      <c r="DK364" s="378"/>
    </row>
    <row r="365" spans="2:115" ht="13">
      <c r="B365" s="294"/>
      <c r="F365" s="296"/>
      <c r="J365" s="302"/>
      <c r="P365" s="618"/>
      <c r="Q365" s="618"/>
      <c r="R365" s="618"/>
      <c r="T365" s="295"/>
      <c r="X365" s="618"/>
      <c r="AA365" s="295"/>
      <c r="AH365" s="295"/>
      <c r="AO365" s="295"/>
      <c r="CU365" s="374">
        <v>50</v>
      </c>
      <c r="CV365" s="359" t="s">
        <v>1093</v>
      </c>
      <c r="CW365" s="361">
        <v>138789.01999999999</v>
      </c>
      <c r="CX365" s="361">
        <v>0</v>
      </c>
      <c r="CY365" s="361">
        <v>0</v>
      </c>
      <c r="CZ365" s="361">
        <v>0</v>
      </c>
      <c r="DA365" s="361">
        <v>0</v>
      </c>
      <c r="DB365" s="361">
        <v>0</v>
      </c>
      <c r="DC365" s="361">
        <v>0</v>
      </c>
      <c r="DD365" s="361">
        <v>0</v>
      </c>
      <c r="DE365" s="361">
        <v>63432.63</v>
      </c>
      <c r="DF365" s="361">
        <v>75356.39</v>
      </c>
      <c r="DG365" s="361">
        <v>0</v>
      </c>
      <c r="DH365" s="361"/>
      <c r="DI365" s="361"/>
      <c r="DJ365" s="361"/>
      <c r="DK365" s="378"/>
    </row>
    <row r="366" spans="2:115" ht="13">
      <c r="B366" s="294"/>
      <c r="F366" s="296"/>
      <c r="J366" s="302"/>
      <c r="P366" s="618"/>
      <c r="Q366" s="618"/>
      <c r="R366" s="618"/>
      <c r="T366" s="295"/>
      <c r="X366" s="618"/>
      <c r="AA366" s="295"/>
      <c r="AH366" s="295"/>
      <c r="AO366" s="295"/>
      <c r="CU366" s="374">
        <v>51</v>
      </c>
      <c r="CV366" s="359" t="s">
        <v>1077</v>
      </c>
      <c r="CW366" s="361">
        <v>126240.49</v>
      </c>
      <c r="CX366" s="361">
        <v>0</v>
      </c>
      <c r="CY366" s="361">
        <v>57893.49</v>
      </c>
      <c r="CZ366" s="361">
        <v>0</v>
      </c>
      <c r="DA366" s="365">
        <v>0</v>
      </c>
      <c r="DB366" s="361">
        <v>0</v>
      </c>
      <c r="DC366" s="361">
        <v>0</v>
      </c>
      <c r="DD366" s="365">
        <v>0</v>
      </c>
      <c r="DE366" s="361">
        <v>17086.75</v>
      </c>
      <c r="DF366" s="361">
        <v>51260.25</v>
      </c>
      <c r="DG366" s="365">
        <v>0</v>
      </c>
      <c r="DH366" s="365"/>
      <c r="DI366" s="365"/>
      <c r="DJ366" s="365"/>
      <c r="DK366" s="379"/>
    </row>
    <row r="367" spans="2:115" ht="13">
      <c r="B367" s="294"/>
      <c r="F367" s="296"/>
      <c r="J367" s="302"/>
      <c r="P367" s="618"/>
      <c r="Q367" s="618"/>
      <c r="R367" s="618"/>
      <c r="T367" s="295"/>
      <c r="X367" s="618"/>
      <c r="AA367" s="295"/>
      <c r="AH367" s="295"/>
      <c r="AO367" s="295"/>
      <c r="CU367" s="374">
        <v>52</v>
      </c>
      <c r="CV367" s="359" t="s">
        <v>1017</v>
      </c>
      <c r="CW367" s="361">
        <v>120908.75</v>
      </c>
      <c r="CX367" s="361">
        <v>0</v>
      </c>
      <c r="CY367" s="361">
        <v>0</v>
      </c>
      <c r="CZ367" s="361">
        <v>0</v>
      </c>
      <c r="DA367" s="361">
        <v>0</v>
      </c>
      <c r="DB367" s="361">
        <v>0</v>
      </c>
      <c r="DC367" s="361">
        <v>0</v>
      </c>
      <c r="DD367" s="361">
        <v>0</v>
      </c>
      <c r="DE367" s="361">
        <v>51592.76</v>
      </c>
      <c r="DF367" s="361">
        <v>0</v>
      </c>
      <c r="DG367" s="361">
        <v>69315.990000000005</v>
      </c>
      <c r="DH367" s="361"/>
      <c r="DI367" s="361"/>
      <c r="DJ367" s="361"/>
      <c r="DK367" s="378"/>
    </row>
    <row r="368" spans="2:115" ht="13">
      <c r="B368" s="294"/>
      <c r="F368" s="296"/>
      <c r="J368" s="302"/>
      <c r="P368" s="618"/>
      <c r="Q368" s="618"/>
      <c r="R368" s="618"/>
      <c r="T368" s="295"/>
      <c r="X368" s="618"/>
      <c r="AA368" s="295"/>
      <c r="AH368" s="295"/>
      <c r="AO368" s="295"/>
      <c r="CU368" s="374">
        <v>53</v>
      </c>
      <c r="CV368" s="359" t="s">
        <v>1097</v>
      </c>
      <c r="CW368" s="361">
        <v>109209.44</v>
      </c>
      <c r="CX368" s="361">
        <v>0</v>
      </c>
      <c r="CY368" s="361">
        <v>0</v>
      </c>
      <c r="CZ368" s="361">
        <v>20137.28</v>
      </c>
      <c r="DA368" s="361">
        <v>0</v>
      </c>
      <c r="DB368" s="361">
        <v>0</v>
      </c>
      <c r="DC368" s="361">
        <v>89072.16</v>
      </c>
      <c r="DD368" s="361">
        <v>0</v>
      </c>
      <c r="DE368" s="361">
        <v>0</v>
      </c>
      <c r="DF368" s="361">
        <v>0</v>
      </c>
      <c r="DG368" s="361">
        <v>0</v>
      </c>
      <c r="DH368" s="361"/>
      <c r="DI368" s="361"/>
      <c r="DJ368" s="361"/>
      <c r="DK368" s="378"/>
    </row>
    <row r="369" spans="2:115" ht="13">
      <c r="B369" s="294"/>
      <c r="F369" s="296"/>
      <c r="J369" s="302"/>
      <c r="P369" s="618"/>
      <c r="Q369" s="618"/>
      <c r="R369" s="618"/>
      <c r="T369" s="295"/>
      <c r="X369" s="618"/>
      <c r="AA369" s="295"/>
      <c r="AH369" s="295"/>
      <c r="AO369" s="295"/>
      <c r="CU369" s="374">
        <v>54</v>
      </c>
      <c r="CV369" s="359" t="s">
        <v>1020</v>
      </c>
      <c r="CW369" s="361">
        <v>99955.199999999997</v>
      </c>
      <c r="CX369" s="361">
        <v>0</v>
      </c>
      <c r="CY369" s="361">
        <v>0</v>
      </c>
      <c r="CZ369" s="361">
        <v>0</v>
      </c>
      <c r="DA369" s="361">
        <v>0</v>
      </c>
      <c r="DB369" s="361">
        <v>0</v>
      </c>
      <c r="DC369" s="361">
        <v>0</v>
      </c>
      <c r="DD369" s="361">
        <v>0</v>
      </c>
      <c r="DE369" s="361">
        <v>31057.599999999999</v>
      </c>
      <c r="DF369" s="361">
        <v>20917.52</v>
      </c>
      <c r="DG369" s="361">
        <v>47980.08</v>
      </c>
      <c r="DH369" s="361"/>
      <c r="DI369" s="361"/>
      <c r="DJ369" s="361"/>
      <c r="DK369" s="378"/>
    </row>
    <row r="370" spans="2:115" ht="13">
      <c r="B370" s="294"/>
      <c r="F370" s="296"/>
      <c r="J370" s="302"/>
      <c r="P370" s="618"/>
      <c r="Q370" s="618"/>
      <c r="R370" s="618"/>
      <c r="T370" s="295"/>
      <c r="X370" s="618"/>
      <c r="AA370" s="295"/>
      <c r="AH370" s="295"/>
      <c r="AO370" s="295"/>
      <c r="CU370" s="374">
        <v>55</v>
      </c>
      <c r="CV370" s="359" t="s">
        <v>1118</v>
      </c>
      <c r="CW370" s="361">
        <v>89590.06</v>
      </c>
      <c r="CX370" s="361">
        <v>89590.06</v>
      </c>
      <c r="CY370" s="361">
        <v>0</v>
      </c>
      <c r="CZ370" s="365">
        <v>0</v>
      </c>
      <c r="DA370" s="365">
        <v>0</v>
      </c>
      <c r="DB370" s="361">
        <v>0</v>
      </c>
      <c r="DC370" s="365">
        <v>0</v>
      </c>
      <c r="DD370" s="365">
        <v>0</v>
      </c>
      <c r="DE370" s="361">
        <v>0</v>
      </c>
      <c r="DF370" s="365">
        <v>0</v>
      </c>
      <c r="DG370" s="365">
        <v>0</v>
      </c>
      <c r="DH370" s="365"/>
      <c r="DI370" s="365"/>
      <c r="DJ370" s="365"/>
      <c r="DK370" s="379"/>
    </row>
    <row r="371" spans="2:115" ht="13">
      <c r="B371" s="294"/>
      <c r="F371" s="296"/>
      <c r="J371" s="302"/>
      <c r="P371" s="618"/>
      <c r="Q371" s="618"/>
      <c r="R371" s="618"/>
      <c r="T371" s="295"/>
      <c r="X371" s="618"/>
      <c r="AA371" s="295"/>
      <c r="AH371" s="295"/>
      <c r="AO371" s="295"/>
      <c r="CU371" s="374">
        <v>56</v>
      </c>
      <c r="CV371" s="359" t="s">
        <v>869</v>
      </c>
      <c r="CW371" s="361">
        <v>89072.16</v>
      </c>
      <c r="CX371" s="361">
        <v>0</v>
      </c>
      <c r="CY371" s="361">
        <v>0</v>
      </c>
      <c r="CZ371" s="365">
        <v>0</v>
      </c>
      <c r="DA371" s="361">
        <v>0</v>
      </c>
      <c r="DB371" s="361">
        <v>89072.16</v>
      </c>
      <c r="DC371" s="361">
        <v>0</v>
      </c>
      <c r="DD371" s="365">
        <v>0</v>
      </c>
      <c r="DE371" s="365">
        <v>0</v>
      </c>
      <c r="DF371" s="361">
        <v>0</v>
      </c>
      <c r="DG371" s="361">
        <v>0</v>
      </c>
      <c r="DH371" s="365"/>
      <c r="DI371" s="365"/>
      <c r="DJ371" s="365"/>
      <c r="DK371" s="379"/>
    </row>
    <row r="372" spans="2:115" ht="13">
      <c r="B372" s="294"/>
      <c r="F372" s="296"/>
      <c r="J372" s="302"/>
      <c r="P372" s="618"/>
      <c r="Q372" s="618"/>
      <c r="R372" s="618"/>
      <c r="T372" s="295"/>
      <c r="X372" s="618"/>
      <c r="AA372" s="295"/>
      <c r="AH372" s="295"/>
      <c r="AO372" s="295"/>
      <c r="CU372" s="374">
        <v>57</v>
      </c>
      <c r="CV372" s="359" t="s">
        <v>1111</v>
      </c>
      <c r="CW372" s="361">
        <v>86363.71</v>
      </c>
      <c r="CX372" s="361">
        <v>0</v>
      </c>
      <c r="CY372" s="361">
        <v>0</v>
      </c>
      <c r="CZ372" s="361">
        <v>0</v>
      </c>
      <c r="DA372" s="361">
        <v>10572.07</v>
      </c>
      <c r="DB372" s="361">
        <v>31057.599999999999</v>
      </c>
      <c r="DC372" s="361">
        <v>0</v>
      </c>
      <c r="DD372" s="361">
        <v>0</v>
      </c>
      <c r="DE372" s="361">
        <v>0</v>
      </c>
      <c r="DF372" s="361">
        <v>26008.21</v>
      </c>
      <c r="DG372" s="361">
        <v>18725.82</v>
      </c>
      <c r="DH372" s="361"/>
      <c r="DI372" s="361"/>
      <c r="DJ372" s="361"/>
      <c r="DK372" s="378"/>
    </row>
    <row r="373" spans="2:115" ht="13">
      <c r="B373" s="294"/>
      <c r="F373" s="296"/>
      <c r="J373" s="302"/>
      <c r="P373" s="618"/>
      <c r="Q373" s="618"/>
      <c r="R373" s="618"/>
      <c r="T373" s="295"/>
      <c r="X373" s="618"/>
      <c r="AA373" s="295"/>
      <c r="AH373" s="295"/>
      <c r="AO373" s="295"/>
      <c r="CU373" s="374">
        <v>58</v>
      </c>
      <c r="CV373" s="359" t="s">
        <v>1081</v>
      </c>
      <c r="CW373" s="361">
        <v>68100</v>
      </c>
      <c r="CX373" s="361">
        <v>39600</v>
      </c>
      <c r="CY373" s="361">
        <v>28500</v>
      </c>
      <c r="CZ373" s="361">
        <v>0</v>
      </c>
      <c r="DA373" s="361">
        <v>0</v>
      </c>
      <c r="DB373" s="361">
        <v>0</v>
      </c>
      <c r="DC373" s="361">
        <v>0</v>
      </c>
      <c r="DD373" s="361">
        <v>0</v>
      </c>
      <c r="DE373" s="361">
        <v>0</v>
      </c>
      <c r="DF373" s="361">
        <v>0</v>
      </c>
      <c r="DG373" s="361">
        <v>0</v>
      </c>
      <c r="DH373" s="361"/>
      <c r="DI373" s="361"/>
      <c r="DJ373" s="361"/>
      <c r="DK373" s="378"/>
    </row>
    <row r="374" spans="2:115" ht="13">
      <c r="B374" s="294"/>
      <c r="F374" s="296"/>
      <c r="J374" s="302"/>
      <c r="P374" s="618"/>
      <c r="Q374" s="618"/>
      <c r="R374" s="618"/>
      <c r="T374" s="295"/>
      <c r="X374" s="618"/>
      <c r="AA374" s="295"/>
      <c r="AH374" s="295"/>
      <c r="AO374" s="295"/>
      <c r="CU374" s="374">
        <v>59</v>
      </c>
      <c r="CV374" s="359" t="s">
        <v>1123</v>
      </c>
      <c r="CW374" s="361">
        <v>65045.29</v>
      </c>
      <c r="CX374" s="361">
        <v>0</v>
      </c>
      <c r="CY374" s="361">
        <v>65045.29</v>
      </c>
      <c r="CZ374" s="361">
        <v>0</v>
      </c>
      <c r="DA374" s="361">
        <v>0</v>
      </c>
      <c r="DB374" s="361">
        <v>0</v>
      </c>
      <c r="DC374" s="361">
        <v>0</v>
      </c>
      <c r="DD374" s="361">
        <v>0</v>
      </c>
      <c r="DE374" s="361">
        <v>0</v>
      </c>
      <c r="DF374" s="361">
        <v>0</v>
      </c>
      <c r="DG374" s="361">
        <v>0</v>
      </c>
      <c r="DH374" s="361"/>
      <c r="DI374" s="361"/>
      <c r="DJ374" s="361"/>
      <c r="DK374" s="378"/>
    </row>
    <row r="375" spans="2:115" ht="13">
      <c r="B375" s="294"/>
      <c r="F375" s="296"/>
      <c r="J375" s="302"/>
      <c r="P375" s="618"/>
      <c r="Q375" s="618"/>
      <c r="R375" s="618"/>
      <c r="T375" s="295"/>
      <c r="X375" s="618"/>
      <c r="AA375" s="295"/>
      <c r="AH375" s="295"/>
      <c r="AO375" s="295"/>
      <c r="CU375" s="374">
        <v>60</v>
      </c>
      <c r="CV375" s="359" t="s">
        <v>995</v>
      </c>
      <c r="CW375" s="361">
        <v>62115.199999999997</v>
      </c>
      <c r="CX375" s="361">
        <v>0</v>
      </c>
      <c r="CY375" s="361">
        <v>0</v>
      </c>
      <c r="CZ375" s="361">
        <v>0</v>
      </c>
      <c r="DA375" s="361">
        <v>0</v>
      </c>
      <c r="DB375" s="361">
        <v>31057.599999999999</v>
      </c>
      <c r="DC375" s="361">
        <v>0</v>
      </c>
      <c r="DD375" s="361">
        <v>0</v>
      </c>
      <c r="DE375" s="361">
        <v>31057.599999999999</v>
      </c>
      <c r="DF375" s="361">
        <v>0</v>
      </c>
      <c r="DG375" s="361">
        <v>0</v>
      </c>
      <c r="DH375" s="361"/>
      <c r="DI375" s="361"/>
      <c r="DJ375" s="361"/>
      <c r="DK375" s="378"/>
    </row>
    <row r="376" spans="2:115" ht="13">
      <c r="B376" s="294"/>
      <c r="F376" s="296"/>
      <c r="J376" s="302"/>
      <c r="P376" s="618"/>
      <c r="Q376" s="618"/>
      <c r="R376" s="618"/>
      <c r="T376" s="295"/>
      <c r="X376" s="618"/>
      <c r="AA376" s="295"/>
      <c r="AH376" s="295"/>
      <c r="AO376" s="295"/>
      <c r="CU376" s="374">
        <v>61</v>
      </c>
      <c r="CV376" s="359" t="s">
        <v>1031</v>
      </c>
      <c r="CW376" s="361">
        <v>62115.199999999997</v>
      </c>
      <c r="CX376" s="361">
        <v>0</v>
      </c>
      <c r="CY376" s="361">
        <v>0</v>
      </c>
      <c r="CZ376" s="361">
        <v>0</v>
      </c>
      <c r="DA376" s="361">
        <v>0</v>
      </c>
      <c r="DB376" s="361">
        <v>31057.599999999999</v>
      </c>
      <c r="DC376" s="361">
        <v>0</v>
      </c>
      <c r="DD376" s="361">
        <v>0</v>
      </c>
      <c r="DE376" s="361">
        <v>31057.599999999999</v>
      </c>
      <c r="DF376" s="361">
        <v>0</v>
      </c>
      <c r="DG376" s="361">
        <v>0</v>
      </c>
      <c r="DH376" s="361"/>
      <c r="DI376" s="361"/>
      <c r="DJ376" s="361"/>
      <c r="DK376" s="378"/>
    </row>
    <row r="377" spans="2:115" ht="13">
      <c r="B377" s="294"/>
      <c r="F377" s="296"/>
      <c r="J377" s="302"/>
      <c r="P377" s="618"/>
      <c r="Q377" s="618"/>
      <c r="R377" s="618"/>
      <c r="T377" s="295"/>
      <c r="X377" s="618"/>
      <c r="AA377" s="295"/>
      <c r="AH377" s="295"/>
      <c r="AO377" s="295"/>
      <c r="CU377" s="374">
        <v>62</v>
      </c>
      <c r="CV377" s="359" t="s">
        <v>1096</v>
      </c>
      <c r="CW377" s="361">
        <v>43495.51</v>
      </c>
      <c r="CX377" s="361">
        <v>0</v>
      </c>
      <c r="CY377" s="361">
        <v>43495.51</v>
      </c>
      <c r="CZ377" s="361">
        <v>0</v>
      </c>
      <c r="DA377" s="361">
        <v>0</v>
      </c>
      <c r="DB377" s="361">
        <v>0</v>
      </c>
      <c r="DC377" s="361">
        <v>0</v>
      </c>
      <c r="DD377" s="361">
        <v>0</v>
      </c>
      <c r="DE377" s="361">
        <v>0</v>
      </c>
      <c r="DF377" s="361">
        <v>0</v>
      </c>
      <c r="DG377" s="361">
        <v>0</v>
      </c>
      <c r="DH377" s="361"/>
      <c r="DI377" s="361"/>
      <c r="DJ377" s="361"/>
      <c r="DK377" s="378"/>
    </row>
    <row r="378" spans="2:115" ht="13">
      <c r="B378" s="294"/>
      <c r="F378" s="296"/>
      <c r="J378" s="302"/>
      <c r="P378" s="618"/>
      <c r="Q378" s="618"/>
      <c r="R378" s="618"/>
      <c r="T378" s="295"/>
      <c r="X378" s="618"/>
      <c r="AA378" s="295"/>
      <c r="AH378" s="295"/>
      <c r="AO378" s="295"/>
      <c r="CU378" s="374">
        <v>63</v>
      </c>
      <c r="CV378" s="359" t="s">
        <v>1011</v>
      </c>
      <c r="CW378" s="361">
        <v>39600</v>
      </c>
      <c r="CX378" s="361">
        <v>39600</v>
      </c>
      <c r="CY378" s="361">
        <v>0</v>
      </c>
      <c r="CZ378" s="361">
        <v>0</v>
      </c>
      <c r="DA378" s="361">
        <v>0</v>
      </c>
      <c r="DB378" s="361">
        <v>0</v>
      </c>
      <c r="DC378" s="361">
        <v>0</v>
      </c>
      <c r="DD378" s="361">
        <v>0</v>
      </c>
      <c r="DE378" s="361">
        <v>0</v>
      </c>
      <c r="DF378" s="361">
        <v>0</v>
      </c>
      <c r="DG378" s="361">
        <v>0</v>
      </c>
      <c r="DH378" s="361"/>
      <c r="DI378" s="361"/>
      <c r="DJ378" s="361"/>
      <c r="DK378" s="378"/>
    </row>
    <row r="379" spans="2:115" ht="13">
      <c r="B379" s="294"/>
      <c r="F379" s="296"/>
      <c r="J379" s="302"/>
      <c r="P379" s="618"/>
      <c r="Q379" s="618"/>
      <c r="R379" s="618"/>
      <c r="T379" s="295"/>
      <c r="X379" s="618"/>
      <c r="AA379" s="295"/>
      <c r="AH379" s="295"/>
      <c r="AO379" s="295"/>
      <c r="CU379" s="374">
        <v>64</v>
      </c>
      <c r="CV379" s="359" t="s">
        <v>1014</v>
      </c>
      <c r="CW379" s="361">
        <v>39600</v>
      </c>
      <c r="CX379" s="361">
        <v>39600</v>
      </c>
      <c r="CY379" s="361">
        <v>0</v>
      </c>
      <c r="CZ379" s="365">
        <v>0</v>
      </c>
      <c r="DA379" s="365">
        <v>0</v>
      </c>
      <c r="DB379" s="365">
        <v>0</v>
      </c>
      <c r="DC379" s="365">
        <v>0</v>
      </c>
      <c r="DD379" s="365">
        <v>0</v>
      </c>
      <c r="DE379" s="365">
        <v>0</v>
      </c>
      <c r="DF379" s="365">
        <v>0</v>
      </c>
      <c r="DG379" s="365">
        <v>0</v>
      </c>
      <c r="DH379" s="365"/>
      <c r="DI379" s="365"/>
      <c r="DJ379" s="365"/>
      <c r="DK379" s="379"/>
    </row>
    <row r="380" spans="2:115" ht="13">
      <c r="B380" s="294"/>
      <c r="F380" s="296"/>
      <c r="J380" s="302"/>
      <c r="P380" s="618"/>
      <c r="Q380" s="618"/>
      <c r="R380" s="618"/>
      <c r="T380" s="295"/>
      <c r="X380" s="618"/>
      <c r="AA380" s="295"/>
      <c r="AH380" s="295"/>
      <c r="AO380" s="295"/>
      <c r="CU380" s="374">
        <v>65</v>
      </c>
      <c r="CV380" s="359" t="s">
        <v>1015</v>
      </c>
      <c r="CW380" s="361">
        <v>37657.599999999999</v>
      </c>
      <c r="CX380" s="361">
        <v>6600</v>
      </c>
      <c r="CY380" s="361">
        <v>0</v>
      </c>
      <c r="CZ380" s="361">
        <v>0</v>
      </c>
      <c r="DA380" s="361">
        <v>0</v>
      </c>
      <c r="DB380" s="361">
        <v>0</v>
      </c>
      <c r="DC380" s="361">
        <v>0</v>
      </c>
      <c r="DD380" s="361">
        <v>0</v>
      </c>
      <c r="DE380" s="361">
        <v>31057.599999999999</v>
      </c>
      <c r="DF380" s="361">
        <v>0</v>
      </c>
      <c r="DG380" s="361">
        <v>0</v>
      </c>
      <c r="DH380" s="361"/>
      <c r="DI380" s="361"/>
      <c r="DJ380" s="361"/>
      <c r="DK380" s="378"/>
    </row>
    <row r="381" spans="2:115" ht="13">
      <c r="B381" s="294"/>
      <c r="F381" s="296"/>
      <c r="J381" s="302"/>
      <c r="P381" s="618"/>
      <c r="Q381" s="618"/>
      <c r="R381" s="618"/>
      <c r="T381" s="295"/>
      <c r="X381" s="618"/>
      <c r="AA381" s="295"/>
      <c r="AH381" s="295"/>
      <c r="AO381" s="295"/>
      <c r="CU381" s="374">
        <v>66</v>
      </c>
      <c r="CV381" s="359" t="s">
        <v>1063</v>
      </c>
      <c r="CW381" s="361">
        <v>34173.5</v>
      </c>
      <c r="CX381" s="361">
        <v>0</v>
      </c>
      <c r="CY381" s="361">
        <v>0</v>
      </c>
      <c r="CZ381" s="361">
        <v>0</v>
      </c>
      <c r="DA381" s="361">
        <v>0</v>
      </c>
      <c r="DB381" s="361">
        <v>0</v>
      </c>
      <c r="DC381" s="361">
        <v>0</v>
      </c>
      <c r="DD381" s="361">
        <v>17086.75</v>
      </c>
      <c r="DE381" s="361">
        <v>17086.75</v>
      </c>
      <c r="DF381" s="361">
        <v>0</v>
      </c>
      <c r="DG381" s="361">
        <v>0</v>
      </c>
      <c r="DH381" s="361"/>
      <c r="DI381" s="361"/>
      <c r="DJ381" s="361"/>
      <c r="DK381" s="378"/>
    </row>
    <row r="382" spans="2:115" ht="13">
      <c r="B382" s="294"/>
      <c r="F382" s="296"/>
      <c r="J382" s="302"/>
      <c r="P382" s="618"/>
      <c r="Q382" s="618"/>
      <c r="R382" s="618"/>
      <c r="T382" s="295"/>
      <c r="X382" s="618"/>
      <c r="AA382" s="295"/>
      <c r="AH382" s="295"/>
      <c r="AO382" s="295"/>
      <c r="CU382" s="374">
        <v>67</v>
      </c>
      <c r="CV382" s="359" t="s">
        <v>1095</v>
      </c>
      <c r="CW382" s="361">
        <v>23849.9</v>
      </c>
      <c r="CX382" s="361">
        <v>23849.9</v>
      </c>
      <c r="CY382" s="361">
        <v>0</v>
      </c>
      <c r="CZ382" s="361">
        <v>0</v>
      </c>
      <c r="DA382" s="361">
        <v>0</v>
      </c>
      <c r="DB382" s="361">
        <v>0</v>
      </c>
      <c r="DC382" s="361">
        <v>0</v>
      </c>
      <c r="DD382" s="361">
        <v>0</v>
      </c>
      <c r="DE382" s="361">
        <v>0</v>
      </c>
      <c r="DF382" s="361">
        <v>0</v>
      </c>
      <c r="DG382" s="361">
        <v>0</v>
      </c>
      <c r="DH382" s="361"/>
      <c r="DI382" s="361"/>
      <c r="DJ382" s="361"/>
      <c r="DK382" s="378"/>
    </row>
    <row r="383" spans="2:115" ht="13">
      <c r="B383" s="294"/>
      <c r="F383" s="296"/>
      <c r="J383" s="302"/>
      <c r="P383" s="618"/>
      <c r="Q383" s="618"/>
      <c r="R383" s="618"/>
      <c r="T383" s="295"/>
      <c r="X383" s="618"/>
      <c r="AA383" s="295"/>
      <c r="AH383" s="295"/>
      <c r="AO383" s="295"/>
      <c r="CU383" s="374">
        <v>68</v>
      </c>
      <c r="CV383" s="359" t="s">
        <v>1012</v>
      </c>
      <c r="CW383" s="361">
        <v>9794.2099999999991</v>
      </c>
      <c r="CX383" s="361">
        <v>6600</v>
      </c>
      <c r="CY383" s="361">
        <v>3194.21</v>
      </c>
      <c r="CZ383" s="365">
        <v>0</v>
      </c>
      <c r="DA383" s="365">
        <v>0</v>
      </c>
      <c r="DB383" s="365">
        <v>0</v>
      </c>
      <c r="DC383" s="365">
        <v>0</v>
      </c>
      <c r="DD383" s="365">
        <v>0</v>
      </c>
      <c r="DE383" s="365">
        <v>0</v>
      </c>
      <c r="DF383" s="365">
        <v>0</v>
      </c>
      <c r="DG383" s="365">
        <v>0</v>
      </c>
      <c r="DH383" s="365"/>
      <c r="DI383" s="365"/>
      <c r="DJ383" s="365"/>
      <c r="DK383" s="379"/>
    </row>
    <row r="384" spans="2:115" ht="13">
      <c r="B384" s="294"/>
      <c r="F384" s="296"/>
      <c r="J384" s="302"/>
      <c r="P384" s="618"/>
      <c r="Q384" s="618"/>
      <c r="R384" s="618"/>
      <c r="T384" s="295"/>
      <c r="X384" s="618"/>
      <c r="AA384" s="295"/>
      <c r="AH384" s="295"/>
      <c r="AO384" s="295"/>
      <c r="CU384" s="374">
        <v>69</v>
      </c>
      <c r="CV384" s="359" t="s">
        <v>1066</v>
      </c>
      <c r="CW384" s="361">
        <v>6388.42</v>
      </c>
      <c r="CX384" s="361">
        <v>0</v>
      </c>
      <c r="CY384" s="361">
        <v>6388.42</v>
      </c>
      <c r="CZ384" s="361">
        <v>0</v>
      </c>
      <c r="DA384" s="361">
        <v>0</v>
      </c>
      <c r="DB384" s="361">
        <v>0</v>
      </c>
      <c r="DC384" s="361">
        <v>0</v>
      </c>
      <c r="DD384" s="361">
        <v>0</v>
      </c>
      <c r="DE384" s="361">
        <v>0</v>
      </c>
      <c r="DF384" s="361">
        <v>0</v>
      </c>
      <c r="DG384" s="361">
        <v>0</v>
      </c>
      <c r="DH384" s="361"/>
      <c r="DI384" s="361"/>
      <c r="DJ384" s="361"/>
      <c r="DK384" s="378"/>
    </row>
    <row r="385" spans="2:115" ht="13">
      <c r="B385" s="294"/>
      <c r="F385" s="296"/>
      <c r="J385" s="302"/>
      <c r="P385" s="618"/>
      <c r="Q385" s="618"/>
      <c r="R385" s="618"/>
      <c r="T385" s="295"/>
      <c r="X385" s="618"/>
      <c r="AA385" s="295"/>
      <c r="AH385" s="295"/>
      <c r="AO385" s="295"/>
      <c r="CU385" s="374">
        <v>70</v>
      </c>
      <c r="CV385" s="359" t="s">
        <v>1089</v>
      </c>
      <c r="CW385" s="361">
        <v>0</v>
      </c>
      <c r="CX385" s="361">
        <v>0</v>
      </c>
      <c r="CY385" s="361">
        <v>0</v>
      </c>
      <c r="CZ385" s="361">
        <v>0</v>
      </c>
      <c r="DA385" s="361">
        <v>0</v>
      </c>
      <c r="DB385" s="361">
        <v>0</v>
      </c>
      <c r="DC385" s="361">
        <v>0</v>
      </c>
      <c r="DD385" s="361">
        <v>0</v>
      </c>
      <c r="DE385" s="361">
        <v>0</v>
      </c>
      <c r="DF385" s="361">
        <v>0</v>
      </c>
      <c r="DG385" s="361">
        <v>0</v>
      </c>
      <c r="DH385" s="361"/>
      <c r="DI385" s="361"/>
      <c r="DJ385" s="361"/>
      <c r="DK385" s="378"/>
    </row>
    <row r="386" spans="2:115" ht="13">
      <c r="B386" s="294"/>
      <c r="F386" s="296"/>
      <c r="J386" s="302"/>
      <c r="P386" s="618"/>
      <c r="Q386" s="618"/>
      <c r="R386" s="618"/>
      <c r="T386" s="295"/>
      <c r="X386" s="618"/>
      <c r="AA386" s="295"/>
      <c r="AH386" s="295"/>
      <c r="AO386" s="295"/>
      <c r="CU386" s="374">
        <v>71</v>
      </c>
      <c r="CV386" s="359"/>
      <c r="CW386" s="361"/>
      <c r="CX386" s="365"/>
      <c r="CY386" s="361"/>
      <c r="CZ386" s="361"/>
      <c r="DA386" s="361"/>
      <c r="DB386" s="361"/>
      <c r="DC386" s="361"/>
      <c r="DD386" s="361"/>
      <c r="DE386" s="361"/>
      <c r="DF386" s="361"/>
      <c r="DG386" s="361"/>
      <c r="DH386" s="361"/>
      <c r="DI386" s="361"/>
      <c r="DJ386" s="361"/>
      <c r="DK386" s="378"/>
    </row>
    <row r="387" spans="2:115" ht="13">
      <c r="B387" s="294"/>
      <c r="F387" s="296"/>
      <c r="J387" s="302"/>
      <c r="P387" s="618"/>
      <c r="Q387" s="618"/>
      <c r="R387" s="618"/>
      <c r="T387" s="295"/>
      <c r="X387" s="618"/>
      <c r="AA387" s="295"/>
      <c r="AH387" s="295"/>
      <c r="AO387" s="295"/>
      <c r="CU387" s="374">
        <v>72</v>
      </c>
      <c r="CV387" s="359"/>
      <c r="CW387" s="361"/>
      <c r="CX387" s="361"/>
      <c r="CY387" s="361"/>
      <c r="CZ387" s="361"/>
      <c r="DA387" s="361"/>
      <c r="DB387" s="361"/>
      <c r="DC387" s="361"/>
      <c r="DD387" s="361"/>
      <c r="DE387" s="361"/>
      <c r="DF387" s="361"/>
      <c r="DG387" s="361"/>
      <c r="DH387" s="361"/>
      <c r="DI387" s="361"/>
      <c r="DJ387" s="361"/>
      <c r="DK387" s="378"/>
    </row>
    <row r="388" spans="2:115" ht="13">
      <c r="B388" s="294"/>
      <c r="F388" s="296"/>
      <c r="J388" s="302"/>
      <c r="P388" s="618"/>
      <c r="Q388" s="618"/>
      <c r="R388" s="618"/>
      <c r="T388" s="295"/>
      <c r="X388" s="618"/>
      <c r="AA388" s="295"/>
      <c r="AH388" s="295"/>
      <c r="AO388" s="295"/>
      <c r="CU388" s="374">
        <v>73</v>
      </c>
      <c r="CV388" s="359"/>
      <c r="CW388" s="361"/>
      <c r="CX388" s="361"/>
      <c r="CY388" s="361"/>
      <c r="CZ388" s="361"/>
      <c r="DA388" s="361"/>
      <c r="DB388" s="361"/>
      <c r="DC388" s="361"/>
      <c r="DD388" s="361"/>
      <c r="DE388" s="361"/>
      <c r="DF388" s="361"/>
      <c r="DG388" s="361"/>
      <c r="DH388" s="361"/>
      <c r="DI388" s="361"/>
      <c r="DJ388" s="361"/>
      <c r="DK388" s="378"/>
    </row>
    <row r="389" spans="2:115" ht="13">
      <c r="B389" s="294"/>
      <c r="F389" s="296"/>
      <c r="J389" s="302"/>
      <c r="P389" s="618"/>
      <c r="Q389" s="618"/>
      <c r="R389" s="618"/>
      <c r="T389" s="295"/>
      <c r="X389" s="618"/>
      <c r="AA389" s="295"/>
      <c r="AH389" s="295"/>
      <c r="AO389" s="295"/>
      <c r="CU389" s="374">
        <v>74</v>
      </c>
      <c r="CV389" s="359"/>
      <c r="CW389" s="361"/>
      <c r="CX389" s="361"/>
      <c r="CY389" s="361"/>
      <c r="CZ389" s="365"/>
      <c r="DA389" s="365"/>
      <c r="DB389" s="365"/>
      <c r="DC389" s="365"/>
      <c r="DD389" s="365"/>
      <c r="DE389" s="365"/>
      <c r="DF389" s="365"/>
      <c r="DG389" s="365"/>
      <c r="DH389" s="365"/>
      <c r="DI389" s="365"/>
      <c r="DJ389" s="365"/>
      <c r="DK389" s="379"/>
    </row>
    <row r="390" spans="2:115" ht="13">
      <c r="B390" s="294"/>
      <c r="F390" s="296"/>
      <c r="J390" s="302"/>
      <c r="P390" s="618"/>
      <c r="Q390" s="618"/>
      <c r="R390" s="618"/>
      <c r="T390" s="295"/>
      <c r="X390" s="618"/>
      <c r="AA390" s="295"/>
      <c r="AH390" s="295"/>
      <c r="AO390" s="295"/>
      <c r="CU390" s="374">
        <v>75</v>
      </c>
      <c r="CV390" s="359"/>
      <c r="CW390" s="361"/>
      <c r="CX390" s="361"/>
      <c r="CY390" s="361"/>
      <c r="CZ390" s="361"/>
      <c r="DA390" s="361"/>
      <c r="DB390" s="361"/>
      <c r="DC390" s="361"/>
      <c r="DD390" s="361"/>
      <c r="DE390" s="361"/>
      <c r="DF390" s="361"/>
      <c r="DG390" s="361"/>
      <c r="DH390" s="361"/>
      <c r="DI390" s="361"/>
      <c r="DJ390" s="361"/>
      <c r="DK390" s="378"/>
    </row>
    <row r="391" spans="2:115" ht="13">
      <c r="B391" s="294"/>
      <c r="F391" s="296"/>
      <c r="J391" s="302"/>
      <c r="P391" s="618"/>
      <c r="Q391" s="618"/>
      <c r="R391" s="618"/>
      <c r="T391" s="295"/>
      <c r="X391" s="618"/>
      <c r="AA391" s="295"/>
      <c r="AH391" s="295"/>
      <c r="AO391" s="295"/>
      <c r="CU391" s="374">
        <v>76</v>
      </c>
      <c r="CV391" s="359"/>
      <c r="CW391" s="361"/>
      <c r="CX391" s="361"/>
      <c r="CY391" s="361"/>
      <c r="CZ391" s="361"/>
      <c r="DA391" s="361"/>
      <c r="DB391" s="361"/>
      <c r="DC391" s="361"/>
      <c r="DD391" s="361"/>
      <c r="DE391" s="361"/>
      <c r="DF391" s="361"/>
      <c r="DG391" s="361"/>
      <c r="DH391" s="361"/>
      <c r="DI391" s="361"/>
      <c r="DJ391" s="361"/>
      <c r="DK391" s="378"/>
    </row>
    <row r="392" spans="2:115" ht="13">
      <c r="B392" s="294"/>
      <c r="F392" s="296"/>
      <c r="J392" s="302"/>
      <c r="P392" s="618"/>
      <c r="Q392" s="618"/>
      <c r="R392" s="618"/>
      <c r="T392" s="295"/>
      <c r="X392" s="618"/>
      <c r="AA392" s="295"/>
      <c r="AH392" s="295"/>
      <c r="AO392" s="295"/>
      <c r="CU392" s="374">
        <v>77</v>
      </c>
      <c r="CV392" s="359"/>
      <c r="CW392" s="361"/>
      <c r="CX392" s="361"/>
      <c r="CY392" s="361"/>
      <c r="CZ392" s="361"/>
      <c r="DA392" s="361"/>
      <c r="DB392" s="361"/>
      <c r="DC392" s="361"/>
      <c r="DD392" s="361"/>
      <c r="DE392" s="361"/>
      <c r="DF392" s="361"/>
      <c r="DG392" s="361"/>
      <c r="DH392" s="361"/>
      <c r="DI392" s="361"/>
      <c r="DJ392" s="361"/>
      <c r="DK392" s="378"/>
    </row>
    <row r="393" spans="2:115" ht="13">
      <c r="B393" s="294"/>
      <c r="F393" s="296"/>
      <c r="J393" s="302"/>
      <c r="P393" s="618"/>
      <c r="Q393" s="618"/>
      <c r="R393" s="618"/>
      <c r="T393" s="295"/>
      <c r="X393" s="618"/>
      <c r="AA393" s="295"/>
      <c r="AH393" s="295"/>
      <c r="AO393" s="295"/>
      <c r="CU393" s="374">
        <v>78</v>
      </c>
      <c r="CV393" s="359"/>
      <c r="CW393" s="361"/>
      <c r="CX393" s="361"/>
      <c r="CY393" s="361"/>
      <c r="CZ393" s="361"/>
      <c r="DA393" s="361"/>
      <c r="DB393" s="361"/>
      <c r="DC393" s="361"/>
      <c r="DD393" s="361"/>
      <c r="DE393" s="361"/>
      <c r="DF393" s="361"/>
      <c r="DG393" s="361"/>
      <c r="DH393" s="361"/>
      <c r="DI393" s="361"/>
      <c r="DJ393" s="361"/>
      <c r="DK393" s="378"/>
    </row>
    <row r="394" spans="2:115" ht="13">
      <c r="B394" s="294"/>
      <c r="F394" s="296"/>
      <c r="J394" s="302"/>
      <c r="P394" s="618"/>
      <c r="Q394" s="618"/>
      <c r="R394" s="618"/>
      <c r="T394" s="295"/>
      <c r="X394" s="618"/>
      <c r="AA394" s="295"/>
      <c r="AH394" s="295"/>
      <c r="AO394" s="295"/>
      <c r="CU394" s="374">
        <v>79</v>
      </c>
      <c r="CV394" s="359"/>
      <c r="CW394" s="361"/>
      <c r="CX394" s="361"/>
      <c r="CY394" s="365"/>
      <c r="CZ394" s="365"/>
      <c r="DA394" s="365"/>
      <c r="DB394" s="365"/>
      <c r="DC394" s="365"/>
      <c r="DD394" s="365"/>
      <c r="DE394" s="365"/>
      <c r="DF394" s="365"/>
      <c r="DG394" s="365"/>
      <c r="DH394" s="365"/>
      <c r="DI394" s="365"/>
      <c r="DJ394" s="365"/>
      <c r="DK394" s="379"/>
    </row>
    <row r="395" spans="2:115" ht="13">
      <c r="B395" s="294"/>
      <c r="F395" s="296"/>
      <c r="J395" s="302"/>
      <c r="P395" s="618"/>
      <c r="Q395" s="618"/>
      <c r="R395" s="618"/>
      <c r="T395" s="295"/>
      <c r="X395" s="618"/>
      <c r="AA395" s="295"/>
      <c r="AH395" s="295"/>
      <c r="AO395" s="295"/>
      <c r="CU395" s="374">
        <v>80</v>
      </c>
      <c r="CV395" s="359"/>
      <c r="CW395" s="361"/>
      <c r="CX395" s="361"/>
      <c r="CY395" s="361"/>
      <c r="CZ395" s="361"/>
      <c r="DA395" s="361"/>
      <c r="DB395" s="361"/>
      <c r="DC395" s="361"/>
      <c r="DD395" s="361"/>
      <c r="DE395" s="361"/>
      <c r="DF395" s="361"/>
      <c r="DG395" s="361"/>
      <c r="DH395" s="361"/>
      <c r="DI395" s="361"/>
      <c r="DJ395" s="361"/>
      <c r="DK395" s="378"/>
    </row>
    <row r="396" spans="2:115" ht="13">
      <c r="B396" s="294"/>
      <c r="F396" s="296"/>
      <c r="J396" s="302"/>
      <c r="P396" s="618"/>
      <c r="Q396" s="618"/>
      <c r="R396" s="618"/>
      <c r="T396" s="295"/>
      <c r="X396" s="618"/>
      <c r="AA396" s="295"/>
      <c r="AH396" s="295"/>
      <c r="AO396" s="295"/>
      <c r="CU396" s="374">
        <v>81</v>
      </c>
      <c r="CV396" s="359"/>
      <c r="CW396" s="361"/>
      <c r="CX396" s="361"/>
      <c r="CY396" s="361"/>
      <c r="CZ396" s="361"/>
      <c r="DA396" s="361"/>
      <c r="DB396" s="361"/>
      <c r="DC396" s="361"/>
      <c r="DD396" s="361"/>
      <c r="DE396" s="361"/>
      <c r="DF396" s="361"/>
      <c r="DG396" s="361"/>
      <c r="DH396" s="361"/>
      <c r="DI396" s="361"/>
      <c r="DJ396" s="361"/>
      <c r="DK396" s="378"/>
    </row>
    <row r="397" spans="2:115" ht="13">
      <c r="B397" s="294"/>
      <c r="F397" s="296"/>
      <c r="J397" s="302"/>
      <c r="P397" s="618"/>
      <c r="Q397" s="618"/>
      <c r="R397" s="618"/>
      <c r="T397" s="295"/>
      <c r="X397" s="618"/>
      <c r="AA397" s="295"/>
      <c r="AH397" s="295"/>
      <c r="AO397" s="295"/>
      <c r="CU397" s="374">
        <v>82</v>
      </c>
      <c r="CV397" s="359"/>
      <c r="CW397" s="361"/>
      <c r="CX397" s="361"/>
      <c r="CY397" s="365"/>
      <c r="CZ397" s="365"/>
      <c r="DA397" s="365"/>
      <c r="DB397" s="365"/>
      <c r="DC397" s="365"/>
      <c r="DD397" s="365"/>
      <c r="DE397" s="365"/>
      <c r="DF397" s="365"/>
      <c r="DG397" s="365"/>
      <c r="DH397" s="365"/>
      <c r="DI397" s="365"/>
      <c r="DJ397" s="365"/>
      <c r="DK397" s="379"/>
    </row>
    <row r="398" spans="2:115" ht="13">
      <c r="B398" s="294"/>
      <c r="F398" s="296"/>
      <c r="J398" s="302"/>
      <c r="P398" s="618"/>
      <c r="Q398" s="618"/>
      <c r="R398" s="618"/>
      <c r="T398" s="295"/>
      <c r="X398" s="618"/>
      <c r="AA398" s="295"/>
      <c r="AH398" s="295"/>
      <c r="AO398" s="295"/>
      <c r="CU398" s="374">
        <v>83</v>
      </c>
      <c r="CV398" s="359"/>
      <c r="CW398" s="361"/>
      <c r="CX398" s="361"/>
      <c r="CY398" s="361"/>
      <c r="CZ398" s="361"/>
      <c r="DA398" s="361"/>
      <c r="DB398" s="361"/>
      <c r="DC398" s="361"/>
      <c r="DD398" s="361"/>
      <c r="DE398" s="361"/>
      <c r="DF398" s="361"/>
      <c r="DG398" s="361"/>
      <c r="DH398" s="361"/>
      <c r="DI398" s="361"/>
      <c r="DJ398" s="361"/>
      <c r="DK398" s="378"/>
    </row>
    <row r="399" spans="2:115" ht="13">
      <c r="B399" s="294"/>
      <c r="F399" s="296"/>
      <c r="J399" s="302"/>
      <c r="P399" s="618"/>
      <c r="Q399" s="618"/>
      <c r="R399" s="618"/>
      <c r="T399" s="295"/>
      <c r="X399" s="618"/>
      <c r="AA399" s="295"/>
      <c r="AH399" s="295"/>
      <c r="AO399" s="295"/>
      <c r="CU399" s="374">
        <v>84</v>
      </c>
      <c r="CV399" s="359"/>
      <c r="CW399" s="361"/>
      <c r="CX399" s="361"/>
      <c r="CY399" s="361"/>
      <c r="CZ399" s="365"/>
      <c r="DA399" s="365"/>
      <c r="DB399" s="365"/>
      <c r="DC399" s="365"/>
      <c r="DD399" s="365"/>
      <c r="DE399" s="365"/>
      <c r="DF399" s="365"/>
      <c r="DG399" s="365"/>
      <c r="DH399" s="365"/>
      <c r="DI399" s="365"/>
      <c r="DJ399" s="365"/>
      <c r="DK399" s="379"/>
    </row>
    <row r="400" spans="2:115" ht="13">
      <c r="B400" s="294"/>
      <c r="F400" s="296"/>
      <c r="J400" s="302"/>
      <c r="P400" s="618"/>
      <c r="Q400" s="618"/>
      <c r="R400" s="618"/>
      <c r="T400" s="295"/>
      <c r="X400" s="618"/>
      <c r="AA400" s="295"/>
      <c r="AH400" s="295"/>
      <c r="AO400" s="295"/>
      <c r="CU400" s="374">
        <v>85</v>
      </c>
      <c r="CV400" s="359"/>
      <c r="CW400" s="361"/>
      <c r="CX400" s="361"/>
      <c r="CY400" s="365"/>
      <c r="CZ400" s="365"/>
      <c r="DA400" s="365"/>
      <c r="DB400" s="365"/>
      <c r="DC400" s="365"/>
      <c r="DD400" s="365"/>
      <c r="DE400" s="365"/>
      <c r="DF400" s="365"/>
      <c r="DG400" s="365"/>
      <c r="DH400" s="365"/>
      <c r="DI400" s="365"/>
      <c r="DJ400" s="365"/>
      <c r="DK400" s="379"/>
    </row>
    <row r="401" spans="2:115" ht="13">
      <c r="B401" s="294"/>
      <c r="F401" s="296"/>
      <c r="J401" s="302"/>
      <c r="P401" s="618"/>
      <c r="Q401" s="618"/>
      <c r="R401" s="618"/>
      <c r="T401" s="295"/>
      <c r="X401" s="618"/>
      <c r="AA401" s="295"/>
      <c r="AH401" s="295"/>
      <c r="AO401" s="295"/>
      <c r="CU401" s="374">
        <v>86</v>
      </c>
      <c r="CV401" s="359"/>
      <c r="CW401" s="361"/>
      <c r="CX401" s="361"/>
      <c r="CY401" s="365"/>
      <c r="CZ401" s="365"/>
      <c r="DA401" s="365"/>
      <c r="DB401" s="365"/>
      <c r="DC401" s="365"/>
      <c r="DD401" s="365"/>
      <c r="DE401" s="365"/>
      <c r="DF401" s="365"/>
      <c r="DG401" s="365"/>
      <c r="DH401" s="365"/>
      <c r="DI401" s="365"/>
      <c r="DJ401" s="365"/>
      <c r="DK401" s="379"/>
    </row>
    <row r="402" spans="2:115" ht="13">
      <c r="B402" s="294"/>
      <c r="F402" s="296"/>
      <c r="J402" s="302"/>
      <c r="P402" s="618"/>
      <c r="Q402" s="618"/>
      <c r="R402" s="618"/>
      <c r="T402" s="295"/>
      <c r="X402" s="618"/>
      <c r="AA402" s="295"/>
      <c r="AH402" s="295"/>
      <c r="AO402" s="295"/>
      <c r="CU402" s="374">
        <v>87</v>
      </c>
      <c r="CV402" s="359"/>
      <c r="CW402" s="361"/>
      <c r="CX402" s="361"/>
      <c r="CY402" s="365"/>
      <c r="CZ402" s="365"/>
      <c r="DA402" s="365"/>
      <c r="DB402" s="365"/>
      <c r="DC402" s="365"/>
      <c r="DD402" s="365"/>
      <c r="DE402" s="365"/>
      <c r="DF402" s="365"/>
      <c r="DG402" s="365"/>
      <c r="DH402" s="365"/>
      <c r="DI402" s="365"/>
      <c r="DJ402" s="365"/>
      <c r="DK402" s="379"/>
    </row>
    <row r="403" spans="2:115" ht="13">
      <c r="B403" s="294"/>
      <c r="F403" s="296"/>
      <c r="J403" s="302"/>
      <c r="P403" s="618"/>
      <c r="Q403" s="618"/>
      <c r="R403" s="618"/>
      <c r="T403" s="295"/>
      <c r="X403" s="618"/>
      <c r="AA403" s="295"/>
      <c r="AH403" s="295"/>
      <c r="AO403" s="295"/>
      <c r="CU403" s="374">
        <v>88</v>
      </c>
      <c r="CV403" s="359"/>
      <c r="CW403" s="361"/>
      <c r="CX403" s="365"/>
      <c r="CY403" s="361"/>
      <c r="CZ403" s="361"/>
      <c r="DA403" s="361"/>
      <c r="DB403" s="361"/>
      <c r="DC403" s="361"/>
      <c r="DD403" s="361"/>
      <c r="DE403" s="361"/>
      <c r="DF403" s="361"/>
      <c r="DG403" s="361"/>
      <c r="DH403" s="361"/>
      <c r="DI403" s="361"/>
      <c r="DJ403" s="361"/>
      <c r="DK403" s="378"/>
    </row>
    <row r="404" spans="2:115" ht="13">
      <c r="B404" s="294"/>
      <c r="F404" s="296"/>
      <c r="J404" s="302"/>
      <c r="P404" s="618"/>
      <c r="Q404" s="618"/>
      <c r="R404" s="618"/>
      <c r="T404" s="295"/>
      <c r="X404" s="618"/>
      <c r="AA404" s="295"/>
      <c r="AH404" s="295"/>
      <c r="AO404" s="295"/>
      <c r="CU404" s="374">
        <v>89</v>
      </c>
      <c r="DK404" s="380"/>
    </row>
    <row r="405" spans="2:115" ht="13">
      <c r="B405" s="294"/>
      <c r="F405" s="296"/>
      <c r="J405" s="302"/>
      <c r="P405" s="618"/>
      <c r="Q405" s="618"/>
      <c r="R405" s="618"/>
      <c r="T405" s="295"/>
      <c r="X405" s="618"/>
      <c r="AA405" s="295"/>
      <c r="AH405" s="295"/>
      <c r="AO405" s="295"/>
      <c r="CU405" s="374">
        <v>90</v>
      </c>
      <c r="DK405" s="380"/>
    </row>
    <row r="406" spans="2:115" ht="13">
      <c r="B406" s="294"/>
      <c r="F406" s="296"/>
      <c r="J406" s="302"/>
      <c r="P406" s="618"/>
      <c r="Q406" s="618"/>
      <c r="R406" s="618"/>
      <c r="T406" s="295"/>
      <c r="X406" s="618"/>
      <c r="AA406" s="295"/>
      <c r="AH406" s="295"/>
      <c r="AO406" s="295"/>
      <c r="CU406" s="374">
        <v>91</v>
      </c>
      <c r="DK406" s="380"/>
    </row>
    <row r="407" spans="2:115" ht="13">
      <c r="B407" s="294"/>
      <c r="F407" s="296"/>
      <c r="J407" s="302"/>
      <c r="P407" s="618"/>
      <c r="Q407" s="618"/>
      <c r="R407" s="618"/>
      <c r="T407" s="295"/>
      <c r="X407" s="618"/>
      <c r="AA407" s="295"/>
      <c r="AH407" s="295"/>
      <c r="AO407" s="295"/>
      <c r="CU407" s="374">
        <v>92</v>
      </c>
      <c r="DK407" s="380"/>
    </row>
    <row r="408" spans="2:115" ht="13">
      <c r="B408" s="294"/>
      <c r="F408" s="296"/>
      <c r="J408" s="302"/>
      <c r="P408" s="618"/>
      <c r="Q408" s="618"/>
      <c r="R408" s="618"/>
      <c r="T408" s="295"/>
      <c r="X408" s="618"/>
      <c r="AA408" s="295"/>
      <c r="AH408" s="295"/>
      <c r="AO408" s="295"/>
      <c r="CU408" s="374">
        <v>93</v>
      </c>
      <c r="DK408" s="380"/>
    </row>
    <row r="409" spans="2:115" ht="13">
      <c r="B409" s="294"/>
      <c r="F409" s="296"/>
      <c r="J409" s="302"/>
      <c r="P409" s="618"/>
      <c r="Q409" s="618"/>
      <c r="R409" s="618"/>
      <c r="T409" s="295"/>
      <c r="X409" s="618"/>
      <c r="AA409" s="295"/>
      <c r="AH409" s="295"/>
      <c r="AO409" s="295"/>
      <c r="CU409" s="374">
        <v>94</v>
      </c>
      <c r="DK409" s="380"/>
    </row>
    <row r="410" spans="2:115" ht="13">
      <c r="B410" s="294"/>
      <c r="F410" s="296"/>
      <c r="J410" s="302"/>
      <c r="P410" s="618"/>
      <c r="Q410" s="618"/>
      <c r="R410" s="618"/>
      <c r="T410" s="295"/>
      <c r="X410" s="618"/>
      <c r="AA410" s="295"/>
      <c r="AH410" s="295"/>
      <c r="AO410" s="295"/>
      <c r="CU410" s="374">
        <v>95</v>
      </c>
      <c r="DK410" s="380"/>
    </row>
    <row r="411" spans="2:115" ht="13">
      <c r="B411" s="294"/>
      <c r="F411" s="296"/>
      <c r="J411" s="302"/>
      <c r="P411" s="618"/>
      <c r="Q411" s="618"/>
      <c r="R411" s="618"/>
      <c r="T411" s="295"/>
      <c r="X411" s="618"/>
      <c r="AA411" s="295"/>
      <c r="AH411" s="295"/>
      <c r="AO411" s="295"/>
      <c r="CU411" s="374">
        <v>96</v>
      </c>
      <c r="DK411" s="380"/>
    </row>
    <row r="412" spans="2:115" ht="13">
      <c r="B412" s="294"/>
      <c r="F412" s="296"/>
      <c r="J412" s="302"/>
      <c r="P412" s="618"/>
      <c r="Q412" s="618"/>
      <c r="R412" s="618"/>
      <c r="T412" s="295"/>
      <c r="X412" s="618"/>
      <c r="AA412" s="295"/>
      <c r="AH412" s="295"/>
      <c r="AO412" s="295"/>
      <c r="CU412" s="374">
        <v>97</v>
      </c>
      <c r="DK412" s="380"/>
    </row>
    <row r="413" spans="2:115" ht="13">
      <c r="B413" s="294"/>
      <c r="F413" s="296"/>
      <c r="J413" s="302"/>
      <c r="P413" s="618"/>
      <c r="Q413" s="618"/>
      <c r="R413" s="618"/>
      <c r="T413" s="295"/>
      <c r="X413" s="618"/>
      <c r="AA413" s="295"/>
      <c r="AH413" s="295"/>
      <c r="AO413" s="295"/>
      <c r="CU413" s="374">
        <v>98</v>
      </c>
      <c r="DK413" s="380"/>
    </row>
    <row r="414" spans="2:115" ht="13">
      <c r="B414" s="294"/>
      <c r="F414" s="296"/>
      <c r="J414" s="302"/>
      <c r="P414" s="618"/>
      <c r="Q414" s="618"/>
      <c r="R414" s="618"/>
      <c r="T414" s="295"/>
      <c r="X414" s="618"/>
      <c r="AA414" s="295"/>
      <c r="AH414" s="295"/>
      <c r="AO414" s="295"/>
      <c r="CU414" s="374">
        <v>99</v>
      </c>
      <c r="DK414" s="380"/>
    </row>
    <row r="415" spans="2:115" ht="13">
      <c r="B415" s="294"/>
      <c r="F415" s="296"/>
      <c r="J415" s="302"/>
      <c r="P415" s="618"/>
      <c r="Q415" s="618"/>
      <c r="R415" s="618"/>
      <c r="T415" s="295"/>
      <c r="X415" s="618"/>
      <c r="AA415" s="295"/>
      <c r="AH415" s="295"/>
      <c r="AO415" s="295"/>
      <c r="CU415" s="374">
        <v>100</v>
      </c>
      <c r="DK415" s="380"/>
    </row>
    <row r="416" spans="2:115" ht="13">
      <c r="B416" s="294"/>
      <c r="F416" s="296"/>
      <c r="J416" s="302"/>
      <c r="P416" s="618"/>
      <c r="Q416" s="618"/>
      <c r="R416" s="618"/>
      <c r="T416" s="295"/>
      <c r="X416" s="618"/>
      <c r="AA416" s="295"/>
      <c r="AH416" s="295"/>
      <c r="AO416" s="295"/>
      <c r="CU416" s="374">
        <v>101</v>
      </c>
      <c r="DK416" s="380"/>
    </row>
    <row r="417" spans="2:115" ht="13">
      <c r="B417" s="294"/>
      <c r="F417" s="296"/>
      <c r="J417" s="302"/>
      <c r="P417" s="618"/>
      <c r="Q417" s="618"/>
      <c r="R417" s="618"/>
      <c r="T417" s="295"/>
      <c r="X417" s="618"/>
      <c r="AA417" s="295"/>
      <c r="AH417" s="295"/>
      <c r="AO417" s="295"/>
      <c r="CU417" s="374">
        <v>102</v>
      </c>
      <c r="DK417" s="380"/>
    </row>
    <row r="418" spans="2:115" ht="13">
      <c r="B418" s="294"/>
      <c r="F418" s="296"/>
      <c r="J418" s="302"/>
      <c r="P418" s="618"/>
      <c r="Q418" s="618"/>
      <c r="R418" s="618"/>
      <c r="T418" s="295"/>
      <c r="X418" s="618"/>
      <c r="AA418" s="295"/>
      <c r="AH418" s="295"/>
      <c r="AO418" s="295"/>
      <c r="CU418" s="374">
        <v>103</v>
      </c>
      <c r="DK418" s="380"/>
    </row>
    <row r="419" spans="2:115" ht="13">
      <c r="B419" s="294"/>
      <c r="F419" s="296"/>
      <c r="J419" s="302"/>
      <c r="P419" s="618"/>
      <c r="Q419" s="618"/>
      <c r="R419" s="618"/>
      <c r="T419" s="295"/>
      <c r="X419" s="618"/>
      <c r="AA419" s="295"/>
      <c r="AH419" s="295"/>
      <c r="AO419" s="295"/>
      <c r="CU419" s="374">
        <v>104</v>
      </c>
      <c r="DK419" s="380"/>
    </row>
    <row r="420" spans="2:115" ht="13">
      <c r="B420" s="294"/>
      <c r="F420" s="296"/>
      <c r="J420" s="302"/>
      <c r="P420" s="618"/>
      <c r="Q420" s="618"/>
      <c r="R420" s="618"/>
      <c r="T420" s="295"/>
      <c r="X420" s="618"/>
      <c r="AA420" s="295"/>
      <c r="AH420" s="295"/>
      <c r="AO420" s="295"/>
      <c r="CU420" s="374">
        <v>105</v>
      </c>
      <c r="DK420" s="380"/>
    </row>
    <row r="421" spans="2:115" ht="13">
      <c r="B421" s="294"/>
      <c r="F421" s="296"/>
      <c r="J421" s="302"/>
      <c r="P421" s="618"/>
      <c r="Q421" s="618"/>
      <c r="R421" s="618"/>
      <c r="T421" s="295"/>
      <c r="X421" s="618"/>
      <c r="AA421" s="295"/>
      <c r="AH421" s="295"/>
      <c r="AO421" s="295"/>
      <c r="CU421" s="374">
        <v>106</v>
      </c>
      <c r="DK421" s="380"/>
    </row>
    <row r="422" spans="2:115" ht="13">
      <c r="B422" s="294"/>
      <c r="F422" s="296"/>
      <c r="J422" s="302"/>
      <c r="P422" s="618"/>
      <c r="Q422" s="618"/>
      <c r="R422" s="618"/>
      <c r="T422" s="295"/>
      <c r="X422" s="618"/>
      <c r="AA422" s="295"/>
      <c r="AH422" s="295"/>
      <c r="AO422" s="295"/>
      <c r="CU422" s="374">
        <v>107</v>
      </c>
      <c r="DK422" s="380"/>
    </row>
    <row r="423" spans="2:115" ht="13">
      <c r="B423" s="294"/>
      <c r="F423" s="296"/>
      <c r="J423" s="302"/>
      <c r="P423" s="618"/>
      <c r="Q423" s="618"/>
      <c r="R423" s="618"/>
      <c r="T423" s="295"/>
      <c r="X423" s="618"/>
      <c r="AA423" s="295"/>
      <c r="AH423" s="295"/>
      <c r="AO423" s="295"/>
      <c r="CU423" s="374">
        <v>108</v>
      </c>
      <c r="DK423" s="380"/>
    </row>
    <row r="424" spans="2:115" ht="13">
      <c r="B424" s="294"/>
      <c r="F424" s="296"/>
      <c r="J424" s="302"/>
      <c r="P424" s="618"/>
      <c r="Q424" s="618"/>
      <c r="R424" s="618"/>
      <c r="T424" s="295"/>
      <c r="X424" s="618"/>
      <c r="AA424" s="295"/>
      <c r="AH424" s="295"/>
      <c r="AO424" s="295"/>
      <c r="CU424" s="374">
        <v>109</v>
      </c>
      <c r="DK424" s="380"/>
    </row>
    <row r="425" spans="2:115" ht="13">
      <c r="B425" s="294"/>
      <c r="F425" s="296"/>
      <c r="J425" s="302"/>
      <c r="P425" s="618"/>
      <c r="Q425" s="618"/>
      <c r="R425" s="618"/>
      <c r="T425" s="295"/>
      <c r="X425" s="618"/>
      <c r="AA425" s="295"/>
      <c r="AH425" s="295"/>
      <c r="AO425" s="295"/>
      <c r="CU425" s="374">
        <v>110</v>
      </c>
      <c r="DK425" s="380"/>
    </row>
    <row r="426" spans="2:115" ht="13">
      <c r="B426" s="294"/>
      <c r="F426" s="296"/>
      <c r="J426" s="302"/>
      <c r="P426" s="618"/>
      <c r="Q426" s="618"/>
      <c r="R426" s="618"/>
      <c r="T426" s="295"/>
      <c r="X426" s="618"/>
      <c r="AA426" s="295"/>
      <c r="AH426" s="295"/>
      <c r="AO426" s="295"/>
      <c r="CU426" s="374">
        <v>111</v>
      </c>
      <c r="DK426" s="380"/>
    </row>
    <row r="427" spans="2:115" ht="13">
      <c r="B427" s="294"/>
      <c r="F427" s="296"/>
      <c r="J427" s="302"/>
      <c r="P427" s="618"/>
      <c r="Q427" s="618"/>
      <c r="R427" s="618"/>
      <c r="T427" s="295"/>
      <c r="X427" s="618"/>
      <c r="AA427" s="295"/>
      <c r="AH427" s="295"/>
      <c r="AO427" s="295"/>
      <c r="CU427" s="374">
        <v>112</v>
      </c>
      <c r="DK427" s="380"/>
    </row>
    <row r="428" spans="2:115" ht="13">
      <c r="B428" s="294"/>
      <c r="F428" s="296"/>
      <c r="J428" s="302"/>
      <c r="P428" s="618"/>
      <c r="Q428" s="618"/>
      <c r="R428" s="618"/>
      <c r="T428" s="295"/>
      <c r="X428" s="618"/>
      <c r="AA428" s="295"/>
      <c r="AH428" s="295"/>
      <c r="AO428" s="295"/>
      <c r="CU428" s="374">
        <v>113</v>
      </c>
      <c r="DK428" s="380"/>
    </row>
    <row r="429" spans="2:115" ht="13">
      <c r="B429" s="294"/>
      <c r="F429" s="296"/>
      <c r="J429" s="302"/>
      <c r="P429" s="618"/>
      <c r="Q429" s="618"/>
      <c r="R429" s="618"/>
      <c r="T429" s="295"/>
      <c r="X429" s="618"/>
      <c r="AA429" s="295"/>
      <c r="AH429" s="295"/>
      <c r="AO429" s="295"/>
      <c r="CU429" s="374">
        <v>114</v>
      </c>
      <c r="DK429" s="380"/>
    </row>
    <row r="430" spans="2:115" ht="13">
      <c r="B430" s="294"/>
      <c r="F430" s="296"/>
      <c r="J430" s="302"/>
      <c r="P430" s="618"/>
      <c r="Q430" s="618"/>
      <c r="R430" s="618"/>
      <c r="T430" s="295"/>
      <c r="X430" s="618"/>
      <c r="AA430" s="295"/>
      <c r="AH430" s="295"/>
      <c r="AO430" s="295"/>
      <c r="CU430" s="374">
        <v>115</v>
      </c>
      <c r="DK430" s="380"/>
    </row>
    <row r="431" spans="2:115" ht="13">
      <c r="B431" s="294"/>
      <c r="F431" s="296"/>
      <c r="J431" s="302"/>
      <c r="P431" s="618"/>
      <c r="Q431" s="618"/>
      <c r="R431" s="618"/>
      <c r="T431" s="295"/>
      <c r="X431" s="618"/>
      <c r="AA431" s="295"/>
      <c r="AH431" s="295"/>
      <c r="AO431" s="295"/>
      <c r="CU431" s="374">
        <v>116</v>
      </c>
      <c r="DK431" s="380"/>
    </row>
    <row r="432" spans="2:115" ht="13">
      <c r="B432" s="294"/>
      <c r="F432" s="296"/>
      <c r="J432" s="302"/>
      <c r="P432" s="618"/>
      <c r="Q432" s="618"/>
      <c r="R432" s="618"/>
      <c r="T432" s="295"/>
      <c r="X432" s="618"/>
      <c r="AA432" s="295"/>
      <c r="AH432" s="295"/>
      <c r="AO432" s="295"/>
      <c r="CU432" s="374">
        <v>117</v>
      </c>
      <c r="DK432" s="380"/>
    </row>
    <row r="433" spans="2:115" ht="13">
      <c r="B433" s="294"/>
      <c r="F433" s="296"/>
      <c r="J433" s="302"/>
      <c r="P433" s="618"/>
      <c r="Q433" s="618"/>
      <c r="R433" s="618"/>
      <c r="T433" s="295"/>
      <c r="X433" s="618"/>
      <c r="AA433" s="295"/>
      <c r="AH433" s="295"/>
      <c r="AO433" s="295"/>
      <c r="CU433" s="374">
        <v>118</v>
      </c>
      <c r="DK433" s="380"/>
    </row>
    <row r="434" spans="2:115" ht="13">
      <c r="B434" s="294"/>
      <c r="F434" s="296"/>
      <c r="J434" s="302"/>
      <c r="P434" s="618"/>
      <c r="Q434" s="618"/>
      <c r="R434" s="618"/>
      <c r="T434" s="295"/>
      <c r="X434" s="618"/>
      <c r="AA434" s="295"/>
      <c r="AH434" s="295"/>
      <c r="AO434" s="295"/>
      <c r="CU434" s="374">
        <v>119</v>
      </c>
      <c r="DK434" s="380"/>
    </row>
    <row r="435" spans="2:115" ht="13">
      <c r="B435" s="294"/>
      <c r="F435" s="296"/>
      <c r="J435" s="302"/>
      <c r="P435" s="618"/>
      <c r="Q435" s="618"/>
      <c r="R435" s="618"/>
      <c r="T435" s="295"/>
      <c r="X435" s="618"/>
      <c r="AA435" s="295"/>
      <c r="AH435" s="295"/>
      <c r="AO435" s="295"/>
      <c r="CU435" s="374">
        <v>120</v>
      </c>
      <c r="DK435" s="380"/>
    </row>
    <row r="436" spans="2:115" ht="13">
      <c r="B436" s="294"/>
      <c r="F436" s="296"/>
      <c r="J436" s="302"/>
      <c r="P436" s="618"/>
      <c r="Q436" s="618"/>
      <c r="R436" s="618"/>
      <c r="T436" s="295"/>
      <c r="X436" s="618"/>
      <c r="AA436" s="295"/>
      <c r="AH436" s="295"/>
      <c r="AO436" s="295"/>
      <c r="CU436" s="374">
        <v>121</v>
      </c>
      <c r="DK436" s="380"/>
    </row>
    <row r="437" spans="2:115" ht="13">
      <c r="B437" s="294"/>
      <c r="F437" s="296"/>
      <c r="J437" s="302"/>
      <c r="P437" s="618"/>
      <c r="Q437" s="618"/>
      <c r="R437" s="618"/>
      <c r="T437" s="295"/>
      <c r="X437" s="618"/>
      <c r="AA437" s="295"/>
      <c r="AH437" s="295"/>
      <c r="AO437" s="295"/>
      <c r="CU437" s="374">
        <v>122</v>
      </c>
      <c r="DK437" s="380"/>
    </row>
    <row r="438" spans="2:115" ht="13">
      <c r="B438" s="294"/>
      <c r="F438" s="296"/>
      <c r="J438" s="302"/>
      <c r="P438" s="618"/>
      <c r="Q438" s="618"/>
      <c r="R438" s="618"/>
      <c r="T438" s="295"/>
      <c r="X438" s="618"/>
      <c r="AA438" s="295"/>
      <c r="AH438" s="295"/>
      <c r="AO438" s="295"/>
      <c r="CU438" s="374">
        <v>123</v>
      </c>
      <c r="DK438" s="380"/>
    </row>
    <row r="439" spans="2:115" ht="13">
      <c r="B439" s="294"/>
      <c r="F439" s="296"/>
      <c r="J439" s="302"/>
      <c r="P439" s="618"/>
      <c r="Q439" s="618"/>
      <c r="R439" s="618"/>
      <c r="T439" s="295"/>
      <c r="X439" s="618"/>
      <c r="AA439" s="295"/>
      <c r="AH439" s="295"/>
      <c r="AO439" s="295"/>
      <c r="CU439" s="374">
        <v>124</v>
      </c>
      <c r="DK439" s="380"/>
    </row>
    <row r="440" spans="2:115" ht="13">
      <c r="B440" s="294"/>
      <c r="F440" s="296"/>
      <c r="J440" s="302"/>
      <c r="P440" s="618"/>
      <c r="Q440" s="618"/>
      <c r="R440" s="618"/>
      <c r="T440" s="295"/>
      <c r="X440" s="618"/>
      <c r="AA440" s="295"/>
      <c r="AH440" s="295"/>
      <c r="AO440" s="295"/>
      <c r="CU440" s="374">
        <v>125</v>
      </c>
      <c r="DK440" s="380"/>
    </row>
    <row r="441" spans="2:115" ht="13">
      <c r="B441" s="294"/>
      <c r="F441" s="296"/>
      <c r="J441" s="302"/>
      <c r="P441" s="618"/>
      <c r="Q441" s="618"/>
      <c r="R441" s="618"/>
      <c r="T441" s="295"/>
      <c r="X441" s="618"/>
      <c r="AA441" s="295"/>
      <c r="AH441" s="295"/>
      <c r="AO441" s="295"/>
      <c r="CU441" s="374">
        <v>126</v>
      </c>
      <c r="DK441" s="380"/>
    </row>
    <row r="442" spans="2:115" ht="13">
      <c r="B442" s="294"/>
      <c r="F442" s="296"/>
      <c r="J442" s="302"/>
      <c r="P442" s="618"/>
      <c r="Q442" s="618"/>
      <c r="R442" s="618"/>
      <c r="T442" s="295"/>
      <c r="X442" s="618"/>
      <c r="AA442" s="295"/>
      <c r="AH442" s="295"/>
      <c r="AO442" s="295"/>
      <c r="CU442" s="374">
        <v>127</v>
      </c>
      <c r="DK442" s="380"/>
    </row>
    <row r="443" spans="2:115" ht="13">
      <c r="B443" s="294"/>
      <c r="F443" s="296"/>
      <c r="J443" s="302"/>
      <c r="P443" s="618"/>
      <c r="Q443" s="618"/>
      <c r="R443" s="618"/>
      <c r="T443" s="295"/>
      <c r="X443" s="618"/>
      <c r="AA443" s="295"/>
      <c r="AH443" s="295"/>
      <c r="AO443" s="295"/>
      <c r="CU443" s="374">
        <v>128</v>
      </c>
      <c r="DK443" s="380"/>
    </row>
    <row r="444" spans="2:115" ht="13">
      <c r="B444" s="294"/>
      <c r="F444" s="296"/>
      <c r="J444" s="302"/>
      <c r="P444" s="618"/>
      <c r="Q444" s="618"/>
      <c r="R444" s="618"/>
      <c r="T444" s="295"/>
      <c r="X444" s="618"/>
      <c r="AA444" s="295"/>
      <c r="AH444" s="295"/>
      <c r="AO444" s="295"/>
      <c r="CU444" s="374">
        <v>129</v>
      </c>
      <c r="DK444" s="380"/>
    </row>
    <row r="445" spans="2:115" ht="13">
      <c r="B445" s="294"/>
      <c r="F445" s="296"/>
      <c r="J445" s="302"/>
      <c r="P445" s="618"/>
      <c r="Q445" s="618"/>
      <c r="R445" s="618"/>
      <c r="T445" s="295"/>
      <c r="X445" s="618"/>
      <c r="AA445" s="295"/>
      <c r="AH445" s="295"/>
      <c r="AO445" s="295"/>
      <c r="CU445" s="374">
        <v>130</v>
      </c>
      <c r="DK445" s="380"/>
    </row>
    <row r="446" spans="2:115" ht="13">
      <c r="B446" s="294"/>
      <c r="F446" s="296"/>
      <c r="J446" s="302"/>
      <c r="P446" s="618"/>
      <c r="Q446" s="618"/>
      <c r="R446" s="618"/>
      <c r="T446" s="295"/>
      <c r="X446" s="618"/>
      <c r="AA446" s="295"/>
      <c r="AH446" s="295"/>
      <c r="AO446" s="295"/>
      <c r="CU446" s="374">
        <v>131</v>
      </c>
      <c r="DK446" s="380"/>
    </row>
    <row r="447" spans="2:115" ht="13">
      <c r="B447" s="294"/>
      <c r="F447" s="296"/>
      <c r="J447" s="302"/>
      <c r="P447" s="618"/>
      <c r="Q447" s="618"/>
      <c r="R447" s="618"/>
      <c r="T447" s="295"/>
      <c r="X447" s="618"/>
      <c r="AA447" s="295"/>
      <c r="AH447" s="295"/>
      <c r="AO447" s="295"/>
      <c r="CU447" s="374">
        <v>132</v>
      </c>
      <c r="DK447" s="380"/>
    </row>
    <row r="448" spans="2:115" ht="13">
      <c r="B448" s="294"/>
      <c r="F448" s="296"/>
      <c r="J448" s="302"/>
      <c r="P448" s="618"/>
      <c r="Q448" s="618"/>
      <c r="R448" s="618"/>
      <c r="T448" s="295"/>
      <c r="X448" s="618"/>
      <c r="AA448" s="295"/>
      <c r="AH448" s="295"/>
      <c r="AO448" s="295"/>
      <c r="CU448" s="374">
        <v>133</v>
      </c>
      <c r="DK448" s="380"/>
    </row>
    <row r="449" spans="2:115" ht="13">
      <c r="B449" s="294"/>
      <c r="F449" s="296"/>
      <c r="J449" s="302"/>
      <c r="P449" s="618"/>
      <c r="Q449" s="618"/>
      <c r="R449" s="618"/>
      <c r="T449" s="295"/>
      <c r="X449" s="618"/>
      <c r="AA449" s="295"/>
      <c r="AH449" s="295"/>
      <c r="AO449" s="295"/>
      <c r="CU449" s="374">
        <v>134</v>
      </c>
      <c r="DK449" s="380"/>
    </row>
    <row r="450" spans="2:115" ht="13">
      <c r="B450" s="294"/>
      <c r="F450" s="296"/>
      <c r="J450" s="302"/>
      <c r="P450" s="618"/>
      <c r="Q450" s="618"/>
      <c r="R450" s="618"/>
      <c r="T450" s="295"/>
      <c r="X450" s="618"/>
      <c r="AA450" s="295"/>
      <c r="AH450" s="295"/>
      <c r="AO450" s="295"/>
      <c r="CU450" s="374">
        <v>135</v>
      </c>
      <c r="DK450" s="380"/>
    </row>
    <row r="451" spans="2:115" ht="13">
      <c r="B451" s="294"/>
      <c r="F451" s="296"/>
      <c r="J451" s="302"/>
      <c r="P451" s="618"/>
      <c r="Q451" s="618"/>
      <c r="R451" s="618"/>
      <c r="T451" s="295"/>
      <c r="X451" s="618"/>
      <c r="AA451" s="295"/>
      <c r="AH451" s="295"/>
      <c r="AO451" s="295"/>
      <c r="CU451" s="374">
        <v>136</v>
      </c>
      <c r="DK451" s="380"/>
    </row>
    <row r="452" spans="2:115" ht="13">
      <c r="B452" s="294"/>
      <c r="F452" s="296"/>
      <c r="J452" s="302"/>
      <c r="P452" s="618"/>
      <c r="Q452" s="618"/>
      <c r="R452" s="618"/>
      <c r="T452" s="295"/>
      <c r="X452" s="618"/>
      <c r="AA452" s="295"/>
      <c r="AH452" s="295"/>
      <c r="AO452" s="295"/>
      <c r="CU452" s="374">
        <v>137</v>
      </c>
      <c r="DK452" s="380"/>
    </row>
    <row r="453" spans="2:115" ht="13">
      <c r="B453" s="294"/>
      <c r="F453" s="296"/>
      <c r="J453" s="302"/>
      <c r="P453" s="618"/>
      <c r="Q453" s="618"/>
      <c r="R453" s="618"/>
      <c r="T453" s="295"/>
      <c r="X453" s="618"/>
      <c r="AA453" s="295"/>
      <c r="AH453" s="295"/>
      <c r="AO453" s="295"/>
      <c r="CU453" s="374">
        <v>138</v>
      </c>
      <c r="DK453" s="380"/>
    </row>
    <row r="454" spans="2:115" ht="13">
      <c r="B454" s="294"/>
      <c r="F454" s="296"/>
      <c r="J454" s="302"/>
      <c r="P454" s="618"/>
      <c r="Q454" s="618"/>
      <c r="R454" s="618"/>
      <c r="T454" s="295"/>
      <c r="X454" s="618"/>
      <c r="AA454" s="295"/>
      <c r="AH454" s="295"/>
      <c r="AO454" s="295"/>
      <c r="CU454" s="374">
        <v>139</v>
      </c>
      <c r="DK454" s="380"/>
    </row>
    <row r="455" spans="2:115" ht="13">
      <c r="B455" s="294"/>
      <c r="F455" s="296"/>
      <c r="J455" s="302"/>
      <c r="P455" s="618"/>
      <c r="Q455" s="618"/>
      <c r="R455" s="618"/>
      <c r="T455" s="295"/>
      <c r="X455" s="618"/>
      <c r="AA455" s="295"/>
      <c r="AH455" s="295"/>
      <c r="AO455" s="295"/>
      <c r="CU455" s="381">
        <v>140</v>
      </c>
      <c r="CV455" s="382"/>
      <c r="CW455" s="382"/>
      <c r="CX455" s="382"/>
      <c r="CY455" s="382"/>
      <c r="CZ455" s="382"/>
      <c r="DA455" s="382"/>
      <c r="DB455" s="382"/>
      <c r="DC455" s="382"/>
      <c r="DD455" s="382"/>
      <c r="DE455" s="382"/>
      <c r="DF455" s="382"/>
      <c r="DG455" s="382"/>
      <c r="DH455" s="382"/>
      <c r="DI455" s="382"/>
      <c r="DJ455" s="382"/>
      <c r="DK455" s="383"/>
    </row>
    <row r="456" spans="2:115" ht="13">
      <c r="B456" s="294"/>
      <c r="F456" s="296"/>
      <c r="J456" s="302"/>
      <c r="P456" s="618"/>
      <c r="Q456" s="618"/>
      <c r="R456" s="618"/>
      <c r="T456" s="295"/>
      <c r="X456" s="618"/>
      <c r="AA456" s="295"/>
      <c r="AH456" s="295"/>
      <c r="AO456" s="295"/>
    </row>
    <row r="457" spans="2:115" ht="13">
      <c r="B457" s="294"/>
      <c r="F457" s="296"/>
      <c r="J457" s="302"/>
      <c r="P457" s="618"/>
      <c r="Q457" s="618"/>
      <c r="R457" s="618"/>
      <c r="T457" s="295"/>
      <c r="X457" s="618"/>
      <c r="AA457" s="295"/>
      <c r="AH457" s="295"/>
      <c r="AO457" s="295"/>
    </row>
    <row r="458" spans="2:115" ht="13">
      <c r="B458" s="294"/>
      <c r="F458" s="296"/>
      <c r="J458" s="302"/>
      <c r="P458" s="618"/>
      <c r="Q458" s="618"/>
      <c r="R458" s="618"/>
      <c r="T458" s="295"/>
      <c r="X458" s="618"/>
      <c r="AA458" s="295"/>
      <c r="AH458" s="295"/>
      <c r="AO458" s="295"/>
    </row>
    <row r="459" spans="2:115" ht="13">
      <c r="B459" s="294"/>
      <c r="F459" s="296"/>
      <c r="J459" s="302"/>
      <c r="P459" s="618"/>
      <c r="Q459" s="618"/>
      <c r="R459" s="618"/>
      <c r="T459" s="295"/>
      <c r="X459" s="618"/>
      <c r="AA459" s="295"/>
      <c r="AH459" s="295"/>
      <c r="AO459" s="295"/>
    </row>
    <row r="460" spans="2:115" ht="13">
      <c r="B460" s="294"/>
      <c r="F460" s="296"/>
      <c r="J460" s="302"/>
      <c r="P460" s="618"/>
      <c r="Q460" s="618"/>
      <c r="R460" s="618"/>
      <c r="T460" s="295"/>
      <c r="X460" s="618"/>
      <c r="AA460" s="295"/>
      <c r="AH460" s="295"/>
      <c r="AO460" s="295"/>
    </row>
    <row r="461" spans="2:115" ht="13">
      <c r="B461" s="294"/>
      <c r="F461" s="296"/>
      <c r="J461" s="302"/>
      <c r="P461" s="618"/>
      <c r="Q461" s="618"/>
      <c r="R461" s="618"/>
      <c r="T461" s="295"/>
      <c r="X461" s="618"/>
      <c r="AA461" s="295"/>
      <c r="AH461" s="295"/>
      <c r="AO461" s="295"/>
    </row>
    <row r="462" spans="2:115" ht="13">
      <c r="B462" s="294"/>
      <c r="F462" s="296"/>
      <c r="J462" s="302"/>
      <c r="P462" s="618"/>
      <c r="Q462" s="618"/>
      <c r="R462" s="618"/>
      <c r="T462" s="295"/>
      <c r="X462" s="618"/>
      <c r="AA462" s="295"/>
      <c r="AH462" s="295"/>
      <c r="AO462" s="295"/>
    </row>
    <row r="463" spans="2:115" ht="13">
      <c r="B463" s="294"/>
      <c r="F463" s="296"/>
      <c r="J463" s="302"/>
      <c r="P463" s="618"/>
      <c r="Q463" s="618"/>
      <c r="R463" s="618"/>
      <c r="T463" s="295"/>
      <c r="X463" s="618"/>
      <c r="AA463" s="295"/>
      <c r="AH463" s="295"/>
      <c r="AO463" s="295"/>
    </row>
    <row r="464" spans="2:115" ht="13">
      <c r="B464" s="294"/>
      <c r="F464" s="296"/>
      <c r="J464" s="302"/>
      <c r="P464" s="618"/>
      <c r="Q464" s="618"/>
      <c r="R464" s="618"/>
      <c r="T464" s="295"/>
      <c r="X464" s="618"/>
      <c r="AA464" s="295"/>
      <c r="AH464" s="295"/>
      <c r="AO464" s="295"/>
    </row>
    <row r="465" spans="2:41" ht="13">
      <c r="B465" s="294"/>
      <c r="F465" s="296"/>
      <c r="J465" s="302"/>
      <c r="P465" s="618"/>
      <c r="Q465" s="618"/>
      <c r="R465" s="618"/>
      <c r="T465" s="295"/>
      <c r="X465" s="618"/>
      <c r="AA465" s="295"/>
      <c r="AH465" s="295"/>
      <c r="AO465" s="295"/>
    </row>
    <row r="466" spans="2:41" ht="13">
      <c r="B466" s="294"/>
      <c r="F466" s="296"/>
      <c r="J466" s="302"/>
      <c r="P466" s="618"/>
      <c r="Q466" s="618"/>
      <c r="R466" s="618"/>
      <c r="T466" s="295"/>
      <c r="X466" s="618"/>
      <c r="AA466" s="295"/>
      <c r="AH466" s="295"/>
      <c r="AO466" s="295"/>
    </row>
    <row r="467" spans="2:41" ht="13">
      <c r="B467" s="294"/>
      <c r="F467" s="296"/>
      <c r="J467" s="302"/>
      <c r="P467" s="618"/>
      <c r="Q467" s="618"/>
      <c r="R467" s="618"/>
      <c r="T467" s="295"/>
      <c r="X467" s="618"/>
      <c r="AA467" s="295"/>
      <c r="AH467" s="295"/>
      <c r="AO467" s="295"/>
    </row>
    <row r="468" spans="2:41" ht="13">
      <c r="B468" s="294"/>
      <c r="F468" s="296"/>
      <c r="J468" s="302"/>
      <c r="P468" s="618"/>
      <c r="Q468" s="618"/>
      <c r="R468" s="618"/>
      <c r="T468" s="295"/>
      <c r="X468" s="618"/>
      <c r="AA468" s="295"/>
      <c r="AH468" s="295"/>
      <c r="AO468" s="295"/>
    </row>
    <row r="469" spans="2:41" ht="13">
      <c r="B469" s="294"/>
      <c r="F469" s="296"/>
      <c r="J469" s="302"/>
      <c r="P469" s="618"/>
      <c r="Q469" s="618"/>
      <c r="R469" s="618"/>
      <c r="T469" s="295"/>
      <c r="X469" s="618"/>
      <c r="AA469" s="295"/>
      <c r="AH469" s="295"/>
      <c r="AO469" s="295"/>
    </row>
    <row r="470" spans="2:41" ht="13">
      <c r="B470" s="294"/>
      <c r="F470" s="296"/>
      <c r="J470" s="302"/>
      <c r="P470" s="618"/>
      <c r="Q470" s="618"/>
      <c r="R470" s="618"/>
      <c r="T470" s="295"/>
      <c r="X470" s="618"/>
      <c r="AA470" s="295"/>
      <c r="AH470" s="295"/>
      <c r="AO470" s="295"/>
    </row>
    <row r="471" spans="2:41" ht="13">
      <c r="B471" s="294"/>
      <c r="F471" s="296"/>
      <c r="J471" s="302"/>
      <c r="P471" s="618"/>
      <c r="Q471" s="618"/>
      <c r="R471" s="618"/>
      <c r="T471" s="295"/>
      <c r="X471" s="618"/>
      <c r="AA471" s="295"/>
      <c r="AH471" s="295"/>
      <c r="AO471" s="295"/>
    </row>
    <row r="472" spans="2:41" ht="13">
      <c r="B472" s="294"/>
      <c r="F472" s="296"/>
      <c r="J472" s="302"/>
      <c r="P472" s="618"/>
      <c r="Q472" s="618"/>
      <c r="R472" s="618"/>
      <c r="T472" s="295"/>
      <c r="X472" s="618"/>
      <c r="AA472" s="295"/>
      <c r="AH472" s="295"/>
      <c r="AO472" s="295"/>
    </row>
    <row r="473" spans="2:41" ht="13">
      <c r="B473" s="294"/>
      <c r="F473" s="296"/>
      <c r="J473" s="302"/>
      <c r="P473" s="618"/>
      <c r="Q473" s="618"/>
      <c r="R473" s="618"/>
      <c r="T473" s="295"/>
      <c r="X473" s="618"/>
      <c r="AA473" s="295"/>
      <c r="AH473" s="295"/>
      <c r="AO473" s="295"/>
    </row>
    <row r="474" spans="2:41" ht="13">
      <c r="B474" s="294"/>
      <c r="F474" s="296"/>
      <c r="J474" s="302"/>
      <c r="P474" s="618"/>
      <c r="Q474" s="618"/>
      <c r="R474" s="618"/>
      <c r="T474" s="295"/>
      <c r="X474" s="618"/>
      <c r="AA474" s="295"/>
      <c r="AH474" s="295"/>
      <c r="AO474" s="295"/>
    </row>
    <row r="475" spans="2:41" ht="13">
      <c r="B475" s="294"/>
      <c r="F475" s="296"/>
      <c r="J475" s="302"/>
      <c r="P475" s="618"/>
      <c r="Q475" s="618"/>
      <c r="R475" s="618"/>
      <c r="T475" s="295"/>
      <c r="X475" s="618"/>
      <c r="AA475" s="295"/>
      <c r="AH475" s="295"/>
      <c r="AO475" s="295"/>
    </row>
    <row r="476" spans="2:41" ht="13">
      <c r="B476" s="294"/>
      <c r="F476" s="296"/>
      <c r="J476" s="302"/>
      <c r="P476" s="618"/>
      <c r="Q476" s="618"/>
      <c r="R476" s="618"/>
      <c r="T476" s="295"/>
      <c r="X476" s="618"/>
      <c r="AA476" s="295"/>
      <c r="AH476" s="295"/>
      <c r="AO476" s="295"/>
    </row>
    <row r="477" spans="2:41" ht="13">
      <c r="B477" s="294"/>
      <c r="F477" s="296"/>
      <c r="J477" s="302"/>
      <c r="P477" s="618"/>
      <c r="Q477" s="618"/>
      <c r="R477" s="618"/>
      <c r="T477" s="295"/>
      <c r="X477" s="618"/>
      <c r="AA477" s="295"/>
      <c r="AH477" s="295"/>
      <c r="AO477" s="295"/>
    </row>
    <row r="478" spans="2:41" ht="13">
      <c r="B478" s="294"/>
      <c r="F478" s="296"/>
      <c r="J478" s="302"/>
      <c r="P478" s="618"/>
      <c r="Q478" s="618"/>
      <c r="R478" s="618"/>
      <c r="T478" s="295"/>
      <c r="X478" s="618"/>
      <c r="AA478" s="295"/>
      <c r="AH478" s="295"/>
      <c r="AO478" s="295"/>
    </row>
    <row r="479" spans="2:41" ht="13">
      <c r="B479" s="294"/>
      <c r="F479" s="296"/>
      <c r="J479" s="302"/>
      <c r="P479" s="618"/>
      <c r="Q479" s="618"/>
      <c r="R479" s="618"/>
      <c r="T479" s="295"/>
      <c r="X479" s="618"/>
      <c r="AA479" s="295"/>
      <c r="AH479" s="295"/>
      <c r="AO479" s="295"/>
    </row>
    <row r="480" spans="2:41" ht="13">
      <c r="B480" s="294"/>
      <c r="F480" s="296"/>
      <c r="J480" s="302"/>
      <c r="P480" s="618"/>
      <c r="Q480" s="618"/>
      <c r="R480" s="618"/>
      <c r="T480" s="295"/>
      <c r="X480" s="618"/>
      <c r="AA480" s="295"/>
      <c r="AH480" s="295"/>
      <c r="AO480" s="295"/>
    </row>
    <row r="481" spans="2:41" ht="13">
      <c r="B481" s="294"/>
      <c r="F481" s="296"/>
      <c r="J481" s="302"/>
      <c r="P481" s="618"/>
      <c r="Q481" s="618"/>
      <c r="R481" s="618"/>
      <c r="T481" s="295"/>
      <c r="X481" s="618"/>
      <c r="AA481" s="295"/>
      <c r="AH481" s="295"/>
      <c r="AO481" s="295"/>
    </row>
    <row r="482" spans="2:41" ht="13">
      <c r="B482" s="294"/>
      <c r="F482" s="296"/>
      <c r="J482" s="302"/>
      <c r="P482" s="618"/>
      <c r="Q482" s="618"/>
      <c r="R482" s="618"/>
      <c r="T482" s="295"/>
      <c r="X482" s="618"/>
      <c r="AA482" s="295"/>
      <c r="AH482" s="295"/>
      <c r="AO482" s="295"/>
    </row>
    <row r="483" spans="2:41" ht="13">
      <c r="B483" s="294"/>
      <c r="F483" s="296"/>
      <c r="J483" s="302"/>
      <c r="P483" s="618"/>
      <c r="Q483" s="618"/>
      <c r="R483" s="618"/>
      <c r="T483" s="295"/>
      <c r="X483" s="618"/>
      <c r="AA483" s="295"/>
      <c r="AH483" s="295"/>
      <c r="AO483" s="295"/>
    </row>
    <row r="484" spans="2:41" ht="13">
      <c r="B484" s="294"/>
      <c r="F484" s="296"/>
      <c r="J484" s="302"/>
      <c r="P484" s="618"/>
      <c r="Q484" s="618"/>
      <c r="R484" s="618"/>
      <c r="T484" s="295"/>
      <c r="X484" s="618"/>
      <c r="AA484" s="295"/>
      <c r="AH484" s="295"/>
      <c r="AO484" s="295"/>
    </row>
    <row r="485" spans="2:41" ht="13">
      <c r="B485" s="294"/>
      <c r="F485" s="296"/>
      <c r="J485" s="302"/>
      <c r="P485" s="618"/>
      <c r="Q485" s="618"/>
      <c r="R485" s="618"/>
      <c r="T485" s="295"/>
      <c r="X485" s="618"/>
      <c r="AA485" s="295"/>
      <c r="AH485" s="295"/>
      <c r="AO485" s="295"/>
    </row>
    <row r="486" spans="2:41" ht="13">
      <c r="B486" s="294"/>
      <c r="F486" s="296"/>
      <c r="J486" s="302"/>
      <c r="P486" s="618"/>
      <c r="Q486" s="618"/>
      <c r="R486" s="618"/>
      <c r="T486" s="295"/>
      <c r="X486" s="618"/>
      <c r="AA486" s="295"/>
      <c r="AH486" s="295"/>
      <c r="AO486" s="295"/>
    </row>
    <row r="487" spans="2:41" ht="13">
      <c r="B487" s="294"/>
      <c r="F487" s="296"/>
      <c r="J487" s="302"/>
      <c r="P487" s="618"/>
      <c r="Q487" s="618"/>
      <c r="R487" s="618"/>
      <c r="T487" s="295"/>
      <c r="X487" s="618"/>
      <c r="AA487" s="295"/>
      <c r="AH487" s="295"/>
      <c r="AO487" s="295"/>
    </row>
    <row r="488" spans="2:41" ht="13">
      <c r="B488" s="294"/>
      <c r="F488" s="296"/>
      <c r="J488" s="302"/>
      <c r="P488" s="618"/>
      <c r="Q488" s="618"/>
      <c r="R488" s="618"/>
      <c r="T488" s="295"/>
      <c r="X488" s="618"/>
      <c r="AA488" s="295"/>
      <c r="AH488" s="295"/>
      <c r="AO488" s="295"/>
    </row>
    <row r="489" spans="2:41" ht="13">
      <c r="B489" s="294"/>
      <c r="F489" s="296"/>
      <c r="J489" s="302"/>
      <c r="P489" s="618"/>
      <c r="Q489" s="618"/>
      <c r="R489" s="618"/>
      <c r="T489" s="295"/>
      <c r="X489" s="618"/>
      <c r="AA489" s="295"/>
      <c r="AH489" s="295"/>
      <c r="AO489" s="295"/>
    </row>
    <row r="490" spans="2:41" ht="13">
      <c r="B490" s="294"/>
      <c r="F490" s="296"/>
      <c r="J490" s="302"/>
      <c r="P490" s="618"/>
      <c r="Q490" s="618"/>
      <c r="R490" s="618"/>
      <c r="T490" s="295"/>
      <c r="X490" s="618"/>
      <c r="AA490" s="295"/>
      <c r="AH490" s="295"/>
      <c r="AO490" s="295"/>
    </row>
    <row r="491" spans="2:41" ht="13">
      <c r="B491" s="294"/>
      <c r="F491" s="296"/>
      <c r="J491" s="302"/>
      <c r="P491" s="618"/>
      <c r="Q491" s="618"/>
      <c r="R491" s="618"/>
      <c r="T491" s="295"/>
      <c r="X491" s="618"/>
      <c r="AA491" s="295"/>
      <c r="AH491" s="295"/>
      <c r="AO491" s="295"/>
    </row>
    <row r="492" spans="2:41" ht="13">
      <c r="B492" s="294"/>
      <c r="F492" s="296"/>
      <c r="J492" s="302"/>
      <c r="P492" s="618"/>
      <c r="Q492" s="618"/>
      <c r="R492" s="618"/>
      <c r="T492" s="295"/>
      <c r="X492" s="618"/>
      <c r="AA492" s="295"/>
      <c r="AH492" s="295"/>
      <c r="AO492" s="295"/>
    </row>
    <row r="493" spans="2:41" ht="13">
      <c r="B493" s="294"/>
      <c r="F493" s="296"/>
      <c r="J493" s="302"/>
      <c r="P493" s="618"/>
      <c r="Q493" s="618"/>
      <c r="R493" s="618"/>
      <c r="T493" s="295"/>
      <c r="X493" s="618"/>
      <c r="AA493" s="295"/>
      <c r="AH493" s="295"/>
      <c r="AO493" s="295"/>
    </row>
    <row r="494" spans="2:41" ht="13">
      <c r="B494" s="294"/>
      <c r="F494" s="296"/>
      <c r="J494" s="302"/>
      <c r="P494" s="618"/>
      <c r="Q494" s="618"/>
      <c r="R494" s="618"/>
      <c r="T494" s="295"/>
      <c r="X494" s="618"/>
      <c r="AA494" s="295"/>
      <c r="AH494" s="295"/>
      <c r="AO494" s="295"/>
    </row>
    <row r="495" spans="2:41" ht="13">
      <c r="B495" s="294"/>
      <c r="F495" s="296"/>
      <c r="J495" s="302"/>
      <c r="P495" s="618"/>
      <c r="Q495" s="618"/>
      <c r="R495" s="618"/>
      <c r="T495" s="295"/>
      <c r="X495" s="618"/>
      <c r="AA495" s="295"/>
      <c r="AH495" s="295"/>
      <c r="AO495" s="295"/>
    </row>
    <row r="496" spans="2:41" ht="13">
      <c r="B496" s="294"/>
      <c r="F496" s="296"/>
      <c r="J496" s="302"/>
      <c r="P496" s="618"/>
      <c r="Q496" s="618"/>
      <c r="R496" s="618"/>
      <c r="T496" s="295"/>
      <c r="X496" s="618"/>
      <c r="AA496" s="295"/>
      <c r="AH496" s="295"/>
      <c r="AO496" s="295"/>
    </row>
    <row r="497" spans="2:41" ht="13">
      <c r="B497" s="294"/>
      <c r="F497" s="296"/>
      <c r="J497" s="302"/>
      <c r="P497" s="618"/>
      <c r="Q497" s="618"/>
      <c r="R497" s="618"/>
      <c r="T497" s="295"/>
      <c r="X497" s="618"/>
      <c r="AA497" s="295"/>
      <c r="AH497" s="295"/>
      <c r="AO497" s="295"/>
    </row>
    <row r="498" spans="2:41" ht="13">
      <c r="B498" s="294"/>
      <c r="F498" s="296"/>
      <c r="J498" s="302"/>
      <c r="P498" s="618"/>
      <c r="Q498" s="618"/>
      <c r="R498" s="618"/>
      <c r="T498" s="295"/>
      <c r="X498" s="618"/>
      <c r="AA498" s="295"/>
      <c r="AH498" s="295"/>
      <c r="AO498" s="295"/>
    </row>
    <row r="499" spans="2:41" ht="13">
      <c r="B499" s="294"/>
      <c r="F499" s="296"/>
      <c r="J499" s="302"/>
      <c r="P499" s="618"/>
      <c r="Q499" s="618"/>
      <c r="R499" s="618"/>
      <c r="T499" s="295"/>
      <c r="X499" s="618"/>
      <c r="AA499" s="295"/>
      <c r="AH499" s="295"/>
      <c r="AO499" s="295"/>
    </row>
    <row r="500" spans="2:41" ht="13">
      <c r="B500" s="294"/>
      <c r="F500" s="296"/>
      <c r="J500" s="302"/>
      <c r="P500" s="618"/>
      <c r="Q500" s="618"/>
      <c r="R500" s="618"/>
      <c r="T500" s="295"/>
      <c r="X500" s="618"/>
      <c r="AA500" s="295"/>
      <c r="AH500" s="295"/>
      <c r="AO500" s="295"/>
    </row>
    <row r="501" spans="2:41" ht="13">
      <c r="B501" s="294"/>
      <c r="F501" s="296"/>
      <c r="J501" s="302"/>
      <c r="P501" s="618"/>
      <c r="Q501" s="618"/>
      <c r="R501" s="618"/>
      <c r="T501" s="295"/>
      <c r="X501" s="618"/>
      <c r="AA501" s="295"/>
      <c r="AH501" s="295"/>
      <c r="AO501" s="295"/>
    </row>
    <row r="502" spans="2:41" ht="13">
      <c r="B502" s="294"/>
      <c r="F502" s="296"/>
      <c r="J502" s="302"/>
      <c r="P502" s="618"/>
      <c r="Q502" s="618"/>
      <c r="R502" s="618"/>
      <c r="T502" s="295"/>
      <c r="X502" s="618"/>
      <c r="AA502" s="295"/>
      <c r="AH502" s="295"/>
      <c r="AO502" s="295"/>
    </row>
    <row r="503" spans="2:41" ht="13">
      <c r="B503" s="294"/>
      <c r="F503" s="296"/>
      <c r="J503" s="302"/>
      <c r="P503" s="618"/>
      <c r="Q503" s="618"/>
      <c r="R503" s="618"/>
      <c r="T503" s="295"/>
      <c r="X503" s="618"/>
      <c r="AA503" s="295"/>
      <c r="AH503" s="295"/>
      <c r="AO503" s="295"/>
    </row>
    <row r="504" spans="2:41" ht="13">
      <c r="B504" s="294"/>
      <c r="F504" s="296"/>
      <c r="J504" s="302"/>
      <c r="P504" s="618"/>
      <c r="Q504" s="618"/>
      <c r="R504" s="618"/>
      <c r="T504" s="295"/>
      <c r="X504" s="618"/>
      <c r="AA504" s="295"/>
      <c r="AH504" s="295"/>
      <c r="AO504" s="295"/>
    </row>
    <row r="505" spans="2:41" ht="13">
      <c r="B505" s="294"/>
      <c r="F505" s="296"/>
      <c r="J505" s="302"/>
      <c r="P505" s="618"/>
      <c r="Q505" s="618"/>
      <c r="R505" s="618"/>
      <c r="T505" s="295"/>
      <c r="X505" s="618"/>
      <c r="AA505" s="295"/>
      <c r="AH505" s="295"/>
      <c r="AO505" s="295"/>
    </row>
    <row r="506" spans="2:41" ht="13">
      <c r="B506" s="294"/>
      <c r="F506" s="296"/>
      <c r="J506" s="302"/>
      <c r="P506" s="618"/>
      <c r="Q506" s="618"/>
      <c r="R506" s="618"/>
      <c r="T506" s="295"/>
      <c r="X506" s="618"/>
      <c r="AA506" s="295"/>
      <c r="AH506" s="295"/>
      <c r="AO506" s="295"/>
    </row>
    <row r="507" spans="2:41" ht="13">
      <c r="B507" s="294"/>
      <c r="F507" s="296"/>
      <c r="J507" s="302"/>
      <c r="P507" s="618"/>
      <c r="Q507" s="618"/>
      <c r="R507" s="618"/>
      <c r="T507" s="295"/>
      <c r="X507" s="618"/>
      <c r="AA507" s="295"/>
      <c r="AH507" s="295"/>
      <c r="AO507" s="295"/>
    </row>
    <row r="508" spans="2:41" ht="13">
      <c r="B508" s="294"/>
      <c r="F508" s="296"/>
      <c r="J508" s="302"/>
      <c r="P508" s="618"/>
      <c r="Q508" s="618"/>
      <c r="R508" s="618"/>
      <c r="T508" s="295"/>
      <c r="X508" s="618"/>
      <c r="AA508" s="295"/>
      <c r="AH508" s="295"/>
      <c r="AO508" s="295"/>
    </row>
    <row r="509" spans="2:41" ht="13">
      <c r="B509" s="294"/>
      <c r="F509" s="296"/>
      <c r="J509" s="302"/>
      <c r="P509" s="618"/>
      <c r="Q509" s="618"/>
      <c r="R509" s="618"/>
      <c r="T509" s="295"/>
      <c r="X509" s="618"/>
      <c r="AA509" s="295"/>
      <c r="AH509" s="295"/>
      <c r="AO509" s="295"/>
    </row>
    <row r="510" spans="2:41" ht="13">
      <c r="B510" s="294"/>
      <c r="F510" s="296"/>
      <c r="J510" s="302"/>
      <c r="P510" s="618"/>
      <c r="Q510" s="618"/>
      <c r="R510" s="618"/>
      <c r="T510" s="295"/>
      <c r="X510" s="618"/>
      <c r="AA510" s="295"/>
      <c r="AH510" s="295"/>
      <c r="AO510" s="295"/>
    </row>
    <row r="511" spans="2:41" ht="13">
      <c r="B511" s="294"/>
      <c r="F511" s="296"/>
      <c r="J511" s="302"/>
      <c r="P511" s="618"/>
      <c r="Q511" s="618"/>
      <c r="R511" s="618"/>
      <c r="T511" s="295"/>
      <c r="X511" s="618"/>
      <c r="AA511" s="295"/>
      <c r="AH511" s="295"/>
      <c r="AO511" s="295"/>
    </row>
    <row r="512" spans="2:41" ht="13">
      <c r="B512" s="294"/>
      <c r="F512" s="296"/>
      <c r="J512" s="302"/>
      <c r="P512" s="618"/>
      <c r="Q512" s="618"/>
      <c r="R512" s="618"/>
      <c r="T512" s="295"/>
      <c r="X512" s="618"/>
      <c r="AA512" s="295"/>
      <c r="AH512" s="295"/>
      <c r="AO512" s="295"/>
    </row>
    <row r="513" spans="2:41" ht="13">
      <c r="B513" s="294"/>
      <c r="F513" s="296"/>
      <c r="J513" s="302"/>
      <c r="P513" s="618"/>
      <c r="Q513" s="618"/>
      <c r="R513" s="618"/>
      <c r="T513" s="295"/>
      <c r="X513" s="618"/>
      <c r="AA513" s="295"/>
      <c r="AH513" s="295"/>
      <c r="AO513" s="295"/>
    </row>
    <row r="514" spans="2:41" ht="13">
      <c r="B514" s="294"/>
      <c r="F514" s="296"/>
      <c r="J514" s="302"/>
      <c r="P514" s="618"/>
      <c r="Q514" s="618"/>
      <c r="R514" s="618"/>
      <c r="T514" s="295"/>
      <c r="X514" s="618"/>
      <c r="AA514" s="295"/>
      <c r="AH514" s="295"/>
      <c r="AO514" s="295"/>
    </row>
    <row r="515" spans="2:41" ht="13">
      <c r="B515" s="294"/>
      <c r="F515" s="296"/>
      <c r="J515" s="302"/>
      <c r="P515" s="618"/>
      <c r="Q515" s="618"/>
      <c r="R515" s="618"/>
      <c r="T515" s="295"/>
      <c r="X515" s="618"/>
      <c r="AA515" s="295"/>
      <c r="AH515" s="295"/>
      <c r="AO515" s="295"/>
    </row>
    <row r="516" spans="2:41" ht="13">
      <c r="B516" s="294"/>
      <c r="F516" s="296"/>
      <c r="J516" s="302"/>
      <c r="P516" s="618"/>
      <c r="Q516" s="618"/>
      <c r="R516" s="618"/>
      <c r="T516" s="295"/>
      <c r="X516" s="618"/>
      <c r="AA516" s="295"/>
      <c r="AH516" s="295"/>
      <c r="AO516" s="295"/>
    </row>
    <row r="517" spans="2:41" ht="13">
      <c r="B517" s="294"/>
      <c r="F517" s="296"/>
      <c r="J517" s="302"/>
      <c r="P517" s="618"/>
      <c r="Q517" s="618"/>
      <c r="R517" s="618"/>
      <c r="T517" s="295"/>
      <c r="X517" s="618"/>
      <c r="AA517" s="295"/>
      <c r="AH517" s="295"/>
      <c r="AO517" s="295"/>
    </row>
    <row r="518" spans="2:41" ht="13">
      <c r="B518" s="294"/>
      <c r="F518" s="296"/>
      <c r="J518" s="302"/>
      <c r="P518" s="618"/>
      <c r="Q518" s="618"/>
      <c r="R518" s="618"/>
      <c r="T518" s="295"/>
      <c r="X518" s="618"/>
      <c r="AA518" s="295"/>
      <c r="AH518" s="295"/>
      <c r="AO518" s="295"/>
    </row>
    <row r="519" spans="2:41" ht="13">
      <c r="B519" s="294"/>
      <c r="F519" s="296"/>
      <c r="J519" s="302"/>
      <c r="P519" s="618"/>
      <c r="Q519" s="618"/>
      <c r="R519" s="618"/>
      <c r="T519" s="295"/>
      <c r="X519" s="618"/>
      <c r="AA519" s="295"/>
      <c r="AH519" s="295"/>
      <c r="AO519" s="295"/>
    </row>
    <row r="520" spans="2:41" ht="13">
      <c r="B520" s="294"/>
      <c r="F520" s="296"/>
      <c r="J520" s="302"/>
      <c r="P520" s="618"/>
      <c r="Q520" s="618"/>
      <c r="R520" s="618"/>
      <c r="T520" s="295"/>
      <c r="X520" s="618"/>
      <c r="AA520" s="295"/>
      <c r="AH520" s="295"/>
      <c r="AO520" s="295"/>
    </row>
    <row r="521" spans="2:41" ht="13">
      <c r="B521" s="294"/>
      <c r="F521" s="296"/>
      <c r="J521" s="302"/>
      <c r="P521" s="618"/>
      <c r="Q521" s="618"/>
      <c r="R521" s="618"/>
      <c r="T521" s="295"/>
      <c r="X521" s="618"/>
      <c r="AA521" s="295"/>
      <c r="AH521" s="295"/>
      <c r="AO521" s="295"/>
    </row>
    <row r="522" spans="2:41" ht="13">
      <c r="B522" s="294"/>
      <c r="F522" s="296"/>
      <c r="J522" s="302"/>
      <c r="P522" s="618"/>
      <c r="Q522" s="618"/>
      <c r="R522" s="618"/>
      <c r="T522" s="295"/>
      <c r="X522" s="618"/>
      <c r="AA522" s="295"/>
      <c r="AH522" s="295"/>
      <c r="AO522" s="295"/>
    </row>
    <row r="523" spans="2:41" ht="13">
      <c r="B523" s="294"/>
      <c r="F523" s="296"/>
      <c r="J523" s="302"/>
      <c r="P523" s="618"/>
      <c r="Q523" s="618"/>
      <c r="R523" s="618"/>
      <c r="T523" s="295"/>
      <c r="X523" s="618"/>
      <c r="AA523" s="295"/>
      <c r="AH523" s="295"/>
      <c r="AO523" s="295"/>
    </row>
    <row r="524" spans="2:41" ht="13">
      <c r="B524" s="294"/>
      <c r="F524" s="296"/>
      <c r="J524" s="302"/>
      <c r="P524" s="618"/>
      <c r="Q524" s="618"/>
      <c r="R524" s="618"/>
      <c r="T524" s="295"/>
      <c r="X524" s="618"/>
      <c r="AA524" s="295"/>
      <c r="AH524" s="295"/>
      <c r="AO524" s="295"/>
    </row>
    <row r="525" spans="2:41" ht="13">
      <c r="B525" s="294"/>
      <c r="F525" s="296"/>
      <c r="J525" s="302"/>
      <c r="P525" s="618"/>
      <c r="Q525" s="618"/>
      <c r="R525" s="618"/>
      <c r="T525" s="295"/>
      <c r="X525" s="618"/>
      <c r="AA525" s="295"/>
      <c r="AH525" s="295"/>
      <c r="AO525" s="295"/>
    </row>
    <row r="526" spans="2:41" ht="13">
      <c r="B526" s="294"/>
      <c r="F526" s="296"/>
      <c r="J526" s="302"/>
      <c r="P526" s="618"/>
      <c r="Q526" s="618"/>
      <c r="R526" s="618"/>
      <c r="T526" s="295"/>
      <c r="X526" s="618"/>
      <c r="AA526" s="295"/>
      <c r="AH526" s="295"/>
      <c r="AO526" s="295"/>
    </row>
    <row r="527" spans="2:41" ht="13">
      <c r="B527" s="294"/>
      <c r="F527" s="296"/>
      <c r="J527" s="302"/>
      <c r="P527" s="618"/>
      <c r="Q527" s="618"/>
      <c r="R527" s="618"/>
      <c r="T527" s="295"/>
      <c r="X527" s="618"/>
      <c r="AA527" s="295"/>
      <c r="AH527" s="295"/>
      <c r="AO527" s="295"/>
    </row>
    <row r="528" spans="2:41" ht="13">
      <c r="B528" s="294"/>
      <c r="F528" s="296"/>
      <c r="J528" s="302"/>
      <c r="P528" s="618"/>
      <c r="Q528" s="618"/>
      <c r="R528" s="618"/>
      <c r="T528" s="295"/>
      <c r="X528" s="618"/>
      <c r="AA528" s="295"/>
      <c r="AH528" s="295"/>
      <c r="AO528" s="295"/>
    </row>
    <row r="529" spans="2:41" ht="13">
      <c r="B529" s="294"/>
      <c r="F529" s="296"/>
      <c r="J529" s="302"/>
      <c r="P529" s="618"/>
      <c r="Q529" s="618"/>
      <c r="R529" s="618"/>
      <c r="T529" s="295"/>
      <c r="X529" s="618"/>
      <c r="AA529" s="295"/>
      <c r="AH529" s="295"/>
      <c r="AO529" s="295"/>
    </row>
    <row r="530" spans="2:41" ht="13">
      <c r="B530" s="294"/>
      <c r="F530" s="296"/>
      <c r="J530" s="302"/>
      <c r="P530" s="618"/>
      <c r="Q530" s="618"/>
      <c r="R530" s="618"/>
      <c r="T530" s="295"/>
      <c r="X530" s="618"/>
      <c r="AA530" s="295"/>
      <c r="AH530" s="295"/>
      <c r="AO530" s="295"/>
    </row>
    <row r="531" spans="2:41" ht="13">
      <c r="B531" s="294"/>
      <c r="F531" s="296"/>
      <c r="J531" s="302"/>
      <c r="P531" s="618"/>
      <c r="Q531" s="618"/>
      <c r="R531" s="618"/>
      <c r="T531" s="295"/>
      <c r="X531" s="618"/>
      <c r="AA531" s="295"/>
      <c r="AH531" s="295"/>
      <c r="AO531" s="295"/>
    </row>
    <row r="532" spans="2:41" ht="13">
      <c r="B532" s="294"/>
      <c r="F532" s="296"/>
      <c r="J532" s="302"/>
      <c r="P532" s="618"/>
      <c r="Q532" s="618"/>
      <c r="R532" s="618"/>
      <c r="T532" s="295"/>
      <c r="X532" s="618"/>
      <c r="AA532" s="295"/>
      <c r="AH532" s="295"/>
      <c r="AO532" s="295"/>
    </row>
    <row r="533" spans="2:41" ht="13">
      <c r="B533" s="294"/>
      <c r="F533" s="296"/>
      <c r="J533" s="302"/>
      <c r="P533" s="618"/>
      <c r="Q533" s="618"/>
      <c r="R533" s="618"/>
      <c r="T533" s="295"/>
      <c r="X533" s="618"/>
      <c r="AA533" s="295"/>
      <c r="AH533" s="295"/>
      <c r="AO533" s="295"/>
    </row>
    <row r="534" spans="2:41" ht="13">
      <c r="B534" s="294"/>
      <c r="F534" s="296"/>
      <c r="J534" s="302"/>
      <c r="P534" s="618"/>
      <c r="Q534" s="618"/>
      <c r="R534" s="618"/>
      <c r="T534" s="295"/>
      <c r="X534" s="618"/>
      <c r="AA534" s="295"/>
      <c r="AH534" s="295"/>
      <c r="AO534" s="295"/>
    </row>
    <row r="535" spans="2:41" ht="13">
      <c r="B535" s="294"/>
      <c r="F535" s="296"/>
      <c r="J535" s="302"/>
      <c r="P535" s="618"/>
      <c r="Q535" s="618"/>
      <c r="R535" s="618"/>
      <c r="T535" s="295"/>
      <c r="X535" s="618"/>
      <c r="AA535" s="295"/>
      <c r="AH535" s="295"/>
      <c r="AO535" s="295"/>
    </row>
    <row r="536" spans="2:41" ht="13">
      <c r="B536" s="294"/>
      <c r="F536" s="296"/>
      <c r="J536" s="302"/>
      <c r="P536" s="618"/>
      <c r="Q536" s="618"/>
      <c r="R536" s="618"/>
      <c r="T536" s="295"/>
      <c r="X536" s="618"/>
      <c r="AA536" s="295"/>
      <c r="AH536" s="295"/>
      <c r="AO536" s="295"/>
    </row>
    <row r="537" spans="2:41" ht="13">
      <c r="B537" s="294"/>
      <c r="F537" s="296"/>
      <c r="J537" s="302"/>
      <c r="P537" s="618"/>
      <c r="Q537" s="618"/>
      <c r="R537" s="618"/>
      <c r="T537" s="295"/>
      <c r="X537" s="618"/>
      <c r="AA537" s="295"/>
      <c r="AH537" s="295"/>
      <c r="AO537" s="295"/>
    </row>
    <row r="538" spans="2:41" ht="13">
      <c r="B538" s="294"/>
      <c r="F538" s="296"/>
      <c r="J538" s="302"/>
      <c r="P538" s="618"/>
      <c r="Q538" s="618"/>
      <c r="R538" s="618"/>
      <c r="T538" s="295"/>
      <c r="X538" s="618"/>
      <c r="AA538" s="295"/>
      <c r="AH538" s="295"/>
      <c r="AO538" s="295"/>
    </row>
    <row r="539" spans="2:41" ht="13">
      <c r="B539" s="294"/>
      <c r="F539" s="296"/>
      <c r="J539" s="302"/>
      <c r="P539" s="618"/>
      <c r="Q539" s="618"/>
      <c r="R539" s="618"/>
      <c r="T539" s="295"/>
      <c r="X539" s="618"/>
      <c r="AA539" s="295"/>
      <c r="AH539" s="295"/>
      <c r="AO539" s="295"/>
    </row>
    <row r="540" spans="2:41" ht="13">
      <c r="B540" s="294"/>
      <c r="F540" s="296"/>
      <c r="J540" s="302"/>
      <c r="P540" s="618"/>
      <c r="Q540" s="618"/>
      <c r="R540" s="618"/>
      <c r="T540" s="295"/>
      <c r="X540" s="618"/>
      <c r="AA540" s="295"/>
      <c r="AH540" s="295"/>
      <c r="AO540" s="295"/>
    </row>
    <row r="541" spans="2:41" ht="13">
      <c r="B541" s="294"/>
      <c r="F541" s="296"/>
      <c r="J541" s="302"/>
      <c r="P541" s="618"/>
      <c r="Q541" s="618"/>
      <c r="R541" s="618"/>
      <c r="T541" s="295"/>
      <c r="X541" s="618"/>
      <c r="AA541" s="295"/>
      <c r="AH541" s="295"/>
      <c r="AO541" s="295"/>
    </row>
    <row r="542" spans="2:41" ht="13">
      <c r="B542" s="294"/>
      <c r="F542" s="296"/>
      <c r="J542" s="302"/>
      <c r="P542" s="618"/>
      <c r="Q542" s="618"/>
      <c r="R542" s="618"/>
      <c r="T542" s="295"/>
      <c r="X542" s="618"/>
      <c r="AA542" s="295"/>
      <c r="AH542" s="295"/>
      <c r="AO542" s="295"/>
    </row>
    <row r="543" spans="2:41" ht="13">
      <c r="B543" s="294"/>
      <c r="F543" s="296"/>
      <c r="J543" s="302"/>
      <c r="P543" s="618"/>
      <c r="Q543" s="618"/>
      <c r="R543" s="618"/>
      <c r="T543" s="295"/>
      <c r="X543" s="618"/>
      <c r="AA543" s="295"/>
      <c r="AH543" s="295"/>
      <c r="AO543" s="295"/>
    </row>
    <row r="544" spans="2:41" ht="13">
      <c r="B544" s="294"/>
      <c r="F544" s="296"/>
      <c r="J544" s="302"/>
      <c r="P544" s="618"/>
      <c r="Q544" s="618"/>
      <c r="R544" s="618"/>
      <c r="T544" s="295"/>
      <c r="X544" s="618"/>
      <c r="AA544" s="295"/>
      <c r="AH544" s="295"/>
      <c r="AO544" s="295"/>
    </row>
    <row r="545" spans="2:41" ht="13">
      <c r="B545" s="294"/>
      <c r="F545" s="296"/>
      <c r="J545" s="302"/>
      <c r="P545" s="618"/>
      <c r="Q545" s="618"/>
      <c r="R545" s="618"/>
      <c r="T545" s="295"/>
      <c r="X545" s="618"/>
      <c r="AA545" s="295"/>
      <c r="AH545" s="295"/>
      <c r="AO545" s="295"/>
    </row>
    <row r="546" spans="2:41" ht="13">
      <c r="B546" s="294"/>
      <c r="F546" s="296"/>
      <c r="J546" s="302"/>
      <c r="P546" s="618"/>
      <c r="Q546" s="618"/>
      <c r="R546" s="618"/>
      <c r="T546" s="295"/>
      <c r="X546" s="618"/>
      <c r="AA546" s="295"/>
      <c r="AH546" s="295"/>
      <c r="AO546" s="295"/>
    </row>
    <row r="547" spans="2:41" ht="13">
      <c r="B547" s="294"/>
      <c r="F547" s="296"/>
      <c r="J547" s="302"/>
      <c r="P547" s="618"/>
      <c r="Q547" s="618"/>
      <c r="R547" s="618"/>
      <c r="T547" s="295"/>
      <c r="X547" s="618"/>
      <c r="AA547" s="295"/>
      <c r="AH547" s="295"/>
      <c r="AO547" s="295"/>
    </row>
    <row r="548" spans="2:41" ht="13">
      <c r="B548" s="294"/>
      <c r="F548" s="296"/>
      <c r="J548" s="302"/>
      <c r="P548" s="618"/>
      <c r="Q548" s="618"/>
      <c r="R548" s="618"/>
      <c r="T548" s="295"/>
      <c r="X548" s="618"/>
      <c r="AA548" s="295"/>
      <c r="AH548" s="295"/>
      <c r="AO548" s="295"/>
    </row>
    <row r="549" spans="2:41" ht="13">
      <c r="B549" s="294"/>
      <c r="F549" s="296"/>
      <c r="J549" s="302"/>
      <c r="P549" s="618"/>
      <c r="Q549" s="618"/>
      <c r="R549" s="618"/>
      <c r="T549" s="295"/>
      <c r="X549" s="618"/>
      <c r="AA549" s="295"/>
      <c r="AH549" s="295"/>
      <c r="AO549" s="295"/>
    </row>
    <row r="550" spans="2:41" ht="13">
      <c r="B550" s="294"/>
      <c r="F550" s="296"/>
      <c r="J550" s="302"/>
      <c r="P550" s="618"/>
      <c r="Q550" s="618"/>
      <c r="R550" s="618"/>
      <c r="T550" s="295"/>
      <c r="X550" s="618"/>
      <c r="AA550" s="295"/>
      <c r="AH550" s="295"/>
      <c r="AO550" s="295"/>
    </row>
    <row r="551" spans="2:41" ht="13">
      <c r="B551" s="294"/>
      <c r="F551" s="296"/>
      <c r="J551" s="302"/>
      <c r="P551" s="618"/>
      <c r="Q551" s="618"/>
      <c r="R551" s="618"/>
      <c r="T551" s="295"/>
      <c r="X551" s="618"/>
      <c r="AA551" s="295"/>
      <c r="AH551" s="295"/>
      <c r="AO551" s="295"/>
    </row>
    <row r="552" spans="2:41" ht="13">
      <c r="B552" s="294"/>
      <c r="F552" s="296"/>
      <c r="J552" s="302"/>
      <c r="P552" s="618"/>
      <c r="Q552" s="618"/>
      <c r="R552" s="618"/>
      <c r="T552" s="295"/>
      <c r="X552" s="618"/>
      <c r="AA552" s="295"/>
      <c r="AH552" s="295"/>
      <c r="AO552" s="295"/>
    </row>
    <row r="553" spans="2:41" ht="13">
      <c r="B553" s="294"/>
      <c r="F553" s="296"/>
      <c r="J553" s="302"/>
      <c r="P553" s="618"/>
      <c r="Q553" s="618"/>
      <c r="R553" s="618"/>
      <c r="T553" s="295"/>
      <c r="X553" s="618"/>
      <c r="AA553" s="295"/>
      <c r="AH553" s="295"/>
      <c r="AO553" s="295"/>
    </row>
    <row r="554" spans="2:41" ht="13">
      <c r="B554" s="294"/>
      <c r="F554" s="296"/>
      <c r="J554" s="302"/>
      <c r="P554" s="618"/>
      <c r="Q554" s="618"/>
      <c r="R554" s="618"/>
      <c r="T554" s="295"/>
      <c r="X554" s="618"/>
      <c r="AA554" s="295"/>
      <c r="AH554" s="295"/>
      <c r="AO554" s="295"/>
    </row>
    <row r="555" spans="2:41" ht="13">
      <c r="B555" s="294"/>
      <c r="F555" s="296"/>
      <c r="J555" s="302"/>
      <c r="P555" s="618"/>
      <c r="Q555" s="618"/>
      <c r="R555" s="618"/>
      <c r="T555" s="295"/>
      <c r="X555" s="618"/>
      <c r="AA555" s="295"/>
      <c r="AH555" s="295"/>
      <c r="AO555" s="295"/>
    </row>
    <row r="556" spans="2:41" ht="13">
      <c r="B556" s="294"/>
      <c r="F556" s="296"/>
      <c r="J556" s="302"/>
      <c r="P556" s="618"/>
      <c r="Q556" s="618"/>
      <c r="R556" s="618"/>
      <c r="T556" s="295"/>
      <c r="X556" s="618"/>
      <c r="AA556" s="295"/>
      <c r="AH556" s="295"/>
      <c r="AO556" s="295"/>
    </row>
    <row r="557" spans="2:41" ht="13">
      <c r="B557" s="294"/>
      <c r="F557" s="296"/>
      <c r="J557" s="302"/>
      <c r="P557" s="618"/>
      <c r="Q557" s="618"/>
      <c r="R557" s="618"/>
      <c r="T557" s="295"/>
      <c r="X557" s="618"/>
      <c r="AA557" s="295"/>
      <c r="AH557" s="295"/>
      <c r="AO557" s="295"/>
    </row>
    <row r="558" spans="2:41" ht="13">
      <c r="B558" s="294"/>
      <c r="F558" s="296"/>
      <c r="J558" s="302"/>
      <c r="P558" s="618"/>
      <c r="Q558" s="618"/>
      <c r="R558" s="618"/>
      <c r="T558" s="295"/>
      <c r="X558" s="618"/>
      <c r="AA558" s="295"/>
      <c r="AH558" s="295"/>
      <c r="AO558" s="295"/>
    </row>
    <row r="559" spans="2:41" ht="13">
      <c r="B559" s="294"/>
      <c r="F559" s="296"/>
      <c r="J559" s="302"/>
      <c r="P559" s="618"/>
      <c r="Q559" s="618"/>
      <c r="R559" s="618"/>
      <c r="T559" s="295"/>
      <c r="X559" s="618"/>
      <c r="AA559" s="295"/>
      <c r="AH559" s="295"/>
      <c r="AO559" s="295"/>
    </row>
    <row r="560" spans="2:41" ht="13">
      <c r="B560" s="294"/>
      <c r="F560" s="296"/>
      <c r="J560" s="302"/>
      <c r="P560" s="618"/>
      <c r="Q560" s="618"/>
      <c r="R560" s="618"/>
      <c r="T560" s="295"/>
      <c r="X560" s="618"/>
      <c r="AA560" s="295"/>
      <c r="AH560" s="295"/>
      <c r="AO560" s="295"/>
    </row>
    <row r="561" spans="2:41" ht="13">
      <c r="B561" s="294"/>
      <c r="F561" s="296"/>
      <c r="J561" s="302"/>
      <c r="P561" s="618"/>
      <c r="Q561" s="618"/>
      <c r="R561" s="618"/>
      <c r="T561" s="295"/>
      <c r="X561" s="618"/>
      <c r="AA561" s="295"/>
      <c r="AH561" s="295"/>
      <c r="AO561" s="295"/>
    </row>
    <row r="562" spans="2:41" ht="13">
      <c r="B562" s="294"/>
      <c r="F562" s="296"/>
      <c r="J562" s="302"/>
      <c r="P562" s="618"/>
      <c r="Q562" s="618"/>
      <c r="R562" s="618"/>
      <c r="T562" s="295"/>
      <c r="X562" s="618"/>
      <c r="AA562" s="295"/>
      <c r="AH562" s="295"/>
      <c r="AO562" s="295"/>
    </row>
    <row r="563" spans="2:41" ht="13">
      <c r="B563" s="294"/>
      <c r="F563" s="296"/>
      <c r="J563" s="302"/>
      <c r="P563" s="618"/>
      <c r="Q563" s="618"/>
      <c r="R563" s="618"/>
      <c r="T563" s="295"/>
      <c r="X563" s="618"/>
      <c r="AA563" s="295"/>
      <c r="AH563" s="295"/>
      <c r="AO563" s="295"/>
    </row>
    <row r="564" spans="2:41" ht="13">
      <c r="B564" s="294"/>
      <c r="F564" s="296"/>
      <c r="J564" s="302"/>
      <c r="P564" s="618"/>
      <c r="Q564" s="618"/>
      <c r="R564" s="618"/>
      <c r="T564" s="295"/>
      <c r="X564" s="618"/>
      <c r="AA564" s="295"/>
      <c r="AH564" s="295"/>
      <c r="AO564" s="295"/>
    </row>
    <row r="565" spans="2:41" ht="13">
      <c r="B565" s="294"/>
      <c r="F565" s="296"/>
      <c r="J565" s="302"/>
      <c r="P565" s="618"/>
      <c r="Q565" s="618"/>
      <c r="R565" s="618"/>
      <c r="T565" s="295"/>
      <c r="X565" s="618"/>
      <c r="AA565" s="295"/>
      <c r="AH565" s="295"/>
      <c r="AO565" s="295"/>
    </row>
    <row r="566" spans="2:41" ht="13">
      <c r="B566" s="294"/>
      <c r="F566" s="296"/>
      <c r="J566" s="302"/>
      <c r="P566" s="618"/>
      <c r="Q566" s="618"/>
      <c r="R566" s="618"/>
      <c r="T566" s="295"/>
      <c r="X566" s="618"/>
      <c r="AA566" s="295"/>
      <c r="AH566" s="295"/>
      <c r="AO566" s="295"/>
    </row>
    <row r="567" spans="2:41" ht="13">
      <c r="B567" s="294"/>
      <c r="F567" s="296"/>
      <c r="J567" s="302"/>
      <c r="P567" s="618"/>
      <c r="Q567" s="618"/>
      <c r="R567" s="618"/>
      <c r="T567" s="295"/>
      <c r="X567" s="618"/>
      <c r="AA567" s="295"/>
      <c r="AH567" s="295"/>
      <c r="AO567" s="295"/>
    </row>
    <row r="568" spans="2:41" ht="13">
      <c r="B568" s="294"/>
      <c r="F568" s="296"/>
      <c r="J568" s="302"/>
      <c r="P568" s="618"/>
      <c r="Q568" s="618"/>
      <c r="R568" s="618"/>
      <c r="T568" s="295"/>
      <c r="X568" s="618"/>
      <c r="AA568" s="295"/>
      <c r="AH568" s="295"/>
      <c r="AO568" s="295"/>
    </row>
    <row r="569" spans="2:41" ht="13">
      <c r="B569" s="294"/>
      <c r="F569" s="296"/>
      <c r="J569" s="302"/>
      <c r="P569" s="618"/>
      <c r="Q569" s="618"/>
      <c r="R569" s="618"/>
      <c r="T569" s="295"/>
      <c r="X569" s="618"/>
      <c r="AA569" s="295"/>
      <c r="AH569" s="295"/>
      <c r="AO569" s="295"/>
    </row>
    <row r="570" spans="2:41" ht="13">
      <c r="B570" s="294"/>
      <c r="F570" s="296"/>
      <c r="J570" s="302"/>
      <c r="P570" s="618"/>
      <c r="Q570" s="618"/>
      <c r="R570" s="618"/>
      <c r="T570" s="295"/>
      <c r="X570" s="618"/>
      <c r="AA570" s="295"/>
      <c r="AH570" s="295"/>
      <c r="AO570" s="295"/>
    </row>
    <row r="571" spans="2:41" ht="13">
      <c r="B571" s="294"/>
      <c r="F571" s="296"/>
      <c r="J571" s="302"/>
      <c r="P571" s="618"/>
      <c r="Q571" s="618"/>
      <c r="R571" s="618"/>
      <c r="T571" s="295"/>
      <c r="X571" s="618"/>
      <c r="AA571" s="295"/>
      <c r="AH571" s="295"/>
      <c r="AO571" s="295"/>
    </row>
    <row r="572" spans="2:41" ht="13">
      <c r="B572" s="294"/>
      <c r="F572" s="296"/>
      <c r="J572" s="302"/>
      <c r="P572" s="618"/>
      <c r="Q572" s="618"/>
      <c r="R572" s="618"/>
      <c r="T572" s="295"/>
      <c r="X572" s="618"/>
      <c r="AA572" s="295"/>
      <c r="AH572" s="295"/>
      <c r="AO572" s="295"/>
    </row>
    <row r="573" spans="2:41" ht="13">
      <c r="B573" s="294"/>
      <c r="F573" s="296"/>
      <c r="J573" s="302"/>
      <c r="P573" s="618"/>
      <c r="Q573" s="618"/>
      <c r="R573" s="618"/>
      <c r="T573" s="295"/>
      <c r="X573" s="618"/>
      <c r="AA573" s="295"/>
      <c r="AH573" s="295"/>
      <c r="AO573" s="295"/>
    </row>
    <row r="574" spans="2:41" ht="13">
      <c r="B574" s="294"/>
      <c r="F574" s="296"/>
      <c r="J574" s="302"/>
      <c r="P574" s="618"/>
      <c r="Q574" s="618"/>
      <c r="R574" s="618"/>
      <c r="T574" s="295"/>
      <c r="X574" s="618"/>
      <c r="AA574" s="295"/>
      <c r="AH574" s="295"/>
      <c r="AO574" s="295"/>
    </row>
    <row r="575" spans="2:41" ht="13">
      <c r="B575" s="294"/>
      <c r="F575" s="296"/>
      <c r="J575" s="302"/>
      <c r="P575" s="618"/>
      <c r="Q575" s="618"/>
      <c r="R575" s="618"/>
      <c r="T575" s="295"/>
      <c r="X575" s="618"/>
      <c r="AA575" s="295"/>
      <c r="AH575" s="295"/>
      <c r="AO575" s="295"/>
    </row>
    <row r="576" spans="2:41" ht="13">
      <c r="B576" s="294"/>
      <c r="F576" s="296"/>
      <c r="J576" s="302"/>
      <c r="P576" s="618"/>
      <c r="Q576" s="618"/>
      <c r="R576" s="618"/>
      <c r="T576" s="295"/>
      <c r="X576" s="618"/>
      <c r="AA576" s="295"/>
      <c r="AH576" s="295"/>
      <c r="AO576" s="295"/>
    </row>
    <row r="577" spans="2:41" ht="13">
      <c r="B577" s="294"/>
      <c r="F577" s="296"/>
      <c r="J577" s="302"/>
      <c r="P577" s="618"/>
      <c r="Q577" s="618"/>
      <c r="R577" s="618"/>
      <c r="T577" s="295"/>
      <c r="X577" s="618"/>
      <c r="AA577" s="295"/>
      <c r="AH577" s="295"/>
      <c r="AO577" s="295"/>
    </row>
    <row r="578" spans="2:41" ht="13">
      <c r="B578" s="294"/>
      <c r="F578" s="296"/>
      <c r="J578" s="302"/>
      <c r="P578" s="618"/>
      <c r="Q578" s="618"/>
      <c r="R578" s="618"/>
      <c r="T578" s="295"/>
      <c r="X578" s="618"/>
      <c r="AA578" s="295"/>
      <c r="AH578" s="295"/>
      <c r="AO578" s="295"/>
    </row>
    <row r="579" spans="2:41" ht="13">
      <c r="B579" s="294"/>
      <c r="F579" s="296"/>
      <c r="J579" s="302"/>
      <c r="P579" s="618"/>
      <c r="Q579" s="618"/>
      <c r="R579" s="618"/>
      <c r="T579" s="295"/>
      <c r="X579" s="618"/>
      <c r="AA579" s="295"/>
      <c r="AH579" s="295"/>
      <c r="AO579" s="295"/>
    </row>
    <row r="580" spans="2:41" ht="13">
      <c r="B580" s="294"/>
      <c r="F580" s="296"/>
      <c r="J580" s="302"/>
      <c r="P580" s="618"/>
      <c r="Q580" s="618"/>
      <c r="R580" s="618"/>
      <c r="T580" s="295"/>
      <c r="X580" s="618"/>
      <c r="AA580" s="295"/>
      <c r="AH580" s="295"/>
      <c r="AO580" s="295"/>
    </row>
    <row r="581" spans="2:41" ht="13">
      <c r="B581" s="294"/>
      <c r="F581" s="296"/>
      <c r="J581" s="302"/>
      <c r="P581" s="618"/>
      <c r="Q581" s="618"/>
      <c r="R581" s="618"/>
      <c r="T581" s="295"/>
      <c r="X581" s="618"/>
      <c r="AA581" s="295"/>
      <c r="AH581" s="295"/>
      <c r="AO581" s="295"/>
    </row>
    <row r="582" spans="2:41" ht="13">
      <c r="B582" s="294"/>
      <c r="F582" s="296"/>
      <c r="J582" s="302"/>
      <c r="P582" s="618"/>
      <c r="Q582" s="618"/>
      <c r="R582" s="618"/>
      <c r="T582" s="295"/>
      <c r="X582" s="618"/>
      <c r="AA582" s="295"/>
      <c r="AH582" s="295"/>
      <c r="AO582" s="295"/>
    </row>
    <row r="583" spans="2:41" ht="13">
      <c r="B583" s="294"/>
      <c r="F583" s="296"/>
      <c r="J583" s="302"/>
      <c r="P583" s="618"/>
      <c r="Q583" s="618"/>
      <c r="R583" s="618"/>
      <c r="T583" s="295"/>
      <c r="X583" s="618"/>
      <c r="AA583" s="295"/>
      <c r="AH583" s="295"/>
      <c r="AO583" s="295"/>
    </row>
    <row r="584" spans="2:41" ht="13">
      <c r="B584" s="294"/>
      <c r="F584" s="296"/>
      <c r="J584" s="302"/>
      <c r="P584" s="618"/>
      <c r="Q584" s="618"/>
      <c r="R584" s="618"/>
      <c r="T584" s="295"/>
      <c r="X584" s="618"/>
      <c r="AA584" s="295"/>
      <c r="AH584" s="295"/>
      <c r="AO584" s="295"/>
    </row>
    <row r="585" spans="2:41" ht="13">
      <c r="B585" s="294"/>
      <c r="F585" s="296"/>
      <c r="J585" s="302"/>
      <c r="P585" s="618"/>
      <c r="Q585" s="618"/>
      <c r="R585" s="618"/>
      <c r="T585" s="295"/>
      <c r="X585" s="618"/>
      <c r="AA585" s="295"/>
      <c r="AH585" s="295"/>
      <c r="AO585" s="295"/>
    </row>
    <row r="586" spans="2:41" ht="13">
      <c r="B586" s="294"/>
      <c r="F586" s="296"/>
      <c r="J586" s="302"/>
      <c r="P586" s="618"/>
      <c r="Q586" s="618"/>
      <c r="R586" s="618"/>
      <c r="T586" s="295"/>
      <c r="X586" s="618"/>
      <c r="AA586" s="295"/>
      <c r="AH586" s="295"/>
      <c r="AO586" s="295"/>
    </row>
    <row r="587" spans="2:41" ht="13">
      <c r="B587" s="294"/>
      <c r="F587" s="296"/>
      <c r="J587" s="302"/>
      <c r="P587" s="618"/>
      <c r="Q587" s="618"/>
      <c r="R587" s="618"/>
      <c r="T587" s="295"/>
      <c r="X587" s="618"/>
      <c r="AA587" s="295"/>
      <c r="AH587" s="295"/>
      <c r="AO587" s="295"/>
    </row>
    <row r="588" spans="2:41" ht="13">
      <c r="B588" s="294"/>
      <c r="F588" s="296"/>
      <c r="J588" s="302"/>
      <c r="P588" s="618"/>
      <c r="Q588" s="618"/>
      <c r="R588" s="618"/>
      <c r="T588" s="295"/>
      <c r="X588" s="618"/>
      <c r="AA588" s="295"/>
      <c r="AH588" s="295"/>
      <c r="AO588" s="295"/>
    </row>
    <row r="589" spans="2:41" ht="13">
      <c r="B589" s="294"/>
      <c r="F589" s="296"/>
      <c r="J589" s="302"/>
      <c r="P589" s="618"/>
      <c r="Q589" s="618"/>
      <c r="R589" s="618"/>
      <c r="T589" s="295"/>
      <c r="X589" s="618"/>
      <c r="AA589" s="295"/>
      <c r="AH589" s="295"/>
      <c r="AO589" s="295"/>
    </row>
    <row r="590" spans="2:41" ht="13">
      <c r="B590" s="294"/>
      <c r="F590" s="296"/>
      <c r="J590" s="302"/>
      <c r="P590" s="618"/>
      <c r="Q590" s="618"/>
      <c r="R590" s="618"/>
      <c r="T590" s="295"/>
      <c r="X590" s="618"/>
      <c r="AA590" s="295"/>
      <c r="AH590" s="295"/>
      <c r="AO590" s="295"/>
    </row>
    <row r="591" spans="2:41" ht="13">
      <c r="B591" s="294"/>
      <c r="F591" s="296"/>
      <c r="J591" s="302"/>
      <c r="P591" s="618"/>
      <c r="Q591" s="618"/>
      <c r="R591" s="618"/>
      <c r="T591" s="295"/>
      <c r="X591" s="618"/>
      <c r="AA591" s="295"/>
      <c r="AH591" s="295"/>
      <c r="AO591" s="295"/>
    </row>
    <row r="592" spans="2:41" ht="13">
      <c r="B592" s="294"/>
      <c r="F592" s="296"/>
      <c r="J592" s="302"/>
      <c r="P592" s="618"/>
      <c r="Q592" s="618"/>
      <c r="R592" s="618"/>
      <c r="T592" s="295"/>
      <c r="X592" s="618"/>
      <c r="AA592" s="295"/>
      <c r="AH592" s="295"/>
      <c r="AO592" s="295"/>
    </row>
    <row r="593" spans="2:41" ht="13">
      <c r="B593" s="294"/>
      <c r="F593" s="296"/>
      <c r="J593" s="302"/>
      <c r="P593" s="618"/>
      <c r="Q593" s="618"/>
      <c r="R593" s="618"/>
      <c r="T593" s="295"/>
      <c r="X593" s="618"/>
      <c r="AA593" s="295"/>
      <c r="AH593" s="295"/>
      <c r="AO593" s="295"/>
    </row>
    <row r="594" spans="2:41" ht="13">
      <c r="B594" s="294"/>
      <c r="F594" s="296"/>
      <c r="J594" s="302"/>
      <c r="P594" s="618"/>
      <c r="Q594" s="618"/>
      <c r="R594" s="618"/>
      <c r="T594" s="295"/>
      <c r="X594" s="618"/>
      <c r="AA594" s="295"/>
      <c r="AH594" s="295"/>
      <c r="AO594" s="295"/>
    </row>
    <row r="595" spans="2:41" ht="13">
      <c r="B595" s="294"/>
      <c r="F595" s="296"/>
      <c r="J595" s="302"/>
      <c r="P595" s="618"/>
      <c r="Q595" s="618"/>
      <c r="R595" s="618"/>
      <c r="T595" s="295"/>
      <c r="X595" s="618"/>
      <c r="AA595" s="295"/>
      <c r="AH595" s="295"/>
      <c r="AO595" s="295"/>
    </row>
    <row r="596" spans="2:41" ht="13">
      <c r="B596" s="294"/>
      <c r="F596" s="296"/>
      <c r="J596" s="302"/>
      <c r="P596" s="618"/>
      <c r="Q596" s="618"/>
      <c r="R596" s="618"/>
      <c r="T596" s="295"/>
      <c r="X596" s="618"/>
      <c r="AA596" s="295"/>
      <c r="AH596" s="295"/>
      <c r="AO596" s="295"/>
    </row>
    <row r="597" spans="2:41" ht="13">
      <c r="B597" s="294"/>
      <c r="F597" s="296"/>
      <c r="J597" s="302"/>
      <c r="P597" s="618"/>
      <c r="Q597" s="618"/>
      <c r="R597" s="618"/>
      <c r="T597" s="295"/>
      <c r="X597" s="618"/>
      <c r="AA597" s="295"/>
      <c r="AH597" s="295"/>
      <c r="AO597" s="295"/>
    </row>
    <row r="598" spans="2:41" ht="13">
      <c r="B598" s="294"/>
      <c r="F598" s="296"/>
      <c r="J598" s="302"/>
      <c r="P598" s="618"/>
      <c r="Q598" s="618"/>
      <c r="R598" s="618"/>
      <c r="T598" s="295"/>
      <c r="X598" s="618"/>
      <c r="AA598" s="295"/>
      <c r="AH598" s="295"/>
      <c r="AO598" s="295"/>
    </row>
    <row r="599" spans="2:41" ht="13">
      <c r="B599" s="294"/>
      <c r="F599" s="296"/>
      <c r="J599" s="302"/>
      <c r="P599" s="618"/>
      <c r="Q599" s="618"/>
      <c r="R599" s="618"/>
      <c r="T599" s="295"/>
      <c r="X599" s="618"/>
      <c r="AA599" s="295"/>
      <c r="AH599" s="295"/>
      <c r="AO599" s="295"/>
    </row>
    <row r="600" spans="2:41" ht="13">
      <c r="B600" s="294"/>
      <c r="F600" s="296"/>
      <c r="J600" s="302"/>
      <c r="P600" s="618"/>
      <c r="Q600" s="618"/>
      <c r="R600" s="618"/>
      <c r="T600" s="295"/>
      <c r="X600" s="618"/>
      <c r="AA600" s="295"/>
      <c r="AH600" s="295"/>
      <c r="AO600" s="295"/>
    </row>
    <row r="601" spans="2:41" ht="13">
      <c r="B601" s="294"/>
      <c r="F601" s="296"/>
      <c r="J601" s="302"/>
      <c r="P601" s="618"/>
      <c r="Q601" s="618"/>
      <c r="R601" s="618"/>
      <c r="T601" s="295"/>
      <c r="X601" s="618"/>
      <c r="AA601" s="295"/>
      <c r="AH601" s="295"/>
      <c r="AO601" s="295"/>
    </row>
    <row r="602" spans="2:41" ht="13">
      <c r="B602" s="294"/>
      <c r="F602" s="296"/>
      <c r="J602" s="302"/>
      <c r="P602" s="618"/>
      <c r="Q602" s="618"/>
      <c r="R602" s="618"/>
      <c r="T602" s="295"/>
      <c r="X602" s="618"/>
      <c r="AA602" s="295"/>
      <c r="AH602" s="295"/>
      <c r="AO602" s="295"/>
    </row>
    <row r="603" spans="2:41" ht="13">
      <c r="B603" s="294"/>
      <c r="F603" s="296"/>
      <c r="J603" s="302"/>
      <c r="P603" s="618"/>
      <c r="Q603" s="618"/>
      <c r="R603" s="618"/>
      <c r="T603" s="295"/>
      <c r="X603" s="618"/>
      <c r="AA603" s="295"/>
      <c r="AH603" s="295"/>
      <c r="AO603" s="295"/>
    </row>
    <row r="604" spans="2:41" ht="13">
      <c r="B604" s="294"/>
      <c r="F604" s="296"/>
      <c r="J604" s="302"/>
      <c r="P604" s="618"/>
      <c r="Q604" s="618"/>
      <c r="R604" s="618"/>
      <c r="T604" s="295"/>
      <c r="X604" s="618"/>
      <c r="AA604" s="295"/>
      <c r="AH604" s="295"/>
      <c r="AO604" s="295"/>
    </row>
    <row r="605" spans="2:41" ht="13">
      <c r="B605" s="294"/>
      <c r="F605" s="296"/>
      <c r="J605" s="302"/>
      <c r="P605" s="618"/>
      <c r="Q605" s="618"/>
      <c r="R605" s="618"/>
      <c r="T605" s="295"/>
      <c r="X605" s="618"/>
      <c r="AA605" s="295"/>
      <c r="AH605" s="295"/>
      <c r="AO605" s="295"/>
    </row>
    <row r="606" spans="2:41" ht="13">
      <c r="B606" s="294"/>
      <c r="F606" s="296"/>
      <c r="J606" s="302"/>
      <c r="P606" s="618"/>
      <c r="Q606" s="618"/>
      <c r="R606" s="618"/>
      <c r="T606" s="295"/>
      <c r="X606" s="618"/>
      <c r="AA606" s="295"/>
      <c r="AH606" s="295"/>
      <c r="AO606" s="295"/>
    </row>
    <row r="607" spans="2:41" ht="13">
      <c r="B607" s="294"/>
      <c r="F607" s="296"/>
      <c r="J607" s="302"/>
      <c r="P607" s="618"/>
      <c r="Q607" s="618"/>
      <c r="R607" s="618"/>
      <c r="T607" s="295"/>
      <c r="X607" s="618"/>
      <c r="AA607" s="295"/>
      <c r="AH607" s="295"/>
      <c r="AO607" s="295"/>
    </row>
    <row r="608" spans="2:41" ht="13">
      <c r="B608" s="294"/>
      <c r="F608" s="296"/>
      <c r="J608" s="302"/>
      <c r="P608" s="618"/>
      <c r="Q608" s="618"/>
      <c r="R608" s="618"/>
      <c r="T608" s="295"/>
      <c r="X608" s="618"/>
      <c r="AA608" s="295"/>
      <c r="AH608" s="295"/>
      <c r="AO608" s="295"/>
    </row>
    <row r="609" spans="2:41" ht="13">
      <c r="B609" s="294"/>
      <c r="F609" s="296"/>
      <c r="J609" s="302"/>
      <c r="P609" s="618"/>
      <c r="Q609" s="618"/>
      <c r="R609" s="618"/>
      <c r="T609" s="295"/>
      <c r="X609" s="618"/>
      <c r="AA609" s="295"/>
      <c r="AH609" s="295"/>
      <c r="AO609" s="295"/>
    </row>
    <row r="610" spans="2:41" ht="13">
      <c r="B610" s="294"/>
      <c r="F610" s="296"/>
      <c r="J610" s="302"/>
      <c r="P610" s="618"/>
      <c r="Q610" s="618"/>
      <c r="R610" s="618"/>
      <c r="T610" s="295"/>
      <c r="X610" s="618"/>
      <c r="AA610" s="295"/>
      <c r="AH610" s="295"/>
      <c r="AO610" s="295"/>
    </row>
    <row r="611" spans="2:41" ht="13">
      <c r="B611" s="294"/>
      <c r="F611" s="296"/>
      <c r="J611" s="302"/>
      <c r="P611" s="618"/>
      <c r="Q611" s="618"/>
      <c r="R611" s="618"/>
      <c r="T611" s="295"/>
      <c r="X611" s="618"/>
      <c r="AA611" s="295"/>
      <c r="AH611" s="295"/>
      <c r="AO611" s="295"/>
    </row>
    <row r="612" spans="2:41" ht="13">
      <c r="B612" s="294"/>
      <c r="F612" s="296"/>
      <c r="J612" s="302"/>
      <c r="P612" s="618"/>
      <c r="Q612" s="618"/>
      <c r="R612" s="618"/>
      <c r="T612" s="295"/>
      <c r="X612" s="618"/>
      <c r="AA612" s="295"/>
      <c r="AH612" s="295"/>
      <c r="AO612" s="295"/>
    </row>
    <row r="613" spans="2:41" ht="13">
      <c r="B613" s="294"/>
      <c r="F613" s="296"/>
      <c r="J613" s="302"/>
      <c r="P613" s="618"/>
      <c r="Q613" s="618"/>
      <c r="R613" s="618"/>
      <c r="T613" s="295"/>
      <c r="X613" s="618"/>
      <c r="AA613" s="295"/>
      <c r="AH613" s="295"/>
      <c r="AO613" s="295"/>
    </row>
    <row r="614" spans="2:41" ht="13">
      <c r="B614" s="294"/>
      <c r="F614" s="296"/>
      <c r="J614" s="302"/>
      <c r="P614" s="618"/>
      <c r="Q614" s="618"/>
      <c r="R614" s="618"/>
      <c r="T614" s="295"/>
      <c r="X614" s="618"/>
      <c r="AA614" s="295"/>
      <c r="AH614" s="295"/>
      <c r="AO614" s="295"/>
    </row>
    <row r="615" spans="2:41" ht="13">
      <c r="B615" s="294"/>
      <c r="F615" s="296"/>
      <c r="J615" s="302"/>
      <c r="P615" s="618"/>
      <c r="Q615" s="618"/>
      <c r="R615" s="618"/>
      <c r="T615" s="295"/>
      <c r="X615" s="618"/>
      <c r="AA615" s="295"/>
      <c r="AH615" s="295"/>
      <c r="AO615" s="295"/>
    </row>
    <row r="616" spans="2:41" ht="13">
      <c r="B616" s="294"/>
      <c r="F616" s="296"/>
      <c r="J616" s="302"/>
      <c r="P616" s="618"/>
      <c r="Q616" s="618"/>
      <c r="R616" s="618"/>
      <c r="T616" s="295"/>
      <c r="X616" s="618"/>
      <c r="AA616" s="295"/>
      <c r="AH616" s="295"/>
      <c r="AO616" s="295"/>
    </row>
    <row r="617" spans="2:41" ht="13">
      <c r="B617" s="294"/>
      <c r="F617" s="296"/>
      <c r="J617" s="302"/>
      <c r="P617" s="618"/>
      <c r="Q617" s="618"/>
      <c r="R617" s="618"/>
      <c r="T617" s="295"/>
      <c r="X617" s="618"/>
      <c r="AA617" s="295"/>
      <c r="AH617" s="295"/>
      <c r="AO617" s="295"/>
    </row>
    <row r="618" spans="2:41" ht="13">
      <c r="B618" s="294"/>
      <c r="F618" s="296"/>
      <c r="J618" s="302"/>
      <c r="P618" s="618"/>
      <c r="Q618" s="618"/>
      <c r="R618" s="618"/>
      <c r="T618" s="295"/>
      <c r="X618" s="618"/>
      <c r="AA618" s="295"/>
      <c r="AH618" s="295"/>
      <c r="AO618" s="295"/>
    </row>
    <row r="619" spans="2:41" ht="13">
      <c r="B619" s="294"/>
      <c r="F619" s="296"/>
      <c r="J619" s="302"/>
      <c r="P619" s="618"/>
      <c r="Q619" s="618"/>
      <c r="R619" s="618"/>
      <c r="T619" s="295"/>
      <c r="X619" s="618"/>
      <c r="AA619" s="295"/>
      <c r="AH619" s="295"/>
      <c r="AO619" s="295"/>
    </row>
    <row r="620" spans="2:41" ht="13">
      <c r="B620" s="294"/>
      <c r="F620" s="296"/>
      <c r="J620" s="302"/>
      <c r="P620" s="618"/>
      <c r="Q620" s="618"/>
      <c r="R620" s="618"/>
      <c r="T620" s="295"/>
      <c r="X620" s="618"/>
      <c r="AA620" s="295"/>
      <c r="AH620" s="295"/>
      <c r="AO620" s="295"/>
    </row>
    <row r="621" spans="2:41" ht="13">
      <c r="B621" s="294"/>
      <c r="F621" s="296"/>
      <c r="J621" s="302"/>
      <c r="P621" s="618"/>
      <c r="Q621" s="618"/>
      <c r="R621" s="618"/>
      <c r="T621" s="295"/>
      <c r="X621" s="618"/>
      <c r="AA621" s="295"/>
      <c r="AH621" s="295"/>
      <c r="AO621" s="295"/>
    </row>
    <row r="622" spans="2:41" ht="13">
      <c r="B622" s="294"/>
      <c r="F622" s="296"/>
      <c r="J622" s="302"/>
      <c r="P622" s="618"/>
      <c r="Q622" s="618"/>
      <c r="R622" s="618"/>
      <c r="T622" s="295"/>
      <c r="X622" s="618"/>
      <c r="AA622" s="295"/>
      <c r="AH622" s="295"/>
      <c r="AO622" s="295"/>
    </row>
    <row r="623" spans="2:41" ht="13">
      <c r="B623" s="294"/>
      <c r="F623" s="296"/>
      <c r="J623" s="302"/>
      <c r="P623" s="618"/>
      <c r="Q623" s="618"/>
      <c r="R623" s="618"/>
      <c r="T623" s="295"/>
      <c r="X623" s="618"/>
      <c r="AA623" s="295"/>
      <c r="AH623" s="295"/>
      <c r="AO623" s="295"/>
    </row>
    <row r="624" spans="2:41" ht="13">
      <c r="B624" s="294"/>
      <c r="F624" s="296"/>
      <c r="J624" s="302"/>
      <c r="P624" s="618"/>
      <c r="Q624" s="618"/>
      <c r="R624" s="618"/>
      <c r="T624" s="295"/>
      <c r="X624" s="618"/>
      <c r="AA624" s="295"/>
      <c r="AH624" s="295"/>
      <c r="AO624" s="295"/>
    </row>
    <row r="625" spans="2:41" ht="13">
      <c r="B625" s="294"/>
      <c r="F625" s="296"/>
      <c r="J625" s="302"/>
      <c r="P625" s="618"/>
      <c r="Q625" s="618"/>
      <c r="R625" s="618"/>
      <c r="T625" s="295"/>
      <c r="X625" s="618"/>
      <c r="AA625" s="295"/>
      <c r="AH625" s="295"/>
      <c r="AO625" s="295"/>
    </row>
    <row r="626" spans="2:41" ht="13">
      <c r="B626" s="294"/>
      <c r="F626" s="296"/>
      <c r="J626" s="302"/>
      <c r="P626" s="618"/>
      <c r="Q626" s="618"/>
      <c r="R626" s="618"/>
      <c r="T626" s="295"/>
      <c r="X626" s="618"/>
      <c r="AA626" s="295"/>
      <c r="AH626" s="295"/>
      <c r="AO626" s="295"/>
    </row>
    <row r="627" spans="2:41" ht="13">
      <c r="B627" s="294"/>
      <c r="F627" s="296"/>
      <c r="J627" s="302"/>
      <c r="P627" s="618"/>
      <c r="Q627" s="618"/>
      <c r="R627" s="618"/>
      <c r="T627" s="295"/>
      <c r="X627" s="618"/>
      <c r="AA627" s="295"/>
      <c r="AH627" s="295"/>
      <c r="AO627" s="295"/>
    </row>
    <row r="628" spans="2:41" ht="13">
      <c r="B628" s="294"/>
      <c r="F628" s="296"/>
      <c r="J628" s="302"/>
      <c r="P628" s="618"/>
      <c r="Q628" s="618"/>
      <c r="R628" s="618"/>
      <c r="T628" s="295"/>
      <c r="X628" s="618"/>
      <c r="AA628" s="295"/>
      <c r="AH628" s="295"/>
      <c r="AO628" s="295"/>
    </row>
    <row r="629" spans="2:41" ht="13">
      <c r="B629" s="294"/>
      <c r="F629" s="296"/>
      <c r="J629" s="302"/>
      <c r="P629" s="618"/>
      <c r="Q629" s="618"/>
      <c r="R629" s="618"/>
      <c r="T629" s="295"/>
      <c r="X629" s="618"/>
      <c r="AA629" s="295"/>
      <c r="AH629" s="295"/>
      <c r="AO629" s="295"/>
    </row>
    <row r="630" spans="2:41" ht="13">
      <c r="B630" s="294"/>
      <c r="F630" s="296"/>
      <c r="J630" s="302"/>
      <c r="P630" s="618"/>
      <c r="Q630" s="618"/>
      <c r="R630" s="618"/>
      <c r="T630" s="295"/>
      <c r="X630" s="618"/>
      <c r="AA630" s="295"/>
      <c r="AH630" s="295"/>
      <c r="AO630" s="295"/>
    </row>
    <row r="631" spans="2:41" ht="13">
      <c r="B631" s="294"/>
      <c r="F631" s="296"/>
      <c r="J631" s="302"/>
      <c r="P631" s="618"/>
      <c r="Q631" s="618"/>
      <c r="R631" s="618"/>
      <c r="T631" s="295"/>
      <c r="X631" s="618"/>
      <c r="AA631" s="295"/>
      <c r="AH631" s="295"/>
      <c r="AO631" s="295"/>
    </row>
    <row r="632" spans="2:41" ht="13">
      <c r="B632" s="294"/>
      <c r="F632" s="296"/>
      <c r="J632" s="302"/>
      <c r="P632" s="618"/>
      <c r="Q632" s="618"/>
      <c r="R632" s="618"/>
      <c r="T632" s="295"/>
      <c r="X632" s="618"/>
      <c r="AA632" s="295"/>
      <c r="AH632" s="295"/>
      <c r="AO632" s="295"/>
    </row>
    <row r="633" spans="2:41" ht="13">
      <c r="B633" s="294"/>
      <c r="F633" s="296"/>
      <c r="J633" s="302"/>
      <c r="P633" s="618"/>
      <c r="Q633" s="618"/>
      <c r="R633" s="618"/>
      <c r="T633" s="295"/>
      <c r="X633" s="618"/>
      <c r="AA633" s="295"/>
      <c r="AH633" s="295"/>
      <c r="AO633" s="295"/>
    </row>
    <row r="634" spans="2:41" ht="13">
      <c r="B634" s="294"/>
      <c r="F634" s="296"/>
      <c r="J634" s="302"/>
      <c r="P634" s="618"/>
      <c r="Q634" s="618"/>
      <c r="R634" s="618"/>
      <c r="T634" s="295"/>
      <c r="X634" s="618"/>
      <c r="AA634" s="295"/>
      <c r="AH634" s="295"/>
      <c r="AO634" s="295"/>
    </row>
    <row r="635" spans="2:41" ht="13">
      <c r="B635" s="294"/>
      <c r="F635" s="296"/>
      <c r="J635" s="302"/>
      <c r="P635" s="618"/>
      <c r="Q635" s="618"/>
      <c r="R635" s="618"/>
      <c r="T635" s="295"/>
      <c r="X635" s="618"/>
      <c r="AA635" s="295"/>
      <c r="AH635" s="295"/>
      <c r="AO635" s="295"/>
    </row>
    <row r="636" spans="2:41" ht="13">
      <c r="B636" s="294"/>
      <c r="F636" s="296"/>
      <c r="J636" s="302"/>
      <c r="P636" s="618"/>
      <c r="Q636" s="618"/>
      <c r="R636" s="618"/>
      <c r="T636" s="295"/>
      <c r="X636" s="618"/>
      <c r="AA636" s="295"/>
      <c r="AH636" s="295"/>
      <c r="AO636" s="295"/>
    </row>
    <row r="637" spans="2:41" ht="13">
      <c r="B637" s="294"/>
      <c r="F637" s="296"/>
      <c r="J637" s="302"/>
      <c r="P637" s="618"/>
      <c r="Q637" s="618"/>
      <c r="R637" s="618"/>
      <c r="T637" s="295"/>
      <c r="X637" s="618"/>
      <c r="AA637" s="295"/>
      <c r="AH637" s="295"/>
      <c r="AO637" s="295"/>
    </row>
    <row r="638" spans="2:41" ht="13">
      <c r="B638" s="294"/>
      <c r="F638" s="296"/>
      <c r="J638" s="302"/>
      <c r="P638" s="618"/>
      <c r="Q638" s="618"/>
      <c r="R638" s="618"/>
      <c r="T638" s="295"/>
      <c r="X638" s="618"/>
      <c r="AA638" s="295"/>
      <c r="AH638" s="295"/>
      <c r="AO638" s="295"/>
    </row>
    <row r="639" spans="2:41" ht="13">
      <c r="B639" s="294"/>
      <c r="F639" s="296"/>
      <c r="J639" s="302"/>
      <c r="P639" s="618"/>
      <c r="Q639" s="618"/>
      <c r="R639" s="618"/>
      <c r="T639" s="295"/>
      <c r="X639" s="618"/>
      <c r="AA639" s="295"/>
      <c r="AH639" s="295"/>
      <c r="AO639" s="295"/>
    </row>
    <row r="640" spans="2:41" ht="13">
      <c r="B640" s="294"/>
      <c r="F640" s="296"/>
      <c r="J640" s="302"/>
      <c r="P640" s="618"/>
      <c r="Q640" s="618"/>
      <c r="R640" s="618"/>
      <c r="T640" s="295"/>
      <c r="X640" s="618"/>
      <c r="AA640" s="295"/>
      <c r="AH640" s="295"/>
      <c r="AO640" s="295"/>
    </row>
    <row r="641" spans="2:41" ht="13">
      <c r="B641" s="294"/>
      <c r="F641" s="296"/>
      <c r="J641" s="302"/>
      <c r="P641" s="618"/>
      <c r="Q641" s="618"/>
      <c r="R641" s="618"/>
      <c r="T641" s="295"/>
      <c r="X641" s="618"/>
      <c r="AA641" s="295"/>
      <c r="AH641" s="295"/>
      <c r="AO641" s="295"/>
    </row>
    <row r="642" spans="2:41" ht="13">
      <c r="B642" s="294"/>
      <c r="F642" s="296"/>
      <c r="J642" s="302"/>
      <c r="P642" s="618"/>
      <c r="Q642" s="618"/>
      <c r="R642" s="618"/>
      <c r="T642" s="295"/>
      <c r="X642" s="618"/>
      <c r="AA642" s="295"/>
      <c r="AH642" s="295"/>
      <c r="AO642" s="295"/>
    </row>
    <row r="643" spans="2:41" ht="13">
      <c r="B643" s="294"/>
      <c r="F643" s="296"/>
      <c r="J643" s="302"/>
      <c r="P643" s="618"/>
      <c r="Q643" s="618"/>
      <c r="R643" s="618"/>
      <c r="T643" s="295"/>
      <c r="X643" s="618"/>
      <c r="AA643" s="295"/>
      <c r="AH643" s="295"/>
      <c r="AO643" s="295"/>
    </row>
    <row r="644" spans="2:41" ht="13">
      <c r="B644" s="294"/>
      <c r="F644" s="296"/>
      <c r="J644" s="302"/>
      <c r="P644" s="618"/>
      <c r="Q644" s="618"/>
      <c r="R644" s="618"/>
      <c r="T644" s="295"/>
      <c r="X644" s="618"/>
      <c r="AA644" s="295"/>
      <c r="AH644" s="295"/>
      <c r="AO644" s="295"/>
    </row>
    <row r="645" spans="2:41" ht="13">
      <c r="B645" s="294"/>
      <c r="F645" s="296"/>
      <c r="J645" s="302"/>
      <c r="P645" s="618"/>
      <c r="Q645" s="618"/>
      <c r="R645" s="618"/>
      <c r="T645" s="295"/>
      <c r="X645" s="618"/>
      <c r="AA645" s="295"/>
      <c r="AH645" s="295"/>
      <c r="AO645" s="295"/>
    </row>
    <row r="646" spans="2:41" ht="13">
      <c r="B646" s="294"/>
      <c r="F646" s="296"/>
      <c r="J646" s="302"/>
      <c r="P646" s="618"/>
      <c r="Q646" s="618"/>
      <c r="R646" s="618"/>
      <c r="T646" s="295"/>
      <c r="X646" s="618"/>
      <c r="AA646" s="295"/>
      <c r="AH646" s="295"/>
      <c r="AO646" s="295"/>
    </row>
    <row r="647" spans="2:41" ht="13">
      <c r="B647" s="294"/>
      <c r="F647" s="296"/>
      <c r="J647" s="302"/>
      <c r="P647" s="618"/>
      <c r="Q647" s="618"/>
      <c r="R647" s="618"/>
      <c r="T647" s="295"/>
      <c r="X647" s="618"/>
      <c r="AA647" s="295"/>
      <c r="AH647" s="295"/>
      <c r="AO647" s="295"/>
    </row>
    <row r="648" spans="2:41" ht="13">
      <c r="B648" s="294"/>
      <c r="F648" s="296"/>
      <c r="J648" s="302"/>
      <c r="P648" s="618"/>
      <c r="Q648" s="618"/>
      <c r="R648" s="618"/>
      <c r="T648" s="295"/>
      <c r="X648" s="618"/>
      <c r="AA648" s="295"/>
      <c r="AH648" s="295"/>
      <c r="AO648" s="295"/>
    </row>
    <row r="649" spans="2:41" ht="13">
      <c r="B649" s="294"/>
      <c r="F649" s="296"/>
      <c r="J649" s="302"/>
      <c r="P649" s="618"/>
      <c r="Q649" s="618"/>
      <c r="R649" s="618"/>
      <c r="T649" s="295"/>
      <c r="X649" s="618"/>
      <c r="AA649" s="295"/>
      <c r="AH649" s="295"/>
      <c r="AO649" s="295"/>
    </row>
    <row r="650" spans="2:41" ht="13">
      <c r="B650" s="294"/>
      <c r="F650" s="296"/>
      <c r="J650" s="302"/>
      <c r="P650" s="618"/>
      <c r="Q650" s="618"/>
      <c r="R650" s="618"/>
      <c r="T650" s="295"/>
      <c r="X650" s="618"/>
      <c r="AA650" s="295"/>
      <c r="AH650" s="295"/>
      <c r="AO650" s="295"/>
    </row>
    <row r="651" spans="2:41" ht="13">
      <c r="B651" s="294"/>
      <c r="F651" s="296"/>
      <c r="J651" s="302"/>
      <c r="P651" s="618"/>
      <c r="Q651" s="618"/>
      <c r="R651" s="618"/>
      <c r="T651" s="295"/>
      <c r="X651" s="618"/>
      <c r="AA651" s="295"/>
      <c r="AH651" s="295"/>
      <c r="AO651" s="295"/>
    </row>
    <row r="652" spans="2:41" ht="13">
      <c r="B652" s="294"/>
      <c r="F652" s="296"/>
      <c r="J652" s="302"/>
      <c r="P652" s="618"/>
      <c r="Q652" s="618"/>
      <c r="R652" s="618"/>
      <c r="T652" s="295"/>
      <c r="X652" s="618"/>
      <c r="AA652" s="295"/>
      <c r="AH652" s="295"/>
      <c r="AO652" s="295"/>
    </row>
    <row r="653" spans="2:41" ht="13">
      <c r="B653" s="294"/>
      <c r="F653" s="296"/>
      <c r="J653" s="302"/>
      <c r="P653" s="618"/>
      <c r="Q653" s="618"/>
      <c r="R653" s="618"/>
      <c r="T653" s="295"/>
      <c r="X653" s="618"/>
      <c r="AA653" s="295"/>
      <c r="AH653" s="295"/>
      <c r="AO653" s="295"/>
    </row>
    <row r="654" spans="2:41" ht="13">
      <c r="B654" s="294"/>
      <c r="F654" s="296"/>
      <c r="J654" s="302"/>
      <c r="P654" s="618"/>
      <c r="Q654" s="618"/>
      <c r="R654" s="618"/>
      <c r="T654" s="295"/>
      <c r="X654" s="618"/>
      <c r="AA654" s="295"/>
      <c r="AH654" s="295"/>
      <c r="AO654" s="295"/>
    </row>
    <row r="655" spans="2:41" ht="13">
      <c r="B655" s="294"/>
      <c r="F655" s="296"/>
      <c r="J655" s="302"/>
      <c r="P655" s="618"/>
      <c r="Q655" s="618"/>
      <c r="R655" s="618"/>
      <c r="T655" s="295"/>
      <c r="X655" s="618"/>
      <c r="AA655" s="295"/>
      <c r="AH655" s="295"/>
      <c r="AO655" s="295"/>
    </row>
    <row r="656" spans="2:41" ht="13">
      <c r="B656" s="294"/>
      <c r="F656" s="296"/>
      <c r="J656" s="302"/>
      <c r="P656" s="618"/>
      <c r="Q656" s="618"/>
      <c r="R656" s="618"/>
      <c r="T656" s="295"/>
      <c r="X656" s="618"/>
      <c r="AA656" s="295"/>
      <c r="AH656" s="295"/>
      <c r="AO656" s="295"/>
    </row>
    <row r="657" spans="2:41" ht="13">
      <c r="B657" s="294"/>
      <c r="F657" s="296"/>
      <c r="J657" s="302"/>
      <c r="P657" s="618"/>
      <c r="Q657" s="618"/>
      <c r="R657" s="618"/>
      <c r="T657" s="295"/>
      <c r="X657" s="618"/>
      <c r="AA657" s="295"/>
      <c r="AH657" s="295"/>
      <c r="AO657" s="295"/>
    </row>
    <row r="658" spans="2:41" ht="13">
      <c r="B658" s="294"/>
      <c r="F658" s="296"/>
      <c r="J658" s="302"/>
      <c r="P658" s="618"/>
      <c r="Q658" s="618"/>
      <c r="R658" s="618"/>
      <c r="T658" s="295"/>
      <c r="X658" s="618"/>
      <c r="AA658" s="295"/>
      <c r="AH658" s="295"/>
      <c r="AO658" s="295"/>
    </row>
    <row r="659" spans="2:41" ht="13">
      <c r="B659" s="294"/>
      <c r="F659" s="296"/>
      <c r="J659" s="302"/>
      <c r="P659" s="618"/>
      <c r="Q659" s="618"/>
      <c r="R659" s="618"/>
      <c r="T659" s="295"/>
      <c r="X659" s="618"/>
      <c r="AA659" s="295"/>
      <c r="AH659" s="295"/>
      <c r="AO659" s="295"/>
    </row>
    <row r="660" spans="2:41" ht="13">
      <c r="B660" s="294"/>
      <c r="F660" s="296"/>
      <c r="J660" s="302"/>
      <c r="P660" s="618"/>
      <c r="Q660" s="618"/>
      <c r="R660" s="618"/>
      <c r="T660" s="295"/>
      <c r="X660" s="618"/>
      <c r="AA660" s="295"/>
      <c r="AH660" s="295"/>
      <c r="AO660" s="295"/>
    </row>
    <row r="661" spans="2:41" ht="13">
      <c r="B661" s="294"/>
      <c r="F661" s="296"/>
      <c r="J661" s="302"/>
      <c r="P661" s="618"/>
      <c r="Q661" s="618"/>
      <c r="R661" s="618"/>
      <c r="T661" s="295"/>
      <c r="X661" s="618"/>
      <c r="AA661" s="295"/>
      <c r="AH661" s="295"/>
      <c r="AO661" s="295"/>
    </row>
    <row r="662" spans="2:41" ht="13">
      <c r="B662" s="294"/>
      <c r="F662" s="296"/>
      <c r="J662" s="302"/>
      <c r="P662" s="618"/>
      <c r="Q662" s="618"/>
      <c r="R662" s="618"/>
      <c r="T662" s="295"/>
      <c r="X662" s="618"/>
      <c r="AA662" s="295"/>
      <c r="AH662" s="295"/>
      <c r="AO662" s="295"/>
    </row>
    <row r="663" spans="2:41" ht="13">
      <c r="B663" s="294"/>
      <c r="F663" s="296"/>
      <c r="J663" s="302"/>
      <c r="P663" s="618"/>
      <c r="Q663" s="618"/>
      <c r="R663" s="618"/>
      <c r="T663" s="295"/>
      <c r="X663" s="618"/>
      <c r="AA663" s="295"/>
      <c r="AH663" s="295"/>
      <c r="AO663" s="295"/>
    </row>
    <row r="664" spans="2:41" ht="13">
      <c r="B664" s="294"/>
      <c r="F664" s="296"/>
      <c r="J664" s="302"/>
      <c r="P664" s="618"/>
      <c r="Q664" s="618"/>
      <c r="R664" s="618"/>
      <c r="T664" s="295"/>
      <c r="X664" s="618"/>
      <c r="AA664" s="295"/>
      <c r="AH664" s="295"/>
      <c r="AO664" s="295"/>
    </row>
    <row r="665" spans="2:41" ht="13">
      <c r="B665" s="294"/>
      <c r="F665" s="296"/>
      <c r="J665" s="302"/>
      <c r="P665" s="618"/>
      <c r="Q665" s="618"/>
      <c r="R665" s="618"/>
      <c r="T665" s="295"/>
      <c r="X665" s="618"/>
      <c r="AA665" s="295"/>
      <c r="AH665" s="295"/>
      <c r="AO665" s="295"/>
    </row>
    <row r="666" spans="2:41" ht="13">
      <c r="B666" s="294"/>
      <c r="F666" s="296"/>
      <c r="J666" s="302"/>
      <c r="P666" s="618"/>
      <c r="Q666" s="618"/>
      <c r="R666" s="618"/>
      <c r="T666" s="295"/>
      <c r="X666" s="618"/>
      <c r="AA666" s="295"/>
      <c r="AH666" s="295"/>
      <c r="AO666" s="295"/>
    </row>
    <row r="667" spans="2:41" ht="13">
      <c r="B667" s="294"/>
      <c r="F667" s="296"/>
      <c r="J667" s="302"/>
      <c r="P667" s="618"/>
      <c r="Q667" s="618"/>
      <c r="R667" s="618"/>
      <c r="T667" s="295"/>
      <c r="X667" s="618"/>
      <c r="AA667" s="295"/>
      <c r="AH667" s="295"/>
      <c r="AO667" s="295"/>
    </row>
    <row r="668" spans="2:41" ht="13">
      <c r="B668" s="294"/>
      <c r="F668" s="296"/>
      <c r="J668" s="302"/>
      <c r="P668" s="618"/>
      <c r="Q668" s="618"/>
      <c r="R668" s="618"/>
      <c r="T668" s="295"/>
      <c r="X668" s="618"/>
      <c r="AA668" s="295"/>
      <c r="AH668" s="295"/>
      <c r="AO668" s="295"/>
    </row>
    <row r="669" spans="2:41" ht="13">
      <c r="B669" s="294"/>
      <c r="F669" s="296"/>
      <c r="J669" s="302"/>
      <c r="P669" s="618"/>
      <c r="Q669" s="618"/>
      <c r="R669" s="618"/>
      <c r="T669" s="295"/>
      <c r="X669" s="618"/>
      <c r="AA669" s="295"/>
      <c r="AH669" s="295"/>
      <c r="AO669" s="295"/>
    </row>
    <row r="670" spans="2:41" ht="13">
      <c r="B670" s="294"/>
      <c r="F670" s="296"/>
      <c r="J670" s="302"/>
      <c r="P670" s="618"/>
      <c r="Q670" s="618"/>
      <c r="R670" s="618"/>
      <c r="T670" s="295"/>
      <c r="X670" s="618"/>
      <c r="AA670" s="295"/>
      <c r="AH670" s="295"/>
      <c r="AO670" s="295"/>
    </row>
    <row r="671" spans="2:41" ht="13">
      <c r="B671" s="294"/>
      <c r="F671" s="296"/>
      <c r="J671" s="302"/>
      <c r="P671" s="618"/>
      <c r="Q671" s="618"/>
      <c r="R671" s="618"/>
      <c r="T671" s="295"/>
      <c r="X671" s="618"/>
      <c r="AA671" s="295"/>
      <c r="AH671" s="295"/>
      <c r="AO671" s="295"/>
    </row>
    <row r="672" spans="2:41" ht="13">
      <c r="B672" s="294"/>
      <c r="F672" s="296"/>
      <c r="J672" s="302"/>
      <c r="P672" s="618"/>
      <c r="Q672" s="618"/>
      <c r="R672" s="618"/>
      <c r="T672" s="295"/>
      <c r="X672" s="618"/>
      <c r="AA672" s="295"/>
      <c r="AH672" s="295"/>
      <c r="AO672" s="295"/>
    </row>
    <row r="673" spans="2:41" ht="13">
      <c r="B673" s="294"/>
      <c r="F673" s="296"/>
      <c r="J673" s="302"/>
      <c r="P673" s="618"/>
      <c r="Q673" s="618"/>
      <c r="R673" s="618"/>
      <c r="T673" s="295"/>
      <c r="X673" s="618"/>
      <c r="AA673" s="295"/>
      <c r="AH673" s="295"/>
      <c r="AO673" s="295"/>
    </row>
    <row r="674" spans="2:41" ht="13">
      <c r="B674" s="294"/>
      <c r="F674" s="296"/>
      <c r="J674" s="302"/>
      <c r="P674" s="618"/>
      <c r="Q674" s="618"/>
      <c r="R674" s="618"/>
      <c r="T674" s="295"/>
      <c r="X674" s="618"/>
      <c r="AA674" s="295"/>
      <c r="AH674" s="295"/>
      <c r="AO674" s="295"/>
    </row>
    <row r="675" spans="2:41" ht="13">
      <c r="B675" s="294"/>
      <c r="F675" s="296"/>
      <c r="J675" s="302"/>
      <c r="P675" s="618"/>
      <c r="Q675" s="618"/>
      <c r="R675" s="618"/>
      <c r="T675" s="295"/>
      <c r="X675" s="618"/>
      <c r="AA675" s="295"/>
      <c r="AH675" s="295"/>
      <c r="AO675" s="295"/>
    </row>
    <row r="676" spans="2:41" ht="13">
      <c r="B676" s="294"/>
      <c r="F676" s="296"/>
      <c r="J676" s="302"/>
      <c r="P676" s="618"/>
      <c r="Q676" s="618"/>
      <c r="R676" s="618"/>
      <c r="T676" s="295"/>
      <c r="X676" s="618"/>
      <c r="AA676" s="295"/>
      <c r="AH676" s="295"/>
      <c r="AO676" s="295"/>
    </row>
    <row r="677" spans="2:41" ht="13">
      <c r="B677" s="294"/>
      <c r="F677" s="296"/>
      <c r="J677" s="302"/>
      <c r="P677" s="618"/>
      <c r="Q677" s="618"/>
      <c r="R677" s="618"/>
      <c r="T677" s="295"/>
      <c r="X677" s="618"/>
      <c r="AA677" s="295"/>
      <c r="AH677" s="295"/>
      <c r="AO677" s="295"/>
    </row>
    <row r="678" spans="2:41" ht="13">
      <c r="B678" s="294"/>
      <c r="F678" s="296"/>
      <c r="J678" s="302"/>
      <c r="P678" s="618"/>
      <c r="Q678" s="618"/>
      <c r="R678" s="618"/>
      <c r="T678" s="295"/>
      <c r="X678" s="618"/>
      <c r="AA678" s="295"/>
      <c r="AH678" s="295"/>
      <c r="AO678" s="295"/>
    </row>
    <row r="679" spans="2:41" ht="13">
      <c r="B679" s="294"/>
      <c r="F679" s="296"/>
      <c r="J679" s="302"/>
      <c r="P679" s="618"/>
      <c r="Q679" s="618"/>
      <c r="R679" s="618"/>
      <c r="T679" s="295"/>
      <c r="X679" s="618"/>
      <c r="AA679" s="295"/>
      <c r="AH679" s="295"/>
      <c r="AO679" s="295"/>
    </row>
    <row r="680" spans="2:41" ht="13">
      <c r="B680" s="294"/>
      <c r="F680" s="296"/>
      <c r="J680" s="302"/>
      <c r="P680" s="618"/>
      <c r="Q680" s="618"/>
      <c r="R680" s="618"/>
      <c r="T680" s="295"/>
      <c r="X680" s="618"/>
      <c r="AA680" s="295"/>
      <c r="AH680" s="295"/>
      <c r="AO680" s="295"/>
    </row>
    <row r="681" spans="2:41" ht="13">
      <c r="B681" s="294"/>
      <c r="F681" s="296"/>
      <c r="J681" s="302"/>
      <c r="P681" s="618"/>
      <c r="Q681" s="618"/>
      <c r="R681" s="618"/>
      <c r="T681" s="295"/>
      <c r="X681" s="618"/>
      <c r="AA681" s="295"/>
      <c r="AH681" s="295"/>
      <c r="AO681" s="295"/>
    </row>
    <row r="682" spans="2:41" ht="13">
      <c r="B682" s="294"/>
      <c r="F682" s="296"/>
      <c r="J682" s="302"/>
      <c r="P682" s="618"/>
      <c r="Q682" s="618"/>
      <c r="R682" s="618"/>
      <c r="T682" s="295"/>
      <c r="X682" s="618"/>
      <c r="AA682" s="295"/>
      <c r="AH682" s="295"/>
      <c r="AO682" s="295"/>
    </row>
    <row r="683" spans="2:41" ht="13">
      <c r="B683" s="294"/>
      <c r="F683" s="296"/>
      <c r="J683" s="302"/>
      <c r="P683" s="618"/>
      <c r="Q683" s="618"/>
      <c r="R683" s="618"/>
      <c r="T683" s="295"/>
      <c r="X683" s="618"/>
      <c r="AA683" s="295"/>
      <c r="AH683" s="295"/>
      <c r="AO683" s="295"/>
    </row>
    <row r="684" spans="2:41" ht="13">
      <c r="B684" s="294"/>
      <c r="F684" s="296"/>
      <c r="J684" s="302"/>
      <c r="P684" s="618"/>
      <c r="Q684" s="618"/>
      <c r="R684" s="618"/>
      <c r="T684" s="295"/>
      <c r="X684" s="618"/>
      <c r="AA684" s="295"/>
      <c r="AH684" s="295"/>
      <c r="AO684" s="295"/>
    </row>
    <row r="685" spans="2:41" ht="13">
      <c r="B685" s="294"/>
      <c r="F685" s="296"/>
      <c r="J685" s="302"/>
      <c r="P685" s="618"/>
      <c r="Q685" s="618"/>
      <c r="R685" s="618"/>
      <c r="T685" s="295"/>
      <c r="X685" s="618"/>
      <c r="AA685" s="295"/>
      <c r="AH685" s="295"/>
      <c r="AO685" s="295"/>
    </row>
    <row r="686" spans="2:41" ht="13">
      <c r="B686" s="294"/>
      <c r="F686" s="296"/>
      <c r="J686" s="302"/>
      <c r="P686" s="618"/>
      <c r="Q686" s="618"/>
      <c r="R686" s="618"/>
      <c r="T686" s="295"/>
      <c r="X686" s="618"/>
      <c r="AA686" s="295"/>
      <c r="AH686" s="295"/>
      <c r="AO686" s="295"/>
    </row>
    <row r="687" spans="2:41" ht="13">
      <c r="B687" s="294"/>
      <c r="F687" s="296"/>
      <c r="J687" s="302"/>
      <c r="P687" s="618"/>
      <c r="Q687" s="618"/>
      <c r="R687" s="618"/>
      <c r="T687" s="295"/>
      <c r="X687" s="618"/>
      <c r="AA687" s="295"/>
      <c r="AH687" s="295"/>
      <c r="AO687" s="295"/>
    </row>
    <row r="688" spans="2:41" ht="13">
      <c r="B688" s="294"/>
      <c r="F688" s="296"/>
      <c r="J688" s="302"/>
      <c r="P688" s="618"/>
      <c r="Q688" s="618"/>
      <c r="R688" s="618"/>
      <c r="T688" s="295"/>
      <c r="X688" s="618"/>
      <c r="AA688" s="295"/>
      <c r="AH688" s="295"/>
      <c r="AO688" s="295"/>
    </row>
    <row r="689" spans="2:41" ht="13">
      <c r="B689" s="294"/>
      <c r="F689" s="296"/>
      <c r="J689" s="302"/>
      <c r="P689" s="618"/>
      <c r="Q689" s="618"/>
      <c r="R689" s="618"/>
      <c r="T689" s="295"/>
      <c r="X689" s="618"/>
      <c r="AA689" s="295"/>
      <c r="AH689" s="295"/>
      <c r="AO689" s="295"/>
    </row>
    <row r="690" spans="2:41" ht="13">
      <c r="B690" s="294"/>
      <c r="F690" s="296"/>
      <c r="J690" s="302"/>
      <c r="P690" s="618"/>
      <c r="Q690" s="618"/>
      <c r="R690" s="618"/>
      <c r="T690" s="295"/>
      <c r="X690" s="618"/>
      <c r="AA690" s="295"/>
      <c r="AH690" s="295"/>
      <c r="AO690" s="295"/>
    </row>
    <row r="691" spans="2:41" ht="13">
      <c r="B691" s="294"/>
      <c r="F691" s="296"/>
      <c r="J691" s="302"/>
      <c r="P691" s="618"/>
      <c r="Q691" s="618"/>
      <c r="R691" s="618"/>
      <c r="T691" s="295"/>
      <c r="X691" s="618"/>
      <c r="AA691" s="295"/>
      <c r="AH691" s="295"/>
      <c r="AO691" s="295"/>
    </row>
    <row r="692" spans="2:41" ht="13">
      <c r="B692" s="294"/>
      <c r="F692" s="296"/>
      <c r="J692" s="302"/>
      <c r="P692" s="618"/>
      <c r="Q692" s="618"/>
      <c r="R692" s="618"/>
      <c r="T692" s="295"/>
      <c r="X692" s="618"/>
      <c r="AA692" s="295"/>
      <c r="AH692" s="295"/>
      <c r="AO692" s="295"/>
    </row>
    <row r="693" spans="2:41" ht="13">
      <c r="B693" s="294"/>
      <c r="F693" s="296"/>
      <c r="J693" s="302"/>
      <c r="P693" s="618"/>
      <c r="Q693" s="618"/>
      <c r="R693" s="618"/>
      <c r="T693" s="295"/>
      <c r="X693" s="618"/>
      <c r="AA693" s="295"/>
      <c r="AH693" s="295"/>
      <c r="AO693" s="295"/>
    </row>
    <row r="694" spans="2:41" ht="13">
      <c r="B694" s="294"/>
      <c r="F694" s="296"/>
      <c r="J694" s="302"/>
      <c r="P694" s="618"/>
      <c r="Q694" s="618"/>
      <c r="R694" s="618"/>
      <c r="T694" s="295"/>
      <c r="X694" s="618"/>
      <c r="AA694" s="295"/>
      <c r="AH694" s="295"/>
      <c r="AO694" s="295"/>
    </row>
    <row r="695" spans="2:41" ht="13">
      <c r="B695" s="294"/>
      <c r="F695" s="296"/>
      <c r="J695" s="302"/>
      <c r="P695" s="618"/>
      <c r="Q695" s="618"/>
      <c r="R695" s="618"/>
      <c r="T695" s="295"/>
      <c r="X695" s="618"/>
      <c r="AA695" s="295"/>
      <c r="AH695" s="295"/>
      <c r="AO695" s="295"/>
    </row>
    <row r="696" spans="2:41" ht="13">
      <c r="B696" s="294"/>
      <c r="F696" s="296"/>
      <c r="J696" s="302"/>
      <c r="P696" s="618"/>
      <c r="Q696" s="618"/>
      <c r="R696" s="618"/>
      <c r="T696" s="295"/>
      <c r="X696" s="618"/>
      <c r="AA696" s="295"/>
      <c r="AH696" s="295"/>
      <c r="AO696" s="295"/>
    </row>
    <row r="697" spans="2:41" ht="13">
      <c r="B697" s="294"/>
      <c r="F697" s="296"/>
      <c r="J697" s="302"/>
      <c r="P697" s="618"/>
      <c r="Q697" s="618"/>
      <c r="R697" s="618"/>
      <c r="T697" s="295"/>
      <c r="X697" s="618"/>
      <c r="AA697" s="295"/>
      <c r="AH697" s="295"/>
      <c r="AO697" s="295"/>
    </row>
    <row r="698" spans="2:41" ht="13">
      <c r="B698" s="294"/>
      <c r="F698" s="296"/>
      <c r="J698" s="302"/>
      <c r="P698" s="618"/>
      <c r="Q698" s="618"/>
      <c r="R698" s="618"/>
      <c r="T698" s="295"/>
      <c r="X698" s="618"/>
      <c r="AA698" s="295"/>
      <c r="AH698" s="295"/>
      <c r="AO698" s="295"/>
    </row>
    <row r="699" spans="2:41" ht="13">
      <c r="B699" s="294"/>
      <c r="F699" s="296"/>
      <c r="J699" s="302"/>
      <c r="P699" s="618"/>
      <c r="Q699" s="618"/>
      <c r="R699" s="618"/>
      <c r="T699" s="295"/>
      <c r="X699" s="618"/>
      <c r="AA699" s="295"/>
      <c r="AH699" s="295"/>
      <c r="AO699" s="295"/>
    </row>
    <row r="700" spans="2:41" ht="13">
      <c r="B700" s="294"/>
      <c r="F700" s="296"/>
      <c r="J700" s="302"/>
      <c r="P700" s="618"/>
      <c r="Q700" s="618"/>
      <c r="R700" s="618"/>
      <c r="T700" s="295"/>
      <c r="X700" s="618"/>
      <c r="AA700" s="295"/>
      <c r="AH700" s="295"/>
      <c r="AO700" s="295"/>
    </row>
    <row r="701" spans="2:41" ht="13">
      <c r="B701" s="294"/>
      <c r="F701" s="296"/>
      <c r="J701" s="302"/>
      <c r="P701" s="618"/>
      <c r="Q701" s="618"/>
      <c r="R701" s="618"/>
      <c r="T701" s="295"/>
      <c r="X701" s="618"/>
      <c r="AA701" s="295"/>
      <c r="AH701" s="295"/>
      <c r="AO701" s="295"/>
    </row>
    <row r="702" spans="2:41" ht="13">
      <c r="B702" s="294"/>
      <c r="F702" s="296"/>
      <c r="J702" s="302"/>
      <c r="P702" s="618"/>
      <c r="Q702" s="618"/>
      <c r="R702" s="618"/>
      <c r="T702" s="295"/>
      <c r="X702" s="618"/>
      <c r="AA702" s="295"/>
      <c r="AH702" s="295"/>
      <c r="AO702" s="295"/>
    </row>
    <row r="703" spans="2:41" ht="13">
      <c r="B703" s="294"/>
      <c r="F703" s="296"/>
      <c r="J703" s="302"/>
      <c r="P703" s="618"/>
      <c r="Q703" s="618"/>
      <c r="R703" s="618"/>
      <c r="T703" s="295"/>
      <c r="X703" s="618"/>
      <c r="AA703" s="295"/>
      <c r="AH703" s="295"/>
      <c r="AO703" s="295"/>
    </row>
    <row r="704" spans="2:41" ht="13">
      <c r="B704" s="294"/>
      <c r="F704" s="296"/>
      <c r="J704" s="302"/>
      <c r="P704" s="618"/>
      <c r="Q704" s="618"/>
      <c r="R704" s="618"/>
      <c r="T704" s="295"/>
      <c r="X704" s="618"/>
      <c r="AA704" s="295"/>
      <c r="AH704" s="295"/>
      <c r="AO704" s="295"/>
    </row>
    <row r="705" spans="2:41" ht="13">
      <c r="B705" s="294"/>
      <c r="F705" s="296"/>
      <c r="J705" s="302"/>
      <c r="P705" s="618"/>
      <c r="Q705" s="618"/>
      <c r="R705" s="618"/>
      <c r="T705" s="295"/>
      <c r="X705" s="618"/>
      <c r="AA705" s="295"/>
      <c r="AH705" s="295"/>
      <c r="AO705" s="295"/>
    </row>
    <row r="706" spans="2:41" ht="13">
      <c r="B706" s="294"/>
      <c r="F706" s="296"/>
      <c r="J706" s="302"/>
      <c r="P706" s="618"/>
      <c r="Q706" s="618"/>
      <c r="R706" s="618"/>
      <c r="T706" s="295"/>
      <c r="X706" s="618"/>
      <c r="AA706" s="295"/>
      <c r="AH706" s="295"/>
      <c r="AO706" s="295"/>
    </row>
    <row r="707" spans="2:41" ht="13">
      <c r="B707" s="294"/>
      <c r="F707" s="296"/>
      <c r="J707" s="302"/>
      <c r="P707" s="618"/>
      <c r="Q707" s="618"/>
      <c r="R707" s="618"/>
      <c r="T707" s="295"/>
      <c r="X707" s="618"/>
      <c r="AA707" s="295"/>
      <c r="AH707" s="295"/>
      <c r="AO707" s="295"/>
    </row>
    <row r="708" spans="2:41" ht="13">
      <c r="B708" s="294"/>
      <c r="F708" s="296"/>
      <c r="J708" s="302"/>
      <c r="P708" s="618"/>
      <c r="Q708" s="618"/>
      <c r="R708" s="618"/>
      <c r="T708" s="295"/>
      <c r="X708" s="618"/>
      <c r="AA708" s="295"/>
      <c r="AH708" s="295"/>
      <c r="AO708" s="295"/>
    </row>
    <row r="709" spans="2:41" ht="13">
      <c r="B709" s="294"/>
      <c r="F709" s="296"/>
      <c r="J709" s="302"/>
      <c r="P709" s="618"/>
      <c r="Q709" s="618"/>
      <c r="R709" s="618"/>
      <c r="T709" s="295"/>
      <c r="X709" s="618"/>
      <c r="AA709" s="295"/>
      <c r="AH709" s="295"/>
      <c r="AO709" s="295"/>
    </row>
    <row r="710" spans="2:41" ht="13">
      <c r="B710" s="294"/>
      <c r="F710" s="296"/>
      <c r="J710" s="302"/>
      <c r="P710" s="618"/>
      <c r="Q710" s="618"/>
      <c r="R710" s="618"/>
      <c r="T710" s="295"/>
      <c r="X710" s="618"/>
      <c r="AA710" s="295"/>
      <c r="AH710" s="295"/>
      <c r="AO710" s="295"/>
    </row>
    <row r="711" spans="2:41" ht="13">
      <c r="B711" s="294"/>
      <c r="F711" s="296"/>
      <c r="J711" s="302"/>
      <c r="P711" s="618"/>
      <c r="Q711" s="618"/>
      <c r="R711" s="618"/>
      <c r="T711" s="295"/>
      <c r="X711" s="618"/>
      <c r="AA711" s="295"/>
      <c r="AH711" s="295"/>
      <c r="AO711" s="295"/>
    </row>
    <row r="712" spans="2:41" ht="13">
      <c r="B712" s="294"/>
      <c r="F712" s="296"/>
      <c r="J712" s="302"/>
      <c r="P712" s="618"/>
      <c r="Q712" s="618"/>
      <c r="R712" s="618"/>
      <c r="T712" s="295"/>
      <c r="X712" s="618"/>
      <c r="AA712" s="295"/>
      <c r="AH712" s="295"/>
      <c r="AO712" s="295"/>
    </row>
    <row r="713" spans="2:41" ht="13">
      <c r="B713" s="294"/>
      <c r="F713" s="296"/>
      <c r="J713" s="302"/>
      <c r="P713" s="618"/>
      <c r="Q713" s="618"/>
      <c r="R713" s="618"/>
      <c r="T713" s="295"/>
      <c r="X713" s="618"/>
      <c r="AA713" s="295"/>
      <c r="AH713" s="295"/>
      <c r="AO713" s="295"/>
    </row>
    <row r="714" spans="2:41" ht="13">
      <c r="B714" s="294"/>
      <c r="F714" s="296"/>
      <c r="J714" s="302"/>
      <c r="P714" s="618"/>
      <c r="Q714" s="618"/>
      <c r="R714" s="618"/>
      <c r="T714" s="295"/>
      <c r="X714" s="618"/>
      <c r="AA714" s="295"/>
      <c r="AH714" s="295"/>
      <c r="AO714" s="295"/>
    </row>
    <row r="715" spans="2:41" ht="13">
      <c r="B715" s="294"/>
      <c r="F715" s="296"/>
      <c r="J715" s="302"/>
      <c r="P715" s="618"/>
      <c r="Q715" s="618"/>
      <c r="R715" s="618"/>
      <c r="T715" s="295"/>
      <c r="X715" s="618"/>
      <c r="AA715" s="295"/>
      <c r="AH715" s="295"/>
      <c r="AO715" s="295"/>
    </row>
    <row r="716" spans="2:41" ht="13">
      <c r="B716" s="294"/>
      <c r="F716" s="296"/>
      <c r="J716" s="302"/>
      <c r="P716" s="618"/>
      <c r="Q716" s="618"/>
      <c r="R716" s="618"/>
      <c r="T716" s="295"/>
      <c r="X716" s="618"/>
      <c r="AA716" s="295"/>
      <c r="AH716" s="295"/>
      <c r="AO716" s="295"/>
    </row>
    <row r="717" spans="2:41" ht="13">
      <c r="B717" s="294"/>
      <c r="F717" s="296"/>
      <c r="J717" s="302"/>
      <c r="P717" s="618"/>
      <c r="Q717" s="618"/>
      <c r="R717" s="618"/>
      <c r="T717" s="295"/>
      <c r="X717" s="618"/>
      <c r="AA717" s="295"/>
      <c r="AH717" s="295"/>
      <c r="AO717" s="295"/>
    </row>
    <row r="718" spans="2:41" ht="13">
      <c r="B718" s="294"/>
      <c r="F718" s="296"/>
      <c r="J718" s="302"/>
      <c r="P718" s="618"/>
      <c r="Q718" s="618"/>
      <c r="R718" s="618"/>
      <c r="T718" s="295"/>
      <c r="X718" s="618"/>
      <c r="AA718" s="295"/>
      <c r="AH718" s="295"/>
      <c r="AO718" s="295"/>
    </row>
    <row r="719" spans="2:41" ht="13">
      <c r="B719" s="294"/>
      <c r="F719" s="296"/>
      <c r="J719" s="302"/>
      <c r="P719" s="618"/>
      <c r="Q719" s="618"/>
      <c r="R719" s="618"/>
      <c r="T719" s="295"/>
      <c r="X719" s="618"/>
      <c r="AA719" s="295"/>
      <c r="AH719" s="295"/>
      <c r="AO719" s="295"/>
    </row>
    <row r="720" spans="2:41" ht="13">
      <c r="B720" s="294"/>
      <c r="F720" s="296"/>
      <c r="J720" s="302"/>
      <c r="P720" s="618"/>
      <c r="Q720" s="618"/>
      <c r="R720" s="618"/>
      <c r="T720" s="295"/>
      <c r="X720" s="618"/>
      <c r="AA720" s="295"/>
      <c r="AH720" s="295"/>
      <c r="AO720" s="295"/>
    </row>
    <row r="721" spans="2:41" ht="13">
      <c r="B721" s="294"/>
      <c r="F721" s="296"/>
      <c r="J721" s="302"/>
      <c r="P721" s="618"/>
      <c r="Q721" s="618"/>
      <c r="R721" s="618"/>
      <c r="T721" s="295"/>
      <c r="X721" s="618"/>
      <c r="AA721" s="295"/>
      <c r="AH721" s="295"/>
      <c r="AO721" s="295"/>
    </row>
    <row r="722" spans="2:41" ht="13">
      <c r="B722" s="294"/>
      <c r="F722" s="296"/>
      <c r="J722" s="302"/>
      <c r="P722" s="618"/>
      <c r="Q722" s="618"/>
      <c r="R722" s="618"/>
      <c r="T722" s="295"/>
      <c r="X722" s="618"/>
      <c r="AA722" s="295"/>
      <c r="AH722" s="295"/>
      <c r="AO722" s="295"/>
    </row>
    <row r="723" spans="2:41" ht="13">
      <c r="B723" s="294"/>
      <c r="F723" s="296"/>
      <c r="J723" s="302"/>
      <c r="P723" s="618"/>
      <c r="Q723" s="618"/>
      <c r="R723" s="618"/>
      <c r="T723" s="295"/>
      <c r="X723" s="618"/>
      <c r="AA723" s="295"/>
      <c r="AH723" s="295"/>
      <c r="AO723" s="295"/>
    </row>
    <row r="724" spans="2:41" ht="13">
      <c r="B724" s="294"/>
      <c r="F724" s="296"/>
      <c r="J724" s="302"/>
      <c r="P724" s="618"/>
      <c r="Q724" s="618"/>
      <c r="R724" s="618"/>
      <c r="T724" s="295"/>
      <c r="X724" s="618"/>
      <c r="AA724" s="295"/>
      <c r="AH724" s="295"/>
      <c r="AO724" s="295"/>
    </row>
    <row r="725" spans="2:41" ht="13">
      <c r="B725" s="294"/>
      <c r="F725" s="296"/>
      <c r="J725" s="302"/>
      <c r="P725" s="618"/>
      <c r="Q725" s="618"/>
      <c r="R725" s="618"/>
      <c r="T725" s="295"/>
      <c r="X725" s="618"/>
      <c r="AA725" s="295"/>
      <c r="AH725" s="295"/>
      <c r="AO725" s="295"/>
    </row>
    <row r="726" spans="2:41" ht="13">
      <c r="B726" s="294"/>
      <c r="F726" s="296"/>
      <c r="J726" s="302"/>
      <c r="P726" s="618"/>
      <c r="Q726" s="618"/>
      <c r="R726" s="618"/>
      <c r="T726" s="295"/>
      <c r="X726" s="618"/>
      <c r="AA726" s="295"/>
      <c r="AH726" s="295"/>
      <c r="AO726" s="295"/>
    </row>
    <row r="727" spans="2:41" ht="13">
      <c r="B727" s="294"/>
      <c r="F727" s="296"/>
      <c r="J727" s="302"/>
      <c r="P727" s="618"/>
      <c r="Q727" s="618"/>
      <c r="R727" s="618"/>
      <c r="T727" s="295"/>
      <c r="X727" s="618"/>
      <c r="AA727" s="295"/>
      <c r="AH727" s="295"/>
      <c r="AO727" s="295"/>
    </row>
    <row r="728" spans="2:41" ht="13">
      <c r="B728" s="294"/>
      <c r="F728" s="296"/>
      <c r="J728" s="302"/>
      <c r="P728" s="618"/>
      <c r="Q728" s="618"/>
      <c r="R728" s="618"/>
      <c r="T728" s="295"/>
      <c r="X728" s="618"/>
      <c r="AA728" s="295"/>
      <c r="AH728" s="295"/>
      <c r="AO728" s="295"/>
    </row>
    <row r="729" spans="2:41" ht="13">
      <c r="B729" s="294"/>
      <c r="F729" s="296"/>
      <c r="J729" s="302"/>
      <c r="P729" s="618"/>
      <c r="Q729" s="618"/>
      <c r="R729" s="618"/>
      <c r="T729" s="295"/>
      <c r="X729" s="618"/>
      <c r="AA729" s="295"/>
      <c r="AH729" s="295"/>
      <c r="AO729" s="295"/>
    </row>
    <row r="730" spans="2:41" ht="13">
      <c r="B730" s="294"/>
      <c r="F730" s="296"/>
      <c r="J730" s="302"/>
      <c r="P730" s="618"/>
      <c r="Q730" s="618"/>
      <c r="R730" s="618"/>
      <c r="T730" s="295"/>
      <c r="X730" s="618"/>
      <c r="AA730" s="295"/>
      <c r="AH730" s="295"/>
      <c r="AO730" s="295"/>
    </row>
    <row r="731" spans="2:41" ht="13">
      <c r="B731" s="294"/>
      <c r="F731" s="296"/>
      <c r="J731" s="302"/>
      <c r="P731" s="618"/>
      <c r="Q731" s="618"/>
      <c r="R731" s="618"/>
      <c r="T731" s="295"/>
      <c r="X731" s="618"/>
      <c r="AA731" s="295"/>
      <c r="AH731" s="295"/>
      <c r="AO731" s="295"/>
    </row>
    <row r="732" spans="2:41" ht="13">
      <c r="B732" s="294"/>
      <c r="F732" s="296"/>
      <c r="J732" s="302"/>
      <c r="P732" s="618"/>
      <c r="Q732" s="618"/>
      <c r="R732" s="618"/>
      <c r="T732" s="295"/>
      <c r="X732" s="618"/>
      <c r="AA732" s="295"/>
      <c r="AH732" s="295"/>
      <c r="AO732" s="295"/>
    </row>
    <row r="733" spans="2:41" ht="13">
      <c r="B733" s="294"/>
      <c r="F733" s="296"/>
      <c r="J733" s="302"/>
      <c r="P733" s="618"/>
      <c r="Q733" s="618"/>
      <c r="R733" s="618"/>
      <c r="T733" s="295"/>
      <c r="X733" s="618"/>
      <c r="AA733" s="295"/>
      <c r="AH733" s="295"/>
      <c r="AO733" s="295"/>
    </row>
    <row r="734" spans="2:41" ht="13">
      <c r="B734" s="294"/>
      <c r="F734" s="296"/>
      <c r="J734" s="302"/>
      <c r="P734" s="618"/>
      <c r="Q734" s="618"/>
      <c r="R734" s="618"/>
      <c r="T734" s="295"/>
      <c r="X734" s="618"/>
      <c r="AA734" s="295"/>
      <c r="AH734" s="295"/>
      <c r="AO734" s="295"/>
    </row>
    <row r="735" spans="2:41" ht="13">
      <c r="B735" s="294"/>
      <c r="F735" s="296"/>
      <c r="J735" s="302"/>
      <c r="P735" s="618"/>
      <c r="Q735" s="618"/>
      <c r="R735" s="618"/>
      <c r="T735" s="295"/>
      <c r="X735" s="618"/>
      <c r="AA735" s="295"/>
      <c r="AH735" s="295"/>
      <c r="AO735" s="295"/>
    </row>
    <row r="736" spans="2:41" ht="13">
      <c r="B736" s="294"/>
      <c r="F736" s="296"/>
      <c r="J736" s="302"/>
      <c r="P736" s="618"/>
      <c r="Q736" s="618"/>
      <c r="R736" s="618"/>
      <c r="T736" s="295"/>
      <c r="X736" s="618"/>
      <c r="AA736" s="295"/>
      <c r="AH736" s="295"/>
      <c r="AO736" s="295"/>
    </row>
    <row r="737" spans="2:41" ht="13">
      <c r="B737" s="294"/>
      <c r="F737" s="296"/>
      <c r="J737" s="302"/>
      <c r="P737" s="618"/>
      <c r="Q737" s="618"/>
      <c r="R737" s="618"/>
      <c r="T737" s="295"/>
      <c r="X737" s="618"/>
      <c r="AA737" s="295"/>
      <c r="AH737" s="295"/>
      <c r="AO737" s="295"/>
    </row>
    <row r="738" spans="2:41" ht="13">
      <c r="B738" s="294"/>
      <c r="F738" s="296"/>
      <c r="J738" s="302"/>
      <c r="P738" s="618"/>
      <c r="Q738" s="618"/>
      <c r="R738" s="618"/>
      <c r="T738" s="295"/>
      <c r="X738" s="618"/>
      <c r="AA738" s="295"/>
      <c r="AH738" s="295"/>
      <c r="AO738" s="295"/>
    </row>
    <row r="739" spans="2:41" ht="13">
      <c r="B739" s="294"/>
      <c r="F739" s="296"/>
      <c r="J739" s="302"/>
      <c r="P739" s="618"/>
      <c r="Q739" s="618"/>
      <c r="R739" s="618"/>
      <c r="T739" s="295"/>
      <c r="X739" s="618"/>
      <c r="AA739" s="295"/>
      <c r="AH739" s="295"/>
      <c r="AO739" s="295"/>
    </row>
    <row r="740" spans="2:41" ht="13">
      <c r="B740" s="294"/>
      <c r="F740" s="296"/>
      <c r="J740" s="302"/>
      <c r="P740" s="618"/>
      <c r="Q740" s="618"/>
      <c r="R740" s="618"/>
      <c r="T740" s="295"/>
      <c r="X740" s="618"/>
      <c r="AA740" s="295"/>
      <c r="AH740" s="295"/>
      <c r="AO740" s="295"/>
    </row>
    <row r="741" spans="2:41" ht="13">
      <c r="B741" s="294"/>
      <c r="F741" s="296"/>
      <c r="J741" s="302"/>
      <c r="P741" s="618"/>
      <c r="Q741" s="618"/>
      <c r="R741" s="618"/>
      <c r="T741" s="295"/>
      <c r="X741" s="618"/>
      <c r="AA741" s="295"/>
      <c r="AH741" s="295"/>
      <c r="AO741" s="295"/>
    </row>
    <row r="742" spans="2:41" ht="13">
      <c r="B742" s="294"/>
      <c r="F742" s="296"/>
      <c r="J742" s="302"/>
      <c r="P742" s="618"/>
      <c r="Q742" s="618"/>
      <c r="R742" s="618"/>
      <c r="T742" s="295"/>
      <c r="X742" s="618"/>
      <c r="AA742" s="295"/>
      <c r="AH742" s="295"/>
      <c r="AO742" s="295"/>
    </row>
    <row r="743" spans="2:41" ht="13">
      <c r="B743" s="294"/>
      <c r="F743" s="296"/>
      <c r="J743" s="302"/>
      <c r="P743" s="618"/>
      <c r="Q743" s="618"/>
      <c r="R743" s="618"/>
      <c r="T743" s="295"/>
      <c r="X743" s="618"/>
      <c r="AA743" s="295"/>
      <c r="AH743" s="295"/>
      <c r="AO743" s="295"/>
    </row>
    <row r="744" spans="2:41" ht="13">
      <c r="B744" s="294"/>
      <c r="F744" s="296"/>
      <c r="J744" s="302"/>
      <c r="P744" s="618"/>
      <c r="Q744" s="618"/>
      <c r="R744" s="618"/>
      <c r="T744" s="295"/>
      <c r="X744" s="618"/>
      <c r="AA744" s="295"/>
      <c r="AH744" s="295"/>
      <c r="AO744" s="295"/>
    </row>
    <row r="745" spans="2:41" ht="13">
      <c r="B745" s="294"/>
      <c r="F745" s="296"/>
      <c r="J745" s="302"/>
      <c r="P745" s="618"/>
      <c r="Q745" s="618"/>
      <c r="R745" s="618"/>
      <c r="T745" s="295"/>
      <c r="X745" s="618"/>
      <c r="AA745" s="295"/>
      <c r="AH745" s="295"/>
      <c r="AO745" s="295"/>
    </row>
    <row r="746" spans="2:41" ht="13">
      <c r="B746" s="294"/>
      <c r="F746" s="296"/>
      <c r="J746" s="302"/>
      <c r="P746" s="618"/>
      <c r="Q746" s="618"/>
      <c r="R746" s="618"/>
      <c r="T746" s="295"/>
      <c r="X746" s="618"/>
      <c r="AA746" s="295"/>
      <c r="AH746" s="295"/>
      <c r="AO746" s="295"/>
    </row>
    <row r="747" spans="2:41" ht="13">
      <c r="B747" s="294"/>
      <c r="F747" s="296"/>
      <c r="J747" s="302"/>
      <c r="P747" s="618"/>
      <c r="Q747" s="618"/>
      <c r="R747" s="618"/>
      <c r="T747" s="295"/>
      <c r="X747" s="618"/>
      <c r="AA747" s="295"/>
      <c r="AH747" s="295"/>
      <c r="AO747" s="295"/>
    </row>
    <row r="748" spans="2:41" ht="13">
      <c r="B748" s="294"/>
      <c r="F748" s="296"/>
      <c r="J748" s="302"/>
      <c r="P748" s="618"/>
      <c r="Q748" s="618"/>
      <c r="R748" s="618"/>
      <c r="T748" s="295"/>
      <c r="X748" s="618"/>
      <c r="AA748" s="295"/>
      <c r="AH748" s="295"/>
      <c r="AO748" s="295"/>
    </row>
    <row r="749" spans="2:41" ht="13">
      <c r="B749" s="294"/>
      <c r="F749" s="296"/>
      <c r="J749" s="302"/>
      <c r="P749" s="618"/>
      <c r="Q749" s="618"/>
      <c r="R749" s="618"/>
      <c r="T749" s="295"/>
      <c r="X749" s="618"/>
      <c r="AA749" s="295"/>
      <c r="AH749" s="295"/>
      <c r="AO749" s="295"/>
    </row>
    <row r="750" spans="2:41" ht="13">
      <c r="B750" s="294"/>
      <c r="F750" s="296"/>
      <c r="J750" s="302"/>
      <c r="P750" s="618"/>
      <c r="Q750" s="618"/>
      <c r="R750" s="618"/>
      <c r="T750" s="295"/>
      <c r="X750" s="618"/>
      <c r="AA750" s="295"/>
      <c r="AH750" s="295"/>
      <c r="AO750" s="295"/>
    </row>
    <row r="751" spans="2:41" ht="13">
      <c r="B751" s="294"/>
      <c r="F751" s="296"/>
      <c r="J751" s="302"/>
      <c r="P751" s="618"/>
      <c r="Q751" s="618"/>
      <c r="R751" s="618"/>
      <c r="T751" s="295"/>
      <c r="X751" s="618"/>
      <c r="AA751" s="295"/>
      <c r="AH751" s="295"/>
      <c r="AO751" s="295"/>
    </row>
    <row r="752" spans="2:41" ht="13">
      <c r="B752" s="294"/>
      <c r="F752" s="296"/>
      <c r="J752" s="302"/>
      <c r="P752" s="618"/>
      <c r="Q752" s="618"/>
      <c r="R752" s="618"/>
      <c r="T752" s="295"/>
      <c r="X752" s="618"/>
      <c r="AA752" s="295"/>
      <c r="AH752" s="295"/>
      <c r="AO752" s="295"/>
    </row>
    <row r="753" spans="2:41" ht="13">
      <c r="B753" s="294"/>
      <c r="F753" s="296"/>
      <c r="J753" s="302"/>
      <c r="P753" s="618"/>
      <c r="Q753" s="618"/>
      <c r="R753" s="618"/>
      <c r="T753" s="295"/>
      <c r="X753" s="618"/>
      <c r="AA753" s="295"/>
      <c r="AH753" s="295"/>
      <c r="AO753" s="295"/>
    </row>
    <row r="754" spans="2:41" ht="13">
      <c r="B754" s="294"/>
      <c r="F754" s="296"/>
      <c r="J754" s="302"/>
      <c r="P754" s="618"/>
      <c r="Q754" s="618"/>
      <c r="R754" s="618"/>
      <c r="T754" s="295"/>
      <c r="X754" s="618"/>
      <c r="AA754" s="295"/>
      <c r="AH754" s="295"/>
      <c r="AO754" s="295"/>
    </row>
    <row r="755" spans="2:41" ht="13">
      <c r="B755" s="294"/>
      <c r="F755" s="296"/>
      <c r="J755" s="302"/>
      <c r="P755" s="618"/>
      <c r="Q755" s="618"/>
      <c r="R755" s="618"/>
      <c r="T755" s="295"/>
      <c r="X755" s="618"/>
      <c r="AA755" s="295"/>
      <c r="AH755" s="295"/>
      <c r="AO755" s="295"/>
    </row>
    <row r="756" spans="2:41" ht="13">
      <c r="B756" s="294"/>
      <c r="F756" s="296"/>
      <c r="J756" s="302"/>
      <c r="P756" s="618"/>
      <c r="Q756" s="618"/>
      <c r="R756" s="618"/>
      <c r="T756" s="295"/>
      <c r="X756" s="618"/>
      <c r="AA756" s="295"/>
      <c r="AH756" s="295"/>
      <c r="AO756" s="295"/>
    </row>
    <row r="757" spans="2:41" ht="13">
      <c r="B757" s="294"/>
      <c r="F757" s="296"/>
      <c r="J757" s="302"/>
      <c r="P757" s="618"/>
      <c r="Q757" s="618"/>
      <c r="R757" s="618"/>
      <c r="T757" s="295"/>
      <c r="X757" s="618"/>
      <c r="AA757" s="295"/>
      <c r="AH757" s="295"/>
      <c r="AO757" s="295"/>
    </row>
    <row r="758" spans="2:41" ht="13">
      <c r="B758" s="294"/>
      <c r="F758" s="296"/>
      <c r="J758" s="302"/>
      <c r="P758" s="618"/>
      <c r="Q758" s="618"/>
      <c r="R758" s="618"/>
      <c r="T758" s="295"/>
      <c r="X758" s="618"/>
      <c r="AA758" s="295"/>
      <c r="AH758" s="295"/>
      <c r="AO758" s="295"/>
    </row>
    <row r="759" spans="2:41" ht="13">
      <c r="B759" s="294"/>
      <c r="F759" s="296"/>
      <c r="J759" s="302"/>
      <c r="P759" s="618"/>
      <c r="Q759" s="618"/>
      <c r="R759" s="618"/>
      <c r="T759" s="295"/>
      <c r="X759" s="618"/>
      <c r="AA759" s="295"/>
      <c r="AH759" s="295"/>
      <c r="AO759" s="295"/>
    </row>
    <row r="760" spans="2:41" ht="13">
      <c r="B760" s="294"/>
      <c r="F760" s="296"/>
      <c r="J760" s="302"/>
      <c r="P760" s="618"/>
      <c r="Q760" s="618"/>
      <c r="R760" s="618"/>
      <c r="T760" s="295"/>
      <c r="X760" s="618"/>
      <c r="AA760" s="295"/>
      <c r="AH760" s="295"/>
      <c r="AO760" s="295"/>
    </row>
    <row r="761" spans="2:41" ht="13">
      <c r="B761" s="294"/>
      <c r="F761" s="296"/>
      <c r="J761" s="302"/>
      <c r="P761" s="618"/>
      <c r="Q761" s="618"/>
      <c r="R761" s="618"/>
      <c r="T761" s="295"/>
      <c r="X761" s="618"/>
      <c r="AA761" s="295"/>
      <c r="AH761" s="295"/>
      <c r="AO761" s="295"/>
    </row>
    <row r="762" spans="2:41" ht="13">
      <c r="B762" s="294"/>
      <c r="F762" s="296"/>
      <c r="J762" s="302"/>
      <c r="P762" s="618"/>
      <c r="Q762" s="618"/>
      <c r="R762" s="618"/>
      <c r="T762" s="295"/>
      <c r="X762" s="618"/>
      <c r="AA762" s="295"/>
      <c r="AH762" s="295"/>
      <c r="AO762" s="295"/>
    </row>
    <row r="763" spans="2:41" ht="13">
      <c r="B763" s="294"/>
      <c r="F763" s="296"/>
      <c r="J763" s="302"/>
      <c r="P763" s="618"/>
      <c r="Q763" s="618"/>
      <c r="R763" s="618"/>
      <c r="T763" s="295"/>
      <c r="X763" s="618"/>
      <c r="AA763" s="295"/>
      <c r="AH763" s="295"/>
      <c r="AO763" s="295"/>
    </row>
    <row r="764" spans="2:41" ht="13">
      <c r="B764" s="294"/>
      <c r="F764" s="296"/>
      <c r="J764" s="302"/>
      <c r="P764" s="618"/>
      <c r="Q764" s="618"/>
      <c r="R764" s="618"/>
      <c r="T764" s="295"/>
      <c r="X764" s="618"/>
      <c r="AA764" s="295"/>
      <c r="AH764" s="295"/>
      <c r="AO764" s="295"/>
    </row>
    <row r="765" spans="2:41" ht="13">
      <c r="B765" s="294"/>
      <c r="F765" s="296"/>
      <c r="J765" s="302"/>
      <c r="P765" s="618"/>
      <c r="Q765" s="618"/>
      <c r="R765" s="618"/>
      <c r="T765" s="295"/>
      <c r="X765" s="618"/>
      <c r="AA765" s="295"/>
      <c r="AH765" s="295"/>
      <c r="AO765" s="295"/>
    </row>
    <row r="766" spans="2:41" ht="13">
      <c r="B766" s="294"/>
      <c r="F766" s="296"/>
      <c r="J766" s="302"/>
      <c r="P766" s="618"/>
      <c r="Q766" s="618"/>
      <c r="R766" s="618"/>
      <c r="T766" s="295"/>
      <c r="X766" s="618"/>
      <c r="AA766" s="295"/>
      <c r="AH766" s="295"/>
      <c r="AO766" s="295"/>
    </row>
    <row r="767" spans="2:41" ht="13">
      <c r="B767" s="294"/>
      <c r="F767" s="296"/>
      <c r="J767" s="302"/>
      <c r="P767" s="618"/>
      <c r="Q767" s="618"/>
      <c r="R767" s="618"/>
      <c r="T767" s="295"/>
      <c r="X767" s="618"/>
      <c r="AA767" s="295"/>
      <c r="AH767" s="295"/>
      <c r="AO767" s="295"/>
    </row>
    <row r="768" spans="2:41" ht="13">
      <c r="B768" s="294"/>
      <c r="F768" s="296"/>
      <c r="J768" s="302"/>
      <c r="P768" s="618"/>
      <c r="Q768" s="618"/>
      <c r="R768" s="618"/>
      <c r="T768" s="295"/>
      <c r="X768" s="618"/>
      <c r="AA768" s="295"/>
      <c r="AH768" s="295"/>
      <c r="AO768" s="295"/>
    </row>
    <row r="769" spans="2:41" ht="13">
      <c r="B769" s="294"/>
      <c r="F769" s="296"/>
      <c r="J769" s="302"/>
      <c r="P769" s="618"/>
      <c r="Q769" s="618"/>
      <c r="R769" s="618"/>
      <c r="T769" s="295"/>
      <c r="X769" s="618"/>
      <c r="AA769" s="295"/>
      <c r="AH769" s="295"/>
      <c r="AO769" s="295"/>
    </row>
    <row r="770" spans="2:41" ht="13">
      <c r="B770" s="294"/>
      <c r="F770" s="296"/>
      <c r="J770" s="302"/>
      <c r="P770" s="618"/>
      <c r="Q770" s="618"/>
      <c r="R770" s="618"/>
      <c r="T770" s="295"/>
      <c r="X770" s="618"/>
      <c r="AA770" s="295"/>
      <c r="AH770" s="295"/>
      <c r="AO770" s="295"/>
    </row>
    <row r="771" spans="2:41" ht="13">
      <c r="B771" s="294"/>
      <c r="F771" s="296"/>
      <c r="J771" s="302"/>
      <c r="P771" s="618"/>
      <c r="Q771" s="618"/>
      <c r="R771" s="618"/>
      <c r="T771" s="295"/>
      <c r="X771" s="618"/>
      <c r="AA771" s="295"/>
      <c r="AH771" s="295"/>
      <c r="AO771" s="295"/>
    </row>
    <row r="772" spans="2:41" ht="13">
      <c r="B772" s="294"/>
      <c r="F772" s="296"/>
      <c r="J772" s="302"/>
      <c r="P772" s="618"/>
      <c r="Q772" s="618"/>
      <c r="R772" s="618"/>
      <c r="T772" s="295"/>
      <c r="X772" s="618"/>
      <c r="AA772" s="295"/>
      <c r="AH772" s="295"/>
      <c r="AO772" s="295"/>
    </row>
    <row r="773" spans="2:41" ht="13">
      <c r="B773" s="294"/>
      <c r="F773" s="296"/>
      <c r="J773" s="302"/>
      <c r="P773" s="618"/>
      <c r="Q773" s="618"/>
      <c r="R773" s="618"/>
      <c r="T773" s="295"/>
      <c r="X773" s="618"/>
      <c r="AA773" s="295"/>
      <c r="AH773" s="295"/>
      <c r="AO773" s="295"/>
    </row>
    <row r="774" spans="2:41" ht="13">
      <c r="B774" s="294"/>
      <c r="F774" s="296"/>
      <c r="J774" s="302"/>
      <c r="P774" s="618"/>
      <c r="Q774" s="618"/>
      <c r="R774" s="618"/>
      <c r="T774" s="295"/>
      <c r="X774" s="618"/>
      <c r="AA774" s="295"/>
      <c r="AH774" s="295"/>
      <c r="AO774" s="295"/>
    </row>
    <row r="775" spans="2:41" ht="13">
      <c r="B775" s="294"/>
      <c r="F775" s="296"/>
      <c r="J775" s="302"/>
      <c r="P775" s="618"/>
      <c r="Q775" s="618"/>
      <c r="R775" s="618"/>
      <c r="T775" s="295"/>
      <c r="X775" s="618"/>
      <c r="AA775" s="295"/>
      <c r="AH775" s="295"/>
      <c r="AO775" s="295"/>
    </row>
    <row r="776" spans="2:41" ht="13">
      <c r="B776" s="294"/>
      <c r="F776" s="296"/>
      <c r="J776" s="302"/>
      <c r="P776" s="618"/>
      <c r="Q776" s="618"/>
      <c r="R776" s="618"/>
      <c r="T776" s="295"/>
      <c r="X776" s="618"/>
      <c r="AA776" s="295"/>
      <c r="AH776" s="295"/>
      <c r="AO776" s="295"/>
    </row>
    <row r="777" spans="2:41" ht="13">
      <c r="B777" s="294"/>
      <c r="F777" s="296"/>
      <c r="J777" s="302"/>
      <c r="P777" s="618"/>
      <c r="Q777" s="618"/>
      <c r="R777" s="618"/>
      <c r="T777" s="295"/>
      <c r="X777" s="618"/>
      <c r="AA777" s="295"/>
      <c r="AH777" s="295"/>
      <c r="AO777" s="295"/>
    </row>
    <row r="778" spans="2:41" ht="13">
      <c r="B778" s="294"/>
      <c r="F778" s="296"/>
      <c r="J778" s="302"/>
      <c r="P778" s="618"/>
      <c r="Q778" s="618"/>
      <c r="R778" s="618"/>
      <c r="T778" s="295"/>
      <c r="X778" s="618"/>
      <c r="AA778" s="295"/>
      <c r="AH778" s="295"/>
      <c r="AO778" s="295"/>
    </row>
    <row r="779" spans="2:41" ht="13">
      <c r="B779" s="294"/>
      <c r="F779" s="296"/>
      <c r="J779" s="302"/>
      <c r="P779" s="618"/>
      <c r="Q779" s="618"/>
      <c r="R779" s="618"/>
      <c r="T779" s="295"/>
      <c r="X779" s="618"/>
      <c r="AA779" s="295"/>
      <c r="AH779" s="295"/>
      <c r="AO779" s="295"/>
    </row>
    <row r="780" spans="2:41" ht="13">
      <c r="B780" s="294"/>
      <c r="F780" s="296"/>
      <c r="J780" s="302"/>
      <c r="P780" s="618"/>
      <c r="Q780" s="618"/>
      <c r="R780" s="618"/>
      <c r="T780" s="295"/>
      <c r="X780" s="618"/>
      <c r="AA780" s="295"/>
      <c r="AH780" s="295"/>
      <c r="AO780" s="295"/>
    </row>
    <row r="781" spans="2:41" ht="13">
      <c r="B781" s="294"/>
      <c r="F781" s="296"/>
      <c r="J781" s="302"/>
      <c r="P781" s="618"/>
      <c r="Q781" s="618"/>
      <c r="R781" s="618"/>
      <c r="T781" s="295"/>
      <c r="X781" s="618"/>
      <c r="AA781" s="295"/>
      <c r="AH781" s="295"/>
      <c r="AO781" s="295"/>
    </row>
    <row r="782" spans="2:41" ht="13">
      <c r="B782" s="294"/>
      <c r="F782" s="296"/>
      <c r="J782" s="302"/>
      <c r="P782" s="618"/>
      <c r="Q782" s="618"/>
      <c r="R782" s="618"/>
      <c r="T782" s="295"/>
      <c r="X782" s="618"/>
      <c r="AA782" s="295"/>
      <c r="AH782" s="295"/>
      <c r="AO782" s="295"/>
    </row>
    <row r="783" spans="2:41" ht="13">
      <c r="B783" s="294"/>
      <c r="F783" s="296"/>
      <c r="J783" s="302"/>
      <c r="P783" s="618"/>
      <c r="Q783" s="618"/>
      <c r="R783" s="618"/>
      <c r="T783" s="295"/>
      <c r="X783" s="618"/>
      <c r="AA783" s="295"/>
      <c r="AH783" s="295"/>
      <c r="AO783" s="295"/>
    </row>
    <row r="784" spans="2:41" ht="13">
      <c r="B784" s="294"/>
      <c r="F784" s="296"/>
      <c r="J784" s="302"/>
      <c r="P784" s="618"/>
      <c r="Q784" s="618"/>
      <c r="R784" s="618"/>
      <c r="T784" s="295"/>
      <c r="X784" s="618"/>
      <c r="AA784" s="295"/>
      <c r="AH784" s="295"/>
      <c r="AO784" s="295"/>
    </row>
    <row r="785" spans="2:41" ht="13">
      <c r="B785" s="294"/>
      <c r="F785" s="296"/>
      <c r="J785" s="302"/>
      <c r="P785" s="618"/>
      <c r="Q785" s="618"/>
      <c r="R785" s="618"/>
      <c r="T785" s="295"/>
      <c r="X785" s="618"/>
      <c r="AA785" s="295"/>
      <c r="AH785" s="295"/>
      <c r="AO785" s="295"/>
    </row>
    <row r="786" spans="2:41" ht="13">
      <c r="B786" s="294"/>
      <c r="F786" s="296"/>
      <c r="J786" s="302"/>
      <c r="P786" s="618"/>
      <c r="Q786" s="618"/>
      <c r="R786" s="618"/>
      <c r="T786" s="295"/>
      <c r="X786" s="618"/>
      <c r="AA786" s="295"/>
      <c r="AH786" s="295"/>
      <c r="AO786" s="295"/>
    </row>
    <row r="787" spans="2:41" ht="13">
      <c r="B787" s="294"/>
      <c r="F787" s="296"/>
      <c r="J787" s="302"/>
      <c r="P787" s="618"/>
      <c r="Q787" s="618"/>
      <c r="R787" s="618"/>
      <c r="T787" s="295"/>
      <c r="X787" s="618"/>
      <c r="AA787" s="295"/>
      <c r="AH787" s="295"/>
      <c r="AO787" s="295"/>
    </row>
    <row r="788" spans="2:41" ht="13">
      <c r="B788" s="294"/>
      <c r="F788" s="296"/>
      <c r="J788" s="302"/>
      <c r="P788" s="618"/>
      <c r="Q788" s="618"/>
      <c r="R788" s="618"/>
      <c r="T788" s="295"/>
      <c r="X788" s="618"/>
      <c r="AA788" s="295"/>
      <c r="AH788" s="295"/>
      <c r="AO788" s="295"/>
    </row>
    <row r="789" spans="2:41" ht="13">
      <c r="B789" s="294"/>
      <c r="F789" s="296"/>
      <c r="J789" s="302"/>
      <c r="P789" s="618"/>
      <c r="Q789" s="618"/>
      <c r="R789" s="618"/>
      <c r="T789" s="295"/>
      <c r="X789" s="618"/>
      <c r="AA789" s="295"/>
      <c r="AH789" s="295"/>
      <c r="AO789" s="295"/>
    </row>
    <row r="790" spans="2:41" ht="13">
      <c r="B790" s="294"/>
      <c r="F790" s="296"/>
      <c r="J790" s="302"/>
      <c r="P790" s="618"/>
      <c r="Q790" s="618"/>
      <c r="R790" s="618"/>
      <c r="T790" s="295"/>
      <c r="X790" s="618"/>
      <c r="AA790" s="295"/>
      <c r="AH790" s="295"/>
      <c r="AO790" s="295"/>
    </row>
    <row r="791" spans="2:41" ht="13">
      <c r="B791" s="294"/>
      <c r="F791" s="296"/>
      <c r="J791" s="302"/>
      <c r="P791" s="618"/>
      <c r="Q791" s="618"/>
      <c r="R791" s="618"/>
      <c r="T791" s="295"/>
      <c r="X791" s="618"/>
      <c r="AA791" s="295"/>
      <c r="AH791" s="295"/>
      <c r="AO791" s="295"/>
    </row>
    <row r="792" spans="2:41" ht="13">
      <c r="B792" s="294"/>
      <c r="F792" s="296"/>
      <c r="J792" s="302"/>
      <c r="P792" s="618"/>
      <c r="Q792" s="618"/>
      <c r="R792" s="618"/>
      <c r="T792" s="295"/>
      <c r="X792" s="618"/>
      <c r="AA792" s="295"/>
      <c r="AH792" s="295"/>
      <c r="AO792" s="295"/>
    </row>
    <row r="793" spans="2:41" ht="13">
      <c r="B793" s="294"/>
      <c r="F793" s="296"/>
      <c r="J793" s="302"/>
      <c r="P793" s="618"/>
      <c r="Q793" s="618"/>
      <c r="R793" s="618"/>
      <c r="T793" s="295"/>
      <c r="X793" s="618"/>
      <c r="AA793" s="295"/>
      <c r="AH793" s="295"/>
      <c r="AO793" s="295"/>
    </row>
    <row r="794" spans="2:41" ht="13">
      <c r="B794" s="294"/>
      <c r="F794" s="296"/>
      <c r="J794" s="302"/>
      <c r="P794" s="618"/>
      <c r="Q794" s="618"/>
      <c r="R794" s="618"/>
      <c r="T794" s="295"/>
      <c r="X794" s="618"/>
      <c r="AA794" s="295"/>
      <c r="AH794" s="295"/>
      <c r="AO794" s="295"/>
    </row>
    <row r="795" spans="2:41" ht="13">
      <c r="B795" s="294"/>
      <c r="F795" s="296"/>
      <c r="J795" s="302"/>
      <c r="P795" s="618"/>
      <c r="Q795" s="618"/>
      <c r="R795" s="618"/>
      <c r="T795" s="295"/>
      <c r="X795" s="618"/>
      <c r="AA795" s="295"/>
      <c r="AH795" s="295"/>
      <c r="AO795" s="295"/>
    </row>
    <row r="796" spans="2:41" ht="13">
      <c r="B796" s="294"/>
      <c r="F796" s="296"/>
      <c r="J796" s="302"/>
      <c r="P796" s="618"/>
      <c r="Q796" s="618"/>
      <c r="R796" s="618"/>
      <c r="T796" s="295"/>
      <c r="X796" s="618"/>
      <c r="AA796" s="295"/>
      <c r="AH796" s="295"/>
      <c r="AO796" s="295"/>
    </row>
    <row r="797" spans="2:41" ht="13">
      <c r="B797" s="294"/>
      <c r="F797" s="296"/>
      <c r="J797" s="302"/>
      <c r="P797" s="618"/>
      <c r="Q797" s="618"/>
      <c r="R797" s="618"/>
      <c r="T797" s="295"/>
      <c r="X797" s="618"/>
      <c r="AA797" s="295"/>
      <c r="AH797" s="295"/>
      <c r="AO797" s="295"/>
    </row>
    <row r="798" spans="2:41" ht="13">
      <c r="B798" s="294"/>
      <c r="F798" s="296"/>
      <c r="J798" s="302"/>
      <c r="P798" s="618"/>
      <c r="Q798" s="618"/>
      <c r="R798" s="618"/>
      <c r="T798" s="295"/>
      <c r="X798" s="618"/>
      <c r="AA798" s="295"/>
      <c r="AH798" s="295"/>
      <c r="AO798" s="295"/>
    </row>
    <row r="799" spans="2:41" ht="13">
      <c r="B799" s="294"/>
      <c r="F799" s="296"/>
      <c r="J799" s="302"/>
      <c r="P799" s="618"/>
      <c r="Q799" s="618"/>
      <c r="R799" s="618"/>
      <c r="T799" s="295"/>
      <c r="X799" s="618"/>
      <c r="AA799" s="295"/>
      <c r="AH799" s="295"/>
      <c r="AO799" s="295"/>
    </row>
    <row r="800" spans="2:41" ht="13">
      <c r="B800" s="294"/>
      <c r="F800" s="296"/>
      <c r="J800" s="302"/>
      <c r="P800" s="618"/>
      <c r="Q800" s="618"/>
      <c r="R800" s="618"/>
      <c r="T800" s="295"/>
      <c r="X800" s="618"/>
      <c r="AA800" s="295"/>
      <c r="AH800" s="295"/>
      <c r="AO800" s="295"/>
    </row>
    <row r="801" spans="2:41" ht="13">
      <c r="B801" s="294"/>
      <c r="F801" s="296"/>
      <c r="J801" s="302"/>
      <c r="P801" s="618"/>
      <c r="Q801" s="618"/>
      <c r="R801" s="618"/>
      <c r="T801" s="295"/>
      <c r="X801" s="618"/>
      <c r="AA801" s="295"/>
      <c r="AH801" s="295"/>
      <c r="AO801" s="295"/>
    </row>
    <row r="802" spans="2:41" ht="13">
      <c r="B802" s="294"/>
      <c r="F802" s="296"/>
      <c r="J802" s="302"/>
      <c r="P802" s="618"/>
      <c r="Q802" s="618"/>
      <c r="R802" s="618"/>
      <c r="T802" s="295"/>
      <c r="X802" s="618"/>
      <c r="AA802" s="295"/>
      <c r="AH802" s="295"/>
      <c r="AO802" s="295"/>
    </row>
    <row r="803" spans="2:41" ht="13">
      <c r="B803" s="294"/>
      <c r="F803" s="296"/>
      <c r="J803" s="302"/>
      <c r="P803" s="618"/>
      <c r="Q803" s="618"/>
      <c r="R803" s="618"/>
      <c r="T803" s="295"/>
      <c r="X803" s="618"/>
      <c r="AA803" s="295"/>
      <c r="AH803" s="295"/>
      <c r="AO803" s="295"/>
    </row>
    <row r="804" spans="2:41" ht="13">
      <c r="B804" s="294"/>
      <c r="F804" s="296"/>
      <c r="J804" s="302"/>
      <c r="P804" s="618"/>
      <c r="Q804" s="618"/>
      <c r="R804" s="618"/>
      <c r="T804" s="295"/>
      <c r="X804" s="618"/>
      <c r="AA804" s="295"/>
      <c r="AH804" s="295"/>
      <c r="AO804" s="295"/>
    </row>
    <row r="805" spans="2:41" ht="13">
      <c r="B805" s="294"/>
      <c r="F805" s="296"/>
      <c r="J805" s="302"/>
      <c r="P805" s="618"/>
      <c r="Q805" s="618"/>
      <c r="R805" s="618"/>
      <c r="T805" s="295"/>
      <c r="X805" s="618"/>
      <c r="AA805" s="295"/>
      <c r="AH805" s="295"/>
      <c r="AO805" s="295"/>
    </row>
    <row r="806" spans="2:41" ht="13">
      <c r="B806" s="294"/>
      <c r="F806" s="296"/>
      <c r="J806" s="302"/>
      <c r="P806" s="618"/>
      <c r="Q806" s="618"/>
      <c r="R806" s="618"/>
      <c r="T806" s="295"/>
      <c r="X806" s="618"/>
      <c r="AA806" s="295"/>
      <c r="AH806" s="295"/>
      <c r="AO806" s="295"/>
    </row>
    <row r="807" spans="2:41" ht="13">
      <c r="B807" s="294"/>
      <c r="F807" s="296"/>
      <c r="J807" s="302"/>
      <c r="P807" s="618"/>
      <c r="Q807" s="618"/>
      <c r="R807" s="618"/>
      <c r="T807" s="295"/>
      <c r="X807" s="618"/>
      <c r="AA807" s="295"/>
      <c r="AH807" s="295"/>
      <c r="AO807" s="295"/>
    </row>
    <row r="808" spans="2:41" ht="13">
      <c r="B808" s="294"/>
      <c r="F808" s="296"/>
      <c r="J808" s="302"/>
      <c r="P808" s="618"/>
      <c r="Q808" s="618"/>
      <c r="R808" s="618"/>
      <c r="T808" s="295"/>
      <c r="X808" s="618"/>
      <c r="AA808" s="295"/>
      <c r="AH808" s="295"/>
      <c r="AO808" s="295"/>
    </row>
    <row r="809" spans="2:41" ht="13">
      <c r="B809" s="294"/>
      <c r="F809" s="296"/>
      <c r="J809" s="302"/>
      <c r="P809" s="618"/>
      <c r="Q809" s="618"/>
      <c r="R809" s="618"/>
      <c r="T809" s="295"/>
      <c r="X809" s="618"/>
      <c r="AA809" s="295"/>
      <c r="AH809" s="295"/>
      <c r="AO809" s="295"/>
    </row>
    <row r="810" spans="2:41" ht="13">
      <c r="B810" s="294"/>
      <c r="F810" s="296"/>
      <c r="J810" s="302"/>
      <c r="P810" s="618"/>
      <c r="Q810" s="618"/>
      <c r="R810" s="618"/>
      <c r="T810" s="295"/>
      <c r="X810" s="618"/>
      <c r="AA810" s="295"/>
      <c r="AH810" s="295"/>
      <c r="AO810" s="295"/>
    </row>
    <row r="811" spans="2:41" ht="13">
      <c r="B811" s="294"/>
      <c r="F811" s="296"/>
      <c r="J811" s="302"/>
      <c r="P811" s="618"/>
      <c r="Q811" s="618"/>
      <c r="R811" s="618"/>
      <c r="T811" s="295"/>
      <c r="X811" s="618"/>
      <c r="AA811" s="295"/>
      <c r="AH811" s="295"/>
      <c r="AO811" s="295"/>
    </row>
    <row r="812" spans="2:41" ht="13">
      <c r="B812" s="294"/>
      <c r="F812" s="296"/>
      <c r="J812" s="302"/>
      <c r="P812" s="618"/>
      <c r="Q812" s="618"/>
      <c r="R812" s="618"/>
      <c r="T812" s="295"/>
      <c r="X812" s="618"/>
      <c r="AA812" s="295"/>
      <c r="AH812" s="295"/>
      <c r="AO812" s="295"/>
    </row>
    <row r="813" spans="2:41" ht="13">
      <c r="B813" s="294"/>
      <c r="F813" s="296"/>
      <c r="J813" s="302"/>
      <c r="P813" s="618"/>
      <c r="Q813" s="618"/>
      <c r="R813" s="618"/>
      <c r="T813" s="295"/>
      <c r="X813" s="618"/>
      <c r="AA813" s="295"/>
      <c r="AH813" s="295"/>
      <c r="AO813" s="295"/>
    </row>
    <row r="814" spans="2:41" ht="13">
      <c r="B814" s="294"/>
      <c r="F814" s="296"/>
      <c r="J814" s="302"/>
      <c r="P814" s="618"/>
      <c r="Q814" s="618"/>
      <c r="R814" s="618"/>
      <c r="T814" s="295"/>
      <c r="X814" s="618"/>
      <c r="AA814" s="295"/>
      <c r="AH814" s="295"/>
      <c r="AO814" s="295"/>
    </row>
    <row r="815" spans="2:41" ht="13">
      <c r="B815" s="294"/>
      <c r="F815" s="296"/>
      <c r="J815" s="302"/>
      <c r="P815" s="618"/>
      <c r="Q815" s="618"/>
      <c r="R815" s="618"/>
      <c r="T815" s="295"/>
      <c r="X815" s="618"/>
      <c r="AA815" s="295"/>
      <c r="AH815" s="295"/>
      <c r="AO815" s="295"/>
    </row>
    <row r="816" spans="2:41" ht="13">
      <c r="B816" s="294"/>
      <c r="F816" s="296"/>
      <c r="J816" s="302"/>
      <c r="P816" s="618"/>
      <c r="Q816" s="618"/>
      <c r="R816" s="618"/>
      <c r="T816" s="295"/>
      <c r="X816" s="618"/>
      <c r="AA816" s="295"/>
      <c r="AH816" s="295"/>
      <c r="AO816" s="295"/>
    </row>
    <row r="817" spans="2:41" ht="13">
      <c r="B817" s="294"/>
      <c r="F817" s="296"/>
      <c r="J817" s="302"/>
      <c r="P817" s="618"/>
      <c r="Q817" s="618"/>
      <c r="R817" s="618"/>
      <c r="T817" s="295"/>
      <c r="X817" s="618"/>
      <c r="AA817" s="295"/>
      <c r="AH817" s="295"/>
      <c r="AO817" s="295"/>
    </row>
    <row r="818" spans="2:41" ht="13">
      <c r="B818" s="294"/>
      <c r="F818" s="296"/>
      <c r="J818" s="302"/>
      <c r="P818" s="618"/>
      <c r="Q818" s="618"/>
      <c r="R818" s="618"/>
      <c r="T818" s="295"/>
      <c r="X818" s="618"/>
      <c r="AA818" s="295"/>
      <c r="AH818" s="295"/>
      <c r="AO818" s="295"/>
    </row>
    <row r="819" spans="2:41" ht="13">
      <c r="B819" s="294"/>
      <c r="F819" s="296"/>
      <c r="J819" s="302"/>
      <c r="P819" s="618"/>
      <c r="Q819" s="618"/>
      <c r="R819" s="618"/>
      <c r="T819" s="295"/>
      <c r="X819" s="618"/>
      <c r="AA819" s="295"/>
      <c r="AH819" s="295"/>
      <c r="AO819" s="295"/>
    </row>
    <row r="820" spans="2:41" ht="13">
      <c r="B820" s="294"/>
      <c r="F820" s="296"/>
      <c r="J820" s="302"/>
      <c r="P820" s="618"/>
      <c r="Q820" s="618"/>
      <c r="R820" s="618"/>
      <c r="T820" s="295"/>
      <c r="X820" s="618"/>
      <c r="AA820" s="295"/>
      <c r="AH820" s="295"/>
      <c r="AO820" s="295"/>
    </row>
    <row r="821" spans="2:41" ht="13">
      <c r="B821" s="294"/>
      <c r="F821" s="296"/>
      <c r="J821" s="302"/>
      <c r="P821" s="618"/>
      <c r="Q821" s="618"/>
      <c r="R821" s="618"/>
      <c r="T821" s="295"/>
      <c r="X821" s="618"/>
      <c r="AA821" s="295"/>
      <c r="AH821" s="295"/>
      <c r="AO821" s="295"/>
    </row>
    <row r="822" spans="2:41" ht="13">
      <c r="B822" s="294"/>
      <c r="F822" s="296"/>
      <c r="J822" s="302"/>
      <c r="P822" s="618"/>
      <c r="Q822" s="618"/>
      <c r="R822" s="618"/>
      <c r="T822" s="295"/>
      <c r="X822" s="618"/>
      <c r="AA822" s="295"/>
      <c r="AH822" s="295"/>
      <c r="AO822" s="295"/>
    </row>
    <row r="823" spans="2:41" ht="13">
      <c r="B823" s="294"/>
      <c r="F823" s="296"/>
      <c r="J823" s="302"/>
      <c r="P823" s="618"/>
      <c r="Q823" s="618"/>
      <c r="R823" s="618"/>
      <c r="T823" s="295"/>
      <c r="X823" s="618"/>
      <c r="AA823" s="295"/>
      <c r="AH823" s="295"/>
      <c r="AO823" s="295"/>
    </row>
    <row r="824" spans="2:41" ht="13">
      <c r="B824" s="294"/>
      <c r="F824" s="296"/>
      <c r="J824" s="302"/>
      <c r="P824" s="618"/>
      <c r="Q824" s="618"/>
      <c r="R824" s="618"/>
      <c r="T824" s="295"/>
      <c r="X824" s="618"/>
      <c r="AA824" s="295"/>
      <c r="AH824" s="295"/>
      <c r="AO824" s="295"/>
    </row>
    <row r="825" spans="2:41" ht="13">
      <c r="B825" s="294"/>
      <c r="F825" s="296"/>
      <c r="J825" s="302"/>
      <c r="P825" s="618"/>
      <c r="Q825" s="618"/>
      <c r="R825" s="618"/>
      <c r="T825" s="295"/>
      <c r="X825" s="618"/>
      <c r="AA825" s="295"/>
      <c r="AH825" s="295"/>
      <c r="AO825" s="295"/>
    </row>
    <row r="826" spans="2:41" ht="13">
      <c r="B826" s="294"/>
      <c r="F826" s="296"/>
      <c r="J826" s="302"/>
      <c r="P826" s="618"/>
      <c r="Q826" s="618"/>
      <c r="R826" s="618"/>
      <c r="T826" s="295"/>
      <c r="X826" s="618"/>
      <c r="AA826" s="295"/>
      <c r="AH826" s="295"/>
      <c r="AO826" s="295"/>
    </row>
    <row r="827" spans="2:41" ht="13">
      <c r="B827" s="294"/>
      <c r="F827" s="296"/>
      <c r="J827" s="302"/>
      <c r="P827" s="618"/>
      <c r="Q827" s="618"/>
      <c r="R827" s="618"/>
      <c r="T827" s="295"/>
      <c r="X827" s="618"/>
      <c r="AA827" s="295"/>
      <c r="AH827" s="295"/>
      <c r="AO827" s="295"/>
    </row>
    <row r="828" spans="2:41" ht="13">
      <c r="B828" s="294"/>
      <c r="F828" s="296"/>
      <c r="J828" s="302"/>
      <c r="P828" s="618"/>
      <c r="Q828" s="618"/>
      <c r="R828" s="618"/>
      <c r="T828" s="295"/>
      <c r="X828" s="618"/>
      <c r="AA828" s="295"/>
      <c r="AH828" s="295"/>
      <c r="AO828" s="295"/>
    </row>
    <row r="829" spans="2:41" ht="13">
      <c r="B829" s="294"/>
      <c r="F829" s="296"/>
      <c r="J829" s="302"/>
      <c r="P829" s="618"/>
      <c r="Q829" s="618"/>
      <c r="R829" s="618"/>
      <c r="T829" s="295"/>
      <c r="X829" s="618"/>
      <c r="AA829" s="295"/>
      <c r="AH829" s="295"/>
      <c r="AO829" s="295"/>
    </row>
    <row r="830" spans="2:41" ht="13">
      <c r="B830" s="294"/>
      <c r="F830" s="296"/>
      <c r="J830" s="302"/>
      <c r="P830" s="618"/>
      <c r="Q830" s="618"/>
      <c r="R830" s="618"/>
      <c r="T830" s="295"/>
      <c r="X830" s="618"/>
      <c r="AA830" s="295"/>
      <c r="AH830" s="295"/>
      <c r="AO830" s="295"/>
    </row>
    <row r="831" spans="2:41" ht="13">
      <c r="B831" s="294"/>
      <c r="F831" s="296"/>
      <c r="J831" s="302"/>
      <c r="P831" s="618"/>
      <c r="Q831" s="618"/>
      <c r="R831" s="618"/>
      <c r="T831" s="295"/>
      <c r="X831" s="618"/>
      <c r="AA831" s="295"/>
      <c r="AH831" s="295"/>
      <c r="AO831" s="295"/>
    </row>
    <row r="832" spans="2:41" ht="13">
      <c r="B832" s="294"/>
      <c r="F832" s="296"/>
      <c r="J832" s="302"/>
      <c r="P832" s="618"/>
      <c r="Q832" s="618"/>
      <c r="R832" s="618"/>
      <c r="T832" s="295"/>
      <c r="X832" s="618"/>
      <c r="AA832" s="295"/>
      <c r="AH832" s="295"/>
      <c r="AO832" s="295"/>
    </row>
    <row r="833" spans="2:41" ht="13">
      <c r="B833" s="294"/>
      <c r="F833" s="296"/>
      <c r="J833" s="302"/>
      <c r="P833" s="618"/>
      <c r="Q833" s="618"/>
      <c r="R833" s="618"/>
      <c r="T833" s="295"/>
      <c r="X833" s="618"/>
      <c r="AA833" s="295"/>
      <c r="AH833" s="295"/>
      <c r="AO833" s="295"/>
    </row>
    <row r="834" spans="2:41" ht="13">
      <c r="B834" s="294"/>
      <c r="F834" s="296"/>
      <c r="J834" s="302"/>
      <c r="P834" s="618"/>
      <c r="Q834" s="618"/>
      <c r="R834" s="618"/>
      <c r="T834" s="295"/>
      <c r="X834" s="618"/>
      <c r="AA834" s="295"/>
      <c r="AH834" s="295"/>
      <c r="AO834" s="295"/>
    </row>
    <row r="835" spans="2:41" ht="13">
      <c r="B835" s="294"/>
      <c r="F835" s="296"/>
      <c r="J835" s="302"/>
      <c r="P835" s="618"/>
      <c r="Q835" s="618"/>
      <c r="R835" s="618"/>
      <c r="T835" s="295"/>
      <c r="X835" s="618"/>
      <c r="AA835" s="295"/>
      <c r="AH835" s="295"/>
      <c r="AO835" s="295"/>
    </row>
    <row r="836" spans="2:41" ht="13">
      <c r="B836" s="294"/>
      <c r="F836" s="296"/>
      <c r="J836" s="302"/>
      <c r="P836" s="618"/>
      <c r="Q836" s="618"/>
      <c r="R836" s="618"/>
      <c r="T836" s="295"/>
      <c r="X836" s="618"/>
      <c r="AA836" s="295"/>
      <c r="AH836" s="295"/>
      <c r="AO836" s="295"/>
    </row>
    <row r="837" spans="2:41" ht="13">
      <c r="B837" s="294"/>
      <c r="F837" s="296"/>
      <c r="J837" s="302"/>
      <c r="P837" s="618"/>
      <c r="Q837" s="618"/>
      <c r="R837" s="618"/>
      <c r="T837" s="295"/>
      <c r="X837" s="618"/>
      <c r="AA837" s="295"/>
      <c r="AH837" s="295"/>
      <c r="AO837" s="295"/>
    </row>
    <row r="838" spans="2:41" ht="13">
      <c r="B838" s="294"/>
      <c r="F838" s="296"/>
      <c r="J838" s="302"/>
      <c r="P838" s="618"/>
      <c r="Q838" s="618"/>
      <c r="R838" s="618"/>
      <c r="T838" s="295"/>
      <c r="X838" s="618"/>
      <c r="AA838" s="295"/>
      <c r="AH838" s="295"/>
      <c r="AO838" s="295"/>
    </row>
    <row r="839" spans="2:41" ht="13">
      <c r="B839" s="294"/>
      <c r="F839" s="296"/>
      <c r="J839" s="302"/>
      <c r="P839" s="618"/>
      <c r="Q839" s="618"/>
      <c r="R839" s="618"/>
      <c r="T839" s="295"/>
      <c r="X839" s="618"/>
      <c r="AA839" s="295"/>
      <c r="AH839" s="295"/>
      <c r="AO839" s="295"/>
    </row>
    <row r="840" spans="2:41" ht="13">
      <c r="B840" s="294"/>
      <c r="F840" s="296"/>
      <c r="J840" s="302"/>
      <c r="P840" s="618"/>
      <c r="Q840" s="618"/>
      <c r="R840" s="618"/>
      <c r="T840" s="295"/>
      <c r="X840" s="618"/>
      <c r="AA840" s="295"/>
      <c r="AH840" s="295"/>
      <c r="AO840" s="295"/>
    </row>
    <row r="841" spans="2:41" ht="13">
      <c r="B841" s="294"/>
      <c r="F841" s="296"/>
      <c r="J841" s="302"/>
      <c r="P841" s="618"/>
      <c r="Q841" s="618"/>
      <c r="R841" s="618"/>
      <c r="T841" s="295"/>
      <c r="X841" s="618"/>
      <c r="AA841" s="295"/>
      <c r="AH841" s="295"/>
      <c r="AO841" s="295"/>
    </row>
    <row r="842" spans="2:41" ht="13">
      <c r="B842" s="294"/>
      <c r="F842" s="296"/>
      <c r="J842" s="302"/>
      <c r="P842" s="618"/>
      <c r="Q842" s="618"/>
      <c r="R842" s="618"/>
      <c r="T842" s="295"/>
      <c r="X842" s="618"/>
      <c r="AA842" s="295"/>
      <c r="AH842" s="295"/>
      <c r="AO842" s="295"/>
    </row>
    <row r="843" spans="2:41" ht="13">
      <c r="B843" s="294"/>
      <c r="F843" s="296"/>
      <c r="J843" s="302"/>
      <c r="P843" s="618"/>
      <c r="Q843" s="618"/>
      <c r="R843" s="618"/>
      <c r="T843" s="295"/>
      <c r="X843" s="618"/>
      <c r="AA843" s="295"/>
      <c r="AH843" s="295"/>
      <c r="AO843" s="295"/>
    </row>
    <row r="844" spans="2:41" ht="13">
      <c r="B844" s="294"/>
      <c r="F844" s="296"/>
      <c r="J844" s="302"/>
      <c r="P844" s="618"/>
      <c r="Q844" s="618"/>
      <c r="R844" s="618"/>
      <c r="T844" s="295"/>
      <c r="X844" s="618"/>
      <c r="AA844" s="295"/>
      <c r="AH844" s="295"/>
      <c r="AO844" s="295"/>
    </row>
    <row r="845" spans="2:41" ht="13">
      <c r="B845" s="294"/>
      <c r="F845" s="296"/>
      <c r="J845" s="302"/>
      <c r="P845" s="618"/>
      <c r="Q845" s="618"/>
      <c r="R845" s="618"/>
      <c r="T845" s="295"/>
      <c r="X845" s="618"/>
      <c r="AA845" s="295"/>
      <c r="AH845" s="295"/>
      <c r="AO845" s="295"/>
    </row>
    <row r="846" spans="2:41" ht="13">
      <c r="B846" s="294"/>
      <c r="F846" s="296"/>
      <c r="J846" s="302"/>
      <c r="P846" s="618"/>
      <c r="Q846" s="618"/>
      <c r="R846" s="618"/>
      <c r="T846" s="295"/>
      <c r="X846" s="618"/>
      <c r="AA846" s="295"/>
      <c r="AH846" s="295"/>
      <c r="AO846" s="295"/>
    </row>
    <row r="847" spans="2:41" ht="13">
      <c r="B847" s="294"/>
      <c r="F847" s="296"/>
      <c r="J847" s="302"/>
      <c r="P847" s="618"/>
      <c r="Q847" s="618"/>
      <c r="R847" s="618"/>
      <c r="T847" s="295"/>
      <c r="X847" s="618"/>
      <c r="AA847" s="295"/>
      <c r="AH847" s="295"/>
      <c r="AO847" s="295"/>
    </row>
    <row r="848" spans="2:41" ht="13">
      <c r="B848" s="294"/>
      <c r="F848" s="296"/>
      <c r="J848" s="302"/>
      <c r="P848" s="618"/>
      <c r="Q848" s="618"/>
      <c r="R848" s="618"/>
      <c r="T848" s="295"/>
      <c r="X848" s="618"/>
      <c r="AA848" s="295"/>
      <c r="AH848" s="295"/>
      <c r="AO848" s="295"/>
    </row>
    <row r="849" spans="2:41" ht="13">
      <c r="B849" s="294"/>
      <c r="F849" s="296"/>
      <c r="J849" s="302"/>
      <c r="P849" s="618"/>
      <c r="Q849" s="618"/>
      <c r="R849" s="618"/>
      <c r="T849" s="295"/>
      <c r="X849" s="618"/>
      <c r="AA849" s="295"/>
      <c r="AH849" s="295"/>
      <c r="AO849" s="295"/>
    </row>
    <row r="850" spans="2:41" ht="13">
      <c r="B850" s="294"/>
      <c r="F850" s="296"/>
      <c r="J850" s="302"/>
      <c r="P850" s="618"/>
      <c r="Q850" s="618"/>
      <c r="R850" s="618"/>
      <c r="T850" s="295"/>
      <c r="X850" s="618"/>
      <c r="AA850" s="295"/>
      <c r="AH850" s="295"/>
      <c r="AO850" s="295"/>
    </row>
    <row r="851" spans="2:41" ht="13">
      <c r="B851" s="294"/>
      <c r="F851" s="296"/>
      <c r="J851" s="302"/>
      <c r="P851" s="618"/>
      <c r="Q851" s="618"/>
      <c r="R851" s="618"/>
      <c r="T851" s="295"/>
      <c r="X851" s="618"/>
      <c r="AA851" s="295"/>
      <c r="AH851" s="295"/>
      <c r="AO851" s="295"/>
    </row>
    <row r="852" spans="2:41" ht="13">
      <c r="B852" s="294"/>
      <c r="F852" s="296"/>
      <c r="J852" s="302"/>
      <c r="P852" s="618"/>
      <c r="Q852" s="618"/>
      <c r="R852" s="618"/>
      <c r="T852" s="295"/>
      <c r="X852" s="618"/>
      <c r="AA852" s="295"/>
      <c r="AH852" s="295"/>
      <c r="AO852" s="295"/>
    </row>
    <row r="853" spans="2:41" ht="13">
      <c r="B853" s="294"/>
      <c r="F853" s="296"/>
      <c r="J853" s="302"/>
      <c r="P853" s="618"/>
      <c r="Q853" s="618"/>
      <c r="R853" s="618"/>
      <c r="T853" s="295"/>
      <c r="X853" s="618"/>
      <c r="AA853" s="295"/>
      <c r="AH853" s="295"/>
      <c r="AO853" s="295"/>
    </row>
    <row r="854" spans="2:41" ht="13">
      <c r="B854" s="294"/>
      <c r="F854" s="296"/>
      <c r="J854" s="302"/>
      <c r="P854" s="618"/>
      <c r="Q854" s="618"/>
      <c r="R854" s="618"/>
      <c r="T854" s="295"/>
      <c r="X854" s="618"/>
      <c r="AA854" s="295"/>
      <c r="AH854" s="295"/>
      <c r="AO854" s="295"/>
    </row>
    <row r="855" spans="2:41" ht="13">
      <c r="B855" s="294"/>
      <c r="F855" s="296"/>
      <c r="J855" s="302"/>
      <c r="P855" s="618"/>
      <c r="Q855" s="618"/>
      <c r="R855" s="618"/>
      <c r="T855" s="295"/>
      <c r="X855" s="618"/>
      <c r="AA855" s="295"/>
      <c r="AH855" s="295"/>
      <c r="AO855" s="295"/>
    </row>
    <row r="856" spans="2:41" ht="13">
      <c r="B856" s="294"/>
      <c r="F856" s="296"/>
      <c r="J856" s="302"/>
      <c r="P856" s="618"/>
      <c r="Q856" s="618"/>
      <c r="R856" s="618"/>
      <c r="T856" s="295"/>
      <c r="X856" s="618"/>
      <c r="AA856" s="295"/>
      <c r="AH856" s="295"/>
      <c r="AO856" s="295"/>
    </row>
    <row r="857" spans="2:41" ht="13">
      <c r="B857" s="294"/>
      <c r="F857" s="296"/>
      <c r="J857" s="302"/>
      <c r="P857" s="618"/>
      <c r="Q857" s="618"/>
      <c r="R857" s="618"/>
      <c r="T857" s="295"/>
      <c r="X857" s="618"/>
      <c r="AA857" s="295"/>
      <c r="AH857" s="295"/>
      <c r="AO857" s="295"/>
    </row>
    <row r="858" spans="2:41" ht="13">
      <c r="B858" s="294"/>
      <c r="F858" s="296"/>
      <c r="J858" s="302"/>
      <c r="P858" s="618"/>
      <c r="Q858" s="618"/>
      <c r="R858" s="618"/>
      <c r="T858" s="295"/>
      <c r="X858" s="618"/>
      <c r="AA858" s="295"/>
      <c r="AH858" s="295"/>
      <c r="AO858" s="295"/>
    </row>
    <row r="859" spans="2:41" ht="13">
      <c r="B859" s="294"/>
      <c r="F859" s="296"/>
      <c r="J859" s="302"/>
      <c r="P859" s="618"/>
      <c r="Q859" s="618"/>
      <c r="R859" s="618"/>
      <c r="T859" s="295"/>
      <c r="X859" s="618"/>
      <c r="AA859" s="295"/>
      <c r="AH859" s="295"/>
      <c r="AO859" s="295"/>
    </row>
    <row r="860" spans="2:41" ht="13">
      <c r="B860" s="294"/>
      <c r="F860" s="296"/>
      <c r="J860" s="302"/>
      <c r="P860" s="618"/>
      <c r="Q860" s="618"/>
      <c r="R860" s="618"/>
      <c r="T860" s="295"/>
      <c r="X860" s="618"/>
      <c r="AA860" s="295"/>
      <c r="AH860" s="295"/>
      <c r="AO860" s="295"/>
    </row>
    <row r="861" spans="2:41" ht="13">
      <c r="B861" s="294"/>
      <c r="F861" s="296"/>
      <c r="J861" s="302"/>
      <c r="P861" s="618"/>
      <c r="Q861" s="618"/>
      <c r="R861" s="618"/>
      <c r="T861" s="295"/>
      <c r="X861" s="618"/>
      <c r="AA861" s="295"/>
      <c r="AH861" s="295"/>
      <c r="AO861" s="295"/>
    </row>
    <row r="862" spans="2:41" ht="13">
      <c r="B862" s="294"/>
      <c r="F862" s="296"/>
      <c r="J862" s="302"/>
      <c r="P862" s="618"/>
      <c r="Q862" s="618"/>
      <c r="R862" s="618"/>
      <c r="T862" s="295"/>
      <c r="X862" s="618"/>
      <c r="AA862" s="295"/>
      <c r="AH862" s="295"/>
      <c r="AO862" s="295"/>
    </row>
    <row r="863" spans="2:41" ht="13">
      <c r="B863" s="294"/>
      <c r="F863" s="296"/>
      <c r="J863" s="302"/>
      <c r="P863" s="618"/>
      <c r="Q863" s="618"/>
      <c r="R863" s="618"/>
      <c r="T863" s="295"/>
      <c r="X863" s="618"/>
      <c r="AA863" s="295"/>
      <c r="AH863" s="295"/>
      <c r="AO863" s="295"/>
    </row>
    <row r="864" spans="2:41" ht="13">
      <c r="B864" s="294"/>
      <c r="F864" s="296"/>
      <c r="J864" s="302"/>
      <c r="P864" s="618"/>
      <c r="Q864" s="618"/>
      <c r="R864" s="618"/>
      <c r="T864" s="295"/>
      <c r="X864" s="618"/>
      <c r="AA864" s="295"/>
      <c r="AH864" s="295"/>
      <c r="AO864" s="295"/>
    </row>
    <row r="865" spans="2:41" ht="13">
      <c r="B865" s="294"/>
      <c r="F865" s="296"/>
      <c r="J865" s="302"/>
      <c r="P865" s="618"/>
      <c r="Q865" s="618"/>
      <c r="R865" s="618"/>
      <c r="T865" s="295"/>
      <c r="X865" s="618"/>
      <c r="AA865" s="295"/>
      <c r="AH865" s="295"/>
      <c r="AO865" s="295"/>
    </row>
    <row r="866" spans="2:41" ht="13">
      <c r="B866" s="294"/>
      <c r="F866" s="296"/>
      <c r="J866" s="302"/>
      <c r="P866" s="618"/>
      <c r="Q866" s="618"/>
      <c r="R866" s="618"/>
      <c r="T866" s="295"/>
      <c r="X866" s="618"/>
      <c r="AA866" s="295"/>
      <c r="AH866" s="295"/>
      <c r="AO866" s="295"/>
    </row>
    <row r="867" spans="2:41" ht="13">
      <c r="B867" s="294"/>
      <c r="F867" s="296"/>
      <c r="J867" s="302"/>
      <c r="P867" s="618"/>
      <c r="Q867" s="618"/>
      <c r="R867" s="618"/>
      <c r="T867" s="295"/>
      <c r="X867" s="618"/>
      <c r="AA867" s="295"/>
      <c r="AH867" s="295"/>
      <c r="AO867" s="295"/>
    </row>
    <row r="868" spans="2:41" ht="13">
      <c r="B868" s="294"/>
      <c r="F868" s="296"/>
      <c r="J868" s="302"/>
      <c r="P868" s="618"/>
      <c r="Q868" s="618"/>
      <c r="R868" s="618"/>
      <c r="T868" s="295"/>
      <c r="X868" s="618"/>
      <c r="AA868" s="295"/>
      <c r="AH868" s="295"/>
      <c r="AO868" s="295"/>
    </row>
    <row r="869" spans="2:41" ht="13">
      <c r="B869" s="294"/>
      <c r="F869" s="296"/>
      <c r="J869" s="302"/>
      <c r="P869" s="618"/>
      <c r="Q869" s="618"/>
      <c r="R869" s="618"/>
      <c r="T869" s="295"/>
      <c r="X869" s="618"/>
      <c r="AA869" s="295"/>
      <c r="AH869" s="295"/>
      <c r="AO869" s="295"/>
    </row>
    <row r="870" spans="2:41" ht="13">
      <c r="B870" s="294"/>
      <c r="F870" s="296"/>
      <c r="J870" s="302"/>
      <c r="P870" s="618"/>
      <c r="Q870" s="618"/>
      <c r="R870" s="618"/>
      <c r="T870" s="295"/>
      <c r="X870" s="618"/>
      <c r="AA870" s="295"/>
      <c r="AH870" s="295"/>
      <c r="AO870" s="295"/>
    </row>
    <row r="871" spans="2:41" ht="13">
      <c r="B871" s="294"/>
      <c r="F871" s="296"/>
      <c r="J871" s="302"/>
      <c r="P871" s="618"/>
      <c r="Q871" s="618"/>
      <c r="R871" s="618"/>
      <c r="T871" s="295"/>
      <c r="X871" s="618"/>
      <c r="AA871" s="295"/>
      <c r="AH871" s="295"/>
      <c r="AO871" s="295"/>
    </row>
    <row r="872" spans="2:41" ht="13">
      <c r="B872" s="294"/>
      <c r="F872" s="296"/>
      <c r="J872" s="302"/>
      <c r="P872" s="618"/>
      <c r="Q872" s="618"/>
      <c r="R872" s="618"/>
      <c r="T872" s="295"/>
      <c r="X872" s="618"/>
      <c r="AA872" s="295"/>
      <c r="AH872" s="295"/>
      <c r="AO872" s="295"/>
    </row>
    <row r="873" spans="2:41" ht="13">
      <c r="B873" s="294"/>
      <c r="F873" s="296"/>
      <c r="J873" s="302"/>
      <c r="P873" s="618"/>
      <c r="Q873" s="618"/>
      <c r="R873" s="618"/>
      <c r="T873" s="295"/>
      <c r="X873" s="618"/>
      <c r="AA873" s="295"/>
      <c r="AH873" s="295"/>
      <c r="AO873" s="295"/>
    </row>
    <row r="874" spans="2:41" ht="13">
      <c r="B874" s="294"/>
      <c r="F874" s="296"/>
      <c r="J874" s="302"/>
      <c r="P874" s="618"/>
      <c r="Q874" s="618"/>
      <c r="R874" s="618"/>
      <c r="T874" s="295"/>
      <c r="X874" s="618"/>
      <c r="AA874" s="295"/>
      <c r="AH874" s="295"/>
      <c r="AO874" s="295"/>
    </row>
    <row r="875" spans="2:41" ht="13">
      <c r="B875" s="294"/>
      <c r="F875" s="296"/>
      <c r="J875" s="302"/>
      <c r="P875" s="618"/>
      <c r="Q875" s="618"/>
      <c r="R875" s="618"/>
      <c r="T875" s="295"/>
      <c r="X875" s="618"/>
      <c r="AA875" s="295"/>
      <c r="AH875" s="295"/>
      <c r="AO875" s="295"/>
    </row>
    <row r="876" spans="2:41" ht="13">
      <c r="B876" s="294"/>
      <c r="F876" s="296"/>
      <c r="J876" s="302"/>
      <c r="P876" s="618"/>
      <c r="Q876" s="618"/>
      <c r="R876" s="618"/>
      <c r="T876" s="295"/>
      <c r="X876" s="618"/>
      <c r="AA876" s="295"/>
      <c r="AH876" s="295"/>
      <c r="AO876" s="295"/>
    </row>
    <row r="877" spans="2:41" ht="13">
      <c r="B877" s="294"/>
      <c r="F877" s="296"/>
      <c r="J877" s="302"/>
      <c r="P877" s="618"/>
      <c r="Q877" s="618"/>
      <c r="R877" s="618"/>
      <c r="T877" s="295"/>
      <c r="X877" s="618"/>
      <c r="AA877" s="295"/>
      <c r="AH877" s="295"/>
      <c r="AO877" s="295"/>
    </row>
    <row r="878" spans="2:41" ht="13">
      <c r="B878" s="294"/>
      <c r="F878" s="296"/>
      <c r="J878" s="302"/>
      <c r="P878" s="618"/>
      <c r="Q878" s="618"/>
      <c r="R878" s="618"/>
      <c r="T878" s="295"/>
      <c r="X878" s="618"/>
      <c r="AA878" s="295"/>
      <c r="AH878" s="295"/>
      <c r="AO878" s="295"/>
    </row>
    <row r="879" spans="2:41" ht="13">
      <c r="B879" s="294"/>
      <c r="F879" s="296"/>
      <c r="J879" s="302"/>
      <c r="P879" s="618"/>
      <c r="Q879" s="618"/>
      <c r="R879" s="618"/>
      <c r="T879" s="295"/>
      <c r="X879" s="618"/>
      <c r="AA879" s="295"/>
      <c r="AH879" s="295"/>
      <c r="AO879" s="295"/>
    </row>
    <row r="880" spans="2:41" ht="13">
      <c r="B880" s="294"/>
      <c r="F880" s="296"/>
      <c r="J880" s="302"/>
      <c r="P880" s="618"/>
      <c r="Q880" s="618"/>
      <c r="R880" s="618"/>
      <c r="T880" s="295"/>
      <c r="X880" s="618"/>
      <c r="AA880" s="295"/>
      <c r="AH880" s="295"/>
      <c r="AO880" s="295"/>
    </row>
    <row r="881" spans="2:41" ht="13">
      <c r="B881" s="294"/>
      <c r="F881" s="296"/>
      <c r="J881" s="302"/>
      <c r="P881" s="618"/>
      <c r="Q881" s="618"/>
      <c r="R881" s="618"/>
      <c r="T881" s="295"/>
      <c r="X881" s="618"/>
      <c r="AA881" s="295"/>
      <c r="AH881" s="295"/>
      <c r="AO881" s="295"/>
    </row>
    <row r="882" spans="2:41" ht="13">
      <c r="B882" s="294"/>
      <c r="F882" s="296"/>
      <c r="J882" s="302"/>
      <c r="P882" s="618"/>
      <c r="Q882" s="618"/>
      <c r="R882" s="618"/>
      <c r="T882" s="295"/>
      <c r="X882" s="618"/>
      <c r="AA882" s="295"/>
      <c r="AH882" s="295"/>
      <c r="AO882" s="295"/>
    </row>
    <row r="883" spans="2:41" ht="13">
      <c r="B883" s="294"/>
      <c r="F883" s="296"/>
      <c r="J883" s="302"/>
      <c r="P883" s="618"/>
      <c r="Q883" s="618"/>
      <c r="R883" s="618"/>
      <c r="T883" s="295"/>
      <c r="X883" s="618"/>
      <c r="AA883" s="295"/>
      <c r="AH883" s="295"/>
      <c r="AO883" s="295"/>
    </row>
    <row r="884" spans="2:41" ht="13">
      <c r="B884" s="294"/>
      <c r="F884" s="296"/>
      <c r="J884" s="302"/>
      <c r="P884" s="618"/>
      <c r="Q884" s="618"/>
      <c r="R884" s="618"/>
      <c r="T884" s="295"/>
      <c r="X884" s="618"/>
      <c r="AA884" s="295"/>
      <c r="AH884" s="295"/>
      <c r="AO884" s="295"/>
    </row>
    <row r="885" spans="2:41" ht="13">
      <c r="B885" s="294"/>
      <c r="F885" s="296"/>
      <c r="J885" s="302"/>
      <c r="P885" s="618"/>
      <c r="Q885" s="618"/>
      <c r="R885" s="618"/>
      <c r="T885" s="295"/>
      <c r="X885" s="618"/>
      <c r="AA885" s="295"/>
      <c r="AH885" s="295"/>
      <c r="AO885" s="295"/>
    </row>
    <row r="886" spans="2:41" ht="13">
      <c r="B886" s="294"/>
      <c r="F886" s="296"/>
      <c r="J886" s="302"/>
      <c r="P886" s="618"/>
      <c r="Q886" s="618"/>
      <c r="R886" s="618"/>
      <c r="T886" s="295"/>
      <c r="X886" s="618"/>
      <c r="AA886" s="295"/>
      <c r="AH886" s="295"/>
      <c r="AO886" s="295"/>
    </row>
    <row r="887" spans="2:41" ht="13">
      <c r="B887" s="294"/>
      <c r="F887" s="296"/>
      <c r="J887" s="302"/>
      <c r="P887" s="618"/>
      <c r="Q887" s="618"/>
      <c r="R887" s="618"/>
      <c r="T887" s="295"/>
      <c r="X887" s="618"/>
      <c r="AA887" s="295"/>
      <c r="AH887" s="295"/>
      <c r="AO887" s="295"/>
    </row>
    <row r="888" spans="2:41" ht="13">
      <c r="B888" s="294"/>
      <c r="F888" s="296"/>
      <c r="J888" s="302"/>
      <c r="P888" s="618"/>
      <c r="Q888" s="618"/>
      <c r="R888" s="618"/>
      <c r="T888" s="295"/>
      <c r="X888" s="618"/>
      <c r="AA888" s="295"/>
      <c r="AH888" s="295"/>
      <c r="AO888" s="295"/>
    </row>
    <row r="889" spans="2:41" ht="13">
      <c r="B889" s="294"/>
      <c r="F889" s="296"/>
      <c r="J889" s="302"/>
      <c r="P889" s="618"/>
      <c r="Q889" s="618"/>
      <c r="R889" s="618"/>
      <c r="T889" s="295"/>
      <c r="X889" s="618"/>
      <c r="AA889" s="295"/>
      <c r="AH889" s="295"/>
      <c r="AO889" s="295"/>
    </row>
    <row r="890" spans="2:41" ht="13">
      <c r="B890" s="294"/>
      <c r="F890" s="296"/>
      <c r="J890" s="302"/>
      <c r="P890" s="618"/>
      <c r="Q890" s="618"/>
      <c r="R890" s="618"/>
      <c r="T890" s="295"/>
      <c r="X890" s="618"/>
      <c r="AA890" s="295"/>
      <c r="AH890" s="295"/>
      <c r="AO890" s="295"/>
    </row>
    <row r="891" spans="2:41" ht="13">
      <c r="B891" s="294"/>
      <c r="F891" s="296"/>
      <c r="J891" s="302"/>
      <c r="P891" s="618"/>
      <c r="Q891" s="618"/>
      <c r="R891" s="618"/>
      <c r="T891" s="295"/>
      <c r="X891" s="618"/>
      <c r="AA891" s="295"/>
      <c r="AH891" s="295"/>
      <c r="AO891" s="295"/>
    </row>
    <row r="892" spans="2:41" ht="13">
      <c r="B892" s="294"/>
      <c r="F892" s="296"/>
      <c r="J892" s="302"/>
      <c r="P892" s="618"/>
      <c r="Q892" s="618"/>
      <c r="R892" s="618"/>
      <c r="T892" s="295"/>
      <c r="X892" s="618"/>
      <c r="AA892" s="295"/>
      <c r="AH892" s="295"/>
      <c r="AO892" s="295"/>
    </row>
    <row r="893" spans="2:41" ht="13">
      <c r="B893" s="294"/>
      <c r="F893" s="296"/>
      <c r="J893" s="302"/>
      <c r="P893" s="618"/>
      <c r="Q893" s="618"/>
      <c r="R893" s="618"/>
      <c r="T893" s="295"/>
      <c r="X893" s="618"/>
      <c r="AA893" s="295"/>
      <c r="AH893" s="295"/>
      <c r="AO893" s="295"/>
    </row>
    <row r="894" spans="2:41" ht="13">
      <c r="B894" s="294"/>
      <c r="F894" s="296"/>
      <c r="J894" s="302"/>
      <c r="P894" s="618"/>
      <c r="Q894" s="618"/>
      <c r="R894" s="618"/>
      <c r="T894" s="295"/>
      <c r="X894" s="618"/>
      <c r="AA894" s="295"/>
      <c r="AH894" s="295"/>
      <c r="AO894" s="295"/>
    </row>
    <row r="895" spans="2:41" ht="13">
      <c r="B895" s="294"/>
      <c r="F895" s="296"/>
      <c r="J895" s="302"/>
      <c r="P895" s="618"/>
      <c r="Q895" s="618"/>
      <c r="R895" s="618"/>
      <c r="T895" s="295"/>
      <c r="X895" s="618"/>
      <c r="AA895" s="295"/>
      <c r="AH895" s="295"/>
      <c r="AO895" s="295"/>
    </row>
    <row r="896" spans="2:41" ht="13">
      <c r="B896" s="294"/>
      <c r="F896" s="296"/>
      <c r="J896" s="302"/>
      <c r="P896" s="618"/>
      <c r="Q896" s="618"/>
      <c r="R896" s="618"/>
      <c r="T896" s="295"/>
      <c r="X896" s="618"/>
      <c r="AA896" s="295"/>
      <c r="AH896" s="295"/>
      <c r="AO896" s="295"/>
    </row>
    <row r="897" spans="2:41" ht="13">
      <c r="B897" s="294"/>
      <c r="F897" s="296"/>
      <c r="J897" s="302"/>
      <c r="P897" s="618"/>
      <c r="Q897" s="618"/>
      <c r="R897" s="618"/>
      <c r="T897" s="295"/>
      <c r="X897" s="618"/>
      <c r="AA897" s="295"/>
      <c r="AH897" s="295"/>
      <c r="AO897" s="295"/>
    </row>
    <row r="898" spans="2:41" ht="13">
      <c r="B898" s="294"/>
      <c r="F898" s="296"/>
      <c r="J898" s="302"/>
      <c r="P898" s="618"/>
      <c r="Q898" s="618"/>
      <c r="R898" s="618"/>
      <c r="T898" s="295"/>
      <c r="X898" s="618"/>
      <c r="AA898" s="295"/>
      <c r="AH898" s="295"/>
      <c r="AO898" s="295"/>
    </row>
    <row r="899" spans="2:41" ht="13">
      <c r="B899" s="294"/>
      <c r="F899" s="296"/>
      <c r="J899" s="302"/>
      <c r="P899" s="618"/>
      <c r="Q899" s="618"/>
      <c r="R899" s="618"/>
      <c r="T899" s="295"/>
      <c r="X899" s="618"/>
      <c r="AA899" s="295"/>
      <c r="AH899" s="295"/>
      <c r="AO899" s="295"/>
    </row>
    <row r="900" spans="2:41" ht="13">
      <c r="B900" s="294"/>
      <c r="F900" s="296"/>
      <c r="J900" s="302"/>
      <c r="P900" s="618"/>
      <c r="Q900" s="618"/>
      <c r="R900" s="618"/>
      <c r="T900" s="295"/>
      <c r="X900" s="618"/>
      <c r="AA900" s="295"/>
      <c r="AH900" s="295"/>
      <c r="AO900" s="295"/>
    </row>
    <row r="901" spans="2:41" ht="13">
      <c r="B901" s="294"/>
      <c r="F901" s="296"/>
      <c r="J901" s="302"/>
      <c r="P901" s="618"/>
      <c r="Q901" s="618"/>
      <c r="R901" s="618"/>
      <c r="T901" s="295"/>
      <c r="X901" s="618"/>
      <c r="AA901" s="295"/>
      <c r="AH901" s="295"/>
      <c r="AO901" s="295"/>
    </row>
    <row r="902" spans="2:41" ht="13">
      <c r="B902" s="294"/>
      <c r="F902" s="296"/>
      <c r="J902" s="302"/>
      <c r="P902" s="618"/>
      <c r="Q902" s="618"/>
      <c r="R902" s="618"/>
      <c r="T902" s="295"/>
      <c r="X902" s="618"/>
      <c r="AA902" s="295"/>
      <c r="AH902" s="295"/>
      <c r="AO902" s="295"/>
    </row>
    <row r="903" spans="2:41" ht="13">
      <c r="B903" s="294"/>
      <c r="F903" s="296"/>
      <c r="J903" s="302"/>
      <c r="P903" s="618"/>
      <c r="Q903" s="618"/>
      <c r="R903" s="618"/>
      <c r="T903" s="295"/>
      <c r="X903" s="618"/>
      <c r="AA903" s="295"/>
      <c r="AH903" s="295"/>
      <c r="AO903" s="295"/>
    </row>
    <row r="904" spans="2:41" ht="13">
      <c r="B904" s="294"/>
      <c r="F904" s="296"/>
      <c r="J904" s="302"/>
      <c r="P904" s="618"/>
      <c r="Q904" s="618"/>
      <c r="R904" s="618"/>
      <c r="T904" s="295"/>
      <c r="X904" s="618"/>
      <c r="AA904" s="295"/>
      <c r="AH904" s="295"/>
      <c r="AO904" s="295"/>
    </row>
    <row r="905" spans="2:41" ht="13">
      <c r="B905" s="294"/>
      <c r="F905" s="296"/>
      <c r="J905" s="302"/>
      <c r="P905" s="618"/>
      <c r="Q905" s="618"/>
      <c r="R905" s="618"/>
      <c r="T905" s="295"/>
      <c r="X905" s="618"/>
      <c r="AA905" s="295"/>
      <c r="AH905" s="295"/>
      <c r="AO905" s="295"/>
    </row>
    <row r="906" spans="2:41" ht="13">
      <c r="B906" s="294"/>
      <c r="F906" s="296"/>
      <c r="J906" s="302"/>
      <c r="P906" s="618"/>
      <c r="Q906" s="618"/>
      <c r="R906" s="618"/>
      <c r="T906" s="295"/>
      <c r="X906" s="618"/>
      <c r="AA906" s="295"/>
      <c r="AH906" s="295"/>
      <c r="AO906" s="295"/>
    </row>
    <row r="907" spans="2:41" ht="13">
      <c r="B907" s="294"/>
      <c r="F907" s="296"/>
      <c r="J907" s="302"/>
      <c r="P907" s="618"/>
      <c r="Q907" s="618"/>
      <c r="R907" s="618"/>
      <c r="T907" s="295"/>
      <c r="X907" s="618"/>
      <c r="AA907" s="295"/>
      <c r="AH907" s="295"/>
      <c r="AO907" s="295"/>
    </row>
    <row r="908" spans="2:41" ht="13">
      <c r="B908" s="294"/>
      <c r="F908" s="296"/>
      <c r="J908" s="302"/>
      <c r="P908" s="618"/>
      <c r="Q908" s="618"/>
      <c r="R908" s="618"/>
      <c r="T908" s="295"/>
      <c r="X908" s="618"/>
      <c r="AA908" s="295"/>
      <c r="AH908" s="295"/>
      <c r="AO908" s="295"/>
    </row>
    <row r="909" spans="2:41" ht="13">
      <c r="B909" s="294"/>
      <c r="F909" s="296"/>
      <c r="J909" s="302"/>
      <c r="P909" s="618"/>
      <c r="Q909" s="618"/>
      <c r="R909" s="618"/>
      <c r="T909" s="295"/>
      <c r="X909" s="618"/>
      <c r="AA909" s="295"/>
      <c r="AH909" s="295"/>
      <c r="AO909" s="295"/>
    </row>
    <row r="910" spans="2:41" ht="13">
      <c r="B910" s="294"/>
      <c r="F910" s="296"/>
      <c r="J910" s="302"/>
      <c r="P910" s="618"/>
      <c r="Q910" s="618"/>
      <c r="R910" s="618"/>
      <c r="T910" s="295"/>
      <c r="X910" s="618"/>
      <c r="AA910" s="295"/>
      <c r="AH910" s="295"/>
      <c r="AO910" s="295"/>
    </row>
    <row r="911" spans="2:41" ht="13">
      <c r="B911" s="294"/>
      <c r="F911" s="296"/>
      <c r="J911" s="302"/>
      <c r="P911" s="618"/>
      <c r="Q911" s="618"/>
      <c r="R911" s="618"/>
      <c r="T911" s="295"/>
      <c r="X911" s="618"/>
      <c r="AA911" s="295"/>
      <c r="AH911" s="295"/>
      <c r="AO911" s="295"/>
    </row>
    <row r="912" spans="2:41" ht="13">
      <c r="B912" s="294"/>
      <c r="F912" s="296"/>
      <c r="J912" s="302"/>
      <c r="P912" s="618"/>
      <c r="Q912" s="618"/>
      <c r="R912" s="618"/>
      <c r="T912" s="295"/>
      <c r="X912" s="618"/>
      <c r="AA912" s="295"/>
      <c r="AH912" s="295"/>
      <c r="AO912" s="295"/>
    </row>
    <row r="913" spans="2:41" ht="13">
      <c r="B913" s="294"/>
      <c r="F913" s="296"/>
      <c r="J913" s="302"/>
      <c r="P913" s="618"/>
      <c r="Q913" s="618"/>
      <c r="R913" s="618"/>
      <c r="T913" s="295"/>
      <c r="X913" s="618"/>
      <c r="AA913" s="295"/>
      <c r="AH913" s="295"/>
      <c r="AO913" s="295"/>
    </row>
    <row r="914" spans="2:41" ht="13">
      <c r="B914" s="294"/>
      <c r="F914" s="296"/>
      <c r="J914" s="302"/>
      <c r="P914" s="618"/>
      <c r="Q914" s="618"/>
      <c r="R914" s="618"/>
      <c r="T914" s="295"/>
      <c r="X914" s="618"/>
      <c r="AA914" s="295"/>
      <c r="AH914" s="295"/>
      <c r="AO914" s="295"/>
    </row>
    <row r="915" spans="2:41" ht="13">
      <c r="B915" s="294"/>
      <c r="F915" s="296"/>
      <c r="J915" s="302"/>
      <c r="P915" s="618"/>
      <c r="Q915" s="618"/>
      <c r="R915" s="618"/>
      <c r="T915" s="295"/>
      <c r="X915" s="618"/>
      <c r="AA915" s="295"/>
      <c r="AH915" s="295"/>
      <c r="AO915" s="295"/>
    </row>
    <row r="916" spans="2:41" ht="13">
      <c r="B916" s="294"/>
      <c r="F916" s="296"/>
      <c r="J916" s="302"/>
      <c r="P916" s="618"/>
      <c r="Q916" s="618"/>
      <c r="R916" s="618"/>
      <c r="T916" s="295"/>
      <c r="X916" s="618"/>
      <c r="AA916" s="295"/>
      <c r="AH916" s="295"/>
      <c r="AO916" s="295"/>
    </row>
    <row r="917" spans="2:41" ht="13">
      <c r="B917" s="294"/>
      <c r="F917" s="296"/>
      <c r="J917" s="302"/>
      <c r="P917" s="618"/>
      <c r="Q917" s="618"/>
      <c r="R917" s="618"/>
      <c r="T917" s="295"/>
      <c r="X917" s="618"/>
      <c r="AA917" s="295"/>
      <c r="AH917" s="295"/>
      <c r="AO917" s="295"/>
    </row>
    <row r="918" spans="2:41" ht="13">
      <c r="B918" s="294"/>
      <c r="F918" s="296"/>
      <c r="J918" s="302"/>
      <c r="P918" s="618"/>
      <c r="Q918" s="618"/>
      <c r="R918" s="618"/>
      <c r="T918" s="295"/>
      <c r="X918" s="618"/>
      <c r="AA918" s="295"/>
      <c r="AH918" s="295"/>
      <c r="AO918" s="295"/>
    </row>
    <row r="919" spans="2:41" ht="13">
      <c r="B919" s="294"/>
      <c r="F919" s="296"/>
      <c r="J919" s="302"/>
      <c r="P919" s="618"/>
      <c r="Q919" s="618"/>
      <c r="R919" s="618"/>
      <c r="T919" s="295"/>
      <c r="X919" s="618"/>
      <c r="AA919" s="295"/>
      <c r="AH919" s="295"/>
      <c r="AO919" s="295"/>
    </row>
    <row r="920" spans="2:41" ht="13">
      <c r="B920" s="294"/>
      <c r="F920" s="296"/>
      <c r="J920" s="302"/>
      <c r="P920" s="618"/>
      <c r="Q920" s="618"/>
      <c r="R920" s="618"/>
      <c r="T920" s="295"/>
      <c r="X920" s="618"/>
      <c r="AA920" s="295"/>
      <c r="AH920" s="295"/>
      <c r="AO920" s="295"/>
    </row>
    <row r="921" spans="2:41" ht="13">
      <c r="B921" s="294"/>
      <c r="F921" s="296"/>
      <c r="J921" s="302"/>
      <c r="P921" s="618"/>
      <c r="Q921" s="618"/>
      <c r="R921" s="618"/>
      <c r="T921" s="295"/>
      <c r="X921" s="618"/>
      <c r="AA921" s="295"/>
      <c r="AH921" s="295"/>
      <c r="AO921" s="295"/>
    </row>
    <row r="922" spans="2:41" ht="13">
      <c r="B922" s="294"/>
      <c r="F922" s="296"/>
      <c r="J922" s="302"/>
      <c r="P922" s="618"/>
      <c r="Q922" s="618"/>
      <c r="R922" s="618"/>
      <c r="T922" s="295"/>
      <c r="X922" s="618"/>
      <c r="AA922" s="295"/>
      <c r="AH922" s="295"/>
      <c r="AO922" s="295"/>
    </row>
    <row r="923" spans="2:41" ht="13">
      <c r="B923" s="294"/>
      <c r="F923" s="296"/>
      <c r="J923" s="302"/>
      <c r="P923" s="618"/>
      <c r="Q923" s="618"/>
      <c r="R923" s="618"/>
      <c r="T923" s="295"/>
      <c r="X923" s="618"/>
      <c r="AA923" s="295"/>
      <c r="AH923" s="295"/>
      <c r="AO923" s="295"/>
    </row>
    <row r="924" spans="2:41" ht="13">
      <c r="B924" s="294"/>
      <c r="F924" s="296"/>
      <c r="J924" s="302"/>
      <c r="P924" s="618"/>
      <c r="Q924" s="618"/>
      <c r="R924" s="618"/>
      <c r="T924" s="295"/>
      <c r="X924" s="618"/>
      <c r="AA924" s="295"/>
      <c r="AH924" s="295"/>
      <c r="AO924" s="295"/>
    </row>
    <row r="925" spans="2:41" ht="13">
      <c r="B925" s="294"/>
      <c r="F925" s="296"/>
      <c r="J925" s="302"/>
      <c r="P925" s="618"/>
      <c r="Q925" s="618"/>
      <c r="R925" s="618"/>
      <c r="T925" s="295"/>
      <c r="X925" s="618"/>
      <c r="AA925" s="295"/>
      <c r="AH925" s="295"/>
      <c r="AO925" s="295"/>
    </row>
    <row r="926" spans="2:41" ht="13">
      <c r="B926" s="294"/>
      <c r="F926" s="296"/>
      <c r="J926" s="302"/>
      <c r="P926" s="618"/>
      <c r="Q926" s="618"/>
      <c r="R926" s="618"/>
      <c r="T926" s="295"/>
      <c r="X926" s="618"/>
      <c r="AA926" s="295"/>
      <c r="AH926" s="295"/>
      <c r="AO926" s="295"/>
    </row>
    <row r="927" spans="2:41" ht="13">
      <c r="B927" s="294"/>
      <c r="F927" s="296"/>
      <c r="J927" s="302"/>
      <c r="P927" s="618"/>
      <c r="Q927" s="618"/>
      <c r="R927" s="618"/>
      <c r="T927" s="295"/>
      <c r="X927" s="618"/>
      <c r="AA927" s="295"/>
      <c r="AH927" s="295"/>
      <c r="AO927" s="295"/>
    </row>
    <row r="928" spans="2:41" ht="13">
      <c r="B928" s="294"/>
      <c r="F928" s="296"/>
      <c r="J928" s="302"/>
      <c r="P928" s="618"/>
      <c r="Q928" s="618"/>
      <c r="R928" s="618"/>
      <c r="T928" s="295"/>
      <c r="X928" s="618"/>
      <c r="AA928" s="295"/>
      <c r="AH928" s="295"/>
      <c r="AO928" s="295"/>
    </row>
    <row r="929" spans="2:41" ht="13">
      <c r="B929" s="294"/>
      <c r="F929" s="296"/>
      <c r="J929" s="302"/>
      <c r="P929" s="618"/>
      <c r="Q929" s="618"/>
      <c r="R929" s="618"/>
      <c r="T929" s="295"/>
      <c r="X929" s="618"/>
      <c r="AA929" s="295"/>
      <c r="AH929" s="295"/>
      <c r="AO929" s="295"/>
    </row>
    <row r="930" spans="2:41" ht="13">
      <c r="B930" s="294"/>
      <c r="F930" s="296"/>
      <c r="J930" s="302"/>
      <c r="P930" s="618"/>
      <c r="Q930" s="618"/>
      <c r="R930" s="618"/>
      <c r="T930" s="295"/>
      <c r="X930" s="618"/>
      <c r="AA930" s="295"/>
      <c r="AH930" s="295"/>
      <c r="AO930" s="295"/>
    </row>
    <row r="931" spans="2:41" ht="13">
      <c r="B931" s="294"/>
      <c r="F931" s="296"/>
      <c r="J931" s="302"/>
      <c r="P931" s="618"/>
      <c r="Q931" s="618"/>
      <c r="R931" s="618"/>
      <c r="T931" s="295"/>
      <c r="X931" s="618"/>
      <c r="AA931" s="295"/>
      <c r="AH931" s="295"/>
      <c r="AO931" s="295"/>
    </row>
    <row r="932" spans="2:41" ht="13">
      <c r="B932" s="294"/>
      <c r="F932" s="296"/>
      <c r="J932" s="302"/>
      <c r="P932" s="618"/>
      <c r="Q932" s="618"/>
      <c r="R932" s="618"/>
      <c r="T932" s="295"/>
      <c r="X932" s="618"/>
      <c r="AA932" s="295"/>
      <c r="AH932" s="295"/>
      <c r="AO932" s="295"/>
    </row>
    <row r="933" spans="2:41" ht="13">
      <c r="B933" s="294"/>
      <c r="F933" s="296"/>
      <c r="J933" s="302"/>
      <c r="P933" s="618"/>
      <c r="Q933" s="618"/>
      <c r="R933" s="618"/>
      <c r="T933" s="295"/>
      <c r="X933" s="618"/>
      <c r="AA933" s="295"/>
      <c r="AH933" s="295"/>
      <c r="AO933" s="295"/>
    </row>
    <row r="934" spans="2:41" ht="13">
      <c r="B934" s="294"/>
      <c r="F934" s="296"/>
      <c r="J934" s="302"/>
      <c r="P934" s="618"/>
      <c r="Q934" s="618"/>
      <c r="R934" s="618"/>
      <c r="T934" s="295"/>
      <c r="X934" s="618"/>
      <c r="AA934" s="295"/>
      <c r="AH934" s="295"/>
      <c r="AO934" s="295"/>
    </row>
    <row r="935" spans="2:41" ht="13">
      <c r="B935" s="294"/>
      <c r="F935" s="296"/>
      <c r="J935" s="302"/>
      <c r="P935" s="618"/>
      <c r="Q935" s="618"/>
      <c r="R935" s="618"/>
      <c r="T935" s="295"/>
      <c r="X935" s="618"/>
      <c r="AA935" s="295"/>
      <c r="AH935" s="295"/>
      <c r="AO935" s="295"/>
    </row>
    <row r="936" spans="2:41" ht="13">
      <c r="B936" s="294"/>
      <c r="F936" s="296"/>
      <c r="J936" s="302"/>
      <c r="P936" s="618"/>
      <c r="Q936" s="618"/>
      <c r="R936" s="618"/>
      <c r="T936" s="295"/>
      <c r="X936" s="618"/>
      <c r="AA936" s="295"/>
      <c r="AH936" s="295"/>
      <c r="AO936" s="295"/>
    </row>
    <row r="937" spans="2:41" ht="13">
      <c r="B937" s="294"/>
      <c r="F937" s="296"/>
      <c r="J937" s="302"/>
      <c r="P937" s="618"/>
      <c r="Q937" s="618"/>
      <c r="R937" s="618"/>
      <c r="T937" s="295"/>
      <c r="X937" s="618"/>
      <c r="AA937" s="295"/>
      <c r="AH937" s="295"/>
      <c r="AO937" s="295"/>
    </row>
    <row r="938" spans="2:41" ht="13">
      <c r="B938" s="294"/>
      <c r="F938" s="296"/>
      <c r="J938" s="302"/>
      <c r="P938" s="618"/>
      <c r="Q938" s="618"/>
      <c r="R938" s="618"/>
      <c r="T938" s="295"/>
      <c r="X938" s="618"/>
      <c r="AA938" s="295"/>
      <c r="AH938" s="295"/>
      <c r="AO938" s="295"/>
    </row>
    <row r="939" spans="2:41" ht="13">
      <c r="B939" s="294"/>
      <c r="F939" s="296"/>
      <c r="J939" s="302"/>
      <c r="P939" s="618"/>
      <c r="Q939" s="618"/>
      <c r="R939" s="618"/>
      <c r="T939" s="295"/>
      <c r="X939" s="618"/>
      <c r="AA939" s="295"/>
      <c r="AH939" s="295"/>
      <c r="AO939" s="295"/>
    </row>
    <row r="940" spans="2:41" ht="13">
      <c r="B940" s="294"/>
      <c r="F940" s="296"/>
      <c r="J940" s="302"/>
      <c r="P940" s="618"/>
      <c r="Q940" s="618"/>
      <c r="R940" s="618"/>
      <c r="T940" s="295"/>
      <c r="X940" s="618"/>
      <c r="AA940" s="295"/>
      <c r="AH940" s="295"/>
      <c r="AO940" s="295"/>
    </row>
    <row r="941" spans="2:41" ht="13">
      <c r="B941" s="294"/>
      <c r="F941" s="296"/>
      <c r="J941" s="302"/>
      <c r="P941" s="618"/>
      <c r="Q941" s="618"/>
      <c r="R941" s="618"/>
      <c r="T941" s="295"/>
      <c r="X941" s="618"/>
      <c r="AA941" s="295"/>
      <c r="AH941" s="295"/>
      <c r="AO941" s="295"/>
    </row>
    <row r="942" spans="2:41" ht="13">
      <c r="B942" s="294"/>
      <c r="F942" s="296"/>
      <c r="J942" s="302"/>
      <c r="P942" s="618"/>
      <c r="Q942" s="618"/>
      <c r="R942" s="618"/>
      <c r="T942" s="295"/>
      <c r="X942" s="618"/>
      <c r="AA942" s="295"/>
      <c r="AH942" s="295"/>
      <c r="AO942" s="295"/>
    </row>
    <row r="943" spans="2:41" ht="13">
      <c r="B943" s="294"/>
      <c r="F943" s="296"/>
      <c r="J943" s="302"/>
      <c r="P943" s="618"/>
      <c r="Q943" s="618"/>
      <c r="R943" s="618"/>
      <c r="T943" s="295"/>
      <c r="X943" s="618"/>
      <c r="AA943" s="295"/>
      <c r="AH943" s="295"/>
      <c r="AO943" s="295"/>
    </row>
    <row r="944" spans="2:41" ht="13">
      <c r="B944" s="294"/>
      <c r="F944" s="296"/>
      <c r="J944" s="302"/>
      <c r="P944" s="618"/>
      <c r="Q944" s="618"/>
      <c r="R944" s="618"/>
      <c r="T944" s="295"/>
      <c r="X944" s="618"/>
      <c r="AA944" s="295"/>
      <c r="AH944" s="295"/>
      <c r="AO944" s="295"/>
    </row>
    <row r="945" spans="2:41" ht="13">
      <c r="B945" s="294"/>
      <c r="F945" s="296"/>
      <c r="J945" s="302"/>
      <c r="P945" s="618"/>
      <c r="Q945" s="618"/>
      <c r="R945" s="618"/>
      <c r="T945" s="295"/>
      <c r="X945" s="618"/>
      <c r="AA945" s="295"/>
      <c r="AH945" s="295"/>
      <c r="AO945" s="295"/>
    </row>
    <row r="946" spans="2:41" ht="13">
      <c r="B946" s="294"/>
      <c r="F946" s="296"/>
      <c r="J946" s="302"/>
      <c r="P946" s="618"/>
      <c r="Q946" s="618"/>
      <c r="R946" s="618"/>
      <c r="T946" s="295"/>
      <c r="X946" s="618"/>
      <c r="AA946" s="295"/>
      <c r="AH946" s="295"/>
      <c r="AO946" s="295"/>
    </row>
    <row r="947" spans="2:41" ht="13">
      <c r="B947" s="294"/>
      <c r="F947" s="296"/>
      <c r="J947" s="302"/>
      <c r="P947" s="618"/>
      <c r="Q947" s="618"/>
      <c r="R947" s="618"/>
      <c r="T947" s="295"/>
      <c r="X947" s="618"/>
      <c r="AA947" s="295"/>
      <c r="AH947" s="295"/>
      <c r="AO947" s="295"/>
    </row>
    <row r="948" spans="2:41" ht="13">
      <c r="B948" s="294"/>
      <c r="F948" s="296"/>
      <c r="J948" s="302"/>
      <c r="P948" s="618"/>
      <c r="Q948" s="618"/>
      <c r="R948" s="618"/>
      <c r="T948" s="295"/>
      <c r="X948" s="618"/>
      <c r="AA948" s="295"/>
      <c r="AH948" s="295"/>
      <c r="AO948" s="295"/>
    </row>
    <row r="949" spans="2:41" ht="13">
      <c r="B949" s="294"/>
      <c r="F949" s="296"/>
      <c r="J949" s="302"/>
      <c r="P949" s="618"/>
      <c r="Q949" s="618"/>
      <c r="R949" s="618"/>
      <c r="T949" s="295"/>
      <c r="X949" s="618"/>
      <c r="AA949" s="295"/>
      <c r="AH949" s="295"/>
      <c r="AO949" s="295"/>
    </row>
    <row r="950" spans="2:41" ht="13">
      <c r="B950" s="294"/>
      <c r="F950" s="296"/>
      <c r="J950" s="302"/>
      <c r="P950" s="618"/>
      <c r="Q950" s="618"/>
      <c r="R950" s="618"/>
      <c r="T950" s="295"/>
      <c r="X950" s="618"/>
      <c r="AA950" s="295"/>
      <c r="AH950" s="295"/>
      <c r="AO950" s="295"/>
    </row>
    <row r="951" spans="2:41" ht="13">
      <c r="B951" s="294"/>
      <c r="F951" s="296"/>
      <c r="J951" s="302"/>
      <c r="P951" s="618"/>
      <c r="Q951" s="618"/>
      <c r="R951" s="618"/>
      <c r="T951" s="295"/>
      <c r="X951" s="618"/>
      <c r="AA951" s="295"/>
      <c r="AH951" s="295"/>
      <c r="AO951" s="295"/>
    </row>
    <row r="952" spans="2:41" ht="13">
      <c r="B952" s="294"/>
      <c r="F952" s="296"/>
      <c r="J952" s="302"/>
      <c r="P952" s="618"/>
      <c r="Q952" s="618"/>
      <c r="R952" s="618"/>
      <c r="T952" s="295"/>
      <c r="X952" s="618"/>
      <c r="AA952" s="295"/>
      <c r="AH952" s="295"/>
      <c r="AO952" s="295"/>
    </row>
    <row r="953" spans="2:41" ht="13">
      <c r="B953" s="294"/>
      <c r="F953" s="296"/>
      <c r="J953" s="302"/>
      <c r="P953" s="618"/>
      <c r="Q953" s="618"/>
      <c r="R953" s="618"/>
      <c r="T953" s="295"/>
      <c r="X953" s="618"/>
      <c r="AA953" s="295"/>
      <c r="AH953" s="295"/>
      <c r="AO953" s="295"/>
    </row>
    <row r="954" spans="2:41" ht="13">
      <c r="B954" s="294"/>
      <c r="F954" s="296"/>
      <c r="J954" s="302"/>
      <c r="P954" s="618"/>
      <c r="Q954" s="618"/>
      <c r="R954" s="618"/>
      <c r="T954" s="295"/>
      <c r="X954" s="618"/>
      <c r="AA954" s="295"/>
      <c r="AH954" s="295"/>
      <c r="AO954" s="295"/>
    </row>
    <row r="955" spans="2:41" ht="13">
      <c r="B955" s="294"/>
      <c r="F955" s="296"/>
      <c r="J955" s="302"/>
      <c r="P955" s="618"/>
      <c r="Q955" s="618"/>
      <c r="R955" s="618"/>
      <c r="T955" s="295"/>
      <c r="X955" s="618"/>
      <c r="AA955" s="295"/>
      <c r="AH955" s="295"/>
      <c r="AO955" s="295"/>
    </row>
    <row r="956" spans="2:41" ht="13">
      <c r="B956" s="294"/>
      <c r="F956" s="296"/>
      <c r="J956" s="302"/>
      <c r="P956" s="618"/>
      <c r="Q956" s="618"/>
      <c r="R956" s="618"/>
      <c r="T956" s="295"/>
      <c r="X956" s="618"/>
      <c r="AA956" s="295"/>
      <c r="AH956" s="295"/>
      <c r="AO956" s="295"/>
    </row>
    <row r="957" spans="2:41" ht="13">
      <c r="B957" s="294"/>
      <c r="F957" s="296"/>
      <c r="J957" s="302"/>
      <c r="P957" s="618"/>
      <c r="Q957" s="618"/>
      <c r="R957" s="618"/>
      <c r="T957" s="295"/>
      <c r="X957" s="618"/>
      <c r="AA957" s="295"/>
      <c r="AH957" s="295"/>
      <c r="AO957" s="295"/>
    </row>
    <row r="958" spans="2:41" ht="13">
      <c r="B958" s="294"/>
      <c r="F958" s="296"/>
      <c r="J958" s="302"/>
      <c r="P958" s="618"/>
      <c r="Q958" s="618"/>
      <c r="R958" s="618"/>
      <c r="T958" s="295"/>
      <c r="X958" s="618"/>
      <c r="AA958" s="295"/>
      <c r="AH958" s="295"/>
      <c r="AO958" s="295"/>
    </row>
    <row r="959" spans="2:41" ht="13">
      <c r="B959" s="294"/>
      <c r="F959" s="296"/>
      <c r="J959" s="302"/>
      <c r="P959" s="618"/>
      <c r="Q959" s="618"/>
      <c r="R959" s="618"/>
      <c r="T959" s="295"/>
      <c r="X959" s="618"/>
      <c r="AA959" s="295"/>
      <c r="AH959" s="295"/>
      <c r="AO959" s="295"/>
    </row>
    <row r="960" spans="2:41" ht="13">
      <c r="B960" s="294"/>
      <c r="F960" s="296"/>
      <c r="J960" s="302"/>
      <c r="P960" s="618"/>
      <c r="Q960" s="618"/>
      <c r="R960" s="618"/>
      <c r="T960" s="295"/>
      <c r="X960" s="618"/>
      <c r="AA960" s="295"/>
      <c r="AH960" s="295"/>
      <c r="AO960" s="295"/>
    </row>
    <row r="961" spans="2:41" ht="13">
      <c r="B961" s="294"/>
      <c r="F961" s="296"/>
      <c r="J961" s="302"/>
      <c r="P961" s="618"/>
      <c r="Q961" s="618"/>
      <c r="R961" s="618"/>
      <c r="T961" s="295"/>
      <c r="X961" s="618"/>
      <c r="AA961" s="295"/>
      <c r="AH961" s="295"/>
      <c r="AO961" s="295"/>
    </row>
    <row r="962" spans="2:41" ht="13">
      <c r="B962" s="294"/>
      <c r="F962" s="296"/>
      <c r="J962" s="302"/>
      <c r="P962" s="618"/>
      <c r="Q962" s="618"/>
      <c r="R962" s="618"/>
      <c r="T962" s="295"/>
      <c r="X962" s="618"/>
      <c r="AA962" s="295"/>
      <c r="AH962" s="295"/>
      <c r="AO962" s="295"/>
    </row>
    <row r="963" spans="2:41" ht="13">
      <c r="B963" s="294"/>
      <c r="F963" s="296"/>
      <c r="J963" s="302"/>
      <c r="P963" s="618"/>
      <c r="Q963" s="618"/>
      <c r="R963" s="618"/>
      <c r="T963" s="295"/>
      <c r="X963" s="618"/>
      <c r="AA963" s="295"/>
      <c r="AH963" s="295"/>
      <c r="AO963" s="295"/>
    </row>
    <row r="964" spans="2:41" ht="13">
      <c r="B964" s="294"/>
      <c r="F964" s="296"/>
      <c r="J964" s="302"/>
      <c r="P964" s="618"/>
      <c r="Q964" s="618"/>
      <c r="R964" s="618"/>
      <c r="T964" s="295"/>
      <c r="X964" s="618"/>
      <c r="AA964" s="295"/>
      <c r="AH964" s="295"/>
      <c r="AO964" s="295"/>
    </row>
    <row r="965" spans="2:41" ht="13">
      <c r="B965" s="294"/>
      <c r="F965" s="296"/>
      <c r="J965" s="302"/>
      <c r="P965" s="618"/>
      <c r="Q965" s="618"/>
      <c r="R965" s="618"/>
      <c r="T965" s="295"/>
      <c r="X965" s="618"/>
      <c r="AA965" s="295"/>
      <c r="AH965" s="295"/>
      <c r="AO965" s="295"/>
    </row>
    <row r="966" spans="2:41" ht="13">
      <c r="B966" s="294"/>
      <c r="F966" s="296"/>
      <c r="J966" s="302"/>
      <c r="P966" s="618"/>
      <c r="Q966" s="618"/>
      <c r="R966" s="618"/>
      <c r="T966" s="295"/>
      <c r="X966" s="618"/>
      <c r="AA966" s="295"/>
      <c r="AH966" s="295"/>
      <c r="AO966" s="295"/>
    </row>
    <row r="967" spans="2:41" ht="13">
      <c r="B967" s="294"/>
      <c r="F967" s="296"/>
      <c r="J967" s="302"/>
      <c r="P967" s="618"/>
      <c r="Q967" s="618"/>
      <c r="R967" s="618"/>
      <c r="T967" s="295"/>
      <c r="X967" s="618"/>
      <c r="AA967" s="295"/>
      <c r="AH967" s="295"/>
      <c r="AO967" s="295"/>
    </row>
    <row r="968" spans="2:41" ht="13">
      <c r="B968" s="294"/>
      <c r="F968" s="296"/>
      <c r="J968" s="302"/>
      <c r="P968" s="618"/>
      <c r="Q968" s="618"/>
      <c r="R968" s="618"/>
      <c r="T968" s="295"/>
      <c r="X968" s="618"/>
      <c r="AA968" s="295"/>
      <c r="AH968" s="295"/>
      <c r="AO968" s="295"/>
    </row>
    <row r="969" spans="2:41" ht="13">
      <c r="B969" s="294"/>
      <c r="F969" s="296"/>
      <c r="J969" s="302"/>
      <c r="P969" s="618"/>
      <c r="Q969" s="618"/>
      <c r="R969" s="618"/>
      <c r="T969" s="295"/>
      <c r="X969" s="618"/>
      <c r="AA969" s="295"/>
      <c r="AH969" s="295"/>
      <c r="AO969" s="295"/>
    </row>
    <row r="970" spans="2:41" ht="13">
      <c r="B970" s="294"/>
      <c r="F970" s="296"/>
      <c r="J970" s="302"/>
      <c r="P970" s="618"/>
      <c r="Q970" s="618"/>
      <c r="R970" s="618"/>
      <c r="T970" s="295"/>
      <c r="X970" s="618"/>
      <c r="AA970" s="295"/>
      <c r="AH970" s="295"/>
      <c r="AO970" s="295"/>
    </row>
    <row r="971" spans="2:41" ht="13">
      <c r="B971" s="294"/>
      <c r="F971" s="296"/>
      <c r="J971" s="302"/>
      <c r="P971" s="618"/>
      <c r="Q971" s="618"/>
      <c r="R971" s="618"/>
      <c r="T971" s="295"/>
      <c r="X971" s="618"/>
      <c r="AA971" s="295"/>
      <c r="AH971" s="295"/>
      <c r="AO971" s="295"/>
    </row>
    <row r="972" spans="2:41" ht="13">
      <c r="B972" s="294"/>
      <c r="F972" s="296"/>
      <c r="J972" s="302"/>
      <c r="P972" s="618"/>
      <c r="Q972" s="618"/>
      <c r="R972" s="618"/>
      <c r="T972" s="295"/>
      <c r="X972" s="618"/>
      <c r="AA972" s="295"/>
      <c r="AH972" s="295"/>
      <c r="AO972" s="295"/>
    </row>
    <row r="973" spans="2:41" ht="13">
      <c r="B973" s="294"/>
      <c r="F973" s="296"/>
      <c r="J973" s="302"/>
      <c r="P973" s="618"/>
      <c r="Q973" s="618"/>
      <c r="R973" s="618"/>
      <c r="T973" s="295"/>
      <c r="X973" s="618"/>
      <c r="AA973" s="295"/>
      <c r="AH973" s="295"/>
      <c r="AO973" s="295"/>
    </row>
    <row r="974" spans="2:41" ht="13">
      <c r="B974" s="294"/>
      <c r="F974" s="296"/>
      <c r="J974" s="302"/>
      <c r="P974" s="618"/>
      <c r="Q974" s="618"/>
      <c r="R974" s="618"/>
      <c r="T974" s="295"/>
      <c r="X974" s="618"/>
      <c r="AA974" s="295"/>
      <c r="AH974" s="295"/>
      <c r="AO974" s="295"/>
    </row>
    <row r="975" spans="2:41" ht="13">
      <c r="B975" s="294"/>
      <c r="F975" s="296"/>
      <c r="J975" s="302"/>
      <c r="P975" s="618"/>
      <c r="Q975" s="618"/>
      <c r="R975" s="618"/>
      <c r="T975" s="295"/>
      <c r="X975" s="618"/>
      <c r="AA975" s="295"/>
      <c r="AH975" s="295"/>
      <c r="AO975" s="295"/>
    </row>
    <row r="976" spans="2:41" ht="13">
      <c r="B976" s="294"/>
      <c r="F976" s="296"/>
      <c r="J976" s="302"/>
      <c r="P976" s="618"/>
      <c r="Q976" s="618"/>
      <c r="R976" s="618"/>
      <c r="T976" s="295"/>
      <c r="X976" s="618"/>
      <c r="AA976" s="295"/>
      <c r="AH976" s="295"/>
      <c r="AO976" s="295"/>
    </row>
    <row r="977" spans="2:41" ht="13">
      <c r="B977" s="294"/>
      <c r="F977" s="296"/>
      <c r="J977" s="302"/>
      <c r="P977" s="618"/>
      <c r="Q977" s="618"/>
      <c r="R977" s="618"/>
      <c r="T977" s="295"/>
      <c r="X977" s="618"/>
      <c r="AA977" s="295"/>
      <c r="AH977" s="295"/>
      <c r="AO977" s="295"/>
    </row>
    <row r="978" spans="2:41" ht="13">
      <c r="B978" s="294"/>
      <c r="F978" s="296"/>
      <c r="J978" s="302"/>
      <c r="P978" s="618"/>
      <c r="Q978" s="618"/>
      <c r="R978" s="618"/>
      <c r="T978" s="295"/>
      <c r="X978" s="618"/>
      <c r="AA978" s="295"/>
      <c r="AH978" s="295"/>
      <c r="AO978" s="295"/>
    </row>
    <row r="979" spans="2:41" ht="13">
      <c r="B979" s="294"/>
      <c r="F979" s="296"/>
      <c r="J979" s="302"/>
      <c r="P979" s="618"/>
      <c r="Q979" s="618"/>
      <c r="R979" s="618"/>
      <c r="T979" s="295"/>
      <c r="X979" s="618"/>
      <c r="AA979" s="295"/>
      <c r="AH979" s="295"/>
      <c r="AO979" s="295"/>
    </row>
    <row r="980" spans="2:41" ht="13">
      <c r="B980" s="294"/>
      <c r="F980" s="296"/>
      <c r="J980" s="302"/>
      <c r="P980" s="618"/>
      <c r="Q980" s="618"/>
      <c r="R980" s="618"/>
      <c r="T980" s="295"/>
      <c r="X980" s="618"/>
      <c r="AA980" s="295"/>
      <c r="AH980" s="295"/>
      <c r="AO980" s="295"/>
    </row>
    <row r="981" spans="2:41" ht="13">
      <c r="B981" s="294"/>
      <c r="F981" s="296"/>
      <c r="J981" s="302"/>
      <c r="P981" s="618"/>
      <c r="Q981" s="618"/>
      <c r="R981" s="618"/>
      <c r="T981" s="295"/>
      <c r="X981" s="618"/>
      <c r="AA981" s="295"/>
      <c r="AH981" s="295"/>
      <c r="AO981" s="295"/>
    </row>
    <row r="982" spans="2:41" ht="13">
      <c r="B982" s="294"/>
      <c r="F982" s="296"/>
      <c r="J982" s="302"/>
      <c r="P982" s="618"/>
      <c r="Q982" s="618"/>
      <c r="R982" s="618"/>
      <c r="T982" s="295"/>
      <c r="X982" s="618"/>
      <c r="AA982" s="295"/>
      <c r="AH982" s="295"/>
      <c r="AO982" s="295"/>
    </row>
    <row r="983" spans="2:41" ht="13">
      <c r="B983" s="294"/>
      <c r="F983" s="296"/>
      <c r="J983" s="302"/>
      <c r="P983" s="618"/>
      <c r="Q983" s="618"/>
      <c r="R983" s="618"/>
      <c r="T983" s="295"/>
      <c r="X983" s="618"/>
      <c r="AA983" s="295"/>
      <c r="AH983" s="295"/>
      <c r="AO983" s="295"/>
    </row>
    <row r="984" spans="2:41" ht="13">
      <c r="B984" s="294"/>
      <c r="F984" s="296"/>
      <c r="J984" s="302"/>
      <c r="P984" s="618"/>
      <c r="Q984" s="618"/>
      <c r="R984" s="618"/>
      <c r="T984" s="295"/>
      <c r="X984" s="618"/>
      <c r="AA984" s="295"/>
      <c r="AH984" s="295"/>
      <c r="AO984" s="295"/>
    </row>
    <row r="985" spans="2:41" ht="13">
      <c r="B985" s="294"/>
      <c r="F985" s="296"/>
      <c r="J985" s="302"/>
      <c r="P985" s="618"/>
      <c r="Q985" s="618"/>
      <c r="R985" s="618"/>
      <c r="T985" s="295"/>
      <c r="X985" s="618"/>
      <c r="AA985" s="295"/>
      <c r="AH985" s="295"/>
      <c r="AO985" s="295"/>
    </row>
    <row r="986" spans="2:41" ht="13">
      <c r="B986" s="294"/>
      <c r="F986" s="296"/>
      <c r="J986" s="302"/>
      <c r="P986" s="618"/>
      <c r="Q986" s="618"/>
      <c r="R986" s="618"/>
      <c r="T986" s="295"/>
      <c r="X986" s="618"/>
      <c r="AA986" s="295"/>
      <c r="AH986" s="295"/>
      <c r="AO986" s="295"/>
    </row>
    <row r="987" spans="2:41" ht="13">
      <c r="B987" s="294"/>
      <c r="F987" s="296"/>
      <c r="J987" s="302"/>
      <c r="P987" s="618"/>
      <c r="Q987" s="618"/>
      <c r="R987" s="618"/>
      <c r="T987" s="295"/>
      <c r="X987" s="618"/>
      <c r="AA987" s="295"/>
      <c r="AH987" s="295"/>
      <c r="AO987" s="295"/>
    </row>
    <row r="988" spans="2:41" ht="13">
      <c r="B988" s="294"/>
      <c r="F988" s="296"/>
      <c r="J988" s="302"/>
      <c r="P988" s="618"/>
      <c r="Q988" s="618"/>
      <c r="R988" s="618"/>
      <c r="T988" s="295"/>
      <c r="X988" s="618"/>
      <c r="AA988" s="295"/>
      <c r="AH988" s="295"/>
      <c r="AO988" s="295"/>
    </row>
    <row r="989" spans="2:41" ht="13">
      <c r="B989" s="294"/>
      <c r="F989" s="296"/>
      <c r="J989" s="302"/>
      <c r="P989" s="618"/>
      <c r="Q989" s="618"/>
      <c r="R989" s="618"/>
      <c r="T989" s="295"/>
      <c r="X989" s="618"/>
      <c r="AA989" s="295"/>
      <c r="AH989" s="295"/>
      <c r="AO989" s="295"/>
    </row>
    <row r="990" spans="2:41" ht="13">
      <c r="B990" s="294"/>
      <c r="F990" s="296"/>
      <c r="J990" s="302"/>
      <c r="P990" s="618"/>
      <c r="Q990" s="618"/>
      <c r="R990" s="618"/>
      <c r="T990" s="295"/>
      <c r="X990" s="618"/>
      <c r="AA990" s="295"/>
      <c r="AH990" s="295"/>
      <c r="AO990" s="295"/>
    </row>
    <row r="991" spans="2:41" ht="13">
      <c r="B991" s="294"/>
      <c r="F991" s="296"/>
      <c r="J991" s="302"/>
      <c r="P991" s="618"/>
      <c r="Q991" s="618"/>
      <c r="R991" s="618"/>
      <c r="T991" s="295"/>
      <c r="X991" s="618"/>
      <c r="AA991" s="295"/>
      <c r="AH991" s="295"/>
      <c r="AO991" s="295"/>
    </row>
    <row r="992" spans="2:41" ht="13">
      <c r="B992" s="294"/>
      <c r="F992" s="296"/>
      <c r="J992" s="302"/>
      <c r="P992" s="618"/>
      <c r="Q992" s="618"/>
      <c r="R992" s="618"/>
      <c r="T992" s="295"/>
      <c r="X992" s="618"/>
      <c r="AA992" s="295"/>
      <c r="AH992" s="295"/>
      <c r="AO992" s="295"/>
    </row>
    <row r="993" spans="2:41" ht="13">
      <c r="B993" s="294"/>
      <c r="F993" s="296"/>
      <c r="J993" s="302"/>
      <c r="P993" s="618"/>
      <c r="Q993" s="618"/>
      <c r="R993" s="618"/>
      <c r="T993" s="295"/>
      <c r="X993" s="618"/>
      <c r="AA993" s="295"/>
      <c r="AH993" s="295"/>
      <c r="AO993" s="295"/>
    </row>
    <row r="994" spans="2:41" ht="13">
      <c r="B994" s="294"/>
      <c r="F994" s="296"/>
      <c r="J994" s="302"/>
      <c r="P994" s="618"/>
      <c r="Q994" s="618"/>
      <c r="R994" s="618"/>
      <c r="T994" s="295"/>
      <c r="X994" s="618"/>
      <c r="AA994" s="295"/>
      <c r="AH994" s="295"/>
      <c r="AO994" s="295"/>
    </row>
  </sheetData>
  <conditionalFormatting sqref="C1 G1">
    <cfRule type="cellIs" dxfId="219" priority="2" operator="equal">
      <formula>"10%"</formula>
    </cfRule>
    <cfRule type="cellIs" dxfId="218" priority="3" operator="equal">
      <formula>"12%"</formula>
    </cfRule>
    <cfRule type="cellIs" dxfId="217" priority="4" operator="equal">
      <formula>"5%"</formula>
    </cfRule>
  </conditionalFormatting>
  <conditionalFormatting sqref="C1:C97 G1:G198 C103:C146">
    <cfRule type="cellIs" dxfId="216" priority="6" operator="equal">
      <formula>"15%"</formula>
    </cfRule>
    <cfRule type="cellIs" dxfId="215" priority="7" operator="equal">
      <formula>"12%"</formula>
    </cfRule>
    <cfRule type="cellIs" dxfId="214" priority="8" operator="equal">
      <formula>"5%"</formula>
    </cfRule>
    <cfRule type="cellIs" dxfId="213" priority="9" operator="equal">
      <formula>"10%"</formula>
    </cfRule>
  </conditionalFormatting>
  <conditionalFormatting sqref="G1 C1:C97 C103:C146">
    <cfRule type="cellIs" dxfId="212" priority="5" operator="equal">
      <formula>"18%"</formula>
    </cfRule>
  </conditionalFormatting>
  <conditionalFormatting sqref="K1:K994">
    <cfRule type="cellIs" dxfId="211" priority="44" operator="equal">
      <formula>"5%"</formula>
    </cfRule>
    <cfRule type="cellIs" dxfId="210" priority="43" operator="equal">
      <formula>"10%"</formula>
    </cfRule>
    <cfRule type="cellIs" dxfId="209" priority="42" operator="equal">
      <formula>"15%"</formula>
    </cfRule>
  </conditionalFormatting>
  <conditionalFormatting sqref="M1">
    <cfRule type="containsText" dxfId="208" priority="1" operator="containsText" text="/">
      <formula>NOT(ISERROR(SEARCH(("/"),(M1))))</formula>
    </cfRule>
  </conditionalFormatting>
  <conditionalFormatting sqref="S1:S97 Z1:Z97 AG1:AG97 AN1:AN97 S99:S994 Z99:Z994 AG99:AG994 AN99:AN994">
    <cfRule type="cellIs" dxfId="207" priority="13" operator="lessThan">
      <formula>0</formula>
    </cfRule>
  </conditionalFormatting>
  <conditionalFormatting sqref="T1:T97 AA1:AA97 AH1:AH97 AO1:AO994 T99:T994 AA99:AA994 AH99:AH994">
    <cfRule type="cellIs" dxfId="206" priority="12" operator="lessThan">
      <formula>"100%"</formula>
    </cfRule>
    <cfRule type="cellIs" dxfId="205" priority="10" operator="greaterThanOrEqual">
      <formula>"100%"</formula>
    </cfRule>
    <cfRule type="cellIs" dxfId="204" priority="11" operator="lessThan">
      <formula>"90%"</formula>
    </cfRule>
  </conditionalFormatting>
  <conditionalFormatting sqref="AQ2:AQ15 AU2:AU15 AY2:AY15 BI2:BI15 AQ104:AQ106 AU104:AU106 AY104:AY106 BI104:BI106 AQ133:AQ134 AU133:AU134 AY133:AY134 BI133:BI134">
    <cfRule type="cellIs" dxfId="203" priority="17" operator="lessThan">
      <formula>4000000</formula>
    </cfRule>
    <cfRule type="cellIs" dxfId="202" priority="18" operator="greaterThanOrEqual">
      <formula>4000000</formula>
    </cfRule>
  </conditionalFormatting>
  <conditionalFormatting sqref="AQ16:AQ40 AU16:AU40 AY16:AY40 BI16:BI40 AQ43:AQ56 AU43:AU56 AY43:AY56 BI43:BI56 AQ107:AQ108 AU107:AU108 AY107:AY108 BI107:BI108 AQ113:AQ132 AU113:AU132 AY113:AY132 BI113:BI132">
    <cfRule type="cellIs" dxfId="201" priority="19" operator="lessThan">
      <formula>1200000</formula>
    </cfRule>
    <cfRule type="cellIs" dxfId="200" priority="20" operator="lessThan">
      <formula>1500000</formula>
    </cfRule>
    <cfRule type="cellIs" dxfId="199" priority="21" operator="greaterThanOrEqual">
      <formula>1500000</formula>
    </cfRule>
  </conditionalFormatting>
  <conditionalFormatting sqref="BB2:BB15 BB104:BB106 BB133:BB134">
    <cfRule type="cellIs" dxfId="198" priority="23" operator="greaterThanOrEqual">
      <formula>15000000</formula>
    </cfRule>
    <cfRule type="cellIs" dxfId="197" priority="22" operator="lessThan">
      <formula>12000000</formula>
    </cfRule>
  </conditionalFormatting>
  <conditionalFormatting sqref="BB16:BB40 BB43:BB56 BB107:BB108 BB113:BB132">
    <cfRule type="cellIs" dxfId="196" priority="24" operator="lessThan">
      <formula>3600000</formula>
    </cfRule>
    <cfRule type="cellIs" dxfId="195" priority="25" operator="lessThan">
      <formula>4500000</formula>
    </cfRule>
    <cfRule type="cellIs" dxfId="194" priority="26" operator="greaterThanOrEqual">
      <formula>4500000</formula>
    </cfRule>
  </conditionalFormatting>
  <conditionalFormatting sqref="BD2:BD97 BG2:BG97 BK2:BK97 BD104:BD134 BG104:BG134 BK104:BK134 BD136 BG136 BK136">
    <cfRule type="cellIs" dxfId="193" priority="16" operator="lessThan">
      <formula>0</formula>
    </cfRule>
    <cfRule type="cellIs" dxfId="192" priority="15" operator="equal">
      <formula>0</formula>
    </cfRule>
  </conditionalFormatting>
  <conditionalFormatting sqref="BI2:BO97 BI104:BO134">
    <cfRule type="containsBlanks" dxfId="191" priority="27">
      <formula>LEN(TRIM(BI2))=0</formula>
    </cfRule>
    <cfRule type="cellIs" dxfId="190" priority="28" operator="equal">
      <formula>0</formula>
    </cfRule>
  </conditionalFormatting>
  <conditionalFormatting sqref="BK2:BK15 BK104:BK106 BK133:BK134">
    <cfRule type="cellIs" dxfId="189" priority="30" operator="lessThan">
      <formula>5000000</formula>
    </cfRule>
    <cfRule type="cellIs" dxfId="188" priority="31" operator="greaterThan">
      <formula>5000000</formula>
    </cfRule>
    <cfRule type="cellIs" dxfId="187" priority="29" operator="lessThan">
      <formula>4000000</formula>
    </cfRule>
  </conditionalFormatting>
  <conditionalFormatting sqref="BM9:BO38 BM40:BO40 BM106:BO106 BM123:BO132">
    <cfRule type="cellIs" dxfId="186" priority="40" operator="lessThan">
      <formula>1500000</formula>
    </cfRule>
    <cfRule type="cellIs" dxfId="185" priority="41" operator="greaterThanOrEqual">
      <formula>1500000</formula>
    </cfRule>
  </conditionalFormatting>
  <conditionalFormatting sqref="BM2:BS8 BM104:BS105 BM133:BS134">
    <cfRule type="cellIs" dxfId="184" priority="32" operator="greaterThanOrEqual">
      <formula>5000000</formula>
    </cfRule>
    <cfRule type="cellIs" dxfId="183" priority="33" operator="lessThan">
      <formula>5000000</formula>
    </cfRule>
  </conditionalFormatting>
  <conditionalFormatting sqref="BQ9:BS38 BQ40:BS40 BQ106:BS106 BQ123:BS132">
    <cfRule type="cellIs" dxfId="182" priority="36" operator="greaterThanOrEqual">
      <formula>1500000</formula>
    </cfRule>
    <cfRule type="cellIs" dxfId="181" priority="37" operator="lessThan">
      <formula>1500000</formula>
    </cfRule>
  </conditionalFormatting>
  <conditionalFormatting sqref="BT2:BV8 BT104:BV105 BT133:BV134">
    <cfRule type="cellIs" dxfId="180" priority="34" operator="greaterThanOrEqual">
      <formula>15000000</formula>
    </cfRule>
    <cfRule type="cellIs" dxfId="179" priority="35" operator="lessThan">
      <formula>15000000</formula>
    </cfRule>
  </conditionalFormatting>
  <conditionalFormatting sqref="BT9:BV38 BT40:BV40 BT106:BV106 BT123:BV132">
    <cfRule type="cellIs" dxfId="178" priority="38" operator="greaterThanOrEqual">
      <formula>4500000</formula>
    </cfRule>
    <cfRule type="cellIs" dxfId="177" priority="39" operator="lessThan">
      <formula>4500000</formula>
    </cfRule>
  </conditionalFormatting>
  <conditionalFormatting sqref="CV1:CV183 M134:M135 M140:M145 CV185:CV200 CV202:CV272 CV274:CV356 CV358:CV994">
    <cfRule type="containsText" dxfId="176" priority="14" operator="containsText" text="benigni luis">
      <formula>NOT(ISERROR(SEARCH(("benigni luis"),(CV1))))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  <pageSetUpPr fitToPage="1"/>
  </sheetPr>
  <dimension ref="A1:DK1050"/>
  <sheetViews>
    <sheetView showGridLines="0" topLeftCell="B1" workbookViewId="0"/>
  </sheetViews>
  <sheetFormatPr baseColWidth="10" defaultColWidth="12.6640625" defaultRowHeight="15.75" customHeight="1"/>
  <cols>
    <col min="1" max="1" width="10.6640625" hidden="1" customWidth="1"/>
    <col min="2" max="12" width="5.1640625" customWidth="1"/>
    <col min="13" max="13" width="35.83203125" customWidth="1"/>
    <col min="14" max="14" width="15.6640625" hidden="1" customWidth="1"/>
    <col min="15" max="15" width="12.6640625" hidden="1"/>
    <col min="16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0.6640625" hidden="1" customWidth="1"/>
    <col min="65" max="65" width="10.6640625" customWidth="1"/>
    <col min="66" max="66" width="10.6640625" hidden="1" customWidth="1"/>
    <col min="67" max="67" width="10.6640625" customWidth="1"/>
    <col min="68" max="68" width="10.6640625" hidden="1" customWidth="1"/>
    <col min="69" max="69" width="10.6640625" customWidth="1"/>
    <col min="70" max="70" width="10.6640625" hidden="1" customWidth="1"/>
    <col min="71" max="72" width="10.6640625" customWidth="1"/>
    <col min="73" max="73" width="10.6640625" hidden="1" customWidth="1"/>
    <col min="74" max="74" width="10.6640625" customWidth="1"/>
    <col min="75" max="75" width="10.6640625" hidden="1" customWidth="1"/>
    <col min="76" max="76" width="10.6640625" customWidth="1"/>
    <col min="77" max="77" width="10.6640625" hidden="1" customWidth="1"/>
    <col min="78" max="78" width="10.6640625" customWidth="1"/>
    <col min="79" max="80" width="10.6640625" hidden="1" customWidth="1"/>
    <col min="84" max="96" width="10.1640625" customWidth="1"/>
    <col min="100" max="100" width="22.1640625" customWidth="1"/>
  </cols>
  <sheetData>
    <row r="1" spans="1:115" ht="42">
      <c r="A1" s="1146" t="s">
        <v>19</v>
      </c>
      <c r="B1" s="513" t="s">
        <v>20</v>
      </c>
      <c r="C1" s="514" t="s">
        <v>21</v>
      </c>
      <c r="D1" s="514" t="s">
        <v>22</v>
      </c>
      <c r="E1" s="515" t="s">
        <v>23</v>
      </c>
      <c r="F1" s="929" t="s">
        <v>20</v>
      </c>
      <c r="G1" s="930" t="s">
        <v>21</v>
      </c>
      <c r="H1" s="930" t="s">
        <v>22</v>
      </c>
      <c r="I1" s="820" t="s">
        <v>23</v>
      </c>
      <c r="J1" s="931" t="s">
        <v>20</v>
      </c>
      <c r="K1" s="932" t="s">
        <v>21</v>
      </c>
      <c r="L1" s="1147" t="s">
        <v>22</v>
      </c>
      <c r="M1" s="1148" t="s">
        <v>24</v>
      </c>
      <c r="N1" s="1149">
        <v>45681</v>
      </c>
      <c r="O1" s="1150" t="s">
        <v>989</v>
      </c>
      <c r="P1" s="78" t="s">
        <v>26</v>
      </c>
      <c r="Q1" s="79" t="s">
        <v>27</v>
      </c>
      <c r="R1" s="518" t="s">
        <v>28</v>
      </c>
      <c r="S1" s="519" t="s">
        <v>29</v>
      </c>
      <c r="T1" s="520" t="s">
        <v>30</v>
      </c>
      <c r="U1" s="1149">
        <v>45712</v>
      </c>
      <c r="V1" s="1150" t="s">
        <v>990</v>
      </c>
      <c r="W1" s="78" t="s">
        <v>26</v>
      </c>
      <c r="X1" s="79" t="s">
        <v>27</v>
      </c>
      <c r="Y1" s="518" t="s">
        <v>831</v>
      </c>
      <c r="Z1" s="519" t="s">
        <v>29</v>
      </c>
      <c r="AA1" s="520" t="s">
        <v>30</v>
      </c>
      <c r="AB1" s="1149">
        <v>45740</v>
      </c>
      <c r="AC1" s="1150" t="s">
        <v>679</v>
      </c>
      <c r="AD1" s="78" t="s">
        <v>26</v>
      </c>
      <c r="AE1" s="79" t="s">
        <v>27</v>
      </c>
      <c r="AF1" s="518" t="s">
        <v>34</v>
      </c>
      <c r="AG1" s="519" t="s">
        <v>29</v>
      </c>
      <c r="AH1" s="520" t="s">
        <v>30</v>
      </c>
      <c r="AI1" s="1151" t="s">
        <v>35</v>
      </c>
      <c r="AJ1" s="528" t="s">
        <v>36</v>
      </c>
      <c r="AK1" s="523" t="s">
        <v>26</v>
      </c>
      <c r="AL1" s="79" t="s">
        <v>27</v>
      </c>
      <c r="AM1" s="524" t="s">
        <v>41</v>
      </c>
      <c r="AN1" s="525" t="s">
        <v>29</v>
      </c>
      <c r="AO1" s="520" t="s">
        <v>30</v>
      </c>
      <c r="AP1" s="535">
        <v>45771</v>
      </c>
      <c r="AQ1" s="78" t="s">
        <v>26</v>
      </c>
      <c r="AR1" s="79" t="s">
        <v>27</v>
      </c>
      <c r="AS1" s="518" t="s">
        <v>38</v>
      </c>
      <c r="AT1" s="1152">
        <v>45801</v>
      </c>
      <c r="AU1" s="78" t="s">
        <v>26</v>
      </c>
      <c r="AV1" s="79" t="s">
        <v>27</v>
      </c>
      <c r="AW1" s="518" t="s">
        <v>39</v>
      </c>
      <c r="AX1" s="521">
        <v>45832</v>
      </c>
      <c r="AY1" s="78" t="s">
        <v>26</v>
      </c>
      <c r="AZ1" s="79" t="s">
        <v>27</v>
      </c>
      <c r="BA1" s="529" t="s">
        <v>40</v>
      </c>
      <c r="BB1" s="530" t="s">
        <v>26</v>
      </c>
      <c r="BC1" s="531" t="s">
        <v>27</v>
      </c>
      <c r="BD1" s="532" t="s">
        <v>41</v>
      </c>
      <c r="BE1" s="1153" t="s">
        <v>26</v>
      </c>
      <c r="BF1" s="1154" t="s">
        <v>27</v>
      </c>
      <c r="BG1" s="534" t="s">
        <v>42</v>
      </c>
      <c r="BH1" s="1155">
        <v>45862</v>
      </c>
      <c r="BI1" s="78" t="s">
        <v>26</v>
      </c>
      <c r="BJ1" s="79" t="s">
        <v>27</v>
      </c>
      <c r="BK1" s="518" t="s">
        <v>43</v>
      </c>
      <c r="BL1" s="77">
        <v>45893</v>
      </c>
      <c r="BM1" s="78" t="s">
        <v>26</v>
      </c>
      <c r="BN1" s="79" t="s">
        <v>27</v>
      </c>
      <c r="BO1" s="1156" t="s">
        <v>1124</v>
      </c>
      <c r="BP1" s="81">
        <v>45924</v>
      </c>
      <c r="BQ1" s="78" t="s">
        <v>26</v>
      </c>
      <c r="BR1" s="79" t="s">
        <v>27</v>
      </c>
      <c r="BS1" s="1157" t="s">
        <v>499</v>
      </c>
      <c r="BT1" s="78" t="s">
        <v>26</v>
      </c>
      <c r="BU1" s="79" t="s">
        <v>27</v>
      </c>
      <c r="BV1" s="1156" t="s">
        <v>41</v>
      </c>
      <c r="BW1" s="77">
        <v>45954</v>
      </c>
      <c r="BX1" s="78" t="s">
        <v>26</v>
      </c>
      <c r="BY1" s="79" t="s">
        <v>27</v>
      </c>
      <c r="BZ1" s="1156" t="s">
        <v>48</v>
      </c>
      <c r="CA1" s="81">
        <v>45985</v>
      </c>
      <c r="CB1" s="536">
        <v>46015</v>
      </c>
      <c r="CC1" s="82"/>
      <c r="CD1" s="82"/>
      <c r="CE1" s="539" t="s">
        <v>250</v>
      </c>
      <c r="CF1" s="540" t="s">
        <v>51</v>
      </c>
      <c r="CG1" s="541" t="s">
        <v>52</v>
      </c>
      <c r="CH1" s="542" t="s">
        <v>1125</v>
      </c>
      <c r="CI1" s="542" t="s">
        <v>1126</v>
      </c>
      <c r="CJ1" s="1158">
        <v>45800</v>
      </c>
      <c r="CK1" s="1159" t="s">
        <v>1127</v>
      </c>
      <c r="CL1" s="542" t="s">
        <v>991</v>
      </c>
      <c r="CM1" s="541" t="s">
        <v>836</v>
      </c>
      <c r="CN1" s="542" t="s">
        <v>1128</v>
      </c>
      <c r="CO1" s="1158">
        <v>45939</v>
      </c>
      <c r="CP1" s="1160" t="s">
        <v>1129</v>
      </c>
      <c r="CQ1" s="834" t="s">
        <v>1130</v>
      </c>
      <c r="CR1" s="1161" t="s">
        <v>1131</v>
      </c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</row>
    <row r="2" spans="1:115" ht="13">
      <c r="A2" s="1162">
        <f t="shared" ref="A2:A33" si="0">VLOOKUP(M2,MARCART4,3,FALSE)</f>
        <v>112012420</v>
      </c>
      <c r="B2" s="547" t="e">
        <f t="shared" ref="B2:B33" si="1">VLOOKUP(M2,MARUCACARTERA,2,FALSE)</f>
        <v>#N/A</v>
      </c>
      <c r="C2" s="699" t="str">
        <f t="shared" ref="C2:C33" si="2">IFERROR(VLOOKUP(B2,DES,2,FALSE),"")</f>
        <v/>
      </c>
      <c r="D2" s="699" t="str">
        <f t="shared" ref="D2:D33" si="3">IFERROR(VLOOKUP(B2,DES,3,FALSE),"")</f>
        <v/>
      </c>
      <c r="E2" s="702" t="str">
        <f t="shared" ref="E2:E33" si="4">IFERROR(VLOOKUP(B2,DES,4,FALSE),"")</f>
        <v/>
      </c>
      <c r="F2" s="936" t="e">
        <f t="shared" ref="F2:F33" si="5">VLOOKUP(M2,MARUCART2,2,FALSE)</f>
        <v>#N/A</v>
      </c>
      <c r="G2" s="699" t="str">
        <f t="shared" ref="G2:G33" si="6">IFERROR(VLOOKUP(F2,DES,2,FALSE),"")</f>
        <v/>
      </c>
      <c r="H2" s="699" t="str">
        <f t="shared" ref="H2:H33" si="7">IFERROR(VLOOKUP(F2,DES,3,FALSE),"")</f>
        <v/>
      </c>
      <c r="I2" s="702" t="str">
        <f t="shared" ref="I2:I33" si="8">IFERROR(VLOOKUP(F2,DES,4,FALSE),"")</f>
        <v/>
      </c>
      <c r="J2" s="837">
        <f t="shared" ref="J2:J33" si="9">VLOOKUP(M2,MARCART4,2,FALSE)</f>
        <v>53</v>
      </c>
      <c r="K2" s="699">
        <f t="shared" ref="K2:K33" si="10">VLOOKUP(J2,A458DC1025,2,FALSE)</f>
        <v>0.15</v>
      </c>
      <c r="L2" s="700">
        <f t="shared" ref="L2:L33" si="11">VLOOKUP(J2,A458DC1025,3,FALSE)</f>
        <v>0.14000000000000001</v>
      </c>
      <c r="M2" s="1163" t="s">
        <v>1113</v>
      </c>
      <c r="N2" s="1164" t="str">
        <f t="shared" ref="N2:N17" si="12">IFERROR(VLOOKUP(M2,MARUCA24,3,FALSE),"")</f>
        <v/>
      </c>
      <c r="O2" s="121" t="e">
        <f t="shared" ref="O2:O3" si="13">(N2*1.601)*1.05</f>
        <v>#VALUE!</v>
      </c>
      <c r="P2" s="101" t="e">
        <f t="shared" ref="P2:P58" si="14">R2-Q2</f>
        <v>#VALUE!</v>
      </c>
      <c r="Q2" s="549" t="str">
        <f t="shared" ref="Q2:Q33" si="15">IFERROR(VLOOKUP(M2,MARUCAALIM,3,FALSE),"")</f>
        <v/>
      </c>
      <c r="R2" s="1165" t="str">
        <f t="shared" ref="R2:R33" si="16">IFERROR(VLOOKUP(M2,MARUFC,3,FALSE),"")</f>
        <v/>
      </c>
      <c r="S2" s="114"/>
      <c r="T2" s="116"/>
      <c r="U2" s="116" t="str">
        <f t="shared" ref="U2:U17" si="17">IFERROR(VLOOKUP(M2,MARUCA24,4,FALSE),"")</f>
        <v/>
      </c>
      <c r="V2" s="121" t="e">
        <f>(U2*1.7245)*1.03</f>
        <v>#VALUE!</v>
      </c>
      <c r="W2" s="101" t="e">
        <f t="shared" ref="W2:W58" si="18">Y2-X2</f>
        <v>#VALUE!</v>
      </c>
      <c r="X2" s="549" t="str">
        <f t="shared" ref="X2:X33" si="19">IFERROR(VLOOKUP(M2,MARUCAALIM,4,FALSE),"")</f>
        <v/>
      </c>
      <c r="Y2" s="1165" t="str">
        <f t="shared" ref="Y2:Y33" si="20">IFERROR(VLOOKUP(M2,MARUFC,4,FALSE),"")</f>
        <v/>
      </c>
      <c r="Z2" s="114"/>
      <c r="AA2" s="116"/>
      <c r="AB2" s="116" t="str">
        <f t="shared" ref="AB2:AB17" si="21">IFERROR(VLOOKUP(M2,MARUCA24,5,FALSE),"")</f>
        <v/>
      </c>
      <c r="AC2" s="121" t="e">
        <f>(AB2*1.5955)*1.03</f>
        <v>#VALUE!</v>
      </c>
      <c r="AD2" s="101" t="e">
        <f t="shared" ref="AD2:AD58" si="22">AF2-AE2</f>
        <v>#VALUE!</v>
      </c>
      <c r="AE2" s="549" t="str">
        <f t="shared" ref="AE2:AE33" si="23">IFERROR(VLOOKUP(M2,MARUCAALIM,5,FALSE),"")</f>
        <v/>
      </c>
      <c r="AF2" s="1165" t="str">
        <f t="shared" ref="AF2:AF33" si="24">IFERROR(VLOOKUP(M2,MARUFC,5,FALSE),"")</f>
        <v/>
      </c>
      <c r="AG2" s="114"/>
      <c r="AH2" s="116"/>
      <c r="AI2" s="121" t="e">
        <f t="shared" ref="AI2:AI17" si="25">SUM(O2,V2,AC2)</f>
        <v>#VALUE!</v>
      </c>
      <c r="AJ2" s="113">
        <f t="shared" ref="AJ2:AJ33" si="26">IFERROR(VLOOKUP(M2,trim2024,2,FALSE),"0")</f>
        <v>13259583.35</v>
      </c>
      <c r="AK2" s="116" t="e">
        <f t="shared" ref="AK2:AM2" si="27">AD2+W2+P2</f>
        <v>#VALUE!</v>
      </c>
      <c r="AL2" s="116" t="e">
        <f t="shared" si="27"/>
        <v>#VALUE!</v>
      </c>
      <c r="AM2" s="116" t="e">
        <f t="shared" si="27"/>
        <v>#VALUE!</v>
      </c>
      <c r="AN2" s="116" t="e">
        <f t="shared" ref="AN2:AN58" si="28">AM2-AJ2</f>
        <v>#VALUE!</v>
      </c>
      <c r="AO2" s="413" t="e">
        <f t="shared" ref="AO2:AO3" si="29">AM2/AJ2</f>
        <v>#VALUE!</v>
      </c>
      <c r="AP2" s="100" t="str">
        <f t="shared" ref="AP2:AP17" si="30">IFERROR(VLOOKUP(M2,MARUCA24,6,FALSE),"")</f>
        <v/>
      </c>
      <c r="AQ2" s="116" t="e">
        <f t="shared" ref="AQ2:AQ58" si="31">AS2-AR2</f>
        <v>#VALUE!</v>
      </c>
      <c r="AR2" s="269" t="str">
        <f t="shared" ref="AR2:AR33" si="32">IFERROR(VLOOKUP(M2,MARUCAALIM,6,FALSE),"")</f>
        <v/>
      </c>
      <c r="AS2" s="114" t="str">
        <f t="shared" ref="AS2:AS33" si="33">IFERROR(VLOOKUP(M2,MARUFC,6,FALSE),"")</f>
        <v/>
      </c>
      <c r="AT2" s="121" t="str">
        <f t="shared" ref="AT2:AT17" si="34">IFERROR(VLOOKUP(M2,MARUCA24,7,FALSE),"")</f>
        <v/>
      </c>
      <c r="AU2" s="113" t="e">
        <f t="shared" ref="AU2:AU58" si="35">AW2-AV2</f>
        <v>#VALUE!</v>
      </c>
      <c r="AV2" s="116" t="str">
        <f t="shared" ref="AV2:AV33" si="36">IFERROR(VLOOKUP(M2,MARUCAALIM,7,FALSE),"")</f>
        <v/>
      </c>
      <c r="AW2" s="117" t="str">
        <f t="shared" ref="AW2:AW33" si="37">IFERROR(VLOOKUP(M2,MARUFC,7,FALSE),"")</f>
        <v/>
      </c>
      <c r="AX2" s="114" t="str">
        <f t="shared" ref="AX2:AX17" si="38">IFERROR(VLOOKUP(M2,MARUCA24,8,FALSE),"")</f>
        <v/>
      </c>
      <c r="AY2" s="114" t="e">
        <f t="shared" ref="AY2:AY58" si="39">BA2-AZ2</f>
        <v>#VALUE!</v>
      </c>
      <c r="AZ2" s="114" t="str">
        <f t="shared" ref="AZ2:AZ33" si="40">IFERROR(VLOOKUP(M2,MARUCAALIM,8,FALSE),"")</f>
        <v/>
      </c>
      <c r="BA2" s="100" t="str">
        <f t="shared" ref="BA2:BA33" si="41">IFERROR(VLOOKUP(M2,MARUFC,8,FALSE),"")</f>
        <v/>
      </c>
      <c r="BB2" s="120" t="e">
        <f t="shared" ref="BB2:BD2" si="42">SUM(AQ2,AU2,AY2)</f>
        <v>#VALUE!</v>
      </c>
      <c r="BC2" s="116">
        <f t="shared" si="42"/>
        <v>0</v>
      </c>
      <c r="BD2" s="117">
        <f t="shared" si="42"/>
        <v>0</v>
      </c>
      <c r="BE2" s="100" t="e">
        <f t="shared" ref="BE2:BE58" si="43">SUM(BB2,AK2)</f>
        <v>#VALUE!</v>
      </c>
      <c r="BF2" s="116" t="e">
        <f t="shared" ref="BF2:BG2" si="44">BC2+AL2</f>
        <v>#VALUE!</v>
      </c>
      <c r="BG2" s="119" t="e">
        <f t="shared" si="44"/>
        <v>#VALUE!</v>
      </c>
      <c r="BH2" s="100" t="str">
        <f t="shared" ref="BH2:BH17" si="45">IFERROR(VLOOKUP(M2,MARUCA24,9,FALSE),"")</f>
        <v/>
      </c>
      <c r="BI2" s="1166" t="e">
        <f t="shared" ref="BI2:BI58" si="46">BK2-BJ2</f>
        <v>#VALUE!</v>
      </c>
      <c r="BJ2" s="116" t="str">
        <f t="shared" ref="BJ2:BJ33" si="47">IFERROR(VLOOKUP(M2,MARUCAALIM,9,FALSE),"")</f>
        <v/>
      </c>
      <c r="BK2" s="1167" t="str">
        <f t="shared" ref="BK2:BK33" si="48">IFERROR(VLOOKUP(M2,MARUFC,9,FALSE),"")</f>
        <v/>
      </c>
      <c r="BL2" s="125" t="str">
        <f t="shared" ref="BL2:BL17" si="49">IFERROR(VLOOKUP(M2,MARUCA24,10,FALSE),"")</f>
        <v/>
      </c>
      <c r="BM2" s="140" t="e">
        <f t="shared" ref="BM2:BM58" si="50">BO2-BN2</f>
        <v>#VALUE!</v>
      </c>
      <c r="BN2" s="123" t="str">
        <f t="shared" ref="BN2:BN33" si="51">IFERROR(VLOOKUP(M2,MARUCAALIM,10,FALSE),"")</f>
        <v/>
      </c>
      <c r="BO2" s="148" t="str">
        <f t="shared" ref="BO2:BO33" si="52">IFERROR(VLOOKUP(M2,MARUFC,10,FALSE),"")</f>
        <v/>
      </c>
      <c r="BP2" s="123" t="str">
        <f t="shared" ref="BP2:BP17" si="53">IFERROR(VLOOKUP(M2,MARUCA24,11,FALSE),"")</f>
        <v/>
      </c>
      <c r="BQ2" s="123" t="e">
        <f t="shared" ref="BQ2:BQ58" si="54">BS2-BR2</f>
        <v>#VALUE!</v>
      </c>
      <c r="BR2" s="123" t="str">
        <f t="shared" ref="BR2:BR33" si="55">IFERROR(VLOOKUP(M2,MARUCAALIM,11,FALSE),"")</f>
        <v/>
      </c>
      <c r="BS2" s="125" t="str">
        <f t="shared" ref="BS2:BS33" si="56">IFERROR(VLOOKUP(M2,MARUFC,11,FALSE),"")</f>
        <v/>
      </c>
      <c r="BT2" s="586" t="e">
        <f t="shared" ref="BT2:BV2" si="57">SUM(BQ2,BM2,BI2)</f>
        <v>#VALUE!</v>
      </c>
      <c r="BU2" s="1168">
        <f t="shared" si="57"/>
        <v>0</v>
      </c>
      <c r="BV2" s="1067">
        <f t="shared" si="57"/>
        <v>0</v>
      </c>
      <c r="BW2" s="125" t="str">
        <f t="shared" ref="BW2:BW17" si="58">IFERROR(VLOOKUP(M2,MARUCA24,12,FALSE),"")</f>
        <v/>
      </c>
      <c r="BX2" s="140" t="e">
        <f t="shared" ref="BX2:BX58" si="59">BZ2-BY2</f>
        <v>#VALUE!</v>
      </c>
      <c r="BY2" s="123" t="str">
        <f t="shared" ref="BY2:BY33" si="60">IFERROR(VLOOKUP(M2,MARUCAALIM,12,FALSE),"")</f>
        <v/>
      </c>
      <c r="BZ2" s="148" t="str">
        <f t="shared" ref="BZ2:BZ33" si="61">IFERROR(VLOOKUP(M2,MARUFC,12,FALSE),"")</f>
        <v/>
      </c>
      <c r="CA2" s="123" t="str">
        <f t="shared" ref="CA2:CA17" si="62">IFERROR(VLOOKUP(M2,MARUCA24,13,FALSE),"")</f>
        <v/>
      </c>
      <c r="CB2" s="326" t="str">
        <f t="shared" ref="CB2:CB17" si="63">IFERROR(VLOOKUP(M2,MARUCA24,14,FALSE),"")</f>
        <v/>
      </c>
      <c r="CE2" s="554"/>
      <c r="CF2" s="1169"/>
      <c r="CG2" s="1170"/>
      <c r="CH2" s="428"/>
      <c r="CI2" s="428"/>
      <c r="CJ2" s="428"/>
      <c r="CK2" s="1171"/>
      <c r="CL2" s="428"/>
      <c r="CM2" s="427"/>
      <c r="CN2" s="428"/>
      <c r="CO2" s="710"/>
      <c r="CP2" s="1172"/>
      <c r="CQ2" s="1172"/>
      <c r="CR2" s="1169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</row>
    <row r="3" spans="1:115" ht="13">
      <c r="A3" s="788">
        <f t="shared" si="0"/>
        <v>112013647</v>
      </c>
      <c r="B3" s="636">
        <f t="shared" si="1"/>
        <v>14</v>
      </c>
      <c r="C3" s="558">
        <f t="shared" si="2"/>
        <v>0.15</v>
      </c>
      <c r="D3" s="558">
        <f t="shared" si="3"/>
        <v>0.2</v>
      </c>
      <c r="E3" s="559">
        <f t="shared" si="4"/>
        <v>0.23</v>
      </c>
      <c r="F3" s="836">
        <f t="shared" si="5"/>
        <v>14</v>
      </c>
      <c r="G3" s="558">
        <f t="shared" si="6"/>
        <v>0.15</v>
      </c>
      <c r="H3" s="558">
        <f t="shared" si="7"/>
        <v>0.2</v>
      </c>
      <c r="I3" s="559">
        <f t="shared" si="8"/>
        <v>0.23</v>
      </c>
      <c r="J3" s="837">
        <f t="shared" si="9"/>
        <v>54</v>
      </c>
      <c r="K3" s="558">
        <f t="shared" si="10"/>
        <v>0.15</v>
      </c>
      <c r="L3" s="715">
        <f t="shared" si="11"/>
        <v>0.11</v>
      </c>
      <c r="M3" s="1173" t="s">
        <v>1132</v>
      </c>
      <c r="N3" s="1174">
        <f t="shared" si="12"/>
        <v>5191982.2300000004</v>
      </c>
      <c r="O3" s="332">
        <f t="shared" si="13"/>
        <v>8727981.7277415004</v>
      </c>
      <c r="P3" s="173">
        <f t="shared" si="14"/>
        <v>443033.24</v>
      </c>
      <c r="Q3" s="326">
        <f t="shared" si="15"/>
        <v>181705.26</v>
      </c>
      <c r="R3" s="333">
        <f t="shared" si="16"/>
        <v>624738.5</v>
      </c>
      <c r="S3" s="123"/>
      <c r="T3" s="326"/>
      <c r="U3" s="326">
        <f t="shared" si="17"/>
        <v>5372316.6500000004</v>
      </c>
      <c r="V3" s="332">
        <v>8000000</v>
      </c>
      <c r="W3" s="173">
        <f t="shared" si="18"/>
        <v>798046.58000000007</v>
      </c>
      <c r="X3" s="561">
        <f t="shared" si="19"/>
        <v>218873.84</v>
      </c>
      <c r="Y3" s="1112">
        <f t="shared" si="20"/>
        <v>1016920.42</v>
      </c>
      <c r="Z3" s="123"/>
      <c r="AA3" s="326"/>
      <c r="AB3" s="326">
        <f t="shared" si="21"/>
        <v>1749662.11</v>
      </c>
      <c r="AC3" s="332">
        <v>3000000</v>
      </c>
      <c r="AD3" s="173">
        <f t="shared" si="22"/>
        <v>806314.22</v>
      </c>
      <c r="AE3" s="561">
        <f t="shared" si="23"/>
        <v>179627.14</v>
      </c>
      <c r="AF3" s="1112">
        <f t="shared" si="24"/>
        <v>985941.36</v>
      </c>
      <c r="AG3" s="123"/>
      <c r="AH3" s="326"/>
      <c r="AI3" s="332">
        <f t="shared" si="25"/>
        <v>19727981.727741502</v>
      </c>
      <c r="AJ3" s="140">
        <f t="shared" si="26"/>
        <v>13482104.199999999</v>
      </c>
      <c r="AK3" s="326">
        <f t="shared" ref="AK3:AM3" si="64">AD3+W3+P3</f>
        <v>2047394.04</v>
      </c>
      <c r="AL3" s="326">
        <f t="shared" si="64"/>
        <v>580206.24</v>
      </c>
      <c r="AM3" s="326">
        <f t="shared" si="64"/>
        <v>2627600.2800000003</v>
      </c>
      <c r="AN3" s="326">
        <f t="shared" si="28"/>
        <v>-10854503.919999998</v>
      </c>
      <c r="AO3" s="98">
        <f t="shared" si="29"/>
        <v>0.19489541402595006</v>
      </c>
      <c r="AP3" s="125">
        <f t="shared" si="30"/>
        <v>2624418.16</v>
      </c>
      <c r="AQ3" s="326">
        <f t="shared" si="31"/>
        <v>772536.77</v>
      </c>
      <c r="AR3" s="326">
        <f t="shared" si="32"/>
        <v>42375.360000000001</v>
      </c>
      <c r="AS3" s="123">
        <f t="shared" si="33"/>
        <v>814912.13</v>
      </c>
      <c r="AT3" s="332">
        <f t="shared" si="34"/>
        <v>2316975.2999999998</v>
      </c>
      <c r="AU3" s="140">
        <f t="shared" si="35"/>
        <v>207853.96</v>
      </c>
      <c r="AV3" s="326">
        <f t="shared" si="36"/>
        <v>234101.92</v>
      </c>
      <c r="AW3" s="333">
        <f t="shared" si="37"/>
        <v>441955.88</v>
      </c>
      <c r="AX3" s="123">
        <f t="shared" si="38"/>
        <v>4310654.91</v>
      </c>
      <c r="AY3" s="123">
        <f t="shared" si="39"/>
        <v>729625.07000000007</v>
      </c>
      <c r="AZ3" s="123">
        <f t="shared" si="40"/>
        <v>272575.8</v>
      </c>
      <c r="BA3" s="125">
        <f t="shared" si="41"/>
        <v>1002200.87</v>
      </c>
      <c r="BB3" s="1175">
        <f t="shared" ref="BB3:BD3" si="65">SUM(AQ3,AU3,AY3)</f>
        <v>1710015.8</v>
      </c>
      <c r="BC3" s="326">
        <f t="shared" si="65"/>
        <v>549053.08000000007</v>
      </c>
      <c r="BD3" s="333">
        <f t="shared" si="65"/>
        <v>2259068.88</v>
      </c>
      <c r="BE3" s="100">
        <f t="shared" si="43"/>
        <v>3757409.84</v>
      </c>
      <c r="BF3" s="116">
        <f t="shared" ref="BF3:BG3" si="66">BC3+AL3</f>
        <v>1129259.32</v>
      </c>
      <c r="BG3" s="119">
        <f t="shared" si="66"/>
        <v>4886669.16</v>
      </c>
      <c r="BH3" s="125">
        <f t="shared" si="45"/>
        <v>4800321.3600000003</v>
      </c>
      <c r="BI3" s="1041">
        <f t="shared" si="46"/>
        <v>921170.27999999991</v>
      </c>
      <c r="BJ3" s="326">
        <f t="shared" si="47"/>
        <v>320247.14</v>
      </c>
      <c r="BK3" s="1045">
        <f t="shared" si="48"/>
        <v>1241417.42</v>
      </c>
      <c r="BL3" s="125">
        <f t="shared" si="49"/>
        <v>5667067.9699999997</v>
      </c>
      <c r="BM3" s="140">
        <f t="shared" si="50"/>
        <v>1659875.24</v>
      </c>
      <c r="BN3" s="123">
        <f t="shared" si="51"/>
        <v>338650.18</v>
      </c>
      <c r="BO3" s="148">
        <f t="shared" si="52"/>
        <v>1998525.42</v>
      </c>
      <c r="BP3" s="123">
        <f t="shared" si="53"/>
        <v>1093659.29</v>
      </c>
      <c r="BQ3" s="123">
        <f t="shared" si="54"/>
        <v>980014.59</v>
      </c>
      <c r="BR3" s="123">
        <f t="shared" si="55"/>
        <v>398659.64</v>
      </c>
      <c r="BS3" s="125">
        <f t="shared" si="56"/>
        <v>1378674.23</v>
      </c>
      <c r="BT3" s="586">
        <f t="shared" ref="BT3:BV3" si="67">SUM(BQ3,BM3,BI3)</f>
        <v>3561060.11</v>
      </c>
      <c r="BU3" s="1168">
        <f t="shared" si="67"/>
        <v>1057556.96</v>
      </c>
      <c r="BV3" s="1067">
        <f t="shared" si="67"/>
        <v>4618617.07</v>
      </c>
      <c r="BW3" s="125">
        <f t="shared" si="58"/>
        <v>9827319.4199999999</v>
      </c>
      <c r="BX3" s="140">
        <f t="shared" si="59"/>
        <v>187590.86</v>
      </c>
      <c r="BY3" s="123">
        <f t="shared" si="60"/>
        <v>357111.12</v>
      </c>
      <c r="BZ3" s="148">
        <f t="shared" si="61"/>
        <v>544701.98</v>
      </c>
      <c r="CA3" s="123">
        <f t="shared" si="62"/>
        <v>2405719.02</v>
      </c>
      <c r="CB3" s="326">
        <f t="shared" si="63"/>
        <v>1249065.75</v>
      </c>
      <c r="CE3" s="438">
        <v>0.15</v>
      </c>
      <c r="CF3" s="443">
        <v>4</v>
      </c>
      <c r="CG3" s="440">
        <v>3</v>
      </c>
      <c r="CH3" s="719">
        <v>2</v>
      </c>
      <c r="CI3" s="441">
        <v>2</v>
      </c>
      <c r="CJ3" s="441">
        <v>2</v>
      </c>
      <c r="CK3" s="1176">
        <v>2</v>
      </c>
      <c r="CL3" s="441">
        <v>2</v>
      </c>
      <c r="CM3" s="440">
        <v>2</v>
      </c>
      <c r="CN3" s="441">
        <v>2</v>
      </c>
      <c r="CO3" s="441">
        <v>2</v>
      </c>
      <c r="CP3" s="153">
        <v>2</v>
      </c>
      <c r="CQ3" s="153">
        <v>2</v>
      </c>
      <c r="CR3" s="443">
        <v>4</v>
      </c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</row>
    <row r="4" spans="1:115" ht="13">
      <c r="A4" s="788">
        <f t="shared" si="0"/>
        <v>112011195</v>
      </c>
      <c r="B4" s="636" t="e">
        <f t="shared" si="1"/>
        <v>#N/A</v>
      </c>
      <c r="C4" s="558" t="str">
        <f t="shared" si="2"/>
        <v/>
      </c>
      <c r="D4" s="558" t="str">
        <f t="shared" si="3"/>
        <v/>
      </c>
      <c r="E4" s="559" t="str">
        <f t="shared" si="4"/>
        <v/>
      </c>
      <c r="F4" s="836" t="e">
        <f t="shared" si="5"/>
        <v>#N/A</v>
      </c>
      <c r="G4" s="558" t="str">
        <f t="shared" si="6"/>
        <v/>
      </c>
      <c r="H4" s="558" t="str">
        <f t="shared" si="7"/>
        <v/>
      </c>
      <c r="I4" s="559" t="str">
        <f t="shared" si="8"/>
        <v/>
      </c>
      <c r="J4" s="837">
        <f t="shared" si="9"/>
        <v>54</v>
      </c>
      <c r="K4" s="558">
        <f t="shared" si="10"/>
        <v>0.15</v>
      </c>
      <c r="L4" s="715">
        <f t="shared" si="11"/>
        <v>0.11</v>
      </c>
      <c r="M4" s="1173" t="s">
        <v>494</v>
      </c>
      <c r="N4" s="1174" t="str">
        <f t="shared" si="12"/>
        <v/>
      </c>
      <c r="O4" s="1177">
        <v>1800000</v>
      </c>
      <c r="P4" s="173" t="e">
        <f t="shared" si="14"/>
        <v>#VALUE!</v>
      </c>
      <c r="Q4" s="561" t="str">
        <f t="shared" si="15"/>
        <v/>
      </c>
      <c r="R4" s="1112" t="str">
        <f t="shared" si="16"/>
        <v/>
      </c>
      <c r="S4" s="1178"/>
      <c r="T4" s="975"/>
      <c r="U4" s="326" t="str">
        <f t="shared" si="17"/>
        <v/>
      </c>
      <c r="V4" s="1177">
        <v>1800000</v>
      </c>
      <c r="W4" s="173" t="e">
        <f t="shared" si="18"/>
        <v>#VALUE!</v>
      </c>
      <c r="X4" s="561" t="str">
        <f t="shared" si="19"/>
        <v/>
      </c>
      <c r="Y4" s="1112" t="str">
        <f t="shared" si="20"/>
        <v/>
      </c>
      <c r="Z4" s="1178"/>
      <c r="AA4" s="975"/>
      <c r="AB4" s="326" t="str">
        <f t="shared" si="21"/>
        <v/>
      </c>
      <c r="AC4" s="1177">
        <v>1800000</v>
      </c>
      <c r="AD4" s="173" t="e">
        <f t="shared" si="22"/>
        <v>#VALUE!</v>
      </c>
      <c r="AE4" s="561" t="str">
        <f t="shared" si="23"/>
        <v/>
      </c>
      <c r="AF4" s="1112" t="str">
        <f t="shared" si="24"/>
        <v/>
      </c>
      <c r="AG4" s="1178"/>
      <c r="AH4" s="975"/>
      <c r="AI4" s="332">
        <f t="shared" si="25"/>
        <v>5400000</v>
      </c>
      <c r="AJ4" s="140">
        <f t="shared" si="26"/>
        <v>4042267.33</v>
      </c>
      <c r="AK4" s="326" t="e">
        <f t="shared" ref="AK4:AM4" si="68">AD4+W4+P4</f>
        <v>#VALUE!</v>
      </c>
      <c r="AL4" s="326" t="e">
        <f t="shared" si="68"/>
        <v>#VALUE!</v>
      </c>
      <c r="AM4" s="326" t="e">
        <f t="shared" si="68"/>
        <v>#VALUE!</v>
      </c>
      <c r="AN4" s="326" t="e">
        <f t="shared" si="28"/>
        <v>#VALUE!</v>
      </c>
      <c r="AO4" s="98" t="str">
        <f t="shared" ref="AO4:AO5" si="69">IFERROR(AM4/AJ4,"")</f>
        <v/>
      </c>
      <c r="AP4" s="125" t="str">
        <f t="shared" si="30"/>
        <v/>
      </c>
      <c r="AQ4" s="326" t="e">
        <f t="shared" si="31"/>
        <v>#VALUE!</v>
      </c>
      <c r="AR4" s="326" t="str">
        <f t="shared" si="32"/>
        <v/>
      </c>
      <c r="AS4" s="123" t="str">
        <f t="shared" si="33"/>
        <v/>
      </c>
      <c r="AT4" s="332" t="str">
        <f t="shared" si="34"/>
        <v/>
      </c>
      <c r="AU4" s="140" t="e">
        <f t="shared" si="35"/>
        <v>#VALUE!</v>
      </c>
      <c r="AV4" s="326" t="str">
        <f t="shared" si="36"/>
        <v/>
      </c>
      <c r="AW4" s="333" t="str">
        <f t="shared" si="37"/>
        <v/>
      </c>
      <c r="AX4" s="123" t="str">
        <f t="shared" si="38"/>
        <v/>
      </c>
      <c r="AY4" s="123" t="e">
        <f t="shared" si="39"/>
        <v>#VALUE!</v>
      </c>
      <c r="AZ4" s="123" t="str">
        <f t="shared" si="40"/>
        <v/>
      </c>
      <c r="BA4" s="125" t="str">
        <f t="shared" si="41"/>
        <v/>
      </c>
      <c r="BB4" s="1175" t="e">
        <f t="shared" ref="BB4:BD4" si="70">SUM(AQ4,AU4,AY4)</f>
        <v>#VALUE!</v>
      </c>
      <c r="BC4" s="326">
        <f t="shared" si="70"/>
        <v>0</v>
      </c>
      <c r="BD4" s="333">
        <f t="shared" si="70"/>
        <v>0</v>
      </c>
      <c r="BE4" s="100" t="e">
        <f t="shared" si="43"/>
        <v>#VALUE!</v>
      </c>
      <c r="BF4" s="116" t="e">
        <f t="shared" ref="BF4:BG4" si="71">BC4+AL4</f>
        <v>#VALUE!</v>
      </c>
      <c r="BG4" s="119" t="e">
        <f t="shared" si="71"/>
        <v>#VALUE!</v>
      </c>
      <c r="BH4" s="125" t="str">
        <f t="shared" si="45"/>
        <v/>
      </c>
      <c r="BI4" s="1041" t="e">
        <f t="shared" si="46"/>
        <v>#VALUE!</v>
      </c>
      <c r="BJ4" s="326" t="str">
        <f t="shared" si="47"/>
        <v/>
      </c>
      <c r="BK4" s="1045" t="str">
        <f t="shared" si="48"/>
        <v/>
      </c>
      <c r="BL4" s="125" t="str">
        <f t="shared" si="49"/>
        <v/>
      </c>
      <c r="BM4" s="140" t="e">
        <f t="shared" si="50"/>
        <v>#VALUE!</v>
      </c>
      <c r="BN4" s="123" t="str">
        <f t="shared" si="51"/>
        <v/>
      </c>
      <c r="BO4" s="148" t="str">
        <f t="shared" si="52"/>
        <v/>
      </c>
      <c r="BP4" s="123" t="str">
        <f t="shared" si="53"/>
        <v/>
      </c>
      <c r="BQ4" s="123" t="e">
        <f t="shared" si="54"/>
        <v>#VALUE!</v>
      </c>
      <c r="BR4" s="123" t="str">
        <f t="shared" si="55"/>
        <v/>
      </c>
      <c r="BS4" s="125" t="str">
        <f t="shared" si="56"/>
        <v/>
      </c>
      <c r="BT4" s="140" t="e">
        <f t="shared" ref="BT4:BV4" si="72">SUM(BQ4,BM4,BI4)</f>
        <v>#VALUE!</v>
      </c>
      <c r="BU4" s="123">
        <f t="shared" si="72"/>
        <v>0</v>
      </c>
      <c r="BV4" s="148">
        <f t="shared" si="72"/>
        <v>0</v>
      </c>
      <c r="BW4" s="125" t="str">
        <f t="shared" si="58"/>
        <v/>
      </c>
      <c r="BX4" s="140" t="e">
        <f t="shared" si="59"/>
        <v>#VALUE!</v>
      </c>
      <c r="BY4" s="123" t="str">
        <f t="shared" si="60"/>
        <v/>
      </c>
      <c r="BZ4" s="148" t="str">
        <f t="shared" si="61"/>
        <v/>
      </c>
      <c r="CA4" s="123" t="str">
        <f t="shared" si="62"/>
        <v/>
      </c>
      <c r="CB4" s="326" t="str">
        <f t="shared" si="63"/>
        <v/>
      </c>
      <c r="CE4" s="445">
        <v>0.12</v>
      </c>
      <c r="CF4" s="443"/>
      <c r="CG4" s="440">
        <v>2</v>
      </c>
      <c r="CH4" s="719"/>
      <c r="CI4" s="441"/>
      <c r="CJ4" s="441"/>
      <c r="CK4" s="1176"/>
      <c r="CL4" s="441"/>
      <c r="CM4" s="440"/>
      <c r="CN4" s="441"/>
      <c r="CO4" s="441"/>
      <c r="CP4" s="153"/>
      <c r="CQ4" s="153"/>
      <c r="CR4" s="443"/>
      <c r="CU4" s="294"/>
    </row>
    <row r="5" spans="1:115" ht="13">
      <c r="A5" s="788">
        <f t="shared" si="0"/>
        <v>112011304</v>
      </c>
      <c r="B5" s="636" t="e">
        <f t="shared" si="1"/>
        <v>#N/A</v>
      </c>
      <c r="C5" s="558" t="str">
        <f t="shared" si="2"/>
        <v/>
      </c>
      <c r="D5" s="558" t="str">
        <f t="shared" si="3"/>
        <v/>
      </c>
      <c r="E5" s="559" t="str">
        <f t="shared" si="4"/>
        <v/>
      </c>
      <c r="F5" s="836" t="e">
        <f t="shared" si="5"/>
        <v>#N/A</v>
      </c>
      <c r="G5" s="558" t="str">
        <f t="shared" si="6"/>
        <v/>
      </c>
      <c r="H5" s="558" t="str">
        <f t="shared" si="7"/>
        <v/>
      </c>
      <c r="I5" s="559" t="str">
        <f t="shared" si="8"/>
        <v/>
      </c>
      <c r="J5" s="837">
        <f t="shared" si="9"/>
        <v>55</v>
      </c>
      <c r="K5" s="558">
        <f t="shared" si="10"/>
        <v>0.15</v>
      </c>
      <c r="L5" s="715">
        <f t="shared" si="11"/>
        <v>0.05</v>
      </c>
      <c r="M5" s="1173" t="s">
        <v>1112</v>
      </c>
      <c r="N5" s="1174" t="str">
        <f t="shared" si="12"/>
        <v/>
      </c>
      <c r="O5" s="1177">
        <v>1800000</v>
      </c>
      <c r="P5" s="173" t="e">
        <f t="shared" si="14"/>
        <v>#VALUE!</v>
      </c>
      <c r="Q5" s="561" t="str">
        <f t="shared" si="15"/>
        <v/>
      </c>
      <c r="R5" s="1112" t="str">
        <f t="shared" si="16"/>
        <v/>
      </c>
      <c r="S5" s="1178"/>
      <c r="T5" s="975"/>
      <c r="U5" s="326" t="str">
        <f t="shared" si="17"/>
        <v/>
      </c>
      <c r="V5" s="1177">
        <v>1800000</v>
      </c>
      <c r="W5" s="173" t="e">
        <f t="shared" si="18"/>
        <v>#VALUE!</v>
      </c>
      <c r="X5" s="561" t="str">
        <f t="shared" si="19"/>
        <v/>
      </c>
      <c r="Y5" s="1112" t="str">
        <f t="shared" si="20"/>
        <v/>
      </c>
      <c r="Z5" s="1178"/>
      <c r="AA5" s="975"/>
      <c r="AB5" s="326" t="str">
        <f t="shared" si="21"/>
        <v/>
      </c>
      <c r="AC5" s="1177">
        <v>1800000</v>
      </c>
      <c r="AD5" s="173" t="e">
        <f t="shared" si="22"/>
        <v>#VALUE!</v>
      </c>
      <c r="AE5" s="561" t="str">
        <f t="shared" si="23"/>
        <v/>
      </c>
      <c r="AF5" s="1112" t="str">
        <f t="shared" si="24"/>
        <v/>
      </c>
      <c r="AG5" s="1178"/>
      <c r="AH5" s="975"/>
      <c r="AI5" s="332">
        <f t="shared" si="25"/>
        <v>5400000</v>
      </c>
      <c r="AJ5" s="140">
        <f t="shared" si="26"/>
        <v>16578127.27</v>
      </c>
      <c r="AK5" s="326" t="e">
        <f t="shared" ref="AK5:AM5" si="73">AD5+W5+P5</f>
        <v>#VALUE!</v>
      </c>
      <c r="AL5" s="326" t="e">
        <f t="shared" si="73"/>
        <v>#VALUE!</v>
      </c>
      <c r="AM5" s="326" t="e">
        <f t="shared" si="73"/>
        <v>#VALUE!</v>
      </c>
      <c r="AN5" s="326" t="e">
        <f t="shared" si="28"/>
        <v>#VALUE!</v>
      </c>
      <c r="AO5" s="98" t="str">
        <f t="shared" si="69"/>
        <v/>
      </c>
      <c r="AP5" s="125" t="str">
        <f t="shared" si="30"/>
        <v/>
      </c>
      <c r="AQ5" s="326" t="e">
        <f t="shared" si="31"/>
        <v>#VALUE!</v>
      </c>
      <c r="AR5" s="326" t="str">
        <f t="shared" si="32"/>
        <v/>
      </c>
      <c r="AS5" s="123" t="str">
        <f t="shared" si="33"/>
        <v/>
      </c>
      <c r="AT5" s="332" t="str">
        <f t="shared" si="34"/>
        <v/>
      </c>
      <c r="AU5" s="140" t="e">
        <f t="shared" si="35"/>
        <v>#VALUE!</v>
      </c>
      <c r="AV5" s="326" t="str">
        <f t="shared" si="36"/>
        <v/>
      </c>
      <c r="AW5" s="333" t="str">
        <f t="shared" si="37"/>
        <v/>
      </c>
      <c r="AX5" s="123" t="str">
        <f t="shared" si="38"/>
        <v/>
      </c>
      <c r="AY5" s="123" t="e">
        <f t="shared" si="39"/>
        <v>#VALUE!</v>
      </c>
      <c r="AZ5" s="123" t="str">
        <f t="shared" si="40"/>
        <v/>
      </c>
      <c r="BA5" s="125" t="str">
        <f t="shared" si="41"/>
        <v/>
      </c>
      <c r="BB5" s="1175" t="e">
        <f t="shared" ref="BB5:BD5" si="74">SUM(AQ5,AU5,AY5)</f>
        <v>#VALUE!</v>
      </c>
      <c r="BC5" s="326">
        <f t="shared" si="74"/>
        <v>0</v>
      </c>
      <c r="BD5" s="333">
        <f t="shared" si="74"/>
        <v>0</v>
      </c>
      <c r="BE5" s="100" t="e">
        <f t="shared" si="43"/>
        <v>#VALUE!</v>
      </c>
      <c r="BF5" s="116" t="e">
        <f t="shared" ref="BF5:BG5" si="75">BC5+AL5</f>
        <v>#VALUE!</v>
      </c>
      <c r="BG5" s="119" t="e">
        <f t="shared" si="75"/>
        <v>#VALUE!</v>
      </c>
      <c r="BH5" s="125" t="str">
        <f t="shared" si="45"/>
        <v/>
      </c>
      <c r="BI5" s="1041" t="e">
        <f t="shared" si="46"/>
        <v>#VALUE!</v>
      </c>
      <c r="BJ5" s="326" t="str">
        <f t="shared" si="47"/>
        <v/>
      </c>
      <c r="BK5" s="1045" t="str">
        <f t="shared" si="48"/>
        <v/>
      </c>
      <c r="BL5" s="125" t="str">
        <f t="shared" si="49"/>
        <v/>
      </c>
      <c r="BM5" s="140" t="e">
        <f t="shared" si="50"/>
        <v>#VALUE!</v>
      </c>
      <c r="BN5" s="123" t="str">
        <f t="shared" si="51"/>
        <v/>
      </c>
      <c r="BO5" s="148" t="str">
        <f t="shared" si="52"/>
        <v/>
      </c>
      <c r="BP5" s="123" t="str">
        <f t="shared" si="53"/>
        <v/>
      </c>
      <c r="BQ5" s="123" t="e">
        <f t="shared" si="54"/>
        <v>#VALUE!</v>
      </c>
      <c r="BR5" s="123" t="str">
        <f t="shared" si="55"/>
        <v/>
      </c>
      <c r="BS5" s="125" t="str">
        <f t="shared" si="56"/>
        <v/>
      </c>
      <c r="BT5" s="140" t="e">
        <f t="shared" ref="BT5:BV5" si="76">SUM(BQ5,BM5,BI5)</f>
        <v>#VALUE!</v>
      </c>
      <c r="BU5" s="123">
        <f t="shared" si="76"/>
        <v>0</v>
      </c>
      <c r="BV5" s="148">
        <f t="shared" si="76"/>
        <v>0</v>
      </c>
      <c r="BW5" s="125" t="str">
        <f t="shared" si="58"/>
        <v/>
      </c>
      <c r="BX5" s="140" t="e">
        <f t="shared" si="59"/>
        <v>#VALUE!</v>
      </c>
      <c r="BY5" s="123" t="str">
        <f t="shared" si="60"/>
        <v/>
      </c>
      <c r="BZ5" s="148" t="str">
        <f t="shared" si="61"/>
        <v/>
      </c>
      <c r="CA5" s="123" t="str">
        <f t="shared" si="62"/>
        <v/>
      </c>
      <c r="CB5" s="326" t="str">
        <f t="shared" si="63"/>
        <v/>
      </c>
      <c r="CE5" s="446">
        <v>0.1</v>
      </c>
      <c r="CF5" s="450">
        <v>20</v>
      </c>
      <c r="CG5" s="440">
        <v>26</v>
      </c>
      <c r="CH5" s="719">
        <v>25</v>
      </c>
      <c r="CI5" s="169">
        <v>25</v>
      </c>
      <c r="CJ5" s="169">
        <v>27</v>
      </c>
      <c r="CK5" s="1179">
        <v>27</v>
      </c>
      <c r="CL5" s="169">
        <v>27</v>
      </c>
      <c r="CM5" s="449">
        <v>15</v>
      </c>
      <c r="CN5" s="169">
        <v>15</v>
      </c>
      <c r="CO5" s="169">
        <v>15</v>
      </c>
      <c r="CP5" s="169">
        <v>15</v>
      </c>
      <c r="CQ5" s="169">
        <v>15</v>
      </c>
      <c r="CR5" s="450">
        <v>20</v>
      </c>
      <c r="CU5" s="294"/>
    </row>
    <row r="6" spans="1:115" ht="13">
      <c r="A6" s="788">
        <f t="shared" si="0"/>
        <v>112014268</v>
      </c>
      <c r="B6" s="636">
        <f t="shared" si="1"/>
        <v>22</v>
      </c>
      <c r="C6" s="558">
        <f t="shared" si="2"/>
        <v>0.1</v>
      </c>
      <c r="D6" s="558">
        <f t="shared" si="3"/>
        <v>0.09</v>
      </c>
      <c r="E6" s="559">
        <f t="shared" si="4"/>
        <v>0</v>
      </c>
      <c r="F6" s="836">
        <f t="shared" si="5"/>
        <v>22</v>
      </c>
      <c r="G6" s="558">
        <f t="shared" si="6"/>
        <v>0.1</v>
      </c>
      <c r="H6" s="558">
        <f t="shared" si="7"/>
        <v>0.09</v>
      </c>
      <c r="I6" s="559">
        <f t="shared" si="8"/>
        <v>0</v>
      </c>
      <c r="J6" s="837">
        <f t="shared" si="9"/>
        <v>63</v>
      </c>
      <c r="K6" s="558">
        <f t="shared" si="10"/>
        <v>0.1</v>
      </c>
      <c r="L6" s="715">
        <f t="shared" si="11"/>
        <v>0.05</v>
      </c>
      <c r="M6" s="1173" t="s">
        <v>1133</v>
      </c>
      <c r="N6" s="1174">
        <f t="shared" si="12"/>
        <v>0</v>
      </c>
      <c r="O6" s="860">
        <v>2500000</v>
      </c>
      <c r="P6" s="173" t="e">
        <f t="shared" si="14"/>
        <v>#VALUE!</v>
      </c>
      <c r="Q6" s="326" t="str">
        <f t="shared" si="15"/>
        <v/>
      </c>
      <c r="R6" s="333">
        <f t="shared" si="16"/>
        <v>1096177.82</v>
      </c>
      <c r="S6" s="123"/>
      <c r="T6" s="326"/>
      <c r="U6" s="326">
        <f t="shared" si="17"/>
        <v>0</v>
      </c>
      <c r="V6" s="332">
        <v>2500000</v>
      </c>
      <c r="W6" s="173" t="e">
        <f t="shared" si="18"/>
        <v>#VALUE!</v>
      </c>
      <c r="X6" s="561" t="str">
        <f t="shared" si="19"/>
        <v/>
      </c>
      <c r="Y6" s="1112">
        <f t="shared" si="20"/>
        <v>1015766.06</v>
      </c>
      <c r="Z6" s="123"/>
      <c r="AA6" s="326"/>
      <c r="AB6" s="326">
        <f t="shared" si="21"/>
        <v>331852.42</v>
      </c>
      <c r="AC6" s="332">
        <v>2500000</v>
      </c>
      <c r="AD6" s="173" t="e">
        <f t="shared" si="22"/>
        <v>#VALUE!</v>
      </c>
      <c r="AE6" s="561" t="str">
        <f t="shared" si="23"/>
        <v/>
      </c>
      <c r="AF6" s="1112">
        <f t="shared" si="24"/>
        <v>1476424.18</v>
      </c>
      <c r="AG6" s="114"/>
      <c r="AH6" s="116"/>
      <c r="AI6" s="121">
        <f t="shared" si="25"/>
        <v>7500000</v>
      </c>
      <c r="AJ6" s="140">
        <f t="shared" si="26"/>
        <v>2603650.9500000002</v>
      </c>
      <c r="AK6" s="326" t="e">
        <f t="shared" ref="AK6:AM6" si="77">AD6+W6+P6</f>
        <v>#VALUE!</v>
      </c>
      <c r="AL6" s="326" t="e">
        <f t="shared" si="77"/>
        <v>#VALUE!</v>
      </c>
      <c r="AM6" s="326">
        <f t="shared" si="77"/>
        <v>3588368.0600000005</v>
      </c>
      <c r="AN6" s="326">
        <f t="shared" si="28"/>
        <v>984717.11000000034</v>
      </c>
      <c r="AO6" s="98">
        <f>AM6/AJ6</f>
        <v>1.3782062683940028</v>
      </c>
      <c r="AP6" s="100">
        <f t="shared" si="30"/>
        <v>525383.24</v>
      </c>
      <c r="AQ6" s="326" t="e">
        <f t="shared" si="31"/>
        <v>#VALUE!</v>
      </c>
      <c r="AR6" s="326" t="str">
        <f t="shared" si="32"/>
        <v/>
      </c>
      <c r="AS6" s="123">
        <f t="shared" si="33"/>
        <v>711853.43</v>
      </c>
      <c r="AT6" s="332">
        <f t="shared" si="34"/>
        <v>192694.85</v>
      </c>
      <c r="AU6" s="140" t="e">
        <f t="shared" si="35"/>
        <v>#VALUE!</v>
      </c>
      <c r="AV6" s="326" t="str">
        <f t="shared" si="36"/>
        <v/>
      </c>
      <c r="AW6" s="333">
        <f t="shared" si="37"/>
        <v>598178.68999999994</v>
      </c>
      <c r="AX6" s="123">
        <f t="shared" si="38"/>
        <v>87460.79</v>
      </c>
      <c r="AY6" s="123" t="e">
        <f t="shared" si="39"/>
        <v>#VALUE!</v>
      </c>
      <c r="AZ6" s="123" t="str">
        <f t="shared" si="40"/>
        <v/>
      </c>
      <c r="BA6" s="125">
        <f t="shared" si="41"/>
        <v>875496.68</v>
      </c>
      <c r="BB6" s="1175" t="e">
        <f t="shared" ref="BB6:BD6" si="78">SUM(AQ6,AU6,AY6)</f>
        <v>#VALUE!</v>
      </c>
      <c r="BC6" s="326">
        <f t="shared" si="78"/>
        <v>0</v>
      </c>
      <c r="BD6" s="333">
        <f t="shared" si="78"/>
        <v>2185528.8000000003</v>
      </c>
      <c r="BE6" s="100" t="e">
        <f t="shared" si="43"/>
        <v>#VALUE!</v>
      </c>
      <c r="BF6" s="116" t="e">
        <f t="shared" ref="BF6:BG6" si="79">BC6+AL6</f>
        <v>#VALUE!</v>
      </c>
      <c r="BG6" s="119">
        <f t="shared" si="79"/>
        <v>5773896.8600000013</v>
      </c>
      <c r="BH6" s="125">
        <f t="shared" si="45"/>
        <v>640682.02</v>
      </c>
      <c r="BI6" s="1041" t="e">
        <f t="shared" si="46"/>
        <v>#VALUE!</v>
      </c>
      <c r="BJ6" s="326" t="str">
        <f t="shared" si="47"/>
        <v/>
      </c>
      <c r="BK6" s="1045">
        <f t="shared" si="48"/>
        <v>920773.65</v>
      </c>
      <c r="BL6" s="125">
        <f t="shared" si="49"/>
        <v>778897.67</v>
      </c>
      <c r="BM6" s="140" t="e">
        <f t="shared" si="50"/>
        <v>#VALUE!</v>
      </c>
      <c r="BN6" s="123" t="str">
        <f t="shared" si="51"/>
        <v/>
      </c>
      <c r="BO6" s="148">
        <f t="shared" si="52"/>
        <v>993993.04</v>
      </c>
      <c r="BP6" s="123">
        <f t="shared" si="53"/>
        <v>762146.3</v>
      </c>
      <c r="BQ6" s="123" t="e">
        <f t="shared" si="54"/>
        <v>#VALUE!</v>
      </c>
      <c r="BR6" s="123" t="str">
        <f t="shared" si="55"/>
        <v/>
      </c>
      <c r="BS6" s="125">
        <f t="shared" si="56"/>
        <v>823543.86</v>
      </c>
      <c r="BT6" s="586" t="e">
        <f t="shared" ref="BT6:BV6" si="80">SUM(BQ6,BM6,BI6)</f>
        <v>#VALUE!</v>
      </c>
      <c r="BU6" s="1168">
        <f t="shared" si="80"/>
        <v>0</v>
      </c>
      <c r="BV6" s="1067">
        <f t="shared" si="80"/>
        <v>2738310.55</v>
      </c>
      <c r="BW6" s="125">
        <f t="shared" si="58"/>
        <v>744736.91</v>
      </c>
      <c r="BX6" s="140" t="e">
        <f t="shared" si="59"/>
        <v>#VALUE!</v>
      </c>
      <c r="BY6" s="123" t="str">
        <f t="shared" si="60"/>
        <v/>
      </c>
      <c r="BZ6" s="148">
        <f t="shared" si="61"/>
        <v>1240316.8700000001</v>
      </c>
      <c r="CA6" s="123">
        <f t="shared" si="62"/>
        <v>854023.23</v>
      </c>
      <c r="CB6" s="326">
        <f t="shared" si="63"/>
        <v>1004890.81</v>
      </c>
      <c r="CE6" s="447">
        <v>0.05</v>
      </c>
      <c r="CF6" s="1180">
        <v>3</v>
      </c>
      <c r="CG6" s="449">
        <v>17</v>
      </c>
      <c r="CH6" s="723">
        <v>16</v>
      </c>
      <c r="CI6" s="169">
        <v>16</v>
      </c>
      <c r="CJ6" s="169">
        <v>16</v>
      </c>
      <c r="CK6" s="1179">
        <v>17</v>
      </c>
      <c r="CL6" s="169">
        <v>18</v>
      </c>
      <c r="CM6" s="449">
        <v>2</v>
      </c>
      <c r="CN6" s="169">
        <v>2</v>
      </c>
      <c r="CO6" s="169">
        <v>2</v>
      </c>
      <c r="CP6" s="1181">
        <v>2</v>
      </c>
      <c r="CQ6" s="1181">
        <v>2</v>
      </c>
      <c r="CR6" s="1180">
        <v>3</v>
      </c>
      <c r="CS6" s="136"/>
      <c r="CT6" s="136"/>
      <c r="CU6" s="136"/>
      <c r="CV6" s="136"/>
      <c r="CW6" s="136"/>
      <c r="CX6" s="136"/>
      <c r="CY6" s="136"/>
      <c r="CZ6" s="136"/>
      <c r="DA6" s="136"/>
      <c r="DB6" s="136"/>
      <c r="DC6" s="136"/>
      <c r="DD6" s="136"/>
      <c r="DE6" s="136"/>
      <c r="DF6" s="136"/>
      <c r="DG6" s="136"/>
      <c r="DH6" s="136"/>
      <c r="DI6" s="136"/>
      <c r="DJ6" s="136"/>
      <c r="DK6" s="136"/>
    </row>
    <row r="7" spans="1:115" ht="13">
      <c r="A7" s="788">
        <f t="shared" si="0"/>
        <v>112012408</v>
      </c>
      <c r="B7" s="636">
        <f t="shared" si="1"/>
        <v>40</v>
      </c>
      <c r="C7" s="558">
        <f t="shared" si="2"/>
        <v>0.1</v>
      </c>
      <c r="D7" s="558">
        <f t="shared" si="3"/>
        <v>0.26</v>
      </c>
      <c r="E7" s="559">
        <f t="shared" si="4"/>
        <v>0</v>
      </c>
      <c r="F7" s="836">
        <f t="shared" si="5"/>
        <v>40</v>
      </c>
      <c r="G7" s="558">
        <f t="shared" si="6"/>
        <v>0.1</v>
      </c>
      <c r="H7" s="558">
        <f t="shared" si="7"/>
        <v>0.26</v>
      </c>
      <c r="I7" s="559">
        <f t="shared" si="8"/>
        <v>0</v>
      </c>
      <c r="J7" s="837">
        <f t="shared" si="9"/>
        <v>60</v>
      </c>
      <c r="K7" s="558">
        <f t="shared" si="10"/>
        <v>0.1</v>
      </c>
      <c r="L7" s="715">
        <f t="shared" si="11"/>
        <v>0.17</v>
      </c>
      <c r="M7" s="1173" t="s">
        <v>1134</v>
      </c>
      <c r="N7" s="1174">
        <f t="shared" si="12"/>
        <v>5944591.1200000001</v>
      </c>
      <c r="O7" s="332">
        <f>(N7*1.601)*1.05</f>
        <v>9993154.902276</v>
      </c>
      <c r="P7" s="173">
        <f t="shared" si="14"/>
        <v>217476.89999999944</v>
      </c>
      <c r="Q7" s="561">
        <f t="shared" si="15"/>
        <v>4217862.1100000003</v>
      </c>
      <c r="R7" s="1112">
        <f t="shared" si="16"/>
        <v>4435339.01</v>
      </c>
      <c r="S7" s="123"/>
      <c r="T7" s="326"/>
      <c r="U7" s="326">
        <f t="shared" si="17"/>
        <v>5993881.9199999999</v>
      </c>
      <c r="V7" s="332">
        <f>(U7*1.7245)*1.03</f>
        <v>10646542.852171199</v>
      </c>
      <c r="W7" s="173">
        <f t="shared" si="18"/>
        <v>3692011.0600000005</v>
      </c>
      <c r="X7" s="561">
        <f t="shared" si="19"/>
        <v>8536616.0099999998</v>
      </c>
      <c r="Y7" s="1112">
        <f t="shared" si="20"/>
        <v>12228627.07</v>
      </c>
      <c r="Z7" s="123"/>
      <c r="AA7" s="326"/>
      <c r="AB7" s="326">
        <f t="shared" si="21"/>
        <v>6283148</v>
      </c>
      <c r="AC7" s="332">
        <f>(AB7*1.5955)*1.03</f>
        <v>10325505.513019999</v>
      </c>
      <c r="AD7" s="173">
        <f t="shared" si="22"/>
        <v>3292822.5500000003</v>
      </c>
      <c r="AE7" s="561">
        <f t="shared" si="23"/>
        <v>2897936.32</v>
      </c>
      <c r="AF7" s="1112">
        <f t="shared" si="24"/>
        <v>6190758.8700000001</v>
      </c>
      <c r="AG7" s="123"/>
      <c r="AH7" s="326"/>
      <c r="AI7" s="332">
        <f t="shared" si="25"/>
        <v>30965203.267467201</v>
      </c>
      <c r="AJ7" s="140">
        <f t="shared" si="26"/>
        <v>20552222.149999999</v>
      </c>
      <c r="AK7" s="326">
        <f t="shared" ref="AK7:AM7" si="81">AD7+W7+P7</f>
        <v>7202310.5100000007</v>
      </c>
      <c r="AL7" s="326">
        <f t="shared" si="81"/>
        <v>15652414.440000001</v>
      </c>
      <c r="AM7" s="326">
        <f t="shared" si="81"/>
        <v>22854724.950000003</v>
      </c>
      <c r="AN7" s="326">
        <f t="shared" si="28"/>
        <v>2302502.8000000045</v>
      </c>
      <c r="AO7" s="98">
        <f t="shared" ref="AO7:AO11" si="82">IFERROR(AM7/AJ7,"")</f>
        <v>1.1120318174451032</v>
      </c>
      <c r="AP7" s="125">
        <f t="shared" si="30"/>
        <v>7648200.3899999997</v>
      </c>
      <c r="AQ7" s="326">
        <f t="shared" si="31"/>
        <v>179781.59999999963</v>
      </c>
      <c r="AR7" s="326">
        <f t="shared" si="32"/>
        <v>10651520.16</v>
      </c>
      <c r="AS7" s="123">
        <f t="shared" si="33"/>
        <v>10831301.76</v>
      </c>
      <c r="AT7" s="332">
        <f t="shared" si="34"/>
        <v>2054534.4</v>
      </c>
      <c r="AU7" s="140">
        <f t="shared" si="35"/>
        <v>800259.83999999985</v>
      </c>
      <c r="AV7" s="326">
        <f t="shared" si="36"/>
        <v>4348051.67</v>
      </c>
      <c r="AW7" s="333">
        <f t="shared" si="37"/>
        <v>5148311.51</v>
      </c>
      <c r="AX7" s="123">
        <f t="shared" si="38"/>
        <v>2564683.71</v>
      </c>
      <c r="AY7" s="123">
        <f t="shared" si="39"/>
        <v>4866155.6700000018</v>
      </c>
      <c r="AZ7" s="123">
        <f t="shared" si="40"/>
        <v>11950161.949999999</v>
      </c>
      <c r="BA7" s="125">
        <f t="shared" si="41"/>
        <v>16816317.620000001</v>
      </c>
      <c r="BB7" s="1175">
        <f t="shared" ref="BB7:BD7" si="83">SUM(AQ7,AU7,AY7)</f>
        <v>5846197.1100000013</v>
      </c>
      <c r="BC7" s="326">
        <f t="shared" si="83"/>
        <v>26949733.780000001</v>
      </c>
      <c r="BD7" s="333">
        <f t="shared" si="83"/>
        <v>32795930.890000001</v>
      </c>
      <c r="BE7" s="100">
        <f t="shared" si="43"/>
        <v>13048507.620000001</v>
      </c>
      <c r="BF7" s="116">
        <f t="shared" ref="BF7:BG7" si="84">BC7+AL7</f>
        <v>42602148.219999999</v>
      </c>
      <c r="BG7" s="119">
        <f t="shared" si="84"/>
        <v>55650655.840000004</v>
      </c>
      <c r="BH7" s="125">
        <f t="shared" si="45"/>
        <v>11691796.08</v>
      </c>
      <c r="BI7" s="1041">
        <f t="shared" si="46"/>
        <v>1436483.4699999997</v>
      </c>
      <c r="BJ7" s="326">
        <f t="shared" si="47"/>
        <v>6109509.4900000002</v>
      </c>
      <c r="BK7" s="1045">
        <f t="shared" si="48"/>
        <v>7545992.96</v>
      </c>
      <c r="BL7" s="125">
        <f t="shared" si="49"/>
        <v>7625423.4400000004</v>
      </c>
      <c r="BM7" s="140">
        <f t="shared" si="50"/>
        <v>2955393.76</v>
      </c>
      <c r="BN7" s="123">
        <f t="shared" si="51"/>
        <v>14770280.51</v>
      </c>
      <c r="BO7" s="148">
        <f t="shared" si="52"/>
        <v>17725674.27</v>
      </c>
      <c r="BP7" s="123">
        <f t="shared" si="53"/>
        <v>3870315.44</v>
      </c>
      <c r="BQ7" s="123">
        <f t="shared" si="54"/>
        <v>1232624.3600000001</v>
      </c>
      <c r="BR7" s="123">
        <f t="shared" si="55"/>
        <v>1917173.66</v>
      </c>
      <c r="BS7" s="125">
        <f t="shared" si="56"/>
        <v>3149798.02</v>
      </c>
      <c r="BT7" s="1182">
        <f t="shared" ref="BT7:BV7" si="85">SUM(BQ7,BM7,BI7)</f>
        <v>5624501.5899999999</v>
      </c>
      <c r="BU7" s="1183">
        <f t="shared" si="85"/>
        <v>22796963.66</v>
      </c>
      <c r="BV7" s="1184">
        <f t="shared" si="85"/>
        <v>28421465.25</v>
      </c>
      <c r="BW7" s="125">
        <f t="shared" si="58"/>
        <v>10600055.630000001</v>
      </c>
      <c r="BX7" s="140">
        <f t="shared" si="59"/>
        <v>4796810.71</v>
      </c>
      <c r="BY7" s="123">
        <f t="shared" si="60"/>
        <v>5820174.7000000002</v>
      </c>
      <c r="BZ7" s="148">
        <f t="shared" si="61"/>
        <v>10616985.41</v>
      </c>
      <c r="CA7" s="123">
        <f t="shared" si="62"/>
        <v>2300355.75</v>
      </c>
      <c r="CB7" s="326">
        <f t="shared" si="63"/>
        <v>7651810.7699999996</v>
      </c>
      <c r="CE7" s="1185" t="s">
        <v>4</v>
      </c>
      <c r="CF7" s="564">
        <v>30</v>
      </c>
      <c r="CG7" s="726">
        <v>56</v>
      </c>
      <c r="CH7" s="730">
        <v>61</v>
      </c>
      <c r="CI7" s="1186">
        <v>65</v>
      </c>
      <c r="CJ7" s="1186">
        <v>68</v>
      </c>
      <c r="CK7" s="1187">
        <v>68</v>
      </c>
      <c r="CL7" s="1186">
        <v>70</v>
      </c>
      <c r="CM7" s="574">
        <v>98</v>
      </c>
      <c r="CN7" s="162">
        <v>100</v>
      </c>
      <c r="CO7" s="138">
        <v>100</v>
      </c>
      <c r="CP7" s="138">
        <v>100</v>
      </c>
      <c r="CQ7" s="138">
        <v>101</v>
      </c>
      <c r="CR7" s="564">
        <v>30</v>
      </c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</row>
    <row r="8" spans="1:115" ht="13">
      <c r="A8" s="788">
        <f t="shared" si="0"/>
        <v>112013293</v>
      </c>
      <c r="B8" s="636">
        <f t="shared" si="1"/>
        <v>7</v>
      </c>
      <c r="C8" s="558">
        <f t="shared" si="2"/>
        <v>0.1</v>
      </c>
      <c r="D8" s="558">
        <f t="shared" si="3"/>
        <v>0.2</v>
      </c>
      <c r="E8" s="559">
        <f t="shared" si="4"/>
        <v>0</v>
      </c>
      <c r="F8" s="836">
        <f t="shared" si="5"/>
        <v>7</v>
      </c>
      <c r="G8" s="558">
        <f t="shared" si="6"/>
        <v>0.1</v>
      </c>
      <c r="H8" s="558">
        <f t="shared" si="7"/>
        <v>0.2</v>
      </c>
      <c r="I8" s="559">
        <f t="shared" si="8"/>
        <v>0</v>
      </c>
      <c r="J8" s="837">
        <f t="shared" si="9"/>
        <v>62</v>
      </c>
      <c r="K8" s="558">
        <f t="shared" si="10"/>
        <v>0.1</v>
      </c>
      <c r="L8" s="715">
        <f t="shared" si="11"/>
        <v>0.11</v>
      </c>
      <c r="M8" s="1173" t="s">
        <v>1135</v>
      </c>
      <c r="N8" s="1174" t="str">
        <f t="shared" si="12"/>
        <v/>
      </c>
      <c r="O8" s="1177">
        <v>1800000</v>
      </c>
      <c r="P8" s="173">
        <f t="shared" si="14"/>
        <v>1127144.53</v>
      </c>
      <c r="Q8" s="561">
        <f t="shared" si="15"/>
        <v>0</v>
      </c>
      <c r="R8" s="1112">
        <f t="shared" si="16"/>
        <v>1127144.53</v>
      </c>
      <c r="S8" s="1178"/>
      <c r="T8" s="975"/>
      <c r="U8" s="326" t="str">
        <f t="shared" si="17"/>
        <v/>
      </c>
      <c r="V8" s="1177">
        <v>1800000</v>
      </c>
      <c r="W8" s="173">
        <f t="shared" si="18"/>
        <v>789166.04</v>
      </c>
      <c r="X8" s="561">
        <f t="shared" si="19"/>
        <v>0</v>
      </c>
      <c r="Y8" s="1112">
        <f t="shared" si="20"/>
        <v>789166.04</v>
      </c>
      <c r="Z8" s="1178"/>
      <c r="AA8" s="975"/>
      <c r="AB8" s="326" t="str">
        <f t="shared" si="21"/>
        <v/>
      </c>
      <c r="AC8" s="1177">
        <v>1800000</v>
      </c>
      <c r="AD8" s="173">
        <f t="shared" si="22"/>
        <v>798766.22</v>
      </c>
      <c r="AE8" s="561">
        <f t="shared" si="23"/>
        <v>0</v>
      </c>
      <c r="AF8" s="1112">
        <f t="shared" si="24"/>
        <v>798766.22</v>
      </c>
      <c r="AG8" s="1178"/>
      <c r="AH8" s="975"/>
      <c r="AI8" s="332">
        <f t="shared" si="25"/>
        <v>5400000</v>
      </c>
      <c r="AJ8" s="140">
        <f t="shared" si="26"/>
        <v>3080992.64</v>
      </c>
      <c r="AK8" s="326">
        <f t="shared" ref="AK8:AM8" si="86">AD8+W8+P8</f>
        <v>2715076.79</v>
      </c>
      <c r="AL8" s="326">
        <f t="shared" si="86"/>
        <v>0</v>
      </c>
      <c r="AM8" s="326">
        <f t="shared" si="86"/>
        <v>2715076.79</v>
      </c>
      <c r="AN8" s="326">
        <f t="shared" si="28"/>
        <v>-365915.85000000009</v>
      </c>
      <c r="AO8" s="98">
        <f t="shared" si="82"/>
        <v>0.88123442904427063</v>
      </c>
      <c r="AP8" s="125" t="str">
        <f t="shared" si="30"/>
        <v/>
      </c>
      <c r="AQ8" s="326">
        <f t="shared" si="31"/>
        <v>1303361.22</v>
      </c>
      <c r="AR8" s="326">
        <f t="shared" si="32"/>
        <v>0</v>
      </c>
      <c r="AS8" s="123">
        <f t="shared" si="33"/>
        <v>1303361.22</v>
      </c>
      <c r="AT8" s="332" t="str">
        <f t="shared" si="34"/>
        <v/>
      </c>
      <c r="AU8" s="140">
        <f t="shared" si="35"/>
        <v>561413.09</v>
      </c>
      <c r="AV8" s="326">
        <f t="shared" si="36"/>
        <v>0</v>
      </c>
      <c r="AW8" s="333">
        <f t="shared" si="37"/>
        <v>561413.09</v>
      </c>
      <c r="AX8" s="123" t="str">
        <f t="shared" si="38"/>
        <v/>
      </c>
      <c r="AY8" s="123">
        <f t="shared" si="39"/>
        <v>759367.79</v>
      </c>
      <c r="AZ8" s="123">
        <f t="shared" si="40"/>
        <v>0</v>
      </c>
      <c r="BA8" s="125">
        <f t="shared" si="41"/>
        <v>759367.79</v>
      </c>
      <c r="BB8" s="1175">
        <f t="shared" ref="BB8:BD8" si="87">SUM(AQ8,AU8,AY8)</f>
        <v>2624142.1</v>
      </c>
      <c r="BC8" s="326">
        <f t="shared" si="87"/>
        <v>0</v>
      </c>
      <c r="BD8" s="333">
        <f t="shared" si="87"/>
        <v>2624142.1</v>
      </c>
      <c r="BE8" s="100">
        <f t="shared" si="43"/>
        <v>5339218.8900000006</v>
      </c>
      <c r="BF8" s="116">
        <f t="shared" ref="BF8:BG8" si="88">BC8+AL8</f>
        <v>0</v>
      </c>
      <c r="BG8" s="119">
        <f t="shared" si="88"/>
        <v>5339218.8900000006</v>
      </c>
      <c r="BH8" s="125" t="str">
        <f t="shared" si="45"/>
        <v/>
      </c>
      <c r="BI8" s="1041">
        <f t="shared" si="46"/>
        <v>630951.4</v>
      </c>
      <c r="BJ8" s="326">
        <f t="shared" si="47"/>
        <v>78382.720000000001</v>
      </c>
      <c r="BK8" s="1045">
        <f t="shared" si="48"/>
        <v>709334.12</v>
      </c>
      <c r="BL8" s="125" t="str">
        <f t="shared" si="49"/>
        <v/>
      </c>
      <c r="BM8" s="140">
        <f t="shared" si="50"/>
        <v>817000.43</v>
      </c>
      <c r="BN8" s="123">
        <f t="shared" si="51"/>
        <v>0</v>
      </c>
      <c r="BO8" s="148">
        <f t="shared" si="52"/>
        <v>817000.43</v>
      </c>
      <c r="BP8" s="123" t="str">
        <f t="shared" si="53"/>
        <v/>
      </c>
      <c r="BQ8" s="123">
        <f t="shared" si="54"/>
        <v>1048389.86</v>
      </c>
      <c r="BR8" s="123">
        <f t="shared" si="55"/>
        <v>42326.64</v>
      </c>
      <c r="BS8" s="125">
        <f t="shared" si="56"/>
        <v>1090716.5</v>
      </c>
      <c r="BT8" s="586">
        <f t="shared" ref="BT8:BV8" si="89">SUM(BQ8,BM8,BI8)</f>
        <v>2496341.69</v>
      </c>
      <c r="BU8" s="1168">
        <f t="shared" si="89"/>
        <v>120709.36</v>
      </c>
      <c r="BV8" s="1067">
        <f t="shared" si="89"/>
        <v>2617051.0500000003</v>
      </c>
      <c r="BW8" s="125" t="str">
        <f t="shared" si="58"/>
        <v/>
      </c>
      <c r="BX8" s="140">
        <f t="shared" si="59"/>
        <v>1786378.5999999999</v>
      </c>
      <c r="BY8" s="123">
        <f t="shared" si="60"/>
        <v>18740.55</v>
      </c>
      <c r="BZ8" s="148">
        <f t="shared" si="61"/>
        <v>1805119.15</v>
      </c>
      <c r="CA8" s="123" t="str">
        <f t="shared" si="62"/>
        <v/>
      </c>
      <c r="CB8" s="326" t="str">
        <f t="shared" si="63"/>
        <v/>
      </c>
      <c r="CE8" s="579" t="s">
        <v>17</v>
      </c>
      <c r="CF8" s="183">
        <f t="shared" ref="CF8:CR8" si="90">SUM(CF2:CF7)</f>
        <v>57</v>
      </c>
      <c r="CG8" s="183">
        <f t="shared" si="90"/>
        <v>104</v>
      </c>
      <c r="CH8" s="185">
        <f t="shared" si="90"/>
        <v>104</v>
      </c>
      <c r="CI8" s="185">
        <f t="shared" si="90"/>
        <v>108</v>
      </c>
      <c r="CJ8" s="185">
        <f t="shared" si="90"/>
        <v>113</v>
      </c>
      <c r="CK8" s="1188">
        <f t="shared" si="90"/>
        <v>114</v>
      </c>
      <c r="CL8" s="185">
        <f t="shared" si="90"/>
        <v>117</v>
      </c>
      <c r="CM8" s="183">
        <f t="shared" si="90"/>
        <v>117</v>
      </c>
      <c r="CN8" s="185">
        <f t="shared" si="90"/>
        <v>119</v>
      </c>
      <c r="CO8" s="185">
        <f t="shared" si="90"/>
        <v>119</v>
      </c>
      <c r="CP8" s="185">
        <f t="shared" si="90"/>
        <v>119</v>
      </c>
      <c r="CQ8" s="185">
        <f t="shared" si="90"/>
        <v>120</v>
      </c>
      <c r="CR8" s="184">
        <f t="shared" si="90"/>
        <v>57</v>
      </c>
      <c r="CS8" s="455"/>
      <c r="CT8" s="455"/>
      <c r="CU8" s="455"/>
      <c r="CV8" s="455"/>
      <c r="CW8" s="455"/>
      <c r="CX8" s="455"/>
      <c r="CY8" s="455"/>
      <c r="CZ8" s="455"/>
      <c r="DA8" s="455"/>
      <c r="DB8" s="455"/>
      <c r="DC8" s="455"/>
      <c r="DD8" s="455"/>
      <c r="DE8" s="455"/>
      <c r="DF8" s="455"/>
      <c r="DG8" s="455"/>
      <c r="DH8" s="455"/>
      <c r="DI8" s="455"/>
      <c r="DJ8" s="455"/>
      <c r="DK8" s="455"/>
    </row>
    <row r="9" spans="1:115" ht="13">
      <c r="A9" s="788">
        <f t="shared" si="0"/>
        <v>112012477</v>
      </c>
      <c r="B9" s="636">
        <f t="shared" si="1"/>
        <v>7</v>
      </c>
      <c r="C9" s="558">
        <f t="shared" si="2"/>
        <v>0.1</v>
      </c>
      <c r="D9" s="558">
        <f t="shared" si="3"/>
        <v>0.2</v>
      </c>
      <c r="E9" s="559">
        <f t="shared" si="4"/>
        <v>0</v>
      </c>
      <c r="F9" s="836">
        <f t="shared" si="5"/>
        <v>7</v>
      </c>
      <c r="G9" s="558">
        <f t="shared" si="6"/>
        <v>0.1</v>
      </c>
      <c r="H9" s="558">
        <f t="shared" si="7"/>
        <v>0.2</v>
      </c>
      <c r="I9" s="559">
        <f t="shared" si="8"/>
        <v>0</v>
      </c>
      <c r="J9" s="837">
        <f t="shared" si="9"/>
        <v>62</v>
      </c>
      <c r="K9" s="558">
        <f t="shared" si="10"/>
        <v>0.1</v>
      </c>
      <c r="L9" s="715">
        <f t="shared" si="11"/>
        <v>0.11</v>
      </c>
      <c r="M9" s="1173" t="s">
        <v>1136</v>
      </c>
      <c r="N9" s="1174">
        <f t="shared" si="12"/>
        <v>1721307.98</v>
      </c>
      <c r="O9" s="332">
        <f>(N9*1.601)*1.05</f>
        <v>2893604.7797789997</v>
      </c>
      <c r="P9" s="173">
        <f t="shared" si="14"/>
        <v>3269555.33</v>
      </c>
      <c r="Q9" s="561">
        <f t="shared" si="15"/>
        <v>1510387.14</v>
      </c>
      <c r="R9" s="1112">
        <f t="shared" si="16"/>
        <v>4779942.47</v>
      </c>
      <c r="S9" s="123"/>
      <c r="T9" s="326"/>
      <c r="U9" s="326">
        <f t="shared" si="17"/>
        <v>1868473.77</v>
      </c>
      <c r="V9" s="332">
        <f>(U9*1.7245)*1.03</f>
        <v>3318848.5068559502</v>
      </c>
      <c r="W9" s="173">
        <f t="shared" si="18"/>
        <v>1273741.9500000002</v>
      </c>
      <c r="X9" s="561">
        <f t="shared" si="19"/>
        <v>1643872.88</v>
      </c>
      <c r="Y9" s="1112">
        <f t="shared" si="20"/>
        <v>2917614.83</v>
      </c>
      <c r="Z9" s="123"/>
      <c r="AA9" s="326"/>
      <c r="AB9" s="326">
        <f t="shared" si="21"/>
        <v>1482631.17</v>
      </c>
      <c r="AC9" s="332">
        <f>(AB9*1.5955)*1.03</f>
        <v>2436504.17268705</v>
      </c>
      <c r="AD9" s="173">
        <f t="shared" si="22"/>
        <v>1515661.5299999998</v>
      </c>
      <c r="AE9" s="561">
        <f t="shared" si="23"/>
        <v>1510407.56</v>
      </c>
      <c r="AF9" s="1112">
        <f t="shared" si="24"/>
        <v>3026069.09</v>
      </c>
      <c r="AG9" s="123"/>
      <c r="AH9" s="326"/>
      <c r="AI9" s="332">
        <f t="shared" si="25"/>
        <v>8648957.4593219999</v>
      </c>
      <c r="AJ9" s="140">
        <f t="shared" si="26"/>
        <v>12419579.48</v>
      </c>
      <c r="AK9" s="326">
        <f t="shared" ref="AK9:AM9" si="91">AD9+W9+P9</f>
        <v>6058958.8100000005</v>
      </c>
      <c r="AL9" s="326">
        <f t="shared" si="91"/>
        <v>4664667.58</v>
      </c>
      <c r="AM9" s="326">
        <f t="shared" si="91"/>
        <v>10723626.390000001</v>
      </c>
      <c r="AN9" s="326">
        <f t="shared" si="28"/>
        <v>-1695953.0899999999</v>
      </c>
      <c r="AO9" s="98">
        <f t="shared" si="82"/>
        <v>0.86344520821086612</v>
      </c>
      <c r="AP9" s="125">
        <f t="shared" si="30"/>
        <v>1502438.54</v>
      </c>
      <c r="AQ9" s="326">
        <f t="shared" si="31"/>
        <v>743447.03</v>
      </c>
      <c r="AR9" s="326">
        <f t="shared" si="32"/>
        <v>1597075.82</v>
      </c>
      <c r="AS9" s="123">
        <f t="shared" si="33"/>
        <v>2340522.85</v>
      </c>
      <c r="AT9" s="332">
        <f t="shared" si="34"/>
        <v>1567044.87</v>
      </c>
      <c r="AU9" s="140">
        <f t="shared" si="35"/>
        <v>2530145.5100000002</v>
      </c>
      <c r="AV9" s="326">
        <f t="shared" si="36"/>
        <v>935723.17</v>
      </c>
      <c r="AW9" s="333">
        <f t="shared" si="37"/>
        <v>3465868.68</v>
      </c>
      <c r="AX9" s="123">
        <f t="shared" si="38"/>
        <v>1132829.55</v>
      </c>
      <c r="AY9" s="123">
        <f t="shared" si="39"/>
        <v>623341.87999999989</v>
      </c>
      <c r="AZ9" s="123">
        <f t="shared" si="40"/>
        <v>1770801.12</v>
      </c>
      <c r="BA9" s="125">
        <f t="shared" si="41"/>
        <v>2394143</v>
      </c>
      <c r="BB9" s="1175">
        <f t="shared" ref="BB9:BD9" si="92">SUM(AQ9,AU9,AY9)</f>
        <v>3896934.42</v>
      </c>
      <c r="BC9" s="326">
        <f t="shared" si="92"/>
        <v>4303600.1100000003</v>
      </c>
      <c r="BD9" s="333">
        <f t="shared" si="92"/>
        <v>8200534.5300000003</v>
      </c>
      <c r="BE9" s="100">
        <f t="shared" si="43"/>
        <v>9955893.2300000004</v>
      </c>
      <c r="BF9" s="116">
        <f t="shared" ref="BF9:BG9" si="93">BC9+AL9</f>
        <v>8968267.6900000013</v>
      </c>
      <c r="BG9" s="119">
        <f t="shared" si="93"/>
        <v>18924160.920000002</v>
      </c>
      <c r="BH9" s="125">
        <f t="shared" si="45"/>
        <v>1664445.33</v>
      </c>
      <c r="BI9" s="1041">
        <f t="shared" si="46"/>
        <v>2480742.6700000004</v>
      </c>
      <c r="BJ9" s="326">
        <f t="shared" si="47"/>
        <v>2443190.9</v>
      </c>
      <c r="BK9" s="1045">
        <f t="shared" si="48"/>
        <v>4923933.57</v>
      </c>
      <c r="BL9" s="125">
        <f t="shared" si="49"/>
        <v>3197843.3</v>
      </c>
      <c r="BM9" s="140">
        <f t="shared" si="50"/>
        <v>1130755.5999999999</v>
      </c>
      <c r="BN9" s="123">
        <f t="shared" si="51"/>
        <v>2013929.57</v>
      </c>
      <c r="BO9" s="148">
        <f t="shared" si="52"/>
        <v>3144685.17</v>
      </c>
      <c r="BP9" s="123">
        <f t="shared" si="53"/>
        <v>1944509.11</v>
      </c>
      <c r="BQ9" s="123">
        <f t="shared" si="54"/>
        <v>2046394.9300000002</v>
      </c>
      <c r="BR9" s="123">
        <f t="shared" si="55"/>
        <v>1182579.94</v>
      </c>
      <c r="BS9" s="125">
        <f t="shared" si="56"/>
        <v>3228974.87</v>
      </c>
      <c r="BT9" s="1182">
        <f t="shared" ref="BT9:BV9" si="94">SUM(BQ9,BM9,BI9)</f>
        <v>5657893.2000000011</v>
      </c>
      <c r="BU9" s="1183">
        <f t="shared" si="94"/>
        <v>5639700.4100000001</v>
      </c>
      <c r="BV9" s="1184">
        <f t="shared" si="94"/>
        <v>11297593.609999999</v>
      </c>
      <c r="BW9" s="125">
        <f t="shared" si="58"/>
        <v>4428193.6500000004</v>
      </c>
      <c r="BX9" s="140">
        <f t="shared" si="59"/>
        <v>5256512.22</v>
      </c>
      <c r="BY9" s="123">
        <f t="shared" si="60"/>
        <v>2009243.13</v>
      </c>
      <c r="BZ9" s="148">
        <f t="shared" si="61"/>
        <v>7265755.3499999996</v>
      </c>
      <c r="CA9" s="123">
        <f t="shared" si="62"/>
        <v>4288400.21</v>
      </c>
      <c r="CB9" s="326">
        <f t="shared" si="63"/>
        <v>3702985.61</v>
      </c>
      <c r="CU9" s="294"/>
    </row>
    <row r="10" spans="1:115" ht="13">
      <c r="A10" s="788">
        <f t="shared" si="0"/>
        <v>112012187</v>
      </c>
      <c r="B10" s="636">
        <f t="shared" si="1"/>
        <v>22</v>
      </c>
      <c r="C10" s="558">
        <f t="shared" si="2"/>
        <v>0.1</v>
      </c>
      <c r="D10" s="558">
        <f t="shared" si="3"/>
        <v>0.09</v>
      </c>
      <c r="E10" s="559">
        <f t="shared" si="4"/>
        <v>0</v>
      </c>
      <c r="F10" s="836">
        <f t="shared" si="5"/>
        <v>22</v>
      </c>
      <c r="G10" s="558">
        <f t="shared" si="6"/>
        <v>0.1</v>
      </c>
      <c r="H10" s="558">
        <f t="shared" si="7"/>
        <v>0.09</v>
      </c>
      <c r="I10" s="559">
        <f t="shared" si="8"/>
        <v>0</v>
      </c>
      <c r="J10" s="837">
        <f t="shared" si="9"/>
        <v>63</v>
      </c>
      <c r="K10" s="558">
        <f t="shared" si="10"/>
        <v>0.1</v>
      </c>
      <c r="L10" s="715">
        <f t="shared" si="11"/>
        <v>0.05</v>
      </c>
      <c r="M10" s="1173" t="s">
        <v>1137</v>
      </c>
      <c r="N10" s="1174">
        <f t="shared" si="12"/>
        <v>789719.81</v>
      </c>
      <c r="O10" s="1177">
        <v>1800000</v>
      </c>
      <c r="P10" s="173">
        <f t="shared" si="14"/>
        <v>838572.19</v>
      </c>
      <c r="Q10" s="561">
        <f t="shared" si="15"/>
        <v>0</v>
      </c>
      <c r="R10" s="1112">
        <f t="shared" si="16"/>
        <v>838572.19</v>
      </c>
      <c r="S10" s="1178"/>
      <c r="T10" s="975"/>
      <c r="U10" s="326">
        <f t="shared" si="17"/>
        <v>740469.06</v>
      </c>
      <c r="V10" s="1177">
        <v>1800000</v>
      </c>
      <c r="W10" s="173">
        <f t="shared" si="18"/>
        <v>1805689.46</v>
      </c>
      <c r="X10" s="561">
        <f t="shared" si="19"/>
        <v>19165.259999999998</v>
      </c>
      <c r="Y10" s="1112">
        <f t="shared" si="20"/>
        <v>1824854.72</v>
      </c>
      <c r="Z10" s="1178"/>
      <c r="AA10" s="975"/>
      <c r="AB10" s="326">
        <f t="shared" si="21"/>
        <v>237695.54</v>
      </c>
      <c r="AC10" s="1177">
        <v>1800000</v>
      </c>
      <c r="AD10" s="173">
        <f t="shared" si="22"/>
        <v>402388.12999999995</v>
      </c>
      <c r="AE10" s="561">
        <f t="shared" si="23"/>
        <v>12776.84</v>
      </c>
      <c r="AF10" s="1112">
        <f t="shared" si="24"/>
        <v>415164.97</v>
      </c>
      <c r="AG10" s="1178"/>
      <c r="AH10" s="975"/>
      <c r="AI10" s="332">
        <f t="shared" si="25"/>
        <v>5400000</v>
      </c>
      <c r="AJ10" s="140">
        <f t="shared" si="26"/>
        <v>4370334.03</v>
      </c>
      <c r="AK10" s="326">
        <f t="shared" ref="AK10:AM10" si="95">AD10+W10+P10</f>
        <v>3046649.78</v>
      </c>
      <c r="AL10" s="326">
        <f t="shared" si="95"/>
        <v>31942.1</v>
      </c>
      <c r="AM10" s="326">
        <f t="shared" si="95"/>
        <v>3078591.88</v>
      </c>
      <c r="AN10" s="326">
        <f t="shared" si="28"/>
        <v>-1291742.1500000004</v>
      </c>
      <c r="AO10" s="98">
        <f t="shared" si="82"/>
        <v>0.70442942321276059</v>
      </c>
      <c r="AP10" s="125">
        <f t="shared" si="30"/>
        <v>1065847.2</v>
      </c>
      <c r="AQ10" s="326">
        <f t="shared" si="31"/>
        <v>559870.78</v>
      </c>
      <c r="AR10" s="326">
        <f t="shared" si="32"/>
        <v>0</v>
      </c>
      <c r="AS10" s="123">
        <f t="shared" si="33"/>
        <v>559870.78</v>
      </c>
      <c r="AT10" s="332">
        <f t="shared" si="34"/>
        <v>416797.22</v>
      </c>
      <c r="AU10" s="140">
        <f t="shared" si="35"/>
        <v>1688083.66</v>
      </c>
      <c r="AV10" s="326">
        <f t="shared" si="36"/>
        <v>19165.259999999998</v>
      </c>
      <c r="AW10" s="333">
        <f t="shared" si="37"/>
        <v>1707248.92</v>
      </c>
      <c r="AX10" s="123">
        <f t="shared" si="38"/>
        <v>370570.19</v>
      </c>
      <c r="AY10" s="123">
        <f t="shared" si="39"/>
        <v>137460.46</v>
      </c>
      <c r="AZ10" s="123">
        <f t="shared" si="40"/>
        <v>0</v>
      </c>
      <c r="BA10" s="125">
        <f t="shared" si="41"/>
        <v>137460.46</v>
      </c>
      <c r="BB10" s="1175">
        <f t="shared" ref="BB10:BD10" si="96">SUM(AQ10,AU10,AY10)</f>
        <v>2385414.9</v>
      </c>
      <c r="BC10" s="326">
        <f t="shared" si="96"/>
        <v>19165.259999999998</v>
      </c>
      <c r="BD10" s="333">
        <f t="shared" si="96"/>
        <v>2404580.16</v>
      </c>
      <c r="BE10" s="100">
        <f t="shared" si="43"/>
        <v>5432064.6799999997</v>
      </c>
      <c r="BF10" s="116">
        <f t="shared" ref="BF10:BG10" si="97">BC10+AL10</f>
        <v>51107.360000000001</v>
      </c>
      <c r="BG10" s="119">
        <f t="shared" si="97"/>
        <v>5483172.04</v>
      </c>
      <c r="BH10" s="125">
        <f t="shared" si="45"/>
        <v>442230.01</v>
      </c>
      <c r="BI10" s="1041">
        <f t="shared" si="46"/>
        <v>84193.35</v>
      </c>
      <c r="BJ10" s="326">
        <f t="shared" si="47"/>
        <v>0</v>
      </c>
      <c r="BK10" s="1045">
        <f t="shared" si="48"/>
        <v>84193.35</v>
      </c>
      <c r="BL10" s="125">
        <f t="shared" si="49"/>
        <v>510665.15</v>
      </c>
      <c r="BM10" s="140">
        <f t="shared" si="50"/>
        <v>1047481.53</v>
      </c>
      <c r="BN10" s="123">
        <f t="shared" si="51"/>
        <v>0</v>
      </c>
      <c r="BO10" s="148">
        <f t="shared" si="52"/>
        <v>1047481.53</v>
      </c>
      <c r="BP10" s="123">
        <f t="shared" si="53"/>
        <v>1243546.1100000001</v>
      </c>
      <c r="BQ10" s="123">
        <f t="shared" si="54"/>
        <v>872407.46</v>
      </c>
      <c r="BR10" s="123">
        <f t="shared" si="55"/>
        <v>0</v>
      </c>
      <c r="BS10" s="125">
        <f t="shared" si="56"/>
        <v>872407.46</v>
      </c>
      <c r="BT10" s="586">
        <f t="shared" ref="BT10:BV10" si="98">SUM(BQ10,BM10,BI10)</f>
        <v>2004082.34</v>
      </c>
      <c r="BU10" s="1168">
        <f t="shared" si="98"/>
        <v>0</v>
      </c>
      <c r="BV10" s="1067">
        <f t="shared" si="98"/>
        <v>2004082.34</v>
      </c>
      <c r="BW10" s="125">
        <f t="shared" si="58"/>
        <v>1460073.36</v>
      </c>
      <c r="BX10" s="140">
        <f t="shared" si="59"/>
        <v>1927213.57</v>
      </c>
      <c r="BY10" s="123">
        <f t="shared" si="60"/>
        <v>0</v>
      </c>
      <c r="BZ10" s="148">
        <f t="shared" si="61"/>
        <v>1927213.57</v>
      </c>
      <c r="CA10" s="123">
        <f t="shared" si="62"/>
        <v>947116.3</v>
      </c>
      <c r="CB10" s="326">
        <f t="shared" si="63"/>
        <v>1963144.37</v>
      </c>
      <c r="CU10" s="294"/>
    </row>
    <row r="11" spans="1:115" ht="13">
      <c r="A11" s="788">
        <f t="shared" si="0"/>
        <v>112014564</v>
      </c>
      <c r="B11" s="636">
        <f t="shared" si="1"/>
        <v>22</v>
      </c>
      <c r="C11" s="558">
        <f t="shared" si="2"/>
        <v>0.1</v>
      </c>
      <c r="D11" s="558">
        <f t="shared" si="3"/>
        <v>0.09</v>
      </c>
      <c r="E11" s="559">
        <f t="shared" si="4"/>
        <v>0</v>
      </c>
      <c r="F11" s="836">
        <f t="shared" si="5"/>
        <v>22</v>
      </c>
      <c r="G11" s="558">
        <f t="shared" si="6"/>
        <v>0.1</v>
      </c>
      <c r="H11" s="558">
        <f t="shared" si="7"/>
        <v>0.09</v>
      </c>
      <c r="I11" s="559">
        <f t="shared" si="8"/>
        <v>0</v>
      </c>
      <c r="J11" s="837">
        <f t="shared" si="9"/>
        <v>63</v>
      </c>
      <c r="K11" s="558">
        <f t="shared" si="10"/>
        <v>0.1</v>
      </c>
      <c r="L11" s="715">
        <f t="shared" si="11"/>
        <v>0.05</v>
      </c>
      <c r="M11" s="1173" t="s">
        <v>1138</v>
      </c>
      <c r="N11" s="1174">
        <f t="shared" si="12"/>
        <v>0</v>
      </c>
      <c r="O11" s="1177">
        <v>1800000</v>
      </c>
      <c r="P11" s="173" t="e">
        <f t="shared" si="14"/>
        <v>#VALUE!</v>
      </c>
      <c r="Q11" s="561" t="str">
        <f t="shared" si="15"/>
        <v/>
      </c>
      <c r="R11" s="1112">
        <f t="shared" si="16"/>
        <v>1790123.13</v>
      </c>
      <c r="S11" s="1178"/>
      <c r="T11" s="975"/>
      <c r="U11" s="326">
        <f t="shared" si="17"/>
        <v>0</v>
      </c>
      <c r="V11" s="1177">
        <v>1800000</v>
      </c>
      <c r="W11" s="173" t="e">
        <f t="shared" si="18"/>
        <v>#VALUE!</v>
      </c>
      <c r="X11" s="561" t="str">
        <f t="shared" si="19"/>
        <v/>
      </c>
      <c r="Y11" s="1112">
        <f t="shared" si="20"/>
        <v>1803797.49</v>
      </c>
      <c r="Z11" s="1178"/>
      <c r="AA11" s="975"/>
      <c r="AB11" s="326">
        <f t="shared" si="21"/>
        <v>0</v>
      </c>
      <c r="AC11" s="1177">
        <v>1800000</v>
      </c>
      <c r="AD11" s="173" t="e">
        <f t="shared" si="22"/>
        <v>#VALUE!</v>
      </c>
      <c r="AE11" s="561" t="str">
        <f t="shared" si="23"/>
        <v/>
      </c>
      <c r="AF11" s="1112">
        <f t="shared" si="24"/>
        <v>689150.5</v>
      </c>
      <c r="AG11" s="1178"/>
      <c r="AH11" s="975"/>
      <c r="AI11" s="332">
        <f t="shared" si="25"/>
        <v>5400000</v>
      </c>
      <c r="AJ11" s="140">
        <f t="shared" si="26"/>
        <v>5936611.4299999997</v>
      </c>
      <c r="AK11" s="326" t="e">
        <f t="shared" ref="AK11:AM11" si="99">AD11+W11+P11</f>
        <v>#VALUE!</v>
      </c>
      <c r="AL11" s="326" t="e">
        <f t="shared" si="99"/>
        <v>#VALUE!</v>
      </c>
      <c r="AM11" s="326">
        <f t="shared" si="99"/>
        <v>4283071.12</v>
      </c>
      <c r="AN11" s="326">
        <f t="shared" si="28"/>
        <v>-1653540.3099999996</v>
      </c>
      <c r="AO11" s="98">
        <f t="shared" si="82"/>
        <v>0.72146731692021826</v>
      </c>
      <c r="AP11" s="125">
        <f t="shared" si="30"/>
        <v>0</v>
      </c>
      <c r="AQ11" s="326" t="e">
        <f t="shared" si="31"/>
        <v>#VALUE!</v>
      </c>
      <c r="AR11" s="326" t="str">
        <f t="shared" si="32"/>
        <v/>
      </c>
      <c r="AS11" s="123">
        <f t="shared" si="33"/>
        <v>208377.32</v>
      </c>
      <c r="AT11" s="332">
        <f t="shared" si="34"/>
        <v>0</v>
      </c>
      <c r="AU11" s="140" t="e">
        <f t="shared" si="35"/>
        <v>#VALUE!</v>
      </c>
      <c r="AV11" s="326" t="str">
        <f t="shared" si="36"/>
        <v/>
      </c>
      <c r="AW11" s="333">
        <f t="shared" si="37"/>
        <v>1405578.04</v>
      </c>
      <c r="AX11" s="123">
        <f t="shared" si="38"/>
        <v>0</v>
      </c>
      <c r="AY11" s="123" t="e">
        <f t="shared" si="39"/>
        <v>#VALUE!</v>
      </c>
      <c r="AZ11" s="123" t="str">
        <f t="shared" si="40"/>
        <v/>
      </c>
      <c r="BA11" s="125">
        <f t="shared" si="41"/>
        <v>181287.42</v>
      </c>
      <c r="BB11" s="1175" t="e">
        <f t="shared" ref="BB11:BD11" si="100">SUM(AQ11,AU11,AY11)</f>
        <v>#VALUE!</v>
      </c>
      <c r="BC11" s="326">
        <f t="shared" si="100"/>
        <v>0</v>
      </c>
      <c r="BD11" s="333">
        <f t="shared" si="100"/>
        <v>1795242.78</v>
      </c>
      <c r="BE11" s="100" t="e">
        <f t="shared" si="43"/>
        <v>#VALUE!</v>
      </c>
      <c r="BF11" s="116" t="e">
        <f t="shared" ref="BF11:BG11" si="101">BC11+AL11</f>
        <v>#VALUE!</v>
      </c>
      <c r="BG11" s="119">
        <f t="shared" si="101"/>
        <v>6078313.9000000004</v>
      </c>
      <c r="BH11" s="125">
        <f t="shared" si="45"/>
        <v>0</v>
      </c>
      <c r="BI11" s="1041" t="e">
        <f t="shared" si="46"/>
        <v>#VALUE!</v>
      </c>
      <c r="BJ11" s="326" t="str">
        <f t="shared" si="47"/>
        <v/>
      </c>
      <c r="BK11" s="1045">
        <f t="shared" si="48"/>
        <v>639302.91</v>
      </c>
      <c r="BL11" s="125">
        <f t="shared" si="49"/>
        <v>0</v>
      </c>
      <c r="BM11" s="140" t="e">
        <f t="shared" si="50"/>
        <v>#VALUE!</v>
      </c>
      <c r="BN11" s="123" t="str">
        <f t="shared" si="51"/>
        <v/>
      </c>
      <c r="BO11" s="148">
        <f t="shared" si="52"/>
        <v>425686.31</v>
      </c>
      <c r="BP11" s="123">
        <f t="shared" si="53"/>
        <v>236185.08</v>
      </c>
      <c r="BQ11" s="123" t="e">
        <f t="shared" si="54"/>
        <v>#VALUE!</v>
      </c>
      <c r="BR11" s="123" t="str">
        <f t="shared" si="55"/>
        <v/>
      </c>
      <c r="BS11" s="125">
        <f t="shared" si="56"/>
        <v>1895654.19</v>
      </c>
      <c r="BT11" s="586" t="e">
        <f t="shared" ref="BT11:BV11" si="102">SUM(BQ11,BM11,BI11)</f>
        <v>#VALUE!</v>
      </c>
      <c r="BU11" s="1168">
        <f t="shared" si="102"/>
        <v>0</v>
      </c>
      <c r="BV11" s="1067">
        <f t="shared" si="102"/>
        <v>2960643.41</v>
      </c>
      <c r="BW11" s="125">
        <f t="shared" si="58"/>
        <v>2354967.86</v>
      </c>
      <c r="BX11" s="140" t="e">
        <f t="shared" si="59"/>
        <v>#VALUE!</v>
      </c>
      <c r="BY11" s="123" t="str">
        <f t="shared" si="60"/>
        <v/>
      </c>
      <c r="BZ11" s="148">
        <f t="shared" si="61"/>
        <v>2171776.17</v>
      </c>
      <c r="CA11" s="123">
        <f t="shared" si="62"/>
        <v>1401655.94</v>
      </c>
      <c r="CB11" s="326">
        <f t="shared" si="63"/>
        <v>2179987.63</v>
      </c>
      <c r="CP11" s="294"/>
      <c r="CU11" s="294"/>
    </row>
    <row r="12" spans="1:115" ht="13">
      <c r="A12" s="788">
        <f t="shared" si="0"/>
        <v>112012425</v>
      </c>
      <c r="B12" s="636">
        <f t="shared" si="1"/>
        <v>7</v>
      </c>
      <c r="C12" s="558">
        <f t="shared" si="2"/>
        <v>0.1</v>
      </c>
      <c r="D12" s="558">
        <f t="shared" si="3"/>
        <v>0.2</v>
      </c>
      <c r="E12" s="559">
        <f t="shared" si="4"/>
        <v>0</v>
      </c>
      <c r="F12" s="836">
        <f t="shared" si="5"/>
        <v>4</v>
      </c>
      <c r="G12" s="558" t="str">
        <f t="shared" si="6"/>
        <v>Lista</v>
      </c>
      <c r="H12" s="558">
        <f t="shared" si="7"/>
        <v>0.2</v>
      </c>
      <c r="I12" s="559">
        <f t="shared" si="8"/>
        <v>0</v>
      </c>
      <c r="J12" s="837">
        <f t="shared" si="9"/>
        <v>62</v>
      </c>
      <c r="K12" s="558">
        <f t="shared" si="10"/>
        <v>0.1</v>
      </c>
      <c r="L12" s="715">
        <f t="shared" si="11"/>
        <v>0.11</v>
      </c>
      <c r="M12" s="1173" t="s">
        <v>1139</v>
      </c>
      <c r="N12" s="1174">
        <f t="shared" si="12"/>
        <v>0</v>
      </c>
      <c r="O12" s="860">
        <v>2500000</v>
      </c>
      <c r="P12" s="173">
        <f t="shared" si="14"/>
        <v>1798798.1400000001</v>
      </c>
      <c r="Q12" s="326">
        <f t="shared" si="15"/>
        <v>39976.720000000001</v>
      </c>
      <c r="R12" s="333">
        <f t="shared" si="16"/>
        <v>1838774.86</v>
      </c>
      <c r="S12" s="123"/>
      <c r="T12" s="326"/>
      <c r="U12" s="326">
        <f t="shared" si="17"/>
        <v>580396.44999999995</v>
      </c>
      <c r="V12" s="332">
        <v>2500000</v>
      </c>
      <c r="W12" s="173">
        <f t="shared" si="18"/>
        <v>454528.66</v>
      </c>
      <c r="X12" s="561">
        <f t="shared" si="19"/>
        <v>79953.440000000002</v>
      </c>
      <c r="Y12" s="1112">
        <f t="shared" si="20"/>
        <v>534482.1</v>
      </c>
      <c r="Z12" s="123"/>
      <c r="AA12" s="326"/>
      <c r="AB12" s="326">
        <f t="shared" si="21"/>
        <v>962450.81</v>
      </c>
      <c r="AC12" s="332">
        <v>2500000</v>
      </c>
      <c r="AD12" s="173">
        <f t="shared" si="22"/>
        <v>1077273.1399999999</v>
      </c>
      <c r="AE12" s="561">
        <f t="shared" si="23"/>
        <v>0</v>
      </c>
      <c r="AF12" s="1112">
        <f t="shared" si="24"/>
        <v>1077273.1399999999</v>
      </c>
      <c r="AG12" s="123"/>
      <c r="AH12" s="326"/>
      <c r="AI12" s="332">
        <f t="shared" si="25"/>
        <v>7500000</v>
      </c>
      <c r="AJ12" s="140">
        <f t="shared" si="26"/>
        <v>3719527.31</v>
      </c>
      <c r="AK12" s="326">
        <f t="shared" ref="AK12:AM12" si="103">AD12+W12+P12</f>
        <v>3330599.94</v>
      </c>
      <c r="AL12" s="326">
        <f t="shared" si="103"/>
        <v>119930.16</v>
      </c>
      <c r="AM12" s="326">
        <f t="shared" si="103"/>
        <v>3450530.0999999996</v>
      </c>
      <c r="AN12" s="326">
        <f t="shared" si="28"/>
        <v>-268997.21000000043</v>
      </c>
      <c r="AO12" s="98">
        <f>AM12/AJ12</f>
        <v>0.9276797325088062</v>
      </c>
      <c r="AP12" s="125">
        <f t="shared" si="30"/>
        <v>859369.39</v>
      </c>
      <c r="AQ12" s="326">
        <f t="shared" si="31"/>
        <v>117108.29</v>
      </c>
      <c r="AR12" s="326">
        <f t="shared" si="32"/>
        <v>74650.240000000005</v>
      </c>
      <c r="AS12" s="123">
        <f t="shared" si="33"/>
        <v>191758.53</v>
      </c>
      <c r="AT12" s="332">
        <f t="shared" si="34"/>
        <v>445230.05</v>
      </c>
      <c r="AU12" s="140">
        <f t="shared" si="35"/>
        <v>1247692.73</v>
      </c>
      <c r="AV12" s="326">
        <f t="shared" si="36"/>
        <v>54076.76</v>
      </c>
      <c r="AW12" s="333">
        <f t="shared" si="37"/>
        <v>1301769.49</v>
      </c>
      <c r="AX12" s="123">
        <f t="shared" si="38"/>
        <v>537012.65</v>
      </c>
      <c r="AY12" s="123">
        <f t="shared" si="39"/>
        <v>234234.34999999998</v>
      </c>
      <c r="AZ12" s="123">
        <f t="shared" si="40"/>
        <v>125101.44</v>
      </c>
      <c r="BA12" s="125">
        <f t="shared" si="41"/>
        <v>359335.79</v>
      </c>
      <c r="BB12" s="1175">
        <f t="shared" ref="BB12:BD12" si="104">SUM(AQ12,AU12,AY12)</f>
        <v>1599035.37</v>
      </c>
      <c r="BC12" s="326">
        <f t="shared" si="104"/>
        <v>253828.44</v>
      </c>
      <c r="BD12" s="333">
        <f t="shared" si="104"/>
        <v>1852863.81</v>
      </c>
      <c r="BE12" s="100">
        <f t="shared" si="43"/>
        <v>4929635.3100000005</v>
      </c>
      <c r="BF12" s="116">
        <f t="shared" ref="BF12:BG12" si="105">BC12+AL12</f>
        <v>373758.6</v>
      </c>
      <c r="BG12" s="119">
        <f t="shared" si="105"/>
        <v>5303393.91</v>
      </c>
      <c r="BH12" s="125">
        <f t="shared" si="45"/>
        <v>892458.45</v>
      </c>
      <c r="BI12" s="1041">
        <f t="shared" si="46"/>
        <v>143322.72999999998</v>
      </c>
      <c r="BJ12" s="326">
        <f t="shared" si="47"/>
        <v>162068.24</v>
      </c>
      <c r="BK12" s="1045">
        <f t="shared" si="48"/>
        <v>305390.96999999997</v>
      </c>
      <c r="BL12" s="125">
        <f t="shared" si="49"/>
        <v>1431069.72</v>
      </c>
      <c r="BM12" s="140">
        <f t="shared" si="50"/>
        <v>393694.83</v>
      </c>
      <c r="BN12" s="123">
        <f t="shared" si="51"/>
        <v>28248.12</v>
      </c>
      <c r="BO12" s="148">
        <f t="shared" si="52"/>
        <v>421942.95</v>
      </c>
      <c r="BP12" s="123">
        <f t="shared" si="53"/>
        <v>407013.86</v>
      </c>
      <c r="BQ12" s="123">
        <f t="shared" si="54"/>
        <v>751956.84</v>
      </c>
      <c r="BR12" s="123">
        <f t="shared" si="55"/>
        <v>84653.28</v>
      </c>
      <c r="BS12" s="125">
        <f t="shared" si="56"/>
        <v>836610.12</v>
      </c>
      <c r="BT12" s="140">
        <f t="shared" ref="BT12:BV12" si="106">SUM(BQ12,BM12,BI12)</f>
        <v>1288974.3999999999</v>
      </c>
      <c r="BU12" s="123">
        <f t="shared" si="106"/>
        <v>274969.64</v>
      </c>
      <c r="BV12" s="148">
        <f t="shared" si="106"/>
        <v>1563944.04</v>
      </c>
      <c r="BW12" s="125">
        <f t="shared" si="58"/>
        <v>1335374.22</v>
      </c>
      <c r="BX12" s="140">
        <f t="shared" si="59"/>
        <v>189942.16000000003</v>
      </c>
      <c r="BY12" s="123">
        <f t="shared" si="60"/>
        <v>285749.49</v>
      </c>
      <c r="BZ12" s="148">
        <f t="shared" si="61"/>
        <v>475691.65</v>
      </c>
      <c r="CA12" s="123">
        <f t="shared" si="62"/>
        <v>1362951.5</v>
      </c>
      <c r="CB12" s="326">
        <f t="shared" si="63"/>
        <v>1021201.59</v>
      </c>
      <c r="CP12" s="294"/>
      <c r="CU12" s="294"/>
    </row>
    <row r="13" spans="1:115" ht="13">
      <c r="A13" s="788">
        <f t="shared" si="0"/>
        <v>112012257</v>
      </c>
      <c r="B13" s="636" t="e">
        <f t="shared" si="1"/>
        <v>#N/A</v>
      </c>
      <c r="C13" s="558" t="str">
        <f t="shared" si="2"/>
        <v/>
      </c>
      <c r="D13" s="558" t="str">
        <f t="shared" si="3"/>
        <v/>
      </c>
      <c r="E13" s="559" t="str">
        <f t="shared" si="4"/>
        <v/>
      </c>
      <c r="F13" s="836">
        <f t="shared" si="5"/>
        <v>22</v>
      </c>
      <c r="G13" s="558">
        <f t="shared" si="6"/>
        <v>0.1</v>
      </c>
      <c r="H13" s="558">
        <f t="shared" si="7"/>
        <v>0.09</v>
      </c>
      <c r="I13" s="559">
        <f t="shared" si="8"/>
        <v>0</v>
      </c>
      <c r="J13" s="837">
        <f t="shared" si="9"/>
        <v>63</v>
      </c>
      <c r="K13" s="558">
        <f t="shared" si="10"/>
        <v>0.1</v>
      </c>
      <c r="L13" s="715">
        <f t="shared" si="11"/>
        <v>0.05</v>
      </c>
      <c r="M13" s="1173" t="s">
        <v>1140</v>
      </c>
      <c r="N13" s="1174" t="str">
        <f t="shared" si="12"/>
        <v/>
      </c>
      <c r="O13" s="1177">
        <v>1800000</v>
      </c>
      <c r="P13" s="173" t="e">
        <f t="shared" si="14"/>
        <v>#VALUE!</v>
      </c>
      <c r="Q13" s="561" t="str">
        <f t="shared" si="15"/>
        <v/>
      </c>
      <c r="R13" s="1112">
        <f t="shared" si="16"/>
        <v>2397002.19</v>
      </c>
      <c r="S13" s="1178"/>
      <c r="T13" s="975"/>
      <c r="U13" s="326" t="str">
        <f t="shared" si="17"/>
        <v/>
      </c>
      <c r="V13" s="1177">
        <v>1800000</v>
      </c>
      <c r="W13" s="173" t="e">
        <f t="shared" si="18"/>
        <v>#VALUE!</v>
      </c>
      <c r="X13" s="561" t="str">
        <f t="shared" si="19"/>
        <v/>
      </c>
      <c r="Y13" s="1112">
        <f t="shared" si="20"/>
        <v>1107780.55</v>
      </c>
      <c r="Z13" s="1178"/>
      <c r="AA13" s="975"/>
      <c r="AB13" s="326" t="str">
        <f t="shared" si="21"/>
        <v/>
      </c>
      <c r="AC13" s="1177">
        <v>1800000</v>
      </c>
      <c r="AD13" s="173" t="e">
        <f t="shared" si="22"/>
        <v>#VALUE!</v>
      </c>
      <c r="AE13" s="561" t="str">
        <f t="shared" si="23"/>
        <v/>
      </c>
      <c r="AF13" s="1112">
        <f t="shared" si="24"/>
        <v>625697.39</v>
      </c>
      <c r="AG13" s="1178"/>
      <c r="AH13" s="975"/>
      <c r="AI13" s="332">
        <f t="shared" si="25"/>
        <v>5400000</v>
      </c>
      <c r="AJ13" s="140" t="str">
        <f t="shared" si="26"/>
        <v>0</v>
      </c>
      <c r="AK13" s="326" t="e">
        <f t="shared" ref="AK13:AM13" si="107">AD13+W13+P13</f>
        <v>#VALUE!</v>
      </c>
      <c r="AL13" s="326" t="e">
        <f t="shared" si="107"/>
        <v>#VALUE!</v>
      </c>
      <c r="AM13" s="326">
        <f t="shared" si="107"/>
        <v>4130480.13</v>
      </c>
      <c r="AN13" s="326">
        <f t="shared" si="28"/>
        <v>4130480.13</v>
      </c>
      <c r="AO13" s="98" t="str">
        <f t="shared" ref="AO13:AO58" si="108">IFERROR(AM13/AJ13,"")</f>
        <v/>
      </c>
      <c r="AP13" s="125" t="str">
        <f t="shared" si="30"/>
        <v/>
      </c>
      <c r="AQ13" s="326" t="e">
        <f t="shared" si="31"/>
        <v>#VALUE!</v>
      </c>
      <c r="AR13" s="326" t="str">
        <f t="shared" si="32"/>
        <v/>
      </c>
      <c r="AS13" s="123">
        <f t="shared" si="33"/>
        <v>426934.58</v>
      </c>
      <c r="AT13" s="332" t="str">
        <f t="shared" si="34"/>
        <v/>
      </c>
      <c r="AU13" s="140" t="e">
        <f t="shared" si="35"/>
        <v>#VALUE!</v>
      </c>
      <c r="AV13" s="326" t="str">
        <f t="shared" si="36"/>
        <v/>
      </c>
      <c r="AW13" s="333">
        <f t="shared" si="37"/>
        <v>491051.55</v>
      </c>
      <c r="AX13" s="123" t="str">
        <f t="shared" si="38"/>
        <v/>
      </c>
      <c r="AY13" s="123" t="e">
        <f t="shared" si="39"/>
        <v>#VALUE!</v>
      </c>
      <c r="AZ13" s="123" t="str">
        <f t="shared" si="40"/>
        <v/>
      </c>
      <c r="BA13" s="125">
        <f t="shared" si="41"/>
        <v>184674.8</v>
      </c>
      <c r="BB13" s="1175" t="e">
        <f t="shared" ref="BB13:BD13" si="109">SUM(AQ13,AU13,AY13)</f>
        <v>#VALUE!</v>
      </c>
      <c r="BC13" s="326">
        <f t="shared" si="109"/>
        <v>0</v>
      </c>
      <c r="BD13" s="333">
        <f t="shared" si="109"/>
        <v>1102660.93</v>
      </c>
      <c r="BE13" s="100" t="e">
        <f t="shared" si="43"/>
        <v>#VALUE!</v>
      </c>
      <c r="BF13" s="116" t="e">
        <f t="shared" ref="BF13:BG13" si="110">BC13+AL13</f>
        <v>#VALUE!</v>
      </c>
      <c r="BG13" s="119">
        <f t="shared" si="110"/>
        <v>5233141.0599999996</v>
      </c>
      <c r="BH13" s="125" t="str">
        <f t="shared" si="45"/>
        <v/>
      </c>
      <c r="BI13" s="1041" t="e">
        <f t="shared" si="46"/>
        <v>#VALUE!</v>
      </c>
      <c r="BJ13" s="326" t="str">
        <f t="shared" si="47"/>
        <v/>
      </c>
      <c r="BK13" s="1045">
        <f t="shared" si="48"/>
        <v>651520.80000000005</v>
      </c>
      <c r="BL13" s="125" t="str">
        <f t="shared" si="49"/>
        <v/>
      </c>
      <c r="BM13" s="140" t="e">
        <f t="shared" si="50"/>
        <v>#VALUE!</v>
      </c>
      <c r="BN13" s="123" t="str">
        <f t="shared" si="51"/>
        <v/>
      </c>
      <c r="BO13" s="148">
        <f t="shared" si="52"/>
        <v>617538.23</v>
      </c>
      <c r="BP13" s="123" t="str">
        <f t="shared" si="53"/>
        <v/>
      </c>
      <c r="BQ13" s="123" t="e">
        <f t="shared" si="54"/>
        <v>#VALUE!</v>
      </c>
      <c r="BR13" s="123" t="str">
        <f t="shared" si="55"/>
        <v/>
      </c>
      <c r="BS13" s="125">
        <f t="shared" si="56"/>
        <v>510335.05</v>
      </c>
      <c r="BT13" s="586" t="e">
        <f t="shared" ref="BT13:BV13" si="111">SUM(BQ13,BM13,BI13)</f>
        <v>#VALUE!</v>
      </c>
      <c r="BU13" s="1168">
        <f t="shared" si="111"/>
        <v>0</v>
      </c>
      <c r="BV13" s="1067">
        <f t="shared" si="111"/>
        <v>1779394.08</v>
      </c>
      <c r="BW13" s="125" t="str">
        <f t="shared" si="58"/>
        <v/>
      </c>
      <c r="BX13" s="140" t="e">
        <f t="shared" si="59"/>
        <v>#VALUE!</v>
      </c>
      <c r="BY13" s="123" t="str">
        <f t="shared" si="60"/>
        <v/>
      </c>
      <c r="BZ13" s="148">
        <f t="shared" si="61"/>
        <v>1804866.38</v>
      </c>
      <c r="CA13" s="123" t="str">
        <f t="shared" si="62"/>
        <v/>
      </c>
      <c r="CB13" s="326" t="str">
        <f t="shared" si="63"/>
        <v/>
      </c>
      <c r="CU13" s="294"/>
    </row>
    <row r="14" spans="1:115" ht="13">
      <c r="A14" s="788">
        <f t="shared" si="0"/>
        <v>112011976</v>
      </c>
      <c r="B14" s="636" t="e">
        <f t="shared" si="1"/>
        <v>#N/A</v>
      </c>
      <c r="C14" s="558" t="str">
        <f t="shared" si="2"/>
        <v/>
      </c>
      <c r="D14" s="558" t="str">
        <f t="shared" si="3"/>
        <v/>
      </c>
      <c r="E14" s="559" t="str">
        <f t="shared" si="4"/>
        <v/>
      </c>
      <c r="F14" s="836" t="e">
        <f t="shared" si="5"/>
        <v>#N/A</v>
      </c>
      <c r="G14" s="558" t="str">
        <f t="shared" si="6"/>
        <v/>
      </c>
      <c r="H14" s="558" t="str">
        <f t="shared" si="7"/>
        <v/>
      </c>
      <c r="I14" s="559" t="str">
        <f t="shared" si="8"/>
        <v/>
      </c>
      <c r="J14" s="837">
        <f t="shared" si="9"/>
        <v>63</v>
      </c>
      <c r="K14" s="558">
        <f t="shared" si="10"/>
        <v>0.1</v>
      </c>
      <c r="L14" s="715">
        <f t="shared" si="11"/>
        <v>0.05</v>
      </c>
      <c r="M14" s="1173" t="s">
        <v>1111</v>
      </c>
      <c r="N14" s="1174" t="str">
        <f t="shared" si="12"/>
        <v/>
      </c>
      <c r="O14" s="1177">
        <v>1800000</v>
      </c>
      <c r="P14" s="173" t="e">
        <f t="shared" si="14"/>
        <v>#VALUE!</v>
      </c>
      <c r="Q14" s="561" t="str">
        <f t="shared" si="15"/>
        <v/>
      </c>
      <c r="R14" s="1112" t="str">
        <f t="shared" si="16"/>
        <v/>
      </c>
      <c r="S14" s="1178"/>
      <c r="T14" s="975"/>
      <c r="U14" s="326" t="str">
        <f t="shared" si="17"/>
        <v/>
      </c>
      <c r="V14" s="1177">
        <v>1800000</v>
      </c>
      <c r="W14" s="173" t="e">
        <f t="shared" si="18"/>
        <v>#VALUE!</v>
      </c>
      <c r="X14" s="561" t="str">
        <f t="shared" si="19"/>
        <v/>
      </c>
      <c r="Y14" s="1112" t="str">
        <f t="shared" si="20"/>
        <v/>
      </c>
      <c r="Z14" s="1178"/>
      <c r="AA14" s="975"/>
      <c r="AB14" s="326" t="str">
        <f t="shared" si="21"/>
        <v/>
      </c>
      <c r="AC14" s="1177">
        <v>1800000</v>
      </c>
      <c r="AD14" s="173" t="e">
        <f t="shared" si="22"/>
        <v>#VALUE!</v>
      </c>
      <c r="AE14" s="561" t="str">
        <f t="shared" si="23"/>
        <v/>
      </c>
      <c r="AF14" s="1112" t="str">
        <f t="shared" si="24"/>
        <v/>
      </c>
      <c r="AG14" s="1178"/>
      <c r="AH14" s="975"/>
      <c r="AI14" s="332">
        <f t="shared" si="25"/>
        <v>5400000</v>
      </c>
      <c r="AJ14" s="140">
        <f t="shared" si="26"/>
        <v>1753800.54</v>
      </c>
      <c r="AK14" s="326" t="e">
        <f t="shared" ref="AK14:AM14" si="112">AD14+W14+P14</f>
        <v>#VALUE!</v>
      </c>
      <c r="AL14" s="326" t="e">
        <f t="shared" si="112"/>
        <v>#VALUE!</v>
      </c>
      <c r="AM14" s="326" t="e">
        <f t="shared" si="112"/>
        <v>#VALUE!</v>
      </c>
      <c r="AN14" s="326" t="e">
        <f t="shared" si="28"/>
        <v>#VALUE!</v>
      </c>
      <c r="AO14" s="98" t="str">
        <f t="shared" si="108"/>
        <v/>
      </c>
      <c r="AP14" s="125" t="str">
        <f t="shared" si="30"/>
        <v/>
      </c>
      <c r="AQ14" s="326" t="e">
        <f t="shared" si="31"/>
        <v>#VALUE!</v>
      </c>
      <c r="AR14" s="326" t="str">
        <f t="shared" si="32"/>
        <v/>
      </c>
      <c r="AS14" s="123" t="str">
        <f t="shared" si="33"/>
        <v/>
      </c>
      <c r="AT14" s="332" t="str">
        <f t="shared" si="34"/>
        <v/>
      </c>
      <c r="AU14" s="140" t="e">
        <f t="shared" si="35"/>
        <v>#VALUE!</v>
      </c>
      <c r="AV14" s="326" t="str">
        <f t="shared" si="36"/>
        <v/>
      </c>
      <c r="AW14" s="333" t="str">
        <f t="shared" si="37"/>
        <v/>
      </c>
      <c r="AX14" s="123" t="str">
        <f t="shared" si="38"/>
        <v/>
      </c>
      <c r="AY14" s="123" t="e">
        <f t="shared" si="39"/>
        <v>#VALUE!</v>
      </c>
      <c r="AZ14" s="123" t="str">
        <f t="shared" si="40"/>
        <v/>
      </c>
      <c r="BA14" s="125" t="str">
        <f t="shared" si="41"/>
        <v/>
      </c>
      <c r="BB14" s="1175" t="e">
        <f t="shared" ref="BB14:BD14" si="113">SUM(AQ14,AU14,AY14)</f>
        <v>#VALUE!</v>
      </c>
      <c r="BC14" s="326">
        <f t="shared" si="113"/>
        <v>0</v>
      </c>
      <c r="BD14" s="333">
        <f t="shared" si="113"/>
        <v>0</v>
      </c>
      <c r="BE14" s="100" t="e">
        <f t="shared" si="43"/>
        <v>#VALUE!</v>
      </c>
      <c r="BF14" s="116" t="e">
        <f t="shared" ref="BF14:BG14" si="114">BC14+AL14</f>
        <v>#VALUE!</v>
      </c>
      <c r="BG14" s="119" t="e">
        <f t="shared" si="114"/>
        <v>#VALUE!</v>
      </c>
      <c r="BH14" s="125" t="str">
        <f t="shared" si="45"/>
        <v/>
      </c>
      <c r="BI14" s="1041" t="e">
        <f t="shared" si="46"/>
        <v>#VALUE!</v>
      </c>
      <c r="BJ14" s="326" t="str">
        <f t="shared" si="47"/>
        <v/>
      </c>
      <c r="BK14" s="1045" t="str">
        <f t="shared" si="48"/>
        <v/>
      </c>
      <c r="BL14" s="125" t="str">
        <f t="shared" si="49"/>
        <v/>
      </c>
      <c r="BM14" s="140" t="e">
        <f t="shared" si="50"/>
        <v>#VALUE!</v>
      </c>
      <c r="BN14" s="123" t="str">
        <f t="shared" si="51"/>
        <v/>
      </c>
      <c r="BO14" s="148" t="str">
        <f t="shared" si="52"/>
        <v/>
      </c>
      <c r="BP14" s="123" t="str">
        <f t="shared" si="53"/>
        <v/>
      </c>
      <c r="BQ14" s="123" t="e">
        <f t="shared" si="54"/>
        <v>#VALUE!</v>
      </c>
      <c r="BR14" s="123" t="str">
        <f t="shared" si="55"/>
        <v/>
      </c>
      <c r="BS14" s="125" t="str">
        <f t="shared" si="56"/>
        <v/>
      </c>
      <c r="BT14" s="586" t="e">
        <f t="shared" ref="BT14:BV14" si="115">SUM(BQ14,BM14,BI14)</f>
        <v>#VALUE!</v>
      </c>
      <c r="BU14" s="1168">
        <f t="shared" si="115"/>
        <v>0</v>
      </c>
      <c r="BV14" s="1067">
        <f t="shared" si="115"/>
        <v>0</v>
      </c>
      <c r="BW14" s="125" t="str">
        <f t="shared" si="58"/>
        <v/>
      </c>
      <c r="BX14" s="140" t="e">
        <f t="shared" si="59"/>
        <v>#VALUE!</v>
      </c>
      <c r="BY14" s="123" t="str">
        <f t="shared" si="60"/>
        <v/>
      </c>
      <c r="BZ14" s="148" t="str">
        <f t="shared" si="61"/>
        <v/>
      </c>
      <c r="CA14" s="123" t="str">
        <f t="shared" si="62"/>
        <v/>
      </c>
      <c r="CB14" s="326" t="str">
        <f t="shared" si="63"/>
        <v/>
      </c>
      <c r="CU14" s="294"/>
    </row>
    <row r="15" spans="1:115" ht="13">
      <c r="A15" s="788">
        <f t="shared" si="0"/>
        <v>112010650</v>
      </c>
      <c r="B15" s="636" t="e">
        <f t="shared" si="1"/>
        <v>#N/A</v>
      </c>
      <c r="C15" s="558" t="str">
        <f t="shared" si="2"/>
        <v/>
      </c>
      <c r="D15" s="558" t="str">
        <f t="shared" si="3"/>
        <v/>
      </c>
      <c r="E15" s="559" t="str">
        <f t="shared" si="4"/>
        <v/>
      </c>
      <c r="F15" s="836" t="e">
        <f t="shared" si="5"/>
        <v>#N/A</v>
      </c>
      <c r="G15" s="558" t="str">
        <f t="shared" si="6"/>
        <v/>
      </c>
      <c r="H15" s="558" t="str">
        <f t="shared" si="7"/>
        <v/>
      </c>
      <c r="I15" s="559" t="str">
        <f t="shared" si="8"/>
        <v/>
      </c>
      <c r="J15" s="837">
        <f t="shared" si="9"/>
        <v>63</v>
      </c>
      <c r="K15" s="558">
        <f t="shared" si="10"/>
        <v>0.1</v>
      </c>
      <c r="L15" s="715">
        <f t="shared" si="11"/>
        <v>0.05</v>
      </c>
      <c r="M15" s="1173" t="s">
        <v>1110</v>
      </c>
      <c r="N15" s="1174" t="str">
        <f t="shared" si="12"/>
        <v/>
      </c>
      <c r="O15" s="1177">
        <v>1800000</v>
      </c>
      <c r="P15" s="173" t="e">
        <f t="shared" si="14"/>
        <v>#VALUE!</v>
      </c>
      <c r="Q15" s="326" t="str">
        <f t="shared" si="15"/>
        <v/>
      </c>
      <c r="R15" s="333" t="str">
        <f t="shared" si="16"/>
        <v/>
      </c>
      <c r="S15" s="123"/>
      <c r="T15" s="326"/>
      <c r="U15" s="326" t="str">
        <f t="shared" si="17"/>
        <v/>
      </c>
      <c r="V15" s="332">
        <v>1800000</v>
      </c>
      <c r="W15" s="173" t="e">
        <f t="shared" si="18"/>
        <v>#VALUE!</v>
      </c>
      <c r="X15" s="561" t="str">
        <f t="shared" si="19"/>
        <v/>
      </c>
      <c r="Y15" s="1112" t="str">
        <f t="shared" si="20"/>
        <v/>
      </c>
      <c r="Z15" s="123"/>
      <c r="AA15" s="326"/>
      <c r="AB15" s="326" t="str">
        <f t="shared" si="21"/>
        <v/>
      </c>
      <c r="AC15" s="332">
        <v>1800000</v>
      </c>
      <c r="AD15" s="173" t="e">
        <f t="shared" si="22"/>
        <v>#VALUE!</v>
      </c>
      <c r="AE15" s="561" t="str">
        <f t="shared" si="23"/>
        <v/>
      </c>
      <c r="AF15" s="1112" t="str">
        <f t="shared" si="24"/>
        <v/>
      </c>
      <c r="AG15" s="123"/>
      <c r="AH15" s="326"/>
      <c r="AI15" s="332">
        <f t="shared" si="25"/>
        <v>5400000</v>
      </c>
      <c r="AJ15" s="140">
        <f t="shared" si="26"/>
        <v>6671179.5099999998</v>
      </c>
      <c r="AK15" s="326" t="e">
        <f t="shared" ref="AK15:AM15" si="116">AD15+W15+P15</f>
        <v>#VALUE!</v>
      </c>
      <c r="AL15" s="326" t="e">
        <f t="shared" si="116"/>
        <v>#VALUE!</v>
      </c>
      <c r="AM15" s="326" t="e">
        <f t="shared" si="116"/>
        <v>#VALUE!</v>
      </c>
      <c r="AN15" s="326" t="e">
        <f t="shared" si="28"/>
        <v>#VALUE!</v>
      </c>
      <c r="AO15" s="98" t="str">
        <f t="shared" si="108"/>
        <v/>
      </c>
      <c r="AP15" s="125" t="str">
        <f t="shared" si="30"/>
        <v/>
      </c>
      <c r="AQ15" s="326" t="e">
        <f t="shared" si="31"/>
        <v>#VALUE!</v>
      </c>
      <c r="AR15" s="326" t="str">
        <f t="shared" si="32"/>
        <v/>
      </c>
      <c r="AS15" s="123" t="str">
        <f t="shared" si="33"/>
        <v/>
      </c>
      <c r="AT15" s="332" t="str">
        <f t="shared" si="34"/>
        <v/>
      </c>
      <c r="AU15" s="140" t="e">
        <f t="shared" si="35"/>
        <v>#VALUE!</v>
      </c>
      <c r="AV15" s="326" t="str">
        <f t="shared" si="36"/>
        <v/>
      </c>
      <c r="AW15" s="333" t="str">
        <f t="shared" si="37"/>
        <v/>
      </c>
      <c r="AX15" s="123" t="str">
        <f t="shared" si="38"/>
        <v/>
      </c>
      <c r="AY15" s="123" t="e">
        <f t="shared" si="39"/>
        <v>#VALUE!</v>
      </c>
      <c r="AZ15" s="123" t="str">
        <f t="shared" si="40"/>
        <v/>
      </c>
      <c r="BA15" s="125" t="str">
        <f t="shared" si="41"/>
        <v/>
      </c>
      <c r="BB15" s="1175" t="e">
        <f t="shared" ref="BB15:BD15" si="117">SUM(AQ15,AU15,AY15)</f>
        <v>#VALUE!</v>
      </c>
      <c r="BC15" s="326">
        <f t="shared" si="117"/>
        <v>0</v>
      </c>
      <c r="BD15" s="333">
        <f t="shared" si="117"/>
        <v>0</v>
      </c>
      <c r="BE15" s="100" t="e">
        <f t="shared" si="43"/>
        <v>#VALUE!</v>
      </c>
      <c r="BF15" s="116" t="e">
        <f t="shared" ref="BF15:BG15" si="118">BC15+AL15</f>
        <v>#VALUE!</v>
      </c>
      <c r="BG15" s="119" t="e">
        <f t="shared" si="118"/>
        <v>#VALUE!</v>
      </c>
      <c r="BH15" s="125" t="str">
        <f t="shared" si="45"/>
        <v/>
      </c>
      <c r="BI15" s="1041" t="e">
        <f t="shared" si="46"/>
        <v>#VALUE!</v>
      </c>
      <c r="BJ15" s="326" t="str">
        <f t="shared" si="47"/>
        <v/>
      </c>
      <c r="BK15" s="1045" t="str">
        <f t="shared" si="48"/>
        <v/>
      </c>
      <c r="BL15" s="125" t="str">
        <f t="shared" si="49"/>
        <v/>
      </c>
      <c r="BM15" s="140" t="e">
        <f t="shared" si="50"/>
        <v>#VALUE!</v>
      </c>
      <c r="BN15" s="123" t="str">
        <f t="shared" si="51"/>
        <v/>
      </c>
      <c r="BO15" s="148" t="str">
        <f t="shared" si="52"/>
        <v/>
      </c>
      <c r="BP15" s="123" t="str">
        <f t="shared" si="53"/>
        <v/>
      </c>
      <c r="BQ15" s="123" t="e">
        <f t="shared" si="54"/>
        <v>#VALUE!</v>
      </c>
      <c r="BR15" s="123" t="str">
        <f t="shared" si="55"/>
        <v/>
      </c>
      <c r="BS15" s="125" t="str">
        <f t="shared" si="56"/>
        <v/>
      </c>
      <c r="BT15" s="140" t="e">
        <f t="shared" ref="BT15:BV15" si="119">SUM(BQ15,BM15,BI15)</f>
        <v>#VALUE!</v>
      </c>
      <c r="BU15" s="123">
        <f t="shared" si="119"/>
        <v>0</v>
      </c>
      <c r="BV15" s="148">
        <f t="shared" si="119"/>
        <v>0</v>
      </c>
      <c r="BW15" s="125" t="str">
        <f t="shared" si="58"/>
        <v/>
      </c>
      <c r="BX15" s="140" t="e">
        <f t="shared" si="59"/>
        <v>#VALUE!</v>
      </c>
      <c r="BY15" s="123" t="str">
        <f t="shared" si="60"/>
        <v/>
      </c>
      <c r="BZ15" s="148" t="str">
        <f t="shared" si="61"/>
        <v/>
      </c>
      <c r="CA15" s="123" t="str">
        <f t="shared" si="62"/>
        <v/>
      </c>
      <c r="CB15" s="326" t="str">
        <f t="shared" si="63"/>
        <v/>
      </c>
      <c r="CE15" s="231" t="s">
        <v>78</v>
      </c>
      <c r="CF15" s="232"/>
      <c r="CG15" s="232"/>
      <c r="CP15" s="294"/>
      <c r="CU15" s="294"/>
    </row>
    <row r="16" spans="1:115" ht="13">
      <c r="A16" s="788">
        <f t="shared" si="0"/>
        <v>112012211</v>
      </c>
      <c r="B16" s="636" t="e">
        <f t="shared" si="1"/>
        <v>#N/A</v>
      </c>
      <c r="C16" s="558" t="str">
        <f t="shared" si="2"/>
        <v/>
      </c>
      <c r="D16" s="558" t="str">
        <f t="shared" si="3"/>
        <v/>
      </c>
      <c r="E16" s="559" t="str">
        <f t="shared" si="4"/>
        <v/>
      </c>
      <c r="F16" s="836" t="e">
        <f t="shared" si="5"/>
        <v>#N/A</v>
      </c>
      <c r="G16" s="558" t="str">
        <f t="shared" si="6"/>
        <v/>
      </c>
      <c r="H16" s="558" t="str">
        <f t="shared" si="7"/>
        <v/>
      </c>
      <c r="I16" s="559" t="str">
        <f t="shared" si="8"/>
        <v/>
      </c>
      <c r="J16" s="837">
        <f t="shared" si="9"/>
        <v>63</v>
      </c>
      <c r="K16" s="558">
        <f t="shared" si="10"/>
        <v>0.1</v>
      </c>
      <c r="L16" s="715">
        <f t="shared" si="11"/>
        <v>0.05</v>
      </c>
      <c r="M16" s="1173" t="s">
        <v>496</v>
      </c>
      <c r="N16" s="1174" t="str">
        <f t="shared" si="12"/>
        <v/>
      </c>
      <c r="O16" s="1177">
        <v>1800000</v>
      </c>
      <c r="P16" s="173" t="e">
        <f t="shared" si="14"/>
        <v>#VALUE!</v>
      </c>
      <c r="Q16" s="561" t="str">
        <f t="shared" si="15"/>
        <v/>
      </c>
      <c r="R16" s="1112" t="str">
        <f t="shared" si="16"/>
        <v/>
      </c>
      <c r="S16" s="1178"/>
      <c r="T16" s="975"/>
      <c r="U16" s="326" t="str">
        <f t="shared" si="17"/>
        <v/>
      </c>
      <c r="V16" s="1177">
        <v>1800000</v>
      </c>
      <c r="W16" s="173" t="e">
        <f t="shared" si="18"/>
        <v>#VALUE!</v>
      </c>
      <c r="X16" s="561" t="str">
        <f t="shared" si="19"/>
        <v/>
      </c>
      <c r="Y16" s="1112" t="str">
        <f t="shared" si="20"/>
        <v/>
      </c>
      <c r="Z16" s="1178"/>
      <c r="AA16" s="975"/>
      <c r="AB16" s="326" t="str">
        <f t="shared" si="21"/>
        <v/>
      </c>
      <c r="AC16" s="1177">
        <v>1800000</v>
      </c>
      <c r="AD16" s="173" t="e">
        <f t="shared" si="22"/>
        <v>#VALUE!</v>
      </c>
      <c r="AE16" s="561" t="str">
        <f t="shared" si="23"/>
        <v/>
      </c>
      <c r="AF16" s="1112" t="str">
        <f t="shared" si="24"/>
        <v/>
      </c>
      <c r="AG16" s="1178"/>
      <c r="AH16" s="975"/>
      <c r="AI16" s="332">
        <f t="shared" si="25"/>
        <v>5400000</v>
      </c>
      <c r="AJ16" s="140">
        <f t="shared" si="26"/>
        <v>4646114.57</v>
      </c>
      <c r="AK16" s="326" t="e">
        <f t="shared" ref="AK16:AM16" si="120">AD16+W16+P16</f>
        <v>#VALUE!</v>
      </c>
      <c r="AL16" s="326" t="e">
        <f t="shared" si="120"/>
        <v>#VALUE!</v>
      </c>
      <c r="AM16" s="326" t="e">
        <f t="shared" si="120"/>
        <v>#VALUE!</v>
      </c>
      <c r="AN16" s="326" t="e">
        <f t="shared" si="28"/>
        <v>#VALUE!</v>
      </c>
      <c r="AO16" s="98" t="str">
        <f t="shared" si="108"/>
        <v/>
      </c>
      <c r="AP16" s="125" t="str">
        <f t="shared" si="30"/>
        <v/>
      </c>
      <c r="AQ16" s="326" t="e">
        <f t="shared" si="31"/>
        <v>#VALUE!</v>
      </c>
      <c r="AR16" s="326" t="str">
        <f t="shared" si="32"/>
        <v/>
      </c>
      <c r="AS16" s="123" t="str">
        <f t="shared" si="33"/>
        <v/>
      </c>
      <c r="AT16" s="332" t="str">
        <f t="shared" si="34"/>
        <v/>
      </c>
      <c r="AU16" s="140" t="e">
        <f t="shared" si="35"/>
        <v>#VALUE!</v>
      </c>
      <c r="AV16" s="326" t="str">
        <f t="shared" si="36"/>
        <v/>
      </c>
      <c r="AW16" s="333" t="str">
        <f t="shared" si="37"/>
        <v/>
      </c>
      <c r="AX16" s="123" t="str">
        <f t="shared" si="38"/>
        <v/>
      </c>
      <c r="AY16" s="123" t="e">
        <f t="shared" si="39"/>
        <v>#VALUE!</v>
      </c>
      <c r="AZ16" s="123" t="str">
        <f t="shared" si="40"/>
        <v/>
      </c>
      <c r="BA16" s="125" t="str">
        <f t="shared" si="41"/>
        <v/>
      </c>
      <c r="BB16" s="1175" t="e">
        <f t="shared" ref="BB16:BD16" si="121">SUM(AQ16,AU16,AY16)</f>
        <v>#VALUE!</v>
      </c>
      <c r="BC16" s="326">
        <f t="shared" si="121"/>
        <v>0</v>
      </c>
      <c r="BD16" s="333">
        <f t="shared" si="121"/>
        <v>0</v>
      </c>
      <c r="BE16" s="100" t="e">
        <f t="shared" si="43"/>
        <v>#VALUE!</v>
      </c>
      <c r="BF16" s="116" t="e">
        <f t="shared" ref="BF16:BG16" si="122">BC16+AL16</f>
        <v>#VALUE!</v>
      </c>
      <c r="BG16" s="119" t="e">
        <f t="shared" si="122"/>
        <v>#VALUE!</v>
      </c>
      <c r="BH16" s="125" t="str">
        <f t="shared" si="45"/>
        <v/>
      </c>
      <c r="BI16" s="1041" t="e">
        <f t="shared" si="46"/>
        <v>#VALUE!</v>
      </c>
      <c r="BJ16" s="326" t="str">
        <f t="shared" si="47"/>
        <v/>
      </c>
      <c r="BK16" s="1045" t="str">
        <f t="shared" si="48"/>
        <v/>
      </c>
      <c r="BL16" s="125" t="str">
        <f t="shared" si="49"/>
        <v/>
      </c>
      <c r="BM16" s="140" t="e">
        <f t="shared" si="50"/>
        <v>#VALUE!</v>
      </c>
      <c r="BN16" s="123" t="str">
        <f t="shared" si="51"/>
        <v/>
      </c>
      <c r="BO16" s="148" t="str">
        <f t="shared" si="52"/>
        <v/>
      </c>
      <c r="BP16" s="123" t="str">
        <f t="shared" si="53"/>
        <v/>
      </c>
      <c r="BQ16" s="123" t="e">
        <f t="shared" si="54"/>
        <v>#VALUE!</v>
      </c>
      <c r="BR16" s="123" t="str">
        <f t="shared" si="55"/>
        <v/>
      </c>
      <c r="BS16" s="125" t="str">
        <f t="shared" si="56"/>
        <v/>
      </c>
      <c r="BT16" s="140" t="e">
        <f t="shared" ref="BT16:BV16" si="123">SUM(BQ16,BM16,BI16)</f>
        <v>#VALUE!</v>
      </c>
      <c r="BU16" s="123">
        <f t="shared" si="123"/>
        <v>0</v>
      </c>
      <c r="BV16" s="148">
        <f t="shared" si="123"/>
        <v>0</v>
      </c>
      <c r="BW16" s="125" t="str">
        <f t="shared" si="58"/>
        <v/>
      </c>
      <c r="BX16" s="140" t="e">
        <f t="shared" si="59"/>
        <v>#VALUE!</v>
      </c>
      <c r="BY16" s="123" t="str">
        <f t="shared" si="60"/>
        <v/>
      </c>
      <c r="BZ16" s="148" t="str">
        <f t="shared" si="61"/>
        <v/>
      </c>
      <c r="CA16" s="123" t="str">
        <f t="shared" si="62"/>
        <v/>
      </c>
      <c r="CB16" s="326" t="str">
        <f t="shared" si="63"/>
        <v/>
      </c>
      <c r="CE16" s="231" t="s">
        <v>80</v>
      </c>
      <c r="CF16" s="232"/>
      <c r="CG16" s="232"/>
      <c r="CP16" s="294"/>
      <c r="CU16" s="294"/>
    </row>
    <row r="17" spans="1:99" ht="13">
      <c r="A17" s="788">
        <f t="shared" si="0"/>
        <v>112010497</v>
      </c>
      <c r="B17" s="636" t="e">
        <f t="shared" si="1"/>
        <v>#N/A</v>
      </c>
      <c r="C17" s="558" t="str">
        <f t="shared" si="2"/>
        <v/>
      </c>
      <c r="D17" s="558" t="str">
        <f t="shared" si="3"/>
        <v/>
      </c>
      <c r="E17" s="559" t="str">
        <f t="shared" si="4"/>
        <v/>
      </c>
      <c r="F17" s="836" t="e">
        <f t="shared" si="5"/>
        <v>#N/A</v>
      </c>
      <c r="G17" s="558" t="str">
        <f t="shared" si="6"/>
        <v/>
      </c>
      <c r="H17" s="558" t="str">
        <f t="shared" si="7"/>
        <v/>
      </c>
      <c r="I17" s="559" t="str">
        <f t="shared" si="8"/>
        <v/>
      </c>
      <c r="J17" s="837">
        <f t="shared" si="9"/>
        <v>63</v>
      </c>
      <c r="K17" s="558">
        <f t="shared" si="10"/>
        <v>0.1</v>
      </c>
      <c r="L17" s="715">
        <f t="shared" si="11"/>
        <v>0.05</v>
      </c>
      <c r="M17" s="1173" t="s">
        <v>1109</v>
      </c>
      <c r="N17" s="1174" t="str">
        <f t="shared" si="12"/>
        <v/>
      </c>
      <c r="O17" s="1177">
        <v>1800000</v>
      </c>
      <c r="P17" s="173" t="e">
        <f t="shared" si="14"/>
        <v>#VALUE!</v>
      </c>
      <c r="Q17" s="561" t="str">
        <f t="shared" si="15"/>
        <v/>
      </c>
      <c r="R17" s="1112" t="str">
        <f t="shared" si="16"/>
        <v/>
      </c>
      <c r="S17" s="1178"/>
      <c r="T17" s="975"/>
      <c r="U17" s="326" t="str">
        <f t="shared" si="17"/>
        <v/>
      </c>
      <c r="V17" s="1177">
        <v>1800000</v>
      </c>
      <c r="W17" s="173" t="e">
        <f t="shared" si="18"/>
        <v>#VALUE!</v>
      </c>
      <c r="X17" s="561" t="str">
        <f t="shared" si="19"/>
        <v/>
      </c>
      <c r="Y17" s="1112" t="str">
        <f t="shared" si="20"/>
        <v/>
      </c>
      <c r="Z17" s="1178"/>
      <c r="AA17" s="975"/>
      <c r="AB17" s="326" t="str">
        <f t="shared" si="21"/>
        <v/>
      </c>
      <c r="AC17" s="1177">
        <v>1800000</v>
      </c>
      <c r="AD17" s="173" t="e">
        <f t="shared" si="22"/>
        <v>#VALUE!</v>
      </c>
      <c r="AE17" s="561" t="str">
        <f t="shared" si="23"/>
        <v/>
      </c>
      <c r="AF17" s="1112" t="str">
        <f t="shared" si="24"/>
        <v/>
      </c>
      <c r="AG17" s="1178"/>
      <c r="AH17" s="975"/>
      <c r="AI17" s="332">
        <f t="shared" si="25"/>
        <v>5400000</v>
      </c>
      <c r="AJ17" s="140">
        <f t="shared" si="26"/>
        <v>1614917.72</v>
      </c>
      <c r="AK17" s="326" t="e">
        <f t="shared" ref="AK17:AM17" si="124">AD17+W17+P17</f>
        <v>#VALUE!</v>
      </c>
      <c r="AL17" s="326" t="e">
        <f t="shared" si="124"/>
        <v>#VALUE!</v>
      </c>
      <c r="AM17" s="326" t="e">
        <f t="shared" si="124"/>
        <v>#VALUE!</v>
      </c>
      <c r="AN17" s="326" t="e">
        <f t="shared" si="28"/>
        <v>#VALUE!</v>
      </c>
      <c r="AO17" s="98" t="str">
        <f t="shared" si="108"/>
        <v/>
      </c>
      <c r="AP17" s="125" t="str">
        <f t="shared" si="30"/>
        <v/>
      </c>
      <c r="AQ17" s="326" t="e">
        <f t="shared" si="31"/>
        <v>#VALUE!</v>
      </c>
      <c r="AR17" s="326" t="str">
        <f t="shared" si="32"/>
        <v/>
      </c>
      <c r="AS17" s="123" t="str">
        <f t="shared" si="33"/>
        <v/>
      </c>
      <c r="AT17" s="332" t="str">
        <f t="shared" si="34"/>
        <v/>
      </c>
      <c r="AU17" s="140" t="e">
        <f t="shared" si="35"/>
        <v>#VALUE!</v>
      </c>
      <c r="AV17" s="326" t="str">
        <f t="shared" si="36"/>
        <v/>
      </c>
      <c r="AW17" s="333" t="str">
        <f t="shared" si="37"/>
        <v/>
      </c>
      <c r="AX17" s="123" t="str">
        <f t="shared" si="38"/>
        <v/>
      </c>
      <c r="AY17" s="123" t="e">
        <f t="shared" si="39"/>
        <v>#VALUE!</v>
      </c>
      <c r="AZ17" s="123" t="str">
        <f t="shared" si="40"/>
        <v/>
      </c>
      <c r="BA17" s="125" t="str">
        <f t="shared" si="41"/>
        <v/>
      </c>
      <c r="BB17" s="1175" t="e">
        <f t="shared" ref="BB17:BD17" si="125">SUM(AQ17,AU17,AY17)</f>
        <v>#VALUE!</v>
      </c>
      <c r="BC17" s="326">
        <f t="shared" si="125"/>
        <v>0</v>
      </c>
      <c r="BD17" s="333">
        <f t="shared" si="125"/>
        <v>0</v>
      </c>
      <c r="BE17" s="100" t="e">
        <f t="shared" si="43"/>
        <v>#VALUE!</v>
      </c>
      <c r="BF17" s="116" t="e">
        <f t="shared" ref="BF17:BG17" si="126">BC17+AL17</f>
        <v>#VALUE!</v>
      </c>
      <c r="BG17" s="119" t="e">
        <f t="shared" si="126"/>
        <v>#VALUE!</v>
      </c>
      <c r="BH17" s="125" t="str">
        <f t="shared" si="45"/>
        <v/>
      </c>
      <c r="BI17" s="1041" t="e">
        <f t="shared" si="46"/>
        <v>#VALUE!</v>
      </c>
      <c r="BJ17" s="326" t="str">
        <f t="shared" si="47"/>
        <v/>
      </c>
      <c r="BK17" s="1045" t="str">
        <f t="shared" si="48"/>
        <v/>
      </c>
      <c r="BL17" s="125" t="str">
        <f t="shared" si="49"/>
        <v/>
      </c>
      <c r="BM17" s="140" t="e">
        <f t="shared" si="50"/>
        <v>#VALUE!</v>
      </c>
      <c r="BN17" s="123" t="str">
        <f t="shared" si="51"/>
        <v/>
      </c>
      <c r="BO17" s="148" t="str">
        <f t="shared" si="52"/>
        <v/>
      </c>
      <c r="BP17" s="123" t="str">
        <f t="shared" si="53"/>
        <v/>
      </c>
      <c r="BQ17" s="123" t="e">
        <f t="shared" si="54"/>
        <v>#VALUE!</v>
      </c>
      <c r="BR17" s="123" t="str">
        <f t="shared" si="55"/>
        <v/>
      </c>
      <c r="BS17" s="125" t="str">
        <f t="shared" si="56"/>
        <v/>
      </c>
      <c r="BT17" s="140" t="e">
        <f t="shared" ref="BT17:BV17" si="127">SUM(BQ17,BM17,BI17)</f>
        <v>#VALUE!</v>
      </c>
      <c r="BU17" s="123">
        <f t="shared" si="127"/>
        <v>0</v>
      </c>
      <c r="BV17" s="148">
        <f t="shared" si="127"/>
        <v>0</v>
      </c>
      <c r="BW17" s="125" t="str">
        <f t="shared" si="58"/>
        <v/>
      </c>
      <c r="BX17" s="140" t="e">
        <f t="shared" si="59"/>
        <v>#VALUE!</v>
      </c>
      <c r="BY17" s="123" t="str">
        <f t="shared" si="60"/>
        <v/>
      </c>
      <c r="BZ17" s="148" t="str">
        <f t="shared" si="61"/>
        <v/>
      </c>
      <c r="CA17" s="123" t="str">
        <f t="shared" si="62"/>
        <v/>
      </c>
      <c r="CB17" s="326" t="str">
        <f t="shared" si="63"/>
        <v/>
      </c>
      <c r="CE17" s="231" t="s">
        <v>82</v>
      </c>
      <c r="CF17" s="232"/>
      <c r="CG17" s="232"/>
      <c r="CP17" s="294"/>
      <c r="CU17" s="294"/>
    </row>
    <row r="18" spans="1:99" ht="13">
      <c r="A18" s="788">
        <f t="shared" si="0"/>
        <v>112013707</v>
      </c>
      <c r="B18" s="636" t="e">
        <f t="shared" si="1"/>
        <v>#N/A</v>
      </c>
      <c r="C18" s="558" t="str">
        <f t="shared" si="2"/>
        <v/>
      </c>
      <c r="D18" s="558" t="str">
        <f t="shared" si="3"/>
        <v/>
      </c>
      <c r="E18" s="559" t="str">
        <f t="shared" si="4"/>
        <v/>
      </c>
      <c r="F18" s="836" t="e">
        <f t="shared" si="5"/>
        <v>#N/A</v>
      </c>
      <c r="G18" s="558" t="str">
        <f t="shared" si="6"/>
        <v/>
      </c>
      <c r="H18" s="558" t="str">
        <f t="shared" si="7"/>
        <v/>
      </c>
      <c r="I18" s="559" t="str">
        <f t="shared" si="8"/>
        <v/>
      </c>
      <c r="J18" s="837">
        <f t="shared" si="9"/>
        <v>63</v>
      </c>
      <c r="K18" s="558">
        <f t="shared" si="10"/>
        <v>0.1</v>
      </c>
      <c r="L18" s="715">
        <f t="shared" si="11"/>
        <v>0.05</v>
      </c>
      <c r="M18" s="1173" t="s">
        <v>1095</v>
      </c>
      <c r="N18" s="1174"/>
      <c r="O18" s="1177"/>
      <c r="P18" s="173" t="e">
        <f t="shared" si="14"/>
        <v>#VALUE!</v>
      </c>
      <c r="Q18" s="561" t="str">
        <f t="shared" si="15"/>
        <v/>
      </c>
      <c r="R18" s="1112" t="str">
        <f t="shared" si="16"/>
        <v/>
      </c>
      <c r="S18" s="1178"/>
      <c r="T18" s="975"/>
      <c r="U18" s="326"/>
      <c r="V18" s="1177"/>
      <c r="W18" s="173" t="e">
        <f t="shared" si="18"/>
        <v>#VALUE!</v>
      </c>
      <c r="X18" s="561" t="str">
        <f t="shared" si="19"/>
        <v/>
      </c>
      <c r="Y18" s="1112" t="str">
        <f t="shared" si="20"/>
        <v/>
      </c>
      <c r="Z18" s="1178"/>
      <c r="AA18" s="975"/>
      <c r="AB18" s="326"/>
      <c r="AC18" s="1177"/>
      <c r="AD18" s="173" t="e">
        <f t="shared" si="22"/>
        <v>#VALUE!</v>
      </c>
      <c r="AE18" s="561" t="str">
        <f t="shared" si="23"/>
        <v/>
      </c>
      <c r="AF18" s="1112" t="str">
        <f t="shared" si="24"/>
        <v/>
      </c>
      <c r="AG18" s="1178"/>
      <c r="AH18" s="975"/>
      <c r="AI18" s="332"/>
      <c r="AJ18" s="140">
        <f t="shared" si="26"/>
        <v>2371082.2400000002</v>
      </c>
      <c r="AK18" s="326" t="e">
        <f t="shared" ref="AK18:AM18" si="128">AD18+W18+P18</f>
        <v>#VALUE!</v>
      </c>
      <c r="AL18" s="326" t="e">
        <f t="shared" si="128"/>
        <v>#VALUE!</v>
      </c>
      <c r="AM18" s="326" t="e">
        <f t="shared" si="128"/>
        <v>#VALUE!</v>
      </c>
      <c r="AN18" s="326" t="e">
        <f t="shared" si="28"/>
        <v>#VALUE!</v>
      </c>
      <c r="AO18" s="98" t="str">
        <f t="shared" si="108"/>
        <v/>
      </c>
      <c r="AP18" s="125"/>
      <c r="AQ18" s="326" t="e">
        <f t="shared" si="31"/>
        <v>#VALUE!</v>
      </c>
      <c r="AR18" s="326" t="str">
        <f t="shared" si="32"/>
        <v/>
      </c>
      <c r="AS18" s="123" t="str">
        <f t="shared" si="33"/>
        <v/>
      </c>
      <c r="AT18" s="332"/>
      <c r="AU18" s="140" t="e">
        <f t="shared" si="35"/>
        <v>#VALUE!</v>
      </c>
      <c r="AV18" s="326" t="str">
        <f t="shared" si="36"/>
        <v/>
      </c>
      <c r="AW18" s="333" t="str">
        <f t="shared" si="37"/>
        <v/>
      </c>
      <c r="AX18" s="123"/>
      <c r="AY18" s="123" t="e">
        <f t="shared" si="39"/>
        <v>#VALUE!</v>
      </c>
      <c r="AZ18" s="123" t="str">
        <f t="shared" si="40"/>
        <v/>
      </c>
      <c r="BA18" s="125" t="str">
        <f t="shared" si="41"/>
        <v/>
      </c>
      <c r="BB18" s="1175" t="e">
        <f t="shared" ref="BB18:BD18" si="129">SUM(AQ18,AU18,AY18)</f>
        <v>#VALUE!</v>
      </c>
      <c r="BC18" s="326">
        <f t="shared" si="129"/>
        <v>0</v>
      </c>
      <c r="BD18" s="333">
        <f t="shared" si="129"/>
        <v>0</v>
      </c>
      <c r="BE18" s="100" t="e">
        <f t="shared" si="43"/>
        <v>#VALUE!</v>
      </c>
      <c r="BF18" s="116" t="e">
        <f t="shared" ref="BF18:BG18" si="130">BC18+AL18</f>
        <v>#VALUE!</v>
      </c>
      <c r="BG18" s="119" t="e">
        <f t="shared" si="130"/>
        <v>#VALUE!</v>
      </c>
      <c r="BH18" s="125"/>
      <c r="BI18" s="1041" t="e">
        <f t="shared" si="46"/>
        <v>#VALUE!</v>
      </c>
      <c r="BJ18" s="326" t="str">
        <f t="shared" si="47"/>
        <v/>
      </c>
      <c r="BK18" s="1045" t="str">
        <f t="shared" si="48"/>
        <v/>
      </c>
      <c r="BL18" s="125"/>
      <c r="BM18" s="140" t="e">
        <f t="shared" si="50"/>
        <v>#VALUE!</v>
      </c>
      <c r="BN18" s="123" t="str">
        <f t="shared" si="51"/>
        <v/>
      </c>
      <c r="BO18" s="148" t="str">
        <f t="shared" si="52"/>
        <v/>
      </c>
      <c r="BP18" s="123"/>
      <c r="BQ18" s="123" t="e">
        <f t="shared" si="54"/>
        <v>#VALUE!</v>
      </c>
      <c r="BR18" s="123" t="str">
        <f t="shared" si="55"/>
        <v/>
      </c>
      <c r="BS18" s="125" t="str">
        <f t="shared" si="56"/>
        <v/>
      </c>
      <c r="BT18" s="140" t="e">
        <f t="shared" ref="BT18:BV18" si="131">SUM(BQ18,BM18,BI18)</f>
        <v>#VALUE!</v>
      </c>
      <c r="BU18" s="123">
        <f t="shared" si="131"/>
        <v>0</v>
      </c>
      <c r="BV18" s="148">
        <f t="shared" si="131"/>
        <v>0</v>
      </c>
      <c r="BW18" s="125"/>
      <c r="BX18" s="140" t="e">
        <f t="shared" si="59"/>
        <v>#VALUE!</v>
      </c>
      <c r="BY18" s="123" t="str">
        <f t="shared" si="60"/>
        <v/>
      </c>
      <c r="BZ18" s="148" t="str">
        <f t="shared" si="61"/>
        <v/>
      </c>
      <c r="CA18" s="123"/>
      <c r="CB18" s="326"/>
      <c r="CE18" s="231" t="s">
        <v>84</v>
      </c>
      <c r="CF18" s="232"/>
      <c r="CG18" s="232"/>
      <c r="CP18" s="294"/>
      <c r="CU18" s="294"/>
    </row>
    <row r="19" spans="1:99" ht="13">
      <c r="A19" s="788">
        <f t="shared" si="0"/>
        <v>112013898</v>
      </c>
      <c r="B19" s="636" t="e">
        <f t="shared" si="1"/>
        <v>#N/A</v>
      </c>
      <c r="C19" s="558" t="str">
        <f t="shared" si="2"/>
        <v/>
      </c>
      <c r="D19" s="558" t="str">
        <f t="shared" si="3"/>
        <v/>
      </c>
      <c r="E19" s="559" t="str">
        <f t="shared" si="4"/>
        <v/>
      </c>
      <c r="F19" s="836" t="e">
        <f t="shared" si="5"/>
        <v>#N/A</v>
      </c>
      <c r="G19" s="558" t="str">
        <f t="shared" si="6"/>
        <v/>
      </c>
      <c r="H19" s="558" t="str">
        <f t="shared" si="7"/>
        <v/>
      </c>
      <c r="I19" s="559" t="str">
        <f t="shared" si="8"/>
        <v/>
      </c>
      <c r="J19" s="837">
        <f t="shared" si="9"/>
        <v>63</v>
      </c>
      <c r="K19" s="558">
        <f t="shared" si="10"/>
        <v>0.1</v>
      </c>
      <c r="L19" s="715">
        <f t="shared" si="11"/>
        <v>0.05</v>
      </c>
      <c r="M19" s="1173" t="s">
        <v>1107</v>
      </c>
      <c r="N19" s="1174" t="str">
        <f t="shared" ref="N19:N29" si="132">IFERROR(VLOOKUP(M19,MARUCA24,3,FALSE),"")</f>
        <v/>
      </c>
      <c r="O19" s="1177">
        <v>1800000</v>
      </c>
      <c r="P19" s="173" t="e">
        <f t="shared" si="14"/>
        <v>#VALUE!</v>
      </c>
      <c r="Q19" s="561" t="str">
        <f t="shared" si="15"/>
        <v/>
      </c>
      <c r="R19" s="1112" t="str">
        <f t="shared" si="16"/>
        <v/>
      </c>
      <c r="S19" s="1178"/>
      <c r="T19" s="975"/>
      <c r="U19" s="326" t="str">
        <f t="shared" ref="U19:U58" si="133">IFERROR(VLOOKUP(M19,MARUCA24,4,FALSE),"")</f>
        <v/>
      </c>
      <c r="V19" s="1177">
        <v>1800000</v>
      </c>
      <c r="W19" s="173" t="e">
        <f t="shared" si="18"/>
        <v>#VALUE!</v>
      </c>
      <c r="X19" s="561" t="str">
        <f t="shared" si="19"/>
        <v/>
      </c>
      <c r="Y19" s="1112" t="str">
        <f t="shared" si="20"/>
        <v/>
      </c>
      <c r="Z19" s="1178"/>
      <c r="AA19" s="975"/>
      <c r="AB19" s="326" t="str">
        <f t="shared" ref="AB19:AB58" si="134">IFERROR(VLOOKUP(M19,MARUCA24,5,FALSE),"")</f>
        <v/>
      </c>
      <c r="AC19" s="1177">
        <v>1800000</v>
      </c>
      <c r="AD19" s="173" t="e">
        <f t="shared" si="22"/>
        <v>#VALUE!</v>
      </c>
      <c r="AE19" s="561" t="str">
        <f t="shared" si="23"/>
        <v/>
      </c>
      <c r="AF19" s="1112" t="str">
        <f t="shared" si="24"/>
        <v/>
      </c>
      <c r="AG19" s="1178"/>
      <c r="AH19" s="975"/>
      <c r="AI19" s="332">
        <f t="shared" ref="AI19:AI58" si="135">SUM(O19,V19,AC19)</f>
        <v>5400000</v>
      </c>
      <c r="AJ19" s="140">
        <f t="shared" si="26"/>
        <v>13842169.08</v>
      </c>
      <c r="AK19" s="326" t="e">
        <f t="shared" ref="AK19:AM19" si="136">AD19+W19+P19</f>
        <v>#VALUE!</v>
      </c>
      <c r="AL19" s="326" t="e">
        <f t="shared" si="136"/>
        <v>#VALUE!</v>
      </c>
      <c r="AM19" s="326" t="e">
        <f t="shared" si="136"/>
        <v>#VALUE!</v>
      </c>
      <c r="AN19" s="326" t="e">
        <f t="shared" si="28"/>
        <v>#VALUE!</v>
      </c>
      <c r="AO19" s="98" t="str">
        <f t="shared" si="108"/>
        <v/>
      </c>
      <c r="AP19" s="125" t="str">
        <f t="shared" ref="AP19:AP58" si="137">IFERROR(VLOOKUP(M19,MARUCA24,6,FALSE),"")</f>
        <v/>
      </c>
      <c r="AQ19" s="326" t="e">
        <f t="shared" si="31"/>
        <v>#VALUE!</v>
      </c>
      <c r="AR19" s="326" t="str">
        <f t="shared" si="32"/>
        <v/>
      </c>
      <c r="AS19" s="123" t="str">
        <f t="shared" si="33"/>
        <v/>
      </c>
      <c r="AT19" s="332" t="str">
        <f t="shared" ref="AT19:AT35" si="138">IFERROR(VLOOKUP(M19,MARUCA24,7,FALSE),"")</f>
        <v/>
      </c>
      <c r="AU19" s="140" t="e">
        <f t="shared" si="35"/>
        <v>#VALUE!</v>
      </c>
      <c r="AV19" s="326" t="str">
        <f t="shared" si="36"/>
        <v/>
      </c>
      <c r="AW19" s="333" t="str">
        <f t="shared" si="37"/>
        <v/>
      </c>
      <c r="AX19" s="123" t="str">
        <f t="shared" ref="AX19:AX35" si="139">IFERROR(VLOOKUP(M19,MARUCA24,8,FALSE),"")</f>
        <v/>
      </c>
      <c r="AY19" s="123" t="e">
        <f t="shared" si="39"/>
        <v>#VALUE!</v>
      </c>
      <c r="AZ19" s="123" t="str">
        <f t="shared" si="40"/>
        <v/>
      </c>
      <c r="BA19" s="125" t="str">
        <f t="shared" si="41"/>
        <v/>
      </c>
      <c r="BB19" s="1175" t="e">
        <f t="shared" ref="BB19:BD19" si="140">SUM(AQ19,AU19,AY19)</f>
        <v>#VALUE!</v>
      </c>
      <c r="BC19" s="326">
        <f t="shared" si="140"/>
        <v>0</v>
      </c>
      <c r="BD19" s="333">
        <f t="shared" si="140"/>
        <v>0</v>
      </c>
      <c r="BE19" s="100" t="e">
        <f t="shared" si="43"/>
        <v>#VALUE!</v>
      </c>
      <c r="BF19" s="116" t="e">
        <f t="shared" ref="BF19:BG19" si="141">BC19+AL19</f>
        <v>#VALUE!</v>
      </c>
      <c r="BG19" s="119" t="e">
        <f t="shared" si="141"/>
        <v>#VALUE!</v>
      </c>
      <c r="BH19" s="125" t="str">
        <f t="shared" ref="BH19:BH35" si="142">IFERROR(VLOOKUP(M19,MARUCA24,9,FALSE),"")</f>
        <v/>
      </c>
      <c r="BI19" s="1041" t="e">
        <f t="shared" si="46"/>
        <v>#VALUE!</v>
      </c>
      <c r="BJ19" s="326" t="str">
        <f t="shared" si="47"/>
        <v/>
      </c>
      <c r="BK19" s="1045" t="str">
        <f t="shared" si="48"/>
        <v/>
      </c>
      <c r="BL19" s="125" t="str">
        <f t="shared" ref="BL19:BL35" si="143">IFERROR(VLOOKUP(M19,MARUCA24,10,FALSE),"")</f>
        <v/>
      </c>
      <c r="BM19" s="140" t="e">
        <f t="shared" si="50"/>
        <v>#VALUE!</v>
      </c>
      <c r="BN19" s="123" t="str">
        <f t="shared" si="51"/>
        <v/>
      </c>
      <c r="BO19" s="148" t="str">
        <f t="shared" si="52"/>
        <v/>
      </c>
      <c r="BP19" s="123" t="str">
        <f t="shared" ref="BP19:BP35" si="144">IFERROR(VLOOKUP(M19,MARUCA24,11,FALSE),"")</f>
        <v/>
      </c>
      <c r="BQ19" s="123" t="e">
        <f t="shared" si="54"/>
        <v>#VALUE!</v>
      </c>
      <c r="BR19" s="123" t="str">
        <f t="shared" si="55"/>
        <v/>
      </c>
      <c r="BS19" s="125" t="str">
        <f t="shared" si="56"/>
        <v/>
      </c>
      <c r="BT19" s="140" t="e">
        <f t="shared" ref="BT19:BV19" si="145">SUM(BQ19,BM19,BI19)</f>
        <v>#VALUE!</v>
      </c>
      <c r="BU19" s="123">
        <f t="shared" si="145"/>
        <v>0</v>
      </c>
      <c r="BV19" s="148">
        <f t="shared" si="145"/>
        <v>0</v>
      </c>
      <c r="BW19" s="125" t="str">
        <f t="shared" ref="BW19:BW35" si="146">IFERROR(VLOOKUP(M19,MARUCA24,12,FALSE),"")</f>
        <v/>
      </c>
      <c r="BX19" s="140" t="e">
        <f t="shared" si="59"/>
        <v>#VALUE!</v>
      </c>
      <c r="BY19" s="123" t="str">
        <f t="shared" si="60"/>
        <v/>
      </c>
      <c r="BZ19" s="148" t="str">
        <f t="shared" si="61"/>
        <v/>
      </c>
      <c r="CA19" s="123" t="str">
        <f t="shared" ref="CA19:CA35" si="147">IFERROR(VLOOKUP(M19,MARUCA24,13,FALSE),"")</f>
        <v/>
      </c>
      <c r="CB19" s="326" t="str">
        <f t="shared" ref="CB19:CB35" si="148">IFERROR(VLOOKUP(M19,MARUCA24,14,FALSE),"")</f>
        <v/>
      </c>
      <c r="CE19" s="231" t="s">
        <v>86</v>
      </c>
      <c r="CF19" s="232"/>
      <c r="CG19" s="232"/>
      <c r="CP19" s="294"/>
      <c r="CU19" s="294"/>
    </row>
    <row r="20" spans="1:99" ht="13">
      <c r="A20" s="788">
        <f t="shared" si="0"/>
        <v>112011430</v>
      </c>
      <c r="B20" s="636" t="e">
        <f t="shared" si="1"/>
        <v>#N/A</v>
      </c>
      <c r="C20" s="558" t="str">
        <f t="shared" si="2"/>
        <v/>
      </c>
      <c r="D20" s="558" t="str">
        <f t="shared" si="3"/>
        <v/>
      </c>
      <c r="E20" s="559" t="str">
        <f t="shared" si="4"/>
        <v/>
      </c>
      <c r="F20" s="836" t="e">
        <f t="shared" si="5"/>
        <v>#N/A</v>
      </c>
      <c r="G20" s="558" t="str">
        <f t="shared" si="6"/>
        <v/>
      </c>
      <c r="H20" s="558" t="str">
        <f t="shared" si="7"/>
        <v/>
      </c>
      <c r="I20" s="559" t="str">
        <f t="shared" si="8"/>
        <v/>
      </c>
      <c r="J20" s="837">
        <f t="shared" si="9"/>
        <v>63</v>
      </c>
      <c r="K20" s="558">
        <f t="shared" si="10"/>
        <v>0.1</v>
      </c>
      <c r="L20" s="715">
        <f t="shared" si="11"/>
        <v>0.05</v>
      </c>
      <c r="M20" s="1173" t="s">
        <v>1092</v>
      </c>
      <c r="N20" s="1174" t="str">
        <f t="shared" si="132"/>
        <v/>
      </c>
      <c r="O20" s="1177">
        <v>1800000</v>
      </c>
      <c r="P20" s="173" t="e">
        <f t="shared" si="14"/>
        <v>#VALUE!</v>
      </c>
      <c r="Q20" s="561" t="str">
        <f t="shared" si="15"/>
        <v/>
      </c>
      <c r="R20" s="1112" t="str">
        <f t="shared" si="16"/>
        <v/>
      </c>
      <c r="S20" s="1178"/>
      <c r="T20" s="975"/>
      <c r="U20" s="326" t="str">
        <f t="shared" si="133"/>
        <v/>
      </c>
      <c r="V20" s="1177">
        <v>1800000</v>
      </c>
      <c r="W20" s="173" t="e">
        <f t="shared" si="18"/>
        <v>#VALUE!</v>
      </c>
      <c r="X20" s="561" t="str">
        <f t="shared" si="19"/>
        <v/>
      </c>
      <c r="Y20" s="1112" t="str">
        <f t="shared" si="20"/>
        <v/>
      </c>
      <c r="Z20" s="1178"/>
      <c r="AA20" s="975"/>
      <c r="AB20" s="326" t="str">
        <f t="shared" si="134"/>
        <v/>
      </c>
      <c r="AC20" s="1177">
        <v>1800000</v>
      </c>
      <c r="AD20" s="173" t="e">
        <f t="shared" si="22"/>
        <v>#VALUE!</v>
      </c>
      <c r="AE20" s="561" t="str">
        <f t="shared" si="23"/>
        <v/>
      </c>
      <c r="AF20" s="1112" t="str">
        <f t="shared" si="24"/>
        <v/>
      </c>
      <c r="AG20" s="1178"/>
      <c r="AH20" s="975"/>
      <c r="AI20" s="332">
        <f t="shared" si="135"/>
        <v>5400000</v>
      </c>
      <c r="AJ20" s="140">
        <f t="shared" si="26"/>
        <v>1164612.95</v>
      </c>
      <c r="AK20" s="326" t="e">
        <f t="shared" ref="AK20:AM20" si="149">AD20+W20+P20</f>
        <v>#VALUE!</v>
      </c>
      <c r="AL20" s="326" t="e">
        <f t="shared" si="149"/>
        <v>#VALUE!</v>
      </c>
      <c r="AM20" s="326" t="e">
        <f t="shared" si="149"/>
        <v>#VALUE!</v>
      </c>
      <c r="AN20" s="326" t="e">
        <f t="shared" si="28"/>
        <v>#VALUE!</v>
      </c>
      <c r="AO20" s="98" t="str">
        <f t="shared" si="108"/>
        <v/>
      </c>
      <c r="AP20" s="125" t="str">
        <f t="shared" si="137"/>
        <v/>
      </c>
      <c r="AQ20" s="326" t="e">
        <f t="shared" si="31"/>
        <v>#VALUE!</v>
      </c>
      <c r="AR20" s="326" t="str">
        <f t="shared" si="32"/>
        <v/>
      </c>
      <c r="AS20" s="123" t="str">
        <f t="shared" si="33"/>
        <v/>
      </c>
      <c r="AT20" s="332" t="str">
        <f t="shared" si="138"/>
        <v/>
      </c>
      <c r="AU20" s="140" t="e">
        <f t="shared" si="35"/>
        <v>#VALUE!</v>
      </c>
      <c r="AV20" s="326" t="str">
        <f t="shared" si="36"/>
        <v/>
      </c>
      <c r="AW20" s="333" t="str">
        <f t="shared" si="37"/>
        <v/>
      </c>
      <c r="AX20" s="123" t="str">
        <f t="shared" si="139"/>
        <v/>
      </c>
      <c r="AY20" s="123" t="e">
        <f t="shared" si="39"/>
        <v>#VALUE!</v>
      </c>
      <c r="AZ20" s="123" t="str">
        <f t="shared" si="40"/>
        <v/>
      </c>
      <c r="BA20" s="125" t="str">
        <f t="shared" si="41"/>
        <v/>
      </c>
      <c r="BB20" s="1175" t="e">
        <f t="shared" ref="BB20:BD20" si="150">SUM(AQ20,AU20,AY20)</f>
        <v>#VALUE!</v>
      </c>
      <c r="BC20" s="326">
        <f t="shared" si="150"/>
        <v>0</v>
      </c>
      <c r="BD20" s="333">
        <f t="shared" si="150"/>
        <v>0</v>
      </c>
      <c r="BE20" s="100" t="e">
        <f t="shared" si="43"/>
        <v>#VALUE!</v>
      </c>
      <c r="BF20" s="116" t="e">
        <f t="shared" ref="BF20:BG20" si="151">BC20+AL20</f>
        <v>#VALUE!</v>
      </c>
      <c r="BG20" s="119" t="e">
        <f t="shared" si="151"/>
        <v>#VALUE!</v>
      </c>
      <c r="BH20" s="125" t="str">
        <f t="shared" si="142"/>
        <v/>
      </c>
      <c r="BI20" s="1041" t="e">
        <f t="shared" si="46"/>
        <v>#VALUE!</v>
      </c>
      <c r="BJ20" s="326" t="str">
        <f t="shared" si="47"/>
        <v/>
      </c>
      <c r="BK20" s="1045" t="str">
        <f t="shared" si="48"/>
        <v/>
      </c>
      <c r="BL20" s="125" t="str">
        <f t="shared" si="143"/>
        <v/>
      </c>
      <c r="BM20" s="140" t="e">
        <f t="shared" si="50"/>
        <v>#VALUE!</v>
      </c>
      <c r="BN20" s="123" t="str">
        <f t="shared" si="51"/>
        <v/>
      </c>
      <c r="BO20" s="148" t="str">
        <f t="shared" si="52"/>
        <v/>
      </c>
      <c r="BP20" s="123" t="str">
        <f t="shared" si="144"/>
        <v/>
      </c>
      <c r="BQ20" s="123" t="e">
        <f t="shared" si="54"/>
        <v>#VALUE!</v>
      </c>
      <c r="BR20" s="123" t="str">
        <f t="shared" si="55"/>
        <v/>
      </c>
      <c r="BS20" s="125" t="str">
        <f t="shared" si="56"/>
        <v/>
      </c>
      <c r="BT20" s="140" t="e">
        <f t="shared" ref="BT20:BV20" si="152">SUM(BQ20,BM20,BI20)</f>
        <v>#VALUE!</v>
      </c>
      <c r="BU20" s="123">
        <f t="shared" si="152"/>
        <v>0</v>
      </c>
      <c r="BV20" s="148">
        <f t="shared" si="152"/>
        <v>0</v>
      </c>
      <c r="BW20" s="125" t="str">
        <f t="shared" si="146"/>
        <v/>
      </c>
      <c r="BX20" s="140" t="e">
        <f t="shared" si="59"/>
        <v>#VALUE!</v>
      </c>
      <c r="BY20" s="123" t="str">
        <f t="shared" si="60"/>
        <v/>
      </c>
      <c r="BZ20" s="148" t="str">
        <f t="shared" si="61"/>
        <v/>
      </c>
      <c r="CA20" s="123" t="str">
        <f t="shared" si="147"/>
        <v/>
      </c>
      <c r="CB20" s="326" t="str">
        <f t="shared" si="148"/>
        <v/>
      </c>
      <c r="CE20" s="242" t="s">
        <v>88</v>
      </c>
      <c r="CF20" s="243"/>
      <c r="CG20" s="243"/>
      <c r="CP20" s="294"/>
      <c r="CU20" s="294"/>
    </row>
    <row r="21" spans="1:99" ht="13">
      <c r="A21" s="788">
        <f t="shared" si="0"/>
        <v>112013344</v>
      </c>
      <c r="B21" s="636" t="e">
        <f t="shared" si="1"/>
        <v>#N/A</v>
      </c>
      <c r="C21" s="558" t="str">
        <f t="shared" si="2"/>
        <v/>
      </c>
      <c r="D21" s="558" t="str">
        <f t="shared" si="3"/>
        <v/>
      </c>
      <c r="E21" s="559" t="str">
        <f t="shared" si="4"/>
        <v/>
      </c>
      <c r="F21" s="836" t="e">
        <f t="shared" si="5"/>
        <v>#N/A</v>
      </c>
      <c r="G21" s="558" t="str">
        <f t="shared" si="6"/>
        <v/>
      </c>
      <c r="H21" s="558" t="str">
        <f t="shared" si="7"/>
        <v/>
      </c>
      <c r="I21" s="559" t="str">
        <f t="shared" si="8"/>
        <v/>
      </c>
      <c r="J21" s="837">
        <f t="shared" si="9"/>
        <v>61</v>
      </c>
      <c r="K21" s="558">
        <f t="shared" si="10"/>
        <v>0.1</v>
      </c>
      <c r="L21" s="715">
        <f t="shared" si="11"/>
        <v>0.14000000000000001</v>
      </c>
      <c r="M21" s="1173" t="s">
        <v>236</v>
      </c>
      <c r="N21" s="1174" t="str">
        <f t="shared" si="132"/>
        <v/>
      </c>
      <c r="O21" s="1177">
        <v>1800000</v>
      </c>
      <c r="P21" s="173" t="e">
        <f t="shared" si="14"/>
        <v>#VALUE!</v>
      </c>
      <c r="Q21" s="561" t="str">
        <f t="shared" si="15"/>
        <v/>
      </c>
      <c r="R21" s="1112" t="str">
        <f t="shared" si="16"/>
        <v/>
      </c>
      <c r="S21" s="1178"/>
      <c r="T21" s="975"/>
      <c r="U21" s="326" t="str">
        <f t="shared" si="133"/>
        <v/>
      </c>
      <c r="V21" s="1177">
        <v>1800000</v>
      </c>
      <c r="W21" s="173" t="e">
        <f t="shared" si="18"/>
        <v>#VALUE!</v>
      </c>
      <c r="X21" s="561" t="str">
        <f t="shared" si="19"/>
        <v/>
      </c>
      <c r="Y21" s="1112" t="str">
        <f t="shared" si="20"/>
        <v/>
      </c>
      <c r="Z21" s="1178"/>
      <c r="AA21" s="975"/>
      <c r="AB21" s="326" t="str">
        <f t="shared" si="134"/>
        <v/>
      </c>
      <c r="AC21" s="1177">
        <v>1800000</v>
      </c>
      <c r="AD21" s="173" t="e">
        <f t="shared" si="22"/>
        <v>#VALUE!</v>
      </c>
      <c r="AE21" s="561" t="str">
        <f t="shared" si="23"/>
        <v/>
      </c>
      <c r="AF21" s="1112" t="str">
        <f t="shared" si="24"/>
        <v/>
      </c>
      <c r="AG21" s="1178"/>
      <c r="AH21" s="975"/>
      <c r="AI21" s="332">
        <f t="shared" si="135"/>
        <v>5400000</v>
      </c>
      <c r="AJ21" s="140" t="str">
        <f t="shared" si="26"/>
        <v>0</v>
      </c>
      <c r="AK21" s="326" t="e">
        <f t="shared" ref="AK21:AM21" si="153">AD21+W21+P21</f>
        <v>#VALUE!</v>
      </c>
      <c r="AL21" s="326" t="e">
        <f t="shared" si="153"/>
        <v>#VALUE!</v>
      </c>
      <c r="AM21" s="326" t="e">
        <f t="shared" si="153"/>
        <v>#VALUE!</v>
      </c>
      <c r="AN21" s="326" t="e">
        <f t="shared" si="28"/>
        <v>#VALUE!</v>
      </c>
      <c r="AO21" s="98" t="str">
        <f t="shared" si="108"/>
        <v/>
      </c>
      <c r="AP21" s="125" t="str">
        <f t="shared" si="137"/>
        <v/>
      </c>
      <c r="AQ21" s="326" t="e">
        <f t="shared" si="31"/>
        <v>#VALUE!</v>
      </c>
      <c r="AR21" s="326" t="str">
        <f t="shared" si="32"/>
        <v/>
      </c>
      <c r="AS21" s="123" t="str">
        <f t="shared" si="33"/>
        <v/>
      </c>
      <c r="AT21" s="332" t="str">
        <f t="shared" si="138"/>
        <v/>
      </c>
      <c r="AU21" s="140" t="e">
        <f t="shared" si="35"/>
        <v>#VALUE!</v>
      </c>
      <c r="AV21" s="326" t="str">
        <f t="shared" si="36"/>
        <v/>
      </c>
      <c r="AW21" s="333" t="str">
        <f t="shared" si="37"/>
        <v/>
      </c>
      <c r="AX21" s="123" t="str">
        <f t="shared" si="139"/>
        <v/>
      </c>
      <c r="AY21" s="123" t="e">
        <f t="shared" si="39"/>
        <v>#VALUE!</v>
      </c>
      <c r="AZ21" s="123" t="str">
        <f t="shared" si="40"/>
        <v/>
      </c>
      <c r="BA21" s="125" t="str">
        <f t="shared" si="41"/>
        <v/>
      </c>
      <c r="BB21" s="1175" t="e">
        <f t="shared" ref="BB21:BD21" si="154">SUM(AQ21,AU21,AY21)</f>
        <v>#VALUE!</v>
      </c>
      <c r="BC21" s="326">
        <f t="shared" si="154"/>
        <v>0</v>
      </c>
      <c r="BD21" s="333">
        <f t="shared" si="154"/>
        <v>0</v>
      </c>
      <c r="BE21" s="100" t="e">
        <f t="shared" si="43"/>
        <v>#VALUE!</v>
      </c>
      <c r="BF21" s="116" t="e">
        <f t="shared" ref="BF21:BG21" si="155">BC21+AL21</f>
        <v>#VALUE!</v>
      </c>
      <c r="BG21" s="119" t="e">
        <f t="shared" si="155"/>
        <v>#VALUE!</v>
      </c>
      <c r="BH21" s="125" t="str">
        <f t="shared" si="142"/>
        <v/>
      </c>
      <c r="BI21" s="1041" t="e">
        <f t="shared" si="46"/>
        <v>#VALUE!</v>
      </c>
      <c r="BJ21" s="326" t="str">
        <f t="shared" si="47"/>
        <v/>
      </c>
      <c r="BK21" s="1045" t="str">
        <f t="shared" si="48"/>
        <v/>
      </c>
      <c r="BL21" s="125" t="str">
        <f t="shared" si="143"/>
        <v/>
      </c>
      <c r="BM21" s="140" t="e">
        <f t="shared" si="50"/>
        <v>#VALUE!</v>
      </c>
      <c r="BN21" s="123" t="str">
        <f t="shared" si="51"/>
        <v/>
      </c>
      <c r="BO21" s="148" t="str">
        <f t="shared" si="52"/>
        <v/>
      </c>
      <c r="BP21" s="123" t="str">
        <f t="shared" si="144"/>
        <v/>
      </c>
      <c r="BQ21" s="123" t="e">
        <f t="shared" si="54"/>
        <v>#VALUE!</v>
      </c>
      <c r="BR21" s="123" t="str">
        <f t="shared" si="55"/>
        <v/>
      </c>
      <c r="BS21" s="125" t="str">
        <f t="shared" si="56"/>
        <v/>
      </c>
      <c r="BT21" s="140" t="e">
        <f t="shared" ref="BT21:BV21" si="156">SUM(BQ21,BM21,BI21)</f>
        <v>#VALUE!</v>
      </c>
      <c r="BU21" s="123">
        <f t="shared" si="156"/>
        <v>0</v>
      </c>
      <c r="BV21" s="148">
        <f t="shared" si="156"/>
        <v>0</v>
      </c>
      <c r="BW21" s="125" t="str">
        <f t="shared" si="146"/>
        <v/>
      </c>
      <c r="BX21" s="140" t="e">
        <f t="shared" si="59"/>
        <v>#VALUE!</v>
      </c>
      <c r="BY21" s="123" t="str">
        <f t="shared" si="60"/>
        <v/>
      </c>
      <c r="BZ21" s="148" t="str">
        <f t="shared" si="61"/>
        <v/>
      </c>
      <c r="CA21" s="123" t="str">
        <f t="shared" si="147"/>
        <v/>
      </c>
      <c r="CB21" s="326" t="str">
        <f t="shared" si="148"/>
        <v/>
      </c>
      <c r="CE21" s="242" t="s">
        <v>90</v>
      </c>
      <c r="CF21" s="243"/>
      <c r="CG21" s="243"/>
      <c r="CP21" s="294"/>
      <c r="CU21" s="294"/>
    </row>
    <row r="22" spans="1:99" ht="13">
      <c r="A22" s="788">
        <f t="shared" si="0"/>
        <v>112014205</v>
      </c>
      <c r="B22" s="636" t="e">
        <f t="shared" si="1"/>
        <v>#N/A</v>
      </c>
      <c r="C22" s="558" t="str">
        <f t="shared" si="2"/>
        <v/>
      </c>
      <c r="D22" s="558" t="str">
        <f t="shared" si="3"/>
        <v/>
      </c>
      <c r="E22" s="559" t="str">
        <f t="shared" si="4"/>
        <v/>
      </c>
      <c r="F22" s="836" t="e">
        <f t="shared" si="5"/>
        <v>#N/A</v>
      </c>
      <c r="G22" s="558" t="str">
        <f t="shared" si="6"/>
        <v/>
      </c>
      <c r="H22" s="558" t="str">
        <f t="shared" si="7"/>
        <v/>
      </c>
      <c r="I22" s="559" t="str">
        <f t="shared" si="8"/>
        <v/>
      </c>
      <c r="J22" s="837">
        <f t="shared" si="9"/>
        <v>61</v>
      </c>
      <c r="K22" s="558">
        <f t="shared" si="10"/>
        <v>0.1</v>
      </c>
      <c r="L22" s="715">
        <f t="shared" si="11"/>
        <v>0.14000000000000001</v>
      </c>
      <c r="M22" s="1173" t="s">
        <v>925</v>
      </c>
      <c r="N22" s="1174" t="str">
        <f t="shared" si="132"/>
        <v/>
      </c>
      <c r="O22" s="1177">
        <v>1800000</v>
      </c>
      <c r="P22" s="173" t="e">
        <f t="shared" si="14"/>
        <v>#VALUE!</v>
      </c>
      <c r="Q22" s="561" t="str">
        <f t="shared" si="15"/>
        <v/>
      </c>
      <c r="R22" s="1112" t="str">
        <f t="shared" si="16"/>
        <v/>
      </c>
      <c r="S22" s="1178"/>
      <c r="T22" s="975"/>
      <c r="U22" s="326" t="str">
        <f t="shared" si="133"/>
        <v/>
      </c>
      <c r="V22" s="1177">
        <v>1800000</v>
      </c>
      <c r="W22" s="173" t="e">
        <f t="shared" si="18"/>
        <v>#VALUE!</v>
      </c>
      <c r="X22" s="561" t="str">
        <f t="shared" si="19"/>
        <v/>
      </c>
      <c r="Y22" s="1112" t="str">
        <f t="shared" si="20"/>
        <v/>
      </c>
      <c r="Z22" s="1178"/>
      <c r="AA22" s="975"/>
      <c r="AB22" s="326" t="str">
        <f t="shared" si="134"/>
        <v/>
      </c>
      <c r="AC22" s="1177">
        <v>1800000</v>
      </c>
      <c r="AD22" s="173" t="e">
        <f t="shared" si="22"/>
        <v>#VALUE!</v>
      </c>
      <c r="AE22" s="561" t="str">
        <f t="shared" si="23"/>
        <v/>
      </c>
      <c r="AF22" s="1112" t="str">
        <f t="shared" si="24"/>
        <v/>
      </c>
      <c r="AG22" s="1178"/>
      <c r="AH22" s="975"/>
      <c r="AI22" s="332">
        <f t="shared" si="135"/>
        <v>5400000</v>
      </c>
      <c r="AJ22" s="140">
        <f t="shared" si="26"/>
        <v>3621825.33</v>
      </c>
      <c r="AK22" s="326" t="e">
        <f t="shared" ref="AK22:AM22" si="157">AD22+W22+P22</f>
        <v>#VALUE!</v>
      </c>
      <c r="AL22" s="326" t="e">
        <f t="shared" si="157"/>
        <v>#VALUE!</v>
      </c>
      <c r="AM22" s="326" t="e">
        <f t="shared" si="157"/>
        <v>#VALUE!</v>
      </c>
      <c r="AN22" s="326" t="e">
        <f t="shared" si="28"/>
        <v>#VALUE!</v>
      </c>
      <c r="AO22" s="98" t="str">
        <f t="shared" si="108"/>
        <v/>
      </c>
      <c r="AP22" s="125" t="str">
        <f t="shared" si="137"/>
        <v/>
      </c>
      <c r="AQ22" s="326" t="e">
        <f t="shared" si="31"/>
        <v>#VALUE!</v>
      </c>
      <c r="AR22" s="326" t="str">
        <f t="shared" si="32"/>
        <v/>
      </c>
      <c r="AS22" s="123" t="str">
        <f t="shared" si="33"/>
        <v/>
      </c>
      <c r="AT22" s="332" t="str">
        <f t="shared" si="138"/>
        <v/>
      </c>
      <c r="AU22" s="140" t="e">
        <f t="shared" si="35"/>
        <v>#VALUE!</v>
      </c>
      <c r="AV22" s="326" t="str">
        <f t="shared" si="36"/>
        <v/>
      </c>
      <c r="AW22" s="333" t="str">
        <f t="shared" si="37"/>
        <v/>
      </c>
      <c r="AX22" s="123" t="str">
        <f t="shared" si="139"/>
        <v/>
      </c>
      <c r="AY22" s="123" t="e">
        <f t="shared" si="39"/>
        <v>#VALUE!</v>
      </c>
      <c r="AZ22" s="123" t="str">
        <f t="shared" si="40"/>
        <v/>
      </c>
      <c r="BA22" s="125" t="str">
        <f t="shared" si="41"/>
        <v/>
      </c>
      <c r="BB22" s="1175" t="e">
        <f t="shared" ref="BB22:BD22" si="158">SUM(AQ22,AU22,AY22)</f>
        <v>#VALUE!</v>
      </c>
      <c r="BC22" s="326">
        <f t="shared" si="158"/>
        <v>0</v>
      </c>
      <c r="BD22" s="333">
        <f t="shared" si="158"/>
        <v>0</v>
      </c>
      <c r="BE22" s="100" t="e">
        <f t="shared" si="43"/>
        <v>#VALUE!</v>
      </c>
      <c r="BF22" s="116" t="e">
        <f t="shared" ref="BF22:BG22" si="159">BC22+AL22</f>
        <v>#VALUE!</v>
      </c>
      <c r="BG22" s="119" t="e">
        <f t="shared" si="159"/>
        <v>#VALUE!</v>
      </c>
      <c r="BH22" s="125" t="str">
        <f t="shared" si="142"/>
        <v/>
      </c>
      <c r="BI22" s="1041" t="e">
        <f t="shared" si="46"/>
        <v>#VALUE!</v>
      </c>
      <c r="BJ22" s="326" t="str">
        <f t="shared" si="47"/>
        <v/>
      </c>
      <c r="BK22" s="1045" t="str">
        <f t="shared" si="48"/>
        <v/>
      </c>
      <c r="BL22" s="125" t="str">
        <f t="shared" si="143"/>
        <v/>
      </c>
      <c r="BM22" s="140" t="e">
        <f t="shared" si="50"/>
        <v>#VALUE!</v>
      </c>
      <c r="BN22" s="123" t="str">
        <f t="shared" si="51"/>
        <v/>
      </c>
      <c r="BO22" s="148" t="str">
        <f t="shared" si="52"/>
        <v/>
      </c>
      <c r="BP22" s="123" t="str">
        <f t="shared" si="144"/>
        <v/>
      </c>
      <c r="BQ22" s="123" t="e">
        <f t="shared" si="54"/>
        <v>#VALUE!</v>
      </c>
      <c r="BR22" s="123" t="str">
        <f t="shared" si="55"/>
        <v/>
      </c>
      <c r="BS22" s="125" t="str">
        <f t="shared" si="56"/>
        <v/>
      </c>
      <c r="BT22" s="140" t="e">
        <f t="shared" ref="BT22:BV22" si="160">SUM(BQ22,BM22,BI22)</f>
        <v>#VALUE!</v>
      </c>
      <c r="BU22" s="123">
        <f t="shared" si="160"/>
        <v>0</v>
      </c>
      <c r="BV22" s="148">
        <f t="shared" si="160"/>
        <v>0</v>
      </c>
      <c r="BW22" s="125" t="str">
        <f t="shared" si="146"/>
        <v/>
      </c>
      <c r="BX22" s="140" t="e">
        <f t="shared" si="59"/>
        <v>#VALUE!</v>
      </c>
      <c r="BY22" s="123" t="str">
        <f t="shared" si="60"/>
        <v/>
      </c>
      <c r="BZ22" s="148" t="str">
        <f t="shared" si="61"/>
        <v/>
      </c>
      <c r="CA22" s="123" t="str">
        <f t="shared" si="147"/>
        <v/>
      </c>
      <c r="CB22" s="326" t="str">
        <f t="shared" si="148"/>
        <v/>
      </c>
      <c r="CE22" s="242" t="s">
        <v>1141</v>
      </c>
      <c r="CF22" s="243"/>
      <c r="CG22" s="243"/>
      <c r="CP22" s="294"/>
      <c r="CU22" s="294"/>
    </row>
    <row r="23" spans="1:99" ht="13">
      <c r="A23" s="788">
        <f t="shared" si="0"/>
        <v>112014090</v>
      </c>
      <c r="B23" s="636" t="e">
        <f t="shared" si="1"/>
        <v>#N/A</v>
      </c>
      <c r="C23" s="558" t="str">
        <f t="shared" si="2"/>
        <v/>
      </c>
      <c r="D23" s="558" t="str">
        <f t="shared" si="3"/>
        <v/>
      </c>
      <c r="E23" s="559" t="str">
        <f t="shared" si="4"/>
        <v/>
      </c>
      <c r="F23" s="836" t="e">
        <f t="shared" si="5"/>
        <v>#N/A</v>
      </c>
      <c r="G23" s="558" t="str">
        <f t="shared" si="6"/>
        <v/>
      </c>
      <c r="H23" s="558" t="str">
        <f t="shared" si="7"/>
        <v/>
      </c>
      <c r="I23" s="559" t="str">
        <f t="shared" si="8"/>
        <v/>
      </c>
      <c r="J23" s="837">
        <f t="shared" si="9"/>
        <v>62</v>
      </c>
      <c r="K23" s="558">
        <f t="shared" si="10"/>
        <v>0.1</v>
      </c>
      <c r="L23" s="715">
        <f t="shared" si="11"/>
        <v>0.11</v>
      </c>
      <c r="M23" s="1173" t="s">
        <v>927</v>
      </c>
      <c r="N23" s="1174" t="str">
        <f t="shared" si="132"/>
        <v/>
      </c>
      <c r="O23" s="1177">
        <v>1800000</v>
      </c>
      <c r="P23" s="173" t="e">
        <f t="shared" si="14"/>
        <v>#VALUE!</v>
      </c>
      <c r="Q23" s="561" t="str">
        <f t="shared" si="15"/>
        <v/>
      </c>
      <c r="R23" s="1112" t="str">
        <f t="shared" si="16"/>
        <v/>
      </c>
      <c r="S23" s="1178"/>
      <c r="T23" s="975"/>
      <c r="U23" s="326" t="str">
        <f t="shared" si="133"/>
        <v/>
      </c>
      <c r="V23" s="1177">
        <v>1800000</v>
      </c>
      <c r="W23" s="173" t="e">
        <f t="shared" si="18"/>
        <v>#VALUE!</v>
      </c>
      <c r="X23" s="561" t="str">
        <f t="shared" si="19"/>
        <v/>
      </c>
      <c r="Y23" s="1112" t="str">
        <f t="shared" si="20"/>
        <v/>
      </c>
      <c r="Z23" s="1178"/>
      <c r="AA23" s="975"/>
      <c r="AB23" s="326" t="str">
        <f t="shared" si="134"/>
        <v/>
      </c>
      <c r="AC23" s="1177">
        <v>1800000</v>
      </c>
      <c r="AD23" s="173" t="e">
        <f t="shared" si="22"/>
        <v>#VALUE!</v>
      </c>
      <c r="AE23" s="561" t="str">
        <f t="shared" si="23"/>
        <v/>
      </c>
      <c r="AF23" s="1112" t="str">
        <f t="shared" si="24"/>
        <v/>
      </c>
      <c r="AG23" s="1178"/>
      <c r="AH23" s="975"/>
      <c r="AI23" s="332">
        <f t="shared" si="135"/>
        <v>5400000</v>
      </c>
      <c r="AJ23" s="140">
        <f t="shared" si="26"/>
        <v>3067214.91</v>
      </c>
      <c r="AK23" s="326" t="e">
        <f t="shared" ref="AK23:AM23" si="161">AD23+W23+P23</f>
        <v>#VALUE!</v>
      </c>
      <c r="AL23" s="326" t="e">
        <f t="shared" si="161"/>
        <v>#VALUE!</v>
      </c>
      <c r="AM23" s="326" t="e">
        <f t="shared" si="161"/>
        <v>#VALUE!</v>
      </c>
      <c r="AN23" s="326" t="e">
        <f t="shared" si="28"/>
        <v>#VALUE!</v>
      </c>
      <c r="AO23" s="98" t="str">
        <f t="shared" si="108"/>
        <v/>
      </c>
      <c r="AP23" s="125" t="str">
        <f t="shared" si="137"/>
        <v/>
      </c>
      <c r="AQ23" s="326" t="e">
        <f t="shared" si="31"/>
        <v>#VALUE!</v>
      </c>
      <c r="AR23" s="326" t="str">
        <f t="shared" si="32"/>
        <v/>
      </c>
      <c r="AS23" s="123" t="str">
        <f t="shared" si="33"/>
        <v/>
      </c>
      <c r="AT23" s="332" t="str">
        <f t="shared" si="138"/>
        <v/>
      </c>
      <c r="AU23" s="140" t="e">
        <f t="shared" si="35"/>
        <v>#VALUE!</v>
      </c>
      <c r="AV23" s="326" t="str">
        <f t="shared" si="36"/>
        <v/>
      </c>
      <c r="AW23" s="333" t="str">
        <f t="shared" si="37"/>
        <v/>
      </c>
      <c r="AX23" s="123" t="str">
        <f t="shared" si="139"/>
        <v/>
      </c>
      <c r="AY23" s="123" t="e">
        <f t="shared" si="39"/>
        <v>#VALUE!</v>
      </c>
      <c r="AZ23" s="123" t="str">
        <f t="shared" si="40"/>
        <v/>
      </c>
      <c r="BA23" s="125" t="str">
        <f t="shared" si="41"/>
        <v/>
      </c>
      <c r="BB23" s="1175" t="e">
        <f t="shared" ref="BB23:BD23" si="162">SUM(AQ23,AU23,AY23)</f>
        <v>#VALUE!</v>
      </c>
      <c r="BC23" s="326">
        <f t="shared" si="162"/>
        <v>0</v>
      </c>
      <c r="BD23" s="333">
        <f t="shared" si="162"/>
        <v>0</v>
      </c>
      <c r="BE23" s="100" t="e">
        <f t="shared" si="43"/>
        <v>#VALUE!</v>
      </c>
      <c r="BF23" s="116" t="e">
        <f t="shared" ref="BF23:BG23" si="163">BC23+AL23</f>
        <v>#VALUE!</v>
      </c>
      <c r="BG23" s="119" t="e">
        <f t="shared" si="163"/>
        <v>#VALUE!</v>
      </c>
      <c r="BH23" s="125" t="str">
        <f t="shared" si="142"/>
        <v/>
      </c>
      <c r="BI23" s="1041" t="e">
        <f t="shared" si="46"/>
        <v>#VALUE!</v>
      </c>
      <c r="BJ23" s="326" t="str">
        <f t="shared" si="47"/>
        <v/>
      </c>
      <c r="BK23" s="1045" t="str">
        <f t="shared" si="48"/>
        <v/>
      </c>
      <c r="BL23" s="125" t="str">
        <f t="shared" si="143"/>
        <v/>
      </c>
      <c r="BM23" s="140" t="e">
        <f t="shared" si="50"/>
        <v>#VALUE!</v>
      </c>
      <c r="BN23" s="123" t="str">
        <f t="shared" si="51"/>
        <v/>
      </c>
      <c r="BO23" s="148" t="str">
        <f t="shared" si="52"/>
        <v/>
      </c>
      <c r="BP23" s="123" t="str">
        <f t="shared" si="144"/>
        <v/>
      </c>
      <c r="BQ23" s="123" t="e">
        <f t="shared" si="54"/>
        <v>#VALUE!</v>
      </c>
      <c r="BR23" s="123" t="str">
        <f t="shared" si="55"/>
        <v/>
      </c>
      <c r="BS23" s="125" t="str">
        <f t="shared" si="56"/>
        <v/>
      </c>
      <c r="BT23" s="140" t="e">
        <f t="shared" ref="BT23:BV23" si="164">SUM(BQ23,BM23,BI23)</f>
        <v>#VALUE!</v>
      </c>
      <c r="BU23" s="123">
        <f t="shared" si="164"/>
        <v>0</v>
      </c>
      <c r="BV23" s="148">
        <f t="shared" si="164"/>
        <v>0</v>
      </c>
      <c r="BW23" s="125" t="str">
        <f t="shared" si="146"/>
        <v/>
      </c>
      <c r="BX23" s="140" t="e">
        <f t="shared" si="59"/>
        <v>#VALUE!</v>
      </c>
      <c r="BY23" s="123" t="str">
        <f t="shared" si="60"/>
        <v/>
      </c>
      <c r="BZ23" s="148" t="str">
        <f t="shared" si="61"/>
        <v/>
      </c>
      <c r="CA23" s="123" t="str">
        <f t="shared" si="147"/>
        <v/>
      </c>
      <c r="CB23" s="326" t="str">
        <f t="shared" si="148"/>
        <v/>
      </c>
      <c r="CE23" s="231" t="s">
        <v>94</v>
      </c>
      <c r="CF23" s="231"/>
      <c r="CG23" s="231"/>
      <c r="CP23" s="294"/>
      <c r="CU23" s="294"/>
    </row>
    <row r="24" spans="1:99" ht="13">
      <c r="A24" s="788">
        <f t="shared" si="0"/>
        <v>112013257</v>
      </c>
      <c r="B24" s="636" t="e">
        <f t="shared" si="1"/>
        <v>#N/A</v>
      </c>
      <c r="C24" s="558" t="str">
        <f t="shared" si="2"/>
        <v/>
      </c>
      <c r="D24" s="558" t="str">
        <f t="shared" si="3"/>
        <v/>
      </c>
      <c r="E24" s="559" t="str">
        <f t="shared" si="4"/>
        <v/>
      </c>
      <c r="F24" s="836" t="e">
        <f t="shared" si="5"/>
        <v>#N/A</v>
      </c>
      <c r="G24" s="558" t="str">
        <f t="shared" si="6"/>
        <v/>
      </c>
      <c r="H24" s="558" t="str">
        <f t="shared" si="7"/>
        <v/>
      </c>
      <c r="I24" s="559" t="str">
        <f t="shared" si="8"/>
        <v/>
      </c>
      <c r="J24" s="837">
        <f t="shared" si="9"/>
        <v>62</v>
      </c>
      <c r="K24" s="558">
        <f t="shared" si="10"/>
        <v>0.1</v>
      </c>
      <c r="L24" s="715">
        <f t="shared" si="11"/>
        <v>0.11</v>
      </c>
      <c r="M24" s="1173" t="s">
        <v>1108</v>
      </c>
      <c r="N24" s="1174" t="str">
        <f t="shared" si="132"/>
        <v/>
      </c>
      <c r="O24" s="1177">
        <v>1800000</v>
      </c>
      <c r="P24" s="173" t="e">
        <f t="shared" si="14"/>
        <v>#VALUE!</v>
      </c>
      <c r="Q24" s="561" t="str">
        <f t="shared" si="15"/>
        <v/>
      </c>
      <c r="R24" s="1112" t="str">
        <f t="shared" si="16"/>
        <v/>
      </c>
      <c r="S24" s="1178"/>
      <c r="T24" s="975"/>
      <c r="U24" s="326" t="str">
        <f t="shared" si="133"/>
        <v/>
      </c>
      <c r="V24" s="1177">
        <v>1800000</v>
      </c>
      <c r="W24" s="173" t="e">
        <f t="shared" si="18"/>
        <v>#VALUE!</v>
      </c>
      <c r="X24" s="561" t="str">
        <f t="shared" si="19"/>
        <v/>
      </c>
      <c r="Y24" s="1112" t="str">
        <f t="shared" si="20"/>
        <v/>
      </c>
      <c r="Z24" s="1178"/>
      <c r="AA24" s="975"/>
      <c r="AB24" s="326" t="str">
        <f t="shared" si="134"/>
        <v/>
      </c>
      <c r="AC24" s="1177">
        <v>1800000</v>
      </c>
      <c r="AD24" s="173" t="e">
        <f t="shared" si="22"/>
        <v>#VALUE!</v>
      </c>
      <c r="AE24" s="561" t="str">
        <f t="shared" si="23"/>
        <v/>
      </c>
      <c r="AF24" s="1112" t="str">
        <f t="shared" si="24"/>
        <v/>
      </c>
      <c r="AG24" s="1178"/>
      <c r="AH24" s="975"/>
      <c r="AI24" s="332">
        <f t="shared" si="135"/>
        <v>5400000</v>
      </c>
      <c r="AJ24" s="140">
        <f t="shared" si="26"/>
        <v>5387012.1100000003</v>
      </c>
      <c r="AK24" s="326" t="e">
        <f t="shared" ref="AK24:AM24" si="165">AD24+W24+P24</f>
        <v>#VALUE!</v>
      </c>
      <c r="AL24" s="326" t="e">
        <f t="shared" si="165"/>
        <v>#VALUE!</v>
      </c>
      <c r="AM24" s="326" t="e">
        <f t="shared" si="165"/>
        <v>#VALUE!</v>
      </c>
      <c r="AN24" s="326" t="e">
        <f t="shared" si="28"/>
        <v>#VALUE!</v>
      </c>
      <c r="AO24" s="98" t="str">
        <f t="shared" si="108"/>
        <v/>
      </c>
      <c r="AP24" s="125" t="str">
        <f t="shared" si="137"/>
        <v/>
      </c>
      <c r="AQ24" s="326" t="e">
        <f t="shared" si="31"/>
        <v>#VALUE!</v>
      </c>
      <c r="AR24" s="326" t="str">
        <f t="shared" si="32"/>
        <v/>
      </c>
      <c r="AS24" s="123" t="str">
        <f t="shared" si="33"/>
        <v/>
      </c>
      <c r="AT24" s="332" t="str">
        <f t="shared" si="138"/>
        <v/>
      </c>
      <c r="AU24" s="140" t="e">
        <f t="shared" si="35"/>
        <v>#VALUE!</v>
      </c>
      <c r="AV24" s="326" t="str">
        <f t="shared" si="36"/>
        <v/>
      </c>
      <c r="AW24" s="333" t="str">
        <f t="shared" si="37"/>
        <v/>
      </c>
      <c r="AX24" s="123" t="str">
        <f t="shared" si="139"/>
        <v/>
      </c>
      <c r="AY24" s="123" t="e">
        <f t="shared" si="39"/>
        <v>#VALUE!</v>
      </c>
      <c r="AZ24" s="123" t="str">
        <f t="shared" si="40"/>
        <v/>
      </c>
      <c r="BA24" s="125" t="str">
        <f t="shared" si="41"/>
        <v/>
      </c>
      <c r="BB24" s="1175" t="e">
        <f t="shared" ref="BB24:BD24" si="166">SUM(AQ24,AU24,AY24)</f>
        <v>#VALUE!</v>
      </c>
      <c r="BC24" s="326">
        <f t="shared" si="166"/>
        <v>0</v>
      </c>
      <c r="BD24" s="333">
        <f t="shared" si="166"/>
        <v>0</v>
      </c>
      <c r="BE24" s="100" t="e">
        <f t="shared" si="43"/>
        <v>#VALUE!</v>
      </c>
      <c r="BF24" s="116" t="e">
        <f t="shared" ref="BF24:BG24" si="167">BC24+AL24</f>
        <v>#VALUE!</v>
      </c>
      <c r="BG24" s="119" t="e">
        <f t="shared" si="167"/>
        <v>#VALUE!</v>
      </c>
      <c r="BH24" s="125" t="str">
        <f t="shared" si="142"/>
        <v/>
      </c>
      <c r="BI24" s="1041" t="e">
        <f t="shared" si="46"/>
        <v>#VALUE!</v>
      </c>
      <c r="BJ24" s="326" t="str">
        <f t="shared" si="47"/>
        <v/>
      </c>
      <c r="BK24" s="1045" t="str">
        <f t="shared" si="48"/>
        <v/>
      </c>
      <c r="BL24" s="125" t="str">
        <f t="shared" si="143"/>
        <v/>
      </c>
      <c r="BM24" s="140" t="e">
        <f t="shared" si="50"/>
        <v>#VALUE!</v>
      </c>
      <c r="BN24" s="123" t="str">
        <f t="shared" si="51"/>
        <v/>
      </c>
      <c r="BO24" s="148" t="str">
        <f t="shared" si="52"/>
        <v/>
      </c>
      <c r="BP24" s="123" t="str">
        <f t="shared" si="144"/>
        <v/>
      </c>
      <c r="BQ24" s="123" t="e">
        <f t="shared" si="54"/>
        <v>#VALUE!</v>
      </c>
      <c r="BR24" s="123" t="str">
        <f t="shared" si="55"/>
        <v/>
      </c>
      <c r="BS24" s="125" t="str">
        <f t="shared" si="56"/>
        <v/>
      </c>
      <c r="BT24" s="140" t="e">
        <f t="shared" ref="BT24:BV24" si="168">SUM(BQ24,BM24,BI24)</f>
        <v>#VALUE!</v>
      </c>
      <c r="BU24" s="123">
        <f t="shared" si="168"/>
        <v>0</v>
      </c>
      <c r="BV24" s="148">
        <f t="shared" si="168"/>
        <v>0</v>
      </c>
      <c r="BW24" s="125" t="str">
        <f t="shared" si="146"/>
        <v/>
      </c>
      <c r="BX24" s="140" t="e">
        <f t="shared" si="59"/>
        <v>#VALUE!</v>
      </c>
      <c r="BY24" s="123" t="str">
        <f t="shared" si="60"/>
        <v/>
      </c>
      <c r="BZ24" s="148" t="str">
        <f t="shared" si="61"/>
        <v/>
      </c>
      <c r="CA24" s="123" t="str">
        <f t="shared" si="147"/>
        <v/>
      </c>
      <c r="CB24" s="326" t="str">
        <f t="shared" si="148"/>
        <v/>
      </c>
      <c r="CE24" s="231" t="s">
        <v>96</v>
      </c>
      <c r="CF24" s="231"/>
      <c r="CG24" s="231"/>
      <c r="CP24" s="294"/>
      <c r="CU24" s="294"/>
    </row>
    <row r="25" spans="1:99" ht="13">
      <c r="A25" s="788">
        <f t="shared" si="0"/>
        <v>112014231</v>
      </c>
      <c r="B25" s="636" t="e">
        <f t="shared" si="1"/>
        <v>#N/A</v>
      </c>
      <c r="C25" s="558" t="str">
        <f t="shared" si="2"/>
        <v/>
      </c>
      <c r="D25" s="558" t="str">
        <f t="shared" si="3"/>
        <v/>
      </c>
      <c r="E25" s="559" t="str">
        <f t="shared" si="4"/>
        <v/>
      </c>
      <c r="F25" s="836" t="e">
        <f t="shared" si="5"/>
        <v>#N/A</v>
      </c>
      <c r="G25" s="558" t="str">
        <f t="shared" si="6"/>
        <v/>
      </c>
      <c r="H25" s="558" t="str">
        <f t="shared" si="7"/>
        <v/>
      </c>
      <c r="I25" s="559" t="str">
        <f t="shared" si="8"/>
        <v/>
      </c>
      <c r="J25" s="837">
        <f t="shared" si="9"/>
        <v>62</v>
      </c>
      <c r="K25" s="558">
        <f t="shared" si="10"/>
        <v>0.1</v>
      </c>
      <c r="L25" s="715">
        <f t="shared" si="11"/>
        <v>0.11</v>
      </c>
      <c r="M25" s="1173" t="s">
        <v>926</v>
      </c>
      <c r="N25" s="1174" t="str">
        <f t="shared" si="132"/>
        <v/>
      </c>
      <c r="O25" s="461">
        <v>1500000</v>
      </c>
      <c r="P25" s="173" t="e">
        <f t="shared" si="14"/>
        <v>#VALUE!</v>
      </c>
      <c r="Q25" s="561" t="str">
        <f t="shared" si="15"/>
        <v/>
      </c>
      <c r="R25" s="1112" t="str">
        <f t="shared" si="16"/>
        <v/>
      </c>
      <c r="S25" s="1189"/>
      <c r="T25" s="599"/>
      <c r="U25" s="326" t="str">
        <f t="shared" si="133"/>
        <v/>
      </c>
      <c r="V25" s="461">
        <v>1500000</v>
      </c>
      <c r="W25" s="173" t="e">
        <f t="shared" si="18"/>
        <v>#VALUE!</v>
      </c>
      <c r="X25" s="561" t="str">
        <f t="shared" si="19"/>
        <v/>
      </c>
      <c r="Y25" s="1112" t="str">
        <f t="shared" si="20"/>
        <v/>
      </c>
      <c r="Z25" s="1189"/>
      <c r="AA25" s="599"/>
      <c r="AB25" s="326" t="str">
        <f t="shared" si="134"/>
        <v/>
      </c>
      <c r="AC25" s="461">
        <v>1500000</v>
      </c>
      <c r="AD25" s="173" t="e">
        <f t="shared" si="22"/>
        <v>#VALUE!</v>
      </c>
      <c r="AE25" s="561" t="str">
        <f t="shared" si="23"/>
        <v/>
      </c>
      <c r="AF25" s="1112" t="str">
        <f t="shared" si="24"/>
        <v/>
      </c>
      <c r="AG25" s="1189"/>
      <c r="AH25" s="599"/>
      <c r="AI25" s="332">
        <f t="shared" si="135"/>
        <v>4500000</v>
      </c>
      <c r="AJ25" s="140">
        <f t="shared" si="26"/>
        <v>2137324.3199999998</v>
      </c>
      <c r="AK25" s="326" t="e">
        <f t="shared" ref="AK25:AM25" si="169">AD25+W25+P25</f>
        <v>#VALUE!</v>
      </c>
      <c r="AL25" s="326" t="e">
        <f t="shared" si="169"/>
        <v>#VALUE!</v>
      </c>
      <c r="AM25" s="326" t="e">
        <f t="shared" si="169"/>
        <v>#VALUE!</v>
      </c>
      <c r="AN25" s="326" t="e">
        <f t="shared" si="28"/>
        <v>#VALUE!</v>
      </c>
      <c r="AO25" s="98" t="str">
        <f t="shared" si="108"/>
        <v/>
      </c>
      <c r="AP25" s="125" t="str">
        <f t="shared" si="137"/>
        <v/>
      </c>
      <c r="AQ25" s="326" t="e">
        <f t="shared" si="31"/>
        <v>#VALUE!</v>
      </c>
      <c r="AR25" s="326" t="str">
        <f t="shared" si="32"/>
        <v/>
      </c>
      <c r="AS25" s="123" t="str">
        <f t="shared" si="33"/>
        <v/>
      </c>
      <c r="AT25" s="332" t="str">
        <f t="shared" si="138"/>
        <v/>
      </c>
      <c r="AU25" s="140" t="e">
        <f t="shared" si="35"/>
        <v>#VALUE!</v>
      </c>
      <c r="AV25" s="326" t="str">
        <f t="shared" si="36"/>
        <v/>
      </c>
      <c r="AW25" s="333" t="str">
        <f t="shared" si="37"/>
        <v/>
      </c>
      <c r="AX25" s="123" t="str">
        <f t="shared" si="139"/>
        <v/>
      </c>
      <c r="AY25" s="123" t="e">
        <f t="shared" si="39"/>
        <v>#VALUE!</v>
      </c>
      <c r="AZ25" s="123" t="str">
        <f t="shared" si="40"/>
        <v/>
      </c>
      <c r="BA25" s="125" t="str">
        <f t="shared" si="41"/>
        <v/>
      </c>
      <c r="BB25" s="1175" t="e">
        <f t="shared" ref="BB25:BD25" si="170">SUM(AQ25,AU25,AY25)</f>
        <v>#VALUE!</v>
      </c>
      <c r="BC25" s="326">
        <f t="shared" si="170"/>
        <v>0</v>
      </c>
      <c r="BD25" s="333">
        <f t="shared" si="170"/>
        <v>0</v>
      </c>
      <c r="BE25" s="100" t="e">
        <f t="shared" si="43"/>
        <v>#VALUE!</v>
      </c>
      <c r="BF25" s="116" t="e">
        <f t="shared" ref="BF25:BG25" si="171">BC25+AL25</f>
        <v>#VALUE!</v>
      </c>
      <c r="BG25" s="119" t="e">
        <f t="shared" si="171"/>
        <v>#VALUE!</v>
      </c>
      <c r="BH25" s="125" t="str">
        <f t="shared" si="142"/>
        <v/>
      </c>
      <c r="BI25" s="1041" t="e">
        <f t="shared" si="46"/>
        <v>#VALUE!</v>
      </c>
      <c r="BJ25" s="326" t="str">
        <f t="shared" si="47"/>
        <v/>
      </c>
      <c r="BK25" s="1045" t="str">
        <f t="shared" si="48"/>
        <v/>
      </c>
      <c r="BL25" s="125" t="str">
        <f t="shared" si="143"/>
        <v/>
      </c>
      <c r="BM25" s="140" t="e">
        <f t="shared" si="50"/>
        <v>#VALUE!</v>
      </c>
      <c r="BN25" s="123" t="str">
        <f t="shared" si="51"/>
        <v/>
      </c>
      <c r="BO25" s="148" t="str">
        <f t="shared" si="52"/>
        <v/>
      </c>
      <c r="BP25" s="123" t="str">
        <f t="shared" si="144"/>
        <v/>
      </c>
      <c r="BQ25" s="123" t="e">
        <f t="shared" si="54"/>
        <v>#VALUE!</v>
      </c>
      <c r="BR25" s="123" t="str">
        <f t="shared" si="55"/>
        <v/>
      </c>
      <c r="BS25" s="125" t="str">
        <f t="shared" si="56"/>
        <v/>
      </c>
      <c r="BT25" s="140" t="e">
        <f t="shared" ref="BT25:BV25" si="172">SUM(BQ25,BM25,BI25)</f>
        <v>#VALUE!</v>
      </c>
      <c r="BU25" s="123">
        <f t="shared" si="172"/>
        <v>0</v>
      </c>
      <c r="BV25" s="148">
        <f t="shared" si="172"/>
        <v>0</v>
      </c>
      <c r="BW25" s="125" t="str">
        <f t="shared" si="146"/>
        <v/>
      </c>
      <c r="BX25" s="140" t="e">
        <f t="shared" si="59"/>
        <v>#VALUE!</v>
      </c>
      <c r="BY25" s="123" t="str">
        <f t="shared" si="60"/>
        <v/>
      </c>
      <c r="BZ25" s="148" t="str">
        <f t="shared" si="61"/>
        <v/>
      </c>
      <c r="CA25" s="123" t="str">
        <f t="shared" si="147"/>
        <v/>
      </c>
      <c r="CB25" s="326" t="str">
        <f t="shared" si="148"/>
        <v/>
      </c>
      <c r="CE25" s="245" t="s">
        <v>525</v>
      </c>
      <c r="CF25" s="245"/>
      <c r="CG25" s="245"/>
      <c r="CP25" s="294"/>
      <c r="CU25" s="294"/>
    </row>
    <row r="26" spans="1:99" ht="13">
      <c r="A26" s="788">
        <f t="shared" si="0"/>
        <v>112011647</v>
      </c>
      <c r="B26" s="636">
        <f t="shared" si="1"/>
        <v>20</v>
      </c>
      <c r="C26" s="558">
        <f t="shared" si="2"/>
        <v>0.05</v>
      </c>
      <c r="D26" s="558">
        <f t="shared" si="3"/>
        <v>0.09</v>
      </c>
      <c r="E26" s="559">
        <f t="shared" si="4"/>
        <v>0</v>
      </c>
      <c r="F26" s="836">
        <f t="shared" si="5"/>
        <v>20</v>
      </c>
      <c r="G26" s="558">
        <f t="shared" si="6"/>
        <v>0.05</v>
      </c>
      <c r="H26" s="558">
        <f t="shared" si="7"/>
        <v>0.09</v>
      </c>
      <c r="I26" s="559">
        <f t="shared" si="8"/>
        <v>0</v>
      </c>
      <c r="J26" s="837">
        <f t="shared" si="9"/>
        <v>67</v>
      </c>
      <c r="K26" s="558">
        <f t="shared" si="10"/>
        <v>0.05</v>
      </c>
      <c r="L26" s="715">
        <f t="shared" si="11"/>
        <v>0.05</v>
      </c>
      <c r="M26" s="1173" t="s">
        <v>1142</v>
      </c>
      <c r="N26" s="1174">
        <f t="shared" si="132"/>
        <v>159337.73000000001</v>
      </c>
      <c r="O26" s="461">
        <v>1500000</v>
      </c>
      <c r="P26" s="173">
        <f t="shared" si="14"/>
        <v>424270.00999999995</v>
      </c>
      <c r="Q26" s="561">
        <f t="shared" si="15"/>
        <v>41576.959999999999</v>
      </c>
      <c r="R26" s="1112">
        <f t="shared" si="16"/>
        <v>465846.97</v>
      </c>
      <c r="S26" s="1189"/>
      <c r="T26" s="599"/>
      <c r="U26" s="326">
        <f t="shared" si="133"/>
        <v>49508.65</v>
      </c>
      <c r="V26" s="461">
        <v>1500000</v>
      </c>
      <c r="W26" s="173">
        <f t="shared" si="18"/>
        <v>100323.36</v>
      </c>
      <c r="X26" s="561">
        <f t="shared" si="19"/>
        <v>0</v>
      </c>
      <c r="Y26" s="1112">
        <f t="shared" si="20"/>
        <v>100323.36</v>
      </c>
      <c r="Z26" s="1189"/>
      <c r="AA26" s="599"/>
      <c r="AB26" s="326">
        <f t="shared" si="134"/>
        <v>48691.5</v>
      </c>
      <c r="AC26" s="461">
        <v>1500000</v>
      </c>
      <c r="AD26" s="173">
        <f t="shared" si="22"/>
        <v>355237.47</v>
      </c>
      <c r="AE26" s="561">
        <f t="shared" si="23"/>
        <v>50561.78</v>
      </c>
      <c r="AF26" s="1112">
        <f t="shared" si="24"/>
        <v>405799.25</v>
      </c>
      <c r="AG26" s="1189"/>
      <c r="AH26" s="599"/>
      <c r="AI26" s="332">
        <f t="shared" si="135"/>
        <v>4500000</v>
      </c>
      <c r="AJ26" s="140">
        <f t="shared" si="26"/>
        <v>1242478.24</v>
      </c>
      <c r="AK26" s="326">
        <f t="shared" ref="AK26:AM26" si="173">AD26+W26+P26</f>
        <v>879830.83999999985</v>
      </c>
      <c r="AL26" s="326">
        <f t="shared" si="173"/>
        <v>92138.739999999991</v>
      </c>
      <c r="AM26" s="326">
        <f t="shared" si="173"/>
        <v>971969.58</v>
      </c>
      <c r="AN26" s="326">
        <f t="shared" si="28"/>
        <v>-270508.66000000003</v>
      </c>
      <c r="AO26" s="98">
        <f t="shared" si="108"/>
        <v>0.78228297986128104</v>
      </c>
      <c r="AP26" s="125">
        <f t="shared" si="137"/>
        <v>192760.84</v>
      </c>
      <c r="AQ26" s="326">
        <f t="shared" si="31"/>
        <v>333095.98000000004</v>
      </c>
      <c r="AR26" s="326">
        <f t="shared" si="32"/>
        <v>78790.61</v>
      </c>
      <c r="AS26" s="123">
        <f t="shared" si="33"/>
        <v>411886.59</v>
      </c>
      <c r="AT26" s="332">
        <f t="shared" si="138"/>
        <v>60864.5</v>
      </c>
      <c r="AU26" s="140">
        <f t="shared" si="35"/>
        <v>234619.30999999997</v>
      </c>
      <c r="AV26" s="326">
        <f t="shared" si="36"/>
        <v>87311.6</v>
      </c>
      <c r="AW26" s="333">
        <f t="shared" si="37"/>
        <v>321930.90999999997</v>
      </c>
      <c r="AX26" s="123">
        <f t="shared" si="139"/>
        <v>232420.23</v>
      </c>
      <c r="AY26" s="123">
        <f t="shared" si="39"/>
        <v>315932.95</v>
      </c>
      <c r="AZ26" s="123">
        <f t="shared" si="40"/>
        <v>70200.789999999994</v>
      </c>
      <c r="BA26" s="125">
        <f t="shared" si="41"/>
        <v>386133.74</v>
      </c>
      <c r="BB26" s="1175">
        <f t="shared" ref="BB26:BD26" si="174">SUM(AQ26,AU26,AY26)</f>
        <v>883648.24</v>
      </c>
      <c r="BC26" s="326">
        <f t="shared" si="174"/>
        <v>236303</v>
      </c>
      <c r="BD26" s="333">
        <f t="shared" si="174"/>
        <v>1119951.24</v>
      </c>
      <c r="BE26" s="100">
        <f t="shared" si="43"/>
        <v>1763479.0799999998</v>
      </c>
      <c r="BF26" s="116">
        <f t="shared" ref="BF26:BG26" si="175">BC26+AL26</f>
        <v>328441.74</v>
      </c>
      <c r="BG26" s="119">
        <f t="shared" si="175"/>
        <v>2091920.8199999998</v>
      </c>
      <c r="BH26" s="125">
        <f t="shared" si="142"/>
        <v>209846.16</v>
      </c>
      <c r="BI26" s="1041">
        <f t="shared" si="46"/>
        <v>451849.24000000005</v>
      </c>
      <c r="BJ26" s="326">
        <f t="shared" si="47"/>
        <v>70200.789999999994</v>
      </c>
      <c r="BK26" s="1045">
        <f t="shared" si="48"/>
        <v>522050.03</v>
      </c>
      <c r="BL26" s="125">
        <f t="shared" si="143"/>
        <v>127085.04</v>
      </c>
      <c r="BM26" s="586">
        <f t="shared" si="50"/>
        <v>302781.38</v>
      </c>
      <c r="BN26" s="1168">
        <f t="shared" si="51"/>
        <v>0</v>
      </c>
      <c r="BO26" s="1067">
        <f t="shared" si="52"/>
        <v>302781.38</v>
      </c>
      <c r="BP26" s="1168">
        <f t="shared" si="144"/>
        <v>420748.86</v>
      </c>
      <c r="BQ26" s="1168">
        <f t="shared" si="54"/>
        <v>441218.45</v>
      </c>
      <c r="BR26" s="1168">
        <f t="shared" si="55"/>
        <v>57337.120000000003</v>
      </c>
      <c r="BS26" s="249">
        <f t="shared" si="56"/>
        <v>498555.57</v>
      </c>
      <c r="BT26" s="586">
        <f t="shared" ref="BT26:BV26" si="176">SUM(BQ26,BM26,BI26)</f>
        <v>1195849.07</v>
      </c>
      <c r="BU26" s="1168">
        <f t="shared" si="176"/>
        <v>127537.91</v>
      </c>
      <c r="BV26" s="1067">
        <f t="shared" si="176"/>
        <v>1323386.98</v>
      </c>
      <c r="BW26" s="125">
        <f t="shared" si="146"/>
        <v>651454.4</v>
      </c>
      <c r="BX26" s="140">
        <f t="shared" si="59"/>
        <v>810309.21</v>
      </c>
      <c r="BY26" s="123">
        <f t="shared" si="60"/>
        <v>0</v>
      </c>
      <c r="BZ26" s="148">
        <f t="shared" si="61"/>
        <v>810309.21</v>
      </c>
      <c r="CA26" s="123">
        <f t="shared" si="147"/>
        <v>222723.82</v>
      </c>
      <c r="CB26" s="326">
        <f t="shared" si="148"/>
        <v>368300.01</v>
      </c>
      <c r="CP26" s="294"/>
      <c r="CU26" s="294"/>
    </row>
    <row r="27" spans="1:99" ht="13">
      <c r="A27" s="788">
        <f t="shared" si="0"/>
        <v>112014017</v>
      </c>
      <c r="B27" s="636">
        <f t="shared" si="1"/>
        <v>29</v>
      </c>
      <c r="C27" s="558">
        <f t="shared" si="2"/>
        <v>0.05</v>
      </c>
      <c r="D27" s="558">
        <f t="shared" si="3"/>
        <v>0.2</v>
      </c>
      <c r="E27" s="559">
        <f t="shared" si="4"/>
        <v>0</v>
      </c>
      <c r="F27" s="836">
        <f t="shared" si="5"/>
        <v>29</v>
      </c>
      <c r="G27" s="558">
        <f t="shared" si="6"/>
        <v>0.05</v>
      </c>
      <c r="H27" s="558">
        <f t="shared" si="7"/>
        <v>0.2</v>
      </c>
      <c r="I27" s="559">
        <f t="shared" si="8"/>
        <v>0</v>
      </c>
      <c r="J27" s="837">
        <f t="shared" si="9"/>
        <v>66</v>
      </c>
      <c r="K27" s="558">
        <f t="shared" si="10"/>
        <v>0.05</v>
      </c>
      <c r="L27" s="715">
        <f t="shared" si="11"/>
        <v>0.11</v>
      </c>
      <c r="M27" s="1173" t="s">
        <v>1143</v>
      </c>
      <c r="N27" s="1174">
        <f t="shared" si="132"/>
        <v>1465553.72</v>
      </c>
      <c r="O27" s="332">
        <f>(N27*1.601)*1.05</f>
        <v>2463669.0810059998</v>
      </c>
      <c r="P27" s="173">
        <f t="shared" si="14"/>
        <v>595580.55000000005</v>
      </c>
      <c r="Q27" s="561">
        <f t="shared" si="15"/>
        <v>1297651.25</v>
      </c>
      <c r="R27" s="1112">
        <f t="shared" si="16"/>
        <v>1893231.8</v>
      </c>
      <c r="S27" s="123"/>
      <c r="T27" s="326"/>
      <c r="U27" s="326">
        <f t="shared" si="133"/>
        <v>913003.96</v>
      </c>
      <c r="V27" s="332">
        <f>(U27*1.7245)*1.03</f>
        <v>1621709.5888905998</v>
      </c>
      <c r="W27" s="173">
        <f t="shared" si="18"/>
        <v>368878.32999999984</v>
      </c>
      <c r="X27" s="561">
        <f t="shared" si="19"/>
        <v>1762392.84</v>
      </c>
      <c r="Y27" s="1112">
        <f t="shared" si="20"/>
        <v>2131271.17</v>
      </c>
      <c r="Z27" s="123"/>
      <c r="AA27" s="326"/>
      <c r="AB27" s="326">
        <f t="shared" si="134"/>
        <v>1275636.17</v>
      </c>
      <c r="AC27" s="332">
        <f>(AB27*1.5955)*1.03</f>
        <v>2096335.8345120498</v>
      </c>
      <c r="AD27" s="173">
        <f t="shared" si="22"/>
        <v>448509.48</v>
      </c>
      <c r="AE27" s="561">
        <f t="shared" si="23"/>
        <v>1361009.86</v>
      </c>
      <c r="AF27" s="1112">
        <f t="shared" si="24"/>
        <v>1809519.34</v>
      </c>
      <c r="AG27" s="123"/>
      <c r="AH27" s="326"/>
      <c r="AI27" s="332">
        <f t="shared" si="135"/>
        <v>6181714.5044086501</v>
      </c>
      <c r="AJ27" s="140">
        <f t="shared" si="26"/>
        <v>7488115.3499999996</v>
      </c>
      <c r="AK27" s="326">
        <f t="shared" ref="AK27:AM27" si="177">AD27+W27+P27</f>
        <v>1412968.3599999999</v>
      </c>
      <c r="AL27" s="326">
        <f t="shared" si="177"/>
        <v>4421053.95</v>
      </c>
      <c r="AM27" s="326">
        <f t="shared" si="177"/>
        <v>5834022.3099999996</v>
      </c>
      <c r="AN27" s="326">
        <f t="shared" si="28"/>
        <v>-1654093.04</v>
      </c>
      <c r="AO27" s="98">
        <f t="shared" si="108"/>
        <v>0.77910422547109937</v>
      </c>
      <c r="AP27" s="125">
        <f t="shared" si="137"/>
        <v>2724890.66</v>
      </c>
      <c r="AQ27" s="326">
        <f t="shared" si="31"/>
        <v>518176.06999999983</v>
      </c>
      <c r="AR27" s="326">
        <f t="shared" si="32"/>
        <v>2340831.08</v>
      </c>
      <c r="AS27" s="123">
        <f t="shared" si="33"/>
        <v>2859007.15</v>
      </c>
      <c r="AT27" s="332">
        <f t="shared" si="138"/>
        <v>901010.86</v>
      </c>
      <c r="AU27" s="140">
        <f t="shared" si="35"/>
        <v>640255.37999999989</v>
      </c>
      <c r="AV27" s="326">
        <f t="shared" si="36"/>
        <v>1590982.54</v>
      </c>
      <c r="AW27" s="333">
        <f t="shared" si="37"/>
        <v>2231237.92</v>
      </c>
      <c r="AX27" s="123">
        <f t="shared" si="139"/>
        <v>1189494.52</v>
      </c>
      <c r="AY27" s="123">
        <f t="shared" si="39"/>
        <v>116916.78000000003</v>
      </c>
      <c r="AZ27" s="123">
        <f t="shared" si="40"/>
        <v>1577827.71</v>
      </c>
      <c r="BA27" s="125">
        <f t="shared" si="41"/>
        <v>1694744.49</v>
      </c>
      <c r="BB27" s="1175">
        <f t="shared" ref="BB27:BD27" si="178">SUM(AQ27,AU27,AY27)</f>
        <v>1275348.2299999997</v>
      </c>
      <c r="BC27" s="326">
        <f t="shared" si="178"/>
        <v>5509641.3300000001</v>
      </c>
      <c r="BD27" s="333">
        <f t="shared" si="178"/>
        <v>6784989.5600000005</v>
      </c>
      <c r="BE27" s="100">
        <f t="shared" si="43"/>
        <v>2688316.59</v>
      </c>
      <c r="BF27" s="116">
        <f t="shared" ref="BF27:BG27" si="179">BC27+AL27</f>
        <v>9930695.2800000012</v>
      </c>
      <c r="BG27" s="119">
        <f t="shared" si="179"/>
        <v>12619011.870000001</v>
      </c>
      <c r="BH27" s="125">
        <f t="shared" si="142"/>
        <v>1580185.12</v>
      </c>
      <c r="BI27" s="1041">
        <f t="shared" si="46"/>
        <v>564118.28000000026</v>
      </c>
      <c r="BJ27" s="326">
        <f t="shared" si="47"/>
        <v>2892187.69</v>
      </c>
      <c r="BK27" s="1045">
        <f t="shared" si="48"/>
        <v>3456305.97</v>
      </c>
      <c r="BL27" s="125">
        <f t="shared" si="143"/>
        <v>1824414.34</v>
      </c>
      <c r="BM27" s="586">
        <f t="shared" si="50"/>
        <v>802028.39999999991</v>
      </c>
      <c r="BN27" s="1168">
        <f t="shared" si="51"/>
        <v>1497441.17</v>
      </c>
      <c r="BO27" s="1184">
        <f t="shared" si="52"/>
        <v>2299469.5699999998</v>
      </c>
      <c r="BP27" s="1168">
        <f t="shared" si="144"/>
        <v>1508724.66</v>
      </c>
      <c r="BQ27" s="1168">
        <f t="shared" si="54"/>
        <v>723427.83000000007</v>
      </c>
      <c r="BR27" s="1168">
        <f t="shared" si="55"/>
        <v>2624368.14</v>
      </c>
      <c r="BS27" s="1190">
        <f t="shared" si="56"/>
        <v>3347795.97</v>
      </c>
      <c r="BT27" s="586">
        <f t="shared" ref="BT27:BV27" si="180">SUM(BQ27,BM27,BI27)</f>
        <v>2089574.5100000002</v>
      </c>
      <c r="BU27" s="123">
        <f t="shared" si="180"/>
        <v>7013997</v>
      </c>
      <c r="BV27" s="1184">
        <f t="shared" si="180"/>
        <v>9103571.5099999998</v>
      </c>
      <c r="BW27" s="125">
        <f t="shared" si="146"/>
        <v>2099653.9900000002</v>
      </c>
      <c r="BX27" s="140">
        <f t="shared" si="59"/>
        <v>1110514.9500000002</v>
      </c>
      <c r="BY27" s="123">
        <f t="shared" si="60"/>
        <v>2478911.92</v>
      </c>
      <c r="BZ27" s="148">
        <f t="shared" si="61"/>
        <v>3589426.87</v>
      </c>
      <c r="CA27" s="123">
        <f t="shared" si="147"/>
        <v>1793743.08</v>
      </c>
      <c r="CB27" s="326">
        <f t="shared" si="148"/>
        <v>3594718.29</v>
      </c>
      <c r="CP27" s="294"/>
      <c r="CU27" s="294"/>
    </row>
    <row r="28" spans="1:99" ht="13">
      <c r="A28" s="788">
        <f t="shared" si="0"/>
        <v>112012738</v>
      </c>
      <c r="B28" s="636" t="e">
        <f t="shared" si="1"/>
        <v>#N/A</v>
      </c>
      <c r="C28" s="558" t="str">
        <f t="shared" si="2"/>
        <v/>
      </c>
      <c r="D28" s="558" t="str">
        <f t="shared" si="3"/>
        <v/>
      </c>
      <c r="E28" s="559" t="str">
        <f t="shared" si="4"/>
        <v/>
      </c>
      <c r="F28" s="836" t="e">
        <f t="shared" si="5"/>
        <v>#N/A</v>
      </c>
      <c r="G28" s="558" t="str">
        <f t="shared" si="6"/>
        <v/>
      </c>
      <c r="H28" s="558" t="str">
        <f t="shared" si="7"/>
        <v/>
      </c>
      <c r="I28" s="559" t="str">
        <f t="shared" si="8"/>
        <v/>
      </c>
      <c r="J28" s="837">
        <f t="shared" si="9"/>
        <v>66</v>
      </c>
      <c r="K28" s="558">
        <f t="shared" si="10"/>
        <v>0.05</v>
      </c>
      <c r="L28" s="715">
        <f t="shared" si="11"/>
        <v>0.11</v>
      </c>
      <c r="M28" s="1173" t="s">
        <v>493</v>
      </c>
      <c r="N28" s="1174" t="str">
        <f t="shared" si="132"/>
        <v/>
      </c>
      <c r="O28" s="461">
        <v>1500000</v>
      </c>
      <c r="P28" s="173" t="e">
        <f t="shared" si="14"/>
        <v>#VALUE!</v>
      </c>
      <c r="Q28" s="561" t="str">
        <f t="shared" si="15"/>
        <v/>
      </c>
      <c r="R28" s="1112" t="str">
        <f t="shared" si="16"/>
        <v/>
      </c>
      <c r="S28" s="1189"/>
      <c r="T28" s="599"/>
      <c r="U28" s="326" t="str">
        <f t="shared" si="133"/>
        <v/>
      </c>
      <c r="V28" s="461">
        <v>1500000</v>
      </c>
      <c r="W28" s="173" t="e">
        <f t="shared" si="18"/>
        <v>#VALUE!</v>
      </c>
      <c r="X28" s="561" t="str">
        <f t="shared" si="19"/>
        <v/>
      </c>
      <c r="Y28" s="1112" t="str">
        <f t="shared" si="20"/>
        <v/>
      </c>
      <c r="Z28" s="1189"/>
      <c r="AA28" s="599"/>
      <c r="AB28" s="326" t="str">
        <f t="shared" si="134"/>
        <v/>
      </c>
      <c r="AC28" s="461">
        <v>1500000</v>
      </c>
      <c r="AD28" s="173" t="e">
        <f t="shared" si="22"/>
        <v>#VALUE!</v>
      </c>
      <c r="AE28" s="561" t="str">
        <f t="shared" si="23"/>
        <v/>
      </c>
      <c r="AF28" s="1112" t="str">
        <f t="shared" si="24"/>
        <v/>
      </c>
      <c r="AG28" s="1189"/>
      <c r="AH28" s="599"/>
      <c r="AI28" s="332">
        <f t="shared" si="135"/>
        <v>4500000</v>
      </c>
      <c r="AJ28" s="140">
        <f t="shared" si="26"/>
        <v>1704375.75</v>
      </c>
      <c r="AK28" s="326" t="e">
        <f t="shared" ref="AK28:AM28" si="181">AD28+W28+P28</f>
        <v>#VALUE!</v>
      </c>
      <c r="AL28" s="326" t="e">
        <f t="shared" si="181"/>
        <v>#VALUE!</v>
      </c>
      <c r="AM28" s="326" t="e">
        <f t="shared" si="181"/>
        <v>#VALUE!</v>
      </c>
      <c r="AN28" s="326" t="e">
        <f t="shared" si="28"/>
        <v>#VALUE!</v>
      </c>
      <c r="AO28" s="98" t="str">
        <f t="shared" si="108"/>
        <v/>
      </c>
      <c r="AP28" s="125" t="str">
        <f t="shared" si="137"/>
        <v/>
      </c>
      <c r="AQ28" s="326" t="e">
        <f t="shared" si="31"/>
        <v>#VALUE!</v>
      </c>
      <c r="AR28" s="326" t="str">
        <f t="shared" si="32"/>
        <v/>
      </c>
      <c r="AS28" s="123" t="str">
        <f t="shared" si="33"/>
        <v/>
      </c>
      <c r="AT28" s="332" t="str">
        <f t="shared" si="138"/>
        <v/>
      </c>
      <c r="AU28" s="140" t="e">
        <f t="shared" si="35"/>
        <v>#VALUE!</v>
      </c>
      <c r="AV28" s="326" t="str">
        <f t="shared" si="36"/>
        <v/>
      </c>
      <c r="AW28" s="333" t="str">
        <f t="shared" si="37"/>
        <v/>
      </c>
      <c r="AX28" s="123" t="str">
        <f t="shared" si="139"/>
        <v/>
      </c>
      <c r="AY28" s="123" t="e">
        <f t="shared" si="39"/>
        <v>#VALUE!</v>
      </c>
      <c r="AZ28" s="123" t="str">
        <f t="shared" si="40"/>
        <v/>
      </c>
      <c r="BA28" s="125" t="str">
        <f t="shared" si="41"/>
        <v/>
      </c>
      <c r="BB28" s="1175" t="e">
        <f t="shared" ref="BB28:BD28" si="182">SUM(AQ28,AU28,AY28)</f>
        <v>#VALUE!</v>
      </c>
      <c r="BC28" s="326">
        <f t="shared" si="182"/>
        <v>0</v>
      </c>
      <c r="BD28" s="333">
        <f t="shared" si="182"/>
        <v>0</v>
      </c>
      <c r="BE28" s="100" t="e">
        <f t="shared" si="43"/>
        <v>#VALUE!</v>
      </c>
      <c r="BF28" s="116" t="e">
        <f t="shared" ref="BF28:BG28" si="183">BC28+AL28</f>
        <v>#VALUE!</v>
      </c>
      <c r="BG28" s="119" t="e">
        <f t="shared" si="183"/>
        <v>#VALUE!</v>
      </c>
      <c r="BH28" s="125" t="str">
        <f t="shared" si="142"/>
        <v/>
      </c>
      <c r="BI28" s="1041" t="e">
        <f t="shared" si="46"/>
        <v>#VALUE!</v>
      </c>
      <c r="BJ28" s="326" t="str">
        <f t="shared" si="47"/>
        <v/>
      </c>
      <c r="BK28" s="1045" t="str">
        <f t="shared" si="48"/>
        <v/>
      </c>
      <c r="BL28" s="125" t="str">
        <f t="shared" si="143"/>
        <v/>
      </c>
      <c r="BM28" s="140" t="e">
        <f t="shared" si="50"/>
        <v>#VALUE!</v>
      </c>
      <c r="BN28" s="123" t="str">
        <f t="shared" si="51"/>
        <v/>
      </c>
      <c r="BO28" s="148" t="str">
        <f t="shared" si="52"/>
        <v/>
      </c>
      <c r="BP28" s="123" t="str">
        <f t="shared" si="144"/>
        <v/>
      </c>
      <c r="BQ28" s="123" t="e">
        <f t="shared" si="54"/>
        <v>#VALUE!</v>
      </c>
      <c r="BR28" s="123" t="str">
        <f t="shared" si="55"/>
        <v/>
      </c>
      <c r="BS28" s="125" t="str">
        <f t="shared" si="56"/>
        <v/>
      </c>
      <c r="BT28" s="140" t="e">
        <f t="shared" ref="BT28:BV28" si="184">SUM(BQ28,BM28,BI28)</f>
        <v>#VALUE!</v>
      </c>
      <c r="BU28" s="123">
        <f t="shared" si="184"/>
        <v>0</v>
      </c>
      <c r="BV28" s="148">
        <f t="shared" si="184"/>
        <v>0</v>
      </c>
      <c r="BW28" s="125" t="str">
        <f t="shared" si="146"/>
        <v/>
      </c>
      <c r="BX28" s="140" t="e">
        <f t="shared" si="59"/>
        <v>#VALUE!</v>
      </c>
      <c r="BY28" s="123" t="str">
        <f t="shared" si="60"/>
        <v/>
      </c>
      <c r="BZ28" s="148" t="str">
        <f t="shared" si="61"/>
        <v/>
      </c>
      <c r="CA28" s="123" t="str">
        <f t="shared" si="147"/>
        <v/>
      </c>
      <c r="CB28" s="326" t="str">
        <f t="shared" si="148"/>
        <v/>
      </c>
      <c r="CP28" s="294"/>
      <c r="CU28" s="294"/>
    </row>
    <row r="29" spans="1:99" ht="13">
      <c r="A29" s="788">
        <f t="shared" si="0"/>
        <v>112013498</v>
      </c>
      <c r="B29" s="636">
        <f t="shared" si="1"/>
        <v>7</v>
      </c>
      <c r="C29" s="558">
        <f t="shared" si="2"/>
        <v>0.1</v>
      </c>
      <c r="D29" s="558">
        <f t="shared" si="3"/>
        <v>0.2</v>
      </c>
      <c r="E29" s="559">
        <f t="shared" si="4"/>
        <v>0</v>
      </c>
      <c r="F29" s="836">
        <f t="shared" si="5"/>
        <v>4</v>
      </c>
      <c r="G29" s="558" t="str">
        <f t="shared" si="6"/>
        <v>Lista</v>
      </c>
      <c r="H29" s="558">
        <f t="shared" si="7"/>
        <v>0.2</v>
      </c>
      <c r="I29" s="559">
        <f t="shared" si="8"/>
        <v>0</v>
      </c>
      <c r="J29" s="837">
        <f t="shared" si="9"/>
        <v>70</v>
      </c>
      <c r="K29" s="558" t="str">
        <f t="shared" si="10"/>
        <v>Lista</v>
      </c>
      <c r="L29" s="715">
        <f t="shared" si="11"/>
        <v>0.11</v>
      </c>
      <c r="M29" s="1173" t="s">
        <v>899</v>
      </c>
      <c r="N29" s="1174" t="str">
        <f t="shared" si="132"/>
        <v/>
      </c>
      <c r="O29" s="1177">
        <v>1800000</v>
      </c>
      <c r="P29" s="173">
        <f t="shared" si="14"/>
        <v>398527.79000000004</v>
      </c>
      <c r="Q29" s="326">
        <f t="shared" si="15"/>
        <v>899228.47</v>
      </c>
      <c r="R29" s="333">
        <f t="shared" si="16"/>
        <v>1297756.26</v>
      </c>
      <c r="S29" s="123"/>
      <c r="T29" s="326"/>
      <c r="U29" s="326" t="str">
        <f t="shared" si="133"/>
        <v/>
      </c>
      <c r="V29" s="332">
        <v>1800000</v>
      </c>
      <c r="W29" s="173">
        <f t="shared" si="18"/>
        <v>567099.23000000021</v>
      </c>
      <c r="X29" s="561">
        <f t="shared" si="19"/>
        <v>1725102.2</v>
      </c>
      <c r="Y29" s="1112">
        <f t="shared" si="20"/>
        <v>2292201.4300000002</v>
      </c>
      <c r="Z29" s="123"/>
      <c r="AA29" s="326"/>
      <c r="AB29" s="326" t="str">
        <f t="shared" si="134"/>
        <v/>
      </c>
      <c r="AC29" s="332">
        <v>1800000</v>
      </c>
      <c r="AD29" s="173">
        <f t="shared" si="22"/>
        <v>417802.42000000004</v>
      </c>
      <c r="AE29" s="561">
        <f t="shared" si="23"/>
        <v>814510.68</v>
      </c>
      <c r="AF29" s="1112">
        <f t="shared" si="24"/>
        <v>1232313.1000000001</v>
      </c>
      <c r="AG29" s="123"/>
      <c r="AH29" s="326"/>
      <c r="AI29" s="332">
        <f t="shared" si="135"/>
        <v>5400000</v>
      </c>
      <c r="AJ29" s="140" t="str">
        <f t="shared" si="26"/>
        <v>0</v>
      </c>
      <c r="AK29" s="326">
        <f t="shared" ref="AK29:AM29" si="185">AD29+W29+P29</f>
        <v>1383429.4400000004</v>
      </c>
      <c r="AL29" s="326">
        <f t="shared" si="185"/>
        <v>3438841.3499999996</v>
      </c>
      <c r="AM29" s="326">
        <f t="shared" si="185"/>
        <v>4822270.79</v>
      </c>
      <c r="AN29" s="326">
        <f t="shared" si="28"/>
        <v>4822270.79</v>
      </c>
      <c r="AO29" s="98" t="str">
        <f t="shared" si="108"/>
        <v/>
      </c>
      <c r="AP29" s="125" t="str">
        <f t="shared" si="137"/>
        <v/>
      </c>
      <c r="AQ29" s="326">
        <f t="shared" si="31"/>
        <v>0</v>
      </c>
      <c r="AR29" s="326">
        <f t="shared" si="32"/>
        <v>384794.82</v>
      </c>
      <c r="AS29" s="123">
        <f t="shared" si="33"/>
        <v>384794.82</v>
      </c>
      <c r="AT29" s="332" t="str">
        <f t="shared" si="138"/>
        <v/>
      </c>
      <c r="AU29" s="140">
        <f t="shared" si="35"/>
        <v>213731.64999999991</v>
      </c>
      <c r="AV29" s="326">
        <f t="shared" si="36"/>
        <v>1108558.3600000001</v>
      </c>
      <c r="AW29" s="333">
        <f t="shared" si="37"/>
        <v>1322290.01</v>
      </c>
      <c r="AX29" s="123" t="str">
        <f t="shared" si="139"/>
        <v/>
      </c>
      <c r="AY29" s="123">
        <f t="shared" si="39"/>
        <v>0</v>
      </c>
      <c r="AZ29" s="123">
        <f t="shared" si="40"/>
        <v>722700.73</v>
      </c>
      <c r="BA29" s="125">
        <f t="shared" si="41"/>
        <v>722700.73</v>
      </c>
      <c r="BB29" s="1175">
        <f t="shared" ref="BB29:BD29" si="186">SUM(AQ29,AU29,AY29)</f>
        <v>213731.64999999991</v>
      </c>
      <c r="BC29" s="326">
        <f t="shared" si="186"/>
        <v>2216053.91</v>
      </c>
      <c r="BD29" s="333">
        <f t="shared" si="186"/>
        <v>2429785.56</v>
      </c>
      <c r="BE29" s="100">
        <f t="shared" si="43"/>
        <v>1597161.0900000003</v>
      </c>
      <c r="BF29" s="116">
        <f t="shared" ref="BF29:BG29" si="187">BC29+AL29</f>
        <v>5654895.2599999998</v>
      </c>
      <c r="BG29" s="119">
        <f t="shared" si="187"/>
        <v>7252056.3499999996</v>
      </c>
      <c r="BH29" s="125" t="str">
        <f t="shared" si="142"/>
        <v/>
      </c>
      <c r="BI29" s="1041">
        <f t="shared" si="46"/>
        <v>197867.77000000014</v>
      </c>
      <c r="BJ29" s="326">
        <f t="shared" si="47"/>
        <v>941321.59</v>
      </c>
      <c r="BK29" s="1045">
        <f t="shared" si="48"/>
        <v>1139189.3600000001</v>
      </c>
      <c r="BL29" s="125" t="str">
        <f t="shared" si="143"/>
        <v/>
      </c>
      <c r="BM29" s="140">
        <f t="shared" si="50"/>
        <v>20688.300000000047</v>
      </c>
      <c r="BN29" s="123">
        <f t="shared" si="51"/>
        <v>1162043.98</v>
      </c>
      <c r="BO29" s="148">
        <f t="shared" si="52"/>
        <v>1182732.28</v>
      </c>
      <c r="BP29" s="123" t="str">
        <f t="shared" si="144"/>
        <v/>
      </c>
      <c r="BQ29" s="123">
        <f t="shared" si="54"/>
        <v>140798.97999999998</v>
      </c>
      <c r="BR29" s="123">
        <f t="shared" si="55"/>
        <v>2643888.63</v>
      </c>
      <c r="BS29" s="125">
        <f t="shared" si="56"/>
        <v>2784687.61</v>
      </c>
      <c r="BT29" s="140">
        <f t="shared" ref="BT29:BV29" si="188">SUM(BQ29,BM29,BI29)</f>
        <v>359355.05000000016</v>
      </c>
      <c r="BU29" s="123">
        <f t="shared" si="188"/>
        <v>4747254.2</v>
      </c>
      <c r="BV29" s="148">
        <f t="shared" si="188"/>
        <v>5106609.25</v>
      </c>
      <c r="BW29" s="125" t="str">
        <f t="shared" si="146"/>
        <v/>
      </c>
      <c r="BX29" s="140">
        <f t="shared" si="59"/>
        <v>153616.71000000008</v>
      </c>
      <c r="BY29" s="123">
        <f t="shared" si="60"/>
        <v>697752.44</v>
      </c>
      <c r="BZ29" s="148">
        <f t="shared" si="61"/>
        <v>851369.15</v>
      </c>
      <c r="CA29" s="123" t="str">
        <f t="shared" si="147"/>
        <v/>
      </c>
      <c r="CB29" s="326" t="str">
        <f t="shared" si="148"/>
        <v/>
      </c>
      <c r="CP29" s="294"/>
      <c r="CU29" s="294"/>
    </row>
    <row r="30" spans="1:99" ht="13">
      <c r="A30" s="788">
        <f t="shared" si="0"/>
        <v>112012260</v>
      </c>
      <c r="B30" s="636" t="e">
        <f t="shared" si="1"/>
        <v>#N/A</v>
      </c>
      <c r="C30" s="558" t="str">
        <f t="shared" si="2"/>
        <v/>
      </c>
      <c r="D30" s="558" t="str">
        <f t="shared" si="3"/>
        <v/>
      </c>
      <c r="E30" s="559" t="str">
        <f t="shared" si="4"/>
        <v/>
      </c>
      <c r="F30" s="836" t="e">
        <f t="shared" si="5"/>
        <v>#N/A</v>
      </c>
      <c r="G30" s="558" t="str">
        <f t="shared" si="6"/>
        <v/>
      </c>
      <c r="H30" s="558" t="str">
        <f t="shared" si="7"/>
        <v/>
      </c>
      <c r="I30" s="559" t="str">
        <f t="shared" si="8"/>
        <v/>
      </c>
      <c r="J30" s="837">
        <f t="shared" si="9"/>
        <v>69</v>
      </c>
      <c r="K30" s="558" t="str">
        <f t="shared" si="10"/>
        <v>Lista</v>
      </c>
      <c r="L30" s="715">
        <f t="shared" si="11"/>
        <v>0.14000000000000001</v>
      </c>
      <c r="M30" s="1191" t="s">
        <v>233</v>
      </c>
      <c r="N30" s="1174"/>
      <c r="O30" s="461"/>
      <c r="P30" s="173" t="e">
        <f t="shared" si="14"/>
        <v>#VALUE!</v>
      </c>
      <c r="Q30" s="561" t="str">
        <f t="shared" si="15"/>
        <v/>
      </c>
      <c r="R30" s="1112" t="str">
        <f t="shared" si="16"/>
        <v/>
      </c>
      <c r="S30" s="1189"/>
      <c r="T30" s="599"/>
      <c r="U30" s="326" t="str">
        <f t="shared" si="133"/>
        <v/>
      </c>
      <c r="V30" s="461">
        <v>1500000</v>
      </c>
      <c r="W30" s="173" t="e">
        <f t="shared" si="18"/>
        <v>#VALUE!</v>
      </c>
      <c r="X30" s="561" t="str">
        <f t="shared" si="19"/>
        <v/>
      </c>
      <c r="Y30" s="1112" t="str">
        <f t="shared" si="20"/>
        <v/>
      </c>
      <c r="Z30" s="1189"/>
      <c r="AA30" s="599"/>
      <c r="AB30" s="326" t="str">
        <f t="shared" si="134"/>
        <v/>
      </c>
      <c r="AC30" s="461">
        <v>1500000</v>
      </c>
      <c r="AD30" s="173" t="e">
        <f t="shared" si="22"/>
        <v>#VALUE!</v>
      </c>
      <c r="AE30" s="561" t="str">
        <f t="shared" si="23"/>
        <v/>
      </c>
      <c r="AF30" s="1112" t="str">
        <f t="shared" si="24"/>
        <v/>
      </c>
      <c r="AG30" s="1189"/>
      <c r="AH30" s="599"/>
      <c r="AI30" s="332">
        <f t="shared" si="135"/>
        <v>3000000</v>
      </c>
      <c r="AJ30" s="140">
        <f t="shared" si="26"/>
        <v>13870380.98</v>
      </c>
      <c r="AK30" s="326" t="e">
        <f t="shared" ref="AK30:AM30" si="189">AD30+W30+P30</f>
        <v>#VALUE!</v>
      </c>
      <c r="AL30" s="326" t="e">
        <f t="shared" si="189"/>
        <v>#VALUE!</v>
      </c>
      <c r="AM30" s="326" t="e">
        <f t="shared" si="189"/>
        <v>#VALUE!</v>
      </c>
      <c r="AN30" s="326" t="e">
        <f t="shared" si="28"/>
        <v>#VALUE!</v>
      </c>
      <c r="AO30" s="98" t="str">
        <f t="shared" si="108"/>
        <v/>
      </c>
      <c r="AP30" s="125" t="str">
        <f t="shared" si="137"/>
        <v/>
      </c>
      <c r="AQ30" s="326" t="e">
        <f t="shared" si="31"/>
        <v>#VALUE!</v>
      </c>
      <c r="AR30" s="326" t="str">
        <f t="shared" si="32"/>
        <v/>
      </c>
      <c r="AS30" s="123" t="str">
        <f t="shared" si="33"/>
        <v/>
      </c>
      <c r="AT30" s="332" t="str">
        <f t="shared" si="138"/>
        <v/>
      </c>
      <c r="AU30" s="140" t="e">
        <f t="shared" si="35"/>
        <v>#VALUE!</v>
      </c>
      <c r="AV30" s="326" t="str">
        <f t="shared" si="36"/>
        <v/>
      </c>
      <c r="AW30" s="333" t="str">
        <f t="shared" si="37"/>
        <v/>
      </c>
      <c r="AX30" s="123" t="str">
        <f t="shared" si="139"/>
        <v/>
      </c>
      <c r="AY30" s="123" t="e">
        <f t="shared" si="39"/>
        <v>#VALUE!</v>
      </c>
      <c r="AZ30" s="123" t="str">
        <f t="shared" si="40"/>
        <v/>
      </c>
      <c r="BA30" s="125" t="str">
        <f t="shared" si="41"/>
        <v/>
      </c>
      <c r="BB30" s="1175" t="e">
        <f t="shared" ref="BB30:BD30" si="190">SUM(AQ30,AU30,AY30)</f>
        <v>#VALUE!</v>
      </c>
      <c r="BC30" s="326">
        <f t="shared" si="190"/>
        <v>0</v>
      </c>
      <c r="BD30" s="333">
        <f t="shared" si="190"/>
        <v>0</v>
      </c>
      <c r="BE30" s="100" t="e">
        <f t="shared" si="43"/>
        <v>#VALUE!</v>
      </c>
      <c r="BF30" s="116" t="e">
        <f t="shared" ref="BF30:BG30" si="191">BC30+AL30</f>
        <v>#VALUE!</v>
      </c>
      <c r="BG30" s="119" t="e">
        <f t="shared" si="191"/>
        <v>#VALUE!</v>
      </c>
      <c r="BH30" s="125" t="str">
        <f t="shared" si="142"/>
        <v/>
      </c>
      <c r="BI30" s="1041" t="e">
        <f t="shared" si="46"/>
        <v>#VALUE!</v>
      </c>
      <c r="BJ30" s="326" t="str">
        <f t="shared" si="47"/>
        <v/>
      </c>
      <c r="BK30" s="1045" t="str">
        <f t="shared" si="48"/>
        <v/>
      </c>
      <c r="BL30" s="125" t="str">
        <f t="shared" si="143"/>
        <v/>
      </c>
      <c r="BM30" s="140" t="e">
        <f t="shared" si="50"/>
        <v>#VALUE!</v>
      </c>
      <c r="BN30" s="123" t="str">
        <f t="shared" si="51"/>
        <v/>
      </c>
      <c r="BO30" s="148" t="str">
        <f t="shared" si="52"/>
        <v/>
      </c>
      <c r="BP30" s="123" t="str">
        <f t="shared" si="144"/>
        <v/>
      </c>
      <c r="BQ30" s="123" t="e">
        <f t="shared" si="54"/>
        <v>#VALUE!</v>
      </c>
      <c r="BR30" s="123" t="str">
        <f t="shared" si="55"/>
        <v/>
      </c>
      <c r="BS30" s="125" t="str">
        <f t="shared" si="56"/>
        <v/>
      </c>
      <c r="BT30" s="140" t="e">
        <f t="shared" ref="BT30:BV30" si="192">SUM(BQ30,BM30,BI30)</f>
        <v>#VALUE!</v>
      </c>
      <c r="BU30" s="123">
        <f t="shared" si="192"/>
        <v>0</v>
      </c>
      <c r="BV30" s="148">
        <f t="shared" si="192"/>
        <v>0</v>
      </c>
      <c r="BW30" s="125" t="str">
        <f t="shared" si="146"/>
        <v/>
      </c>
      <c r="BX30" s="140" t="e">
        <f t="shared" si="59"/>
        <v>#VALUE!</v>
      </c>
      <c r="BY30" s="123" t="str">
        <f t="shared" si="60"/>
        <v/>
      </c>
      <c r="BZ30" s="148" t="str">
        <f t="shared" si="61"/>
        <v/>
      </c>
      <c r="CA30" s="123" t="str">
        <f t="shared" si="147"/>
        <v/>
      </c>
      <c r="CB30" s="326" t="str">
        <f t="shared" si="148"/>
        <v/>
      </c>
      <c r="CP30" s="294"/>
      <c r="CU30" s="294"/>
    </row>
    <row r="31" spans="1:99" ht="13">
      <c r="A31" s="788">
        <f t="shared" si="0"/>
        <v>112014251</v>
      </c>
      <c r="B31" s="636" t="e">
        <f t="shared" si="1"/>
        <v>#N/A</v>
      </c>
      <c r="C31" s="558" t="str">
        <f t="shared" si="2"/>
        <v/>
      </c>
      <c r="D31" s="558" t="str">
        <f t="shared" si="3"/>
        <v/>
      </c>
      <c r="E31" s="559" t="str">
        <f t="shared" si="4"/>
        <v/>
      </c>
      <c r="F31" s="836" t="e">
        <f t="shared" si="5"/>
        <v>#N/A</v>
      </c>
      <c r="G31" s="558" t="str">
        <f t="shared" si="6"/>
        <v/>
      </c>
      <c r="H31" s="558" t="str">
        <f t="shared" si="7"/>
        <v/>
      </c>
      <c r="I31" s="559" t="str">
        <f t="shared" si="8"/>
        <v/>
      </c>
      <c r="J31" s="837">
        <f t="shared" si="9"/>
        <v>69</v>
      </c>
      <c r="K31" s="558" t="str">
        <f t="shared" si="10"/>
        <v>Lista</v>
      </c>
      <c r="L31" s="715">
        <f t="shared" si="11"/>
        <v>0.14000000000000001</v>
      </c>
      <c r="M31" s="1173" t="s">
        <v>1098</v>
      </c>
      <c r="N31" s="1174" t="str">
        <f>IFERROR(VLOOKUP(M31,MARUCA24,3,FALSE),"")</f>
        <v/>
      </c>
      <c r="O31" s="461">
        <v>1500000</v>
      </c>
      <c r="P31" s="173" t="e">
        <f t="shared" si="14"/>
        <v>#VALUE!</v>
      </c>
      <c r="Q31" s="561" t="str">
        <f t="shared" si="15"/>
        <v/>
      </c>
      <c r="R31" s="1112" t="str">
        <f t="shared" si="16"/>
        <v/>
      </c>
      <c r="S31" s="1189"/>
      <c r="T31" s="599"/>
      <c r="U31" s="326" t="str">
        <f t="shared" si="133"/>
        <v/>
      </c>
      <c r="V31" s="461">
        <v>1500000</v>
      </c>
      <c r="W31" s="173" t="e">
        <f t="shared" si="18"/>
        <v>#VALUE!</v>
      </c>
      <c r="X31" s="561" t="str">
        <f t="shared" si="19"/>
        <v/>
      </c>
      <c r="Y31" s="1112" t="str">
        <f t="shared" si="20"/>
        <v/>
      </c>
      <c r="Z31" s="1189"/>
      <c r="AA31" s="599"/>
      <c r="AB31" s="326" t="str">
        <f t="shared" si="134"/>
        <v/>
      </c>
      <c r="AC31" s="461">
        <v>1500000</v>
      </c>
      <c r="AD31" s="173" t="e">
        <f t="shared" si="22"/>
        <v>#VALUE!</v>
      </c>
      <c r="AE31" s="561" t="str">
        <f t="shared" si="23"/>
        <v/>
      </c>
      <c r="AF31" s="1112" t="str">
        <f t="shared" si="24"/>
        <v/>
      </c>
      <c r="AG31" s="1189"/>
      <c r="AH31" s="599"/>
      <c r="AI31" s="332">
        <f t="shared" si="135"/>
        <v>4500000</v>
      </c>
      <c r="AJ31" s="140" t="str">
        <f t="shared" si="26"/>
        <v>0</v>
      </c>
      <c r="AK31" s="326" t="e">
        <f t="shared" ref="AK31:AM31" si="193">AD31+W31+P31</f>
        <v>#VALUE!</v>
      </c>
      <c r="AL31" s="326" t="e">
        <f t="shared" si="193"/>
        <v>#VALUE!</v>
      </c>
      <c r="AM31" s="326" t="e">
        <f t="shared" si="193"/>
        <v>#VALUE!</v>
      </c>
      <c r="AN31" s="326" t="e">
        <f t="shared" si="28"/>
        <v>#VALUE!</v>
      </c>
      <c r="AO31" s="98" t="str">
        <f t="shared" si="108"/>
        <v/>
      </c>
      <c r="AP31" s="125" t="str">
        <f t="shared" si="137"/>
        <v/>
      </c>
      <c r="AQ31" s="326" t="e">
        <f t="shared" si="31"/>
        <v>#VALUE!</v>
      </c>
      <c r="AR31" s="326" t="str">
        <f t="shared" si="32"/>
        <v/>
      </c>
      <c r="AS31" s="123" t="str">
        <f t="shared" si="33"/>
        <v/>
      </c>
      <c r="AT31" s="332" t="str">
        <f t="shared" si="138"/>
        <v/>
      </c>
      <c r="AU31" s="140" t="e">
        <f t="shared" si="35"/>
        <v>#VALUE!</v>
      </c>
      <c r="AV31" s="326" t="str">
        <f t="shared" si="36"/>
        <v/>
      </c>
      <c r="AW31" s="333" t="str">
        <f t="shared" si="37"/>
        <v/>
      </c>
      <c r="AX31" s="123" t="str">
        <f t="shared" si="139"/>
        <v/>
      </c>
      <c r="AY31" s="123" t="e">
        <f t="shared" si="39"/>
        <v>#VALUE!</v>
      </c>
      <c r="AZ31" s="123" t="str">
        <f t="shared" si="40"/>
        <v/>
      </c>
      <c r="BA31" s="125" t="str">
        <f t="shared" si="41"/>
        <v/>
      </c>
      <c r="BB31" s="1175" t="e">
        <f t="shared" ref="BB31:BD31" si="194">SUM(AQ31,AU31,AY31)</f>
        <v>#VALUE!</v>
      </c>
      <c r="BC31" s="326">
        <f t="shared" si="194"/>
        <v>0</v>
      </c>
      <c r="BD31" s="333">
        <f t="shared" si="194"/>
        <v>0</v>
      </c>
      <c r="BE31" s="100" t="e">
        <f t="shared" si="43"/>
        <v>#VALUE!</v>
      </c>
      <c r="BF31" s="116" t="e">
        <f t="shared" ref="BF31:BG31" si="195">BC31+AL31</f>
        <v>#VALUE!</v>
      </c>
      <c r="BG31" s="119" t="e">
        <f t="shared" si="195"/>
        <v>#VALUE!</v>
      </c>
      <c r="BH31" s="125" t="str">
        <f t="shared" si="142"/>
        <v/>
      </c>
      <c r="BI31" s="1041" t="e">
        <f t="shared" si="46"/>
        <v>#VALUE!</v>
      </c>
      <c r="BJ31" s="326" t="str">
        <f t="shared" si="47"/>
        <v/>
      </c>
      <c r="BK31" s="1045" t="str">
        <f t="shared" si="48"/>
        <v/>
      </c>
      <c r="BL31" s="125" t="str">
        <f t="shared" si="143"/>
        <v/>
      </c>
      <c r="BM31" s="140" t="e">
        <f t="shared" si="50"/>
        <v>#VALUE!</v>
      </c>
      <c r="BN31" s="123" t="str">
        <f t="shared" si="51"/>
        <v/>
      </c>
      <c r="BO31" s="148" t="str">
        <f t="shared" si="52"/>
        <v/>
      </c>
      <c r="BP31" s="123" t="str">
        <f t="shared" si="144"/>
        <v/>
      </c>
      <c r="BQ31" s="123" t="e">
        <f t="shared" si="54"/>
        <v>#VALUE!</v>
      </c>
      <c r="BR31" s="123" t="str">
        <f t="shared" si="55"/>
        <v/>
      </c>
      <c r="BS31" s="125" t="str">
        <f t="shared" si="56"/>
        <v/>
      </c>
      <c r="BT31" s="140" t="e">
        <f t="shared" ref="BT31:BV31" si="196">SUM(BQ31,BM31,BI31)</f>
        <v>#VALUE!</v>
      </c>
      <c r="BU31" s="123">
        <f t="shared" si="196"/>
        <v>0</v>
      </c>
      <c r="BV31" s="148">
        <f t="shared" si="196"/>
        <v>0</v>
      </c>
      <c r="BW31" s="125" t="str">
        <f t="shared" si="146"/>
        <v/>
      </c>
      <c r="BX31" s="140" t="e">
        <f t="shared" si="59"/>
        <v>#VALUE!</v>
      </c>
      <c r="BY31" s="123" t="str">
        <f t="shared" si="60"/>
        <v/>
      </c>
      <c r="BZ31" s="148" t="str">
        <f t="shared" si="61"/>
        <v/>
      </c>
      <c r="CA31" s="123" t="str">
        <f t="shared" si="147"/>
        <v/>
      </c>
      <c r="CB31" s="326" t="str">
        <f t="shared" si="148"/>
        <v/>
      </c>
      <c r="CP31" s="294"/>
      <c r="CU31" s="294"/>
    </row>
    <row r="32" spans="1:99" ht="13">
      <c r="A32" s="788">
        <f t="shared" si="0"/>
        <v>112011654</v>
      </c>
      <c r="B32" s="636" t="e">
        <f t="shared" si="1"/>
        <v>#N/A</v>
      </c>
      <c r="C32" s="558" t="str">
        <f t="shared" si="2"/>
        <v/>
      </c>
      <c r="D32" s="558" t="str">
        <f t="shared" si="3"/>
        <v/>
      </c>
      <c r="E32" s="559" t="str">
        <f t="shared" si="4"/>
        <v/>
      </c>
      <c r="F32" s="836" t="e">
        <f t="shared" si="5"/>
        <v>#N/A</v>
      </c>
      <c r="G32" s="558" t="str">
        <f t="shared" si="6"/>
        <v/>
      </c>
      <c r="H32" s="558" t="str">
        <f t="shared" si="7"/>
        <v/>
      </c>
      <c r="I32" s="559" t="str">
        <f t="shared" si="8"/>
        <v/>
      </c>
      <c r="J32" s="837">
        <f t="shared" si="9"/>
        <v>70</v>
      </c>
      <c r="K32" s="558" t="str">
        <f t="shared" si="10"/>
        <v>Lista</v>
      </c>
      <c r="L32" s="715">
        <f t="shared" si="11"/>
        <v>0.11</v>
      </c>
      <c r="M32" s="1173" t="s">
        <v>935</v>
      </c>
      <c r="N32" s="1174" t="str">
        <f>IFERROR(VLOOKUP(M32,MARUCA24,3,FALSE),"")</f>
        <v/>
      </c>
      <c r="O32" s="332" t="e">
        <f t="shared" ref="O32:O33" si="197">(N32*1.601)*1.05</f>
        <v>#VALUE!</v>
      </c>
      <c r="P32" s="173" t="e">
        <f t="shared" si="14"/>
        <v>#VALUE!</v>
      </c>
      <c r="Q32" s="561" t="str">
        <f t="shared" si="15"/>
        <v/>
      </c>
      <c r="R32" s="1112" t="str">
        <f t="shared" si="16"/>
        <v/>
      </c>
      <c r="S32" s="123"/>
      <c r="T32" s="326"/>
      <c r="U32" s="326" t="str">
        <f t="shared" si="133"/>
        <v/>
      </c>
      <c r="V32" s="332" t="e">
        <f t="shared" ref="V32:V34" si="198">(U32*1.7245)*1.03</f>
        <v>#VALUE!</v>
      </c>
      <c r="W32" s="173" t="e">
        <f t="shared" si="18"/>
        <v>#VALUE!</v>
      </c>
      <c r="X32" s="561" t="str">
        <f t="shared" si="19"/>
        <v/>
      </c>
      <c r="Y32" s="1112" t="str">
        <f t="shared" si="20"/>
        <v/>
      </c>
      <c r="Z32" s="123"/>
      <c r="AA32" s="326"/>
      <c r="AB32" s="326" t="str">
        <f t="shared" si="134"/>
        <v/>
      </c>
      <c r="AC32" s="332" t="e">
        <f t="shared" ref="AC32:AC33" si="199">(AB32*1.5955)*1.03</f>
        <v>#VALUE!</v>
      </c>
      <c r="AD32" s="173" t="e">
        <f t="shared" si="22"/>
        <v>#VALUE!</v>
      </c>
      <c r="AE32" s="561" t="str">
        <f t="shared" si="23"/>
        <v/>
      </c>
      <c r="AF32" s="1112" t="str">
        <f t="shared" si="24"/>
        <v/>
      </c>
      <c r="AG32" s="123"/>
      <c r="AH32" s="326"/>
      <c r="AI32" s="332" t="e">
        <f t="shared" si="135"/>
        <v>#VALUE!</v>
      </c>
      <c r="AJ32" s="140">
        <f t="shared" si="26"/>
        <v>3253863.34</v>
      </c>
      <c r="AK32" s="326" t="e">
        <f t="shared" ref="AK32:AM32" si="200">AD32+W32+P32</f>
        <v>#VALUE!</v>
      </c>
      <c r="AL32" s="326" t="e">
        <f t="shared" si="200"/>
        <v>#VALUE!</v>
      </c>
      <c r="AM32" s="326" t="e">
        <f t="shared" si="200"/>
        <v>#VALUE!</v>
      </c>
      <c r="AN32" s="326" t="e">
        <f t="shared" si="28"/>
        <v>#VALUE!</v>
      </c>
      <c r="AO32" s="98" t="str">
        <f t="shared" si="108"/>
        <v/>
      </c>
      <c r="AP32" s="125" t="str">
        <f t="shared" si="137"/>
        <v/>
      </c>
      <c r="AQ32" s="326" t="e">
        <f t="shared" si="31"/>
        <v>#VALUE!</v>
      </c>
      <c r="AR32" s="326" t="str">
        <f t="shared" si="32"/>
        <v/>
      </c>
      <c r="AS32" s="123" t="str">
        <f t="shared" si="33"/>
        <v/>
      </c>
      <c r="AT32" s="332" t="str">
        <f t="shared" si="138"/>
        <v/>
      </c>
      <c r="AU32" s="140" t="e">
        <f t="shared" si="35"/>
        <v>#VALUE!</v>
      </c>
      <c r="AV32" s="326" t="str">
        <f t="shared" si="36"/>
        <v/>
      </c>
      <c r="AW32" s="333" t="str">
        <f t="shared" si="37"/>
        <v/>
      </c>
      <c r="AX32" s="123" t="str">
        <f t="shared" si="139"/>
        <v/>
      </c>
      <c r="AY32" s="123" t="e">
        <f t="shared" si="39"/>
        <v>#VALUE!</v>
      </c>
      <c r="AZ32" s="123" t="str">
        <f t="shared" si="40"/>
        <v/>
      </c>
      <c r="BA32" s="125" t="str">
        <f t="shared" si="41"/>
        <v/>
      </c>
      <c r="BB32" s="1175" t="e">
        <f t="shared" ref="BB32:BD32" si="201">SUM(AQ32,AU32,AY32)</f>
        <v>#VALUE!</v>
      </c>
      <c r="BC32" s="326">
        <f t="shared" si="201"/>
        <v>0</v>
      </c>
      <c r="BD32" s="333">
        <f t="shared" si="201"/>
        <v>0</v>
      </c>
      <c r="BE32" s="100" t="e">
        <f t="shared" si="43"/>
        <v>#VALUE!</v>
      </c>
      <c r="BF32" s="116" t="e">
        <f t="shared" ref="BF32:BG32" si="202">BC32+AL32</f>
        <v>#VALUE!</v>
      </c>
      <c r="BG32" s="119" t="e">
        <f t="shared" si="202"/>
        <v>#VALUE!</v>
      </c>
      <c r="BH32" s="125" t="str">
        <f t="shared" si="142"/>
        <v/>
      </c>
      <c r="BI32" s="1041" t="e">
        <f t="shared" si="46"/>
        <v>#VALUE!</v>
      </c>
      <c r="BJ32" s="326" t="str">
        <f t="shared" si="47"/>
        <v/>
      </c>
      <c r="BK32" s="1045" t="str">
        <f t="shared" si="48"/>
        <v/>
      </c>
      <c r="BL32" s="125" t="str">
        <f t="shared" si="143"/>
        <v/>
      </c>
      <c r="BM32" s="140" t="e">
        <f t="shared" si="50"/>
        <v>#VALUE!</v>
      </c>
      <c r="BN32" s="123" t="str">
        <f t="shared" si="51"/>
        <v/>
      </c>
      <c r="BO32" s="148" t="str">
        <f t="shared" si="52"/>
        <v/>
      </c>
      <c r="BP32" s="123" t="str">
        <f t="shared" si="144"/>
        <v/>
      </c>
      <c r="BQ32" s="123" t="e">
        <f t="shared" si="54"/>
        <v>#VALUE!</v>
      </c>
      <c r="BR32" s="123" t="str">
        <f t="shared" si="55"/>
        <v/>
      </c>
      <c r="BS32" s="125" t="str">
        <f t="shared" si="56"/>
        <v/>
      </c>
      <c r="BT32" s="140" t="e">
        <f t="shared" ref="BT32:BV32" si="203">SUM(BQ32,BM32,BI32)</f>
        <v>#VALUE!</v>
      </c>
      <c r="BU32" s="123">
        <f t="shared" si="203"/>
        <v>0</v>
      </c>
      <c r="BV32" s="148">
        <f t="shared" si="203"/>
        <v>0</v>
      </c>
      <c r="BW32" s="125" t="str">
        <f t="shared" si="146"/>
        <v/>
      </c>
      <c r="BX32" s="140" t="e">
        <f t="shared" si="59"/>
        <v>#VALUE!</v>
      </c>
      <c r="BY32" s="123" t="str">
        <f t="shared" si="60"/>
        <v/>
      </c>
      <c r="BZ32" s="148" t="str">
        <f t="shared" si="61"/>
        <v/>
      </c>
      <c r="CA32" s="123" t="str">
        <f t="shared" si="147"/>
        <v/>
      </c>
      <c r="CB32" s="326" t="str">
        <f t="shared" si="148"/>
        <v/>
      </c>
      <c r="CP32" s="294"/>
      <c r="CU32" s="294"/>
    </row>
    <row r="33" spans="1:99" ht="13">
      <c r="A33" s="788">
        <f t="shared" si="0"/>
        <v>112014063</v>
      </c>
      <c r="B33" s="636" t="e">
        <f t="shared" si="1"/>
        <v>#N/A</v>
      </c>
      <c r="C33" s="558" t="str">
        <f t="shared" si="2"/>
        <v/>
      </c>
      <c r="D33" s="558" t="str">
        <f t="shared" si="3"/>
        <v/>
      </c>
      <c r="E33" s="559" t="str">
        <f t="shared" si="4"/>
        <v/>
      </c>
      <c r="F33" s="836" t="e">
        <f t="shared" si="5"/>
        <v>#N/A</v>
      </c>
      <c r="G33" s="558" t="str">
        <f t="shared" si="6"/>
        <v/>
      </c>
      <c r="H33" s="558" t="str">
        <f t="shared" si="7"/>
        <v/>
      </c>
      <c r="I33" s="559" t="str">
        <f t="shared" si="8"/>
        <v/>
      </c>
      <c r="J33" s="837">
        <f t="shared" si="9"/>
        <v>70</v>
      </c>
      <c r="K33" s="558" t="str">
        <f t="shared" si="10"/>
        <v>Lista</v>
      </c>
      <c r="L33" s="715">
        <f t="shared" si="11"/>
        <v>0.11</v>
      </c>
      <c r="M33" s="1173" t="s">
        <v>936</v>
      </c>
      <c r="N33" s="1174" t="str">
        <f>IFERROR(VLOOKUP(M33,MARUCA24,3,FALSE),"")</f>
        <v/>
      </c>
      <c r="O33" s="332" t="e">
        <f t="shared" si="197"/>
        <v>#VALUE!</v>
      </c>
      <c r="P33" s="173" t="e">
        <f t="shared" si="14"/>
        <v>#VALUE!</v>
      </c>
      <c r="Q33" s="561" t="str">
        <f t="shared" si="15"/>
        <v/>
      </c>
      <c r="R33" s="1112" t="str">
        <f t="shared" si="16"/>
        <v/>
      </c>
      <c r="S33" s="123"/>
      <c r="T33" s="326"/>
      <c r="U33" s="326" t="str">
        <f t="shared" si="133"/>
        <v/>
      </c>
      <c r="V33" s="332" t="e">
        <f t="shared" si="198"/>
        <v>#VALUE!</v>
      </c>
      <c r="W33" s="173" t="e">
        <f t="shared" si="18"/>
        <v>#VALUE!</v>
      </c>
      <c r="X33" s="561" t="str">
        <f t="shared" si="19"/>
        <v/>
      </c>
      <c r="Y33" s="1112" t="str">
        <f t="shared" si="20"/>
        <v/>
      </c>
      <c r="Z33" s="123"/>
      <c r="AA33" s="326"/>
      <c r="AB33" s="326" t="str">
        <f t="shared" si="134"/>
        <v/>
      </c>
      <c r="AC33" s="332" t="e">
        <f t="shared" si="199"/>
        <v>#VALUE!</v>
      </c>
      <c r="AD33" s="173" t="e">
        <f t="shared" si="22"/>
        <v>#VALUE!</v>
      </c>
      <c r="AE33" s="561" t="str">
        <f t="shared" si="23"/>
        <v/>
      </c>
      <c r="AF33" s="1112" t="str">
        <f t="shared" si="24"/>
        <v/>
      </c>
      <c r="AG33" s="123"/>
      <c r="AH33" s="326"/>
      <c r="AI33" s="332" t="e">
        <f t="shared" si="135"/>
        <v>#VALUE!</v>
      </c>
      <c r="AJ33" s="140" t="str">
        <f t="shared" si="26"/>
        <v>0</v>
      </c>
      <c r="AK33" s="326" t="e">
        <f t="shared" ref="AK33:AM33" si="204">AD33+W33+P33</f>
        <v>#VALUE!</v>
      </c>
      <c r="AL33" s="326" t="e">
        <f t="shared" si="204"/>
        <v>#VALUE!</v>
      </c>
      <c r="AM33" s="326" t="e">
        <f t="shared" si="204"/>
        <v>#VALUE!</v>
      </c>
      <c r="AN33" s="326" t="e">
        <f t="shared" si="28"/>
        <v>#VALUE!</v>
      </c>
      <c r="AO33" s="98" t="str">
        <f t="shared" si="108"/>
        <v/>
      </c>
      <c r="AP33" s="125" t="str">
        <f t="shared" si="137"/>
        <v/>
      </c>
      <c r="AQ33" s="326" t="e">
        <f t="shared" si="31"/>
        <v>#VALUE!</v>
      </c>
      <c r="AR33" s="326" t="str">
        <f t="shared" si="32"/>
        <v/>
      </c>
      <c r="AS33" s="123" t="str">
        <f t="shared" si="33"/>
        <v/>
      </c>
      <c r="AT33" s="332" t="str">
        <f t="shared" si="138"/>
        <v/>
      </c>
      <c r="AU33" s="140" t="e">
        <f t="shared" si="35"/>
        <v>#VALUE!</v>
      </c>
      <c r="AV33" s="326" t="str">
        <f t="shared" si="36"/>
        <v/>
      </c>
      <c r="AW33" s="333" t="str">
        <f t="shared" si="37"/>
        <v/>
      </c>
      <c r="AX33" s="123" t="str">
        <f t="shared" si="139"/>
        <v/>
      </c>
      <c r="AY33" s="123" t="e">
        <f t="shared" si="39"/>
        <v>#VALUE!</v>
      </c>
      <c r="AZ33" s="123" t="str">
        <f t="shared" si="40"/>
        <v/>
      </c>
      <c r="BA33" s="125" t="str">
        <f t="shared" si="41"/>
        <v/>
      </c>
      <c r="BB33" s="1175" t="e">
        <f t="shared" ref="BB33:BD33" si="205">SUM(AQ33,AU33,AY33)</f>
        <v>#VALUE!</v>
      </c>
      <c r="BC33" s="326">
        <f t="shared" si="205"/>
        <v>0</v>
      </c>
      <c r="BD33" s="333">
        <f t="shared" si="205"/>
        <v>0</v>
      </c>
      <c r="BE33" s="100" t="e">
        <f t="shared" si="43"/>
        <v>#VALUE!</v>
      </c>
      <c r="BF33" s="116" t="e">
        <f t="shared" ref="BF33:BG33" si="206">BC33+AL33</f>
        <v>#VALUE!</v>
      </c>
      <c r="BG33" s="119" t="e">
        <f t="shared" si="206"/>
        <v>#VALUE!</v>
      </c>
      <c r="BH33" s="125" t="str">
        <f t="shared" si="142"/>
        <v/>
      </c>
      <c r="BI33" s="1041" t="e">
        <f t="shared" si="46"/>
        <v>#VALUE!</v>
      </c>
      <c r="BJ33" s="326" t="str">
        <f t="shared" si="47"/>
        <v/>
      </c>
      <c r="BK33" s="1045" t="str">
        <f t="shared" si="48"/>
        <v/>
      </c>
      <c r="BL33" s="125" t="str">
        <f t="shared" si="143"/>
        <v/>
      </c>
      <c r="BM33" s="140" t="e">
        <f t="shared" si="50"/>
        <v>#VALUE!</v>
      </c>
      <c r="BN33" s="123" t="str">
        <f t="shared" si="51"/>
        <v/>
      </c>
      <c r="BO33" s="148" t="str">
        <f t="shared" si="52"/>
        <v/>
      </c>
      <c r="BP33" s="123" t="str">
        <f t="shared" si="144"/>
        <v/>
      </c>
      <c r="BQ33" s="123" t="e">
        <f t="shared" si="54"/>
        <v>#VALUE!</v>
      </c>
      <c r="BR33" s="123" t="str">
        <f t="shared" si="55"/>
        <v/>
      </c>
      <c r="BS33" s="125" t="str">
        <f t="shared" si="56"/>
        <v/>
      </c>
      <c r="BT33" s="140" t="e">
        <f t="shared" ref="BT33:BV33" si="207">SUM(BQ33,BM33,BI33)</f>
        <v>#VALUE!</v>
      </c>
      <c r="BU33" s="123">
        <f t="shared" si="207"/>
        <v>0</v>
      </c>
      <c r="BV33" s="148">
        <f t="shared" si="207"/>
        <v>0</v>
      </c>
      <c r="BW33" s="125" t="str">
        <f t="shared" si="146"/>
        <v/>
      </c>
      <c r="BX33" s="140" t="e">
        <f t="shared" si="59"/>
        <v>#VALUE!</v>
      </c>
      <c r="BY33" s="123" t="str">
        <f t="shared" si="60"/>
        <v/>
      </c>
      <c r="BZ33" s="148" t="str">
        <f t="shared" si="61"/>
        <v/>
      </c>
      <c r="CA33" s="123" t="str">
        <f t="shared" si="147"/>
        <v/>
      </c>
      <c r="CB33" s="326" t="str">
        <f t="shared" si="148"/>
        <v/>
      </c>
      <c r="CP33" s="294"/>
      <c r="CU33" s="294"/>
    </row>
    <row r="34" spans="1:99" ht="13">
      <c r="A34" s="788">
        <f t="shared" ref="A34:A58" si="208">VLOOKUP(M34,MARCART4,3,FALSE)</f>
        <v>112010461</v>
      </c>
      <c r="B34" s="636" t="e">
        <f t="shared" ref="B34:B58" si="209">VLOOKUP(M34,MARUCACARTERA,2,FALSE)</f>
        <v>#N/A</v>
      </c>
      <c r="C34" s="558" t="str">
        <f t="shared" ref="C34:C65" si="210">IFERROR(VLOOKUP(B34,DES,2,FALSE),"")</f>
        <v/>
      </c>
      <c r="D34" s="558" t="str">
        <f t="shared" ref="D34:D58" si="211">IFERROR(VLOOKUP(B34,DES,3,FALSE),"")</f>
        <v/>
      </c>
      <c r="E34" s="559" t="str">
        <f t="shared" ref="E34:E58" si="212">IFERROR(VLOOKUP(B34,DES,4,FALSE),"")</f>
        <v/>
      </c>
      <c r="F34" s="836" t="e">
        <f t="shared" ref="F34:F58" si="213">VLOOKUP(M34,MARUCART2,2,FALSE)</f>
        <v>#N/A</v>
      </c>
      <c r="G34" s="558" t="str">
        <f t="shared" ref="G34:G65" si="214">IFERROR(VLOOKUP(F34,DES,2,FALSE),"")</f>
        <v/>
      </c>
      <c r="H34" s="558" t="str">
        <f t="shared" ref="H34:H58" si="215">IFERROR(VLOOKUP(F34,DES,3,FALSE),"")</f>
        <v/>
      </c>
      <c r="I34" s="559" t="str">
        <f t="shared" ref="I34:I58" si="216">IFERROR(VLOOKUP(F34,DES,4,FALSE),"")</f>
        <v/>
      </c>
      <c r="J34" s="837">
        <f t="shared" ref="J34:J58" si="217">VLOOKUP(M34,MARCART4,2,FALSE)</f>
        <v>70</v>
      </c>
      <c r="K34" s="558" t="str">
        <f t="shared" ref="K34:K65" si="218">VLOOKUP(J34,A458DC1025,2,FALSE)</f>
        <v>Lista</v>
      </c>
      <c r="L34" s="715">
        <f t="shared" ref="L34:L57" si="219">VLOOKUP(J34,A458DC1025,3,FALSE)</f>
        <v>0.11</v>
      </c>
      <c r="M34" s="1173" t="s">
        <v>1105</v>
      </c>
      <c r="N34" s="1174" t="str">
        <f>IFERROR(VLOOKUP(M34,MARUCA24,3,FALSE),"")</f>
        <v/>
      </c>
      <c r="O34" s="1177">
        <v>1800000</v>
      </c>
      <c r="P34" s="173" t="e">
        <f t="shared" si="14"/>
        <v>#VALUE!</v>
      </c>
      <c r="Q34" s="561" t="str">
        <f t="shared" ref="Q34:Q58" si="220">IFERROR(VLOOKUP(M34,MARUCAALIM,3,FALSE),"")</f>
        <v/>
      </c>
      <c r="R34" s="1112" t="str">
        <f t="shared" ref="R34:R58" si="221">IFERROR(VLOOKUP(M34,MARUFC,3,FALSE),"")</f>
        <v/>
      </c>
      <c r="S34" s="1178"/>
      <c r="T34" s="975"/>
      <c r="U34" s="326" t="str">
        <f t="shared" si="133"/>
        <v/>
      </c>
      <c r="V34" s="332" t="e">
        <f t="shared" si="198"/>
        <v>#VALUE!</v>
      </c>
      <c r="W34" s="173" t="e">
        <f t="shared" si="18"/>
        <v>#VALUE!</v>
      </c>
      <c r="X34" s="561" t="str">
        <f t="shared" ref="X34:X58" si="222">IFERROR(VLOOKUP(M34,MARUCAALIM,4,FALSE),"")</f>
        <v/>
      </c>
      <c r="Y34" s="1112" t="str">
        <f t="shared" ref="Y34:Y58" si="223">IFERROR(VLOOKUP(M34,MARUFC,4,FALSE),"")</f>
        <v/>
      </c>
      <c r="Z34" s="123"/>
      <c r="AA34" s="326"/>
      <c r="AB34" s="326" t="str">
        <f t="shared" si="134"/>
        <v/>
      </c>
      <c r="AC34" s="1177">
        <v>1800000</v>
      </c>
      <c r="AD34" s="173" t="e">
        <f t="shared" si="22"/>
        <v>#VALUE!</v>
      </c>
      <c r="AE34" s="561" t="str">
        <f t="shared" ref="AE34:AE58" si="224">IFERROR(VLOOKUP(M34,MARUCAALIM,5,FALSE),"")</f>
        <v/>
      </c>
      <c r="AF34" s="1112" t="str">
        <f t="shared" ref="AF34:AF58" si="225">IFERROR(VLOOKUP(M34,MARUFC,5,FALSE),"")</f>
        <v/>
      </c>
      <c r="AG34" s="1178"/>
      <c r="AH34" s="975"/>
      <c r="AI34" s="332" t="e">
        <f t="shared" si="135"/>
        <v>#VALUE!</v>
      </c>
      <c r="AJ34" s="140">
        <f t="shared" ref="AJ34:AJ58" si="226">IFERROR(VLOOKUP(M34,trim2024,2,FALSE),"0")</f>
        <v>1489162.4</v>
      </c>
      <c r="AK34" s="326" t="e">
        <f t="shared" ref="AK34:AM34" si="227">AD34+W34+P34</f>
        <v>#VALUE!</v>
      </c>
      <c r="AL34" s="326" t="e">
        <f t="shared" si="227"/>
        <v>#VALUE!</v>
      </c>
      <c r="AM34" s="326" t="e">
        <f t="shared" si="227"/>
        <v>#VALUE!</v>
      </c>
      <c r="AN34" s="326" t="e">
        <f t="shared" si="28"/>
        <v>#VALUE!</v>
      </c>
      <c r="AO34" s="98" t="str">
        <f t="shared" si="108"/>
        <v/>
      </c>
      <c r="AP34" s="125" t="str">
        <f t="shared" si="137"/>
        <v/>
      </c>
      <c r="AQ34" s="326" t="e">
        <f t="shared" si="31"/>
        <v>#VALUE!</v>
      </c>
      <c r="AR34" s="326" t="str">
        <f t="shared" ref="AR34:AR58" si="228">IFERROR(VLOOKUP(M34,MARUCAALIM,6,FALSE),"")</f>
        <v/>
      </c>
      <c r="AS34" s="123" t="str">
        <f t="shared" ref="AS34:AS58" si="229">IFERROR(VLOOKUP(M34,MARUFC,6,FALSE),"")</f>
        <v/>
      </c>
      <c r="AT34" s="332" t="str">
        <f t="shared" si="138"/>
        <v/>
      </c>
      <c r="AU34" s="140" t="e">
        <f t="shared" si="35"/>
        <v>#VALUE!</v>
      </c>
      <c r="AV34" s="326" t="str">
        <f t="shared" ref="AV34:AV58" si="230">IFERROR(VLOOKUP(M34,MARUCAALIM,7,FALSE),"")</f>
        <v/>
      </c>
      <c r="AW34" s="333" t="str">
        <f t="shared" ref="AW34:AW58" si="231">IFERROR(VLOOKUP(M34,MARUFC,7,FALSE),"")</f>
        <v/>
      </c>
      <c r="AX34" s="123" t="str">
        <f t="shared" si="139"/>
        <v/>
      </c>
      <c r="AY34" s="123" t="e">
        <f t="shared" si="39"/>
        <v>#VALUE!</v>
      </c>
      <c r="AZ34" s="123" t="str">
        <f t="shared" ref="AZ34:AZ58" si="232">IFERROR(VLOOKUP(M34,MARUCAALIM,8,FALSE),"")</f>
        <v/>
      </c>
      <c r="BA34" s="125" t="str">
        <f t="shared" ref="BA34:BA58" si="233">IFERROR(VLOOKUP(M34,MARUFC,8,FALSE),"")</f>
        <v/>
      </c>
      <c r="BB34" s="1175" t="e">
        <f t="shared" ref="BB34:BD34" si="234">SUM(AQ34,AU34,AY34)</f>
        <v>#VALUE!</v>
      </c>
      <c r="BC34" s="326">
        <f t="shared" si="234"/>
        <v>0</v>
      </c>
      <c r="BD34" s="333">
        <f t="shared" si="234"/>
        <v>0</v>
      </c>
      <c r="BE34" s="100" t="e">
        <f t="shared" si="43"/>
        <v>#VALUE!</v>
      </c>
      <c r="BF34" s="116" t="e">
        <f t="shared" ref="BF34:BG34" si="235">BC34+AL34</f>
        <v>#VALUE!</v>
      </c>
      <c r="BG34" s="119" t="e">
        <f t="shared" si="235"/>
        <v>#VALUE!</v>
      </c>
      <c r="BH34" s="125" t="str">
        <f t="shared" si="142"/>
        <v/>
      </c>
      <c r="BI34" s="1041" t="e">
        <f t="shared" si="46"/>
        <v>#VALUE!</v>
      </c>
      <c r="BJ34" s="326" t="str">
        <f t="shared" ref="BJ34:BJ58" si="236">IFERROR(VLOOKUP(M34,MARUCAALIM,9,FALSE),"")</f>
        <v/>
      </c>
      <c r="BK34" s="1045" t="str">
        <f t="shared" ref="BK34:BK58" si="237">IFERROR(VLOOKUP(M34,MARUFC,9,FALSE),"")</f>
        <v/>
      </c>
      <c r="BL34" s="125" t="str">
        <f t="shared" si="143"/>
        <v/>
      </c>
      <c r="BM34" s="140" t="e">
        <f t="shared" si="50"/>
        <v>#VALUE!</v>
      </c>
      <c r="BN34" s="123" t="str">
        <f t="shared" ref="BN34:BN58" si="238">IFERROR(VLOOKUP(M34,MARUCAALIM,10,FALSE),"")</f>
        <v/>
      </c>
      <c r="BO34" s="148" t="str">
        <f t="shared" ref="BO34:BO58" si="239">IFERROR(VLOOKUP(M34,MARUFC,10,FALSE),"")</f>
        <v/>
      </c>
      <c r="BP34" s="123" t="str">
        <f t="shared" si="144"/>
        <v/>
      </c>
      <c r="BQ34" s="123" t="e">
        <f t="shared" si="54"/>
        <v>#VALUE!</v>
      </c>
      <c r="BR34" s="123" t="str">
        <f t="shared" ref="BR34:BR58" si="240">IFERROR(VLOOKUP(M34,MARUCAALIM,11,FALSE),"")</f>
        <v/>
      </c>
      <c r="BS34" s="125" t="str">
        <f t="shared" ref="BS34:BS58" si="241">IFERROR(VLOOKUP(M34,MARUFC,11,FALSE),"")</f>
        <v/>
      </c>
      <c r="BT34" s="586" t="e">
        <f t="shared" ref="BT34:BV34" si="242">SUM(BQ34,BM34,BI34)</f>
        <v>#VALUE!</v>
      </c>
      <c r="BU34" s="1168">
        <f t="shared" si="242"/>
        <v>0</v>
      </c>
      <c r="BV34" s="1067">
        <f t="shared" si="242"/>
        <v>0</v>
      </c>
      <c r="BW34" s="125" t="str">
        <f t="shared" si="146"/>
        <v/>
      </c>
      <c r="BX34" s="140" t="e">
        <f t="shared" si="59"/>
        <v>#VALUE!</v>
      </c>
      <c r="BY34" s="123" t="str">
        <f t="shared" ref="BY34:BY58" si="243">IFERROR(VLOOKUP(M34,MARUCAALIM,12,FALSE),"")</f>
        <v/>
      </c>
      <c r="BZ34" s="148" t="str">
        <f t="shared" ref="BZ34:BZ58" si="244">IFERROR(VLOOKUP(M34,MARUFC,12,FALSE),"")</f>
        <v/>
      </c>
      <c r="CA34" s="123" t="str">
        <f t="shared" si="147"/>
        <v/>
      </c>
      <c r="CB34" s="326" t="str">
        <f t="shared" si="148"/>
        <v/>
      </c>
      <c r="CP34" s="294"/>
      <c r="CU34" s="294"/>
    </row>
    <row r="35" spans="1:99" ht="13">
      <c r="A35" s="788">
        <f t="shared" si="208"/>
        <v>112011658</v>
      </c>
      <c r="B35" s="636" t="e">
        <f t="shared" si="209"/>
        <v>#N/A</v>
      </c>
      <c r="C35" s="558" t="str">
        <f t="shared" si="210"/>
        <v/>
      </c>
      <c r="D35" s="558" t="str">
        <f t="shared" si="211"/>
        <v/>
      </c>
      <c r="E35" s="559" t="str">
        <f t="shared" si="212"/>
        <v/>
      </c>
      <c r="F35" s="836" t="e">
        <f t="shared" si="213"/>
        <v>#N/A</v>
      </c>
      <c r="G35" s="558" t="str">
        <f t="shared" si="214"/>
        <v/>
      </c>
      <c r="H35" s="558" t="str">
        <f t="shared" si="215"/>
        <v/>
      </c>
      <c r="I35" s="559" t="str">
        <f t="shared" si="216"/>
        <v/>
      </c>
      <c r="J35" s="837">
        <f t="shared" si="217"/>
        <v>70</v>
      </c>
      <c r="K35" s="558" t="str">
        <f t="shared" si="218"/>
        <v>Lista</v>
      </c>
      <c r="L35" s="715">
        <f t="shared" si="219"/>
        <v>0.11</v>
      </c>
      <c r="M35" s="1173" t="s">
        <v>1103</v>
      </c>
      <c r="N35" s="1174" t="str">
        <f>IFERROR(VLOOKUP(M35,MARUCA24,3,FALSE),"")</f>
        <v/>
      </c>
      <c r="O35" s="1177">
        <v>1800000</v>
      </c>
      <c r="P35" s="173" t="e">
        <f t="shared" si="14"/>
        <v>#VALUE!</v>
      </c>
      <c r="Q35" s="561" t="str">
        <f t="shared" si="220"/>
        <v/>
      </c>
      <c r="R35" s="1112" t="str">
        <f t="shared" si="221"/>
        <v/>
      </c>
      <c r="S35" s="1178"/>
      <c r="T35" s="975"/>
      <c r="U35" s="326" t="str">
        <f t="shared" si="133"/>
        <v/>
      </c>
      <c r="V35" s="1177">
        <v>1800000</v>
      </c>
      <c r="W35" s="173" t="e">
        <f t="shared" si="18"/>
        <v>#VALUE!</v>
      </c>
      <c r="X35" s="561" t="str">
        <f t="shared" si="222"/>
        <v/>
      </c>
      <c r="Y35" s="1112" t="str">
        <f t="shared" si="223"/>
        <v/>
      </c>
      <c r="Z35" s="1178"/>
      <c r="AA35" s="975"/>
      <c r="AB35" s="326" t="str">
        <f t="shared" si="134"/>
        <v/>
      </c>
      <c r="AC35" s="1177">
        <v>1800000</v>
      </c>
      <c r="AD35" s="173" t="e">
        <f t="shared" si="22"/>
        <v>#VALUE!</v>
      </c>
      <c r="AE35" s="561" t="str">
        <f t="shared" si="224"/>
        <v/>
      </c>
      <c r="AF35" s="1112" t="str">
        <f t="shared" si="225"/>
        <v/>
      </c>
      <c r="AG35" s="1178"/>
      <c r="AH35" s="975"/>
      <c r="AI35" s="332">
        <f t="shared" si="135"/>
        <v>5400000</v>
      </c>
      <c r="AJ35" s="140">
        <f t="shared" si="226"/>
        <v>1476099.39</v>
      </c>
      <c r="AK35" s="326" t="e">
        <f t="shared" ref="AK35:AM35" si="245">AD35+W35+P35</f>
        <v>#VALUE!</v>
      </c>
      <c r="AL35" s="326" t="e">
        <f t="shared" si="245"/>
        <v>#VALUE!</v>
      </c>
      <c r="AM35" s="326" t="e">
        <f t="shared" si="245"/>
        <v>#VALUE!</v>
      </c>
      <c r="AN35" s="326" t="e">
        <f t="shared" si="28"/>
        <v>#VALUE!</v>
      </c>
      <c r="AO35" s="98" t="str">
        <f t="shared" si="108"/>
        <v/>
      </c>
      <c r="AP35" s="125" t="str">
        <f t="shared" si="137"/>
        <v/>
      </c>
      <c r="AQ35" s="326" t="e">
        <f t="shared" si="31"/>
        <v>#VALUE!</v>
      </c>
      <c r="AR35" s="326" t="str">
        <f t="shared" si="228"/>
        <v/>
      </c>
      <c r="AS35" s="123" t="str">
        <f t="shared" si="229"/>
        <v/>
      </c>
      <c r="AT35" s="332" t="str">
        <f t="shared" si="138"/>
        <v/>
      </c>
      <c r="AU35" s="140" t="e">
        <f t="shared" si="35"/>
        <v>#VALUE!</v>
      </c>
      <c r="AV35" s="326" t="str">
        <f t="shared" si="230"/>
        <v/>
      </c>
      <c r="AW35" s="333" t="str">
        <f t="shared" si="231"/>
        <v/>
      </c>
      <c r="AX35" s="123" t="str">
        <f t="shared" si="139"/>
        <v/>
      </c>
      <c r="AY35" s="123" t="e">
        <f t="shared" si="39"/>
        <v>#VALUE!</v>
      </c>
      <c r="AZ35" s="123" t="str">
        <f t="shared" si="232"/>
        <v/>
      </c>
      <c r="BA35" s="125" t="str">
        <f t="shared" si="233"/>
        <v/>
      </c>
      <c r="BB35" s="1175" t="e">
        <f t="shared" ref="BB35:BD35" si="246">SUM(AQ35,AU35,AY35)</f>
        <v>#VALUE!</v>
      </c>
      <c r="BC35" s="326">
        <f t="shared" si="246"/>
        <v>0</v>
      </c>
      <c r="BD35" s="333">
        <f t="shared" si="246"/>
        <v>0</v>
      </c>
      <c r="BE35" s="100" t="e">
        <f t="shared" si="43"/>
        <v>#VALUE!</v>
      </c>
      <c r="BF35" s="116" t="e">
        <f t="shared" ref="BF35:BG35" si="247">BC35+AL35</f>
        <v>#VALUE!</v>
      </c>
      <c r="BG35" s="119" t="e">
        <f t="shared" si="247"/>
        <v>#VALUE!</v>
      </c>
      <c r="BH35" s="125" t="str">
        <f t="shared" si="142"/>
        <v/>
      </c>
      <c r="BI35" s="1041" t="e">
        <f t="shared" si="46"/>
        <v>#VALUE!</v>
      </c>
      <c r="BJ35" s="326" t="str">
        <f t="shared" si="236"/>
        <v/>
      </c>
      <c r="BK35" s="1045" t="str">
        <f t="shared" si="237"/>
        <v/>
      </c>
      <c r="BL35" s="125" t="str">
        <f t="shared" si="143"/>
        <v/>
      </c>
      <c r="BM35" s="140" t="e">
        <f t="shared" si="50"/>
        <v>#VALUE!</v>
      </c>
      <c r="BN35" s="123" t="str">
        <f t="shared" si="238"/>
        <v/>
      </c>
      <c r="BO35" s="148" t="str">
        <f t="shared" si="239"/>
        <v/>
      </c>
      <c r="BP35" s="123" t="str">
        <f t="shared" si="144"/>
        <v/>
      </c>
      <c r="BQ35" s="123" t="e">
        <f t="shared" si="54"/>
        <v>#VALUE!</v>
      </c>
      <c r="BR35" s="123" t="str">
        <f t="shared" si="240"/>
        <v/>
      </c>
      <c r="BS35" s="125" t="str">
        <f t="shared" si="241"/>
        <v/>
      </c>
      <c r="BT35" s="586" t="e">
        <f t="shared" ref="BT35:BV35" si="248">SUM(BQ35,BM35,BI35)</f>
        <v>#VALUE!</v>
      </c>
      <c r="BU35" s="1168">
        <f t="shared" si="248"/>
        <v>0</v>
      </c>
      <c r="BV35" s="1067">
        <f t="shared" si="248"/>
        <v>0</v>
      </c>
      <c r="BW35" s="125" t="str">
        <f t="shared" si="146"/>
        <v/>
      </c>
      <c r="BX35" s="140" t="e">
        <f t="shared" si="59"/>
        <v>#VALUE!</v>
      </c>
      <c r="BY35" s="123" t="str">
        <f t="shared" si="243"/>
        <v/>
      </c>
      <c r="BZ35" s="148" t="str">
        <f t="shared" si="244"/>
        <v/>
      </c>
      <c r="CA35" s="123" t="str">
        <f t="shared" si="147"/>
        <v/>
      </c>
      <c r="CB35" s="326" t="str">
        <f t="shared" si="148"/>
        <v/>
      </c>
      <c r="CP35" s="294"/>
      <c r="CU35" s="294"/>
    </row>
    <row r="36" spans="1:99" ht="13">
      <c r="A36" s="788">
        <f t="shared" si="208"/>
        <v>112014420</v>
      </c>
      <c r="B36" s="636" t="e">
        <f t="shared" si="209"/>
        <v>#N/A</v>
      </c>
      <c r="C36" s="558" t="str">
        <f t="shared" si="210"/>
        <v/>
      </c>
      <c r="D36" s="558" t="str">
        <f t="shared" si="211"/>
        <v/>
      </c>
      <c r="E36" s="559" t="str">
        <f t="shared" si="212"/>
        <v/>
      </c>
      <c r="F36" s="836" t="e">
        <f t="shared" si="213"/>
        <v>#N/A</v>
      </c>
      <c r="G36" s="558" t="str">
        <f t="shared" si="214"/>
        <v/>
      </c>
      <c r="H36" s="558" t="str">
        <f t="shared" si="215"/>
        <v/>
      </c>
      <c r="I36" s="559" t="str">
        <f t="shared" si="216"/>
        <v/>
      </c>
      <c r="J36" s="837">
        <f t="shared" si="217"/>
        <v>70</v>
      </c>
      <c r="K36" s="558" t="str">
        <f t="shared" si="218"/>
        <v>Lista</v>
      </c>
      <c r="L36" s="715">
        <f t="shared" si="219"/>
        <v>0.11</v>
      </c>
      <c r="M36" s="1173" t="s">
        <v>1106</v>
      </c>
      <c r="N36" s="1174"/>
      <c r="O36" s="332"/>
      <c r="P36" s="173" t="e">
        <f t="shared" si="14"/>
        <v>#VALUE!</v>
      </c>
      <c r="Q36" s="561" t="str">
        <f t="shared" si="220"/>
        <v/>
      </c>
      <c r="R36" s="1112" t="str">
        <f t="shared" si="221"/>
        <v/>
      </c>
      <c r="S36" s="123"/>
      <c r="T36" s="326"/>
      <c r="U36" s="326" t="str">
        <f t="shared" si="133"/>
        <v/>
      </c>
      <c r="V36" s="332" t="e">
        <f t="shared" ref="V36:V37" si="249">(U36*1.7245)*1.03</f>
        <v>#VALUE!</v>
      </c>
      <c r="W36" s="173" t="e">
        <f t="shared" si="18"/>
        <v>#VALUE!</v>
      </c>
      <c r="X36" s="561" t="str">
        <f t="shared" si="222"/>
        <v/>
      </c>
      <c r="Y36" s="1112" t="str">
        <f t="shared" si="223"/>
        <v/>
      </c>
      <c r="Z36" s="123"/>
      <c r="AA36" s="326"/>
      <c r="AB36" s="326" t="str">
        <f t="shared" si="134"/>
        <v/>
      </c>
      <c r="AC36" s="332" t="e">
        <f t="shared" ref="AC36:AC37" si="250">(AB36*1.5955)*1.03</f>
        <v>#VALUE!</v>
      </c>
      <c r="AD36" s="173" t="e">
        <f t="shared" si="22"/>
        <v>#VALUE!</v>
      </c>
      <c r="AE36" s="561" t="str">
        <f t="shared" si="224"/>
        <v/>
      </c>
      <c r="AF36" s="1112" t="str">
        <f t="shared" si="225"/>
        <v/>
      </c>
      <c r="AG36" s="123"/>
      <c r="AH36" s="326"/>
      <c r="AI36" s="332" t="e">
        <f t="shared" si="135"/>
        <v>#VALUE!</v>
      </c>
      <c r="AJ36" s="140">
        <f t="shared" si="226"/>
        <v>517234.68</v>
      </c>
      <c r="AK36" s="326" t="e">
        <f t="shared" ref="AK36:AM36" si="251">AD36+W36+P36</f>
        <v>#VALUE!</v>
      </c>
      <c r="AL36" s="326" t="e">
        <f t="shared" si="251"/>
        <v>#VALUE!</v>
      </c>
      <c r="AM36" s="326" t="e">
        <f t="shared" si="251"/>
        <v>#VALUE!</v>
      </c>
      <c r="AN36" s="326" t="e">
        <f t="shared" si="28"/>
        <v>#VALUE!</v>
      </c>
      <c r="AO36" s="98" t="str">
        <f t="shared" si="108"/>
        <v/>
      </c>
      <c r="AP36" s="125" t="str">
        <f t="shared" si="137"/>
        <v/>
      </c>
      <c r="AQ36" s="326" t="e">
        <f t="shared" si="31"/>
        <v>#VALUE!</v>
      </c>
      <c r="AR36" s="326" t="str">
        <f t="shared" si="228"/>
        <v/>
      </c>
      <c r="AS36" s="123" t="str">
        <f t="shared" si="229"/>
        <v/>
      </c>
      <c r="AT36" s="332"/>
      <c r="AU36" s="140" t="e">
        <f t="shared" si="35"/>
        <v>#VALUE!</v>
      </c>
      <c r="AV36" s="326" t="str">
        <f t="shared" si="230"/>
        <v/>
      </c>
      <c r="AW36" s="333" t="str">
        <f t="shared" si="231"/>
        <v/>
      </c>
      <c r="AX36" s="123"/>
      <c r="AY36" s="123" t="e">
        <f t="shared" si="39"/>
        <v>#VALUE!</v>
      </c>
      <c r="AZ36" s="123" t="str">
        <f t="shared" si="232"/>
        <v/>
      </c>
      <c r="BA36" s="125" t="str">
        <f t="shared" si="233"/>
        <v/>
      </c>
      <c r="BB36" s="1175" t="e">
        <f t="shared" ref="BB36:BD36" si="252">SUM(AQ36,AU36,AY36)</f>
        <v>#VALUE!</v>
      </c>
      <c r="BC36" s="326">
        <f t="shared" si="252"/>
        <v>0</v>
      </c>
      <c r="BD36" s="333">
        <f t="shared" si="252"/>
        <v>0</v>
      </c>
      <c r="BE36" s="100" t="e">
        <f t="shared" si="43"/>
        <v>#VALUE!</v>
      </c>
      <c r="BF36" s="116" t="e">
        <f t="shared" ref="BF36:BG36" si="253">BC36+AL36</f>
        <v>#VALUE!</v>
      </c>
      <c r="BG36" s="119" t="e">
        <f t="shared" si="253"/>
        <v>#VALUE!</v>
      </c>
      <c r="BH36" s="125"/>
      <c r="BI36" s="1041" t="e">
        <f t="shared" si="46"/>
        <v>#VALUE!</v>
      </c>
      <c r="BJ36" s="326" t="str">
        <f t="shared" si="236"/>
        <v/>
      </c>
      <c r="BK36" s="1045" t="str">
        <f t="shared" si="237"/>
        <v/>
      </c>
      <c r="BL36" s="125"/>
      <c r="BM36" s="140" t="e">
        <f t="shared" si="50"/>
        <v>#VALUE!</v>
      </c>
      <c r="BN36" s="123" t="str">
        <f t="shared" si="238"/>
        <v/>
      </c>
      <c r="BO36" s="148" t="str">
        <f t="shared" si="239"/>
        <v/>
      </c>
      <c r="BP36" s="123"/>
      <c r="BQ36" s="123" t="e">
        <f t="shared" si="54"/>
        <v>#VALUE!</v>
      </c>
      <c r="BR36" s="123" t="str">
        <f t="shared" si="240"/>
        <v/>
      </c>
      <c r="BS36" s="125" t="str">
        <f t="shared" si="241"/>
        <v/>
      </c>
      <c r="BT36" s="586" t="e">
        <f t="shared" ref="BT36:BV36" si="254">SUM(BQ36,BM36,BI36)</f>
        <v>#VALUE!</v>
      </c>
      <c r="BU36" s="1168">
        <f t="shared" si="254"/>
        <v>0</v>
      </c>
      <c r="BV36" s="1067">
        <f t="shared" si="254"/>
        <v>0</v>
      </c>
      <c r="BW36" s="125"/>
      <c r="BX36" s="140" t="e">
        <f t="shared" si="59"/>
        <v>#VALUE!</v>
      </c>
      <c r="BY36" s="123" t="str">
        <f t="shared" si="243"/>
        <v/>
      </c>
      <c r="BZ36" s="148" t="str">
        <f t="shared" si="244"/>
        <v/>
      </c>
      <c r="CA36" s="123"/>
      <c r="CB36" s="326"/>
      <c r="CP36" s="294"/>
      <c r="CU36" s="294"/>
    </row>
    <row r="37" spans="1:99" ht="13">
      <c r="A37" s="788">
        <f t="shared" si="208"/>
        <v>112014666</v>
      </c>
      <c r="B37" s="636" t="e">
        <f t="shared" si="209"/>
        <v>#N/A</v>
      </c>
      <c r="C37" s="558" t="str">
        <f t="shared" si="210"/>
        <v/>
      </c>
      <c r="D37" s="558" t="str">
        <f t="shared" si="211"/>
        <v/>
      </c>
      <c r="E37" s="559" t="str">
        <f t="shared" si="212"/>
        <v/>
      </c>
      <c r="F37" s="836" t="e">
        <f t="shared" si="213"/>
        <v>#N/A</v>
      </c>
      <c r="G37" s="558" t="str">
        <f t="shared" si="214"/>
        <v/>
      </c>
      <c r="H37" s="558" t="str">
        <f t="shared" si="215"/>
        <v/>
      </c>
      <c r="I37" s="559" t="str">
        <f t="shared" si="216"/>
        <v/>
      </c>
      <c r="J37" s="837">
        <f t="shared" si="217"/>
        <v>70</v>
      </c>
      <c r="K37" s="558" t="str">
        <f t="shared" si="218"/>
        <v>Lista</v>
      </c>
      <c r="L37" s="715">
        <f t="shared" si="219"/>
        <v>0.11</v>
      </c>
      <c r="M37" s="1173" t="s">
        <v>1101</v>
      </c>
      <c r="N37" s="1174"/>
      <c r="O37" s="332"/>
      <c r="P37" s="173" t="e">
        <f t="shared" si="14"/>
        <v>#VALUE!</v>
      </c>
      <c r="Q37" s="561" t="str">
        <f t="shared" si="220"/>
        <v/>
      </c>
      <c r="R37" s="1112" t="str">
        <f t="shared" si="221"/>
        <v/>
      </c>
      <c r="S37" s="123"/>
      <c r="T37" s="326"/>
      <c r="U37" s="326" t="str">
        <f t="shared" si="133"/>
        <v/>
      </c>
      <c r="V37" s="332" t="e">
        <f t="shared" si="249"/>
        <v>#VALUE!</v>
      </c>
      <c r="W37" s="173" t="e">
        <f t="shared" si="18"/>
        <v>#VALUE!</v>
      </c>
      <c r="X37" s="561" t="str">
        <f t="shared" si="222"/>
        <v/>
      </c>
      <c r="Y37" s="1112" t="str">
        <f t="shared" si="223"/>
        <v/>
      </c>
      <c r="Z37" s="123"/>
      <c r="AA37" s="326"/>
      <c r="AB37" s="326" t="str">
        <f t="shared" si="134"/>
        <v/>
      </c>
      <c r="AC37" s="332" t="e">
        <f t="shared" si="250"/>
        <v>#VALUE!</v>
      </c>
      <c r="AD37" s="173" t="e">
        <f t="shared" si="22"/>
        <v>#VALUE!</v>
      </c>
      <c r="AE37" s="561" t="str">
        <f t="shared" si="224"/>
        <v/>
      </c>
      <c r="AF37" s="1112" t="str">
        <f t="shared" si="225"/>
        <v/>
      </c>
      <c r="AG37" s="123"/>
      <c r="AH37" s="326"/>
      <c r="AI37" s="332" t="e">
        <f t="shared" si="135"/>
        <v>#VALUE!</v>
      </c>
      <c r="AJ37" s="140" t="str">
        <f t="shared" si="226"/>
        <v>0</v>
      </c>
      <c r="AK37" s="326" t="e">
        <f t="shared" ref="AK37:AM37" si="255">AD37+W37+P37</f>
        <v>#VALUE!</v>
      </c>
      <c r="AL37" s="326" t="e">
        <f t="shared" si="255"/>
        <v>#VALUE!</v>
      </c>
      <c r="AM37" s="326" t="e">
        <f t="shared" si="255"/>
        <v>#VALUE!</v>
      </c>
      <c r="AN37" s="326" t="e">
        <f t="shared" si="28"/>
        <v>#VALUE!</v>
      </c>
      <c r="AO37" s="98" t="str">
        <f t="shared" si="108"/>
        <v/>
      </c>
      <c r="AP37" s="125" t="str">
        <f t="shared" si="137"/>
        <v/>
      </c>
      <c r="AQ37" s="326" t="e">
        <f t="shared" si="31"/>
        <v>#VALUE!</v>
      </c>
      <c r="AR37" s="326" t="str">
        <f t="shared" si="228"/>
        <v/>
      </c>
      <c r="AS37" s="123" t="str">
        <f t="shared" si="229"/>
        <v/>
      </c>
      <c r="AT37" s="332"/>
      <c r="AU37" s="140" t="e">
        <f t="shared" si="35"/>
        <v>#VALUE!</v>
      </c>
      <c r="AV37" s="326" t="str">
        <f t="shared" si="230"/>
        <v/>
      </c>
      <c r="AW37" s="333" t="str">
        <f t="shared" si="231"/>
        <v/>
      </c>
      <c r="AX37" s="123"/>
      <c r="AY37" s="123" t="e">
        <f t="shared" si="39"/>
        <v>#VALUE!</v>
      </c>
      <c r="AZ37" s="123" t="str">
        <f t="shared" si="232"/>
        <v/>
      </c>
      <c r="BA37" s="125" t="str">
        <f t="shared" si="233"/>
        <v/>
      </c>
      <c r="BB37" s="1175" t="e">
        <f t="shared" ref="BB37:BD37" si="256">SUM(AQ37,AU37,AY37)</f>
        <v>#VALUE!</v>
      </c>
      <c r="BC37" s="326">
        <f t="shared" si="256"/>
        <v>0</v>
      </c>
      <c r="BD37" s="333">
        <f t="shared" si="256"/>
        <v>0</v>
      </c>
      <c r="BE37" s="100" t="e">
        <f t="shared" si="43"/>
        <v>#VALUE!</v>
      </c>
      <c r="BF37" s="116" t="e">
        <f t="shared" ref="BF37:BG37" si="257">BC37+AL37</f>
        <v>#VALUE!</v>
      </c>
      <c r="BG37" s="119" t="e">
        <f t="shared" si="257"/>
        <v>#VALUE!</v>
      </c>
      <c r="BH37" s="125"/>
      <c r="BI37" s="1041" t="e">
        <f t="shared" si="46"/>
        <v>#VALUE!</v>
      </c>
      <c r="BJ37" s="326" t="str">
        <f t="shared" si="236"/>
        <v/>
      </c>
      <c r="BK37" s="1045" t="str">
        <f t="shared" si="237"/>
        <v/>
      </c>
      <c r="BL37" s="125"/>
      <c r="BM37" s="140" t="e">
        <f t="shared" si="50"/>
        <v>#VALUE!</v>
      </c>
      <c r="BN37" s="123" t="str">
        <f t="shared" si="238"/>
        <v/>
      </c>
      <c r="BO37" s="148" t="str">
        <f t="shared" si="239"/>
        <v/>
      </c>
      <c r="BP37" s="123"/>
      <c r="BQ37" s="123" t="e">
        <f t="shared" si="54"/>
        <v>#VALUE!</v>
      </c>
      <c r="BR37" s="123" t="str">
        <f t="shared" si="240"/>
        <v/>
      </c>
      <c r="BS37" s="125" t="str">
        <f t="shared" si="241"/>
        <v/>
      </c>
      <c r="BT37" s="586" t="e">
        <f t="shared" ref="BT37:BV37" si="258">SUM(BQ37,BM37,BI37)</f>
        <v>#VALUE!</v>
      </c>
      <c r="BU37" s="1168">
        <f t="shared" si="258"/>
        <v>0</v>
      </c>
      <c r="BV37" s="1067">
        <f t="shared" si="258"/>
        <v>0</v>
      </c>
      <c r="BW37" s="125"/>
      <c r="BX37" s="140" t="e">
        <f t="shared" si="59"/>
        <v>#VALUE!</v>
      </c>
      <c r="BY37" s="123" t="str">
        <f t="shared" si="243"/>
        <v/>
      </c>
      <c r="BZ37" s="148" t="str">
        <f t="shared" si="244"/>
        <v/>
      </c>
      <c r="CA37" s="123"/>
      <c r="CB37" s="326"/>
      <c r="CP37" s="294"/>
      <c r="CU37" s="294"/>
    </row>
    <row r="38" spans="1:99" ht="13">
      <c r="A38" s="788">
        <f t="shared" si="208"/>
        <v>112012176</v>
      </c>
      <c r="B38" s="636" t="e">
        <f t="shared" si="209"/>
        <v>#N/A</v>
      </c>
      <c r="C38" s="558" t="str">
        <f t="shared" si="210"/>
        <v/>
      </c>
      <c r="D38" s="558" t="str">
        <f t="shared" si="211"/>
        <v/>
      </c>
      <c r="E38" s="559" t="str">
        <f t="shared" si="212"/>
        <v/>
      </c>
      <c r="F38" s="836" t="e">
        <f t="shared" si="213"/>
        <v>#N/A</v>
      </c>
      <c r="G38" s="558" t="str">
        <f t="shared" si="214"/>
        <v/>
      </c>
      <c r="H38" s="558" t="str">
        <f t="shared" si="215"/>
        <v/>
      </c>
      <c r="I38" s="559" t="str">
        <f t="shared" si="216"/>
        <v/>
      </c>
      <c r="J38" s="837">
        <f t="shared" si="217"/>
        <v>70</v>
      </c>
      <c r="K38" s="558" t="str">
        <f t="shared" si="218"/>
        <v>Lista</v>
      </c>
      <c r="L38" s="715">
        <f t="shared" si="219"/>
        <v>0.11</v>
      </c>
      <c r="M38" s="1192" t="s">
        <v>1104</v>
      </c>
      <c r="N38" s="1174" t="str">
        <f t="shared" ref="N38:N58" si="259">IFERROR(VLOOKUP(M38,MARUCA24,3,FALSE),"")</f>
        <v/>
      </c>
      <c r="O38" s="1177">
        <v>1800000</v>
      </c>
      <c r="P38" s="173" t="e">
        <f t="shared" si="14"/>
        <v>#VALUE!</v>
      </c>
      <c r="Q38" s="561" t="str">
        <f t="shared" si="220"/>
        <v/>
      </c>
      <c r="R38" s="1112" t="str">
        <f t="shared" si="221"/>
        <v/>
      </c>
      <c r="S38" s="1178"/>
      <c r="T38" s="975"/>
      <c r="U38" s="326" t="str">
        <f t="shared" si="133"/>
        <v/>
      </c>
      <c r="V38" s="1177">
        <v>1800000</v>
      </c>
      <c r="W38" s="173" t="e">
        <f t="shared" si="18"/>
        <v>#VALUE!</v>
      </c>
      <c r="X38" s="561" t="str">
        <f t="shared" si="222"/>
        <v/>
      </c>
      <c r="Y38" s="1112" t="str">
        <f t="shared" si="223"/>
        <v/>
      </c>
      <c r="Z38" s="1178"/>
      <c r="AA38" s="975"/>
      <c r="AB38" s="326" t="str">
        <f t="shared" si="134"/>
        <v/>
      </c>
      <c r="AC38" s="1177">
        <v>1800000</v>
      </c>
      <c r="AD38" s="173" t="e">
        <f t="shared" si="22"/>
        <v>#VALUE!</v>
      </c>
      <c r="AE38" s="561" t="str">
        <f t="shared" si="224"/>
        <v/>
      </c>
      <c r="AF38" s="1112" t="str">
        <f t="shared" si="225"/>
        <v/>
      </c>
      <c r="AG38" s="1178"/>
      <c r="AH38" s="975"/>
      <c r="AI38" s="332">
        <f t="shared" si="135"/>
        <v>5400000</v>
      </c>
      <c r="AJ38" s="140">
        <f t="shared" si="226"/>
        <v>1723912.54</v>
      </c>
      <c r="AK38" s="326" t="e">
        <f t="shared" ref="AK38:AM38" si="260">AD38+W38+P38</f>
        <v>#VALUE!</v>
      </c>
      <c r="AL38" s="326" t="e">
        <f t="shared" si="260"/>
        <v>#VALUE!</v>
      </c>
      <c r="AM38" s="326" t="e">
        <f t="shared" si="260"/>
        <v>#VALUE!</v>
      </c>
      <c r="AN38" s="326" t="e">
        <f t="shared" si="28"/>
        <v>#VALUE!</v>
      </c>
      <c r="AO38" s="98" t="str">
        <f t="shared" si="108"/>
        <v/>
      </c>
      <c r="AP38" s="125" t="str">
        <f t="shared" si="137"/>
        <v/>
      </c>
      <c r="AQ38" s="326" t="e">
        <f t="shared" si="31"/>
        <v>#VALUE!</v>
      </c>
      <c r="AR38" s="326" t="str">
        <f t="shared" si="228"/>
        <v/>
      </c>
      <c r="AS38" s="123" t="str">
        <f t="shared" si="229"/>
        <v/>
      </c>
      <c r="AT38" s="332" t="str">
        <f t="shared" ref="AT38:AT58" si="261">IFERROR(VLOOKUP(M38,MARUCA24,7,FALSE),"")</f>
        <v/>
      </c>
      <c r="AU38" s="140" t="e">
        <f t="shared" si="35"/>
        <v>#VALUE!</v>
      </c>
      <c r="AV38" s="326" t="str">
        <f t="shared" si="230"/>
        <v/>
      </c>
      <c r="AW38" s="333" t="str">
        <f t="shared" si="231"/>
        <v/>
      </c>
      <c r="AX38" s="123" t="str">
        <f t="shared" ref="AX38:AX58" si="262">IFERROR(VLOOKUP(M38,MARUCA24,8,FALSE),"")</f>
        <v/>
      </c>
      <c r="AY38" s="123" t="e">
        <f t="shared" si="39"/>
        <v>#VALUE!</v>
      </c>
      <c r="AZ38" s="123" t="str">
        <f t="shared" si="232"/>
        <v/>
      </c>
      <c r="BA38" s="125" t="str">
        <f t="shared" si="233"/>
        <v/>
      </c>
      <c r="BB38" s="1175" t="e">
        <f t="shared" ref="BB38:BD38" si="263">SUM(AQ38,AU38,AY38)</f>
        <v>#VALUE!</v>
      </c>
      <c r="BC38" s="326">
        <f t="shared" si="263"/>
        <v>0</v>
      </c>
      <c r="BD38" s="333">
        <f t="shared" si="263"/>
        <v>0</v>
      </c>
      <c r="BE38" s="100" t="e">
        <f t="shared" si="43"/>
        <v>#VALUE!</v>
      </c>
      <c r="BF38" s="116" t="e">
        <f t="shared" ref="BF38:BG38" si="264">BC38+AL38</f>
        <v>#VALUE!</v>
      </c>
      <c r="BG38" s="119" t="e">
        <f t="shared" si="264"/>
        <v>#VALUE!</v>
      </c>
      <c r="BH38" s="125" t="str">
        <f t="shared" ref="BH38:BH58" si="265">IFERROR(VLOOKUP(M38,MARUCA24,9,FALSE),"")</f>
        <v/>
      </c>
      <c r="BI38" s="1041" t="e">
        <f t="shared" si="46"/>
        <v>#VALUE!</v>
      </c>
      <c r="BJ38" s="326" t="str">
        <f t="shared" si="236"/>
        <v/>
      </c>
      <c r="BK38" s="1045" t="str">
        <f t="shared" si="237"/>
        <v/>
      </c>
      <c r="BL38" s="125" t="str">
        <f t="shared" ref="BL38:BL58" si="266">IFERROR(VLOOKUP(M38,MARUCA24,10,FALSE),"")</f>
        <v/>
      </c>
      <c r="BM38" s="140" t="e">
        <f t="shared" si="50"/>
        <v>#VALUE!</v>
      </c>
      <c r="BN38" s="123" t="str">
        <f t="shared" si="238"/>
        <v/>
      </c>
      <c r="BO38" s="148" t="str">
        <f t="shared" si="239"/>
        <v/>
      </c>
      <c r="BP38" s="123" t="str">
        <f t="shared" ref="BP38:BP58" si="267">IFERROR(VLOOKUP(M38,MARUCA24,11,FALSE),"")</f>
        <v/>
      </c>
      <c r="BQ38" s="123" t="e">
        <f t="shared" si="54"/>
        <v>#VALUE!</v>
      </c>
      <c r="BR38" s="123" t="str">
        <f t="shared" si="240"/>
        <v/>
      </c>
      <c r="BS38" s="125" t="str">
        <f t="shared" si="241"/>
        <v/>
      </c>
      <c r="BT38" s="586" t="e">
        <f t="shared" ref="BT38:BV38" si="268">SUM(BQ38,BM38,BI38)</f>
        <v>#VALUE!</v>
      </c>
      <c r="BU38" s="1168">
        <f t="shared" si="268"/>
        <v>0</v>
      </c>
      <c r="BV38" s="1067">
        <f t="shared" si="268"/>
        <v>0</v>
      </c>
      <c r="BW38" s="125" t="str">
        <f t="shared" ref="BW38:BW58" si="269">IFERROR(VLOOKUP(M38,MARUCA24,12,FALSE),"")</f>
        <v/>
      </c>
      <c r="BX38" s="140" t="e">
        <f t="shared" si="59"/>
        <v>#VALUE!</v>
      </c>
      <c r="BY38" s="123" t="str">
        <f t="shared" si="243"/>
        <v/>
      </c>
      <c r="BZ38" s="148" t="str">
        <f t="shared" si="244"/>
        <v/>
      </c>
      <c r="CA38" s="123" t="str">
        <f t="shared" ref="CA38:CA58" si="270">IFERROR(VLOOKUP(M38,MARUCA24,13,FALSE),"")</f>
        <v/>
      </c>
      <c r="CB38" s="326" t="str">
        <f t="shared" ref="CB38:CB58" si="271">IFERROR(VLOOKUP(M38,MARUCA24,14,FALSE),"")</f>
        <v/>
      </c>
      <c r="CP38" s="294"/>
      <c r="CU38" s="294"/>
    </row>
    <row r="39" spans="1:99" ht="13">
      <c r="A39" s="788">
        <f t="shared" si="208"/>
        <v>112012452</v>
      </c>
      <c r="B39" s="636" t="e">
        <f t="shared" si="209"/>
        <v>#N/A</v>
      </c>
      <c r="C39" s="558" t="str">
        <f t="shared" si="210"/>
        <v/>
      </c>
      <c r="D39" s="558" t="str">
        <f t="shared" si="211"/>
        <v/>
      </c>
      <c r="E39" s="559" t="str">
        <f t="shared" si="212"/>
        <v/>
      </c>
      <c r="F39" s="836" t="e">
        <f t="shared" si="213"/>
        <v>#N/A</v>
      </c>
      <c r="G39" s="558" t="str">
        <f t="shared" si="214"/>
        <v/>
      </c>
      <c r="H39" s="558" t="str">
        <f t="shared" si="215"/>
        <v/>
      </c>
      <c r="I39" s="559" t="str">
        <f t="shared" si="216"/>
        <v/>
      </c>
      <c r="J39" s="837">
        <f t="shared" si="217"/>
        <v>70</v>
      </c>
      <c r="K39" s="558" t="str">
        <f t="shared" si="218"/>
        <v>Lista</v>
      </c>
      <c r="L39" s="715">
        <f t="shared" si="219"/>
        <v>0.11</v>
      </c>
      <c r="M39" s="1173" t="s">
        <v>1099</v>
      </c>
      <c r="N39" s="1174" t="str">
        <f t="shared" si="259"/>
        <v/>
      </c>
      <c r="O39" s="332" t="e">
        <f t="shared" ref="O39:O43" si="272">(N39*1.601)*1.05</f>
        <v>#VALUE!</v>
      </c>
      <c r="P39" s="173" t="e">
        <f t="shared" si="14"/>
        <v>#VALUE!</v>
      </c>
      <c r="Q39" s="561" t="str">
        <f t="shared" si="220"/>
        <v/>
      </c>
      <c r="R39" s="1112" t="str">
        <f t="shared" si="221"/>
        <v/>
      </c>
      <c r="S39" s="123"/>
      <c r="T39" s="326"/>
      <c r="U39" s="326" t="str">
        <f t="shared" si="133"/>
        <v/>
      </c>
      <c r="V39" s="332" t="e">
        <f t="shared" ref="V39:V43" si="273">(U39*1.7245)*1.03</f>
        <v>#VALUE!</v>
      </c>
      <c r="W39" s="173" t="e">
        <f t="shared" si="18"/>
        <v>#VALUE!</v>
      </c>
      <c r="X39" s="561" t="str">
        <f t="shared" si="222"/>
        <v/>
      </c>
      <c r="Y39" s="1112" t="str">
        <f t="shared" si="223"/>
        <v/>
      </c>
      <c r="Z39" s="123"/>
      <c r="AA39" s="326"/>
      <c r="AB39" s="326" t="str">
        <f t="shared" si="134"/>
        <v/>
      </c>
      <c r="AC39" s="332" t="e">
        <f t="shared" ref="AC39:AC43" si="274">(AB39*1.5955)*1.03</f>
        <v>#VALUE!</v>
      </c>
      <c r="AD39" s="173" t="e">
        <f t="shared" si="22"/>
        <v>#VALUE!</v>
      </c>
      <c r="AE39" s="561" t="str">
        <f t="shared" si="224"/>
        <v/>
      </c>
      <c r="AF39" s="1112" t="str">
        <f t="shared" si="225"/>
        <v/>
      </c>
      <c r="AG39" s="123"/>
      <c r="AH39" s="326"/>
      <c r="AI39" s="332" t="e">
        <f t="shared" si="135"/>
        <v>#VALUE!</v>
      </c>
      <c r="AJ39" s="140">
        <f t="shared" si="226"/>
        <v>3412229.32</v>
      </c>
      <c r="AK39" s="326" t="e">
        <f t="shared" ref="AK39:AM39" si="275">AD39+W39+P39</f>
        <v>#VALUE!</v>
      </c>
      <c r="AL39" s="326" t="e">
        <f t="shared" si="275"/>
        <v>#VALUE!</v>
      </c>
      <c r="AM39" s="326" t="e">
        <f t="shared" si="275"/>
        <v>#VALUE!</v>
      </c>
      <c r="AN39" s="326" t="e">
        <f t="shared" si="28"/>
        <v>#VALUE!</v>
      </c>
      <c r="AO39" s="98" t="str">
        <f t="shared" si="108"/>
        <v/>
      </c>
      <c r="AP39" s="125" t="str">
        <f t="shared" si="137"/>
        <v/>
      </c>
      <c r="AQ39" s="326" t="e">
        <f t="shared" si="31"/>
        <v>#VALUE!</v>
      </c>
      <c r="AR39" s="326" t="str">
        <f t="shared" si="228"/>
        <v/>
      </c>
      <c r="AS39" s="123" t="str">
        <f t="shared" si="229"/>
        <v/>
      </c>
      <c r="AT39" s="332" t="str">
        <f t="shared" si="261"/>
        <v/>
      </c>
      <c r="AU39" s="140" t="e">
        <f t="shared" si="35"/>
        <v>#VALUE!</v>
      </c>
      <c r="AV39" s="326" t="str">
        <f t="shared" si="230"/>
        <v/>
      </c>
      <c r="AW39" s="333" t="str">
        <f t="shared" si="231"/>
        <v/>
      </c>
      <c r="AX39" s="123" t="str">
        <f t="shared" si="262"/>
        <v/>
      </c>
      <c r="AY39" s="123" t="e">
        <f t="shared" si="39"/>
        <v>#VALUE!</v>
      </c>
      <c r="AZ39" s="123" t="str">
        <f t="shared" si="232"/>
        <v/>
      </c>
      <c r="BA39" s="125" t="str">
        <f t="shared" si="233"/>
        <v/>
      </c>
      <c r="BB39" s="1175" t="e">
        <f t="shared" ref="BB39:BD39" si="276">SUM(AQ39,AU39,AY39)</f>
        <v>#VALUE!</v>
      </c>
      <c r="BC39" s="326">
        <f t="shared" si="276"/>
        <v>0</v>
      </c>
      <c r="BD39" s="333">
        <f t="shared" si="276"/>
        <v>0</v>
      </c>
      <c r="BE39" s="100" t="e">
        <f t="shared" si="43"/>
        <v>#VALUE!</v>
      </c>
      <c r="BF39" s="116" t="e">
        <f t="shared" ref="BF39:BG39" si="277">BC39+AL39</f>
        <v>#VALUE!</v>
      </c>
      <c r="BG39" s="119" t="e">
        <f t="shared" si="277"/>
        <v>#VALUE!</v>
      </c>
      <c r="BH39" s="125" t="str">
        <f t="shared" si="265"/>
        <v/>
      </c>
      <c r="BI39" s="1041" t="e">
        <f t="shared" si="46"/>
        <v>#VALUE!</v>
      </c>
      <c r="BJ39" s="326" t="str">
        <f t="shared" si="236"/>
        <v/>
      </c>
      <c r="BK39" s="1045" t="str">
        <f t="shared" si="237"/>
        <v/>
      </c>
      <c r="BL39" s="125" t="str">
        <f t="shared" si="266"/>
        <v/>
      </c>
      <c r="BM39" s="140" t="e">
        <f t="shared" si="50"/>
        <v>#VALUE!</v>
      </c>
      <c r="BN39" s="123" t="str">
        <f t="shared" si="238"/>
        <v/>
      </c>
      <c r="BO39" s="148" t="str">
        <f t="shared" si="239"/>
        <v/>
      </c>
      <c r="BP39" s="123" t="str">
        <f t="shared" si="267"/>
        <v/>
      </c>
      <c r="BQ39" s="123" t="e">
        <f t="shared" si="54"/>
        <v>#VALUE!</v>
      </c>
      <c r="BR39" s="123" t="str">
        <f t="shared" si="240"/>
        <v/>
      </c>
      <c r="BS39" s="125" t="str">
        <f t="shared" si="241"/>
        <v/>
      </c>
      <c r="BT39" s="140" t="e">
        <f t="shared" ref="BT39:BV39" si="278">SUM(BQ39,BM39,BI39)</f>
        <v>#VALUE!</v>
      </c>
      <c r="BU39" s="123">
        <f t="shared" si="278"/>
        <v>0</v>
      </c>
      <c r="BV39" s="148">
        <f t="shared" si="278"/>
        <v>0</v>
      </c>
      <c r="BW39" s="125" t="str">
        <f t="shared" si="269"/>
        <v/>
      </c>
      <c r="BX39" s="140" t="e">
        <f t="shared" si="59"/>
        <v>#VALUE!</v>
      </c>
      <c r="BY39" s="123" t="str">
        <f t="shared" si="243"/>
        <v/>
      </c>
      <c r="BZ39" s="148" t="str">
        <f t="shared" si="244"/>
        <v/>
      </c>
      <c r="CA39" s="123" t="str">
        <f t="shared" si="270"/>
        <v/>
      </c>
      <c r="CB39" s="326" t="str">
        <f t="shared" si="271"/>
        <v/>
      </c>
      <c r="CP39" s="294"/>
      <c r="CU39" s="294"/>
    </row>
    <row r="40" spans="1:99" ht="13">
      <c r="A40" s="788">
        <f t="shared" si="208"/>
        <v>112014694</v>
      </c>
      <c r="B40" s="636" t="e">
        <f t="shared" si="209"/>
        <v>#N/A</v>
      </c>
      <c r="C40" s="558" t="str">
        <f t="shared" si="210"/>
        <v/>
      </c>
      <c r="D40" s="558" t="str">
        <f t="shared" si="211"/>
        <v/>
      </c>
      <c r="E40" s="559" t="str">
        <f t="shared" si="212"/>
        <v/>
      </c>
      <c r="F40" s="836" t="e">
        <f t="shared" si="213"/>
        <v>#N/A</v>
      </c>
      <c r="G40" s="558" t="str">
        <f t="shared" si="214"/>
        <v/>
      </c>
      <c r="H40" s="558" t="str">
        <f t="shared" si="215"/>
        <v/>
      </c>
      <c r="I40" s="559" t="str">
        <f t="shared" si="216"/>
        <v/>
      </c>
      <c r="J40" s="837">
        <f t="shared" si="217"/>
        <v>70</v>
      </c>
      <c r="K40" s="558" t="str">
        <f t="shared" si="218"/>
        <v>Lista</v>
      </c>
      <c r="L40" s="715">
        <f t="shared" si="219"/>
        <v>0.11</v>
      </c>
      <c r="M40" s="1173" t="s">
        <v>1100</v>
      </c>
      <c r="N40" s="1174" t="str">
        <f t="shared" si="259"/>
        <v/>
      </c>
      <c r="O40" s="332" t="e">
        <f t="shared" si="272"/>
        <v>#VALUE!</v>
      </c>
      <c r="P40" s="173" t="e">
        <f t="shared" si="14"/>
        <v>#VALUE!</v>
      </c>
      <c r="Q40" s="561" t="str">
        <f t="shared" si="220"/>
        <v/>
      </c>
      <c r="R40" s="1112" t="str">
        <f t="shared" si="221"/>
        <v/>
      </c>
      <c r="S40" s="123"/>
      <c r="T40" s="326"/>
      <c r="U40" s="326" t="str">
        <f t="shared" si="133"/>
        <v/>
      </c>
      <c r="V40" s="332" t="e">
        <f t="shared" si="273"/>
        <v>#VALUE!</v>
      </c>
      <c r="W40" s="173" t="e">
        <f t="shared" si="18"/>
        <v>#VALUE!</v>
      </c>
      <c r="X40" s="561" t="str">
        <f t="shared" si="222"/>
        <v/>
      </c>
      <c r="Y40" s="1112" t="str">
        <f t="shared" si="223"/>
        <v/>
      </c>
      <c r="Z40" s="123"/>
      <c r="AA40" s="326"/>
      <c r="AB40" s="326" t="str">
        <f t="shared" si="134"/>
        <v/>
      </c>
      <c r="AC40" s="332" t="e">
        <f t="shared" si="274"/>
        <v>#VALUE!</v>
      </c>
      <c r="AD40" s="173" t="e">
        <f t="shared" si="22"/>
        <v>#VALUE!</v>
      </c>
      <c r="AE40" s="561" t="str">
        <f t="shared" si="224"/>
        <v/>
      </c>
      <c r="AF40" s="1112" t="str">
        <f t="shared" si="225"/>
        <v/>
      </c>
      <c r="AG40" s="123"/>
      <c r="AH40" s="326"/>
      <c r="AI40" s="332" t="e">
        <f t="shared" si="135"/>
        <v>#VALUE!</v>
      </c>
      <c r="AJ40" s="140" t="str">
        <f t="shared" si="226"/>
        <v>0</v>
      </c>
      <c r="AK40" s="326" t="e">
        <f t="shared" ref="AK40:AM40" si="279">AD40+W40+P40</f>
        <v>#VALUE!</v>
      </c>
      <c r="AL40" s="326" t="e">
        <f t="shared" si="279"/>
        <v>#VALUE!</v>
      </c>
      <c r="AM40" s="326" t="e">
        <f t="shared" si="279"/>
        <v>#VALUE!</v>
      </c>
      <c r="AN40" s="326" t="e">
        <f t="shared" si="28"/>
        <v>#VALUE!</v>
      </c>
      <c r="AO40" s="98" t="str">
        <f t="shared" si="108"/>
        <v/>
      </c>
      <c r="AP40" s="125" t="str">
        <f t="shared" si="137"/>
        <v/>
      </c>
      <c r="AQ40" s="326" t="e">
        <f t="shared" si="31"/>
        <v>#VALUE!</v>
      </c>
      <c r="AR40" s="326" t="str">
        <f t="shared" si="228"/>
        <v/>
      </c>
      <c r="AS40" s="123" t="str">
        <f t="shared" si="229"/>
        <v/>
      </c>
      <c r="AT40" s="332" t="str">
        <f t="shared" si="261"/>
        <v/>
      </c>
      <c r="AU40" s="140" t="e">
        <f t="shared" si="35"/>
        <v>#VALUE!</v>
      </c>
      <c r="AV40" s="326" t="str">
        <f t="shared" si="230"/>
        <v/>
      </c>
      <c r="AW40" s="333" t="str">
        <f t="shared" si="231"/>
        <v/>
      </c>
      <c r="AX40" s="123" t="str">
        <f t="shared" si="262"/>
        <v/>
      </c>
      <c r="AY40" s="123" t="e">
        <f t="shared" si="39"/>
        <v>#VALUE!</v>
      </c>
      <c r="AZ40" s="123" t="str">
        <f t="shared" si="232"/>
        <v/>
      </c>
      <c r="BA40" s="125" t="str">
        <f t="shared" si="233"/>
        <v/>
      </c>
      <c r="BB40" s="1175" t="e">
        <f t="shared" ref="BB40:BD40" si="280">SUM(AQ40,AU40,AY40)</f>
        <v>#VALUE!</v>
      </c>
      <c r="BC40" s="326">
        <f t="shared" si="280"/>
        <v>0</v>
      </c>
      <c r="BD40" s="333">
        <f t="shared" si="280"/>
        <v>0</v>
      </c>
      <c r="BE40" s="100" t="e">
        <f t="shared" si="43"/>
        <v>#VALUE!</v>
      </c>
      <c r="BF40" s="116" t="e">
        <f t="shared" ref="BF40:BG40" si="281">BC40+AL40</f>
        <v>#VALUE!</v>
      </c>
      <c r="BG40" s="119" t="e">
        <f t="shared" si="281"/>
        <v>#VALUE!</v>
      </c>
      <c r="BH40" s="125" t="str">
        <f t="shared" si="265"/>
        <v/>
      </c>
      <c r="BI40" s="1041" t="e">
        <f t="shared" si="46"/>
        <v>#VALUE!</v>
      </c>
      <c r="BJ40" s="326" t="str">
        <f t="shared" si="236"/>
        <v/>
      </c>
      <c r="BK40" s="1045" t="str">
        <f t="shared" si="237"/>
        <v/>
      </c>
      <c r="BL40" s="125" t="str">
        <f t="shared" si="266"/>
        <v/>
      </c>
      <c r="BM40" s="140" t="e">
        <f t="shared" si="50"/>
        <v>#VALUE!</v>
      </c>
      <c r="BN40" s="123" t="str">
        <f t="shared" si="238"/>
        <v/>
      </c>
      <c r="BO40" s="148" t="str">
        <f t="shared" si="239"/>
        <v/>
      </c>
      <c r="BP40" s="123" t="str">
        <f t="shared" si="267"/>
        <v/>
      </c>
      <c r="BQ40" s="123" t="e">
        <f t="shared" si="54"/>
        <v>#VALUE!</v>
      </c>
      <c r="BR40" s="123" t="str">
        <f t="shared" si="240"/>
        <v/>
      </c>
      <c r="BS40" s="125" t="str">
        <f t="shared" si="241"/>
        <v/>
      </c>
      <c r="BT40" s="140" t="e">
        <f t="shared" ref="BT40:BV40" si="282">SUM(BQ40,BM40,BI40)</f>
        <v>#VALUE!</v>
      </c>
      <c r="BU40" s="123">
        <f t="shared" si="282"/>
        <v>0</v>
      </c>
      <c r="BV40" s="148">
        <f t="shared" si="282"/>
        <v>0</v>
      </c>
      <c r="BW40" s="125" t="str">
        <f t="shared" si="269"/>
        <v/>
      </c>
      <c r="BX40" s="140" t="e">
        <f t="shared" si="59"/>
        <v>#VALUE!</v>
      </c>
      <c r="BY40" s="123" t="str">
        <f t="shared" si="243"/>
        <v/>
      </c>
      <c r="BZ40" s="148" t="str">
        <f t="shared" si="244"/>
        <v/>
      </c>
      <c r="CA40" s="123" t="str">
        <f t="shared" si="270"/>
        <v/>
      </c>
      <c r="CB40" s="326" t="str">
        <f t="shared" si="271"/>
        <v/>
      </c>
      <c r="CP40" s="294"/>
      <c r="CU40" s="294"/>
    </row>
    <row r="41" spans="1:99" ht="13">
      <c r="A41" s="788">
        <f t="shared" si="208"/>
        <v>112011810</v>
      </c>
      <c r="B41" s="636" t="e">
        <f t="shared" si="209"/>
        <v>#N/A</v>
      </c>
      <c r="C41" s="558" t="str">
        <f t="shared" si="210"/>
        <v/>
      </c>
      <c r="D41" s="558" t="str">
        <f t="shared" si="211"/>
        <v/>
      </c>
      <c r="E41" s="559" t="str">
        <f t="shared" si="212"/>
        <v/>
      </c>
      <c r="F41" s="836" t="e">
        <f t="shared" si="213"/>
        <v>#N/A</v>
      </c>
      <c r="G41" s="558" t="str">
        <f t="shared" si="214"/>
        <v/>
      </c>
      <c r="H41" s="558" t="str">
        <f t="shared" si="215"/>
        <v/>
      </c>
      <c r="I41" s="559" t="str">
        <f t="shared" si="216"/>
        <v/>
      </c>
      <c r="J41" s="837">
        <f t="shared" si="217"/>
        <v>70</v>
      </c>
      <c r="K41" s="558" t="str">
        <f t="shared" si="218"/>
        <v>Lista</v>
      </c>
      <c r="L41" s="715">
        <f t="shared" si="219"/>
        <v>0.11</v>
      </c>
      <c r="M41" s="1173" t="s">
        <v>949</v>
      </c>
      <c r="N41" s="1174" t="str">
        <f t="shared" si="259"/>
        <v/>
      </c>
      <c r="O41" s="332" t="e">
        <f t="shared" si="272"/>
        <v>#VALUE!</v>
      </c>
      <c r="P41" s="173" t="e">
        <f t="shared" si="14"/>
        <v>#VALUE!</v>
      </c>
      <c r="Q41" s="561" t="str">
        <f t="shared" si="220"/>
        <v/>
      </c>
      <c r="R41" s="1112" t="str">
        <f t="shared" si="221"/>
        <v/>
      </c>
      <c r="S41" s="123"/>
      <c r="T41" s="326"/>
      <c r="U41" s="326" t="str">
        <f t="shared" si="133"/>
        <v/>
      </c>
      <c r="V41" s="332" t="e">
        <f t="shared" si="273"/>
        <v>#VALUE!</v>
      </c>
      <c r="W41" s="173" t="e">
        <f t="shared" si="18"/>
        <v>#VALUE!</v>
      </c>
      <c r="X41" s="561" t="str">
        <f t="shared" si="222"/>
        <v/>
      </c>
      <c r="Y41" s="1112" t="str">
        <f t="shared" si="223"/>
        <v/>
      </c>
      <c r="Z41" s="123"/>
      <c r="AA41" s="326"/>
      <c r="AB41" s="326" t="str">
        <f t="shared" si="134"/>
        <v/>
      </c>
      <c r="AC41" s="332" t="e">
        <f t="shared" si="274"/>
        <v>#VALUE!</v>
      </c>
      <c r="AD41" s="173" t="e">
        <f t="shared" si="22"/>
        <v>#VALUE!</v>
      </c>
      <c r="AE41" s="561" t="str">
        <f t="shared" si="224"/>
        <v/>
      </c>
      <c r="AF41" s="1112" t="str">
        <f t="shared" si="225"/>
        <v/>
      </c>
      <c r="AG41" s="123"/>
      <c r="AH41" s="326"/>
      <c r="AI41" s="332" t="e">
        <f t="shared" si="135"/>
        <v>#VALUE!</v>
      </c>
      <c r="AJ41" s="140">
        <f t="shared" si="226"/>
        <v>1418391.57</v>
      </c>
      <c r="AK41" s="326" t="e">
        <f t="shared" ref="AK41:AM41" si="283">AD41+W41+P41</f>
        <v>#VALUE!</v>
      </c>
      <c r="AL41" s="326" t="e">
        <f t="shared" si="283"/>
        <v>#VALUE!</v>
      </c>
      <c r="AM41" s="326" t="e">
        <f t="shared" si="283"/>
        <v>#VALUE!</v>
      </c>
      <c r="AN41" s="326" t="e">
        <f t="shared" si="28"/>
        <v>#VALUE!</v>
      </c>
      <c r="AO41" s="98" t="str">
        <f t="shared" si="108"/>
        <v/>
      </c>
      <c r="AP41" s="125" t="str">
        <f t="shared" si="137"/>
        <v/>
      </c>
      <c r="AQ41" s="326" t="e">
        <f t="shared" si="31"/>
        <v>#VALUE!</v>
      </c>
      <c r="AR41" s="326" t="str">
        <f t="shared" si="228"/>
        <v/>
      </c>
      <c r="AS41" s="123" t="str">
        <f t="shared" si="229"/>
        <v/>
      </c>
      <c r="AT41" s="332" t="str">
        <f t="shared" si="261"/>
        <v/>
      </c>
      <c r="AU41" s="140" t="e">
        <f t="shared" si="35"/>
        <v>#VALUE!</v>
      </c>
      <c r="AV41" s="326" t="str">
        <f t="shared" si="230"/>
        <v/>
      </c>
      <c r="AW41" s="333" t="str">
        <f t="shared" si="231"/>
        <v/>
      </c>
      <c r="AX41" s="123" t="str">
        <f t="shared" si="262"/>
        <v/>
      </c>
      <c r="AY41" s="123" t="e">
        <f t="shared" si="39"/>
        <v>#VALUE!</v>
      </c>
      <c r="AZ41" s="123" t="str">
        <f t="shared" si="232"/>
        <v/>
      </c>
      <c r="BA41" s="125" t="str">
        <f t="shared" si="233"/>
        <v/>
      </c>
      <c r="BB41" s="1175" t="e">
        <f t="shared" ref="BB41:BD41" si="284">SUM(AQ41,AU41,AY41)</f>
        <v>#VALUE!</v>
      </c>
      <c r="BC41" s="326">
        <f t="shared" si="284"/>
        <v>0</v>
      </c>
      <c r="BD41" s="333">
        <f t="shared" si="284"/>
        <v>0</v>
      </c>
      <c r="BE41" s="100" t="e">
        <f t="shared" si="43"/>
        <v>#VALUE!</v>
      </c>
      <c r="BF41" s="116" t="e">
        <f t="shared" ref="BF41:BG41" si="285">BC41+AL41</f>
        <v>#VALUE!</v>
      </c>
      <c r="BG41" s="119" t="e">
        <f t="shared" si="285"/>
        <v>#VALUE!</v>
      </c>
      <c r="BH41" s="125" t="str">
        <f t="shared" si="265"/>
        <v/>
      </c>
      <c r="BI41" s="1041" t="e">
        <f t="shared" si="46"/>
        <v>#VALUE!</v>
      </c>
      <c r="BJ41" s="326" t="str">
        <f t="shared" si="236"/>
        <v/>
      </c>
      <c r="BK41" s="1045" t="str">
        <f t="shared" si="237"/>
        <v/>
      </c>
      <c r="BL41" s="125" t="str">
        <f t="shared" si="266"/>
        <v/>
      </c>
      <c r="BM41" s="140" t="e">
        <f t="shared" si="50"/>
        <v>#VALUE!</v>
      </c>
      <c r="BN41" s="123" t="str">
        <f t="shared" si="238"/>
        <v/>
      </c>
      <c r="BO41" s="148" t="str">
        <f t="shared" si="239"/>
        <v/>
      </c>
      <c r="BP41" s="123" t="str">
        <f t="shared" si="267"/>
        <v/>
      </c>
      <c r="BQ41" s="123" t="e">
        <f t="shared" si="54"/>
        <v>#VALUE!</v>
      </c>
      <c r="BR41" s="123" t="str">
        <f t="shared" si="240"/>
        <v/>
      </c>
      <c r="BS41" s="125" t="str">
        <f t="shared" si="241"/>
        <v/>
      </c>
      <c r="BT41" s="140" t="e">
        <f t="shared" ref="BT41:BV41" si="286">SUM(BQ41,BM41,BI41)</f>
        <v>#VALUE!</v>
      </c>
      <c r="BU41" s="123">
        <f t="shared" si="286"/>
        <v>0</v>
      </c>
      <c r="BV41" s="148">
        <f t="shared" si="286"/>
        <v>0</v>
      </c>
      <c r="BW41" s="125" t="str">
        <f t="shared" si="269"/>
        <v/>
      </c>
      <c r="BX41" s="140" t="e">
        <f t="shared" si="59"/>
        <v>#VALUE!</v>
      </c>
      <c r="BY41" s="123" t="str">
        <f t="shared" si="243"/>
        <v/>
      </c>
      <c r="BZ41" s="148" t="str">
        <f t="shared" si="244"/>
        <v/>
      </c>
      <c r="CA41" s="123" t="str">
        <f t="shared" si="270"/>
        <v/>
      </c>
      <c r="CB41" s="326" t="str">
        <f t="shared" si="271"/>
        <v/>
      </c>
      <c r="CP41" s="294"/>
      <c r="CU41" s="294"/>
    </row>
    <row r="42" spans="1:99" ht="13">
      <c r="A42" s="788">
        <f t="shared" si="208"/>
        <v>112012366</v>
      </c>
      <c r="B42" s="636" t="e">
        <f t="shared" si="209"/>
        <v>#N/A</v>
      </c>
      <c r="C42" s="558" t="str">
        <f t="shared" si="210"/>
        <v/>
      </c>
      <c r="D42" s="558" t="str">
        <f t="shared" si="211"/>
        <v/>
      </c>
      <c r="E42" s="559" t="str">
        <f t="shared" si="212"/>
        <v/>
      </c>
      <c r="F42" s="836" t="e">
        <f t="shared" si="213"/>
        <v>#N/A</v>
      </c>
      <c r="G42" s="558" t="str">
        <f t="shared" si="214"/>
        <v/>
      </c>
      <c r="H42" s="558" t="str">
        <f t="shared" si="215"/>
        <v/>
      </c>
      <c r="I42" s="559" t="str">
        <f t="shared" si="216"/>
        <v/>
      </c>
      <c r="J42" s="837">
        <f t="shared" si="217"/>
        <v>71</v>
      </c>
      <c r="K42" s="558" t="str">
        <f t="shared" si="218"/>
        <v>Lista</v>
      </c>
      <c r="L42" s="715">
        <f t="shared" si="219"/>
        <v>0.05</v>
      </c>
      <c r="M42" s="1173" t="s">
        <v>1093</v>
      </c>
      <c r="N42" s="1174" t="str">
        <f t="shared" si="259"/>
        <v/>
      </c>
      <c r="O42" s="332" t="e">
        <f t="shared" si="272"/>
        <v>#VALUE!</v>
      </c>
      <c r="P42" s="173" t="e">
        <f t="shared" si="14"/>
        <v>#VALUE!</v>
      </c>
      <c r="Q42" s="561" t="str">
        <f t="shared" si="220"/>
        <v/>
      </c>
      <c r="R42" s="1112" t="str">
        <f t="shared" si="221"/>
        <v/>
      </c>
      <c r="S42" s="123"/>
      <c r="T42" s="326"/>
      <c r="U42" s="326" t="str">
        <f t="shared" si="133"/>
        <v/>
      </c>
      <c r="V42" s="332" t="e">
        <f t="shared" si="273"/>
        <v>#VALUE!</v>
      </c>
      <c r="W42" s="173" t="e">
        <f t="shared" si="18"/>
        <v>#VALUE!</v>
      </c>
      <c r="X42" s="561" t="str">
        <f t="shared" si="222"/>
        <v/>
      </c>
      <c r="Y42" s="1112" t="str">
        <f t="shared" si="223"/>
        <v/>
      </c>
      <c r="Z42" s="123"/>
      <c r="AA42" s="326"/>
      <c r="AB42" s="326" t="str">
        <f t="shared" si="134"/>
        <v/>
      </c>
      <c r="AC42" s="332" t="e">
        <f t="shared" si="274"/>
        <v>#VALUE!</v>
      </c>
      <c r="AD42" s="173" t="e">
        <f t="shared" si="22"/>
        <v>#VALUE!</v>
      </c>
      <c r="AE42" s="561" t="str">
        <f t="shared" si="224"/>
        <v/>
      </c>
      <c r="AF42" s="1112" t="str">
        <f t="shared" si="225"/>
        <v/>
      </c>
      <c r="AG42" s="123"/>
      <c r="AH42" s="326"/>
      <c r="AI42" s="332" t="e">
        <f t="shared" si="135"/>
        <v>#VALUE!</v>
      </c>
      <c r="AJ42" s="140">
        <f t="shared" si="226"/>
        <v>1039248.74</v>
      </c>
      <c r="AK42" s="326" t="e">
        <f t="shared" ref="AK42:AM42" si="287">AD42+W42+P42</f>
        <v>#VALUE!</v>
      </c>
      <c r="AL42" s="326" t="e">
        <f t="shared" si="287"/>
        <v>#VALUE!</v>
      </c>
      <c r="AM42" s="326" t="e">
        <f t="shared" si="287"/>
        <v>#VALUE!</v>
      </c>
      <c r="AN42" s="326" t="e">
        <f t="shared" si="28"/>
        <v>#VALUE!</v>
      </c>
      <c r="AO42" s="98" t="str">
        <f t="shared" si="108"/>
        <v/>
      </c>
      <c r="AP42" s="125" t="str">
        <f t="shared" si="137"/>
        <v/>
      </c>
      <c r="AQ42" s="326" t="e">
        <f t="shared" si="31"/>
        <v>#VALUE!</v>
      </c>
      <c r="AR42" s="326" t="str">
        <f t="shared" si="228"/>
        <v/>
      </c>
      <c r="AS42" s="123" t="str">
        <f t="shared" si="229"/>
        <v/>
      </c>
      <c r="AT42" s="332" t="str">
        <f t="shared" si="261"/>
        <v/>
      </c>
      <c r="AU42" s="140" t="e">
        <f t="shared" si="35"/>
        <v>#VALUE!</v>
      </c>
      <c r="AV42" s="326" t="str">
        <f t="shared" si="230"/>
        <v/>
      </c>
      <c r="AW42" s="333" t="str">
        <f t="shared" si="231"/>
        <v/>
      </c>
      <c r="AX42" s="123" t="str">
        <f t="shared" si="262"/>
        <v/>
      </c>
      <c r="AY42" s="123" t="e">
        <f t="shared" si="39"/>
        <v>#VALUE!</v>
      </c>
      <c r="AZ42" s="123" t="str">
        <f t="shared" si="232"/>
        <v/>
      </c>
      <c r="BA42" s="125" t="str">
        <f t="shared" si="233"/>
        <v/>
      </c>
      <c r="BB42" s="1175" t="e">
        <f t="shared" ref="BB42:BD42" si="288">SUM(AQ42,AU42,AY42)</f>
        <v>#VALUE!</v>
      </c>
      <c r="BC42" s="326">
        <f t="shared" si="288"/>
        <v>0</v>
      </c>
      <c r="BD42" s="333">
        <f t="shared" si="288"/>
        <v>0</v>
      </c>
      <c r="BE42" s="100" t="e">
        <f t="shared" si="43"/>
        <v>#VALUE!</v>
      </c>
      <c r="BF42" s="116" t="e">
        <f t="shared" ref="BF42:BG42" si="289">BC42+AL42</f>
        <v>#VALUE!</v>
      </c>
      <c r="BG42" s="119" t="e">
        <f t="shared" si="289"/>
        <v>#VALUE!</v>
      </c>
      <c r="BH42" s="125" t="str">
        <f t="shared" si="265"/>
        <v/>
      </c>
      <c r="BI42" s="1041" t="e">
        <f t="shared" si="46"/>
        <v>#VALUE!</v>
      </c>
      <c r="BJ42" s="326" t="str">
        <f t="shared" si="236"/>
        <v/>
      </c>
      <c r="BK42" s="1045" t="str">
        <f t="shared" si="237"/>
        <v/>
      </c>
      <c r="BL42" s="125" t="str">
        <f t="shared" si="266"/>
        <v/>
      </c>
      <c r="BM42" s="140" t="e">
        <f t="shared" si="50"/>
        <v>#VALUE!</v>
      </c>
      <c r="BN42" s="123" t="str">
        <f t="shared" si="238"/>
        <v/>
      </c>
      <c r="BO42" s="148" t="str">
        <f t="shared" si="239"/>
        <v/>
      </c>
      <c r="BP42" s="123" t="str">
        <f t="shared" si="267"/>
        <v/>
      </c>
      <c r="BQ42" s="123" t="e">
        <f t="shared" si="54"/>
        <v>#VALUE!</v>
      </c>
      <c r="BR42" s="123" t="str">
        <f t="shared" si="240"/>
        <v/>
      </c>
      <c r="BS42" s="125" t="str">
        <f t="shared" si="241"/>
        <v/>
      </c>
      <c r="BT42" s="140" t="e">
        <f t="shared" ref="BT42:BV42" si="290">SUM(BQ42,BM42,BI42)</f>
        <v>#VALUE!</v>
      </c>
      <c r="BU42" s="123">
        <f t="shared" si="290"/>
        <v>0</v>
      </c>
      <c r="BV42" s="148">
        <f t="shared" si="290"/>
        <v>0</v>
      </c>
      <c r="BW42" s="125" t="str">
        <f t="shared" si="269"/>
        <v/>
      </c>
      <c r="BX42" s="140" t="e">
        <f t="shared" si="59"/>
        <v>#VALUE!</v>
      </c>
      <c r="BY42" s="123" t="str">
        <f t="shared" si="243"/>
        <v/>
      </c>
      <c r="BZ42" s="148" t="str">
        <f t="shared" si="244"/>
        <v/>
      </c>
      <c r="CA42" s="123" t="str">
        <f t="shared" si="270"/>
        <v/>
      </c>
      <c r="CB42" s="326" t="str">
        <f t="shared" si="271"/>
        <v/>
      </c>
      <c r="CP42" s="294"/>
      <c r="CU42" s="294"/>
    </row>
    <row r="43" spans="1:99" ht="13">
      <c r="A43" s="788">
        <f t="shared" si="208"/>
        <v>112012428</v>
      </c>
      <c r="B43" s="636" t="e">
        <f t="shared" si="209"/>
        <v>#N/A</v>
      </c>
      <c r="C43" s="558" t="str">
        <f t="shared" si="210"/>
        <v/>
      </c>
      <c r="D43" s="558" t="str">
        <f t="shared" si="211"/>
        <v/>
      </c>
      <c r="E43" s="559" t="str">
        <f t="shared" si="212"/>
        <v/>
      </c>
      <c r="F43" s="836" t="e">
        <f t="shared" si="213"/>
        <v>#N/A</v>
      </c>
      <c r="G43" s="558" t="str">
        <f t="shared" si="214"/>
        <v/>
      </c>
      <c r="H43" s="558" t="str">
        <f t="shared" si="215"/>
        <v/>
      </c>
      <c r="I43" s="559" t="str">
        <f t="shared" si="216"/>
        <v/>
      </c>
      <c r="J43" s="837">
        <f t="shared" si="217"/>
        <v>71</v>
      </c>
      <c r="K43" s="558" t="str">
        <f t="shared" si="218"/>
        <v>Lista</v>
      </c>
      <c r="L43" s="715">
        <f t="shared" si="219"/>
        <v>0.05</v>
      </c>
      <c r="M43" s="1173" t="s">
        <v>1094</v>
      </c>
      <c r="N43" s="1174" t="str">
        <f t="shared" si="259"/>
        <v/>
      </c>
      <c r="O43" s="332" t="e">
        <f t="shared" si="272"/>
        <v>#VALUE!</v>
      </c>
      <c r="P43" s="173" t="e">
        <f t="shared" si="14"/>
        <v>#VALUE!</v>
      </c>
      <c r="Q43" s="561" t="str">
        <f t="shared" si="220"/>
        <v/>
      </c>
      <c r="R43" s="1112" t="str">
        <f t="shared" si="221"/>
        <v/>
      </c>
      <c r="S43" s="123"/>
      <c r="T43" s="326"/>
      <c r="U43" s="326" t="str">
        <f t="shared" si="133"/>
        <v/>
      </c>
      <c r="V43" s="332" t="e">
        <f t="shared" si="273"/>
        <v>#VALUE!</v>
      </c>
      <c r="W43" s="173" t="e">
        <f t="shared" si="18"/>
        <v>#VALUE!</v>
      </c>
      <c r="X43" s="561" t="str">
        <f t="shared" si="222"/>
        <v/>
      </c>
      <c r="Y43" s="1112" t="str">
        <f t="shared" si="223"/>
        <v/>
      </c>
      <c r="Z43" s="123"/>
      <c r="AA43" s="326"/>
      <c r="AB43" s="326" t="str">
        <f t="shared" si="134"/>
        <v/>
      </c>
      <c r="AC43" s="332" t="e">
        <f t="shared" si="274"/>
        <v>#VALUE!</v>
      </c>
      <c r="AD43" s="173" t="e">
        <f t="shared" si="22"/>
        <v>#VALUE!</v>
      </c>
      <c r="AE43" s="561" t="str">
        <f t="shared" si="224"/>
        <v/>
      </c>
      <c r="AF43" s="1112" t="str">
        <f t="shared" si="225"/>
        <v/>
      </c>
      <c r="AG43" s="123"/>
      <c r="AH43" s="326"/>
      <c r="AI43" s="332" t="e">
        <f t="shared" si="135"/>
        <v>#VALUE!</v>
      </c>
      <c r="AJ43" s="140">
        <f t="shared" si="226"/>
        <v>844094.19</v>
      </c>
      <c r="AK43" s="326" t="e">
        <f t="shared" ref="AK43:AM43" si="291">AD43+W43+P43</f>
        <v>#VALUE!</v>
      </c>
      <c r="AL43" s="326" t="e">
        <f t="shared" si="291"/>
        <v>#VALUE!</v>
      </c>
      <c r="AM43" s="326" t="e">
        <f t="shared" si="291"/>
        <v>#VALUE!</v>
      </c>
      <c r="AN43" s="326" t="e">
        <f t="shared" si="28"/>
        <v>#VALUE!</v>
      </c>
      <c r="AO43" s="98" t="str">
        <f t="shared" si="108"/>
        <v/>
      </c>
      <c r="AP43" s="125" t="str">
        <f t="shared" si="137"/>
        <v/>
      </c>
      <c r="AQ43" s="326" t="e">
        <f t="shared" si="31"/>
        <v>#VALUE!</v>
      </c>
      <c r="AR43" s="326" t="str">
        <f t="shared" si="228"/>
        <v/>
      </c>
      <c r="AS43" s="123" t="str">
        <f t="shared" si="229"/>
        <v/>
      </c>
      <c r="AT43" s="332" t="str">
        <f t="shared" si="261"/>
        <v/>
      </c>
      <c r="AU43" s="140" t="e">
        <f t="shared" si="35"/>
        <v>#VALUE!</v>
      </c>
      <c r="AV43" s="326" t="str">
        <f t="shared" si="230"/>
        <v/>
      </c>
      <c r="AW43" s="333" t="str">
        <f t="shared" si="231"/>
        <v/>
      </c>
      <c r="AX43" s="123" t="str">
        <f t="shared" si="262"/>
        <v/>
      </c>
      <c r="AY43" s="123" t="e">
        <f t="shared" si="39"/>
        <v>#VALUE!</v>
      </c>
      <c r="AZ43" s="123" t="str">
        <f t="shared" si="232"/>
        <v/>
      </c>
      <c r="BA43" s="125" t="str">
        <f t="shared" si="233"/>
        <v/>
      </c>
      <c r="BB43" s="1175" t="e">
        <f t="shared" ref="BB43:BD43" si="292">SUM(AQ43,AU43,AY43)</f>
        <v>#VALUE!</v>
      </c>
      <c r="BC43" s="326">
        <f t="shared" si="292"/>
        <v>0</v>
      </c>
      <c r="BD43" s="333">
        <f t="shared" si="292"/>
        <v>0</v>
      </c>
      <c r="BE43" s="100" t="e">
        <f t="shared" si="43"/>
        <v>#VALUE!</v>
      </c>
      <c r="BF43" s="116" t="e">
        <f t="shared" ref="BF43:BG43" si="293">BC43+AL43</f>
        <v>#VALUE!</v>
      </c>
      <c r="BG43" s="119" t="e">
        <f t="shared" si="293"/>
        <v>#VALUE!</v>
      </c>
      <c r="BH43" s="125" t="str">
        <f t="shared" si="265"/>
        <v/>
      </c>
      <c r="BI43" s="1041" t="e">
        <f t="shared" si="46"/>
        <v>#VALUE!</v>
      </c>
      <c r="BJ43" s="326" t="str">
        <f t="shared" si="236"/>
        <v/>
      </c>
      <c r="BK43" s="1045" t="str">
        <f t="shared" si="237"/>
        <v/>
      </c>
      <c r="BL43" s="125" t="str">
        <f t="shared" si="266"/>
        <v/>
      </c>
      <c r="BM43" s="140" t="e">
        <f t="shared" si="50"/>
        <v>#VALUE!</v>
      </c>
      <c r="BN43" s="123" t="str">
        <f t="shared" si="238"/>
        <v/>
      </c>
      <c r="BO43" s="148" t="str">
        <f t="shared" si="239"/>
        <v/>
      </c>
      <c r="BP43" s="123" t="str">
        <f t="shared" si="267"/>
        <v/>
      </c>
      <c r="BQ43" s="123" t="e">
        <f t="shared" si="54"/>
        <v>#VALUE!</v>
      </c>
      <c r="BR43" s="123" t="str">
        <f t="shared" si="240"/>
        <v/>
      </c>
      <c r="BS43" s="125" t="str">
        <f t="shared" si="241"/>
        <v/>
      </c>
      <c r="BT43" s="140" t="e">
        <f t="shared" ref="BT43:BV43" si="294">SUM(BQ43,BM43,BI43)</f>
        <v>#VALUE!</v>
      </c>
      <c r="BU43" s="123">
        <f t="shared" si="294"/>
        <v>0</v>
      </c>
      <c r="BV43" s="148">
        <f t="shared" si="294"/>
        <v>0</v>
      </c>
      <c r="BW43" s="125" t="str">
        <f t="shared" si="269"/>
        <v/>
      </c>
      <c r="BX43" s="140" t="e">
        <f t="shared" si="59"/>
        <v>#VALUE!</v>
      </c>
      <c r="BY43" s="123" t="str">
        <f t="shared" si="243"/>
        <v/>
      </c>
      <c r="BZ43" s="148" t="str">
        <f t="shared" si="244"/>
        <v/>
      </c>
      <c r="CA43" s="123" t="str">
        <f t="shared" si="270"/>
        <v/>
      </c>
      <c r="CB43" s="326" t="str">
        <f t="shared" si="271"/>
        <v/>
      </c>
      <c r="CP43" s="294"/>
      <c r="CU43" s="294"/>
    </row>
    <row r="44" spans="1:99" ht="13">
      <c r="A44" s="788">
        <f t="shared" si="208"/>
        <v>112012448</v>
      </c>
      <c r="B44" s="636">
        <f t="shared" si="209"/>
        <v>21</v>
      </c>
      <c r="C44" s="558">
        <f t="shared" si="210"/>
        <v>0.1</v>
      </c>
      <c r="D44" s="558">
        <f t="shared" si="211"/>
        <v>0</v>
      </c>
      <c r="E44" s="559">
        <f t="shared" si="212"/>
        <v>0</v>
      </c>
      <c r="F44" s="836">
        <f t="shared" si="213"/>
        <v>1</v>
      </c>
      <c r="G44" s="558" t="str">
        <f t="shared" si="214"/>
        <v>Lista</v>
      </c>
      <c r="H44" s="558">
        <f t="shared" si="215"/>
        <v>0.09</v>
      </c>
      <c r="I44" s="559">
        <f t="shared" si="216"/>
        <v>0</v>
      </c>
      <c r="J44" s="837">
        <f t="shared" si="217"/>
        <v>71</v>
      </c>
      <c r="K44" s="558" t="str">
        <f t="shared" si="218"/>
        <v>Lista</v>
      </c>
      <c r="L44" s="715">
        <f t="shared" si="219"/>
        <v>0.05</v>
      </c>
      <c r="M44" s="1173" t="s">
        <v>1144</v>
      </c>
      <c r="N44" s="1174">
        <f t="shared" si="259"/>
        <v>286123.17</v>
      </c>
      <c r="O44" s="1177">
        <v>1800000</v>
      </c>
      <c r="P44" s="173">
        <f t="shared" si="14"/>
        <v>652649.79</v>
      </c>
      <c r="Q44" s="561">
        <f t="shared" si="220"/>
        <v>0</v>
      </c>
      <c r="R44" s="1112">
        <f t="shared" si="221"/>
        <v>652649.79</v>
      </c>
      <c r="S44" s="1178"/>
      <c r="T44" s="975"/>
      <c r="U44" s="326">
        <f t="shared" si="133"/>
        <v>391476.32</v>
      </c>
      <c r="V44" s="1177">
        <v>1800000</v>
      </c>
      <c r="W44" s="173">
        <f t="shared" si="18"/>
        <v>542828.76</v>
      </c>
      <c r="X44" s="561">
        <f t="shared" si="222"/>
        <v>0</v>
      </c>
      <c r="Y44" s="1112">
        <f t="shared" si="223"/>
        <v>542828.76</v>
      </c>
      <c r="Z44" s="1178"/>
      <c r="AA44" s="975"/>
      <c r="AB44" s="326">
        <f t="shared" si="134"/>
        <v>169058.44</v>
      </c>
      <c r="AC44" s="1177">
        <v>1800000</v>
      </c>
      <c r="AD44" s="173">
        <f t="shared" si="22"/>
        <v>595270.57999999996</v>
      </c>
      <c r="AE44" s="561">
        <f t="shared" si="224"/>
        <v>0</v>
      </c>
      <c r="AF44" s="1112">
        <f t="shared" si="225"/>
        <v>595270.57999999996</v>
      </c>
      <c r="AG44" s="1178"/>
      <c r="AH44" s="975"/>
      <c r="AI44" s="332">
        <f t="shared" si="135"/>
        <v>5400000</v>
      </c>
      <c r="AJ44" s="140">
        <f t="shared" si="226"/>
        <v>1944096.96</v>
      </c>
      <c r="AK44" s="326">
        <f t="shared" ref="AK44:AM44" si="295">AD44+W44+P44</f>
        <v>1790749.13</v>
      </c>
      <c r="AL44" s="326">
        <f t="shared" si="295"/>
        <v>0</v>
      </c>
      <c r="AM44" s="326">
        <f t="shared" si="295"/>
        <v>1790749.13</v>
      </c>
      <c r="AN44" s="326">
        <f t="shared" si="28"/>
        <v>-153347.83000000007</v>
      </c>
      <c r="AO44" s="98">
        <f t="shared" si="108"/>
        <v>0.92112130559578675</v>
      </c>
      <c r="AP44" s="125">
        <f t="shared" si="137"/>
        <v>439025.32</v>
      </c>
      <c r="AQ44" s="326">
        <f t="shared" si="31"/>
        <v>406504.77</v>
      </c>
      <c r="AR44" s="326">
        <f t="shared" si="228"/>
        <v>0</v>
      </c>
      <c r="AS44" s="123">
        <f t="shared" si="229"/>
        <v>406504.77</v>
      </c>
      <c r="AT44" s="332">
        <f t="shared" si="261"/>
        <v>271302.84000000003</v>
      </c>
      <c r="AU44" s="140">
        <f t="shared" si="35"/>
        <v>628981.77</v>
      </c>
      <c r="AV44" s="326">
        <f t="shared" si="230"/>
        <v>17818.099999999999</v>
      </c>
      <c r="AW44" s="333">
        <f t="shared" si="231"/>
        <v>646799.87</v>
      </c>
      <c r="AX44" s="123">
        <f t="shared" si="262"/>
        <v>386296.27</v>
      </c>
      <c r="AY44" s="123">
        <f t="shared" si="39"/>
        <v>346063.81</v>
      </c>
      <c r="AZ44" s="123">
        <f t="shared" si="232"/>
        <v>0</v>
      </c>
      <c r="BA44" s="125">
        <f t="shared" si="233"/>
        <v>346063.81</v>
      </c>
      <c r="BB44" s="1175">
        <f t="shared" ref="BB44:BD44" si="296">SUM(AQ44,AU44,AY44)</f>
        <v>1381550.35</v>
      </c>
      <c r="BC44" s="326">
        <f t="shared" si="296"/>
        <v>17818.099999999999</v>
      </c>
      <c r="BD44" s="333">
        <f t="shared" si="296"/>
        <v>1399368.4500000002</v>
      </c>
      <c r="BE44" s="100">
        <f t="shared" si="43"/>
        <v>3172299.48</v>
      </c>
      <c r="BF44" s="116">
        <f t="shared" ref="BF44:BG44" si="297">BC44+AL44</f>
        <v>17818.099999999999</v>
      </c>
      <c r="BG44" s="119">
        <f t="shared" si="297"/>
        <v>3190117.58</v>
      </c>
      <c r="BH44" s="125">
        <f t="shared" si="265"/>
        <v>363687.85</v>
      </c>
      <c r="BI44" s="1041">
        <f t="shared" si="46"/>
        <v>667876.31999999995</v>
      </c>
      <c r="BJ44" s="326">
        <f t="shared" si="236"/>
        <v>0</v>
      </c>
      <c r="BK44" s="1045">
        <f t="shared" si="237"/>
        <v>667876.31999999995</v>
      </c>
      <c r="BL44" s="125">
        <f t="shared" si="266"/>
        <v>483360.11</v>
      </c>
      <c r="BM44" s="140">
        <f t="shared" si="50"/>
        <v>442996.37</v>
      </c>
      <c r="BN44" s="123">
        <f t="shared" si="238"/>
        <v>0</v>
      </c>
      <c r="BO44" s="148">
        <f t="shared" si="239"/>
        <v>442996.37</v>
      </c>
      <c r="BP44" s="123">
        <f t="shared" si="267"/>
        <v>235050.99</v>
      </c>
      <c r="BQ44" s="123">
        <f t="shared" si="54"/>
        <v>334822.09999999998</v>
      </c>
      <c r="BR44" s="123">
        <f t="shared" si="240"/>
        <v>0</v>
      </c>
      <c r="BS44" s="125">
        <f t="shared" si="241"/>
        <v>334822.09999999998</v>
      </c>
      <c r="BT44" s="140">
        <f t="shared" ref="BT44:BV44" si="298">SUM(BQ44,BM44,BI44)</f>
        <v>1445694.79</v>
      </c>
      <c r="BU44" s="123">
        <f t="shared" si="298"/>
        <v>0</v>
      </c>
      <c r="BV44" s="148">
        <f t="shared" si="298"/>
        <v>1445694.79</v>
      </c>
      <c r="BW44" s="125">
        <f t="shared" si="269"/>
        <v>796634.63</v>
      </c>
      <c r="BX44" s="140">
        <f t="shared" si="59"/>
        <v>834155.1</v>
      </c>
      <c r="BY44" s="123">
        <f t="shared" si="243"/>
        <v>0</v>
      </c>
      <c r="BZ44" s="148">
        <f t="shared" si="244"/>
        <v>834155.1</v>
      </c>
      <c r="CA44" s="123">
        <f t="shared" si="270"/>
        <v>558649.02</v>
      </c>
      <c r="CB44" s="326">
        <f t="shared" si="271"/>
        <v>588813.31000000006</v>
      </c>
      <c r="CP44" s="294"/>
      <c r="CU44" s="294"/>
    </row>
    <row r="45" spans="1:99" ht="13">
      <c r="A45" s="788">
        <f t="shared" si="208"/>
        <v>112012504</v>
      </c>
      <c r="B45" s="636">
        <f t="shared" si="209"/>
        <v>4</v>
      </c>
      <c r="C45" s="558" t="str">
        <f t="shared" si="210"/>
        <v>Lista</v>
      </c>
      <c r="D45" s="558">
        <f t="shared" si="211"/>
        <v>0.2</v>
      </c>
      <c r="E45" s="559">
        <f t="shared" si="212"/>
        <v>0</v>
      </c>
      <c r="F45" s="836">
        <f t="shared" si="213"/>
        <v>4</v>
      </c>
      <c r="G45" s="558" t="str">
        <f t="shared" si="214"/>
        <v>Lista</v>
      </c>
      <c r="H45" s="558">
        <f t="shared" si="215"/>
        <v>0.2</v>
      </c>
      <c r="I45" s="559">
        <f t="shared" si="216"/>
        <v>0</v>
      </c>
      <c r="J45" s="837">
        <f t="shared" si="217"/>
        <v>70</v>
      </c>
      <c r="K45" s="558" t="str">
        <f t="shared" si="218"/>
        <v>Lista</v>
      </c>
      <c r="L45" s="715">
        <f t="shared" si="219"/>
        <v>0.11</v>
      </c>
      <c r="M45" s="1173" t="s">
        <v>1145</v>
      </c>
      <c r="N45" s="1174">
        <f t="shared" si="259"/>
        <v>502717.78</v>
      </c>
      <c r="O45" s="332">
        <f t="shared" ref="O45:O58" si="299">(N45*1.601)*1.05</f>
        <v>845093.72406900011</v>
      </c>
      <c r="P45" s="173">
        <f t="shared" si="14"/>
        <v>300213.06000000006</v>
      </c>
      <c r="Q45" s="561">
        <f t="shared" si="220"/>
        <v>497726.24</v>
      </c>
      <c r="R45" s="1112">
        <f t="shared" si="221"/>
        <v>797939.3</v>
      </c>
      <c r="S45" s="123"/>
      <c r="T45" s="326"/>
      <c r="U45" s="326">
        <f t="shared" si="133"/>
        <v>1588726.01</v>
      </c>
      <c r="V45" s="332">
        <f t="shared" ref="V45:V58" si="300">(U45*1.7245)*1.03</f>
        <v>2821950.7443723502</v>
      </c>
      <c r="W45" s="173">
        <f t="shared" si="18"/>
        <v>536941.39</v>
      </c>
      <c r="X45" s="561">
        <f t="shared" si="222"/>
        <v>598413.36</v>
      </c>
      <c r="Y45" s="1112">
        <f t="shared" si="223"/>
        <v>1135354.75</v>
      </c>
      <c r="Z45" s="123"/>
      <c r="AA45" s="326"/>
      <c r="AB45" s="326">
        <f t="shared" si="134"/>
        <v>609403.56000000006</v>
      </c>
      <c r="AC45" s="332">
        <f t="shared" ref="AC45:AC58" si="301">(AB45*1.5955)*1.03</f>
        <v>1001472.4813794001</v>
      </c>
      <c r="AD45" s="173">
        <f t="shared" si="22"/>
        <v>281260.95999999996</v>
      </c>
      <c r="AE45" s="561">
        <f t="shared" si="224"/>
        <v>609052.48</v>
      </c>
      <c r="AF45" s="1112">
        <f t="shared" si="225"/>
        <v>890313.44</v>
      </c>
      <c r="AG45" s="123"/>
      <c r="AH45" s="326"/>
      <c r="AI45" s="332">
        <f t="shared" si="135"/>
        <v>4668516.9498207504</v>
      </c>
      <c r="AJ45" s="140">
        <f t="shared" si="226"/>
        <v>3391808.31</v>
      </c>
      <c r="AK45" s="326">
        <f t="shared" ref="AK45:AM45" si="302">AD45+W45+P45</f>
        <v>1118415.4100000001</v>
      </c>
      <c r="AL45" s="326">
        <f t="shared" si="302"/>
        <v>1705192.0799999998</v>
      </c>
      <c r="AM45" s="326">
        <f t="shared" si="302"/>
        <v>2823607.49</v>
      </c>
      <c r="AN45" s="326">
        <f t="shared" si="28"/>
        <v>-568200.81999999983</v>
      </c>
      <c r="AO45" s="98">
        <f t="shared" si="108"/>
        <v>0.83247849876280311</v>
      </c>
      <c r="AP45" s="125">
        <f t="shared" si="137"/>
        <v>293679.49</v>
      </c>
      <c r="AQ45" s="326">
        <f t="shared" si="31"/>
        <v>282087.44</v>
      </c>
      <c r="AR45" s="326">
        <f t="shared" si="228"/>
        <v>381107.18</v>
      </c>
      <c r="AS45" s="123">
        <f t="shared" si="229"/>
        <v>663194.62</v>
      </c>
      <c r="AT45" s="332">
        <f t="shared" si="261"/>
        <v>859114.06</v>
      </c>
      <c r="AU45" s="140">
        <f t="shared" si="35"/>
        <v>108167.19000000006</v>
      </c>
      <c r="AV45" s="326">
        <f t="shared" si="230"/>
        <v>530730.07999999996</v>
      </c>
      <c r="AW45" s="333">
        <f t="shared" si="231"/>
        <v>638897.27</v>
      </c>
      <c r="AX45" s="123">
        <f t="shared" si="262"/>
        <v>556209.96</v>
      </c>
      <c r="AY45" s="123">
        <f t="shared" si="39"/>
        <v>176480.53999999992</v>
      </c>
      <c r="AZ45" s="123">
        <f t="shared" si="232"/>
        <v>608955.68000000005</v>
      </c>
      <c r="BA45" s="125">
        <f t="shared" si="233"/>
        <v>785436.22</v>
      </c>
      <c r="BB45" s="1175">
        <f t="shared" ref="BB45:BD45" si="303">SUM(AQ45,AU45,AY45)</f>
        <v>566735.16999999993</v>
      </c>
      <c r="BC45" s="326">
        <f t="shared" si="303"/>
        <v>1520792.94</v>
      </c>
      <c r="BD45" s="333">
        <f t="shared" si="303"/>
        <v>2087528.11</v>
      </c>
      <c r="BE45" s="100">
        <f t="shared" si="43"/>
        <v>1685150.58</v>
      </c>
      <c r="BF45" s="116">
        <f t="shared" ref="BF45:BG45" si="304">BC45+AL45</f>
        <v>3225985.0199999996</v>
      </c>
      <c r="BG45" s="119">
        <f t="shared" si="304"/>
        <v>4911135.6000000006</v>
      </c>
      <c r="BH45" s="125">
        <f t="shared" si="265"/>
        <v>616884.75</v>
      </c>
      <c r="BI45" s="1041">
        <f t="shared" si="46"/>
        <v>280362.49999999988</v>
      </c>
      <c r="BJ45" s="326">
        <f t="shared" si="236"/>
        <v>770282.67</v>
      </c>
      <c r="BK45" s="1045">
        <f t="shared" si="237"/>
        <v>1050645.17</v>
      </c>
      <c r="BL45" s="125">
        <f t="shared" si="266"/>
        <v>989650.12</v>
      </c>
      <c r="BM45" s="140">
        <f t="shared" si="50"/>
        <v>501365.37</v>
      </c>
      <c r="BN45" s="123">
        <f t="shared" si="238"/>
        <v>637872.07999999996</v>
      </c>
      <c r="BO45" s="148">
        <f t="shared" si="239"/>
        <v>1139237.45</v>
      </c>
      <c r="BP45" s="123">
        <f t="shared" si="267"/>
        <v>808912.23</v>
      </c>
      <c r="BQ45" s="123">
        <f t="shared" si="54"/>
        <v>519081.19</v>
      </c>
      <c r="BR45" s="123">
        <f t="shared" si="240"/>
        <v>443569.04</v>
      </c>
      <c r="BS45" s="125">
        <f t="shared" si="241"/>
        <v>962650.23</v>
      </c>
      <c r="BT45" s="140">
        <f t="shared" ref="BT45:BV45" si="305">SUM(BQ45,BM45,BI45)</f>
        <v>1300809.06</v>
      </c>
      <c r="BU45" s="123">
        <f t="shared" si="305"/>
        <v>1851723.79</v>
      </c>
      <c r="BV45" s="148">
        <f t="shared" si="305"/>
        <v>3152532.8499999996</v>
      </c>
      <c r="BW45" s="125">
        <f t="shared" si="269"/>
        <v>1041812.02</v>
      </c>
      <c r="BX45" s="140">
        <f t="shared" si="59"/>
        <v>456301.92999999993</v>
      </c>
      <c r="BY45" s="123">
        <f t="shared" si="243"/>
        <v>377223.39</v>
      </c>
      <c r="BZ45" s="148">
        <f t="shared" si="244"/>
        <v>833525.32</v>
      </c>
      <c r="CA45" s="123">
        <f t="shared" si="270"/>
        <v>636836.67000000004</v>
      </c>
      <c r="CB45" s="326">
        <f t="shared" si="271"/>
        <v>1713159.62</v>
      </c>
      <c r="CP45" s="294"/>
      <c r="CU45" s="294"/>
    </row>
    <row r="46" spans="1:99" ht="13">
      <c r="A46" s="788">
        <f t="shared" si="208"/>
        <v>112014783</v>
      </c>
      <c r="B46" s="636" t="e">
        <f t="shared" si="209"/>
        <v>#N/A</v>
      </c>
      <c r="C46" s="558" t="str">
        <f t="shared" si="210"/>
        <v/>
      </c>
      <c r="D46" s="558" t="str">
        <f t="shared" si="211"/>
        <v/>
      </c>
      <c r="E46" s="559" t="str">
        <f t="shared" si="212"/>
        <v/>
      </c>
      <c r="F46" s="836" t="e">
        <f t="shared" si="213"/>
        <v>#N/A</v>
      </c>
      <c r="G46" s="558" t="str">
        <f t="shared" si="214"/>
        <v/>
      </c>
      <c r="H46" s="558" t="str">
        <f t="shared" si="215"/>
        <v/>
      </c>
      <c r="I46" s="559" t="str">
        <f t="shared" si="216"/>
        <v/>
      </c>
      <c r="J46" s="837">
        <f t="shared" si="217"/>
        <v>69</v>
      </c>
      <c r="K46" s="558" t="str">
        <f t="shared" si="218"/>
        <v>Lista</v>
      </c>
      <c r="L46" s="715">
        <f t="shared" si="219"/>
        <v>0.14000000000000001</v>
      </c>
      <c r="M46" s="1173" t="s">
        <v>1146</v>
      </c>
      <c r="N46" s="1174" t="str">
        <f t="shared" si="259"/>
        <v/>
      </c>
      <c r="O46" s="332" t="e">
        <f t="shared" si="299"/>
        <v>#VALUE!</v>
      </c>
      <c r="P46" s="173" t="e">
        <f t="shared" si="14"/>
        <v>#VALUE!</v>
      </c>
      <c r="Q46" s="561" t="str">
        <f t="shared" si="220"/>
        <v/>
      </c>
      <c r="R46" s="1112" t="str">
        <f t="shared" si="221"/>
        <v/>
      </c>
      <c r="S46" s="123"/>
      <c r="T46" s="326"/>
      <c r="U46" s="326" t="str">
        <f t="shared" si="133"/>
        <v/>
      </c>
      <c r="V46" s="332" t="e">
        <f t="shared" si="300"/>
        <v>#VALUE!</v>
      </c>
      <c r="W46" s="173" t="e">
        <f t="shared" si="18"/>
        <v>#VALUE!</v>
      </c>
      <c r="X46" s="561" t="str">
        <f t="shared" si="222"/>
        <v/>
      </c>
      <c r="Y46" s="1112" t="str">
        <f t="shared" si="223"/>
        <v/>
      </c>
      <c r="Z46" s="123"/>
      <c r="AA46" s="326"/>
      <c r="AB46" s="326" t="str">
        <f t="shared" si="134"/>
        <v/>
      </c>
      <c r="AC46" s="332" t="e">
        <f t="shared" si="301"/>
        <v>#VALUE!</v>
      </c>
      <c r="AD46" s="173" t="e">
        <f t="shared" si="22"/>
        <v>#VALUE!</v>
      </c>
      <c r="AE46" s="561" t="str">
        <f t="shared" si="224"/>
        <v/>
      </c>
      <c r="AF46" s="1112" t="str">
        <f t="shared" si="225"/>
        <v/>
      </c>
      <c r="AG46" s="123"/>
      <c r="AH46" s="326"/>
      <c r="AI46" s="332" t="e">
        <f t="shared" si="135"/>
        <v>#VALUE!</v>
      </c>
      <c r="AJ46" s="140" t="str">
        <f t="shared" si="226"/>
        <v>0</v>
      </c>
      <c r="AK46" s="326" t="e">
        <f t="shared" ref="AK46:AM46" si="306">AD46+W46+P46</f>
        <v>#VALUE!</v>
      </c>
      <c r="AL46" s="326" t="e">
        <f t="shared" si="306"/>
        <v>#VALUE!</v>
      </c>
      <c r="AM46" s="326" t="e">
        <f t="shared" si="306"/>
        <v>#VALUE!</v>
      </c>
      <c r="AN46" s="326" t="e">
        <f t="shared" si="28"/>
        <v>#VALUE!</v>
      </c>
      <c r="AO46" s="98" t="str">
        <f t="shared" si="108"/>
        <v/>
      </c>
      <c r="AP46" s="125" t="str">
        <f t="shared" si="137"/>
        <v/>
      </c>
      <c r="AQ46" s="326" t="e">
        <f t="shared" si="31"/>
        <v>#VALUE!</v>
      </c>
      <c r="AR46" s="326" t="str">
        <f t="shared" si="228"/>
        <v/>
      </c>
      <c r="AS46" s="123" t="str">
        <f t="shared" si="229"/>
        <v/>
      </c>
      <c r="AT46" s="332" t="str">
        <f t="shared" si="261"/>
        <v/>
      </c>
      <c r="AU46" s="140" t="e">
        <f t="shared" si="35"/>
        <v>#VALUE!</v>
      </c>
      <c r="AV46" s="326" t="str">
        <f t="shared" si="230"/>
        <v/>
      </c>
      <c r="AW46" s="333" t="str">
        <f t="shared" si="231"/>
        <v/>
      </c>
      <c r="AX46" s="123" t="str">
        <f t="shared" si="262"/>
        <v/>
      </c>
      <c r="AY46" s="123" t="e">
        <f t="shared" si="39"/>
        <v>#VALUE!</v>
      </c>
      <c r="AZ46" s="123" t="str">
        <f t="shared" si="232"/>
        <v/>
      </c>
      <c r="BA46" s="125" t="str">
        <f t="shared" si="233"/>
        <v/>
      </c>
      <c r="BB46" s="1175" t="e">
        <f t="shared" ref="BB46:BD46" si="307">SUM(AQ46,AU46,AY46)</f>
        <v>#VALUE!</v>
      </c>
      <c r="BC46" s="326">
        <f t="shared" si="307"/>
        <v>0</v>
      </c>
      <c r="BD46" s="333">
        <f t="shared" si="307"/>
        <v>0</v>
      </c>
      <c r="BE46" s="100" t="e">
        <f t="shared" si="43"/>
        <v>#VALUE!</v>
      </c>
      <c r="BF46" s="116" t="e">
        <f t="shared" ref="BF46:BG46" si="308">BC46+AL46</f>
        <v>#VALUE!</v>
      </c>
      <c r="BG46" s="119" t="e">
        <f t="shared" si="308"/>
        <v>#VALUE!</v>
      </c>
      <c r="BH46" s="125" t="str">
        <f t="shared" si="265"/>
        <v/>
      </c>
      <c r="BI46" s="1041" t="e">
        <f t="shared" si="46"/>
        <v>#VALUE!</v>
      </c>
      <c r="BJ46" s="326" t="str">
        <f t="shared" si="236"/>
        <v/>
      </c>
      <c r="BK46" s="1045" t="str">
        <f t="shared" si="237"/>
        <v/>
      </c>
      <c r="BL46" s="125" t="str">
        <f t="shared" si="266"/>
        <v/>
      </c>
      <c r="BM46" s="140" t="e">
        <f t="shared" si="50"/>
        <v>#VALUE!</v>
      </c>
      <c r="BN46" s="123" t="str">
        <f t="shared" si="238"/>
        <v/>
      </c>
      <c r="BO46" s="148" t="str">
        <f t="shared" si="239"/>
        <v/>
      </c>
      <c r="BP46" s="123" t="str">
        <f t="shared" si="267"/>
        <v/>
      </c>
      <c r="BQ46" s="123" t="e">
        <f t="shared" si="54"/>
        <v>#VALUE!</v>
      </c>
      <c r="BR46" s="123" t="str">
        <f t="shared" si="240"/>
        <v/>
      </c>
      <c r="BS46" s="125" t="str">
        <f t="shared" si="241"/>
        <v/>
      </c>
      <c r="BT46" s="140" t="e">
        <f t="shared" ref="BT46:BV46" si="309">SUM(BQ46,BM46,BI46)</f>
        <v>#VALUE!</v>
      </c>
      <c r="BU46" s="123">
        <f t="shared" si="309"/>
        <v>0</v>
      </c>
      <c r="BV46" s="148">
        <f t="shared" si="309"/>
        <v>0</v>
      </c>
      <c r="BW46" s="125" t="str">
        <f t="shared" si="269"/>
        <v/>
      </c>
      <c r="BX46" s="140" t="e">
        <f t="shared" si="59"/>
        <v>#VALUE!</v>
      </c>
      <c r="BY46" s="123" t="str">
        <f t="shared" si="243"/>
        <v/>
      </c>
      <c r="BZ46" s="148" t="str">
        <f t="shared" si="244"/>
        <v/>
      </c>
      <c r="CA46" s="123" t="str">
        <f t="shared" si="270"/>
        <v/>
      </c>
      <c r="CB46" s="326" t="str">
        <f t="shared" si="271"/>
        <v/>
      </c>
      <c r="CP46" s="294"/>
      <c r="CU46" s="294"/>
    </row>
    <row r="47" spans="1:99" ht="13">
      <c r="A47" s="788">
        <f t="shared" si="208"/>
        <v>112013702</v>
      </c>
      <c r="B47" s="636">
        <f t="shared" si="209"/>
        <v>4</v>
      </c>
      <c r="C47" s="558" t="str">
        <f t="shared" si="210"/>
        <v>Lista</v>
      </c>
      <c r="D47" s="558">
        <f t="shared" si="211"/>
        <v>0.2</v>
      </c>
      <c r="E47" s="559">
        <f t="shared" si="212"/>
        <v>0</v>
      </c>
      <c r="F47" s="836">
        <f t="shared" si="213"/>
        <v>4</v>
      </c>
      <c r="G47" s="558" t="str">
        <f t="shared" si="214"/>
        <v>Lista</v>
      </c>
      <c r="H47" s="558">
        <f t="shared" si="215"/>
        <v>0.2</v>
      </c>
      <c r="I47" s="559">
        <f t="shared" si="216"/>
        <v>0</v>
      </c>
      <c r="J47" s="837">
        <f t="shared" si="217"/>
        <v>70</v>
      </c>
      <c r="K47" s="558" t="str">
        <f t="shared" si="218"/>
        <v>Lista</v>
      </c>
      <c r="L47" s="715">
        <f t="shared" si="219"/>
        <v>0.11</v>
      </c>
      <c r="M47" s="1173" t="s">
        <v>1147</v>
      </c>
      <c r="N47" s="1174">
        <f t="shared" si="259"/>
        <v>1286572.8</v>
      </c>
      <c r="O47" s="332">
        <f t="shared" si="299"/>
        <v>2162793.2054400002</v>
      </c>
      <c r="P47" s="173">
        <f t="shared" si="14"/>
        <v>0</v>
      </c>
      <c r="Q47" s="561">
        <f t="shared" si="220"/>
        <v>329875.20000000001</v>
      </c>
      <c r="R47" s="1112">
        <f t="shared" si="221"/>
        <v>329875.20000000001</v>
      </c>
      <c r="S47" s="123"/>
      <c r="T47" s="326"/>
      <c r="U47" s="326">
        <f t="shared" si="133"/>
        <v>1201326</v>
      </c>
      <c r="V47" s="332">
        <f t="shared" si="300"/>
        <v>2133837.28761</v>
      </c>
      <c r="W47" s="173">
        <f t="shared" si="18"/>
        <v>40958.64000000013</v>
      </c>
      <c r="X47" s="561">
        <f t="shared" si="222"/>
        <v>2168440.2599999998</v>
      </c>
      <c r="Y47" s="1112">
        <f t="shared" si="223"/>
        <v>2209398.9</v>
      </c>
      <c r="Z47" s="123"/>
      <c r="AA47" s="326"/>
      <c r="AB47" s="326">
        <f t="shared" si="134"/>
        <v>2686087.6</v>
      </c>
      <c r="AC47" s="332">
        <f t="shared" si="301"/>
        <v>4414222.3487740001</v>
      </c>
      <c r="AD47" s="173">
        <f t="shared" si="22"/>
        <v>0</v>
      </c>
      <c r="AE47" s="561">
        <f t="shared" si="224"/>
        <v>2425832.81</v>
      </c>
      <c r="AF47" s="1112">
        <f t="shared" si="225"/>
        <v>2425832.81</v>
      </c>
      <c r="AG47" s="123"/>
      <c r="AH47" s="326"/>
      <c r="AI47" s="332">
        <f t="shared" si="135"/>
        <v>8710852.8418239988</v>
      </c>
      <c r="AJ47" s="140">
        <f t="shared" si="226"/>
        <v>7242686.3799999999</v>
      </c>
      <c r="AK47" s="326">
        <f t="shared" ref="AK47:AM47" si="310">AD47+W47+P47</f>
        <v>40958.64000000013</v>
      </c>
      <c r="AL47" s="326">
        <f t="shared" si="310"/>
        <v>4924148.2700000005</v>
      </c>
      <c r="AM47" s="326">
        <f t="shared" si="310"/>
        <v>4965106.91</v>
      </c>
      <c r="AN47" s="326">
        <f t="shared" si="28"/>
        <v>-2277579.4699999997</v>
      </c>
      <c r="AO47" s="98">
        <f t="shared" si="108"/>
        <v>0.68553388197377674</v>
      </c>
      <c r="AP47" s="125">
        <f t="shared" si="137"/>
        <v>852864</v>
      </c>
      <c r="AQ47" s="326">
        <f t="shared" si="31"/>
        <v>0</v>
      </c>
      <c r="AR47" s="326">
        <f t="shared" si="228"/>
        <v>1625289.2</v>
      </c>
      <c r="AS47" s="123">
        <f t="shared" si="229"/>
        <v>1625289.2</v>
      </c>
      <c r="AT47" s="332">
        <f t="shared" si="261"/>
        <v>1671901.82</v>
      </c>
      <c r="AU47" s="140">
        <f t="shared" si="35"/>
        <v>0</v>
      </c>
      <c r="AV47" s="326">
        <f t="shared" si="230"/>
        <v>1989331.6</v>
      </c>
      <c r="AW47" s="333">
        <f t="shared" si="231"/>
        <v>1989331.6</v>
      </c>
      <c r="AX47" s="123">
        <f t="shared" si="262"/>
        <v>595736</v>
      </c>
      <c r="AY47" s="123">
        <f t="shared" si="39"/>
        <v>0</v>
      </c>
      <c r="AZ47" s="123">
        <f t="shared" si="232"/>
        <v>1267764.3999999999</v>
      </c>
      <c r="BA47" s="125">
        <f t="shared" si="233"/>
        <v>1267764.3999999999</v>
      </c>
      <c r="BB47" s="1175">
        <f t="shared" ref="BB47:BD47" si="311">SUM(AQ47,AU47,AY47)</f>
        <v>0</v>
      </c>
      <c r="BC47" s="326">
        <f t="shared" si="311"/>
        <v>4882385.1999999993</v>
      </c>
      <c r="BD47" s="333">
        <f t="shared" si="311"/>
        <v>4882385.1999999993</v>
      </c>
      <c r="BE47" s="100">
        <f t="shared" si="43"/>
        <v>40958.64000000013</v>
      </c>
      <c r="BF47" s="116">
        <f t="shared" ref="BF47:BG47" si="312">BC47+AL47</f>
        <v>9806533.4699999988</v>
      </c>
      <c r="BG47" s="119">
        <f t="shared" si="312"/>
        <v>9847492.1099999994</v>
      </c>
      <c r="BH47" s="125">
        <f t="shared" si="265"/>
        <v>1604816.8</v>
      </c>
      <c r="BI47" s="1041">
        <f t="shared" si="46"/>
        <v>0</v>
      </c>
      <c r="BJ47" s="326">
        <f t="shared" si="236"/>
        <v>2054460.32</v>
      </c>
      <c r="BK47" s="1045">
        <f t="shared" si="237"/>
        <v>2054460.32</v>
      </c>
      <c r="BL47" s="125">
        <f t="shared" si="266"/>
        <v>1861452.8</v>
      </c>
      <c r="BM47" s="140">
        <f t="shared" si="50"/>
        <v>714998.87999999989</v>
      </c>
      <c r="BN47" s="123">
        <f t="shared" si="238"/>
        <v>1922088.4</v>
      </c>
      <c r="BO47" s="148">
        <f t="shared" si="239"/>
        <v>2637087.2799999998</v>
      </c>
      <c r="BP47" s="123">
        <f t="shared" si="267"/>
        <v>1293222</v>
      </c>
      <c r="BQ47" s="123">
        <f t="shared" si="54"/>
        <v>277685.52</v>
      </c>
      <c r="BR47" s="123">
        <f t="shared" si="240"/>
        <v>2014532.56</v>
      </c>
      <c r="BS47" s="125">
        <f t="shared" si="241"/>
        <v>2292218.08</v>
      </c>
      <c r="BT47" s="140">
        <f t="shared" ref="BT47:BV47" si="313">SUM(BQ47,BM47,BI47)</f>
        <v>992684.39999999991</v>
      </c>
      <c r="BU47" s="123">
        <f t="shared" si="313"/>
        <v>5991081.2800000003</v>
      </c>
      <c r="BV47" s="148">
        <f t="shared" si="313"/>
        <v>6983765.6799999997</v>
      </c>
      <c r="BW47" s="125">
        <f t="shared" si="269"/>
        <v>2172445.6800000002</v>
      </c>
      <c r="BX47" s="140">
        <f t="shared" si="59"/>
        <v>0</v>
      </c>
      <c r="BY47" s="123">
        <f t="shared" si="243"/>
        <v>3098101.03</v>
      </c>
      <c r="BZ47" s="148">
        <f t="shared" si="244"/>
        <v>3098101.03</v>
      </c>
      <c r="CA47" s="123">
        <f t="shared" si="270"/>
        <v>2004876.86</v>
      </c>
      <c r="CB47" s="326">
        <f t="shared" si="271"/>
        <v>3065363.84</v>
      </c>
      <c r="CP47" s="294"/>
      <c r="CU47" s="294"/>
    </row>
    <row r="48" spans="1:99" ht="13">
      <c r="A48" s="788">
        <f t="shared" si="208"/>
        <v>112014197</v>
      </c>
      <c r="B48" s="636">
        <f t="shared" si="209"/>
        <v>4</v>
      </c>
      <c r="C48" s="558" t="str">
        <f t="shared" si="210"/>
        <v>Lista</v>
      </c>
      <c r="D48" s="558">
        <f t="shared" si="211"/>
        <v>0.2</v>
      </c>
      <c r="E48" s="559">
        <f t="shared" si="212"/>
        <v>0</v>
      </c>
      <c r="F48" s="836">
        <f t="shared" si="213"/>
        <v>4</v>
      </c>
      <c r="G48" s="558" t="str">
        <f t="shared" si="214"/>
        <v>Lista</v>
      </c>
      <c r="H48" s="558">
        <f t="shared" si="215"/>
        <v>0.2</v>
      </c>
      <c r="I48" s="559">
        <f t="shared" si="216"/>
        <v>0</v>
      </c>
      <c r="J48" s="837">
        <f t="shared" si="217"/>
        <v>70</v>
      </c>
      <c r="K48" s="558" t="str">
        <f t="shared" si="218"/>
        <v>Lista</v>
      </c>
      <c r="L48" s="715">
        <f t="shared" si="219"/>
        <v>0.11</v>
      </c>
      <c r="M48" s="1173" t="s">
        <v>1148</v>
      </c>
      <c r="N48" s="1174">
        <f t="shared" si="259"/>
        <v>1501128.54</v>
      </c>
      <c r="O48" s="332">
        <f t="shared" si="299"/>
        <v>2523472.1321669999</v>
      </c>
      <c r="P48" s="173">
        <f t="shared" si="14"/>
        <v>48443.839999999851</v>
      </c>
      <c r="Q48" s="561">
        <f t="shared" si="220"/>
        <v>2530563.96</v>
      </c>
      <c r="R48" s="1112">
        <f t="shared" si="221"/>
        <v>2579007.7999999998</v>
      </c>
      <c r="S48" s="123"/>
      <c r="T48" s="326"/>
      <c r="U48" s="326">
        <f t="shared" si="133"/>
        <v>2430667.42</v>
      </c>
      <c r="V48" s="332">
        <f t="shared" si="300"/>
        <v>4317436.5447637001</v>
      </c>
      <c r="W48" s="173">
        <f t="shared" si="18"/>
        <v>18700.410000000149</v>
      </c>
      <c r="X48" s="561">
        <f t="shared" si="222"/>
        <v>2856900.02</v>
      </c>
      <c r="Y48" s="1112">
        <f t="shared" si="223"/>
        <v>2875600.43</v>
      </c>
      <c r="Z48" s="123"/>
      <c r="AA48" s="326"/>
      <c r="AB48" s="326">
        <f t="shared" si="134"/>
        <v>938135.39</v>
      </c>
      <c r="AC48" s="332">
        <f t="shared" si="301"/>
        <v>1541698.8651873502</v>
      </c>
      <c r="AD48" s="173">
        <f t="shared" si="22"/>
        <v>0</v>
      </c>
      <c r="AE48" s="561">
        <f t="shared" si="224"/>
        <v>2903686.99</v>
      </c>
      <c r="AF48" s="1112">
        <f t="shared" si="225"/>
        <v>2903686.99</v>
      </c>
      <c r="AG48" s="123"/>
      <c r="AH48" s="326"/>
      <c r="AI48" s="332">
        <f t="shared" si="135"/>
        <v>8382607.5421180502</v>
      </c>
      <c r="AJ48" s="140">
        <f t="shared" si="226"/>
        <v>6461472.3700000001</v>
      </c>
      <c r="AK48" s="326">
        <f t="shared" ref="AK48:AM48" si="314">AD48+W48+P48</f>
        <v>67144.25</v>
      </c>
      <c r="AL48" s="326">
        <f t="shared" si="314"/>
        <v>8291150.9699999997</v>
      </c>
      <c r="AM48" s="326">
        <f t="shared" si="314"/>
        <v>8358295.2199999997</v>
      </c>
      <c r="AN48" s="326">
        <f t="shared" si="28"/>
        <v>1896822.8499999996</v>
      </c>
      <c r="AO48" s="98">
        <f t="shared" si="108"/>
        <v>1.2935589199153381</v>
      </c>
      <c r="AP48" s="125">
        <f t="shared" si="137"/>
        <v>1204110.24</v>
      </c>
      <c r="AQ48" s="326">
        <f t="shared" si="31"/>
        <v>0</v>
      </c>
      <c r="AR48" s="326">
        <f t="shared" si="228"/>
        <v>2537629.62</v>
      </c>
      <c r="AS48" s="123">
        <f t="shared" si="229"/>
        <v>2537629.62</v>
      </c>
      <c r="AT48" s="332">
        <f t="shared" si="261"/>
        <v>1712047.06</v>
      </c>
      <c r="AU48" s="140">
        <f t="shared" si="35"/>
        <v>0</v>
      </c>
      <c r="AV48" s="326">
        <f t="shared" si="230"/>
        <v>2393519.44</v>
      </c>
      <c r="AW48" s="333">
        <f t="shared" si="231"/>
        <v>2393519.44</v>
      </c>
      <c r="AX48" s="123">
        <f t="shared" si="262"/>
        <v>1204564.6399999999</v>
      </c>
      <c r="AY48" s="123">
        <f t="shared" si="39"/>
        <v>0</v>
      </c>
      <c r="AZ48" s="123">
        <f t="shared" si="232"/>
        <v>2067035.31</v>
      </c>
      <c r="BA48" s="125">
        <f t="shared" si="233"/>
        <v>2067035.31</v>
      </c>
      <c r="BB48" s="1175">
        <f t="shared" ref="BB48:BD48" si="315">SUM(AQ48,AU48,AY48)</f>
        <v>0</v>
      </c>
      <c r="BC48" s="326">
        <f t="shared" si="315"/>
        <v>6998184.370000001</v>
      </c>
      <c r="BD48" s="333">
        <f t="shared" si="315"/>
        <v>6998184.370000001</v>
      </c>
      <c r="BE48" s="100">
        <f t="shared" si="43"/>
        <v>67144.25</v>
      </c>
      <c r="BF48" s="116">
        <f t="shared" ref="BF48:BG48" si="316">BC48+AL48</f>
        <v>15289335.34</v>
      </c>
      <c r="BG48" s="119">
        <f t="shared" si="316"/>
        <v>15356479.59</v>
      </c>
      <c r="BH48" s="125">
        <f t="shared" si="265"/>
        <v>1626179.72</v>
      </c>
      <c r="BI48" s="1041">
        <f t="shared" si="46"/>
        <v>0</v>
      </c>
      <c r="BJ48" s="326">
        <f t="shared" si="236"/>
        <v>2442045.3199999998</v>
      </c>
      <c r="BK48" s="1045">
        <f t="shared" si="237"/>
        <v>2442045.3199999998</v>
      </c>
      <c r="BL48" s="125">
        <f t="shared" si="266"/>
        <v>1757953.39</v>
      </c>
      <c r="BM48" s="140">
        <f t="shared" si="50"/>
        <v>0</v>
      </c>
      <c r="BN48" s="123">
        <f t="shared" si="238"/>
        <v>1784856.51</v>
      </c>
      <c r="BO48" s="148">
        <f t="shared" si="239"/>
        <v>1784856.51</v>
      </c>
      <c r="BP48" s="123">
        <f t="shared" si="267"/>
        <v>2513392.7999999998</v>
      </c>
      <c r="BQ48" s="123">
        <f t="shared" si="54"/>
        <v>452125.54999999981</v>
      </c>
      <c r="BR48" s="123">
        <f t="shared" si="240"/>
        <v>1810606.6</v>
      </c>
      <c r="BS48" s="125">
        <f t="shared" si="241"/>
        <v>2262732.15</v>
      </c>
      <c r="BT48" s="140">
        <f t="shared" ref="BT48:BV48" si="317">SUM(BQ48,BM48,BI48)</f>
        <v>452125.54999999981</v>
      </c>
      <c r="BU48" s="123">
        <f t="shared" si="317"/>
        <v>6037508.4299999997</v>
      </c>
      <c r="BV48" s="148">
        <f t="shared" si="317"/>
        <v>6489633.9800000004</v>
      </c>
      <c r="BW48" s="125">
        <f t="shared" si="269"/>
        <v>1870765.61</v>
      </c>
      <c r="BX48" s="140">
        <f t="shared" si="59"/>
        <v>136776.82000000007</v>
      </c>
      <c r="BY48" s="123">
        <f t="shared" si="243"/>
        <v>1111508.72</v>
      </c>
      <c r="BZ48" s="148">
        <f t="shared" si="244"/>
        <v>1248285.54</v>
      </c>
      <c r="CA48" s="123">
        <f t="shared" si="270"/>
        <v>1942829.37</v>
      </c>
      <c r="CB48" s="326">
        <f t="shared" si="271"/>
        <v>2647877.39</v>
      </c>
      <c r="CP48" s="294"/>
      <c r="CU48" s="294"/>
    </row>
    <row r="49" spans="1:115" ht="13">
      <c r="A49" s="788">
        <f t="shared" si="208"/>
        <v>112014214</v>
      </c>
      <c r="B49" s="636">
        <f t="shared" si="209"/>
        <v>4</v>
      </c>
      <c r="C49" s="558" t="str">
        <f t="shared" si="210"/>
        <v>Lista</v>
      </c>
      <c r="D49" s="558">
        <f t="shared" si="211"/>
        <v>0.2</v>
      </c>
      <c r="E49" s="559">
        <f t="shared" si="212"/>
        <v>0</v>
      </c>
      <c r="F49" s="836">
        <f t="shared" si="213"/>
        <v>4</v>
      </c>
      <c r="G49" s="558" t="str">
        <f t="shared" si="214"/>
        <v>Lista</v>
      </c>
      <c r="H49" s="558">
        <f t="shared" si="215"/>
        <v>0.2</v>
      </c>
      <c r="I49" s="559">
        <f t="shared" si="216"/>
        <v>0</v>
      </c>
      <c r="J49" s="837">
        <f t="shared" si="217"/>
        <v>70</v>
      </c>
      <c r="K49" s="558" t="str">
        <f t="shared" si="218"/>
        <v>Lista</v>
      </c>
      <c r="L49" s="715">
        <f t="shared" si="219"/>
        <v>0.11</v>
      </c>
      <c r="M49" s="1173" t="s">
        <v>1149</v>
      </c>
      <c r="N49" s="1174">
        <f t="shared" si="259"/>
        <v>0</v>
      </c>
      <c r="O49" s="332">
        <f t="shared" si="299"/>
        <v>0</v>
      </c>
      <c r="P49" s="173">
        <f t="shared" si="14"/>
        <v>0</v>
      </c>
      <c r="Q49" s="561">
        <f t="shared" si="220"/>
        <v>0</v>
      </c>
      <c r="R49" s="1112">
        <f t="shared" si="221"/>
        <v>0</v>
      </c>
      <c r="S49" s="123"/>
      <c r="T49" s="326"/>
      <c r="U49" s="326">
        <f t="shared" si="133"/>
        <v>0</v>
      </c>
      <c r="V49" s="332">
        <f t="shared" si="300"/>
        <v>0</v>
      </c>
      <c r="W49" s="173">
        <f t="shared" si="18"/>
        <v>0</v>
      </c>
      <c r="X49" s="561">
        <f t="shared" si="222"/>
        <v>0</v>
      </c>
      <c r="Y49" s="1112">
        <f t="shared" si="223"/>
        <v>0</v>
      </c>
      <c r="Z49" s="123"/>
      <c r="AA49" s="326"/>
      <c r="AB49" s="326">
        <f t="shared" si="134"/>
        <v>287929.52</v>
      </c>
      <c r="AC49" s="332">
        <f t="shared" si="301"/>
        <v>473173.29563479999</v>
      </c>
      <c r="AD49" s="173">
        <f t="shared" si="22"/>
        <v>0</v>
      </c>
      <c r="AE49" s="561">
        <f t="shared" si="224"/>
        <v>802576.08</v>
      </c>
      <c r="AF49" s="1112">
        <f t="shared" si="225"/>
        <v>802576.08</v>
      </c>
      <c r="AG49" s="123"/>
      <c r="AH49" s="326"/>
      <c r="AI49" s="332">
        <f t="shared" si="135"/>
        <v>473173.29563479999</v>
      </c>
      <c r="AJ49" s="140">
        <f t="shared" si="226"/>
        <v>1112850.56</v>
      </c>
      <c r="AK49" s="326">
        <f t="shared" ref="AK49:AM49" si="318">AD49+W49+P49</f>
        <v>0</v>
      </c>
      <c r="AL49" s="326">
        <f t="shared" si="318"/>
        <v>802576.08</v>
      </c>
      <c r="AM49" s="326">
        <f t="shared" si="318"/>
        <v>802576.08</v>
      </c>
      <c r="AN49" s="326">
        <f t="shared" si="28"/>
        <v>-310274.4800000001</v>
      </c>
      <c r="AO49" s="98">
        <f t="shared" si="108"/>
        <v>0.72118944703590737</v>
      </c>
      <c r="AP49" s="125">
        <f t="shared" si="137"/>
        <v>152833.23000000001</v>
      </c>
      <c r="AQ49" s="326">
        <f t="shared" si="31"/>
        <v>0</v>
      </c>
      <c r="AR49" s="326">
        <f t="shared" si="228"/>
        <v>371356.24</v>
      </c>
      <c r="AS49" s="123">
        <f t="shared" si="229"/>
        <v>371356.24</v>
      </c>
      <c r="AT49" s="332">
        <f t="shared" si="261"/>
        <v>0</v>
      </c>
      <c r="AU49" s="140">
        <f t="shared" si="35"/>
        <v>0</v>
      </c>
      <c r="AV49" s="326">
        <f t="shared" si="230"/>
        <v>379516.48</v>
      </c>
      <c r="AW49" s="333">
        <f t="shared" si="231"/>
        <v>379516.48</v>
      </c>
      <c r="AX49" s="123">
        <f t="shared" si="262"/>
        <v>156590.72</v>
      </c>
      <c r="AY49" s="123">
        <f t="shared" si="39"/>
        <v>0</v>
      </c>
      <c r="AZ49" s="123">
        <f t="shared" si="232"/>
        <v>576728.16</v>
      </c>
      <c r="BA49" s="125">
        <f t="shared" si="233"/>
        <v>576728.16</v>
      </c>
      <c r="BB49" s="1175">
        <f t="shared" ref="BB49:BD49" si="319">SUM(AQ49,AU49,AY49)</f>
        <v>0</v>
      </c>
      <c r="BC49" s="326">
        <f t="shared" si="319"/>
        <v>1327600.8799999999</v>
      </c>
      <c r="BD49" s="333">
        <f t="shared" si="319"/>
        <v>1327600.8799999999</v>
      </c>
      <c r="BE49" s="100">
        <f t="shared" si="43"/>
        <v>0</v>
      </c>
      <c r="BF49" s="116">
        <f t="shared" ref="BF49:BG49" si="320">BC49+AL49</f>
        <v>2130176.96</v>
      </c>
      <c r="BG49" s="119">
        <f t="shared" si="320"/>
        <v>2130176.96</v>
      </c>
      <c r="BH49" s="125">
        <f t="shared" si="265"/>
        <v>608909.28</v>
      </c>
      <c r="BI49" s="1041">
        <f t="shared" si="46"/>
        <v>0</v>
      </c>
      <c r="BJ49" s="326">
        <f t="shared" si="236"/>
        <v>753205.82</v>
      </c>
      <c r="BK49" s="1045">
        <f t="shared" si="237"/>
        <v>753205.82</v>
      </c>
      <c r="BL49" s="125">
        <f t="shared" si="266"/>
        <v>180033.36</v>
      </c>
      <c r="BM49" s="140">
        <f t="shared" si="50"/>
        <v>0</v>
      </c>
      <c r="BN49" s="123">
        <f t="shared" si="238"/>
        <v>498266.64</v>
      </c>
      <c r="BO49" s="148">
        <f t="shared" si="239"/>
        <v>498266.64</v>
      </c>
      <c r="BP49" s="123">
        <f t="shared" si="267"/>
        <v>262368.32</v>
      </c>
      <c r="BQ49" s="123">
        <f t="shared" si="54"/>
        <v>0</v>
      </c>
      <c r="BR49" s="123">
        <f t="shared" si="240"/>
        <v>833665.52</v>
      </c>
      <c r="BS49" s="125">
        <f t="shared" si="241"/>
        <v>833665.52</v>
      </c>
      <c r="BT49" s="140">
        <f t="shared" ref="BT49:BV49" si="321">SUM(BQ49,BM49,BI49)</f>
        <v>0</v>
      </c>
      <c r="BU49" s="123">
        <f t="shared" si="321"/>
        <v>2085137.98</v>
      </c>
      <c r="BV49" s="148">
        <f t="shared" si="321"/>
        <v>2085137.98</v>
      </c>
      <c r="BW49" s="125">
        <f t="shared" si="269"/>
        <v>216061.6</v>
      </c>
      <c r="BX49" s="140">
        <f t="shared" si="59"/>
        <v>0</v>
      </c>
      <c r="BY49" s="123">
        <f t="shared" si="243"/>
        <v>249057.78</v>
      </c>
      <c r="BZ49" s="148">
        <f t="shared" si="244"/>
        <v>249057.78</v>
      </c>
      <c r="CA49" s="123">
        <f t="shared" si="270"/>
        <v>381943.2</v>
      </c>
      <c r="CB49" s="326">
        <f t="shared" si="271"/>
        <v>514845.76</v>
      </c>
      <c r="CP49" s="294"/>
      <c r="CU49" s="294"/>
    </row>
    <row r="50" spans="1:115" ht="13">
      <c r="A50" s="788">
        <f t="shared" si="208"/>
        <v>112014243</v>
      </c>
      <c r="B50" s="636">
        <f t="shared" si="209"/>
        <v>4</v>
      </c>
      <c r="C50" s="558" t="str">
        <f t="shared" si="210"/>
        <v>Lista</v>
      </c>
      <c r="D50" s="558">
        <f t="shared" si="211"/>
        <v>0.2</v>
      </c>
      <c r="E50" s="559">
        <f t="shared" si="212"/>
        <v>0</v>
      </c>
      <c r="F50" s="836">
        <f t="shared" si="213"/>
        <v>4</v>
      </c>
      <c r="G50" s="558" t="str">
        <f t="shared" si="214"/>
        <v>Lista</v>
      </c>
      <c r="H50" s="558">
        <f t="shared" si="215"/>
        <v>0.2</v>
      </c>
      <c r="I50" s="559">
        <f t="shared" si="216"/>
        <v>0</v>
      </c>
      <c r="J50" s="837">
        <f t="shared" si="217"/>
        <v>70</v>
      </c>
      <c r="K50" s="558" t="str">
        <f t="shared" si="218"/>
        <v>Lista</v>
      </c>
      <c r="L50" s="715">
        <f t="shared" si="219"/>
        <v>0.11</v>
      </c>
      <c r="M50" s="1173" t="s">
        <v>1150</v>
      </c>
      <c r="N50" s="1174">
        <f t="shared" si="259"/>
        <v>38505.78</v>
      </c>
      <c r="O50" s="332">
        <f t="shared" si="299"/>
        <v>64730.141469000002</v>
      </c>
      <c r="P50" s="173" t="e">
        <f t="shared" si="14"/>
        <v>#VALUE!</v>
      </c>
      <c r="Q50" s="561" t="str">
        <f t="shared" si="220"/>
        <v/>
      </c>
      <c r="R50" s="1112">
        <f t="shared" si="221"/>
        <v>0</v>
      </c>
      <c r="S50" s="123"/>
      <c r="T50" s="326"/>
      <c r="U50" s="326">
        <f t="shared" si="133"/>
        <v>56908.05</v>
      </c>
      <c r="V50" s="332">
        <f t="shared" si="300"/>
        <v>101082.07019175</v>
      </c>
      <c r="W50" s="173" t="e">
        <f t="shared" si="18"/>
        <v>#VALUE!</v>
      </c>
      <c r="X50" s="561" t="str">
        <f t="shared" si="222"/>
        <v/>
      </c>
      <c r="Y50" s="1112">
        <f t="shared" si="223"/>
        <v>0</v>
      </c>
      <c r="Z50" s="123"/>
      <c r="AA50" s="326"/>
      <c r="AB50" s="326">
        <f t="shared" si="134"/>
        <v>0</v>
      </c>
      <c r="AC50" s="332">
        <f t="shared" si="301"/>
        <v>0</v>
      </c>
      <c r="AD50" s="173" t="e">
        <f t="shared" si="22"/>
        <v>#VALUE!</v>
      </c>
      <c r="AE50" s="561" t="str">
        <f t="shared" si="224"/>
        <v/>
      </c>
      <c r="AF50" s="1112">
        <f t="shared" si="225"/>
        <v>67135.850000000006</v>
      </c>
      <c r="AG50" s="123"/>
      <c r="AH50" s="326"/>
      <c r="AI50" s="332">
        <f t="shared" si="135"/>
        <v>165812.21166075001</v>
      </c>
      <c r="AJ50" s="140">
        <f t="shared" si="226"/>
        <v>324106.65999999997</v>
      </c>
      <c r="AK50" s="326" t="e">
        <f t="shared" ref="AK50:AM50" si="322">AD50+W50+P50</f>
        <v>#VALUE!</v>
      </c>
      <c r="AL50" s="326" t="e">
        <f t="shared" si="322"/>
        <v>#VALUE!</v>
      </c>
      <c r="AM50" s="326">
        <f t="shared" si="322"/>
        <v>67135.850000000006</v>
      </c>
      <c r="AN50" s="326">
        <f t="shared" si="28"/>
        <v>-256970.80999999997</v>
      </c>
      <c r="AO50" s="98">
        <f t="shared" si="108"/>
        <v>0.20714122320102898</v>
      </c>
      <c r="AP50" s="125">
        <f t="shared" si="137"/>
        <v>98714.25</v>
      </c>
      <c r="AQ50" s="326" t="e">
        <f t="shared" si="31"/>
        <v>#VALUE!</v>
      </c>
      <c r="AR50" s="326" t="str">
        <f t="shared" si="228"/>
        <v/>
      </c>
      <c r="AS50" s="123">
        <f t="shared" si="229"/>
        <v>0</v>
      </c>
      <c r="AT50" s="332">
        <f t="shared" si="261"/>
        <v>173235.68</v>
      </c>
      <c r="AU50" s="140" t="e">
        <f t="shared" si="35"/>
        <v>#VALUE!</v>
      </c>
      <c r="AV50" s="326" t="str">
        <f t="shared" si="230"/>
        <v/>
      </c>
      <c r="AW50" s="333">
        <f t="shared" si="231"/>
        <v>28625.94</v>
      </c>
      <c r="AX50" s="123">
        <f t="shared" si="262"/>
        <v>0</v>
      </c>
      <c r="AY50" s="123" t="e">
        <f t="shared" si="39"/>
        <v>#VALUE!</v>
      </c>
      <c r="AZ50" s="123" t="str">
        <f t="shared" si="232"/>
        <v/>
      </c>
      <c r="BA50" s="125">
        <f t="shared" si="233"/>
        <v>201116.14</v>
      </c>
      <c r="BB50" s="1175" t="e">
        <f t="shared" ref="BB50:BD50" si="323">SUM(AQ50,AU50,AY50)</f>
        <v>#VALUE!</v>
      </c>
      <c r="BC50" s="326">
        <f t="shared" si="323"/>
        <v>0</v>
      </c>
      <c r="BD50" s="333">
        <f t="shared" si="323"/>
        <v>229742.08000000002</v>
      </c>
      <c r="BE50" s="100" t="e">
        <f t="shared" si="43"/>
        <v>#VALUE!</v>
      </c>
      <c r="BF50" s="116" t="e">
        <f t="shared" ref="BF50:BG50" si="324">BC50+AL50</f>
        <v>#VALUE!</v>
      </c>
      <c r="BG50" s="119">
        <f t="shared" si="324"/>
        <v>296877.93000000005</v>
      </c>
      <c r="BH50" s="125">
        <f t="shared" si="265"/>
        <v>0</v>
      </c>
      <c r="BI50" s="1041" t="e">
        <f t="shared" si="46"/>
        <v>#VALUE!</v>
      </c>
      <c r="BJ50" s="326" t="str">
        <f t="shared" si="236"/>
        <v/>
      </c>
      <c r="BK50" s="1045">
        <f t="shared" si="237"/>
        <v>161869.34</v>
      </c>
      <c r="BL50" s="125">
        <f t="shared" si="266"/>
        <v>116993.87</v>
      </c>
      <c r="BM50" s="140" t="e">
        <f t="shared" si="50"/>
        <v>#VALUE!</v>
      </c>
      <c r="BN50" s="123" t="str">
        <f t="shared" si="238"/>
        <v/>
      </c>
      <c r="BO50" s="148">
        <f t="shared" si="239"/>
        <v>39914.199999999997</v>
      </c>
      <c r="BP50" s="123">
        <f t="shared" si="267"/>
        <v>0</v>
      </c>
      <c r="BQ50" s="123" t="e">
        <f t="shared" si="54"/>
        <v>#VALUE!</v>
      </c>
      <c r="BR50" s="123" t="str">
        <f t="shared" si="240"/>
        <v/>
      </c>
      <c r="BS50" s="125">
        <f t="shared" si="241"/>
        <v>449412.54</v>
      </c>
      <c r="BT50" s="140" t="e">
        <f t="shared" ref="BT50:BV50" si="325">SUM(BQ50,BM50,BI50)</f>
        <v>#VALUE!</v>
      </c>
      <c r="BU50" s="123">
        <f t="shared" si="325"/>
        <v>0</v>
      </c>
      <c r="BV50" s="148">
        <f t="shared" si="325"/>
        <v>651196.07999999996</v>
      </c>
      <c r="BW50" s="125">
        <f t="shared" si="269"/>
        <v>287173.98</v>
      </c>
      <c r="BX50" s="140" t="e">
        <f t="shared" si="59"/>
        <v>#VALUE!</v>
      </c>
      <c r="BY50" s="123" t="str">
        <f t="shared" si="243"/>
        <v/>
      </c>
      <c r="BZ50" s="148">
        <f t="shared" si="244"/>
        <v>872229.07</v>
      </c>
      <c r="CA50" s="123">
        <f t="shared" si="270"/>
        <v>0</v>
      </c>
      <c r="CB50" s="326">
        <f t="shared" si="271"/>
        <v>36932.68</v>
      </c>
      <c r="CP50" s="294"/>
      <c r="CU50" s="294"/>
    </row>
    <row r="51" spans="1:115" ht="13">
      <c r="A51" s="788">
        <f t="shared" si="208"/>
        <v>112012629</v>
      </c>
      <c r="B51" s="636">
        <f t="shared" si="209"/>
        <v>4</v>
      </c>
      <c r="C51" s="558" t="str">
        <f t="shared" si="210"/>
        <v>Lista</v>
      </c>
      <c r="D51" s="558">
        <f t="shared" si="211"/>
        <v>0.2</v>
      </c>
      <c r="E51" s="559">
        <f t="shared" si="212"/>
        <v>0</v>
      </c>
      <c r="F51" s="836">
        <f t="shared" si="213"/>
        <v>4</v>
      </c>
      <c r="G51" s="558" t="str">
        <f t="shared" si="214"/>
        <v>Lista</v>
      </c>
      <c r="H51" s="558">
        <f t="shared" si="215"/>
        <v>0.2</v>
      </c>
      <c r="I51" s="559">
        <f t="shared" si="216"/>
        <v>0</v>
      </c>
      <c r="J51" s="837">
        <f t="shared" si="217"/>
        <v>70</v>
      </c>
      <c r="K51" s="558" t="str">
        <f t="shared" si="218"/>
        <v>Lista</v>
      </c>
      <c r="L51" s="715">
        <f t="shared" si="219"/>
        <v>0.11</v>
      </c>
      <c r="M51" s="1173" t="s">
        <v>1151</v>
      </c>
      <c r="N51" s="1174">
        <f t="shared" si="259"/>
        <v>1014567.94</v>
      </c>
      <c r="O51" s="332">
        <f t="shared" si="299"/>
        <v>1705539.435537</v>
      </c>
      <c r="P51" s="173">
        <f t="shared" si="14"/>
        <v>142900</v>
      </c>
      <c r="Q51" s="561">
        <f t="shared" si="220"/>
        <v>862647.36</v>
      </c>
      <c r="R51" s="1112">
        <f t="shared" si="221"/>
        <v>1005547.36</v>
      </c>
      <c r="S51" s="123"/>
      <c r="T51" s="326"/>
      <c r="U51" s="326">
        <f t="shared" si="133"/>
        <v>1414786.42</v>
      </c>
      <c r="V51" s="332">
        <f t="shared" si="300"/>
        <v>2512993.1567286998</v>
      </c>
      <c r="W51" s="173">
        <f t="shared" si="18"/>
        <v>9723.8000000000466</v>
      </c>
      <c r="X51" s="561">
        <f t="shared" si="222"/>
        <v>1734742.88</v>
      </c>
      <c r="Y51" s="1112">
        <f t="shared" si="223"/>
        <v>1744466.68</v>
      </c>
      <c r="Z51" s="123"/>
      <c r="AA51" s="326"/>
      <c r="AB51" s="326">
        <f t="shared" si="134"/>
        <v>0</v>
      </c>
      <c r="AC51" s="332">
        <f t="shared" si="301"/>
        <v>0</v>
      </c>
      <c r="AD51" s="173">
        <f t="shared" si="22"/>
        <v>35680.840000000084</v>
      </c>
      <c r="AE51" s="561">
        <f t="shared" si="224"/>
        <v>2029635</v>
      </c>
      <c r="AF51" s="1112">
        <f t="shared" si="225"/>
        <v>2065315.8400000001</v>
      </c>
      <c r="AG51" s="123"/>
      <c r="AH51" s="326"/>
      <c r="AI51" s="332">
        <f t="shared" si="135"/>
        <v>4218532.5922657</v>
      </c>
      <c r="AJ51" s="140">
        <f t="shared" si="226"/>
        <v>5012615.38</v>
      </c>
      <c r="AK51" s="326">
        <f t="shared" ref="AK51:AM51" si="326">AD51+W51+P51</f>
        <v>188304.64000000013</v>
      </c>
      <c r="AL51" s="326">
        <f t="shared" si="326"/>
        <v>4627025.24</v>
      </c>
      <c r="AM51" s="326">
        <f t="shared" si="326"/>
        <v>4815329.88</v>
      </c>
      <c r="AN51" s="326">
        <f t="shared" si="28"/>
        <v>-197285.5</v>
      </c>
      <c r="AO51" s="98">
        <f t="shared" si="108"/>
        <v>0.96064220271374579</v>
      </c>
      <c r="AP51" s="125">
        <f t="shared" si="137"/>
        <v>610946.42000000004</v>
      </c>
      <c r="AQ51" s="326">
        <f t="shared" si="31"/>
        <v>0</v>
      </c>
      <c r="AR51" s="326">
        <f t="shared" si="228"/>
        <v>718116.63</v>
      </c>
      <c r="AS51" s="123">
        <f t="shared" si="229"/>
        <v>718116.63</v>
      </c>
      <c r="AT51" s="332">
        <f t="shared" si="261"/>
        <v>2507311.86</v>
      </c>
      <c r="AU51" s="140">
        <f t="shared" si="35"/>
        <v>84128.260000000009</v>
      </c>
      <c r="AV51" s="326">
        <f t="shared" si="230"/>
        <v>1873849.32</v>
      </c>
      <c r="AW51" s="333">
        <f t="shared" si="231"/>
        <v>1957977.58</v>
      </c>
      <c r="AX51" s="123">
        <f t="shared" si="262"/>
        <v>1730959.21</v>
      </c>
      <c r="AY51" s="123">
        <f t="shared" si="39"/>
        <v>206430.00000000012</v>
      </c>
      <c r="AZ51" s="123">
        <f t="shared" si="232"/>
        <v>844731.6</v>
      </c>
      <c r="BA51" s="125">
        <f t="shared" si="233"/>
        <v>1051161.6000000001</v>
      </c>
      <c r="BB51" s="1175">
        <f t="shared" ref="BB51:BD51" si="327">SUM(AQ51,AU51,AY51)</f>
        <v>290558.26000000013</v>
      </c>
      <c r="BC51" s="326">
        <f t="shared" si="327"/>
        <v>3436697.5500000003</v>
      </c>
      <c r="BD51" s="333">
        <f t="shared" si="327"/>
        <v>3727255.81</v>
      </c>
      <c r="BE51" s="100">
        <f t="shared" si="43"/>
        <v>478862.90000000026</v>
      </c>
      <c r="BF51" s="116">
        <f t="shared" ref="BF51:BG51" si="328">BC51+AL51</f>
        <v>8063722.790000001</v>
      </c>
      <c r="BG51" s="119">
        <f t="shared" si="328"/>
        <v>8542585.6899999995</v>
      </c>
      <c r="BH51" s="125">
        <f t="shared" si="265"/>
        <v>934368.96</v>
      </c>
      <c r="BI51" s="1041">
        <f t="shared" si="46"/>
        <v>235525.19999999925</v>
      </c>
      <c r="BJ51" s="326">
        <f t="shared" si="236"/>
        <v>4230618.4000000004</v>
      </c>
      <c r="BK51" s="1045">
        <f t="shared" si="237"/>
        <v>4466143.5999999996</v>
      </c>
      <c r="BL51" s="125">
        <f t="shared" si="266"/>
        <v>2789326.1</v>
      </c>
      <c r="BM51" s="140">
        <f t="shared" si="50"/>
        <v>81777.199999999953</v>
      </c>
      <c r="BN51" s="123">
        <f t="shared" si="238"/>
        <v>2012252.77</v>
      </c>
      <c r="BO51" s="148">
        <f t="shared" si="239"/>
        <v>2094029.97</v>
      </c>
      <c r="BP51" s="123">
        <f t="shared" si="267"/>
        <v>1539380.46</v>
      </c>
      <c r="BQ51" s="123">
        <f t="shared" si="54"/>
        <v>1291079.2799999998</v>
      </c>
      <c r="BR51" s="123">
        <f t="shared" si="240"/>
        <v>2149744.16</v>
      </c>
      <c r="BS51" s="125">
        <f t="shared" si="241"/>
        <v>3440823.44</v>
      </c>
      <c r="BT51" s="140">
        <f t="shared" ref="BT51:BV51" si="329">SUM(BQ51,BM51,BI51)</f>
        <v>1608381.679999999</v>
      </c>
      <c r="BU51" s="123">
        <f t="shared" si="329"/>
        <v>8392615.3300000001</v>
      </c>
      <c r="BV51" s="148">
        <f t="shared" si="329"/>
        <v>10000997.01</v>
      </c>
      <c r="BW51" s="125">
        <f t="shared" si="269"/>
        <v>1417021.7</v>
      </c>
      <c r="BX51" s="140">
        <f t="shared" si="59"/>
        <v>1624180.14</v>
      </c>
      <c r="BY51" s="123">
        <f t="shared" si="243"/>
        <v>1270739.82</v>
      </c>
      <c r="BZ51" s="148">
        <f t="shared" si="244"/>
        <v>2894919.96</v>
      </c>
      <c r="CA51" s="123">
        <f t="shared" si="270"/>
        <v>1766414.36</v>
      </c>
      <c r="CB51" s="326">
        <f t="shared" si="271"/>
        <v>1829179.32</v>
      </c>
      <c r="CP51" s="294"/>
      <c r="CU51" s="294"/>
    </row>
    <row r="52" spans="1:115" ht="13">
      <c r="A52" s="788">
        <f t="shared" si="208"/>
        <v>112014757</v>
      </c>
      <c r="B52" s="636" t="e">
        <f t="shared" si="209"/>
        <v>#N/A</v>
      </c>
      <c r="C52" s="558" t="str">
        <f t="shared" si="210"/>
        <v/>
      </c>
      <c r="D52" s="558" t="str">
        <f t="shared" si="211"/>
        <v/>
      </c>
      <c r="E52" s="559" t="str">
        <f t="shared" si="212"/>
        <v/>
      </c>
      <c r="F52" s="836">
        <f t="shared" si="213"/>
        <v>4</v>
      </c>
      <c r="G52" s="558" t="str">
        <f t="shared" si="214"/>
        <v>Lista</v>
      </c>
      <c r="H52" s="558">
        <f t="shared" si="215"/>
        <v>0.2</v>
      </c>
      <c r="I52" s="559">
        <f t="shared" si="216"/>
        <v>0</v>
      </c>
      <c r="J52" s="837">
        <f t="shared" si="217"/>
        <v>70</v>
      </c>
      <c r="K52" s="558" t="str">
        <f t="shared" si="218"/>
        <v>Lista</v>
      </c>
      <c r="L52" s="559">
        <f t="shared" si="219"/>
        <v>0.11</v>
      </c>
      <c r="M52" s="1173" t="s">
        <v>1152</v>
      </c>
      <c r="N52" s="1174" t="str">
        <f t="shared" si="259"/>
        <v/>
      </c>
      <c r="O52" s="332" t="e">
        <f t="shared" si="299"/>
        <v>#VALUE!</v>
      </c>
      <c r="P52" s="173">
        <f t="shared" si="14"/>
        <v>0</v>
      </c>
      <c r="Q52" s="561">
        <f t="shared" si="220"/>
        <v>0</v>
      </c>
      <c r="R52" s="1112">
        <f t="shared" si="221"/>
        <v>0</v>
      </c>
      <c r="S52" s="123"/>
      <c r="T52" s="326"/>
      <c r="U52" s="326" t="str">
        <f t="shared" si="133"/>
        <v/>
      </c>
      <c r="V52" s="332" t="e">
        <f t="shared" si="300"/>
        <v>#VALUE!</v>
      </c>
      <c r="W52" s="173">
        <f t="shared" si="18"/>
        <v>0</v>
      </c>
      <c r="X52" s="561">
        <f t="shared" si="222"/>
        <v>0</v>
      </c>
      <c r="Y52" s="1112">
        <f t="shared" si="223"/>
        <v>0</v>
      </c>
      <c r="Z52" s="123"/>
      <c r="AA52" s="326"/>
      <c r="AB52" s="326" t="str">
        <f t="shared" si="134"/>
        <v/>
      </c>
      <c r="AC52" s="332" t="e">
        <f t="shared" si="301"/>
        <v>#VALUE!</v>
      </c>
      <c r="AD52" s="173">
        <f t="shared" si="22"/>
        <v>0</v>
      </c>
      <c r="AE52" s="561">
        <f t="shared" si="224"/>
        <v>0</v>
      </c>
      <c r="AF52" s="1112">
        <f t="shared" si="225"/>
        <v>0</v>
      </c>
      <c r="AG52" s="123"/>
      <c r="AH52" s="326"/>
      <c r="AI52" s="332" t="e">
        <f t="shared" si="135"/>
        <v>#VALUE!</v>
      </c>
      <c r="AJ52" s="140" t="str">
        <f t="shared" si="226"/>
        <v>0</v>
      </c>
      <c r="AK52" s="326">
        <f t="shared" ref="AK52:AM52" si="330">AD52+W52+P52</f>
        <v>0</v>
      </c>
      <c r="AL52" s="326">
        <f t="shared" si="330"/>
        <v>0</v>
      </c>
      <c r="AM52" s="326">
        <f t="shared" si="330"/>
        <v>0</v>
      </c>
      <c r="AN52" s="326">
        <f t="shared" si="28"/>
        <v>0</v>
      </c>
      <c r="AO52" s="98" t="str">
        <f t="shared" si="108"/>
        <v/>
      </c>
      <c r="AP52" s="125" t="str">
        <f t="shared" si="137"/>
        <v/>
      </c>
      <c r="AQ52" s="326">
        <f t="shared" si="31"/>
        <v>0</v>
      </c>
      <c r="AR52" s="326">
        <f t="shared" si="228"/>
        <v>0</v>
      </c>
      <c r="AS52" s="123">
        <f t="shared" si="229"/>
        <v>0</v>
      </c>
      <c r="AT52" s="332" t="str">
        <f t="shared" si="261"/>
        <v/>
      </c>
      <c r="AU52" s="140">
        <f t="shared" si="35"/>
        <v>0</v>
      </c>
      <c r="AV52" s="326">
        <f t="shared" si="230"/>
        <v>0</v>
      </c>
      <c r="AW52" s="333">
        <f t="shared" si="231"/>
        <v>0</v>
      </c>
      <c r="AX52" s="123" t="str">
        <f t="shared" si="262"/>
        <v/>
      </c>
      <c r="AY52" s="123">
        <f t="shared" si="39"/>
        <v>0</v>
      </c>
      <c r="AZ52" s="123">
        <f t="shared" si="232"/>
        <v>0</v>
      </c>
      <c r="BA52" s="125">
        <f t="shared" si="233"/>
        <v>0</v>
      </c>
      <c r="BB52" s="1175">
        <f t="shared" ref="BB52:BD52" si="331">SUM(AQ52,AU52,AY52)</f>
        <v>0</v>
      </c>
      <c r="BC52" s="326">
        <f t="shared" si="331"/>
        <v>0</v>
      </c>
      <c r="BD52" s="333">
        <f t="shared" si="331"/>
        <v>0</v>
      </c>
      <c r="BE52" s="100">
        <f t="shared" si="43"/>
        <v>0</v>
      </c>
      <c r="BF52" s="116">
        <f t="shared" ref="BF52:BG52" si="332">BC52+AL52</f>
        <v>0</v>
      </c>
      <c r="BG52" s="119">
        <f t="shared" si="332"/>
        <v>0</v>
      </c>
      <c r="BH52" s="125" t="str">
        <f t="shared" si="265"/>
        <v/>
      </c>
      <c r="BI52" s="1041">
        <f t="shared" si="46"/>
        <v>0</v>
      </c>
      <c r="BJ52" s="326">
        <f t="shared" si="236"/>
        <v>0</v>
      </c>
      <c r="BK52" s="1045">
        <f t="shared" si="237"/>
        <v>0</v>
      </c>
      <c r="BL52" s="125" t="str">
        <f t="shared" si="266"/>
        <v/>
      </c>
      <c r="BM52" s="140">
        <f t="shared" si="50"/>
        <v>711332.17</v>
      </c>
      <c r="BN52" s="123">
        <f t="shared" si="238"/>
        <v>0</v>
      </c>
      <c r="BO52" s="148">
        <f t="shared" si="239"/>
        <v>711332.17</v>
      </c>
      <c r="BP52" s="123" t="str">
        <f t="shared" si="267"/>
        <v/>
      </c>
      <c r="BQ52" s="123">
        <f t="shared" si="54"/>
        <v>547403.61</v>
      </c>
      <c r="BR52" s="123">
        <f t="shared" si="240"/>
        <v>0</v>
      </c>
      <c r="BS52" s="125">
        <f t="shared" si="241"/>
        <v>547403.61</v>
      </c>
      <c r="BT52" s="140">
        <f t="shared" ref="BT52:BV52" si="333">SUM(BQ52,BM52,BI52)</f>
        <v>1258735.78</v>
      </c>
      <c r="BU52" s="123">
        <f t="shared" si="333"/>
        <v>0</v>
      </c>
      <c r="BV52" s="148">
        <f t="shared" si="333"/>
        <v>1258735.78</v>
      </c>
      <c r="BW52" s="125" t="str">
        <f t="shared" si="269"/>
        <v/>
      </c>
      <c r="BX52" s="140">
        <f t="shared" si="59"/>
        <v>776879.55999999994</v>
      </c>
      <c r="BY52" s="123">
        <f t="shared" si="243"/>
        <v>239626.4</v>
      </c>
      <c r="BZ52" s="148">
        <f t="shared" si="244"/>
        <v>1016505.96</v>
      </c>
      <c r="CA52" s="123" t="str">
        <f t="shared" si="270"/>
        <v/>
      </c>
      <c r="CB52" s="326" t="str">
        <f t="shared" si="271"/>
        <v/>
      </c>
      <c r="CP52" s="294"/>
      <c r="CU52" s="294"/>
    </row>
    <row r="53" spans="1:115" ht="13">
      <c r="A53" s="788">
        <f t="shared" si="208"/>
        <v>112014769</v>
      </c>
      <c r="B53" s="636" t="e">
        <f t="shared" si="209"/>
        <v>#N/A</v>
      </c>
      <c r="C53" s="558" t="str">
        <f t="shared" si="210"/>
        <v/>
      </c>
      <c r="D53" s="558" t="str">
        <f t="shared" si="211"/>
        <v/>
      </c>
      <c r="E53" s="559" t="str">
        <f t="shared" si="212"/>
        <v/>
      </c>
      <c r="F53" s="836">
        <f t="shared" si="213"/>
        <v>4</v>
      </c>
      <c r="G53" s="558" t="str">
        <f t="shared" si="214"/>
        <v>Lista</v>
      </c>
      <c r="H53" s="558">
        <f t="shared" si="215"/>
        <v>0.2</v>
      </c>
      <c r="I53" s="559">
        <f t="shared" si="216"/>
        <v>0</v>
      </c>
      <c r="J53" s="837">
        <f t="shared" si="217"/>
        <v>70</v>
      </c>
      <c r="K53" s="558" t="str">
        <f t="shared" si="218"/>
        <v>Lista</v>
      </c>
      <c r="L53" s="559">
        <f t="shared" si="219"/>
        <v>0.11</v>
      </c>
      <c r="M53" s="1173" t="s">
        <v>1153</v>
      </c>
      <c r="N53" s="1174" t="str">
        <f t="shared" si="259"/>
        <v/>
      </c>
      <c r="O53" s="332" t="e">
        <f t="shared" si="299"/>
        <v>#VALUE!</v>
      </c>
      <c r="P53" s="173" t="e">
        <f t="shared" si="14"/>
        <v>#VALUE!</v>
      </c>
      <c r="Q53" s="561" t="str">
        <f t="shared" si="220"/>
        <v/>
      </c>
      <c r="R53" s="1112">
        <f t="shared" si="221"/>
        <v>0</v>
      </c>
      <c r="S53" s="123"/>
      <c r="T53" s="326"/>
      <c r="U53" s="326" t="str">
        <f t="shared" si="133"/>
        <v/>
      </c>
      <c r="V53" s="332" t="e">
        <f t="shared" si="300"/>
        <v>#VALUE!</v>
      </c>
      <c r="W53" s="173" t="e">
        <f t="shared" si="18"/>
        <v>#VALUE!</v>
      </c>
      <c r="X53" s="561" t="str">
        <f t="shared" si="222"/>
        <v/>
      </c>
      <c r="Y53" s="1112">
        <f t="shared" si="223"/>
        <v>0</v>
      </c>
      <c r="Z53" s="123"/>
      <c r="AA53" s="326"/>
      <c r="AB53" s="326" t="str">
        <f t="shared" si="134"/>
        <v/>
      </c>
      <c r="AC53" s="332" t="e">
        <f t="shared" si="301"/>
        <v>#VALUE!</v>
      </c>
      <c r="AD53" s="173" t="e">
        <f t="shared" si="22"/>
        <v>#VALUE!</v>
      </c>
      <c r="AE53" s="561" t="str">
        <f t="shared" si="224"/>
        <v/>
      </c>
      <c r="AF53" s="1112">
        <f t="shared" si="225"/>
        <v>0</v>
      </c>
      <c r="AG53" s="123"/>
      <c r="AH53" s="326"/>
      <c r="AI53" s="332" t="e">
        <f t="shared" si="135"/>
        <v>#VALUE!</v>
      </c>
      <c r="AJ53" s="140" t="str">
        <f t="shared" si="226"/>
        <v>0</v>
      </c>
      <c r="AK53" s="326" t="e">
        <f t="shared" ref="AK53:AM53" si="334">AD53+W53+P53</f>
        <v>#VALUE!</v>
      </c>
      <c r="AL53" s="326" t="e">
        <f t="shared" si="334"/>
        <v>#VALUE!</v>
      </c>
      <c r="AM53" s="326">
        <f t="shared" si="334"/>
        <v>0</v>
      </c>
      <c r="AN53" s="326">
        <f t="shared" si="28"/>
        <v>0</v>
      </c>
      <c r="AO53" s="98" t="str">
        <f t="shared" si="108"/>
        <v/>
      </c>
      <c r="AP53" s="125" t="str">
        <f t="shared" si="137"/>
        <v/>
      </c>
      <c r="AQ53" s="326" t="e">
        <f t="shared" si="31"/>
        <v>#VALUE!</v>
      </c>
      <c r="AR53" s="326" t="str">
        <f t="shared" si="228"/>
        <v/>
      </c>
      <c r="AS53" s="123">
        <f t="shared" si="229"/>
        <v>0</v>
      </c>
      <c r="AT53" s="332" t="str">
        <f t="shared" si="261"/>
        <v/>
      </c>
      <c r="AU53" s="140" t="e">
        <f t="shared" si="35"/>
        <v>#VALUE!</v>
      </c>
      <c r="AV53" s="326" t="str">
        <f t="shared" si="230"/>
        <v/>
      </c>
      <c r="AW53" s="333">
        <f t="shared" si="231"/>
        <v>0</v>
      </c>
      <c r="AX53" s="123" t="str">
        <f t="shared" si="262"/>
        <v/>
      </c>
      <c r="AY53" s="123" t="e">
        <f t="shared" si="39"/>
        <v>#VALUE!</v>
      </c>
      <c r="AZ53" s="123" t="str">
        <f t="shared" si="232"/>
        <v/>
      </c>
      <c r="BA53" s="125">
        <f t="shared" si="233"/>
        <v>0</v>
      </c>
      <c r="BB53" s="1175" t="e">
        <f t="shared" ref="BB53:BD53" si="335">SUM(AQ53,AU53,AY53)</f>
        <v>#VALUE!</v>
      </c>
      <c r="BC53" s="326">
        <f t="shared" si="335"/>
        <v>0</v>
      </c>
      <c r="BD53" s="333">
        <f t="shared" si="335"/>
        <v>0</v>
      </c>
      <c r="BE53" s="100" t="e">
        <f t="shared" si="43"/>
        <v>#VALUE!</v>
      </c>
      <c r="BF53" s="116" t="e">
        <f t="shared" ref="BF53:BG53" si="336">BC53+AL53</f>
        <v>#VALUE!</v>
      </c>
      <c r="BG53" s="119">
        <f t="shared" si="336"/>
        <v>0</v>
      </c>
      <c r="BH53" s="125" t="str">
        <f t="shared" si="265"/>
        <v/>
      </c>
      <c r="BI53" s="1041" t="e">
        <f t="shared" si="46"/>
        <v>#VALUE!</v>
      </c>
      <c r="BJ53" s="326" t="str">
        <f t="shared" si="236"/>
        <v/>
      </c>
      <c r="BK53" s="1045">
        <f t="shared" si="237"/>
        <v>0</v>
      </c>
      <c r="BL53" s="125" t="str">
        <f t="shared" si="266"/>
        <v/>
      </c>
      <c r="BM53" s="140" t="e">
        <f t="shared" si="50"/>
        <v>#VALUE!</v>
      </c>
      <c r="BN53" s="123" t="str">
        <f t="shared" si="238"/>
        <v/>
      </c>
      <c r="BO53" s="148">
        <f t="shared" si="239"/>
        <v>0</v>
      </c>
      <c r="BP53" s="123" t="str">
        <f t="shared" si="267"/>
        <v/>
      </c>
      <c r="BQ53" s="123" t="e">
        <f t="shared" si="54"/>
        <v>#VALUE!</v>
      </c>
      <c r="BR53" s="123" t="str">
        <f t="shared" si="240"/>
        <v/>
      </c>
      <c r="BS53" s="125">
        <f t="shared" si="241"/>
        <v>0</v>
      </c>
      <c r="BT53" s="140" t="e">
        <f t="shared" ref="BT53:BV53" si="337">SUM(BQ53,BM53,BI53)</f>
        <v>#VALUE!</v>
      </c>
      <c r="BU53" s="123">
        <f t="shared" si="337"/>
        <v>0</v>
      </c>
      <c r="BV53" s="148">
        <f t="shared" si="337"/>
        <v>0</v>
      </c>
      <c r="BW53" s="125" t="str">
        <f t="shared" si="269"/>
        <v/>
      </c>
      <c r="BX53" s="140" t="e">
        <f t="shared" si="59"/>
        <v>#VALUE!</v>
      </c>
      <c r="BY53" s="123" t="str">
        <f t="shared" si="243"/>
        <v/>
      </c>
      <c r="BZ53" s="148">
        <f t="shared" si="244"/>
        <v>501245.42</v>
      </c>
      <c r="CA53" s="123" t="str">
        <f t="shared" si="270"/>
        <v/>
      </c>
      <c r="CB53" s="326" t="str">
        <f t="shared" si="271"/>
        <v/>
      </c>
      <c r="CP53" s="294"/>
      <c r="CU53" s="294"/>
    </row>
    <row r="54" spans="1:115" ht="13">
      <c r="A54" s="788">
        <f t="shared" si="208"/>
        <v>112012217</v>
      </c>
      <c r="B54" s="636">
        <f t="shared" si="209"/>
        <v>4</v>
      </c>
      <c r="C54" s="558" t="str">
        <f t="shared" si="210"/>
        <v>Lista</v>
      </c>
      <c r="D54" s="558">
        <f t="shared" si="211"/>
        <v>0.2</v>
      </c>
      <c r="E54" s="559">
        <f t="shared" si="212"/>
        <v>0</v>
      </c>
      <c r="F54" s="836">
        <f t="shared" si="213"/>
        <v>4</v>
      </c>
      <c r="G54" s="558" t="str">
        <f t="shared" si="214"/>
        <v>Lista</v>
      </c>
      <c r="H54" s="558">
        <f t="shared" si="215"/>
        <v>0.2</v>
      </c>
      <c r="I54" s="559">
        <f t="shared" si="216"/>
        <v>0</v>
      </c>
      <c r="J54" s="837">
        <f t="shared" si="217"/>
        <v>70</v>
      </c>
      <c r="K54" s="558" t="str">
        <f t="shared" si="218"/>
        <v>Lista</v>
      </c>
      <c r="L54" s="559">
        <f t="shared" si="219"/>
        <v>0.11</v>
      </c>
      <c r="M54" s="1173" t="s">
        <v>1154</v>
      </c>
      <c r="N54" s="1174">
        <f t="shared" si="259"/>
        <v>0</v>
      </c>
      <c r="O54" s="332">
        <f t="shared" si="299"/>
        <v>0</v>
      </c>
      <c r="P54" s="173">
        <f t="shared" si="14"/>
        <v>35020.849999999977</v>
      </c>
      <c r="Q54" s="561">
        <f t="shared" si="220"/>
        <v>880310</v>
      </c>
      <c r="R54" s="1112">
        <f t="shared" si="221"/>
        <v>915330.85</v>
      </c>
      <c r="S54" s="123"/>
      <c r="T54" s="326"/>
      <c r="U54" s="326">
        <f t="shared" si="133"/>
        <v>376943.04</v>
      </c>
      <c r="V54" s="332">
        <f t="shared" si="300"/>
        <v>669539.4206543999</v>
      </c>
      <c r="W54" s="173">
        <f t="shared" si="18"/>
        <v>0</v>
      </c>
      <c r="X54" s="561">
        <f t="shared" si="222"/>
        <v>545434</v>
      </c>
      <c r="Y54" s="1112">
        <f t="shared" si="223"/>
        <v>545434</v>
      </c>
      <c r="Z54" s="123"/>
      <c r="AA54" s="326"/>
      <c r="AB54" s="326">
        <f t="shared" si="134"/>
        <v>674215.76</v>
      </c>
      <c r="AC54" s="332">
        <f t="shared" si="301"/>
        <v>1107982.5824324</v>
      </c>
      <c r="AD54" s="173">
        <f t="shared" si="22"/>
        <v>0</v>
      </c>
      <c r="AE54" s="561">
        <f t="shared" si="224"/>
        <v>0</v>
      </c>
      <c r="AF54" s="1112">
        <f t="shared" si="225"/>
        <v>0</v>
      </c>
      <c r="AG54" s="123"/>
      <c r="AH54" s="326"/>
      <c r="AI54" s="332">
        <f t="shared" si="135"/>
        <v>1777522.0030867998</v>
      </c>
      <c r="AJ54" s="140">
        <f t="shared" si="226"/>
        <v>1191533.2</v>
      </c>
      <c r="AK54" s="326">
        <f t="shared" ref="AK54:AM54" si="338">AD54+W54+P54</f>
        <v>35020.849999999977</v>
      </c>
      <c r="AL54" s="326">
        <f t="shared" si="338"/>
        <v>1425744</v>
      </c>
      <c r="AM54" s="326">
        <f t="shared" si="338"/>
        <v>1460764.85</v>
      </c>
      <c r="AN54" s="326">
        <f t="shared" si="28"/>
        <v>269231.65000000014</v>
      </c>
      <c r="AO54" s="98">
        <f t="shared" si="108"/>
        <v>1.2259539641866464</v>
      </c>
      <c r="AP54" s="125">
        <f t="shared" si="137"/>
        <v>0</v>
      </c>
      <c r="AQ54" s="326">
        <f t="shared" si="31"/>
        <v>0</v>
      </c>
      <c r="AR54" s="326">
        <f t="shared" si="228"/>
        <v>784534.28</v>
      </c>
      <c r="AS54" s="123">
        <f t="shared" si="229"/>
        <v>784534.28</v>
      </c>
      <c r="AT54" s="332">
        <f t="shared" si="261"/>
        <v>598240</v>
      </c>
      <c r="AU54" s="140">
        <f t="shared" si="35"/>
        <v>0</v>
      </c>
      <c r="AV54" s="326">
        <f t="shared" si="230"/>
        <v>195956.8</v>
      </c>
      <c r="AW54" s="333">
        <f t="shared" si="231"/>
        <v>195956.8</v>
      </c>
      <c r="AX54" s="123">
        <f t="shared" si="262"/>
        <v>448680</v>
      </c>
      <c r="AY54" s="123">
        <f t="shared" si="39"/>
        <v>0</v>
      </c>
      <c r="AZ54" s="123">
        <f t="shared" si="232"/>
        <v>783827.2</v>
      </c>
      <c r="BA54" s="125">
        <f t="shared" si="233"/>
        <v>783827.2</v>
      </c>
      <c r="BB54" s="1175">
        <f t="shared" ref="BB54:BD54" si="339">SUM(AQ54,AU54,AY54)</f>
        <v>0</v>
      </c>
      <c r="BC54" s="326">
        <f t="shared" si="339"/>
        <v>1764318.28</v>
      </c>
      <c r="BD54" s="333">
        <f t="shared" si="339"/>
        <v>1764318.28</v>
      </c>
      <c r="BE54" s="100">
        <f t="shared" si="43"/>
        <v>35020.849999999977</v>
      </c>
      <c r="BF54" s="116">
        <f t="shared" ref="BF54:BG54" si="340">BC54+AL54</f>
        <v>3190062.2800000003</v>
      </c>
      <c r="BG54" s="119">
        <f t="shared" si="340"/>
        <v>3225083.13</v>
      </c>
      <c r="BH54" s="125">
        <f t="shared" si="265"/>
        <v>149560</v>
      </c>
      <c r="BI54" s="1041">
        <f t="shared" si="46"/>
        <v>0</v>
      </c>
      <c r="BJ54" s="326">
        <f t="shared" si="236"/>
        <v>391913.6</v>
      </c>
      <c r="BK54" s="1045">
        <f t="shared" si="237"/>
        <v>391913.6</v>
      </c>
      <c r="BL54" s="125">
        <f t="shared" si="266"/>
        <v>299120</v>
      </c>
      <c r="BM54" s="140">
        <f t="shared" si="50"/>
        <v>0</v>
      </c>
      <c r="BN54" s="123">
        <f t="shared" si="238"/>
        <v>391913.6</v>
      </c>
      <c r="BO54" s="148">
        <f t="shared" si="239"/>
        <v>391913.6</v>
      </c>
      <c r="BP54" s="123">
        <f t="shared" si="267"/>
        <v>807624</v>
      </c>
      <c r="BQ54" s="123">
        <f t="shared" si="54"/>
        <v>0</v>
      </c>
      <c r="BR54" s="123">
        <f t="shared" si="240"/>
        <v>1238446.3999999999</v>
      </c>
      <c r="BS54" s="125">
        <f t="shared" si="241"/>
        <v>1238446.3999999999</v>
      </c>
      <c r="BT54" s="140">
        <f t="shared" ref="BT54:BV54" si="341">SUM(BQ54,BM54,BI54)</f>
        <v>0</v>
      </c>
      <c r="BU54" s="123">
        <f t="shared" si="341"/>
        <v>2022273.6</v>
      </c>
      <c r="BV54" s="148">
        <f t="shared" si="341"/>
        <v>2022273.6</v>
      </c>
      <c r="BW54" s="125">
        <f t="shared" si="269"/>
        <v>646099.19999999995</v>
      </c>
      <c r="BX54" s="140">
        <f t="shared" si="59"/>
        <v>0</v>
      </c>
      <c r="BY54" s="123">
        <f t="shared" si="243"/>
        <v>0</v>
      </c>
      <c r="BZ54" s="148">
        <f t="shared" si="244"/>
        <v>0</v>
      </c>
      <c r="CA54" s="123">
        <f t="shared" si="270"/>
        <v>0</v>
      </c>
      <c r="CB54" s="326">
        <f t="shared" si="271"/>
        <v>545434</v>
      </c>
      <c r="CP54" s="294"/>
      <c r="CU54" s="294"/>
    </row>
    <row r="55" spans="1:115" ht="13">
      <c r="A55" s="788">
        <f t="shared" si="208"/>
        <v>112013674</v>
      </c>
      <c r="B55" s="636">
        <f t="shared" si="209"/>
        <v>4</v>
      </c>
      <c r="C55" s="558" t="str">
        <f t="shared" si="210"/>
        <v>Lista</v>
      </c>
      <c r="D55" s="558">
        <f t="shared" si="211"/>
        <v>0.2</v>
      </c>
      <c r="E55" s="559">
        <f t="shared" si="212"/>
        <v>0</v>
      </c>
      <c r="F55" s="836">
        <f t="shared" si="213"/>
        <v>4</v>
      </c>
      <c r="G55" s="558" t="str">
        <f t="shared" si="214"/>
        <v>Lista</v>
      </c>
      <c r="H55" s="558">
        <f t="shared" si="215"/>
        <v>0.2</v>
      </c>
      <c r="I55" s="559">
        <f t="shared" si="216"/>
        <v>0</v>
      </c>
      <c r="J55" s="837">
        <f t="shared" si="217"/>
        <v>70</v>
      </c>
      <c r="K55" s="558" t="str">
        <f t="shared" si="218"/>
        <v>Lista</v>
      </c>
      <c r="L55" s="559">
        <f t="shared" si="219"/>
        <v>0.11</v>
      </c>
      <c r="M55" s="1173" t="s">
        <v>1155</v>
      </c>
      <c r="N55" s="1174">
        <f t="shared" si="259"/>
        <v>347818.56</v>
      </c>
      <c r="O55" s="332">
        <f t="shared" si="299"/>
        <v>584700.39028800011</v>
      </c>
      <c r="P55" s="173">
        <f t="shared" si="14"/>
        <v>0</v>
      </c>
      <c r="Q55" s="561">
        <f t="shared" si="220"/>
        <v>2482514.2400000002</v>
      </c>
      <c r="R55" s="1112">
        <f t="shared" si="221"/>
        <v>2482514.2400000002</v>
      </c>
      <c r="S55" s="123"/>
      <c r="T55" s="326"/>
      <c r="U55" s="326">
        <f t="shared" si="133"/>
        <v>456755.6</v>
      </c>
      <c r="V55" s="332">
        <f t="shared" si="300"/>
        <v>811305.28316599992</v>
      </c>
      <c r="W55" s="173">
        <f t="shared" si="18"/>
        <v>0</v>
      </c>
      <c r="X55" s="561">
        <f t="shared" si="222"/>
        <v>0</v>
      </c>
      <c r="Y55" s="1112">
        <f t="shared" si="223"/>
        <v>0</v>
      </c>
      <c r="Z55" s="123"/>
      <c r="AA55" s="326"/>
      <c r="AB55" s="326">
        <f t="shared" si="134"/>
        <v>1012939.42</v>
      </c>
      <c r="AC55" s="332">
        <f t="shared" si="301"/>
        <v>1664629.1899483001</v>
      </c>
      <c r="AD55" s="173">
        <f t="shared" si="22"/>
        <v>84820.560000000056</v>
      </c>
      <c r="AE55" s="561">
        <f t="shared" si="224"/>
        <v>1584141.94</v>
      </c>
      <c r="AF55" s="1112">
        <f t="shared" si="225"/>
        <v>1668962.5</v>
      </c>
      <c r="AG55" s="123"/>
      <c r="AH55" s="326"/>
      <c r="AI55" s="332">
        <f t="shared" si="135"/>
        <v>3060634.8634023005</v>
      </c>
      <c r="AJ55" s="140">
        <f t="shared" si="226"/>
        <v>4040474.4</v>
      </c>
      <c r="AK55" s="326">
        <f t="shared" ref="AK55:AM55" si="342">AD55+W55+P55</f>
        <v>84820.560000000056</v>
      </c>
      <c r="AL55" s="326">
        <f t="shared" si="342"/>
        <v>4066656.18</v>
      </c>
      <c r="AM55" s="326">
        <f t="shared" si="342"/>
        <v>4151476.74</v>
      </c>
      <c r="AN55" s="326">
        <f t="shared" si="28"/>
        <v>111002.34000000032</v>
      </c>
      <c r="AO55" s="98">
        <f t="shared" si="108"/>
        <v>1.0274726007421306</v>
      </c>
      <c r="AP55" s="125">
        <f t="shared" si="137"/>
        <v>892015.96</v>
      </c>
      <c r="AQ55" s="326">
        <f t="shared" si="31"/>
        <v>0</v>
      </c>
      <c r="AR55" s="326">
        <f t="shared" si="228"/>
        <v>1018748.93</v>
      </c>
      <c r="AS55" s="123">
        <f t="shared" si="229"/>
        <v>1018748.93</v>
      </c>
      <c r="AT55" s="332">
        <f t="shared" si="261"/>
        <v>1427394.1</v>
      </c>
      <c r="AU55" s="140">
        <f t="shared" si="35"/>
        <v>0</v>
      </c>
      <c r="AV55" s="326">
        <f t="shared" si="230"/>
        <v>1497592.32</v>
      </c>
      <c r="AW55" s="333">
        <f t="shared" si="231"/>
        <v>1497592.32</v>
      </c>
      <c r="AX55" s="123">
        <f t="shared" si="262"/>
        <v>298239.84000000003</v>
      </c>
      <c r="AY55" s="123">
        <f t="shared" si="39"/>
        <v>0</v>
      </c>
      <c r="AZ55" s="123">
        <f t="shared" si="232"/>
        <v>0</v>
      </c>
      <c r="BA55" s="125">
        <f t="shared" si="233"/>
        <v>0</v>
      </c>
      <c r="BB55" s="1175">
        <f t="shared" ref="BB55:BD55" si="343">SUM(AQ55,AU55,AY55)</f>
        <v>0</v>
      </c>
      <c r="BC55" s="326">
        <f t="shared" si="343"/>
        <v>2516341.25</v>
      </c>
      <c r="BD55" s="333">
        <f t="shared" si="343"/>
        <v>2516341.25</v>
      </c>
      <c r="BE55" s="100">
        <f t="shared" si="43"/>
        <v>84820.560000000056</v>
      </c>
      <c r="BF55" s="116">
        <f t="shared" ref="BF55:BG55" si="344">BC55+AL55</f>
        <v>6582997.4299999997</v>
      </c>
      <c r="BG55" s="119">
        <f t="shared" si="344"/>
        <v>6667817.9900000002</v>
      </c>
      <c r="BH55" s="125">
        <f t="shared" si="265"/>
        <v>2036274.77</v>
      </c>
      <c r="BI55" s="1041">
        <f t="shared" si="46"/>
        <v>0</v>
      </c>
      <c r="BJ55" s="326">
        <f t="shared" si="236"/>
        <v>1045963.94</v>
      </c>
      <c r="BK55" s="1045">
        <f t="shared" si="237"/>
        <v>1045963.94</v>
      </c>
      <c r="BL55" s="125">
        <f t="shared" si="266"/>
        <v>3549826.35</v>
      </c>
      <c r="BM55" s="140">
        <f t="shared" si="50"/>
        <v>0</v>
      </c>
      <c r="BN55" s="123">
        <f t="shared" si="238"/>
        <v>949983.79</v>
      </c>
      <c r="BO55" s="148">
        <f t="shared" si="239"/>
        <v>949983.79</v>
      </c>
      <c r="BP55" s="123">
        <f t="shared" si="267"/>
        <v>194081.19</v>
      </c>
      <c r="BQ55" s="123">
        <f t="shared" si="54"/>
        <v>0</v>
      </c>
      <c r="BR55" s="123">
        <f t="shared" si="240"/>
        <v>1235884.32</v>
      </c>
      <c r="BS55" s="125">
        <f t="shared" si="241"/>
        <v>1235884.32</v>
      </c>
      <c r="BT55" s="140">
        <f t="shared" ref="BT55:BV55" si="345">SUM(BQ55,BM55,BI55)</f>
        <v>0</v>
      </c>
      <c r="BU55" s="123">
        <f t="shared" si="345"/>
        <v>3231832.0500000003</v>
      </c>
      <c r="BV55" s="148">
        <f t="shared" si="345"/>
        <v>3231832.0500000003</v>
      </c>
      <c r="BW55" s="125">
        <f t="shared" si="269"/>
        <v>445024.96</v>
      </c>
      <c r="BX55" s="140">
        <f t="shared" si="59"/>
        <v>0</v>
      </c>
      <c r="BY55" s="123">
        <f t="shared" si="243"/>
        <v>0</v>
      </c>
      <c r="BZ55" s="148">
        <f t="shared" si="244"/>
        <v>0</v>
      </c>
      <c r="CA55" s="123">
        <f t="shared" si="270"/>
        <v>2031677.4399999999</v>
      </c>
      <c r="CB55" s="326">
        <f t="shared" si="271"/>
        <v>1563772</v>
      </c>
      <c r="CP55" s="294"/>
      <c r="CU55" s="294"/>
    </row>
    <row r="56" spans="1:115" ht="13">
      <c r="A56" s="788">
        <f t="shared" si="208"/>
        <v>112014726</v>
      </c>
      <c r="B56" s="636">
        <f t="shared" si="209"/>
        <v>18</v>
      </c>
      <c r="C56" s="558" t="str">
        <f t="shared" si="210"/>
        <v>Lista</v>
      </c>
      <c r="D56" s="558">
        <f t="shared" si="211"/>
        <v>0.23</v>
      </c>
      <c r="E56" s="559">
        <f t="shared" si="212"/>
        <v>0</v>
      </c>
      <c r="F56" s="836">
        <f t="shared" si="213"/>
        <v>18</v>
      </c>
      <c r="G56" s="558" t="str">
        <f t="shared" si="214"/>
        <v>Lista</v>
      </c>
      <c r="H56" s="558">
        <f t="shared" si="215"/>
        <v>0.23</v>
      </c>
      <c r="I56" s="559">
        <f t="shared" si="216"/>
        <v>0</v>
      </c>
      <c r="J56" s="837">
        <f t="shared" si="217"/>
        <v>69</v>
      </c>
      <c r="K56" s="558" t="str">
        <f t="shared" si="218"/>
        <v>Lista</v>
      </c>
      <c r="L56" s="559">
        <f t="shared" si="219"/>
        <v>0.14000000000000001</v>
      </c>
      <c r="M56" s="1191" t="s">
        <v>1156</v>
      </c>
      <c r="N56" s="1174" t="str">
        <f t="shared" si="259"/>
        <v/>
      </c>
      <c r="O56" s="332" t="e">
        <f t="shared" si="299"/>
        <v>#VALUE!</v>
      </c>
      <c r="P56" s="173">
        <f t="shared" si="14"/>
        <v>0</v>
      </c>
      <c r="Q56" s="561">
        <f t="shared" si="220"/>
        <v>0</v>
      </c>
      <c r="R56" s="1112">
        <f t="shared" si="221"/>
        <v>0</v>
      </c>
      <c r="S56" s="123"/>
      <c r="T56" s="326"/>
      <c r="U56" s="326" t="str">
        <f t="shared" si="133"/>
        <v/>
      </c>
      <c r="V56" s="332" t="e">
        <f t="shared" si="300"/>
        <v>#VALUE!</v>
      </c>
      <c r="W56" s="173">
        <f t="shared" si="18"/>
        <v>0</v>
      </c>
      <c r="X56" s="561">
        <f t="shared" si="222"/>
        <v>0</v>
      </c>
      <c r="Y56" s="1112">
        <f t="shared" si="223"/>
        <v>0</v>
      </c>
      <c r="Z56" s="123"/>
      <c r="AA56" s="326"/>
      <c r="AB56" s="326" t="str">
        <f t="shared" si="134"/>
        <v/>
      </c>
      <c r="AC56" s="332" t="e">
        <f t="shared" si="301"/>
        <v>#VALUE!</v>
      </c>
      <c r="AD56" s="173">
        <f t="shared" si="22"/>
        <v>0</v>
      </c>
      <c r="AE56" s="561">
        <f t="shared" si="224"/>
        <v>0</v>
      </c>
      <c r="AF56" s="1112">
        <f t="shared" si="225"/>
        <v>0</v>
      </c>
      <c r="AG56" s="123"/>
      <c r="AH56" s="326"/>
      <c r="AI56" s="332" t="e">
        <f t="shared" si="135"/>
        <v>#VALUE!</v>
      </c>
      <c r="AJ56" s="140" t="str">
        <f t="shared" si="226"/>
        <v>0</v>
      </c>
      <c r="AK56" s="326">
        <f t="shared" ref="AK56:AM56" si="346">AD56+W56+P56</f>
        <v>0</v>
      </c>
      <c r="AL56" s="326">
        <f t="shared" si="346"/>
        <v>0</v>
      </c>
      <c r="AM56" s="326">
        <f t="shared" si="346"/>
        <v>0</v>
      </c>
      <c r="AN56" s="326">
        <f t="shared" si="28"/>
        <v>0</v>
      </c>
      <c r="AO56" s="98" t="str">
        <f t="shared" si="108"/>
        <v/>
      </c>
      <c r="AP56" s="125" t="str">
        <f t="shared" si="137"/>
        <v/>
      </c>
      <c r="AQ56" s="326">
        <f t="shared" si="31"/>
        <v>0</v>
      </c>
      <c r="AR56" s="326">
        <f t="shared" si="228"/>
        <v>0</v>
      </c>
      <c r="AS56" s="123">
        <f t="shared" si="229"/>
        <v>0</v>
      </c>
      <c r="AT56" s="332" t="str">
        <f t="shared" si="261"/>
        <v/>
      </c>
      <c r="AU56" s="140">
        <f t="shared" si="35"/>
        <v>0</v>
      </c>
      <c r="AV56" s="326">
        <f t="shared" si="230"/>
        <v>0</v>
      </c>
      <c r="AW56" s="333">
        <f t="shared" si="231"/>
        <v>0</v>
      </c>
      <c r="AX56" s="123" t="str">
        <f t="shared" si="262"/>
        <v/>
      </c>
      <c r="AY56" s="123">
        <f t="shared" si="39"/>
        <v>0</v>
      </c>
      <c r="AZ56" s="123">
        <f t="shared" si="232"/>
        <v>0</v>
      </c>
      <c r="BA56" s="125">
        <f t="shared" si="233"/>
        <v>0</v>
      </c>
      <c r="BB56" s="1175">
        <f t="shared" ref="BB56:BD56" si="347">SUM(AQ56,AU56,AY56)</f>
        <v>0</v>
      </c>
      <c r="BC56" s="326">
        <f t="shared" si="347"/>
        <v>0</v>
      </c>
      <c r="BD56" s="333">
        <f t="shared" si="347"/>
        <v>0</v>
      </c>
      <c r="BE56" s="100">
        <f t="shared" si="43"/>
        <v>0</v>
      </c>
      <c r="BF56" s="116">
        <f t="shared" ref="BF56:BG56" si="348">BC56+AL56</f>
        <v>0</v>
      </c>
      <c r="BG56" s="119">
        <f t="shared" si="348"/>
        <v>0</v>
      </c>
      <c r="BH56" s="125" t="str">
        <f t="shared" si="265"/>
        <v/>
      </c>
      <c r="BI56" s="1041">
        <f t="shared" si="46"/>
        <v>166446.15999999992</v>
      </c>
      <c r="BJ56" s="326">
        <f t="shared" si="236"/>
        <v>890712.5</v>
      </c>
      <c r="BK56" s="1045">
        <f t="shared" si="237"/>
        <v>1057158.6599999999</v>
      </c>
      <c r="BL56" s="125" t="str">
        <f t="shared" si="266"/>
        <v/>
      </c>
      <c r="BM56" s="140">
        <f t="shared" si="50"/>
        <v>249996.38000000012</v>
      </c>
      <c r="BN56" s="123">
        <f t="shared" si="238"/>
        <v>1744070.63</v>
      </c>
      <c r="BO56" s="148">
        <f t="shared" si="239"/>
        <v>1994067.01</v>
      </c>
      <c r="BP56" s="123" t="str">
        <f t="shared" si="267"/>
        <v/>
      </c>
      <c r="BQ56" s="123">
        <f t="shared" si="54"/>
        <v>214168.42999999993</v>
      </c>
      <c r="BR56" s="123">
        <f t="shared" si="240"/>
        <v>1499202.53</v>
      </c>
      <c r="BS56" s="125">
        <f t="shared" si="241"/>
        <v>1713370.96</v>
      </c>
      <c r="BT56" s="140">
        <f t="shared" ref="BT56:BV56" si="349">SUM(BQ56,BM56,BI56)</f>
        <v>630610.97</v>
      </c>
      <c r="BU56" s="123">
        <f t="shared" si="349"/>
        <v>4133985.66</v>
      </c>
      <c r="BV56" s="148">
        <f t="shared" si="349"/>
        <v>4764596.63</v>
      </c>
      <c r="BW56" s="125" t="str">
        <f t="shared" si="269"/>
        <v/>
      </c>
      <c r="BX56" s="140">
        <f t="shared" si="59"/>
        <v>167309.11999999965</v>
      </c>
      <c r="BY56" s="123">
        <f t="shared" si="243"/>
        <v>2789427.18</v>
      </c>
      <c r="BZ56" s="148">
        <f t="shared" si="244"/>
        <v>2956736.3</v>
      </c>
      <c r="CA56" s="123" t="str">
        <f t="shared" si="270"/>
        <v/>
      </c>
      <c r="CB56" s="326" t="str">
        <f t="shared" si="271"/>
        <v/>
      </c>
      <c r="CP56" s="294"/>
      <c r="CU56" s="294"/>
    </row>
    <row r="57" spans="1:115" ht="13">
      <c r="A57" s="788">
        <f t="shared" si="208"/>
        <v>112013643</v>
      </c>
      <c r="B57" s="636">
        <f t="shared" si="209"/>
        <v>4</v>
      </c>
      <c r="C57" s="558" t="str">
        <f t="shared" si="210"/>
        <v>Lista</v>
      </c>
      <c r="D57" s="558">
        <f t="shared" si="211"/>
        <v>0.2</v>
      </c>
      <c r="E57" s="559">
        <f t="shared" si="212"/>
        <v>0</v>
      </c>
      <c r="F57" s="836">
        <f t="shared" si="213"/>
        <v>4</v>
      </c>
      <c r="G57" s="558" t="str">
        <f t="shared" si="214"/>
        <v>Lista</v>
      </c>
      <c r="H57" s="558">
        <f t="shared" si="215"/>
        <v>0.2</v>
      </c>
      <c r="I57" s="559">
        <f t="shared" si="216"/>
        <v>0</v>
      </c>
      <c r="J57" s="837">
        <f t="shared" si="217"/>
        <v>70</v>
      </c>
      <c r="K57" s="558" t="str">
        <f t="shared" si="218"/>
        <v>Lista</v>
      </c>
      <c r="L57" s="559">
        <f t="shared" si="219"/>
        <v>0.11</v>
      </c>
      <c r="M57" s="1173" t="s">
        <v>1157</v>
      </c>
      <c r="N57" s="1174">
        <f t="shared" si="259"/>
        <v>1644228.89</v>
      </c>
      <c r="O57" s="332">
        <f t="shared" si="299"/>
        <v>2764030.9755345001</v>
      </c>
      <c r="P57" s="173">
        <f t="shared" si="14"/>
        <v>660862.80000000005</v>
      </c>
      <c r="Q57" s="561">
        <f t="shared" si="220"/>
        <v>839839.2</v>
      </c>
      <c r="R57" s="1112">
        <f t="shared" si="221"/>
        <v>1500702</v>
      </c>
      <c r="S57" s="123"/>
      <c r="T57" s="326"/>
      <c r="U57" s="326">
        <f t="shared" si="133"/>
        <v>1601224.44</v>
      </c>
      <c r="V57" s="332">
        <f t="shared" si="300"/>
        <v>2844150.8931833999</v>
      </c>
      <c r="W57" s="173">
        <f t="shared" si="18"/>
        <v>394514.6399999999</v>
      </c>
      <c r="X57" s="561">
        <f t="shared" si="222"/>
        <v>1298365.76</v>
      </c>
      <c r="Y57" s="1112">
        <f t="shared" si="223"/>
        <v>1692880.4</v>
      </c>
      <c r="Z57" s="123"/>
      <c r="AA57" s="326"/>
      <c r="AB57" s="326">
        <f t="shared" si="134"/>
        <v>1116889.1200000001</v>
      </c>
      <c r="AC57" s="332">
        <f t="shared" si="301"/>
        <v>1835456.4886888003</v>
      </c>
      <c r="AD57" s="173">
        <f t="shared" si="22"/>
        <v>369815.07000000007</v>
      </c>
      <c r="AE57" s="561">
        <f t="shared" si="224"/>
        <v>191911.36</v>
      </c>
      <c r="AF57" s="1112">
        <f t="shared" si="225"/>
        <v>561726.43000000005</v>
      </c>
      <c r="AG57" s="123"/>
      <c r="AH57" s="326"/>
      <c r="AI57" s="332">
        <f t="shared" si="135"/>
        <v>7443638.3574067</v>
      </c>
      <c r="AJ57" s="140">
        <f t="shared" si="226"/>
        <v>2722550.05</v>
      </c>
      <c r="AK57" s="326">
        <f t="shared" ref="AK57:AM57" si="350">AD57+W57+P57</f>
        <v>1425192.51</v>
      </c>
      <c r="AL57" s="326">
        <f t="shared" si="350"/>
        <v>2330116.3200000003</v>
      </c>
      <c r="AM57" s="326">
        <f t="shared" si="350"/>
        <v>3755308.83</v>
      </c>
      <c r="AN57" s="326">
        <f t="shared" si="28"/>
        <v>1032758.7800000003</v>
      </c>
      <c r="AO57" s="98">
        <f t="shared" si="108"/>
        <v>1.3793350943171827</v>
      </c>
      <c r="AP57" s="125">
        <f t="shared" si="137"/>
        <v>1128702.72</v>
      </c>
      <c r="AQ57" s="326">
        <f t="shared" si="31"/>
        <v>125807.39999999991</v>
      </c>
      <c r="AR57" s="326">
        <f t="shared" si="228"/>
        <v>1225799.08</v>
      </c>
      <c r="AS57" s="123">
        <f t="shared" si="229"/>
        <v>1351606.48</v>
      </c>
      <c r="AT57" s="332">
        <f t="shared" si="261"/>
        <v>1437665.78</v>
      </c>
      <c r="AU57" s="140">
        <f t="shared" si="35"/>
        <v>0</v>
      </c>
      <c r="AV57" s="326">
        <f t="shared" si="230"/>
        <v>2539142.56</v>
      </c>
      <c r="AW57" s="333">
        <f t="shared" si="231"/>
        <v>2539142.56</v>
      </c>
      <c r="AX57" s="123">
        <f t="shared" si="262"/>
        <v>282858.03999999998</v>
      </c>
      <c r="AY57" s="123">
        <f t="shared" si="39"/>
        <v>254485.97000000009</v>
      </c>
      <c r="AZ57" s="123">
        <f t="shared" si="232"/>
        <v>708328.08</v>
      </c>
      <c r="BA57" s="125">
        <f t="shared" si="233"/>
        <v>962814.05</v>
      </c>
      <c r="BB57" s="1175">
        <f t="shared" ref="BB57:BD57" si="351">SUM(AQ57,AU57,AY57)</f>
        <v>380293.37</v>
      </c>
      <c r="BC57" s="326">
        <f t="shared" si="351"/>
        <v>4473269.72</v>
      </c>
      <c r="BD57" s="333">
        <f t="shared" si="351"/>
        <v>4853563.09</v>
      </c>
      <c r="BE57" s="100">
        <f t="shared" si="43"/>
        <v>1805485.88</v>
      </c>
      <c r="BF57" s="116">
        <f t="shared" ref="BF57:BG57" si="352">BC57+AL57</f>
        <v>6803386.04</v>
      </c>
      <c r="BG57" s="119">
        <f t="shared" si="352"/>
        <v>8608871.9199999999</v>
      </c>
      <c r="BH57" s="125">
        <f t="shared" si="265"/>
        <v>940071.72</v>
      </c>
      <c r="BI57" s="1041">
        <f t="shared" si="46"/>
        <v>34797.509999999893</v>
      </c>
      <c r="BJ57" s="326">
        <f t="shared" si="236"/>
        <v>571637.81000000006</v>
      </c>
      <c r="BK57" s="1045">
        <f t="shared" si="237"/>
        <v>606435.31999999995</v>
      </c>
      <c r="BL57" s="125">
        <f t="shared" si="266"/>
        <v>1303424.77</v>
      </c>
      <c r="BM57" s="140">
        <f t="shared" si="50"/>
        <v>0</v>
      </c>
      <c r="BN57" s="123">
        <f t="shared" si="238"/>
        <v>1874407.92</v>
      </c>
      <c r="BO57" s="148">
        <f t="shared" si="239"/>
        <v>1874407.92</v>
      </c>
      <c r="BP57" s="123">
        <f t="shared" si="267"/>
        <v>1352118.46</v>
      </c>
      <c r="BQ57" s="123">
        <f t="shared" si="54"/>
        <v>39959.429999999935</v>
      </c>
      <c r="BR57" s="123">
        <f t="shared" si="240"/>
        <v>2046216.53</v>
      </c>
      <c r="BS57" s="125">
        <f t="shared" si="241"/>
        <v>2086175.96</v>
      </c>
      <c r="BT57" s="140">
        <f t="shared" ref="BT57:BV57" si="353">SUM(BQ57,BM57,BI57)</f>
        <v>74756.939999999828</v>
      </c>
      <c r="BU57" s="123">
        <f t="shared" si="353"/>
        <v>4492262.26</v>
      </c>
      <c r="BV57" s="148">
        <f t="shared" si="353"/>
        <v>4567019.2</v>
      </c>
      <c r="BW57" s="125">
        <f t="shared" si="269"/>
        <v>1323742.8700000001</v>
      </c>
      <c r="BX57" s="140">
        <f t="shared" si="59"/>
        <v>696412.12000000011</v>
      </c>
      <c r="BY57" s="123">
        <f t="shared" si="243"/>
        <v>968756.49</v>
      </c>
      <c r="BZ57" s="148">
        <f t="shared" si="244"/>
        <v>1665168.61</v>
      </c>
      <c r="CA57" s="123">
        <f t="shared" si="270"/>
        <v>1140238.76</v>
      </c>
      <c r="CB57" s="326">
        <f t="shared" si="271"/>
        <v>258568.42</v>
      </c>
      <c r="CP57" s="294"/>
      <c r="CU57" s="294"/>
    </row>
    <row r="58" spans="1:115" ht="13">
      <c r="A58" s="788">
        <f t="shared" si="208"/>
        <v>112012069</v>
      </c>
      <c r="B58" s="643" t="e">
        <f t="shared" si="209"/>
        <v>#N/A</v>
      </c>
      <c r="C58" s="801" t="str">
        <f t="shared" si="210"/>
        <v/>
      </c>
      <c r="D58" s="801" t="str">
        <f t="shared" si="211"/>
        <v/>
      </c>
      <c r="E58" s="899" t="str">
        <f t="shared" si="212"/>
        <v/>
      </c>
      <c r="F58" s="1133" t="e">
        <f t="shared" si="213"/>
        <v>#N/A</v>
      </c>
      <c r="G58" s="801" t="str">
        <f t="shared" si="214"/>
        <v/>
      </c>
      <c r="H58" s="801" t="str">
        <f t="shared" si="215"/>
        <v/>
      </c>
      <c r="I58" s="899" t="str">
        <f t="shared" si="216"/>
        <v/>
      </c>
      <c r="J58" s="900">
        <f t="shared" si="217"/>
        <v>71</v>
      </c>
      <c r="K58" s="801" t="str">
        <f>IFERROR(VLOOKUP(J58,A458DC1025,2,FALSE),"")</f>
        <v>Lista</v>
      </c>
      <c r="L58" s="899">
        <f>IFERROR(VLOOKUP(J58,A458DC1025,3,FALSE),"")</f>
        <v>0.05</v>
      </c>
      <c r="M58" s="507" t="s">
        <v>1097</v>
      </c>
      <c r="N58" s="1193" t="str">
        <f t="shared" si="259"/>
        <v/>
      </c>
      <c r="O58" s="467" t="e">
        <f t="shared" si="299"/>
        <v>#VALUE!</v>
      </c>
      <c r="P58" s="1194" t="e">
        <f t="shared" si="14"/>
        <v>#VALUE!</v>
      </c>
      <c r="Q58" s="609" t="str">
        <f t="shared" si="220"/>
        <v/>
      </c>
      <c r="R58" s="1195" t="str">
        <f t="shared" si="221"/>
        <v/>
      </c>
      <c r="S58" s="274"/>
      <c r="T58" s="471"/>
      <c r="U58" s="471" t="str">
        <f t="shared" si="133"/>
        <v/>
      </c>
      <c r="V58" s="467" t="e">
        <f t="shared" si="300"/>
        <v>#VALUE!</v>
      </c>
      <c r="W58" s="173" t="e">
        <f t="shared" si="18"/>
        <v>#VALUE!</v>
      </c>
      <c r="X58" s="561" t="str">
        <f t="shared" si="222"/>
        <v/>
      </c>
      <c r="Y58" s="1112" t="str">
        <f t="shared" si="223"/>
        <v/>
      </c>
      <c r="Z58" s="274"/>
      <c r="AA58" s="471"/>
      <c r="AB58" s="471" t="str">
        <f t="shared" si="134"/>
        <v/>
      </c>
      <c r="AC58" s="467" t="e">
        <f t="shared" si="301"/>
        <v>#VALUE!</v>
      </c>
      <c r="AD58" s="173" t="e">
        <f t="shared" si="22"/>
        <v>#VALUE!</v>
      </c>
      <c r="AE58" s="561" t="str">
        <f t="shared" si="224"/>
        <v/>
      </c>
      <c r="AF58" s="1112" t="str">
        <f t="shared" si="225"/>
        <v/>
      </c>
      <c r="AG58" s="274"/>
      <c r="AH58" s="471"/>
      <c r="AI58" s="467" t="e">
        <f t="shared" si="135"/>
        <v>#VALUE!</v>
      </c>
      <c r="AJ58" s="164">
        <f t="shared" si="226"/>
        <v>461164.08</v>
      </c>
      <c r="AK58" s="471" t="e">
        <f t="shared" ref="AK58:AM58" si="354">AD58+W58+P58</f>
        <v>#VALUE!</v>
      </c>
      <c r="AL58" s="471" t="e">
        <f t="shared" si="354"/>
        <v>#VALUE!</v>
      </c>
      <c r="AM58" s="471" t="e">
        <f t="shared" si="354"/>
        <v>#VALUE!</v>
      </c>
      <c r="AN58" s="471" t="e">
        <f t="shared" si="28"/>
        <v>#VALUE!</v>
      </c>
      <c r="AO58" s="608" t="str">
        <f t="shared" si="108"/>
        <v/>
      </c>
      <c r="AP58" s="125" t="str">
        <f t="shared" si="137"/>
        <v/>
      </c>
      <c r="AQ58" s="326" t="e">
        <f t="shared" si="31"/>
        <v>#VALUE!</v>
      </c>
      <c r="AR58" s="326" t="str">
        <f t="shared" si="228"/>
        <v/>
      </c>
      <c r="AS58" s="274" t="str">
        <f t="shared" si="229"/>
        <v/>
      </c>
      <c r="AT58" s="467" t="str">
        <f t="shared" si="261"/>
        <v/>
      </c>
      <c r="AU58" s="164" t="e">
        <f t="shared" si="35"/>
        <v>#VALUE!</v>
      </c>
      <c r="AV58" s="471" t="str">
        <f t="shared" si="230"/>
        <v/>
      </c>
      <c r="AW58" s="472" t="str">
        <f t="shared" si="231"/>
        <v/>
      </c>
      <c r="AX58" s="123" t="str">
        <f t="shared" si="262"/>
        <v/>
      </c>
      <c r="AY58" s="123" t="e">
        <f t="shared" si="39"/>
        <v>#VALUE!</v>
      </c>
      <c r="AZ58" s="123" t="str">
        <f t="shared" si="232"/>
        <v/>
      </c>
      <c r="BA58" s="125" t="str">
        <f t="shared" si="233"/>
        <v/>
      </c>
      <c r="BB58" s="1175" t="e">
        <f t="shared" ref="BB58:BD58" si="355">SUM(AQ58,AU58,AY58)</f>
        <v>#VALUE!</v>
      </c>
      <c r="BC58" s="326">
        <f t="shared" si="355"/>
        <v>0</v>
      </c>
      <c r="BD58" s="333">
        <f t="shared" si="355"/>
        <v>0</v>
      </c>
      <c r="BE58" s="100" t="e">
        <f t="shared" si="43"/>
        <v>#VALUE!</v>
      </c>
      <c r="BF58" s="116" t="e">
        <f t="shared" ref="BF58:BG58" si="356">BC58+AL58</f>
        <v>#VALUE!</v>
      </c>
      <c r="BG58" s="119" t="e">
        <f t="shared" si="356"/>
        <v>#VALUE!</v>
      </c>
      <c r="BH58" s="125" t="str">
        <f t="shared" si="265"/>
        <v/>
      </c>
      <c r="BI58" s="1069" t="e">
        <f t="shared" si="46"/>
        <v>#VALUE!</v>
      </c>
      <c r="BJ58" s="471" t="str">
        <f t="shared" si="236"/>
        <v/>
      </c>
      <c r="BK58" s="1070" t="str">
        <f t="shared" si="237"/>
        <v/>
      </c>
      <c r="BL58" s="271" t="str">
        <f t="shared" si="266"/>
        <v/>
      </c>
      <c r="BM58" s="164" t="e">
        <f t="shared" si="50"/>
        <v>#VALUE!</v>
      </c>
      <c r="BN58" s="274" t="str">
        <f t="shared" si="238"/>
        <v/>
      </c>
      <c r="BO58" s="610" t="str">
        <f t="shared" si="239"/>
        <v/>
      </c>
      <c r="BP58" s="274" t="str">
        <f t="shared" si="267"/>
        <v/>
      </c>
      <c r="BQ58" s="274" t="e">
        <f t="shared" si="54"/>
        <v>#VALUE!</v>
      </c>
      <c r="BR58" s="274" t="str">
        <f t="shared" si="240"/>
        <v/>
      </c>
      <c r="BS58" s="271" t="str">
        <f t="shared" si="241"/>
        <v/>
      </c>
      <c r="BT58" s="164" t="e">
        <f t="shared" ref="BT58:BV58" si="357">SUM(BQ58,BM58,BI58)</f>
        <v>#VALUE!</v>
      </c>
      <c r="BU58" s="274">
        <f t="shared" si="357"/>
        <v>0</v>
      </c>
      <c r="BV58" s="610">
        <f t="shared" si="357"/>
        <v>0</v>
      </c>
      <c r="BW58" s="125" t="str">
        <f t="shared" si="269"/>
        <v/>
      </c>
      <c r="BX58" s="140" t="e">
        <f t="shared" si="59"/>
        <v>#VALUE!</v>
      </c>
      <c r="BY58" s="123" t="str">
        <f t="shared" si="243"/>
        <v/>
      </c>
      <c r="BZ58" s="148" t="str">
        <f t="shared" si="244"/>
        <v/>
      </c>
      <c r="CA58" s="123" t="str">
        <f t="shared" si="270"/>
        <v/>
      </c>
      <c r="CB58" s="326" t="str">
        <f t="shared" si="271"/>
        <v/>
      </c>
      <c r="CP58" s="294"/>
      <c r="CU58" s="294"/>
    </row>
    <row r="59" spans="1:115" ht="13">
      <c r="A59" s="1196"/>
      <c r="B59" s="906"/>
      <c r="C59" s="906"/>
      <c r="D59" s="906"/>
      <c r="E59" s="906"/>
      <c r="F59" s="1197"/>
      <c r="G59" s="909"/>
      <c r="H59" s="909"/>
      <c r="I59" s="909"/>
      <c r="J59" s="909"/>
      <c r="K59" s="909"/>
      <c r="L59" s="909"/>
      <c r="M59" s="1198" t="s">
        <v>17</v>
      </c>
      <c r="N59" s="1199"/>
      <c r="O59" s="1200" t="e">
        <f t="shared" ref="O59:CB59" si="358">SUM(O2:O58,O64:O168)</f>
        <v>#VALUE!</v>
      </c>
      <c r="P59" s="1200" t="e">
        <f t="shared" si="358"/>
        <v>#VALUE!</v>
      </c>
      <c r="Q59" s="1200">
        <f t="shared" si="358"/>
        <v>32169863.32</v>
      </c>
      <c r="R59" s="1200">
        <f t="shared" si="358"/>
        <v>61864857.320000008</v>
      </c>
      <c r="S59" s="1200">
        <f t="shared" si="358"/>
        <v>0</v>
      </c>
      <c r="T59" s="1200">
        <f t="shared" si="358"/>
        <v>0</v>
      </c>
      <c r="U59" s="1200">
        <f t="shared" si="358"/>
        <v>42678653.000000015</v>
      </c>
      <c r="V59" s="1200" t="e">
        <f t="shared" si="358"/>
        <v>#VALUE!</v>
      </c>
      <c r="W59" s="1200" t="e">
        <f t="shared" si="358"/>
        <v>#VALUE!</v>
      </c>
      <c r="X59" s="1200">
        <f t="shared" si="358"/>
        <v>38354692.279999994</v>
      </c>
      <c r="Y59" s="1200">
        <f t="shared" si="358"/>
        <v>70918819.600000024</v>
      </c>
      <c r="Z59" s="1200">
        <f t="shared" si="358"/>
        <v>0</v>
      </c>
      <c r="AA59" s="1200">
        <f t="shared" si="358"/>
        <v>0</v>
      </c>
      <c r="AB59" s="1200">
        <f t="shared" si="358"/>
        <v>37173260.74000001</v>
      </c>
      <c r="AC59" s="1200" t="e">
        <f t="shared" si="358"/>
        <v>#VALUE!</v>
      </c>
      <c r="AD59" s="1200" t="e">
        <f t="shared" si="358"/>
        <v>#VALUE!</v>
      </c>
      <c r="AE59" s="1200">
        <f t="shared" si="358"/>
        <v>32726053.829999994</v>
      </c>
      <c r="AF59" s="1200">
        <f t="shared" si="358"/>
        <v>56849752.589999996</v>
      </c>
      <c r="AG59" s="1200">
        <f t="shared" si="358"/>
        <v>0</v>
      </c>
      <c r="AH59" s="1200">
        <f t="shared" si="358"/>
        <v>0</v>
      </c>
      <c r="AI59" s="1200" t="e">
        <f t="shared" si="358"/>
        <v>#VALUE!</v>
      </c>
      <c r="AJ59" s="1200">
        <f t="shared" si="358"/>
        <v>296533212.56999987</v>
      </c>
      <c r="AK59" s="1200" t="e">
        <f t="shared" si="358"/>
        <v>#VALUE!</v>
      </c>
      <c r="AL59" s="1200" t="e">
        <f t="shared" si="358"/>
        <v>#VALUE!</v>
      </c>
      <c r="AM59" s="1200" t="e">
        <f t="shared" si="358"/>
        <v>#VALUE!</v>
      </c>
      <c r="AN59" s="1200" t="e">
        <f t="shared" si="358"/>
        <v>#VALUE!</v>
      </c>
      <c r="AO59" s="1200" t="e">
        <f t="shared" si="358"/>
        <v>#VALUE!</v>
      </c>
      <c r="AP59" s="1200">
        <f t="shared" si="358"/>
        <v>43182875.070000008</v>
      </c>
      <c r="AQ59" s="1200" t="e">
        <f t="shared" si="358"/>
        <v>#VALUE!</v>
      </c>
      <c r="AR59" s="1200">
        <f t="shared" si="358"/>
        <v>33675759.850000016</v>
      </c>
      <c r="AS59" s="1200">
        <f t="shared" si="358"/>
        <v>50914156.969999984</v>
      </c>
      <c r="AT59" s="1200">
        <f t="shared" si="358"/>
        <v>39150095.479999989</v>
      </c>
      <c r="AU59" s="1200" t="e">
        <f t="shared" si="358"/>
        <v>#VALUE!</v>
      </c>
      <c r="AV59" s="1200">
        <f t="shared" si="358"/>
        <v>32225411.650000002</v>
      </c>
      <c r="AW59" s="1200">
        <f t="shared" si="358"/>
        <v>54651071.619999975</v>
      </c>
      <c r="AX59" s="1200">
        <f t="shared" si="358"/>
        <v>32416506.279999994</v>
      </c>
      <c r="AY59" s="1200" t="e">
        <f t="shared" si="358"/>
        <v>#VALUE!</v>
      </c>
      <c r="AZ59" s="1200">
        <f t="shared" si="358"/>
        <v>36827072.369999997</v>
      </c>
      <c r="BA59" s="1200">
        <f t="shared" si="358"/>
        <v>55550152.039999984</v>
      </c>
      <c r="BB59" s="1200" t="e">
        <f t="shared" si="358"/>
        <v>#VALUE!</v>
      </c>
      <c r="BC59" s="1200">
        <f t="shared" si="358"/>
        <v>102728243.86999999</v>
      </c>
      <c r="BD59" s="1200">
        <f t="shared" si="358"/>
        <v>161115380.63000008</v>
      </c>
      <c r="BE59" s="1200" t="e">
        <f t="shared" si="358"/>
        <v>#VALUE!</v>
      </c>
      <c r="BF59" s="1200" t="e">
        <f t="shared" si="358"/>
        <v>#VALUE!</v>
      </c>
      <c r="BG59" s="1200" t="e">
        <f t="shared" si="358"/>
        <v>#VALUE!</v>
      </c>
      <c r="BH59" s="1200">
        <f t="shared" si="358"/>
        <v>52295017.540000036</v>
      </c>
      <c r="BI59" s="292" t="e">
        <f t="shared" si="358"/>
        <v>#VALUE!</v>
      </c>
      <c r="BJ59" s="291">
        <f t="shared" si="358"/>
        <v>43640395.509999998</v>
      </c>
      <c r="BK59" s="291">
        <f t="shared" si="358"/>
        <v>65256959.29999999</v>
      </c>
      <c r="BL59" s="291">
        <f t="shared" si="358"/>
        <v>56887221.279999949</v>
      </c>
      <c r="BM59" s="291" t="e">
        <f t="shared" si="358"/>
        <v>#VALUE!</v>
      </c>
      <c r="BN59" s="291">
        <f t="shared" si="358"/>
        <v>43735992.810000002</v>
      </c>
      <c r="BO59" s="291">
        <f t="shared" si="358"/>
        <v>71017744.440000013</v>
      </c>
      <c r="BP59" s="291">
        <f t="shared" si="358"/>
        <v>40545600.580000013</v>
      </c>
      <c r="BQ59" s="291" t="e">
        <f t="shared" si="358"/>
        <v>#VALUE!</v>
      </c>
      <c r="BR59" s="291">
        <f t="shared" si="358"/>
        <v>37146077.650000006</v>
      </c>
      <c r="BS59" s="291">
        <f t="shared" si="358"/>
        <v>62820258.790000007</v>
      </c>
      <c r="BT59" s="292" t="e">
        <f t="shared" si="358"/>
        <v>#VALUE!</v>
      </c>
      <c r="BU59" s="291">
        <f t="shared" si="358"/>
        <v>124522465.97000003</v>
      </c>
      <c r="BV59" s="291">
        <f t="shared" si="358"/>
        <v>199094962.52999994</v>
      </c>
      <c r="BW59" s="291">
        <f t="shared" si="358"/>
        <v>72165503.200000018</v>
      </c>
      <c r="BX59" s="292" t="e">
        <f t="shared" si="358"/>
        <v>#VALUE!</v>
      </c>
      <c r="BY59" s="291">
        <f t="shared" si="358"/>
        <v>35522542.93999999</v>
      </c>
      <c r="BZ59" s="291">
        <f t="shared" si="358"/>
        <v>79224135.789999992</v>
      </c>
      <c r="CA59" s="291">
        <f t="shared" si="358"/>
        <v>49351220.75</v>
      </c>
      <c r="CB59" s="291">
        <f t="shared" si="358"/>
        <v>60248529.569999993</v>
      </c>
      <c r="CC59" s="188"/>
      <c r="CD59" s="188"/>
      <c r="CE59" s="188"/>
      <c r="CF59" s="188"/>
      <c r="CG59" s="188"/>
      <c r="CH59" s="188"/>
      <c r="CI59" s="188"/>
      <c r="CJ59" s="188"/>
      <c r="CK59" s="188"/>
      <c r="CL59" s="188"/>
      <c r="CM59" s="188"/>
      <c r="CN59" s="188"/>
      <c r="CO59" s="188"/>
      <c r="CP59" s="572"/>
      <c r="CQ59" s="188"/>
      <c r="CR59" s="188"/>
      <c r="CS59" s="188"/>
      <c r="CT59" s="188"/>
      <c r="CU59" s="572"/>
      <c r="CV59" s="188"/>
      <c r="CW59" s="188"/>
      <c r="CX59" s="188"/>
      <c r="CY59" s="188"/>
      <c r="CZ59" s="188"/>
      <c r="DA59" s="188"/>
      <c r="DB59" s="188"/>
      <c r="DC59" s="188"/>
      <c r="DD59" s="188"/>
      <c r="DE59" s="188"/>
      <c r="DF59" s="188"/>
      <c r="DG59" s="188"/>
      <c r="DH59" s="188"/>
      <c r="DI59" s="188"/>
      <c r="DJ59" s="188"/>
      <c r="DK59" s="188"/>
    </row>
    <row r="60" spans="1:115" ht="13">
      <c r="A60" s="82"/>
      <c r="B60" s="642"/>
      <c r="C60" s="642"/>
      <c r="D60" s="642"/>
      <c r="E60" s="642"/>
      <c r="F60" s="1201"/>
      <c r="G60" s="642"/>
      <c r="H60" s="642"/>
      <c r="I60" s="642"/>
      <c r="J60" s="642"/>
      <c r="K60" s="642"/>
      <c r="L60" s="642"/>
      <c r="M60" s="302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299"/>
      <c r="AP60" s="188"/>
      <c r="AQ60" s="1202"/>
      <c r="AR60" s="1202"/>
      <c r="AS60" s="1202"/>
      <c r="AT60" s="1202"/>
      <c r="AU60" s="1202"/>
      <c r="AV60" s="1202"/>
      <c r="AW60" s="1202"/>
      <c r="AX60" s="1202"/>
      <c r="AY60" s="1202"/>
      <c r="AZ60" s="1202"/>
      <c r="BA60" s="1202"/>
      <c r="BB60" s="1202"/>
      <c r="BC60" s="1202"/>
      <c r="BD60" s="1202"/>
      <c r="BE60" s="1202"/>
      <c r="BF60" s="1202"/>
      <c r="BG60" s="1202"/>
      <c r="BH60" s="1202"/>
      <c r="BI60" s="188"/>
      <c r="BJ60" s="188"/>
      <c r="BK60" s="188"/>
      <c r="BL60" s="188"/>
      <c r="BM60" s="779"/>
      <c r="BN60" s="779"/>
      <c r="BO60" s="779"/>
      <c r="BP60" s="188"/>
      <c r="BQ60" s="296"/>
      <c r="BR60" s="296"/>
      <c r="BS60" s="296"/>
      <c r="BT60" s="296"/>
      <c r="BU60" s="188"/>
      <c r="BV60" s="296"/>
      <c r="BW60" s="188"/>
      <c r="BX60" s="188"/>
      <c r="BY60" s="188"/>
      <c r="BZ60" s="188"/>
      <c r="CA60" s="188"/>
      <c r="CB60" s="188"/>
      <c r="CP60" s="294"/>
      <c r="CU60" s="294"/>
    </row>
    <row r="61" spans="1:115" ht="13">
      <c r="A61" s="82"/>
      <c r="B61" s="642"/>
      <c r="C61" s="642"/>
      <c r="D61" s="642"/>
      <c r="E61" s="642"/>
      <c r="F61" s="1201"/>
      <c r="G61" s="642"/>
      <c r="H61" s="642"/>
      <c r="I61" s="642"/>
      <c r="J61" s="642"/>
      <c r="K61" s="642"/>
      <c r="L61" s="642"/>
      <c r="M61" s="619" t="s">
        <v>227</v>
      </c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299"/>
      <c r="AP61" s="188"/>
      <c r="AQ61" s="1202"/>
      <c r="AR61" s="1202"/>
      <c r="AS61" s="1202"/>
      <c r="AT61" s="1202"/>
      <c r="AU61" s="1202"/>
      <c r="AV61" s="1202"/>
      <c r="AW61" s="1202"/>
      <c r="AX61" s="1202"/>
      <c r="AY61" s="1202"/>
      <c r="AZ61" s="1202"/>
      <c r="BA61" s="1202"/>
      <c r="BB61" s="1202"/>
      <c r="BC61" s="1202"/>
      <c r="BD61" s="1202"/>
      <c r="BE61" s="1202"/>
      <c r="BF61" s="1202"/>
      <c r="BG61" s="1202"/>
      <c r="BH61" s="1202"/>
      <c r="BI61" s="188"/>
      <c r="BJ61" s="188"/>
      <c r="BK61" s="188"/>
      <c r="BL61" s="188"/>
      <c r="BM61" s="296"/>
      <c r="BN61" s="296"/>
      <c r="BO61" s="296"/>
      <c r="BP61" s="188"/>
      <c r="BQ61" s="296"/>
      <c r="BR61" s="296"/>
      <c r="BS61" s="296"/>
      <c r="BT61" s="296"/>
      <c r="BU61" s="188"/>
      <c r="BV61" s="296"/>
      <c r="BW61" s="188"/>
      <c r="BX61" s="188"/>
      <c r="BY61" s="188"/>
      <c r="BZ61" s="188"/>
      <c r="CA61" s="188"/>
      <c r="CB61" s="188"/>
      <c r="CP61" s="294"/>
      <c r="CU61" s="294"/>
    </row>
    <row r="62" spans="1:115" ht="13">
      <c r="A62" s="1203"/>
      <c r="B62" s="1204"/>
      <c r="C62" s="1204"/>
      <c r="D62" s="1204"/>
      <c r="E62" s="1204"/>
      <c r="F62" s="1205"/>
      <c r="G62" s="1204"/>
      <c r="H62" s="1204"/>
      <c r="I62" s="1204"/>
      <c r="J62" s="1204"/>
      <c r="K62" s="1204"/>
      <c r="L62" s="1204"/>
      <c r="M62" s="484" t="s">
        <v>228</v>
      </c>
      <c r="N62" s="1206"/>
      <c r="O62" s="1206"/>
      <c r="P62" s="1206"/>
      <c r="Q62" s="1206"/>
      <c r="R62" s="1206"/>
      <c r="S62" s="1206"/>
      <c r="T62" s="1206"/>
      <c r="U62" s="1206"/>
      <c r="V62" s="1206"/>
      <c r="W62" s="1206"/>
      <c r="X62" s="1206"/>
      <c r="Y62" s="1206"/>
      <c r="Z62" s="1206"/>
      <c r="AA62" s="1206"/>
      <c r="AB62" s="1206"/>
      <c r="AC62" s="1206"/>
      <c r="AD62" s="1206"/>
      <c r="AE62" s="1206"/>
      <c r="AF62" s="1206"/>
      <c r="AG62" s="1206"/>
      <c r="AH62" s="1206"/>
      <c r="AI62" s="1206"/>
      <c r="AJ62" s="1206"/>
      <c r="AK62" s="1206"/>
      <c r="AL62" s="1206"/>
      <c r="AM62" s="1206"/>
      <c r="AN62" s="1206"/>
      <c r="AO62" s="1207"/>
      <c r="AP62" s="1206"/>
      <c r="AQ62" s="1206"/>
      <c r="AR62" s="1206"/>
      <c r="AS62" s="1206"/>
      <c r="AT62" s="1206"/>
      <c r="AU62" s="1206"/>
      <c r="AV62" s="1206"/>
      <c r="AW62" s="1206"/>
      <c r="AX62" s="1206"/>
      <c r="AY62" s="1206"/>
      <c r="AZ62" s="1206"/>
      <c r="BA62" s="1206"/>
      <c r="BB62" s="1206"/>
      <c r="BC62" s="1206"/>
      <c r="BD62" s="1206"/>
      <c r="BE62" s="1206"/>
      <c r="BF62" s="1206"/>
      <c r="BG62" s="1206"/>
      <c r="BH62" s="1206"/>
      <c r="BI62" s="188"/>
      <c r="BJ62" s="188"/>
      <c r="BK62" s="188"/>
      <c r="BL62" s="188"/>
      <c r="BM62" s="296"/>
      <c r="BN62" s="296"/>
      <c r="BO62" s="296"/>
      <c r="BP62" s="188"/>
      <c r="BQ62" s="296"/>
      <c r="BR62" s="296"/>
      <c r="BS62" s="296"/>
      <c r="BT62" s="296"/>
      <c r="BU62" s="188"/>
      <c r="BV62" s="296"/>
      <c r="BW62" s="188"/>
      <c r="BX62" s="188"/>
      <c r="BY62" s="188"/>
      <c r="BZ62" s="188"/>
      <c r="CA62" s="188"/>
      <c r="CB62" s="188"/>
      <c r="CE62" s="1208"/>
      <c r="CF62" s="1208"/>
      <c r="CG62" s="1208"/>
      <c r="CH62" s="1208"/>
      <c r="CI62" s="1208"/>
      <c r="CJ62" s="1208"/>
      <c r="CK62" s="1208"/>
      <c r="CL62" s="1208"/>
      <c r="CM62" s="1208"/>
      <c r="CN62" s="1208"/>
      <c r="CO62" s="1208"/>
      <c r="CP62" s="1209"/>
      <c r="CQ62" s="1208"/>
      <c r="CR62" s="1208"/>
      <c r="CS62" s="1208"/>
      <c r="CT62" s="1208"/>
      <c r="CU62" s="1209"/>
      <c r="CV62" s="1208"/>
      <c r="CW62" s="1208"/>
      <c r="CX62" s="1208"/>
      <c r="CY62" s="1208"/>
      <c r="CZ62" s="1208"/>
      <c r="DA62" s="1208"/>
      <c r="DB62" s="1208"/>
      <c r="DC62" s="1208"/>
      <c r="DD62" s="1208"/>
      <c r="DE62" s="1208"/>
      <c r="DF62" s="1208"/>
      <c r="DG62" s="1208"/>
      <c r="DH62" s="1208"/>
      <c r="DI62" s="1208"/>
      <c r="DJ62" s="1208"/>
      <c r="DK62" s="1208"/>
    </row>
    <row r="63" spans="1:115" ht="13">
      <c r="A63" s="2"/>
      <c r="B63" s="294"/>
      <c r="F63" s="296"/>
      <c r="J63" s="302"/>
      <c r="AO63" s="1210"/>
      <c r="CP63" s="294"/>
      <c r="CU63" s="294"/>
    </row>
    <row r="64" spans="1:115" ht="13">
      <c r="A64" s="621" t="e">
        <f>VLOOKUP(M64,MARUCACARTERA,3,FALSE)</f>
        <v>#N/A</v>
      </c>
      <c r="B64" s="622">
        <v>20</v>
      </c>
      <c r="C64" s="774">
        <f t="shared" ref="C64:C95" si="359">IFERROR(VLOOKUP(B64,DES,2,FALSE),"")</f>
        <v>0.05</v>
      </c>
      <c r="D64" s="774">
        <f t="shared" ref="D64:D95" si="360">IFERROR(VLOOKUP(B64,DES,3,FALSE),"")</f>
        <v>0.09</v>
      </c>
      <c r="E64" s="774">
        <f t="shared" ref="E64:E95" si="361">IFERROR(VLOOKUP(B64,DES,4,FALSE),"")</f>
        <v>0</v>
      </c>
      <c r="F64" s="775"/>
      <c r="G64" s="774"/>
      <c r="H64" s="774"/>
      <c r="I64" s="1095"/>
      <c r="J64" s="621"/>
      <c r="K64" s="774"/>
      <c r="L64" s="1097"/>
      <c r="M64" s="1211" t="s">
        <v>1158</v>
      </c>
      <c r="N64" s="1212" t="str">
        <f t="shared" ref="N64:N72" si="362">IFERROR(VLOOKUP(M64,MARUCA24,3,FALSE),"")</f>
        <v/>
      </c>
      <c r="O64" s="489">
        <v>1500000</v>
      </c>
      <c r="P64" s="489"/>
      <c r="Q64" s="630" t="str">
        <f t="shared" ref="Q64:Q80" si="363">IFERROR(VLOOKUP(M64,MARUCAALIM,3,FALSE),"")</f>
        <v/>
      </c>
      <c r="R64" s="630" t="str">
        <f t="shared" ref="R64:R80" si="364">IFERROR(VLOOKUP(M64,MARUFC,3,FALSE),"")</f>
        <v/>
      </c>
      <c r="S64" s="489"/>
      <c r="T64" s="489"/>
      <c r="U64" s="312" t="str">
        <f t="shared" ref="U64:U73" si="365">IFERROR(VLOOKUP(M64,MARUCA24,4,FALSE),"")</f>
        <v/>
      </c>
      <c r="V64" s="489">
        <v>1500000</v>
      </c>
      <c r="W64" s="489"/>
      <c r="X64" s="489"/>
      <c r="Y64" s="489"/>
      <c r="Z64" s="489"/>
      <c r="AA64" s="489"/>
      <c r="AB64" s="312" t="str">
        <f t="shared" ref="AB64:AB73" si="366">IFERROR(VLOOKUP(M64,MARUCA24,5,FALSE),"")</f>
        <v/>
      </c>
      <c r="AC64" s="489">
        <v>1500000</v>
      </c>
      <c r="AD64" s="489"/>
      <c r="AE64" s="489"/>
      <c r="AF64" s="489"/>
      <c r="AG64" s="489"/>
      <c r="AH64" s="489"/>
      <c r="AI64" s="312">
        <f t="shared" ref="AI64:AI72" si="367">SUM(O64,V64,AC64)</f>
        <v>4500000</v>
      </c>
      <c r="AJ64" s="312"/>
      <c r="AK64" s="312"/>
      <c r="AL64" s="312"/>
      <c r="AM64" s="312"/>
      <c r="AN64" s="312"/>
      <c r="AO64" s="1213"/>
      <c r="AP64" s="312" t="str">
        <f t="shared" ref="AP64:AP72" si="368">IFERROR(VLOOKUP(M64,MARUCA24,6,FALSE),"")</f>
        <v/>
      </c>
      <c r="AQ64" s="312"/>
      <c r="AR64" s="312"/>
      <c r="AS64" s="312"/>
      <c r="AT64" s="312" t="str">
        <f t="shared" ref="AT64:AT72" si="369">IFERROR(VLOOKUP(M64,MARUCA24,7,FALSE),"")</f>
        <v/>
      </c>
      <c r="AU64" s="312"/>
      <c r="AV64" s="312"/>
      <c r="AW64" s="312"/>
      <c r="AX64" s="312" t="str">
        <f t="shared" ref="AX64:AX72" si="370">IFERROR(VLOOKUP(M64,MARUCA24,8,FALSE),"")</f>
        <v/>
      </c>
      <c r="AY64" s="312"/>
      <c r="AZ64" s="312"/>
      <c r="BA64" s="312"/>
      <c r="BB64" s="312"/>
      <c r="BC64" s="312"/>
      <c r="BD64" s="312"/>
      <c r="BE64" s="312"/>
      <c r="BF64" s="312"/>
      <c r="BG64" s="312"/>
      <c r="BH64" s="312" t="str">
        <f t="shared" ref="BH64:BH72" si="371">IFERROR(VLOOKUP(M64,MARUCA24,9,FALSE),"")</f>
        <v/>
      </c>
      <c r="BI64" s="312"/>
      <c r="BJ64" s="312"/>
      <c r="BK64" s="312"/>
      <c r="BL64" s="318" t="str">
        <f t="shared" ref="BL64:BL72" si="372">IFERROR(VLOOKUP(M64,MARUCA24,10,FALSE),"")</f>
        <v/>
      </c>
      <c r="BM64" s="319"/>
      <c r="BN64" s="312"/>
      <c r="BO64" s="320"/>
      <c r="BP64" s="321" t="str">
        <f t="shared" ref="BP64:BP72" si="373">IFERROR(VLOOKUP(M64,MARUCA24,11,FALSE),"")</f>
        <v/>
      </c>
      <c r="BQ64" s="312"/>
      <c r="BR64" s="312"/>
      <c r="BS64" s="318"/>
      <c r="BT64" s="319"/>
      <c r="BU64" s="312"/>
      <c r="BV64" s="320"/>
      <c r="BW64" s="321" t="str">
        <f t="shared" ref="BW64:BW72" si="374">IFERROR(VLOOKUP(M64,MARUCA24,12,FALSE),"")</f>
        <v/>
      </c>
      <c r="BX64" s="312"/>
      <c r="BY64" s="312"/>
      <c r="BZ64" s="320"/>
      <c r="CA64" s="123" t="str">
        <f t="shared" ref="CA64:CA72" si="375">IFERROR(VLOOKUP(M64,MARUCA24,13,FALSE),"")</f>
        <v/>
      </c>
      <c r="CB64" s="326" t="str">
        <f t="shared" ref="CB64:CB72" si="376">IFERROR(VLOOKUP(M64,MARUCA24,14,FALSE),"")</f>
        <v/>
      </c>
      <c r="CP64" s="294"/>
      <c r="CU64" s="294"/>
    </row>
    <row r="65" spans="1:99" ht="13">
      <c r="A65" s="566" t="e">
        <f t="shared" ref="A65:A91" si="377">VLOOKUP(M65,MARCART4,3,FALSE)</f>
        <v>#N/A</v>
      </c>
      <c r="B65" s="636">
        <f t="shared" ref="B65:B80" si="378">VLOOKUP(M65,MARUCACARTERA,2,FALSE)</f>
        <v>4</v>
      </c>
      <c r="C65" s="558" t="str">
        <f t="shared" si="359"/>
        <v>Lista</v>
      </c>
      <c r="D65" s="558">
        <f t="shared" si="360"/>
        <v>0.2</v>
      </c>
      <c r="E65" s="559">
        <f t="shared" si="361"/>
        <v>0</v>
      </c>
      <c r="F65" s="836">
        <f t="shared" ref="F65:F91" si="379">VLOOKUP(M65,MARUCART2,2,FALSE)</f>
        <v>4</v>
      </c>
      <c r="G65" s="558" t="str">
        <f t="shared" ref="G65:G91" si="380">IFERROR(VLOOKUP(F65,DES,2,FALSE),"")</f>
        <v>Lista</v>
      </c>
      <c r="H65" s="558">
        <f t="shared" ref="H65:H91" si="381">IFERROR(VLOOKUP(F65,DES,3,FALSE),"")</f>
        <v>0.2</v>
      </c>
      <c r="I65" s="559">
        <f t="shared" ref="I65:I91" si="382">IFERROR(VLOOKUP(F65,DES,4,FALSE),"")</f>
        <v>0</v>
      </c>
      <c r="J65" s="1214">
        <f t="shared" ref="J65:J91" si="383">VLOOKUP(M65,CART.MAR.3,2,FALSE)</f>
        <v>70</v>
      </c>
      <c r="K65" s="558" t="str">
        <f t="shared" ref="K65:K80" si="384">VLOOKUP(J65,A458DC1025,2,FALSE)</f>
        <v>Lista</v>
      </c>
      <c r="L65" s="715">
        <f t="shared" ref="L65:L80" si="385">VLOOKUP(J65,A458DC1025,3,FALSE)</f>
        <v>0.11</v>
      </c>
      <c r="M65" s="1173" t="s">
        <v>1159</v>
      </c>
      <c r="N65" s="1174">
        <f t="shared" si="362"/>
        <v>118501.6</v>
      </c>
      <c r="O65" s="332">
        <f t="shared" ref="O65:O72" si="386">(N65*1.601)*1.05</f>
        <v>199207.11468000003</v>
      </c>
      <c r="P65" s="173">
        <f t="shared" ref="P65:P80" si="387">R65-Q65</f>
        <v>0</v>
      </c>
      <c r="Q65" s="561">
        <f t="shared" si="363"/>
        <v>148469.54</v>
      </c>
      <c r="R65" s="1112">
        <f t="shared" si="364"/>
        <v>148469.54</v>
      </c>
      <c r="S65" s="123"/>
      <c r="T65" s="326"/>
      <c r="U65" s="326">
        <f t="shared" si="365"/>
        <v>147892.81</v>
      </c>
      <c r="V65" s="332">
        <f t="shared" ref="V65:V73" si="388">(U65*1.7245)*1.03</f>
        <v>262692.38537034998</v>
      </c>
      <c r="W65" s="173">
        <f t="shared" ref="W65:W80" si="389">Y65-X65</f>
        <v>0</v>
      </c>
      <c r="X65" s="561">
        <f t="shared" ref="X65:X80" si="390">IFERROR(VLOOKUP(M65,MARUCAALIM,4,FALSE),"")</f>
        <v>0</v>
      </c>
      <c r="Y65" s="1112">
        <f t="shared" ref="Y65:Y80" si="391">IFERROR(VLOOKUP(M65,MARUFC,4,FALSE),"")</f>
        <v>0</v>
      </c>
      <c r="Z65" s="123"/>
      <c r="AA65" s="326"/>
      <c r="AB65" s="326">
        <f t="shared" si="366"/>
        <v>0</v>
      </c>
      <c r="AC65" s="332">
        <f t="shared" ref="AC65:AC73" si="392">(AB65*1.5955)*1.03</f>
        <v>0</v>
      </c>
      <c r="AD65" s="173">
        <f t="shared" ref="AD65:AD80" si="393">AF65-AE65</f>
        <v>0</v>
      </c>
      <c r="AE65" s="561">
        <f t="shared" ref="AE65:AE80" si="394">IFERROR(VLOOKUP(M65,MARUCAALIM,5,FALSE),"")</f>
        <v>0</v>
      </c>
      <c r="AF65" s="1112">
        <f t="shared" ref="AF65:AF80" si="395">IFERROR(VLOOKUP(M65,MARUFC,5,FALSE),"")</f>
        <v>0</v>
      </c>
      <c r="AG65" s="123"/>
      <c r="AH65" s="326"/>
      <c r="AI65" s="332">
        <f t="shared" si="367"/>
        <v>461899.50005034998</v>
      </c>
      <c r="AJ65" s="140">
        <f t="shared" ref="AJ65:AJ80" si="396">IFERROR(VLOOKUP(M65,trim2024,2,FALSE),"0")</f>
        <v>215455.45</v>
      </c>
      <c r="AK65" s="326">
        <f t="shared" ref="AK65:AM65" si="397">AD65+W65+P65</f>
        <v>0</v>
      </c>
      <c r="AL65" s="326">
        <f t="shared" si="397"/>
        <v>148469.54</v>
      </c>
      <c r="AM65" s="326">
        <f t="shared" si="397"/>
        <v>148469.54</v>
      </c>
      <c r="AN65" s="326">
        <f t="shared" ref="AN65:AN80" si="398">AM65-AJ65</f>
        <v>-66985.91</v>
      </c>
      <c r="AO65" s="98">
        <f t="shared" ref="AO65:AO80" si="399">IFERROR(AM65/AJ65,"")</f>
        <v>0.68909623776052076</v>
      </c>
      <c r="AP65" s="125">
        <f t="shared" si="368"/>
        <v>70970.039999999994</v>
      </c>
      <c r="AQ65" s="326">
        <f t="shared" ref="AQ65:AQ91" si="400">AS65-AR65</f>
        <v>0</v>
      </c>
      <c r="AR65" s="326">
        <f t="shared" ref="AR65:AR91" si="401">IFERROR(VLOOKUP(M65,MARUCAALIM,6,FALSE),"")</f>
        <v>0</v>
      </c>
      <c r="AS65" s="123">
        <f t="shared" ref="AS65:AS91" si="402">IFERROR(VLOOKUP(M65,MARUFC,6,FALSE),"")</f>
        <v>0</v>
      </c>
      <c r="AT65" s="332">
        <f t="shared" si="369"/>
        <v>89735.91</v>
      </c>
      <c r="AU65" s="140">
        <f t="shared" ref="AU65:AU91" si="403">AW65-AV65</f>
        <v>0</v>
      </c>
      <c r="AV65" s="326">
        <f t="shared" ref="AV65:AV91" si="404">IFERROR(VLOOKUP(M65,MARUCAALIM,7,FALSE),"")</f>
        <v>0</v>
      </c>
      <c r="AW65" s="333">
        <f t="shared" ref="AW65:AW91" si="405">IFERROR(VLOOKUP(M65,MARUFC,7,FALSE),"")</f>
        <v>0</v>
      </c>
      <c r="AX65" s="123">
        <f t="shared" si="370"/>
        <v>0</v>
      </c>
      <c r="AY65" s="123">
        <f t="shared" ref="AY65:AY91" si="406">BA65-AZ65</f>
        <v>0</v>
      </c>
      <c r="AZ65" s="123">
        <f t="shared" ref="AZ65:AZ91" si="407">IFERROR(VLOOKUP(M65,MARUCAALIM,8,FALSE),"")</f>
        <v>0</v>
      </c>
      <c r="BA65" s="125">
        <f t="shared" ref="BA65:BA91" si="408">IFERROR(VLOOKUP(M65,MARUFC,8,FALSE),"")</f>
        <v>0</v>
      </c>
      <c r="BB65" s="1175">
        <f t="shared" ref="BB65:BD65" si="409">SUM(AQ65,AU65,AY65)</f>
        <v>0</v>
      </c>
      <c r="BC65" s="326">
        <f t="shared" si="409"/>
        <v>0</v>
      </c>
      <c r="BD65" s="333">
        <f t="shared" si="409"/>
        <v>0</v>
      </c>
      <c r="BE65" s="100">
        <f t="shared" ref="BE65:BE91" si="410">SUM(BB65,AK65)</f>
        <v>0</v>
      </c>
      <c r="BF65" s="116">
        <f t="shared" ref="BF65:BG65" si="411">BC65+AL65</f>
        <v>148469.54</v>
      </c>
      <c r="BG65" s="119">
        <f t="shared" si="411"/>
        <v>148469.54</v>
      </c>
      <c r="BH65" s="125">
        <f t="shared" si="371"/>
        <v>130724.87</v>
      </c>
      <c r="BI65" s="1041">
        <f t="shared" ref="BI65:BI91" si="412">BK65-BJ65</f>
        <v>0</v>
      </c>
      <c r="BJ65" s="326">
        <f t="shared" ref="BJ65:BJ91" si="413">IFERROR(VLOOKUP(M65,MARUCAALIM,9,FALSE),"")</f>
        <v>0</v>
      </c>
      <c r="BK65" s="1045">
        <f t="shared" ref="BK65:BK91" si="414">IFERROR(VLOOKUP(M65,MARUFC,9,FALSE),"")</f>
        <v>0</v>
      </c>
      <c r="BL65" s="125">
        <f t="shared" si="372"/>
        <v>489102.73</v>
      </c>
      <c r="BM65" s="140">
        <f t="shared" ref="BM65:BM91" si="415">BO65-BN65</f>
        <v>0</v>
      </c>
      <c r="BN65" s="123">
        <f t="shared" ref="BN65:BN91" si="416">IFERROR(VLOOKUP(M65,MARUCAALIM,10,FALSE),"")</f>
        <v>0</v>
      </c>
      <c r="BO65" s="148">
        <f t="shared" ref="BO65:BO91" si="417">IFERROR(VLOOKUP(M65,MARUFC,10,FALSE),"")</f>
        <v>0</v>
      </c>
      <c r="BP65" s="123">
        <f t="shared" si="373"/>
        <v>0</v>
      </c>
      <c r="BQ65" s="123">
        <f t="shared" ref="BQ65:BQ91" si="418">BS65-BR65</f>
        <v>0</v>
      </c>
      <c r="BR65" s="123">
        <f t="shared" ref="BR65:BR91" si="419">IFERROR(VLOOKUP(M65,MARUCAALIM,11,FALSE),"")</f>
        <v>146861.84</v>
      </c>
      <c r="BS65" s="125">
        <f t="shared" ref="BS65:BS91" si="420">IFERROR(VLOOKUP(M65,MARUFC,11,FALSE),"")</f>
        <v>146861.84</v>
      </c>
      <c r="BT65" s="140">
        <f t="shared" ref="BT65:BV65" si="421">SUM(BQ65,BM65,BI65)</f>
        <v>0</v>
      </c>
      <c r="BU65" s="123">
        <f t="shared" si="421"/>
        <v>146861.84</v>
      </c>
      <c r="BV65" s="148">
        <f t="shared" si="421"/>
        <v>146861.84</v>
      </c>
      <c r="BW65" s="125">
        <f t="shared" si="374"/>
        <v>109818.34</v>
      </c>
      <c r="BX65" s="140">
        <f t="shared" ref="BX65:BX91" si="422">BZ65-BY65</f>
        <v>0</v>
      </c>
      <c r="BY65" s="123">
        <f t="shared" ref="BY65:BY91" si="423">IFERROR(VLOOKUP(M65,MARUCAALIM,12,FALSE),"")</f>
        <v>0</v>
      </c>
      <c r="BZ65" s="148">
        <f t="shared" ref="BZ65:BZ91" si="424">IFERROR(VLOOKUP(M65,MARUFC,12,FALSE),"")</f>
        <v>0</v>
      </c>
      <c r="CA65" s="123">
        <f t="shared" si="375"/>
        <v>105637.11</v>
      </c>
      <c r="CB65" s="326">
        <f t="shared" si="376"/>
        <v>0</v>
      </c>
      <c r="CP65" s="294"/>
      <c r="CU65" s="294"/>
    </row>
    <row r="66" spans="1:99" ht="13">
      <c r="A66" s="566" t="e">
        <f t="shared" si="377"/>
        <v>#N/A</v>
      </c>
      <c r="B66" s="636">
        <f t="shared" si="378"/>
        <v>4</v>
      </c>
      <c r="C66" s="558" t="str">
        <f t="shared" si="359"/>
        <v>Lista</v>
      </c>
      <c r="D66" s="558">
        <f t="shared" si="360"/>
        <v>0.2</v>
      </c>
      <c r="E66" s="559">
        <f t="shared" si="361"/>
        <v>0</v>
      </c>
      <c r="F66" s="836">
        <f t="shared" si="379"/>
        <v>4</v>
      </c>
      <c r="G66" s="558" t="str">
        <f t="shared" si="380"/>
        <v>Lista</v>
      </c>
      <c r="H66" s="558">
        <f t="shared" si="381"/>
        <v>0.2</v>
      </c>
      <c r="I66" s="559">
        <f t="shared" si="382"/>
        <v>0</v>
      </c>
      <c r="J66" s="1214">
        <f t="shared" si="383"/>
        <v>70</v>
      </c>
      <c r="K66" s="558" t="str">
        <f t="shared" si="384"/>
        <v>Lista</v>
      </c>
      <c r="L66" s="715">
        <f t="shared" si="385"/>
        <v>0.11</v>
      </c>
      <c r="M66" s="1173" t="s">
        <v>1160</v>
      </c>
      <c r="N66" s="1174">
        <f t="shared" si="362"/>
        <v>275978.56</v>
      </c>
      <c r="O66" s="332">
        <f t="shared" si="386"/>
        <v>463933.75828800001</v>
      </c>
      <c r="P66" s="173">
        <f t="shared" si="387"/>
        <v>0</v>
      </c>
      <c r="Q66" s="561">
        <f t="shared" si="363"/>
        <v>307009.44</v>
      </c>
      <c r="R66" s="1112">
        <f t="shared" si="364"/>
        <v>307009.44</v>
      </c>
      <c r="S66" s="123"/>
      <c r="T66" s="326"/>
      <c r="U66" s="326">
        <f t="shared" si="365"/>
        <v>213881.28</v>
      </c>
      <c r="V66" s="332">
        <f t="shared" si="388"/>
        <v>379903.41538080003</v>
      </c>
      <c r="W66" s="173">
        <f t="shared" si="389"/>
        <v>0</v>
      </c>
      <c r="X66" s="561">
        <f t="shared" si="390"/>
        <v>393793.36</v>
      </c>
      <c r="Y66" s="1112">
        <f t="shared" si="391"/>
        <v>393793.36</v>
      </c>
      <c r="Z66" s="123"/>
      <c r="AA66" s="326"/>
      <c r="AB66" s="326">
        <f t="shared" si="366"/>
        <v>233215.6</v>
      </c>
      <c r="AC66" s="332">
        <f t="shared" si="392"/>
        <v>383258.35449399997</v>
      </c>
      <c r="AD66" s="173">
        <f t="shared" si="393"/>
        <v>50619.050000000047</v>
      </c>
      <c r="AE66" s="561">
        <f t="shared" si="394"/>
        <v>576076.24</v>
      </c>
      <c r="AF66" s="1112">
        <f t="shared" si="395"/>
        <v>626695.29</v>
      </c>
      <c r="AG66" s="123"/>
      <c r="AH66" s="326"/>
      <c r="AI66" s="332">
        <f t="shared" si="367"/>
        <v>1227095.5281628</v>
      </c>
      <c r="AJ66" s="140">
        <f t="shared" si="396"/>
        <v>184024.32000000001</v>
      </c>
      <c r="AK66" s="326">
        <f t="shared" ref="AK66:AM66" si="425">AD66+W66+P66</f>
        <v>50619.050000000047</v>
      </c>
      <c r="AL66" s="326">
        <f t="shared" si="425"/>
        <v>1276879.04</v>
      </c>
      <c r="AM66" s="326">
        <f t="shared" si="425"/>
        <v>1327498.0900000001</v>
      </c>
      <c r="AN66" s="326">
        <f t="shared" si="398"/>
        <v>1143473.77</v>
      </c>
      <c r="AO66" s="98">
        <f t="shared" si="399"/>
        <v>7.2137100683214044</v>
      </c>
      <c r="AP66" s="125">
        <f t="shared" si="368"/>
        <v>105399.2</v>
      </c>
      <c r="AQ66" s="326">
        <f t="shared" si="400"/>
        <v>0</v>
      </c>
      <c r="AR66" s="326">
        <f t="shared" si="401"/>
        <v>344425.6</v>
      </c>
      <c r="AS66" s="123">
        <f t="shared" si="402"/>
        <v>344425.6</v>
      </c>
      <c r="AT66" s="332">
        <f t="shared" si="369"/>
        <v>247834.08</v>
      </c>
      <c r="AU66" s="140">
        <f t="shared" si="403"/>
        <v>0</v>
      </c>
      <c r="AV66" s="326">
        <f t="shared" si="404"/>
        <v>336511.44</v>
      </c>
      <c r="AW66" s="333">
        <f t="shared" si="405"/>
        <v>336511.44</v>
      </c>
      <c r="AX66" s="123">
        <f t="shared" si="370"/>
        <v>310167.84000000003</v>
      </c>
      <c r="AY66" s="123">
        <f t="shared" si="406"/>
        <v>0</v>
      </c>
      <c r="AZ66" s="123">
        <f t="shared" si="407"/>
        <v>208074.48</v>
      </c>
      <c r="BA66" s="125">
        <f t="shared" si="408"/>
        <v>208074.48</v>
      </c>
      <c r="BB66" s="1175">
        <f t="shared" ref="BB66:BD66" si="426">SUM(AQ66,AU66,AY66)</f>
        <v>0</v>
      </c>
      <c r="BC66" s="326">
        <f t="shared" si="426"/>
        <v>889011.52</v>
      </c>
      <c r="BD66" s="333">
        <f t="shared" si="426"/>
        <v>889011.52</v>
      </c>
      <c r="BE66" s="100">
        <f t="shared" si="410"/>
        <v>50619.050000000047</v>
      </c>
      <c r="BF66" s="116">
        <f t="shared" ref="BF66:BG66" si="427">BC66+AL66</f>
        <v>2165890.56</v>
      </c>
      <c r="BG66" s="119">
        <f t="shared" si="427"/>
        <v>2216509.6100000003</v>
      </c>
      <c r="BH66" s="125">
        <f t="shared" si="371"/>
        <v>289474.32</v>
      </c>
      <c r="BI66" s="1041">
        <f t="shared" si="412"/>
        <v>0</v>
      </c>
      <c r="BJ66" s="326">
        <f t="shared" si="413"/>
        <v>0</v>
      </c>
      <c r="BK66" s="1045">
        <f t="shared" si="414"/>
        <v>0</v>
      </c>
      <c r="BL66" s="125">
        <f t="shared" si="372"/>
        <v>320989.68</v>
      </c>
      <c r="BM66" s="140">
        <f t="shared" si="415"/>
        <v>0</v>
      </c>
      <c r="BN66" s="123">
        <f t="shared" si="416"/>
        <v>395349.84</v>
      </c>
      <c r="BO66" s="148">
        <f t="shared" si="417"/>
        <v>395349.84</v>
      </c>
      <c r="BP66" s="123">
        <f t="shared" si="373"/>
        <v>151107.51999999999</v>
      </c>
      <c r="BQ66" s="123">
        <f t="shared" si="418"/>
        <v>0</v>
      </c>
      <c r="BR66" s="123">
        <f t="shared" si="419"/>
        <v>250234.88</v>
      </c>
      <c r="BS66" s="125">
        <f t="shared" si="420"/>
        <v>250234.88</v>
      </c>
      <c r="BT66" s="140">
        <f t="shared" ref="BT66:BV66" si="428">SUM(BQ66,BM66,BI66)</f>
        <v>0</v>
      </c>
      <c r="BU66" s="123">
        <f t="shared" si="428"/>
        <v>645584.72</v>
      </c>
      <c r="BV66" s="148">
        <f t="shared" si="428"/>
        <v>645584.72</v>
      </c>
      <c r="BW66" s="125">
        <f t="shared" si="374"/>
        <v>184024.32000000001</v>
      </c>
      <c r="BX66" s="140">
        <f t="shared" si="422"/>
        <v>18243.799999999988</v>
      </c>
      <c r="BY66" s="123">
        <f t="shared" si="423"/>
        <v>459147.8</v>
      </c>
      <c r="BZ66" s="148">
        <f t="shared" si="424"/>
        <v>477391.6</v>
      </c>
      <c r="CA66" s="123">
        <f t="shared" si="375"/>
        <v>0</v>
      </c>
      <c r="CB66" s="326">
        <f t="shared" si="376"/>
        <v>0</v>
      </c>
      <c r="CP66" s="294"/>
      <c r="CU66" s="294"/>
    </row>
    <row r="67" spans="1:99" ht="13">
      <c r="A67" s="566" t="e">
        <f t="shared" si="377"/>
        <v>#N/A</v>
      </c>
      <c r="B67" s="636" t="e">
        <f t="shared" si="378"/>
        <v>#N/A</v>
      </c>
      <c r="C67" s="558" t="str">
        <f t="shared" si="359"/>
        <v/>
      </c>
      <c r="D67" s="558" t="str">
        <f t="shared" si="360"/>
        <v/>
      </c>
      <c r="E67" s="559" t="str">
        <f t="shared" si="361"/>
        <v/>
      </c>
      <c r="F67" s="836">
        <f t="shared" si="379"/>
        <v>4</v>
      </c>
      <c r="G67" s="558" t="str">
        <f t="shared" si="380"/>
        <v>Lista</v>
      </c>
      <c r="H67" s="558">
        <f t="shared" si="381"/>
        <v>0.2</v>
      </c>
      <c r="I67" s="559">
        <f t="shared" si="382"/>
        <v>0</v>
      </c>
      <c r="J67" s="1214">
        <f t="shared" si="383"/>
        <v>70</v>
      </c>
      <c r="K67" s="558" t="str">
        <f t="shared" si="384"/>
        <v>Lista</v>
      </c>
      <c r="L67" s="715">
        <f t="shared" si="385"/>
        <v>0.11</v>
      </c>
      <c r="M67" s="1173" t="s">
        <v>1161</v>
      </c>
      <c r="N67" s="1174" t="str">
        <f t="shared" si="362"/>
        <v/>
      </c>
      <c r="O67" s="332" t="e">
        <f t="shared" si="386"/>
        <v>#VALUE!</v>
      </c>
      <c r="P67" s="173">
        <f t="shared" si="387"/>
        <v>0</v>
      </c>
      <c r="Q67" s="561">
        <f t="shared" si="363"/>
        <v>5421569.9800000004</v>
      </c>
      <c r="R67" s="1112">
        <f t="shared" si="364"/>
        <v>5421569.9800000004</v>
      </c>
      <c r="S67" s="123"/>
      <c r="T67" s="326"/>
      <c r="U67" s="326" t="str">
        <f t="shared" si="365"/>
        <v/>
      </c>
      <c r="V67" s="332" t="e">
        <f t="shared" si="388"/>
        <v>#VALUE!</v>
      </c>
      <c r="W67" s="173">
        <f t="shared" si="389"/>
        <v>0</v>
      </c>
      <c r="X67" s="561">
        <f t="shared" si="390"/>
        <v>2251663.3599999999</v>
      </c>
      <c r="Y67" s="1112">
        <f t="shared" si="391"/>
        <v>2251663.3599999999</v>
      </c>
      <c r="Z67" s="123"/>
      <c r="AA67" s="326"/>
      <c r="AB67" s="326" t="str">
        <f t="shared" si="366"/>
        <v/>
      </c>
      <c r="AC67" s="332" t="e">
        <f t="shared" si="392"/>
        <v>#VALUE!</v>
      </c>
      <c r="AD67" s="173">
        <f t="shared" si="393"/>
        <v>0</v>
      </c>
      <c r="AE67" s="561">
        <f t="shared" si="394"/>
        <v>3391911.84</v>
      </c>
      <c r="AF67" s="1112">
        <f t="shared" si="395"/>
        <v>3391911.84</v>
      </c>
      <c r="AG67" s="123"/>
      <c r="AH67" s="326"/>
      <c r="AI67" s="332" t="e">
        <f t="shared" si="367"/>
        <v>#VALUE!</v>
      </c>
      <c r="AJ67" s="140" t="str">
        <f t="shared" si="396"/>
        <v>0</v>
      </c>
      <c r="AK67" s="326">
        <f t="shared" ref="AK67:AM67" si="429">AD67+W67+P67</f>
        <v>0</v>
      </c>
      <c r="AL67" s="326">
        <f t="shared" si="429"/>
        <v>11065145.18</v>
      </c>
      <c r="AM67" s="326">
        <f t="shared" si="429"/>
        <v>11065145.18</v>
      </c>
      <c r="AN67" s="326">
        <f t="shared" si="398"/>
        <v>11065145.18</v>
      </c>
      <c r="AO67" s="98" t="str">
        <f t="shared" si="399"/>
        <v/>
      </c>
      <c r="AP67" s="125" t="str">
        <f t="shared" si="368"/>
        <v/>
      </c>
      <c r="AQ67" s="326">
        <f t="shared" si="400"/>
        <v>0</v>
      </c>
      <c r="AR67" s="326">
        <f t="shared" si="401"/>
        <v>261556.4</v>
      </c>
      <c r="AS67" s="123">
        <f t="shared" si="402"/>
        <v>261556.4</v>
      </c>
      <c r="AT67" s="332" t="str">
        <f t="shared" si="369"/>
        <v/>
      </c>
      <c r="AU67" s="140">
        <f t="shared" si="403"/>
        <v>0</v>
      </c>
      <c r="AV67" s="326">
        <f t="shared" si="404"/>
        <v>978209.44</v>
      </c>
      <c r="AW67" s="333">
        <f t="shared" si="405"/>
        <v>978209.44</v>
      </c>
      <c r="AX67" s="123" t="str">
        <f t="shared" si="370"/>
        <v/>
      </c>
      <c r="AY67" s="123">
        <f t="shared" si="406"/>
        <v>0</v>
      </c>
      <c r="AZ67" s="123">
        <f t="shared" si="407"/>
        <v>275102.56</v>
      </c>
      <c r="BA67" s="125">
        <f t="shared" si="408"/>
        <v>275102.56</v>
      </c>
      <c r="BB67" s="1175">
        <f t="shared" ref="BB67:BD67" si="430">SUM(AQ67,AU67,AY67)</f>
        <v>0</v>
      </c>
      <c r="BC67" s="326">
        <f t="shared" si="430"/>
        <v>1514868.4</v>
      </c>
      <c r="BD67" s="333">
        <f t="shared" si="430"/>
        <v>1514868.4</v>
      </c>
      <c r="BE67" s="100">
        <f t="shared" si="410"/>
        <v>0</v>
      </c>
      <c r="BF67" s="116">
        <f t="shared" ref="BF67:BG67" si="431">BC67+AL67</f>
        <v>12580013.58</v>
      </c>
      <c r="BG67" s="119">
        <f t="shared" si="431"/>
        <v>12580013.58</v>
      </c>
      <c r="BH67" s="125" t="str">
        <f t="shared" si="371"/>
        <v/>
      </c>
      <c r="BI67" s="1041">
        <f t="shared" si="412"/>
        <v>0</v>
      </c>
      <c r="BJ67" s="326">
        <f t="shared" si="413"/>
        <v>132319.51999999999</v>
      </c>
      <c r="BK67" s="1045">
        <f t="shared" si="414"/>
        <v>132319.51999999999</v>
      </c>
      <c r="BL67" s="125" t="str">
        <f t="shared" si="372"/>
        <v/>
      </c>
      <c r="BM67" s="140">
        <f t="shared" si="415"/>
        <v>0</v>
      </c>
      <c r="BN67" s="123">
        <f t="shared" si="416"/>
        <v>56192.08</v>
      </c>
      <c r="BO67" s="148">
        <f t="shared" si="417"/>
        <v>56192.08</v>
      </c>
      <c r="BP67" s="123" t="str">
        <f t="shared" si="373"/>
        <v/>
      </c>
      <c r="BQ67" s="123">
        <f t="shared" si="418"/>
        <v>0</v>
      </c>
      <c r="BR67" s="123">
        <f t="shared" si="419"/>
        <v>0</v>
      </c>
      <c r="BS67" s="125">
        <f t="shared" si="420"/>
        <v>0</v>
      </c>
      <c r="BT67" s="140">
        <f t="shared" ref="BT67:BV67" si="432">SUM(BQ67,BM67,BI67)</f>
        <v>0</v>
      </c>
      <c r="BU67" s="123">
        <f t="shared" si="432"/>
        <v>188511.59999999998</v>
      </c>
      <c r="BV67" s="148">
        <f t="shared" si="432"/>
        <v>188511.59999999998</v>
      </c>
      <c r="BW67" s="125" t="str">
        <f t="shared" si="374"/>
        <v/>
      </c>
      <c r="BX67" s="140">
        <f t="shared" si="422"/>
        <v>0</v>
      </c>
      <c r="BY67" s="123">
        <f t="shared" si="423"/>
        <v>0</v>
      </c>
      <c r="BZ67" s="148">
        <f t="shared" si="424"/>
        <v>0</v>
      </c>
      <c r="CA67" s="123" t="str">
        <f t="shared" si="375"/>
        <v/>
      </c>
      <c r="CB67" s="326" t="str">
        <f t="shared" si="376"/>
        <v/>
      </c>
      <c r="CP67" s="294"/>
      <c r="CU67" s="294"/>
    </row>
    <row r="68" spans="1:99" ht="13">
      <c r="A68" s="566" t="e">
        <f t="shared" si="377"/>
        <v>#N/A</v>
      </c>
      <c r="B68" s="636">
        <f t="shared" si="378"/>
        <v>4</v>
      </c>
      <c r="C68" s="558" t="str">
        <f t="shared" si="359"/>
        <v>Lista</v>
      </c>
      <c r="D68" s="558">
        <f t="shared" si="360"/>
        <v>0.2</v>
      </c>
      <c r="E68" s="559">
        <f t="shared" si="361"/>
        <v>0</v>
      </c>
      <c r="F68" s="836">
        <f t="shared" si="379"/>
        <v>4</v>
      </c>
      <c r="G68" s="558" t="str">
        <f t="shared" si="380"/>
        <v>Lista</v>
      </c>
      <c r="H68" s="558">
        <f t="shared" si="381"/>
        <v>0.2</v>
      </c>
      <c r="I68" s="559">
        <f t="shared" si="382"/>
        <v>0</v>
      </c>
      <c r="J68" s="1214">
        <f t="shared" si="383"/>
        <v>70</v>
      </c>
      <c r="K68" s="558" t="str">
        <f t="shared" si="384"/>
        <v>Lista</v>
      </c>
      <c r="L68" s="715">
        <f t="shared" si="385"/>
        <v>0.11</v>
      </c>
      <c r="M68" s="1173" t="s">
        <v>1162</v>
      </c>
      <c r="N68" s="1174">
        <f t="shared" si="362"/>
        <v>0</v>
      </c>
      <c r="O68" s="332">
        <f t="shared" si="386"/>
        <v>0</v>
      </c>
      <c r="P68" s="173">
        <f t="shared" si="387"/>
        <v>214835.17</v>
      </c>
      <c r="Q68" s="561">
        <f t="shared" si="363"/>
        <v>0</v>
      </c>
      <c r="R68" s="1112">
        <f t="shared" si="364"/>
        <v>214835.17</v>
      </c>
      <c r="S68" s="123"/>
      <c r="T68" s="326"/>
      <c r="U68" s="326">
        <f t="shared" si="365"/>
        <v>0</v>
      </c>
      <c r="V68" s="332">
        <f t="shared" si="388"/>
        <v>0</v>
      </c>
      <c r="W68" s="173">
        <f t="shared" si="389"/>
        <v>0</v>
      </c>
      <c r="X68" s="561">
        <f t="shared" si="390"/>
        <v>193406.64</v>
      </c>
      <c r="Y68" s="1112">
        <f t="shared" si="391"/>
        <v>193406.64</v>
      </c>
      <c r="Z68" s="123"/>
      <c r="AA68" s="326"/>
      <c r="AB68" s="326">
        <f t="shared" si="366"/>
        <v>0</v>
      </c>
      <c r="AC68" s="332">
        <f t="shared" si="392"/>
        <v>0</v>
      </c>
      <c r="AD68" s="173">
        <f t="shared" si="393"/>
        <v>341565.24</v>
      </c>
      <c r="AE68" s="561">
        <f t="shared" si="394"/>
        <v>170678.88</v>
      </c>
      <c r="AF68" s="1112">
        <f t="shared" si="395"/>
        <v>512244.12</v>
      </c>
      <c r="AG68" s="123"/>
      <c r="AH68" s="326"/>
      <c r="AI68" s="332">
        <f t="shared" si="367"/>
        <v>0</v>
      </c>
      <c r="AJ68" s="140">
        <f t="shared" si="396"/>
        <v>635051.04</v>
      </c>
      <c r="AK68" s="326">
        <f t="shared" ref="AK68:AM68" si="433">AD68+W68+P68</f>
        <v>556400.41</v>
      </c>
      <c r="AL68" s="326">
        <f t="shared" si="433"/>
        <v>364085.52</v>
      </c>
      <c r="AM68" s="326">
        <f t="shared" si="433"/>
        <v>920485.93</v>
      </c>
      <c r="AN68" s="326">
        <f t="shared" si="398"/>
        <v>285434.89</v>
      </c>
      <c r="AO68" s="98">
        <f t="shared" si="399"/>
        <v>1.4494676364910763</v>
      </c>
      <c r="AP68" s="125">
        <f t="shared" si="368"/>
        <v>0</v>
      </c>
      <c r="AQ68" s="326">
        <f t="shared" si="400"/>
        <v>0</v>
      </c>
      <c r="AR68" s="326">
        <f t="shared" si="401"/>
        <v>0</v>
      </c>
      <c r="AS68" s="123">
        <f t="shared" si="402"/>
        <v>0</v>
      </c>
      <c r="AT68" s="332">
        <f t="shared" si="369"/>
        <v>0</v>
      </c>
      <c r="AU68" s="140">
        <f t="shared" si="403"/>
        <v>149544.61000000002</v>
      </c>
      <c r="AV68" s="326">
        <f t="shared" si="404"/>
        <v>153848.48000000001</v>
      </c>
      <c r="AW68" s="333">
        <f t="shared" si="405"/>
        <v>303393.09000000003</v>
      </c>
      <c r="AX68" s="123">
        <f t="shared" si="370"/>
        <v>0</v>
      </c>
      <c r="AY68" s="123">
        <f t="shared" si="406"/>
        <v>138846.20000000001</v>
      </c>
      <c r="AZ68" s="123">
        <f t="shared" si="407"/>
        <v>376151.72</v>
      </c>
      <c r="BA68" s="125">
        <f t="shared" si="408"/>
        <v>514997.92</v>
      </c>
      <c r="BB68" s="1175">
        <f t="shared" ref="BB68:BD68" si="434">SUM(AQ68,AU68,AY68)</f>
        <v>288390.81000000006</v>
      </c>
      <c r="BC68" s="326">
        <f t="shared" si="434"/>
        <v>530000.19999999995</v>
      </c>
      <c r="BD68" s="333">
        <f t="shared" si="434"/>
        <v>818391.01</v>
      </c>
      <c r="BE68" s="100">
        <f t="shared" si="410"/>
        <v>844791.22000000009</v>
      </c>
      <c r="BF68" s="116">
        <f t="shared" ref="BF68:BG68" si="435">BC68+AL68</f>
        <v>894085.72</v>
      </c>
      <c r="BG68" s="119">
        <f t="shared" si="435"/>
        <v>1738876.94</v>
      </c>
      <c r="BH68" s="125">
        <f t="shared" si="371"/>
        <v>0</v>
      </c>
      <c r="BI68" s="1041">
        <f t="shared" si="412"/>
        <v>362325.9</v>
      </c>
      <c r="BJ68" s="326">
        <f t="shared" si="413"/>
        <v>191370.37</v>
      </c>
      <c r="BK68" s="1045">
        <f t="shared" si="414"/>
        <v>553696.27</v>
      </c>
      <c r="BL68" s="125">
        <f t="shared" si="372"/>
        <v>0</v>
      </c>
      <c r="BM68" s="140">
        <f t="shared" si="415"/>
        <v>117277.94</v>
      </c>
      <c r="BN68" s="123">
        <f t="shared" si="416"/>
        <v>0</v>
      </c>
      <c r="BO68" s="148">
        <f t="shared" si="417"/>
        <v>117277.94</v>
      </c>
      <c r="BP68" s="123">
        <f t="shared" si="373"/>
        <v>354975.38</v>
      </c>
      <c r="BQ68" s="123">
        <f t="shared" si="418"/>
        <v>317977.93</v>
      </c>
      <c r="BR68" s="123">
        <f t="shared" si="419"/>
        <v>127810.08</v>
      </c>
      <c r="BS68" s="125">
        <f t="shared" si="420"/>
        <v>445788.01</v>
      </c>
      <c r="BT68" s="140">
        <f t="shared" ref="BT68:BV68" si="436">SUM(BQ68,BM68,BI68)</f>
        <v>797581.77</v>
      </c>
      <c r="BU68" s="123">
        <f t="shared" si="436"/>
        <v>319180.45</v>
      </c>
      <c r="BV68" s="148">
        <f t="shared" si="436"/>
        <v>1116762.22</v>
      </c>
      <c r="BW68" s="125">
        <f t="shared" si="374"/>
        <v>121089.18</v>
      </c>
      <c r="BX68" s="140">
        <f t="shared" si="422"/>
        <v>568036.31000000006</v>
      </c>
      <c r="BY68" s="123">
        <f t="shared" si="423"/>
        <v>31057.599999999999</v>
      </c>
      <c r="BZ68" s="148">
        <f t="shared" si="424"/>
        <v>599093.91</v>
      </c>
      <c r="CA68" s="123">
        <f t="shared" si="375"/>
        <v>265537.3</v>
      </c>
      <c r="CB68" s="326">
        <f t="shared" si="376"/>
        <v>248424.57</v>
      </c>
      <c r="CP68" s="294"/>
      <c r="CU68" s="294"/>
    </row>
    <row r="69" spans="1:99" ht="13">
      <c r="A69" s="566" t="e">
        <f t="shared" si="377"/>
        <v>#N/A</v>
      </c>
      <c r="B69" s="636" t="e">
        <f t="shared" si="378"/>
        <v>#N/A</v>
      </c>
      <c r="C69" s="558" t="str">
        <f t="shared" si="359"/>
        <v/>
      </c>
      <c r="D69" s="558" t="str">
        <f t="shared" si="360"/>
        <v/>
      </c>
      <c r="E69" s="559" t="str">
        <f t="shared" si="361"/>
        <v/>
      </c>
      <c r="F69" s="836">
        <f t="shared" si="379"/>
        <v>4</v>
      </c>
      <c r="G69" s="558" t="str">
        <f t="shared" si="380"/>
        <v>Lista</v>
      </c>
      <c r="H69" s="558">
        <f t="shared" si="381"/>
        <v>0.2</v>
      </c>
      <c r="I69" s="559">
        <f t="shared" si="382"/>
        <v>0</v>
      </c>
      <c r="J69" s="1214">
        <f t="shared" si="383"/>
        <v>70</v>
      </c>
      <c r="K69" s="558" t="str">
        <f t="shared" si="384"/>
        <v>Lista</v>
      </c>
      <c r="L69" s="715">
        <f t="shared" si="385"/>
        <v>0.11</v>
      </c>
      <c r="M69" s="1173" t="s">
        <v>1163</v>
      </c>
      <c r="N69" s="1174" t="str">
        <f t="shared" si="362"/>
        <v/>
      </c>
      <c r="O69" s="332" t="e">
        <f t="shared" si="386"/>
        <v>#VALUE!</v>
      </c>
      <c r="P69" s="173">
        <f t="shared" si="387"/>
        <v>0</v>
      </c>
      <c r="Q69" s="561">
        <f t="shared" si="363"/>
        <v>0</v>
      </c>
      <c r="R69" s="1112">
        <f t="shared" si="364"/>
        <v>0</v>
      </c>
      <c r="S69" s="123"/>
      <c r="T69" s="326"/>
      <c r="U69" s="326" t="str">
        <f t="shared" si="365"/>
        <v/>
      </c>
      <c r="V69" s="332" t="e">
        <f t="shared" si="388"/>
        <v>#VALUE!</v>
      </c>
      <c r="W69" s="173">
        <f t="shared" si="389"/>
        <v>0</v>
      </c>
      <c r="X69" s="561">
        <f t="shared" si="390"/>
        <v>0</v>
      </c>
      <c r="Y69" s="1112">
        <f t="shared" si="391"/>
        <v>0</v>
      </c>
      <c r="Z69" s="123"/>
      <c r="AA69" s="326"/>
      <c r="AB69" s="326" t="str">
        <f t="shared" si="366"/>
        <v/>
      </c>
      <c r="AC69" s="332" t="e">
        <f t="shared" si="392"/>
        <v>#VALUE!</v>
      </c>
      <c r="AD69" s="173">
        <f t="shared" si="393"/>
        <v>0</v>
      </c>
      <c r="AE69" s="561">
        <f t="shared" si="394"/>
        <v>0</v>
      </c>
      <c r="AF69" s="1112">
        <f t="shared" si="395"/>
        <v>0</v>
      </c>
      <c r="AG69" s="123"/>
      <c r="AH69" s="326"/>
      <c r="AI69" s="332" t="e">
        <f t="shared" si="367"/>
        <v>#VALUE!</v>
      </c>
      <c r="AJ69" s="140" t="str">
        <f t="shared" si="396"/>
        <v>0</v>
      </c>
      <c r="AK69" s="326">
        <f t="shared" ref="AK69:AM69" si="437">AD69+W69+P69</f>
        <v>0</v>
      </c>
      <c r="AL69" s="326">
        <f t="shared" si="437"/>
        <v>0</v>
      </c>
      <c r="AM69" s="326">
        <f t="shared" si="437"/>
        <v>0</v>
      </c>
      <c r="AN69" s="326">
        <f t="shared" si="398"/>
        <v>0</v>
      </c>
      <c r="AO69" s="98" t="str">
        <f t="shared" si="399"/>
        <v/>
      </c>
      <c r="AP69" s="125" t="str">
        <f t="shared" si="368"/>
        <v/>
      </c>
      <c r="AQ69" s="326">
        <f t="shared" si="400"/>
        <v>0</v>
      </c>
      <c r="AR69" s="326">
        <f t="shared" si="401"/>
        <v>0</v>
      </c>
      <c r="AS69" s="123">
        <f t="shared" si="402"/>
        <v>0</v>
      </c>
      <c r="AT69" s="332" t="str">
        <f t="shared" si="369"/>
        <v/>
      </c>
      <c r="AU69" s="140">
        <f t="shared" si="403"/>
        <v>0</v>
      </c>
      <c r="AV69" s="326">
        <f t="shared" si="404"/>
        <v>0</v>
      </c>
      <c r="AW69" s="333">
        <f t="shared" si="405"/>
        <v>0</v>
      </c>
      <c r="AX69" s="123" t="str">
        <f t="shared" si="370"/>
        <v/>
      </c>
      <c r="AY69" s="123">
        <f t="shared" si="406"/>
        <v>0</v>
      </c>
      <c r="AZ69" s="123">
        <f t="shared" si="407"/>
        <v>0</v>
      </c>
      <c r="BA69" s="125">
        <f t="shared" si="408"/>
        <v>0</v>
      </c>
      <c r="BB69" s="1175">
        <f t="shared" ref="BB69:BD69" si="438">SUM(AQ69,AU69,AY69)</f>
        <v>0</v>
      </c>
      <c r="BC69" s="326">
        <f t="shared" si="438"/>
        <v>0</v>
      </c>
      <c r="BD69" s="333">
        <f t="shared" si="438"/>
        <v>0</v>
      </c>
      <c r="BE69" s="100">
        <f t="shared" si="410"/>
        <v>0</v>
      </c>
      <c r="BF69" s="116">
        <f t="shared" ref="BF69:BG69" si="439">BC69+AL69</f>
        <v>0</v>
      </c>
      <c r="BG69" s="119">
        <f t="shared" si="439"/>
        <v>0</v>
      </c>
      <c r="BH69" s="125" t="str">
        <f t="shared" si="371"/>
        <v/>
      </c>
      <c r="BI69" s="1041">
        <f t="shared" si="412"/>
        <v>0</v>
      </c>
      <c r="BJ69" s="326">
        <f t="shared" si="413"/>
        <v>0</v>
      </c>
      <c r="BK69" s="1045">
        <f t="shared" si="414"/>
        <v>0</v>
      </c>
      <c r="BL69" s="125" t="str">
        <f t="shared" si="372"/>
        <v/>
      </c>
      <c r="BM69" s="140">
        <f t="shared" si="415"/>
        <v>0</v>
      </c>
      <c r="BN69" s="123">
        <f t="shared" si="416"/>
        <v>0</v>
      </c>
      <c r="BO69" s="148">
        <f t="shared" si="417"/>
        <v>0</v>
      </c>
      <c r="BP69" s="123" t="str">
        <f t="shared" si="373"/>
        <v/>
      </c>
      <c r="BQ69" s="123">
        <f t="shared" si="418"/>
        <v>0</v>
      </c>
      <c r="BR69" s="123">
        <f t="shared" si="419"/>
        <v>0</v>
      </c>
      <c r="BS69" s="125">
        <f t="shared" si="420"/>
        <v>0</v>
      </c>
      <c r="BT69" s="140">
        <f t="shared" ref="BT69:BV69" si="440">SUM(BQ69,BM69,BI69)</f>
        <v>0</v>
      </c>
      <c r="BU69" s="123">
        <f t="shared" si="440"/>
        <v>0</v>
      </c>
      <c r="BV69" s="148">
        <f t="shared" si="440"/>
        <v>0</v>
      </c>
      <c r="BW69" s="125" t="str">
        <f t="shared" si="374"/>
        <v/>
      </c>
      <c r="BX69" s="140">
        <f t="shared" si="422"/>
        <v>0</v>
      </c>
      <c r="BY69" s="123">
        <f t="shared" si="423"/>
        <v>155882.43</v>
      </c>
      <c r="BZ69" s="148">
        <f t="shared" si="424"/>
        <v>155882.43</v>
      </c>
      <c r="CA69" s="123" t="str">
        <f t="shared" si="375"/>
        <v/>
      </c>
      <c r="CB69" s="326" t="str">
        <f t="shared" si="376"/>
        <v/>
      </c>
      <c r="CP69" s="294"/>
      <c r="CU69" s="294"/>
    </row>
    <row r="70" spans="1:99" ht="13">
      <c r="A70" s="566" t="e">
        <f t="shared" si="377"/>
        <v>#N/A</v>
      </c>
      <c r="B70" s="636">
        <f t="shared" si="378"/>
        <v>4</v>
      </c>
      <c r="C70" s="558" t="str">
        <f t="shared" si="359"/>
        <v>Lista</v>
      </c>
      <c r="D70" s="558">
        <f t="shared" si="360"/>
        <v>0.2</v>
      </c>
      <c r="E70" s="559">
        <f t="shared" si="361"/>
        <v>0</v>
      </c>
      <c r="F70" s="836">
        <f t="shared" si="379"/>
        <v>4</v>
      </c>
      <c r="G70" s="558" t="str">
        <f t="shared" si="380"/>
        <v>Lista</v>
      </c>
      <c r="H70" s="558">
        <f t="shared" si="381"/>
        <v>0.2</v>
      </c>
      <c r="I70" s="559">
        <f t="shared" si="382"/>
        <v>0</v>
      </c>
      <c r="J70" s="1214">
        <f t="shared" si="383"/>
        <v>70</v>
      </c>
      <c r="K70" s="558" t="str">
        <f t="shared" si="384"/>
        <v>Lista</v>
      </c>
      <c r="L70" s="715">
        <f t="shared" si="385"/>
        <v>0.11</v>
      </c>
      <c r="M70" s="1173" t="s">
        <v>1164</v>
      </c>
      <c r="N70" s="1174">
        <f t="shared" si="362"/>
        <v>45365.83</v>
      </c>
      <c r="O70" s="332">
        <f t="shared" si="386"/>
        <v>76262.228521500001</v>
      </c>
      <c r="P70" s="173" t="e">
        <f t="shared" si="387"/>
        <v>#VALUE!</v>
      </c>
      <c r="Q70" s="561" t="str">
        <f t="shared" si="363"/>
        <v/>
      </c>
      <c r="R70" s="1112">
        <f t="shared" si="364"/>
        <v>0</v>
      </c>
      <c r="S70" s="123"/>
      <c r="T70" s="326"/>
      <c r="U70" s="326">
        <f t="shared" si="365"/>
        <v>29985.39</v>
      </c>
      <c r="V70" s="332">
        <f t="shared" si="388"/>
        <v>53261.099206649997</v>
      </c>
      <c r="W70" s="173" t="e">
        <f t="shared" si="389"/>
        <v>#VALUE!</v>
      </c>
      <c r="X70" s="561" t="str">
        <f t="shared" si="390"/>
        <v/>
      </c>
      <c r="Y70" s="1112">
        <f t="shared" si="391"/>
        <v>0</v>
      </c>
      <c r="Z70" s="123"/>
      <c r="AA70" s="326"/>
      <c r="AB70" s="326">
        <f t="shared" si="366"/>
        <v>23988.31</v>
      </c>
      <c r="AC70" s="332">
        <f t="shared" si="392"/>
        <v>39421.54906315</v>
      </c>
      <c r="AD70" s="173" t="e">
        <f t="shared" si="393"/>
        <v>#VALUE!</v>
      </c>
      <c r="AE70" s="561" t="str">
        <f t="shared" si="394"/>
        <v/>
      </c>
      <c r="AF70" s="1112">
        <f t="shared" si="395"/>
        <v>0</v>
      </c>
      <c r="AG70" s="123"/>
      <c r="AH70" s="326"/>
      <c r="AI70" s="332">
        <f t="shared" si="367"/>
        <v>168944.87679130002</v>
      </c>
      <c r="AJ70" s="140">
        <f t="shared" si="396"/>
        <v>44002</v>
      </c>
      <c r="AK70" s="326" t="e">
        <f t="shared" ref="AK70:AM70" si="441">AD70+W70+P70</f>
        <v>#VALUE!</v>
      </c>
      <c r="AL70" s="326" t="e">
        <f t="shared" si="441"/>
        <v>#VALUE!</v>
      </c>
      <c r="AM70" s="326">
        <f t="shared" si="441"/>
        <v>0</v>
      </c>
      <c r="AN70" s="326">
        <f t="shared" si="398"/>
        <v>-44002</v>
      </c>
      <c r="AO70" s="98">
        <f t="shared" si="399"/>
        <v>0</v>
      </c>
      <c r="AP70" s="125">
        <f t="shared" si="368"/>
        <v>17310.11</v>
      </c>
      <c r="AQ70" s="326" t="e">
        <f t="shared" si="400"/>
        <v>#VALUE!</v>
      </c>
      <c r="AR70" s="326" t="str">
        <f t="shared" si="401"/>
        <v/>
      </c>
      <c r="AS70" s="123">
        <f t="shared" si="402"/>
        <v>60789.02</v>
      </c>
      <c r="AT70" s="332">
        <f t="shared" si="369"/>
        <v>0</v>
      </c>
      <c r="AU70" s="140" t="e">
        <f t="shared" si="403"/>
        <v>#VALUE!</v>
      </c>
      <c r="AV70" s="326" t="str">
        <f t="shared" si="404"/>
        <v/>
      </c>
      <c r="AW70" s="333">
        <f t="shared" si="405"/>
        <v>0</v>
      </c>
      <c r="AX70" s="123">
        <f t="shared" si="370"/>
        <v>48210.75</v>
      </c>
      <c r="AY70" s="123" t="e">
        <f t="shared" si="406"/>
        <v>#VALUE!</v>
      </c>
      <c r="AZ70" s="123" t="str">
        <f t="shared" si="407"/>
        <v/>
      </c>
      <c r="BA70" s="125">
        <f t="shared" si="408"/>
        <v>39425.599999999999</v>
      </c>
      <c r="BB70" s="1175" t="e">
        <f t="shared" ref="BB70:BD70" si="442">SUM(AQ70,AU70,AY70)</f>
        <v>#VALUE!</v>
      </c>
      <c r="BC70" s="326">
        <f t="shared" si="442"/>
        <v>0</v>
      </c>
      <c r="BD70" s="333">
        <f t="shared" si="442"/>
        <v>100214.62</v>
      </c>
      <c r="BE70" s="100" t="e">
        <f t="shared" si="410"/>
        <v>#VALUE!</v>
      </c>
      <c r="BF70" s="116" t="e">
        <f t="shared" ref="BF70:BG70" si="443">BC70+AL70</f>
        <v>#VALUE!</v>
      </c>
      <c r="BG70" s="119">
        <f t="shared" si="443"/>
        <v>100214.62</v>
      </c>
      <c r="BH70" s="125">
        <f t="shared" si="371"/>
        <v>40629.26</v>
      </c>
      <c r="BI70" s="1041" t="e">
        <f t="shared" si="412"/>
        <v>#VALUE!</v>
      </c>
      <c r="BJ70" s="326" t="str">
        <f t="shared" si="413"/>
        <v/>
      </c>
      <c r="BK70" s="1045">
        <f t="shared" si="414"/>
        <v>0</v>
      </c>
      <c r="BL70" s="125">
        <f t="shared" si="372"/>
        <v>67552.77</v>
      </c>
      <c r="BM70" s="140" t="e">
        <f t="shared" si="415"/>
        <v>#VALUE!</v>
      </c>
      <c r="BN70" s="123" t="str">
        <f t="shared" si="416"/>
        <v/>
      </c>
      <c r="BO70" s="148">
        <f t="shared" si="417"/>
        <v>0</v>
      </c>
      <c r="BP70" s="123">
        <f t="shared" si="373"/>
        <v>0</v>
      </c>
      <c r="BQ70" s="123" t="e">
        <f t="shared" si="418"/>
        <v>#VALUE!</v>
      </c>
      <c r="BR70" s="123" t="str">
        <f t="shared" si="419"/>
        <v/>
      </c>
      <c r="BS70" s="125">
        <f t="shared" si="420"/>
        <v>19712.8</v>
      </c>
      <c r="BT70" s="140" t="e">
        <f t="shared" ref="BT70:BV70" si="444">SUM(BQ70,BM70,BI70)</f>
        <v>#VALUE!</v>
      </c>
      <c r="BU70" s="123">
        <f t="shared" si="444"/>
        <v>0</v>
      </c>
      <c r="BV70" s="148">
        <f t="shared" si="444"/>
        <v>19712.8</v>
      </c>
      <c r="BW70" s="125">
        <f t="shared" si="374"/>
        <v>0</v>
      </c>
      <c r="BX70" s="140" t="e">
        <f t="shared" si="422"/>
        <v>#VALUE!</v>
      </c>
      <c r="BY70" s="123" t="str">
        <f t="shared" si="423"/>
        <v/>
      </c>
      <c r="BZ70" s="148">
        <f t="shared" si="424"/>
        <v>0</v>
      </c>
      <c r="CA70" s="123">
        <f t="shared" si="375"/>
        <v>44002</v>
      </c>
      <c r="CB70" s="326">
        <f t="shared" si="376"/>
        <v>0</v>
      </c>
      <c r="CP70" s="294"/>
      <c r="CU70" s="294"/>
    </row>
    <row r="71" spans="1:99" ht="13">
      <c r="A71" s="566" t="e">
        <f t="shared" si="377"/>
        <v>#N/A</v>
      </c>
      <c r="B71" s="636">
        <f t="shared" si="378"/>
        <v>4</v>
      </c>
      <c r="C71" s="558" t="str">
        <f t="shared" si="359"/>
        <v>Lista</v>
      </c>
      <c r="D71" s="558">
        <f t="shared" si="360"/>
        <v>0.2</v>
      </c>
      <c r="E71" s="559">
        <f t="shared" si="361"/>
        <v>0</v>
      </c>
      <c r="F71" s="836">
        <f t="shared" si="379"/>
        <v>4</v>
      </c>
      <c r="G71" s="558" t="str">
        <f t="shared" si="380"/>
        <v>Lista</v>
      </c>
      <c r="H71" s="558">
        <f t="shared" si="381"/>
        <v>0.2</v>
      </c>
      <c r="I71" s="559">
        <f t="shared" si="382"/>
        <v>0</v>
      </c>
      <c r="J71" s="1214">
        <f t="shared" si="383"/>
        <v>70</v>
      </c>
      <c r="K71" s="558" t="str">
        <f t="shared" si="384"/>
        <v>Lista</v>
      </c>
      <c r="L71" s="715">
        <f t="shared" si="385"/>
        <v>0.11</v>
      </c>
      <c r="M71" s="1173" t="s">
        <v>1165</v>
      </c>
      <c r="N71" s="1174">
        <f t="shared" si="362"/>
        <v>173546.61</v>
      </c>
      <c r="O71" s="332">
        <f t="shared" si="386"/>
        <v>291740.52874049998</v>
      </c>
      <c r="P71" s="173">
        <f t="shared" si="387"/>
        <v>205272.91999999998</v>
      </c>
      <c r="Q71" s="561">
        <f t="shared" si="363"/>
        <v>124026.32</v>
      </c>
      <c r="R71" s="1112">
        <f t="shared" si="364"/>
        <v>329299.24</v>
      </c>
      <c r="S71" s="123"/>
      <c r="T71" s="326"/>
      <c r="U71" s="326">
        <f t="shared" si="365"/>
        <v>319685.09999999998</v>
      </c>
      <c r="V71" s="332">
        <f t="shared" si="388"/>
        <v>567835.86359849991</v>
      </c>
      <c r="W71" s="173">
        <f t="shared" si="389"/>
        <v>212695.87</v>
      </c>
      <c r="X71" s="561">
        <f t="shared" si="390"/>
        <v>110401.52</v>
      </c>
      <c r="Y71" s="1112">
        <f t="shared" si="391"/>
        <v>323097.39</v>
      </c>
      <c r="Z71" s="123"/>
      <c r="AA71" s="326"/>
      <c r="AB71" s="326">
        <f t="shared" si="366"/>
        <v>0</v>
      </c>
      <c r="AC71" s="332">
        <f t="shared" si="392"/>
        <v>0</v>
      </c>
      <c r="AD71" s="173">
        <f t="shared" si="393"/>
        <v>283775.52</v>
      </c>
      <c r="AE71" s="561">
        <f t="shared" si="394"/>
        <v>209526.16</v>
      </c>
      <c r="AF71" s="1112">
        <f t="shared" si="395"/>
        <v>493301.68</v>
      </c>
      <c r="AG71" s="123"/>
      <c r="AH71" s="326"/>
      <c r="AI71" s="332">
        <f t="shared" si="367"/>
        <v>859576.3923389999</v>
      </c>
      <c r="AJ71" s="140">
        <f t="shared" si="396"/>
        <v>783021.56</v>
      </c>
      <c r="AK71" s="326">
        <f t="shared" ref="AK71:AM71" si="445">AD71+W71+P71</f>
        <v>701744.31</v>
      </c>
      <c r="AL71" s="326">
        <f t="shared" si="445"/>
        <v>443954</v>
      </c>
      <c r="AM71" s="326">
        <f t="shared" si="445"/>
        <v>1145698.31</v>
      </c>
      <c r="AN71" s="326">
        <f t="shared" si="398"/>
        <v>362676.75</v>
      </c>
      <c r="AO71" s="98">
        <f t="shared" si="399"/>
        <v>1.4631759437122012</v>
      </c>
      <c r="AP71" s="125">
        <f t="shared" si="368"/>
        <v>222546.5</v>
      </c>
      <c r="AQ71" s="326">
        <f t="shared" si="400"/>
        <v>44345.340000000026</v>
      </c>
      <c r="AR71" s="326">
        <f t="shared" si="401"/>
        <v>336783.92</v>
      </c>
      <c r="AS71" s="123">
        <f t="shared" si="402"/>
        <v>381129.26</v>
      </c>
      <c r="AT71" s="332">
        <f t="shared" si="369"/>
        <v>174080.02</v>
      </c>
      <c r="AU71" s="140">
        <f t="shared" si="403"/>
        <v>180701</v>
      </c>
      <c r="AV71" s="326">
        <f t="shared" si="404"/>
        <v>162068.24</v>
      </c>
      <c r="AW71" s="333">
        <f t="shared" si="405"/>
        <v>342769.24</v>
      </c>
      <c r="AX71" s="123">
        <f t="shared" si="370"/>
        <v>59824</v>
      </c>
      <c r="AY71" s="123">
        <f t="shared" si="406"/>
        <v>165011.1</v>
      </c>
      <c r="AZ71" s="123">
        <f t="shared" si="407"/>
        <v>200899.04</v>
      </c>
      <c r="BA71" s="125">
        <f t="shared" si="408"/>
        <v>365910.14</v>
      </c>
      <c r="BB71" s="1175">
        <f t="shared" ref="BB71:BD71" si="446">SUM(AQ71,AU71,AY71)</f>
        <v>390057.44000000006</v>
      </c>
      <c r="BC71" s="326">
        <f t="shared" si="446"/>
        <v>699751.2</v>
      </c>
      <c r="BD71" s="333">
        <f t="shared" si="446"/>
        <v>1089808.6400000001</v>
      </c>
      <c r="BE71" s="100">
        <f t="shared" si="410"/>
        <v>1091801.75</v>
      </c>
      <c r="BF71" s="116">
        <f t="shared" ref="BF71:BG71" si="447">BC71+AL71</f>
        <v>1143705.2</v>
      </c>
      <c r="BG71" s="119">
        <f t="shared" si="447"/>
        <v>2235506.9500000002</v>
      </c>
      <c r="BH71" s="125">
        <f t="shared" si="371"/>
        <v>493565.81</v>
      </c>
      <c r="BI71" s="1041">
        <f t="shared" si="412"/>
        <v>65427.5</v>
      </c>
      <c r="BJ71" s="326">
        <f t="shared" si="413"/>
        <v>274055.36</v>
      </c>
      <c r="BK71" s="1045">
        <f t="shared" si="414"/>
        <v>339482.86</v>
      </c>
      <c r="BL71" s="125">
        <f t="shared" si="372"/>
        <v>167808.32</v>
      </c>
      <c r="BM71" s="140">
        <f t="shared" si="415"/>
        <v>243997.58000000002</v>
      </c>
      <c r="BN71" s="123">
        <f t="shared" si="416"/>
        <v>236252.56</v>
      </c>
      <c r="BO71" s="148">
        <f t="shared" si="417"/>
        <v>480250.14</v>
      </c>
      <c r="BP71" s="123">
        <f t="shared" si="373"/>
        <v>273714.48</v>
      </c>
      <c r="BQ71" s="123">
        <f t="shared" si="418"/>
        <v>27290.639999999956</v>
      </c>
      <c r="BR71" s="123">
        <f t="shared" si="419"/>
        <v>289743.52</v>
      </c>
      <c r="BS71" s="125">
        <f t="shared" si="420"/>
        <v>317034.15999999997</v>
      </c>
      <c r="BT71" s="140">
        <f t="shared" ref="BT71:BV71" si="448">SUM(BQ71,BM71,BI71)</f>
        <v>336715.72</v>
      </c>
      <c r="BU71" s="123">
        <f t="shared" si="448"/>
        <v>800051.44000000006</v>
      </c>
      <c r="BV71" s="148">
        <f t="shared" si="448"/>
        <v>1136767.1600000001</v>
      </c>
      <c r="BW71" s="125">
        <f t="shared" si="374"/>
        <v>129139.28</v>
      </c>
      <c r="BX71" s="140">
        <f t="shared" si="422"/>
        <v>266805.76000000001</v>
      </c>
      <c r="BY71" s="123">
        <f t="shared" si="423"/>
        <v>22104.32</v>
      </c>
      <c r="BZ71" s="148">
        <f t="shared" si="424"/>
        <v>288910.08000000002</v>
      </c>
      <c r="CA71" s="123">
        <f t="shared" si="375"/>
        <v>289466.56</v>
      </c>
      <c r="CB71" s="326">
        <f t="shared" si="376"/>
        <v>364415.72</v>
      </c>
      <c r="CP71" s="294"/>
      <c r="CU71" s="294"/>
    </row>
    <row r="72" spans="1:99" ht="13">
      <c r="A72" s="566" t="e">
        <f t="shared" si="377"/>
        <v>#N/A</v>
      </c>
      <c r="B72" s="636">
        <f t="shared" si="378"/>
        <v>4</v>
      </c>
      <c r="C72" s="558" t="str">
        <f t="shared" si="359"/>
        <v>Lista</v>
      </c>
      <c r="D72" s="558">
        <f t="shared" si="360"/>
        <v>0.2</v>
      </c>
      <c r="E72" s="559">
        <f t="shared" si="361"/>
        <v>0</v>
      </c>
      <c r="F72" s="836">
        <f t="shared" si="379"/>
        <v>4</v>
      </c>
      <c r="G72" s="558" t="str">
        <f t="shared" si="380"/>
        <v>Lista</v>
      </c>
      <c r="H72" s="558">
        <f t="shared" si="381"/>
        <v>0.2</v>
      </c>
      <c r="I72" s="559">
        <f t="shared" si="382"/>
        <v>0</v>
      </c>
      <c r="J72" s="1214">
        <f t="shared" si="383"/>
        <v>70</v>
      </c>
      <c r="K72" s="558" t="str">
        <f t="shared" si="384"/>
        <v>Lista</v>
      </c>
      <c r="L72" s="715">
        <f t="shared" si="385"/>
        <v>0.11</v>
      </c>
      <c r="M72" s="1173" t="s">
        <v>1166</v>
      </c>
      <c r="N72" s="1174">
        <f t="shared" si="362"/>
        <v>160401.51999999999</v>
      </c>
      <c r="O72" s="332">
        <f t="shared" si="386"/>
        <v>269642.97519600001</v>
      </c>
      <c r="P72" s="173">
        <f t="shared" si="387"/>
        <v>0</v>
      </c>
      <c r="Q72" s="561">
        <f t="shared" si="363"/>
        <v>419076.16</v>
      </c>
      <c r="R72" s="1112">
        <f t="shared" si="364"/>
        <v>419076.16</v>
      </c>
      <c r="S72" s="123"/>
      <c r="T72" s="326"/>
      <c r="U72" s="326">
        <f t="shared" si="365"/>
        <v>185501.87</v>
      </c>
      <c r="V72" s="332">
        <f t="shared" si="388"/>
        <v>329494.91405944998</v>
      </c>
      <c r="W72" s="173">
        <f t="shared" si="389"/>
        <v>0</v>
      </c>
      <c r="X72" s="561">
        <f t="shared" si="390"/>
        <v>475124.64</v>
      </c>
      <c r="Y72" s="1112">
        <f t="shared" si="391"/>
        <v>475124.64</v>
      </c>
      <c r="Z72" s="123"/>
      <c r="AA72" s="326"/>
      <c r="AB72" s="326">
        <f t="shared" si="366"/>
        <v>212876.68</v>
      </c>
      <c r="AC72" s="332">
        <f t="shared" si="392"/>
        <v>349834.08522819995</v>
      </c>
      <c r="AD72" s="173">
        <f t="shared" si="393"/>
        <v>0</v>
      </c>
      <c r="AE72" s="561">
        <f t="shared" si="394"/>
        <v>216273.28</v>
      </c>
      <c r="AF72" s="1112">
        <f t="shared" si="395"/>
        <v>216273.28</v>
      </c>
      <c r="AG72" s="123"/>
      <c r="AH72" s="326"/>
      <c r="AI72" s="332">
        <f t="shared" si="367"/>
        <v>948971.97448364994</v>
      </c>
      <c r="AJ72" s="140">
        <f t="shared" si="396"/>
        <v>752159.04</v>
      </c>
      <c r="AK72" s="326">
        <f t="shared" ref="AK72:AM72" si="449">AD72+W72+P72</f>
        <v>0</v>
      </c>
      <c r="AL72" s="326">
        <f t="shared" si="449"/>
        <v>1110474.08</v>
      </c>
      <c r="AM72" s="326">
        <f t="shared" si="449"/>
        <v>1110474.08</v>
      </c>
      <c r="AN72" s="326">
        <f t="shared" si="398"/>
        <v>358315.04000000004</v>
      </c>
      <c r="AO72" s="98">
        <f t="shared" si="399"/>
        <v>1.4763820162289083</v>
      </c>
      <c r="AP72" s="125">
        <f t="shared" si="368"/>
        <v>187195.68</v>
      </c>
      <c r="AQ72" s="326">
        <f t="shared" si="400"/>
        <v>0</v>
      </c>
      <c r="AR72" s="326">
        <f t="shared" si="401"/>
        <v>227033.44</v>
      </c>
      <c r="AS72" s="123">
        <f t="shared" si="402"/>
        <v>227033.44</v>
      </c>
      <c r="AT72" s="332">
        <f t="shared" si="369"/>
        <v>100564.24</v>
      </c>
      <c r="AU72" s="140">
        <f t="shared" si="403"/>
        <v>0</v>
      </c>
      <c r="AV72" s="326">
        <f t="shared" si="404"/>
        <v>341435.04</v>
      </c>
      <c r="AW72" s="333">
        <f t="shared" si="405"/>
        <v>341435.04</v>
      </c>
      <c r="AX72" s="123">
        <f t="shared" si="370"/>
        <v>154280.70000000001</v>
      </c>
      <c r="AY72" s="123">
        <f t="shared" si="406"/>
        <v>0</v>
      </c>
      <c r="AZ72" s="123">
        <f t="shared" si="407"/>
        <v>267402.08</v>
      </c>
      <c r="BA72" s="125">
        <f t="shared" si="408"/>
        <v>267402.08</v>
      </c>
      <c r="BB72" s="1175">
        <f t="shared" ref="BB72:BD72" si="450">SUM(AQ72,AU72,AY72)</f>
        <v>0</v>
      </c>
      <c r="BC72" s="326">
        <f t="shared" si="450"/>
        <v>835870.56</v>
      </c>
      <c r="BD72" s="333">
        <f t="shared" si="450"/>
        <v>835870.56</v>
      </c>
      <c r="BE72" s="100">
        <f t="shared" si="410"/>
        <v>0</v>
      </c>
      <c r="BF72" s="116">
        <f t="shared" ref="BF72:BG72" si="451">BC72+AL72</f>
        <v>1946344.6400000001</v>
      </c>
      <c r="BG72" s="119">
        <f t="shared" si="451"/>
        <v>1946344.6400000001</v>
      </c>
      <c r="BH72" s="125">
        <f t="shared" si="371"/>
        <v>494608.08</v>
      </c>
      <c r="BI72" s="1041">
        <f t="shared" si="412"/>
        <v>0</v>
      </c>
      <c r="BJ72" s="326">
        <f t="shared" si="413"/>
        <v>53882.64</v>
      </c>
      <c r="BK72" s="1045">
        <f t="shared" si="414"/>
        <v>53882.64</v>
      </c>
      <c r="BL72" s="125">
        <f t="shared" si="372"/>
        <v>365188.08</v>
      </c>
      <c r="BM72" s="140">
        <f t="shared" si="415"/>
        <v>0</v>
      </c>
      <c r="BN72" s="123">
        <f t="shared" si="416"/>
        <v>374838.16</v>
      </c>
      <c r="BO72" s="148">
        <f t="shared" si="417"/>
        <v>374838.16</v>
      </c>
      <c r="BP72" s="123">
        <f t="shared" si="373"/>
        <v>187534.36</v>
      </c>
      <c r="BQ72" s="123">
        <f t="shared" si="418"/>
        <v>0</v>
      </c>
      <c r="BR72" s="123">
        <f t="shared" si="419"/>
        <v>234762.08</v>
      </c>
      <c r="BS72" s="125">
        <f t="shared" si="420"/>
        <v>234762.08</v>
      </c>
      <c r="BT72" s="140">
        <f t="shared" ref="BT72:BV72" si="452">SUM(BQ72,BM72,BI72)</f>
        <v>0</v>
      </c>
      <c r="BU72" s="123">
        <f t="shared" si="452"/>
        <v>663482.88</v>
      </c>
      <c r="BV72" s="148">
        <f t="shared" si="452"/>
        <v>663482.88</v>
      </c>
      <c r="BW72" s="125">
        <f t="shared" si="374"/>
        <v>256462.32</v>
      </c>
      <c r="BX72" s="140">
        <f t="shared" si="422"/>
        <v>0</v>
      </c>
      <c r="BY72" s="123">
        <f t="shared" si="423"/>
        <v>233345.64</v>
      </c>
      <c r="BZ72" s="148">
        <f t="shared" si="424"/>
        <v>233345.64</v>
      </c>
      <c r="CA72" s="123">
        <f t="shared" si="375"/>
        <v>278047.35999999999</v>
      </c>
      <c r="CB72" s="326">
        <f t="shared" si="376"/>
        <v>217649.36</v>
      </c>
      <c r="CP72" s="294"/>
      <c r="CU72" s="294"/>
    </row>
    <row r="73" spans="1:99" ht="13">
      <c r="A73" s="566" t="e">
        <f t="shared" si="377"/>
        <v>#N/A</v>
      </c>
      <c r="B73" s="636">
        <f t="shared" si="378"/>
        <v>4</v>
      </c>
      <c r="C73" s="558" t="str">
        <f t="shared" si="359"/>
        <v>Lista</v>
      </c>
      <c r="D73" s="558">
        <f t="shared" si="360"/>
        <v>0.2</v>
      </c>
      <c r="E73" s="559">
        <f t="shared" si="361"/>
        <v>0</v>
      </c>
      <c r="F73" s="836">
        <f t="shared" si="379"/>
        <v>4</v>
      </c>
      <c r="G73" s="558" t="str">
        <f t="shared" si="380"/>
        <v>Lista</v>
      </c>
      <c r="H73" s="558">
        <f t="shared" si="381"/>
        <v>0.2</v>
      </c>
      <c r="I73" s="559">
        <f t="shared" si="382"/>
        <v>0</v>
      </c>
      <c r="J73" s="1214">
        <f t="shared" si="383"/>
        <v>70</v>
      </c>
      <c r="K73" s="558" t="str">
        <f t="shared" si="384"/>
        <v>Lista</v>
      </c>
      <c r="L73" s="715">
        <f t="shared" si="385"/>
        <v>0.11</v>
      </c>
      <c r="M73" s="1173" t="s">
        <v>1167</v>
      </c>
      <c r="N73" s="1174"/>
      <c r="O73" s="332"/>
      <c r="P73" s="173" t="e">
        <f t="shared" si="387"/>
        <v>#VALUE!</v>
      </c>
      <c r="Q73" s="561" t="str">
        <f t="shared" si="363"/>
        <v/>
      </c>
      <c r="R73" s="1112" t="str">
        <f t="shared" si="364"/>
        <v/>
      </c>
      <c r="S73" s="123"/>
      <c r="T73" s="326"/>
      <c r="U73" s="326" t="str">
        <f t="shared" si="365"/>
        <v/>
      </c>
      <c r="V73" s="332" t="e">
        <f t="shared" si="388"/>
        <v>#VALUE!</v>
      </c>
      <c r="W73" s="173" t="e">
        <f t="shared" si="389"/>
        <v>#VALUE!</v>
      </c>
      <c r="X73" s="561" t="str">
        <f t="shared" si="390"/>
        <v/>
      </c>
      <c r="Y73" s="1112" t="str">
        <f t="shared" si="391"/>
        <v/>
      </c>
      <c r="Z73" s="123"/>
      <c r="AA73" s="326"/>
      <c r="AB73" s="326" t="str">
        <f t="shared" si="366"/>
        <v/>
      </c>
      <c r="AC73" s="332" t="e">
        <f t="shared" si="392"/>
        <v>#VALUE!</v>
      </c>
      <c r="AD73" s="173" t="e">
        <f t="shared" si="393"/>
        <v>#VALUE!</v>
      </c>
      <c r="AE73" s="561" t="str">
        <f t="shared" si="394"/>
        <v/>
      </c>
      <c r="AF73" s="1112" t="str">
        <f t="shared" si="395"/>
        <v/>
      </c>
      <c r="AG73" s="123"/>
      <c r="AH73" s="326"/>
      <c r="AI73" s="332"/>
      <c r="AJ73" s="140" t="str">
        <f t="shared" si="396"/>
        <v>0</v>
      </c>
      <c r="AK73" s="326" t="e">
        <f t="shared" ref="AK73:AM73" si="453">AD73+W73+P73</f>
        <v>#VALUE!</v>
      </c>
      <c r="AL73" s="326" t="e">
        <f t="shared" si="453"/>
        <v>#VALUE!</v>
      </c>
      <c r="AM73" s="326" t="e">
        <f t="shared" si="453"/>
        <v>#VALUE!</v>
      </c>
      <c r="AN73" s="326" t="e">
        <f t="shared" si="398"/>
        <v>#VALUE!</v>
      </c>
      <c r="AO73" s="98" t="str">
        <f t="shared" si="399"/>
        <v/>
      </c>
      <c r="AP73" s="125"/>
      <c r="AQ73" s="326" t="e">
        <f t="shared" si="400"/>
        <v>#VALUE!</v>
      </c>
      <c r="AR73" s="326" t="str">
        <f t="shared" si="401"/>
        <v/>
      </c>
      <c r="AS73" s="123" t="str">
        <f t="shared" si="402"/>
        <v/>
      </c>
      <c r="AT73" s="332"/>
      <c r="AU73" s="140" t="e">
        <f t="shared" si="403"/>
        <v>#VALUE!</v>
      </c>
      <c r="AV73" s="326" t="str">
        <f t="shared" si="404"/>
        <v/>
      </c>
      <c r="AW73" s="333" t="str">
        <f t="shared" si="405"/>
        <v/>
      </c>
      <c r="AX73" s="123"/>
      <c r="AY73" s="123" t="e">
        <f t="shared" si="406"/>
        <v>#VALUE!</v>
      </c>
      <c r="AZ73" s="123" t="str">
        <f t="shared" si="407"/>
        <v/>
      </c>
      <c r="BA73" s="125" t="str">
        <f t="shared" si="408"/>
        <v/>
      </c>
      <c r="BB73" s="1175" t="e">
        <f t="shared" ref="BB73:BD73" si="454">SUM(AQ73,AU73,AY73)</f>
        <v>#VALUE!</v>
      </c>
      <c r="BC73" s="326">
        <f t="shared" si="454"/>
        <v>0</v>
      </c>
      <c r="BD73" s="333">
        <f t="shared" si="454"/>
        <v>0</v>
      </c>
      <c r="BE73" s="100" t="e">
        <f t="shared" si="410"/>
        <v>#VALUE!</v>
      </c>
      <c r="BF73" s="116" t="e">
        <f t="shared" ref="BF73:BG73" si="455">BC73+AL73</f>
        <v>#VALUE!</v>
      </c>
      <c r="BG73" s="119" t="e">
        <f t="shared" si="455"/>
        <v>#VALUE!</v>
      </c>
      <c r="BH73" s="125"/>
      <c r="BI73" s="1041" t="e">
        <f t="shared" si="412"/>
        <v>#VALUE!</v>
      </c>
      <c r="BJ73" s="326" t="str">
        <f t="shared" si="413"/>
        <v/>
      </c>
      <c r="BK73" s="1045" t="str">
        <f t="shared" si="414"/>
        <v/>
      </c>
      <c r="BL73" s="125"/>
      <c r="BM73" s="140" t="e">
        <f t="shared" si="415"/>
        <v>#VALUE!</v>
      </c>
      <c r="BN73" s="123" t="str">
        <f t="shared" si="416"/>
        <v/>
      </c>
      <c r="BO73" s="148" t="str">
        <f t="shared" si="417"/>
        <v/>
      </c>
      <c r="BP73" s="123"/>
      <c r="BQ73" s="123" t="e">
        <f t="shared" si="418"/>
        <v>#VALUE!</v>
      </c>
      <c r="BR73" s="123" t="str">
        <f t="shared" si="419"/>
        <v/>
      </c>
      <c r="BS73" s="125" t="str">
        <f t="shared" si="420"/>
        <v/>
      </c>
      <c r="BT73" s="140" t="e">
        <f t="shared" ref="BT73:BV73" si="456">SUM(BQ73,BM73,BI73)</f>
        <v>#VALUE!</v>
      </c>
      <c r="BU73" s="123">
        <f t="shared" si="456"/>
        <v>0</v>
      </c>
      <c r="BV73" s="148">
        <f t="shared" si="456"/>
        <v>0</v>
      </c>
      <c r="BW73" s="125"/>
      <c r="BX73" s="140" t="e">
        <f t="shared" si="422"/>
        <v>#VALUE!</v>
      </c>
      <c r="BY73" s="123" t="str">
        <f t="shared" si="423"/>
        <v/>
      </c>
      <c r="BZ73" s="148" t="str">
        <f t="shared" si="424"/>
        <v/>
      </c>
      <c r="CA73" s="123"/>
      <c r="CB73" s="326"/>
      <c r="CP73" s="294"/>
      <c r="CU73" s="294"/>
    </row>
    <row r="74" spans="1:99" ht="13">
      <c r="A74" s="566" t="e">
        <f t="shared" si="377"/>
        <v>#N/A</v>
      </c>
      <c r="B74" s="636">
        <f t="shared" si="378"/>
        <v>4</v>
      </c>
      <c r="C74" s="558" t="str">
        <f t="shared" si="359"/>
        <v>Lista</v>
      </c>
      <c r="D74" s="558">
        <f t="shared" si="360"/>
        <v>0.2</v>
      </c>
      <c r="E74" s="559">
        <f t="shared" si="361"/>
        <v>0</v>
      </c>
      <c r="F74" s="836">
        <f t="shared" si="379"/>
        <v>4</v>
      </c>
      <c r="G74" s="558" t="str">
        <f t="shared" si="380"/>
        <v>Lista</v>
      </c>
      <c r="H74" s="558">
        <f t="shared" si="381"/>
        <v>0.2</v>
      </c>
      <c r="I74" s="559">
        <f t="shared" si="382"/>
        <v>0</v>
      </c>
      <c r="J74" s="1214">
        <f t="shared" si="383"/>
        <v>70</v>
      </c>
      <c r="K74" s="558" t="str">
        <f t="shared" si="384"/>
        <v>Lista</v>
      </c>
      <c r="L74" s="715">
        <f t="shared" si="385"/>
        <v>0.11</v>
      </c>
      <c r="M74" s="1173" t="s">
        <v>1168</v>
      </c>
      <c r="N74" s="1174"/>
      <c r="O74" s="332"/>
      <c r="P74" s="173">
        <f t="shared" si="387"/>
        <v>0</v>
      </c>
      <c r="Q74" s="561">
        <f t="shared" si="363"/>
        <v>0</v>
      </c>
      <c r="R74" s="1112">
        <f t="shared" si="364"/>
        <v>0</v>
      </c>
      <c r="S74" s="123"/>
      <c r="T74" s="326"/>
      <c r="U74" s="326"/>
      <c r="V74" s="332"/>
      <c r="W74" s="173">
        <f t="shared" si="389"/>
        <v>0</v>
      </c>
      <c r="X74" s="561">
        <f t="shared" si="390"/>
        <v>0</v>
      </c>
      <c r="Y74" s="1112">
        <f t="shared" si="391"/>
        <v>0</v>
      </c>
      <c r="Z74" s="123"/>
      <c r="AA74" s="326"/>
      <c r="AB74" s="326"/>
      <c r="AC74" s="332"/>
      <c r="AD74" s="173">
        <f t="shared" si="393"/>
        <v>0</v>
      </c>
      <c r="AE74" s="561">
        <f t="shared" si="394"/>
        <v>221939.68</v>
      </c>
      <c r="AF74" s="1112">
        <f t="shared" si="395"/>
        <v>221939.68</v>
      </c>
      <c r="AG74" s="123"/>
      <c r="AH74" s="326"/>
      <c r="AI74" s="332"/>
      <c r="AJ74" s="140" t="str">
        <f t="shared" si="396"/>
        <v>0</v>
      </c>
      <c r="AK74" s="326">
        <f t="shared" ref="AK74:AM74" si="457">AD74+W74+P74</f>
        <v>0</v>
      </c>
      <c r="AL74" s="326">
        <f t="shared" si="457"/>
        <v>221939.68</v>
      </c>
      <c r="AM74" s="326">
        <f t="shared" si="457"/>
        <v>221939.68</v>
      </c>
      <c r="AN74" s="326">
        <f t="shared" si="398"/>
        <v>221939.68</v>
      </c>
      <c r="AO74" s="98" t="str">
        <f t="shared" si="399"/>
        <v/>
      </c>
      <c r="AP74" s="125"/>
      <c r="AQ74" s="326">
        <f t="shared" si="400"/>
        <v>0</v>
      </c>
      <c r="AR74" s="326">
        <f t="shared" si="401"/>
        <v>285774.08000000002</v>
      </c>
      <c r="AS74" s="123">
        <f t="shared" si="402"/>
        <v>285774.08000000002</v>
      </c>
      <c r="AT74" s="332"/>
      <c r="AU74" s="140">
        <f t="shared" si="403"/>
        <v>0</v>
      </c>
      <c r="AV74" s="326">
        <f t="shared" si="404"/>
        <v>0</v>
      </c>
      <c r="AW74" s="333">
        <f t="shared" si="405"/>
        <v>0</v>
      </c>
      <c r="AX74" s="123"/>
      <c r="AY74" s="123">
        <f t="shared" si="406"/>
        <v>0</v>
      </c>
      <c r="AZ74" s="123">
        <f t="shared" si="407"/>
        <v>148219.51999999999</v>
      </c>
      <c r="BA74" s="125">
        <f t="shared" si="408"/>
        <v>148219.51999999999</v>
      </c>
      <c r="BB74" s="1175">
        <f t="shared" ref="BB74:BD74" si="458">SUM(AQ74,AU74,AY74)</f>
        <v>0</v>
      </c>
      <c r="BC74" s="326">
        <f t="shared" si="458"/>
        <v>433993.6</v>
      </c>
      <c r="BD74" s="333">
        <f t="shared" si="458"/>
        <v>433993.6</v>
      </c>
      <c r="BE74" s="100">
        <f t="shared" si="410"/>
        <v>0</v>
      </c>
      <c r="BF74" s="116">
        <f t="shared" ref="BF74:BG74" si="459">BC74+AL74</f>
        <v>655933.28</v>
      </c>
      <c r="BG74" s="119">
        <f t="shared" si="459"/>
        <v>655933.28</v>
      </c>
      <c r="BH74" s="125"/>
      <c r="BI74" s="1041">
        <f t="shared" si="412"/>
        <v>0</v>
      </c>
      <c r="BJ74" s="326">
        <f t="shared" si="413"/>
        <v>113644.4</v>
      </c>
      <c r="BK74" s="1045">
        <f t="shared" si="414"/>
        <v>113644.4</v>
      </c>
      <c r="BL74" s="125"/>
      <c r="BM74" s="140">
        <f t="shared" si="415"/>
        <v>0</v>
      </c>
      <c r="BN74" s="123">
        <f t="shared" si="416"/>
        <v>201574.08</v>
      </c>
      <c r="BO74" s="148">
        <f t="shared" si="417"/>
        <v>201574.08</v>
      </c>
      <c r="BP74" s="123"/>
      <c r="BQ74" s="123">
        <f t="shared" si="418"/>
        <v>0</v>
      </c>
      <c r="BR74" s="123">
        <f t="shared" si="419"/>
        <v>292042.48</v>
      </c>
      <c r="BS74" s="125">
        <f t="shared" si="420"/>
        <v>292042.48</v>
      </c>
      <c r="BT74" s="140">
        <f t="shared" ref="BT74:BV74" si="460">SUM(BQ74,BM74,BI74)</f>
        <v>0</v>
      </c>
      <c r="BU74" s="123">
        <f t="shared" si="460"/>
        <v>607260.96</v>
      </c>
      <c r="BV74" s="148">
        <f t="shared" si="460"/>
        <v>607260.96</v>
      </c>
      <c r="BW74" s="125"/>
      <c r="BX74" s="140">
        <f t="shared" si="422"/>
        <v>0</v>
      </c>
      <c r="BY74" s="123">
        <f t="shared" si="423"/>
        <v>95835.64</v>
      </c>
      <c r="BZ74" s="148">
        <f t="shared" si="424"/>
        <v>95835.64</v>
      </c>
      <c r="CA74" s="123"/>
      <c r="CB74" s="326"/>
      <c r="CP74" s="294"/>
      <c r="CU74" s="294"/>
    </row>
    <row r="75" spans="1:99" ht="13">
      <c r="A75" s="566" t="e">
        <f t="shared" si="377"/>
        <v>#N/A</v>
      </c>
      <c r="B75" s="636">
        <f t="shared" si="378"/>
        <v>1</v>
      </c>
      <c r="C75" s="558" t="str">
        <f t="shared" si="359"/>
        <v>Lista</v>
      </c>
      <c r="D75" s="558">
        <f t="shared" si="360"/>
        <v>0.09</v>
      </c>
      <c r="E75" s="559">
        <f t="shared" si="361"/>
        <v>0</v>
      </c>
      <c r="F75" s="836">
        <f t="shared" si="379"/>
        <v>1</v>
      </c>
      <c r="G75" s="558" t="str">
        <f t="shared" si="380"/>
        <v>Lista</v>
      </c>
      <c r="H75" s="558">
        <f t="shared" si="381"/>
        <v>0.09</v>
      </c>
      <c r="I75" s="559">
        <f t="shared" si="382"/>
        <v>0</v>
      </c>
      <c r="J75" s="1214">
        <f t="shared" si="383"/>
        <v>71</v>
      </c>
      <c r="K75" s="558" t="str">
        <f t="shared" si="384"/>
        <v>Lista</v>
      </c>
      <c r="L75" s="715">
        <f t="shared" si="385"/>
        <v>0.05</v>
      </c>
      <c r="M75" s="1173" t="s">
        <v>1169</v>
      </c>
      <c r="N75" s="1174"/>
      <c r="O75" s="332"/>
      <c r="P75" s="173" t="e">
        <f t="shared" si="387"/>
        <v>#VALUE!</v>
      </c>
      <c r="Q75" s="561" t="str">
        <f t="shared" si="363"/>
        <v/>
      </c>
      <c r="R75" s="1112">
        <f t="shared" si="364"/>
        <v>0</v>
      </c>
      <c r="S75" s="123"/>
      <c r="T75" s="326"/>
      <c r="U75" s="326"/>
      <c r="V75" s="332"/>
      <c r="W75" s="173" t="e">
        <f t="shared" si="389"/>
        <v>#VALUE!</v>
      </c>
      <c r="X75" s="561" t="str">
        <f t="shared" si="390"/>
        <v/>
      </c>
      <c r="Y75" s="1112">
        <f t="shared" si="391"/>
        <v>0</v>
      </c>
      <c r="Z75" s="123"/>
      <c r="AA75" s="326"/>
      <c r="AB75" s="326"/>
      <c r="AC75" s="332"/>
      <c r="AD75" s="173" t="e">
        <f t="shared" si="393"/>
        <v>#VALUE!</v>
      </c>
      <c r="AE75" s="561" t="str">
        <f t="shared" si="394"/>
        <v/>
      </c>
      <c r="AF75" s="1112">
        <f t="shared" si="395"/>
        <v>30429.93</v>
      </c>
      <c r="AG75" s="123"/>
      <c r="AH75" s="326"/>
      <c r="AI75" s="332"/>
      <c r="AJ75" s="140" t="str">
        <f t="shared" si="396"/>
        <v>0</v>
      </c>
      <c r="AK75" s="326" t="e">
        <f t="shared" ref="AK75:AM75" si="461">AD75+W75+P75</f>
        <v>#VALUE!</v>
      </c>
      <c r="AL75" s="326" t="e">
        <f t="shared" si="461"/>
        <v>#VALUE!</v>
      </c>
      <c r="AM75" s="326">
        <f t="shared" si="461"/>
        <v>30429.93</v>
      </c>
      <c r="AN75" s="326">
        <f t="shared" si="398"/>
        <v>30429.93</v>
      </c>
      <c r="AO75" s="98" t="str">
        <f t="shared" si="399"/>
        <v/>
      </c>
      <c r="AP75" s="125"/>
      <c r="AQ75" s="326" t="e">
        <f t="shared" si="400"/>
        <v>#VALUE!</v>
      </c>
      <c r="AR75" s="326" t="str">
        <f t="shared" si="401"/>
        <v/>
      </c>
      <c r="AS75" s="123">
        <f t="shared" si="402"/>
        <v>0</v>
      </c>
      <c r="AT75" s="332"/>
      <c r="AU75" s="140" t="e">
        <f t="shared" si="403"/>
        <v>#VALUE!</v>
      </c>
      <c r="AV75" s="326" t="str">
        <f t="shared" si="404"/>
        <v/>
      </c>
      <c r="AW75" s="333">
        <f t="shared" si="405"/>
        <v>0</v>
      </c>
      <c r="AX75" s="123"/>
      <c r="AY75" s="123" t="e">
        <f t="shared" si="406"/>
        <v>#VALUE!</v>
      </c>
      <c r="AZ75" s="123" t="str">
        <f t="shared" si="407"/>
        <v/>
      </c>
      <c r="BA75" s="125">
        <f t="shared" si="408"/>
        <v>0</v>
      </c>
      <c r="BB75" s="1175" t="e">
        <f t="shared" ref="BB75:BD75" si="462">SUM(AQ75,AU75,AY75)</f>
        <v>#VALUE!</v>
      </c>
      <c r="BC75" s="326">
        <f t="shared" si="462"/>
        <v>0</v>
      </c>
      <c r="BD75" s="333">
        <f t="shared" si="462"/>
        <v>0</v>
      </c>
      <c r="BE75" s="100" t="e">
        <f t="shared" si="410"/>
        <v>#VALUE!</v>
      </c>
      <c r="BF75" s="116" t="e">
        <f t="shared" ref="BF75:BG75" si="463">BC75+AL75</f>
        <v>#VALUE!</v>
      </c>
      <c r="BG75" s="119">
        <f t="shared" si="463"/>
        <v>30429.93</v>
      </c>
      <c r="BH75" s="125"/>
      <c r="BI75" s="1041" t="e">
        <f t="shared" si="412"/>
        <v>#VALUE!</v>
      </c>
      <c r="BJ75" s="326" t="str">
        <f t="shared" si="413"/>
        <v/>
      </c>
      <c r="BK75" s="1045">
        <f t="shared" si="414"/>
        <v>0</v>
      </c>
      <c r="BL75" s="125"/>
      <c r="BM75" s="140" t="e">
        <f t="shared" si="415"/>
        <v>#VALUE!</v>
      </c>
      <c r="BN75" s="123" t="str">
        <f t="shared" si="416"/>
        <v/>
      </c>
      <c r="BO75" s="148">
        <f t="shared" si="417"/>
        <v>0</v>
      </c>
      <c r="BP75" s="123"/>
      <c r="BQ75" s="123" t="e">
        <f t="shared" si="418"/>
        <v>#VALUE!</v>
      </c>
      <c r="BR75" s="123" t="str">
        <f t="shared" si="419"/>
        <v/>
      </c>
      <c r="BS75" s="125">
        <f t="shared" si="420"/>
        <v>0</v>
      </c>
      <c r="BT75" s="140" t="e">
        <f t="shared" ref="BT75:BV75" si="464">SUM(BQ75,BM75,BI75)</f>
        <v>#VALUE!</v>
      </c>
      <c r="BU75" s="123">
        <f t="shared" si="464"/>
        <v>0</v>
      </c>
      <c r="BV75" s="148">
        <f t="shared" si="464"/>
        <v>0</v>
      </c>
      <c r="BW75" s="125"/>
      <c r="BX75" s="140" t="e">
        <f t="shared" si="422"/>
        <v>#VALUE!</v>
      </c>
      <c r="BY75" s="123" t="str">
        <f t="shared" si="423"/>
        <v/>
      </c>
      <c r="BZ75" s="148">
        <f t="shared" si="424"/>
        <v>0</v>
      </c>
      <c r="CA75" s="123"/>
      <c r="CB75" s="326"/>
      <c r="CP75" s="294"/>
      <c r="CU75" s="294"/>
    </row>
    <row r="76" spans="1:99" ht="13">
      <c r="A76" s="566" t="e">
        <f t="shared" si="377"/>
        <v>#N/A</v>
      </c>
      <c r="B76" s="636">
        <f t="shared" si="378"/>
        <v>4</v>
      </c>
      <c r="C76" s="558" t="str">
        <f t="shared" si="359"/>
        <v>Lista</v>
      </c>
      <c r="D76" s="558">
        <f t="shared" si="360"/>
        <v>0.2</v>
      </c>
      <c r="E76" s="559">
        <f t="shared" si="361"/>
        <v>0</v>
      </c>
      <c r="F76" s="836">
        <f t="shared" si="379"/>
        <v>4</v>
      </c>
      <c r="G76" s="558" t="str">
        <f t="shared" si="380"/>
        <v>Lista</v>
      </c>
      <c r="H76" s="558">
        <f t="shared" si="381"/>
        <v>0.2</v>
      </c>
      <c r="I76" s="559">
        <f t="shared" si="382"/>
        <v>0</v>
      </c>
      <c r="J76" s="1214">
        <f t="shared" si="383"/>
        <v>70</v>
      </c>
      <c r="K76" s="558" t="str">
        <f t="shared" si="384"/>
        <v>Lista</v>
      </c>
      <c r="L76" s="715">
        <f t="shared" si="385"/>
        <v>0.11</v>
      </c>
      <c r="M76" s="1173" t="s">
        <v>1170</v>
      </c>
      <c r="N76" s="1174">
        <f t="shared" ref="N76:N97" si="465">IFERROR(VLOOKUP(M76,MARUCA24,3,FALSE),"")</f>
        <v>53039.24</v>
      </c>
      <c r="O76" s="332">
        <f t="shared" ref="O76:O97" si="466">(N76*1.601)*1.05</f>
        <v>89161.614402000007</v>
      </c>
      <c r="P76" s="173" t="e">
        <f t="shared" si="387"/>
        <v>#VALUE!</v>
      </c>
      <c r="Q76" s="561" t="str">
        <f t="shared" si="363"/>
        <v/>
      </c>
      <c r="R76" s="1112">
        <f t="shared" si="364"/>
        <v>0</v>
      </c>
      <c r="S76" s="123"/>
      <c r="T76" s="326"/>
      <c r="U76" s="326">
        <f t="shared" ref="U76:U107" si="467">IFERROR(VLOOKUP(M76,MARUCA24,4,FALSE),"")</f>
        <v>57748.82</v>
      </c>
      <c r="V76" s="332">
        <f t="shared" ref="V76:V106" si="468">(U76*1.7245)*1.03</f>
        <v>102575.47529269999</v>
      </c>
      <c r="W76" s="173" t="e">
        <f t="shared" si="389"/>
        <v>#VALUE!</v>
      </c>
      <c r="X76" s="561" t="str">
        <f t="shared" si="390"/>
        <v/>
      </c>
      <c r="Y76" s="1112">
        <f t="shared" si="391"/>
        <v>335961.17</v>
      </c>
      <c r="Z76" s="123"/>
      <c r="AA76" s="326"/>
      <c r="AB76" s="326">
        <f t="shared" ref="AB76:AB107" si="469">IFERROR(VLOOKUP(M76,MARUCA24,5,FALSE),"")</f>
        <v>27040.959999999999</v>
      </c>
      <c r="AC76" s="332">
        <f t="shared" ref="AC76:AC106" si="470">(AB76*1.5955)*1.03</f>
        <v>44438.167230400002</v>
      </c>
      <c r="AD76" s="173" t="e">
        <f t="shared" si="393"/>
        <v>#VALUE!</v>
      </c>
      <c r="AE76" s="561" t="str">
        <f t="shared" si="394"/>
        <v/>
      </c>
      <c r="AF76" s="1112">
        <f t="shared" si="395"/>
        <v>138556.51999999999</v>
      </c>
      <c r="AG76" s="123"/>
      <c r="AH76" s="326"/>
      <c r="AI76" s="332">
        <f t="shared" ref="AI76:AI133" si="471">SUM(O76,V76,AC76)</f>
        <v>236175.25692509999</v>
      </c>
      <c r="AJ76" s="140">
        <f t="shared" si="396"/>
        <v>182601.27</v>
      </c>
      <c r="AK76" s="326" t="e">
        <f t="shared" ref="AK76:AM76" si="472">AD76+W76+P76</f>
        <v>#VALUE!</v>
      </c>
      <c r="AL76" s="326" t="e">
        <f t="shared" si="472"/>
        <v>#VALUE!</v>
      </c>
      <c r="AM76" s="326">
        <f t="shared" si="472"/>
        <v>474517.68999999994</v>
      </c>
      <c r="AN76" s="326">
        <f t="shared" si="398"/>
        <v>291916.41999999993</v>
      </c>
      <c r="AO76" s="98">
        <f t="shared" si="399"/>
        <v>2.5986549272083375</v>
      </c>
      <c r="AP76" s="125">
        <f t="shared" ref="AP76:AP108" si="473">IFERROR(VLOOKUP(M76,MARUCA24,6,FALSE),"")</f>
        <v>58553.9</v>
      </c>
      <c r="AQ76" s="326" t="e">
        <f t="shared" si="400"/>
        <v>#VALUE!</v>
      </c>
      <c r="AR76" s="326" t="str">
        <f t="shared" si="401"/>
        <v/>
      </c>
      <c r="AS76" s="123">
        <f t="shared" si="402"/>
        <v>0</v>
      </c>
      <c r="AT76" s="332">
        <f t="shared" ref="AT76:AT101" si="474">IFERROR(VLOOKUP(M76,MARUCA24,7,FALSE),"")</f>
        <v>54802.239999999998</v>
      </c>
      <c r="AU76" s="140" t="e">
        <f t="shared" si="403"/>
        <v>#VALUE!</v>
      </c>
      <c r="AV76" s="326" t="str">
        <f t="shared" si="404"/>
        <v/>
      </c>
      <c r="AW76" s="333">
        <f t="shared" si="405"/>
        <v>0</v>
      </c>
      <c r="AX76" s="123">
        <f t="shared" ref="AX76:AX101" si="475">IFERROR(VLOOKUP(M76,MARUCA24,8,FALSE),"")</f>
        <v>0</v>
      </c>
      <c r="AY76" s="123" t="e">
        <f t="shared" si="406"/>
        <v>#VALUE!</v>
      </c>
      <c r="AZ76" s="123" t="str">
        <f t="shared" si="407"/>
        <v/>
      </c>
      <c r="BA76" s="125">
        <f t="shared" si="408"/>
        <v>0</v>
      </c>
      <c r="BB76" s="1175" t="e">
        <f t="shared" ref="BB76:BD76" si="476">SUM(AQ76,AU76,AY76)</f>
        <v>#VALUE!</v>
      </c>
      <c r="BC76" s="326">
        <f t="shared" si="476"/>
        <v>0</v>
      </c>
      <c r="BD76" s="333">
        <f t="shared" si="476"/>
        <v>0</v>
      </c>
      <c r="BE76" s="100" t="e">
        <f t="shared" si="410"/>
        <v>#VALUE!</v>
      </c>
      <c r="BF76" s="116" t="e">
        <f t="shared" ref="BF76:BG76" si="477">BC76+AL76</f>
        <v>#VALUE!</v>
      </c>
      <c r="BG76" s="119">
        <f t="shared" si="477"/>
        <v>474517.68999999994</v>
      </c>
      <c r="BH76" s="125">
        <f t="shared" ref="BH76:BH101" si="478">IFERROR(VLOOKUP(M76,MARUCA24,9,FALSE),"")</f>
        <v>0</v>
      </c>
      <c r="BI76" s="1041" t="e">
        <f t="shared" si="412"/>
        <v>#VALUE!</v>
      </c>
      <c r="BJ76" s="326" t="str">
        <f t="shared" si="413"/>
        <v/>
      </c>
      <c r="BK76" s="1045">
        <f t="shared" si="414"/>
        <v>11718.24</v>
      </c>
      <c r="BL76" s="125">
        <f t="shared" ref="BL76:BL101" si="479">IFERROR(VLOOKUP(M76,MARUCA24,10,FALSE),"")</f>
        <v>36985.730000000003</v>
      </c>
      <c r="BM76" s="140" t="e">
        <f t="shared" si="415"/>
        <v>#VALUE!</v>
      </c>
      <c r="BN76" s="123" t="str">
        <f t="shared" si="416"/>
        <v/>
      </c>
      <c r="BO76" s="148">
        <f t="shared" si="417"/>
        <v>23454.9</v>
      </c>
      <c r="BP76" s="123">
        <f t="shared" ref="BP76:BP101" si="480">IFERROR(VLOOKUP(M76,MARUCA24,11,FALSE),"")</f>
        <v>0</v>
      </c>
      <c r="BQ76" s="123" t="e">
        <f t="shared" si="418"/>
        <v>#VALUE!</v>
      </c>
      <c r="BR76" s="123" t="str">
        <f t="shared" si="419"/>
        <v/>
      </c>
      <c r="BS76" s="125">
        <f t="shared" si="420"/>
        <v>0</v>
      </c>
      <c r="BT76" s="140" t="e">
        <f t="shared" ref="BT76:BV76" si="481">SUM(BQ76,BM76,BI76)</f>
        <v>#VALUE!</v>
      </c>
      <c r="BU76" s="123">
        <f t="shared" si="481"/>
        <v>0</v>
      </c>
      <c r="BV76" s="148">
        <f t="shared" si="481"/>
        <v>35173.14</v>
      </c>
      <c r="BW76" s="125">
        <f t="shared" ref="BW76:BW101" si="482">IFERROR(VLOOKUP(M76,MARUCA24,12,FALSE),"")</f>
        <v>0</v>
      </c>
      <c r="BX76" s="140" t="e">
        <f t="shared" si="422"/>
        <v>#VALUE!</v>
      </c>
      <c r="BY76" s="123" t="str">
        <f t="shared" si="423"/>
        <v/>
      </c>
      <c r="BZ76" s="148">
        <f t="shared" si="424"/>
        <v>0</v>
      </c>
      <c r="CA76" s="123">
        <f t="shared" ref="CA76:CA101" si="483">IFERROR(VLOOKUP(M76,MARUCA24,13,FALSE),"")</f>
        <v>84155.37</v>
      </c>
      <c r="CB76" s="326">
        <f t="shared" ref="CB76:CB101" si="484">IFERROR(VLOOKUP(M76,MARUCA24,14,FALSE),"")</f>
        <v>98445.9</v>
      </c>
      <c r="CP76" s="294"/>
      <c r="CU76" s="294"/>
    </row>
    <row r="77" spans="1:99" ht="13">
      <c r="A77" s="566" t="e">
        <f t="shared" si="377"/>
        <v>#N/A</v>
      </c>
      <c r="B77" s="636" t="e">
        <f t="shared" si="378"/>
        <v>#N/A</v>
      </c>
      <c r="C77" s="558" t="str">
        <f t="shared" si="359"/>
        <v/>
      </c>
      <c r="D77" s="558" t="str">
        <f t="shared" si="360"/>
        <v/>
      </c>
      <c r="E77" s="559" t="str">
        <f t="shared" si="361"/>
        <v/>
      </c>
      <c r="F77" s="836">
        <f t="shared" si="379"/>
        <v>4</v>
      </c>
      <c r="G77" s="558" t="str">
        <f t="shared" si="380"/>
        <v>Lista</v>
      </c>
      <c r="H77" s="558">
        <f t="shared" si="381"/>
        <v>0.2</v>
      </c>
      <c r="I77" s="559">
        <f t="shared" si="382"/>
        <v>0</v>
      </c>
      <c r="J77" s="1214">
        <f t="shared" si="383"/>
        <v>70</v>
      </c>
      <c r="K77" s="558" t="str">
        <f t="shared" si="384"/>
        <v>Lista</v>
      </c>
      <c r="L77" s="715">
        <f t="shared" si="385"/>
        <v>0.11</v>
      </c>
      <c r="M77" s="1173" t="s">
        <v>1171</v>
      </c>
      <c r="N77" s="1174" t="str">
        <f t="shared" si="465"/>
        <v/>
      </c>
      <c r="O77" s="332" t="e">
        <f t="shared" si="466"/>
        <v>#VALUE!</v>
      </c>
      <c r="P77" s="173">
        <f t="shared" si="387"/>
        <v>0</v>
      </c>
      <c r="Q77" s="561">
        <f t="shared" si="363"/>
        <v>36778.160000000003</v>
      </c>
      <c r="R77" s="1112">
        <f t="shared" si="364"/>
        <v>36778.160000000003</v>
      </c>
      <c r="S77" s="123"/>
      <c r="T77" s="326"/>
      <c r="U77" s="326" t="str">
        <f t="shared" si="467"/>
        <v/>
      </c>
      <c r="V77" s="332" t="e">
        <f t="shared" si="468"/>
        <v>#VALUE!</v>
      </c>
      <c r="W77" s="173">
        <f t="shared" si="389"/>
        <v>0</v>
      </c>
      <c r="X77" s="561">
        <f t="shared" si="390"/>
        <v>212613.31</v>
      </c>
      <c r="Y77" s="1112">
        <f t="shared" si="391"/>
        <v>212613.31</v>
      </c>
      <c r="Z77" s="123"/>
      <c r="AA77" s="326"/>
      <c r="AB77" s="326" t="str">
        <f t="shared" si="469"/>
        <v/>
      </c>
      <c r="AC77" s="332" t="e">
        <f t="shared" si="470"/>
        <v>#VALUE!</v>
      </c>
      <c r="AD77" s="173">
        <f t="shared" si="393"/>
        <v>0</v>
      </c>
      <c r="AE77" s="561">
        <f t="shared" si="394"/>
        <v>142210.89000000001</v>
      </c>
      <c r="AF77" s="1112">
        <f t="shared" si="395"/>
        <v>142210.89000000001</v>
      </c>
      <c r="AG77" s="123"/>
      <c r="AH77" s="326"/>
      <c r="AI77" s="332" t="e">
        <f t="shared" si="471"/>
        <v>#VALUE!</v>
      </c>
      <c r="AJ77" s="140" t="str">
        <f t="shared" si="396"/>
        <v>0</v>
      </c>
      <c r="AK77" s="326">
        <f t="shared" ref="AK77:AM77" si="485">AD77+W77+P77</f>
        <v>0</v>
      </c>
      <c r="AL77" s="326">
        <f t="shared" si="485"/>
        <v>391602.36</v>
      </c>
      <c r="AM77" s="326">
        <f t="shared" si="485"/>
        <v>391602.36</v>
      </c>
      <c r="AN77" s="326">
        <f t="shared" si="398"/>
        <v>391602.36</v>
      </c>
      <c r="AO77" s="98" t="str">
        <f t="shared" si="399"/>
        <v/>
      </c>
      <c r="AP77" s="125" t="str">
        <f t="shared" si="473"/>
        <v/>
      </c>
      <c r="AQ77" s="326">
        <f t="shared" si="400"/>
        <v>0</v>
      </c>
      <c r="AR77" s="326">
        <f t="shared" si="401"/>
        <v>344770.67</v>
      </c>
      <c r="AS77" s="123">
        <f t="shared" si="402"/>
        <v>344770.67</v>
      </c>
      <c r="AT77" s="332" t="str">
        <f t="shared" si="474"/>
        <v/>
      </c>
      <c r="AU77" s="140">
        <f t="shared" si="403"/>
        <v>0</v>
      </c>
      <c r="AV77" s="326">
        <f t="shared" si="404"/>
        <v>204747.74</v>
      </c>
      <c r="AW77" s="333">
        <f t="shared" si="405"/>
        <v>204747.74</v>
      </c>
      <c r="AX77" s="123" t="str">
        <f t="shared" si="475"/>
        <v/>
      </c>
      <c r="AY77" s="123">
        <f t="shared" si="406"/>
        <v>0</v>
      </c>
      <c r="AZ77" s="123">
        <f t="shared" si="407"/>
        <v>371750.61</v>
      </c>
      <c r="BA77" s="125">
        <f t="shared" si="408"/>
        <v>371750.61</v>
      </c>
      <c r="BB77" s="1175">
        <f t="shared" ref="BB77:BD77" si="486">SUM(AQ77,AU77,AY77)</f>
        <v>0</v>
      </c>
      <c r="BC77" s="326">
        <f t="shared" si="486"/>
        <v>921269.0199999999</v>
      </c>
      <c r="BD77" s="333">
        <f t="shared" si="486"/>
        <v>921269.0199999999</v>
      </c>
      <c r="BE77" s="100">
        <f t="shared" si="410"/>
        <v>0</v>
      </c>
      <c r="BF77" s="116">
        <f t="shared" ref="BF77:BG77" si="487">BC77+AL77</f>
        <v>1312871.3799999999</v>
      </c>
      <c r="BG77" s="119">
        <f t="shared" si="487"/>
        <v>1312871.3799999999</v>
      </c>
      <c r="BH77" s="125" t="str">
        <f t="shared" si="478"/>
        <v/>
      </c>
      <c r="BI77" s="1041">
        <f t="shared" si="412"/>
        <v>0</v>
      </c>
      <c r="BJ77" s="326">
        <f t="shared" si="413"/>
        <v>389736.33</v>
      </c>
      <c r="BK77" s="1045">
        <f t="shared" si="414"/>
        <v>389736.33</v>
      </c>
      <c r="BL77" s="125" t="str">
        <f t="shared" si="479"/>
        <v/>
      </c>
      <c r="BM77" s="140">
        <f t="shared" si="415"/>
        <v>0</v>
      </c>
      <c r="BN77" s="123">
        <f t="shared" si="416"/>
        <v>628477.64</v>
      </c>
      <c r="BO77" s="148">
        <f t="shared" si="417"/>
        <v>628477.64</v>
      </c>
      <c r="BP77" s="123" t="str">
        <f t="shared" si="480"/>
        <v/>
      </c>
      <c r="BQ77" s="123">
        <f t="shared" si="418"/>
        <v>0</v>
      </c>
      <c r="BR77" s="123">
        <f t="shared" si="419"/>
        <v>590909.26</v>
      </c>
      <c r="BS77" s="125">
        <f t="shared" si="420"/>
        <v>590909.26</v>
      </c>
      <c r="BT77" s="140">
        <f t="shared" ref="BT77:BV77" si="488">SUM(BQ77,BM77,BI77)</f>
        <v>0</v>
      </c>
      <c r="BU77" s="123">
        <f t="shared" si="488"/>
        <v>1609123.23</v>
      </c>
      <c r="BV77" s="148">
        <f t="shared" si="488"/>
        <v>1609123.23</v>
      </c>
      <c r="BW77" s="125" t="str">
        <f t="shared" si="482"/>
        <v/>
      </c>
      <c r="BX77" s="140">
        <f t="shared" si="422"/>
        <v>242092.82000000007</v>
      </c>
      <c r="BY77" s="123">
        <f t="shared" si="423"/>
        <v>853308.72</v>
      </c>
      <c r="BZ77" s="148">
        <f t="shared" si="424"/>
        <v>1095401.54</v>
      </c>
      <c r="CA77" s="123" t="str">
        <f t="shared" si="483"/>
        <v/>
      </c>
      <c r="CB77" s="326" t="str">
        <f t="shared" si="484"/>
        <v/>
      </c>
      <c r="CP77" s="294"/>
      <c r="CU77" s="294"/>
    </row>
    <row r="78" spans="1:99" ht="13">
      <c r="A78" s="566" t="e">
        <f t="shared" si="377"/>
        <v>#N/A</v>
      </c>
      <c r="B78" s="636">
        <f t="shared" si="378"/>
        <v>4</v>
      </c>
      <c r="C78" s="558" t="str">
        <f t="shared" si="359"/>
        <v>Lista</v>
      </c>
      <c r="D78" s="558">
        <f t="shared" si="360"/>
        <v>0.2</v>
      </c>
      <c r="E78" s="559">
        <f t="shared" si="361"/>
        <v>0</v>
      </c>
      <c r="F78" s="836">
        <f t="shared" si="379"/>
        <v>4</v>
      </c>
      <c r="G78" s="558" t="str">
        <f t="shared" si="380"/>
        <v>Lista</v>
      </c>
      <c r="H78" s="558">
        <f t="shared" si="381"/>
        <v>0.2</v>
      </c>
      <c r="I78" s="559">
        <f t="shared" si="382"/>
        <v>0</v>
      </c>
      <c r="J78" s="1214">
        <f t="shared" si="383"/>
        <v>70</v>
      </c>
      <c r="K78" s="558" t="str">
        <f t="shared" si="384"/>
        <v>Lista</v>
      </c>
      <c r="L78" s="715">
        <f t="shared" si="385"/>
        <v>0.11</v>
      </c>
      <c r="M78" s="1173" t="s">
        <v>1172</v>
      </c>
      <c r="N78" s="1174">
        <f t="shared" si="465"/>
        <v>62627.14</v>
      </c>
      <c r="O78" s="332">
        <f t="shared" si="466"/>
        <v>105279.353697</v>
      </c>
      <c r="P78" s="173">
        <f t="shared" si="387"/>
        <v>0</v>
      </c>
      <c r="Q78" s="561">
        <f t="shared" si="363"/>
        <v>137542.07999999999</v>
      </c>
      <c r="R78" s="1112">
        <f t="shared" si="364"/>
        <v>137542.07999999999</v>
      </c>
      <c r="S78" s="123"/>
      <c r="T78" s="326"/>
      <c r="U78" s="326">
        <f t="shared" si="467"/>
        <v>163376.88</v>
      </c>
      <c r="V78" s="332">
        <f t="shared" si="468"/>
        <v>290195.73244680004</v>
      </c>
      <c r="W78" s="173">
        <f t="shared" si="389"/>
        <v>0</v>
      </c>
      <c r="X78" s="561">
        <f t="shared" si="390"/>
        <v>0</v>
      </c>
      <c r="Y78" s="1112">
        <f t="shared" si="391"/>
        <v>0</v>
      </c>
      <c r="Z78" s="123"/>
      <c r="AA78" s="326"/>
      <c r="AB78" s="326">
        <f t="shared" si="469"/>
        <v>0</v>
      </c>
      <c r="AC78" s="332">
        <f t="shared" si="470"/>
        <v>0</v>
      </c>
      <c r="AD78" s="173">
        <f t="shared" si="393"/>
        <v>0</v>
      </c>
      <c r="AE78" s="561">
        <f t="shared" si="394"/>
        <v>0</v>
      </c>
      <c r="AF78" s="1112">
        <f t="shared" si="395"/>
        <v>0</v>
      </c>
      <c r="AG78" s="123"/>
      <c r="AH78" s="326"/>
      <c r="AI78" s="332">
        <f t="shared" si="471"/>
        <v>395475.08614380006</v>
      </c>
      <c r="AJ78" s="140">
        <f t="shared" si="396"/>
        <v>330241.76</v>
      </c>
      <c r="AK78" s="326">
        <f t="shared" ref="AK78:AM78" si="489">AD78+W78+P78</f>
        <v>0</v>
      </c>
      <c r="AL78" s="326">
        <f t="shared" si="489"/>
        <v>137542.07999999999</v>
      </c>
      <c r="AM78" s="326">
        <f t="shared" si="489"/>
        <v>137542.07999999999</v>
      </c>
      <c r="AN78" s="326">
        <f t="shared" si="398"/>
        <v>-192699.68000000002</v>
      </c>
      <c r="AO78" s="98">
        <f t="shared" si="399"/>
        <v>0.41648905940908254</v>
      </c>
      <c r="AP78" s="125">
        <f t="shared" si="473"/>
        <v>204684.79999999999</v>
      </c>
      <c r="AQ78" s="326">
        <f t="shared" si="400"/>
        <v>0</v>
      </c>
      <c r="AR78" s="326">
        <f t="shared" si="401"/>
        <v>161242.28</v>
      </c>
      <c r="AS78" s="123">
        <f t="shared" si="402"/>
        <v>161242.28</v>
      </c>
      <c r="AT78" s="332">
        <f t="shared" si="474"/>
        <v>74725.440000000002</v>
      </c>
      <c r="AU78" s="140">
        <f t="shared" si="403"/>
        <v>0</v>
      </c>
      <c r="AV78" s="326">
        <f t="shared" si="404"/>
        <v>0</v>
      </c>
      <c r="AW78" s="333">
        <f t="shared" si="405"/>
        <v>0</v>
      </c>
      <c r="AX78" s="123">
        <f t="shared" si="475"/>
        <v>93406.8</v>
      </c>
      <c r="AY78" s="123">
        <f t="shared" si="406"/>
        <v>0</v>
      </c>
      <c r="AZ78" s="123">
        <f t="shared" si="407"/>
        <v>0</v>
      </c>
      <c r="BA78" s="125">
        <f t="shared" si="408"/>
        <v>0</v>
      </c>
      <c r="BB78" s="1175">
        <f t="shared" ref="BB78:BD78" si="490">SUM(AQ78,AU78,AY78)</f>
        <v>0</v>
      </c>
      <c r="BC78" s="326">
        <f t="shared" si="490"/>
        <v>161242.28</v>
      </c>
      <c r="BD78" s="333">
        <f t="shared" si="490"/>
        <v>161242.28</v>
      </c>
      <c r="BE78" s="100">
        <f t="shared" si="410"/>
        <v>0</v>
      </c>
      <c r="BF78" s="116">
        <f t="shared" ref="BF78:BG78" si="491">BC78+AL78</f>
        <v>298784.36</v>
      </c>
      <c r="BG78" s="119">
        <f t="shared" si="491"/>
        <v>298784.36</v>
      </c>
      <c r="BH78" s="125">
        <f t="shared" si="478"/>
        <v>131883.22</v>
      </c>
      <c r="BI78" s="1041">
        <f t="shared" si="412"/>
        <v>0</v>
      </c>
      <c r="BJ78" s="326">
        <f t="shared" si="413"/>
        <v>0</v>
      </c>
      <c r="BK78" s="1045">
        <f t="shared" si="414"/>
        <v>0</v>
      </c>
      <c r="BL78" s="125">
        <f t="shared" si="479"/>
        <v>171113.60000000001</v>
      </c>
      <c r="BM78" s="140">
        <f t="shared" si="415"/>
        <v>0</v>
      </c>
      <c r="BN78" s="123">
        <f t="shared" si="416"/>
        <v>189155.28</v>
      </c>
      <c r="BO78" s="148">
        <f t="shared" si="417"/>
        <v>189155.28</v>
      </c>
      <c r="BP78" s="123">
        <f t="shared" si="480"/>
        <v>0</v>
      </c>
      <c r="BQ78" s="123">
        <f t="shared" si="418"/>
        <v>0</v>
      </c>
      <c r="BR78" s="123">
        <f t="shared" si="419"/>
        <v>64614.78</v>
      </c>
      <c r="BS78" s="125">
        <f t="shared" si="420"/>
        <v>64614.78</v>
      </c>
      <c r="BT78" s="140">
        <f t="shared" ref="BT78:BV78" si="492">SUM(BQ78,BM78,BI78)</f>
        <v>0</v>
      </c>
      <c r="BU78" s="123">
        <f t="shared" si="492"/>
        <v>253770.06</v>
      </c>
      <c r="BV78" s="148">
        <f t="shared" si="492"/>
        <v>253770.06</v>
      </c>
      <c r="BW78" s="125">
        <f t="shared" si="482"/>
        <v>146726.88</v>
      </c>
      <c r="BX78" s="140">
        <f t="shared" si="422"/>
        <v>0</v>
      </c>
      <c r="BY78" s="123">
        <f t="shared" si="423"/>
        <v>0</v>
      </c>
      <c r="BZ78" s="148">
        <f t="shared" si="424"/>
        <v>0</v>
      </c>
      <c r="CA78" s="123">
        <f t="shared" si="483"/>
        <v>183514.88</v>
      </c>
      <c r="CB78" s="326">
        <f t="shared" si="484"/>
        <v>0</v>
      </c>
      <c r="CP78" s="294"/>
      <c r="CU78" s="294"/>
    </row>
    <row r="79" spans="1:99" ht="13">
      <c r="A79" s="566" t="e">
        <f t="shared" si="377"/>
        <v>#N/A</v>
      </c>
      <c r="B79" s="636">
        <f t="shared" si="378"/>
        <v>4</v>
      </c>
      <c r="C79" s="558" t="str">
        <f t="shared" si="359"/>
        <v>Lista</v>
      </c>
      <c r="D79" s="558">
        <f t="shared" si="360"/>
        <v>0.2</v>
      </c>
      <c r="E79" s="559">
        <f t="shared" si="361"/>
        <v>0</v>
      </c>
      <c r="F79" s="836">
        <f t="shared" si="379"/>
        <v>4</v>
      </c>
      <c r="G79" s="558" t="str">
        <f t="shared" si="380"/>
        <v>Lista</v>
      </c>
      <c r="H79" s="558">
        <f t="shared" si="381"/>
        <v>0.2</v>
      </c>
      <c r="I79" s="559">
        <f t="shared" si="382"/>
        <v>0</v>
      </c>
      <c r="J79" s="1214">
        <f t="shared" si="383"/>
        <v>70</v>
      </c>
      <c r="K79" s="558" t="str">
        <f t="shared" si="384"/>
        <v>Lista</v>
      </c>
      <c r="L79" s="715">
        <f t="shared" si="385"/>
        <v>0.11</v>
      </c>
      <c r="M79" s="1173" t="s">
        <v>1173</v>
      </c>
      <c r="N79" s="1174">
        <f t="shared" si="465"/>
        <v>396202.47</v>
      </c>
      <c r="O79" s="332">
        <f t="shared" si="466"/>
        <v>666036.16219349997</v>
      </c>
      <c r="P79" s="173">
        <f t="shared" si="387"/>
        <v>767931.41000000015</v>
      </c>
      <c r="Q79" s="561">
        <f t="shared" si="363"/>
        <v>422437.2</v>
      </c>
      <c r="R79" s="1112">
        <f t="shared" si="364"/>
        <v>1190368.6100000001</v>
      </c>
      <c r="S79" s="123"/>
      <c r="T79" s="326"/>
      <c r="U79" s="326">
        <f t="shared" si="467"/>
        <v>566841.81999999995</v>
      </c>
      <c r="V79" s="332">
        <f t="shared" si="468"/>
        <v>1006844.2801476999</v>
      </c>
      <c r="W79" s="173">
        <f t="shared" si="389"/>
        <v>280519.62999999995</v>
      </c>
      <c r="X79" s="561">
        <f t="shared" si="390"/>
        <v>407921.46</v>
      </c>
      <c r="Y79" s="1112">
        <f t="shared" si="391"/>
        <v>688441.09</v>
      </c>
      <c r="Z79" s="123"/>
      <c r="AA79" s="326"/>
      <c r="AB79" s="326">
        <f t="shared" si="469"/>
        <v>233260.23</v>
      </c>
      <c r="AC79" s="332">
        <f t="shared" si="470"/>
        <v>383331.69787395</v>
      </c>
      <c r="AD79" s="173">
        <f t="shared" si="393"/>
        <v>160626.23999999999</v>
      </c>
      <c r="AE79" s="561">
        <f t="shared" si="394"/>
        <v>315515.77</v>
      </c>
      <c r="AF79" s="1112">
        <f t="shared" si="395"/>
        <v>476142.01</v>
      </c>
      <c r="AG79" s="123"/>
      <c r="AH79" s="326"/>
      <c r="AI79" s="332">
        <f t="shared" si="471"/>
        <v>2056212.1402151498</v>
      </c>
      <c r="AJ79" s="140">
        <f t="shared" si="396"/>
        <v>1487962.37</v>
      </c>
      <c r="AK79" s="326">
        <f t="shared" ref="AK79:AM79" si="493">AD79+W79+P79</f>
        <v>1209077.28</v>
      </c>
      <c r="AL79" s="326">
        <f t="shared" si="493"/>
        <v>1145874.43</v>
      </c>
      <c r="AM79" s="326">
        <f t="shared" si="493"/>
        <v>2354951.71</v>
      </c>
      <c r="AN79" s="326">
        <f t="shared" si="398"/>
        <v>866989.33999999985</v>
      </c>
      <c r="AO79" s="98">
        <f t="shared" si="399"/>
        <v>1.5826688614443924</v>
      </c>
      <c r="AP79" s="125">
        <f t="shared" si="473"/>
        <v>181427.5</v>
      </c>
      <c r="AQ79" s="326">
        <f t="shared" si="400"/>
        <v>117203.57999999999</v>
      </c>
      <c r="AR79" s="326">
        <f t="shared" si="401"/>
        <v>93016.07</v>
      </c>
      <c r="AS79" s="123">
        <f t="shared" si="402"/>
        <v>210219.65</v>
      </c>
      <c r="AT79" s="332">
        <f t="shared" si="474"/>
        <v>324424.86</v>
      </c>
      <c r="AU79" s="140">
        <f t="shared" si="403"/>
        <v>250829.02000000002</v>
      </c>
      <c r="AV79" s="326">
        <f t="shared" si="404"/>
        <v>271952.62</v>
      </c>
      <c r="AW79" s="333">
        <f t="shared" si="405"/>
        <v>522781.64</v>
      </c>
      <c r="AX79" s="123">
        <f t="shared" si="475"/>
        <v>332698.05</v>
      </c>
      <c r="AY79" s="123">
        <f t="shared" si="406"/>
        <v>46671.98000000001</v>
      </c>
      <c r="AZ79" s="123">
        <f t="shared" si="407"/>
        <v>217862.42</v>
      </c>
      <c r="BA79" s="125">
        <f t="shared" si="408"/>
        <v>264534.40000000002</v>
      </c>
      <c r="BB79" s="1175">
        <f t="shared" ref="BB79:BD79" si="494">SUM(AQ79,AU79,AY79)</f>
        <v>414704.57999999996</v>
      </c>
      <c r="BC79" s="326">
        <f t="shared" si="494"/>
        <v>582831.11</v>
      </c>
      <c r="BD79" s="333">
        <f t="shared" si="494"/>
        <v>997535.69000000006</v>
      </c>
      <c r="BE79" s="100">
        <f t="shared" si="410"/>
        <v>1623781.8599999999</v>
      </c>
      <c r="BF79" s="116">
        <f t="shared" ref="BF79:BG79" si="495">BC79+AL79</f>
        <v>1728705.54</v>
      </c>
      <c r="BG79" s="119">
        <f t="shared" si="495"/>
        <v>3352487.4</v>
      </c>
      <c r="BH79" s="125">
        <f t="shared" si="478"/>
        <v>450492.25</v>
      </c>
      <c r="BI79" s="1041">
        <f t="shared" si="412"/>
        <v>237534.27999999997</v>
      </c>
      <c r="BJ79" s="326">
        <f t="shared" si="413"/>
        <v>125074.2</v>
      </c>
      <c r="BK79" s="1045">
        <f t="shared" si="414"/>
        <v>362608.48</v>
      </c>
      <c r="BL79" s="125">
        <f t="shared" si="479"/>
        <v>725959.94</v>
      </c>
      <c r="BM79" s="140">
        <f t="shared" si="415"/>
        <v>636627.08000000007</v>
      </c>
      <c r="BN79" s="123">
        <f t="shared" si="416"/>
        <v>181857.23</v>
      </c>
      <c r="BO79" s="148">
        <f t="shared" si="417"/>
        <v>818484.31</v>
      </c>
      <c r="BP79" s="123">
        <f t="shared" si="480"/>
        <v>580788.5</v>
      </c>
      <c r="BQ79" s="123">
        <f t="shared" si="418"/>
        <v>169488.68000000005</v>
      </c>
      <c r="BR79" s="123">
        <f t="shared" si="419"/>
        <v>385250.73</v>
      </c>
      <c r="BS79" s="125">
        <f t="shared" si="420"/>
        <v>554739.41</v>
      </c>
      <c r="BT79" s="140">
        <f t="shared" ref="BT79:BV79" si="496">SUM(BQ79,BM79,BI79)</f>
        <v>1043650.04</v>
      </c>
      <c r="BU79" s="123">
        <f t="shared" si="496"/>
        <v>692182.15999999992</v>
      </c>
      <c r="BV79" s="148">
        <f t="shared" si="496"/>
        <v>1735832.2000000002</v>
      </c>
      <c r="BW79" s="125">
        <f t="shared" si="482"/>
        <v>627103.88</v>
      </c>
      <c r="BX79" s="140">
        <f t="shared" si="422"/>
        <v>474027.51999999996</v>
      </c>
      <c r="BY79" s="123">
        <f t="shared" si="423"/>
        <v>408651.83</v>
      </c>
      <c r="BZ79" s="148">
        <f t="shared" si="424"/>
        <v>882679.35</v>
      </c>
      <c r="CA79" s="123">
        <f t="shared" si="483"/>
        <v>550442.80000000005</v>
      </c>
      <c r="CB79" s="326">
        <f t="shared" si="484"/>
        <v>310415.69</v>
      </c>
      <c r="CP79" s="294"/>
      <c r="CU79" s="294"/>
    </row>
    <row r="80" spans="1:99" ht="13">
      <c r="A80" s="566" t="e">
        <f t="shared" si="377"/>
        <v>#N/A</v>
      </c>
      <c r="B80" s="636">
        <f t="shared" si="378"/>
        <v>1</v>
      </c>
      <c r="C80" s="558" t="str">
        <f t="shared" si="359"/>
        <v>Lista</v>
      </c>
      <c r="D80" s="558">
        <f t="shared" si="360"/>
        <v>0.09</v>
      </c>
      <c r="E80" s="559">
        <f t="shared" si="361"/>
        <v>0</v>
      </c>
      <c r="F80" s="836">
        <f t="shared" si="379"/>
        <v>1</v>
      </c>
      <c r="G80" s="558" t="str">
        <f t="shared" si="380"/>
        <v>Lista</v>
      </c>
      <c r="H80" s="558">
        <f t="shared" si="381"/>
        <v>0.09</v>
      </c>
      <c r="I80" s="559">
        <f t="shared" si="382"/>
        <v>0</v>
      </c>
      <c r="J80" s="1214">
        <f t="shared" si="383"/>
        <v>71</v>
      </c>
      <c r="K80" s="558" t="str">
        <f t="shared" si="384"/>
        <v>Lista</v>
      </c>
      <c r="L80" s="715">
        <f t="shared" si="385"/>
        <v>0.05</v>
      </c>
      <c r="M80" s="1215" t="s">
        <v>1174</v>
      </c>
      <c r="N80" s="1216">
        <f t="shared" si="465"/>
        <v>0</v>
      </c>
      <c r="O80" s="332">
        <f t="shared" si="466"/>
        <v>0</v>
      </c>
      <c r="P80" s="173">
        <f t="shared" si="387"/>
        <v>20897.2</v>
      </c>
      <c r="Q80" s="561">
        <f t="shared" si="363"/>
        <v>0</v>
      </c>
      <c r="R80" s="1112">
        <f t="shared" si="364"/>
        <v>20897.2</v>
      </c>
      <c r="S80" s="123"/>
      <c r="T80" s="326"/>
      <c r="U80" s="326">
        <f t="shared" si="467"/>
        <v>10124.57</v>
      </c>
      <c r="V80" s="332">
        <f t="shared" si="468"/>
        <v>17983.615593949999</v>
      </c>
      <c r="W80" s="173">
        <f t="shared" si="389"/>
        <v>73411.199999999997</v>
      </c>
      <c r="X80" s="561">
        <f t="shared" si="390"/>
        <v>0</v>
      </c>
      <c r="Y80" s="1112">
        <f t="shared" si="391"/>
        <v>73411.199999999997</v>
      </c>
      <c r="Z80" s="123"/>
      <c r="AA80" s="326"/>
      <c r="AB80" s="326">
        <f t="shared" si="469"/>
        <v>0</v>
      </c>
      <c r="AC80" s="332">
        <f t="shared" si="470"/>
        <v>0</v>
      </c>
      <c r="AD80" s="173">
        <f t="shared" si="393"/>
        <v>146412.85</v>
      </c>
      <c r="AE80" s="561">
        <f t="shared" si="394"/>
        <v>0</v>
      </c>
      <c r="AF80" s="1112">
        <f t="shared" si="395"/>
        <v>146412.85</v>
      </c>
      <c r="AG80" s="123"/>
      <c r="AH80" s="326"/>
      <c r="AI80" s="332">
        <f t="shared" si="471"/>
        <v>17983.615593949999</v>
      </c>
      <c r="AJ80" s="140">
        <f t="shared" si="396"/>
        <v>198665.08</v>
      </c>
      <c r="AK80" s="326">
        <f t="shared" ref="AK80:AM80" si="497">AD80+W80+P80</f>
        <v>240721.25</v>
      </c>
      <c r="AL80" s="326">
        <f t="shared" si="497"/>
        <v>0</v>
      </c>
      <c r="AM80" s="326">
        <f t="shared" si="497"/>
        <v>240721.25</v>
      </c>
      <c r="AN80" s="326">
        <f t="shared" si="398"/>
        <v>42056.170000000013</v>
      </c>
      <c r="AO80" s="98">
        <f t="shared" si="399"/>
        <v>1.2116938215815281</v>
      </c>
      <c r="AP80" s="125">
        <f t="shared" si="473"/>
        <v>113106.91</v>
      </c>
      <c r="AQ80" s="326">
        <f t="shared" si="400"/>
        <v>0</v>
      </c>
      <c r="AR80" s="326">
        <f t="shared" si="401"/>
        <v>0</v>
      </c>
      <c r="AS80" s="123">
        <f t="shared" si="402"/>
        <v>0</v>
      </c>
      <c r="AT80" s="332">
        <f t="shared" si="474"/>
        <v>20628</v>
      </c>
      <c r="AU80" s="140">
        <f t="shared" si="403"/>
        <v>119534.35999999999</v>
      </c>
      <c r="AV80" s="326">
        <f t="shared" si="404"/>
        <v>31057.599999999999</v>
      </c>
      <c r="AW80" s="333">
        <f t="shared" si="405"/>
        <v>150591.96</v>
      </c>
      <c r="AX80" s="123">
        <f t="shared" si="475"/>
        <v>0</v>
      </c>
      <c r="AY80" s="123">
        <f t="shared" si="406"/>
        <v>53467</v>
      </c>
      <c r="AZ80" s="123">
        <f t="shared" si="407"/>
        <v>0</v>
      </c>
      <c r="BA80" s="125">
        <f t="shared" si="408"/>
        <v>53467</v>
      </c>
      <c r="BB80" s="1175">
        <f t="shared" ref="BB80:BD80" si="498">SUM(AQ80,AU80,AY80)</f>
        <v>173001.36</v>
      </c>
      <c r="BC80" s="326">
        <f t="shared" si="498"/>
        <v>31057.599999999999</v>
      </c>
      <c r="BD80" s="333">
        <f t="shared" si="498"/>
        <v>204058.96</v>
      </c>
      <c r="BE80" s="100">
        <f t="shared" si="410"/>
        <v>413722.61</v>
      </c>
      <c r="BF80" s="116">
        <f t="shared" ref="BF80:BG80" si="499">BC80+AL80</f>
        <v>31057.599999999999</v>
      </c>
      <c r="BG80" s="119">
        <f t="shared" si="499"/>
        <v>444780.20999999996</v>
      </c>
      <c r="BH80" s="125">
        <f t="shared" si="478"/>
        <v>0</v>
      </c>
      <c r="BI80" s="1041">
        <f t="shared" si="412"/>
        <v>0</v>
      </c>
      <c r="BJ80" s="326">
        <f t="shared" si="413"/>
        <v>0</v>
      </c>
      <c r="BK80" s="1045">
        <f t="shared" si="414"/>
        <v>0</v>
      </c>
      <c r="BL80" s="125">
        <f t="shared" si="479"/>
        <v>115036.43</v>
      </c>
      <c r="BM80" s="140">
        <f t="shared" si="415"/>
        <v>63897.89</v>
      </c>
      <c r="BN80" s="123">
        <f t="shared" si="416"/>
        <v>0</v>
      </c>
      <c r="BO80" s="148">
        <f t="shared" si="417"/>
        <v>63897.89</v>
      </c>
      <c r="BP80" s="123">
        <f t="shared" si="480"/>
        <v>141046.24</v>
      </c>
      <c r="BQ80" s="123">
        <f t="shared" si="418"/>
        <v>29400</v>
      </c>
      <c r="BR80" s="123">
        <f t="shared" si="419"/>
        <v>0</v>
      </c>
      <c r="BS80" s="125">
        <f t="shared" si="420"/>
        <v>29400</v>
      </c>
      <c r="BT80" s="140">
        <f t="shared" ref="BT80:BV80" si="500">SUM(BQ80,BM80,BI80)</f>
        <v>93297.89</v>
      </c>
      <c r="BU80" s="123">
        <f t="shared" si="500"/>
        <v>0</v>
      </c>
      <c r="BV80" s="148">
        <f t="shared" si="500"/>
        <v>93297.89</v>
      </c>
      <c r="BW80" s="125">
        <f t="shared" si="482"/>
        <v>198665.08</v>
      </c>
      <c r="BX80" s="140">
        <f t="shared" si="422"/>
        <v>0</v>
      </c>
      <c r="BY80" s="123">
        <f t="shared" si="423"/>
        <v>0</v>
      </c>
      <c r="BZ80" s="148">
        <f t="shared" si="424"/>
        <v>0</v>
      </c>
      <c r="CA80" s="123">
        <f t="shared" si="483"/>
        <v>0</v>
      </c>
      <c r="CB80" s="326">
        <f t="shared" si="484"/>
        <v>0</v>
      </c>
      <c r="CP80" s="294"/>
      <c r="CU80" s="294"/>
    </row>
    <row r="81" spans="1:99" ht="13">
      <c r="A81" s="566" t="e">
        <f t="shared" si="377"/>
        <v>#N/A</v>
      </c>
      <c r="B81" s="636">
        <v>1</v>
      </c>
      <c r="C81" s="558" t="str">
        <f t="shared" si="359"/>
        <v>Lista</v>
      </c>
      <c r="D81" s="558">
        <f t="shared" si="360"/>
        <v>0.09</v>
      </c>
      <c r="E81" s="559">
        <f t="shared" si="361"/>
        <v>0</v>
      </c>
      <c r="F81" s="836">
        <f t="shared" si="379"/>
        <v>0</v>
      </c>
      <c r="G81" s="558" t="str">
        <f t="shared" si="380"/>
        <v/>
      </c>
      <c r="H81" s="558" t="str">
        <f t="shared" si="381"/>
        <v/>
      </c>
      <c r="I81" s="559" t="str">
        <f t="shared" si="382"/>
        <v/>
      </c>
      <c r="J81" s="1214">
        <f t="shared" si="383"/>
        <v>0</v>
      </c>
      <c r="K81" s="558" t="str">
        <f>IFERROR(VLOOKUP(J81,A458DC1025,2,FALSE),"")</f>
        <v/>
      </c>
      <c r="L81" s="715" t="str">
        <f>IFERROR(VLOOKUP(J81,A458DC1025,3,FALSE),"")</f>
        <v/>
      </c>
      <c r="M81" s="1215" t="s">
        <v>1175</v>
      </c>
      <c r="N81" s="1216" t="str">
        <f t="shared" si="465"/>
        <v/>
      </c>
      <c r="O81" s="326" t="e">
        <f t="shared" si="466"/>
        <v>#VALUE!</v>
      </c>
      <c r="P81" s="326"/>
      <c r="Q81" s="326"/>
      <c r="R81" s="326"/>
      <c r="S81" s="326"/>
      <c r="T81" s="326"/>
      <c r="U81" s="326" t="str">
        <f t="shared" si="467"/>
        <v/>
      </c>
      <c r="V81" s="326" t="e">
        <f t="shared" si="468"/>
        <v>#VALUE!</v>
      </c>
      <c r="W81" s="326"/>
      <c r="X81" s="326"/>
      <c r="Y81" s="326"/>
      <c r="Z81" s="326"/>
      <c r="AA81" s="326"/>
      <c r="AB81" s="326" t="str">
        <f t="shared" si="469"/>
        <v/>
      </c>
      <c r="AC81" s="326" t="e">
        <f t="shared" si="470"/>
        <v>#VALUE!</v>
      </c>
      <c r="AD81" s="326"/>
      <c r="AE81" s="326"/>
      <c r="AF81" s="326"/>
      <c r="AG81" s="326"/>
      <c r="AH81" s="326"/>
      <c r="AI81" s="332" t="e">
        <f t="shared" si="471"/>
        <v>#VALUE!</v>
      </c>
      <c r="AJ81" s="140"/>
      <c r="AK81" s="326"/>
      <c r="AL81" s="326"/>
      <c r="AM81" s="326"/>
      <c r="AN81" s="326"/>
      <c r="AO81" s="1217"/>
      <c r="AP81" s="123" t="str">
        <f t="shared" si="473"/>
        <v/>
      </c>
      <c r="AQ81" s="326" t="e">
        <f t="shared" si="400"/>
        <v>#VALUE!</v>
      </c>
      <c r="AR81" s="326" t="str">
        <f t="shared" si="401"/>
        <v/>
      </c>
      <c r="AS81" s="123">
        <f t="shared" si="402"/>
        <v>0</v>
      </c>
      <c r="AT81" s="332" t="str">
        <f t="shared" si="474"/>
        <v/>
      </c>
      <c r="AU81" s="140" t="e">
        <f t="shared" si="403"/>
        <v>#VALUE!</v>
      </c>
      <c r="AV81" s="326" t="str">
        <f t="shared" si="404"/>
        <v/>
      </c>
      <c r="AW81" s="333">
        <f t="shared" si="405"/>
        <v>0</v>
      </c>
      <c r="AX81" s="123" t="str">
        <f t="shared" si="475"/>
        <v/>
      </c>
      <c r="AY81" s="123" t="e">
        <f t="shared" si="406"/>
        <v>#VALUE!</v>
      </c>
      <c r="AZ81" s="123" t="str">
        <f t="shared" si="407"/>
        <v/>
      </c>
      <c r="BA81" s="125">
        <f t="shared" si="408"/>
        <v>0</v>
      </c>
      <c r="BB81" s="1175" t="e">
        <f t="shared" ref="BB81:BD81" si="501">SUM(AQ81,AU81,AY81)</f>
        <v>#VALUE!</v>
      </c>
      <c r="BC81" s="326">
        <f t="shared" si="501"/>
        <v>0</v>
      </c>
      <c r="BD81" s="333">
        <f t="shared" si="501"/>
        <v>0</v>
      </c>
      <c r="BE81" s="100" t="e">
        <f t="shared" si="410"/>
        <v>#VALUE!</v>
      </c>
      <c r="BF81" s="116">
        <f t="shared" ref="BF81:BG81" si="502">BC81+AL81</f>
        <v>0</v>
      </c>
      <c r="BG81" s="119">
        <f t="shared" si="502"/>
        <v>0</v>
      </c>
      <c r="BH81" s="125" t="str">
        <f t="shared" si="478"/>
        <v/>
      </c>
      <c r="BI81" s="1041" t="e">
        <f t="shared" si="412"/>
        <v>#VALUE!</v>
      </c>
      <c r="BJ81" s="326" t="str">
        <f t="shared" si="413"/>
        <v/>
      </c>
      <c r="BK81" s="1045">
        <f t="shared" si="414"/>
        <v>0</v>
      </c>
      <c r="BL81" s="125" t="str">
        <f t="shared" si="479"/>
        <v/>
      </c>
      <c r="BM81" s="140" t="e">
        <f t="shared" si="415"/>
        <v>#VALUE!</v>
      </c>
      <c r="BN81" s="123" t="str">
        <f t="shared" si="416"/>
        <v/>
      </c>
      <c r="BO81" s="148">
        <f t="shared" si="417"/>
        <v>10686.6</v>
      </c>
      <c r="BP81" s="123" t="str">
        <f t="shared" si="480"/>
        <v/>
      </c>
      <c r="BQ81" s="123" t="e">
        <f t="shared" si="418"/>
        <v>#VALUE!</v>
      </c>
      <c r="BR81" s="123" t="str">
        <f t="shared" si="419"/>
        <v/>
      </c>
      <c r="BS81" s="125">
        <f t="shared" si="420"/>
        <v>0</v>
      </c>
      <c r="BT81" s="140" t="e">
        <f t="shared" ref="BT81:BV81" si="503">SUM(BQ81,BM81,BI81)</f>
        <v>#VALUE!</v>
      </c>
      <c r="BU81" s="123">
        <f t="shared" si="503"/>
        <v>0</v>
      </c>
      <c r="BV81" s="148">
        <f t="shared" si="503"/>
        <v>10686.6</v>
      </c>
      <c r="BW81" s="125" t="str">
        <f t="shared" si="482"/>
        <v/>
      </c>
      <c r="BX81" s="140" t="e">
        <f t="shared" si="422"/>
        <v>#VALUE!</v>
      </c>
      <c r="BY81" s="123" t="str">
        <f t="shared" si="423"/>
        <v/>
      </c>
      <c r="BZ81" s="148">
        <f t="shared" si="424"/>
        <v>0</v>
      </c>
      <c r="CA81" s="123" t="str">
        <f t="shared" si="483"/>
        <v/>
      </c>
      <c r="CB81" s="326" t="str">
        <f t="shared" si="484"/>
        <v/>
      </c>
      <c r="CP81" s="294"/>
      <c r="CU81" s="294"/>
    </row>
    <row r="82" spans="1:99" ht="13">
      <c r="A82" s="566" t="e">
        <f t="shared" si="377"/>
        <v>#N/A</v>
      </c>
      <c r="B82" s="636">
        <f t="shared" ref="B82:B90" si="504">VLOOKUP(M82,MARUCACARTERA,2,FALSE)</f>
        <v>1</v>
      </c>
      <c r="C82" s="558" t="str">
        <f t="shared" si="359"/>
        <v>Lista</v>
      </c>
      <c r="D82" s="558">
        <f t="shared" si="360"/>
        <v>0.09</v>
      </c>
      <c r="E82" s="559">
        <f t="shared" si="361"/>
        <v>0</v>
      </c>
      <c r="F82" s="836">
        <f t="shared" si="379"/>
        <v>1</v>
      </c>
      <c r="G82" s="558" t="str">
        <f t="shared" si="380"/>
        <v>Lista</v>
      </c>
      <c r="H82" s="558">
        <f t="shared" si="381"/>
        <v>0.09</v>
      </c>
      <c r="I82" s="559">
        <f t="shared" si="382"/>
        <v>0</v>
      </c>
      <c r="J82" s="1214">
        <f t="shared" si="383"/>
        <v>71</v>
      </c>
      <c r="K82" s="558" t="str">
        <f t="shared" ref="K82:K91" si="505">VLOOKUP(J82,A458DC1025,2,FALSE)</f>
        <v>Lista</v>
      </c>
      <c r="L82" s="715">
        <f t="shared" ref="L82:L91" si="506">VLOOKUP(J82,A458DC1025,3,FALSE)</f>
        <v>0.05</v>
      </c>
      <c r="M82" s="1215" t="s">
        <v>1176</v>
      </c>
      <c r="N82" s="1216">
        <f t="shared" si="465"/>
        <v>121765.13</v>
      </c>
      <c r="O82" s="332">
        <f t="shared" si="466"/>
        <v>204693.2717865</v>
      </c>
      <c r="P82" s="173" t="e">
        <f t="shared" ref="P82:P90" si="507">R82-Q82</f>
        <v>#VALUE!</v>
      </c>
      <c r="Q82" s="561" t="str">
        <f t="shared" ref="Q82:Q90" si="508">IFERROR(VLOOKUP(M82,MARUCAALIM,3,FALSE),"")</f>
        <v/>
      </c>
      <c r="R82" s="1112">
        <f t="shared" ref="R82:R90" si="509">IFERROR(VLOOKUP(M82,MARUFC,3,FALSE),"")</f>
        <v>0</v>
      </c>
      <c r="S82" s="123"/>
      <c r="T82" s="326"/>
      <c r="U82" s="326">
        <f t="shared" si="467"/>
        <v>64240.49</v>
      </c>
      <c r="V82" s="332">
        <f t="shared" si="468"/>
        <v>114106.20675514999</v>
      </c>
      <c r="W82" s="173" t="e">
        <f t="shared" ref="W82:W90" si="510">Y82-X82</f>
        <v>#VALUE!</v>
      </c>
      <c r="X82" s="561" t="str">
        <f t="shared" ref="X82:X90" si="511">IFERROR(VLOOKUP(M82,MARUCAALIM,4,FALSE),"")</f>
        <v/>
      </c>
      <c r="Y82" s="1112">
        <f t="shared" ref="Y82:Y90" si="512">IFERROR(VLOOKUP(M82,MARUFC,4,FALSE),"")</f>
        <v>0</v>
      </c>
      <c r="Z82" s="123"/>
      <c r="AA82" s="326"/>
      <c r="AB82" s="326">
        <f t="shared" si="469"/>
        <v>17849.37</v>
      </c>
      <c r="AC82" s="332">
        <f t="shared" si="470"/>
        <v>29333.029930049997</v>
      </c>
      <c r="AD82" s="173" t="e">
        <f t="shared" ref="AD82:AD90" si="513">AF82-AE82</f>
        <v>#VALUE!</v>
      </c>
      <c r="AE82" s="561" t="str">
        <f t="shared" ref="AE82:AE90" si="514">IFERROR(VLOOKUP(M82,MARUCAALIM,5,FALSE),"")</f>
        <v/>
      </c>
      <c r="AF82" s="1112">
        <f t="shared" ref="AF82:AF90" si="515">IFERROR(VLOOKUP(M82,MARUFC,5,FALSE),"")</f>
        <v>370095.93</v>
      </c>
      <c r="AG82" s="123"/>
      <c r="AH82" s="326"/>
      <c r="AI82" s="332">
        <f t="shared" si="471"/>
        <v>348132.50847170001</v>
      </c>
      <c r="AJ82" s="140">
        <f t="shared" ref="AJ82:AJ90" si="516">IFERROR(VLOOKUP(M82,trim2024,2,FALSE),"0")</f>
        <v>428155.69</v>
      </c>
      <c r="AK82" s="326" t="e">
        <f t="shared" ref="AK82:AM82" si="517">AD82+W82+P82</f>
        <v>#VALUE!</v>
      </c>
      <c r="AL82" s="326" t="e">
        <f t="shared" si="517"/>
        <v>#VALUE!</v>
      </c>
      <c r="AM82" s="326">
        <f t="shared" si="517"/>
        <v>370095.93</v>
      </c>
      <c r="AN82" s="326">
        <f t="shared" ref="AN82:AN90" si="518">AM82-AJ82</f>
        <v>-58059.760000000009</v>
      </c>
      <c r="AO82" s="98">
        <f t="shared" ref="AO82:AO90" si="519">IFERROR(AM82/AJ82,"")</f>
        <v>0.86439568279473289</v>
      </c>
      <c r="AP82" s="125">
        <f t="shared" si="473"/>
        <v>32009.599999999999</v>
      </c>
      <c r="AQ82" s="326" t="e">
        <f t="shared" si="400"/>
        <v>#VALUE!</v>
      </c>
      <c r="AR82" s="326" t="str">
        <f t="shared" si="401"/>
        <v/>
      </c>
      <c r="AS82" s="123">
        <f t="shared" si="402"/>
        <v>0</v>
      </c>
      <c r="AT82" s="332">
        <f t="shared" si="474"/>
        <v>0</v>
      </c>
      <c r="AU82" s="140" t="e">
        <f t="shared" si="403"/>
        <v>#VALUE!</v>
      </c>
      <c r="AV82" s="326" t="str">
        <f t="shared" si="404"/>
        <v/>
      </c>
      <c r="AW82" s="333">
        <f t="shared" si="405"/>
        <v>0</v>
      </c>
      <c r="AX82" s="123">
        <f t="shared" si="475"/>
        <v>18738.72</v>
      </c>
      <c r="AY82" s="123" t="e">
        <f t="shared" si="406"/>
        <v>#VALUE!</v>
      </c>
      <c r="AZ82" s="123" t="str">
        <f t="shared" si="407"/>
        <v/>
      </c>
      <c r="BA82" s="125">
        <f t="shared" si="408"/>
        <v>217524.17</v>
      </c>
      <c r="BB82" s="1175" t="e">
        <f t="shared" ref="BB82:BD82" si="520">SUM(AQ82,AU82,AY82)</f>
        <v>#VALUE!</v>
      </c>
      <c r="BC82" s="326">
        <f t="shared" si="520"/>
        <v>0</v>
      </c>
      <c r="BD82" s="333">
        <f t="shared" si="520"/>
        <v>217524.17</v>
      </c>
      <c r="BE82" s="100" t="e">
        <f t="shared" si="410"/>
        <v>#VALUE!</v>
      </c>
      <c r="BF82" s="116" t="e">
        <f t="shared" ref="BF82:BG82" si="521">BC82+AL82</f>
        <v>#VALUE!</v>
      </c>
      <c r="BG82" s="119">
        <f t="shared" si="521"/>
        <v>587620.1</v>
      </c>
      <c r="BH82" s="125">
        <f t="shared" si="478"/>
        <v>153762.32</v>
      </c>
      <c r="BI82" s="1041" t="e">
        <f t="shared" si="412"/>
        <v>#VALUE!</v>
      </c>
      <c r="BJ82" s="326" t="str">
        <f t="shared" si="413"/>
        <v/>
      </c>
      <c r="BK82" s="1045">
        <f t="shared" si="414"/>
        <v>24388.98</v>
      </c>
      <c r="BL82" s="125">
        <f t="shared" si="479"/>
        <v>45099.11</v>
      </c>
      <c r="BM82" s="140" t="e">
        <f t="shared" si="415"/>
        <v>#VALUE!</v>
      </c>
      <c r="BN82" s="123" t="str">
        <f t="shared" si="416"/>
        <v/>
      </c>
      <c r="BO82" s="148">
        <f t="shared" si="417"/>
        <v>80184.22</v>
      </c>
      <c r="BP82" s="123">
        <f t="shared" si="480"/>
        <v>89434.5</v>
      </c>
      <c r="BQ82" s="123" t="e">
        <f t="shared" si="418"/>
        <v>#VALUE!</v>
      </c>
      <c r="BR82" s="123" t="str">
        <f t="shared" si="419"/>
        <v/>
      </c>
      <c r="BS82" s="125">
        <f t="shared" si="420"/>
        <v>193696</v>
      </c>
      <c r="BT82" s="140" t="e">
        <f t="shared" ref="BT82:BV82" si="522">SUM(BQ82,BM82,BI82)</f>
        <v>#VALUE!</v>
      </c>
      <c r="BU82" s="123">
        <f t="shared" si="522"/>
        <v>0</v>
      </c>
      <c r="BV82" s="148">
        <f t="shared" si="522"/>
        <v>298269.19999999995</v>
      </c>
      <c r="BW82" s="125">
        <f t="shared" si="482"/>
        <v>113559.76</v>
      </c>
      <c r="BX82" s="140" t="e">
        <f t="shared" si="422"/>
        <v>#VALUE!</v>
      </c>
      <c r="BY82" s="123" t="str">
        <f t="shared" si="423"/>
        <v/>
      </c>
      <c r="BZ82" s="148">
        <f t="shared" si="424"/>
        <v>58546.38</v>
      </c>
      <c r="CA82" s="123">
        <f t="shared" si="483"/>
        <v>259781.15</v>
      </c>
      <c r="CB82" s="326">
        <f t="shared" si="484"/>
        <v>54814.79</v>
      </c>
      <c r="CP82" s="294"/>
      <c r="CU82" s="294"/>
    </row>
    <row r="83" spans="1:99" ht="13">
      <c r="A83" s="566" t="e">
        <f t="shared" si="377"/>
        <v>#N/A</v>
      </c>
      <c r="B83" s="636">
        <f t="shared" si="504"/>
        <v>1</v>
      </c>
      <c r="C83" s="558" t="str">
        <f t="shared" si="359"/>
        <v>Lista</v>
      </c>
      <c r="D83" s="558">
        <f t="shared" si="360"/>
        <v>0.09</v>
      </c>
      <c r="E83" s="559">
        <f t="shared" si="361"/>
        <v>0</v>
      </c>
      <c r="F83" s="836">
        <f t="shared" si="379"/>
        <v>1</v>
      </c>
      <c r="G83" s="558" t="str">
        <f t="shared" si="380"/>
        <v>Lista</v>
      </c>
      <c r="H83" s="558">
        <f t="shared" si="381"/>
        <v>0.09</v>
      </c>
      <c r="I83" s="559">
        <f t="shared" si="382"/>
        <v>0</v>
      </c>
      <c r="J83" s="1214">
        <f t="shared" si="383"/>
        <v>71</v>
      </c>
      <c r="K83" s="558" t="str">
        <f t="shared" si="505"/>
        <v>Lista</v>
      </c>
      <c r="L83" s="715">
        <f t="shared" si="506"/>
        <v>0.05</v>
      </c>
      <c r="M83" s="1215" t="s">
        <v>1177</v>
      </c>
      <c r="N83" s="1216">
        <f t="shared" si="465"/>
        <v>106088.99</v>
      </c>
      <c r="O83" s="332">
        <f t="shared" si="466"/>
        <v>178340.89663950002</v>
      </c>
      <c r="P83" s="173" t="e">
        <f t="shared" si="507"/>
        <v>#VALUE!</v>
      </c>
      <c r="Q83" s="561" t="str">
        <f t="shared" si="508"/>
        <v/>
      </c>
      <c r="R83" s="1112">
        <f t="shared" si="509"/>
        <v>201208.4</v>
      </c>
      <c r="S83" s="123"/>
      <c r="T83" s="326"/>
      <c r="U83" s="326">
        <f t="shared" si="467"/>
        <v>46301.7</v>
      </c>
      <c r="V83" s="332">
        <f t="shared" si="468"/>
        <v>82242.700099499998</v>
      </c>
      <c r="W83" s="173" t="e">
        <f t="shared" si="510"/>
        <v>#VALUE!</v>
      </c>
      <c r="X83" s="561" t="str">
        <f t="shared" si="511"/>
        <v/>
      </c>
      <c r="Y83" s="1112">
        <f t="shared" si="512"/>
        <v>73654.320000000007</v>
      </c>
      <c r="Z83" s="123"/>
      <c r="AA83" s="326"/>
      <c r="AB83" s="326">
        <f t="shared" si="469"/>
        <v>0</v>
      </c>
      <c r="AC83" s="332">
        <f t="shared" si="470"/>
        <v>0</v>
      </c>
      <c r="AD83" s="173" t="e">
        <f t="shared" si="513"/>
        <v>#VALUE!</v>
      </c>
      <c r="AE83" s="561" t="str">
        <f t="shared" si="514"/>
        <v/>
      </c>
      <c r="AF83" s="1112">
        <f t="shared" si="515"/>
        <v>0</v>
      </c>
      <c r="AG83" s="123"/>
      <c r="AH83" s="326"/>
      <c r="AI83" s="332">
        <f t="shared" si="471"/>
        <v>260583.596739</v>
      </c>
      <c r="AJ83" s="140">
        <f t="shared" si="516"/>
        <v>326617.2</v>
      </c>
      <c r="AK83" s="326" t="e">
        <f t="shared" ref="AK83:AM83" si="523">AD83+W83+P83</f>
        <v>#VALUE!</v>
      </c>
      <c r="AL83" s="326" t="e">
        <f t="shared" si="523"/>
        <v>#VALUE!</v>
      </c>
      <c r="AM83" s="326">
        <f t="shared" si="523"/>
        <v>274862.71999999997</v>
      </c>
      <c r="AN83" s="326">
        <f t="shared" si="518"/>
        <v>-51754.48000000004</v>
      </c>
      <c r="AO83" s="98">
        <f t="shared" si="519"/>
        <v>0.84154392359006192</v>
      </c>
      <c r="AP83" s="125">
        <f t="shared" si="473"/>
        <v>99503.56</v>
      </c>
      <c r="AQ83" s="326" t="e">
        <f t="shared" si="400"/>
        <v>#VALUE!</v>
      </c>
      <c r="AR83" s="326" t="str">
        <f t="shared" si="401"/>
        <v/>
      </c>
      <c r="AS83" s="123">
        <f t="shared" si="402"/>
        <v>53053.8</v>
      </c>
      <c r="AT83" s="332">
        <f t="shared" si="474"/>
        <v>41641.879999999997</v>
      </c>
      <c r="AU83" s="140" t="e">
        <f t="shared" si="403"/>
        <v>#VALUE!</v>
      </c>
      <c r="AV83" s="326" t="str">
        <f t="shared" si="404"/>
        <v/>
      </c>
      <c r="AW83" s="333">
        <f t="shared" si="405"/>
        <v>0</v>
      </c>
      <c r="AX83" s="123">
        <f t="shared" si="475"/>
        <v>40795.14</v>
      </c>
      <c r="AY83" s="123" t="e">
        <f t="shared" si="406"/>
        <v>#VALUE!</v>
      </c>
      <c r="AZ83" s="123" t="str">
        <f t="shared" si="407"/>
        <v/>
      </c>
      <c r="BA83" s="125">
        <f t="shared" si="408"/>
        <v>37081.800000000003</v>
      </c>
      <c r="BB83" s="1175" t="e">
        <f t="shared" ref="BB83:BD83" si="524">SUM(AQ83,AU83,AY83)</f>
        <v>#VALUE!</v>
      </c>
      <c r="BC83" s="326">
        <f t="shared" si="524"/>
        <v>0</v>
      </c>
      <c r="BD83" s="333">
        <f t="shared" si="524"/>
        <v>90135.6</v>
      </c>
      <c r="BE83" s="100" t="e">
        <f t="shared" si="410"/>
        <v>#VALUE!</v>
      </c>
      <c r="BF83" s="116" t="e">
        <f t="shared" ref="BF83:BG83" si="525">BC83+AL83</f>
        <v>#VALUE!</v>
      </c>
      <c r="BG83" s="119">
        <f t="shared" si="525"/>
        <v>364998.31999999995</v>
      </c>
      <c r="BH83" s="125">
        <f t="shared" si="478"/>
        <v>69418.679999999993</v>
      </c>
      <c r="BI83" s="1041" t="e">
        <f t="shared" si="412"/>
        <v>#VALUE!</v>
      </c>
      <c r="BJ83" s="326" t="str">
        <f t="shared" si="413"/>
        <v/>
      </c>
      <c r="BK83" s="1045">
        <f t="shared" si="414"/>
        <v>15730</v>
      </c>
      <c r="BL83" s="125">
        <f t="shared" si="479"/>
        <v>51975.85</v>
      </c>
      <c r="BM83" s="140" t="e">
        <f t="shared" si="415"/>
        <v>#VALUE!</v>
      </c>
      <c r="BN83" s="123" t="str">
        <f t="shared" si="416"/>
        <v/>
      </c>
      <c r="BO83" s="148">
        <f t="shared" si="417"/>
        <v>41463.18</v>
      </c>
      <c r="BP83" s="123">
        <f t="shared" si="480"/>
        <v>93886.46</v>
      </c>
      <c r="BQ83" s="123" t="e">
        <f t="shared" si="418"/>
        <v>#VALUE!</v>
      </c>
      <c r="BR83" s="123" t="str">
        <f t="shared" si="419"/>
        <v/>
      </c>
      <c r="BS83" s="125">
        <f t="shared" si="420"/>
        <v>92040.22</v>
      </c>
      <c r="BT83" s="140" t="e">
        <f t="shared" ref="BT83:BV83" si="526">SUM(BQ83,BM83,BI83)</f>
        <v>#VALUE!</v>
      </c>
      <c r="BU83" s="123">
        <f t="shared" si="526"/>
        <v>0</v>
      </c>
      <c r="BV83" s="148">
        <f t="shared" si="526"/>
        <v>149233.4</v>
      </c>
      <c r="BW83" s="125">
        <f t="shared" si="482"/>
        <v>23805</v>
      </c>
      <c r="BX83" s="140" t="e">
        <f t="shared" si="422"/>
        <v>#VALUE!</v>
      </c>
      <c r="BY83" s="123" t="str">
        <f t="shared" si="423"/>
        <v/>
      </c>
      <c r="BZ83" s="148">
        <f t="shared" si="424"/>
        <v>48099.99</v>
      </c>
      <c r="CA83" s="123">
        <f t="shared" si="483"/>
        <v>103153.60000000001</v>
      </c>
      <c r="CB83" s="326">
        <f t="shared" si="484"/>
        <v>199658.6</v>
      </c>
      <c r="CP83" s="294"/>
      <c r="CU83" s="294"/>
    </row>
    <row r="84" spans="1:99" ht="13">
      <c r="A84" s="566" t="e">
        <f t="shared" si="377"/>
        <v>#N/A</v>
      </c>
      <c r="B84" s="636">
        <f t="shared" si="504"/>
        <v>4</v>
      </c>
      <c r="C84" s="558" t="str">
        <f t="shared" si="359"/>
        <v>Lista</v>
      </c>
      <c r="D84" s="558">
        <f t="shared" si="360"/>
        <v>0.2</v>
      </c>
      <c r="E84" s="559">
        <f t="shared" si="361"/>
        <v>0</v>
      </c>
      <c r="F84" s="836">
        <f t="shared" si="379"/>
        <v>4</v>
      </c>
      <c r="G84" s="558" t="str">
        <f t="shared" si="380"/>
        <v>Lista</v>
      </c>
      <c r="H84" s="558">
        <f t="shared" si="381"/>
        <v>0.2</v>
      </c>
      <c r="I84" s="559">
        <f t="shared" si="382"/>
        <v>0</v>
      </c>
      <c r="J84" s="1214">
        <f t="shared" si="383"/>
        <v>70</v>
      </c>
      <c r="K84" s="558" t="str">
        <f t="shared" si="505"/>
        <v>Lista</v>
      </c>
      <c r="L84" s="715">
        <f t="shared" si="506"/>
        <v>0.11</v>
      </c>
      <c r="M84" s="1215" t="s">
        <v>1178</v>
      </c>
      <c r="N84" s="1216">
        <f t="shared" si="465"/>
        <v>0</v>
      </c>
      <c r="O84" s="332">
        <f t="shared" si="466"/>
        <v>0</v>
      </c>
      <c r="P84" s="173">
        <f t="shared" si="507"/>
        <v>45279</v>
      </c>
      <c r="Q84" s="561">
        <f t="shared" si="508"/>
        <v>0</v>
      </c>
      <c r="R84" s="1112">
        <f t="shared" si="509"/>
        <v>45279</v>
      </c>
      <c r="S84" s="123"/>
      <c r="T84" s="326"/>
      <c r="U84" s="326">
        <f t="shared" si="467"/>
        <v>62101.89</v>
      </c>
      <c r="V84" s="332">
        <f t="shared" si="468"/>
        <v>110307.55058415</v>
      </c>
      <c r="W84" s="173">
        <f t="shared" si="510"/>
        <v>0</v>
      </c>
      <c r="X84" s="561">
        <f t="shared" si="511"/>
        <v>189268.62</v>
      </c>
      <c r="Y84" s="1112">
        <f t="shared" si="512"/>
        <v>189268.62</v>
      </c>
      <c r="Z84" s="123"/>
      <c r="AA84" s="326"/>
      <c r="AB84" s="326">
        <f t="shared" si="469"/>
        <v>0</v>
      </c>
      <c r="AC84" s="332">
        <f t="shared" si="470"/>
        <v>0</v>
      </c>
      <c r="AD84" s="173">
        <f t="shared" si="513"/>
        <v>0</v>
      </c>
      <c r="AE84" s="561">
        <f t="shared" si="514"/>
        <v>0</v>
      </c>
      <c r="AF84" s="1112">
        <f t="shared" si="515"/>
        <v>0</v>
      </c>
      <c r="AG84" s="123"/>
      <c r="AH84" s="326"/>
      <c r="AI84" s="332">
        <f t="shared" si="471"/>
        <v>110307.55058415</v>
      </c>
      <c r="AJ84" s="140">
        <f t="shared" si="516"/>
        <v>335197.95</v>
      </c>
      <c r="AK84" s="326">
        <f t="shared" ref="AK84:AM84" si="527">AD84+W84+P84</f>
        <v>45279</v>
      </c>
      <c r="AL84" s="326">
        <f t="shared" si="527"/>
        <v>189268.62</v>
      </c>
      <c r="AM84" s="326">
        <f t="shared" si="527"/>
        <v>234547.62</v>
      </c>
      <c r="AN84" s="326">
        <f t="shared" si="518"/>
        <v>-100650.33000000002</v>
      </c>
      <c r="AO84" s="98">
        <f t="shared" si="519"/>
        <v>0.69972868270823252</v>
      </c>
      <c r="AP84" s="125">
        <f t="shared" si="473"/>
        <v>0</v>
      </c>
      <c r="AQ84" s="326">
        <f t="shared" si="400"/>
        <v>0</v>
      </c>
      <c r="AR84" s="326">
        <f t="shared" si="401"/>
        <v>174234</v>
      </c>
      <c r="AS84" s="123">
        <f t="shared" si="402"/>
        <v>174234</v>
      </c>
      <c r="AT84" s="332">
        <f t="shared" si="474"/>
        <v>48583.58</v>
      </c>
      <c r="AU84" s="140">
        <f t="shared" si="403"/>
        <v>10239.66</v>
      </c>
      <c r="AV84" s="326">
        <f t="shared" si="404"/>
        <v>31543.94</v>
      </c>
      <c r="AW84" s="333">
        <f t="shared" si="405"/>
        <v>41783.599999999999</v>
      </c>
      <c r="AX84" s="123">
        <f t="shared" si="475"/>
        <v>70449.89</v>
      </c>
      <c r="AY84" s="123">
        <f t="shared" si="406"/>
        <v>0</v>
      </c>
      <c r="AZ84" s="123">
        <f t="shared" si="407"/>
        <v>44494.16</v>
      </c>
      <c r="BA84" s="125">
        <f t="shared" si="408"/>
        <v>44494.16</v>
      </c>
      <c r="BB84" s="1175">
        <f t="shared" ref="BB84:BD84" si="528">SUM(AQ84,AU84,AY84)</f>
        <v>10239.66</v>
      </c>
      <c r="BC84" s="326">
        <f t="shared" si="528"/>
        <v>250272.1</v>
      </c>
      <c r="BD84" s="333">
        <f t="shared" si="528"/>
        <v>260511.76</v>
      </c>
      <c r="BE84" s="100">
        <f t="shared" si="410"/>
        <v>55518.66</v>
      </c>
      <c r="BF84" s="116">
        <f t="shared" ref="BF84:BG84" si="529">BC84+AL84</f>
        <v>439540.72</v>
      </c>
      <c r="BG84" s="119">
        <f t="shared" si="529"/>
        <v>495059.38</v>
      </c>
      <c r="BH84" s="125">
        <f t="shared" si="478"/>
        <v>241348.11</v>
      </c>
      <c r="BI84" s="1041">
        <f t="shared" si="412"/>
        <v>0</v>
      </c>
      <c r="BJ84" s="326">
        <f t="shared" si="413"/>
        <v>134621.44</v>
      </c>
      <c r="BK84" s="1045">
        <f t="shared" si="414"/>
        <v>134621.44</v>
      </c>
      <c r="BL84" s="125">
        <f t="shared" si="479"/>
        <v>0</v>
      </c>
      <c r="BM84" s="140">
        <f t="shared" si="415"/>
        <v>0</v>
      </c>
      <c r="BN84" s="123">
        <f t="shared" si="416"/>
        <v>0</v>
      </c>
      <c r="BO84" s="148">
        <f t="shared" si="417"/>
        <v>0</v>
      </c>
      <c r="BP84" s="123">
        <f t="shared" si="480"/>
        <v>89453.440000000002</v>
      </c>
      <c r="BQ84" s="123">
        <f t="shared" si="418"/>
        <v>0</v>
      </c>
      <c r="BR84" s="123">
        <f t="shared" si="419"/>
        <v>42326.64</v>
      </c>
      <c r="BS84" s="125">
        <f t="shared" si="420"/>
        <v>42326.64</v>
      </c>
      <c r="BT84" s="140">
        <f t="shared" ref="BT84:BV84" si="530">SUM(BQ84,BM84,BI84)</f>
        <v>0</v>
      </c>
      <c r="BU84" s="123">
        <f t="shared" si="530"/>
        <v>176948.08000000002</v>
      </c>
      <c r="BV84" s="148">
        <f t="shared" si="530"/>
        <v>176948.08000000002</v>
      </c>
      <c r="BW84" s="125">
        <f t="shared" si="482"/>
        <v>222597.89</v>
      </c>
      <c r="BX84" s="140">
        <f t="shared" si="422"/>
        <v>0</v>
      </c>
      <c r="BY84" s="123">
        <f t="shared" si="423"/>
        <v>32395.47</v>
      </c>
      <c r="BZ84" s="148">
        <f t="shared" si="424"/>
        <v>32395.47</v>
      </c>
      <c r="CA84" s="123">
        <f t="shared" si="483"/>
        <v>86350.32</v>
      </c>
      <c r="CB84" s="326">
        <f t="shared" si="484"/>
        <v>26249.75</v>
      </c>
      <c r="CP84" s="294"/>
      <c r="CU84" s="294"/>
    </row>
    <row r="85" spans="1:99" ht="13">
      <c r="A85" s="566" t="e">
        <f t="shared" si="377"/>
        <v>#N/A</v>
      </c>
      <c r="B85" s="636">
        <f t="shared" si="504"/>
        <v>1</v>
      </c>
      <c r="C85" s="558" t="str">
        <f t="shared" si="359"/>
        <v>Lista</v>
      </c>
      <c r="D85" s="558">
        <f t="shared" si="360"/>
        <v>0.09</v>
      </c>
      <c r="E85" s="559">
        <f t="shared" si="361"/>
        <v>0</v>
      </c>
      <c r="F85" s="836">
        <f t="shared" si="379"/>
        <v>1</v>
      </c>
      <c r="G85" s="558" t="str">
        <f t="shared" si="380"/>
        <v>Lista</v>
      </c>
      <c r="H85" s="558">
        <f t="shared" si="381"/>
        <v>0.09</v>
      </c>
      <c r="I85" s="559">
        <f t="shared" si="382"/>
        <v>0</v>
      </c>
      <c r="J85" s="1214">
        <f t="shared" si="383"/>
        <v>71</v>
      </c>
      <c r="K85" s="558" t="str">
        <f t="shared" si="505"/>
        <v>Lista</v>
      </c>
      <c r="L85" s="715">
        <f t="shared" si="506"/>
        <v>0.05</v>
      </c>
      <c r="M85" s="1215" t="s">
        <v>1179</v>
      </c>
      <c r="N85" s="1216">
        <f t="shared" si="465"/>
        <v>0</v>
      </c>
      <c r="O85" s="332">
        <f t="shared" si="466"/>
        <v>0</v>
      </c>
      <c r="P85" s="173" t="e">
        <f t="shared" si="507"/>
        <v>#VALUE!</v>
      </c>
      <c r="Q85" s="561" t="str">
        <f t="shared" si="508"/>
        <v/>
      </c>
      <c r="R85" s="1112">
        <f t="shared" si="509"/>
        <v>60005.35</v>
      </c>
      <c r="S85" s="123"/>
      <c r="T85" s="326"/>
      <c r="U85" s="326">
        <f t="shared" si="467"/>
        <v>59254.94</v>
      </c>
      <c r="V85" s="332">
        <f t="shared" si="468"/>
        <v>105250.6983509</v>
      </c>
      <c r="W85" s="173" t="e">
        <f t="shared" si="510"/>
        <v>#VALUE!</v>
      </c>
      <c r="X85" s="561" t="str">
        <f t="shared" si="511"/>
        <v/>
      </c>
      <c r="Y85" s="1112">
        <f t="shared" si="512"/>
        <v>35749.870000000003</v>
      </c>
      <c r="Z85" s="123"/>
      <c r="AA85" s="326"/>
      <c r="AB85" s="326">
        <f t="shared" si="469"/>
        <v>37355.72</v>
      </c>
      <c r="AC85" s="332">
        <f t="shared" si="470"/>
        <v>61389.082797800002</v>
      </c>
      <c r="AD85" s="173" t="e">
        <f t="shared" si="513"/>
        <v>#VALUE!</v>
      </c>
      <c r="AE85" s="561" t="str">
        <f t="shared" si="514"/>
        <v/>
      </c>
      <c r="AF85" s="1112">
        <f t="shared" si="515"/>
        <v>107311.53</v>
      </c>
      <c r="AG85" s="123"/>
      <c r="AH85" s="326"/>
      <c r="AI85" s="332">
        <f t="shared" si="471"/>
        <v>166639.78114869999</v>
      </c>
      <c r="AJ85" s="140">
        <f t="shared" si="516"/>
        <v>155786.21</v>
      </c>
      <c r="AK85" s="326" t="e">
        <f t="shared" ref="AK85:AM85" si="531">AD85+W85+P85</f>
        <v>#VALUE!</v>
      </c>
      <c r="AL85" s="326" t="e">
        <f t="shared" si="531"/>
        <v>#VALUE!</v>
      </c>
      <c r="AM85" s="326">
        <f t="shared" si="531"/>
        <v>203066.75</v>
      </c>
      <c r="AN85" s="326">
        <f t="shared" si="518"/>
        <v>47280.540000000008</v>
      </c>
      <c r="AO85" s="98">
        <f t="shared" si="519"/>
        <v>1.3034963107453479</v>
      </c>
      <c r="AP85" s="125">
        <f t="shared" si="473"/>
        <v>29480.99</v>
      </c>
      <c r="AQ85" s="326" t="e">
        <f t="shared" si="400"/>
        <v>#VALUE!</v>
      </c>
      <c r="AR85" s="326" t="str">
        <f t="shared" si="401"/>
        <v/>
      </c>
      <c r="AS85" s="123">
        <f t="shared" si="402"/>
        <v>47158.02</v>
      </c>
      <c r="AT85" s="332">
        <f t="shared" si="474"/>
        <v>35810.19</v>
      </c>
      <c r="AU85" s="140" t="e">
        <f t="shared" si="403"/>
        <v>#VALUE!</v>
      </c>
      <c r="AV85" s="326" t="str">
        <f t="shared" si="404"/>
        <v/>
      </c>
      <c r="AW85" s="333">
        <f t="shared" si="405"/>
        <v>0</v>
      </c>
      <c r="AX85" s="123">
        <f t="shared" si="475"/>
        <v>0</v>
      </c>
      <c r="AY85" s="123" t="e">
        <f t="shared" si="406"/>
        <v>#VALUE!</v>
      </c>
      <c r="AZ85" s="123" t="str">
        <f t="shared" si="407"/>
        <v/>
      </c>
      <c r="BA85" s="125">
        <f t="shared" si="408"/>
        <v>99541.9</v>
      </c>
      <c r="BB85" s="1175" t="e">
        <f t="shared" ref="BB85:BD85" si="532">SUM(AQ85,AU85,AY85)</f>
        <v>#VALUE!</v>
      </c>
      <c r="BC85" s="326">
        <f t="shared" si="532"/>
        <v>0</v>
      </c>
      <c r="BD85" s="333">
        <f t="shared" si="532"/>
        <v>146699.91999999998</v>
      </c>
      <c r="BE85" s="100" t="e">
        <f t="shared" si="410"/>
        <v>#VALUE!</v>
      </c>
      <c r="BF85" s="116" t="e">
        <f t="shared" ref="BF85:BG85" si="533">BC85+AL85</f>
        <v>#VALUE!</v>
      </c>
      <c r="BG85" s="119">
        <f t="shared" si="533"/>
        <v>349766.67</v>
      </c>
      <c r="BH85" s="125">
        <f t="shared" si="478"/>
        <v>56495.64</v>
      </c>
      <c r="BI85" s="1041" t="e">
        <f t="shared" si="412"/>
        <v>#VALUE!</v>
      </c>
      <c r="BJ85" s="326" t="str">
        <f t="shared" si="413"/>
        <v/>
      </c>
      <c r="BK85" s="1045">
        <f t="shared" si="414"/>
        <v>52188.24</v>
      </c>
      <c r="BL85" s="125">
        <f t="shared" si="479"/>
        <v>61128.55</v>
      </c>
      <c r="BM85" s="140" t="e">
        <f t="shared" si="415"/>
        <v>#VALUE!</v>
      </c>
      <c r="BN85" s="123" t="str">
        <f t="shared" si="416"/>
        <v/>
      </c>
      <c r="BO85" s="148">
        <f t="shared" si="417"/>
        <v>45064.800000000003</v>
      </c>
      <c r="BP85" s="123">
        <f t="shared" si="480"/>
        <v>99948.86</v>
      </c>
      <c r="BQ85" s="123" t="e">
        <f t="shared" si="418"/>
        <v>#VALUE!</v>
      </c>
      <c r="BR85" s="123" t="str">
        <f t="shared" si="419"/>
        <v/>
      </c>
      <c r="BS85" s="125">
        <f t="shared" si="420"/>
        <v>63230.31</v>
      </c>
      <c r="BT85" s="140" t="e">
        <f t="shared" ref="BT85:BV85" si="534">SUM(BQ85,BM85,BI85)</f>
        <v>#VALUE!</v>
      </c>
      <c r="BU85" s="123">
        <f t="shared" si="534"/>
        <v>0</v>
      </c>
      <c r="BV85" s="148">
        <f t="shared" si="534"/>
        <v>160483.35</v>
      </c>
      <c r="BW85" s="125">
        <f t="shared" si="482"/>
        <v>67503</v>
      </c>
      <c r="BX85" s="140" t="e">
        <f t="shared" si="422"/>
        <v>#VALUE!</v>
      </c>
      <c r="BY85" s="123" t="str">
        <f t="shared" si="423"/>
        <v/>
      </c>
      <c r="BZ85" s="148">
        <f t="shared" si="424"/>
        <v>107015.12</v>
      </c>
      <c r="CA85" s="123">
        <f t="shared" si="483"/>
        <v>44794.47</v>
      </c>
      <c r="CB85" s="326">
        <f t="shared" si="484"/>
        <v>43488.74</v>
      </c>
      <c r="CP85" s="294"/>
      <c r="CU85" s="294"/>
    </row>
    <row r="86" spans="1:99" ht="13">
      <c r="A86" s="566" t="e">
        <f t="shared" si="377"/>
        <v>#N/A</v>
      </c>
      <c r="B86" s="636">
        <f t="shared" si="504"/>
        <v>1</v>
      </c>
      <c r="C86" s="558" t="str">
        <f t="shared" si="359"/>
        <v>Lista</v>
      </c>
      <c r="D86" s="558">
        <f t="shared" si="360"/>
        <v>0.09</v>
      </c>
      <c r="E86" s="559">
        <f t="shared" si="361"/>
        <v>0</v>
      </c>
      <c r="F86" s="836">
        <f t="shared" si="379"/>
        <v>1</v>
      </c>
      <c r="G86" s="558" t="str">
        <f t="shared" si="380"/>
        <v>Lista</v>
      </c>
      <c r="H86" s="558">
        <f t="shared" si="381"/>
        <v>0.09</v>
      </c>
      <c r="I86" s="559">
        <f t="shared" si="382"/>
        <v>0</v>
      </c>
      <c r="J86" s="1214">
        <f t="shared" si="383"/>
        <v>71</v>
      </c>
      <c r="K86" s="558" t="str">
        <f t="shared" si="505"/>
        <v>Lista</v>
      </c>
      <c r="L86" s="715">
        <f t="shared" si="506"/>
        <v>0.05</v>
      </c>
      <c r="M86" s="1215" t="s">
        <v>1180</v>
      </c>
      <c r="N86" s="1216">
        <f t="shared" si="465"/>
        <v>33436.36</v>
      </c>
      <c r="O86" s="332">
        <f t="shared" si="466"/>
        <v>56208.192977999999</v>
      </c>
      <c r="P86" s="173" t="e">
        <f t="shared" si="507"/>
        <v>#VALUE!</v>
      </c>
      <c r="Q86" s="561" t="str">
        <f t="shared" si="508"/>
        <v/>
      </c>
      <c r="R86" s="1112">
        <f t="shared" si="509"/>
        <v>67687.38</v>
      </c>
      <c r="S86" s="123"/>
      <c r="T86" s="326"/>
      <c r="U86" s="326">
        <f t="shared" si="467"/>
        <v>49596.87</v>
      </c>
      <c r="V86" s="332">
        <f t="shared" si="468"/>
        <v>88095.696384449999</v>
      </c>
      <c r="W86" s="173" t="e">
        <f t="shared" si="510"/>
        <v>#VALUE!</v>
      </c>
      <c r="X86" s="561" t="str">
        <f t="shared" si="511"/>
        <v/>
      </c>
      <c r="Y86" s="1112">
        <f t="shared" si="512"/>
        <v>0</v>
      </c>
      <c r="Z86" s="123"/>
      <c r="AA86" s="326"/>
      <c r="AB86" s="326">
        <f t="shared" si="469"/>
        <v>117139.57</v>
      </c>
      <c r="AC86" s="332">
        <f t="shared" si="470"/>
        <v>192503.06945305</v>
      </c>
      <c r="AD86" s="173" t="e">
        <f t="shared" si="513"/>
        <v>#VALUE!</v>
      </c>
      <c r="AE86" s="561" t="str">
        <f t="shared" si="514"/>
        <v/>
      </c>
      <c r="AF86" s="1112">
        <f t="shared" si="515"/>
        <v>0</v>
      </c>
      <c r="AG86" s="123"/>
      <c r="AH86" s="326"/>
      <c r="AI86" s="332">
        <f t="shared" si="471"/>
        <v>336806.95881550002</v>
      </c>
      <c r="AJ86" s="140">
        <f t="shared" si="516"/>
        <v>203857.07</v>
      </c>
      <c r="AK86" s="326" t="e">
        <f t="shared" ref="AK86:AM86" si="535">AD86+W86+P86</f>
        <v>#VALUE!</v>
      </c>
      <c r="AL86" s="326" t="e">
        <f t="shared" si="535"/>
        <v>#VALUE!</v>
      </c>
      <c r="AM86" s="326">
        <f t="shared" si="535"/>
        <v>67687.38</v>
      </c>
      <c r="AN86" s="326">
        <f t="shared" si="518"/>
        <v>-136169.69</v>
      </c>
      <c r="AO86" s="98">
        <f t="shared" si="519"/>
        <v>0.33203351740511133</v>
      </c>
      <c r="AP86" s="125">
        <f t="shared" si="473"/>
        <v>17310</v>
      </c>
      <c r="AQ86" s="326" t="e">
        <f t="shared" si="400"/>
        <v>#VALUE!</v>
      </c>
      <c r="AR86" s="326" t="str">
        <f t="shared" si="401"/>
        <v/>
      </c>
      <c r="AS86" s="123">
        <f t="shared" si="402"/>
        <v>0</v>
      </c>
      <c r="AT86" s="332">
        <f t="shared" si="474"/>
        <v>37007.4</v>
      </c>
      <c r="AU86" s="140" t="e">
        <f t="shared" si="403"/>
        <v>#VALUE!</v>
      </c>
      <c r="AV86" s="326" t="str">
        <f t="shared" si="404"/>
        <v/>
      </c>
      <c r="AW86" s="333">
        <f t="shared" si="405"/>
        <v>0</v>
      </c>
      <c r="AX86" s="123">
        <f t="shared" si="475"/>
        <v>42875.88</v>
      </c>
      <c r="AY86" s="123" t="e">
        <f t="shared" si="406"/>
        <v>#VALUE!</v>
      </c>
      <c r="AZ86" s="123" t="str">
        <f t="shared" si="407"/>
        <v/>
      </c>
      <c r="BA86" s="125">
        <f t="shared" si="408"/>
        <v>59791.87</v>
      </c>
      <c r="BB86" s="1175" t="e">
        <f t="shared" ref="BB86:BD86" si="536">SUM(AQ86,AU86,AY86)</f>
        <v>#VALUE!</v>
      </c>
      <c r="BC86" s="326">
        <f t="shared" si="536"/>
        <v>0</v>
      </c>
      <c r="BD86" s="333">
        <f t="shared" si="536"/>
        <v>59791.87</v>
      </c>
      <c r="BE86" s="100" t="e">
        <f t="shared" si="410"/>
        <v>#VALUE!</v>
      </c>
      <c r="BF86" s="116" t="e">
        <f t="shared" ref="BF86:BG86" si="537">BC86+AL86</f>
        <v>#VALUE!</v>
      </c>
      <c r="BG86" s="119">
        <f t="shared" si="537"/>
        <v>127479.25</v>
      </c>
      <c r="BH86" s="125">
        <f t="shared" si="478"/>
        <v>0</v>
      </c>
      <c r="BI86" s="1041" t="e">
        <f t="shared" si="412"/>
        <v>#VALUE!</v>
      </c>
      <c r="BJ86" s="326" t="str">
        <f t="shared" si="413"/>
        <v/>
      </c>
      <c r="BK86" s="1045">
        <f t="shared" si="414"/>
        <v>113447.16</v>
      </c>
      <c r="BL86" s="125">
        <f t="shared" si="479"/>
        <v>39629.120000000003</v>
      </c>
      <c r="BM86" s="140" t="e">
        <f t="shared" si="415"/>
        <v>#VALUE!</v>
      </c>
      <c r="BN86" s="123" t="str">
        <f t="shared" si="416"/>
        <v/>
      </c>
      <c r="BO86" s="148">
        <f t="shared" si="417"/>
        <v>71352</v>
      </c>
      <c r="BP86" s="123">
        <f t="shared" si="480"/>
        <v>57157</v>
      </c>
      <c r="BQ86" s="123" t="e">
        <f t="shared" si="418"/>
        <v>#VALUE!</v>
      </c>
      <c r="BR86" s="123" t="str">
        <f t="shared" si="419"/>
        <v/>
      </c>
      <c r="BS86" s="125">
        <f t="shared" si="420"/>
        <v>25224.09</v>
      </c>
      <c r="BT86" s="140" t="e">
        <f t="shared" ref="BT86:BV86" si="538">SUM(BQ86,BM86,BI86)</f>
        <v>#VALUE!</v>
      </c>
      <c r="BU86" s="123">
        <f t="shared" si="538"/>
        <v>0</v>
      </c>
      <c r="BV86" s="148">
        <f t="shared" si="538"/>
        <v>210023.25</v>
      </c>
      <c r="BW86" s="125">
        <f t="shared" si="482"/>
        <v>77973.72</v>
      </c>
      <c r="BX86" s="140" t="e">
        <f t="shared" si="422"/>
        <v>#VALUE!</v>
      </c>
      <c r="BY86" s="123" t="str">
        <f t="shared" si="423"/>
        <v/>
      </c>
      <c r="BZ86" s="148">
        <f t="shared" si="424"/>
        <v>180294.54</v>
      </c>
      <c r="CA86" s="123">
        <f t="shared" si="483"/>
        <v>96271.52</v>
      </c>
      <c r="CB86" s="326">
        <f t="shared" si="484"/>
        <v>29611.84</v>
      </c>
      <c r="CP86" s="294"/>
      <c r="CU86" s="294"/>
    </row>
    <row r="87" spans="1:99" ht="13">
      <c r="A87" s="566" t="e">
        <f t="shared" si="377"/>
        <v>#N/A</v>
      </c>
      <c r="B87" s="636">
        <f t="shared" si="504"/>
        <v>1</v>
      </c>
      <c r="C87" s="558" t="str">
        <f t="shared" si="359"/>
        <v>Lista</v>
      </c>
      <c r="D87" s="558">
        <f t="shared" si="360"/>
        <v>0.09</v>
      </c>
      <c r="E87" s="559">
        <f t="shared" si="361"/>
        <v>0</v>
      </c>
      <c r="F87" s="836">
        <f t="shared" si="379"/>
        <v>1</v>
      </c>
      <c r="G87" s="558" t="str">
        <f t="shared" si="380"/>
        <v>Lista</v>
      </c>
      <c r="H87" s="558">
        <f t="shared" si="381"/>
        <v>0.09</v>
      </c>
      <c r="I87" s="559">
        <f t="shared" si="382"/>
        <v>0</v>
      </c>
      <c r="J87" s="1214">
        <f t="shared" si="383"/>
        <v>71</v>
      </c>
      <c r="K87" s="558" t="str">
        <f t="shared" si="505"/>
        <v>Lista</v>
      </c>
      <c r="L87" s="715">
        <f t="shared" si="506"/>
        <v>0.05</v>
      </c>
      <c r="M87" s="1215" t="s">
        <v>1181</v>
      </c>
      <c r="N87" s="1216">
        <f t="shared" si="465"/>
        <v>72765</v>
      </c>
      <c r="O87" s="332">
        <f t="shared" si="466"/>
        <v>122321.60325</v>
      </c>
      <c r="P87" s="173">
        <f t="shared" si="507"/>
        <v>0</v>
      </c>
      <c r="Q87" s="561">
        <f t="shared" si="508"/>
        <v>0</v>
      </c>
      <c r="R87" s="1112">
        <f t="shared" si="509"/>
        <v>0</v>
      </c>
      <c r="S87" s="123"/>
      <c r="T87" s="326"/>
      <c r="U87" s="326">
        <f t="shared" si="467"/>
        <v>214174.32</v>
      </c>
      <c r="V87" s="332">
        <f t="shared" si="468"/>
        <v>380423.92328520003</v>
      </c>
      <c r="W87" s="173">
        <f t="shared" si="510"/>
        <v>0</v>
      </c>
      <c r="X87" s="561">
        <f t="shared" si="511"/>
        <v>240086.95</v>
      </c>
      <c r="Y87" s="1112">
        <f t="shared" si="512"/>
        <v>240086.95</v>
      </c>
      <c r="Z87" s="123"/>
      <c r="AA87" s="326"/>
      <c r="AB87" s="326">
        <f t="shared" si="469"/>
        <v>84524.14</v>
      </c>
      <c r="AC87" s="332">
        <f t="shared" si="470"/>
        <v>138904.0133311</v>
      </c>
      <c r="AD87" s="173">
        <f t="shared" si="513"/>
        <v>0</v>
      </c>
      <c r="AE87" s="561">
        <f t="shared" si="514"/>
        <v>0</v>
      </c>
      <c r="AF87" s="1112">
        <f t="shared" si="515"/>
        <v>0</v>
      </c>
      <c r="AG87" s="123"/>
      <c r="AH87" s="326"/>
      <c r="AI87" s="332">
        <f t="shared" si="471"/>
        <v>641649.53986630007</v>
      </c>
      <c r="AJ87" s="140">
        <f t="shared" si="516"/>
        <v>394608.9</v>
      </c>
      <c r="AK87" s="326">
        <f t="shared" ref="AK87:AM87" si="539">AD87+W87+P87</f>
        <v>0</v>
      </c>
      <c r="AL87" s="326">
        <f t="shared" si="539"/>
        <v>240086.95</v>
      </c>
      <c r="AM87" s="326">
        <f t="shared" si="539"/>
        <v>240086.95</v>
      </c>
      <c r="AN87" s="326">
        <f t="shared" si="518"/>
        <v>-154521.95000000001</v>
      </c>
      <c r="AO87" s="98">
        <f t="shared" si="519"/>
        <v>0.60841747360487819</v>
      </c>
      <c r="AP87" s="125">
        <f t="shared" si="473"/>
        <v>83679.5</v>
      </c>
      <c r="AQ87" s="326">
        <f t="shared" si="400"/>
        <v>71642.240000000005</v>
      </c>
      <c r="AR87" s="326">
        <f t="shared" si="401"/>
        <v>0</v>
      </c>
      <c r="AS87" s="123">
        <f t="shared" si="402"/>
        <v>71642.240000000005</v>
      </c>
      <c r="AT87" s="332">
        <f t="shared" si="474"/>
        <v>117138.5</v>
      </c>
      <c r="AU87" s="140">
        <f t="shared" si="403"/>
        <v>39245</v>
      </c>
      <c r="AV87" s="326">
        <f t="shared" si="404"/>
        <v>0</v>
      </c>
      <c r="AW87" s="333">
        <f t="shared" si="405"/>
        <v>39245</v>
      </c>
      <c r="AX87" s="123">
        <f t="shared" si="475"/>
        <v>0</v>
      </c>
      <c r="AY87" s="123">
        <f t="shared" si="406"/>
        <v>171001.62</v>
      </c>
      <c r="AZ87" s="123">
        <f t="shared" si="407"/>
        <v>0</v>
      </c>
      <c r="BA87" s="125">
        <f t="shared" si="408"/>
        <v>171001.62</v>
      </c>
      <c r="BB87" s="1175">
        <f t="shared" ref="BB87:BD87" si="540">SUM(AQ87,AU87,AY87)</f>
        <v>281888.86</v>
      </c>
      <c r="BC87" s="326">
        <f t="shared" si="540"/>
        <v>0</v>
      </c>
      <c r="BD87" s="333">
        <f t="shared" si="540"/>
        <v>281888.86</v>
      </c>
      <c r="BE87" s="100">
        <f t="shared" si="410"/>
        <v>281888.86</v>
      </c>
      <c r="BF87" s="116">
        <f t="shared" ref="BF87:BG87" si="541">BC87+AL87</f>
        <v>240086.95</v>
      </c>
      <c r="BG87" s="119">
        <f t="shared" si="541"/>
        <v>521975.81</v>
      </c>
      <c r="BH87" s="125">
        <f t="shared" si="478"/>
        <v>32671.86</v>
      </c>
      <c r="BI87" s="1041">
        <f t="shared" si="412"/>
        <v>39093.120000000003</v>
      </c>
      <c r="BJ87" s="326">
        <f t="shared" si="413"/>
        <v>0</v>
      </c>
      <c r="BK87" s="1045">
        <f t="shared" si="414"/>
        <v>39093.120000000003</v>
      </c>
      <c r="BL87" s="125">
        <f t="shared" si="479"/>
        <v>0</v>
      </c>
      <c r="BM87" s="140">
        <f t="shared" si="415"/>
        <v>0</v>
      </c>
      <c r="BN87" s="123">
        <f t="shared" si="416"/>
        <v>0</v>
      </c>
      <c r="BO87" s="148">
        <f t="shared" si="417"/>
        <v>0</v>
      </c>
      <c r="BP87" s="123">
        <f t="shared" si="480"/>
        <v>0</v>
      </c>
      <c r="BQ87" s="123">
        <f t="shared" si="418"/>
        <v>0</v>
      </c>
      <c r="BR87" s="123">
        <f t="shared" si="419"/>
        <v>0</v>
      </c>
      <c r="BS87" s="125">
        <f t="shared" si="420"/>
        <v>0</v>
      </c>
      <c r="BT87" s="140">
        <f t="shared" ref="BT87:BV87" si="542">SUM(BQ87,BM87,BI87)</f>
        <v>39093.120000000003</v>
      </c>
      <c r="BU87" s="123">
        <f t="shared" si="542"/>
        <v>0</v>
      </c>
      <c r="BV87" s="148">
        <f t="shared" si="542"/>
        <v>39093.120000000003</v>
      </c>
      <c r="BW87" s="125">
        <f t="shared" si="482"/>
        <v>277511.05</v>
      </c>
      <c r="BX87" s="140">
        <f t="shared" si="422"/>
        <v>0</v>
      </c>
      <c r="BY87" s="123">
        <f t="shared" si="423"/>
        <v>0</v>
      </c>
      <c r="BZ87" s="148">
        <f t="shared" si="424"/>
        <v>0</v>
      </c>
      <c r="CA87" s="123">
        <f t="shared" si="483"/>
        <v>0</v>
      </c>
      <c r="CB87" s="326">
        <f t="shared" si="484"/>
        <v>117097.85</v>
      </c>
      <c r="CP87" s="294"/>
      <c r="CU87" s="294"/>
    </row>
    <row r="88" spans="1:99" ht="13">
      <c r="A88" s="566" t="e">
        <f t="shared" si="377"/>
        <v>#N/A</v>
      </c>
      <c r="B88" s="636">
        <f t="shared" si="504"/>
        <v>1</v>
      </c>
      <c r="C88" s="558" t="str">
        <f t="shared" si="359"/>
        <v>Lista</v>
      </c>
      <c r="D88" s="558">
        <f t="shared" si="360"/>
        <v>0.09</v>
      </c>
      <c r="E88" s="559">
        <f t="shared" si="361"/>
        <v>0</v>
      </c>
      <c r="F88" s="836">
        <f t="shared" si="379"/>
        <v>1</v>
      </c>
      <c r="G88" s="558" t="str">
        <f t="shared" si="380"/>
        <v>Lista</v>
      </c>
      <c r="H88" s="558">
        <f t="shared" si="381"/>
        <v>0.09</v>
      </c>
      <c r="I88" s="559">
        <f t="shared" si="382"/>
        <v>0</v>
      </c>
      <c r="J88" s="1214">
        <f t="shared" si="383"/>
        <v>71</v>
      </c>
      <c r="K88" s="558" t="str">
        <f t="shared" si="505"/>
        <v>Lista</v>
      </c>
      <c r="L88" s="715">
        <f t="shared" si="506"/>
        <v>0.05</v>
      </c>
      <c r="M88" s="1215" t="s">
        <v>1182</v>
      </c>
      <c r="N88" s="1216">
        <f t="shared" si="465"/>
        <v>18828.12</v>
      </c>
      <c r="O88" s="332">
        <f t="shared" si="466"/>
        <v>31651.011125999998</v>
      </c>
      <c r="P88" s="173">
        <f t="shared" si="507"/>
        <v>0</v>
      </c>
      <c r="Q88" s="561">
        <f t="shared" si="508"/>
        <v>378145.37</v>
      </c>
      <c r="R88" s="1112">
        <f t="shared" si="509"/>
        <v>378145.37</v>
      </c>
      <c r="S88" s="123"/>
      <c r="T88" s="326"/>
      <c r="U88" s="326">
        <f t="shared" si="467"/>
        <v>55714.19</v>
      </c>
      <c r="V88" s="332">
        <f t="shared" si="468"/>
        <v>98961.494274650002</v>
      </c>
      <c r="W88" s="173">
        <f t="shared" si="510"/>
        <v>0</v>
      </c>
      <c r="X88" s="561">
        <f t="shared" si="511"/>
        <v>195279.83</v>
      </c>
      <c r="Y88" s="1112">
        <f t="shared" si="512"/>
        <v>195279.83</v>
      </c>
      <c r="Z88" s="123"/>
      <c r="AA88" s="326"/>
      <c r="AB88" s="326">
        <f t="shared" si="469"/>
        <v>25552.07</v>
      </c>
      <c r="AC88" s="332">
        <f t="shared" si="470"/>
        <v>41991.377515549997</v>
      </c>
      <c r="AD88" s="173">
        <f t="shared" si="513"/>
        <v>0</v>
      </c>
      <c r="AE88" s="561">
        <f t="shared" si="514"/>
        <v>0</v>
      </c>
      <c r="AF88" s="1112">
        <f t="shared" si="515"/>
        <v>0</v>
      </c>
      <c r="AG88" s="123"/>
      <c r="AH88" s="326"/>
      <c r="AI88" s="332">
        <f t="shared" si="471"/>
        <v>172603.8829162</v>
      </c>
      <c r="AJ88" s="140">
        <f t="shared" si="516"/>
        <v>883580.41</v>
      </c>
      <c r="AK88" s="326">
        <f t="shared" ref="AK88:AM88" si="543">AD88+W88+P88</f>
        <v>0</v>
      </c>
      <c r="AL88" s="326">
        <f t="shared" si="543"/>
        <v>573425.19999999995</v>
      </c>
      <c r="AM88" s="326">
        <f t="shared" si="543"/>
        <v>573425.19999999995</v>
      </c>
      <c r="AN88" s="326">
        <f t="shared" si="518"/>
        <v>-310155.21000000008</v>
      </c>
      <c r="AO88" s="98">
        <f t="shared" si="519"/>
        <v>0.6489790782029673</v>
      </c>
      <c r="AP88" s="125">
        <f t="shared" si="473"/>
        <v>243660.12</v>
      </c>
      <c r="AQ88" s="326">
        <f t="shared" si="400"/>
        <v>47226.740000000049</v>
      </c>
      <c r="AR88" s="326">
        <f t="shared" si="401"/>
        <v>345316.91</v>
      </c>
      <c r="AS88" s="123">
        <f t="shared" si="402"/>
        <v>392543.65</v>
      </c>
      <c r="AT88" s="332">
        <f t="shared" si="474"/>
        <v>102553.72</v>
      </c>
      <c r="AU88" s="140">
        <f t="shared" si="403"/>
        <v>20039.739999999991</v>
      </c>
      <c r="AV88" s="326">
        <f t="shared" si="404"/>
        <v>232720.67</v>
      </c>
      <c r="AW88" s="333">
        <f t="shared" si="405"/>
        <v>252760.41</v>
      </c>
      <c r="AX88" s="123">
        <f t="shared" si="475"/>
        <v>192146.89</v>
      </c>
      <c r="AY88" s="123">
        <f t="shared" si="406"/>
        <v>65468.77999999997</v>
      </c>
      <c r="AZ88" s="123">
        <f t="shared" si="407"/>
        <v>414509.32</v>
      </c>
      <c r="BA88" s="125">
        <f t="shared" si="408"/>
        <v>479978.1</v>
      </c>
      <c r="BB88" s="1175">
        <f t="shared" ref="BB88:BD88" si="544">SUM(AQ88,AU88,AY88)</f>
        <v>132735.26</v>
      </c>
      <c r="BC88" s="326">
        <f t="shared" si="544"/>
        <v>992546.89999999991</v>
      </c>
      <c r="BD88" s="333">
        <f t="shared" si="544"/>
        <v>1125282.1600000001</v>
      </c>
      <c r="BE88" s="100">
        <f t="shared" si="410"/>
        <v>132735.26</v>
      </c>
      <c r="BF88" s="116">
        <f t="shared" ref="BF88:BG88" si="545">BC88+AL88</f>
        <v>1565972.0999999999</v>
      </c>
      <c r="BG88" s="119">
        <f t="shared" si="545"/>
        <v>1698707.36</v>
      </c>
      <c r="BH88" s="125">
        <f t="shared" si="478"/>
        <v>81280.759999999995</v>
      </c>
      <c r="BI88" s="1041">
        <f t="shared" si="412"/>
        <v>12744.950000000012</v>
      </c>
      <c r="BJ88" s="326">
        <f t="shared" si="413"/>
        <v>416720.82</v>
      </c>
      <c r="BK88" s="1045">
        <f t="shared" si="414"/>
        <v>429465.77</v>
      </c>
      <c r="BL88" s="125">
        <f t="shared" si="479"/>
        <v>200951.67</v>
      </c>
      <c r="BM88" s="140">
        <f t="shared" si="415"/>
        <v>28595</v>
      </c>
      <c r="BN88" s="123">
        <f t="shared" si="416"/>
        <v>425405.11</v>
      </c>
      <c r="BO88" s="148">
        <f t="shared" si="417"/>
        <v>454000.11</v>
      </c>
      <c r="BP88" s="123">
        <f t="shared" si="480"/>
        <v>310799.84999999998</v>
      </c>
      <c r="BQ88" s="123">
        <f t="shared" si="418"/>
        <v>9209</v>
      </c>
      <c r="BR88" s="123">
        <f t="shared" si="419"/>
        <v>0</v>
      </c>
      <c r="BS88" s="125">
        <f t="shared" si="420"/>
        <v>9209</v>
      </c>
      <c r="BT88" s="140">
        <f t="shared" ref="BT88:BV88" si="546">SUM(BQ88,BM88,BI88)</f>
        <v>50548.950000000012</v>
      </c>
      <c r="BU88" s="123">
        <f t="shared" si="546"/>
        <v>842125.92999999993</v>
      </c>
      <c r="BV88" s="148">
        <f t="shared" si="546"/>
        <v>892674.88</v>
      </c>
      <c r="BW88" s="125">
        <f t="shared" si="482"/>
        <v>207616.64000000001</v>
      </c>
      <c r="BX88" s="140">
        <f t="shared" si="422"/>
        <v>0</v>
      </c>
      <c r="BY88" s="123">
        <f t="shared" si="423"/>
        <v>796542.9</v>
      </c>
      <c r="BZ88" s="148">
        <f t="shared" si="424"/>
        <v>796542.9</v>
      </c>
      <c r="CA88" s="123">
        <f t="shared" si="483"/>
        <v>330348.61</v>
      </c>
      <c r="CB88" s="326">
        <f t="shared" si="484"/>
        <v>345615.17</v>
      </c>
      <c r="CP88" s="294"/>
      <c r="CU88" s="294"/>
    </row>
    <row r="89" spans="1:99" ht="13">
      <c r="A89" s="566" t="e">
        <f t="shared" si="377"/>
        <v>#N/A</v>
      </c>
      <c r="B89" s="636">
        <f t="shared" si="504"/>
        <v>1</v>
      </c>
      <c r="C89" s="558" t="str">
        <f t="shared" si="359"/>
        <v>Lista</v>
      </c>
      <c r="D89" s="558">
        <f t="shared" si="360"/>
        <v>0.09</v>
      </c>
      <c r="E89" s="559">
        <f t="shared" si="361"/>
        <v>0</v>
      </c>
      <c r="F89" s="836">
        <f t="shared" si="379"/>
        <v>1</v>
      </c>
      <c r="G89" s="558" t="str">
        <f t="shared" si="380"/>
        <v>Lista</v>
      </c>
      <c r="H89" s="558">
        <f t="shared" si="381"/>
        <v>0.09</v>
      </c>
      <c r="I89" s="559">
        <f t="shared" si="382"/>
        <v>0</v>
      </c>
      <c r="J89" s="1214">
        <f t="shared" si="383"/>
        <v>71</v>
      </c>
      <c r="K89" s="558" t="str">
        <f t="shared" si="505"/>
        <v>Lista</v>
      </c>
      <c r="L89" s="715">
        <f t="shared" si="506"/>
        <v>0.05</v>
      </c>
      <c r="M89" s="1215" t="s">
        <v>1183</v>
      </c>
      <c r="N89" s="1216">
        <f t="shared" si="465"/>
        <v>0</v>
      </c>
      <c r="O89" s="332">
        <f t="shared" si="466"/>
        <v>0</v>
      </c>
      <c r="P89" s="173">
        <f t="shared" si="507"/>
        <v>5789.2100000000064</v>
      </c>
      <c r="Q89" s="561">
        <f t="shared" si="508"/>
        <v>40014.449999999997</v>
      </c>
      <c r="R89" s="1112">
        <f t="shared" si="509"/>
        <v>45803.66</v>
      </c>
      <c r="S89" s="123"/>
      <c r="T89" s="326"/>
      <c r="U89" s="326">
        <f t="shared" si="467"/>
        <v>23909.79</v>
      </c>
      <c r="V89" s="332">
        <f t="shared" si="468"/>
        <v>42469.405840649997</v>
      </c>
      <c r="W89" s="173">
        <f t="shared" si="510"/>
        <v>27338.95</v>
      </c>
      <c r="X89" s="561">
        <f t="shared" si="511"/>
        <v>0</v>
      </c>
      <c r="Y89" s="1112">
        <f t="shared" si="512"/>
        <v>27338.95</v>
      </c>
      <c r="Z89" s="123"/>
      <c r="AA89" s="326"/>
      <c r="AB89" s="326">
        <f t="shared" si="469"/>
        <v>0</v>
      </c>
      <c r="AC89" s="332">
        <f t="shared" si="470"/>
        <v>0</v>
      </c>
      <c r="AD89" s="173">
        <f t="shared" si="513"/>
        <v>0</v>
      </c>
      <c r="AE89" s="561">
        <f t="shared" si="514"/>
        <v>0</v>
      </c>
      <c r="AF89" s="1112">
        <f t="shared" si="515"/>
        <v>0</v>
      </c>
      <c r="AG89" s="123"/>
      <c r="AH89" s="326"/>
      <c r="AI89" s="332">
        <f t="shared" si="471"/>
        <v>42469.405840649997</v>
      </c>
      <c r="AJ89" s="140">
        <f t="shared" si="516"/>
        <v>99931.839999999997</v>
      </c>
      <c r="AK89" s="326">
        <f t="shared" ref="AK89:AM89" si="547">AD89+W89+P89</f>
        <v>33128.160000000003</v>
      </c>
      <c r="AL89" s="326">
        <f t="shared" si="547"/>
        <v>40014.449999999997</v>
      </c>
      <c r="AM89" s="326">
        <f t="shared" si="547"/>
        <v>73142.61</v>
      </c>
      <c r="AN89" s="326">
        <f t="shared" si="518"/>
        <v>-26789.229999999996</v>
      </c>
      <c r="AO89" s="98">
        <f t="shared" si="519"/>
        <v>0.73192498006641327</v>
      </c>
      <c r="AP89" s="125">
        <f t="shared" si="473"/>
        <v>0</v>
      </c>
      <c r="AQ89" s="326">
        <f t="shared" si="400"/>
        <v>27367.73</v>
      </c>
      <c r="AR89" s="326">
        <f t="shared" si="401"/>
        <v>0</v>
      </c>
      <c r="AS89" s="123">
        <f t="shared" si="402"/>
        <v>27367.73</v>
      </c>
      <c r="AT89" s="332">
        <f t="shared" si="474"/>
        <v>69218.09</v>
      </c>
      <c r="AU89" s="140">
        <f t="shared" si="403"/>
        <v>4385.41</v>
      </c>
      <c r="AV89" s="326">
        <f t="shared" si="404"/>
        <v>24131.82</v>
      </c>
      <c r="AW89" s="333">
        <f t="shared" si="405"/>
        <v>28517.23</v>
      </c>
      <c r="AX89" s="123">
        <f t="shared" si="475"/>
        <v>0</v>
      </c>
      <c r="AY89" s="123">
        <f t="shared" si="406"/>
        <v>36903.53</v>
      </c>
      <c r="AZ89" s="123">
        <f t="shared" si="407"/>
        <v>48263.61</v>
      </c>
      <c r="BA89" s="125">
        <f t="shared" si="408"/>
        <v>85167.14</v>
      </c>
      <c r="BB89" s="1175">
        <f t="shared" ref="BB89:BD89" si="548">SUM(AQ89,AU89,AY89)</f>
        <v>68656.67</v>
      </c>
      <c r="BC89" s="326">
        <f t="shared" si="548"/>
        <v>72395.429999999993</v>
      </c>
      <c r="BD89" s="333">
        <f t="shared" si="548"/>
        <v>141052.1</v>
      </c>
      <c r="BE89" s="100">
        <f t="shared" si="410"/>
        <v>101784.83</v>
      </c>
      <c r="BF89" s="116">
        <f t="shared" ref="BF89:BG89" si="549">BC89+AL89</f>
        <v>112409.87999999999</v>
      </c>
      <c r="BG89" s="119">
        <f t="shared" si="549"/>
        <v>214194.71000000002</v>
      </c>
      <c r="BH89" s="125">
        <f t="shared" si="478"/>
        <v>0</v>
      </c>
      <c r="BI89" s="1041">
        <f t="shared" si="412"/>
        <v>0</v>
      </c>
      <c r="BJ89" s="326">
        <f t="shared" si="413"/>
        <v>0</v>
      </c>
      <c r="BK89" s="1045">
        <f t="shared" si="414"/>
        <v>0</v>
      </c>
      <c r="BL89" s="125">
        <f t="shared" si="479"/>
        <v>17663.939999999999</v>
      </c>
      <c r="BM89" s="140">
        <f t="shared" si="415"/>
        <v>25472.5</v>
      </c>
      <c r="BN89" s="123">
        <f t="shared" si="416"/>
        <v>24131.82</v>
      </c>
      <c r="BO89" s="148">
        <f t="shared" si="417"/>
        <v>49604.32</v>
      </c>
      <c r="BP89" s="123">
        <f t="shared" si="480"/>
        <v>0</v>
      </c>
      <c r="BQ89" s="123">
        <f t="shared" si="418"/>
        <v>59276.799999999996</v>
      </c>
      <c r="BR89" s="123">
        <f t="shared" si="419"/>
        <v>26062.35</v>
      </c>
      <c r="BS89" s="125">
        <f t="shared" si="420"/>
        <v>85339.15</v>
      </c>
      <c r="BT89" s="140">
        <f t="shared" ref="BT89:BV89" si="550">SUM(BQ89,BM89,BI89)</f>
        <v>84749.299999999988</v>
      </c>
      <c r="BU89" s="123">
        <f t="shared" si="550"/>
        <v>50194.17</v>
      </c>
      <c r="BV89" s="148">
        <f t="shared" si="550"/>
        <v>134943.47</v>
      </c>
      <c r="BW89" s="125">
        <f t="shared" si="482"/>
        <v>16194</v>
      </c>
      <c r="BX89" s="140">
        <f t="shared" si="422"/>
        <v>13100.54</v>
      </c>
      <c r="BY89" s="123">
        <f t="shared" si="423"/>
        <v>20919.900000000001</v>
      </c>
      <c r="BZ89" s="148">
        <f t="shared" si="424"/>
        <v>34020.44</v>
      </c>
      <c r="CA89" s="123">
        <f t="shared" si="483"/>
        <v>0</v>
      </c>
      <c r="CB89" s="326">
        <f t="shared" si="484"/>
        <v>83737.84</v>
      </c>
      <c r="CP89" s="294"/>
      <c r="CU89" s="294"/>
    </row>
    <row r="90" spans="1:99" ht="13">
      <c r="A90" s="566" t="e">
        <f t="shared" si="377"/>
        <v>#N/A</v>
      </c>
      <c r="B90" s="636">
        <f t="shared" si="504"/>
        <v>1</v>
      </c>
      <c r="C90" s="558" t="str">
        <f t="shared" si="359"/>
        <v>Lista</v>
      </c>
      <c r="D90" s="558">
        <f t="shared" si="360"/>
        <v>0.09</v>
      </c>
      <c r="E90" s="559">
        <f t="shared" si="361"/>
        <v>0</v>
      </c>
      <c r="F90" s="836">
        <f t="shared" si="379"/>
        <v>1</v>
      </c>
      <c r="G90" s="558" t="str">
        <f t="shared" si="380"/>
        <v>Lista</v>
      </c>
      <c r="H90" s="558">
        <f t="shared" si="381"/>
        <v>0.09</v>
      </c>
      <c r="I90" s="559">
        <f t="shared" si="382"/>
        <v>0</v>
      </c>
      <c r="J90" s="1214">
        <f t="shared" si="383"/>
        <v>71</v>
      </c>
      <c r="K90" s="558" t="str">
        <f t="shared" si="505"/>
        <v>Lista</v>
      </c>
      <c r="L90" s="715">
        <f t="shared" si="506"/>
        <v>0.05</v>
      </c>
      <c r="M90" s="1215" t="s">
        <v>1184</v>
      </c>
      <c r="N90" s="1216">
        <f t="shared" si="465"/>
        <v>142782.88</v>
      </c>
      <c r="O90" s="332">
        <f t="shared" si="466"/>
        <v>240025.160424</v>
      </c>
      <c r="P90" s="173">
        <f t="shared" si="507"/>
        <v>0</v>
      </c>
      <c r="Q90" s="561">
        <f t="shared" si="508"/>
        <v>80028.98</v>
      </c>
      <c r="R90" s="1112">
        <f t="shared" si="509"/>
        <v>80028.98</v>
      </c>
      <c r="S90" s="123"/>
      <c r="T90" s="326"/>
      <c r="U90" s="326">
        <f t="shared" si="467"/>
        <v>0</v>
      </c>
      <c r="V90" s="332">
        <f t="shared" si="468"/>
        <v>0</v>
      </c>
      <c r="W90" s="173">
        <f t="shared" si="510"/>
        <v>0</v>
      </c>
      <c r="X90" s="561">
        <f t="shared" si="511"/>
        <v>0</v>
      </c>
      <c r="Y90" s="1112">
        <f t="shared" si="512"/>
        <v>0</v>
      </c>
      <c r="Z90" s="123"/>
      <c r="AA90" s="326"/>
      <c r="AB90" s="326">
        <f t="shared" si="469"/>
        <v>0</v>
      </c>
      <c r="AC90" s="332">
        <f t="shared" si="470"/>
        <v>0</v>
      </c>
      <c r="AD90" s="173">
        <f t="shared" si="513"/>
        <v>26735.75</v>
      </c>
      <c r="AE90" s="561">
        <f t="shared" si="514"/>
        <v>84830.67</v>
      </c>
      <c r="AF90" s="1112">
        <f t="shared" si="515"/>
        <v>111566.42</v>
      </c>
      <c r="AG90" s="123"/>
      <c r="AH90" s="326"/>
      <c r="AI90" s="332">
        <f t="shared" si="471"/>
        <v>240025.160424</v>
      </c>
      <c r="AJ90" s="140">
        <f t="shared" si="516"/>
        <v>80028.98</v>
      </c>
      <c r="AK90" s="326">
        <f t="shared" ref="AK90:AM90" si="551">AD90+W90+P90</f>
        <v>26735.75</v>
      </c>
      <c r="AL90" s="326">
        <f t="shared" si="551"/>
        <v>164859.65</v>
      </c>
      <c r="AM90" s="326">
        <f t="shared" si="551"/>
        <v>191595.4</v>
      </c>
      <c r="AN90" s="326">
        <f t="shared" si="518"/>
        <v>111566.42</v>
      </c>
      <c r="AO90" s="98">
        <f t="shared" si="519"/>
        <v>2.3940752462420489</v>
      </c>
      <c r="AP90" s="125">
        <f t="shared" si="473"/>
        <v>0</v>
      </c>
      <c r="AQ90" s="326">
        <f t="shared" si="400"/>
        <v>0</v>
      </c>
      <c r="AR90" s="326">
        <f t="shared" si="401"/>
        <v>0</v>
      </c>
      <c r="AS90" s="123">
        <f t="shared" si="402"/>
        <v>0</v>
      </c>
      <c r="AT90" s="332">
        <f t="shared" si="474"/>
        <v>73317.66</v>
      </c>
      <c r="AU90" s="140">
        <f t="shared" si="403"/>
        <v>78471.81</v>
      </c>
      <c r="AV90" s="326">
        <f t="shared" si="404"/>
        <v>89072.16</v>
      </c>
      <c r="AW90" s="333">
        <f t="shared" si="405"/>
        <v>167543.97</v>
      </c>
      <c r="AX90" s="123">
        <f t="shared" si="475"/>
        <v>120704.9</v>
      </c>
      <c r="AY90" s="123">
        <f t="shared" si="406"/>
        <v>0</v>
      </c>
      <c r="AZ90" s="123">
        <f t="shared" si="407"/>
        <v>0</v>
      </c>
      <c r="BA90" s="125">
        <f t="shared" si="408"/>
        <v>0</v>
      </c>
      <c r="BB90" s="1175">
        <f t="shared" ref="BB90:BD90" si="552">SUM(AQ90,AU90,AY90)</f>
        <v>78471.81</v>
      </c>
      <c r="BC90" s="326">
        <f t="shared" si="552"/>
        <v>89072.16</v>
      </c>
      <c r="BD90" s="333">
        <f t="shared" si="552"/>
        <v>167543.97</v>
      </c>
      <c r="BE90" s="100">
        <f t="shared" si="410"/>
        <v>105207.56</v>
      </c>
      <c r="BF90" s="116">
        <f t="shared" ref="BF90:BG90" si="553">BC90+AL90</f>
        <v>253931.81</v>
      </c>
      <c r="BG90" s="119">
        <f t="shared" si="553"/>
        <v>359139.37</v>
      </c>
      <c r="BH90" s="125">
        <f t="shared" si="478"/>
        <v>33991.25</v>
      </c>
      <c r="BI90" s="1041">
        <f t="shared" si="412"/>
        <v>0</v>
      </c>
      <c r="BJ90" s="326">
        <f t="shared" si="413"/>
        <v>0</v>
      </c>
      <c r="BK90" s="1045">
        <f t="shared" si="414"/>
        <v>0</v>
      </c>
      <c r="BL90" s="125">
        <f t="shared" si="479"/>
        <v>67982.5</v>
      </c>
      <c r="BM90" s="140">
        <f t="shared" si="415"/>
        <v>44179.06</v>
      </c>
      <c r="BN90" s="123">
        <f t="shared" si="416"/>
        <v>0</v>
      </c>
      <c r="BO90" s="148">
        <f t="shared" si="417"/>
        <v>44179.06</v>
      </c>
      <c r="BP90" s="123">
        <f t="shared" si="480"/>
        <v>33399.61</v>
      </c>
      <c r="BQ90" s="123">
        <f t="shared" si="418"/>
        <v>0</v>
      </c>
      <c r="BR90" s="123">
        <f t="shared" si="419"/>
        <v>0</v>
      </c>
      <c r="BS90" s="125">
        <f t="shared" si="420"/>
        <v>0</v>
      </c>
      <c r="BT90" s="140">
        <f t="shared" ref="BT90:BV90" si="554">SUM(BQ90,BM90,BI90)</f>
        <v>44179.06</v>
      </c>
      <c r="BU90" s="123">
        <f t="shared" si="554"/>
        <v>0</v>
      </c>
      <c r="BV90" s="148">
        <f t="shared" si="554"/>
        <v>44179.06</v>
      </c>
      <c r="BW90" s="125">
        <f t="shared" si="482"/>
        <v>0</v>
      </c>
      <c r="BX90" s="140">
        <f t="shared" si="422"/>
        <v>0</v>
      </c>
      <c r="BY90" s="123">
        <f t="shared" si="423"/>
        <v>0</v>
      </c>
      <c r="BZ90" s="148">
        <f t="shared" si="424"/>
        <v>0</v>
      </c>
      <c r="CA90" s="123">
        <f t="shared" si="483"/>
        <v>80028.98</v>
      </c>
      <c r="CB90" s="326">
        <f t="shared" si="484"/>
        <v>0</v>
      </c>
      <c r="CP90" s="294"/>
      <c r="CU90" s="294"/>
    </row>
    <row r="91" spans="1:99" ht="13">
      <c r="A91" s="566" t="e">
        <f t="shared" si="377"/>
        <v>#N/A</v>
      </c>
      <c r="B91" s="636">
        <v>1</v>
      </c>
      <c r="C91" s="558" t="str">
        <f t="shared" si="359"/>
        <v>Lista</v>
      </c>
      <c r="D91" s="558">
        <f t="shared" si="360"/>
        <v>0.09</v>
      </c>
      <c r="E91" s="559">
        <f t="shared" si="361"/>
        <v>0</v>
      </c>
      <c r="F91" s="836">
        <f t="shared" si="379"/>
        <v>1</v>
      </c>
      <c r="G91" s="558" t="str">
        <f t="shared" si="380"/>
        <v>Lista</v>
      </c>
      <c r="H91" s="558">
        <f t="shared" si="381"/>
        <v>0.09</v>
      </c>
      <c r="I91" s="559">
        <f t="shared" si="382"/>
        <v>0</v>
      </c>
      <c r="J91" s="1214">
        <f t="shared" si="383"/>
        <v>71</v>
      </c>
      <c r="K91" s="558" t="str">
        <f t="shared" si="505"/>
        <v>Lista</v>
      </c>
      <c r="L91" s="715">
        <f t="shared" si="506"/>
        <v>0.05</v>
      </c>
      <c r="M91" s="1215" t="s">
        <v>1185</v>
      </c>
      <c r="N91" s="1216">
        <f t="shared" si="465"/>
        <v>440250.96</v>
      </c>
      <c r="O91" s="326">
        <f t="shared" si="466"/>
        <v>740083.87630800006</v>
      </c>
      <c r="P91" s="326"/>
      <c r="Q91" s="326"/>
      <c r="R91" s="326"/>
      <c r="S91" s="326"/>
      <c r="T91" s="326"/>
      <c r="U91" s="326">
        <f t="shared" si="467"/>
        <v>-0.44</v>
      </c>
      <c r="V91" s="326">
        <f t="shared" si="468"/>
        <v>-0.7815434</v>
      </c>
      <c r="W91" s="326"/>
      <c r="X91" s="326"/>
      <c r="Y91" s="326"/>
      <c r="Z91" s="326"/>
      <c r="AA91" s="326"/>
      <c r="AB91" s="326">
        <f t="shared" si="469"/>
        <v>0</v>
      </c>
      <c r="AC91" s="326">
        <f t="shared" si="470"/>
        <v>0</v>
      </c>
      <c r="AD91" s="326"/>
      <c r="AE91" s="326"/>
      <c r="AF91" s="326"/>
      <c r="AG91" s="326"/>
      <c r="AH91" s="326"/>
      <c r="AI91" s="332">
        <f t="shared" si="471"/>
        <v>740083.09476460004</v>
      </c>
      <c r="AJ91" s="140"/>
      <c r="AK91" s="326"/>
      <c r="AL91" s="326"/>
      <c r="AM91" s="326"/>
      <c r="AN91" s="326"/>
      <c r="AO91" s="1217"/>
      <c r="AP91" s="123">
        <f t="shared" si="473"/>
        <v>0</v>
      </c>
      <c r="AQ91" s="326" t="e">
        <f t="shared" si="400"/>
        <v>#VALUE!</v>
      </c>
      <c r="AR91" s="326" t="str">
        <f t="shared" si="401"/>
        <v/>
      </c>
      <c r="AS91" s="123">
        <f t="shared" si="402"/>
        <v>0</v>
      </c>
      <c r="AT91" s="332">
        <f t="shared" si="474"/>
        <v>250075.96</v>
      </c>
      <c r="AU91" s="140" t="e">
        <f t="shared" si="403"/>
        <v>#VALUE!</v>
      </c>
      <c r="AV91" s="326" t="str">
        <f t="shared" si="404"/>
        <v/>
      </c>
      <c r="AW91" s="333">
        <f t="shared" si="405"/>
        <v>89078.3</v>
      </c>
      <c r="AX91" s="123">
        <f t="shared" si="475"/>
        <v>125037.98</v>
      </c>
      <c r="AY91" s="123" t="e">
        <f t="shared" si="406"/>
        <v>#VALUE!</v>
      </c>
      <c r="AZ91" s="123" t="str">
        <f t="shared" si="407"/>
        <v/>
      </c>
      <c r="BA91" s="125">
        <f t="shared" si="408"/>
        <v>0</v>
      </c>
      <c r="BB91" s="1175" t="e">
        <f t="shared" ref="BB91:BD91" si="555">SUM(AQ91,AU91,AY91)</f>
        <v>#VALUE!</v>
      </c>
      <c r="BC91" s="326">
        <f t="shared" si="555"/>
        <v>0</v>
      </c>
      <c r="BD91" s="333">
        <f t="shared" si="555"/>
        <v>89078.3</v>
      </c>
      <c r="BE91" s="100" t="e">
        <f t="shared" si="410"/>
        <v>#VALUE!</v>
      </c>
      <c r="BF91" s="116">
        <f t="shared" ref="BF91:BG91" si="556">BC91+AL91</f>
        <v>0</v>
      </c>
      <c r="BG91" s="119">
        <f t="shared" si="556"/>
        <v>89078.3</v>
      </c>
      <c r="BH91" s="125">
        <f t="shared" si="478"/>
        <v>0</v>
      </c>
      <c r="BI91" s="1041" t="e">
        <f t="shared" si="412"/>
        <v>#VALUE!</v>
      </c>
      <c r="BJ91" s="326" t="str">
        <f t="shared" si="413"/>
        <v/>
      </c>
      <c r="BK91" s="1045">
        <f t="shared" si="414"/>
        <v>114012</v>
      </c>
      <c r="BL91" s="125">
        <f t="shared" si="479"/>
        <v>27538.47</v>
      </c>
      <c r="BM91" s="140" t="e">
        <f t="shared" si="415"/>
        <v>#VALUE!</v>
      </c>
      <c r="BN91" s="123" t="str">
        <f t="shared" si="416"/>
        <v/>
      </c>
      <c r="BO91" s="148">
        <f t="shared" si="417"/>
        <v>0</v>
      </c>
      <c r="BP91" s="123">
        <f t="shared" si="480"/>
        <v>48505</v>
      </c>
      <c r="BQ91" s="123" t="e">
        <f t="shared" si="418"/>
        <v>#VALUE!</v>
      </c>
      <c r="BR91" s="123" t="str">
        <f t="shared" si="419"/>
        <v/>
      </c>
      <c r="BS91" s="125">
        <f t="shared" si="420"/>
        <v>0</v>
      </c>
      <c r="BT91" s="140" t="e">
        <f t="shared" ref="BT91:BV91" si="557">SUM(BQ91,BM91,BI91)</f>
        <v>#VALUE!</v>
      </c>
      <c r="BU91" s="123">
        <f t="shared" si="557"/>
        <v>0</v>
      </c>
      <c r="BV91" s="148">
        <f t="shared" si="557"/>
        <v>114012</v>
      </c>
      <c r="BW91" s="125">
        <f t="shared" si="482"/>
        <v>0</v>
      </c>
      <c r="BX91" s="140" t="e">
        <f t="shared" si="422"/>
        <v>#VALUE!</v>
      </c>
      <c r="BY91" s="123" t="str">
        <f t="shared" si="423"/>
        <v/>
      </c>
      <c r="BZ91" s="148">
        <f t="shared" si="424"/>
        <v>0</v>
      </c>
      <c r="CA91" s="123">
        <f t="shared" si="483"/>
        <v>0</v>
      </c>
      <c r="CB91" s="326">
        <f t="shared" si="484"/>
        <v>0</v>
      </c>
      <c r="CP91" s="294"/>
      <c r="CU91" s="294"/>
    </row>
    <row r="92" spans="1:99" ht="13">
      <c r="A92" s="636" t="e">
        <f>VLOOKUP(M92,MARUCACARTERA,3,FALSE)</f>
        <v>#N/A</v>
      </c>
      <c r="B92" s="637">
        <v>4</v>
      </c>
      <c r="C92" s="558" t="str">
        <f t="shared" si="359"/>
        <v>Lista</v>
      </c>
      <c r="D92" s="558">
        <f t="shared" si="360"/>
        <v>0.2</v>
      </c>
      <c r="E92" s="558">
        <f t="shared" si="361"/>
        <v>0</v>
      </c>
      <c r="F92" s="798"/>
      <c r="G92" s="558"/>
      <c r="H92" s="558"/>
      <c r="I92" s="715"/>
      <c r="J92" s="636"/>
      <c r="K92" s="558"/>
      <c r="L92" s="559"/>
      <c r="M92" s="560" t="s">
        <v>1186</v>
      </c>
      <c r="N92" s="1174">
        <f t="shared" si="465"/>
        <v>352286.33</v>
      </c>
      <c r="O92" s="326">
        <f t="shared" si="466"/>
        <v>592210.93504650006</v>
      </c>
      <c r="P92" s="326"/>
      <c r="Q92" s="561" t="str">
        <f t="shared" ref="Q92:Q123" si="558">IFERROR(VLOOKUP(M92,MARUCAALIM,3,FALSE),"")</f>
        <v/>
      </c>
      <c r="R92" s="561" t="str">
        <f t="shared" ref="R92:R123" si="559">IFERROR(VLOOKUP(M92,MARUFC,3,FALSE),"")</f>
        <v/>
      </c>
      <c r="S92" s="326"/>
      <c r="T92" s="326"/>
      <c r="U92" s="326">
        <f t="shared" si="467"/>
        <v>571895.89</v>
      </c>
      <c r="V92" s="326">
        <f t="shared" si="468"/>
        <v>1015821.4961741499</v>
      </c>
      <c r="W92" s="326"/>
      <c r="X92" s="326"/>
      <c r="Y92" s="326"/>
      <c r="Z92" s="326"/>
      <c r="AA92" s="326"/>
      <c r="AB92" s="326">
        <f t="shared" si="469"/>
        <v>297528.03000000003</v>
      </c>
      <c r="AC92" s="326">
        <f t="shared" si="470"/>
        <v>488947.15102095006</v>
      </c>
      <c r="AD92" s="326"/>
      <c r="AE92" s="326"/>
      <c r="AF92" s="326"/>
      <c r="AG92" s="326"/>
      <c r="AH92" s="326"/>
      <c r="AI92" s="326">
        <f t="shared" si="471"/>
        <v>2096979.5822415999</v>
      </c>
      <c r="AJ92" s="326"/>
      <c r="AK92" s="326"/>
      <c r="AL92" s="326"/>
      <c r="AM92" s="326"/>
      <c r="AN92" s="326"/>
      <c r="AO92" s="1218"/>
      <c r="AP92" s="326">
        <f t="shared" si="473"/>
        <v>675488.1</v>
      </c>
      <c r="AQ92" s="326"/>
      <c r="AR92" s="326"/>
      <c r="AS92" s="326"/>
      <c r="AT92" s="326">
        <f t="shared" si="474"/>
        <v>515161.22</v>
      </c>
      <c r="AU92" s="326"/>
      <c r="AV92" s="326"/>
      <c r="AW92" s="326"/>
      <c r="AX92" s="326">
        <f t="shared" si="475"/>
        <v>274769.90000000002</v>
      </c>
      <c r="AY92" s="326"/>
      <c r="AZ92" s="326"/>
      <c r="BA92" s="326"/>
      <c r="BB92" s="326"/>
      <c r="BC92" s="326"/>
      <c r="BD92" s="326"/>
      <c r="BE92" s="326"/>
      <c r="BF92" s="326"/>
      <c r="BG92" s="326"/>
      <c r="BH92" s="326">
        <f t="shared" si="478"/>
        <v>250866.7</v>
      </c>
      <c r="BI92" s="326"/>
      <c r="BJ92" s="326"/>
      <c r="BK92" s="326"/>
      <c r="BL92" s="332">
        <f t="shared" si="479"/>
        <v>383920.7</v>
      </c>
      <c r="BM92" s="140"/>
      <c r="BN92" s="326"/>
      <c r="BO92" s="333"/>
      <c r="BP92" s="123">
        <f t="shared" si="480"/>
        <v>410838.9</v>
      </c>
      <c r="BQ92" s="326"/>
      <c r="BR92" s="326"/>
      <c r="BS92" s="332"/>
      <c r="BT92" s="140"/>
      <c r="BU92" s="326"/>
      <c r="BV92" s="333"/>
      <c r="BW92" s="123">
        <f t="shared" si="482"/>
        <v>0</v>
      </c>
      <c r="BX92" s="326"/>
      <c r="BY92" s="326"/>
      <c r="BZ92" s="333"/>
      <c r="CA92" s="123">
        <f t="shared" si="483"/>
        <v>0</v>
      </c>
      <c r="CB92" s="326">
        <f t="shared" si="484"/>
        <v>0</v>
      </c>
      <c r="CP92" s="294"/>
      <c r="CU92" s="294"/>
    </row>
    <row r="93" spans="1:99" ht="13">
      <c r="A93" s="566" t="e">
        <f>VLOOKUP(M93,MARCART4,3,FALSE)</f>
        <v>#N/A</v>
      </c>
      <c r="B93" s="636">
        <f t="shared" ref="B93:B124" si="560">VLOOKUP(M93,MARUCACARTERA,2,FALSE)</f>
        <v>0</v>
      </c>
      <c r="C93" s="558" t="str">
        <f t="shared" si="359"/>
        <v/>
      </c>
      <c r="D93" s="558" t="str">
        <f t="shared" si="360"/>
        <v/>
      </c>
      <c r="E93" s="559" t="str">
        <f t="shared" si="361"/>
        <v/>
      </c>
      <c r="F93" s="836">
        <f t="shared" ref="F93:F124" si="561">VLOOKUP(M93,MARUCART2,2,FALSE)</f>
        <v>0</v>
      </c>
      <c r="G93" s="558" t="str">
        <f t="shared" ref="G93:G124" si="562">IFERROR(VLOOKUP(F93,DES,2,FALSE),"")</f>
        <v/>
      </c>
      <c r="H93" s="558" t="str">
        <f t="shared" ref="H93:H124" si="563">IFERROR(VLOOKUP(F93,DES,3,FALSE),"")</f>
        <v/>
      </c>
      <c r="I93" s="559" t="str">
        <f t="shared" ref="I93:I124" si="564">IFERROR(VLOOKUP(F93,DES,4,FALSE),"")</f>
        <v/>
      </c>
      <c r="J93" s="1214">
        <f>VLOOKUP(M93,CART.MAR.3,2,FALSE)</f>
        <v>0</v>
      </c>
      <c r="K93" s="558" t="str">
        <f>IFERROR(VLOOKUP(J93,A458DC1025,2,FALSE),"")</f>
        <v/>
      </c>
      <c r="L93" s="715" t="str">
        <f>IFERROR(VLOOKUP(J93,A458DC1025,3,FALSE),"")</f>
        <v/>
      </c>
      <c r="M93" s="1215" t="s">
        <v>1187</v>
      </c>
      <c r="N93" s="1216">
        <f t="shared" si="465"/>
        <v>26940.240000000002</v>
      </c>
      <c r="O93" s="332">
        <f t="shared" si="466"/>
        <v>45287.890452000007</v>
      </c>
      <c r="P93" s="173" t="e">
        <f t="shared" ref="P93:P160" si="565">R93-Q93</f>
        <v>#VALUE!</v>
      </c>
      <c r="Q93" s="561" t="str">
        <f t="shared" si="558"/>
        <v/>
      </c>
      <c r="R93" s="1112">
        <f t="shared" si="559"/>
        <v>397206.53</v>
      </c>
      <c r="S93" s="123"/>
      <c r="T93" s="326"/>
      <c r="U93" s="326">
        <f t="shared" si="467"/>
        <v>0</v>
      </c>
      <c r="V93" s="332">
        <f t="shared" si="468"/>
        <v>0</v>
      </c>
      <c r="W93" s="173" t="e">
        <f t="shared" ref="W93:W160" si="566">Y93-X93</f>
        <v>#VALUE!</v>
      </c>
      <c r="X93" s="561" t="str">
        <f t="shared" ref="X93:X124" si="567">IFERROR(VLOOKUP(M93,MARUCAALIM,4,FALSE),"")</f>
        <v/>
      </c>
      <c r="Y93" s="1112">
        <f t="shared" ref="Y93:Y124" si="568">IFERROR(VLOOKUP(M93,MARUFC,4,FALSE),"")</f>
        <v>331974.05</v>
      </c>
      <c r="Z93" s="123"/>
      <c r="AA93" s="326"/>
      <c r="AB93" s="326">
        <f t="shared" si="469"/>
        <v>0</v>
      </c>
      <c r="AC93" s="332">
        <f t="shared" si="470"/>
        <v>0</v>
      </c>
      <c r="AD93" s="173" t="e">
        <f t="shared" ref="AD93:AD160" si="569">AF93-AE93</f>
        <v>#VALUE!</v>
      </c>
      <c r="AE93" s="561" t="str">
        <f t="shared" ref="AE93:AE124" si="570">IFERROR(VLOOKUP(M93,MARUCAALIM,5,FALSE),"")</f>
        <v/>
      </c>
      <c r="AF93" s="1112">
        <f t="shared" ref="AF93:AF124" si="571">IFERROR(VLOOKUP(M93,MARUFC,5,FALSE),"")</f>
        <v>0</v>
      </c>
      <c r="AG93" s="123"/>
      <c r="AH93" s="326"/>
      <c r="AI93" s="332">
        <f t="shared" si="471"/>
        <v>45287.890452000007</v>
      </c>
      <c r="AJ93" s="140">
        <f t="shared" ref="AJ93:AJ124" si="572">IFERROR(VLOOKUP(M93,trim2024,2,FALSE),"0")</f>
        <v>1107073.57</v>
      </c>
      <c r="AK93" s="326" t="e">
        <f t="shared" ref="AK93:AM93" si="573">AD93+W93+P93</f>
        <v>#VALUE!</v>
      </c>
      <c r="AL93" s="326" t="e">
        <f t="shared" si="573"/>
        <v>#VALUE!</v>
      </c>
      <c r="AM93" s="326">
        <f t="shared" si="573"/>
        <v>729180.58000000007</v>
      </c>
      <c r="AN93" s="326">
        <f t="shared" ref="AN93:AN160" si="574">AM93-AJ93</f>
        <v>-377892.99</v>
      </c>
      <c r="AO93" s="98">
        <f t="shared" ref="AO93:AO148" si="575">IFERROR(AM93/AJ93,"")</f>
        <v>0.6586559373827342</v>
      </c>
      <c r="AP93" s="125">
        <f t="shared" si="473"/>
        <v>0</v>
      </c>
      <c r="AQ93" s="326" t="e">
        <f t="shared" ref="AQ93:AQ160" si="576">AS93-AR93</f>
        <v>#VALUE!</v>
      </c>
      <c r="AR93" s="326" t="str">
        <f t="shared" ref="AR93:AR124" si="577">IFERROR(VLOOKUP(M93,MARUCAALIM,6,FALSE),"")</f>
        <v/>
      </c>
      <c r="AS93" s="123">
        <f t="shared" ref="AS93:AS124" si="578">IFERROR(VLOOKUP(M93,MARUFC,6,FALSE),"")</f>
        <v>163546.46</v>
      </c>
      <c r="AT93" s="332">
        <f t="shared" si="474"/>
        <v>0</v>
      </c>
      <c r="AU93" s="140" t="e">
        <f t="shared" ref="AU93:AU160" si="579">AW93-AV93</f>
        <v>#VALUE!</v>
      </c>
      <c r="AV93" s="326" t="str">
        <f t="shared" ref="AV93:AV124" si="580">IFERROR(VLOOKUP(M93,MARUCAALIM,7,FALSE),"")</f>
        <v/>
      </c>
      <c r="AW93" s="333">
        <f t="shared" ref="AW93:AW124" si="581">IFERROR(VLOOKUP(M93,MARUFC,7,FALSE),"")</f>
        <v>89710.31</v>
      </c>
      <c r="AX93" s="123">
        <f t="shared" si="475"/>
        <v>0</v>
      </c>
      <c r="AY93" s="123" t="e">
        <f t="shared" ref="AY93:AY160" si="582">BA93-AZ93</f>
        <v>#VALUE!</v>
      </c>
      <c r="AZ93" s="123" t="str">
        <f t="shared" ref="AZ93:AZ124" si="583">IFERROR(VLOOKUP(M93,MARUCAALIM,8,FALSE),"")</f>
        <v/>
      </c>
      <c r="BA93" s="125">
        <f t="shared" ref="BA93:BA124" si="584">IFERROR(VLOOKUP(M93,MARUFC,8,FALSE),"")</f>
        <v>0</v>
      </c>
      <c r="BB93" s="1175" t="e">
        <f t="shared" ref="BB93:BD93" si="585">SUM(AQ93,AU93,AY93)</f>
        <v>#VALUE!</v>
      </c>
      <c r="BC93" s="326">
        <f t="shared" si="585"/>
        <v>0</v>
      </c>
      <c r="BD93" s="333">
        <f t="shared" si="585"/>
        <v>253256.77</v>
      </c>
      <c r="BE93" s="100" t="e">
        <f t="shared" ref="BE93:BE160" si="586">SUM(BB93,AK93)</f>
        <v>#VALUE!</v>
      </c>
      <c r="BF93" s="116" t="e">
        <f t="shared" ref="BF93:BG93" si="587">BC93+AL93</f>
        <v>#VALUE!</v>
      </c>
      <c r="BG93" s="119">
        <f t="shared" si="587"/>
        <v>982437.35000000009</v>
      </c>
      <c r="BH93" s="125">
        <f t="shared" si="478"/>
        <v>0</v>
      </c>
      <c r="BI93" s="1041" t="e">
        <f t="shared" ref="BI93:BI160" si="588">BK93-BJ93</f>
        <v>#VALUE!</v>
      </c>
      <c r="BJ93" s="326" t="str">
        <f t="shared" ref="BJ93:BJ124" si="589">IFERROR(VLOOKUP(M93,MARUCAALIM,9,FALSE),"")</f>
        <v/>
      </c>
      <c r="BK93" s="1045">
        <f t="shared" ref="BK93:BK124" si="590">IFERROR(VLOOKUP(M93,MARUFC,9,FALSE),"")</f>
        <v>224561.03</v>
      </c>
      <c r="BL93" s="271">
        <f t="shared" si="479"/>
        <v>0</v>
      </c>
      <c r="BM93" s="164" t="e">
        <f t="shared" ref="BM93:BM160" si="591">BO93-BN93</f>
        <v>#VALUE!</v>
      </c>
      <c r="BN93" s="274" t="str">
        <f t="shared" ref="BN93:BN124" si="592">IFERROR(VLOOKUP(M93,MARUCAALIM,10,FALSE),"")</f>
        <v/>
      </c>
      <c r="BO93" s="610">
        <f t="shared" ref="BO93:BO124" si="593">IFERROR(VLOOKUP(M93,MARUFC,10,FALSE),"")</f>
        <v>286908.62</v>
      </c>
      <c r="BP93" s="274">
        <f t="shared" si="480"/>
        <v>192959.34</v>
      </c>
      <c r="BQ93" s="274" t="e">
        <f t="shared" ref="BQ93:BQ160" si="594">BS93-BR93</f>
        <v>#VALUE!</v>
      </c>
      <c r="BR93" s="274" t="str">
        <f t="shared" ref="BR93:BR124" si="595">IFERROR(VLOOKUP(M93,MARUCAALIM,11,FALSE),"")</f>
        <v/>
      </c>
      <c r="BS93" s="271">
        <f t="shared" ref="BS93:BS124" si="596">IFERROR(VLOOKUP(M93,MARUFC,11,FALSE),"")</f>
        <v>204132.13</v>
      </c>
      <c r="BT93" s="164" t="e">
        <f t="shared" ref="BT93:BV93" si="597">SUM(BQ93,BM93,BI93)</f>
        <v>#VALUE!</v>
      </c>
      <c r="BU93" s="274">
        <f t="shared" si="597"/>
        <v>0</v>
      </c>
      <c r="BV93" s="610">
        <f t="shared" si="597"/>
        <v>715601.78</v>
      </c>
      <c r="BW93" s="125">
        <f t="shared" si="482"/>
        <v>483899.21</v>
      </c>
      <c r="BX93" s="140" t="e">
        <f>BZ93-BY93</f>
        <v>#VALUE!</v>
      </c>
      <c r="BY93" s="123" t="str">
        <f>IFERROR(VLOOKUP(M93,MARUCAALIM,12,FALSE),"")</f>
        <v/>
      </c>
      <c r="BZ93" s="148">
        <f>IFERROR(VLOOKUP(M93,MARUFC,12,FALSE),"")</f>
        <v>133096.22</v>
      </c>
      <c r="CA93" s="123">
        <f t="shared" si="483"/>
        <v>265709.15000000002</v>
      </c>
      <c r="CB93" s="326">
        <f t="shared" si="484"/>
        <v>357465.21</v>
      </c>
      <c r="CP93" s="294"/>
      <c r="CU93" s="294"/>
    </row>
    <row r="94" spans="1:99" ht="13">
      <c r="A94" s="566" t="e">
        <f>VLOOKUP(M94,MARUCART2,3,FALSE)</f>
        <v>#N/A</v>
      </c>
      <c r="B94" s="636">
        <f t="shared" si="560"/>
        <v>4</v>
      </c>
      <c r="C94" s="558" t="str">
        <f t="shared" si="359"/>
        <v>Lista</v>
      </c>
      <c r="D94" s="558">
        <f t="shared" si="360"/>
        <v>0.2</v>
      </c>
      <c r="E94" s="559">
        <f t="shared" si="361"/>
        <v>0</v>
      </c>
      <c r="F94" s="836" t="e">
        <f t="shared" si="561"/>
        <v>#N/A</v>
      </c>
      <c r="G94" s="558" t="str">
        <f t="shared" si="562"/>
        <v/>
      </c>
      <c r="H94" s="558" t="str">
        <f t="shared" si="563"/>
        <v/>
      </c>
      <c r="I94" s="559" t="str">
        <f t="shared" si="564"/>
        <v/>
      </c>
      <c r="J94" s="566"/>
      <c r="K94" s="715"/>
      <c r="L94" s="559"/>
      <c r="M94" s="560" t="s">
        <v>1188</v>
      </c>
      <c r="N94" s="1216">
        <f t="shared" si="465"/>
        <v>490728.17</v>
      </c>
      <c r="O94" s="332">
        <f t="shared" si="466"/>
        <v>824938.59017849993</v>
      </c>
      <c r="P94" s="173">
        <f t="shared" si="565"/>
        <v>78843.290000000008</v>
      </c>
      <c r="Q94" s="561">
        <f t="shared" si="558"/>
        <v>65881.100000000006</v>
      </c>
      <c r="R94" s="1112">
        <f t="shared" si="559"/>
        <v>144724.39000000001</v>
      </c>
      <c r="S94" s="123"/>
      <c r="T94" s="326"/>
      <c r="U94" s="326">
        <f t="shared" si="467"/>
        <v>425204.6</v>
      </c>
      <c r="V94" s="332">
        <f t="shared" si="468"/>
        <v>755263.29268099996</v>
      </c>
      <c r="W94" s="173">
        <f t="shared" si="566"/>
        <v>63376.539999999979</v>
      </c>
      <c r="X94" s="561">
        <f t="shared" si="567"/>
        <v>209456.45</v>
      </c>
      <c r="Y94" s="1112">
        <f t="shared" si="568"/>
        <v>272832.99</v>
      </c>
      <c r="Z94" s="123"/>
      <c r="AA94" s="326"/>
      <c r="AB94" s="326">
        <f t="shared" si="469"/>
        <v>421485.33</v>
      </c>
      <c r="AC94" s="332">
        <f t="shared" si="470"/>
        <v>692654.23933545011</v>
      </c>
      <c r="AD94" s="173">
        <f t="shared" si="569"/>
        <v>83441.670000000013</v>
      </c>
      <c r="AE94" s="561">
        <f t="shared" si="570"/>
        <v>98539.12</v>
      </c>
      <c r="AF94" s="1112">
        <f t="shared" si="571"/>
        <v>181980.79</v>
      </c>
      <c r="AG94" s="123"/>
      <c r="AH94" s="326"/>
      <c r="AI94" s="332">
        <f t="shared" si="471"/>
        <v>2272856.12219495</v>
      </c>
      <c r="AJ94" s="140">
        <f t="shared" si="572"/>
        <v>236514.72</v>
      </c>
      <c r="AK94" s="326">
        <f t="shared" ref="AK94:AM94" si="598">AD94+W94+P94</f>
        <v>225661.5</v>
      </c>
      <c r="AL94" s="326">
        <f t="shared" si="598"/>
        <v>373876.67000000004</v>
      </c>
      <c r="AM94" s="326">
        <f t="shared" si="598"/>
        <v>599538.17000000004</v>
      </c>
      <c r="AN94" s="326">
        <f t="shared" si="574"/>
        <v>363023.45000000007</v>
      </c>
      <c r="AO94" s="98">
        <f t="shared" si="575"/>
        <v>2.5348873423184823</v>
      </c>
      <c r="AP94" s="125">
        <f t="shared" si="473"/>
        <v>679381.39</v>
      </c>
      <c r="AQ94" s="326">
        <f t="shared" si="576"/>
        <v>31455.45</v>
      </c>
      <c r="AR94" s="326">
        <f t="shared" si="577"/>
        <v>0</v>
      </c>
      <c r="AS94" s="123">
        <f t="shared" si="578"/>
        <v>31455.45</v>
      </c>
      <c r="AT94" s="332">
        <f t="shared" si="474"/>
        <v>591449.73</v>
      </c>
      <c r="AU94" s="140">
        <f t="shared" si="579"/>
        <v>0</v>
      </c>
      <c r="AV94" s="326">
        <f t="shared" si="580"/>
        <v>0</v>
      </c>
      <c r="AW94" s="333">
        <f t="shared" si="581"/>
        <v>0</v>
      </c>
      <c r="AX94" s="123">
        <f t="shared" si="475"/>
        <v>401222.34</v>
      </c>
      <c r="AY94" s="123">
        <f t="shared" si="582"/>
        <v>0</v>
      </c>
      <c r="AZ94" s="123">
        <f t="shared" si="583"/>
        <v>0</v>
      </c>
      <c r="BA94" s="125">
        <f t="shared" si="584"/>
        <v>0</v>
      </c>
      <c r="BB94" s="1175">
        <f t="shared" ref="BB94:BD94" si="599">SUM(AQ94,AU94,AY94)</f>
        <v>31455.45</v>
      </c>
      <c r="BC94" s="326">
        <f t="shared" si="599"/>
        <v>0</v>
      </c>
      <c r="BD94" s="333">
        <f t="shared" si="599"/>
        <v>31455.45</v>
      </c>
      <c r="BE94" s="100">
        <f t="shared" si="586"/>
        <v>257116.95</v>
      </c>
      <c r="BF94" s="116">
        <f t="shared" ref="BF94:BG94" si="600">BC94+AL94</f>
        <v>373876.67000000004</v>
      </c>
      <c r="BG94" s="119">
        <f t="shared" si="600"/>
        <v>630993.62</v>
      </c>
      <c r="BH94" s="125">
        <f t="shared" si="478"/>
        <v>627769.42000000004</v>
      </c>
      <c r="BI94" s="1041">
        <f t="shared" si="588"/>
        <v>0</v>
      </c>
      <c r="BJ94" s="326">
        <f t="shared" si="589"/>
        <v>0</v>
      </c>
      <c r="BK94" s="1045">
        <f t="shared" si="590"/>
        <v>0</v>
      </c>
      <c r="BL94" s="125">
        <f t="shared" si="479"/>
        <v>512426.62</v>
      </c>
      <c r="BM94" s="140">
        <f t="shared" si="591"/>
        <v>0</v>
      </c>
      <c r="BN94" s="123">
        <f t="shared" si="592"/>
        <v>0</v>
      </c>
      <c r="BO94" s="148">
        <f t="shared" si="593"/>
        <v>0</v>
      </c>
      <c r="BP94" s="123">
        <f t="shared" si="480"/>
        <v>72748.2</v>
      </c>
      <c r="BQ94" s="123">
        <f t="shared" si="594"/>
        <v>0</v>
      </c>
      <c r="BR94" s="123">
        <f t="shared" si="595"/>
        <v>0</v>
      </c>
      <c r="BS94" s="125">
        <f t="shared" si="596"/>
        <v>0</v>
      </c>
      <c r="BT94" s="140">
        <f t="shared" ref="BT94:BV94" si="601">SUM(BQ94,BM94,BI94)</f>
        <v>0</v>
      </c>
      <c r="BU94" s="123">
        <f t="shared" si="601"/>
        <v>0</v>
      </c>
      <c r="BV94" s="148">
        <f t="shared" si="601"/>
        <v>0</v>
      </c>
      <c r="BW94" s="123">
        <f t="shared" si="482"/>
        <v>0</v>
      </c>
      <c r="BX94" s="326"/>
      <c r="BY94" s="326"/>
      <c r="BZ94" s="333"/>
      <c r="CA94" s="123">
        <f t="shared" si="483"/>
        <v>34143.15</v>
      </c>
      <c r="CB94" s="326">
        <f t="shared" si="484"/>
        <v>202371.57</v>
      </c>
      <c r="CP94" s="294"/>
      <c r="CU94" s="294"/>
    </row>
    <row r="95" spans="1:99" ht="13">
      <c r="A95" s="566" t="e">
        <f t="shared" ref="A95:A126" si="602">VLOOKUP(M95,MARCART4,3,FALSE)</f>
        <v>#N/A</v>
      </c>
      <c r="B95" s="636">
        <f t="shared" si="560"/>
        <v>4</v>
      </c>
      <c r="C95" s="558" t="str">
        <f t="shared" si="359"/>
        <v>Lista</v>
      </c>
      <c r="D95" s="558">
        <f t="shared" si="360"/>
        <v>0.2</v>
      </c>
      <c r="E95" s="559">
        <f t="shared" si="361"/>
        <v>0</v>
      </c>
      <c r="F95" s="836">
        <f t="shared" si="561"/>
        <v>4</v>
      </c>
      <c r="G95" s="558" t="str">
        <f t="shared" si="562"/>
        <v>Lista</v>
      </c>
      <c r="H95" s="558">
        <f t="shared" si="563"/>
        <v>0.2</v>
      </c>
      <c r="I95" s="559">
        <f t="shared" si="564"/>
        <v>0</v>
      </c>
      <c r="J95" s="1214">
        <f t="shared" ref="J95:J126" si="603">VLOOKUP(M95,CART.MAR.3,2,FALSE)</f>
        <v>70</v>
      </c>
      <c r="K95" s="558" t="str">
        <f t="shared" ref="K95:K126" si="604">VLOOKUP(J95,A458DC1025,2,FALSE)</f>
        <v>Lista</v>
      </c>
      <c r="L95" s="715">
        <f t="shared" ref="L95:L126" si="605">VLOOKUP(J95,A458DC1025,3,FALSE)</f>
        <v>0.11</v>
      </c>
      <c r="M95" s="1173" t="s">
        <v>880</v>
      </c>
      <c r="N95" s="1174">
        <f t="shared" si="465"/>
        <v>1236716.48</v>
      </c>
      <c r="O95" s="332">
        <f t="shared" si="466"/>
        <v>2078982.2387040001</v>
      </c>
      <c r="P95" s="173">
        <f t="shared" si="565"/>
        <v>0</v>
      </c>
      <c r="Q95" s="561">
        <f t="shared" si="558"/>
        <v>1414337.22</v>
      </c>
      <c r="R95" s="1112">
        <f t="shared" si="559"/>
        <v>1414337.22</v>
      </c>
      <c r="S95" s="123"/>
      <c r="T95" s="326"/>
      <c r="U95" s="326">
        <f t="shared" si="467"/>
        <v>1064254.72</v>
      </c>
      <c r="V95" s="332">
        <f t="shared" si="468"/>
        <v>1890366.4825792001</v>
      </c>
      <c r="W95" s="173">
        <f t="shared" si="566"/>
        <v>0</v>
      </c>
      <c r="X95" s="561">
        <f t="shared" si="567"/>
        <v>1631345.84</v>
      </c>
      <c r="Y95" s="1112">
        <f t="shared" si="568"/>
        <v>1631345.84</v>
      </c>
      <c r="Z95" s="123"/>
      <c r="AA95" s="326"/>
      <c r="AB95" s="326">
        <f t="shared" si="469"/>
        <v>1150639.17</v>
      </c>
      <c r="AC95" s="332">
        <f t="shared" si="470"/>
        <v>1890920.1396070498</v>
      </c>
      <c r="AD95" s="173">
        <f t="shared" si="569"/>
        <v>77663.409999999916</v>
      </c>
      <c r="AE95" s="561">
        <f t="shared" si="570"/>
        <v>1441587.04</v>
      </c>
      <c r="AF95" s="1112">
        <f t="shared" si="571"/>
        <v>1519250.45</v>
      </c>
      <c r="AG95" s="123"/>
      <c r="AH95" s="326"/>
      <c r="AI95" s="332">
        <f t="shared" si="471"/>
        <v>5860268.8608902497</v>
      </c>
      <c r="AJ95" s="140">
        <f t="shared" si="572"/>
        <v>3273151.44</v>
      </c>
      <c r="AK95" s="326">
        <f t="shared" ref="AK95:AM95" si="606">AD95+W95+P95</f>
        <v>77663.409999999916</v>
      </c>
      <c r="AL95" s="326">
        <f t="shared" si="606"/>
        <v>4487270.0999999996</v>
      </c>
      <c r="AM95" s="326">
        <f t="shared" si="606"/>
        <v>4564933.51</v>
      </c>
      <c r="AN95" s="326">
        <f t="shared" si="574"/>
        <v>1291782.0699999998</v>
      </c>
      <c r="AO95" s="98">
        <f t="shared" si="575"/>
        <v>1.3946600374836307</v>
      </c>
      <c r="AP95" s="125">
        <f t="shared" si="473"/>
        <v>1033068.88</v>
      </c>
      <c r="AQ95" s="326">
        <f t="shared" si="576"/>
        <v>21466.800000000047</v>
      </c>
      <c r="AR95" s="326">
        <f t="shared" si="577"/>
        <v>879614.96</v>
      </c>
      <c r="AS95" s="123">
        <f t="shared" si="578"/>
        <v>901081.76</v>
      </c>
      <c r="AT95" s="332">
        <f t="shared" si="474"/>
        <v>1331384.21</v>
      </c>
      <c r="AU95" s="140">
        <f t="shared" si="579"/>
        <v>0</v>
      </c>
      <c r="AV95" s="326">
        <f t="shared" si="580"/>
        <v>701062.8</v>
      </c>
      <c r="AW95" s="333">
        <f t="shared" si="581"/>
        <v>701062.8</v>
      </c>
      <c r="AX95" s="123">
        <f t="shared" si="475"/>
        <v>429344.27</v>
      </c>
      <c r="AY95" s="123">
        <f t="shared" si="582"/>
        <v>9946.5</v>
      </c>
      <c r="AZ95" s="123">
        <f t="shared" si="583"/>
        <v>1826625.76</v>
      </c>
      <c r="BA95" s="125">
        <f t="shared" si="584"/>
        <v>1836572.26</v>
      </c>
      <c r="BB95" s="1175">
        <f t="shared" ref="BB95:BD95" si="607">SUM(AQ95,AU95,AY95)</f>
        <v>31413.300000000047</v>
      </c>
      <c r="BC95" s="326">
        <f t="shared" si="607"/>
        <v>3407303.52</v>
      </c>
      <c r="BD95" s="333">
        <f t="shared" si="607"/>
        <v>3438716.8200000003</v>
      </c>
      <c r="BE95" s="100">
        <f t="shared" si="586"/>
        <v>109076.70999999996</v>
      </c>
      <c r="BF95" s="116">
        <f t="shared" ref="BF95:BG95" si="608">BC95+AL95</f>
        <v>7894573.6199999992</v>
      </c>
      <c r="BG95" s="119">
        <f t="shared" si="608"/>
        <v>8003650.3300000001</v>
      </c>
      <c r="BH95" s="125">
        <f t="shared" si="478"/>
        <v>1844127.39</v>
      </c>
      <c r="BI95" s="1041">
        <f t="shared" si="588"/>
        <v>0</v>
      </c>
      <c r="BJ95" s="326">
        <f t="shared" si="589"/>
        <v>2859898.48</v>
      </c>
      <c r="BK95" s="1045">
        <f t="shared" si="590"/>
        <v>2859898.48</v>
      </c>
      <c r="BL95" s="125">
        <f t="shared" si="479"/>
        <v>1156505.68</v>
      </c>
      <c r="BM95" s="140">
        <f t="shared" si="591"/>
        <v>13135.540000000037</v>
      </c>
      <c r="BN95" s="123">
        <f t="shared" si="592"/>
        <v>642267.02</v>
      </c>
      <c r="BO95" s="148">
        <f t="shared" si="593"/>
        <v>655402.56000000006</v>
      </c>
      <c r="BP95" s="123">
        <f t="shared" si="480"/>
        <v>1022621.72</v>
      </c>
      <c r="BQ95" s="123">
        <f t="shared" si="594"/>
        <v>71663.549999999814</v>
      </c>
      <c r="BR95" s="123">
        <f t="shared" si="595"/>
        <v>2334172.48</v>
      </c>
      <c r="BS95" s="125">
        <f t="shared" si="596"/>
        <v>2405836.0299999998</v>
      </c>
      <c r="BT95" s="140">
        <f t="shared" ref="BT95:BV95" si="609">SUM(BQ95,BM95,BI95)</f>
        <v>84799.089999999851</v>
      </c>
      <c r="BU95" s="123">
        <f t="shared" si="609"/>
        <v>5836337.9800000004</v>
      </c>
      <c r="BV95" s="148">
        <f t="shared" si="609"/>
        <v>5921137.0700000003</v>
      </c>
      <c r="BW95" s="125">
        <f t="shared" si="482"/>
        <v>867102.88</v>
      </c>
      <c r="BX95" s="140">
        <f t="shared" ref="BX95:BX160" si="610">BZ95-BY95</f>
        <v>147170.08999999985</v>
      </c>
      <c r="BY95" s="123">
        <f t="shared" ref="BY95:BY126" si="611">IFERROR(VLOOKUP(M95,MARUCAALIM,12,FALSE),"")</f>
        <v>2243520.25</v>
      </c>
      <c r="BZ95" s="148">
        <f t="shared" ref="BZ95:BZ126" si="612">IFERROR(VLOOKUP(M95,MARUFC,12,FALSE),"")</f>
        <v>2390690.34</v>
      </c>
      <c r="CA95" s="123">
        <f t="shared" si="483"/>
        <v>1199779.76</v>
      </c>
      <c r="CB95" s="326">
        <f t="shared" si="484"/>
        <v>1206268.8</v>
      </c>
      <c r="CP95" s="294"/>
      <c r="CU95" s="294"/>
    </row>
    <row r="96" spans="1:99" ht="13">
      <c r="A96" s="566" t="e">
        <f t="shared" si="602"/>
        <v>#N/A</v>
      </c>
      <c r="B96" s="636">
        <f t="shared" si="560"/>
        <v>4</v>
      </c>
      <c r="C96" s="558" t="str">
        <f t="shared" ref="C96:C127" si="613">IFERROR(VLOOKUP(B96,DES,2,FALSE),"")</f>
        <v>Lista</v>
      </c>
      <c r="D96" s="558">
        <f t="shared" ref="D96:D127" si="614">IFERROR(VLOOKUP(B96,DES,3,FALSE),"")</f>
        <v>0.2</v>
      </c>
      <c r="E96" s="559">
        <f t="shared" ref="E96:E127" si="615">IFERROR(VLOOKUP(B96,DES,4,FALSE),"")</f>
        <v>0</v>
      </c>
      <c r="F96" s="836">
        <f t="shared" si="561"/>
        <v>4</v>
      </c>
      <c r="G96" s="558" t="str">
        <f t="shared" si="562"/>
        <v>Lista</v>
      </c>
      <c r="H96" s="558">
        <f t="shared" si="563"/>
        <v>0.2</v>
      </c>
      <c r="I96" s="559">
        <f t="shared" si="564"/>
        <v>0</v>
      </c>
      <c r="J96" s="1214">
        <f t="shared" si="603"/>
        <v>70</v>
      </c>
      <c r="K96" s="558" t="str">
        <f t="shared" si="604"/>
        <v>Lista</v>
      </c>
      <c r="L96" s="715">
        <f t="shared" si="605"/>
        <v>0.11</v>
      </c>
      <c r="M96" s="1173" t="s">
        <v>1189</v>
      </c>
      <c r="N96" s="1174" t="str">
        <f t="shared" si="465"/>
        <v/>
      </c>
      <c r="O96" s="332" t="e">
        <f t="shared" si="466"/>
        <v>#VALUE!</v>
      </c>
      <c r="P96" s="173">
        <f t="shared" si="565"/>
        <v>0</v>
      </c>
      <c r="Q96" s="561">
        <f t="shared" si="558"/>
        <v>0</v>
      </c>
      <c r="R96" s="1112">
        <f t="shared" si="559"/>
        <v>0</v>
      </c>
      <c r="S96" s="123"/>
      <c r="T96" s="326"/>
      <c r="U96" s="326" t="str">
        <f t="shared" si="467"/>
        <v/>
      </c>
      <c r="V96" s="332" t="e">
        <f t="shared" si="468"/>
        <v>#VALUE!</v>
      </c>
      <c r="W96" s="173">
        <f t="shared" si="566"/>
        <v>0</v>
      </c>
      <c r="X96" s="561">
        <f t="shared" si="567"/>
        <v>0</v>
      </c>
      <c r="Y96" s="1112">
        <f t="shared" si="568"/>
        <v>0</v>
      </c>
      <c r="Z96" s="123"/>
      <c r="AA96" s="326"/>
      <c r="AB96" s="326" t="str">
        <f t="shared" si="469"/>
        <v/>
      </c>
      <c r="AC96" s="332" t="e">
        <f t="shared" si="470"/>
        <v>#VALUE!</v>
      </c>
      <c r="AD96" s="173">
        <f t="shared" si="569"/>
        <v>0</v>
      </c>
      <c r="AE96" s="561">
        <f t="shared" si="570"/>
        <v>0</v>
      </c>
      <c r="AF96" s="1112">
        <f t="shared" si="571"/>
        <v>0</v>
      </c>
      <c r="AG96" s="123"/>
      <c r="AH96" s="326"/>
      <c r="AI96" s="332" t="e">
        <f t="shared" si="471"/>
        <v>#VALUE!</v>
      </c>
      <c r="AJ96" s="140" t="str">
        <f t="shared" si="572"/>
        <v>0</v>
      </c>
      <c r="AK96" s="326">
        <f t="shared" ref="AK96:AM96" si="616">AD96+W96+P96</f>
        <v>0</v>
      </c>
      <c r="AL96" s="326">
        <f t="shared" si="616"/>
        <v>0</v>
      </c>
      <c r="AM96" s="326">
        <f t="shared" si="616"/>
        <v>0</v>
      </c>
      <c r="AN96" s="326">
        <f t="shared" si="574"/>
        <v>0</v>
      </c>
      <c r="AO96" s="98" t="str">
        <f t="shared" si="575"/>
        <v/>
      </c>
      <c r="AP96" s="125" t="str">
        <f t="shared" si="473"/>
        <v/>
      </c>
      <c r="AQ96" s="326">
        <f t="shared" si="576"/>
        <v>0</v>
      </c>
      <c r="AR96" s="326">
        <f t="shared" si="577"/>
        <v>0</v>
      </c>
      <c r="AS96" s="123">
        <f t="shared" si="578"/>
        <v>0</v>
      </c>
      <c r="AT96" s="332" t="str">
        <f t="shared" si="474"/>
        <v/>
      </c>
      <c r="AU96" s="140">
        <f t="shared" si="579"/>
        <v>0</v>
      </c>
      <c r="AV96" s="326">
        <f t="shared" si="580"/>
        <v>0</v>
      </c>
      <c r="AW96" s="333">
        <f t="shared" si="581"/>
        <v>0</v>
      </c>
      <c r="AX96" s="123" t="str">
        <f t="shared" si="475"/>
        <v/>
      </c>
      <c r="AY96" s="123">
        <f t="shared" si="582"/>
        <v>0</v>
      </c>
      <c r="AZ96" s="123">
        <f t="shared" si="583"/>
        <v>439863.52</v>
      </c>
      <c r="BA96" s="125">
        <f t="shared" si="584"/>
        <v>439863.52</v>
      </c>
      <c r="BB96" s="1175">
        <f t="shared" ref="BB96:BD96" si="617">SUM(AQ96,AU96,AY96)</f>
        <v>0</v>
      </c>
      <c r="BC96" s="326">
        <f t="shared" si="617"/>
        <v>439863.52</v>
      </c>
      <c r="BD96" s="333">
        <f t="shared" si="617"/>
        <v>439863.52</v>
      </c>
      <c r="BE96" s="100">
        <f t="shared" si="586"/>
        <v>0</v>
      </c>
      <c r="BF96" s="116">
        <f t="shared" ref="BF96:BG96" si="618">BC96+AL96</f>
        <v>439863.52</v>
      </c>
      <c r="BG96" s="119">
        <f t="shared" si="618"/>
        <v>439863.52</v>
      </c>
      <c r="BH96" s="125" t="str">
        <f t="shared" si="478"/>
        <v/>
      </c>
      <c r="BI96" s="1041">
        <f t="shared" si="588"/>
        <v>0</v>
      </c>
      <c r="BJ96" s="326">
        <f t="shared" si="589"/>
        <v>289132</v>
      </c>
      <c r="BK96" s="1045">
        <f t="shared" si="590"/>
        <v>289132</v>
      </c>
      <c r="BL96" s="125" t="str">
        <f t="shared" si="479"/>
        <v/>
      </c>
      <c r="BM96" s="140">
        <f t="shared" si="591"/>
        <v>0</v>
      </c>
      <c r="BN96" s="123">
        <f t="shared" si="592"/>
        <v>0</v>
      </c>
      <c r="BO96" s="148">
        <f t="shared" si="593"/>
        <v>0</v>
      </c>
      <c r="BP96" s="123" t="str">
        <f t="shared" si="480"/>
        <v/>
      </c>
      <c r="BQ96" s="123">
        <f t="shared" si="594"/>
        <v>0</v>
      </c>
      <c r="BR96" s="123">
        <f t="shared" si="595"/>
        <v>498550.24</v>
      </c>
      <c r="BS96" s="125">
        <f t="shared" si="596"/>
        <v>498550.24</v>
      </c>
      <c r="BT96" s="140">
        <f t="shared" ref="BT96:BV96" si="619">SUM(BQ96,BM96,BI96)</f>
        <v>0</v>
      </c>
      <c r="BU96" s="123">
        <f t="shared" si="619"/>
        <v>787682.24</v>
      </c>
      <c r="BV96" s="148">
        <f t="shared" si="619"/>
        <v>787682.24</v>
      </c>
      <c r="BW96" s="125" t="str">
        <f t="shared" si="482"/>
        <v/>
      </c>
      <c r="BX96" s="140">
        <f t="shared" si="610"/>
        <v>0</v>
      </c>
      <c r="BY96" s="123">
        <f t="shared" si="611"/>
        <v>68803.92</v>
      </c>
      <c r="BZ96" s="148">
        <f t="shared" si="612"/>
        <v>68803.92</v>
      </c>
      <c r="CA96" s="123" t="str">
        <f t="shared" si="483"/>
        <v/>
      </c>
      <c r="CB96" s="326" t="str">
        <f t="shared" si="484"/>
        <v/>
      </c>
      <c r="CP96" s="294"/>
      <c r="CU96" s="294"/>
    </row>
    <row r="97" spans="1:99" ht="13">
      <c r="A97" s="566" t="e">
        <f t="shared" si="602"/>
        <v>#N/A</v>
      </c>
      <c r="B97" s="636">
        <f t="shared" si="560"/>
        <v>4</v>
      </c>
      <c r="C97" s="558" t="str">
        <f t="shared" si="613"/>
        <v>Lista</v>
      </c>
      <c r="D97" s="558">
        <f t="shared" si="614"/>
        <v>0.2</v>
      </c>
      <c r="E97" s="559">
        <f t="shared" si="615"/>
        <v>0</v>
      </c>
      <c r="F97" s="836">
        <f t="shared" si="561"/>
        <v>4</v>
      </c>
      <c r="G97" s="558" t="str">
        <f t="shared" si="562"/>
        <v>Lista</v>
      </c>
      <c r="H97" s="558">
        <f t="shared" si="563"/>
        <v>0.2</v>
      </c>
      <c r="I97" s="559">
        <f t="shared" si="564"/>
        <v>0</v>
      </c>
      <c r="J97" s="1214">
        <f t="shared" si="603"/>
        <v>70</v>
      </c>
      <c r="K97" s="558" t="str">
        <f t="shared" si="604"/>
        <v>Lista</v>
      </c>
      <c r="L97" s="715">
        <f t="shared" si="605"/>
        <v>0.11</v>
      </c>
      <c r="M97" s="1173" t="s">
        <v>1190</v>
      </c>
      <c r="N97" s="1174">
        <f t="shared" si="465"/>
        <v>0</v>
      </c>
      <c r="O97" s="332">
        <f t="shared" si="466"/>
        <v>0</v>
      </c>
      <c r="P97" s="173">
        <f t="shared" si="565"/>
        <v>0</v>
      </c>
      <c r="Q97" s="561">
        <f t="shared" si="558"/>
        <v>0</v>
      </c>
      <c r="R97" s="1112">
        <f t="shared" si="559"/>
        <v>0</v>
      </c>
      <c r="S97" s="123"/>
      <c r="T97" s="326"/>
      <c r="U97" s="326">
        <f t="shared" si="467"/>
        <v>157059.6</v>
      </c>
      <c r="V97" s="332">
        <f t="shared" si="468"/>
        <v>278974.75860599999</v>
      </c>
      <c r="W97" s="173">
        <f t="shared" si="566"/>
        <v>0</v>
      </c>
      <c r="X97" s="561">
        <f t="shared" si="567"/>
        <v>176062</v>
      </c>
      <c r="Y97" s="1112">
        <f t="shared" si="568"/>
        <v>176062</v>
      </c>
      <c r="Z97" s="123"/>
      <c r="AA97" s="326"/>
      <c r="AB97" s="326">
        <f t="shared" si="469"/>
        <v>177425.2</v>
      </c>
      <c r="AC97" s="332">
        <f t="shared" si="470"/>
        <v>291574.36379799998</v>
      </c>
      <c r="AD97" s="173">
        <f t="shared" si="569"/>
        <v>0</v>
      </c>
      <c r="AE97" s="561">
        <f t="shared" si="570"/>
        <v>0</v>
      </c>
      <c r="AF97" s="1112">
        <f t="shared" si="571"/>
        <v>0</v>
      </c>
      <c r="AG97" s="123"/>
      <c r="AH97" s="326"/>
      <c r="AI97" s="332">
        <f t="shared" si="471"/>
        <v>570549.12240400002</v>
      </c>
      <c r="AJ97" s="140">
        <f t="shared" si="572"/>
        <v>129219.84</v>
      </c>
      <c r="AK97" s="326">
        <f t="shared" ref="AK97:AM97" si="620">AD97+W97+P97</f>
        <v>0</v>
      </c>
      <c r="AL97" s="326">
        <f t="shared" si="620"/>
        <v>176062</v>
      </c>
      <c r="AM97" s="326">
        <f t="shared" si="620"/>
        <v>176062</v>
      </c>
      <c r="AN97" s="326">
        <f t="shared" si="574"/>
        <v>46842.16</v>
      </c>
      <c r="AO97" s="98">
        <f t="shared" si="575"/>
        <v>1.3624997523600091</v>
      </c>
      <c r="AP97" s="125">
        <f t="shared" si="473"/>
        <v>177425.2</v>
      </c>
      <c r="AQ97" s="326">
        <f t="shared" si="576"/>
        <v>17092.05</v>
      </c>
      <c r="AR97" s="326">
        <f t="shared" si="577"/>
        <v>0</v>
      </c>
      <c r="AS97" s="123">
        <f t="shared" si="578"/>
        <v>17092.05</v>
      </c>
      <c r="AT97" s="332">
        <f t="shared" si="474"/>
        <v>0</v>
      </c>
      <c r="AU97" s="140">
        <f t="shared" si="579"/>
        <v>4960.3399999999965</v>
      </c>
      <c r="AV97" s="326">
        <f t="shared" si="580"/>
        <v>156765.44</v>
      </c>
      <c r="AW97" s="333">
        <f t="shared" si="581"/>
        <v>161725.78</v>
      </c>
      <c r="AX97" s="123">
        <f t="shared" si="475"/>
        <v>0</v>
      </c>
      <c r="AY97" s="123">
        <f t="shared" si="582"/>
        <v>0</v>
      </c>
      <c r="AZ97" s="123">
        <f t="shared" si="583"/>
        <v>0</v>
      </c>
      <c r="BA97" s="125">
        <f t="shared" si="584"/>
        <v>0</v>
      </c>
      <c r="BB97" s="1175">
        <f t="shared" ref="BB97:BD97" si="621">SUM(AQ97,AU97,AY97)</f>
        <v>22052.389999999996</v>
      </c>
      <c r="BC97" s="326">
        <f t="shared" si="621"/>
        <v>156765.44</v>
      </c>
      <c r="BD97" s="333">
        <f t="shared" si="621"/>
        <v>178817.83</v>
      </c>
      <c r="BE97" s="100">
        <f t="shared" si="586"/>
        <v>22052.389999999996</v>
      </c>
      <c r="BF97" s="116">
        <f t="shared" ref="BF97:BG97" si="622">BC97+AL97</f>
        <v>332827.44</v>
      </c>
      <c r="BG97" s="119">
        <f t="shared" si="622"/>
        <v>354879.82999999996</v>
      </c>
      <c r="BH97" s="125">
        <f t="shared" si="478"/>
        <v>119648</v>
      </c>
      <c r="BI97" s="1041">
        <f t="shared" si="588"/>
        <v>0</v>
      </c>
      <c r="BJ97" s="326">
        <f t="shared" si="589"/>
        <v>0</v>
      </c>
      <c r="BK97" s="1045">
        <f t="shared" si="590"/>
        <v>0</v>
      </c>
      <c r="BL97" s="125">
        <f t="shared" si="479"/>
        <v>44189.32</v>
      </c>
      <c r="BM97" s="140">
        <f t="shared" si="591"/>
        <v>0</v>
      </c>
      <c r="BN97" s="123">
        <f t="shared" si="592"/>
        <v>0</v>
      </c>
      <c r="BO97" s="148">
        <f t="shared" si="593"/>
        <v>0</v>
      </c>
      <c r="BP97" s="123">
        <f t="shared" si="480"/>
        <v>0</v>
      </c>
      <c r="BQ97" s="123">
        <f t="shared" si="594"/>
        <v>0</v>
      </c>
      <c r="BR97" s="123">
        <f t="shared" si="595"/>
        <v>0</v>
      </c>
      <c r="BS97" s="125">
        <f t="shared" si="596"/>
        <v>0</v>
      </c>
      <c r="BT97" s="140">
        <f t="shared" ref="BT97:BV97" si="623">SUM(BQ97,BM97,BI97)</f>
        <v>0</v>
      </c>
      <c r="BU97" s="123">
        <f t="shared" si="623"/>
        <v>0</v>
      </c>
      <c r="BV97" s="148">
        <f t="shared" si="623"/>
        <v>0</v>
      </c>
      <c r="BW97" s="125">
        <f t="shared" si="482"/>
        <v>129219.84</v>
      </c>
      <c r="BX97" s="140">
        <f t="shared" si="610"/>
        <v>0</v>
      </c>
      <c r="BY97" s="123">
        <f t="shared" si="611"/>
        <v>0</v>
      </c>
      <c r="BZ97" s="148">
        <f t="shared" si="612"/>
        <v>0</v>
      </c>
      <c r="CA97" s="123">
        <f t="shared" si="483"/>
        <v>0</v>
      </c>
      <c r="CB97" s="326">
        <f t="shared" si="484"/>
        <v>0</v>
      </c>
      <c r="CP97" s="294"/>
      <c r="CU97" s="294"/>
    </row>
    <row r="98" spans="1:99" ht="13">
      <c r="A98" s="566" t="e">
        <f t="shared" si="602"/>
        <v>#N/A</v>
      </c>
      <c r="B98" s="636">
        <f t="shared" si="560"/>
        <v>4</v>
      </c>
      <c r="C98" s="558" t="str">
        <f t="shared" si="613"/>
        <v>Lista</v>
      </c>
      <c r="D98" s="558">
        <f t="shared" si="614"/>
        <v>0.2</v>
      </c>
      <c r="E98" s="559">
        <f t="shared" si="615"/>
        <v>0</v>
      </c>
      <c r="F98" s="836">
        <f t="shared" si="561"/>
        <v>4</v>
      </c>
      <c r="G98" s="558" t="str">
        <f t="shared" si="562"/>
        <v>Lista</v>
      </c>
      <c r="H98" s="558">
        <f t="shared" si="563"/>
        <v>0.2</v>
      </c>
      <c r="I98" s="559">
        <f t="shared" si="564"/>
        <v>0</v>
      </c>
      <c r="J98" s="1214">
        <f t="shared" si="603"/>
        <v>70</v>
      </c>
      <c r="K98" s="558" t="str">
        <f t="shared" si="604"/>
        <v>Lista</v>
      </c>
      <c r="L98" s="715">
        <f t="shared" si="605"/>
        <v>0.11</v>
      </c>
      <c r="M98" s="1192" t="s">
        <v>1191</v>
      </c>
      <c r="N98" s="1174"/>
      <c r="O98" s="332"/>
      <c r="P98" s="173" t="e">
        <f t="shared" si="565"/>
        <v>#VALUE!</v>
      </c>
      <c r="Q98" s="561" t="str">
        <f t="shared" si="558"/>
        <v/>
      </c>
      <c r="R98" s="1112" t="str">
        <f t="shared" si="559"/>
        <v/>
      </c>
      <c r="S98" s="123"/>
      <c r="T98" s="326"/>
      <c r="U98" s="326" t="str">
        <f t="shared" si="467"/>
        <v/>
      </c>
      <c r="V98" s="332" t="e">
        <f t="shared" si="468"/>
        <v>#VALUE!</v>
      </c>
      <c r="W98" s="173" t="e">
        <f t="shared" si="566"/>
        <v>#VALUE!</v>
      </c>
      <c r="X98" s="561" t="str">
        <f t="shared" si="567"/>
        <v/>
      </c>
      <c r="Y98" s="1112" t="str">
        <f t="shared" si="568"/>
        <v/>
      </c>
      <c r="Z98" s="123"/>
      <c r="AA98" s="326"/>
      <c r="AB98" s="326" t="str">
        <f t="shared" si="469"/>
        <v/>
      </c>
      <c r="AC98" s="332" t="e">
        <f t="shared" si="470"/>
        <v>#VALUE!</v>
      </c>
      <c r="AD98" s="173" t="e">
        <f t="shared" si="569"/>
        <v>#VALUE!</v>
      </c>
      <c r="AE98" s="561" t="str">
        <f t="shared" si="570"/>
        <v/>
      </c>
      <c r="AF98" s="1112" t="str">
        <f t="shared" si="571"/>
        <v/>
      </c>
      <c r="AG98" s="123"/>
      <c r="AH98" s="326"/>
      <c r="AI98" s="332" t="e">
        <f t="shared" si="471"/>
        <v>#VALUE!</v>
      </c>
      <c r="AJ98" s="140" t="str">
        <f t="shared" si="572"/>
        <v>0</v>
      </c>
      <c r="AK98" s="326" t="e">
        <f t="shared" ref="AK98:AM98" si="624">AD98+W98+P98</f>
        <v>#VALUE!</v>
      </c>
      <c r="AL98" s="326" t="e">
        <f t="shared" si="624"/>
        <v>#VALUE!</v>
      </c>
      <c r="AM98" s="326" t="e">
        <f t="shared" si="624"/>
        <v>#VALUE!</v>
      </c>
      <c r="AN98" s="326" t="e">
        <f t="shared" si="574"/>
        <v>#VALUE!</v>
      </c>
      <c r="AO98" s="98" t="str">
        <f t="shared" si="575"/>
        <v/>
      </c>
      <c r="AP98" s="125" t="str">
        <f t="shared" si="473"/>
        <v/>
      </c>
      <c r="AQ98" s="326" t="e">
        <f t="shared" si="576"/>
        <v>#VALUE!</v>
      </c>
      <c r="AR98" s="326" t="str">
        <f t="shared" si="577"/>
        <v/>
      </c>
      <c r="AS98" s="123" t="str">
        <f t="shared" si="578"/>
        <v/>
      </c>
      <c r="AT98" s="332" t="str">
        <f t="shared" si="474"/>
        <v/>
      </c>
      <c r="AU98" s="140" t="e">
        <f t="shared" si="579"/>
        <v>#VALUE!</v>
      </c>
      <c r="AV98" s="326" t="str">
        <f t="shared" si="580"/>
        <v/>
      </c>
      <c r="AW98" s="333" t="str">
        <f t="shared" si="581"/>
        <v/>
      </c>
      <c r="AX98" s="123" t="str">
        <f t="shared" si="475"/>
        <v/>
      </c>
      <c r="AY98" s="123" t="e">
        <f t="shared" si="582"/>
        <v>#VALUE!</v>
      </c>
      <c r="AZ98" s="123" t="str">
        <f t="shared" si="583"/>
        <v/>
      </c>
      <c r="BA98" s="125" t="str">
        <f t="shared" si="584"/>
        <v/>
      </c>
      <c r="BB98" s="1175" t="e">
        <f t="shared" ref="BB98:BD98" si="625">SUM(AQ98,AU98,AY98)</f>
        <v>#VALUE!</v>
      </c>
      <c r="BC98" s="326">
        <f t="shared" si="625"/>
        <v>0</v>
      </c>
      <c r="BD98" s="333">
        <f t="shared" si="625"/>
        <v>0</v>
      </c>
      <c r="BE98" s="100" t="e">
        <f t="shared" si="586"/>
        <v>#VALUE!</v>
      </c>
      <c r="BF98" s="116" t="e">
        <f t="shared" ref="BF98:BG98" si="626">BC98+AL98</f>
        <v>#VALUE!</v>
      </c>
      <c r="BG98" s="119" t="e">
        <f t="shared" si="626"/>
        <v>#VALUE!</v>
      </c>
      <c r="BH98" s="125" t="str">
        <f t="shared" si="478"/>
        <v/>
      </c>
      <c r="BI98" s="1041" t="e">
        <f t="shared" si="588"/>
        <v>#VALUE!</v>
      </c>
      <c r="BJ98" s="326" t="str">
        <f t="shared" si="589"/>
        <v/>
      </c>
      <c r="BK98" s="1045" t="str">
        <f t="shared" si="590"/>
        <v/>
      </c>
      <c r="BL98" s="125" t="str">
        <f t="shared" si="479"/>
        <v/>
      </c>
      <c r="BM98" s="140" t="e">
        <f t="shared" si="591"/>
        <v>#VALUE!</v>
      </c>
      <c r="BN98" s="123" t="str">
        <f t="shared" si="592"/>
        <v/>
      </c>
      <c r="BO98" s="148" t="str">
        <f t="shared" si="593"/>
        <v/>
      </c>
      <c r="BP98" s="123" t="str">
        <f t="shared" si="480"/>
        <v/>
      </c>
      <c r="BQ98" s="123" t="e">
        <f t="shared" si="594"/>
        <v>#VALUE!</v>
      </c>
      <c r="BR98" s="123" t="str">
        <f t="shared" si="595"/>
        <v/>
      </c>
      <c r="BS98" s="125" t="str">
        <f t="shared" si="596"/>
        <v/>
      </c>
      <c r="BT98" s="140" t="e">
        <f t="shared" ref="BT98:BV98" si="627">SUM(BQ98,BM98,BI98)</f>
        <v>#VALUE!</v>
      </c>
      <c r="BU98" s="123">
        <f t="shared" si="627"/>
        <v>0</v>
      </c>
      <c r="BV98" s="148">
        <f t="shared" si="627"/>
        <v>0</v>
      </c>
      <c r="BW98" s="125" t="str">
        <f t="shared" si="482"/>
        <v/>
      </c>
      <c r="BX98" s="140" t="e">
        <f t="shared" si="610"/>
        <v>#VALUE!</v>
      </c>
      <c r="BY98" s="123" t="str">
        <f t="shared" si="611"/>
        <v/>
      </c>
      <c r="BZ98" s="148" t="str">
        <f t="shared" si="612"/>
        <v/>
      </c>
      <c r="CA98" s="123" t="str">
        <f t="shared" si="483"/>
        <v/>
      </c>
      <c r="CB98" s="326" t="str">
        <f t="shared" si="484"/>
        <v/>
      </c>
      <c r="CP98" s="294"/>
      <c r="CU98" s="294"/>
    </row>
    <row r="99" spans="1:99" ht="13">
      <c r="A99" s="566" t="e">
        <f t="shared" si="602"/>
        <v>#N/A</v>
      </c>
      <c r="B99" s="636">
        <f t="shared" si="560"/>
        <v>1</v>
      </c>
      <c r="C99" s="558" t="str">
        <f t="shared" si="613"/>
        <v>Lista</v>
      </c>
      <c r="D99" s="558">
        <f t="shared" si="614"/>
        <v>0.09</v>
      </c>
      <c r="E99" s="559">
        <f t="shared" si="615"/>
        <v>0</v>
      </c>
      <c r="F99" s="836">
        <f t="shared" si="561"/>
        <v>1</v>
      </c>
      <c r="G99" s="558" t="str">
        <f t="shared" si="562"/>
        <v>Lista</v>
      </c>
      <c r="H99" s="558">
        <f t="shared" si="563"/>
        <v>0.09</v>
      </c>
      <c r="I99" s="559">
        <f t="shared" si="564"/>
        <v>0</v>
      </c>
      <c r="J99" s="1214">
        <f t="shared" si="603"/>
        <v>71</v>
      </c>
      <c r="K99" s="558" t="str">
        <f t="shared" si="604"/>
        <v>Lista</v>
      </c>
      <c r="L99" s="715">
        <f t="shared" si="605"/>
        <v>0.05</v>
      </c>
      <c r="M99" s="1192" t="s">
        <v>1192</v>
      </c>
      <c r="N99" s="1174"/>
      <c r="O99" s="332"/>
      <c r="P99" s="173" t="e">
        <f t="shared" si="565"/>
        <v>#VALUE!</v>
      </c>
      <c r="Q99" s="561" t="str">
        <f t="shared" si="558"/>
        <v/>
      </c>
      <c r="R99" s="1112">
        <f t="shared" si="559"/>
        <v>0</v>
      </c>
      <c r="S99" s="123"/>
      <c r="T99" s="326"/>
      <c r="U99" s="326" t="str">
        <f t="shared" si="467"/>
        <v/>
      </c>
      <c r="V99" s="332" t="e">
        <f t="shared" si="468"/>
        <v>#VALUE!</v>
      </c>
      <c r="W99" s="173" t="e">
        <f t="shared" si="566"/>
        <v>#VALUE!</v>
      </c>
      <c r="X99" s="561" t="str">
        <f t="shared" si="567"/>
        <v/>
      </c>
      <c r="Y99" s="1112">
        <f t="shared" si="568"/>
        <v>0</v>
      </c>
      <c r="Z99" s="123"/>
      <c r="AA99" s="326"/>
      <c r="AB99" s="326" t="str">
        <f t="shared" si="469"/>
        <v/>
      </c>
      <c r="AC99" s="332" t="e">
        <f t="shared" si="470"/>
        <v>#VALUE!</v>
      </c>
      <c r="AD99" s="173" t="e">
        <f t="shared" si="569"/>
        <v>#VALUE!</v>
      </c>
      <c r="AE99" s="561" t="str">
        <f t="shared" si="570"/>
        <v/>
      </c>
      <c r="AF99" s="1112">
        <f t="shared" si="571"/>
        <v>0</v>
      </c>
      <c r="AG99" s="123"/>
      <c r="AH99" s="326"/>
      <c r="AI99" s="332" t="e">
        <f t="shared" si="471"/>
        <v>#VALUE!</v>
      </c>
      <c r="AJ99" s="140" t="str">
        <f t="shared" si="572"/>
        <v>0</v>
      </c>
      <c r="AK99" s="326" t="e">
        <f t="shared" ref="AK99:AM99" si="628">AD99+W99+P99</f>
        <v>#VALUE!</v>
      </c>
      <c r="AL99" s="326" t="e">
        <f t="shared" si="628"/>
        <v>#VALUE!</v>
      </c>
      <c r="AM99" s="326">
        <f t="shared" si="628"/>
        <v>0</v>
      </c>
      <c r="AN99" s="326">
        <f t="shared" si="574"/>
        <v>0</v>
      </c>
      <c r="AO99" s="98" t="str">
        <f t="shared" si="575"/>
        <v/>
      </c>
      <c r="AP99" s="125" t="str">
        <f t="shared" si="473"/>
        <v/>
      </c>
      <c r="AQ99" s="326" t="e">
        <f t="shared" si="576"/>
        <v>#VALUE!</v>
      </c>
      <c r="AR99" s="326" t="str">
        <f t="shared" si="577"/>
        <v/>
      </c>
      <c r="AS99" s="123">
        <f t="shared" si="578"/>
        <v>0</v>
      </c>
      <c r="AT99" s="332" t="str">
        <f t="shared" si="474"/>
        <v/>
      </c>
      <c r="AU99" s="140" t="e">
        <f t="shared" si="579"/>
        <v>#VALUE!</v>
      </c>
      <c r="AV99" s="326" t="str">
        <f t="shared" si="580"/>
        <v/>
      </c>
      <c r="AW99" s="333">
        <f t="shared" si="581"/>
        <v>0</v>
      </c>
      <c r="AX99" s="123" t="str">
        <f t="shared" si="475"/>
        <v/>
      </c>
      <c r="AY99" s="123" t="e">
        <f t="shared" si="582"/>
        <v>#VALUE!</v>
      </c>
      <c r="AZ99" s="123" t="str">
        <f t="shared" si="583"/>
        <v/>
      </c>
      <c r="BA99" s="125">
        <f t="shared" si="584"/>
        <v>0</v>
      </c>
      <c r="BB99" s="1175" t="e">
        <f t="shared" ref="BB99:BD99" si="629">SUM(AQ99,AU99,AY99)</f>
        <v>#VALUE!</v>
      </c>
      <c r="BC99" s="326">
        <f t="shared" si="629"/>
        <v>0</v>
      </c>
      <c r="BD99" s="333">
        <f t="shared" si="629"/>
        <v>0</v>
      </c>
      <c r="BE99" s="100" t="e">
        <f t="shared" si="586"/>
        <v>#VALUE!</v>
      </c>
      <c r="BF99" s="116" t="e">
        <f t="shared" ref="BF99:BG99" si="630">BC99+AL99</f>
        <v>#VALUE!</v>
      </c>
      <c r="BG99" s="119">
        <f t="shared" si="630"/>
        <v>0</v>
      </c>
      <c r="BH99" s="125" t="str">
        <f t="shared" si="478"/>
        <v/>
      </c>
      <c r="BI99" s="1041" t="e">
        <f t="shared" si="588"/>
        <v>#VALUE!</v>
      </c>
      <c r="BJ99" s="326" t="str">
        <f t="shared" si="589"/>
        <v/>
      </c>
      <c r="BK99" s="1045">
        <f t="shared" si="590"/>
        <v>17316.88</v>
      </c>
      <c r="BL99" s="125" t="str">
        <f t="shared" si="479"/>
        <v/>
      </c>
      <c r="BM99" s="140" t="e">
        <f t="shared" si="591"/>
        <v>#VALUE!</v>
      </c>
      <c r="BN99" s="123" t="str">
        <f t="shared" si="592"/>
        <v/>
      </c>
      <c r="BO99" s="148">
        <f t="shared" si="593"/>
        <v>0</v>
      </c>
      <c r="BP99" s="123" t="str">
        <f t="shared" si="480"/>
        <v/>
      </c>
      <c r="BQ99" s="123" t="e">
        <f t="shared" si="594"/>
        <v>#VALUE!</v>
      </c>
      <c r="BR99" s="123" t="str">
        <f t="shared" si="595"/>
        <v/>
      </c>
      <c r="BS99" s="125">
        <f t="shared" si="596"/>
        <v>0</v>
      </c>
      <c r="BT99" s="140" t="e">
        <f t="shared" ref="BT99:BV99" si="631">SUM(BQ99,BM99,BI99)</f>
        <v>#VALUE!</v>
      </c>
      <c r="BU99" s="123">
        <f t="shared" si="631"/>
        <v>0</v>
      </c>
      <c r="BV99" s="148">
        <f t="shared" si="631"/>
        <v>17316.88</v>
      </c>
      <c r="BW99" s="125" t="str">
        <f t="shared" si="482"/>
        <v/>
      </c>
      <c r="BX99" s="140" t="e">
        <f t="shared" si="610"/>
        <v>#VALUE!</v>
      </c>
      <c r="BY99" s="123" t="str">
        <f t="shared" si="611"/>
        <v/>
      </c>
      <c r="BZ99" s="148">
        <f t="shared" si="612"/>
        <v>0</v>
      </c>
      <c r="CA99" s="123" t="str">
        <f t="shared" si="483"/>
        <v/>
      </c>
      <c r="CB99" s="326" t="str">
        <f t="shared" si="484"/>
        <v/>
      </c>
      <c r="CP99" s="294"/>
      <c r="CU99" s="294"/>
    </row>
    <row r="100" spans="1:99" ht="13">
      <c r="A100" s="566" t="e">
        <f t="shared" si="602"/>
        <v>#N/A</v>
      </c>
      <c r="B100" s="636">
        <f t="shared" si="560"/>
        <v>1</v>
      </c>
      <c r="C100" s="558" t="str">
        <f t="shared" si="613"/>
        <v>Lista</v>
      </c>
      <c r="D100" s="558">
        <f t="shared" si="614"/>
        <v>0.09</v>
      </c>
      <c r="E100" s="559">
        <f t="shared" si="615"/>
        <v>0</v>
      </c>
      <c r="F100" s="836">
        <f t="shared" si="561"/>
        <v>1</v>
      </c>
      <c r="G100" s="558" t="str">
        <f t="shared" si="562"/>
        <v>Lista</v>
      </c>
      <c r="H100" s="558">
        <f t="shared" si="563"/>
        <v>0.09</v>
      </c>
      <c r="I100" s="559">
        <f t="shared" si="564"/>
        <v>0</v>
      </c>
      <c r="J100" s="1214">
        <f t="shared" si="603"/>
        <v>71</v>
      </c>
      <c r="K100" s="558" t="str">
        <f t="shared" si="604"/>
        <v>Lista</v>
      </c>
      <c r="L100" s="715">
        <f t="shared" si="605"/>
        <v>0.05</v>
      </c>
      <c r="M100" s="1192" t="s">
        <v>1193</v>
      </c>
      <c r="N100" s="1174"/>
      <c r="O100" s="332"/>
      <c r="P100" s="173" t="e">
        <f t="shared" si="565"/>
        <v>#VALUE!</v>
      </c>
      <c r="Q100" s="561" t="str">
        <f t="shared" si="558"/>
        <v/>
      </c>
      <c r="R100" s="1112">
        <f t="shared" si="559"/>
        <v>0</v>
      </c>
      <c r="S100" s="123"/>
      <c r="T100" s="326"/>
      <c r="U100" s="326" t="str">
        <f t="shared" si="467"/>
        <v/>
      </c>
      <c r="V100" s="332" t="e">
        <f t="shared" si="468"/>
        <v>#VALUE!</v>
      </c>
      <c r="W100" s="173" t="e">
        <f t="shared" si="566"/>
        <v>#VALUE!</v>
      </c>
      <c r="X100" s="561" t="str">
        <f t="shared" si="567"/>
        <v/>
      </c>
      <c r="Y100" s="1112">
        <f t="shared" si="568"/>
        <v>0</v>
      </c>
      <c r="Z100" s="123"/>
      <c r="AA100" s="326"/>
      <c r="AB100" s="326" t="str">
        <f t="shared" si="469"/>
        <v/>
      </c>
      <c r="AC100" s="332" t="e">
        <f t="shared" si="470"/>
        <v>#VALUE!</v>
      </c>
      <c r="AD100" s="173" t="e">
        <f t="shared" si="569"/>
        <v>#VALUE!</v>
      </c>
      <c r="AE100" s="561" t="str">
        <f t="shared" si="570"/>
        <v/>
      </c>
      <c r="AF100" s="1112">
        <f t="shared" si="571"/>
        <v>0</v>
      </c>
      <c r="AG100" s="123"/>
      <c r="AH100" s="326"/>
      <c r="AI100" s="332" t="e">
        <f t="shared" si="471"/>
        <v>#VALUE!</v>
      </c>
      <c r="AJ100" s="140" t="str">
        <f t="shared" si="572"/>
        <v>0</v>
      </c>
      <c r="AK100" s="326" t="e">
        <f t="shared" ref="AK100:AM100" si="632">AD100+W100+P100</f>
        <v>#VALUE!</v>
      </c>
      <c r="AL100" s="326" t="e">
        <f t="shared" si="632"/>
        <v>#VALUE!</v>
      </c>
      <c r="AM100" s="326">
        <f t="shared" si="632"/>
        <v>0</v>
      </c>
      <c r="AN100" s="326">
        <f t="shared" si="574"/>
        <v>0</v>
      </c>
      <c r="AO100" s="98" t="str">
        <f t="shared" si="575"/>
        <v/>
      </c>
      <c r="AP100" s="125" t="str">
        <f t="shared" si="473"/>
        <v/>
      </c>
      <c r="AQ100" s="326" t="e">
        <f t="shared" si="576"/>
        <v>#VALUE!</v>
      </c>
      <c r="AR100" s="326" t="str">
        <f t="shared" si="577"/>
        <v/>
      </c>
      <c r="AS100" s="123">
        <f t="shared" si="578"/>
        <v>0</v>
      </c>
      <c r="AT100" s="332" t="str">
        <f t="shared" si="474"/>
        <v/>
      </c>
      <c r="AU100" s="140" t="e">
        <f t="shared" si="579"/>
        <v>#VALUE!</v>
      </c>
      <c r="AV100" s="326" t="str">
        <f t="shared" si="580"/>
        <v/>
      </c>
      <c r="AW100" s="333">
        <f t="shared" si="581"/>
        <v>212877.47</v>
      </c>
      <c r="AX100" s="123" t="str">
        <f t="shared" si="475"/>
        <v/>
      </c>
      <c r="AY100" s="123" t="e">
        <f t="shared" si="582"/>
        <v>#VALUE!</v>
      </c>
      <c r="AZ100" s="123" t="str">
        <f t="shared" si="583"/>
        <v/>
      </c>
      <c r="BA100" s="125">
        <f t="shared" si="584"/>
        <v>0</v>
      </c>
      <c r="BB100" s="1175" t="e">
        <f t="shared" ref="BB100:BD100" si="633">SUM(AQ100,AU100,AY100)</f>
        <v>#VALUE!</v>
      </c>
      <c r="BC100" s="326">
        <f t="shared" si="633"/>
        <v>0</v>
      </c>
      <c r="BD100" s="333">
        <f t="shared" si="633"/>
        <v>212877.47</v>
      </c>
      <c r="BE100" s="100" t="e">
        <f t="shared" si="586"/>
        <v>#VALUE!</v>
      </c>
      <c r="BF100" s="116" t="e">
        <f t="shared" ref="BF100:BG100" si="634">BC100+AL100</f>
        <v>#VALUE!</v>
      </c>
      <c r="BG100" s="119">
        <f t="shared" si="634"/>
        <v>212877.47</v>
      </c>
      <c r="BH100" s="125" t="str">
        <f t="shared" si="478"/>
        <v/>
      </c>
      <c r="BI100" s="1041" t="e">
        <f t="shared" si="588"/>
        <v>#VALUE!</v>
      </c>
      <c r="BJ100" s="326" t="str">
        <f t="shared" si="589"/>
        <v/>
      </c>
      <c r="BK100" s="1045">
        <f t="shared" si="590"/>
        <v>0</v>
      </c>
      <c r="BL100" s="125" t="str">
        <f t="shared" si="479"/>
        <v/>
      </c>
      <c r="BM100" s="140" t="e">
        <f t="shared" si="591"/>
        <v>#VALUE!</v>
      </c>
      <c r="BN100" s="123" t="str">
        <f t="shared" si="592"/>
        <v/>
      </c>
      <c r="BO100" s="148">
        <f t="shared" si="593"/>
        <v>0</v>
      </c>
      <c r="BP100" s="123" t="str">
        <f t="shared" si="480"/>
        <v/>
      </c>
      <c r="BQ100" s="123" t="e">
        <f t="shared" si="594"/>
        <v>#VALUE!</v>
      </c>
      <c r="BR100" s="123" t="str">
        <f t="shared" si="595"/>
        <v/>
      </c>
      <c r="BS100" s="125">
        <f t="shared" si="596"/>
        <v>0</v>
      </c>
      <c r="BT100" s="140" t="e">
        <f t="shared" ref="BT100:BV100" si="635">SUM(BQ100,BM100,BI100)</f>
        <v>#VALUE!</v>
      </c>
      <c r="BU100" s="123">
        <f t="shared" si="635"/>
        <v>0</v>
      </c>
      <c r="BV100" s="148">
        <f t="shared" si="635"/>
        <v>0</v>
      </c>
      <c r="BW100" s="125" t="str">
        <f t="shared" si="482"/>
        <v/>
      </c>
      <c r="BX100" s="140" t="e">
        <f t="shared" si="610"/>
        <v>#VALUE!</v>
      </c>
      <c r="BY100" s="123" t="str">
        <f t="shared" si="611"/>
        <v/>
      </c>
      <c r="BZ100" s="148">
        <f t="shared" si="612"/>
        <v>0</v>
      </c>
      <c r="CA100" s="123" t="str">
        <f t="shared" si="483"/>
        <v/>
      </c>
      <c r="CB100" s="326" t="str">
        <f t="shared" si="484"/>
        <v/>
      </c>
      <c r="CP100" s="294"/>
      <c r="CU100" s="294"/>
    </row>
    <row r="101" spans="1:99" ht="13">
      <c r="A101" s="566" t="e">
        <f t="shared" si="602"/>
        <v>#N/A</v>
      </c>
      <c r="B101" s="636">
        <f t="shared" si="560"/>
        <v>1</v>
      </c>
      <c r="C101" s="558" t="str">
        <f t="shared" si="613"/>
        <v>Lista</v>
      </c>
      <c r="D101" s="558">
        <f t="shared" si="614"/>
        <v>0.09</v>
      </c>
      <c r="E101" s="559">
        <f t="shared" si="615"/>
        <v>0</v>
      </c>
      <c r="F101" s="836">
        <f t="shared" si="561"/>
        <v>1</v>
      </c>
      <c r="G101" s="558" t="str">
        <f t="shared" si="562"/>
        <v>Lista</v>
      </c>
      <c r="H101" s="558">
        <f t="shared" si="563"/>
        <v>0.09</v>
      </c>
      <c r="I101" s="559">
        <f t="shared" si="564"/>
        <v>0</v>
      </c>
      <c r="J101" s="1214">
        <f t="shared" si="603"/>
        <v>71</v>
      </c>
      <c r="K101" s="558" t="str">
        <f t="shared" si="604"/>
        <v>Lista</v>
      </c>
      <c r="L101" s="715">
        <f t="shared" si="605"/>
        <v>0.05</v>
      </c>
      <c r="M101" s="1173" t="s">
        <v>1194</v>
      </c>
      <c r="N101" s="1174">
        <f>IFERROR(VLOOKUP(M101,MARUCA24,3,FALSE),"")</f>
        <v>174731.11</v>
      </c>
      <c r="O101" s="332">
        <f>(N101*1.601)*1.05</f>
        <v>293731.73246549995</v>
      </c>
      <c r="P101" s="173" t="e">
        <f t="shared" si="565"/>
        <v>#VALUE!</v>
      </c>
      <c r="Q101" s="561" t="str">
        <f t="shared" si="558"/>
        <v/>
      </c>
      <c r="R101" s="1112">
        <f t="shared" si="559"/>
        <v>230999.66</v>
      </c>
      <c r="S101" s="123"/>
      <c r="T101" s="326"/>
      <c r="U101" s="326">
        <f t="shared" si="467"/>
        <v>182826.51</v>
      </c>
      <c r="V101" s="332">
        <f t="shared" si="468"/>
        <v>324742.84598985</v>
      </c>
      <c r="W101" s="173" t="e">
        <f t="shared" si="566"/>
        <v>#VALUE!</v>
      </c>
      <c r="X101" s="561" t="str">
        <f t="shared" si="567"/>
        <v/>
      </c>
      <c r="Y101" s="1112">
        <f t="shared" si="568"/>
        <v>0</v>
      </c>
      <c r="Z101" s="123"/>
      <c r="AA101" s="326"/>
      <c r="AB101" s="326">
        <f t="shared" si="469"/>
        <v>197789.56</v>
      </c>
      <c r="AC101" s="332">
        <f t="shared" si="470"/>
        <v>325040.44026940002</v>
      </c>
      <c r="AD101" s="173" t="e">
        <f t="shared" si="569"/>
        <v>#VALUE!</v>
      </c>
      <c r="AE101" s="561" t="str">
        <f t="shared" si="570"/>
        <v/>
      </c>
      <c r="AF101" s="1112">
        <f t="shared" si="571"/>
        <v>233765.68</v>
      </c>
      <c r="AG101" s="123"/>
      <c r="AH101" s="326"/>
      <c r="AI101" s="332">
        <f t="shared" si="471"/>
        <v>943515.01872474991</v>
      </c>
      <c r="AJ101" s="140">
        <f t="shared" si="572"/>
        <v>635761.31999999995</v>
      </c>
      <c r="AK101" s="326" t="e">
        <f t="shared" ref="AK101:AM101" si="636">AD101+W101+P101</f>
        <v>#VALUE!</v>
      </c>
      <c r="AL101" s="326" t="e">
        <f t="shared" si="636"/>
        <v>#VALUE!</v>
      </c>
      <c r="AM101" s="326">
        <f t="shared" si="636"/>
        <v>464765.33999999997</v>
      </c>
      <c r="AN101" s="326">
        <f t="shared" si="574"/>
        <v>-170995.97999999998</v>
      </c>
      <c r="AO101" s="98">
        <f t="shared" si="575"/>
        <v>0.73103745915212337</v>
      </c>
      <c r="AP101" s="125">
        <f t="shared" si="473"/>
        <v>172809.83</v>
      </c>
      <c r="AQ101" s="326" t="e">
        <f t="shared" si="576"/>
        <v>#VALUE!</v>
      </c>
      <c r="AR101" s="326" t="str">
        <f t="shared" si="577"/>
        <v/>
      </c>
      <c r="AS101" s="123">
        <f t="shared" si="578"/>
        <v>19472</v>
      </c>
      <c r="AT101" s="332">
        <f t="shared" si="474"/>
        <v>0</v>
      </c>
      <c r="AU101" s="140" t="e">
        <f t="shared" si="579"/>
        <v>#VALUE!</v>
      </c>
      <c r="AV101" s="326" t="str">
        <f t="shared" si="580"/>
        <v/>
      </c>
      <c r="AW101" s="333">
        <f t="shared" si="581"/>
        <v>268334.37</v>
      </c>
      <c r="AX101" s="123">
        <f t="shared" si="475"/>
        <v>182531.72</v>
      </c>
      <c r="AY101" s="123" t="e">
        <f t="shared" si="582"/>
        <v>#VALUE!</v>
      </c>
      <c r="AZ101" s="123" t="str">
        <f t="shared" si="583"/>
        <v/>
      </c>
      <c r="BA101" s="125">
        <f t="shared" si="584"/>
        <v>0</v>
      </c>
      <c r="BB101" s="1175" t="e">
        <f t="shared" ref="BB101:BD101" si="637">SUM(AQ101,AU101,AY101)</f>
        <v>#VALUE!</v>
      </c>
      <c r="BC101" s="326">
        <f t="shared" si="637"/>
        <v>0</v>
      </c>
      <c r="BD101" s="333">
        <f t="shared" si="637"/>
        <v>287806.37</v>
      </c>
      <c r="BE101" s="100" t="e">
        <f t="shared" si="586"/>
        <v>#VALUE!</v>
      </c>
      <c r="BF101" s="116" t="e">
        <f t="shared" ref="BF101:BG101" si="638">BC101+AL101</f>
        <v>#VALUE!</v>
      </c>
      <c r="BG101" s="119">
        <f t="shared" si="638"/>
        <v>752571.71</v>
      </c>
      <c r="BH101" s="125">
        <f t="shared" si="478"/>
        <v>0</v>
      </c>
      <c r="BI101" s="1041" t="e">
        <f t="shared" si="588"/>
        <v>#VALUE!</v>
      </c>
      <c r="BJ101" s="326" t="str">
        <f t="shared" si="589"/>
        <v/>
      </c>
      <c r="BK101" s="1045">
        <f t="shared" si="590"/>
        <v>47498.68</v>
      </c>
      <c r="BL101" s="125">
        <f t="shared" si="479"/>
        <v>40630.94</v>
      </c>
      <c r="BM101" s="140" t="e">
        <f t="shared" si="591"/>
        <v>#VALUE!</v>
      </c>
      <c r="BN101" s="123" t="str">
        <f t="shared" si="592"/>
        <v/>
      </c>
      <c r="BO101" s="148">
        <f t="shared" si="593"/>
        <v>59160.82</v>
      </c>
      <c r="BP101" s="123">
        <f t="shared" si="480"/>
        <v>97541.63</v>
      </c>
      <c r="BQ101" s="123" t="e">
        <f t="shared" si="594"/>
        <v>#VALUE!</v>
      </c>
      <c r="BR101" s="123" t="str">
        <f t="shared" si="595"/>
        <v/>
      </c>
      <c r="BS101" s="125">
        <f t="shared" si="596"/>
        <v>23647.61</v>
      </c>
      <c r="BT101" s="140" t="e">
        <f t="shared" ref="BT101:BV101" si="639">SUM(BQ101,BM101,BI101)</f>
        <v>#VALUE!</v>
      </c>
      <c r="BU101" s="123">
        <f t="shared" si="639"/>
        <v>0</v>
      </c>
      <c r="BV101" s="148">
        <f t="shared" si="639"/>
        <v>130307.10999999999</v>
      </c>
      <c r="BW101" s="125">
        <f t="shared" si="482"/>
        <v>165043.85</v>
      </c>
      <c r="BX101" s="140" t="e">
        <f t="shared" si="610"/>
        <v>#VALUE!</v>
      </c>
      <c r="BY101" s="123" t="str">
        <f t="shared" si="611"/>
        <v/>
      </c>
      <c r="BZ101" s="148">
        <f t="shared" si="612"/>
        <v>246508.57</v>
      </c>
      <c r="CA101" s="123">
        <f t="shared" si="483"/>
        <v>250076.95</v>
      </c>
      <c r="CB101" s="326">
        <f t="shared" si="484"/>
        <v>220640.52</v>
      </c>
      <c r="CP101" s="294"/>
      <c r="CU101" s="294"/>
    </row>
    <row r="102" spans="1:99" ht="13">
      <c r="A102" s="566" t="e">
        <f t="shared" si="602"/>
        <v>#N/A</v>
      </c>
      <c r="B102" s="636">
        <f t="shared" si="560"/>
        <v>4</v>
      </c>
      <c r="C102" s="558" t="str">
        <f t="shared" si="613"/>
        <v>Lista</v>
      </c>
      <c r="D102" s="558">
        <f t="shared" si="614"/>
        <v>0.2</v>
      </c>
      <c r="E102" s="559">
        <f t="shared" si="615"/>
        <v>0</v>
      </c>
      <c r="F102" s="836">
        <f t="shared" si="561"/>
        <v>4</v>
      </c>
      <c r="G102" s="558" t="str">
        <f t="shared" si="562"/>
        <v>Lista</v>
      </c>
      <c r="H102" s="558">
        <f t="shared" si="563"/>
        <v>0.2</v>
      </c>
      <c r="I102" s="559">
        <f t="shared" si="564"/>
        <v>0</v>
      </c>
      <c r="J102" s="1214">
        <f t="shared" si="603"/>
        <v>70</v>
      </c>
      <c r="K102" s="558" t="str">
        <f t="shared" si="604"/>
        <v>Lista</v>
      </c>
      <c r="L102" s="715">
        <f t="shared" si="605"/>
        <v>0.11</v>
      </c>
      <c r="M102" s="1173" t="s">
        <v>1118</v>
      </c>
      <c r="N102" s="1174"/>
      <c r="O102" s="332"/>
      <c r="P102" s="173" t="e">
        <f t="shared" si="565"/>
        <v>#VALUE!</v>
      </c>
      <c r="Q102" s="561" t="str">
        <f t="shared" si="558"/>
        <v/>
      </c>
      <c r="R102" s="1112" t="str">
        <f t="shared" si="559"/>
        <v/>
      </c>
      <c r="S102" s="123"/>
      <c r="T102" s="326"/>
      <c r="U102" s="326" t="str">
        <f t="shared" si="467"/>
        <v/>
      </c>
      <c r="V102" s="332" t="e">
        <f t="shared" si="468"/>
        <v>#VALUE!</v>
      </c>
      <c r="W102" s="173" t="e">
        <f t="shared" si="566"/>
        <v>#VALUE!</v>
      </c>
      <c r="X102" s="561" t="str">
        <f t="shared" si="567"/>
        <v/>
      </c>
      <c r="Y102" s="1112" t="str">
        <f t="shared" si="568"/>
        <v/>
      </c>
      <c r="Z102" s="123"/>
      <c r="AA102" s="326"/>
      <c r="AB102" s="326" t="str">
        <f t="shared" si="469"/>
        <v/>
      </c>
      <c r="AC102" s="332" t="e">
        <f t="shared" si="470"/>
        <v>#VALUE!</v>
      </c>
      <c r="AD102" s="173" t="e">
        <f t="shared" si="569"/>
        <v>#VALUE!</v>
      </c>
      <c r="AE102" s="561" t="str">
        <f t="shared" si="570"/>
        <v/>
      </c>
      <c r="AF102" s="1112" t="str">
        <f t="shared" si="571"/>
        <v/>
      </c>
      <c r="AG102" s="123"/>
      <c r="AH102" s="326"/>
      <c r="AI102" s="332" t="e">
        <f t="shared" si="471"/>
        <v>#VALUE!</v>
      </c>
      <c r="AJ102" s="140" t="str">
        <f t="shared" si="572"/>
        <v>0</v>
      </c>
      <c r="AK102" s="326" t="e">
        <f t="shared" ref="AK102:AM102" si="640">AD102+W102+P102</f>
        <v>#VALUE!</v>
      </c>
      <c r="AL102" s="326" t="e">
        <f t="shared" si="640"/>
        <v>#VALUE!</v>
      </c>
      <c r="AM102" s="326" t="e">
        <f t="shared" si="640"/>
        <v>#VALUE!</v>
      </c>
      <c r="AN102" s="326" t="e">
        <f t="shared" si="574"/>
        <v>#VALUE!</v>
      </c>
      <c r="AO102" s="98" t="str">
        <f t="shared" si="575"/>
        <v/>
      </c>
      <c r="AP102" s="125" t="str">
        <f t="shared" si="473"/>
        <v/>
      </c>
      <c r="AQ102" s="326" t="e">
        <f t="shared" si="576"/>
        <v>#VALUE!</v>
      </c>
      <c r="AR102" s="326" t="str">
        <f t="shared" si="577"/>
        <v/>
      </c>
      <c r="AS102" s="123" t="str">
        <f t="shared" si="578"/>
        <v/>
      </c>
      <c r="AT102" s="332"/>
      <c r="AU102" s="140" t="e">
        <f t="shared" si="579"/>
        <v>#VALUE!</v>
      </c>
      <c r="AV102" s="326" t="str">
        <f t="shared" si="580"/>
        <v/>
      </c>
      <c r="AW102" s="333" t="str">
        <f t="shared" si="581"/>
        <v/>
      </c>
      <c r="AX102" s="123"/>
      <c r="AY102" s="123" t="e">
        <f t="shared" si="582"/>
        <v>#VALUE!</v>
      </c>
      <c r="AZ102" s="123" t="str">
        <f t="shared" si="583"/>
        <v/>
      </c>
      <c r="BA102" s="125" t="str">
        <f t="shared" si="584"/>
        <v/>
      </c>
      <c r="BB102" s="1175" t="e">
        <f t="shared" ref="BB102:BD102" si="641">SUM(AQ102,AU102,AY102)</f>
        <v>#VALUE!</v>
      </c>
      <c r="BC102" s="326">
        <f t="shared" si="641"/>
        <v>0</v>
      </c>
      <c r="BD102" s="333">
        <f t="shared" si="641"/>
        <v>0</v>
      </c>
      <c r="BE102" s="100" t="e">
        <f t="shared" si="586"/>
        <v>#VALUE!</v>
      </c>
      <c r="BF102" s="116" t="e">
        <f t="shared" ref="BF102:BG102" si="642">BC102+AL102</f>
        <v>#VALUE!</v>
      </c>
      <c r="BG102" s="119" t="e">
        <f t="shared" si="642"/>
        <v>#VALUE!</v>
      </c>
      <c r="BH102" s="125"/>
      <c r="BI102" s="1041" t="e">
        <f t="shared" si="588"/>
        <v>#VALUE!</v>
      </c>
      <c r="BJ102" s="326" t="str">
        <f t="shared" si="589"/>
        <v/>
      </c>
      <c r="BK102" s="1045" t="str">
        <f t="shared" si="590"/>
        <v/>
      </c>
      <c r="BL102" s="125"/>
      <c r="BM102" s="140" t="e">
        <f t="shared" si="591"/>
        <v>#VALUE!</v>
      </c>
      <c r="BN102" s="123" t="str">
        <f t="shared" si="592"/>
        <v/>
      </c>
      <c r="BO102" s="148" t="str">
        <f t="shared" si="593"/>
        <v/>
      </c>
      <c r="BP102" s="123"/>
      <c r="BQ102" s="123" t="e">
        <f t="shared" si="594"/>
        <v>#VALUE!</v>
      </c>
      <c r="BR102" s="123" t="str">
        <f t="shared" si="595"/>
        <v/>
      </c>
      <c r="BS102" s="125" t="str">
        <f t="shared" si="596"/>
        <v/>
      </c>
      <c r="BT102" s="140" t="e">
        <f t="shared" ref="BT102:BV102" si="643">SUM(BQ102,BM102,BI102)</f>
        <v>#VALUE!</v>
      </c>
      <c r="BU102" s="123">
        <f t="shared" si="643"/>
        <v>0</v>
      </c>
      <c r="BV102" s="148">
        <f t="shared" si="643"/>
        <v>0</v>
      </c>
      <c r="BW102" s="125"/>
      <c r="BX102" s="140" t="e">
        <f t="shared" si="610"/>
        <v>#VALUE!</v>
      </c>
      <c r="BY102" s="123" t="str">
        <f t="shared" si="611"/>
        <v/>
      </c>
      <c r="BZ102" s="148" t="str">
        <f t="shared" si="612"/>
        <v/>
      </c>
      <c r="CA102" s="123"/>
      <c r="CB102" s="326"/>
      <c r="CP102" s="294"/>
      <c r="CU102" s="294"/>
    </row>
    <row r="103" spans="1:99" ht="13">
      <c r="A103" s="566" t="e">
        <f t="shared" si="602"/>
        <v>#N/A</v>
      </c>
      <c r="B103" s="636">
        <f t="shared" si="560"/>
        <v>1</v>
      </c>
      <c r="C103" s="558" t="str">
        <f t="shared" si="613"/>
        <v>Lista</v>
      </c>
      <c r="D103" s="558">
        <f t="shared" si="614"/>
        <v>0.09</v>
      </c>
      <c r="E103" s="559">
        <f t="shared" si="615"/>
        <v>0</v>
      </c>
      <c r="F103" s="836">
        <f t="shared" si="561"/>
        <v>1</v>
      </c>
      <c r="G103" s="558" t="str">
        <f t="shared" si="562"/>
        <v>Lista</v>
      </c>
      <c r="H103" s="558">
        <f t="shared" si="563"/>
        <v>0.09</v>
      </c>
      <c r="I103" s="559">
        <f t="shared" si="564"/>
        <v>0</v>
      </c>
      <c r="J103" s="1214">
        <f t="shared" si="603"/>
        <v>71</v>
      </c>
      <c r="K103" s="558" t="str">
        <f t="shared" si="604"/>
        <v>Lista</v>
      </c>
      <c r="L103" s="715">
        <f t="shared" si="605"/>
        <v>0.05</v>
      </c>
      <c r="M103" s="1215" t="s">
        <v>1116</v>
      </c>
      <c r="N103" s="1216"/>
      <c r="O103" s="332"/>
      <c r="P103" s="173">
        <f t="shared" si="565"/>
        <v>0</v>
      </c>
      <c r="Q103" s="561">
        <f t="shared" si="558"/>
        <v>0</v>
      </c>
      <c r="R103" s="1112">
        <f t="shared" si="559"/>
        <v>0</v>
      </c>
      <c r="S103" s="123"/>
      <c r="T103" s="326"/>
      <c r="U103" s="326" t="str">
        <f t="shared" si="467"/>
        <v/>
      </c>
      <c r="V103" s="332" t="e">
        <f t="shared" si="468"/>
        <v>#VALUE!</v>
      </c>
      <c r="W103" s="173">
        <f t="shared" si="566"/>
        <v>0</v>
      </c>
      <c r="X103" s="561">
        <f t="shared" si="567"/>
        <v>0</v>
      </c>
      <c r="Y103" s="1112">
        <f t="shared" si="568"/>
        <v>0</v>
      </c>
      <c r="Z103" s="123"/>
      <c r="AA103" s="326"/>
      <c r="AB103" s="326" t="str">
        <f t="shared" si="469"/>
        <v/>
      </c>
      <c r="AC103" s="332" t="e">
        <f t="shared" si="470"/>
        <v>#VALUE!</v>
      </c>
      <c r="AD103" s="173">
        <f t="shared" si="569"/>
        <v>0</v>
      </c>
      <c r="AE103" s="561">
        <f t="shared" si="570"/>
        <v>0</v>
      </c>
      <c r="AF103" s="1112">
        <f t="shared" si="571"/>
        <v>0</v>
      </c>
      <c r="AG103" s="123"/>
      <c r="AH103" s="326"/>
      <c r="AI103" s="332" t="e">
        <f t="shared" si="471"/>
        <v>#VALUE!</v>
      </c>
      <c r="AJ103" s="140">
        <f t="shared" si="572"/>
        <v>82523.12</v>
      </c>
      <c r="AK103" s="326">
        <f t="shared" ref="AK103:AM103" si="644">AD103+W103+P103</f>
        <v>0</v>
      </c>
      <c r="AL103" s="326">
        <f t="shared" si="644"/>
        <v>0</v>
      </c>
      <c r="AM103" s="326">
        <f t="shared" si="644"/>
        <v>0</v>
      </c>
      <c r="AN103" s="326">
        <f t="shared" si="574"/>
        <v>-82523.12</v>
      </c>
      <c r="AO103" s="98">
        <f t="shared" si="575"/>
        <v>0</v>
      </c>
      <c r="AP103" s="125" t="str">
        <f t="shared" si="473"/>
        <v/>
      </c>
      <c r="AQ103" s="326">
        <f t="shared" si="576"/>
        <v>0</v>
      </c>
      <c r="AR103" s="326">
        <f t="shared" si="577"/>
        <v>0</v>
      </c>
      <c r="AS103" s="123">
        <f t="shared" si="578"/>
        <v>0</v>
      </c>
      <c r="AT103" s="332"/>
      <c r="AU103" s="140">
        <f t="shared" si="579"/>
        <v>0</v>
      </c>
      <c r="AV103" s="326">
        <f t="shared" si="580"/>
        <v>0</v>
      </c>
      <c r="AW103" s="333">
        <f t="shared" si="581"/>
        <v>0</v>
      </c>
      <c r="AX103" s="123"/>
      <c r="AY103" s="123">
        <f t="shared" si="582"/>
        <v>0</v>
      </c>
      <c r="AZ103" s="123">
        <f t="shared" si="583"/>
        <v>0</v>
      </c>
      <c r="BA103" s="125">
        <f t="shared" si="584"/>
        <v>0</v>
      </c>
      <c r="BB103" s="1175">
        <f t="shared" ref="BB103:BD103" si="645">SUM(AQ103,AU103,AY103)</f>
        <v>0</v>
      </c>
      <c r="BC103" s="326">
        <f t="shared" si="645"/>
        <v>0</v>
      </c>
      <c r="BD103" s="333">
        <f t="shared" si="645"/>
        <v>0</v>
      </c>
      <c r="BE103" s="100">
        <f t="shared" si="586"/>
        <v>0</v>
      </c>
      <c r="BF103" s="116">
        <f t="shared" ref="BF103:BG103" si="646">BC103+AL103</f>
        <v>0</v>
      </c>
      <c r="BG103" s="119">
        <f t="shared" si="646"/>
        <v>0</v>
      </c>
      <c r="BH103" s="125"/>
      <c r="BI103" s="1041">
        <f t="shared" si="588"/>
        <v>0</v>
      </c>
      <c r="BJ103" s="326">
        <f t="shared" si="589"/>
        <v>0</v>
      </c>
      <c r="BK103" s="1045">
        <f t="shared" si="590"/>
        <v>0</v>
      </c>
      <c r="BL103" s="125"/>
      <c r="BM103" s="140">
        <f t="shared" si="591"/>
        <v>327060.78000000003</v>
      </c>
      <c r="BN103" s="123">
        <f t="shared" si="592"/>
        <v>127847.93</v>
      </c>
      <c r="BO103" s="148">
        <f t="shared" si="593"/>
        <v>454908.71</v>
      </c>
      <c r="BP103" s="123"/>
      <c r="BQ103" s="123">
        <f t="shared" si="594"/>
        <v>0</v>
      </c>
      <c r="BR103" s="123">
        <f t="shared" si="595"/>
        <v>0</v>
      </c>
      <c r="BS103" s="125">
        <f t="shared" si="596"/>
        <v>0</v>
      </c>
      <c r="BT103" s="140">
        <f t="shared" ref="BT103:BV103" si="647">SUM(BQ103,BM103,BI103)</f>
        <v>327060.78000000003</v>
      </c>
      <c r="BU103" s="123">
        <f t="shared" si="647"/>
        <v>127847.93</v>
      </c>
      <c r="BV103" s="148">
        <f t="shared" si="647"/>
        <v>454908.71</v>
      </c>
      <c r="BW103" s="125"/>
      <c r="BX103" s="140">
        <f t="shared" si="610"/>
        <v>0</v>
      </c>
      <c r="BY103" s="123">
        <f t="shared" si="611"/>
        <v>115836.89</v>
      </c>
      <c r="BZ103" s="148">
        <f t="shared" si="612"/>
        <v>115836.89</v>
      </c>
      <c r="CA103" s="123"/>
      <c r="CB103" s="326"/>
      <c r="CP103" s="294"/>
      <c r="CU103" s="294"/>
    </row>
    <row r="104" spans="1:99" ht="13">
      <c r="A104" s="566" t="e">
        <f t="shared" si="602"/>
        <v>#N/A</v>
      </c>
      <c r="B104" s="636">
        <f t="shared" si="560"/>
        <v>1</v>
      </c>
      <c r="C104" s="558" t="str">
        <f t="shared" si="613"/>
        <v>Lista</v>
      </c>
      <c r="D104" s="558">
        <f t="shared" si="614"/>
        <v>0.09</v>
      </c>
      <c r="E104" s="559">
        <f t="shared" si="615"/>
        <v>0</v>
      </c>
      <c r="F104" s="836">
        <f t="shared" si="561"/>
        <v>1</v>
      </c>
      <c r="G104" s="558" t="str">
        <f t="shared" si="562"/>
        <v>Lista</v>
      </c>
      <c r="H104" s="558">
        <f t="shared" si="563"/>
        <v>0.09</v>
      </c>
      <c r="I104" s="559">
        <f t="shared" si="564"/>
        <v>0</v>
      </c>
      <c r="J104" s="1214">
        <f t="shared" si="603"/>
        <v>71</v>
      </c>
      <c r="K104" s="558" t="str">
        <f t="shared" si="604"/>
        <v>Lista</v>
      </c>
      <c r="L104" s="715">
        <f t="shared" si="605"/>
        <v>0.05</v>
      </c>
      <c r="M104" s="1215" t="s">
        <v>1119</v>
      </c>
      <c r="N104" s="1216"/>
      <c r="O104" s="332"/>
      <c r="P104" s="173" t="e">
        <f t="shared" si="565"/>
        <v>#VALUE!</v>
      </c>
      <c r="Q104" s="561" t="str">
        <f t="shared" si="558"/>
        <v/>
      </c>
      <c r="R104" s="1112">
        <f t="shared" si="559"/>
        <v>0</v>
      </c>
      <c r="S104" s="123"/>
      <c r="T104" s="326"/>
      <c r="U104" s="326" t="str">
        <f t="shared" si="467"/>
        <v/>
      </c>
      <c r="V104" s="332" t="e">
        <f t="shared" si="468"/>
        <v>#VALUE!</v>
      </c>
      <c r="W104" s="173" t="e">
        <f t="shared" si="566"/>
        <v>#VALUE!</v>
      </c>
      <c r="X104" s="561" t="str">
        <f t="shared" si="567"/>
        <v/>
      </c>
      <c r="Y104" s="1112">
        <f t="shared" si="568"/>
        <v>0</v>
      </c>
      <c r="Z104" s="123"/>
      <c r="AA104" s="326"/>
      <c r="AB104" s="326" t="str">
        <f t="shared" si="469"/>
        <v/>
      </c>
      <c r="AC104" s="332" t="e">
        <f t="shared" si="470"/>
        <v>#VALUE!</v>
      </c>
      <c r="AD104" s="173" t="e">
        <f t="shared" si="569"/>
        <v>#VALUE!</v>
      </c>
      <c r="AE104" s="561" t="str">
        <f t="shared" si="570"/>
        <v/>
      </c>
      <c r="AF104" s="1112">
        <f t="shared" si="571"/>
        <v>0</v>
      </c>
      <c r="AG104" s="123"/>
      <c r="AH104" s="326"/>
      <c r="AI104" s="332" t="e">
        <f t="shared" si="471"/>
        <v>#VALUE!</v>
      </c>
      <c r="AJ104" s="140">
        <f t="shared" si="572"/>
        <v>158335.21</v>
      </c>
      <c r="AK104" s="326" t="e">
        <f t="shared" ref="AK104:AM104" si="648">AD104+W104+P104</f>
        <v>#VALUE!</v>
      </c>
      <c r="AL104" s="326" t="e">
        <f t="shared" si="648"/>
        <v>#VALUE!</v>
      </c>
      <c r="AM104" s="326">
        <f t="shared" si="648"/>
        <v>0</v>
      </c>
      <c r="AN104" s="326">
        <f t="shared" si="574"/>
        <v>-158335.21</v>
      </c>
      <c r="AO104" s="98">
        <f t="shared" si="575"/>
        <v>0</v>
      </c>
      <c r="AP104" s="125" t="str">
        <f t="shared" si="473"/>
        <v/>
      </c>
      <c r="AQ104" s="326" t="e">
        <f t="shared" si="576"/>
        <v>#VALUE!</v>
      </c>
      <c r="AR104" s="326" t="str">
        <f t="shared" si="577"/>
        <v/>
      </c>
      <c r="AS104" s="123">
        <f t="shared" si="578"/>
        <v>0</v>
      </c>
      <c r="AT104" s="332"/>
      <c r="AU104" s="140" t="e">
        <f t="shared" si="579"/>
        <v>#VALUE!</v>
      </c>
      <c r="AV104" s="326" t="str">
        <f t="shared" si="580"/>
        <v/>
      </c>
      <c r="AW104" s="333">
        <f t="shared" si="581"/>
        <v>0</v>
      </c>
      <c r="AX104" s="123"/>
      <c r="AY104" s="123" t="e">
        <f t="shared" si="582"/>
        <v>#VALUE!</v>
      </c>
      <c r="AZ104" s="123" t="str">
        <f t="shared" si="583"/>
        <v/>
      </c>
      <c r="BA104" s="125">
        <f t="shared" si="584"/>
        <v>0</v>
      </c>
      <c r="BB104" s="1175" t="e">
        <f t="shared" ref="BB104:BD104" si="649">SUM(AQ104,AU104,AY104)</f>
        <v>#VALUE!</v>
      </c>
      <c r="BC104" s="326">
        <f t="shared" si="649"/>
        <v>0</v>
      </c>
      <c r="BD104" s="333">
        <f t="shared" si="649"/>
        <v>0</v>
      </c>
      <c r="BE104" s="100" t="e">
        <f t="shared" si="586"/>
        <v>#VALUE!</v>
      </c>
      <c r="BF104" s="116" t="e">
        <f t="shared" ref="BF104:BG104" si="650">BC104+AL104</f>
        <v>#VALUE!</v>
      </c>
      <c r="BG104" s="119">
        <f t="shared" si="650"/>
        <v>0</v>
      </c>
      <c r="BH104" s="125"/>
      <c r="BI104" s="1041" t="e">
        <f t="shared" si="588"/>
        <v>#VALUE!</v>
      </c>
      <c r="BJ104" s="326" t="str">
        <f t="shared" si="589"/>
        <v/>
      </c>
      <c r="BK104" s="1045">
        <f t="shared" si="590"/>
        <v>0</v>
      </c>
      <c r="BL104" s="125"/>
      <c r="BM104" s="140" t="e">
        <f t="shared" si="591"/>
        <v>#VALUE!</v>
      </c>
      <c r="BN104" s="123" t="str">
        <f t="shared" si="592"/>
        <v/>
      </c>
      <c r="BO104" s="148">
        <f t="shared" si="593"/>
        <v>73926</v>
      </c>
      <c r="BP104" s="123"/>
      <c r="BQ104" s="123" t="e">
        <f t="shared" si="594"/>
        <v>#VALUE!</v>
      </c>
      <c r="BR104" s="123" t="str">
        <f t="shared" si="595"/>
        <v/>
      </c>
      <c r="BS104" s="125">
        <f t="shared" si="596"/>
        <v>17592</v>
      </c>
      <c r="BT104" s="140" t="e">
        <f t="shared" ref="BT104:BV104" si="651">SUM(BQ104,BM104,BI104)</f>
        <v>#VALUE!</v>
      </c>
      <c r="BU104" s="123">
        <f t="shared" si="651"/>
        <v>0</v>
      </c>
      <c r="BV104" s="148">
        <f t="shared" si="651"/>
        <v>91518</v>
      </c>
      <c r="BW104" s="125"/>
      <c r="BX104" s="140" t="e">
        <f t="shared" si="610"/>
        <v>#VALUE!</v>
      </c>
      <c r="BY104" s="123" t="str">
        <f t="shared" si="611"/>
        <v/>
      </c>
      <c r="BZ104" s="148">
        <f t="shared" si="612"/>
        <v>0</v>
      </c>
      <c r="CA104" s="123"/>
      <c r="CB104" s="326"/>
      <c r="CP104" s="294"/>
      <c r="CU104" s="294"/>
    </row>
    <row r="105" spans="1:99" ht="13">
      <c r="A105" s="566" t="e">
        <f t="shared" si="602"/>
        <v>#N/A</v>
      </c>
      <c r="B105" s="636">
        <f t="shared" si="560"/>
        <v>4</v>
      </c>
      <c r="C105" s="558" t="str">
        <f t="shared" si="613"/>
        <v>Lista</v>
      </c>
      <c r="D105" s="558">
        <f t="shared" si="614"/>
        <v>0.2</v>
      </c>
      <c r="E105" s="559">
        <f t="shared" si="615"/>
        <v>0</v>
      </c>
      <c r="F105" s="836">
        <f t="shared" si="561"/>
        <v>4</v>
      </c>
      <c r="G105" s="558" t="str">
        <f t="shared" si="562"/>
        <v>Lista</v>
      </c>
      <c r="H105" s="558">
        <f t="shared" si="563"/>
        <v>0.2</v>
      </c>
      <c r="I105" s="559">
        <f t="shared" si="564"/>
        <v>0</v>
      </c>
      <c r="J105" s="1214">
        <f t="shared" si="603"/>
        <v>70</v>
      </c>
      <c r="K105" s="558" t="str">
        <f t="shared" si="604"/>
        <v>Lista</v>
      </c>
      <c r="L105" s="715">
        <f t="shared" si="605"/>
        <v>0.11</v>
      </c>
      <c r="M105" s="1173" t="s">
        <v>1195</v>
      </c>
      <c r="N105" s="1174">
        <f>IFERROR(VLOOKUP(M105,MARUCA24,3,FALSE),"")</f>
        <v>59072.26</v>
      </c>
      <c r="O105" s="332">
        <f t="shared" ref="O105:O106" si="652">(N105*1.601)*1.05</f>
        <v>99303.422672999994</v>
      </c>
      <c r="P105" s="173" t="e">
        <f t="shared" si="565"/>
        <v>#VALUE!</v>
      </c>
      <c r="Q105" s="561" t="str">
        <f t="shared" si="558"/>
        <v/>
      </c>
      <c r="R105" s="1112" t="str">
        <f t="shared" si="559"/>
        <v/>
      </c>
      <c r="S105" s="123"/>
      <c r="T105" s="326"/>
      <c r="U105" s="326">
        <f t="shared" si="467"/>
        <v>0</v>
      </c>
      <c r="V105" s="332">
        <f t="shared" si="468"/>
        <v>0</v>
      </c>
      <c r="W105" s="173" t="e">
        <f t="shared" si="566"/>
        <v>#VALUE!</v>
      </c>
      <c r="X105" s="561" t="str">
        <f t="shared" si="567"/>
        <v/>
      </c>
      <c r="Y105" s="1112" t="str">
        <f t="shared" si="568"/>
        <v/>
      </c>
      <c r="Z105" s="123"/>
      <c r="AA105" s="326"/>
      <c r="AB105" s="326">
        <f t="shared" si="469"/>
        <v>94725.84</v>
      </c>
      <c r="AC105" s="332">
        <f t="shared" si="470"/>
        <v>155669.13005160002</v>
      </c>
      <c r="AD105" s="173" t="e">
        <f t="shared" si="569"/>
        <v>#VALUE!</v>
      </c>
      <c r="AE105" s="561" t="str">
        <f t="shared" si="570"/>
        <v/>
      </c>
      <c r="AF105" s="1112" t="str">
        <f t="shared" si="571"/>
        <v/>
      </c>
      <c r="AG105" s="123"/>
      <c r="AH105" s="326"/>
      <c r="AI105" s="332">
        <f t="shared" si="471"/>
        <v>254972.55272460001</v>
      </c>
      <c r="AJ105" s="140" t="str">
        <f t="shared" si="572"/>
        <v>0</v>
      </c>
      <c r="AK105" s="326" t="e">
        <f t="shared" ref="AK105:AM105" si="653">AD105+W105+P105</f>
        <v>#VALUE!</v>
      </c>
      <c r="AL105" s="326" t="e">
        <f t="shared" si="653"/>
        <v>#VALUE!</v>
      </c>
      <c r="AM105" s="326" t="e">
        <f t="shared" si="653"/>
        <v>#VALUE!</v>
      </c>
      <c r="AN105" s="326" t="e">
        <f t="shared" si="574"/>
        <v>#VALUE!</v>
      </c>
      <c r="AO105" s="98" t="str">
        <f t="shared" si="575"/>
        <v/>
      </c>
      <c r="AP105" s="125">
        <f t="shared" si="473"/>
        <v>0</v>
      </c>
      <c r="AQ105" s="326" t="e">
        <f t="shared" si="576"/>
        <v>#VALUE!</v>
      </c>
      <c r="AR105" s="326" t="str">
        <f t="shared" si="577"/>
        <v/>
      </c>
      <c r="AS105" s="123" t="str">
        <f t="shared" si="578"/>
        <v/>
      </c>
      <c r="AT105" s="332">
        <f>IFERROR(VLOOKUP(M105,MARUCA24,7,FALSE),"")</f>
        <v>132592.84</v>
      </c>
      <c r="AU105" s="140" t="e">
        <f t="shared" si="579"/>
        <v>#VALUE!</v>
      </c>
      <c r="AV105" s="326" t="str">
        <f t="shared" si="580"/>
        <v/>
      </c>
      <c r="AW105" s="333" t="str">
        <f t="shared" si="581"/>
        <v/>
      </c>
      <c r="AX105" s="123">
        <f>IFERROR(VLOOKUP(M105,MARUCA24,8,FALSE),"")</f>
        <v>0</v>
      </c>
      <c r="AY105" s="123" t="e">
        <f t="shared" si="582"/>
        <v>#VALUE!</v>
      </c>
      <c r="AZ105" s="123" t="str">
        <f t="shared" si="583"/>
        <v/>
      </c>
      <c r="BA105" s="125" t="str">
        <f t="shared" si="584"/>
        <v/>
      </c>
      <c r="BB105" s="1175" t="e">
        <f t="shared" ref="BB105:BD105" si="654">SUM(AQ105,AU105,AY105)</f>
        <v>#VALUE!</v>
      </c>
      <c r="BC105" s="326">
        <f t="shared" si="654"/>
        <v>0</v>
      </c>
      <c r="BD105" s="333">
        <f t="shared" si="654"/>
        <v>0</v>
      </c>
      <c r="BE105" s="100" t="e">
        <f t="shared" si="586"/>
        <v>#VALUE!</v>
      </c>
      <c r="BF105" s="116" t="e">
        <f t="shared" ref="BF105:BG105" si="655">BC105+AL105</f>
        <v>#VALUE!</v>
      </c>
      <c r="BG105" s="119" t="e">
        <f t="shared" si="655"/>
        <v>#VALUE!</v>
      </c>
      <c r="BH105" s="125">
        <f>IFERROR(VLOOKUP(M105,MARUCA24,9,FALSE),"")</f>
        <v>0</v>
      </c>
      <c r="BI105" s="1041" t="e">
        <f t="shared" si="588"/>
        <v>#VALUE!</v>
      </c>
      <c r="BJ105" s="326" t="str">
        <f t="shared" si="589"/>
        <v/>
      </c>
      <c r="BK105" s="1045" t="str">
        <f t="shared" si="590"/>
        <v/>
      </c>
      <c r="BL105" s="125">
        <f>IFERROR(VLOOKUP(M105,MARUCA24,10,FALSE),"")</f>
        <v>-107448.83</v>
      </c>
      <c r="BM105" s="140" t="e">
        <f t="shared" si="591"/>
        <v>#VALUE!</v>
      </c>
      <c r="BN105" s="123" t="str">
        <f t="shared" si="592"/>
        <v/>
      </c>
      <c r="BO105" s="148" t="str">
        <f t="shared" si="593"/>
        <v/>
      </c>
      <c r="BP105" s="123">
        <f>IFERROR(VLOOKUP(M105,MARUCA24,11,FALSE),"")</f>
        <v>0</v>
      </c>
      <c r="BQ105" s="123" t="e">
        <f t="shared" si="594"/>
        <v>#VALUE!</v>
      </c>
      <c r="BR105" s="123" t="str">
        <f t="shared" si="595"/>
        <v/>
      </c>
      <c r="BS105" s="125" t="str">
        <f t="shared" si="596"/>
        <v/>
      </c>
      <c r="BT105" s="140" t="e">
        <f t="shared" ref="BT105:BV105" si="656">SUM(BQ105,BM105,BI105)</f>
        <v>#VALUE!</v>
      </c>
      <c r="BU105" s="123">
        <f t="shared" si="656"/>
        <v>0</v>
      </c>
      <c r="BV105" s="148">
        <f t="shared" si="656"/>
        <v>0</v>
      </c>
      <c r="BW105" s="125">
        <f>IFERROR(VLOOKUP(M105,MARUCA24,12,FALSE),"")</f>
        <v>0</v>
      </c>
      <c r="BX105" s="140" t="e">
        <f t="shared" si="610"/>
        <v>#VALUE!</v>
      </c>
      <c r="BY105" s="123" t="str">
        <f t="shared" si="611"/>
        <v/>
      </c>
      <c r="BZ105" s="148" t="str">
        <f t="shared" si="612"/>
        <v/>
      </c>
      <c r="CA105" s="123">
        <f>IFERROR(VLOOKUP(M105,MARUCA24,13,FALSE),"")</f>
        <v>0</v>
      </c>
      <c r="CB105" s="326">
        <f>IFERROR(VLOOKUP(M105,MARUCA24,14,FALSE),"")</f>
        <v>0</v>
      </c>
      <c r="CP105" s="294"/>
      <c r="CU105" s="294"/>
    </row>
    <row r="106" spans="1:99" ht="13">
      <c r="A106" s="566" t="e">
        <f t="shared" si="602"/>
        <v>#N/A</v>
      </c>
      <c r="B106" s="636">
        <f t="shared" si="560"/>
        <v>4</v>
      </c>
      <c r="C106" s="558" t="str">
        <f t="shared" si="613"/>
        <v>Lista</v>
      </c>
      <c r="D106" s="558">
        <f t="shared" si="614"/>
        <v>0.2</v>
      </c>
      <c r="E106" s="559">
        <f t="shared" si="615"/>
        <v>0</v>
      </c>
      <c r="F106" s="836">
        <f t="shared" si="561"/>
        <v>4</v>
      </c>
      <c r="G106" s="558" t="str">
        <f t="shared" si="562"/>
        <v>Lista</v>
      </c>
      <c r="H106" s="558">
        <f t="shared" si="563"/>
        <v>0.2</v>
      </c>
      <c r="I106" s="559">
        <f t="shared" si="564"/>
        <v>0</v>
      </c>
      <c r="J106" s="1214">
        <f t="shared" si="603"/>
        <v>70</v>
      </c>
      <c r="K106" s="558" t="str">
        <f t="shared" si="604"/>
        <v>Lista</v>
      </c>
      <c r="L106" s="715">
        <f t="shared" si="605"/>
        <v>0.11</v>
      </c>
      <c r="M106" s="1173" t="s">
        <v>1196</v>
      </c>
      <c r="N106" s="1174">
        <f>IFERROR(VLOOKUP(M106,MARUCA24,3,FALSE),"")</f>
        <v>39645.85</v>
      </c>
      <c r="O106" s="332">
        <f t="shared" si="652"/>
        <v>66646.656142499996</v>
      </c>
      <c r="P106" s="173">
        <f t="shared" si="565"/>
        <v>0</v>
      </c>
      <c r="Q106" s="561">
        <f t="shared" si="558"/>
        <v>161357.04</v>
      </c>
      <c r="R106" s="1112">
        <f t="shared" si="559"/>
        <v>161357.04</v>
      </c>
      <c r="S106" s="123"/>
      <c r="T106" s="326"/>
      <c r="U106" s="326">
        <f t="shared" si="467"/>
        <v>109018.24000000001</v>
      </c>
      <c r="V106" s="332">
        <f t="shared" si="468"/>
        <v>193642.0135264</v>
      </c>
      <c r="W106" s="173">
        <f t="shared" si="566"/>
        <v>0</v>
      </c>
      <c r="X106" s="561">
        <f t="shared" si="567"/>
        <v>88270.34</v>
      </c>
      <c r="Y106" s="1112">
        <f t="shared" si="568"/>
        <v>88270.34</v>
      </c>
      <c r="Z106" s="123"/>
      <c r="AA106" s="326"/>
      <c r="AB106" s="326">
        <f t="shared" si="469"/>
        <v>77925.039999999994</v>
      </c>
      <c r="AC106" s="332">
        <f t="shared" si="470"/>
        <v>128059.2833596</v>
      </c>
      <c r="AD106" s="173">
        <f t="shared" si="569"/>
        <v>0</v>
      </c>
      <c r="AE106" s="561">
        <f t="shared" si="570"/>
        <v>105584.4</v>
      </c>
      <c r="AF106" s="1112">
        <f t="shared" si="571"/>
        <v>105584.4</v>
      </c>
      <c r="AG106" s="123"/>
      <c r="AH106" s="326"/>
      <c r="AI106" s="332">
        <f t="shared" si="471"/>
        <v>388347.95302849996</v>
      </c>
      <c r="AJ106" s="140">
        <f t="shared" si="572"/>
        <v>415193.65</v>
      </c>
      <c r="AK106" s="326">
        <f t="shared" ref="AK106:AM106" si="657">AD106+W106+P106</f>
        <v>0</v>
      </c>
      <c r="AL106" s="326">
        <f t="shared" si="657"/>
        <v>355211.78</v>
      </c>
      <c r="AM106" s="326">
        <f t="shared" si="657"/>
        <v>355211.78</v>
      </c>
      <c r="AN106" s="326">
        <f t="shared" si="574"/>
        <v>-59981.869999999995</v>
      </c>
      <c r="AO106" s="98">
        <f t="shared" si="575"/>
        <v>0.85553278572540792</v>
      </c>
      <c r="AP106" s="125">
        <f t="shared" si="473"/>
        <v>69621.600000000006</v>
      </c>
      <c r="AQ106" s="326">
        <f t="shared" si="576"/>
        <v>0</v>
      </c>
      <c r="AR106" s="326">
        <f t="shared" si="577"/>
        <v>88950.399999999994</v>
      </c>
      <c r="AS106" s="123">
        <f t="shared" si="578"/>
        <v>88950.399999999994</v>
      </c>
      <c r="AT106" s="332">
        <f>IFERROR(VLOOKUP(M106,MARUCA24,7,FALSE),"")</f>
        <v>112613.71</v>
      </c>
      <c r="AU106" s="140">
        <f t="shared" si="579"/>
        <v>0</v>
      </c>
      <c r="AV106" s="326">
        <f t="shared" si="580"/>
        <v>39191.360000000001</v>
      </c>
      <c r="AW106" s="333">
        <f t="shared" si="581"/>
        <v>39191.360000000001</v>
      </c>
      <c r="AX106" s="123">
        <f>IFERROR(VLOOKUP(M106,MARUCA24,8,FALSE),"")</f>
        <v>96746.7</v>
      </c>
      <c r="AY106" s="123">
        <f t="shared" si="582"/>
        <v>0</v>
      </c>
      <c r="AZ106" s="123">
        <f t="shared" si="583"/>
        <v>64346.879999999997</v>
      </c>
      <c r="BA106" s="125">
        <f t="shared" si="584"/>
        <v>64346.879999999997</v>
      </c>
      <c r="BB106" s="1175">
        <f t="shared" ref="BB106:BD106" si="658">SUM(AQ106,AU106,AY106)</f>
        <v>0</v>
      </c>
      <c r="BC106" s="326">
        <f t="shared" si="658"/>
        <v>192488.63999999998</v>
      </c>
      <c r="BD106" s="333">
        <f t="shared" si="658"/>
        <v>192488.63999999998</v>
      </c>
      <c r="BE106" s="100">
        <f t="shared" si="586"/>
        <v>0</v>
      </c>
      <c r="BF106" s="116">
        <f t="shared" ref="BF106:BG106" si="659">BC106+AL106</f>
        <v>547700.42000000004</v>
      </c>
      <c r="BG106" s="119">
        <f t="shared" si="659"/>
        <v>547700.42000000004</v>
      </c>
      <c r="BH106" s="125">
        <f>IFERROR(VLOOKUP(M106,MARUCA24,9,FALSE),"")</f>
        <v>22011.63</v>
      </c>
      <c r="BI106" s="1041">
        <f t="shared" si="588"/>
        <v>0</v>
      </c>
      <c r="BJ106" s="326">
        <f t="shared" si="589"/>
        <v>151761.84</v>
      </c>
      <c r="BK106" s="1045">
        <f t="shared" si="590"/>
        <v>151761.84</v>
      </c>
      <c r="BL106" s="125">
        <f>IFERROR(VLOOKUP(M106,MARUCA24,10,FALSE),"")</f>
        <v>122666.56</v>
      </c>
      <c r="BM106" s="140">
        <f t="shared" si="591"/>
        <v>0</v>
      </c>
      <c r="BN106" s="123">
        <f t="shared" si="592"/>
        <v>93033.600000000006</v>
      </c>
      <c r="BO106" s="148">
        <f t="shared" si="593"/>
        <v>93033.600000000006</v>
      </c>
      <c r="BP106" s="123">
        <f>IFERROR(VLOOKUP(M106,MARUCA24,11,FALSE),"")</f>
        <v>162155.96</v>
      </c>
      <c r="BQ106" s="123">
        <f t="shared" si="594"/>
        <v>13135.540000000008</v>
      </c>
      <c r="BR106" s="123">
        <f t="shared" si="595"/>
        <v>147862.96</v>
      </c>
      <c r="BS106" s="125">
        <f t="shared" si="596"/>
        <v>160998.5</v>
      </c>
      <c r="BT106" s="140">
        <f t="shared" ref="BT106:BV106" si="660">SUM(BQ106,BM106,BI106)</f>
        <v>13135.540000000008</v>
      </c>
      <c r="BU106" s="123">
        <f t="shared" si="660"/>
        <v>392658.4</v>
      </c>
      <c r="BV106" s="148">
        <f t="shared" si="660"/>
        <v>405793.94</v>
      </c>
      <c r="BW106" s="125">
        <f>IFERROR(VLOOKUP(M106,MARUCA24,12,FALSE),"")</f>
        <v>97941.6</v>
      </c>
      <c r="BX106" s="140">
        <f t="shared" si="610"/>
        <v>0</v>
      </c>
      <c r="BY106" s="123">
        <f t="shared" si="611"/>
        <v>53629.07</v>
      </c>
      <c r="BZ106" s="148">
        <f t="shared" si="612"/>
        <v>53629.07</v>
      </c>
      <c r="CA106" s="123">
        <f>IFERROR(VLOOKUP(M106,MARUCA24,13,FALSE),"")</f>
        <v>143722.18</v>
      </c>
      <c r="CB106" s="326">
        <f>IFERROR(VLOOKUP(M106,MARUCA24,14,FALSE),"")</f>
        <v>173529.86</v>
      </c>
      <c r="CP106" s="294"/>
      <c r="CU106" s="294"/>
    </row>
    <row r="107" spans="1:99" ht="13">
      <c r="A107" s="566" t="e">
        <f t="shared" si="602"/>
        <v>#N/A</v>
      </c>
      <c r="B107" s="636">
        <f t="shared" si="560"/>
        <v>4</v>
      </c>
      <c r="C107" s="558" t="str">
        <f t="shared" si="613"/>
        <v>Lista</v>
      </c>
      <c r="D107" s="558">
        <f t="shared" si="614"/>
        <v>0.2</v>
      </c>
      <c r="E107" s="559">
        <f t="shared" si="615"/>
        <v>0</v>
      </c>
      <c r="F107" s="836">
        <f t="shared" si="561"/>
        <v>4</v>
      </c>
      <c r="G107" s="558" t="str">
        <f t="shared" si="562"/>
        <v>Lista</v>
      </c>
      <c r="H107" s="558">
        <f t="shared" si="563"/>
        <v>0.2</v>
      </c>
      <c r="I107" s="559">
        <f t="shared" si="564"/>
        <v>0</v>
      </c>
      <c r="J107" s="1214">
        <f t="shared" si="603"/>
        <v>70</v>
      </c>
      <c r="K107" s="558" t="str">
        <f t="shared" si="604"/>
        <v>Lista</v>
      </c>
      <c r="L107" s="715">
        <f t="shared" si="605"/>
        <v>0.11</v>
      </c>
      <c r="M107" s="1173" t="s">
        <v>1197</v>
      </c>
      <c r="N107" s="1174">
        <f>IFERROR(VLOOKUP(M107,MARUCA24,3,FALSE),"")</f>
        <v>229451.74</v>
      </c>
      <c r="O107" s="461">
        <v>1500000</v>
      </c>
      <c r="P107" s="173">
        <f t="shared" si="565"/>
        <v>0</v>
      </c>
      <c r="Q107" s="561">
        <f t="shared" si="558"/>
        <v>74846.95</v>
      </c>
      <c r="R107" s="1112">
        <f t="shared" si="559"/>
        <v>74846.95</v>
      </c>
      <c r="S107" s="1189"/>
      <c r="T107" s="599"/>
      <c r="U107" s="326">
        <f t="shared" si="467"/>
        <v>99793.52</v>
      </c>
      <c r="V107" s="461">
        <v>1500000</v>
      </c>
      <c r="W107" s="173">
        <f t="shared" si="566"/>
        <v>0</v>
      </c>
      <c r="X107" s="561">
        <f t="shared" si="567"/>
        <v>114013.52</v>
      </c>
      <c r="Y107" s="1112">
        <f t="shared" si="568"/>
        <v>114013.52</v>
      </c>
      <c r="Z107" s="1189"/>
      <c r="AA107" s="599"/>
      <c r="AB107" s="326">
        <f t="shared" si="469"/>
        <v>106455.12</v>
      </c>
      <c r="AC107" s="461">
        <v>1500000</v>
      </c>
      <c r="AD107" s="173">
        <f t="shared" si="569"/>
        <v>19507.900000000001</v>
      </c>
      <c r="AE107" s="561">
        <f t="shared" si="570"/>
        <v>57549.68</v>
      </c>
      <c r="AF107" s="1112">
        <f t="shared" si="571"/>
        <v>77057.58</v>
      </c>
      <c r="AG107" s="1189"/>
      <c r="AH107" s="599"/>
      <c r="AI107" s="332">
        <f t="shared" si="471"/>
        <v>4500000</v>
      </c>
      <c r="AJ107" s="140">
        <f t="shared" si="572"/>
        <v>894818.45</v>
      </c>
      <c r="AK107" s="326">
        <f t="shared" ref="AK107:AM107" si="661">AD107+W107+P107</f>
        <v>19507.900000000001</v>
      </c>
      <c r="AL107" s="326">
        <f t="shared" si="661"/>
        <v>246410.15000000002</v>
      </c>
      <c r="AM107" s="326">
        <f t="shared" si="661"/>
        <v>265918.05</v>
      </c>
      <c r="AN107" s="326">
        <f t="shared" si="574"/>
        <v>-628900.39999999991</v>
      </c>
      <c r="AO107" s="98">
        <f t="shared" si="575"/>
        <v>0.29717542145001591</v>
      </c>
      <c r="AP107" s="125">
        <f t="shared" si="473"/>
        <v>135142.72</v>
      </c>
      <c r="AQ107" s="326">
        <f t="shared" si="576"/>
        <v>109352.5</v>
      </c>
      <c r="AR107" s="326">
        <f t="shared" si="577"/>
        <v>57549.68</v>
      </c>
      <c r="AS107" s="123">
        <f t="shared" si="578"/>
        <v>166902.18</v>
      </c>
      <c r="AT107" s="332">
        <f>IFERROR(VLOOKUP(M107,MARUCA24,7,FALSE),"")</f>
        <v>20492.560000000001</v>
      </c>
      <c r="AU107" s="140">
        <f t="shared" si="579"/>
        <v>0</v>
      </c>
      <c r="AV107" s="326">
        <f t="shared" si="580"/>
        <v>186491.04</v>
      </c>
      <c r="AW107" s="333">
        <f t="shared" si="581"/>
        <v>186491.04</v>
      </c>
      <c r="AX107" s="123">
        <f>IFERROR(VLOOKUP(M107,MARUCA24,8,FALSE),"")</f>
        <v>73865.62</v>
      </c>
      <c r="AY107" s="123">
        <f t="shared" si="582"/>
        <v>286049.48000000004</v>
      </c>
      <c r="AZ107" s="123">
        <f t="shared" si="583"/>
        <v>106682.48</v>
      </c>
      <c r="BA107" s="125">
        <f t="shared" si="584"/>
        <v>392731.96</v>
      </c>
      <c r="BB107" s="1175">
        <f t="shared" ref="BB107:BD107" si="662">SUM(AQ107,AU107,AY107)</f>
        <v>395401.98000000004</v>
      </c>
      <c r="BC107" s="326">
        <f t="shared" si="662"/>
        <v>350723.2</v>
      </c>
      <c r="BD107" s="333">
        <f t="shared" si="662"/>
        <v>746125.17999999993</v>
      </c>
      <c r="BE107" s="100">
        <f t="shared" si="586"/>
        <v>414909.88000000006</v>
      </c>
      <c r="BF107" s="116">
        <f t="shared" ref="BF107:BG107" si="663">BC107+AL107</f>
        <v>597133.35000000009</v>
      </c>
      <c r="BG107" s="119">
        <f t="shared" si="663"/>
        <v>1012043.23</v>
      </c>
      <c r="BH107" s="125">
        <f>IFERROR(VLOOKUP(M107,MARUCA24,9,FALSE),"")</f>
        <v>386505.02</v>
      </c>
      <c r="BI107" s="1041">
        <f t="shared" si="588"/>
        <v>73623.78</v>
      </c>
      <c r="BJ107" s="326">
        <f t="shared" si="589"/>
        <v>123980</v>
      </c>
      <c r="BK107" s="1045">
        <f t="shared" si="590"/>
        <v>197603.78</v>
      </c>
      <c r="BL107" s="125">
        <f>IFERROR(VLOOKUP(M107,MARUCA24,10,FALSE),"")</f>
        <v>0</v>
      </c>
      <c r="BM107" s="140">
        <f t="shared" si="591"/>
        <v>280561.58999999997</v>
      </c>
      <c r="BN107" s="123">
        <f t="shared" si="592"/>
        <v>78289.64</v>
      </c>
      <c r="BO107" s="148">
        <f t="shared" si="593"/>
        <v>358851.23</v>
      </c>
      <c r="BP107" s="123">
        <f>IFERROR(VLOOKUP(M107,MARUCA24,11,FALSE),"")</f>
        <v>64609.919999999998</v>
      </c>
      <c r="BQ107" s="123">
        <f t="shared" si="594"/>
        <v>902126.5</v>
      </c>
      <c r="BR107" s="123">
        <f t="shared" si="595"/>
        <v>84653.28</v>
      </c>
      <c r="BS107" s="125">
        <f t="shared" si="596"/>
        <v>986779.78</v>
      </c>
      <c r="BT107" s="140">
        <f t="shared" ref="BT107:BV107" si="664">SUM(BQ107,BM107,BI107)</f>
        <v>1256311.8699999999</v>
      </c>
      <c r="BU107" s="123">
        <f t="shared" si="664"/>
        <v>286922.92</v>
      </c>
      <c r="BV107" s="148">
        <f t="shared" si="664"/>
        <v>1543234.79</v>
      </c>
      <c r="BW107" s="125">
        <f>IFERROR(VLOOKUP(M107,MARUCA24,12,FALSE),"")</f>
        <v>485606.97</v>
      </c>
      <c r="BX107" s="140">
        <f t="shared" si="610"/>
        <v>236201.5</v>
      </c>
      <c r="BY107" s="123">
        <f t="shared" si="611"/>
        <v>147598.31</v>
      </c>
      <c r="BZ107" s="148">
        <f t="shared" si="612"/>
        <v>383799.81</v>
      </c>
      <c r="CA107" s="123">
        <f>IFERROR(VLOOKUP(M107,MARUCA24,13,FALSE),"")</f>
        <v>54292.160000000003</v>
      </c>
      <c r="CB107" s="326">
        <f>IFERROR(VLOOKUP(M107,MARUCA24,14,FALSE),"")</f>
        <v>354919.32</v>
      </c>
      <c r="CP107" s="294"/>
      <c r="CU107" s="294"/>
    </row>
    <row r="108" spans="1:99" ht="13">
      <c r="A108" s="566" t="e">
        <f t="shared" si="602"/>
        <v>#N/A</v>
      </c>
      <c r="B108" s="636">
        <f t="shared" si="560"/>
        <v>4</v>
      </c>
      <c r="C108" s="558" t="str">
        <f t="shared" si="613"/>
        <v>Lista</v>
      </c>
      <c r="D108" s="558">
        <f t="shared" si="614"/>
        <v>0.2</v>
      </c>
      <c r="E108" s="559">
        <f t="shared" si="615"/>
        <v>0</v>
      </c>
      <c r="F108" s="836">
        <f t="shared" si="561"/>
        <v>4</v>
      </c>
      <c r="G108" s="558" t="str">
        <f t="shared" si="562"/>
        <v>Lista</v>
      </c>
      <c r="H108" s="558">
        <f t="shared" si="563"/>
        <v>0.2</v>
      </c>
      <c r="I108" s="559">
        <f t="shared" si="564"/>
        <v>0</v>
      </c>
      <c r="J108" s="1214">
        <f t="shared" si="603"/>
        <v>70</v>
      </c>
      <c r="K108" s="558" t="str">
        <f t="shared" si="604"/>
        <v>Lista</v>
      </c>
      <c r="L108" s="715">
        <f t="shared" si="605"/>
        <v>0.11</v>
      </c>
      <c r="M108" s="1173" t="s">
        <v>878</v>
      </c>
      <c r="N108" s="1174">
        <f>IFERROR(VLOOKUP(M108,MARUCA24,3,FALSE),"")</f>
        <v>420306.38</v>
      </c>
      <c r="O108" s="332">
        <f>(N108*1.601)*1.05</f>
        <v>706556.04009899998</v>
      </c>
      <c r="P108" s="173">
        <f t="shared" si="565"/>
        <v>0</v>
      </c>
      <c r="Q108" s="561">
        <f t="shared" si="558"/>
        <v>213460.64</v>
      </c>
      <c r="R108" s="1112">
        <f t="shared" si="559"/>
        <v>213460.64</v>
      </c>
      <c r="S108" s="123"/>
      <c r="T108" s="326"/>
      <c r="U108" s="326">
        <f t="shared" ref="U108:U133" si="665">IFERROR(VLOOKUP(M108,MARUCA24,4,FALSE),"")</f>
        <v>364270.72</v>
      </c>
      <c r="V108" s="332">
        <f t="shared" ref="V108:V117" si="666">(U108*1.7245)*1.03</f>
        <v>647030.40233919991</v>
      </c>
      <c r="W108" s="173">
        <f t="shared" si="566"/>
        <v>0</v>
      </c>
      <c r="X108" s="561">
        <f t="shared" si="567"/>
        <v>1043516.4</v>
      </c>
      <c r="Y108" s="1112">
        <f t="shared" si="568"/>
        <v>1043516.4</v>
      </c>
      <c r="Z108" s="123"/>
      <c r="AA108" s="326"/>
      <c r="AB108" s="326">
        <f t="shared" ref="AB108:AB133" si="667">IFERROR(VLOOKUP(M108,MARUCA24,5,FALSE),"")</f>
        <v>670283.72</v>
      </c>
      <c r="AC108" s="332">
        <f t="shared" ref="AC108:AC117" si="668">(AB108*1.5955)*1.03</f>
        <v>1101520.8055177999</v>
      </c>
      <c r="AD108" s="173">
        <f t="shared" si="569"/>
        <v>0</v>
      </c>
      <c r="AE108" s="561">
        <f t="shared" si="570"/>
        <v>667894.23</v>
      </c>
      <c r="AF108" s="1112">
        <f t="shared" si="571"/>
        <v>667894.23</v>
      </c>
      <c r="AG108" s="123"/>
      <c r="AH108" s="326"/>
      <c r="AI108" s="332">
        <f t="shared" si="471"/>
        <v>2455107.2479559998</v>
      </c>
      <c r="AJ108" s="140">
        <f t="shared" si="572"/>
        <v>2554740.35</v>
      </c>
      <c r="AK108" s="326">
        <f t="shared" ref="AK108:AM108" si="669">AD108+W108+P108</f>
        <v>0</v>
      </c>
      <c r="AL108" s="326">
        <f t="shared" si="669"/>
        <v>1924871.27</v>
      </c>
      <c r="AM108" s="326">
        <f t="shared" si="669"/>
        <v>1924871.27</v>
      </c>
      <c r="AN108" s="326">
        <f t="shared" si="574"/>
        <v>-629869.08000000007</v>
      </c>
      <c r="AO108" s="98">
        <f t="shared" si="575"/>
        <v>0.7534508428615847</v>
      </c>
      <c r="AP108" s="125">
        <f t="shared" si="473"/>
        <v>645662.18000000005</v>
      </c>
      <c r="AQ108" s="326">
        <f t="shared" si="576"/>
        <v>0</v>
      </c>
      <c r="AR108" s="326">
        <f t="shared" si="577"/>
        <v>730697.92</v>
      </c>
      <c r="AS108" s="123">
        <f t="shared" si="578"/>
        <v>730697.92</v>
      </c>
      <c r="AT108" s="332">
        <f>IFERROR(VLOOKUP(M108,MARUCA24,7,FALSE),"")</f>
        <v>593695.55000000005</v>
      </c>
      <c r="AU108" s="140">
        <f t="shared" si="579"/>
        <v>13652.879999999888</v>
      </c>
      <c r="AV108" s="326">
        <f t="shared" si="580"/>
        <v>1457501.6</v>
      </c>
      <c r="AW108" s="333">
        <f t="shared" si="581"/>
        <v>1471154.48</v>
      </c>
      <c r="AX108" s="123">
        <f>IFERROR(VLOOKUP(M108,MARUCA24,8,FALSE),"")</f>
        <v>350915.75</v>
      </c>
      <c r="AY108" s="123">
        <f t="shared" si="582"/>
        <v>13652.879999999888</v>
      </c>
      <c r="AZ108" s="123">
        <f t="shared" si="583"/>
        <v>1272251.6000000001</v>
      </c>
      <c r="BA108" s="125">
        <f t="shared" si="584"/>
        <v>1285904.48</v>
      </c>
      <c r="BB108" s="1175">
        <f t="shared" ref="BB108:BD108" si="670">SUM(AQ108,AU108,AY108)</f>
        <v>27305.759999999776</v>
      </c>
      <c r="BC108" s="326">
        <f t="shared" si="670"/>
        <v>3460451.12</v>
      </c>
      <c r="BD108" s="333">
        <f t="shared" si="670"/>
        <v>3487756.88</v>
      </c>
      <c r="BE108" s="100">
        <f t="shared" si="586"/>
        <v>27305.759999999776</v>
      </c>
      <c r="BF108" s="116">
        <f t="shared" ref="BF108:BG108" si="671">BC108+AL108</f>
        <v>5385322.3900000006</v>
      </c>
      <c r="BG108" s="119">
        <f t="shared" si="671"/>
        <v>5412628.1500000004</v>
      </c>
      <c r="BH108" s="125">
        <f>IFERROR(VLOOKUP(M108,MARUCA24,9,FALSE),"")</f>
        <v>1067280.8799999999</v>
      </c>
      <c r="BI108" s="1041">
        <f t="shared" si="588"/>
        <v>0</v>
      </c>
      <c r="BJ108" s="326">
        <f t="shared" si="589"/>
        <v>1353114.86</v>
      </c>
      <c r="BK108" s="1045">
        <f t="shared" si="590"/>
        <v>1353114.86</v>
      </c>
      <c r="BL108" s="125">
        <f>IFERROR(VLOOKUP(M108,MARUCA24,10,FALSE),"")</f>
        <v>1432628.05</v>
      </c>
      <c r="BM108" s="140">
        <f t="shared" si="591"/>
        <v>38016.530000000028</v>
      </c>
      <c r="BN108" s="123">
        <f t="shared" si="592"/>
        <v>762905.75</v>
      </c>
      <c r="BO108" s="148">
        <f t="shared" si="593"/>
        <v>800922.28</v>
      </c>
      <c r="BP108" s="123">
        <f>IFERROR(VLOOKUP(M108,MARUCA24,11,FALSE),"")</f>
        <v>616699.46</v>
      </c>
      <c r="BQ108" s="123">
        <f t="shared" si="594"/>
        <v>0</v>
      </c>
      <c r="BR108" s="123">
        <f t="shared" si="595"/>
        <v>1081268.02</v>
      </c>
      <c r="BS108" s="125">
        <f t="shared" si="596"/>
        <v>1081268.02</v>
      </c>
      <c r="BT108" s="140">
        <f t="shared" ref="BT108:BV108" si="672">SUM(BQ108,BM108,BI108)</f>
        <v>38016.530000000028</v>
      </c>
      <c r="BU108" s="123">
        <f t="shared" si="672"/>
        <v>3197288.63</v>
      </c>
      <c r="BV108" s="148">
        <f t="shared" si="672"/>
        <v>3235305.16</v>
      </c>
      <c r="BW108" s="125">
        <f>IFERROR(VLOOKUP(M108,MARUCA24,12,FALSE),"")</f>
        <v>784132.83</v>
      </c>
      <c r="BX108" s="140">
        <f t="shared" si="610"/>
        <v>145583.14000000001</v>
      </c>
      <c r="BY108" s="123">
        <f t="shared" si="611"/>
        <v>174882.57</v>
      </c>
      <c r="BZ108" s="148">
        <f t="shared" si="612"/>
        <v>320465.71000000002</v>
      </c>
      <c r="CA108" s="123">
        <f>IFERROR(VLOOKUP(M108,MARUCA24,13,FALSE),"")</f>
        <v>946598.64</v>
      </c>
      <c r="CB108" s="326">
        <f>IFERROR(VLOOKUP(M108,MARUCA24,14,FALSE),"")</f>
        <v>824008.88</v>
      </c>
      <c r="CP108" s="294"/>
      <c r="CU108" s="294"/>
    </row>
    <row r="109" spans="1:99" ht="13">
      <c r="A109" s="566" t="e">
        <f t="shared" si="602"/>
        <v>#N/A</v>
      </c>
      <c r="B109" s="636">
        <f t="shared" si="560"/>
        <v>4</v>
      </c>
      <c r="C109" s="558" t="str">
        <f t="shared" si="613"/>
        <v>Lista</v>
      </c>
      <c r="D109" s="558">
        <f t="shared" si="614"/>
        <v>0.2</v>
      </c>
      <c r="E109" s="559">
        <f t="shared" si="615"/>
        <v>0</v>
      </c>
      <c r="F109" s="836">
        <f t="shared" si="561"/>
        <v>4</v>
      </c>
      <c r="G109" s="558" t="str">
        <f t="shared" si="562"/>
        <v>Lista</v>
      </c>
      <c r="H109" s="558">
        <f t="shared" si="563"/>
        <v>0.2</v>
      </c>
      <c r="I109" s="559">
        <f t="shared" si="564"/>
        <v>0</v>
      </c>
      <c r="J109" s="1214">
        <f t="shared" si="603"/>
        <v>70</v>
      </c>
      <c r="K109" s="558" t="str">
        <f t="shared" si="604"/>
        <v>Lista</v>
      </c>
      <c r="L109" s="715">
        <f t="shared" si="605"/>
        <v>0.11</v>
      </c>
      <c r="M109" s="1192" t="s">
        <v>1198</v>
      </c>
      <c r="N109" s="1174"/>
      <c r="O109" s="332"/>
      <c r="P109" s="173">
        <f t="shared" si="565"/>
        <v>0</v>
      </c>
      <c r="Q109" s="561">
        <f t="shared" si="558"/>
        <v>0</v>
      </c>
      <c r="R109" s="1112">
        <f t="shared" si="559"/>
        <v>0</v>
      </c>
      <c r="S109" s="123"/>
      <c r="T109" s="326"/>
      <c r="U109" s="326" t="str">
        <f t="shared" si="665"/>
        <v/>
      </c>
      <c r="V109" s="332" t="e">
        <f t="shared" si="666"/>
        <v>#VALUE!</v>
      </c>
      <c r="W109" s="173">
        <f t="shared" si="566"/>
        <v>0</v>
      </c>
      <c r="X109" s="561">
        <f t="shared" si="567"/>
        <v>0</v>
      </c>
      <c r="Y109" s="1112">
        <f t="shared" si="568"/>
        <v>0</v>
      </c>
      <c r="Z109" s="123"/>
      <c r="AA109" s="326"/>
      <c r="AB109" s="326" t="str">
        <f t="shared" si="667"/>
        <v/>
      </c>
      <c r="AC109" s="332" t="e">
        <f t="shared" si="668"/>
        <v>#VALUE!</v>
      </c>
      <c r="AD109" s="173">
        <f t="shared" si="569"/>
        <v>0</v>
      </c>
      <c r="AE109" s="561">
        <f t="shared" si="570"/>
        <v>0</v>
      </c>
      <c r="AF109" s="1112">
        <f t="shared" si="571"/>
        <v>0</v>
      </c>
      <c r="AG109" s="123"/>
      <c r="AH109" s="326"/>
      <c r="AI109" s="332" t="e">
        <f t="shared" si="471"/>
        <v>#VALUE!</v>
      </c>
      <c r="AJ109" s="140" t="str">
        <f t="shared" si="572"/>
        <v>0</v>
      </c>
      <c r="AK109" s="326">
        <f t="shared" ref="AK109:AM109" si="673">AD109+W109+P109</f>
        <v>0</v>
      </c>
      <c r="AL109" s="326">
        <f t="shared" si="673"/>
        <v>0</v>
      </c>
      <c r="AM109" s="326">
        <f t="shared" si="673"/>
        <v>0</v>
      </c>
      <c r="AN109" s="326">
        <f t="shared" si="574"/>
        <v>0</v>
      </c>
      <c r="AO109" s="98" t="str">
        <f t="shared" si="575"/>
        <v/>
      </c>
      <c r="AP109" s="125"/>
      <c r="AQ109" s="326">
        <f t="shared" si="576"/>
        <v>0</v>
      </c>
      <c r="AR109" s="326">
        <f t="shared" si="577"/>
        <v>77223.199999999997</v>
      </c>
      <c r="AS109" s="123">
        <f t="shared" si="578"/>
        <v>77223.199999999997</v>
      </c>
      <c r="AT109" s="332"/>
      <c r="AU109" s="140">
        <f t="shared" si="579"/>
        <v>65819.889999999985</v>
      </c>
      <c r="AV109" s="326">
        <f t="shared" si="580"/>
        <v>252141.6</v>
      </c>
      <c r="AW109" s="333">
        <f t="shared" si="581"/>
        <v>317961.49</v>
      </c>
      <c r="AX109" s="123"/>
      <c r="AY109" s="123">
        <f t="shared" si="582"/>
        <v>0</v>
      </c>
      <c r="AZ109" s="123">
        <f t="shared" si="583"/>
        <v>283016.40000000002</v>
      </c>
      <c r="BA109" s="125">
        <f t="shared" si="584"/>
        <v>283016.40000000002</v>
      </c>
      <c r="BB109" s="1175">
        <f t="shared" ref="BB109:BD109" si="674">SUM(AQ109,AU109,AY109)</f>
        <v>65819.889999999985</v>
      </c>
      <c r="BC109" s="326">
        <f t="shared" si="674"/>
        <v>612381.19999999995</v>
      </c>
      <c r="BD109" s="333">
        <f t="shared" si="674"/>
        <v>678201.09000000008</v>
      </c>
      <c r="BE109" s="100">
        <f t="shared" si="586"/>
        <v>65819.889999999985</v>
      </c>
      <c r="BF109" s="116">
        <f t="shared" ref="BF109:BG109" si="675">BC109+AL109</f>
        <v>612381.19999999995</v>
      </c>
      <c r="BG109" s="119">
        <f t="shared" si="675"/>
        <v>678201.09000000008</v>
      </c>
      <c r="BH109" s="125"/>
      <c r="BI109" s="1041">
        <f t="shared" si="588"/>
        <v>0</v>
      </c>
      <c r="BJ109" s="326">
        <f t="shared" si="589"/>
        <v>45978.400000000001</v>
      </c>
      <c r="BK109" s="1045">
        <f t="shared" si="590"/>
        <v>45978.400000000001</v>
      </c>
      <c r="BL109" s="125"/>
      <c r="BM109" s="140">
        <f t="shared" si="591"/>
        <v>0</v>
      </c>
      <c r="BN109" s="123">
        <f t="shared" si="592"/>
        <v>200210.02</v>
      </c>
      <c r="BO109" s="148">
        <f t="shared" si="593"/>
        <v>200210.02</v>
      </c>
      <c r="BP109" s="123"/>
      <c r="BQ109" s="123">
        <f t="shared" si="594"/>
        <v>0</v>
      </c>
      <c r="BR109" s="123">
        <f t="shared" si="595"/>
        <v>83018.080000000002</v>
      </c>
      <c r="BS109" s="125">
        <f t="shared" si="596"/>
        <v>83018.080000000002</v>
      </c>
      <c r="BT109" s="140">
        <f t="shared" ref="BT109:BV109" si="676">SUM(BQ109,BM109,BI109)</f>
        <v>0</v>
      </c>
      <c r="BU109" s="123">
        <f t="shared" si="676"/>
        <v>329206.5</v>
      </c>
      <c r="BV109" s="148">
        <f t="shared" si="676"/>
        <v>329206.5</v>
      </c>
      <c r="BW109" s="125"/>
      <c r="BX109" s="140">
        <f t="shared" si="610"/>
        <v>0</v>
      </c>
      <c r="BY109" s="123">
        <f t="shared" si="611"/>
        <v>0</v>
      </c>
      <c r="BZ109" s="148">
        <f t="shared" si="612"/>
        <v>0</v>
      </c>
      <c r="CA109" s="123"/>
      <c r="CB109" s="326"/>
      <c r="CP109" s="294"/>
      <c r="CU109" s="294"/>
    </row>
    <row r="110" spans="1:99" ht="13">
      <c r="A110" s="566" t="e">
        <f t="shared" si="602"/>
        <v>#N/A</v>
      </c>
      <c r="B110" s="636">
        <f t="shared" si="560"/>
        <v>4</v>
      </c>
      <c r="C110" s="558" t="str">
        <f t="shared" si="613"/>
        <v>Lista</v>
      </c>
      <c r="D110" s="558">
        <f t="shared" si="614"/>
        <v>0.2</v>
      </c>
      <c r="E110" s="559">
        <f t="shared" si="615"/>
        <v>0</v>
      </c>
      <c r="F110" s="836">
        <f t="shared" si="561"/>
        <v>4</v>
      </c>
      <c r="G110" s="558" t="str">
        <f t="shared" si="562"/>
        <v>Lista</v>
      </c>
      <c r="H110" s="558">
        <f t="shared" si="563"/>
        <v>0.2</v>
      </c>
      <c r="I110" s="559">
        <f t="shared" si="564"/>
        <v>0</v>
      </c>
      <c r="J110" s="1214">
        <f t="shared" si="603"/>
        <v>70</v>
      </c>
      <c r="K110" s="558" t="str">
        <f t="shared" si="604"/>
        <v>Lista</v>
      </c>
      <c r="L110" s="715">
        <f t="shared" si="605"/>
        <v>0.11</v>
      </c>
      <c r="M110" s="1173" t="s">
        <v>1199</v>
      </c>
      <c r="N110" s="1174">
        <f t="shared" ref="N110:N133" si="677">IFERROR(VLOOKUP(M110,MARUCA24,3,FALSE),"")</f>
        <v>171589.36</v>
      </c>
      <c r="O110" s="332">
        <f t="shared" ref="O110:O117" si="678">(N110*1.601)*1.05</f>
        <v>288450.29362799996</v>
      </c>
      <c r="P110" s="173">
        <f t="shared" si="565"/>
        <v>121115.68</v>
      </c>
      <c r="Q110" s="561">
        <f t="shared" si="558"/>
        <v>486661.66</v>
      </c>
      <c r="R110" s="1112">
        <f t="shared" si="559"/>
        <v>607777.34</v>
      </c>
      <c r="S110" s="123"/>
      <c r="T110" s="326"/>
      <c r="U110" s="326">
        <f t="shared" si="665"/>
        <v>318578.32</v>
      </c>
      <c r="V110" s="332">
        <f t="shared" si="666"/>
        <v>565869.96222520003</v>
      </c>
      <c r="W110" s="173">
        <f t="shared" si="566"/>
        <v>109459.31999999995</v>
      </c>
      <c r="X110" s="561">
        <f t="shared" si="567"/>
        <v>382481.84</v>
      </c>
      <c r="Y110" s="1112">
        <f t="shared" si="568"/>
        <v>491941.16</v>
      </c>
      <c r="Z110" s="123"/>
      <c r="AA110" s="326"/>
      <c r="AB110" s="326">
        <f t="shared" si="667"/>
        <v>78830.8</v>
      </c>
      <c r="AC110" s="332">
        <f t="shared" si="668"/>
        <v>129547.777642</v>
      </c>
      <c r="AD110" s="173">
        <f t="shared" si="569"/>
        <v>0</v>
      </c>
      <c r="AE110" s="561">
        <f t="shared" si="570"/>
        <v>262287.2</v>
      </c>
      <c r="AF110" s="1112">
        <f t="shared" si="571"/>
        <v>262287.2</v>
      </c>
      <c r="AG110" s="123"/>
      <c r="AH110" s="326"/>
      <c r="AI110" s="332">
        <f t="shared" si="471"/>
        <v>983868.03349519998</v>
      </c>
      <c r="AJ110" s="140">
        <f t="shared" si="572"/>
        <v>1084561.1000000001</v>
      </c>
      <c r="AK110" s="326">
        <f t="shared" ref="AK110:AM110" si="679">AD110+W110+P110</f>
        <v>230574.99999999994</v>
      </c>
      <c r="AL110" s="326">
        <f t="shared" si="679"/>
        <v>1131430.7</v>
      </c>
      <c r="AM110" s="326">
        <f t="shared" si="679"/>
        <v>1362005.7</v>
      </c>
      <c r="AN110" s="326">
        <f t="shared" si="574"/>
        <v>277444.59999999986</v>
      </c>
      <c r="AO110" s="98">
        <f t="shared" si="575"/>
        <v>1.2558127891549862</v>
      </c>
      <c r="AP110" s="125">
        <f t="shared" ref="AP110:AP133" si="680">IFERROR(VLOOKUP(M110,MARUCA24,6,FALSE),"")</f>
        <v>359516.96</v>
      </c>
      <c r="AQ110" s="326">
        <f t="shared" si="576"/>
        <v>0</v>
      </c>
      <c r="AR110" s="326">
        <f t="shared" si="577"/>
        <v>127486.48</v>
      </c>
      <c r="AS110" s="123">
        <f t="shared" si="578"/>
        <v>127486.48</v>
      </c>
      <c r="AT110" s="332">
        <f t="shared" ref="AT110:AT133" si="681">IFERROR(VLOOKUP(M110,MARUCA24,7,FALSE),"")</f>
        <v>282493.2</v>
      </c>
      <c r="AU110" s="140">
        <f t="shared" si="579"/>
        <v>0</v>
      </c>
      <c r="AV110" s="326">
        <f t="shared" si="580"/>
        <v>261143.28</v>
      </c>
      <c r="AW110" s="333">
        <f t="shared" si="581"/>
        <v>261143.28</v>
      </c>
      <c r="AX110" s="123">
        <f t="shared" ref="AX110:AX133" si="682">IFERROR(VLOOKUP(M110,MARUCA24,8,FALSE),"")</f>
        <v>425617.03</v>
      </c>
      <c r="AY110" s="123">
        <f t="shared" si="582"/>
        <v>0</v>
      </c>
      <c r="AZ110" s="123">
        <f t="shared" si="583"/>
        <v>313125.05</v>
      </c>
      <c r="BA110" s="125">
        <f t="shared" si="584"/>
        <v>313125.05</v>
      </c>
      <c r="BB110" s="1175">
        <f t="shared" ref="BB110:BD110" si="683">SUM(AQ110,AU110,AY110)</f>
        <v>0</v>
      </c>
      <c r="BC110" s="326">
        <f t="shared" si="683"/>
        <v>701754.81</v>
      </c>
      <c r="BD110" s="333">
        <f t="shared" si="683"/>
        <v>701754.81</v>
      </c>
      <c r="BE110" s="100">
        <f t="shared" si="586"/>
        <v>230574.99999999994</v>
      </c>
      <c r="BF110" s="116">
        <f t="shared" ref="BF110:BG110" si="684">BC110+AL110</f>
        <v>1833185.51</v>
      </c>
      <c r="BG110" s="119">
        <f t="shared" si="684"/>
        <v>2063760.51</v>
      </c>
      <c r="BH110" s="125">
        <f t="shared" ref="BH110:BH133" si="685">IFERROR(VLOOKUP(M110,MARUCA24,9,FALSE),"")</f>
        <v>458483.68</v>
      </c>
      <c r="BI110" s="1041">
        <f t="shared" si="588"/>
        <v>0</v>
      </c>
      <c r="BJ110" s="326">
        <f t="shared" si="589"/>
        <v>350765.2</v>
      </c>
      <c r="BK110" s="1045">
        <f t="shared" si="590"/>
        <v>350765.2</v>
      </c>
      <c r="BL110" s="125">
        <f t="shared" ref="BL110:BL133" si="686">IFERROR(VLOOKUP(M110,MARUCA24,10,FALSE),"")</f>
        <v>597549.04</v>
      </c>
      <c r="BM110" s="140">
        <f t="shared" si="591"/>
        <v>207359.62999999995</v>
      </c>
      <c r="BN110" s="123">
        <f t="shared" si="592"/>
        <v>321612.08</v>
      </c>
      <c r="BO110" s="148">
        <f t="shared" si="593"/>
        <v>528971.71</v>
      </c>
      <c r="BP110" s="123">
        <f t="shared" ref="BP110:BP133" si="687">IFERROR(VLOOKUP(M110,MARUCA24,11,FALSE),"")</f>
        <v>203695.68</v>
      </c>
      <c r="BQ110" s="123">
        <f t="shared" si="594"/>
        <v>0</v>
      </c>
      <c r="BR110" s="123">
        <f t="shared" si="595"/>
        <v>341394.16</v>
      </c>
      <c r="BS110" s="125">
        <f t="shared" si="596"/>
        <v>341394.16</v>
      </c>
      <c r="BT110" s="140">
        <f t="shared" ref="BT110:BV110" si="688">SUM(BQ110,BM110,BI110)</f>
        <v>207359.62999999995</v>
      </c>
      <c r="BU110" s="123">
        <f t="shared" si="688"/>
        <v>1013771.44</v>
      </c>
      <c r="BV110" s="148">
        <f t="shared" si="688"/>
        <v>1221131.0699999998</v>
      </c>
      <c r="BW110" s="125">
        <f t="shared" ref="BW110:BW133" si="689">IFERROR(VLOOKUP(M110,MARUCA24,12,FALSE),"")</f>
        <v>390723.34</v>
      </c>
      <c r="BX110" s="140">
        <f t="shared" si="610"/>
        <v>0</v>
      </c>
      <c r="BY110" s="123">
        <f t="shared" si="611"/>
        <v>219130.28</v>
      </c>
      <c r="BZ110" s="148">
        <f t="shared" si="612"/>
        <v>219130.28</v>
      </c>
      <c r="CA110" s="123">
        <f t="shared" ref="CA110:CA133" si="690">IFERROR(VLOOKUP(M110,MARUCA24,13,FALSE),"")</f>
        <v>241643.68</v>
      </c>
      <c r="CB110" s="326">
        <f t="shared" ref="CB110:CB133" si="691">IFERROR(VLOOKUP(M110,MARUCA24,14,FALSE),"")</f>
        <v>452194.08</v>
      </c>
      <c r="CP110" s="294"/>
      <c r="CU110" s="294"/>
    </row>
    <row r="111" spans="1:99" ht="13">
      <c r="A111" s="566" t="e">
        <f t="shared" si="602"/>
        <v>#N/A</v>
      </c>
      <c r="B111" s="636">
        <f t="shared" si="560"/>
        <v>4</v>
      </c>
      <c r="C111" s="558" t="str">
        <f t="shared" si="613"/>
        <v>Lista</v>
      </c>
      <c r="D111" s="558">
        <f t="shared" si="614"/>
        <v>0.2</v>
      </c>
      <c r="E111" s="559">
        <f t="shared" si="615"/>
        <v>0</v>
      </c>
      <c r="F111" s="836">
        <f t="shared" si="561"/>
        <v>4</v>
      </c>
      <c r="G111" s="558" t="str">
        <f t="shared" si="562"/>
        <v>Lista</v>
      </c>
      <c r="H111" s="558">
        <f t="shared" si="563"/>
        <v>0.2</v>
      </c>
      <c r="I111" s="559">
        <f t="shared" si="564"/>
        <v>0</v>
      </c>
      <c r="J111" s="1214">
        <f t="shared" si="603"/>
        <v>70</v>
      </c>
      <c r="K111" s="558" t="str">
        <f t="shared" si="604"/>
        <v>Lista</v>
      </c>
      <c r="L111" s="715">
        <f t="shared" si="605"/>
        <v>0.11</v>
      </c>
      <c r="M111" s="1173" t="s">
        <v>1200</v>
      </c>
      <c r="N111" s="1174">
        <f t="shared" si="677"/>
        <v>0</v>
      </c>
      <c r="O111" s="332">
        <f t="shared" si="678"/>
        <v>0</v>
      </c>
      <c r="P111" s="173" t="e">
        <f t="shared" si="565"/>
        <v>#VALUE!</v>
      </c>
      <c r="Q111" s="561" t="str">
        <f t="shared" si="558"/>
        <v/>
      </c>
      <c r="R111" s="1112" t="str">
        <f t="shared" si="559"/>
        <v/>
      </c>
      <c r="S111" s="123"/>
      <c r="T111" s="326"/>
      <c r="U111" s="326">
        <f t="shared" si="665"/>
        <v>0</v>
      </c>
      <c r="V111" s="332">
        <f t="shared" si="666"/>
        <v>0</v>
      </c>
      <c r="W111" s="173" t="e">
        <f t="shared" si="566"/>
        <v>#VALUE!</v>
      </c>
      <c r="X111" s="561" t="str">
        <f t="shared" si="567"/>
        <v/>
      </c>
      <c r="Y111" s="1112" t="str">
        <f t="shared" si="568"/>
        <v/>
      </c>
      <c r="Z111" s="123"/>
      <c r="AA111" s="326"/>
      <c r="AB111" s="326">
        <f t="shared" si="667"/>
        <v>0</v>
      </c>
      <c r="AC111" s="332">
        <f t="shared" si="668"/>
        <v>0</v>
      </c>
      <c r="AD111" s="173" t="e">
        <f t="shared" si="569"/>
        <v>#VALUE!</v>
      </c>
      <c r="AE111" s="561" t="str">
        <f t="shared" si="570"/>
        <v/>
      </c>
      <c r="AF111" s="1112" t="str">
        <f t="shared" si="571"/>
        <v/>
      </c>
      <c r="AG111" s="123"/>
      <c r="AH111" s="326"/>
      <c r="AI111" s="332">
        <f t="shared" si="471"/>
        <v>0</v>
      </c>
      <c r="AJ111" s="140">
        <f t="shared" si="572"/>
        <v>35083.53</v>
      </c>
      <c r="AK111" s="326" t="e">
        <f t="shared" ref="AK111:AM111" si="692">AD111+W111+P111</f>
        <v>#VALUE!</v>
      </c>
      <c r="AL111" s="326" t="e">
        <f t="shared" si="692"/>
        <v>#VALUE!</v>
      </c>
      <c r="AM111" s="326" t="e">
        <f t="shared" si="692"/>
        <v>#VALUE!</v>
      </c>
      <c r="AN111" s="326" t="e">
        <f t="shared" si="574"/>
        <v>#VALUE!</v>
      </c>
      <c r="AO111" s="98" t="str">
        <f t="shared" si="575"/>
        <v/>
      </c>
      <c r="AP111" s="125">
        <f t="shared" si="680"/>
        <v>0</v>
      </c>
      <c r="AQ111" s="326" t="e">
        <f t="shared" si="576"/>
        <v>#VALUE!</v>
      </c>
      <c r="AR111" s="326" t="str">
        <f t="shared" si="577"/>
        <v/>
      </c>
      <c r="AS111" s="123" t="str">
        <f t="shared" si="578"/>
        <v/>
      </c>
      <c r="AT111" s="332">
        <f t="shared" si="681"/>
        <v>0</v>
      </c>
      <c r="AU111" s="140" t="e">
        <f t="shared" si="579"/>
        <v>#VALUE!</v>
      </c>
      <c r="AV111" s="326" t="str">
        <f t="shared" si="580"/>
        <v/>
      </c>
      <c r="AW111" s="333" t="str">
        <f t="shared" si="581"/>
        <v/>
      </c>
      <c r="AX111" s="123">
        <f t="shared" si="682"/>
        <v>0</v>
      </c>
      <c r="AY111" s="123" t="e">
        <f t="shared" si="582"/>
        <v>#VALUE!</v>
      </c>
      <c r="AZ111" s="123" t="str">
        <f t="shared" si="583"/>
        <v/>
      </c>
      <c r="BA111" s="125" t="str">
        <f t="shared" si="584"/>
        <v/>
      </c>
      <c r="BB111" s="1175" t="e">
        <f t="shared" ref="BB111:BD111" si="693">SUM(AQ111,AU111,AY111)</f>
        <v>#VALUE!</v>
      </c>
      <c r="BC111" s="326">
        <f t="shared" si="693"/>
        <v>0</v>
      </c>
      <c r="BD111" s="333">
        <f t="shared" si="693"/>
        <v>0</v>
      </c>
      <c r="BE111" s="100" t="e">
        <f t="shared" si="586"/>
        <v>#VALUE!</v>
      </c>
      <c r="BF111" s="116" t="e">
        <f t="shared" ref="BF111:BG111" si="694">BC111+AL111</f>
        <v>#VALUE!</v>
      </c>
      <c r="BG111" s="119" t="e">
        <f t="shared" si="694"/>
        <v>#VALUE!</v>
      </c>
      <c r="BH111" s="125">
        <f t="shared" si="685"/>
        <v>0</v>
      </c>
      <c r="BI111" s="1041" t="e">
        <f t="shared" si="588"/>
        <v>#VALUE!</v>
      </c>
      <c r="BJ111" s="326" t="str">
        <f t="shared" si="589"/>
        <v/>
      </c>
      <c r="BK111" s="1045" t="str">
        <f t="shared" si="590"/>
        <v/>
      </c>
      <c r="BL111" s="125">
        <f t="shared" si="686"/>
        <v>0</v>
      </c>
      <c r="BM111" s="140" t="e">
        <f t="shared" si="591"/>
        <v>#VALUE!</v>
      </c>
      <c r="BN111" s="123" t="str">
        <f t="shared" si="592"/>
        <v/>
      </c>
      <c r="BO111" s="148" t="str">
        <f t="shared" si="593"/>
        <v/>
      </c>
      <c r="BP111" s="123">
        <f t="shared" si="687"/>
        <v>29311.62</v>
      </c>
      <c r="BQ111" s="123" t="e">
        <f t="shared" si="594"/>
        <v>#VALUE!</v>
      </c>
      <c r="BR111" s="123" t="str">
        <f t="shared" si="595"/>
        <v/>
      </c>
      <c r="BS111" s="125" t="str">
        <f t="shared" si="596"/>
        <v/>
      </c>
      <c r="BT111" s="140" t="e">
        <f t="shared" ref="BT111:BV111" si="695">SUM(BQ111,BM111,BI111)</f>
        <v>#VALUE!</v>
      </c>
      <c r="BU111" s="123">
        <f t="shared" si="695"/>
        <v>0</v>
      </c>
      <c r="BV111" s="148">
        <f t="shared" si="695"/>
        <v>0</v>
      </c>
      <c r="BW111" s="125">
        <f t="shared" si="689"/>
        <v>19721.34</v>
      </c>
      <c r="BX111" s="140" t="e">
        <f t="shared" si="610"/>
        <v>#VALUE!</v>
      </c>
      <c r="BY111" s="123" t="str">
        <f t="shared" si="611"/>
        <v/>
      </c>
      <c r="BZ111" s="148" t="str">
        <f t="shared" si="612"/>
        <v/>
      </c>
      <c r="CA111" s="123">
        <f t="shared" si="690"/>
        <v>0</v>
      </c>
      <c r="CB111" s="326">
        <f t="shared" si="691"/>
        <v>15362.19</v>
      </c>
      <c r="CP111" s="294"/>
      <c r="CU111" s="294"/>
    </row>
    <row r="112" spans="1:99" ht="13">
      <c r="A112" s="566" t="e">
        <f t="shared" si="602"/>
        <v>#N/A</v>
      </c>
      <c r="B112" s="636">
        <f t="shared" si="560"/>
        <v>4</v>
      </c>
      <c r="C112" s="558" t="str">
        <f t="shared" si="613"/>
        <v>Lista</v>
      </c>
      <c r="D112" s="558">
        <f t="shared" si="614"/>
        <v>0.2</v>
      </c>
      <c r="E112" s="559">
        <f t="shared" si="615"/>
        <v>0</v>
      </c>
      <c r="F112" s="836">
        <f t="shared" si="561"/>
        <v>4</v>
      </c>
      <c r="G112" s="558" t="str">
        <f t="shared" si="562"/>
        <v>Lista</v>
      </c>
      <c r="H112" s="558">
        <f t="shared" si="563"/>
        <v>0.2</v>
      </c>
      <c r="I112" s="559">
        <f t="shared" si="564"/>
        <v>0</v>
      </c>
      <c r="J112" s="1214">
        <f t="shared" si="603"/>
        <v>70</v>
      </c>
      <c r="K112" s="558" t="str">
        <f t="shared" si="604"/>
        <v>Lista</v>
      </c>
      <c r="L112" s="715">
        <f t="shared" si="605"/>
        <v>0.11</v>
      </c>
      <c r="M112" s="1173" t="s">
        <v>1201</v>
      </c>
      <c r="N112" s="1174">
        <f t="shared" si="677"/>
        <v>0</v>
      </c>
      <c r="O112" s="332">
        <f t="shared" si="678"/>
        <v>0</v>
      </c>
      <c r="P112" s="173">
        <f t="shared" si="565"/>
        <v>0</v>
      </c>
      <c r="Q112" s="561">
        <f t="shared" si="558"/>
        <v>200029.52</v>
      </c>
      <c r="R112" s="1112">
        <f t="shared" si="559"/>
        <v>200029.52</v>
      </c>
      <c r="S112" s="123"/>
      <c r="T112" s="326"/>
      <c r="U112" s="326">
        <f t="shared" si="665"/>
        <v>0</v>
      </c>
      <c r="V112" s="332">
        <f t="shared" si="666"/>
        <v>0</v>
      </c>
      <c r="W112" s="173">
        <f t="shared" si="566"/>
        <v>0</v>
      </c>
      <c r="X112" s="561">
        <f t="shared" si="567"/>
        <v>154594.14000000001</v>
      </c>
      <c r="Y112" s="1112">
        <f t="shared" si="568"/>
        <v>154594.14000000001</v>
      </c>
      <c r="Z112" s="123"/>
      <c r="AA112" s="326"/>
      <c r="AB112" s="326">
        <f t="shared" si="667"/>
        <v>0</v>
      </c>
      <c r="AC112" s="332">
        <f t="shared" si="668"/>
        <v>0</v>
      </c>
      <c r="AD112" s="173">
        <f t="shared" si="569"/>
        <v>0</v>
      </c>
      <c r="AE112" s="561">
        <f t="shared" si="570"/>
        <v>244435.28</v>
      </c>
      <c r="AF112" s="1112">
        <f t="shared" si="571"/>
        <v>244435.28</v>
      </c>
      <c r="AG112" s="123"/>
      <c r="AH112" s="326"/>
      <c r="AI112" s="332">
        <f t="shared" si="471"/>
        <v>0</v>
      </c>
      <c r="AJ112" s="140">
        <f t="shared" si="572"/>
        <v>413326.33</v>
      </c>
      <c r="AK112" s="326">
        <f t="shared" ref="AK112:AM112" si="696">AD112+W112+P112</f>
        <v>0</v>
      </c>
      <c r="AL112" s="326">
        <f t="shared" si="696"/>
        <v>599058.94000000006</v>
      </c>
      <c r="AM112" s="326">
        <f t="shared" si="696"/>
        <v>599058.94000000006</v>
      </c>
      <c r="AN112" s="326">
        <f t="shared" si="574"/>
        <v>185732.61000000004</v>
      </c>
      <c r="AO112" s="98">
        <f t="shared" si="575"/>
        <v>1.4493607024744832</v>
      </c>
      <c r="AP112" s="125">
        <f t="shared" si="680"/>
        <v>0</v>
      </c>
      <c r="AQ112" s="326">
        <f t="shared" si="576"/>
        <v>0</v>
      </c>
      <c r="AR112" s="326">
        <f t="shared" si="577"/>
        <v>106450.56</v>
      </c>
      <c r="AS112" s="123">
        <f t="shared" si="578"/>
        <v>106450.56</v>
      </c>
      <c r="AT112" s="332">
        <f t="shared" si="681"/>
        <v>0</v>
      </c>
      <c r="AU112" s="140">
        <f t="shared" si="579"/>
        <v>0</v>
      </c>
      <c r="AV112" s="326">
        <f t="shared" si="580"/>
        <v>151087.64000000001</v>
      </c>
      <c r="AW112" s="333">
        <f t="shared" si="581"/>
        <v>151087.64000000001</v>
      </c>
      <c r="AX112" s="123">
        <f t="shared" si="682"/>
        <v>0</v>
      </c>
      <c r="AY112" s="123">
        <f t="shared" si="582"/>
        <v>0</v>
      </c>
      <c r="AZ112" s="123">
        <f t="shared" si="583"/>
        <v>366385.97</v>
      </c>
      <c r="BA112" s="125">
        <f t="shared" si="584"/>
        <v>366385.97</v>
      </c>
      <c r="BB112" s="1175">
        <f t="shared" ref="BB112:BD112" si="697">SUM(AQ112,AU112,AY112)</f>
        <v>0</v>
      </c>
      <c r="BC112" s="326">
        <f t="shared" si="697"/>
        <v>623924.16999999993</v>
      </c>
      <c r="BD112" s="333">
        <f t="shared" si="697"/>
        <v>623924.16999999993</v>
      </c>
      <c r="BE112" s="100">
        <f t="shared" si="586"/>
        <v>0</v>
      </c>
      <c r="BF112" s="116">
        <f t="shared" ref="BF112:BG112" si="698">BC112+AL112</f>
        <v>1222983.1099999999</v>
      </c>
      <c r="BG112" s="119">
        <f t="shared" si="698"/>
        <v>1222983.1099999999</v>
      </c>
      <c r="BH112" s="125">
        <f t="shared" si="685"/>
        <v>0</v>
      </c>
      <c r="BI112" s="1041">
        <f t="shared" si="588"/>
        <v>0</v>
      </c>
      <c r="BJ112" s="326">
        <f t="shared" si="589"/>
        <v>241782.16</v>
      </c>
      <c r="BK112" s="1045">
        <f t="shared" si="590"/>
        <v>241782.16</v>
      </c>
      <c r="BL112" s="125">
        <f t="shared" si="686"/>
        <v>0</v>
      </c>
      <c r="BM112" s="140">
        <f t="shared" si="591"/>
        <v>0</v>
      </c>
      <c r="BN112" s="123">
        <f t="shared" si="592"/>
        <v>184398.4</v>
      </c>
      <c r="BO112" s="148">
        <f t="shared" si="593"/>
        <v>184398.4</v>
      </c>
      <c r="BP112" s="123">
        <f t="shared" si="687"/>
        <v>65265</v>
      </c>
      <c r="BQ112" s="123">
        <f t="shared" si="594"/>
        <v>0</v>
      </c>
      <c r="BR112" s="123">
        <f t="shared" si="595"/>
        <v>106880.48</v>
      </c>
      <c r="BS112" s="125">
        <f t="shared" si="596"/>
        <v>106880.48</v>
      </c>
      <c r="BT112" s="140">
        <f t="shared" ref="BT112:BV112" si="699">SUM(BQ112,BM112,BI112)</f>
        <v>0</v>
      </c>
      <c r="BU112" s="123">
        <f t="shared" si="699"/>
        <v>533061.04</v>
      </c>
      <c r="BV112" s="148">
        <f t="shared" si="699"/>
        <v>533061.04</v>
      </c>
      <c r="BW112" s="125">
        <f t="shared" si="689"/>
        <v>116833.4</v>
      </c>
      <c r="BX112" s="140">
        <f t="shared" si="610"/>
        <v>0</v>
      </c>
      <c r="BY112" s="123">
        <f t="shared" si="611"/>
        <v>581684.93000000005</v>
      </c>
      <c r="BZ112" s="148">
        <f t="shared" si="612"/>
        <v>581684.93000000005</v>
      </c>
      <c r="CA112" s="123">
        <f t="shared" si="690"/>
        <v>122774.46</v>
      </c>
      <c r="CB112" s="326">
        <f t="shared" si="691"/>
        <v>173718.46</v>
      </c>
      <c r="CP112" s="294"/>
      <c r="CU112" s="294"/>
    </row>
    <row r="113" spans="1:99" ht="13">
      <c r="A113" s="566" t="e">
        <f t="shared" si="602"/>
        <v>#N/A</v>
      </c>
      <c r="B113" s="636">
        <f t="shared" si="560"/>
        <v>4</v>
      </c>
      <c r="C113" s="558" t="str">
        <f t="shared" si="613"/>
        <v>Lista</v>
      </c>
      <c r="D113" s="558">
        <f t="shared" si="614"/>
        <v>0.2</v>
      </c>
      <c r="E113" s="559">
        <f t="shared" si="615"/>
        <v>0</v>
      </c>
      <c r="F113" s="836">
        <f t="shared" si="561"/>
        <v>4</v>
      </c>
      <c r="G113" s="558" t="str">
        <f t="shared" si="562"/>
        <v>Lista</v>
      </c>
      <c r="H113" s="558">
        <f t="shared" si="563"/>
        <v>0.2</v>
      </c>
      <c r="I113" s="559">
        <f t="shared" si="564"/>
        <v>0</v>
      </c>
      <c r="J113" s="1214">
        <f t="shared" si="603"/>
        <v>70</v>
      </c>
      <c r="K113" s="558" t="str">
        <f t="shared" si="604"/>
        <v>Lista</v>
      </c>
      <c r="L113" s="715">
        <f t="shared" si="605"/>
        <v>0.11</v>
      </c>
      <c r="M113" s="1173" t="s">
        <v>1202</v>
      </c>
      <c r="N113" s="1174">
        <f t="shared" si="677"/>
        <v>42105.8</v>
      </c>
      <c r="O113" s="332">
        <f t="shared" si="678"/>
        <v>70781.955090000003</v>
      </c>
      <c r="P113" s="173">
        <f t="shared" si="565"/>
        <v>76801.820000000007</v>
      </c>
      <c r="Q113" s="561">
        <f t="shared" si="558"/>
        <v>376561.6</v>
      </c>
      <c r="R113" s="1112">
        <f t="shared" si="559"/>
        <v>453363.42</v>
      </c>
      <c r="S113" s="123"/>
      <c r="T113" s="326"/>
      <c r="U113" s="326">
        <f t="shared" si="665"/>
        <v>444311.19</v>
      </c>
      <c r="V113" s="332">
        <f t="shared" si="666"/>
        <v>789201.08656964998</v>
      </c>
      <c r="W113" s="173">
        <f t="shared" si="566"/>
        <v>104324.55000000005</v>
      </c>
      <c r="X113" s="561">
        <f t="shared" si="567"/>
        <v>309212.23</v>
      </c>
      <c r="Y113" s="1112">
        <f t="shared" si="568"/>
        <v>413536.78</v>
      </c>
      <c r="Z113" s="123"/>
      <c r="AA113" s="326"/>
      <c r="AB113" s="326">
        <f t="shared" si="667"/>
        <v>269556.23</v>
      </c>
      <c r="AC113" s="332">
        <f t="shared" si="668"/>
        <v>442979.27391394996</v>
      </c>
      <c r="AD113" s="173">
        <f t="shared" si="569"/>
        <v>27553.479999999981</v>
      </c>
      <c r="AE113" s="561">
        <f t="shared" si="570"/>
        <v>268710.43</v>
      </c>
      <c r="AF113" s="1112">
        <f t="shared" si="571"/>
        <v>296263.90999999997</v>
      </c>
      <c r="AG113" s="123"/>
      <c r="AH113" s="326"/>
      <c r="AI113" s="332">
        <f t="shared" si="471"/>
        <v>1302962.3155735999</v>
      </c>
      <c r="AJ113" s="140">
        <f t="shared" si="572"/>
        <v>1753115.2</v>
      </c>
      <c r="AK113" s="326">
        <f t="shared" ref="AK113:AM113" si="700">AD113+W113+P113</f>
        <v>208679.85000000003</v>
      </c>
      <c r="AL113" s="326">
        <f t="shared" si="700"/>
        <v>954484.25999999989</v>
      </c>
      <c r="AM113" s="326">
        <f t="shared" si="700"/>
        <v>1163164.1099999999</v>
      </c>
      <c r="AN113" s="326">
        <f t="shared" si="574"/>
        <v>-589951.09000000008</v>
      </c>
      <c r="AO113" s="98">
        <f t="shared" si="575"/>
        <v>0.66348412813943991</v>
      </c>
      <c r="AP113" s="125">
        <f t="shared" si="680"/>
        <v>215225.44</v>
      </c>
      <c r="AQ113" s="326">
        <f t="shared" si="576"/>
        <v>87543.210000000021</v>
      </c>
      <c r="AR113" s="326">
        <f t="shared" si="577"/>
        <v>454262.09</v>
      </c>
      <c r="AS113" s="123">
        <f t="shared" si="578"/>
        <v>541805.30000000005</v>
      </c>
      <c r="AT113" s="332">
        <f t="shared" si="681"/>
        <v>552789.31999999995</v>
      </c>
      <c r="AU113" s="140">
        <f t="shared" si="579"/>
        <v>30120.179999999993</v>
      </c>
      <c r="AV113" s="326">
        <f t="shared" si="580"/>
        <v>427119.76</v>
      </c>
      <c r="AW113" s="333">
        <f t="shared" si="581"/>
        <v>457239.94</v>
      </c>
      <c r="AX113" s="123">
        <f t="shared" si="682"/>
        <v>257123.39</v>
      </c>
      <c r="AY113" s="123">
        <f t="shared" si="582"/>
        <v>20229.989999999991</v>
      </c>
      <c r="AZ113" s="123">
        <f t="shared" si="583"/>
        <v>210224.1</v>
      </c>
      <c r="BA113" s="125">
        <f t="shared" si="584"/>
        <v>230454.09</v>
      </c>
      <c r="BB113" s="1175">
        <f t="shared" ref="BB113:BD113" si="701">SUM(AQ113,AU113,AY113)</f>
        <v>137893.38</v>
      </c>
      <c r="BC113" s="326">
        <f t="shared" si="701"/>
        <v>1091605.9500000002</v>
      </c>
      <c r="BD113" s="333">
        <f t="shared" si="701"/>
        <v>1229499.33</v>
      </c>
      <c r="BE113" s="100">
        <f t="shared" si="586"/>
        <v>346573.23000000004</v>
      </c>
      <c r="BF113" s="116">
        <f t="shared" ref="BF113:BG113" si="702">BC113+AL113</f>
        <v>2046090.21</v>
      </c>
      <c r="BG113" s="119">
        <f t="shared" si="702"/>
        <v>2392663.44</v>
      </c>
      <c r="BH113" s="125">
        <f t="shared" si="685"/>
        <v>528360.04</v>
      </c>
      <c r="BI113" s="1041">
        <f t="shared" si="588"/>
        <v>26245.710000000021</v>
      </c>
      <c r="BJ113" s="326">
        <f t="shared" si="589"/>
        <v>302953.88</v>
      </c>
      <c r="BK113" s="1045">
        <f t="shared" si="590"/>
        <v>329199.59000000003</v>
      </c>
      <c r="BL113" s="125">
        <f t="shared" si="686"/>
        <v>380143.17</v>
      </c>
      <c r="BM113" s="140">
        <f t="shared" si="591"/>
        <v>15105.479999999981</v>
      </c>
      <c r="BN113" s="123">
        <f t="shared" si="592"/>
        <v>345733.02</v>
      </c>
      <c r="BO113" s="148">
        <f t="shared" si="593"/>
        <v>360838.5</v>
      </c>
      <c r="BP113" s="123">
        <f t="shared" si="687"/>
        <v>579705.66</v>
      </c>
      <c r="BQ113" s="123">
        <f t="shared" si="594"/>
        <v>95721.219999999972</v>
      </c>
      <c r="BR113" s="123">
        <f t="shared" si="595"/>
        <v>311015</v>
      </c>
      <c r="BS113" s="125">
        <f t="shared" si="596"/>
        <v>406736.22</v>
      </c>
      <c r="BT113" s="140">
        <f t="shared" ref="BT113:BV113" si="703">SUM(BQ113,BM113,BI113)</f>
        <v>137072.40999999997</v>
      </c>
      <c r="BU113" s="123">
        <f t="shared" si="703"/>
        <v>959701.9</v>
      </c>
      <c r="BV113" s="148">
        <f t="shared" si="703"/>
        <v>1096774.31</v>
      </c>
      <c r="BW113" s="125">
        <f t="shared" si="689"/>
        <v>392558.37</v>
      </c>
      <c r="BX113" s="140">
        <f t="shared" si="610"/>
        <v>74761.929999999993</v>
      </c>
      <c r="BY113" s="123">
        <f t="shared" si="611"/>
        <v>369078.13</v>
      </c>
      <c r="BZ113" s="148">
        <f t="shared" si="612"/>
        <v>443840.06</v>
      </c>
      <c r="CA113" s="123">
        <f t="shared" si="690"/>
        <v>704845.98</v>
      </c>
      <c r="CB113" s="326">
        <f t="shared" si="691"/>
        <v>655710.86</v>
      </c>
      <c r="CP113" s="294"/>
      <c r="CU113" s="294"/>
    </row>
    <row r="114" spans="1:99" ht="13">
      <c r="A114" s="566" t="e">
        <f t="shared" si="602"/>
        <v>#N/A</v>
      </c>
      <c r="B114" s="636">
        <f t="shared" si="560"/>
        <v>4</v>
      </c>
      <c r="C114" s="558" t="str">
        <f t="shared" si="613"/>
        <v>Lista</v>
      </c>
      <c r="D114" s="558">
        <f t="shared" si="614"/>
        <v>0.2</v>
      </c>
      <c r="E114" s="559">
        <f t="shared" si="615"/>
        <v>0</v>
      </c>
      <c r="F114" s="836">
        <f t="shared" si="561"/>
        <v>4</v>
      </c>
      <c r="G114" s="558" t="str">
        <f t="shared" si="562"/>
        <v>Lista</v>
      </c>
      <c r="H114" s="558">
        <f t="shared" si="563"/>
        <v>0.2</v>
      </c>
      <c r="I114" s="559">
        <f t="shared" si="564"/>
        <v>0</v>
      </c>
      <c r="J114" s="1214">
        <f t="shared" si="603"/>
        <v>70</v>
      </c>
      <c r="K114" s="558" t="str">
        <f t="shared" si="604"/>
        <v>Lista</v>
      </c>
      <c r="L114" s="715">
        <f t="shared" si="605"/>
        <v>0.11</v>
      </c>
      <c r="M114" s="1173" t="s">
        <v>1203</v>
      </c>
      <c r="N114" s="1174">
        <f t="shared" si="677"/>
        <v>171335.25</v>
      </c>
      <c r="O114" s="332">
        <f t="shared" si="678"/>
        <v>288023.12201249995</v>
      </c>
      <c r="P114" s="173">
        <f t="shared" si="565"/>
        <v>0</v>
      </c>
      <c r="Q114" s="561">
        <f t="shared" si="558"/>
        <v>70424.800000000003</v>
      </c>
      <c r="R114" s="1112">
        <f t="shared" si="559"/>
        <v>70424.800000000003</v>
      </c>
      <c r="S114" s="123"/>
      <c r="T114" s="326"/>
      <c r="U114" s="326">
        <f t="shared" si="665"/>
        <v>0</v>
      </c>
      <c r="V114" s="332">
        <f t="shared" si="666"/>
        <v>0</v>
      </c>
      <c r="W114" s="173">
        <f t="shared" si="566"/>
        <v>0</v>
      </c>
      <c r="X114" s="561">
        <f t="shared" si="567"/>
        <v>96333.28</v>
      </c>
      <c r="Y114" s="1112">
        <f t="shared" si="568"/>
        <v>96333.28</v>
      </c>
      <c r="Z114" s="123"/>
      <c r="AA114" s="326"/>
      <c r="AB114" s="326">
        <f t="shared" si="667"/>
        <v>0</v>
      </c>
      <c r="AC114" s="332">
        <f t="shared" si="668"/>
        <v>0</v>
      </c>
      <c r="AD114" s="173">
        <f t="shared" si="569"/>
        <v>0</v>
      </c>
      <c r="AE114" s="561">
        <f t="shared" si="570"/>
        <v>195436.35</v>
      </c>
      <c r="AF114" s="1112">
        <f t="shared" si="571"/>
        <v>195436.35</v>
      </c>
      <c r="AG114" s="123"/>
      <c r="AH114" s="326"/>
      <c r="AI114" s="332">
        <f t="shared" si="471"/>
        <v>288023.12201249995</v>
      </c>
      <c r="AJ114" s="140">
        <f t="shared" si="572"/>
        <v>566156.96</v>
      </c>
      <c r="AK114" s="326">
        <f t="shared" ref="AK114:AM114" si="704">AD114+W114+P114</f>
        <v>0</v>
      </c>
      <c r="AL114" s="326">
        <f t="shared" si="704"/>
        <v>362194.43</v>
      </c>
      <c r="AM114" s="326">
        <f t="shared" si="704"/>
        <v>362194.43</v>
      </c>
      <c r="AN114" s="326">
        <f t="shared" si="574"/>
        <v>-203962.52999999997</v>
      </c>
      <c r="AO114" s="98">
        <f t="shared" si="575"/>
        <v>0.63974207788596293</v>
      </c>
      <c r="AP114" s="125">
        <f t="shared" si="680"/>
        <v>53757.81</v>
      </c>
      <c r="AQ114" s="326">
        <f t="shared" si="576"/>
        <v>0</v>
      </c>
      <c r="AR114" s="326">
        <f t="shared" si="577"/>
        <v>396911.35999999999</v>
      </c>
      <c r="AS114" s="123">
        <f t="shared" si="578"/>
        <v>396911.35999999999</v>
      </c>
      <c r="AT114" s="332">
        <f t="shared" si="681"/>
        <v>58266.61</v>
      </c>
      <c r="AU114" s="140">
        <f t="shared" si="579"/>
        <v>0</v>
      </c>
      <c r="AV114" s="326">
        <f t="shared" si="580"/>
        <v>356250.72</v>
      </c>
      <c r="AW114" s="333">
        <f t="shared" si="581"/>
        <v>356250.72</v>
      </c>
      <c r="AX114" s="123">
        <f t="shared" si="682"/>
        <v>117863.14</v>
      </c>
      <c r="AY114" s="123">
        <f t="shared" si="582"/>
        <v>0</v>
      </c>
      <c r="AZ114" s="123">
        <f t="shared" si="583"/>
        <v>340063.52</v>
      </c>
      <c r="BA114" s="125">
        <f t="shared" si="584"/>
        <v>340063.52</v>
      </c>
      <c r="BB114" s="1175">
        <f t="shared" ref="BB114:BD114" si="705">SUM(AQ114,AU114,AY114)</f>
        <v>0</v>
      </c>
      <c r="BC114" s="326">
        <f t="shared" si="705"/>
        <v>1093225.6000000001</v>
      </c>
      <c r="BD114" s="333">
        <f t="shared" si="705"/>
        <v>1093225.6000000001</v>
      </c>
      <c r="BE114" s="100">
        <f t="shared" si="586"/>
        <v>0</v>
      </c>
      <c r="BF114" s="116">
        <f t="shared" ref="BF114:BG114" si="706">BC114+AL114</f>
        <v>1455420.03</v>
      </c>
      <c r="BG114" s="119">
        <f t="shared" si="706"/>
        <v>1455420.03</v>
      </c>
      <c r="BH114" s="125">
        <f t="shared" si="685"/>
        <v>45533.02</v>
      </c>
      <c r="BI114" s="1041">
        <f t="shared" si="588"/>
        <v>0</v>
      </c>
      <c r="BJ114" s="326">
        <f t="shared" si="589"/>
        <v>259761.4</v>
      </c>
      <c r="BK114" s="1045">
        <f t="shared" si="590"/>
        <v>259761.4</v>
      </c>
      <c r="BL114" s="125">
        <f t="shared" si="686"/>
        <v>383074.05</v>
      </c>
      <c r="BM114" s="140">
        <f t="shared" si="591"/>
        <v>0</v>
      </c>
      <c r="BN114" s="123">
        <f t="shared" si="592"/>
        <v>216425.28</v>
      </c>
      <c r="BO114" s="148">
        <f t="shared" si="593"/>
        <v>216425.28</v>
      </c>
      <c r="BP114" s="123">
        <f t="shared" si="687"/>
        <v>155810.32</v>
      </c>
      <c r="BQ114" s="123">
        <f t="shared" si="594"/>
        <v>0</v>
      </c>
      <c r="BR114" s="123">
        <f t="shared" si="595"/>
        <v>182902.33</v>
      </c>
      <c r="BS114" s="125">
        <f t="shared" si="596"/>
        <v>182902.33</v>
      </c>
      <c r="BT114" s="140">
        <f t="shared" ref="BT114:BV114" si="707">SUM(BQ114,BM114,BI114)</f>
        <v>0</v>
      </c>
      <c r="BU114" s="123">
        <f t="shared" si="707"/>
        <v>659089.01</v>
      </c>
      <c r="BV114" s="148">
        <f t="shared" si="707"/>
        <v>659089.01</v>
      </c>
      <c r="BW114" s="125">
        <f t="shared" si="689"/>
        <v>119299.6</v>
      </c>
      <c r="BX114" s="140">
        <f t="shared" si="610"/>
        <v>0</v>
      </c>
      <c r="BY114" s="123">
        <f t="shared" si="611"/>
        <v>145874.04</v>
      </c>
      <c r="BZ114" s="148">
        <f t="shared" si="612"/>
        <v>145874.04</v>
      </c>
      <c r="CA114" s="123">
        <f t="shared" si="690"/>
        <v>230296.95999999999</v>
      </c>
      <c r="CB114" s="326">
        <f t="shared" si="691"/>
        <v>216560.4</v>
      </c>
      <c r="CP114" s="294"/>
      <c r="CU114" s="294"/>
    </row>
    <row r="115" spans="1:99" ht="13">
      <c r="A115" s="566" t="e">
        <f t="shared" si="602"/>
        <v>#N/A</v>
      </c>
      <c r="B115" s="636">
        <f t="shared" si="560"/>
        <v>4</v>
      </c>
      <c r="C115" s="558" t="str">
        <f t="shared" si="613"/>
        <v>Lista</v>
      </c>
      <c r="D115" s="558">
        <f t="shared" si="614"/>
        <v>0.2</v>
      </c>
      <c r="E115" s="559">
        <f t="shared" si="615"/>
        <v>0</v>
      </c>
      <c r="F115" s="836">
        <f t="shared" si="561"/>
        <v>4</v>
      </c>
      <c r="G115" s="558" t="str">
        <f t="shared" si="562"/>
        <v>Lista</v>
      </c>
      <c r="H115" s="558">
        <f t="shared" si="563"/>
        <v>0.2</v>
      </c>
      <c r="I115" s="559">
        <f t="shared" si="564"/>
        <v>0</v>
      </c>
      <c r="J115" s="1214">
        <f t="shared" si="603"/>
        <v>70</v>
      </c>
      <c r="K115" s="558" t="str">
        <f t="shared" si="604"/>
        <v>Lista</v>
      </c>
      <c r="L115" s="715">
        <f t="shared" si="605"/>
        <v>0.11</v>
      </c>
      <c r="M115" s="1173" t="s">
        <v>1204</v>
      </c>
      <c r="N115" s="1174">
        <f t="shared" si="677"/>
        <v>98920.960000000006</v>
      </c>
      <c r="O115" s="332">
        <f t="shared" si="678"/>
        <v>166291.07980800001</v>
      </c>
      <c r="P115" s="173">
        <f t="shared" si="565"/>
        <v>0</v>
      </c>
      <c r="Q115" s="561">
        <f t="shared" si="558"/>
        <v>0</v>
      </c>
      <c r="R115" s="1112">
        <f t="shared" si="559"/>
        <v>0</v>
      </c>
      <c r="S115" s="123"/>
      <c r="T115" s="326"/>
      <c r="U115" s="326">
        <f t="shared" si="665"/>
        <v>118914.08</v>
      </c>
      <c r="V115" s="332">
        <f t="shared" si="666"/>
        <v>211219.35088879999</v>
      </c>
      <c r="W115" s="173">
        <f t="shared" si="566"/>
        <v>58745</v>
      </c>
      <c r="X115" s="561">
        <f t="shared" si="567"/>
        <v>54292.160000000003</v>
      </c>
      <c r="Y115" s="1112">
        <f t="shared" si="568"/>
        <v>113037.16</v>
      </c>
      <c r="Z115" s="123"/>
      <c r="AA115" s="326"/>
      <c r="AB115" s="326">
        <f t="shared" si="667"/>
        <v>0</v>
      </c>
      <c r="AC115" s="332">
        <f t="shared" si="668"/>
        <v>0</v>
      </c>
      <c r="AD115" s="173">
        <f t="shared" si="569"/>
        <v>135511.31</v>
      </c>
      <c r="AE115" s="561">
        <f t="shared" si="570"/>
        <v>0</v>
      </c>
      <c r="AF115" s="1112">
        <f t="shared" si="571"/>
        <v>135511.31</v>
      </c>
      <c r="AG115" s="123"/>
      <c r="AH115" s="326"/>
      <c r="AI115" s="332">
        <f t="shared" si="471"/>
        <v>377510.4306968</v>
      </c>
      <c r="AJ115" s="140">
        <f t="shared" si="572"/>
        <v>212259.16</v>
      </c>
      <c r="AK115" s="326">
        <f t="shared" ref="AK115:AM115" si="708">AD115+W115+P115</f>
        <v>194256.31</v>
      </c>
      <c r="AL115" s="326">
        <f t="shared" si="708"/>
        <v>54292.160000000003</v>
      </c>
      <c r="AM115" s="326">
        <f t="shared" si="708"/>
        <v>248548.47</v>
      </c>
      <c r="AN115" s="326">
        <f t="shared" si="574"/>
        <v>36289.31</v>
      </c>
      <c r="AO115" s="98">
        <f t="shared" si="575"/>
        <v>1.17096699148343</v>
      </c>
      <c r="AP115" s="125">
        <f t="shared" si="680"/>
        <v>88470.64</v>
      </c>
      <c r="AQ115" s="326">
        <f t="shared" si="576"/>
        <v>63107.91</v>
      </c>
      <c r="AR115" s="326">
        <f t="shared" si="577"/>
        <v>0</v>
      </c>
      <c r="AS115" s="123">
        <f t="shared" si="578"/>
        <v>63107.91</v>
      </c>
      <c r="AT115" s="332">
        <f t="shared" si="681"/>
        <v>0</v>
      </c>
      <c r="AU115" s="140">
        <f t="shared" si="579"/>
        <v>0</v>
      </c>
      <c r="AV115" s="326">
        <f t="shared" si="580"/>
        <v>0</v>
      </c>
      <c r="AW115" s="333">
        <f t="shared" si="581"/>
        <v>0</v>
      </c>
      <c r="AX115" s="123">
        <f t="shared" si="682"/>
        <v>135166.38</v>
      </c>
      <c r="AY115" s="123">
        <f t="shared" si="582"/>
        <v>0</v>
      </c>
      <c r="AZ115" s="123">
        <f t="shared" si="583"/>
        <v>0</v>
      </c>
      <c r="BA115" s="125">
        <f t="shared" si="584"/>
        <v>0</v>
      </c>
      <c r="BB115" s="1175">
        <f t="shared" ref="BB115:BD115" si="709">SUM(AQ115,AU115,AY115)</f>
        <v>63107.91</v>
      </c>
      <c r="BC115" s="326">
        <f t="shared" si="709"/>
        <v>0</v>
      </c>
      <c r="BD115" s="333">
        <f t="shared" si="709"/>
        <v>63107.91</v>
      </c>
      <c r="BE115" s="100">
        <f t="shared" si="586"/>
        <v>257364.22</v>
      </c>
      <c r="BF115" s="116">
        <f t="shared" ref="BF115:BG115" si="710">BC115+AL115</f>
        <v>54292.160000000003</v>
      </c>
      <c r="BG115" s="119">
        <f t="shared" si="710"/>
        <v>311656.38</v>
      </c>
      <c r="BH115" s="125">
        <f t="shared" si="685"/>
        <v>0</v>
      </c>
      <c r="BI115" s="1041">
        <f t="shared" si="588"/>
        <v>79556.47</v>
      </c>
      <c r="BJ115" s="326">
        <f t="shared" si="589"/>
        <v>37916.160000000003</v>
      </c>
      <c r="BK115" s="1045">
        <f t="shared" si="590"/>
        <v>117472.63</v>
      </c>
      <c r="BL115" s="125">
        <f t="shared" si="686"/>
        <v>194922</v>
      </c>
      <c r="BM115" s="140">
        <f t="shared" si="591"/>
        <v>79948.2</v>
      </c>
      <c r="BN115" s="123">
        <f t="shared" si="592"/>
        <v>0</v>
      </c>
      <c r="BO115" s="148">
        <f t="shared" si="593"/>
        <v>79948.2</v>
      </c>
      <c r="BP115" s="123">
        <f t="shared" si="687"/>
        <v>0</v>
      </c>
      <c r="BQ115" s="123">
        <f t="shared" si="594"/>
        <v>118247</v>
      </c>
      <c r="BR115" s="123">
        <f t="shared" si="595"/>
        <v>0</v>
      </c>
      <c r="BS115" s="125">
        <f t="shared" si="596"/>
        <v>118247</v>
      </c>
      <c r="BT115" s="140">
        <f t="shared" ref="BT115:BV115" si="711">SUM(BQ115,BM115,BI115)</f>
        <v>277751.67000000004</v>
      </c>
      <c r="BU115" s="123">
        <f t="shared" si="711"/>
        <v>37916.160000000003</v>
      </c>
      <c r="BV115" s="148">
        <f t="shared" si="711"/>
        <v>315667.83</v>
      </c>
      <c r="BW115" s="125">
        <f t="shared" si="689"/>
        <v>148785.76</v>
      </c>
      <c r="BX115" s="140">
        <f t="shared" si="610"/>
        <v>0</v>
      </c>
      <c r="BY115" s="123">
        <f t="shared" si="611"/>
        <v>0</v>
      </c>
      <c r="BZ115" s="148">
        <f t="shared" si="612"/>
        <v>0</v>
      </c>
      <c r="CA115" s="123">
        <f t="shared" si="690"/>
        <v>63473.4</v>
      </c>
      <c r="CB115" s="326">
        <f t="shared" si="691"/>
        <v>0</v>
      </c>
      <c r="CP115" s="294"/>
      <c r="CU115" s="294"/>
    </row>
    <row r="116" spans="1:99" ht="13">
      <c r="A116" s="566" t="e">
        <f t="shared" si="602"/>
        <v>#N/A</v>
      </c>
      <c r="B116" s="636">
        <f t="shared" si="560"/>
        <v>4</v>
      </c>
      <c r="C116" s="558" t="str">
        <f t="shared" si="613"/>
        <v>Lista</v>
      </c>
      <c r="D116" s="558">
        <f t="shared" si="614"/>
        <v>0.2</v>
      </c>
      <c r="E116" s="559">
        <f t="shared" si="615"/>
        <v>0</v>
      </c>
      <c r="F116" s="836">
        <f t="shared" si="561"/>
        <v>4</v>
      </c>
      <c r="G116" s="558" t="str">
        <f t="shared" si="562"/>
        <v>Lista</v>
      </c>
      <c r="H116" s="558">
        <f t="shared" si="563"/>
        <v>0.2</v>
      </c>
      <c r="I116" s="559">
        <f t="shared" si="564"/>
        <v>0</v>
      </c>
      <c r="J116" s="1214">
        <f t="shared" si="603"/>
        <v>70</v>
      </c>
      <c r="K116" s="558" t="str">
        <f t="shared" si="604"/>
        <v>Lista</v>
      </c>
      <c r="L116" s="715">
        <f t="shared" si="605"/>
        <v>0.11</v>
      </c>
      <c r="M116" s="1173" t="s">
        <v>1205</v>
      </c>
      <c r="N116" s="1174">
        <f t="shared" si="677"/>
        <v>553528.66</v>
      </c>
      <c r="O116" s="332">
        <f t="shared" si="678"/>
        <v>930509.35389300017</v>
      </c>
      <c r="P116" s="173">
        <f t="shared" si="565"/>
        <v>0</v>
      </c>
      <c r="Q116" s="561">
        <f t="shared" si="558"/>
        <v>0</v>
      </c>
      <c r="R116" s="1112">
        <f t="shared" si="559"/>
        <v>0</v>
      </c>
      <c r="S116" s="123"/>
      <c r="T116" s="326"/>
      <c r="U116" s="326">
        <f t="shared" si="665"/>
        <v>309262</v>
      </c>
      <c r="V116" s="332">
        <f t="shared" si="666"/>
        <v>549321.98857000005</v>
      </c>
      <c r="W116" s="173">
        <f t="shared" si="566"/>
        <v>0</v>
      </c>
      <c r="X116" s="561">
        <f t="shared" si="567"/>
        <v>165253.12</v>
      </c>
      <c r="Y116" s="1112">
        <f t="shared" si="568"/>
        <v>165253.12</v>
      </c>
      <c r="Z116" s="123"/>
      <c r="AA116" s="326"/>
      <c r="AB116" s="326">
        <f t="shared" si="667"/>
        <v>404529.36</v>
      </c>
      <c r="AC116" s="332">
        <f t="shared" si="668"/>
        <v>664789.39169640001</v>
      </c>
      <c r="AD116" s="173">
        <f t="shared" si="569"/>
        <v>0</v>
      </c>
      <c r="AE116" s="561">
        <f t="shared" si="570"/>
        <v>149300.48000000001</v>
      </c>
      <c r="AF116" s="1112">
        <f t="shared" si="571"/>
        <v>149300.48000000001</v>
      </c>
      <c r="AG116" s="123"/>
      <c r="AH116" s="326"/>
      <c r="AI116" s="332">
        <f t="shared" si="471"/>
        <v>2144620.7341594002</v>
      </c>
      <c r="AJ116" s="140" t="str">
        <f t="shared" si="572"/>
        <v>0</v>
      </c>
      <c r="AK116" s="326">
        <f t="shared" ref="AK116:AM116" si="712">AD116+W116+P116</f>
        <v>0</v>
      </c>
      <c r="AL116" s="326">
        <f t="shared" si="712"/>
        <v>314553.59999999998</v>
      </c>
      <c r="AM116" s="326">
        <f t="shared" si="712"/>
        <v>314553.59999999998</v>
      </c>
      <c r="AN116" s="326">
        <f t="shared" si="574"/>
        <v>314553.59999999998</v>
      </c>
      <c r="AO116" s="98" t="str">
        <f t="shared" si="575"/>
        <v/>
      </c>
      <c r="AP116" s="125">
        <f t="shared" si="680"/>
        <v>274621.92</v>
      </c>
      <c r="AQ116" s="326">
        <f t="shared" si="576"/>
        <v>0</v>
      </c>
      <c r="AR116" s="326">
        <f t="shared" si="577"/>
        <v>0</v>
      </c>
      <c r="AS116" s="123">
        <f t="shared" si="578"/>
        <v>0</v>
      </c>
      <c r="AT116" s="332">
        <f t="shared" si="681"/>
        <v>35656.959999999999</v>
      </c>
      <c r="AU116" s="140">
        <f t="shared" si="579"/>
        <v>0</v>
      </c>
      <c r="AV116" s="326">
        <f t="shared" si="580"/>
        <v>0</v>
      </c>
      <c r="AW116" s="333">
        <f t="shared" si="581"/>
        <v>0</v>
      </c>
      <c r="AX116" s="123">
        <f t="shared" si="682"/>
        <v>295005.44</v>
      </c>
      <c r="AY116" s="123">
        <f t="shared" si="582"/>
        <v>0</v>
      </c>
      <c r="AZ116" s="123">
        <f t="shared" si="583"/>
        <v>0</v>
      </c>
      <c r="BA116" s="125">
        <f t="shared" si="584"/>
        <v>0</v>
      </c>
      <c r="BB116" s="1175">
        <f t="shared" ref="BB116:BD116" si="713">SUM(AQ116,AU116,AY116)</f>
        <v>0</v>
      </c>
      <c r="BC116" s="326">
        <f t="shared" si="713"/>
        <v>0</v>
      </c>
      <c r="BD116" s="333">
        <f t="shared" si="713"/>
        <v>0</v>
      </c>
      <c r="BE116" s="100">
        <f t="shared" si="586"/>
        <v>0</v>
      </c>
      <c r="BF116" s="116">
        <f t="shared" ref="BF116:BG116" si="714">BC116+AL116</f>
        <v>314553.59999999998</v>
      </c>
      <c r="BG116" s="119">
        <f t="shared" si="714"/>
        <v>314553.59999999998</v>
      </c>
      <c r="BH116" s="125">
        <f t="shared" si="685"/>
        <v>750639.52</v>
      </c>
      <c r="BI116" s="1041">
        <f t="shared" si="588"/>
        <v>0</v>
      </c>
      <c r="BJ116" s="326">
        <f t="shared" si="589"/>
        <v>0</v>
      </c>
      <c r="BK116" s="1045">
        <f t="shared" si="590"/>
        <v>0</v>
      </c>
      <c r="BL116" s="125">
        <f t="shared" si="686"/>
        <v>0</v>
      </c>
      <c r="BM116" s="140">
        <f t="shared" si="591"/>
        <v>0</v>
      </c>
      <c r="BN116" s="123">
        <f t="shared" si="592"/>
        <v>0</v>
      </c>
      <c r="BO116" s="148">
        <f t="shared" si="593"/>
        <v>0</v>
      </c>
      <c r="BP116" s="123">
        <f t="shared" si="687"/>
        <v>0</v>
      </c>
      <c r="BQ116" s="123">
        <f t="shared" si="594"/>
        <v>0</v>
      </c>
      <c r="BR116" s="123">
        <f t="shared" si="595"/>
        <v>0</v>
      </c>
      <c r="BS116" s="125">
        <f t="shared" si="596"/>
        <v>0</v>
      </c>
      <c r="BT116" s="140">
        <f t="shared" ref="BT116:BV116" si="715">SUM(BQ116,BM116,BI116)</f>
        <v>0</v>
      </c>
      <c r="BU116" s="123">
        <f t="shared" si="715"/>
        <v>0</v>
      </c>
      <c r="BV116" s="148">
        <f t="shared" si="715"/>
        <v>0</v>
      </c>
      <c r="BW116" s="125">
        <f t="shared" si="689"/>
        <v>0</v>
      </c>
      <c r="BX116" s="140">
        <f t="shared" si="610"/>
        <v>0</v>
      </c>
      <c r="BY116" s="123">
        <f t="shared" si="611"/>
        <v>0</v>
      </c>
      <c r="BZ116" s="148">
        <f t="shared" si="612"/>
        <v>0</v>
      </c>
      <c r="CA116" s="123">
        <f t="shared" si="690"/>
        <v>0</v>
      </c>
      <c r="CB116" s="326">
        <f t="shared" si="691"/>
        <v>0</v>
      </c>
      <c r="CP116" s="294"/>
      <c r="CU116" s="294"/>
    </row>
    <row r="117" spans="1:99" ht="13">
      <c r="A117" s="566" t="e">
        <f t="shared" si="602"/>
        <v>#N/A</v>
      </c>
      <c r="B117" s="636">
        <f t="shared" si="560"/>
        <v>18</v>
      </c>
      <c r="C117" s="558" t="str">
        <f t="shared" si="613"/>
        <v>Lista</v>
      </c>
      <c r="D117" s="558">
        <f t="shared" si="614"/>
        <v>0.23</v>
      </c>
      <c r="E117" s="559">
        <f t="shared" si="615"/>
        <v>0</v>
      </c>
      <c r="F117" s="836">
        <f t="shared" si="561"/>
        <v>18</v>
      </c>
      <c r="G117" s="558" t="str">
        <f t="shared" si="562"/>
        <v>Lista</v>
      </c>
      <c r="H117" s="558">
        <f t="shared" si="563"/>
        <v>0.23</v>
      </c>
      <c r="I117" s="559">
        <f t="shared" si="564"/>
        <v>0</v>
      </c>
      <c r="J117" s="1214">
        <f t="shared" si="603"/>
        <v>69</v>
      </c>
      <c r="K117" s="558" t="str">
        <f t="shared" si="604"/>
        <v>Lista</v>
      </c>
      <c r="L117" s="715">
        <f t="shared" si="605"/>
        <v>0.14000000000000001</v>
      </c>
      <c r="M117" s="1173" t="s">
        <v>875</v>
      </c>
      <c r="N117" s="1174">
        <f t="shared" si="677"/>
        <v>676714.24</v>
      </c>
      <c r="O117" s="332">
        <f t="shared" si="678"/>
        <v>1137590.473152</v>
      </c>
      <c r="P117" s="173">
        <f t="shared" si="565"/>
        <v>0</v>
      </c>
      <c r="Q117" s="561">
        <f t="shared" si="558"/>
        <v>551989.84</v>
      </c>
      <c r="R117" s="1112">
        <f t="shared" si="559"/>
        <v>551989.84</v>
      </c>
      <c r="S117" s="123"/>
      <c r="T117" s="326"/>
      <c r="U117" s="326">
        <f t="shared" si="665"/>
        <v>1041634.32</v>
      </c>
      <c r="V117" s="332">
        <f t="shared" si="666"/>
        <v>1850187.3363851998</v>
      </c>
      <c r="W117" s="173">
        <f t="shared" si="566"/>
        <v>0</v>
      </c>
      <c r="X117" s="561">
        <f t="shared" si="567"/>
        <v>663881.04</v>
      </c>
      <c r="Y117" s="1112">
        <f t="shared" si="568"/>
        <v>663881.04</v>
      </c>
      <c r="Z117" s="123"/>
      <c r="AA117" s="326"/>
      <c r="AB117" s="326">
        <f t="shared" si="667"/>
        <v>1048071.84</v>
      </c>
      <c r="AC117" s="332">
        <f t="shared" si="668"/>
        <v>1722364.5793415997</v>
      </c>
      <c r="AD117" s="173">
        <f t="shared" si="569"/>
        <v>0</v>
      </c>
      <c r="AE117" s="561">
        <f t="shared" si="570"/>
        <v>918584.56</v>
      </c>
      <c r="AF117" s="1112">
        <f t="shared" si="571"/>
        <v>918584.56</v>
      </c>
      <c r="AG117" s="123"/>
      <c r="AH117" s="326"/>
      <c r="AI117" s="332">
        <f t="shared" si="471"/>
        <v>4710142.3888788</v>
      </c>
      <c r="AJ117" s="140">
        <f t="shared" si="572"/>
        <v>2696819.06</v>
      </c>
      <c r="AK117" s="326">
        <f t="shared" ref="AK117:AM117" si="716">AD117+W117+P117</f>
        <v>0</v>
      </c>
      <c r="AL117" s="326">
        <f t="shared" si="716"/>
        <v>2134455.44</v>
      </c>
      <c r="AM117" s="326">
        <f t="shared" si="716"/>
        <v>2134455.44</v>
      </c>
      <c r="AN117" s="326">
        <f t="shared" si="574"/>
        <v>-562363.62000000011</v>
      </c>
      <c r="AO117" s="98">
        <f t="shared" si="575"/>
        <v>0.79147150495146679</v>
      </c>
      <c r="AP117" s="125">
        <f t="shared" si="680"/>
        <v>1334172.6200000001</v>
      </c>
      <c r="AQ117" s="326">
        <f t="shared" si="576"/>
        <v>0</v>
      </c>
      <c r="AR117" s="326">
        <f t="shared" si="577"/>
        <v>243192.48</v>
      </c>
      <c r="AS117" s="123">
        <f t="shared" si="578"/>
        <v>243192.48</v>
      </c>
      <c r="AT117" s="332">
        <f t="shared" si="681"/>
        <v>651237.84</v>
      </c>
      <c r="AU117" s="140">
        <f t="shared" si="579"/>
        <v>0</v>
      </c>
      <c r="AV117" s="326">
        <f t="shared" si="580"/>
        <v>234104.56</v>
      </c>
      <c r="AW117" s="333">
        <f t="shared" si="581"/>
        <v>234104.56</v>
      </c>
      <c r="AX117" s="123">
        <f t="shared" si="682"/>
        <v>757031.2</v>
      </c>
      <c r="AY117" s="123">
        <f t="shared" si="582"/>
        <v>0</v>
      </c>
      <c r="AZ117" s="123">
        <f t="shared" si="583"/>
        <v>794061.68</v>
      </c>
      <c r="BA117" s="125">
        <f t="shared" si="584"/>
        <v>794061.68</v>
      </c>
      <c r="BB117" s="1175">
        <f t="shared" ref="BB117:BD117" si="717">SUM(AQ117,AU117,AY117)</f>
        <v>0</v>
      </c>
      <c r="BC117" s="326">
        <f t="shared" si="717"/>
        <v>1271358.7200000002</v>
      </c>
      <c r="BD117" s="333">
        <f t="shared" si="717"/>
        <v>1271358.7200000002</v>
      </c>
      <c r="BE117" s="100">
        <f t="shared" si="586"/>
        <v>0</v>
      </c>
      <c r="BF117" s="116">
        <f t="shared" ref="BF117:BG117" si="718">BC117+AL117</f>
        <v>3405814.16</v>
      </c>
      <c r="BG117" s="119">
        <f t="shared" si="718"/>
        <v>3405814.16</v>
      </c>
      <c r="BH117" s="125">
        <f t="shared" si="685"/>
        <v>868455.76</v>
      </c>
      <c r="BI117" s="1041">
        <f t="shared" si="588"/>
        <v>0</v>
      </c>
      <c r="BJ117" s="326">
        <f t="shared" si="589"/>
        <v>1558901.86</v>
      </c>
      <c r="BK117" s="1045">
        <f t="shared" si="590"/>
        <v>1558901.86</v>
      </c>
      <c r="BL117" s="125">
        <f t="shared" si="686"/>
        <v>1399198.4</v>
      </c>
      <c r="BM117" s="140">
        <f t="shared" si="591"/>
        <v>0</v>
      </c>
      <c r="BN117" s="123">
        <f t="shared" si="592"/>
        <v>938951.17</v>
      </c>
      <c r="BO117" s="148">
        <f t="shared" si="593"/>
        <v>938951.17</v>
      </c>
      <c r="BP117" s="123">
        <f t="shared" si="687"/>
        <v>522949.92</v>
      </c>
      <c r="BQ117" s="123">
        <f t="shared" si="594"/>
        <v>0</v>
      </c>
      <c r="BR117" s="123">
        <f t="shared" si="595"/>
        <v>1421284.17</v>
      </c>
      <c r="BS117" s="125">
        <f t="shared" si="596"/>
        <v>1421284.17</v>
      </c>
      <c r="BT117" s="140">
        <f t="shared" ref="BT117:BV117" si="719">SUM(BQ117,BM117,BI117)</f>
        <v>0</v>
      </c>
      <c r="BU117" s="123">
        <f t="shared" si="719"/>
        <v>3919137.2</v>
      </c>
      <c r="BV117" s="148">
        <f t="shared" si="719"/>
        <v>3919137.2</v>
      </c>
      <c r="BW117" s="125">
        <f t="shared" si="689"/>
        <v>779008.88</v>
      </c>
      <c r="BX117" s="140">
        <f t="shared" si="610"/>
        <v>0</v>
      </c>
      <c r="BY117" s="123">
        <f t="shared" si="611"/>
        <v>1483838.59</v>
      </c>
      <c r="BZ117" s="148">
        <f t="shared" si="612"/>
        <v>1483838.59</v>
      </c>
      <c r="CA117" s="123">
        <f t="shared" si="690"/>
        <v>600966.80000000005</v>
      </c>
      <c r="CB117" s="326">
        <f t="shared" si="691"/>
        <v>1316843.3799999999</v>
      </c>
      <c r="CP117" s="294"/>
      <c r="CU117" s="294"/>
    </row>
    <row r="118" spans="1:99" ht="13">
      <c r="A118" s="566" t="e">
        <f t="shared" si="602"/>
        <v>#N/A</v>
      </c>
      <c r="B118" s="636">
        <f t="shared" si="560"/>
        <v>20</v>
      </c>
      <c r="C118" s="558">
        <f t="shared" si="613"/>
        <v>0.05</v>
      </c>
      <c r="D118" s="558">
        <f t="shared" si="614"/>
        <v>0.09</v>
      </c>
      <c r="E118" s="559">
        <f t="shared" si="615"/>
        <v>0</v>
      </c>
      <c r="F118" s="836">
        <f t="shared" si="561"/>
        <v>1</v>
      </c>
      <c r="G118" s="558" t="str">
        <f t="shared" si="562"/>
        <v>Lista</v>
      </c>
      <c r="H118" s="558">
        <f t="shared" si="563"/>
        <v>0.09</v>
      </c>
      <c r="I118" s="559">
        <f t="shared" si="564"/>
        <v>0</v>
      </c>
      <c r="J118" s="1214">
        <f t="shared" si="603"/>
        <v>71</v>
      </c>
      <c r="K118" s="558" t="str">
        <f t="shared" si="604"/>
        <v>Lista</v>
      </c>
      <c r="L118" s="715">
        <f t="shared" si="605"/>
        <v>0.05</v>
      </c>
      <c r="M118" s="1173" t="s">
        <v>1206</v>
      </c>
      <c r="N118" s="1174">
        <f t="shared" si="677"/>
        <v>71629.75</v>
      </c>
      <c r="O118" s="461">
        <v>1500000</v>
      </c>
      <c r="P118" s="173">
        <f t="shared" si="565"/>
        <v>113455.9</v>
      </c>
      <c r="Q118" s="561">
        <f t="shared" si="558"/>
        <v>9498.7099999999991</v>
      </c>
      <c r="R118" s="1112">
        <f t="shared" si="559"/>
        <v>122954.61</v>
      </c>
      <c r="S118" s="1189"/>
      <c r="T118" s="599"/>
      <c r="U118" s="326">
        <f t="shared" si="665"/>
        <v>17961.89</v>
      </c>
      <c r="V118" s="461">
        <v>1500000</v>
      </c>
      <c r="W118" s="173">
        <f t="shared" si="566"/>
        <v>76285.149999999994</v>
      </c>
      <c r="X118" s="561">
        <f t="shared" si="567"/>
        <v>28496.13</v>
      </c>
      <c r="Y118" s="1112">
        <f t="shared" si="568"/>
        <v>104781.28</v>
      </c>
      <c r="Z118" s="1189"/>
      <c r="AA118" s="599"/>
      <c r="AB118" s="326">
        <f t="shared" si="667"/>
        <v>23632.880000000001</v>
      </c>
      <c r="AC118" s="461">
        <v>1500000</v>
      </c>
      <c r="AD118" s="173">
        <f t="shared" si="569"/>
        <v>11294.550000000003</v>
      </c>
      <c r="AE118" s="561">
        <f t="shared" si="570"/>
        <v>22982.68</v>
      </c>
      <c r="AF118" s="1112">
        <f t="shared" si="571"/>
        <v>34277.230000000003</v>
      </c>
      <c r="AG118" s="1189"/>
      <c r="AH118" s="599"/>
      <c r="AI118" s="332">
        <f t="shared" si="471"/>
        <v>4500000</v>
      </c>
      <c r="AJ118" s="140">
        <f t="shared" si="572"/>
        <v>254551.05</v>
      </c>
      <c r="AK118" s="326">
        <f t="shared" ref="AK118:AM118" si="720">AD118+W118+P118</f>
        <v>201035.59999999998</v>
      </c>
      <c r="AL118" s="326">
        <f t="shared" si="720"/>
        <v>60977.52</v>
      </c>
      <c r="AM118" s="326">
        <f t="shared" si="720"/>
        <v>262013.12</v>
      </c>
      <c r="AN118" s="326">
        <f t="shared" si="574"/>
        <v>7462.070000000007</v>
      </c>
      <c r="AO118" s="98">
        <f t="shared" si="575"/>
        <v>1.0293146306016023</v>
      </c>
      <c r="AP118" s="125">
        <f t="shared" si="680"/>
        <v>60883.45</v>
      </c>
      <c r="AQ118" s="326">
        <f t="shared" si="576"/>
        <v>0</v>
      </c>
      <c r="AR118" s="326">
        <f t="shared" si="577"/>
        <v>44269.1</v>
      </c>
      <c r="AS118" s="123">
        <f t="shared" si="578"/>
        <v>44269.1</v>
      </c>
      <c r="AT118" s="332">
        <f t="shared" si="681"/>
        <v>166459.88</v>
      </c>
      <c r="AU118" s="140">
        <f t="shared" si="579"/>
        <v>0</v>
      </c>
      <c r="AV118" s="326">
        <f t="shared" si="580"/>
        <v>0</v>
      </c>
      <c r="AW118" s="333">
        <f t="shared" si="581"/>
        <v>0</v>
      </c>
      <c r="AX118" s="123">
        <f t="shared" si="682"/>
        <v>139539.63</v>
      </c>
      <c r="AY118" s="123">
        <f t="shared" si="582"/>
        <v>0</v>
      </c>
      <c r="AZ118" s="123">
        <f t="shared" si="583"/>
        <v>18536.34</v>
      </c>
      <c r="BA118" s="125">
        <f t="shared" si="584"/>
        <v>18536.34</v>
      </c>
      <c r="BB118" s="1175">
        <f t="shared" ref="BB118:BD118" si="721">SUM(AQ118,AU118,AY118)</f>
        <v>0</v>
      </c>
      <c r="BC118" s="326">
        <f t="shared" si="721"/>
        <v>62805.440000000002</v>
      </c>
      <c r="BD118" s="333">
        <f t="shared" si="721"/>
        <v>62805.440000000002</v>
      </c>
      <c r="BE118" s="100">
        <f t="shared" si="586"/>
        <v>201035.59999999998</v>
      </c>
      <c r="BF118" s="116">
        <f t="shared" ref="BF118:BG118" si="722">BC118+AL118</f>
        <v>123782.95999999999</v>
      </c>
      <c r="BG118" s="119">
        <f t="shared" si="722"/>
        <v>324818.56</v>
      </c>
      <c r="BH118" s="125">
        <f t="shared" si="685"/>
        <v>26952.36</v>
      </c>
      <c r="BI118" s="1041">
        <f t="shared" si="588"/>
        <v>0</v>
      </c>
      <c r="BJ118" s="326">
        <f t="shared" si="589"/>
        <v>18536.34</v>
      </c>
      <c r="BK118" s="1045">
        <f t="shared" si="590"/>
        <v>18536.34</v>
      </c>
      <c r="BL118" s="125">
        <f t="shared" si="686"/>
        <v>66886.75</v>
      </c>
      <c r="BM118" s="140">
        <f t="shared" si="591"/>
        <v>5705</v>
      </c>
      <c r="BN118" s="123">
        <f t="shared" si="592"/>
        <v>18536.34</v>
      </c>
      <c r="BO118" s="148">
        <f t="shared" si="593"/>
        <v>24241.34</v>
      </c>
      <c r="BP118" s="123">
        <f t="shared" si="687"/>
        <v>45587.83</v>
      </c>
      <c r="BQ118" s="123">
        <f t="shared" si="594"/>
        <v>0</v>
      </c>
      <c r="BR118" s="123">
        <f t="shared" si="595"/>
        <v>0</v>
      </c>
      <c r="BS118" s="125">
        <f t="shared" si="596"/>
        <v>0</v>
      </c>
      <c r="BT118" s="140">
        <f t="shared" ref="BT118:BV118" si="723">SUM(BQ118,BM118,BI118)</f>
        <v>5705</v>
      </c>
      <c r="BU118" s="123">
        <f t="shared" si="723"/>
        <v>37072.68</v>
      </c>
      <c r="BV118" s="148">
        <f t="shared" si="723"/>
        <v>42777.68</v>
      </c>
      <c r="BW118" s="125">
        <f t="shared" si="689"/>
        <v>38279.83</v>
      </c>
      <c r="BX118" s="140">
        <f t="shared" si="610"/>
        <v>0</v>
      </c>
      <c r="BY118" s="123">
        <f t="shared" si="611"/>
        <v>0</v>
      </c>
      <c r="BZ118" s="148">
        <f t="shared" si="612"/>
        <v>0</v>
      </c>
      <c r="CA118" s="123">
        <f t="shared" si="690"/>
        <v>21216.85</v>
      </c>
      <c r="CB118" s="326">
        <f t="shared" si="691"/>
        <v>195054.37</v>
      </c>
      <c r="CP118" s="294"/>
      <c r="CU118" s="294"/>
    </row>
    <row r="119" spans="1:99" ht="13">
      <c r="A119" s="566" t="e">
        <f t="shared" si="602"/>
        <v>#N/A</v>
      </c>
      <c r="B119" s="636">
        <f t="shared" si="560"/>
        <v>20</v>
      </c>
      <c r="C119" s="558">
        <f t="shared" si="613"/>
        <v>0.05</v>
      </c>
      <c r="D119" s="558">
        <f t="shared" si="614"/>
        <v>0.09</v>
      </c>
      <c r="E119" s="559">
        <f t="shared" si="615"/>
        <v>0</v>
      </c>
      <c r="F119" s="836">
        <f t="shared" si="561"/>
        <v>1</v>
      </c>
      <c r="G119" s="558" t="str">
        <f t="shared" si="562"/>
        <v>Lista</v>
      </c>
      <c r="H119" s="558">
        <f t="shared" si="563"/>
        <v>0.09</v>
      </c>
      <c r="I119" s="559">
        <f t="shared" si="564"/>
        <v>0</v>
      </c>
      <c r="J119" s="1214">
        <f t="shared" si="603"/>
        <v>71</v>
      </c>
      <c r="K119" s="558" t="str">
        <f t="shared" si="604"/>
        <v>Lista</v>
      </c>
      <c r="L119" s="715">
        <f t="shared" si="605"/>
        <v>0.05</v>
      </c>
      <c r="M119" s="1173" t="s">
        <v>1207</v>
      </c>
      <c r="N119" s="1174">
        <f t="shared" si="677"/>
        <v>0</v>
      </c>
      <c r="O119" s="461">
        <v>1500000</v>
      </c>
      <c r="P119" s="173">
        <f t="shared" si="565"/>
        <v>0</v>
      </c>
      <c r="Q119" s="561">
        <f t="shared" si="558"/>
        <v>0</v>
      </c>
      <c r="R119" s="1112">
        <f t="shared" si="559"/>
        <v>0</v>
      </c>
      <c r="S119" s="1189"/>
      <c r="T119" s="599"/>
      <c r="U119" s="326">
        <f t="shared" si="665"/>
        <v>54156.36</v>
      </c>
      <c r="V119" s="461">
        <v>1500000</v>
      </c>
      <c r="W119" s="173">
        <f t="shared" si="566"/>
        <v>0</v>
      </c>
      <c r="X119" s="561">
        <f t="shared" si="567"/>
        <v>64085.91</v>
      </c>
      <c r="Y119" s="1112">
        <f t="shared" si="568"/>
        <v>64085.91</v>
      </c>
      <c r="Z119" s="1189"/>
      <c r="AA119" s="599"/>
      <c r="AB119" s="326">
        <f t="shared" si="667"/>
        <v>54156.31</v>
      </c>
      <c r="AC119" s="461">
        <v>1500000</v>
      </c>
      <c r="AD119" s="173">
        <f t="shared" si="569"/>
        <v>0</v>
      </c>
      <c r="AE119" s="561">
        <f t="shared" si="570"/>
        <v>0</v>
      </c>
      <c r="AF119" s="1112">
        <f t="shared" si="571"/>
        <v>0</v>
      </c>
      <c r="AG119" s="1189"/>
      <c r="AH119" s="599"/>
      <c r="AI119" s="332">
        <f t="shared" si="471"/>
        <v>4500000</v>
      </c>
      <c r="AJ119" s="140">
        <f t="shared" si="572"/>
        <v>102434.57</v>
      </c>
      <c r="AK119" s="326">
        <f t="shared" ref="AK119:AM119" si="724">AD119+W119+P119</f>
        <v>0</v>
      </c>
      <c r="AL119" s="326">
        <f t="shared" si="724"/>
        <v>64085.91</v>
      </c>
      <c r="AM119" s="326">
        <f t="shared" si="724"/>
        <v>64085.91</v>
      </c>
      <c r="AN119" s="326">
        <f t="shared" si="574"/>
        <v>-38348.660000000003</v>
      </c>
      <c r="AO119" s="98">
        <f t="shared" si="575"/>
        <v>0.62562775438018625</v>
      </c>
      <c r="AP119" s="125">
        <f t="shared" si="680"/>
        <v>0</v>
      </c>
      <c r="AQ119" s="326">
        <f t="shared" si="576"/>
        <v>0</v>
      </c>
      <c r="AR119" s="326">
        <f t="shared" si="577"/>
        <v>0</v>
      </c>
      <c r="AS119" s="123">
        <f t="shared" si="578"/>
        <v>0</v>
      </c>
      <c r="AT119" s="332">
        <f t="shared" si="681"/>
        <v>0</v>
      </c>
      <c r="AU119" s="140">
        <f t="shared" si="579"/>
        <v>0</v>
      </c>
      <c r="AV119" s="326">
        <f t="shared" si="580"/>
        <v>0</v>
      </c>
      <c r="AW119" s="333">
        <f t="shared" si="581"/>
        <v>0</v>
      </c>
      <c r="AX119" s="123">
        <f t="shared" si="682"/>
        <v>0</v>
      </c>
      <c r="AY119" s="123">
        <f t="shared" si="582"/>
        <v>0</v>
      </c>
      <c r="AZ119" s="123">
        <f t="shared" si="583"/>
        <v>72000.539999999994</v>
      </c>
      <c r="BA119" s="125">
        <f t="shared" si="584"/>
        <v>72000.539999999994</v>
      </c>
      <c r="BB119" s="1175">
        <f t="shared" ref="BB119:BD119" si="725">SUM(AQ119,AU119,AY119)</f>
        <v>0</v>
      </c>
      <c r="BC119" s="326">
        <f t="shared" si="725"/>
        <v>72000.539999999994</v>
      </c>
      <c r="BD119" s="333">
        <f t="shared" si="725"/>
        <v>72000.539999999994</v>
      </c>
      <c r="BE119" s="100">
        <f t="shared" si="586"/>
        <v>0</v>
      </c>
      <c r="BF119" s="116">
        <f t="shared" ref="BF119:BG119" si="726">BC119+AL119</f>
        <v>136086.45000000001</v>
      </c>
      <c r="BG119" s="119">
        <f t="shared" si="726"/>
        <v>136086.45000000001</v>
      </c>
      <c r="BH119" s="125">
        <f t="shared" si="685"/>
        <v>0</v>
      </c>
      <c r="BI119" s="1041">
        <f t="shared" si="588"/>
        <v>0</v>
      </c>
      <c r="BJ119" s="326">
        <f t="shared" si="589"/>
        <v>72000.539999999994</v>
      </c>
      <c r="BK119" s="1045">
        <f t="shared" si="590"/>
        <v>72000.539999999994</v>
      </c>
      <c r="BL119" s="125">
        <f t="shared" si="686"/>
        <v>0</v>
      </c>
      <c r="BM119" s="140">
        <f t="shared" si="591"/>
        <v>0</v>
      </c>
      <c r="BN119" s="123">
        <f t="shared" si="592"/>
        <v>0</v>
      </c>
      <c r="BO119" s="148">
        <f t="shared" si="593"/>
        <v>0</v>
      </c>
      <c r="BP119" s="123">
        <f t="shared" si="687"/>
        <v>46790.11</v>
      </c>
      <c r="BQ119" s="123">
        <f t="shared" si="594"/>
        <v>0</v>
      </c>
      <c r="BR119" s="123">
        <f t="shared" si="595"/>
        <v>0</v>
      </c>
      <c r="BS119" s="125">
        <f t="shared" si="596"/>
        <v>0</v>
      </c>
      <c r="BT119" s="140">
        <f t="shared" ref="BT119:BV119" si="727">SUM(BQ119,BM119,BI119)</f>
        <v>0</v>
      </c>
      <c r="BU119" s="123">
        <f t="shared" si="727"/>
        <v>72000.539999999994</v>
      </c>
      <c r="BV119" s="148">
        <f t="shared" si="727"/>
        <v>72000.539999999994</v>
      </c>
      <c r="BW119" s="125">
        <f t="shared" si="689"/>
        <v>102434.57</v>
      </c>
      <c r="BX119" s="140">
        <f t="shared" si="610"/>
        <v>0</v>
      </c>
      <c r="BY119" s="123">
        <f t="shared" si="611"/>
        <v>121888.52</v>
      </c>
      <c r="BZ119" s="148">
        <f t="shared" si="612"/>
        <v>121888.52</v>
      </c>
      <c r="CA119" s="123">
        <f t="shared" si="690"/>
        <v>0</v>
      </c>
      <c r="CB119" s="326">
        <f t="shared" si="691"/>
        <v>0</v>
      </c>
      <c r="CP119" s="294"/>
      <c r="CU119" s="294"/>
    </row>
    <row r="120" spans="1:99" ht="13">
      <c r="A120" s="566" t="e">
        <f t="shared" si="602"/>
        <v>#N/A</v>
      </c>
      <c r="B120" s="636">
        <f t="shared" si="560"/>
        <v>20</v>
      </c>
      <c r="C120" s="558">
        <f t="shared" si="613"/>
        <v>0.05</v>
      </c>
      <c r="D120" s="558">
        <f t="shared" si="614"/>
        <v>0.09</v>
      </c>
      <c r="E120" s="559">
        <f t="shared" si="615"/>
        <v>0</v>
      </c>
      <c r="F120" s="836">
        <f t="shared" si="561"/>
        <v>1</v>
      </c>
      <c r="G120" s="558" t="str">
        <f t="shared" si="562"/>
        <v>Lista</v>
      </c>
      <c r="H120" s="558">
        <f t="shared" si="563"/>
        <v>0.09</v>
      </c>
      <c r="I120" s="559">
        <f t="shared" si="564"/>
        <v>0</v>
      </c>
      <c r="J120" s="1214">
        <f t="shared" si="603"/>
        <v>71</v>
      </c>
      <c r="K120" s="558" t="str">
        <f t="shared" si="604"/>
        <v>Lista</v>
      </c>
      <c r="L120" s="715">
        <f t="shared" si="605"/>
        <v>0.05</v>
      </c>
      <c r="M120" s="1173" t="s">
        <v>1208</v>
      </c>
      <c r="N120" s="1174">
        <f t="shared" si="677"/>
        <v>172045.69</v>
      </c>
      <c r="O120" s="461">
        <v>1500000</v>
      </c>
      <c r="P120" s="173" t="e">
        <f t="shared" si="565"/>
        <v>#VALUE!</v>
      </c>
      <c r="Q120" s="561" t="str">
        <f t="shared" si="558"/>
        <v/>
      </c>
      <c r="R120" s="1112">
        <f t="shared" si="559"/>
        <v>0</v>
      </c>
      <c r="S120" s="1189"/>
      <c r="T120" s="599"/>
      <c r="U120" s="326">
        <f t="shared" si="665"/>
        <v>57524.480000000003</v>
      </c>
      <c r="V120" s="461">
        <v>1500000</v>
      </c>
      <c r="W120" s="173" t="e">
        <f t="shared" si="566"/>
        <v>#VALUE!</v>
      </c>
      <c r="X120" s="561" t="str">
        <f t="shared" si="567"/>
        <v/>
      </c>
      <c r="Y120" s="1112">
        <f t="shared" si="568"/>
        <v>128958.82</v>
      </c>
      <c r="Z120" s="1189"/>
      <c r="AA120" s="599"/>
      <c r="AB120" s="326">
        <f t="shared" si="667"/>
        <v>25635.65</v>
      </c>
      <c r="AC120" s="461">
        <v>1500000</v>
      </c>
      <c r="AD120" s="173" t="e">
        <f t="shared" si="569"/>
        <v>#VALUE!</v>
      </c>
      <c r="AE120" s="561" t="str">
        <f t="shared" si="570"/>
        <v/>
      </c>
      <c r="AF120" s="1112">
        <f t="shared" si="571"/>
        <v>180201.25</v>
      </c>
      <c r="AG120" s="1189"/>
      <c r="AH120" s="599"/>
      <c r="AI120" s="332">
        <f t="shared" si="471"/>
        <v>4500000</v>
      </c>
      <c r="AJ120" s="140">
        <f t="shared" si="572"/>
        <v>87588.74</v>
      </c>
      <c r="AK120" s="326" t="e">
        <f t="shared" ref="AK120:AM120" si="728">AD120+W120+P120</f>
        <v>#VALUE!</v>
      </c>
      <c r="AL120" s="326" t="e">
        <f t="shared" si="728"/>
        <v>#VALUE!</v>
      </c>
      <c r="AM120" s="326">
        <f t="shared" si="728"/>
        <v>309160.07</v>
      </c>
      <c r="AN120" s="326">
        <f t="shared" si="574"/>
        <v>221571.33000000002</v>
      </c>
      <c r="AO120" s="98">
        <f t="shared" si="575"/>
        <v>3.5296782440299972</v>
      </c>
      <c r="AP120" s="125">
        <f t="shared" si="680"/>
        <v>373003.76</v>
      </c>
      <c r="AQ120" s="326" t="e">
        <f t="shared" si="576"/>
        <v>#VALUE!</v>
      </c>
      <c r="AR120" s="326" t="str">
        <f t="shared" si="577"/>
        <v/>
      </c>
      <c r="AS120" s="123">
        <f t="shared" si="578"/>
        <v>285367.26</v>
      </c>
      <c r="AT120" s="332">
        <f t="shared" si="681"/>
        <v>0</v>
      </c>
      <c r="AU120" s="140" t="e">
        <f t="shared" si="579"/>
        <v>#VALUE!</v>
      </c>
      <c r="AV120" s="326" t="str">
        <f t="shared" si="580"/>
        <v/>
      </c>
      <c r="AW120" s="333">
        <f t="shared" si="581"/>
        <v>0</v>
      </c>
      <c r="AX120" s="123">
        <f t="shared" si="682"/>
        <v>116513.82</v>
      </c>
      <c r="AY120" s="123" t="e">
        <f t="shared" si="582"/>
        <v>#VALUE!</v>
      </c>
      <c r="AZ120" s="123" t="str">
        <f t="shared" si="583"/>
        <v/>
      </c>
      <c r="BA120" s="125">
        <f t="shared" si="584"/>
        <v>79877.429999999993</v>
      </c>
      <c r="BB120" s="1175" t="e">
        <f t="shared" ref="BB120:BD120" si="729">SUM(AQ120,AU120,AY120)</f>
        <v>#VALUE!</v>
      </c>
      <c r="BC120" s="326">
        <f t="shared" si="729"/>
        <v>0</v>
      </c>
      <c r="BD120" s="333">
        <f t="shared" si="729"/>
        <v>365244.69</v>
      </c>
      <c r="BE120" s="100" t="e">
        <f t="shared" si="586"/>
        <v>#VALUE!</v>
      </c>
      <c r="BF120" s="116" t="e">
        <f t="shared" ref="BF120:BG120" si="730">BC120+AL120</f>
        <v>#VALUE!</v>
      </c>
      <c r="BG120" s="119">
        <f t="shared" si="730"/>
        <v>674404.76</v>
      </c>
      <c r="BH120" s="125">
        <f t="shared" si="685"/>
        <v>0</v>
      </c>
      <c r="BI120" s="1041" t="e">
        <f t="shared" si="588"/>
        <v>#VALUE!</v>
      </c>
      <c r="BJ120" s="326" t="str">
        <f t="shared" si="589"/>
        <v/>
      </c>
      <c r="BK120" s="1045">
        <f t="shared" si="590"/>
        <v>85930.41</v>
      </c>
      <c r="BL120" s="125">
        <f t="shared" si="686"/>
        <v>114301.26</v>
      </c>
      <c r="BM120" s="140" t="e">
        <f t="shared" si="591"/>
        <v>#VALUE!</v>
      </c>
      <c r="BN120" s="123" t="str">
        <f t="shared" si="592"/>
        <v/>
      </c>
      <c r="BO120" s="148">
        <f t="shared" si="593"/>
        <v>151453.01</v>
      </c>
      <c r="BP120" s="123">
        <f t="shared" si="687"/>
        <v>178918.64</v>
      </c>
      <c r="BQ120" s="123" t="e">
        <f t="shared" si="594"/>
        <v>#VALUE!</v>
      </c>
      <c r="BR120" s="123" t="str">
        <f t="shared" si="595"/>
        <v/>
      </c>
      <c r="BS120" s="125">
        <f t="shared" si="596"/>
        <v>74567.460000000006</v>
      </c>
      <c r="BT120" s="140" t="e">
        <f t="shared" ref="BT120:BV120" si="731">SUM(BQ120,BM120,BI120)</f>
        <v>#VALUE!</v>
      </c>
      <c r="BU120" s="123">
        <f t="shared" si="731"/>
        <v>0</v>
      </c>
      <c r="BV120" s="148">
        <f t="shared" si="731"/>
        <v>311950.88</v>
      </c>
      <c r="BW120" s="125">
        <f t="shared" si="689"/>
        <v>87588.74</v>
      </c>
      <c r="BX120" s="140" t="e">
        <f t="shared" si="610"/>
        <v>#VALUE!</v>
      </c>
      <c r="BY120" s="123" t="str">
        <f t="shared" si="611"/>
        <v/>
      </c>
      <c r="BZ120" s="148">
        <f t="shared" si="612"/>
        <v>0</v>
      </c>
      <c r="CA120" s="123">
        <f t="shared" si="690"/>
        <v>0</v>
      </c>
      <c r="CB120" s="326">
        <f t="shared" si="691"/>
        <v>0</v>
      </c>
      <c r="CP120" s="294"/>
      <c r="CU120" s="294"/>
    </row>
    <row r="121" spans="1:99" ht="13">
      <c r="A121" s="566" t="e">
        <f t="shared" si="602"/>
        <v>#N/A</v>
      </c>
      <c r="B121" s="636">
        <f t="shared" si="560"/>
        <v>20</v>
      </c>
      <c r="C121" s="558">
        <f t="shared" si="613"/>
        <v>0.05</v>
      </c>
      <c r="D121" s="558">
        <f t="shared" si="614"/>
        <v>0.09</v>
      </c>
      <c r="E121" s="559">
        <f t="shared" si="615"/>
        <v>0</v>
      </c>
      <c r="F121" s="836">
        <f t="shared" si="561"/>
        <v>1</v>
      </c>
      <c r="G121" s="558" t="str">
        <f t="shared" si="562"/>
        <v>Lista</v>
      </c>
      <c r="H121" s="558">
        <f t="shared" si="563"/>
        <v>0.09</v>
      </c>
      <c r="I121" s="559">
        <f t="shared" si="564"/>
        <v>0</v>
      </c>
      <c r="J121" s="1214">
        <f t="shared" si="603"/>
        <v>71</v>
      </c>
      <c r="K121" s="558" t="str">
        <f t="shared" si="604"/>
        <v>Lista</v>
      </c>
      <c r="L121" s="715">
        <f t="shared" si="605"/>
        <v>0.05</v>
      </c>
      <c r="M121" s="1173" t="s">
        <v>1209</v>
      </c>
      <c r="N121" s="1174">
        <f t="shared" si="677"/>
        <v>122383.77</v>
      </c>
      <c r="O121" s="461">
        <v>1500000</v>
      </c>
      <c r="P121" s="173" t="e">
        <f t="shared" si="565"/>
        <v>#VALUE!</v>
      </c>
      <c r="Q121" s="561" t="str">
        <f t="shared" si="558"/>
        <v/>
      </c>
      <c r="R121" s="1112">
        <f t="shared" si="559"/>
        <v>107493.4</v>
      </c>
      <c r="S121" s="1189"/>
      <c r="T121" s="599"/>
      <c r="U121" s="326">
        <f t="shared" si="665"/>
        <v>341435.96</v>
      </c>
      <c r="V121" s="461">
        <v>1500000</v>
      </c>
      <c r="W121" s="173" t="e">
        <f t="shared" si="566"/>
        <v>#VALUE!</v>
      </c>
      <c r="X121" s="561" t="str">
        <f t="shared" si="567"/>
        <v/>
      </c>
      <c r="Y121" s="1112">
        <f t="shared" si="568"/>
        <v>259612.37</v>
      </c>
      <c r="Z121" s="1189"/>
      <c r="AA121" s="599"/>
      <c r="AB121" s="326">
        <f t="shared" si="667"/>
        <v>38604.239999999998</v>
      </c>
      <c r="AC121" s="461">
        <v>1500000</v>
      </c>
      <c r="AD121" s="173" t="e">
        <f t="shared" si="569"/>
        <v>#VALUE!</v>
      </c>
      <c r="AE121" s="561" t="str">
        <f t="shared" si="570"/>
        <v/>
      </c>
      <c r="AF121" s="1112">
        <f t="shared" si="571"/>
        <v>232070.72</v>
      </c>
      <c r="AG121" s="1189"/>
      <c r="AH121" s="599"/>
      <c r="AI121" s="332">
        <f t="shared" si="471"/>
        <v>4500000</v>
      </c>
      <c r="AJ121" s="140">
        <f t="shared" si="572"/>
        <v>539920.64000000001</v>
      </c>
      <c r="AK121" s="326" t="e">
        <f t="shared" ref="AK121:AM121" si="732">AD121+W121+P121</f>
        <v>#VALUE!</v>
      </c>
      <c r="AL121" s="326" t="e">
        <f t="shared" si="732"/>
        <v>#VALUE!</v>
      </c>
      <c r="AM121" s="326">
        <f t="shared" si="732"/>
        <v>599176.49</v>
      </c>
      <c r="AN121" s="326">
        <f t="shared" si="574"/>
        <v>59255.849999999977</v>
      </c>
      <c r="AO121" s="98">
        <f t="shared" si="575"/>
        <v>1.1097491846209102</v>
      </c>
      <c r="AP121" s="125">
        <f t="shared" si="680"/>
        <v>268676.90000000002</v>
      </c>
      <c r="AQ121" s="326" t="e">
        <f t="shared" si="576"/>
        <v>#VALUE!</v>
      </c>
      <c r="AR121" s="326" t="str">
        <f t="shared" si="577"/>
        <v/>
      </c>
      <c r="AS121" s="123">
        <f t="shared" si="578"/>
        <v>596364.99</v>
      </c>
      <c r="AT121" s="332">
        <f t="shared" si="681"/>
        <v>124210.64</v>
      </c>
      <c r="AU121" s="140" t="e">
        <f t="shared" si="579"/>
        <v>#VALUE!</v>
      </c>
      <c r="AV121" s="326" t="str">
        <f t="shared" si="580"/>
        <v/>
      </c>
      <c r="AW121" s="333">
        <f t="shared" si="581"/>
        <v>0</v>
      </c>
      <c r="AX121" s="123">
        <f t="shared" si="682"/>
        <v>214643.95</v>
      </c>
      <c r="AY121" s="123" t="e">
        <f t="shared" si="582"/>
        <v>#VALUE!</v>
      </c>
      <c r="AZ121" s="123" t="str">
        <f t="shared" si="583"/>
        <v/>
      </c>
      <c r="BA121" s="125">
        <f t="shared" si="584"/>
        <v>0</v>
      </c>
      <c r="BB121" s="1175" t="e">
        <f t="shared" ref="BB121:BD121" si="733">SUM(AQ121,AU121,AY121)</f>
        <v>#VALUE!</v>
      </c>
      <c r="BC121" s="326">
        <f t="shared" si="733"/>
        <v>0</v>
      </c>
      <c r="BD121" s="333">
        <f t="shared" si="733"/>
        <v>596364.99</v>
      </c>
      <c r="BE121" s="100" t="e">
        <f t="shared" si="586"/>
        <v>#VALUE!</v>
      </c>
      <c r="BF121" s="116" t="e">
        <f t="shared" ref="BF121:BG121" si="734">BC121+AL121</f>
        <v>#VALUE!</v>
      </c>
      <c r="BG121" s="119">
        <f t="shared" si="734"/>
        <v>1195541.48</v>
      </c>
      <c r="BH121" s="125">
        <f t="shared" si="685"/>
        <v>229173.35</v>
      </c>
      <c r="BI121" s="1041" t="e">
        <f t="shared" si="588"/>
        <v>#VALUE!</v>
      </c>
      <c r="BJ121" s="326" t="str">
        <f t="shared" si="589"/>
        <v/>
      </c>
      <c r="BK121" s="1045">
        <f t="shared" si="590"/>
        <v>0</v>
      </c>
      <c r="BL121" s="125">
        <f t="shared" si="686"/>
        <v>40166.160000000003</v>
      </c>
      <c r="BM121" s="140" t="e">
        <f t="shared" si="591"/>
        <v>#VALUE!</v>
      </c>
      <c r="BN121" s="123" t="str">
        <f t="shared" si="592"/>
        <v/>
      </c>
      <c r="BO121" s="148">
        <f t="shared" si="593"/>
        <v>237640.29</v>
      </c>
      <c r="BP121" s="123">
        <f t="shared" si="687"/>
        <v>156121.95000000001</v>
      </c>
      <c r="BQ121" s="123" t="e">
        <f t="shared" si="594"/>
        <v>#VALUE!</v>
      </c>
      <c r="BR121" s="123" t="str">
        <f t="shared" si="595"/>
        <v/>
      </c>
      <c r="BS121" s="125">
        <f t="shared" si="596"/>
        <v>0</v>
      </c>
      <c r="BT121" s="140" t="e">
        <f t="shared" ref="BT121:BV121" si="735">SUM(BQ121,BM121,BI121)</f>
        <v>#VALUE!</v>
      </c>
      <c r="BU121" s="123">
        <f t="shared" si="735"/>
        <v>0</v>
      </c>
      <c r="BV121" s="148">
        <f t="shared" si="735"/>
        <v>237640.29</v>
      </c>
      <c r="BW121" s="125">
        <f t="shared" si="689"/>
        <v>274094.99</v>
      </c>
      <c r="BX121" s="140" t="e">
        <f t="shared" si="610"/>
        <v>#VALUE!</v>
      </c>
      <c r="BY121" s="123" t="str">
        <f t="shared" si="611"/>
        <v/>
      </c>
      <c r="BZ121" s="148">
        <f t="shared" si="612"/>
        <v>0</v>
      </c>
      <c r="CA121" s="123">
        <f t="shared" si="690"/>
        <v>234293.26</v>
      </c>
      <c r="CB121" s="326">
        <f t="shared" si="691"/>
        <v>31532.400000000001</v>
      </c>
      <c r="CP121" s="294"/>
      <c r="CU121" s="294"/>
    </row>
    <row r="122" spans="1:99" ht="13">
      <c r="A122" s="566" t="e">
        <f t="shared" si="602"/>
        <v>#N/A</v>
      </c>
      <c r="B122" s="636">
        <f t="shared" si="560"/>
        <v>20</v>
      </c>
      <c r="C122" s="558">
        <f t="shared" si="613"/>
        <v>0.05</v>
      </c>
      <c r="D122" s="558">
        <f t="shared" si="614"/>
        <v>0.09</v>
      </c>
      <c r="E122" s="559">
        <f t="shared" si="615"/>
        <v>0</v>
      </c>
      <c r="F122" s="836">
        <f t="shared" si="561"/>
        <v>1</v>
      </c>
      <c r="G122" s="558" t="str">
        <f t="shared" si="562"/>
        <v>Lista</v>
      </c>
      <c r="H122" s="558">
        <f t="shared" si="563"/>
        <v>0.09</v>
      </c>
      <c r="I122" s="559">
        <f t="shared" si="564"/>
        <v>0</v>
      </c>
      <c r="J122" s="1214">
        <f t="shared" si="603"/>
        <v>70</v>
      </c>
      <c r="K122" s="558" t="str">
        <f t="shared" si="604"/>
        <v>Lista</v>
      </c>
      <c r="L122" s="715">
        <f t="shared" si="605"/>
        <v>0.11</v>
      </c>
      <c r="M122" s="1173" t="s">
        <v>1210</v>
      </c>
      <c r="N122" s="1174">
        <f t="shared" si="677"/>
        <v>41276.230000000003</v>
      </c>
      <c r="O122" s="461">
        <v>1500000</v>
      </c>
      <c r="P122" s="173">
        <f t="shared" si="565"/>
        <v>191079.56</v>
      </c>
      <c r="Q122" s="561">
        <f t="shared" si="558"/>
        <v>0</v>
      </c>
      <c r="R122" s="1112">
        <f t="shared" si="559"/>
        <v>191079.56</v>
      </c>
      <c r="S122" s="1189"/>
      <c r="T122" s="599"/>
      <c r="U122" s="326">
        <f t="shared" si="665"/>
        <v>199875.84</v>
      </c>
      <c r="V122" s="461">
        <v>1500000</v>
      </c>
      <c r="W122" s="173">
        <f t="shared" si="566"/>
        <v>120766.26</v>
      </c>
      <c r="X122" s="561">
        <f t="shared" si="567"/>
        <v>0</v>
      </c>
      <c r="Y122" s="1112">
        <f t="shared" si="568"/>
        <v>120766.26</v>
      </c>
      <c r="Z122" s="1189"/>
      <c r="AA122" s="599"/>
      <c r="AB122" s="326">
        <f t="shared" si="667"/>
        <v>82497.279999999999</v>
      </c>
      <c r="AC122" s="461">
        <v>1500000</v>
      </c>
      <c r="AD122" s="173">
        <f t="shared" si="569"/>
        <v>152257.09</v>
      </c>
      <c r="AE122" s="561">
        <f t="shared" si="570"/>
        <v>0</v>
      </c>
      <c r="AF122" s="1112">
        <f t="shared" si="571"/>
        <v>152257.09</v>
      </c>
      <c r="AG122" s="1189"/>
      <c r="AH122" s="599"/>
      <c r="AI122" s="332">
        <f t="shared" si="471"/>
        <v>4500000</v>
      </c>
      <c r="AJ122" s="140">
        <f t="shared" si="572"/>
        <v>194028.94</v>
      </c>
      <c r="AK122" s="326">
        <f t="shared" ref="AK122:AM122" si="736">AD122+W122+P122</f>
        <v>464102.91</v>
      </c>
      <c r="AL122" s="326">
        <f t="shared" si="736"/>
        <v>0</v>
      </c>
      <c r="AM122" s="326">
        <f t="shared" si="736"/>
        <v>464102.91</v>
      </c>
      <c r="AN122" s="326">
        <f t="shared" si="574"/>
        <v>270073.96999999997</v>
      </c>
      <c r="AO122" s="98">
        <f t="shared" si="575"/>
        <v>2.3919262250260194</v>
      </c>
      <c r="AP122" s="125">
        <f t="shared" si="680"/>
        <v>34740.51</v>
      </c>
      <c r="AQ122" s="326">
        <f t="shared" si="576"/>
        <v>96484.73</v>
      </c>
      <c r="AR122" s="326">
        <f t="shared" si="577"/>
        <v>17338.810000000001</v>
      </c>
      <c r="AS122" s="123">
        <f t="shared" si="578"/>
        <v>113823.54</v>
      </c>
      <c r="AT122" s="332">
        <f t="shared" si="681"/>
        <v>48188.26</v>
      </c>
      <c r="AU122" s="140">
        <f t="shared" si="579"/>
        <v>198173.8</v>
      </c>
      <c r="AV122" s="326">
        <f t="shared" si="580"/>
        <v>0</v>
      </c>
      <c r="AW122" s="333">
        <f t="shared" si="581"/>
        <v>198173.8</v>
      </c>
      <c r="AX122" s="123">
        <f t="shared" si="682"/>
        <v>19620.189999999999</v>
      </c>
      <c r="AY122" s="123">
        <f t="shared" si="582"/>
        <v>204485.69</v>
      </c>
      <c r="AZ122" s="123">
        <f t="shared" si="583"/>
        <v>0</v>
      </c>
      <c r="BA122" s="125">
        <f t="shared" si="584"/>
        <v>204485.69</v>
      </c>
      <c r="BB122" s="1175">
        <f t="shared" ref="BB122:BD122" si="737">SUM(AQ122,AU122,AY122)</f>
        <v>499144.22</v>
      </c>
      <c r="BC122" s="326">
        <f t="shared" si="737"/>
        <v>17338.810000000001</v>
      </c>
      <c r="BD122" s="333">
        <f t="shared" si="737"/>
        <v>516483.02999999997</v>
      </c>
      <c r="BE122" s="100">
        <f t="shared" si="586"/>
        <v>963247.12999999989</v>
      </c>
      <c r="BF122" s="116">
        <f t="shared" ref="BF122:BG122" si="738">BC122+AL122</f>
        <v>17338.810000000001</v>
      </c>
      <c r="BG122" s="119">
        <f t="shared" si="738"/>
        <v>980585.94</v>
      </c>
      <c r="BH122" s="125">
        <f t="shared" si="685"/>
        <v>174812.02</v>
      </c>
      <c r="BI122" s="1041">
        <f t="shared" si="588"/>
        <v>57885.82</v>
      </c>
      <c r="BJ122" s="326">
        <f t="shared" si="589"/>
        <v>0</v>
      </c>
      <c r="BK122" s="1045">
        <f t="shared" si="590"/>
        <v>57885.82</v>
      </c>
      <c r="BL122" s="125">
        <f t="shared" si="686"/>
        <v>64995.87</v>
      </c>
      <c r="BM122" s="140">
        <f t="shared" si="591"/>
        <v>303672.08</v>
      </c>
      <c r="BN122" s="123">
        <f t="shared" si="592"/>
        <v>0</v>
      </c>
      <c r="BO122" s="148">
        <f t="shared" si="593"/>
        <v>303672.08</v>
      </c>
      <c r="BP122" s="123">
        <f t="shared" si="687"/>
        <v>173176.73</v>
      </c>
      <c r="BQ122" s="123">
        <f t="shared" si="594"/>
        <v>189601.95</v>
      </c>
      <c r="BR122" s="123">
        <f t="shared" si="595"/>
        <v>0</v>
      </c>
      <c r="BS122" s="125">
        <f t="shared" si="596"/>
        <v>189601.95</v>
      </c>
      <c r="BT122" s="140">
        <f t="shared" ref="BT122:BV122" si="739">SUM(BQ122,BM122,BI122)</f>
        <v>551159.85</v>
      </c>
      <c r="BU122" s="123">
        <f t="shared" si="739"/>
        <v>0</v>
      </c>
      <c r="BV122" s="148">
        <f t="shared" si="739"/>
        <v>551159.85</v>
      </c>
      <c r="BW122" s="125">
        <f t="shared" si="689"/>
        <v>7100.62</v>
      </c>
      <c r="BX122" s="140">
        <f t="shared" si="610"/>
        <v>194096.4</v>
      </c>
      <c r="BY122" s="123">
        <f t="shared" si="611"/>
        <v>157419.01999999999</v>
      </c>
      <c r="BZ122" s="148">
        <f t="shared" si="612"/>
        <v>351515.42</v>
      </c>
      <c r="CA122" s="123">
        <f t="shared" si="690"/>
        <v>166791.35999999999</v>
      </c>
      <c r="CB122" s="326">
        <f t="shared" si="691"/>
        <v>20136.96</v>
      </c>
      <c r="CP122" s="294"/>
      <c r="CU122" s="294"/>
    </row>
    <row r="123" spans="1:99" ht="13">
      <c r="A123" s="566" t="e">
        <f t="shared" si="602"/>
        <v>#N/A</v>
      </c>
      <c r="B123" s="636">
        <f t="shared" si="560"/>
        <v>29</v>
      </c>
      <c r="C123" s="558">
        <f t="shared" si="613"/>
        <v>0.05</v>
      </c>
      <c r="D123" s="558">
        <f t="shared" si="614"/>
        <v>0.2</v>
      </c>
      <c r="E123" s="559">
        <f t="shared" si="615"/>
        <v>0</v>
      </c>
      <c r="F123" s="836">
        <f t="shared" si="561"/>
        <v>4</v>
      </c>
      <c r="G123" s="558" t="str">
        <f t="shared" si="562"/>
        <v>Lista</v>
      </c>
      <c r="H123" s="558">
        <f t="shared" si="563"/>
        <v>0.2</v>
      </c>
      <c r="I123" s="559">
        <f t="shared" si="564"/>
        <v>0</v>
      </c>
      <c r="J123" s="1214">
        <f t="shared" si="603"/>
        <v>70</v>
      </c>
      <c r="K123" s="558" t="str">
        <f t="shared" si="604"/>
        <v>Lista</v>
      </c>
      <c r="L123" s="715">
        <f t="shared" si="605"/>
        <v>0.11</v>
      </c>
      <c r="M123" s="1173" t="s">
        <v>1211</v>
      </c>
      <c r="N123" s="1174">
        <f t="shared" si="677"/>
        <v>78748.28</v>
      </c>
      <c r="O123" s="461">
        <v>1500000</v>
      </c>
      <c r="P123" s="173">
        <f t="shared" si="565"/>
        <v>0</v>
      </c>
      <c r="Q123" s="561">
        <f t="shared" si="558"/>
        <v>0</v>
      </c>
      <c r="R123" s="1112">
        <f t="shared" si="559"/>
        <v>0</v>
      </c>
      <c r="S123" s="1189"/>
      <c r="T123" s="599"/>
      <c r="U123" s="326">
        <f t="shared" si="665"/>
        <v>544144.59</v>
      </c>
      <c r="V123" s="461">
        <v>1500000</v>
      </c>
      <c r="W123" s="173">
        <f t="shared" si="566"/>
        <v>0</v>
      </c>
      <c r="X123" s="561">
        <f t="shared" si="567"/>
        <v>264264.8</v>
      </c>
      <c r="Y123" s="1112">
        <f t="shared" si="568"/>
        <v>264264.8</v>
      </c>
      <c r="Z123" s="1189"/>
      <c r="AA123" s="599"/>
      <c r="AB123" s="326">
        <f t="shared" si="667"/>
        <v>45220.7</v>
      </c>
      <c r="AC123" s="461">
        <v>1500000</v>
      </c>
      <c r="AD123" s="173">
        <f t="shared" si="569"/>
        <v>266289.99</v>
      </c>
      <c r="AE123" s="561">
        <f t="shared" si="570"/>
        <v>0</v>
      </c>
      <c r="AF123" s="1112">
        <f t="shared" si="571"/>
        <v>266289.99</v>
      </c>
      <c r="AG123" s="1189"/>
      <c r="AH123" s="599"/>
      <c r="AI123" s="332">
        <f t="shared" si="471"/>
        <v>4500000</v>
      </c>
      <c r="AJ123" s="140">
        <f t="shared" si="572"/>
        <v>1601600.2</v>
      </c>
      <c r="AK123" s="326">
        <f t="shared" ref="AK123:AM123" si="740">AD123+W123+P123</f>
        <v>266289.99</v>
      </c>
      <c r="AL123" s="326">
        <f t="shared" si="740"/>
        <v>264264.8</v>
      </c>
      <c r="AM123" s="326">
        <f t="shared" si="740"/>
        <v>530554.79</v>
      </c>
      <c r="AN123" s="326">
        <f t="shared" si="574"/>
        <v>-1071045.4099999999</v>
      </c>
      <c r="AO123" s="98">
        <f t="shared" si="575"/>
        <v>0.3312654369049155</v>
      </c>
      <c r="AP123" s="125">
        <f t="shared" si="680"/>
        <v>559620.39</v>
      </c>
      <c r="AQ123" s="326">
        <f t="shared" si="576"/>
        <v>109917.13999999998</v>
      </c>
      <c r="AR123" s="326">
        <f t="shared" si="577"/>
        <v>186625.6</v>
      </c>
      <c r="AS123" s="123">
        <f t="shared" si="578"/>
        <v>296542.74</v>
      </c>
      <c r="AT123" s="332">
        <f t="shared" si="681"/>
        <v>60155.28</v>
      </c>
      <c r="AU123" s="140">
        <f t="shared" si="579"/>
        <v>0</v>
      </c>
      <c r="AV123" s="326">
        <f t="shared" si="580"/>
        <v>0</v>
      </c>
      <c r="AW123" s="333">
        <f t="shared" si="581"/>
        <v>0</v>
      </c>
      <c r="AX123" s="123">
        <f t="shared" si="682"/>
        <v>0</v>
      </c>
      <c r="AY123" s="123">
        <f t="shared" si="582"/>
        <v>341920.88</v>
      </c>
      <c r="AZ123" s="123">
        <f t="shared" si="583"/>
        <v>31057.599999999999</v>
      </c>
      <c r="BA123" s="125">
        <f t="shared" si="584"/>
        <v>372978.48</v>
      </c>
      <c r="BB123" s="1175">
        <f t="shared" ref="BB123:BD123" si="741">SUM(AQ123,AU123,AY123)</f>
        <v>451838.02</v>
      </c>
      <c r="BC123" s="326">
        <f t="shared" si="741"/>
        <v>217683.20000000001</v>
      </c>
      <c r="BD123" s="333">
        <f t="shared" si="741"/>
        <v>669521.22</v>
      </c>
      <c r="BE123" s="100">
        <f t="shared" si="586"/>
        <v>718128.01</v>
      </c>
      <c r="BF123" s="116">
        <f t="shared" ref="BF123:BG123" si="742">BC123+AL123</f>
        <v>481948</v>
      </c>
      <c r="BG123" s="119">
        <f t="shared" si="742"/>
        <v>1200076.01</v>
      </c>
      <c r="BH123" s="125">
        <f t="shared" si="685"/>
        <v>56140.29</v>
      </c>
      <c r="BI123" s="1041">
        <f t="shared" si="588"/>
        <v>123302.40000000002</v>
      </c>
      <c r="BJ123" s="326">
        <f t="shared" si="589"/>
        <v>344407.6</v>
      </c>
      <c r="BK123" s="1045">
        <f t="shared" si="590"/>
        <v>467710</v>
      </c>
      <c r="BL123" s="125">
        <f t="shared" si="686"/>
        <v>158349.09</v>
      </c>
      <c r="BM123" s="140">
        <f t="shared" si="591"/>
        <v>0</v>
      </c>
      <c r="BN123" s="123">
        <f t="shared" si="592"/>
        <v>0</v>
      </c>
      <c r="BO123" s="148">
        <f t="shared" si="593"/>
        <v>0</v>
      </c>
      <c r="BP123" s="123">
        <f t="shared" si="687"/>
        <v>122986.81</v>
      </c>
      <c r="BQ123" s="123">
        <f t="shared" si="594"/>
        <v>136333.39999999997</v>
      </c>
      <c r="BR123" s="123">
        <f t="shared" si="595"/>
        <v>211633.2</v>
      </c>
      <c r="BS123" s="125">
        <f t="shared" si="596"/>
        <v>347966.6</v>
      </c>
      <c r="BT123" s="140">
        <f t="shared" ref="BT123:BV123" si="743">SUM(BQ123,BM123,BI123)</f>
        <v>259635.8</v>
      </c>
      <c r="BU123" s="123">
        <f t="shared" si="743"/>
        <v>556040.80000000005</v>
      </c>
      <c r="BV123" s="148">
        <f t="shared" si="743"/>
        <v>815676.6</v>
      </c>
      <c r="BW123" s="125">
        <f t="shared" si="689"/>
        <v>808094.81</v>
      </c>
      <c r="BX123" s="140">
        <f t="shared" si="610"/>
        <v>0</v>
      </c>
      <c r="BY123" s="123">
        <f t="shared" si="611"/>
        <v>0</v>
      </c>
      <c r="BZ123" s="148">
        <f t="shared" si="612"/>
        <v>0</v>
      </c>
      <c r="CA123" s="123">
        <f t="shared" si="690"/>
        <v>242676.85</v>
      </c>
      <c r="CB123" s="326">
        <f t="shared" si="691"/>
        <v>550828.55000000005</v>
      </c>
      <c r="CP123" s="294"/>
      <c r="CU123" s="294"/>
    </row>
    <row r="124" spans="1:99" ht="13">
      <c r="A124" s="566" t="e">
        <f t="shared" si="602"/>
        <v>#N/A</v>
      </c>
      <c r="B124" s="636">
        <f t="shared" si="560"/>
        <v>22</v>
      </c>
      <c r="C124" s="558">
        <f t="shared" si="613"/>
        <v>0.1</v>
      </c>
      <c r="D124" s="558">
        <f t="shared" si="614"/>
        <v>0.09</v>
      </c>
      <c r="E124" s="559">
        <f t="shared" si="615"/>
        <v>0</v>
      </c>
      <c r="F124" s="836">
        <f t="shared" si="561"/>
        <v>22</v>
      </c>
      <c r="G124" s="558">
        <f t="shared" si="562"/>
        <v>0.1</v>
      </c>
      <c r="H124" s="558">
        <f t="shared" si="563"/>
        <v>0.09</v>
      </c>
      <c r="I124" s="559">
        <f t="shared" si="564"/>
        <v>0</v>
      </c>
      <c r="J124" s="1214">
        <f t="shared" si="603"/>
        <v>63</v>
      </c>
      <c r="K124" s="558">
        <f t="shared" si="604"/>
        <v>0.1</v>
      </c>
      <c r="L124" s="715">
        <f t="shared" si="605"/>
        <v>0.05</v>
      </c>
      <c r="M124" s="1173" t="s">
        <v>1212</v>
      </c>
      <c r="N124" s="1174">
        <f t="shared" si="677"/>
        <v>283184.90000000002</v>
      </c>
      <c r="O124" s="1177">
        <v>1800000</v>
      </c>
      <c r="P124" s="173" t="e">
        <f t="shared" si="565"/>
        <v>#VALUE!</v>
      </c>
      <c r="Q124" s="561" t="str">
        <f t="shared" ref="Q124:Q160" si="744">IFERROR(VLOOKUP(M124,MARUCAALIM,3,FALSE),"")</f>
        <v/>
      </c>
      <c r="R124" s="1112">
        <f t="shared" ref="R124:R160" si="745">IFERROR(VLOOKUP(M124,MARUFC,3,FALSE),"")</f>
        <v>324408.44</v>
      </c>
      <c r="S124" s="1178"/>
      <c r="T124" s="975"/>
      <c r="U124" s="326">
        <f t="shared" si="665"/>
        <v>217383.26</v>
      </c>
      <c r="V124" s="1177">
        <v>1800000</v>
      </c>
      <c r="W124" s="173" t="e">
        <f t="shared" si="566"/>
        <v>#VALUE!</v>
      </c>
      <c r="X124" s="561" t="str">
        <f t="shared" si="567"/>
        <v/>
      </c>
      <c r="Y124" s="1112">
        <f t="shared" si="568"/>
        <v>600213.68000000005</v>
      </c>
      <c r="Z124" s="1178"/>
      <c r="AA124" s="975"/>
      <c r="AB124" s="326">
        <f t="shared" si="667"/>
        <v>166685.01</v>
      </c>
      <c r="AC124" s="1177">
        <v>1800000</v>
      </c>
      <c r="AD124" s="173" t="e">
        <f t="shared" si="569"/>
        <v>#VALUE!</v>
      </c>
      <c r="AE124" s="561" t="str">
        <f t="shared" si="570"/>
        <v/>
      </c>
      <c r="AF124" s="1112">
        <f t="shared" si="571"/>
        <v>528831.5</v>
      </c>
      <c r="AG124" s="1178"/>
      <c r="AH124" s="975"/>
      <c r="AI124" s="332">
        <f t="shared" si="471"/>
        <v>5400000</v>
      </c>
      <c r="AJ124" s="140">
        <f t="shared" si="572"/>
        <v>1566319.91</v>
      </c>
      <c r="AK124" s="326" t="e">
        <f t="shared" ref="AK124:AM124" si="746">AD124+W124+P124</f>
        <v>#VALUE!</v>
      </c>
      <c r="AL124" s="326" t="e">
        <f t="shared" si="746"/>
        <v>#VALUE!</v>
      </c>
      <c r="AM124" s="326">
        <f t="shared" si="746"/>
        <v>1453453.62</v>
      </c>
      <c r="AN124" s="326">
        <f t="shared" si="574"/>
        <v>-112866.2899999998</v>
      </c>
      <c r="AO124" s="98">
        <f t="shared" si="575"/>
        <v>0.92794173828767856</v>
      </c>
      <c r="AP124" s="125">
        <f t="shared" si="680"/>
        <v>0</v>
      </c>
      <c r="AQ124" s="326" t="e">
        <f t="shared" si="576"/>
        <v>#VALUE!</v>
      </c>
      <c r="AR124" s="326" t="str">
        <f t="shared" si="577"/>
        <v/>
      </c>
      <c r="AS124" s="123">
        <f t="shared" si="578"/>
        <v>325147.38</v>
      </c>
      <c r="AT124" s="332">
        <f t="shared" si="681"/>
        <v>389504.54</v>
      </c>
      <c r="AU124" s="140" t="e">
        <f t="shared" si="579"/>
        <v>#VALUE!</v>
      </c>
      <c r="AV124" s="326" t="str">
        <f t="shared" si="580"/>
        <v/>
      </c>
      <c r="AW124" s="333">
        <f t="shared" si="581"/>
        <v>477698.98</v>
      </c>
      <c r="AX124" s="123">
        <f t="shared" si="682"/>
        <v>295283.69</v>
      </c>
      <c r="AY124" s="123" t="e">
        <f t="shared" si="582"/>
        <v>#VALUE!</v>
      </c>
      <c r="AZ124" s="123" t="str">
        <f t="shared" si="583"/>
        <v/>
      </c>
      <c r="BA124" s="125">
        <f t="shared" si="584"/>
        <v>245109.5</v>
      </c>
      <c r="BB124" s="1175" t="e">
        <f t="shared" ref="BB124:BD124" si="747">SUM(AQ124,AU124,AY124)</f>
        <v>#VALUE!</v>
      </c>
      <c r="BC124" s="326">
        <f t="shared" si="747"/>
        <v>0</v>
      </c>
      <c r="BD124" s="333">
        <f t="shared" si="747"/>
        <v>1047955.86</v>
      </c>
      <c r="BE124" s="100" t="e">
        <f t="shared" si="586"/>
        <v>#VALUE!</v>
      </c>
      <c r="BF124" s="116" t="e">
        <f t="shared" ref="BF124:BG124" si="748">BC124+AL124</f>
        <v>#VALUE!</v>
      </c>
      <c r="BG124" s="119">
        <f t="shared" si="748"/>
        <v>2501409.48</v>
      </c>
      <c r="BH124" s="125">
        <f t="shared" si="685"/>
        <v>207111.89</v>
      </c>
      <c r="BI124" s="1041" t="e">
        <f t="shared" si="588"/>
        <v>#VALUE!</v>
      </c>
      <c r="BJ124" s="326" t="str">
        <f t="shared" si="589"/>
        <v/>
      </c>
      <c r="BK124" s="1045">
        <f t="shared" si="590"/>
        <v>466102.72</v>
      </c>
      <c r="BL124" s="125">
        <f t="shared" si="686"/>
        <v>368455.93</v>
      </c>
      <c r="BM124" s="140" t="e">
        <f t="shared" si="591"/>
        <v>#VALUE!</v>
      </c>
      <c r="BN124" s="123" t="str">
        <f t="shared" si="592"/>
        <v/>
      </c>
      <c r="BO124" s="148">
        <f t="shared" si="593"/>
        <v>331414.84000000003</v>
      </c>
      <c r="BP124" s="123">
        <f t="shared" si="687"/>
        <v>430111.96</v>
      </c>
      <c r="BQ124" s="123" t="e">
        <f t="shared" si="594"/>
        <v>#VALUE!</v>
      </c>
      <c r="BR124" s="123" t="str">
        <f t="shared" si="595"/>
        <v/>
      </c>
      <c r="BS124" s="125">
        <f t="shared" si="596"/>
        <v>487318.81</v>
      </c>
      <c r="BT124" s="586" t="e">
        <f t="shared" ref="BT124:BV124" si="749">SUM(BQ124,BM124,BI124)</f>
        <v>#VALUE!</v>
      </c>
      <c r="BU124" s="1168">
        <f t="shared" si="749"/>
        <v>0</v>
      </c>
      <c r="BV124" s="1067">
        <f t="shared" si="749"/>
        <v>1284836.3700000001</v>
      </c>
      <c r="BW124" s="125">
        <f t="shared" si="689"/>
        <v>355774.74</v>
      </c>
      <c r="BX124" s="140" t="e">
        <f t="shared" si="610"/>
        <v>#VALUE!</v>
      </c>
      <c r="BY124" s="123" t="str">
        <f t="shared" si="611"/>
        <v/>
      </c>
      <c r="BZ124" s="148">
        <f t="shared" si="612"/>
        <v>433405.75</v>
      </c>
      <c r="CA124" s="123">
        <f t="shared" si="690"/>
        <v>637086.99</v>
      </c>
      <c r="CB124" s="326">
        <f t="shared" si="691"/>
        <v>573458.18000000005</v>
      </c>
      <c r="CP124" s="294"/>
      <c r="CU124" s="294"/>
    </row>
    <row r="125" spans="1:99" ht="13">
      <c r="A125" s="566" t="e">
        <f t="shared" si="602"/>
        <v>#N/A</v>
      </c>
      <c r="B125" s="636">
        <f t="shared" ref="B125:B160" si="750">VLOOKUP(M125,MARUCACARTERA,2,FALSE)</f>
        <v>22</v>
      </c>
      <c r="C125" s="558">
        <f t="shared" si="613"/>
        <v>0.1</v>
      </c>
      <c r="D125" s="558">
        <f t="shared" si="614"/>
        <v>0.09</v>
      </c>
      <c r="E125" s="559">
        <f t="shared" si="615"/>
        <v>0</v>
      </c>
      <c r="F125" s="836">
        <f t="shared" ref="F125:F160" si="751">VLOOKUP(M125,MARUCART2,2,FALSE)</f>
        <v>22</v>
      </c>
      <c r="G125" s="558">
        <f t="shared" ref="G125:G156" si="752">IFERROR(VLOOKUP(F125,DES,2,FALSE),"")</f>
        <v>0.1</v>
      </c>
      <c r="H125" s="558">
        <f t="shared" ref="H125:H160" si="753">IFERROR(VLOOKUP(F125,DES,3,FALSE),"")</f>
        <v>0.09</v>
      </c>
      <c r="I125" s="559">
        <f t="shared" ref="I125:I160" si="754">IFERROR(VLOOKUP(F125,DES,4,FALSE),"")</f>
        <v>0</v>
      </c>
      <c r="J125" s="1214">
        <f t="shared" si="603"/>
        <v>63</v>
      </c>
      <c r="K125" s="558">
        <f t="shared" si="604"/>
        <v>0.1</v>
      </c>
      <c r="L125" s="715">
        <f t="shared" si="605"/>
        <v>0.05</v>
      </c>
      <c r="M125" s="1173" t="s">
        <v>866</v>
      </c>
      <c r="N125" s="1174" t="str">
        <f t="shared" si="677"/>
        <v/>
      </c>
      <c r="O125" s="1177">
        <v>1800000</v>
      </c>
      <c r="P125" s="173">
        <f t="shared" si="565"/>
        <v>902853.98</v>
      </c>
      <c r="Q125" s="561">
        <f t="shared" si="744"/>
        <v>0</v>
      </c>
      <c r="R125" s="1112">
        <f t="shared" si="745"/>
        <v>902853.98</v>
      </c>
      <c r="S125" s="1178"/>
      <c r="T125" s="975"/>
      <c r="U125" s="326" t="str">
        <f t="shared" si="665"/>
        <v/>
      </c>
      <c r="V125" s="1177">
        <v>1800000</v>
      </c>
      <c r="W125" s="173">
        <f t="shared" si="566"/>
        <v>2670826.9300000002</v>
      </c>
      <c r="X125" s="561">
        <f t="shared" ref="X125:X160" si="755">IFERROR(VLOOKUP(M125,MARUCAALIM,4,FALSE),"")</f>
        <v>0</v>
      </c>
      <c r="Y125" s="1112">
        <f t="shared" ref="Y125:Y160" si="756">IFERROR(VLOOKUP(M125,MARUFC,4,FALSE),"")</f>
        <v>2670826.9300000002</v>
      </c>
      <c r="Z125" s="1178"/>
      <c r="AA125" s="975"/>
      <c r="AB125" s="326" t="str">
        <f t="shared" si="667"/>
        <v/>
      </c>
      <c r="AC125" s="1177">
        <v>1800000</v>
      </c>
      <c r="AD125" s="173">
        <f t="shared" si="569"/>
        <v>1503978.36</v>
      </c>
      <c r="AE125" s="561">
        <f t="shared" ref="AE125:AE160" si="757">IFERROR(VLOOKUP(M125,MARUCAALIM,5,FALSE),"")</f>
        <v>0</v>
      </c>
      <c r="AF125" s="1112">
        <f t="shared" ref="AF125:AF160" si="758">IFERROR(VLOOKUP(M125,MARUFC,5,FALSE),"")</f>
        <v>1503978.36</v>
      </c>
      <c r="AG125" s="1178"/>
      <c r="AH125" s="975"/>
      <c r="AI125" s="332">
        <f t="shared" si="471"/>
        <v>5400000</v>
      </c>
      <c r="AJ125" s="140" t="str">
        <f t="shared" ref="AJ125:AJ160" si="759">IFERROR(VLOOKUP(M125,trim2024,2,FALSE),"0")</f>
        <v>0</v>
      </c>
      <c r="AK125" s="326">
        <f t="shared" ref="AK125:AM125" si="760">AD125+W125+P125</f>
        <v>5077659.2699999996</v>
      </c>
      <c r="AL125" s="326">
        <f t="shared" si="760"/>
        <v>0</v>
      </c>
      <c r="AM125" s="326">
        <f t="shared" si="760"/>
        <v>5077659.2699999996</v>
      </c>
      <c r="AN125" s="326">
        <f t="shared" si="574"/>
        <v>5077659.2699999996</v>
      </c>
      <c r="AO125" s="98" t="str">
        <f t="shared" si="575"/>
        <v/>
      </c>
      <c r="AP125" s="125" t="str">
        <f t="shared" si="680"/>
        <v/>
      </c>
      <c r="AQ125" s="326">
        <f t="shared" si="576"/>
        <v>1775158.24</v>
      </c>
      <c r="AR125" s="326">
        <f t="shared" ref="AR125:AR160" si="761">IFERROR(VLOOKUP(M125,MARUCAALIM,6,FALSE),"")</f>
        <v>0</v>
      </c>
      <c r="AS125" s="123">
        <f t="shared" ref="AS125:AS160" si="762">IFERROR(VLOOKUP(M125,MARUFC,6,FALSE),"")</f>
        <v>1775158.24</v>
      </c>
      <c r="AT125" s="332" t="str">
        <f t="shared" si="681"/>
        <v/>
      </c>
      <c r="AU125" s="140">
        <f t="shared" si="579"/>
        <v>1993750.11</v>
      </c>
      <c r="AV125" s="326">
        <f t="shared" ref="AV125:AV160" si="763">IFERROR(VLOOKUP(M125,MARUCAALIM,7,FALSE),"")</f>
        <v>39966.65</v>
      </c>
      <c r="AW125" s="333">
        <f t="shared" ref="AW125:AW160" si="764">IFERROR(VLOOKUP(M125,MARUFC,7,FALSE),"")</f>
        <v>2033716.76</v>
      </c>
      <c r="AX125" s="123" t="str">
        <f t="shared" si="682"/>
        <v/>
      </c>
      <c r="AY125" s="123">
        <f t="shared" si="582"/>
        <v>1510877.45</v>
      </c>
      <c r="AZ125" s="123">
        <f t="shared" ref="AZ125:AZ160" si="765">IFERROR(VLOOKUP(M125,MARUCAALIM,8,FALSE),"")</f>
        <v>0</v>
      </c>
      <c r="BA125" s="125">
        <f t="shared" ref="BA125:BA160" si="766">IFERROR(VLOOKUP(M125,MARUFC,8,FALSE),"")</f>
        <v>1510877.45</v>
      </c>
      <c r="BB125" s="1175">
        <f t="shared" ref="BB125:BD125" si="767">SUM(AQ125,AU125,AY125)</f>
        <v>5279785.8</v>
      </c>
      <c r="BC125" s="326">
        <f t="shared" si="767"/>
        <v>39966.65</v>
      </c>
      <c r="BD125" s="333">
        <f t="shared" si="767"/>
        <v>5319752.45</v>
      </c>
      <c r="BE125" s="100">
        <f t="shared" si="586"/>
        <v>10357445.07</v>
      </c>
      <c r="BF125" s="116">
        <f t="shared" ref="BF125:BG125" si="768">BC125+AL125</f>
        <v>39966.65</v>
      </c>
      <c r="BG125" s="119">
        <f t="shared" si="768"/>
        <v>10397411.719999999</v>
      </c>
      <c r="BH125" s="125" t="str">
        <f t="shared" si="685"/>
        <v/>
      </c>
      <c r="BI125" s="1041">
        <f t="shared" si="588"/>
        <v>2174959.44</v>
      </c>
      <c r="BJ125" s="326">
        <f t="shared" ref="BJ125:BJ160" si="769">IFERROR(VLOOKUP(M125,MARUCAALIM,9,FALSE),"")</f>
        <v>0</v>
      </c>
      <c r="BK125" s="1045">
        <f t="shared" ref="BK125:BK160" si="770">IFERROR(VLOOKUP(M125,MARUFC,9,FALSE),"")</f>
        <v>2174959.44</v>
      </c>
      <c r="BL125" s="125" t="str">
        <f t="shared" si="686"/>
        <v/>
      </c>
      <c r="BM125" s="140">
        <f t="shared" si="591"/>
        <v>2295309.71</v>
      </c>
      <c r="BN125" s="123">
        <f t="shared" ref="BN125:BN160" si="771">IFERROR(VLOOKUP(M125,MARUCAALIM,10,FALSE),"")</f>
        <v>31057.599999999999</v>
      </c>
      <c r="BO125" s="148">
        <f t="shared" ref="BO125:BO160" si="772">IFERROR(VLOOKUP(M125,MARUFC,10,FALSE),"")</f>
        <v>2326367.31</v>
      </c>
      <c r="BP125" s="123" t="str">
        <f t="shared" si="687"/>
        <v/>
      </c>
      <c r="BQ125" s="123">
        <f t="shared" si="594"/>
        <v>1355368.21</v>
      </c>
      <c r="BR125" s="123">
        <f t="shared" ref="BR125:BR160" si="773">IFERROR(VLOOKUP(M125,MARUCAALIM,11,FALSE),"")</f>
        <v>0</v>
      </c>
      <c r="BS125" s="125">
        <f t="shared" ref="BS125:BS160" si="774">IFERROR(VLOOKUP(M125,MARUFC,11,FALSE),"")</f>
        <v>1355368.21</v>
      </c>
      <c r="BT125" s="1182">
        <f t="shared" ref="BT125:BV125" si="775">SUM(BQ125,BM125,BI125)</f>
        <v>5825637.3599999994</v>
      </c>
      <c r="BU125" s="1183">
        <f t="shared" si="775"/>
        <v>31057.599999999999</v>
      </c>
      <c r="BV125" s="1184">
        <f t="shared" si="775"/>
        <v>5856694.96</v>
      </c>
      <c r="BW125" s="125" t="str">
        <f t="shared" si="689"/>
        <v/>
      </c>
      <c r="BX125" s="140">
        <f t="shared" si="610"/>
        <v>1934798.41</v>
      </c>
      <c r="BY125" s="123">
        <f t="shared" si="611"/>
        <v>0</v>
      </c>
      <c r="BZ125" s="148">
        <f t="shared" si="612"/>
        <v>1934798.41</v>
      </c>
      <c r="CA125" s="123" t="str">
        <f t="shared" si="690"/>
        <v/>
      </c>
      <c r="CB125" s="326" t="str">
        <f t="shared" si="691"/>
        <v/>
      </c>
      <c r="CP125" s="294"/>
      <c r="CU125" s="294"/>
    </row>
    <row r="126" spans="1:99" ht="13">
      <c r="A126" s="566" t="e">
        <f t="shared" si="602"/>
        <v>#N/A</v>
      </c>
      <c r="B126" s="636">
        <f t="shared" si="750"/>
        <v>29</v>
      </c>
      <c r="C126" s="558">
        <f t="shared" si="613"/>
        <v>0.05</v>
      </c>
      <c r="D126" s="558">
        <f t="shared" si="614"/>
        <v>0.2</v>
      </c>
      <c r="E126" s="559">
        <f t="shared" si="615"/>
        <v>0</v>
      </c>
      <c r="F126" s="836">
        <f t="shared" si="751"/>
        <v>4</v>
      </c>
      <c r="G126" s="558" t="str">
        <f t="shared" si="752"/>
        <v>Lista</v>
      </c>
      <c r="H126" s="558">
        <f t="shared" si="753"/>
        <v>0.2</v>
      </c>
      <c r="I126" s="559">
        <f t="shared" si="754"/>
        <v>0</v>
      </c>
      <c r="J126" s="1214">
        <f t="shared" si="603"/>
        <v>70</v>
      </c>
      <c r="K126" s="558" t="str">
        <f t="shared" si="604"/>
        <v>Lista</v>
      </c>
      <c r="L126" s="715">
        <f t="shared" si="605"/>
        <v>0.11</v>
      </c>
      <c r="M126" s="1173" t="s">
        <v>1213</v>
      </c>
      <c r="N126" s="1174">
        <f t="shared" si="677"/>
        <v>248025.44</v>
      </c>
      <c r="O126" s="461">
        <v>1500000</v>
      </c>
      <c r="P126" s="173">
        <f t="shared" si="565"/>
        <v>88890.709999999992</v>
      </c>
      <c r="Q126" s="561">
        <f t="shared" si="744"/>
        <v>104551.44</v>
      </c>
      <c r="R126" s="1112">
        <f t="shared" si="745"/>
        <v>193442.15</v>
      </c>
      <c r="S126" s="1189"/>
      <c r="T126" s="599"/>
      <c r="U126" s="326">
        <f t="shared" si="665"/>
        <v>461812.94</v>
      </c>
      <c r="V126" s="461">
        <v>1500000</v>
      </c>
      <c r="W126" s="173">
        <f t="shared" si="566"/>
        <v>576745.90999999992</v>
      </c>
      <c r="X126" s="561">
        <f t="shared" si="755"/>
        <v>134978.79999999999</v>
      </c>
      <c r="Y126" s="1112">
        <f t="shared" si="756"/>
        <v>711724.71</v>
      </c>
      <c r="Z126" s="1189"/>
      <c r="AA126" s="599"/>
      <c r="AB126" s="326">
        <f t="shared" si="667"/>
        <v>149907.71</v>
      </c>
      <c r="AC126" s="461">
        <v>1500000</v>
      </c>
      <c r="AD126" s="173">
        <f t="shared" si="569"/>
        <v>13585</v>
      </c>
      <c r="AE126" s="561">
        <f t="shared" si="757"/>
        <v>33423.360000000001</v>
      </c>
      <c r="AF126" s="1112">
        <f t="shared" si="758"/>
        <v>47008.36</v>
      </c>
      <c r="AG126" s="1189"/>
      <c r="AH126" s="599"/>
      <c r="AI126" s="332">
        <f t="shared" si="471"/>
        <v>4500000</v>
      </c>
      <c r="AJ126" s="140">
        <f t="shared" si="759"/>
        <v>1189885.8500000001</v>
      </c>
      <c r="AK126" s="326">
        <f t="shared" ref="AK126:AM126" si="776">AD126+W126+P126</f>
        <v>679221.61999999988</v>
      </c>
      <c r="AL126" s="326">
        <f t="shared" si="776"/>
        <v>272953.59999999998</v>
      </c>
      <c r="AM126" s="326">
        <f t="shared" si="776"/>
        <v>952175.22</v>
      </c>
      <c r="AN126" s="326">
        <f t="shared" si="574"/>
        <v>-237710.63000000012</v>
      </c>
      <c r="AO126" s="98">
        <f t="shared" si="575"/>
        <v>0.80022400468078503</v>
      </c>
      <c r="AP126" s="125">
        <f t="shared" si="680"/>
        <v>184512.09</v>
      </c>
      <c r="AQ126" s="326">
        <f t="shared" si="576"/>
        <v>68901.55</v>
      </c>
      <c r="AR126" s="326">
        <f t="shared" si="761"/>
        <v>26353.279999999999</v>
      </c>
      <c r="AS126" s="123">
        <f t="shared" si="762"/>
        <v>95254.83</v>
      </c>
      <c r="AT126" s="332">
        <f t="shared" si="681"/>
        <v>227643.86</v>
      </c>
      <c r="AU126" s="140">
        <f t="shared" si="579"/>
        <v>201922.95</v>
      </c>
      <c r="AV126" s="326">
        <f t="shared" si="763"/>
        <v>92956.67</v>
      </c>
      <c r="AW126" s="333">
        <f t="shared" si="764"/>
        <v>294879.62</v>
      </c>
      <c r="AX126" s="123">
        <f t="shared" si="682"/>
        <v>276150.12</v>
      </c>
      <c r="AY126" s="123">
        <f t="shared" si="582"/>
        <v>115031.53</v>
      </c>
      <c r="AZ126" s="123">
        <f t="shared" si="765"/>
        <v>43268.56</v>
      </c>
      <c r="BA126" s="125">
        <f t="shared" si="766"/>
        <v>158300.09</v>
      </c>
      <c r="BB126" s="1175">
        <f t="shared" ref="BB126:BD126" si="777">SUM(AQ126,AU126,AY126)</f>
        <v>385856.03</v>
      </c>
      <c r="BC126" s="326">
        <f t="shared" si="777"/>
        <v>162578.51</v>
      </c>
      <c r="BD126" s="333">
        <f t="shared" si="777"/>
        <v>548434.54</v>
      </c>
      <c r="BE126" s="100">
        <f t="shared" si="586"/>
        <v>1065077.6499999999</v>
      </c>
      <c r="BF126" s="116">
        <f t="shared" ref="BF126:BG126" si="778">BC126+AL126</f>
        <v>435532.11</v>
      </c>
      <c r="BG126" s="119">
        <f t="shared" si="778"/>
        <v>1500609.76</v>
      </c>
      <c r="BH126" s="125">
        <f t="shared" si="685"/>
        <v>283987.09000000003</v>
      </c>
      <c r="BI126" s="1041">
        <f t="shared" si="588"/>
        <v>17646.22</v>
      </c>
      <c r="BJ126" s="326">
        <f t="shared" si="769"/>
        <v>27670.959999999999</v>
      </c>
      <c r="BK126" s="1045">
        <f t="shared" si="770"/>
        <v>45317.18</v>
      </c>
      <c r="BL126" s="125">
        <f t="shared" si="686"/>
        <v>222204.61</v>
      </c>
      <c r="BM126" s="140">
        <f t="shared" si="591"/>
        <v>57141.889999999985</v>
      </c>
      <c r="BN126" s="123">
        <f t="shared" si="771"/>
        <v>105276.16</v>
      </c>
      <c r="BO126" s="148">
        <f t="shared" si="772"/>
        <v>162418.04999999999</v>
      </c>
      <c r="BP126" s="123">
        <f t="shared" si="687"/>
        <v>371336.13</v>
      </c>
      <c r="BQ126" s="123">
        <f t="shared" si="594"/>
        <v>0</v>
      </c>
      <c r="BR126" s="123">
        <f t="shared" si="773"/>
        <v>84723.6</v>
      </c>
      <c r="BS126" s="125">
        <f t="shared" si="774"/>
        <v>84723.6</v>
      </c>
      <c r="BT126" s="140">
        <f t="shared" ref="BT126:BV126" si="779">SUM(BQ126,BM126,BI126)</f>
        <v>74788.109999999986</v>
      </c>
      <c r="BU126" s="123">
        <f t="shared" si="779"/>
        <v>217670.72</v>
      </c>
      <c r="BV126" s="148">
        <f t="shared" si="779"/>
        <v>292458.83</v>
      </c>
      <c r="BW126" s="125">
        <f t="shared" si="689"/>
        <v>382750.48</v>
      </c>
      <c r="BX126" s="140">
        <f t="shared" si="610"/>
        <v>311724.76</v>
      </c>
      <c r="BY126" s="123">
        <f t="shared" si="611"/>
        <v>57211.92</v>
      </c>
      <c r="BZ126" s="148">
        <f t="shared" si="612"/>
        <v>368936.68</v>
      </c>
      <c r="CA126" s="123">
        <f t="shared" si="690"/>
        <v>433048.04</v>
      </c>
      <c r="CB126" s="326">
        <f t="shared" si="691"/>
        <v>374087.32</v>
      </c>
      <c r="CP126" s="294"/>
      <c r="CU126" s="294"/>
    </row>
    <row r="127" spans="1:99" ht="13">
      <c r="A127" s="566" t="e">
        <f t="shared" ref="A127:A160" si="780">VLOOKUP(M127,MARCART4,3,FALSE)</f>
        <v>#N/A</v>
      </c>
      <c r="B127" s="636">
        <f t="shared" si="750"/>
        <v>29</v>
      </c>
      <c r="C127" s="558">
        <f t="shared" si="613"/>
        <v>0.05</v>
      </c>
      <c r="D127" s="558">
        <f t="shared" si="614"/>
        <v>0.2</v>
      </c>
      <c r="E127" s="559">
        <f t="shared" si="615"/>
        <v>0</v>
      </c>
      <c r="F127" s="836">
        <f t="shared" si="751"/>
        <v>4</v>
      </c>
      <c r="G127" s="558" t="str">
        <f t="shared" si="752"/>
        <v>Lista</v>
      </c>
      <c r="H127" s="558">
        <f t="shared" si="753"/>
        <v>0.2</v>
      </c>
      <c r="I127" s="559">
        <f t="shared" si="754"/>
        <v>0</v>
      </c>
      <c r="J127" s="1214">
        <f t="shared" ref="J127:J160" si="781">VLOOKUP(M127,CART.MAR.3,2,FALSE)</f>
        <v>70</v>
      </c>
      <c r="K127" s="558" t="str">
        <f t="shared" ref="K127:K158" si="782">VLOOKUP(J127,A458DC1025,2,FALSE)</f>
        <v>Lista</v>
      </c>
      <c r="L127" s="715">
        <f t="shared" ref="L127:L160" si="783">VLOOKUP(J127,A458DC1025,3,FALSE)</f>
        <v>0.11</v>
      </c>
      <c r="M127" s="1173" t="s">
        <v>1214</v>
      </c>
      <c r="N127" s="1174">
        <f t="shared" si="677"/>
        <v>142808.63</v>
      </c>
      <c r="O127" s="461">
        <v>1500000</v>
      </c>
      <c r="P127" s="173">
        <f t="shared" si="565"/>
        <v>72434.920000000013</v>
      </c>
      <c r="Q127" s="561">
        <f t="shared" si="744"/>
        <v>151388.04999999999</v>
      </c>
      <c r="R127" s="1112">
        <f t="shared" si="745"/>
        <v>223822.97</v>
      </c>
      <c r="S127" s="1189"/>
      <c r="T127" s="599"/>
      <c r="U127" s="326">
        <f t="shared" si="665"/>
        <v>173878.78</v>
      </c>
      <c r="V127" s="461">
        <v>1500000</v>
      </c>
      <c r="W127" s="173">
        <f t="shared" si="566"/>
        <v>252108.66999999998</v>
      </c>
      <c r="X127" s="561">
        <f t="shared" si="755"/>
        <v>412876.33</v>
      </c>
      <c r="Y127" s="1112">
        <f t="shared" si="756"/>
        <v>664985</v>
      </c>
      <c r="Z127" s="1189"/>
      <c r="AA127" s="599"/>
      <c r="AB127" s="326">
        <f t="shared" si="667"/>
        <v>760937.76</v>
      </c>
      <c r="AC127" s="461">
        <v>1500000</v>
      </c>
      <c r="AD127" s="173">
        <f t="shared" si="569"/>
        <v>0</v>
      </c>
      <c r="AE127" s="561">
        <f t="shared" si="757"/>
        <v>320629.36</v>
      </c>
      <c r="AF127" s="1112">
        <f t="shared" si="758"/>
        <v>320629.36</v>
      </c>
      <c r="AG127" s="1189"/>
      <c r="AH127" s="599"/>
      <c r="AI127" s="332">
        <f t="shared" si="471"/>
        <v>4500000</v>
      </c>
      <c r="AJ127" s="140">
        <f t="shared" si="759"/>
        <v>1653017.44</v>
      </c>
      <c r="AK127" s="326">
        <f t="shared" ref="AK127:AM127" si="784">AD127+W127+P127</f>
        <v>324543.58999999997</v>
      </c>
      <c r="AL127" s="326">
        <f t="shared" si="784"/>
        <v>884893.74</v>
      </c>
      <c r="AM127" s="326">
        <f t="shared" si="784"/>
        <v>1209437.33</v>
      </c>
      <c r="AN127" s="326">
        <f t="shared" si="574"/>
        <v>-443580.10999999987</v>
      </c>
      <c r="AO127" s="98">
        <f t="shared" si="575"/>
        <v>0.73165430728909919</v>
      </c>
      <c r="AP127" s="125">
        <f t="shared" si="680"/>
        <v>222612.46</v>
      </c>
      <c r="AQ127" s="326">
        <f t="shared" si="576"/>
        <v>89243.47000000003</v>
      </c>
      <c r="AR127" s="326">
        <f t="shared" si="761"/>
        <v>396615.1</v>
      </c>
      <c r="AS127" s="123">
        <f t="shared" si="762"/>
        <v>485858.57</v>
      </c>
      <c r="AT127" s="332">
        <f t="shared" si="681"/>
        <v>961359.15</v>
      </c>
      <c r="AU127" s="140">
        <f t="shared" si="579"/>
        <v>311600.58000000007</v>
      </c>
      <c r="AV127" s="326">
        <f t="shared" si="763"/>
        <v>391671.47</v>
      </c>
      <c r="AW127" s="333">
        <f t="shared" si="764"/>
        <v>703272.05</v>
      </c>
      <c r="AX127" s="123">
        <f t="shared" si="682"/>
        <v>260437.72</v>
      </c>
      <c r="AY127" s="123">
        <f t="shared" si="582"/>
        <v>0</v>
      </c>
      <c r="AZ127" s="123">
        <f t="shared" si="765"/>
        <v>249538.56</v>
      </c>
      <c r="BA127" s="125">
        <f t="shared" si="766"/>
        <v>249538.56</v>
      </c>
      <c r="BB127" s="1175">
        <f t="shared" ref="BB127:BD127" si="785">SUM(AQ127,AU127,AY127)</f>
        <v>400844.0500000001</v>
      </c>
      <c r="BC127" s="326">
        <f t="shared" si="785"/>
        <v>1037825.1299999999</v>
      </c>
      <c r="BD127" s="333">
        <f t="shared" si="785"/>
        <v>1438669.1800000002</v>
      </c>
      <c r="BE127" s="100">
        <f t="shared" si="586"/>
        <v>725387.64000000013</v>
      </c>
      <c r="BF127" s="116">
        <f t="shared" ref="BF127:BG127" si="786">BC127+AL127</f>
        <v>1922718.8699999999</v>
      </c>
      <c r="BG127" s="119">
        <f t="shared" si="786"/>
        <v>2648106.5100000002</v>
      </c>
      <c r="BH127" s="125">
        <f t="shared" si="685"/>
        <v>379873.5</v>
      </c>
      <c r="BI127" s="1041">
        <f t="shared" si="588"/>
        <v>0</v>
      </c>
      <c r="BJ127" s="326">
        <f t="shared" si="769"/>
        <v>407661.03</v>
      </c>
      <c r="BK127" s="1045">
        <f t="shared" si="770"/>
        <v>407661.03</v>
      </c>
      <c r="BL127" s="125">
        <f t="shared" si="686"/>
        <v>960701.91</v>
      </c>
      <c r="BM127" s="140">
        <f t="shared" si="591"/>
        <v>0</v>
      </c>
      <c r="BN127" s="123">
        <f t="shared" si="771"/>
        <v>441543.42</v>
      </c>
      <c r="BO127" s="148">
        <f t="shared" si="772"/>
        <v>441543.42</v>
      </c>
      <c r="BP127" s="123">
        <f t="shared" si="687"/>
        <v>118875.62</v>
      </c>
      <c r="BQ127" s="123">
        <f t="shared" si="594"/>
        <v>165283.08000000002</v>
      </c>
      <c r="BR127" s="123">
        <f t="shared" si="773"/>
        <v>265327.65999999997</v>
      </c>
      <c r="BS127" s="125">
        <f t="shared" si="774"/>
        <v>430610.74</v>
      </c>
      <c r="BT127" s="140">
        <f t="shared" ref="BT127:BV127" si="787">SUM(BQ127,BM127,BI127)</f>
        <v>165283.08000000002</v>
      </c>
      <c r="BU127" s="123">
        <f t="shared" si="787"/>
        <v>1114532.1099999999</v>
      </c>
      <c r="BV127" s="148">
        <f t="shared" si="787"/>
        <v>1279815.19</v>
      </c>
      <c r="BW127" s="125">
        <f t="shared" si="689"/>
        <v>682009.16</v>
      </c>
      <c r="BX127" s="140">
        <f t="shared" si="610"/>
        <v>203551.64999999997</v>
      </c>
      <c r="BY127" s="123">
        <f t="shared" ref="BY127:BY160" si="788">IFERROR(VLOOKUP(M127,MARUCAALIM,12,FALSE),"")</f>
        <v>132611.76</v>
      </c>
      <c r="BZ127" s="148">
        <f t="shared" ref="BZ127:BZ160" si="789">IFERROR(VLOOKUP(M127,MARUFC,12,FALSE),"")</f>
        <v>336163.41</v>
      </c>
      <c r="CA127" s="123">
        <f t="shared" si="690"/>
        <v>381711.22</v>
      </c>
      <c r="CB127" s="326">
        <f t="shared" si="691"/>
        <v>589297.06000000006</v>
      </c>
      <c r="CP127" s="294"/>
      <c r="CU127" s="294"/>
    </row>
    <row r="128" spans="1:99" ht="13">
      <c r="A128" s="566" t="e">
        <f t="shared" si="780"/>
        <v>#N/A</v>
      </c>
      <c r="B128" s="636">
        <f t="shared" si="750"/>
        <v>29</v>
      </c>
      <c r="C128" s="558">
        <f t="shared" ref="C128:C159" si="790">IFERROR(VLOOKUP(B128,DES,2,FALSE),"")</f>
        <v>0.05</v>
      </c>
      <c r="D128" s="558">
        <f t="shared" ref="D128:D160" si="791">IFERROR(VLOOKUP(B128,DES,3,FALSE),"")</f>
        <v>0.2</v>
      </c>
      <c r="E128" s="559">
        <f t="shared" ref="E128:E160" si="792">IFERROR(VLOOKUP(B128,DES,4,FALSE),"")</f>
        <v>0</v>
      </c>
      <c r="F128" s="836">
        <f t="shared" si="751"/>
        <v>4</v>
      </c>
      <c r="G128" s="558" t="str">
        <f t="shared" si="752"/>
        <v>Lista</v>
      </c>
      <c r="H128" s="558">
        <f t="shared" si="753"/>
        <v>0.2</v>
      </c>
      <c r="I128" s="559">
        <f t="shared" si="754"/>
        <v>0</v>
      </c>
      <c r="J128" s="1214">
        <f t="shared" si="781"/>
        <v>70</v>
      </c>
      <c r="K128" s="558" t="str">
        <f t="shared" si="782"/>
        <v>Lista</v>
      </c>
      <c r="L128" s="715">
        <f t="shared" si="783"/>
        <v>0.11</v>
      </c>
      <c r="M128" s="1173" t="s">
        <v>1215</v>
      </c>
      <c r="N128" s="1174">
        <f t="shared" si="677"/>
        <v>63226.98</v>
      </c>
      <c r="O128" s="461">
        <v>1500000</v>
      </c>
      <c r="P128" s="173">
        <f t="shared" si="565"/>
        <v>64863.66</v>
      </c>
      <c r="Q128" s="561">
        <f t="shared" si="744"/>
        <v>162631.12</v>
      </c>
      <c r="R128" s="1112">
        <f t="shared" si="745"/>
        <v>227494.78</v>
      </c>
      <c r="S128" s="1189"/>
      <c r="T128" s="599"/>
      <c r="U128" s="326">
        <f t="shared" si="665"/>
        <v>153488.37</v>
      </c>
      <c r="V128" s="461">
        <v>1500000</v>
      </c>
      <c r="W128" s="173">
        <f t="shared" si="566"/>
        <v>110732.14</v>
      </c>
      <c r="X128" s="561">
        <f t="shared" si="755"/>
        <v>0</v>
      </c>
      <c r="Y128" s="1112">
        <f t="shared" si="756"/>
        <v>110732.14</v>
      </c>
      <c r="Z128" s="1189"/>
      <c r="AA128" s="599"/>
      <c r="AB128" s="326">
        <f t="shared" si="667"/>
        <v>101006.84</v>
      </c>
      <c r="AC128" s="461">
        <v>1500000</v>
      </c>
      <c r="AD128" s="173">
        <f t="shared" si="569"/>
        <v>26737.06</v>
      </c>
      <c r="AE128" s="561">
        <f t="shared" si="757"/>
        <v>0</v>
      </c>
      <c r="AF128" s="1112">
        <f t="shared" si="758"/>
        <v>26737.06</v>
      </c>
      <c r="AG128" s="1189"/>
      <c r="AH128" s="599"/>
      <c r="AI128" s="332">
        <f t="shared" si="471"/>
        <v>4500000</v>
      </c>
      <c r="AJ128" s="140">
        <f t="shared" si="759"/>
        <v>404942.37</v>
      </c>
      <c r="AK128" s="326">
        <f t="shared" ref="AK128:AM128" si="793">AD128+W128+P128</f>
        <v>202332.86000000002</v>
      </c>
      <c r="AL128" s="326">
        <f t="shared" si="793"/>
        <v>162631.12</v>
      </c>
      <c r="AM128" s="326">
        <f t="shared" si="793"/>
        <v>364963.98</v>
      </c>
      <c r="AN128" s="326">
        <f t="shared" si="574"/>
        <v>-39978.390000000014</v>
      </c>
      <c r="AO128" s="98">
        <f t="shared" si="575"/>
        <v>0.90127387756435562</v>
      </c>
      <c r="AP128" s="125">
        <f t="shared" si="680"/>
        <v>0</v>
      </c>
      <c r="AQ128" s="326">
        <f t="shared" si="576"/>
        <v>0</v>
      </c>
      <c r="AR128" s="326">
        <f t="shared" si="761"/>
        <v>109222.08</v>
      </c>
      <c r="AS128" s="123">
        <f t="shared" si="762"/>
        <v>109222.08</v>
      </c>
      <c r="AT128" s="332">
        <f t="shared" si="681"/>
        <v>60007.12</v>
      </c>
      <c r="AU128" s="140">
        <f t="shared" si="579"/>
        <v>60931.610000000015</v>
      </c>
      <c r="AV128" s="326">
        <f t="shared" si="763"/>
        <v>175472.8</v>
      </c>
      <c r="AW128" s="333">
        <f t="shared" si="764"/>
        <v>236404.41</v>
      </c>
      <c r="AX128" s="123">
        <f t="shared" si="682"/>
        <v>129982.85</v>
      </c>
      <c r="AY128" s="123">
        <f t="shared" si="582"/>
        <v>0</v>
      </c>
      <c r="AZ128" s="123">
        <f t="shared" si="765"/>
        <v>0</v>
      </c>
      <c r="BA128" s="125">
        <f t="shared" si="766"/>
        <v>0</v>
      </c>
      <c r="BB128" s="1175">
        <f t="shared" ref="BB128:BD128" si="794">SUM(AQ128,AU128,AY128)</f>
        <v>60931.610000000015</v>
      </c>
      <c r="BC128" s="326">
        <f t="shared" si="794"/>
        <v>284694.88</v>
      </c>
      <c r="BD128" s="333">
        <f t="shared" si="794"/>
        <v>345626.49</v>
      </c>
      <c r="BE128" s="100">
        <f t="shared" si="586"/>
        <v>263264.47000000003</v>
      </c>
      <c r="BF128" s="116">
        <f t="shared" ref="BF128:BG128" si="795">BC128+AL128</f>
        <v>447326</v>
      </c>
      <c r="BG128" s="119">
        <f t="shared" si="795"/>
        <v>710590.47</v>
      </c>
      <c r="BH128" s="125">
        <f t="shared" si="685"/>
        <v>135205.03</v>
      </c>
      <c r="BI128" s="1041">
        <f t="shared" si="588"/>
        <v>144251.56999999998</v>
      </c>
      <c r="BJ128" s="326">
        <f t="shared" si="769"/>
        <v>184872.4</v>
      </c>
      <c r="BK128" s="1045">
        <f t="shared" si="770"/>
        <v>329123.96999999997</v>
      </c>
      <c r="BL128" s="125">
        <f t="shared" si="686"/>
        <v>175279.27</v>
      </c>
      <c r="BM128" s="140">
        <f t="shared" si="591"/>
        <v>63047.49000000002</v>
      </c>
      <c r="BN128" s="123">
        <f t="shared" si="771"/>
        <v>128179.68</v>
      </c>
      <c r="BO128" s="148">
        <f t="shared" si="772"/>
        <v>191227.17</v>
      </c>
      <c r="BP128" s="123">
        <f t="shared" si="687"/>
        <v>143708.65</v>
      </c>
      <c r="BQ128" s="123">
        <f t="shared" si="594"/>
        <v>114088.18</v>
      </c>
      <c r="BR128" s="123">
        <f t="shared" si="773"/>
        <v>0</v>
      </c>
      <c r="BS128" s="125">
        <f t="shared" si="774"/>
        <v>114088.18</v>
      </c>
      <c r="BT128" s="140">
        <f t="shared" ref="BT128:BV128" si="796">SUM(BQ128,BM128,BI128)</f>
        <v>321387.24</v>
      </c>
      <c r="BU128" s="123">
        <f t="shared" si="796"/>
        <v>313052.07999999996</v>
      </c>
      <c r="BV128" s="148">
        <f t="shared" si="796"/>
        <v>634439.31999999995</v>
      </c>
      <c r="BW128" s="125">
        <f t="shared" si="689"/>
        <v>124273.41</v>
      </c>
      <c r="BX128" s="140">
        <f t="shared" si="610"/>
        <v>88721.18</v>
      </c>
      <c r="BY128" s="123">
        <f t="shared" si="788"/>
        <v>0</v>
      </c>
      <c r="BZ128" s="148">
        <f t="shared" si="789"/>
        <v>88721.18</v>
      </c>
      <c r="CA128" s="123">
        <f t="shared" si="690"/>
        <v>168098.49</v>
      </c>
      <c r="CB128" s="326">
        <f t="shared" si="691"/>
        <v>112570.47</v>
      </c>
      <c r="CP128" s="294"/>
      <c r="CU128" s="294"/>
    </row>
    <row r="129" spans="1:115" ht="13">
      <c r="A129" s="566" t="e">
        <f t="shared" si="780"/>
        <v>#N/A</v>
      </c>
      <c r="B129" s="636">
        <f t="shared" si="750"/>
        <v>4</v>
      </c>
      <c r="C129" s="558" t="str">
        <f t="shared" si="790"/>
        <v>Lista</v>
      </c>
      <c r="D129" s="558">
        <f t="shared" si="791"/>
        <v>0.2</v>
      </c>
      <c r="E129" s="559">
        <f t="shared" si="792"/>
        <v>0</v>
      </c>
      <c r="F129" s="836">
        <f t="shared" si="751"/>
        <v>4</v>
      </c>
      <c r="G129" s="558" t="str">
        <f t="shared" si="752"/>
        <v>Lista</v>
      </c>
      <c r="H129" s="558">
        <f t="shared" si="753"/>
        <v>0.2</v>
      </c>
      <c r="I129" s="559">
        <f t="shared" si="754"/>
        <v>0</v>
      </c>
      <c r="J129" s="1214">
        <f t="shared" si="781"/>
        <v>70</v>
      </c>
      <c r="K129" s="558" t="str">
        <f t="shared" si="782"/>
        <v>Lista</v>
      </c>
      <c r="L129" s="715">
        <f t="shared" si="783"/>
        <v>0.11</v>
      </c>
      <c r="M129" s="1173" t="s">
        <v>1216</v>
      </c>
      <c r="N129" s="1174">
        <f t="shared" si="677"/>
        <v>0</v>
      </c>
      <c r="O129" s="1177">
        <v>1800000</v>
      </c>
      <c r="P129" s="173">
        <f t="shared" si="565"/>
        <v>0</v>
      </c>
      <c r="Q129" s="326">
        <f t="shared" si="744"/>
        <v>7368.42</v>
      </c>
      <c r="R129" s="333">
        <f t="shared" si="745"/>
        <v>7368.42</v>
      </c>
      <c r="S129" s="123"/>
      <c r="T129" s="326"/>
      <c r="U129" s="326">
        <f t="shared" si="665"/>
        <v>0</v>
      </c>
      <c r="V129" s="332">
        <v>1800000</v>
      </c>
      <c r="W129" s="173">
        <f t="shared" si="566"/>
        <v>0</v>
      </c>
      <c r="X129" s="561">
        <f t="shared" si="755"/>
        <v>14736.84</v>
      </c>
      <c r="Y129" s="1112">
        <f t="shared" si="756"/>
        <v>14736.84</v>
      </c>
      <c r="Z129" s="123"/>
      <c r="AA129" s="326"/>
      <c r="AB129" s="326">
        <f t="shared" si="667"/>
        <v>0</v>
      </c>
      <c r="AC129" s="332">
        <v>1800000</v>
      </c>
      <c r="AD129" s="173">
        <f t="shared" si="569"/>
        <v>51150.6</v>
      </c>
      <c r="AE129" s="561">
        <f t="shared" si="757"/>
        <v>7758.14</v>
      </c>
      <c r="AF129" s="1112">
        <f t="shared" si="758"/>
        <v>58908.74</v>
      </c>
      <c r="AG129" s="123"/>
      <c r="AH129" s="326"/>
      <c r="AI129" s="332">
        <f t="shared" si="471"/>
        <v>5400000</v>
      </c>
      <c r="AJ129" s="140">
        <f t="shared" si="759"/>
        <v>218010.4</v>
      </c>
      <c r="AK129" s="326">
        <f t="shared" ref="AK129:AM129" si="797">AD129+W129+P129</f>
        <v>51150.6</v>
      </c>
      <c r="AL129" s="326">
        <f t="shared" si="797"/>
        <v>29863.4</v>
      </c>
      <c r="AM129" s="326">
        <f t="shared" si="797"/>
        <v>81014</v>
      </c>
      <c r="AN129" s="326">
        <f t="shared" si="574"/>
        <v>-136996.4</v>
      </c>
      <c r="AO129" s="98">
        <f t="shared" si="575"/>
        <v>0.37160612521237518</v>
      </c>
      <c r="AP129" s="125">
        <f t="shared" si="680"/>
        <v>0</v>
      </c>
      <c r="AQ129" s="326">
        <f t="shared" si="576"/>
        <v>14226.37</v>
      </c>
      <c r="AR129" s="326">
        <f t="shared" si="761"/>
        <v>0</v>
      </c>
      <c r="AS129" s="123">
        <f t="shared" si="762"/>
        <v>14226.37</v>
      </c>
      <c r="AT129" s="332">
        <f t="shared" si="681"/>
        <v>0</v>
      </c>
      <c r="AU129" s="140">
        <f t="shared" si="579"/>
        <v>0</v>
      </c>
      <c r="AV129" s="326">
        <f t="shared" si="763"/>
        <v>0</v>
      </c>
      <c r="AW129" s="333">
        <f t="shared" si="764"/>
        <v>0</v>
      </c>
      <c r="AX129" s="123">
        <f t="shared" si="682"/>
        <v>142489.06</v>
      </c>
      <c r="AY129" s="123">
        <f t="shared" si="582"/>
        <v>0</v>
      </c>
      <c r="AZ129" s="123">
        <f t="shared" si="765"/>
        <v>0</v>
      </c>
      <c r="BA129" s="125">
        <f t="shared" si="766"/>
        <v>0</v>
      </c>
      <c r="BB129" s="1175">
        <f t="shared" ref="BB129:BD129" si="798">SUM(AQ129,AU129,AY129)</f>
        <v>14226.37</v>
      </c>
      <c r="BC129" s="326">
        <f t="shared" si="798"/>
        <v>0</v>
      </c>
      <c r="BD129" s="333">
        <f t="shared" si="798"/>
        <v>14226.37</v>
      </c>
      <c r="BE129" s="100">
        <f t="shared" si="586"/>
        <v>65376.97</v>
      </c>
      <c r="BF129" s="116">
        <f t="shared" ref="BF129:BG129" si="799">BC129+AL129</f>
        <v>29863.4</v>
      </c>
      <c r="BG129" s="119">
        <f t="shared" si="799"/>
        <v>95240.37</v>
      </c>
      <c r="BH129" s="125">
        <f t="shared" si="685"/>
        <v>300334.56</v>
      </c>
      <c r="BI129" s="1041">
        <f t="shared" si="588"/>
        <v>0</v>
      </c>
      <c r="BJ129" s="326">
        <f t="shared" si="769"/>
        <v>0</v>
      </c>
      <c r="BK129" s="1045">
        <f t="shared" si="770"/>
        <v>0</v>
      </c>
      <c r="BL129" s="125">
        <f t="shared" si="686"/>
        <v>370690.55</v>
      </c>
      <c r="BM129" s="140">
        <f t="shared" si="591"/>
        <v>0</v>
      </c>
      <c r="BN129" s="123">
        <f t="shared" si="771"/>
        <v>0</v>
      </c>
      <c r="BO129" s="148">
        <f t="shared" si="772"/>
        <v>0</v>
      </c>
      <c r="BP129" s="123">
        <f t="shared" si="687"/>
        <v>225073.43</v>
      </c>
      <c r="BQ129" s="123">
        <f t="shared" si="594"/>
        <v>0</v>
      </c>
      <c r="BR129" s="123">
        <f t="shared" si="773"/>
        <v>0</v>
      </c>
      <c r="BS129" s="125">
        <f t="shared" si="774"/>
        <v>0</v>
      </c>
      <c r="BT129" s="140">
        <f t="shared" ref="BT129:BV129" si="800">SUM(BQ129,BM129,BI129)</f>
        <v>0</v>
      </c>
      <c r="BU129" s="123">
        <f t="shared" si="800"/>
        <v>0</v>
      </c>
      <c r="BV129" s="148">
        <f t="shared" si="800"/>
        <v>0</v>
      </c>
      <c r="BW129" s="125">
        <f t="shared" si="689"/>
        <v>109068.11</v>
      </c>
      <c r="BX129" s="140">
        <f t="shared" si="610"/>
        <v>20985</v>
      </c>
      <c r="BY129" s="123">
        <f t="shared" si="788"/>
        <v>37341.120000000003</v>
      </c>
      <c r="BZ129" s="148">
        <f t="shared" si="789"/>
        <v>58326.12</v>
      </c>
      <c r="CA129" s="123">
        <f t="shared" si="690"/>
        <v>36651.97</v>
      </c>
      <c r="CB129" s="326">
        <f t="shared" si="691"/>
        <v>72290.320000000007</v>
      </c>
      <c r="CI129" s="171"/>
      <c r="CJ129" s="171"/>
      <c r="CK129" s="171"/>
      <c r="CL129" s="171"/>
      <c r="CM129" s="171"/>
      <c r="CN129" s="171"/>
      <c r="CO129" s="171"/>
      <c r="CP129" s="171"/>
      <c r="CQ129" s="171"/>
      <c r="CR129" s="171"/>
      <c r="CS129" s="171"/>
      <c r="CT129" s="171"/>
      <c r="CU129" s="171"/>
      <c r="CV129" s="171"/>
      <c r="CW129" s="171"/>
      <c r="CX129" s="171"/>
      <c r="CY129" s="171"/>
      <c r="CZ129" s="171"/>
      <c r="DA129" s="171"/>
      <c r="DB129" s="171"/>
      <c r="DC129" s="171"/>
      <c r="DD129" s="171"/>
      <c r="DE129" s="171"/>
      <c r="DF129" s="171"/>
      <c r="DG129" s="171"/>
      <c r="DH129" s="171"/>
      <c r="DI129" s="171"/>
      <c r="DJ129" s="171"/>
      <c r="DK129" s="171"/>
    </row>
    <row r="130" spans="1:115" ht="13">
      <c r="A130" s="577" t="e">
        <f t="shared" si="780"/>
        <v>#N/A</v>
      </c>
      <c r="B130" s="1219">
        <f t="shared" si="750"/>
        <v>4</v>
      </c>
      <c r="C130" s="743" t="str">
        <f t="shared" si="790"/>
        <v>Lista</v>
      </c>
      <c r="D130" s="743">
        <f t="shared" si="791"/>
        <v>0.2</v>
      </c>
      <c r="E130" s="898">
        <f t="shared" si="792"/>
        <v>0</v>
      </c>
      <c r="F130" s="1220">
        <f t="shared" si="751"/>
        <v>4</v>
      </c>
      <c r="G130" s="743" t="str">
        <f t="shared" si="752"/>
        <v>Lista</v>
      </c>
      <c r="H130" s="743">
        <f t="shared" si="753"/>
        <v>0.2</v>
      </c>
      <c r="I130" s="898">
        <f t="shared" si="754"/>
        <v>0</v>
      </c>
      <c r="J130" s="1221">
        <f t="shared" si="781"/>
        <v>70</v>
      </c>
      <c r="K130" s="743" t="str">
        <f t="shared" si="782"/>
        <v>Lista</v>
      </c>
      <c r="L130" s="744">
        <f t="shared" si="783"/>
        <v>0.11</v>
      </c>
      <c r="M130" s="1222" t="s">
        <v>1217</v>
      </c>
      <c r="N130" s="1223">
        <f t="shared" si="677"/>
        <v>264603.32</v>
      </c>
      <c r="O130" s="1224">
        <v>1500000</v>
      </c>
      <c r="P130" s="1194">
        <f t="shared" si="565"/>
        <v>156029.86000000002</v>
      </c>
      <c r="Q130" s="609">
        <f t="shared" si="744"/>
        <v>129375.97</v>
      </c>
      <c r="R130" s="1195">
        <f t="shared" si="745"/>
        <v>285405.83</v>
      </c>
      <c r="S130" s="1225"/>
      <c r="T130" s="1226"/>
      <c r="U130" s="471">
        <f t="shared" si="665"/>
        <v>143892.79999999999</v>
      </c>
      <c r="V130" s="1224">
        <v>1500000</v>
      </c>
      <c r="W130" s="1194">
        <f t="shared" si="566"/>
        <v>55007.87</v>
      </c>
      <c r="X130" s="609">
        <f t="shared" si="755"/>
        <v>0</v>
      </c>
      <c r="Y130" s="1195">
        <f t="shared" si="756"/>
        <v>55007.87</v>
      </c>
      <c r="Z130" s="1225"/>
      <c r="AA130" s="1226"/>
      <c r="AB130" s="471">
        <f t="shared" si="667"/>
        <v>356381.08</v>
      </c>
      <c r="AC130" s="1224">
        <v>1500000</v>
      </c>
      <c r="AD130" s="1194">
        <f t="shared" si="569"/>
        <v>210321.56</v>
      </c>
      <c r="AE130" s="609">
        <f t="shared" si="757"/>
        <v>0</v>
      </c>
      <c r="AF130" s="1195">
        <f t="shared" si="758"/>
        <v>210321.56</v>
      </c>
      <c r="AG130" s="1225"/>
      <c r="AH130" s="1226"/>
      <c r="AI130" s="467">
        <f t="shared" si="471"/>
        <v>4500000</v>
      </c>
      <c r="AJ130" s="164">
        <f t="shared" si="759"/>
        <v>798239.73</v>
      </c>
      <c r="AK130" s="471">
        <f t="shared" ref="AK130:AM130" si="801">AD130+W130+P130</f>
        <v>421359.29000000004</v>
      </c>
      <c r="AL130" s="471">
        <f t="shared" si="801"/>
        <v>129375.97</v>
      </c>
      <c r="AM130" s="471">
        <f t="shared" si="801"/>
        <v>550735.26</v>
      </c>
      <c r="AN130" s="471">
        <f t="shared" si="574"/>
        <v>-247504.46999999997</v>
      </c>
      <c r="AO130" s="608">
        <f t="shared" si="575"/>
        <v>0.68993716962697416</v>
      </c>
      <c r="AP130" s="271">
        <f t="shared" si="680"/>
        <v>501425.46</v>
      </c>
      <c r="AQ130" s="471">
        <f t="shared" si="576"/>
        <v>8853.0800000000017</v>
      </c>
      <c r="AR130" s="471">
        <f t="shared" si="761"/>
        <v>101305.52</v>
      </c>
      <c r="AS130" s="274">
        <f t="shared" si="762"/>
        <v>110158.6</v>
      </c>
      <c r="AT130" s="467">
        <f t="shared" si="681"/>
        <v>497598.95</v>
      </c>
      <c r="AU130" s="164">
        <f t="shared" si="579"/>
        <v>9932.6300000000047</v>
      </c>
      <c r="AV130" s="471">
        <f t="shared" si="763"/>
        <v>282054.32</v>
      </c>
      <c r="AW130" s="472">
        <f t="shared" si="764"/>
        <v>291986.95</v>
      </c>
      <c r="AX130" s="274">
        <f t="shared" si="682"/>
        <v>455504.95</v>
      </c>
      <c r="AY130" s="274">
        <f t="shared" si="582"/>
        <v>0</v>
      </c>
      <c r="AZ130" s="274">
        <f t="shared" si="765"/>
        <v>385630.61</v>
      </c>
      <c r="BA130" s="271">
        <f t="shared" si="766"/>
        <v>385630.61</v>
      </c>
      <c r="BB130" s="1227">
        <f t="shared" ref="BB130:BD130" si="802">SUM(AQ130,AU130,AY130)</f>
        <v>18785.710000000006</v>
      </c>
      <c r="BC130" s="471">
        <f t="shared" si="802"/>
        <v>768990.45</v>
      </c>
      <c r="BD130" s="472">
        <f t="shared" si="802"/>
        <v>787776.16</v>
      </c>
      <c r="BE130" s="296">
        <f t="shared" si="586"/>
        <v>440145.00000000006</v>
      </c>
      <c r="BF130" s="267">
        <f t="shared" ref="BF130:BG130" si="803">BC130+AL130</f>
        <v>898366.41999999993</v>
      </c>
      <c r="BG130" s="268">
        <f t="shared" si="803"/>
        <v>1338511.42</v>
      </c>
      <c r="BH130" s="271">
        <f t="shared" si="685"/>
        <v>327861.26</v>
      </c>
      <c r="BI130" s="1069">
        <f t="shared" si="588"/>
        <v>49748</v>
      </c>
      <c r="BJ130" s="471">
        <f t="shared" si="769"/>
        <v>134869.93</v>
      </c>
      <c r="BK130" s="1070">
        <f t="shared" si="770"/>
        <v>184617.93</v>
      </c>
      <c r="BL130" s="271">
        <f t="shared" si="686"/>
        <v>365150.98</v>
      </c>
      <c r="BM130" s="164">
        <f t="shared" si="591"/>
        <v>0</v>
      </c>
      <c r="BN130" s="274">
        <f t="shared" si="771"/>
        <v>271904.59000000003</v>
      </c>
      <c r="BO130" s="610">
        <f t="shared" si="772"/>
        <v>271904.59000000003</v>
      </c>
      <c r="BP130" s="274">
        <f t="shared" si="687"/>
        <v>104192.96000000001</v>
      </c>
      <c r="BQ130" s="274">
        <f t="shared" si="594"/>
        <v>0</v>
      </c>
      <c r="BR130" s="274">
        <f t="shared" si="773"/>
        <v>183018.06</v>
      </c>
      <c r="BS130" s="271">
        <f t="shared" si="774"/>
        <v>183018.06</v>
      </c>
      <c r="BT130" s="164">
        <f t="shared" ref="BT130:BV130" si="804">SUM(BQ130,BM130,BI130)</f>
        <v>49748</v>
      </c>
      <c r="BU130" s="274">
        <f t="shared" si="804"/>
        <v>589792.58000000007</v>
      </c>
      <c r="BV130" s="610">
        <f t="shared" si="804"/>
        <v>639540.58000000007</v>
      </c>
      <c r="BW130" s="271">
        <f t="shared" si="689"/>
        <v>572511.99</v>
      </c>
      <c r="BX130" s="164">
        <f t="shared" si="610"/>
        <v>5307.5599999999977</v>
      </c>
      <c r="BY130" s="123">
        <f t="shared" si="788"/>
        <v>505343.26</v>
      </c>
      <c r="BZ130" s="148">
        <f t="shared" si="789"/>
        <v>510650.82</v>
      </c>
      <c r="CA130" s="123">
        <f t="shared" si="690"/>
        <v>209618.17</v>
      </c>
      <c r="CB130" s="326">
        <f t="shared" si="691"/>
        <v>16109.57</v>
      </c>
      <c r="CP130" s="294"/>
      <c r="CU130" s="294"/>
    </row>
    <row r="131" spans="1:115" ht="13">
      <c r="A131" s="566" t="e">
        <f t="shared" si="780"/>
        <v>#N/A</v>
      </c>
      <c r="B131" s="636">
        <f t="shared" si="750"/>
        <v>7</v>
      </c>
      <c r="C131" s="558">
        <f t="shared" si="790"/>
        <v>0.1</v>
      </c>
      <c r="D131" s="558">
        <f t="shared" si="791"/>
        <v>0.2</v>
      </c>
      <c r="E131" s="559">
        <f t="shared" si="792"/>
        <v>0</v>
      </c>
      <c r="F131" s="836">
        <f t="shared" si="751"/>
        <v>4</v>
      </c>
      <c r="G131" s="558" t="str">
        <f t="shared" si="752"/>
        <v>Lista</v>
      </c>
      <c r="H131" s="558">
        <f t="shared" si="753"/>
        <v>0.2</v>
      </c>
      <c r="I131" s="559">
        <f t="shared" si="754"/>
        <v>0</v>
      </c>
      <c r="J131" s="1214">
        <f t="shared" si="781"/>
        <v>70</v>
      </c>
      <c r="K131" s="558" t="str">
        <f t="shared" si="782"/>
        <v>Lista</v>
      </c>
      <c r="L131" s="715">
        <f t="shared" si="783"/>
        <v>0.11</v>
      </c>
      <c r="M131" s="1173" t="s">
        <v>1218</v>
      </c>
      <c r="N131" s="1174">
        <f t="shared" si="677"/>
        <v>382329.65</v>
      </c>
      <c r="O131" s="1177">
        <v>1800000</v>
      </c>
      <c r="P131" s="173">
        <f t="shared" si="565"/>
        <v>435116.44</v>
      </c>
      <c r="Q131" s="326">
        <f t="shared" si="744"/>
        <v>52852.959999999999</v>
      </c>
      <c r="R131" s="333">
        <f t="shared" si="745"/>
        <v>487969.4</v>
      </c>
      <c r="S131" s="123"/>
      <c r="T131" s="326"/>
      <c r="U131" s="326">
        <f t="shared" si="665"/>
        <v>340205.46</v>
      </c>
      <c r="V131" s="332">
        <v>1800000</v>
      </c>
      <c r="W131" s="173">
        <f t="shared" si="566"/>
        <v>411541.42000000004</v>
      </c>
      <c r="X131" s="561">
        <f t="shared" si="755"/>
        <v>26426.48</v>
      </c>
      <c r="Y131" s="1112">
        <f t="shared" si="756"/>
        <v>437967.9</v>
      </c>
      <c r="Z131" s="123"/>
      <c r="AA131" s="326"/>
      <c r="AB131" s="326">
        <f t="shared" si="667"/>
        <v>323311.55</v>
      </c>
      <c r="AC131" s="332">
        <v>1800000</v>
      </c>
      <c r="AD131" s="173">
        <f t="shared" si="569"/>
        <v>404223.36</v>
      </c>
      <c r="AE131" s="561">
        <f t="shared" si="757"/>
        <v>28276.400000000001</v>
      </c>
      <c r="AF131" s="1112">
        <f t="shared" si="758"/>
        <v>432499.76</v>
      </c>
      <c r="AG131" s="123"/>
      <c r="AH131" s="326"/>
      <c r="AI131" s="332">
        <f t="shared" si="471"/>
        <v>5400000</v>
      </c>
      <c r="AJ131" s="140">
        <f t="shared" si="759"/>
        <v>1607232.26</v>
      </c>
      <c r="AK131" s="326">
        <f t="shared" ref="AK131:AM131" si="805">AD131+W131+P131</f>
        <v>1250881.22</v>
      </c>
      <c r="AL131" s="326">
        <f t="shared" si="805"/>
        <v>107555.84</v>
      </c>
      <c r="AM131" s="326">
        <f t="shared" si="805"/>
        <v>1358437.06</v>
      </c>
      <c r="AN131" s="326">
        <f t="shared" si="574"/>
        <v>-248795.19999999995</v>
      </c>
      <c r="AO131" s="98">
        <f t="shared" si="575"/>
        <v>0.84520270891028537</v>
      </c>
      <c r="AP131" s="125">
        <f t="shared" si="680"/>
        <v>264199.28000000003</v>
      </c>
      <c r="AQ131" s="326">
        <f t="shared" si="576"/>
        <v>319651.12</v>
      </c>
      <c r="AR131" s="326">
        <f t="shared" si="761"/>
        <v>0</v>
      </c>
      <c r="AS131" s="123">
        <f t="shared" si="762"/>
        <v>319651.12</v>
      </c>
      <c r="AT131" s="332">
        <f t="shared" si="681"/>
        <v>292655.69</v>
      </c>
      <c r="AU131" s="140">
        <f t="shared" si="579"/>
        <v>532185.98</v>
      </c>
      <c r="AV131" s="326">
        <f t="shared" si="763"/>
        <v>93398.399999999994</v>
      </c>
      <c r="AW131" s="333">
        <f t="shared" si="764"/>
        <v>625584.38</v>
      </c>
      <c r="AX131" s="123">
        <f t="shared" si="682"/>
        <v>242175.76</v>
      </c>
      <c r="AY131" s="123">
        <f t="shared" si="582"/>
        <v>466597.57</v>
      </c>
      <c r="AZ131" s="123">
        <f t="shared" si="765"/>
        <v>36745.760000000002</v>
      </c>
      <c r="BA131" s="125">
        <f t="shared" si="766"/>
        <v>503343.33</v>
      </c>
      <c r="BB131" s="1175">
        <f t="shared" ref="BB131:BD131" si="806">SUM(AQ131,AU131,AY131)</f>
        <v>1318434.67</v>
      </c>
      <c r="BC131" s="326">
        <f t="shared" si="806"/>
        <v>130144.16</v>
      </c>
      <c r="BD131" s="333">
        <f t="shared" si="806"/>
        <v>1448578.83</v>
      </c>
      <c r="BE131" s="100">
        <f t="shared" si="586"/>
        <v>2569315.8899999997</v>
      </c>
      <c r="BF131" s="116">
        <f t="shared" ref="BF131:BG131" si="807">BC131+AL131</f>
        <v>237700</v>
      </c>
      <c r="BG131" s="119">
        <f t="shared" si="807"/>
        <v>2807015.89</v>
      </c>
      <c r="BH131" s="125">
        <f t="shared" si="685"/>
        <v>396397.88</v>
      </c>
      <c r="BI131" s="1041">
        <f t="shared" si="588"/>
        <v>326420.39</v>
      </c>
      <c r="BJ131" s="326">
        <f t="shared" si="769"/>
        <v>64966.09</v>
      </c>
      <c r="BK131" s="1045">
        <f t="shared" si="770"/>
        <v>391386.48</v>
      </c>
      <c r="BL131" s="125">
        <f t="shared" si="686"/>
        <v>328311.23</v>
      </c>
      <c r="BM131" s="140">
        <f t="shared" si="591"/>
        <v>332280.14</v>
      </c>
      <c r="BN131" s="123">
        <f t="shared" si="771"/>
        <v>64966.09</v>
      </c>
      <c r="BO131" s="148">
        <f t="shared" si="772"/>
        <v>397246.23</v>
      </c>
      <c r="BP131" s="123">
        <f t="shared" si="687"/>
        <v>487825.49</v>
      </c>
      <c r="BQ131" s="123">
        <f t="shared" si="594"/>
        <v>267405.12</v>
      </c>
      <c r="BR131" s="123">
        <f t="shared" si="773"/>
        <v>32065.360000000001</v>
      </c>
      <c r="BS131" s="125">
        <f t="shared" si="774"/>
        <v>299470.48</v>
      </c>
      <c r="BT131" s="140">
        <f t="shared" ref="BT131:BV131" si="808">SUM(BQ131,BM131,BI131)</f>
        <v>926105.65</v>
      </c>
      <c r="BU131" s="123">
        <f t="shared" si="808"/>
        <v>161997.53999999998</v>
      </c>
      <c r="BV131" s="148">
        <f t="shared" si="808"/>
        <v>1088103.19</v>
      </c>
      <c r="BW131" s="125">
        <f t="shared" si="689"/>
        <v>424970</v>
      </c>
      <c r="BX131" s="140">
        <f t="shared" si="610"/>
        <v>642971.90999999992</v>
      </c>
      <c r="BY131" s="123">
        <f t="shared" si="788"/>
        <v>90752.94</v>
      </c>
      <c r="BZ131" s="148">
        <f t="shared" si="789"/>
        <v>733724.85</v>
      </c>
      <c r="CA131" s="123">
        <f t="shared" si="690"/>
        <v>585607.36</v>
      </c>
      <c r="CB131" s="326">
        <f t="shared" si="691"/>
        <v>596654.9</v>
      </c>
      <c r="CP131" s="294"/>
      <c r="CU131" s="294"/>
    </row>
    <row r="132" spans="1:115" ht="13">
      <c r="A132" s="566" t="e">
        <f t="shared" si="780"/>
        <v>#N/A</v>
      </c>
      <c r="B132" s="636">
        <f t="shared" si="750"/>
        <v>7</v>
      </c>
      <c r="C132" s="558">
        <f t="shared" si="790"/>
        <v>0.1</v>
      </c>
      <c r="D132" s="558">
        <f t="shared" si="791"/>
        <v>0.2</v>
      </c>
      <c r="E132" s="559">
        <f t="shared" si="792"/>
        <v>0</v>
      </c>
      <c r="F132" s="836">
        <f t="shared" si="751"/>
        <v>4</v>
      </c>
      <c r="G132" s="558" t="str">
        <f t="shared" si="752"/>
        <v>Lista</v>
      </c>
      <c r="H132" s="558">
        <f t="shared" si="753"/>
        <v>0.2</v>
      </c>
      <c r="I132" s="559">
        <f t="shared" si="754"/>
        <v>0</v>
      </c>
      <c r="J132" s="1214">
        <f t="shared" si="781"/>
        <v>70</v>
      </c>
      <c r="K132" s="558" t="str">
        <f t="shared" si="782"/>
        <v>Lista</v>
      </c>
      <c r="L132" s="715">
        <f t="shared" si="783"/>
        <v>0.11</v>
      </c>
      <c r="M132" s="1173" t="s">
        <v>1219</v>
      </c>
      <c r="N132" s="1174">
        <f t="shared" si="677"/>
        <v>415655.42</v>
      </c>
      <c r="O132" s="1177">
        <v>1800000</v>
      </c>
      <c r="P132" s="173">
        <f t="shared" si="565"/>
        <v>334877.90999999997</v>
      </c>
      <c r="Q132" s="561">
        <f t="shared" si="744"/>
        <v>82716.639999999999</v>
      </c>
      <c r="R132" s="1112">
        <f t="shared" si="745"/>
        <v>417594.55</v>
      </c>
      <c r="S132" s="1178"/>
      <c r="T132" s="975"/>
      <c r="U132" s="326">
        <f t="shared" si="665"/>
        <v>503344.5</v>
      </c>
      <c r="V132" s="1177">
        <v>1800000</v>
      </c>
      <c r="W132" s="173">
        <f t="shared" si="566"/>
        <v>356652.71</v>
      </c>
      <c r="X132" s="561">
        <f t="shared" si="755"/>
        <v>128973.55</v>
      </c>
      <c r="Y132" s="1112">
        <f t="shared" si="756"/>
        <v>485626.26</v>
      </c>
      <c r="Z132" s="1178"/>
      <c r="AA132" s="975"/>
      <c r="AB132" s="326">
        <f t="shared" si="667"/>
        <v>356569.69</v>
      </c>
      <c r="AC132" s="1177">
        <v>1800000</v>
      </c>
      <c r="AD132" s="173">
        <f t="shared" si="569"/>
        <v>231850.95</v>
      </c>
      <c r="AE132" s="561">
        <f t="shared" si="757"/>
        <v>134393.44</v>
      </c>
      <c r="AF132" s="1112">
        <f t="shared" si="758"/>
        <v>366244.39</v>
      </c>
      <c r="AG132" s="1178"/>
      <c r="AH132" s="975"/>
      <c r="AI132" s="332">
        <f t="shared" si="471"/>
        <v>5400000</v>
      </c>
      <c r="AJ132" s="140">
        <f t="shared" si="759"/>
        <v>1804221.09</v>
      </c>
      <c r="AK132" s="326">
        <f t="shared" ref="AK132:AM132" si="809">AD132+W132+P132</f>
        <v>923381.57000000007</v>
      </c>
      <c r="AL132" s="326">
        <f t="shared" si="809"/>
        <v>346083.63</v>
      </c>
      <c r="AM132" s="326">
        <f t="shared" si="809"/>
        <v>1269465.2</v>
      </c>
      <c r="AN132" s="326">
        <f t="shared" si="574"/>
        <v>-534755.89000000013</v>
      </c>
      <c r="AO132" s="98">
        <f t="shared" si="575"/>
        <v>0.7036084474547406</v>
      </c>
      <c r="AP132" s="125">
        <f t="shared" si="680"/>
        <v>332488.24</v>
      </c>
      <c r="AQ132" s="326">
        <f t="shared" si="576"/>
        <v>327905.02</v>
      </c>
      <c r="AR132" s="326">
        <f t="shared" si="761"/>
        <v>89861.37</v>
      </c>
      <c r="AS132" s="123">
        <f t="shared" si="762"/>
        <v>417766.39</v>
      </c>
      <c r="AT132" s="332">
        <f t="shared" si="681"/>
        <v>237387.78</v>
      </c>
      <c r="AU132" s="140">
        <f t="shared" si="579"/>
        <v>209205.09000000003</v>
      </c>
      <c r="AV132" s="326">
        <f t="shared" si="763"/>
        <v>153474.43</v>
      </c>
      <c r="AW132" s="333">
        <f t="shared" si="764"/>
        <v>362679.52</v>
      </c>
      <c r="AX132" s="123">
        <f t="shared" si="682"/>
        <v>564916.23</v>
      </c>
      <c r="AY132" s="123">
        <f t="shared" si="582"/>
        <v>115200.79</v>
      </c>
      <c r="AZ132" s="123">
        <f t="shared" si="765"/>
        <v>68230.64</v>
      </c>
      <c r="BA132" s="125">
        <f t="shared" si="766"/>
        <v>183431.43</v>
      </c>
      <c r="BB132" s="1175">
        <f t="shared" ref="BB132:BD132" si="810">SUM(AQ132,AU132,AY132)</f>
        <v>652310.90000000014</v>
      </c>
      <c r="BC132" s="326">
        <f t="shared" si="810"/>
        <v>311566.44</v>
      </c>
      <c r="BD132" s="333">
        <f t="shared" si="810"/>
        <v>963877.34000000008</v>
      </c>
      <c r="BE132" s="100">
        <f t="shared" si="586"/>
        <v>1575692.4700000002</v>
      </c>
      <c r="BF132" s="116">
        <f t="shared" ref="BF132:BG132" si="811">BC132+AL132</f>
        <v>657650.07000000007</v>
      </c>
      <c r="BG132" s="119">
        <f t="shared" si="811"/>
        <v>2233342.54</v>
      </c>
      <c r="BH132" s="125">
        <f t="shared" si="685"/>
        <v>91666.5</v>
      </c>
      <c r="BI132" s="1041">
        <f t="shared" si="588"/>
        <v>247429.11000000002</v>
      </c>
      <c r="BJ132" s="326">
        <f t="shared" si="769"/>
        <v>41950.96</v>
      </c>
      <c r="BK132" s="1045">
        <f t="shared" si="770"/>
        <v>289380.07</v>
      </c>
      <c r="BL132" s="125">
        <f t="shared" si="686"/>
        <v>482432.83</v>
      </c>
      <c r="BM132" s="140">
        <f t="shared" si="591"/>
        <v>317239.41000000003</v>
      </c>
      <c r="BN132" s="123">
        <f t="shared" si="771"/>
        <v>178524.36</v>
      </c>
      <c r="BO132" s="148">
        <f t="shared" si="772"/>
        <v>495763.77</v>
      </c>
      <c r="BP132" s="123">
        <f t="shared" si="687"/>
        <v>269049.71999999997</v>
      </c>
      <c r="BQ132" s="123">
        <f t="shared" si="594"/>
        <v>61160.000000000007</v>
      </c>
      <c r="BR132" s="123">
        <f t="shared" si="773"/>
        <v>44702.96</v>
      </c>
      <c r="BS132" s="125">
        <f t="shared" si="774"/>
        <v>105862.96</v>
      </c>
      <c r="BT132" s="140">
        <f t="shared" ref="BT132:BV132" si="812">SUM(BQ132,BM132,BI132)</f>
        <v>625828.52</v>
      </c>
      <c r="BU132" s="123">
        <f t="shared" si="812"/>
        <v>265178.27999999997</v>
      </c>
      <c r="BV132" s="148">
        <f t="shared" si="812"/>
        <v>891006.8</v>
      </c>
      <c r="BW132" s="125">
        <f t="shared" si="689"/>
        <v>603188.64</v>
      </c>
      <c r="BX132" s="140">
        <f t="shared" si="610"/>
        <v>0</v>
      </c>
      <c r="BY132" s="123">
        <f t="shared" si="788"/>
        <v>335523.17</v>
      </c>
      <c r="BZ132" s="148">
        <f t="shared" si="789"/>
        <v>335523.17</v>
      </c>
      <c r="CA132" s="123">
        <f t="shared" si="690"/>
        <v>575448.18000000005</v>
      </c>
      <c r="CB132" s="326">
        <f t="shared" si="691"/>
        <v>625584.27</v>
      </c>
      <c r="CP132" s="294"/>
      <c r="CU132" s="294"/>
    </row>
    <row r="133" spans="1:115" ht="13">
      <c r="A133" s="566" t="e">
        <f t="shared" si="780"/>
        <v>#N/A</v>
      </c>
      <c r="B133" s="636">
        <f t="shared" si="750"/>
        <v>7</v>
      </c>
      <c r="C133" s="558">
        <f t="shared" si="790"/>
        <v>0.1</v>
      </c>
      <c r="D133" s="558">
        <f t="shared" si="791"/>
        <v>0.2</v>
      </c>
      <c r="E133" s="559">
        <f t="shared" si="792"/>
        <v>0</v>
      </c>
      <c r="F133" s="836">
        <f t="shared" si="751"/>
        <v>4</v>
      </c>
      <c r="G133" s="558" t="str">
        <f t="shared" si="752"/>
        <v>Lista</v>
      </c>
      <c r="H133" s="558">
        <f t="shared" si="753"/>
        <v>0.2</v>
      </c>
      <c r="I133" s="559">
        <f t="shared" si="754"/>
        <v>0</v>
      </c>
      <c r="J133" s="1214">
        <f t="shared" si="781"/>
        <v>70</v>
      </c>
      <c r="K133" s="558" t="str">
        <f t="shared" si="782"/>
        <v>Lista</v>
      </c>
      <c r="L133" s="715">
        <f t="shared" si="783"/>
        <v>0.11</v>
      </c>
      <c r="M133" s="1173" t="s">
        <v>1220</v>
      </c>
      <c r="N133" s="1174">
        <f t="shared" si="677"/>
        <v>141695.4</v>
      </c>
      <c r="O133" s="1177">
        <v>1800000</v>
      </c>
      <c r="P133" s="173">
        <f t="shared" si="565"/>
        <v>342570.09</v>
      </c>
      <c r="Q133" s="561">
        <f t="shared" si="744"/>
        <v>0</v>
      </c>
      <c r="R133" s="1112">
        <f t="shared" si="745"/>
        <v>342570.09</v>
      </c>
      <c r="S133" s="1178"/>
      <c r="T133" s="975"/>
      <c r="U133" s="326">
        <f t="shared" si="665"/>
        <v>234585.74</v>
      </c>
      <c r="V133" s="1177">
        <v>1800000</v>
      </c>
      <c r="W133" s="173">
        <f t="shared" si="566"/>
        <v>0</v>
      </c>
      <c r="X133" s="561">
        <f t="shared" si="755"/>
        <v>0</v>
      </c>
      <c r="Y133" s="1112">
        <f t="shared" si="756"/>
        <v>0</v>
      </c>
      <c r="Z133" s="1178"/>
      <c r="AA133" s="975"/>
      <c r="AB133" s="326">
        <f t="shared" si="667"/>
        <v>261340.85</v>
      </c>
      <c r="AC133" s="1177">
        <v>1800000</v>
      </c>
      <c r="AD133" s="173">
        <f t="shared" si="569"/>
        <v>116252.04</v>
      </c>
      <c r="AE133" s="561">
        <f t="shared" si="757"/>
        <v>0</v>
      </c>
      <c r="AF133" s="1112">
        <f t="shared" si="758"/>
        <v>116252.04</v>
      </c>
      <c r="AG133" s="1178"/>
      <c r="AH133" s="975"/>
      <c r="AI133" s="332">
        <f t="shared" si="471"/>
        <v>5400000</v>
      </c>
      <c r="AJ133" s="140">
        <f t="shared" si="759"/>
        <v>414803.96</v>
      </c>
      <c r="AK133" s="326">
        <f t="shared" ref="AK133:AM133" si="813">AD133+W133+P133</f>
        <v>458822.13</v>
      </c>
      <c r="AL133" s="326">
        <f t="shared" si="813"/>
        <v>0</v>
      </c>
      <c r="AM133" s="326">
        <f t="shared" si="813"/>
        <v>458822.13</v>
      </c>
      <c r="AN133" s="326">
        <f t="shared" si="574"/>
        <v>44018.169999999984</v>
      </c>
      <c r="AO133" s="98">
        <f t="shared" si="575"/>
        <v>1.106118008130877</v>
      </c>
      <c r="AP133" s="125">
        <f t="shared" si="680"/>
        <v>145083.37</v>
      </c>
      <c r="AQ133" s="326">
        <f t="shared" si="576"/>
        <v>0</v>
      </c>
      <c r="AR133" s="326">
        <f t="shared" si="761"/>
        <v>0</v>
      </c>
      <c r="AS133" s="123">
        <f t="shared" si="762"/>
        <v>0</v>
      </c>
      <c r="AT133" s="332">
        <f t="shared" si="681"/>
        <v>469788</v>
      </c>
      <c r="AU133" s="140">
        <f t="shared" si="579"/>
        <v>30716.55</v>
      </c>
      <c r="AV133" s="326">
        <f t="shared" si="763"/>
        <v>0</v>
      </c>
      <c r="AW133" s="333">
        <f t="shared" si="764"/>
        <v>30716.55</v>
      </c>
      <c r="AX133" s="123">
        <f t="shared" si="682"/>
        <v>382242.34</v>
      </c>
      <c r="AY133" s="123">
        <f t="shared" si="582"/>
        <v>140173.01999999999</v>
      </c>
      <c r="AZ133" s="123">
        <f t="shared" si="765"/>
        <v>0</v>
      </c>
      <c r="BA133" s="125">
        <f t="shared" si="766"/>
        <v>140173.01999999999</v>
      </c>
      <c r="BB133" s="1175">
        <f t="shared" ref="BB133:BD133" si="814">SUM(AQ133,AU133,AY133)</f>
        <v>170889.56999999998</v>
      </c>
      <c r="BC133" s="326">
        <f t="shared" si="814"/>
        <v>0</v>
      </c>
      <c r="BD133" s="333">
        <f t="shared" si="814"/>
        <v>170889.56999999998</v>
      </c>
      <c r="BE133" s="100">
        <f t="shared" si="586"/>
        <v>629711.69999999995</v>
      </c>
      <c r="BF133" s="116">
        <f t="shared" ref="BF133:BG133" si="815">BC133+AL133</f>
        <v>0</v>
      </c>
      <c r="BG133" s="119">
        <f t="shared" si="815"/>
        <v>629711.69999999995</v>
      </c>
      <c r="BH133" s="125">
        <f t="shared" si="685"/>
        <v>433945.72</v>
      </c>
      <c r="BI133" s="1041">
        <f t="shared" si="588"/>
        <v>0</v>
      </c>
      <c r="BJ133" s="326">
        <f t="shared" si="769"/>
        <v>0</v>
      </c>
      <c r="BK133" s="1045">
        <f t="shared" si="770"/>
        <v>0</v>
      </c>
      <c r="BL133" s="125">
        <f t="shared" si="686"/>
        <v>531774.26</v>
      </c>
      <c r="BM133" s="140">
        <f t="shared" si="591"/>
        <v>0</v>
      </c>
      <c r="BN133" s="123">
        <f t="shared" si="771"/>
        <v>0</v>
      </c>
      <c r="BO133" s="148">
        <f t="shared" si="772"/>
        <v>0</v>
      </c>
      <c r="BP133" s="123">
        <f t="shared" si="687"/>
        <v>179783.44</v>
      </c>
      <c r="BQ133" s="123">
        <f t="shared" si="594"/>
        <v>0</v>
      </c>
      <c r="BR133" s="123">
        <f t="shared" si="773"/>
        <v>50456.12</v>
      </c>
      <c r="BS133" s="125">
        <f t="shared" si="774"/>
        <v>50456.12</v>
      </c>
      <c r="BT133" s="140">
        <f t="shared" ref="BT133:BV133" si="816">SUM(BQ133,BM133,BI133)</f>
        <v>0</v>
      </c>
      <c r="BU133" s="123">
        <f t="shared" si="816"/>
        <v>50456.12</v>
      </c>
      <c r="BV133" s="148">
        <f t="shared" si="816"/>
        <v>50456.12</v>
      </c>
      <c r="BW133" s="125">
        <f t="shared" si="689"/>
        <v>189150.04</v>
      </c>
      <c r="BX133" s="140">
        <f t="shared" si="610"/>
        <v>0</v>
      </c>
      <c r="BY133" s="123">
        <f t="shared" si="788"/>
        <v>53459.7</v>
      </c>
      <c r="BZ133" s="148">
        <f t="shared" si="789"/>
        <v>53459.7</v>
      </c>
      <c r="CA133" s="123">
        <f t="shared" si="690"/>
        <v>145708.22</v>
      </c>
      <c r="CB133" s="326">
        <f t="shared" si="691"/>
        <v>79945.7</v>
      </c>
      <c r="CP133" s="294"/>
      <c r="CU133" s="294"/>
    </row>
    <row r="134" spans="1:115" ht="13">
      <c r="A134" s="566" t="e">
        <f t="shared" si="780"/>
        <v>#N/A</v>
      </c>
      <c r="B134" s="636">
        <f t="shared" si="750"/>
        <v>22</v>
      </c>
      <c r="C134" s="558">
        <f t="shared" si="790"/>
        <v>0.1</v>
      </c>
      <c r="D134" s="558">
        <f t="shared" si="791"/>
        <v>0.09</v>
      </c>
      <c r="E134" s="559">
        <f t="shared" si="792"/>
        <v>0</v>
      </c>
      <c r="F134" s="836">
        <f t="shared" si="751"/>
        <v>1</v>
      </c>
      <c r="G134" s="558" t="str">
        <f t="shared" si="752"/>
        <v>Lista</v>
      </c>
      <c r="H134" s="558">
        <f t="shared" si="753"/>
        <v>0.09</v>
      </c>
      <c r="I134" s="559">
        <f t="shared" si="754"/>
        <v>0</v>
      </c>
      <c r="J134" s="1214">
        <f t="shared" si="781"/>
        <v>71</v>
      </c>
      <c r="K134" s="558" t="str">
        <f t="shared" si="782"/>
        <v>Lista</v>
      </c>
      <c r="L134" s="715">
        <f t="shared" si="783"/>
        <v>0.05</v>
      </c>
      <c r="M134" s="1173" t="s">
        <v>1221</v>
      </c>
      <c r="N134" s="1174"/>
      <c r="O134" s="1177"/>
      <c r="P134" s="173">
        <f t="shared" si="565"/>
        <v>0</v>
      </c>
      <c r="Q134" s="561">
        <f t="shared" si="744"/>
        <v>0</v>
      </c>
      <c r="R134" s="1112">
        <f t="shared" si="745"/>
        <v>0</v>
      </c>
      <c r="S134" s="1178"/>
      <c r="T134" s="975"/>
      <c r="U134" s="326"/>
      <c r="V134" s="1177"/>
      <c r="W134" s="173">
        <f t="shared" si="566"/>
        <v>0</v>
      </c>
      <c r="X134" s="561">
        <f t="shared" si="755"/>
        <v>0</v>
      </c>
      <c r="Y134" s="1112">
        <f t="shared" si="756"/>
        <v>0</v>
      </c>
      <c r="Z134" s="1178"/>
      <c r="AA134" s="975"/>
      <c r="AB134" s="326"/>
      <c r="AC134" s="1177"/>
      <c r="AD134" s="173">
        <f t="shared" si="569"/>
        <v>84481.69</v>
      </c>
      <c r="AE134" s="561">
        <f t="shared" si="757"/>
        <v>0</v>
      </c>
      <c r="AF134" s="1112">
        <f t="shared" si="758"/>
        <v>84481.69</v>
      </c>
      <c r="AG134" s="1178"/>
      <c r="AH134" s="975"/>
      <c r="AI134" s="332"/>
      <c r="AJ134" s="140" t="str">
        <f t="shared" si="759"/>
        <v>0</v>
      </c>
      <c r="AK134" s="326">
        <f t="shared" ref="AK134:AM134" si="817">AD134+W134+P134</f>
        <v>84481.69</v>
      </c>
      <c r="AL134" s="326">
        <f t="shared" si="817"/>
        <v>0</v>
      </c>
      <c r="AM134" s="326">
        <f t="shared" si="817"/>
        <v>84481.69</v>
      </c>
      <c r="AN134" s="326">
        <f t="shared" si="574"/>
        <v>84481.69</v>
      </c>
      <c r="AO134" s="98" t="str">
        <f t="shared" si="575"/>
        <v/>
      </c>
      <c r="AP134" s="125"/>
      <c r="AQ134" s="326">
        <f t="shared" si="576"/>
        <v>112537.71</v>
      </c>
      <c r="AR134" s="326">
        <f t="shared" si="761"/>
        <v>0</v>
      </c>
      <c r="AS134" s="123">
        <f t="shared" si="762"/>
        <v>112537.71</v>
      </c>
      <c r="AT134" s="332"/>
      <c r="AU134" s="140">
        <f t="shared" si="579"/>
        <v>175929.82</v>
      </c>
      <c r="AV134" s="326">
        <f t="shared" si="763"/>
        <v>0</v>
      </c>
      <c r="AW134" s="333">
        <f t="shared" si="764"/>
        <v>175929.82</v>
      </c>
      <c r="AX134" s="123"/>
      <c r="AY134" s="123">
        <f t="shared" si="582"/>
        <v>106191</v>
      </c>
      <c r="AZ134" s="123">
        <f t="shared" si="765"/>
        <v>0</v>
      </c>
      <c r="BA134" s="125">
        <f t="shared" si="766"/>
        <v>106191</v>
      </c>
      <c r="BB134" s="1175">
        <f t="shared" ref="BB134:BD134" si="818">SUM(AQ134,AU134,AY134)</f>
        <v>394658.53</v>
      </c>
      <c r="BC134" s="326">
        <f t="shared" si="818"/>
        <v>0</v>
      </c>
      <c r="BD134" s="333">
        <f t="shared" si="818"/>
        <v>394658.53</v>
      </c>
      <c r="BE134" s="100">
        <f t="shared" si="586"/>
        <v>479140.22000000003</v>
      </c>
      <c r="BF134" s="116">
        <f t="shared" ref="BF134:BG134" si="819">BC134+AL134</f>
        <v>0</v>
      </c>
      <c r="BG134" s="119">
        <f t="shared" si="819"/>
        <v>479140.22000000003</v>
      </c>
      <c r="BH134" s="125"/>
      <c r="BI134" s="1041">
        <f t="shared" si="588"/>
        <v>160020.66999999998</v>
      </c>
      <c r="BJ134" s="326">
        <f t="shared" si="769"/>
        <v>10572.11</v>
      </c>
      <c r="BK134" s="1045">
        <f t="shared" si="770"/>
        <v>170592.78</v>
      </c>
      <c r="BL134" s="125"/>
      <c r="BM134" s="140">
        <f t="shared" si="591"/>
        <v>37353.78</v>
      </c>
      <c r="BN134" s="123">
        <f t="shared" si="771"/>
        <v>0</v>
      </c>
      <c r="BO134" s="148">
        <f t="shared" si="772"/>
        <v>37353.78</v>
      </c>
      <c r="BP134" s="123"/>
      <c r="BQ134" s="123">
        <f t="shared" si="594"/>
        <v>63194.03</v>
      </c>
      <c r="BR134" s="123">
        <f t="shared" si="773"/>
        <v>0</v>
      </c>
      <c r="BS134" s="125">
        <f t="shared" si="774"/>
        <v>63194.03</v>
      </c>
      <c r="BT134" s="140">
        <f t="shared" ref="BT134:BV134" si="820">SUM(BQ134,BM134,BI134)</f>
        <v>260568.47999999998</v>
      </c>
      <c r="BU134" s="123">
        <f t="shared" si="820"/>
        <v>10572.11</v>
      </c>
      <c r="BV134" s="148">
        <f t="shared" si="820"/>
        <v>271140.58999999997</v>
      </c>
      <c r="BW134" s="125"/>
      <c r="BX134" s="140">
        <f t="shared" si="610"/>
        <v>0</v>
      </c>
      <c r="BY134" s="123">
        <f t="shared" si="788"/>
        <v>0</v>
      </c>
      <c r="BZ134" s="148">
        <f t="shared" si="789"/>
        <v>0</v>
      </c>
      <c r="CA134" s="123"/>
      <c r="CB134" s="326"/>
      <c r="CP134" s="294"/>
      <c r="CU134" s="294"/>
    </row>
    <row r="135" spans="1:115" ht="13">
      <c r="A135" s="566" t="e">
        <f t="shared" si="780"/>
        <v>#N/A</v>
      </c>
      <c r="B135" s="636">
        <f t="shared" si="750"/>
        <v>22</v>
      </c>
      <c r="C135" s="558">
        <f t="shared" si="790"/>
        <v>0.1</v>
      </c>
      <c r="D135" s="558">
        <f t="shared" si="791"/>
        <v>0.09</v>
      </c>
      <c r="E135" s="559">
        <f t="shared" si="792"/>
        <v>0</v>
      </c>
      <c r="F135" s="836">
        <f t="shared" si="751"/>
        <v>1</v>
      </c>
      <c r="G135" s="558" t="str">
        <f t="shared" si="752"/>
        <v>Lista</v>
      </c>
      <c r="H135" s="558">
        <f t="shared" si="753"/>
        <v>0.09</v>
      </c>
      <c r="I135" s="559">
        <f t="shared" si="754"/>
        <v>0</v>
      </c>
      <c r="J135" s="1214">
        <f t="shared" si="781"/>
        <v>71</v>
      </c>
      <c r="K135" s="558" t="str">
        <f t="shared" si="782"/>
        <v>Lista</v>
      </c>
      <c r="L135" s="715">
        <f t="shared" si="783"/>
        <v>0.05</v>
      </c>
      <c r="M135" s="1173" t="s">
        <v>1222</v>
      </c>
      <c r="N135" s="1174">
        <f t="shared" ref="N135:N144" si="821">IFERROR(VLOOKUP(M135,MARUCA24,3,FALSE),"")</f>
        <v>214403.14</v>
      </c>
      <c r="O135" s="1177">
        <v>1800000</v>
      </c>
      <c r="P135" s="173" t="e">
        <f t="shared" si="565"/>
        <v>#VALUE!</v>
      </c>
      <c r="Q135" s="561" t="str">
        <f t="shared" si="744"/>
        <v/>
      </c>
      <c r="R135" s="1112">
        <f t="shared" si="745"/>
        <v>488099.09</v>
      </c>
      <c r="S135" s="1178"/>
      <c r="T135" s="975"/>
      <c r="U135" s="326">
        <f t="shared" ref="U135:U160" si="822">IFERROR(VLOOKUP(M135,MARUCA24,4,FALSE),"")</f>
        <v>236744.15</v>
      </c>
      <c r="V135" s="1177">
        <v>1800000</v>
      </c>
      <c r="W135" s="173" t="e">
        <f t="shared" si="566"/>
        <v>#VALUE!</v>
      </c>
      <c r="X135" s="561" t="str">
        <f t="shared" si="755"/>
        <v/>
      </c>
      <c r="Y135" s="1112">
        <f t="shared" si="756"/>
        <v>371174.7</v>
      </c>
      <c r="Z135" s="1178"/>
      <c r="AA135" s="975"/>
      <c r="AB135" s="326">
        <f t="shared" ref="AB135:AB160" si="823">IFERROR(VLOOKUP(M135,MARUCA24,5,FALSE),"")</f>
        <v>112785.33</v>
      </c>
      <c r="AC135" s="1177">
        <v>1800000</v>
      </c>
      <c r="AD135" s="173" t="e">
        <f t="shared" si="569"/>
        <v>#VALUE!</v>
      </c>
      <c r="AE135" s="561" t="str">
        <f t="shared" si="757"/>
        <v/>
      </c>
      <c r="AF135" s="1112">
        <f t="shared" si="758"/>
        <v>230615.16</v>
      </c>
      <c r="AG135" s="1178"/>
      <c r="AH135" s="975"/>
      <c r="AI135" s="332">
        <f t="shared" ref="AI135:AI160" si="824">SUM(O135,V135,AC135)</f>
        <v>5400000</v>
      </c>
      <c r="AJ135" s="140">
        <f t="shared" si="759"/>
        <v>1060134.25</v>
      </c>
      <c r="AK135" s="326" t="e">
        <f t="shared" ref="AK135:AM135" si="825">AD135+W135+P135</f>
        <v>#VALUE!</v>
      </c>
      <c r="AL135" s="326" t="e">
        <f t="shared" si="825"/>
        <v>#VALUE!</v>
      </c>
      <c r="AM135" s="326">
        <f t="shared" si="825"/>
        <v>1089888.95</v>
      </c>
      <c r="AN135" s="326">
        <f t="shared" si="574"/>
        <v>29754.699999999953</v>
      </c>
      <c r="AO135" s="98">
        <f t="shared" si="575"/>
        <v>1.0280669169965972</v>
      </c>
      <c r="AP135" s="125">
        <f t="shared" ref="AP135:AP160" si="826">IFERROR(VLOOKUP(M135,MARUCA24,6,FALSE),"")</f>
        <v>181023.64</v>
      </c>
      <c r="AQ135" s="326" t="e">
        <f t="shared" si="576"/>
        <v>#VALUE!</v>
      </c>
      <c r="AR135" s="326" t="str">
        <f t="shared" si="761"/>
        <v/>
      </c>
      <c r="AS135" s="123">
        <f t="shared" si="762"/>
        <v>292578.62</v>
      </c>
      <c r="AT135" s="332">
        <f t="shared" ref="AT135:AT152" si="827">IFERROR(VLOOKUP(M135,MARUCA24,7,FALSE),"")</f>
        <v>275446.09000000003</v>
      </c>
      <c r="AU135" s="140" t="e">
        <f t="shared" si="579"/>
        <v>#VALUE!</v>
      </c>
      <c r="AV135" s="326" t="str">
        <f t="shared" si="763"/>
        <v/>
      </c>
      <c r="AW135" s="333">
        <f t="shared" si="764"/>
        <v>287214.3</v>
      </c>
      <c r="AX135" s="123">
        <f t="shared" ref="AX135:AX152" si="828">IFERROR(VLOOKUP(M135,MARUCA24,8,FALSE),"")</f>
        <v>127118.22</v>
      </c>
      <c r="AY135" s="123" t="e">
        <f t="shared" si="582"/>
        <v>#VALUE!</v>
      </c>
      <c r="AZ135" s="123" t="str">
        <f t="shared" si="765"/>
        <v/>
      </c>
      <c r="BA135" s="125">
        <f t="shared" si="766"/>
        <v>164959.22</v>
      </c>
      <c r="BB135" s="1175" t="e">
        <f t="shared" ref="BB135:BD135" si="829">SUM(AQ135,AU135,AY135)</f>
        <v>#VALUE!</v>
      </c>
      <c r="BC135" s="326">
        <f t="shared" si="829"/>
        <v>0</v>
      </c>
      <c r="BD135" s="333">
        <f t="shared" si="829"/>
        <v>744752.1399999999</v>
      </c>
      <c r="BE135" s="100" t="e">
        <f t="shared" si="586"/>
        <v>#VALUE!</v>
      </c>
      <c r="BF135" s="116" t="e">
        <f t="shared" ref="BF135:BG135" si="830">BC135+AL135</f>
        <v>#VALUE!</v>
      </c>
      <c r="BG135" s="119">
        <f t="shared" si="830"/>
        <v>1834641.0899999999</v>
      </c>
      <c r="BH135" s="125">
        <f t="shared" ref="BH135:BH152" si="831">IFERROR(VLOOKUP(M135,MARUCA24,9,FALSE),"")</f>
        <v>165774.70000000001</v>
      </c>
      <c r="BI135" s="1041" t="e">
        <f t="shared" si="588"/>
        <v>#VALUE!</v>
      </c>
      <c r="BJ135" s="326" t="str">
        <f t="shared" si="769"/>
        <v/>
      </c>
      <c r="BK135" s="1045">
        <f t="shared" si="770"/>
        <v>256123.92</v>
      </c>
      <c r="BL135" s="125">
        <f t="shared" ref="BL135:BL152" si="832">IFERROR(VLOOKUP(M135,MARUCA24,10,FALSE),"")</f>
        <v>282550.03999999998</v>
      </c>
      <c r="BM135" s="140" t="e">
        <f t="shared" si="591"/>
        <v>#VALUE!</v>
      </c>
      <c r="BN135" s="123" t="str">
        <f t="shared" si="771"/>
        <v/>
      </c>
      <c r="BO135" s="148">
        <f t="shared" si="772"/>
        <v>110781.79</v>
      </c>
      <c r="BP135" s="123">
        <f t="shared" ref="BP135:BP152" si="833">IFERROR(VLOOKUP(M135,MARUCA24,11,FALSE),"")</f>
        <v>218438.01</v>
      </c>
      <c r="BQ135" s="123" t="e">
        <f t="shared" si="594"/>
        <v>#VALUE!</v>
      </c>
      <c r="BR135" s="123" t="str">
        <f t="shared" si="773"/>
        <v/>
      </c>
      <c r="BS135" s="125">
        <f t="shared" si="774"/>
        <v>173666.66</v>
      </c>
      <c r="BT135" s="140" t="e">
        <f t="shared" ref="BT135:BV135" si="834">SUM(BQ135,BM135,BI135)</f>
        <v>#VALUE!</v>
      </c>
      <c r="BU135" s="123">
        <f t="shared" si="834"/>
        <v>0</v>
      </c>
      <c r="BV135" s="148">
        <f t="shared" si="834"/>
        <v>540572.37</v>
      </c>
      <c r="BW135" s="125">
        <f t="shared" ref="BW135:BW152" si="835">IFERROR(VLOOKUP(M135,MARUCA24,12,FALSE),"")</f>
        <v>359056.07</v>
      </c>
      <c r="BX135" s="140" t="e">
        <f t="shared" si="610"/>
        <v>#VALUE!</v>
      </c>
      <c r="BY135" s="123" t="str">
        <f t="shared" si="788"/>
        <v/>
      </c>
      <c r="BZ135" s="148">
        <f t="shared" si="789"/>
        <v>235351.18</v>
      </c>
      <c r="CA135" s="123">
        <f t="shared" ref="CA135:CA152" si="836">IFERROR(VLOOKUP(M135,MARUCA24,13,FALSE),"")</f>
        <v>357152.1</v>
      </c>
      <c r="CB135" s="326">
        <f t="shared" ref="CB135:CB152" si="837">IFERROR(VLOOKUP(M135,MARUCA24,14,FALSE),"")</f>
        <v>343926.08</v>
      </c>
      <c r="CP135" s="294"/>
      <c r="CU135" s="294"/>
    </row>
    <row r="136" spans="1:115" ht="13">
      <c r="A136" s="566" t="e">
        <f t="shared" si="780"/>
        <v>#N/A</v>
      </c>
      <c r="B136" s="636">
        <f t="shared" si="750"/>
        <v>22</v>
      </c>
      <c r="C136" s="558">
        <f t="shared" si="790"/>
        <v>0.1</v>
      </c>
      <c r="D136" s="558">
        <f t="shared" si="791"/>
        <v>0.09</v>
      </c>
      <c r="E136" s="559">
        <f t="shared" si="792"/>
        <v>0</v>
      </c>
      <c r="F136" s="836">
        <f t="shared" si="751"/>
        <v>1</v>
      </c>
      <c r="G136" s="558" t="str">
        <f t="shared" si="752"/>
        <v>Lista</v>
      </c>
      <c r="H136" s="558">
        <f t="shared" si="753"/>
        <v>0.09</v>
      </c>
      <c r="I136" s="559">
        <f t="shared" si="754"/>
        <v>0</v>
      </c>
      <c r="J136" s="1214">
        <f t="shared" si="781"/>
        <v>71</v>
      </c>
      <c r="K136" s="558" t="str">
        <f t="shared" si="782"/>
        <v>Lista</v>
      </c>
      <c r="L136" s="715">
        <f t="shared" si="783"/>
        <v>0.05</v>
      </c>
      <c r="M136" s="1173" t="s">
        <v>1223</v>
      </c>
      <c r="N136" s="1174">
        <f t="shared" si="821"/>
        <v>159437.71</v>
      </c>
      <c r="O136" s="1177">
        <v>1800000</v>
      </c>
      <c r="P136" s="173">
        <f t="shared" si="565"/>
        <v>531885.56999999995</v>
      </c>
      <c r="Q136" s="561">
        <f t="shared" si="744"/>
        <v>13200</v>
      </c>
      <c r="R136" s="1112">
        <f t="shared" si="745"/>
        <v>545085.56999999995</v>
      </c>
      <c r="S136" s="1178"/>
      <c r="T136" s="975"/>
      <c r="U136" s="326">
        <f t="shared" si="822"/>
        <v>103956.89</v>
      </c>
      <c r="V136" s="1177">
        <v>1800000</v>
      </c>
      <c r="W136" s="173">
        <f t="shared" si="566"/>
        <v>120538.98</v>
      </c>
      <c r="X136" s="561">
        <f t="shared" si="755"/>
        <v>0</v>
      </c>
      <c r="Y136" s="1112">
        <f t="shared" si="756"/>
        <v>120538.98</v>
      </c>
      <c r="Z136" s="1178"/>
      <c r="AA136" s="975"/>
      <c r="AB136" s="326">
        <f t="shared" si="823"/>
        <v>356943.88</v>
      </c>
      <c r="AC136" s="1177">
        <v>1800000</v>
      </c>
      <c r="AD136" s="173">
        <f t="shared" si="569"/>
        <v>167635.03</v>
      </c>
      <c r="AE136" s="561">
        <f t="shared" si="757"/>
        <v>97529.34</v>
      </c>
      <c r="AF136" s="1112">
        <f t="shared" si="758"/>
        <v>265164.37</v>
      </c>
      <c r="AG136" s="1178"/>
      <c r="AH136" s="975"/>
      <c r="AI136" s="332">
        <f t="shared" si="824"/>
        <v>5400000</v>
      </c>
      <c r="AJ136" s="140">
        <f t="shared" si="759"/>
        <v>897265.22</v>
      </c>
      <c r="AK136" s="326">
        <f t="shared" ref="AK136:AM136" si="838">AD136+W136+P136</f>
        <v>820059.58</v>
      </c>
      <c r="AL136" s="326">
        <f t="shared" si="838"/>
        <v>110729.34</v>
      </c>
      <c r="AM136" s="326">
        <f t="shared" si="838"/>
        <v>930788.91999999993</v>
      </c>
      <c r="AN136" s="326">
        <f t="shared" si="574"/>
        <v>33523.699999999953</v>
      </c>
      <c r="AO136" s="98">
        <f t="shared" si="575"/>
        <v>1.0373620856495473</v>
      </c>
      <c r="AP136" s="125">
        <f t="shared" si="826"/>
        <v>225253.3</v>
      </c>
      <c r="AQ136" s="326">
        <f t="shared" si="576"/>
        <v>106467.12</v>
      </c>
      <c r="AR136" s="326">
        <f t="shared" si="761"/>
        <v>0</v>
      </c>
      <c r="AS136" s="123">
        <f t="shared" si="762"/>
        <v>106467.12</v>
      </c>
      <c r="AT136" s="332">
        <f t="shared" si="827"/>
        <v>173687.34</v>
      </c>
      <c r="AU136" s="140">
        <f t="shared" si="579"/>
        <v>242637.95</v>
      </c>
      <c r="AV136" s="326">
        <f t="shared" si="763"/>
        <v>143794.35999999999</v>
      </c>
      <c r="AW136" s="333">
        <f t="shared" si="764"/>
        <v>386432.31</v>
      </c>
      <c r="AX136" s="123">
        <f t="shared" si="828"/>
        <v>247970.88</v>
      </c>
      <c r="AY136" s="123">
        <f t="shared" si="582"/>
        <v>248944.21999999997</v>
      </c>
      <c r="AZ136" s="123">
        <f t="shared" si="765"/>
        <v>31523.39</v>
      </c>
      <c r="BA136" s="125">
        <f t="shared" si="766"/>
        <v>280467.61</v>
      </c>
      <c r="BB136" s="1175">
        <f t="shared" ref="BB136:BD136" si="839">SUM(AQ136,AU136,AY136)</f>
        <v>598049.29</v>
      </c>
      <c r="BC136" s="326">
        <f t="shared" si="839"/>
        <v>175317.75</v>
      </c>
      <c r="BD136" s="333">
        <f t="shared" si="839"/>
        <v>773367.04</v>
      </c>
      <c r="BE136" s="100">
        <f t="shared" si="586"/>
        <v>1418108.87</v>
      </c>
      <c r="BF136" s="116">
        <f t="shared" ref="BF136:BG136" si="840">BC136+AL136</f>
        <v>286047.08999999997</v>
      </c>
      <c r="BG136" s="119">
        <f t="shared" si="840"/>
        <v>1704155.96</v>
      </c>
      <c r="BH136" s="125">
        <f t="shared" si="831"/>
        <v>346159.86</v>
      </c>
      <c r="BI136" s="1041">
        <f t="shared" si="588"/>
        <v>145431.98000000001</v>
      </c>
      <c r="BJ136" s="326">
        <f t="shared" si="769"/>
        <v>141379.41</v>
      </c>
      <c r="BK136" s="1045">
        <f t="shared" si="770"/>
        <v>286811.39</v>
      </c>
      <c r="BL136" s="125">
        <f t="shared" si="832"/>
        <v>357888.22</v>
      </c>
      <c r="BM136" s="140">
        <f t="shared" si="591"/>
        <v>181305.59</v>
      </c>
      <c r="BN136" s="123">
        <f t="shared" si="771"/>
        <v>232361.96</v>
      </c>
      <c r="BO136" s="148">
        <f t="shared" si="772"/>
        <v>413667.55</v>
      </c>
      <c r="BP136" s="123">
        <f t="shared" si="833"/>
        <v>413796.49</v>
      </c>
      <c r="BQ136" s="123">
        <f t="shared" si="594"/>
        <v>190702.78</v>
      </c>
      <c r="BR136" s="123">
        <f t="shared" si="773"/>
        <v>0</v>
      </c>
      <c r="BS136" s="125">
        <f t="shared" si="774"/>
        <v>190702.78</v>
      </c>
      <c r="BT136" s="140">
        <f t="shared" ref="BT136:BV136" si="841">SUM(BQ136,BM136,BI136)</f>
        <v>517440.35</v>
      </c>
      <c r="BU136" s="123">
        <f t="shared" si="841"/>
        <v>373741.37</v>
      </c>
      <c r="BV136" s="148">
        <f t="shared" si="841"/>
        <v>891181.72</v>
      </c>
      <c r="BW136" s="125">
        <f t="shared" si="835"/>
        <v>322211.90000000002</v>
      </c>
      <c r="BX136" s="140">
        <f t="shared" si="610"/>
        <v>320326.74</v>
      </c>
      <c r="BY136" s="123">
        <f t="shared" si="788"/>
        <v>71589.149999999994</v>
      </c>
      <c r="BZ136" s="148">
        <f t="shared" si="789"/>
        <v>391915.89</v>
      </c>
      <c r="CA136" s="123">
        <f t="shared" si="836"/>
        <v>339434.64</v>
      </c>
      <c r="CB136" s="326">
        <f t="shared" si="837"/>
        <v>235618.68</v>
      </c>
      <c r="CP136" s="294"/>
      <c r="CU136" s="294"/>
    </row>
    <row r="137" spans="1:115" ht="13">
      <c r="A137" s="566" t="e">
        <f t="shared" si="780"/>
        <v>#N/A</v>
      </c>
      <c r="B137" s="636">
        <f t="shared" si="750"/>
        <v>22</v>
      </c>
      <c r="C137" s="558">
        <f t="shared" si="790"/>
        <v>0.1</v>
      </c>
      <c r="D137" s="558">
        <f t="shared" si="791"/>
        <v>0.09</v>
      </c>
      <c r="E137" s="559">
        <f t="shared" si="792"/>
        <v>0</v>
      </c>
      <c r="F137" s="836">
        <f t="shared" si="751"/>
        <v>1</v>
      </c>
      <c r="G137" s="558" t="str">
        <f t="shared" si="752"/>
        <v>Lista</v>
      </c>
      <c r="H137" s="558">
        <f t="shared" si="753"/>
        <v>0.09</v>
      </c>
      <c r="I137" s="559">
        <f t="shared" si="754"/>
        <v>0</v>
      </c>
      <c r="J137" s="1214">
        <f t="shared" si="781"/>
        <v>71</v>
      </c>
      <c r="K137" s="558" t="str">
        <f t="shared" si="782"/>
        <v>Lista</v>
      </c>
      <c r="L137" s="715">
        <f t="shared" si="783"/>
        <v>0.05</v>
      </c>
      <c r="M137" s="1173" t="s">
        <v>1224</v>
      </c>
      <c r="N137" s="1174">
        <f t="shared" si="821"/>
        <v>570216.44999999995</v>
      </c>
      <c r="O137" s="1177">
        <v>1800000</v>
      </c>
      <c r="P137" s="173" t="e">
        <f t="shared" si="565"/>
        <v>#VALUE!</v>
      </c>
      <c r="Q137" s="561" t="str">
        <f t="shared" si="744"/>
        <v/>
      </c>
      <c r="R137" s="1112">
        <f t="shared" si="745"/>
        <v>67674.69</v>
      </c>
      <c r="S137" s="1178"/>
      <c r="T137" s="975"/>
      <c r="U137" s="326">
        <f t="shared" si="822"/>
        <v>431205.53</v>
      </c>
      <c r="V137" s="1177">
        <v>1800000</v>
      </c>
      <c r="W137" s="173" t="e">
        <f t="shared" si="566"/>
        <v>#VALUE!</v>
      </c>
      <c r="X137" s="561" t="str">
        <f t="shared" si="755"/>
        <v/>
      </c>
      <c r="Y137" s="1112">
        <f t="shared" si="756"/>
        <v>122171.49</v>
      </c>
      <c r="Z137" s="1178"/>
      <c r="AA137" s="975"/>
      <c r="AB137" s="326">
        <f t="shared" si="823"/>
        <v>148699.23000000001</v>
      </c>
      <c r="AC137" s="1177">
        <v>1800000</v>
      </c>
      <c r="AD137" s="173" t="e">
        <f t="shared" si="569"/>
        <v>#VALUE!</v>
      </c>
      <c r="AE137" s="561" t="str">
        <f t="shared" si="757"/>
        <v/>
      </c>
      <c r="AF137" s="1112">
        <f t="shared" si="758"/>
        <v>0</v>
      </c>
      <c r="AG137" s="1178"/>
      <c r="AH137" s="975"/>
      <c r="AI137" s="332">
        <f t="shared" si="824"/>
        <v>5400000</v>
      </c>
      <c r="AJ137" s="140">
        <f t="shared" si="759"/>
        <v>1383791.3</v>
      </c>
      <c r="AK137" s="326" t="e">
        <f t="shared" ref="AK137:AM137" si="842">AD137+W137+P137</f>
        <v>#VALUE!</v>
      </c>
      <c r="AL137" s="326" t="e">
        <f t="shared" si="842"/>
        <v>#VALUE!</v>
      </c>
      <c r="AM137" s="326">
        <f t="shared" si="842"/>
        <v>189846.18</v>
      </c>
      <c r="AN137" s="326">
        <f t="shared" si="574"/>
        <v>-1193945.1200000001</v>
      </c>
      <c r="AO137" s="98">
        <f t="shared" si="575"/>
        <v>0.13719278333372958</v>
      </c>
      <c r="AP137" s="125">
        <f t="shared" si="826"/>
        <v>524260.43</v>
      </c>
      <c r="AQ137" s="326" t="e">
        <f t="shared" si="576"/>
        <v>#VALUE!</v>
      </c>
      <c r="AR137" s="326" t="str">
        <f t="shared" si="761"/>
        <v/>
      </c>
      <c r="AS137" s="123">
        <f t="shared" si="762"/>
        <v>333421.31</v>
      </c>
      <c r="AT137" s="332">
        <f t="shared" si="827"/>
        <v>61749.88</v>
      </c>
      <c r="AU137" s="140" t="e">
        <f t="shared" si="579"/>
        <v>#VALUE!</v>
      </c>
      <c r="AV137" s="326" t="str">
        <f t="shared" si="763"/>
        <v/>
      </c>
      <c r="AW137" s="333">
        <f t="shared" si="764"/>
        <v>137983.76999999999</v>
      </c>
      <c r="AX137" s="123">
        <f t="shared" si="828"/>
        <v>290181.89</v>
      </c>
      <c r="AY137" s="123" t="e">
        <f t="shared" si="582"/>
        <v>#VALUE!</v>
      </c>
      <c r="AZ137" s="123" t="str">
        <f t="shared" si="765"/>
        <v/>
      </c>
      <c r="BA137" s="125">
        <f t="shared" si="766"/>
        <v>0</v>
      </c>
      <c r="BB137" s="1175" t="e">
        <f t="shared" ref="BB137:BD137" si="843">SUM(AQ137,AU137,AY137)</f>
        <v>#VALUE!</v>
      </c>
      <c r="BC137" s="326">
        <f t="shared" si="843"/>
        <v>0</v>
      </c>
      <c r="BD137" s="333">
        <f t="shared" si="843"/>
        <v>471405.07999999996</v>
      </c>
      <c r="BE137" s="100" t="e">
        <f t="shared" si="586"/>
        <v>#VALUE!</v>
      </c>
      <c r="BF137" s="116" t="e">
        <f t="shared" ref="BF137:BG137" si="844">BC137+AL137</f>
        <v>#VALUE!</v>
      </c>
      <c r="BG137" s="119">
        <f t="shared" si="844"/>
        <v>661251.26</v>
      </c>
      <c r="BH137" s="125">
        <f t="shared" si="831"/>
        <v>607372.98</v>
      </c>
      <c r="BI137" s="1041" t="e">
        <f t="shared" si="588"/>
        <v>#VALUE!</v>
      </c>
      <c r="BJ137" s="326" t="str">
        <f t="shared" si="769"/>
        <v/>
      </c>
      <c r="BK137" s="1045">
        <f t="shared" si="770"/>
        <v>456646.99</v>
      </c>
      <c r="BL137" s="125">
        <f t="shared" si="832"/>
        <v>1032704.33</v>
      </c>
      <c r="BM137" s="140" t="e">
        <f t="shared" si="591"/>
        <v>#VALUE!</v>
      </c>
      <c r="BN137" s="123" t="str">
        <f t="shared" si="771"/>
        <v/>
      </c>
      <c r="BO137" s="148">
        <f t="shared" si="772"/>
        <v>89317.71</v>
      </c>
      <c r="BP137" s="123">
        <f t="shared" si="833"/>
        <v>168380.29</v>
      </c>
      <c r="BQ137" s="123" t="e">
        <f t="shared" si="594"/>
        <v>#VALUE!</v>
      </c>
      <c r="BR137" s="123" t="str">
        <f t="shared" si="773"/>
        <v/>
      </c>
      <c r="BS137" s="125">
        <f t="shared" si="774"/>
        <v>0</v>
      </c>
      <c r="BT137" s="140" t="e">
        <f t="shared" ref="BT137:BV137" si="845">SUM(BQ137,BM137,BI137)</f>
        <v>#VALUE!</v>
      </c>
      <c r="BU137" s="123">
        <f t="shared" si="845"/>
        <v>0</v>
      </c>
      <c r="BV137" s="148">
        <f t="shared" si="845"/>
        <v>545964.69999999995</v>
      </c>
      <c r="BW137" s="125">
        <f t="shared" si="835"/>
        <v>334236.11</v>
      </c>
      <c r="BX137" s="140" t="e">
        <f t="shared" si="610"/>
        <v>#VALUE!</v>
      </c>
      <c r="BY137" s="123" t="str">
        <f t="shared" si="788"/>
        <v/>
      </c>
      <c r="BZ137" s="148">
        <f t="shared" si="789"/>
        <v>0</v>
      </c>
      <c r="CA137" s="123">
        <f t="shared" si="836"/>
        <v>789528.78</v>
      </c>
      <c r="CB137" s="326">
        <f t="shared" si="837"/>
        <v>260026.41</v>
      </c>
      <c r="CP137" s="294"/>
      <c r="CU137" s="294"/>
    </row>
    <row r="138" spans="1:115" ht="13">
      <c r="A138" s="566" t="e">
        <f t="shared" si="780"/>
        <v>#N/A</v>
      </c>
      <c r="B138" s="636">
        <f t="shared" si="750"/>
        <v>22</v>
      </c>
      <c r="C138" s="558">
        <f t="shared" si="790"/>
        <v>0.1</v>
      </c>
      <c r="D138" s="558">
        <f t="shared" si="791"/>
        <v>0.09</v>
      </c>
      <c r="E138" s="559">
        <f t="shared" si="792"/>
        <v>0</v>
      </c>
      <c r="F138" s="836">
        <f t="shared" si="751"/>
        <v>1</v>
      </c>
      <c r="G138" s="558" t="str">
        <f t="shared" si="752"/>
        <v>Lista</v>
      </c>
      <c r="H138" s="558">
        <f t="shared" si="753"/>
        <v>0.09</v>
      </c>
      <c r="I138" s="559">
        <f t="shared" si="754"/>
        <v>0</v>
      </c>
      <c r="J138" s="1214">
        <f t="shared" si="781"/>
        <v>71</v>
      </c>
      <c r="K138" s="558" t="str">
        <f t="shared" si="782"/>
        <v>Lista</v>
      </c>
      <c r="L138" s="715">
        <f t="shared" si="783"/>
        <v>0.05</v>
      </c>
      <c r="M138" s="1173" t="s">
        <v>1225</v>
      </c>
      <c r="N138" s="1174">
        <f t="shared" si="821"/>
        <v>174033.35</v>
      </c>
      <c r="O138" s="1177">
        <v>1800000</v>
      </c>
      <c r="P138" s="173" t="e">
        <f t="shared" si="565"/>
        <v>#VALUE!</v>
      </c>
      <c r="Q138" s="561" t="str">
        <f t="shared" si="744"/>
        <v/>
      </c>
      <c r="R138" s="1112">
        <f t="shared" si="745"/>
        <v>168674.59</v>
      </c>
      <c r="S138" s="1178"/>
      <c r="T138" s="975"/>
      <c r="U138" s="326">
        <f t="shared" si="822"/>
        <v>306230.38</v>
      </c>
      <c r="V138" s="1177">
        <v>1800000</v>
      </c>
      <c r="W138" s="173" t="e">
        <f t="shared" si="566"/>
        <v>#VALUE!</v>
      </c>
      <c r="X138" s="561" t="str">
        <f t="shared" si="755"/>
        <v/>
      </c>
      <c r="Y138" s="1112">
        <f t="shared" si="756"/>
        <v>266356.34000000003</v>
      </c>
      <c r="Z138" s="1178"/>
      <c r="AA138" s="975"/>
      <c r="AB138" s="326">
        <f t="shared" si="823"/>
        <v>209397.23</v>
      </c>
      <c r="AC138" s="1177">
        <v>1800000</v>
      </c>
      <c r="AD138" s="173" t="e">
        <f t="shared" si="569"/>
        <v>#VALUE!</v>
      </c>
      <c r="AE138" s="561" t="str">
        <f t="shared" si="757"/>
        <v/>
      </c>
      <c r="AF138" s="1112">
        <f t="shared" si="758"/>
        <v>247001.13</v>
      </c>
      <c r="AG138" s="1178"/>
      <c r="AH138" s="975"/>
      <c r="AI138" s="332">
        <f t="shared" si="824"/>
        <v>5400000</v>
      </c>
      <c r="AJ138" s="140">
        <f t="shared" si="759"/>
        <v>905154.64</v>
      </c>
      <c r="AK138" s="326" t="e">
        <f t="shared" ref="AK138:AM138" si="846">AD138+W138+P138</f>
        <v>#VALUE!</v>
      </c>
      <c r="AL138" s="326" t="e">
        <f t="shared" si="846"/>
        <v>#VALUE!</v>
      </c>
      <c r="AM138" s="326">
        <f t="shared" si="846"/>
        <v>682032.06</v>
      </c>
      <c r="AN138" s="326">
        <f t="shared" si="574"/>
        <v>-223122.57999999996</v>
      </c>
      <c r="AO138" s="98">
        <f t="shared" si="575"/>
        <v>0.75349783325421615</v>
      </c>
      <c r="AP138" s="125">
        <f t="shared" si="826"/>
        <v>108168.27</v>
      </c>
      <c r="AQ138" s="326" t="e">
        <f t="shared" si="576"/>
        <v>#VALUE!</v>
      </c>
      <c r="AR138" s="326" t="str">
        <f t="shared" si="761"/>
        <v/>
      </c>
      <c r="AS138" s="123">
        <f t="shared" si="762"/>
        <v>97810.19</v>
      </c>
      <c r="AT138" s="332">
        <f t="shared" si="827"/>
        <v>238670.79</v>
      </c>
      <c r="AU138" s="140" t="e">
        <f t="shared" si="579"/>
        <v>#VALUE!</v>
      </c>
      <c r="AV138" s="326" t="str">
        <f t="shared" si="763"/>
        <v/>
      </c>
      <c r="AW138" s="333">
        <f t="shared" si="764"/>
        <v>239160.15</v>
      </c>
      <c r="AX138" s="123">
        <f t="shared" si="828"/>
        <v>194609.83</v>
      </c>
      <c r="AY138" s="123" t="e">
        <f t="shared" si="582"/>
        <v>#VALUE!</v>
      </c>
      <c r="AZ138" s="123" t="str">
        <f t="shared" si="765"/>
        <v/>
      </c>
      <c r="BA138" s="125">
        <f t="shared" si="766"/>
        <v>234561.86</v>
      </c>
      <c r="BB138" s="1175" t="e">
        <f t="shared" ref="BB138:BD138" si="847">SUM(AQ138,AU138,AY138)</f>
        <v>#VALUE!</v>
      </c>
      <c r="BC138" s="326">
        <f t="shared" si="847"/>
        <v>0</v>
      </c>
      <c r="BD138" s="333">
        <f t="shared" si="847"/>
        <v>571532.19999999995</v>
      </c>
      <c r="BE138" s="100" t="e">
        <f t="shared" si="586"/>
        <v>#VALUE!</v>
      </c>
      <c r="BF138" s="116" t="e">
        <f t="shared" ref="BF138:BG138" si="848">BC138+AL138</f>
        <v>#VALUE!</v>
      </c>
      <c r="BG138" s="119">
        <f t="shared" si="848"/>
        <v>1253564.26</v>
      </c>
      <c r="BH138" s="125">
        <f t="shared" si="831"/>
        <v>247247.75</v>
      </c>
      <c r="BI138" s="1041" t="e">
        <f t="shared" si="588"/>
        <v>#VALUE!</v>
      </c>
      <c r="BJ138" s="326" t="str">
        <f t="shared" si="769"/>
        <v/>
      </c>
      <c r="BK138" s="1045">
        <f t="shared" si="770"/>
        <v>140476.64000000001</v>
      </c>
      <c r="BL138" s="125">
        <f t="shared" si="832"/>
        <v>229643.69</v>
      </c>
      <c r="BM138" s="140" t="e">
        <f t="shared" si="591"/>
        <v>#VALUE!</v>
      </c>
      <c r="BN138" s="123" t="str">
        <f t="shared" si="771"/>
        <v/>
      </c>
      <c r="BO138" s="148">
        <f t="shared" si="772"/>
        <v>375363.39</v>
      </c>
      <c r="BP138" s="123">
        <f t="shared" si="833"/>
        <v>248085.68</v>
      </c>
      <c r="BQ138" s="123" t="e">
        <f t="shared" si="594"/>
        <v>#VALUE!</v>
      </c>
      <c r="BR138" s="123" t="str">
        <f t="shared" si="773"/>
        <v/>
      </c>
      <c r="BS138" s="125">
        <f t="shared" si="774"/>
        <v>255618.63</v>
      </c>
      <c r="BT138" s="140" t="e">
        <f t="shared" ref="BT138:BV138" si="849">SUM(BQ138,BM138,BI138)</f>
        <v>#VALUE!</v>
      </c>
      <c r="BU138" s="123">
        <f t="shared" si="849"/>
        <v>0</v>
      </c>
      <c r="BV138" s="148">
        <f t="shared" si="849"/>
        <v>771458.66</v>
      </c>
      <c r="BW138" s="125">
        <f t="shared" si="835"/>
        <v>313845.65999999997</v>
      </c>
      <c r="BX138" s="140" t="e">
        <f t="shared" si="610"/>
        <v>#VALUE!</v>
      </c>
      <c r="BY138" s="123" t="str">
        <f t="shared" si="788"/>
        <v/>
      </c>
      <c r="BZ138" s="148">
        <f t="shared" si="789"/>
        <v>436306.25</v>
      </c>
      <c r="CA138" s="123">
        <f t="shared" si="836"/>
        <v>315201.11</v>
      </c>
      <c r="CB138" s="326">
        <f t="shared" si="837"/>
        <v>276107.87</v>
      </c>
      <c r="CP138" s="294"/>
      <c r="CU138" s="294"/>
    </row>
    <row r="139" spans="1:115" ht="13">
      <c r="A139" s="566" t="e">
        <f t="shared" si="780"/>
        <v>#N/A</v>
      </c>
      <c r="B139" s="636">
        <f t="shared" si="750"/>
        <v>22</v>
      </c>
      <c r="C139" s="558">
        <f t="shared" si="790"/>
        <v>0.1</v>
      </c>
      <c r="D139" s="558">
        <f t="shared" si="791"/>
        <v>0.09</v>
      </c>
      <c r="E139" s="559">
        <f t="shared" si="792"/>
        <v>0</v>
      </c>
      <c r="F139" s="836">
        <f t="shared" si="751"/>
        <v>1</v>
      </c>
      <c r="G139" s="558" t="str">
        <f t="shared" si="752"/>
        <v>Lista</v>
      </c>
      <c r="H139" s="558">
        <f t="shared" si="753"/>
        <v>0.09</v>
      </c>
      <c r="I139" s="559">
        <f t="shared" si="754"/>
        <v>0</v>
      </c>
      <c r="J139" s="1214">
        <f t="shared" si="781"/>
        <v>71</v>
      </c>
      <c r="K139" s="558" t="str">
        <f t="shared" si="782"/>
        <v>Lista</v>
      </c>
      <c r="L139" s="715">
        <f t="shared" si="783"/>
        <v>0.05</v>
      </c>
      <c r="M139" s="1173" t="s">
        <v>1226</v>
      </c>
      <c r="N139" s="1174">
        <f t="shared" si="821"/>
        <v>317657.31</v>
      </c>
      <c r="O139" s="1177">
        <v>1800000</v>
      </c>
      <c r="P139" s="173" t="e">
        <f t="shared" si="565"/>
        <v>#VALUE!</v>
      </c>
      <c r="Q139" s="561" t="str">
        <f t="shared" si="744"/>
        <v/>
      </c>
      <c r="R139" s="1112">
        <f t="shared" si="745"/>
        <v>349860.33</v>
      </c>
      <c r="S139" s="1178"/>
      <c r="T139" s="975"/>
      <c r="U139" s="326">
        <f t="shared" si="822"/>
        <v>440787.33</v>
      </c>
      <c r="V139" s="1177">
        <v>1800000</v>
      </c>
      <c r="W139" s="173" t="e">
        <f t="shared" si="566"/>
        <v>#VALUE!</v>
      </c>
      <c r="X139" s="561" t="str">
        <f t="shared" si="755"/>
        <v/>
      </c>
      <c r="Y139" s="1112">
        <f t="shared" si="756"/>
        <v>322269.15000000002</v>
      </c>
      <c r="Z139" s="1178"/>
      <c r="AA139" s="975"/>
      <c r="AB139" s="326">
        <f t="shared" si="823"/>
        <v>252190.28</v>
      </c>
      <c r="AC139" s="1177">
        <v>1800000</v>
      </c>
      <c r="AD139" s="173" t="e">
        <f t="shared" si="569"/>
        <v>#VALUE!</v>
      </c>
      <c r="AE139" s="561" t="str">
        <f t="shared" si="757"/>
        <v/>
      </c>
      <c r="AF139" s="1112">
        <f t="shared" si="758"/>
        <v>250812.78</v>
      </c>
      <c r="AG139" s="1178"/>
      <c r="AH139" s="975"/>
      <c r="AI139" s="332">
        <f t="shared" si="824"/>
        <v>5400000</v>
      </c>
      <c r="AJ139" s="140">
        <f t="shared" si="759"/>
        <v>1102597.68</v>
      </c>
      <c r="AK139" s="326" t="e">
        <f t="shared" ref="AK139:AM139" si="850">AD139+W139+P139</f>
        <v>#VALUE!</v>
      </c>
      <c r="AL139" s="326" t="e">
        <f t="shared" si="850"/>
        <v>#VALUE!</v>
      </c>
      <c r="AM139" s="326">
        <f t="shared" si="850"/>
        <v>922942.26</v>
      </c>
      <c r="AN139" s="326">
        <f t="shared" si="574"/>
        <v>-179655.41999999993</v>
      </c>
      <c r="AO139" s="98">
        <f t="shared" si="575"/>
        <v>0.8370616742092184</v>
      </c>
      <c r="AP139" s="125">
        <f t="shared" si="826"/>
        <v>167289.01</v>
      </c>
      <c r="AQ139" s="326" t="e">
        <f t="shared" si="576"/>
        <v>#VALUE!</v>
      </c>
      <c r="AR139" s="326" t="str">
        <f t="shared" si="761"/>
        <v/>
      </c>
      <c r="AS139" s="123">
        <f t="shared" si="762"/>
        <v>150115.13</v>
      </c>
      <c r="AT139" s="332">
        <f t="shared" si="827"/>
        <v>445585.73</v>
      </c>
      <c r="AU139" s="140" t="e">
        <f t="shared" si="579"/>
        <v>#VALUE!</v>
      </c>
      <c r="AV139" s="326" t="str">
        <f t="shared" si="763"/>
        <v/>
      </c>
      <c r="AW139" s="333">
        <f t="shared" si="764"/>
        <v>283857.24</v>
      </c>
      <c r="AX139" s="123">
        <f t="shared" si="828"/>
        <v>205279.45</v>
      </c>
      <c r="AY139" s="123" t="e">
        <f t="shared" si="582"/>
        <v>#VALUE!</v>
      </c>
      <c r="AZ139" s="123" t="str">
        <f t="shared" si="765"/>
        <v/>
      </c>
      <c r="BA139" s="125">
        <f t="shared" si="766"/>
        <v>344252.72</v>
      </c>
      <c r="BB139" s="1175" t="e">
        <f t="shared" ref="BB139:BD139" si="851">SUM(AQ139,AU139,AY139)</f>
        <v>#VALUE!</v>
      </c>
      <c r="BC139" s="326">
        <f t="shared" si="851"/>
        <v>0</v>
      </c>
      <c r="BD139" s="333">
        <f t="shared" si="851"/>
        <v>778225.09</v>
      </c>
      <c r="BE139" s="100" t="e">
        <f t="shared" si="586"/>
        <v>#VALUE!</v>
      </c>
      <c r="BF139" s="116" t="e">
        <f t="shared" ref="BF139:BG139" si="852">BC139+AL139</f>
        <v>#VALUE!</v>
      </c>
      <c r="BG139" s="119">
        <f t="shared" si="852"/>
        <v>1701167.35</v>
      </c>
      <c r="BH139" s="125">
        <f t="shared" si="831"/>
        <v>165441.9</v>
      </c>
      <c r="BI139" s="1041" t="e">
        <f t="shared" si="588"/>
        <v>#VALUE!</v>
      </c>
      <c r="BJ139" s="326" t="str">
        <f t="shared" si="769"/>
        <v/>
      </c>
      <c r="BK139" s="1045">
        <f t="shared" si="770"/>
        <v>74156.22</v>
      </c>
      <c r="BL139" s="125">
        <f t="shared" si="832"/>
        <v>152474.35999999999</v>
      </c>
      <c r="BM139" s="140" t="e">
        <f t="shared" si="591"/>
        <v>#VALUE!</v>
      </c>
      <c r="BN139" s="123" t="str">
        <f t="shared" si="771"/>
        <v/>
      </c>
      <c r="BO139" s="148">
        <f t="shared" si="772"/>
        <v>82001.83</v>
      </c>
      <c r="BP139" s="123">
        <f t="shared" si="833"/>
        <v>321237.17</v>
      </c>
      <c r="BQ139" s="123" t="e">
        <f t="shared" si="594"/>
        <v>#VALUE!</v>
      </c>
      <c r="BR139" s="123" t="str">
        <f t="shared" si="773"/>
        <v/>
      </c>
      <c r="BS139" s="125">
        <f t="shared" si="774"/>
        <v>0</v>
      </c>
      <c r="BT139" s="140" t="e">
        <f t="shared" ref="BT139:BV139" si="853">SUM(BQ139,BM139,BI139)</f>
        <v>#VALUE!</v>
      </c>
      <c r="BU139" s="123">
        <f t="shared" si="853"/>
        <v>0</v>
      </c>
      <c r="BV139" s="148">
        <f t="shared" si="853"/>
        <v>156158.04999999999</v>
      </c>
      <c r="BW139" s="125">
        <f t="shared" si="835"/>
        <v>320965.3</v>
      </c>
      <c r="BX139" s="140" t="e">
        <f t="shared" si="610"/>
        <v>#VALUE!</v>
      </c>
      <c r="BY139" s="123" t="str">
        <f t="shared" si="788"/>
        <v/>
      </c>
      <c r="BZ139" s="148">
        <f t="shared" si="789"/>
        <v>68464.5</v>
      </c>
      <c r="CA139" s="123">
        <f t="shared" si="836"/>
        <v>432734.5</v>
      </c>
      <c r="CB139" s="326">
        <f t="shared" si="837"/>
        <v>348897.89</v>
      </c>
      <c r="CP139" s="294"/>
      <c r="CU139" s="294"/>
    </row>
    <row r="140" spans="1:115" ht="13">
      <c r="A140" s="566" t="e">
        <f t="shared" si="780"/>
        <v>#N/A</v>
      </c>
      <c r="B140" s="636">
        <f t="shared" si="750"/>
        <v>22</v>
      </c>
      <c r="C140" s="558">
        <f t="shared" si="790"/>
        <v>0.1</v>
      </c>
      <c r="D140" s="558">
        <f t="shared" si="791"/>
        <v>0.09</v>
      </c>
      <c r="E140" s="559">
        <f t="shared" si="792"/>
        <v>0</v>
      </c>
      <c r="F140" s="836">
        <f t="shared" si="751"/>
        <v>1</v>
      </c>
      <c r="G140" s="558" t="str">
        <f t="shared" si="752"/>
        <v>Lista</v>
      </c>
      <c r="H140" s="558">
        <f t="shared" si="753"/>
        <v>0.09</v>
      </c>
      <c r="I140" s="559">
        <f t="shared" si="754"/>
        <v>0</v>
      </c>
      <c r="J140" s="1214">
        <f t="shared" si="781"/>
        <v>71</v>
      </c>
      <c r="K140" s="558" t="str">
        <f t="shared" si="782"/>
        <v>Lista</v>
      </c>
      <c r="L140" s="715">
        <f t="shared" si="783"/>
        <v>0.05</v>
      </c>
      <c r="M140" s="1173" t="s">
        <v>1227</v>
      </c>
      <c r="N140" s="1174">
        <f t="shared" si="821"/>
        <v>0</v>
      </c>
      <c r="O140" s="1177">
        <v>1800000</v>
      </c>
      <c r="P140" s="173">
        <f t="shared" si="565"/>
        <v>272022.24</v>
      </c>
      <c r="Q140" s="561">
        <f t="shared" si="744"/>
        <v>0</v>
      </c>
      <c r="R140" s="1112">
        <f t="shared" si="745"/>
        <v>272022.24</v>
      </c>
      <c r="S140" s="1178"/>
      <c r="T140" s="975"/>
      <c r="U140" s="326">
        <f t="shared" si="822"/>
        <v>0</v>
      </c>
      <c r="V140" s="1177">
        <v>1800000</v>
      </c>
      <c r="W140" s="173">
        <f t="shared" si="566"/>
        <v>289145.49</v>
      </c>
      <c r="X140" s="561">
        <f t="shared" si="755"/>
        <v>0</v>
      </c>
      <c r="Y140" s="1112">
        <f t="shared" si="756"/>
        <v>289145.49</v>
      </c>
      <c r="Z140" s="1178"/>
      <c r="AA140" s="975"/>
      <c r="AB140" s="326">
        <f t="shared" si="823"/>
        <v>0</v>
      </c>
      <c r="AC140" s="1177">
        <v>1800000</v>
      </c>
      <c r="AD140" s="173">
        <f t="shared" si="569"/>
        <v>255833.91</v>
      </c>
      <c r="AE140" s="561">
        <f t="shared" si="757"/>
        <v>0</v>
      </c>
      <c r="AF140" s="1112">
        <f t="shared" si="758"/>
        <v>255833.91</v>
      </c>
      <c r="AG140" s="1178"/>
      <c r="AH140" s="975"/>
      <c r="AI140" s="332">
        <f t="shared" si="824"/>
        <v>5400000</v>
      </c>
      <c r="AJ140" s="140">
        <f t="shared" si="759"/>
        <v>345120.45</v>
      </c>
      <c r="AK140" s="326">
        <f t="shared" ref="AK140:AM140" si="854">AD140+W140+P140</f>
        <v>817001.64</v>
      </c>
      <c r="AL140" s="326">
        <f t="shared" si="854"/>
        <v>0</v>
      </c>
      <c r="AM140" s="326">
        <f t="shared" si="854"/>
        <v>817001.64</v>
      </c>
      <c r="AN140" s="326">
        <f t="shared" si="574"/>
        <v>471881.19</v>
      </c>
      <c r="AO140" s="98">
        <f t="shared" si="575"/>
        <v>2.367294201198451</v>
      </c>
      <c r="AP140" s="125">
        <f t="shared" si="826"/>
        <v>0</v>
      </c>
      <c r="AQ140" s="326">
        <f t="shared" si="576"/>
        <v>149567.85</v>
      </c>
      <c r="AR140" s="326">
        <f t="shared" si="761"/>
        <v>0</v>
      </c>
      <c r="AS140" s="123">
        <f t="shared" si="762"/>
        <v>149567.85</v>
      </c>
      <c r="AT140" s="332">
        <f t="shared" si="827"/>
        <v>0</v>
      </c>
      <c r="AU140" s="140">
        <f t="shared" si="579"/>
        <v>206874.55</v>
      </c>
      <c r="AV140" s="326">
        <f t="shared" si="763"/>
        <v>0</v>
      </c>
      <c r="AW140" s="333">
        <f t="shared" si="764"/>
        <v>206874.55</v>
      </c>
      <c r="AX140" s="123">
        <f t="shared" si="828"/>
        <v>0</v>
      </c>
      <c r="AY140" s="123">
        <f t="shared" si="582"/>
        <v>214269.97999999998</v>
      </c>
      <c r="AZ140" s="123">
        <f t="shared" si="765"/>
        <v>28586.14</v>
      </c>
      <c r="BA140" s="125">
        <f t="shared" si="766"/>
        <v>242856.12</v>
      </c>
      <c r="BB140" s="1175">
        <f t="shared" ref="BB140:BD140" si="855">SUM(AQ140,AU140,AY140)</f>
        <v>570712.38</v>
      </c>
      <c r="BC140" s="326">
        <f t="shared" si="855"/>
        <v>28586.14</v>
      </c>
      <c r="BD140" s="333">
        <f t="shared" si="855"/>
        <v>599298.52</v>
      </c>
      <c r="BE140" s="100">
        <f t="shared" si="586"/>
        <v>1387714.02</v>
      </c>
      <c r="BF140" s="116">
        <f t="shared" ref="BF140:BG140" si="856">BC140+AL140</f>
        <v>28586.14</v>
      </c>
      <c r="BG140" s="119">
        <f t="shared" si="856"/>
        <v>1416300.1600000001</v>
      </c>
      <c r="BH140" s="125">
        <f t="shared" si="831"/>
        <v>0</v>
      </c>
      <c r="BI140" s="1041">
        <f t="shared" si="588"/>
        <v>77919.39</v>
      </c>
      <c r="BJ140" s="326">
        <f t="shared" si="769"/>
        <v>0</v>
      </c>
      <c r="BK140" s="1045">
        <f t="shared" si="770"/>
        <v>77919.39</v>
      </c>
      <c r="BL140" s="125">
        <f t="shared" si="832"/>
        <v>0</v>
      </c>
      <c r="BM140" s="140">
        <f t="shared" si="591"/>
        <v>208517.5</v>
      </c>
      <c r="BN140" s="123">
        <f t="shared" si="771"/>
        <v>0</v>
      </c>
      <c r="BO140" s="148">
        <f t="shared" si="772"/>
        <v>208517.5</v>
      </c>
      <c r="BP140" s="123">
        <f t="shared" si="833"/>
        <v>0</v>
      </c>
      <c r="BQ140" s="123">
        <f t="shared" si="594"/>
        <v>0</v>
      </c>
      <c r="BR140" s="123">
        <f t="shared" si="773"/>
        <v>0</v>
      </c>
      <c r="BS140" s="125">
        <f t="shared" si="774"/>
        <v>0</v>
      </c>
      <c r="BT140" s="140">
        <f t="shared" ref="BT140:BV140" si="857">SUM(BQ140,BM140,BI140)</f>
        <v>286436.89</v>
      </c>
      <c r="BU140" s="123">
        <f t="shared" si="857"/>
        <v>0</v>
      </c>
      <c r="BV140" s="148">
        <f t="shared" si="857"/>
        <v>286436.89</v>
      </c>
      <c r="BW140" s="125">
        <f t="shared" si="835"/>
        <v>0</v>
      </c>
      <c r="BX140" s="140">
        <f t="shared" si="610"/>
        <v>141790.9</v>
      </c>
      <c r="BY140" s="123">
        <f t="shared" si="788"/>
        <v>0</v>
      </c>
      <c r="BZ140" s="148">
        <f t="shared" si="789"/>
        <v>141790.9</v>
      </c>
      <c r="CA140" s="123">
        <f t="shared" si="836"/>
        <v>0</v>
      </c>
      <c r="CB140" s="326">
        <f t="shared" si="837"/>
        <v>345120.45</v>
      </c>
      <c r="CP140" s="294"/>
      <c r="CU140" s="294"/>
    </row>
    <row r="141" spans="1:115" ht="13">
      <c r="A141" s="566" t="e">
        <f t="shared" si="780"/>
        <v>#N/A</v>
      </c>
      <c r="B141" s="636">
        <f t="shared" si="750"/>
        <v>20</v>
      </c>
      <c r="C141" s="558">
        <f t="shared" si="790"/>
        <v>0.05</v>
      </c>
      <c r="D141" s="558">
        <f t="shared" si="791"/>
        <v>0.09</v>
      </c>
      <c r="E141" s="559">
        <f t="shared" si="792"/>
        <v>0</v>
      </c>
      <c r="F141" s="836">
        <f t="shared" si="751"/>
        <v>1</v>
      </c>
      <c r="G141" s="558" t="str">
        <f t="shared" si="752"/>
        <v>Lista</v>
      </c>
      <c r="H141" s="558">
        <f t="shared" si="753"/>
        <v>0.09</v>
      </c>
      <c r="I141" s="559">
        <f t="shared" si="754"/>
        <v>0</v>
      </c>
      <c r="J141" s="1214">
        <f t="shared" si="781"/>
        <v>71</v>
      </c>
      <c r="K141" s="558" t="str">
        <f t="shared" si="782"/>
        <v>Lista</v>
      </c>
      <c r="L141" s="715">
        <f t="shared" si="783"/>
        <v>0.05</v>
      </c>
      <c r="M141" s="1173" t="s">
        <v>1228</v>
      </c>
      <c r="N141" s="1174">
        <f t="shared" si="821"/>
        <v>165683.98000000001</v>
      </c>
      <c r="O141" s="1177">
        <v>1800000</v>
      </c>
      <c r="P141" s="173">
        <f t="shared" si="565"/>
        <v>0</v>
      </c>
      <c r="Q141" s="561">
        <f t="shared" si="744"/>
        <v>0</v>
      </c>
      <c r="R141" s="1112">
        <f t="shared" si="745"/>
        <v>0</v>
      </c>
      <c r="S141" s="1178"/>
      <c r="T141" s="975"/>
      <c r="U141" s="326">
        <f t="shared" si="822"/>
        <v>184351.04</v>
      </c>
      <c r="V141" s="1177">
        <v>1800000</v>
      </c>
      <c r="W141" s="173">
        <f t="shared" si="566"/>
        <v>152831.85999999999</v>
      </c>
      <c r="X141" s="561">
        <f t="shared" si="755"/>
        <v>93443.48</v>
      </c>
      <c r="Y141" s="1112">
        <f t="shared" si="756"/>
        <v>246275.34</v>
      </c>
      <c r="Z141" s="1178"/>
      <c r="AA141" s="975"/>
      <c r="AB141" s="326">
        <f t="shared" si="823"/>
        <v>207521.05</v>
      </c>
      <c r="AC141" s="1177">
        <v>1800000</v>
      </c>
      <c r="AD141" s="173">
        <f t="shared" si="569"/>
        <v>135361.27000000002</v>
      </c>
      <c r="AE141" s="561">
        <f t="shared" si="757"/>
        <v>75825.58</v>
      </c>
      <c r="AF141" s="1112">
        <f t="shared" si="758"/>
        <v>211186.85</v>
      </c>
      <c r="AG141" s="1178"/>
      <c r="AH141" s="975"/>
      <c r="AI141" s="332">
        <f t="shared" si="824"/>
        <v>5400000</v>
      </c>
      <c r="AJ141" s="140">
        <f t="shared" si="759"/>
        <v>830910.13</v>
      </c>
      <c r="AK141" s="326">
        <f t="shared" ref="AK141:AM141" si="858">AD141+W141+P141</f>
        <v>288193.13</v>
      </c>
      <c r="AL141" s="326">
        <f t="shared" si="858"/>
        <v>169269.06</v>
      </c>
      <c r="AM141" s="326">
        <f t="shared" si="858"/>
        <v>457462.19</v>
      </c>
      <c r="AN141" s="326">
        <f t="shared" si="574"/>
        <v>-373447.94</v>
      </c>
      <c r="AO141" s="98">
        <f t="shared" si="575"/>
        <v>0.55055555767505204</v>
      </c>
      <c r="AP141" s="125">
        <f t="shared" si="826"/>
        <v>220850.6</v>
      </c>
      <c r="AQ141" s="326">
        <f t="shared" si="576"/>
        <v>81446.2</v>
      </c>
      <c r="AR141" s="326">
        <f t="shared" si="761"/>
        <v>30205.94</v>
      </c>
      <c r="AS141" s="123">
        <f t="shared" si="762"/>
        <v>111652.14</v>
      </c>
      <c r="AT141" s="332">
        <f t="shared" si="827"/>
        <v>0</v>
      </c>
      <c r="AU141" s="140">
        <f t="shared" si="579"/>
        <v>39624.580000000016</v>
      </c>
      <c r="AV141" s="326">
        <f t="shared" si="763"/>
        <v>105553.87</v>
      </c>
      <c r="AW141" s="333">
        <f t="shared" si="764"/>
        <v>145178.45000000001</v>
      </c>
      <c r="AX141" s="123">
        <f t="shared" si="828"/>
        <v>178147.05</v>
      </c>
      <c r="AY141" s="123">
        <f t="shared" si="582"/>
        <v>133671.43</v>
      </c>
      <c r="AZ141" s="123">
        <f t="shared" si="765"/>
        <v>89689.35</v>
      </c>
      <c r="BA141" s="125">
        <f t="shared" si="766"/>
        <v>223360.78</v>
      </c>
      <c r="BB141" s="1175">
        <f t="shared" ref="BB141:BD141" si="859">SUM(AQ141,AU141,AY141)</f>
        <v>254742.21000000002</v>
      </c>
      <c r="BC141" s="326">
        <f t="shared" si="859"/>
        <v>225449.16</v>
      </c>
      <c r="BD141" s="333">
        <f t="shared" si="859"/>
        <v>480191.37</v>
      </c>
      <c r="BE141" s="100">
        <f t="shared" si="586"/>
        <v>542935.34000000008</v>
      </c>
      <c r="BF141" s="116">
        <f t="shared" ref="BF141:BG141" si="860">BC141+AL141</f>
        <v>394718.22</v>
      </c>
      <c r="BG141" s="119">
        <f t="shared" si="860"/>
        <v>937653.56</v>
      </c>
      <c r="BH141" s="125">
        <f t="shared" si="831"/>
        <v>370810.93</v>
      </c>
      <c r="BI141" s="1041">
        <f t="shared" si="588"/>
        <v>24764.420000000013</v>
      </c>
      <c r="BJ141" s="326">
        <f t="shared" si="769"/>
        <v>136583.65</v>
      </c>
      <c r="BK141" s="1045">
        <f t="shared" si="770"/>
        <v>161348.07</v>
      </c>
      <c r="BL141" s="125">
        <f t="shared" si="832"/>
        <v>146335.01</v>
      </c>
      <c r="BM141" s="140">
        <f t="shared" si="591"/>
        <v>125334.33</v>
      </c>
      <c r="BN141" s="123">
        <f t="shared" si="771"/>
        <v>114428.79</v>
      </c>
      <c r="BO141" s="148">
        <f t="shared" si="772"/>
        <v>239763.12</v>
      </c>
      <c r="BP141" s="123">
        <f t="shared" si="833"/>
        <v>322632.98</v>
      </c>
      <c r="BQ141" s="123">
        <f t="shared" si="594"/>
        <v>2721.2700000000186</v>
      </c>
      <c r="BR141" s="123">
        <f t="shared" si="773"/>
        <v>181150.99</v>
      </c>
      <c r="BS141" s="125">
        <f t="shared" si="774"/>
        <v>183872.26</v>
      </c>
      <c r="BT141" s="140">
        <f t="shared" ref="BT141:BV141" si="861">SUM(BQ141,BM141,BI141)</f>
        <v>152820.02000000002</v>
      </c>
      <c r="BU141" s="123">
        <f t="shared" si="861"/>
        <v>432163.42999999993</v>
      </c>
      <c r="BV141" s="148">
        <f t="shared" si="861"/>
        <v>584983.44999999995</v>
      </c>
      <c r="BW141" s="125">
        <f t="shared" si="835"/>
        <v>373549.44</v>
      </c>
      <c r="BX141" s="140">
        <f t="shared" si="610"/>
        <v>25900.510000000009</v>
      </c>
      <c r="BY141" s="123">
        <f t="shared" si="788"/>
        <v>133783.56</v>
      </c>
      <c r="BZ141" s="148">
        <f t="shared" si="789"/>
        <v>159684.07</v>
      </c>
      <c r="CA141" s="123">
        <f t="shared" si="836"/>
        <v>173100.05</v>
      </c>
      <c r="CB141" s="326">
        <f t="shared" si="837"/>
        <v>284260.64</v>
      </c>
      <c r="CP141" s="294"/>
      <c r="CU141" s="294"/>
    </row>
    <row r="142" spans="1:115" ht="13">
      <c r="A142" s="566" t="e">
        <f t="shared" si="780"/>
        <v>#N/A</v>
      </c>
      <c r="B142" s="636">
        <f t="shared" si="750"/>
        <v>20</v>
      </c>
      <c r="C142" s="558">
        <f t="shared" si="790"/>
        <v>0.05</v>
      </c>
      <c r="D142" s="558">
        <f t="shared" si="791"/>
        <v>0.09</v>
      </c>
      <c r="E142" s="559">
        <f t="shared" si="792"/>
        <v>0</v>
      </c>
      <c r="F142" s="836">
        <f t="shared" si="751"/>
        <v>1</v>
      </c>
      <c r="G142" s="558" t="str">
        <f t="shared" si="752"/>
        <v>Lista</v>
      </c>
      <c r="H142" s="558">
        <f t="shared" si="753"/>
        <v>0.09</v>
      </c>
      <c r="I142" s="559">
        <f t="shared" si="754"/>
        <v>0</v>
      </c>
      <c r="J142" s="1214">
        <f t="shared" si="781"/>
        <v>71</v>
      </c>
      <c r="K142" s="558" t="str">
        <f t="shared" si="782"/>
        <v>Lista</v>
      </c>
      <c r="L142" s="715">
        <f t="shared" si="783"/>
        <v>0.05</v>
      </c>
      <c r="M142" s="1173" t="s">
        <v>1229</v>
      </c>
      <c r="N142" s="1174">
        <f t="shared" si="821"/>
        <v>0</v>
      </c>
      <c r="O142" s="1177">
        <v>1800000</v>
      </c>
      <c r="P142" s="173" t="e">
        <f t="shared" si="565"/>
        <v>#VALUE!</v>
      </c>
      <c r="Q142" s="561" t="str">
        <f t="shared" si="744"/>
        <v/>
      </c>
      <c r="R142" s="1112">
        <f t="shared" si="745"/>
        <v>26584.29</v>
      </c>
      <c r="S142" s="1178"/>
      <c r="T142" s="975"/>
      <c r="U142" s="326">
        <f t="shared" si="822"/>
        <v>0</v>
      </c>
      <c r="V142" s="1177">
        <v>1800000</v>
      </c>
      <c r="W142" s="173" t="e">
        <f t="shared" si="566"/>
        <v>#VALUE!</v>
      </c>
      <c r="X142" s="561" t="str">
        <f t="shared" si="755"/>
        <v/>
      </c>
      <c r="Y142" s="1112">
        <f t="shared" si="756"/>
        <v>116623.61</v>
      </c>
      <c r="Z142" s="1178"/>
      <c r="AA142" s="975"/>
      <c r="AB142" s="326">
        <f t="shared" si="823"/>
        <v>0</v>
      </c>
      <c r="AC142" s="1177">
        <v>1800000</v>
      </c>
      <c r="AD142" s="173" t="e">
        <f t="shared" si="569"/>
        <v>#VALUE!</v>
      </c>
      <c r="AE142" s="561" t="str">
        <f t="shared" si="757"/>
        <v/>
      </c>
      <c r="AF142" s="1112">
        <f t="shared" si="758"/>
        <v>80658.53</v>
      </c>
      <c r="AG142" s="1178"/>
      <c r="AH142" s="975"/>
      <c r="AI142" s="332">
        <f t="shared" si="824"/>
        <v>5400000</v>
      </c>
      <c r="AJ142" s="140">
        <f t="shared" si="759"/>
        <v>284319.71000000002</v>
      </c>
      <c r="AK142" s="326" t="e">
        <f t="shared" ref="AK142:AM142" si="862">AD142+W142+P142</f>
        <v>#VALUE!</v>
      </c>
      <c r="AL142" s="326" t="e">
        <f t="shared" si="862"/>
        <v>#VALUE!</v>
      </c>
      <c r="AM142" s="326">
        <f t="shared" si="862"/>
        <v>223866.43000000002</v>
      </c>
      <c r="AN142" s="326">
        <f t="shared" si="574"/>
        <v>-60453.279999999999</v>
      </c>
      <c r="AO142" s="98">
        <f t="shared" si="575"/>
        <v>0.78737569759057513</v>
      </c>
      <c r="AP142" s="125">
        <f t="shared" si="826"/>
        <v>0</v>
      </c>
      <c r="AQ142" s="326" t="e">
        <f t="shared" si="576"/>
        <v>#VALUE!</v>
      </c>
      <c r="AR142" s="326" t="str">
        <f t="shared" si="761"/>
        <v/>
      </c>
      <c r="AS142" s="123">
        <f t="shared" si="762"/>
        <v>0</v>
      </c>
      <c r="AT142" s="332">
        <f t="shared" si="827"/>
        <v>0</v>
      </c>
      <c r="AU142" s="140" t="e">
        <f t="shared" si="579"/>
        <v>#VALUE!</v>
      </c>
      <c r="AV142" s="326" t="str">
        <f t="shared" si="763"/>
        <v/>
      </c>
      <c r="AW142" s="333">
        <f t="shared" si="764"/>
        <v>0</v>
      </c>
      <c r="AX142" s="123">
        <f t="shared" si="828"/>
        <v>40911.11</v>
      </c>
      <c r="AY142" s="123" t="e">
        <f t="shared" si="582"/>
        <v>#VALUE!</v>
      </c>
      <c r="AZ142" s="123" t="str">
        <f t="shared" si="765"/>
        <v/>
      </c>
      <c r="BA142" s="125">
        <f t="shared" si="766"/>
        <v>39192.33</v>
      </c>
      <c r="BB142" s="1175" t="e">
        <f t="shared" ref="BB142:BD142" si="863">SUM(AQ142,AU142,AY142)</f>
        <v>#VALUE!</v>
      </c>
      <c r="BC142" s="326">
        <f t="shared" si="863"/>
        <v>0</v>
      </c>
      <c r="BD142" s="333">
        <f t="shared" si="863"/>
        <v>39192.33</v>
      </c>
      <c r="BE142" s="100" t="e">
        <f t="shared" si="586"/>
        <v>#VALUE!</v>
      </c>
      <c r="BF142" s="116" t="e">
        <f t="shared" ref="BF142:BG142" si="864">BC142+AL142</f>
        <v>#VALUE!</v>
      </c>
      <c r="BG142" s="119">
        <f t="shared" si="864"/>
        <v>263058.76</v>
      </c>
      <c r="BH142" s="125">
        <f t="shared" si="831"/>
        <v>261408.75</v>
      </c>
      <c r="BI142" s="1041" t="e">
        <f t="shared" si="588"/>
        <v>#VALUE!</v>
      </c>
      <c r="BJ142" s="326" t="str">
        <f t="shared" si="769"/>
        <v/>
      </c>
      <c r="BK142" s="1045">
        <f t="shared" si="770"/>
        <v>67541.259999999995</v>
      </c>
      <c r="BL142" s="125">
        <f t="shared" si="832"/>
        <v>335205.56</v>
      </c>
      <c r="BM142" s="140" t="e">
        <f t="shared" si="591"/>
        <v>#VALUE!</v>
      </c>
      <c r="BN142" s="123" t="str">
        <f t="shared" si="771"/>
        <v/>
      </c>
      <c r="BO142" s="148">
        <f t="shared" si="772"/>
        <v>84762.71</v>
      </c>
      <c r="BP142" s="123">
        <f t="shared" si="833"/>
        <v>46789.84</v>
      </c>
      <c r="BQ142" s="123" t="e">
        <f t="shared" si="594"/>
        <v>#VALUE!</v>
      </c>
      <c r="BR142" s="123" t="str">
        <f t="shared" si="773"/>
        <v/>
      </c>
      <c r="BS142" s="125">
        <f t="shared" si="774"/>
        <v>104546.37</v>
      </c>
      <c r="BT142" s="140" t="e">
        <f t="shared" ref="BT142:BV142" si="865">SUM(BQ142,BM142,BI142)</f>
        <v>#VALUE!</v>
      </c>
      <c r="BU142" s="123">
        <f t="shared" si="865"/>
        <v>0</v>
      </c>
      <c r="BV142" s="148">
        <f t="shared" si="865"/>
        <v>256850.34000000003</v>
      </c>
      <c r="BW142" s="125">
        <f t="shared" si="835"/>
        <v>60885.45</v>
      </c>
      <c r="BX142" s="140" t="e">
        <f t="shared" si="610"/>
        <v>#VALUE!</v>
      </c>
      <c r="BY142" s="123" t="str">
        <f t="shared" si="788"/>
        <v/>
      </c>
      <c r="BZ142" s="148">
        <f t="shared" si="789"/>
        <v>0</v>
      </c>
      <c r="CA142" s="123">
        <f t="shared" si="836"/>
        <v>223434.26</v>
      </c>
      <c r="CB142" s="326">
        <f t="shared" si="837"/>
        <v>0</v>
      </c>
      <c r="CP142" s="294"/>
      <c r="CU142" s="294"/>
    </row>
    <row r="143" spans="1:115" ht="13">
      <c r="A143" s="566" t="e">
        <f t="shared" si="780"/>
        <v>#N/A</v>
      </c>
      <c r="B143" s="636">
        <f t="shared" si="750"/>
        <v>20</v>
      </c>
      <c r="C143" s="558">
        <f t="shared" si="790"/>
        <v>0.05</v>
      </c>
      <c r="D143" s="558">
        <f t="shared" si="791"/>
        <v>0.09</v>
      </c>
      <c r="E143" s="559">
        <f t="shared" si="792"/>
        <v>0</v>
      </c>
      <c r="F143" s="836">
        <f t="shared" si="751"/>
        <v>1</v>
      </c>
      <c r="G143" s="558" t="str">
        <f t="shared" si="752"/>
        <v>Lista</v>
      </c>
      <c r="H143" s="558">
        <f t="shared" si="753"/>
        <v>0.09</v>
      </c>
      <c r="I143" s="559">
        <f t="shared" si="754"/>
        <v>0</v>
      </c>
      <c r="J143" s="1214">
        <f t="shared" si="781"/>
        <v>71</v>
      </c>
      <c r="K143" s="558" t="str">
        <f t="shared" si="782"/>
        <v>Lista</v>
      </c>
      <c r="L143" s="715">
        <f t="shared" si="783"/>
        <v>0.05</v>
      </c>
      <c r="M143" s="1173" t="s">
        <v>1230</v>
      </c>
      <c r="N143" s="1174">
        <f t="shared" si="821"/>
        <v>52074.31</v>
      </c>
      <c r="O143" s="461">
        <v>1500000</v>
      </c>
      <c r="P143" s="173" t="e">
        <f t="shared" si="565"/>
        <v>#VALUE!</v>
      </c>
      <c r="Q143" s="561" t="str">
        <f t="shared" si="744"/>
        <v/>
      </c>
      <c r="R143" s="1112">
        <f t="shared" si="745"/>
        <v>274577.91999999998</v>
      </c>
      <c r="S143" s="1189"/>
      <c r="T143" s="599"/>
      <c r="U143" s="326">
        <f t="shared" si="822"/>
        <v>37922.99</v>
      </c>
      <c r="V143" s="461">
        <v>1500000</v>
      </c>
      <c r="W143" s="173" t="e">
        <f t="shared" si="566"/>
        <v>#VALUE!</v>
      </c>
      <c r="X143" s="561" t="str">
        <f t="shared" si="755"/>
        <v/>
      </c>
      <c r="Y143" s="1112">
        <f t="shared" si="756"/>
        <v>65111.13</v>
      </c>
      <c r="Z143" s="1189"/>
      <c r="AA143" s="599"/>
      <c r="AB143" s="326">
        <f t="shared" si="823"/>
        <v>0</v>
      </c>
      <c r="AC143" s="461">
        <v>1500000</v>
      </c>
      <c r="AD143" s="173" t="e">
        <f t="shared" si="569"/>
        <v>#VALUE!</v>
      </c>
      <c r="AE143" s="561" t="str">
        <f t="shared" si="757"/>
        <v/>
      </c>
      <c r="AF143" s="1112">
        <f t="shared" si="758"/>
        <v>220628.69</v>
      </c>
      <c r="AG143" s="1189"/>
      <c r="AH143" s="599"/>
      <c r="AI143" s="332">
        <f t="shared" si="824"/>
        <v>4500000</v>
      </c>
      <c r="AJ143" s="140">
        <f t="shared" si="759"/>
        <v>465969.81</v>
      </c>
      <c r="AK143" s="326" t="e">
        <f t="shared" ref="AK143:AM143" si="866">AD143+W143+P143</f>
        <v>#VALUE!</v>
      </c>
      <c r="AL143" s="326" t="e">
        <f t="shared" si="866"/>
        <v>#VALUE!</v>
      </c>
      <c r="AM143" s="326">
        <f t="shared" si="866"/>
        <v>560317.74</v>
      </c>
      <c r="AN143" s="326">
        <f t="shared" si="574"/>
        <v>94347.93</v>
      </c>
      <c r="AO143" s="98">
        <f t="shared" si="575"/>
        <v>1.2024764866204529</v>
      </c>
      <c r="AP143" s="125">
        <f t="shared" si="826"/>
        <v>69405.929999999993</v>
      </c>
      <c r="AQ143" s="326" t="e">
        <f t="shared" si="576"/>
        <v>#VALUE!</v>
      </c>
      <c r="AR143" s="326" t="str">
        <f t="shared" si="761"/>
        <v/>
      </c>
      <c r="AS143" s="123">
        <f t="shared" si="762"/>
        <v>0</v>
      </c>
      <c r="AT143" s="332">
        <f t="shared" si="827"/>
        <v>7659.9</v>
      </c>
      <c r="AU143" s="140" t="e">
        <f t="shared" si="579"/>
        <v>#VALUE!</v>
      </c>
      <c r="AV143" s="326" t="str">
        <f t="shared" si="763"/>
        <v/>
      </c>
      <c r="AW143" s="333">
        <f t="shared" si="764"/>
        <v>39266.160000000003</v>
      </c>
      <c r="AX143" s="123">
        <f t="shared" si="828"/>
        <v>43599.99</v>
      </c>
      <c r="AY143" s="123" t="e">
        <f t="shared" si="582"/>
        <v>#VALUE!</v>
      </c>
      <c r="AZ143" s="123" t="str">
        <f t="shared" si="765"/>
        <v/>
      </c>
      <c r="BA143" s="125">
        <f t="shared" si="766"/>
        <v>30215.49</v>
      </c>
      <c r="BB143" s="1175" t="e">
        <f t="shared" ref="BB143:BD143" si="867">SUM(AQ143,AU143,AY143)</f>
        <v>#VALUE!</v>
      </c>
      <c r="BC143" s="326">
        <f t="shared" si="867"/>
        <v>0</v>
      </c>
      <c r="BD143" s="333">
        <f t="shared" si="867"/>
        <v>69481.650000000009</v>
      </c>
      <c r="BE143" s="100" t="e">
        <f t="shared" si="586"/>
        <v>#VALUE!</v>
      </c>
      <c r="BF143" s="116" t="e">
        <f t="shared" ref="BF143:BG143" si="868">BC143+AL143</f>
        <v>#VALUE!</v>
      </c>
      <c r="BG143" s="119">
        <f t="shared" si="868"/>
        <v>629799.39</v>
      </c>
      <c r="BH143" s="125">
        <f t="shared" si="831"/>
        <v>20288.23</v>
      </c>
      <c r="BI143" s="1041" t="e">
        <f t="shared" si="588"/>
        <v>#VALUE!</v>
      </c>
      <c r="BJ143" s="326" t="str">
        <f t="shared" si="769"/>
        <v/>
      </c>
      <c r="BK143" s="1045">
        <f t="shared" si="770"/>
        <v>106224.91</v>
      </c>
      <c r="BL143" s="125">
        <f t="shared" si="832"/>
        <v>219593.98</v>
      </c>
      <c r="BM143" s="140" t="e">
        <f t="shared" si="591"/>
        <v>#VALUE!</v>
      </c>
      <c r="BN143" s="123" t="str">
        <f t="shared" si="771"/>
        <v/>
      </c>
      <c r="BO143" s="148">
        <f t="shared" si="772"/>
        <v>167899.6</v>
      </c>
      <c r="BP143" s="123">
        <f t="shared" si="833"/>
        <v>57571.72</v>
      </c>
      <c r="BQ143" s="123" t="e">
        <f t="shared" si="594"/>
        <v>#VALUE!</v>
      </c>
      <c r="BR143" s="123" t="str">
        <f t="shared" si="773"/>
        <v/>
      </c>
      <c r="BS143" s="125">
        <f t="shared" si="774"/>
        <v>135237.19</v>
      </c>
      <c r="BT143" s="140" t="e">
        <f t="shared" ref="BT143:BV143" si="869">SUM(BQ143,BM143,BI143)</f>
        <v>#VALUE!</v>
      </c>
      <c r="BU143" s="123">
        <f t="shared" si="869"/>
        <v>0</v>
      </c>
      <c r="BV143" s="148">
        <f t="shared" si="869"/>
        <v>409361.70000000007</v>
      </c>
      <c r="BW143" s="125">
        <f t="shared" si="835"/>
        <v>59053.16</v>
      </c>
      <c r="BX143" s="140" t="e">
        <f t="shared" si="610"/>
        <v>#VALUE!</v>
      </c>
      <c r="BY143" s="123" t="str">
        <f t="shared" si="788"/>
        <v/>
      </c>
      <c r="BZ143" s="148">
        <f t="shared" si="789"/>
        <v>258991.35</v>
      </c>
      <c r="CA143" s="123">
        <f t="shared" si="836"/>
        <v>277743.40999999997</v>
      </c>
      <c r="CB143" s="326">
        <f t="shared" si="837"/>
        <v>129173.23</v>
      </c>
      <c r="CP143" s="294"/>
      <c r="CU143" s="294"/>
    </row>
    <row r="144" spans="1:115" ht="13">
      <c r="A144" s="566" t="e">
        <f t="shared" si="780"/>
        <v>#N/A</v>
      </c>
      <c r="B144" s="636">
        <f t="shared" si="750"/>
        <v>20</v>
      </c>
      <c r="C144" s="558">
        <f t="shared" si="790"/>
        <v>0.05</v>
      </c>
      <c r="D144" s="558">
        <f t="shared" si="791"/>
        <v>0.09</v>
      </c>
      <c r="E144" s="559">
        <f t="shared" si="792"/>
        <v>0</v>
      </c>
      <c r="F144" s="836">
        <f t="shared" si="751"/>
        <v>1</v>
      </c>
      <c r="G144" s="558" t="str">
        <f t="shared" si="752"/>
        <v>Lista</v>
      </c>
      <c r="H144" s="558">
        <f t="shared" si="753"/>
        <v>0.09</v>
      </c>
      <c r="I144" s="559">
        <f t="shared" si="754"/>
        <v>0</v>
      </c>
      <c r="J144" s="1214">
        <f t="shared" si="781"/>
        <v>71</v>
      </c>
      <c r="K144" s="558" t="str">
        <f t="shared" si="782"/>
        <v>Lista</v>
      </c>
      <c r="L144" s="715">
        <f t="shared" si="783"/>
        <v>0.05</v>
      </c>
      <c r="M144" s="1173" t="s">
        <v>1231</v>
      </c>
      <c r="N144" s="1174">
        <f t="shared" si="821"/>
        <v>114926.34</v>
      </c>
      <c r="O144" s="461">
        <v>1500000</v>
      </c>
      <c r="P144" s="173" t="e">
        <f t="shared" si="565"/>
        <v>#VALUE!</v>
      </c>
      <c r="Q144" s="561" t="str">
        <f t="shared" si="744"/>
        <v/>
      </c>
      <c r="R144" s="1112">
        <f t="shared" si="745"/>
        <v>361753.86</v>
      </c>
      <c r="S144" s="1189"/>
      <c r="T144" s="599"/>
      <c r="U144" s="326">
        <f t="shared" si="822"/>
        <v>123751.81</v>
      </c>
      <c r="V144" s="461">
        <v>1500000</v>
      </c>
      <c r="W144" s="173" t="e">
        <f t="shared" si="566"/>
        <v>#VALUE!</v>
      </c>
      <c r="X144" s="561" t="str">
        <f t="shared" si="755"/>
        <v/>
      </c>
      <c r="Y144" s="1112">
        <f t="shared" si="756"/>
        <v>191577.89</v>
      </c>
      <c r="Z144" s="1189"/>
      <c r="AA144" s="599"/>
      <c r="AB144" s="326">
        <f t="shared" si="823"/>
        <v>224021.5</v>
      </c>
      <c r="AC144" s="461">
        <v>1500000</v>
      </c>
      <c r="AD144" s="173" t="e">
        <f t="shared" si="569"/>
        <v>#VALUE!</v>
      </c>
      <c r="AE144" s="561" t="str">
        <f t="shared" si="757"/>
        <v/>
      </c>
      <c r="AF144" s="1112">
        <f t="shared" si="758"/>
        <v>185981.44</v>
      </c>
      <c r="AG144" s="1189"/>
      <c r="AH144" s="599"/>
      <c r="AI144" s="332">
        <f t="shared" si="824"/>
        <v>4500000</v>
      </c>
      <c r="AJ144" s="140">
        <f t="shared" si="759"/>
        <v>891973.73</v>
      </c>
      <c r="AK144" s="326" t="e">
        <f t="shared" ref="AK144:AM144" si="870">AD144+W144+P144</f>
        <v>#VALUE!</v>
      </c>
      <c r="AL144" s="326" t="e">
        <f t="shared" si="870"/>
        <v>#VALUE!</v>
      </c>
      <c r="AM144" s="326">
        <f t="shared" si="870"/>
        <v>739313.19</v>
      </c>
      <c r="AN144" s="326">
        <f t="shared" si="574"/>
        <v>-152660.54000000004</v>
      </c>
      <c r="AO144" s="98">
        <f t="shared" si="575"/>
        <v>0.8288508564035848</v>
      </c>
      <c r="AP144" s="125">
        <f t="shared" si="826"/>
        <v>158696.04</v>
      </c>
      <c r="AQ144" s="326" t="e">
        <f t="shared" si="576"/>
        <v>#VALUE!</v>
      </c>
      <c r="AR144" s="326" t="str">
        <f t="shared" si="761"/>
        <v/>
      </c>
      <c r="AS144" s="123">
        <f t="shared" si="762"/>
        <v>288520.65999999997</v>
      </c>
      <c r="AT144" s="332">
        <f t="shared" si="827"/>
        <v>328490.62</v>
      </c>
      <c r="AU144" s="140" t="e">
        <f t="shared" si="579"/>
        <v>#VALUE!</v>
      </c>
      <c r="AV144" s="326" t="str">
        <f t="shared" si="763"/>
        <v/>
      </c>
      <c r="AW144" s="333">
        <f t="shared" si="764"/>
        <v>184043.16</v>
      </c>
      <c r="AX144" s="123">
        <f t="shared" si="828"/>
        <v>249179.18</v>
      </c>
      <c r="AY144" s="123" t="e">
        <f t="shared" si="582"/>
        <v>#VALUE!</v>
      </c>
      <c r="AZ144" s="123" t="str">
        <f t="shared" si="765"/>
        <v/>
      </c>
      <c r="BA144" s="125">
        <f t="shared" si="766"/>
        <v>347879.19</v>
      </c>
      <c r="BB144" s="1175" t="e">
        <f t="shared" ref="BB144:BD144" si="871">SUM(AQ144,AU144,AY144)</f>
        <v>#VALUE!</v>
      </c>
      <c r="BC144" s="326">
        <f t="shared" si="871"/>
        <v>0</v>
      </c>
      <c r="BD144" s="333">
        <f t="shared" si="871"/>
        <v>820443.01</v>
      </c>
      <c r="BE144" s="100" t="e">
        <f t="shared" si="586"/>
        <v>#VALUE!</v>
      </c>
      <c r="BF144" s="116" t="e">
        <f t="shared" ref="BF144:BG144" si="872">BC144+AL144</f>
        <v>#VALUE!</v>
      </c>
      <c r="BG144" s="119">
        <f t="shared" si="872"/>
        <v>1559756.2</v>
      </c>
      <c r="BH144" s="125">
        <f t="shared" si="831"/>
        <v>118796.69</v>
      </c>
      <c r="BI144" s="1041" t="e">
        <f t="shared" si="588"/>
        <v>#VALUE!</v>
      </c>
      <c r="BJ144" s="326" t="str">
        <f t="shared" si="769"/>
        <v/>
      </c>
      <c r="BK144" s="1045">
        <f t="shared" si="770"/>
        <v>385566.54</v>
      </c>
      <c r="BL144" s="125">
        <f t="shared" si="832"/>
        <v>125780.01</v>
      </c>
      <c r="BM144" s="140" t="e">
        <f t="shared" si="591"/>
        <v>#VALUE!</v>
      </c>
      <c r="BN144" s="123" t="str">
        <f t="shared" si="771"/>
        <v/>
      </c>
      <c r="BO144" s="148">
        <f t="shared" si="772"/>
        <v>206696.64</v>
      </c>
      <c r="BP144" s="123">
        <f t="shared" si="833"/>
        <v>287150.34999999998</v>
      </c>
      <c r="BQ144" s="123" t="e">
        <f t="shared" si="594"/>
        <v>#VALUE!</v>
      </c>
      <c r="BR144" s="123" t="str">
        <f t="shared" si="773"/>
        <v/>
      </c>
      <c r="BS144" s="125">
        <f t="shared" si="774"/>
        <v>348614.34</v>
      </c>
      <c r="BT144" s="140" t="e">
        <f t="shared" ref="BT144:BV144" si="873">SUM(BQ144,BM144,BI144)</f>
        <v>#VALUE!</v>
      </c>
      <c r="BU144" s="123">
        <f t="shared" si="873"/>
        <v>0</v>
      </c>
      <c r="BV144" s="148">
        <f t="shared" si="873"/>
        <v>940877.52</v>
      </c>
      <c r="BW144" s="125">
        <f t="shared" si="835"/>
        <v>171322.84</v>
      </c>
      <c r="BX144" s="140" t="e">
        <f t="shared" si="610"/>
        <v>#VALUE!</v>
      </c>
      <c r="BY144" s="123" t="str">
        <f t="shared" si="788"/>
        <v/>
      </c>
      <c r="BZ144" s="148">
        <f t="shared" si="789"/>
        <v>315884.88</v>
      </c>
      <c r="CA144" s="123">
        <f t="shared" si="836"/>
        <v>423043.2</v>
      </c>
      <c r="CB144" s="326">
        <f t="shared" si="837"/>
        <v>297607.69</v>
      </c>
      <c r="CP144" s="294"/>
      <c r="CU144" s="294"/>
    </row>
    <row r="145" spans="1:115" ht="13">
      <c r="A145" s="566" t="e">
        <f t="shared" si="780"/>
        <v>#N/A</v>
      </c>
      <c r="B145" s="636">
        <f t="shared" si="750"/>
        <v>20</v>
      </c>
      <c r="C145" s="558">
        <f t="shared" si="790"/>
        <v>0.05</v>
      </c>
      <c r="D145" s="558">
        <f t="shared" si="791"/>
        <v>0.09</v>
      </c>
      <c r="E145" s="559">
        <f t="shared" si="792"/>
        <v>0</v>
      </c>
      <c r="F145" s="836">
        <f t="shared" si="751"/>
        <v>1</v>
      </c>
      <c r="G145" s="558" t="str">
        <f t="shared" si="752"/>
        <v>Lista</v>
      </c>
      <c r="H145" s="558">
        <f t="shared" si="753"/>
        <v>0.09</v>
      </c>
      <c r="I145" s="559">
        <f t="shared" si="754"/>
        <v>0</v>
      </c>
      <c r="J145" s="1214">
        <f t="shared" si="781"/>
        <v>71</v>
      </c>
      <c r="K145" s="558" t="str">
        <f t="shared" si="782"/>
        <v>Lista</v>
      </c>
      <c r="L145" s="715">
        <f t="shared" si="783"/>
        <v>0.05</v>
      </c>
      <c r="M145" s="1191" t="s">
        <v>1232</v>
      </c>
      <c r="N145" s="1174"/>
      <c r="O145" s="461"/>
      <c r="P145" s="173">
        <f t="shared" si="565"/>
        <v>0</v>
      </c>
      <c r="Q145" s="561">
        <f t="shared" si="744"/>
        <v>0</v>
      </c>
      <c r="R145" s="1112">
        <f t="shared" si="745"/>
        <v>0</v>
      </c>
      <c r="S145" s="1189"/>
      <c r="T145" s="599"/>
      <c r="U145" s="326" t="str">
        <f t="shared" si="822"/>
        <v/>
      </c>
      <c r="V145" s="461">
        <v>1500000</v>
      </c>
      <c r="W145" s="173">
        <f t="shared" si="566"/>
        <v>0</v>
      </c>
      <c r="X145" s="561">
        <f t="shared" si="755"/>
        <v>0</v>
      </c>
      <c r="Y145" s="1112">
        <f t="shared" si="756"/>
        <v>0</v>
      </c>
      <c r="Z145" s="1189"/>
      <c r="AA145" s="599"/>
      <c r="AB145" s="326" t="str">
        <f t="shared" si="823"/>
        <v/>
      </c>
      <c r="AC145" s="461">
        <v>1500000</v>
      </c>
      <c r="AD145" s="173">
        <f t="shared" si="569"/>
        <v>0</v>
      </c>
      <c r="AE145" s="561">
        <f t="shared" si="757"/>
        <v>0</v>
      </c>
      <c r="AF145" s="1112">
        <f t="shared" si="758"/>
        <v>0</v>
      </c>
      <c r="AG145" s="1189"/>
      <c r="AH145" s="599"/>
      <c r="AI145" s="332">
        <f t="shared" si="824"/>
        <v>3000000</v>
      </c>
      <c r="AJ145" s="140" t="str">
        <f t="shared" si="759"/>
        <v>0</v>
      </c>
      <c r="AK145" s="326">
        <f t="shared" ref="AK145:AM145" si="874">AD145+W145+P145</f>
        <v>0</v>
      </c>
      <c r="AL145" s="326">
        <f t="shared" si="874"/>
        <v>0</v>
      </c>
      <c r="AM145" s="326">
        <f t="shared" si="874"/>
        <v>0</v>
      </c>
      <c r="AN145" s="326">
        <f t="shared" si="574"/>
        <v>0</v>
      </c>
      <c r="AO145" s="98" t="str">
        <f t="shared" si="575"/>
        <v/>
      </c>
      <c r="AP145" s="125" t="str">
        <f t="shared" si="826"/>
        <v/>
      </c>
      <c r="AQ145" s="326">
        <f t="shared" si="576"/>
        <v>0</v>
      </c>
      <c r="AR145" s="326">
        <f t="shared" si="761"/>
        <v>0</v>
      </c>
      <c r="AS145" s="123">
        <f t="shared" si="762"/>
        <v>0</v>
      </c>
      <c r="AT145" s="332" t="str">
        <f t="shared" si="827"/>
        <v/>
      </c>
      <c r="AU145" s="140">
        <f t="shared" si="579"/>
        <v>0</v>
      </c>
      <c r="AV145" s="326">
        <f t="shared" si="763"/>
        <v>0</v>
      </c>
      <c r="AW145" s="333">
        <f t="shared" si="764"/>
        <v>0</v>
      </c>
      <c r="AX145" s="123" t="str">
        <f t="shared" si="828"/>
        <v/>
      </c>
      <c r="AY145" s="123">
        <f t="shared" si="582"/>
        <v>0</v>
      </c>
      <c r="AZ145" s="123">
        <f t="shared" si="765"/>
        <v>0</v>
      </c>
      <c r="BA145" s="125">
        <f t="shared" si="766"/>
        <v>0</v>
      </c>
      <c r="BB145" s="1175">
        <f t="shared" ref="BB145:BD145" si="875">SUM(AQ145,AU145,AY145)</f>
        <v>0</v>
      </c>
      <c r="BC145" s="326">
        <f t="shared" si="875"/>
        <v>0</v>
      </c>
      <c r="BD145" s="333">
        <f t="shared" si="875"/>
        <v>0</v>
      </c>
      <c r="BE145" s="100">
        <f t="shared" si="586"/>
        <v>0</v>
      </c>
      <c r="BF145" s="116">
        <f t="shared" ref="BF145:BG145" si="876">BC145+AL145</f>
        <v>0</v>
      </c>
      <c r="BG145" s="119">
        <f t="shared" si="876"/>
        <v>0</v>
      </c>
      <c r="BH145" s="125" t="str">
        <f t="shared" si="831"/>
        <v/>
      </c>
      <c r="BI145" s="1041">
        <f t="shared" si="588"/>
        <v>0</v>
      </c>
      <c r="BJ145" s="326">
        <f t="shared" si="769"/>
        <v>0</v>
      </c>
      <c r="BK145" s="1045">
        <f t="shared" si="770"/>
        <v>0</v>
      </c>
      <c r="BL145" s="125" t="str">
        <f t="shared" si="832"/>
        <v/>
      </c>
      <c r="BM145" s="140">
        <f t="shared" si="591"/>
        <v>170620.59</v>
      </c>
      <c r="BN145" s="123">
        <f t="shared" si="771"/>
        <v>244329.22</v>
      </c>
      <c r="BO145" s="148">
        <f t="shared" si="772"/>
        <v>414949.81</v>
      </c>
      <c r="BP145" s="123" t="str">
        <f t="shared" si="833"/>
        <v/>
      </c>
      <c r="BQ145" s="123">
        <f t="shared" si="594"/>
        <v>22803.1</v>
      </c>
      <c r="BR145" s="123">
        <f t="shared" si="773"/>
        <v>0</v>
      </c>
      <c r="BS145" s="125">
        <f t="shared" si="774"/>
        <v>22803.1</v>
      </c>
      <c r="BT145" s="140">
        <f t="shared" ref="BT145:BV145" si="877">SUM(BQ145,BM145,BI145)</f>
        <v>193423.69</v>
      </c>
      <c r="BU145" s="123">
        <f t="shared" si="877"/>
        <v>244329.22</v>
      </c>
      <c r="BV145" s="148">
        <f t="shared" si="877"/>
        <v>437752.91</v>
      </c>
      <c r="BW145" s="125" t="str">
        <f t="shared" si="835"/>
        <v/>
      </c>
      <c r="BX145" s="140">
        <f t="shared" si="610"/>
        <v>148831.32999999999</v>
      </c>
      <c r="BY145" s="123">
        <f t="shared" si="788"/>
        <v>0</v>
      </c>
      <c r="BZ145" s="148">
        <f t="shared" si="789"/>
        <v>148831.32999999999</v>
      </c>
      <c r="CA145" s="123" t="str">
        <f t="shared" si="836"/>
        <v/>
      </c>
      <c r="CB145" s="326" t="str">
        <f t="shared" si="837"/>
        <v/>
      </c>
      <c r="CP145" s="294"/>
      <c r="CU145" s="294"/>
    </row>
    <row r="146" spans="1:115" ht="13">
      <c r="A146" s="566" t="e">
        <f t="shared" si="780"/>
        <v>#N/A</v>
      </c>
      <c r="B146" s="636">
        <f t="shared" si="750"/>
        <v>20</v>
      </c>
      <c r="C146" s="558">
        <f t="shared" si="790"/>
        <v>0.05</v>
      </c>
      <c r="D146" s="558">
        <f t="shared" si="791"/>
        <v>0.09</v>
      </c>
      <c r="E146" s="559">
        <f t="shared" si="792"/>
        <v>0</v>
      </c>
      <c r="F146" s="836">
        <f t="shared" si="751"/>
        <v>1</v>
      </c>
      <c r="G146" s="558" t="str">
        <f t="shared" si="752"/>
        <v>Lista</v>
      </c>
      <c r="H146" s="558">
        <f t="shared" si="753"/>
        <v>0.09</v>
      </c>
      <c r="I146" s="559">
        <f t="shared" si="754"/>
        <v>0</v>
      </c>
      <c r="J146" s="1214">
        <f t="shared" si="781"/>
        <v>71</v>
      </c>
      <c r="K146" s="558" t="str">
        <f t="shared" si="782"/>
        <v>Lista</v>
      </c>
      <c r="L146" s="715">
        <f t="shared" si="783"/>
        <v>0.05</v>
      </c>
      <c r="M146" s="1173" t="s">
        <v>1233</v>
      </c>
      <c r="N146" s="1174">
        <f t="shared" ref="N146:N152" si="878">IFERROR(VLOOKUP(M146,MARUCA24,3,FALSE),"")</f>
        <v>0</v>
      </c>
      <c r="O146" s="461">
        <v>1500000</v>
      </c>
      <c r="P146" s="173" t="e">
        <f t="shared" si="565"/>
        <v>#VALUE!</v>
      </c>
      <c r="Q146" s="561" t="str">
        <f t="shared" si="744"/>
        <v/>
      </c>
      <c r="R146" s="1112" t="str">
        <f t="shared" si="745"/>
        <v/>
      </c>
      <c r="S146" s="1189"/>
      <c r="T146" s="599"/>
      <c r="U146" s="326">
        <f t="shared" si="822"/>
        <v>0</v>
      </c>
      <c r="V146" s="461">
        <v>1500000</v>
      </c>
      <c r="W146" s="173" t="e">
        <f t="shared" si="566"/>
        <v>#VALUE!</v>
      </c>
      <c r="X146" s="561" t="str">
        <f t="shared" si="755"/>
        <v/>
      </c>
      <c r="Y146" s="1112" t="str">
        <f t="shared" si="756"/>
        <v/>
      </c>
      <c r="Z146" s="1189"/>
      <c r="AA146" s="599"/>
      <c r="AB146" s="326">
        <f t="shared" si="823"/>
        <v>0</v>
      </c>
      <c r="AC146" s="461">
        <v>1500000</v>
      </c>
      <c r="AD146" s="173" t="e">
        <f t="shared" si="569"/>
        <v>#VALUE!</v>
      </c>
      <c r="AE146" s="561" t="str">
        <f t="shared" si="757"/>
        <v/>
      </c>
      <c r="AF146" s="1112" t="str">
        <f t="shared" si="758"/>
        <v/>
      </c>
      <c r="AG146" s="1189"/>
      <c r="AH146" s="599"/>
      <c r="AI146" s="332">
        <f t="shared" si="824"/>
        <v>4500000</v>
      </c>
      <c r="AJ146" s="140">
        <f t="shared" si="759"/>
        <v>129587.22</v>
      </c>
      <c r="AK146" s="326" t="e">
        <f t="shared" ref="AK146:AM146" si="879">AD146+W146+P146</f>
        <v>#VALUE!</v>
      </c>
      <c r="AL146" s="326" t="e">
        <f t="shared" si="879"/>
        <v>#VALUE!</v>
      </c>
      <c r="AM146" s="326" t="e">
        <f t="shared" si="879"/>
        <v>#VALUE!</v>
      </c>
      <c r="AN146" s="326" t="e">
        <f t="shared" si="574"/>
        <v>#VALUE!</v>
      </c>
      <c r="AO146" s="98" t="str">
        <f t="shared" si="575"/>
        <v/>
      </c>
      <c r="AP146" s="125">
        <f t="shared" si="826"/>
        <v>0</v>
      </c>
      <c r="AQ146" s="326" t="e">
        <f t="shared" si="576"/>
        <v>#VALUE!</v>
      </c>
      <c r="AR146" s="326" t="str">
        <f t="shared" si="761"/>
        <v/>
      </c>
      <c r="AS146" s="123" t="str">
        <f t="shared" si="762"/>
        <v/>
      </c>
      <c r="AT146" s="332">
        <f t="shared" si="827"/>
        <v>0</v>
      </c>
      <c r="AU146" s="140" t="e">
        <f t="shared" si="579"/>
        <v>#VALUE!</v>
      </c>
      <c r="AV146" s="326" t="str">
        <f t="shared" si="763"/>
        <v/>
      </c>
      <c r="AW146" s="333" t="str">
        <f t="shared" si="764"/>
        <v/>
      </c>
      <c r="AX146" s="123">
        <f t="shared" si="828"/>
        <v>0</v>
      </c>
      <c r="AY146" s="123" t="e">
        <f t="shared" si="582"/>
        <v>#VALUE!</v>
      </c>
      <c r="AZ146" s="123" t="str">
        <f t="shared" si="765"/>
        <v/>
      </c>
      <c r="BA146" s="125" t="str">
        <f t="shared" si="766"/>
        <v/>
      </c>
      <c r="BB146" s="1175" t="e">
        <f t="shared" ref="BB146:BD146" si="880">SUM(AQ146,AU146,AY146)</f>
        <v>#VALUE!</v>
      </c>
      <c r="BC146" s="326">
        <f t="shared" si="880"/>
        <v>0</v>
      </c>
      <c r="BD146" s="333">
        <f t="shared" si="880"/>
        <v>0</v>
      </c>
      <c r="BE146" s="100" t="e">
        <f t="shared" si="586"/>
        <v>#VALUE!</v>
      </c>
      <c r="BF146" s="116" t="e">
        <f t="shared" ref="BF146:BG146" si="881">BC146+AL146</f>
        <v>#VALUE!</v>
      </c>
      <c r="BG146" s="119" t="e">
        <f t="shared" si="881"/>
        <v>#VALUE!</v>
      </c>
      <c r="BH146" s="125">
        <f t="shared" si="831"/>
        <v>0</v>
      </c>
      <c r="BI146" s="1041" t="e">
        <f t="shared" si="588"/>
        <v>#VALUE!</v>
      </c>
      <c r="BJ146" s="326" t="str">
        <f t="shared" si="769"/>
        <v/>
      </c>
      <c r="BK146" s="1045" t="str">
        <f t="shared" si="770"/>
        <v/>
      </c>
      <c r="BL146" s="125">
        <f t="shared" si="832"/>
        <v>0</v>
      </c>
      <c r="BM146" s="140" t="e">
        <f t="shared" si="591"/>
        <v>#VALUE!</v>
      </c>
      <c r="BN146" s="123" t="str">
        <f t="shared" si="771"/>
        <v/>
      </c>
      <c r="BO146" s="148" t="str">
        <f t="shared" si="772"/>
        <v/>
      </c>
      <c r="BP146" s="123">
        <f t="shared" si="833"/>
        <v>0</v>
      </c>
      <c r="BQ146" s="123" t="e">
        <f t="shared" si="594"/>
        <v>#VALUE!</v>
      </c>
      <c r="BR146" s="123" t="str">
        <f t="shared" si="773"/>
        <v/>
      </c>
      <c r="BS146" s="125" t="str">
        <f t="shared" si="774"/>
        <v/>
      </c>
      <c r="BT146" s="140" t="e">
        <f t="shared" ref="BT146:BV146" si="882">SUM(BQ146,BM146,BI146)</f>
        <v>#VALUE!</v>
      </c>
      <c r="BU146" s="123">
        <f t="shared" si="882"/>
        <v>0</v>
      </c>
      <c r="BV146" s="148">
        <f t="shared" si="882"/>
        <v>0</v>
      </c>
      <c r="BW146" s="125">
        <f t="shared" si="835"/>
        <v>0</v>
      </c>
      <c r="BX146" s="140" t="e">
        <f t="shared" si="610"/>
        <v>#VALUE!</v>
      </c>
      <c r="BY146" s="123" t="str">
        <f t="shared" si="788"/>
        <v/>
      </c>
      <c r="BZ146" s="148" t="str">
        <f t="shared" si="789"/>
        <v/>
      </c>
      <c r="CA146" s="123">
        <f t="shared" si="836"/>
        <v>0</v>
      </c>
      <c r="CB146" s="326">
        <f t="shared" si="837"/>
        <v>129587.22</v>
      </c>
      <c r="CP146" s="294"/>
      <c r="CU146" s="294"/>
    </row>
    <row r="147" spans="1:115" ht="13">
      <c r="A147" s="566" t="e">
        <f t="shared" si="780"/>
        <v>#N/A</v>
      </c>
      <c r="B147" s="636">
        <f t="shared" si="750"/>
        <v>4</v>
      </c>
      <c r="C147" s="558" t="str">
        <f t="shared" si="790"/>
        <v>Lista</v>
      </c>
      <c r="D147" s="558">
        <f t="shared" si="791"/>
        <v>0.2</v>
      </c>
      <c r="E147" s="559">
        <f t="shared" si="792"/>
        <v>0</v>
      </c>
      <c r="F147" s="836">
        <f t="shared" si="751"/>
        <v>4</v>
      </c>
      <c r="G147" s="558" t="str">
        <f t="shared" si="752"/>
        <v>Lista</v>
      </c>
      <c r="H147" s="558">
        <f t="shared" si="753"/>
        <v>0.2</v>
      </c>
      <c r="I147" s="559">
        <f t="shared" si="754"/>
        <v>0</v>
      </c>
      <c r="J147" s="1214">
        <f t="shared" si="781"/>
        <v>70</v>
      </c>
      <c r="K147" s="558" t="str">
        <f t="shared" si="782"/>
        <v>Lista</v>
      </c>
      <c r="L147" s="715">
        <f t="shared" si="783"/>
        <v>0.11</v>
      </c>
      <c r="M147" s="1173" t="s">
        <v>1234</v>
      </c>
      <c r="N147" s="1174">
        <f t="shared" si="878"/>
        <v>233672.46</v>
      </c>
      <c r="O147" s="332">
        <f t="shared" ref="O147:O149" si="883">(N147*1.601)*1.05</f>
        <v>392815.08888299996</v>
      </c>
      <c r="P147" s="173">
        <f t="shared" si="565"/>
        <v>378609.81000000006</v>
      </c>
      <c r="Q147" s="561">
        <f t="shared" si="744"/>
        <v>225567.35999999999</v>
      </c>
      <c r="R147" s="1112">
        <f t="shared" si="745"/>
        <v>604177.17000000004</v>
      </c>
      <c r="S147" s="123"/>
      <c r="T147" s="326"/>
      <c r="U147" s="326">
        <f t="shared" si="822"/>
        <v>0</v>
      </c>
      <c r="V147" s="332">
        <f t="shared" ref="V147:V149" si="884">(U147*1.7245)*1.03</f>
        <v>0</v>
      </c>
      <c r="W147" s="173">
        <f t="shared" si="566"/>
        <v>596914.4</v>
      </c>
      <c r="X147" s="561">
        <f t="shared" si="755"/>
        <v>0</v>
      </c>
      <c r="Y147" s="1112">
        <f t="shared" si="756"/>
        <v>596914.4</v>
      </c>
      <c r="Z147" s="123"/>
      <c r="AA147" s="326"/>
      <c r="AB147" s="326">
        <f t="shared" si="823"/>
        <v>429354.46</v>
      </c>
      <c r="AC147" s="332">
        <f t="shared" ref="AC147:AC149" si="885">(AB147*1.5955)*1.03</f>
        <v>705586.09215789998</v>
      </c>
      <c r="AD147" s="173">
        <f t="shared" si="569"/>
        <v>332970.19999999995</v>
      </c>
      <c r="AE147" s="561">
        <f t="shared" si="757"/>
        <v>117025.60000000001</v>
      </c>
      <c r="AF147" s="1112">
        <f t="shared" si="758"/>
        <v>449995.8</v>
      </c>
      <c r="AG147" s="123"/>
      <c r="AH147" s="326"/>
      <c r="AI147" s="332">
        <f t="shared" si="824"/>
        <v>1098401.1810408998</v>
      </c>
      <c r="AJ147" s="140">
        <f t="shared" si="759"/>
        <v>1215262.8799999999</v>
      </c>
      <c r="AK147" s="326">
        <f t="shared" ref="AK147:AM147" si="886">AD147+W147+P147</f>
        <v>1308494.4100000001</v>
      </c>
      <c r="AL147" s="326">
        <f t="shared" si="886"/>
        <v>342592.95999999996</v>
      </c>
      <c r="AM147" s="326">
        <f t="shared" si="886"/>
        <v>1651087.37</v>
      </c>
      <c r="AN147" s="326">
        <f t="shared" si="574"/>
        <v>435824.49000000022</v>
      </c>
      <c r="AO147" s="98">
        <f t="shared" si="575"/>
        <v>1.3586256909286987</v>
      </c>
      <c r="AP147" s="125">
        <f t="shared" si="826"/>
        <v>348535.32</v>
      </c>
      <c r="AQ147" s="326">
        <f t="shared" si="576"/>
        <v>177274.5</v>
      </c>
      <c r="AR147" s="326">
        <f t="shared" si="761"/>
        <v>121368.96000000001</v>
      </c>
      <c r="AS147" s="123">
        <f t="shared" si="762"/>
        <v>298643.46000000002</v>
      </c>
      <c r="AT147" s="332">
        <f t="shared" si="827"/>
        <v>478145.23</v>
      </c>
      <c r="AU147" s="140">
        <f t="shared" si="579"/>
        <v>245115.81000000003</v>
      </c>
      <c r="AV147" s="326">
        <f t="shared" si="763"/>
        <v>211011.52</v>
      </c>
      <c r="AW147" s="333">
        <f t="shared" si="764"/>
        <v>456127.33</v>
      </c>
      <c r="AX147" s="123">
        <f t="shared" si="828"/>
        <v>119648</v>
      </c>
      <c r="AY147" s="123">
        <f t="shared" si="582"/>
        <v>143877.30999999997</v>
      </c>
      <c r="AZ147" s="123">
        <f t="shared" si="765"/>
        <v>133482.48000000001</v>
      </c>
      <c r="BA147" s="125">
        <f t="shared" si="766"/>
        <v>277359.78999999998</v>
      </c>
      <c r="BB147" s="1175">
        <f t="shared" ref="BB147:BD147" si="887">SUM(AQ147,AU147,AY147)</f>
        <v>566267.62</v>
      </c>
      <c r="BC147" s="326">
        <f t="shared" si="887"/>
        <v>465862.95999999996</v>
      </c>
      <c r="BD147" s="333">
        <f t="shared" si="887"/>
        <v>1032130.5800000001</v>
      </c>
      <c r="BE147" s="100">
        <f t="shared" si="586"/>
        <v>1874762.0300000003</v>
      </c>
      <c r="BF147" s="116">
        <f t="shared" ref="BF147:BG147" si="888">BC147+AL147</f>
        <v>808455.91999999993</v>
      </c>
      <c r="BG147" s="119">
        <f t="shared" si="888"/>
        <v>2683217.9500000002</v>
      </c>
      <c r="BH147" s="125">
        <f t="shared" si="831"/>
        <v>169796</v>
      </c>
      <c r="BI147" s="1041">
        <f t="shared" si="588"/>
        <v>-21919.709999999992</v>
      </c>
      <c r="BJ147" s="326">
        <f t="shared" si="769"/>
        <v>172673.84</v>
      </c>
      <c r="BK147" s="1045">
        <f t="shared" si="770"/>
        <v>150754.13</v>
      </c>
      <c r="BL147" s="125">
        <f t="shared" si="832"/>
        <v>305014.84000000003</v>
      </c>
      <c r="BM147" s="140">
        <f t="shared" si="591"/>
        <v>164323.62</v>
      </c>
      <c r="BN147" s="123">
        <f t="shared" si="771"/>
        <v>300853.52</v>
      </c>
      <c r="BO147" s="148">
        <f t="shared" si="772"/>
        <v>465177.14</v>
      </c>
      <c r="BP147" s="123">
        <f t="shared" si="833"/>
        <v>248727.4</v>
      </c>
      <c r="BQ147" s="123">
        <f t="shared" si="594"/>
        <v>253594.5</v>
      </c>
      <c r="BR147" s="123">
        <f t="shared" si="773"/>
        <v>0</v>
      </c>
      <c r="BS147" s="125">
        <f t="shared" si="774"/>
        <v>253594.5</v>
      </c>
      <c r="BT147" s="140">
        <f t="shared" ref="BT147:BV147" si="889">SUM(BQ147,BM147,BI147)</f>
        <v>395998.41000000003</v>
      </c>
      <c r="BU147" s="123">
        <f t="shared" si="889"/>
        <v>473527.36</v>
      </c>
      <c r="BV147" s="148">
        <f t="shared" si="889"/>
        <v>869525.77</v>
      </c>
      <c r="BW147" s="125">
        <f t="shared" si="835"/>
        <v>436799.2</v>
      </c>
      <c r="BX147" s="140">
        <f t="shared" si="610"/>
        <v>586445.29999999993</v>
      </c>
      <c r="BY147" s="123">
        <f t="shared" si="788"/>
        <v>160379.16</v>
      </c>
      <c r="BZ147" s="148">
        <f t="shared" si="789"/>
        <v>746824.46</v>
      </c>
      <c r="CA147" s="123">
        <f t="shared" si="836"/>
        <v>444594.4</v>
      </c>
      <c r="CB147" s="326">
        <f t="shared" si="837"/>
        <v>333869.28000000003</v>
      </c>
      <c r="CP147" s="294"/>
      <c r="CU147" s="294"/>
    </row>
    <row r="148" spans="1:115" ht="13">
      <c r="A148" s="566" t="e">
        <f t="shared" si="780"/>
        <v>#N/A</v>
      </c>
      <c r="B148" s="636">
        <f t="shared" si="750"/>
        <v>4</v>
      </c>
      <c r="C148" s="558" t="str">
        <f t="shared" si="790"/>
        <v>Lista</v>
      </c>
      <c r="D148" s="558">
        <f t="shared" si="791"/>
        <v>0.2</v>
      </c>
      <c r="E148" s="559">
        <f t="shared" si="792"/>
        <v>0</v>
      </c>
      <c r="F148" s="836">
        <f t="shared" si="751"/>
        <v>4</v>
      </c>
      <c r="G148" s="558" t="str">
        <f t="shared" si="752"/>
        <v>Lista</v>
      </c>
      <c r="H148" s="558">
        <f t="shared" si="753"/>
        <v>0.2</v>
      </c>
      <c r="I148" s="559">
        <f t="shared" si="754"/>
        <v>0</v>
      </c>
      <c r="J148" s="1214">
        <f t="shared" si="781"/>
        <v>70</v>
      </c>
      <c r="K148" s="558" t="str">
        <f t="shared" si="782"/>
        <v>Lista</v>
      </c>
      <c r="L148" s="715">
        <f t="shared" si="783"/>
        <v>0.11</v>
      </c>
      <c r="M148" s="1173" t="s">
        <v>1235</v>
      </c>
      <c r="N148" s="1174">
        <f t="shared" si="878"/>
        <v>364590.74</v>
      </c>
      <c r="O148" s="332">
        <f t="shared" si="883"/>
        <v>612895.26347700006</v>
      </c>
      <c r="P148" s="173">
        <f t="shared" si="565"/>
        <v>0</v>
      </c>
      <c r="Q148" s="561">
        <f t="shared" si="744"/>
        <v>0</v>
      </c>
      <c r="R148" s="1112">
        <f t="shared" si="745"/>
        <v>0</v>
      </c>
      <c r="S148" s="123"/>
      <c r="T148" s="326"/>
      <c r="U148" s="326">
        <f t="shared" si="822"/>
        <v>156023.28</v>
      </c>
      <c r="V148" s="332">
        <f t="shared" si="884"/>
        <v>277134.01075080002</v>
      </c>
      <c r="W148" s="173">
        <f t="shared" si="566"/>
        <v>0</v>
      </c>
      <c r="X148" s="561">
        <f t="shared" si="755"/>
        <v>0</v>
      </c>
      <c r="Y148" s="1112">
        <f t="shared" si="756"/>
        <v>0</v>
      </c>
      <c r="Z148" s="123"/>
      <c r="AA148" s="326"/>
      <c r="AB148" s="326">
        <f t="shared" si="823"/>
        <v>190200</v>
      </c>
      <c r="AC148" s="332">
        <f t="shared" si="885"/>
        <v>312568.02299999999</v>
      </c>
      <c r="AD148" s="173">
        <f t="shared" si="569"/>
        <v>190299.99999999997</v>
      </c>
      <c r="AE148" s="561">
        <f t="shared" si="757"/>
        <v>95830.720000000001</v>
      </c>
      <c r="AF148" s="1112">
        <f t="shared" si="758"/>
        <v>286130.71999999997</v>
      </c>
      <c r="AG148" s="123"/>
      <c r="AH148" s="326"/>
      <c r="AI148" s="332">
        <f t="shared" si="824"/>
        <v>1202597.2972278001</v>
      </c>
      <c r="AJ148" s="140">
        <f t="shared" si="759"/>
        <v>356565.36</v>
      </c>
      <c r="AK148" s="326">
        <f t="shared" ref="AK148:AM148" si="890">AD148+W148+P148</f>
        <v>190299.99999999997</v>
      </c>
      <c r="AL148" s="326">
        <f t="shared" si="890"/>
        <v>95830.720000000001</v>
      </c>
      <c r="AM148" s="326">
        <f t="shared" si="890"/>
        <v>286130.71999999997</v>
      </c>
      <c r="AN148" s="326">
        <f t="shared" si="574"/>
        <v>-70434.640000000014</v>
      </c>
      <c r="AO148" s="98">
        <f t="shared" si="575"/>
        <v>0.80246359321051264</v>
      </c>
      <c r="AP148" s="125">
        <f t="shared" si="826"/>
        <v>194253.36</v>
      </c>
      <c r="AQ148" s="326">
        <f t="shared" si="576"/>
        <v>0</v>
      </c>
      <c r="AR148" s="326">
        <f t="shared" si="761"/>
        <v>0</v>
      </c>
      <c r="AS148" s="123">
        <f t="shared" si="762"/>
        <v>0</v>
      </c>
      <c r="AT148" s="332">
        <f t="shared" si="827"/>
        <v>190200</v>
      </c>
      <c r="AU148" s="140">
        <f t="shared" si="579"/>
        <v>0</v>
      </c>
      <c r="AV148" s="326">
        <f t="shared" si="763"/>
        <v>212288.32</v>
      </c>
      <c r="AW148" s="333">
        <f t="shared" si="764"/>
        <v>212288.32</v>
      </c>
      <c r="AX148" s="123">
        <f t="shared" si="828"/>
        <v>190200</v>
      </c>
      <c r="AY148" s="123">
        <f t="shared" si="582"/>
        <v>98056.54</v>
      </c>
      <c r="AZ148" s="123">
        <f t="shared" si="765"/>
        <v>0</v>
      </c>
      <c r="BA148" s="125">
        <f t="shared" si="766"/>
        <v>98056.54</v>
      </c>
      <c r="BB148" s="1175">
        <f t="shared" ref="BB148:BD148" si="891">SUM(AQ148,AU148,AY148)</f>
        <v>98056.54</v>
      </c>
      <c r="BC148" s="326">
        <f t="shared" si="891"/>
        <v>212288.32</v>
      </c>
      <c r="BD148" s="333">
        <f t="shared" si="891"/>
        <v>310344.86</v>
      </c>
      <c r="BE148" s="100">
        <f t="shared" si="586"/>
        <v>288356.53999999998</v>
      </c>
      <c r="BF148" s="116">
        <f t="shared" ref="BF148:BG148" si="892">BC148+AL148</f>
        <v>308119.04000000004</v>
      </c>
      <c r="BG148" s="119">
        <f t="shared" si="892"/>
        <v>596475.57999999996</v>
      </c>
      <c r="BH148" s="125">
        <f t="shared" si="831"/>
        <v>0</v>
      </c>
      <c r="BI148" s="1041">
        <f t="shared" si="588"/>
        <v>206429.99999999997</v>
      </c>
      <c r="BJ148" s="326">
        <f t="shared" si="769"/>
        <v>242965.92</v>
      </c>
      <c r="BK148" s="1045">
        <f t="shared" si="770"/>
        <v>449395.92</v>
      </c>
      <c r="BL148" s="125">
        <f t="shared" si="832"/>
        <v>152160</v>
      </c>
      <c r="BM148" s="140">
        <f t="shared" si="591"/>
        <v>0</v>
      </c>
      <c r="BN148" s="123">
        <f t="shared" si="771"/>
        <v>0</v>
      </c>
      <c r="BO148" s="148">
        <f t="shared" si="772"/>
        <v>0</v>
      </c>
      <c r="BP148" s="123">
        <f t="shared" si="833"/>
        <v>0</v>
      </c>
      <c r="BQ148" s="123">
        <f t="shared" si="594"/>
        <v>0</v>
      </c>
      <c r="BR148" s="123">
        <f t="shared" si="773"/>
        <v>150933.12</v>
      </c>
      <c r="BS148" s="125">
        <f t="shared" si="774"/>
        <v>150933.12</v>
      </c>
      <c r="BT148" s="140">
        <f t="shared" ref="BT148:BV148" si="893">SUM(BQ148,BM148,BI148)</f>
        <v>206429.99999999997</v>
      </c>
      <c r="BU148" s="123">
        <f t="shared" si="893"/>
        <v>393899.04000000004</v>
      </c>
      <c r="BV148" s="148">
        <f t="shared" si="893"/>
        <v>600329.04</v>
      </c>
      <c r="BW148" s="125">
        <f t="shared" si="835"/>
        <v>177442.8</v>
      </c>
      <c r="BX148" s="140">
        <f t="shared" si="610"/>
        <v>0</v>
      </c>
      <c r="BY148" s="123">
        <f t="shared" si="788"/>
        <v>181346.4</v>
      </c>
      <c r="BZ148" s="148">
        <f t="shared" si="789"/>
        <v>181346.4</v>
      </c>
      <c r="CA148" s="123">
        <f t="shared" si="836"/>
        <v>0</v>
      </c>
      <c r="CB148" s="326">
        <f t="shared" si="837"/>
        <v>179122.56</v>
      </c>
      <c r="CP148" s="294"/>
      <c r="CU148" s="294"/>
    </row>
    <row r="149" spans="1:115" ht="13">
      <c r="A149" s="546" t="e">
        <f t="shared" si="780"/>
        <v>#N/A</v>
      </c>
      <c r="B149" s="547">
        <f t="shared" si="750"/>
        <v>14</v>
      </c>
      <c r="C149" s="699">
        <f t="shared" si="790"/>
        <v>0.15</v>
      </c>
      <c r="D149" s="699">
        <f t="shared" si="791"/>
        <v>0.2</v>
      </c>
      <c r="E149" s="702">
        <f t="shared" si="792"/>
        <v>0.23</v>
      </c>
      <c r="F149" s="936">
        <f t="shared" si="751"/>
        <v>14</v>
      </c>
      <c r="G149" s="699">
        <f t="shared" si="752"/>
        <v>0.15</v>
      </c>
      <c r="H149" s="699">
        <f t="shared" si="753"/>
        <v>0.2</v>
      </c>
      <c r="I149" s="702">
        <f t="shared" si="754"/>
        <v>0.23</v>
      </c>
      <c r="J149" s="837">
        <f t="shared" si="781"/>
        <v>54</v>
      </c>
      <c r="K149" s="699">
        <f t="shared" si="782"/>
        <v>0.15</v>
      </c>
      <c r="L149" s="700">
        <f t="shared" si="783"/>
        <v>0.11</v>
      </c>
      <c r="M149" s="1163" t="s">
        <v>841</v>
      </c>
      <c r="N149" s="1164">
        <f t="shared" si="878"/>
        <v>2603398.9700000002</v>
      </c>
      <c r="O149" s="121">
        <f t="shared" si="883"/>
        <v>4376443.8385185003</v>
      </c>
      <c r="P149" s="101">
        <f t="shared" si="565"/>
        <v>889814.51000000024</v>
      </c>
      <c r="Q149" s="549">
        <f t="shared" si="744"/>
        <v>2253497.65</v>
      </c>
      <c r="R149" s="1165">
        <f t="shared" si="745"/>
        <v>3143312.16</v>
      </c>
      <c r="S149" s="114"/>
      <c r="T149" s="116"/>
      <c r="U149" s="116">
        <f t="shared" si="822"/>
        <v>1828741.07</v>
      </c>
      <c r="V149" s="121">
        <f t="shared" si="884"/>
        <v>3248273.8944714502</v>
      </c>
      <c r="W149" s="101">
        <f t="shared" si="566"/>
        <v>3509352.65</v>
      </c>
      <c r="X149" s="549">
        <f t="shared" si="755"/>
        <v>2279338.0699999998</v>
      </c>
      <c r="Y149" s="1165">
        <f t="shared" si="756"/>
        <v>5788690.7199999997</v>
      </c>
      <c r="Z149" s="114"/>
      <c r="AA149" s="116"/>
      <c r="AB149" s="116">
        <f t="shared" si="823"/>
        <v>2870595.54</v>
      </c>
      <c r="AC149" s="121">
        <f t="shared" si="885"/>
        <v>4717436.2395920996</v>
      </c>
      <c r="AD149" s="101">
        <f t="shared" si="569"/>
        <v>742144.23</v>
      </c>
      <c r="AE149" s="549">
        <f t="shared" si="757"/>
        <v>2934809.22</v>
      </c>
      <c r="AF149" s="1165">
        <f t="shared" si="758"/>
        <v>3676953.45</v>
      </c>
      <c r="AG149" s="114"/>
      <c r="AH149" s="116"/>
      <c r="AI149" s="121">
        <f t="shared" si="824"/>
        <v>12342153.97258205</v>
      </c>
      <c r="AJ149" s="113">
        <f t="shared" si="759"/>
        <v>12765278.310000001</v>
      </c>
      <c r="AK149" s="116">
        <f t="shared" ref="AK149:AM149" si="894">AD149+W149+P149</f>
        <v>5141311.3900000006</v>
      </c>
      <c r="AL149" s="116">
        <f t="shared" si="894"/>
        <v>7467644.9399999995</v>
      </c>
      <c r="AM149" s="116">
        <f t="shared" si="894"/>
        <v>12608956.33</v>
      </c>
      <c r="AN149" s="116">
        <f t="shared" si="574"/>
        <v>-156321.98000000045</v>
      </c>
      <c r="AO149" s="413">
        <f>AM149/AJ149</f>
        <v>0.9877541267645108</v>
      </c>
      <c r="AP149" s="100">
        <f t="shared" si="826"/>
        <v>5339348.74</v>
      </c>
      <c r="AQ149" s="116">
        <f t="shared" si="576"/>
        <v>86606.159999999916</v>
      </c>
      <c r="AR149" s="269">
        <f t="shared" si="761"/>
        <v>1010505.51</v>
      </c>
      <c r="AS149" s="114">
        <f t="shared" si="762"/>
        <v>1097111.67</v>
      </c>
      <c r="AT149" s="121">
        <f t="shared" si="827"/>
        <v>4428641.91</v>
      </c>
      <c r="AU149" s="113">
        <f t="shared" si="579"/>
        <v>445186.89999999991</v>
      </c>
      <c r="AV149" s="116">
        <f t="shared" si="763"/>
        <v>2379456.77</v>
      </c>
      <c r="AW149" s="117">
        <f t="shared" si="764"/>
        <v>2824643.67</v>
      </c>
      <c r="AX149" s="114">
        <f t="shared" si="828"/>
        <v>3356849.19</v>
      </c>
      <c r="AY149" s="114">
        <f t="shared" si="582"/>
        <v>419073.94999999995</v>
      </c>
      <c r="AZ149" s="114">
        <f t="shared" si="765"/>
        <v>2092786.39</v>
      </c>
      <c r="BA149" s="100">
        <f t="shared" si="766"/>
        <v>2511860.34</v>
      </c>
      <c r="BB149" s="120">
        <f t="shared" ref="BB149:BD149" si="895">SUM(AQ149,AU149,AY149)</f>
        <v>950867.00999999978</v>
      </c>
      <c r="BC149" s="116">
        <f t="shared" si="895"/>
        <v>5482748.6699999999</v>
      </c>
      <c r="BD149" s="117">
        <f t="shared" si="895"/>
        <v>6433615.6799999997</v>
      </c>
      <c r="BE149" s="100">
        <f t="shared" si="586"/>
        <v>6092178.4000000004</v>
      </c>
      <c r="BF149" s="116">
        <f t="shared" ref="BF149:BG149" si="896">BC149+AL149</f>
        <v>12950393.609999999</v>
      </c>
      <c r="BG149" s="119">
        <f t="shared" si="896"/>
        <v>19042572.009999998</v>
      </c>
      <c r="BH149" s="100">
        <f t="shared" si="831"/>
        <v>2281914.1800000002</v>
      </c>
      <c r="BI149" s="1166">
        <f t="shared" si="588"/>
        <v>248800.6799999997</v>
      </c>
      <c r="BJ149" s="116">
        <f t="shared" si="769"/>
        <v>3186407.35</v>
      </c>
      <c r="BK149" s="1167">
        <f t="shared" si="770"/>
        <v>3435208.03</v>
      </c>
      <c r="BL149" s="125">
        <f t="shared" si="832"/>
        <v>1807532.38</v>
      </c>
      <c r="BM149" s="140">
        <f t="shared" si="591"/>
        <v>1616947.6300000001</v>
      </c>
      <c r="BN149" s="123">
        <f t="shared" si="771"/>
        <v>2049194.55</v>
      </c>
      <c r="BO149" s="148">
        <f t="shared" si="772"/>
        <v>3666142.18</v>
      </c>
      <c r="BP149" s="123">
        <f t="shared" si="833"/>
        <v>2700881.08</v>
      </c>
      <c r="BQ149" s="123">
        <f t="shared" si="594"/>
        <v>175263.19000000018</v>
      </c>
      <c r="BR149" s="123">
        <f t="shared" si="773"/>
        <v>2086308.45</v>
      </c>
      <c r="BS149" s="125">
        <f t="shared" si="774"/>
        <v>2261571.64</v>
      </c>
      <c r="BT149" s="586">
        <f t="shared" ref="BT149:BV149" si="897">SUM(BQ149,BM149,BI149)</f>
        <v>2041011.5</v>
      </c>
      <c r="BU149" s="1168">
        <f t="shared" si="897"/>
        <v>7321910.3499999996</v>
      </c>
      <c r="BV149" s="1067">
        <f t="shared" si="897"/>
        <v>9362921.8499999996</v>
      </c>
      <c r="BW149" s="125">
        <f t="shared" si="835"/>
        <v>5826619.5099999998</v>
      </c>
      <c r="BX149" s="140">
        <f t="shared" si="610"/>
        <v>91845.9</v>
      </c>
      <c r="BY149" s="123">
        <f t="shared" si="788"/>
        <v>46851.15</v>
      </c>
      <c r="BZ149" s="148">
        <f t="shared" si="789"/>
        <v>138697.04999999999</v>
      </c>
      <c r="CA149" s="123">
        <f t="shared" si="836"/>
        <v>3035560.82</v>
      </c>
      <c r="CB149" s="326">
        <f t="shared" si="837"/>
        <v>3903097.98</v>
      </c>
      <c r="CE149" s="127"/>
      <c r="CF149" s="981"/>
      <c r="CG149" s="981"/>
      <c r="CH149" s="981"/>
      <c r="CI149" s="981"/>
      <c r="CJ149" s="981"/>
      <c r="CK149" s="981"/>
      <c r="CL149" s="981"/>
      <c r="CM149" s="981"/>
      <c r="CN149" s="981"/>
      <c r="CO149" s="981"/>
      <c r="CP149" s="136"/>
      <c r="CQ149" s="136"/>
      <c r="CR149" s="136"/>
      <c r="CS149" s="136"/>
      <c r="CT149" s="136"/>
      <c r="CU149" s="136"/>
      <c r="CV149" s="136"/>
      <c r="CW149" s="136"/>
      <c r="CX149" s="136"/>
      <c r="CY149" s="136"/>
      <c r="CZ149" s="136"/>
      <c r="DA149" s="136"/>
      <c r="DB149" s="136"/>
      <c r="DC149" s="136"/>
      <c r="DD149" s="136"/>
      <c r="DE149" s="136"/>
      <c r="DF149" s="136"/>
      <c r="DG149" s="136"/>
      <c r="DH149" s="136"/>
      <c r="DI149" s="136"/>
      <c r="DJ149" s="136"/>
      <c r="DK149" s="136"/>
    </row>
    <row r="150" spans="1:115" ht="13">
      <c r="A150" s="566" t="e">
        <f t="shared" si="780"/>
        <v>#N/A</v>
      </c>
      <c r="B150" s="636">
        <f t="shared" si="750"/>
        <v>22</v>
      </c>
      <c r="C150" s="558">
        <f t="shared" si="790"/>
        <v>0.1</v>
      </c>
      <c r="D150" s="558">
        <f t="shared" si="791"/>
        <v>0.09</v>
      </c>
      <c r="E150" s="559">
        <f t="shared" si="792"/>
        <v>0</v>
      </c>
      <c r="F150" s="836">
        <f t="shared" si="751"/>
        <v>22</v>
      </c>
      <c r="G150" s="558">
        <f t="shared" si="752"/>
        <v>0.1</v>
      </c>
      <c r="H150" s="558">
        <f t="shared" si="753"/>
        <v>0.09</v>
      </c>
      <c r="I150" s="559">
        <f t="shared" si="754"/>
        <v>0</v>
      </c>
      <c r="J150" s="1214">
        <f t="shared" si="781"/>
        <v>63</v>
      </c>
      <c r="K150" s="558">
        <f t="shared" si="782"/>
        <v>0.1</v>
      </c>
      <c r="L150" s="715">
        <f t="shared" si="783"/>
        <v>0.05</v>
      </c>
      <c r="M150" s="1173" t="s">
        <v>854</v>
      </c>
      <c r="N150" s="1174">
        <f t="shared" si="878"/>
        <v>0</v>
      </c>
      <c r="O150" s="1177">
        <v>1800000</v>
      </c>
      <c r="P150" s="173">
        <f t="shared" si="565"/>
        <v>529829.18999999994</v>
      </c>
      <c r="Q150" s="561">
        <f t="shared" si="744"/>
        <v>0</v>
      </c>
      <c r="R150" s="1112">
        <f t="shared" si="745"/>
        <v>529829.18999999994</v>
      </c>
      <c r="S150" s="1178"/>
      <c r="T150" s="975"/>
      <c r="U150" s="326">
        <f t="shared" si="822"/>
        <v>33658.47</v>
      </c>
      <c r="V150" s="1177">
        <v>1800000</v>
      </c>
      <c r="W150" s="173">
        <f t="shared" si="566"/>
        <v>473505.41</v>
      </c>
      <c r="X150" s="561">
        <f t="shared" si="755"/>
        <v>0</v>
      </c>
      <c r="Y150" s="1112">
        <f t="shared" si="756"/>
        <v>473505.41</v>
      </c>
      <c r="Z150" s="1178"/>
      <c r="AA150" s="975"/>
      <c r="AB150" s="326">
        <f t="shared" si="823"/>
        <v>419058.87</v>
      </c>
      <c r="AC150" s="1177">
        <v>1800000</v>
      </c>
      <c r="AD150" s="173">
        <f t="shared" si="569"/>
        <v>226730.32</v>
      </c>
      <c r="AE150" s="561">
        <f t="shared" si="757"/>
        <v>0</v>
      </c>
      <c r="AF150" s="1112">
        <f t="shared" si="758"/>
        <v>226730.32</v>
      </c>
      <c r="AG150" s="1178"/>
      <c r="AH150" s="975"/>
      <c r="AI150" s="332">
        <f t="shared" si="824"/>
        <v>5400000</v>
      </c>
      <c r="AJ150" s="140">
        <f t="shared" si="759"/>
        <v>976850.3</v>
      </c>
      <c r="AK150" s="326">
        <f t="shared" ref="AK150:AM150" si="898">AD150+W150+P150</f>
        <v>1230064.92</v>
      </c>
      <c r="AL150" s="326">
        <f t="shared" si="898"/>
        <v>0</v>
      </c>
      <c r="AM150" s="326">
        <f t="shared" si="898"/>
        <v>1230064.92</v>
      </c>
      <c r="AN150" s="326">
        <f t="shared" si="574"/>
        <v>253214.61999999988</v>
      </c>
      <c r="AO150" s="98">
        <f t="shared" ref="AO150:AO160" si="899">IFERROR(AM150/AJ150,"")</f>
        <v>1.2592153782416813</v>
      </c>
      <c r="AP150" s="125">
        <f t="shared" si="826"/>
        <v>340134.71</v>
      </c>
      <c r="AQ150" s="326">
        <f t="shared" si="576"/>
        <v>258259.36</v>
      </c>
      <c r="AR150" s="326">
        <f t="shared" si="761"/>
        <v>0</v>
      </c>
      <c r="AS150" s="123">
        <f t="shared" si="762"/>
        <v>258259.36</v>
      </c>
      <c r="AT150" s="332">
        <f t="shared" si="827"/>
        <v>121449.3</v>
      </c>
      <c r="AU150" s="140">
        <f t="shared" si="579"/>
        <v>543778.71</v>
      </c>
      <c r="AV150" s="326">
        <f t="shared" si="763"/>
        <v>19165.259999999998</v>
      </c>
      <c r="AW150" s="333">
        <f t="shared" si="764"/>
        <v>562943.97</v>
      </c>
      <c r="AX150" s="123">
        <f t="shared" si="828"/>
        <v>332024.8</v>
      </c>
      <c r="AY150" s="123">
        <f t="shared" si="582"/>
        <v>697000.26</v>
      </c>
      <c r="AZ150" s="123">
        <f t="shared" si="765"/>
        <v>0</v>
      </c>
      <c r="BA150" s="125">
        <f t="shared" si="766"/>
        <v>697000.26</v>
      </c>
      <c r="BB150" s="1175">
        <f t="shared" ref="BB150:BD150" si="900">SUM(AQ150,AU150,AY150)</f>
        <v>1499038.33</v>
      </c>
      <c r="BC150" s="326">
        <f t="shared" si="900"/>
        <v>19165.259999999998</v>
      </c>
      <c r="BD150" s="333">
        <f t="shared" si="900"/>
        <v>1518203.5899999999</v>
      </c>
      <c r="BE150" s="100">
        <f t="shared" si="586"/>
        <v>2729103.25</v>
      </c>
      <c r="BF150" s="116">
        <f t="shared" ref="BF150:BG150" si="901">BC150+AL150</f>
        <v>19165.259999999998</v>
      </c>
      <c r="BG150" s="119">
        <f t="shared" si="901"/>
        <v>2748268.51</v>
      </c>
      <c r="BH150" s="125">
        <f t="shared" si="831"/>
        <v>211747.02</v>
      </c>
      <c r="BI150" s="1041">
        <f t="shared" si="588"/>
        <v>199603.37</v>
      </c>
      <c r="BJ150" s="326">
        <f t="shared" si="769"/>
        <v>0</v>
      </c>
      <c r="BK150" s="1045">
        <f t="shared" si="770"/>
        <v>199603.37</v>
      </c>
      <c r="BL150" s="125">
        <f t="shared" si="832"/>
        <v>686464.86</v>
      </c>
      <c r="BM150" s="140">
        <f t="shared" si="591"/>
        <v>366622.29</v>
      </c>
      <c r="BN150" s="123">
        <f t="shared" si="771"/>
        <v>0</v>
      </c>
      <c r="BO150" s="148">
        <f t="shared" si="772"/>
        <v>366622.29</v>
      </c>
      <c r="BP150" s="123">
        <f t="shared" si="833"/>
        <v>478607.09</v>
      </c>
      <c r="BQ150" s="123">
        <f t="shared" si="594"/>
        <v>493223.34</v>
      </c>
      <c r="BR150" s="123">
        <f t="shared" si="773"/>
        <v>17086.75</v>
      </c>
      <c r="BS150" s="125">
        <f t="shared" si="774"/>
        <v>510310.09</v>
      </c>
      <c r="BT150" s="586">
        <f t="shared" ref="BT150:BV150" si="902">SUM(BQ150,BM150,BI150)</f>
        <v>1059449</v>
      </c>
      <c r="BU150" s="1168">
        <f t="shared" si="902"/>
        <v>17086.75</v>
      </c>
      <c r="BV150" s="1067">
        <f t="shared" si="902"/>
        <v>1076535.75</v>
      </c>
      <c r="BW150" s="125">
        <f t="shared" si="835"/>
        <v>527006.54</v>
      </c>
      <c r="BX150" s="140">
        <f t="shared" si="610"/>
        <v>377306.92</v>
      </c>
      <c r="BY150" s="123">
        <f t="shared" si="788"/>
        <v>0</v>
      </c>
      <c r="BZ150" s="148">
        <f t="shared" si="789"/>
        <v>377306.92</v>
      </c>
      <c r="CA150" s="123">
        <f t="shared" si="836"/>
        <v>306402.95</v>
      </c>
      <c r="CB150" s="326">
        <f t="shared" si="837"/>
        <v>143440.79999999999</v>
      </c>
      <c r="CU150" s="294"/>
    </row>
    <row r="151" spans="1:115" ht="13">
      <c r="A151" s="566" t="e">
        <f t="shared" si="780"/>
        <v>#N/A</v>
      </c>
      <c r="B151" s="636">
        <f t="shared" si="750"/>
        <v>22</v>
      </c>
      <c r="C151" s="558">
        <f t="shared" si="790"/>
        <v>0.1</v>
      </c>
      <c r="D151" s="558">
        <f t="shared" si="791"/>
        <v>0.09</v>
      </c>
      <c r="E151" s="559">
        <f t="shared" si="792"/>
        <v>0</v>
      </c>
      <c r="F151" s="836">
        <f t="shared" si="751"/>
        <v>22</v>
      </c>
      <c r="G151" s="558">
        <f t="shared" si="752"/>
        <v>0.1</v>
      </c>
      <c r="H151" s="558">
        <f t="shared" si="753"/>
        <v>0.09</v>
      </c>
      <c r="I151" s="559">
        <f t="shared" si="754"/>
        <v>0</v>
      </c>
      <c r="J151" s="1214">
        <f t="shared" si="781"/>
        <v>63</v>
      </c>
      <c r="K151" s="558">
        <f t="shared" si="782"/>
        <v>0.1</v>
      </c>
      <c r="L151" s="715">
        <f t="shared" si="783"/>
        <v>0.05</v>
      </c>
      <c r="M151" s="1173" t="s">
        <v>872</v>
      </c>
      <c r="N151" s="1174">
        <f t="shared" si="878"/>
        <v>617950.05000000005</v>
      </c>
      <c r="O151" s="1177">
        <v>1800000</v>
      </c>
      <c r="P151" s="173">
        <f t="shared" si="565"/>
        <v>2266405.89</v>
      </c>
      <c r="Q151" s="561">
        <f t="shared" si="744"/>
        <v>0</v>
      </c>
      <c r="R151" s="1112">
        <f t="shared" si="745"/>
        <v>2266405.89</v>
      </c>
      <c r="S151" s="1178"/>
      <c r="T151" s="975"/>
      <c r="U151" s="326">
        <f t="shared" si="822"/>
        <v>1191952.96</v>
      </c>
      <c r="V151" s="332">
        <f>(U151*1.7245)*1.03</f>
        <v>2117188.5659055999</v>
      </c>
      <c r="W151" s="173">
        <f t="shared" si="566"/>
        <v>2315389.23</v>
      </c>
      <c r="X151" s="561">
        <f t="shared" si="755"/>
        <v>0</v>
      </c>
      <c r="Y151" s="1112">
        <f t="shared" si="756"/>
        <v>2315389.23</v>
      </c>
      <c r="Z151" s="123"/>
      <c r="AA151" s="326"/>
      <c r="AB151" s="326">
        <f t="shared" si="823"/>
        <v>991124.13</v>
      </c>
      <c r="AC151" s="1177">
        <v>1800000</v>
      </c>
      <c r="AD151" s="173">
        <f t="shared" si="569"/>
        <v>0</v>
      </c>
      <c r="AE151" s="561">
        <f t="shared" si="757"/>
        <v>0</v>
      </c>
      <c r="AF151" s="1112">
        <f t="shared" si="758"/>
        <v>0</v>
      </c>
      <c r="AG151" s="1178"/>
      <c r="AH151" s="975"/>
      <c r="AI151" s="332">
        <f t="shared" si="824"/>
        <v>5717188.5659055999</v>
      </c>
      <c r="AJ151" s="140">
        <f t="shared" si="759"/>
        <v>6868031.0899999999</v>
      </c>
      <c r="AK151" s="326">
        <f t="shared" ref="AK151:AM151" si="903">AD151+W151+P151</f>
        <v>4581795.12</v>
      </c>
      <c r="AL151" s="326">
        <f t="shared" si="903"/>
        <v>0</v>
      </c>
      <c r="AM151" s="326">
        <f t="shared" si="903"/>
        <v>4581795.12</v>
      </c>
      <c r="AN151" s="326">
        <f t="shared" si="574"/>
        <v>-2286235.9699999997</v>
      </c>
      <c r="AO151" s="98">
        <f t="shared" si="899"/>
        <v>0.66711915830887714</v>
      </c>
      <c r="AP151" s="125">
        <f t="shared" si="826"/>
        <v>673836.49</v>
      </c>
      <c r="AQ151" s="326">
        <f t="shared" si="576"/>
        <v>2549977.7200000002</v>
      </c>
      <c r="AR151" s="326">
        <f t="shared" si="761"/>
        <v>0</v>
      </c>
      <c r="AS151" s="123">
        <f t="shared" si="762"/>
        <v>2549977.7200000002</v>
      </c>
      <c r="AT151" s="332">
        <f t="shared" si="827"/>
        <v>1014895.11</v>
      </c>
      <c r="AU151" s="140">
        <f t="shared" si="579"/>
        <v>1323787.42</v>
      </c>
      <c r="AV151" s="326">
        <f t="shared" si="763"/>
        <v>0</v>
      </c>
      <c r="AW151" s="333">
        <f t="shared" si="764"/>
        <v>1323787.42</v>
      </c>
      <c r="AX151" s="123">
        <f t="shared" si="828"/>
        <v>979621.57</v>
      </c>
      <c r="AY151" s="123">
        <f t="shared" si="582"/>
        <v>93126.85</v>
      </c>
      <c r="AZ151" s="123">
        <f t="shared" si="765"/>
        <v>31057.599999999999</v>
      </c>
      <c r="BA151" s="125">
        <f t="shared" si="766"/>
        <v>124184.45</v>
      </c>
      <c r="BB151" s="1175">
        <f t="shared" ref="BB151:BD151" si="904">SUM(AQ151,AU151,AY151)</f>
        <v>3966891.99</v>
      </c>
      <c r="BC151" s="326">
        <f t="shared" si="904"/>
        <v>31057.599999999999</v>
      </c>
      <c r="BD151" s="333">
        <f t="shared" si="904"/>
        <v>3997949.5900000003</v>
      </c>
      <c r="BE151" s="100">
        <f t="shared" si="586"/>
        <v>8548687.1099999994</v>
      </c>
      <c r="BF151" s="116">
        <f t="shared" ref="BF151:BG151" si="905">BC151+AL151</f>
        <v>31057.599999999999</v>
      </c>
      <c r="BG151" s="119">
        <f t="shared" si="905"/>
        <v>8579744.7100000009</v>
      </c>
      <c r="BH151" s="125">
        <f t="shared" si="831"/>
        <v>1039326.12</v>
      </c>
      <c r="BI151" s="1041">
        <f t="shared" si="588"/>
        <v>1962647.91</v>
      </c>
      <c r="BJ151" s="326">
        <f t="shared" si="769"/>
        <v>0</v>
      </c>
      <c r="BK151" s="1045">
        <f t="shared" si="770"/>
        <v>1962647.91</v>
      </c>
      <c r="BL151" s="125">
        <f t="shared" si="832"/>
        <v>166277.19</v>
      </c>
      <c r="BM151" s="140">
        <f t="shared" si="591"/>
        <v>1292746.23</v>
      </c>
      <c r="BN151" s="123">
        <f t="shared" si="771"/>
        <v>0</v>
      </c>
      <c r="BO151" s="148">
        <f t="shared" si="772"/>
        <v>1292746.23</v>
      </c>
      <c r="BP151" s="123">
        <f t="shared" si="833"/>
        <v>1268185.55</v>
      </c>
      <c r="BQ151" s="123">
        <f t="shared" si="594"/>
        <v>1091447.8500000001</v>
      </c>
      <c r="BR151" s="123">
        <f t="shared" si="773"/>
        <v>0</v>
      </c>
      <c r="BS151" s="125">
        <f t="shared" si="774"/>
        <v>1091447.8500000001</v>
      </c>
      <c r="BT151" s="586">
        <f t="shared" ref="BT151:BV151" si="906">SUM(BQ151,BM151,BI151)</f>
        <v>4346841.99</v>
      </c>
      <c r="BU151" s="1168">
        <f t="shared" si="906"/>
        <v>0</v>
      </c>
      <c r="BV151" s="1067">
        <f t="shared" si="906"/>
        <v>4346841.99</v>
      </c>
      <c r="BW151" s="125">
        <f t="shared" si="835"/>
        <v>3243018.33</v>
      </c>
      <c r="BX151" s="140">
        <f t="shared" si="610"/>
        <v>4758645.5</v>
      </c>
      <c r="BY151" s="123">
        <f t="shared" si="788"/>
        <v>0</v>
      </c>
      <c r="BZ151" s="148">
        <f t="shared" si="789"/>
        <v>4758645.5</v>
      </c>
      <c r="CA151" s="123">
        <f t="shared" si="836"/>
        <v>1339504.6399999999</v>
      </c>
      <c r="CB151" s="326">
        <f t="shared" si="837"/>
        <v>2285508.12</v>
      </c>
      <c r="CP151" s="294"/>
      <c r="CU151" s="294"/>
    </row>
    <row r="152" spans="1:115" ht="13">
      <c r="A152" s="566" t="e">
        <f t="shared" si="780"/>
        <v>#N/A</v>
      </c>
      <c r="B152" s="636">
        <f t="shared" si="750"/>
        <v>22</v>
      </c>
      <c r="C152" s="558">
        <f t="shared" si="790"/>
        <v>0.1</v>
      </c>
      <c r="D152" s="558">
        <f t="shared" si="791"/>
        <v>0.09</v>
      </c>
      <c r="E152" s="559">
        <f t="shared" si="792"/>
        <v>0</v>
      </c>
      <c r="F152" s="836">
        <f t="shared" si="751"/>
        <v>22</v>
      </c>
      <c r="G152" s="558">
        <f t="shared" si="752"/>
        <v>0.1</v>
      </c>
      <c r="H152" s="558">
        <f t="shared" si="753"/>
        <v>0.09</v>
      </c>
      <c r="I152" s="559">
        <f t="shared" si="754"/>
        <v>0</v>
      </c>
      <c r="J152" s="1214">
        <f t="shared" si="781"/>
        <v>63</v>
      </c>
      <c r="K152" s="558">
        <f t="shared" si="782"/>
        <v>0.1</v>
      </c>
      <c r="L152" s="715">
        <f t="shared" si="783"/>
        <v>0.05</v>
      </c>
      <c r="M152" s="1173" t="s">
        <v>1236</v>
      </c>
      <c r="N152" s="1174">
        <f t="shared" si="878"/>
        <v>240228.27</v>
      </c>
      <c r="O152" s="1177">
        <v>1800000</v>
      </c>
      <c r="P152" s="173" t="e">
        <f t="shared" si="565"/>
        <v>#VALUE!</v>
      </c>
      <c r="Q152" s="561" t="str">
        <f t="shared" si="744"/>
        <v/>
      </c>
      <c r="R152" s="1112">
        <f t="shared" si="745"/>
        <v>756790.97</v>
      </c>
      <c r="S152" s="1178"/>
      <c r="T152" s="975"/>
      <c r="U152" s="326">
        <f t="shared" si="822"/>
        <v>305219.13</v>
      </c>
      <c r="V152" s="1177">
        <v>1800000</v>
      </c>
      <c r="W152" s="173" t="e">
        <f t="shared" si="566"/>
        <v>#VALUE!</v>
      </c>
      <c r="X152" s="561" t="str">
        <f t="shared" si="755"/>
        <v/>
      </c>
      <c r="Y152" s="1112">
        <f t="shared" si="756"/>
        <v>217821.4</v>
      </c>
      <c r="Z152" s="1178"/>
      <c r="AA152" s="975"/>
      <c r="AB152" s="326">
        <f t="shared" si="823"/>
        <v>103662.84</v>
      </c>
      <c r="AC152" s="1177">
        <v>1800000</v>
      </c>
      <c r="AD152" s="173" t="e">
        <f t="shared" si="569"/>
        <v>#VALUE!</v>
      </c>
      <c r="AE152" s="561" t="str">
        <f t="shared" si="757"/>
        <v/>
      </c>
      <c r="AF152" s="1112">
        <f t="shared" si="758"/>
        <v>415138.82</v>
      </c>
      <c r="AG152" s="1178"/>
      <c r="AH152" s="975"/>
      <c r="AI152" s="332">
        <f t="shared" si="824"/>
        <v>5400000</v>
      </c>
      <c r="AJ152" s="140">
        <f t="shared" si="759"/>
        <v>1382203.94</v>
      </c>
      <c r="AK152" s="326" t="e">
        <f t="shared" ref="AK152:AM152" si="907">AD152+W152+P152</f>
        <v>#VALUE!</v>
      </c>
      <c r="AL152" s="326" t="e">
        <f t="shared" si="907"/>
        <v>#VALUE!</v>
      </c>
      <c r="AM152" s="326">
        <f t="shared" si="907"/>
        <v>1389751.19</v>
      </c>
      <c r="AN152" s="326">
        <f t="shared" si="574"/>
        <v>7547.25</v>
      </c>
      <c r="AO152" s="98">
        <f t="shared" si="899"/>
        <v>1.005460301321381</v>
      </c>
      <c r="AP152" s="125">
        <f t="shared" si="826"/>
        <v>165479.72</v>
      </c>
      <c r="AQ152" s="326" t="e">
        <f t="shared" si="576"/>
        <v>#VALUE!</v>
      </c>
      <c r="AR152" s="326" t="str">
        <f t="shared" si="761"/>
        <v/>
      </c>
      <c r="AS152" s="123">
        <f t="shared" si="762"/>
        <v>409271.08</v>
      </c>
      <c r="AT152" s="332">
        <f t="shared" si="827"/>
        <v>474653.4</v>
      </c>
      <c r="AU152" s="140" t="e">
        <f t="shared" si="579"/>
        <v>#VALUE!</v>
      </c>
      <c r="AV152" s="326" t="str">
        <f t="shared" si="763"/>
        <v/>
      </c>
      <c r="AW152" s="333">
        <f t="shared" si="764"/>
        <v>400207.87</v>
      </c>
      <c r="AX152" s="123">
        <f t="shared" si="828"/>
        <v>115587.36</v>
      </c>
      <c r="AY152" s="123" t="e">
        <f t="shared" si="582"/>
        <v>#VALUE!</v>
      </c>
      <c r="AZ152" s="123" t="str">
        <f t="shared" si="765"/>
        <v/>
      </c>
      <c r="BA152" s="125">
        <f t="shared" si="766"/>
        <v>270175.15000000002</v>
      </c>
      <c r="BB152" s="1175" t="e">
        <f t="shared" ref="BB152:BD152" si="908">SUM(AQ152,AU152,AY152)</f>
        <v>#VALUE!</v>
      </c>
      <c r="BC152" s="326">
        <f t="shared" si="908"/>
        <v>0</v>
      </c>
      <c r="BD152" s="333">
        <f t="shared" si="908"/>
        <v>1079654.1000000001</v>
      </c>
      <c r="BE152" s="100" t="e">
        <f t="shared" si="586"/>
        <v>#VALUE!</v>
      </c>
      <c r="BF152" s="116" t="e">
        <f t="shared" ref="BF152:BG152" si="909">BC152+AL152</f>
        <v>#VALUE!</v>
      </c>
      <c r="BG152" s="119">
        <f t="shared" si="909"/>
        <v>2469405.29</v>
      </c>
      <c r="BH152" s="125">
        <f t="shared" si="831"/>
        <v>442680.29</v>
      </c>
      <c r="BI152" s="1041" t="e">
        <f t="shared" si="588"/>
        <v>#VALUE!</v>
      </c>
      <c r="BJ152" s="326" t="str">
        <f t="shared" si="769"/>
        <v/>
      </c>
      <c r="BK152" s="1045">
        <f t="shared" si="770"/>
        <v>558857.07999999996</v>
      </c>
      <c r="BL152" s="125">
        <f t="shared" si="832"/>
        <v>449069.84</v>
      </c>
      <c r="BM152" s="140" t="e">
        <f t="shared" si="591"/>
        <v>#VALUE!</v>
      </c>
      <c r="BN152" s="123" t="str">
        <f t="shared" si="771"/>
        <v/>
      </c>
      <c r="BO152" s="148">
        <f t="shared" si="772"/>
        <v>366752.94</v>
      </c>
      <c r="BP152" s="123">
        <f t="shared" si="833"/>
        <v>461018.14</v>
      </c>
      <c r="BQ152" s="123" t="e">
        <f t="shared" si="594"/>
        <v>#VALUE!</v>
      </c>
      <c r="BR152" s="123" t="str">
        <f t="shared" si="773"/>
        <v/>
      </c>
      <c r="BS152" s="125">
        <f t="shared" si="774"/>
        <v>488483.01</v>
      </c>
      <c r="BT152" s="586" t="e">
        <f t="shared" ref="BT152:BV152" si="910">SUM(BQ152,BM152,BI152)</f>
        <v>#VALUE!</v>
      </c>
      <c r="BU152" s="1168">
        <f t="shared" si="910"/>
        <v>0</v>
      </c>
      <c r="BV152" s="1067">
        <f t="shared" si="910"/>
        <v>1414093.0299999998</v>
      </c>
      <c r="BW152" s="125">
        <f t="shared" si="835"/>
        <v>691922.43</v>
      </c>
      <c r="BX152" s="140" t="e">
        <f t="shared" si="610"/>
        <v>#VALUE!</v>
      </c>
      <c r="BY152" s="123" t="str">
        <f t="shared" si="788"/>
        <v/>
      </c>
      <c r="BZ152" s="148">
        <f t="shared" si="789"/>
        <v>351101.14</v>
      </c>
      <c r="CA152" s="123">
        <f t="shared" si="836"/>
        <v>292728.53999999998</v>
      </c>
      <c r="CB152" s="326">
        <f t="shared" si="837"/>
        <v>397552.97</v>
      </c>
      <c r="CP152" s="294"/>
      <c r="CU152" s="294"/>
    </row>
    <row r="153" spans="1:115" ht="13">
      <c r="A153" s="566" t="e">
        <f t="shared" si="780"/>
        <v>#N/A</v>
      </c>
      <c r="B153" s="636">
        <f t="shared" si="750"/>
        <v>22</v>
      </c>
      <c r="C153" s="558">
        <f t="shared" si="790"/>
        <v>0.1</v>
      </c>
      <c r="D153" s="558">
        <f t="shared" si="791"/>
        <v>0.09</v>
      </c>
      <c r="E153" s="559">
        <f t="shared" si="792"/>
        <v>0</v>
      </c>
      <c r="F153" s="836">
        <f t="shared" si="751"/>
        <v>22</v>
      </c>
      <c r="G153" s="558">
        <f t="shared" si="752"/>
        <v>0.1</v>
      </c>
      <c r="H153" s="558">
        <f t="shared" si="753"/>
        <v>0.09</v>
      </c>
      <c r="I153" s="559">
        <f t="shared" si="754"/>
        <v>0</v>
      </c>
      <c r="J153" s="1214">
        <f t="shared" si="781"/>
        <v>63</v>
      </c>
      <c r="K153" s="558">
        <f t="shared" si="782"/>
        <v>0.1</v>
      </c>
      <c r="L153" s="715">
        <f t="shared" si="783"/>
        <v>0.05</v>
      </c>
      <c r="M153" s="1173" t="s">
        <v>1121</v>
      </c>
      <c r="N153" s="1174"/>
      <c r="O153" s="332"/>
      <c r="P153" s="173" t="e">
        <f t="shared" si="565"/>
        <v>#VALUE!</v>
      </c>
      <c r="Q153" s="561" t="str">
        <f t="shared" si="744"/>
        <v/>
      </c>
      <c r="R153" s="1112">
        <f t="shared" si="745"/>
        <v>0</v>
      </c>
      <c r="S153" s="123"/>
      <c r="T153" s="326"/>
      <c r="U153" s="326" t="str">
        <f t="shared" si="822"/>
        <v/>
      </c>
      <c r="V153" s="332" t="e">
        <f t="shared" ref="V153:V154" si="911">(U153*1.7245)*1.03</f>
        <v>#VALUE!</v>
      </c>
      <c r="W153" s="173" t="e">
        <f t="shared" si="566"/>
        <v>#VALUE!</v>
      </c>
      <c r="X153" s="561" t="str">
        <f t="shared" si="755"/>
        <v/>
      </c>
      <c r="Y153" s="1112">
        <f t="shared" si="756"/>
        <v>0</v>
      </c>
      <c r="Z153" s="123"/>
      <c r="AA153" s="326"/>
      <c r="AB153" s="326" t="str">
        <f t="shared" si="823"/>
        <v/>
      </c>
      <c r="AC153" s="332" t="e">
        <f t="shared" ref="AC153:AC154" si="912">(AB153*1.5955)*1.03</f>
        <v>#VALUE!</v>
      </c>
      <c r="AD153" s="173" t="e">
        <f t="shared" si="569"/>
        <v>#VALUE!</v>
      </c>
      <c r="AE153" s="561" t="str">
        <f t="shared" si="757"/>
        <v/>
      </c>
      <c r="AF153" s="1112">
        <f t="shared" si="758"/>
        <v>0</v>
      </c>
      <c r="AG153" s="123"/>
      <c r="AH153" s="326"/>
      <c r="AI153" s="332" t="e">
        <f t="shared" si="824"/>
        <v>#VALUE!</v>
      </c>
      <c r="AJ153" s="140">
        <f t="shared" si="759"/>
        <v>78719.89</v>
      </c>
      <c r="AK153" s="326" t="e">
        <f t="shared" ref="AK153:AM153" si="913">AD153+W153+P153</f>
        <v>#VALUE!</v>
      </c>
      <c r="AL153" s="326" t="e">
        <f t="shared" si="913"/>
        <v>#VALUE!</v>
      </c>
      <c r="AM153" s="326">
        <f t="shared" si="913"/>
        <v>0</v>
      </c>
      <c r="AN153" s="326">
        <f t="shared" si="574"/>
        <v>-78719.89</v>
      </c>
      <c r="AO153" s="98">
        <f t="shared" si="899"/>
        <v>0</v>
      </c>
      <c r="AP153" s="125" t="str">
        <f t="shared" si="826"/>
        <v/>
      </c>
      <c r="AQ153" s="326" t="e">
        <f t="shared" si="576"/>
        <v>#VALUE!</v>
      </c>
      <c r="AR153" s="326" t="str">
        <f t="shared" si="761"/>
        <v/>
      </c>
      <c r="AS153" s="123">
        <f t="shared" si="762"/>
        <v>0</v>
      </c>
      <c r="AT153" s="332"/>
      <c r="AU153" s="140" t="e">
        <f t="shared" si="579"/>
        <v>#VALUE!</v>
      </c>
      <c r="AV153" s="326" t="str">
        <f t="shared" si="763"/>
        <v/>
      </c>
      <c r="AW153" s="333">
        <f t="shared" si="764"/>
        <v>0</v>
      </c>
      <c r="AX153" s="123"/>
      <c r="AY153" s="123" t="e">
        <f t="shared" si="582"/>
        <v>#VALUE!</v>
      </c>
      <c r="AZ153" s="123" t="str">
        <f t="shared" si="765"/>
        <v/>
      </c>
      <c r="BA153" s="125">
        <f t="shared" si="766"/>
        <v>30695.11</v>
      </c>
      <c r="BB153" s="1175" t="e">
        <f t="shared" ref="BB153:BD153" si="914">SUM(AQ153,AU153,AY153)</f>
        <v>#VALUE!</v>
      </c>
      <c r="BC153" s="326">
        <f t="shared" si="914"/>
        <v>0</v>
      </c>
      <c r="BD153" s="333">
        <f t="shared" si="914"/>
        <v>30695.11</v>
      </c>
      <c r="BE153" s="100" t="e">
        <f t="shared" si="586"/>
        <v>#VALUE!</v>
      </c>
      <c r="BF153" s="116" t="e">
        <f t="shared" ref="BF153:BG153" si="915">BC153+AL153</f>
        <v>#VALUE!</v>
      </c>
      <c r="BG153" s="119">
        <f t="shared" si="915"/>
        <v>30695.11</v>
      </c>
      <c r="BH153" s="125"/>
      <c r="BI153" s="1041" t="e">
        <f t="shared" si="588"/>
        <v>#VALUE!</v>
      </c>
      <c r="BJ153" s="326" t="str">
        <f t="shared" si="769"/>
        <v/>
      </c>
      <c r="BK153" s="1045">
        <f t="shared" si="770"/>
        <v>0</v>
      </c>
      <c r="BL153" s="125"/>
      <c r="BM153" s="140" t="e">
        <f t="shared" si="591"/>
        <v>#VALUE!</v>
      </c>
      <c r="BN153" s="123" t="str">
        <f t="shared" si="771"/>
        <v/>
      </c>
      <c r="BO153" s="148">
        <f t="shared" si="772"/>
        <v>234157.61</v>
      </c>
      <c r="BP153" s="123"/>
      <c r="BQ153" s="123" t="e">
        <f t="shared" si="594"/>
        <v>#VALUE!</v>
      </c>
      <c r="BR153" s="123" t="str">
        <f t="shared" si="773"/>
        <v/>
      </c>
      <c r="BS153" s="125">
        <f t="shared" si="774"/>
        <v>0</v>
      </c>
      <c r="BT153" s="586" t="e">
        <f t="shared" ref="BT153:BV153" si="916">SUM(BQ153,BM153,BI153)</f>
        <v>#VALUE!</v>
      </c>
      <c r="BU153" s="1168">
        <f t="shared" si="916"/>
        <v>0</v>
      </c>
      <c r="BV153" s="1067">
        <f t="shared" si="916"/>
        <v>234157.61</v>
      </c>
      <c r="BW153" s="125"/>
      <c r="BX153" s="140" t="e">
        <f t="shared" si="610"/>
        <v>#VALUE!</v>
      </c>
      <c r="BY153" s="123" t="str">
        <f t="shared" si="788"/>
        <v/>
      </c>
      <c r="BZ153" s="148">
        <f t="shared" si="789"/>
        <v>19817.580000000002</v>
      </c>
      <c r="CA153" s="123"/>
      <c r="CB153" s="326"/>
      <c r="CP153" s="294"/>
      <c r="CU153" s="294"/>
    </row>
    <row r="154" spans="1:115" ht="13">
      <c r="A154" s="566" t="e">
        <f t="shared" si="780"/>
        <v>#N/A</v>
      </c>
      <c r="B154" s="636">
        <f t="shared" si="750"/>
        <v>22</v>
      </c>
      <c r="C154" s="558">
        <f t="shared" si="790"/>
        <v>0.1</v>
      </c>
      <c r="D154" s="558">
        <f t="shared" si="791"/>
        <v>0.09</v>
      </c>
      <c r="E154" s="559">
        <f t="shared" si="792"/>
        <v>0</v>
      </c>
      <c r="F154" s="836">
        <f t="shared" si="751"/>
        <v>22</v>
      </c>
      <c r="G154" s="558">
        <f t="shared" si="752"/>
        <v>0.1</v>
      </c>
      <c r="H154" s="558">
        <f t="shared" si="753"/>
        <v>0.09</v>
      </c>
      <c r="I154" s="559">
        <f t="shared" si="754"/>
        <v>0</v>
      </c>
      <c r="J154" s="1214">
        <f t="shared" si="781"/>
        <v>63</v>
      </c>
      <c r="K154" s="558">
        <f t="shared" si="782"/>
        <v>0.1</v>
      </c>
      <c r="L154" s="715">
        <f t="shared" si="783"/>
        <v>0.05</v>
      </c>
      <c r="M154" s="1173" t="s">
        <v>1237</v>
      </c>
      <c r="N154" s="1174"/>
      <c r="O154" s="332"/>
      <c r="P154" s="173" t="e">
        <f t="shared" si="565"/>
        <v>#VALUE!</v>
      </c>
      <c r="Q154" s="561" t="str">
        <f t="shared" si="744"/>
        <v/>
      </c>
      <c r="R154" s="1112">
        <f t="shared" si="745"/>
        <v>0</v>
      </c>
      <c r="S154" s="123"/>
      <c r="T154" s="326"/>
      <c r="U154" s="326" t="str">
        <f t="shared" si="822"/>
        <v/>
      </c>
      <c r="V154" s="332" t="e">
        <f t="shared" si="911"/>
        <v>#VALUE!</v>
      </c>
      <c r="W154" s="173" t="e">
        <f t="shared" si="566"/>
        <v>#VALUE!</v>
      </c>
      <c r="X154" s="561" t="str">
        <f t="shared" si="755"/>
        <v/>
      </c>
      <c r="Y154" s="1112">
        <f t="shared" si="756"/>
        <v>0</v>
      </c>
      <c r="Z154" s="123"/>
      <c r="AA154" s="326"/>
      <c r="AB154" s="326" t="str">
        <f t="shared" si="823"/>
        <v/>
      </c>
      <c r="AC154" s="332" t="e">
        <f t="shared" si="912"/>
        <v>#VALUE!</v>
      </c>
      <c r="AD154" s="173" t="e">
        <f t="shared" si="569"/>
        <v>#VALUE!</v>
      </c>
      <c r="AE154" s="561" t="str">
        <f t="shared" si="757"/>
        <v/>
      </c>
      <c r="AF154" s="1112">
        <f t="shared" si="758"/>
        <v>0</v>
      </c>
      <c r="AG154" s="123"/>
      <c r="AH154" s="326"/>
      <c r="AI154" s="332" t="e">
        <f t="shared" si="824"/>
        <v>#VALUE!</v>
      </c>
      <c r="AJ154" s="140" t="str">
        <f t="shared" si="759"/>
        <v>0</v>
      </c>
      <c r="AK154" s="326" t="e">
        <f t="shared" ref="AK154:AM154" si="917">AD154+W154+P154</f>
        <v>#VALUE!</v>
      </c>
      <c r="AL154" s="326" t="e">
        <f t="shared" si="917"/>
        <v>#VALUE!</v>
      </c>
      <c r="AM154" s="326">
        <f t="shared" si="917"/>
        <v>0</v>
      </c>
      <c r="AN154" s="326">
        <f t="shared" si="574"/>
        <v>0</v>
      </c>
      <c r="AO154" s="98" t="str">
        <f t="shared" si="899"/>
        <v/>
      </c>
      <c r="AP154" s="125" t="str">
        <f t="shared" si="826"/>
        <v/>
      </c>
      <c r="AQ154" s="326" t="e">
        <f t="shared" si="576"/>
        <v>#VALUE!</v>
      </c>
      <c r="AR154" s="326" t="str">
        <f t="shared" si="761"/>
        <v/>
      </c>
      <c r="AS154" s="123">
        <f t="shared" si="762"/>
        <v>0</v>
      </c>
      <c r="AT154" s="332"/>
      <c r="AU154" s="140" t="e">
        <f t="shared" si="579"/>
        <v>#VALUE!</v>
      </c>
      <c r="AV154" s="326" t="str">
        <f t="shared" si="763"/>
        <v/>
      </c>
      <c r="AW154" s="333">
        <f t="shared" si="764"/>
        <v>0</v>
      </c>
      <c r="AX154" s="123"/>
      <c r="AY154" s="123" t="e">
        <f t="shared" si="582"/>
        <v>#VALUE!</v>
      </c>
      <c r="AZ154" s="123" t="str">
        <f t="shared" si="765"/>
        <v/>
      </c>
      <c r="BA154" s="125">
        <f t="shared" si="766"/>
        <v>0</v>
      </c>
      <c r="BB154" s="1175" t="e">
        <f t="shared" ref="BB154:BD154" si="918">SUM(AQ154,AU154,AY154)</f>
        <v>#VALUE!</v>
      </c>
      <c r="BC154" s="326">
        <f t="shared" si="918"/>
        <v>0</v>
      </c>
      <c r="BD154" s="333">
        <f t="shared" si="918"/>
        <v>0</v>
      </c>
      <c r="BE154" s="100" t="e">
        <f t="shared" si="586"/>
        <v>#VALUE!</v>
      </c>
      <c r="BF154" s="116" t="e">
        <f t="shared" ref="BF154:BG154" si="919">BC154+AL154</f>
        <v>#VALUE!</v>
      </c>
      <c r="BG154" s="119">
        <f t="shared" si="919"/>
        <v>0</v>
      </c>
      <c r="BH154" s="125"/>
      <c r="BI154" s="1041" t="e">
        <f t="shared" si="588"/>
        <v>#VALUE!</v>
      </c>
      <c r="BJ154" s="326" t="str">
        <f t="shared" si="769"/>
        <v/>
      </c>
      <c r="BK154" s="1045">
        <f t="shared" si="770"/>
        <v>186603.1</v>
      </c>
      <c r="BL154" s="125"/>
      <c r="BM154" s="140" t="e">
        <f t="shared" si="591"/>
        <v>#VALUE!</v>
      </c>
      <c r="BN154" s="123" t="str">
        <f t="shared" si="771"/>
        <v/>
      </c>
      <c r="BO154" s="148">
        <f t="shared" si="772"/>
        <v>221911.24</v>
      </c>
      <c r="BP154" s="123"/>
      <c r="BQ154" s="123" t="e">
        <f t="shared" si="594"/>
        <v>#VALUE!</v>
      </c>
      <c r="BR154" s="123" t="str">
        <f t="shared" si="773"/>
        <v/>
      </c>
      <c r="BS154" s="125">
        <f t="shared" si="774"/>
        <v>340549.61</v>
      </c>
      <c r="BT154" s="586" t="e">
        <f t="shared" ref="BT154:BV154" si="920">SUM(BQ154,BM154,BI154)</f>
        <v>#VALUE!</v>
      </c>
      <c r="BU154" s="1168">
        <f t="shared" si="920"/>
        <v>0</v>
      </c>
      <c r="BV154" s="1067">
        <f t="shared" si="920"/>
        <v>749063.95</v>
      </c>
      <c r="BW154" s="125"/>
      <c r="BX154" s="140" t="e">
        <f t="shared" si="610"/>
        <v>#VALUE!</v>
      </c>
      <c r="BY154" s="123" t="str">
        <f t="shared" si="788"/>
        <v/>
      </c>
      <c r="BZ154" s="148">
        <f t="shared" si="789"/>
        <v>456429.76</v>
      </c>
      <c r="CA154" s="123"/>
      <c r="CB154" s="326"/>
      <c r="CP154" s="294"/>
      <c r="CU154" s="294"/>
    </row>
    <row r="155" spans="1:115" ht="13">
      <c r="A155" s="566" t="e">
        <f t="shared" si="780"/>
        <v>#N/A</v>
      </c>
      <c r="B155" s="636">
        <f t="shared" si="750"/>
        <v>31</v>
      </c>
      <c r="C155" s="558">
        <f t="shared" si="790"/>
        <v>0.1</v>
      </c>
      <c r="D155" s="558">
        <f t="shared" si="791"/>
        <v>0.23</v>
      </c>
      <c r="E155" s="559">
        <f t="shared" si="792"/>
        <v>0</v>
      </c>
      <c r="F155" s="836">
        <f t="shared" si="751"/>
        <v>31</v>
      </c>
      <c r="G155" s="558">
        <f t="shared" si="752"/>
        <v>0.1</v>
      </c>
      <c r="H155" s="558">
        <f t="shared" si="753"/>
        <v>0.23</v>
      </c>
      <c r="I155" s="559">
        <f t="shared" si="754"/>
        <v>0</v>
      </c>
      <c r="J155" s="1214">
        <f t="shared" si="781"/>
        <v>61</v>
      </c>
      <c r="K155" s="558">
        <f t="shared" si="782"/>
        <v>0.1</v>
      </c>
      <c r="L155" s="715">
        <f t="shared" si="783"/>
        <v>0.14000000000000001</v>
      </c>
      <c r="M155" s="1192" t="s">
        <v>1238</v>
      </c>
      <c r="N155" s="1174" t="str">
        <f t="shared" ref="N155:N160" si="921">IFERROR(VLOOKUP(M155,MARUCA24,3,FALSE),"")</f>
        <v/>
      </c>
      <c r="O155" s="1177">
        <v>1800000</v>
      </c>
      <c r="P155" s="173">
        <f t="shared" si="565"/>
        <v>0</v>
      </c>
      <c r="Q155" s="561">
        <f t="shared" si="744"/>
        <v>0</v>
      </c>
      <c r="R155" s="1112">
        <f t="shared" si="745"/>
        <v>0</v>
      </c>
      <c r="S155" s="1178"/>
      <c r="T155" s="975"/>
      <c r="U155" s="326" t="str">
        <f t="shared" si="822"/>
        <v/>
      </c>
      <c r="V155" s="1177">
        <v>1800000</v>
      </c>
      <c r="W155" s="173">
        <f t="shared" si="566"/>
        <v>0</v>
      </c>
      <c r="X155" s="561">
        <f t="shared" si="755"/>
        <v>0</v>
      </c>
      <c r="Y155" s="1112">
        <f t="shared" si="756"/>
        <v>0</v>
      </c>
      <c r="Z155" s="1178"/>
      <c r="AA155" s="975"/>
      <c r="AB155" s="326" t="str">
        <f t="shared" si="823"/>
        <v/>
      </c>
      <c r="AC155" s="1177">
        <v>1800000</v>
      </c>
      <c r="AD155" s="173">
        <f t="shared" si="569"/>
        <v>0</v>
      </c>
      <c r="AE155" s="561">
        <f t="shared" si="757"/>
        <v>0</v>
      </c>
      <c r="AF155" s="1112">
        <f t="shared" si="758"/>
        <v>0</v>
      </c>
      <c r="AG155" s="1178"/>
      <c r="AH155" s="975"/>
      <c r="AI155" s="332">
        <f t="shared" si="824"/>
        <v>5400000</v>
      </c>
      <c r="AJ155" s="140" t="str">
        <f t="shared" si="759"/>
        <v>0</v>
      </c>
      <c r="AK155" s="326">
        <f t="shared" ref="AK155:AM155" si="922">AD155+W155+P155</f>
        <v>0</v>
      </c>
      <c r="AL155" s="326">
        <f t="shared" si="922"/>
        <v>0</v>
      </c>
      <c r="AM155" s="326">
        <f t="shared" si="922"/>
        <v>0</v>
      </c>
      <c r="AN155" s="326">
        <f t="shared" si="574"/>
        <v>0</v>
      </c>
      <c r="AO155" s="98" t="str">
        <f t="shared" si="899"/>
        <v/>
      </c>
      <c r="AP155" s="125" t="str">
        <f t="shared" si="826"/>
        <v/>
      </c>
      <c r="AQ155" s="326">
        <f t="shared" si="576"/>
        <v>0</v>
      </c>
      <c r="AR155" s="326">
        <f t="shared" si="761"/>
        <v>0</v>
      </c>
      <c r="AS155" s="123">
        <f t="shared" si="762"/>
        <v>0</v>
      </c>
      <c r="AT155" s="332" t="str">
        <f t="shared" ref="AT155:AT160" si="923">IFERROR(VLOOKUP(M155,MARUCA24,7,FALSE),"")</f>
        <v/>
      </c>
      <c r="AU155" s="140">
        <f t="shared" si="579"/>
        <v>0</v>
      </c>
      <c r="AV155" s="326">
        <f t="shared" si="763"/>
        <v>0</v>
      </c>
      <c r="AW155" s="333">
        <f t="shared" si="764"/>
        <v>0</v>
      </c>
      <c r="AX155" s="123" t="str">
        <f t="shared" ref="AX155:AX160" si="924">IFERROR(VLOOKUP(M155,MARUCA24,8,FALSE),"")</f>
        <v/>
      </c>
      <c r="AY155" s="123">
        <f t="shared" si="582"/>
        <v>0</v>
      </c>
      <c r="AZ155" s="123">
        <f t="shared" si="765"/>
        <v>0</v>
      </c>
      <c r="BA155" s="125">
        <f t="shared" si="766"/>
        <v>0</v>
      </c>
      <c r="BB155" s="1175">
        <f t="shared" ref="BB155:BD155" si="925">SUM(AQ155,AU155,AY155)</f>
        <v>0</v>
      </c>
      <c r="BC155" s="326">
        <f t="shared" si="925"/>
        <v>0</v>
      </c>
      <c r="BD155" s="333">
        <f t="shared" si="925"/>
        <v>0</v>
      </c>
      <c r="BE155" s="100">
        <f t="shared" si="586"/>
        <v>0</v>
      </c>
      <c r="BF155" s="116">
        <f t="shared" ref="BF155:BG155" si="926">BC155+AL155</f>
        <v>0</v>
      </c>
      <c r="BG155" s="119">
        <f t="shared" si="926"/>
        <v>0</v>
      </c>
      <c r="BH155" s="125" t="str">
        <f t="shared" ref="BH155:BH160" si="927">IFERROR(VLOOKUP(M155,MARUCA24,9,FALSE),"")</f>
        <v/>
      </c>
      <c r="BI155" s="1041">
        <f t="shared" si="588"/>
        <v>0</v>
      </c>
      <c r="BJ155" s="326">
        <f t="shared" si="769"/>
        <v>0</v>
      </c>
      <c r="BK155" s="1045">
        <f t="shared" si="770"/>
        <v>0</v>
      </c>
      <c r="BL155" s="125" t="str">
        <f t="shared" ref="BL155:BL160" si="928">IFERROR(VLOOKUP(M155,MARUCA24,10,FALSE),"")</f>
        <v/>
      </c>
      <c r="BM155" s="140">
        <f t="shared" si="591"/>
        <v>0</v>
      </c>
      <c r="BN155" s="123">
        <f t="shared" si="771"/>
        <v>62978.69</v>
      </c>
      <c r="BO155" s="148">
        <f t="shared" si="772"/>
        <v>62978.69</v>
      </c>
      <c r="BP155" s="123" t="str">
        <f t="shared" ref="BP155:BP160" si="929">IFERROR(VLOOKUP(M155,MARUCA24,11,FALSE),"")</f>
        <v/>
      </c>
      <c r="BQ155" s="123">
        <f t="shared" si="594"/>
        <v>0</v>
      </c>
      <c r="BR155" s="123">
        <f t="shared" si="773"/>
        <v>256438.95</v>
      </c>
      <c r="BS155" s="125">
        <f t="shared" si="774"/>
        <v>256438.95</v>
      </c>
      <c r="BT155" s="586">
        <f t="shared" ref="BT155:BV155" si="930">SUM(BQ155,BM155,BI155)</f>
        <v>0</v>
      </c>
      <c r="BU155" s="1168">
        <f t="shared" si="930"/>
        <v>319417.64</v>
      </c>
      <c r="BV155" s="1067">
        <f t="shared" si="930"/>
        <v>319417.64</v>
      </c>
      <c r="BW155" s="125" t="str">
        <f t="shared" ref="BW155:BW160" si="931">IFERROR(VLOOKUP(M155,MARUCA24,12,FALSE),"")</f>
        <v/>
      </c>
      <c r="BX155" s="140">
        <f t="shared" si="610"/>
        <v>32595.840000000026</v>
      </c>
      <c r="BY155" s="123">
        <f t="shared" si="788"/>
        <v>197443.55</v>
      </c>
      <c r="BZ155" s="148">
        <f t="shared" si="789"/>
        <v>230039.39</v>
      </c>
      <c r="CA155" s="123" t="str">
        <f t="shared" ref="CA155:CA160" si="932">IFERROR(VLOOKUP(M155,MARUCA24,13,FALSE),"")</f>
        <v/>
      </c>
      <c r="CB155" s="326" t="str">
        <f t="shared" ref="CB155:CB160" si="933">IFERROR(VLOOKUP(M155,MARUCA24,14,FALSE),"")</f>
        <v/>
      </c>
      <c r="CP155" s="294"/>
      <c r="CU155" s="294"/>
    </row>
    <row r="156" spans="1:115" ht="13">
      <c r="A156" s="566" t="e">
        <f t="shared" si="780"/>
        <v>#N/A</v>
      </c>
      <c r="B156" s="636">
        <f t="shared" si="750"/>
        <v>4</v>
      </c>
      <c r="C156" s="558" t="str">
        <f t="shared" si="790"/>
        <v>Lista</v>
      </c>
      <c r="D156" s="558">
        <f t="shared" si="791"/>
        <v>0.2</v>
      </c>
      <c r="E156" s="559">
        <f t="shared" si="792"/>
        <v>0</v>
      </c>
      <c r="F156" s="836">
        <f t="shared" si="751"/>
        <v>4</v>
      </c>
      <c r="G156" s="558" t="str">
        <f t="shared" si="752"/>
        <v>Lista</v>
      </c>
      <c r="H156" s="558">
        <f t="shared" si="753"/>
        <v>0.2</v>
      </c>
      <c r="I156" s="559">
        <f t="shared" si="754"/>
        <v>0</v>
      </c>
      <c r="J156" s="1214">
        <f t="shared" si="781"/>
        <v>70</v>
      </c>
      <c r="K156" s="558" t="str">
        <f t="shared" si="782"/>
        <v>Lista</v>
      </c>
      <c r="L156" s="715">
        <f t="shared" si="783"/>
        <v>0.11</v>
      </c>
      <c r="M156" s="1173" t="s">
        <v>1239</v>
      </c>
      <c r="N156" s="1174">
        <f t="shared" si="921"/>
        <v>267336</v>
      </c>
      <c r="O156" s="332">
        <f t="shared" ref="O156:O160" si="934">(N156*1.601)*1.05</f>
        <v>449405.18280000001</v>
      </c>
      <c r="P156" s="173">
        <f t="shared" si="565"/>
        <v>0</v>
      </c>
      <c r="Q156" s="561">
        <f t="shared" si="744"/>
        <v>140987.6</v>
      </c>
      <c r="R156" s="1112">
        <f t="shared" si="745"/>
        <v>140987.6</v>
      </c>
      <c r="S156" s="123"/>
      <c r="T156" s="326"/>
      <c r="U156" s="326">
        <f t="shared" si="822"/>
        <v>0</v>
      </c>
      <c r="V156" s="332">
        <f t="shared" ref="V156:V160" si="935">(U156*1.7245)*1.03</f>
        <v>0</v>
      </c>
      <c r="W156" s="173">
        <f t="shared" si="566"/>
        <v>0</v>
      </c>
      <c r="X156" s="561">
        <f t="shared" si="755"/>
        <v>329934.40000000002</v>
      </c>
      <c r="Y156" s="1112">
        <f t="shared" si="756"/>
        <v>329934.40000000002</v>
      </c>
      <c r="Z156" s="123"/>
      <c r="AA156" s="326"/>
      <c r="AB156" s="326">
        <f t="shared" si="823"/>
        <v>640036.80000000005</v>
      </c>
      <c r="AC156" s="332">
        <f t="shared" ref="AC156:AC160" si="936">(AB156*1.5955)*1.03</f>
        <v>1051814.075832</v>
      </c>
      <c r="AD156" s="173">
        <f t="shared" si="569"/>
        <v>0</v>
      </c>
      <c r="AE156" s="561">
        <f t="shared" si="757"/>
        <v>670805.6</v>
      </c>
      <c r="AF156" s="1112">
        <f t="shared" si="758"/>
        <v>670805.6</v>
      </c>
      <c r="AG156" s="123"/>
      <c r="AH156" s="326"/>
      <c r="AI156" s="332">
        <f t="shared" si="824"/>
        <v>1501219.2586320001</v>
      </c>
      <c r="AJ156" s="140">
        <f t="shared" si="759"/>
        <v>1165865.2</v>
      </c>
      <c r="AK156" s="326">
        <f t="shared" ref="AK156:AM156" si="937">AD156+W156+P156</f>
        <v>0</v>
      </c>
      <c r="AL156" s="326">
        <f t="shared" si="937"/>
        <v>1141727.6000000001</v>
      </c>
      <c r="AM156" s="326">
        <f t="shared" si="937"/>
        <v>1141727.6000000001</v>
      </c>
      <c r="AN156" s="326">
        <f t="shared" si="574"/>
        <v>-24137.59999999986</v>
      </c>
      <c r="AO156" s="98">
        <f t="shared" si="899"/>
        <v>0.97929640579374022</v>
      </c>
      <c r="AP156" s="125">
        <f t="shared" si="826"/>
        <v>0</v>
      </c>
      <c r="AQ156" s="326">
        <f t="shared" si="576"/>
        <v>0</v>
      </c>
      <c r="AR156" s="326">
        <f t="shared" si="761"/>
        <v>0</v>
      </c>
      <c r="AS156" s="123">
        <f t="shared" si="762"/>
        <v>0</v>
      </c>
      <c r="AT156" s="332">
        <f t="shared" si="923"/>
        <v>675553.2</v>
      </c>
      <c r="AU156" s="140">
        <f t="shared" si="579"/>
        <v>0</v>
      </c>
      <c r="AV156" s="326">
        <f t="shared" si="763"/>
        <v>0</v>
      </c>
      <c r="AW156" s="333">
        <f t="shared" si="764"/>
        <v>0</v>
      </c>
      <c r="AX156" s="123">
        <f t="shared" si="924"/>
        <v>0</v>
      </c>
      <c r="AY156" s="123">
        <f t="shared" si="582"/>
        <v>0</v>
      </c>
      <c r="AZ156" s="123">
        <f t="shared" si="765"/>
        <v>0</v>
      </c>
      <c r="BA156" s="125">
        <f t="shared" si="766"/>
        <v>0</v>
      </c>
      <c r="BB156" s="1175">
        <f t="shared" ref="BB156:BD156" si="938">SUM(AQ156,AU156,AY156)</f>
        <v>0</v>
      </c>
      <c r="BC156" s="326">
        <f t="shared" si="938"/>
        <v>0</v>
      </c>
      <c r="BD156" s="333">
        <f t="shared" si="938"/>
        <v>0</v>
      </c>
      <c r="BE156" s="100">
        <f t="shared" si="586"/>
        <v>0</v>
      </c>
      <c r="BF156" s="116">
        <f t="shared" ref="BF156:BG156" si="939">BC156+AL156</f>
        <v>1141727.6000000001</v>
      </c>
      <c r="BG156" s="119">
        <f t="shared" si="939"/>
        <v>1141727.6000000001</v>
      </c>
      <c r="BH156" s="125">
        <f t="shared" si="927"/>
        <v>418885.2</v>
      </c>
      <c r="BI156" s="1041">
        <f t="shared" si="588"/>
        <v>0</v>
      </c>
      <c r="BJ156" s="326">
        <f t="shared" si="769"/>
        <v>0</v>
      </c>
      <c r="BK156" s="1045">
        <f t="shared" si="770"/>
        <v>0</v>
      </c>
      <c r="BL156" s="125">
        <f t="shared" si="928"/>
        <v>256668</v>
      </c>
      <c r="BM156" s="140">
        <f t="shared" si="591"/>
        <v>0</v>
      </c>
      <c r="BN156" s="123">
        <f t="shared" si="771"/>
        <v>0</v>
      </c>
      <c r="BO156" s="148">
        <f t="shared" si="772"/>
        <v>0</v>
      </c>
      <c r="BP156" s="123">
        <f t="shared" si="929"/>
        <v>312726</v>
      </c>
      <c r="BQ156" s="123">
        <f t="shared" si="594"/>
        <v>0</v>
      </c>
      <c r="BR156" s="123">
        <f t="shared" si="773"/>
        <v>0</v>
      </c>
      <c r="BS156" s="125">
        <f t="shared" si="774"/>
        <v>0</v>
      </c>
      <c r="BT156" s="140">
        <f t="shared" ref="BT156:BV156" si="940">SUM(BQ156,BM156,BI156)</f>
        <v>0</v>
      </c>
      <c r="BU156" s="123">
        <f t="shared" si="940"/>
        <v>0</v>
      </c>
      <c r="BV156" s="148">
        <f t="shared" si="940"/>
        <v>0</v>
      </c>
      <c r="BW156" s="125">
        <f t="shared" si="931"/>
        <v>0</v>
      </c>
      <c r="BX156" s="140">
        <f t="shared" si="610"/>
        <v>0</v>
      </c>
      <c r="BY156" s="123">
        <f t="shared" si="788"/>
        <v>0</v>
      </c>
      <c r="BZ156" s="148">
        <f t="shared" si="789"/>
        <v>0</v>
      </c>
      <c r="CA156" s="123">
        <f t="shared" si="932"/>
        <v>1165865.2</v>
      </c>
      <c r="CB156" s="326">
        <f t="shared" si="933"/>
        <v>0</v>
      </c>
      <c r="CP156" s="294"/>
      <c r="CU156" s="294"/>
    </row>
    <row r="157" spans="1:115" ht="13">
      <c r="A157" s="566" t="e">
        <f t="shared" si="780"/>
        <v>#N/A</v>
      </c>
      <c r="B157" s="636">
        <f t="shared" si="750"/>
        <v>4</v>
      </c>
      <c r="C157" s="558" t="str">
        <f t="shared" si="790"/>
        <v>Lista</v>
      </c>
      <c r="D157" s="558">
        <f t="shared" si="791"/>
        <v>0.2</v>
      </c>
      <c r="E157" s="559">
        <f t="shared" si="792"/>
        <v>0</v>
      </c>
      <c r="F157" s="836">
        <f t="shared" si="751"/>
        <v>4</v>
      </c>
      <c r="G157" s="558" t="str">
        <f t="shared" ref="G157:G188" si="941">IFERROR(VLOOKUP(F157,DES,2,FALSE),"")</f>
        <v>Lista</v>
      </c>
      <c r="H157" s="558">
        <f t="shared" si="753"/>
        <v>0.2</v>
      </c>
      <c r="I157" s="559">
        <f t="shared" si="754"/>
        <v>0</v>
      </c>
      <c r="J157" s="1214">
        <f t="shared" si="781"/>
        <v>70</v>
      </c>
      <c r="K157" s="558" t="str">
        <f t="shared" si="782"/>
        <v>Lista</v>
      </c>
      <c r="L157" s="715">
        <f t="shared" si="783"/>
        <v>0.11</v>
      </c>
      <c r="M157" s="1173" t="s">
        <v>1240</v>
      </c>
      <c r="N157" s="1174">
        <f t="shared" si="921"/>
        <v>0</v>
      </c>
      <c r="O157" s="332">
        <f t="shared" si="934"/>
        <v>0</v>
      </c>
      <c r="P157" s="173">
        <f t="shared" si="565"/>
        <v>0</v>
      </c>
      <c r="Q157" s="561">
        <f t="shared" si="744"/>
        <v>201077.04</v>
      </c>
      <c r="R157" s="1112">
        <f t="shared" si="745"/>
        <v>201077.04</v>
      </c>
      <c r="S157" s="123"/>
      <c r="T157" s="326"/>
      <c r="U157" s="326">
        <f t="shared" si="822"/>
        <v>314119.2</v>
      </c>
      <c r="V157" s="332">
        <f t="shared" si="935"/>
        <v>557949.51721199998</v>
      </c>
      <c r="W157" s="173">
        <f t="shared" si="566"/>
        <v>0</v>
      </c>
      <c r="X157" s="561">
        <f t="shared" si="755"/>
        <v>507548.96</v>
      </c>
      <c r="Y157" s="1112">
        <f t="shared" si="756"/>
        <v>507548.96</v>
      </c>
      <c r="Z157" s="123"/>
      <c r="AA157" s="326"/>
      <c r="AB157" s="326">
        <f t="shared" si="823"/>
        <v>0</v>
      </c>
      <c r="AC157" s="332">
        <f t="shared" si="936"/>
        <v>0</v>
      </c>
      <c r="AD157" s="173">
        <f t="shared" si="569"/>
        <v>0</v>
      </c>
      <c r="AE157" s="561">
        <f t="shared" si="757"/>
        <v>314133.68</v>
      </c>
      <c r="AF157" s="1112">
        <f t="shared" si="758"/>
        <v>314133.68</v>
      </c>
      <c r="AG157" s="123"/>
      <c r="AH157" s="326"/>
      <c r="AI157" s="332">
        <f t="shared" si="824"/>
        <v>557949.51721199998</v>
      </c>
      <c r="AJ157" s="140">
        <f t="shared" si="759"/>
        <v>960354.56</v>
      </c>
      <c r="AK157" s="326">
        <f t="shared" ref="AK157:AM157" si="942">AD157+W157+P157</f>
        <v>0</v>
      </c>
      <c r="AL157" s="326">
        <f t="shared" si="942"/>
        <v>1022759.68</v>
      </c>
      <c r="AM157" s="326">
        <f t="shared" si="942"/>
        <v>1022759.68</v>
      </c>
      <c r="AN157" s="326">
        <f t="shared" si="574"/>
        <v>62405.119999999995</v>
      </c>
      <c r="AO157" s="98">
        <f t="shared" si="899"/>
        <v>1.0649813335608049</v>
      </c>
      <c r="AP157" s="125">
        <f t="shared" si="826"/>
        <v>0</v>
      </c>
      <c r="AQ157" s="326">
        <f t="shared" si="576"/>
        <v>0</v>
      </c>
      <c r="AR157" s="326">
        <f t="shared" si="761"/>
        <v>642239.28</v>
      </c>
      <c r="AS157" s="123">
        <f t="shared" si="762"/>
        <v>642239.28</v>
      </c>
      <c r="AT157" s="332">
        <f t="shared" si="923"/>
        <v>0</v>
      </c>
      <c r="AU157" s="140">
        <f t="shared" si="579"/>
        <v>0</v>
      </c>
      <c r="AV157" s="326">
        <f t="shared" si="763"/>
        <v>273046.08</v>
      </c>
      <c r="AW157" s="333">
        <f t="shared" si="764"/>
        <v>273046.08</v>
      </c>
      <c r="AX157" s="123">
        <f t="shared" si="924"/>
        <v>0</v>
      </c>
      <c r="AY157" s="123">
        <f t="shared" si="582"/>
        <v>0</v>
      </c>
      <c r="AZ157" s="123">
        <f t="shared" si="765"/>
        <v>374668</v>
      </c>
      <c r="BA157" s="125">
        <f t="shared" si="766"/>
        <v>374668</v>
      </c>
      <c r="BB157" s="1175">
        <f t="shared" ref="BB157:BD157" si="943">SUM(AQ157,AU157,AY157)</f>
        <v>0</v>
      </c>
      <c r="BC157" s="326">
        <f t="shared" si="943"/>
        <v>1289953.3600000001</v>
      </c>
      <c r="BD157" s="333">
        <f t="shared" si="943"/>
        <v>1289953.3600000001</v>
      </c>
      <c r="BE157" s="100">
        <f t="shared" si="586"/>
        <v>0</v>
      </c>
      <c r="BF157" s="116">
        <f t="shared" ref="BF157:BG157" si="944">BC157+AL157</f>
        <v>2312713.04</v>
      </c>
      <c r="BG157" s="119">
        <f t="shared" si="944"/>
        <v>2312713.04</v>
      </c>
      <c r="BH157" s="125">
        <f t="shared" si="927"/>
        <v>383660.56</v>
      </c>
      <c r="BI157" s="1041">
        <f t="shared" si="588"/>
        <v>0</v>
      </c>
      <c r="BJ157" s="326">
        <f t="shared" si="769"/>
        <v>689074.64</v>
      </c>
      <c r="BK157" s="1045">
        <f t="shared" si="770"/>
        <v>689074.64</v>
      </c>
      <c r="BL157" s="125">
        <f t="shared" si="928"/>
        <v>269130.8</v>
      </c>
      <c r="BM157" s="140">
        <f t="shared" si="591"/>
        <v>0</v>
      </c>
      <c r="BN157" s="123">
        <f t="shared" si="771"/>
        <v>409047.68</v>
      </c>
      <c r="BO157" s="148">
        <f t="shared" si="772"/>
        <v>409047.68</v>
      </c>
      <c r="BP157" s="123">
        <f t="shared" si="929"/>
        <v>354234.08</v>
      </c>
      <c r="BQ157" s="123">
        <f t="shared" si="594"/>
        <v>0</v>
      </c>
      <c r="BR157" s="123">
        <f t="shared" si="773"/>
        <v>481182.56</v>
      </c>
      <c r="BS157" s="125">
        <f t="shared" si="774"/>
        <v>481182.56</v>
      </c>
      <c r="BT157" s="140">
        <f t="shared" ref="BT157:BV157" si="945">SUM(BQ157,BM157,BI157)</f>
        <v>0</v>
      </c>
      <c r="BU157" s="123">
        <f t="shared" si="945"/>
        <v>1579304.88</v>
      </c>
      <c r="BV157" s="148">
        <f t="shared" si="945"/>
        <v>1579304.88</v>
      </c>
      <c r="BW157" s="125">
        <f t="shared" si="931"/>
        <v>509844.96</v>
      </c>
      <c r="BX157" s="140">
        <f t="shared" si="610"/>
        <v>18243.800000000047</v>
      </c>
      <c r="BY157" s="123">
        <f t="shared" si="788"/>
        <v>662821.72</v>
      </c>
      <c r="BZ157" s="148">
        <f t="shared" si="789"/>
        <v>681065.52</v>
      </c>
      <c r="CA157" s="123">
        <f t="shared" si="932"/>
        <v>103603.28</v>
      </c>
      <c r="CB157" s="326">
        <f t="shared" si="933"/>
        <v>346906.32</v>
      </c>
      <c r="CP157" s="294"/>
      <c r="CU157" s="294"/>
    </row>
    <row r="158" spans="1:115" ht="13">
      <c r="A158" s="566" t="e">
        <f t="shared" si="780"/>
        <v>#N/A</v>
      </c>
      <c r="B158" s="636">
        <f t="shared" si="750"/>
        <v>4</v>
      </c>
      <c r="C158" s="558" t="str">
        <f t="shared" si="790"/>
        <v>Lista</v>
      </c>
      <c r="D158" s="558">
        <f t="shared" si="791"/>
        <v>0.2</v>
      </c>
      <c r="E158" s="559">
        <f t="shared" si="792"/>
        <v>0</v>
      </c>
      <c r="F158" s="836">
        <f t="shared" si="751"/>
        <v>4</v>
      </c>
      <c r="G158" s="558" t="str">
        <f t="shared" si="941"/>
        <v>Lista</v>
      </c>
      <c r="H158" s="558">
        <f t="shared" si="753"/>
        <v>0.2</v>
      </c>
      <c r="I158" s="559">
        <f t="shared" si="754"/>
        <v>0</v>
      </c>
      <c r="J158" s="1214">
        <f t="shared" si="781"/>
        <v>70</v>
      </c>
      <c r="K158" s="558" t="str">
        <f t="shared" si="782"/>
        <v>Lista</v>
      </c>
      <c r="L158" s="715">
        <f t="shared" si="783"/>
        <v>0.11</v>
      </c>
      <c r="M158" s="1173" t="s">
        <v>888</v>
      </c>
      <c r="N158" s="1174">
        <f t="shared" si="921"/>
        <v>873481.06</v>
      </c>
      <c r="O158" s="332">
        <f t="shared" si="934"/>
        <v>1468365.3359130002</v>
      </c>
      <c r="P158" s="173">
        <f t="shared" si="565"/>
        <v>0</v>
      </c>
      <c r="Q158" s="561">
        <f t="shared" si="744"/>
        <v>451173.88</v>
      </c>
      <c r="R158" s="1112">
        <f t="shared" si="745"/>
        <v>451173.88</v>
      </c>
      <c r="S158" s="123"/>
      <c r="T158" s="326"/>
      <c r="U158" s="326">
        <f t="shared" si="822"/>
        <v>544399.92000000004</v>
      </c>
      <c r="V158" s="332">
        <f t="shared" si="935"/>
        <v>966982.1919012001</v>
      </c>
      <c r="W158" s="173">
        <f t="shared" si="566"/>
        <v>670818.55999999994</v>
      </c>
      <c r="X158" s="561">
        <f t="shared" si="755"/>
        <v>922806.67</v>
      </c>
      <c r="Y158" s="1112">
        <f t="shared" si="756"/>
        <v>1593625.23</v>
      </c>
      <c r="Z158" s="123"/>
      <c r="AA158" s="326"/>
      <c r="AB158" s="326">
        <f t="shared" si="823"/>
        <v>690243.68</v>
      </c>
      <c r="AC158" s="332">
        <f t="shared" si="936"/>
        <v>1134322.3051832002</v>
      </c>
      <c r="AD158" s="173">
        <f t="shared" si="569"/>
        <v>362925.7</v>
      </c>
      <c r="AE158" s="561">
        <f t="shared" si="757"/>
        <v>423041.34</v>
      </c>
      <c r="AF158" s="1112">
        <f t="shared" si="758"/>
        <v>785967.04</v>
      </c>
      <c r="AG158" s="123"/>
      <c r="AH158" s="326"/>
      <c r="AI158" s="332">
        <f t="shared" si="824"/>
        <v>3569669.8329974003</v>
      </c>
      <c r="AJ158" s="140">
        <f t="shared" si="759"/>
        <v>4236889.76</v>
      </c>
      <c r="AK158" s="326">
        <f t="shared" ref="AK158:AM158" si="946">AD158+W158+P158</f>
        <v>1033744.26</v>
      </c>
      <c r="AL158" s="326">
        <f t="shared" si="946"/>
        <v>1797021.8900000001</v>
      </c>
      <c r="AM158" s="326">
        <f t="shared" si="946"/>
        <v>2830766.15</v>
      </c>
      <c r="AN158" s="326">
        <f t="shared" si="574"/>
        <v>-1406123.6099999999</v>
      </c>
      <c r="AO158" s="98">
        <f t="shared" si="899"/>
        <v>0.66812362613843412</v>
      </c>
      <c r="AP158" s="125">
        <f t="shared" si="826"/>
        <v>574072.03</v>
      </c>
      <c r="AQ158" s="326">
        <f t="shared" si="576"/>
        <v>248031.75000000012</v>
      </c>
      <c r="AR158" s="326">
        <f t="shared" si="761"/>
        <v>921574.11</v>
      </c>
      <c r="AS158" s="123">
        <f t="shared" si="762"/>
        <v>1169605.8600000001</v>
      </c>
      <c r="AT158" s="332">
        <f t="shared" si="923"/>
        <v>606679.48</v>
      </c>
      <c r="AU158" s="140">
        <f t="shared" si="579"/>
        <v>373572.75999999995</v>
      </c>
      <c r="AV158" s="326">
        <f t="shared" si="763"/>
        <v>450584.08</v>
      </c>
      <c r="AW158" s="333">
        <f t="shared" si="764"/>
        <v>824156.84</v>
      </c>
      <c r="AX158" s="123">
        <f t="shared" si="924"/>
        <v>644505.18000000005</v>
      </c>
      <c r="AY158" s="123">
        <f t="shared" si="582"/>
        <v>145049.18999999994</v>
      </c>
      <c r="AZ158" s="123">
        <f t="shared" si="765"/>
        <v>973586.72</v>
      </c>
      <c r="BA158" s="125">
        <f t="shared" si="766"/>
        <v>1118635.9099999999</v>
      </c>
      <c r="BB158" s="1175">
        <f t="shared" ref="BB158:BD158" si="947">SUM(AQ158,AU158,AY158)</f>
        <v>766653.7</v>
      </c>
      <c r="BC158" s="326">
        <f t="shared" si="947"/>
        <v>2345744.91</v>
      </c>
      <c r="BD158" s="333">
        <f t="shared" si="947"/>
        <v>3112398.6100000003</v>
      </c>
      <c r="BE158" s="100">
        <f t="shared" si="586"/>
        <v>1800397.96</v>
      </c>
      <c r="BF158" s="116">
        <f t="shared" ref="BF158:BG158" si="948">BC158+AL158</f>
        <v>4142766.8000000003</v>
      </c>
      <c r="BG158" s="119">
        <f t="shared" si="948"/>
        <v>5943164.7599999998</v>
      </c>
      <c r="BH158" s="125">
        <f t="shared" si="927"/>
        <v>845301.21</v>
      </c>
      <c r="BI158" s="1041">
        <f t="shared" si="588"/>
        <v>404974.06000000006</v>
      </c>
      <c r="BJ158" s="326">
        <f t="shared" si="769"/>
        <v>1699945.44</v>
      </c>
      <c r="BK158" s="1045">
        <f t="shared" si="770"/>
        <v>2104919.5</v>
      </c>
      <c r="BL158" s="125">
        <f t="shared" si="928"/>
        <v>1412186.76</v>
      </c>
      <c r="BM158" s="140">
        <f t="shared" si="591"/>
        <v>303527.32000000007</v>
      </c>
      <c r="BN158" s="123">
        <f t="shared" si="771"/>
        <v>627153.6</v>
      </c>
      <c r="BO158" s="148">
        <f t="shared" si="772"/>
        <v>930680.92</v>
      </c>
      <c r="BP158" s="123">
        <f t="shared" si="929"/>
        <v>1446936.95</v>
      </c>
      <c r="BQ158" s="123">
        <f t="shared" si="594"/>
        <v>419151.70999999996</v>
      </c>
      <c r="BR158" s="123">
        <f t="shared" si="773"/>
        <v>1337011.6000000001</v>
      </c>
      <c r="BS158" s="125">
        <f t="shared" si="774"/>
        <v>1756163.31</v>
      </c>
      <c r="BT158" s="140">
        <f t="shared" ref="BT158:BV158" si="949">SUM(BQ158,BM158,BI158)</f>
        <v>1127653.0900000001</v>
      </c>
      <c r="BU158" s="123">
        <f t="shared" si="949"/>
        <v>3664110.64</v>
      </c>
      <c r="BV158" s="148">
        <f t="shared" si="949"/>
        <v>4791763.7300000004</v>
      </c>
      <c r="BW158" s="125">
        <f t="shared" si="931"/>
        <v>1381638.36</v>
      </c>
      <c r="BX158" s="140">
        <f t="shared" si="610"/>
        <v>576585.24</v>
      </c>
      <c r="BY158" s="123">
        <f t="shared" si="788"/>
        <v>1601322.41</v>
      </c>
      <c r="BZ158" s="148">
        <f t="shared" si="789"/>
        <v>2177907.65</v>
      </c>
      <c r="CA158" s="123">
        <f t="shared" si="932"/>
        <v>1298285.08</v>
      </c>
      <c r="CB158" s="326">
        <f t="shared" si="933"/>
        <v>1556966.32</v>
      </c>
      <c r="CP158" s="294"/>
      <c r="CU158" s="294"/>
    </row>
    <row r="159" spans="1:115" ht="13">
      <c r="A159" s="566" t="e">
        <f t="shared" si="780"/>
        <v>#N/A</v>
      </c>
      <c r="B159" s="636">
        <f t="shared" si="750"/>
        <v>4</v>
      </c>
      <c r="C159" s="558" t="str">
        <f t="shared" si="790"/>
        <v>Lista</v>
      </c>
      <c r="D159" s="558">
        <f t="shared" si="791"/>
        <v>0.2</v>
      </c>
      <c r="E159" s="559">
        <f t="shared" si="792"/>
        <v>0</v>
      </c>
      <c r="F159" s="836">
        <f t="shared" si="751"/>
        <v>4</v>
      </c>
      <c r="G159" s="558" t="str">
        <f t="shared" si="941"/>
        <v>Lista</v>
      </c>
      <c r="H159" s="558">
        <f t="shared" si="753"/>
        <v>0.2</v>
      </c>
      <c r="I159" s="559">
        <f t="shared" si="754"/>
        <v>0</v>
      </c>
      <c r="J159" s="1214">
        <f t="shared" si="781"/>
        <v>70</v>
      </c>
      <c r="K159" s="558" t="str">
        <f t="shared" ref="K159:K190" si="950">VLOOKUP(J159,A458DC1025,2,FALSE)</f>
        <v>Lista</v>
      </c>
      <c r="L159" s="715">
        <f t="shared" si="783"/>
        <v>0.11</v>
      </c>
      <c r="M159" s="1215" t="s">
        <v>1241</v>
      </c>
      <c r="N159" s="1216">
        <f t="shared" si="921"/>
        <v>169716.8</v>
      </c>
      <c r="O159" s="332">
        <f t="shared" si="934"/>
        <v>285302.42664000002</v>
      </c>
      <c r="P159" s="173">
        <f t="shared" si="565"/>
        <v>89731.38</v>
      </c>
      <c r="Q159" s="561">
        <f t="shared" si="744"/>
        <v>152270.39999999999</v>
      </c>
      <c r="R159" s="1112">
        <f t="shared" si="745"/>
        <v>242001.78</v>
      </c>
      <c r="S159" s="123"/>
      <c r="T159" s="326"/>
      <c r="U159" s="326">
        <f t="shared" si="822"/>
        <v>112073.60000000001</v>
      </c>
      <c r="V159" s="332">
        <f t="shared" si="935"/>
        <v>199069.050896</v>
      </c>
      <c r="W159" s="173">
        <f t="shared" si="566"/>
        <v>78047.399999999994</v>
      </c>
      <c r="X159" s="561">
        <f t="shared" si="755"/>
        <v>129812.32</v>
      </c>
      <c r="Y159" s="1112">
        <f t="shared" si="756"/>
        <v>207859.72</v>
      </c>
      <c r="Z159" s="123"/>
      <c r="AA159" s="326"/>
      <c r="AB159" s="326">
        <f t="shared" si="823"/>
        <v>262074.04</v>
      </c>
      <c r="AC159" s="332">
        <f t="shared" si="936"/>
        <v>430683.30474460003</v>
      </c>
      <c r="AD159" s="173">
        <f t="shared" si="569"/>
        <v>31882.900000000023</v>
      </c>
      <c r="AE159" s="561">
        <f t="shared" si="757"/>
        <v>280497.61</v>
      </c>
      <c r="AF159" s="1112">
        <f t="shared" si="758"/>
        <v>312380.51</v>
      </c>
      <c r="AG159" s="123"/>
      <c r="AH159" s="326"/>
      <c r="AI159" s="332">
        <f t="shared" si="824"/>
        <v>915054.78228060005</v>
      </c>
      <c r="AJ159" s="140">
        <f t="shared" si="759"/>
        <v>931530.56</v>
      </c>
      <c r="AK159" s="326">
        <f t="shared" ref="AK159:AM159" si="951">AD159+W159+P159</f>
        <v>199661.68000000002</v>
      </c>
      <c r="AL159" s="326">
        <f t="shared" si="951"/>
        <v>562580.32999999996</v>
      </c>
      <c r="AM159" s="326">
        <f t="shared" si="951"/>
        <v>762242.01</v>
      </c>
      <c r="AN159" s="326">
        <f t="shared" si="574"/>
        <v>-169288.55000000005</v>
      </c>
      <c r="AO159" s="98">
        <f t="shared" si="899"/>
        <v>0.81826838831782389</v>
      </c>
      <c r="AP159" s="125">
        <f t="shared" si="826"/>
        <v>209585.58</v>
      </c>
      <c r="AQ159" s="326">
        <f t="shared" si="576"/>
        <v>91326.020000000019</v>
      </c>
      <c r="AR159" s="326">
        <f t="shared" si="761"/>
        <v>295067.92</v>
      </c>
      <c r="AS159" s="123">
        <f t="shared" si="762"/>
        <v>386393.94</v>
      </c>
      <c r="AT159" s="332">
        <f t="shared" si="923"/>
        <v>149320.17000000001</v>
      </c>
      <c r="AU159" s="140">
        <f t="shared" si="579"/>
        <v>38549</v>
      </c>
      <c r="AV159" s="326">
        <f t="shared" si="763"/>
        <v>325929.68</v>
      </c>
      <c r="AW159" s="333">
        <f t="shared" si="764"/>
        <v>364478.68</v>
      </c>
      <c r="AX159" s="123">
        <f t="shared" si="924"/>
        <v>109388.57</v>
      </c>
      <c r="AY159" s="123">
        <f t="shared" si="582"/>
        <v>64775.299999999988</v>
      </c>
      <c r="AZ159" s="123">
        <f t="shared" si="765"/>
        <v>211618.24</v>
      </c>
      <c r="BA159" s="125">
        <f t="shared" si="766"/>
        <v>276393.53999999998</v>
      </c>
      <c r="BB159" s="1175">
        <f t="shared" ref="BB159:BD159" si="952">SUM(AQ159,AU159,AY159)</f>
        <v>194650.32</v>
      </c>
      <c r="BC159" s="326">
        <f t="shared" si="952"/>
        <v>832615.84</v>
      </c>
      <c r="BD159" s="333">
        <f t="shared" si="952"/>
        <v>1027266.1599999999</v>
      </c>
      <c r="BE159" s="100">
        <f t="shared" si="586"/>
        <v>394312</v>
      </c>
      <c r="BF159" s="116">
        <f t="shared" ref="BF159:BG159" si="953">BC159+AL159</f>
        <v>1395196.17</v>
      </c>
      <c r="BG159" s="119">
        <f t="shared" si="953"/>
        <v>1789508.17</v>
      </c>
      <c r="BH159" s="125">
        <f t="shared" si="927"/>
        <v>192158.09</v>
      </c>
      <c r="BI159" s="1041">
        <f t="shared" si="588"/>
        <v>71685</v>
      </c>
      <c r="BJ159" s="326">
        <f t="shared" si="769"/>
        <v>271016.48</v>
      </c>
      <c r="BK159" s="1045">
        <f t="shared" si="770"/>
        <v>342701.48</v>
      </c>
      <c r="BL159" s="125">
        <f t="shared" si="928"/>
        <v>107758.94</v>
      </c>
      <c r="BM159" s="140">
        <f t="shared" si="591"/>
        <v>33169.869999999995</v>
      </c>
      <c r="BN159" s="123">
        <f t="shared" si="771"/>
        <v>204442.98</v>
      </c>
      <c r="BO159" s="148">
        <f t="shared" si="772"/>
        <v>237612.85</v>
      </c>
      <c r="BP159" s="123">
        <f t="shared" si="929"/>
        <v>388983.84</v>
      </c>
      <c r="BQ159" s="123">
        <f t="shared" si="594"/>
        <v>37303.780000000028</v>
      </c>
      <c r="BR159" s="123">
        <f t="shared" si="773"/>
        <v>313773.31</v>
      </c>
      <c r="BS159" s="125">
        <f t="shared" si="774"/>
        <v>351077.09</v>
      </c>
      <c r="BT159" s="140">
        <f t="shared" ref="BT159:BV159" si="954">SUM(BQ159,BM159,BI159)</f>
        <v>142158.65000000002</v>
      </c>
      <c r="BU159" s="123">
        <f t="shared" si="954"/>
        <v>789232.77</v>
      </c>
      <c r="BV159" s="148">
        <f t="shared" si="954"/>
        <v>931391.42</v>
      </c>
      <c r="BW159" s="125">
        <f t="shared" si="931"/>
        <v>353873.4</v>
      </c>
      <c r="BX159" s="140">
        <f t="shared" si="610"/>
        <v>184243.68999999994</v>
      </c>
      <c r="BY159" s="123">
        <f t="shared" si="788"/>
        <v>421718.13</v>
      </c>
      <c r="BZ159" s="148">
        <f t="shared" si="789"/>
        <v>605961.81999999995</v>
      </c>
      <c r="CA159" s="123">
        <f t="shared" si="932"/>
        <v>269182.15999999997</v>
      </c>
      <c r="CB159" s="326">
        <f t="shared" si="933"/>
        <v>308475</v>
      </c>
      <c r="CP159" s="294"/>
      <c r="CU159" s="294"/>
    </row>
    <row r="160" spans="1:115" ht="13">
      <c r="A160" s="566" t="e">
        <f t="shared" si="780"/>
        <v>#N/A</v>
      </c>
      <c r="B160" s="636">
        <f t="shared" si="750"/>
        <v>4</v>
      </c>
      <c r="C160" s="558" t="str">
        <f t="shared" ref="C160:C191" si="955">IFERROR(VLOOKUP(B160,DES,2,FALSE),"")</f>
        <v>Lista</v>
      </c>
      <c r="D160" s="558">
        <f t="shared" si="791"/>
        <v>0.2</v>
      </c>
      <c r="E160" s="559">
        <f t="shared" si="792"/>
        <v>0</v>
      </c>
      <c r="F160" s="836">
        <f t="shared" si="751"/>
        <v>4</v>
      </c>
      <c r="G160" s="558" t="str">
        <f t="shared" si="941"/>
        <v>Lista</v>
      </c>
      <c r="H160" s="558">
        <f t="shared" si="753"/>
        <v>0.2</v>
      </c>
      <c r="I160" s="559">
        <f t="shared" si="754"/>
        <v>0</v>
      </c>
      <c r="J160" s="1214">
        <f t="shared" si="781"/>
        <v>70</v>
      </c>
      <c r="K160" s="558" t="str">
        <f t="shared" si="950"/>
        <v>Lista</v>
      </c>
      <c r="L160" s="715">
        <f t="shared" si="783"/>
        <v>0.11</v>
      </c>
      <c r="M160" s="1215" t="s">
        <v>1242</v>
      </c>
      <c r="N160" s="1216">
        <f t="shared" si="921"/>
        <v>0</v>
      </c>
      <c r="O160" s="332">
        <f t="shared" si="934"/>
        <v>0</v>
      </c>
      <c r="P160" s="173">
        <f t="shared" si="565"/>
        <v>0</v>
      </c>
      <c r="Q160" s="561">
        <f t="shared" si="744"/>
        <v>289193.92</v>
      </c>
      <c r="R160" s="1112">
        <f t="shared" si="745"/>
        <v>289193.92</v>
      </c>
      <c r="S160" s="123"/>
      <c r="T160" s="326"/>
      <c r="U160" s="326">
        <f t="shared" si="822"/>
        <v>0</v>
      </c>
      <c r="V160" s="332">
        <f t="shared" si="935"/>
        <v>0</v>
      </c>
      <c r="W160" s="173">
        <f t="shared" si="566"/>
        <v>0</v>
      </c>
      <c r="X160" s="561">
        <f t="shared" si="755"/>
        <v>0</v>
      </c>
      <c r="Y160" s="1112">
        <f t="shared" si="756"/>
        <v>0</v>
      </c>
      <c r="Z160" s="123"/>
      <c r="AA160" s="326"/>
      <c r="AB160" s="326">
        <f t="shared" si="823"/>
        <v>0</v>
      </c>
      <c r="AC160" s="332">
        <f t="shared" si="936"/>
        <v>0</v>
      </c>
      <c r="AD160" s="173">
        <f t="shared" si="569"/>
        <v>0</v>
      </c>
      <c r="AE160" s="561">
        <f t="shared" si="757"/>
        <v>0</v>
      </c>
      <c r="AF160" s="1112">
        <f t="shared" si="758"/>
        <v>0</v>
      </c>
      <c r="AG160" s="123"/>
      <c r="AH160" s="326"/>
      <c r="AI160" s="332">
        <f t="shared" si="824"/>
        <v>0</v>
      </c>
      <c r="AJ160" s="140">
        <f t="shared" si="759"/>
        <v>483450.32</v>
      </c>
      <c r="AK160" s="326">
        <f t="shared" ref="AK160:AM160" si="956">AD160+W160+P160</f>
        <v>0</v>
      </c>
      <c r="AL160" s="326">
        <f t="shared" si="956"/>
        <v>289193.92</v>
      </c>
      <c r="AM160" s="326">
        <f t="shared" si="956"/>
        <v>289193.92</v>
      </c>
      <c r="AN160" s="326">
        <f t="shared" si="574"/>
        <v>-194256.40000000002</v>
      </c>
      <c r="AO160" s="98">
        <f t="shared" si="899"/>
        <v>0.59818746215743523</v>
      </c>
      <c r="AP160" s="125">
        <f t="shared" si="826"/>
        <v>100217.60000000001</v>
      </c>
      <c r="AQ160" s="326">
        <f t="shared" si="576"/>
        <v>0</v>
      </c>
      <c r="AR160" s="326">
        <f t="shared" si="761"/>
        <v>114095.52</v>
      </c>
      <c r="AS160" s="123">
        <f t="shared" si="762"/>
        <v>114095.52</v>
      </c>
      <c r="AT160" s="332">
        <f t="shared" si="923"/>
        <v>195696.4</v>
      </c>
      <c r="AU160" s="140">
        <f t="shared" si="579"/>
        <v>0</v>
      </c>
      <c r="AV160" s="326">
        <f t="shared" si="763"/>
        <v>0</v>
      </c>
      <c r="AW160" s="333">
        <f t="shared" si="764"/>
        <v>0</v>
      </c>
      <c r="AX160" s="123">
        <f t="shared" si="924"/>
        <v>0</v>
      </c>
      <c r="AY160" s="123">
        <f t="shared" si="582"/>
        <v>0</v>
      </c>
      <c r="AZ160" s="123">
        <f t="shared" si="765"/>
        <v>0</v>
      </c>
      <c r="BA160" s="125">
        <f t="shared" si="766"/>
        <v>0</v>
      </c>
      <c r="BB160" s="1175">
        <f t="shared" ref="BB160:BD160" si="957">SUM(AQ160,AU160,AY160)</f>
        <v>0</v>
      </c>
      <c r="BC160" s="326">
        <f t="shared" si="957"/>
        <v>114095.52</v>
      </c>
      <c r="BD160" s="333">
        <f t="shared" si="957"/>
        <v>114095.52</v>
      </c>
      <c r="BE160" s="100">
        <f t="shared" si="586"/>
        <v>0</v>
      </c>
      <c r="BF160" s="116">
        <f t="shared" ref="BF160:BG160" si="958">BC160+AL160</f>
        <v>403289.44</v>
      </c>
      <c r="BG160" s="119">
        <f t="shared" si="958"/>
        <v>403289.44</v>
      </c>
      <c r="BH160" s="125">
        <f t="shared" si="927"/>
        <v>189279.84</v>
      </c>
      <c r="BI160" s="1041">
        <f t="shared" si="588"/>
        <v>0</v>
      </c>
      <c r="BJ160" s="326">
        <f t="shared" si="769"/>
        <v>217520.56</v>
      </c>
      <c r="BK160" s="1045">
        <f t="shared" si="770"/>
        <v>217520.56</v>
      </c>
      <c r="BL160" s="125">
        <f t="shared" si="928"/>
        <v>99999.360000000001</v>
      </c>
      <c r="BM160" s="140">
        <f t="shared" si="591"/>
        <v>0</v>
      </c>
      <c r="BN160" s="123">
        <f t="shared" si="771"/>
        <v>0</v>
      </c>
      <c r="BO160" s="148">
        <f t="shared" si="772"/>
        <v>0</v>
      </c>
      <c r="BP160" s="123">
        <f t="shared" si="929"/>
        <v>91751.360000000001</v>
      </c>
      <c r="BQ160" s="123">
        <f t="shared" si="594"/>
        <v>0</v>
      </c>
      <c r="BR160" s="123">
        <f t="shared" si="773"/>
        <v>144599.04000000001</v>
      </c>
      <c r="BS160" s="125">
        <f t="shared" si="774"/>
        <v>144599.04000000001</v>
      </c>
      <c r="BT160" s="140">
        <f t="shared" ref="BT160:BV160" si="959">SUM(BQ160,BM160,BI160)</f>
        <v>0</v>
      </c>
      <c r="BU160" s="123">
        <f t="shared" si="959"/>
        <v>362119.6</v>
      </c>
      <c r="BV160" s="148">
        <f t="shared" si="959"/>
        <v>362119.6</v>
      </c>
      <c r="BW160" s="125">
        <f t="shared" si="931"/>
        <v>313987.28000000003</v>
      </c>
      <c r="BX160" s="140">
        <f t="shared" si="610"/>
        <v>0</v>
      </c>
      <c r="BY160" s="123">
        <f t="shared" si="788"/>
        <v>68542.91</v>
      </c>
      <c r="BZ160" s="148">
        <f t="shared" si="789"/>
        <v>68542.91</v>
      </c>
      <c r="CA160" s="123">
        <f t="shared" si="932"/>
        <v>0</v>
      </c>
      <c r="CB160" s="326">
        <f t="shared" si="933"/>
        <v>169463.04000000001</v>
      </c>
      <c r="CP160" s="294"/>
      <c r="CU160" s="294"/>
    </row>
    <row r="161" spans="1:115" ht="13">
      <c r="A161" s="547"/>
      <c r="B161" s="501"/>
      <c r="C161" s="463"/>
      <c r="D161" s="463"/>
      <c r="E161" s="463"/>
      <c r="F161" s="116"/>
      <c r="G161" s="463"/>
      <c r="H161" s="463"/>
      <c r="I161" s="420"/>
      <c r="J161" s="1228"/>
      <c r="K161" s="463"/>
      <c r="L161" s="1229"/>
      <c r="M161" s="99"/>
      <c r="N161" s="703"/>
      <c r="O161" s="463"/>
      <c r="P161" s="463"/>
      <c r="Q161" s="463"/>
      <c r="R161" s="463"/>
      <c r="S161" s="463"/>
      <c r="T161" s="463"/>
      <c r="U161" s="463"/>
      <c r="V161" s="463"/>
      <c r="W161" s="463"/>
      <c r="X161" s="463"/>
      <c r="Y161" s="463"/>
      <c r="Z161" s="463"/>
      <c r="AA161" s="463"/>
      <c r="AB161" s="463"/>
      <c r="AC161" s="463"/>
      <c r="AD161" s="463"/>
      <c r="AE161" s="463"/>
      <c r="AF161" s="463"/>
      <c r="AG161" s="463"/>
      <c r="AH161" s="463"/>
      <c r="AI161" s="463"/>
      <c r="AJ161" s="463"/>
      <c r="AK161" s="463"/>
      <c r="AL161" s="463"/>
      <c r="AM161" s="463"/>
      <c r="AN161" s="463"/>
      <c r="AO161" s="1230"/>
      <c r="AP161" s="463"/>
      <c r="AQ161" s="463"/>
      <c r="AR161" s="463"/>
      <c r="AS161" s="463"/>
      <c r="AT161" s="463"/>
      <c r="AU161" s="463"/>
      <c r="AV161" s="463"/>
      <c r="AW161" s="463"/>
      <c r="AX161" s="463"/>
      <c r="AY161" s="463"/>
      <c r="AZ161" s="463"/>
      <c r="BA161" s="463"/>
      <c r="BB161" s="463"/>
      <c r="BC161" s="463"/>
      <c r="BD161" s="463"/>
      <c r="BE161" s="463"/>
      <c r="BF161" s="463"/>
      <c r="BG161" s="463"/>
      <c r="BH161" s="463"/>
      <c r="BI161" s="463"/>
      <c r="BJ161" s="463"/>
      <c r="BK161" s="463"/>
      <c r="BL161" s="420"/>
      <c r="BM161" s="1228"/>
      <c r="BN161" s="463"/>
      <c r="BO161" s="1229"/>
      <c r="BP161" s="703"/>
      <c r="BQ161" s="114"/>
      <c r="BR161" s="114"/>
      <c r="BS161" s="100"/>
      <c r="BT161" s="113"/>
      <c r="BU161" s="114"/>
      <c r="BV161" s="115"/>
      <c r="BW161" s="114"/>
      <c r="BX161" s="463"/>
      <c r="BY161" s="325"/>
      <c r="BZ161" s="424"/>
      <c r="CA161" s="423"/>
      <c r="CB161" s="325"/>
      <c r="CP161" s="294"/>
      <c r="CU161" s="294"/>
    </row>
    <row r="162" spans="1:115" ht="13">
      <c r="A162" s="547"/>
      <c r="B162" s="501"/>
      <c r="C162" s="463"/>
      <c r="D162" s="463"/>
      <c r="E162" s="463"/>
      <c r="F162" s="116"/>
      <c r="G162" s="463"/>
      <c r="H162" s="463"/>
      <c r="I162" s="420"/>
      <c r="J162" s="1228"/>
      <c r="K162" s="463"/>
      <c r="L162" s="1229"/>
      <c r="M162" s="99"/>
      <c r="N162" s="703"/>
      <c r="O162" s="463"/>
      <c r="P162" s="463"/>
      <c r="Q162" s="463"/>
      <c r="R162" s="463"/>
      <c r="S162" s="463"/>
      <c r="T162" s="463"/>
      <c r="U162" s="463"/>
      <c r="V162" s="463"/>
      <c r="W162" s="463"/>
      <c r="X162" s="463"/>
      <c r="Y162" s="463"/>
      <c r="Z162" s="463"/>
      <c r="AA162" s="463"/>
      <c r="AB162" s="463"/>
      <c r="AC162" s="463"/>
      <c r="AD162" s="463"/>
      <c r="AE162" s="463"/>
      <c r="AF162" s="463"/>
      <c r="AG162" s="463"/>
      <c r="AH162" s="463"/>
      <c r="AI162" s="463"/>
      <c r="AJ162" s="463"/>
      <c r="AK162" s="463"/>
      <c r="AL162" s="463"/>
      <c r="AM162" s="463"/>
      <c r="AN162" s="463"/>
      <c r="AO162" s="1230"/>
      <c r="AP162" s="463"/>
      <c r="AQ162" s="463"/>
      <c r="AR162" s="463"/>
      <c r="AS162" s="463"/>
      <c r="AT162" s="463"/>
      <c r="AU162" s="463"/>
      <c r="AV162" s="463"/>
      <c r="AW162" s="463"/>
      <c r="AX162" s="463"/>
      <c r="AY162" s="463"/>
      <c r="AZ162" s="463"/>
      <c r="BA162" s="463"/>
      <c r="BB162" s="463"/>
      <c r="BC162" s="463"/>
      <c r="BD162" s="463"/>
      <c r="BE162" s="463"/>
      <c r="BF162" s="463"/>
      <c r="BG162" s="463"/>
      <c r="BH162" s="463"/>
      <c r="BI162" s="463"/>
      <c r="BJ162" s="463"/>
      <c r="BK162" s="463"/>
      <c r="BL162" s="420"/>
      <c r="BM162" s="1228"/>
      <c r="BN162" s="463"/>
      <c r="BO162" s="1229"/>
      <c r="BP162" s="703"/>
      <c r="BQ162" s="114"/>
      <c r="BR162" s="114"/>
      <c r="BS162" s="100"/>
      <c r="BT162" s="113"/>
      <c r="BU162" s="114"/>
      <c r="BV162" s="115"/>
      <c r="BW162" s="114"/>
      <c r="BX162" s="463"/>
      <c r="BY162" s="325"/>
      <c r="BZ162" s="424"/>
      <c r="CA162" s="423"/>
      <c r="CB162" s="325"/>
      <c r="CP162" s="294"/>
      <c r="CU162" s="294"/>
    </row>
    <row r="163" spans="1:115" ht="13">
      <c r="A163" s="636"/>
      <c r="B163" s="324"/>
      <c r="C163" s="325"/>
      <c r="D163" s="325"/>
      <c r="E163" s="325"/>
      <c r="F163" s="326"/>
      <c r="G163" s="325"/>
      <c r="H163" s="325"/>
      <c r="I163" s="436"/>
      <c r="J163" s="323"/>
      <c r="K163" s="325"/>
      <c r="L163" s="424"/>
      <c r="M163" s="139"/>
      <c r="N163" s="423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25"/>
      <c r="AE163" s="325"/>
      <c r="AF163" s="325"/>
      <c r="AG163" s="325"/>
      <c r="AH163" s="325"/>
      <c r="AI163" s="325"/>
      <c r="AJ163" s="325"/>
      <c r="AK163" s="325"/>
      <c r="AL163" s="325"/>
      <c r="AM163" s="325"/>
      <c r="AN163" s="325"/>
      <c r="AO163" s="1218"/>
      <c r="AP163" s="325"/>
      <c r="AQ163" s="325"/>
      <c r="AR163" s="325"/>
      <c r="AS163" s="325"/>
      <c r="AT163" s="325"/>
      <c r="AU163" s="325"/>
      <c r="AV163" s="325"/>
      <c r="AW163" s="325"/>
      <c r="AX163" s="325"/>
      <c r="AY163" s="325"/>
      <c r="AZ163" s="325"/>
      <c r="BA163" s="325"/>
      <c r="BB163" s="325"/>
      <c r="BC163" s="325"/>
      <c r="BD163" s="325"/>
      <c r="BE163" s="325"/>
      <c r="BF163" s="325"/>
      <c r="BG163" s="325"/>
      <c r="BH163" s="325"/>
      <c r="BI163" s="325"/>
      <c r="BJ163" s="325"/>
      <c r="BK163" s="325"/>
      <c r="BL163" s="436"/>
      <c r="BM163" s="323"/>
      <c r="BN163" s="325"/>
      <c r="BO163" s="424"/>
      <c r="BP163" s="423"/>
      <c r="BQ163" s="123" t="e">
        <f t="shared" ref="BQ163:BQ168" si="960">BS163-BR163</f>
        <v>#VALUE!</v>
      </c>
      <c r="BR163" s="123" t="str">
        <f t="shared" ref="BR163:BR168" si="961">IFERROR(VLOOKUP(M163,MARUCAALIM,11,FALSE),"")</f>
        <v/>
      </c>
      <c r="BS163" s="125" t="str">
        <f t="shared" ref="BS163:BS168" si="962">IFERROR(VLOOKUP(M163,MARUFC,11,FALSE),"")</f>
        <v/>
      </c>
      <c r="BT163" s="140" t="e">
        <f t="shared" ref="BT163:BV163" si="963">SUM(BQ163,BM163,BI163)</f>
        <v>#VALUE!</v>
      </c>
      <c r="BU163" s="123">
        <f t="shared" si="963"/>
        <v>0</v>
      </c>
      <c r="BV163" s="148">
        <f t="shared" si="963"/>
        <v>0</v>
      </c>
      <c r="BW163" s="123" t="str">
        <f t="shared" ref="BW163:BW168" si="964">IFERROR(VLOOKUP(M163,MARUCA24,12,FALSE),"")</f>
        <v/>
      </c>
      <c r="BX163" s="325"/>
      <c r="BY163" s="325"/>
      <c r="BZ163" s="424"/>
      <c r="CA163" s="423"/>
      <c r="CB163" s="325"/>
      <c r="CP163" s="294"/>
      <c r="CU163" s="294"/>
    </row>
    <row r="164" spans="1:115" ht="13">
      <c r="A164" s="636" t="e">
        <f>VLOOKUP(M164,MARUCACARTERA,3,FALSE)</f>
        <v>#N/A</v>
      </c>
      <c r="B164" s="637"/>
      <c r="C164" s="558" t="str">
        <f>IFERROR(VLOOKUP(B164,DES,2,FALSE),"")</f>
        <v/>
      </c>
      <c r="D164" s="558" t="str">
        <f>IFERROR(VLOOKUP(B164,DES,3,FALSE),"")</f>
        <v/>
      </c>
      <c r="E164" s="558" t="str">
        <f>IFERROR(VLOOKUP(B164,DES,4,FALSE),"")</f>
        <v/>
      </c>
      <c r="F164" s="798"/>
      <c r="G164" s="558"/>
      <c r="H164" s="558"/>
      <c r="I164" s="715"/>
      <c r="J164" s="636"/>
      <c r="K164" s="558"/>
      <c r="L164" s="559"/>
      <c r="M164" s="1231" t="s">
        <v>1243</v>
      </c>
      <c r="N164" s="1216">
        <f>IFERROR(VLOOKUP(M164,MARUCA24,3,FALSE),"")</f>
        <v>0</v>
      </c>
      <c r="O164" s="326">
        <f>(N164*1.601)*1.05</f>
        <v>0</v>
      </c>
      <c r="P164" s="326"/>
      <c r="Q164" s="326"/>
      <c r="R164" s="326"/>
      <c r="S164" s="326"/>
      <c r="T164" s="326"/>
      <c r="U164" s="326">
        <f>IFERROR(VLOOKUP(M164,MARUCA24,4,FALSE),"")</f>
        <v>0</v>
      </c>
      <c r="V164" s="326">
        <f>(U164*1.7245)*1.03</f>
        <v>0</v>
      </c>
      <c r="W164" s="326"/>
      <c r="X164" s="326"/>
      <c r="Y164" s="326"/>
      <c r="Z164" s="326"/>
      <c r="AA164" s="326"/>
      <c r="AB164" s="326">
        <f>IFERROR(VLOOKUP(M164,MARUCA24,5,FALSE),"")</f>
        <v>0</v>
      </c>
      <c r="AC164" s="326">
        <f>(AB164*1.5955)*1.03</f>
        <v>0</v>
      </c>
      <c r="AD164" s="326"/>
      <c r="AE164" s="326"/>
      <c r="AF164" s="326"/>
      <c r="AG164" s="326"/>
      <c r="AH164" s="326"/>
      <c r="AI164" s="326">
        <f t="shared" ref="AI164:AI168" si="965">SUM(O164,V164,AC164)</f>
        <v>0</v>
      </c>
      <c r="AJ164" s="326"/>
      <c r="AK164" s="326"/>
      <c r="AL164" s="326"/>
      <c r="AM164" s="326"/>
      <c r="AN164" s="326"/>
      <c r="AO164" s="1218"/>
      <c r="AP164" s="326">
        <f>IFERROR(VLOOKUP(M164,MARUCA24,6,FALSE),"")</f>
        <v>0</v>
      </c>
      <c r="AQ164" s="326"/>
      <c r="AR164" s="326"/>
      <c r="AS164" s="326"/>
      <c r="AT164" s="326">
        <f>IFERROR(VLOOKUP(M164,MARUCA24,7,FALSE),"")</f>
        <v>0</v>
      </c>
      <c r="AU164" s="326"/>
      <c r="AV164" s="326"/>
      <c r="AW164" s="326"/>
      <c r="AX164" s="326">
        <f>IFERROR(VLOOKUP(M164,MARUCA24,8,FALSE),"")</f>
        <v>0</v>
      </c>
      <c r="AY164" s="326"/>
      <c r="AZ164" s="326"/>
      <c r="BA164" s="326"/>
      <c r="BB164" s="326"/>
      <c r="BC164" s="326"/>
      <c r="BD164" s="326"/>
      <c r="BE164" s="326"/>
      <c r="BF164" s="326"/>
      <c r="BG164" s="326"/>
      <c r="BH164" s="326">
        <f>IFERROR(VLOOKUP(M164,MARUCA24,9,FALSE),"")</f>
        <v>0</v>
      </c>
      <c r="BI164" s="326"/>
      <c r="BJ164" s="326"/>
      <c r="BK164" s="326"/>
      <c r="BL164" s="332">
        <f>IFERROR(VLOOKUP(M164,MARUCA24,10,FALSE),"")</f>
        <v>0</v>
      </c>
      <c r="BM164" s="140"/>
      <c r="BN164" s="326"/>
      <c r="BO164" s="333"/>
      <c r="BP164" s="123">
        <f>IFERROR(VLOOKUP(M164,MARUCA24,11,FALSE),"")</f>
        <v>31576.74</v>
      </c>
      <c r="BQ164" s="123" t="e">
        <f t="shared" si="960"/>
        <v>#VALUE!</v>
      </c>
      <c r="BR164" s="123" t="str">
        <f t="shared" si="961"/>
        <v/>
      </c>
      <c r="BS164" s="125" t="str">
        <f t="shared" si="962"/>
        <v/>
      </c>
      <c r="BT164" s="140" t="e">
        <f t="shared" ref="BT164:BV164" si="966">SUM(BQ164,BM164,BI164)</f>
        <v>#VALUE!</v>
      </c>
      <c r="BU164" s="123">
        <f t="shared" si="966"/>
        <v>0</v>
      </c>
      <c r="BV164" s="148">
        <f t="shared" si="966"/>
        <v>0</v>
      </c>
      <c r="BW164" s="123">
        <f t="shared" si="964"/>
        <v>0</v>
      </c>
      <c r="BX164" s="326"/>
      <c r="BY164" s="326"/>
      <c r="BZ164" s="333"/>
      <c r="CA164" s="123">
        <f>IFERROR(VLOOKUP(M164,MARUCA24,13,FALSE),"")</f>
        <v>0</v>
      </c>
      <c r="CB164" s="326">
        <f>IFERROR(VLOOKUP(M164,MARUCA24,14,FALSE),"")</f>
        <v>0</v>
      </c>
      <c r="CP164" s="294"/>
      <c r="CU164" s="294"/>
    </row>
    <row r="165" spans="1:115" ht="13">
      <c r="A165" s="636" t="e">
        <f>VLOOKUP(M165,MARUCACARTERA,3,FALSE)</f>
        <v>#N/A</v>
      </c>
      <c r="B165" s="637" t="e">
        <f>VLOOKUP(M165,MARUCACARTERA,2,FALSE)</f>
        <v>#N/A</v>
      </c>
      <c r="C165" s="558" t="str">
        <f>IFERROR(VLOOKUP(B165,DES,2,FALSE),"")</f>
        <v/>
      </c>
      <c r="D165" s="558" t="str">
        <f>IFERROR(VLOOKUP(B165,DES,3,FALSE),"")</f>
        <v/>
      </c>
      <c r="E165" s="558" t="str">
        <f>IFERROR(VLOOKUP(B165,DES,4,FALSE),"")</f>
        <v/>
      </c>
      <c r="F165" s="798"/>
      <c r="G165" s="558"/>
      <c r="H165" s="558"/>
      <c r="I165" s="715"/>
      <c r="J165" s="636"/>
      <c r="K165" s="558"/>
      <c r="L165" s="559"/>
      <c r="M165" s="1231" t="s">
        <v>1244</v>
      </c>
      <c r="N165" s="1216">
        <f>IFERROR(VLOOKUP(M165,MARUCA24,3,FALSE),"")</f>
        <v>392228.78</v>
      </c>
      <c r="O165" s="975">
        <v>1800000</v>
      </c>
      <c r="P165" s="561" t="e">
        <f t="shared" ref="P165:P168" si="967">R165-Q165</f>
        <v>#VALUE!</v>
      </c>
      <c r="Q165" s="561" t="str">
        <f>IFERROR(VLOOKUP(M165,MARUCAALIM,3,FALSE),"")</f>
        <v/>
      </c>
      <c r="R165" s="561" t="str">
        <f>IFERROR(VLOOKUP(M165,MARUFC,3,FALSE),"")</f>
        <v/>
      </c>
      <c r="S165" s="975"/>
      <c r="T165" s="975"/>
      <c r="U165" s="326">
        <f>IFERROR(VLOOKUP(M165,MARUCA24,4,FALSE),"")</f>
        <v>139157.10999999999</v>
      </c>
      <c r="V165" s="975">
        <v>1800000</v>
      </c>
      <c r="W165" s="561" t="e">
        <f t="shared" ref="W165:W168" si="968">Y165-X165</f>
        <v>#VALUE!</v>
      </c>
      <c r="X165" s="561" t="str">
        <f>IFERROR(VLOOKUP(M165,MARUCAALIM,4,FALSE),"")</f>
        <v/>
      </c>
      <c r="Y165" s="561" t="str">
        <f>IFERROR(VLOOKUP(M165,MARUFC,4,FALSE),"")</f>
        <v/>
      </c>
      <c r="Z165" s="975"/>
      <c r="AA165" s="975"/>
      <c r="AB165" s="326">
        <f>IFERROR(VLOOKUP(M165,MARUCA24,5,FALSE),"")</f>
        <v>185641.72</v>
      </c>
      <c r="AC165" s="975">
        <v>1800000</v>
      </c>
      <c r="AD165" s="561" t="e">
        <f t="shared" ref="AD165:AD168" si="969">AF165-AE165</f>
        <v>#VALUE!</v>
      </c>
      <c r="AE165" s="561" t="str">
        <f>IFERROR(VLOOKUP(M165,MARUCAALIM,5,FALSE),"")</f>
        <v/>
      </c>
      <c r="AF165" s="561" t="str">
        <f>IFERROR(VLOOKUP(M165,MARUFC,5,FALSE),"")</f>
        <v/>
      </c>
      <c r="AG165" s="975"/>
      <c r="AH165" s="975"/>
      <c r="AI165" s="326">
        <f t="shared" si="965"/>
        <v>5400000</v>
      </c>
      <c r="AJ165" s="326" t="str">
        <f>IFERROR(VLOOKUP(M165,trim2024,2,FALSE),"0")</f>
        <v>0</v>
      </c>
      <c r="AK165" s="326" t="e">
        <f t="shared" ref="AK165:AM165" si="970">AD165+W165+P165</f>
        <v>#VALUE!</v>
      </c>
      <c r="AL165" s="326" t="e">
        <f t="shared" si="970"/>
        <v>#VALUE!</v>
      </c>
      <c r="AM165" s="326" t="e">
        <f t="shared" si="970"/>
        <v>#VALUE!</v>
      </c>
      <c r="AN165" s="326" t="e">
        <f t="shared" ref="AN165:AN168" si="971">AM165-AJ165</f>
        <v>#VALUE!</v>
      </c>
      <c r="AO165" s="137" t="str">
        <f t="shared" ref="AO165:AO168" si="972">IFERROR(AM165/AJ165,"")</f>
        <v/>
      </c>
      <c r="AP165" s="326">
        <f>IFERROR(VLOOKUP(M165,MARUCA24,6,FALSE),"")</f>
        <v>0</v>
      </c>
      <c r="AQ165" s="326"/>
      <c r="AR165" s="326"/>
      <c r="AS165" s="326"/>
      <c r="AT165" s="326">
        <f>IFERROR(VLOOKUP(M165,MARUCA24,7,FALSE),"")</f>
        <v>0</v>
      </c>
      <c r="AU165" s="326"/>
      <c r="AV165" s="326"/>
      <c r="AW165" s="326"/>
      <c r="AX165" s="326">
        <f>IFERROR(VLOOKUP(M165,MARUCA24,8,FALSE),"")</f>
        <v>223019.33</v>
      </c>
      <c r="AY165" s="326"/>
      <c r="AZ165" s="326"/>
      <c r="BA165" s="326"/>
      <c r="BB165" s="326"/>
      <c r="BC165" s="326"/>
      <c r="BD165" s="326"/>
      <c r="BE165" s="326"/>
      <c r="BF165" s="326"/>
      <c r="BG165" s="326"/>
      <c r="BH165" s="326">
        <f>IFERROR(VLOOKUP(M165,MARUCA24,9,FALSE),"")</f>
        <v>145686.32</v>
      </c>
      <c r="BI165" s="326"/>
      <c r="BJ165" s="326"/>
      <c r="BK165" s="326"/>
      <c r="BL165" s="332">
        <f>IFERROR(VLOOKUP(M165,MARUCA24,10,FALSE),"")</f>
        <v>0</v>
      </c>
      <c r="BM165" s="140"/>
      <c r="BN165" s="326"/>
      <c r="BO165" s="333"/>
      <c r="BP165" s="123">
        <f>IFERROR(VLOOKUP(M165,MARUCA24,11,FALSE),"")</f>
        <v>111918.74</v>
      </c>
      <c r="BQ165" s="123" t="e">
        <f t="shared" si="960"/>
        <v>#VALUE!</v>
      </c>
      <c r="BR165" s="123" t="str">
        <f t="shared" si="961"/>
        <v/>
      </c>
      <c r="BS165" s="125" t="str">
        <f t="shared" si="962"/>
        <v/>
      </c>
      <c r="BT165" s="140" t="e">
        <f t="shared" ref="BT165:BV165" si="973">SUM(BQ165,BM165,BI165)</f>
        <v>#VALUE!</v>
      </c>
      <c r="BU165" s="123">
        <f t="shared" si="973"/>
        <v>0</v>
      </c>
      <c r="BV165" s="148">
        <f t="shared" si="973"/>
        <v>0</v>
      </c>
      <c r="BW165" s="123">
        <f t="shared" si="964"/>
        <v>0</v>
      </c>
      <c r="BX165" s="326"/>
      <c r="BY165" s="326"/>
      <c r="BZ165" s="333"/>
      <c r="CA165" s="123">
        <f>IFERROR(VLOOKUP(M165,MARUCA24,13,FALSE),"")</f>
        <v>0</v>
      </c>
      <c r="CB165" s="326">
        <f>IFERROR(VLOOKUP(M165,MARUCA24,14,FALSE),"")</f>
        <v>0</v>
      </c>
      <c r="CP165" s="294"/>
      <c r="CU165" s="294"/>
    </row>
    <row r="166" spans="1:115" ht="13">
      <c r="A166" s="636" t="e">
        <f>VLOOKUP(M166,MARUCART2,3,FALSE)</f>
        <v>#N/A</v>
      </c>
      <c r="B166" s="637">
        <f>VLOOKUP(M166,MARUCACARTERA,2,FALSE)</f>
        <v>4</v>
      </c>
      <c r="C166" s="558" t="str">
        <f>IFERROR(VLOOKUP(B166,DES,2,FALSE),"")</f>
        <v>Lista</v>
      </c>
      <c r="D166" s="558">
        <f>IFERROR(VLOOKUP(B166,DES,3,FALSE),"")</f>
        <v>0.2</v>
      </c>
      <c r="E166" s="558">
        <f>IFERROR(VLOOKUP(B166,DES,4,FALSE),"")</f>
        <v>0</v>
      </c>
      <c r="F166" s="798" t="e">
        <f>VLOOKUP(M166,MARUCART2,2,FALSE)</f>
        <v>#N/A</v>
      </c>
      <c r="G166" s="558" t="str">
        <f>IFERROR(VLOOKUP(F166,DES,2,FALSE),"")</f>
        <v/>
      </c>
      <c r="H166" s="558" t="str">
        <f>IFERROR(VLOOKUP(F166,DES,3,FALSE),"")</f>
        <v/>
      </c>
      <c r="I166" s="715" t="str">
        <f>IFERROR(VLOOKUP(F166,DES,4,FALSE),"")</f>
        <v/>
      </c>
      <c r="J166" s="636"/>
      <c r="K166" s="558"/>
      <c r="L166" s="559"/>
      <c r="M166" s="1231" t="s">
        <v>1245</v>
      </c>
      <c r="N166" s="1216">
        <f>IFERROR(VLOOKUP(M166,MARUCA24,3,FALSE),"")</f>
        <v>209455.57</v>
      </c>
      <c r="O166" s="326">
        <f t="shared" ref="O166:O167" si="974">(N166*1.601)*1.05</f>
        <v>352105.28594850004</v>
      </c>
      <c r="P166" s="561">
        <f t="shared" si="967"/>
        <v>378379.62</v>
      </c>
      <c r="Q166" s="561">
        <f>IFERROR(VLOOKUP(M166,MARUCAALIM,3,FALSE),"")</f>
        <v>0</v>
      </c>
      <c r="R166" s="561">
        <f>IFERROR(VLOOKUP(M166,MARUFC,3,FALSE),"")</f>
        <v>378379.62</v>
      </c>
      <c r="S166" s="326"/>
      <c r="T166" s="326"/>
      <c r="U166" s="326">
        <f>IFERROR(VLOOKUP(M166,MARUCA24,4,FALSE),"")</f>
        <v>212178.61</v>
      </c>
      <c r="V166" s="326">
        <f t="shared" ref="V166:V167" si="975">(U166*1.7245)*1.03</f>
        <v>376879.07333334995</v>
      </c>
      <c r="W166" s="561">
        <f t="shared" si="968"/>
        <v>37318.819999999992</v>
      </c>
      <c r="X166" s="561">
        <f>IFERROR(VLOOKUP(M166,MARUCAALIM,4,FALSE),"")</f>
        <v>70424.740000000005</v>
      </c>
      <c r="Y166" s="561">
        <f>IFERROR(VLOOKUP(M166,MARUFC,4,FALSE),"")</f>
        <v>107743.56</v>
      </c>
      <c r="Z166" s="326"/>
      <c r="AA166" s="326"/>
      <c r="AB166" s="326">
        <f>IFERROR(VLOOKUP(M166,MARUCA24,5,FALSE),"")</f>
        <v>239304.67</v>
      </c>
      <c r="AC166" s="326">
        <f t="shared" ref="AC166:AC167" si="976">(AB166*1.5955)*1.03</f>
        <v>393264.91901455005</v>
      </c>
      <c r="AD166" s="561">
        <f t="shared" si="969"/>
        <v>459949.83</v>
      </c>
      <c r="AE166" s="561">
        <f>IFERROR(VLOOKUP(M166,MARUCAALIM,5,FALSE),"")</f>
        <v>56552.74</v>
      </c>
      <c r="AF166" s="561">
        <f>IFERROR(VLOOKUP(M166,MARUFC,5,FALSE),"")</f>
        <v>516502.57</v>
      </c>
      <c r="AG166" s="326"/>
      <c r="AH166" s="326"/>
      <c r="AI166" s="326">
        <f t="shared" si="965"/>
        <v>1122249.2782964001</v>
      </c>
      <c r="AJ166" s="326">
        <f>IFERROR(VLOOKUP(M166,trim2024,2,FALSE),"0")</f>
        <v>701789.7</v>
      </c>
      <c r="AK166" s="326">
        <f t="shared" ref="AK166:AM166" si="977">AD166+W166+P166</f>
        <v>875648.27</v>
      </c>
      <c r="AL166" s="326">
        <f t="shared" si="977"/>
        <v>126977.48000000001</v>
      </c>
      <c r="AM166" s="326">
        <f t="shared" si="977"/>
        <v>1002625.75</v>
      </c>
      <c r="AN166" s="326">
        <f t="shared" si="971"/>
        <v>300836.05000000005</v>
      </c>
      <c r="AO166" s="137">
        <f t="shared" si="972"/>
        <v>1.4286697995140141</v>
      </c>
      <c r="AP166" s="326">
        <f>IFERROR(VLOOKUP(M166,MARUCA24,6,FALSE),"")</f>
        <v>217771.12</v>
      </c>
      <c r="AQ166" s="326">
        <f>AS166-AR166</f>
        <v>117199.86</v>
      </c>
      <c r="AR166" s="326">
        <f>IFERROR(VLOOKUP(M166,MARUCAALIM,6,FALSE),"")</f>
        <v>0</v>
      </c>
      <c r="AS166" s="326">
        <f>IFERROR(VLOOKUP(M166,MARUFC,6,FALSE),"")</f>
        <v>117199.86</v>
      </c>
      <c r="AT166" s="326">
        <f>IFERROR(VLOOKUP(M166,MARUCA24,7,FALSE),"")</f>
        <v>346677.65</v>
      </c>
      <c r="AU166" s="326">
        <f>AW166-AV166</f>
        <v>96440.62</v>
      </c>
      <c r="AV166" s="326">
        <f>IFERROR(VLOOKUP(M166,MARUCAALIM,7,FALSE),"")</f>
        <v>0</v>
      </c>
      <c r="AW166" s="326">
        <f>IFERROR(VLOOKUP(M166,MARUFC,7,FALSE),"")</f>
        <v>96440.62</v>
      </c>
      <c r="AX166" s="326">
        <f>IFERROR(VLOOKUP(M166,MARUCA24,8,FALSE),"")</f>
        <v>0</v>
      </c>
      <c r="AY166" s="326">
        <f>BA166-AZ166</f>
        <v>8154</v>
      </c>
      <c r="AZ166" s="326">
        <f>IFERROR(VLOOKUP(M166,MARUCAALIM,8,FALSE),"")</f>
        <v>18949</v>
      </c>
      <c r="BA166" s="326">
        <f>IFERROR(VLOOKUP(M166,MARUFC,8,FALSE),"")</f>
        <v>27103</v>
      </c>
      <c r="BB166" s="326">
        <f t="shared" ref="BB166:BD166" si="978">SUM(AQ166,AU166,AY166)</f>
        <v>221794.47999999998</v>
      </c>
      <c r="BC166" s="326">
        <f t="shared" si="978"/>
        <v>18949</v>
      </c>
      <c r="BD166" s="326">
        <f t="shared" si="978"/>
        <v>240743.47999999998</v>
      </c>
      <c r="BE166" s="326">
        <f>SUM(BB166,AK166)</f>
        <v>1097442.75</v>
      </c>
      <c r="BF166" s="326">
        <f t="shared" ref="BF166:BG166" si="979">BC166+AL166</f>
        <v>145926.48000000001</v>
      </c>
      <c r="BG166" s="326">
        <f t="shared" si="979"/>
        <v>1243369.23</v>
      </c>
      <c r="BH166" s="326">
        <f>IFERROR(VLOOKUP(M166,MARUCA24,9,FALSE),"")</f>
        <v>136392.24</v>
      </c>
      <c r="BI166" s="326">
        <f>BK166-BJ166</f>
        <v>23746.78</v>
      </c>
      <c r="BJ166" s="326">
        <f>IFERROR(VLOOKUP(M166,MARUCAALIM,9,FALSE),"")</f>
        <v>0</v>
      </c>
      <c r="BK166" s="326">
        <f>IFERROR(VLOOKUP(M166,MARUFC,9,FALSE),"")</f>
        <v>23746.78</v>
      </c>
      <c r="BL166" s="332">
        <f>IFERROR(VLOOKUP(M166,MARUCA24,10,FALSE),"")</f>
        <v>0</v>
      </c>
      <c r="BM166" s="140">
        <f>BO166-BN166</f>
        <v>24000</v>
      </c>
      <c r="BN166" s="326">
        <f>IFERROR(VLOOKUP(M166,MARUCAALIM,10,FALSE),"")</f>
        <v>0</v>
      </c>
      <c r="BO166" s="333">
        <f>IFERROR(VLOOKUP(M166,MARUFC,10,FALSE),"")</f>
        <v>24000</v>
      </c>
      <c r="BP166" s="123">
        <f>IFERROR(VLOOKUP(M166,MARUCA24,11,FALSE),"")</f>
        <v>310767.92</v>
      </c>
      <c r="BQ166" s="123">
        <f t="shared" si="960"/>
        <v>181617.5</v>
      </c>
      <c r="BR166" s="123">
        <f t="shared" si="961"/>
        <v>39191.370000000003</v>
      </c>
      <c r="BS166" s="125">
        <f t="shared" si="962"/>
        <v>220808.87</v>
      </c>
      <c r="BT166" s="140">
        <f t="shared" ref="BT166:BV166" si="980">SUM(BQ166,BM166,BI166)</f>
        <v>229364.28</v>
      </c>
      <c r="BU166" s="123">
        <f t="shared" si="980"/>
        <v>39191.370000000003</v>
      </c>
      <c r="BV166" s="148">
        <f t="shared" si="980"/>
        <v>268555.65000000002</v>
      </c>
      <c r="BW166" s="123">
        <f t="shared" si="964"/>
        <v>148654.43</v>
      </c>
      <c r="BX166" s="326"/>
      <c r="BY166" s="326"/>
      <c r="BZ166" s="333"/>
      <c r="CA166" s="123">
        <f>IFERROR(VLOOKUP(M166,MARUCA24,13,FALSE),"")</f>
        <v>226154.84</v>
      </c>
      <c r="CB166" s="326">
        <f>IFERROR(VLOOKUP(M166,MARUCA24,14,FALSE),"")</f>
        <v>326980.43</v>
      </c>
      <c r="CP166" s="294"/>
      <c r="CU166" s="294"/>
    </row>
    <row r="167" spans="1:115" ht="13">
      <c r="A167" s="636" t="e">
        <f>VLOOKUP(M167,MARUCACARTERA,3,FALSE)</f>
        <v>#N/A</v>
      </c>
      <c r="B167" s="637" t="e">
        <f>VLOOKUP(M167,MARUCACARTERA,2,FALSE)</f>
        <v>#N/A</v>
      </c>
      <c r="C167" s="558" t="str">
        <f>IFERROR(VLOOKUP(B167,DES,2,FALSE),"")</f>
        <v/>
      </c>
      <c r="D167" s="558" t="str">
        <f>IFERROR(VLOOKUP(B167,DES,3,FALSE),"")</f>
        <v/>
      </c>
      <c r="E167" s="558" t="str">
        <f>IFERROR(VLOOKUP(B167,DES,4,FALSE),"")</f>
        <v/>
      </c>
      <c r="F167" s="798"/>
      <c r="G167" s="558"/>
      <c r="H167" s="558"/>
      <c r="I167" s="715"/>
      <c r="J167" s="636"/>
      <c r="K167" s="558"/>
      <c r="L167" s="559"/>
      <c r="M167" s="1231" t="s">
        <v>1246</v>
      </c>
      <c r="N167" s="1216">
        <f>IFERROR(VLOOKUP(M167,MARUCA24,3,FALSE),"")</f>
        <v>0</v>
      </c>
      <c r="O167" s="326">
        <f t="shared" si="974"/>
        <v>0</v>
      </c>
      <c r="P167" s="561" t="e">
        <f t="shared" si="967"/>
        <v>#VALUE!</v>
      </c>
      <c r="Q167" s="561" t="str">
        <f>IFERROR(VLOOKUP(M167,MARUCAALIM,3,FALSE),"")</f>
        <v/>
      </c>
      <c r="R167" s="561" t="str">
        <f>IFERROR(VLOOKUP(M167,MARUFC,3,FALSE),"")</f>
        <v/>
      </c>
      <c r="S167" s="326"/>
      <c r="T167" s="326"/>
      <c r="U167" s="326">
        <f>IFERROR(VLOOKUP(M167,MARUCA24,4,FALSE),"")</f>
        <v>18268.8</v>
      </c>
      <c r="V167" s="326">
        <f t="shared" si="975"/>
        <v>32449.681967999997</v>
      </c>
      <c r="W167" s="561" t="e">
        <f t="shared" si="968"/>
        <v>#VALUE!</v>
      </c>
      <c r="X167" s="561" t="str">
        <f>IFERROR(VLOOKUP(M167,MARUCAALIM,4,FALSE),"")</f>
        <v/>
      </c>
      <c r="Y167" s="561" t="str">
        <f>IFERROR(VLOOKUP(M167,MARUFC,4,FALSE),"")</f>
        <v/>
      </c>
      <c r="Z167" s="326"/>
      <c r="AA167" s="326"/>
      <c r="AB167" s="326">
        <f>IFERROR(VLOOKUP(M167,MARUCA24,5,FALSE),"")</f>
        <v>20043.52</v>
      </c>
      <c r="AC167" s="326">
        <f t="shared" si="976"/>
        <v>32938.819244799997</v>
      </c>
      <c r="AD167" s="561" t="e">
        <f t="shared" si="969"/>
        <v>#VALUE!</v>
      </c>
      <c r="AE167" s="561" t="str">
        <f>IFERROR(VLOOKUP(M167,MARUCAALIM,5,FALSE),"")</f>
        <v/>
      </c>
      <c r="AF167" s="561" t="str">
        <f>IFERROR(VLOOKUP(M167,MARUFC,5,FALSE),"")</f>
        <v/>
      </c>
      <c r="AG167" s="326"/>
      <c r="AH167" s="326"/>
      <c r="AI167" s="326">
        <f t="shared" si="965"/>
        <v>65388.501212799994</v>
      </c>
      <c r="AJ167" s="326" t="str">
        <f>IFERROR(VLOOKUP(M167,trim2024,2,FALSE),"0")</f>
        <v>0</v>
      </c>
      <c r="AK167" s="326" t="e">
        <f t="shared" ref="AK167:AM167" si="981">AD167+W167+P167</f>
        <v>#VALUE!</v>
      </c>
      <c r="AL167" s="326" t="e">
        <f t="shared" si="981"/>
        <v>#VALUE!</v>
      </c>
      <c r="AM167" s="326" t="e">
        <f t="shared" si="981"/>
        <v>#VALUE!</v>
      </c>
      <c r="AN167" s="326" t="e">
        <f t="shared" si="971"/>
        <v>#VALUE!</v>
      </c>
      <c r="AO167" s="137" t="str">
        <f t="shared" si="972"/>
        <v/>
      </c>
      <c r="AP167" s="326">
        <f>IFERROR(VLOOKUP(M167,MARUCA24,6,FALSE),"")</f>
        <v>20043.52</v>
      </c>
      <c r="AQ167" s="326"/>
      <c r="AR167" s="326"/>
      <c r="AS167" s="326"/>
      <c r="AT167" s="326">
        <f>IFERROR(VLOOKUP(M167,MARUCA24,7,FALSE),"")</f>
        <v>48593.36</v>
      </c>
      <c r="AU167" s="326"/>
      <c r="AV167" s="326"/>
      <c r="AW167" s="326"/>
      <c r="AX167" s="326">
        <f>IFERROR(VLOOKUP(M167,MARUCA24,8,FALSE),"")</f>
        <v>37362.720000000001</v>
      </c>
      <c r="AY167" s="326"/>
      <c r="AZ167" s="326"/>
      <c r="BA167" s="326"/>
      <c r="BB167" s="326"/>
      <c r="BC167" s="326"/>
      <c r="BD167" s="326"/>
      <c r="BE167" s="326"/>
      <c r="BF167" s="326"/>
      <c r="BG167" s="326"/>
      <c r="BH167" s="326">
        <f>IFERROR(VLOOKUP(M167,MARUCA24,9,FALSE),"")</f>
        <v>18681.36</v>
      </c>
      <c r="BI167" s="326"/>
      <c r="BJ167" s="326"/>
      <c r="BK167" s="326"/>
      <c r="BL167" s="332">
        <f>IFERROR(VLOOKUP(M167,MARUCA24,10,FALSE),"")</f>
        <v>37362.720000000001</v>
      </c>
      <c r="BM167" s="140"/>
      <c r="BN167" s="326"/>
      <c r="BO167" s="333"/>
      <c r="BP167" s="123">
        <f>IFERROR(VLOOKUP(M167,MARUCA24,11,FALSE),"")</f>
        <v>0</v>
      </c>
      <c r="BQ167" s="123" t="e">
        <f t="shared" si="960"/>
        <v>#VALUE!</v>
      </c>
      <c r="BR167" s="123" t="str">
        <f t="shared" si="961"/>
        <v/>
      </c>
      <c r="BS167" s="125" t="str">
        <f t="shared" si="962"/>
        <v/>
      </c>
      <c r="BT167" s="140" t="e">
        <f t="shared" ref="BT167:BV167" si="982">SUM(BQ167,BM167,BI167)</f>
        <v>#VALUE!</v>
      </c>
      <c r="BU167" s="123">
        <f t="shared" si="982"/>
        <v>0</v>
      </c>
      <c r="BV167" s="148">
        <f t="shared" si="982"/>
        <v>0</v>
      </c>
      <c r="BW167" s="123">
        <f t="shared" si="964"/>
        <v>0</v>
      </c>
      <c r="BX167" s="326"/>
      <c r="BY167" s="326"/>
      <c r="BZ167" s="333"/>
      <c r="CA167" s="123">
        <f>IFERROR(VLOOKUP(M167,MARUCA24,13,FALSE),"")</f>
        <v>0</v>
      </c>
      <c r="CB167" s="326">
        <f>IFERROR(VLOOKUP(M167,MARUCA24,14,FALSE),"")</f>
        <v>0</v>
      </c>
      <c r="CP167" s="294"/>
      <c r="CU167" s="294"/>
    </row>
    <row r="168" spans="1:115" ht="13">
      <c r="A168" s="643" t="e">
        <f>VLOOKUP(M168,MARUCACARTERA,3,FALSE)</f>
        <v>#N/A</v>
      </c>
      <c r="B168" s="644" t="e">
        <f>VLOOKUP(M168,MARUCACARTERA,2,FALSE)</f>
        <v>#N/A</v>
      </c>
      <c r="C168" s="801" t="str">
        <f>IFERROR(VLOOKUP(B168,DES,2,FALSE),"")</f>
        <v/>
      </c>
      <c r="D168" s="801" t="str">
        <f>IFERROR(VLOOKUP(B168,DES,3,FALSE),"")</f>
        <v/>
      </c>
      <c r="E168" s="801" t="str">
        <f>IFERROR(VLOOKUP(B168,DES,4,FALSE),"")</f>
        <v/>
      </c>
      <c r="F168" s="802"/>
      <c r="G168" s="801"/>
      <c r="H168" s="801"/>
      <c r="I168" s="1132"/>
      <c r="J168" s="643"/>
      <c r="K168" s="801"/>
      <c r="L168" s="899"/>
      <c r="M168" s="1232" t="s">
        <v>1247</v>
      </c>
      <c r="N168" s="1233" t="str">
        <f>IFERROR(VLOOKUP(M168,MARUCA24,3,FALSE),"")</f>
        <v/>
      </c>
      <c r="O168" s="656">
        <v>3000000</v>
      </c>
      <c r="P168" s="656" t="e">
        <f t="shared" si="967"/>
        <v>#VALUE!</v>
      </c>
      <c r="Q168" s="656" t="str">
        <f>IFERROR(VLOOKUP(M168,MARUCAALIM,3,FALSE),"")</f>
        <v/>
      </c>
      <c r="R168" s="656" t="str">
        <f>IFERROR(VLOOKUP(M168,MARUFC,3,FALSE),"")</f>
        <v/>
      </c>
      <c r="S168" s="656"/>
      <c r="T168" s="656"/>
      <c r="U168" s="340" t="str">
        <f>IFERROR(VLOOKUP(M168,MARUCA24,4,FALSE),"")</f>
        <v/>
      </c>
      <c r="V168" s="656">
        <v>3000000</v>
      </c>
      <c r="W168" s="656" t="e">
        <f t="shared" si="968"/>
        <v>#VALUE!</v>
      </c>
      <c r="X168" s="656" t="str">
        <f>IFERROR(VLOOKUP(M168,MARUCAALIM,4,FALSE),"")</f>
        <v/>
      </c>
      <c r="Y168" s="656" t="str">
        <f>IFERROR(VLOOKUP(M168,MARUFC,4,FALSE),"")</f>
        <v/>
      </c>
      <c r="Z168" s="656"/>
      <c r="AA168" s="656"/>
      <c r="AB168" s="340" t="str">
        <f>IFERROR(VLOOKUP(M168,MARUCA24,5,FALSE),"")</f>
        <v/>
      </c>
      <c r="AC168" s="656">
        <v>3000000</v>
      </c>
      <c r="AD168" s="656" t="e">
        <f t="shared" si="969"/>
        <v>#VALUE!</v>
      </c>
      <c r="AE168" s="656" t="str">
        <f>IFERROR(VLOOKUP(M168,MARUCAALIM,5,FALSE),"")</f>
        <v/>
      </c>
      <c r="AF168" s="656" t="str">
        <f>IFERROR(VLOOKUP(M168,MARUFC,5,FALSE),"")</f>
        <v/>
      </c>
      <c r="AG168" s="656"/>
      <c r="AH168" s="656"/>
      <c r="AI168" s="340">
        <f t="shared" si="965"/>
        <v>9000000</v>
      </c>
      <c r="AJ168" s="340" t="str">
        <f>IFERROR(VLOOKUP(M168,trim2024,2,FALSE),"0")</f>
        <v>0</v>
      </c>
      <c r="AK168" s="340" t="e">
        <f t="shared" ref="AK168:AM168" si="983">AD168+W168+P168</f>
        <v>#VALUE!</v>
      </c>
      <c r="AL168" s="340" t="e">
        <f t="shared" si="983"/>
        <v>#VALUE!</v>
      </c>
      <c r="AM168" s="340" t="e">
        <f t="shared" si="983"/>
        <v>#VALUE!</v>
      </c>
      <c r="AN168" s="340" t="e">
        <f t="shared" si="971"/>
        <v>#VALUE!</v>
      </c>
      <c r="AO168" s="338" t="str">
        <f t="shared" si="972"/>
        <v/>
      </c>
      <c r="AP168" s="340" t="str">
        <f>IFERROR(VLOOKUP(M168,MARUCA24,6,FALSE),"")</f>
        <v/>
      </c>
      <c r="AQ168" s="340"/>
      <c r="AR168" s="340"/>
      <c r="AS168" s="340"/>
      <c r="AT168" s="340" t="str">
        <f>IFERROR(VLOOKUP(M168,MARUCA24,7,FALSE),"")</f>
        <v/>
      </c>
      <c r="AU168" s="340"/>
      <c r="AV168" s="340"/>
      <c r="AW168" s="340"/>
      <c r="AX168" s="340" t="str">
        <f>IFERROR(VLOOKUP(M168,MARUCA24,8,FALSE),"")</f>
        <v/>
      </c>
      <c r="AY168" s="340"/>
      <c r="AZ168" s="340"/>
      <c r="BA168" s="340"/>
      <c r="BB168" s="340"/>
      <c r="BC168" s="340"/>
      <c r="BD168" s="340"/>
      <c r="BE168" s="340"/>
      <c r="BF168" s="340"/>
      <c r="BG168" s="340"/>
      <c r="BH168" s="340" t="str">
        <f>IFERROR(VLOOKUP(M168,MARUCA24,9,FALSE),"")</f>
        <v/>
      </c>
      <c r="BI168" s="340"/>
      <c r="BJ168" s="340"/>
      <c r="BK168" s="340"/>
      <c r="BL168" s="347" t="str">
        <f>IFERROR(VLOOKUP(M168,MARUCA24,10,FALSE),"")</f>
        <v/>
      </c>
      <c r="BM168" s="259"/>
      <c r="BN168" s="340"/>
      <c r="BO168" s="348"/>
      <c r="BP168" s="349" t="str">
        <f>IFERROR(VLOOKUP(M168,MARUCA24,11,FALSE),"")</f>
        <v/>
      </c>
      <c r="BQ168" s="349" t="e">
        <f t="shared" si="960"/>
        <v>#VALUE!</v>
      </c>
      <c r="BR168" s="349" t="str">
        <f t="shared" si="961"/>
        <v/>
      </c>
      <c r="BS168" s="653" t="str">
        <f t="shared" si="962"/>
        <v/>
      </c>
      <c r="BT168" s="259" t="e">
        <f t="shared" ref="BT168:BV168" si="984">SUM(BQ168,BM168,BI168)</f>
        <v>#VALUE!</v>
      </c>
      <c r="BU168" s="349">
        <f t="shared" si="984"/>
        <v>0</v>
      </c>
      <c r="BV168" s="350">
        <f t="shared" si="984"/>
        <v>0</v>
      </c>
      <c r="BW168" s="349" t="str">
        <f t="shared" si="964"/>
        <v/>
      </c>
      <c r="BX168" s="340"/>
      <c r="BY168" s="340"/>
      <c r="BZ168" s="348"/>
      <c r="CA168" s="123" t="str">
        <f>IFERROR(VLOOKUP(M168,MARUCA24,13,FALSE),"")</f>
        <v/>
      </c>
      <c r="CB168" s="326" t="str">
        <f>IFERROR(VLOOKUP(M168,MARUCA24,14,FALSE),"")</f>
        <v/>
      </c>
      <c r="CI168" s="136"/>
      <c r="CJ168" s="136"/>
      <c r="CK168" s="136"/>
      <c r="CL168" s="136"/>
      <c r="CM168" s="136"/>
      <c r="CN168" s="136"/>
      <c r="CO168" s="136"/>
      <c r="CP168" s="136"/>
      <c r="CQ168" s="136"/>
      <c r="CR168" s="136"/>
      <c r="CS168" s="136"/>
      <c r="CT168" s="136"/>
      <c r="CU168" s="136"/>
      <c r="CV168" s="136"/>
      <c r="CW168" s="136"/>
      <c r="CX168" s="136"/>
      <c r="CY168" s="136"/>
      <c r="CZ168" s="136"/>
      <c r="DA168" s="136"/>
      <c r="DB168" s="136"/>
      <c r="DC168" s="136"/>
      <c r="DD168" s="136"/>
      <c r="DE168" s="136"/>
      <c r="DF168" s="136"/>
      <c r="DG168" s="136"/>
      <c r="DH168" s="136"/>
      <c r="DI168" s="136"/>
      <c r="DJ168" s="136"/>
      <c r="DK168" s="136"/>
    </row>
    <row r="169" spans="1:115" ht="1.5" customHeight="1">
      <c r="A169" s="2"/>
      <c r="B169" s="294"/>
      <c r="F169" s="296"/>
      <c r="J169" s="302"/>
      <c r="AO169" s="1210"/>
      <c r="CP169" s="294"/>
      <c r="CU169" s="294"/>
    </row>
    <row r="170" spans="1:115" ht="13">
      <c r="A170" s="294"/>
      <c r="B170" s="294"/>
      <c r="F170" s="296"/>
      <c r="J170" s="302"/>
      <c r="AO170" s="1210"/>
      <c r="CP170" s="294"/>
      <c r="CU170" s="294"/>
    </row>
    <row r="171" spans="1:115" ht="13">
      <c r="A171" s="2"/>
      <c r="B171" s="2"/>
      <c r="C171" s="1234"/>
      <c r="D171" s="1234"/>
      <c r="E171" s="1234"/>
      <c r="F171" s="1235"/>
      <c r="G171" s="1234"/>
      <c r="H171" s="1234"/>
      <c r="I171" s="1234"/>
      <c r="J171" s="2"/>
      <c r="K171" s="1234"/>
      <c r="L171" s="1234"/>
      <c r="M171" s="1"/>
      <c r="N171" s="1236"/>
      <c r="O171" s="296"/>
      <c r="P171" s="1237"/>
      <c r="Q171" s="1237"/>
      <c r="R171" s="1237"/>
      <c r="S171" s="296"/>
      <c r="T171" s="296"/>
      <c r="U171" s="296"/>
      <c r="V171" s="296"/>
      <c r="W171" s="1237"/>
      <c r="X171" s="1237"/>
      <c r="Y171" s="1237"/>
      <c r="Z171" s="296"/>
      <c r="AA171" s="296"/>
      <c r="AB171" s="296"/>
      <c r="AC171" s="296"/>
      <c r="AD171" s="1237"/>
      <c r="AE171" s="1237"/>
      <c r="AF171" s="1237"/>
      <c r="AG171" s="296"/>
      <c r="AH171" s="296"/>
      <c r="AI171" s="296"/>
      <c r="AJ171" s="296"/>
      <c r="AK171" s="296"/>
      <c r="AL171" s="296"/>
      <c r="AM171" s="296"/>
      <c r="AN171" s="296"/>
      <c r="AO171" s="295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  <c r="BU171" s="296"/>
      <c r="BV171" s="296"/>
      <c r="BW171" s="296"/>
      <c r="BX171" s="296"/>
      <c r="BY171" s="296"/>
      <c r="BZ171" s="296"/>
      <c r="CA171" s="296"/>
      <c r="CB171" s="296"/>
      <c r="CP171" s="294"/>
      <c r="CU171" s="294"/>
    </row>
    <row r="172" spans="1:115" ht="13">
      <c r="A172" s="294"/>
      <c r="B172" s="294"/>
      <c r="F172" s="296"/>
      <c r="J172" s="302"/>
      <c r="M172" s="1"/>
      <c r="AO172" s="1210"/>
      <c r="CP172" s="294"/>
      <c r="CU172" s="294"/>
    </row>
    <row r="173" spans="1:115" ht="13">
      <c r="A173" s="294"/>
      <c r="B173" s="294"/>
      <c r="F173" s="296"/>
      <c r="J173" s="302"/>
      <c r="AO173" s="1210"/>
      <c r="CP173" s="294"/>
      <c r="CU173" s="294"/>
    </row>
    <row r="174" spans="1:115" ht="13">
      <c r="A174" s="294"/>
      <c r="B174" s="294"/>
      <c r="F174" s="296"/>
      <c r="J174" s="302"/>
      <c r="M174" s="1"/>
      <c r="AO174" s="1210"/>
      <c r="CP174" s="294"/>
      <c r="CU174" s="294"/>
    </row>
    <row r="175" spans="1:115" ht="13">
      <c r="A175" s="294"/>
      <c r="B175" s="294"/>
      <c r="F175" s="296"/>
      <c r="J175" s="302"/>
      <c r="AO175" s="1210"/>
      <c r="CP175" s="294"/>
      <c r="CU175" s="294"/>
    </row>
    <row r="176" spans="1:115" ht="13">
      <c r="A176" s="294"/>
      <c r="B176" s="294"/>
      <c r="F176" s="296"/>
      <c r="J176" s="302"/>
      <c r="AO176" s="1210"/>
      <c r="CP176" s="294"/>
      <c r="CU176" s="294"/>
    </row>
    <row r="177" spans="1:99" ht="13">
      <c r="A177" s="294"/>
      <c r="B177" s="294"/>
      <c r="F177" s="296"/>
      <c r="J177" s="302"/>
      <c r="AO177" s="1210"/>
      <c r="CP177" s="294"/>
      <c r="CU177" s="294"/>
    </row>
    <row r="178" spans="1:99" ht="13">
      <c r="A178" s="294"/>
      <c r="B178" s="294"/>
      <c r="F178" s="296"/>
      <c r="J178" s="302"/>
      <c r="AO178" s="1210"/>
      <c r="CP178" s="294"/>
      <c r="CU178" s="294"/>
    </row>
    <row r="179" spans="1:99" ht="13">
      <c r="A179" s="294"/>
      <c r="B179" s="294"/>
      <c r="F179" s="296"/>
      <c r="J179" s="302"/>
      <c r="AO179" s="1210"/>
      <c r="CP179" s="294"/>
      <c r="CU179" s="294"/>
    </row>
    <row r="180" spans="1:99" ht="13">
      <c r="A180" s="294"/>
      <c r="B180" s="294"/>
      <c r="F180" s="296"/>
      <c r="J180" s="302"/>
      <c r="AO180" s="1210"/>
      <c r="CP180" s="294"/>
      <c r="CU180" s="294"/>
    </row>
    <row r="181" spans="1:99" ht="13">
      <c r="A181" s="294"/>
      <c r="B181" s="294"/>
      <c r="F181" s="296"/>
      <c r="J181" s="302"/>
      <c r="AO181" s="1210"/>
      <c r="CP181" s="294"/>
      <c r="CU181" s="294"/>
    </row>
    <row r="182" spans="1:99" ht="13">
      <c r="A182" s="294"/>
      <c r="B182" s="294"/>
      <c r="F182" s="296"/>
      <c r="J182" s="302"/>
      <c r="AO182" s="1210"/>
      <c r="CP182" s="294"/>
      <c r="CU182" s="294"/>
    </row>
    <row r="183" spans="1:99" ht="13">
      <c r="A183" s="294"/>
      <c r="B183" s="294"/>
      <c r="F183" s="296"/>
      <c r="J183" s="302"/>
      <c r="AO183" s="1210"/>
      <c r="CP183" s="294"/>
      <c r="CU183" s="294"/>
    </row>
    <row r="184" spans="1:99" ht="13">
      <c r="A184" s="294"/>
      <c r="B184" s="294"/>
      <c r="F184" s="296"/>
      <c r="J184" s="302"/>
      <c r="AO184" s="1210"/>
      <c r="CP184" s="294"/>
      <c r="CU184" s="294"/>
    </row>
    <row r="185" spans="1:99" ht="13">
      <c r="A185" s="294"/>
      <c r="B185" s="294"/>
      <c r="F185" s="296"/>
      <c r="J185" s="302"/>
      <c r="AO185" s="1210"/>
      <c r="CP185" s="294"/>
      <c r="CU185" s="294"/>
    </row>
    <row r="186" spans="1:99" ht="13">
      <c r="A186" s="294"/>
      <c r="B186" s="294"/>
      <c r="F186" s="296"/>
      <c r="J186" s="302"/>
      <c r="AO186" s="1210"/>
      <c r="CP186" s="294"/>
      <c r="CU186" s="294"/>
    </row>
    <row r="187" spans="1:99" ht="13">
      <c r="A187" s="294"/>
      <c r="B187" s="294"/>
      <c r="F187" s="296"/>
      <c r="J187" s="302"/>
      <c r="AO187" s="1210"/>
      <c r="CP187" s="294"/>
      <c r="CU187" s="294"/>
    </row>
    <row r="188" spans="1:99" ht="13">
      <c r="A188" s="294"/>
      <c r="B188" s="294"/>
      <c r="F188" s="296"/>
      <c r="J188" s="302"/>
      <c r="AO188" s="1210"/>
      <c r="CP188" s="294"/>
      <c r="CU188" s="294"/>
    </row>
    <row r="189" spans="1:99" ht="13">
      <c r="A189" s="294"/>
      <c r="B189" s="294"/>
      <c r="F189" s="296"/>
      <c r="J189" s="302"/>
      <c r="AO189" s="1210"/>
      <c r="CP189" s="294"/>
      <c r="CU189" s="294"/>
    </row>
    <row r="190" spans="1:99" ht="13">
      <c r="A190" s="294"/>
      <c r="B190" s="294"/>
      <c r="F190" s="296"/>
      <c r="J190" s="302"/>
      <c r="AO190" s="1210"/>
      <c r="CP190" s="294"/>
      <c r="CU190" s="294"/>
    </row>
    <row r="191" spans="1:99" ht="13">
      <c r="A191" s="294"/>
      <c r="B191" s="294"/>
      <c r="F191" s="296"/>
      <c r="J191" s="302"/>
      <c r="AO191" s="1210"/>
      <c r="CP191" s="294"/>
      <c r="CU191" s="294"/>
    </row>
    <row r="192" spans="1:99" ht="13">
      <c r="A192" s="294"/>
      <c r="B192" s="294"/>
      <c r="F192" s="296"/>
      <c r="J192" s="302"/>
      <c r="AO192" s="1210"/>
      <c r="CP192" s="294"/>
      <c r="CU192" s="294"/>
    </row>
    <row r="193" spans="1:115" ht="13">
      <c r="A193" s="294"/>
      <c r="B193" s="294"/>
      <c r="F193" s="296"/>
      <c r="J193" s="302"/>
      <c r="AO193" s="1210"/>
      <c r="CP193" s="294"/>
      <c r="CU193" s="294"/>
    </row>
    <row r="194" spans="1:115" ht="13">
      <c r="A194" s="294"/>
      <c r="B194" s="294"/>
      <c r="F194" s="296"/>
      <c r="J194" s="302"/>
      <c r="AO194" s="1210"/>
      <c r="CP194" s="294"/>
      <c r="CU194" s="294"/>
    </row>
    <row r="195" spans="1:115" ht="13">
      <c r="A195" s="294"/>
      <c r="B195" s="294"/>
      <c r="F195" s="296"/>
      <c r="J195" s="302"/>
      <c r="AO195" s="1210"/>
      <c r="CP195" s="294"/>
      <c r="CU195" s="294"/>
    </row>
    <row r="196" spans="1:115" ht="13">
      <c r="A196" s="294"/>
      <c r="B196" s="294"/>
      <c r="F196" s="296"/>
      <c r="J196" s="302"/>
      <c r="AO196" s="1210"/>
      <c r="CP196" s="294"/>
      <c r="CU196" s="294"/>
    </row>
    <row r="197" spans="1:115" ht="13">
      <c r="A197" s="294"/>
      <c r="B197" s="294"/>
      <c r="F197" s="296"/>
      <c r="J197" s="302"/>
      <c r="AO197" s="1210"/>
      <c r="CP197" s="294"/>
      <c r="CU197" s="294"/>
    </row>
    <row r="198" spans="1:115" ht="13">
      <c r="A198" s="294"/>
      <c r="B198" s="294"/>
      <c r="F198" s="296"/>
      <c r="J198" s="302"/>
      <c r="AO198" s="1210"/>
      <c r="CP198" s="294"/>
      <c r="CU198" s="294"/>
    </row>
    <row r="199" spans="1:115" ht="13">
      <c r="A199" s="294"/>
      <c r="B199" s="294"/>
      <c r="F199" s="296"/>
      <c r="J199" s="302"/>
      <c r="AO199" s="1210"/>
      <c r="CP199" s="294"/>
      <c r="CU199" s="294"/>
    </row>
    <row r="200" spans="1:115" ht="13">
      <c r="A200" s="294"/>
      <c r="B200" s="294"/>
      <c r="F200" s="296"/>
      <c r="J200" s="302"/>
      <c r="AO200" s="1210"/>
      <c r="CP200" s="294"/>
      <c r="CU200" s="294"/>
    </row>
    <row r="201" spans="1:115" ht="13">
      <c r="A201" s="294"/>
      <c r="B201" s="294"/>
      <c r="F201" s="296"/>
      <c r="J201" s="302"/>
      <c r="AO201" s="1210"/>
      <c r="CP201" s="294"/>
      <c r="CU201" s="294"/>
    </row>
    <row r="202" spans="1:115" ht="13">
      <c r="A202" s="294"/>
      <c r="B202" s="294"/>
      <c r="F202" s="296"/>
      <c r="J202" s="302"/>
      <c r="AO202" s="1210"/>
      <c r="CP202" s="294"/>
      <c r="CU202" s="294"/>
    </row>
    <row r="203" spans="1:115" ht="13">
      <c r="A203" s="294"/>
      <c r="B203" s="294"/>
      <c r="F203" s="296"/>
      <c r="J203" s="302"/>
      <c r="AO203" s="1210"/>
      <c r="CP203" s="294"/>
      <c r="CU203" s="294"/>
    </row>
    <row r="204" spans="1:115" ht="13">
      <c r="A204" s="294"/>
      <c r="B204" s="294"/>
      <c r="F204" s="296"/>
      <c r="J204" s="302"/>
      <c r="AO204" s="1210"/>
      <c r="CP204" s="294"/>
      <c r="CU204" s="294"/>
      <c r="CX204" s="352">
        <f>CX208-R59</f>
        <v>9.9999904632568359E-3</v>
      </c>
      <c r="CY204" s="352">
        <f>CY208-Y59</f>
        <v>2.9999971389770508E-2</v>
      </c>
      <c r="CZ204" s="352">
        <f>CZ208-AF59</f>
        <v>-2.9999993741512299E-2</v>
      </c>
      <c r="DA204" s="352">
        <f>DA208-AS59</f>
        <v>-1.9999980926513672E-2</v>
      </c>
      <c r="DB204" s="352">
        <f>DB208-AW59</f>
        <v>3.0000023543834686E-2</v>
      </c>
      <c r="DC204" s="352">
        <f>DC208-BA59</f>
        <v>-9.999983012676239E-3</v>
      </c>
      <c r="DD204" s="352">
        <f>DD208-BK59</f>
        <v>0</v>
      </c>
      <c r="DE204" s="352">
        <f>DE208-BO59</f>
        <v>-2.000001072883606E-2</v>
      </c>
      <c r="DF204" s="352">
        <f>DF208-BS59</f>
        <v>-1.000000536441803E-2</v>
      </c>
      <c r="DG204" s="352">
        <f>DG208-BZ59</f>
        <v>-4.9999997019767761E-2</v>
      </c>
    </row>
    <row r="205" spans="1:115" ht="13">
      <c r="A205" s="294"/>
      <c r="B205" s="294"/>
      <c r="F205" s="296"/>
      <c r="J205" s="302"/>
      <c r="AO205" s="1210"/>
      <c r="CP205" s="294"/>
      <c r="CU205" s="509">
        <v>0</v>
      </c>
      <c r="CV205" s="354">
        <v>1</v>
      </c>
      <c r="CW205" s="354">
        <v>2</v>
      </c>
      <c r="CX205" s="354">
        <v>3</v>
      </c>
      <c r="CY205" s="354">
        <v>4</v>
      </c>
      <c r="CZ205" s="354">
        <v>5</v>
      </c>
      <c r="DA205" s="354">
        <v>6</v>
      </c>
      <c r="DB205" s="354">
        <v>7</v>
      </c>
      <c r="DC205" s="354">
        <v>8</v>
      </c>
      <c r="DD205" s="354">
        <v>9</v>
      </c>
      <c r="DE205" s="354">
        <v>10</v>
      </c>
      <c r="DF205" s="354">
        <v>11</v>
      </c>
      <c r="DG205" s="354">
        <v>12</v>
      </c>
      <c r="DH205" s="354">
        <v>13</v>
      </c>
      <c r="DI205" s="354">
        <v>14</v>
      </c>
      <c r="DJ205" s="354">
        <v>15</v>
      </c>
      <c r="DK205" s="355">
        <v>16</v>
      </c>
    </row>
    <row r="206" spans="1:115" ht="13">
      <c r="A206" s="294"/>
      <c r="B206" s="294"/>
      <c r="F206" s="296"/>
      <c r="J206" s="302"/>
      <c r="AO206" s="1210"/>
      <c r="CP206" s="294"/>
      <c r="CU206" s="510"/>
      <c r="CX206" s="357">
        <v>45658</v>
      </c>
      <c r="CY206" s="357">
        <v>45689</v>
      </c>
      <c r="CZ206" s="357">
        <v>45717</v>
      </c>
      <c r="DA206" s="357">
        <v>45748</v>
      </c>
      <c r="DB206" s="357">
        <v>45778</v>
      </c>
      <c r="DC206" s="357">
        <v>45809</v>
      </c>
      <c r="DD206" s="357">
        <v>45839</v>
      </c>
      <c r="DE206" s="357">
        <v>45870</v>
      </c>
      <c r="DF206" s="357">
        <v>45901</v>
      </c>
      <c r="DG206" s="357">
        <v>45931</v>
      </c>
      <c r="DH206" s="357">
        <v>45962</v>
      </c>
      <c r="DI206" s="357">
        <v>45992</v>
      </c>
      <c r="DJ206" s="357"/>
      <c r="DK206" s="358"/>
    </row>
    <row r="207" spans="1:115" ht="13">
      <c r="A207" s="294"/>
      <c r="B207" s="294"/>
      <c r="F207" s="296"/>
      <c r="J207" s="302"/>
      <c r="AO207" s="1210"/>
      <c r="CP207" s="294"/>
      <c r="CU207" s="510"/>
      <c r="CV207" s="511"/>
      <c r="CW207" s="377" t="s">
        <v>241</v>
      </c>
      <c r="CX207" s="360">
        <v>45658</v>
      </c>
      <c r="CY207" s="360">
        <v>45689</v>
      </c>
      <c r="CZ207" s="360">
        <v>45717</v>
      </c>
      <c r="DA207" s="360">
        <v>45748</v>
      </c>
      <c r="DB207" s="360">
        <v>45778</v>
      </c>
      <c r="DC207" s="360">
        <v>45809</v>
      </c>
      <c r="DD207" s="360">
        <v>45839</v>
      </c>
      <c r="DE207" s="360">
        <v>45870</v>
      </c>
      <c r="DF207" s="360">
        <v>45901</v>
      </c>
      <c r="DG207" s="360">
        <v>45931</v>
      </c>
      <c r="DH207" s="360"/>
      <c r="DI207" s="360"/>
      <c r="DJ207" s="357"/>
      <c r="DK207" s="358"/>
    </row>
    <row r="208" spans="1:115" ht="13">
      <c r="A208" s="294"/>
      <c r="B208" s="294"/>
      <c r="F208" s="296"/>
      <c r="J208" s="302"/>
      <c r="AO208" s="1210"/>
      <c r="CP208" s="294"/>
      <c r="CU208" s="510"/>
      <c r="CV208" s="359" t="s">
        <v>241</v>
      </c>
      <c r="CW208" s="361">
        <v>629067908.40999997</v>
      </c>
      <c r="CX208" s="361">
        <v>61864857.329999998</v>
      </c>
      <c r="CY208" s="361">
        <v>70918819.629999995</v>
      </c>
      <c r="CZ208" s="361">
        <v>56849752.560000002</v>
      </c>
      <c r="DA208" s="361">
        <v>50914156.950000003</v>
      </c>
      <c r="DB208" s="361">
        <v>54651071.649999999</v>
      </c>
      <c r="DC208" s="361">
        <v>55550152.030000001</v>
      </c>
      <c r="DD208" s="361">
        <v>65256959.299999997</v>
      </c>
      <c r="DE208" s="361">
        <v>71017744.420000002</v>
      </c>
      <c r="DF208" s="361">
        <v>62820258.780000001</v>
      </c>
      <c r="DG208" s="361">
        <v>79224135.739999995</v>
      </c>
      <c r="DH208" s="361"/>
      <c r="DI208" s="361"/>
      <c r="DJ208" s="361"/>
      <c r="DK208" s="362"/>
    </row>
    <row r="209" spans="1:115" ht="13">
      <c r="A209" s="294"/>
      <c r="B209" s="294"/>
      <c r="F209" s="296"/>
      <c r="J209" s="302"/>
      <c r="AO209" s="1210"/>
      <c r="CP209" s="294"/>
      <c r="CU209" s="510">
        <v>1</v>
      </c>
      <c r="CV209" s="359" t="s">
        <v>1134</v>
      </c>
      <c r="CW209" s="361">
        <v>94689106.510000005</v>
      </c>
      <c r="CX209" s="361">
        <v>4435339.01</v>
      </c>
      <c r="CY209" s="361">
        <v>12228627.07</v>
      </c>
      <c r="CZ209" s="361">
        <v>6190758.8700000001</v>
      </c>
      <c r="DA209" s="361">
        <v>10831301.76</v>
      </c>
      <c r="DB209" s="361">
        <v>5148311.51</v>
      </c>
      <c r="DC209" s="361">
        <v>16816317.620000001</v>
      </c>
      <c r="DD209" s="361">
        <v>7545992.96</v>
      </c>
      <c r="DE209" s="361">
        <v>17725674.27</v>
      </c>
      <c r="DF209" s="361">
        <v>3149798.02</v>
      </c>
      <c r="DG209" s="361">
        <v>10616985.41</v>
      </c>
      <c r="DH209" s="361"/>
      <c r="DI209" s="361"/>
      <c r="DJ209" s="361"/>
      <c r="DK209" s="362"/>
    </row>
    <row r="210" spans="1:115" ht="13">
      <c r="A210" s="294"/>
      <c r="B210" s="294"/>
      <c r="F210" s="296"/>
      <c r="J210" s="302"/>
      <c r="AO210" s="1210"/>
      <c r="CP210" s="294"/>
      <c r="CU210" s="510">
        <v>2</v>
      </c>
      <c r="CV210" s="359" t="s">
        <v>1136</v>
      </c>
      <c r="CW210" s="361">
        <v>37487509.880000003</v>
      </c>
      <c r="CX210" s="361">
        <v>4779942.47</v>
      </c>
      <c r="CY210" s="361">
        <v>2917614.83</v>
      </c>
      <c r="CZ210" s="361">
        <v>3026069.09</v>
      </c>
      <c r="DA210" s="361">
        <v>2340522.85</v>
      </c>
      <c r="DB210" s="361">
        <v>3465868.68</v>
      </c>
      <c r="DC210" s="361">
        <v>2394143</v>
      </c>
      <c r="DD210" s="361">
        <v>4923933.57</v>
      </c>
      <c r="DE210" s="361">
        <v>3144685.17</v>
      </c>
      <c r="DF210" s="361">
        <v>3228974.87</v>
      </c>
      <c r="DG210" s="361">
        <v>7265755.3499999996</v>
      </c>
      <c r="DH210" s="361"/>
      <c r="DI210" s="361"/>
      <c r="DJ210" s="361"/>
      <c r="DK210" s="362"/>
    </row>
    <row r="211" spans="1:115" ht="13">
      <c r="A211" s="294"/>
      <c r="B211" s="294"/>
      <c r="F211" s="296"/>
      <c r="J211" s="302"/>
      <c r="AO211" s="1210"/>
      <c r="CP211" s="294"/>
      <c r="CU211" s="510">
        <v>3</v>
      </c>
      <c r="CV211" s="359" t="s">
        <v>841</v>
      </c>
      <c r="CW211" s="361">
        <v>28544190.93</v>
      </c>
      <c r="CX211" s="361">
        <v>3143312.16</v>
      </c>
      <c r="CY211" s="361">
        <v>5788690.7199999997</v>
      </c>
      <c r="CZ211" s="361">
        <v>3676953.45</v>
      </c>
      <c r="DA211" s="361">
        <v>1097111.67</v>
      </c>
      <c r="DB211" s="361">
        <v>2824643.67</v>
      </c>
      <c r="DC211" s="361">
        <v>2511860.34</v>
      </c>
      <c r="DD211" s="361">
        <v>3435208.03</v>
      </c>
      <c r="DE211" s="361">
        <v>3666142.18</v>
      </c>
      <c r="DF211" s="361">
        <v>2261571.64</v>
      </c>
      <c r="DG211" s="361">
        <v>138697.04999999999</v>
      </c>
      <c r="DH211" s="361"/>
      <c r="DI211" s="361"/>
      <c r="DJ211" s="361"/>
      <c r="DK211" s="362"/>
    </row>
    <row r="212" spans="1:115" ht="13">
      <c r="A212" s="294"/>
      <c r="B212" s="294"/>
      <c r="F212" s="296"/>
      <c r="J212" s="302"/>
      <c r="AO212" s="1210"/>
      <c r="CP212" s="294"/>
      <c r="CU212" s="510">
        <v>4</v>
      </c>
      <c r="CV212" s="359" t="s">
        <v>1143</v>
      </c>
      <c r="CW212" s="361">
        <v>25312010.25</v>
      </c>
      <c r="CX212" s="361">
        <v>1893231.8</v>
      </c>
      <c r="CY212" s="361">
        <v>2131271.17</v>
      </c>
      <c r="CZ212" s="361">
        <v>1809519.34</v>
      </c>
      <c r="DA212" s="361">
        <v>2859007.15</v>
      </c>
      <c r="DB212" s="361">
        <v>2231237.92</v>
      </c>
      <c r="DC212" s="361">
        <v>1694744.49</v>
      </c>
      <c r="DD212" s="361">
        <v>3456305.97</v>
      </c>
      <c r="DE212" s="361">
        <v>2299469.5699999998</v>
      </c>
      <c r="DF212" s="361">
        <v>3347795.97</v>
      </c>
      <c r="DG212" s="361">
        <v>3589426.87</v>
      </c>
      <c r="DH212" s="361"/>
      <c r="DI212" s="361"/>
      <c r="DJ212" s="361"/>
      <c r="DK212" s="362"/>
    </row>
    <row r="213" spans="1:115" ht="13">
      <c r="A213" s="294"/>
      <c r="B213" s="294"/>
      <c r="F213" s="296"/>
      <c r="J213" s="302"/>
      <c r="AO213" s="1210"/>
      <c r="CP213" s="294"/>
      <c r="CU213" s="510">
        <v>5</v>
      </c>
      <c r="CV213" s="359" t="s">
        <v>1148</v>
      </c>
      <c r="CW213" s="361">
        <v>23094399.120000001</v>
      </c>
      <c r="CX213" s="361">
        <v>2579007.7999999998</v>
      </c>
      <c r="CY213" s="361">
        <v>2875600.43</v>
      </c>
      <c r="CZ213" s="361">
        <v>2903686.99</v>
      </c>
      <c r="DA213" s="361">
        <v>2537629.62</v>
      </c>
      <c r="DB213" s="361">
        <v>2393519.44</v>
      </c>
      <c r="DC213" s="361">
        <v>2067035.31</v>
      </c>
      <c r="DD213" s="361">
        <v>2442045.3199999998</v>
      </c>
      <c r="DE213" s="361">
        <v>1784856.51</v>
      </c>
      <c r="DF213" s="361">
        <v>2262732.15</v>
      </c>
      <c r="DG213" s="361">
        <v>1248285.54</v>
      </c>
      <c r="DH213" s="361"/>
      <c r="DI213" s="361"/>
      <c r="DJ213" s="361"/>
      <c r="DK213" s="362"/>
    </row>
    <row r="214" spans="1:115" ht="13">
      <c r="A214" s="294"/>
      <c r="B214" s="294"/>
      <c r="F214" s="296"/>
      <c r="J214" s="302"/>
      <c r="AO214" s="1210"/>
      <c r="CP214" s="294"/>
      <c r="CU214" s="510">
        <v>6</v>
      </c>
      <c r="CV214" s="359" t="s">
        <v>1151</v>
      </c>
      <c r="CW214" s="361">
        <v>21438502.670000002</v>
      </c>
      <c r="CX214" s="361">
        <v>1005547.36</v>
      </c>
      <c r="CY214" s="361">
        <v>1744466.68</v>
      </c>
      <c r="CZ214" s="361">
        <v>2065315.8400000001</v>
      </c>
      <c r="DA214" s="361">
        <v>718116.63</v>
      </c>
      <c r="DB214" s="361">
        <v>1957977.58</v>
      </c>
      <c r="DC214" s="361">
        <v>1051161.6000000001</v>
      </c>
      <c r="DD214" s="361">
        <v>4466143.5999999996</v>
      </c>
      <c r="DE214" s="361">
        <v>2094029.97</v>
      </c>
      <c r="DF214" s="361">
        <v>3440823.44</v>
      </c>
      <c r="DG214" s="361">
        <v>2894919.96</v>
      </c>
      <c r="DH214" s="361"/>
      <c r="DI214" s="361"/>
      <c r="DJ214" s="361"/>
      <c r="DK214" s="362"/>
    </row>
    <row r="215" spans="1:115" ht="13">
      <c r="A215" s="294"/>
      <c r="B215" s="294"/>
      <c r="F215" s="296"/>
      <c r="J215" s="302"/>
      <c r="AO215" s="1210"/>
      <c r="CP215" s="294"/>
      <c r="CU215" s="510">
        <v>7</v>
      </c>
      <c r="CV215" s="359" t="s">
        <v>1147</v>
      </c>
      <c r="CW215" s="361">
        <v>19929358.82</v>
      </c>
      <c r="CX215" s="361">
        <v>329875.20000000001</v>
      </c>
      <c r="CY215" s="361">
        <v>2209398.9</v>
      </c>
      <c r="CZ215" s="361">
        <v>2425832.81</v>
      </c>
      <c r="DA215" s="361">
        <v>1625289.2</v>
      </c>
      <c r="DB215" s="361">
        <v>1989331.6</v>
      </c>
      <c r="DC215" s="361">
        <v>1267764.3999999999</v>
      </c>
      <c r="DD215" s="361">
        <v>2054460.32</v>
      </c>
      <c r="DE215" s="361">
        <v>2637087.2799999998</v>
      </c>
      <c r="DF215" s="361">
        <v>2292218.08</v>
      </c>
      <c r="DG215" s="361">
        <v>3098101.03</v>
      </c>
      <c r="DH215" s="361"/>
      <c r="DI215" s="361"/>
      <c r="DJ215" s="361"/>
      <c r="DK215" s="362"/>
    </row>
    <row r="216" spans="1:115" ht="13">
      <c r="A216" s="294"/>
      <c r="B216" s="294"/>
      <c r="F216" s="296"/>
      <c r="J216" s="302"/>
      <c r="AO216" s="1210"/>
      <c r="CP216" s="294"/>
      <c r="CU216" s="510">
        <v>8</v>
      </c>
      <c r="CV216" s="323" t="s">
        <v>866</v>
      </c>
      <c r="CW216" s="361">
        <v>18188905.100000001</v>
      </c>
      <c r="CX216" s="361">
        <v>902853.98</v>
      </c>
      <c r="CY216" s="361">
        <v>2670826.9300000002</v>
      </c>
      <c r="CZ216" s="361">
        <v>1503978.36</v>
      </c>
      <c r="DA216" s="361">
        <v>1775158.24</v>
      </c>
      <c r="DB216" s="361">
        <v>2033716.76</v>
      </c>
      <c r="DC216" s="361">
        <v>1510877.45</v>
      </c>
      <c r="DD216" s="361">
        <v>2174959.44</v>
      </c>
      <c r="DE216" s="361">
        <v>2326367.31</v>
      </c>
      <c r="DF216" s="361">
        <v>1355368.21</v>
      </c>
      <c r="DG216" s="361">
        <v>1934798.41</v>
      </c>
      <c r="DH216" s="361"/>
      <c r="DI216" s="361"/>
      <c r="DJ216" s="361"/>
      <c r="DK216" s="362"/>
    </row>
    <row r="217" spans="1:115" ht="13">
      <c r="A217" s="294"/>
      <c r="B217" s="294"/>
      <c r="F217" s="296"/>
      <c r="J217" s="302"/>
      <c r="AO217" s="1210"/>
      <c r="CP217" s="294"/>
      <c r="CU217" s="510">
        <v>9</v>
      </c>
      <c r="CV217" s="359" t="s">
        <v>872</v>
      </c>
      <c r="CW217" s="361">
        <v>17685232.199999999</v>
      </c>
      <c r="CX217" s="361">
        <v>2266405.89</v>
      </c>
      <c r="CY217" s="361">
        <v>2315389.23</v>
      </c>
      <c r="CZ217" s="361">
        <v>0</v>
      </c>
      <c r="DA217" s="361">
        <v>2549977.7200000002</v>
      </c>
      <c r="DB217" s="361">
        <v>1323787.42</v>
      </c>
      <c r="DC217" s="361">
        <v>124184.45</v>
      </c>
      <c r="DD217" s="361">
        <v>1962647.91</v>
      </c>
      <c r="DE217" s="361">
        <v>1292746.23</v>
      </c>
      <c r="DF217" s="361">
        <v>1091447.8500000001</v>
      </c>
      <c r="DG217" s="361">
        <v>4758645.5</v>
      </c>
      <c r="DH217" s="361"/>
      <c r="DI217" s="361"/>
      <c r="DJ217" s="361"/>
      <c r="DK217" s="362"/>
    </row>
    <row r="218" spans="1:115" ht="13">
      <c r="A218" s="294"/>
      <c r="B218" s="294"/>
      <c r="F218" s="296"/>
      <c r="J218" s="302"/>
      <c r="AO218" s="1210"/>
      <c r="CP218" s="294"/>
      <c r="CU218" s="510">
        <v>10</v>
      </c>
      <c r="CV218" s="359" t="s">
        <v>880</v>
      </c>
      <c r="CW218" s="361">
        <v>16315477.74</v>
      </c>
      <c r="CX218" s="361">
        <v>1414337.22</v>
      </c>
      <c r="CY218" s="361">
        <v>1631345.84</v>
      </c>
      <c r="CZ218" s="361">
        <v>1519250.45</v>
      </c>
      <c r="DA218" s="361">
        <v>901081.76</v>
      </c>
      <c r="DB218" s="361">
        <v>701062.8</v>
      </c>
      <c r="DC218" s="361">
        <v>1836572.26</v>
      </c>
      <c r="DD218" s="361">
        <v>2859898.48</v>
      </c>
      <c r="DE218" s="361">
        <v>655402.56000000006</v>
      </c>
      <c r="DF218" s="361">
        <v>2405836.0299999998</v>
      </c>
      <c r="DG218" s="361">
        <v>2390690.34</v>
      </c>
      <c r="DH218" s="361"/>
      <c r="DI218" s="361"/>
      <c r="DJ218" s="361"/>
      <c r="DK218" s="362"/>
    </row>
    <row r="219" spans="1:115" ht="13">
      <c r="A219" s="294"/>
      <c r="B219" s="294"/>
      <c r="F219" s="296"/>
      <c r="J219" s="302"/>
      <c r="AO219" s="1210"/>
      <c r="CP219" s="294"/>
      <c r="CU219" s="510">
        <v>11</v>
      </c>
      <c r="CV219" s="359" t="s">
        <v>1157</v>
      </c>
      <c r="CW219" s="361">
        <v>14841059.75</v>
      </c>
      <c r="CX219" s="361">
        <v>1500702</v>
      </c>
      <c r="CY219" s="361">
        <v>1692880.4</v>
      </c>
      <c r="CZ219" s="361">
        <v>561726.43000000005</v>
      </c>
      <c r="DA219" s="361">
        <v>1351606.48</v>
      </c>
      <c r="DB219" s="361">
        <v>2539142.56</v>
      </c>
      <c r="DC219" s="361">
        <v>962814.05</v>
      </c>
      <c r="DD219" s="361">
        <v>606435.31999999995</v>
      </c>
      <c r="DE219" s="361">
        <v>1874407.92</v>
      </c>
      <c r="DF219" s="361">
        <v>2086175.96</v>
      </c>
      <c r="DG219" s="361">
        <v>1665168.61</v>
      </c>
      <c r="DH219" s="361"/>
      <c r="DI219" s="361"/>
      <c r="DJ219" s="361"/>
      <c r="DK219" s="362"/>
    </row>
    <row r="220" spans="1:115" ht="13">
      <c r="A220" s="294"/>
      <c r="B220" s="294"/>
      <c r="F220" s="296"/>
      <c r="J220" s="302"/>
      <c r="AO220" s="1210"/>
      <c r="CP220" s="294"/>
      <c r="CU220" s="510">
        <v>12</v>
      </c>
      <c r="CV220" s="359" t="s">
        <v>899</v>
      </c>
      <c r="CW220" s="361">
        <v>13210034.74</v>
      </c>
      <c r="CX220" s="361">
        <v>1297756.26</v>
      </c>
      <c r="CY220" s="361">
        <v>2292201.4300000002</v>
      </c>
      <c r="CZ220" s="361">
        <v>1232313.1000000001</v>
      </c>
      <c r="DA220" s="361">
        <v>384794.82</v>
      </c>
      <c r="DB220" s="361">
        <v>1322290.01</v>
      </c>
      <c r="DC220" s="361">
        <v>722700.73</v>
      </c>
      <c r="DD220" s="361">
        <v>1139189.3600000001</v>
      </c>
      <c r="DE220" s="361">
        <v>1182732.28</v>
      </c>
      <c r="DF220" s="361">
        <v>2784687.61</v>
      </c>
      <c r="DG220" s="361">
        <v>851369.15</v>
      </c>
      <c r="DH220" s="361"/>
      <c r="DI220" s="361"/>
      <c r="DJ220" s="361"/>
      <c r="DK220" s="362"/>
    </row>
    <row r="221" spans="1:115" ht="13">
      <c r="A221" s="294"/>
      <c r="B221" s="294"/>
      <c r="F221" s="296"/>
      <c r="J221" s="302"/>
      <c r="AO221" s="1210"/>
      <c r="CP221" s="294"/>
      <c r="CU221" s="510">
        <v>13</v>
      </c>
      <c r="CV221" s="359" t="s">
        <v>888</v>
      </c>
      <c r="CW221" s="361">
        <v>12912836.119999999</v>
      </c>
      <c r="CX221" s="361">
        <v>451173.88</v>
      </c>
      <c r="CY221" s="361">
        <v>1593625.23</v>
      </c>
      <c r="CZ221" s="361">
        <v>785967.04</v>
      </c>
      <c r="DA221" s="361">
        <v>1169605.8600000001</v>
      </c>
      <c r="DB221" s="361">
        <v>824156.84</v>
      </c>
      <c r="DC221" s="361">
        <v>1118635.9099999999</v>
      </c>
      <c r="DD221" s="361">
        <v>2104919.5</v>
      </c>
      <c r="DE221" s="361">
        <v>930680.92</v>
      </c>
      <c r="DF221" s="361">
        <v>1756163.31</v>
      </c>
      <c r="DG221" s="361">
        <v>2177907.65</v>
      </c>
      <c r="DH221" s="361"/>
      <c r="DI221" s="361"/>
      <c r="DJ221" s="361"/>
      <c r="DK221" s="362"/>
    </row>
    <row r="222" spans="1:115" ht="13">
      <c r="A222" s="294"/>
      <c r="B222" s="294"/>
      <c r="F222" s="296"/>
      <c r="J222" s="302"/>
      <c r="AO222" s="1210"/>
      <c r="CP222" s="294"/>
      <c r="CU222" s="510">
        <v>14</v>
      </c>
      <c r="CV222" s="359" t="s">
        <v>1161</v>
      </c>
      <c r="CW222" s="361">
        <v>12768525.18</v>
      </c>
      <c r="CX222" s="361">
        <v>5421569.9800000004</v>
      </c>
      <c r="CY222" s="361">
        <v>2251663.3599999999</v>
      </c>
      <c r="CZ222" s="361">
        <v>3391911.84</v>
      </c>
      <c r="DA222" s="361">
        <v>261556.4</v>
      </c>
      <c r="DB222" s="361">
        <v>978209.44</v>
      </c>
      <c r="DC222" s="361">
        <v>275102.56</v>
      </c>
      <c r="DD222" s="361">
        <v>132319.51999999999</v>
      </c>
      <c r="DE222" s="361">
        <v>56192.08</v>
      </c>
      <c r="DF222" s="361">
        <v>0</v>
      </c>
      <c r="DG222" s="361">
        <v>0</v>
      </c>
      <c r="DH222" s="361"/>
      <c r="DI222" s="361"/>
      <c r="DJ222" s="361"/>
      <c r="DK222" s="362"/>
    </row>
    <row r="223" spans="1:115" ht="13">
      <c r="A223" s="294"/>
      <c r="B223" s="294"/>
      <c r="F223" s="296"/>
      <c r="J223" s="302"/>
      <c r="AO223" s="1210"/>
      <c r="CP223" s="294"/>
      <c r="CU223" s="510">
        <v>15</v>
      </c>
      <c r="CV223" s="359" t="s">
        <v>1138</v>
      </c>
      <c r="CW223" s="361">
        <v>11210733.48</v>
      </c>
      <c r="CX223" s="361">
        <v>1790123.13</v>
      </c>
      <c r="CY223" s="361">
        <v>1803797.49</v>
      </c>
      <c r="CZ223" s="361">
        <v>689150.5</v>
      </c>
      <c r="DA223" s="361">
        <v>208377.32</v>
      </c>
      <c r="DB223" s="361">
        <v>1405578.04</v>
      </c>
      <c r="DC223" s="361">
        <v>181287.42</v>
      </c>
      <c r="DD223" s="361">
        <v>639302.91</v>
      </c>
      <c r="DE223" s="361">
        <v>425686.31</v>
      </c>
      <c r="DF223" s="361">
        <v>1895654.19</v>
      </c>
      <c r="DG223" s="361">
        <v>2171776.17</v>
      </c>
      <c r="DH223" s="365"/>
      <c r="DI223" s="365"/>
      <c r="DJ223" s="365"/>
      <c r="DK223" s="366"/>
    </row>
    <row r="224" spans="1:115" ht="13">
      <c r="A224" s="294"/>
      <c r="B224" s="294"/>
      <c r="F224" s="296"/>
      <c r="J224" s="302"/>
      <c r="AO224" s="1210"/>
      <c r="CP224" s="294"/>
      <c r="CU224" s="510">
        <v>16</v>
      </c>
      <c r="CV224" s="359" t="s">
        <v>1132</v>
      </c>
      <c r="CW224" s="361">
        <v>10049988.23</v>
      </c>
      <c r="CX224" s="361">
        <v>624738.5</v>
      </c>
      <c r="CY224" s="361">
        <v>1016920.42</v>
      </c>
      <c r="CZ224" s="361">
        <v>985941.36</v>
      </c>
      <c r="DA224" s="361">
        <v>814912.13</v>
      </c>
      <c r="DB224" s="361">
        <v>441955.88</v>
      </c>
      <c r="DC224" s="361">
        <v>1002200.87</v>
      </c>
      <c r="DD224" s="361">
        <v>1241417.42</v>
      </c>
      <c r="DE224" s="361">
        <v>1998525.42</v>
      </c>
      <c r="DF224" s="361">
        <v>1378674.23</v>
      </c>
      <c r="DG224" s="361">
        <v>544701.98</v>
      </c>
      <c r="DH224" s="361"/>
      <c r="DI224" s="361"/>
      <c r="DJ224" s="361"/>
      <c r="DK224" s="362"/>
    </row>
    <row r="225" spans="1:115" ht="13">
      <c r="A225" s="294"/>
      <c r="B225" s="294"/>
      <c r="F225" s="296"/>
      <c r="J225" s="302"/>
      <c r="AO225" s="1210"/>
      <c r="CP225" s="294"/>
      <c r="CU225" s="510">
        <v>17</v>
      </c>
      <c r="CV225" s="359" t="s">
        <v>1155</v>
      </c>
      <c r="CW225" s="361">
        <v>9899650.0299999993</v>
      </c>
      <c r="CX225" s="361">
        <v>2482514.2400000002</v>
      </c>
      <c r="CY225" s="361">
        <v>0</v>
      </c>
      <c r="CZ225" s="361">
        <v>1668962.5</v>
      </c>
      <c r="DA225" s="361">
        <v>1018748.93</v>
      </c>
      <c r="DB225" s="361">
        <v>1497592.32</v>
      </c>
      <c r="DC225" s="361">
        <v>0</v>
      </c>
      <c r="DD225" s="361">
        <v>1045963.94</v>
      </c>
      <c r="DE225" s="361">
        <v>949983.79</v>
      </c>
      <c r="DF225" s="361">
        <v>1235884.32</v>
      </c>
      <c r="DG225" s="361">
        <v>0</v>
      </c>
      <c r="DH225" s="361"/>
      <c r="DI225" s="361"/>
      <c r="DJ225" s="361"/>
      <c r="DK225" s="362"/>
    </row>
    <row r="226" spans="1:115" ht="13">
      <c r="A226" s="294"/>
      <c r="B226" s="294"/>
      <c r="F226" s="296"/>
      <c r="J226" s="302"/>
      <c r="AO226" s="1210"/>
      <c r="CP226" s="294"/>
      <c r="CU226" s="510">
        <v>18</v>
      </c>
      <c r="CV226" s="359" t="s">
        <v>1135</v>
      </c>
      <c r="CW226" s="361">
        <v>9761389.0999999996</v>
      </c>
      <c r="CX226" s="361">
        <v>1127144.53</v>
      </c>
      <c r="CY226" s="361">
        <v>789166.04</v>
      </c>
      <c r="CZ226" s="361">
        <v>798766.22</v>
      </c>
      <c r="DA226" s="361">
        <v>1303361.22</v>
      </c>
      <c r="DB226" s="361">
        <v>561413.09</v>
      </c>
      <c r="DC226" s="361">
        <v>759367.79</v>
      </c>
      <c r="DD226" s="361">
        <v>709334.12</v>
      </c>
      <c r="DE226" s="361">
        <v>817000.43</v>
      </c>
      <c r="DF226" s="361">
        <v>1090716.5</v>
      </c>
      <c r="DG226" s="361">
        <v>1805119.15</v>
      </c>
      <c r="DH226" s="361"/>
      <c r="DI226" s="361"/>
      <c r="DJ226" s="361"/>
      <c r="DK226" s="362"/>
    </row>
    <row r="227" spans="1:115" ht="13">
      <c r="A227" s="294"/>
      <c r="B227" s="294"/>
      <c r="F227" s="296"/>
      <c r="J227" s="302"/>
      <c r="AO227" s="1210"/>
      <c r="CP227" s="294"/>
      <c r="CU227" s="510">
        <v>19</v>
      </c>
      <c r="CV227" s="359" t="s">
        <v>1133</v>
      </c>
      <c r="CW227" s="361">
        <v>9752524.2899999991</v>
      </c>
      <c r="CX227" s="361">
        <v>1096177.82</v>
      </c>
      <c r="CY227" s="361">
        <v>1015766.06</v>
      </c>
      <c r="CZ227" s="361">
        <v>1476424.18</v>
      </c>
      <c r="DA227" s="361">
        <v>711853.43</v>
      </c>
      <c r="DB227" s="361">
        <v>598178.68999999994</v>
      </c>
      <c r="DC227" s="361">
        <v>875496.68</v>
      </c>
      <c r="DD227" s="361">
        <v>920773.65</v>
      </c>
      <c r="DE227" s="361">
        <v>993993.04</v>
      </c>
      <c r="DF227" s="361">
        <v>823543.86</v>
      </c>
      <c r="DG227" s="361">
        <v>1240316.8700000001</v>
      </c>
      <c r="DH227" s="361"/>
      <c r="DI227" s="361"/>
      <c r="DJ227" s="361"/>
      <c r="DK227" s="362"/>
    </row>
    <row r="228" spans="1:115" ht="13">
      <c r="A228" s="294"/>
      <c r="B228" s="294"/>
      <c r="F228" s="296"/>
      <c r="J228" s="302"/>
      <c r="AO228" s="1210"/>
      <c r="CP228" s="294"/>
      <c r="CU228" s="510">
        <v>20</v>
      </c>
      <c r="CV228" s="359" t="s">
        <v>1137</v>
      </c>
      <c r="CW228" s="361">
        <v>9414467.9399999995</v>
      </c>
      <c r="CX228" s="361">
        <v>838572.19</v>
      </c>
      <c r="CY228" s="361">
        <v>1824854.72</v>
      </c>
      <c r="CZ228" s="361">
        <v>415164.97</v>
      </c>
      <c r="DA228" s="361">
        <v>559870.78</v>
      </c>
      <c r="DB228" s="361">
        <v>1707248.92</v>
      </c>
      <c r="DC228" s="361">
        <v>137460.46</v>
      </c>
      <c r="DD228" s="361">
        <v>84193.35</v>
      </c>
      <c r="DE228" s="361">
        <v>1047481.53</v>
      </c>
      <c r="DF228" s="361">
        <v>872407.46</v>
      </c>
      <c r="DG228" s="361">
        <v>1927213.57</v>
      </c>
      <c r="DH228" s="361"/>
      <c r="DI228" s="361"/>
      <c r="DJ228" s="361"/>
      <c r="DK228" s="362"/>
    </row>
    <row r="229" spans="1:115" ht="13">
      <c r="A229" s="294"/>
      <c r="B229" s="294"/>
      <c r="F229" s="296"/>
      <c r="J229" s="302"/>
      <c r="AO229" s="1210"/>
      <c r="CP229" s="294"/>
      <c r="CU229" s="510">
        <v>21</v>
      </c>
      <c r="CV229" s="359" t="s">
        <v>878</v>
      </c>
      <c r="CW229" s="361">
        <v>8968399.0299999993</v>
      </c>
      <c r="CX229" s="361">
        <v>213460.64</v>
      </c>
      <c r="CY229" s="361">
        <v>1043516.4</v>
      </c>
      <c r="CZ229" s="361">
        <v>667894.23</v>
      </c>
      <c r="DA229" s="361">
        <v>730697.92</v>
      </c>
      <c r="DB229" s="361">
        <v>1471154.48</v>
      </c>
      <c r="DC229" s="361">
        <v>1285904.48</v>
      </c>
      <c r="DD229" s="361">
        <v>1353114.86</v>
      </c>
      <c r="DE229" s="361">
        <v>800922.28</v>
      </c>
      <c r="DF229" s="361">
        <v>1081268.02</v>
      </c>
      <c r="DG229" s="361">
        <v>320465.71000000002</v>
      </c>
      <c r="DH229" s="361"/>
      <c r="DI229" s="361"/>
      <c r="DJ229" s="361"/>
      <c r="DK229" s="362"/>
    </row>
    <row r="230" spans="1:115" ht="13">
      <c r="A230" s="294"/>
      <c r="B230" s="294"/>
      <c r="F230" s="296"/>
      <c r="J230" s="302"/>
      <c r="AO230" s="1210"/>
      <c r="CP230" s="294"/>
      <c r="CU230" s="510">
        <v>22</v>
      </c>
      <c r="CV230" s="359" t="s">
        <v>1145</v>
      </c>
      <c r="CW230" s="361">
        <v>8897193.7599999998</v>
      </c>
      <c r="CX230" s="361">
        <v>797939.3</v>
      </c>
      <c r="CY230" s="361">
        <v>1135354.75</v>
      </c>
      <c r="CZ230" s="361">
        <v>890313.44</v>
      </c>
      <c r="DA230" s="361">
        <v>663194.62</v>
      </c>
      <c r="DB230" s="361">
        <v>638897.27</v>
      </c>
      <c r="DC230" s="361">
        <v>785436.22</v>
      </c>
      <c r="DD230" s="361">
        <v>1050645.17</v>
      </c>
      <c r="DE230" s="361">
        <v>1139237.45</v>
      </c>
      <c r="DF230" s="361">
        <v>962650.23</v>
      </c>
      <c r="DG230" s="361">
        <v>833525.32</v>
      </c>
      <c r="DH230" s="361"/>
      <c r="DI230" s="361"/>
      <c r="DJ230" s="361"/>
      <c r="DK230" s="362"/>
    </row>
    <row r="231" spans="1:115" ht="13">
      <c r="A231" s="294"/>
      <c r="B231" s="294"/>
      <c r="F231" s="296"/>
      <c r="J231" s="302"/>
      <c r="AO231" s="1210"/>
      <c r="CP231" s="294"/>
      <c r="CU231" s="510">
        <v>23</v>
      </c>
      <c r="CV231" s="359" t="s">
        <v>1140</v>
      </c>
      <c r="CW231" s="361">
        <v>8817401.5099999998</v>
      </c>
      <c r="CX231" s="361">
        <v>2397002.19</v>
      </c>
      <c r="CY231" s="361">
        <v>1107780.55</v>
      </c>
      <c r="CZ231" s="361">
        <v>625697.39</v>
      </c>
      <c r="DA231" s="361">
        <v>426934.58</v>
      </c>
      <c r="DB231" s="361">
        <v>491051.55</v>
      </c>
      <c r="DC231" s="361">
        <v>184674.8</v>
      </c>
      <c r="DD231" s="361">
        <v>651520.80000000005</v>
      </c>
      <c r="DE231" s="361">
        <v>617538.23</v>
      </c>
      <c r="DF231" s="361">
        <v>510335.05</v>
      </c>
      <c r="DG231" s="361">
        <v>1804866.38</v>
      </c>
      <c r="DH231" s="361"/>
      <c r="DI231" s="361"/>
      <c r="DJ231" s="361"/>
      <c r="DK231" s="362"/>
    </row>
    <row r="232" spans="1:115" ht="13">
      <c r="A232" s="294"/>
      <c r="B232" s="294"/>
      <c r="F232" s="296"/>
      <c r="J232" s="302"/>
      <c r="AO232" s="1210"/>
      <c r="CP232" s="294"/>
      <c r="CU232" s="510">
        <v>24</v>
      </c>
      <c r="CV232" s="359" t="s">
        <v>875</v>
      </c>
      <c r="CW232" s="361">
        <v>8808789.9499999993</v>
      </c>
      <c r="CX232" s="361">
        <v>551989.84</v>
      </c>
      <c r="CY232" s="361">
        <v>663881.04</v>
      </c>
      <c r="CZ232" s="361">
        <v>918584.56</v>
      </c>
      <c r="DA232" s="361">
        <v>243192.48</v>
      </c>
      <c r="DB232" s="361">
        <v>234104.56</v>
      </c>
      <c r="DC232" s="361">
        <v>794061.68</v>
      </c>
      <c r="DD232" s="361">
        <v>1558901.86</v>
      </c>
      <c r="DE232" s="361">
        <v>938951.17</v>
      </c>
      <c r="DF232" s="361">
        <v>1421284.17</v>
      </c>
      <c r="DG232" s="361">
        <v>1483838.59</v>
      </c>
      <c r="DH232" s="361"/>
      <c r="DI232" s="361"/>
      <c r="DJ232" s="361"/>
      <c r="DK232" s="362"/>
    </row>
    <row r="233" spans="1:115" ht="13">
      <c r="A233" s="294"/>
      <c r="B233" s="294"/>
      <c r="F233" s="296"/>
      <c r="J233" s="302"/>
      <c r="AO233" s="1210"/>
      <c r="CP233" s="294"/>
      <c r="CU233" s="510">
        <v>25</v>
      </c>
      <c r="CV233" s="359" t="s">
        <v>1156</v>
      </c>
      <c r="CW233" s="361">
        <v>7721332.9299999997</v>
      </c>
      <c r="CX233" s="361">
        <v>0</v>
      </c>
      <c r="CY233" s="361">
        <v>0</v>
      </c>
      <c r="CZ233" s="361">
        <v>0</v>
      </c>
      <c r="DA233" s="361">
        <v>0</v>
      </c>
      <c r="DB233" s="361">
        <v>0</v>
      </c>
      <c r="DC233" s="361">
        <v>0</v>
      </c>
      <c r="DD233" s="361">
        <v>1057158.6599999999</v>
      </c>
      <c r="DE233" s="361">
        <v>1994067.01</v>
      </c>
      <c r="DF233" s="361">
        <v>1713370.96</v>
      </c>
      <c r="DG233" s="361">
        <v>2956736.3</v>
      </c>
      <c r="DH233" s="365"/>
      <c r="DI233" s="365"/>
      <c r="DJ233" s="365"/>
      <c r="DK233" s="366"/>
    </row>
    <row r="234" spans="1:115" ht="13">
      <c r="A234" s="294"/>
      <c r="B234" s="294"/>
      <c r="F234" s="296"/>
      <c r="J234" s="302"/>
      <c r="AO234" s="1210"/>
      <c r="CP234" s="294"/>
      <c r="CU234" s="510">
        <v>26</v>
      </c>
      <c r="CV234" s="359" t="s">
        <v>1139</v>
      </c>
      <c r="CW234" s="361">
        <v>7343029.5999999996</v>
      </c>
      <c r="CX234" s="361">
        <v>1838774.86</v>
      </c>
      <c r="CY234" s="361">
        <v>534482.1</v>
      </c>
      <c r="CZ234" s="361">
        <v>1077273.1399999999</v>
      </c>
      <c r="DA234" s="361">
        <v>191758.53</v>
      </c>
      <c r="DB234" s="361">
        <v>1301769.49</v>
      </c>
      <c r="DC234" s="361">
        <v>359335.79</v>
      </c>
      <c r="DD234" s="361">
        <v>305390.96999999997</v>
      </c>
      <c r="DE234" s="361">
        <v>421942.95</v>
      </c>
      <c r="DF234" s="361">
        <v>836610.12</v>
      </c>
      <c r="DG234" s="361">
        <v>475691.65</v>
      </c>
      <c r="DH234" s="361"/>
      <c r="DI234" s="361"/>
      <c r="DJ234" s="361"/>
      <c r="DK234" s="362"/>
    </row>
    <row r="235" spans="1:115" ht="13">
      <c r="A235" s="294"/>
      <c r="B235" s="294"/>
      <c r="F235" s="296"/>
      <c r="J235" s="302"/>
      <c r="AO235" s="1210"/>
      <c r="CP235" s="294"/>
      <c r="CU235" s="510">
        <v>27</v>
      </c>
      <c r="CV235" s="359" t="s">
        <v>1173</v>
      </c>
      <c r="CW235" s="361">
        <v>5970998.9299999997</v>
      </c>
      <c r="CX235" s="361">
        <v>1190368.6100000001</v>
      </c>
      <c r="CY235" s="361">
        <v>688441.09</v>
      </c>
      <c r="CZ235" s="361">
        <v>476142.01</v>
      </c>
      <c r="DA235" s="361">
        <v>210219.65</v>
      </c>
      <c r="DB235" s="361">
        <v>522781.64</v>
      </c>
      <c r="DC235" s="361">
        <v>264534.40000000002</v>
      </c>
      <c r="DD235" s="361">
        <v>362608.48</v>
      </c>
      <c r="DE235" s="361">
        <v>818484.31</v>
      </c>
      <c r="DF235" s="361">
        <v>554739.41</v>
      </c>
      <c r="DG235" s="361">
        <v>882679.35</v>
      </c>
      <c r="DH235" s="361"/>
      <c r="DI235" s="361"/>
      <c r="DJ235" s="361"/>
      <c r="DK235" s="362"/>
    </row>
    <row r="236" spans="1:115" ht="13">
      <c r="A236" s="294"/>
      <c r="B236" s="294"/>
      <c r="F236" s="296"/>
      <c r="J236" s="302"/>
      <c r="AO236" s="1210"/>
      <c r="CP236" s="294"/>
      <c r="CU236" s="510">
        <v>28</v>
      </c>
      <c r="CV236" s="359" t="s">
        <v>1144</v>
      </c>
      <c r="CW236" s="361">
        <v>5469967.46</v>
      </c>
      <c r="CX236" s="361">
        <v>652649.79</v>
      </c>
      <c r="CY236" s="361">
        <v>542828.76</v>
      </c>
      <c r="CZ236" s="361">
        <v>595270.57999999996</v>
      </c>
      <c r="DA236" s="361">
        <v>406504.77</v>
      </c>
      <c r="DB236" s="361">
        <v>646799.87</v>
      </c>
      <c r="DC236" s="361">
        <v>346063.81</v>
      </c>
      <c r="DD236" s="361">
        <v>667876.31999999995</v>
      </c>
      <c r="DE236" s="361">
        <v>442996.37</v>
      </c>
      <c r="DF236" s="361">
        <v>334822.09999999998</v>
      </c>
      <c r="DG236" s="361">
        <v>834155.1</v>
      </c>
      <c r="DH236" s="361"/>
      <c r="DI236" s="361"/>
      <c r="DJ236" s="361"/>
      <c r="DK236" s="362"/>
    </row>
    <row r="237" spans="1:115" ht="13">
      <c r="A237" s="294"/>
      <c r="B237" s="294"/>
      <c r="F237" s="296"/>
      <c r="J237" s="302"/>
      <c r="AO237" s="1210"/>
      <c r="CP237" s="294"/>
      <c r="CU237" s="510">
        <v>29</v>
      </c>
      <c r="CV237" s="359" t="s">
        <v>1154</v>
      </c>
      <c r="CW237" s="361">
        <v>5247356.7300000004</v>
      </c>
      <c r="CX237" s="361">
        <v>915330.85</v>
      </c>
      <c r="CY237" s="361">
        <v>545434</v>
      </c>
      <c r="CZ237" s="361">
        <v>0</v>
      </c>
      <c r="DA237" s="361">
        <v>784534.28</v>
      </c>
      <c r="DB237" s="361">
        <v>195956.8</v>
      </c>
      <c r="DC237" s="361">
        <v>783827.2</v>
      </c>
      <c r="DD237" s="361">
        <v>391913.6</v>
      </c>
      <c r="DE237" s="361">
        <v>391913.6</v>
      </c>
      <c r="DF237" s="361">
        <v>1238446.3999999999</v>
      </c>
      <c r="DG237" s="361">
        <v>0</v>
      </c>
      <c r="DH237" s="365"/>
      <c r="DI237" s="365"/>
      <c r="DJ237" s="365"/>
      <c r="DK237" s="366"/>
    </row>
    <row r="238" spans="1:115" ht="13">
      <c r="A238" s="294"/>
      <c r="B238" s="294"/>
      <c r="F238" s="296"/>
      <c r="J238" s="302"/>
      <c r="AO238" s="1210"/>
      <c r="CP238" s="294"/>
      <c r="CU238" s="510">
        <v>30</v>
      </c>
      <c r="CV238" s="359" t="s">
        <v>1218</v>
      </c>
      <c r="CW238" s="361">
        <v>4628843.91</v>
      </c>
      <c r="CX238" s="361">
        <v>487969.4</v>
      </c>
      <c r="CY238" s="361">
        <v>437967.9</v>
      </c>
      <c r="CZ238" s="361">
        <v>432499.76</v>
      </c>
      <c r="DA238" s="361">
        <v>319651.12</v>
      </c>
      <c r="DB238" s="361">
        <v>625584.38</v>
      </c>
      <c r="DC238" s="361">
        <v>503343.33</v>
      </c>
      <c r="DD238" s="361">
        <v>391386.48</v>
      </c>
      <c r="DE238" s="361">
        <v>397246.23</v>
      </c>
      <c r="DF238" s="361">
        <v>299470.48</v>
      </c>
      <c r="DG238" s="361">
        <v>733724.85</v>
      </c>
      <c r="DH238" s="361"/>
      <c r="DI238" s="361"/>
      <c r="DJ238" s="361"/>
      <c r="DK238" s="362"/>
    </row>
    <row r="239" spans="1:115" ht="13">
      <c r="A239" s="294"/>
      <c r="B239" s="294"/>
      <c r="F239" s="296"/>
      <c r="J239" s="302"/>
      <c r="AO239" s="1210"/>
      <c r="CP239" s="294"/>
      <c r="CU239" s="510">
        <v>31</v>
      </c>
      <c r="CV239" s="359" t="s">
        <v>1240</v>
      </c>
      <c r="CW239" s="361">
        <v>4573083.4400000004</v>
      </c>
      <c r="CX239" s="361">
        <v>201077.04</v>
      </c>
      <c r="CY239" s="361">
        <v>507548.96</v>
      </c>
      <c r="CZ239" s="361">
        <v>314133.68</v>
      </c>
      <c r="DA239" s="361">
        <v>642239.28</v>
      </c>
      <c r="DB239" s="361">
        <v>273046.08</v>
      </c>
      <c r="DC239" s="361">
        <v>374668</v>
      </c>
      <c r="DD239" s="361">
        <v>689074.64</v>
      </c>
      <c r="DE239" s="361">
        <v>409047.68</v>
      </c>
      <c r="DF239" s="361">
        <v>481182.56</v>
      </c>
      <c r="DG239" s="361">
        <v>681065.52</v>
      </c>
      <c r="DH239" s="361"/>
      <c r="DI239" s="361"/>
      <c r="DJ239" s="361"/>
      <c r="DK239" s="362"/>
    </row>
    <row r="240" spans="1:115" ht="13">
      <c r="A240" s="294"/>
      <c r="B240" s="294"/>
      <c r="F240" s="296"/>
      <c r="J240" s="302"/>
      <c r="AO240" s="1210"/>
      <c r="CP240" s="294"/>
      <c r="CU240" s="510">
        <v>32</v>
      </c>
      <c r="CV240" s="359" t="s">
        <v>1149</v>
      </c>
      <c r="CW240" s="361">
        <v>4464372.72</v>
      </c>
      <c r="CX240" s="361">
        <v>0</v>
      </c>
      <c r="CY240" s="361">
        <v>0</v>
      </c>
      <c r="CZ240" s="361">
        <v>802576.08</v>
      </c>
      <c r="DA240" s="361">
        <v>371356.24</v>
      </c>
      <c r="DB240" s="361">
        <v>379516.48</v>
      </c>
      <c r="DC240" s="361">
        <v>576728.16</v>
      </c>
      <c r="DD240" s="361">
        <v>753205.82</v>
      </c>
      <c r="DE240" s="361">
        <v>498266.64</v>
      </c>
      <c r="DF240" s="361">
        <v>833665.52</v>
      </c>
      <c r="DG240" s="361">
        <v>249057.78</v>
      </c>
      <c r="DH240" s="361"/>
      <c r="DI240" s="361"/>
      <c r="DJ240" s="361"/>
      <c r="DK240" s="362"/>
    </row>
    <row r="241" spans="1:115" ht="13">
      <c r="A241" s="294"/>
      <c r="B241" s="294"/>
      <c r="F241" s="296"/>
      <c r="J241" s="302"/>
      <c r="AO241" s="1210"/>
      <c r="CP241" s="294"/>
      <c r="CU241" s="510">
        <v>33</v>
      </c>
      <c r="CV241" s="359" t="s">
        <v>1234</v>
      </c>
      <c r="CW241" s="361">
        <v>4299568.18</v>
      </c>
      <c r="CX241" s="361">
        <v>604177.17000000004</v>
      </c>
      <c r="CY241" s="361">
        <v>596914.4</v>
      </c>
      <c r="CZ241" s="361">
        <v>449995.8</v>
      </c>
      <c r="DA241" s="361">
        <v>298643.46000000002</v>
      </c>
      <c r="DB241" s="361">
        <v>456127.33</v>
      </c>
      <c r="DC241" s="361">
        <v>277359.78999999998</v>
      </c>
      <c r="DD241" s="361">
        <v>150754.13</v>
      </c>
      <c r="DE241" s="361">
        <v>465177.14</v>
      </c>
      <c r="DF241" s="361">
        <v>253594.5</v>
      </c>
      <c r="DG241" s="361">
        <v>746824.46</v>
      </c>
      <c r="DH241" s="365"/>
      <c r="DI241" s="365"/>
      <c r="DJ241" s="365"/>
      <c r="DK241" s="366"/>
    </row>
    <row r="242" spans="1:115" ht="13">
      <c r="A242" s="294"/>
      <c r="B242" s="294"/>
      <c r="F242" s="296"/>
      <c r="J242" s="302"/>
      <c r="AO242" s="1210"/>
      <c r="CP242" s="294"/>
      <c r="CU242" s="510">
        <v>34</v>
      </c>
      <c r="CV242" s="359" t="s">
        <v>1214</v>
      </c>
      <c r="CW242" s="361">
        <v>4264085.12</v>
      </c>
      <c r="CX242" s="361">
        <v>223822.97</v>
      </c>
      <c r="CY242" s="361">
        <v>664985</v>
      </c>
      <c r="CZ242" s="361">
        <v>320629.36</v>
      </c>
      <c r="DA242" s="361">
        <v>485858.57</v>
      </c>
      <c r="DB242" s="361">
        <v>703272.05</v>
      </c>
      <c r="DC242" s="361">
        <v>249538.56</v>
      </c>
      <c r="DD242" s="361">
        <v>407661.03</v>
      </c>
      <c r="DE242" s="361">
        <v>441543.42</v>
      </c>
      <c r="DF242" s="361">
        <v>430610.74</v>
      </c>
      <c r="DG242" s="361">
        <v>336163.41</v>
      </c>
      <c r="DH242" s="361"/>
      <c r="DI242" s="361"/>
      <c r="DJ242" s="361"/>
      <c r="DK242" s="362"/>
    </row>
    <row r="243" spans="1:115" ht="13">
      <c r="A243" s="294"/>
      <c r="B243" s="294"/>
      <c r="F243" s="296"/>
      <c r="J243" s="302"/>
      <c r="AO243" s="1210"/>
      <c r="CP243" s="294"/>
      <c r="CU243" s="510">
        <v>35</v>
      </c>
      <c r="CV243" s="359" t="s">
        <v>1236</v>
      </c>
      <c r="CW243" s="361">
        <v>4234599.46</v>
      </c>
      <c r="CX243" s="361">
        <v>756790.97</v>
      </c>
      <c r="CY243" s="361">
        <v>217821.4</v>
      </c>
      <c r="CZ243" s="361">
        <v>415138.82</v>
      </c>
      <c r="DA243" s="361">
        <v>409271.08</v>
      </c>
      <c r="DB243" s="361">
        <v>400207.87</v>
      </c>
      <c r="DC243" s="361">
        <v>270175.15000000002</v>
      </c>
      <c r="DD243" s="361">
        <v>558857.07999999996</v>
      </c>
      <c r="DE243" s="361">
        <v>366752.94</v>
      </c>
      <c r="DF243" s="361">
        <v>488483.01</v>
      </c>
      <c r="DG243" s="361">
        <v>351101.14</v>
      </c>
      <c r="DH243" s="361"/>
      <c r="DI243" s="361"/>
      <c r="DJ243" s="361"/>
      <c r="DK243" s="362"/>
    </row>
    <row r="244" spans="1:115" ht="13">
      <c r="A244" s="294"/>
      <c r="B244" s="294"/>
      <c r="F244" s="296"/>
      <c r="J244" s="302"/>
      <c r="AO244" s="1210"/>
      <c r="CP244" s="294"/>
      <c r="CU244" s="510">
        <v>36</v>
      </c>
      <c r="CV244" s="359" t="s">
        <v>1142</v>
      </c>
      <c r="CW244" s="361">
        <v>4225617.0199999996</v>
      </c>
      <c r="CX244" s="361">
        <v>465846.97</v>
      </c>
      <c r="CY244" s="361">
        <v>100323.36</v>
      </c>
      <c r="CZ244" s="361">
        <v>405799.25</v>
      </c>
      <c r="DA244" s="361">
        <v>411886.59</v>
      </c>
      <c r="DB244" s="361">
        <v>321930.90999999997</v>
      </c>
      <c r="DC244" s="361">
        <v>386133.74</v>
      </c>
      <c r="DD244" s="361">
        <v>522050.03</v>
      </c>
      <c r="DE244" s="361">
        <v>302781.38</v>
      </c>
      <c r="DF244" s="361">
        <v>498555.57</v>
      </c>
      <c r="DG244" s="361">
        <v>810309.21</v>
      </c>
      <c r="DH244" s="361"/>
      <c r="DI244" s="361"/>
      <c r="DJ244" s="361"/>
      <c r="DK244" s="362"/>
    </row>
    <row r="245" spans="1:115" ht="13">
      <c r="A245" s="294"/>
      <c r="B245" s="294"/>
      <c r="F245" s="296"/>
      <c r="J245" s="302"/>
      <c r="AO245" s="1210"/>
      <c r="CP245" s="294"/>
      <c r="CU245" s="510">
        <v>37</v>
      </c>
      <c r="CV245" s="359" t="s">
        <v>1212</v>
      </c>
      <c r="CW245" s="361">
        <v>4219651.62</v>
      </c>
      <c r="CX245" s="361">
        <v>324408.44</v>
      </c>
      <c r="CY245" s="361">
        <v>600213.68000000005</v>
      </c>
      <c r="CZ245" s="361">
        <v>528831.5</v>
      </c>
      <c r="DA245" s="361">
        <v>325147.38</v>
      </c>
      <c r="DB245" s="361">
        <v>477698.98</v>
      </c>
      <c r="DC245" s="361">
        <v>245109.5</v>
      </c>
      <c r="DD245" s="361">
        <v>466102.72</v>
      </c>
      <c r="DE245" s="361">
        <v>331414.84000000003</v>
      </c>
      <c r="DF245" s="361">
        <v>487318.81</v>
      </c>
      <c r="DG245" s="361">
        <v>433405.75</v>
      </c>
      <c r="DH245" s="361"/>
      <c r="DI245" s="361"/>
      <c r="DJ245" s="361"/>
      <c r="DK245" s="362"/>
    </row>
    <row r="246" spans="1:115" ht="13">
      <c r="A246" s="294"/>
      <c r="B246" s="294"/>
      <c r="F246" s="296"/>
      <c r="J246" s="302"/>
      <c r="AO246" s="1210"/>
      <c r="CP246" s="294"/>
      <c r="CU246" s="510">
        <v>38</v>
      </c>
      <c r="CV246" s="359" t="s">
        <v>854</v>
      </c>
      <c r="CW246" s="361">
        <v>4202111.17</v>
      </c>
      <c r="CX246" s="361">
        <v>529829.18999999994</v>
      </c>
      <c r="CY246" s="361">
        <v>473505.41</v>
      </c>
      <c r="CZ246" s="361">
        <v>226730.32</v>
      </c>
      <c r="DA246" s="361">
        <v>258259.36</v>
      </c>
      <c r="DB246" s="361">
        <v>562943.97</v>
      </c>
      <c r="DC246" s="361">
        <v>697000.26</v>
      </c>
      <c r="DD246" s="361">
        <v>199603.37</v>
      </c>
      <c r="DE246" s="361">
        <v>366622.29</v>
      </c>
      <c r="DF246" s="361">
        <v>510310.09</v>
      </c>
      <c r="DG246" s="361">
        <v>377306.92</v>
      </c>
      <c r="DH246" s="361"/>
      <c r="DI246" s="361"/>
      <c r="DJ246" s="361"/>
      <c r="DK246" s="362"/>
    </row>
    <row r="247" spans="1:115" ht="13">
      <c r="A247" s="294"/>
      <c r="B247" s="294"/>
      <c r="F247" s="296"/>
      <c r="J247" s="302"/>
      <c r="AO247" s="1210"/>
      <c r="CP247" s="294"/>
      <c r="CU247" s="510">
        <v>39</v>
      </c>
      <c r="CV247" s="359" t="s">
        <v>1171</v>
      </c>
      <c r="CW247" s="361">
        <v>4017396.15</v>
      </c>
      <c r="CX247" s="352">
        <v>36778.160000000003</v>
      </c>
      <c r="CY247" s="361">
        <v>212613.31</v>
      </c>
      <c r="CZ247" s="361">
        <v>142210.89000000001</v>
      </c>
      <c r="DA247" s="361">
        <v>344770.67</v>
      </c>
      <c r="DB247" s="361">
        <v>204747.74</v>
      </c>
      <c r="DC247" s="361">
        <v>371750.61</v>
      </c>
      <c r="DD247" s="361">
        <v>389736.33</v>
      </c>
      <c r="DE247" s="361">
        <v>628477.64</v>
      </c>
      <c r="DF247" s="361">
        <v>590909.26</v>
      </c>
      <c r="DG247" s="361">
        <v>1095401.54</v>
      </c>
      <c r="DH247" s="361"/>
      <c r="DI247" s="361"/>
      <c r="DJ247" s="361"/>
      <c r="DK247" s="362"/>
    </row>
    <row r="248" spans="1:115" ht="13">
      <c r="A248" s="294"/>
      <c r="B248" s="294"/>
      <c r="F248" s="296"/>
      <c r="J248" s="302"/>
      <c r="AO248" s="1210"/>
      <c r="CP248" s="294"/>
      <c r="CU248" s="510">
        <v>40</v>
      </c>
      <c r="CV248" s="359" t="s">
        <v>1202</v>
      </c>
      <c r="CW248" s="361">
        <v>3933277.81</v>
      </c>
      <c r="CX248" s="361">
        <v>453363.42</v>
      </c>
      <c r="CY248" s="361">
        <v>413536.78</v>
      </c>
      <c r="CZ248" s="361">
        <v>296263.90999999997</v>
      </c>
      <c r="DA248" s="361">
        <v>541805.30000000005</v>
      </c>
      <c r="DB248" s="361">
        <v>457239.94</v>
      </c>
      <c r="DC248" s="361">
        <v>230454.09</v>
      </c>
      <c r="DD248" s="361">
        <v>329199.59000000003</v>
      </c>
      <c r="DE248" s="361">
        <v>360838.5</v>
      </c>
      <c r="DF248" s="361">
        <v>406736.22</v>
      </c>
      <c r="DG248" s="361">
        <v>443840.06</v>
      </c>
      <c r="DH248" s="361"/>
      <c r="DI248" s="361"/>
      <c r="DJ248" s="361"/>
      <c r="DK248" s="362"/>
    </row>
    <row r="249" spans="1:115" ht="13">
      <c r="A249" s="294"/>
      <c r="B249" s="294"/>
      <c r="F249" s="296"/>
      <c r="J249" s="302"/>
      <c r="AO249" s="1210"/>
      <c r="CP249" s="294"/>
      <c r="CU249" s="510">
        <v>41</v>
      </c>
      <c r="CV249" s="359" t="s">
        <v>1165</v>
      </c>
      <c r="CW249" s="361">
        <v>3661184.17</v>
      </c>
      <c r="CX249" s="361">
        <v>329299.24</v>
      </c>
      <c r="CY249" s="361">
        <v>323097.39</v>
      </c>
      <c r="CZ249" s="361">
        <v>493301.68</v>
      </c>
      <c r="DA249" s="361">
        <v>381129.26</v>
      </c>
      <c r="DB249" s="361">
        <v>342769.24</v>
      </c>
      <c r="DC249" s="361">
        <v>365910.14</v>
      </c>
      <c r="DD249" s="361">
        <v>339482.86</v>
      </c>
      <c r="DE249" s="361">
        <v>480250.14</v>
      </c>
      <c r="DF249" s="361">
        <v>317034.15999999997</v>
      </c>
      <c r="DG249" s="361">
        <v>288910.08000000002</v>
      </c>
      <c r="DH249" s="361"/>
      <c r="DI249" s="361"/>
      <c r="DJ249" s="361"/>
      <c r="DK249" s="362"/>
    </row>
    <row r="250" spans="1:115" ht="13">
      <c r="A250" s="294"/>
      <c r="B250" s="294"/>
      <c r="F250" s="296"/>
      <c r="J250" s="302"/>
      <c r="AO250" s="1210"/>
      <c r="CP250" s="294"/>
      <c r="CU250" s="510">
        <v>42</v>
      </c>
      <c r="CV250" s="359" t="s">
        <v>1199</v>
      </c>
      <c r="CW250" s="361">
        <v>3504021.85</v>
      </c>
      <c r="CX250" s="352">
        <v>607777.34</v>
      </c>
      <c r="CY250" s="361">
        <v>491941.16</v>
      </c>
      <c r="CZ250" s="361">
        <v>262287.2</v>
      </c>
      <c r="DA250" s="361">
        <v>127486.48</v>
      </c>
      <c r="DB250" s="361">
        <v>261143.28</v>
      </c>
      <c r="DC250" s="361">
        <v>313125.05</v>
      </c>
      <c r="DD250" s="361">
        <v>350765.2</v>
      </c>
      <c r="DE250" s="361">
        <v>528971.71</v>
      </c>
      <c r="DF250" s="361">
        <v>341394.16</v>
      </c>
      <c r="DG250" s="361">
        <v>219130.28</v>
      </c>
      <c r="DH250" s="361"/>
      <c r="DI250" s="361"/>
      <c r="DJ250" s="361"/>
      <c r="DK250" s="362"/>
    </row>
    <row r="251" spans="1:115" ht="13">
      <c r="A251" s="294"/>
      <c r="B251" s="294"/>
      <c r="F251" s="296"/>
      <c r="J251" s="302"/>
      <c r="AO251" s="1210"/>
      <c r="CP251" s="294"/>
      <c r="CU251" s="510">
        <v>43</v>
      </c>
      <c r="CV251" s="359" t="s">
        <v>1219</v>
      </c>
      <c r="CW251" s="361">
        <v>3459872.5</v>
      </c>
      <c r="CX251" s="361">
        <v>417594.55</v>
      </c>
      <c r="CY251" s="361">
        <v>485626.26</v>
      </c>
      <c r="CZ251" s="361">
        <v>366244.39</v>
      </c>
      <c r="DA251" s="361">
        <v>417766.39</v>
      </c>
      <c r="DB251" s="361">
        <v>362679.52</v>
      </c>
      <c r="DC251" s="361">
        <v>183431.43</v>
      </c>
      <c r="DD251" s="361">
        <v>289380.07</v>
      </c>
      <c r="DE251" s="361">
        <v>495763.77</v>
      </c>
      <c r="DF251" s="361">
        <v>105862.96</v>
      </c>
      <c r="DG251" s="361">
        <v>335523.17</v>
      </c>
      <c r="DH251" s="365"/>
      <c r="DI251" s="365"/>
      <c r="DJ251" s="365"/>
      <c r="DK251" s="366"/>
    </row>
    <row r="252" spans="1:115" ht="13">
      <c r="A252" s="294"/>
      <c r="B252" s="294"/>
      <c r="F252" s="296"/>
      <c r="J252" s="302"/>
      <c r="AO252" s="1210"/>
      <c r="CP252" s="294"/>
      <c r="CU252" s="510">
        <v>44</v>
      </c>
      <c r="CV252" s="359" t="s">
        <v>1162</v>
      </c>
      <c r="CW252" s="361">
        <v>3454733.06</v>
      </c>
      <c r="CX252" s="361">
        <v>214835.17</v>
      </c>
      <c r="CY252" s="361">
        <v>193406.64</v>
      </c>
      <c r="CZ252" s="361">
        <v>512244.12</v>
      </c>
      <c r="DA252" s="361">
        <v>0</v>
      </c>
      <c r="DB252" s="361">
        <v>303393.09000000003</v>
      </c>
      <c r="DC252" s="361">
        <v>514997.92</v>
      </c>
      <c r="DD252" s="361">
        <v>553696.27</v>
      </c>
      <c r="DE252" s="361">
        <v>117277.94</v>
      </c>
      <c r="DF252" s="361">
        <v>445788.01</v>
      </c>
      <c r="DG252" s="361">
        <v>599093.91</v>
      </c>
      <c r="DH252" s="361"/>
      <c r="DI252" s="361"/>
      <c r="DJ252" s="361"/>
      <c r="DK252" s="362"/>
    </row>
    <row r="253" spans="1:115" ht="13">
      <c r="A253" s="294"/>
      <c r="B253" s="294"/>
      <c r="F253" s="296"/>
      <c r="J253" s="302"/>
      <c r="AO253" s="1210"/>
      <c r="CP253" s="294"/>
      <c r="CU253" s="510">
        <v>45</v>
      </c>
      <c r="CV253" s="359" t="s">
        <v>1182</v>
      </c>
      <c r="CW253" s="361">
        <v>3387925.14</v>
      </c>
      <c r="CX253" s="361">
        <v>378145.37</v>
      </c>
      <c r="CY253" s="361">
        <v>195279.83</v>
      </c>
      <c r="CZ253" s="361">
        <v>0</v>
      </c>
      <c r="DA253" s="361">
        <v>392543.65</v>
      </c>
      <c r="DB253" s="361">
        <v>252760.41</v>
      </c>
      <c r="DC253" s="361">
        <v>479978.1</v>
      </c>
      <c r="DD253" s="361">
        <v>429465.77</v>
      </c>
      <c r="DE253" s="361">
        <v>454000.11</v>
      </c>
      <c r="DF253" s="361">
        <v>9209</v>
      </c>
      <c r="DG253" s="361">
        <v>796542.9</v>
      </c>
      <c r="DH253" s="365"/>
      <c r="DI253" s="365"/>
      <c r="DJ253" s="365"/>
      <c r="DK253" s="366"/>
    </row>
    <row r="254" spans="1:115" ht="13">
      <c r="A254" s="294"/>
      <c r="B254" s="294"/>
      <c r="F254" s="296"/>
      <c r="J254" s="302"/>
      <c r="AO254" s="1210"/>
      <c r="CP254" s="294"/>
      <c r="CU254" s="510">
        <v>46</v>
      </c>
      <c r="CV254" s="359" t="s">
        <v>1160</v>
      </c>
      <c r="CW254" s="361">
        <v>3339485.93</v>
      </c>
      <c r="CX254" s="361">
        <v>307009.44</v>
      </c>
      <c r="CY254" s="361">
        <v>393793.36</v>
      </c>
      <c r="CZ254" s="361">
        <v>626695.29</v>
      </c>
      <c r="DA254" s="361">
        <v>344425.6</v>
      </c>
      <c r="DB254" s="361">
        <v>336511.44</v>
      </c>
      <c r="DC254" s="361">
        <v>208074.48</v>
      </c>
      <c r="DD254" s="361">
        <v>0</v>
      </c>
      <c r="DE254" s="361">
        <v>395349.84</v>
      </c>
      <c r="DF254" s="361">
        <v>250234.88</v>
      </c>
      <c r="DG254" s="361">
        <v>477391.6</v>
      </c>
      <c r="DH254" s="361"/>
      <c r="DI254" s="361"/>
      <c r="DJ254" s="361"/>
      <c r="DK254" s="362"/>
    </row>
    <row r="255" spans="1:115" ht="13">
      <c r="A255" s="294"/>
      <c r="B255" s="294"/>
      <c r="F255" s="296"/>
      <c r="J255" s="302"/>
      <c r="AO255" s="1210"/>
      <c r="CP255" s="294"/>
      <c r="CU255" s="510">
        <v>47</v>
      </c>
      <c r="CV255" s="359" t="s">
        <v>1241</v>
      </c>
      <c r="CW255" s="361">
        <v>3326861.42</v>
      </c>
      <c r="CX255" s="361">
        <v>242001.78</v>
      </c>
      <c r="CY255" s="361">
        <v>207859.72</v>
      </c>
      <c r="CZ255" s="361">
        <v>312380.51</v>
      </c>
      <c r="DA255" s="361">
        <v>386393.94</v>
      </c>
      <c r="DB255" s="361">
        <v>364478.68</v>
      </c>
      <c r="DC255" s="361">
        <v>276393.53999999998</v>
      </c>
      <c r="DD255" s="361">
        <v>342701.48</v>
      </c>
      <c r="DE255" s="361">
        <v>237612.85</v>
      </c>
      <c r="DF255" s="361">
        <v>351077.09</v>
      </c>
      <c r="DG255" s="361">
        <v>605961.81999999995</v>
      </c>
      <c r="DH255" s="361"/>
      <c r="DI255" s="361"/>
      <c r="DJ255" s="361"/>
      <c r="DK255" s="362"/>
    </row>
    <row r="256" spans="1:115" ht="13">
      <c r="A256" s="294"/>
      <c r="B256" s="294"/>
      <c r="F256" s="296"/>
      <c r="J256" s="302"/>
      <c r="AO256" s="1210"/>
      <c r="CP256" s="294"/>
      <c r="CU256" s="510">
        <v>48</v>
      </c>
      <c r="CV256" s="359" t="s">
        <v>1223</v>
      </c>
      <c r="CW256" s="361">
        <v>2987253.56</v>
      </c>
      <c r="CX256" s="361">
        <v>545085.56999999995</v>
      </c>
      <c r="CY256" s="361">
        <v>120538.98</v>
      </c>
      <c r="CZ256" s="361">
        <v>265164.37</v>
      </c>
      <c r="DA256" s="361">
        <v>106467.12</v>
      </c>
      <c r="DB256" s="361">
        <v>386432.31</v>
      </c>
      <c r="DC256" s="361">
        <v>280467.61</v>
      </c>
      <c r="DD256" s="361">
        <v>286811.39</v>
      </c>
      <c r="DE256" s="361">
        <v>413667.55</v>
      </c>
      <c r="DF256" s="361">
        <v>190702.78</v>
      </c>
      <c r="DG256" s="361">
        <v>391915.89</v>
      </c>
      <c r="DH256" s="361"/>
      <c r="DI256" s="361"/>
      <c r="DJ256" s="361"/>
      <c r="DK256" s="362"/>
    </row>
    <row r="257" spans="1:115" ht="13">
      <c r="A257" s="294"/>
      <c r="B257" s="294"/>
      <c r="F257" s="296"/>
      <c r="J257" s="302"/>
      <c r="AO257" s="1210"/>
      <c r="CP257" s="294"/>
      <c r="CU257" s="510">
        <v>49</v>
      </c>
      <c r="CV257" s="323" t="s">
        <v>1197</v>
      </c>
      <c r="CW257" s="361">
        <v>2939077.83</v>
      </c>
      <c r="CX257" s="352">
        <v>74846.95</v>
      </c>
      <c r="CY257" s="361">
        <v>114013.52</v>
      </c>
      <c r="CZ257" s="361">
        <v>77057.58</v>
      </c>
      <c r="DA257" s="361">
        <v>166902.18</v>
      </c>
      <c r="DB257" s="361">
        <v>186491.04</v>
      </c>
      <c r="DC257" s="361">
        <v>392731.96</v>
      </c>
      <c r="DD257" s="361">
        <v>197603.78</v>
      </c>
      <c r="DE257" s="361">
        <v>358851.23</v>
      </c>
      <c r="DF257" s="361">
        <v>986779.78</v>
      </c>
      <c r="DG257" s="361">
        <v>383799.81</v>
      </c>
      <c r="DH257" s="361"/>
      <c r="DI257" s="361"/>
      <c r="DJ257" s="361"/>
      <c r="DK257" s="362"/>
    </row>
    <row r="258" spans="1:115" ht="13">
      <c r="A258" s="294"/>
      <c r="B258" s="294"/>
      <c r="F258" s="296"/>
      <c r="J258" s="302"/>
      <c r="AO258" s="1210"/>
      <c r="CP258" s="294"/>
      <c r="CU258" s="510">
        <v>50</v>
      </c>
      <c r="CV258" s="359" t="s">
        <v>1166</v>
      </c>
      <c r="CW258" s="361">
        <v>2843173.16</v>
      </c>
      <c r="CX258" s="361">
        <v>419076.16</v>
      </c>
      <c r="CY258" s="361">
        <v>475124.64</v>
      </c>
      <c r="CZ258" s="361">
        <v>216273.28</v>
      </c>
      <c r="DA258" s="361">
        <v>227033.44</v>
      </c>
      <c r="DB258" s="361">
        <v>341435.04</v>
      </c>
      <c r="DC258" s="361">
        <v>267402.08</v>
      </c>
      <c r="DD258" s="361">
        <v>53882.64</v>
      </c>
      <c r="DE258" s="361">
        <v>374838.16</v>
      </c>
      <c r="DF258" s="361">
        <v>234762.08</v>
      </c>
      <c r="DG258" s="361">
        <v>233345.64</v>
      </c>
      <c r="DH258" s="361"/>
      <c r="DI258" s="361"/>
      <c r="DJ258" s="361"/>
      <c r="DK258" s="362"/>
    </row>
    <row r="259" spans="1:115" ht="13">
      <c r="A259" s="294"/>
      <c r="B259" s="294"/>
      <c r="F259" s="296"/>
      <c r="J259" s="302"/>
      <c r="AO259" s="1210"/>
      <c r="CP259" s="294"/>
      <c r="CU259" s="510">
        <v>51</v>
      </c>
      <c r="CV259" s="359" t="s">
        <v>1231</v>
      </c>
      <c r="CW259" s="361">
        <v>2816518.59</v>
      </c>
      <c r="CX259" s="361">
        <v>361753.86</v>
      </c>
      <c r="CY259" s="361">
        <v>191577.89</v>
      </c>
      <c r="CZ259" s="361">
        <v>185981.44</v>
      </c>
      <c r="DA259" s="361">
        <v>288520.65999999997</v>
      </c>
      <c r="DB259" s="361">
        <v>184043.16</v>
      </c>
      <c r="DC259" s="361">
        <v>347879.19</v>
      </c>
      <c r="DD259" s="361">
        <v>385566.54</v>
      </c>
      <c r="DE259" s="361">
        <v>206696.64</v>
      </c>
      <c r="DF259" s="361">
        <v>348614.34</v>
      </c>
      <c r="DG259" s="361">
        <v>315884.88</v>
      </c>
      <c r="DH259" s="365"/>
      <c r="DI259" s="365"/>
      <c r="DJ259" s="365"/>
      <c r="DK259" s="366"/>
    </row>
    <row r="260" spans="1:115" ht="13">
      <c r="A260" s="294"/>
      <c r="B260" s="294"/>
      <c r="F260" s="296"/>
      <c r="J260" s="302"/>
      <c r="AO260" s="1210"/>
      <c r="CP260" s="294"/>
      <c r="CU260" s="510">
        <v>52</v>
      </c>
      <c r="CV260" s="359" t="s">
        <v>1222</v>
      </c>
      <c r="CW260" s="361">
        <v>2610564.65</v>
      </c>
      <c r="CX260" s="361">
        <v>488099.09</v>
      </c>
      <c r="CY260" s="361">
        <v>371174.7</v>
      </c>
      <c r="CZ260" s="361">
        <v>230615.16</v>
      </c>
      <c r="DA260" s="361">
        <v>292578.62</v>
      </c>
      <c r="DB260" s="361">
        <v>287214.3</v>
      </c>
      <c r="DC260" s="361">
        <v>164959.22</v>
      </c>
      <c r="DD260" s="361">
        <v>256123.92</v>
      </c>
      <c r="DE260" s="361">
        <v>110781.79</v>
      </c>
      <c r="DF260" s="361">
        <v>173666.66</v>
      </c>
      <c r="DG260" s="361">
        <v>235351.18</v>
      </c>
      <c r="DH260" s="361"/>
      <c r="DI260" s="361"/>
      <c r="DJ260" s="361"/>
      <c r="DK260" s="362"/>
    </row>
    <row r="261" spans="1:115" ht="13">
      <c r="A261" s="294"/>
      <c r="B261" s="294"/>
      <c r="F261" s="296"/>
      <c r="J261" s="302"/>
      <c r="AO261" s="1210"/>
      <c r="CP261" s="294"/>
      <c r="CU261" s="510">
        <v>53</v>
      </c>
      <c r="CV261" s="359" t="s">
        <v>1217</v>
      </c>
      <c r="CW261" s="361">
        <v>2488702.81</v>
      </c>
      <c r="CX261" s="361">
        <v>285405.83</v>
      </c>
      <c r="CY261" s="361">
        <v>55007.87</v>
      </c>
      <c r="CZ261" s="361">
        <v>210321.56</v>
      </c>
      <c r="DA261" s="361">
        <v>110158.6</v>
      </c>
      <c r="DB261" s="361">
        <v>291986.95</v>
      </c>
      <c r="DC261" s="361">
        <v>385630.61</v>
      </c>
      <c r="DD261" s="361">
        <v>184617.93</v>
      </c>
      <c r="DE261" s="361">
        <v>271904.59000000003</v>
      </c>
      <c r="DF261" s="361">
        <v>183018.06</v>
      </c>
      <c r="DG261" s="361">
        <v>510650.82</v>
      </c>
      <c r="DH261" s="361"/>
      <c r="DI261" s="361"/>
      <c r="DJ261" s="361"/>
      <c r="DK261" s="362"/>
    </row>
    <row r="262" spans="1:115" ht="13">
      <c r="A262" s="294"/>
      <c r="B262" s="294"/>
      <c r="F262" s="296"/>
      <c r="J262" s="302"/>
      <c r="AO262" s="1210"/>
      <c r="CP262" s="294"/>
      <c r="CU262" s="510">
        <v>54</v>
      </c>
      <c r="CV262" s="359" t="s">
        <v>1225</v>
      </c>
      <c r="CW262" s="361">
        <v>2461329.15</v>
      </c>
      <c r="CX262" s="361">
        <v>168674.59</v>
      </c>
      <c r="CY262" s="361">
        <v>266356.34000000003</v>
      </c>
      <c r="CZ262" s="361">
        <v>247001.13</v>
      </c>
      <c r="DA262" s="361">
        <v>97810.19</v>
      </c>
      <c r="DB262" s="361">
        <v>239160.15</v>
      </c>
      <c r="DC262" s="361">
        <v>234561.86</v>
      </c>
      <c r="DD262" s="361">
        <v>140476.64000000001</v>
      </c>
      <c r="DE262" s="361">
        <v>375363.39</v>
      </c>
      <c r="DF262" s="361">
        <v>255618.63</v>
      </c>
      <c r="DG262" s="361">
        <v>436306.25</v>
      </c>
      <c r="DH262" s="361"/>
      <c r="DI262" s="361"/>
      <c r="DJ262" s="361"/>
      <c r="DK262" s="362"/>
    </row>
    <row r="263" spans="1:115" ht="13">
      <c r="A263" s="294"/>
      <c r="B263" s="294"/>
      <c r="F263" s="296"/>
      <c r="J263" s="302"/>
      <c r="AO263" s="1210"/>
      <c r="CP263" s="294"/>
      <c r="CU263" s="510">
        <v>55</v>
      </c>
      <c r="CV263" s="359" t="s">
        <v>1201</v>
      </c>
      <c r="CW263" s="361">
        <v>2337729.08</v>
      </c>
      <c r="CX263" s="361">
        <v>200029.52</v>
      </c>
      <c r="CY263" s="361">
        <v>154594.14000000001</v>
      </c>
      <c r="CZ263" s="361">
        <v>244435.28</v>
      </c>
      <c r="DA263" s="361">
        <v>106450.56</v>
      </c>
      <c r="DB263" s="361">
        <v>151087.64000000001</v>
      </c>
      <c r="DC263" s="361">
        <v>366385.97</v>
      </c>
      <c r="DD263" s="361">
        <v>241782.16</v>
      </c>
      <c r="DE263" s="361">
        <v>184398.4</v>
      </c>
      <c r="DF263" s="361">
        <v>106880.48</v>
      </c>
      <c r="DG263" s="361">
        <v>581684.93000000005</v>
      </c>
      <c r="DH263" s="365"/>
      <c r="DI263" s="365"/>
      <c r="DJ263" s="365"/>
      <c r="DK263" s="366"/>
    </row>
    <row r="264" spans="1:115" ht="13">
      <c r="A264" s="294"/>
      <c r="B264" s="294"/>
      <c r="F264" s="296"/>
      <c r="J264" s="302"/>
      <c r="AO264" s="1210"/>
      <c r="CP264" s="294"/>
      <c r="CU264" s="510">
        <v>56</v>
      </c>
      <c r="CV264" s="359" t="s">
        <v>1152</v>
      </c>
      <c r="CW264" s="361">
        <v>2275241.73</v>
      </c>
      <c r="CX264" s="361">
        <v>0</v>
      </c>
      <c r="CY264" s="361">
        <v>0</v>
      </c>
      <c r="CZ264" s="361">
        <v>0</v>
      </c>
      <c r="DA264" s="361">
        <v>0</v>
      </c>
      <c r="DB264" s="361">
        <v>0</v>
      </c>
      <c r="DC264" s="361">
        <v>0</v>
      </c>
      <c r="DD264" s="361">
        <v>0</v>
      </c>
      <c r="DE264" s="361">
        <v>711332.17</v>
      </c>
      <c r="DF264" s="361">
        <v>547403.61</v>
      </c>
      <c r="DG264" s="361">
        <v>1016505.96</v>
      </c>
      <c r="DH264" s="365"/>
      <c r="DI264" s="365"/>
      <c r="DJ264" s="365"/>
      <c r="DK264" s="366"/>
    </row>
    <row r="265" spans="1:115" ht="13">
      <c r="A265" s="294"/>
      <c r="B265" s="294"/>
      <c r="F265" s="296"/>
      <c r="J265" s="302"/>
      <c r="AO265" s="1210"/>
      <c r="CP265" s="294"/>
      <c r="CU265" s="510">
        <v>57</v>
      </c>
      <c r="CV265" s="359" t="s">
        <v>1203</v>
      </c>
      <c r="CW265" s="361">
        <v>2260383.08</v>
      </c>
      <c r="CX265" s="361">
        <v>70424.800000000003</v>
      </c>
      <c r="CY265" s="361">
        <v>96333.28</v>
      </c>
      <c r="CZ265" s="361">
        <v>195436.35</v>
      </c>
      <c r="DA265" s="361">
        <v>396911.35999999999</v>
      </c>
      <c r="DB265" s="361">
        <v>356250.72</v>
      </c>
      <c r="DC265" s="361">
        <v>340063.52</v>
      </c>
      <c r="DD265" s="361">
        <v>259761.4</v>
      </c>
      <c r="DE265" s="361">
        <v>216425.28</v>
      </c>
      <c r="DF265" s="361">
        <v>182902.33</v>
      </c>
      <c r="DG265" s="361">
        <v>145874.04</v>
      </c>
      <c r="DH265" s="361"/>
      <c r="DI265" s="361"/>
      <c r="DJ265" s="361"/>
      <c r="DK265" s="362"/>
    </row>
    <row r="266" spans="1:115" ht="13">
      <c r="A266" s="294"/>
      <c r="B266" s="294"/>
      <c r="F266" s="296"/>
      <c r="J266" s="302"/>
      <c r="AO266" s="1210"/>
      <c r="CP266" s="294"/>
      <c r="CU266" s="510">
        <v>58</v>
      </c>
      <c r="CV266" s="359" t="s">
        <v>1213</v>
      </c>
      <c r="CW266" s="361">
        <v>2162005.2799999998</v>
      </c>
      <c r="CX266" s="361">
        <v>193442.15</v>
      </c>
      <c r="CY266" s="361">
        <v>711724.71</v>
      </c>
      <c r="CZ266" s="361">
        <v>47008.36</v>
      </c>
      <c r="DA266" s="361">
        <v>95254.83</v>
      </c>
      <c r="DB266" s="361">
        <v>294879.62</v>
      </c>
      <c r="DC266" s="361">
        <v>158300.09</v>
      </c>
      <c r="DD266" s="361">
        <v>45317.18</v>
      </c>
      <c r="DE266" s="361">
        <v>162418.04999999999</v>
      </c>
      <c r="DF266" s="361">
        <v>84723.6</v>
      </c>
      <c r="DG266" s="361">
        <v>368936.68</v>
      </c>
      <c r="DH266" s="361"/>
      <c r="DI266" s="361"/>
      <c r="DJ266" s="361"/>
      <c r="DK266" s="362"/>
    </row>
    <row r="267" spans="1:115" ht="13">
      <c r="A267" s="294"/>
      <c r="B267" s="294"/>
      <c r="F267" s="296"/>
      <c r="J267" s="302"/>
      <c r="AO267" s="1210"/>
      <c r="CP267" s="294"/>
      <c r="CU267" s="510">
        <v>59</v>
      </c>
      <c r="CV267" s="359" t="s">
        <v>1211</v>
      </c>
      <c r="CW267" s="361">
        <v>2015752.6</v>
      </c>
      <c r="CX267" s="361">
        <v>0</v>
      </c>
      <c r="CY267" s="361">
        <v>264264.8</v>
      </c>
      <c r="CZ267" s="361">
        <v>266289.99</v>
      </c>
      <c r="DA267" s="361">
        <v>296542.74</v>
      </c>
      <c r="DB267" s="361">
        <v>0</v>
      </c>
      <c r="DC267" s="361">
        <v>372978.48</v>
      </c>
      <c r="DD267" s="361">
        <v>467710</v>
      </c>
      <c r="DE267" s="361">
        <v>0</v>
      </c>
      <c r="DF267" s="361">
        <v>347966.6</v>
      </c>
      <c r="DG267" s="361">
        <v>0</v>
      </c>
      <c r="DH267" s="361"/>
      <c r="DI267" s="361"/>
      <c r="DJ267" s="361"/>
      <c r="DK267" s="362"/>
    </row>
    <row r="268" spans="1:115" ht="13">
      <c r="A268" s="294"/>
      <c r="B268" s="294"/>
      <c r="F268" s="296"/>
      <c r="J268" s="302"/>
      <c r="AO268" s="1210"/>
      <c r="CP268" s="294"/>
      <c r="CU268" s="510">
        <v>60</v>
      </c>
      <c r="CV268" s="359" t="s">
        <v>1226</v>
      </c>
      <c r="CW268" s="361">
        <v>1925789.89</v>
      </c>
      <c r="CX268" s="361">
        <v>349860.33</v>
      </c>
      <c r="CY268" s="361">
        <v>322269.15000000002</v>
      </c>
      <c r="CZ268" s="361">
        <v>250812.78</v>
      </c>
      <c r="DA268" s="361">
        <v>150115.13</v>
      </c>
      <c r="DB268" s="361">
        <v>283857.24</v>
      </c>
      <c r="DC268" s="361">
        <v>344252.72</v>
      </c>
      <c r="DD268" s="361">
        <v>74156.22</v>
      </c>
      <c r="DE268" s="361">
        <v>82001.83</v>
      </c>
      <c r="DF268" s="361">
        <v>0</v>
      </c>
      <c r="DG268" s="361">
        <v>68464.5</v>
      </c>
      <c r="DH268" s="361"/>
      <c r="DI268" s="361"/>
      <c r="DJ268" s="361"/>
      <c r="DK268" s="362"/>
    </row>
    <row r="269" spans="1:115" ht="13">
      <c r="A269" s="294"/>
      <c r="B269" s="294"/>
      <c r="F269" s="296"/>
      <c r="J269" s="302"/>
      <c r="AO269" s="1210"/>
      <c r="CP269" s="294"/>
      <c r="CU269" s="510">
        <v>61</v>
      </c>
      <c r="CV269" s="359" t="s">
        <v>1210</v>
      </c>
      <c r="CW269" s="361">
        <v>1883261.2</v>
      </c>
      <c r="CX269" s="361">
        <v>191079.56</v>
      </c>
      <c r="CY269" s="361">
        <v>120766.26</v>
      </c>
      <c r="CZ269" s="361">
        <v>152257.09</v>
      </c>
      <c r="DA269" s="361">
        <v>113823.54</v>
      </c>
      <c r="DB269" s="361">
        <v>198173.8</v>
      </c>
      <c r="DC269" s="361">
        <v>204485.69</v>
      </c>
      <c r="DD269" s="361">
        <v>57885.82</v>
      </c>
      <c r="DE269" s="361">
        <v>303672.08</v>
      </c>
      <c r="DF269" s="361">
        <v>189601.95</v>
      </c>
      <c r="DG269" s="361">
        <v>351515.42</v>
      </c>
      <c r="DH269" s="361"/>
      <c r="DI269" s="361"/>
      <c r="DJ269" s="361"/>
      <c r="DK269" s="362"/>
    </row>
    <row r="270" spans="1:115" ht="13">
      <c r="A270" s="294"/>
      <c r="B270" s="294"/>
      <c r="F270" s="296"/>
      <c r="J270" s="302"/>
      <c r="AO270" s="1210"/>
      <c r="CP270" s="294"/>
      <c r="CU270" s="510">
        <v>62</v>
      </c>
      <c r="CV270" s="359" t="s">
        <v>1227</v>
      </c>
      <c r="CW270" s="361">
        <v>1844527.96</v>
      </c>
      <c r="CX270" s="361">
        <v>272022.24</v>
      </c>
      <c r="CY270" s="361">
        <v>289145.49</v>
      </c>
      <c r="CZ270" s="361">
        <v>255833.91</v>
      </c>
      <c r="DA270" s="361">
        <v>149567.85</v>
      </c>
      <c r="DB270" s="361">
        <v>206874.55</v>
      </c>
      <c r="DC270" s="361">
        <v>242856.12</v>
      </c>
      <c r="DD270" s="361">
        <v>77919.39</v>
      </c>
      <c r="DE270" s="361">
        <v>208517.5</v>
      </c>
      <c r="DF270" s="361">
        <v>0</v>
      </c>
      <c r="DG270" s="361">
        <v>141790.9</v>
      </c>
      <c r="DH270" s="361"/>
      <c r="DI270" s="361"/>
      <c r="DJ270" s="361"/>
      <c r="DK270" s="362"/>
    </row>
    <row r="271" spans="1:115" ht="13">
      <c r="A271" s="294"/>
      <c r="B271" s="294"/>
      <c r="F271" s="296"/>
      <c r="J271" s="302"/>
      <c r="AO271" s="1210"/>
      <c r="CP271" s="294"/>
      <c r="CU271" s="510">
        <v>63</v>
      </c>
      <c r="CV271" s="359" t="s">
        <v>1187</v>
      </c>
      <c r="CW271" s="361">
        <v>1831135.36</v>
      </c>
      <c r="CX271" s="361">
        <v>397206.53</v>
      </c>
      <c r="CY271" s="361">
        <v>331974.05</v>
      </c>
      <c r="CZ271" s="361">
        <v>0</v>
      </c>
      <c r="DA271" s="361">
        <v>163546.46</v>
      </c>
      <c r="DB271" s="361">
        <v>89710.31</v>
      </c>
      <c r="DC271" s="361">
        <v>0</v>
      </c>
      <c r="DD271" s="361">
        <v>224561.03</v>
      </c>
      <c r="DE271" s="361">
        <v>286908.62</v>
      </c>
      <c r="DF271" s="361">
        <v>204132.13</v>
      </c>
      <c r="DG271" s="361">
        <v>133096.22</v>
      </c>
      <c r="DH271" s="361"/>
      <c r="DI271" s="361"/>
      <c r="DJ271" s="361"/>
      <c r="DK271" s="362"/>
    </row>
    <row r="272" spans="1:115" ht="13">
      <c r="A272" s="294"/>
      <c r="B272" s="294"/>
      <c r="F272" s="296"/>
      <c r="J272" s="302"/>
      <c r="AO272" s="1210"/>
      <c r="CP272" s="294"/>
      <c r="CU272" s="510">
        <v>64</v>
      </c>
      <c r="CV272" s="359" t="s">
        <v>1150</v>
      </c>
      <c r="CW272" s="361">
        <v>1820303.08</v>
      </c>
      <c r="CX272" s="361">
        <v>0</v>
      </c>
      <c r="CY272" s="361">
        <v>0</v>
      </c>
      <c r="CZ272" s="361">
        <v>67135.850000000006</v>
      </c>
      <c r="DA272" s="361">
        <v>0</v>
      </c>
      <c r="DB272" s="361">
        <v>28625.94</v>
      </c>
      <c r="DC272" s="361">
        <v>201116.14</v>
      </c>
      <c r="DD272" s="361">
        <v>161869.34</v>
      </c>
      <c r="DE272" s="361">
        <v>39914.199999999997</v>
      </c>
      <c r="DF272" s="361">
        <v>449412.54</v>
      </c>
      <c r="DG272" s="361">
        <v>872229.07</v>
      </c>
      <c r="DH272" s="365"/>
      <c r="DI272" s="365"/>
      <c r="DJ272" s="365"/>
      <c r="DK272" s="366"/>
    </row>
    <row r="273" spans="1:115" ht="13">
      <c r="A273" s="294"/>
      <c r="B273" s="294"/>
      <c r="F273" s="296"/>
      <c r="J273" s="302"/>
      <c r="AO273" s="1210"/>
      <c r="CP273" s="294"/>
      <c r="CU273" s="510">
        <v>65</v>
      </c>
      <c r="CV273" s="359" t="s">
        <v>1228</v>
      </c>
      <c r="CW273" s="361">
        <v>1682321.08</v>
      </c>
      <c r="CX273" s="361">
        <v>0</v>
      </c>
      <c r="CY273" s="361">
        <v>246275.34</v>
      </c>
      <c r="CZ273" s="361">
        <v>211186.85</v>
      </c>
      <c r="DA273" s="361">
        <v>111652.14</v>
      </c>
      <c r="DB273" s="361">
        <v>145178.45000000001</v>
      </c>
      <c r="DC273" s="361">
        <v>223360.78</v>
      </c>
      <c r="DD273" s="361">
        <v>161348.07</v>
      </c>
      <c r="DE273" s="361">
        <v>239763.12</v>
      </c>
      <c r="DF273" s="361">
        <v>183872.26</v>
      </c>
      <c r="DG273" s="361">
        <v>159684.07</v>
      </c>
      <c r="DH273" s="361"/>
      <c r="DI273" s="361"/>
      <c r="DJ273" s="361"/>
      <c r="DK273" s="362"/>
    </row>
    <row r="274" spans="1:115" ht="13">
      <c r="A274" s="294"/>
      <c r="B274" s="294"/>
      <c r="F274" s="296"/>
      <c r="J274" s="302"/>
      <c r="AO274" s="1210"/>
      <c r="CP274" s="294"/>
      <c r="CU274" s="510">
        <v>66</v>
      </c>
      <c r="CV274" s="359" t="s">
        <v>1245</v>
      </c>
      <c r="CW274" s="361">
        <v>1511924.88</v>
      </c>
      <c r="CX274" s="361">
        <v>378379.62</v>
      </c>
      <c r="CY274" s="361">
        <v>107743.56</v>
      </c>
      <c r="CZ274" s="361">
        <v>516502.57</v>
      </c>
      <c r="DA274" s="361">
        <v>117199.86</v>
      </c>
      <c r="DB274" s="361">
        <v>96440.62</v>
      </c>
      <c r="DC274" s="361">
        <v>27103</v>
      </c>
      <c r="DD274" s="361">
        <v>23746.78</v>
      </c>
      <c r="DE274" s="361">
        <v>24000</v>
      </c>
      <c r="DF274" s="361">
        <v>220808.87</v>
      </c>
      <c r="DG274" s="361">
        <v>0</v>
      </c>
      <c r="DH274" s="361"/>
      <c r="DI274" s="361"/>
      <c r="DJ274" s="361"/>
      <c r="DK274" s="362"/>
    </row>
    <row r="275" spans="1:115" ht="13">
      <c r="A275" s="294"/>
      <c r="B275" s="294"/>
      <c r="F275" s="296"/>
      <c r="J275" s="302"/>
      <c r="AO275" s="1210"/>
      <c r="CP275" s="294"/>
      <c r="CU275" s="510">
        <v>67</v>
      </c>
      <c r="CV275" s="359" t="s">
        <v>1215</v>
      </c>
      <c r="CW275" s="361">
        <v>1433750.98</v>
      </c>
      <c r="CX275" s="361">
        <v>227494.78</v>
      </c>
      <c r="CY275" s="361">
        <v>110732.14</v>
      </c>
      <c r="CZ275" s="361">
        <v>26737.06</v>
      </c>
      <c r="DA275" s="361">
        <v>109222.08</v>
      </c>
      <c r="DB275" s="361">
        <v>236404.41</v>
      </c>
      <c r="DC275" s="361">
        <v>0</v>
      </c>
      <c r="DD275" s="361">
        <v>329123.96999999997</v>
      </c>
      <c r="DE275" s="361">
        <v>191227.17</v>
      </c>
      <c r="DF275" s="361">
        <v>114088.18</v>
      </c>
      <c r="DG275" s="361">
        <v>88721.18</v>
      </c>
      <c r="DH275" s="361"/>
      <c r="DI275" s="361"/>
      <c r="DJ275" s="361"/>
      <c r="DK275" s="362"/>
    </row>
    <row r="276" spans="1:115" ht="13">
      <c r="A276" s="294"/>
      <c r="B276" s="294"/>
      <c r="F276" s="296"/>
      <c r="J276" s="302"/>
      <c r="AO276" s="1210"/>
      <c r="CP276" s="294"/>
      <c r="CU276" s="510">
        <v>68</v>
      </c>
      <c r="CV276" s="359" t="s">
        <v>1209</v>
      </c>
      <c r="CW276" s="361">
        <v>1433181.78</v>
      </c>
      <c r="CX276" s="361">
        <v>107493.4</v>
      </c>
      <c r="CY276" s="361">
        <v>259612.37</v>
      </c>
      <c r="CZ276" s="361">
        <v>232070.72</v>
      </c>
      <c r="DA276" s="361">
        <v>596364.99</v>
      </c>
      <c r="DB276" s="361">
        <v>0</v>
      </c>
      <c r="DC276" s="361">
        <v>0</v>
      </c>
      <c r="DD276" s="361">
        <v>0</v>
      </c>
      <c r="DE276" s="361">
        <v>237640.29</v>
      </c>
      <c r="DF276" s="361">
        <v>0</v>
      </c>
      <c r="DG276" s="365">
        <v>0</v>
      </c>
      <c r="DH276" s="365"/>
      <c r="DI276" s="365"/>
      <c r="DJ276" s="365"/>
      <c r="DK276" s="366"/>
    </row>
    <row r="277" spans="1:115" ht="13">
      <c r="A277" s="294"/>
      <c r="B277" s="294"/>
      <c r="F277" s="296"/>
      <c r="J277" s="302"/>
      <c r="AO277" s="1210"/>
      <c r="CP277" s="294"/>
      <c r="CU277" s="510">
        <v>69</v>
      </c>
      <c r="CV277" s="359" t="s">
        <v>1235</v>
      </c>
      <c r="CW277" s="361">
        <v>1378151.02</v>
      </c>
      <c r="CX277" s="361">
        <v>0</v>
      </c>
      <c r="CY277" s="361">
        <v>0</v>
      </c>
      <c r="CZ277" s="361">
        <v>286130.71999999997</v>
      </c>
      <c r="DA277" s="361">
        <v>0</v>
      </c>
      <c r="DB277" s="361">
        <v>212288.32</v>
      </c>
      <c r="DC277" s="361">
        <v>98056.54</v>
      </c>
      <c r="DD277" s="361">
        <v>449395.92</v>
      </c>
      <c r="DE277" s="361">
        <v>0</v>
      </c>
      <c r="DF277" s="361">
        <v>150933.12</v>
      </c>
      <c r="DG277" s="361">
        <v>181346.4</v>
      </c>
      <c r="DH277" s="361"/>
      <c r="DI277" s="361"/>
      <c r="DJ277" s="361"/>
      <c r="DK277" s="362"/>
    </row>
    <row r="278" spans="1:115" ht="13">
      <c r="A278" s="294"/>
      <c r="B278" s="294"/>
      <c r="F278" s="296"/>
      <c r="J278" s="302"/>
      <c r="AO278" s="1210"/>
      <c r="CP278" s="294"/>
      <c r="CU278" s="510">
        <v>70</v>
      </c>
      <c r="CV278" s="359" t="s">
        <v>1168</v>
      </c>
      <c r="CW278" s="361">
        <v>1359029.88</v>
      </c>
      <c r="CX278" s="361">
        <v>0</v>
      </c>
      <c r="CY278" s="361">
        <v>0</v>
      </c>
      <c r="CZ278" s="361">
        <v>221939.68</v>
      </c>
      <c r="DA278" s="361">
        <v>285774.08000000002</v>
      </c>
      <c r="DB278" s="361">
        <v>0</v>
      </c>
      <c r="DC278" s="361">
        <v>148219.51999999999</v>
      </c>
      <c r="DD278" s="361">
        <v>113644.4</v>
      </c>
      <c r="DE278" s="361">
        <v>201574.08</v>
      </c>
      <c r="DF278" s="361">
        <v>292042.48</v>
      </c>
      <c r="DG278" s="361">
        <v>95835.64</v>
      </c>
      <c r="DH278" s="361"/>
      <c r="DI278" s="361"/>
      <c r="DJ278" s="361"/>
      <c r="DK278" s="362"/>
    </row>
    <row r="279" spans="1:115" ht="13">
      <c r="A279" s="294"/>
      <c r="B279" s="294"/>
      <c r="F279" s="296"/>
      <c r="J279" s="302"/>
      <c r="AO279" s="1210"/>
      <c r="CP279" s="294"/>
      <c r="CU279" s="510">
        <v>71</v>
      </c>
      <c r="CV279" s="359" t="s">
        <v>1230</v>
      </c>
      <c r="CW279" s="361">
        <v>1298152.44</v>
      </c>
      <c r="CX279" s="361">
        <v>274577.91999999998</v>
      </c>
      <c r="CY279" s="361">
        <v>65111.13</v>
      </c>
      <c r="CZ279" s="361">
        <v>220628.69</v>
      </c>
      <c r="DA279" s="361">
        <v>0</v>
      </c>
      <c r="DB279" s="361">
        <v>39266.160000000003</v>
      </c>
      <c r="DC279" s="361">
        <v>30215.49</v>
      </c>
      <c r="DD279" s="361">
        <v>106224.91</v>
      </c>
      <c r="DE279" s="361">
        <v>167899.6</v>
      </c>
      <c r="DF279" s="361">
        <v>135237.19</v>
      </c>
      <c r="DG279" s="361">
        <v>258991.35</v>
      </c>
      <c r="DH279" s="361"/>
      <c r="DI279" s="361"/>
      <c r="DJ279" s="361"/>
      <c r="DK279" s="362"/>
    </row>
    <row r="280" spans="1:115" ht="13">
      <c r="A280" s="294"/>
      <c r="B280" s="294"/>
      <c r="F280" s="296"/>
      <c r="J280" s="302"/>
      <c r="AO280" s="1210"/>
      <c r="CP280" s="294"/>
      <c r="CU280" s="510">
        <v>72</v>
      </c>
      <c r="CV280" s="359" t="s">
        <v>1189</v>
      </c>
      <c r="CW280" s="361">
        <v>1296349.68</v>
      </c>
      <c r="CX280" s="361">
        <v>0</v>
      </c>
      <c r="CY280" s="361">
        <v>0</v>
      </c>
      <c r="CZ280" s="361">
        <v>0</v>
      </c>
      <c r="DA280" s="361">
        <v>0</v>
      </c>
      <c r="DB280" s="361">
        <v>0</v>
      </c>
      <c r="DC280" s="361">
        <v>439863.52</v>
      </c>
      <c r="DD280" s="361">
        <v>289132</v>
      </c>
      <c r="DE280" s="361">
        <v>0</v>
      </c>
      <c r="DF280" s="361">
        <v>498550.24</v>
      </c>
      <c r="DG280" s="361">
        <v>68803.92</v>
      </c>
      <c r="DH280" s="361"/>
      <c r="DI280" s="361"/>
      <c r="DJ280" s="361"/>
      <c r="DK280" s="362"/>
    </row>
    <row r="281" spans="1:115" ht="13">
      <c r="A281" s="294"/>
      <c r="B281" s="294"/>
      <c r="F281" s="296"/>
      <c r="J281" s="302"/>
      <c r="AO281" s="1210"/>
      <c r="CP281" s="294"/>
      <c r="CU281" s="510">
        <v>73</v>
      </c>
      <c r="CV281" s="359" t="s">
        <v>1224</v>
      </c>
      <c r="CW281" s="361">
        <v>1207215.96</v>
      </c>
      <c r="CX281" s="361">
        <v>67674.69</v>
      </c>
      <c r="CY281" s="361">
        <v>122171.49</v>
      </c>
      <c r="CZ281" s="361">
        <v>0</v>
      </c>
      <c r="DA281" s="361">
        <v>333421.31</v>
      </c>
      <c r="DB281" s="361">
        <v>137983.76999999999</v>
      </c>
      <c r="DC281" s="361">
        <v>0</v>
      </c>
      <c r="DD281" s="361">
        <v>456646.99</v>
      </c>
      <c r="DE281" s="361">
        <v>89317.71</v>
      </c>
      <c r="DF281" s="361">
        <v>0</v>
      </c>
      <c r="DG281" s="361">
        <v>0</v>
      </c>
      <c r="DH281" s="361"/>
      <c r="DI281" s="361"/>
      <c r="DJ281" s="361"/>
      <c r="DK281" s="362"/>
    </row>
    <row r="282" spans="1:115" ht="13">
      <c r="A282" s="294"/>
      <c r="B282" s="294"/>
      <c r="F282" s="296"/>
      <c r="J282" s="302"/>
      <c r="AO282" s="1210"/>
      <c r="CP282" s="294"/>
      <c r="CU282" s="510">
        <v>74</v>
      </c>
      <c r="CV282" s="359" t="s">
        <v>1237</v>
      </c>
      <c r="CW282" s="361">
        <v>1205493.71</v>
      </c>
      <c r="CX282" s="361">
        <v>0</v>
      </c>
      <c r="CY282" s="361">
        <v>0</v>
      </c>
      <c r="CZ282" s="361">
        <v>0</v>
      </c>
      <c r="DA282" s="361">
        <v>0</v>
      </c>
      <c r="DB282" s="361">
        <v>0</v>
      </c>
      <c r="DC282" s="361">
        <v>0</v>
      </c>
      <c r="DD282" s="361">
        <v>186603.1</v>
      </c>
      <c r="DE282" s="361">
        <v>221911.24</v>
      </c>
      <c r="DF282" s="361">
        <v>340549.61</v>
      </c>
      <c r="DG282" s="361">
        <v>456429.76</v>
      </c>
      <c r="DH282" s="365"/>
      <c r="DI282" s="365"/>
      <c r="DJ282" s="365"/>
      <c r="DK282" s="366"/>
    </row>
    <row r="283" spans="1:115" ht="13">
      <c r="A283" s="294"/>
      <c r="B283" s="294"/>
      <c r="F283" s="296"/>
      <c r="J283" s="302"/>
      <c r="AO283" s="1210"/>
      <c r="CP283" s="294"/>
      <c r="CU283" s="510">
        <v>75</v>
      </c>
      <c r="CV283" s="359" t="s">
        <v>1239</v>
      </c>
      <c r="CW283" s="361">
        <v>1141727.6000000001</v>
      </c>
      <c r="CX283" s="361">
        <v>140987.6</v>
      </c>
      <c r="CY283" s="361">
        <v>329934.40000000002</v>
      </c>
      <c r="CZ283" s="361">
        <v>670805.6</v>
      </c>
      <c r="DA283" s="361">
        <v>0</v>
      </c>
      <c r="DB283" s="361">
        <v>0</v>
      </c>
      <c r="DC283" s="361">
        <v>0</v>
      </c>
      <c r="DD283" s="361">
        <v>0</v>
      </c>
      <c r="DE283" s="361">
        <v>0</v>
      </c>
      <c r="DF283" s="361">
        <v>0</v>
      </c>
      <c r="DG283" s="361">
        <v>0</v>
      </c>
      <c r="DH283" s="361"/>
      <c r="DI283" s="361"/>
      <c r="DJ283" s="361"/>
      <c r="DK283" s="362"/>
    </row>
    <row r="284" spans="1:115" ht="13">
      <c r="A284" s="294"/>
      <c r="B284" s="294"/>
      <c r="F284" s="296"/>
      <c r="J284" s="302"/>
      <c r="AO284" s="1210"/>
      <c r="CP284" s="294"/>
      <c r="CU284" s="510">
        <v>76</v>
      </c>
      <c r="CV284" s="359" t="s">
        <v>1194</v>
      </c>
      <c r="CW284" s="361">
        <v>1129387.3799999999</v>
      </c>
      <c r="CX284" s="361">
        <v>230999.66</v>
      </c>
      <c r="CY284" s="361">
        <v>0</v>
      </c>
      <c r="CZ284" s="361">
        <v>233765.68</v>
      </c>
      <c r="DA284" s="361">
        <v>19472</v>
      </c>
      <c r="DB284" s="361">
        <v>268334.37</v>
      </c>
      <c r="DC284" s="361">
        <v>0</v>
      </c>
      <c r="DD284" s="361">
        <v>47498.68</v>
      </c>
      <c r="DE284" s="361">
        <v>59160.82</v>
      </c>
      <c r="DF284" s="361">
        <v>23647.61</v>
      </c>
      <c r="DG284" s="361">
        <v>246508.57</v>
      </c>
      <c r="DH284" s="361"/>
      <c r="DI284" s="361"/>
      <c r="DJ284" s="361"/>
      <c r="DK284" s="362"/>
    </row>
    <row r="285" spans="1:115" ht="13">
      <c r="A285" s="294"/>
      <c r="B285" s="294"/>
      <c r="F285" s="296"/>
      <c r="J285" s="302"/>
      <c r="AO285" s="1210"/>
      <c r="CP285" s="294"/>
      <c r="CU285" s="510">
        <v>77</v>
      </c>
      <c r="CV285" s="359" t="s">
        <v>1198</v>
      </c>
      <c r="CW285" s="361">
        <v>1007407.59</v>
      </c>
      <c r="CX285" s="361">
        <v>0</v>
      </c>
      <c r="CY285" s="361">
        <v>0</v>
      </c>
      <c r="CZ285" s="361">
        <v>0</v>
      </c>
      <c r="DA285" s="361">
        <v>77223.199999999997</v>
      </c>
      <c r="DB285" s="361">
        <v>317961.49</v>
      </c>
      <c r="DC285" s="361">
        <v>283016.40000000002</v>
      </c>
      <c r="DD285" s="361">
        <v>45978.400000000001</v>
      </c>
      <c r="DE285" s="361">
        <v>200210.02</v>
      </c>
      <c r="DF285" s="361">
        <v>83018.080000000002</v>
      </c>
      <c r="DG285" s="361">
        <v>0</v>
      </c>
      <c r="DH285" s="361"/>
      <c r="DI285" s="361"/>
      <c r="DJ285" s="361"/>
      <c r="DK285" s="362"/>
    </row>
    <row r="286" spans="1:115" ht="13">
      <c r="A286" s="294"/>
      <c r="B286" s="294"/>
      <c r="F286" s="296"/>
      <c r="J286" s="302"/>
      <c r="AO286" s="1210"/>
      <c r="CP286" s="294"/>
      <c r="CU286" s="510">
        <v>78</v>
      </c>
      <c r="CV286" s="359" t="s">
        <v>1196</v>
      </c>
      <c r="CW286" s="361">
        <v>1007123.43</v>
      </c>
      <c r="CX286" s="361">
        <v>161357.04</v>
      </c>
      <c r="CY286" s="361">
        <v>88270.34</v>
      </c>
      <c r="CZ286" s="361">
        <v>105584.4</v>
      </c>
      <c r="DA286" s="361">
        <v>88950.399999999994</v>
      </c>
      <c r="DB286" s="361">
        <v>39191.360000000001</v>
      </c>
      <c r="DC286" s="361">
        <v>64346.879999999997</v>
      </c>
      <c r="DD286" s="361">
        <v>151761.84</v>
      </c>
      <c r="DE286" s="361">
        <v>93033.600000000006</v>
      </c>
      <c r="DF286" s="361">
        <v>160998.5</v>
      </c>
      <c r="DG286" s="361">
        <v>53629.07</v>
      </c>
      <c r="DH286" s="361"/>
      <c r="DI286" s="361"/>
      <c r="DJ286" s="361"/>
      <c r="DK286" s="362"/>
    </row>
    <row r="287" spans="1:115" ht="13">
      <c r="A287" s="294"/>
      <c r="B287" s="294"/>
      <c r="F287" s="296"/>
      <c r="J287" s="302"/>
      <c r="AO287" s="1210"/>
      <c r="CP287" s="294"/>
      <c r="CU287" s="510">
        <v>79</v>
      </c>
      <c r="CV287" s="359" t="s">
        <v>1208</v>
      </c>
      <c r="CW287" s="361">
        <v>986355.65</v>
      </c>
      <c r="CX287" s="361">
        <v>0</v>
      </c>
      <c r="CY287" s="361">
        <v>128958.82</v>
      </c>
      <c r="CZ287" s="361">
        <v>180201.25</v>
      </c>
      <c r="DA287" s="361">
        <v>285367.26</v>
      </c>
      <c r="DB287" s="361">
        <v>0</v>
      </c>
      <c r="DC287" s="361">
        <v>79877.429999999993</v>
      </c>
      <c r="DD287" s="361">
        <v>85930.41</v>
      </c>
      <c r="DE287" s="361">
        <v>151453.01</v>
      </c>
      <c r="DF287" s="361">
        <v>74567.460000000006</v>
      </c>
      <c r="DG287" s="365">
        <v>0</v>
      </c>
      <c r="DH287" s="365"/>
      <c r="DI287" s="365"/>
      <c r="DJ287" s="365"/>
      <c r="DK287" s="366"/>
    </row>
    <row r="288" spans="1:115" ht="13">
      <c r="A288" s="294"/>
      <c r="B288" s="294"/>
      <c r="F288" s="296"/>
      <c r="J288" s="302"/>
      <c r="AO288" s="1210"/>
      <c r="CP288" s="294"/>
      <c r="CU288" s="510">
        <v>80</v>
      </c>
      <c r="CV288" s="359" t="s">
        <v>1176</v>
      </c>
      <c r="CW288" s="361">
        <v>944435.68</v>
      </c>
      <c r="CX288" s="361">
        <v>0</v>
      </c>
      <c r="CY288" s="361">
        <v>0</v>
      </c>
      <c r="CZ288" s="361">
        <v>370095.93</v>
      </c>
      <c r="DA288" s="361">
        <v>0</v>
      </c>
      <c r="DB288" s="361">
        <v>0</v>
      </c>
      <c r="DC288" s="361">
        <v>217524.17</v>
      </c>
      <c r="DD288" s="361">
        <v>24388.98</v>
      </c>
      <c r="DE288" s="361">
        <v>80184.22</v>
      </c>
      <c r="DF288" s="361">
        <v>193696</v>
      </c>
      <c r="DG288" s="361">
        <v>58546.38</v>
      </c>
      <c r="DH288" s="361"/>
      <c r="DI288" s="361"/>
      <c r="DJ288" s="361"/>
      <c r="DK288" s="362"/>
    </row>
    <row r="289" spans="1:115" ht="13">
      <c r="A289" s="294"/>
      <c r="B289" s="294"/>
      <c r="F289" s="296"/>
      <c r="J289" s="302"/>
      <c r="AO289" s="1210"/>
      <c r="CP289" s="294"/>
      <c r="CU289" s="510">
        <v>81</v>
      </c>
      <c r="CV289" s="359" t="s">
        <v>1242</v>
      </c>
      <c r="CW289" s="361">
        <v>833951.95</v>
      </c>
      <c r="CX289" s="361">
        <v>289193.92</v>
      </c>
      <c r="CY289" s="361">
        <v>0</v>
      </c>
      <c r="CZ289" s="361">
        <v>0</v>
      </c>
      <c r="DA289" s="361">
        <v>114095.52</v>
      </c>
      <c r="DB289" s="361">
        <v>0</v>
      </c>
      <c r="DC289" s="361">
        <v>0</v>
      </c>
      <c r="DD289" s="361">
        <v>217520.56</v>
      </c>
      <c r="DE289" s="361">
        <v>0</v>
      </c>
      <c r="DF289" s="361">
        <v>144599.04000000001</v>
      </c>
      <c r="DG289" s="361">
        <v>68542.91</v>
      </c>
      <c r="DH289" s="361"/>
      <c r="DI289" s="361"/>
      <c r="DJ289" s="361"/>
      <c r="DK289" s="362"/>
    </row>
    <row r="290" spans="1:115" ht="13">
      <c r="A290" s="294"/>
      <c r="B290" s="294"/>
      <c r="F290" s="296"/>
      <c r="J290" s="302"/>
      <c r="AO290" s="1210"/>
      <c r="CP290" s="294"/>
      <c r="CU290" s="510">
        <v>82</v>
      </c>
      <c r="CV290" s="359" t="s">
        <v>1221</v>
      </c>
      <c r="CW290" s="361">
        <v>750280.81</v>
      </c>
      <c r="CX290" s="361">
        <v>0</v>
      </c>
      <c r="CY290" s="361">
        <v>0</v>
      </c>
      <c r="CZ290" s="361">
        <v>84481.69</v>
      </c>
      <c r="DA290" s="361">
        <v>112537.71</v>
      </c>
      <c r="DB290" s="361">
        <v>175929.82</v>
      </c>
      <c r="DC290" s="361">
        <v>106191</v>
      </c>
      <c r="DD290" s="361">
        <v>170592.78</v>
      </c>
      <c r="DE290" s="361">
        <v>37353.78</v>
      </c>
      <c r="DF290" s="361">
        <v>63194.03</v>
      </c>
      <c r="DG290" s="365">
        <v>0</v>
      </c>
      <c r="DH290" s="365"/>
      <c r="DI290" s="365"/>
      <c r="DJ290" s="365"/>
      <c r="DK290" s="366"/>
    </row>
    <row r="291" spans="1:115" ht="13">
      <c r="A291" s="294"/>
      <c r="B291" s="294"/>
      <c r="F291" s="296"/>
      <c r="J291" s="302"/>
      <c r="AO291" s="1210"/>
      <c r="CP291" s="294"/>
      <c r="CU291" s="510">
        <v>83</v>
      </c>
      <c r="CV291" s="359" t="s">
        <v>1220</v>
      </c>
      <c r="CW291" s="361">
        <v>733627.52</v>
      </c>
      <c r="CX291" s="361">
        <v>342570.09</v>
      </c>
      <c r="CY291" s="361">
        <v>0</v>
      </c>
      <c r="CZ291" s="361">
        <v>116252.04</v>
      </c>
      <c r="DA291" s="361">
        <v>0</v>
      </c>
      <c r="DB291" s="361">
        <v>30716.55</v>
      </c>
      <c r="DC291" s="361">
        <v>140173.01999999999</v>
      </c>
      <c r="DD291" s="361">
        <v>0</v>
      </c>
      <c r="DE291" s="361">
        <v>0</v>
      </c>
      <c r="DF291" s="361">
        <v>50456.12</v>
      </c>
      <c r="DG291" s="361">
        <v>53459.7</v>
      </c>
      <c r="DH291" s="361"/>
      <c r="DI291" s="361"/>
      <c r="DJ291" s="361"/>
      <c r="DK291" s="362"/>
    </row>
    <row r="292" spans="1:115" ht="13">
      <c r="A292" s="294"/>
      <c r="B292" s="294"/>
      <c r="F292" s="296"/>
      <c r="J292" s="302"/>
      <c r="AO292" s="1210"/>
      <c r="CP292" s="294"/>
      <c r="CU292" s="510">
        <v>84</v>
      </c>
      <c r="CV292" s="359" t="s">
        <v>1178</v>
      </c>
      <c r="CW292" s="361">
        <v>704402.93</v>
      </c>
      <c r="CX292" s="361">
        <v>45279</v>
      </c>
      <c r="CY292" s="361">
        <v>189268.62</v>
      </c>
      <c r="CZ292" s="361">
        <v>0</v>
      </c>
      <c r="DA292" s="361">
        <v>174234</v>
      </c>
      <c r="DB292" s="361">
        <v>41783.599999999999</v>
      </c>
      <c r="DC292" s="361">
        <v>44494.16</v>
      </c>
      <c r="DD292" s="361">
        <v>134621.44</v>
      </c>
      <c r="DE292" s="361">
        <v>0</v>
      </c>
      <c r="DF292" s="361">
        <v>42326.64</v>
      </c>
      <c r="DG292" s="361">
        <v>32395.47</v>
      </c>
      <c r="DH292" s="365"/>
      <c r="DI292" s="365"/>
      <c r="DJ292" s="365"/>
      <c r="DK292" s="366"/>
    </row>
    <row r="293" spans="1:115" ht="13">
      <c r="A293" s="294"/>
      <c r="B293" s="294"/>
      <c r="F293" s="296"/>
      <c r="J293" s="302"/>
      <c r="AO293" s="1210"/>
      <c r="CP293" s="294"/>
      <c r="CU293" s="510">
        <v>85</v>
      </c>
      <c r="CV293" s="359" t="s">
        <v>1188</v>
      </c>
      <c r="CW293" s="361">
        <v>630993.62</v>
      </c>
      <c r="CX293" s="361">
        <v>144724.39000000001</v>
      </c>
      <c r="CY293" s="361">
        <v>272832.99</v>
      </c>
      <c r="CZ293" s="361">
        <v>181980.79</v>
      </c>
      <c r="DA293" s="361">
        <v>31455.45</v>
      </c>
      <c r="DB293" s="361">
        <v>0</v>
      </c>
      <c r="DC293" s="361">
        <v>0</v>
      </c>
      <c r="DD293" s="361">
        <v>0</v>
      </c>
      <c r="DE293" s="361">
        <v>0</v>
      </c>
      <c r="DF293" s="365">
        <v>0</v>
      </c>
      <c r="DG293" s="365">
        <v>0</v>
      </c>
      <c r="DH293" s="365"/>
      <c r="DI293" s="365"/>
      <c r="DJ293" s="365"/>
      <c r="DK293" s="366"/>
    </row>
    <row r="294" spans="1:115" ht="13">
      <c r="A294" s="294"/>
      <c r="B294" s="294"/>
      <c r="F294" s="296"/>
      <c r="J294" s="302"/>
      <c r="AO294" s="1210"/>
      <c r="CP294" s="294"/>
      <c r="CU294" s="510">
        <v>86</v>
      </c>
      <c r="CV294" s="359" t="s">
        <v>1204</v>
      </c>
      <c r="CW294" s="361">
        <v>627324.21</v>
      </c>
      <c r="CX294" s="361">
        <v>0</v>
      </c>
      <c r="CY294" s="361">
        <v>113037.16</v>
      </c>
      <c r="CZ294" s="361">
        <v>135511.31</v>
      </c>
      <c r="DA294" s="361">
        <v>63107.91</v>
      </c>
      <c r="DB294" s="361">
        <v>0</v>
      </c>
      <c r="DC294" s="361">
        <v>0</v>
      </c>
      <c r="DD294" s="361">
        <v>117472.63</v>
      </c>
      <c r="DE294" s="361">
        <v>79948.2</v>
      </c>
      <c r="DF294" s="361">
        <v>118247</v>
      </c>
      <c r="DG294" s="365">
        <v>0</v>
      </c>
      <c r="DH294" s="365"/>
      <c r="DI294" s="365"/>
      <c r="DJ294" s="365"/>
      <c r="DK294" s="366"/>
    </row>
    <row r="295" spans="1:115" ht="13">
      <c r="A295" s="294"/>
      <c r="B295" s="294"/>
      <c r="F295" s="296"/>
      <c r="J295" s="302"/>
      <c r="AO295" s="1210"/>
      <c r="CP295" s="294"/>
      <c r="CU295" s="510">
        <v>87</v>
      </c>
      <c r="CV295" s="359" t="s">
        <v>1179</v>
      </c>
      <c r="CW295" s="361">
        <v>617265.14</v>
      </c>
      <c r="CX295" s="361">
        <v>60005.35</v>
      </c>
      <c r="CY295" s="361">
        <v>35749.870000000003</v>
      </c>
      <c r="CZ295" s="361">
        <v>107311.53</v>
      </c>
      <c r="DA295" s="361">
        <v>47158.02</v>
      </c>
      <c r="DB295" s="361">
        <v>0</v>
      </c>
      <c r="DC295" s="361">
        <v>99541.9</v>
      </c>
      <c r="DD295" s="361">
        <v>52188.24</v>
      </c>
      <c r="DE295" s="361">
        <v>45064.800000000003</v>
      </c>
      <c r="DF295" s="361">
        <v>63230.31</v>
      </c>
      <c r="DG295" s="361">
        <v>107015.12</v>
      </c>
      <c r="DH295" s="365"/>
      <c r="DI295" s="365"/>
      <c r="DJ295" s="365"/>
      <c r="DK295" s="366"/>
    </row>
    <row r="296" spans="1:115" ht="13">
      <c r="A296" s="294"/>
      <c r="B296" s="294"/>
      <c r="F296" s="296"/>
      <c r="J296" s="302"/>
      <c r="AO296" s="1210"/>
      <c r="CP296" s="294"/>
      <c r="CU296" s="510">
        <v>88</v>
      </c>
      <c r="CV296" s="359" t="s">
        <v>1232</v>
      </c>
      <c r="CW296" s="361">
        <v>586584.24</v>
      </c>
      <c r="CX296" s="361">
        <v>0</v>
      </c>
      <c r="CY296" s="361">
        <v>0</v>
      </c>
      <c r="CZ296" s="361">
        <v>0</v>
      </c>
      <c r="DA296" s="361">
        <v>0</v>
      </c>
      <c r="DB296" s="361">
        <v>0</v>
      </c>
      <c r="DC296" s="361">
        <v>0</v>
      </c>
      <c r="DD296" s="361">
        <v>0</v>
      </c>
      <c r="DE296" s="361">
        <v>414949.81</v>
      </c>
      <c r="DF296" s="361">
        <v>22803.1</v>
      </c>
      <c r="DG296" s="361">
        <v>148831.32999999999</v>
      </c>
      <c r="DH296" s="361"/>
      <c r="DI296" s="361"/>
      <c r="DJ296" s="361"/>
      <c r="DK296" s="362"/>
    </row>
    <row r="297" spans="1:115" ht="13">
      <c r="A297" s="294"/>
      <c r="B297" s="294"/>
      <c r="F297" s="296"/>
      <c r="J297" s="302"/>
      <c r="AO297" s="1210"/>
      <c r="CP297" s="294"/>
      <c r="CU297" s="510">
        <v>89</v>
      </c>
      <c r="CV297" s="302" t="s">
        <v>1116</v>
      </c>
      <c r="CW297" s="352">
        <v>570745.59</v>
      </c>
      <c r="CX297" s="352">
        <v>0</v>
      </c>
      <c r="CY297" s="352">
        <v>0</v>
      </c>
      <c r="CZ297" s="352">
        <v>0</v>
      </c>
      <c r="DA297" s="352">
        <v>0</v>
      </c>
      <c r="DB297" s="352">
        <v>0</v>
      </c>
      <c r="DC297" s="352">
        <v>0</v>
      </c>
      <c r="DD297" s="352">
        <v>0</v>
      </c>
      <c r="DE297" s="352">
        <v>454908.71</v>
      </c>
      <c r="DF297" s="352">
        <v>0</v>
      </c>
      <c r="DG297" s="352">
        <v>115836.89</v>
      </c>
      <c r="DK297" s="367"/>
    </row>
    <row r="298" spans="1:115" ht="13">
      <c r="A298" s="294"/>
      <c r="B298" s="294"/>
      <c r="F298" s="296"/>
      <c r="J298" s="302"/>
      <c r="AO298" s="1210"/>
      <c r="CP298" s="294"/>
      <c r="CU298" s="510">
        <v>90</v>
      </c>
      <c r="CV298" s="302" t="s">
        <v>1177</v>
      </c>
      <c r="CW298" s="352">
        <v>562331.71</v>
      </c>
      <c r="CX298" s="352">
        <v>201208.4</v>
      </c>
      <c r="CY298" s="352">
        <v>73654.320000000007</v>
      </c>
      <c r="CZ298" s="352">
        <v>0</v>
      </c>
      <c r="DA298" s="352">
        <v>53053.8</v>
      </c>
      <c r="DB298" s="352">
        <v>0</v>
      </c>
      <c r="DC298" s="352">
        <v>37081.800000000003</v>
      </c>
      <c r="DD298" s="352">
        <v>15730</v>
      </c>
      <c r="DE298" s="352">
        <v>41463.18</v>
      </c>
      <c r="DF298" s="352">
        <v>92040.22</v>
      </c>
      <c r="DG298" s="352">
        <v>48099.99</v>
      </c>
      <c r="DK298" s="367"/>
    </row>
    <row r="299" spans="1:115" ht="13">
      <c r="A299" s="294"/>
      <c r="B299" s="294"/>
      <c r="F299" s="296"/>
      <c r="J299" s="302"/>
      <c r="AO299" s="1210"/>
      <c r="CP299" s="294"/>
      <c r="CU299" s="510">
        <v>91</v>
      </c>
      <c r="CV299" s="302" t="s">
        <v>1181</v>
      </c>
      <c r="CW299" s="352">
        <v>561068.93000000005</v>
      </c>
      <c r="CX299" s="352">
        <v>0</v>
      </c>
      <c r="CY299" s="352">
        <v>240086.95</v>
      </c>
      <c r="CZ299" s="352">
        <v>0</v>
      </c>
      <c r="DA299" s="352">
        <v>71642.240000000005</v>
      </c>
      <c r="DB299" s="352">
        <v>39245</v>
      </c>
      <c r="DC299" s="352">
        <v>171001.62</v>
      </c>
      <c r="DD299" s="352">
        <v>39093.120000000003</v>
      </c>
      <c r="DE299" s="352">
        <v>0</v>
      </c>
      <c r="DF299" s="352">
        <v>0</v>
      </c>
      <c r="DG299" s="352">
        <v>0</v>
      </c>
      <c r="DK299" s="367"/>
    </row>
    <row r="300" spans="1:115" ht="13">
      <c r="A300" s="294"/>
      <c r="B300" s="294"/>
      <c r="F300" s="296"/>
      <c r="J300" s="302"/>
      <c r="AO300" s="1210"/>
      <c r="CP300" s="294"/>
      <c r="CU300" s="510">
        <v>92</v>
      </c>
      <c r="CV300" s="302" t="s">
        <v>1172</v>
      </c>
      <c r="CW300" s="352">
        <v>552554.42000000004</v>
      </c>
      <c r="CX300" s="352">
        <v>137542.07999999999</v>
      </c>
      <c r="CY300" s="352">
        <v>0</v>
      </c>
      <c r="CZ300" s="352">
        <v>0</v>
      </c>
      <c r="DA300" s="352">
        <v>161242.28</v>
      </c>
      <c r="DB300" s="352">
        <v>0</v>
      </c>
      <c r="DC300" s="352">
        <v>0</v>
      </c>
      <c r="DD300" s="352">
        <v>0</v>
      </c>
      <c r="DE300" s="352">
        <v>189155.28</v>
      </c>
      <c r="DF300" s="352">
        <v>64614.78</v>
      </c>
      <c r="DG300" s="302">
        <v>0</v>
      </c>
      <c r="DK300" s="367"/>
    </row>
    <row r="301" spans="1:115" ht="13">
      <c r="A301" s="294"/>
      <c r="B301" s="294"/>
      <c r="F301" s="296"/>
      <c r="J301" s="302"/>
      <c r="AO301" s="1210"/>
      <c r="CP301" s="294"/>
      <c r="CU301" s="510">
        <v>93</v>
      </c>
      <c r="CV301" s="302" t="s">
        <v>1238</v>
      </c>
      <c r="CW301" s="352">
        <v>549457.03</v>
      </c>
      <c r="CX301" s="352">
        <v>0</v>
      </c>
      <c r="CY301" s="352">
        <v>0</v>
      </c>
      <c r="CZ301" s="352">
        <v>0</v>
      </c>
      <c r="DA301" s="302">
        <v>0</v>
      </c>
      <c r="DB301" s="352">
        <v>0</v>
      </c>
      <c r="DC301" s="352">
        <v>0</v>
      </c>
      <c r="DD301" s="352">
        <v>0</v>
      </c>
      <c r="DE301" s="352">
        <v>62978.69</v>
      </c>
      <c r="DF301" s="352">
        <v>256438.95</v>
      </c>
      <c r="DG301" s="352">
        <v>230039.39</v>
      </c>
      <c r="DK301" s="367"/>
    </row>
    <row r="302" spans="1:115" ht="13">
      <c r="A302" s="294"/>
      <c r="B302" s="294"/>
      <c r="F302" s="296"/>
      <c r="J302" s="302"/>
      <c r="AO302" s="1210"/>
      <c r="CP302" s="294"/>
      <c r="CU302" s="510">
        <v>94</v>
      </c>
      <c r="CV302" s="302" t="s">
        <v>1174</v>
      </c>
      <c r="CW302" s="352">
        <v>538078.1</v>
      </c>
      <c r="CX302" s="352">
        <v>20897.2</v>
      </c>
      <c r="CY302" s="352">
        <v>73411.199999999997</v>
      </c>
      <c r="CZ302" s="352">
        <v>146412.85</v>
      </c>
      <c r="DA302" s="352">
        <v>0</v>
      </c>
      <c r="DB302" s="352">
        <v>150591.96</v>
      </c>
      <c r="DC302" s="352">
        <v>53467</v>
      </c>
      <c r="DD302" s="352">
        <v>0</v>
      </c>
      <c r="DE302" s="352">
        <v>63897.89</v>
      </c>
      <c r="DF302" s="352">
        <v>29400</v>
      </c>
      <c r="DG302" s="302">
        <v>0</v>
      </c>
      <c r="DK302" s="367"/>
    </row>
    <row r="303" spans="1:115" ht="13">
      <c r="A303" s="294"/>
      <c r="B303" s="294"/>
      <c r="F303" s="296"/>
      <c r="J303" s="302"/>
      <c r="AO303" s="1210"/>
      <c r="CP303" s="294"/>
      <c r="CU303" s="510">
        <v>95</v>
      </c>
      <c r="CV303" s="302" t="s">
        <v>1229</v>
      </c>
      <c r="CW303" s="352">
        <v>519909.1</v>
      </c>
      <c r="CX303" s="352">
        <v>26584.29</v>
      </c>
      <c r="CY303" s="352">
        <v>116623.61</v>
      </c>
      <c r="CZ303" s="352">
        <v>80658.53</v>
      </c>
      <c r="DA303" s="352">
        <v>0</v>
      </c>
      <c r="DB303" s="352">
        <v>0</v>
      </c>
      <c r="DC303" s="352">
        <v>39192.33</v>
      </c>
      <c r="DD303" s="352">
        <v>67541.259999999995</v>
      </c>
      <c r="DE303" s="352">
        <v>84762.71</v>
      </c>
      <c r="DF303" s="352">
        <v>104546.37</v>
      </c>
      <c r="DG303" s="352">
        <v>0</v>
      </c>
      <c r="DK303" s="367"/>
    </row>
    <row r="304" spans="1:115" ht="13">
      <c r="A304" s="294"/>
      <c r="B304" s="294"/>
      <c r="F304" s="296"/>
      <c r="J304" s="302"/>
      <c r="AO304" s="1210"/>
      <c r="CP304" s="294"/>
      <c r="CU304" s="510">
        <v>96</v>
      </c>
      <c r="CV304" s="302" t="s">
        <v>1180</v>
      </c>
      <c r="CW304" s="352">
        <v>517797.04</v>
      </c>
      <c r="CX304" s="352">
        <v>67687.38</v>
      </c>
      <c r="CY304" s="352">
        <v>0</v>
      </c>
      <c r="CZ304" s="352">
        <v>0</v>
      </c>
      <c r="DA304" s="352">
        <v>0</v>
      </c>
      <c r="DB304" s="352">
        <v>0</v>
      </c>
      <c r="DC304" s="352">
        <v>59791.87</v>
      </c>
      <c r="DD304" s="352">
        <v>113447.16</v>
      </c>
      <c r="DE304" s="352">
        <v>71352</v>
      </c>
      <c r="DF304" s="352">
        <v>25224.09</v>
      </c>
      <c r="DG304" s="352">
        <v>180294.54</v>
      </c>
      <c r="DK304" s="367"/>
    </row>
    <row r="305" spans="1:115" ht="13">
      <c r="A305" s="294"/>
      <c r="B305" s="294"/>
      <c r="F305" s="296"/>
      <c r="J305" s="302"/>
      <c r="AO305" s="1210"/>
      <c r="CP305" s="294"/>
      <c r="CU305" s="510">
        <v>97</v>
      </c>
      <c r="CV305" s="302" t="s">
        <v>1170</v>
      </c>
      <c r="CW305" s="352">
        <v>509690.83</v>
      </c>
      <c r="CX305" s="352">
        <v>0</v>
      </c>
      <c r="CY305" s="352">
        <v>335961.17</v>
      </c>
      <c r="CZ305" s="352">
        <v>138556.51999999999</v>
      </c>
      <c r="DA305" s="352">
        <v>0</v>
      </c>
      <c r="DB305" s="352">
        <v>0</v>
      </c>
      <c r="DC305" s="302">
        <v>0</v>
      </c>
      <c r="DD305" s="352">
        <v>11718.24</v>
      </c>
      <c r="DE305" s="352">
        <v>23454.9</v>
      </c>
      <c r="DF305" s="302">
        <v>0</v>
      </c>
      <c r="DG305" s="302">
        <v>0</v>
      </c>
      <c r="DK305" s="367"/>
    </row>
    <row r="306" spans="1:115" ht="13">
      <c r="A306" s="294"/>
      <c r="B306" s="294"/>
      <c r="F306" s="296"/>
      <c r="J306" s="302"/>
      <c r="AO306" s="1210"/>
      <c r="CP306" s="294"/>
      <c r="CU306" s="510">
        <v>98</v>
      </c>
      <c r="CV306" s="302" t="s">
        <v>1153</v>
      </c>
      <c r="CW306" s="352">
        <v>501245.42</v>
      </c>
      <c r="CX306" s="352">
        <v>0</v>
      </c>
      <c r="CY306" s="352">
        <v>0</v>
      </c>
      <c r="CZ306" s="352">
        <v>0</v>
      </c>
      <c r="DA306" s="302">
        <v>0</v>
      </c>
      <c r="DB306" s="352">
        <v>0</v>
      </c>
      <c r="DC306" s="352">
        <v>0</v>
      </c>
      <c r="DD306" s="352">
        <v>0</v>
      </c>
      <c r="DE306" s="352">
        <v>0</v>
      </c>
      <c r="DF306" s="352">
        <v>0</v>
      </c>
      <c r="DG306" s="352">
        <v>501245.42</v>
      </c>
      <c r="DK306" s="367"/>
    </row>
    <row r="307" spans="1:115" ht="13">
      <c r="A307" s="294"/>
      <c r="B307" s="294"/>
      <c r="F307" s="296"/>
      <c r="J307" s="302"/>
      <c r="AO307" s="1210"/>
      <c r="CP307" s="294"/>
      <c r="CU307" s="510">
        <v>99</v>
      </c>
      <c r="CV307" s="302" t="s">
        <v>1184</v>
      </c>
      <c r="CW307" s="352">
        <v>403318.43</v>
      </c>
      <c r="CX307" s="352">
        <v>80028.98</v>
      </c>
      <c r="CY307" s="352">
        <v>0</v>
      </c>
      <c r="CZ307" s="352">
        <v>111566.42</v>
      </c>
      <c r="DA307" s="352">
        <v>0</v>
      </c>
      <c r="DB307" s="352">
        <v>167543.97</v>
      </c>
      <c r="DC307" s="352">
        <v>0</v>
      </c>
      <c r="DD307" s="352">
        <v>0</v>
      </c>
      <c r="DE307" s="352">
        <v>44179.06</v>
      </c>
      <c r="DF307" s="302">
        <v>0</v>
      </c>
      <c r="DG307" s="302">
        <v>0</v>
      </c>
      <c r="DK307" s="367"/>
    </row>
    <row r="308" spans="1:115" ht="13">
      <c r="A308" s="294"/>
      <c r="B308" s="294"/>
      <c r="F308" s="296"/>
      <c r="J308" s="302"/>
      <c r="AO308" s="1210"/>
      <c r="CP308" s="294"/>
      <c r="CU308" s="510">
        <v>100</v>
      </c>
      <c r="CV308" s="302" t="s">
        <v>1183</v>
      </c>
      <c r="CW308" s="352">
        <v>383158.62</v>
      </c>
      <c r="CX308" s="352">
        <v>45803.66</v>
      </c>
      <c r="CY308" s="352">
        <v>27338.95</v>
      </c>
      <c r="CZ308" s="352">
        <v>0</v>
      </c>
      <c r="DA308" s="352">
        <v>27367.73</v>
      </c>
      <c r="DB308" s="352">
        <v>28517.23</v>
      </c>
      <c r="DC308" s="352">
        <v>85167.14</v>
      </c>
      <c r="DD308" s="352">
        <v>0</v>
      </c>
      <c r="DE308" s="352">
        <v>49604.32</v>
      </c>
      <c r="DF308" s="352">
        <v>85339.15</v>
      </c>
      <c r="DG308" s="352">
        <v>34020.44</v>
      </c>
      <c r="DK308" s="367"/>
    </row>
    <row r="309" spans="1:115" ht="13">
      <c r="A309" s="294"/>
      <c r="B309" s="294"/>
      <c r="F309" s="296"/>
      <c r="J309" s="302"/>
      <c r="AO309" s="1210"/>
      <c r="CP309" s="294"/>
      <c r="CU309" s="510">
        <v>101</v>
      </c>
      <c r="CV309" s="302" t="s">
        <v>1206</v>
      </c>
      <c r="CW309" s="352">
        <v>367596.25</v>
      </c>
      <c r="CX309" s="352">
        <v>122954.61</v>
      </c>
      <c r="CY309" s="352">
        <v>104781.28</v>
      </c>
      <c r="CZ309" s="352">
        <v>34277.230000000003</v>
      </c>
      <c r="DA309" s="352">
        <v>44269.1</v>
      </c>
      <c r="DB309" s="352">
        <v>0</v>
      </c>
      <c r="DC309" s="352">
        <v>18536.34</v>
      </c>
      <c r="DD309" s="352">
        <v>18536.34</v>
      </c>
      <c r="DE309" s="352">
        <v>24241.34</v>
      </c>
      <c r="DF309" s="352">
        <v>0</v>
      </c>
      <c r="DG309" s="302">
        <v>0</v>
      </c>
      <c r="DK309" s="367"/>
    </row>
    <row r="310" spans="1:115" ht="13">
      <c r="A310" s="294"/>
      <c r="B310" s="294"/>
      <c r="F310" s="296"/>
      <c r="J310" s="302"/>
      <c r="AO310" s="1210"/>
      <c r="CP310" s="294"/>
      <c r="CU310" s="510">
        <v>102</v>
      </c>
      <c r="CV310" s="302" t="s">
        <v>1190</v>
      </c>
      <c r="CW310" s="352">
        <v>354879.83</v>
      </c>
      <c r="CX310" s="352">
        <v>0</v>
      </c>
      <c r="CY310" s="352">
        <v>176062</v>
      </c>
      <c r="CZ310" s="352">
        <v>0</v>
      </c>
      <c r="DA310" s="352">
        <v>17092.05</v>
      </c>
      <c r="DB310" s="352">
        <v>161725.78</v>
      </c>
      <c r="DC310" s="352">
        <v>0</v>
      </c>
      <c r="DD310" s="352">
        <v>0</v>
      </c>
      <c r="DE310" s="302">
        <v>0</v>
      </c>
      <c r="DF310" s="302">
        <v>0</v>
      </c>
      <c r="DG310" s="302">
        <v>0</v>
      </c>
      <c r="DK310" s="367"/>
    </row>
    <row r="311" spans="1:115" ht="13">
      <c r="A311" s="294"/>
      <c r="B311" s="294"/>
      <c r="F311" s="296"/>
      <c r="J311" s="302"/>
      <c r="AO311" s="1210"/>
      <c r="CP311" s="294"/>
      <c r="CU311" s="510">
        <v>103</v>
      </c>
      <c r="CV311" s="302" t="s">
        <v>1207</v>
      </c>
      <c r="CW311" s="352">
        <v>329975.5</v>
      </c>
      <c r="CX311" s="352">
        <v>0</v>
      </c>
      <c r="CY311" s="352">
        <v>64085.91</v>
      </c>
      <c r="CZ311" s="302">
        <v>0</v>
      </c>
      <c r="DA311" s="302">
        <v>0</v>
      </c>
      <c r="DB311" s="352">
        <v>0</v>
      </c>
      <c r="DC311" s="352">
        <v>72000.539999999994</v>
      </c>
      <c r="DD311" s="352">
        <v>72000.539999999994</v>
      </c>
      <c r="DE311" s="302">
        <v>0</v>
      </c>
      <c r="DF311" s="352">
        <v>0</v>
      </c>
      <c r="DG311" s="352">
        <v>121888.52</v>
      </c>
      <c r="DK311" s="367"/>
    </row>
    <row r="312" spans="1:115" ht="13">
      <c r="A312" s="294"/>
      <c r="B312" s="294"/>
      <c r="F312" s="296"/>
      <c r="J312" s="302"/>
      <c r="AO312" s="1210"/>
      <c r="CP312" s="294"/>
      <c r="CU312" s="510">
        <v>104</v>
      </c>
      <c r="CV312" s="302" t="s">
        <v>1205</v>
      </c>
      <c r="CW312" s="352">
        <v>314553.59999999998</v>
      </c>
      <c r="CX312" s="352">
        <v>0</v>
      </c>
      <c r="CY312" s="352">
        <v>165253.12</v>
      </c>
      <c r="CZ312" s="352">
        <v>149300.48000000001</v>
      </c>
      <c r="DA312" s="302">
        <v>0</v>
      </c>
      <c r="DB312" s="352">
        <v>0</v>
      </c>
      <c r="DC312" s="352">
        <v>0</v>
      </c>
      <c r="DD312" s="352">
        <v>0</v>
      </c>
      <c r="DE312" s="302">
        <v>0</v>
      </c>
      <c r="DF312" s="302">
        <v>0</v>
      </c>
      <c r="DG312" s="352">
        <v>0</v>
      </c>
      <c r="DK312" s="367"/>
    </row>
    <row r="313" spans="1:115" ht="13">
      <c r="A313" s="294"/>
      <c r="B313" s="294"/>
      <c r="F313" s="296"/>
      <c r="J313" s="302"/>
      <c r="AO313" s="1210"/>
      <c r="CP313" s="294"/>
      <c r="CU313" s="510">
        <v>105</v>
      </c>
      <c r="CV313" s="302" t="s">
        <v>1159</v>
      </c>
      <c r="CW313" s="352">
        <v>295331.38</v>
      </c>
      <c r="CX313" s="352">
        <v>148469.54</v>
      </c>
      <c r="CY313" s="302">
        <v>0</v>
      </c>
      <c r="CZ313" s="352">
        <v>0</v>
      </c>
      <c r="DA313" s="302">
        <v>0</v>
      </c>
      <c r="DB313" s="302">
        <v>0</v>
      </c>
      <c r="DC313" s="352">
        <v>0</v>
      </c>
      <c r="DD313" s="302">
        <v>0</v>
      </c>
      <c r="DE313" s="352">
        <v>0</v>
      </c>
      <c r="DF313" s="352">
        <v>146861.84</v>
      </c>
      <c r="DG313" s="302">
        <v>0</v>
      </c>
      <c r="DK313" s="367"/>
    </row>
    <row r="314" spans="1:115" ht="13">
      <c r="A314" s="294"/>
      <c r="B314" s="294"/>
      <c r="F314" s="296"/>
      <c r="J314" s="302"/>
      <c r="AO314" s="1210"/>
      <c r="CP314" s="294"/>
      <c r="CU314" s="510">
        <v>106</v>
      </c>
      <c r="CV314" s="302" t="s">
        <v>1121</v>
      </c>
      <c r="CW314" s="352">
        <v>284670.3</v>
      </c>
      <c r="CX314" s="302">
        <v>0</v>
      </c>
      <c r="CY314" s="302">
        <v>0</v>
      </c>
      <c r="CZ314" s="302">
        <v>0</v>
      </c>
      <c r="DA314" s="352">
        <v>0</v>
      </c>
      <c r="DB314" s="352">
        <v>0</v>
      </c>
      <c r="DC314" s="352">
        <v>30695.11</v>
      </c>
      <c r="DD314" s="302">
        <v>0</v>
      </c>
      <c r="DE314" s="352">
        <v>234157.61</v>
      </c>
      <c r="DF314" s="302">
        <v>0</v>
      </c>
      <c r="DG314" s="352">
        <v>19817.580000000002</v>
      </c>
      <c r="DK314" s="367"/>
    </row>
    <row r="315" spans="1:115" ht="13">
      <c r="A315" s="294"/>
      <c r="B315" s="294"/>
      <c r="F315" s="296"/>
      <c r="J315" s="302"/>
      <c r="AO315" s="1210"/>
      <c r="CP315" s="294"/>
      <c r="CU315" s="510">
        <v>107</v>
      </c>
      <c r="CV315" s="302" t="s">
        <v>1193</v>
      </c>
      <c r="CW315" s="352">
        <v>212877.47</v>
      </c>
      <c r="CX315" s="352">
        <v>0</v>
      </c>
      <c r="CY315" s="352">
        <v>0</v>
      </c>
      <c r="CZ315" s="352">
        <v>0</v>
      </c>
      <c r="DA315" s="352">
        <v>0</v>
      </c>
      <c r="DB315" s="352">
        <v>212877.47</v>
      </c>
      <c r="DC315" s="352">
        <v>0</v>
      </c>
      <c r="DD315" s="352">
        <v>0</v>
      </c>
      <c r="DE315" s="302">
        <v>0</v>
      </c>
      <c r="DF315" s="302">
        <v>0</v>
      </c>
      <c r="DG315" s="302">
        <v>0</v>
      </c>
      <c r="DK315" s="367"/>
    </row>
    <row r="316" spans="1:115" ht="13">
      <c r="A316" s="294"/>
      <c r="B316" s="294"/>
      <c r="F316" s="296"/>
      <c r="J316" s="302"/>
      <c r="AO316" s="1210"/>
      <c r="CP316" s="294"/>
      <c r="CU316" s="510">
        <v>108</v>
      </c>
      <c r="CV316" s="302" t="s">
        <v>1185</v>
      </c>
      <c r="CW316" s="352">
        <v>203090.3</v>
      </c>
      <c r="CX316" s="352">
        <v>0</v>
      </c>
      <c r="CY316" s="352">
        <v>0</v>
      </c>
      <c r="CZ316" s="352">
        <v>0</v>
      </c>
      <c r="DA316" s="352">
        <v>0</v>
      </c>
      <c r="DB316" s="352">
        <v>89078.3</v>
      </c>
      <c r="DC316" s="302">
        <v>0</v>
      </c>
      <c r="DD316" s="352">
        <v>114012</v>
      </c>
      <c r="DE316" s="302">
        <v>0</v>
      </c>
      <c r="DF316" s="302">
        <v>0</v>
      </c>
      <c r="DG316" s="302">
        <v>0</v>
      </c>
      <c r="DK316" s="367"/>
    </row>
    <row r="317" spans="1:115" ht="13">
      <c r="A317" s="294"/>
      <c r="B317" s="294"/>
      <c r="F317" s="296"/>
      <c r="J317" s="302"/>
      <c r="AO317" s="1210"/>
      <c r="CP317" s="294"/>
      <c r="CU317" s="510">
        <v>109</v>
      </c>
      <c r="CV317" s="302" t="s">
        <v>1163</v>
      </c>
      <c r="CW317" s="352">
        <v>155882.43</v>
      </c>
      <c r="CX317" s="352">
        <v>0</v>
      </c>
      <c r="CY317" s="352">
        <v>0</v>
      </c>
      <c r="CZ317" s="352">
        <v>0</v>
      </c>
      <c r="DA317" s="352">
        <v>0</v>
      </c>
      <c r="DB317" s="302">
        <v>0</v>
      </c>
      <c r="DC317" s="302">
        <v>0</v>
      </c>
      <c r="DD317" s="352">
        <v>0</v>
      </c>
      <c r="DE317" s="302">
        <v>0</v>
      </c>
      <c r="DF317" s="302">
        <v>0</v>
      </c>
      <c r="DG317" s="352">
        <v>155882.43</v>
      </c>
      <c r="DK317" s="367"/>
    </row>
    <row r="318" spans="1:115" ht="13">
      <c r="A318" s="294"/>
      <c r="B318" s="294"/>
      <c r="F318" s="296"/>
      <c r="J318" s="302"/>
      <c r="AO318" s="1210"/>
      <c r="CP318" s="294"/>
      <c r="CU318" s="510">
        <v>110</v>
      </c>
      <c r="CV318" s="302" t="s">
        <v>1216</v>
      </c>
      <c r="CW318" s="352">
        <v>153566.49</v>
      </c>
      <c r="CX318" s="352">
        <v>7368.42</v>
      </c>
      <c r="CY318" s="352">
        <v>14736.84</v>
      </c>
      <c r="CZ318" s="352">
        <v>58908.74</v>
      </c>
      <c r="DA318" s="352">
        <v>14226.37</v>
      </c>
      <c r="DB318" s="302">
        <v>0</v>
      </c>
      <c r="DC318" s="352">
        <v>0</v>
      </c>
      <c r="DD318" s="352">
        <v>0</v>
      </c>
      <c r="DE318" s="302">
        <v>0</v>
      </c>
      <c r="DF318" s="352">
        <v>0</v>
      </c>
      <c r="DG318" s="352">
        <v>58326.12</v>
      </c>
      <c r="DK318" s="367"/>
    </row>
    <row r="319" spans="1:115" ht="13">
      <c r="A319" s="294"/>
      <c r="B319" s="294"/>
      <c r="F319" s="296"/>
      <c r="J319" s="302"/>
      <c r="AO319" s="1210"/>
      <c r="CP319" s="294"/>
      <c r="CU319" s="510">
        <v>111</v>
      </c>
      <c r="CV319" s="302" t="s">
        <v>1164</v>
      </c>
      <c r="CW319" s="352">
        <v>119927.42</v>
      </c>
      <c r="CX319" s="302">
        <v>0</v>
      </c>
      <c r="CY319" s="302">
        <v>0</v>
      </c>
      <c r="CZ319" s="302">
        <v>0</v>
      </c>
      <c r="DA319" s="352">
        <v>60789.02</v>
      </c>
      <c r="DB319" s="302">
        <v>0</v>
      </c>
      <c r="DC319" s="352">
        <v>39425.599999999999</v>
      </c>
      <c r="DD319" s="302">
        <v>0</v>
      </c>
      <c r="DE319" s="352">
        <v>0</v>
      </c>
      <c r="DF319" s="352">
        <v>19712.8</v>
      </c>
      <c r="DG319" s="302">
        <v>0</v>
      </c>
      <c r="DK319" s="367"/>
    </row>
    <row r="320" spans="1:115" ht="13">
      <c r="A320" s="294"/>
      <c r="B320" s="294"/>
      <c r="F320" s="296"/>
      <c r="J320" s="302"/>
      <c r="AO320" s="1210"/>
      <c r="CP320" s="294"/>
      <c r="CU320" s="510">
        <v>112</v>
      </c>
      <c r="CV320" s="302" t="s">
        <v>1119</v>
      </c>
      <c r="CW320" s="352">
        <v>91518</v>
      </c>
      <c r="CX320" s="302">
        <v>0</v>
      </c>
      <c r="CY320" s="302">
        <v>0</v>
      </c>
      <c r="CZ320" s="352">
        <v>0</v>
      </c>
      <c r="DA320" s="302">
        <v>0</v>
      </c>
      <c r="DB320" s="302">
        <v>0</v>
      </c>
      <c r="DC320" s="302">
        <v>0</v>
      </c>
      <c r="DD320" s="302">
        <v>0</v>
      </c>
      <c r="DE320" s="352">
        <v>73926</v>
      </c>
      <c r="DF320" s="352">
        <v>17592</v>
      </c>
      <c r="DG320" s="302">
        <v>0</v>
      </c>
      <c r="DK320" s="367"/>
    </row>
    <row r="321" spans="1:115" ht="13">
      <c r="A321" s="294"/>
      <c r="B321" s="294"/>
      <c r="F321" s="296"/>
      <c r="J321" s="302"/>
      <c r="AO321" s="1210"/>
      <c r="CP321" s="294"/>
      <c r="CU321" s="510">
        <v>113</v>
      </c>
      <c r="CV321" s="302" t="s">
        <v>1169</v>
      </c>
      <c r="CW321" s="352">
        <v>30429.93</v>
      </c>
      <c r="CX321" s="302">
        <v>0</v>
      </c>
      <c r="CY321" s="302">
        <v>0</v>
      </c>
      <c r="CZ321" s="352">
        <v>30429.93</v>
      </c>
      <c r="DA321" s="302">
        <v>0</v>
      </c>
      <c r="DB321" s="302">
        <v>0</v>
      </c>
      <c r="DC321" s="302">
        <v>0</v>
      </c>
      <c r="DD321" s="352">
        <v>0</v>
      </c>
      <c r="DE321" s="302">
        <v>0</v>
      </c>
      <c r="DF321" s="302">
        <v>0</v>
      </c>
      <c r="DG321" s="302">
        <v>0</v>
      </c>
      <c r="DK321" s="367"/>
    </row>
    <row r="322" spans="1:115" ht="13">
      <c r="A322" s="294"/>
      <c r="B322" s="294"/>
      <c r="F322" s="296"/>
      <c r="J322" s="302"/>
      <c r="AO322" s="1210"/>
      <c r="CP322" s="294"/>
      <c r="CU322" s="510">
        <v>114</v>
      </c>
      <c r="CV322" s="302" t="s">
        <v>1192</v>
      </c>
      <c r="CW322" s="352">
        <v>17316.88</v>
      </c>
      <c r="CX322" s="302">
        <v>0</v>
      </c>
      <c r="CY322" s="302">
        <v>0</v>
      </c>
      <c r="CZ322" s="302">
        <v>0</v>
      </c>
      <c r="DA322" s="302">
        <v>0</v>
      </c>
      <c r="DB322" s="302">
        <v>0</v>
      </c>
      <c r="DC322" s="302">
        <v>0</v>
      </c>
      <c r="DD322" s="352">
        <v>17316.88</v>
      </c>
      <c r="DE322" s="352">
        <v>0</v>
      </c>
      <c r="DF322" s="302">
        <v>0</v>
      </c>
      <c r="DG322" s="302">
        <v>0</v>
      </c>
      <c r="DK322" s="367"/>
    </row>
    <row r="323" spans="1:115" ht="13">
      <c r="A323" s="294"/>
      <c r="B323" s="294"/>
      <c r="F323" s="296"/>
      <c r="J323" s="302"/>
      <c r="AO323" s="1210"/>
      <c r="CP323" s="294"/>
      <c r="CU323" s="510">
        <v>115</v>
      </c>
      <c r="CV323" s="302" t="s">
        <v>1175</v>
      </c>
      <c r="CW323" s="352">
        <v>10686.6</v>
      </c>
      <c r="CX323" s="302">
        <v>0</v>
      </c>
      <c r="CY323" s="302">
        <v>0</v>
      </c>
      <c r="CZ323" s="302">
        <v>0</v>
      </c>
      <c r="DA323" s="302">
        <v>0</v>
      </c>
      <c r="DB323" s="302">
        <v>0</v>
      </c>
      <c r="DC323" s="302">
        <v>0</v>
      </c>
      <c r="DD323" s="302">
        <v>0</v>
      </c>
      <c r="DE323" s="352">
        <v>10686.6</v>
      </c>
      <c r="DF323" s="302">
        <v>0</v>
      </c>
      <c r="DG323" s="302">
        <v>0</v>
      </c>
      <c r="DK323" s="367"/>
    </row>
    <row r="324" spans="1:115" ht="13">
      <c r="A324" s="294"/>
      <c r="B324" s="294"/>
      <c r="F324" s="296"/>
      <c r="J324" s="302"/>
      <c r="AO324" s="1210"/>
      <c r="CP324" s="294"/>
      <c r="CU324" s="510">
        <v>116</v>
      </c>
      <c r="DK324" s="367"/>
    </row>
    <row r="325" spans="1:115" ht="13">
      <c r="A325" s="294"/>
      <c r="B325" s="294"/>
      <c r="F325" s="296"/>
      <c r="J325" s="302"/>
      <c r="AO325" s="1210"/>
      <c r="CP325" s="294"/>
      <c r="CU325" s="510">
        <v>117</v>
      </c>
      <c r="DK325" s="367"/>
    </row>
    <row r="326" spans="1:115" ht="13">
      <c r="A326" s="294"/>
      <c r="B326" s="294"/>
      <c r="F326" s="296"/>
      <c r="J326" s="302"/>
      <c r="AO326" s="1210"/>
      <c r="CP326" s="294"/>
      <c r="CU326" s="510">
        <v>118</v>
      </c>
      <c r="DK326" s="367"/>
    </row>
    <row r="327" spans="1:115" ht="13">
      <c r="A327" s="294"/>
      <c r="B327" s="294"/>
      <c r="F327" s="296"/>
      <c r="J327" s="302"/>
      <c r="AO327" s="1210"/>
      <c r="CP327" s="294"/>
      <c r="CU327" s="510">
        <v>119</v>
      </c>
      <c r="DK327" s="367"/>
    </row>
    <row r="328" spans="1:115" ht="13">
      <c r="A328" s="294"/>
      <c r="B328" s="294"/>
      <c r="F328" s="296"/>
      <c r="J328" s="302"/>
      <c r="AO328" s="1210"/>
      <c r="CP328" s="294"/>
      <c r="CU328" s="510">
        <v>120</v>
      </c>
      <c r="DK328" s="367"/>
    </row>
    <row r="329" spans="1:115" ht="13">
      <c r="A329" s="294"/>
      <c r="B329" s="294"/>
      <c r="F329" s="296"/>
      <c r="J329" s="302"/>
      <c r="AO329" s="1210"/>
      <c r="CP329" s="294"/>
      <c r="CU329" s="510">
        <v>121</v>
      </c>
      <c r="DK329" s="367"/>
    </row>
    <row r="330" spans="1:115" ht="13">
      <c r="A330" s="294"/>
      <c r="B330" s="294"/>
      <c r="F330" s="296"/>
      <c r="J330" s="302"/>
      <c r="AO330" s="1210"/>
      <c r="CP330" s="294"/>
      <c r="CU330" s="510">
        <v>122</v>
      </c>
      <c r="DK330" s="367"/>
    </row>
    <row r="331" spans="1:115" ht="13">
      <c r="A331" s="294"/>
      <c r="B331" s="294"/>
      <c r="F331" s="296"/>
      <c r="J331" s="302"/>
      <c r="AO331" s="1210"/>
      <c r="CP331" s="294"/>
      <c r="CU331" s="510">
        <v>123</v>
      </c>
      <c r="DK331" s="367"/>
    </row>
    <row r="332" spans="1:115" ht="13">
      <c r="A332" s="294"/>
      <c r="B332" s="294"/>
      <c r="F332" s="296"/>
      <c r="J332" s="302"/>
      <c r="AO332" s="1210"/>
      <c r="CP332" s="294"/>
      <c r="CU332" s="510">
        <v>124</v>
      </c>
      <c r="DK332" s="367"/>
    </row>
    <row r="333" spans="1:115" ht="13">
      <c r="A333" s="294"/>
      <c r="B333" s="294"/>
      <c r="F333" s="296"/>
      <c r="J333" s="302"/>
      <c r="AO333" s="1210"/>
      <c r="CP333" s="294"/>
      <c r="CU333" s="510">
        <v>125</v>
      </c>
      <c r="DK333" s="367"/>
    </row>
    <row r="334" spans="1:115" ht="13">
      <c r="A334" s="294"/>
      <c r="B334" s="294"/>
      <c r="F334" s="296"/>
      <c r="J334" s="302"/>
      <c r="AO334" s="1210"/>
      <c r="CP334" s="294"/>
      <c r="CU334" s="510">
        <v>126</v>
      </c>
      <c r="DK334" s="367"/>
    </row>
    <row r="335" spans="1:115" ht="13">
      <c r="A335" s="294"/>
      <c r="B335" s="294"/>
      <c r="F335" s="296"/>
      <c r="J335" s="302"/>
      <c r="AO335" s="1210"/>
      <c r="CP335" s="294"/>
      <c r="CU335" s="510">
        <v>127</v>
      </c>
      <c r="DK335" s="367"/>
    </row>
    <row r="336" spans="1:115" ht="13">
      <c r="A336" s="294"/>
      <c r="B336" s="294"/>
      <c r="F336" s="296"/>
      <c r="J336" s="302"/>
      <c r="AO336" s="1210"/>
      <c r="CP336" s="294"/>
      <c r="CU336" s="510">
        <v>128</v>
      </c>
      <c r="DK336" s="367"/>
    </row>
    <row r="337" spans="1:115" ht="13">
      <c r="A337" s="294"/>
      <c r="B337" s="294"/>
      <c r="F337" s="296"/>
      <c r="J337" s="302"/>
      <c r="AO337" s="1210"/>
      <c r="CP337" s="294"/>
      <c r="CU337" s="510">
        <v>129</v>
      </c>
      <c r="DK337" s="367"/>
    </row>
    <row r="338" spans="1:115" ht="13">
      <c r="A338" s="294"/>
      <c r="B338" s="294"/>
      <c r="F338" s="296"/>
      <c r="J338" s="302"/>
      <c r="AO338" s="1210"/>
      <c r="CP338" s="294"/>
      <c r="CU338" s="510">
        <v>130</v>
      </c>
      <c r="DK338" s="367"/>
    </row>
    <row r="339" spans="1:115" ht="13">
      <c r="A339" s="294"/>
      <c r="B339" s="294"/>
      <c r="F339" s="296"/>
      <c r="J339" s="302"/>
      <c r="AO339" s="1210"/>
      <c r="CP339" s="294"/>
      <c r="CU339" s="510">
        <v>131</v>
      </c>
      <c r="DK339" s="367"/>
    </row>
    <row r="340" spans="1:115" ht="13">
      <c r="A340" s="294"/>
      <c r="B340" s="294"/>
      <c r="F340" s="296"/>
      <c r="J340" s="302"/>
      <c r="AO340" s="1210"/>
      <c r="CP340" s="294"/>
      <c r="CU340" s="510">
        <v>132</v>
      </c>
      <c r="DK340" s="367"/>
    </row>
    <row r="341" spans="1:115" ht="13">
      <c r="A341" s="294"/>
      <c r="B341" s="294"/>
      <c r="F341" s="296"/>
      <c r="J341" s="302"/>
      <c r="AO341" s="1210"/>
      <c r="CP341" s="294"/>
      <c r="CU341" s="510">
        <v>133</v>
      </c>
      <c r="DK341" s="367"/>
    </row>
    <row r="342" spans="1:115" ht="13">
      <c r="A342" s="294"/>
      <c r="B342" s="294"/>
      <c r="F342" s="296"/>
      <c r="J342" s="302"/>
      <c r="AO342" s="1210"/>
      <c r="CP342" s="294"/>
      <c r="CU342" s="510">
        <v>134</v>
      </c>
      <c r="DK342" s="367"/>
    </row>
    <row r="343" spans="1:115" ht="13">
      <c r="A343" s="294"/>
      <c r="B343" s="294"/>
      <c r="F343" s="296"/>
      <c r="J343" s="302"/>
      <c r="AO343" s="1210"/>
      <c r="CP343" s="294"/>
      <c r="CU343" s="510">
        <v>135</v>
      </c>
      <c r="DK343" s="367"/>
    </row>
    <row r="344" spans="1:115" ht="13">
      <c r="A344" s="294"/>
      <c r="B344" s="294"/>
      <c r="F344" s="296"/>
      <c r="J344" s="302"/>
      <c r="AO344" s="1210"/>
      <c r="CP344" s="294"/>
      <c r="CU344" s="510">
        <v>136</v>
      </c>
      <c r="DK344" s="367"/>
    </row>
    <row r="345" spans="1:115" ht="13">
      <c r="A345" s="294"/>
      <c r="B345" s="294"/>
      <c r="F345" s="296"/>
      <c r="J345" s="302"/>
      <c r="AO345" s="1210"/>
      <c r="CP345" s="294"/>
      <c r="CU345" s="510">
        <v>137</v>
      </c>
      <c r="DK345" s="367"/>
    </row>
    <row r="346" spans="1:115" ht="13">
      <c r="A346" s="294"/>
      <c r="B346" s="294"/>
      <c r="F346" s="296"/>
      <c r="J346" s="302"/>
      <c r="AO346" s="1210"/>
      <c r="CP346" s="294"/>
      <c r="CU346" s="510">
        <v>138</v>
      </c>
      <c r="DK346" s="367"/>
    </row>
    <row r="347" spans="1:115" ht="13">
      <c r="A347" s="294"/>
      <c r="B347" s="294"/>
      <c r="F347" s="296"/>
      <c r="J347" s="302"/>
      <c r="AO347" s="1210"/>
      <c r="CP347" s="294"/>
      <c r="CU347" s="510">
        <v>139</v>
      </c>
      <c r="DK347" s="367"/>
    </row>
    <row r="348" spans="1:115" ht="13">
      <c r="A348" s="294"/>
      <c r="B348" s="294"/>
      <c r="F348" s="296"/>
      <c r="J348" s="302"/>
      <c r="AO348" s="1210"/>
      <c r="CP348" s="294"/>
      <c r="CU348" s="510">
        <v>140</v>
      </c>
      <c r="DK348" s="367"/>
    </row>
    <row r="349" spans="1:115" ht="13">
      <c r="A349" s="294"/>
      <c r="B349" s="294"/>
      <c r="F349" s="296"/>
      <c r="J349" s="302"/>
      <c r="AO349" s="1210"/>
      <c r="CP349" s="294"/>
      <c r="CU349" s="512">
        <v>141</v>
      </c>
      <c r="CV349" s="369"/>
      <c r="CW349" s="369"/>
      <c r="CX349" s="369"/>
      <c r="CY349" s="369"/>
      <c r="CZ349" s="369"/>
      <c r="DA349" s="369"/>
      <c r="DB349" s="369"/>
      <c r="DC349" s="369"/>
      <c r="DD349" s="369"/>
      <c r="DE349" s="369"/>
      <c r="DF349" s="369"/>
      <c r="DG349" s="369"/>
      <c r="DH349" s="369"/>
      <c r="DI349" s="369"/>
      <c r="DJ349" s="369"/>
      <c r="DK349" s="370"/>
    </row>
    <row r="350" spans="1:115" ht="13">
      <c r="A350" s="294"/>
      <c r="B350" s="294"/>
      <c r="F350" s="296"/>
      <c r="J350" s="302"/>
      <c r="AO350" s="1210"/>
      <c r="CP350" s="294"/>
      <c r="CU350" s="294"/>
    </row>
    <row r="351" spans="1:115" ht="13">
      <c r="A351" s="294"/>
      <c r="B351" s="294"/>
      <c r="F351" s="296"/>
      <c r="J351" s="302"/>
      <c r="AO351" s="1210"/>
      <c r="CP351" s="294"/>
      <c r="CU351" s="294"/>
    </row>
    <row r="352" spans="1:115" ht="13">
      <c r="A352" s="294"/>
      <c r="B352" s="294"/>
      <c r="F352" s="296"/>
      <c r="J352" s="302"/>
      <c r="AO352" s="1210"/>
      <c r="CP352" s="294"/>
      <c r="CU352" s="294"/>
      <c r="CX352" s="352">
        <f>CX356-Q59</f>
        <v>0</v>
      </c>
      <c r="CY352" s="352">
        <f>CY356-X59</f>
        <v>2.0000003278255463E-2</v>
      </c>
      <c r="CZ352" s="352">
        <f>CZ356-AE59</f>
        <v>1.000000536441803E-2</v>
      </c>
      <c r="DA352" s="352">
        <f>DA356-AR59</f>
        <v>0</v>
      </c>
      <c r="DB352" s="352">
        <f>DB356-AV59</f>
        <v>1.9999999552965164E-2</v>
      </c>
      <c r="DC352" s="352">
        <f>DC356-AZ59</f>
        <v>-1.9999995827674866E-2</v>
      </c>
      <c r="DD352" s="352">
        <f>DD356-BJ59</f>
        <v>2.0000003278255463E-2</v>
      </c>
      <c r="DE352" s="352">
        <f>DE356-BN59</f>
        <v>-1.000000536441803E-2</v>
      </c>
      <c r="DF352" s="352">
        <f>DF356-BR59</f>
        <v>1.9999995827674866E-2</v>
      </c>
      <c r="DG352" s="352">
        <f>DG356-BY59</f>
        <v>-5.9999987483024597E-2</v>
      </c>
    </row>
    <row r="353" spans="1:115" ht="13">
      <c r="A353" s="294"/>
      <c r="B353" s="294"/>
      <c r="F353" s="296"/>
      <c r="J353" s="302"/>
      <c r="AO353" s="1210"/>
      <c r="CP353" s="294"/>
      <c r="CU353" s="665"/>
      <c r="CV353" s="372">
        <v>1</v>
      </c>
      <c r="CW353" s="372">
        <v>2</v>
      </c>
      <c r="CX353" s="372">
        <v>3</v>
      </c>
      <c r="CY353" s="372">
        <v>4</v>
      </c>
      <c r="CZ353" s="372">
        <v>5</v>
      </c>
      <c r="DA353" s="372">
        <v>6</v>
      </c>
      <c r="DB353" s="372">
        <v>7</v>
      </c>
      <c r="DC353" s="372">
        <v>8</v>
      </c>
      <c r="DD353" s="372">
        <v>9</v>
      </c>
      <c r="DE353" s="372">
        <v>10</v>
      </c>
      <c r="DF353" s="372">
        <v>11</v>
      </c>
      <c r="DG353" s="372">
        <v>12</v>
      </c>
      <c r="DH353" s="372">
        <v>13</v>
      </c>
      <c r="DI353" s="372">
        <v>14</v>
      </c>
      <c r="DJ353" s="372">
        <v>15</v>
      </c>
      <c r="DK353" s="373">
        <v>16</v>
      </c>
    </row>
    <row r="354" spans="1:115" ht="13">
      <c r="A354" s="294"/>
      <c r="B354" s="294"/>
      <c r="F354" s="296"/>
      <c r="J354" s="302"/>
      <c r="AO354" s="1210"/>
      <c r="CP354" s="294"/>
      <c r="CU354" s="666"/>
      <c r="CX354" s="357">
        <v>45658</v>
      </c>
      <c r="CY354" s="357">
        <v>45689</v>
      </c>
      <c r="CZ354" s="357">
        <v>45717</v>
      </c>
      <c r="DA354" s="357">
        <v>45748</v>
      </c>
      <c r="DB354" s="357">
        <v>45778</v>
      </c>
      <c r="DC354" s="357">
        <v>45809</v>
      </c>
      <c r="DD354" s="357">
        <v>45839</v>
      </c>
      <c r="DE354" s="357">
        <v>45870</v>
      </c>
      <c r="DF354" s="357">
        <v>45901</v>
      </c>
      <c r="DG354" s="357">
        <v>45931</v>
      </c>
      <c r="DH354" s="357">
        <v>45962</v>
      </c>
      <c r="DI354" s="357">
        <v>45992</v>
      </c>
      <c r="DJ354" s="357"/>
      <c r="DK354" s="375"/>
    </row>
    <row r="355" spans="1:115" ht="13">
      <c r="A355" s="294"/>
      <c r="B355" s="294"/>
      <c r="F355" s="296"/>
      <c r="J355" s="302"/>
      <c r="AO355" s="1210"/>
      <c r="CP355" s="294"/>
      <c r="CU355" s="666"/>
      <c r="CV355" s="376"/>
      <c r="CW355" s="377" t="s">
        <v>241</v>
      </c>
      <c r="CX355" s="360">
        <v>45658</v>
      </c>
      <c r="CY355" s="360">
        <v>45689</v>
      </c>
      <c r="CZ355" s="360">
        <v>45717</v>
      </c>
      <c r="DA355" s="360">
        <v>45748</v>
      </c>
      <c r="DB355" s="360">
        <v>45778</v>
      </c>
      <c r="DC355" s="360">
        <v>45809</v>
      </c>
      <c r="DD355" s="360">
        <v>45839</v>
      </c>
      <c r="DE355" s="360">
        <v>45870</v>
      </c>
      <c r="DF355" s="360">
        <v>45901</v>
      </c>
      <c r="DG355" s="360">
        <v>45931</v>
      </c>
      <c r="DH355" s="360"/>
      <c r="DI355" s="360"/>
      <c r="DJ355" s="357"/>
      <c r="DK355" s="375"/>
    </row>
    <row r="356" spans="1:115" ht="13">
      <c r="A356" s="294"/>
      <c r="B356" s="294"/>
      <c r="F356" s="296"/>
      <c r="J356" s="302"/>
      <c r="AO356" s="1210"/>
      <c r="CP356" s="294"/>
      <c r="CU356" s="666"/>
      <c r="CV356" s="359" t="s">
        <v>241</v>
      </c>
      <c r="CW356" s="361">
        <v>366023862.20999998</v>
      </c>
      <c r="CX356" s="361">
        <v>32169863.32</v>
      </c>
      <c r="CY356" s="361">
        <v>38354692.299999997</v>
      </c>
      <c r="CZ356" s="361">
        <v>32726053.84</v>
      </c>
      <c r="DA356" s="361">
        <v>33675759.850000001</v>
      </c>
      <c r="DB356" s="361">
        <v>32225411.670000002</v>
      </c>
      <c r="DC356" s="361">
        <v>36827072.350000001</v>
      </c>
      <c r="DD356" s="361">
        <v>43640395.530000001</v>
      </c>
      <c r="DE356" s="361">
        <v>43735992.799999997</v>
      </c>
      <c r="DF356" s="361">
        <v>37146077.670000002</v>
      </c>
      <c r="DG356" s="361">
        <v>35522542.880000003</v>
      </c>
      <c r="DH356" s="361"/>
      <c r="DI356" s="361"/>
      <c r="DJ356" s="361"/>
      <c r="DK356" s="378"/>
    </row>
    <row r="357" spans="1:115" ht="13">
      <c r="A357" s="294"/>
      <c r="B357" s="294"/>
      <c r="F357" s="296"/>
      <c r="J357" s="302"/>
      <c r="AO357" s="1210"/>
      <c r="CP357" s="294"/>
      <c r="CU357" s="666">
        <v>1</v>
      </c>
      <c r="CV357" s="359" t="s">
        <v>1134</v>
      </c>
      <c r="CW357" s="361">
        <v>71219286.579999998</v>
      </c>
      <c r="CX357" s="361">
        <v>4217862.1100000003</v>
      </c>
      <c r="CY357" s="361">
        <v>8536616.0099999998</v>
      </c>
      <c r="CZ357" s="361">
        <v>2897936.32</v>
      </c>
      <c r="DA357" s="361">
        <v>10651520.16</v>
      </c>
      <c r="DB357" s="361">
        <v>4348051.67</v>
      </c>
      <c r="DC357" s="361">
        <v>11950161.949999999</v>
      </c>
      <c r="DD357" s="361">
        <v>6109509.4900000002</v>
      </c>
      <c r="DE357" s="361">
        <v>14770280.51</v>
      </c>
      <c r="DF357" s="361">
        <v>1917173.66</v>
      </c>
      <c r="DG357" s="361">
        <v>5820174.7000000002</v>
      </c>
      <c r="DH357" s="361"/>
      <c r="DI357" s="361"/>
      <c r="DJ357" s="361"/>
      <c r="DK357" s="378"/>
    </row>
    <row r="358" spans="1:115" ht="13">
      <c r="A358" s="294"/>
      <c r="B358" s="294"/>
      <c r="F358" s="296"/>
      <c r="J358" s="302"/>
      <c r="AO358" s="1210"/>
      <c r="CP358" s="294"/>
      <c r="CU358" s="666">
        <v>2</v>
      </c>
      <c r="CV358" s="359" t="s">
        <v>1148</v>
      </c>
      <c r="CW358" s="361">
        <v>22438352.5</v>
      </c>
      <c r="CX358" s="361">
        <v>2530563.96</v>
      </c>
      <c r="CY358" s="361">
        <v>2856900.02</v>
      </c>
      <c r="CZ358" s="361">
        <v>2903686.99</v>
      </c>
      <c r="DA358" s="361">
        <v>2537629.62</v>
      </c>
      <c r="DB358" s="361">
        <v>2393519.44</v>
      </c>
      <c r="DC358" s="361">
        <v>2067035.31</v>
      </c>
      <c r="DD358" s="361">
        <v>2442045.3199999998</v>
      </c>
      <c r="DE358" s="361">
        <v>1784856.51</v>
      </c>
      <c r="DF358" s="361">
        <v>1810606.6</v>
      </c>
      <c r="DG358" s="361">
        <v>1111508.72</v>
      </c>
      <c r="DH358" s="361"/>
      <c r="DI358" s="361"/>
      <c r="DJ358" s="361"/>
      <c r="DK358" s="378"/>
    </row>
    <row r="359" spans="1:115" ht="13">
      <c r="A359" s="294"/>
      <c r="B359" s="294"/>
      <c r="F359" s="296"/>
      <c r="J359" s="302"/>
      <c r="AO359" s="1210"/>
      <c r="CP359" s="294"/>
      <c r="CU359" s="666">
        <v>3</v>
      </c>
      <c r="CV359" s="359" t="s">
        <v>841</v>
      </c>
      <c r="CW359" s="361">
        <v>20319155.129999999</v>
      </c>
      <c r="CX359" s="361">
        <v>2253497.65</v>
      </c>
      <c r="CY359" s="361">
        <v>2279338.0699999998</v>
      </c>
      <c r="CZ359" s="361">
        <v>2934809.22</v>
      </c>
      <c r="DA359" s="361">
        <v>1010505.51</v>
      </c>
      <c r="DB359" s="361">
        <v>2379456.77</v>
      </c>
      <c r="DC359" s="361">
        <v>2092786.39</v>
      </c>
      <c r="DD359" s="361">
        <v>3186407.35</v>
      </c>
      <c r="DE359" s="361">
        <v>2049194.55</v>
      </c>
      <c r="DF359" s="361">
        <v>2086308.45</v>
      </c>
      <c r="DG359" s="361">
        <v>46851.15</v>
      </c>
      <c r="DH359" s="361"/>
      <c r="DI359" s="361"/>
      <c r="DJ359" s="361"/>
      <c r="DK359" s="378"/>
    </row>
    <row r="360" spans="1:115" ht="13">
      <c r="A360" s="294"/>
      <c r="B360" s="294"/>
      <c r="F360" s="296"/>
      <c r="J360" s="302"/>
      <c r="AO360" s="1210"/>
      <c r="CP360" s="294"/>
      <c r="CU360" s="666">
        <v>4</v>
      </c>
      <c r="CV360" s="359" t="s">
        <v>1143</v>
      </c>
      <c r="CW360" s="361">
        <v>19423604.199999999</v>
      </c>
      <c r="CX360" s="361">
        <v>1297651.25</v>
      </c>
      <c r="CY360" s="361">
        <v>1762392.84</v>
      </c>
      <c r="CZ360" s="361">
        <v>1361009.86</v>
      </c>
      <c r="DA360" s="361">
        <v>2340831.08</v>
      </c>
      <c r="DB360" s="361">
        <v>1590982.54</v>
      </c>
      <c r="DC360" s="361">
        <v>1577827.71</v>
      </c>
      <c r="DD360" s="361">
        <v>2892187.69</v>
      </c>
      <c r="DE360" s="361">
        <v>1497441.17</v>
      </c>
      <c r="DF360" s="361">
        <v>2624368.14</v>
      </c>
      <c r="DG360" s="361">
        <v>2478911.92</v>
      </c>
      <c r="DH360" s="361"/>
      <c r="DI360" s="361"/>
      <c r="DJ360" s="361"/>
      <c r="DK360" s="378"/>
    </row>
    <row r="361" spans="1:115" ht="13">
      <c r="A361" s="294"/>
      <c r="B361" s="294"/>
      <c r="F361" s="296"/>
      <c r="J361" s="302"/>
      <c r="AO361" s="1210"/>
      <c r="CP361" s="294"/>
      <c r="CU361" s="666">
        <v>5</v>
      </c>
      <c r="CV361" s="359" t="s">
        <v>1147</v>
      </c>
      <c r="CW361" s="361">
        <v>18895715.780000001</v>
      </c>
      <c r="CX361" s="361">
        <v>329875.20000000001</v>
      </c>
      <c r="CY361" s="361">
        <v>2168440.2599999998</v>
      </c>
      <c r="CZ361" s="361">
        <v>2425832.81</v>
      </c>
      <c r="DA361" s="361">
        <v>1625289.2</v>
      </c>
      <c r="DB361" s="361">
        <v>1989331.6</v>
      </c>
      <c r="DC361" s="361">
        <v>1267764.3999999999</v>
      </c>
      <c r="DD361" s="361">
        <v>2054460.32</v>
      </c>
      <c r="DE361" s="361">
        <v>1922088.4</v>
      </c>
      <c r="DF361" s="361">
        <v>2014532.56</v>
      </c>
      <c r="DG361" s="361">
        <v>3098101.03</v>
      </c>
      <c r="DH361" s="361"/>
      <c r="DI361" s="361"/>
      <c r="DJ361" s="361"/>
      <c r="DK361" s="378"/>
    </row>
    <row r="362" spans="1:115" ht="13">
      <c r="A362" s="294"/>
      <c r="B362" s="294"/>
      <c r="F362" s="296"/>
      <c r="J362" s="302"/>
      <c r="AO362" s="1210"/>
      <c r="CP362" s="294"/>
      <c r="CU362" s="666">
        <v>6</v>
      </c>
      <c r="CV362" s="359" t="s">
        <v>1151</v>
      </c>
      <c r="CW362" s="361">
        <v>17727077.940000001</v>
      </c>
      <c r="CX362" s="361">
        <v>862647.36</v>
      </c>
      <c r="CY362" s="361">
        <v>1734742.88</v>
      </c>
      <c r="CZ362" s="361">
        <v>2029635</v>
      </c>
      <c r="DA362" s="361">
        <v>718116.63</v>
      </c>
      <c r="DB362" s="361">
        <v>1873849.32</v>
      </c>
      <c r="DC362" s="361">
        <v>844731.6</v>
      </c>
      <c r="DD362" s="361">
        <v>4230618.4000000004</v>
      </c>
      <c r="DE362" s="361">
        <v>2012252.77</v>
      </c>
      <c r="DF362" s="361">
        <v>2149744.16</v>
      </c>
      <c r="DG362" s="361">
        <v>1270739.82</v>
      </c>
      <c r="DH362" s="361"/>
      <c r="DI362" s="361"/>
      <c r="DJ362" s="361"/>
      <c r="DK362" s="378"/>
    </row>
    <row r="363" spans="1:115" ht="13">
      <c r="A363" s="294"/>
      <c r="B363" s="294"/>
      <c r="F363" s="296"/>
      <c r="J363" s="302"/>
      <c r="AO363" s="1210"/>
      <c r="CP363" s="294"/>
      <c r="CU363" s="666">
        <v>7</v>
      </c>
      <c r="CV363" s="359" t="s">
        <v>1136</v>
      </c>
      <c r="CW363" s="361">
        <v>16617211.24</v>
      </c>
      <c r="CX363" s="361">
        <v>1510387.14</v>
      </c>
      <c r="CY363" s="361">
        <v>1643872.88</v>
      </c>
      <c r="CZ363" s="361">
        <v>1510407.56</v>
      </c>
      <c r="DA363" s="361">
        <v>1597075.82</v>
      </c>
      <c r="DB363" s="361">
        <v>935723.17</v>
      </c>
      <c r="DC363" s="361">
        <v>1770801.12</v>
      </c>
      <c r="DD363" s="361">
        <v>2443190.9</v>
      </c>
      <c r="DE363" s="361">
        <v>2013929.57</v>
      </c>
      <c r="DF363" s="361">
        <v>1182579.94</v>
      </c>
      <c r="DG363" s="361">
        <v>2009243.13</v>
      </c>
      <c r="DH363" s="361"/>
      <c r="DI363" s="361"/>
      <c r="DJ363" s="361"/>
      <c r="DK363" s="378"/>
    </row>
    <row r="364" spans="1:115" ht="13">
      <c r="A364" s="294"/>
      <c r="B364" s="294"/>
      <c r="F364" s="296"/>
      <c r="J364" s="302"/>
      <c r="AO364" s="1210"/>
      <c r="CP364" s="294"/>
      <c r="CU364" s="666">
        <v>8</v>
      </c>
      <c r="CV364" s="359" t="s">
        <v>880</v>
      </c>
      <c r="CW364" s="361">
        <v>15974431.85</v>
      </c>
      <c r="CX364" s="361">
        <v>1414337.22</v>
      </c>
      <c r="CY364" s="361">
        <v>1631345.84</v>
      </c>
      <c r="CZ364" s="361">
        <v>1441587.04</v>
      </c>
      <c r="DA364" s="361">
        <v>879614.96</v>
      </c>
      <c r="DB364" s="361">
        <v>701062.8</v>
      </c>
      <c r="DC364" s="361">
        <v>1826625.76</v>
      </c>
      <c r="DD364" s="361">
        <v>2859898.48</v>
      </c>
      <c r="DE364" s="361">
        <v>642267.02</v>
      </c>
      <c r="DF364" s="361">
        <v>2334172.48</v>
      </c>
      <c r="DG364" s="361">
        <v>2243520.25</v>
      </c>
      <c r="DH364" s="361"/>
      <c r="DI364" s="361"/>
      <c r="DJ364" s="361"/>
      <c r="DK364" s="378"/>
    </row>
    <row r="365" spans="1:115" ht="13">
      <c r="A365" s="294"/>
      <c r="B365" s="294"/>
      <c r="F365" s="296"/>
      <c r="J365" s="302"/>
      <c r="AO365" s="1210"/>
      <c r="CP365" s="294"/>
      <c r="CU365" s="666">
        <v>9</v>
      </c>
      <c r="CV365" s="359" t="s">
        <v>1161</v>
      </c>
      <c r="CW365" s="361">
        <v>12768525.18</v>
      </c>
      <c r="CX365" s="361">
        <v>5421569.9800000004</v>
      </c>
      <c r="CY365" s="361">
        <v>2251663.3599999999</v>
      </c>
      <c r="CZ365" s="361">
        <v>3391911.84</v>
      </c>
      <c r="DA365" s="361">
        <v>261556.4</v>
      </c>
      <c r="DB365" s="361">
        <v>978209.44</v>
      </c>
      <c r="DC365" s="361">
        <v>275102.56</v>
      </c>
      <c r="DD365" s="361">
        <v>132319.51999999999</v>
      </c>
      <c r="DE365" s="361">
        <v>56192.08</v>
      </c>
      <c r="DF365" s="361">
        <v>0</v>
      </c>
      <c r="DG365" s="361">
        <v>0</v>
      </c>
      <c r="DH365" s="361"/>
      <c r="DI365" s="361"/>
      <c r="DJ365" s="361"/>
      <c r="DK365" s="378"/>
    </row>
    <row r="366" spans="1:115" ht="13">
      <c r="A366" s="294"/>
      <c r="B366" s="294"/>
      <c r="F366" s="296"/>
      <c r="J366" s="302"/>
      <c r="AO366" s="1210"/>
      <c r="CP366" s="294"/>
      <c r="CU366" s="666">
        <v>10</v>
      </c>
      <c r="CV366" s="359" t="s">
        <v>1157</v>
      </c>
      <c r="CW366" s="361">
        <v>12264404.789999999</v>
      </c>
      <c r="CX366" s="361">
        <v>839839.2</v>
      </c>
      <c r="CY366" s="361">
        <v>1298365.76</v>
      </c>
      <c r="CZ366" s="361">
        <v>191911.36</v>
      </c>
      <c r="DA366" s="361">
        <v>1225799.08</v>
      </c>
      <c r="DB366" s="361">
        <v>2539142.56</v>
      </c>
      <c r="DC366" s="361">
        <v>708328.08</v>
      </c>
      <c r="DD366" s="361">
        <v>571637.81000000006</v>
      </c>
      <c r="DE366" s="361">
        <v>1874407.92</v>
      </c>
      <c r="DF366" s="361">
        <v>2046216.53</v>
      </c>
      <c r="DG366" s="361">
        <v>968756.49</v>
      </c>
      <c r="DH366" s="361"/>
      <c r="DI366" s="361"/>
      <c r="DJ366" s="361"/>
      <c r="DK366" s="378"/>
    </row>
    <row r="367" spans="1:115" ht="13">
      <c r="A367" s="294"/>
      <c r="B367" s="294"/>
      <c r="F367" s="296"/>
      <c r="J367" s="302"/>
      <c r="AO367" s="1210"/>
      <c r="CP367" s="294"/>
      <c r="CU367" s="666">
        <v>11</v>
      </c>
      <c r="CV367" s="359" t="s">
        <v>899</v>
      </c>
      <c r="CW367" s="361">
        <v>11099901.9</v>
      </c>
      <c r="CX367" s="361">
        <v>899228.47</v>
      </c>
      <c r="CY367" s="361">
        <v>1725102.2</v>
      </c>
      <c r="CZ367" s="361">
        <v>814510.68</v>
      </c>
      <c r="DA367" s="361">
        <v>384794.82</v>
      </c>
      <c r="DB367" s="361">
        <v>1108558.3600000001</v>
      </c>
      <c r="DC367" s="361">
        <v>722700.73</v>
      </c>
      <c r="DD367" s="361">
        <v>941321.59</v>
      </c>
      <c r="DE367" s="361">
        <v>1162043.98</v>
      </c>
      <c r="DF367" s="361">
        <v>2643888.63</v>
      </c>
      <c r="DG367" s="361">
        <v>697752.44</v>
      </c>
      <c r="DH367" s="361"/>
      <c r="DI367" s="361"/>
      <c r="DJ367" s="361"/>
      <c r="DK367" s="378"/>
    </row>
    <row r="368" spans="1:115" ht="13">
      <c r="A368" s="294"/>
      <c r="B368" s="294"/>
      <c r="F368" s="296"/>
      <c r="J368" s="302"/>
      <c r="AO368" s="1210"/>
      <c r="CP368" s="294"/>
      <c r="CU368" s="666">
        <v>12</v>
      </c>
      <c r="CV368" s="359" t="s">
        <v>1155</v>
      </c>
      <c r="CW368" s="361">
        <v>9814829.4700000007</v>
      </c>
      <c r="CX368" s="361">
        <v>2482514.2400000002</v>
      </c>
      <c r="CY368" s="361">
        <v>0</v>
      </c>
      <c r="CZ368" s="361">
        <v>1584141.94</v>
      </c>
      <c r="DA368" s="361">
        <v>1018748.93</v>
      </c>
      <c r="DB368" s="361">
        <v>1497592.32</v>
      </c>
      <c r="DC368" s="361">
        <v>0</v>
      </c>
      <c r="DD368" s="361">
        <v>1045963.94</v>
      </c>
      <c r="DE368" s="361">
        <v>949983.79</v>
      </c>
      <c r="DF368" s="361">
        <v>1235884.32</v>
      </c>
      <c r="DG368" s="361">
        <v>0</v>
      </c>
      <c r="DH368" s="361"/>
      <c r="DI368" s="361"/>
      <c r="DJ368" s="361"/>
      <c r="DK368" s="378"/>
    </row>
    <row r="369" spans="1:115" ht="13">
      <c r="A369" s="294"/>
      <c r="B369" s="294"/>
      <c r="F369" s="296"/>
      <c r="J369" s="302"/>
      <c r="AO369" s="1210"/>
      <c r="CP369" s="294"/>
      <c r="CU369" s="666">
        <v>13</v>
      </c>
      <c r="CV369" s="359" t="s">
        <v>888</v>
      </c>
      <c r="CW369" s="361">
        <v>9408199.8499999996</v>
      </c>
      <c r="CX369" s="361">
        <v>451173.88</v>
      </c>
      <c r="CY369" s="361">
        <v>922806.67</v>
      </c>
      <c r="CZ369" s="361">
        <v>423041.34</v>
      </c>
      <c r="DA369" s="361">
        <v>921574.11</v>
      </c>
      <c r="DB369" s="361">
        <v>450584.08</v>
      </c>
      <c r="DC369" s="361">
        <v>973586.72</v>
      </c>
      <c r="DD369" s="361">
        <v>1699945.44</v>
      </c>
      <c r="DE369" s="361">
        <v>627153.6</v>
      </c>
      <c r="DF369" s="361">
        <v>1337011.6000000001</v>
      </c>
      <c r="DG369" s="361">
        <v>1601322.41</v>
      </c>
      <c r="DH369" s="361"/>
      <c r="DI369" s="361"/>
      <c r="DJ369" s="361"/>
      <c r="DK369" s="378"/>
    </row>
    <row r="370" spans="1:115" ht="13">
      <c r="A370" s="294"/>
      <c r="B370" s="294"/>
      <c r="F370" s="296"/>
      <c r="J370" s="302"/>
      <c r="AO370" s="1210"/>
      <c r="CP370" s="294"/>
      <c r="CU370" s="666">
        <v>14</v>
      </c>
      <c r="CV370" s="1238" t="s">
        <v>875</v>
      </c>
      <c r="CW370" s="1239">
        <v>8808789.9499999993</v>
      </c>
      <c r="CX370" s="361">
        <v>551989.84</v>
      </c>
      <c r="CY370" s="1239">
        <v>663881.04</v>
      </c>
      <c r="CZ370" s="1239">
        <v>918584.56</v>
      </c>
      <c r="DA370" s="1239">
        <v>243192.48</v>
      </c>
      <c r="DB370" s="361">
        <v>234104.56</v>
      </c>
      <c r="DC370" s="361">
        <v>794061.68</v>
      </c>
      <c r="DD370" s="361">
        <v>1558901.86</v>
      </c>
      <c r="DE370" s="361">
        <v>938951.17</v>
      </c>
      <c r="DF370" s="361">
        <v>1421284.17</v>
      </c>
      <c r="DG370" s="361">
        <v>1483838.59</v>
      </c>
      <c r="DH370" s="361"/>
      <c r="DI370" s="361"/>
      <c r="DJ370" s="361"/>
      <c r="DK370" s="378"/>
    </row>
    <row r="371" spans="1:115" ht="13">
      <c r="A371" s="294"/>
      <c r="B371" s="294"/>
      <c r="F371" s="296"/>
      <c r="J371" s="302"/>
      <c r="AO371" s="1210"/>
      <c r="CP371" s="294"/>
      <c r="CU371" s="666">
        <v>15</v>
      </c>
      <c r="CV371" s="359" t="s">
        <v>878</v>
      </c>
      <c r="CW371" s="361">
        <v>8757493.5999999996</v>
      </c>
      <c r="CX371" s="361">
        <v>213460.64</v>
      </c>
      <c r="CY371" s="361">
        <v>1043516.4</v>
      </c>
      <c r="CZ371" s="361">
        <v>667894.23</v>
      </c>
      <c r="DA371" s="361">
        <v>730697.92</v>
      </c>
      <c r="DB371" s="361">
        <v>1457501.6</v>
      </c>
      <c r="DC371" s="361">
        <v>1272251.6000000001</v>
      </c>
      <c r="DD371" s="361">
        <v>1353114.86</v>
      </c>
      <c r="DE371" s="361">
        <v>762905.75</v>
      </c>
      <c r="DF371" s="361">
        <v>1081268.02</v>
      </c>
      <c r="DG371" s="361">
        <v>174882.57</v>
      </c>
      <c r="DH371" s="365"/>
      <c r="DI371" s="365"/>
      <c r="DJ371" s="365"/>
      <c r="DK371" s="379"/>
    </row>
    <row r="372" spans="1:115" ht="13">
      <c r="A372" s="294"/>
      <c r="B372" s="294"/>
      <c r="F372" s="296"/>
      <c r="J372" s="302"/>
      <c r="AO372" s="1210"/>
      <c r="CP372" s="294"/>
      <c r="CU372" s="666">
        <v>16</v>
      </c>
      <c r="CV372" s="359" t="s">
        <v>1156</v>
      </c>
      <c r="CW372" s="361">
        <v>6923412.8399999999</v>
      </c>
      <c r="CX372" s="361">
        <v>0</v>
      </c>
      <c r="CY372" s="361">
        <v>0</v>
      </c>
      <c r="CZ372" s="361">
        <v>0</v>
      </c>
      <c r="DA372" s="361">
        <v>0</v>
      </c>
      <c r="DB372" s="361">
        <v>0</v>
      </c>
      <c r="DC372" s="361">
        <v>0</v>
      </c>
      <c r="DD372" s="361">
        <v>890712.5</v>
      </c>
      <c r="DE372" s="361">
        <v>1744070.63</v>
      </c>
      <c r="DF372" s="361">
        <v>1499202.53</v>
      </c>
      <c r="DG372" s="361">
        <v>2789427.18</v>
      </c>
      <c r="DH372" s="361"/>
      <c r="DI372" s="361"/>
      <c r="DJ372" s="361"/>
      <c r="DK372" s="378"/>
    </row>
    <row r="373" spans="1:115" ht="13">
      <c r="A373" s="294"/>
      <c r="B373" s="294"/>
      <c r="F373" s="296"/>
      <c r="J373" s="302"/>
      <c r="AO373" s="1210"/>
      <c r="CP373" s="294"/>
      <c r="CU373" s="666">
        <v>17</v>
      </c>
      <c r="CV373" s="359" t="s">
        <v>1145</v>
      </c>
      <c r="CW373" s="361">
        <v>5454932.2000000002</v>
      </c>
      <c r="CX373" s="361">
        <v>497726.24</v>
      </c>
      <c r="CY373" s="361">
        <v>598413.36</v>
      </c>
      <c r="CZ373" s="361">
        <v>609052.48</v>
      </c>
      <c r="DA373" s="361">
        <v>381107.18</v>
      </c>
      <c r="DB373" s="361">
        <v>530730.07999999996</v>
      </c>
      <c r="DC373" s="361">
        <v>608955.68000000005</v>
      </c>
      <c r="DD373" s="361">
        <v>770282.67</v>
      </c>
      <c r="DE373" s="361">
        <v>637872.07999999996</v>
      </c>
      <c r="DF373" s="361">
        <v>443569.04</v>
      </c>
      <c r="DG373" s="361">
        <v>377223.39</v>
      </c>
      <c r="DH373" s="361"/>
      <c r="DI373" s="361"/>
      <c r="DJ373" s="361"/>
      <c r="DK373" s="378"/>
    </row>
    <row r="374" spans="1:115" ht="13">
      <c r="A374" s="294"/>
      <c r="B374" s="294"/>
      <c r="F374" s="296"/>
      <c r="J374" s="302"/>
      <c r="AO374" s="1210"/>
      <c r="CP374" s="294"/>
      <c r="CU374" s="666">
        <v>18</v>
      </c>
      <c r="CV374" s="359" t="s">
        <v>1154</v>
      </c>
      <c r="CW374" s="361">
        <v>5212335.88</v>
      </c>
      <c r="CX374" s="361">
        <v>880310</v>
      </c>
      <c r="CY374" s="361">
        <v>545434</v>
      </c>
      <c r="CZ374" s="361">
        <v>0</v>
      </c>
      <c r="DA374" s="361">
        <v>784534.28</v>
      </c>
      <c r="DB374" s="361">
        <v>195956.8</v>
      </c>
      <c r="DC374" s="361">
        <v>783827.2</v>
      </c>
      <c r="DD374" s="361">
        <v>391913.6</v>
      </c>
      <c r="DE374" s="361">
        <v>391913.6</v>
      </c>
      <c r="DF374" s="361">
        <v>1238446.3999999999</v>
      </c>
      <c r="DG374" s="361">
        <v>0</v>
      </c>
      <c r="DH374" s="361"/>
      <c r="DI374" s="361"/>
      <c r="DJ374" s="361"/>
      <c r="DK374" s="378"/>
    </row>
    <row r="375" spans="1:115" ht="13">
      <c r="A375" s="294"/>
      <c r="B375" s="294"/>
      <c r="F375" s="296"/>
      <c r="J375" s="302"/>
      <c r="AO375" s="1210"/>
      <c r="CP375" s="294"/>
      <c r="CU375" s="666">
        <v>19</v>
      </c>
      <c r="CV375" s="1238" t="s">
        <v>1240</v>
      </c>
      <c r="CW375" s="1240">
        <v>4554839.6399999997</v>
      </c>
      <c r="CX375" s="1240">
        <v>201077.04</v>
      </c>
      <c r="CY375" s="1240">
        <v>507548.96</v>
      </c>
      <c r="CZ375" s="1240">
        <v>314133.68</v>
      </c>
      <c r="DA375" s="1240">
        <v>642239.28</v>
      </c>
      <c r="DB375" s="361">
        <v>273046.08</v>
      </c>
      <c r="DC375" s="361">
        <v>374668</v>
      </c>
      <c r="DD375" s="361">
        <v>689074.64</v>
      </c>
      <c r="DE375" s="361">
        <v>409047.68</v>
      </c>
      <c r="DF375" s="361">
        <v>481182.56</v>
      </c>
      <c r="DG375" s="361">
        <v>662821.72</v>
      </c>
      <c r="DH375" s="361"/>
      <c r="DI375" s="361"/>
      <c r="DJ375" s="361"/>
      <c r="DK375" s="378"/>
    </row>
    <row r="376" spans="1:115" ht="13">
      <c r="A376" s="294"/>
      <c r="B376" s="294"/>
      <c r="F376" s="296"/>
      <c r="J376" s="302"/>
      <c r="AO376" s="1210"/>
      <c r="CP376" s="294"/>
      <c r="CU376" s="666">
        <v>20</v>
      </c>
      <c r="CV376" s="359" t="s">
        <v>1149</v>
      </c>
      <c r="CW376" s="361">
        <v>4464372.72</v>
      </c>
      <c r="CX376" s="361">
        <v>0</v>
      </c>
      <c r="CY376" s="361">
        <v>0</v>
      </c>
      <c r="CZ376" s="361">
        <v>802576.08</v>
      </c>
      <c r="DA376" s="361">
        <v>371356.24</v>
      </c>
      <c r="DB376" s="361">
        <v>379516.48</v>
      </c>
      <c r="DC376" s="361">
        <v>576728.16</v>
      </c>
      <c r="DD376" s="361">
        <v>753205.82</v>
      </c>
      <c r="DE376" s="361">
        <v>498266.64</v>
      </c>
      <c r="DF376" s="361">
        <v>833665.52</v>
      </c>
      <c r="DG376" s="361">
        <v>249057.78</v>
      </c>
      <c r="DH376" s="361"/>
      <c r="DI376" s="361"/>
      <c r="DJ376" s="361"/>
      <c r="DK376" s="378"/>
    </row>
    <row r="377" spans="1:115" ht="13">
      <c r="A377" s="294"/>
      <c r="B377" s="294"/>
      <c r="F377" s="296"/>
      <c r="J377" s="302"/>
      <c r="AO377" s="1210"/>
      <c r="CP377" s="294"/>
      <c r="CU377" s="666">
        <v>21</v>
      </c>
      <c r="CV377" s="359" t="s">
        <v>1171</v>
      </c>
      <c r="CW377" s="361">
        <v>3775303.33</v>
      </c>
      <c r="CX377" s="361">
        <v>36778.160000000003</v>
      </c>
      <c r="CY377" s="361">
        <v>212613.31</v>
      </c>
      <c r="CZ377" s="361">
        <v>142210.89000000001</v>
      </c>
      <c r="DA377" s="361">
        <v>344770.67</v>
      </c>
      <c r="DB377" s="361">
        <v>204747.74</v>
      </c>
      <c r="DC377" s="361">
        <v>371750.61</v>
      </c>
      <c r="DD377" s="361">
        <v>389736.33</v>
      </c>
      <c r="DE377" s="361">
        <v>628477.64</v>
      </c>
      <c r="DF377" s="361">
        <v>590909.26</v>
      </c>
      <c r="DG377" s="361">
        <v>853308.72</v>
      </c>
      <c r="DH377" s="361"/>
      <c r="DI377" s="361"/>
      <c r="DJ377" s="361"/>
      <c r="DK377" s="378"/>
    </row>
    <row r="378" spans="1:115" ht="13">
      <c r="A378" s="294"/>
      <c r="B378" s="294"/>
      <c r="F378" s="296"/>
      <c r="J378" s="302"/>
      <c r="AO378" s="1210"/>
      <c r="CP378" s="294"/>
      <c r="CU378" s="666">
        <v>22</v>
      </c>
      <c r="CV378" s="359" t="s">
        <v>1202</v>
      </c>
      <c r="CW378" s="361">
        <v>3374870.25</v>
      </c>
      <c r="CX378" s="361">
        <v>376561.6</v>
      </c>
      <c r="CY378" s="361">
        <v>309212.23</v>
      </c>
      <c r="CZ378" s="361">
        <v>268710.43</v>
      </c>
      <c r="DA378" s="361">
        <v>454262.09</v>
      </c>
      <c r="DB378" s="361">
        <v>427119.76</v>
      </c>
      <c r="DC378" s="361">
        <v>210224.1</v>
      </c>
      <c r="DD378" s="361">
        <v>302953.88</v>
      </c>
      <c r="DE378" s="361">
        <v>345733.02</v>
      </c>
      <c r="DF378" s="361">
        <v>311015</v>
      </c>
      <c r="DG378" s="361">
        <v>369078.13</v>
      </c>
      <c r="DH378" s="361"/>
      <c r="DI378" s="361"/>
      <c r="DJ378" s="361"/>
      <c r="DK378" s="378"/>
    </row>
    <row r="379" spans="1:115" ht="13">
      <c r="A379" s="294"/>
      <c r="B379" s="294"/>
      <c r="F379" s="296"/>
      <c r="J379" s="302"/>
      <c r="AO379" s="1210"/>
      <c r="CP379" s="294"/>
      <c r="CU379" s="666">
        <v>23</v>
      </c>
      <c r="CV379" s="359" t="s">
        <v>1160</v>
      </c>
      <c r="CW379" s="361">
        <v>3270623.08</v>
      </c>
      <c r="CX379" s="361">
        <v>307009.44</v>
      </c>
      <c r="CY379" s="361">
        <v>393793.36</v>
      </c>
      <c r="CZ379" s="361">
        <v>576076.24</v>
      </c>
      <c r="DA379" s="361">
        <v>344425.6</v>
      </c>
      <c r="DB379" s="361">
        <v>336511.44</v>
      </c>
      <c r="DC379" s="361">
        <v>208074.48</v>
      </c>
      <c r="DD379" s="361">
        <v>0</v>
      </c>
      <c r="DE379" s="361">
        <v>395349.84</v>
      </c>
      <c r="DF379" s="361">
        <v>250234.88</v>
      </c>
      <c r="DG379" s="361">
        <v>459147.8</v>
      </c>
      <c r="DH379" s="361"/>
      <c r="DI379" s="361"/>
      <c r="DJ379" s="361"/>
      <c r="DK379" s="378"/>
    </row>
    <row r="380" spans="1:115" ht="13">
      <c r="A380" s="294"/>
      <c r="B380" s="294"/>
      <c r="F380" s="296"/>
      <c r="J380" s="302"/>
      <c r="AO380" s="1210"/>
      <c r="CP380" s="294"/>
      <c r="CU380" s="666">
        <v>24</v>
      </c>
      <c r="CV380" s="359" t="s">
        <v>1182</v>
      </c>
      <c r="CW380" s="361">
        <v>3204640.93</v>
      </c>
      <c r="CX380" s="361">
        <v>378145.37</v>
      </c>
      <c r="CY380" s="361">
        <v>195279.83</v>
      </c>
      <c r="CZ380" s="361">
        <v>0</v>
      </c>
      <c r="DA380" s="361">
        <v>345316.91</v>
      </c>
      <c r="DB380" s="361">
        <v>232720.67</v>
      </c>
      <c r="DC380" s="361">
        <v>414509.32</v>
      </c>
      <c r="DD380" s="361">
        <v>416720.82</v>
      </c>
      <c r="DE380" s="361">
        <v>425405.11</v>
      </c>
      <c r="DF380" s="361">
        <v>0</v>
      </c>
      <c r="DG380" s="361">
        <v>796542.9</v>
      </c>
      <c r="DH380" s="361"/>
      <c r="DI380" s="361"/>
      <c r="DJ380" s="361"/>
      <c r="DK380" s="378"/>
    </row>
    <row r="381" spans="1:115" ht="13">
      <c r="A381" s="294"/>
      <c r="B381" s="294"/>
      <c r="F381" s="296"/>
      <c r="J381" s="302"/>
      <c r="AO381" s="1210"/>
      <c r="CP381" s="294"/>
      <c r="CU381" s="666">
        <v>25</v>
      </c>
      <c r="CV381" s="359" t="s">
        <v>1214</v>
      </c>
      <c r="CW381" s="361">
        <v>3169862.73</v>
      </c>
      <c r="CX381" s="361">
        <v>151388.04999999999</v>
      </c>
      <c r="CY381" s="361">
        <v>412876.33</v>
      </c>
      <c r="CZ381" s="361">
        <v>320629.36</v>
      </c>
      <c r="DA381" s="361">
        <v>396615.1</v>
      </c>
      <c r="DB381" s="361">
        <v>391671.47</v>
      </c>
      <c r="DC381" s="361">
        <v>249538.56</v>
      </c>
      <c r="DD381" s="361">
        <v>407661.03</v>
      </c>
      <c r="DE381" s="361">
        <v>441543.42</v>
      </c>
      <c r="DF381" s="361">
        <v>265327.65999999997</v>
      </c>
      <c r="DG381" s="361">
        <v>132611.76</v>
      </c>
      <c r="DH381" s="365"/>
      <c r="DI381" s="365"/>
      <c r="DJ381" s="365"/>
      <c r="DK381" s="379"/>
    </row>
    <row r="382" spans="1:115" ht="13">
      <c r="A382" s="294"/>
      <c r="B382" s="294"/>
      <c r="F382" s="296"/>
      <c r="J382" s="302"/>
      <c r="AO382" s="1210"/>
      <c r="CP382" s="294"/>
      <c r="CU382" s="666">
        <v>26</v>
      </c>
      <c r="CV382" s="359" t="s">
        <v>1199</v>
      </c>
      <c r="CW382" s="361">
        <v>3066087.23</v>
      </c>
      <c r="CX382" s="361">
        <v>486661.66</v>
      </c>
      <c r="CY382" s="361">
        <v>382481.84</v>
      </c>
      <c r="CZ382" s="361">
        <v>262287.2</v>
      </c>
      <c r="DA382" s="361">
        <v>127486.48</v>
      </c>
      <c r="DB382" s="361">
        <v>261143.28</v>
      </c>
      <c r="DC382" s="361">
        <v>313125.05</v>
      </c>
      <c r="DD382" s="361">
        <v>350765.2</v>
      </c>
      <c r="DE382" s="361">
        <v>321612.08</v>
      </c>
      <c r="DF382" s="361">
        <v>341394.16</v>
      </c>
      <c r="DG382" s="361">
        <v>219130.28</v>
      </c>
      <c r="DH382" s="361"/>
      <c r="DI382" s="361"/>
      <c r="DJ382" s="361"/>
      <c r="DK382" s="378"/>
    </row>
    <row r="383" spans="1:115" ht="13">
      <c r="A383" s="294"/>
      <c r="B383" s="294"/>
      <c r="F383" s="296"/>
      <c r="J383" s="302"/>
      <c r="AO383" s="1210"/>
      <c r="CP383" s="294"/>
      <c r="CU383" s="666">
        <v>27</v>
      </c>
      <c r="CV383" s="359" t="s">
        <v>1166</v>
      </c>
      <c r="CW383" s="361">
        <v>2843173.16</v>
      </c>
      <c r="CX383" s="352">
        <v>419076.16</v>
      </c>
      <c r="CY383" s="361">
        <v>475124.64</v>
      </c>
      <c r="CZ383" s="361">
        <v>216273.28</v>
      </c>
      <c r="DA383" s="361">
        <v>227033.44</v>
      </c>
      <c r="DB383" s="361">
        <v>341435.04</v>
      </c>
      <c r="DC383" s="361">
        <v>267402.08</v>
      </c>
      <c r="DD383" s="361">
        <v>53882.64</v>
      </c>
      <c r="DE383" s="361">
        <v>374838.16</v>
      </c>
      <c r="DF383" s="361">
        <v>234762.08</v>
      </c>
      <c r="DG383" s="361">
        <v>233345.64</v>
      </c>
      <c r="DH383" s="361"/>
      <c r="DI383" s="361"/>
      <c r="DJ383" s="361"/>
      <c r="DK383" s="378"/>
    </row>
    <row r="384" spans="1:115" ht="13">
      <c r="A384" s="294"/>
      <c r="B384" s="294"/>
      <c r="F384" s="296"/>
      <c r="J384" s="302"/>
      <c r="AO384" s="1210"/>
      <c r="CP384" s="294"/>
      <c r="CU384" s="666">
        <v>28</v>
      </c>
      <c r="CV384" s="359" t="s">
        <v>1173</v>
      </c>
      <c r="CW384" s="361">
        <v>2829539.53</v>
      </c>
      <c r="CX384" s="361">
        <v>422437.2</v>
      </c>
      <c r="CY384" s="361">
        <v>407921.46</v>
      </c>
      <c r="CZ384" s="361">
        <v>315515.77</v>
      </c>
      <c r="DA384" s="361">
        <v>93016.07</v>
      </c>
      <c r="DB384" s="361">
        <v>271952.62</v>
      </c>
      <c r="DC384" s="361">
        <v>217862.42</v>
      </c>
      <c r="DD384" s="361">
        <v>125074.2</v>
      </c>
      <c r="DE384" s="361">
        <v>181857.23</v>
      </c>
      <c r="DF384" s="361">
        <v>385250.73</v>
      </c>
      <c r="DG384" s="361">
        <v>408651.83</v>
      </c>
      <c r="DH384" s="361"/>
      <c r="DI384" s="361"/>
      <c r="DJ384" s="361"/>
      <c r="DK384" s="378"/>
    </row>
    <row r="385" spans="1:115" ht="13">
      <c r="A385" s="294"/>
      <c r="B385" s="294"/>
      <c r="F385" s="296"/>
      <c r="J385" s="302"/>
      <c r="AO385" s="1210"/>
      <c r="CP385" s="294"/>
      <c r="CU385" s="666">
        <v>29</v>
      </c>
      <c r="CV385" s="359" t="s">
        <v>1241</v>
      </c>
      <c r="CW385" s="361">
        <v>2606147.0699999998</v>
      </c>
      <c r="CX385" s="352">
        <v>152270.39999999999</v>
      </c>
      <c r="CY385" s="361">
        <v>129812.32</v>
      </c>
      <c r="CZ385" s="361">
        <v>280497.61</v>
      </c>
      <c r="DA385" s="361">
        <v>295067.92</v>
      </c>
      <c r="DB385" s="361">
        <v>325929.68</v>
      </c>
      <c r="DC385" s="361">
        <v>211618.24</v>
      </c>
      <c r="DD385" s="361">
        <v>271016.48</v>
      </c>
      <c r="DE385" s="361">
        <v>204442.98</v>
      </c>
      <c r="DF385" s="361">
        <v>313773.31</v>
      </c>
      <c r="DG385" s="361">
        <v>421718.13</v>
      </c>
      <c r="DH385" s="365"/>
      <c r="DI385" s="365"/>
      <c r="DJ385" s="365"/>
      <c r="DK385" s="379"/>
    </row>
    <row r="386" spans="1:115" ht="13">
      <c r="A386" s="294"/>
      <c r="B386" s="294"/>
      <c r="F386" s="296"/>
      <c r="J386" s="302"/>
      <c r="AO386" s="1210"/>
      <c r="CP386" s="294"/>
      <c r="CU386" s="666">
        <v>30</v>
      </c>
      <c r="CV386" s="359" t="s">
        <v>1132</v>
      </c>
      <c r="CW386" s="361">
        <v>2543927.39</v>
      </c>
      <c r="CX386" s="361">
        <v>181705.26</v>
      </c>
      <c r="CY386" s="361">
        <v>218873.84</v>
      </c>
      <c r="CZ386" s="361">
        <v>179627.14</v>
      </c>
      <c r="DA386" s="361">
        <v>42375.360000000001</v>
      </c>
      <c r="DB386" s="361">
        <v>234101.92</v>
      </c>
      <c r="DC386" s="361">
        <v>272575.8</v>
      </c>
      <c r="DD386" s="361">
        <v>320247.14</v>
      </c>
      <c r="DE386" s="361">
        <v>338650.18</v>
      </c>
      <c r="DF386" s="361">
        <v>398659.64</v>
      </c>
      <c r="DG386" s="361">
        <v>357111.12</v>
      </c>
      <c r="DH386" s="361"/>
      <c r="DI386" s="361"/>
      <c r="DJ386" s="361"/>
      <c r="DK386" s="378"/>
    </row>
    <row r="387" spans="1:115" ht="13">
      <c r="A387" s="294"/>
      <c r="B387" s="294"/>
      <c r="F387" s="296"/>
      <c r="J387" s="302"/>
      <c r="AO387" s="1210"/>
      <c r="CP387" s="294"/>
      <c r="CU387" s="666">
        <v>31</v>
      </c>
      <c r="CV387" s="359" t="s">
        <v>1201</v>
      </c>
      <c r="CW387" s="361">
        <v>2337729.08</v>
      </c>
      <c r="CX387" s="361">
        <v>200029.52</v>
      </c>
      <c r="CY387" s="361">
        <v>154594.14000000001</v>
      </c>
      <c r="CZ387" s="361">
        <v>244435.28</v>
      </c>
      <c r="DA387" s="361">
        <v>106450.56</v>
      </c>
      <c r="DB387" s="361">
        <v>151087.64000000001</v>
      </c>
      <c r="DC387" s="361">
        <v>366385.97</v>
      </c>
      <c r="DD387" s="361">
        <v>241782.16</v>
      </c>
      <c r="DE387" s="361">
        <v>184398.4</v>
      </c>
      <c r="DF387" s="361">
        <v>106880.48</v>
      </c>
      <c r="DG387" s="361">
        <v>581684.93000000005</v>
      </c>
      <c r="DH387" s="361"/>
      <c r="DI387" s="361"/>
      <c r="DJ387" s="361"/>
      <c r="DK387" s="378"/>
    </row>
    <row r="388" spans="1:115" ht="13">
      <c r="A388" s="294"/>
      <c r="B388" s="294"/>
      <c r="F388" s="296"/>
      <c r="J388" s="302"/>
      <c r="AO388" s="1210"/>
      <c r="CP388" s="294"/>
      <c r="CU388" s="666">
        <v>32</v>
      </c>
      <c r="CV388" s="359" t="s">
        <v>1203</v>
      </c>
      <c r="CW388" s="361">
        <v>2260383.08</v>
      </c>
      <c r="CX388" s="361">
        <v>70424.800000000003</v>
      </c>
      <c r="CY388" s="361">
        <v>96333.28</v>
      </c>
      <c r="CZ388" s="361">
        <v>195436.35</v>
      </c>
      <c r="DA388" s="361">
        <v>396911.35999999999</v>
      </c>
      <c r="DB388" s="361">
        <v>356250.72</v>
      </c>
      <c r="DC388" s="361">
        <v>340063.52</v>
      </c>
      <c r="DD388" s="361">
        <v>259761.4</v>
      </c>
      <c r="DE388" s="361">
        <v>216425.28</v>
      </c>
      <c r="DF388" s="361">
        <v>182902.33</v>
      </c>
      <c r="DG388" s="361">
        <v>145874.04</v>
      </c>
      <c r="DH388" s="361"/>
      <c r="DI388" s="361"/>
      <c r="DJ388" s="361"/>
      <c r="DK388" s="378"/>
    </row>
    <row r="389" spans="1:115" ht="13">
      <c r="A389" s="294"/>
      <c r="B389" s="294"/>
      <c r="F389" s="296"/>
      <c r="J389" s="302"/>
      <c r="AO389" s="1210"/>
      <c r="CP389" s="294"/>
      <c r="CU389" s="666">
        <v>33</v>
      </c>
      <c r="CV389" s="359" t="s">
        <v>1217</v>
      </c>
      <c r="CW389" s="361">
        <v>1993502.26</v>
      </c>
      <c r="CX389" s="361">
        <v>129375.97</v>
      </c>
      <c r="CY389" s="361">
        <v>0</v>
      </c>
      <c r="CZ389" s="361">
        <v>0</v>
      </c>
      <c r="DA389" s="361">
        <v>101305.52</v>
      </c>
      <c r="DB389" s="361">
        <v>282054.32</v>
      </c>
      <c r="DC389" s="361">
        <v>385630.61</v>
      </c>
      <c r="DD389" s="361">
        <v>134869.93</v>
      </c>
      <c r="DE389" s="361">
        <v>271904.59000000003</v>
      </c>
      <c r="DF389" s="361">
        <v>183018.06</v>
      </c>
      <c r="DG389" s="361">
        <v>505343.26</v>
      </c>
      <c r="DH389" s="365"/>
      <c r="DI389" s="365"/>
      <c r="DJ389" s="365"/>
      <c r="DK389" s="379"/>
    </row>
    <row r="390" spans="1:115" ht="13">
      <c r="A390" s="294"/>
      <c r="B390" s="294"/>
      <c r="F390" s="296"/>
      <c r="J390" s="302"/>
      <c r="AO390" s="1210"/>
      <c r="CP390" s="294"/>
      <c r="CU390" s="666">
        <v>34</v>
      </c>
      <c r="CV390" s="359" t="s">
        <v>1165</v>
      </c>
      <c r="CW390" s="361">
        <v>1965860.96</v>
      </c>
      <c r="CX390" s="361">
        <v>124026.32</v>
      </c>
      <c r="CY390" s="361">
        <v>110401.52</v>
      </c>
      <c r="CZ390" s="361">
        <v>209526.16</v>
      </c>
      <c r="DA390" s="361">
        <v>336783.92</v>
      </c>
      <c r="DB390" s="361">
        <v>162068.24</v>
      </c>
      <c r="DC390" s="361">
        <v>200899.04</v>
      </c>
      <c r="DD390" s="361">
        <v>274055.36</v>
      </c>
      <c r="DE390" s="361">
        <v>236252.56</v>
      </c>
      <c r="DF390" s="361">
        <v>289743.52</v>
      </c>
      <c r="DG390" s="361">
        <v>22104.32</v>
      </c>
      <c r="DH390" s="361"/>
      <c r="DI390" s="361"/>
      <c r="DJ390" s="361"/>
      <c r="DK390" s="378"/>
    </row>
    <row r="391" spans="1:115" ht="13">
      <c r="A391" s="294"/>
      <c r="B391" s="294"/>
      <c r="F391" s="296"/>
      <c r="J391" s="302"/>
      <c r="AO391" s="1210"/>
      <c r="CP391" s="294"/>
      <c r="CU391" s="666">
        <v>35</v>
      </c>
      <c r="CV391" s="359" t="s">
        <v>1234</v>
      </c>
      <c r="CW391" s="361">
        <v>1442362.44</v>
      </c>
      <c r="CX391" s="361">
        <v>225567.35999999999</v>
      </c>
      <c r="CY391" s="361">
        <v>0</v>
      </c>
      <c r="CZ391" s="361">
        <v>117025.60000000001</v>
      </c>
      <c r="DA391" s="361">
        <v>121368.96000000001</v>
      </c>
      <c r="DB391" s="361">
        <v>211011.52</v>
      </c>
      <c r="DC391" s="361">
        <v>133482.48000000001</v>
      </c>
      <c r="DD391" s="361">
        <v>172673.84</v>
      </c>
      <c r="DE391" s="361">
        <v>300853.52</v>
      </c>
      <c r="DF391" s="361">
        <v>0</v>
      </c>
      <c r="DG391" s="361">
        <v>160379.16</v>
      </c>
      <c r="DH391" s="361"/>
      <c r="DI391" s="361"/>
      <c r="DJ391" s="361"/>
      <c r="DK391" s="378"/>
    </row>
    <row r="392" spans="1:115" ht="13">
      <c r="A392" s="294"/>
      <c r="B392" s="294"/>
      <c r="F392" s="296"/>
      <c r="J392" s="302"/>
      <c r="AO392" s="1210"/>
      <c r="CP392" s="294"/>
      <c r="CU392" s="666">
        <v>36</v>
      </c>
      <c r="CV392" s="359" t="s">
        <v>1168</v>
      </c>
      <c r="CW392" s="361">
        <v>1359029.88</v>
      </c>
      <c r="CX392" s="361">
        <v>0</v>
      </c>
      <c r="CY392" s="361">
        <v>0</v>
      </c>
      <c r="CZ392" s="361">
        <v>221939.68</v>
      </c>
      <c r="DA392" s="361">
        <v>285774.08000000002</v>
      </c>
      <c r="DB392" s="361">
        <v>0</v>
      </c>
      <c r="DC392" s="361">
        <v>148219.51999999999</v>
      </c>
      <c r="DD392" s="361">
        <v>113644.4</v>
      </c>
      <c r="DE392" s="361">
        <v>201574.08</v>
      </c>
      <c r="DF392" s="361">
        <v>292042.48</v>
      </c>
      <c r="DG392" s="361">
        <v>95835.64</v>
      </c>
      <c r="DH392" s="361"/>
      <c r="DI392" s="361"/>
      <c r="DJ392" s="361"/>
      <c r="DK392" s="378"/>
    </row>
    <row r="393" spans="1:115" ht="13">
      <c r="A393" s="294"/>
      <c r="B393" s="294"/>
      <c r="F393" s="296"/>
      <c r="J393" s="302"/>
      <c r="AO393" s="1210"/>
      <c r="CP393" s="294"/>
      <c r="CU393" s="666">
        <v>37</v>
      </c>
      <c r="CV393" s="359" t="s">
        <v>1189</v>
      </c>
      <c r="CW393" s="361">
        <v>1296349.68</v>
      </c>
      <c r="CX393" s="361">
        <v>0</v>
      </c>
      <c r="CY393" s="361">
        <v>0</v>
      </c>
      <c r="CZ393" s="361">
        <v>0</v>
      </c>
      <c r="DA393" s="361">
        <v>0</v>
      </c>
      <c r="DB393" s="361">
        <v>0</v>
      </c>
      <c r="DC393" s="361">
        <v>439863.52</v>
      </c>
      <c r="DD393" s="361">
        <v>289132</v>
      </c>
      <c r="DE393" s="361">
        <v>0</v>
      </c>
      <c r="DF393" s="361">
        <v>498550.24</v>
      </c>
      <c r="DG393" s="361">
        <v>68803.92</v>
      </c>
      <c r="DH393" s="361"/>
      <c r="DI393" s="361"/>
      <c r="DJ393" s="361"/>
      <c r="DK393" s="378"/>
    </row>
    <row r="394" spans="1:115" ht="13">
      <c r="A394" s="294"/>
      <c r="B394" s="294"/>
      <c r="F394" s="296"/>
      <c r="J394" s="302"/>
      <c r="AO394" s="1210"/>
      <c r="CP394" s="294"/>
      <c r="CU394" s="666">
        <v>38</v>
      </c>
      <c r="CV394" s="359" t="s">
        <v>1219</v>
      </c>
      <c r="CW394" s="361">
        <v>1258351.52</v>
      </c>
      <c r="CX394" s="361">
        <v>82716.639999999999</v>
      </c>
      <c r="CY394" s="361">
        <v>128973.55</v>
      </c>
      <c r="CZ394" s="361">
        <v>134393.44</v>
      </c>
      <c r="DA394" s="361">
        <v>89861.37</v>
      </c>
      <c r="DB394" s="361">
        <v>153474.43</v>
      </c>
      <c r="DC394" s="361">
        <v>68230.64</v>
      </c>
      <c r="DD394" s="361">
        <v>41950.96</v>
      </c>
      <c r="DE394" s="361">
        <v>178524.36</v>
      </c>
      <c r="DF394" s="361">
        <v>44702.96</v>
      </c>
      <c r="DG394" s="361">
        <v>335523.17</v>
      </c>
      <c r="DH394" s="361"/>
      <c r="DI394" s="361"/>
      <c r="DJ394" s="361"/>
      <c r="DK394" s="378"/>
    </row>
    <row r="395" spans="1:115" ht="13">
      <c r="A395" s="294"/>
      <c r="B395" s="294"/>
      <c r="F395" s="296"/>
      <c r="J395" s="302"/>
      <c r="AO395" s="1210"/>
      <c r="CP395" s="294"/>
      <c r="CU395" s="666">
        <v>39</v>
      </c>
      <c r="CV395" s="359" t="s">
        <v>1162</v>
      </c>
      <c r="CW395" s="361">
        <v>1244323.77</v>
      </c>
      <c r="CX395" s="361">
        <v>0</v>
      </c>
      <c r="CY395" s="361">
        <v>193406.64</v>
      </c>
      <c r="CZ395" s="361">
        <v>170678.88</v>
      </c>
      <c r="DA395" s="361">
        <v>0</v>
      </c>
      <c r="DB395" s="361">
        <v>153848.48000000001</v>
      </c>
      <c r="DC395" s="361">
        <v>376151.72</v>
      </c>
      <c r="DD395" s="361">
        <v>191370.37</v>
      </c>
      <c r="DE395" s="361">
        <v>0</v>
      </c>
      <c r="DF395" s="361">
        <v>127810.08</v>
      </c>
      <c r="DG395" s="361">
        <v>31057.599999999999</v>
      </c>
      <c r="DH395" s="361"/>
      <c r="DI395" s="361"/>
      <c r="DJ395" s="361"/>
      <c r="DK395" s="378"/>
    </row>
    <row r="396" spans="1:115" ht="13">
      <c r="A396" s="294"/>
      <c r="B396" s="294"/>
      <c r="F396" s="296"/>
      <c r="J396" s="302"/>
      <c r="AO396" s="1210"/>
      <c r="CP396" s="294"/>
      <c r="CU396" s="666">
        <v>40</v>
      </c>
      <c r="CV396" s="359" t="s">
        <v>1239</v>
      </c>
      <c r="CW396" s="361">
        <v>1141727.6000000001</v>
      </c>
      <c r="CX396" s="361">
        <v>140987.6</v>
      </c>
      <c r="CY396" s="361">
        <v>329934.40000000002</v>
      </c>
      <c r="CZ396" s="361">
        <v>670805.6</v>
      </c>
      <c r="DA396" s="361">
        <v>0</v>
      </c>
      <c r="DB396" s="361">
        <v>0</v>
      </c>
      <c r="DC396" s="361">
        <v>0</v>
      </c>
      <c r="DD396" s="361">
        <v>0</v>
      </c>
      <c r="DE396" s="361">
        <v>0</v>
      </c>
      <c r="DF396" s="361">
        <v>0</v>
      </c>
      <c r="DG396" s="361">
        <v>0</v>
      </c>
      <c r="DH396" s="361"/>
      <c r="DI396" s="361"/>
      <c r="DJ396" s="361"/>
      <c r="DK396" s="378"/>
    </row>
    <row r="397" spans="1:115" ht="13">
      <c r="A397" s="294"/>
      <c r="B397" s="294"/>
      <c r="F397" s="296"/>
      <c r="J397" s="302"/>
      <c r="AO397" s="1210"/>
      <c r="CP397" s="294"/>
      <c r="CU397" s="666">
        <v>41</v>
      </c>
      <c r="CV397" s="359" t="s">
        <v>1211</v>
      </c>
      <c r="CW397" s="361">
        <v>1037988.8</v>
      </c>
      <c r="CX397" s="361">
        <v>0</v>
      </c>
      <c r="CY397" s="361">
        <v>264264.8</v>
      </c>
      <c r="CZ397" s="361">
        <v>0</v>
      </c>
      <c r="DA397" s="361">
        <v>186625.6</v>
      </c>
      <c r="DB397" s="361">
        <v>0</v>
      </c>
      <c r="DC397" s="361">
        <v>31057.599999999999</v>
      </c>
      <c r="DD397" s="361">
        <v>344407.6</v>
      </c>
      <c r="DE397" s="361">
        <v>0</v>
      </c>
      <c r="DF397" s="361">
        <v>211633.2</v>
      </c>
      <c r="DG397" s="361">
        <v>0</v>
      </c>
      <c r="DH397" s="361"/>
      <c r="DI397" s="361"/>
      <c r="DJ397" s="361"/>
      <c r="DK397" s="378"/>
    </row>
    <row r="398" spans="1:115" ht="13">
      <c r="A398" s="294"/>
      <c r="B398" s="294"/>
      <c r="F398" s="296"/>
      <c r="J398" s="302"/>
      <c r="AO398" s="1210"/>
      <c r="CP398" s="294"/>
      <c r="CU398" s="666">
        <v>42</v>
      </c>
      <c r="CV398" s="359" t="s">
        <v>1197</v>
      </c>
      <c r="CW398" s="361">
        <v>1031654.58</v>
      </c>
      <c r="CX398" s="361">
        <v>74846.95</v>
      </c>
      <c r="CY398" s="361">
        <v>114013.52</v>
      </c>
      <c r="CZ398" s="361">
        <v>57549.68</v>
      </c>
      <c r="DA398" s="361">
        <v>57549.68</v>
      </c>
      <c r="DB398" s="361">
        <v>186491.04</v>
      </c>
      <c r="DC398" s="361">
        <v>106682.48</v>
      </c>
      <c r="DD398" s="361">
        <v>123980</v>
      </c>
      <c r="DE398" s="361">
        <v>78289.64</v>
      </c>
      <c r="DF398" s="361">
        <v>84653.28</v>
      </c>
      <c r="DG398" s="361">
        <v>147598.31</v>
      </c>
      <c r="DH398" s="361"/>
      <c r="DI398" s="361"/>
      <c r="DJ398" s="361"/>
      <c r="DK398" s="378"/>
    </row>
    <row r="399" spans="1:115" ht="13">
      <c r="A399" s="294"/>
      <c r="B399" s="294"/>
      <c r="F399" s="296"/>
      <c r="J399" s="302"/>
      <c r="AO399" s="1210"/>
      <c r="CP399" s="294"/>
      <c r="CU399" s="666">
        <v>43</v>
      </c>
      <c r="CV399" s="359" t="s">
        <v>1196</v>
      </c>
      <c r="CW399" s="361">
        <v>993987.89</v>
      </c>
      <c r="CX399" s="361">
        <v>161357.04</v>
      </c>
      <c r="CY399" s="361">
        <v>88270.34</v>
      </c>
      <c r="CZ399" s="361">
        <v>105584.4</v>
      </c>
      <c r="DA399" s="361">
        <v>88950.399999999994</v>
      </c>
      <c r="DB399" s="361">
        <v>39191.360000000001</v>
      </c>
      <c r="DC399" s="361">
        <v>64346.879999999997</v>
      </c>
      <c r="DD399" s="361">
        <v>151761.84</v>
      </c>
      <c r="DE399" s="361">
        <v>93033.600000000006</v>
      </c>
      <c r="DF399" s="361">
        <v>147862.96</v>
      </c>
      <c r="DG399" s="361">
        <v>53629.07</v>
      </c>
      <c r="DH399" s="365"/>
      <c r="DI399" s="365"/>
      <c r="DJ399" s="365"/>
      <c r="DK399" s="379"/>
    </row>
    <row r="400" spans="1:115" ht="13">
      <c r="A400" s="294"/>
      <c r="B400" s="294"/>
      <c r="F400" s="296"/>
      <c r="J400" s="302"/>
      <c r="AO400" s="1210"/>
      <c r="CP400" s="294"/>
      <c r="CU400" s="666">
        <v>44</v>
      </c>
      <c r="CV400" s="359" t="s">
        <v>1228</v>
      </c>
      <c r="CW400" s="361">
        <v>960665.21</v>
      </c>
      <c r="CX400" s="361">
        <v>0</v>
      </c>
      <c r="CY400" s="361">
        <v>93443.48</v>
      </c>
      <c r="CZ400" s="361">
        <v>75825.58</v>
      </c>
      <c r="DA400" s="361">
        <v>30205.94</v>
      </c>
      <c r="DB400" s="361">
        <v>105553.87</v>
      </c>
      <c r="DC400" s="361">
        <v>89689.35</v>
      </c>
      <c r="DD400" s="361">
        <v>136583.65</v>
      </c>
      <c r="DE400" s="361">
        <v>114428.79</v>
      </c>
      <c r="DF400" s="361">
        <v>181150.99</v>
      </c>
      <c r="DG400" s="361">
        <v>133783.56</v>
      </c>
      <c r="DH400" s="361"/>
      <c r="DI400" s="361"/>
      <c r="DJ400" s="361"/>
      <c r="DK400" s="378"/>
    </row>
    <row r="401" spans="1:115" ht="13">
      <c r="A401" s="294"/>
      <c r="B401" s="294"/>
      <c r="F401" s="296"/>
      <c r="J401" s="302"/>
      <c r="AO401" s="1210"/>
      <c r="CP401" s="294"/>
      <c r="CU401" s="666">
        <v>45</v>
      </c>
      <c r="CV401" s="359" t="s">
        <v>1198</v>
      </c>
      <c r="CW401" s="361">
        <v>941587.7</v>
      </c>
      <c r="CX401" s="361">
        <v>0</v>
      </c>
      <c r="CY401" s="361">
        <v>0</v>
      </c>
      <c r="CZ401" s="361">
        <v>0</v>
      </c>
      <c r="DA401" s="361">
        <v>77223.199999999997</v>
      </c>
      <c r="DB401" s="361">
        <v>252141.6</v>
      </c>
      <c r="DC401" s="361">
        <v>283016.40000000002</v>
      </c>
      <c r="DD401" s="361">
        <v>45978.400000000001</v>
      </c>
      <c r="DE401" s="361">
        <v>200210.02</v>
      </c>
      <c r="DF401" s="361">
        <v>83018.080000000002</v>
      </c>
      <c r="DG401" s="365">
        <v>0</v>
      </c>
      <c r="DH401" s="365"/>
      <c r="DI401" s="365"/>
      <c r="DJ401" s="365"/>
      <c r="DK401" s="379"/>
    </row>
    <row r="402" spans="1:115" ht="13">
      <c r="A402" s="294"/>
      <c r="B402" s="294"/>
      <c r="F402" s="296"/>
      <c r="J402" s="302"/>
      <c r="AO402" s="1210"/>
      <c r="CP402" s="294"/>
      <c r="CU402" s="666">
        <v>46</v>
      </c>
      <c r="CV402" s="359" t="s">
        <v>1139</v>
      </c>
      <c r="CW402" s="361">
        <v>934477.73</v>
      </c>
      <c r="CX402" s="361">
        <v>39976.720000000001</v>
      </c>
      <c r="CY402" s="361">
        <v>79953.440000000002</v>
      </c>
      <c r="CZ402" s="361">
        <v>0</v>
      </c>
      <c r="DA402" s="361">
        <v>74650.240000000005</v>
      </c>
      <c r="DB402" s="361">
        <v>54076.76</v>
      </c>
      <c r="DC402" s="361">
        <v>125101.44</v>
      </c>
      <c r="DD402" s="361">
        <v>162068.24</v>
      </c>
      <c r="DE402" s="361">
        <v>28248.12</v>
      </c>
      <c r="DF402" s="361">
        <v>84653.28</v>
      </c>
      <c r="DG402" s="361">
        <v>285749.49</v>
      </c>
      <c r="DH402" s="361"/>
      <c r="DI402" s="361"/>
      <c r="DJ402" s="361"/>
      <c r="DK402" s="378"/>
    </row>
    <row r="403" spans="1:115" ht="13">
      <c r="A403" s="294"/>
      <c r="B403" s="294"/>
      <c r="F403" s="296"/>
      <c r="J403" s="302"/>
      <c r="AO403" s="1210"/>
      <c r="CP403" s="294"/>
      <c r="CU403" s="666">
        <v>47</v>
      </c>
      <c r="CV403" s="359" t="s">
        <v>1235</v>
      </c>
      <c r="CW403" s="361">
        <v>883364.48</v>
      </c>
      <c r="CX403" s="361">
        <v>0</v>
      </c>
      <c r="CY403" s="361">
        <v>0</v>
      </c>
      <c r="CZ403" s="361">
        <v>95830.720000000001</v>
      </c>
      <c r="DA403" s="361">
        <v>0</v>
      </c>
      <c r="DB403" s="361">
        <v>212288.32</v>
      </c>
      <c r="DC403" s="361">
        <v>0</v>
      </c>
      <c r="DD403" s="361">
        <v>242965.92</v>
      </c>
      <c r="DE403" s="361">
        <v>0</v>
      </c>
      <c r="DF403" s="361">
        <v>150933.12</v>
      </c>
      <c r="DG403" s="361">
        <v>181346.4</v>
      </c>
      <c r="DH403" s="361"/>
      <c r="DI403" s="361"/>
      <c r="DJ403" s="361"/>
      <c r="DK403" s="378"/>
    </row>
    <row r="404" spans="1:115" ht="13">
      <c r="A404" s="294"/>
      <c r="B404" s="294"/>
      <c r="F404" s="296"/>
      <c r="J404" s="302"/>
      <c r="AO404" s="1210"/>
      <c r="CP404" s="294"/>
      <c r="CU404" s="666">
        <v>48</v>
      </c>
      <c r="CV404" s="359" t="s">
        <v>1242</v>
      </c>
      <c r="CW404" s="361">
        <v>833951.95</v>
      </c>
      <c r="CX404" s="361">
        <v>289193.92</v>
      </c>
      <c r="CY404" s="361">
        <v>0</v>
      </c>
      <c r="CZ404" s="361">
        <v>0</v>
      </c>
      <c r="DA404" s="361">
        <v>114095.52</v>
      </c>
      <c r="DB404" s="361">
        <v>0</v>
      </c>
      <c r="DC404" s="361">
        <v>0</v>
      </c>
      <c r="DD404" s="361">
        <v>217520.56</v>
      </c>
      <c r="DE404" s="361">
        <v>0</v>
      </c>
      <c r="DF404" s="361">
        <v>144599.04000000001</v>
      </c>
      <c r="DG404" s="361">
        <v>68542.91</v>
      </c>
      <c r="DH404" s="361"/>
      <c r="DI404" s="361"/>
      <c r="DJ404" s="361"/>
      <c r="DK404" s="378"/>
    </row>
    <row r="405" spans="1:115" ht="13">
      <c r="A405" s="294"/>
      <c r="B405" s="294"/>
      <c r="F405" s="296"/>
      <c r="J405" s="302"/>
      <c r="AO405" s="1210"/>
      <c r="CP405" s="294"/>
      <c r="CU405" s="666">
        <v>49</v>
      </c>
      <c r="CV405" s="359" t="s">
        <v>1215</v>
      </c>
      <c r="CW405" s="361">
        <v>760378.08</v>
      </c>
      <c r="CX405" s="361">
        <v>162631.12</v>
      </c>
      <c r="CY405" s="361">
        <v>0</v>
      </c>
      <c r="CZ405" s="361">
        <v>0</v>
      </c>
      <c r="DA405" s="361">
        <v>109222.08</v>
      </c>
      <c r="DB405" s="361">
        <v>175472.8</v>
      </c>
      <c r="DC405" s="361">
        <v>0</v>
      </c>
      <c r="DD405" s="361">
        <v>184872.4</v>
      </c>
      <c r="DE405" s="361">
        <v>128179.68</v>
      </c>
      <c r="DF405" s="361">
        <v>0</v>
      </c>
      <c r="DG405" s="361">
        <v>0</v>
      </c>
      <c r="DH405" s="361"/>
      <c r="DI405" s="361"/>
      <c r="DJ405" s="361"/>
      <c r="DK405" s="378"/>
    </row>
    <row r="406" spans="1:115" ht="13">
      <c r="A406" s="294"/>
      <c r="B406" s="294"/>
      <c r="F406" s="296"/>
      <c r="J406" s="302"/>
      <c r="AO406" s="1210"/>
      <c r="CP406" s="294"/>
      <c r="CU406" s="666">
        <v>50</v>
      </c>
      <c r="CV406" s="359" t="s">
        <v>1223</v>
      </c>
      <c r="CW406" s="361">
        <v>731377.61</v>
      </c>
      <c r="CX406" s="361">
        <v>13200</v>
      </c>
      <c r="CY406" s="361">
        <v>0</v>
      </c>
      <c r="CZ406" s="361">
        <v>97529.34</v>
      </c>
      <c r="DA406" s="361">
        <v>0</v>
      </c>
      <c r="DB406" s="361">
        <v>143794.35999999999</v>
      </c>
      <c r="DC406" s="361">
        <v>31523.39</v>
      </c>
      <c r="DD406" s="361">
        <v>141379.41</v>
      </c>
      <c r="DE406" s="361">
        <v>232361.96</v>
      </c>
      <c r="DF406" s="361">
        <v>0</v>
      </c>
      <c r="DG406" s="361">
        <v>71589.149999999994</v>
      </c>
      <c r="DH406" s="361"/>
      <c r="DI406" s="361"/>
      <c r="DJ406" s="361"/>
      <c r="DK406" s="378"/>
    </row>
    <row r="407" spans="1:115" ht="13">
      <c r="A407" s="294"/>
      <c r="B407" s="294"/>
      <c r="F407" s="296"/>
      <c r="J407" s="302"/>
      <c r="AO407" s="1210"/>
      <c r="CP407" s="294"/>
      <c r="CU407" s="666">
        <v>51</v>
      </c>
      <c r="CV407" s="359" t="s">
        <v>1213</v>
      </c>
      <c r="CW407" s="361">
        <v>710414.75</v>
      </c>
      <c r="CX407" s="361">
        <v>104551.44</v>
      </c>
      <c r="CY407" s="361">
        <v>134978.79999999999</v>
      </c>
      <c r="CZ407" s="361">
        <v>33423.360000000001</v>
      </c>
      <c r="DA407" s="361">
        <v>26353.279999999999</v>
      </c>
      <c r="DB407" s="361">
        <v>92956.67</v>
      </c>
      <c r="DC407" s="361">
        <v>43268.56</v>
      </c>
      <c r="DD407" s="361">
        <v>27670.959999999999</v>
      </c>
      <c r="DE407" s="361">
        <v>105276.16</v>
      </c>
      <c r="DF407" s="361">
        <v>84723.6</v>
      </c>
      <c r="DG407" s="361">
        <v>57211.92</v>
      </c>
      <c r="DH407" s="365"/>
      <c r="DI407" s="365"/>
      <c r="DJ407" s="365"/>
      <c r="DK407" s="379"/>
    </row>
    <row r="408" spans="1:115" ht="13">
      <c r="A408" s="294"/>
      <c r="B408" s="294"/>
      <c r="F408" s="296"/>
      <c r="J408" s="302"/>
      <c r="AO408" s="1210"/>
      <c r="CP408" s="294"/>
      <c r="CU408" s="666">
        <v>52</v>
      </c>
      <c r="CV408" s="359" t="s">
        <v>1178</v>
      </c>
      <c r="CW408" s="361">
        <v>648884.27</v>
      </c>
      <c r="CX408" s="361">
        <v>0</v>
      </c>
      <c r="CY408" s="361">
        <v>189268.62</v>
      </c>
      <c r="CZ408" s="361">
        <v>0</v>
      </c>
      <c r="DA408" s="361">
        <v>174234</v>
      </c>
      <c r="DB408" s="361">
        <v>31543.94</v>
      </c>
      <c r="DC408" s="361">
        <v>44494.16</v>
      </c>
      <c r="DD408" s="361">
        <v>134621.44</v>
      </c>
      <c r="DE408" s="361">
        <v>0</v>
      </c>
      <c r="DF408" s="361">
        <v>42326.64</v>
      </c>
      <c r="DG408" s="361">
        <v>32395.47</v>
      </c>
      <c r="DH408" s="361"/>
      <c r="DI408" s="361"/>
      <c r="DJ408" s="361"/>
      <c r="DK408" s="378"/>
    </row>
    <row r="409" spans="1:115" ht="13">
      <c r="A409" s="294"/>
      <c r="B409" s="294"/>
      <c r="F409" s="296"/>
      <c r="J409" s="302"/>
      <c r="AO409" s="1210"/>
      <c r="CP409" s="294"/>
      <c r="CU409" s="666">
        <v>53</v>
      </c>
      <c r="CV409" s="359" t="s">
        <v>1172</v>
      </c>
      <c r="CW409" s="361">
        <v>552554.42000000004</v>
      </c>
      <c r="CX409" s="361">
        <v>137542.07999999999</v>
      </c>
      <c r="CY409" s="361">
        <v>0</v>
      </c>
      <c r="CZ409" s="361">
        <v>0</v>
      </c>
      <c r="DA409" s="361">
        <v>161242.28</v>
      </c>
      <c r="DB409" s="361">
        <v>0</v>
      </c>
      <c r="DC409" s="361">
        <v>0</v>
      </c>
      <c r="DD409" s="361">
        <v>0</v>
      </c>
      <c r="DE409" s="361">
        <v>189155.28</v>
      </c>
      <c r="DF409" s="361">
        <v>64614.78</v>
      </c>
      <c r="DG409" s="361">
        <v>0</v>
      </c>
      <c r="DH409" s="361"/>
      <c r="DI409" s="361"/>
      <c r="DJ409" s="361"/>
      <c r="DK409" s="378"/>
    </row>
    <row r="410" spans="1:115" ht="13">
      <c r="A410" s="294"/>
      <c r="B410" s="294"/>
      <c r="F410" s="296"/>
      <c r="J410" s="302"/>
      <c r="AO410" s="1210"/>
      <c r="CP410" s="294"/>
      <c r="CU410" s="666">
        <v>54</v>
      </c>
      <c r="CV410" s="359" t="s">
        <v>1238</v>
      </c>
      <c r="CW410" s="361">
        <v>516861.19</v>
      </c>
      <c r="CX410" s="361">
        <v>0</v>
      </c>
      <c r="CY410" s="361">
        <v>0</v>
      </c>
      <c r="CZ410" s="361">
        <v>0</v>
      </c>
      <c r="DA410" s="361">
        <v>0</v>
      </c>
      <c r="DB410" s="361">
        <v>0</v>
      </c>
      <c r="DC410" s="361">
        <v>0</v>
      </c>
      <c r="DD410" s="361">
        <v>0</v>
      </c>
      <c r="DE410" s="361">
        <v>62978.69</v>
      </c>
      <c r="DF410" s="361">
        <v>256438.95</v>
      </c>
      <c r="DG410" s="361">
        <v>197443.55</v>
      </c>
      <c r="DH410" s="361"/>
      <c r="DI410" s="361"/>
      <c r="DJ410" s="361"/>
      <c r="DK410" s="378"/>
    </row>
    <row r="411" spans="1:115" ht="13">
      <c r="A411" s="294"/>
      <c r="B411" s="294"/>
      <c r="F411" s="296"/>
      <c r="J411" s="302"/>
      <c r="AO411" s="1210"/>
      <c r="CP411" s="294"/>
      <c r="CU411" s="666">
        <v>55</v>
      </c>
      <c r="CV411" s="359" t="s">
        <v>1218</v>
      </c>
      <c r="CW411" s="361">
        <v>490450.48</v>
      </c>
      <c r="CX411" s="361">
        <v>52852.959999999999</v>
      </c>
      <c r="CY411" s="361">
        <v>26426.48</v>
      </c>
      <c r="CZ411" s="361">
        <v>28276.400000000001</v>
      </c>
      <c r="DA411" s="361">
        <v>0</v>
      </c>
      <c r="DB411" s="361">
        <v>93398.399999999994</v>
      </c>
      <c r="DC411" s="361">
        <v>36745.760000000002</v>
      </c>
      <c r="DD411" s="361">
        <v>64966.09</v>
      </c>
      <c r="DE411" s="361">
        <v>64966.09</v>
      </c>
      <c r="DF411" s="361">
        <v>32065.360000000001</v>
      </c>
      <c r="DG411" s="361">
        <v>90752.94</v>
      </c>
      <c r="DH411" s="365"/>
      <c r="DI411" s="365"/>
      <c r="DJ411" s="365"/>
      <c r="DK411" s="379"/>
    </row>
    <row r="412" spans="1:115" ht="13">
      <c r="A412" s="294"/>
      <c r="B412" s="294"/>
      <c r="F412" s="296"/>
      <c r="J412" s="302"/>
      <c r="AO412" s="1210"/>
      <c r="CP412" s="294"/>
      <c r="CU412" s="666">
        <v>56</v>
      </c>
      <c r="CV412" s="359" t="s">
        <v>1142</v>
      </c>
      <c r="CW412" s="361">
        <v>455979.65</v>
      </c>
      <c r="CX412" s="361">
        <v>41576.959999999999</v>
      </c>
      <c r="CY412" s="361">
        <v>0</v>
      </c>
      <c r="CZ412" s="361">
        <v>50561.78</v>
      </c>
      <c r="DA412" s="361">
        <v>78790.61</v>
      </c>
      <c r="DB412" s="361">
        <v>87311.6</v>
      </c>
      <c r="DC412" s="361">
        <v>70200.789999999994</v>
      </c>
      <c r="DD412" s="361">
        <v>70200.789999999994</v>
      </c>
      <c r="DE412" s="361">
        <v>0</v>
      </c>
      <c r="DF412" s="361">
        <v>57337.120000000003</v>
      </c>
      <c r="DG412" s="361">
        <v>0</v>
      </c>
      <c r="DH412" s="365"/>
      <c r="DI412" s="365"/>
      <c r="DJ412" s="365"/>
      <c r="DK412" s="379"/>
    </row>
    <row r="413" spans="1:115" ht="13">
      <c r="A413" s="294"/>
      <c r="B413" s="294"/>
      <c r="F413" s="296"/>
      <c r="J413" s="302"/>
      <c r="AO413" s="1210"/>
      <c r="CP413" s="294"/>
      <c r="CU413" s="1241">
        <v>57</v>
      </c>
      <c r="CV413" s="359" t="s">
        <v>1188</v>
      </c>
      <c r="CW413" s="361">
        <v>373876.67</v>
      </c>
      <c r="CX413" s="361">
        <v>65881.100000000006</v>
      </c>
      <c r="CY413" s="361">
        <v>209456.45</v>
      </c>
      <c r="CZ413" s="361">
        <v>98539.12</v>
      </c>
      <c r="DA413" s="361">
        <v>0</v>
      </c>
      <c r="DB413" s="361">
        <v>0</v>
      </c>
      <c r="DC413" s="361">
        <v>0</v>
      </c>
      <c r="DD413" s="361">
        <v>0</v>
      </c>
      <c r="DE413" s="361">
        <v>0</v>
      </c>
      <c r="DF413" s="361">
        <v>0</v>
      </c>
      <c r="DG413" s="361">
        <v>0</v>
      </c>
      <c r="DH413" s="361"/>
      <c r="DI413" s="361"/>
      <c r="DJ413" s="361"/>
      <c r="DK413" s="378"/>
    </row>
    <row r="414" spans="1:115" ht="13">
      <c r="A414" s="294"/>
      <c r="B414" s="294"/>
      <c r="F414" s="296"/>
      <c r="J414" s="302"/>
      <c r="AO414" s="1210"/>
      <c r="CP414" s="294"/>
      <c r="CU414" s="666">
        <v>58</v>
      </c>
      <c r="CV414" s="359" t="s">
        <v>1190</v>
      </c>
      <c r="CW414" s="361">
        <v>332827.44</v>
      </c>
      <c r="CX414" s="361">
        <v>0</v>
      </c>
      <c r="CY414" s="361">
        <v>176062</v>
      </c>
      <c r="CZ414" s="361">
        <v>0</v>
      </c>
      <c r="DA414" s="361">
        <v>0</v>
      </c>
      <c r="DB414" s="361">
        <v>156765.44</v>
      </c>
      <c r="DC414" s="361">
        <v>0</v>
      </c>
      <c r="DD414" s="361">
        <v>0</v>
      </c>
      <c r="DE414" s="361">
        <v>0</v>
      </c>
      <c r="DF414" s="361">
        <v>0</v>
      </c>
      <c r="DG414" s="361">
        <v>0</v>
      </c>
      <c r="DH414" s="361"/>
      <c r="DI414" s="361"/>
      <c r="DJ414" s="361"/>
      <c r="DK414" s="378"/>
    </row>
    <row r="415" spans="1:115" ht="13">
      <c r="A415" s="294"/>
      <c r="B415" s="294"/>
      <c r="F415" s="296"/>
      <c r="J415" s="302"/>
      <c r="AO415" s="1210"/>
      <c r="CP415" s="294"/>
      <c r="CU415" s="666">
        <v>59</v>
      </c>
      <c r="CV415" s="359" t="s">
        <v>1207</v>
      </c>
      <c r="CW415" s="361">
        <v>329975.5</v>
      </c>
      <c r="CX415" s="361">
        <v>0</v>
      </c>
      <c r="CY415" s="361">
        <v>64085.91</v>
      </c>
      <c r="CZ415" s="361">
        <v>0</v>
      </c>
      <c r="DA415" s="361">
        <v>0</v>
      </c>
      <c r="DB415" s="361">
        <v>0</v>
      </c>
      <c r="DC415" s="361">
        <v>72000.539999999994</v>
      </c>
      <c r="DD415" s="361">
        <v>72000.539999999994</v>
      </c>
      <c r="DE415" s="361">
        <v>0</v>
      </c>
      <c r="DF415" s="361">
        <v>0</v>
      </c>
      <c r="DG415" s="361">
        <v>121888.52</v>
      </c>
      <c r="DH415" s="361"/>
      <c r="DI415" s="361"/>
      <c r="DJ415" s="361"/>
      <c r="DK415" s="378"/>
    </row>
    <row r="416" spans="1:115" ht="13">
      <c r="A416" s="294"/>
      <c r="B416" s="294"/>
      <c r="F416" s="296"/>
      <c r="J416" s="302"/>
      <c r="AO416" s="1210"/>
      <c r="CP416" s="294"/>
      <c r="CU416" s="666">
        <v>60</v>
      </c>
      <c r="CV416" s="359" t="s">
        <v>1205</v>
      </c>
      <c r="CW416" s="361">
        <v>314553.59999999998</v>
      </c>
      <c r="CX416" s="361">
        <v>0</v>
      </c>
      <c r="CY416" s="361">
        <v>165253.12</v>
      </c>
      <c r="CZ416" s="361">
        <v>149300.48000000001</v>
      </c>
      <c r="DA416" s="361">
        <v>0</v>
      </c>
      <c r="DB416" s="361">
        <v>0</v>
      </c>
      <c r="DC416" s="361">
        <v>0</v>
      </c>
      <c r="DD416" s="361">
        <v>0</v>
      </c>
      <c r="DE416" s="361">
        <v>0</v>
      </c>
      <c r="DF416" s="361">
        <v>0</v>
      </c>
      <c r="DG416" s="361">
        <v>0</v>
      </c>
      <c r="DH416" s="361"/>
      <c r="DI416" s="361"/>
      <c r="DJ416" s="361"/>
      <c r="DK416" s="378"/>
    </row>
    <row r="417" spans="1:115" ht="13">
      <c r="A417" s="294"/>
      <c r="B417" s="294"/>
      <c r="F417" s="296"/>
      <c r="J417" s="302"/>
      <c r="AO417" s="1210"/>
      <c r="CP417" s="294"/>
      <c r="CU417" s="666">
        <v>61</v>
      </c>
      <c r="CV417" s="359" t="s">
        <v>1159</v>
      </c>
      <c r="CW417" s="361">
        <v>295331.38</v>
      </c>
      <c r="CX417" s="361">
        <v>148469.54</v>
      </c>
      <c r="CY417" s="361">
        <v>0</v>
      </c>
      <c r="CZ417" s="361">
        <v>0</v>
      </c>
      <c r="DA417" s="361">
        <v>0</v>
      </c>
      <c r="DB417" s="361">
        <v>0</v>
      </c>
      <c r="DC417" s="361">
        <v>0</v>
      </c>
      <c r="DD417" s="361">
        <v>0</v>
      </c>
      <c r="DE417" s="361">
        <v>0</v>
      </c>
      <c r="DF417" s="361">
        <v>146861.84</v>
      </c>
      <c r="DG417" s="361">
        <v>0</v>
      </c>
      <c r="DH417" s="361"/>
      <c r="DI417" s="361"/>
      <c r="DJ417" s="361"/>
      <c r="DK417" s="378"/>
    </row>
    <row r="418" spans="1:115" ht="13">
      <c r="A418" s="294"/>
      <c r="B418" s="294"/>
      <c r="F418" s="296"/>
      <c r="J418" s="302"/>
      <c r="AO418" s="1210"/>
      <c r="CP418" s="294"/>
      <c r="CU418" s="666">
        <v>62</v>
      </c>
      <c r="CV418" s="359" t="s">
        <v>1184</v>
      </c>
      <c r="CW418" s="361">
        <v>253931.81</v>
      </c>
      <c r="CX418" s="361">
        <v>80028.98</v>
      </c>
      <c r="CY418" s="361">
        <v>0</v>
      </c>
      <c r="CZ418" s="361">
        <v>84830.67</v>
      </c>
      <c r="DA418" s="361">
        <v>0</v>
      </c>
      <c r="DB418" s="361">
        <v>89072.16</v>
      </c>
      <c r="DC418" s="361">
        <v>0</v>
      </c>
      <c r="DD418" s="361">
        <v>0</v>
      </c>
      <c r="DE418" s="361">
        <v>0</v>
      </c>
      <c r="DF418" s="361">
        <v>0</v>
      </c>
      <c r="DG418" s="361">
        <v>0</v>
      </c>
      <c r="DH418" s="361"/>
      <c r="DI418" s="361"/>
      <c r="DJ418" s="361"/>
      <c r="DK418" s="378"/>
    </row>
    <row r="419" spans="1:115" ht="13">
      <c r="A419" s="294"/>
      <c r="B419" s="294"/>
      <c r="F419" s="296"/>
      <c r="J419" s="302"/>
      <c r="AO419" s="1210"/>
      <c r="CP419" s="294"/>
      <c r="CU419" s="666">
        <v>63</v>
      </c>
      <c r="CV419" s="359" t="s">
        <v>1232</v>
      </c>
      <c r="CW419" s="361">
        <v>244329.22</v>
      </c>
      <c r="CX419" s="361">
        <v>0</v>
      </c>
      <c r="CY419" s="361">
        <v>0</v>
      </c>
      <c r="CZ419" s="361">
        <v>0</v>
      </c>
      <c r="DA419" s="361">
        <v>0</v>
      </c>
      <c r="DB419" s="361">
        <v>0</v>
      </c>
      <c r="DC419" s="361">
        <v>0</v>
      </c>
      <c r="DD419" s="361">
        <v>0</v>
      </c>
      <c r="DE419" s="361">
        <v>244329.22</v>
      </c>
      <c r="DF419" s="361">
        <v>0</v>
      </c>
      <c r="DG419" s="361">
        <v>0</v>
      </c>
      <c r="DH419" s="361"/>
      <c r="DI419" s="361"/>
      <c r="DJ419" s="361"/>
      <c r="DK419" s="378"/>
    </row>
    <row r="420" spans="1:115" ht="13">
      <c r="A420" s="294"/>
      <c r="B420" s="294"/>
      <c r="F420" s="296"/>
      <c r="J420" s="302"/>
      <c r="AO420" s="1210"/>
      <c r="CP420" s="294"/>
      <c r="CU420" s="666">
        <v>64</v>
      </c>
      <c r="CV420" s="359" t="s">
        <v>1116</v>
      </c>
      <c r="CW420" s="361">
        <v>243684.81</v>
      </c>
      <c r="CX420" s="361">
        <v>0</v>
      </c>
      <c r="CY420" s="361">
        <v>0</v>
      </c>
      <c r="CZ420" s="361">
        <v>0</v>
      </c>
      <c r="DA420" s="365">
        <v>0</v>
      </c>
      <c r="DB420" s="361">
        <v>0</v>
      </c>
      <c r="DC420" s="361">
        <v>0</v>
      </c>
      <c r="DD420" s="361">
        <v>0</v>
      </c>
      <c r="DE420" s="361">
        <v>127847.93</v>
      </c>
      <c r="DF420" s="365">
        <v>0</v>
      </c>
      <c r="DG420" s="361">
        <v>115836.89</v>
      </c>
      <c r="DH420" s="365"/>
      <c r="DI420" s="365"/>
      <c r="DJ420" s="365"/>
      <c r="DK420" s="379"/>
    </row>
    <row r="421" spans="1:115" ht="13">
      <c r="A421" s="294"/>
      <c r="B421" s="294"/>
      <c r="F421" s="296"/>
      <c r="J421" s="302"/>
      <c r="AO421" s="1210"/>
      <c r="CP421" s="294"/>
      <c r="CU421" s="666">
        <v>65</v>
      </c>
      <c r="CV421" s="359" t="s">
        <v>1181</v>
      </c>
      <c r="CW421" s="361">
        <v>240086.95</v>
      </c>
      <c r="CX421" s="361">
        <v>0</v>
      </c>
      <c r="CY421" s="361">
        <v>240086.95</v>
      </c>
      <c r="CZ421" s="361">
        <v>0</v>
      </c>
      <c r="DA421" s="361">
        <v>0</v>
      </c>
      <c r="DB421" s="361">
        <v>0</v>
      </c>
      <c r="DC421" s="361">
        <v>0</v>
      </c>
      <c r="DD421" s="361">
        <v>0</v>
      </c>
      <c r="DE421" s="361">
        <v>0</v>
      </c>
      <c r="DF421" s="361">
        <v>0</v>
      </c>
      <c r="DG421" s="361">
        <v>0</v>
      </c>
      <c r="DH421" s="361"/>
      <c r="DI421" s="361"/>
      <c r="DJ421" s="361"/>
      <c r="DK421" s="378"/>
    </row>
    <row r="422" spans="1:115" ht="13">
      <c r="A422" s="294"/>
      <c r="B422" s="294"/>
      <c r="F422" s="296"/>
      <c r="J422" s="302"/>
      <c r="AO422" s="1210"/>
      <c r="CP422" s="294"/>
      <c r="CU422" s="666">
        <v>66</v>
      </c>
      <c r="CV422" s="359" t="s">
        <v>1152</v>
      </c>
      <c r="CW422" s="361">
        <v>239626.4</v>
      </c>
      <c r="CX422" s="361">
        <v>0</v>
      </c>
      <c r="CY422" s="361">
        <v>0</v>
      </c>
      <c r="CZ422" s="361">
        <v>0</v>
      </c>
      <c r="DA422" s="361">
        <v>0</v>
      </c>
      <c r="DB422" s="361">
        <v>0</v>
      </c>
      <c r="DC422" s="361">
        <v>0</v>
      </c>
      <c r="DD422" s="361">
        <v>0</v>
      </c>
      <c r="DE422" s="361">
        <v>0</v>
      </c>
      <c r="DF422" s="361">
        <v>0</v>
      </c>
      <c r="DG422" s="361">
        <v>239626.4</v>
      </c>
      <c r="DH422" s="361"/>
      <c r="DI422" s="361"/>
      <c r="DJ422" s="361"/>
      <c r="DK422" s="378"/>
    </row>
    <row r="423" spans="1:115" ht="13">
      <c r="A423" s="294"/>
      <c r="B423" s="294"/>
      <c r="F423" s="296"/>
      <c r="J423" s="302"/>
      <c r="AO423" s="1210"/>
      <c r="CP423" s="294"/>
      <c r="CU423" s="666">
        <v>67</v>
      </c>
      <c r="CV423" s="359" t="s">
        <v>1245</v>
      </c>
      <c r="CW423" s="361">
        <v>185117.85</v>
      </c>
      <c r="CX423" s="361">
        <v>0</v>
      </c>
      <c r="CY423" s="361">
        <v>70424.740000000005</v>
      </c>
      <c r="CZ423" s="361">
        <v>56552.74</v>
      </c>
      <c r="DA423" s="361">
        <v>0</v>
      </c>
      <c r="DB423" s="361">
        <v>0</v>
      </c>
      <c r="DC423" s="361">
        <v>18949</v>
      </c>
      <c r="DD423" s="361">
        <v>0</v>
      </c>
      <c r="DE423" s="361">
        <v>0</v>
      </c>
      <c r="DF423" s="361">
        <v>39191.370000000003</v>
      </c>
      <c r="DG423" s="361">
        <v>0</v>
      </c>
      <c r="DH423" s="361"/>
      <c r="DI423" s="361"/>
      <c r="DJ423" s="361"/>
      <c r="DK423" s="378"/>
    </row>
    <row r="424" spans="1:115" ht="13">
      <c r="A424" s="294"/>
      <c r="B424" s="294"/>
      <c r="F424" s="296"/>
      <c r="J424" s="302"/>
      <c r="AO424" s="1210"/>
      <c r="CP424" s="294"/>
      <c r="CU424" s="666">
        <v>68</v>
      </c>
      <c r="CV424" s="359" t="s">
        <v>1183</v>
      </c>
      <c r="CW424" s="361">
        <v>183523.95</v>
      </c>
      <c r="CX424" s="361">
        <v>40014.449999999997</v>
      </c>
      <c r="CY424" s="361">
        <v>0</v>
      </c>
      <c r="CZ424" s="361">
        <v>0</v>
      </c>
      <c r="DA424" s="365">
        <v>0</v>
      </c>
      <c r="DB424" s="361">
        <v>24131.82</v>
      </c>
      <c r="DC424" s="361">
        <v>48263.61</v>
      </c>
      <c r="DD424" s="365">
        <v>0</v>
      </c>
      <c r="DE424" s="361">
        <v>24131.82</v>
      </c>
      <c r="DF424" s="361">
        <v>26062.35</v>
      </c>
      <c r="DG424" s="361">
        <v>20919.900000000001</v>
      </c>
      <c r="DH424" s="365"/>
      <c r="DI424" s="365"/>
      <c r="DJ424" s="365"/>
      <c r="DK424" s="379"/>
    </row>
    <row r="425" spans="1:115" ht="13">
      <c r="A425" s="294"/>
      <c r="B425" s="294"/>
      <c r="F425" s="296"/>
      <c r="J425" s="302"/>
      <c r="AO425" s="1210"/>
      <c r="CP425" s="294"/>
      <c r="CU425" s="666">
        <v>69</v>
      </c>
      <c r="CV425" s="359" t="s">
        <v>1210</v>
      </c>
      <c r="CW425" s="361">
        <v>174757.83</v>
      </c>
      <c r="CX425" s="361">
        <v>0</v>
      </c>
      <c r="CY425" s="361">
        <v>0</v>
      </c>
      <c r="CZ425" s="361">
        <v>0</v>
      </c>
      <c r="DA425" s="361">
        <v>17338.810000000001</v>
      </c>
      <c r="DB425" s="361">
        <v>0</v>
      </c>
      <c r="DC425" s="361">
        <v>0</v>
      </c>
      <c r="DD425" s="361">
        <v>0</v>
      </c>
      <c r="DE425" s="361">
        <v>0</v>
      </c>
      <c r="DF425" s="361">
        <v>0</v>
      </c>
      <c r="DG425" s="361">
        <v>157419.01999999999</v>
      </c>
      <c r="DH425" s="361"/>
      <c r="DI425" s="361"/>
      <c r="DJ425" s="361"/>
      <c r="DK425" s="378"/>
    </row>
    <row r="426" spans="1:115" ht="13">
      <c r="A426" s="294"/>
      <c r="B426" s="294"/>
      <c r="F426" s="296"/>
      <c r="J426" s="302"/>
      <c r="AO426" s="1210"/>
      <c r="CP426" s="294"/>
      <c r="CU426" s="666">
        <v>70</v>
      </c>
      <c r="CV426" s="359" t="s">
        <v>1206</v>
      </c>
      <c r="CW426" s="361">
        <v>160855.65</v>
      </c>
      <c r="CX426" s="361">
        <v>9498.7099999999991</v>
      </c>
      <c r="CY426" s="361">
        <v>28496.13</v>
      </c>
      <c r="CZ426" s="361">
        <v>22982.68</v>
      </c>
      <c r="DA426" s="361">
        <v>44269.1</v>
      </c>
      <c r="DB426" s="361">
        <v>0</v>
      </c>
      <c r="DC426" s="361">
        <v>18536.34</v>
      </c>
      <c r="DD426" s="361">
        <v>18536.34</v>
      </c>
      <c r="DE426" s="361">
        <v>18536.34</v>
      </c>
      <c r="DF426" s="361">
        <v>0</v>
      </c>
      <c r="DG426" s="361">
        <v>0</v>
      </c>
      <c r="DH426" s="361"/>
      <c r="DI426" s="361"/>
      <c r="DJ426" s="361"/>
      <c r="DK426" s="378"/>
    </row>
    <row r="427" spans="1:115" ht="13">
      <c r="A427" s="294"/>
      <c r="B427" s="294"/>
      <c r="F427" s="296"/>
      <c r="J427" s="302"/>
      <c r="AO427" s="1210"/>
      <c r="CP427" s="294"/>
      <c r="CU427" s="666">
        <v>71</v>
      </c>
      <c r="CV427" s="323" t="s">
        <v>1163</v>
      </c>
      <c r="CW427" s="361">
        <v>155882.43</v>
      </c>
      <c r="CX427" s="365">
        <v>0</v>
      </c>
      <c r="CY427" s="361">
        <v>0</v>
      </c>
      <c r="CZ427" s="361">
        <v>0</v>
      </c>
      <c r="DA427" s="361">
        <v>0</v>
      </c>
      <c r="DB427" s="361">
        <v>0</v>
      </c>
      <c r="DC427" s="361">
        <v>0</v>
      </c>
      <c r="DD427" s="361">
        <v>0</v>
      </c>
      <c r="DE427" s="361">
        <v>0</v>
      </c>
      <c r="DF427" s="361">
        <v>0</v>
      </c>
      <c r="DG427" s="361">
        <v>155882.43</v>
      </c>
      <c r="DH427" s="361"/>
      <c r="DI427" s="361"/>
      <c r="DJ427" s="361"/>
      <c r="DK427" s="378"/>
    </row>
    <row r="428" spans="1:115" ht="13">
      <c r="A428" s="294"/>
      <c r="B428" s="294"/>
      <c r="F428" s="296"/>
      <c r="J428" s="302"/>
      <c r="AO428" s="1210"/>
      <c r="CP428" s="294"/>
      <c r="CU428" s="666">
        <v>72</v>
      </c>
      <c r="CV428" s="323" t="s">
        <v>1135</v>
      </c>
      <c r="CW428" s="361">
        <v>139449.91</v>
      </c>
      <c r="CX428" s="361">
        <v>0</v>
      </c>
      <c r="CY428" s="361">
        <v>0</v>
      </c>
      <c r="CZ428" s="361">
        <v>0</v>
      </c>
      <c r="DA428" s="361">
        <v>0</v>
      </c>
      <c r="DB428" s="361">
        <v>0</v>
      </c>
      <c r="DC428" s="361">
        <v>0</v>
      </c>
      <c r="DD428" s="361">
        <v>78382.720000000001</v>
      </c>
      <c r="DE428" s="361">
        <v>0</v>
      </c>
      <c r="DF428" s="361">
        <v>42326.64</v>
      </c>
      <c r="DG428" s="361">
        <v>18740.55</v>
      </c>
      <c r="DH428" s="361"/>
      <c r="DI428" s="361"/>
      <c r="DJ428" s="361"/>
      <c r="DK428" s="378"/>
    </row>
    <row r="429" spans="1:115" ht="13">
      <c r="A429" s="294"/>
      <c r="B429" s="294"/>
      <c r="F429" s="296"/>
      <c r="J429" s="302"/>
      <c r="AO429" s="1210"/>
      <c r="CP429" s="294"/>
      <c r="CU429" s="666">
        <v>73</v>
      </c>
      <c r="CV429" s="359" t="s">
        <v>1220</v>
      </c>
      <c r="CW429" s="361">
        <v>103915.82</v>
      </c>
      <c r="CX429" s="361">
        <v>0</v>
      </c>
      <c r="CY429" s="361">
        <v>0</v>
      </c>
      <c r="CZ429" s="361">
        <v>0</v>
      </c>
      <c r="DA429" s="361">
        <v>0</v>
      </c>
      <c r="DB429" s="361">
        <v>0</v>
      </c>
      <c r="DC429" s="361">
        <v>0</v>
      </c>
      <c r="DD429" s="361">
        <v>0</v>
      </c>
      <c r="DE429" s="361">
        <v>0</v>
      </c>
      <c r="DF429" s="361">
        <v>50456.12</v>
      </c>
      <c r="DG429" s="361">
        <v>53459.7</v>
      </c>
      <c r="DH429" s="361"/>
      <c r="DI429" s="361"/>
      <c r="DJ429" s="361"/>
      <c r="DK429" s="378"/>
    </row>
    <row r="430" spans="1:115" ht="13">
      <c r="A430" s="294"/>
      <c r="B430" s="294"/>
      <c r="F430" s="296"/>
      <c r="J430" s="302"/>
      <c r="AO430" s="1210"/>
      <c r="CP430" s="294"/>
      <c r="CU430" s="666">
        <v>74</v>
      </c>
      <c r="CV430" s="359" t="s">
        <v>1204</v>
      </c>
      <c r="CW430" s="361">
        <v>92208.320000000007</v>
      </c>
      <c r="CX430" s="361">
        <v>0</v>
      </c>
      <c r="CY430" s="361">
        <v>54292.160000000003</v>
      </c>
      <c r="CZ430" s="361">
        <v>0</v>
      </c>
      <c r="DA430" s="365">
        <v>0</v>
      </c>
      <c r="DB430" s="361">
        <v>0</v>
      </c>
      <c r="DC430" s="365">
        <v>0</v>
      </c>
      <c r="DD430" s="361">
        <v>37916.160000000003</v>
      </c>
      <c r="DE430" s="365">
        <v>0</v>
      </c>
      <c r="DF430" s="365">
        <v>0</v>
      </c>
      <c r="DG430" s="365">
        <v>0</v>
      </c>
      <c r="DH430" s="365"/>
      <c r="DI430" s="365"/>
      <c r="DJ430" s="365"/>
      <c r="DK430" s="379"/>
    </row>
    <row r="431" spans="1:115" ht="13">
      <c r="A431" s="294"/>
      <c r="B431" s="294"/>
      <c r="F431" s="296"/>
      <c r="J431" s="302"/>
      <c r="AO431" s="1210"/>
      <c r="CP431" s="294"/>
      <c r="CU431" s="666">
        <v>75</v>
      </c>
      <c r="CV431" s="1173" t="s">
        <v>866</v>
      </c>
      <c r="CW431" s="361">
        <v>71024.25</v>
      </c>
      <c r="CX431" s="361">
        <v>0</v>
      </c>
      <c r="CY431" s="361">
        <v>0</v>
      </c>
      <c r="CZ431" s="361">
        <v>0</v>
      </c>
      <c r="DA431" s="361">
        <v>0</v>
      </c>
      <c r="DB431" s="361">
        <v>39966.65</v>
      </c>
      <c r="DC431" s="361">
        <v>0</v>
      </c>
      <c r="DD431" s="361">
        <v>0</v>
      </c>
      <c r="DE431" s="361">
        <v>31057.599999999999</v>
      </c>
      <c r="DF431" s="361">
        <v>0</v>
      </c>
      <c r="DG431" s="361">
        <v>0</v>
      </c>
      <c r="DH431" s="361"/>
      <c r="DI431" s="361"/>
      <c r="DJ431" s="361"/>
      <c r="DK431" s="378"/>
    </row>
    <row r="432" spans="1:115" ht="13">
      <c r="A432" s="294"/>
      <c r="B432" s="294"/>
      <c r="F432" s="296"/>
      <c r="J432" s="302"/>
      <c r="AO432" s="1210"/>
      <c r="CP432" s="294"/>
      <c r="CU432" s="666">
        <v>76</v>
      </c>
      <c r="CV432" s="359" t="s">
        <v>1216</v>
      </c>
      <c r="CW432" s="361">
        <v>67204.52</v>
      </c>
      <c r="CX432" s="361">
        <v>7368.42</v>
      </c>
      <c r="CY432" s="361">
        <v>14736.84</v>
      </c>
      <c r="CZ432" s="361">
        <v>7758.14</v>
      </c>
      <c r="DA432" s="361">
        <v>0</v>
      </c>
      <c r="DB432" s="361">
        <v>0</v>
      </c>
      <c r="DC432" s="361">
        <v>0</v>
      </c>
      <c r="DD432" s="361">
        <v>0</v>
      </c>
      <c r="DE432" s="361">
        <v>0</v>
      </c>
      <c r="DF432" s="361">
        <v>0</v>
      </c>
      <c r="DG432" s="361">
        <v>37341.120000000003</v>
      </c>
      <c r="DH432" s="361"/>
      <c r="DI432" s="361"/>
      <c r="DJ432" s="361"/>
      <c r="DK432" s="378"/>
    </row>
    <row r="433" spans="1:115" ht="13">
      <c r="A433" s="294"/>
      <c r="B433" s="294"/>
      <c r="F433" s="296"/>
      <c r="J433" s="302"/>
      <c r="AO433" s="1210"/>
      <c r="CP433" s="294"/>
      <c r="CU433" s="666">
        <v>77</v>
      </c>
      <c r="CV433" s="359" t="s">
        <v>1137</v>
      </c>
      <c r="CW433" s="361">
        <v>51107.360000000001</v>
      </c>
      <c r="CX433" s="361">
        <v>0</v>
      </c>
      <c r="CY433" s="361">
        <v>19165.259999999998</v>
      </c>
      <c r="CZ433" s="361">
        <v>12776.84</v>
      </c>
      <c r="DA433" s="361">
        <v>0</v>
      </c>
      <c r="DB433" s="361">
        <v>19165.259999999998</v>
      </c>
      <c r="DC433" s="361">
        <v>0</v>
      </c>
      <c r="DD433" s="361">
        <v>0</v>
      </c>
      <c r="DE433" s="361">
        <v>0</v>
      </c>
      <c r="DF433" s="361">
        <v>0</v>
      </c>
      <c r="DG433" s="361">
        <v>0</v>
      </c>
      <c r="DH433" s="361"/>
      <c r="DI433" s="361"/>
      <c r="DJ433" s="361"/>
      <c r="DK433" s="378"/>
    </row>
    <row r="434" spans="1:115" ht="13">
      <c r="A434" s="294"/>
      <c r="B434" s="294"/>
      <c r="F434" s="296"/>
      <c r="J434" s="302"/>
      <c r="AO434" s="1210"/>
      <c r="CP434" s="294"/>
      <c r="CU434" s="666">
        <v>78</v>
      </c>
      <c r="CV434" s="359" t="s">
        <v>854</v>
      </c>
      <c r="CW434" s="361">
        <v>36252.01</v>
      </c>
      <c r="CX434" s="361">
        <v>0</v>
      </c>
      <c r="CY434" s="361">
        <v>0</v>
      </c>
      <c r="CZ434" s="361">
        <v>0</v>
      </c>
      <c r="DA434" s="361">
        <v>0</v>
      </c>
      <c r="DB434" s="361">
        <v>19165.259999999998</v>
      </c>
      <c r="DC434" s="361">
        <v>0</v>
      </c>
      <c r="DD434" s="361">
        <v>0</v>
      </c>
      <c r="DE434" s="361">
        <v>0</v>
      </c>
      <c r="DF434" s="361">
        <v>17086.75</v>
      </c>
      <c r="DG434" s="361">
        <v>0</v>
      </c>
      <c r="DH434" s="361"/>
      <c r="DI434" s="361"/>
      <c r="DJ434" s="361"/>
      <c r="DK434" s="378"/>
    </row>
    <row r="435" spans="1:115" ht="13">
      <c r="A435" s="294"/>
      <c r="B435" s="294"/>
      <c r="F435" s="296"/>
      <c r="J435" s="302"/>
      <c r="AO435" s="1210"/>
      <c r="CP435" s="294"/>
      <c r="CU435" s="666">
        <v>79</v>
      </c>
      <c r="CV435" s="359" t="s">
        <v>1174</v>
      </c>
      <c r="CW435" s="361">
        <v>31057.599999999999</v>
      </c>
      <c r="CX435" s="361">
        <v>0</v>
      </c>
      <c r="CY435" s="365">
        <v>0</v>
      </c>
      <c r="CZ435" s="365">
        <v>0</v>
      </c>
      <c r="DA435" s="365">
        <v>0</v>
      </c>
      <c r="DB435" s="361">
        <v>31057.599999999999</v>
      </c>
      <c r="DC435" s="361">
        <v>0</v>
      </c>
      <c r="DD435" s="361">
        <v>0</v>
      </c>
      <c r="DE435" s="365">
        <v>0</v>
      </c>
      <c r="DF435" s="365">
        <v>0</v>
      </c>
      <c r="DG435" s="365">
        <v>0</v>
      </c>
      <c r="DH435" s="365"/>
      <c r="DI435" s="365"/>
      <c r="DJ435" s="365"/>
      <c r="DK435" s="379"/>
    </row>
    <row r="436" spans="1:115" ht="13">
      <c r="A436" s="294"/>
      <c r="B436" s="294"/>
      <c r="F436" s="296"/>
      <c r="J436" s="302"/>
      <c r="AO436" s="1210"/>
      <c r="CP436" s="294"/>
      <c r="CU436" s="666">
        <v>80</v>
      </c>
      <c r="CV436" s="359" t="s">
        <v>872</v>
      </c>
      <c r="CW436" s="361">
        <v>31057.599999999999</v>
      </c>
      <c r="CX436" s="361">
        <v>0</v>
      </c>
      <c r="CY436" s="361">
        <v>0</v>
      </c>
      <c r="CZ436" s="361">
        <v>0</v>
      </c>
      <c r="DA436" s="361">
        <v>0</v>
      </c>
      <c r="DB436" s="361">
        <v>0</v>
      </c>
      <c r="DC436" s="361">
        <v>31057.599999999999</v>
      </c>
      <c r="DD436" s="361">
        <v>0</v>
      </c>
      <c r="DE436" s="361">
        <v>0</v>
      </c>
      <c r="DF436" s="361">
        <v>0</v>
      </c>
      <c r="DG436" s="361">
        <v>0</v>
      </c>
      <c r="DH436" s="361"/>
      <c r="DI436" s="361"/>
      <c r="DJ436" s="361"/>
      <c r="DK436" s="378"/>
    </row>
    <row r="437" spans="1:115" ht="13">
      <c r="A437" s="294"/>
      <c r="B437" s="294"/>
      <c r="F437" s="296"/>
      <c r="J437" s="302"/>
      <c r="AO437" s="1210"/>
      <c r="CP437" s="294"/>
      <c r="CU437" s="666">
        <v>81</v>
      </c>
      <c r="CV437" s="359" t="s">
        <v>1227</v>
      </c>
      <c r="CW437" s="361">
        <v>28586.14</v>
      </c>
      <c r="CX437" s="361">
        <v>0</v>
      </c>
      <c r="CY437" s="361">
        <v>0</v>
      </c>
      <c r="CZ437" s="361">
        <v>0</v>
      </c>
      <c r="DA437" s="361">
        <v>0</v>
      </c>
      <c r="DB437" s="361">
        <v>0</v>
      </c>
      <c r="DC437" s="361">
        <v>28586.14</v>
      </c>
      <c r="DD437" s="361">
        <v>0</v>
      </c>
      <c r="DE437" s="361">
        <v>0</v>
      </c>
      <c r="DF437" s="361">
        <v>0</v>
      </c>
      <c r="DG437" s="361">
        <v>0</v>
      </c>
      <c r="DH437" s="361"/>
      <c r="DI437" s="361"/>
      <c r="DJ437" s="361"/>
      <c r="DK437" s="378"/>
    </row>
    <row r="438" spans="1:115" ht="13">
      <c r="A438" s="294"/>
      <c r="B438" s="294"/>
      <c r="F438" s="296"/>
      <c r="J438" s="302"/>
      <c r="AO438" s="1210"/>
      <c r="CP438" s="294"/>
      <c r="CU438" s="666">
        <v>82</v>
      </c>
      <c r="CV438" s="359" t="s">
        <v>1144</v>
      </c>
      <c r="CW438" s="361">
        <v>17818.099999999999</v>
      </c>
      <c r="CX438" s="361">
        <v>0</v>
      </c>
      <c r="CY438" s="365">
        <v>0</v>
      </c>
      <c r="CZ438" s="365">
        <v>0</v>
      </c>
      <c r="DA438" s="365">
        <v>0</v>
      </c>
      <c r="DB438" s="361">
        <v>17818.099999999999</v>
      </c>
      <c r="DC438" s="365">
        <v>0</v>
      </c>
      <c r="DD438" s="361">
        <v>0</v>
      </c>
      <c r="DE438" s="365">
        <v>0</v>
      </c>
      <c r="DF438" s="365">
        <v>0</v>
      </c>
      <c r="DG438" s="365">
        <v>0</v>
      </c>
      <c r="DH438" s="365"/>
      <c r="DI438" s="365"/>
      <c r="DJ438" s="365"/>
      <c r="DK438" s="379"/>
    </row>
    <row r="439" spans="1:115" ht="13">
      <c r="A439" s="294"/>
      <c r="B439" s="294"/>
      <c r="F439" s="296"/>
      <c r="J439" s="302"/>
      <c r="AO439" s="1210"/>
      <c r="CP439" s="294"/>
      <c r="CU439" s="666">
        <v>83</v>
      </c>
      <c r="CV439" s="359" t="s">
        <v>1221</v>
      </c>
      <c r="CW439" s="361">
        <v>10572.11</v>
      </c>
      <c r="CX439" s="361">
        <v>0</v>
      </c>
      <c r="CY439" s="361">
        <v>0</v>
      </c>
      <c r="CZ439" s="361">
        <v>0</v>
      </c>
      <c r="DA439" s="361">
        <v>0</v>
      </c>
      <c r="DB439" s="361">
        <v>0</v>
      </c>
      <c r="DC439" s="361">
        <v>0</v>
      </c>
      <c r="DD439" s="361">
        <v>10572.11</v>
      </c>
      <c r="DE439" s="361">
        <v>0</v>
      </c>
      <c r="DF439" s="361">
        <v>0</v>
      </c>
      <c r="DG439" s="361">
        <v>0</v>
      </c>
      <c r="DH439" s="361"/>
      <c r="DI439" s="361"/>
      <c r="DJ439" s="361"/>
      <c r="DK439" s="378"/>
    </row>
    <row r="440" spans="1:115" ht="13">
      <c r="A440" s="294"/>
      <c r="B440" s="294"/>
      <c r="F440" s="296"/>
      <c r="J440" s="302"/>
      <c r="AO440" s="1210"/>
      <c r="CP440" s="294"/>
      <c r="CU440" s="666">
        <v>84</v>
      </c>
      <c r="CV440" s="359"/>
      <c r="CW440" s="361"/>
      <c r="CX440" s="361"/>
      <c r="CY440" s="361"/>
      <c r="CZ440" s="365"/>
      <c r="DA440" s="365"/>
      <c r="DB440" s="365"/>
      <c r="DC440" s="365"/>
      <c r="DD440" s="365"/>
      <c r="DE440" s="365"/>
      <c r="DF440" s="365"/>
      <c r="DG440" s="365"/>
      <c r="DH440" s="365"/>
      <c r="DI440" s="365"/>
      <c r="DJ440" s="365"/>
      <c r="DK440" s="379"/>
    </row>
    <row r="441" spans="1:115" ht="13">
      <c r="A441" s="294"/>
      <c r="B441" s="294"/>
      <c r="F441" s="296"/>
      <c r="J441" s="302"/>
      <c r="AO441" s="1210"/>
      <c r="CP441" s="294"/>
      <c r="CU441" s="666">
        <v>85</v>
      </c>
      <c r="CV441" s="359"/>
      <c r="CW441" s="361"/>
      <c r="CX441" s="361"/>
      <c r="CY441" s="365"/>
      <c r="CZ441" s="365"/>
      <c r="DA441" s="365"/>
      <c r="DB441" s="365"/>
      <c r="DC441" s="365"/>
      <c r="DD441" s="365"/>
      <c r="DE441" s="365"/>
      <c r="DF441" s="365"/>
      <c r="DG441" s="365"/>
      <c r="DH441" s="365"/>
      <c r="DI441" s="365"/>
      <c r="DJ441" s="365"/>
      <c r="DK441" s="379"/>
    </row>
    <row r="442" spans="1:115" ht="13">
      <c r="A442" s="294"/>
      <c r="B442" s="294"/>
      <c r="F442" s="296"/>
      <c r="J442" s="302"/>
      <c r="AO442" s="1210"/>
      <c r="CP442" s="294"/>
      <c r="CU442" s="666">
        <v>86</v>
      </c>
      <c r="CV442" s="359"/>
      <c r="CW442" s="361"/>
      <c r="CX442" s="361"/>
      <c r="CY442" s="365"/>
      <c r="CZ442" s="365"/>
      <c r="DA442" s="365"/>
      <c r="DB442" s="365"/>
      <c r="DC442" s="365"/>
      <c r="DD442" s="365"/>
      <c r="DE442" s="365"/>
      <c r="DF442" s="365"/>
      <c r="DG442" s="365"/>
      <c r="DH442" s="365"/>
      <c r="DI442" s="365"/>
      <c r="DJ442" s="365"/>
      <c r="DK442" s="379"/>
    </row>
    <row r="443" spans="1:115" ht="13">
      <c r="A443" s="294"/>
      <c r="B443" s="294"/>
      <c r="F443" s="296"/>
      <c r="J443" s="302"/>
      <c r="AO443" s="1210"/>
      <c r="CP443" s="294"/>
      <c r="CU443" s="666">
        <v>87</v>
      </c>
      <c r="CV443" s="359"/>
      <c r="CW443" s="361"/>
      <c r="CX443" s="361"/>
      <c r="CY443" s="365"/>
      <c r="CZ443" s="365"/>
      <c r="DA443" s="365"/>
      <c r="DB443" s="365"/>
      <c r="DC443" s="365"/>
      <c r="DD443" s="365"/>
      <c r="DE443" s="365"/>
      <c r="DF443" s="365"/>
      <c r="DG443" s="365"/>
      <c r="DH443" s="365"/>
      <c r="DI443" s="365"/>
      <c r="DJ443" s="365"/>
      <c r="DK443" s="379"/>
    </row>
    <row r="444" spans="1:115" ht="13">
      <c r="A444" s="294"/>
      <c r="B444" s="294"/>
      <c r="F444" s="296"/>
      <c r="J444" s="302"/>
      <c r="AO444" s="1210"/>
      <c r="CP444" s="294"/>
      <c r="CU444" s="666">
        <v>88</v>
      </c>
      <c r="CV444" s="359"/>
      <c r="CW444" s="361"/>
      <c r="CX444" s="365"/>
      <c r="CY444" s="361"/>
      <c r="CZ444" s="361"/>
      <c r="DA444" s="361"/>
      <c r="DB444" s="361"/>
      <c r="DC444" s="361"/>
      <c r="DD444" s="361"/>
      <c r="DE444" s="361"/>
      <c r="DF444" s="361"/>
      <c r="DG444" s="361"/>
      <c r="DH444" s="361"/>
      <c r="DI444" s="361"/>
      <c r="DJ444" s="361"/>
      <c r="DK444" s="378"/>
    </row>
    <row r="445" spans="1:115" ht="13">
      <c r="A445" s="294"/>
      <c r="B445" s="294"/>
      <c r="F445" s="296"/>
      <c r="J445" s="302"/>
      <c r="AO445" s="1210"/>
      <c r="CP445" s="294"/>
      <c r="CU445" s="666">
        <v>89</v>
      </c>
      <c r="DK445" s="380"/>
    </row>
    <row r="446" spans="1:115" ht="13">
      <c r="A446" s="294"/>
      <c r="B446" s="294"/>
      <c r="F446" s="296"/>
      <c r="J446" s="302"/>
      <c r="AO446" s="1210"/>
      <c r="CP446" s="294"/>
      <c r="CU446" s="666">
        <v>90</v>
      </c>
      <c r="DK446" s="380"/>
    </row>
    <row r="447" spans="1:115" ht="13">
      <c r="A447" s="294"/>
      <c r="B447" s="294"/>
      <c r="F447" s="296"/>
      <c r="J447" s="302"/>
      <c r="AO447" s="1210"/>
      <c r="CP447" s="294"/>
      <c r="CU447" s="666">
        <v>91</v>
      </c>
      <c r="DK447" s="380"/>
    </row>
    <row r="448" spans="1:115" ht="13">
      <c r="A448" s="294"/>
      <c r="B448" s="294"/>
      <c r="F448" s="296"/>
      <c r="J448" s="302"/>
      <c r="AO448" s="1210"/>
      <c r="CP448" s="294"/>
      <c r="CU448" s="666">
        <v>92</v>
      </c>
      <c r="DK448" s="380"/>
    </row>
    <row r="449" spans="1:115" ht="13">
      <c r="A449" s="294"/>
      <c r="B449" s="294"/>
      <c r="F449" s="296"/>
      <c r="J449" s="302"/>
      <c r="AO449" s="1210"/>
      <c r="CP449" s="294"/>
      <c r="CU449" s="666">
        <v>93</v>
      </c>
      <c r="DK449" s="380"/>
    </row>
    <row r="450" spans="1:115" ht="13">
      <c r="A450" s="294"/>
      <c r="B450" s="294"/>
      <c r="F450" s="296"/>
      <c r="J450" s="302"/>
      <c r="AO450" s="1210"/>
      <c r="CP450" s="294"/>
      <c r="CU450" s="666">
        <v>94</v>
      </c>
      <c r="DK450" s="380"/>
    </row>
    <row r="451" spans="1:115" ht="13">
      <c r="A451" s="294"/>
      <c r="B451" s="294"/>
      <c r="F451" s="296"/>
      <c r="J451" s="302"/>
      <c r="AO451" s="1210"/>
      <c r="CP451" s="294"/>
      <c r="CU451" s="666">
        <v>95</v>
      </c>
      <c r="DK451" s="380"/>
    </row>
    <row r="452" spans="1:115" ht="13">
      <c r="A452" s="294"/>
      <c r="B452" s="294"/>
      <c r="F452" s="296"/>
      <c r="J452" s="302"/>
      <c r="AO452" s="1210"/>
      <c r="CP452" s="294"/>
      <c r="CU452" s="666">
        <v>96</v>
      </c>
      <c r="DK452" s="380"/>
    </row>
    <row r="453" spans="1:115" ht="13">
      <c r="A453" s="294"/>
      <c r="B453" s="294"/>
      <c r="F453" s="296"/>
      <c r="J453" s="302"/>
      <c r="AO453" s="1210"/>
      <c r="CP453" s="294"/>
      <c r="CU453" s="666">
        <v>97</v>
      </c>
      <c r="DK453" s="380"/>
    </row>
    <row r="454" spans="1:115" ht="13">
      <c r="A454" s="294"/>
      <c r="B454" s="294"/>
      <c r="F454" s="296"/>
      <c r="J454" s="302"/>
      <c r="AO454" s="1210"/>
      <c r="CP454" s="294"/>
      <c r="CU454" s="666">
        <v>98</v>
      </c>
      <c r="DK454" s="380"/>
    </row>
    <row r="455" spans="1:115" ht="13">
      <c r="A455" s="294"/>
      <c r="B455" s="294"/>
      <c r="F455" s="296"/>
      <c r="J455" s="302"/>
      <c r="AO455" s="1210"/>
      <c r="CP455" s="294"/>
      <c r="CU455" s="666">
        <v>99</v>
      </c>
      <c r="DK455" s="380"/>
    </row>
    <row r="456" spans="1:115" ht="13">
      <c r="A456" s="294"/>
      <c r="B456" s="294"/>
      <c r="F456" s="296"/>
      <c r="J456" s="302"/>
      <c r="AO456" s="1210"/>
      <c r="CP456" s="294"/>
      <c r="CU456" s="666">
        <v>100</v>
      </c>
      <c r="DK456" s="380"/>
    </row>
    <row r="457" spans="1:115" ht="13">
      <c r="A457" s="294"/>
      <c r="B457" s="294"/>
      <c r="F457" s="296"/>
      <c r="J457" s="302"/>
      <c r="AO457" s="1210"/>
      <c r="CP457" s="294"/>
      <c r="CU457" s="666">
        <v>101</v>
      </c>
      <c r="DK457" s="380"/>
    </row>
    <row r="458" spans="1:115" ht="13">
      <c r="A458" s="294"/>
      <c r="B458" s="294"/>
      <c r="F458" s="296"/>
      <c r="J458" s="302"/>
      <c r="AO458" s="1210"/>
      <c r="CP458" s="294"/>
      <c r="CU458" s="666">
        <v>102</v>
      </c>
      <c r="DK458" s="380"/>
    </row>
    <row r="459" spans="1:115" ht="13">
      <c r="A459" s="294"/>
      <c r="B459" s="294"/>
      <c r="F459" s="296"/>
      <c r="J459" s="302"/>
      <c r="AO459" s="1210"/>
      <c r="CP459" s="294"/>
      <c r="CU459" s="666">
        <v>103</v>
      </c>
      <c r="DK459" s="380"/>
    </row>
    <row r="460" spans="1:115" ht="13">
      <c r="A460" s="294"/>
      <c r="B460" s="294"/>
      <c r="F460" s="296"/>
      <c r="J460" s="302"/>
      <c r="AO460" s="1210"/>
      <c r="CP460" s="294"/>
      <c r="CU460" s="666">
        <v>104</v>
      </c>
      <c r="DK460" s="380"/>
    </row>
    <row r="461" spans="1:115" ht="13">
      <c r="A461" s="294"/>
      <c r="B461" s="294"/>
      <c r="F461" s="296"/>
      <c r="J461" s="302"/>
      <c r="AO461" s="1210"/>
      <c r="CP461" s="294"/>
      <c r="CU461" s="666">
        <v>105</v>
      </c>
      <c r="DK461" s="380"/>
    </row>
    <row r="462" spans="1:115" ht="13">
      <c r="A462" s="294"/>
      <c r="B462" s="294"/>
      <c r="F462" s="296"/>
      <c r="J462" s="302"/>
      <c r="AO462" s="1210"/>
      <c r="CP462" s="294"/>
      <c r="CU462" s="666">
        <v>106</v>
      </c>
      <c r="DK462" s="380"/>
    </row>
    <row r="463" spans="1:115" ht="13">
      <c r="A463" s="294"/>
      <c r="B463" s="294"/>
      <c r="F463" s="296"/>
      <c r="J463" s="302"/>
      <c r="AO463" s="1210"/>
      <c r="CP463" s="294"/>
      <c r="CU463" s="666">
        <v>107</v>
      </c>
      <c r="DK463" s="380"/>
    </row>
    <row r="464" spans="1:115" ht="13">
      <c r="A464" s="294"/>
      <c r="B464" s="294"/>
      <c r="F464" s="296"/>
      <c r="J464" s="302"/>
      <c r="AO464" s="1210"/>
      <c r="CP464" s="294"/>
      <c r="CU464" s="666">
        <v>108</v>
      </c>
      <c r="DK464" s="380"/>
    </row>
    <row r="465" spans="1:115" ht="13">
      <c r="A465" s="294"/>
      <c r="B465" s="294"/>
      <c r="F465" s="296"/>
      <c r="J465" s="302"/>
      <c r="AO465" s="1210"/>
      <c r="CP465" s="294"/>
      <c r="CU465" s="666">
        <v>109</v>
      </c>
      <c r="DK465" s="380"/>
    </row>
    <row r="466" spans="1:115" ht="13">
      <c r="A466" s="294"/>
      <c r="B466" s="294"/>
      <c r="F466" s="296"/>
      <c r="J466" s="302"/>
      <c r="AO466" s="1210"/>
      <c r="CP466" s="294"/>
      <c r="CU466" s="666">
        <v>110</v>
      </c>
      <c r="DK466" s="380"/>
    </row>
    <row r="467" spans="1:115" ht="13">
      <c r="A467" s="294"/>
      <c r="B467" s="294"/>
      <c r="F467" s="296"/>
      <c r="J467" s="302"/>
      <c r="AO467" s="1210"/>
      <c r="CP467" s="294"/>
      <c r="CU467" s="666">
        <v>111</v>
      </c>
      <c r="DK467" s="380"/>
    </row>
    <row r="468" spans="1:115" ht="13">
      <c r="A468" s="294"/>
      <c r="B468" s="294"/>
      <c r="F468" s="296"/>
      <c r="J468" s="302"/>
      <c r="AO468" s="1210"/>
      <c r="CP468" s="294"/>
      <c r="CU468" s="666">
        <v>112</v>
      </c>
      <c r="DK468" s="380"/>
    </row>
    <row r="469" spans="1:115" ht="13">
      <c r="A469" s="294"/>
      <c r="B469" s="294"/>
      <c r="F469" s="296"/>
      <c r="J469" s="302"/>
      <c r="AO469" s="1210"/>
      <c r="CP469" s="294"/>
      <c r="CU469" s="666">
        <v>113</v>
      </c>
      <c r="DK469" s="380"/>
    </row>
    <row r="470" spans="1:115" ht="13">
      <c r="A470" s="294"/>
      <c r="B470" s="294"/>
      <c r="F470" s="296"/>
      <c r="J470" s="302"/>
      <c r="AO470" s="1210"/>
      <c r="CP470" s="294"/>
      <c r="CU470" s="666">
        <v>114</v>
      </c>
      <c r="DK470" s="380"/>
    </row>
    <row r="471" spans="1:115" ht="13">
      <c r="A471" s="294"/>
      <c r="B471" s="294"/>
      <c r="F471" s="296"/>
      <c r="J471" s="302"/>
      <c r="AO471" s="1210"/>
      <c r="CP471" s="294"/>
      <c r="CU471" s="666">
        <v>115</v>
      </c>
      <c r="DK471" s="380"/>
    </row>
    <row r="472" spans="1:115" ht="13">
      <c r="A472" s="294"/>
      <c r="B472" s="294"/>
      <c r="F472" s="296"/>
      <c r="J472" s="302"/>
      <c r="AO472" s="1210"/>
      <c r="CP472" s="294"/>
      <c r="CU472" s="666">
        <v>116</v>
      </c>
      <c r="DK472" s="380"/>
    </row>
    <row r="473" spans="1:115" ht="13">
      <c r="A473" s="294"/>
      <c r="B473" s="294"/>
      <c r="F473" s="296"/>
      <c r="J473" s="302"/>
      <c r="AO473" s="1210"/>
      <c r="CP473" s="294"/>
      <c r="CU473" s="666">
        <v>117</v>
      </c>
      <c r="DK473" s="380"/>
    </row>
    <row r="474" spans="1:115" ht="13">
      <c r="A474" s="294"/>
      <c r="B474" s="294"/>
      <c r="F474" s="296"/>
      <c r="J474" s="302"/>
      <c r="AO474" s="1210"/>
      <c r="CP474" s="294"/>
      <c r="CU474" s="666">
        <v>118</v>
      </c>
      <c r="DK474" s="380"/>
    </row>
    <row r="475" spans="1:115" ht="13">
      <c r="A475" s="294"/>
      <c r="B475" s="294"/>
      <c r="F475" s="296"/>
      <c r="J475" s="302"/>
      <c r="AO475" s="1210"/>
      <c r="CP475" s="294"/>
      <c r="CU475" s="666">
        <v>119</v>
      </c>
      <c r="DK475" s="380"/>
    </row>
    <row r="476" spans="1:115" ht="13">
      <c r="A476" s="294"/>
      <c r="B476" s="294"/>
      <c r="F476" s="296"/>
      <c r="J476" s="302"/>
      <c r="AO476" s="1210"/>
      <c r="CP476" s="294"/>
      <c r="CU476" s="666">
        <v>120</v>
      </c>
      <c r="DK476" s="380"/>
    </row>
    <row r="477" spans="1:115" ht="13">
      <c r="A477" s="294"/>
      <c r="B477" s="294"/>
      <c r="F477" s="296"/>
      <c r="J477" s="302"/>
      <c r="AO477" s="1210"/>
      <c r="CP477" s="294"/>
      <c r="CU477" s="666">
        <v>121</v>
      </c>
      <c r="DK477" s="380"/>
    </row>
    <row r="478" spans="1:115" ht="13">
      <c r="A478" s="294"/>
      <c r="B478" s="294"/>
      <c r="F478" s="296"/>
      <c r="J478" s="302"/>
      <c r="AO478" s="1210"/>
      <c r="CP478" s="294"/>
      <c r="CU478" s="666">
        <v>122</v>
      </c>
      <c r="DK478" s="380"/>
    </row>
    <row r="479" spans="1:115" ht="13">
      <c r="A479" s="294"/>
      <c r="B479" s="294"/>
      <c r="F479" s="296"/>
      <c r="J479" s="302"/>
      <c r="AO479" s="1210"/>
      <c r="CP479" s="294"/>
      <c r="CU479" s="666">
        <v>123</v>
      </c>
      <c r="DK479" s="380"/>
    </row>
    <row r="480" spans="1:115" ht="13">
      <c r="A480" s="294"/>
      <c r="B480" s="294"/>
      <c r="F480" s="296"/>
      <c r="J480" s="302"/>
      <c r="AO480" s="1210"/>
      <c r="CP480" s="294"/>
      <c r="CU480" s="666">
        <v>124</v>
      </c>
      <c r="DK480" s="380"/>
    </row>
    <row r="481" spans="1:115" ht="13">
      <c r="A481" s="294"/>
      <c r="B481" s="294"/>
      <c r="F481" s="296"/>
      <c r="J481" s="302"/>
      <c r="AO481" s="1210"/>
      <c r="CP481" s="294"/>
      <c r="CU481" s="666">
        <v>125</v>
      </c>
      <c r="DK481" s="380"/>
    </row>
    <row r="482" spans="1:115" ht="13">
      <c r="A482" s="294"/>
      <c r="B482" s="294"/>
      <c r="F482" s="296"/>
      <c r="J482" s="302"/>
      <c r="AO482" s="1210"/>
      <c r="CP482" s="294"/>
      <c r="CU482" s="666">
        <v>126</v>
      </c>
      <c r="DK482" s="380"/>
    </row>
    <row r="483" spans="1:115" ht="13">
      <c r="A483" s="294"/>
      <c r="B483" s="294"/>
      <c r="F483" s="296"/>
      <c r="J483" s="302"/>
      <c r="AO483" s="1210"/>
      <c r="CP483" s="294"/>
      <c r="CU483" s="666">
        <v>127</v>
      </c>
      <c r="DK483" s="380"/>
    </row>
    <row r="484" spans="1:115" ht="13">
      <c r="A484" s="294"/>
      <c r="B484" s="294"/>
      <c r="F484" s="296"/>
      <c r="J484" s="302"/>
      <c r="AO484" s="1210"/>
      <c r="CP484" s="294"/>
      <c r="CU484" s="666">
        <v>128</v>
      </c>
      <c r="DK484" s="380"/>
    </row>
    <row r="485" spans="1:115" ht="13">
      <c r="A485" s="294"/>
      <c r="B485" s="294"/>
      <c r="F485" s="296"/>
      <c r="J485" s="302"/>
      <c r="AO485" s="1210"/>
      <c r="CP485" s="294"/>
      <c r="CU485" s="666">
        <v>129</v>
      </c>
      <c r="DK485" s="380"/>
    </row>
    <row r="486" spans="1:115" ht="13">
      <c r="A486" s="294"/>
      <c r="B486" s="294"/>
      <c r="F486" s="296"/>
      <c r="J486" s="302"/>
      <c r="AO486" s="1210"/>
      <c r="CP486" s="294"/>
      <c r="CU486" s="666">
        <v>130</v>
      </c>
      <c r="DK486" s="380"/>
    </row>
    <row r="487" spans="1:115" ht="13">
      <c r="A487" s="294"/>
      <c r="B487" s="294"/>
      <c r="F487" s="296"/>
      <c r="J487" s="302"/>
      <c r="AO487" s="1210"/>
      <c r="CP487" s="294"/>
      <c r="CU487" s="666">
        <v>131</v>
      </c>
      <c r="DK487" s="380"/>
    </row>
    <row r="488" spans="1:115" ht="13">
      <c r="A488" s="294"/>
      <c r="B488" s="294"/>
      <c r="F488" s="296"/>
      <c r="J488" s="302"/>
      <c r="AO488" s="1210"/>
      <c r="CP488" s="294"/>
      <c r="CU488" s="666">
        <v>132</v>
      </c>
      <c r="DK488" s="380"/>
    </row>
    <row r="489" spans="1:115" ht="13">
      <c r="A489" s="294"/>
      <c r="B489" s="294"/>
      <c r="F489" s="296"/>
      <c r="J489" s="302"/>
      <c r="AO489" s="1210"/>
      <c r="CP489" s="294"/>
      <c r="CU489" s="666">
        <v>133</v>
      </c>
      <c r="DK489" s="380"/>
    </row>
    <row r="490" spans="1:115" ht="13">
      <c r="A490" s="294"/>
      <c r="B490" s="294"/>
      <c r="F490" s="296"/>
      <c r="J490" s="302"/>
      <c r="AO490" s="1210"/>
      <c r="CP490" s="294"/>
      <c r="CU490" s="666">
        <v>134</v>
      </c>
      <c r="DK490" s="380"/>
    </row>
    <row r="491" spans="1:115" ht="13">
      <c r="A491" s="294"/>
      <c r="B491" s="294"/>
      <c r="F491" s="296"/>
      <c r="J491" s="302"/>
      <c r="AO491" s="1210"/>
      <c r="CP491" s="294"/>
      <c r="CU491" s="666">
        <v>135</v>
      </c>
      <c r="DK491" s="380"/>
    </row>
    <row r="492" spans="1:115" ht="13">
      <c r="A492" s="294"/>
      <c r="B492" s="294"/>
      <c r="F492" s="296"/>
      <c r="J492" s="302"/>
      <c r="AO492" s="1210"/>
      <c r="CP492" s="294"/>
      <c r="CU492" s="666">
        <v>136</v>
      </c>
      <c r="DK492" s="380"/>
    </row>
    <row r="493" spans="1:115" ht="13">
      <c r="A493" s="294"/>
      <c r="B493" s="294"/>
      <c r="F493" s="296"/>
      <c r="J493" s="302"/>
      <c r="AO493" s="1210"/>
      <c r="CP493" s="294"/>
      <c r="CU493" s="666">
        <v>137</v>
      </c>
      <c r="DK493" s="380"/>
    </row>
    <row r="494" spans="1:115" ht="13">
      <c r="A494" s="294"/>
      <c r="B494" s="294"/>
      <c r="F494" s="296"/>
      <c r="J494" s="302"/>
      <c r="AO494" s="1210"/>
      <c r="CP494" s="294"/>
      <c r="CU494" s="666">
        <v>138</v>
      </c>
      <c r="DK494" s="380"/>
    </row>
    <row r="495" spans="1:115" ht="13">
      <c r="A495" s="294"/>
      <c r="B495" s="294"/>
      <c r="F495" s="296"/>
      <c r="J495" s="302"/>
      <c r="AO495" s="1210"/>
      <c r="CP495" s="294"/>
      <c r="CU495" s="666">
        <v>139</v>
      </c>
      <c r="DK495" s="380"/>
    </row>
    <row r="496" spans="1:115" ht="13">
      <c r="A496" s="294"/>
      <c r="B496" s="294"/>
      <c r="F496" s="296"/>
      <c r="J496" s="302"/>
      <c r="AO496" s="1210"/>
      <c r="CP496" s="294"/>
      <c r="CU496" s="667">
        <v>140</v>
      </c>
      <c r="CV496" s="382"/>
      <c r="CW496" s="382"/>
      <c r="CX496" s="382"/>
      <c r="CY496" s="382"/>
      <c r="CZ496" s="382"/>
      <c r="DA496" s="382"/>
      <c r="DB496" s="382"/>
      <c r="DC496" s="382"/>
      <c r="DD496" s="382"/>
      <c r="DE496" s="382"/>
      <c r="DF496" s="382"/>
      <c r="DG496" s="382"/>
      <c r="DH496" s="382"/>
      <c r="DI496" s="382"/>
      <c r="DJ496" s="382"/>
      <c r="DK496" s="383"/>
    </row>
    <row r="497" spans="1:99" ht="13">
      <c r="A497" s="294"/>
      <c r="B497" s="294"/>
      <c r="F497" s="296"/>
      <c r="J497" s="302"/>
      <c r="AO497" s="1210"/>
      <c r="CP497" s="294"/>
      <c r="CU497" s="294"/>
    </row>
    <row r="498" spans="1:99" ht="13">
      <c r="A498" s="294"/>
      <c r="B498" s="294"/>
      <c r="F498" s="296"/>
      <c r="J498" s="302"/>
      <c r="AO498" s="1210"/>
      <c r="CP498" s="294"/>
      <c r="CU498" s="294"/>
    </row>
    <row r="499" spans="1:99" ht="13">
      <c r="A499" s="294"/>
      <c r="B499" s="294"/>
      <c r="F499" s="296"/>
      <c r="J499" s="302"/>
      <c r="AO499" s="1210"/>
      <c r="CP499" s="294"/>
      <c r="CU499" s="294"/>
    </row>
    <row r="500" spans="1:99" ht="13">
      <c r="A500" s="294"/>
      <c r="B500" s="294"/>
      <c r="F500" s="296"/>
      <c r="J500" s="302"/>
      <c r="AO500" s="1210"/>
      <c r="CP500" s="294"/>
      <c r="CU500" s="294"/>
    </row>
    <row r="501" spans="1:99" ht="13">
      <c r="A501" s="294"/>
      <c r="B501" s="294"/>
      <c r="F501" s="296"/>
      <c r="J501" s="302"/>
      <c r="AO501" s="1210"/>
      <c r="CP501" s="294"/>
      <c r="CU501" s="294"/>
    </row>
    <row r="502" spans="1:99" ht="13">
      <c r="A502" s="294"/>
      <c r="B502" s="294"/>
      <c r="F502" s="296"/>
      <c r="J502" s="302"/>
      <c r="AO502" s="1210"/>
      <c r="CP502" s="294"/>
      <c r="CU502" s="294"/>
    </row>
    <row r="503" spans="1:99" ht="13">
      <c r="A503" s="294"/>
      <c r="B503" s="294"/>
      <c r="F503" s="296"/>
      <c r="J503" s="302"/>
      <c r="AO503" s="1210"/>
      <c r="CP503" s="294"/>
      <c r="CU503" s="294"/>
    </row>
    <row r="504" spans="1:99" ht="13">
      <c r="A504" s="294"/>
      <c r="B504" s="294"/>
      <c r="F504" s="296"/>
      <c r="J504" s="302"/>
      <c r="AO504" s="1210"/>
      <c r="CP504" s="294"/>
      <c r="CU504" s="294"/>
    </row>
    <row r="505" spans="1:99" ht="13">
      <c r="A505" s="294"/>
      <c r="B505" s="294"/>
      <c r="F505" s="296"/>
      <c r="J505" s="302"/>
      <c r="AO505" s="1210"/>
      <c r="CP505" s="294"/>
      <c r="CU505" s="294"/>
    </row>
    <row r="506" spans="1:99" ht="13">
      <c r="A506" s="294"/>
      <c r="B506" s="294"/>
      <c r="F506" s="296"/>
      <c r="J506" s="302"/>
      <c r="AO506" s="1210"/>
      <c r="CP506" s="294"/>
      <c r="CU506" s="294"/>
    </row>
    <row r="507" spans="1:99" ht="13">
      <c r="A507" s="294"/>
      <c r="B507" s="294"/>
      <c r="F507" s="296"/>
      <c r="J507" s="302"/>
      <c r="AO507" s="1210"/>
      <c r="CP507" s="294"/>
      <c r="CU507" s="294"/>
    </row>
    <row r="508" spans="1:99" ht="13">
      <c r="A508" s="294"/>
      <c r="B508" s="294"/>
      <c r="F508" s="296"/>
      <c r="J508" s="302"/>
      <c r="AO508" s="1210"/>
      <c r="CP508" s="294"/>
      <c r="CU508" s="294"/>
    </row>
    <row r="509" spans="1:99" ht="13">
      <c r="A509" s="294"/>
      <c r="B509" s="294"/>
      <c r="F509" s="296"/>
      <c r="J509" s="302"/>
      <c r="AO509" s="1210"/>
      <c r="CP509" s="294"/>
      <c r="CU509" s="294"/>
    </row>
    <row r="510" spans="1:99" ht="13">
      <c r="A510" s="294"/>
      <c r="B510" s="294"/>
      <c r="F510" s="296"/>
      <c r="J510" s="302"/>
      <c r="AO510" s="1210"/>
      <c r="CP510" s="294"/>
      <c r="CU510" s="294"/>
    </row>
    <row r="511" spans="1:99" ht="13">
      <c r="A511" s="294"/>
      <c r="B511" s="294"/>
      <c r="F511" s="296"/>
      <c r="J511" s="302"/>
      <c r="AO511" s="1210"/>
      <c r="CP511" s="294"/>
      <c r="CU511" s="294"/>
    </row>
    <row r="512" spans="1:99" ht="13">
      <c r="A512" s="294"/>
      <c r="B512" s="294"/>
      <c r="F512" s="296"/>
      <c r="J512" s="302"/>
      <c r="AO512" s="1210"/>
      <c r="CP512" s="294"/>
      <c r="CU512" s="294"/>
    </row>
    <row r="513" spans="1:99" ht="13">
      <c r="A513" s="294"/>
      <c r="B513" s="294"/>
      <c r="F513" s="296"/>
      <c r="J513" s="302"/>
      <c r="AO513" s="1210"/>
      <c r="CP513" s="294"/>
      <c r="CU513" s="294"/>
    </row>
    <row r="514" spans="1:99" ht="13">
      <c r="A514" s="294"/>
      <c r="B514" s="294"/>
      <c r="F514" s="296"/>
      <c r="J514" s="302"/>
      <c r="AO514" s="1210"/>
      <c r="CP514" s="294"/>
      <c r="CU514" s="294"/>
    </row>
    <row r="515" spans="1:99" ht="13">
      <c r="A515" s="294"/>
      <c r="B515" s="294"/>
      <c r="F515" s="296"/>
      <c r="J515" s="302"/>
      <c r="AO515" s="1210"/>
      <c r="CP515" s="294"/>
      <c r="CU515" s="294"/>
    </row>
    <row r="516" spans="1:99" ht="13">
      <c r="A516" s="294"/>
      <c r="B516" s="294"/>
      <c r="F516" s="296"/>
      <c r="J516" s="302"/>
      <c r="AO516" s="1210"/>
      <c r="CP516" s="294"/>
      <c r="CU516" s="294"/>
    </row>
    <row r="517" spans="1:99" ht="13">
      <c r="A517" s="294"/>
      <c r="B517" s="294"/>
      <c r="F517" s="296"/>
      <c r="J517" s="302"/>
      <c r="AO517" s="1210"/>
      <c r="CP517" s="294"/>
      <c r="CU517" s="294"/>
    </row>
    <row r="518" spans="1:99" ht="13">
      <c r="A518" s="294"/>
      <c r="B518" s="294"/>
      <c r="F518" s="296"/>
      <c r="J518" s="302"/>
      <c r="AO518" s="1210"/>
      <c r="CP518" s="294"/>
      <c r="CU518" s="294"/>
    </row>
    <row r="519" spans="1:99" ht="13">
      <c r="A519" s="294"/>
      <c r="B519" s="294"/>
      <c r="F519" s="296"/>
      <c r="J519" s="302"/>
      <c r="AO519" s="1210"/>
      <c r="CP519" s="294"/>
      <c r="CU519" s="294"/>
    </row>
    <row r="520" spans="1:99" ht="13">
      <c r="A520" s="294"/>
      <c r="B520" s="294"/>
      <c r="F520" s="296"/>
      <c r="J520" s="302"/>
      <c r="AO520" s="1210"/>
      <c r="CP520" s="294"/>
      <c r="CU520" s="294"/>
    </row>
    <row r="521" spans="1:99" ht="13">
      <c r="A521" s="294"/>
      <c r="B521" s="294"/>
      <c r="F521" s="296"/>
      <c r="J521" s="302"/>
      <c r="AO521" s="1210"/>
      <c r="CP521" s="294"/>
      <c r="CU521" s="294"/>
    </row>
    <row r="522" spans="1:99" ht="13">
      <c r="A522" s="294"/>
      <c r="B522" s="294"/>
      <c r="F522" s="296"/>
      <c r="J522" s="302"/>
      <c r="AO522" s="1210"/>
      <c r="CP522" s="294"/>
      <c r="CU522" s="294"/>
    </row>
    <row r="523" spans="1:99" ht="13">
      <c r="A523" s="294"/>
      <c r="B523" s="294"/>
      <c r="F523" s="296"/>
      <c r="J523" s="302"/>
      <c r="AO523" s="1210"/>
      <c r="CP523" s="294"/>
      <c r="CU523" s="294"/>
    </row>
    <row r="524" spans="1:99" ht="13">
      <c r="A524" s="294"/>
      <c r="B524" s="294"/>
      <c r="F524" s="296"/>
      <c r="J524" s="302"/>
      <c r="AO524" s="1210"/>
      <c r="CP524" s="294"/>
      <c r="CU524" s="294"/>
    </row>
    <row r="525" spans="1:99" ht="13">
      <c r="A525" s="294"/>
      <c r="B525" s="294"/>
      <c r="F525" s="296"/>
      <c r="J525" s="302"/>
      <c r="AO525" s="1210"/>
      <c r="CP525" s="294"/>
      <c r="CU525" s="294"/>
    </row>
    <row r="526" spans="1:99" ht="13">
      <c r="A526" s="294"/>
      <c r="B526" s="294"/>
      <c r="F526" s="296"/>
      <c r="J526" s="302"/>
      <c r="AO526" s="1210"/>
      <c r="CP526" s="294"/>
      <c r="CU526" s="294"/>
    </row>
    <row r="527" spans="1:99" ht="13">
      <c r="A527" s="294"/>
      <c r="B527" s="294"/>
      <c r="F527" s="296"/>
      <c r="J527" s="302"/>
      <c r="AO527" s="1210"/>
      <c r="CP527" s="294"/>
      <c r="CU527" s="294"/>
    </row>
    <row r="528" spans="1:99" ht="13">
      <c r="A528" s="294"/>
      <c r="B528" s="294"/>
      <c r="F528" s="296"/>
      <c r="J528" s="302"/>
      <c r="AO528" s="1210"/>
      <c r="CP528" s="294"/>
      <c r="CU528" s="294"/>
    </row>
    <row r="529" spans="1:99" ht="13">
      <c r="A529" s="294"/>
      <c r="B529" s="294"/>
      <c r="F529" s="296"/>
      <c r="J529" s="302"/>
      <c r="AO529" s="1210"/>
      <c r="CP529" s="294"/>
      <c r="CU529" s="294"/>
    </row>
    <row r="530" spans="1:99" ht="13">
      <c r="A530" s="294"/>
      <c r="B530" s="294"/>
      <c r="F530" s="296"/>
      <c r="J530" s="302"/>
      <c r="AO530" s="1210"/>
      <c r="CP530" s="294"/>
      <c r="CU530" s="294"/>
    </row>
    <row r="531" spans="1:99" ht="13">
      <c r="A531" s="294"/>
      <c r="B531" s="294"/>
      <c r="F531" s="296"/>
      <c r="J531" s="302"/>
      <c r="AO531" s="1210"/>
      <c r="CP531" s="294"/>
      <c r="CU531" s="294"/>
    </row>
    <row r="532" spans="1:99" ht="13">
      <c r="A532" s="294"/>
      <c r="B532" s="294"/>
      <c r="F532" s="296"/>
      <c r="J532" s="302"/>
      <c r="AO532" s="1210"/>
      <c r="CP532" s="294"/>
      <c r="CU532" s="294"/>
    </row>
    <row r="533" spans="1:99" ht="13">
      <c r="A533" s="294"/>
      <c r="B533" s="294"/>
      <c r="F533" s="296"/>
      <c r="J533" s="302"/>
      <c r="AO533" s="1210"/>
      <c r="CP533" s="294"/>
      <c r="CU533" s="294"/>
    </row>
    <row r="534" spans="1:99" ht="13">
      <c r="A534" s="294"/>
      <c r="B534" s="294"/>
      <c r="F534" s="296"/>
      <c r="J534" s="302"/>
      <c r="AO534" s="1210"/>
      <c r="CP534" s="294"/>
      <c r="CU534" s="294"/>
    </row>
    <row r="535" spans="1:99" ht="13">
      <c r="A535" s="294"/>
      <c r="B535" s="294"/>
      <c r="F535" s="296"/>
      <c r="J535" s="302"/>
      <c r="AO535" s="1210"/>
      <c r="CP535" s="294"/>
      <c r="CU535" s="294"/>
    </row>
    <row r="536" spans="1:99" ht="13">
      <c r="A536" s="294"/>
      <c r="B536" s="294"/>
      <c r="F536" s="296"/>
      <c r="J536" s="302"/>
      <c r="AO536" s="1210"/>
      <c r="CP536" s="294"/>
      <c r="CU536" s="294"/>
    </row>
    <row r="537" spans="1:99" ht="13">
      <c r="A537" s="294"/>
      <c r="B537" s="294"/>
      <c r="F537" s="296"/>
      <c r="J537" s="302"/>
      <c r="AO537" s="1210"/>
      <c r="CP537" s="294"/>
      <c r="CU537" s="294"/>
    </row>
    <row r="538" spans="1:99" ht="13">
      <c r="A538" s="294"/>
      <c r="B538" s="294"/>
      <c r="F538" s="296"/>
      <c r="J538" s="302"/>
      <c r="AO538" s="1210"/>
      <c r="CP538" s="294"/>
      <c r="CU538" s="294"/>
    </row>
    <row r="539" spans="1:99" ht="13">
      <c r="A539" s="294"/>
      <c r="B539" s="294"/>
      <c r="F539" s="296"/>
      <c r="J539" s="302"/>
      <c r="AO539" s="1210"/>
      <c r="CP539" s="294"/>
      <c r="CU539" s="294"/>
    </row>
    <row r="540" spans="1:99" ht="13">
      <c r="A540" s="294"/>
      <c r="B540" s="294"/>
      <c r="F540" s="296"/>
      <c r="J540" s="302"/>
      <c r="AO540" s="1210"/>
      <c r="CP540" s="294"/>
      <c r="CU540" s="294"/>
    </row>
    <row r="541" spans="1:99" ht="13">
      <c r="A541" s="294"/>
      <c r="B541" s="294"/>
      <c r="F541" s="296"/>
      <c r="J541" s="302"/>
      <c r="AO541" s="1210"/>
      <c r="CP541" s="294"/>
      <c r="CU541" s="294"/>
    </row>
    <row r="542" spans="1:99" ht="13">
      <c r="A542" s="294"/>
      <c r="B542" s="294"/>
      <c r="F542" s="296"/>
      <c r="J542" s="302"/>
      <c r="AO542" s="1210"/>
      <c r="CP542" s="294"/>
      <c r="CU542" s="294"/>
    </row>
    <row r="543" spans="1:99" ht="13">
      <c r="A543" s="294"/>
      <c r="B543" s="294"/>
      <c r="F543" s="296"/>
      <c r="J543" s="302"/>
      <c r="AO543" s="1210"/>
      <c r="CP543" s="294"/>
      <c r="CU543" s="294"/>
    </row>
    <row r="544" spans="1:99" ht="13">
      <c r="A544" s="294"/>
      <c r="B544" s="294"/>
      <c r="F544" s="296"/>
      <c r="J544" s="302"/>
      <c r="AO544" s="1210"/>
      <c r="CP544" s="294"/>
      <c r="CU544" s="294"/>
    </row>
    <row r="545" spans="1:99" ht="13">
      <c r="A545" s="294"/>
      <c r="B545" s="294"/>
      <c r="F545" s="296"/>
      <c r="J545" s="302"/>
      <c r="AO545" s="1210"/>
      <c r="CP545" s="294"/>
      <c r="CU545" s="294"/>
    </row>
    <row r="546" spans="1:99" ht="13">
      <c r="A546" s="294"/>
      <c r="B546" s="294"/>
      <c r="F546" s="296"/>
      <c r="J546" s="302"/>
      <c r="AO546" s="1210"/>
      <c r="CP546" s="294"/>
      <c r="CU546" s="294"/>
    </row>
    <row r="547" spans="1:99" ht="13">
      <c r="A547" s="294"/>
      <c r="B547" s="294"/>
      <c r="F547" s="296"/>
      <c r="J547" s="302"/>
      <c r="AO547" s="1210"/>
      <c r="CP547" s="294"/>
      <c r="CU547" s="294"/>
    </row>
    <row r="548" spans="1:99" ht="13">
      <c r="A548" s="294"/>
      <c r="B548" s="294"/>
      <c r="F548" s="296"/>
      <c r="J548" s="302"/>
      <c r="AO548" s="1210"/>
      <c r="CP548" s="294"/>
      <c r="CU548" s="294"/>
    </row>
    <row r="549" spans="1:99" ht="13">
      <c r="A549" s="294"/>
      <c r="B549" s="294"/>
      <c r="F549" s="296"/>
      <c r="J549" s="302"/>
      <c r="AO549" s="1210"/>
      <c r="CP549" s="294"/>
      <c r="CU549" s="294"/>
    </row>
    <row r="550" spans="1:99" ht="13">
      <c r="A550" s="294"/>
      <c r="B550" s="294"/>
      <c r="F550" s="296"/>
      <c r="J550" s="302"/>
      <c r="AO550" s="1210"/>
      <c r="CP550" s="294"/>
      <c r="CU550" s="294"/>
    </row>
    <row r="551" spans="1:99" ht="13">
      <c r="A551" s="294"/>
      <c r="B551" s="294"/>
      <c r="F551" s="296"/>
      <c r="J551" s="302"/>
      <c r="AO551" s="1210"/>
      <c r="CP551" s="294"/>
      <c r="CU551" s="294"/>
    </row>
    <row r="552" spans="1:99" ht="13">
      <c r="A552" s="294"/>
      <c r="B552" s="294"/>
      <c r="F552" s="296"/>
      <c r="J552" s="302"/>
      <c r="AO552" s="1210"/>
      <c r="CP552" s="294"/>
      <c r="CU552" s="294"/>
    </row>
    <row r="553" spans="1:99" ht="13">
      <c r="A553" s="294"/>
      <c r="B553" s="294"/>
      <c r="F553" s="296"/>
      <c r="J553" s="302"/>
      <c r="AO553" s="1210"/>
      <c r="CP553" s="294"/>
      <c r="CU553" s="294"/>
    </row>
    <row r="554" spans="1:99" ht="13">
      <c r="A554" s="294"/>
      <c r="B554" s="294"/>
      <c r="F554" s="296"/>
      <c r="J554" s="302"/>
      <c r="AO554" s="1210"/>
      <c r="CP554" s="294"/>
      <c r="CU554" s="294"/>
    </row>
    <row r="555" spans="1:99" ht="13">
      <c r="A555" s="294"/>
      <c r="B555" s="294"/>
      <c r="F555" s="296"/>
      <c r="J555" s="302"/>
      <c r="AO555" s="1210"/>
      <c r="CP555" s="294"/>
      <c r="CU555" s="294"/>
    </row>
    <row r="556" spans="1:99" ht="13">
      <c r="A556" s="294"/>
      <c r="B556" s="294"/>
      <c r="F556" s="296"/>
      <c r="J556" s="302"/>
      <c r="AO556" s="1210"/>
      <c r="CP556" s="294"/>
      <c r="CU556" s="294"/>
    </row>
    <row r="557" spans="1:99" ht="13">
      <c r="A557" s="294"/>
      <c r="B557" s="294"/>
      <c r="F557" s="296"/>
      <c r="J557" s="302"/>
      <c r="AO557" s="1210"/>
      <c r="CP557" s="294"/>
      <c r="CU557" s="294"/>
    </row>
    <row r="558" spans="1:99" ht="13">
      <c r="A558" s="294"/>
      <c r="B558" s="294"/>
      <c r="F558" s="296"/>
      <c r="J558" s="302"/>
      <c r="AO558" s="1210"/>
      <c r="CP558" s="294"/>
      <c r="CU558" s="294"/>
    </row>
    <row r="559" spans="1:99" ht="13">
      <c r="A559" s="294"/>
      <c r="B559" s="294"/>
      <c r="F559" s="296"/>
      <c r="J559" s="302"/>
      <c r="AO559" s="1210"/>
      <c r="CP559" s="294"/>
      <c r="CU559" s="294"/>
    </row>
    <row r="560" spans="1:99" ht="13">
      <c r="A560" s="294"/>
      <c r="B560" s="294"/>
      <c r="F560" s="296"/>
      <c r="J560" s="302"/>
      <c r="AO560" s="1210"/>
      <c r="CP560" s="294"/>
      <c r="CU560" s="294"/>
    </row>
    <row r="561" spans="1:99" ht="13">
      <c r="A561" s="294"/>
      <c r="B561" s="294"/>
      <c r="F561" s="296"/>
      <c r="J561" s="302"/>
      <c r="AO561" s="1210"/>
      <c r="CP561" s="294"/>
      <c r="CU561" s="294"/>
    </row>
    <row r="562" spans="1:99" ht="13">
      <c r="A562" s="294"/>
      <c r="B562" s="294"/>
      <c r="F562" s="296"/>
      <c r="J562" s="302"/>
      <c r="AO562" s="1210"/>
      <c r="CP562" s="294"/>
      <c r="CU562" s="294"/>
    </row>
    <row r="563" spans="1:99" ht="13">
      <c r="A563" s="294"/>
      <c r="B563" s="294"/>
      <c r="F563" s="296"/>
      <c r="J563" s="302"/>
      <c r="AO563" s="1210"/>
      <c r="CP563" s="294"/>
      <c r="CU563" s="294"/>
    </row>
    <row r="564" spans="1:99" ht="13">
      <c r="A564" s="294"/>
      <c r="B564" s="294"/>
      <c r="F564" s="296"/>
      <c r="J564" s="302"/>
      <c r="AO564" s="1210"/>
      <c r="CP564" s="294"/>
      <c r="CU564" s="294"/>
    </row>
    <row r="565" spans="1:99" ht="13">
      <c r="A565" s="294"/>
      <c r="B565" s="294"/>
      <c r="F565" s="296"/>
      <c r="J565" s="302"/>
      <c r="AO565" s="1210"/>
      <c r="CP565" s="294"/>
      <c r="CU565" s="294"/>
    </row>
    <row r="566" spans="1:99" ht="13">
      <c r="A566" s="294"/>
      <c r="B566" s="294"/>
      <c r="F566" s="296"/>
      <c r="J566" s="302"/>
      <c r="AO566" s="1210"/>
      <c r="CP566" s="294"/>
      <c r="CU566" s="294"/>
    </row>
    <row r="567" spans="1:99" ht="13">
      <c r="A567" s="294"/>
      <c r="B567" s="294"/>
      <c r="F567" s="296"/>
      <c r="J567" s="302"/>
      <c r="AO567" s="1210"/>
      <c r="CP567" s="294"/>
      <c r="CU567" s="294"/>
    </row>
    <row r="568" spans="1:99" ht="13">
      <c r="A568" s="294"/>
      <c r="B568" s="294"/>
      <c r="F568" s="296"/>
      <c r="J568" s="302"/>
      <c r="AO568" s="1210"/>
      <c r="CP568" s="294"/>
      <c r="CU568" s="294"/>
    </row>
    <row r="569" spans="1:99" ht="13">
      <c r="A569" s="294"/>
      <c r="B569" s="294"/>
      <c r="F569" s="296"/>
      <c r="J569" s="302"/>
      <c r="AO569" s="1210"/>
      <c r="CP569" s="294"/>
      <c r="CU569" s="294"/>
    </row>
    <row r="570" spans="1:99" ht="13">
      <c r="A570" s="294"/>
      <c r="B570" s="294"/>
      <c r="F570" s="296"/>
      <c r="J570" s="302"/>
      <c r="AO570" s="1210"/>
      <c r="CP570" s="294"/>
      <c r="CU570" s="294"/>
    </row>
    <row r="571" spans="1:99" ht="13">
      <c r="A571" s="294"/>
      <c r="B571" s="294"/>
      <c r="F571" s="296"/>
      <c r="J571" s="302"/>
      <c r="AO571" s="1210"/>
      <c r="CP571" s="294"/>
      <c r="CU571" s="294"/>
    </row>
    <row r="572" spans="1:99" ht="13">
      <c r="A572" s="294"/>
      <c r="B572" s="294"/>
      <c r="F572" s="296"/>
      <c r="J572" s="302"/>
      <c r="AO572" s="1210"/>
      <c r="CP572" s="294"/>
      <c r="CU572" s="294"/>
    </row>
    <row r="573" spans="1:99" ht="13">
      <c r="A573" s="294"/>
      <c r="B573" s="294"/>
      <c r="F573" s="296"/>
      <c r="J573" s="302"/>
      <c r="AO573" s="1210"/>
      <c r="CP573" s="294"/>
      <c r="CU573" s="294"/>
    </row>
    <row r="574" spans="1:99" ht="13">
      <c r="A574" s="294"/>
      <c r="B574" s="294"/>
      <c r="F574" s="296"/>
      <c r="J574" s="302"/>
      <c r="AO574" s="1210"/>
      <c r="CP574" s="294"/>
      <c r="CU574" s="294"/>
    </row>
    <row r="575" spans="1:99" ht="13">
      <c r="A575" s="294"/>
      <c r="B575" s="294"/>
      <c r="F575" s="296"/>
      <c r="J575" s="302"/>
      <c r="AO575" s="1210"/>
      <c r="CP575" s="294"/>
      <c r="CU575" s="294"/>
    </row>
    <row r="576" spans="1:99" ht="13">
      <c r="A576" s="294"/>
      <c r="B576" s="294"/>
      <c r="F576" s="296"/>
      <c r="J576" s="302"/>
      <c r="AO576" s="1210"/>
      <c r="CP576" s="294"/>
      <c r="CU576" s="294"/>
    </row>
    <row r="577" spans="1:99" ht="13">
      <c r="A577" s="294"/>
      <c r="B577" s="294"/>
      <c r="F577" s="296"/>
      <c r="J577" s="302"/>
      <c r="AO577" s="1210"/>
      <c r="CP577" s="294"/>
      <c r="CU577" s="294"/>
    </row>
    <row r="578" spans="1:99" ht="13">
      <c r="A578" s="294"/>
      <c r="B578" s="294"/>
      <c r="F578" s="296"/>
      <c r="J578" s="302"/>
      <c r="AO578" s="1210"/>
      <c r="CP578" s="294"/>
      <c r="CU578" s="294"/>
    </row>
    <row r="579" spans="1:99" ht="13">
      <c r="A579" s="294"/>
      <c r="B579" s="294"/>
      <c r="F579" s="296"/>
      <c r="J579" s="302"/>
      <c r="AO579" s="1210"/>
      <c r="CP579" s="294"/>
      <c r="CU579" s="294"/>
    </row>
    <row r="580" spans="1:99" ht="13">
      <c r="A580" s="294"/>
      <c r="B580" s="294"/>
      <c r="F580" s="296"/>
      <c r="J580" s="302"/>
      <c r="AO580" s="1210"/>
      <c r="CP580" s="294"/>
      <c r="CU580" s="294"/>
    </row>
    <row r="581" spans="1:99" ht="13">
      <c r="A581" s="294"/>
      <c r="B581" s="294"/>
      <c r="F581" s="296"/>
      <c r="J581" s="302"/>
      <c r="AO581" s="1210"/>
      <c r="CP581" s="294"/>
      <c r="CU581" s="294"/>
    </row>
    <row r="582" spans="1:99" ht="13">
      <c r="A582" s="294"/>
      <c r="B582" s="294"/>
      <c r="F582" s="296"/>
      <c r="J582" s="302"/>
      <c r="AO582" s="1210"/>
      <c r="CP582" s="294"/>
      <c r="CU582" s="294"/>
    </row>
    <row r="583" spans="1:99" ht="13">
      <c r="A583" s="294"/>
      <c r="B583" s="294"/>
      <c r="F583" s="296"/>
      <c r="J583" s="302"/>
      <c r="AO583" s="1210"/>
      <c r="CP583" s="294"/>
      <c r="CU583" s="294"/>
    </row>
    <row r="584" spans="1:99" ht="13">
      <c r="A584" s="294"/>
      <c r="B584" s="294"/>
      <c r="F584" s="296"/>
      <c r="J584" s="302"/>
      <c r="AO584" s="1210"/>
      <c r="CP584" s="294"/>
      <c r="CU584" s="294"/>
    </row>
    <row r="585" spans="1:99" ht="13">
      <c r="A585" s="294"/>
      <c r="B585" s="294"/>
      <c r="F585" s="296"/>
      <c r="J585" s="302"/>
      <c r="AO585" s="1210"/>
      <c r="CP585" s="294"/>
      <c r="CU585" s="294"/>
    </row>
    <row r="586" spans="1:99" ht="13">
      <c r="A586" s="294"/>
      <c r="B586" s="294"/>
      <c r="F586" s="296"/>
      <c r="J586" s="302"/>
      <c r="AO586" s="1210"/>
      <c r="CP586" s="294"/>
      <c r="CU586" s="294"/>
    </row>
    <row r="587" spans="1:99" ht="13">
      <c r="A587" s="294"/>
      <c r="B587" s="294"/>
      <c r="F587" s="296"/>
      <c r="J587" s="302"/>
      <c r="AO587" s="1210"/>
      <c r="CP587" s="294"/>
      <c r="CU587" s="294"/>
    </row>
    <row r="588" spans="1:99" ht="13">
      <c r="A588" s="294"/>
      <c r="B588" s="294"/>
      <c r="F588" s="296"/>
      <c r="J588" s="302"/>
      <c r="AO588" s="1210"/>
      <c r="CP588" s="294"/>
      <c r="CU588" s="294"/>
    </row>
    <row r="589" spans="1:99" ht="13">
      <c r="A589" s="294"/>
      <c r="B589" s="294"/>
      <c r="F589" s="296"/>
      <c r="J589" s="302"/>
      <c r="AO589" s="1210"/>
      <c r="CP589" s="294"/>
      <c r="CU589" s="294"/>
    </row>
    <row r="590" spans="1:99" ht="13">
      <c r="A590" s="294"/>
      <c r="B590" s="294"/>
      <c r="F590" s="296"/>
      <c r="J590" s="302"/>
      <c r="AO590" s="1210"/>
      <c r="CP590" s="294"/>
      <c r="CU590" s="294"/>
    </row>
    <row r="591" spans="1:99" ht="13">
      <c r="A591" s="294"/>
      <c r="B591" s="294"/>
      <c r="F591" s="296"/>
      <c r="J591" s="302"/>
      <c r="AO591" s="1210"/>
      <c r="CP591" s="294"/>
      <c r="CU591" s="294"/>
    </row>
    <row r="592" spans="1:99" ht="13">
      <c r="A592" s="294"/>
      <c r="B592" s="294"/>
      <c r="F592" s="296"/>
      <c r="J592" s="302"/>
      <c r="AO592" s="1210"/>
      <c r="CP592" s="294"/>
      <c r="CU592" s="294"/>
    </row>
    <row r="593" spans="1:99" ht="13">
      <c r="A593" s="294"/>
      <c r="B593" s="294"/>
      <c r="F593" s="296"/>
      <c r="J593" s="302"/>
      <c r="AO593" s="1210"/>
      <c r="CP593" s="294"/>
      <c r="CU593" s="294"/>
    </row>
    <row r="594" spans="1:99" ht="13">
      <c r="A594" s="294"/>
      <c r="B594" s="294"/>
      <c r="F594" s="296"/>
      <c r="J594" s="302"/>
      <c r="AO594" s="1210"/>
      <c r="CP594" s="294"/>
      <c r="CU594" s="294"/>
    </row>
    <row r="595" spans="1:99" ht="13">
      <c r="A595" s="294"/>
      <c r="B595" s="294"/>
      <c r="F595" s="296"/>
      <c r="J595" s="302"/>
      <c r="AO595" s="1210"/>
      <c r="CP595" s="294"/>
      <c r="CU595" s="294"/>
    </row>
    <row r="596" spans="1:99" ht="13">
      <c r="A596" s="294"/>
      <c r="B596" s="294"/>
      <c r="F596" s="296"/>
      <c r="J596" s="302"/>
      <c r="AO596" s="1210"/>
      <c r="CP596" s="294"/>
      <c r="CU596" s="294"/>
    </row>
    <row r="597" spans="1:99" ht="13">
      <c r="A597" s="294"/>
      <c r="B597" s="294"/>
      <c r="F597" s="296"/>
      <c r="J597" s="302"/>
      <c r="AO597" s="1210"/>
      <c r="CP597" s="294"/>
      <c r="CU597" s="294"/>
    </row>
    <row r="598" spans="1:99" ht="13">
      <c r="A598" s="294"/>
      <c r="B598" s="294"/>
      <c r="F598" s="296"/>
      <c r="J598" s="302"/>
      <c r="AO598" s="1210"/>
      <c r="CP598" s="294"/>
      <c r="CU598" s="294"/>
    </row>
    <row r="599" spans="1:99" ht="13">
      <c r="A599" s="294"/>
      <c r="B599" s="294"/>
      <c r="F599" s="296"/>
      <c r="J599" s="302"/>
      <c r="AO599" s="1210"/>
      <c r="CP599" s="294"/>
      <c r="CU599" s="294"/>
    </row>
    <row r="600" spans="1:99" ht="13">
      <c r="A600" s="294"/>
      <c r="B600" s="294"/>
      <c r="F600" s="296"/>
      <c r="J600" s="302"/>
      <c r="AO600" s="1210"/>
      <c r="CP600" s="294"/>
      <c r="CU600" s="294"/>
    </row>
    <row r="601" spans="1:99" ht="13">
      <c r="A601" s="294"/>
      <c r="B601" s="294"/>
      <c r="F601" s="296"/>
      <c r="J601" s="302"/>
      <c r="AO601" s="1210"/>
      <c r="CP601" s="294"/>
      <c r="CU601" s="294"/>
    </row>
    <row r="602" spans="1:99" ht="13">
      <c r="A602" s="294"/>
      <c r="B602" s="294"/>
      <c r="F602" s="296"/>
      <c r="J602" s="302"/>
      <c r="AO602" s="1210"/>
      <c r="CP602" s="294"/>
      <c r="CU602" s="294"/>
    </row>
    <row r="603" spans="1:99" ht="13">
      <c r="A603" s="294"/>
      <c r="B603" s="294"/>
      <c r="F603" s="296"/>
      <c r="J603" s="302"/>
      <c r="AO603" s="1210"/>
      <c r="CP603" s="294"/>
      <c r="CU603" s="294"/>
    </row>
    <row r="604" spans="1:99" ht="13">
      <c r="A604" s="294"/>
      <c r="B604" s="294"/>
      <c r="F604" s="296"/>
      <c r="J604" s="302"/>
      <c r="AO604" s="1210"/>
      <c r="CP604" s="294"/>
      <c r="CU604" s="294"/>
    </row>
    <row r="605" spans="1:99" ht="13">
      <c r="A605" s="294"/>
      <c r="B605" s="294"/>
      <c r="F605" s="296"/>
      <c r="J605" s="302"/>
      <c r="AO605" s="1210"/>
      <c r="CP605" s="294"/>
      <c r="CU605" s="294"/>
    </row>
    <row r="606" spans="1:99" ht="13">
      <c r="A606" s="294"/>
      <c r="B606" s="294"/>
      <c r="F606" s="296"/>
      <c r="J606" s="302"/>
      <c r="AO606" s="1210"/>
      <c r="CP606" s="294"/>
      <c r="CU606" s="294"/>
    </row>
    <row r="607" spans="1:99" ht="13">
      <c r="A607" s="294"/>
      <c r="B607" s="294"/>
      <c r="F607" s="296"/>
      <c r="J607" s="302"/>
      <c r="AO607" s="1210"/>
      <c r="CP607" s="294"/>
      <c r="CU607" s="294"/>
    </row>
    <row r="608" spans="1:99" ht="13">
      <c r="A608" s="294"/>
      <c r="B608" s="294"/>
      <c r="F608" s="296"/>
      <c r="J608" s="302"/>
      <c r="AO608" s="1210"/>
      <c r="CP608" s="294"/>
      <c r="CU608" s="294"/>
    </row>
    <row r="609" spans="1:99" ht="13">
      <c r="A609" s="294"/>
      <c r="B609" s="294"/>
      <c r="F609" s="296"/>
      <c r="J609" s="302"/>
      <c r="AO609" s="1210"/>
      <c r="CP609" s="294"/>
      <c r="CU609" s="294"/>
    </row>
    <row r="610" spans="1:99" ht="13">
      <c r="A610" s="294"/>
      <c r="B610" s="294"/>
      <c r="F610" s="296"/>
      <c r="J610" s="302"/>
      <c r="AO610" s="1210"/>
      <c r="CP610" s="294"/>
      <c r="CU610" s="294"/>
    </row>
    <row r="611" spans="1:99" ht="13">
      <c r="A611" s="294"/>
      <c r="B611" s="294"/>
      <c r="F611" s="296"/>
      <c r="J611" s="302"/>
      <c r="AO611" s="1210"/>
      <c r="CP611" s="294"/>
      <c r="CU611" s="294"/>
    </row>
    <row r="612" spans="1:99" ht="13">
      <c r="A612" s="294"/>
      <c r="B612" s="294"/>
      <c r="F612" s="296"/>
      <c r="J612" s="302"/>
      <c r="AO612" s="1210"/>
      <c r="CP612" s="294"/>
      <c r="CU612" s="294"/>
    </row>
    <row r="613" spans="1:99" ht="13">
      <c r="A613" s="294"/>
      <c r="B613" s="294"/>
      <c r="F613" s="296"/>
      <c r="J613" s="302"/>
      <c r="AO613" s="1210"/>
      <c r="CP613" s="294"/>
      <c r="CU613" s="294"/>
    </row>
    <row r="614" spans="1:99" ht="13">
      <c r="A614" s="294"/>
      <c r="B614" s="294"/>
      <c r="F614" s="296"/>
      <c r="J614" s="302"/>
      <c r="AO614" s="1210"/>
      <c r="CP614" s="294"/>
      <c r="CU614" s="294"/>
    </row>
    <row r="615" spans="1:99" ht="13">
      <c r="A615" s="294"/>
      <c r="B615" s="294"/>
      <c r="F615" s="296"/>
      <c r="J615" s="302"/>
      <c r="AO615" s="1210"/>
      <c r="CP615" s="294"/>
      <c r="CU615" s="294"/>
    </row>
    <row r="616" spans="1:99" ht="13">
      <c r="A616" s="294"/>
      <c r="B616" s="294"/>
      <c r="F616" s="296"/>
      <c r="J616" s="302"/>
      <c r="AO616" s="1210"/>
      <c r="CP616" s="294"/>
      <c r="CU616" s="294"/>
    </row>
    <row r="617" spans="1:99" ht="13">
      <c r="A617" s="294"/>
      <c r="B617" s="294"/>
      <c r="F617" s="296"/>
      <c r="J617" s="302"/>
      <c r="AO617" s="1210"/>
      <c r="CP617" s="294"/>
      <c r="CU617" s="294"/>
    </row>
    <row r="618" spans="1:99" ht="13">
      <c r="A618" s="294"/>
      <c r="B618" s="294"/>
      <c r="F618" s="296"/>
      <c r="J618" s="302"/>
      <c r="AO618" s="1210"/>
      <c r="CP618" s="294"/>
      <c r="CU618" s="294"/>
    </row>
    <row r="619" spans="1:99" ht="13">
      <c r="A619" s="294"/>
      <c r="B619" s="294"/>
      <c r="F619" s="296"/>
      <c r="J619" s="302"/>
      <c r="AO619" s="1210"/>
      <c r="CP619" s="294"/>
      <c r="CU619" s="294"/>
    </row>
    <row r="620" spans="1:99" ht="13">
      <c r="A620" s="294"/>
      <c r="B620" s="294"/>
      <c r="F620" s="296"/>
      <c r="J620" s="302"/>
      <c r="AO620" s="1210"/>
      <c r="CP620" s="294"/>
      <c r="CU620" s="294"/>
    </row>
    <row r="621" spans="1:99" ht="13">
      <c r="A621" s="294"/>
      <c r="B621" s="294"/>
      <c r="F621" s="296"/>
      <c r="J621" s="302"/>
      <c r="AO621" s="1210"/>
      <c r="CP621" s="294"/>
      <c r="CU621" s="294"/>
    </row>
    <row r="622" spans="1:99" ht="13">
      <c r="A622" s="294"/>
      <c r="B622" s="294"/>
      <c r="F622" s="296"/>
      <c r="J622" s="302"/>
      <c r="AO622" s="1210"/>
      <c r="CP622" s="294"/>
      <c r="CU622" s="294"/>
    </row>
    <row r="623" spans="1:99" ht="13">
      <c r="A623" s="294"/>
      <c r="B623" s="294"/>
      <c r="F623" s="296"/>
      <c r="J623" s="302"/>
      <c r="AO623" s="1210"/>
      <c r="CP623" s="294"/>
      <c r="CU623" s="294"/>
    </row>
    <row r="624" spans="1:99" ht="13">
      <c r="A624" s="294"/>
      <c r="B624" s="294"/>
      <c r="F624" s="296"/>
      <c r="J624" s="302"/>
      <c r="AO624" s="1210"/>
      <c r="CP624" s="294"/>
      <c r="CU624" s="294"/>
    </row>
    <row r="625" spans="1:99" ht="13">
      <c r="A625" s="294"/>
      <c r="B625" s="294"/>
      <c r="F625" s="296"/>
      <c r="J625" s="302"/>
      <c r="AO625" s="1210"/>
      <c r="CP625" s="294"/>
      <c r="CU625" s="294"/>
    </row>
    <row r="626" spans="1:99" ht="13">
      <c r="A626" s="294"/>
      <c r="B626" s="294"/>
      <c r="F626" s="296"/>
      <c r="J626" s="302"/>
      <c r="AO626" s="1210"/>
      <c r="CP626" s="294"/>
      <c r="CU626" s="294"/>
    </row>
    <row r="627" spans="1:99" ht="13">
      <c r="A627" s="294"/>
      <c r="B627" s="294"/>
      <c r="F627" s="296"/>
      <c r="J627" s="302"/>
      <c r="AO627" s="1210"/>
      <c r="CP627" s="294"/>
      <c r="CU627" s="294"/>
    </row>
    <row r="628" spans="1:99" ht="13">
      <c r="A628" s="294"/>
      <c r="B628" s="294"/>
      <c r="F628" s="296"/>
      <c r="J628" s="302"/>
      <c r="AO628" s="1210"/>
      <c r="CP628" s="294"/>
      <c r="CU628" s="294"/>
    </row>
    <row r="629" spans="1:99" ht="13">
      <c r="A629" s="294"/>
      <c r="B629" s="294"/>
      <c r="F629" s="296"/>
      <c r="J629" s="302"/>
      <c r="AO629" s="1210"/>
      <c r="CP629" s="294"/>
      <c r="CU629" s="294"/>
    </row>
    <row r="630" spans="1:99" ht="13">
      <c r="A630" s="294"/>
      <c r="B630" s="294"/>
      <c r="F630" s="296"/>
      <c r="J630" s="302"/>
      <c r="AO630" s="1210"/>
      <c r="CP630" s="294"/>
      <c r="CU630" s="294"/>
    </row>
    <row r="631" spans="1:99" ht="13">
      <c r="A631" s="294"/>
      <c r="B631" s="294"/>
      <c r="F631" s="296"/>
      <c r="J631" s="302"/>
      <c r="AO631" s="1210"/>
      <c r="CP631" s="294"/>
      <c r="CU631" s="294"/>
    </row>
    <row r="632" spans="1:99" ht="13">
      <c r="A632" s="294"/>
      <c r="B632" s="294"/>
      <c r="F632" s="296"/>
      <c r="J632" s="302"/>
      <c r="AO632" s="1210"/>
      <c r="CP632" s="294"/>
      <c r="CU632" s="294"/>
    </row>
    <row r="633" spans="1:99" ht="13">
      <c r="A633" s="294"/>
      <c r="B633" s="294"/>
      <c r="F633" s="296"/>
      <c r="J633" s="302"/>
      <c r="AO633" s="1210"/>
      <c r="CP633" s="294"/>
      <c r="CU633" s="294"/>
    </row>
    <row r="634" spans="1:99" ht="13">
      <c r="A634" s="294"/>
      <c r="B634" s="294"/>
      <c r="F634" s="296"/>
      <c r="J634" s="302"/>
      <c r="AO634" s="1210"/>
      <c r="CP634" s="294"/>
      <c r="CU634" s="294"/>
    </row>
    <row r="635" spans="1:99" ht="13">
      <c r="A635" s="294"/>
      <c r="B635" s="294"/>
      <c r="F635" s="296"/>
      <c r="J635" s="302"/>
      <c r="AO635" s="1210"/>
      <c r="CP635" s="294"/>
      <c r="CU635" s="294"/>
    </row>
    <row r="636" spans="1:99" ht="13">
      <c r="A636" s="294"/>
      <c r="B636" s="294"/>
      <c r="F636" s="296"/>
      <c r="J636" s="302"/>
      <c r="AO636" s="1210"/>
      <c r="CP636" s="294"/>
      <c r="CU636" s="294"/>
    </row>
    <row r="637" spans="1:99" ht="13">
      <c r="A637" s="294"/>
      <c r="B637" s="294"/>
      <c r="F637" s="296"/>
      <c r="J637" s="302"/>
      <c r="AO637" s="1210"/>
      <c r="CP637" s="294"/>
      <c r="CU637" s="294"/>
    </row>
    <row r="638" spans="1:99" ht="13">
      <c r="A638" s="294"/>
      <c r="B638" s="294"/>
      <c r="F638" s="296"/>
      <c r="J638" s="302"/>
      <c r="AO638" s="1210"/>
      <c r="CP638" s="294"/>
      <c r="CU638" s="294"/>
    </row>
    <row r="639" spans="1:99" ht="13">
      <c r="A639" s="294"/>
      <c r="B639" s="294"/>
      <c r="F639" s="296"/>
      <c r="J639" s="302"/>
      <c r="AO639" s="1210"/>
      <c r="CP639" s="294"/>
      <c r="CU639" s="294"/>
    </row>
    <row r="640" spans="1:99" ht="13">
      <c r="A640" s="294"/>
      <c r="B640" s="294"/>
      <c r="F640" s="296"/>
      <c r="J640" s="302"/>
      <c r="AO640" s="1210"/>
      <c r="CP640" s="294"/>
      <c r="CU640" s="294"/>
    </row>
    <row r="641" spans="1:99" ht="13">
      <c r="A641" s="294"/>
      <c r="B641" s="294"/>
      <c r="F641" s="296"/>
      <c r="J641" s="302"/>
      <c r="AO641" s="1210"/>
      <c r="CP641" s="294"/>
      <c r="CU641" s="294"/>
    </row>
    <row r="642" spans="1:99" ht="13">
      <c r="A642" s="294"/>
      <c r="B642" s="294"/>
      <c r="F642" s="296"/>
      <c r="J642" s="302"/>
      <c r="AO642" s="1210"/>
      <c r="CP642" s="294"/>
      <c r="CU642" s="294"/>
    </row>
    <row r="643" spans="1:99" ht="13">
      <c r="A643" s="294"/>
      <c r="B643" s="294"/>
      <c r="F643" s="296"/>
      <c r="J643" s="302"/>
      <c r="AO643" s="1210"/>
      <c r="CP643" s="294"/>
      <c r="CU643" s="294"/>
    </row>
    <row r="644" spans="1:99" ht="13">
      <c r="A644" s="294"/>
      <c r="B644" s="294"/>
      <c r="F644" s="296"/>
      <c r="J644" s="302"/>
      <c r="AO644" s="1210"/>
      <c r="CP644" s="294"/>
      <c r="CU644" s="294"/>
    </row>
    <row r="645" spans="1:99" ht="13">
      <c r="A645" s="294"/>
      <c r="B645" s="294"/>
      <c r="F645" s="296"/>
      <c r="J645" s="302"/>
      <c r="AO645" s="1210"/>
      <c r="CP645" s="294"/>
      <c r="CU645" s="294"/>
    </row>
    <row r="646" spans="1:99" ht="13">
      <c r="A646" s="294"/>
      <c r="B646" s="294"/>
      <c r="F646" s="296"/>
      <c r="J646" s="302"/>
      <c r="AO646" s="1210"/>
      <c r="CP646" s="294"/>
      <c r="CU646" s="294"/>
    </row>
    <row r="647" spans="1:99" ht="13">
      <c r="A647" s="294"/>
      <c r="B647" s="294"/>
      <c r="F647" s="296"/>
      <c r="J647" s="302"/>
      <c r="AO647" s="1210"/>
      <c r="CP647" s="294"/>
      <c r="CU647" s="294"/>
    </row>
    <row r="648" spans="1:99" ht="13">
      <c r="A648" s="294"/>
      <c r="B648" s="294"/>
      <c r="F648" s="296"/>
      <c r="J648" s="302"/>
      <c r="AO648" s="1210"/>
      <c r="CP648" s="294"/>
      <c r="CU648" s="294"/>
    </row>
    <row r="649" spans="1:99" ht="13">
      <c r="A649" s="294"/>
      <c r="B649" s="294"/>
      <c r="F649" s="296"/>
      <c r="J649" s="302"/>
      <c r="AO649" s="1210"/>
      <c r="CP649" s="294"/>
      <c r="CU649" s="294"/>
    </row>
    <row r="650" spans="1:99" ht="13">
      <c r="A650" s="294"/>
      <c r="B650" s="294"/>
      <c r="F650" s="296"/>
      <c r="J650" s="302"/>
      <c r="AO650" s="1210"/>
      <c r="CP650" s="294"/>
      <c r="CU650" s="294"/>
    </row>
    <row r="651" spans="1:99" ht="13">
      <c r="A651" s="294"/>
      <c r="B651" s="294"/>
      <c r="F651" s="296"/>
      <c r="J651" s="302"/>
      <c r="AO651" s="1210"/>
      <c r="CP651" s="294"/>
      <c r="CU651" s="294"/>
    </row>
    <row r="652" spans="1:99" ht="13">
      <c r="A652" s="294"/>
      <c r="B652" s="294"/>
      <c r="F652" s="296"/>
      <c r="J652" s="302"/>
      <c r="AO652" s="1210"/>
      <c r="CP652" s="294"/>
      <c r="CU652" s="294"/>
    </row>
    <row r="653" spans="1:99" ht="13">
      <c r="A653" s="294"/>
      <c r="B653" s="294"/>
      <c r="F653" s="296"/>
      <c r="J653" s="302"/>
      <c r="AO653" s="1210"/>
      <c r="CP653" s="294"/>
      <c r="CU653" s="294"/>
    </row>
    <row r="654" spans="1:99" ht="13">
      <c r="A654" s="294"/>
      <c r="B654" s="294"/>
      <c r="F654" s="296"/>
      <c r="J654" s="302"/>
      <c r="AO654" s="1210"/>
      <c r="CP654" s="294"/>
      <c r="CU654" s="294"/>
    </row>
    <row r="655" spans="1:99" ht="13">
      <c r="A655" s="294"/>
      <c r="B655" s="294"/>
      <c r="F655" s="296"/>
      <c r="J655" s="302"/>
      <c r="AO655" s="1210"/>
      <c r="CP655" s="294"/>
      <c r="CU655" s="294"/>
    </row>
    <row r="656" spans="1:99" ht="13">
      <c r="A656" s="294"/>
      <c r="B656" s="294"/>
      <c r="F656" s="296"/>
      <c r="J656" s="302"/>
      <c r="AO656" s="1210"/>
      <c r="CP656" s="294"/>
      <c r="CU656" s="294"/>
    </row>
    <row r="657" spans="1:99" ht="13">
      <c r="A657" s="294"/>
      <c r="B657" s="294"/>
      <c r="F657" s="296"/>
      <c r="J657" s="302"/>
      <c r="AO657" s="1210"/>
      <c r="CP657" s="294"/>
      <c r="CU657" s="294"/>
    </row>
    <row r="658" spans="1:99" ht="13">
      <c r="A658" s="294"/>
      <c r="B658" s="294"/>
      <c r="F658" s="296"/>
      <c r="J658" s="302"/>
      <c r="AO658" s="1210"/>
      <c r="CP658" s="294"/>
      <c r="CU658" s="294"/>
    </row>
    <row r="659" spans="1:99" ht="13">
      <c r="A659" s="294"/>
      <c r="B659" s="294"/>
      <c r="F659" s="296"/>
      <c r="J659" s="302"/>
      <c r="AO659" s="1210"/>
      <c r="CP659" s="294"/>
      <c r="CU659" s="294"/>
    </row>
    <row r="660" spans="1:99" ht="13">
      <c r="A660" s="294"/>
      <c r="B660" s="294"/>
      <c r="F660" s="296"/>
      <c r="J660" s="302"/>
      <c r="AO660" s="1210"/>
      <c r="CP660" s="294"/>
      <c r="CU660" s="294"/>
    </row>
    <row r="661" spans="1:99" ht="13">
      <c r="A661" s="294"/>
      <c r="B661" s="294"/>
      <c r="F661" s="296"/>
      <c r="J661" s="302"/>
      <c r="AO661" s="1210"/>
      <c r="CP661" s="294"/>
      <c r="CU661" s="294"/>
    </row>
    <row r="662" spans="1:99" ht="13">
      <c r="A662" s="294"/>
      <c r="B662" s="294"/>
      <c r="F662" s="296"/>
      <c r="J662" s="302"/>
      <c r="AO662" s="1210"/>
      <c r="CP662" s="294"/>
      <c r="CU662" s="294"/>
    </row>
    <row r="663" spans="1:99" ht="13">
      <c r="A663" s="294"/>
      <c r="B663" s="294"/>
      <c r="F663" s="296"/>
      <c r="J663" s="302"/>
      <c r="AO663" s="1210"/>
      <c r="CP663" s="294"/>
      <c r="CU663" s="294"/>
    </row>
    <row r="664" spans="1:99" ht="13">
      <c r="A664" s="294"/>
      <c r="B664" s="294"/>
      <c r="F664" s="296"/>
      <c r="J664" s="302"/>
      <c r="AO664" s="1210"/>
      <c r="CP664" s="294"/>
      <c r="CU664" s="294"/>
    </row>
    <row r="665" spans="1:99" ht="13">
      <c r="A665" s="294"/>
      <c r="B665" s="294"/>
      <c r="F665" s="296"/>
      <c r="J665" s="302"/>
      <c r="AO665" s="1210"/>
      <c r="CP665" s="294"/>
      <c r="CU665" s="294"/>
    </row>
    <row r="666" spans="1:99" ht="13">
      <c r="A666" s="294"/>
      <c r="B666" s="294"/>
      <c r="F666" s="296"/>
      <c r="J666" s="302"/>
      <c r="AO666" s="1210"/>
      <c r="CP666" s="294"/>
      <c r="CU666" s="294"/>
    </row>
    <row r="667" spans="1:99" ht="13">
      <c r="A667" s="294"/>
      <c r="B667" s="294"/>
      <c r="F667" s="296"/>
      <c r="J667" s="302"/>
      <c r="AO667" s="1210"/>
      <c r="CP667" s="294"/>
      <c r="CU667" s="294"/>
    </row>
    <row r="668" spans="1:99" ht="13">
      <c r="A668" s="294"/>
      <c r="B668" s="294"/>
      <c r="F668" s="296"/>
      <c r="J668" s="302"/>
      <c r="AO668" s="1210"/>
      <c r="CP668" s="294"/>
      <c r="CU668" s="294"/>
    </row>
    <row r="669" spans="1:99" ht="13">
      <c r="A669" s="294"/>
      <c r="B669" s="294"/>
      <c r="F669" s="296"/>
      <c r="J669" s="302"/>
      <c r="AO669" s="1210"/>
      <c r="CP669" s="294"/>
      <c r="CU669" s="294"/>
    </row>
    <row r="670" spans="1:99" ht="13">
      <c r="A670" s="294"/>
      <c r="B670" s="294"/>
      <c r="F670" s="296"/>
      <c r="J670" s="302"/>
      <c r="AO670" s="1210"/>
      <c r="CP670" s="294"/>
      <c r="CU670" s="294"/>
    </row>
    <row r="671" spans="1:99" ht="13">
      <c r="A671" s="294"/>
      <c r="B671" s="294"/>
      <c r="F671" s="296"/>
      <c r="J671" s="302"/>
      <c r="AO671" s="1210"/>
      <c r="CP671" s="294"/>
      <c r="CU671" s="294"/>
    </row>
    <row r="672" spans="1:99" ht="13">
      <c r="A672" s="294"/>
      <c r="B672" s="294"/>
      <c r="F672" s="296"/>
      <c r="J672" s="302"/>
      <c r="AO672" s="1210"/>
      <c r="CP672" s="294"/>
      <c r="CU672" s="294"/>
    </row>
    <row r="673" spans="1:99" ht="13">
      <c r="A673" s="294"/>
      <c r="B673" s="294"/>
      <c r="F673" s="296"/>
      <c r="J673" s="302"/>
      <c r="AO673" s="1210"/>
      <c r="CP673" s="294"/>
      <c r="CU673" s="294"/>
    </row>
    <row r="674" spans="1:99" ht="13">
      <c r="A674" s="294"/>
      <c r="B674" s="294"/>
      <c r="F674" s="296"/>
      <c r="J674" s="302"/>
      <c r="AO674" s="1210"/>
      <c r="CP674" s="294"/>
      <c r="CU674" s="294"/>
    </row>
    <row r="675" spans="1:99" ht="13">
      <c r="A675" s="294"/>
      <c r="B675" s="294"/>
      <c r="F675" s="296"/>
      <c r="J675" s="302"/>
      <c r="AO675" s="1210"/>
      <c r="CP675" s="294"/>
      <c r="CU675" s="294"/>
    </row>
    <row r="676" spans="1:99" ht="13">
      <c r="A676" s="294"/>
      <c r="B676" s="294"/>
      <c r="F676" s="296"/>
      <c r="J676" s="302"/>
      <c r="AO676" s="1210"/>
      <c r="CP676" s="294"/>
      <c r="CU676" s="294"/>
    </row>
    <row r="677" spans="1:99" ht="13">
      <c r="A677" s="294"/>
      <c r="B677" s="294"/>
      <c r="F677" s="296"/>
      <c r="J677" s="302"/>
      <c r="AO677" s="1210"/>
      <c r="CP677" s="294"/>
      <c r="CU677" s="294"/>
    </row>
    <row r="678" spans="1:99" ht="13">
      <c r="A678" s="294"/>
      <c r="B678" s="294"/>
      <c r="F678" s="296"/>
      <c r="J678" s="302"/>
      <c r="AO678" s="1210"/>
      <c r="CP678" s="294"/>
      <c r="CU678" s="294"/>
    </row>
    <row r="679" spans="1:99" ht="13">
      <c r="A679" s="294"/>
      <c r="B679" s="294"/>
      <c r="F679" s="296"/>
      <c r="J679" s="302"/>
      <c r="AO679" s="1210"/>
      <c r="CP679" s="294"/>
      <c r="CU679" s="294"/>
    </row>
    <row r="680" spans="1:99" ht="13">
      <c r="A680" s="294"/>
      <c r="B680" s="294"/>
      <c r="F680" s="296"/>
      <c r="J680" s="302"/>
      <c r="AO680" s="1210"/>
      <c r="CP680" s="294"/>
      <c r="CU680" s="294"/>
    </row>
    <row r="681" spans="1:99" ht="13">
      <c r="A681" s="294"/>
      <c r="B681" s="294"/>
      <c r="F681" s="296"/>
      <c r="J681" s="302"/>
      <c r="AO681" s="1210"/>
      <c r="CP681" s="294"/>
      <c r="CU681" s="294"/>
    </row>
    <row r="682" spans="1:99" ht="13">
      <c r="A682" s="294"/>
      <c r="B682" s="294"/>
      <c r="F682" s="296"/>
      <c r="J682" s="302"/>
      <c r="AO682" s="1210"/>
      <c r="CP682" s="294"/>
      <c r="CU682" s="294"/>
    </row>
    <row r="683" spans="1:99" ht="13">
      <c r="A683" s="294"/>
      <c r="B683" s="294"/>
      <c r="F683" s="296"/>
      <c r="J683" s="302"/>
      <c r="AO683" s="1210"/>
      <c r="CP683" s="294"/>
      <c r="CU683" s="294"/>
    </row>
    <row r="684" spans="1:99" ht="13">
      <c r="A684" s="294"/>
      <c r="B684" s="294"/>
      <c r="F684" s="296"/>
      <c r="J684" s="302"/>
      <c r="AO684" s="1210"/>
      <c r="CP684" s="294"/>
      <c r="CU684" s="294"/>
    </row>
    <row r="685" spans="1:99" ht="13">
      <c r="A685" s="294"/>
      <c r="B685" s="294"/>
      <c r="F685" s="296"/>
      <c r="J685" s="302"/>
      <c r="AO685" s="1210"/>
      <c r="CP685" s="294"/>
      <c r="CU685" s="294"/>
    </row>
    <row r="686" spans="1:99" ht="13">
      <c r="A686" s="294"/>
      <c r="B686" s="294"/>
      <c r="F686" s="296"/>
      <c r="J686" s="302"/>
      <c r="AO686" s="1210"/>
      <c r="CP686" s="294"/>
      <c r="CU686" s="294"/>
    </row>
    <row r="687" spans="1:99" ht="13">
      <c r="A687" s="294"/>
      <c r="B687" s="294"/>
      <c r="F687" s="296"/>
      <c r="J687" s="302"/>
      <c r="AO687" s="1210"/>
      <c r="CP687" s="294"/>
      <c r="CU687" s="294"/>
    </row>
    <row r="688" spans="1:99" ht="13">
      <c r="A688" s="294"/>
      <c r="B688" s="294"/>
      <c r="F688" s="296"/>
      <c r="J688" s="302"/>
      <c r="AO688" s="1210"/>
      <c r="CP688" s="294"/>
      <c r="CU688" s="294"/>
    </row>
    <row r="689" spans="1:99" ht="13">
      <c r="A689" s="294"/>
      <c r="B689" s="294"/>
      <c r="F689" s="296"/>
      <c r="J689" s="302"/>
      <c r="AO689" s="1210"/>
      <c r="CP689" s="294"/>
      <c r="CU689" s="294"/>
    </row>
    <row r="690" spans="1:99" ht="13">
      <c r="A690" s="294"/>
      <c r="B690" s="294"/>
      <c r="F690" s="296"/>
      <c r="J690" s="302"/>
      <c r="AO690" s="1210"/>
      <c r="CP690" s="294"/>
      <c r="CU690" s="294"/>
    </row>
    <row r="691" spans="1:99" ht="13">
      <c r="A691" s="294"/>
      <c r="B691" s="294"/>
      <c r="F691" s="296"/>
      <c r="J691" s="302"/>
      <c r="AO691" s="1210"/>
      <c r="CP691" s="294"/>
      <c r="CU691" s="294"/>
    </row>
    <row r="692" spans="1:99" ht="13">
      <c r="A692" s="294"/>
      <c r="B692" s="294"/>
      <c r="F692" s="296"/>
      <c r="J692" s="302"/>
      <c r="AO692" s="1210"/>
      <c r="CP692" s="294"/>
      <c r="CU692" s="294"/>
    </row>
    <row r="693" spans="1:99" ht="13">
      <c r="A693" s="294"/>
      <c r="B693" s="294"/>
      <c r="F693" s="296"/>
      <c r="J693" s="302"/>
      <c r="AO693" s="1210"/>
      <c r="CP693" s="294"/>
      <c r="CU693" s="294"/>
    </row>
    <row r="694" spans="1:99" ht="13">
      <c r="A694" s="294"/>
      <c r="B694" s="294"/>
      <c r="F694" s="296"/>
      <c r="J694" s="302"/>
      <c r="AO694" s="1210"/>
      <c r="CP694" s="294"/>
      <c r="CU694" s="294"/>
    </row>
    <row r="695" spans="1:99" ht="13">
      <c r="A695" s="294"/>
      <c r="B695" s="294"/>
      <c r="F695" s="296"/>
      <c r="J695" s="302"/>
      <c r="AO695" s="1210"/>
      <c r="CP695" s="294"/>
      <c r="CU695" s="294"/>
    </row>
    <row r="696" spans="1:99" ht="13">
      <c r="A696" s="294"/>
      <c r="B696" s="294"/>
      <c r="F696" s="296"/>
      <c r="J696" s="302"/>
      <c r="AO696" s="1210"/>
      <c r="CP696" s="294"/>
      <c r="CU696" s="294"/>
    </row>
    <row r="697" spans="1:99" ht="13">
      <c r="A697" s="294"/>
      <c r="B697" s="294"/>
      <c r="F697" s="296"/>
      <c r="J697" s="302"/>
      <c r="AO697" s="1210"/>
      <c r="CP697" s="294"/>
      <c r="CU697" s="294"/>
    </row>
    <row r="698" spans="1:99" ht="13">
      <c r="A698" s="294"/>
      <c r="B698" s="294"/>
      <c r="F698" s="296"/>
      <c r="J698" s="302"/>
      <c r="AO698" s="1210"/>
      <c r="CP698" s="294"/>
      <c r="CU698" s="294"/>
    </row>
    <row r="699" spans="1:99" ht="13">
      <c r="A699" s="294"/>
      <c r="B699" s="294"/>
      <c r="F699" s="296"/>
      <c r="J699" s="302"/>
      <c r="AO699" s="1210"/>
      <c r="CP699" s="294"/>
      <c r="CU699" s="294"/>
    </row>
    <row r="700" spans="1:99" ht="13">
      <c r="A700" s="294"/>
      <c r="B700" s="294"/>
      <c r="F700" s="296"/>
      <c r="J700" s="302"/>
      <c r="AO700" s="1210"/>
      <c r="CP700" s="294"/>
      <c r="CU700" s="294"/>
    </row>
    <row r="701" spans="1:99" ht="13">
      <c r="A701" s="294"/>
      <c r="B701" s="294"/>
      <c r="F701" s="296"/>
      <c r="J701" s="302"/>
      <c r="AO701" s="1210"/>
      <c r="CP701" s="294"/>
      <c r="CU701" s="294"/>
    </row>
    <row r="702" spans="1:99" ht="13">
      <c r="A702" s="294"/>
      <c r="B702" s="294"/>
      <c r="F702" s="296"/>
      <c r="J702" s="302"/>
      <c r="AO702" s="1210"/>
      <c r="CP702" s="294"/>
      <c r="CU702" s="294"/>
    </row>
    <row r="703" spans="1:99" ht="13">
      <c r="A703" s="294"/>
      <c r="B703" s="294"/>
      <c r="F703" s="296"/>
      <c r="J703" s="302"/>
      <c r="AO703" s="1210"/>
      <c r="CP703" s="294"/>
      <c r="CU703" s="294"/>
    </row>
    <row r="704" spans="1:99" ht="13">
      <c r="A704" s="294"/>
      <c r="B704" s="294"/>
      <c r="F704" s="296"/>
      <c r="J704" s="302"/>
      <c r="AO704" s="1210"/>
      <c r="CP704" s="294"/>
      <c r="CU704" s="294"/>
    </row>
    <row r="705" spans="1:99" ht="13">
      <c r="A705" s="294"/>
      <c r="B705" s="294"/>
      <c r="F705" s="296"/>
      <c r="J705" s="302"/>
      <c r="AO705" s="1210"/>
      <c r="CP705" s="294"/>
      <c r="CU705" s="294"/>
    </row>
    <row r="706" spans="1:99" ht="13">
      <c r="A706" s="294"/>
      <c r="B706" s="294"/>
      <c r="F706" s="296"/>
      <c r="J706" s="302"/>
      <c r="AO706" s="1210"/>
      <c r="CP706" s="294"/>
      <c r="CU706" s="294"/>
    </row>
    <row r="707" spans="1:99" ht="13">
      <c r="A707" s="294"/>
      <c r="B707" s="294"/>
      <c r="F707" s="296"/>
      <c r="J707" s="302"/>
      <c r="AO707" s="1210"/>
      <c r="CP707" s="294"/>
      <c r="CU707" s="294"/>
    </row>
    <row r="708" spans="1:99" ht="13">
      <c r="A708" s="294"/>
      <c r="B708" s="294"/>
      <c r="F708" s="296"/>
      <c r="J708" s="302"/>
      <c r="AO708" s="1210"/>
      <c r="CP708" s="294"/>
      <c r="CU708" s="294"/>
    </row>
    <row r="709" spans="1:99" ht="13">
      <c r="A709" s="294"/>
      <c r="B709" s="294"/>
      <c r="F709" s="296"/>
      <c r="J709" s="302"/>
      <c r="AO709" s="1210"/>
      <c r="CP709" s="294"/>
      <c r="CU709" s="294"/>
    </row>
    <row r="710" spans="1:99" ht="13">
      <c r="A710" s="294"/>
      <c r="B710" s="294"/>
      <c r="F710" s="296"/>
      <c r="J710" s="302"/>
      <c r="AO710" s="1210"/>
      <c r="CP710" s="294"/>
      <c r="CU710" s="294"/>
    </row>
    <row r="711" spans="1:99" ht="13">
      <c r="A711" s="294"/>
      <c r="B711" s="294"/>
      <c r="F711" s="296"/>
      <c r="J711" s="302"/>
      <c r="AO711" s="1210"/>
      <c r="CP711" s="294"/>
      <c r="CU711" s="294"/>
    </row>
    <row r="712" spans="1:99" ht="13">
      <c r="A712" s="294"/>
      <c r="B712" s="294"/>
      <c r="F712" s="296"/>
      <c r="J712" s="302"/>
      <c r="AO712" s="1210"/>
      <c r="CP712" s="294"/>
      <c r="CU712" s="294"/>
    </row>
    <row r="713" spans="1:99" ht="13">
      <c r="A713" s="294"/>
      <c r="B713" s="294"/>
      <c r="F713" s="296"/>
      <c r="J713" s="302"/>
      <c r="AO713" s="1210"/>
      <c r="CP713" s="294"/>
      <c r="CU713" s="294"/>
    </row>
    <row r="714" spans="1:99" ht="13">
      <c r="A714" s="294"/>
      <c r="B714" s="294"/>
      <c r="F714" s="296"/>
      <c r="J714" s="302"/>
      <c r="AO714" s="1210"/>
      <c r="CP714" s="294"/>
      <c r="CU714" s="294"/>
    </row>
    <row r="715" spans="1:99" ht="13">
      <c r="A715" s="294"/>
      <c r="B715" s="294"/>
      <c r="F715" s="296"/>
      <c r="J715" s="302"/>
      <c r="AO715" s="1210"/>
      <c r="CP715" s="294"/>
      <c r="CU715" s="294"/>
    </row>
    <row r="716" spans="1:99" ht="13">
      <c r="A716" s="294"/>
      <c r="B716" s="294"/>
      <c r="F716" s="296"/>
      <c r="J716" s="302"/>
      <c r="AO716" s="1210"/>
      <c r="CP716" s="294"/>
      <c r="CU716" s="294"/>
    </row>
    <row r="717" spans="1:99" ht="13">
      <c r="A717" s="294"/>
      <c r="B717" s="294"/>
      <c r="F717" s="296"/>
      <c r="J717" s="302"/>
      <c r="AO717" s="1210"/>
      <c r="CP717" s="294"/>
      <c r="CU717" s="294"/>
    </row>
    <row r="718" spans="1:99" ht="13">
      <c r="A718" s="294"/>
      <c r="B718" s="294"/>
      <c r="F718" s="296"/>
      <c r="J718" s="302"/>
      <c r="AO718" s="1210"/>
      <c r="CP718" s="294"/>
      <c r="CU718" s="294"/>
    </row>
    <row r="719" spans="1:99" ht="13">
      <c r="A719" s="294"/>
      <c r="B719" s="294"/>
      <c r="F719" s="296"/>
      <c r="J719" s="302"/>
      <c r="AO719" s="1210"/>
      <c r="CP719" s="294"/>
      <c r="CU719" s="294"/>
    </row>
    <row r="720" spans="1:99" ht="13">
      <c r="A720" s="294"/>
      <c r="B720" s="294"/>
      <c r="F720" s="296"/>
      <c r="J720" s="302"/>
      <c r="AO720" s="1210"/>
      <c r="CP720" s="294"/>
      <c r="CU720" s="294"/>
    </row>
    <row r="721" spans="1:99" ht="13">
      <c r="A721" s="294"/>
      <c r="B721" s="294"/>
      <c r="F721" s="296"/>
      <c r="J721" s="302"/>
      <c r="AO721" s="1210"/>
      <c r="CP721" s="294"/>
      <c r="CU721" s="294"/>
    </row>
    <row r="722" spans="1:99" ht="13">
      <c r="A722" s="294"/>
      <c r="B722" s="294"/>
      <c r="F722" s="296"/>
      <c r="J722" s="302"/>
      <c r="AO722" s="1210"/>
      <c r="CP722" s="294"/>
      <c r="CU722" s="294"/>
    </row>
    <row r="723" spans="1:99" ht="13">
      <c r="A723" s="294"/>
      <c r="B723" s="294"/>
      <c r="F723" s="296"/>
      <c r="J723" s="302"/>
      <c r="AO723" s="1210"/>
      <c r="CP723" s="294"/>
      <c r="CU723" s="294"/>
    </row>
    <row r="724" spans="1:99" ht="13">
      <c r="A724" s="294"/>
      <c r="B724" s="294"/>
      <c r="F724" s="296"/>
      <c r="J724" s="302"/>
      <c r="AO724" s="1210"/>
      <c r="CP724" s="294"/>
      <c r="CU724" s="294"/>
    </row>
    <row r="725" spans="1:99" ht="13">
      <c r="A725" s="294"/>
      <c r="B725" s="294"/>
      <c r="F725" s="296"/>
      <c r="J725" s="302"/>
      <c r="AO725" s="1210"/>
      <c r="CP725" s="294"/>
      <c r="CU725" s="294"/>
    </row>
    <row r="726" spans="1:99" ht="13">
      <c r="A726" s="294"/>
      <c r="B726" s="294"/>
      <c r="F726" s="296"/>
      <c r="J726" s="302"/>
      <c r="AO726" s="1210"/>
      <c r="CP726" s="294"/>
      <c r="CU726" s="294"/>
    </row>
    <row r="727" spans="1:99" ht="13">
      <c r="A727" s="294"/>
      <c r="B727" s="294"/>
      <c r="F727" s="296"/>
      <c r="J727" s="302"/>
      <c r="AO727" s="1210"/>
      <c r="CP727" s="294"/>
      <c r="CU727" s="294"/>
    </row>
    <row r="728" spans="1:99" ht="13">
      <c r="A728" s="294"/>
      <c r="B728" s="294"/>
      <c r="F728" s="296"/>
      <c r="J728" s="302"/>
      <c r="AO728" s="1210"/>
      <c r="CP728" s="294"/>
      <c r="CU728" s="294"/>
    </row>
    <row r="729" spans="1:99" ht="13">
      <c r="A729" s="294"/>
      <c r="B729" s="294"/>
      <c r="F729" s="296"/>
      <c r="J729" s="302"/>
      <c r="AO729" s="1210"/>
      <c r="CP729" s="294"/>
      <c r="CU729" s="294"/>
    </row>
    <row r="730" spans="1:99" ht="13">
      <c r="A730" s="294"/>
      <c r="B730" s="294"/>
      <c r="F730" s="296"/>
      <c r="J730" s="302"/>
      <c r="AO730" s="1210"/>
      <c r="CP730" s="294"/>
      <c r="CU730" s="294"/>
    </row>
    <row r="731" spans="1:99" ht="13">
      <c r="A731" s="294"/>
      <c r="B731" s="294"/>
      <c r="F731" s="296"/>
      <c r="J731" s="302"/>
      <c r="AO731" s="1210"/>
      <c r="CP731" s="294"/>
      <c r="CU731" s="294"/>
    </row>
    <row r="732" spans="1:99" ht="13">
      <c r="A732" s="294"/>
      <c r="B732" s="294"/>
      <c r="F732" s="296"/>
      <c r="J732" s="302"/>
      <c r="AO732" s="1210"/>
      <c r="CP732" s="294"/>
      <c r="CU732" s="294"/>
    </row>
    <row r="733" spans="1:99" ht="13">
      <c r="A733" s="294"/>
      <c r="B733" s="294"/>
      <c r="F733" s="296"/>
      <c r="J733" s="302"/>
      <c r="AO733" s="1210"/>
      <c r="CP733" s="294"/>
      <c r="CU733" s="294"/>
    </row>
    <row r="734" spans="1:99" ht="13">
      <c r="A734" s="294"/>
      <c r="B734" s="294"/>
      <c r="F734" s="296"/>
      <c r="J734" s="302"/>
      <c r="AO734" s="1210"/>
      <c r="CP734" s="294"/>
      <c r="CU734" s="294"/>
    </row>
    <row r="735" spans="1:99" ht="13">
      <c r="A735" s="294"/>
      <c r="B735" s="294"/>
      <c r="F735" s="296"/>
      <c r="J735" s="302"/>
      <c r="AO735" s="1210"/>
      <c r="CP735" s="294"/>
      <c r="CU735" s="294"/>
    </row>
    <row r="736" spans="1:99" ht="13">
      <c r="A736" s="294"/>
      <c r="B736" s="294"/>
      <c r="F736" s="296"/>
      <c r="J736" s="302"/>
      <c r="AO736" s="1210"/>
      <c r="CP736" s="294"/>
      <c r="CU736" s="294"/>
    </row>
    <row r="737" spans="1:99" ht="13">
      <c r="A737" s="294"/>
      <c r="B737" s="294"/>
      <c r="F737" s="296"/>
      <c r="J737" s="302"/>
      <c r="AO737" s="1210"/>
      <c r="CP737" s="294"/>
      <c r="CU737" s="294"/>
    </row>
    <row r="738" spans="1:99" ht="13">
      <c r="A738" s="294"/>
      <c r="B738" s="294"/>
      <c r="F738" s="296"/>
      <c r="J738" s="302"/>
      <c r="AO738" s="1210"/>
      <c r="CP738" s="294"/>
      <c r="CU738" s="294"/>
    </row>
    <row r="739" spans="1:99" ht="13">
      <c r="A739" s="294"/>
      <c r="B739" s="294"/>
      <c r="F739" s="296"/>
      <c r="J739" s="302"/>
      <c r="AO739" s="1210"/>
      <c r="CP739" s="294"/>
      <c r="CU739" s="294"/>
    </row>
    <row r="740" spans="1:99" ht="13">
      <c r="A740" s="294"/>
      <c r="B740" s="294"/>
      <c r="F740" s="296"/>
      <c r="J740" s="302"/>
      <c r="AO740" s="1210"/>
      <c r="CP740" s="294"/>
      <c r="CU740" s="294"/>
    </row>
    <row r="741" spans="1:99" ht="13">
      <c r="A741" s="294"/>
      <c r="B741" s="294"/>
      <c r="F741" s="296"/>
      <c r="J741" s="302"/>
      <c r="AO741" s="1210"/>
      <c r="CP741" s="294"/>
      <c r="CU741" s="294"/>
    </row>
    <row r="742" spans="1:99" ht="13">
      <c r="A742" s="294"/>
      <c r="B742" s="294"/>
      <c r="F742" s="296"/>
      <c r="J742" s="302"/>
      <c r="AO742" s="1210"/>
      <c r="CP742" s="294"/>
      <c r="CU742" s="294"/>
    </row>
    <row r="743" spans="1:99" ht="13">
      <c r="A743" s="294"/>
      <c r="B743" s="294"/>
      <c r="F743" s="296"/>
      <c r="J743" s="302"/>
      <c r="AO743" s="1210"/>
      <c r="CP743" s="294"/>
      <c r="CU743" s="294"/>
    </row>
    <row r="744" spans="1:99" ht="13">
      <c r="A744" s="294"/>
      <c r="B744" s="294"/>
      <c r="F744" s="296"/>
      <c r="J744" s="302"/>
      <c r="AO744" s="1210"/>
      <c r="CP744" s="294"/>
      <c r="CU744" s="294"/>
    </row>
    <row r="745" spans="1:99" ht="13">
      <c r="A745" s="294"/>
      <c r="B745" s="294"/>
      <c r="F745" s="296"/>
      <c r="J745" s="302"/>
      <c r="AO745" s="1210"/>
      <c r="CP745" s="294"/>
      <c r="CU745" s="294"/>
    </row>
    <row r="746" spans="1:99" ht="13">
      <c r="A746" s="294"/>
      <c r="B746" s="294"/>
      <c r="F746" s="296"/>
      <c r="J746" s="302"/>
      <c r="AO746" s="1210"/>
      <c r="CP746" s="294"/>
      <c r="CU746" s="294"/>
    </row>
    <row r="747" spans="1:99" ht="13">
      <c r="A747" s="294"/>
      <c r="B747" s="294"/>
      <c r="F747" s="296"/>
      <c r="J747" s="302"/>
      <c r="AO747" s="1210"/>
      <c r="CP747" s="294"/>
      <c r="CU747" s="294"/>
    </row>
    <row r="748" spans="1:99" ht="13">
      <c r="A748" s="294"/>
      <c r="B748" s="294"/>
      <c r="F748" s="296"/>
      <c r="J748" s="302"/>
      <c r="AO748" s="1210"/>
      <c r="CP748" s="294"/>
      <c r="CU748" s="294"/>
    </row>
    <row r="749" spans="1:99" ht="13">
      <c r="A749" s="294"/>
      <c r="B749" s="294"/>
      <c r="F749" s="296"/>
      <c r="J749" s="302"/>
      <c r="AO749" s="1210"/>
      <c r="CP749" s="294"/>
      <c r="CU749" s="294"/>
    </row>
    <row r="750" spans="1:99" ht="13">
      <c r="A750" s="294"/>
      <c r="B750" s="294"/>
      <c r="F750" s="296"/>
      <c r="J750" s="302"/>
      <c r="AO750" s="1210"/>
      <c r="CP750" s="294"/>
      <c r="CU750" s="294"/>
    </row>
    <row r="751" spans="1:99" ht="13">
      <c r="A751" s="294"/>
      <c r="B751" s="294"/>
      <c r="F751" s="296"/>
      <c r="J751" s="302"/>
      <c r="AO751" s="1210"/>
      <c r="CP751" s="294"/>
      <c r="CU751" s="294"/>
    </row>
    <row r="752" spans="1:99" ht="13">
      <c r="A752" s="294"/>
      <c r="B752" s="294"/>
      <c r="F752" s="296"/>
      <c r="J752" s="302"/>
      <c r="AO752" s="1210"/>
      <c r="CP752" s="294"/>
      <c r="CU752" s="294"/>
    </row>
    <row r="753" spans="1:99" ht="13">
      <c r="A753" s="294"/>
      <c r="B753" s="294"/>
      <c r="F753" s="296"/>
      <c r="J753" s="302"/>
      <c r="AO753" s="1210"/>
      <c r="CP753" s="294"/>
      <c r="CU753" s="294"/>
    </row>
    <row r="754" spans="1:99" ht="13">
      <c r="A754" s="294"/>
      <c r="B754" s="294"/>
      <c r="F754" s="296"/>
      <c r="J754" s="302"/>
      <c r="AO754" s="1210"/>
      <c r="CP754" s="294"/>
      <c r="CU754" s="294"/>
    </row>
    <row r="755" spans="1:99" ht="13">
      <c r="A755" s="294"/>
      <c r="B755" s="294"/>
      <c r="F755" s="296"/>
      <c r="J755" s="302"/>
      <c r="AO755" s="1210"/>
      <c r="CP755" s="294"/>
      <c r="CU755" s="294"/>
    </row>
    <row r="756" spans="1:99" ht="13">
      <c r="A756" s="294"/>
      <c r="B756" s="294"/>
      <c r="F756" s="296"/>
      <c r="J756" s="302"/>
      <c r="AO756" s="1210"/>
      <c r="CP756" s="294"/>
      <c r="CU756" s="294"/>
    </row>
    <row r="757" spans="1:99" ht="13">
      <c r="A757" s="294"/>
      <c r="B757" s="294"/>
      <c r="F757" s="296"/>
      <c r="J757" s="302"/>
      <c r="AO757" s="1210"/>
      <c r="CP757" s="294"/>
      <c r="CU757" s="294"/>
    </row>
    <row r="758" spans="1:99" ht="13">
      <c r="A758" s="294"/>
      <c r="B758" s="294"/>
      <c r="F758" s="296"/>
      <c r="J758" s="302"/>
      <c r="AO758" s="1210"/>
      <c r="CP758" s="294"/>
      <c r="CU758" s="294"/>
    </row>
    <row r="759" spans="1:99" ht="13">
      <c r="A759" s="294"/>
      <c r="B759" s="294"/>
      <c r="F759" s="296"/>
      <c r="J759" s="302"/>
      <c r="AO759" s="1210"/>
      <c r="CP759" s="294"/>
      <c r="CU759" s="294"/>
    </row>
    <row r="760" spans="1:99" ht="13">
      <c r="A760" s="294"/>
      <c r="B760" s="294"/>
      <c r="F760" s="296"/>
      <c r="J760" s="302"/>
      <c r="AO760" s="1210"/>
      <c r="CP760" s="294"/>
      <c r="CU760" s="294"/>
    </row>
    <row r="761" spans="1:99" ht="13">
      <c r="A761" s="294"/>
      <c r="B761" s="294"/>
      <c r="F761" s="296"/>
      <c r="J761" s="302"/>
      <c r="AO761" s="1210"/>
      <c r="CP761" s="294"/>
      <c r="CU761" s="294"/>
    </row>
    <row r="762" spans="1:99" ht="13">
      <c r="A762" s="294"/>
      <c r="B762" s="294"/>
      <c r="F762" s="296"/>
      <c r="J762" s="302"/>
      <c r="AO762" s="1210"/>
      <c r="CP762" s="294"/>
      <c r="CU762" s="294"/>
    </row>
    <row r="763" spans="1:99" ht="13">
      <c r="A763" s="294"/>
      <c r="B763" s="294"/>
      <c r="F763" s="296"/>
      <c r="J763" s="302"/>
      <c r="AO763" s="1210"/>
      <c r="CP763" s="294"/>
      <c r="CU763" s="294"/>
    </row>
    <row r="764" spans="1:99" ht="13">
      <c r="A764" s="294"/>
      <c r="B764" s="294"/>
      <c r="F764" s="296"/>
      <c r="J764" s="302"/>
      <c r="AO764" s="1210"/>
      <c r="CP764" s="294"/>
      <c r="CU764" s="294"/>
    </row>
    <row r="765" spans="1:99" ht="13">
      <c r="A765" s="294"/>
      <c r="B765" s="294"/>
      <c r="F765" s="296"/>
      <c r="J765" s="302"/>
      <c r="AO765" s="1210"/>
      <c r="CP765" s="294"/>
      <c r="CU765" s="294"/>
    </row>
    <row r="766" spans="1:99" ht="13">
      <c r="A766" s="294"/>
      <c r="B766" s="294"/>
      <c r="F766" s="296"/>
      <c r="J766" s="302"/>
      <c r="AO766" s="1210"/>
      <c r="CP766" s="294"/>
      <c r="CU766" s="294"/>
    </row>
    <row r="767" spans="1:99" ht="13">
      <c r="A767" s="294"/>
      <c r="B767" s="294"/>
      <c r="F767" s="296"/>
      <c r="J767" s="302"/>
      <c r="AO767" s="1210"/>
      <c r="CP767" s="294"/>
      <c r="CU767" s="294"/>
    </row>
    <row r="768" spans="1:99" ht="13">
      <c r="A768" s="294"/>
      <c r="B768" s="294"/>
      <c r="F768" s="296"/>
      <c r="J768" s="302"/>
      <c r="AO768" s="1210"/>
      <c r="CP768" s="294"/>
      <c r="CU768" s="294"/>
    </row>
    <row r="769" spans="1:99" ht="13">
      <c r="A769" s="294"/>
      <c r="B769" s="294"/>
      <c r="F769" s="296"/>
      <c r="J769" s="302"/>
      <c r="AO769" s="1210"/>
      <c r="CP769" s="294"/>
      <c r="CU769" s="294"/>
    </row>
    <row r="770" spans="1:99" ht="13">
      <c r="A770" s="294"/>
      <c r="B770" s="294"/>
      <c r="F770" s="296"/>
      <c r="J770" s="302"/>
      <c r="AO770" s="1210"/>
      <c r="CP770" s="294"/>
      <c r="CU770" s="294"/>
    </row>
    <row r="771" spans="1:99" ht="13">
      <c r="A771" s="294"/>
      <c r="B771" s="294"/>
      <c r="F771" s="296"/>
      <c r="J771" s="302"/>
      <c r="AO771" s="1210"/>
      <c r="CP771" s="294"/>
      <c r="CU771" s="294"/>
    </row>
    <row r="772" spans="1:99" ht="13">
      <c r="A772" s="294"/>
      <c r="B772" s="294"/>
      <c r="F772" s="296"/>
      <c r="J772" s="302"/>
      <c r="AO772" s="1210"/>
      <c r="CP772" s="294"/>
      <c r="CU772" s="294"/>
    </row>
    <row r="773" spans="1:99" ht="13">
      <c r="A773" s="294"/>
      <c r="B773" s="294"/>
      <c r="F773" s="296"/>
      <c r="J773" s="302"/>
      <c r="AO773" s="1210"/>
      <c r="CP773" s="294"/>
      <c r="CU773" s="294"/>
    </row>
    <row r="774" spans="1:99" ht="13">
      <c r="A774" s="294"/>
      <c r="B774" s="294"/>
      <c r="F774" s="296"/>
      <c r="J774" s="302"/>
      <c r="AO774" s="1210"/>
      <c r="CP774" s="294"/>
      <c r="CU774" s="294"/>
    </row>
    <row r="775" spans="1:99" ht="13">
      <c r="A775" s="294"/>
      <c r="B775" s="294"/>
      <c r="F775" s="296"/>
      <c r="J775" s="302"/>
      <c r="AO775" s="1210"/>
      <c r="CP775" s="294"/>
      <c r="CU775" s="294"/>
    </row>
    <row r="776" spans="1:99" ht="13">
      <c r="A776" s="294"/>
      <c r="B776" s="294"/>
      <c r="F776" s="296"/>
      <c r="J776" s="302"/>
      <c r="AO776" s="1210"/>
      <c r="CP776" s="294"/>
      <c r="CU776" s="294"/>
    </row>
    <row r="777" spans="1:99" ht="13">
      <c r="A777" s="294"/>
      <c r="B777" s="294"/>
      <c r="F777" s="296"/>
      <c r="J777" s="302"/>
      <c r="AO777" s="1210"/>
      <c r="CP777" s="294"/>
      <c r="CU777" s="294"/>
    </row>
    <row r="778" spans="1:99" ht="13">
      <c r="A778" s="294"/>
      <c r="B778" s="294"/>
      <c r="F778" s="296"/>
      <c r="J778" s="302"/>
      <c r="AO778" s="1210"/>
      <c r="CP778" s="294"/>
      <c r="CU778" s="294"/>
    </row>
    <row r="779" spans="1:99" ht="13">
      <c r="A779" s="294"/>
      <c r="B779" s="294"/>
      <c r="F779" s="296"/>
      <c r="J779" s="302"/>
      <c r="AO779" s="1210"/>
      <c r="CP779" s="294"/>
      <c r="CU779" s="294"/>
    </row>
    <row r="780" spans="1:99" ht="13">
      <c r="A780" s="294"/>
      <c r="B780" s="294"/>
      <c r="F780" s="296"/>
      <c r="J780" s="302"/>
      <c r="AO780" s="1210"/>
      <c r="CP780" s="294"/>
      <c r="CU780" s="294"/>
    </row>
    <row r="781" spans="1:99" ht="13">
      <c r="A781" s="294"/>
      <c r="B781" s="294"/>
      <c r="F781" s="296"/>
      <c r="J781" s="302"/>
      <c r="AO781" s="1210"/>
      <c r="CP781" s="294"/>
      <c r="CU781" s="294"/>
    </row>
    <row r="782" spans="1:99" ht="13">
      <c r="A782" s="294"/>
      <c r="B782" s="294"/>
      <c r="F782" s="296"/>
      <c r="J782" s="302"/>
      <c r="AO782" s="1210"/>
      <c r="CP782" s="294"/>
      <c r="CU782" s="294"/>
    </row>
    <row r="783" spans="1:99" ht="13">
      <c r="A783" s="294"/>
      <c r="B783" s="294"/>
      <c r="F783" s="296"/>
      <c r="J783" s="302"/>
      <c r="AO783" s="1210"/>
      <c r="CP783" s="294"/>
      <c r="CU783" s="294"/>
    </row>
    <row r="784" spans="1:99" ht="13">
      <c r="A784" s="294"/>
      <c r="B784" s="294"/>
      <c r="F784" s="296"/>
      <c r="J784" s="302"/>
      <c r="AO784" s="1210"/>
      <c r="CP784" s="294"/>
      <c r="CU784" s="294"/>
    </row>
    <row r="785" spans="1:99" ht="13">
      <c r="A785" s="294"/>
      <c r="B785" s="294"/>
      <c r="F785" s="296"/>
      <c r="J785" s="302"/>
      <c r="AO785" s="1210"/>
      <c r="CP785" s="294"/>
      <c r="CU785" s="294"/>
    </row>
    <row r="786" spans="1:99" ht="13">
      <c r="A786" s="294"/>
      <c r="B786" s="294"/>
      <c r="F786" s="296"/>
      <c r="J786" s="302"/>
      <c r="AO786" s="1210"/>
      <c r="CP786" s="294"/>
      <c r="CU786" s="294"/>
    </row>
    <row r="787" spans="1:99" ht="13">
      <c r="A787" s="294"/>
      <c r="B787" s="294"/>
      <c r="F787" s="296"/>
      <c r="J787" s="302"/>
      <c r="AO787" s="1210"/>
      <c r="CP787" s="294"/>
      <c r="CU787" s="294"/>
    </row>
    <row r="788" spans="1:99" ht="13">
      <c r="A788" s="294"/>
      <c r="B788" s="294"/>
      <c r="F788" s="296"/>
      <c r="J788" s="302"/>
      <c r="AO788" s="1210"/>
      <c r="CP788" s="294"/>
      <c r="CU788" s="294"/>
    </row>
    <row r="789" spans="1:99" ht="13">
      <c r="A789" s="294"/>
      <c r="B789" s="294"/>
      <c r="F789" s="296"/>
      <c r="J789" s="302"/>
      <c r="AO789" s="1210"/>
      <c r="CP789" s="294"/>
      <c r="CU789" s="294"/>
    </row>
    <row r="790" spans="1:99" ht="13">
      <c r="A790" s="294"/>
      <c r="B790" s="294"/>
      <c r="F790" s="296"/>
      <c r="J790" s="302"/>
      <c r="AO790" s="1210"/>
      <c r="CP790" s="294"/>
      <c r="CU790" s="294"/>
    </row>
    <row r="791" spans="1:99" ht="13">
      <c r="A791" s="294"/>
      <c r="B791" s="294"/>
      <c r="F791" s="296"/>
      <c r="J791" s="302"/>
      <c r="AO791" s="1210"/>
      <c r="CP791" s="294"/>
      <c r="CU791" s="294"/>
    </row>
    <row r="792" spans="1:99" ht="13">
      <c r="A792" s="294"/>
      <c r="B792" s="294"/>
      <c r="F792" s="296"/>
      <c r="J792" s="302"/>
      <c r="AO792" s="1210"/>
      <c r="CP792" s="294"/>
      <c r="CU792" s="294"/>
    </row>
    <row r="793" spans="1:99" ht="13">
      <c r="A793" s="294"/>
      <c r="B793" s="294"/>
      <c r="F793" s="296"/>
      <c r="J793" s="302"/>
      <c r="AO793" s="1210"/>
      <c r="CP793" s="294"/>
      <c r="CU793" s="294"/>
    </row>
    <row r="794" spans="1:99" ht="13">
      <c r="A794" s="294"/>
      <c r="B794" s="294"/>
      <c r="F794" s="296"/>
      <c r="J794" s="302"/>
      <c r="AO794" s="1210"/>
      <c r="CP794" s="294"/>
      <c r="CU794" s="294"/>
    </row>
    <row r="795" spans="1:99" ht="13">
      <c r="A795" s="294"/>
      <c r="B795" s="294"/>
      <c r="F795" s="296"/>
      <c r="J795" s="302"/>
      <c r="AO795" s="1210"/>
      <c r="CP795" s="294"/>
      <c r="CU795" s="294"/>
    </row>
    <row r="796" spans="1:99" ht="13">
      <c r="A796" s="294"/>
      <c r="B796" s="294"/>
      <c r="F796" s="296"/>
      <c r="J796" s="302"/>
      <c r="AO796" s="1210"/>
      <c r="CP796" s="294"/>
      <c r="CU796" s="294"/>
    </row>
    <row r="797" spans="1:99" ht="13">
      <c r="A797" s="294"/>
      <c r="B797" s="294"/>
      <c r="F797" s="296"/>
      <c r="J797" s="302"/>
      <c r="AO797" s="1210"/>
      <c r="CP797" s="294"/>
      <c r="CU797" s="294"/>
    </row>
    <row r="798" spans="1:99" ht="13">
      <c r="A798" s="294"/>
      <c r="B798" s="294"/>
      <c r="F798" s="296"/>
      <c r="J798" s="302"/>
      <c r="AO798" s="1210"/>
      <c r="CP798" s="294"/>
      <c r="CU798" s="294"/>
    </row>
    <row r="799" spans="1:99" ht="13">
      <c r="A799" s="294"/>
      <c r="B799" s="294"/>
      <c r="F799" s="296"/>
      <c r="J799" s="302"/>
      <c r="AO799" s="1210"/>
      <c r="CP799" s="294"/>
      <c r="CU799" s="294"/>
    </row>
    <row r="800" spans="1:99" ht="13">
      <c r="A800" s="294"/>
      <c r="B800" s="294"/>
      <c r="F800" s="296"/>
      <c r="J800" s="302"/>
      <c r="AO800" s="1210"/>
      <c r="CP800" s="294"/>
      <c r="CU800" s="294"/>
    </row>
    <row r="801" spans="1:99" ht="13">
      <c r="A801" s="294"/>
      <c r="B801" s="294"/>
      <c r="F801" s="296"/>
      <c r="J801" s="302"/>
      <c r="AO801" s="1210"/>
      <c r="CP801" s="294"/>
      <c r="CU801" s="294"/>
    </row>
    <row r="802" spans="1:99" ht="13">
      <c r="A802" s="294"/>
      <c r="B802" s="294"/>
      <c r="F802" s="296"/>
      <c r="J802" s="302"/>
      <c r="AO802" s="1210"/>
      <c r="CP802" s="294"/>
      <c r="CU802" s="294"/>
    </row>
    <row r="803" spans="1:99" ht="13">
      <c r="A803" s="294"/>
      <c r="B803" s="294"/>
      <c r="F803" s="296"/>
      <c r="J803" s="302"/>
      <c r="AO803" s="1210"/>
      <c r="CP803" s="294"/>
      <c r="CU803" s="294"/>
    </row>
    <row r="804" spans="1:99" ht="13">
      <c r="A804" s="294"/>
      <c r="B804" s="294"/>
      <c r="F804" s="296"/>
      <c r="J804" s="302"/>
      <c r="AO804" s="1210"/>
      <c r="CP804" s="294"/>
      <c r="CU804" s="294"/>
    </row>
    <row r="805" spans="1:99" ht="13">
      <c r="A805" s="294"/>
      <c r="B805" s="294"/>
      <c r="F805" s="296"/>
      <c r="J805" s="302"/>
      <c r="AO805" s="1210"/>
      <c r="CP805" s="294"/>
      <c r="CU805" s="294"/>
    </row>
    <row r="806" spans="1:99" ht="13">
      <c r="A806" s="294"/>
      <c r="B806" s="294"/>
      <c r="F806" s="296"/>
      <c r="J806" s="302"/>
      <c r="AO806" s="1210"/>
      <c r="CP806" s="294"/>
      <c r="CU806" s="294"/>
    </row>
    <row r="807" spans="1:99" ht="13">
      <c r="A807" s="294"/>
      <c r="B807" s="294"/>
      <c r="F807" s="296"/>
      <c r="J807" s="302"/>
      <c r="AO807" s="1210"/>
      <c r="CP807" s="294"/>
      <c r="CU807" s="294"/>
    </row>
    <row r="808" spans="1:99" ht="13">
      <c r="A808" s="294"/>
      <c r="B808" s="294"/>
      <c r="F808" s="296"/>
      <c r="J808" s="302"/>
      <c r="AO808" s="1210"/>
      <c r="CP808" s="294"/>
      <c r="CU808" s="294"/>
    </row>
    <row r="809" spans="1:99" ht="13">
      <c r="A809" s="294"/>
      <c r="B809" s="294"/>
      <c r="F809" s="296"/>
      <c r="J809" s="302"/>
      <c r="AO809" s="1210"/>
      <c r="CP809" s="294"/>
      <c r="CU809" s="294"/>
    </row>
    <row r="810" spans="1:99" ht="13">
      <c r="A810" s="294"/>
      <c r="B810" s="294"/>
      <c r="F810" s="296"/>
      <c r="J810" s="302"/>
      <c r="AO810" s="1210"/>
      <c r="CP810" s="294"/>
      <c r="CU810" s="294"/>
    </row>
    <row r="811" spans="1:99" ht="13">
      <c r="A811" s="294"/>
      <c r="B811" s="294"/>
      <c r="F811" s="296"/>
      <c r="J811" s="302"/>
      <c r="AO811" s="1210"/>
      <c r="CP811" s="294"/>
      <c r="CU811" s="294"/>
    </row>
    <row r="812" spans="1:99" ht="13">
      <c r="A812" s="294"/>
      <c r="B812" s="294"/>
      <c r="F812" s="296"/>
      <c r="J812" s="302"/>
      <c r="AO812" s="1210"/>
      <c r="CP812" s="294"/>
      <c r="CU812" s="294"/>
    </row>
    <row r="813" spans="1:99" ht="13">
      <c r="A813" s="294"/>
      <c r="B813" s="294"/>
      <c r="F813" s="296"/>
      <c r="J813" s="302"/>
      <c r="AO813" s="1210"/>
      <c r="CP813" s="294"/>
      <c r="CU813" s="294"/>
    </row>
    <row r="814" spans="1:99" ht="13">
      <c r="A814" s="294"/>
      <c r="B814" s="294"/>
      <c r="F814" s="296"/>
      <c r="J814" s="302"/>
      <c r="AO814" s="1210"/>
      <c r="CP814" s="294"/>
      <c r="CU814" s="294"/>
    </row>
    <row r="815" spans="1:99" ht="13">
      <c r="A815" s="294"/>
      <c r="B815" s="294"/>
      <c r="F815" s="296"/>
      <c r="J815" s="302"/>
      <c r="AO815" s="1210"/>
      <c r="CP815" s="294"/>
      <c r="CU815" s="294"/>
    </row>
    <row r="816" spans="1:99" ht="13">
      <c r="A816" s="294"/>
      <c r="B816" s="294"/>
      <c r="F816" s="296"/>
      <c r="J816" s="302"/>
      <c r="AO816" s="1210"/>
      <c r="CP816" s="294"/>
      <c r="CU816" s="294"/>
    </row>
    <row r="817" spans="1:99" ht="13">
      <c r="A817" s="294"/>
      <c r="B817" s="294"/>
      <c r="F817" s="296"/>
      <c r="J817" s="302"/>
      <c r="AO817" s="1210"/>
      <c r="CP817" s="294"/>
      <c r="CU817" s="294"/>
    </row>
    <row r="818" spans="1:99" ht="13">
      <c r="A818" s="294"/>
      <c r="B818" s="294"/>
      <c r="F818" s="296"/>
      <c r="J818" s="302"/>
      <c r="AO818" s="1210"/>
      <c r="CP818" s="294"/>
      <c r="CU818" s="294"/>
    </row>
    <row r="819" spans="1:99" ht="13">
      <c r="A819" s="294"/>
      <c r="B819" s="294"/>
      <c r="F819" s="296"/>
      <c r="J819" s="302"/>
      <c r="AO819" s="1210"/>
      <c r="CP819" s="294"/>
      <c r="CU819" s="294"/>
    </row>
    <row r="820" spans="1:99" ht="13">
      <c r="A820" s="294"/>
      <c r="B820" s="294"/>
      <c r="F820" s="296"/>
      <c r="J820" s="302"/>
      <c r="AO820" s="1210"/>
      <c r="CP820" s="294"/>
      <c r="CU820" s="294"/>
    </row>
    <row r="821" spans="1:99" ht="13">
      <c r="A821" s="294"/>
      <c r="B821" s="294"/>
      <c r="F821" s="296"/>
      <c r="J821" s="302"/>
      <c r="AO821" s="1210"/>
      <c r="CP821" s="294"/>
      <c r="CU821" s="294"/>
    </row>
    <row r="822" spans="1:99" ht="13">
      <c r="A822" s="294"/>
      <c r="B822" s="294"/>
      <c r="F822" s="296"/>
      <c r="J822" s="302"/>
      <c r="AO822" s="1210"/>
      <c r="CP822" s="294"/>
      <c r="CU822" s="294"/>
    </row>
    <row r="823" spans="1:99" ht="13">
      <c r="A823" s="294"/>
      <c r="B823" s="294"/>
      <c r="F823" s="296"/>
      <c r="J823" s="302"/>
      <c r="AO823" s="1210"/>
      <c r="CP823" s="294"/>
      <c r="CU823" s="294"/>
    </row>
    <row r="824" spans="1:99" ht="13">
      <c r="A824" s="294"/>
      <c r="B824" s="294"/>
      <c r="F824" s="296"/>
      <c r="J824" s="302"/>
      <c r="AO824" s="1210"/>
      <c r="CP824" s="294"/>
      <c r="CU824" s="294"/>
    </row>
    <row r="825" spans="1:99" ht="13">
      <c r="A825" s="294"/>
      <c r="B825" s="294"/>
      <c r="F825" s="296"/>
      <c r="J825" s="302"/>
      <c r="AO825" s="1210"/>
      <c r="CP825" s="294"/>
      <c r="CU825" s="294"/>
    </row>
    <row r="826" spans="1:99" ht="13">
      <c r="A826" s="294"/>
      <c r="B826" s="294"/>
      <c r="F826" s="296"/>
      <c r="J826" s="302"/>
      <c r="AO826" s="1210"/>
      <c r="CP826" s="294"/>
      <c r="CU826" s="294"/>
    </row>
    <row r="827" spans="1:99" ht="13">
      <c r="A827" s="294"/>
      <c r="B827" s="294"/>
      <c r="F827" s="296"/>
      <c r="J827" s="302"/>
      <c r="AO827" s="1210"/>
      <c r="CP827" s="294"/>
      <c r="CU827" s="294"/>
    </row>
    <row r="828" spans="1:99" ht="13">
      <c r="A828" s="294"/>
      <c r="B828" s="294"/>
      <c r="F828" s="296"/>
      <c r="J828" s="302"/>
      <c r="AO828" s="1210"/>
      <c r="CP828" s="294"/>
      <c r="CU828" s="294"/>
    </row>
    <row r="829" spans="1:99" ht="13">
      <c r="A829" s="294"/>
      <c r="B829" s="294"/>
      <c r="F829" s="296"/>
      <c r="J829" s="302"/>
      <c r="AO829" s="1210"/>
      <c r="CP829" s="294"/>
      <c r="CU829" s="294"/>
    </row>
    <row r="830" spans="1:99" ht="13">
      <c r="A830" s="294"/>
      <c r="B830" s="294"/>
      <c r="F830" s="296"/>
      <c r="J830" s="302"/>
      <c r="AO830" s="1210"/>
      <c r="CP830" s="294"/>
      <c r="CU830" s="294"/>
    </row>
    <row r="831" spans="1:99" ht="13">
      <c r="A831" s="294"/>
      <c r="B831" s="294"/>
      <c r="F831" s="296"/>
      <c r="J831" s="302"/>
      <c r="AO831" s="1210"/>
      <c r="CP831" s="294"/>
      <c r="CU831" s="294"/>
    </row>
    <row r="832" spans="1:99" ht="13">
      <c r="A832" s="294"/>
      <c r="B832" s="294"/>
      <c r="F832" s="296"/>
      <c r="J832" s="302"/>
      <c r="AO832" s="1210"/>
      <c r="CP832" s="294"/>
      <c r="CU832" s="294"/>
    </row>
    <row r="833" spans="1:99" ht="13">
      <c r="A833" s="294"/>
      <c r="B833" s="294"/>
      <c r="F833" s="296"/>
      <c r="J833" s="302"/>
      <c r="AO833" s="1210"/>
      <c r="CP833" s="294"/>
      <c r="CU833" s="294"/>
    </row>
    <row r="834" spans="1:99" ht="13">
      <c r="A834" s="294"/>
      <c r="B834" s="294"/>
      <c r="F834" s="296"/>
      <c r="J834" s="302"/>
      <c r="AO834" s="1210"/>
      <c r="CP834" s="294"/>
      <c r="CU834" s="294"/>
    </row>
    <row r="835" spans="1:99" ht="13">
      <c r="A835" s="294"/>
      <c r="B835" s="294"/>
      <c r="F835" s="296"/>
      <c r="J835" s="302"/>
      <c r="AO835" s="1210"/>
      <c r="CP835" s="294"/>
      <c r="CU835" s="294"/>
    </row>
    <row r="836" spans="1:99" ht="13">
      <c r="A836" s="294"/>
      <c r="B836" s="294"/>
      <c r="F836" s="296"/>
      <c r="J836" s="302"/>
      <c r="AO836" s="1210"/>
      <c r="CP836" s="294"/>
      <c r="CU836" s="294"/>
    </row>
    <row r="837" spans="1:99" ht="13">
      <c r="A837" s="294"/>
      <c r="B837" s="294"/>
      <c r="F837" s="296"/>
      <c r="J837" s="302"/>
      <c r="AO837" s="1210"/>
      <c r="CP837" s="294"/>
      <c r="CU837" s="294"/>
    </row>
    <row r="838" spans="1:99" ht="13">
      <c r="A838" s="294"/>
      <c r="B838" s="294"/>
      <c r="F838" s="296"/>
      <c r="J838" s="302"/>
      <c r="AO838" s="1210"/>
      <c r="CP838" s="294"/>
      <c r="CU838" s="294"/>
    </row>
    <row r="839" spans="1:99" ht="13">
      <c r="A839" s="294"/>
      <c r="B839" s="294"/>
      <c r="F839" s="296"/>
      <c r="J839" s="302"/>
      <c r="AO839" s="1210"/>
      <c r="CP839" s="294"/>
      <c r="CU839" s="294"/>
    </row>
    <row r="840" spans="1:99" ht="13">
      <c r="A840" s="294"/>
      <c r="B840" s="294"/>
      <c r="F840" s="296"/>
      <c r="J840" s="302"/>
      <c r="AO840" s="1210"/>
      <c r="CP840" s="294"/>
      <c r="CU840" s="294"/>
    </row>
    <row r="841" spans="1:99" ht="13">
      <c r="A841" s="294"/>
      <c r="B841" s="294"/>
      <c r="F841" s="296"/>
      <c r="J841" s="302"/>
      <c r="AO841" s="1210"/>
      <c r="CP841" s="294"/>
      <c r="CU841" s="294"/>
    </row>
    <row r="842" spans="1:99" ht="13">
      <c r="A842" s="294"/>
      <c r="B842" s="294"/>
      <c r="F842" s="296"/>
      <c r="J842" s="302"/>
      <c r="AO842" s="1210"/>
      <c r="CP842" s="294"/>
      <c r="CU842" s="294"/>
    </row>
    <row r="843" spans="1:99" ht="13">
      <c r="A843" s="294"/>
      <c r="B843" s="294"/>
      <c r="F843" s="296"/>
      <c r="J843" s="302"/>
      <c r="AO843" s="1210"/>
      <c r="CP843" s="294"/>
      <c r="CU843" s="294"/>
    </row>
    <row r="844" spans="1:99" ht="13">
      <c r="A844" s="294"/>
      <c r="B844" s="294"/>
      <c r="F844" s="296"/>
      <c r="J844" s="302"/>
      <c r="AO844" s="1210"/>
      <c r="CP844" s="294"/>
      <c r="CU844" s="294"/>
    </row>
    <row r="845" spans="1:99" ht="13">
      <c r="A845" s="294"/>
      <c r="B845" s="294"/>
      <c r="F845" s="296"/>
      <c r="J845" s="302"/>
      <c r="AO845" s="1210"/>
      <c r="CP845" s="294"/>
      <c r="CU845" s="294"/>
    </row>
    <row r="846" spans="1:99" ht="13">
      <c r="A846" s="294"/>
      <c r="B846" s="294"/>
      <c r="F846" s="296"/>
      <c r="J846" s="302"/>
      <c r="AO846" s="1210"/>
      <c r="CP846" s="294"/>
      <c r="CU846" s="294"/>
    </row>
    <row r="847" spans="1:99" ht="13">
      <c r="A847" s="294"/>
      <c r="B847" s="294"/>
      <c r="F847" s="296"/>
      <c r="J847" s="302"/>
      <c r="AO847" s="1210"/>
      <c r="CP847" s="294"/>
      <c r="CU847" s="294"/>
    </row>
    <row r="848" spans="1:99" ht="13">
      <c r="A848" s="294"/>
      <c r="B848" s="294"/>
      <c r="F848" s="296"/>
      <c r="J848" s="302"/>
      <c r="AO848" s="1210"/>
      <c r="CP848" s="294"/>
      <c r="CU848" s="294"/>
    </row>
    <row r="849" spans="1:99" ht="13">
      <c r="A849" s="294"/>
      <c r="B849" s="294"/>
      <c r="F849" s="296"/>
      <c r="J849" s="302"/>
      <c r="AO849" s="1210"/>
      <c r="CP849" s="294"/>
      <c r="CU849" s="294"/>
    </row>
    <row r="850" spans="1:99" ht="13">
      <c r="A850" s="294"/>
      <c r="B850" s="294"/>
      <c r="F850" s="296"/>
      <c r="J850" s="302"/>
      <c r="AO850" s="1210"/>
      <c r="CP850" s="294"/>
      <c r="CU850" s="294"/>
    </row>
    <row r="851" spans="1:99" ht="13">
      <c r="A851" s="294"/>
      <c r="B851" s="294"/>
      <c r="F851" s="296"/>
      <c r="J851" s="302"/>
      <c r="AO851" s="1210"/>
      <c r="CP851" s="294"/>
      <c r="CU851" s="294"/>
    </row>
    <row r="852" spans="1:99" ht="13">
      <c r="A852" s="294"/>
      <c r="B852" s="294"/>
      <c r="F852" s="296"/>
      <c r="J852" s="302"/>
      <c r="AO852" s="1210"/>
      <c r="CP852" s="294"/>
      <c r="CU852" s="294"/>
    </row>
    <row r="853" spans="1:99" ht="13">
      <c r="A853" s="294"/>
      <c r="B853" s="294"/>
      <c r="F853" s="296"/>
      <c r="J853" s="302"/>
      <c r="AO853" s="1210"/>
      <c r="CP853" s="294"/>
      <c r="CU853" s="294"/>
    </row>
    <row r="854" spans="1:99" ht="13">
      <c r="A854" s="294"/>
      <c r="B854" s="294"/>
      <c r="F854" s="296"/>
      <c r="J854" s="302"/>
      <c r="AO854" s="1210"/>
      <c r="CP854" s="294"/>
      <c r="CU854" s="294"/>
    </row>
    <row r="855" spans="1:99" ht="13">
      <c r="A855" s="294"/>
      <c r="B855" s="294"/>
      <c r="F855" s="296"/>
      <c r="J855" s="302"/>
      <c r="AO855" s="1210"/>
      <c r="CP855" s="294"/>
      <c r="CU855" s="294"/>
    </row>
    <row r="856" spans="1:99" ht="13">
      <c r="A856" s="294"/>
      <c r="B856" s="294"/>
      <c r="F856" s="296"/>
      <c r="J856" s="302"/>
      <c r="AO856" s="1210"/>
      <c r="CP856" s="294"/>
      <c r="CU856" s="294"/>
    </row>
    <row r="857" spans="1:99" ht="13">
      <c r="A857" s="294"/>
      <c r="B857" s="294"/>
      <c r="F857" s="296"/>
      <c r="J857" s="302"/>
      <c r="AO857" s="1210"/>
      <c r="CP857" s="294"/>
      <c r="CU857" s="294"/>
    </row>
    <row r="858" spans="1:99" ht="13">
      <c r="A858" s="294"/>
      <c r="B858" s="294"/>
      <c r="F858" s="296"/>
      <c r="J858" s="302"/>
      <c r="AO858" s="1210"/>
      <c r="CP858" s="294"/>
      <c r="CU858" s="294"/>
    </row>
    <row r="859" spans="1:99" ht="13">
      <c r="A859" s="294"/>
      <c r="B859" s="294"/>
      <c r="F859" s="296"/>
      <c r="J859" s="302"/>
      <c r="AO859" s="1210"/>
      <c r="CP859" s="294"/>
      <c r="CU859" s="294"/>
    </row>
    <row r="860" spans="1:99" ht="13">
      <c r="A860" s="294"/>
      <c r="B860" s="294"/>
      <c r="F860" s="296"/>
      <c r="J860" s="302"/>
      <c r="AO860" s="1210"/>
      <c r="CP860" s="294"/>
      <c r="CU860" s="294"/>
    </row>
    <row r="861" spans="1:99" ht="13">
      <c r="A861" s="294"/>
      <c r="B861" s="294"/>
      <c r="F861" s="296"/>
      <c r="J861" s="302"/>
      <c r="AO861" s="1210"/>
      <c r="CP861" s="294"/>
      <c r="CU861" s="294"/>
    </row>
    <row r="862" spans="1:99" ht="13">
      <c r="A862" s="294"/>
      <c r="B862" s="294"/>
      <c r="F862" s="296"/>
      <c r="J862" s="302"/>
      <c r="AO862" s="1210"/>
      <c r="CP862" s="294"/>
      <c r="CU862" s="294"/>
    </row>
    <row r="863" spans="1:99" ht="13">
      <c r="A863" s="294"/>
      <c r="B863" s="294"/>
      <c r="F863" s="296"/>
      <c r="J863" s="302"/>
      <c r="AO863" s="1210"/>
      <c r="CP863" s="294"/>
      <c r="CU863" s="294"/>
    </row>
    <row r="864" spans="1:99" ht="13">
      <c r="A864" s="294"/>
      <c r="B864" s="294"/>
      <c r="F864" s="296"/>
      <c r="J864" s="302"/>
      <c r="AO864" s="1210"/>
      <c r="CP864" s="294"/>
      <c r="CU864" s="294"/>
    </row>
    <row r="865" spans="1:99" ht="13">
      <c r="A865" s="294"/>
      <c r="B865" s="294"/>
      <c r="F865" s="296"/>
      <c r="J865" s="302"/>
      <c r="AO865" s="1210"/>
      <c r="CP865" s="294"/>
      <c r="CU865" s="294"/>
    </row>
    <row r="866" spans="1:99" ht="13">
      <c r="A866" s="294"/>
      <c r="B866" s="294"/>
      <c r="F866" s="296"/>
      <c r="J866" s="302"/>
      <c r="AO866" s="1210"/>
      <c r="CP866" s="294"/>
      <c r="CU866" s="294"/>
    </row>
    <row r="867" spans="1:99" ht="13">
      <c r="A867" s="294"/>
      <c r="B867" s="294"/>
      <c r="F867" s="296"/>
      <c r="J867" s="302"/>
      <c r="AO867" s="1210"/>
      <c r="CP867" s="294"/>
      <c r="CU867" s="294"/>
    </row>
    <row r="868" spans="1:99" ht="13">
      <c r="A868" s="294"/>
      <c r="B868" s="294"/>
      <c r="F868" s="296"/>
      <c r="J868" s="302"/>
      <c r="AO868" s="1210"/>
      <c r="CP868" s="294"/>
      <c r="CU868" s="294"/>
    </row>
    <row r="869" spans="1:99" ht="13">
      <c r="A869" s="294"/>
      <c r="B869" s="294"/>
      <c r="F869" s="296"/>
      <c r="J869" s="302"/>
      <c r="AO869" s="1210"/>
      <c r="CP869" s="294"/>
      <c r="CU869" s="294"/>
    </row>
    <row r="870" spans="1:99" ht="13">
      <c r="A870" s="294"/>
      <c r="B870" s="294"/>
      <c r="F870" s="296"/>
      <c r="J870" s="302"/>
      <c r="AO870" s="1210"/>
      <c r="CP870" s="294"/>
      <c r="CU870" s="294"/>
    </row>
    <row r="871" spans="1:99" ht="13">
      <c r="A871" s="294"/>
      <c r="B871" s="294"/>
      <c r="F871" s="296"/>
      <c r="J871" s="302"/>
      <c r="AO871" s="1210"/>
      <c r="CP871" s="294"/>
      <c r="CU871" s="294"/>
    </row>
    <row r="872" spans="1:99" ht="13">
      <c r="A872" s="294"/>
      <c r="B872" s="294"/>
      <c r="F872" s="296"/>
      <c r="J872" s="302"/>
      <c r="AO872" s="1210"/>
      <c r="CP872" s="294"/>
      <c r="CU872" s="294"/>
    </row>
    <row r="873" spans="1:99" ht="13">
      <c r="A873" s="294"/>
      <c r="B873" s="294"/>
      <c r="F873" s="296"/>
      <c r="J873" s="302"/>
      <c r="AO873" s="1210"/>
      <c r="CP873" s="294"/>
      <c r="CU873" s="294"/>
    </row>
    <row r="874" spans="1:99" ht="13">
      <c r="A874" s="294"/>
      <c r="B874" s="294"/>
      <c r="F874" s="296"/>
      <c r="J874" s="302"/>
      <c r="AO874" s="1210"/>
      <c r="CP874" s="294"/>
      <c r="CU874" s="294"/>
    </row>
    <row r="875" spans="1:99" ht="13">
      <c r="A875" s="294"/>
      <c r="B875" s="294"/>
      <c r="F875" s="296"/>
      <c r="J875" s="302"/>
      <c r="AO875" s="1210"/>
      <c r="CP875" s="294"/>
      <c r="CU875" s="294"/>
    </row>
    <row r="876" spans="1:99" ht="13">
      <c r="A876" s="294"/>
      <c r="B876" s="294"/>
      <c r="F876" s="296"/>
      <c r="J876" s="302"/>
      <c r="AO876" s="1210"/>
      <c r="CP876" s="294"/>
      <c r="CU876" s="294"/>
    </row>
    <row r="877" spans="1:99" ht="13">
      <c r="A877" s="294"/>
      <c r="B877" s="294"/>
      <c r="F877" s="296"/>
      <c r="J877" s="302"/>
      <c r="AO877" s="1210"/>
      <c r="CP877" s="294"/>
      <c r="CU877" s="294"/>
    </row>
    <row r="878" spans="1:99" ht="13">
      <c r="A878" s="294"/>
      <c r="B878" s="294"/>
      <c r="F878" s="296"/>
      <c r="J878" s="302"/>
      <c r="AO878" s="1210"/>
      <c r="CP878" s="294"/>
      <c r="CU878" s="294"/>
    </row>
    <row r="879" spans="1:99" ht="13">
      <c r="A879" s="294"/>
      <c r="B879" s="294"/>
      <c r="F879" s="296"/>
      <c r="J879" s="302"/>
      <c r="AO879" s="1210"/>
      <c r="CP879" s="294"/>
      <c r="CU879" s="294"/>
    </row>
    <row r="880" spans="1:99" ht="13">
      <c r="A880" s="294"/>
      <c r="B880" s="294"/>
      <c r="F880" s="296"/>
      <c r="J880" s="302"/>
      <c r="AO880" s="1210"/>
      <c r="CP880" s="294"/>
      <c r="CU880" s="294"/>
    </row>
    <row r="881" spans="1:99" ht="13">
      <c r="A881" s="294"/>
      <c r="B881" s="294"/>
      <c r="F881" s="296"/>
      <c r="J881" s="302"/>
      <c r="AO881" s="1210"/>
      <c r="CP881" s="294"/>
      <c r="CU881" s="294"/>
    </row>
    <row r="882" spans="1:99" ht="13">
      <c r="A882" s="294"/>
      <c r="B882" s="294"/>
      <c r="F882" s="296"/>
      <c r="J882" s="302"/>
      <c r="AO882" s="1210"/>
      <c r="CP882" s="294"/>
      <c r="CU882" s="294"/>
    </row>
    <row r="883" spans="1:99" ht="13">
      <c r="A883" s="294"/>
      <c r="B883" s="294"/>
      <c r="F883" s="296"/>
      <c r="J883" s="302"/>
      <c r="AO883" s="1210"/>
      <c r="CP883" s="294"/>
      <c r="CU883" s="294"/>
    </row>
    <row r="884" spans="1:99" ht="13">
      <c r="A884" s="294"/>
      <c r="B884" s="294"/>
      <c r="F884" s="296"/>
      <c r="J884" s="302"/>
      <c r="AO884" s="1210"/>
      <c r="CP884" s="294"/>
      <c r="CU884" s="294"/>
    </row>
    <row r="885" spans="1:99" ht="13">
      <c r="A885" s="294"/>
      <c r="B885" s="294"/>
      <c r="F885" s="296"/>
      <c r="J885" s="302"/>
      <c r="AO885" s="1210"/>
      <c r="CP885" s="294"/>
      <c r="CU885" s="294"/>
    </row>
    <row r="886" spans="1:99" ht="13">
      <c r="A886" s="294"/>
      <c r="B886" s="294"/>
      <c r="F886" s="296"/>
      <c r="J886" s="302"/>
      <c r="AO886" s="1210"/>
      <c r="CP886" s="294"/>
      <c r="CU886" s="294"/>
    </row>
    <row r="887" spans="1:99" ht="13">
      <c r="A887" s="294"/>
      <c r="B887" s="294"/>
      <c r="F887" s="296"/>
      <c r="J887" s="302"/>
      <c r="AO887" s="1210"/>
      <c r="CP887" s="294"/>
      <c r="CU887" s="294"/>
    </row>
    <row r="888" spans="1:99" ht="13">
      <c r="A888" s="294"/>
      <c r="B888" s="294"/>
      <c r="F888" s="296"/>
      <c r="J888" s="302"/>
      <c r="AO888" s="1210"/>
      <c r="CP888" s="294"/>
      <c r="CU888" s="294"/>
    </row>
    <row r="889" spans="1:99" ht="13">
      <c r="A889" s="294"/>
      <c r="B889" s="294"/>
      <c r="F889" s="296"/>
      <c r="J889" s="302"/>
      <c r="AO889" s="1210"/>
      <c r="CP889" s="294"/>
      <c r="CU889" s="294"/>
    </row>
    <row r="890" spans="1:99" ht="13">
      <c r="A890" s="294"/>
      <c r="B890" s="294"/>
      <c r="F890" s="296"/>
      <c r="J890" s="302"/>
      <c r="AO890" s="1210"/>
      <c r="CP890" s="294"/>
      <c r="CU890" s="294"/>
    </row>
    <row r="891" spans="1:99" ht="13">
      <c r="A891" s="294"/>
      <c r="B891" s="294"/>
      <c r="F891" s="296"/>
      <c r="J891" s="302"/>
      <c r="AO891" s="1210"/>
      <c r="CP891" s="294"/>
      <c r="CU891" s="294"/>
    </row>
    <row r="892" spans="1:99" ht="13">
      <c r="A892" s="294"/>
      <c r="B892" s="294"/>
      <c r="F892" s="296"/>
      <c r="J892" s="302"/>
      <c r="AO892" s="1210"/>
      <c r="CP892" s="294"/>
      <c r="CU892" s="294"/>
    </row>
    <row r="893" spans="1:99" ht="13">
      <c r="A893" s="294"/>
      <c r="B893" s="294"/>
      <c r="F893" s="296"/>
      <c r="J893" s="302"/>
      <c r="AO893" s="1210"/>
      <c r="CP893" s="294"/>
      <c r="CU893" s="294"/>
    </row>
    <row r="894" spans="1:99" ht="13">
      <c r="A894" s="294"/>
      <c r="B894" s="294"/>
      <c r="F894" s="296"/>
      <c r="J894" s="302"/>
      <c r="AO894" s="1210"/>
      <c r="CP894" s="294"/>
      <c r="CU894" s="294"/>
    </row>
    <row r="895" spans="1:99" ht="13">
      <c r="A895" s="294"/>
      <c r="B895" s="294"/>
      <c r="F895" s="296"/>
      <c r="J895" s="302"/>
      <c r="AO895" s="1210"/>
      <c r="CP895" s="294"/>
      <c r="CU895" s="294"/>
    </row>
    <row r="896" spans="1:99" ht="13">
      <c r="A896" s="294"/>
      <c r="B896" s="294"/>
      <c r="F896" s="296"/>
      <c r="J896" s="302"/>
      <c r="AO896" s="1210"/>
      <c r="CP896" s="294"/>
      <c r="CU896" s="294"/>
    </row>
    <row r="897" spans="1:99" ht="13">
      <c r="A897" s="294"/>
      <c r="B897" s="294"/>
      <c r="F897" s="296"/>
      <c r="J897" s="302"/>
      <c r="AO897" s="1210"/>
      <c r="CP897" s="294"/>
      <c r="CU897" s="294"/>
    </row>
    <row r="898" spans="1:99" ht="13">
      <c r="A898" s="294"/>
      <c r="B898" s="294"/>
      <c r="F898" s="296"/>
      <c r="J898" s="302"/>
      <c r="AO898" s="1210"/>
      <c r="CP898" s="294"/>
      <c r="CU898" s="294"/>
    </row>
    <row r="899" spans="1:99" ht="13">
      <c r="A899" s="294"/>
      <c r="B899" s="294"/>
      <c r="F899" s="296"/>
      <c r="J899" s="302"/>
      <c r="AO899" s="1210"/>
      <c r="CP899" s="294"/>
      <c r="CU899" s="294"/>
    </row>
    <row r="900" spans="1:99" ht="13">
      <c r="A900" s="294"/>
      <c r="B900" s="294"/>
      <c r="F900" s="296"/>
      <c r="J900" s="302"/>
      <c r="AO900" s="1210"/>
      <c r="CP900" s="294"/>
      <c r="CU900" s="294"/>
    </row>
    <row r="901" spans="1:99" ht="13">
      <c r="A901" s="294"/>
      <c r="B901" s="294"/>
      <c r="F901" s="296"/>
      <c r="J901" s="302"/>
      <c r="AO901" s="1210"/>
      <c r="CP901" s="294"/>
      <c r="CU901" s="294"/>
    </row>
    <row r="902" spans="1:99" ht="13">
      <c r="A902" s="294"/>
      <c r="B902" s="294"/>
      <c r="F902" s="296"/>
      <c r="J902" s="302"/>
      <c r="AO902" s="1210"/>
      <c r="CP902" s="294"/>
      <c r="CU902" s="294"/>
    </row>
    <row r="903" spans="1:99" ht="13">
      <c r="A903" s="294"/>
      <c r="B903" s="294"/>
      <c r="F903" s="296"/>
      <c r="J903" s="302"/>
      <c r="AO903" s="1210"/>
      <c r="CP903" s="294"/>
      <c r="CU903" s="294"/>
    </row>
    <row r="904" spans="1:99" ht="13">
      <c r="A904" s="294"/>
      <c r="B904" s="294"/>
      <c r="F904" s="296"/>
      <c r="J904" s="302"/>
      <c r="AO904" s="1210"/>
      <c r="CP904" s="294"/>
      <c r="CU904" s="294"/>
    </row>
    <row r="905" spans="1:99" ht="13">
      <c r="A905" s="294"/>
      <c r="B905" s="294"/>
      <c r="F905" s="296"/>
      <c r="J905" s="302"/>
      <c r="AO905" s="1210"/>
      <c r="CP905" s="294"/>
      <c r="CU905" s="294"/>
    </row>
    <row r="906" spans="1:99" ht="13">
      <c r="A906" s="294"/>
      <c r="B906" s="294"/>
      <c r="F906" s="296"/>
      <c r="J906" s="302"/>
      <c r="AO906" s="1210"/>
      <c r="CP906" s="294"/>
      <c r="CU906" s="294"/>
    </row>
    <row r="907" spans="1:99" ht="13">
      <c r="A907" s="294"/>
      <c r="B907" s="294"/>
      <c r="F907" s="296"/>
      <c r="J907" s="302"/>
      <c r="AO907" s="1210"/>
      <c r="CP907" s="294"/>
      <c r="CU907" s="294"/>
    </row>
    <row r="908" spans="1:99" ht="13">
      <c r="A908" s="294"/>
      <c r="B908" s="294"/>
      <c r="F908" s="296"/>
      <c r="J908" s="302"/>
      <c r="AO908" s="1210"/>
      <c r="CP908" s="294"/>
      <c r="CU908" s="294"/>
    </row>
    <row r="909" spans="1:99" ht="13">
      <c r="A909" s="294"/>
      <c r="B909" s="294"/>
      <c r="F909" s="296"/>
      <c r="J909" s="302"/>
      <c r="AO909" s="1210"/>
      <c r="CP909" s="294"/>
      <c r="CU909" s="294"/>
    </row>
    <row r="910" spans="1:99" ht="13">
      <c r="A910" s="294"/>
      <c r="B910" s="294"/>
      <c r="F910" s="296"/>
      <c r="J910" s="302"/>
      <c r="AO910" s="1210"/>
      <c r="CP910" s="294"/>
      <c r="CU910" s="294"/>
    </row>
    <row r="911" spans="1:99" ht="13">
      <c r="A911" s="294"/>
      <c r="B911" s="294"/>
      <c r="F911" s="296"/>
      <c r="J911" s="302"/>
      <c r="AO911" s="1210"/>
      <c r="CP911" s="294"/>
      <c r="CU911" s="294"/>
    </row>
    <row r="912" spans="1:99" ht="13">
      <c r="A912" s="294"/>
      <c r="B912" s="294"/>
      <c r="F912" s="296"/>
      <c r="J912" s="302"/>
      <c r="AO912" s="1210"/>
      <c r="CP912" s="294"/>
      <c r="CU912" s="294"/>
    </row>
    <row r="913" spans="1:99" ht="13">
      <c r="A913" s="294"/>
      <c r="B913" s="294"/>
      <c r="F913" s="296"/>
      <c r="J913" s="302"/>
      <c r="AO913" s="1210"/>
      <c r="CP913" s="294"/>
      <c r="CU913" s="294"/>
    </row>
    <row r="914" spans="1:99" ht="13">
      <c r="A914" s="294"/>
      <c r="B914" s="294"/>
      <c r="F914" s="296"/>
      <c r="J914" s="302"/>
      <c r="AO914" s="1210"/>
      <c r="CP914" s="294"/>
      <c r="CU914" s="294"/>
    </row>
    <row r="915" spans="1:99" ht="13">
      <c r="A915" s="294"/>
      <c r="B915" s="294"/>
      <c r="F915" s="296"/>
      <c r="J915" s="302"/>
      <c r="AO915" s="1210"/>
      <c r="CP915" s="294"/>
      <c r="CU915" s="294"/>
    </row>
    <row r="916" spans="1:99" ht="13">
      <c r="A916" s="294"/>
      <c r="B916" s="294"/>
      <c r="F916" s="296"/>
      <c r="J916" s="302"/>
      <c r="AO916" s="1210"/>
      <c r="CP916" s="294"/>
      <c r="CU916" s="294"/>
    </row>
    <row r="917" spans="1:99" ht="13">
      <c r="A917" s="294"/>
      <c r="B917" s="294"/>
      <c r="F917" s="296"/>
      <c r="J917" s="302"/>
      <c r="AO917" s="1210"/>
      <c r="CP917" s="294"/>
      <c r="CU917" s="294"/>
    </row>
    <row r="918" spans="1:99" ht="13">
      <c r="A918" s="294"/>
      <c r="B918" s="294"/>
      <c r="F918" s="296"/>
      <c r="J918" s="302"/>
      <c r="AO918" s="1210"/>
      <c r="CP918" s="294"/>
      <c r="CU918" s="294"/>
    </row>
    <row r="919" spans="1:99" ht="13">
      <c r="A919" s="294"/>
      <c r="B919" s="294"/>
      <c r="F919" s="296"/>
      <c r="J919" s="302"/>
      <c r="AO919" s="1210"/>
      <c r="CP919" s="294"/>
      <c r="CU919" s="294"/>
    </row>
    <row r="920" spans="1:99" ht="13">
      <c r="A920" s="294"/>
      <c r="B920" s="294"/>
      <c r="F920" s="296"/>
      <c r="J920" s="302"/>
      <c r="AO920" s="1210"/>
      <c r="CP920" s="294"/>
      <c r="CU920" s="294"/>
    </row>
    <row r="921" spans="1:99" ht="13">
      <c r="A921" s="294"/>
      <c r="B921" s="294"/>
      <c r="F921" s="296"/>
      <c r="J921" s="302"/>
      <c r="AO921" s="1210"/>
      <c r="CP921" s="294"/>
      <c r="CU921" s="294"/>
    </row>
    <row r="922" spans="1:99" ht="13">
      <c r="A922" s="294"/>
      <c r="B922" s="294"/>
      <c r="F922" s="296"/>
      <c r="J922" s="302"/>
      <c r="AO922" s="1210"/>
      <c r="CP922" s="294"/>
      <c r="CU922" s="294"/>
    </row>
    <row r="923" spans="1:99" ht="13">
      <c r="A923" s="294"/>
      <c r="B923" s="294"/>
      <c r="F923" s="296"/>
      <c r="J923" s="302"/>
      <c r="AO923" s="1210"/>
      <c r="CP923" s="294"/>
      <c r="CU923" s="294"/>
    </row>
    <row r="924" spans="1:99" ht="13">
      <c r="A924" s="294"/>
      <c r="B924" s="294"/>
      <c r="F924" s="296"/>
      <c r="J924" s="302"/>
      <c r="AO924" s="1210"/>
      <c r="CP924" s="294"/>
      <c r="CU924" s="294"/>
    </row>
    <row r="925" spans="1:99" ht="13">
      <c r="A925" s="294"/>
      <c r="B925" s="294"/>
      <c r="F925" s="296"/>
      <c r="J925" s="302"/>
      <c r="AO925" s="1210"/>
      <c r="CP925" s="294"/>
      <c r="CU925" s="294"/>
    </row>
    <row r="926" spans="1:99" ht="13">
      <c r="A926" s="294"/>
      <c r="B926" s="294"/>
      <c r="F926" s="296"/>
      <c r="J926" s="302"/>
      <c r="AO926" s="1210"/>
      <c r="CP926" s="294"/>
      <c r="CU926" s="294"/>
    </row>
    <row r="927" spans="1:99" ht="13">
      <c r="A927" s="294"/>
      <c r="B927" s="294"/>
      <c r="F927" s="296"/>
      <c r="J927" s="302"/>
      <c r="AO927" s="1210"/>
      <c r="CP927" s="294"/>
      <c r="CU927" s="294"/>
    </row>
    <row r="928" spans="1:99" ht="13">
      <c r="A928" s="294"/>
      <c r="B928" s="294"/>
      <c r="F928" s="296"/>
      <c r="J928" s="302"/>
      <c r="AO928" s="1210"/>
      <c r="CP928" s="294"/>
      <c r="CU928" s="294"/>
    </row>
    <row r="929" spans="1:99" ht="13">
      <c r="A929" s="294"/>
      <c r="B929" s="294"/>
      <c r="F929" s="296"/>
      <c r="J929" s="302"/>
      <c r="AO929" s="1210"/>
      <c r="CP929" s="294"/>
      <c r="CU929" s="294"/>
    </row>
    <row r="930" spans="1:99" ht="13">
      <c r="A930" s="294"/>
      <c r="B930" s="294"/>
      <c r="F930" s="296"/>
      <c r="J930" s="302"/>
      <c r="AO930" s="1210"/>
      <c r="CP930" s="294"/>
      <c r="CU930" s="294"/>
    </row>
    <row r="931" spans="1:99" ht="13">
      <c r="A931" s="294"/>
      <c r="B931" s="294"/>
      <c r="F931" s="296"/>
      <c r="J931" s="302"/>
      <c r="AO931" s="1210"/>
      <c r="CP931" s="294"/>
      <c r="CU931" s="294"/>
    </row>
    <row r="932" spans="1:99" ht="13">
      <c r="A932" s="294"/>
      <c r="B932" s="294"/>
      <c r="F932" s="296"/>
      <c r="J932" s="302"/>
      <c r="AO932" s="1210"/>
      <c r="CP932" s="294"/>
      <c r="CU932" s="294"/>
    </row>
    <row r="933" spans="1:99" ht="13">
      <c r="A933" s="294"/>
      <c r="B933" s="294"/>
      <c r="F933" s="296"/>
      <c r="J933" s="302"/>
      <c r="AO933" s="1210"/>
      <c r="CP933" s="294"/>
      <c r="CU933" s="294"/>
    </row>
    <row r="934" spans="1:99" ht="13">
      <c r="A934" s="294"/>
      <c r="B934" s="294"/>
      <c r="F934" s="296"/>
      <c r="J934" s="302"/>
      <c r="AO934" s="1210"/>
      <c r="CP934" s="294"/>
      <c r="CU934" s="294"/>
    </row>
    <row r="935" spans="1:99" ht="13">
      <c r="A935" s="294"/>
      <c r="B935" s="294"/>
      <c r="F935" s="296"/>
      <c r="J935" s="302"/>
      <c r="AO935" s="1210"/>
      <c r="CP935" s="294"/>
      <c r="CU935" s="294"/>
    </row>
    <row r="936" spans="1:99" ht="13">
      <c r="A936" s="294"/>
      <c r="B936" s="294"/>
      <c r="F936" s="296"/>
      <c r="J936" s="302"/>
      <c r="AO936" s="1210"/>
      <c r="CP936" s="294"/>
      <c r="CU936" s="294"/>
    </row>
    <row r="937" spans="1:99" ht="13">
      <c r="A937" s="294"/>
      <c r="B937" s="294"/>
      <c r="F937" s="296"/>
      <c r="J937" s="302"/>
      <c r="AO937" s="1210"/>
      <c r="CP937" s="294"/>
      <c r="CU937" s="294"/>
    </row>
    <row r="938" spans="1:99" ht="13">
      <c r="A938" s="294"/>
      <c r="B938" s="294"/>
      <c r="F938" s="296"/>
      <c r="J938" s="302"/>
      <c r="AO938" s="1210"/>
      <c r="CP938" s="294"/>
      <c r="CU938" s="294"/>
    </row>
    <row r="939" spans="1:99" ht="13">
      <c r="A939" s="294"/>
      <c r="B939" s="294"/>
      <c r="F939" s="296"/>
      <c r="J939" s="302"/>
      <c r="AO939" s="1210"/>
      <c r="CP939" s="294"/>
      <c r="CU939" s="294"/>
    </row>
    <row r="940" spans="1:99" ht="13">
      <c r="A940" s="294"/>
      <c r="B940" s="294"/>
      <c r="F940" s="296"/>
      <c r="J940" s="302"/>
      <c r="AO940" s="1210"/>
      <c r="CP940" s="294"/>
      <c r="CU940" s="294"/>
    </row>
    <row r="941" spans="1:99" ht="13">
      <c r="A941" s="294"/>
      <c r="B941" s="294"/>
      <c r="F941" s="296"/>
      <c r="J941" s="302"/>
      <c r="AO941" s="1210"/>
      <c r="CP941" s="294"/>
      <c r="CU941" s="294"/>
    </row>
    <row r="942" spans="1:99" ht="13">
      <c r="A942" s="294"/>
      <c r="B942" s="294"/>
      <c r="F942" s="296"/>
      <c r="J942" s="302"/>
      <c r="AO942" s="1210"/>
      <c r="CP942" s="294"/>
      <c r="CU942" s="294"/>
    </row>
    <row r="943" spans="1:99" ht="13">
      <c r="A943" s="294"/>
      <c r="B943" s="294"/>
      <c r="F943" s="296"/>
      <c r="J943" s="302"/>
      <c r="AO943" s="1210"/>
      <c r="CP943" s="294"/>
      <c r="CU943" s="294"/>
    </row>
    <row r="944" spans="1:99" ht="13">
      <c r="A944" s="294"/>
      <c r="B944" s="294"/>
      <c r="F944" s="296"/>
      <c r="J944" s="302"/>
      <c r="AO944" s="1210"/>
      <c r="CP944" s="294"/>
      <c r="CU944" s="294"/>
    </row>
    <row r="945" spans="1:99" ht="13">
      <c r="A945" s="294"/>
      <c r="B945" s="294"/>
      <c r="F945" s="296"/>
      <c r="J945" s="302"/>
      <c r="AO945" s="1210"/>
      <c r="CP945" s="294"/>
      <c r="CU945" s="294"/>
    </row>
    <row r="946" spans="1:99" ht="13">
      <c r="A946" s="294"/>
      <c r="B946" s="294"/>
      <c r="F946" s="296"/>
      <c r="J946" s="302"/>
      <c r="AO946" s="1210"/>
      <c r="CP946" s="294"/>
      <c r="CU946" s="294"/>
    </row>
    <row r="947" spans="1:99" ht="13">
      <c r="A947" s="294"/>
      <c r="B947" s="294"/>
      <c r="F947" s="296"/>
      <c r="J947" s="302"/>
      <c r="AO947" s="1210"/>
      <c r="CP947" s="294"/>
      <c r="CU947" s="294"/>
    </row>
    <row r="948" spans="1:99" ht="13">
      <c r="A948" s="294"/>
      <c r="B948" s="294"/>
      <c r="F948" s="296"/>
      <c r="J948" s="302"/>
      <c r="AO948" s="1210"/>
      <c r="CP948" s="294"/>
      <c r="CU948" s="294"/>
    </row>
    <row r="949" spans="1:99" ht="13">
      <c r="A949" s="294"/>
      <c r="B949" s="294"/>
      <c r="F949" s="296"/>
      <c r="J949" s="302"/>
      <c r="AO949" s="1210"/>
      <c r="CP949" s="294"/>
      <c r="CU949" s="294"/>
    </row>
    <row r="950" spans="1:99" ht="13">
      <c r="A950" s="294"/>
      <c r="B950" s="294"/>
      <c r="F950" s="296"/>
      <c r="J950" s="302"/>
      <c r="AO950" s="1210"/>
      <c r="CP950" s="294"/>
      <c r="CU950" s="294"/>
    </row>
    <row r="951" spans="1:99" ht="13">
      <c r="A951" s="294"/>
      <c r="B951" s="294"/>
      <c r="F951" s="296"/>
      <c r="J951" s="302"/>
      <c r="AO951" s="1210"/>
      <c r="CP951" s="294"/>
      <c r="CU951" s="294"/>
    </row>
    <row r="952" spans="1:99" ht="13">
      <c r="A952" s="294"/>
      <c r="B952" s="294"/>
      <c r="F952" s="296"/>
      <c r="J952" s="302"/>
      <c r="AO952" s="1210"/>
      <c r="CP952" s="294"/>
      <c r="CU952" s="294"/>
    </row>
    <row r="953" spans="1:99" ht="13">
      <c r="A953" s="294"/>
      <c r="B953" s="294"/>
      <c r="F953" s="296"/>
      <c r="J953" s="302"/>
      <c r="AO953" s="1210"/>
      <c r="CP953" s="294"/>
      <c r="CU953" s="294"/>
    </row>
    <row r="954" spans="1:99" ht="13">
      <c r="A954" s="294"/>
      <c r="B954" s="294"/>
      <c r="F954" s="296"/>
      <c r="J954" s="302"/>
      <c r="AO954" s="1210"/>
      <c r="CP954" s="294"/>
      <c r="CU954" s="294"/>
    </row>
    <row r="955" spans="1:99" ht="13">
      <c r="A955" s="294"/>
      <c r="B955" s="294"/>
      <c r="F955" s="296"/>
      <c r="J955" s="302"/>
      <c r="AO955" s="1210"/>
      <c r="CP955" s="294"/>
      <c r="CU955" s="294"/>
    </row>
    <row r="956" spans="1:99" ht="13">
      <c r="A956" s="294"/>
      <c r="B956" s="294"/>
      <c r="F956" s="296"/>
      <c r="J956" s="302"/>
      <c r="AO956" s="1210"/>
      <c r="CP956" s="294"/>
      <c r="CU956" s="294"/>
    </row>
    <row r="957" spans="1:99" ht="13">
      <c r="A957" s="294"/>
      <c r="B957" s="294"/>
      <c r="F957" s="296"/>
      <c r="J957" s="302"/>
      <c r="AO957" s="1210"/>
      <c r="CP957" s="294"/>
      <c r="CU957" s="294"/>
    </row>
    <row r="958" spans="1:99" ht="13">
      <c r="A958" s="294"/>
      <c r="B958" s="294"/>
      <c r="F958" s="296"/>
      <c r="J958" s="302"/>
      <c r="AO958" s="1210"/>
      <c r="CP958" s="294"/>
      <c r="CU958" s="294"/>
    </row>
    <row r="959" spans="1:99" ht="13">
      <c r="A959" s="294"/>
      <c r="B959" s="294"/>
      <c r="F959" s="296"/>
      <c r="J959" s="302"/>
      <c r="AO959" s="1210"/>
      <c r="CP959" s="294"/>
      <c r="CU959" s="294"/>
    </row>
    <row r="960" spans="1:99" ht="13">
      <c r="A960" s="294"/>
      <c r="B960" s="294"/>
      <c r="F960" s="296"/>
      <c r="J960" s="302"/>
      <c r="AO960" s="1210"/>
      <c r="CP960" s="294"/>
      <c r="CU960" s="294"/>
    </row>
    <row r="961" spans="1:99" ht="13">
      <c r="A961" s="294"/>
      <c r="B961" s="294"/>
      <c r="F961" s="296"/>
      <c r="J961" s="302"/>
      <c r="AO961" s="1210"/>
      <c r="CP961" s="294"/>
      <c r="CU961" s="294"/>
    </row>
    <row r="962" spans="1:99" ht="13">
      <c r="A962" s="294"/>
      <c r="B962" s="294"/>
      <c r="F962" s="296"/>
      <c r="J962" s="302"/>
      <c r="AO962" s="1210"/>
      <c r="CP962" s="294"/>
      <c r="CU962" s="294"/>
    </row>
    <row r="963" spans="1:99" ht="13">
      <c r="A963" s="294"/>
      <c r="B963" s="294"/>
      <c r="F963" s="296"/>
      <c r="J963" s="302"/>
      <c r="AO963" s="1210"/>
      <c r="CP963" s="294"/>
      <c r="CU963" s="294"/>
    </row>
    <row r="964" spans="1:99" ht="13">
      <c r="A964" s="294"/>
      <c r="B964" s="294"/>
      <c r="F964" s="296"/>
      <c r="J964" s="302"/>
      <c r="AO964" s="1210"/>
      <c r="CP964" s="294"/>
      <c r="CU964" s="294"/>
    </row>
    <row r="965" spans="1:99" ht="13">
      <c r="A965" s="294"/>
      <c r="B965" s="294"/>
      <c r="F965" s="296"/>
      <c r="J965" s="302"/>
      <c r="AO965" s="1210"/>
      <c r="CP965" s="294"/>
      <c r="CU965" s="294"/>
    </row>
    <row r="966" spans="1:99" ht="13">
      <c r="A966" s="294"/>
      <c r="B966" s="294"/>
      <c r="F966" s="296"/>
      <c r="J966" s="302"/>
      <c r="AO966" s="1210"/>
      <c r="CP966" s="294"/>
      <c r="CU966" s="294"/>
    </row>
    <row r="967" spans="1:99" ht="13">
      <c r="A967" s="294"/>
      <c r="B967" s="294"/>
      <c r="F967" s="296"/>
      <c r="J967" s="302"/>
      <c r="AO967" s="1210"/>
      <c r="CP967" s="294"/>
      <c r="CU967" s="294"/>
    </row>
    <row r="968" spans="1:99" ht="13">
      <c r="A968" s="294"/>
      <c r="B968" s="294"/>
      <c r="F968" s="296"/>
      <c r="J968" s="302"/>
      <c r="AO968" s="1210"/>
      <c r="CP968" s="294"/>
      <c r="CU968" s="294"/>
    </row>
    <row r="969" spans="1:99" ht="13">
      <c r="A969" s="294"/>
      <c r="B969" s="294"/>
      <c r="F969" s="296"/>
      <c r="J969" s="302"/>
      <c r="AO969" s="1210"/>
      <c r="CP969" s="294"/>
      <c r="CU969" s="294"/>
    </row>
    <row r="970" spans="1:99" ht="13">
      <c r="A970" s="294"/>
      <c r="B970" s="294"/>
      <c r="F970" s="296"/>
      <c r="J970" s="302"/>
      <c r="AO970" s="1210"/>
      <c r="CP970" s="294"/>
      <c r="CU970" s="294"/>
    </row>
    <row r="971" spans="1:99" ht="13">
      <c r="A971" s="294"/>
      <c r="B971" s="294"/>
      <c r="F971" s="296"/>
      <c r="J971" s="302"/>
      <c r="AO971" s="1210"/>
      <c r="CP971" s="294"/>
      <c r="CU971" s="294"/>
    </row>
    <row r="972" spans="1:99" ht="13">
      <c r="A972" s="294"/>
      <c r="B972" s="294"/>
      <c r="F972" s="296"/>
      <c r="J972" s="302"/>
      <c r="AO972" s="1210"/>
      <c r="CP972" s="294"/>
      <c r="CU972" s="294"/>
    </row>
    <row r="973" spans="1:99" ht="13">
      <c r="A973" s="294"/>
      <c r="B973" s="294"/>
      <c r="F973" s="296"/>
      <c r="J973" s="302"/>
      <c r="AO973" s="1210"/>
      <c r="CP973" s="294"/>
      <c r="CU973" s="294"/>
    </row>
    <row r="974" spans="1:99" ht="13">
      <c r="A974" s="294"/>
      <c r="B974" s="294"/>
      <c r="F974" s="296"/>
      <c r="J974" s="302"/>
      <c r="AO974" s="1210"/>
      <c r="CP974" s="294"/>
      <c r="CU974" s="294"/>
    </row>
    <row r="975" spans="1:99" ht="13">
      <c r="A975" s="294"/>
      <c r="B975" s="294"/>
      <c r="F975" s="296"/>
      <c r="J975" s="302"/>
      <c r="AO975" s="1210"/>
      <c r="CP975" s="294"/>
      <c r="CU975" s="294"/>
    </row>
    <row r="976" spans="1:99" ht="13">
      <c r="A976" s="294"/>
      <c r="B976" s="294"/>
      <c r="F976" s="296"/>
      <c r="J976" s="302"/>
      <c r="AO976" s="1210"/>
      <c r="CP976" s="294"/>
      <c r="CU976" s="294"/>
    </row>
    <row r="977" spans="1:99" ht="13">
      <c r="A977" s="294"/>
      <c r="B977" s="294"/>
      <c r="F977" s="296"/>
      <c r="J977" s="302"/>
      <c r="AO977" s="1210"/>
      <c r="CP977" s="294"/>
      <c r="CU977" s="294"/>
    </row>
    <row r="978" spans="1:99" ht="13">
      <c r="A978" s="294"/>
      <c r="B978" s="294"/>
      <c r="F978" s="296"/>
      <c r="J978" s="302"/>
      <c r="AO978" s="1210"/>
      <c r="CP978" s="294"/>
      <c r="CU978" s="294"/>
    </row>
    <row r="979" spans="1:99" ht="13">
      <c r="A979" s="294"/>
      <c r="B979" s="294"/>
      <c r="F979" s="296"/>
      <c r="J979" s="302"/>
      <c r="AO979" s="1210"/>
      <c r="CP979" s="294"/>
      <c r="CU979" s="294"/>
    </row>
    <row r="980" spans="1:99" ht="13">
      <c r="A980" s="294"/>
      <c r="B980" s="294"/>
      <c r="F980" s="296"/>
      <c r="J980" s="302"/>
      <c r="AO980" s="1210"/>
      <c r="CP980" s="294"/>
      <c r="CU980" s="294"/>
    </row>
    <row r="981" spans="1:99" ht="13">
      <c r="A981" s="294"/>
      <c r="B981" s="294"/>
      <c r="F981" s="296"/>
      <c r="J981" s="302"/>
      <c r="AO981" s="1210"/>
      <c r="CP981" s="294"/>
      <c r="CU981" s="294"/>
    </row>
    <row r="982" spans="1:99" ht="13">
      <c r="A982" s="294"/>
      <c r="B982" s="294"/>
      <c r="F982" s="296"/>
      <c r="J982" s="302"/>
      <c r="AO982" s="1210"/>
      <c r="CP982" s="294"/>
      <c r="CU982" s="294"/>
    </row>
    <row r="983" spans="1:99" ht="13">
      <c r="A983" s="294"/>
      <c r="B983" s="294"/>
      <c r="F983" s="296"/>
      <c r="J983" s="302"/>
      <c r="AO983" s="1210"/>
      <c r="CP983" s="294"/>
      <c r="CU983" s="294"/>
    </row>
    <row r="984" spans="1:99" ht="13">
      <c r="A984" s="294"/>
      <c r="B984" s="294"/>
      <c r="F984" s="296"/>
      <c r="J984" s="302"/>
      <c r="AO984" s="1210"/>
      <c r="CP984" s="294"/>
      <c r="CU984" s="294"/>
    </row>
    <row r="985" spans="1:99" ht="13">
      <c r="A985" s="294"/>
      <c r="B985" s="294"/>
      <c r="F985" s="296"/>
      <c r="J985" s="302"/>
      <c r="AO985" s="1210"/>
      <c r="CP985" s="294"/>
      <c r="CU985" s="294"/>
    </row>
    <row r="986" spans="1:99" ht="13">
      <c r="A986" s="294"/>
      <c r="B986" s="294"/>
      <c r="F986" s="296"/>
      <c r="J986" s="302"/>
      <c r="AO986" s="1210"/>
      <c r="CP986" s="294"/>
      <c r="CU986" s="294"/>
    </row>
    <row r="987" spans="1:99" ht="13">
      <c r="A987" s="294"/>
      <c r="B987" s="294"/>
      <c r="F987" s="296"/>
      <c r="J987" s="302"/>
      <c r="AO987" s="1210"/>
      <c r="CP987" s="294"/>
      <c r="CU987" s="294"/>
    </row>
    <row r="988" spans="1:99" ht="13">
      <c r="A988" s="294"/>
      <c r="B988" s="294"/>
      <c r="F988" s="296"/>
      <c r="J988" s="302"/>
      <c r="AO988" s="1210"/>
      <c r="CP988" s="294"/>
      <c r="CU988" s="294"/>
    </row>
    <row r="989" spans="1:99" ht="13">
      <c r="A989" s="294"/>
      <c r="B989" s="294"/>
      <c r="F989" s="296"/>
      <c r="J989" s="302"/>
      <c r="AO989" s="1210"/>
      <c r="CP989" s="294"/>
      <c r="CU989" s="294"/>
    </row>
    <row r="990" spans="1:99" ht="13">
      <c r="A990" s="294"/>
      <c r="B990" s="294"/>
      <c r="F990" s="296"/>
      <c r="J990" s="302"/>
      <c r="AO990" s="1210"/>
      <c r="CP990" s="294"/>
      <c r="CU990" s="294"/>
    </row>
    <row r="991" spans="1:99" ht="13">
      <c r="A991" s="294"/>
      <c r="B991" s="294"/>
      <c r="F991" s="296"/>
      <c r="J991" s="302"/>
      <c r="AO991" s="1210"/>
      <c r="CP991" s="294"/>
      <c r="CU991" s="294"/>
    </row>
    <row r="992" spans="1:99" ht="13">
      <c r="A992" s="294"/>
      <c r="B992" s="294"/>
      <c r="F992" s="296"/>
      <c r="J992" s="302"/>
      <c r="AO992" s="1210"/>
      <c r="CP992" s="294"/>
      <c r="CU992" s="294"/>
    </row>
    <row r="993" spans="1:99" ht="13">
      <c r="A993" s="294"/>
      <c r="B993" s="294"/>
      <c r="F993" s="296"/>
      <c r="J993" s="302"/>
      <c r="AO993" s="1210"/>
      <c r="CP993" s="294"/>
      <c r="CU993" s="294"/>
    </row>
    <row r="994" spans="1:99" ht="13">
      <c r="A994" s="294"/>
      <c r="B994" s="294"/>
      <c r="F994" s="296"/>
      <c r="J994" s="302"/>
      <c r="AO994" s="1210"/>
      <c r="CP994" s="294"/>
      <c r="CU994" s="294"/>
    </row>
    <row r="995" spans="1:99" ht="13">
      <c r="A995" s="294"/>
      <c r="B995" s="294"/>
      <c r="F995" s="296"/>
      <c r="J995" s="302"/>
      <c r="AO995" s="1210"/>
      <c r="CP995" s="294"/>
      <c r="CU995" s="294"/>
    </row>
    <row r="996" spans="1:99" ht="13">
      <c r="A996" s="294"/>
      <c r="B996" s="294"/>
      <c r="F996" s="296"/>
      <c r="J996" s="302"/>
      <c r="AO996" s="1210"/>
      <c r="CP996" s="294"/>
      <c r="CU996" s="294"/>
    </row>
    <row r="997" spans="1:99" ht="13">
      <c r="A997" s="294"/>
      <c r="B997" s="294"/>
      <c r="F997" s="296"/>
      <c r="J997" s="302"/>
      <c r="AO997" s="1210"/>
      <c r="CP997" s="294"/>
      <c r="CU997" s="294"/>
    </row>
    <row r="998" spans="1:99" ht="13">
      <c r="A998" s="294"/>
      <c r="B998" s="294"/>
      <c r="F998" s="296"/>
      <c r="J998" s="302"/>
      <c r="AO998" s="1210"/>
      <c r="CP998" s="294"/>
      <c r="CU998" s="294"/>
    </row>
    <row r="999" spans="1:99" ht="13">
      <c r="A999" s="294"/>
      <c r="B999" s="294"/>
      <c r="F999" s="296"/>
      <c r="J999" s="302"/>
      <c r="AO999" s="1210"/>
      <c r="CP999" s="294"/>
      <c r="CU999" s="294"/>
    </row>
    <row r="1000" spans="1:99" ht="13">
      <c r="A1000" s="294"/>
      <c r="B1000" s="294"/>
      <c r="F1000" s="296"/>
      <c r="J1000" s="302"/>
      <c r="AO1000" s="1210"/>
      <c r="CP1000" s="294"/>
      <c r="CU1000" s="294"/>
    </row>
    <row r="1001" spans="1:99" ht="13">
      <c r="A1001" s="294"/>
      <c r="B1001" s="294"/>
      <c r="F1001" s="296"/>
      <c r="J1001" s="302"/>
      <c r="AO1001" s="1210"/>
      <c r="CP1001" s="294"/>
      <c r="CU1001" s="294"/>
    </row>
    <row r="1002" spans="1:99" ht="13">
      <c r="A1002" s="294"/>
      <c r="B1002" s="294"/>
      <c r="F1002" s="296"/>
      <c r="J1002" s="302"/>
      <c r="AO1002" s="1210"/>
      <c r="CP1002" s="294"/>
      <c r="CU1002" s="294"/>
    </row>
    <row r="1003" spans="1:99" ht="13">
      <c r="A1003" s="294"/>
      <c r="B1003" s="294"/>
      <c r="F1003" s="296"/>
      <c r="J1003" s="302"/>
      <c r="AO1003" s="1210"/>
      <c r="CP1003" s="294"/>
      <c r="CU1003" s="294"/>
    </row>
    <row r="1004" spans="1:99" ht="13">
      <c r="A1004" s="294"/>
      <c r="B1004" s="294"/>
      <c r="F1004" s="296"/>
      <c r="J1004" s="302"/>
      <c r="AO1004" s="1210"/>
      <c r="CP1004" s="294"/>
      <c r="CU1004" s="294"/>
    </row>
    <row r="1005" spans="1:99" ht="13">
      <c r="A1005" s="294"/>
      <c r="B1005" s="294"/>
      <c r="F1005" s="296"/>
      <c r="J1005" s="302"/>
      <c r="AO1005" s="1210"/>
      <c r="CP1005" s="294"/>
      <c r="CU1005" s="294"/>
    </row>
    <row r="1006" spans="1:99" ht="13">
      <c r="A1006" s="294"/>
      <c r="B1006" s="294"/>
      <c r="F1006" s="296"/>
      <c r="J1006" s="302"/>
      <c r="AO1006" s="1210"/>
      <c r="CP1006" s="294"/>
      <c r="CU1006" s="294"/>
    </row>
    <row r="1007" spans="1:99" ht="13">
      <c r="A1007" s="294"/>
      <c r="B1007" s="294"/>
      <c r="F1007" s="296"/>
      <c r="J1007" s="302"/>
      <c r="AO1007" s="1210"/>
      <c r="CP1007" s="294"/>
      <c r="CU1007" s="294"/>
    </row>
    <row r="1008" spans="1:99" ht="13">
      <c r="A1008" s="294"/>
      <c r="B1008" s="294"/>
      <c r="F1008" s="296"/>
      <c r="J1008" s="302"/>
      <c r="AO1008" s="1210"/>
      <c r="CP1008" s="294"/>
      <c r="CU1008" s="294"/>
    </row>
    <row r="1009" spans="1:99" ht="13">
      <c r="A1009" s="294"/>
      <c r="B1009" s="294"/>
      <c r="F1009" s="296"/>
      <c r="J1009" s="302"/>
      <c r="AO1009" s="1210"/>
      <c r="CP1009" s="294"/>
      <c r="CU1009" s="294"/>
    </row>
    <row r="1010" spans="1:99" ht="13">
      <c r="A1010" s="294"/>
      <c r="B1010" s="294"/>
      <c r="F1010" s="296"/>
      <c r="J1010" s="302"/>
      <c r="AO1010" s="1210"/>
      <c r="CP1010" s="294"/>
      <c r="CU1010" s="294"/>
    </row>
    <row r="1011" spans="1:99" ht="13">
      <c r="A1011" s="294"/>
      <c r="B1011" s="294"/>
      <c r="F1011" s="296"/>
      <c r="J1011" s="302"/>
      <c r="AO1011" s="1210"/>
      <c r="CP1011" s="294"/>
      <c r="CU1011" s="294"/>
    </row>
    <row r="1012" spans="1:99" ht="13">
      <c r="A1012" s="294"/>
      <c r="B1012" s="294"/>
      <c r="F1012" s="296"/>
      <c r="J1012" s="302"/>
      <c r="AO1012" s="1210"/>
      <c r="CP1012" s="294"/>
      <c r="CU1012" s="294"/>
    </row>
    <row r="1013" spans="1:99" ht="13">
      <c r="A1013" s="294"/>
      <c r="B1013" s="294"/>
      <c r="F1013" s="296"/>
      <c r="J1013" s="302"/>
      <c r="AO1013" s="1210"/>
      <c r="CP1013" s="294"/>
      <c r="CU1013" s="294"/>
    </row>
    <row r="1014" spans="1:99" ht="13">
      <c r="A1014" s="294"/>
      <c r="B1014" s="294"/>
      <c r="F1014" s="296"/>
      <c r="J1014" s="302"/>
      <c r="AO1014" s="1210"/>
      <c r="CP1014" s="294"/>
      <c r="CU1014" s="294"/>
    </row>
    <row r="1015" spans="1:99" ht="13">
      <c r="A1015" s="294"/>
      <c r="B1015" s="294"/>
      <c r="F1015" s="296"/>
      <c r="J1015" s="302"/>
      <c r="AO1015" s="1210"/>
      <c r="CP1015" s="294"/>
      <c r="CU1015" s="294"/>
    </row>
    <row r="1016" spans="1:99" ht="13">
      <c r="A1016" s="294"/>
      <c r="B1016" s="294"/>
      <c r="F1016" s="296"/>
      <c r="J1016" s="302"/>
      <c r="AO1016" s="1210"/>
      <c r="CP1016" s="294"/>
      <c r="CU1016" s="294"/>
    </row>
    <row r="1017" spans="1:99" ht="13">
      <c r="A1017" s="294"/>
      <c r="B1017" s="294"/>
      <c r="F1017" s="296"/>
      <c r="J1017" s="302"/>
      <c r="AO1017" s="1210"/>
      <c r="CP1017" s="294"/>
      <c r="CU1017" s="294"/>
    </row>
    <row r="1018" spans="1:99" ht="13">
      <c r="A1018" s="294"/>
      <c r="B1018" s="294"/>
      <c r="F1018" s="296"/>
      <c r="J1018" s="302"/>
      <c r="AO1018" s="1210"/>
      <c r="CP1018" s="294"/>
      <c r="CU1018" s="294"/>
    </row>
    <row r="1019" spans="1:99" ht="13">
      <c r="A1019" s="294"/>
      <c r="B1019" s="294"/>
      <c r="F1019" s="296"/>
      <c r="J1019" s="302"/>
      <c r="AO1019" s="1210"/>
      <c r="CP1019" s="294"/>
      <c r="CU1019" s="294"/>
    </row>
    <row r="1020" spans="1:99" ht="13">
      <c r="A1020" s="294"/>
      <c r="B1020" s="294"/>
      <c r="F1020" s="296"/>
      <c r="J1020" s="302"/>
      <c r="AO1020" s="1210"/>
      <c r="CP1020" s="294"/>
      <c r="CU1020" s="294"/>
    </row>
    <row r="1021" spans="1:99" ht="13">
      <c r="A1021" s="294"/>
      <c r="B1021" s="294"/>
      <c r="F1021" s="296"/>
      <c r="J1021" s="302"/>
      <c r="AO1021" s="1210"/>
      <c r="CP1021" s="294"/>
      <c r="CU1021" s="294"/>
    </row>
    <row r="1022" spans="1:99" ht="13">
      <c r="A1022" s="294"/>
      <c r="B1022" s="294"/>
      <c r="F1022" s="296"/>
      <c r="J1022" s="302"/>
      <c r="AO1022" s="1210"/>
      <c r="CP1022" s="294"/>
      <c r="CU1022" s="294"/>
    </row>
    <row r="1023" spans="1:99" ht="13">
      <c r="A1023" s="294"/>
      <c r="B1023" s="294"/>
      <c r="F1023" s="296"/>
      <c r="J1023" s="302"/>
      <c r="AO1023" s="1210"/>
      <c r="CP1023" s="294"/>
      <c r="CU1023" s="294"/>
    </row>
    <row r="1024" spans="1:99" ht="13">
      <c r="A1024" s="294"/>
      <c r="B1024" s="294"/>
      <c r="F1024" s="296"/>
      <c r="J1024" s="302"/>
      <c r="AO1024" s="1210"/>
      <c r="CP1024" s="294"/>
      <c r="CU1024" s="294"/>
    </row>
    <row r="1025" spans="1:99" ht="13">
      <c r="A1025" s="294"/>
      <c r="B1025" s="294"/>
      <c r="F1025" s="296"/>
      <c r="J1025" s="302"/>
      <c r="AO1025" s="1210"/>
      <c r="CP1025" s="294"/>
      <c r="CU1025" s="294"/>
    </row>
    <row r="1026" spans="1:99" ht="13">
      <c r="A1026" s="294"/>
      <c r="B1026" s="294"/>
      <c r="F1026" s="296"/>
      <c r="J1026" s="302"/>
      <c r="AO1026" s="1210"/>
      <c r="CP1026" s="294"/>
      <c r="CU1026" s="294"/>
    </row>
    <row r="1027" spans="1:99" ht="13">
      <c r="A1027" s="294"/>
      <c r="B1027" s="294"/>
      <c r="F1027" s="296"/>
      <c r="J1027" s="302"/>
      <c r="AO1027" s="1210"/>
      <c r="CP1027" s="294"/>
      <c r="CU1027" s="294"/>
    </row>
    <row r="1028" spans="1:99" ht="13">
      <c r="A1028" s="294"/>
      <c r="B1028" s="294"/>
      <c r="F1028" s="296"/>
      <c r="J1028" s="302"/>
      <c r="AO1028" s="1210"/>
      <c r="CP1028" s="294"/>
      <c r="CU1028" s="294"/>
    </row>
    <row r="1029" spans="1:99" ht="13">
      <c r="A1029" s="294"/>
      <c r="B1029" s="294"/>
      <c r="F1029" s="296"/>
      <c r="J1029" s="302"/>
      <c r="AO1029" s="1210"/>
      <c r="CP1029" s="294"/>
      <c r="CU1029" s="294"/>
    </row>
    <row r="1030" spans="1:99" ht="13">
      <c r="A1030" s="294"/>
      <c r="B1030" s="294"/>
      <c r="F1030" s="296"/>
      <c r="J1030" s="302"/>
      <c r="AO1030" s="1210"/>
      <c r="CP1030" s="294"/>
      <c r="CU1030" s="294"/>
    </row>
    <row r="1031" spans="1:99" ht="13">
      <c r="A1031" s="294"/>
      <c r="B1031" s="294"/>
      <c r="F1031" s="296"/>
      <c r="J1031" s="302"/>
      <c r="AO1031" s="1210"/>
      <c r="CP1031" s="294"/>
      <c r="CU1031" s="294"/>
    </row>
    <row r="1032" spans="1:99" ht="13">
      <c r="A1032" s="294"/>
      <c r="B1032" s="294"/>
      <c r="F1032" s="296"/>
      <c r="J1032" s="302"/>
      <c r="AO1032" s="1210"/>
      <c r="CP1032" s="294"/>
      <c r="CU1032" s="294"/>
    </row>
    <row r="1033" spans="1:99" ht="13">
      <c r="A1033" s="294"/>
      <c r="B1033" s="294"/>
      <c r="F1033" s="296"/>
      <c r="J1033" s="302"/>
      <c r="AO1033" s="1210"/>
      <c r="CP1033" s="294"/>
      <c r="CU1033" s="294"/>
    </row>
    <row r="1034" spans="1:99" ht="13">
      <c r="A1034" s="294"/>
      <c r="B1034" s="294"/>
      <c r="F1034" s="296"/>
      <c r="J1034" s="302"/>
      <c r="AO1034" s="1210"/>
      <c r="CP1034" s="294"/>
      <c r="CU1034" s="294"/>
    </row>
    <row r="1035" spans="1:99" ht="13">
      <c r="A1035" s="294"/>
      <c r="B1035" s="294"/>
      <c r="F1035" s="296"/>
      <c r="J1035" s="302"/>
      <c r="AO1035" s="1210"/>
      <c r="CP1035" s="294"/>
      <c r="CU1035" s="294"/>
    </row>
    <row r="1036" spans="1:99" ht="13">
      <c r="A1036" s="294"/>
      <c r="B1036" s="294"/>
      <c r="F1036" s="296"/>
      <c r="J1036" s="302"/>
      <c r="AO1036" s="1210"/>
      <c r="CP1036" s="294"/>
      <c r="CU1036" s="294"/>
    </row>
    <row r="1037" spans="1:99" ht="13">
      <c r="A1037" s="294"/>
      <c r="B1037" s="294"/>
      <c r="F1037" s="296"/>
      <c r="J1037" s="302"/>
      <c r="AO1037" s="1210"/>
      <c r="CP1037" s="294"/>
      <c r="CU1037" s="294"/>
    </row>
    <row r="1038" spans="1:99" ht="13">
      <c r="A1038" s="294"/>
      <c r="B1038" s="294"/>
      <c r="F1038" s="296"/>
      <c r="J1038" s="302"/>
      <c r="AO1038" s="1210"/>
      <c r="CP1038" s="294"/>
      <c r="CU1038" s="294"/>
    </row>
    <row r="1039" spans="1:99" ht="13">
      <c r="A1039" s="294"/>
      <c r="B1039" s="294"/>
      <c r="F1039" s="296"/>
      <c r="J1039" s="302"/>
      <c r="AO1039" s="1210"/>
      <c r="CP1039" s="294"/>
      <c r="CU1039" s="294"/>
    </row>
    <row r="1040" spans="1:99" ht="13">
      <c r="A1040" s="294"/>
      <c r="B1040" s="294"/>
      <c r="F1040" s="296"/>
      <c r="J1040" s="302"/>
      <c r="AO1040" s="1210"/>
      <c r="CP1040" s="294"/>
      <c r="CU1040" s="294"/>
    </row>
    <row r="1041" spans="1:99" ht="13">
      <c r="A1041" s="294"/>
      <c r="B1041" s="294"/>
      <c r="F1041" s="296"/>
      <c r="J1041" s="302"/>
      <c r="AO1041" s="1210"/>
      <c r="CP1041" s="294"/>
      <c r="CU1041" s="294"/>
    </row>
    <row r="1042" spans="1:99" ht="13">
      <c r="A1042" s="294"/>
      <c r="B1042" s="294"/>
      <c r="F1042" s="296"/>
      <c r="J1042" s="302"/>
      <c r="AO1042" s="1210"/>
      <c r="CP1042" s="294"/>
      <c r="CU1042" s="294"/>
    </row>
    <row r="1043" spans="1:99" ht="13">
      <c r="A1043" s="294"/>
      <c r="B1043" s="294"/>
      <c r="F1043" s="296"/>
      <c r="J1043" s="302"/>
      <c r="AO1043" s="1210"/>
      <c r="CP1043" s="294"/>
      <c r="CU1043" s="294"/>
    </row>
    <row r="1044" spans="1:99" ht="13">
      <c r="A1044" s="294"/>
      <c r="B1044" s="294"/>
      <c r="F1044" s="296"/>
      <c r="J1044" s="302"/>
      <c r="AO1044" s="1210"/>
      <c r="CP1044" s="294"/>
      <c r="CU1044" s="294"/>
    </row>
    <row r="1045" spans="1:99" ht="13">
      <c r="A1045" s="294"/>
      <c r="B1045" s="294"/>
      <c r="F1045" s="296"/>
      <c r="J1045" s="302"/>
      <c r="AO1045" s="1210"/>
      <c r="CP1045" s="294"/>
      <c r="CU1045" s="294"/>
    </row>
    <row r="1046" spans="1:99" ht="13">
      <c r="A1046" s="294"/>
      <c r="B1046" s="294"/>
      <c r="F1046" s="296"/>
      <c r="J1046" s="302"/>
      <c r="AO1046" s="1210"/>
      <c r="CP1046" s="294"/>
      <c r="CU1046" s="294"/>
    </row>
    <row r="1047" spans="1:99" ht="13">
      <c r="A1047" s="294"/>
      <c r="B1047" s="294"/>
      <c r="F1047" s="296"/>
      <c r="J1047" s="302"/>
      <c r="AO1047" s="1210"/>
      <c r="CP1047" s="294"/>
      <c r="CU1047" s="294"/>
    </row>
    <row r="1048" spans="1:99" ht="13">
      <c r="A1048" s="294"/>
      <c r="B1048" s="294"/>
      <c r="F1048" s="296"/>
      <c r="J1048" s="302"/>
      <c r="AO1048" s="1210"/>
      <c r="CP1048" s="294"/>
      <c r="CU1048" s="294"/>
    </row>
    <row r="1049" spans="1:99" ht="13">
      <c r="A1049" s="294"/>
      <c r="B1049" s="294"/>
      <c r="F1049" s="296"/>
      <c r="J1049" s="302"/>
      <c r="AO1049" s="1210"/>
      <c r="CP1049" s="294"/>
      <c r="CU1049" s="294"/>
    </row>
    <row r="1050" spans="1:99" ht="13">
      <c r="A1050" s="294"/>
      <c r="B1050" s="294"/>
      <c r="F1050" s="296"/>
      <c r="J1050" s="302"/>
      <c r="AO1050" s="1210"/>
      <c r="CP1050" s="294"/>
      <c r="CU1050" s="294"/>
    </row>
  </sheetData>
  <conditionalFormatting sqref="C1:C58 K1:K234 G1:G238 C64:C160 C164:C168 C171">
    <cfRule type="cellIs" dxfId="175" priority="5" operator="equal">
      <formula>"15%"</formula>
    </cfRule>
    <cfRule type="cellIs" dxfId="174" priority="7" operator="equal">
      <formula>"5%"</formula>
    </cfRule>
    <cfRule type="cellIs" dxfId="173" priority="8" operator="equal">
      <formula>"10%"</formula>
    </cfRule>
  </conditionalFormatting>
  <conditionalFormatting sqref="G1 K1 C1:C58 C64:C160 C164:C168 C171">
    <cfRule type="cellIs" dxfId="172" priority="4" operator="equal">
      <formula>"18%"</formula>
    </cfRule>
    <cfRule type="cellIs" dxfId="171" priority="6" operator="equal">
      <formula>"12%"</formula>
    </cfRule>
  </conditionalFormatting>
  <conditionalFormatting sqref="O2:O3 S2:V3 Z2:AC3 AG2:AH3 P2:R58 W2:Y58 AD2:AF58 Q64:R160 P65:P90 W65:Y90 AD65:AF90 P93:P160 W93:Y160 AD93:AF160 O149 S149:V149 Z149:AC149 AG149:AH149 P165:R168 W165:Y168 AD165:AF168 O168 S168:V168 Z168:AC168 AG168:AH168 P171:R171 W171:Y171 AD171:AF171">
    <cfRule type="cellIs" dxfId="170" priority="10" operator="equal">
      <formula>3000000</formula>
    </cfRule>
  </conditionalFormatting>
  <conditionalFormatting sqref="O4:V22 Z4:AH22 W4:Y58 AF24:AF50 Q25:Q32 AD25:AD48 O26:P27 R26:V27 Z26:AC27 AE26:AE27 AG26:AH27 O29:P29 R29:V29 Z29:AC29 AE29 AG29:AH29 O34:V38 Z34:AC38 AE34:AE38 AG34:AH38 Q40:Q58 O44:P44 R44:V44 Z44:AC44 AE44 AG44:AH44 AD50:AD58 AF52:AF58 Q64:Q96 X65:X67 W65:W81 AD65:AD83 AF65:AF88 Y65:Y90 X69 X71:X76 X78:X85 W84:W90 AD87:AD90 X89:X90 AF90 AF93:AF107 AD93:AD110 W93:X113 Y93:Y160 Q105:Q125 AF109:AF115 AD114:AD160 AF117:AF120 W117:X160 AF122:AF160 O124:P125 R124:V125 Z124:AC125 AE124:AE125 AG124:AH125 O129:P129 R129:V129 Z129:AC129 AE129 AG129:AH129 Q129:Q155 O131:P140 R131:V140 Z131:AC140 AE131:AE140 AG131:AH140 O150:P155 R150:V155 Z150:AC155 AE150:AE155 AG150:AH155 Q157:Q160 O165:P165 R165:V165 Z165:AC165 AE165 AG165:AH165 Q165:Q167 W165:Y167 AD165:AD167 AF165:AF167 Q171 W171 Y171 AD171 AF171">
    <cfRule type="cellIs" dxfId="169" priority="9" operator="equal">
      <formula>1800000</formula>
    </cfRule>
  </conditionalFormatting>
  <conditionalFormatting sqref="O23:AH25 O28:AH28 O30:AH31 Y49 AF51:AF54 Y56 O64:AH64 Y66:Y67 AF69 Y71 AF71 AF80 AF89 Y95:Y96 O107:AE107 AG107:AH107 AF107:AF108 AF116 O118:AH123 O126:AH128 O130:AH150 AF166 Y167">
    <cfRule type="cellIs" dxfId="168" priority="11" operator="equal">
      <formula>1500000</formula>
    </cfRule>
  </conditionalFormatting>
  <conditionalFormatting sqref="S1 Z1 AG1">
    <cfRule type="cellIs" dxfId="167" priority="3" operator="lessThan">
      <formula>0</formula>
    </cfRule>
  </conditionalFormatting>
  <conditionalFormatting sqref="AN1:AN58 AN60:AN1050">
    <cfRule type="cellIs" dxfId="166" priority="16" operator="lessThan">
      <formula>0</formula>
    </cfRule>
  </conditionalFormatting>
  <conditionalFormatting sqref="AO1:AO58 AO60:AO1050">
    <cfRule type="cellIs" dxfId="165" priority="13" operator="greaterThanOrEqual">
      <formula>"100%"</formula>
    </cfRule>
    <cfRule type="cellIs" dxfId="164" priority="14" operator="lessThan">
      <formula>"90%"</formula>
    </cfRule>
    <cfRule type="cellIs" dxfId="163" priority="15" operator="lessThan">
      <formula>"100%"</formula>
    </cfRule>
  </conditionalFormatting>
  <conditionalFormatting sqref="AQ2:AQ3 AU2:AU3 AY2:AY3 BI2:BI3 AQ149 AU149 AY149 BI149">
    <cfRule type="cellIs" dxfId="162" priority="19" operator="lessThan">
      <formula>4000000</formula>
    </cfRule>
  </conditionalFormatting>
  <conditionalFormatting sqref="AQ4:AQ21 AU4:AU21 AY4:AY21 BI4:BI21 AQ26:AQ27 AU26:AU27 AY26:AY27 BI26:BI27 AQ29 AU29 AY29 BI29 AQ34:AQ38 AU34:AU38 AY34:AY38 BI34:BI38 AQ124:AQ125 AU124:AU125 AY124:AY125 BI124:BI125 AQ131:AQ139 AU131:AU139 AY131:AY139 BI131:BI139 AQ150:AQ155 AU150:AU155 AY150:AY155 BI150:BI155">
    <cfRule type="cellIs" dxfId="161" priority="20" operator="lessThan">
      <formula>1200000</formula>
    </cfRule>
  </conditionalFormatting>
  <conditionalFormatting sqref="BB2:BB3 BB149">
    <cfRule type="cellIs" dxfId="160" priority="23" operator="lessThan">
      <formula>12000000</formula>
    </cfRule>
  </conditionalFormatting>
  <conditionalFormatting sqref="BB4:BB21 BB26:BB27 BB29 BB34:BB38 BB124:BB125 BB131:BB139 BB150:BB155">
    <cfRule type="cellIs" dxfId="159" priority="24" operator="lessThan">
      <formula>3600000</formula>
    </cfRule>
    <cfRule type="cellIs" dxfId="158" priority="26" operator="greaterThanOrEqual">
      <formula>4500000</formula>
    </cfRule>
    <cfRule type="cellIs" dxfId="157" priority="25" operator="lessThan">
      <formula>4500000</formula>
    </cfRule>
  </conditionalFormatting>
  <conditionalFormatting sqref="BD2:BD58 BG2:BG58 BK2:BK58 BD65:BD91 BG65:BG91 BK65:BK91 BK93 BD93:BD160 BG93:BG160 BK95:BK160 BD166 BG166 BD171 BG171">
    <cfRule type="containsBlanks" dxfId="156" priority="18">
      <formula>LEN(TRIM(BD2))=0</formula>
    </cfRule>
  </conditionalFormatting>
  <conditionalFormatting sqref="BI4:BI20 AQ4:AQ21 AU4:AU21 AY4:AY21 AQ26:AQ27 AU26:AU27 AY26:AY27 BI26:BI27 AQ29 AU29 AY29 BI29 AQ34:AQ38 AU34:AU38 AY34:AY38 BI34:BI38 AQ124:AQ125 AU124:AU125 AY124:AY125 BI124:BI125 BI131:BI138 AQ131:AQ139 AU131:AU139 AY131:AY139 AQ150:AQ155 AU150:AU155 AY150:AY155 BI150:BI155">
    <cfRule type="cellIs" dxfId="155" priority="21" operator="lessThan">
      <formula>1500000</formula>
    </cfRule>
    <cfRule type="cellIs" dxfId="154" priority="22" operator="greaterThanOrEqual">
      <formula>1500000</formula>
    </cfRule>
  </conditionalFormatting>
  <conditionalFormatting sqref="BM2:BS3 BM149:BS149">
    <cfRule type="cellIs" dxfId="153" priority="27" operator="lessThan">
      <formula>5000000</formula>
    </cfRule>
  </conditionalFormatting>
  <conditionalFormatting sqref="BM6:BS11 BM13:BS14 BM34:BS38 BM124:BS125 BM150:BS155">
    <cfRule type="cellIs" dxfId="152" priority="29" operator="lessThan">
      <formula>1500000</formula>
    </cfRule>
    <cfRule type="cellIs" dxfId="151" priority="28" operator="greaterThanOrEqual">
      <formula>1500000</formula>
    </cfRule>
  </conditionalFormatting>
  <conditionalFormatting sqref="BO1 BS1 BV1 BZ1 BD1:BD58 BG1:BG58 BK1:BK58 BD60:BD1050 BG60:BG1050 BK60:BK1050">
    <cfRule type="cellIs" dxfId="150" priority="17" operator="equal">
      <formula>0</formula>
    </cfRule>
  </conditionalFormatting>
  <conditionalFormatting sqref="CV216 CV427:CV428 M58 CV257">
    <cfRule type="containsText" dxfId="149" priority="2" operator="containsText" text="/">
      <formula>NOT(ISERROR(SEARCH(("/"),(M58))))</formula>
    </cfRule>
  </conditionalFormatting>
  <conditionalFormatting sqref="CV216 CV428">
    <cfRule type="containsText" dxfId="148" priority="1" operator="containsText" text="gustavo">
      <formula>NOT(ISERROR(SEARCH(("gustavo"),(CV216))))</formula>
    </cfRule>
  </conditionalFormatting>
  <conditionalFormatting sqref="CV217:CV430 CV1:CV215 CV432:CV1050">
    <cfRule type="containsText" dxfId="147" priority="12" operator="containsText" text="castro">
      <formula>NOT(ISERROR(SEARCH(("castro"),(CV1))))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  <pageSetUpPr fitToPage="1"/>
  </sheetPr>
  <dimension ref="A1:DG1024"/>
  <sheetViews>
    <sheetView showGridLines="0" workbookViewId="0">
      <pane xSplit="9" ySplit="1" topLeftCell="BE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baseColWidth="10" defaultColWidth="12.6640625" defaultRowHeight="15.75" customHeight="1"/>
  <cols>
    <col min="1" max="1" width="10.6640625" customWidth="1"/>
    <col min="2" max="8" width="5.1640625" customWidth="1"/>
    <col min="9" max="9" width="37.1640625" customWidth="1"/>
    <col min="10" max="10" width="10.83203125" hidden="1" customWidth="1"/>
    <col min="11" max="11" width="12.6640625" hidden="1"/>
    <col min="12" max="37" width="11.33203125" hidden="1" customWidth="1"/>
    <col min="38" max="38" width="12.6640625" hidden="1"/>
    <col min="39" max="56" width="11.33203125" hidden="1" customWidth="1"/>
    <col min="57" max="57" width="11.33203125" customWidth="1"/>
    <col min="58" max="58" width="11.33203125" hidden="1" customWidth="1"/>
    <col min="59" max="59" width="11.33203125" customWidth="1"/>
    <col min="60" max="60" width="11.33203125" hidden="1" customWidth="1"/>
    <col min="61" max="61" width="11.33203125" customWidth="1"/>
    <col min="62" max="62" width="11.33203125" hidden="1" customWidth="1"/>
    <col min="63" max="63" width="11.33203125" customWidth="1"/>
    <col min="64" max="64" width="11.33203125" hidden="1" customWidth="1"/>
    <col min="65" max="65" width="11.33203125" customWidth="1"/>
    <col min="66" max="66" width="11.33203125" hidden="1" customWidth="1"/>
    <col min="67" max="68" width="11.33203125" customWidth="1"/>
    <col min="69" max="69" width="11.33203125" hidden="1" customWidth="1"/>
    <col min="70" max="70" width="11.33203125" customWidth="1"/>
    <col min="71" max="71" width="11.33203125" hidden="1" customWidth="1"/>
    <col min="72" max="72" width="11.33203125" customWidth="1"/>
    <col min="73" max="73" width="11.33203125" hidden="1" customWidth="1"/>
    <col min="74" max="74" width="11.33203125" customWidth="1"/>
    <col min="75" max="76" width="11.33203125" hidden="1" customWidth="1"/>
    <col min="77" max="79" width="11.33203125" customWidth="1"/>
    <col min="80" max="90" width="10.1640625" customWidth="1"/>
    <col min="91" max="91" width="10.6640625" customWidth="1"/>
    <col min="96" max="96" width="36.1640625" customWidth="1"/>
  </cols>
  <sheetData>
    <row r="1" spans="1:111" ht="28">
      <c r="A1" s="39" t="s">
        <v>19</v>
      </c>
      <c r="B1" s="513" t="s">
        <v>20</v>
      </c>
      <c r="C1" s="514" t="s">
        <v>21</v>
      </c>
      <c r="D1" s="514" t="s">
        <v>22</v>
      </c>
      <c r="E1" s="515" t="s">
        <v>23</v>
      </c>
      <c r="F1" s="931" t="s">
        <v>20</v>
      </c>
      <c r="G1" s="932" t="s">
        <v>21</v>
      </c>
      <c r="H1" s="933" t="s">
        <v>22</v>
      </c>
      <c r="I1" s="516" t="s">
        <v>24</v>
      </c>
      <c r="J1" s="1242">
        <v>45681</v>
      </c>
      <c r="K1" s="517" t="s">
        <v>25</v>
      </c>
      <c r="L1" s="78" t="s">
        <v>26</v>
      </c>
      <c r="M1" s="79" t="s">
        <v>27</v>
      </c>
      <c r="N1" s="518" t="s">
        <v>28</v>
      </c>
      <c r="O1" s="519" t="s">
        <v>29</v>
      </c>
      <c r="P1" s="520" t="s">
        <v>30</v>
      </c>
      <c r="Q1" s="1242">
        <v>45712</v>
      </c>
      <c r="R1" s="934" t="s">
        <v>31</v>
      </c>
      <c r="S1" s="523" t="s">
        <v>26</v>
      </c>
      <c r="T1" s="79" t="s">
        <v>27</v>
      </c>
      <c r="U1" s="524" t="s">
        <v>32</v>
      </c>
      <c r="V1" s="525" t="s">
        <v>29</v>
      </c>
      <c r="W1" s="520" t="s">
        <v>30</v>
      </c>
      <c r="X1" s="1242">
        <v>45740</v>
      </c>
      <c r="Y1" s="517" t="s">
        <v>33</v>
      </c>
      <c r="Z1" s="78" t="s">
        <v>26</v>
      </c>
      <c r="AA1" s="79" t="s">
        <v>27</v>
      </c>
      <c r="AB1" s="518" t="s">
        <v>1248</v>
      </c>
      <c r="AC1" s="519" t="s">
        <v>29</v>
      </c>
      <c r="AD1" s="520" t="s">
        <v>30</v>
      </c>
      <c r="AE1" s="1243" t="s">
        <v>35</v>
      </c>
      <c r="AF1" s="528" t="s">
        <v>36</v>
      </c>
      <c r="AG1" s="523" t="s">
        <v>26</v>
      </c>
      <c r="AH1" s="79" t="s">
        <v>27</v>
      </c>
      <c r="AI1" s="524" t="s">
        <v>41</v>
      </c>
      <c r="AJ1" s="525" t="s">
        <v>29</v>
      </c>
      <c r="AK1" s="520" t="s">
        <v>30</v>
      </c>
      <c r="AL1" s="77">
        <v>45771</v>
      </c>
      <c r="AM1" s="78" t="s">
        <v>26</v>
      </c>
      <c r="AN1" s="79" t="s">
        <v>27</v>
      </c>
      <c r="AO1" s="518" t="s">
        <v>1249</v>
      </c>
      <c r="AP1" s="77">
        <v>45801</v>
      </c>
      <c r="AQ1" s="78" t="s">
        <v>26</v>
      </c>
      <c r="AR1" s="79" t="s">
        <v>27</v>
      </c>
      <c r="AS1" s="518" t="s">
        <v>1250</v>
      </c>
      <c r="AT1" s="77">
        <v>45832</v>
      </c>
      <c r="AU1" s="78" t="s">
        <v>26</v>
      </c>
      <c r="AV1" s="79" t="s">
        <v>27</v>
      </c>
      <c r="AW1" s="518" t="s">
        <v>1251</v>
      </c>
      <c r="AX1" s="1244" t="s">
        <v>26</v>
      </c>
      <c r="AY1" s="79" t="s">
        <v>27</v>
      </c>
      <c r="AZ1" s="518" t="s">
        <v>41</v>
      </c>
      <c r="BA1" s="1245" t="s">
        <v>26</v>
      </c>
      <c r="BB1" s="1246" t="s">
        <v>27</v>
      </c>
      <c r="BC1" s="1247" t="s">
        <v>42</v>
      </c>
      <c r="BD1" s="398">
        <v>45862</v>
      </c>
      <c r="BE1" s="1248" t="s">
        <v>26</v>
      </c>
      <c r="BF1" s="79" t="s">
        <v>27</v>
      </c>
      <c r="BG1" s="529" t="s">
        <v>1252</v>
      </c>
      <c r="BH1" s="521">
        <v>45893</v>
      </c>
      <c r="BI1" s="78" t="s">
        <v>26</v>
      </c>
      <c r="BJ1" s="79" t="s">
        <v>27</v>
      </c>
      <c r="BK1" s="518" t="s">
        <v>1253</v>
      </c>
      <c r="BL1" s="398">
        <v>45924</v>
      </c>
      <c r="BM1" s="78" t="s">
        <v>26</v>
      </c>
      <c r="BN1" s="79" t="s">
        <v>27</v>
      </c>
      <c r="BO1" s="518" t="s">
        <v>1254</v>
      </c>
      <c r="BP1" s="78" t="s">
        <v>26</v>
      </c>
      <c r="BQ1" s="79" t="s">
        <v>27</v>
      </c>
      <c r="BR1" s="518" t="s">
        <v>37</v>
      </c>
      <c r="BS1" s="77">
        <v>45954</v>
      </c>
      <c r="BT1" s="78" t="s">
        <v>26</v>
      </c>
      <c r="BU1" s="79" t="s">
        <v>27</v>
      </c>
      <c r="BV1" s="518" t="s">
        <v>1255</v>
      </c>
      <c r="BW1" s="81">
        <v>45985</v>
      </c>
      <c r="BX1" s="536">
        <v>46015</v>
      </c>
      <c r="BY1" s="82"/>
      <c r="BZ1" s="82"/>
      <c r="CA1" s="407" t="s">
        <v>1256</v>
      </c>
      <c r="CB1" s="1249" t="s">
        <v>51</v>
      </c>
      <c r="CC1" s="408" t="s">
        <v>52</v>
      </c>
      <c r="CD1" s="408" t="s">
        <v>1257</v>
      </c>
      <c r="CE1" s="408" t="s">
        <v>1125</v>
      </c>
      <c r="CF1" s="408" t="s">
        <v>835</v>
      </c>
      <c r="CG1" s="409" t="s">
        <v>366</v>
      </c>
      <c r="CH1" s="408" t="s">
        <v>502</v>
      </c>
      <c r="CI1" s="1250" t="s">
        <v>369</v>
      </c>
      <c r="CJ1" s="408" t="s">
        <v>1258</v>
      </c>
      <c r="CK1" s="1250" t="s">
        <v>1259</v>
      </c>
      <c r="CL1" s="1251" t="s">
        <v>1129</v>
      </c>
      <c r="CM1" s="86" t="s">
        <v>1260</v>
      </c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</row>
    <row r="2" spans="1:111" ht="13">
      <c r="A2" s="420">
        <f t="shared" ref="A2:A33" si="0">VLOOKUP(I2,MONTECART4,3,FALSE)</f>
        <v>112014350</v>
      </c>
      <c r="B2" s="93">
        <f t="shared" ref="B2:B33" si="1">VLOOKUP(I2,MONTENCART2,2,FALSE)</f>
        <v>10</v>
      </c>
      <c r="C2" s="699">
        <f t="shared" ref="C2:C33" si="2">IFERROR(VLOOKUP(B2,DES,2,FALSE),"")</f>
        <v>0.15</v>
      </c>
      <c r="D2" s="699">
        <f t="shared" ref="D2:D33" si="3">IFERROR(VLOOKUP(B2,DES,3,FALSE),"")</f>
        <v>0.23</v>
      </c>
      <c r="E2" s="702">
        <f t="shared" ref="E2:E33" si="4">IFERROR(VLOOKUP(B2,DES,4,FALSE),"")</f>
        <v>0</v>
      </c>
      <c r="F2" s="547">
        <f t="shared" ref="F2:F33" si="5">VLOOKUP(I2,MONTECART4,2,FALSE)</f>
        <v>53</v>
      </c>
      <c r="G2" s="699">
        <f t="shared" ref="G2:G33" si="6">VLOOKUP(F2,A458DC1025,2,FALSE)</f>
        <v>0.15</v>
      </c>
      <c r="H2" s="702">
        <f t="shared" ref="H2:H33" si="7">VLOOKUP(F2,A458DC1025,3,FALSE)</f>
        <v>0.14000000000000001</v>
      </c>
      <c r="I2" s="703" t="s">
        <v>1261</v>
      </c>
      <c r="J2" s="116">
        <f>IFERROR(VLOOKUP(I2,MONTE24,3,FALSE),"")</f>
        <v>7525240.0599999996</v>
      </c>
      <c r="K2" s="121">
        <f>(J2*1.601)*1.05</f>
        <v>12650304.802863</v>
      </c>
      <c r="L2" s="113">
        <f t="shared" ref="L2:L123" si="8">N2-M2</f>
        <v>19869259.100000001</v>
      </c>
      <c r="M2" s="116">
        <f t="shared" ref="M2:M33" si="9">IFERROR(VLOOKUP(I2,MONTENALIM,3,FALSE),"")</f>
        <v>6533115.0999999996</v>
      </c>
      <c r="N2" s="117">
        <f t="shared" ref="N2:N33" si="10">IFERROR(VLOOKUP(I2,MONTEFC,3,FALSE),"")</f>
        <v>26402374.199999999</v>
      </c>
      <c r="O2" s="114">
        <f t="shared" ref="O2:O91" si="11">N2-K2</f>
        <v>13752069.397136999</v>
      </c>
      <c r="P2" s="94">
        <f t="shared" ref="P2:P91" si="12">N2/K2</f>
        <v>2.0870939168220395</v>
      </c>
      <c r="Q2" s="116">
        <f t="shared" ref="Q2:Q33" si="13">IFERROR(VLOOKUP(I2,MONTE24,4,FALSE),"")</f>
        <v>6165588.2300000004</v>
      </c>
      <c r="R2" s="116">
        <f>(Q2*1.7245)*1.05</f>
        <v>11164184.747766752</v>
      </c>
      <c r="S2" s="116">
        <f t="shared" ref="S2:S123" si="14">U2-T2</f>
        <v>13042554.25</v>
      </c>
      <c r="T2" s="116">
        <f t="shared" ref="T2:T33" si="15">IFERROR(VLOOKUP(I2,MONTENALIM,4,FALSE),"")</f>
        <v>3270662.7</v>
      </c>
      <c r="U2" s="116">
        <f t="shared" ref="U2:U33" si="16">IFERROR(VLOOKUP(I2,MONTEFC,4,FALSE),"")</f>
        <v>16313216.949999999</v>
      </c>
      <c r="V2" s="116">
        <f t="shared" ref="V2:V91" si="17">U2-R2</f>
        <v>5149032.2022332475</v>
      </c>
      <c r="W2" s="94">
        <f t="shared" ref="W2:W91" si="18">U2/R2</f>
        <v>1.4612098705427858</v>
      </c>
      <c r="X2" s="116">
        <f t="shared" ref="X2:X33" si="19">IFERROR(VLOOKUP(I2,MONTE24,5,FALSE),"")</f>
        <v>3414621.03</v>
      </c>
      <c r="Y2" s="121">
        <f>(X2*1.5955)*1.05</f>
        <v>5720429.2460332494</v>
      </c>
      <c r="Z2" s="113">
        <f t="shared" ref="Z2:Z123" si="20">AB2-AA2</f>
        <v>12482990.639999999</v>
      </c>
      <c r="AA2" s="116">
        <f t="shared" ref="AA2:AA33" si="21">IFERROR(VLOOKUP(I2,MONTENALIM,5,FALSE),"")</f>
        <v>3341713.31</v>
      </c>
      <c r="AB2" s="117">
        <f t="shared" ref="AB2:AB33" si="22">IFERROR(VLOOKUP(I2,MONTEFC,5,FALSE),"")</f>
        <v>15824703.949999999</v>
      </c>
      <c r="AC2" s="114"/>
      <c r="AD2" s="116"/>
      <c r="AE2" s="1252">
        <f t="shared" ref="AE2:AE91" si="23">K2+R2+Y2</f>
        <v>29534918.796663001</v>
      </c>
      <c r="AF2" s="113">
        <f t="shared" ref="AF2:AF33" si="24">IFERROR(VLOOKUP(I2,trim2024,2,FALSE),"0")</f>
        <v>63871049.740000002</v>
      </c>
      <c r="AG2" s="116">
        <f t="shared" ref="AG2:AG123" si="25">AI2-AH2</f>
        <v>45394803.989999995</v>
      </c>
      <c r="AH2" s="116">
        <f t="shared" ref="AH2:AI2" si="26">AA2+T2+M2</f>
        <v>13145491.109999999</v>
      </c>
      <c r="AI2" s="116">
        <f t="shared" si="26"/>
        <v>58540295.099999994</v>
      </c>
      <c r="AJ2" s="116">
        <f t="shared" ref="AJ2:AJ123" si="27">AI2-AF2</f>
        <v>-5330754.640000008</v>
      </c>
      <c r="AK2" s="938">
        <f t="shared" ref="AK2:AK123" si="28">IFERROR(AI2/AF2,"")</f>
        <v>0.91653879712796449</v>
      </c>
      <c r="AL2" s="125">
        <f t="shared" ref="AL2:AL33" si="29">IFERROR(VLOOKUP(I2,MONTE24,6,FALSE),"")</f>
        <v>7909958.1500000004</v>
      </c>
      <c r="AM2" s="140">
        <f t="shared" ref="AM2:AM123" si="30">AO2-AN2</f>
        <v>16474893.700000001</v>
      </c>
      <c r="AN2" s="123">
        <f t="shared" ref="AN2:AN33" si="31">IFERROR(VLOOKUP(I2,MONTENALIM,6,FALSE),"")</f>
        <v>4415291.58</v>
      </c>
      <c r="AO2" s="148">
        <f t="shared" ref="AO2:AO33" si="32">IFERROR(VLOOKUP(I2,MONTEFC,6,FALSE),"")</f>
        <v>20890185.280000001</v>
      </c>
      <c r="AP2" s="125">
        <f>IFERROR(VLOOKUP(I2,MONTE24,7,FALSE),"")</f>
        <v>11448172.449999999</v>
      </c>
      <c r="AQ2" s="140">
        <f t="shared" ref="AQ2:AQ123" si="33">AS2-AR2</f>
        <v>5709903.7699999996</v>
      </c>
      <c r="AR2" s="326">
        <f t="shared" ref="AR2:AR33" si="34">IFERROR(VLOOKUP(I2,MONTENALIM,7,FALSE),"")</f>
        <v>4112956.09</v>
      </c>
      <c r="AS2" s="333">
        <f t="shared" ref="AS2:AS33" si="35">IFERROR(VLOOKUP(I2,MONTEFC,7,FALSE),"")</f>
        <v>9822859.8599999994</v>
      </c>
      <c r="AT2" s="123">
        <f>IFERROR(VLOOKUP(I2,MONTE24,8,FALSE),"")</f>
        <v>4567882.18</v>
      </c>
      <c r="AU2" s="114">
        <f t="shared" ref="AU2:AU123" si="36">AW2-AV2</f>
        <v>12494461.690000001</v>
      </c>
      <c r="AV2" s="114">
        <f t="shared" ref="AV2:AV33" si="37">IFERROR(VLOOKUP(I2,MONTENALIM,8,FALSE),"")</f>
        <v>3213080.38</v>
      </c>
      <c r="AW2" s="100">
        <f t="shared" ref="AW2:AW33" si="38">IFERROR(VLOOKUP(I2,MONTEFC,8,FALSE),"")</f>
        <v>15707542.07</v>
      </c>
      <c r="AX2" s="118">
        <f t="shared" ref="AX2:AZ2" si="39">SUM(AU2,AQ2,AM2)</f>
        <v>34679259.160000004</v>
      </c>
      <c r="AY2" s="116">
        <f t="shared" si="39"/>
        <v>11741328.050000001</v>
      </c>
      <c r="AZ2" s="121">
        <f t="shared" si="39"/>
        <v>46420587.210000001</v>
      </c>
      <c r="BA2" s="113">
        <f t="shared" ref="BA2:BC2" si="40">SUM(AX2,AG2)</f>
        <v>80074063.150000006</v>
      </c>
      <c r="BB2" s="116">
        <f t="shared" si="40"/>
        <v>24886819.16</v>
      </c>
      <c r="BC2" s="119">
        <f t="shared" si="40"/>
        <v>104960882.31</v>
      </c>
      <c r="BD2" s="100">
        <f t="shared" ref="BD2:BD33" si="41">IFERROR(VLOOKUP(I2,MONTE24,9,FALSE),"")</f>
        <v>17821530.48</v>
      </c>
      <c r="BE2" s="1166">
        <f t="shared" ref="BE2:BE123" si="42">BG2-BF2</f>
        <v>11972909.530000001</v>
      </c>
      <c r="BF2" s="116">
        <f t="shared" ref="BF2:BF33" si="43">IFERROR(VLOOKUP(I2,MONTENALIM,9,FALSE),"")</f>
        <v>5481776.5599999996</v>
      </c>
      <c r="BG2" s="121">
        <f t="shared" ref="BG2:BG33" si="44">IFERROR(VLOOKUP(I2,MONTEFC,9,FALSE),"")</f>
        <v>17454686.09</v>
      </c>
      <c r="BH2" s="114">
        <f t="shared" ref="BH2:BH33" si="45">IFERROR(VLOOKUP(I2,MONTE24,10,FALSE),"")</f>
        <v>3382922.51</v>
      </c>
      <c r="BI2" s="416">
        <f t="shared" ref="BI2:BI123" si="46">BK2-BJ2</f>
        <v>6312134.4000000004</v>
      </c>
      <c r="BJ2" s="121">
        <f t="shared" ref="BJ2:BJ33" si="47">IFERROR(VLOOKUP(I2,MONTENALIM,10,FALSE),"")</f>
        <v>4684875.09</v>
      </c>
      <c r="BK2" s="121">
        <f t="shared" ref="BK2:BK33" si="48">IFERROR(VLOOKUP(I2,MONTEFC,10,FALSE),"")</f>
        <v>10997009.49</v>
      </c>
      <c r="BL2" s="121">
        <f t="shared" ref="BL2:BL33" si="49">IFERROR(VLOOKUP(I2,MONTE24,11,FALSE),"")</f>
        <v>6003987.9900000002</v>
      </c>
      <c r="BM2" s="113">
        <f t="shared" ref="BM2:BM123" si="50">BO2-BN2</f>
        <v>14373668.109999999</v>
      </c>
      <c r="BN2" s="116">
        <f t="shared" ref="BN2:BN33" si="51">IFERROR(VLOOKUP(I2,MONTENALIM,11,FALSE),"")</f>
        <v>2045900.13</v>
      </c>
      <c r="BO2" s="117">
        <f t="shared" ref="BO2:BO33" si="52">IFERROR(VLOOKUP(I2,MONTEFC,11,FALSE),"")</f>
        <v>16419568.24</v>
      </c>
      <c r="BP2" s="113">
        <f t="shared" ref="BP2:BP123" si="53">BR2-BQ2</f>
        <v>32658712.039999999</v>
      </c>
      <c r="BQ2" s="116">
        <f t="shared" ref="BQ2:BR2" si="54">SUM(BN2,BJ2,BF2)</f>
        <v>12212551.779999999</v>
      </c>
      <c r="BR2" s="117">
        <f t="shared" si="54"/>
        <v>44871263.82</v>
      </c>
      <c r="BS2" s="125">
        <f t="shared" ref="BS2:BS33" si="55">IFERROR(VLOOKUP(I2,MONTE24,12,FALSE),"")</f>
        <v>18771174.59</v>
      </c>
      <c r="BT2" s="140">
        <f t="shared" ref="BT2:BT123" si="56">BV2-BU2</f>
        <v>14059055.58</v>
      </c>
      <c r="BU2" s="123">
        <f t="shared" ref="BU2:BU33" si="57">IFERROR(VLOOKUP(I2,MONTENALIM,12,FALSE),"")</f>
        <v>3935041.49</v>
      </c>
      <c r="BV2" s="148">
        <f t="shared" ref="BV2:BV33" si="58">IFERROR(VLOOKUP(I2,MONTEFC,12,FALSE),"")</f>
        <v>17994097.07</v>
      </c>
      <c r="BW2" s="123">
        <f t="shared" ref="BW2:BW33" si="59">IFERROR(VLOOKUP(I2,MONTE24,13,FALSE),"")</f>
        <v>22242847.699999999</v>
      </c>
      <c r="BX2" s="326">
        <f t="shared" ref="BX2:BX33" si="60">IFERROR(VLOOKUP(I2,MONTE24,14,FALSE),"")</f>
        <v>22857027.449999999</v>
      </c>
      <c r="CA2" s="554"/>
      <c r="CB2" s="427"/>
      <c r="CC2" s="427"/>
      <c r="CD2" s="427"/>
      <c r="CE2" s="427"/>
      <c r="CF2" s="427"/>
      <c r="CG2" s="428"/>
      <c r="CH2" s="1253"/>
      <c r="CI2" s="1254"/>
      <c r="CJ2" s="427"/>
      <c r="CK2" s="1255"/>
      <c r="CL2" s="1256"/>
      <c r="CM2" s="714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</row>
    <row r="3" spans="1:111" ht="13">
      <c r="A3" s="420">
        <f t="shared" si="0"/>
        <v>112014416</v>
      </c>
      <c r="B3" s="93">
        <f t="shared" si="1"/>
        <v>10</v>
      </c>
      <c r="C3" s="558">
        <f t="shared" si="2"/>
        <v>0.15</v>
      </c>
      <c r="D3" s="558">
        <f t="shared" si="3"/>
        <v>0.23</v>
      </c>
      <c r="E3" s="559">
        <f t="shared" si="4"/>
        <v>0</v>
      </c>
      <c r="F3" s="547">
        <f t="shared" si="5"/>
        <v>53</v>
      </c>
      <c r="G3" s="699">
        <f t="shared" si="6"/>
        <v>0.15</v>
      </c>
      <c r="H3" s="702">
        <f t="shared" si="7"/>
        <v>0.14000000000000001</v>
      </c>
      <c r="I3" s="423" t="s">
        <v>1262</v>
      </c>
      <c r="J3" s="326" t="str">
        <f>IFERROR(VLOOKUP(I3,MONTE24,3,FALSE),"")</f>
        <v/>
      </c>
      <c r="K3" s="332">
        <v>3000000</v>
      </c>
      <c r="L3" s="140">
        <f t="shared" si="8"/>
        <v>2670315.41</v>
      </c>
      <c r="M3" s="326">
        <f t="shared" si="9"/>
        <v>245546.4</v>
      </c>
      <c r="N3" s="333">
        <f t="shared" si="10"/>
        <v>2915861.81</v>
      </c>
      <c r="O3" s="123">
        <f t="shared" si="11"/>
        <v>-84138.189999999944</v>
      </c>
      <c r="P3" s="137">
        <f t="shared" si="12"/>
        <v>0.97195393666666674</v>
      </c>
      <c r="Q3" s="326" t="str">
        <f t="shared" si="13"/>
        <v/>
      </c>
      <c r="R3" s="326">
        <v>3000000</v>
      </c>
      <c r="S3" s="116">
        <f t="shared" si="14"/>
        <v>2200017.02</v>
      </c>
      <c r="T3" s="326">
        <f t="shared" si="15"/>
        <v>201691.8</v>
      </c>
      <c r="U3" s="326">
        <f t="shared" si="16"/>
        <v>2401708.8199999998</v>
      </c>
      <c r="V3" s="326">
        <f t="shared" si="17"/>
        <v>-598291.18000000017</v>
      </c>
      <c r="W3" s="137">
        <f t="shared" si="18"/>
        <v>0.80056960666666666</v>
      </c>
      <c r="X3" s="326" t="str">
        <f t="shared" si="19"/>
        <v/>
      </c>
      <c r="Y3" s="332">
        <v>3000000</v>
      </c>
      <c r="Z3" s="113">
        <f t="shared" si="20"/>
        <v>1345296.61</v>
      </c>
      <c r="AA3" s="116">
        <f t="shared" si="21"/>
        <v>704532.5</v>
      </c>
      <c r="AB3" s="117">
        <f t="shared" si="22"/>
        <v>2049829.11</v>
      </c>
      <c r="AC3" s="123"/>
      <c r="AD3" s="326"/>
      <c r="AE3" s="1257">
        <f t="shared" si="23"/>
        <v>9000000</v>
      </c>
      <c r="AF3" s="140" t="str">
        <f t="shared" si="24"/>
        <v>0</v>
      </c>
      <c r="AG3" s="326">
        <f t="shared" si="25"/>
        <v>6215629.04</v>
      </c>
      <c r="AH3" s="326">
        <f t="shared" ref="AH3:AI3" si="61">AA3+T3+M3</f>
        <v>1151770.7</v>
      </c>
      <c r="AI3" s="326">
        <f t="shared" si="61"/>
        <v>7367399.7400000002</v>
      </c>
      <c r="AJ3" s="326">
        <f t="shared" si="27"/>
        <v>7367399.7400000002</v>
      </c>
      <c r="AK3" s="1258" t="str">
        <f t="shared" si="28"/>
        <v/>
      </c>
      <c r="AL3" s="125" t="str">
        <f t="shared" si="29"/>
        <v/>
      </c>
      <c r="AM3" s="140">
        <f t="shared" si="30"/>
        <v>1861557.13</v>
      </c>
      <c r="AN3" s="123">
        <f t="shared" si="31"/>
        <v>855161.41</v>
      </c>
      <c r="AO3" s="148">
        <f t="shared" si="32"/>
        <v>2716718.54</v>
      </c>
      <c r="AP3" s="125" t="str">
        <f>IFERROR(VLOOKUP(I3,MONTE24,7,FALSE),"")</f>
        <v/>
      </c>
      <c r="AQ3" s="140">
        <f t="shared" si="33"/>
        <v>1438463.2799999998</v>
      </c>
      <c r="AR3" s="326">
        <f t="shared" si="34"/>
        <v>237289.12</v>
      </c>
      <c r="AS3" s="333">
        <f t="shared" si="35"/>
        <v>1675752.4</v>
      </c>
      <c r="AT3" s="123" t="str">
        <f>IFERROR(VLOOKUP(I3,MONTE24,8,FALSE),"")</f>
        <v/>
      </c>
      <c r="AU3" s="123">
        <f t="shared" si="36"/>
        <v>1439506.01</v>
      </c>
      <c r="AV3" s="123">
        <f t="shared" si="37"/>
        <v>305072.26</v>
      </c>
      <c r="AW3" s="125">
        <f t="shared" si="38"/>
        <v>1744578.27</v>
      </c>
      <c r="AX3" s="122">
        <f t="shared" ref="AX3:AZ3" si="62">SUM(AU3,AQ3,AM3)</f>
        <v>4739526.42</v>
      </c>
      <c r="AY3" s="326">
        <f t="shared" si="62"/>
        <v>1397522.79</v>
      </c>
      <c r="AZ3" s="332">
        <f t="shared" si="62"/>
        <v>6137049.21</v>
      </c>
      <c r="BA3" s="140">
        <f t="shared" ref="BA3:BC3" si="63">SUM(AX3,AG3)</f>
        <v>10955155.460000001</v>
      </c>
      <c r="BB3" s="326">
        <f t="shared" si="63"/>
        <v>2549293.4900000002</v>
      </c>
      <c r="BC3" s="435">
        <f t="shared" si="63"/>
        <v>13504448.949999999</v>
      </c>
      <c r="BD3" s="125" t="str">
        <f t="shared" si="41"/>
        <v/>
      </c>
      <c r="BE3" s="1166">
        <f t="shared" si="42"/>
        <v>1308722.72</v>
      </c>
      <c r="BF3" s="116">
        <f t="shared" si="43"/>
        <v>355001.34</v>
      </c>
      <c r="BG3" s="121">
        <f t="shared" si="44"/>
        <v>1663724.06</v>
      </c>
      <c r="BH3" s="114" t="str">
        <f t="shared" si="45"/>
        <v/>
      </c>
      <c r="BI3" s="416">
        <f t="shared" si="46"/>
        <v>4210175.5</v>
      </c>
      <c r="BJ3" s="121">
        <f t="shared" si="47"/>
        <v>301944.33</v>
      </c>
      <c r="BK3" s="121">
        <f t="shared" si="48"/>
        <v>4512119.83</v>
      </c>
      <c r="BL3" s="121" t="str">
        <f t="shared" si="49"/>
        <v/>
      </c>
      <c r="BM3" s="113">
        <f t="shared" si="50"/>
        <v>1019910.74</v>
      </c>
      <c r="BN3" s="116">
        <f t="shared" si="51"/>
        <v>381213.55</v>
      </c>
      <c r="BO3" s="117">
        <f t="shared" si="52"/>
        <v>1401124.29</v>
      </c>
      <c r="BP3" s="113">
        <f t="shared" si="53"/>
        <v>6538808.96</v>
      </c>
      <c r="BQ3" s="116">
        <f t="shared" ref="BQ3:BR3" si="64">SUM(BN3,BJ3,BF3)</f>
        <v>1038159.22</v>
      </c>
      <c r="BR3" s="117">
        <f t="shared" si="64"/>
        <v>7576968.1799999997</v>
      </c>
      <c r="BS3" s="125" t="str">
        <f t="shared" si="55"/>
        <v/>
      </c>
      <c r="BT3" s="140">
        <f t="shared" si="56"/>
        <v>2134597.38</v>
      </c>
      <c r="BU3" s="123">
        <f t="shared" si="57"/>
        <v>434072.72</v>
      </c>
      <c r="BV3" s="148">
        <f t="shared" si="58"/>
        <v>2568670.1</v>
      </c>
      <c r="BW3" s="123" t="str">
        <f t="shared" si="59"/>
        <v/>
      </c>
      <c r="BX3" s="326" t="str">
        <f t="shared" si="60"/>
        <v/>
      </c>
      <c r="CA3" s="562">
        <v>0.15</v>
      </c>
      <c r="CB3" s="440">
        <v>10</v>
      </c>
      <c r="CC3" s="440">
        <v>7</v>
      </c>
      <c r="CD3" s="440">
        <v>7</v>
      </c>
      <c r="CE3" s="440">
        <v>8</v>
      </c>
      <c r="CF3" s="440">
        <v>8</v>
      </c>
      <c r="CG3" s="441">
        <v>22</v>
      </c>
      <c r="CH3" s="1259">
        <v>21</v>
      </c>
      <c r="CI3" s="1260">
        <v>21</v>
      </c>
      <c r="CJ3" s="440">
        <v>18</v>
      </c>
      <c r="CK3" s="719">
        <v>10</v>
      </c>
      <c r="CL3" s="1048">
        <v>10</v>
      </c>
      <c r="CM3" s="720">
        <v>10</v>
      </c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</row>
    <row r="4" spans="1:111" ht="13">
      <c r="A4" s="420">
        <f t="shared" si="0"/>
        <v>112014014</v>
      </c>
      <c r="B4" s="93">
        <f t="shared" si="1"/>
        <v>10</v>
      </c>
      <c r="C4" s="558">
        <f t="shared" si="2"/>
        <v>0.15</v>
      </c>
      <c r="D4" s="558">
        <f t="shared" si="3"/>
        <v>0.23</v>
      </c>
      <c r="E4" s="559">
        <f t="shared" si="4"/>
        <v>0</v>
      </c>
      <c r="F4" s="547">
        <f t="shared" si="5"/>
        <v>52</v>
      </c>
      <c r="G4" s="699">
        <f t="shared" si="6"/>
        <v>0.15</v>
      </c>
      <c r="H4" s="702">
        <f t="shared" si="7"/>
        <v>0.17</v>
      </c>
      <c r="I4" s="423" t="s">
        <v>1263</v>
      </c>
      <c r="J4" s="326">
        <f>IFERROR(VLOOKUP(I4,MONTE24,3,FALSE),"")</f>
        <v>0</v>
      </c>
      <c r="K4" s="332">
        <f>(J4*1.601)*1.05</f>
        <v>0</v>
      </c>
      <c r="L4" s="140">
        <f t="shared" si="8"/>
        <v>28989.25</v>
      </c>
      <c r="M4" s="326">
        <f t="shared" si="9"/>
        <v>3661456.6</v>
      </c>
      <c r="N4" s="333">
        <f t="shared" si="10"/>
        <v>3690445.85</v>
      </c>
      <c r="O4" s="123">
        <f t="shared" si="11"/>
        <v>3690445.85</v>
      </c>
      <c r="P4" s="137" t="e">
        <f t="shared" si="12"/>
        <v>#DIV/0!</v>
      </c>
      <c r="Q4" s="326">
        <f t="shared" si="13"/>
        <v>0</v>
      </c>
      <c r="R4" s="326">
        <f>(Q4*1.7245)*1.05</f>
        <v>0</v>
      </c>
      <c r="S4" s="116">
        <f t="shared" si="14"/>
        <v>23263</v>
      </c>
      <c r="T4" s="326">
        <f t="shared" si="15"/>
        <v>3592376.37</v>
      </c>
      <c r="U4" s="326">
        <f t="shared" si="16"/>
        <v>3615639.37</v>
      </c>
      <c r="V4" s="326">
        <f t="shared" si="17"/>
        <v>3615639.37</v>
      </c>
      <c r="W4" s="137" t="e">
        <f t="shared" si="18"/>
        <v>#DIV/0!</v>
      </c>
      <c r="X4" s="326">
        <f t="shared" si="19"/>
        <v>0</v>
      </c>
      <c r="Y4" s="332">
        <f>(X4*1.5955)*1.05</f>
        <v>0</v>
      </c>
      <c r="Z4" s="113">
        <f t="shared" si="20"/>
        <v>0</v>
      </c>
      <c r="AA4" s="116">
        <f t="shared" si="21"/>
        <v>2747568.22</v>
      </c>
      <c r="AB4" s="117">
        <f t="shared" si="22"/>
        <v>2747568.22</v>
      </c>
      <c r="AC4" s="123"/>
      <c r="AD4" s="326"/>
      <c r="AE4" s="1257">
        <f t="shared" si="23"/>
        <v>0</v>
      </c>
      <c r="AF4" s="140">
        <f t="shared" si="24"/>
        <v>5714165.3099999996</v>
      </c>
      <c r="AG4" s="326">
        <f t="shared" si="25"/>
        <v>52252.25</v>
      </c>
      <c r="AH4" s="326">
        <f t="shared" ref="AH4:AI4" si="65">AA4+T4+M4</f>
        <v>10001401.189999999</v>
      </c>
      <c r="AI4" s="326">
        <f t="shared" si="65"/>
        <v>10053653.439999999</v>
      </c>
      <c r="AJ4" s="326">
        <f t="shared" si="27"/>
        <v>4339488.13</v>
      </c>
      <c r="AK4" s="1258">
        <f t="shared" si="28"/>
        <v>1.7594264244343327</v>
      </c>
      <c r="AL4" s="125">
        <f t="shared" si="29"/>
        <v>0</v>
      </c>
      <c r="AM4" s="140">
        <f t="shared" si="30"/>
        <v>0</v>
      </c>
      <c r="AN4" s="123">
        <f t="shared" si="31"/>
        <v>3185547.87</v>
      </c>
      <c r="AO4" s="148">
        <f t="shared" si="32"/>
        <v>3185547.87</v>
      </c>
      <c r="AP4" s="125">
        <f>IFERROR(VLOOKUP(I4,MONTE24,7,FALSE),"")</f>
        <v>1354537.25</v>
      </c>
      <c r="AQ4" s="140">
        <f t="shared" si="33"/>
        <v>0</v>
      </c>
      <c r="AR4" s="326">
        <f t="shared" si="34"/>
        <v>1570322.61</v>
      </c>
      <c r="AS4" s="333">
        <f t="shared" si="35"/>
        <v>1570322.61</v>
      </c>
      <c r="AT4" s="123">
        <f>IFERROR(VLOOKUP(I4,MONTE24,8,FALSE),"")</f>
        <v>0</v>
      </c>
      <c r="AU4" s="123">
        <f t="shared" si="36"/>
        <v>2864834.82</v>
      </c>
      <c r="AV4" s="123">
        <f t="shared" si="37"/>
        <v>3704238.85</v>
      </c>
      <c r="AW4" s="125">
        <f t="shared" si="38"/>
        <v>6569073.6699999999</v>
      </c>
      <c r="AX4" s="122">
        <f t="shared" ref="AX4:AZ4" si="66">SUM(AU4,AQ4,AM4)</f>
        <v>2864834.82</v>
      </c>
      <c r="AY4" s="326">
        <f t="shared" si="66"/>
        <v>8460109.3300000001</v>
      </c>
      <c r="AZ4" s="332">
        <f t="shared" si="66"/>
        <v>11324944.15</v>
      </c>
      <c r="BA4" s="140">
        <f t="shared" ref="BA4:BC4" si="67">SUM(AX4,AG4)</f>
        <v>2917087.07</v>
      </c>
      <c r="BB4" s="326">
        <f t="shared" si="67"/>
        <v>18461510.52</v>
      </c>
      <c r="BC4" s="435">
        <f t="shared" si="67"/>
        <v>21378597.59</v>
      </c>
      <c r="BD4" s="125">
        <f t="shared" si="41"/>
        <v>1663730.06</v>
      </c>
      <c r="BE4" s="1166">
        <f t="shared" si="42"/>
        <v>12020478.130000001</v>
      </c>
      <c r="BF4" s="116">
        <f t="shared" si="43"/>
        <v>5992704.3300000001</v>
      </c>
      <c r="BG4" s="121">
        <f t="shared" si="44"/>
        <v>18013182.460000001</v>
      </c>
      <c r="BH4" s="114">
        <f t="shared" si="45"/>
        <v>1185697.1000000001</v>
      </c>
      <c r="BI4" s="416">
        <f t="shared" si="46"/>
        <v>4961322.9000000004</v>
      </c>
      <c r="BJ4" s="121">
        <f t="shared" si="47"/>
        <v>2629614.1</v>
      </c>
      <c r="BK4" s="121">
        <f t="shared" si="48"/>
        <v>7590937</v>
      </c>
      <c r="BL4" s="121">
        <f t="shared" si="49"/>
        <v>1663802.67</v>
      </c>
      <c r="BM4" s="113">
        <f t="shared" si="50"/>
        <v>2707208.87</v>
      </c>
      <c r="BN4" s="116">
        <f t="shared" si="51"/>
        <v>2727956.95</v>
      </c>
      <c r="BO4" s="117">
        <f t="shared" si="52"/>
        <v>5435165.8200000003</v>
      </c>
      <c r="BP4" s="113">
        <f t="shared" si="53"/>
        <v>19689009.899999999</v>
      </c>
      <c r="BQ4" s="116">
        <f t="shared" ref="BQ4:BR4" si="68">SUM(BN4,BJ4,BF4)</f>
        <v>11350275.380000001</v>
      </c>
      <c r="BR4" s="117">
        <f t="shared" si="68"/>
        <v>31039285.280000001</v>
      </c>
      <c r="BS4" s="125">
        <f t="shared" si="55"/>
        <v>1592577.49</v>
      </c>
      <c r="BT4" s="140">
        <f t="shared" si="56"/>
        <v>17566153.120000001</v>
      </c>
      <c r="BU4" s="123">
        <f t="shared" si="57"/>
        <v>2592688.91</v>
      </c>
      <c r="BV4" s="148">
        <f t="shared" si="58"/>
        <v>20158842.030000001</v>
      </c>
      <c r="BW4" s="123">
        <f t="shared" si="59"/>
        <v>0</v>
      </c>
      <c r="BX4" s="326">
        <f t="shared" si="60"/>
        <v>4121587.83</v>
      </c>
      <c r="CA4" s="569">
        <v>0.12</v>
      </c>
      <c r="CB4" s="440">
        <v>1</v>
      </c>
      <c r="CC4" s="440">
        <v>0</v>
      </c>
      <c r="CD4" s="440">
        <v>0</v>
      </c>
      <c r="CE4" s="440"/>
      <c r="CF4" s="440"/>
      <c r="CG4" s="441"/>
      <c r="CH4" s="1259"/>
      <c r="CI4" s="1260"/>
      <c r="CJ4" s="440"/>
      <c r="CK4" s="719">
        <v>1</v>
      </c>
      <c r="CL4" s="1048">
        <v>1</v>
      </c>
      <c r="CM4" s="720">
        <v>1</v>
      </c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136"/>
      <c r="DD4" s="136"/>
      <c r="DE4" s="136"/>
      <c r="DF4" s="136"/>
      <c r="DG4" s="136"/>
    </row>
    <row r="5" spans="1:111" ht="13">
      <c r="A5" s="420">
        <f t="shared" si="0"/>
        <v>112011732</v>
      </c>
      <c r="B5" s="93">
        <f t="shared" si="1"/>
        <v>10</v>
      </c>
      <c r="C5" s="558">
        <f t="shared" si="2"/>
        <v>0.15</v>
      </c>
      <c r="D5" s="558">
        <f t="shared" si="3"/>
        <v>0.23</v>
      </c>
      <c r="E5" s="559">
        <f t="shared" si="4"/>
        <v>0</v>
      </c>
      <c r="F5" s="547">
        <f t="shared" si="5"/>
        <v>53</v>
      </c>
      <c r="G5" s="699">
        <f t="shared" si="6"/>
        <v>0.15</v>
      </c>
      <c r="H5" s="702">
        <f t="shared" si="7"/>
        <v>0.14000000000000001</v>
      </c>
      <c r="I5" s="423" t="s">
        <v>1264</v>
      </c>
      <c r="J5" s="326"/>
      <c r="K5" s="332"/>
      <c r="L5" s="140">
        <f t="shared" si="8"/>
        <v>0</v>
      </c>
      <c r="M5" s="326">
        <f t="shared" si="9"/>
        <v>0</v>
      </c>
      <c r="N5" s="333">
        <f t="shared" si="10"/>
        <v>0</v>
      </c>
      <c r="O5" s="123">
        <f t="shared" si="11"/>
        <v>0</v>
      </c>
      <c r="P5" s="137" t="e">
        <f t="shared" si="12"/>
        <v>#DIV/0!</v>
      </c>
      <c r="Q5" s="326" t="str">
        <f t="shared" si="13"/>
        <v/>
      </c>
      <c r="R5" s="326">
        <v>1800000</v>
      </c>
      <c r="S5" s="116">
        <f t="shared" si="14"/>
        <v>0</v>
      </c>
      <c r="T5" s="326">
        <f t="shared" si="15"/>
        <v>0</v>
      </c>
      <c r="U5" s="326">
        <f t="shared" si="16"/>
        <v>0</v>
      </c>
      <c r="V5" s="326">
        <f t="shared" si="17"/>
        <v>-1800000</v>
      </c>
      <c r="W5" s="137">
        <f t="shared" si="18"/>
        <v>0</v>
      </c>
      <c r="X5" s="326" t="str">
        <f t="shared" si="19"/>
        <v/>
      </c>
      <c r="Y5" s="332">
        <v>1800000</v>
      </c>
      <c r="Z5" s="113">
        <f t="shared" si="20"/>
        <v>0</v>
      </c>
      <c r="AA5" s="116">
        <f t="shared" si="21"/>
        <v>0</v>
      </c>
      <c r="AB5" s="117">
        <f t="shared" si="22"/>
        <v>0</v>
      </c>
      <c r="AC5" s="123"/>
      <c r="AD5" s="326"/>
      <c r="AE5" s="1257">
        <f t="shared" si="23"/>
        <v>3600000</v>
      </c>
      <c r="AF5" s="140">
        <f t="shared" si="24"/>
        <v>2783749.11</v>
      </c>
      <c r="AG5" s="326">
        <f t="shared" si="25"/>
        <v>0</v>
      </c>
      <c r="AH5" s="326">
        <f t="shared" ref="AH5:AI5" si="69">AA5+T5+M5</f>
        <v>0</v>
      </c>
      <c r="AI5" s="326">
        <f t="shared" si="69"/>
        <v>0</v>
      </c>
      <c r="AJ5" s="326">
        <f t="shared" si="27"/>
        <v>-2783749.11</v>
      </c>
      <c r="AK5" s="1258">
        <f t="shared" si="28"/>
        <v>0</v>
      </c>
      <c r="AL5" s="125" t="str">
        <f t="shared" si="29"/>
        <v/>
      </c>
      <c r="AM5" s="140">
        <f t="shared" si="30"/>
        <v>0</v>
      </c>
      <c r="AN5" s="123">
        <f t="shared" si="31"/>
        <v>0</v>
      </c>
      <c r="AO5" s="148">
        <f t="shared" si="32"/>
        <v>0</v>
      </c>
      <c r="AP5" s="125"/>
      <c r="AQ5" s="140">
        <f t="shared" si="33"/>
        <v>0</v>
      </c>
      <c r="AR5" s="326">
        <f t="shared" si="34"/>
        <v>59098.58</v>
      </c>
      <c r="AS5" s="333">
        <f t="shared" si="35"/>
        <v>59098.58</v>
      </c>
      <c r="AT5" s="123"/>
      <c r="AU5" s="123">
        <f t="shared" si="36"/>
        <v>50013.9</v>
      </c>
      <c r="AV5" s="123">
        <f t="shared" si="37"/>
        <v>0</v>
      </c>
      <c r="AW5" s="125">
        <f t="shared" si="38"/>
        <v>50013.9</v>
      </c>
      <c r="AX5" s="122">
        <f t="shared" ref="AX5:AZ5" si="70">SUM(AU5,AQ5,AM5)</f>
        <v>50013.9</v>
      </c>
      <c r="AY5" s="326">
        <f t="shared" si="70"/>
        <v>59098.58</v>
      </c>
      <c r="AZ5" s="332">
        <f t="shared" si="70"/>
        <v>109112.48000000001</v>
      </c>
      <c r="BA5" s="140">
        <f t="shared" ref="BA5:BC5" si="71">SUM(AX5,AG5)</f>
        <v>50013.9</v>
      </c>
      <c r="BB5" s="326">
        <f t="shared" si="71"/>
        <v>59098.58</v>
      </c>
      <c r="BC5" s="435">
        <f t="shared" si="71"/>
        <v>109112.48000000001</v>
      </c>
      <c r="BD5" s="125" t="str">
        <f t="shared" si="41"/>
        <v/>
      </c>
      <c r="BE5" s="1166">
        <f t="shared" si="42"/>
        <v>182239.12999999989</v>
      </c>
      <c r="BF5" s="116">
        <f t="shared" si="43"/>
        <v>1009492.56</v>
      </c>
      <c r="BG5" s="121">
        <f t="shared" si="44"/>
        <v>1191731.69</v>
      </c>
      <c r="BH5" s="114" t="str">
        <f t="shared" si="45"/>
        <v/>
      </c>
      <c r="BI5" s="416">
        <f t="shared" si="46"/>
        <v>762974.64</v>
      </c>
      <c r="BJ5" s="121">
        <f t="shared" si="47"/>
        <v>103205.75999999999</v>
      </c>
      <c r="BK5" s="121">
        <f t="shared" si="48"/>
        <v>866180.4</v>
      </c>
      <c r="BL5" s="121" t="str">
        <f t="shared" si="49"/>
        <v/>
      </c>
      <c r="BM5" s="113">
        <f t="shared" si="50"/>
        <v>803311.91999999993</v>
      </c>
      <c r="BN5" s="116">
        <f t="shared" si="51"/>
        <v>606849.71</v>
      </c>
      <c r="BO5" s="117">
        <f t="shared" si="52"/>
        <v>1410161.63</v>
      </c>
      <c r="BP5" s="113">
        <f t="shared" si="53"/>
        <v>1748525.6899999997</v>
      </c>
      <c r="BQ5" s="116">
        <f t="shared" ref="BQ5:BR5" si="72">SUM(BN5,BJ5,BF5)</f>
        <v>1719548.03</v>
      </c>
      <c r="BR5" s="117">
        <f t="shared" si="72"/>
        <v>3468073.7199999997</v>
      </c>
      <c r="BS5" s="125" t="str">
        <f t="shared" si="55"/>
        <v/>
      </c>
      <c r="BT5" s="140">
        <f t="shared" si="56"/>
        <v>1988383.58</v>
      </c>
      <c r="BU5" s="123">
        <f t="shared" si="57"/>
        <v>0</v>
      </c>
      <c r="BV5" s="148">
        <f t="shared" si="58"/>
        <v>1988383.58</v>
      </c>
      <c r="BW5" s="123" t="str">
        <f t="shared" si="59"/>
        <v/>
      </c>
      <c r="BX5" s="326" t="str">
        <f t="shared" si="60"/>
        <v/>
      </c>
      <c r="CA5" s="570">
        <v>0.1</v>
      </c>
      <c r="CB5" s="440">
        <v>56</v>
      </c>
      <c r="CC5" s="440">
        <v>42</v>
      </c>
      <c r="CD5" s="440">
        <v>42</v>
      </c>
      <c r="CE5" s="440">
        <v>39</v>
      </c>
      <c r="CF5" s="440">
        <v>39</v>
      </c>
      <c r="CG5" s="441">
        <v>59</v>
      </c>
      <c r="CH5" s="1259">
        <v>59</v>
      </c>
      <c r="CI5" s="1260">
        <v>60</v>
      </c>
      <c r="CJ5" s="440">
        <v>54</v>
      </c>
      <c r="CK5" s="719">
        <v>56</v>
      </c>
      <c r="CL5" s="1048">
        <v>56</v>
      </c>
      <c r="CM5" s="720">
        <v>56</v>
      </c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</row>
    <row r="6" spans="1:111" ht="13">
      <c r="A6" s="420">
        <f t="shared" si="0"/>
        <v>112013028</v>
      </c>
      <c r="B6" s="93">
        <f t="shared" si="1"/>
        <v>12</v>
      </c>
      <c r="C6" s="558">
        <f t="shared" si="2"/>
        <v>0.15</v>
      </c>
      <c r="D6" s="558">
        <f t="shared" si="3"/>
        <v>0.09</v>
      </c>
      <c r="E6" s="559">
        <f t="shared" si="4"/>
        <v>0</v>
      </c>
      <c r="F6" s="547">
        <f t="shared" si="5"/>
        <v>54</v>
      </c>
      <c r="G6" s="699">
        <f t="shared" si="6"/>
        <v>0.15</v>
      </c>
      <c r="H6" s="702">
        <f t="shared" si="7"/>
        <v>0.11</v>
      </c>
      <c r="I6" s="423" t="s">
        <v>1265</v>
      </c>
      <c r="J6" s="326">
        <f>IFERROR(VLOOKUP(I6,MONTE24,3,FALSE),"")</f>
        <v>978427.52</v>
      </c>
      <c r="K6" s="332">
        <v>3000000</v>
      </c>
      <c r="L6" s="140">
        <f t="shared" si="8"/>
        <v>2975622.96</v>
      </c>
      <c r="M6" s="326">
        <f t="shared" si="9"/>
        <v>647082.79</v>
      </c>
      <c r="N6" s="333">
        <f t="shared" si="10"/>
        <v>3622705.75</v>
      </c>
      <c r="O6" s="123">
        <f t="shared" si="11"/>
        <v>622705.75</v>
      </c>
      <c r="P6" s="137">
        <f t="shared" si="12"/>
        <v>1.2075685833333334</v>
      </c>
      <c r="Q6" s="326">
        <f t="shared" si="13"/>
        <v>926375.51</v>
      </c>
      <c r="R6" s="326">
        <v>3000000</v>
      </c>
      <c r="S6" s="116">
        <f t="shared" si="14"/>
        <v>2018958.9100000001</v>
      </c>
      <c r="T6" s="326">
        <f t="shared" si="15"/>
        <v>575171.73</v>
      </c>
      <c r="U6" s="326">
        <f t="shared" si="16"/>
        <v>2594130.64</v>
      </c>
      <c r="V6" s="326">
        <f t="shared" si="17"/>
        <v>-405869.35999999987</v>
      </c>
      <c r="W6" s="137">
        <f t="shared" si="18"/>
        <v>0.86471021333333342</v>
      </c>
      <c r="X6" s="326">
        <f t="shared" si="19"/>
        <v>726795.25</v>
      </c>
      <c r="Y6" s="332">
        <v>3000000</v>
      </c>
      <c r="Z6" s="113">
        <f t="shared" si="20"/>
        <v>1462400.24</v>
      </c>
      <c r="AA6" s="116">
        <f t="shared" si="21"/>
        <v>361936.83</v>
      </c>
      <c r="AB6" s="117">
        <f t="shared" si="22"/>
        <v>1824337.07</v>
      </c>
      <c r="AC6" s="123"/>
      <c r="AD6" s="326"/>
      <c r="AE6" s="1257">
        <f t="shared" si="23"/>
        <v>9000000</v>
      </c>
      <c r="AF6" s="140">
        <f t="shared" si="24"/>
        <v>5114487.78</v>
      </c>
      <c r="AG6" s="326">
        <f t="shared" si="25"/>
        <v>6456982.1099999994</v>
      </c>
      <c r="AH6" s="326">
        <f t="shared" ref="AH6:AI6" si="73">AA6+T6+M6</f>
        <v>1584191.35</v>
      </c>
      <c r="AI6" s="326">
        <f t="shared" si="73"/>
        <v>8041173.46</v>
      </c>
      <c r="AJ6" s="326">
        <f t="shared" si="27"/>
        <v>2926685.6799999997</v>
      </c>
      <c r="AK6" s="1258">
        <f t="shared" si="28"/>
        <v>1.5722343675244834</v>
      </c>
      <c r="AL6" s="125">
        <f t="shared" si="29"/>
        <v>335537.76</v>
      </c>
      <c r="AM6" s="140">
        <f t="shared" si="30"/>
        <v>587955.39</v>
      </c>
      <c r="AN6" s="123">
        <f t="shared" si="31"/>
        <v>212943.67</v>
      </c>
      <c r="AO6" s="148">
        <f t="shared" si="32"/>
        <v>800899.06</v>
      </c>
      <c r="AP6" s="125">
        <f>IFERROR(VLOOKUP(I6,MONTE24,7,FALSE),"")</f>
        <v>807644.38</v>
      </c>
      <c r="AQ6" s="140">
        <f t="shared" si="33"/>
        <v>634129.33000000007</v>
      </c>
      <c r="AR6" s="326">
        <f t="shared" si="34"/>
        <v>133977.32999999999</v>
      </c>
      <c r="AS6" s="333">
        <f t="shared" si="35"/>
        <v>768106.66</v>
      </c>
      <c r="AT6" s="123">
        <f>IFERROR(VLOOKUP(I6,MONTE24,8,FALSE),"")</f>
        <v>621944.56000000006</v>
      </c>
      <c r="AU6" s="123">
        <f t="shared" si="36"/>
        <v>409092.65</v>
      </c>
      <c r="AV6" s="123">
        <f t="shared" si="37"/>
        <v>83737.899999999994</v>
      </c>
      <c r="AW6" s="125">
        <f t="shared" si="38"/>
        <v>492830.55</v>
      </c>
      <c r="AX6" s="122">
        <f t="shared" ref="AX6:AZ6" si="74">SUM(AU6,AQ6,AM6)</f>
        <v>1631177.37</v>
      </c>
      <c r="AY6" s="326">
        <f t="shared" si="74"/>
        <v>430658.9</v>
      </c>
      <c r="AZ6" s="332">
        <f t="shared" si="74"/>
        <v>2061836.27</v>
      </c>
      <c r="BA6" s="140">
        <f t="shared" ref="BA6:BC6" si="75">SUM(AX6,AG6)</f>
        <v>8088159.4799999995</v>
      </c>
      <c r="BB6" s="326">
        <f t="shared" si="75"/>
        <v>2014850.25</v>
      </c>
      <c r="BC6" s="435">
        <f t="shared" si="75"/>
        <v>10103009.73</v>
      </c>
      <c r="BD6" s="125">
        <f t="shared" si="41"/>
        <v>825050.87</v>
      </c>
      <c r="BE6" s="1166">
        <f t="shared" si="42"/>
        <v>577090.42999999993</v>
      </c>
      <c r="BF6" s="116">
        <f t="shared" si="43"/>
        <v>81038.820000000007</v>
      </c>
      <c r="BG6" s="121">
        <f t="shared" si="44"/>
        <v>658129.25</v>
      </c>
      <c r="BH6" s="114">
        <f t="shared" si="45"/>
        <v>490289</v>
      </c>
      <c r="BI6" s="416">
        <f t="shared" si="46"/>
        <v>688062.96</v>
      </c>
      <c r="BJ6" s="121">
        <f t="shared" si="47"/>
        <v>0</v>
      </c>
      <c r="BK6" s="121">
        <f t="shared" si="48"/>
        <v>688062.96</v>
      </c>
      <c r="BL6" s="121">
        <f t="shared" si="49"/>
        <v>768678.23</v>
      </c>
      <c r="BM6" s="113">
        <f t="shared" si="50"/>
        <v>1009671.9199999999</v>
      </c>
      <c r="BN6" s="116">
        <f t="shared" si="51"/>
        <v>507468.78</v>
      </c>
      <c r="BO6" s="117">
        <f t="shared" si="52"/>
        <v>1517140.7</v>
      </c>
      <c r="BP6" s="113">
        <f t="shared" si="53"/>
        <v>2274825.31</v>
      </c>
      <c r="BQ6" s="116">
        <f t="shared" ref="BQ6:BR6" si="76">SUM(BN6,BJ6,BF6)</f>
        <v>588507.60000000009</v>
      </c>
      <c r="BR6" s="117">
        <f t="shared" si="76"/>
        <v>2863332.91</v>
      </c>
      <c r="BS6" s="125">
        <f t="shared" si="55"/>
        <v>1621635.63</v>
      </c>
      <c r="BT6" s="140">
        <f t="shared" si="56"/>
        <v>1972048.05</v>
      </c>
      <c r="BU6" s="123">
        <f t="shared" si="57"/>
        <v>127063.39</v>
      </c>
      <c r="BV6" s="148">
        <f t="shared" si="58"/>
        <v>2099111.44</v>
      </c>
      <c r="BW6" s="123">
        <f t="shared" si="59"/>
        <v>1583725.49</v>
      </c>
      <c r="BX6" s="326">
        <f t="shared" si="60"/>
        <v>1909126.66</v>
      </c>
      <c r="CA6" s="571">
        <v>0.05</v>
      </c>
      <c r="CB6" s="449"/>
      <c r="CC6" s="449">
        <v>7</v>
      </c>
      <c r="CD6" s="449">
        <v>7</v>
      </c>
      <c r="CE6" s="449">
        <v>7</v>
      </c>
      <c r="CF6" s="449">
        <v>7</v>
      </c>
      <c r="CG6" s="169">
        <v>8</v>
      </c>
      <c r="CH6" s="1261">
        <v>8</v>
      </c>
      <c r="CI6" s="1262">
        <v>8</v>
      </c>
      <c r="CJ6" s="449"/>
      <c r="CK6" s="723"/>
      <c r="CL6" s="450"/>
      <c r="CM6" s="168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</row>
    <row r="7" spans="1:111" ht="13">
      <c r="A7" s="420">
        <f t="shared" si="0"/>
        <v>112013711</v>
      </c>
      <c r="B7" s="93">
        <f t="shared" si="1"/>
        <v>12</v>
      </c>
      <c r="C7" s="558">
        <f t="shared" si="2"/>
        <v>0.15</v>
      </c>
      <c r="D7" s="558">
        <f t="shared" si="3"/>
        <v>0.09</v>
      </c>
      <c r="E7" s="559">
        <f t="shared" si="4"/>
        <v>0</v>
      </c>
      <c r="F7" s="547">
        <f t="shared" si="5"/>
        <v>55</v>
      </c>
      <c r="G7" s="699">
        <f t="shared" si="6"/>
        <v>0.15</v>
      </c>
      <c r="H7" s="702">
        <f t="shared" si="7"/>
        <v>0.05</v>
      </c>
      <c r="I7" s="423" t="s">
        <v>1266</v>
      </c>
      <c r="J7" s="326"/>
      <c r="K7" s="332"/>
      <c r="L7" s="140" t="e">
        <f t="shared" si="8"/>
        <v>#VALUE!</v>
      </c>
      <c r="M7" s="326" t="str">
        <f t="shared" si="9"/>
        <v/>
      </c>
      <c r="N7" s="333">
        <f t="shared" si="10"/>
        <v>0</v>
      </c>
      <c r="O7" s="123">
        <f t="shared" si="11"/>
        <v>0</v>
      </c>
      <c r="P7" s="137" t="e">
        <f t="shared" si="12"/>
        <v>#DIV/0!</v>
      </c>
      <c r="Q7" s="326" t="str">
        <f t="shared" si="13"/>
        <v/>
      </c>
      <c r="R7" s="326">
        <v>1800000</v>
      </c>
      <c r="S7" s="116" t="e">
        <f t="shared" si="14"/>
        <v>#VALUE!</v>
      </c>
      <c r="T7" s="326" t="str">
        <f t="shared" si="15"/>
        <v/>
      </c>
      <c r="U7" s="326">
        <f t="shared" si="16"/>
        <v>0</v>
      </c>
      <c r="V7" s="326">
        <f t="shared" si="17"/>
        <v>-1800000</v>
      </c>
      <c r="W7" s="137">
        <f t="shared" si="18"/>
        <v>0</v>
      </c>
      <c r="X7" s="326" t="str">
        <f t="shared" si="19"/>
        <v/>
      </c>
      <c r="Y7" s="332">
        <v>1800000</v>
      </c>
      <c r="Z7" s="113" t="e">
        <f t="shared" si="20"/>
        <v>#VALUE!</v>
      </c>
      <c r="AA7" s="116" t="str">
        <f t="shared" si="21"/>
        <v/>
      </c>
      <c r="AB7" s="117">
        <f t="shared" si="22"/>
        <v>0</v>
      </c>
      <c r="AC7" s="123"/>
      <c r="AD7" s="326"/>
      <c r="AE7" s="1257">
        <f t="shared" si="23"/>
        <v>3600000</v>
      </c>
      <c r="AF7" s="140" t="str">
        <f t="shared" si="24"/>
        <v>0</v>
      </c>
      <c r="AG7" s="326" t="e">
        <f t="shared" si="25"/>
        <v>#VALUE!</v>
      </c>
      <c r="AH7" s="326" t="e">
        <f t="shared" ref="AH7:AI7" si="77">AA7+T7+M7</f>
        <v>#VALUE!</v>
      </c>
      <c r="AI7" s="326">
        <f t="shared" si="77"/>
        <v>0</v>
      </c>
      <c r="AJ7" s="326">
        <f t="shared" si="27"/>
        <v>0</v>
      </c>
      <c r="AK7" s="1258" t="str">
        <f t="shared" si="28"/>
        <v/>
      </c>
      <c r="AL7" s="125" t="str">
        <f t="shared" si="29"/>
        <v/>
      </c>
      <c r="AM7" s="140" t="e">
        <f t="shared" si="30"/>
        <v>#VALUE!</v>
      </c>
      <c r="AN7" s="123" t="str">
        <f t="shared" si="31"/>
        <v/>
      </c>
      <c r="AO7" s="148">
        <f t="shared" si="32"/>
        <v>0</v>
      </c>
      <c r="AP7" s="125"/>
      <c r="AQ7" s="140" t="e">
        <f t="shared" si="33"/>
        <v>#VALUE!</v>
      </c>
      <c r="AR7" s="326" t="str">
        <f t="shared" si="34"/>
        <v/>
      </c>
      <c r="AS7" s="333">
        <f t="shared" si="35"/>
        <v>0</v>
      </c>
      <c r="AT7" s="123"/>
      <c r="AU7" s="123" t="e">
        <f t="shared" si="36"/>
        <v>#VALUE!</v>
      </c>
      <c r="AV7" s="123" t="str">
        <f t="shared" si="37"/>
        <v/>
      </c>
      <c r="AW7" s="125">
        <f t="shared" si="38"/>
        <v>5636784.1200000001</v>
      </c>
      <c r="AX7" s="122" t="e">
        <f t="shared" ref="AX7:AZ7" si="78">SUM(AU7,AQ7,AM7)</f>
        <v>#VALUE!</v>
      </c>
      <c r="AY7" s="326">
        <f t="shared" si="78"/>
        <v>0</v>
      </c>
      <c r="AZ7" s="332">
        <f t="shared" si="78"/>
        <v>5636784.1200000001</v>
      </c>
      <c r="BA7" s="140" t="e">
        <f t="shared" ref="BA7:BC7" si="79">SUM(AX7,AG7)</f>
        <v>#VALUE!</v>
      </c>
      <c r="BB7" s="326" t="e">
        <f t="shared" si="79"/>
        <v>#VALUE!</v>
      </c>
      <c r="BC7" s="435">
        <f t="shared" si="79"/>
        <v>5636784.1200000001</v>
      </c>
      <c r="BD7" s="125" t="str">
        <f t="shared" si="41"/>
        <v/>
      </c>
      <c r="BE7" s="1166" t="e">
        <f t="shared" si="42"/>
        <v>#VALUE!</v>
      </c>
      <c r="BF7" s="116" t="str">
        <f t="shared" si="43"/>
        <v/>
      </c>
      <c r="BG7" s="121">
        <f t="shared" si="44"/>
        <v>4563009.97</v>
      </c>
      <c r="BH7" s="114" t="str">
        <f t="shared" si="45"/>
        <v/>
      </c>
      <c r="BI7" s="416" t="e">
        <f t="shared" si="46"/>
        <v>#VALUE!</v>
      </c>
      <c r="BJ7" s="121" t="str">
        <f t="shared" si="47"/>
        <v/>
      </c>
      <c r="BK7" s="121">
        <f t="shared" si="48"/>
        <v>1897277.22</v>
      </c>
      <c r="BL7" s="121" t="str">
        <f t="shared" si="49"/>
        <v/>
      </c>
      <c r="BM7" s="113" t="e">
        <f t="shared" si="50"/>
        <v>#VALUE!</v>
      </c>
      <c r="BN7" s="116" t="str">
        <f t="shared" si="51"/>
        <v/>
      </c>
      <c r="BO7" s="117">
        <f t="shared" si="52"/>
        <v>1879602.15</v>
      </c>
      <c r="BP7" s="113">
        <f t="shared" si="53"/>
        <v>8339889.3399999999</v>
      </c>
      <c r="BQ7" s="116">
        <f t="shared" ref="BQ7:BR7" si="80">SUM(BN7,BJ7,BF7)</f>
        <v>0</v>
      </c>
      <c r="BR7" s="117">
        <f t="shared" si="80"/>
        <v>8339889.3399999999</v>
      </c>
      <c r="BS7" s="125" t="str">
        <f t="shared" si="55"/>
        <v/>
      </c>
      <c r="BT7" s="140" t="e">
        <f t="shared" si="56"/>
        <v>#VALUE!</v>
      </c>
      <c r="BU7" s="123" t="str">
        <f t="shared" si="57"/>
        <v/>
      </c>
      <c r="BV7" s="148">
        <f t="shared" si="58"/>
        <v>4455026.55</v>
      </c>
      <c r="BW7" s="123" t="str">
        <f t="shared" si="59"/>
        <v/>
      </c>
      <c r="BX7" s="326" t="str">
        <f t="shared" si="60"/>
        <v/>
      </c>
      <c r="CA7" s="724" t="s">
        <v>4</v>
      </c>
      <c r="CB7" s="726">
        <v>55</v>
      </c>
      <c r="CC7" s="726">
        <v>38</v>
      </c>
      <c r="CD7" s="726">
        <v>38</v>
      </c>
      <c r="CE7" s="726">
        <v>37</v>
      </c>
      <c r="CF7" s="726">
        <v>37</v>
      </c>
      <c r="CG7" s="727">
        <v>40</v>
      </c>
      <c r="CH7" s="1263">
        <v>40</v>
      </c>
      <c r="CI7" s="1264">
        <v>40</v>
      </c>
      <c r="CJ7" s="726">
        <v>54</v>
      </c>
      <c r="CK7" s="730">
        <v>59</v>
      </c>
      <c r="CL7" s="1265">
        <v>59</v>
      </c>
      <c r="CM7" s="177">
        <v>55</v>
      </c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</row>
    <row r="8" spans="1:111" ht="13">
      <c r="A8" s="420">
        <f t="shared" si="0"/>
        <v>112014363</v>
      </c>
      <c r="B8" s="93">
        <f t="shared" si="1"/>
        <v>12</v>
      </c>
      <c r="C8" s="699">
        <f t="shared" si="2"/>
        <v>0.15</v>
      </c>
      <c r="D8" s="699">
        <f t="shared" si="3"/>
        <v>0.09</v>
      </c>
      <c r="E8" s="702">
        <f t="shared" si="4"/>
        <v>0</v>
      </c>
      <c r="F8" s="547">
        <f t="shared" si="5"/>
        <v>55</v>
      </c>
      <c r="G8" s="699">
        <f t="shared" si="6"/>
        <v>0.15</v>
      </c>
      <c r="H8" s="702">
        <f t="shared" si="7"/>
        <v>0.05</v>
      </c>
      <c r="I8" s="703" t="s">
        <v>1267</v>
      </c>
      <c r="J8" s="116"/>
      <c r="K8" s="121"/>
      <c r="L8" s="140" t="e">
        <f t="shared" si="8"/>
        <v>#VALUE!</v>
      </c>
      <c r="M8" s="326" t="str">
        <f t="shared" si="9"/>
        <v/>
      </c>
      <c r="N8" s="333" t="str">
        <f t="shared" si="10"/>
        <v/>
      </c>
      <c r="O8" s="123" t="e">
        <f t="shared" si="11"/>
        <v>#VALUE!</v>
      </c>
      <c r="P8" s="137" t="e">
        <f t="shared" si="12"/>
        <v>#VALUE!</v>
      </c>
      <c r="Q8" s="116" t="str">
        <f t="shared" si="13"/>
        <v/>
      </c>
      <c r="R8" s="116">
        <v>1800000</v>
      </c>
      <c r="S8" s="116" t="e">
        <f t="shared" si="14"/>
        <v>#VALUE!</v>
      </c>
      <c r="T8" s="326" t="str">
        <f t="shared" si="15"/>
        <v/>
      </c>
      <c r="U8" s="326" t="str">
        <f t="shared" si="16"/>
        <v/>
      </c>
      <c r="V8" s="326" t="e">
        <f t="shared" si="17"/>
        <v>#VALUE!</v>
      </c>
      <c r="W8" s="137" t="e">
        <f t="shared" si="18"/>
        <v>#VALUE!</v>
      </c>
      <c r="X8" s="116" t="str">
        <f t="shared" si="19"/>
        <v/>
      </c>
      <c r="Y8" s="121">
        <v>1800000</v>
      </c>
      <c r="Z8" s="113" t="e">
        <f t="shared" si="20"/>
        <v>#VALUE!</v>
      </c>
      <c r="AA8" s="116" t="str">
        <f t="shared" si="21"/>
        <v/>
      </c>
      <c r="AB8" s="117" t="str">
        <f t="shared" si="22"/>
        <v/>
      </c>
      <c r="AC8" s="114"/>
      <c r="AD8" s="116"/>
      <c r="AE8" s="1252">
        <f t="shared" si="23"/>
        <v>3600000</v>
      </c>
      <c r="AF8" s="140" t="str">
        <f t="shared" si="24"/>
        <v>0</v>
      </c>
      <c r="AG8" s="326" t="e">
        <f t="shared" si="25"/>
        <v>#VALUE!</v>
      </c>
      <c r="AH8" s="326" t="e">
        <f t="shared" ref="AH8:AI8" si="81">AA8+T8+M8</f>
        <v>#VALUE!</v>
      </c>
      <c r="AI8" s="326" t="e">
        <f t="shared" si="81"/>
        <v>#VALUE!</v>
      </c>
      <c r="AJ8" s="326" t="e">
        <f t="shared" si="27"/>
        <v>#VALUE!</v>
      </c>
      <c r="AK8" s="1258" t="str">
        <f t="shared" si="28"/>
        <v/>
      </c>
      <c r="AL8" s="125" t="str">
        <f t="shared" si="29"/>
        <v/>
      </c>
      <c r="AM8" s="140" t="e">
        <f t="shared" si="30"/>
        <v>#VALUE!</v>
      </c>
      <c r="AN8" s="123" t="str">
        <f t="shared" si="31"/>
        <v/>
      </c>
      <c r="AO8" s="148" t="str">
        <f t="shared" si="32"/>
        <v/>
      </c>
      <c r="AP8" s="125"/>
      <c r="AQ8" s="140" t="e">
        <f t="shared" si="33"/>
        <v>#VALUE!</v>
      </c>
      <c r="AR8" s="326" t="str">
        <f t="shared" si="34"/>
        <v/>
      </c>
      <c r="AS8" s="333" t="str">
        <f t="shared" si="35"/>
        <v/>
      </c>
      <c r="AT8" s="123"/>
      <c r="AU8" s="123" t="e">
        <f t="shared" si="36"/>
        <v>#VALUE!</v>
      </c>
      <c r="AV8" s="123" t="str">
        <f t="shared" si="37"/>
        <v/>
      </c>
      <c r="AW8" s="125" t="str">
        <f t="shared" si="38"/>
        <v/>
      </c>
      <c r="AX8" s="122" t="e">
        <f t="shared" ref="AX8:AZ8" si="82">SUM(AU8,AQ8,AM8)</f>
        <v>#VALUE!</v>
      </c>
      <c r="AY8" s="326">
        <f t="shared" si="82"/>
        <v>0</v>
      </c>
      <c r="AZ8" s="332">
        <f t="shared" si="82"/>
        <v>0</v>
      </c>
      <c r="BA8" s="140" t="e">
        <f t="shared" ref="BA8:BC8" si="83">SUM(AX8,AG8)</f>
        <v>#VALUE!</v>
      </c>
      <c r="BB8" s="326" t="e">
        <f t="shared" si="83"/>
        <v>#VALUE!</v>
      </c>
      <c r="BC8" s="435" t="e">
        <f t="shared" si="83"/>
        <v>#VALUE!</v>
      </c>
      <c r="BD8" s="125" t="str">
        <f t="shared" si="41"/>
        <v/>
      </c>
      <c r="BE8" s="1166" t="e">
        <f t="shared" si="42"/>
        <v>#VALUE!</v>
      </c>
      <c r="BF8" s="116" t="str">
        <f t="shared" si="43"/>
        <v/>
      </c>
      <c r="BG8" s="121" t="str">
        <f t="shared" si="44"/>
        <v/>
      </c>
      <c r="BH8" s="114" t="str">
        <f t="shared" si="45"/>
        <v/>
      </c>
      <c r="BI8" s="416" t="e">
        <f t="shared" si="46"/>
        <v>#VALUE!</v>
      </c>
      <c r="BJ8" s="121" t="str">
        <f t="shared" si="47"/>
        <v/>
      </c>
      <c r="BK8" s="121" t="str">
        <f t="shared" si="48"/>
        <v/>
      </c>
      <c r="BL8" s="121" t="str">
        <f t="shared" si="49"/>
        <v/>
      </c>
      <c r="BM8" s="113" t="e">
        <f t="shared" si="50"/>
        <v>#VALUE!</v>
      </c>
      <c r="BN8" s="116" t="str">
        <f t="shared" si="51"/>
        <v/>
      </c>
      <c r="BO8" s="741" t="str">
        <f t="shared" si="52"/>
        <v/>
      </c>
      <c r="BP8" s="113">
        <f t="shared" si="53"/>
        <v>0</v>
      </c>
      <c r="BQ8" s="116">
        <f t="shared" ref="BQ8:BR8" si="84">SUM(BN8,BJ8,BF8)</f>
        <v>0</v>
      </c>
      <c r="BR8" s="117">
        <f t="shared" si="84"/>
        <v>0</v>
      </c>
      <c r="BS8" s="125" t="str">
        <f t="shared" si="55"/>
        <v/>
      </c>
      <c r="BT8" s="140" t="e">
        <f t="shared" si="56"/>
        <v>#VALUE!</v>
      </c>
      <c r="BU8" s="123" t="str">
        <f t="shared" si="57"/>
        <v/>
      </c>
      <c r="BV8" s="148" t="str">
        <f t="shared" si="58"/>
        <v/>
      </c>
      <c r="BW8" s="123" t="str">
        <f t="shared" si="59"/>
        <v/>
      </c>
      <c r="BX8" s="326" t="str">
        <f t="shared" si="60"/>
        <v/>
      </c>
      <c r="CA8" s="1266" t="s">
        <v>17</v>
      </c>
      <c r="CB8" s="1267">
        <f t="shared" ref="CB8:CM8" si="85">SUM(CB2:CB7)</f>
        <v>122</v>
      </c>
      <c r="CC8" s="1267">
        <f t="shared" si="85"/>
        <v>94</v>
      </c>
      <c r="CD8" s="1267">
        <f t="shared" si="85"/>
        <v>94</v>
      </c>
      <c r="CE8" s="1267">
        <f t="shared" si="85"/>
        <v>91</v>
      </c>
      <c r="CF8" s="1267">
        <f t="shared" si="85"/>
        <v>91</v>
      </c>
      <c r="CG8" s="1268">
        <f t="shared" si="85"/>
        <v>129</v>
      </c>
      <c r="CH8" s="1267">
        <f t="shared" si="85"/>
        <v>128</v>
      </c>
      <c r="CI8" s="1269">
        <f t="shared" si="85"/>
        <v>129</v>
      </c>
      <c r="CJ8" s="1267">
        <f t="shared" si="85"/>
        <v>126</v>
      </c>
      <c r="CK8" s="1269">
        <f t="shared" si="85"/>
        <v>126</v>
      </c>
      <c r="CL8" s="1270">
        <f t="shared" si="85"/>
        <v>126</v>
      </c>
      <c r="CM8" s="1271">
        <f t="shared" si="85"/>
        <v>122</v>
      </c>
    </row>
    <row r="9" spans="1:111" ht="13">
      <c r="A9" s="420">
        <f t="shared" si="0"/>
        <v>112013507</v>
      </c>
      <c r="B9" s="93">
        <f t="shared" si="1"/>
        <v>12</v>
      </c>
      <c r="C9" s="558">
        <f t="shared" si="2"/>
        <v>0.15</v>
      </c>
      <c r="D9" s="558">
        <f t="shared" si="3"/>
        <v>0.09</v>
      </c>
      <c r="E9" s="559">
        <f t="shared" si="4"/>
        <v>0</v>
      </c>
      <c r="F9" s="547">
        <f t="shared" si="5"/>
        <v>55</v>
      </c>
      <c r="G9" s="699">
        <f t="shared" si="6"/>
        <v>0.15</v>
      </c>
      <c r="H9" s="702">
        <f t="shared" si="7"/>
        <v>0.05</v>
      </c>
      <c r="I9" s="423" t="s">
        <v>1268</v>
      </c>
      <c r="J9" s="326"/>
      <c r="K9" s="332"/>
      <c r="L9" s="140" t="e">
        <f t="shared" si="8"/>
        <v>#VALUE!</v>
      </c>
      <c r="M9" s="326" t="str">
        <f t="shared" si="9"/>
        <v/>
      </c>
      <c r="N9" s="333" t="str">
        <f t="shared" si="10"/>
        <v/>
      </c>
      <c r="O9" s="123" t="e">
        <f t="shared" si="11"/>
        <v>#VALUE!</v>
      </c>
      <c r="P9" s="137" t="e">
        <f t="shared" si="12"/>
        <v>#VALUE!</v>
      </c>
      <c r="Q9" s="1060" t="str">
        <f t="shared" si="13"/>
        <v/>
      </c>
      <c r="R9" s="1060">
        <v>1800000</v>
      </c>
      <c r="S9" s="116" t="e">
        <f t="shared" si="14"/>
        <v>#VALUE!</v>
      </c>
      <c r="T9" s="326" t="str">
        <f t="shared" si="15"/>
        <v/>
      </c>
      <c r="U9" s="326" t="str">
        <f t="shared" si="16"/>
        <v/>
      </c>
      <c r="V9" s="326" t="e">
        <f t="shared" si="17"/>
        <v>#VALUE!</v>
      </c>
      <c r="W9" s="137" t="e">
        <f t="shared" si="18"/>
        <v>#VALUE!</v>
      </c>
      <c r="X9" s="1060" t="str">
        <f t="shared" si="19"/>
        <v/>
      </c>
      <c r="Y9" s="1062">
        <v>1800000</v>
      </c>
      <c r="Z9" s="113" t="e">
        <f t="shared" si="20"/>
        <v>#VALUE!</v>
      </c>
      <c r="AA9" s="116" t="str">
        <f t="shared" si="21"/>
        <v/>
      </c>
      <c r="AB9" s="117" t="str">
        <f t="shared" si="22"/>
        <v/>
      </c>
      <c r="AC9" s="459"/>
      <c r="AD9" s="1060"/>
      <c r="AE9" s="1272">
        <f t="shared" si="23"/>
        <v>3600000</v>
      </c>
      <c r="AF9" s="140">
        <f t="shared" si="24"/>
        <v>2752914.46</v>
      </c>
      <c r="AG9" s="326" t="e">
        <f t="shared" si="25"/>
        <v>#VALUE!</v>
      </c>
      <c r="AH9" s="326" t="e">
        <f t="shared" ref="AH9:AI9" si="86">AA9+T9+M9</f>
        <v>#VALUE!</v>
      </c>
      <c r="AI9" s="326" t="e">
        <f t="shared" si="86"/>
        <v>#VALUE!</v>
      </c>
      <c r="AJ9" s="326" t="e">
        <f t="shared" si="27"/>
        <v>#VALUE!</v>
      </c>
      <c r="AK9" s="1258" t="str">
        <f t="shared" si="28"/>
        <v/>
      </c>
      <c r="AL9" s="125" t="str">
        <f t="shared" si="29"/>
        <v/>
      </c>
      <c r="AM9" s="140" t="e">
        <f t="shared" si="30"/>
        <v>#VALUE!</v>
      </c>
      <c r="AN9" s="123" t="str">
        <f t="shared" si="31"/>
        <v/>
      </c>
      <c r="AO9" s="148" t="str">
        <f t="shared" si="32"/>
        <v/>
      </c>
      <c r="AP9" s="125"/>
      <c r="AQ9" s="140" t="e">
        <f t="shared" si="33"/>
        <v>#VALUE!</v>
      </c>
      <c r="AR9" s="326" t="str">
        <f t="shared" si="34"/>
        <v/>
      </c>
      <c r="AS9" s="333" t="str">
        <f t="shared" si="35"/>
        <v/>
      </c>
      <c r="AT9" s="123"/>
      <c r="AU9" s="123" t="e">
        <f t="shared" si="36"/>
        <v>#VALUE!</v>
      </c>
      <c r="AV9" s="123" t="str">
        <f t="shared" si="37"/>
        <v/>
      </c>
      <c r="AW9" s="125" t="str">
        <f t="shared" si="38"/>
        <v/>
      </c>
      <c r="AX9" s="122" t="e">
        <f t="shared" ref="AX9:AZ9" si="87">SUM(AU9,AQ9,AM9)</f>
        <v>#VALUE!</v>
      </c>
      <c r="AY9" s="326">
        <f t="shared" si="87"/>
        <v>0</v>
      </c>
      <c r="AZ9" s="332">
        <f t="shared" si="87"/>
        <v>0</v>
      </c>
      <c r="BA9" s="140" t="e">
        <f t="shared" ref="BA9:BC9" si="88">SUM(AX9,AG9)</f>
        <v>#VALUE!</v>
      </c>
      <c r="BB9" s="326" t="e">
        <f t="shared" si="88"/>
        <v>#VALUE!</v>
      </c>
      <c r="BC9" s="435" t="e">
        <f t="shared" si="88"/>
        <v>#VALUE!</v>
      </c>
      <c r="BD9" s="125" t="str">
        <f t="shared" si="41"/>
        <v/>
      </c>
      <c r="BE9" s="1166" t="e">
        <f t="shared" si="42"/>
        <v>#VALUE!</v>
      </c>
      <c r="BF9" s="116" t="str">
        <f t="shared" si="43"/>
        <v/>
      </c>
      <c r="BG9" s="121" t="str">
        <f t="shared" si="44"/>
        <v/>
      </c>
      <c r="BH9" s="114" t="str">
        <f t="shared" si="45"/>
        <v/>
      </c>
      <c r="BI9" s="416" t="e">
        <f t="shared" si="46"/>
        <v>#VALUE!</v>
      </c>
      <c r="BJ9" s="121" t="str">
        <f t="shared" si="47"/>
        <v/>
      </c>
      <c r="BK9" s="121" t="str">
        <f t="shared" si="48"/>
        <v/>
      </c>
      <c r="BL9" s="121" t="str">
        <f t="shared" si="49"/>
        <v/>
      </c>
      <c r="BM9" s="113" t="e">
        <f t="shared" si="50"/>
        <v>#VALUE!</v>
      </c>
      <c r="BN9" s="116" t="str">
        <f t="shared" si="51"/>
        <v/>
      </c>
      <c r="BO9" s="741" t="str">
        <f t="shared" si="52"/>
        <v/>
      </c>
      <c r="BP9" s="113">
        <f t="shared" si="53"/>
        <v>0</v>
      </c>
      <c r="BQ9" s="116">
        <f t="shared" ref="BQ9:BR9" si="89">SUM(BN9,BJ9,BF9)</f>
        <v>0</v>
      </c>
      <c r="BR9" s="117">
        <f t="shared" si="89"/>
        <v>0</v>
      </c>
      <c r="BS9" s="125" t="str">
        <f t="shared" si="55"/>
        <v/>
      </c>
      <c r="BT9" s="140" t="e">
        <f t="shared" si="56"/>
        <v>#VALUE!</v>
      </c>
      <c r="BU9" s="123" t="str">
        <f t="shared" si="57"/>
        <v/>
      </c>
      <c r="BV9" s="148" t="str">
        <f t="shared" si="58"/>
        <v/>
      </c>
      <c r="BW9" s="123" t="str">
        <f t="shared" si="59"/>
        <v/>
      </c>
      <c r="BX9" s="326" t="str">
        <f t="shared" si="60"/>
        <v/>
      </c>
      <c r="CG9" s="455"/>
      <c r="CH9" s="455"/>
      <c r="CI9" s="455"/>
      <c r="CJ9" s="455"/>
      <c r="CK9" s="455"/>
      <c r="CL9" s="455"/>
      <c r="CM9" s="455"/>
      <c r="CN9" s="455"/>
      <c r="CO9" s="455"/>
      <c r="CP9" s="455"/>
      <c r="CQ9" s="455"/>
      <c r="CR9" s="455"/>
      <c r="CS9" s="455"/>
      <c r="CT9" s="455"/>
      <c r="CU9" s="455"/>
      <c r="CV9" s="455"/>
      <c r="CW9" s="455"/>
      <c r="CX9" s="455"/>
      <c r="CY9" s="455"/>
      <c r="CZ9" s="455"/>
      <c r="DA9" s="455"/>
      <c r="DB9" s="455"/>
      <c r="DC9" s="455"/>
      <c r="DD9" s="455"/>
      <c r="DE9" s="455"/>
      <c r="DF9" s="455"/>
      <c r="DG9" s="455"/>
    </row>
    <row r="10" spans="1:111" ht="13">
      <c r="A10" s="420">
        <f t="shared" si="0"/>
        <v>112012353</v>
      </c>
      <c r="B10" s="93">
        <f t="shared" si="1"/>
        <v>12</v>
      </c>
      <c r="C10" s="558">
        <f t="shared" si="2"/>
        <v>0.15</v>
      </c>
      <c r="D10" s="558">
        <f t="shared" si="3"/>
        <v>0.09</v>
      </c>
      <c r="E10" s="559">
        <f t="shared" si="4"/>
        <v>0</v>
      </c>
      <c r="F10" s="547">
        <f t="shared" si="5"/>
        <v>55</v>
      </c>
      <c r="G10" s="699">
        <f t="shared" si="6"/>
        <v>0.15</v>
      </c>
      <c r="H10" s="702">
        <f t="shared" si="7"/>
        <v>0.05</v>
      </c>
      <c r="I10" s="423" t="s">
        <v>1269</v>
      </c>
      <c r="J10" s="326"/>
      <c r="K10" s="121"/>
      <c r="L10" s="140">
        <f t="shared" si="8"/>
        <v>0</v>
      </c>
      <c r="M10" s="326">
        <f t="shared" si="9"/>
        <v>0</v>
      </c>
      <c r="N10" s="333">
        <f t="shared" si="10"/>
        <v>0</v>
      </c>
      <c r="O10" s="123">
        <f t="shared" si="11"/>
        <v>0</v>
      </c>
      <c r="P10" s="137" t="e">
        <f t="shared" si="12"/>
        <v>#DIV/0!</v>
      </c>
      <c r="Q10" s="326" t="str">
        <f t="shared" si="13"/>
        <v/>
      </c>
      <c r="R10" s="116">
        <v>1800000</v>
      </c>
      <c r="S10" s="116">
        <f t="shared" si="14"/>
        <v>0</v>
      </c>
      <c r="T10" s="326">
        <f t="shared" si="15"/>
        <v>0</v>
      </c>
      <c r="U10" s="326">
        <f t="shared" si="16"/>
        <v>0</v>
      </c>
      <c r="V10" s="326">
        <f t="shared" si="17"/>
        <v>-1800000</v>
      </c>
      <c r="W10" s="137">
        <f t="shared" si="18"/>
        <v>0</v>
      </c>
      <c r="X10" s="326" t="str">
        <f t="shared" si="19"/>
        <v/>
      </c>
      <c r="Y10" s="121">
        <v>1800000</v>
      </c>
      <c r="Z10" s="113">
        <f t="shared" si="20"/>
        <v>0</v>
      </c>
      <c r="AA10" s="116">
        <f t="shared" si="21"/>
        <v>0</v>
      </c>
      <c r="AB10" s="117">
        <f t="shared" si="22"/>
        <v>0</v>
      </c>
      <c r="AC10" s="114"/>
      <c r="AD10" s="116"/>
      <c r="AE10" s="1257">
        <f t="shared" si="23"/>
        <v>3600000</v>
      </c>
      <c r="AF10" s="140">
        <f t="shared" si="24"/>
        <v>5036311.5599999996</v>
      </c>
      <c r="AG10" s="326">
        <f t="shared" si="25"/>
        <v>0</v>
      </c>
      <c r="AH10" s="326">
        <f t="shared" ref="AH10:AI10" si="90">AA10+T10+M10</f>
        <v>0</v>
      </c>
      <c r="AI10" s="326">
        <f t="shared" si="90"/>
        <v>0</v>
      </c>
      <c r="AJ10" s="326">
        <f t="shared" si="27"/>
        <v>-5036311.5599999996</v>
      </c>
      <c r="AK10" s="1258">
        <f t="shared" si="28"/>
        <v>0</v>
      </c>
      <c r="AL10" s="125" t="str">
        <f t="shared" si="29"/>
        <v/>
      </c>
      <c r="AM10" s="140">
        <f t="shared" si="30"/>
        <v>0</v>
      </c>
      <c r="AN10" s="123">
        <f t="shared" si="31"/>
        <v>0</v>
      </c>
      <c r="AO10" s="148">
        <f t="shared" si="32"/>
        <v>0</v>
      </c>
      <c r="AP10" s="125"/>
      <c r="AQ10" s="140">
        <f t="shared" si="33"/>
        <v>0</v>
      </c>
      <c r="AR10" s="326">
        <f t="shared" si="34"/>
        <v>0</v>
      </c>
      <c r="AS10" s="333">
        <f t="shared" si="35"/>
        <v>0</v>
      </c>
      <c r="AT10" s="123"/>
      <c r="AU10" s="123">
        <f t="shared" si="36"/>
        <v>651728.27</v>
      </c>
      <c r="AV10" s="123">
        <f t="shared" si="37"/>
        <v>351662.91</v>
      </c>
      <c r="AW10" s="125">
        <f t="shared" si="38"/>
        <v>1003391.18</v>
      </c>
      <c r="AX10" s="122">
        <f t="shared" ref="AX10:AZ10" si="91">SUM(AU10,AQ10,AM10)</f>
        <v>651728.27</v>
      </c>
      <c r="AY10" s="326">
        <f t="shared" si="91"/>
        <v>351662.91</v>
      </c>
      <c r="AZ10" s="332">
        <f t="shared" si="91"/>
        <v>1003391.18</v>
      </c>
      <c r="BA10" s="140">
        <f t="shared" ref="BA10:BC10" si="92">SUM(AX10,AG10)</f>
        <v>651728.27</v>
      </c>
      <c r="BB10" s="326">
        <f t="shared" si="92"/>
        <v>351662.91</v>
      </c>
      <c r="BC10" s="435">
        <f t="shared" si="92"/>
        <v>1003391.18</v>
      </c>
      <c r="BD10" s="125" t="str">
        <f t="shared" si="41"/>
        <v/>
      </c>
      <c r="BE10" s="1166">
        <f t="shared" si="42"/>
        <v>655072.19000000006</v>
      </c>
      <c r="BF10" s="116">
        <f t="shared" si="43"/>
        <v>664351.42000000004</v>
      </c>
      <c r="BG10" s="121">
        <f t="shared" si="44"/>
        <v>1319423.6100000001</v>
      </c>
      <c r="BH10" s="114" t="str">
        <f t="shared" si="45"/>
        <v/>
      </c>
      <c r="BI10" s="416">
        <f t="shared" si="46"/>
        <v>686885.42999999993</v>
      </c>
      <c r="BJ10" s="121">
        <f t="shared" si="47"/>
        <v>216855.91</v>
      </c>
      <c r="BK10" s="121">
        <f t="shared" si="48"/>
        <v>903741.34</v>
      </c>
      <c r="BL10" s="121" t="str">
        <f t="shared" si="49"/>
        <v/>
      </c>
      <c r="BM10" s="113">
        <f t="shared" si="50"/>
        <v>1544123.2400000002</v>
      </c>
      <c r="BN10" s="116">
        <f t="shared" si="51"/>
        <v>747080.17</v>
      </c>
      <c r="BO10" s="117">
        <f t="shared" si="52"/>
        <v>2291203.41</v>
      </c>
      <c r="BP10" s="113">
        <f t="shared" si="53"/>
        <v>2886080.8600000003</v>
      </c>
      <c r="BQ10" s="116">
        <f t="shared" ref="BQ10:BR10" si="93">SUM(BN10,BJ10,BF10)</f>
        <v>1628287.5</v>
      </c>
      <c r="BR10" s="117">
        <f t="shared" si="93"/>
        <v>4514368.3600000003</v>
      </c>
      <c r="BS10" s="125" t="str">
        <f t="shared" si="55"/>
        <v/>
      </c>
      <c r="BT10" s="140">
        <f t="shared" si="56"/>
        <v>1275132.8799999999</v>
      </c>
      <c r="BU10" s="123">
        <f t="shared" si="57"/>
        <v>114647.53</v>
      </c>
      <c r="BV10" s="148">
        <f t="shared" si="58"/>
        <v>1389780.41</v>
      </c>
      <c r="BW10" s="123" t="str">
        <f t="shared" si="59"/>
        <v/>
      </c>
      <c r="BX10" s="326" t="str">
        <f t="shared" si="60"/>
        <v/>
      </c>
    </row>
    <row r="11" spans="1:111" ht="13">
      <c r="A11" s="420">
        <f t="shared" si="0"/>
        <v>112010365</v>
      </c>
      <c r="B11" s="93">
        <f t="shared" si="1"/>
        <v>12</v>
      </c>
      <c r="C11" s="558">
        <f t="shared" si="2"/>
        <v>0.15</v>
      </c>
      <c r="D11" s="558">
        <f t="shared" si="3"/>
        <v>0.09</v>
      </c>
      <c r="E11" s="559">
        <f t="shared" si="4"/>
        <v>0</v>
      </c>
      <c r="F11" s="547">
        <f t="shared" si="5"/>
        <v>55</v>
      </c>
      <c r="G11" s="699">
        <f t="shared" si="6"/>
        <v>0.15</v>
      </c>
      <c r="H11" s="702">
        <f t="shared" si="7"/>
        <v>0.05</v>
      </c>
      <c r="I11" s="423" t="s">
        <v>1270</v>
      </c>
      <c r="J11" s="326"/>
      <c r="K11" s="121"/>
      <c r="L11" s="140" t="e">
        <f t="shared" si="8"/>
        <v>#VALUE!</v>
      </c>
      <c r="M11" s="326" t="str">
        <f t="shared" si="9"/>
        <v/>
      </c>
      <c r="N11" s="333">
        <f t="shared" si="10"/>
        <v>0</v>
      </c>
      <c r="O11" s="123">
        <f t="shared" si="11"/>
        <v>0</v>
      </c>
      <c r="P11" s="137" t="e">
        <f t="shared" si="12"/>
        <v>#DIV/0!</v>
      </c>
      <c r="Q11" s="326" t="str">
        <f t="shared" si="13"/>
        <v/>
      </c>
      <c r="R11" s="116">
        <v>1800000</v>
      </c>
      <c r="S11" s="116" t="e">
        <f t="shared" si="14"/>
        <v>#VALUE!</v>
      </c>
      <c r="T11" s="326" t="str">
        <f t="shared" si="15"/>
        <v/>
      </c>
      <c r="U11" s="326">
        <f t="shared" si="16"/>
        <v>0</v>
      </c>
      <c r="V11" s="326">
        <f t="shared" si="17"/>
        <v>-1800000</v>
      </c>
      <c r="W11" s="137">
        <f t="shared" si="18"/>
        <v>0</v>
      </c>
      <c r="X11" s="326" t="str">
        <f t="shared" si="19"/>
        <v/>
      </c>
      <c r="Y11" s="121">
        <v>1800000</v>
      </c>
      <c r="Z11" s="113" t="e">
        <f t="shared" si="20"/>
        <v>#VALUE!</v>
      </c>
      <c r="AA11" s="116" t="str">
        <f t="shared" si="21"/>
        <v/>
      </c>
      <c r="AB11" s="117">
        <f t="shared" si="22"/>
        <v>0</v>
      </c>
      <c r="AC11" s="114"/>
      <c r="AD11" s="116"/>
      <c r="AE11" s="1257">
        <f t="shared" si="23"/>
        <v>3600000</v>
      </c>
      <c r="AF11" s="140">
        <f t="shared" si="24"/>
        <v>5147028.79</v>
      </c>
      <c r="AG11" s="326" t="e">
        <f t="shared" si="25"/>
        <v>#VALUE!</v>
      </c>
      <c r="AH11" s="326" t="e">
        <f t="shared" ref="AH11:AI11" si="94">AA11+T11+M11</f>
        <v>#VALUE!</v>
      </c>
      <c r="AI11" s="326">
        <f t="shared" si="94"/>
        <v>0</v>
      </c>
      <c r="AJ11" s="326">
        <f t="shared" si="27"/>
        <v>-5147028.79</v>
      </c>
      <c r="AK11" s="1258">
        <f t="shared" si="28"/>
        <v>0</v>
      </c>
      <c r="AL11" s="125" t="str">
        <f t="shared" si="29"/>
        <v/>
      </c>
      <c r="AM11" s="140" t="e">
        <f t="shared" si="30"/>
        <v>#VALUE!</v>
      </c>
      <c r="AN11" s="123" t="str">
        <f t="shared" si="31"/>
        <v/>
      </c>
      <c r="AO11" s="148">
        <f t="shared" si="32"/>
        <v>0</v>
      </c>
      <c r="AP11" s="125"/>
      <c r="AQ11" s="140" t="e">
        <f t="shared" si="33"/>
        <v>#VALUE!</v>
      </c>
      <c r="AR11" s="326" t="str">
        <f t="shared" si="34"/>
        <v/>
      </c>
      <c r="AS11" s="333">
        <f t="shared" si="35"/>
        <v>508973.67</v>
      </c>
      <c r="AT11" s="123"/>
      <c r="AU11" s="123" t="e">
        <f t="shared" si="36"/>
        <v>#VALUE!</v>
      </c>
      <c r="AV11" s="123" t="str">
        <f t="shared" si="37"/>
        <v/>
      </c>
      <c r="AW11" s="125">
        <f t="shared" si="38"/>
        <v>1368513.03</v>
      </c>
      <c r="AX11" s="122" t="e">
        <f t="shared" ref="AX11:AZ11" si="95">SUM(AU11,AQ11,AM11)</f>
        <v>#VALUE!</v>
      </c>
      <c r="AY11" s="326">
        <f t="shared" si="95"/>
        <v>0</v>
      </c>
      <c r="AZ11" s="332">
        <f t="shared" si="95"/>
        <v>1877486.7</v>
      </c>
      <c r="BA11" s="140" t="e">
        <f t="shared" ref="BA11:BC11" si="96">SUM(AX11,AG11)</f>
        <v>#VALUE!</v>
      </c>
      <c r="BB11" s="326" t="e">
        <f t="shared" si="96"/>
        <v>#VALUE!</v>
      </c>
      <c r="BC11" s="435">
        <f t="shared" si="96"/>
        <v>1877486.7</v>
      </c>
      <c r="BD11" s="125" t="str">
        <f t="shared" si="41"/>
        <v/>
      </c>
      <c r="BE11" s="1166" t="e">
        <f t="shared" si="42"/>
        <v>#VALUE!</v>
      </c>
      <c r="BF11" s="116" t="str">
        <f t="shared" si="43"/>
        <v/>
      </c>
      <c r="BG11" s="121">
        <f t="shared" si="44"/>
        <v>904626.58</v>
      </c>
      <c r="BH11" s="114" t="str">
        <f t="shared" si="45"/>
        <v/>
      </c>
      <c r="BI11" s="416" t="e">
        <f t="shared" si="46"/>
        <v>#VALUE!</v>
      </c>
      <c r="BJ11" s="121" t="str">
        <f t="shared" si="47"/>
        <v/>
      </c>
      <c r="BK11" s="121">
        <f t="shared" si="48"/>
        <v>2489434.0099999998</v>
      </c>
      <c r="BL11" s="121" t="str">
        <f t="shared" si="49"/>
        <v/>
      </c>
      <c r="BM11" s="113" t="e">
        <f t="shared" si="50"/>
        <v>#VALUE!</v>
      </c>
      <c r="BN11" s="116" t="str">
        <f t="shared" si="51"/>
        <v/>
      </c>
      <c r="BO11" s="117">
        <f t="shared" si="52"/>
        <v>564222.1</v>
      </c>
      <c r="BP11" s="113">
        <f t="shared" si="53"/>
        <v>3958282.69</v>
      </c>
      <c r="BQ11" s="116">
        <f t="shared" ref="BQ11:BR11" si="97">SUM(BN11,BJ11,BF11)</f>
        <v>0</v>
      </c>
      <c r="BR11" s="117">
        <f t="shared" si="97"/>
        <v>3958282.69</v>
      </c>
      <c r="BS11" s="125" t="str">
        <f t="shared" si="55"/>
        <v/>
      </c>
      <c r="BT11" s="140" t="e">
        <f t="shared" si="56"/>
        <v>#VALUE!</v>
      </c>
      <c r="BU11" s="123" t="str">
        <f t="shared" si="57"/>
        <v/>
      </c>
      <c r="BV11" s="148">
        <f t="shared" si="58"/>
        <v>3468827.1</v>
      </c>
      <c r="BW11" s="123" t="str">
        <f t="shared" si="59"/>
        <v/>
      </c>
      <c r="BX11" s="326" t="str">
        <f t="shared" si="60"/>
        <v/>
      </c>
    </row>
    <row r="12" spans="1:111" ht="13">
      <c r="A12" s="420">
        <f t="shared" si="0"/>
        <v>112013457</v>
      </c>
      <c r="B12" s="93">
        <f t="shared" si="1"/>
        <v>24</v>
      </c>
      <c r="C12" s="558">
        <f t="shared" si="2"/>
        <v>0.12</v>
      </c>
      <c r="D12" s="558">
        <f t="shared" si="3"/>
        <v>0.09</v>
      </c>
      <c r="E12" s="559">
        <f t="shared" si="4"/>
        <v>0</v>
      </c>
      <c r="F12" s="547">
        <f t="shared" si="5"/>
        <v>59</v>
      </c>
      <c r="G12" s="699">
        <f t="shared" si="6"/>
        <v>0.12</v>
      </c>
      <c r="H12" s="702">
        <f t="shared" si="7"/>
        <v>0.05</v>
      </c>
      <c r="I12" s="423" t="s">
        <v>1271</v>
      </c>
      <c r="J12" s="326">
        <f>IFERROR(VLOOKUP(I12,MONTE24,3,FALSE),"")</f>
        <v>1220645.6299999999</v>
      </c>
      <c r="K12" s="121">
        <v>3000000</v>
      </c>
      <c r="L12" s="140" t="e">
        <f t="shared" si="8"/>
        <v>#VALUE!</v>
      </c>
      <c r="M12" s="326" t="str">
        <f t="shared" si="9"/>
        <v/>
      </c>
      <c r="N12" s="333">
        <f t="shared" si="10"/>
        <v>147316.35</v>
      </c>
      <c r="O12" s="123">
        <f t="shared" si="11"/>
        <v>-2852683.65</v>
      </c>
      <c r="P12" s="137">
        <f t="shared" si="12"/>
        <v>4.9105450000000002E-2</v>
      </c>
      <c r="Q12" s="326">
        <f t="shared" si="13"/>
        <v>1279730.48</v>
      </c>
      <c r="R12" s="116">
        <v>3000000</v>
      </c>
      <c r="S12" s="116" t="e">
        <f t="shared" si="14"/>
        <v>#VALUE!</v>
      </c>
      <c r="T12" s="326" t="str">
        <f t="shared" si="15"/>
        <v/>
      </c>
      <c r="U12" s="326">
        <f t="shared" si="16"/>
        <v>2529309.36</v>
      </c>
      <c r="V12" s="326">
        <f t="shared" si="17"/>
        <v>-470690.64000000013</v>
      </c>
      <c r="W12" s="137">
        <f t="shared" si="18"/>
        <v>0.84310311999999998</v>
      </c>
      <c r="X12" s="326">
        <f t="shared" si="19"/>
        <v>1583849.84</v>
      </c>
      <c r="Y12" s="121">
        <v>3000000</v>
      </c>
      <c r="Z12" s="113" t="e">
        <f t="shared" si="20"/>
        <v>#VALUE!</v>
      </c>
      <c r="AA12" s="116" t="str">
        <f t="shared" si="21"/>
        <v/>
      </c>
      <c r="AB12" s="117">
        <f t="shared" si="22"/>
        <v>1023678.6</v>
      </c>
      <c r="AC12" s="114"/>
      <c r="AD12" s="116"/>
      <c r="AE12" s="1257">
        <f t="shared" si="23"/>
        <v>9000000</v>
      </c>
      <c r="AF12" s="140">
        <f t="shared" si="24"/>
        <v>4510022.1900000004</v>
      </c>
      <c r="AG12" s="326" t="e">
        <f t="shared" si="25"/>
        <v>#VALUE!</v>
      </c>
      <c r="AH12" s="326" t="e">
        <f t="shared" ref="AH12:AI12" si="98">AA12+T12+M12</f>
        <v>#VALUE!</v>
      </c>
      <c r="AI12" s="326">
        <f t="shared" si="98"/>
        <v>3700304.31</v>
      </c>
      <c r="AJ12" s="326">
        <f t="shared" si="27"/>
        <v>-809717.88000000035</v>
      </c>
      <c r="AK12" s="1258">
        <f t="shared" si="28"/>
        <v>0.82046255076186214</v>
      </c>
      <c r="AL12" s="125">
        <f t="shared" si="29"/>
        <v>1854237.28</v>
      </c>
      <c r="AM12" s="140" t="e">
        <f t="shared" si="30"/>
        <v>#VALUE!</v>
      </c>
      <c r="AN12" s="123" t="str">
        <f t="shared" si="31"/>
        <v/>
      </c>
      <c r="AO12" s="148">
        <f t="shared" si="32"/>
        <v>1351136.87</v>
      </c>
      <c r="AP12" s="125">
        <f>IFERROR(VLOOKUP(I12,MONTE24,7,FALSE),"")</f>
        <v>3275588.71</v>
      </c>
      <c r="AQ12" s="140" t="e">
        <f t="shared" si="33"/>
        <v>#VALUE!</v>
      </c>
      <c r="AR12" s="326" t="str">
        <f t="shared" si="34"/>
        <v/>
      </c>
      <c r="AS12" s="333">
        <f t="shared" si="35"/>
        <v>2404983.98</v>
      </c>
      <c r="AT12" s="123">
        <f>IFERROR(VLOOKUP(I12,MONTE24,8,FALSE),"")</f>
        <v>3123805.51</v>
      </c>
      <c r="AU12" s="123" t="e">
        <f t="shared" si="36"/>
        <v>#VALUE!</v>
      </c>
      <c r="AV12" s="123" t="str">
        <f t="shared" si="37"/>
        <v/>
      </c>
      <c r="AW12" s="125">
        <f t="shared" si="38"/>
        <v>2105166.35</v>
      </c>
      <c r="AX12" s="122" t="e">
        <f t="shared" ref="AX12:AZ12" si="99">SUM(AU12,AQ12,AM12)</f>
        <v>#VALUE!</v>
      </c>
      <c r="AY12" s="326">
        <f t="shared" si="99"/>
        <v>0</v>
      </c>
      <c r="AZ12" s="332">
        <f t="shared" si="99"/>
        <v>5861287.2000000002</v>
      </c>
      <c r="BA12" s="140" t="e">
        <f t="shared" ref="BA12:BC12" si="100">SUM(AX12,AG12)</f>
        <v>#VALUE!</v>
      </c>
      <c r="BB12" s="326" t="e">
        <f t="shared" si="100"/>
        <v>#VALUE!</v>
      </c>
      <c r="BC12" s="435">
        <f t="shared" si="100"/>
        <v>9561591.5099999998</v>
      </c>
      <c r="BD12" s="125">
        <f t="shared" si="41"/>
        <v>3415165.63</v>
      </c>
      <c r="BE12" s="1166" t="e">
        <f t="shared" si="42"/>
        <v>#VALUE!</v>
      </c>
      <c r="BF12" s="116" t="str">
        <f t="shared" si="43"/>
        <v/>
      </c>
      <c r="BG12" s="121">
        <f t="shared" si="44"/>
        <v>1196801.3899999999</v>
      </c>
      <c r="BH12" s="114">
        <f t="shared" si="45"/>
        <v>2659548.15</v>
      </c>
      <c r="BI12" s="1273" t="e">
        <f t="shared" si="46"/>
        <v>#VALUE!</v>
      </c>
      <c r="BJ12" s="1274" t="str">
        <f t="shared" si="47"/>
        <v/>
      </c>
      <c r="BK12" s="1274">
        <f t="shared" si="48"/>
        <v>1858678.33</v>
      </c>
      <c r="BL12" s="1274">
        <f t="shared" si="49"/>
        <v>1651567.38</v>
      </c>
      <c r="BM12" s="739" t="e">
        <f t="shared" si="50"/>
        <v>#VALUE!</v>
      </c>
      <c r="BN12" s="740" t="str">
        <f t="shared" si="51"/>
        <v/>
      </c>
      <c r="BO12" s="741">
        <f t="shared" si="52"/>
        <v>0</v>
      </c>
      <c r="BP12" s="739">
        <f t="shared" si="53"/>
        <v>3055479.7199999997</v>
      </c>
      <c r="BQ12" s="740">
        <f t="shared" ref="BQ12:BR12" si="101">SUM(BN12,BJ12,BF12)</f>
        <v>0</v>
      </c>
      <c r="BR12" s="741">
        <f t="shared" si="101"/>
        <v>3055479.7199999997</v>
      </c>
      <c r="BS12" s="125">
        <f t="shared" si="55"/>
        <v>1989411.6</v>
      </c>
      <c r="BT12" s="140" t="e">
        <f t="shared" si="56"/>
        <v>#VALUE!</v>
      </c>
      <c r="BU12" s="123" t="str">
        <f t="shared" si="57"/>
        <v/>
      </c>
      <c r="BV12" s="148">
        <f t="shared" si="58"/>
        <v>722111.31</v>
      </c>
      <c r="BW12" s="123">
        <f t="shared" si="59"/>
        <v>1030618.32</v>
      </c>
      <c r="BX12" s="326">
        <f t="shared" si="60"/>
        <v>1489992.27</v>
      </c>
    </row>
    <row r="13" spans="1:111" ht="13">
      <c r="A13" s="420">
        <f t="shared" si="0"/>
        <v>112012832</v>
      </c>
      <c r="B13" s="93">
        <f t="shared" si="1"/>
        <v>31</v>
      </c>
      <c r="C13" s="558">
        <f t="shared" si="2"/>
        <v>0.1</v>
      </c>
      <c r="D13" s="558">
        <f t="shared" si="3"/>
        <v>0.23</v>
      </c>
      <c r="E13" s="559">
        <f t="shared" si="4"/>
        <v>0</v>
      </c>
      <c r="F13" s="547">
        <f t="shared" si="5"/>
        <v>61</v>
      </c>
      <c r="G13" s="699">
        <f t="shared" si="6"/>
        <v>0.1</v>
      </c>
      <c r="H13" s="702">
        <f t="shared" si="7"/>
        <v>0.14000000000000001</v>
      </c>
      <c r="I13" s="423" t="s">
        <v>1272</v>
      </c>
      <c r="J13" s="326">
        <f>IFERROR(VLOOKUP(I13,MONTE24,3,FALSE),"")</f>
        <v>0</v>
      </c>
      <c r="K13" s="121">
        <v>1800000</v>
      </c>
      <c r="L13" s="140">
        <f t="shared" si="8"/>
        <v>1100526.82</v>
      </c>
      <c r="M13" s="326">
        <f t="shared" si="9"/>
        <v>25435.52</v>
      </c>
      <c r="N13" s="333">
        <f t="shared" si="10"/>
        <v>1125962.3400000001</v>
      </c>
      <c r="O13" s="123">
        <f t="shared" si="11"/>
        <v>-674037.65999999992</v>
      </c>
      <c r="P13" s="137">
        <f t="shared" si="12"/>
        <v>0.62553463333333337</v>
      </c>
      <c r="Q13" s="326">
        <f t="shared" si="13"/>
        <v>0</v>
      </c>
      <c r="R13" s="116">
        <v>1800000</v>
      </c>
      <c r="S13" s="116">
        <f t="shared" si="14"/>
        <v>333840.86</v>
      </c>
      <c r="T13" s="326">
        <f t="shared" si="15"/>
        <v>87242.2</v>
      </c>
      <c r="U13" s="326">
        <f t="shared" si="16"/>
        <v>421083.06</v>
      </c>
      <c r="V13" s="326">
        <f t="shared" si="17"/>
        <v>-1378916.94</v>
      </c>
      <c r="W13" s="137">
        <f t="shared" si="18"/>
        <v>0.23393503333333332</v>
      </c>
      <c r="X13" s="326">
        <f t="shared" si="19"/>
        <v>0</v>
      </c>
      <c r="Y13" s="121">
        <v>1800000</v>
      </c>
      <c r="Z13" s="113">
        <f t="shared" si="20"/>
        <v>404392.59</v>
      </c>
      <c r="AA13" s="116">
        <f t="shared" si="21"/>
        <v>0</v>
      </c>
      <c r="AB13" s="117">
        <f t="shared" si="22"/>
        <v>404392.59</v>
      </c>
      <c r="AC13" s="114"/>
      <c r="AD13" s="116"/>
      <c r="AE13" s="1257">
        <f t="shared" si="23"/>
        <v>5400000</v>
      </c>
      <c r="AF13" s="140">
        <f t="shared" si="24"/>
        <v>1874977.23</v>
      </c>
      <c r="AG13" s="326">
        <f t="shared" si="25"/>
        <v>1838760.2700000003</v>
      </c>
      <c r="AH13" s="326">
        <f t="shared" ref="AH13:AI13" si="102">AA13+T13+M13</f>
        <v>112677.72</v>
      </c>
      <c r="AI13" s="326">
        <f t="shared" si="102"/>
        <v>1951437.9900000002</v>
      </c>
      <c r="AJ13" s="326">
        <f t="shared" si="27"/>
        <v>76460.760000000242</v>
      </c>
      <c r="AK13" s="1258">
        <f t="shared" si="28"/>
        <v>1.0407795672270646</v>
      </c>
      <c r="AL13" s="125">
        <f t="shared" si="29"/>
        <v>0</v>
      </c>
      <c r="AM13" s="140">
        <f t="shared" si="30"/>
        <v>978347.7</v>
      </c>
      <c r="AN13" s="123">
        <f t="shared" si="31"/>
        <v>37721.69</v>
      </c>
      <c r="AO13" s="148">
        <f t="shared" si="32"/>
        <v>1016069.39</v>
      </c>
      <c r="AP13" s="125">
        <f>IFERROR(VLOOKUP(I13,MONTE24,7,FALSE),"")</f>
        <v>0</v>
      </c>
      <c r="AQ13" s="140">
        <f t="shared" si="33"/>
        <v>587308.76</v>
      </c>
      <c r="AR13" s="326">
        <f t="shared" si="34"/>
        <v>0</v>
      </c>
      <c r="AS13" s="333">
        <f t="shared" si="35"/>
        <v>587308.76</v>
      </c>
      <c r="AT13" s="123">
        <f>IFERROR(VLOOKUP(I13,MONTE24,8,FALSE),"")</f>
        <v>0</v>
      </c>
      <c r="AU13" s="123">
        <f t="shared" si="36"/>
        <v>1127616.92</v>
      </c>
      <c r="AV13" s="123">
        <f t="shared" si="37"/>
        <v>0</v>
      </c>
      <c r="AW13" s="125">
        <f t="shared" si="38"/>
        <v>1127616.92</v>
      </c>
      <c r="AX13" s="122">
        <f t="shared" ref="AX13:AZ13" si="103">SUM(AU13,AQ13,AM13)</f>
        <v>2693273.38</v>
      </c>
      <c r="AY13" s="326">
        <f t="shared" si="103"/>
        <v>37721.69</v>
      </c>
      <c r="AZ13" s="332">
        <f t="shared" si="103"/>
        <v>2730995.07</v>
      </c>
      <c r="BA13" s="140">
        <f t="shared" ref="BA13:BC13" si="104">SUM(AX13,AG13)</f>
        <v>4532033.6500000004</v>
      </c>
      <c r="BB13" s="326">
        <f t="shared" si="104"/>
        <v>150399.41</v>
      </c>
      <c r="BC13" s="435">
        <f t="shared" si="104"/>
        <v>4682433.0600000005</v>
      </c>
      <c r="BD13" s="125">
        <f t="shared" si="41"/>
        <v>0</v>
      </c>
      <c r="BE13" s="1166">
        <f t="shared" si="42"/>
        <v>549869.6</v>
      </c>
      <c r="BF13" s="116">
        <f t="shared" si="43"/>
        <v>57153.599999999999</v>
      </c>
      <c r="BG13" s="121">
        <f t="shared" si="44"/>
        <v>607023.19999999995</v>
      </c>
      <c r="BH13" s="114">
        <f t="shared" si="45"/>
        <v>1220753.1000000001</v>
      </c>
      <c r="BI13" s="416">
        <f t="shared" si="46"/>
        <v>443631.04</v>
      </c>
      <c r="BJ13" s="121">
        <f t="shared" si="47"/>
        <v>0</v>
      </c>
      <c r="BK13" s="121">
        <f t="shared" si="48"/>
        <v>443631.04</v>
      </c>
      <c r="BL13" s="121">
        <f t="shared" si="49"/>
        <v>861921.58</v>
      </c>
      <c r="BM13" s="113">
        <f t="shared" si="50"/>
        <v>810839.01</v>
      </c>
      <c r="BN13" s="116">
        <f t="shared" si="51"/>
        <v>0</v>
      </c>
      <c r="BO13" s="117">
        <f t="shared" si="52"/>
        <v>810839.01</v>
      </c>
      <c r="BP13" s="113">
        <f t="shared" si="53"/>
        <v>1804339.65</v>
      </c>
      <c r="BQ13" s="116">
        <f t="shared" ref="BQ13:BR13" si="105">SUM(BN13,BJ13,BF13)</f>
        <v>57153.599999999999</v>
      </c>
      <c r="BR13" s="117">
        <f t="shared" si="105"/>
        <v>1861493.25</v>
      </c>
      <c r="BS13" s="125">
        <f t="shared" si="55"/>
        <v>947452.16</v>
      </c>
      <c r="BT13" s="140">
        <f t="shared" si="56"/>
        <v>671894.65</v>
      </c>
      <c r="BU13" s="123">
        <f t="shared" si="57"/>
        <v>0</v>
      </c>
      <c r="BV13" s="148">
        <f t="shared" si="58"/>
        <v>671894.65</v>
      </c>
      <c r="BW13" s="123">
        <f t="shared" si="59"/>
        <v>703612.41</v>
      </c>
      <c r="BX13" s="326">
        <f t="shared" si="60"/>
        <v>223912.65</v>
      </c>
      <c r="CA13" s="231" t="s">
        <v>78</v>
      </c>
      <c r="CB13" s="232"/>
      <c r="CC13" s="232"/>
    </row>
    <row r="14" spans="1:111" ht="13">
      <c r="A14" s="420">
        <f t="shared" si="0"/>
        <v>112014128</v>
      </c>
      <c r="B14" s="93">
        <f t="shared" si="1"/>
        <v>31</v>
      </c>
      <c r="C14" s="558">
        <f t="shared" si="2"/>
        <v>0.1</v>
      </c>
      <c r="D14" s="558">
        <f t="shared" si="3"/>
        <v>0.23</v>
      </c>
      <c r="E14" s="559">
        <f t="shared" si="4"/>
        <v>0</v>
      </c>
      <c r="F14" s="547">
        <f t="shared" si="5"/>
        <v>60</v>
      </c>
      <c r="G14" s="699">
        <f t="shared" si="6"/>
        <v>0.1</v>
      </c>
      <c r="H14" s="702">
        <f t="shared" si="7"/>
        <v>0.17</v>
      </c>
      <c r="I14" s="423" t="s">
        <v>1273</v>
      </c>
      <c r="J14" s="326"/>
      <c r="K14" s="121"/>
      <c r="L14" s="140">
        <f t="shared" si="8"/>
        <v>0</v>
      </c>
      <c r="M14" s="326">
        <f t="shared" si="9"/>
        <v>0</v>
      </c>
      <c r="N14" s="333">
        <f t="shared" si="10"/>
        <v>0</v>
      </c>
      <c r="O14" s="123">
        <f t="shared" si="11"/>
        <v>0</v>
      </c>
      <c r="P14" s="137" t="e">
        <f t="shared" si="12"/>
        <v>#DIV/0!</v>
      </c>
      <c r="Q14" s="326" t="str">
        <f t="shared" si="13"/>
        <v/>
      </c>
      <c r="R14" s="116">
        <v>1800000</v>
      </c>
      <c r="S14" s="116">
        <f t="shared" si="14"/>
        <v>0</v>
      </c>
      <c r="T14" s="326">
        <f t="shared" si="15"/>
        <v>0</v>
      </c>
      <c r="U14" s="326">
        <f t="shared" si="16"/>
        <v>0</v>
      </c>
      <c r="V14" s="326">
        <f t="shared" si="17"/>
        <v>-1800000</v>
      </c>
      <c r="W14" s="137">
        <f t="shared" si="18"/>
        <v>0</v>
      </c>
      <c r="X14" s="326" t="str">
        <f t="shared" si="19"/>
        <v/>
      </c>
      <c r="Y14" s="121">
        <v>1800000</v>
      </c>
      <c r="Z14" s="113">
        <f t="shared" si="20"/>
        <v>0</v>
      </c>
      <c r="AA14" s="116">
        <f t="shared" si="21"/>
        <v>0</v>
      </c>
      <c r="AB14" s="117">
        <f t="shared" si="22"/>
        <v>0</v>
      </c>
      <c r="AC14" s="114"/>
      <c r="AD14" s="116"/>
      <c r="AE14" s="1257">
        <f t="shared" si="23"/>
        <v>3600000</v>
      </c>
      <c r="AF14" s="140" t="str">
        <f t="shared" si="24"/>
        <v>0</v>
      </c>
      <c r="AG14" s="326">
        <f t="shared" si="25"/>
        <v>0</v>
      </c>
      <c r="AH14" s="326">
        <f t="shared" ref="AH14:AI14" si="106">AA14+T14+M14</f>
        <v>0</v>
      </c>
      <c r="AI14" s="326">
        <f t="shared" si="106"/>
        <v>0</v>
      </c>
      <c r="AJ14" s="326">
        <f t="shared" si="27"/>
        <v>0</v>
      </c>
      <c r="AK14" s="1258" t="str">
        <f t="shared" si="28"/>
        <v/>
      </c>
      <c r="AL14" s="125" t="str">
        <f t="shared" si="29"/>
        <v/>
      </c>
      <c r="AM14" s="140">
        <f t="shared" si="30"/>
        <v>0</v>
      </c>
      <c r="AN14" s="123">
        <f t="shared" si="31"/>
        <v>0</v>
      </c>
      <c r="AO14" s="148">
        <f t="shared" si="32"/>
        <v>0</v>
      </c>
      <c r="AP14" s="125"/>
      <c r="AQ14" s="140">
        <f t="shared" si="33"/>
        <v>0</v>
      </c>
      <c r="AR14" s="326">
        <f t="shared" si="34"/>
        <v>1886084.59</v>
      </c>
      <c r="AS14" s="333">
        <f t="shared" si="35"/>
        <v>1886084.59</v>
      </c>
      <c r="AT14" s="123"/>
      <c r="AU14" s="123">
        <f t="shared" si="36"/>
        <v>0</v>
      </c>
      <c r="AV14" s="123">
        <f t="shared" si="37"/>
        <v>857304.06</v>
      </c>
      <c r="AW14" s="125">
        <f t="shared" si="38"/>
        <v>857304.06</v>
      </c>
      <c r="AX14" s="122">
        <f t="shared" ref="AX14:AZ14" si="107">SUM(AU14,AQ14,AM14)</f>
        <v>0</v>
      </c>
      <c r="AY14" s="326">
        <f t="shared" si="107"/>
        <v>2743388.6500000004</v>
      </c>
      <c r="AZ14" s="332">
        <f t="shared" si="107"/>
        <v>2743388.6500000004</v>
      </c>
      <c r="BA14" s="140">
        <f t="shared" ref="BA14:BC14" si="108">SUM(AX14,AG14)</f>
        <v>0</v>
      </c>
      <c r="BB14" s="326">
        <f t="shared" si="108"/>
        <v>2743388.6500000004</v>
      </c>
      <c r="BC14" s="435">
        <f t="shared" si="108"/>
        <v>2743388.6500000004</v>
      </c>
      <c r="BD14" s="125" t="str">
        <f t="shared" si="41"/>
        <v/>
      </c>
      <c r="BE14" s="1166">
        <f t="shared" si="42"/>
        <v>0</v>
      </c>
      <c r="BF14" s="116">
        <f t="shared" si="43"/>
        <v>2466865.89</v>
      </c>
      <c r="BG14" s="121">
        <f t="shared" si="44"/>
        <v>2466865.89</v>
      </c>
      <c r="BH14" s="114" t="str">
        <f t="shared" si="45"/>
        <v/>
      </c>
      <c r="BI14" s="416">
        <f t="shared" si="46"/>
        <v>0</v>
      </c>
      <c r="BJ14" s="121">
        <f t="shared" si="47"/>
        <v>5549481.0099999998</v>
      </c>
      <c r="BK14" s="121">
        <f t="shared" si="48"/>
        <v>5549481.0099999998</v>
      </c>
      <c r="BL14" s="121" t="str">
        <f t="shared" si="49"/>
        <v/>
      </c>
      <c r="BM14" s="113">
        <f t="shared" si="50"/>
        <v>0</v>
      </c>
      <c r="BN14" s="116">
        <f t="shared" si="51"/>
        <v>5436751.4699999997</v>
      </c>
      <c r="BO14" s="117">
        <f t="shared" si="52"/>
        <v>5436751.4699999997</v>
      </c>
      <c r="BP14" s="113">
        <f t="shared" si="53"/>
        <v>0</v>
      </c>
      <c r="BQ14" s="116">
        <f t="shared" ref="BQ14:BR14" si="109">SUM(BN14,BJ14,BF14)</f>
        <v>13453098.370000001</v>
      </c>
      <c r="BR14" s="117">
        <f t="shared" si="109"/>
        <v>13453098.370000001</v>
      </c>
      <c r="BS14" s="125" t="str">
        <f t="shared" si="55"/>
        <v/>
      </c>
      <c r="BT14" s="140">
        <f t="shared" si="56"/>
        <v>0</v>
      </c>
      <c r="BU14" s="123">
        <f t="shared" si="57"/>
        <v>1684699.4</v>
      </c>
      <c r="BV14" s="148">
        <f t="shared" si="58"/>
        <v>1684699.4</v>
      </c>
      <c r="BW14" s="123" t="str">
        <f t="shared" si="59"/>
        <v/>
      </c>
      <c r="BX14" s="326" t="str">
        <f t="shared" si="60"/>
        <v/>
      </c>
      <c r="CA14" s="231" t="s">
        <v>80</v>
      </c>
      <c r="CB14" s="232"/>
      <c r="CC14" s="232"/>
    </row>
    <row r="15" spans="1:111" ht="13">
      <c r="A15" s="420">
        <f t="shared" si="0"/>
        <v>112013964</v>
      </c>
      <c r="B15" s="93">
        <f t="shared" si="1"/>
        <v>31</v>
      </c>
      <c r="C15" s="558">
        <f t="shared" si="2"/>
        <v>0.1</v>
      </c>
      <c r="D15" s="558">
        <f t="shared" si="3"/>
        <v>0.23</v>
      </c>
      <c r="E15" s="559">
        <f t="shared" si="4"/>
        <v>0</v>
      </c>
      <c r="F15" s="547">
        <f t="shared" si="5"/>
        <v>61</v>
      </c>
      <c r="G15" s="699">
        <f t="shared" si="6"/>
        <v>0.1</v>
      </c>
      <c r="H15" s="702">
        <f t="shared" si="7"/>
        <v>0.14000000000000001</v>
      </c>
      <c r="I15" s="423" t="s">
        <v>1274</v>
      </c>
      <c r="J15" s="326"/>
      <c r="K15" s="121"/>
      <c r="L15" s="140" t="e">
        <f t="shared" si="8"/>
        <v>#VALUE!</v>
      </c>
      <c r="M15" s="326" t="str">
        <f t="shared" si="9"/>
        <v/>
      </c>
      <c r="N15" s="333" t="str">
        <f t="shared" si="10"/>
        <v/>
      </c>
      <c r="O15" s="123" t="e">
        <f t="shared" si="11"/>
        <v>#VALUE!</v>
      </c>
      <c r="P15" s="137" t="e">
        <f t="shared" si="12"/>
        <v>#VALUE!</v>
      </c>
      <c r="Q15" s="326" t="str">
        <f t="shared" si="13"/>
        <v/>
      </c>
      <c r="R15" s="116">
        <v>1800000</v>
      </c>
      <c r="S15" s="116" t="e">
        <f t="shared" si="14"/>
        <v>#VALUE!</v>
      </c>
      <c r="T15" s="326" t="str">
        <f t="shared" si="15"/>
        <v/>
      </c>
      <c r="U15" s="326" t="str">
        <f t="shared" si="16"/>
        <v/>
      </c>
      <c r="V15" s="326" t="e">
        <f t="shared" si="17"/>
        <v>#VALUE!</v>
      </c>
      <c r="W15" s="137" t="e">
        <f t="shared" si="18"/>
        <v>#VALUE!</v>
      </c>
      <c r="X15" s="326" t="str">
        <f t="shared" si="19"/>
        <v/>
      </c>
      <c r="Y15" s="121">
        <v>1800000</v>
      </c>
      <c r="Z15" s="113" t="e">
        <f t="shared" si="20"/>
        <v>#VALUE!</v>
      </c>
      <c r="AA15" s="116" t="str">
        <f t="shared" si="21"/>
        <v/>
      </c>
      <c r="AB15" s="117" t="str">
        <f t="shared" si="22"/>
        <v/>
      </c>
      <c r="AC15" s="114"/>
      <c r="AD15" s="116"/>
      <c r="AE15" s="1257">
        <f t="shared" si="23"/>
        <v>3600000</v>
      </c>
      <c r="AF15" s="140">
        <f t="shared" si="24"/>
        <v>494701.34</v>
      </c>
      <c r="AG15" s="326" t="e">
        <f t="shared" si="25"/>
        <v>#VALUE!</v>
      </c>
      <c r="AH15" s="326" t="e">
        <f t="shared" ref="AH15:AI15" si="110">AA15+T15+M15</f>
        <v>#VALUE!</v>
      </c>
      <c r="AI15" s="326" t="e">
        <f t="shared" si="110"/>
        <v>#VALUE!</v>
      </c>
      <c r="AJ15" s="326" t="e">
        <f t="shared" si="27"/>
        <v>#VALUE!</v>
      </c>
      <c r="AK15" s="1258" t="str">
        <f t="shared" si="28"/>
        <v/>
      </c>
      <c r="AL15" s="125" t="str">
        <f t="shared" si="29"/>
        <v/>
      </c>
      <c r="AM15" s="140" t="e">
        <f t="shared" si="30"/>
        <v>#VALUE!</v>
      </c>
      <c r="AN15" s="123" t="str">
        <f t="shared" si="31"/>
        <v/>
      </c>
      <c r="AO15" s="148" t="str">
        <f t="shared" si="32"/>
        <v/>
      </c>
      <c r="AP15" s="125"/>
      <c r="AQ15" s="140" t="e">
        <f t="shared" si="33"/>
        <v>#VALUE!</v>
      </c>
      <c r="AR15" s="326" t="str">
        <f t="shared" si="34"/>
        <v/>
      </c>
      <c r="AS15" s="333" t="str">
        <f t="shared" si="35"/>
        <v/>
      </c>
      <c r="AT15" s="123"/>
      <c r="AU15" s="123" t="e">
        <f t="shared" si="36"/>
        <v>#VALUE!</v>
      </c>
      <c r="AV15" s="123" t="str">
        <f t="shared" si="37"/>
        <v/>
      </c>
      <c r="AW15" s="125" t="str">
        <f t="shared" si="38"/>
        <v/>
      </c>
      <c r="AX15" s="122" t="e">
        <f t="shared" ref="AX15:AZ15" si="111">SUM(AU15,AQ15,AM15)</f>
        <v>#VALUE!</v>
      </c>
      <c r="AY15" s="326">
        <f t="shared" si="111"/>
        <v>0</v>
      </c>
      <c r="AZ15" s="332">
        <f t="shared" si="111"/>
        <v>0</v>
      </c>
      <c r="BA15" s="140" t="e">
        <f t="shared" ref="BA15:BC15" si="112">SUM(AX15,AG15)</f>
        <v>#VALUE!</v>
      </c>
      <c r="BB15" s="326" t="e">
        <f t="shared" si="112"/>
        <v>#VALUE!</v>
      </c>
      <c r="BC15" s="435" t="e">
        <f t="shared" si="112"/>
        <v>#VALUE!</v>
      </c>
      <c r="BD15" s="125" t="str">
        <f t="shared" si="41"/>
        <v/>
      </c>
      <c r="BE15" s="1166" t="e">
        <f t="shared" si="42"/>
        <v>#VALUE!</v>
      </c>
      <c r="BF15" s="116" t="str">
        <f t="shared" si="43"/>
        <v/>
      </c>
      <c r="BG15" s="121" t="str">
        <f t="shared" si="44"/>
        <v/>
      </c>
      <c r="BH15" s="114" t="str">
        <f t="shared" si="45"/>
        <v/>
      </c>
      <c r="BI15" s="416" t="e">
        <f t="shared" si="46"/>
        <v>#VALUE!</v>
      </c>
      <c r="BJ15" s="121" t="str">
        <f t="shared" si="47"/>
        <v/>
      </c>
      <c r="BK15" s="121" t="str">
        <f t="shared" si="48"/>
        <v/>
      </c>
      <c r="BL15" s="121" t="str">
        <f t="shared" si="49"/>
        <v/>
      </c>
      <c r="BM15" s="113" t="e">
        <f t="shared" si="50"/>
        <v>#VALUE!</v>
      </c>
      <c r="BN15" s="116" t="str">
        <f t="shared" si="51"/>
        <v/>
      </c>
      <c r="BO15" s="741" t="str">
        <f t="shared" si="52"/>
        <v/>
      </c>
      <c r="BP15" s="113">
        <f t="shared" si="53"/>
        <v>0</v>
      </c>
      <c r="BQ15" s="116">
        <f t="shared" ref="BQ15:BR15" si="113">SUM(BN15,BJ15,BF15)</f>
        <v>0</v>
      </c>
      <c r="BR15" s="117">
        <f t="shared" si="113"/>
        <v>0</v>
      </c>
      <c r="BS15" s="125" t="str">
        <f t="shared" si="55"/>
        <v/>
      </c>
      <c r="BT15" s="140" t="e">
        <f t="shared" si="56"/>
        <v>#VALUE!</v>
      </c>
      <c r="BU15" s="123" t="str">
        <f t="shared" si="57"/>
        <v/>
      </c>
      <c r="BV15" s="148" t="str">
        <f t="shared" si="58"/>
        <v/>
      </c>
      <c r="BW15" s="123" t="str">
        <f t="shared" si="59"/>
        <v/>
      </c>
      <c r="BX15" s="326" t="str">
        <f t="shared" si="60"/>
        <v/>
      </c>
      <c r="CA15" s="231" t="s">
        <v>82</v>
      </c>
      <c r="CB15" s="232"/>
      <c r="CC15" s="232"/>
    </row>
    <row r="16" spans="1:111" ht="13">
      <c r="A16" s="420">
        <f t="shared" si="0"/>
        <v>112014008</v>
      </c>
      <c r="B16" s="93">
        <f t="shared" si="1"/>
        <v>7</v>
      </c>
      <c r="C16" s="558">
        <f t="shared" si="2"/>
        <v>0.1</v>
      </c>
      <c r="D16" s="558">
        <f t="shared" si="3"/>
        <v>0.2</v>
      </c>
      <c r="E16" s="559">
        <f t="shared" si="4"/>
        <v>0</v>
      </c>
      <c r="F16" s="547">
        <f t="shared" si="5"/>
        <v>62</v>
      </c>
      <c r="G16" s="699">
        <f t="shared" si="6"/>
        <v>0.1</v>
      </c>
      <c r="H16" s="702">
        <f t="shared" si="7"/>
        <v>0.11</v>
      </c>
      <c r="I16" s="423" t="s">
        <v>1275</v>
      </c>
      <c r="J16" s="326">
        <f t="shared" ref="J16:J21" si="114">IFERROR(VLOOKUP(I16,MONTE24,3,FALSE),"")</f>
        <v>724632.36</v>
      </c>
      <c r="K16" s="121">
        <v>1800000</v>
      </c>
      <c r="L16" s="140">
        <f t="shared" si="8"/>
        <v>2952356</v>
      </c>
      <c r="M16" s="326">
        <f t="shared" si="9"/>
        <v>90013.119999999995</v>
      </c>
      <c r="N16" s="333">
        <f t="shared" si="10"/>
        <v>3042369.12</v>
      </c>
      <c r="O16" s="123">
        <f t="shared" si="11"/>
        <v>1242369.1200000001</v>
      </c>
      <c r="P16" s="137">
        <f t="shared" si="12"/>
        <v>1.6902050666666668</v>
      </c>
      <c r="Q16" s="326">
        <f t="shared" si="13"/>
        <v>420958.56</v>
      </c>
      <c r="R16" s="116">
        <v>1800000</v>
      </c>
      <c r="S16" s="116">
        <f t="shared" si="14"/>
        <v>4805774.83</v>
      </c>
      <c r="T16" s="326">
        <f t="shared" si="15"/>
        <v>81642.259999999995</v>
      </c>
      <c r="U16" s="326">
        <f t="shared" si="16"/>
        <v>4887417.09</v>
      </c>
      <c r="V16" s="326">
        <f t="shared" si="17"/>
        <v>3087417.09</v>
      </c>
      <c r="W16" s="137">
        <f t="shared" si="18"/>
        <v>2.7152317166666666</v>
      </c>
      <c r="X16" s="326">
        <f t="shared" si="19"/>
        <v>615522.76</v>
      </c>
      <c r="Y16" s="121">
        <v>1800000</v>
      </c>
      <c r="Z16" s="113">
        <f t="shared" si="20"/>
        <v>812852.27</v>
      </c>
      <c r="AA16" s="116">
        <f t="shared" si="21"/>
        <v>0</v>
      </c>
      <c r="AB16" s="117">
        <f t="shared" si="22"/>
        <v>812852.27</v>
      </c>
      <c r="AC16" s="114"/>
      <c r="AD16" s="116"/>
      <c r="AE16" s="1257">
        <f t="shared" si="23"/>
        <v>5400000</v>
      </c>
      <c r="AF16" s="140">
        <f t="shared" si="24"/>
        <v>7787117.1600000001</v>
      </c>
      <c r="AG16" s="326">
        <f t="shared" si="25"/>
        <v>8570983.0999999996</v>
      </c>
      <c r="AH16" s="326">
        <f t="shared" ref="AH16:AI16" si="115">AA16+T16+M16</f>
        <v>171655.38</v>
      </c>
      <c r="AI16" s="326">
        <f t="shared" si="115"/>
        <v>8742638.4800000004</v>
      </c>
      <c r="AJ16" s="326">
        <f t="shared" si="27"/>
        <v>955521.3200000003</v>
      </c>
      <c r="AK16" s="1258">
        <f t="shared" si="28"/>
        <v>1.1227053992340343</v>
      </c>
      <c r="AL16" s="125">
        <f t="shared" si="29"/>
        <v>667738.62</v>
      </c>
      <c r="AM16" s="140">
        <f t="shared" si="30"/>
        <v>2246609.79</v>
      </c>
      <c r="AN16" s="123">
        <f t="shared" si="31"/>
        <v>15597.62</v>
      </c>
      <c r="AO16" s="148">
        <f t="shared" si="32"/>
        <v>2262207.41</v>
      </c>
      <c r="AP16" s="125">
        <f t="shared" ref="AP16:AP21" si="116">IFERROR(VLOOKUP(I16,MONTE24,7,FALSE),"")</f>
        <v>1132925.73</v>
      </c>
      <c r="AQ16" s="140">
        <f t="shared" si="33"/>
        <v>1311157.3999999999</v>
      </c>
      <c r="AR16" s="326">
        <f t="shared" si="34"/>
        <v>0</v>
      </c>
      <c r="AS16" s="333">
        <f t="shared" si="35"/>
        <v>1311157.3999999999</v>
      </c>
      <c r="AT16" s="123">
        <f t="shared" ref="AT16:AT21" si="117">IFERROR(VLOOKUP(I16,MONTE24,8,FALSE),"")</f>
        <v>1032780.13</v>
      </c>
      <c r="AU16" s="123">
        <f t="shared" si="36"/>
        <v>1752934.84</v>
      </c>
      <c r="AV16" s="123">
        <f t="shared" si="37"/>
        <v>0</v>
      </c>
      <c r="AW16" s="125">
        <f t="shared" si="38"/>
        <v>1752934.84</v>
      </c>
      <c r="AX16" s="122">
        <f t="shared" ref="AX16:AZ16" si="118">SUM(AU16,AQ16,AM16)</f>
        <v>5310702.03</v>
      </c>
      <c r="AY16" s="326">
        <f t="shared" si="118"/>
        <v>15597.62</v>
      </c>
      <c r="AZ16" s="332">
        <f t="shared" si="118"/>
        <v>5326299.6500000004</v>
      </c>
      <c r="BA16" s="140">
        <f t="shared" ref="BA16:BC16" si="119">SUM(AX16,AG16)</f>
        <v>13881685.129999999</v>
      </c>
      <c r="BB16" s="326">
        <f t="shared" si="119"/>
        <v>187253</v>
      </c>
      <c r="BC16" s="435">
        <f t="shared" si="119"/>
        <v>14068938.130000001</v>
      </c>
      <c r="BD16" s="125">
        <f t="shared" si="41"/>
        <v>900889.61</v>
      </c>
      <c r="BE16" s="1166">
        <f t="shared" si="42"/>
        <v>2479197.4900000002</v>
      </c>
      <c r="BF16" s="116">
        <f t="shared" si="43"/>
        <v>0</v>
      </c>
      <c r="BG16" s="121">
        <f t="shared" si="44"/>
        <v>2479197.4900000002</v>
      </c>
      <c r="BH16" s="114">
        <f t="shared" si="45"/>
        <v>1268583.76</v>
      </c>
      <c r="BI16" s="416">
        <f t="shared" si="46"/>
        <v>2348519.44</v>
      </c>
      <c r="BJ16" s="121">
        <f t="shared" si="47"/>
        <v>0</v>
      </c>
      <c r="BK16" s="121">
        <f t="shared" si="48"/>
        <v>2348519.44</v>
      </c>
      <c r="BL16" s="121">
        <f t="shared" si="49"/>
        <v>1657837</v>
      </c>
      <c r="BM16" s="113">
        <f t="shared" si="50"/>
        <v>2795505.71</v>
      </c>
      <c r="BN16" s="116">
        <f t="shared" si="51"/>
        <v>0</v>
      </c>
      <c r="BO16" s="117">
        <f t="shared" si="52"/>
        <v>2795505.71</v>
      </c>
      <c r="BP16" s="113">
        <f t="shared" si="53"/>
        <v>7623222.6400000006</v>
      </c>
      <c r="BQ16" s="116">
        <f t="shared" ref="BQ16:BR16" si="120">SUM(BN16,BJ16,BF16)</f>
        <v>0</v>
      </c>
      <c r="BR16" s="117">
        <f t="shared" si="120"/>
        <v>7623222.6400000006</v>
      </c>
      <c r="BS16" s="125">
        <f t="shared" si="55"/>
        <v>1161817.0900000001</v>
      </c>
      <c r="BT16" s="140">
        <f t="shared" si="56"/>
        <v>3269319.37</v>
      </c>
      <c r="BU16" s="123">
        <f t="shared" si="57"/>
        <v>0</v>
      </c>
      <c r="BV16" s="148">
        <f t="shared" si="58"/>
        <v>3269319.37</v>
      </c>
      <c r="BW16" s="123">
        <f t="shared" si="59"/>
        <v>3115164.04</v>
      </c>
      <c r="BX16" s="326">
        <f t="shared" si="60"/>
        <v>3510136.03</v>
      </c>
      <c r="CA16" s="231" t="s">
        <v>84</v>
      </c>
      <c r="CB16" s="232"/>
      <c r="CC16" s="232"/>
    </row>
    <row r="17" spans="1:81" ht="13">
      <c r="A17" s="420">
        <f t="shared" si="0"/>
        <v>112014174</v>
      </c>
      <c r="B17" s="93">
        <f t="shared" si="1"/>
        <v>7</v>
      </c>
      <c r="C17" s="558">
        <f t="shared" si="2"/>
        <v>0.1</v>
      </c>
      <c r="D17" s="558">
        <f t="shared" si="3"/>
        <v>0.2</v>
      </c>
      <c r="E17" s="559">
        <f t="shared" si="4"/>
        <v>0</v>
      </c>
      <c r="F17" s="547">
        <f t="shared" si="5"/>
        <v>62</v>
      </c>
      <c r="G17" s="699">
        <f t="shared" si="6"/>
        <v>0.1</v>
      </c>
      <c r="H17" s="702">
        <f t="shared" si="7"/>
        <v>0.11</v>
      </c>
      <c r="I17" s="423" t="s">
        <v>1276</v>
      </c>
      <c r="J17" s="326">
        <f t="shared" si="114"/>
        <v>0</v>
      </c>
      <c r="K17" s="121">
        <v>1800000</v>
      </c>
      <c r="L17" s="140">
        <f t="shared" si="8"/>
        <v>334730.14</v>
      </c>
      <c r="M17" s="326">
        <f t="shared" si="9"/>
        <v>436003.97</v>
      </c>
      <c r="N17" s="333">
        <f t="shared" si="10"/>
        <v>770734.11</v>
      </c>
      <c r="O17" s="123">
        <f t="shared" si="11"/>
        <v>-1029265.89</v>
      </c>
      <c r="P17" s="137">
        <f t="shared" si="12"/>
        <v>0.42818561666666666</v>
      </c>
      <c r="Q17" s="326">
        <f t="shared" si="13"/>
        <v>0</v>
      </c>
      <c r="R17" s="116">
        <v>1800000</v>
      </c>
      <c r="S17" s="116">
        <f t="shared" si="14"/>
        <v>1059799.42</v>
      </c>
      <c r="T17" s="326">
        <f t="shared" si="15"/>
        <v>137262.01999999999</v>
      </c>
      <c r="U17" s="326">
        <f t="shared" si="16"/>
        <v>1197061.44</v>
      </c>
      <c r="V17" s="326">
        <f t="shared" si="17"/>
        <v>-602938.56000000006</v>
      </c>
      <c r="W17" s="137">
        <f t="shared" si="18"/>
        <v>0.66503413333333328</v>
      </c>
      <c r="X17" s="326">
        <f t="shared" si="19"/>
        <v>0</v>
      </c>
      <c r="Y17" s="121">
        <v>1800000</v>
      </c>
      <c r="Z17" s="113">
        <f t="shared" si="20"/>
        <v>1315033.97</v>
      </c>
      <c r="AA17" s="116">
        <f t="shared" si="21"/>
        <v>0</v>
      </c>
      <c r="AB17" s="117">
        <f t="shared" si="22"/>
        <v>1315033.97</v>
      </c>
      <c r="AC17" s="114"/>
      <c r="AD17" s="116"/>
      <c r="AE17" s="1257">
        <f t="shared" si="23"/>
        <v>5400000</v>
      </c>
      <c r="AF17" s="140">
        <f t="shared" si="24"/>
        <v>2074761.08</v>
      </c>
      <c r="AG17" s="326">
        <f t="shared" si="25"/>
        <v>2709563.5300000003</v>
      </c>
      <c r="AH17" s="326">
        <f t="shared" ref="AH17:AI17" si="121">AA17+T17+M17</f>
        <v>573265.99</v>
      </c>
      <c r="AI17" s="326">
        <f t="shared" si="121"/>
        <v>3282829.52</v>
      </c>
      <c r="AJ17" s="326">
        <f t="shared" si="27"/>
        <v>1208068.44</v>
      </c>
      <c r="AK17" s="1258">
        <f t="shared" si="28"/>
        <v>1.5822687015123689</v>
      </c>
      <c r="AL17" s="125">
        <f t="shared" si="29"/>
        <v>186685.14</v>
      </c>
      <c r="AM17" s="140">
        <f t="shared" si="30"/>
        <v>894638.96</v>
      </c>
      <c r="AN17" s="123">
        <f t="shared" si="31"/>
        <v>72327.13</v>
      </c>
      <c r="AO17" s="148">
        <f t="shared" si="32"/>
        <v>966966.09</v>
      </c>
      <c r="AP17" s="125">
        <f t="shared" si="116"/>
        <v>266453.51</v>
      </c>
      <c r="AQ17" s="140">
        <f t="shared" si="33"/>
        <v>359426.84</v>
      </c>
      <c r="AR17" s="326">
        <f t="shared" si="34"/>
        <v>0</v>
      </c>
      <c r="AS17" s="333">
        <f t="shared" si="35"/>
        <v>359426.84</v>
      </c>
      <c r="AT17" s="123">
        <f t="shared" si="117"/>
        <v>79827.38</v>
      </c>
      <c r="AU17" s="123">
        <f t="shared" si="36"/>
        <v>433439.93000000005</v>
      </c>
      <c r="AV17" s="123">
        <f t="shared" si="37"/>
        <v>92458.72</v>
      </c>
      <c r="AW17" s="125">
        <f t="shared" si="38"/>
        <v>525898.65</v>
      </c>
      <c r="AX17" s="122">
        <f t="shared" ref="AX17:AZ17" si="122">SUM(AU17,AQ17,AM17)</f>
        <v>1687505.73</v>
      </c>
      <c r="AY17" s="326">
        <f t="shared" si="122"/>
        <v>164785.85</v>
      </c>
      <c r="AZ17" s="332">
        <f t="shared" si="122"/>
        <v>1852291.58</v>
      </c>
      <c r="BA17" s="140">
        <f t="shared" ref="BA17:BC17" si="123">SUM(AX17,AG17)</f>
        <v>4397069.26</v>
      </c>
      <c r="BB17" s="326">
        <f t="shared" si="123"/>
        <v>738051.84</v>
      </c>
      <c r="BC17" s="435">
        <f t="shared" si="123"/>
        <v>5135121.0999999996</v>
      </c>
      <c r="BD17" s="125">
        <f t="shared" si="41"/>
        <v>649327.75</v>
      </c>
      <c r="BE17" s="1166">
        <f t="shared" si="42"/>
        <v>474370.39</v>
      </c>
      <c r="BF17" s="116">
        <f t="shared" si="43"/>
        <v>142697.54</v>
      </c>
      <c r="BG17" s="121">
        <f t="shared" si="44"/>
        <v>617067.93000000005</v>
      </c>
      <c r="BH17" s="114">
        <f t="shared" si="45"/>
        <v>317983.96999999997</v>
      </c>
      <c r="BI17" s="416">
        <f t="shared" si="46"/>
        <v>558398</v>
      </c>
      <c r="BJ17" s="121">
        <f t="shared" si="47"/>
        <v>102542.11</v>
      </c>
      <c r="BK17" s="121">
        <f t="shared" si="48"/>
        <v>660940.11</v>
      </c>
      <c r="BL17" s="121">
        <f t="shared" si="49"/>
        <v>22966.560000000001</v>
      </c>
      <c r="BM17" s="113">
        <f t="shared" si="50"/>
        <v>633262.35000000009</v>
      </c>
      <c r="BN17" s="116">
        <f t="shared" si="51"/>
        <v>154406.56</v>
      </c>
      <c r="BO17" s="117">
        <f t="shared" si="52"/>
        <v>787668.91</v>
      </c>
      <c r="BP17" s="113">
        <f t="shared" si="53"/>
        <v>1666030.7400000002</v>
      </c>
      <c r="BQ17" s="116">
        <f t="shared" ref="BQ17:BR17" si="124">SUM(BN17,BJ17,BF17)</f>
        <v>399646.20999999996</v>
      </c>
      <c r="BR17" s="117">
        <f t="shared" si="124"/>
        <v>2065676.9500000002</v>
      </c>
      <c r="BS17" s="125">
        <f t="shared" si="55"/>
        <v>506564.06</v>
      </c>
      <c r="BT17" s="140">
        <f t="shared" si="56"/>
        <v>397977.98</v>
      </c>
      <c r="BU17" s="123">
        <f t="shared" si="57"/>
        <v>0</v>
      </c>
      <c r="BV17" s="148">
        <f t="shared" si="58"/>
        <v>397977.98</v>
      </c>
      <c r="BW17" s="123">
        <f t="shared" si="59"/>
        <v>1230139.97</v>
      </c>
      <c r="BX17" s="326">
        <f t="shared" si="60"/>
        <v>338057.05</v>
      </c>
      <c r="CA17" s="231" t="s">
        <v>86</v>
      </c>
      <c r="CB17" s="232"/>
      <c r="CC17" s="232"/>
    </row>
    <row r="18" spans="1:81" ht="13">
      <c r="A18" s="420">
        <f t="shared" si="0"/>
        <v>112014053</v>
      </c>
      <c r="B18" s="93">
        <f t="shared" si="1"/>
        <v>7</v>
      </c>
      <c r="C18" s="558">
        <f t="shared" si="2"/>
        <v>0.1</v>
      </c>
      <c r="D18" s="558">
        <f t="shared" si="3"/>
        <v>0.2</v>
      </c>
      <c r="E18" s="559">
        <f t="shared" si="4"/>
        <v>0</v>
      </c>
      <c r="F18" s="547">
        <f t="shared" si="5"/>
        <v>62</v>
      </c>
      <c r="G18" s="699">
        <f t="shared" si="6"/>
        <v>0.1</v>
      </c>
      <c r="H18" s="702">
        <f t="shared" si="7"/>
        <v>0.11</v>
      </c>
      <c r="I18" s="423" t="s">
        <v>1277</v>
      </c>
      <c r="J18" s="326">
        <f t="shared" si="114"/>
        <v>0</v>
      </c>
      <c r="K18" s="121">
        <v>1800000</v>
      </c>
      <c r="L18" s="140">
        <f t="shared" si="8"/>
        <v>345349.14</v>
      </c>
      <c r="M18" s="326">
        <f t="shared" si="9"/>
        <v>507449.15</v>
      </c>
      <c r="N18" s="333">
        <f t="shared" si="10"/>
        <v>852798.29</v>
      </c>
      <c r="O18" s="123">
        <f t="shared" si="11"/>
        <v>-947201.71</v>
      </c>
      <c r="P18" s="137">
        <f t="shared" si="12"/>
        <v>0.4737768277777778</v>
      </c>
      <c r="Q18" s="326">
        <f t="shared" si="13"/>
        <v>0</v>
      </c>
      <c r="R18" s="116">
        <v>1800000</v>
      </c>
      <c r="S18" s="116">
        <f t="shared" si="14"/>
        <v>414591.86</v>
      </c>
      <c r="T18" s="326">
        <f t="shared" si="15"/>
        <v>473424.85</v>
      </c>
      <c r="U18" s="326">
        <f t="shared" si="16"/>
        <v>888016.71</v>
      </c>
      <c r="V18" s="326">
        <f t="shared" si="17"/>
        <v>-911983.29</v>
      </c>
      <c r="W18" s="137">
        <f t="shared" si="18"/>
        <v>0.49334261666666662</v>
      </c>
      <c r="X18" s="326">
        <f t="shared" si="19"/>
        <v>0</v>
      </c>
      <c r="Y18" s="121">
        <v>1800000</v>
      </c>
      <c r="Z18" s="113">
        <f t="shared" si="20"/>
        <v>398344</v>
      </c>
      <c r="AA18" s="116">
        <f t="shared" si="21"/>
        <v>18110.419999999998</v>
      </c>
      <c r="AB18" s="117">
        <f t="shared" si="22"/>
        <v>416454.42</v>
      </c>
      <c r="AC18" s="114"/>
      <c r="AD18" s="116"/>
      <c r="AE18" s="1257">
        <f t="shared" si="23"/>
        <v>5400000</v>
      </c>
      <c r="AF18" s="140">
        <f t="shared" si="24"/>
        <v>2025343.69</v>
      </c>
      <c r="AG18" s="326">
        <f t="shared" si="25"/>
        <v>1158285</v>
      </c>
      <c r="AH18" s="326">
        <f t="shared" ref="AH18:AI18" si="125">AA18+T18+M18</f>
        <v>998984.41999999993</v>
      </c>
      <c r="AI18" s="326">
        <f t="shared" si="125"/>
        <v>2157269.42</v>
      </c>
      <c r="AJ18" s="326">
        <f t="shared" si="27"/>
        <v>131925.72999999998</v>
      </c>
      <c r="AK18" s="1258">
        <f t="shared" si="28"/>
        <v>1.0651374532882367</v>
      </c>
      <c r="AL18" s="125">
        <f t="shared" si="29"/>
        <v>0</v>
      </c>
      <c r="AM18" s="140">
        <f t="shared" si="30"/>
        <v>183769.77</v>
      </c>
      <c r="AN18" s="123">
        <f t="shared" si="31"/>
        <v>130655.9</v>
      </c>
      <c r="AO18" s="148">
        <f t="shared" si="32"/>
        <v>314425.67</v>
      </c>
      <c r="AP18" s="125">
        <f t="shared" si="116"/>
        <v>0</v>
      </c>
      <c r="AQ18" s="140">
        <f t="shared" si="33"/>
        <v>0</v>
      </c>
      <c r="AR18" s="326">
        <f t="shared" si="34"/>
        <v>0</v>
      </c>
      <c r="AS18" s="333">
        <f t="shared" si="35"/>
        <v>0</v>
      </c>
      <c r="AT18" s="123">
        <f t="shared" si="117"/>
        <v>0</v>
      </c>
      <c r="AU18" s="123">
        <f t="shared" si="36"/>
        <v>91301.419999999984</v>
      </c>
      <c r="AV18" s="123">
        <f t="shared" si="37"/>
        <v>400353.51</v>
      </c>
      <c r="AW18" s="125">
        <f t="shared" si="38"/>
        <v>491654.93</v>
      </c>
      <c r="AX18" s="122">
        <f t="shared" ref="AX18:AZ18" si="126">SUM(AU18,AQ18,AM18)</f>
        <v>275071.18999999994</v>
      </c>
      <c r="AY18" s="326">
        <f t="shared" si="126"/>
        <v>531009.41</v>
      </c>
      <c r="AZ18" s="332">
        <f t="shared" si="126"/>
        <v>806080.6</v>
      </c>
      <c r="BA18" s="140">
        <f t="shared" ref="BA18:BC18" si="127">SUM(AX18,AG18)</f>
        <v>1433356.19</v>
      </c>
      <c r="BB18" s="326">
        <f t="shared" si="127"/>
        <v>1529993.83</v>
      </c>
      <c r="BC18" s="435">
        <f t="shared" si="127"/>
        <v>2963350.02</v>
      </c>
      <c r="BD18" s="125">
        <f t="shared" si="41"/>
        <v>0</v>
      </c>
      <c r="BE18" s="1166">
        <f t="shared" si="42"/>
        <v>77240.02999999997</v>
      </c>
      <c r="BF18" s="116">
        <f t="shared" si="43"/>
        <v>423593.02</v>
      </c>
      <c r="BG18" s="121">
        <f t="shared" si="44"/>
        <v>500833.05</v>
      </c>
      <c r="BH18" s="114">
        <f t="shared" si="45"/>
        <v>0</v>
      </c>
      <c r="BI18" s="416">
        <f t="shared" si="46"/>
        <v>224047.46</v>
      </c>
      <c r="BJ18" s="121">
        <f t="shared" si="47"/>
        <v>17960.849999999999</v>
      </c>
      <c r="BK18" s="121">
        <f t="shared" si="48"/>
        <v>242008.31</v>
      </c>
      <c r="BL18" s="121">
        <f t="shared" si="49"/>
        <v>0</v>
      </c>
      <c r="BM18" s="113">
        <f t="shared" si="50"/>
        <v>0</v>
      </c>
      <c r="BN18" s="116">
        <f t="shared" si="51"/>
        <v>0</v>
      </c>
      <c r="BO18" s="117">
        <f t="shared" si="52"/>
        <v>0</v>
      </c>
      <c r="BP18" s="113">
        <f t="shared" si="53"/>
        <v>301287.49</v>
      </c>
      <c r="BQ18" s="116">
        <f t="shared" ref="BQ18:BR18" si="128">SUM(BN18,BJ18,BF18)</f>
        <v>441553.87</v>
      </c>
      <c r="BR18" s="117">
        <f t="shared" si="128"/>
        <v>742841.36</v>
      </c>
      <c r="BS18" s="125">
        <f t="shared" si="55"/>
        <v>414252.66</v>
      </c>
      <c r="BT18" s="140">
        <f t="shared" si="56"/>
        <v>0</v>
      </c>
      <c r="BU18" s="123">
        <f t="shared" si="57"/>
        <v>0</v>
      </c>
      <c r="BV18" s="148">
        <f t="shared" si="58"/>
        <v>0</v>
      </c>
      <c r="BW18" s="123">
        <f t="shared" si="59"/>
        <v>885768.37</v>
      </c>
      <c r="BX18" s="326">
        <f t="shared" si="60"/>
        <v>725322.66</v>
      </c>
      <c r="CA18" s="242" t="s">
        <v>88</v>
      </c>
      <c r="CB18" s="243"/>
      <c r="CC18" s="243"/>
    </row>
    <row r="19" spans="1:81" ht="13">
      <c r="A19" s="420">
        <f t="shared" si="0"/>
        <v>112013946</v>
      </c>
      <c r="B19" s="93">
        <f t="shared" si="1"/>
        <v>7</v>
      </c>
      <c r="C19" s="558">
        <f t="shared" si="2"/>
        <v>0.1</v>
      </c>
      <c r="D19" s="558">
        <f t="shared" si="3"/>
        <v>0.2</v>
      </c>
      <c r="E19" s="559">
        <f t="shared" si="4"/>
        <v>0</v>
      </c>
      <c r="F19" s="547">
        <f t="shared" si="5"/>
        <v>62</v>
      </c>
      <c r="G19" s="699">
        <f t="shared" si="6"/>
        <v>0.1</v>
      </c>
      <c r="H19" s="702">
        <f t="shared" si="7"/>
        <v>0.11</v>
      </c>
      <c r="I19" s="423" t="s">
        <v>1278</v>
      </c>
      <c r="J19" s="326">
        <f t="shared" si="114"/>
        <v>0</v>
      </c>
      <c r="K19" s="121">
        <v>1800000</v>
      </c>
      <c r="L19" s="140">
        <f t="shared" si="8"/>
        <v>615377.15</v>
      </c>
      <c r="M19" s="326">
        <f t="shared" si="9"/>
        <v>0</v>
      </c>
      <c r="N19" s="333">
        <f t="shared" si="10"/>
        <v>615377.15</v>
      </c>
      <c r="O19" s="123">
        <f t="shared" si="11"/>
        <v>-1184622.8500000001</v>
      </c>
      <c r="P19" s="137">
        <f t="shared" si="12"/>
        <v>0.34187619444444445</v>
      </c>
      <c r="Q19" s="326">
        <f t="shared" si="13"/>
        <v>0</v>
      </c>
      <c r="R19" s="116">
        <v>1800000</v>
      </c>
      <c r="S19" s="116">
        <f t="shared" si="14"/>
        <v>674610.57</v>
      </c>
      <c r="T19" s="326">
        <f t="shared" si="15"/>
        <v>0</v>
      </c>
      <c r="U19" s="326">
        <f t="shared" si="16"/>
        <v>674610.57</v>
      </c>
      <c r="V19" s="326">
        <f t="shared" si="17"/>
        <v>-1125389.4300000002</v>
      </c>
      <c r="W19" s="137">
        <f t="shared" si="18"/>
        <v>0.37478364999999997</v>
      </c>
      <c r="X19" s="326">
        <f t="shared" si="19"/>
        <v>0</v>
      </c>
      <c r="Y19" s="121">
        <v>1800000</v>
      </c>
      <c r="Z19" s="113">
        <f t="shared" si="20"/>
        <v>1048420.7</v>
      </c>
      <c r="AA19" s="116">
        <f t="shared" si="21"/>
        <v>86091.72</v>
      </c>
      <c r="AB19" s="117">
        <f t="shared" si="22"/>
        <v>1134512.42</v>
      </c>
      <c r="AC19" s="114"/>
      <c r="AD19" s="116"/>
      <c r="AE19" s="1257">
        <f t="shared" si="23"/>
        <v>5400000</v>
      </c>
      <c r="AF19" s="140">
        <f t="shared" si="24"/>
        <v>4555570.4000000004</v>
      </c>
      <c r="AG19" s="326">
        <f t="shared" si="25"/>
        <v>2338408.4199999995</v>
      </c>
      <c r="AH19" s="326">
        <f t="shared" ref="AH19:AI19" si="129">AA19+T19+M19</f>
        <v>86091.72</v>
      </c>
      <c r="AI19" s="326">
        <f t="shared" si="129"/>
        <v>2424500.1399999997</v>
      </c>
      <c r="AJ19" s="326">
        <f t="shared" si="27"/>
        <v>-2131070.2600000007</v>
      </c>
      <c r="AK19" s="1258">
        <f t="shared" si="28"/>
        <v>0.53220561359341512</v>
      </c>
      <c r="AL19" s="125">
        <f t="shared" si="29"/>
        <v>0</v>
      </c>
      <c r="AM19" s="140">
        <f t="shared" si="30"/>
        <v>621863.92000000004</v>
      </c>
      <c r="AN19" s="123">
        <f t="shared" si="31"/>
        <v>232287.98</v>
      </c>
      <c r="AO19" s="148">
        <f t="shared" si="32"/>
        <v>854151.9</v>
      </c>
      <c r="AP19" s="125">
        <f t="shared" si="116"/>
        <v>0</v>
      </c>
      <c r="AQ19" s="140">
        <f t="shared" si="33"/>
        <v>1138279.6600000001</v>
      </c>
      <c r="AR19" s="326">
        <f t="shared" si="34"/>
        <v>345589.66</v>
      </c>
      <c r="AS19" s="333">
        <f t="shared" si="35"/>
        <v>1483869.32</v>
      </c>
      <c r="AT19" s="123">
        <f t="shared" si="117"/>
        <v>0</v>
      </c>
      <c r="AU19" s="123">
        <f t="shared" si="36"/>
        <v>1080906.5</v>
      </c>
      <c r="AV19" s="123">
        <f t="shared" si="37"/>
        <v>333185.46000000002</v>
      </c>
      <c r="AW19" s="125">
        <f t="shared" si="38"/>
        <v>1414091.96</v>
      </c>
      <c r="AX19" s="122">
        <f t="shared" ref="AX19:AZ19" si="130">SUM(AU19,AQ19,AM19)</f>
        <v>2841050.08</v>
      </c>
      <c r="AY19" s="326">
        <f t="shared" si="130"/>
        <v>911063.1</v>
      </c>
      <c r="AZ19" s="332">
        <f t="shared" si="130"/>
        <v>3752113.18</v>
      </c>
      <c r="BA19" s="140">
        <f t="shared" ref="BA19:BC19" si="131">SUM(AX19,AG19)</f>
        <v>5179458.5</v>
      </c>
      <c r="BB19" s="326">
        <f t="shared" si="131"/>
        <v>997154.82</v>
      </c>
      <c r="BC19" s="435">
        <f t="shared" si="131"/>
        <v>6176613.3200000003</v>
      </c>
      <c r="BD19" s="125">
        <f t="shared" si="41"/>
        <v>0</v>
      </c>
      <c r="BE19" s="1166">
        <f t="shared" si="42"/>
        <v>637404.8600000001</v>
      </c>
      <c r="BF19" s="116">
        <f t="shared" si="43"/>
        <v>728796.94</v>
      </c>
      <c r="BG19" s="121">
        <f t="shared" si="44"/>
        <v>1366201.8</v>
      </c>
      <c r="BH19" s="114">
        <f t="shared" si="45"/>
        <v>0</v>
      </c>
      <c r="BI19" s="416">
        <f t="shared" si="46"/>
        <v>691422.08000000007</v>
      </c>
      <c r="BJ19" s="121">
        <f t="shared" si="47"/>
        <v>969139.76</v>
      </c>
      <c r="BK19" s="121">
        <f t="shared" si="48"/>
        <v>1660561.84</v>
      </c>
      <c r="BL19" s="121">
        <f t="shared" si="49"/>
        <v>0</v>
      </c>
      <c r="BM19" s="113">
        <f t="shared" si="50"/>
        <v>3047562.8899999997</v>
      </c>
      <c r="BN19" s="116">
        <f t="shared" si="51"/>
        <v>988158.91</v>
      </c>
      <c r="BO19" s="117">
        <f t="shared" si="52"/>
        <v>4035721.8</v>
      </c>
      <c r="BP19" s="113">
        <f t="shared" si="53"/>
        <v>4376389.83</v>
      </c>
      <c r="BQ19" s="116">
        <f t="shared" ref="BQ19:BR19" si="132">SUM(BN19,BJ19,BF19)</f>
        <v>2686095.61</v>
      </c>
      <c r="BR19" s="117">
        <f t="shared" si="132"/>
        <v>7062485.4399999995</v>
      </c>
      <c r="BS19" s="125">
        <f t="shared" si="55"/>
        <v>1683287.27</v>
      </c>
      <c r="BT19" s="140">
        <f t="shared" si="56"/>
        <v>3257030.83</v>
      </c>
      <c r="BU19" s="123">
        <f t="shared" si="57"/>
        <v>618922.23999999999</v>
      </c>
      <c r="BV19" s="148">
        <f t="shared" si="58"/>
        <v>3875953.07</v>
      </c>
      <c r="BW19" s="123">
        <f t="shared" si="59"/>
        <v>1720928.69</v>
      </c>
      <c r="BX19" s="326">
        <f t="shared" si="60"/>
        <v>1151354.43</v>
      </c>
      <c r="CA19" s="242" t="s">
        <v>90</v>
      </c>
      <c r="CB19" s="242"/>
      <c r="CC19" s="242"/>
    </row>
    <row r="20" spans="1:81" ht="13">
      <c r="A20" s="420">
        <f t="shared" si="0"/>
        <v>112014180</v>
      </c>
      <c r="B20" s="93">
        <f t="shared" si="1"/>
        <v>7</v>
      </c>
      <c r="C20" s="558">
        <f t="shared" si="2"/>
        <v>0.1</v>
      </c>
      <c r="D20" s="558">
        <f t="shared" si="3"/>
        <v>0.2</v>
      </c>
      <c r="E20" s="559">
        <f t="shared" si="4"/>
        <v>0</v>
      </c>
      <c r="F20" s="547">
        <f t="shared" si="5"/>
        <v>62</v>
      </c>
      <c r="G20" s="699">
        <f t="shared" si="6"/>
        <v>0.1</v>
      </c>
      <c r="H20" s="702">
        <f t="shared" si="7"/>
        <v>0.11</v>
      </c>
      <c r="I20" s="423" t="s">
        <v>1279</v>
      </c>
      <c r="J20" s="326">
        <f t="shared" si="114"/>
        <v>619301.97</v>
      </c>
      <c r="K20" s="121">
        <v>1800000</v>
      </c>
      <c r="L20" s="140">
        <f t="shared" si="8"/>
        <v>8376970.5800000001</v>
      </c>
      <c r="M20" s="326">
        <f t="shared" si="9"/>
        <v>814648.85</v>
      </c>
      <c r="N20" s="333">
        <f t="shared" si="10"/>
        <v>9191619.4299999997</v>
      </c>
      <c r="O20" s="123">
        <f t="shared" si="11"/>
        <v>7391619.4299999997</v>
      </c>
      <c r="P20" s="137">
        <f t="shared" si="12"/>
        <v>5.1064552388888886</v>
      </c>
      <c r="Q20" s="326">
        <f t="shared" si="13"/>
        <v>1451767.12</v>
      </c>
      <c r="R20" s="116">
        <f t="shared" ref="R20:R21" si="133">(Q20*1.7245)*1.05</f>
        <v>2628751.0183620001</v>
      </c>
      <c r="S20" s="116">
        <f t="shared" si="14"/>
        <v>6631742.3200000003</v>
      </c>
      <c r="T20" s="326">
        <f t="shared" si="15"/>
        <v>528185.54</v>
      </c>
      <c r="U20" s="326">
        <f t="shared" si="16"/>
        <v>7159927.8600000003</v>
      </c>
      <c r="V20" s="326">
        <f t="shared" si="17"/>
        <v>4531176.8416380007</v>
      </c>
      <c r="W20" s="137">
        <f t="shared" si="18"/>
        <v>2.7236995097624042</v>
      </c>
      <c r="X20" s="326">
        <f t="shared" si="19"/>
        <v>2573721.39</v>
      </c>
      <c r="Y20" s="121">
        <f t="shared" ref="Y20:Y21" si="134">(X20*1.5955)*1.05</f>
        <v>4311691.1016322495</v>
      </c>
      <c r="Z20" s="113">
        <f t="shared" si="20"/>
        <v>5177060.3</v>
      </c>
      <c r="AA20" s="116">
        <f t="shared" si="21"/>
        <v>271376.28000000003</v>
      </c>
      <c r="AB20" s="117">
        <f t="shared" si="22"/>
        <v>5448436.5800000001</v>
      </c>
      <c r="AC20" s="114"/>
      <c r="AD20" s="116"/>
      <c r="AE20" s="1257">
        <f t="shared" si="23"/>
        <v>8740442.1199942492</v>
      </c>
      <c r="AF20" s="140">
        <f t="shared" si="24"/>
        <v>16133168.92</v>
      </c>
      <c r="AG20" s="326">
        <f t="shared" si="25"/>
        <v>20185773.200000003</v>
      </c>
      <c r="AH20" s="326">
        <f t="shared" ref="AH20:AI20" si="135">AA20+T20+M20</f>
        <v>1614210.67</v>
      </c>
      <c r="AI20" s="326">
        <f t="shared" si="135"/>
        <v>21799983.870000001</v>
      </c>
      <c r="AJ20" s="326">
        <f t="shared" si="27"/>
        <v>5666814.9500000011</v>
      </c>
      <c r="AK20" s="1258">
        <f t="shared" si="28"/>
        <v>1.3512524401188755</v>
      </c>
      <c r="AL20" s="125">
        <f t="shared" si="29"/>
        <v>1711081.37</v>
      </c>
      <c r="AM20" s="140">
        <f t="shared" si="30"/>
        <v>5148338.53</v>
      </c>
      <c r="AN20" s="123">
        <f t="shared" si="31"/>
        <v>0</v>
      </c>
      <c r="AO20" s="148">
        <f t="shared" si="32"/>
        <v>5148338.53</v>
      </c>
      <c r="AP20" s="125">
        <f t="shared" si="116"/>
        <v>2178433.9500000002</v>
      </c>
      <c r="AQ20" s="140">
        <f t="shared" si="33"/>
        <v>2189409.6999999997</v>
      </c>
      <c r="AR20" s="326">
        <f t="shared" si="34"/>
        <v>391913.68</v>
      </c>
      <c r="AS20" s="333">
        <f t="shared" si="35"/>
        <v>2581323.38</v>
      </c>
      <c r="AT20" s="123">
        <f t="shared" si="117"/>
        <v>1441769.66</v>
      </c>
      <c r="AU20" s="123">
        <f t="shared" si="36"/>
        <v>3278613.0300000003</v>
      </c>
      <c r="AV20" s="123">
        <f t="shared" si="37"/>
        <v>195956.84</v>
      </c>
      <c r="AW20" s="125">
        <f t="shared" si="38"/>
        <v>3474569.87</v>
      </c>
      <c r="AX20" s="122">
        <f t="shared" ref="AX20:AZ20" si="136">SUM(AU20,AQ20,AM20)</f>
        <v>10616361.260000002</v>
      </c>
      <c r="AY20" s="326">
        <f t="shared" si="136"/>
        <v>587870.52</v>
      </c>
      <c r="AZ20" s="332">
        <f t="shared" si="136"/>
        <v>11204231.780000001</v>
      </c>
      <c r="BA20" s="140">
        <f t="shared" ref="BA20:BC20" si="137">SUM(AX20,AG20)</f>
        <v>30802134.460000005</v>
      </c>
      <c r="BB20" s="326">
        <f t="shared" si="137"/>
        <v>2202081.19</v>
      </c>
      <c r="BC20" s="435">
        <f t="shared" si="137"/>
        <v>33004215.650000002</v>
      </c>
      <c r="BD20" s="125">
        <f t="shared" si="41"/>
        <v>2619092.2599999998</v>
      </c>
      <c r="BE20" s="1166">
        <f t="shared" si="42"/>
        <v>2313880.8800000004</v>
      </c>
      <c r="BF20" s="116">
        <f t="shared" si="43"/>
        <v>195956.84</v>
      </c>
      <c r="BG20" s="121">
        <f t="shared" si="44"/>
        <v>2509837.7200000002</v>
      </c>
      <c r="BH20" s="114">
        <f t="shared" si="45"/>
        <v>1035559.36</v>
      </c>
      <c r="BI20" s="416">
        <f t="shared" si="46"/>
        <v>1490002.9100000001</v>
      </c>
      <c r="BJ20" s="121">
        <f t="shared" si="47"/>
        <v>401682.18</v>
      </c>
      <c r="BK20" s="121">
        <f t="shared" si="48"/>
        <v>1891685.09</v>
      </c>
      <c r="BL20" s="121">
        <f t="shared" si="49"/>
        <v>2954759.3</v>
      </c>
      <c r="BM20" s="113">
        <f t="shared" si="50"/>
        <v>2507294.0499999998</v>
      </c>
      <c r="BN20" s="116">
        <f t="shared" si="51"/>
        <v>478863.2</v>
      </c>
      <c r="BO20" s="117">
        <f t="shared" si="52"/>
        <v>2986157.25</v>
      </c>
      <c r="BP20" s="113">
        <f t="shared" si="53"/>
        <v>6311177.8400000008</v>
      </c>
      <c r="BQ20" s="116">
        <f t="shared" ref="BQ20:BR20" si="138">SUM(BN20,BJ20,BF20)</f>
        <v>1076502.22</v>
      </c>
      <c r="BR20" s="117">
        <f t="shared" si="138"/>
        <v>7387680.0600000005</v>
      </c>
      <c r="BS20" s="125">
        <f t="shared" si="55"/>
        <v>5600731.8899999997</v>
      </c>
      <c r="BT20" s="140">
        <f t="shared" si="56"/>
        <v>3022531.46</v>
      </c>
      <c r="BU20" s="123">
        <f t="shared" si="57"/>
        <v>447075.56</v>
      </c>
      <c r="BV20" s="148">
        <f t="shared" si="58"/>
        <v>3469607.02</v>
      </c>
      <c r="BW20" s="123">
        <f t="shared" si="59"/>
        <v>5300929.3</v>
      </c>
      <c r="BX20" s="326">
        <f t="shared" si="60"/>
        <v>5231507.74</v>
      </c>
      <c r="CA20" s="242" t="s">
        <v>92</v>
      </c>
      <c r="CB20" s="242"/>
      <c r="CC20" s="242"/>
    </row>
    <row r="21" spans="1:81" ht="13">
      <c r="A21" s="420">
        <f t="shared" si="0"/>
        <v>112013308</v>
      </c>
      <c r="B21" s="93">
        <f t="shared" si="1"/>
        <v>7</v>
      </c>
      <c r="C21" s="558">
        <f t="shared" si="2"/>
        <v>0.1</v>
      </c>
      <c r="D21" s="558">
        <f t="shared" si="3"/>
        <v>0.2</v>
      </c>
      <c r="E21" s="559">
        <f t="shared" si="4"/>
        <v>0</v>
      </c>
      <c r="F21" s="547">
        <f t="shared" si="5"/>
        <v>62</v>
      </c>
      <c r="G21" s="699">
        <f t="shared" si="6"/>
        <v>0.1</v>
      </c>
      <c r="H21" s="702">
        <f t="shared" si="7"/>
        <v>0.11</v>
      </c>
      <c r="I21" s="423" t="s">
        <v>1280</v>
      </c>
      <c r="J21" s="326">
        <f t="shared" si="114"/>
        <v>1751578.37</v>
      </c>
      <c r="K21" s="121">
        <f>(J21*1.601)*1.05</f>
        <v>2944490.8188885003</v>
      </c>
      <c r="L21" s="140">
        <f t="shared" si="8"/>
        <v>325539.21999999997</v>
      </c>
      <c r="M21" s="326">
        <f t="shared" si="9"/>
        <v>0</v>
      </c>
      <c r="N21" s="333">
        <f t="shared" si="10"/>
        <v>325539.21999999997</v>
      </c>
      <c r="O21" s="123">
        <f t="shared" si="11"/>
        <v>-2618951.5988885006</v>
      </c>
      <c r="P21" s="137">
        <f t="shared" si="12"/>
        <v>0.1105587485319061</v>
      </c>
      <c r="Q21" s="326">
        <f t="shared" si="13"/>
        <v>3883951.88</v>
      </c>
      <c r="R21" s="116">
        <f t="shared" si="133"/>
        <v>7032768.7679129997</v>
      </c>
      <c r="S21" s="116">
        <f t="shared" si="14"/>
        <v>189310.61999999988</v>
      </c>
      <c r="T21" s="326">
        <f t="shared" si="15"/>
        <v>1635565.12</v>
      </c>
      <c r="U21" s="326">
        <f t="shared" si="16"/>
        <v>1824875.74</v>
      </c>
      <c r="V21" s="326">
        <f t="shared" si="17"/>
        <v>-5207893.0279129995</v>
      </c>
      <c r="W21" s="137">
        <f t="shared" si="18"/>
        <v>0.25948183428495386</v>
      </c>
      <c r="X21" s="326">
        <f t="shared" si="19"/>
        <v>1480023.21</v>
      </c>
      <c r="Y21" s="121">
        <f t="shared" si="134"/>
        <v>2479445.8831327497</v>
      </c>
      <c r="Z21" s="113">
        <f t="shared" si="20"/>
        <v>0</v>
      </c>
      <c r="AA21" s="116">
        <f t="shared" si="21"/>
        <v>0</v>
      </c>
      <c r="AB21" s="117">
        <f t="shared" si="22"/>
        <v>0</v>
      </c>
      <c r="AC21" s="114"/>
      <c r="AD21" s="116"/>
      <c r="AE21" s="1257">
        <f t="shared" si="23"/>
        <v>12456705.469934249</v>
      </c>
      <c r="AF21" s="140">
        <f t="shared" si="24"/>
        <v>1025886.92</v>
      </c>
      <c r="AG21" s="326">
        <f t="shared" si="25"/>
        <v>514849.83999999985</v>
      </c>
      <c r="AH21" s="326">
        <f t="shared" ref="AH21:AI21" si="139">AA21+T21+M21</f>
        <v>1635565.12</v>
      </c>
      <c r="AI21" s="326">
        <f t="shared" si="139"/>
        <v>2150414.96</v>
      </c>
      <c r="AJ21" s="326">
        <f t="shared" si="27"/>
        <v>1124528.04</v>
      </c>
      <c r="AK21" s="1258">
        <f t="shared" si="28"/>
        <v>2.0961520398369049</v>
      </c>
      <c r="AL21" s="125">
        <f t="shared" si="29"/>
        <v>2274780.9900000002</v>
      </c>
      <c r="AM21" s="140">
        <f t="shared" si="30"/>
        <v>223119.79</v>
      </c>
      <c r="AN21" s="123">
        <f t="shared" si="31"/>
        <v>0</v>
      </c>
      <c r="AO21" s="148">
        <f t="shared" si="32"/>
        <v>223119.79</v>
      </c>
      <c r="AP21" s="125">
        <f t="shared" si="116"/>
        <v>920204.29</v>
      </c>
      <c r="AQ21" s="140">
        <f t="shared" si="33"/>
        <v>160652.74</v>
      </c>
      <c r="AR21" s="326">
        <f t="shared" si="34"/>
        <v>0</v>
      </c>
      <c r="AS21" s="333">
        <f t="shared" si="35"/>
        <v>160652.74</v>
      </c>
      <c r="AT21" s="123">
        <f t="shared" si="117"/>
        <v>1254425.99</v>
      </c>
      <c r="AU21" s="123">
        <f t="shared" si="36"/>
        <v>246970.82</v>
      </c>
      <c r="AV21" s="123">
        <f t="shared" si="37"/>
        <v>0</v>
      </c>
      <c r="AW21" s="125">
        <f t="shared" si="38"/>
        <v>246970.82</v>
      </c>
      <c r="AX21" s="122">
        <f t="shared" ref="AX21:AZ21" si="140">SUM(AU21,AQ21,AM21)</f>
        <v>630743.35</v>
      </c>
      <c r="AY21" s="326">
        <f t="shared" si="140"/>
        <v>0</v>
      </c>
      <c r="AZ21" s="332">
        <f t="shared" si="140"/>
        <v>630743.35</v>
      </c>
      <c r="BA21" s="140">
        <f t="shared" ref="BA21:BC21" si="141">SUM(AX21,AG21)</f>
        <v>1145593.19</v>
      </c>
      <c r="BB21" s="326">
        <f t="shared" si="141"/>
        <v>1635565.12</v>
      </c>
      <c r="BC21" s="435">
        <f t="shared" si="141"/>
        <v>2781158.31</v>
      </c>
      <c r="BD21" s="125">
        <f t="shared" si="41"/>
        <v>2088768.9</v>
      </c>
      <c r="BE21" s="1166">
        <f t="shared" si="42"/>
        <v>471933.52</v>
      </c>
      <c r="BF21" s="116">
        <f t="shared" si="43"/>
        <v>0</v>
      </c>
      <c r="BG21" s="121">
        <f t="shared" si="44"/>
        <v>471933.52</v>
      </c>
      <c r="BH21" s="114">
        <f t="shared" si="45"/>
        <v>1732933.28</v>
      </c>
      <c r="BI21" s="416">
        <f t="shared" si="46"/>
        <v>727047.09</v>
      </c>
      <c r="BJ21" s="121">
        <f t="shared" si="47"/>
        <v>0</v>
      </c>
      <c r="BK21" s="121">
        <f t="shared" si="48"/>
        <v>727047.09</v>
      </c>
      <c r="BL21" s="121">
        <f t="shared" si="49"/>
        <v>671261.62</v>
      </c>
      <c r="BM21" s="113">
        <f t="shared" si="50"/>
        <v>978797.55</v>
      </c>
      <c r="BN21" s="116">
        <f t="shared" si="51"/>
        <v>0</v>
      </c>
      <c r="BO21" s="117">
        <f t="shared" si="52"/>
        <v>978797.55</v>
      </c>
      <c r="BP21" s="113">
        <f t="shared" si="53"/>
        <v>2177778.16</v>
      </c>
      <c r="BQ21" s="116">
        <f t="shared" ref="BQ21:BR21" si="142">SUM(BN21,BJ21,BF21)</f>
        <v>0</v>
      </c>
      <c r="BR21" s="117">
        <f t="shared" si="142"/>
        <v>2177778.16</v>
      </c>
      <c r="BS21" s="125">
        <f t="shared" si="55"/>
        <v>829595.95</v>
      </c>
      <c r="BT21" s="140">
        <f t="shared" si="56"/>
        <v>509977.29</v>
      </c>
      <c r="BU21" s="123">
        <f t="shared" si="57"/>
        <v>0</v>
      </c>
      <c r="BV21" s="148">
        <f t="shared" si="58"/>
        <v>509977.29</v>
      </c>
      <c r="BW21" s="123">
        <f t="shared" si="59"/>
        <v>196290.96</v>
      </c>
      <c r="BX21" s="326">
        <f t="shared" si="60"/>
        <v>0</v>
      </c>
      <c r="CA21" s="242" t="s">
        <v>94</v>
      </c>
      <c r="CB21" s="242"/>
      <c r="CC21" s="242"/>
    </row>
    <row r="22" spans="1:81" ht="13">
      <c r="A22" s="420">
        <f t="shared" si="0"/>
        <v>112013788</v>
      </c>
      <c r="B22" s="93">
        <f t="shared" si="1"/>
        <v>7</v>
      </c>
      <c r="C22" s="558">
        <f t="shared" si="2"/>
        <v>0.1</v>
      </c>
      <c r="D22" s="558">
        <f t="shared" si="3"/>
        <v>0.2</v>
      </c>
      <c r="E22" s="559">
        <f t="shared" si="4"/>
        <v>0</v>
      </c>
      <c r="F22" s="547">
        <f t="shared" si="5"/>
        <v>62</v>
      </c>
      <c r="G22" s="699">
        <f t="shared" si="6"/>
        <v>0.1</v>
      </c>
      <c r="H22" s="702">
        <f t="shared" si="7"/>
        <v>0.11</v>
      </c>
      <c r="I22" s="423" t="s">
        <v>1281</v>
      </c>
      <c r="J22" s="326"/>
      <c r="K22" s="121"/>
      <c r="L22" s="140">
        <f t="shared" si="8"/>
        <v>0</v>
      </c>
      <c r="M22" s="326">
        <f t="shared" si="9"/>
        <v>0</v>
      </c>
      <c r="N22" s="333">
        <f t="shared" si="10"/>
        <v>0</v>
      </c>
      <c r="O22" s="123">
        <f t="shared" si="11"/>
        <v>0</v>
      </c>
      <c r="P22" s="137" t="e">
        <f t="shared" si="12"/>
        <v>#DIV/0!</v>
      </c>
      <c r="Q22" s="326" t="str">
        <f t="shared" si="13"/>
        <v/>
      </c>
      <c r="R22" s="116">
        <v>1800000</v>
      </c>
      <c r="S22" s="116">
        <f t="shared" si="14"/>
        <v>0</v>
      </c>
      <c r="T22" s="326">
        <f t="shared" si="15"/>
        <v>0</v>
      </c>
      <c r="U22" s="326">
        <f t="shared" si="16"/>
        <v>0</v>
      </c>
      <c r="V22" s="326">
        <f t="shared" si="17"/>
        <v>-1800000</v>
      </c>
      <c r="W22" s="137">
        <f t="shared" si="18"/>
        <v>0</v>
      </c>
      <c r="X22" s="326" t="str">
        <f t="shared" si="19"/>
        <v/>
      </c>
      <c r="Y22" s="121">
        <v>1800000</v>
      </c>
      <c r="Z22" s="113">
        <f t="shared" si="20"/>
        <v>0</v>
      </c>
      <c r="AA22" s="116">
        <f t="shared" si="21"/>
        <v>0</v>
      </c>
      <c r="AB22" s="117">
        <f t="shared" si="22"/>
        <v>0</v>
      </c>
      <c r="AC22" s="114"/>
      <c r="AD22" s="116"/>
      <c r="AE22" s="1257">
        <f t="shared" si="23"/>
        <v>3600000</v>
      </c>
      <c r="AF22" s="140">
        <f t="shared" si="24"/>
        <v>3977696.07</v>
      </c>
      <c r="AG22" s="326">
        <f t="shared" si="25"/>
        <v>0</v>
      </c>
      <c r="AH22" s="326">
        <f t="shared" ref="AH22:AI22" si="143">AA22+T22+M22</f>
        <v>0</v>
      </c>
      <c r="AI22" s="326">
        <f t="shared" si="143"/>
        <v>0</v>
      </c>
      <c r="AJ22" s="326">
        <f t="shared" si="27"/>
        <v>-3977696.07</v>
      </c>
      <c r="AK22" s="1258">
        <f t="shared" si="28"/>
        <v>0</v>
      </c>
      <c r="AL22" s="125" t="str">
        <f t="shared" si="29"/>
        <v/>
      </c>
      <c r="AM22" s="140">
        <f t="shared" si="30"/>
        <v>0</v>
      </c>
      <c r="AN22" s="123">
        <f t="shared" si="31"/>
        <v>0</v>
      </c>
      <c r="AO22" s="148">
        <f t="shared" si="32"/>
        <v>0</v>
      </c>
      <c r="AP22" s="125"/>
      <c r="AQ22" s="140">
        <f t="shared" si="33"/>
        <v>464104.88</v>
      </c>
      <c r="AR22" s="326">
        <f t="shared" si="34"/>
        <v>0</v>
      </c>
      <c r="AS22" s="333">
        <f t="shared" si="35"/>
        <v>464104.88</v>
      </c>
      <c r="AT22" s="123"/>
      <c r="AU22" s="123">
        <f t="shared" si="36"/>
        <v>1126347.5699999998</v>
      </c>
      <c r="AV22" s="123">
        <f t="shared" si="37"/>
        <v>1610557</v>
      </c>
      <c r="AW22" s="125">
        <f t="shared" si="38"/>
        <v>2736904.57</v>
      </c>
      <c r="AX22" s="122">
        <f t="shared" ref="AX22:AZ22" si="144">SUM(AU22,AQ22,AM22)</f>
        <v>1590452.4499999997</v>
      </c>
      <c r="AY22" s="326">
        <f t="shared" si="144"/>
        <v>1610557</v>
      </c>
      <c r="AZ22" s="332">
        <f t="shared" si="144"/>
        <v>3201009.4499999997</v>
      </c>
      <c r="BA22" s="140">
        <f t="shared" ref="BA22:BC22" si="145">SUM(AX22,AG22)</f>
        <v>1590452.4499999997</v>
      </c>
      <c r="BB22" s="326">
        <f t="shared" si="145"/>
        <v>1610557</v>
      </c>
      <c r="BC22" s="435">
        <f t="shared" si="145"/>
        <v>3201009.4499999997</v>
      </c>
      <c r="BD22" s="125" t="str">
        <f t="shared" si="41"/>
        <v/>
      </c>
      <c r="BE22" s="1166">
        <f t="shared" si="42"/>
        <v>435800.06000000006</v>
      </c>
      <c r="BF22" s="116">
        <f t="shared" si="43"/>
        <v>557893.5</v>
      </c>
      <c r="BG22" s="121">
        <f t="shared" si="44"/>
        <v>993693.56</v>
      </c>
      <c r="BH22" s="114" t="str">
        <f t="shared" si="45"/>
        <v/>
      </c>
      <c r="BI22" s="416">
        <f t="shared" si="46"/>
        <v>796070.77</v>
      </c>
      <c r="BJ22" s="121">
        <f t="shared" si="47"/>
        <v>31057.599999999999</v>
      </c>
      <c r="BK22" s="121">
        <f t="shared" si="48"/>
        <v>827128.37</v>
      </c>
      <c r="BL22" s="121" t="str">
        <f t="shared" si="49"/>
        <v/>
      </c>
      <c r="BM22" s="113">
        <f t="shared" si="50"/>
        <v>1324147.95</v>
      </c>
      <c r="BN22" s="116">
        <f t="shared" si="51"/>
        <v>110307.31</v>
      </c>
      <c r="BO22" s="117">
        <f t="shared" si="52"/>
        <v>1434455.26</v>
      </c>
      <c r="BP22" s="113">
        <f t="shared" si="53"/>
        <v>2556018.7799999998</v>
      </c>
      <c r="BQ22" s="116">
        <f t="shared" ref="BQ22:BR22" si="146">SUM(BN22,BJ22,BF22)</f>
        <v>699258.41</v>
      </c>
      <c r="BR22" s="117">
        <f t="shared" si="146"/>
        <v>3255277.19</v>
      </c>
      <c r="BS22" s="125" t="str">
        <f t="shared" si="55"/>
        <v/>
      </c>
      <c r="BT22" s="140">
        <f t="shared" si="56"/>
        <v>649240.03</v>
      </c>
      <c r="BU22" s="123">
        <f t="shared" si="57"/>
        <v>140074.20000000001</v>
      </c>
      <c r="BV22" s="148">
        <f t="shared" si="58"/>
        <v>789314.23</v>
      </c>
      <c r="BW22" s="123" t="str">
        <f t="shared" si="59"/>
        <v/>
      </c>
      <c r="BX22" s="326" t="str">
        <f t="shared" si="60"/>
        <v/>
      </c>
      <c r="CA22" s="231" t="s">
        <v>96</v>
      </c>
      <c r="CB22" s="231"/>
      <c r="CC22" s="231"/>
    </row>
    <row r="23" spans="1:81" ht="13">
      <c r="A23" s="420">
        <f t="shared" si="0"/>
        <v>112013514</v>
      </c>
      <c r="B23" s="93">
        <f t="shared" si="1"/>
        <v>7</v>
      </c>
      <c r="C23" s="699">
        <f t="shared" si="2"/>
        <v>0.1</v>
      </c>
      <c r="D23" s="699">
        <f t="shared" si="3"/>
        <v>0.2</v>
      </c>
      <c r="E23" s="702">
        <f t="shared" si="4"/>
        <v>0</v>
      </c>
      <c r="F23" s="547">
        <f t="shared" si="5"/>
        <v>62</v>
      </c>
      <c r="G23" s="699">
        <f t="shared" si="6"/>
        <v>0.1</v>
      </c>
      <c r="H23" s="702">
        <f t="shared" si="7"/>
        <v>0.11</v>
      </c>
      <c r="I23" s="703" t="s">
        <v>1282</v>
      </c>
      <c r="J23" s="116"/>
      <c r="K23" s="121"/>
      <c r="L23" s="140">
        <f t="shared" si="8"/>
        <v>0</v>
      </c>
      <c r="M23" s="326">
        <f t="shared" si="9"/>
        <v>0</v>
      </c>
      <c r="N23" s="333">
        <f t="shared" si="10"/>
        <v>0</v>
      </c>
      <c r="O23" s="123">
        <f t="shared" si="11"/>
        <v>0</v>
      </c>
      <c r="P23" s="137" t="e">
        <f t="shared" si="12"/>
        <v>#DIV/0!</v>
      </c>
      <c r="Q23" s="116" t="str">
        <f t="shared" si="13"/>
        <v/>
      </c>
      <c r="R23" s="116">
        <v>1800000</v>
      </c>
      <c r="S23" s="116">
        <f t="shared" si="14"/>
        <v>0</v>
      </c>
      <c r="T23" s="326">
        <f t="shared" si="15"/>
        <v>0</v>
      </c>
      <c r="U23" s="326">
        <f t="shared" si="16"/>
        <v>0</v>
      </c>
      <c r="V23" s="326">
        <f t="shared" si="17"/>
        <v>-1800000</v>
      </c>
      <c r="W23" s="137">
        <f t="shared" si="18"/>
        <v>0</v>
      </c>
      <c r="X23" s="116" t="str">
        <f t="shared" si="19"/>
        <v/>
      </c>
      <c r="Y23" s="121">
        <v>1800000</v>
      </c>
      <c r="Z23" s="113">
        <f t="shared" si="20"/>
        <v>0</v>
      </c>
      <c r="AA23" s="116">
        <f t="shared" si="21"/>
        <v>0</v>
      </c>
      <c r="AB23" s="117">
        <f t="shared" si="22"/>
        <v>0</v>
      </c>
      <c r="AC23" s="114"/>
      <c r="AD23" s="116"/>
      <c r="AE23" s="1252">
        <f t="shared" si="23"/>
        <v>3600000</v>
      </c>
      <c r="AF23" s="140">
        <f t="shared" si="24"/>
        <v>6085691.7999999998</v>
      </c>
      <c r="AG23" s="326">
        <f t="shared" si="25"/>
        <v>0</v>
      </c>
      <c r="AH23" s="326">
        <f t="shared" ref="AH23:AI23" si="147">AA23+T23+M23</f>
        <v>0</v>
      </c>
      <c r="AI23" s="326">
        <f t="shared" si="147"/>
        <v>0</v>
      </c>
      <c r="AJ23" s="326">
        <f t="shared" si="27"/>
        <v>-6085691.7999999998</v>
      </c>
      <c r="AK23" s="1258">
        <f t="shared" si="28"/>
        <v>0</v>
      </c>
      <c r="AL23" s="125" t="str">
        <f t="shared" si="29"/>
        <v/>
      </c>
      <c r="AM23" s="140">
        <f t="shared" si="30"/>
        <v>0</v>
      </c>
      <c r="AN23" s="123">
        <f t="shared" si="31"/>
        <v>0</v>
      </c>
      <c r="AO23" s="148">
        <f t="shared" si="32"/>
        <v>0</v>
      </c>
      <c r="AP23" s="125"/>
      <c r="AQ23" s="140">
        <f t="shared" si="33"/>
        <v>0.03</v>
      </c>
      <c r="AR23" s="326">
        <f t="shared" si="34"/>
        <v>0</v>
      </c>
      <c r="AS23" s="333">
        <f t="shared" si="35"/>
        <v>0.03</v>
      </c>
      <c r="AT23" s="123"/>
      <c r="AU23" s="123">
        <f t="shared" si="36"/>
        <v>729031.96</v>
      </c>
      <c r="AV23" s="123">
        <f t="shared" si="37"/>
        <v>0</v>
      </c>
      <c r="AW23" s="125">
        <f t="shared" si="38"/>
        <v>729031.96</v>
      </c>
      <c r="AX23" s="122">
        <f t="shared" ref="AX23:AZ23" si="148">SUM(AU23,AQ23,AM23)</f>
        <v>729031.99</v>
      </c>
      <c r="AY23" s="326">
        <f t="shared" si="148"/>
        <v>0</v>
      </c>
      <c r="AZ23" s="332">
        <f t="shared" si="148"/>
        <v>729031.99</v>
      </c>
      <c r="BA23" s="140">
        <f t="shared" ref="BA23:BC23" si="149">SUM(AX23,AG23)</f>
        <v>729031.99</v>
      </c>
      <c r="BB23" s="326">
        <f t="shared" si="149"/>
        <v>0</v>
      </c>
      <c r="BC23" s="435">
        <f t="shared" si="149"/>
        <v>729031.99</v>
      </c>
      <c r="BD23" s="125" t="str">
        <f t="shared" si="41"/>
        <v/>
      </c>
      <c r="BE23" s="1166">
        <f t="shared" si="42"/>
        <v>1387073.19</v>
      </c>
      <c r="BF23" s="116">
        <f t="shared" si="43"/>
        <v>0</v>
      </c>
      <c r="BG23" s="121">
        <f t="shared" si="44"/>
        <v>1387073.19</v>
      </c>
      <c r="BH23" s="114" t="str">
        <f t="shared" si="45"/>
        <v/>
      </c>
      <c r="BI23" s="416">
        <f t="shared" si="46"/>
        <v>1793585.37</v>
      </c>
      <c r="BJ23" s="121">
        <f t="shared" si="47"/>
        <v>0</v>
      </c>
      <c r="BK23" s="121">
        <f t="shared" si="48"/>
        <v>1793585.37</v>
      </c>
      <c r="BL23" s="121" t="str">
        <f t="shared" si="49"/>
        <v/>
      </c>
      <c r="BM23" s="113">
        <f t="shared" si="50"/>
        <v>1164919.75</v>
      </c>
      <c r="BN23" s="116">
        <f t="shared" si="51"/>
        <v>391913.68</v>
      </c>
      <c r="BO23" s="117">
        <f t="shared" si="52"/>
        <v>1556833.43</v>
      </c>
      <c r="BP23" s="113">
        <f t="shared" si="53"/>
        <v>4345578.3100000005</v>
      </c>
      <c r="BQ23" s="116">
        <f t="shared" ref="BQ23:BR23" si="150">SUM(BN23,BJ23,BF23)</f>
        <v>391913.68</v>
      </c>
      <c r="BR23" s="117">
        <f t="shared" si="150"/>
        <v>4737491.99</v>
      </c>
      <c r="BS23" s="125" t="str">
        <f t="shared" si="55"/>
        <v/>
      </c>
      <c r="BT23" s="140">
        <f t="shared" si="56"/>
        <v>1908388.9000000001</v>
      </c>
      <c r="BU23" s="123">
        <f t="shared" si="57"/>
        <v>423266.8</v>
      </c>
      <c r="BV23" s="148">
        <f t="shared" si="58"/>
        <v>2331655.7000000002</v>
      </c>
      <c r="BW23" s="123" t="str">
        <f t="shared" si="59"/>
        <v/>
      </c>
      <c r="BX23" s="326" t="str">
        <f t="shared" si="60"/>
        <v/>
      </c>
      <c r="CA23" s="231" t="s">
        <v>1283</v>
      </c>
      <c r="CB23" s="231"/>
      <c r="CC23" s="231"/>
    </row>
    <row r="24" spans="1:81" ht="13">
      <c r="A24" s="420">
        <f t="shared" si="0"/>
        <v>112014172</v>
      </c>
      <c r="B24" s="93">
        <f t="shared" si="1"/>
        <v>7</v>
      </c>
      <c r="C24" s="558">
        <f t="shared" si="2"/>
        <v>0.1</v>
      </c>
      <c r="D24" s="558">
        <f t="shared" si="3"/>
        <v>0.2</v>
      </c>
      <c r="E24" s="559">
        <f t="shared" si="4"/>
        <v>0</v>
      </c>
      <c r="F24" s="547">
        <f t="shared" si="5"/>
        <v>62</v>
      </c>
      <c r="G24" s="699">
        <f t="shared" si="6"/>
        <v>0.1</v>
      </c>
      <c r="H24" s="702">
        <f t="shared" si="7"/>
        <v>0.11</v>
      </c>
      <c r="I24" s="423" t="s">
        <v>1284</v>
      </c>
      <c r="J24" s="326">
        <f>IFERROR(VLOOKUP(I24,MONTE24,3,FALSE),"")</f>
        <v>833969.63</v>
      </c>
      <c r="K24" s="121">
        <v>1800000</v>
      </c>
      <c r="L24" s="140">
        <f t="shared" si="8"/>
        <v>0</v>
      </c>
      <c r="M24" s="326">
        <f t="shared" si="9"/>
        <v>794421.63</v>
      </c>
      <c r="N24" s="333">
        <f t="shared" si="10"/>
        <v>794421.63</v>
      </c>
      <c r="O24" s="123">
        <f t="shared" si="11"/>
        <v>-1005578.37</v>
      </c>
      <c r="P24" s="137">
        <f t="shared" si="12"/>
        <v>0.44134535000000003</v>
      </c>
      <c r="Q24" s="326">
        <f t="shared" si="13"/>
        <v>920331.92</v>
      </c>
      <c r="R24" s="116">
        <v>1800000</v>
      </c>
      <c r="S24" s="116">
        <f t="shared" si="14"/>
        <v>0</v>
      </c>
      <c r="T24" s="326">
        <f t="shared" si="15"/>
        <v>910033.48</v>
      </c>
      <c r="U24" s="326">
        <f t="shared" si="16"/>
        <v>910033.48</v>
      </c>
      <c r="V24" s="326">
        <f t="shared" si="17"/>
        <v>-889966.52</v>
      </c>
      <c r="W24" s="137">
        <f t="shared" si="18"/>
        <v>0.50557415555555552</v>
      </c>
      <c r="X24" s="326">
        <f t="shared" si="19"/>
        <v>230376.6</v>
      </c>
      <c r="Y24" s="121">
        <v>1800000</v>
      </c>
      <c r="Z24" s="113">
        <f t="shared" si="20"/>
        <v>0</v>
      </c>
      <c r="AA24" s="116">
        <f t="shared" si="21"/>
        <v>2384971.9500000002</v>
      </c>
      <c r="AB24" s="117">
        <f t="shared" si="22"/>
        <v>2384971.9500000002</v>
      </c>
      <c r="AC24" s="114"/>
      <c r="AD24" s="116"/>
      <c r="AE24" s="1257">
        <f t="shared" si="23"/>
        <v>5400000</v>
      </c>
      <c r="AF24" s="140">
        <f t="shared" si="24"/>
        <v>2075970.6</v>
      </c>
      <c r="AG24" s="326">
        <f t="shared" si="25"/>
        <v>0</v>
      </c>
      <c r="AH24" s="326">
        <f t="shared" ref="AH24:AI24" si="151">AA24+T24+M24</f>
        <v>4089427.06</v>
      </c>
      <c r="AI24" s="326">
        <f t="shared" si="151"/>
        <v>4089427.06</v>
      </c>
      <c r="AJ24" s="326">
        <f t="shared" si="27"/>
        <v>2013456.46</v>
      </c>
      <c r="AK24" s="1258">
        <f t="shared" si="28"/>
        <v>1.9698867893408509</v>
      </c>
      <c r="AL24" s="125">
        <f t="shared" si="29"/>
        <v>1648731.71</v>
      </c>
      <c r="AM24" s="140">
        <f t="shared" si="30"/>
        <v>413352.65</v>
      </c>
      <c r="AN24" s="123">
        <f t="shared" si="31"/>
        <v>0</v>
      </c>
      <c r="AO24" s="148">
        <f t="shared" si="32"/>
        <v>413352.65</v>
      </c>
      <c r="AP24" s="125">
        <f>IFERROR(VLOOKUP(I24,MONTE24,7,FALSE),"")</f>
        <v>1159944.28</v>
      </c>
      <c r="AQ24" s="140">
        <f t="shared" si="33"/>
        <v>0</v>
      </c>
      <c r="AR24" s="326">
        <f t="shared" si="34"/>
        <v>0</v>
      </c>
      <c r="AS24" s="333">
        <f t="shared" si="35"/>
        <v>0</v>
      </c>
      <c r="AT24" s="123">
        <f>IFERROR(VLOOKUP(I24,MONTE24,8,FALSE),"")</f>
        <v>127808.3</v>
      </c>
      <c r="AU24" s="123">
        <f t="shared" si="36"/>
        <v>0</v>
      </c>
      <c r="AV24" s="123">
        <f t="shared" si="37"/>
        <v>1280697.71</v>
      </c>
      <c r="AW24" s="125">
        <f t="shared" si="38"/>
        <v>1280697.71</v>
      </c>
      <c r="AX24" s="122">
        <f t="shared" ref="AX24:AZ24" si="152">SUM(AU24,AQ24,AM24)</f>
        <v>413352.65</v>
      </c>
      <c r="AY24" s="326">
        <f t="shared" si="152"/>
        <v>1280697.71</v>
      </c>
      <c r="AZ24" s="332">
        <f t="shared" si="152"/>
        <v>1694050.3599999999</v>
      </c>
      <c r="BA24" s="140">
        <f t="shared" ref="BA24:BC24" si="153">SUM(AX24,AG24)</f>
        <v>413352.65</v>
      </c>
      <c r="BB24" s="326">
        <f t="shared" si="153"/>
        <v>5370124.7699999996</v>
      </c>
      <c r="BC24" s="435">
        <f t="shared" si="153"/>
        <v>5783477.4199999999</v>
      </c>
      <c r="BD24" s="125">
        <f t="shared" si="41"/>
        <v>0</v>
      </c>
      <c r="BE24" s="1166">
        <f t="shared" si="42"/>
        <v>27676.179999999935</v>
      </c>
      <c r="BF24" s="116">
        <f t="shared" si="43"/>
        <v>1237214.0900000001</v>
      </c>
      <c r="BG24" s="121">
        <f t="shared" si="44"/>
        <v>1264890.27</v>
      </c>
      <c r="BH24" s="114">
        <f t="shared" si="45"/>
        <v>2035013.77</v>
      </c>
      <c r="BI24" s="416">
        <f t="shared" si="46"/>
        <v>88528.580000000075</v>
      </c>
      <c r="BJ24" s="121">
        <f t="shared" si="47"/>
        <v>658520.71</v>
      </c>
      <c r="BK24" s="121">
        <f t="shared" si="48"/>
        <v>747049.29</v>
      </c>
      <c r="BL24" s="121">
        <f t="shared" si="49"/>
        <v>75152.039999999994</v>
      </c>
      <c r="BM24" s="113">
        <f t="shared" si="50"/>
        <v>0</v>
      </c>
      <c r="BN24" s="116">
        <f t="shared" si="51"/>
        <v>1873197.02</v>
      </c>
      <c r="BO24" s="117">
        <f t="shared" si="52"/>
        <v>1873197.02</v>
      </c>
      <c r="BP24" s="113">
        <f t="shared" si="53"/>
        <v>116204.75999999978</v>
      </c>
      <c r="BQ24" s="116">
        <f t="shared" ref="BQ24:BR24" si="154">SUM(BN24,BJ24,BF24)</f>
        <v>3768931.8200000003</v>
      </c>
      <c r="BR24" s="117">
        <f t="shared" si="154"/>
        <v>3885136.58</v>
      </c>
      <c r="BS24" s="125">
        <f t="shared" si="55"/>
        <v>0</v>
      </c>
      <c r="BT24" s="140">
        <f t="shared" si="56"/>
        <v>7609.5</v>
      </c>
      <c r="BU24" s="123">
        <f t="shared" si="57"/>
        <v>3433681.41</v>
      </c>
      <c r="BV24" s="148">
        <f t="shared" si="58"/>
        <v>3441290.91</v>
      </c>
      <c r="BW24" s="123">
        <f t="shared" si="59"/>
        <v>0</v>
      </c>
      <c r="BX24" s="326">
        <f t="shared" si="60"/>
        <v>2075970.6</v>
      </c>
      <c r="CA24" s="1275">
        <v>45566</v>
      </c>
      <c r="CB24" s="245"/>
      <c r="CC24" s="245"/>
    </row>
    <row r="25" spans="1:81" ht="13">
      <c r="A25" s="420">
        <f t="shared" si="0"/>
        <v>112011735</v>
      </c>
      <c r="B25" s="93">
        <f t="shared" si="1"/>
        <v>22</v>
      </c>
      <c r="C25" s="558">
        <f t="shared" si="2"/>
        <v>0.1</v>
      </c>
      <c r="D25" s="558">
        <f t="shared" si="3"/>
        <v>0.09</v>
      </c>
      <c r="E25" s="559">
        <f t="shared" si="4"/>
        <v>0</v>
      </c>
      <c r="F25" s="547">
        <f t="shared" si="5"/>
        <v>63</v>
      </c>
      <c r="G25" s="699">
        <f t="shared" si="6"/>
        <v>0.1</v>
      </c>
      <c r="H25" s="702">
        <f t="shared" si="7"/>
        <v>0.05</v>
      </c>
      <c r="I25" s="423" t="s">
        <v>1285</v>
      </c>
      <c r="J25" s="326">
        <f>IFERROR(VLOOKUP(I25,MONTE24,3,FALSE),"")</f>
        <v>930156.71</v>
      </c>
      <c r="K25" s="121">
        <v>3000000</v>
      </c>
      <c r="L25" s="140">
        <f t="shared" si="8"/>
        <v>2716362.13</v>
      </c>
      <c r="M25" s="326">
        <f t="shared" si="9"/>
        <v>150640.01999999999</v>
      </c>
      <c r="N25" s="333">
        <f t="shared" si="10"/>
        <v>2867002.15</v>
      </c>
      <c r="O25" s="123">
        <f t="shared" si="11"/>
        <v>-132997.85000000009</v>
      </c>
      <c r="P25" s="137">
        <f t="shared" si="12"/>
        <v>0.95566738333333334</v>
      </c>
      <c r="Q25" s="326">
        <f t="shared" si="13"/>
        <v>520312.17</v>
      </c>
      <c r="R25" s="116">
        <v>3000000</v>
      </c>
      <c r="S25" s="116">
        <f t="shared" si="14"/>
        <v>1481106.47</v>
      </c>
      <c r="T25" s="326">
        <f t="shared" si="15"/>
        <v>179609.08</v>
      </c>
      <c r="U25" s="326">
        <f t="shared" si="16"/>
        <v>1660715.55</v>
      </c>
      <c r="V25" s="326">
        <f t="shared" si="17"/>
        <v>-1339284.45</v>
      </c>
      <c r="W25" s="137">
        <f t="shared" si="18"/>
        <v>0.55357184999999998</v>
      </c>
      <c r="X25" s="326">
        <f t="shared" si="19"/>
        <v>288219.65999999997</v>
      </c>
      <c r="Y25" s="121">
        <v>3000000</v>
      </c>
      <c r="Z25" s="113">
        <f t="shared" si="20"/>
        <v>488720.11999999994</v>
      </c>
      <c r="AA25" s="116">
        <f t="shared" si="21"/>
        <v>39485.21</v>
      </c>
      <c r="AB25" s="117">
        <f t="shared" si="22"/>
        <v>528205.32999999996</v>
      </c>
      <c r="AC25" s="114"/>
      <c r="AD25" s="116"/>
      <c r="AE25" s="1257">
        <f t="shared" si="23"/>
        <v>9000000</v>
      </c>
      <c r="AF25" s="140">
        <f t="shared" si="24"/>
        <v>3596302.39</v>
      </c>
      <c r="AG25" s="326">
        <f t="shared" si="25"/>
        <v>4686188.72</v>
      </c>
      <c r="AH25" s="326">
        <f t="shared" ref="AH25:AI25" si="155">AA25+T25+M25</f>
        <v>369734.30999999994</v>
      </c>
      <c r="AI25" s="326">
        <f t="shared" si="155"/>
        <v>5055923.0299999993</v>
      </c>
      <c r="AJ25" s="326">
        <f t="shared" si="27"/>
        <v>1459620.6399999992</v>
      </c>
      <c r="AK25" s="1258">
        <f t="shared" si="28"/>
        <v>1.4058670494613217</v>
      </c>
      <c r="AL25" s="125">
        <f t="shared" si="29"/>
        <v>1699038.95</v>
      </c>
      <c r="AM25" s="140">
        <f t="shared" si="30"/>
        <v>1093564.25</v>
      </c>
      <c r="AN25" s="123">
        <f t="shared" si="31"/>
        <v>90459.5</v>
      </c>
      <c r="AO25" s="148">
        <f t="shared" si="32"/>
        <v>1184023.75</v>
      </c>
      <c r="AP25" s="125">
        <f>IFERROR(VLOOKUP(I25,MONTE24,7,FALSE),"")</f>
        <v>604359.97</v>
      </c>
      <c r="AQ25" s="140">
        <f t="shared" si="33"/>
        <v>1575048.8</v>
      </c>
      <c r="AR25" s="326">
        <f t="shared" si="34"/>
        <v>0</v>
      </c>
      <c r="AS25" s="333">
        <f t="shared" si="35"/>
        <v>1575048.8</v>
      </c>
      <c r="AT25" s="123">
        <f>IFERROR(VLOOKUP(I25,MONTE24,8,FALSE),"")</f>
        <v>380561.75</v>
      </c>
      <c r="AU25" s="123">
        <f t="shared" si="36"/>
        <v>1007904.1599999999</v>
      </c>
      <c r="AV25" s="123">
        <f t="shared" si="37"/>
        <v>30705.78</v>
      </c>
      <c r="AW25" s="125">
        <f t="shared" si="38"/>
        <v>1038609.94</v>
      </c>
      <c r="AX25" s="122">
        <f t="shared" ref="AX25:AZ25" si="156">SUM(AU25,AQ25,AM25)</f>
        <v>3676517.21</v>
      </c>
      <c r="AY25" s="326">
        <f t="shared" si="156"/>
        <v>121165.28</v>
      </c>
      <c r="AZ25" s="332">
        <f t="shared" si="156"/>
        <v>3797682.49</v>
      </c>
      <c r="BA25" s="140">
        <f t="shared" ref="BA25:BC25" si="157">SUM(AX25,AG25)</f>
        <v>8362705.9299999997</v>
      </c>
      <c r="BB25" s="326">
        <f t="shared" si="157"/>
        <v>490899.58999999997</v>
      </c>
      <c r="BC25" s="435">
        <f t="shared" si="157"/>
        <v>8853605.5199999996</v>
      </c>
      <c r="BD25" s="125">
        <f t="shared" si="41"/>
        <v>745505.95</v>
      </c>
      <c r="BE25" s="1166">
        <f t="shared" si="42"/>
        <v>926751.72</v>
      </c>
      <c r="BF25" s="116">
        <f t="shared" si="43"/>
        <v>0</v>
      </c>
      <c r="BG25" s="121">
        <f t="shared" si="44"/>
        <v>926751.72</v>
      </c>
      <c r="BH25" s="114">
        <f t="shared" si="45"/>
        <v>1260025.3500000001</v>
      </c>
      <c r="BI25" s="416">
        <f t="shared" si="46"/>
        <v>740745.73</v>
      </c>
      <c r="BJ25" s="121">
        <f t="shared" si="47"/>
        <v>0</v>
      </c>
      <c r="BK25" s="121">
        <f t="shared" si="48"/>
        <v>740745.73</v>
      </c>
      <c r="BL25" s="121">
        <f t="shared" si="49"/>
        <v>977523.96</v>
      </c>
      <c r="BM25" s="113">
        <f t="shared" si="50"/>
        <v>441669.58</v>
      </c>
      <c r="BN25" s="116">
        <f t="shared" si="51"/>
        <v>0</v>
      </c>
      <c r="BO25" s="117">
        <f t="shared" si="52"/>
        <v>441669.58</v>
      </c>
      <c r="BP25" s="113">
        <f t="shared" si="53"/>
        <v>2109167.0300000003</v>
      </c>
      <c r="BQ25" s="116">
        <f t="shared" ref="BQ25:BR25" si="158">SUM(BN25,BJ25,BF25)</f>
        <v>0</v>
      </c>
      <c r="BR25" s="117">
        <f t="shared" si="158"/>
        <v>2109167.0300000003</v>
      </c>
      <c r="BS25" s="125">
        <f t="shared" si="55"/>
        <v>1021319.88</v>
      </c>
      <c r="BT25" s="140">
        <f t="shared" si="56"/>
        <v>196832.16</v>
      </c>
      <c r="BU25" s="123">
        <f t="shared" si="57"/>
        <v>0</v>
      </c>
      <c r="BV25" s="148">
        <f t="shared" si="58"/>
        <v>196832.16</v>
      </c>
      <c r="BW25" s="123">
        <f t="shared" si="59"/>
        <v>1232169.8600000001</v>
      </c>
      <c r="BX25" s="326">
        <f t="shared" si="60"/>
        <v>1342812.65</v>
      </c>
    </row>
    <row r="26" spans="1:81" ht="13">
      <c r="A26" s="420">
        <f t="shared" si="0"/>
        <v>112013551</v>
      </c>
      <c r="B26" s="93">
        <f t="shared" si="1"/>
        <v>22</v>
      </c>
      <c r="C26" s="558">
        <f t="shared" si="2"/>
        <v>0.1</v>
      </c>
      <c r="D26" s="558">
        <f t="shared" si="3"/>
        <v>0.09</v>
      </c>
      <c r="E26" s="559">
        <f t="shared" si="4"/>
        <v>0</v>
      </c>
      <c r="F26" s="547">
        <f t="shared" si="5"/>
        <v>63</v>
      </c>
      <c r="G26" s="699">
        <f t="shared" si="6"/>
        <v>0.1</v>
      </c>
      <c r="H26" s="702">
        <f t="shared" si="7"/>
        <v>0.05</v>
      </c>
      <c r="I26" s="423" t="s">
        <v>1286</v>
      </c>
      <c r="J26" s="326"/>
      <c r="K26" s="121"/>
      <c r="L26" s="140" t="e">
        <f t="shared" si="8"/>
        <v>#VALUE!</v>
      </c>
      <c r="M26" s="326" t="str">
        <f t="shared" si="9"/>
        <v/>
      </c>
      <c r="N26" s="333">
        <f t="shared" si="10"/>
        <v>0</v>
      </c>
      <c r="O26" s="123">
        <f t="shared" si="11"/>
        <v>0</v>
      </c>
      <c r="P26" s="137" t="e">
        <f t="shared" si="12"/>
        <v>#DIV/0!</v>
      </c>
      <c r="Q26" s="326" t="str">
        <f t="shared" si="13"/>
        <v/>
      </c>
      <c r="R26" s="116">
        <v>1800000</v>
      </c>
      <c r="S26" s="116" t="e">
        <f t="shared" si="14"/>
        <v>#VALUE!</v>
      </c>
      <c r="T26" s="326" t="str">
        <f t="shared" si="15"/>
        <v/>
      </c>
      <c r="U26" s="326">
        <f t="shared" si="16"/>
        <v>0</v>
      </c>
      <c r="V26" s="326">
        <f t="shared" si="17"/>
        <v>-1800000</v>
      </c>
      <c r="W26" s="137">
        <f t="shared" si="18"/>
        <v>0</v>
      </c>
      <c r="X26" s="326" t="str">
        <f t="shared" si="19"/>
        <v/>
      </c>
      <c r="Y26" s="121">
        <v>1800000</v>
      </c>
      <c r="Z26" s="113" t="e">
        <f t="shared" si="20"/>
        <v>#VALUE!</v>
      </c>
      <c r="AA26" s="116" t="str">
        <f t="shared" si="21"/>
        <v/>
      </c>
      <c r="AB26" s="117">
        <f t="shared" si="22"/>
        <v>0</v>
      </c>
      <c r="AC26" s="114"/>
      <c r="AD26" s="116"/>
      <c r="AE26" s="1257">
        <f t="shared" si="23"/>
        <v>3600000</v>
      </c>
      <c r="AF26" s="140" t="str">
        <f t="shared" si="24"/>
        <v>0</v>
      </c>
      <c r="AG26" s="326" t="e">
        <f t="shared" si="25"/>
        <v>#VALUE!</v>
      </c>
      <c r="AH26" s="326" t="e">
        <f t="shared" ref="AH26:AI26" si="159">AA26+T26+M26</f>
        <v>#VALUE!</v>
      </c>
      <c r="AI26" s="326">
        <f t="shared" si="159"/>
        <v>0</v>
      </c>
      <c r="AJ26" s="326">
        <f t="shared" si="27"/>
        <v>0</v>
      </c>
      <c r="AK26" s="1258" t="str">
        <f t="shared" si="28"/>
        <v/>
      </c>
      <c r="AL26" s="125" t="str">
        <f t="shared" si="29"/>
        <v/>
      </c>
      <c r="AM26" s="140" t="e">
        <f t="shared" si="30"/>
        <v>#VALUE!</v>
      </c>
      <c r="AN26" s="123" t="str">
        <f t="shared" si="31"/>
        <v/>
      </c>
      <c r="AO26" s="148">
        <f t="shared" si="32"/>
        <v>1249912.56</v>
      </c>
      <c r="AP26" s="125"/>
      <c r="AQ26" s="140" t="e">
        <f t="shared" si="33"/>
        <v>#VALUE!</v>
      </c>
      <c r="AR26" s="326" t="str">
        <f t="shared" si="34"/>
        <v/>
      </c>
      <c r="AS26" s="333">
        <f t="shared" si="35"/>
        <v>1110590.05</v>
      </c>
      <c r="AT26" s="123"/>
      <c r="AU26" s="123" t="e">
        <f t="shared" si="36"/>
        <v>#VALUE!</v>
      </c>
      <c r="AV26" s="123" t="str">
        <f t="shared" si="37"/>
        <v/>
      </c>
      <c r="AW26" s="125">
        <f t="shared" si="38"/>
        <v>948043.44</v>
      </c>
      <c r="AX26" s="122" t="e">
        <f t="shared" ref="AX26:AZ26" si="160">SUM(AU26,AQ26,AM26)</f>
        <v>#VALUE!</v>
      </c>
      <c r="AY26" s="326">
        <f t="shared" si="160"/>
        <v>0</v>
      </c>
      <c r="AZ26" s="332">
        <f t="shared" si="160"/>
        <v>3308546.05</v>
      </c>
      <c r="BA26" s="140" t="e">
        <f t="shared" ref="BA26:BC26" si="161">SUM(AX26,AG26)</f>
        <v>#VALUE!</v>
      </c>
      <c r="BB26" s="326" t="e">
        <f t="shared" si="161"/>
        <v>#VALUE!</v>
      </c>
      <c r="BC26" s="435">
        <f t="shared" si="161"/>
        <v>3308546.05</v>
      </c>
      <c r="BD26" s="125" t="str">
        <f t="shared" si="41"/>
        <v/>
      </c>
      <c r="BE26" s="1166" t="e">
        <f t="shared" si="42"/>
        <v>#VALUE!</v>
      </c>
      <c r="BF26" s="116" t="str">
        <f t="shared" si="43"/>
        <v/>
      </c>
      <c r="BG26" s="121">
        <f t="shared" si="44"/>
        <v>480817.05</v>
      </c>
      <c r="BH26" s="114" t="str">
        <f t="shared" si="45"/>
        <v/>
      </c>
      <c r="BI26" s="416" t="e">
        <f t="shared" si="46"/>
        <v>#VALUE!</v>
      </c>
      <c r="BJ26" s="121" t="str">
        <f t="shared" si="47"/>
        <v/>
      </c>
      <c r="BK26" s="121">
        <f t="shared" si="48"/>
        <v>126228.6</v>
      </c>
      <c r="BL26" s="121" t="str">
        <f t="shared" si="49"/>
        <v/>
      </c>
      <c r="BM26" s="113" t="e">
        <f t="shared" si="50"/>
        <v>#VALUE!</v>
      </c>
      <c r="BN26" s="116" t="str">
        <f t="shared" si="51"/>
        <v/>
      </c>
      <c r="BO26" s="117">
        <f t="shared" si="52"/>
        <v>1053117.73</v>
      </c>
      <c r="BP26" s="113">
        <f t="shared" si="53"/>
        <v>1660163.3800000001</v>
      </c>
      <c r="BQ26" s="116">
        <f t="shared" ref="BQ26:BR26" si="162">SUM(BN26,BJ26,BF26)</f>
        <v>0</v>
      </c>
      <c r="BR26" s="117">
        <f t="shared" si="162"/>
        <v>1660163.3800000001</v>
      </c>
      <c r="BS26" s="125" t="str">
        <f t="shared" si="55"/>
        <v/>
      </c>
      <c r="BT26" s="140" t="e">
        <f t="shared" si="56"/>
        <v>#VALUE!</v>
      </c>
      <c r="BU26" s="123" t="str">
        <f t="shared" si="57"/>
        <v/>
      </c>
      <c r="BV26" s="148">
        <f t="shared" si="58"/>
        <v>393216.84</v>
      </c>
      <c r="BW26" s="123" t="str">
        <f t="shared" si="59"/>
        <v/>
      </c>
      <c r="BX26" s="326" t="str">
        <f t="shared" si="60"/>
        <v/>
      </c>
    </row>
    <row r="27" spans="1:81" ht="13">
      <c r="A27" s="420">
        <f t="shared" si="0"/>
        <v>112014146</v>
      </c>
      <c r="B27" s="93">
        <f t="shared" si="1"/>
        <v>22</v>
      </c>
      <c r="C27" s="558">
        <f t="shared" si="2"/>
        <v>0.1</v>
      </c>
      <c r="D27" s="558">
        <f t="shared" si="3"/>
        <v>0.09</v>
      </c>
      <c r="E27" s="559">
        <f t="shared" si="4"/>
        <v>0</v>
      </c>
      <c r="F27" s="547">
        <f t="shared" si="5"/>
        <v>63</v>
      </c>
      <c r="G27" s="699">
        <f t="shared" si="6"/>
        <v>0.1</v>
      </c>
      <c r="H27" s="702">
        <f t="shared" si="7"/>
        <v>0.05</v>
      </c>
      <c r="I27" s="423" t="s">
        <v>1287</v>
      </c>
      <c r="J27" s="326">
        <f t="shared" ref="J27:J47" si="163">IFERROR(VLOOKUP(I27,MONTE24,3,FALSE),"")</f>
        <v>232694.77</v>
      </c>
      <c r="K27" s="121">
        <v>1800000</v>
      </c>
      <c r="L27" s="140">
        <f t="shared" si="8"/>
        <v>961828.32</v>
      </c>
      <c r="M27" s="326">
        <f t="shared" si="9"/>
        <v>6600</v>
      </c>
      <c r="N27" s="333">
        <f t="shared" si="10"/>
        <v>968428.32</v>
      </c>
      <c r="O27" s="123">
        <f t="shared" si="11"/>
        <v>-831571.68</v>
      </c>
      <c r="P27" s="137">
        <f t="shared" si="12"/>
        <v>0.5380157333333333</v>
      </c>
      <c r="Q27" s="326">
        <f t="shared" si="13"/>
        <v>275772.33</v>
      </c>
      <c r="R27" s="116">
        <v>1800000</v>
      </c>
      <c r="S27" s="116">
        <f t="shared" si="14"/>
        <v>708788.45</v>
      </c>
      <c r="T27" s="326">
        <f t="shared" si="15"/>
        <v>9582.6299999999992</v>
      </c>
      <c r="U27" s="326">
        <f t="shared" si="16"/>
        <v>718371.08</v>
      </c>
      <c r="V27" s="326">
        <f t="shared" si="17"/>
        <v>-1081628.92</v>
      </c>
      <c r="W27" s="137">
        <f t="shared" si="18"/>
        <v>0.39909504444444444</v>
      </c>
      <c r="X27" s="326">
        <f t="shared" si="19"/>
        <v>223617.08</v>
      </c>
      <c r="Y27" s="121">
        <v>1800000</v>
      </c>
      <c r="Z27" s="113">
        <f t="shared" si="20"/>
        <v>359744.69</v>
      </c>
      <c r="AA27" s="116">
        <f t="shared" si="21"/>
        <v>0</v>
      </c>
      <c r="AB27" s="117">
        <f t="shared" si="22"/>
        <v>359744.69</v>
      </c>
      <c r="AC27" s="114"/>
      <c r="AD27" s="116"/>
      <c r="AE27" s="1257">
        <f t="shared" si="23"/>
        <v>5400000</v>
      </c>
      <c r="AF27" s="140">
        <f t="shared" si="24"/>
        <v>1728228.35</v>
      </c>
      <c r="AG27" s="326">
        <f t="shared" si="25"/>
        <v>2030361.46</v>
      </c>
      <c r="AH27" s="326">
        <f t="shared" ref="AH27:AI27" si="164">AA27+T27+M27</f>
        <v>16182.63</v>
      </c>
      <c r="AI27" s="326">
        <f t="shared" si="164"/>
        <v>2046544.0899999999</v>
      </c>
      <c r="AJ27" s="326">
        <f t="shared" si="27"/>
        <v>318315.73999999976</v>
      </c>
      <c r="AK27" s="1258">
        <f t="shared" si="28"/>
        <v>1.1841861580386641</v>
      </c>
      <c r="AL27" s="125">
        <f t="shared" si="29"/>
        <v>299490.58</v>
      </c>
      <c r="AM27" s="140">
        <f t="shared" si="30"/>
        <v>558461.86</v>
      </c>
      <c r="AN27" s="123">
        <f t="shared" si="31"/>
        <v>25280.9</v>
      </c>
      <c r="AO27" s="148">
        <f t="shared" si="32"/>
        <v>583742.76</v>
      </c>
      <c r="AP27" s="125">
        <f t="shared" ref="AP27:AP47" si="165">IFERROR(VLOOKUP(I27,MONTE24,7,FALSE),"")</f>
        <v>202399.07</v>
      </c>
      <c r="AQ27" s="140">
        <f t="shared" si="33"/>
        <v>442061.14999999997</v>
      </c>
      <c r="AR27" s="326">
        <f t="shared" si="34"/>
        <v>26544.95</v>
      </c>
      <c r="AS27" s="333">
        <f t="shared" si="35"/>
        <v>468606.1</v>
      </c>
      <c r="AT27" s="123">
        <f t="shared" ref="AT27:AT47" si="166">IFERROR(VLOOKUP(I27,MONTE24,8,FALSE),"")</f>
        <v>403017.3</v>
      </c>
      <c r="AU27" s="123">
        <f t="shared" si="36"/>
        <v>180279.35</v>
      </c>
      <c r="AV27" s="123">
        <f t="shared" si="37"/>
        <v>0</v>
      </c>
      <c r="AW27" s="125">
        <f t="shared" si="38"/>
        <v>180279.35</v>
      </c>
      <c r="AX27" s="122">
        <f t="shared" ref="AX27:AZ27" si="167">SUM(AU27,AQ27,AM27)</f>
        <v>1180802.3599999999</v>
      </c>
      <c r="AY27" s="326">
        <f t="shared" si="167"/>
        <v>51825.850000000006</v>
      </c>
      <c r="AZ27" s="332">
        <f t="shared" si="167"/>
        <v>1232628.21</v>
      </c>
      <c r="BA27" s="140">
        <f t="shared" ref="BA27:BC27" si="168">SUM(AX27,AG27)</f>
        <v>3211163.82</v>
      </c>
      <c r="BB27" s="326">
        <f t="shared" si="168"/>
        <v>68008.48000000001</v>
      </c>
      <c r="BC27" s="435">
        <f t="shared" si="168"/>
        <v>3279172.3</v>
      </c>
      <c r="BD27" s="125">
        <f t="shared" si="41"/>
        <v>308022.46000000002</v>
      </c>
      <c r="BE27" s="1166">
        <f t="shared" si="42"/>
        <v>426557.24</v>
      </c>
      <c r="BF27" s="116">
        <f t="shared" si="43"/>
        <v>26544.95</v>
      </c>
      <c r="BG27" s="121">
        <f t="shared" si="44"/>
        <v>453102.19</v>
      </c>
      <c r="BH27" s="114">
        <f t="shared" si="45"/>
        <v>291104.44</v>
      </c>
      <c r="BI27" s="416">
        <f t="shared" si="46"/>
        <v>396944.72</v>
      </c>
      <c r="BJ27" s="121">
        <f t="shared" si="47"/>
        <v>26544.95</v>
      </c>
      <c r="BK27" s="121">
        <f t="shared" si="48"/>
        <v>423489.67</v>
      </c>
      <c r="BL27" s="121">
        <f t="shared" si="49"/>
        <v>450868.63</v>
      </c>
      <c r="BM27" s="113">
        <f t="shared" si="50"/>
        <v>692610.56000000006</v>
      </c>
      <c r="BN27" s="116">
        <f t="shared" si="51"/>
        <v>0</v>
      </c>
      <c r="BO27" s="117">
        <f t="shared" si="52"/>
        <v>692610.56000000006</v>
      </c>
      <c r="BP27" s="113">
        <f t="shared" si="53"/>
        <v>1516112.52</v>
      </c>
      <c r="BQ27" s="116">
        <f t="shared" ref="BQ27:BR27" si="169">SUM(BN27,BJ27,BF27)</f>
        <v>53089.9</v>
      </c>
      <c r="BR27" s="117">
        <f t="shared" si="169"/>
        <v>1569202.42</v>
      </c>
      <c r="BS27" s="125">
        <f t="shared" si="55"/>
        <v>530048.11</v>
      </c>
      <c r="BT27" s="140">
        <f t="shared" si="56"/>
        <v>1146301.0799999998</v>
      </c>
      <c r="BU27" s="123">
        <f t="shared" si="57"/>
        <v>29958.32</v>
      </c>
      <c r="BV27" s="148">
        <f t="shared" si="58"/>
        <v>1176259.3999999999</v>
      </c>
      <c r="BW27" s="123">
        <f t="shared" si="59"/>
        <v>504332.14</v>
      </c>
      <c r="BX27" s="326">
        <f t="shared" si="60"/>
        <v>693848.1</v>
      </c>
    </row>
    <row r="28" spans="1:81" ht="13">
      <c r="A28" s="420">
        <f t="shared" si="0"/>
        <v>112014348</v>
      </c>
      <c r="B28" s="93">
        <f t="shared" si="1"/>
        <v>22</v>
      </c>
      <c r="C28" s="558">
        <f t="shared" si="2"/>
        <v>0.1</v>
      </c>
      <c r="D28" s="558">
        <f t="shared" si="3"/>
        <v>0.09</v>
      </c>
      <c r="E28" s="559">
        <f t="shared" si="4"/>
        <v>0</v>
      </c>
      <c r="F28" s="547">
        <f t="shared" si="5"/>
        <v>63</v>
      </c>
      <c r="G28" s="699">
        <f t="shared" si="6"/>
        <v>0.1</v>
      </c>
      <c r="H28" s="702">
        <f t="shared" si="7"/>
        <v>0.05</v>
      </c>
      <c r="I28" s="423" t="s">
        <v>1288</v>
      </c>
      <c r="J28" s="326">
        <f t="shared" si="163"/>
        <v>49436.98</v>
      </c>
      <c r="K28" s="121">
        <v>1800000</v>
      </c>
      <c r="L28" s="140">
        <f t="shared" si="8"/>
        <v>621794.4</v>
      </c>
      <c r="M28" s="326">
        <f t="shared" si="9"/>
        <v>6600</v>
      </c>
      <c r="N28" s="333">
        <f t="shared" si="10"/>
        <v>628394.4</v>
      </c>
      <c r="O28" s="123">
        <f t="shared" si="11"/>
        <v>-1171605.6000000001</v>
      </c>
      <c r="P28" s="137">
        <f t="shared" si="12"/>
        <v>0.34910800000000003</v>
      </c>
      <c r="Q28" s="326">
        <f t="shared" si="13"/>
        <v>211539.35</v>
      </c>
      <c r="R28" s="116">
        <v>1800000</v>
      </c>
      <c r="S28" s="116">
        <f t="shared" si="14"/>
        <v>886180.99</v>
      </c>
      <c r="T28" s="326">
        <f t="shared" si="15"/>
        <v>0</v>
      </c>
      <c r="U28" s="326">
        <f t="shared" si="16"/>
        <v>886180.99</v>
      </c>
      <c r="V28" s="326">
        <f t="shared" si="17"/>
        <v>-913819.01</v>
      </c>
      <c r="W28" s="137">
        <f t="shared" si="18"/>
        <v>0.4923227722222222</v>
      </c>
      <c r="X28" s="326">
        <f t="shared" si="19"/>
        <v>0</v>
      </c>
      <c r="Y28" s="121">
        <v>1800000</v>
      </c>
      <c r="Z28" s="113">
        <f t="shared" si="20"/>
        <v>26779</v>
      </c>
      <c r="AA28" s="116">
        <f t="shared" si="21"/>
        <v>0</v>
      </c>
      <c r="AB28" s="117">
        <f t="shared" si="22"/>
        <v>26779</v>
      </c>
      <c r="AC28" s="114"/>
      <c r="AD28" s="116"/>
      <c r="AE28" s="1257">
        <f t="shared" si="23"/>
        <v>5400000</v>
      </c>
      <c r="AF28" s="140">
        <f t="shared" si="24"/>
        <v>3803811.7</v>
      </c>
      <c r="AG28" s="326">
        <f t="shared" si="25"/>
        <v>1534754.3900000001</v>
      </c>
      <c r="AH28" s="326">
        <f t="shared" ref="AH28:AI28" si="170">AA28+T28+M28</f>
        <v>6600</v>
      </c>
      <c r="AI28" s="326">
        <f t="shared" si="170"/>
        <v>1541354.3900000001</v>
      </c>
      <c r="AJ28" s="326">
        <f t="shared" si="27"/>
        <v>-2262457.31</v>
      </c>
      <c r="AK28" s="1258">
        <f t="shared" si="28"/>
        <v>0.40521311557036327</v>
      </c>
      <c r="AL28" s="125">
        <f t="shared" si="29"/>
        <v>330450.53000000003</v>
      </c>
      <c r="AM28" s="140">
        <f t="shared" si="30"/>
        <v>935190.8</v>
      </c>
      <c r="AN28" s="123">
        <f t="shared" si="31"/>
        <v>0</v>
      </c>
      <c r="AO28" s="148">
        <f t="shared" si="32"/>
        <v>935190.8</v>
      </c>
      <c r="AP28" s="125">
        <f t="shared" si="165"/>
        <v>416002.05</v>
      </c>
      <c r="AQ28" s="140">
        <f t="shared" si="33"/>
        <v>968473.8</v>
      </c>
      <c r="AR28" s="326">
        <f t="shared" si="34"/>
        <v>0</v>
      </c>
      <c r="AS28" s="333">
        <f t="shared" si="35"/>
        <v>968473.8</v>
      </c>
      <c r="AT28" s="123">
        <f t="shared" si="166"/>
        <v>761172.83</v>
      </c>
      <c r="AU28" s="123">
        <f t="shared" si="36"/>
        <v>475989.4</v>
      </c>
      <c r="AV28" s="123">
        <f t="shared" si="37"/>
        <v>0</v>
      </c>
      <c r="AW28" s="125">
        <f t="shared" si="38"/>
        <v>475989.4</v>
      </c>
      <c r="AX28" s="122">
        <f t="shared" ref="AX28:AZ28" si="171">SUM(AU28,AQ28,AM28)</f>
        <v>2379654</v>
      </c>
      <c r="AY28" s="326">
        <f t="shared" si="171"/>
        <v>0</v>
      </c>
      <c r="AZ28" s="332">
        <f t="shared" si="171"/>
        <v>2379654</v>
      </c>
      <c r="BA28" s="140">
        <f t="shared" ref="BA28:BC28" si="172">SUM(AX28,AG28)</f>
        <v>3914408.39</v>
      </c>
      <c r="BB28" s="326">
        <f t="shared" si="172"/>
        <v>6600</v>
      </c>
      <c r="BC28" s="435">
        <f t="shared" si="172"/>
        <v>3921008.39</v>
      </c>
      <c r="BD28" s="125">
        <f t="shared" si="41"/>
        <v>1744291.53</v>
      </c>
      <c r="BE28" s="1166">
        <f t="shared" si="42"/>
        <v>980282.22</v>
      </c>
      <c r="BF28" s="116">
        <f t="shared" si="43"/>
        <v>0</v>
      </c>
      <c r="BG28" s="121">
        <f t="shared" si="44"/>
        <v>980282.22</v>
      </c>
      <c r="BH28" s="114">
        <f t="shared" si="45"/>
        <v>379540.13</v>
      </c>
      <c r="BI28" s="416">
        <f t="shared" si="46"/>
        <v>373873.23</v>
      </c>
      <c r="BJ28" s="121">
        <f t="shared" si="47"/>
        <v>0</v>
      </c>
      <c r="BK28" s="121">
        <f t="shared" si="48"/>
        <v>373873.23</v>
      </c>
      <c r="BL28" s="121">
        <f t="shared" si="49"/>
        <v>1037357.04</v>
      </c>
      <c r="BM28" s="113">
        <f t="shared" si="50"/>
        <v>1560307.39</v>
      </c>
      <c r="BN28" s="116">
        <f t="shared" si="51"/>
        <v>0</v>
      </c>
      <c r="BO28" s="117">
        <f t="shared" si="52"/>
        <v>1560307.39</v>
      </c>
      <c r="BP28" s="113">
        <f t="shared" si="53"/>
        <v>2914462.84</v>
      </c>
      <c r="BQ28" s="116">
        <f t="shared" ref="BQ28:BR28" si="173">SUM(BN28,BJ28,BF28)</f>
        <v>0</v>
      </c>
      <c r="BR28" s="117">
        <f t="shared" si="173"/>
        <v>2914462.84</v>
      </c>
      <c r="BS28" s="125">
        <f t="shared" si="55"/>
        <v>1835173.23</v>
      </c>
      <c r="BT28" s="140">
        <f t="shared" si="56"/>
        <v>1213177.73</v>
      </c>
      <c r="BU28" s="123">
        <f t="shared" si="57"/>
        <v>0</v>
      </c>
      <c r="BV28" s="148">
        <f t="shared" si="58"/>
        <v>1213177.73</v>
      </c>
      <c r="BW28" s="123">
        <f t="shared" si="59"/>
        <v>462859.94</v>
      </c>
      <c r="BX28" s="326">
        <f t="shared" si="60"/>
        <v>1505778.52</v>
      </c>
    </row>
    <row r="29" spans="1:81" ht="13">
      <c r="A29" s="420">
        <f t="shared" si="0"/>
        <v>112013740</v>
      </c>
      <c r="B29" s="93">
        <f t="shared" si="1"/>
        <v>22</v>
      </c>
      <c r="C29" s="558">
        <f t="shared" si="2"/>
        <v>0.1</v>
      </c>
      <c r="D29" s="558">
        <f t="shared" si="3"/>
        <v>0.09</v>
      </c>
      <c r="E29" s="559">
        <f t="shared" si="4"/>
        <v>0</v>
      </c>
      <c r="F29" s="547">
        <f t="shared" si="5"/>
        <v>63</v>
      </c>
      <c r="G29" s="699">
        <f t="shared" si="6"/>
        <v>0.1</v>
      </c>
      <c r="H29" s="702">
        <f t="shared" si="7"/>
        <v>0.05</v>
      </c>
      <c r="I29" s="423" t="s">
        <v>1289</v>
      </c>
      <c r="J29" s="326">
        <f t="shared" si="163"/>
        <v>0</v>
      </c>
      <c r="K29" s="121">
        <v>1800000</v>
      </c>
      <c r="L29" s="140" t="e">
        <f t="shared" si="8"/>
        <v>#VALUE!</v>
      </c>
      <c r="M29" s="326" t="str">
        <f t="shared" si="9"/>
        <v/>
      </c>
      <c r="N29" s="333" t="str">
        <f t="shared" si="10"/>
        <v/>
      </c>
      <c r="O29" s="123" t="e">
        <f t="shared" si="11"/>
        <v>#VALUE!</v>
      </c>
      <c r="P29" s="137" t="e">
        <f t="shared" si="12"/>
        <v>#VALUE!</v>
      </c>
      <c r="Q29" s="326">
        <f t="shared" si="13"/>
        <v>0</v>
      </c>
      <c r="R29" s="116">
        <v>1800000</v>
      </c>
      <c r="S29" s="116" t="e">
        <f t="shared" si="14"/>
        <v>#VALUE!</v>
      </c>
      <c r="T29" s="326" t="str">
        <f t="shared" si="15"/>
        <v/>
      </c>
      <c r="U29" s="326" t="str">
        <f t="shared" si="16"/>
        <v/>
      </c>
      <c r="V29" s="326" t="e">
        <f t="shared" si="17"/>
        <v>#VALUE!</v>
      </c>
      <c r="W29" s="137" t="e">
        <f t="shared" si="18"/>
        <v>#VALUE!</v>
      </c>
      <c r="X29" s="326">
        <f t="shared" si="19"/>
        <v>0</v>
      </c>
      <c r="Y29" s="121">
        <v>1800000</v>
      </c>
      <c r="Z29" s="113" t="e">
        <f t="shared" si="20"/>
        <v>#VALUE!</v>
      </c>
      <c r="AA29" s="116" t="str">
        <f t="shared" si="21"/>
        <v/>
      </c>
      <c r="AB29" s="117" t="str">
        <f t="shared" si="22"/>
        <v/>
      </c>
      <c r="AC29" s="114"/>
      <c r="AD29" s="116"/>
      <c r="AE29" s="1257">
        <f t="shared" si="23"/>
        <v>5400000</v>
      </c>
      <c r="AF29" s="140" t="str">
        <f t="shared" si="24"/>
        <v>0</v>
      </c>
      <c r="AG29" s="326" t="e">
        <f t="shared" si="25"/>
        <v>#VALUE!</v>
      </c>
      <c r="AH29" s="326" t="e">
        <f t="shared" ref="AH29:AI29" si="174">AA29+T29+M29</f>
        <v>#VALUE!</v>
      </c>
      <c r="AI29" s="326" t="e">
        <f t="shared" si="174"/>
        <v>#VALUE!</v>
      </c>
      <c r="AJ29" s="326" t="e">
        <f t="shared" si="27"/>
        <v>#VALUE!</v>
      </c>
      <c r="AK29" s="1258" t="str">
        <f t="shared" si="28"/>
        <v/>
      </c>
      <c r="AL29" s="125">
        <f t="shared" si="29"/>
        <v>1708281.49</v>
      </c>
      <c r="AM29" s="140" t="e">
        <f t="shared" si="30"/>
        <v>#VALUE!</v>
      </c>
      <c r="AN29" s="123" t="str">
        <f t="shared" si="31"/>
        <v/>
      </c>
      <c r="AO29" s="148" t="str">
        <f t="shared" si="32"/>
        <v/>
      </c>
      <c r="AP29" s="125">
        <f t="shared" si="165"/>
        <v>0</v>
      </c>
      <c r="AQ29" s="140" t="e">
        <f t="shared" si="33"/>
        <v>#VALUE!</v>
      </c>
      <c r="AR29" s="326" t="str">
        <f t="shared" si="34"/>
        <v/>
      </c>
      <c r="AS29" s="333" t="str">
        <f t="shared" si="35"/>
        <v/>
      </c>
      <c r="AT29" s="123">
        <f t="shared" si="166"/>
        <v>0</v>
      </c>
      <c r="AU29" s="123" t="e">
        <f t="shared" si="36"/>
        <v>#VALUE!</v>
      </c>
      <c r="AV29" s="123" t="str">
        <f t="shared" si="37"/>
        <v/>
      </c>
      <c r="AW29" s="125" t="str">
        <f t="shared" si="38"/>
        <v/>
      </c>
      <c r="AX29" s="122" t="e">
        <f t="shared" ref="AX29:AZ29" si="175">SUM(AU29,AQ29,AM29)</f>
        <v>#VALUE!</v>
      </c>
      <c r="AY29" s="326">
        <f t="shared" si="175"/>
        <v>0</v>
      </c>
      <c r="AZ29" s="332">
        <f t="shared" si="175"/>
        <v>0</v>
      </c>
      <c r="BA29" s="140" t="e">
        <f t="shared" ref="BA29:BC29" si="176">SUM(AX29,AG29)</f>
        <v>#VALUE!</v>
      </c>
      <c r="BB29" s="326" t="e">
        <f t="shared" si="176"/>
        <v>#VALUE!</v>
      </c>
      <c r="BC29" s="435" t="e">
        <f t="shared" si="176"/>
        <v>#VALUE!</v>
      </c>
      <c r="BD29" s="125">
        <f t="shared" si="41"/>
        <v>754604.85</v>
      </c>
      <c r="BE29" s="1166" t="e">
        <f t="shared" si="42"/>
        <v>#VALUE!</v>
      </c>
      <c r="BF29" s="116" t="str">
        <f t="shared" si="43"/>
        <v/>
      </c>
      <c r="BG29" s="121" t="str">
        <f t="shared" si="44"/>
        <v/>
      </c>
      <c r="BH29" s="114">
        <f t="shared" si="45"/>
        <v>528564.77</v>
      </c>
      <c r="BI29" s="416" t="e">
        <f t="shared" si="46"/>
        <v>#VALUE!</v>
      </c>
      <c r="BJ29" s="121" t="str">
        <f t="shared" si="47"/>
        <v/>
      </c>
      <c r="BK29" s="121" t="str">
        <f t="shared" si="48"/>
        <v/>
      </c>
      <c r="BL29" s="121">
        <f t="shared" si="49"/>
        <v>507543.95</v>
      </c>
      <c r="BM29" s="113" t="e">
        <f t="shared" si="50"/>
        <v>#VALUE!</v>
      </c>
      <c r="BN29" s="116" t="str">
        <f t="shared" si="51"/>
        <v/>
      </c>
      <c r="BO29" s="741" t="str">
        <f t="shared" si="52"/>
        <v/>
      </c>
      <c r="BP29" s="113">
        <f t="shared" si="53"/>
        <v>0</v>
      </c>
      <c r="BQ29" s="116">
        <f t="shared" ref="BQ29:BR29" si="177">SUM(BN29,BJ29,BF29)</f>
        <v>0</v>
      </c>
      <c r="BR29" s="117">
        <f t="shared" si="177"/>
        <v>0</v>
      </c>
      <c r="BS29" s="125">
        <f t="shared" si="55"/>
        <v>0</v>
      </c>
      <c r="BT29" s="140" t="e">
        <f t="shared" si="56"/>
        <v>#VALUE!</v>
      </c>
      <c r="BU29" s="123" t="str">
        <f t="shared" si="57"/>
        <v/>
      </c>
      <c r="BV29" s="148" t="str">
        <f t="shared" si="58"/>
        <v/>
      </c>
      <c r="BW29" s="123">
        <f t="shared" si="59"/>
        <v>0</v>
      </c>
      <c r="BX29" s="326">
        <f t="shared" si="60"/>
        <v>0</v>
      </c>
    </row>
    <row r="30" spans="1:81" ht="13">
      <c r="A30" s="420">
        <f t="shared" si="0"/>
        <v>112014219</v>
      </c>
      <c r="B30" s="93">
        <f t="shared" si="1"/>
        <v>22</v>
      </c>
      <c r="C30" s="558">
        <f t="shared" si="2"/>
        <v>0.1</v>
      </c>
      <c r="D30" s="558">
        <f t="shared" si="3"/>
        <v>0.09</v>
      </c>
      <c r="E30" s="559">
        <f t="shared" si="4"/>
        <v>0</v>
      </c>
      <c r="F30" s="547">
        <f t="shared" si="5"/>
        <v>63</v>
      </c>
      <c r="G30" s="699">
        <f t="shared" si="6"/>
        <v>0.1</v>
      </c>
      <c r="H30" s="702">
        <f t="shared" si="7"/>
        <v>0.05</v>
      </c>
      <c r="I30" s="423" t="s">
        <v>1290</v>
      </c>
      <c r="J30" s="326" t="str">
        <f t="shared" si="163"/>
        <v/>
      </c>
      <c r="K30" s="121" t="e">
        <f>(J30*1.601)*1.05</f>
        <v>#VALUE!</v>
      </c>
      <c r="L30" s="140">
        <f t="shared" si="8"/>
        <v>8817888.6899999995</v>
      </c>
      <c r="M30" s="326">
        <f t="shared" si="9"/>
        <v>19800</v>
      </c>
      <c r="N30" s="333">
        <f t="shared" si="10"/>
        <v>8837688.6899999995</v>
      </c>
      <c r="O30" s="123" t="e">
        <f t="shared" si="11"/>
        <v>#VALUE!</v>
      </c>
      <c r="P30" s="137" t="e">
        <f t="shared" si="12"/>
        <v>#VALUE!</v>
      </c>
      <c r="Q30" s="326" t="str">
        <f t="shared" si="13"/>
        <v/>
      </c>
      <c r="R30" s="116" t="e">
        <f>(Q30*1.7245)*1.05</f>
        <v>#VALUE!</v>
      </c>
      <c r="S30" s="116">
        <f t="shared" si="14"/>
        <v>5993121.8500000006</v>
      </c>
      <c r="T30" s="326">
        <f t="shared" si="15"/>
        <v>200072.27</v>
      </c>
      <c r="U30" s="326">
        <f t="shared" si="16"/>
        <v>6193194.1200000001</v>
      </c>
      <c r="V30" s="326" t="e">
        <f t="shared" si="17"/>
        <v>#VALUE!</v>
      </c>
      <c r="W30" s="137" t="e">
        <f t="shared" si="18"/>
        <v>#VALUE!</v>
      </c>
      <c r="X30" s="326" t="str">
        <f t="shared" si="19"/>
        <v/>
      </c>
      <c r="Y30" s="121" t="e">
        <f>(X30*1.5955)*1.05</f>
        <v>#VALUE!</v>
      </c>
      <c r="Z30" s="113">
        <f t="shared" si="20"/>
        <v>4891307.26</v>
      </c>
      <c r="AA30" s="116">
        <f t="shared" si="21"/>
        <v>12776.84</v>
      </c>
      <c r="AB30" s="117">
        <f t="shared" si="22"/>
        <v>4904084.0999999996</v>
      </c>
      <c r="AC30" s="114"/>
      <c r="AD30" s="116"/>
      <c r="AE30" s="1257" t="e">
        <f t="shared" si="23"/>
        <v>#VALUE!</v>
      </c>
      <c r="AF30" s="140" t="str">
        <f t="shared" si="24"/>
        <v>0</v>
      </c>
      <c r="AG30" s="326">
        <f t="shared" si="25"/>
        <v>19702317.799999997</v>
      </c>
      <c r="AH30" s="326">
        <f t="shared" ref="AH30:AI30" si="178">AA30+T30+M30</f>
        <v>232649.11</v>
      </c>
      <c r="AI30" s="326">
        <f t="shared" si="178"/>
        <v>19934966.909999996</v>
      </c>
      <c r="AJ30" s="326">
        <f t="shared" si="27"/>
        <v>19934966.909999996</v>
      </c>
      <c r="AK30" s="1258" t="str">
        <f t="shared" si="28"/>
        <v/>
      </c>
      <c r="AL30" s="125" t="str">
        <f t="shared" si="29"/>
        <v/>
      </c>
      <c r="AM30" s="140">
        <f t="shared" si="30"/>
        <v>4340901.2</v>
      </c>
      <c r="AN30" s="123">
        <f t="shared" si="31"/>
        <v>169661.3</v>
      </c>
      <c r="AO30" s="148">
        <f t="shared" si="32"/>
        <v>4510562.5</v>
      </c>
      <c r="AP30" s="125" t="str">
        <f t="shared" si="165"/>
        <v/>
      </c>
      <c r="AQ30" s="140">
        <f t="shared" si="33"/>
        <v>3763874.67</v>
      </c>
      <c r="AR30" s="326">
        <f t="shared" si="34"/>
        <v>311752.64</v>
      </c>
      <c r="AS30" s="333">
        <f t="shared" si="35"/>
        <v>4075627.31</v>
      </c>
      <c r="AT30" s="123" t="str">
        <f t="shared" si="166"/>
        <v/>
      </c>
      <c r="AU30" s="123">
        <f t="shared" si="36"/>
        <v>3061532.19</v>
      </c>
      <c r="AV30" s="123">
        <f t="shared" si="37"/>
        <v>31057.599999999999</v>
      </c>
      <c r="AW30" s="125">
        <f t="shared" si="38"/>
        <v>3092589.79</v>
      </c>
      <c r="AX30" s="122">
        <f t="shared" ref="AX30:AZ30" si="179">SUM(AU30,AQ30,AM30)</f>
        <v>11166308.059999999</v>
      </c>
      <c r="AY30" s="326">
        <f t="shared" si="179"/>
        <v>512471.54</v>
      </c>
      <c r="AZ30" s="332">
        <f t="shared" si="179"/>
        <v>11678779.6</v>
      </c>
      <c r="BA30" s="140">
        <f t="shared" ref="BA30:BC30" si="180">SUM(AX30,AG30)</f>
        <v>30868625.859999996</v>
      </c>
      <c r="BB30" s="326">
        <f t="shared" si="180"/>
        <v>745120.64999999991</v>
      </c>
      <c r="BC30" s="435">
        <f t="shared" si="180"/>
        <v>31613746.509999998</v>
      </c>
      <c r="BD30" s="125" t="str">
        <f t="shared" si="41"/>
        <v/>
      </c>
      <c r="BE30" s="1166">
        <f t="shared" si="42"/>
        <v>4686483.9000000004</v>
      </c>
      <c r="BF30" s="116">
        <f t="shared" si="43"/>
        <v>133608.26999999999</v>
      </c>
      <c r="BG30" s="121">
        <f t="shared" si="44"/>
        <v>4820092.17</v>
      </c>
      <c r="BH30" s="114" t="str">
        <f t="shared" si="45"/>
        <v/>
      </c>
      <c r="BI30" s="416">
        <f t="shared" si="46"/>
        <v>3707109.36</v>
      </c>
      <c r="BJ30" s="121">
        <f t="shared" si="47"/>
        <v>0</v>
      </c>
      <c r="BK30" s="121">
        <f t="shared" si="48"/>
        <v>3707109.36</v>
      </c>
      <c r="BL30" s="121" t="str">
        <f t="shared" si="49"/>
        <v/>
      </c>
      <c r="BM30" s="113">
        <f t="shared" si="50"/>
        <v>4715621.84</v>
      </c>
      <c r="BN30" s="116">
        <f t="shared" si="51"/>
        <v>0</v>
      </c>
      <c r="BO30" s="117">
        <f t="shared" si="52"/>
        <v>4715621.84</v>
      </c>
      <c r="BP30" s="113">
        <f t="shared" si="53"/>
        <v>13109215.1</v>
      </c>
      <c r="BQ30" s="116">
        <f t="shared" ref="BQ30:BR30" si="181">SUM(BN30,BJ30,BF30)</f>
        <v>133608.26999999999</v>
      </c>
      <c r="BR30" s="117">
        <f t="shared" si="181"/>
        <v>13242823.369999999</v>
      </c>
      <c r="BS30" s="125" t="str">
        <f t="shared" si="55"/>
        <v/>
      </c>
      <c r="BT30" s="140">
        <f t="shared" si="56"/>
        <v>10513386.060000001</v>
      </c>
      <c r="BU30" s="123">
        <f t="shared" si="57"/>
        <v>0</v>
      </c>
      <c r="BV30" s="148">
        <f t="shared" si="58"/>
        <v>10513386.060000001</v>
      </c>
      <c r="BW30" s="123" t="str">
        <f t="shared" si="59"/>
        <v/>
      </c>
      <c r="BX30" s="326" t="str">
        <f t="shared" si="60"/>
        <v/>
      </c>
    </row>
    <row r="31" spans="1:81" ht="13">
      <c r="A31" s="420">
        <f t="shared" si="0"/>
        <v>112013986</v>
      </c>
      <c r="B31" s="93">
        <f t="shared" si="1"/>
        <v>22</v>
      </c>
      <c r="C31" s="558">
        <f t="shared" si="2"/>
        <v>0.1</v>
      </c>
      <c r="D31" s="558">
        <f t="shared" si="3"/>
        <v>0.09</v>
      </c>
      <c r="E31" s="559">
        <f t="shared" si="4"/>
        <v>0</v>
      </c>
      <c r="F31" s="547">
        <f t="shared" si="5"/>
        <v>63</v>
      </c>
      <c r="G31" s="699">
        <f t="shared" si="6"/>
        <v>0.1</v>
      </c>
      <c r="H31" s="702">
        <f t="shared" si="7"/>
        <v>0.05</v>
      </c>
      <c r="I31" s="423" t="s">
        <v>1291</v>
      </c>
      <c r="J31" s="326">
        <f t="shared" si="163"/>
        <v>610405.98</v>
      </c>
      <c r="K31" s="332">
        <v>1800000</v>
      </c>
      <c r="L31" s="140" t="e">
        <f t="shared" si="8"/>
        <v>#VALUE!</v>
      </c>
      <c r="M31" s="326" t="str">
        <f t="shared" si="9"/>
        <v/>
      </c>
      <c r="N31" s="333">
        <f t="shared" si="10"/>
        <v>0</v>
      </c>
      <c r="O31" s="123">
        <f t="shared" si="11"/>
        <v>-1800000</v>
      </c>
      <c r="P31" s="137">
        <f t="shared" si="12"/>
        <v>0</v>
      </c>
      <c r="Q31" s="326">
        <f t="shared" si="13"/>
        <v>376651.24</v>
      </c>
      <c r="R31" s="326">
        <v>1800000</v>
      </c>
      <c r="S31" s="116" t="e">
        <f t="shared" si="14"/>
        <v>#VALUE!</v>
      </c>
      <c r="T31" s="326" t="str">
        <f t="shared" si="15"/>
        <v/>
      </c>
      <c r="U31" s="326">
        <f t="shared" si="16"/>
        <v>753383.29</v>
      </c>
      <c r="V31" s="326">
        <f t="shared" si="17"/>
        <v>-1046616.71</v>
      </c>
      <c r="W31" s="137">
        <f t="shared" si="18"/>
        <v>0.41854627222222224</v>
      </c>
      <c r="X31" s="326">
        <f t="shared" si="19"/>
        <v>368055.58</v>
      </c>
      <c r="Y31" s="332">
        <v>1800000</v>
      </c>
      <c r="Z31" s="113" t="e">
        <f t="shared" si="20"/>
        <v>#VALUE!</v>
      </c>
      <c r="AA31" s="116" t="str">
        <f t="shared" si="21"/>
        <v/>
      </c>
      <c r="AB31" s="117">
        <f t="shared" si="22"/>
        <v>698146.65</v>
      </c>
      <c r="AC31" s="123"/>
      <c r="AD31" s="326"/>
      <c r="AE31" s="1257">
        <f t="shared" si="23"/>
        <v>5400000</v>
      </c>
      <c r="AF31" s="140">
        <f t="shared" si="24"/>
        <v>1247558.19</v>
      </c>
      <c r="AG31" s="326" t="e">
        <f t="shared" si="25"/>
        <v>#VALUE!</v>
      </c>
      <c r="AH31" s="326" t="e">
        <f t="shared" ref="AH31:AI31" si="182">AA31+T31+M31</f>
        <v>#VALUE!</v>
      </c>
      <c r="AI31" s="326">
        <f t="shared" si="182"/>
        <v>1451529.94</v>
      </c>
      <c r="AJ31" s="326">
        <f t="shared" si="27"/>
        <v>203971.75</v>
      </c>
      <c r="AK31" s="1258">
        <f t="shared" si="28"/>
        <v>1.1634967824627083</v>
      </c>
      <c r="AL31" s="125">
        <f t="shared" si="29"/>
        <v>0</v>
      </c>
      <c r="AM31" s="140" t="e">
        <f t="shared" si="30"/>
        <v>#VALUE!</v>
      </c>
      <c r="AN31" s="123" t="str">
        <f t="shared" si="31"/>
        <v/>
      </c>
      <c r="AO31" s="148">
        <f t="shared" si="32"/>
        <v>204380.89</v>
      </c>
      <c r="AP31" s="125">
        <f t="shared" si="165"/>
        <v>236545.87</v>
      </c>
      <c r="AQ31" s="140" t="e">
        <f t="shared" si="33"/>
        <v>#VALUE!</v>
      </c>
      <c r="AR31" s="326" t="str">
        <f t="shared" si="34"/>
        <v/>
      </c>
      <c r="AS31" s="333">
        <f t="shared" si="35"/>
        <v>147817.99</v>
      </c>
      <c r="AT31" s="123">
        <f t="shared" si="166"/>
        <v>366633.2</v>
      </c>
      <c r="AU31" s="123" t="e">
        <f t="shared" si="36"/>
        <v>#VALUE!</v>
      </c>
      <c r="AV31" s="123" t="str">
        <f t="shared" si="37"/>
        <v/>
      </c>
      <c r="AW31" s="125">
        <f t="shared" si="38"/>
        <v>418358.44</v>
      </c>
      <c r="AX31" s="122" t="e">
        <f t="shared" ref="AX31:AZ31" si="183">SUM(AU31,AQ31,AM31)</f>
        <v>#VALUE!</v>
      </c>
      <c r="AY31" s="326">
        <f t="shared" si="183"/>
        <v>0</v>
      </c>
      <c r="AZ31" s="332">
        <f t="shared" si="183"/>
        <v>770557.32</v>
      </c>
      <c r="BA31" s="140" t="e">
        <f t="shared" ref="BA31:BC31" si="184">SUM(AX31,AG31)</f>
        <v>#VALUE!</v>
      </c>
      <c r="BB31" s="326" t="e">
        <f t="shared" si="184"/>
        <v>#VALUE!</v>
      </c>
      <c r="BC31" s="435">
        <f t="shared" si="184"/>
        <v>2222087.2599999998</v>
      </c>
      <c r="BD31" s="125">
        <f t="shared" si="41"/>
        <v>285716.06</v>
      </c>
      <c r="BE31" s="1166" t="e">
        <f t="shared" si="42"/>
        <v>#VALUE!</v>
      </c>
      <c r="BF31" s="116" t="str">
        <f t="shared" si="43"/>
        <v/>
      </c>
      <c r="BG31" s="121">
        <f t="shared" si="44"/>
        <v>262485.61</v>
      </c>
      <c r="BH31" s="114">
        <f t="shared" si="45"/>
        <v>710652.76</v>
      </c>
      <c r="BI31" s="416" t="e">
        <f t="shared" si="46"/>
        <v>#VALUE!</v>
      </c>
      <c r="BJ31" s="121" t="str">
        <f t="shared" si="47"/>
        <v/>
      </c>
      <c r="BK31" s="121">
        <f t="shared" si="48"/>
        <v>892293.7</v>
      </c>
      <c r="BL31" s="121">
        <f t="shared" si="49"/>
        <v>645854.49</v>
      </c>
      <c r="BM31" s="113" t="e">
        <f t="shared" si="50"/>
        <v>#VALUE!</v>
      </c>
      <c r="BN31" s="116" t="str">
        <f t="shared" si="51"/>
        <v/>
      </c>
      <c r="BO31" s="117">
        <f t="shared" si="52"/>
        <v>112759.89</v>
      </c>
      <c r="BP31" s="113">
        <f t="shared" si="53"/>
        <v>1267539.2</v>
      </c>
      <c r="BQ31" s="116">
        <f t="shared" ref="BQ31:BR31" si="185">SUM(BN31,BJ31,BF31)</f>
        <v>0</v>
      </c>
      <c r="BR31" s="117">
        <f t="shared" si="185"/>
        <v>1267539.2</v>
      </c>
      <c r="BS31" s="125">
        <f t="shared" si="55"/>
        <v>402704.59</v>
      </c>
      <c r="BT31" s="140" t="e">
        <f t="shared" si="56"/>
        <v>#VALUE!</v>
      </c>
      <c r="BU31" s="123" t="str">
        <f t="shared" si="57"/>
        <v/>
      </c>
      <c r="BV31" s="148">
        <f t="shared" si="58"/>
        <v>1139694.46</v>
      </c>
      <c r="BW31" s="123">
        <f t="shared" si="59"/>
        <v>461384.2</v>
      </c>
      <c r="BX31" s="326">
        <f t="shared" si="60"/>
        <v>383469.4</v>
      </c>
    </row>
    <row r="32" spans="1:81" ht="13">
      <c r="A32" s="420">
        <f t="shared" si="0"/>
        <v>112013988</v>
      </c>
      <c r="B32" s="93">
        <f t="shared" si="1"/>
        <v>22</v>
      </c>
      <c r="C32" s="558">
        <f t="shared" si="2"/>
        <v>0.1</v>
      </c>
      <c r="D32" s="558">
        <f t="shared" si="3"/>
        <v>0.09</v>
      </c>
      <c r="E32" s="559">
        <f t="shared" si="4"/>
        <v>0</v>
      </c>
      <c r="F32" s="547">
        <f t="shared" si="5"/>
        <v>63</v>
      </c>
      <c r="G32" s="699">
        <f t="shared" si="6"/>
        <v>0.1</v>
      </c>
      <c r="H32" s="702">
        <f t="shared" si="7"/>
        <v>0.05</v>
      </c>
      <c r="I32" s="423" t="s">
        <v>1292</v>
      </c>
      <c r="J32" s="326">
        <f t="shared" si="163"/>
        <v>138584.74</v>
      </c>
      <c r="K32" s="121">
        <v>1800000</v>
      </c>
      <c r="L32" s="140" t="e">
        <f t="shared" si="8"/>
        <v>#VALUE!</v>
      </c>
      <c r="M32" s="326" t="str">
        <f t="shared" si="9"/>
        <v/>
      </c>
      <c r="N32" s="333">
        <f t="shared" si="10"/>
        <v>0</v>
      </c>
      <c r="O32" s="123">
        <f t="shared" si="11"/>
        <v>-1800000</v>
      </c>
      <c r="P32" s="137">
        <f t="shared" si="12"/>
        <v>0</v>
      </c>
      <c r="Q32" s="326">
        <f t="shared" si="13"/>
        <v>374696.39</v>
      </c>
      <c r="R32" s="116">
        <v>1800000</v>
      </c>
      <c r="S32" s="116" t="e">
        <f t="shared" si="14"/>
        <v>#VALUE!</v>
      </c>
      <c r="T32" s="326" t="str">
        <f t="shared" si="15"/>
        <v/>
      </c>
      <c r="U32" s="326">
        <f t="shared" si="16"/>
        <v>1632744.33</v>
      </c>
      <c r="V32" s="326">
        <f t="shared" si="17"/>
        <v>-167255.66999999993</v>
      </c>
      <c r="W32" s="137">
        <f t="shared" si="18"/>
        <v>0.9070801833333334</v>
      </c>
      <c r="X32" s="326">
        <f t="shared" si="19"/>
        <v>1294168</v>
      </c>
      <c r="Y32" s="121">
        <f>(X32*1.5955)*1.05</f>
        <v>2168087.2962000002</v>
      </c>
      <c r="Z32" s="113" t="e">
        <f t="shared" si="20"/>
        <v>#VALUE!</v>
      </c>
      <c r="AA32" s="116" t="str">
        <f t="shared" si="21"/>
        <v/>
      </c>
      <c r="AB32" s="117">
        <f t="shared" si="22"/>
        <v>334742.43</v>
      </c>
      <c r="AC32" s="114"/>
      <c r="AD32" s="116"/>
      <c r="AE32" s="1257">
        <f t="shared" si="23"/>
        <v>5768087.2961999997</v>
      </c>
      <c r="AF32" s="140">
        <f t="shared" si="24"/>
        <v>2423599.4700000002</v>
      </c>
      <c r="AG32" s="326" t="e">
        <f t="shared" si="25"/>
        <v>#VALUE!</v>
      </c>
      <c r="AH32" s="326" t="e">
        <f t="shared" ref="AH32:AI32" si="186">AA32+T32+M32</f>
        <v>#VALUE!</v>
      </c>
      <c r="AI32" s="326">
        <f t="shared" si="186"/>
        <v>1967486.76</v>
      </c>
      <c r="AJ32" s="326">
        <f t="shared" si="27"/>
        <v>-456112.7100000002</v>
      </c>
      <c r="AK32" s="1258">
        <f t="shared" si="28"/>
        <v>0.81180359393295287</v>
      </c>
      <c r="AL32" s="125">
        <f t="shared" si="29"/>
        <v>830031.45</v>
      </c>
      <c r="AM32" s="140" t="e">
        <f t="shared" si="30"/>
        <v>#VALUE!</v>
      </c>
      <c r="AN32" s="123" t="str">
        <f t="shared" si="31"/>
        <v/>
      </c>
      <c r="AO32" s="148">
        <f t="shared" si="32"/>
        <v>2339568.46</v>
      </c>
      <c r="AP32" s="125">
        <f t="shared" si="165"/>
        <v>125776.19</v>
      </c>
      <c r="AQ32" s="140" t="e">
        <f t="shared" si="33"/>
        <v>#VALUE!</v>
      </c>
      <c r="AR32" s="326" t="str">
        <f t="shared" si="34"/>
        <v/>
      </c>
      <c r="AS32" s="333">
        <f t="shared" si="35"/>
        <v>1147150.1299999999</v>
      </c>
      <c r="AT32" s="123">
        <f t="shared" si="166"/>
        <v>447046.14</v>
      </c>
      <c r="AU32" s="123" t="e">
        <f t="shared" si="36"/>
        <v>#VALUE!</v>
      </c>
      <c r="AV32" s="123" t="str">
        <f t="shared" si="37"/>
        <v/>
      </c>
      <c r="AW32" s="125">
        <f t="shared" si="38"/>
        <v>602746.16</v>
      </c>
      <c r="AX32" s="122" t="e">
        <f t="shared" ref="AX32:AZ32" si="187">SUM(AU32,AQ32,AM32)</f>
        <v>#VALUE!</v>
      </c>
      <c r="AY32" s="326">
        <f t="shared" si="187"/>
        <v>0</v>
      </c>
      <c r="AZ32" s="332">
        <f t="shared" si="187"/>
        <v>4089464.75</v>
      </c>
      <c r="BA32" s="140" t="e">
        <f t="shared" ref="BA32:BC32" si="188">SUM(AX32,AG32)</f>
        <v>#VALUE!</v>
      </c>
      <c r="BB32" s="326" t="e">
        <f t="shared" si="188"/>
        <v>#VALUE!</v>
      </c>
      <c r="BC32" s="435">
        <f t="shared" si="188"/>
        <v>6056951.5099999998</v>
      </c>
      <c r="BD32" s="125">
        <f t="shared" si="41"/>
        <v>853664.88</v>
      </c>
      <c r="BE32" s="1166" t="e">
        <f t="shared" si="42"/>
        <v>#VALUE!</v>
      </c>
      <c r="BF32" s="116" t="str">
        <f t="shared" si="43"/>
        <v/>
      </c>
      <c r="BG32" s="121">
        <f t="shared" si="44"/>
        <v>599081.9</v>
      </c>
      <c r="BH32" s="114">
        <f t="shared" si="45"/>
        <v>480469.11</v>
      </c>
      <c r="BI32" s="416" t="e">
        <f t="shared" si="46"/>
        <v>#VALUE!</v>
      </c>
      <c r="BJ32" s="121" t="str">
        <f t="shared" si="47"/>
        <v/>
      </c>
      <c r="BK32" s="121">
        <f t="shared" si="48"/>
        <v>36257</v>
      </c>
      <c r="BL32" s="121">
        <f t="shared" si="49"/>
        <v>1140202.26</v>
      </c>
      <c r="BM32" s="113" t="e">
        <f t="shared" si="50"/>
        <v>#VALUE!</v>
      </c>
      <c r="BN32" s="116" t="str">
        <f t="shared" si="51"/>
        <v/>
      </c>
      <c r="BO32" s="117">
        <f t="shared" si="52"/>
        <v>0</v>
      </c>
      <c r="BP32" s="113">
        <f t="shared" si="53"/>
        <v>635338.9</v>
      </c>
      <c r="BQ32" s="116">
        <f t="shared" ref="BQ32:BR32" si="189">SUM(BN32,BJ32,BF32)</f>
        <v>0</v>
      </c>
      <c r="BR32" s="117">
        <f t="shared" si="189"/>
        <v>635338.9</v>
      </c>
      <c r="BS32" s="125">
        <f t="shared" si="55"/>
        <v>1620330.91</v>
      </c>
      <c r="BT32" s="140" t="e">
        <f t="shared" si="56"/>
        <v>#VALUE!</v>
      </c>
      <c r="BU32" s="123" t="str">
        <f t="shared" si="57"/>
        <v/>
      </c>
      <c r="BV32" s="148">
        <f t="shared" si="58"/>
        <v>37847.25</v>
      </c>
      <c r="BW32" s="123">
        <f t="shared" si="59"/>
        <v>664236.56999999995</v>
      </c>
      <c r="BX32" s="326">
        <f t="shared" si="60"/>
        <v>139031.98000000001</v>
      </c>
    </row>
    <row r="33" spans="1:76" ht="13">
      <c r="A33" s="420">
        <f t="shared" si="0"/>
        <v>112014521</v>
      </c>
      <c r="B33" s="93">
        <f t="shared" si="1"/>
        <v>22</v>
      </c>
      <c r="C33" s="558">
        <f t="shared" si="2"/>
        <v>0.1</v>
      </c>
      <c r="D33" s="558">
        <f t="shared" si="3"/>
        <v>0.09</v>
      </c>
      <c r="E33" s="559">
        <f t="shared" si="4"/>
        <v>0</v>
      </c>
      <c r="F33" s="547">
        <f t="shared" si="5"/>
        <v>63</v>
      </c>
      <c r="G33" s="699">
        <f t="shared" si="6"/>
        <v>0.1</v>
      </c>
      <c r="H33" s="702">
        <f t="shared" si="7"/>
        <v>0.05</v>
      </c>
      <c r="I33" s="423" t="s">
        <v>1293</v>
      </c>
      <c r="J33" s="326">
        <f t="shared" si="163"/>
        <v>0</v>
      </c>
      <c r="K33" s="121">
        <v>1800000</v>
      </c>
      <c r="L33" s="140" t="e">
        <f t="shared" si="8"/>
        <v>#VALUE!</v>
      </c>
      <c r="M33" s="326" t="str">
        <f t="shared" si="9"/>
        <v/>
      </c>
      <c r="N33" s="333">
        <f t="shared" si="10"/>
        <v>1252748.33</v>
      </c>
      <c r="O33" s="123">
        <f t="shared" si="11"/>
        <v>-547251.66999999993</v>
      </c>
      <c r="P33" s="137">
        <f t="shared" si="12"/>
        <v>0.6959712944444445</v>
      </c>
      <c r="Q33" s="326">
        <f t="shared" si="13"/>
        <v>0</v>
      </c>
      <c r="R33" s="116">
        <v>1800000</v>
      </c>
      <c r="S33" s="116" t="e">
        <f t="shared" si="14"/>
        <v>#VALUE!</v>
      </c>
      <c r="T33" s="326" t="str">
        <f t="shared" si="15"/>
        <v/>
      </c>
      <c r="U33" s="326">
        <f t="shared" si="16"/>
        <v>1805043.58</v>
      </c>
      <c r="V33" s="326">
        <f t="shared" si="17"/>
        <v>5043.5800000000745</v>
      </c>
      <c r="W33" s="137">
        <f t="shared" si="18"/>
        <v>1.0028019888888888</v>
      </c>
      <c r="X33" s="326">
        <f t="shared" si="19"/>
        <v>0</v>
      </c>
      <c r="Y33" s="332">
        <v>1800000</v>
      </c>
      <c r="Z33" s="113" t="e">
        <f t="shared" si="20"/>
        <v>#VALUE!</v>
      </c>
      <c r="AA33" s="116" t="str">
        <f t="shared" si="21"/>
        <v/>
      </c>
      <c r="AB33" s="117">
        <f t="shared" si="22"/>
        <v>971433.86</v>
      </c>
      <c r="AC33" s="123"/>
      <c r="AD33" s="326"/>
      <c r="AE33" s="1257">
        <f t="shared" si="23"/>
        <v>5400000</v>
      </c>
      <c r="AF33" s="140">
        <f t="shared" si="24"/>
        <v>4475729.7699999996</v>
      </c>
      <c r="AG33" s="326" t="e">
        <f t="shared" si="25"/>
        <v>#VALUE!</v>
      </c>
      <c r="AH33" s="326" t="e">
        <f t="shared" ref="AH33:AI33" si="190">AA33+T33+M33</f>
        <v>#VALUE!</v>
      </c>
      <c r="AI33" s="326">
        <f t="shared" si="190"/>
        <v>4029225.77</v>
      </c>
      <c r="AJ33" s="326">
        <f t="shared" si="27"/>
        <v>-446503.99999999953</v>
      </c>
      <c r="AK33" s="1258">
        <f t="shared" si="28"/>
        <v>0.90023883859279563</v>
      </c>
      <c r="AL33" s="125">
        <f t="shared" si="29"/>
        <v>0</v>
      </c>
      <c r="AM33" s="140" t="e">
        <f t="shared" si="30"/>
        <v>#VALUE!</v>
      </c>
      <c r="AN33" s="123" t="str">
        <f t="shared" si="31"/>
        <v/>
      </c>
      <c r="AO33" s="148">
        <f t="shared" si="32"/>
        <v>893152.7</v>
      </c>
      <c r="AP33" s="125">
        <f t="shared" si="165"/>
        <v>0</v>
      </c>
      <c r="AQ33" s="140" t="e">
        <f t="shared" si="33"/>
        <v>#VALUE!</v>
      </c>
      <c r="AR33" s="326" t="str">
        <f t="shared" si="34"/>
        <v/>
      </c>
      <c r="AS33" s="333">
        <f t="shared" si="35"/>
        <v>1347614.98</v>
      </c>
      <c r="AT33" s="123">
        <f t="shared" si="166"/>
        <v>0</v>
      </c>
      <c r="AU33" s="123" t="e">
        <f t="shared" si="36"/>
        <v>#VALUE!</v>
      </c>
      <c r="AV33" s="123" t="str">
        <f t="shared" si="37"/>
        <v/>
      </c>
      <c r="AW33" s="125">
        <f t="shared" si="38"/>
        <v>480801.67</v>
      </c>
      <c r="AX33" s="122" t="e">
        <f t="shared" ref="AX33:AZ33" si="191">SUM(AU33,AQ33,AM33)</f>
        <v>#VALUE!</v>
      </c>
      <c r="AY33" s="326">
        <f t="shared" si="191"/>
        <v>0</v>
      </c>
      <c r="AZ33" s="332">
        <f t="shared" si="191"/>
        <v>2721569.3499999996</v>
      </c>
      <c r="BA33" s="140" t="e">
        <f t="shared" ref="BA33:BC33" si="192">SUM(AX33,AG33)</f>
        <v>#VALUE!</v>
      </c>
      <c r="BB33" s="326" t="e">
        <f t="shared" si="192"/>
        <v>#VALUE!</v>
      </c>
      <c r="BC33" s="435">
        <f t="shared" si="192"/>
        <v>6750795.1199999992</v>
      </c>
      <c r="BD33" s="125">
        <f t="shared" si="41"/>
        <v>0</v>
      </c>
      <c r="BE33" s="1166" t="e">
        <f t="shared" si="42"/>
        <v>#VALUE!</v>
      </c>
      <c r="BF33" s="116" t="str">
        <f t="shared" si="43"/>
        <v/>
      </c>
      <c r="BG33" s="121">
        <f t="shared" si="44"/>
        <v>503453.38</v>
      </c>
      <c r="BH33" s="114">
        <f t="shared" si="45"/>
        <v>240723.74</v>
      </c>
      <c r="BI33" s="416" t="e">
        <f t="shared" si="46"/>
        <v>#VALUE!</v>
      </c>
      <c r="BJ33" s="121" t="str">
        <f t="shared" si="47"/>
        <v/>
      </c>
      <c r="BK33" s="121">
        <f t="shared" si="48"/>
        <v>528446.51</v>
      </c>
      <c r="BL33" s="121">
        <f t="shared" si="49"/>
        <v>728476.25</v>
      </c>
      <c r="BM33" s="113" t="e">
        <f t="shared" si="50"/>
        <v>#VALUE!</v>
      </c>
      <c r="BN33" s="116" t="str">
        <f t="shared" si="51"/>
        <v/>
      </c>
      <c r="BO33" s="117">
        <f t="shared" si="52"/>
        <v>773784.38</v>
      </c>
      <c r="BP33" s="113">
        <f t="shared" si="53"/>
        <v>1805684.27</v>
      </c>
      <c r="BQ33" s="116">
        <f t="shared" ref="BQ33:BR33" si="193">SUM(BN33,BJ33,BF33)</f>
        <v>0</v>
      </c>
      <c r="BR33" s="117">
        <f t="shared" si="193"/>
        <v>1805684.27</v>
      </c>
      <c r="BS33" s="125">
        <f t="shared" si="55"/>
        <v>1510059.92</v>
      </c>
      <c r="BT33" s="140" t="e">
        <f t="shared" si="56"/>
        <v>#VALUE!</v>
      </c>
      <c r="BU33" s="123" t="str">
        <f t="shared" si="57"/>
        <v/>
      </c>
      <c r="BV33" s="148">
        <f t="shared" si="58"/>
        <v>1004417.45</v>
      </c>
      <c r="BW33" s="123">
        <f t="shared" si="59"/>
        <v>1390687.64</v>
      </c>
      <c r="BX33" s="326">
        <f t="shared" si="60"/>
        <v>1574982.21</v>
      </c>
    </row>
    <row r="34" spans="1:76" ht="13">
      <c r="A34" s="420">
        <f t="shared" ref="A34:A65" si="194">VLOOKUP(I34,MONTECART4,3,FALSE)</f>
        <v>112014013</v>
      </c>
      <c r="B34" s="93">
        <f t="shared" ref="B34:B65" si="195">VLOOKUP(I34,MONTENCART2,2,FALSE)</f>
        <v>22</v>
      </c>
      <c r="C34" s="558">
        <f t="shared" ref="C34:C65" si="196">IFERROR(VLOOKUP(B34,DES,2,FALSE),"")</f>
        <v>0.1</v>
      </c>
      <c r="D34" s="558">
        <f t="shared" ref="D34:D65" si="197">IFERROR(VLOOKUP(B34,DES,3,FALSE),"")</f>
        <v>0.09</v>
      </c>
      <c r="E34" s="559">
        <f t="shared" ref="E34:E65" si="198">IFERROR(VLOOKUP(B34,DES,4,FALSE),"")</f>
        <v>0</v>
      </c>
      <c r="F34" s="547">
        <f t="shared" ref="F34:F65" si="199">VLOOKUP(I34,MONTECART4,2,FALSE)</f>
        <v>63</v>
      </c>
      <c r="G34" s="699">
        <f t="shared" ref="G34:G65" si="200">VLOOKUP(F34,A458DC1025,2,FALSE)</f>
        <v>0.1</v>
      </c>
      <c r="H34" s="702">
        <f t="shared" ref="H34:H65" si="201">VLOOKUP(F34,A458DC1025,3,FALSE)</f>
        <v>0.05</v>
      </c>
      <c r="I34" s="423" t="s">
        <v>1294</v>
      </c>
      <c r="J34" s="326">
        <f t="shared" si="163"/>
        <v>1392025.92</v>
      </c>
      <c r="K34" s="121">
        <f>(J34*1.601)*1.05</f>
        <v>2340065.1728159999</v>
      </c>
      <c r="L34" s="140" t="e">
        <f t="shared" si="8"/>
        <v>#VALUE!</v>
      </c>
      <c r="M34" s="326" t="str">
        <f t="shared" ref="M34:M65" si="202">IFERROR(VLOOKUP(I34,MONTENALIM,3,FALSE),"")</f>
        <v/>
      </c>
      <c r="N34" s="333">
        <f t="shared" ref="N34:N65" si="203">IFERROR(VLOOKUP(I34,MONTEFC,3,FALSE),"")</f>
        <v>1544610.3</v>
      </c>
      <c r="O34" s="123">
        <f t="shared" si="11"/>
        <v>-795454.8728159999</v>
      </c>
      <c r="P34" s="137">
        <f t="shared" si="12"/>
        <v>0.66007148772751434</v>
      </c>
      <c r="Q34" s="326">
        <f t="shared" ref="Q34:Q65" si="204">IFERROR(VLOOKUP(I34,MONTE24,4,FALSE),"")</f>
        <v>2133082.38</v>
      </c>
      <c r="R34" s="116">
        <f>(Q34*1.7245)*1.05</f>
        <v>3862425.5925254999</v>
      </c>
      <c r="S34" s="116" t="e">
        <f t="shared" si="14"/>
        <v>#VALUE!</v>
      </c>
      <c r="T34" s="326" t="str">
        <f t="shared" ref="T34:T65" si="205">IFERROR(VLOOKUP(I34,MONTENALIM,4,FALSE),"")</f>
        <v/>
      </c>
      <c r="U34" s="326">
        <f t="shared" ref="U34:U65" si="206">IFERROR(VLOOKUP(I34,MONTEFC,4,FALSE),"")</f>
        <v>1463201.21</v>
      </c>
      <c r="V34" s="326">
        <f t="shared" si="17"/>
        <v>-2399224.3825254999</v>
      </c>
      <c r="W34" s="137">
        <f t="shared" si="18"/>
        <v>0.3788296175417753</v>
      </c>
      <c r="X34" s="326">
        <f t="shared" ref="X34:X65" si="207">IFERROR(VLOOKUP(I34,MONTE24,5,FALSE),"")</f>
        <v>1088891.21</v>
      </c>
      <c r="Y34" s="121">
        <f>(X34*1.5955)*1.05</f>
        <v>1824192.2218327499</v>
      </c>
      <c r="Z34" s="113" t="e">
        <f t="shared" si="20"/>
        <v>#VALUE!</v>
      </c>
      <c r="AA34" s="116" t="str">
        <f t="shared" ref="AA34:AA65" si="208">IFERROR(VLOOKUP(I34,MONTENALIM,5,FALSE),"")</f>
        <v/>
      </c>
      <c r="AB34" s="117">
        <f t="shared" ref="AB34:AB65" si="209">IFERROR(VLOOKUP(I34,MONTEFC,5,FALSE),"")</f>
        <v>357341.27</v>
      </c>
      <c r="AC34" s="114"/>
      <c r="AD34" s="116"/>
      <c r="AE34" s="1257">
        <f t="shared" si="23"/>
        <v>8026682.9871742502</v>
      </c>
      <c r="AF34" s="140">
        <f t="shared" ref="AF34:AF65" si="210">IFERROR(VLOOKUP(I34,trim2024,2,FALSE),"0")</f>
        <v>5511044.8799999999</v>
      </c>
      <c r="AG34" s="326" t="e">
        <f t="shared" si="25"/>
        <v>#VALUE!</v>
      </c>
      <c r="AH34" s="326" t="e">
        <f t="shared" ref="AH34:AI34" si="211">AA34+T34+M34</f>
        <v>#VALUE!</v>
      </c>
      <c r="AI34" s="326">
        <f t="shared" si="211"/>
        <v>3365152.7800000003</v>
      </c>
      <c r="AJ34" s="326">
        <f t="shared" si="27"/>
        <v>-2145892.0999999996</v>
      </c>
      <c r="AK34" s="1258">
        <f t="shared" si="28"/>
        <v>0.61061973786720469</v>
      </c>
      <c r="AL34" s="125">
        <f t="shared" ref="AL34:AL65" si="212">IFERROR(VLOOKUP(I34,MONTE24,6,FALSE),"")</f>
        <v>481409</v>
      </c>
      <c r="AM34" s="140" t="e">
        <f t="shared" si="30"/>
        <v>#VALUE!</v>
      </c>
      <c r="AN34" s="123" t="str">
        <f t="shared" ref="AN34:AN65" si="213">IFERROR(VLOOKUP(I34,MONTENALIM,6,FALSE),"")</f>
        <v/>
      </c>
      <c r="AO34" s="148">
        <f t="shared" ref="AO34:AO65" si="214">IFERROR(VLOOKUP(I34,MONTEFC,6,FALSE),"")</f>
        <v>628581.56999999995</v>
      </c>
      <c r="AP34" s="125">
        <f t="shared" si="165"/>
        <v>408477.74</v>
      </c>
      <c r="AQ34" s="140" t="e">
        <f t="shared" si="33"/>
        <v>#VALUE!</v>
      </c>
      <c r="AR34" s="326" t="str">
        <f t="shared" ref="AR34:AR65" si="215">IFERROR(VLOOKUP(I34,MONTENALIM,7,FALSE),"")</f>
        <v/>
      </c>
      <c r="AS34" s="333">
        <f t="shared" ref="AS34:AS65" si="216">IFERROR(VLOOKUP(I34,MONTEFC,7,FALSE),"")</f>
        <v>1050899.3500000001</v>
      </c>
      <c r="AT34" s="123">
        <f t="shared" si="166"/>
        <v>376128.83</v>
      </c>
      <c r="AU34" s="123" t="e">
        <f t="shared" si="36"/>
        <v>#VALUE!</v>
      </c>
      <c r="AV34" s="123" t="str">
        <f t="shared" ref="AV34:AV65" si="217">IFERROR(VLOOKUP(I34,MONTENALIM,8,FALSE),"")</f>
        <v/>
      </c>
      <c r="AW34" s="125">
        <f t="shared" ref="AW34:AW65" si="218">IFERROR(VLOOKUP(I34,MONTEFC,8,FALSE),"")</f>
        <v>986458.9</v>
      </c>
      <c r="AX34" s="122" t="e">
        <f t="shared" ref="AX34:AZ34" si="219">SUM(AU34,AQ34,AM34)</f>
        <v>#VALUE!</v>
      </c>
      <c r="AY34" s="326">
        <f t="shared" si="219"/>
        <v>0</v>
      </c>
      <c r="AZ34" s="332">
        <f t="shared" si="219"/>
        <v>2665939.8199999998</v>
      </c>
      <c r="BA34" s="140" t="e">
        <f t="shared" ref="BA34:BC34" si="220">SUM(AX34,AG34)</f>
        <v>#VALUE!</v>
      </c>
      <c r="BB34" s="326" t="e">
        <f t="shared" si="220"/>
        <v>#VALUE!</v>
      </c>
      <c r="BC34" s="435">
        <f t="shared" si="220"/>
        <v>6031092.5999999996</v>
      </c>
      <c r="BD34" s="125">
        <f t="shared" ref="BD34:BD65" si="221">IFERROR(VLOOKUP(I34,MONTE24,9,FALSE),"")</f>
        <v>275656.15000000002</v>
      </c>
      <c r="BE34" s="1166" t="e">
        <f t="shared" si="42"/>
        <v>#VALUE!</v>
      </c>
      <c r="BF34" s="116" t="str">
        <f t="shared" ref="BF34:BF65" si="222">IFERROR(VLOOKUP(I34,MONTENALIM,9,FALSE),"")</f>
        <v/>
      </c>
      <c r="BG34" s="121">
        <f t="shared" ref="BG34:BG65" si="223">IFERROR(VLOOKUP(I34,MONTEFC,9,FALSE),"")</f>
        <v>966571.79</v>
      </c>
      <c r="BH34" s="114">
        <f t="shared" ref="BH34:BH65" si="224">IFERROR(VLOOKUP(I34,MONTE24,10,FALSE),"")</f>
        <v>1333057.6200000001</v>
      </c>
      <c r="BI34" s="416" t="e">
        <f t="shared" si="46"/>
        <v>#VALUE!</v>
      </c>
      <c r="BJ34" s="121" t="str">
        <f t="shared" ref="BJ34:BJ65" si="225">IFERROR(VLOOKUP(I34,MONTENALIM,10,FALSE),"")</f>
        <v/>
      </c>
      <c r="BK34" s="121">
        <f t="shared" ref="BK34:BK65" si="226">IFERROR(VLOOKUP(I34,MONTEFC,10,FALSE),"")</f>
        <v>694708.1</v>
      </c>
      <c r="BL34" s="121">
        <f t="shared" ref="BL34:BL65" si="227">IFERROR(VLOOKUP(I34,MONTE24,11,FALSE),"")</f>
        <v>1832028</v>
      </c>
      <c r="BM34" s="113" t="e">
        <f t="shared" si="50"/>
        <v>#VALUE!</v>
      </c>
      <c r="BN34" s="116" t="str">
        <f t="shared" ref="BN34:BN65" si="228">IFERROR(VLOOKUP(I34,MONTENALIM,11,FALSE),"")</f>
        <v/>
      </c>
      <c r="BO34" s="117">
        <f t="shared" ref="BO34:BO65" si="229">IFERROR(VLOOKUP(I34,MONTEFC,11,FALSE),"")</f>
        <v>1271106.02</v>
      </c>
      <c r="BP34" s="113">
        <f t="shared" si="53"/>
        <v>2932385.91</v>
      </c>
      <c r="BQ34" s="116">
        <f t="shared" ref="BQ34:BR34" si="230">SUM(BN34,BJ34,BF34)</f>
        <v>0</v>
      </c>
      <c r="BR34" s="117">
        <f t="shared" si="230"/>
        <v>2932385.91</v>
      </c>
      <c r="BS34" s="125">
        <f t="shared" ref="BS34:BS65" si="231">IFERROR(VLOOKUP(I34,MONTE24,12,FALSE),"")</f>
        <v>1748367.61</v>
      </c>
      <c r="BT34" s="140" t="e">
        <f t="shared" si="56"/>
        <v>#VALUE!</v>
      </c>
      <c r="BU34" s="123" t="str">
        <f t="shared" ref="BU34:BU65" si="232">IFERROR(VLOOKUP(I34,MONTENALIM,12,FALSE),"")</f>
        <v/>
      </c>
      <c r="BV34" s="148">
        <f t="shared" ref="BV34:BV65" si="233">IFERROR(VLOOKUP(I34,MONTEFC,12,FALSE),"")</f>
        <v>0</v>
      </c>
      <c r="BW34" s="123">
        <f t="shared" ref="BW34:BW65" si="234">IFERROR(VLOOKUP(I34,MONTE24,13,FALSE),"")</f>
        <v>2558860.2400000002</v>
      </c>
      <c r="BX34" s="326">
        <f t="shared" ref="BX34:BX65" si="235">IFERROR(VLOOKUP(I34,MONTE24,14,FALSE),"")</f>
        <v>1203817.03</v>
      </c>
    </row>
    <row r="35" spans="1:76" ht="13">
      <c r="A35" s="420">
        <f t="shared" si="194"/>
        <v>112011689</v>
      </c>
      <c r="B35" s="93">
        <f t="shared" si="195"/>
        <v>22</v>
      </c>
      <c r="C35" s="558">
        <f t="shared" si="196"/>
        <v>0.1</v>
      </c>
      <c r="D35" s="558">
        <f t="shared" si="197"/>
        <v>0.09</v>
      </c>
      <c r="E35" s="559">
        <f t="shared" si="198"/>
        <v>0</v>
      </c>
      <c r="F35" s="547">
        <f t="shared" si="199"/>
        <v>63</v>
      </c>
      <c r="G35" s="699">
        <f t="shared" si="200"/>
        <v>0.1</v>
      </c>
      <c r="H35" s="702">
        <f t="shared" si="201"/>
        <v>0.05</v>
      </c>
      <c r="I35" s="423" t="s">
        <v>1295</v>
      </c>
      <c r="J35" s="326">
        <f t="shared" si="163"/>
        <v>738726.86</v>
      </c>
      <c r="K35" s="121">
        <v>1800000</v>
      </c>
      <c r="L35" s="140" t="e">
        <f t="shared" si="8"/>
        <v>#VALUE!</v>
      </c>
      <c r="M35" s="326" t="str">
        <f t="shared" si="202"/>
        <v/>
      </c>
      <c r="N35" s="333">
        <f t="shared" si="203"/>
        <v>1968393.68</v>
      </c>
      <c r="O35" s="123">
        <f t="shared" si="11"/>
        <v>168393.67999999993</v>
      </c>
      <c r="P35" s="137">
        <f t="shared" si="12"/>
        <v>1.0935520444444444</v>
      </c>
      <c r="Q35" s="326">
        <f t="shared" si="204"/>
        <v>949925.47</v>
      </c>
      <c r="R35" s="116">
        <v>1800000</v>
      </c>
      <c r="S35" s="116" t="e">
        <f t="shared" si="14"/>
        <v>#VALUE!</v>
      </c>
      <c r="T35" s="326" t="str">
        <f t="shared" si="205"/>
        <v/>
      </c>
      <c r="U35" s="326">
        <f t="shared" si="206"/>
        <v>808695.26</v>
      </c>
      <c r="V35" s="326">
        <f t="shared" si="17"/>
        <v>-991304.74</v>
      </c>
      <c r="W35" s="137">
        <f t="shared" si="18"/>
        <v>0.44927514444444444</v>
      </c>
      <c r="X35" s="326">
        <f t="shared" si="207"/>
        <v>769130.63</v>
      </c>
      <c r="Y35" s="121">
        <v>1800000</v>
      </c>
      <c r="Z35" s="113" t="e">
        <f t="shared" si="20"/>
        <v>#VALUE!</v>
      </c>
      <c r="AA35" s="116" t="str">
        <f t="shared" si="208"/>
        <v/>
      </c>
      <c r="AB35" s="117">
        <f t="shared" si="209"/>
        <v>775058.53</v>
      </c>
      <c r="AC35" s="114"/>
      <c r="AD35" s="116"/>
      <c r="AE35" s="1257">
        <f t="shared" si="23"/>
        <v>5400000</v>
      </c>
      <c r="AF35" s="140">
        <f t="shared" si="210"/>
        <v>1765700.64</v>
      </c>
      <c r="AG35" s="326" t="e">
        <f t="shared" si="25"/>
        <v>#VALUE!</v>
      </c>
      <c r="AH35" s="326" t="e">
        <f t="shared" ref="AH35:AI35" si="236">AA35+T35+M35</f>
        <v>#VALUE!</v>
      </c>
      <c r="AI35" s="326">
        <f t="shared" si="236"/>
        <v>3552147.4699999997</v>
      </c>
      <c r="AJ35" s="326">
        <f t="shared" si="27"/>
        <v>1786446.8299999998</v>
      </c>
      <c r="AK35" s="1258">
        <f t="shared" si="28"/>
        <v>2.0117495511583434</v>
      </c>
      <c r="AL35" s="125">
        <f t="shared" si="212"/>
        <v>520319.54</v>
      </c>
      <c r="AM35" s="140" t="e">
        <f t="shared" si="30"/>
        <v>#VALUE!</v>
      </c>
      <c r="AN35" s="123" t="str">
        <f t="shared" si="213"/>
        <v/>
      </c>
      <c r="AO35" s="148">
        <f t="shared" si="214"/>
        <v>649392.94999999995</v>
      </c>
      <c r="AP35" s="125">
        <f t="shared" si="165"/>
        <v>529718.09</v>
      </c>
      <c r="AQ35" s="140" t="e">
        <f t="shared" si="33"/>
        <v>#VALUE!</v>
      </c>
      <c r="AR35" s="326" t="str">
        <f t="shared" si="215"/>
        <v/>
      </c>
      <c r="AS35" s="333">
        <f t="shared" si="216"/>
        <v>588964.03</v>
      </c>
      <c r="AT35" s="123">
        <f t="shared" si="166"/>
        <v>298669.26</v>
      </c>
      <c r="AU35" s="123" t="e">
        <f t="shared" si="36"/>
        <v>#VALUE!</v>
      </c>
      <c r="AV35" s="123" t="str">
        <f t="shared" si="217"/>
        <v/>
      </c>
      <c r="AW35" s="125">
        <f t="shared" si="218"/>
        <v>413152.07</v>
      </c>
      <c r="AX35" s="122" t="e">
        <f t="shared" ref="AX35:AZ35" si="237">SUM(AU35,AQ35,AM35)</f>
        <v>#VALUE!</v>
      </c>
      <c r="AY35" s="326">
        <f t="shared" si="237"/>
        <v>0</v>
      </c>
      <c r="AZ35" s="332">
        <f t="shared" si="237"/>
        <v>1651509.05</v>
      </c>
      <c r="BA35" s="140" t="e">
        <f t="shared" ref="BA35:BC35" si="238">SUM(AX35,AG35)</f>
        <v>#VALUE!</v>
      </c>
      <c r="BB35" s="326" t="e">
        <f t="shared" si="238"/>
        <v>#VALUE!</v>
      </c>
      <c r="BC35" s="435">
        <f t="shared" si="238"/>
        <v>5203656.5199999996</v>
      </c>
      <c r="BD35" s="125">
        <f t="shared" si="221"/>
        <v>517840.92</v>
      </c>
      <c r="BE35" s="1166" t="e">
        <f t="shared" si="42"/>
        <v>#VALUE!</v>
      </c>
      <c r="BF35" s="116" t="str">
        <f t="shared" si="222"/>
        <v/>
      </c>
      <c r="BG35" s="121">
        <f t="shared" si="223"/>
        <v>429005.1</v>
      </c>
      <c r="BH35" s="114">
        <f t="shared" si="224"/>
        <v>733801.54</v>
      </c>
      <c r="BI35" s="416" t="e">
        <f t="shared" si="46"/>
        <v>#VALUE!</v>
      </c>
      <c r="BJ35" s="121" t="str">
        <f t="shared" si="225"/>
        <v/>
      </c>
      <c r="BK35" s="121">
        <f t="shared" si="226"/>
        <v>737796.15</v>
      </c>
      <c r="BL35" s="121">
        <f t="shared" si="227"/>
        <v>535677.56999999995</v>
      </c>
      <c r="BM35" s="113" t="e">
        <f t="shared" si="50"/>
        <v>#VALUE!</v>
      </c>
      <c r="BN35" s="116" t="str">
        <f t="shared" si="228"/>
        <v/>
      </c>
      <c r="BO35" s="117">
        <f t="shared" si="229"/>
        <v>511062.6</v>
      </c>
      <c r="BP35" s="113">
        <f t="shared" si="53"/>
        <v>1677863.85</v>
      </c>
      <c r="BQ35" s="116">
        <f t="shared" ref="BQ35:BR35" si="239">SUM(BN35,BJ35,BF35)</f>
        <v>0</v>
      </c>
      <c r="BR35" s="117">
        <f t="shared" si="239"/>
        <v>1677863.85</v>
      </c>
      <c r="BS35" s="125">
        <f t="shared" si="231"/>
        <v>0</v>
      </c>
      <c r="BT35" s="140" t="e">
        <f t="shared" si="56"/>
        <v>#VALUE!</v>
      </c>
      <c r="BU35" s="123" t="str">
        <f t="shared" si="232"/>
        <v/>
      </c>
      <c r="BV35" s="148">
        <f t="shared" si="233"/>
        <v>624147.05000000005</v>
      </c>
      <c r="BW35" s="123">
        <f t="shared" si="234"/>
        <v>658525.01</v>
      </c>
      <c r="BX35" s="326">
        <f t="shared" si="235"/>
        <v>1107175.6200000001</v>
      </c>
    </row>
    <row r="36" spans="1:76" ht="13">
      <c r="A36" s="420">
        <f t="shared" si="194"/>
        <v>112013403</v>
      </c>
      <c r="B36" s="93">
        <f t="shared" si="195"/>
        <v>22</v>
      </c>
      <c r="C36" s="558">
        <f t="shared" si="196"/>
        <v>0.1</v>
      </c>
      <c r="D36" s="558">
        <f t="shared" si="197"/>
        <v>0.09</v>
      </c>
      <c r="E36" s="559">
        <f t="shared" si="198"/>
        <v>0</v>
      </c>
      <c r="F36" s="547">
        <f t="shared" si="199"/>
        <v>63</v>
      </c>
      <c r="G36" s="699">
        <f t="shared" si="200"/>
        <v>0.1</v>
      </c>
      <c r="H36" s="702">
        <f t="shared" si="201"/>
        <v>0.05</v>
      </c>
      <c r="I36" s="423" t="s">
        <v>1296</v>
      </c>
      <c r="J36" s="326">
        <f t="shared" si="163"/>
        <v>767153.87</v>
      </c>
      <c r="K36" s="332">
        <v>1800000</v>
      </c>
      <c r="L36" s="140">
        <f t="shared" si="8"/>
        <v>1308371.5799999998</v>
      </c>
      <c r="M36" s="326">
        <f t="shared" si="202"/>
        <v>26771.09</v>
      </c>
      <c r="N36" s="333">
        <f t="shared" si="203"/>
        <v>1335142.67</v>
      </c>
      <c r="O36" s="123">
        <f t="shared" si="11"/>
        <v>-464857.33000000007</v>
      </c>
      <c r="P36" s="137">
        <f t="shared" si="12"/>
        <v>0.7417459277777777</v>
      </c>
      <c r="Q36" s="326">
        <f t="shared" si="204"/>
        <v>549117.80000000005</v>
      </c>
      <c r="R36" s="326">
        <v>1800000</v>
      </c>
      <c r="S36" s="116">
        <f t="shared" si="14"/>
        <v>701292.44</v>
      </c>
      <c r="T36" s="326">
        <f t="shared" si="205"/>
        <v>12486.03</v>
      </c>
      <c r="U36" s="326">
        <f t="shared" si="206"/>
        <v>713778.47</v>
      </c>
      <c r="V36" s="326">
        <f t="shared" si="17"/>
        <v>-1086221.53</v>
      </c>
      <c r="W36" s="137">
        <f t="shared" si="18"/>
        <v>0.39654359444444442</v>
      </c>
      <c r="X36" s="326">
        <f t="shared" si="207"/>
        <v>347342.87</v>
      </c>
      <c r="Y36" s="332">
        <v>1800000</v>
      </c>
      <c r="Z36" s="113">
        <f t="shared" si="20"/>
        <v>383434.84</v>
      </c>
      <c r="AA36" s="116">
        <f t="shared" si="208"/>
        <v>0</v>
      </c>
      <c r="AB36" s="117">
        <f t="shared" si="209"/>
        <v>383434.84</v>
      </c>
      <c r="AC36" s="123"/>
      <c r="AD36" s="326"/>
      <c r="AE36" s="1257">
        <f t="shared" si="23"/>
        <v>5400000</v>
      </c>
      <c r="AF36" s="140">
        <f t="shared" si="210"/>
        <v>1762021.05</v>
      </c>
      <c r="AG36" s="326">
        <f t="shared" si="25"/>
        <v>2393098.86</v>
      </c>
      <c r="AH36" s="326">
        <f t="shared" ref="AH36:AI36" si="240">AA36+T36+M36</f>
        <v>39257.120000000003</v>
      </c>
      <c r="AI36" s="326">
        <f t="shared" si="240"/>
        <v>2432355.98</v>
      </c>
      <c r="AJ36" s="326">
        <f t="shared" si="27"/>
        <v>670334.92999999993</v>
      </c>
      <c r="AK36" s="1258">
        <f t="shared" si="28"/>
        <v>1.3804352564346491</v>
      </c>
      <c r="AL36" s="125">
        <f t="shared" si="212"/>
        <v>366769.49</v>
      </c>
      <c r="AM36" s="140">
        <f t="shared" si="30"/>
        <v>755905.85000000009</v>
      </c>
      <c r="AN36" s="123">
        <f t="shared" si="213"/>
        <v>74801.440000000002</v>
      </c>
      <c r="AO36" s="148">
        <f t="shared" si="214"/>
        <v>830707.29</v>
      </c>
      <c r="AP36" s="125">
        <f t="shared" si="165"/>
        <v>297608.71000000002</v>
      </c>
      <c r="AQ36" s="140">
        <f t="shared" si="33"/>
        <v>475639.81</v>
      </c>
      <c r="AR36" s="326">
        <f t="shared" si="215"/>
        <v>0</v>
      </c>
      <c r="AS36" s="333">
        <f t="shared" si="216"/>
        <v>475639.81</v>
      </c>
      <c r="AT36" s="123">
        <f t="shared" si="166"/>
        <v>282644.61</v>
      </c>
      <c r="AU36" s="123">
        <f t="shared" si="36"/>
        <v>406178.47000000003</v>
      </c>
      <c r="AV36" s="123">
        <f t="shared" si="217"/>
        <v>31057.599999999999</v>
      </c>
      <c r="AW36" s="125">
        <f t="shared" si="218"/>
        <v>437236.07</v>
      </c>
      <c r="AX36" s="122">
        <f t="shared" ref="AX36:AZ36" si="241">SUM(AU36,AQ36,AM36)</f>
        <v>1637724.1300000001</v>
      </c>
      <c r="AY36" s="326">
        <f t="shared" si="241"/>
        <v>105859.04000000001</v>
      </c>
      <c r="AZ36" s="332">
        <f t="shared" si="241"/>
        <v>1743583.17</v>
      </c>
      <c r="BA36" s="140">
        <f t="shared" ref="BA36:BC36" si="242">SUM(AX36,AG36)</f>
        <v>4030822.99</v>
      </c>
      <c r="BB36" s="326">
        <f t="shared" si="242"/>
        <v>145116.16</v>
      </c>
      <c r="BC36" s="435">
        <f t="shared" si="242"/>
        <v>4175939.15</v>
      </c>
      <c r="BD36" s="125">
        <f t="shared" si="221"/>
        <v>317974.52</v>
      </c>
      <c r="BE36" s="1166">
        <f t="shared" si="42"/>
        <v>316458.69</v>
      </c>
      <c r="BF36" s="116">
        <f t="shared" si="222"/>
        <v>30639.52</v>
      </c>
      <c r="BG36" s="121">
        <f t="shared" si="223"/>
        <v>347098.21</v>
      </c>
      <c r="BH36" s="114">
        <f t="shared" si="224"/>
        <v>498807.58</v>
      </c>
      <c r="BI36" s="416">
        <f t="shared" si="46"/>
        <v>487601.36</v>
      </c>
      <c r="BJ36" s="121">
        <f t="shared" si="225"/>
        <v>0</v>
      </c>
      <c r="BK36" s="121">
        <f t="shared" si="226"/>
        <v>487601.36</v>
      </c>
      <c r="BL36" s="121">
        <f t="shared" si="227"/>
        <v>424672.31</v>
      </c>
      <c r="BM36" s="113">
        <f t="shared" si="50"/>
        <v>558966.72</v>
      </c>
      <c r="BN36" s="116">
        <f t="shared" si="228"/>
        <v>71141.31</v>
      </c>
      <c r="BO36" s="117">
        <f t="shared" si="229"/>
        <v>630108.03</v>
      </c>
      <c r="BP36" s="113">
        <f t="shared" si="53"/>
        <v>1363026.77</v>
      </c>
      <c r="BQ36" s="116">
        <f t="shared" ref="BQ36:BR36" si="243">SUM(BN36,BJ36,BF36)</f>
        <v>101780.83</v>
      </c>
      <c r="BR36" s="117">
        <f t="shared" si="243"/>
        <v>1464807.6</v>
      </c>
      <c r="BS36" s="125">
        <f t="shared" si="231"/>
        <v>514829.44</v>
      </c>
      <c r="BT36" s="140">
        <f t="shared" si="56"/>
        <v>346529.71</v>
      </c>
      <c r="BU36" s="123">
        <f t="shared" si="232"/>
        <v>0</v>
      </c>
      <c r="BV36" s="148">
        <f t="shared" si="233"/>
        <v>346529.71</v>
      </c>
      <c r="BW36" s="123">
        <f t="shared" si="234"/>
        <v>646090.30000000005</v>
      </c>
      <c r="BX36" s="326">
        <f t="shared" si="235"/>
        <v>601101.31000000006</v>
      </c>
    </row>
    <row r="37" spans="1:76" ht="13">
      <c r="A37" s="420">
        <f t="shared" si="194"/>
        <v>112011764</v>
      </c>
      <c r="B37" s="93">
        <f t="shared" si="195"/>
        <v>22</v>
      </c>
      <c r="C37" s="558">
        <f t="shared" si="196"/>
        <v>0.1</v>
      </c>
      <c r="D37" s="558">
        <f t="shared" si="197"/>
        <v>0.09</v>
      </c>
      <c r="E37" s="559">
        <f t="shared" si="198"/>
        <v>0</v>
      </c>
      <c r="F37" s="547">
        <f t="shared" si="199"/>
        <v>63</v>
      </c>
      <c r="G37" s="699">
        <f t="shared" si="200"/>
        <v>0.1</v>
      </c>
      <c r="H37" s="702">
        <f t="shared" si="201"/>
        <v>0.05</v>
      </c>
      <c r="I37" s="423" t="s">
        <v>1297</v>
      </c>
      <c r="J37" s="326">
        <f t="shared" si="163"/>
        <v>0</v>
      </c>
      <c r="K37" s="121">
        <v>1800000</v>
      </c>
      <c r="L37" s="140" t="e">
        <f t="shared" si="8"/>
        <v>#VALUE!</v>
      </c>
      <c r="M37" s="326" t="str">
        <f t="shared" si="202"/>
        <v/>
      </c>
      <c r="N37" s="333" t="str">
        <f t="shared" si="203"/>
        <v/>
      </c>
      <c r="O37" s="123" t="e">
        <f t="shared" si="11"/>
        <v>#VALUE!</v>
      </c>
      <c r="P37" s="137" t="e">
        <f t="shared" si="12"/>
        <v>#VALUE!</v>
      </c>
      <c r="Q37" s="326">
        <f t="shared" si="204"/>
        <v>0</v>
      </c>
      <c r="R37" s="116">
        <v>1800000</v>
      </c>
      <c r="S37" s="116" t="e">
        <f t="shared" si="14"/>
        <v>#VALUE!</v>
      </c>
      <c r="T37" s="326" t="str">
        <f t="shared" si="205"/>
        <v/>
      </c>
      <c r="U37" s="326" t="str">
        <f t="shared" si="206"/>
        <v/>
      </c>
      <c r="V37" s="326" t="e">
        <f t="shared" si="17"/>
        <v>#VALUE!</v>
      </c>
      <c r="W37" s="137" t="e">
        <f t="shared" si="18"/>
        <v>#VALUE!</v>
      </c>
      <c r="X37" s="326">
        <f t="shared" si="207"/>
        <v>0</v>
      </c>
      <c r="Y37" s="121">
        <v>1800000</v>
      </c>
      <c r="Z37" s="113" t="e">
        <f t="shared" si="20"/>
        <v>#VALUE!</v>
      </c>
      <c r="AA37" s="116" t="str">
        <f t="shared" si="208"/>
        <v/>
      </c>
      <c r="AB37" s="117" t="str">
        <f t="shared" si="209"/>
        <v/>
      </c>
      <c r="AC37" s="114"/>
      <c r="AD37" s="116"/>
      <c r="AE37" s="1257">
        <f t="shared" si="23"/>
        <v>5400000</v>
      </c>
      <c r="AF37" s="140" t="str">
        <f t="shared" si="210"/>
        <v>0</v>
      </c>
      <c r="AG37" s="326" t="e">
        <f t="shared" si="25"/>
        <v>#VALUE!</v>
      </c>
      <c r="AH37" s="326" t="e">
        <f t="shared" ref="AH37:AI37" si="244">AA37+T37+M37</f>
        <v>#VALUE!</v>
      </c>
      <c r="AI37" s="326" t="e">
        <f t="shared" si="244"/>
        <v>#VALUE!</v>
      </c>
      <c r="AJ37" s="326" t="e">
        <f t="shared" si="27"/>
        <v>#VALUE!</v>
      </c>
      <c r="AK37" s="1258" t="str">
        <f t="shared" si="28"/>
        <v/>
      </c>
      <c r="AL37" s="125">
        <f t="shared" si="212"/>
        <v>341412.97</v>
      </c>
      <c r="AM37" s="140" t="e">
        <f t="shared" si="30"/>
        <v>#VALUE!</v>
      </c>
      <c r="AN37" s="123" t="str">
        <f t="shared" si="213"/>
        <v/>
      </c>
      <c r="AO37" s="148" t="str">
        <f t="shared" si="214"/>
        <v/>
      </c>
      <c r="AP37" s="125">
        <f t="shared" si="165"/>
        <v>0</v>
      </c>
      <c r="AQ37" s="140" t="e">
        <f t="shared" si="33"/>
        <v>#VALUE!</v>
      </c>
      <c r="AR37" s="326" t="str">
        <f t="shared" si="215"/>
        <v/>
      </c>
      <c r="AS37" s="333" t="str">
        <f t="shared" si="216"/>
        <v/>
      </c>
      <c r="AT37" s="123">
        <f t="shared" si="166"/>
        <v>0</v>
      </c>
      <c r="AU37" s="123" t="e">
        <f t="shared" si="36"/>
        <v>#VALUE!</v>
      </c>
      <c r="AV37" s="123" t="str">
        <f t="shared" si="217"/>
        <v/>
      </c>
      <c r="AW37" s="125" t="str">
        <f t="shared" si="218"/>
        <v/>
      </c>
      <c r="AX37" s="122" t="e">
        <f t="shared" ref="AX37:AZ37" si="245">SUM(AU37,AQ37,AM37)</f>
        <v>#VALUE!</v>
      </c>
      <c r="AY37" s="326">
        <f t="shared" si="245"/>
        <v>0</v>
      </c>
      <c r="AZ37" s="332">
        <f t="shared" si="245"/>
        <v>0</v>
      </c>
      <c r="BA37" s="140" t="e">
        <f t="shared" ref="BA37:BC37" si="246">SUM(AX37,AG37)</f>
        <v>#VALUE!</v>
      </c>
      <c r="BB37" s="326" t="e">
        <f t="shared" si="246"/>
        <v>#VALUE!</v>
      </c>
      <c r="BC37" s="435" t="e">
        <f t="shared" si="246"/>
        <v>#VALUE!</v>
      </c>
      <c r="BD37" s="125">
        <f t="shared" si="221"/>
        <v>1200676.28</v>
      </c>
      <c r="BE37" s="1166" t="e">
        <f t="shared" si="42"/>
        <v>#VALUE!</v>
      </c>
      <c r="BF37" s="116" t="str">
        <f t="shared" si="222"/>
        <v/>
      </c>
      <c r="BG37" s="121" t="str">
        <f t="shared" si="223"/>
        <v/>
      </c>
      <c r="BH37" s="114">
        <f t="shared" si="224"/>
        <v>0</v>
      </c>
      <c r="BI37" s="416" t="e">
        <f t="shared" si="46"/>
        <v>#VALUE!</v>
      </c>
      <c r="BJ37" s="121" t="str">
        <f t="shared" si="225"/>
        <v/>
      </c>
      <c r="BK37" s="121" t="str">
        <f t="shared" si="226"/>
        <v/>
      </c>
      <c r="BL37" s="121">
        <f t="shared" si="227"/>
        <v>0</v>
      </c>
      <c r="BM37" s="113" t="e">
        <f t="shared" si="50"/>
        <v>#VALUE!</v>
      </c>
      <c r="BN37" s="116" t="str">
        <f t="shared" si="228"/>
        <v/>
      </c>
      <c r="BO37" s="741" t="str">
        <f t="shared" si="229"/>
        <v/>
      </c>
      <c r="BP37" s="113">
        <f t="shared" si="53"/>
        <v>0</v>
      </c>
      <c r="BQ37" s="116">
        <f t="shared" ref="BQ37:BR37" si="247">SUM(BN37,BJ37,BF37)</f>
        <v>0</v>
      </c>
      <c r="BR37" s="117">
        <f t="shared" si="247"/>
        <v>0</v>
      </c>
      <c r="BS37" s="125">
        <f t="shared" si="231"/>
        <v>0</v>
      </c>
      <c r="BT37" s="140" t="e">
        <f t="shared" si="56"/>
        <v>#VALUE!</v>
      </c>
      <c r="BU37" s="123" t="str">
        <f t="shared" si="232"/>
        <v/>
      </c>
      <c r="BV37" s="148" t="str">
        <f t="shared" si="233"/>
        <v/>
      </c>
      <c r="BW37" s="123">
        <f t="shared" si="234"/>
        <v>0</v>
      </c>
      <c r="BX37" s="326">
        <f t="shared" si="235"/>
        <v>0</v>
      </c>
    </row>
    <row r="38" spans="1:76" ht="13">
      <c r="A38" s="420">
        <f t="shared" si="194"/>
        <v>112014399</v>
      </c>
      <c r="B38" s="93">
        <f t="shared" si="195"/>
        <v>22</v>
      </c>
      <c r="C38" s="558">
        <f t="shared" si="196"/>
        <v>0.1</v>
      </c>
      <c r="D38" s="558">
        <f t="shared" si="197"/>
        <v>0.09</v>
      </c>
      <c r="E38" s="559">
        <f t="shared" si="198"/>
        <v>0</v>
      </c>
      <c r="F38" s="547">
        <f t="shared" si="199"/>
        <v>63</v>
      </c>
      <c r="G38" s="699">
        <f t="shared" si="200"/>
        <v>0.1</v>
      </c>
      <c r="H38" s="702">
        <f t="shared" si="201"/>
        <v>0.05</v>
      </c>
      <c r="I38" s="423" t="s">
        <v>1298</v>
      </c>
      <c r="J38" s="326">
        <f t="shared" si="163"/>
        <v>0</v>
      </c>
      <c r="K38" s="121">
        <v>1800000</v>
      </c>
      <c r="L38" s="140" t="e">
        <f t="shared" si="8"/>
        <v>#VALUE!</v>
      </c>
      <c r="M38" s="326" t="str">
        <f t="shared" si="202"/>
        <v/>
      </c>
      <c r="N38" s="333" t="str">
        <f t="shared" si="203"/>
        <v/>
      </c>
      <c r="O38" s="123" t="e">
        <f t="shared" si="11"/>
        <v>#VALUE!</v>
      </c>
      <c r="P38" s="137" t="e">
        <f t="shared" si="12"/>
        <v>#VALUE!</v>
      </c>
      <c r="Q38" s="326">
        <f t="shared" si="204"/>
        <v>0</v>
      </c>
      <c r="R38" s="116">
        <v>1800000</v>
      </c>
      <c r="S38" s="116" t="e">
        <f t="shared" si="14"/>
        <v>#VALUE!</v>
      </c>
      <c r="T38" s="326" t="str">
        <f t="shared" si="205"/>
        <v/>
      </c>
      <c r="U38" s="326" t="str">
        <f t="shared" si="206"/>
        <v/>
      </c>
      <c r="V38" s="326" t="e">
        <f t="shared" si="17"/>
        <v>#VALUE!</v>
      </c>
      <c r="W38" s="137" t="e">
        <f t="shared" si="18"/>
        <v>#VALUE!</v>
      </c>
      <c r="X38" s="326">
        <f t="shared" si="207"/>
        <v>415748.11</v>
      </c>
      <c r="Y38" s="121">
        <v>1800000</v>
      </c>
      <c r="Z38" s="113" t="e">
        <f t="shared" si="20"/>
        <v>#VALUE!</v>
      </c>
      <c r="AA38" s="116" t="str">
        <f t="shared" si="208"/>
        <v/>
      </c>
      <c r="AB38" s="117" t="str">
        <f t="shared" si="209"/>
        <v/>
      </c>
      <c r="AC38" s="114"/>
      <c r="AD38" s="116"/>
      <c r="AE38" s="1257">
        <f t="shared" si="23"/>
        <v>5400000</v>
      </c>
      <c r="AF38" s="140" t="str">
        <f t="shared" si="210"/>
        <v>0</v>
      </c>
      <c r="AG38" s="326" t="e">
        <f t="shared" si="25"/>
        <v>#VALUE!</v>
      </c>
      <c r="AH38" s="326" t="e">
        <f t="shared" ref="AH38:AI38" si="248">AA38+T38+M38</f>
        <v>#VALUE!</v>
      </c>
      <c r="AI38" s="326" t="e">
        <f t="shared" si="248"/>
        <v>#VALUE!</v>
      </c>
      <c r="AJ38" s="326" t="e">
        <f t="shared" si="27"/>
        <v>#VALUE!</v>
      </c>
      <c r="AK38" s="1258" t="str">
        <f t="shared" si="28"/>
        <v/>
      </c>
      <c r="AL38" s="125">
        <f t="shared" si="212"/>
        <v>0</v>
      </c>
      <c r="AM38" s="140" t="e">
        <f t="shared" si="30"/>
        <v>#VALUE!</v>
      </c>
      <c r="AN38" s="123" t="str">
        <f t="shared" si="213"/>
        <v/>
      </c>
      <c r="AO38" s="148" t="str">
        <f t="shared" si="214"/>
        <v/>
      </c>
      <c r="AP38" s="125">
        <f t="shared" si="165"/>
        <v>2204439.84</v>
      </c>
      <c r="AQ38" s="140" t="e">
        <f t="shared" si="33"/>
        <v>#VALUE!</v>
      </c>
      <c r="AR38" s="326" t="str">
        <f t="shared" si="215"/>
        <v/>
      </c>
      <c r="AS38" s="333" t="str">
        <f t="shared" si="216"/>
        <v/>
      </c>
      <c r="AT38" s="123">
        <f t="shared" si="166"/>
        <v>0</v>
      </c>
      <c r="AU38" s="123" t="e">
        <f t="shared" si="36"/>
        <v>#VALUE!</v>
      </c>
      <c r="AV38" s="123" t="str">
        <f t="shared" si="217"/>
        <v/>
      </c>
      <c r="AW38" s="125" t="str">
        <f t="shared" si="218"/>
        <v/>
      </c>
      <c r="AX38" s="122" t="e">
        <f t="shared" ref="AX38:AZ38" si="249">SUM(AU38,AQ38,AM38)</f>
        <v>#VALUE!</v>
      </c>
      <c r="AY38" s="326">
        <f t="shared" si="249"/>
        <v>0</v>
      </c>
      <c r="AZ38" s="332">
        <f t="shared" si="249"/>
        <v>0</v>
      </c>
      <c r="BA38" s="140" t="e">
        <f t="shared" ref="BA38:BC38" si="250">SUM(AX38,AG38)</f>
        <v>#VALUE!</v>
      </c>
      <c r="BB38" s="326" t="e">
        <f t="shared" si="250"/>
        <v>#VALUE!</v>
      </c>
      <c r="BC38" s="435" t="e">
        <f t="shared" si="250"/>
        <v>#VALUE!</v>
      </c>
      <c r="BD38" s="125">
        <f t="shared" si="221"/>
        <v>881775.94</v>
      </c>
      <c r="BE38" s="1166" t="e">
        <f t="shared" si="42"/>
        <v>#VALUE!</v>
      </c>
      <c r="BF38" s="116" t="str">
        <f t="shared" si="222"/>
        <v/>
      </c>
      <c r="BG38" s="121" t="str">
        <f t="shared" si="223"/>
        <v/>
      </c>
      <c r="BH38" s="114">
        <f t="shared" si="224"/>
        <v>1322663.8999999999</v>
      </c>
      <c r="BI38" s="416" t="e">
        <f t="shared" si="46"/>
        <v>#VALUE!</v>
      </c>
      <c r="BJ38" s="121" t="str">
        <f t="shared" si="225"/>
        <v/>
      </c>
      <c r="BK38" s="121" t="str">
        <f t="shared" si="226"/>
        <v/>
      </c>
      <c r="BL38" s="121">
        <f t="shared" si="227"/>
        <v>0</v>
      </c>
      <c r="BM38" s="113" t="e">
        <f t="shared" si="50"/>
        <v>#VALUE!</v>
      </c>
      <c r="BN38" s="116" t="str">
        <f t="shared" si="228"/>
        <v/>
      </c>
      <c r="BO38" s="741" t="str">
        <f t="shared" si="229"/>
        <v/>
      </c>
      <c r="BP38" s="113">
        <f t="shared" si="53"/>
        <v>0</v>
      </c>
      <c r="BQ38" s="116">
        <f t="shared" ref="BQ38:BR38" si="251">SUM(BN38,BJ38,BF38)</f>
        <v>0</v>
      </c>
      <c r="BR38" s="117">
        <f t="shared" si="251"/>
        <v>0</v>
      </c>
      <c r="BS38" s="125">
        <f t="shared" si="231"/>
        <v>0</v>
      </c>
      <c r="BT38" s="140" t="e">
        <f t="shared" si="56"/>
        <v>#VALUE!</v>
      </c>
      <c r="BU38" s="123" t="str">
        <f t="shared" si="232"/>
        <v/>
      </c>
      <c r="BV38" s="148" t="str">
        <f t="shared" si="233"/>
        <v/>
      </c>
      <c r="BW38" s="123">
        <f t="shared" si="234"/>
        <v>0</v>
      </c>
      <c r="BX38" s="326">
        <f t="shared" si="235"/>
        <v>0</v>
      </c>
    </row>
    <row r="39" spans="1:76" ht="13">
      <c r="A39" s="420">
        <f t="shared" si="194"/>
        <v>112014309</v>
      </c>
      <c r="B39" s="93">
        <f t="shared" si="195"/>
        <v>22</v>
      </c>
      <c r="C39" s="558">
        <f t="shared" si="196"/>
        <v>0.1</v>
      </c>
      <c r="D39" s="558">
        <f t="shared" si="197"/>
        <v>0.09</v>
      </c>
      <c r="E39" s="559">
        <f t="shared" si="198"/>
        <v>0</v>
      </c>
      <c r="F39" s="547">
        <f t="shared" si="199"/>
        <v>63</v>
      </c>
      <c r="G39" s="699">
        <f t="shared" si="200"/>
        <v>0.1</v>
      </c>
      <c r="H39" s="702">
        <f t="shared" si="201"/>
        <v>0.05</v>
      </c>
      <c r="I39" s="423" t="s">
        <v>1299</v>
      </c>
      <c r="J39" s="326">
        <f t="shared" si="163"/>
        <v>261852.61</v>
      </c>
      <c r="K39" s="121">
        <v>1800000</v>
      </c>
      <c r="L39" s="140" t="e">
        <f t="shared" si="8"/>
        <v>#VALUE!</v>
      </c>
      <c r="M39" s="326" t="str">
        <f t="shared" si="202"/>
        <v/>
      </c>
      <c r="N39" s="333">
        <f t="shared" si="203"/>
        <v>566105.97</v>
      </c>
      <c r="O39" s="123">
        <f t="shared" si="11"/>
        <v>-1233894.03</v>
      </c>
      <c r="P39" s="137">
        <f t="shared" si="12"/>
        <v>0.31450331666666664</v>
      </c>
      <c r="Q39" s="326">
        <f t="shared" si="204"/>
        <v>279180.77</v>
      </c>
      <c r="R39" s="116">
        <v>1800000</v>
      </c>
      <c r="S39" s="116" t="e">
        <f t="shared" si="14"/>
        <v>#VALUE!</v>
      </c>
      <c r="T39" s="326" t="str">
        <f t="shared" si="205"/>
        <v/>
      </c>
      <c r="U39" s="326">
        <f t="shared" si="206"/>
        <v>382410.75</v>
      </c>
      <c r="V39" s="326">
        <f t="shared" si="17"/>
        <v>-1417589.25</v>
      </c>
      <c r="W39" s="137">
        <f t="shared" si="18"/>
        <v>0.21245041666666667</v>
      </c>
      <c r="X39" s="326">
        <f t="shared" si="207"/>
        <v>398134.06</v>
      </c>
      <c r="Y39" s="121">
        <v>1800000</v>
      </c>
      <c r="Z39" s="113" t="e">
        <f t="shared" si="20"/>
        <v>#VALUE!</v>
      </c>
      <c r="AA39" s="116" t="str">
        <f t="shared" si="208"/>
        <v/>
      </c>
      <c r="AB39" s="117">
        <f t="shared" si="209"/>
        <v>73709.259999999995</v>
      </c>
      <c r="AC39" s="114"/>
      <c r="AD39" s="116"/>
      <c r="AE39" s="1257">
        <f t="shared" si="23"/>
        <v>5400000</v>
      </c>
      <c r="AF39" s="140">
        <f t="shared" si="210"/>
        <v>559309.91</v>
      </c>
      <c r="AG39" s="326" t="e">
        <f t="shared" si="25"/>
        <v>#VALUE!</v>
      </c>
      <c r="AH39" s="326" t="e">
        <f t="shared" ref="AH39:AI39" si="252">AA39+T39+M39</f>
        <v>#VALUE!</v>
      </c>
      <c r="AI39" s="326">
        <f t="shared" si="252"/>
        <v>1022225.98</v>
      </c>
      <c r="AJ39" s="326">
        <f t="shared" si="27"/>
        <v>462916.06999999995</v>
      </c>
      <c r="AK39" s="1258">
        <f t="shared" si="28"/>
        <v>1.8276557624376795</v>
      </c>
      <c r="AL39" s="125">
        <f t="shared" si="212"/>
        <v>144335.41</v>
      </c>
      <c r="AM39" s="140" t="e">
        <f t="shared" si="30"/>
        <v>#VALUE!</v>
      </c>
      <c r="AN39" s="123" t="str">
        <f t="shared" si="213"/>
        <v/>
      </c>
      <c r="AO39" s="148">
        <f t="shared" si="214"/>
        <v>-230703.21</v>
      </c>
      <c r="AP39" s="125">
        <f t="shared" si="165"/>
        <v>300343.40000000002</v>
      </c>
      <c r="AQ39" s="140" t="e">
        <f t="shared" si="33"/>
        <v>#VALUE!</v>
      </c>
      <c r="AR39" s="326" t="str">
        <f t="shared" si="215"/>
        <v/>
      </c>
      <c r="AS39" s="333">
        <f t="shared" si="216"/>
        <v>162012.32</v>
      </c>
      <c r="AT39" s="123">
        <f t="shared" si="166"/>
        <v>111618.87</v>
      </c>
      <c r="AU39" s="123" t="e">
        <f t="shared" si="36"/>
        <v>#VALUE!</v>
      </c>
      <c r="AV39" s="123" t="str">
        <f t="shared" si="217"/>
        <v/>
      </c>
      <c r="AW39" s="125">
        <f t="shared" si="218"/>
        <v>0</v>
      </c>
      <c r="AX39" s="122" t="e">
        <f t="shared" ref="AX39:AZ39" si="253">SUM(AU39,AQ39,AM39)</f>
        <v>#VALUE!</v>
      </c>
      <c r="AY39" s="326">
        <f t="shared" si="253"/>
        <v>0</v>
      </c>
      <c r="AZ39" s="332">
        <f t="shared" si="253"/>
        <v>-68690.889999999985</v>
      </c>
      <c r="BA39" s="140" t="e">
        <f t="shared" ref="BA39:BC39" si="254">SUM(AX39,AG39)</f>
        <v>#VALUE!</v>
      </c>
      <c r="BB39" s="326" t="e">
        <f t="shared" si="254"/>
        <v>#VALUE!</v>
      </c>
      <c r="BC39" s="435">
        <f t="shared" si="254"/>
        <v>953535.09</v>
      </c>
      <c r="BD39" s="125">
        <f t="shared" si="221"/>
        <v>57157.38</v>
      </c>
      <c r="BE39" s="1166" t="e">
        <f t="shared" si="42"/>
        <v>#VALUE!</v>
      </c>
      <c r="BF39" s="116" t="str">
        <f t="shared" si="222"/>
        <v/>
      </c>
      <c r="BG39" s="121">
        <f t="shared" si="223"/>
        <v>0</v>
      </c>
      <c r="BH39" s="114">
        <f t="shared" si="224"/>
        <v>318124.11</v>
      </c>
      <c r="BI39" s="416" t="e">
        <f t="shared" si="46"/>
        <v>#VALUE!</v>
      </c>
      <c r="BJ39" s="121" t="str">
        <f t="shared" si="225"/>
        <v/>
      </c>
      <c r="BK39" s="121">
        <f t="shared" si="226"/>
        <v>0</v>
      </c>
      <c r="BL39" s="121">
        <f t="shared" si="227"/>
        <v>0</v>
      </c>
      <c r="BM39" s="113" t="e">
        <f t="shared" si="50"/>
        <v>#VALUE!</v>
      </c>
      <c r="BN39" s="116" t="str">
        <f t="shared" si="228"/>
        <v/>
      </c>
      <c r="BO39" s="117">
        <f t="shared" si="229"/>
        <v>0</v>
      </c>
      <c r="BP39" s="113">
        <f t="shared" si="53"/>
        <v>0</v>
      </c>
      <c r="BQ39" s="116">
        <f t="shared" ref="BQ39:BR39" si="255">SUM(BN39,BJ39,BF39)</f>
        <v>0</v>
      </c>
      <c r="BR39" s="117">
        <f t="shared" si="255"/>
        <v>0</v>
      </c>
      <c r="BS39" s="125">
        <f t="shared" si="231"/>
        <v>0</v>
      </c>
      <c r="BT39" s="140" t="e">
        <f t="shared" si="56"/>
        <v>#VALUE!</v>
      </c>
      <c r="BU39" s="123" t="str">
        <f t="shared" si="232"/>
        <v/>
      </c>
      <c r="BV39" s="148">
        <f t="shared" si="233"/>
        <v>0</v>
      </c>
      <c r="BW39" s="123">
        <f t="shared" si="234"/>
        <v>166471.29</v>
      </c>
      <c r="BX39" s="326">
        <f t="shared" si="235"/>
        <v>392838.62</v>
      </c>
    </row>
    <row r="40" spans="1:76" ht="13">
      <c r="A40" s="420">
        <f t="shared" si="194"/>
        <v>112013273</v>
      </c>
      <c r="B40" s="93">
        <f t="shared" si="195"/>
        <v>22</v>
      </c>
      <c r="C40" s="558">
        <f t="shared" si="196"/>
        <v>0.1</v>
      </c>
      <c r="D40" s="558">
        <f t="shared" si="197"/>
        <v>0.09</v>
      </c>
      <c r="E40" s="559">
        <f t="shared" si="198"/>
        <v>0</v>
      </c>
      <c r="F40" s="547">
        <f t="shared" si="199"/>
        <v>63</v>
      </c>
      <c r="G40" s="699">
        <f t="shared" si="200"/>
        <v>0.1</v>
      </c>
      <c r="H40" s="702">
        <f t="shared" si="201"/>
        <v>0.05</v>
      </c>
      <c r="I40" s="423" t="s">
        <v>1300</v>
      </c>
      <c r="J40" s="326">
        <f t="shared" si="163"/>
        <v>0</v>
      </c>
      <c r="K40" s="121">
        <v>1800000</v>
      </c>
      <c r="L40" s="140" t="e">
        <f t="shared" si="8"/>
        <v>#VALUE!</v>
      </c>
      <c r="M40" s="326" t="str">
        <f t="shared" si="202"/>
        <v/>
      </c>
      <c r="N40" s="333">
        <f t="shared" si="203"/>
        <v>755567.59</v>
      </c>
      <c r="O40" s="123">
        <f t="shared" si="11"/>
        <v>-1044432.41</v>
      </c>
      <c r="P40" s="137">
        <f t="shared" si="12"/>
        <v>0.41975977222222222</v>
      </c>
      <c r="Q40" s="326">
        <f t="shared" si="204"/>
        <v>0</v>
      </c>
      <c r="R40" s="116">
        <v>1800000</v>
      </c>
      <c r="S40" s="116" t="e">
        <f t="shared" si="14"/>
        <v>#VALUE!</v>
      </c>
      <c r="T40" s="326" t="str">
        <f t="shared" si="205"/>
        <v/>
      </c>
      <c r="U40" s="326">
        <f t="shared" si="206"/>
        <v>424520.72</v>
      </c>
      <c r="V40" s="326">
        <f t="shared" si="17"/>
        <v>-1375479.28</v>
      </c>
      <c r="W40" s="137">
        <f t="shared" si="18"/>
        <v>0.23584484444444442</v>
      </c>
      <c r="X40" s="326">
        <f t="shared" si="207"/>
        <v>0</v>
      </c>
      <c r="Y40" s="121">
        <v>1800000</v>
      </c>
      <c r="Z40" s="113" t="e">
        <f t="shared" si="20"/>
        <v>#VALUE!</v>
      </c>
      <c r="AA40" s="116" t="str">
        <f t="shared" si="208"/>
        <v/>
      </c>
      <c r="AB40" s="117">
        <f t="shared" si="209"/>
        <v>308068.39</v>
      </c>
      <c r="AC40" s="114"/>
      <c r="AD40" s="116"/>
      <c r="AE40" s="1257">
        <f t="shared" si="23"/>
        <v>5400000</v>
      </c>
      <c r="AF40" s="140">
        <f t="shared" si="210"/>
        <v>2813043.24</v>
      </c>
      <c r="AG40" s="326" t="e">
        <f t="shared" si="25"/>
        <v>#VALUE!</v>
      </c>
      <c r="AH40" s="326" t="e">
        <f t="shared" ref="AH40:AI40" si="256">AA40+T40+M40</f>
        <v>#VALUE!</v>
      </c>
      <c r="AI40" s="326">
        <f t="shared" si="256"/>
        <v>1488156.7</v>
      </c>
      <c r="AJ40" s="326">
        <f t="shared" si="27"/>
        <v>-1324886.5400000003</v>
      </c>
      <c r="AK40" s="1258">
        <f t="shared" si="28"/>
        <v>0.52902020091237556</v>
      </c>
      <c r="AL40" s="125">
        <f t="shared" si="212"/>
        <v>0</v>
      </c>
      <c r="AM40" s="140" t="e">
        <f t="shared" si="30"/>
        <v>#VALUE!</v>
      </c>
      <c r="AN40" s="123" t="str">
        <f t="shared" si="213"/>
        <v/>
      </c>
      <c r="AO40" s="148">
        <f t="shared" si="214"/>
        <v>598153.38</v>
      </c>
      <c r="AP40" s="125">
        <f t="shared" si="165"/>
        <v>0</v>
      </c>
      <c r="AQ40" s="140" t="e">
        <f t="shared" si="33"/>
        <v>#VALUE!</v>
      </c>
      <c r="AR40" s="326" t="str">
        <f t="shared" si="215"/>
        <v/>
      </c>
      <c r="AS40" s="333">
        <f t="shared" si="216"/>
        <v>564984.09</v>
      </c>
      <c r="AT40" s="123">
        <f t="shared" si="166"/>
        <v>0</v>
      </c>
      <c r="AU40" s="123" t="e">
        <f t="shared" si="36"/>
        <v>#VALUE!</v>
      </c>
      <c r="AV40" s="123" t="str">
        <f t="shared" si="217"/>
        <v/>
      </c>
      <c r="AW40" s="125">
        <f t="shared" si="218"/>
        <v>256052.02</v>
      </c>
      <c r="AX40" s="122" t="e">
        <f t="shared" ref="AX40:AZ40" si="257">SUM(AU40,AQ40,AM40)</f>
        <v>#VALUE!</v>
      </c>
      <c r="AY40" s="326">
        <f t="shared" si="257"/>
        <v>0</v>
      </c>
      <c r="AZ40" s="332">
        <f t="shared" si="257"/>
        <v>1419189.49</v>
      </c>
      <c r="BA40" s="140" t="e">
        <f t="shared" ref="BA40:BC40" si="258">SUM(AX40,AG40)</f>
        <v>#VALUE!</v>
      </c>
      <c r="BB40" s="326" t="e">
        <f t="shared" si="258"/>
        <v>#VALUE!</v>
      </c>
      <c r="BC40" s="435">
        <f t="shared" si="258"/>
        <v>2907346.19</v>
      </c>
      <c r="BD40" s="125">
        <f t="shared" si="221"/>
        <v>0</v>
      </c>
      <c r="BE40" s="1166" t="e">
        <f t="shared" si="42"/>
        <v>#VALUE!</v>
      </c>
      <c r="BF40" s="116" t="str">
        <f t="shared" si="222"/>
        <v/>
      </c>
      <c r="BG40" s="121">
        <f t="shared" si="223"/>
        <v>0</v>
      </c>
      <c r="BH40" s="114">
        <f t="shared" si="224"/>
        <v>0</v>
      </c>
      <c r="BI40" s="416" t="e">
        <f t="shared" si="46"/>
        <v>#VALUE!</v>
      </c>
      <c r="BJ40" s="121" t="str">
        <f t="shared" si="225"/>
        <v/>
      </c>
      <c r="BK40" s="121">
        <f t="shared" si="226"/>
        <v>257464.11</v>
      </c>
      <c r="BL40" s="121">
        <f t="shared" si="227"/>
        <v>0</v>
      </c>
      <c r="BM40" s="113" t="e">
        <f t="shared" si="50"/>
        <v>#VALUE!</v>
      </c>
      <c r="BN40" s="116" t="str">
        <f t="shared" si="228"/>
        <v/>
      </c>
      <c r="BO40" s="117">
        <f t="shared" si="229"/>
        <v>273013.44</v>
      </c>
      <c r="BP40" s="113">
        <f t="shared" si="53"/>
        <v>530477.55000000005</v>
      </c>
      <c r="BQ40" s="116">
        <f t="shared" ref="BQ40:BR40" si="259">SUM(BN40,BJ40,BF40)</f>
        <v>0</v>
      </c>
      <c r="BR40" s="117">
        <f t="shared" si="259"/>
        <v>530477.55000000005</v>
      </c>
      <c r="BS40" s="125">
        <f t="shared" si="231"/>
        <v>1175549.02</v>
      </c>
      <c r="BT40" s="140" t="e">
        <f t="shared" si="56"/>
        <v>#VALUE!</v>
      </c>
      <c r="BU40" s="123" t="str">
        <f t="shared" si="232"/>
        <v/>
      </c>
      <c r="BV40" s="148">
        <f t="shared" si="233"/>
        <v>625827.71</v>
      </c>
      <c r="BW40" s="123">
        <f t="shared" si="234"/>
        <v>595391.81999999995</v>
      </c>
      <c r="BX40" s="326">
        <f t="shared" si="235"/>
        <v>1042102.4</v>
      </c>
    </row>
    <row r="41" spans="1:76" ht="13">
      <c r="A41" s="420">
        <f t="shared" si="194"/>
        <v>112014454</v>
      </c>
      <c r="B41" s="93">
        <f t="shared" si="195"/>
        <v>22</v>
      </c>
      <c r="C41" s="558">
        <f t="shared" si="196"/>
        <v>0.1</v>
      </c>
      <c r="D41" s="558">
        <f t="shared" si="197"/>
        <v>0.09</v>
      </c>
      <c r="E41" s="559">
        <f t="shared" si="198"/>
        <v>0</v>
      </c>
      <c r="F41" s="547">
        <f t="shared" si="199"/>
        <v>63</v>
      </c>
      <c r="G41" s="699">
        <f t="shared" si="200"/>
        <v>0.1</v>
      </c>
      <c r="H41" s="702">
        <f t="shared" si="201"/>
        <v>0.05</v>
      </c>
      <c r="I41" s="423" t="s">
        <v>1301</v>
      </c>
      <c r="J41" s="326">
        <f t="shared" si="163"/>
        <v>0</v>
      </c>
      <c r="K41" s="121">
        <v>1800000</v>
      </c>
      <c r="L41" s="140">
        <f t="shared" si="8"/>
        <v>1462782.49</v>
      </c>
      <c r="M41" s="326">
        <f t="shared" si="202"/>
        <v>6600</v>
      </c>
      <c r="N41" s="333">
        <f t="shared" si="203"/>
        <v>1469382.49</v>
      </c>
      <c r="O41" s="123">
        <f t="shared" si="11"/>
        <v>-330617.51</v>
      </c>
      <c r="P41" s="137">
        <f t="shared" si="12"/>
        <v>0.8163236055555555</v>
      </c>
      <c r="Q41" s="326">
        <f t="shared" si="204"/>
        <v>0</v>
      </c>
      <c r="R41" s="116">
        <v>1800000</v>
      </c>
      <c r="S41" s="116">
        <f t="shared" si="14"/>
        <v>1840736.27</v>
      </c>
      <c r="T41" s="326">
        <f t="shared" si="205"/>
        <v>0</v>
      </c>
      <c r="U41" s="326">
        <f t="shared" si="206"/>
        <v>1840736.27</v>
      </c>
      <c r="V41" s="326">
        <f t="shared" si="17"/>
        <v>40736.270000000019</v>
      </c>
      <c r="W41" s="137">
        <f t="shared" si="18"/>
        <v>1.022631261111111</v>
      </c>
      <c r="X41" s="326">
        <f t="shared" si="207"/>
        <v>0</v>
      </c>
      <c r="Y41" s="121">
        <v>1800000</v>
      </c>
      <c r="Z41" s="113">
        <f t="shared" si="20"/>
        <v>588348.26</v>
      </c>
      <c r="AA41" s="116">
        <f t="shared" si="208"/>
        <v>0</v>
      </c>
      <c r="AB41" s="117">
        <f t="shared" si="209"/>
        <v>588348.26</v>
      </c>
      <c r="AC41" s="114"/>
      <c r="AD41" s="116"/>
      <c r="AE41" s="1257">
        <f t="shared" si="23"/>
        <v>5400000</v>
      </c>
      <c r="AF41" s="140">
        <f t="shared" si="210"/>
        <v>4677827.7</v>
      </c>
      <c r="AG41" s="326">
        <f t="shared" si="25"/>
        <v>3891867.0200000005</v>
      </c>
      <c r="AH41" s="326">
        <f t="shared" ref="AH41:AI41" si="260">AA41+T41+M41</f>
        <v>6600</v>
      </c>
      <c r="AI41" s="326">
        <f t="shared" si="260"/>
        <v>3898467.0200000005</v>
      </c>
      <c r="AJ41" s="326">
        <f t="shared" si="27"/>
        <v>-779360.6799999997</v>
      </c>
      <c r="AK41" s="1258">
        <f t="shared" si="28"/>
        <v>0.83339260657249092</v>
      </c>
      <c r="AL41" s="125">
        <f t="shared" si="212"/>
        <v>0</v>
      </c>
      <c r="AM41" s="140">
        <f t="shared" si="30"/>
        <v>913330.78</v>
      </c>
      <c r="AN41" s="123">
        <f t="shared" si="213"/>
        <v>0</v>
      </c>
      <c r="AO41" s="148">
        <f t="shared" si="214"/>
        <v>913330.78</v>
      </c>
      <c r="AP41" s="125">
        <f t="shared" si="165"/>
        <v>2121174.31</v>
      </c>
      <c r="AQ41" s="140">
        <f t="shared" si="33"/>
        <v>376599.14</v>
      </c>
      <c r="AR41" s="326">
        <f t="shared" si="215"/>
        <v>0</v>
      </c>
      <c r="AS41" s="333">
        <f t="shared" si="216"/>
        <v>376599.14</v>
      </c>
      <c r="AT41" s="123">
        <f t="shared" si="166"/>
        <v>0</v>
      </c>
      <c r="AU41" s="123">
        <f t="shared" si="36"/>
        <v>889206.45</v>
      </c>
      <c r="AV41" s="123">
        <f t="shared" si="217"/>
        <v>0</v>
      </c>
      <c r="AW41" s="125">
        <f t="shared" si="218"/>
        <v>889206.45</v>
      </c>
      <c r="AX41" s="122">
        <f t="shared" ref="AX41:AZ41" si="261">SUM(AU41,AQ41,AM41)</f>
        <v>2179136.37</v>
      </c>
      <c r="AY41" s="326">
        <f t="shared" si="261"/>
        <v>0</v>
      </c>
      <c r="AZ41" s="332">
        <f t="shared" si="261"/>
        <v>2179136.37</v>
      </c>
      <c r="BA41" s="140">
        <f t="shared" ref="BA41:BC41" si="262">SUM(AX41,AG41)</f>
        <v>6071003.3900000006</v>
      </c>
      <c r="BB41" s="326">
        <f t="shared" si="262"/>
        <v>6600</v>
      </c>
      <c r="BC41" s="435">
        <f t="shared" si="262"/>
        <v>6077603.3900000006</v>
      </c>
      <c r="BD41" s="125">
        <f t="shared" si="221"/>
        <v>5674317.7400000002</v>
      </c>
      <c r="BE41" s="1166">
        <f t="shared" si="42"/>
        <v>142006.76</v>
      </c>
      <c r="BF41" s="116">
        <f t="shared" si="222"/>
        <v>0</v>
      </c>
      <c r="BG41" s="121">
        <f t="shared" si="223"/>
        <v>142006.76</v>
      </c>
      <c r="BH41" s="114">
        <f t="shared" si="224"/>
        <v>212025.38</v>
      </c>
      <c r="BI41" s="416">
        <f t="shared" si="46"/>
        <v>765905.54</v>
      </c>
      <c r="BJ41" s="121">
        <f t="shared" si="225"/>
        <v>0</v>
      </c>
      <c r="BK41" s="121">
        <f t="shared" si="226"/>
        <v>765905.54</v>
      </c>
      <c r="BL41" s="121">
        <f t="shared" si="227"/>
        <v>661909.88</v>
      </c>
      <c r="BM41" s="113">
        <f t="shared" si="50"/>
        <v>178688.81</v>
      </c>
      <c r="BN41" s="116">
        <f t="shared" si="228"/>
        <v>0</v>
      </c>
      <c r="BO41" s="117">
        <f t="shared" si="229"/>
        <v>178688.81</v>
      </c>
      <c r="BP41" s="113">
        <f t="shared" si="53"/>
        <v>1086601.1100000001</v>
      </c>
      <c r="BQ41" s="116">
        <f t="shared" ref="BQ41:BR41" si="263">SUM(BN41,BJ41,BF41)</f>
        <v>0</v>
      </c>
      <c r="BR41" s="117">
        <f t="shared" si="263"/>
        <v>1086601.1100000001</v>
      </c>
      <c r="BS41" s="125">
        <f t="shared" si="231"/>
        <v>914686.01</v>
      </c>
      <c r="BT41" s="140">
        <f t="shared" si="56"/>
        <v>3355100</v>
      </c>
      <c r="BU41" s="123">
        <f t="shared" si="232"/>
        <v>0</v>
      </c>
      <c r="BV41" s="148">
        <f t="shared" si="233"/>
        <v>3355100</v>
      </c>
      <c r="BW41" s="123">
        <f t="shared" si="234"/>
        <v>2525875.58</v>
      </c>
      <c r="BX41" s="326">
        <f t="shared" si="235"/>
        <v>1237266.1100000001</v>
      </c>
    </row>
    <row r="42" spans="1:76" ht="13">
      <c r="A42" s="420">
        <f t="shared" si="194"/>
        <v>112012506</v>
      </c>
      <c r="B42" s="93">
        <f t="shared" si="195"/>
        <v>22</v>
      </c>
      <c r="C42" s="558">
        <f t="shared" si="196"/>
        <v>0.1</v>
      </c>
      <c r="D42" s="558">
        <f t="shared" si="197"/>
        <v>0.09</v>
      </c>
      <c r="E42" s="559">
        <f t="shared" si="198"/>
        <v>0</v>
      </c>
      <c r="F42" s="547">
        <f t="shared" si="199"/>
        <v>63</v>
      </c>
      <c r="G42" s="699">
        <f t="shared" si="200"/>
        <v>0.1</v>
      </c>
      <c r="H42" s="702">
        <f t="shared" si="201"/>
        <v>0.05</v>
      </c>
      <c r="I42" s="423" t="s">
        <v>1302</v>
      </c>
      <c r="J42" s="326">
        <f t="shared" si="163"/>
        <v>0</v>
      </c>
      <c r="K42" s="121">
        <v>1800000</v>
      </c>
      <c r="L42" s="140" t="e">
        <f t="shared" si="8"/>
        <v>#VALUE!</v>
      </c>
      <c r="M42" s="326" t="str">
        <f t="shared" si="202"/>
        <v/>
      </c>
      <c r="N42" s="333">
        <f t="shared" si="203"/>
        <v>0</v>
      </c>
      <c r="O42" s="123">
        <f t="shared" si="11"/>
        <v>-1800000</v>
      </c>
      <c r="P42" s="137">
        <f t="shared" si="12"/>
        <v>0</v>
      </c>
      <c r="Q42" s="326">
        <f t="shared" si="204"/>
        <v>0</v>
      </c>
      <c r="R42" s="116">
        <v>1800000</v>
      </c>
      <c r="S42" s="116" t="e">
        <f t="shared" si="14"/>
        <v>#VALUE!</v>
      </c>
      <c r="T42" s="326" t="str">
        <f t="shared" si="205"/>
        <v/>
      </c>
      <c r="U42" s="326">
        <f t="shared" si="206"/>
        <v>1306368</v>
      </c>
      <c r="V42" s="326">
        <f t="shared" si="17"/>
        <v>-493632</v>
      </c>
      <c r="W42" s="137">
        <f t="shared" si="18"/>
        <v>0.72575999999999996</v>
      </c>
      <c r="X42" s="326">
        <f t="shared" si="207"/>
        <v>0</v>
      </c>
      <c r="Y42" s="121">
        <v>1800000</v>
      </c>
      <c r="Z42" s="113" t="e">
        <f t="shared" si="20"/>
        <v>#VALUE!</v>
      </c>
      <c r="AA42" s="116" t="str">
        <f t="shared" si="208"/>
        <v/>
      </c>
      <c r="AB42" s="117">
        <f t="shared" si="209"/>
        <v>0</v>
      </c>
      <c r="AC42" s="114"/>
      <c r="AD42" s="116"/>
      <c r="AE42" s="1257">
        <f t="shared" si="23"/>
        <v>5400000</v>
      </c>
      <c r="AF42" s="140">
        <f t="shared" si="210"/>
        <v>1173690</v>
      </c>
      <c r="AG42" s="326" t="e">
        <f t="shared" si="25"/>
        <v>#VALUE!</v>
      </c>
      <c r="AH42" s="326" t="e">
        <f t="shared" ref="AH42:AI42" si="264">AA42+T42+M42</f>
        <v>#VALUE!</v>
      </c>
      <c r="AI42" s="326">
        <f t="shared" si="264"/>
        <v>1306368</v>
      </c>
      <c r="AJ42" s="326">
        <f t="shared" si="27"/>
        <v>132678</v>
      </c>
      <c r="AK42" s="1258">
        <f t="shared" si="28"/>
        <v>1.1130434782608696</v>
      </c>
      <c r="AL42" s="125">
        <f t="shared" si="212"/>
        <v>0</v>
      </c>
      <c r="AM42" s="140" t="e">
        <f t="shared" si="30"/>
        <v>#VALUE!</v>
      </c>
      <c r="AN42" s="123" t="str">
        <f t="shared" si="213"/>
        <v/>
      </c>
      <c r="AO42" s="148">
        <f t="shared" si="214"/>
        <v>0</v>
      </c>
      <c r="AP42" s="125">
        <f t="shared" si="165"/>
        <v>0</v>
      </c>
      <c r="AQ42" s="140" t="e">
        <f t="shared" si="33"/>
        <v>#VALUE!</v>
      </c>
      <c r="AR42" s="326" t="str">
        <f t="shared" si="215"/>
        <v/>
      </c>
      <c r="AS42" s="333">
        <f t="shared" si="216"/>
        <v>0</v>
      </c>
      <c r="AT42" s="123">
        <f t="shared" si="166"/>
        <v>0</v>
      </c>
      <c r="AU42" s="123" t="e">
        <f t="shared" si="36"/>
        <v>#VALUE!</v>
      </c>
      <c r="AV42" s="123" t="str">
        <f t="shared" si="217"/>
        <v/>
      </c>
      <c r="AW42" s="125">
        <f t="shared" si="218"/>
        <v>0</v>
      </c>
      <c r="AX42" s="122" t="e">
        <f t="shared" ref="AX42:AZ42" si="265">SUM(AU42,AQ42,AM42)</f>
        <v>#VALUE!</v>
      </c>
      <c r="AY42" s="326">
        <f t="shared" si="265"/>
        <v>0</v>
      </c>
      <c r="AZ42" s="332">
        <f t="shared" si="265"/>
        <v>0</v>
      </c>
      <c r="BA42" s="140" t="e">
        <f t="shared" ref="BA42:BC42" si="266">SUM(AX42,AG42)</f>
        <v>#VALUE!</v>
      </c>
      <c r="BB42" s="326" t="e">
        <f t="shared" si="266"/>
        <v>#VALUE!</v>
      </c>
      <c r="BC42" s="435">
        <f t="shared" si="266"/>
        <v>1306368</v>
      </c>
      <c r="BD42" s="125">
        <f t="shared" si="221"/>
        <v>0</v>
      </c>
      <c r="BE42" s="1166" t="e">
        <f t="shared" si="42"/>
        <v>#VALUE!</v>
      </c>
      <c r="BF42" s="116" t="str">
        <f t="shared" si="222"/>
        <v/>
      </c>
      <c r="BG42" s="121">
        <f t="shared" si="223"/>
        <v>0</v>
      </c>
      <c r="BH42" s="114">
        <f t="shared" si="224"/>
        <v>0</v>
      </c>
      <c r="BI42" s="416" t="e">
        <f t="shared" si="46"/>
        <v>#VALUE!</v>
      </c>
      <c r="BJ42" s="121" t="str">
        <f t="shared" si="225"/>
        <v/>
      </c>
      <c r="BK42" s="121">
        <f t="shared" si="226"/>
        <v>0</v>
      </c>
      <c r="BL42" s="121">
        <f t="shared" si="227"/>
        <v>0</v>
      </c>
      <c r="BM42" s="113" t="e">
        <f t="shared" si="50"/>
        <v>#VALUE!</v>
      </c>
      <c r="BN42" s="116" t="str">
        <f t="shared" si="228"/>
        <v/>
      </c>
      <c r="BO42" s="117">
        <f t="shared" si="229"/>
        <v>0</v>
      </c>
      <c r="BP42" s="113">
        <f t="shared" si="53"/>
        <v>0</v>
      </c>
      <c r="BQ42" s="116">
        <f t="shared" ref="BQ42:BR42" si="267">SUM(BN42,BJ42,BF42)</f>
        <v>0</v>
      </c>
      <c r="BR42" s="117">
        <f t="shared" si="267"/>
        <v>0</v>
      </c>
      <c r="BS42" s="125">
        <f t="shared" si="231"/>
        <v>0</v>
      </c>
      <c r="BT42" s="140" t="e">
        <f t="shared" si="56"/>
        <v>#VALUE!</v>
      </c>
      <c r="BU42" s="123" t="str">
        <f t="shared" si="232"/>
        <v/>
      </c>
      <c r="BV42" s="148">
        <f t="shared" si="233"/>
        <v>0</v>
      </c>
      <c r="BW42" s="123">
        <f t="shared" si="234"/>
        <v>0</v>
      </c>
      <c r="BX42" s="326">
        <f t="shared" si="235"/>
        <v>1173690</v>
      </c>
    </row>
    <row r="43" spans="1:76" ht="13">
      <c r="A43" s="420">
        <f t="shared" si="194"/>
        <v>112011830</v>
      </c>
      <c r="B43" s="93">
        <f t="shared" si="195"/>
        <v>22</v>
      </c>
      <c r="C43" s="558">
        <f t="shared" si="196"/>
        <v>0.1</v>
      </c>
      <c r="D43" s="558">
        <f t="shared" si="197"/>
        <v>0.09</v>
      </c>
      <c r="E43" s="559">
        <f t="shared" si="198"/>
        <v>0</v>
      </c>
      <c r="F43" s="547">
        <f t="shared" si="199"/>
        <v>63</v>
      </c>
      <c r="G43" s="699">
        <f t="shared" si="200"/>
        <v>0.1</v>
      </c>
      <c r="H43" s="702">
        <f t="shared" si="201"/>
        <v>0.05</v>
      </c>
      <c r="I43" s="423" t="s">
        <v>1303</v>
      </c>
      <c r="J43" s="326">
        <f t="shared" si="163"/>
        <v>1350205.76</v>
      </c>
      <c r="K43" s="121">
        <f t="shared" ref="K43:K44" si="268">(J43*1.601)*1.05</f>
        <v>2269763.3928479999</v>
      </c>
      <c r="L43" s="140">
        <f t="shared" si="8"/>
        <v>1555586.97</v>
      </c>
      <c r="M43" s="326">
        <f t="shared" si="202"/>
        <v>123601.98</v>
      </c>
      <c r="N43" s="333">
        <f t="shared" si="203"/>
        <v>1679188.95</v>
      </c>
      <c r="O43" s="123">
        <f t="shared" si="11"/>
        <v>-590574.44284799998</v>
      </c>
      <c r="P43" s="137">
        <f t="shared" si="12"/>
        <v>0.73980792680466445</v>
      </c>
      <c r="Q43" s="326">
        <f t="shared" si="204"/>
        <v>1261822.3700000001</v>
      </c>
      <c r="R43" s="116">
        <f t="shared" ref="R43:R44" si="269">(Q43*1.7245)*1.05</f>
        <v>2284813.3109182501</v>
      </c>
      <c r="S43" s="116">
        <f t="shared" si="14"/>
        <v>1679730.9600000002</v>
      </c>
      <c r="T43" s="326">
        <f t="shared" si="205"/>
        <v>15486.88</v>
      </c>
      <c r="U43" s="326">
        <f t="shared" si="206"/>
        <v>1695217.84</v>
      </c>
      <c r="V43" s="326">
        <f t="shared" si="17"/>
        <v>-589595.47091825004</v>
      </c>
      <c r="W43" s="137">
        <f t="shared" si="18"/>
        <v>0.7419502643385355</v>
      </c>
      <c r="X43" s="326">
        <f t="shared" si="207"/>
        <v>1259626.21</v>
      </c>
      <c r="Y43" s="121">
        <f>(X43*1.5955)*1.05</f>
        <v>2110220.2989577497</v>
      </c>
      <c r="Z43" s="113">
        <f t="shared" si="20"/>
        <v>1960041.01</v>
      </c>
      <c r="AA43" s="116">
        <f t="shared" si="208"/>
        <v>0</v>
      </c>
      <c r="AB43" s="117">
        <f t="shared" si="209"/>
        <v>1960041.01</v>
      </c>
      <c r="AC43" s="114"/>
      <c r="AD43" s="116"/>
      <c r="AE43" s="1257">
        <f t="shared" si="23"/>
        <v>6664797.0027239993</v>
      </c>
      <c r="AF43" s="140">
        <f t="shared" si="210"/>
        <v>5568177.5</v>
      </c>
      <c r="AG43" s="326">
        <f t="shared" si="25"/>
        <v>5195358.9399999995</v>
      </c>
      <c r="AH43" s="326">
        <f t="shared" ref="AH43:AI43" si="270">AA43+T43+M43</f>
        <v>139088.85999999999</v>
      </c>
      <c r="AI43" s="326">
        <f t="shared" si="270"/>
        <v>5334447.8</v>
      </c>
      <c r="AJ43" s="326">
        <f t="shared" si="27"/>
        <v>-233729.70000000019</v>
      </c>
      <c r="AK43" s="1258">
        <f t="shared" si="28"/>
        <v>0.95802402132475117</v>
      </c>
      <c r="AL43" s="125">
        <f t="shared" si="212"/>
        <v>1062529.43</v>
      </c>
      <c r="AM43" s="140">
        <f t="shared" si="30"/>
        <v>1762547.55</v>
      </c>
      <c r="AN43" s="123">
        <f t="shared" si="213"/>
        <v>48154.3</v>
      </c>
      <c r="AO43" s="148">
        <f t="shared" si="214"/>
        <v>1810701.85</v>
      </c>
      <c r="AP43" s="125">
        <f t="shared" si="165"/>
        <v>363192.89</v>
      </c>
      <c r="AQ43" s="140">
        <f t="shared" si="33"/>
        <v>318083.29000000004</v>
      </c>
      <c r="AR43" s="326">
        <f t="shared" si="215"/>
        <v>177927.55</v>
      </c>
      <c r="AS43" s="333">
        <f t="shared" si="216"/>
        <v>496010.84</v>
      </c>
      <c r="AT43" s="123">
        <f t="shared" si="166"/>
        <v>422959.87</v>
      </c>
      <c r="AU43" s="123">
        <f t="shared" si="36"/>
        <v>660779.77</v>
      </c>
      <c r="AV43" s="123">
        <f t="shared" si="217"/>
        <v>0</v>
      </c>
      <c r="AW43" s="125">
        <f t="shared" si="218"/>
        <v>660779.77</v>
      </c>
      <c r="AX43" s="122">
        <f t="shared" ref="AX43:AZ43" si="271">SUM(AU43,AQ43,AM43)</f>
        <v>2741410.6100000003</v>
      </c>
      <c r="AY43" s="326">
        <f t="shared" si="271"/>
        <v>226081.84999999998</v>
      </c>
      <c r="AZ43" s="332">
        <f t="shared" si="271"/>
        <v>2967492.46</v>
      </c>
      <c r="BA43" s="140">
        <f t="shared" ref="BA43:BC43" si="272">SUM(AX43,AG43)</f>
        <v>7936769.5499999998</v>
      </c>
      <c r="BB43" s="326">
        <f t="shared" si="272"/>
        <v>365170.70999999996</v>
      </c>
      <c r="BC43" s="435">
        <f t="shared" si="272"/>
        <v>8301940.2599999998</v>
      </c>
      <c r="BD43" s="125">
        <f t="shared" si="221"/>
        <v>1092745.77</v>
      </c>
      <c r="BE43" s="1166">
        <f t="shared" si="42"/>
        <v>748705.62999999989</v>
      </c>
      <c r="BF43" s="116">
        <f t="shared" si="222"/>
        <v>136051.94</v>
      </c>
      <c r="BG43" s="121">
        <f t="shared" si="223"/>
        <v>884757.57</v>
      </c>
      <c r="BH43" s="114">
        <f t="shared" si="224"/>
        <v>879889.97</v>
      </c>
      <c r="BI43" s="416">
        <f t="shared" si="46"/>
        <v>1619986.25</v>
      </c>
      <c r="BJ43" s="121">
        <f t="shared" si="225"/>
        <v>0</v>
      </c>
      <c r="BK43" s="121">
        <f t="shared" si="226"/>
        <v>1619986.25</v>
      </c>
      <c r="BL43" s="121">
        <f t="shared" si="227"/>
        <v>1096691.22</v>
      </c>
      <c r="BM43" s="113">
        <f t="shared" si="50"/>
        <v>863311.95</v>
      </c>
      <c r="BN43" s="116">
        <f t="shared" si="228"/>
        <v>22835.66</v>
      </c>
      <c r="BO43" s="117">
        <f t="shared" si="229"/>
        <v>886147.61</v>
      </c>
      <c r="BP43" s="113">
        <f t="shared" si="53"/>
        <v>3232003.8299999996</v>
      </c>
      <c r="BQ43" s="116">
        <f t="shared" ref="BQ43:BR43" si="273">SUM(BN43,BJ43,BF43)</f>
        <v>158887.6</v>
      </c>
      <c r="BR43" s="117">
        <f t="shared" si="273"/>
        <v>3390891.4299999997</v>
      </c>
      <c r="BS43" s="125">
        <f t="shared" si="231"/>
        <v>1199306.7</v>
      </c>
      <c r="BT43" s="140">
        <f t="shared" si="56"/>
        <v>3438162.44</v>
      </c>
      <c r="BU43" s="123">
        <f t="shared" si="232"/>
        <v>0</v>
      </c>
      <c r="BV43" s="148">
        <f t="shared" si="233"/>
        <v>3438162.44</v>
      </c>
      <c r="BW43" s="123">
        <f t="shared" si="234"/>
        <v>1184224.82</v>
      </c>
      <c r="BX43" s="326">
        <f t="shared" si="235"/>
        <v>3184645.98</v>
      </c>
    </row>
    <row r="44" spans="1:76" ht="13">
      <c r="A44" s="420">
        <f t="shared" si="194"/>
        <v>112013233</v>
      </c>
      <c r="B44" s="93">
        <f t="shared" si="195"/>
        <v>22</v>
      </c>
      <c r="C44" s="558">
        <f t="shared" si="196"/>
        <v>0.1</v>
      </c>
      <c r="D44" s="558">
        <f t="shared" si="197"/>
        <v>0.09</v>
      </c>
      <c r="E44" s="559">
        <f t="shared" si="198"/>
        <v>0</v>
      </c>
      <c r="F44" s="547">
        <f t="shared" si="199"/>
        <v>63</v>
      </c>
      <c r="G44" s="699">
        <f t="shared" si="200"/>
        <v>0.1</v>
      </c>
      <c r="H44" s="702">
        <f t="shared" si="201"/>
        <v>0.05</v>
      </c>
      <c r="I44" s="423" t="s">
        <v>1304</v>
      </c>
      <c r="J44" s="326">
        <f t="shared" si="163"/>
        <v>1137017.04</v>
      </c>
      <c r="K44" s="121">
        <f t="shared" si="268"/>
        <v>1911382.4950920001</v>
      </c>
      <c r="L44" s="140">
        <f t="shared" si="8"/>
        <v>3853750.28</v>
      </c>
      <c r="M44" s="326">
        <f t="shared" si="202"/>
        <v>98726.33</v>
      </c>
      <c r="N44" s="333">
        <f t="shared" si="203"/>
        <v>3952476.61</v>
      </c>
      <c r="O44" s="123">
        <f t="shared" si="11"/>
        <v>2041094.1149079998</v>
      </c>
      <c r="P44" s="137">
        <f t="shared" si="12"/>
        <v>2.0678627224791843</v>
      </c>
      <c r="Q44" s="326">
        <f t="shared" si="204"/>
        <v>1083654.8799999999</v>
      </c>
      <c r="R44" s="116">
        <f t="shared" si="269"/>
        <v>1962200.9825879997</v>
      </c>
      <c r="S44" s="116">
        <f t="shared" si="14"/>
        <v>3605915.29</v>
      </c>
      <c r="T44" s="326">
        <f t="shared" si="205"/>
        <v>0</v>
      </c>
      <c r="U44" s="326">
        <f t="shared" si="206"/>
        <v>3605915.29</v>
      </c>
      <c r="V44" s="326">
        <f t="shared" si="17"/>
        <v>1643714.3074120004</v>
      </c>
      <c r="W44" s="137">
        <f t="shared" si="18"/>
        <v>1.8376890654921909</v>
      </c>
      <c r="X44" s="326">
        <f t="shared" si="207"/>
        <v>116116.16</v>
      </c>
      <c r="Y44" s="121">
        <v>1800000</v>
      </c>
      <c r="Z44" s="113">
        <f t="shared" si="20"/>
        <v>2712297.06</v>
      </c>
      <c r="AA44" s="116">
        <f t="shared" si="208"/>
        <v>0</v>
      </c>
      <c r="AB44" s="117">
        <f t="shared" si="209"/>
        <v>2712297.06</v>
      </c>
      <c r="AC44" s="114"/>
      <c r="AD44" s="116"/>
      <c r="AE44" s="1257">
        <f t="shared" si="23"/>
        <v>5673583.4776799995</v>
      </c>
      <c r="AF44" s="140">
        <f t="shared" si="210"/>
        <v>2132383.9900000002</v>
      </c>
      <c r="AG44" s="326">
        <f t="shared" si="25"/>
        <v>10171962.629999999</v>
      </c>
      <c r="AH44" s="326">
        <f t="shared" ref="AH44:AI44" si="274">AA44+T44+M44</f>
        <v>98726.33</v>
      </c>
      <c r="AI44" s="326">
        <f t="shared" si="274"/>
        <v>10270688.959999999</v>
      </c>
      <c r="AJ44" s="326">
        <f t="shared" si="27"/>
        <v>8138304.9699999988</v>
      </c>
      <c r="AK44" s="1258">
        <f t="shared" si="28"/>
        <v>4.8165288279058958</v>
      </c>
      <c r="AL44" s="125">
        <f t="shared" si="212"/>
        <v>524264.66</v>
      </c>
      <c r="AM44" s="140">
        <f t="shared" si="30"/>
        <v>2562930.62</v>
      </c>
      <c r="AN44" s="123">
        <f t="shared" si="213"/>
        <v>0</v>
      </c>
      <c r="AO44" s="148">
        <f t="shared" si="214"/>
        <v>2562930.62</v>
      </c>
      <c r="AP44" s="125">
        <f t="shared" si="165"/>
        <v>336318.12</v>
      </c>
      <c r="AQ44" s="140">
        <f t="shared" si="33"/>
        <v>3181406.93</v>
      </c>
      <c r="AR44" s="326">
        <f t="shared" si="215"/>
        <v>0</v>
      </c>
      <c r="AS44" s="333">
        <f t="shared" si="216"/>
        <v>3181406.93</v>
      </c>
      <c r="AT44" s="123">
        <f t="shared" si="166"/>
        <v>480463.95</v>
      </c>
      <c r="AU44" s="123">
        <f t="shared" si="36"/>
        <v>1629627.09</v>
      </c>
      <c r="AV44" s="123">
        <f t="shared" si="217"/>
        <v>0</v>
      </c>
      <c r="AW44" s="125">
        <f t="shared" si="218"/>
        <v>1629627.09</v>
      </c>
      <c r="AX44" s="122">
        <f t="shared" ref="AX44:AZ44" si="275">SUM(AU44,AQ44,AM44)</f>
        <v>7373964.6400000006</v>
      </c>
      <c r="AY44" s="326">
        <f t="shared" si="275"/>
        <v>0</v>
      </c>
      <c r="AZ44" s="332">
        <f t="shared" si="275"/>
        <v>7373964.6400000006</v>
      </c>
      <c r="BA44" s="140">
        <f t="shared" ref="BA44:BC44" si="276">SUM(AX44,AG44)</f>
        <v>17545927.27</v>
      </c>
      <c r="BB44" s="326">
        <f t="shared" si="276"/>
        <v>98726.33</v>
      </c>
      <c r="BC44" s="435">
        <f t="shared" si="276"/>
        <v>17644653.600000001</v>
      </c>
      <c r="BD44" s="125">
        <f t="shared" si="221"/>
        <v>413998.06</v>
      </c>
      <c r="BE44" s="1166">
        <f t="shared" si="42"/>
        <v>1721011.04</v>
      </c>
      <c r="BF44" s="116">
        <f t="shared" si="222"/>
        <v>0</v>
      </c>
      <c r="BG44" s="121">
        <f t="shared" si="223"/>
        <v>1721011.04</v>
      </c>
      <c r="BH44" s="114">
        <f t="shared" si="224"/>
        <v>644810.80000000005</v>
      </c>
      <c r="BI44" s="416">
        <f t="shared" si="46"/>
        <v>3495106.86</v>
      </c>
      <c r="BJ44" s="121">
        <f t="shared" si="225"/>
        <v>0</v>
      </c>
      <c r="BK44" s="121">
        <f t="shared" si="226"/>
        <v>3495106.86</v>
      </c>
      <c r="BL44" s="121">
        <f t="shared" si="227"/>
        <v>308076.65999999997</v>
      </c>
      <c r="BM44" s="113">
        <f t="shared" si="50"/>
        <v>1988781.04</v>
      </c>
      <c r="BN44" s="116">
        <f t="shared" si="228"/>
        <v>0</v>
      </c>
      <c r="BO44" s="117">
        <f t="shared" si="229"/>
        <v>1988781.04</v>
      </c>
      <c r="BP44" s="113">
        <f t="shared" si="53"/>
        <v>7204898.9400000004</v>
      </c>
      <c r="BQ44" s="116">
        <f t="shared" ref="BQ44:BR44" si="277">SUM(BN44,BJ44,BF44)</f>
        <v>0</v>
      </c>
      <c r="BR44" s="117">
        <f t="shared" si="277"/>
        <v>7204898.9400000004</v>
      </c>
      <c r="BS44" s="125">
        <f t="shared" si="231"/>
        <v>587915.07999999996</v>
      </c>
      <c r="BT44" s="140">
        <f t="shared" si="56"/>
        <v>2742434.45</v>
      </c>
      <c r="BU44" s="123">
        <f t="shared" si="232"/>
        <v>0</v>
      </c>
      <c r="BV44" s="148">
        <f t="shared" si="233"/>
        <v>2742434.45</v>
      </c>
      <c r="BW44" s="123">
        <f t="shared" si="234"/>
        <v>523317.25</v>
      </c>
      <c r="BX44" s="326">
        <f t="shared" si="235"/>
        <v>1021151.67</v>
      </c>
    </row>
    <row r="45" spans="1:76" ht="13">
      <c r="A45" s="420">
        <f t="shared" si="194"/>
        <v>112012449</v>
      </c>
      <c r="B45" s="93">
        <f t="shared" si="195"/>
        <v>22</v>
      </c>
      <c r="C45" s="558">
        <f t="shared" si="196"/>
        <v>0.1</v>
      </c>
      <c r="D45" s="558">
        <f t="shared" si="197"/>
        <v>0.09</v>
      </c>
      <c r="E45" s="559">
        <f t="shared" si="198"/>
        <v>0</v>
      </c>
      <c r="F45" s="547">
        <f t="shared" si="199"/>
        <v>63</v>
      </c>
      <c r="G45" s="699">
        <f t="shared" si="200"/>
        <v>0.1</v>
      </c>
      <c r="H45" s="702">
        <f t="shared" si="201"/>
        <v>0.05</v>
      </c>
      <c r="I45" s="423" t="s">
        <v>1305</v>
      </c>
      <c r="J45" s="326">
        <f t="shared" si="163"/>
        <v>310807.25</v>
      </c>
      <c r="K45" s="121">
        <v>1800000</v>
      </c>
      <c r="L45" s="140" t="e">
        <f t="shared" si="8"/>
        <v>#VALUE!</v>
      </c>
      <c r="M45" s="326" t="str">
        <f t="shared" si="202"/>
        <v/>
      </c>
      <c r="N45" s="333">
        <f t="shared" si="203"/>
        <v>0</v>
      </c>
      <c r="O45" s="123">
        <f t="shared" si="11"/>
        <v>-1800000</v>
      </c>
      <c r="P45" s="137">
        <f t="shared" si="12"/>
        <v>0</v>
      </c>
      <c r="Q45" s="326">
        <f t="shared" si="204"/>
        <v>180914.47</v>
      </c>
      <c r="R45" s="116">
        <v>1800000</v>
      </c>
      <c r="S45" s="116" t="e">
        <f t="shared" si="14"/>
        <v>#VALUE!</v>
      </c>
      <c r="T45" s="326" t="str">
        <f t="shared" si="205"/>
        <v/>
      </c>
      <c r="U45" s="326">
        <f t="shared" si="206"/>
        <v>1161402.78</v>
      </c>
      <c r="V45" s="326">
        <f t="shared" si="17"/>
        <v>-638597.22</v>
      </c>
      <c r="W45" s="137">
        <f t="shared" si="18"/>
        <v>0.6452237666666667</v>
      </c>
      <c r="X45" s="326">
        <f t="shared" si="207"/>
        <v>0</v>
      </c>
      <c r="Y45" s="121">
        <v>1800000</v>
      </c>
      <c r="Z45" s="113" t="e">
        <f t="shared" si="20"/>
        <v>#VALUE!</v>
      </c>
      <c r="AA45" s="116" t="str">
        <f t="shared" si="208"/>
        <v/>
      </c>
      <c r="AB45" s="117">
        <f t="shared" si="209"/>
        <v>0</v>
      </c>
      <c r="AC45" s="114"/>
      <c r="AD45" s="116"/>
      <c r="AE45" s="1257">
        <f t="shared" si="23"/>
        <v>5400000</v>
      </c>
      <c r="AF45" s="140" t="str">
        <f t="shared" si="210"/>
        <v>0</v>
      </c>
      <c r="AG45" s="326" t="e">
        <f t="shared" si="25"/>
        <v>#VALUE!</v>
      </c>
      <c r="AH45" s="326" t="e">
        <f t="shared" ref="AH45:AI45" si="278">AA45+T45+M45</f>
        <v>#VALUE!</v>
      </c>
      <c r="AI45" s="326">
        <f t="shared" si="278"/>
        <v>1161402.78</v>
      </c>
      <c r="AJ45" s="326">
        <f t="shared" si="27"/>
        <v>1161402.78</v>
      </c>
      <c r="AK45" s="1258" t="str">
        <f t="shared" si="28"/>
        <v/>
      </c>
      <c r="AL45" s="125">
        <f t="shared" si="212"/>
        <v>943326.79</v>
      </c>
      <c r="AM45" s="140" t="e">
        <f t="shared" si="30"/>
        <v>#VALUE!</v>
      </c>
      <c r="AN45" s="123" t="str">
        <f t="shared" si="213"/>
        <v/>
      </c>
      <c r="AO45" s="148">
        <f t="shared" si="214"/>
        <v>987583.59</v>
      </c>
      <c r="AP45" s="125">
        <f t="shared" si="165"/>
        <v>0</v>
      </c>
      <c r="AQ45" s="140" t="e">
        <f t="shared" si="33"/>
        <v>#VALUE!</v>
      </c>
      <c r="AR45" s="326" t="str">
        <f t="shared" si="215"/>
        <v/>
      </c>
      <c r="AS45" s="333">
        <f t="shared" si="216"/>
        <v>0</v>
      </c>
      <c r="AT45" s="123">
        <f t="shared" si="166"/>
        <v>1179533.58</v>
      </c>
      <c r="AU45" s="123" t="e">
        <f t="shared" si="36"/>
        <v>#VALUE!</v>
      </c>
      <c r="AV45" s="123" t="str">
        <f t="shared" si="217"/>
        <v/>
      </c>
      <c r="AW45" s="125">
        <f t="shared" si="218"/>
        <v>0</v>
      </c>
      <c r="AX45" s="122" t="e">
        <f t="shared" ref="AX45:AZ45" si="279">SUM(AU45,AQ45,AM45)</f>
        <v>#VALUE!</v>
      </c>
      <c r="AY45" s="326">
        <f t="shared" si="279"/>
        <v>0</v>
      </c>
      <c r="AZ45" s="332">
        <f t="shared" si="279"/>
        <v>987583.59</v>
      </c>
      <c r="BA45" s="140" t="e">
        <f t="shared" ref="BA45:BC45" si="280">SUM(AX45,AG45)</f>
        <v>#VALUE!</v>
      </c>
      <c r="BB45" s="326" t="e">
        <f t="shared" si="280"/>
        <v>#VALUE!</v>
      </c>
      <c r="BC45" s="435">
        <f t="shared" si="280"/>
        <v>2148986.37</v>
      </c>
      <c r="BD45" s="125">
        <f t="shared" si="221"/>
        <v>0</v>
      </c>
      <c r="BE45" s="1166" t="e">
        <f t="shared" si="42"/>
        <v>#VALUE!</v>
      </c>
      <c r="BF45" s="116" t="str">
        <f t="shared" si="222"/>
        <v/>
      </c>
      <c r="BG45" s="121">
        <f t="shared" si="223"/>
        <v>5805429.2000000002</v>
      </c>
      <c r="BH45" s="114">
        <f t="shared" si="224"/>
        <v>311610.43</v>
      </c>
      <c r="BI45" s="416" t="e">
        <f t="shared" si="46"/>
        <v>#VALUE!</v>
      </c>
      <c r="BJ45" s="121" t="str">
        <f t="shared" si="225"/>
        <v/>
      </c>
      <c r="BK45" s="121">
        <f t="shared" si="226"/>
        <v>-661188.64</v>
      </c>
      <c r="BL45" s="121">
        <f t="shared" si="227"/>
        <v>410300.97</v>
      </c>
      <c r="BM45" s="113" t="e">
        <f t="shared" si="50"/>
        <v>#VALUE!</v>
      </c>
      <c r="BN45" s="116" t="str">
        <f t="shared" si="228"/>
        <v/>
      </c>
      <c r="BO45" s="117">
        <f t="shared" si="229"/>
        <v>0</v>
      </c>
      <c r="BP45" s="113">
        <f t="shared" si="53"/>
        <v>5144240.5600000005</v>
      </c>
      <c r="BQ45" s="116">
        <f t="shared" ref="BQ45:BR45" si="281">SUM(BN45,BJ45,BF45)</f>
        <v>0</v>
      </c>
      <c r="BR45" s="117">
        <f t="shared" si="281"/>
        <v>5144240.5600000005</v>
      </c>
      <c r="BS45" s="125">
        <f t="shared" si="231"/>
        <v>0</v>
      </c>
      <c r="BT45" s="140" t="e">
        <f t="shared" si="56"/>
        <v>#VALUE!</v>
      </c>
      <c r="BU45" s="123" t="str">
        <f t="shared" si="232"/>
        <v/>
      </c>
      <c r="BV45" s="148">
        <f t="shared" si="233"/>
        <v>1186528.8600000001</v>
      </c>
      <c r="BW45" s="123">
        <f t="shared" si="234"/>
        <v>0</v>
      </c>
      <c r="BX45" s="326">
        <f t="shared" si="235"/>
        <v>0</v>
      </c>
    </row>
    <row r="46" spans="1:76" ht="13">
      <c r="A46" s="420">
        <f t="shared" si="194"/>
        <v>112014300</v>
      </c>
      <c r="B46" s="93">
        <f t="shared" si="195"/>
        <v>22</v>
      </c>
      <c r="C46" s="558">
        <f t="shared" si="196"/>
        <v>0.1</v>
      </c>
      <c r="D46" s="558">
        <f t="shared" si="197"/>
        <v>0.09</v>
      </c>
      <c r="E46" s="559">
        <f t="shared" si="198"/>
        <v>0</v>
      </c>
      <c r="F46" s="547">
        <f t="shared" si="199"/>
        <v>63</v>
      </c>
      <c r="G46" s="699">
        <f t="shared" si="200"/>
        <v>0.1</v>
      </c>
      <c r="H46" s="702">
        <f t="shared" si="201"/>
        <v>0.05</v>
      </c>
      <c r="I46" s="423" t="s">
        <v>1306</v>
      </c>
      <c r="J46" s="326">
        <f t="shared" si="163"/>
        <v>0</v>
      </c>
      <c r="K46" s="121">
        <v>1800000</v>
      </c>
      <c r="L46" s="140" t="e">
        <f t="shared" si="8"/>
        <v>#VALUE!</v>
      </c>
      <c r="M46" s="326" t="str">
        <f t="shared" si="202"/>
        <v/>
      </c>
      <c r="N46" s="333">
        <f t="shared" si="203"/>
        <v>634665.36</v>
      </c>
      <c r="O46" s="123">
        <f t="shared" si="11"/>
        <v>-1165334.6400000001</v>
      </c>
      <c r="P46" s="137">
        <f t="shared" si="12"/>
        <v>0.35259186666666664</v>
      </c>
      <c r="Q46" s="326">
        <f t="shared" si="204"/>
        <v>0</v>
      </c>
      <c r="R46" s="116">
        <v>1800000</v>
      </c>
      <c r="S46" s="116" t="e">
        <f t="shared" si="14"/>
        <v>#VALUE!</v>
      </c>
      <c r="T46" s="326" t="str">
        <f t="shared" si="205"/>
        <v/>
      </c>
      <c r="U46" s="326">
        <f t="shared" si="206"/>
        <v>0</v>
      </c>
      <c r="V46" s="326">
        <f t="shared" si="17"/>
        <v>-1800000</v>
      </c>
      <c r="W46" s="137">
        <f t="shared" si="18"/>
        <v>0</v>
      </c>
      <c r="X46" s="326">
        <f t="shared" si="207"/>
        <v>0</v>
      </c>
      <c r="Y46" s="121">
        <v>1800000</v>
      </c>
      <c r="Z46" s="113" t="e">
        <f t="shared" si="20"/>
        <v>#VALUE!</v>
      </c>
      <c r="AA46" s="116" t="str">
        <f t="shared" si="208"/>
        <v/>
      </c>
      <c r="AB46" s="117">
        <f t="shared" si="209"/>
        <v>0</v>
      </c>
      <c r="AC46" s="114"/>
      <c r="AD46" s="116"/>
      <c r="AE46" s="1257">
        <f t="shared" si="23"/>
        <v>5400000</v>
      </c>
      <c r="AF46" s="140">
        <f t="shared" si="210"/>
        <v>2658144.61</v>
      </c>
      <c r="AG46" s="326" t="e">
        <f t="shared" si="25"/>
        <v>#VALUE!</v>
      </c>
      <c r="AH46" s="326" t="e">
        <f t="shared" ref="AH46:AI46" si="282">AA46+T46+M46</f>
        <v>#VALUE!</v>
      </c>
      <c r="AI46" s="326">
        <f t="shared" si="282"/>
        <v>634665.36</v>
      </c>
      <c r="AJ46" s="326">
        <f t="shared" si="27"/>
        <v>-2023479.25</v>
      </c>
      <c r="AK46" s="1258">
        <f t="shared" si="28"/>
        <v>0.23876254046238665</v>
      </c>
      <c r="AL46" s="125">
        <f t="shared" si="212"/>
        <v>0</v>
      </c>
      <c r="AM46" s="140" t="e">
        <f t="shared" si="30"/>
        <v>#VALUE!</v>
      </c>
      <c r="AN46" s="123" t="str">
        <f t="shared" si="213"/>
        <v/>
      </c>
      <c r="AO46" s="148">
        <f t="shared" si="214"/>
        <v>366214.32</v>
      </c>
      <c r="AP46" s="125">
        <f t="shared" si="165"/>
        <v>0</v>
      </c>
      <c r="AQ46" s="140" t="e">
        <f t="shared" si="33"/>
        <v>#VALUE!</v>
      </c>
      <c r="AR46" s="326" t="str">
        <f t="shared" si="215"/>
        <v/>
      </c>
      <c r="AS46" s="333">
        <f t="shared" si="216"/>
        <v>1711737.84</v>
      </c>
      <c r="AT46" s="123">
        <f t="shared" si="166"/>
        <v>0</v>
      </c>
      <c r="AU46" s="123" t="e">
        <f t="shared" si="36"/>
        <v>#VALUE!</v>
      </c>
      <c r="AV46" s="123" t="str">
        <f t="shared" si="217"/>
        <v/>
      </c>
      <c r="AW46" s="125">
        <f t="shared" si="218"/>
        <v>722427.1</v>
      </c>
      <c r="AX46" s="122" t="e">
        <f t="shared" ref="AX46:AZ46" si="283">SUM(AU46,AQ46,AM46)</f>
        <v>#VALUE!</v>
      </c>
      <c r="AY46" s="326">
        <f t="shared" si="283"/>
        <v>0</v>
      </c>
      <c r="AZ46" s="332">
        <f t="shared" si="283"/>
        <v>2800379.26</v>
      </c>
      <c r="BA46" s="140" t="e">
        <f t="shared" ref="BA46:BC46" si="284">SUM(AX46,AG46)</f>
        <v>#VALUE!</v>
      </c>
      <c r="BB46" s="326" t="e">
        <f t="shared" si="284"/>
        <v>#VALUE!</v>
      </c>
      <c r="BC46" s="435">
        <f t="shared" si="284"/>
        <v>3435044.6199999996</v>
      </c>
      <c r="BD46" s="125">
        <f t="shared" si="221"/>
        <v>0</v>
      </c>
      <c r="BE46" s="1166" t="e">
        <f t="shared" si="42"/>
        <v>#VALUE!</v>
      </c>
      <c r="BF46" s="116" t="str">
        <f t="shared" si="222"/>
        <v/>
      </c>
      <c r="BG46" s="121">
        <f t="shared" si="223"/>
        <v>0</v>
      </c>
      <c r="BH46" s="114">
        <f t="shared" si="224"/>
        <v>0</v>
      </c>
      <c r="BI46" s="416" t="e">
        <f t="shared" si="46"/>
        <v>#VALUE!</v>
      </c>
      <c r="BJ46" s="121" t="str">
        <f t="shared" si="225"/>
        <v/>
      </c>
      <c r="BK46" s="121">
        <f t="shared" si="226"/>
        <v>2322209.14</v>
      </c>
      <c r="BL46" s="121">
        <f t="shared" si="227"/>
        <v>419227.04</v>
      </c>
      <c r="BM46" s="113" t="e">
        <f t="shared" si="50"/>
        <v>#VALUE!</v>
      </c>
      <c r="BN46" s="116" t="str">
        <f t="shared" si="228"/>
        <v/>
      </c>
      <c r="BO46" s="117">
        <f t="shared" si="229"/>
        <v>0</v>
      </c>
      <c r="BP46" s="113">
        <f t="shared" si="53"/>
        <v>2322209.14</v>
      </c>
      <c r="BQ46" s="116">
        <f t="shared" ref="BQ46:BR46" si="285">SUM(BN46,BJ46,BF46)</f>
        <v>0</v>
      </c>
      <c r="BR46" s="117">
        <f t="shared" si="285"/>
        <v>2322209.14</v>
      </c>
      <c r="BS46" s="125">
        <f t="shared" si="231"/>
        <v>692382.36</v>
      </c>
      <c r="BT46" s="140" t="e">
        <f t="shared" si="56"/>
        <v>#VALUE!</v>
      </c>
      <c r="BU46" s="123" t="str">
        <f t="shared" si="232"/>
        <v/>
      </c>
      <c r="BV46" s="148">
        <f t="shared" si="233"/>
        <v>0</v>
      </c>
      <c r="BW46" s="123">
        <f t="shared" si="234"/>
        <v>1066313.67</v>
      </c>
      <c r="BX46" s="326">
        <f t="shared" si="235"/>
        <v>899448.58</v>
      </c>
    </row>
    <row r="47" spans="1:76" ht="13">
      <c r="A47" s="420">
        <f t="shared" si="194"/>
        <v>112012568</v>
      </c>
      <c r="B47" s="93">
        <f t="shared" si="195"/>
        <v>22</v>
      </c>
      <c r="C47" s="558">
        <f t="shared" si="196"/>
        <v>0.1</v>
      </c>
      <c r="D47" s="558">
        <f t="shared" si="197"/>
        <v>0.09</v>
      </c>
      <c r="E47" s="559">
        <f t="shared" si="198"/>
        <v>0</v>
      </c>
      <c r="F47" s="547">
        <f t="shared" si="199"/>
        <v>63</v>
      </c>
      <c r="G47" s="699">
        <f t="shared" si="200"/>
        <v>0.1</v>
      </c>
      <c r="H47" s="702">
        <f t="shared" si="201"/>
        <v>0.05</v>
      </c>
      <c r="I47" s="423" t="s">
        <v>1307</v>
      </c>
      <c r="J47" s="326">
        <f t="shared" si="163"/>
        <v>0</v>
      </c>
      <c r="K47" s="121">
        <v>1800000</v>
      </c>
      <c r="L47" s="140" t="e">
        <f t="shared" si="8"/>
        <v>#VALUE!</v>
      </c>
      <c r="M47" s="326" t="str">
        <f t="shared" si="202"/>
        <v/>
      </c>
      <c r="N47" s="333">
        <f t="shared" si="203"/>
        <v>851369.65</v>
      </c>
      <c r="O47" s="123">
        <f t="shared" si="11"/>
        <v>-948630.35</v>
      </c>
      <c r="P47" s="137">
        <f t="shared" si="12"/>
        <v>0.47298313888888888</v>
      </c>
      <c r="Q47" s="326">
        <f t="shared" si="204"/>
        <v>0</v>
      </c>
      <c r="R47" s="326">
        <v>1800000</v>
      </c>
      <c r="S47" s="116" t="e">
        <f t="shared" si="14"/>
        <v>#VALUE!</v>
      </c>
      <c r="T47" s="326" t="str">
        <f t="shared" si="205"/>
        <v/>
      </c>
      <c r="U47" s="326">
        <f t="shared" si="206"/>
        <v>96925.68</v>
      </c>
      <c r="V47" s="326">
        <f t="shared" si="17"/>
        <v>-1703074.32</v>
      </c>
      <c r="W47" s="137">
        <f t="shared" si="18"/>
        <v>5.3847599999999995E-2</v>
      </c>
      <c r="X47" s="326">
        <f t="shared" si="207"/>
        <v>0</v>
      </c>
      <c r="Y47" s="332">
        <v>1800000</v>
      </c>
      <c r="Z47" s="113" t="e">
        <f t="shared" si="20"/>
        <v>#VALUE!</v>
      </c>
      <c r="AA47" s="116" t="str">
        <f t="shared" si="208"/>
        <v/>
      </c>
      <c r="AB47" s="117">
        <f t="shared" si="209"/>
        <v>0</v>
      </c>
      <c r="AC47" s="123"/>
      <c r="AD47" s="326"/>
      <c r="AE47" s="1257">
        <f t="shared" si="23"/>
        <v>5400000</v>
      </c>
      <c r="AF47" s="140">
        <f t="shared" si="210"/>
        <v>8171839.3600000003</v>
      </c>
      <c r="AG47" s="326" t="e">
        <f t="shared" si="25"/>
        <v>#VALUE!</v>
      </c>
      <c r="AH47" s="326" t="e">
        <f t="shared" ref="AH47:AI47" si="286">AA47+T47+M47</f>
        <v>#VALUE!</v>
      </c>
      <c r="AI47" s="326">
        <f t="shared" si="286"/>
        <v>948295.33000000007</v>
      </c>
      <c r="AJ47" s="326">
        <f t="shared" si="27"/>
        <v>-7223544.0300000003</v>
      </c>
      <c r="AK47" s="1258">
        <f t="shared" si="28"/>
        <v>0.11604429409635385</v>
      </c>
      <c r="AL47" s="125">
        <f t="shared" si="212"/>
        <v>0</v>
      </c>
      <c r="AM47" s="140" t="e">
        <f t="shared" si="30"/>
        <v>#VALUE!</v>
      </c>
      <c r="AN47" s="123" t="str">
        <f t="shared" si="213"/>
        <v/>
      </c>
      <c r="AO47" s="148">
        <f t="shared" si="214"/>
        <v>371656.35</v>
      </c>
      <c r="AP47" s="125">
        <f t="shared" si="165"/>
        <v>0</v>
      </c>
      <c r="AQ47" s="140" t="e">
        <f t="shared" si="33"/>
        <v>#VALUE!</v>
      </c>
      <c r="AR47" s="326" t="str">
        <f t="shared" si="215"/>
        <v/>
      </c>
      <c r="AS47" s="333">
        <f t="shared" si="216"/>
        <v>0</v>
      </c>
      <c r="AT47" s="123">
        <f t="shared" si="166"/>
        <v>0</v>
      </c>
      <c r="AU47" s="123" t="e">
        <f t="shared" si="36"/>
        <v>#VALUE!</v>
      </c>
      <c r="AV47" s="123" t="str">
        <f t="shared" si="217"/>
        <v/>
      </c>
      <c r="AW47" s="125">
        <f t="shared" si="218"/>
        <v>0</v>
      </c>
      <c r="AX47" s="122" t="e">
        <f t="shared" ref="AX47:AZ47" si="287">SUM(AU47,AQ47,AM47)</f>
        <v>#VALUE!</v>
      </c>
      <c r="AY47" s="326">
        <f t="shared" si="287"/>
        <v>0</v>
      </c>
      <c r="AZ47" s="332">
        <f t="shared" si="287"/>
        <v>371656.35</v>
      </c>
      <c r="BA47" s="140" t="e">
        <f t="shared" ref="BA47:BC47" si="288">SUM(AX47,AG47)</f>
        <v>#VALUE!</v>
      </c>
      <c r="BB47" s="326" t="e">
        <f t="shared" si="288"/>
        <v>#VALUE!</v>
      </c>
      <c r="BC47" s="435">
        <f t="shared" si="288"/>
        <v>1319951.6800000002</v>
      </c>
      <c r="BD47" s="125">
        <f t="shared" si="221"/>
        <v>0</v>
      </c>
      <c r="BE47" s="1166" t="e">
        <f t="shared" si="42"/>
        <v>#VALUE!</v>
      </c>
      <c r="BF47" s="116" t="str">
        <f t="shared" si="222"/>
        <v/>
      </c>
      <c r="BG47" s="121">
        <f t="shared" si="223"/>
        <v>1094779.29</v>
      </c>
      <c r="BH47" s="114">
        <f t="shared" si="224"/>
        <v>497395.57</v>
      </c>
      <c r="BI47" s="416" t="e">
        <f t="shared" si="46"/>
        <v>#VALUE!</v>
      </c>
      <c r="BJ47" s="121" t="str">
        <f t="shared" si="225"/>
        <v/>
      </c>
      <c r="BK47" s="121">
        <f t="shared" si="226"/>
        <v>3720600.29</v>
      </c>
      <c r="BL47" s="121">
        <f t="shared" si="227"/>
        <v>0</v>
      </c>
      <c r="BM47" s="113" t="e">
        <f t="shared" si="50"/>
        <v>#VALUE!</v>
      </c>
      <c r="BN47" s="116" t="str">
        <f t="shared" si="228"/>
        <v/>
      </c>
      <c r="BO47" s="117">
        <f t="shared" si="229"/>
        <v>707360.98</v>
      </c>
      <c r="BP47" s="113">
        <f t="shared" si="53"/>
        <v>5522740.5599999996</v>
      </c>
      <c r="BQ47" s="116">
        <f t="shared" ref="BQ47:BR47" si="289">SUM(BN47,BJ47,BF47)</f>
        <v>0</v>
      </c>
      <c r="BR47" s="117">
        <f t="shared" si="289"/>
        <v>5522740.5599999996</v>
      </c>
      <c r="BS47" s="125">
        <f t="shared" si="231"/>
        <v>0</v>
      </c>
      <c r="BT47" s="140" t="e">
        <f t="shared" si="56"/>
        <v>#VALUE!</v>
      </c>
      <c r="BU47" s="123" t="str">
        <f t="shared" si="232"/>
        <v/>
      </c>
      <c r="BV47" s="148">
        <f t="shared" si="233"/>
        <v>627033.67000000004</v>
      </c>
      <c r="BW47" s="123">
        <f t="shared" si="234"/>
        <v>8171839.3600000003</v>
      </c>
      <c r="BX47" s="326">
        <f t="shared" si="235"/>
        <v>0</v>
      </c>
    </row>
    <row r="48" spans="1:76" ht="13">
      <c r="A48" s="420">
        <f t="shared" si="194"/>
        <v>112013617</v>
      </c>
      <c r="B48" s="93">
        <f t="shared" si="195"/>
        <v>22</v>
      </c>
      <c r="C48" s="558">
        <f t="shared" si="196"/>
        <v>0.1</v>
      </c>
      <c r="D48" s="558">
        <f t="shared" si="197"/>
        <v>0.09</v>
      </c>
      <c r="E48" s="559">
        <f t="shared" si="198"/>
        <v>0</v>
      </c>
      <c r="F48" s="547">
        <f t="shared" si="199"/>
        <v>63</v>
      </c>
      <c r="G48" s="699">
        <f t="shared" si="200"/>
        <v>0.1</v>
      </c>
      <c r="H48" s="702">
        <f t="shared" si="201"/>
        <v>0.05</v>
      </c>
      <c r="I48" s="423" t="s">
        <v>1308</v>
      </c>
      <c r="J48" s="326"/>
      <c r="K48" s="332"/>
      <c r="L48" s="140" t="e">
        <f t="shared" si="8"/>
        <v>#VALUE!</v>
      </c>
      <c r="M48" s="326" t="str">
        <f t="shared" si="202"/>
        <v/>
      </c>
      <c r="N48" s="333">
        <f t="shared" si="203"/>
        <v>0</v>
      </c>
      <c r="O48" s="123">
        <f t="shared" si="11"/>
        <v>0</v>
      </c>
      <c r="P48" s="137" t="e">
        <f t="shared" si="12"/>
        <v>#DIV/0!</v>
      </c>
      <c r="Q48" s="326" t="str">
        <f t="shared" si="204"/>
        <v/>
      </c>
      <c r="R48" s="326">
        <v>1800000</v>
      </c>
      <c r="S48" s="116" t="e">
        <f t="shared" si="14"/>
        <v>#VALUE!</v>
      </c>
      <c r="T48" s="326" t="str">
        <f t="shared" si="205"/>
        <v/>
      </c>
      <c r="U48" s="326">
        <f t="shared" si="206"/>
        <v>0</v>
      </c>
      <c r="V48" s="326">
        <f t="shared" si="17"/>
        <v>-1800000</v>
      </c>
      <c r="W48" s="137">
        <f t="shared" si="18"/>
        <v>0</v>
      </c>
      <c r="X48" s="326" t="str">
        <f t="shared" si="207"/>
        <v/>
      </c>
      <c r="Y48" s="332">
        <v>1800000</v>
      </c>
      <c r="Z48" s="113" t="e">
        <f t="shared" si="20"/>
        <v>#VALUE!</v>
      </c>
      <c r="AA48" s="116" t="str">
        <f t="shared" si="208"/>
        <v/>
      </c>
      <c r="AB48" s="117">
        <f t="shared" si="209"/>
        <v>0</v>
      </c>
      <c r="AC48" s="123"/>
      <c r="AD48" s="326"/>
      <c r="AE48" s="1257">
        <f t="shared" si="23"/>
        <v>3600000</v>
      </c>
      <c r="AF48" s="140">
        <f t="shared" si="210"/>
        <v>2390631.62</v>
      </c>
      <c r="AG48" s="326" t="e">
        <f t="shared" si="25"/>
        <v>#VALUE!</v>
      </c>
      <c r="AH48" s="326" t="e">
        <f t="shared" ref="AH48:AI48" si="290">AA48+T48+M48</f>
        <v>#VALUE!</v>
      </c>
      <c r="AI48" s="326">
        <f t="shared" si="290"/>
        <v>0</v>
      </c>
      <c r="AJ48" s="326">
        <f t="shared" si="27"/>
        <v>-2390631.62</v>
      </c>
      <c r="AK48" s="1258">
        <f t="shared" si="28"/>
        <v>0</v>
      </c>
      <c r="AL48" s="125" t="str">
        <f t="shared" si="212"/>
        <v/>
      </c>
      <c r="AM48" s="140" t="e">
        <f t="shared" si="30"/>
        <v>#VALUE!</v>
      </c>
      <c r="AN48" s="123" t="str">
        <f t="shared" si="213"/>
        <v/>
      </c>
      <c r="AO48" s="148">
        <f t="shared" si="214"/>
        <v>366130.86</v>
      </c>
      <c r="AP48" s="125"/>
      <c r="AQ48" s="140" t="e">
        <f t="shared" si="33"/>
        <v>#VALUE!</v>
      </c>
      <c r="AR48" s="326" t="str">
        <f t="shared" si="215"/>
        <v/>
      </c>
      <c r="AS48" s="333">
        <f t="shared" si="216"/>
        <v>1218699.92</v>
      </c>
      <c r="AT48" s="123"/>
      <c r="AU48" s="123" t="e">
        <f t="shared" si="36"/>
        <v>#VALUE!</v>
      </c>
      <c r="AV48" s="123" t="str">
        <f t="shared" si="217"/>
        <v/>
      </c>
      <c r="AW48" s="125">
        <f t="shared" si="218"/>
        <v>702213.21</v>
      </c>
      <c r="AX48" s="122" t="e">
        <f t="shared" ref="AX48:AZ48" si="291">SUM(AU48,AQ48,AM48)</f>
        <v>#VALUE!</v>
      </c>
      <c r="AY48" s="326">
        <f t="shared" si="291"/>
        <v>0</v>
      </c>
      <c r="AZ48" s="332">
        <f t="shared" si="291"/>
        <v>2287043.9899999998</v>
      </c>
      <c r="BA48" s="140" t="e">
        <f t="shared" ref="BA48:BC48" si="292">SUM(AX48,AG48)</f>
        <v>#VALUE!</v>
      </c>
      <c r="BB48" s="326" t="e">
        <f t="shared" si="292"/>
        <v>#VALUE!</v>
      </c>
      <c r="BC48" s="435">
        <f t="shared" si="292"/>
        <v>2287043.9899999998</v>
      </c>
      <c r="BD48" s="125" t="str">
        <f t="shared" si="221"/>
        <v/>
      </c>
      <c r="BE48" s="1166" t="e">
        <f t="shared" si="42"/>
        <v>#VALUE!</v>
      </c>
      <c r="BF48" s="116" t="str">
        <f t="shared" si="222"/>
        <v/>
      </c>
      <c r="BG48" s="121">
        <f t="shared" si="223"/>
        <v>961523.87</v>
      </c>
      <c r="BH48" s="114" t="str">
        <f t="shared" si="224"/>
        <v/>
      </c>
      <c r="BI48" s="416" t="e">
        <f t="shared" si="46"/>
        <v>#VALUE!</v>
      </c>
      <c r="BJ48" s="121" t="str">
        <f t="shared" si="225"/>
        <v/>
      </c>
      <c r="BK48" s="121">
        <f t="shared" si="226"/>
        <v>1390441.58</v>
      </c>
      <c r="BL48" s="121" t="str">
        <f t="shared" si="227"/>
        <v/>
      </c>
      <c r="BM48" s="113" t="e">
        <f t="shared" si="50"/>
        <v>#VALUE!</v>
      </c>
      <c r="BN48" s="116" t="str">
        <f t="shared" si="228"/>
        <v/>
      </c>
      <c r="BO48" s="117">
        <f t="shared" si="229"/>
        <v>303720.88</v>
      </c>
      <c r="BP48" s="113">
        <f t="shared" si="53"/>
        <v>2655686.33</v>
      </c>
      <c r="BQ48" s="116">
        <f t="shared" ref="BQ48:BR48" si="293">SUM(BN48,BJ48,BF48)</f>
        <v>0</v>
      </c>
      <c r="BR48" s="117">
        <f t="shared" si="293"/>
        <v>2655686.33</v>
      </c>
      <c r="BS48" s="125" t="str">
        <f t="shared" si="231"/>
        <v/>
      </c>
      <c r="BT48" s="140" t="e">
        <f t="shared" si="56"/>
        <v>#VALUE!</v>
      </c>
      <c r="BU48" s="123" t="str">
        <f t="shared" si="232"/>
        <v/>
      </c>
      <c r="BV48" s="148">
        <f t="shared" si="233"/>
        <v>317441.39</v>
      </c>
      <c r="BW48" s="123" t="str">
        <f t="shared" si="234"/>
        <v/>
      </c>
      <c r="BX48" s="326" t="str">
        <f t="shared" si="235"/>
        <v/>
      </c>
    </row>
    <row r="49" spans="1:76" ht="13">
      <c r="A49" s="420">
        <f t="shared" si="194"/>
        <v>112013508</v>
      </c>
      <c r="B49" s="93">
        <f t="shared" si="195"/>
        <v>22</v>
      </c>
      <c r="C49" s="558">
        <f t="shared" si="196"/>
        <v>0.1</v>
      </c>
      <c r="D49" s="558">
        <f t="shared" si="197"/>
        <v>0.09</v>
      </c>
      <c r="E49" s="559">
        <f t="shared" si="198"/>
        <v>0</v>
      </c>
      <c r="F49" s="547">
        <f t="shared" si="199"/>
        <v>63</v>
      </c>
      <c r="G49" s="699">
        <f t="shared" si="200"/>
        <v>0.1</v>
      </c>
      <c r="H49" s="702">
        <f t="shared" si="201"/>
        <v>0.05</v>
      </c>
      <c r="I49" s="423" t="s">
        <v>1309</v>
      </c>
      <c r="J49" s="326"/>
      <c r="K49" s="332"/>
      <c r="L49" s="140" t="e">
        <f t="shared" si="8"/>
        <v>#VALUE!</v>
      </c>
      <c r="M49" s="326" t="str">
        <f t="shared" si="202"/>
        <v/>
      </c>
      <c r="N49" s="333" t="str">
        <f t="shared" si="203"/>
        <v/>
      </c>
      <c r="O49" s="123" t="e">
        <f t="shared" si="11"/>
        <v>#VALUE!</v>
      </c>
      <c r="P49" s="137" t="e">
        <f t="shared" si="12"/>
        <v>#VALUE!</v>
      </c>
      <c r="Q49" s="326" t="str">
        <f t="shared" si="204"/>
        <v/>
      </c>
      <c r="R49" s="326">
        <v>1800000</v>
      </c>
      <c r="S49" s="116" t="e">
        <f t="shared" si="14"/>
        <v>#VALUE!</v>
      </c>
      <c r="T49" s="326" t="str">
        <f t="shared" si="205"/>
        <v/>
      </c>
      <c r="U49" s="326" t="str">
        <f t="shared" si="206"/>
        <v/>
      </c>
      <c r="V49" s="326" t="e">
        <f t="shared" si="17"/>
        <v>#VALUE!</v>
      </c>
      <c r="W49" s="137" t="e">
        <f t="shared" si="18"/>
        <v>#VALUE!</v>
      </c>
      <c r="X49" s="326" t="str">
        <f t="shared" si="207"/>
        <v/>
      </c>
      <c r="Y49" s="332">
        <v>1800000</v>
      </c>
      <c r="Z49" s="113" t="e">
        <f t="shared" si="20"/>
        <v>#VALUE!</v>
      </c>
      <c r="AA49" s="116" t="str">
        <f t="shared" si="208"/>
        <v/>
      </c>
      <c r="AB49" s="117" t="str">
        <f t="shared" si="209"/>
        <v/>
      </c>
      <c r="AC49" s="123"/>
      <c r="AD49" s="326"/>
      <c r="AE49" s="1257">
        <f t="shared" si="23"/>
        <v>3600000</v>
      </c>
      <c r="AF49" s="140" t="str">
        <f t="shared" si="210"/>
        <v>0</v>
      </c>
      <c r="AG49" s="326" t="e">
        <f t="shared" si="25"/>
        <v>#VALUE!</v>
      </c>
      <c r="AH49" s="326" t="e">
        <f t="shared" ref="AH49:AI49" si="294">AA49+T49+M49</f>
        <v>#VALUE!</v>
      </c>
      <c r="AI49" s="326" t="e">
        <f t="shared" si="294"/>
        <v>#VALUE!</v>
      </c>
      <c r="AJ49" s="326" t="e">
        <f t="shared" si="27"/>
        <v>#VALUE!</v>
      </c>
      <c r="AK49" s="1258" t="str">
        <f t="shared" si="28"/>
        <v/>
      </c>
      <c r="AL49" s="125" t="str">
        <f t="shared" si="212"/>
        <v/>
      </c>
      <c r="AM49" s="140" t="e">
        <f t="shared" si="30"/>
        <v>#VALUE!</v>
      </c>
      <c r="AN49" s="123" t="str">
        <f t="shared" si="213"/>
        <v/>
      </c>
      <c r="AO49" s="148" t="str">
        <f t="shared" si="214"/>
        <v/>
      </c>
      <c r="AP49" s="125"/>
      <c r="AQ49" s="140" t="e">
        <f t="shared" si="33"/>
        <v>#VALUE!</v>
      </c>
      <c r="AR49" s="326" t="str">
        <f t="shared" si="215"/>
        <v/>
      </c>
      <c r="AS49" s="333" t="str">
        <f t="shared" si="216"/>
        <v/>
      </c>
      <c r="AT49" s="123"/>
      <c r="AU49" s="123" t="e">
        <f t="shared" si="36"/>
        <v>#VALUE!</v>
      </c>
      <c r="AV49" s="123" t="str">
        <f t="shared" si="217"/>
        <v/>
      </c>
      <c r="AW49" s="125" t="str">
        <f t="shared" si="218"/>
        <v/>
      </c>
      <c r="AX49" s="122" t="e">
        <f t="shared" ref="AX49:AZ49" si="295">SUM(AU49,AQ49,AM49)</f>
        <v>#VALUE!</v>
      </c>
      <c r="AY49" s="326">
        <f t="shared" si="295"/>
        <v>0</v>
      </c>
      <c r="AZ49" s="332">
        <f t="shared" si="295"/>
        <v>0</v>
      </c>
      <c r="BA49" s="140" t="e">
        <f t="shared" ref="BA49:BC49" si="296">SUM(AX49,AG49)</f>
        <v>#VALUE!</v>
      </c>
      <c r="BB49" s="326" t="e">
        <f t="shared" si="296"/>
        <v>#VALUE!</v>
      </c>
      <c r="BC49" s="435" t="e">
        <f t="shared" si="296"/>
        <v>#VALUE!</v>
      </c>
      <c r="BD49" s="125" t="str">
        <f t="shared" si="221"/>
        <v/>
      </c>
      <c r="BE49" s="1166" t="e">
        <f t="shared" si="42"/>
        <v>#VALUE!</v>
      </c>
      <c r="BF49" s="116" t="str">
        <f t="shared" si="222"/>
        <v/>
      </c>
      <c r="BG49" s="121" t="str">
        <f t="shared" si="223"/>
        <v/>
      </c>
      <c r="BH49" s="114" t="str">
        <f t="shared" si="224"/>
        <v/>
      </c>
      <c r="BI49" s="416" t="e">
        <f t="shared" si="46"/>
        <v>#VALUE!</v>
      </c>
      <c r="BJ49" s="121" t="str">
        <f t="shared" si="225"/>
        <v/>
      </c>
      <c r="BK49" s="121" t="str">
        <f t="shared" si="226"/>
        <v/>
      </c>
      <c r="BL49" s="121" t="str">
        <f t="shared" si="227"/>
        <v/>
      </c>
      <c r="BM49" s="113" t="e">
        <f t="shared" si="50"/>
        <v>#VALUE!</v>
      </c>
      <c r="BN49" s="116" t="str">
        <f t="shared" si="228"/>
        <v/>
      </c>
      <c r="BO49" s="741" t="str">
        <f t="shared" si="229"/>
        <v/>
      </c>
      <c r="BP49" s="113">
        <f t="shared" si="53"/>
        <v>0</v>
      </c>
      <c r="BQ49" s="116">
        <f t="shared" ref="BQ49:BR49" si="297">SUM(BN49,BJ49,BF49)</f>
        <v>0</v>
      </c>
      <c r="BR49" s="117">
        <f t="shared" si="297"/>
        <v>0</v>
      </c>
      <c r="BS49" s="125" t="str">
        <f t="shared" si="231"/>
        <v/>
      </c>
      <c r="BT49" s="140" t="e">
        <f t="shared" si="56"/>
        <v>#VALUE!</v>
      </c>
      <c r="BU49" s="123" t="str">
        <f t="shared" si="232"/>
        <v/>
      </c>
      <c r="BV49" s="148" t="str">
        <f t="shared" si="233"/>
        <v/>
      </c>
      <c r="BW49" s="123" t="str">
        <f t="shared" si="234"/>
        <v/>
      </c>
      <c r="BX49" s="326" t="str">
        <f t="shared" si="235"/>
        <v/>
      </c>
    </row>
    <row r="50" spans="1:76" ht="13">
      <c r="A50" s="420">
        <f t="shared" si="194"/>
        <v>112014647</v>
      </c>
      <c r="B50" s="93">
        <f t="shared" si="195"/>
        <v>22</v>
      </c>
      <c r="C50" s="558">
        <f t="shared" si="196"/>
        <v>0.1</v>
      </c>
      <c r="D50" s="558">
        <f t="shared" si="197"/>
        <v>0.09</v>
      </c>
      <c r="E50" s="559">
        <f t="shared" si="198"/>
        <v>0</v>
      </c>
      <c r="F50" s="547">
        <f t="shared" si="199"/>
        <v>63</v>
      </c>
      <c r="G50" s="699">
        <f t="shared" si="200"/>
        <v>0.1</v>
      </c>
      <c r="H50" s="702">
        <f t="shared" si="201"/>
        <v>0.05</v>
      </c>
      <c r="I50" s="423" t="s">
        <v>1310</v>
      </c>
      <c r="J50" s="326"/>
      <c r="K50" s="332"/>
      <c r="L50" s="140" t="e">
        <f t="shared" si="8"/>
        <v>#VALUE!</v>
      </c>
      <c r="M50" s="326" t="str">
        <f t="shared" si="202"/>
        <v/>
      </c>
      <c r="N50" s="333">
        <f t="shared" si="203"/>
        <v>0</v>
      </c>
      <c r="O50" s="123">
        <f t="shared" si="11"/>
        <v>0</v>
      </c>
      <c r="P50" s="137" t="e">
        <f t="shared" si="12"/>
        <v>#DIV/0!</v>
      </c>
      <c r="Q50" s="326" t="str">
        <f t="shared" si="204"/>
        <v/>
      </c>
      <c r="R50" s="326">
        <v>1800000</v>
      </c>
      <c r="S50" s="116" t="e">
        <f t="shared" si="14"/>
        <v>#VALUE!</v>
      </c>
      <c r="T50" s="326" t="str">
        <f t="shared" si="205"/>
        <v/>
      </c>
      <c r="U50" s="326">
        <f t="shared" si="206"/>
        <v>0</v>
      </c>
      <c r="V50" s="326">
        <f t="shared" si="17"/>
        <v>-1800000</v>
      </c>
      <c r="W50" s="137">
        <f t="shared" si="18"/>
        <v>0</v>
      </c>
      <c r="X50" s="326" t="str">
        <f t="shared" si="207"/>
        <v/>
      </c>
      <c r="Y50" s="121">
        <v>1800000</v>
      </c>
      <c r="Z50" s="113" t="e">
        <f t="shared" si="20"/>
        <v>#VALUE!</v>
      </c>
      <c r="AA50" s="116" t="str">
        <f t="shared" si="208"/>
        <v/>
      </c>
      <c r="AB50" s="117">
        <f t="shared" si="209"/>
        <v>0</v>
      </c>
      <c r="AC50" s="114"/>
      <c r="AD50" s="116"/>
      <c r="AE50" s="1257">
        <f t="shared" si="23"/>
        <v>3600000</v>
      </c>
      <c r="AF50" s="140" t="str">
        <f t="shared" si="210"/>
        <v>0</v>
      </c>
      <c r="AG50" s="326" t="e">
        <f t="shared" si="25"/>
        <v>#VALUE!</v>
      </c>
      <c r="AH50" s="326" t="e">
        <f t="shared" ref="AH50:AI50" si="298">AA50+T50+M50</f>
        <v>#VALUE!</v>
      </c>
      <c r="AI50" s="326">
        <f t="shared" si="298"/>
        <v>0</v>
      </c>
      <c r="AJ50" s="326">
        <f t="shared" si="27"/>
        <v>0</v>
      </c>
      <c r="AK50" s="1258" t="str">
        <f t="shared" si="28"/>
        <v/>
      </c>
      <c r="AL50" s="125" t="str">
        <f t="shared" si="212"/>
        <v/>
      </c>
      <c r="AM50" s="140" t="e">
        <f t="shared" si="30"/>
        <v>#VALUE!</v>
      </c>
      <c r="AN50" s="123" t="str">
        <f t="shared" si="213"/>
        <v/>
      </c>
      <c r="AO50" s="148">
        <f t="shared" si="214"/>
        <v>0</v>
      </c>
      <c r="AP50" s="125"/>
      <c r="AQ50" s="140" t="e">
        <f t="shared" si="33"/>
        <v>#VALUE!</v>
      </c>
      <c r="AR50" s="326" t="str">
        <f t="shared" si="215"/>
        <v/>
      </c>
      <c r="AS50" s="333">
        <f t="shared" si="216"/>
        <v>0</v>
      </c>
      <c r="AT50" s="123"/>
      <c r="AU50" s="123" t="e">
        <f t="shared" si="36"/>
        <v>#VALUE!</v>
      </c>
      <c r="AV50" s="123" t="str">
        <f t="shared" si="217"/>
        <v/>
      </c>
      <c r="AW50" s="125">
        <f t="shared" si="218"/>
        <v>0</v>
      </c>
      <c r="AX50" s="122" t="e">
        <f t="shared" ref="AX50:AZ50" si="299">SUM(AU50,AQ50,AM50)</f>
        <v>#VALUE!</v>
      </c>
      <c r="AY50" s="326">
        <f t="shared" si="299"/>
        <v>0</v>
      </c>
      <c r="AZ50" s="332">
        <f t="shared" si="299"/>
        <v>0</v>
      </c>
      <c r="BA50" s="140" t="e">
        <f t="shared" ref="BA50:BC50" si="300">SUM(AX50,AG50)</f>
        <v>#VALUE!</v>
      </c>
      <c r="BB50" s="326" t="e">
        <f t="shared" si="300"/>
        <v>#VALUE!</v>
      </c>
      <c r="BC50" s="435">
        <f t="shared" si="300"/>
        <v>0</v>
      </c>
      <c r="BD50" s="125" t="str">
        <f t="shared" si="221"/>
        <v/>
      </c>
      <c r="BE50" s="1166" t="e">
        <f t="shared" si="42"/>
        <v>#VALUE!</v>
      </c>
      <c r="BF50" s="116" t="str">
        <f t="shared" si="222"/>
        <v/>
      </c>
      <c r="BG50" s="121">
        <f t="shared" si="223"/>
        <v>371902.6</v>
      </c>
      <c r="BH50" s="114" t="str">
        <f t="shared" si="224"/>
        <v/>
      </c>
      <c r="BI50" s="416" t="e">
        <f t="shared" si="46"/>
        <v>#VALUE!</v>
      </c>
      <c r="BJ50" s="121" t="str">
        <f t="shared" si="225"/>
        <v/>
      </c>
      <c r="BK50" s="121">
        <f t="shared" si="226"/>
        <v>452215.77</v>
      </c>
      <c r="BL50" s="121" t="str">
        <f t="shared" si="227"/>
        <v/>
      </c>
      <c r="BM50" s="113" t="e">
        <f t="shared" si="50"/>
        <v>#VALUE!</v>
      </c>
      <c r="BN50" s="116" t="str">
        <f t="shared" si="228"/>
        <v/>
      </c>
      <c r="BO50" s="117">
        <f t="shared" si="229"/>
        <v>0</v>
      </c>
      <c r="BP50" s="113">
        <f t="shared" si="53"/>
        <v>824118.37</v>
      </c>
      <c r="BQ50" s="116">
        <f t="shared" ref="BQ50:BR50" si="301">SUM(BN50,BJ50,BF50)</f>
        <v>0</v>
      </c>
      <c r="BR50" s="117">
        <f t="shared" si="301"/>
        <v>824118.37</v>
      </c>
      <c r="BS50" s="125" t="str">
        <f t="shared" si="231"/>
        <v/>
      </c>
      <c r="BT50" s="140" t="e">
        <f t="shared" si="56"/>
        <v>#VALUE!</v>
      </c>
      <c r="BU50" s="123" t="str">
        <f t="shared" si="232"/>
        <v/>
      </c>
      <c r="BV50" s="148">
        <f t="shared" si="233"/>
        <v>0</v>
      </c>
      <c r="BW50" s="123" t="str">
        <f t="shared" si="234"/>
        <v/>
      </c>
      <c r="BX50" s="326" t="str">
        <f t="shared" si="235"/>
        <v/>
      </c>
    </row>
    <row r="51" spans="1:76" ht="13">
      <c r="A51" s="420">
        <f t="shared" si="194"/>
        <v>112013525</v>
      </c>
      <c r="B51" s="93">
        <f t="shared" si="195"/>
        <v>22</v>
      </c>
      <c r="C51" s="558">
        <f t="shared" si="196"/>
        <v>0.1</v>
      </c>
      <c r="D51" s="558">
        <f t="shared" si="197"/>
        <v>0.09</v>
      </c>
      <c r="E51" s="559">
        <f t="shared" si="198"/>
        <v>0</v>
      </c>
      <c r="F51" s="547">
        <f t="shared" si="199"/>
        <v>63</v>
      </c>
      <c r="G51" s="699">
        <f t="shared" si="200"/>
        <v>0.1</v>
      </c>
      <c r="H51" s="702">
        <f t="shared" si="201"/>
        <v>0.05</v>
      </c>
      <c r="I51" s="423" t="s">
        <v>1311</v>
      </c>
      <c r="J51" s="326"/>
      <c r="K51" s="121"/>
      <c r="L51" s="140" t="e">
        <f t="shared" si="8"/>
        <v>#VALUE!</v>
      </c>
      <c r="M51" s="326" t="str">
        <f t="shared" si="202"/>
        <v/>
      </c>
      <c r="N51" s="333">
        <f t="shared" si="203"/>
        <v>0</v>
      </c>
      <c r="O51" s="123">
        <f t="shared" si="11"/>
        <v>0</v>
      </c>
      <c r="P51" s="137" t="e">
        <f t="shared" si="12"/>
        <v>#DIV/0!</v>
      </c>
      <c r="Q51" s="326" t="str">
        <f t="shared" si="204"/>
        <v/>
      </c>
      <c r="R51" s="116">
        <v>1800000</v>
      </c>
      <c r="S51" s="116" t="e">
        <f t="shared" si="14"/>
        <v>#VALUE!</v>
      </c>
      <c r="T51" s="326" t="str">
        <f t="shared" si="205"/>
        <v/>
      </c>
      <c r="U51" s="326">
        <f t="shared" si="206"/>
        <v>0</v>
      </c>
      <c r="V51" s="326">
        <f t="shared" si="17"/>
        <v>-1800000</v>
      </c>
      <c r="W51" s="137">
        <f t="shared" si="18"/>
        <v>0</v>
      </c>
      <c r="X51" s="326" t="str">
        <f t="shared" si="207"/>
        <v/>
      </c>
      <c r="Y51" s="121">
        <v>1800000</v>
      </c>
      <c r="Z51" s="113" t="e">
        <f t="shared" si="20"/>
        <v>#VALUE!</v>
      </c>
      <c r="AA51" s="116" t="str">
        <f t="shared" si="208"/>
        <v/>
      </c>
      <c r="AB51" s="117">
        <f t="shared" si="209"/>
        <v>0</v>
      </c>
      <c r="AC51" s="114"/>
      <c r="AD51" s="116"/>
      <c r="AE51" s="1257">
        <f t="shared" si="23"/>
        <v>3600000</v>
      </c>
      <c r="AF51" s="140">
        <f t="shared" si="210"/>
        <v>189294.07999999999</v>
      </c>
      <c r="AG51" s="326" t="e">
        <f t="shared" si="25"/>
        <v>#VALUE!</v>
      </c>
      <c r="AH51" s="326" t="e">
        <f t="shared" ref="AH51:AI51" si="302">AA51+T51+M51</f>
        <v>#VALUE!</v>
      </c>
      <c r="AI51" s="326">
        <f t="shared" si="302"/>
        <v>0</v>
      </c>
      <c r="AJ51" s="326">
        <f t="shared" si="27"/>
        <v>-189294.07999999999</v>
      </c>
      <c r="AK51" s="1258">
        <f t="shared" si="28"/>
        <v>0</v>
      </c>
      <c r="AL51" s="125" t="str">
        <f t="shared" si="212"/>
        <v/>
      </c>
      <c r="AM51" s="140" t="e">
        <f t="shared" si="30"/>
        <v>#VALUE!</v>
      </c>
      <c r="AN51" s="123" t="str">
        <f t="shared" si="213"/>
        <v/>
      </c>
      <c r="AO51" s="148">
        <f t="shared" si="214"/>
        <v>0</v>
      </c>
      <c r="AP51" s="125"/>
      <c r="AQ51" s="140" t="e">
        <f t="shared" si="33"/>
        <v>#VALUE!</v>
      </c>
      <c r="AR51" s="326" t="str">
        <f t="shared" si="215"/>
        <v/>
      </c>
      <c r="AS51" s="333">
        <f t="shared" si="216"/>
        <v>246004.76</v>
      </c>
      <c r="AT51" s="123"/>
      <c r="AU51" s="123" t="e">
        <f t="shared" si="36"/>
        <v>#VALUE!</v>
      </c>
      <c r="AV51" s="123" t="str">
        <f t="shared" si="217"/>
        <v/>
      </c>
      <c r="AW51" s="125">
        <f t="shared" si="218"/>
        <v>0</v>
      </c>
      <c r="AX51" s="122" t="e">
        <f t="shared" ref="AX51:AZ51" si="303">SUM(AU51,AQ51,AM51)</f>
        <v>#VALUE!</v>
      </c>
      <c r="AY51" s="326">
        <f t="shared" si="303"/>
        <v>0</v>
      </c>
      <c r="AZ51" s="332">
        <f t="shared" si="303"/>
        <v>246004.76</v>
      </c>
      <c r="BA51" s="140" t="e">
        <f t="shared" ref="BA51:BC51" si="304">SUM(AX51,AG51)</f>
        <v>#VALUE!</v>
      </c>
      <c r="BB51" s="326" t="e">
        <f t="shared" si="304"/>
        <v>#VALUE!</v>
      </c>
      <c r="BC51" s="435">
        <f t="shared" si="304"/>
        <v>246004.76</v>
      </c>
      <c r="BD51" s="125" t="str">
        <f t="shared" si="221"/>
        <v/>
      </c>
      <c r="BE51" s="1166" t="e">
        <f t="shared" si="42"/>
        <v>#VALUE!</v>
      </c>
      <c r="BF51" s="116" t="str">
        <f t="shared" si="222"/>
        <v/>
      </c>
      <c r="BG51" s="121">
        <f t="shared" si="223"/>
        <v>0</v>
      </c>
      <c r="BH51" s="114" t="str">
        <f t="shared" si="224"/>
        <v/>
      </c>
      <c r="BI51" s="416" t="e">
        <f t="shared" si="46"/>
        <v>#VALUE!</v>
      </c>
      <c r="BJ51" s="121" t="str">
        <f t="shared" si="225"/>
        <v/>
      </c>
      <c r="BK51" s="121">
        <f t="shared" si="226"/>
        <v>0</v>
      </c>
      <c r="BL51" s="121" t="str">
        <f t="shared" si="227"/>
        <v/>
      </c>
      <c r="BM51" s="113" t="e">
        <f t="shared" si="50"/>
        <v>#VALUE!</v>
      </c>
      <c r="BN51" s="116" t="str">
        <f t="shared" si="228"/>
        <v/>
      </c>
      <c r="BO51" s="117">
        <f t="shared" si="229"/>
        <v>0</v>
      </c>
      <c r="BP51" s="113">
        <f t="shared" si="53"/>
        <v>0</v>
      </c>
      <c r="BQ51" s="116">
        <f t="shared" ref="BQ51:BR51" si="305">SUM(BN51,BJ51,BF51)</f>
        <v>0</v>
      </c>
      <c r="BR51" s="117">
        <f t="shared" si="305"/>
        <v>0</v>
      </c>
      <c r="BS51" s="125" t="str">
        <f t="shared" si="231"/>
        <v/>
      </c>
      <c r="BT51" s="140" t="e">
        <f t="shared" si="56"/>
        <v>#VALUE!</v>
      </c>
      <c r="BU51" s="123" t="str">
        <f t="shared" si="232"/>
        <v/>
      </c>
      <c r="BV51" s="148">
        <f t="shared" si="233"/>
        <v>0</v>
      </c>
      <c r="BW51" s="123" t="str">
        <f t="shared" si="234"/>
        <v/>
      </c>
      <c r="BX51" s="326" t="str">
        <f t="shared" si="235"/>
        <v/>
      </c>
    </row>
    <row r="52" spans="1:76" ht="13">
      <c r="A52" s="420">
        <f t="shared" si="194"/>
        <v>112013486</v>
      </c>
      <c r="B52" s="93">
        <f t="shared" si="195"/>
        <v>22</v>
      </c>
      <c r="C52" s="558">
        <f t="shared" si="196"/>
        <v>0.1</v>
      </c>
      <c r="D52" s="558">
        <f t="shared" si="197"/>
        <v>0.09</v>
      </c>
      <c r="E52" s="559">
        <f t="shared" si="198"/>
        <v>0</v>
      </c>
      <c r="F52" s="547">
        <f t="shared" si="199"/>
        <v>63</v>
      </c>
      <c r="G52" s="699">
        <f t="shared" si="200"/>
        <v>0.1</v>
      </c>
      <c r="H52" s="702">
        <f t="shared" si="201"/>
        <v>0.05</v>
      </c>
      <c r="I52" s="423" t="s">
        <v>1312</v>
      </c>
      <c r="J52" s="326"/>
      <c r="K52" s="121"/>
      <c r="L52" s="140" t="e">
        <f t="shared" si="8"/>
        <v>#VALUE!</v>
      </c>
      <c r="M52" s="326" t="str">
        <f t="shared" si="202"/>
        <v/>
      </c>
      <c r="N52" s="333">
        <f t="shared" si="203"/>
        <v>0</v>
      </c>
      <c r="O52" s="123">
        <f t="shared" si="11"/>
        <v>0</v>
      </c>
      <c r="P52" s="137" t="e">
        <f t="shared" si="12"/>
        <v>#DIV/0!</v>
      </c>
      <c r="Q52" s="326" t="str">
        <f t="shared" si="204"/>
        <v/>
      </c>
      <c r="R52" s="116">
        <v>1800000</v>
      </c>
      <c r="S52" s="116" t="e">
        <f t="shared" si="14"/>
        <v>#VALUE!</v>
      </c>
      <c r="T52" s="326" t="str">
        <f t="shared" si="205"/>
        <v/>
      </c>
      <c r="U52" s="326">
        <f t="shared" si="206"/>
        <v>0</v>
      </c>
      <c r="V52" s="326">
        <f t="shared" si="17"/>
        <v>-1800000</v>
      </c>
      <c r="W52" s="137">
        <f t="shared" si="18"/>
        <v>0</v>
      </c>
      <c r="X52" s="326" t="str">
        <f t="shared" si="207"/>
        <v/>
      </c>
      <c r="Y52" s="121">
        <v>1800000</v>
      </c>
      <c r="Z52" s="113" t="e">
        <f t="shared" si="20"/>
        <v>#VALUE!</v>
      </c>
      <c r="AA52" s="116" t="str">
        <f t="shared" si="208"/>
        <v/>
      </c>
      <c r="AB52" s="117">
        <f t="shared" si="209"/>
        <v>0</v>
      </c>
      <c r="AC52" s="114"/>
      <c r="AD52" s="116"/>
      <c r="AE52" s="1257">
        <f t="shared" si="23"/>
        <v>3600000</v>
      </c>
      <c r="AF52" s="140" t="str">
        <f t="shared" si="210"/>
        <v>0</v>
      </c>
      <c r="AG52" s="326" t="e">
        <f t="shared" si="25"/>
        <v>#VALUE!</v>
      </c>
      <c r="AH52" s="326" t="e">
        <f t="shared" ref="AH52:AI52" si="306">AA52+T52+M52</f>
        <v>#VALUE!</v>
      </c>
      <c r="AI52" s="326">
        <f t="shared" si="306"/>
        <v>0</v>
      </c>
      <c r="AJ52" s="326">
        <f t="shared" si="27"/>
        <v>0</v>
      </c>
      <c r="AK52" s="1258" t="str">
        <f t="shared" si="28"/>
        <v/>
      </c>
      <c r="AL52" s="125" t="str">
        <f t="shared" si="212"/>
        <v/>
      </c>
      <c r="AM52" s="140" t="e">
        <f t="shared" si="30"/>
        <v>#VALUE!</v>
      </c>
      <c r="AN52" s="123" t="str">
        <f t="shared" si="213"/>
        <v/>
      </c>
      <c r="AO52" s="148">
        <f t="shared" si="214"/>
        <v>1737391.62</v>
      </c>
      <c r="AP52" s="125"/>
      <c r="AQ52" s="140" t="e">
        <f t="shared" si="33"/>
        <v>#VALUE!</v>
      </c>
      <c r="AR52" s="326" t="str">
        <f t="shared" si="215"/>
        <v/>
      </c>
      <c r="AS52" s="333">
        <f t="shared" si="216"/>
        <v>0</v>
      </c>
      <c r="AT52" s="123"/>
      <c r="AU52" s="123" t="e">
        <f t="shared" si="36"/>
        <v>#VALUE!</v>
      </c>
      <c r="AV52" s="123" t="str">
        <f t="shared" si="217"/>
        <v/>
      </c>
      <c r="AW52" s="125">
        <f t="shared" si="218"/>
        <v>0</v>
      </c>
      <c r="AX52" s="122" t="e">
        <f t="shared" ref="AX52:AZ52" si="307">SUM(AU52,AQ52,AM52)</f>
        <v>#VALUE!</v>
      </c>
      <c r="AY52" s="326">
        <f t="shared" si="307"/>
        <v>0</v>
      </c>
      <c r="AZ52" s="332">
        <f t="shared" si="307"/>
        <v>1737391.62</v>
      </c>
      <c r="BA52" s="140" t="e">
        <f t="shared" ref="BA52:BC52" si="308">SUM(AX52,AG52)</f>
        <v>#VALUE!</v>
      </c>
      <c r="BB52" s="326" t="e">
        <f t="shared" si="308"/>
        <v>#VALUE!</v>
      </c>
      <c r="BC52" s="435">
        <f t="shared" si="308"/>
        <v>1737391.62</v>
      </c>
      <c r="BD52" s="125" t="str">
        <f t="shared" si="221"/>
        <v/>
      </c>
      <c r="BE52" s="1166" t="e">
        <f t="shared" si="42"/>
        <v>#VALUE!</v>
      </c>
      <c r="BF52" s="116" t="str">
        <f t="shared" si="222"/>
        <v/>
      </c>
      <c r="BG52" s="121">
        <f t="shared" si="223"/>
        <v>0</v>
      </c>
      <c r="BH52" s="114" t="str">
        <f t="shared" si="224"/>
        <v/>
      </c>
      <c r="BI52" s="416" t="e">
        <f t="shared" si="46"/>
        <v>#VALUE!</v>
      </c>
      <c r="BJ52" s="121" t="str">
        <f t="shared" si="225"/>
        <v/>
      </c>
      <c r="BK52" s="121">
        <f t="shared" si="226"/>
        <v>0</v>
      </c>
      <c r="BL52" s="121" t="str">
        <f t="shared" si="227"/>
        <v/>
      </c>
      <c r="BM52" s="113" t="e">
        <f t="shared" si="50"/>
        <v>#VALUE!</v>
      </c>
      <c r="BN52" s="116" t="str">
        <f t="shared" si="228"/>
        <v/>
      </c>
      <c r="BO52" s="117">
        <f t="shared" si="229"/>
        <v>0</v>
      </c>
      <c r="BP52" s="113">
        <f t="shared" si="53"/>
        <v>0</v>
      </c>
      <c r="BQ52" s="116">
        <f t="shared" ref="BQ52:BR52" si="309">SUM(BN52,BJ52,BF52)</f>
        <v>0</v>
      </c>
      <c r="BR52" s="117">
        <f t="shared" si="309"/>
        <v>0</v>
      </c>
      <c r="BS52" s="125" t="str">
        <f t="shared" si="231"/>
        <v/>
      </c>
      <c r="BT52" s="140" t="e">
        <f t="shared" si="56"/>
        <v>#VALUE!</v>
      </c>
      <c r="BU52" s="123" t="str">
        <f t="shared" si="232"/>
        <v/>
      </c>
      <c r="BV52" s="148">
        <f t="shared" si="233"/>
        <v>0</v>
      </c>
      <c r="BW52" s="123" t="str">
        <f t="shared" si="234"/>
        <v/>
      </c>
      <c r="BX52" s="326" t="str">
        <f t="shared" si="235"/>
        <v/>
      </c>
    </row>
    <row r="53" spans="1:76" ht="13">
      <c r="A53" s="420">
        <f t="shared" si="194"/>
        <v>112014071</v>
      </c>
      <c r="B53" s="93">
        <f t="shared" si="195"/>
        <v>22</v>
      </c>
      <c r="C53" s="558">
        <f t="shared" si="196"/>
        <v>0.1</v>
      </c>
      <c r="D53" s="558">
        <f t="shared" si="197"/>
        <v>0.09</v>
      </c>
      <c r="E53" s="559">
        <f t="shared" si="198"/>
        <v>0</v>
      </c>
      <c r="F53" s="547">
        <f t="shared" si="199"/>
        <v>63</v>
      </c>
      <c r="G53" s="699">
        <f t="shared" si="200"/>
        <v>0.1</v>
      </c>
      <c r="H53" s="702">
        <f t="shared" si="201"/>
        <v>0.05</v>
      </c>
      <c r="I53" s="423" t="s">
        <v>1313</v>
      </c>
      <c r="J53" s="326"/>
      <c r="K53" s="121"/>
      <c r="L53" s="140" t="e">
        <f t="shared" si="8"/>
        <v>#VALUE!</v>
      </c>
      <c r="M53" s="326" t="str">
        <f t="shared" si="202"/>
        <v/>
      </c>
      <c r="N53" s="333">
        <f t="shared" si="203"/>
        <v>0</v>
      </c>
      <c r="O53" s="123">
        <f t="shared" si="11"/>
        <v>0</v>
      </c>
      <c r="P53" s="137" t="e">
        <f t="shared" si="12"/>
        <v>#DIV/0!</v>
      </c>
      <c r="Q53" s="326" t="str">
        <f t="shared" si="204"/>
        <v/>
      </c>
      <c r="R53" s="116">
        <v>1800000</v>
      </c>
      <c r="S53" s="116" t="e">
        <f t="shared" si="14"/>
        <v>#VALUE!</v>
      </c>
      <c r="T53" s="326" t="str">
        <f t="shared" si="205"/>
        <v/>
      </c>
      <c r="U53" s="326">
        <f t="shared" si="206"/>
        <v>0</v>
      </c>
      <c r="V53" s="326">
        <f t="shared" si="17"/>
        <v>-1800000</v>
      </c>
      <c r="W53" s="137">
        <f t="shared" si="18"/>
        <v>0</v>
      </c>
      <c r="X53" s="326" t="str">
        <f t="shared" si="207"/>
        <v/>
      </c>
      <c r="Y53" s="121">
        <v>1800000</v>
      </c>
      <c r="Z53" s="113" t="e">
        <f t="shared" si="20"/>
        <v>#VALUE!</v>
      </c>
      <c r="AA53" s="116" t="str">
        <f t="shared" si="208"/>
        <v/>
      </c>
      <c r="AB53" s="117">
        <f t="shared" si="209"/>
        <v>0</v>
      </c>
      <c r="AC53" s="114"/>
      <c r="AD53" s="116"/>
      <c r="AE53" s="1257">
        <f t="shared" si="23"/>
        <v>3600000</v>
      </c>
      <c r="AF53" s="140">
        <f t="shared" si="210"/>
        <v>5538785.1600000001</v>
      </c>
      <c r="AG53" s="326" t="e">
        <f t="shared" si="25"/>
        <v>#VALUE!</v>
      </c>
      <c r="AH53" s="326" t="e">
        <f t="shared" ref="AH53:AI53" si="310">AA53+T53+M53</f>
        <v>#VALUE!</v>
      </c>
      <c r="AI53" s="326">
        <f t="shared" si="310"/>
        <v>0</v>
      </c>
      <c r="AJ53" s="326">
        <f t="shared" si="27"/>
        <v>-5538785.1600000001</v>
      </c>
      <c r="AK53" s="1258">
        <f t="shared" si="28"/>
        <v>0</v>
      </c>
      <c r="AL53" s="125" t="str">
        <f t="shared" si="212"/>
        <v/>
      </c>
      <c r="AM53" s="140" t="e">
        <f t="shared" si="30"/>
        <v>#VALUE!</v>
      </c>
      <c r="AN53" s="123" t="str">
        <f t="shared" si="213"/>
        <v/>
      </c>
      <c r="AO53" s="148">
        <f t="shared" si="214"/>
        <v>1087344</v>
      </c>
      <c r="AP53" s="125"/>
      <c r="AQ53" s="140" t="e">
        <f t="shared" si="33"/>
        <v>#VALUE!</v>
      </c>
      <c r="AR53" s="326" t="str">
        <f t="shared" si="215"/>
        <v/>
      </c>
      <c r="AS53" s="333">
        <f t="shared" si="216"/>
        <v>540331.26</v>
      </c>
      <c r="AT53" s="123"/>
      <c r="AU53" s="123" t="e">
        <f t="shared" si="36"/>
        <v>#VALUE!</v>
      </c>
      <c r="AV53" s="123" t="str">
        <f t="shared" si="217"/>
        <v/>
      </c>
      <c r="AW53" s="125">
        <f t="shared" si="218"/>
        <v>2444664.85</v>
      </c>
      <c r="AX53" s="122" t="e">
        <f t="shared" ref="AX53:AZ53" si="311">SUM(AU53,AQ53,AM53)</f>
        <v>#VALUE!</v>
      </c>
      <c r="AY53" s="326">
        <f t="shared" si="311"/>
        <v>0</v>
      </c>
      <c r="AZ53" s="332">
        <f t="shared" si="311"/>
        <v>4072340.1100000003</v>
      </c>
      <c r="BA53" s="140" t="e">
        <f t="shared" ref="BA53:BC53" si="312">SUM(AX53,AG53)</f>
        <v>#VALUE!</v>
      </c>
      <c r="BB53" s="326" t="e">
        <f t="shared" si="312"/>
        <v>#VALUE!</v>
      </c>
      <c r="BC53" s="435">
        <f t="shared" si="312"/>
        <v>4072340.1100000003</v>
      </c>
      <c r="BD53" s="125" t="str">
        <f t="shared" si="221"/>
        <v/>
      </c>
      <c r="BE53" s="1166" t="e">
        <f t="shared" si="42"/>
        <v>#VALUE!</v>
      </c>
      <c r="BF53" s="116" t="str">
        <f t="shared" si="222"/>
        <v/>
      </c>
      <c r="BG53" s="121">
        <f t="shared" si="223"/>
        <v>709585.44</v>
      </c>
      <c r="BH53" s="114" t="str">
        <f t="shared" si="224"/>
        <v/>
      </c>
      <c r="BI53" s="416" t="e">
        <f t="shared" si="46"/>
        <v>#VALUE!</v>
      </c>
      <c r="BJ53" s="121" t="str">
        <f t="shared" si="225"/>
        <v/>
      </c>
      <c r="BK53" s="121">
        <f t="shared" si="226"/>
        <v>609135.44999999995</v>
      </c>
      <c r="BL53" s="121" t="str">
        <f t="shared" si="227"/>
        <v/>
      </c>
      <c r="BM53" s="113" t="e">
        <f t="shared" si="50"/>
        <v>#VALUE!</v>
      </c>
      <c r="BN53" s="116" t="str">
        <f t="shared" si="228"/>
        <v/>
      </c>
      <c r="BO53" s="117">
        <f t="shared" si="229"/>
        <v>2886185.14</v>
      </c>
      <c r="BP53" s="113">
        <f t="shared" si="53"/>
        <v>4204906.0299999993</v>
      </c>
      <c r="BQ53" s="116">
        <f t="shared" ref="BQ53:BR53" si="313">SUM(BN53,BJ53,BF53)</f>
        <v>0</v>
      </c>
      <c r="BR53" s="117">
        <f t="shared" si="313"/>
        <v>4204906.0299999993</v>
      </c>
      <c r="BS53" s="125" t="str">
        <f t="shared" si="231"/>
        <v/>
      </c>
      <c r="BT53" s="140" t="e">
        <f t="shared" si="56"/>
        <v>#VALUE!</v>
      </c>
      <c r="BU53" s="123" t="str">
        <f t="shared" si="232"/>
        <v/>
      </c>
      <c r="BV53" s="148">
        <f t="shared" si="233"/>
        <v>1183174.7</v>
      </c>
      <c r="BW53" s="123" t="str">
        <f t="shared" si="234"/>
        <v/>
      </c>
      <c r="BX53" s="326" t="str">
        <f t="shared" si="235"/>
        <v/>
      </c>
    </row>
    <row r="54" spans="1:76" ht="13">
      <c r="A54" s="420">
        <f t="shared" si="194"/>
        <v>112013897</v>
      </c>
      <c r="B54" s="93">
        <f t="shared" si="195"/>
        <v>22</v>
      </c>
      <c r="C54" s="558">
        <f t="shared" si="196"/>
        <v>0.1</v>
      </c>
      <c r="D54" s="558">
        <f t="shared" si="197"/>
        <v>0.09</v>
      </c>
      <c r="E54" s="559">
        <f t="shared" si="198"/>
        <v>0</v>
      </c>
      <c r="F54" s="547">
        <f t="shared" si="199"/>
        <v>63</v>
      </c>
      <c r="G54" s="699">
        <f t="shared" si="200"/>
        <v>0.1</v>
      </c>
      <c r="H54" s="702">
        <f t="shared" si="201"/>
        <v>0.05</v>
      </c>
      <c r="I54" s="423" t="s">
        <v>1314</v>
      </c>
      <c r="J54" s="326"/>
      <c r="K54" s="121"/>
      <c r="L54" s="140" t="e">
        <f t="shared" si="8"/>
        <v>#VALUE!</v>
      </c>
      <c r="M54" s="326" t="str">
        <f t="shared" si="202"/>
        <v/>
      </c>
      <c r="N54" s="333">
        <f t="shared" si="203"/>
        <v>0</v>
      </c>
      <c r="O54" s="123">
        <f t="shared" si="11"/>
        <v>0</v>
      </c>
      <c r="P54" s="137" t="e">
        <f t="shared" si="12"/>
        <v>#DIV/0!</v>
      </c>
      <c r="Q54" s="326" t="str">
        <f t="shared" si="204"/>
        <v/>
      </c>
      <c r="R54" s="116">
        <v>1800000</v>
      </c>
      <c r="S54" s="116" t="e">
        <f t="shared" si="14"/>
        <v>#VALUE!</v>
      </c>
      <c r="T54" s="326" t="str">
        <f t="shared" si="205"/>
        <v/>
      </c>
      <c r="U54" s="326">
        <f t="shared" si="206"/>
        <v>0</v>
      </c>
      <c r="V54" s="326">
        <f t="shared" si="17"/>
        <v>-1800000</v>
      </c>
      <c r="W54" s="137">
        <f t="shared" si="18"/>
        <v>0</v>
      </c>
      <c r="X54" s="326" t="str">
        <f t="shared" si="207"/>
        <v/>
      </c>
      <c r="Y54" s="121">
        <v>1800000</v>
      </c>
      <c r="Z54" s="113" t="e">
        <f t="shared" si="20"/>
        <v>#VALUE!</v>
      </c>
      <c r="AA54" s="116" t="str">
        <f t="shared" si="208"/>
        <v/>
      </c>
      <c r="AB54" s="117">
        <f t="shared" si="209"/>
        <v>0</v>
      </c>
      <c r="AC54" s="114"/>
      <c r="AD54" s="116"/>
      <c r="AE54" s="1257">
        <f t="shared" si="23"/>
        <v>3600000</v>
      </c>
      <c r="AF54" s="140">
        <f t="shared" si="210"/>
        <v>1154065.28</v>
      </c>
      <c r="AG54" s="326" t="e">
        <f t="shared" si="25"/>
        <v>#VALUE!</v>
      </c>
      <c r="AH54" s="326" t="e">
        <f t="shared" ref="AH54:AI54" si="314">AA54+T54+M54</f>
        <v>#VALUE!</v>
      </c>
      <c r="AI54" s="326">
        <f t="shared" si="314"/>
        <v>0</v>
      </c>
      <c r="AJ54" s="326">
        <f t="shared" si="27"/>
        <v>-1154065.28</v>
      </c>
      <c r="AK54" s="1258">
        <f t="shared" si="28"/>
        <v>0</v>
      </c>
      <c r="AL54" s="125" t="str">
        <f t="shared" si="212"/>
        <v/>
      </c>
      <c r="AM54" s="140" t="e">
        <f t="shared" si="30"/>
        <v>#VALUE!</v>
      </c>
      <c r="AN54" s="123" t="str">
        <f t="shared" si="213"/>
        <v/>
      </c>
      <c r="AO54" s="148">
        <f t="shared" si="214"/>
        <v>0</v>
      </c>
      <c r="AP54" s="125"/>
      <c r="AQ54" s="140" t="e">
        <f t="shared" si="33"/>
        <v>#VALUE!</v>
      </c>
      <c r="AR54" s="326" t="str">
        <f t="shared" si="215"/>
        <v/>
      </c>
      <c r="AS54" s="333">
        <f t="shared" si="216"/>
        <v>0</v>
      </c>
      <c r="AT54" s="123"/>
      <c r="AU54" s="123" t="e">
        <f t="shared" si="36"/>
        <v>#VALUE!</v>
      </c>
      <c r="AV54" s="123" t="str">
        <f t="shared" si="217"/>
        <v/>
      </c>
      <c r="AW54" s="125">
        <f t="shared" si="218"/>
        <v>210084.3</v>
      </c>
      <c r="AX54" s="122" t="e">
        <f t="shared" ref="AX54:AZ54" si="315">SUM(AU54,AQ54,AM54)</f>
        <v>#VALUE!</v>
      </c>
      <c r="AY54" s="326">
        <f t="shared" si="315"/>
        <v>0</v>
      </c>
      <c r="AZ54" s="332">
        <f t="shared" si="315"/>
        <v>210084.3</v>
      </c>
      <c r="BA54" s="140" t="e">
        <f t="shared" ref="BA54:BC54" si="316">SUM(AX54,AG54)</f>
        <v>#VALUE!</v>
      </c>
      <c r="BB54" s="326" t="e">
        <f t="shared" si="316"/>
        <v>#VALUE!</v>
      </c>
      <c r="BC54" s="435">
        <f t="shared" si="316"/>
        <v>210084.3</v>
      </c>
      <c r="BD54" s="125" t="str">
        <f t="shared" si="221"/>
        <v/>
      </c>
      <c r="BE54" s="1166" t="e">
        <f t="shared" si="42"/>
        <v>#VALUE!</v>
      </c>
      <c r="BF54" s="116" t="str">
        <f t="shared" si="222"/>
        <v/>
      </c>
      <c r="BG54" s="121">
        <f t="shared" si="223"/>
        <v>211791.85</v>
      </c>
      <c r="BH54" s="114" t="str">
        <f t="shared" si="224"/>
        <v/>
      </c>
      <c r="BI54" s="416" t="e">
        <f t="shared" si="46"/>
        <v>#VALUE!</v>
      </c>
      <c r="BJ54" s="121" t="str">
        <f t="shared" si="225"/>
        <v/>
      </c>
      <c r="BK54" s="121">
        <f t="shared" si="226"/>
        <v>215385.24</v>
      </c>
      <c r="BL54" s="121" t="str">
        <f t="shared" si="227"/>
        <v/>
      </c>
      <c r="BM54" s="113" t="e">
        <f t="shared" si="50"/>
        <v>#VALUE!</v>
      </c>
      <c r="BN54" s="116" t="str">
        <f t="shared" si="228"/>
        <v/>
      </c>
      <c r="BO54" s="117">
        <f t="shared" si="229"/>
        <v>263245.76</v>
      </c>
      <c r="BP54" s="113">
        <f t="shared" si="53"/>
        <v>690422.85</v>
      </c>
      <c r="BQ54" s="116">
        <f t="shared" ref="BQ54:BR54" si="317">SUM(BN54,BJ54,BF54)</f>
        <v>0</v>
      </c>
      <c r="BR54" s="117">
        <f t="shared" si="317"/>
        <v>690422.85</v>
      </c>
      <c r="BS54" s="125" t="str">
        <f t="shared" si="231"/>
        <v/>
      </c>
      <c r="BT54" s="140" t="e">
        <f t="shared" si="56"/>
        <v>#VALUE!</v>
      </c>
      <c r="BU54" s="123" t="str">
        <f t="shared" si="232"/>
        <v/>
      </c>
      <c r="BV54" s="148">
        <f t="shared" si="233"/>
        <v>1340770.97</v>
      </c>
      <c r="BW54" s="123" t="str">
        <f t="shared" si="234"/>
        <v/>
      </c>
      <c r="BX54" s="326" t="str">
        <f t="shared" si="235"/>
        <v/>
      </c>
    </row>
    <row r="55" spans="1:76" ht="13">
      <c r="A55" s="420">
        <f t="shared" si="194"/>
        <v>112014035</v>
      </c>
      <c r="B55" s="93">
        <f t="shared" si="195"/>
        <v>22</v>
      </c>
      <c r="C55" s="558">
        <f t="shared" si="196"/>
        <v>0.1</v>
      </c>
      <c r="D55" s="558">
        <f t="shared" si="197"/>
        <v>0.09</v>
      </c>
      <c r="E55" s="559">
        <f t="shared" si="198"/>
        <v>0</v>
      </c>
      <c r="F55" s="547">
        <f t="shared" si="199"/>
        <v>63</v>
      </c>
      <c r="G55" s="699">
        <f t="shared" si="200"/>
        <v>0.1</v>
      </c>
      <c r="H55" s="702">
        <f t="shared" si="201"/>
        <v>0.05</v>
      </c>
      <c r="I55" s="423" t="s">
        <v>1315</v>
      </c>
      <c r="J55" s="326"/>
      <c r="K55" s="121"/>
      <c r="L55" s="140" t="e">
        <f t="shared" si="8"/>
        <v>#VALUE!</v>
      </c>
      <c r="M55" s="326" t="str">
        <f t="shared" si="202"/>
        <v/>
      </c>
      <c r="N55" s="333">
        <f t="shared" si="203"/>
        <v>0</v>
      </c>
      <c r="O55" s="123">
        <f t="shared" si="11"/>
        <v>0</v>
      </c>
      <c r="P55" s="137" t="e">
        <f t="shared" si="12"/>
        <v>#DIV/0!</v>
      </c>
      <c r="Q55" s="326" t="str">
        <f t="shared" si="204"/>
        <v/>
      </c>
      <c r="R55" s="116">
        <v>1800000</v>
      </c>
      <c r="S55" s="116" t="e">
        <f t="shared" si="14"/>
        <v>#VALUE!</v>
      </c>
      <c r="T55" s="326" t="str">
        <f t="shared" si="205"/>
        <v/>
      </c>
      <c r="U55" s="326">
        <f t="shared" si="206"/>
        <v>0</v>
      </c>
      <c r="V55" s="326">
        <f t="shared" si="17"/>
        <v>-1800000</v>
      </c>
      <c r="W55" s="137">
        <f t="shared" si="18"/>
        <v>0</v>
      </c>
      <c r="X55" s="326" t="str">
        <f t="shared" si="207"/>
        <v/>
      </c>
      <c r="Y55" s="121">
        <v>1800000</v>
      </c>
      <c r="Z55" s="113" t="e">
        <f t="shared" si="20"/>
        <v>#VALUE!</v>
      </c>
      <c r="AA55" s="116" t="str">
        <f t="shared" si="208"/>
        <v/>
      </c>
      <c r="AB55" s="117">
        <f t="shared" si="209"/>
        <v>0</v>
      </c>
      <c r="AC55" s="114"/>
      <c r="AD55" s="116"/>
      <c r="AE55" s="1257">
        <f t="shared" si="23"/>
        <v>3600000</v>
      </c>
      <c r="AF55" s="140">
        <f t="shared" si="210"/>
        <v>7791369.7599999998</v>
      </c>
      <c r="AG55" s="326" t="e">
        <f t="shared" si="25"/>
        <v>#VALUE!</v>
      </c>
      <c r="AH55" s="326" t="e">
        <f t="shared" ref="AH55:AI55" si="318">AA55+T55+M55</f>
        <v>#VALUE!</v>
      </c>
      <c r="AI55" s="326">
        <f t="shared" si="318"/>
        <v>0</v>
      </c>
      <c r="AJ55" s="326">
        <f t="shared" si="27"/>
        <v>-7791369.7599999998</v>
      </c>
      <c r="AK55" s="1258">
        <f t="shared" si="28"/>
        <v>0</v>
      </c>
      <c r="AL55" s="125" t="str">
        <f t="shared" si="212"/>
        <v/>
      </c>
      <c r="AM55" s="140" t="e">
        <f t="shared" si="30"/>
        <v>#VALUE!</v>
      </c>
      <c r="AN55" s="123" t="str">
        <f t="shared" si="213"/>
        <v/>
      </c>
      <c r="AO55" s="148">
        <f t="shared" si="214"/>
        <v>834822.75</v>
      </c>
      <c r="AP55" s="125"/>
      <c r="AQ55" s="140" t="e">
        <f t="shared" si="33"/>
        <v>#VALUE!</v>
      </c>
      <c r="AR55" s="326" t="str">
        <f t="shared" si="215"/>
        <v/>
      </c>
      <c r="AS55" s="333">
        <f t="shared" si="216"/>
        <v>518537.97</v>
      </c>
      <c r="AT55" s="123"/>
      <c r="AU55" s="123" t="e">
        <f t="shared" si="36"/>
        <v>#VALUE!</v>
      </c>
      <c r="AV55" s="123" t="str">
        <f t="shared" si="217"/>
        <v/>
      </c>
      <c r="AW55" s="125">
        <f t="shared" si="218"/>
        <v>208765.8</v>
      </c>
      <c r="AX55" s="122" t="e">
        <f t="shared" ref="AX55:AZ55" si="319">SUM(AU55,AQ55,AM55)</f>
        <v>#VALUE!</v>
      </c>
      <c r="AY55" s="326">
        <f t="shared" si="319"/>
        <v>0</v>
      </c>
      <c r="AZ55" s="332">
        <f t="shared" si="319"/>
        <v>1562126.52</v>
      </c>
      <c r="BA55" s="140" t="e">
        <f t="shared" ref="BA55:BC55" si="320">SUM(AX55,AG55)</f>
        <v>#VALUE!</v>
      </c>
      <c r="BB55" s="326" t="e">
        <f t="shared" si="320"/>
        <v>#VALUE!</v>
      </c>
      <c r="BC55" s="435">
        <f t="shared" si="320"/>
        <v>1562126.52</v>
      </c>
      <c r="BD55" s="125" t="str">
        <f t="shared" si="221"/>
        <v/>
      </c>
      <c r="BE55" s="1166" t="e">
        <f t="shared" si="42"/>
        <v>#VALUE!</v>
      </c>
      <c r="BF55" s="116" t="str">
        <f t="shared" si="222"/>
        <v/>
      </c>
      <c r="BG55" s="121">
        <f t="shared" si="223"/>
        <v>957652.26</v>
      </c>
      <c r="BH55" s="114" t="str">
        <f t="shared" si="224"/>
        <v/>
      </c>
      <c r="BI55" s="416" t="e">
        <f t="shared" si="46"/>
        <v>#VALUE!</v>
      </c>
      <c r="BJ55" s="121" t="str">
        <f t="shared" si="225"/>
        <v/>
      </c>
      <c r="BK55" s="121">
        <f t="shared" si="226"/>
        <v>1104315.5900000001</v>
      </c>
      <c r="BL55" s="121" t="str">
        <f t="shared" si="227"/>
        <v/>
      </c>
      <c r="BM55" s="113" t="e">
        <f t="shared" si="50"/>
        <v>#VALUE!</v>
      </c>
      <c r="BN55" s="116" t="str">
        <f t="shared" si="228"/>
        <v/>
      </c>
      <c r="BO55" s="117">
        <f t="shared" si="229"/>
        <v>1645172.49</v>
      </c>
      <c r="BP55" s="113">
        <f t="shared" si="53"/>
        <v>3707140.34</v>
      </c>
      <c r="BQ55" s="116">
        <f t="shared" ref="BQ55:BR55" si="321">SUM(BN55,BJ55,BF55)</f>
        <v>0</v>
      </c>
      <c r="BR55" s="117">
        <f t="shared" si="321"/>
        <v>3707140.34</v>
      </c>
      <c r="BS55" s="125" t="str">
        <f t="shared" si="231"/>
        <v/>
      </c>
      <c r="BT55" s="140" t="e">
        <f t="shared" si="56"/>
        <v>#VALUE!</v>
      </c>
      <c r="BU55" s="123" t="str">
        <f t="shared" si="232"/>
        <v/>
      </c>
      <c r="BV55" s="148">
        <f t="shared" si="233"/>
        <v>3931324.15</v>
      </c>
      <c r="BW55" s="123" t="str">
        <f t="shared" si="234"/>
        <v/>
      </c>
      <c r="BX55" s="326" t="str">
        <f t="shared" si="235"/>
        <v/>
      </c>
    </row>
    <row r="56" spans="1:76" ht="13">
      <c r="A56" s="420">
        <f t="shared" si="194"/>
        <v>112011934</v>
      </c>
      <c r="B56" s="93">
        <f t="shared" si="195"/>
        <v>22</v>
      </c>
      <c r="C56" s="558">
        <f t="shared" si="196"/>
        <v>0.1</v>
      </c>
      <c r="D56" s="558">
        <f t="shared" si="197"/>
        <v>0.09</v>
      </c>
      <c r="E56" s="559">
        <f t="shared" si="198"/>
        <v>0</v>
      </c>
      <c r="F56" s="547">
        <f t="shared" si="199"/>
        <v>63</v>
      </c>
      <c r="G56" s="699">
        <f t="shared" si="200"/>
        <v>0.1</v>
      </c>
      <c r="H56" s="702">
        <f t="shared" si="201"/>
        <v>0.05</v>
      </c>
      <c r="I56" s="423" t="s">
        <v>1316</v>
      </c>
      <c r="J56" s="326"/>
      <c r="K56" s="121"/>
      <c r="L56" s="140" t="e">
        <f t="shared" si="8"/>
        <v>#VALUE!</v>
      </c>
      <c r="M56" s="326" t="str">
        <f t="shared" si="202"/>
        <v/>
      </c>
      <c r="N56" s="333">
        <f t="shared" si="203"/>
        <v>0</v>
      </c>
      <c r="O56" s="123">
        <f t="shared" si="11"/>
        <v>0</v>
      </c>
      <c r="P56" s="137" t="e">
        <f t="shared" si="12"/>
        <v>#DIV/0!</v>
      </c>
      <c r="Q56" s="326" t="str">
        <f t="shared" si="204"/>
        <v/>
      </c>
      <c r="R56" s="116">
        <v>1800000</v>
      </c>
      <c r="S56" s="116" t="e">
        <f t="shared" si="14"/>
        <v>#VALUE!</v>
      </c>
      <c r="T56" s="326" t="str">
        <f t="shared" si="205"/>
        <v/>
      </c>
      <c r="U56" s="326">
        <f t="shared" si="206"/>
        <v>0</v>
      </c>
      <c r="V56" s="326">
        <f t="shared" si="17"/>
        <v>-1800000</v>
      </c>
      <c r="W56" s="137">
        <f t="shared" si="18"/>
        <v>0</v>
      </c>
      <c r="X56" s="326" t="str">
        <f t="shared" si="207"/>
        <v/>
      </c>
      <c r="Y56" s="121">
        <v>1800000</v>
      </c>
      <c r="Z56" s="113" t="e">
        <f t="shared" si="20"/>
        <v>#VALUE!</v>
      </c>
      <c r="AA56" s="116" t="str">
        <f t="shared" si="208"/>
        <v/>
      </c>
      <c r="AB56" s="117">
        <f t="shared" si="209"/>
        <v>0</v>
      </c>
      <c r="AC56" s="114"/>
      <c r="AD56" s="116"/>
      <c r="AE56" s="1257">
        <f t="shared" si="23"/>
        <v>3600000</v>
      </c>
      <c r="AF56" s="140">
        <f t="shared" si="210"/>
        <v>1390929.18</v>
      </c>
      <c r="AG56" s="326" t="e">
        <f t="shared" si="25"/>
        <v>#VALUE!</v>
      </c>
      <c r="AH56" s="326" t="e">
        <f t="shared" ref="AH56:AI56" si="322">AA56+T56+M56</f>
        <v>#VALUE!</v>
      </c>
      <c r="AI56" s="326">
        <f t="shared" si="322"/>
        <v>0</v>
      </c>
      <c r="AJ56" s="326">
        <f t="shared" si="27"/>
        <v>-1390929.18</v>
      </c>
      <c r="AK56" s="1258">
        <f t="shared" si="28"/>
        <v>0</v>
      </c>
      <c r="AL56" s="125" t="str">
        <f t="shared" si="212"/>
        <v/>
      </c>
      <c r="AM56" s="140" t="e">
        <f t="shared" si="30"/>
        <v>#VALUE!</v>
      </c>
      <c r="AN56" s="123" t="str">
        <f t="shared" si="213"/>
        <v/>
      </c>
      <c r="AO56" s="148">
        <f t="shared" si="214"/>
        <v>0</v>
      </c>
      <c r="AP56" s="125"/>
      <c r="AQ56" s="140" t="e">
        <f t="shared" si="33"/>
        <v>#VALUE!</v>
      </c>
      <c r="AR56" s="326" t="str">
        <f t="shared" si="215"/>
        <v/>
      </c>
      <c r="AS56" s="333">
        <f t="shared" si="216"/>
        <v>0</v>
      </c>
      <c r="AT56" s="123"/>
      <c r="AU56" s="123" t="e">
        <f t="shared" si="36"/>
        <v>#VALUE!</v>
      </c>
      <c r="AV56" s="123" t="str">
        <f t="shared" si="217"/>
        <v/>
      </c>
      <c r="AW56" s="125">
        <f t="shared" si="218"/>
        <v>0</v>
      </c>
      <c r="AX56" s="122" t="e">
        <f t="shared" ref="AX56:AZ56" si="323">SUM(AU56,AQ56,AM56)</f>
        <v>#VALUE!</v>
      </c>
      <c r="AY56" s="326">
        <f t="shared" si="323"/>
        <v>0</v>
      </c>
      <c r="AZ56" s="332">
        <f t="shared" si="323"/>
        <v>0</v>
      </c>
      <c r="BA56" s="140" t="e">
        <f t="shared" ref="BA56:BC56" si="324">SUM(AX56,AG56)</f>
        <v>#VALUE!</v>
      </c>
      <c r="BB56" s="326" t="e">
        <f t="shared" si="324"/>
        <v>#VALUE!</v>
      </c>
      <c r="BC56" s="435">
        <f t="shared" si="324"/>
        <v>0</v>
      </c>
      <c r="BD56" s="125" t="str">
        <f t="shared" si="221"/>
        <v/>
      </c>
      <c r="BE56" s="1166" t="e">
        <f t="shared" si="42"/>
        <v>#VALUE!</v>
      </c>
      <c r="BF56" s="116" t="str">
        <f t="shared" si="222"/>
        <v/>
      </c>
      <c r="BG56" s="121">
        <f t="shared" si="223"/>
        <v>0</v>
      </c>
      <c r="BH56" s="114" t="str">
        <f t="shared" si="224"/>
        <v/>
      </c>
      <c r="BI56" s="416" t="e">
        <f t="shared" si="46"/>
        <v>#VALUE!</v>
      </c>
      <c r="BJ56" s="121" t="str">
        <f t="shared" si="225"/>
        <v/>
      </c>
      <c r="BK56" s="121">
        <f t="shared" si="226"/>
        <v>350971.43</v>
      </c>
      <c r="BL56" s="121" t="str">
        <f t="shared" si="227"/>
        <v/>
      </c>
      <c r="BM56" s="113" t="e">
        <f t="shared" si="50"/>
        <v>#VALUE!</v>
      </c>
      <c r="BN56" s="116" t="str">
        <f t="shared" si="228"/>
        <v/>
      </c>
      <c r="BO56" s="117">
        <f t="shared" si="229"/>
        <v>600612.11</v>
      </c>
      <c r="BP56" s="113">
        <f t="shared" si="53"/>
        <v>951583.54</v>
      </c>
      <c r="BQ56" s="116">
        <f t="shared" ref="BQ56:BR56" si="325">SUM(BN56,BJ56,BF56)</f>
        <v>0</v>
      </c>
      <c r="BR56" s="117">
        <f t="shared" si="325"/>
        <v>951583.54</v>
      </c>
      <c r="BS56" s="125" t="str">
        <f t="shared" si="231"/>
        <v/>
      </c>
      <c r="BT56" s="140" t="e">
        <f t="shared" si="56"/>
        <v>#VALUE!</v>
      </c>
      <c r="BU56" s="123" t="str">
        <f t="shared" si="232"/>
        <v/>
      </c>
      <c r="BV56" s="148">
        <f t="shared" si="233"/>
        <v>468202.76</v>
      </c>
      <c r="BW56" s="123" t="str">
        <f t="shared" si="234"/>
        <v/>
      </c>
      <c r="BX56" s="326" t="str">
        <f t="shared" si="235"/>
        <v/>
      </c>
    </row>
    <row r="57" spans="1:76" ht="13">
      <c r="A57" s="420">
        <f t="shared" si="194"/>
        <v>112011216</v>
      </c>
      <c r="B57" s="93">
        <f t="shared" si="195"/>
        <v>22</v>
      </c>
      <c r="C57" s="558">
        <f t="shared" si="196"/>
        <v>0.1</v>
      </c>
      <c r="D57" s="558">
        <f t="shared" si="197"/>
        <v>0.09</v>
      </c>
      <c r="E57" s="559">
        <f t="shared" si="198"/>
        <v>0</v>
      </c>
      <c r="F57" s="547">
        <f t="shared" si="199"/>
        <v>63</v>
      </c>
      <c r="G57" s="699">
        <f t="shared" si="200"/>
        <v>0.1</v>
      </c>
      <c r="H57" s="702">
        <f t="shared" si="201"/>
        <v>0.05</v>
      </c>
      <c r="I57" s="423" t="s">
        <v>1317</v>
      </c>
      <c r="J57" s="326"/>
      <c r="K57" s="121"/>
      <c r="L57" s="140" t="e">
        <f t="shared" si="8"/>
        <v>#VALUE!</v>
      </c>
      <c r="M57" s="326" t="str">
        <f t="shared" si="202"/>
        <v/>
      </c>
      <c r="N57" s="333">
        <f t="shared" si="203"/>
        <v>0</v>
      </c>
      <c r="O57" s="123">
        <f t="shared" si="11"/>
        <v>0</v>
      </c>
      <c r="P57" s="137" t="e">
        <f t="shared" si="12"/>
        <v>#DIV/0!</v>
      </c>
      <c r="Q57" s="326" t="str">
        <f t="shared" si="204"/>
        <v/>
      </c>
      <c r="R57" s="116">
        <v>1800000</v>
      </c>
      <c r="S57" s="116" t="e">
        <f t="shared" si="14"/>
        <v>#VALUE!</v>
      </c>
      <c r="T57" s="326" t="str">
        <f t="shared" si="205"/>
        <v/>
      </c>
      <c r="U57" s="326">
        <f t="shared" si="206"/>
        <v>0</v>
      </c>
      <c r="V57" s="326">
        <f t="shared" si="17"/>
        <v>-1800000</v>
      </c>
      <c r="W57" s="137">
        <f t="shared" si="18"/>
        <v>0</v>
      </c>
      <c r="X57" s="326" t="str">
        <f t="shared" si="207"/>
        <v/>
      </c>
      <c r="Y57" s="121">
        <v>1800000</v>
      </c>
      <c r="Z57" s="113" t="e">
        <f t="shared" si="20"/>
        <v>#VALUE!</v>
      </c>
      <c r="AA57" s="116" t="str">
        <f t="shared" si="208"/>
        <v/>
      </c>
      <c r="AB57" s="117">
        <f t="shared" si="209"/>
        <v>0</v>
      </c>
      <c r="AC57" s="114"/>
      <c r="AD57" s="116"/>
      <c r="AE57" s="1257">
        <f t="shared" si="23"/>
        <v>3600000</v>
      </c>
      <c r="AF57" s="140">
        <f t="shared" si="210"/>
        <v>4695995.75</v>
      </c>
      <c r="AG57" s="326" t="e">
        <f t="shared" si="25"/>
        <v>#VALUE!</v>
      </c>
      <c r="AH57" s="326" t="e">
        <f t="shared" ref="AH57:AI57" si="326">AA57+T57+M57</f>
        <v>#VALUE!</v>
      </c>
      <c r="AI57" s="326">
        <f t="shared" si="326"/>
        <v>0</v>
      </c>
      <c r="AJ57" s="326">
        <f t="shared" si="27"/>
        <v>-4695995.75</v>
      </c>
      <c r="AK57" s="1258">
        <f t="shared" si="28"/>
        <v>0</v>
      </c>
      <c r="AL57" s="125" t="str">
        <f t="shared" si="212"/>
        <v/>
      </c>
      <c r="AM57" s="140" t="e">
        <f t="shared" si="30"/>
        <v>#VALUE!</v>
      </c>
      <c r="AN57" s="123" t="str">
        <f t="shared" si="213"/>
        <v/>
      </c>
      <c r="AO57" s="148">
        <f t="shared" si="214"/>
        <v>0</v>
      </c>
      <c r="AP57" s="125"/>
      <c r="AQ57" s="140" t="e">
        <f t="shared" si="33"/>
        <v>#VALUE!</v>
      </c>
      <c r="AR57" s="326" t="str">
        <f t="shared" si="215"/>
        <v/>
      </c>
      <c r="AS57" s="333">
        <f t="shared" si="216"/>
        <v>236839.13</v>
      </c>
      <c r="AT57" s="123"/>
      <c r="AU57" s="123" t="e">
        <f t="shared" si="36"/>
        <v>#VALUE!</v>
      </c>
      <c r="AV57" s="123" t="str">
        <f t="shared" si="217"/>
        <v/>
      </c>
      <c r="AW57" s="125">
        <f t="shared" si="218"/>
        <v>1608233.6</v>
      </c>
      <c r="AX57" s="122" t="e">
        <f t="shared" ref="AX57:AZ57" si="327">SUM(AU57,AQ57,AM57)</f>
        <v>#VALUE!</v>
      </c>
      <c r="AY57" s="326">
        <f t="shared" si="327"/>
        <v>0</v>
      </c>
      <c r="AZ57" s="332">
        <f t="shared" si="327"/>
        <v>1845072.73</v>
      </c>
      <c r="BA57" s="140" t="e">
        <f t="shared" ref="BA57:BC57" si="328">SUM(AX57,AG57)</f>
        <v>#VALUE!</v>
      </c>
      <c r="BB57" s="326" t="e">
        <f t="shared" si="328"/>
        <v>#VALUE!</v>
      </c>
      <c r="BC57" s="435">
        <f t="shared" si="328"/>
        <v>1845072.73</v>
      </c>
      <c r="BD57" s="125" t="str">
        <f t="shared" si="221"/>
        <v/>
      </c>
      <c r="BE57" s="1166" t="e">
        <f t="shared" si="42"/>
        <v>#VALUE!</v>
      </c>
      <c r="BF57" s="116" t="str">
        <f t="shared" si="222"/>
        <v/>
      </c>
      <c r="BG57" s="121">
        <f t="shared" si="223"/>
        <v>0</v>
      </c>
      <c r="BH57" s="114" t="str">
        <f t="shared" si="224"/>
        <v/>
      </c>
      <c r="BI57" s="416" t="e">
        <f t="shared" si="46"/>
        <v>#VALUE!</v>
      </c>
      <c r="BJ57" s="121" t="str">
        <f t="shared" si="225"/>
        <v/>
      </c>
      <c r="BK57" s="121">
        <f t="shared" si="226"/>
        <v>2212286.9900000002</v>
      </c>
      <c r="BL57" s="121" t="str">
        <f t="shared" si="227"/>
        <v/>
      </c>
      <c r="BM57" s="113" t="e">
        <f t="shared" si="50"/>
        <v>#VALUE!</v>
      </c>
      <c r="BN57" s="116" t="str">
        <f t="shared" si="228"/>
        <v/>
      </c>
      <c r="BO57" s="117">
        <f t="shared" si="229"/>
        <v>2949872.96</v>
      </c>
      <c r="BP57" s="113">
        <f t="shared" si="53"/>
        <v>5162159.95</v>
      </c>
      <c r="BQ57" s="116">
        <f t="shared" ref="BQ57:BR57" si="329">SUM(BN57,BJ57,BF57)</f>
        <v>0</v>
      </c>
      <c r="BR57" s="117">
        <f t="shared" si="329"/>
        <v>5162159.95</v>
      </c>
      <c r="BS57" s="125" t="str">
        <f t="shared" si="231"/>
        <v/>
      </c>
      <c r="BT57" s="140" t="e">
        <f t="shared" si="56"/>
        <v>#VALUE!</v>
      </c>
      <c r="BU57" s="123" t="str">
        <f t="shared" si="232"/>
        <v/>
      </c>
      <c r="BV57" s="148">
        <f t="shared" si="233"/>
        <v>4351909.07</v>
      </c>
      <c r="BW57" s="123" t="str">
        <f t="shared" si="234"/>
        <v/>
      </c>
      <c r="BX57" s="326" t="str">
        <f t="shared" si="235"/>
        <v/>
      </c>
    </row>
    <row r="58" spans="1:76" ht="13">
      <c r="A58" s="420">
        <f t="shared" si="194"/>
        <v>112013948</v>
      </c>
      <c r="B58" s="93">
        <f t="shared" si="195"/>
        <v>22</v>
      </c>
      <c r="C58" s="558">
        <f t="shared" si="196"/>
        <v>0.1</v>
      </c>
      <c r="D58" s="558">
        <f t="shared" si="197"/>
        <v>0.09</v>
      </c>
      <c r="E58" s="559">
        <f t="shared" si="198"/>
        <v>0</v>
      </c>
      <c r="F58" s="547">
        <f t="shared" si="199"/>
        <v>63</v>
      </c>
      <c r="G58" s="699">
        <f t="shared" si="200"/>
        <v>0.1</v>
      </c>
      <c r="H58" s="702">
        <f t="shared" si="201"/>
        <v>0.05</v>
      </c>
      <c r="I58" s="423" t="s">
        <v>1318</v>
      </c>
      <c r="J58" s="326"/>
      <c r="K58" s="121"/>
      <c r="L58" s="140" t="e">
        <f t="shared" si="8"/>
        <v>#VALUE!</v>
      </c>
      <c r="M58" s="326" t="str">
        <f t="shared" si="202"/>
        <v/>
      </c>
      <c r="N58" s="333">
        <f t="shared" si="203"/>
        <v>0</v>
      </c>
      <c r="O58" s="123">
        <f t="shared" si="11"/>
        <v>0</v>
      </c>
      <c r="P58" s="137" t="e">
        <f t="shared" si="12"/>
        <v>#DIV/0!</v>
      </c>
      <c r="Q58" s="326" t="str">
        <f t="shared" si="204"/>
        <v/>
      </c>
      <c r="R58" s="116">
        <v>1800000</v>
      </c>
      <c r="S58" s="116" t="e">
        <f t="shared" si="14"/>
        <v>#VALUE!</v>
      </c>
      <c r="T58" s="326" t="str">
        <f t="shared" si="205"/>
        <v/>
      </c>
      <c r="U58" s="326">
        <f t="shared" si="206"/>
        <v>0</v>
      </c>
      <c r="V58" s="326">
        <f t="shared" si="17"/>
        <v>-1800000</v>
      </c>
      <c r="W58" s="137">
        <f t="shared" si="18"/>
        <v>0</v>
      </c>
      <c r="X58" s="326" t="str">
        <f t="shared" si="207"/>
        <v/>
      </c>
      <c r="Y58" s="121">
        <v>1800000</v>
      </c>
      <c r="Z58" s="113" t="e">
        <f t="shared" si="20"/>
        <v>#VALUE!</v>
      </c>
      <c r="AA58" s="116" t="str">
        <f t="shared" si="208"/>
        <v/>
      </c>
      <c r="AB58" s="117">
        <f t="shared" si="209"/>
        <v>0</v>
      </c>
      <c r="AC58" s="114"/>
      <c r="AD58" s="116"/>
      <c r="AE58" s="1257">
        <f t="shared" si="23"/>
        <v>3600000</v>
      </c>
      <c r="AF58" s="140" t="str">
        <f t="shared" si="210"/>
        <v>0</v>
      </c>
      <c r="AG58" s="326" t="e">
        <f t="shared" si="25"/>
        <v>#VALUE!</v>
      </c>
      <c r="AH58" s="326" t="e">
        <f t="shared" ref="AH58:AI58" si="330">AA58+T58+M58</f>
        <v>#VALUE!</v>
      </c>
      <c r="AI58" s="326">
        <f t="shared" si="330"/>
        <v>0</v>
      </c>
      <c r="AJ58" s="326">
        <f t="shared" si="27"/>
        <v>0</v>
      </c>
      <c r="AK58" s="1258" t="str">
        <f t="shared" si="28"/>
        <v/>
      </c>
      <c r="AL58" s="125" t="str">
        <f t="shared" si="212"/>
        <v/>
      </c>
      <c r="AM58" s="140" t="e">
        <f t="shared" si="30"/>
        <v>#VALUE!</v>
      </c>
      <c r="AN58" s="123" t="str">
        <f t="shared" si="213"/>
        <v/>
      </c>
      <c r="AO58" s="148">
        <f t="shared" si="214"/>
        <v>0</v>
      </c>
      <c r="AP58" s="125"/>
      <c r="AQ58" s="140" t="e">
        <f t="shared" si="33"/>
        <v>#VALUE!</v>
      </c>
      <c r="AR58" s="326" t="str">
        <f t="shared" si="215"/>
        <v/>
      </c>
      <c r="AS58" s="333">
        <f t="shared" si="216"/>
        <v>203863.86</v>
      </c>
      <c r="AT58" s="123"/>
      <c r="AU58" s="123" t="e">
        <f t="shared" si="36"/>
        <v>#VALUE!</v>
      </c>
      <c r="AV58" s="123" t="str">
        <f t="shared" si="217"/>
        <v/>
      </c>
      <c r="AW58" s="125">
        <f t="shared" si="218"/>
        <v>0</v>
      </c>
      <c r="AX58" s="122" t="e">
        <f t="shared" ref="AX58:AZ58" si="331">SUM(AU58,AQ58,AM58)</f>
        <v>#VALUE!</v>
      </c>
      <c r="AY58" s="326">
        <f t="shared" si="331"/>
        <v>0</v>
      </c>
      <c r="AZ58" s="332">
        <f t="shared" si="331"/>
        <v>203863.86</v>
      </c>
      <c r="BA58" s="140" t="e">
        <f t="shared" ref="BA58:BC58" si="332">SUM(AX58,AG58)</f>
        <v>#VALUE!</v>
      </c>
      <c r="BB58" s="326" t="e">
        <f t="shared" si="332"/>
        <v>#VALUE!</v>
      </c>
      <c r="BC58" s="435">
        <f t="shared" si="332"/>
        <v>203863.86</v>
      </c>
      <c r="BD58" s="125" t="str">
        <f t="shared" si="221"/>
        <v/>
      </c>
      <c r="BE58" s="1166" t="e">
        <f t="shared" si="42"/>
        <v>#VALUE!</v>
      </c>
      <c r="BF58" s="116" t="str">
        <f t="shared" si="222"/>
        <v/>
      </c>
      <c r="BG58" s="121">
        <f t="shared" si="223"/>
        <v>59745.01</v>
      </c>
      <c r="BH58" s="114" t="str">
        <f t="shared" si="224"/>
        <v/>
      </c>
      <c r="BI58" s="416" t="e">
        <f t="shared" si="46"/>
        <v>#VALUE!</v>
      </c>
      <c r="BJ58" s="121" t="str">
        <f t="shared" si="225"/>
        <v/>
      </c>
      <c r="BK58" s="121">
        <f t="shared" si="226"/>
        <v>148250.94</v>
      </c>
      <c r="BL58" s="121" t="str">
        <f t="shared" si="227"/>
        <v/>
      </c>
      <c r="BM58" s="113" t="e">
        <f t="shared" si="50"/>
        <v>#VALUE!</v>
      </c>
      <c r="BN58" s="116" t="str">
        <f t="shared" si="228"/>
        <v/>
      </c>
      <c r="BO58" s="117">
        <f t="shared" si="229"/>
        <v>0</v>
      </c>
      <c r="BP58" s="113">
        <f t="shared" si="53"/>
        <v>207995.95</v>
      </c>
      <c r="BQ58" s="116">
        <f t="shared" ref="BQ58:BR58" si="333">SUM(BN58,BJ58,BF58)</f>
        <v>0</v>
      </c>
      <c r="BR58" s="117">
        <f t="shared" si="333"/>
        <v>207995.95</v>
      </c>
      <c r="BS58" s="125" t="str">
        <f t="shared" si="231"/>
        <v/>
      </c>
      <c r="BT58" s="140" t="e">
        <f t="shared" si="56"/>
        <v>#VALUE!</v>
      </c>
      <c r="BU58" s="123" t="str">
        <f t="shared" si="232"/>
        <v/>
      </c>
      <c r="BV58" s="148">
        <f t="shared" si="233"/>
        <v>0</v>
      </c>
      <c r="BW58" s="123" t="str">
        <f t="shared" si="234"/>
        <v/>
      </c>
      <c r="BX58" s="326" t="str">
        <f t="shared" si="235"/>
        <v/>
      </c>
    </row>
    <row r="59" spans="1:76" ht="13">
      <c r="A59" s="420">
        <f t="shared" si="194"/>
        <v>112013545</v>
      </c>
      <c r="B59" s="93">
        <f t="shared" si="195"/>
        <v>22</v>
      </c>
      <c r="C59" s="558">
        <f t="shared" si="196"/>
        <v>0.1</v>
      </c>
      <c r="D59" s="558">
        <f t="shared" si="197"/>
        <v>0.09</v>
      </c>
      <c r="E59" s="559">
        <f t="shared" si="198"/>
        <v>0</v>
      </c>
      <c r="F59" s="547">
        <f t="shared" si="199"/>
        <v>63</v>
      </c>
      <c r="G59" s="699">
        <f t="shared" si="200"/>
        <v>0.1</v>
      </c>
      <c r="H59" s="702">
        <f t="shared" si="201"/>
        <v>0.05</v>
      </c>
      <c r="I59" s="423" t="s">
        <v>1319</v>
      </c>
      <c r="J59" s="326"/>
      <c r="K59" s="121"/>
      <c r="L59" s="140">
        <f t="shared" si="8"/>
        <v>0</v>
      </c>
      <c r="M59" s="326">
        <f t="shared" si="202"/>
        <v>0</v>
      </c>
      <c r="N59" s="333">
        <f t="shared" si="203"/>
        <v>0</v>
      </c>
      <c r="O59" s="123">
        <f t="shared" si="11"/>
        <v>0</v>
      </c>
      <c r="P59" s="137" t="e">
        <f t="shared" si="12"/>
        <v>#DIV/0!</v>
      </c>
      <c r="Q59" s="326" t="str">
        <f t="shared" si="204"/>
        <v/>
      </c>
      <c r="R59" s="116">
        <v>1800000</v>
      </c>
      <c r="S59" s="116">
        <f t="shared" si="14"/>
        <v>0</v>
      </c>
      <c r="T59" s="326">
        <f t="shared" si="205"/>
        <v>0</v>
      </c>
      <c r="U59" s="326">
        <f t="shared" si="206"/>
        <v>0</v>
      </c>
      <c r="V59" s="326">
        <f t="shared" si="17"/>
        <v>-1800000</v>
      </c>
      <c r="W59" s="137">
        <f t="shared" si="18"/>
        <v>0</v>
      </c>
      <c r="X59" s="326" t="str">
        <f t="shared" si="207"/>
        <v/>
      </c>
      <c r="Y59" s="121">
        <v>1800000</v>
      </c>
      <c r="Z59" s="113">
        <f t="shared" si="20"/>
        <v>0</v>
      </c>
      <c r="AA59" s="116">
        <f t="shared" si="208"/>
        <v>0</v>
      </c>
      <c r="AB59" s="117">
        <f t="shared" si="209"/>
        <v>0</v>
      </c>
      <c r="AC59" s="114"/>
      <c r="AD59" s="116"/>
      <c r="AE59" s="1257">
        <f t="shared" si="23"/>
        <v>3600000</v>
      </c>
      <c r="AF59" s="140">
        <f t="shared" si="210"/>
        <v>3468201.76</v>
      </c>
      <c r="AG59" s="326">
        <f t="shared" si="25"/>
        <v>0</v>
      </c>
      <c r="AH59" s="326">
        <f t="shared" ref="AH59:AI59" si="334">AA59+T59+M59</f>
        <v>0</v>
      </c>
      <c r="AI59" s="326">
        <f t="shared" si="334"/>
        <v>0</v>
      </c>
      <c r="AJ59" s="326">
        <f t="shared" si="27"/>
        <v>-3468201.76</v>
      </c>
      <c r="AK59" s="1258">
        <f t="shared" si="28"/>
        <v>0</v>
      </c>
      <c r="AL59" s="125" t="str">
        <f t="shared" si="212"/>
        <v/>
      </c>
      <c r="AM59" s="140">
        <f t="shared" si="30"/>
        <v>809843.35</v>
      </c>
      <c r="AN59" s="123">
        <f t="shared" si="213"/>
        <v>0</v>
      </c>
      <c r="AO59" s="148">
        <f t="shared" si="214"/>
        <v>809843.35</v>
      </c>
      <c r="AP59" s="125"/>
      <c r="AQ59" s="140">
        <f t="shared" si="33"/>
        <v>1477117.7799999998</v>
      </c>
      <c r="AR59" s="326">
        <f t="shared" si="215"/>
        <v>31057.599999999999</v>
      </c>
      <c r="AS59" s="333">
        <f t="shared" si="216"/>
        <v>1508175.38</v>
      </c>
      <c r="AT59" s="123"/>
      <c r="AU59" s="123">
        <f t="shared" si="36"/>
        <v>903098.44</v>
      </c>
      <c r="AV59" s="123">
        <f t="shared" si="217"/>
        <v>0</v>
      </c>
      <c r="AW59" s="125">
        <f t="shared" si="218"/>
        <v>903098.44</v>
      </c>
      <c r="AX59" s="122">
        <f t="shared" ref="AX59:AZ59" si="335">SUM(AU59,AQ59,AM59)</f>
        <v>3190059.57</v>
      </c>
      <c r="AY59" s="326">
        <f t="shared" si="335"/>
        <v>31057.599999999999</v>
      </c>
      <c r="AZ59" s="332">
        <f t="shared" si="335"/>
        <v>3221117.17</v>
      </c>
      <c r="BA59" s="140">
        <f t="shared" ref="BA59:BC59" si="336">SUM(AX59,AG59)</f>
        <v>3190059.57</v>
      </c>
      <c r="BB59" s="326">
        <f t="shared" si="336"/>
        <v>31057.599999999999</v>
      </c>
      <c r="BC59" s="435">
        <f t="shared" si="336"/>
        <v>3221117.17</v>
      </c>
      <c r="BD59" s="125" t="str">
        <f t="shared" si="221"/>
        <v/>
      </c>
      <c r="BE59" s="1166">
        <f t="shared" si="42"/>
        <v>394006.73</v>
      </c>
      <c r="BF59" s="116">
        <f t="shared" si="222"/>
        <v>0</v>
      </c>
      <c r="BG59" s="121">
        <f t="shared" si="223"/>
        <v>394006.73</v>
      </c>
      <c r="BH59" s="114" t="str">
        <f t="shared" si="224"/>
        <v/>
      </c>
      <c r="BI59" s="416">
        <f t="shared" si="46"/>
        <v>0</v>
      </c>
      <c r="BJ59" s="121">
        <f t="shared" si="225"/>
        <v>0</v>
      </c>
      <c r="BK59" s="121">
        <f t="shared" si="226"/>
        <v>0</v>
      </c>
      <c r="BL59" s="121" t="str">
        <f t="shared" si="227"/>
        <v/>
      </c>
      <c r="BM59" s="113">
        <f t="shared" si="50"/>
        <v>1034101.37</v>
      </c>
      <c r="BN59" s="116">
        <f t="shared" si="228"/>
        <v>31057.599999999999</v>
      </c>
      <c r="BO59" s="117">
        <f t="shared" si="229"/>
        <v>1065158.97</v>
      </c>
      <c r="BP59" s="113">
        <f t="shared" si="53"/>
        <v>1428108.0999999999</v>
      </c>
      <c r="BQ59" s="116">
        <f t="shared" ref="BQ59:BR59" si="337">SUM(BN59,BJ59,BF59)</f>
        <v>31057.599999999999</v>
      </c>
      <c r="BR59" s="117">
        <f t="shared" si="337"/>
        <v>1459165.7</v>
      </c>
      <c r="BS59" s="125" t="str">
        <f t="shared" si="231"/>
        <v/>
      </c>
      <c r="BT59" s="140">
        <f t="shared" si="56"/>
        <v>1263243.01</v>
      </c>
      <c r="BU59" s="123">
        <f t="shared" si="232"/>
        <v>0</v>
      </c>
      <c r="BV59" s="148">
        <f t="shared" si="233"/>
        <v>1263243.01</v>
      </c>
      <c r="BW59" s="123" t="str">
        <f t="shared" si="234"/>
        <v/>
      </c>
      <c r="BX59" s="326" t="str">
        <f t="shared" si="235"/>
        <v/>
      </c>
    </row>
    <row r="60" spans="1:76" ht="13">
      <c r="A60" s="420">
        <f t="shared" si="194"/>
        <v>112010568</v>
      </c>
      <c r="B60" s="93">
        <f t="shared" si="195"/>
        <v>22</v>
      </c>
      <c r="C60" s="558">
        <f t="shared" si="196"/>
        <v>0.1</v>
      </c>
      <c r="D60" s="558">
        <f t="shared" si="197"/>
        <v>0.09</v>
      </c>
      <c r="E60" s="559">
        <f t="shared" si="198"/>
        <v>0</v>
      </c>
      <c r="F60" s="547">
        <f t="shared" si="199"/>
        <v>63</v>
      </c>
      <c r="G60" s="699">
        <f t="shared" si="200"/>
        <v>0.1</v>
      </c>
      <c r="H60" s="702">
        <f t="shared" si="201"/>
        <v>0.05</v>
      </c>
      <c r="I60" s="423" t="s">
        <v>1320</v>
      </c>
      <c r="J60" s="326"/>
      <c r="K60" s="121"/>
      <c r="L60" s="140">
        <f t="shared" si="8"/>
        <v>0</v>
      </c>
      <c r="M60" s="326">
        <f t="shared" si="202"/>
        <v>0</v>
      </c>
      <c r="N60" s="333">
        <f t="shared" si="203"/>
        <v>0</v>
      </c>
      <c r="O60" s="123">
        <f t="shared" si="11"/>
        <v>0</v>
      </c>
      <c r="P60" s="137" t="e">
        <f t="shared" si="12"/>
        <v>#DIV/0!</v>
      </c>
      <c r="Q60" s="326" t="str">
        <f t="shared" si="204"/>
        <v/>
      </c>
      <c r="R60" s="116">
        <v>1800000</v>
      </c>
      <c r="S60" s="116">
        <f t="shared" si="14"/>
        <v>0</v>
      </c>
      <c r="T60" s="326">
        <f t="shared" si="205"/>
        <v>0</v>
      </c>
      <c r="U60" s="326">
        <f t="shared" si="206"/>
        <v>0</v>
      </c>
      <c r="V60" s="326">
        <f t="shared" si="17"/>
        <v>-1800000</v>
      </c>
      <c r="W60" s="137">
        <f t="shared" si="18"/>
        <v>0</v>
      </c>
      <c r="X60" s="326" t="str">
        <f t="shared" si="207"/>
        <v/>
      </c>
      <c r="Y60" s="121">
        <v>1800000</v>
      </c>
      <c r="Z60" s="113">
        <f t="shared" si="20"/>
        <v>0</v>
      </c>
      <c r="AA60" s="116">
        <f t="shared" si="208"/>
        <v>0</v>
      </c>
      <c r="AB60" s="117">
        <f t="shared" si="209"/>
        <v>0</v>
      </c>
      <c r="AC60" s="114"/>
      <c r="AD60" s="116"/>
      <c r="AE60" s="1257">
        <f t="shared" si="23"/>
        <v>3600000</v>
      </c>
      <c r="AF60" s="140">
        <f t="shared" si="210"/>
        <v>6250429.1799999997</v>
      </c>
      <c r="AG60" s="326">
        <f t="shared" si="25"/>
        <v>0</v>
      </c>
      <c r="AH60" s="326">
        <f t="shared" ref="AH60:AI60" si="338">AA60+T60+M60</f>
        <v>0</v>
      </c>
      <c r="AI60" s="326">
        <f t="shared" si="338"/>
        <v>0</v>
      </c>
      <c r="AJ60" s="326">
        <f t="shared" si="27"/>
        <v>-6250429.1799999997</v>
      </c>
      <c r="AK60" s="1258">
        <f t="shared" si="28"/>
        <v>0</v>
      </c>
      <c r="AL60" s="125" t="str">
        <f t="shared" si="212"/>
        <v/>
      </c>
      <c r="AM60" s="140">
        <f t="shared" si="30"/>
        <v>0</v>
      </c>
      <c r="AN60" s="123">
        <f t="shared" si="213"/>
        <v>0</v>
      </c>
      <c r="AO60" s="148">
        <f t="shared" si="214"/>
        <v>0</v>
      </c>
      <c r="AP60" s="125"/>
      <c r="AQ60" s="140">
        <f t="shared" si="33"/>
        <v>345663.91</v>
      </c>
      <c r="AR60" s="326">
        <f t="shared" si="215"/>
        <v>0</v>
      </c>
      <c r="AS60" s="333">
        <f t="shared" si="216"/>
        <v>345663.91</v>
      </c>
      <c r="AT60" s="123"/>
      <c r="AU60" s="123">
        <f t="shared" si="36"/>
        <v>990684.87999999989</v>
      </c>
      <c r="AV60" s="123">
        <f t="shared" si="217"/>
        <v>243913.3</v>
      </c>
      <c r="AW60" s="125">
        <f t="shared" si="218"/>
        <v>1234598.18</v>
      </c>
      <c r="AX60" s="122">
        <f t="shared" ref="AX60:AZ60" si="339">SUM(AU60,AQ60,AM60)</f>
        <v>1336348.7899999998</v>
      </c>
      <c r="AY60" s="326">
        <f t="shared" si="339"/>
        <v>243913.3</v>
      </c>
      <c r="AZ60" s="332">
        <f t="shared" si="339"/>
        <v>1580262.0899999999</v>
      </c>
      <c r="BA60" s="140">
        <f t="shared" ref="BA60:BC60" si="340">SUM(AX60,AG60)</f>
        <v>1336348.7899999998</v>
      </c>
      <c r="BB60" s="326">
        <f t="shared" si="340"/>
        <v>243913.3</v>
      </c>
      <c r="BC60" s="435">
        <f t="shared" si="340"/>
        <v>1580262.0899999999</v>
      </c>
      <c r="BD60" s="125" t="str">
        <f t="shared" si="221"/>
        <v/>
      </c>
      <c r="BE60" s="1166">
        <f t="shared" si="42"/>
        <v>272104.46999999997</v>
      </c>
      <c r="BF60" s="116">
        <f t="shared" si="222"/>
        <v>320433.27</v>
      </c>
      <c r="BG60" s="121">
        <f t="shared" si="223"/>
        <v>592537.74</v>
      </c>
      <c r="BH60" s="114" t="str">
        <f t="shared" si="224"/>
        <v/>
      </c>
      <c r="BI60" s="416">
        <f t="shared" si="46"/>
        <v>602257.4</v>
      </c>
      <c r="BJ60" s="121">
        <f t="shared" si="225"/>
        <v>231440.75</v>
      </c>
      <c r="BK60" s="121">
        <f t="shared" si="226"/>
        <v>833698.15</v>
      </c>
      <c r="BL60" s="121" t="str">
        <f t="shared" si="227"/>
        <v/>
      </c>
      <c r="BM60" s="113">
        <f t="shared" si="50"/>
        <v>982754.07</v>
      </c>
      <c r="BN60" s="116">
        <f t="shared" si="228"/>
        <v>195978.88</v>
      </c>
      <c r="BO60" s="117">
        <f t="shared" si="229"/>
        <v>1178732.95</v>
      </c>
      <c r="BP60" s="113">
        <f t="shared" si="53"/>
        <v>1857115.94</v>
      </c>
      <c r="BQ60" s="116">
        <f t="shared" ref="BQ60:BR60" si="341">SUM(BN60,BJ60,BF60)</f>
        <v>747852.9</v>
      </c>
      <c r="BR60" s="117">
        <f t="shared" si="341"/>
        <v>2604968.84</v>
      </c>
      <c r="BS60" s="125" t="str">
        <f t="shared" si="231"/>
        <v/>
      </c>
      <c r="BT60" s="140">
        <f t="shared" si="56"/>
        <v>2399061.65</v>
      </c>
      <c r="BU60" s="123">
        <f t="shared" si="232"/>
        <v>323315.45</v>
      </c>
      <c r="BV60" s="148">
        <f t="shared" si="233"/>
        <v>2722377.1</v>
      </c>
      <c r="BW60" s="123" t="str">
        <f t="shared" si="234"/>
        <v/>
      </c>
      <c r="BX60" s="326" t="str">
        <f t="shared" si="235"/>
        <v/>
      </c>
    </row>
    <row r="61" spans="1:76" ht="13">
      <c r="A61" s="420">
        <f t="shared" si="194"/>
        <v>112014686</v>
      </c>
      <c r="B61" s="93">
        <f t="shared" si="195"/>
        <v>22</v>
      </c>
      <c r="C61" s="558">
        <f t="shared" si="196"/>
        <v>0.1</v>
      </c>
      <c r="D61" s="558">
        <f t="shared" si="197"/>
        <v>0.09</v>
      </c>
      <c r="E61" s="559">
        <f t="shared" si="198"/>
        <v>0</v>
      </c>
      <c r="F61" s="547">
        <f t="shared" si="199"/>
        <v>63</v>
      </c>
      <c r="G61" s="699">
        <f t="shared" si="200"/>
        <v>0.1</v>
      </c>
      <c r="H61" s="702">
        <f t="shared" si="201"/>
        <v>0.05</v>
      </c>
      <c r="I61" s="943" t="s">
        <v>1321</v>
      </c>
      <c r="J61" s="326"/>
      <c r="K61" s="121"/>
      <c r="L61" s="140" t="e">
        <f t="shared" si="8"/>
        <v>#VALUE!</v>
      </c>
      <c r="M61" s="326" t="str">
        <f t="shared" si="202"/>
        <v/>
      </c>
      <c r="N61" s="333">
        <f t="shared" si="203"/>
        <v>0</v>
      </c>
      <c r="O61" s="123">
        <f t="shared" si="11"/>
        <v>0</v>
      </c>
      <c r="P61" s="137" t="e">
        <f t="shared" si="12"/>
        <v>#DIV/0!</v>
      </c>
      <c r="Q61" s="326" t="str">
        <f t="shared" si="204"/>
        <v/>
      </c>
      <c r="R61" s="116">
        <v>1800000</v>
      </c>
      <c r="S61" s="116" t="e">
        <f t="shared" si="14"/>
        <v>#VALUE!</v>
      </c>
      <c r="T61" s="326" t="str">
        <f t="shared" si="205"/>
        <v/>
      </c>
      <c r="U61" s="326">
        <f t="shared" si="206"/>
        <v>0</v>
      </c>
      <c r="V61" s="326">
        <f t="shared" si="17"/>
        <v>-1800000</v>
      </c>
      <c r="W61" s="137">
        <f t="shared" si="18"/>
        <v>0</v>
      </c>
      <c r="X61" s="326" t="str">
        <f t="shared" si="207"/>
        <v/>
      </c>
      <c r="Y61" s="121">
        <v>1800000</v>
      </c>
      <c r="Z61" s="113" t="e">
        <f t="shared" si="20"/>
        <v>#VALUE!</v>
      </c>
      <c r="AA61" s="116" t="str">
        <f t="shared" si="208"/>
        <v/>
      </c>
      <c r="AB61" s="117">
        <f t="shared" si="209"/>
        <v>0</v>
      </c>
      <c r="AC61" s="114"/>
      <c r="AD61" s="116"/>
      <c r="AE61" s="1257">
        <f t="shared" si="23"/>
        <v>3600000</v>
      </c>
      <c r="AF61" s="140" t="str">
        <f t="shared" si="210"/>
        <v>0</v>
      </c>
      <c r="AG61" s="326" t="e">
        <f t="shared" si="25"/>
        <v>#VALUE!</v>
      </c>
      <c r="AH61" s="326" t="e">
        <f t="shared" ref="AH61:AI61" si="342">AA61+T61+M61</f>
        <v>#VALUE!</v>
      </c>
      <c r="AI61" s="326">
        <f t="shared" si="342"/>
        <v>0</v>
      </c>
      <c r="AJ61" s="326">
        <f t="shared" si="27"/>
        <v>0</v>
      </c>
      <c r="AK61" s="1258" t="str">
        <f t="shared" si="28"/>
        <v/>
      </c>
      <c r="AL61" s="125" t="str">
        <f t="shared" si="212"/>
        <v/>
      </c>
      <c r="AM61" s="140" t="e">
        <f t="shared" si="30"/>
        <v>#VALUE!</v>
      </c>
      <c r="AN61" s="123" t="str">
        <f t="shared" si="213"/>
        <v/>
      </c>
      <c r="AO61" s="148">
        <f t="shared" si="214"/>
        <v>0</v>
      </c>
      <c r="AP61" s="125"/>
      <c r="AQ61" s="140" t="e">
        <f t="shared" si="33"/>
        <v>#VALUE!</v>
      </c>
      <c r="AR61" s="326" t="str">
        <f t="shared" si="215"/>
        <v/>
      </c>
      <c r="AS61" s="333">
        <f t="shared" si="216"/>
        <v>0</v>
      </c>
      <c r="AT61" s="123"/>
      <c r="AU61" s="123" t="e">
        <f t="shared" si="36"/>
        <v>#VALUE!</v>
      </c>
      <c r="AV61" s="123" t="str">
        <f t="shared" si="217"/>
        <v/>
      </c>
      <c r="AW61" s="125">
        <f t="shared" si="218"/>
        <v>473702.95</v>
      </c>
      <c r="AX61" s="122" t="e">
        <f t="shared" ref="AX61:AZ61" si="343">SUM(AU61,AQ61,AM61)</f>
        <v>#VALUE!</v>
      </c>
      <c r="AY61" s="326">
        <f t="shared" si="343"/>
        <v>0</v>
      </c>
      <c r="AZ61" s="332">
        <f t="shared" si="343"/>
        <v>473702.95</v>
      </c>
      <c r="BA61" s="140" t="e">
        <f t="shared" ref="BA61:BC61" si="344">SUM(AX61,AG61)</f>
        <v>#VALUE!</v>
      </c>
      <c r="BB61" s="326" t="e">
        <f t="shared" si="344"/>
        <v>#VALUE!</v>
      </c>
      <c r="BC61" s="435">
        <f t="shared" si="344"/>
        <v>473702.95</v>
      </c>
      <c r="BD61" s="125" t="str">
        <f t="shared" si="221"/>
        <v/>
      </c>
      <c r="BE61" s="1166" t="e">
        <f t="shared" si="42"/>
        <v>#VALUE!</v>
      </c>
      <c r="BF61" s="116" t="str">
        <f t="shared" si="222"/>
        <v/>
      </c>
      <c r="BG61" s="121">
        <f t="shared" si="223"/>
        <v>327105.27</v>
      </c>
      <c r="BH61" s="114" t="str">
        <f t="shared" si="224"/>
        <v/>
      </c>
      <c r="BI61" s="416" t="e">
        <f t="shared" si="46"/>
        <v>#VALUE!</v>
      </c>
      <c r="BJ61" s="121" t="str">
        <f t="shared" si="225"/>
        <v/>
      </c>
      <c r="BK61" s="121">
        <f t="shared" si="226"/>
        <v>0</v>
      </c>
      <c r="BL61" s="121" t="str">
        <f t="shared" si="227"/>
        <v/>
      </c>
      <c r="BM61" s="113" t="e">
        <f t="shared" si="50"/>
        <v>#VALUE!</v>
      </c>
      <c r="BN61" s="116" t="str">
        <f t="shared" si="228"/>
        <v/>
      </c>
      <c r="BO61" s="117">
        <f t="shared" si="229"/>
        <v>289822.07</v>
      </c>
      <c r="BP61" s="113">
        <f t="shared" si="53"/>
        <v>616927.34000000008</v>
      </c>
      <c r="BQ61" s="116">
        <f t="shared" ref="BQ61:BR61" si="345">SUM(BN61,BJ61,BF61)</f>
        <v>0</v>
      </c>
      <c r="BR61" s="117">
        <f t="shared" si="345"/>
        <v>616927.34000000008</v>
      </c>
      <c r="BS61" s="125" t="str">
        <f t="shared" si="231"/>
        <v/>
      </c>
      <c r="BT61" s="140" t="e">
        <f t="shared" si="56"/>
        <v>#VALUE!</v>
      </c>
      <c r="BU61" s="123" t="str">
        <f t="shared" si="232"/>
        <v/>
      </c>
      <c r="BV61" s="148">
        <f t="shared" si="233"/>
        <v>0</v>
      </c>
      <c r="BW61" s="123" t="str">
        <f t="shared" si="234"/>
        <v/>
      </c>
      <c r="BX61" s="326" t="str">
        <f t="shared" si="235"/>
        <v/>
      </c>
    </row>
    <row r="62" spans="1:76" ht="13">
      <c r="A62" s="420">
        <f t="shared" si="194"/>
        <v>112013882</v>
      </c>
      <c r="B62" s="93">
        <f t="shared" si="195"/>
        <v>22</v>
      </c>
      <c r="C62" s="558">
        <f t="shared" si="196"/>
        <v>0.1</v>
      </c>
      <c r="D62" s="558">
        <f t="shared" si="197"/>
        <v>0.09</v>
      </c>
      <c r="E62" s="559">
        <f t="shared" si="198"/>
        <v>0</v>
      </c>
      <c r="F62" s="547">
        <f t="shared" si="199"/>
        <v>63</v>
      </c>
      <c r="G62" s="699">
        <f t="shared" si="200"/>
        <v>0.1</v>
      </c>
      <c r="H62" s="702">
        <f t="shared" si="201"/>
        <v>0.05</v>
      </c>
      <c r="I62" s="423" t="s">
        <v>1322</v>
      </c>
      <c r="J62" s="326"/>
      <c r="K62" s="121"/>
      <c r="L62" s="140" t="e">
        <f t="shared" si="8"/>
        <v>#VALUE!</v>
      </c>
      <c r="M62" s="326" t="str">
        <f t="shared" si="202"/>
        <v/>
      </c>
      <c r="N62" s="333" t="str">
        <f t="shared" si="203"/>
        <v/>
      </c>
      <c r="O62" s="123" t="e">
        <f t="shared" si="11"/>
        <v>#VALUE!</v>
      </c>
      <c r="P62" s="137" t="e">
        <f t="shared" si="12"/>
        <v>#VALUE!</v>
      </c>
      <c r="Q62" s="326" t="str">
        <f t="shared" si="204"/>
        <v/>
      </c>
      <c r="R62" s="116">
        <v>1800000</v>
      </c>
      <c r="S62" s="116" t="e">
        <f t="shared" si="14"/>
        <v>#VALUE!</v>
      </c>
      <c r="T62" s="326" t="str">
        <f t="shared" si="205"/>
        <v/>
      </c>
      <c r="U62" s="326" t="str">
        <f t="shared" si="206"/>
        <v/>
      </c>
      <c r="V62" s="326" t="e">
        <f t="shared" si="17"/>
        <v>#VALUE!</v>
      </c>
      <c r="W62" s="137" t="e">
        <f t="shared" si="18"/>
        <v>#VALUE!</v>
      </c>
      <c r="X62" s="326" t="str">
        <f t="shared" si="207"/>
        <v/>
      </c>
      <c r="Y62" s="121">
        <v>1800000</v>
      </c>
      <c r="Z62" s="113" t="e">
        <f t="shared" si="20"/>
        <v>#VALUE!</v>
      </c>
      <c r="AA62" s="116" t="str">
        <f t="shared" si="208"/>
        <v/>
      </c>
      <c r="AB62" s="117" t="str">
        <f t="shared" si="209"/>
        <v/>
      </c>
      <c r="AC62" s="114"/>
      <c r="AD62" s="116"/>
      <c r="AE62" s="1257">
        <f t="shared" si="23"/>
        <v>3600000</v>
      </c>
      <c r="AF62" s="140">
        <f t="shared" si="210"/>
        <v>1383415.5</v>
      </c>
      <c r="AG62" s="326" t="e">
        <f t="shared" si="25"/>
        <v>#VALUE!</v>
      </c>
      <c r="AH62" s="326" t="e">
        <f t="shared" ref="AH62:AI62" si="346">AA62+T62+M62</f>
        <v>#VALUE!</v>
      </c>
      <c r="AI62" s="326" t="e">
        <f t="shared" si="346"/>
        <v>#VALUE!</v>
      </c>
      <c r="AJ62" s="326" t="e">
        <f t="shared" si="27"/>
        <v>#VALUE!</v>
      </c>
      <c r="AK62" s="1258" t="str">
        <f t="shared" si="28"/>
        <v/>
      </c>
      <c r="AL62" s="125" t="str">
        <f t="shared" si="212"/>
        <v/>
      </c>
      <c r="AM62" s="140" t="e">
        <f t="shared" si="30"/>
        <v>#VALUE!</v>
      </c>
      <c r="AN62" s="123" t="str">
        <f t="shared" si="213"/>
        <v/>
      </c>
      <c r="AO62" s="148" t="str">
        <f t="shared" si="214"/>
        <v/>
      </c>
      <c r="AP62" s="125"/>
      <c r="AQ62" s="140" t="e">
        <f t="shared" si="33"/>
        <v>#VALUE!</v>
      </c>
      <c r="AR62" s="326" t="str">
        <f t="shared" si="215"/>
        <v/>
      </c>
      <c r="AS62" s="333" t="str">
        <f t="shared" si="216"/>
        <v/>
      </c>
      <c r="AT62" s="123"/>
      <c r="AU62" s="123" t="e">
        <f t="shared" si="36"/>
        <v>#VALUE!</v>
      </c>
      <c r="AV62" s="123" t="str">
        <f t="shared" si="217"/>
        <v/>
      </c>
      <c r="AW62" s="125" t="str">
        <f t="shared" si="218"/>
        <v/>
      </c>
      <c r="AX62" s="122" t="e">
        <f t="shared" ref="AX62:AZ62" si="347">SUM(AU62,AQ62,AM62)</f>
        <v>#VALUE!</v>
      </c>
      <c r="AY62" s="326">
        <f t="shared" si="347"/>
        <v>0</v>
      </c>
      <c r="AZ62" s="332">
        <f t="shared" si="347"/>
        <v>0</v>
      </c>
      <c r="BA62" s="140" t="e">
        <f t="shared" ref="BA62:BC62" si="348">SUM(AX62,AG62)</f>
        <v>#VALUE!</v>
      </c>
      <c r="BB62" s="326" t="e">
        <f t="shared" si="348"/>
        <v>#VALUE!</v>
      </c>
      <c r="BC62" s="435" t="e">
        <f t="shared" si="348"/>
        <v>#VALUE!</v>
      </c>
      <c r="BD62" s="125" t="str">
        <f t="shared" si="221"/>
        <v/>
      </c>
      <c r="BE62" s="1166" t="e">
        <f t="shared" si="42"/>
        <v>#VALUE!</v>
      </c>
      <c r="BF62" s="116" t="str">
        <f t="shared" si="222"/>
        <v/>
      </c>
      <c r="BG62" s="121" t="str">
        <f t="shared" si="223"/>
        <v/>
      </c>
      <c r="BH62" s="114" t="str">
        <f t="shared" si="224"/>
        <v/>
      </c>
      <c r="BI62" s="416" t="e">
        <f t="shared" si="46"/>
        <v>#VALUE!</v>
      </c>
      <c r="BJ62" s="121" t="str">
        <f t="shared" si="225"/>
        <v/>
      </c>
      <c r="BK62" s="121" t="str">
        <f t="shared" si="226"/>
        <v/>
      </c>
      <c r="BL62" s="121" t="str">
        <f t="shared" si="227"/>
        <v/>
      </c>
      <c r="BM62" s="113" t="e">
        <f t="shared" si="50"/>
        <v>#VALUE!</v>
      </c>
      <c r="BN62" s="116" t="str">
        <f t="shared" si="228"/>
        <v/>
      </c>
      <c r="BO62" s="741" t="str">
        <f t="shared" si="229"/>
        <v/>
      </c>
      <c r="BP62" s="113">
        <f t="shared" si="53"/>
        <v>0</v>
      </c>
      <c r="BQ62" s="116">
        <f t="shared" ref="BQ62:BR62" si="349">SUM(BN62,BJ62,BF62)</f>
        <v>0</v>
      </c>
      <c r="BR62" s="117">
        <f t="shared" si="349"/>
        <v>0</v>
      </c>
      <c r="BS62" s="125" t="str">
        <f t="shared" si="231"/>
        <v/>
      </c>
      <c r="BT62" s="140" t="e">
        <f t="shared" si="56"/>
        <v>#VALUE!</v>
      </c>
      <c r="BU62" s="123" t="str">
        <f t="shared" si="232"/>
        <v/>
      </c>
      <c r="BV62" s="148" t="str">
        <f t="shared" si="233"/>
        <v/>
      </c>
      <c r="BW62" s="123" t="str">
        <f t="shared" si="234"/>
        <v/>
      </c>
      <c r="BX62" s="326" t="str">
        <f t="shared" si="235"/>
        <v/>
      </c>
    </row>
    <row r="63" spans="1:76" ht="13">
      <c r="A63" s="420">
        <f t="shared" si="194"/>
        <v>112013730</v>
      </c>
      <c r="B63" s="93">
        <f t="shared" si="195"/>
        <v>22</v>
      </c>
      <c r="C63" s="558">
        <f t="shared" si="196"/>
        <v>0.1</v>
      </c>
      <c r="D63" s="558">
        <f t="shared" si="197"/>
        <v>0.09</v>
      </c>
      <c r="E63" s="559">
        <f t="shared" si="198"/>
        <v>0</v>
      </c>
      <c r="F63" s="547">
        <f t="shared" si="199"/>
        <v>63</v>
      </c>
      <c r="G63" s="699">
        <f t="shared" si="200"/>
        <v>0.1</v>
      </c>
      <c r="H63" s="702">
        <f t="shared" si="201"/>
        <v>0.05</v>
      </c>
      <c r="I63" s="423" t="s">
        <v>1323</v>
      </c>
      <c r="J63" s="326"/>
      <c r="K63" s="121"/>
      <c r="L63" s="140" t="e">
        <f t="shared" si="8"/>
        <v>#VALUE!</v>
      </c>
      <c r="M63" s="326" t="str">
        <f t="shared" si="202"/>
        <v/>
      </c>
      <c r="N63" s="333">
        <f t="shared" si="203"/>
        <v>0</v>
      </c>
      <c r="O63" s="123">
        <f t="shared" si="11"/>
        <v>0</v>
      </c>
      <c r="P63" s="137" t="e">
        <f t="shared" si="12"/>
        <v>#DIV/0!</v>
      </c>
      <c r="Q63" s="326" t="str">
        <f t="shared" si="204"/>
        <v/>
      </c>
      <c r="R63" s="116">
        <v>1800000</v>
      </c>
      <c r="S63" s="116" t="e">
        <f t="shared" si="14"/>
        <v>#VALUE!</v>
      </c>
      <c r="T63" s="326" t="str">
        <f t="shared" si="205"/>
        <v/>
      </c>
      <c r="U63" s="326">
        <f t="shared" si="206"/>
        <v>0</v>
      </c>
      <c r="V63" s="326">
        <f t="shared" si="17"/>
        <v>-1800000</v>
      </c>
      <c r="W63" s="137">
        <f t="shared" si="18"/>
        <v>0</v>
      </c>
      <c r="X63" s="326" t="str">
        <f t="shared" si="207"/>
        <v/>
      </c>
      <c r="Y63" s="121">
        <v>1800000</v>
      </c>
      <c r="Z63" s="113" t="e">
        <f t="shared" si="20"/>
        <v>#VALUE!</v>
      </c>
      <c r="AA63" s="116" t="str">
        <f t="shared" si="208"/>
        <v/>
      </c>
      <c r="AB63" s="117">
        <f t="shared" si="209"/>
        <v>0</v>
      </c>
      <c r="AC63" s="114"/>
      <c r="AD63" s="116"/>
      <c r="AE63" s="1257">
        <f t="shared" si="23"/>
        <v>3600000</v>
      </c>
      <c r="AF63" s="140">
        <f t="shared" si="210"/>
        <v>1074616.1299999999</v>
      </c>
      <c r="AG63" s="326" t="e">
        <f t="shared" si="25"/>
        <v>#VALUE!</v>
      </c>
      <c r="AH63" s="326" t="e">
        <f t="shared" ref="AH63:AI63" si="350">AA63+T63+M63</f>
        <v>#VALUE!</v>
      </c>
      <c r="AI63" s="326">
        <f t="shared" si="350"/>
        <v>0</v>
      </c>
      <c r="AJ63" s="326">
        <f t="shared" si="27"/>
        <v>-1074616.1299999999</v>
      </c>
      <c r="AK63" s="1258">
        <f t="shared" si="28"/>
        <v>0</v>
      </c>
      <c r="AL63" s="125" t="str">
        <f t="shared" si="212"/>
        <v/>
      </c>
      <c r="AM63" s="140" t="e">
        <f t="shared" si="30"/>
        <v>#VALUE!</v>
      </c>
      <c r="AN63" s="123" t="str">
        <f t="shared" si="213"/>
        <v/>
      </c>
      <c r="AO63" s="148">
        <f t="shared" si="214"/>
        <v>114596.56</v>
      </c>
      <c r="AP63" s="125"/>
      <c r="AQ63" s="140" t="e">
        <f t="shared" si="33"/>
        <v>#VALUE!</v>
      </c>
      <c r="AR63" s="326" t="str">
        <f t="shared" si="215"/>
        <v/>
      </c>
      <c r="AS63" s="333">
        <f t="shared" si="216"/>
        <v>525472.5</v>
      </c>
      <c r="AT63" s="123"/>
      <c r="AU63" s="123" t="e">
        <f t="shared" si="36"/>
        <v>#VALUE!</v>
      </c>
      <c r="AV63" s="123" t="str">
        <f t="shared" si="217"/>
        <v/>
      </c>
      <c r="AW63" s="125">
        <f t="shared" si="218"/>
        <v>0</v>
      </c>
      <c r="AX63" s="122" t="e">
        <f t="shared" ref="AX63:AZ63" si="351">SUM(AU63,AQ63,AM63)</f>
        <v>#VALUE!</v>
      </c>
      <c r="AY63" s="326">
        <f t="shared" si="351"/>
        <v>0</v>
      </c>
      <c r="AZ63" s="332">
        <f t="shared" si="351"/>
        <v>640069.06000000006</v>
      </c>
      <c r="BA63" s="140" t="e">
        <f t="shared" ref="BA63:BC63" si="352">SUM(AX63,AG63)</f>
        <v>#VALUE!</v>
      </c>
      <c r="BB63" s="326" t="e">
        <f t="shared" si="352"/>
        <v>#VALUE!</v>
      </c>
      <c r="BC63" s="435">
        <f t="shared" si="352"/>
        <v>640069.06000000006</v>
      </c>
      <c r="BD63" s="125" t="str">
        <f t="shared" si="221"/>
        <v/>
      </c>
      <c r="BE63" s="1166" t="e">
        <f t="shared" si="42"/>
        <v>#VALUE!</v>
      </c>
      <c r="BF63" s="116" t="str">
        <f t="shared" si="222"/>
        <v/>
      </c>
      <c r="BG63" s="121">
        <f t="shared" si="223"/>
        <v>476237.73</v>
      </c>
      <c r="BH63" s="114" t="str">
        <f t="shared" si="224"/>
        <v/>
      </c>
      <c r="BI63" s="416" t="e">
        <f t="shared" si="46"/>
        <v>#VALUE!</v>
      </c>
      <c r="BJ63" s="121" t="str">
        <f t="shared" si="225"/>
        <v/>
      </c>
      <c r="BK63" s="121">
        <f t="shared" si="226"/>
        <v>528752.93000000005</v>
      </c>
      <c r="BL63" s="121" t="str">
        <f t="shared" si="227"/>
        <v/>
      </c>
      <c r="BM63" s="113" t="e">
        <f t="shared" si="50"/>
        <v>#VALUE!</v>
      </c>
      <c r="BN63" s="116" t="str">
        <f t="shared" si="228"/>
        <v/>
      </c>
      <c r="BO63" s="117">
        <f t="shared" si="229"/>
        <v>715984.33</v>
      </c>
      <c r="BP63" s="113">
        <f t="shared" si="53"/>
        <v>1720974.99</v>
      </c>
      <c r="BQ63" s="116">
        <f t="shared" ref="BQ63:BR63" si="353">SUM(BN63,BJ63,BF63)</f>
        <v>0</v>
      </c>
      <c r="BR63" s="117">
        <f t="shared" si="353"/>
        <v>1720974.99</v>
      </c>
      <c r="BS63" s="125" t="str">
        <f t="shared" si="231"/>
        <v/>
      </c>
      <c r="BT63" s="140" t="e">
        <f t="shared" si="56"/>
        <v>#VALUE!</v>
      </c>
      <c r="BU63" s="123" t="str">
        <f t="shared" si="232"/>
        <v/>
      </c>
      <c r="BV63" s="148">
        <f t="shared" si="233"/>
        <v>657817.65</v>
      </c>
      <c r="BW63" s="123" t="str">
        <f t="shared" si="234"/>
        <v/>
      </c>
      <c r="BX63" s="326" t="str">
        <f t="shared" si="235"/>
        <v/>
      </c>
    </row>
    <row r="64" spans="1:76" ht="13">
      <c r="A64" s="420">
        <f t="shared" si="194"/>
        <v>112014045</v>
      </c>
      <c r="B64" s="93">
        <f t="shared" si="195"/>
        <v>22</v>
      </c>
      <c r="C64" s="558">
        <f t="shared" si="196"/>
        <v>0.1</v>
      </c>
      <c r="D64" s="558">
        <f t="shared" si="197"/>
        <v>0.09</v>
      </c>
      <c r="E64" s="559">
        <f t="shared" si="198"/>
        <v>0</v>
      </c>
      <c r="F64" s="547">
        <f t="shared" si="199"/>
        <v>63</v>
      </c>
      <c r="G64" s="699">
        <f t="shared" si="200"/>
        <v>0.1</v>
      </c>
      <c r="H64" s="702">
        <f t="shared" si="201"/>
        <v>0.05</v>
      </c>
      <c r="I64" s="423" t="s">
        <v>1324</v>
      </c>
      <c r="J64" s="326"/>
      <c r="K64" s="121"/>
      <c r="L64" s="140" t="e">
        <f t="shared" si="8"/>
        <v>#VALUE!</v>
      </c>
      <c r="M64" s="326" t="str">
        <f t="shared" si="202"/>
        <v/>
      </c>
      <c r="N64" s="333" t="str">
        <f t="shared" si="203"/>
        <v/>
      </c>
      <c r="O64" s="123" t="e">
        <f t="shared" si="11"/>
        <v>#VALUE!</v>
      </c>
      <c r="P64" s="137" t="e">
        <f t="shared" si="12"/>
        <v>#VALUE!</v>
      </c>
      <c r="Q64" s="326" t="str">
        <f t="shared" si="204"/>
        <v/>
      </c>
      <c r="R64" s="116">
        <v>1800000</v>
      </c>
      <c r="S64" s="116" t="e">
        <f t="shared" si="14"/>
        <v>#VALUE!</v>
      </c>
      <c r="T64" s="326" t="str">
        <f t="shared" si="205"/>
        <v/>
      </c>
      <c r="U64" s="326" t="str">
        <f t="shared" si="206"/>
        <v/>
      </c>
      <c r="V64" s="326" t="e">
        <f t="shared" si="17"/>
        <v>#VALUE!</v>
      </c>
      <c r="W64" s="137" t="e">
        <f t="shared" si="18"/>
        <v>#VALUE!</v>
      </c>
      <c r="X64" s="326" t="str">
        <f t="shared" si="207"/>
        <v/>
      </c>
      <c r="Y64" s="121">
        <v>1800000</v>
      </c>
      <c r="Z64" s="113" t="e">
        <f t="shared" si="20"/>
        <v>#VALUE!</v>
      </c>
      <c r="AA64" s="116" t="str">
        <f t="shared" si="208"/>
        <v/>
      </c>
      <c r="AB64" s="117" t="str">
        <f t="shared" si="209"/>
        <v/>
      </c>
      <c r="AC64" s="114"/>
      <c r="AD64" s="116"/>
      <c r="AE64" s="1257">
        <f t="shared" si="23"/>
        <v>3600000</v>
      </c>
      <c r="AF64" s="140">
        <f t="shared" si="210"/>
        <v>417500</v>
      </c>
      <c r="AG64" s="326" t="e">
        <f t="shared" si="25"/>
        <v>#VALUE!</v>
      </c>
      <c r="AH64" s="326" t="e">
        <f t="shared" ref="AH64:AI64" si="354">AA64+T64+M64</f>
        <v>#VALUE!</v>
      </c>
      <c r="AI64" s="326" t="e">
        <f t="shared" si="354"/>
        <v>#VALUE!</v>
      </c>
      <c r="AJ64" s="326" t="e">
        <f t="shared" si="27"/>
        <v>#VALUE!</v>
      </c>
      <c r="AK64" s="1258" t="str">
        <f t="shared" si="28"/>
        <v/>
      </c>
      <c r="AL64" s="125" t="str">
        <f t="shared" si="212"/>
        <v/>
      </c>
      <c r="AM64" s="140" t="e">
        <f t="shared" si="30"/>
        <v>#VALUE!</v>
      </c>
      <c r="AN64" s="123" t="str">
        <f t="shared" si="213"/>
        <v/>
      </c>
      <c r="AO64" s="148" t="str">
        <f t="shared" si="214"/>
        <v/>
      </c>
      <c r="AP64" s="125"/>
      <c r="AQ64" s="140" t="e">
        <f t="shared" si="33"/>
        <v>#VALUE!</v>
      </c>
      <c r="AR64" s="326" t="str">
        <f t="shared" si="215"/>
        <v/>
      </c>
      <c r="AS64" s="333" t="str">
        <f t="shared" si="216"/>
        <v/>
      </c>
      <c r="AT64" s="123"/>
      <c r="AU64" s="123" t="e">
        <f t="shared" si="36"/>
        <v>#VALUE!</v>
      </c>
      <c r="AV64" s="123" t="str">
        <f t="shared" si="217"/>
        <v/>
      </c>
      <c r="AW64" s="125" t="str">
        <f t="shared" si="218"/>
        <v/>
      </c>
      <c r="AX64" s="122" t="e">
        <f t="shared" ref="AX64:AZ64" si="355">SUM(AU64,AQ64,AM64)</f>
        <v>#VALUE!</v>
      </c>
      <c r="AY64" s="326">
        <f t="shared" si="355"/>
        <v>0</v>
      </c>
      <c r="AZ64" s="332">
        <f t="shared" si="355"/>
        <v>0</v>
      </c>
      <c r="BA64" s="140" t="e">
        <f t="shared" ref="BA64:BC64" si="356">SUM(AX64,AG64)</f>
        <v>#VALUE!</v>
      </c>
      <c r="BB64" s="326" t="e">
        <f t="shared" si="356"/>
        <v>#VALUE!</v>
      </c>
      <c r="BC64" s="435" t="e">
        <f t="shared" si="356"/>
        <v>#VALUE!</v>
      </c>
      <c r="BD64" s="125" t="str">
        <f t="shared" si="221"/>
        <v/>
      </c>
      <c r="BE64" s="1166" t="e">
        <f t="shared" si="42"/>
        <v>#VALUE!</v>
      </c>
      <c r="BF64" s="116" t="str">
        <f t="shared" si="222"/>
        <v/>
      </c>
      <c r="BG64" s="121" t="str">
        <f t="shared" si="223"/>
        <v/>
      </c>
      <c r="BH64" s="114" t="str">
        <f t="shared" si="224"/>
        <v/>
      </c>
      <c r="BI64" s="416" t="e">
        <f t="shared" si="46"/>
        <v>#VALUE!</v>
      </c>
      <c r="BJ64" s="121" t="str">
        <f t="shared" si="225"/>
        <v/>
      </c>
      <c r="BK64" s="121" t="str">
        <f t="shared" si="226"/>
        <v/>
      </c>
      <c r="BL64" s="121" t="str">
        <f t="shared" si="227"/>
        <v/>
      </c>
      <c r="BM64" s="113" t="e">
        <f t="shared" si="50"/>
        <v>#VALUE!</v>
      </c>
      <c r="BN64" s="116" t="str">
        <f t="shared" si="228"/>
        <v/>
      </c>
      <c r="BO64" s="741" t="str">
        <f t="shared" si="229"/>
        <v/>
      </c>
      <c r="BP64" s="113">
        <f t="shared" si="53"/>
        <v>0</v>
      </c>
      <c r="BQ64" s="116">
        <f t="shared" ref="BQ64:BR64" si="357">SUM(BN64,BJ64,BF64)</f>
        <v>0</v>
      </c>
      <c r="BR64" s="117">
        <f t="shared" si="357"/>
        <v>0</v>
      </c>
      <c r="BS64" s="125" t="str">
        <f t="shared" si="231"/>
        <v/>
      </c>
      <c r="BT64" s="140" t="e">
        <f t="shared" si="56"/>
        <v>#VALUE!</v>
      </c>
      <c r="BU64" s="123" t="str">
        <f t="shared" si="232"/>
        <v/>
      </c>
      <c r="BV64" s="148" t="str">
        <f t="shared" si="233"/>
        <v/>
      </c>
      <c r="BW64" s="123" t="str">
        <f t="shared" si="234"/>
        <v/>
      </c>
      <c r="BX64" s="326" t="str">
        <f t="shared" si="235"/>
        <v/>
      </c>
    </row>
    <row r="65" spans="1:76" ht="13">
      <c r="A65" s="420">
        <f t="shared" si="194"/>
        <v>112013992</v>
      </c>
      <c r="B65" s="93">
        <f t="shared" si="195"/>
        <v>22</v>
      </c>
      <c r="C65" s="558">
        <f t="shared" si="196"/>
        <v>0.1</v>
      </c>
      <c r="D65" s="558">
        <f t="shared" si="197"/>
        <v>0.09</v>
      </c>
      <c r="E65" s="559">
        <f t="shared" si="198"/>
        <v>0</v>
      </c>
      <c r="F65" s="547">
        <f t="shared" si="199"/>
        <v>63</v>
      </c>
      <c r="G65" s="699">
        <f t="shared" si="200"/>
        <v>0.1</v>
      </c>
      <c r="H65" s="702">
        <f t="shared" si="201"/>
        <v>0.05</v>
      </c>
      <c r="I65" s="423" t="s">
        <v>1325</v>
      </c>
      <c r="J65" s="326">
        <f>IFERROR(VLOOKUP(I65,MONTE24,3,FALSE),"")</f>
        <v>189589.49</v>
      </c>
      <c r="K65" s="121">
        <v>1800000</v>
      </c>
      <c r="L65" s="140">
        <f t="shared" si="8"/>
        <v>22661009.899999999</v>
      </c>
      <c r="M65" s="326">
        <f t="shared" si="202"/>
        <v>0</v>
      </c>
      <c r="N65" s="333">
        <f t="shared" si="203"/>
        <v>22661009.899999999</v>
      </c>
      <c r="O65" s="123">
        <f t="shared" si="11"/>
        <v>20861009.899999999</v>
      </c>
      <c r="P65" s="137">
        <f t="shared" si="12"/>
        <v>12.589449944444443</v>
      </c>
      <c r="Q65" s="326">
        <f t="shared" si="204"/>
        <v>214682.42</v>
      </c>
      <c r="R65" s="116">
        <v>1800000</v>
      </c>
      <c r="S65" s="116">
        <f t="shared" si="14"/>
        <v>14822013.890000001</v>
      </c>
      <c r="T65" s="326">
        <f t="shared" si="205"/>
        <v>64085.75</v>
      </c>
      <c r="U65" s="326">
        <f t="shared" si="206"/>
        <v>14886099.640000001</v>
      </c>
      <c r="V65" s="326">
        <f t="shared" si="17"/>
        <v>13086099.640000001</v>
      </c>
      <c r="W65" s="137">
        <f t="shared" si="18"/>
        <v>8.2700553555555558</v>
      </c>
      <c r="X65" s="326">
        <f t="shared" si="207"/>
        <v>250064.66</v>
      </c>
      <c r="Y65" s="121">
        <v>1800000</v>
      </c>
      <c r="Z65" s="113">
        <f t="shared" si="20"/>
        <v>429488.17</v>
      </c>
      <c r="AA65" s="116">
        <f t="shared" si="208"/>
        <v>0</v>
      </c>
      <c r="AB65" s="117">
        <f t="shared" si="209"/>
        <v>429488.17</v>
      </c>
      <c r="AC65" s="114"/>
      <c r="AD65" s="116"/>
      <c r="AE65" s="1257">
        <f t="shared" si="23"/>
        <v>5400000</v>
      </c>
      <c r="AF65" s="140">
        <f t="shared" si="210"/>
        <v>19834483.699999999</v>
      </c>
      <c r="AG65" s="326">
        <f t="shared" si="25"/>
        <v>37912511.960000001</v>
      </c>
      <c r="AH65" s="326">
        <f t="shared" ref="AH65:AI65" si="358">AA65+T65+M65</f>
        <v>64085.75</v>
      </c>
      <c r="AI65" s="326">
        <f t="shared" si="358"/>
        <v>37976597.710000001</v>
      </c>
      <c r="AJ65" s="326">
        <f t="shared" si="27"/>
        <v>18142114.010000002</v>
      </c>
      <c r="AK65" s="1258">
        <f t="shared" si="28"/>
        <v>1.9146753847694056</v>
      </c>
      <c r="AL65" s="125">
        <f t="shared" si="212"/>
        <v>4436080.8099999996</v>
      </c>
      <c r="AM65" s="140">
        <f t="shared" si="30"/>
        <v>5025625.3</v>
      </c>
      <c r="AN65" s="123">
        <f t="shared" si="213"/>
        <v>0</v>
      </c>
      <c r="AO65" s="148">
        <f t="shared" si="214"/>
        <v>5025625.3</v>
      </c>
      <c r="AP65" s="125">
        <f>IFERROR(VLOOKUP(I65,MONTE24,7,FALSE),"")</f>
        <v>396893.84</v>
      </c>
      <c r="AQ65" s="140">
        <f t="shared" si="33"/>
        <v>2643619.29</v>
      </c>
      <c r="AR65" s="326">
        <f t="shared" si="215"/>
        <v>144000.68</v>
      </c>
      <c r="AS65" s="333">
        <f t="shared" si="216"/>
        <v>2787619.97</v>
      </c>
      <c r="AT65" s="123">
        <f>IFERROR(VLOOKUP(I65,MONTE24,8,FALSE),"")</f>
        <v>1138832.96</v>
      </c>
      <c r="AU65" s="123">
        <f t="shared" si="36"/>
        <v>9697083.3900000006</v>
      </c>
      <c r="AV65" s="123">
        <f t="shared" si="217"/>
        <v>0</v>
      </c>
      <c r="AW65" s="125">
        <f t="shared" si="218"/>
        <v>9697083.3900000006</v>
      </c>
      <c r="AX65" s="122">
        <f t="shared" ref="AX65:AZ65" si="359">SUM(AU65,AQ65,AM65)</f>
        <v>17366327.98</v>
      </c>
      <c r="AY65" s="326">
        <f t="shared" si="359"/>
        <v>144000.68</v>
      </c>
      <c r="AZ65" s="332">
        <f t="shared" si="359"/>
        <v>17510328.66</v>
      </c>
      <c r="BA65" s="140">
        <f t="shared" ref="BA65:BC65" si="360">SUM(AX65,AG65)</f>
        <v>55278839.939999998</v>
      </c>
      <c r="BB65" s="326">
        <f t="shared" si="360"/>
        <v>208086.43</v>
      </c>
      <c r="BC65" s="435">
        <f t="shared" si="360"/>
        <v>55486926.370000005</v>
      </c>
      <c r="BD65" s="125">
        <f t="shared" si="221"/>
        <v>259319.02</v>
      </c>
      <c r="BE65" s="1166">
        <f t="shared" si="42"/>
        <v>0</v>
      </c>
      <c r="BF65" s="116">
        <f t="shared" si="222"/>
        <v>0</v>
      </c>
      <c r="BG65" s="121">
        <f t="shared" si="223"/>
        <v>0</v>
      </c>
      <c r="BH65" s="114">
        <f t="shared" si="224"/>
        <v>758328.57</v>
      </c>
      <c r="BI65" s="416">
        <f t="shared" si="46"/>
        <v>699959.33</v>
      </c>
      <c r="BJ65" s="121">
        <f t="shared" si="225"/>
        <v>0</v>
      </c>
      <c r="BK65" s="121">
        <f t="shared" si="226"/>
        <v>699959.33</v>
      </c>
      <c r="BL65" s="121">
        <f t="shared" si="227"/>
        <v>11553398.300000001</v>
      </c>
      <c r="BM65" s="113">
        <f t="shared" si="50"/>
        <v>9139280.5899999999</v>
      </c>
      <c r="BN65" s="116">
        <f t="shared" si="228"/>
        <v>0</v>
      </c>
      <c r="BO65" s="117">
        <f t="shared" si="229"/>
        <v>9139280.5899999999</v>
      </c>
      <c r="BP65" s="113">
        <f t="shared" si="53"/>
        <v>9839239.9199999999</v>
      </c>
      <c r="BQ65" s="116">
        <f t="shared" ref="BQ65:BR65" si="361">SUM(BN65,BJ65,BF65)</f>
        <v>0</v>
      </c>
      <c r="BR65" s="117">
        <f t="shared" si="361"/>
        <v>9839239.9199999999</v>
      </c>
      <c r="BS65" s="125">
        <f t="shared" si="231"/>
        <v>11235464.880000001</v>
      </c>
      <c r="BT65" s="140">
        <f t="shared" si="56"/>
        <v>673085.96</v>
      </c>
      <c r="BU65" s="123">
        <f t="shared" si="232"/>
        <v>0</v>
      </c>
      <c r="BV65" s="148">
        <f t="shared" si="233"/>
        <v>673085.96</v>
      </c>
      <c r="BW65" s="123">
        <f t="shared" si="234"/>
        <v>743400.95999999996</v>
      </c>
      <c r="BX65" s="326">
        <f t="shared" si="235"/>
        <v>7855617.8600000003</v>
      </c>
    </row>
    <row r="66" spans="1:76" ht="13">
      <c r="A66" s="420">
        <f t="shared" ref="A66:A97" si="362">VLOOKUP(I66,MONTECART4,3,FALSE)</f>
        <v>112012507</v>
      </c>
      <c r="B66" s="93">
        <f t="shared" ref="B66:B97" si="363">VLOOKUP(I66,MONTENCART2,2,FALSE)</f>
        <v>22</v>
      </c>
      <c r="C66" s="558">
        <f t="shared" ref="C66:C97" si="364">IFERROR(VLOOKUP(B66,DES,2,FALSE),"")</f>
        <v>0.1</v>
      </c>
      <c r="D66" s="558">
        <f t="shared" ref="D66:D97" si="365">IFERROR(VLOOKUP(B66,DES,3,FALSE),"")</f>
        <v>0.09</v>
      </c>
      <c r="E66" s="559">
        <f t="shared" ref="E66:E97" si="366">IFERROR(VLOOKUP(B66,DES,4,FALSE),"")</f>
        <v>0</v>
      </c>
      <c r="F66" s="547">
        <f t="shared" ref="F66:F97" si="367">VLOOKUP(I66,MONTECART4,2,FALSE)</f>
        <v>63</v>
      </c>
      <c r="G66" s="699">
        <f t="shared" ref="G66:G97" si="368">VLOOKUP(F66,A458DC1025,2,FALSE)</f>
        <v>0.1</v>
      </c>
      <c r="H66" s="702">
        <f t="shared" ref="H66:H97" si="369">VLOOKUP(F66,A458DC1025,3,FALSE)</f>
        <v>0.05</v>
      </c>
      <c r="I66" s="423" t="s">
        <v>1326</v>
      </c>
      <c r="J66" s="326"/>
      <c r="K66" s="121">
        <v>1800000</v>
      </c>
      <c r="L66" s="140" t="e">
        <f t="shared" si="8"/>
        <v>#VALUE!</v>
      </c>
      <c r="M66" s="326" t="str">
        <f t="shared" ref="M66:M97" si="370">IFERROR(VLOOKUP(I66,MONTENALIM,3,FALSE),"")</f>
        <v/>
      </c>
      <c r="N66" s="333">
        <f t="shared" ref="N66:N97" si="371">IFERROR(VLOOKUP(I66,MONTEFC,3,FALSE),"")</f>
        <v>0</v>
      </c>
      <c r="O66" s="123">
        <f t="shared" si="11"/>
        <v>-1800000</v>
      </c>
      <c r="P66" s="137">
        <f t="shared" si="12"/>
        <v>0</v>
      </c>
      <c r="Q66" s="326" t="str">
        <f t="shared" ref="Q66:Q91" si="372">IFERROR(VLOOKUP(I66,MONTE24,4,FALSE),"")</f>
        <v/>
      </c>
      <c r="R66" s="116">
        <v>1800000</v>
      </c>
      <c r="S66" s="116" t="e">
        <f t="shared" si="14"/>
        <v>#VALUE!</v>
      </c>
      <c r="T66" s="326" t="str">
        <f t="shared" ref="T66:T97" si="373">IFERROR(VLOOKUP(I66,MONTENALIM,4,FALSE),"")</f>
        <v/>
      </c>
      <c r="U66" s="326">
        <f t="shared" ref="U66:U97" si="374">IFERROR(VLOOKUP(I66,MONTEFC,4,FALSE),"")</f>
        <v>0</v>
      </c>
      <c r="V66" s="326">
        <f t="shared" si="17"/>
        <v>-1800000</v>
      </c>
      <c r="W66" s="137">
        <f t="shared" si="18"/>
        <v>0</v>
      </c>
      <c r="X66" s="326" t="str">
        <f t="shared" ref="X66:X91" si="375">IFERROR(VLOOKUP(I66,MONTE24,5,FALSE),"")</f>
        <v/>
      </c>
      <c r="Y66" s="121">
        <v>1800000</v>
      </c>
      <c r="Z66" s="113" t="e">
        <f t="shared" si="20"/>
        <v>#VALUE!</v>
      </c>
      <c r="AA66" s="116" t="str">
        <f t="shared" ref="AA66:AA97" si="376">IFERROR(VLOOKUP(I66,MONTENALIM,5,FALSE),"")</f>
        <v/>
      </c>
      <c r="AB66" s="117">
        <f t="shared" ref="AB66:AB97" si="377">IFERROR(VLOOKUP(I66,MONTEFC,5,FALSE),"")</f>
        <v>0</v>
      </c>
      <c r="AC66" s="114"/>
      <c r="AD66" s="116"/>
      <c r="AE66" s="1257">
        <f t="shared" si="23"/>
        <v>5400000</v>
      </c>
      <c r="AF66" s="140" t="str">
        <f t="shared" ref="AF66:AF97" si="378">IFERROR(VLOOKUP(I66,trim2024,2,FALSE),"0")</f>
        <v>0</v>
      </c>
      <c r="AG66" s="326" t="e">
        <f t="shared" si="25"/>
        <v>#VALUE!</v>
      </c>
      <c r="AH66" s="326" t="e">
        <f t="shared" ref="AH66:AI66" si="379">AA66+T66+M66</f>
        <v>#VALUE!</v>
      </c>
      <c r="AI66" s="326">
        <f t="shared" si="379"/>
        <v>0</v>
      </c>
      <c r="AJ66" s="326">
        <f t="shared" si="27"/>
        <v>0</v>
      </c>
      <c r="AK66" s="1258" t="str">
        <f t="shared" si="28"/>
        <v/>
      </c>
      <c r="AL66" s="125"/>
      <c r="AM66" s="140" t="e">
        <f t="shared" si="30"/>
        <v>#VALUE!</v>
      </c>
      <c r="AN66" s="123" t="str">
        <f t="shared" ref="AN66:AN97" si="380">IFERROR(VLOOKUP(I66,MONTENALIM,6,FALSE),"")</f>
        <v/>
      </c>
      <c r="AO66" s="148">
        <f t="shared" ref="AO66:AO97" si="381">IFERROR(VLOOKUP(I66,MONTEFC,6,FALSE),"")</f>
        <v>0</v>
      </c>
      <c r="AP66" s="125"/>
      <c r="AQ66" s="140" t="e">
        <f t="shared" si="33"/>
        <v>#VALUE!</v>
      </c>
      <c r="AR66" s="326" t="str">
        <f t="shared" ref="AR66:AR97" si="382">IFERROR(VLOOKUP(I66,MONTENALIM,7,FALSE),"")</f>
        <v/>
      </c>
      <c r="AS66" s="333">
        <f t="shared" ref="AS66:AS97" si="383">IFERROR(VLOOKUP(I66,MONTEFC,7,FALSE),"")</f>
        <v>0</v>
      </c>
      <c r="AT66" s="123"/>
      <c r="AU66" s="123" t="e">
        <f t="shared" si="36"/>
        <v>#VALUE!</v>
      </c>
      <c r="AV66" s="123" t="str">
        <f t="shared" ref="AV66:AV97" si="384">IFERROR(VLOOKUP(I66,MONTENALIM,8,FALSE),"")</f>
        <v/>
      </c>
      <c r="AW66" s="125">
        <f t="shared" ref="AW66:AW97" si="385">IFERROR(VLOOKUP(I66,MONTEFC,8,FALSE),"")</f>
        <v>292485.43</v>
      </c>
      <c r="AX66" s="122" t="e">
        <f t="shared" ref="AX66:AZ66" si="386">SUM(AU66,AQ66,AM66)</f>
        <v>#VALUE!</v>
      </c>
      <c r="AY66" s="326">
        <f t="shared" si="386"/>
        <v>0</v>
      </c>
      <c r="AZ66" s="332">
        <f t="shared" si="386"/>
        <v>292485.43</v>
      </c>
      <c r="BA66" s="140" t="e">
        <f t="shared" ref="BA66:BC66" si="387">SUM(AX66,AG66)</f>
        <v>#VALUE!</v>
      </c>
      <c r="BB66" s="326" t="e">
        <f t="shared" si="387"/>
        <v>#VALUE!</v>
      </c>
      <c r="BC66" s="435">
        <f t="shared" si="387"/>
        <v>292485.43</v>
      </c>
      <c r="BD66" s="125" t="str">
        <f t="shared" ref="BD66:BD97" si="388">IFERROR(VLOOKUP(I66,MONTE24,9,FALSE),"")</f>
        <v/>
      </c>
      <c r="BE66" s="1166" t="e">
        <f t="shared" si="42"/>
        <v>#VALUE!</v>
      </c>
      <c r="BF66" s="116" t="str">
        <f t="shared" ref="BF66:BF97" si="389">IFERROR(VLOOKUP(I66,MONTENALIM,9,FALSE),"")</f>
        <v/>
      </c>
      <c r="BG66" s="121">
        <f t="shared" ref="BG66:BG97" si="390">IFERROR(VLOOKUP(I66,MONTEFC,9,FALSE),"")</f>
        <v>767329.01</v>
      </c>
      <c r="BH66" s="114" t="str">
        <f t="shared" ref="BH66:BH97" si="391">IFERROR(VLOOKUP(I66,MONTE24,10,FALSE),"")</f>
        <v/>
      </c>
      <c r="BI66" s="416" t="e">
        <f t="shared" si="46"/>
        <v>#VALUE!</v>
      </c>
      <c r="BJ66" s="121" t="str">
        <f t="shared" ref="BJ66:BJ97" si="392">IFERROR(VLOOKUP(I66,MONTENALIM,10,FALSE),"")</f>
        <v/>
      </c>
      <c r="BK66" s="121">
        <f t="shared" ref="BK66:BK97" si="393">IFERROR(VLOOKUP(I66,MONTEFC,10,FALSE),"")</f>
        <v>862558.5</v>
      </c>
      <c r="BL66" s="121" t="str">
        <f t="shared" ref="BL66:BL97" si="394">IFERROR(VLOOKUP(I66,MONTE24,11,FALSE),"")</f>
        <v/>
      </c>
      <c r="BM66" s="113" t="e">
        <f t="shared" si="50"/>
        <v>#VALUE!</v>
      </c>
      <c r="BN66" s="116" t="str">
        <f t="shared" ref="BN66:BN97" si="395">IFERROR(VLOOKUP(I66,MONTENALIM,11,FALSE),"")</f>
        <v/>
      </c>
      <c r="BO66" s="117">
        <f t="shared" ref="BO66:BO97" si="396">IFERROR(VLOOKUP(I66,MONTEFC,11,FALSE),"")</f>
        <v>925451.79</v>
      </c>
      <c r="BP66" s="113">
        <f t="shared" si="53"/>
        <v>2555339.2999999998</v>
      </c>
      <c r="BQ66" s="116">
        <f t="shared" ref="BQ66:BR66" si="397">SUM(BN66,BJ66,BF66)</f>
        <v>0</v>
      </c>
      <c r="BR66" s="117">
        <f t="shared" si="397"/>
        <v>2555339.2999999998</v>
      </c>
      <c r="BS66" s="125" t="str">
        <f t="shared" ref="BS66:BS97" si="398">IFERROR(VLOOKUP(I66,MONTE24,12,FALSE),"")</f>
        <v/>
      </c>
      <c r="BT66" s="140" t="e">
        <f t="shared" si="56"/>
        <v>#VALUE!</v>
      </c>
      <c r="BU66" s="123" t="str">
        <f t="shared" ref="BU66:BU97" si="399">IFERROR(VLOOKUP(I66,MONTENALIM,12,FALSE),"")</f>
        <v/>
      </c>
      <c r="BV66" s="148">
        <f t="shared" ref="BV66:BV97" si="400">IFERROR(VLOOKUP(I66,MONTEFC,12,FALSE),"")</f>
        <v>0</v>
      </c>
      <c r="BW66" s="123" t="str">
        <f t="shared" ref="BW66:BW97" si="401">IFERROR(VLOOKUP(I66,MONTE24,13,FALSE),"")</f>
        <v/>
      </c>
      <c r="BX66" s="326" t="str">
        <f t="shared" ref="BX66:BX97" si="402">IFERROR(VLOOKUP(I66,MONTE24,14,FALSE),"")</f>
        <v/>
      </c>
    </row>
    <row r="67" spans="1:76" ht="13">
      <c r="A67" s="420">
        <f t="shared" si="362"/>
        <v>112010112</v>
      </c>
      <c r="B67" s="93">
        <f t="shared" si="363"/>
        <v>22</v>
      </c>
      <c r="C67" s="558">
        <f t="shared" si="364"/>
        <v>0.1</v>
      </c>
      <c r="D67" s="558">
        <f t="shared" si="365"/>
        <v>0.09</v>
      </c>
      <c r="E67" s="559">
        <f t="shared" si="366"/>
        <v>0</v>
      </c>
      <c r="F67" s="547">
        <f t="shared" si="367"/>
        <v>63</v>
      </c>
      <c r="G67" s="699">
        <f t="shared" si="368"/>
        <v>0.1</v>
      </c>
      <c r="H67" s="702">
        <f t="shared" si="369"/>
        <v>0.05</v>
      </c>
      <c r="I67" s="423" t="s">
        <v>1327</v>
      </c>
      <c r="J67" s="326">
        <f>IFERROR(VLOOKUP(I67,MONTE24,3,FALSE),"")</f>
        <v>0</v>
      </c>
      <c r="K67" s="121">
        <v>1800000</v>
      </c>
      <c r="L67" s="140" t="e">
        <f t="shared" si="8"/>
        <v>#VALUE!</v>
      </c>
      <c r="M67" s="326" t="str">
        <f t="shared" si="370"/>
        <v/>
      </c>
      <c r="N67" s="333">
        <f t="shared" si="371"/>
        <v>0</v>
      </c>
      <c r="O67" s="123">
        <f t="shared" si="11"/>
        <v>-1800000</v>
      </c>
      <c r="P67" s="137">
        <f t="shared" si="12"/>
        <v>0</v>
      </c>
      <c r="Q67" s="326">
        <f t="shared" si="372"/>
        <v>0</v>
      </c>
      <c r="R67" s="116">
        <v>1800000</v>
      </c>
      <c r="S67" s="116" t="e">
        <f t="shared" si="14"/>
        <v>#VALUE!</v>
      </c>
      <c r="T67" s="326" t="str">
        <f t="shared" si="373"/>
        <v/>
      </c>
      <c r="U67" s="326">
        <f t="shared" si="374"/>
        <v>522418.22</v>
      </c>
      <c r="V67" s="326">
        <f t="shared" si="17"/>
        <v>-1277581.78</v>
      </c>
      <c r="W67" s="137">
        <f t="shared" si="18"/>
        <v>0.29023234444444446</v>
      </c>
      <c r="X67" s="326">
        <f t="shared" si="375"/>
        <v>0</v>
      </c>
      <c r="Y67" s="121">
        <v>1800000</v>
      </c>
      <c r="Z67" s="113" t="e">
        <f t="shared" si="20"/>
        <v>#VALUE!</v>
      </c>
      <c r="AA67" s="116" t="str">
        <f t="shared" si="376"/>
        <v/>
      </c>
      <c r="AB67" s="117">
        <f t="shared" si="377"/>
        <v>785550.44</v>
      </c>
      <c r="AC67" s="114"/>
      <c r="AD67" s="116"/>
      <c r="AE67" s="1257">
        <f t="shared" si="23"/>
        <v>5400000</v>
      </c>
      <c r="AF67" s="140">
        <f t="shared" si="378"/>
        <v>3019841.53</v>
      </c>
      <c r="AG67" s="326" t="e">
        <f t="shared" si="25"/>
        <v>#VALUE!</v>
      </c>
      <c r="AH67" s="326" t="e">
        <f t="shared" ref="AH67:AI67" si="403">AA67+T67+M67</f>
        <v>#VALUE!</v>
      </c>
      <c r="AI67" s="326">
        <f t="shared" si="403"/>
        <v>1307968.6599999999</v>
      </c>
      <c r="AJ67" s="326">
        <f t="shared" si="27"/>
        <v>-1711872.8699999999</v>
      </c>
      <c r="AK67" s="1258">
        <f t="shared" si="28"/>
        <v>0.43312493288348147</v>
      </c>
      <c r="AL67" s="125">
        <f t="shared" ref="AL67:AL91" si="404">IFERROR(VLOOKUP(I67,MONTE24,6,FALSE),"")</f>
        <v>0</v>
      </c>
      <c r="AM67" s="140" t="e">
        <f t="shared" si="30"/>
        <v>#VALUE!</v>
      </c>
      <c r="AN67" s="123" t="str">
        <f t="shared" si="380"/>
        <v/>
      </c>
      <c r="AO67" s="148">
        <f t="shared" si="381"/>
        <v>0</v>
      </c>
      <c r="AP67" s="125">
        <f>IFERROR(VLOOKUP(I67,MONTE24,7,FALSE),"")</f>
        <v>0</v>
      </c>
      <c r="AQ67" s="140" t="e">
        <f t="shared" si="33"/>
        <v>#VALUE!</v>
      </c>
      <c r="AR67" s="326" t="str">
        <f t="shared" si="382"/>
        <v/>
      </c>
      <c r="AS67" s="333">
        <f t="shared" si="383"/>
        <v>0</v>
      </c>
      <c r="AT67" s="123">
        <f>IFERROR(VLOOKUP(I67,MONTE24,8,FALSE),"")</f>
        <v>0</v>
      </c>
      <c r="AU67" s="123" t="e">
        <f t="shared" si="36"/>
        <v>#VALUE!</v>
      </c>
      <c r="AV67" s="123" t="str">
        <f t="shared" si="384"/>
        <v/>
      </c>
      <c r="AW67" s="125">
        <f t="shared" si="385"/>
        <v>906557.02</v>
      </c>
      <c r="AX67" s="122" t="e">
        <f t="shared" ref="AX67:AZ67" si="405">SUM(AU67,AQ67,AM67)</f>
        <v>#VALUE!</v>
      </c>
      <c r="AY67" s="326">
        <f t="shared" si="405"/>
        <v>0</v>
      </c>
      <c r="AZ67" s="332">
        <f t="shared" si="405"/>
        <v>906557.02</v>
      </c>
      <c r="BA67" s="140" t="e">
        <f t="shared" ref="BA67:BC67" si="406">SUM(AX67,AG67)</f>
        <v>#VALUE!</v>
      </c>
      <c r="BB67" s="326" t="e">
        <f t="shared" si="406"/>
        <v>#VALUE!</v>
      </c>
      <c r="BC67" s="435">
        <f t="shared" si="406"/>
        <v>2214525.6799999997</v>
      </c>
      <c r="BD67" s="125">
        <f t="shared" si="388"/>
        <v>0</v>
      </c>
      <c r="BE67" s="1166" t="e">
        <f t="shared" si="42"/>
        <v>#VALUE!</v>
      </c>
      <c r="BF67" s="116" t="str">
        <f t="shared" si="389"/>
        <v/>
      </c>
      <c r="BG67" s="121">
        <f t="shared" si="390"/>
        <v>3173818.38</v>
      </c>
      <c r="BH67" s="114">
        <f t="shared" si="391"/>
        <v>0</v>
      </c>
      <c r="BI67" s="416" t="e">
        <f t="shared" si="46"/>
        <v>#VALUE!</v>
      </c>
      <c r="BJ67" s="121" t="str">
        <f t="shared" si="392"/>
        <v/>
      </c>
      <c r="BK67" s="121">
        <f t="shared" si="393"/>
        <v>0</v>
      </c>
      <c r="BL67" s="121">
        <f t="shared" si="394"/>
        <v>1846054.67</v>
      </c>
      <c r="BM67" s="113" t="e">
        <f t="shared" si="50"/>
        <v>#VALUE!</v>
      </c>
      <c r="BN67" s="116" t="str">
        <f t="shared" si="395"/>
        <v/>
      </c>
      <c r="BO67" s="117">
        <f t="shared" si="396"/>
        <v>0</v>
      </c>
      <c r="BP67" s="113">
        <f t="shared" si="53"/>
        <v>3173818.38</v>
      </c>
      <c r="BQ67" s="116">
        <f t="shared" ref="BQ67:BR67" si="407">SUM(BN67,BJ67,BF67)</f>
        <v>0</v>
      </c>
      <c r="BR67" s="117">
        <f t="shared" si="407"/>
        <v>3173818.38</v>
      </c>
      <c r="BS67" s="125">
        <f t="shared" si="398"/>
        <v>1289165.4099999999</v>
      </c>
      <c r="BT67" s="140" t="e">
        <f t="shared" si="56"/>
        <v>#VALUE!</v>
      </c>
      <c r="BU67" s="123" t="str">
        <f t="shared" si="399"/>
        <v/>
      </c>
      <c r="BV67" s="148">
        <f t="shared" si="400"/>
        <v>0</v>
      </c>
      <c r="BW67" s="123">
        <f t="shared" si="401"/>
        <v>-40902.839999999997</v>
      </c>
      <c r="BX67" s="326">
        <f t="shared" si="402"/>
        <v>1771578.96</v>
      </c>
    </row>
    <row r="68" spans="1:76" ht="13">
      <c r="A68" s="420">
        <f t="shared" si="362"/>
        <v>112012820</v>
      </c>
      <c r="B68" s="93" t="e">
        <f t="shared" si="363"/>
        <v>#N/A</v>
      </c>
      <c r="C68" s="558" t="str">
        <f t="shared" si="364"/>
        <v/>
      </c>
      <c r="D68" s="558" t="str">
        <f t="shared" si="365"/>
        <v/>
      </c>
      <c r="E68" s="559" t="str">
        <f t="shared" si="366"/>
        <v/>
      </c>
      <c r="F68" s="547">
        <f t="shared" si="367"/>
        <v>63</v>
      </c>
      <c r="G68" s="699">
        <f t="shared" si="368"/>
        <v>0.1</v>
      </c>
      <c r="H68" s="702">
        <f t="shared" si="369"/>
        <v>0.05</v>
      </c>
      <c r="I68" s="423" t="s">
        <v>1328</v>
      </c>
      <c r="J68" s="326" t="str">
        <f>IFERROR(VLOOKUP(I68,MONTE24,3,FALSE),"")</f>
        <v/>
      </c>
      <c r="K68" s="121">
        <v>1800000</v>
      </c>
      <c r="L68" s="140" t="e">
        <f t="shared" si="8"/>
        <v>#VALUE!</v>
      </c>
      <c r="M68" s="326" t="str">
        <f t="shared" si="370"/>
        <v/>
      </c>
      <c r="N68" s="333" t="str">
        <f t="shared" si="371"/>
        <v/>
      </c>
      <c r="O68" s="123" t="e">
        <f t="shared" si="11"/>
        <v>#VALUE!</v>
      </c>
      <c r="P68" s="137" t="e">
        <f t="shared" si="12"/>
        <v>#VALUE!</v>
      </c>
      <c r="Q68" s="326" t="str">
        <f t="shared" si="372"/>
        <v/>
      </c>
      <c r="R68" s="116">
        <v>1800000</v>
      </c>
      <c r="S68" s="116" t="e">
        <f t="shared" si="14"/>
        <v>#VALUE!</v>
      </c>
      <c r="T68" s="326" t="str">
        <f t="shared" si="373"/>
        <v/>
      </c>
      <c r="U68" s="326" t="str">
        <f t="shared" si="374"/>
        <v/>
      </c>
      <c r="V68" s="326" t="e">
        <f t="shared" si="17"/>
        <v>#VALUE!</v>
      </c>
      <c r="W68" s="137" t="e">
        <f t="shared" si="18"/>
        <v>#VALUE!</v>
      </c>
      <c r="X68" s="326" t="str">
        <f t="shared" si="375"/>
        <v/>
      </c>
      <c r="Y68" s="121">
        <v>1800000</v>
      </c>
      <c r="Z68" s="113" t="e">
        <f t="shared" si="20"/>
        <v>#VALUE!</v>
      </c>
      <c r="AA68" s="116" t="str">
        <f t="shared" si="376"/>
        <v/>
      </c>
      <c r="AB68" s="117" t="str">
        <f t="shared" si="377"/>
        <v/>
      </c>
      <c r="AC68" s="114"/>
      <c r="AD68" s="116"/>
      <c r="AE68" s="1257">
        <f t="shared" si="23"/>
        <v>5400000</v>
      </c>
      <c r="AF68" s="140" t="str">
        <f t="shared" si="378"/>
        <v>0</v>
      </c>
      <c r="AG68" s="326" t="e">
        <f t="shared" si="25"/>
        <v>#VALUE!</v>
      </c>
      <c r="AH68" s="326" t="e">
        <f t="shared" ref="AH68:AI68" si="408">AA68+T68+M68</f>
        <v>#VALUE!</v>
      </c>
      <c r="AI68" s="326" t="e">
        <f t="shared" si="408"/>
        <v>#VALUE!</v>
      </c>
      <c r="AJ68" s="326" t="e">
        <f t="shared" si="27"/>
        <v>#VALUE!</v>
      </c>
      <c r="AK68" s="1258" t="str">
        <f t="shared" si="28"/>
        <v/>
      </c>
      <c r="AL68" s="125" t="str">
        <f t="shared" si="404"/>
        <v/>
      </c>
      <c r="AM68" s="140" t="e">
        <f t="shared" si="30"/>
        <v>#VALUE!</v>
      </c>
      <c r="AN68" s="123" t="str">
        <f t="shared" si="380"/>
        <v/>
      </c>
      <c r="AO68" s="148" t="str">
        <f t="shared" si="381"/>
        <v/>
      </c>
      <c r="AP68" s="125" t="str">
        <f>IFERROR(VLOOKUP(I68,MONTE24,7,FALSE),"")</f>
        <v/>
      </c>
      <c r="AQ68" s="140" t="e">
        <f t="shared" si="33"/>
        <v>#VALUE!</v>
      </c>
      <c r="AR68" s="326" t="str">
        <f t="shared" si="382"/>
        <v/>
      </c>
      <c r="AS68" s="333" t="str">
        <f t="shared" si="383"/>
        <v/>
      </c>
      <c r="AT68" s="123" t="str">
        <f>IFERROR(VLOOKUP(I68,MONTE24,8,FALSE),"")</f>
        <v/>
      </c>
      <c r="AU68" s="123" t="e">
        <f t="shared" si="36"/>
        <v>#VALUE!</v>
      </c>
      <c r="AV68" s="123" t="str">
        <f t="shared" si="384"/>
        <v/>
      </c>
      <c r="AW68" s="125" t="str">
        <f t="shared" si="385"/>
        <v/>
      </c>
      <c r="AX68" s="122" t="e">
        <f t="shared" ref="AX68:AZ68" si="409">SUM(AU68,AQ68,AM68)</f>
        <v>#VALUE!</v>
      </c>
      <c r="AY68" s="326">
        <f t="shared" si="409"/>
        <v>0</v>
      </c>
      <c r="AZ68" s="332">
        <f t="shared" si="409"/>
        <v>0</v>
      </c>
      <c r="BA68" s="140" t="e">
        <f t="shared" ref="BA68:BC68" si="410">SUM(AX68,AG68)</f>
        <v>#VALUE!</v>
      </c>
      <c r="BB68" s="326" t="e">
        <f t="shared" si="410"/>
        <v>#VALUE!</v>
      </c>
      <c r="BC68" s="435" t="e">
        <f t="shared" si="410"/>
        <v>#VALUE!</v>
      </c>
      <c r="BD68" s="125" t="str">
        <f t="shared" si="388"/>
        <v/>
      </c>
      <c r="BE68" s="1166" t="e">
        <f t="shared" si="42"/>
        <v>#VALUE!</v>
      </c>
      <c r="BF68" s="116" t="str">
        <f t="shared" si="389"/>
        <v/>
      </c>
      <c r="BG68" s="121" t="str">
        <f t="shared" si="390"/>
        <v/>
      </c>
      <c r="BH68" s="114" t="str">
        <f t="shared" si="391"/>
        <v/>
      </c>
      <c r="BI68" s="416" t="e">
        <f t="shared" si="46"/>
        <v>#VALUE!</v>
      </c>
      <c r="BJ68" s="121" t="str">
        <f t="shared" si="392"/>
        <v/>
      </c>
      <c r="BK68" s="121" t="str">
        <f t="shared" si="393"/>
        <v/>
      </c>
      <c r="BL68" s="121" t="str">
        <f t="shared" si="394"/>
        <v/>
      </c>
      <c r="BM68" s="113" t="e">
        <f t="shared" si="50"/>
        <v>#VALUE!</v>
      </c>
      <c r="BN68" s="116" t="str">
        <f t="shared" si="395"/>
        <v/>
      </c>
      <c r="BO68" s="117" t="str">
        <f t="shared" si="396"/>
        <v/>
      </c>
      <c r="BP68" s="113">
        <f t="shared" si="53"/>
        <v>0</v>
      </c>
      <c r="BQ68" s="116">
        <f t="shared" ref="BQ68:BR68" si="411">SUM(BN68,BJ68,BF68)</f>
        <v>0</v>
      </c>
      <c r="BR68" s="117">
        <f t="shared" si="411"/>
        <v>0</v>
      </c>
      <c r="BS68" s="125" t="str">
        <f t="shared" si="398"/>
        <v/>
      </c>
      <c r="BT68" s="140" t="e">
        <f t="shared" si="56"/>
        <v>#VALUE!</v>
      </c>
      <c r="BU68" s="123" t="str">
        <f t="shared" si="399"/>
        <v/>
      </c>
      <c r="BV68" s="148" t="str">
        <f t="shared" si="400"/>
        <v/>
      </c>
      <c r="BW68" s="123" t="str">
        <f t="shared" si="401"/>
        <v/>
      </c>
      <c r="BX68" s="326" t="str">
        <f t="shared" si="402"/>
        <v/>
      </c>
    </row>
    <row r="69" spans="1:76" ht="13">
      <c r="A69" s="420">
        <f t="shared" si="362"/>
        <v>112013754</v>
      </c>
      <c r="B69" s="93">
        <f t="shared" si="363"/>
        <v>18</v>
      </c>
      <c r="C69" s="558" t="str">
        <f t="shared" si="364"/>
        <v>Lista</v>
      </c>
      <c r="D69" s="558">
        <f t="shared" si="365"/>
        <v>0.23</v>
      </c>
      <c r="E69" s="559">
        <f t="shared" si="366"/>
        <v>0</v>
      </c>
      <c r="F69" s="547">
        <f t="shared" si="367"/>
        <v>69</v>
      </c>
      <c r="G69" s="699" t="str">
        <f t="shared" si="368"/>
        <v>Lista</v>
      </c>
      <c r="H69" s="702">
        <f t="shared" si="369"/>
        <v>0.14000000000000001</v>
      </c>
      <c r="I69" s="423" t="s">
        <v>1329</v>
      </c>
      <c r="J69" s="326">
        <f>IFERROR(VLOOKUP(I69,MONTE24,3,FALSE),"")</f>
        <v>1042526.26</v>
      </c>
      <c r="K69" s="121">
        <v>3000000</v>
      </c>
      <c r="L69" s="140">
        <f t="shared" si="8"/>
        <v>181182.68999999994</v>
      </c>
      <c r="M69" s="326">
        <f t="shared" si="370"/>
        <v>3955675.48</v>
      </c>
      <c r="N69" s="333">
        <f t="shared" si="371"/>
        <v>4136858.17</v>
      </c>
      <c r="O69" s="123">
        <f t="shared" si="11"/>
        <v>1136858.17</v>
      </c>
      <c r="P69" s="137">
        <f t="shared" si="12"/>
        <v>1.3789527233333334</v>
      </c>
      <c r="Q69" s="326">
        <f t="shared" si="372"/>
        <v>2474521.96</v>
      </c>
      <c r="R69" s="116">
        <f>(Q69*1.7245)*1.05</f>
        <v>4480678.7760209991</v>
      </c>
      <c r="S69" s="116">
        <f t="shared" si="14"/>
        <v>825891.60000000009</v>
      </c>
      <c r="T69" s="326">
        <f t="shared" si="373"/>
        <v>3254255.8</v>
      </c>
      <c r="U69" s="326">
        <f t="shared" si="374"/>
        <v>4080147.4</v>
      </c>
      <c r="V69" s="326">
        <f t="shared" si="17"/>
        <v>-400531.37602099916</v>
      </c>
      <c r="W69" s="137">
        <f t="shared" si="18"/>
        <v>0.91060921881646573</v>
      </c>
      <c r="X69" s="326">
        <f t="shared" si="375"/>
        <v>4530569.57</v>
      </c>
      <c r="Y69" s="121">
        <f>(X69*1.5955)*1.05</f>
        <v>7589949.9363817507</v>
      </c>
      <c r="Z69" s="113">
        <f t="shared" si="20"/>
        <v>0</v>
      </c>
      <c r="AA69" s="116">
        <f t="shared" si="376"/>
        <v>1334513.49</v>
      </c>
      <c r="AB69" s="117">
        <f t="shared" si="377"/>
        <v>1334513.49</v>
      </c>
      <c r="AC69" s="114"/>
      <c r="AD69" s="116"/>
      <c r="AE69" s="1257">
        <f t="shared" si="23"/>
        <v>15070628.71240275</v>
      </c>
      <c r="AF69" s="140">
        <f t="shared" si="378"/>
        <v>8781854.0899999999</v>
      </c>
      <c r="AG69" s="326">
        <f t="shared" si="25"/>
        <v>1007074.2899999991</v>
      </c>
      <c r="AH69" s="326">
        <f t="shared" ref="AH69:AI69" si="412">AA69+T69+M69</f>
        <v>8544444.7699999996</v>
      </c>
      <c r="AI69" s="326">
        <f t="shared" si="412"/>
        <v>9551519.0599999987</v>
      </c>
      <c r="AJ69" s="326">
        <f t="shared" si="27"/>
        <v>769664.96999999881</v>
      </c>
      <c r="AK69" s="1258">
        <f t="shared" si="28"/>
        <v>1.0876426506421264</v>
      </c>
      <c r="AL69" s="125">
        <f t="shared" si="404"/>
        <v>2555883.9700000002</v>
      </c>
      <c r="AM69" s="140">
        <f t="shared" si="30"/>
        <v>408408</v>
      </c>
      <c r="AN69" s="123">
        <f t="shared" si="380"/>
        <v>4957931.16</v>
      </c>
      <c r="AO69" s="148">
        <f t="shared" si="381"/>
        <v>5366339.16</v>
      </c>
      <c r="AP69" s="125">
        <f>IFERROR(VLOOKUP(I69,MONTE24,7,FALSE),"")</f>
        <v>1770576.43</v>
      </c>
      <c r="AQ69" s="140">
        <f t="shared" si="33"/>
        <v>0</v>
      </c>
      <c r="AR69" s="326">
        <f t="shared" si="382"/>
        <v>2219853.41</v>
      </c>
      <c r="AS69" s="333">
        <f t="shared" si="383"/>
        <v>2219853.41</v>
      </c>
      <c r="AT69" s="123">
        <f>IFERROR(VLOOKUP(I69,MONTE24,8,FALSE),"")</f>
        <v>1486299.38</v>
      </c>
      <c r="AU69" s="123">
        <f t="shared" si="36"/>
        <v>0</v>
      </c>
      <c r="AV69" s="123">
        <f t="shared" si="384"/>
        <v>3747675.32</v>
      </c>
      <c r="AW69" s="125">
        <f t="shared" si="385"/>
        <v>3747675.32</v>
      </c>
      <c r="AX69" s="122">
        <f t="shared" ref="AX69:AZ69" si="413">SUM(AU69,AQ69,AM69)</f>
        <v>408408</v>
      </c>
      <c r="AY69" s="326">
        <f t="shared" si="413"/>
        <v>10925459.890000001</v>
      </c>
      <c r="AZ69" s="332">
        <f t="shared" si="413"/>
        <v>11333867.890000001</v>
      </c>
      <c r="BA69" s="140">
        <f t="shared" ref="BA69:BC69" si="414">SUM(AX69,AG69)</f>
        <v>1415482.2899999991</v>
      </c>
      <c r="BB69" s="326">
        <f t="shared" si="414"/>
        <v>19469904.66</v>
      </c>
      <c r="BC69" s="435">
        <f t="shared" si="414"/>
        <v>20885386.949999999</v>
      </c>
      <c r="BD69" s="125">
        <f t="shared" si="388"/>
        <v>2357876.67</v>
      </c>
      <c r="BE69" s="1166">
        <f t="shared" si="42"/>
        <v>0</v>
      </c>
      <c r="BF69" s="116">
        <f t="shared" si="389"/>
        <v>4088562.29</v>
      </c>
      <c r="BG69" s="121">
        <f t="shared" si="390"/>
        <v>4088562.29</v>
      </c>
      <c r="BH69" s="114">
        <f t="shared" si="391"/>
        <v>2062404.07</v>
      </c>
      <c r="BI69" s="416">
        <f t="shared" si="46"/>
        <v>227298.5</v>
      </c>
      <c r="BJ69" s="121">
        <f t="shared" si="392"/>
        <v>4086787.83</v>
      </c>
      <c r="BK69" s="121">
        <f t="shared" si="393"/>
        <v>4314086.33</v>
      </c>
      <c r="BL69" s="121">
        <f t="shared" si="394"/>
        <v>1434004.48</v>
      </c>
      <c r="BM69" s="113">
        <f t="shared" si="50"/>
        <v>0</v>
      </c>
      <c r="BN69" s="116">
        <f t="shared" si="395"/>
        <v>4004568.37</v>
      </c>
      <c r="BO69" s="117">
        <f t="shared" si="396"/>
        <v>4004568.37</v>
      </c>
      <c r="BP69" s="113">
        <f t="shared" si="53"/>
        <v>227298.5</v>
      </c>
      <c r="BQ69" s="116">
        <f t="shared" ref="BQ69:BR69" si="415">SUM(BN69,BJ69,BF69)</f>
        <v>12179918.49</v>
      </c>
      <c r="BR69" s="117">
        <f t="shared" si="415"/>
        <v>12407216.99</v>
      </c>
      <c r="BS69" s="125">
        <f t="shared" si="398"/>
        <v>2150300.4900000002</v>
      </c>
      <c r="BT69" s="140">
        <f t="shared" si="56"/>
        <v>0</v>
      </c>
      <c r="BU69" s="123">
        <f t="shared" si="399"/>
        <v>523977.73</v>
      </c>
      <c r="BV69" s="148">
        <f t="shared" si="400"/>
        <v>523977.73</v>
      </c>
      <c r="BW69" s="123">
        <f t="shared" si="401"/>
        <v>5052113.03</v>
      </c>
      <c r="BX69" s="326">
        <f t="shared" si="402"/>
        <v>1579440.58</v>
      </c>
    </row>
    <row r="70" spans="1:76" ht="13">
      <c r="A70" s="420">
        <f t="shared" si="362"/>
        <v>112013473</v>
      </c>
      <c r="B70" s="93">
        <f t="shared" si="363"/>
        <v>18</v>
      </c>
      <c r="C70" s="558" t="str">
        <f t="shared" si="364"/>
        <v>Lista</v>
      </c>
      <c r="D70" s="558">
        <f t="shared" si="365"/>
        <v>0.23</v>
      </c>
      <c r="E70" s="559">
        <f t="shared" si="366"/>
        <v>0</v>
      </c>
      <c r="F70" s="547">
        <f t="shared" si="367"/>
        <v>69</v>
      </c>
      <c r="G70" s="699" t="str">
        <f t="shared" si="368"/>
        <v>Lista</v>
      </c>
      <c r="H70" s="702">
        <f t="shared" si="369"/>
        <v>0.14000000000000001</v>
      </c>
      <c r="I70" s="423" t="s">
        <v>1330</v>
      </c>
      <c r="J70" s="326"/>
      <c r="K70" s="121"/>
      <c r="L70" s="140">
        <f t="shared" si="8"/>
        <v>0</v>
      </c>
      <c r="M70" s="326">
        <f t="shared" si="370"/>
        <v>0</v>
      </c>
      <c r="N70" s="333">
        <f t="shared" si="371"/>
        <v>0</v>
      </c>
      <c r="O70" s="123">
        <f t="shared" si="11"/>
        <v>0</v>
      </c>
      <c r="P70" s="137" t="e">
        <f t="shared" si="12"/>
        <v>#DIV/0!</v>
      </c>
      <c r="Q70" s="326" t="str">
        <f t="shared" si="372"/>
        <v/>
      </c>
      <c r="R70" s="116">
        <v>1800000</v>
      </c>
      <c r="S70" s="116">
        <f t="shared" si="14"/>
        <v>0</v>
      </c>
      <c r="T70" s="326">
        <f t="shared" si="373"/>
        <v>0</v>
      </c>
      <c r="U70" s="326">
        <f t="shared" si="374"/>
        <v>0</v>
      </c>
      <c r="V70" s="326">
        <f t="shared" si="17"/>
        <v>-1800000</v>
      </c>
      <c r="W70" s="137">
        <f t="shared" si="18"/>
        <v>0</v>
      </c>
      <c r="X70" s="326" t="str">
        <f t="shared" si="375"/>
        <v/>
      </c>
      <c r="Y70" s="121">
        <v>1800000</v>
      </c>
      <c r="Z70" s="113">
        <f t="shared" si="20"/>
        <v>0</v>
      </c>
      <c r="AA70" s="116">
        <f t="shared" si="376"/>
        <v>0</v>
      </c>
      <c r="AB70" s="117">
        <f t="shared" si="377"/>
        <v>0</v>
      </c>
      <c r="AC70" s="114"/>
      <c r="AD70" s="116"/>
      <c r="AE70" s="1257">
        <f t="shared" si="23"/>
        <v>3600000</v>
      </c>
      <c r="AF70" s="140">
        <f t="shared" si="378"/>
        <v>9280921.9800000004</v>
      </c>
      <c r="AG70" s="326">
        <f t="shared" si="25"/>
        <v>0</v>
      </c>
      <c r="AH70" s="326">
        <f t="shared" ref="AH70:AI70" si="416">AA70+T70+M70</f>
        <v>0</v>
      </c>
      <c r="AI70" s="326">
        <f t="shared" si="416"/>
        <v>0</v>
      </c>
      <c r="AJ70" s="326">
        <f t="shared" si="27"/>
        <v>-9280921.9800000004</v>
      </c>
      <c r="AK70" s="1258">
        <f t="shared" si="28"/>
        <v>0</v>
      </c>
      <c r="AL70" s="125" t="str">
        <f t="shared" si="404"/>
        <v/>
      </c>
      <c r="AM70" s="140">
        <f t="shared" si="30"/>
        <v>0.2599999999802094</v>
      </c>
      <c r="AN70" s="123">
        <f t="shared" si="380"/>
        <v>142884.01</v>
      </c>
      <c r="AO70" s="148">
        <f t="shared" si="381"/>
        <v>142884.26999999999</v>
      </c>
      <c r="AP70" s="125"/>
      <c r="AQ70" s="140">
        <f t="shared" si="33"/>
        <v>2.9999999795109034E-2</v>
      </c>
      <c r="AR70" s="326">
        <f t="shared" si="382"/>
        <v>2875756.39</v>
      </c>
      <c r="AS70" s="333">
        <f t="shared" si="383"/>
        <v>2875756.42</v>
      </c>
      <c r="AT70" s="123"/>
      <c r="AU70" s="123">
        <f t="shared" si="36"/>
        <v>0</v>
      </c>
      <c r="AV70" s="123">
        <f t="shared" si="384"/>
        <v>1122155.42</v>
      </c>
      <c r="AW70" s="125">
        <f t="shared" si="385"/>
        <v>1122155.42</v>
      </c>
      <c r="AX70" s="122">
        <f t="shared" ref="AX70:AZ70" si="417">SUM(AU70,AQ70,AM70)</f>
        <v>0.28999999977531843</v>
      </c>
      <c r="AY70" s="326">
        <f t="shared" si="417"/>
        <v>4140795.8200000003</v>
      </c>
      <c r="AZ70" s="332">
        <f t="shared" si="417"/>
        <v>4140796.11</v>
      </c>
      <c r="BA70" s="140">
        <f t="shared" ref="BA70:BC70" si="418">SUM(AX70,AG70)</f>
        <v>0.28999999977531843</v>
      </c>
      <c r="BB70" s="326">
        <f t="shared" si="418"/>
        <v>4140795.8200000003</v>
      </c>
      <c r="BC70" s="435">
        <f t="shared" si="418"/>
        <v>4140796.11</v>
      </c>
      <c r="BD70" s="125" t="str">
        <f t="shared" si="388"/>
        <v/>
      </c>
      <c r="BE70" s="1166">
        <f t="shared" si="42"/>
        <v>0</v>
      </c>
      <c r="BF70" s="116">
        <f t="shared" si="389"/>
        <v>6524617.3300000001</v>
      </c>
      <c r="BG70" s="121">
        <f t="shared" si="390"/>
        <v>6524617.3300000001</v>
      </c>
      <c r="BH70" s="114" t="str">
        <f t="shared" si="391"/>
        <v/>
      </c>
      <c r="BI70" s="416">
        <f t="shared" si="46"/>
        <v>0</v>
      </c>
      <c r="BJ70" s="121">
        <f t="shared" si="392"/>
        <v>3510358.54</v>
      </c>
      <c r="BK70" s="121">
        <f t="shared" si="393"/>
        <v>3510358.54</v>
      </c>
      <c r="BL70" s="121" t="str">
        <f t="shared" si="394"/>
        <v/>
      </c>
      <c r="BM70" s="113">
        <f t="shared" si="50"/>
        <v>0</v>
      </c>
      <c r="BN70" s="116">
        <f t="shared" si="395"/>
        <v>6633826.2999999998</v>
      </c>
      <c r="BO70" s="117">
        <f t="shared" si="396"/>
        <v>6633826.2999999998</v>
      </c>
      <c r="BP70" s="113">
        <f t="shared" si="53"/>
        <v>0</v>
      </c>
      <c r="BQ70" s="116">
        <f t="shared" ref="BQ70:BR70" si="419">SUM(BN70,BJ70,BF70)</f>
        <v>16668802.17</v>
      </c>
      <c r="BR70" s="117">
        <f t="shared" si="419"/>
        <v>16668802.17</v>
      </c>
      <c r="BS70" s="125" t="str">
        <f t="shared" si="398"/>
        <v/>
      </c>
      <c r="BT70" s="140">
        <f t="shared" si="56"/>
        <v>0</v>
      </c>
      <c r="BU70" s="123">
        <f t="shared" si="399"/>
        <v>0</v>
      </c>
      <c r="BV70" s="148">
        <f t="shared" si="400"/>
        <v>0</v>
      </c>
      <c r="BW70" s="123" t="str">
        <f t="shared" si="401"/>
        <v/>
      </c>
      <c r="BX70" s="326" t="str">
        <f t="shared" si="402"/>
        <v/>
      </c>
    </row>
    <row r="71" spans="1:76" ht="13">
      <c r="A71" s="420">
        <f t="shared" si="362"/>
        <v>112014458</v>
      </c>
      <c r="B71" s="93">
        <f t="shared" si="363"/>
        <v>18</v>
      </c>
      <c r="C71" s="558" t="str">
        <f t="shared" si="364"/>
        <v>Lista</v>
      </c>
      <c r="D71" s="558">
        <f t="shared" si="365"/>
        <v>0.23</v>
      </c>
      <c r="E71" s="559">
        <f t="shared" si="366"/>
        <v>0</v>
      </c>
      <c r="F71" s="547">
        <f t="shared" si="367"/>
        <v>69</v>
      </c>
      <c r="G71" s="699" t="str">
        <f t="shared" si="368"/>
        <v>Lista</v>
      </c>
      <c r="H71" s="702">
        <f t="shared" si="369"/>
        <v>0.14000000000000001</v>
      </c>
      <c r="I71" s="423" t="s">
        <v>1331</v>
      </c>
      <c r="J71" s="326">
        <f>IFERROR(VLOOKUP(I71,MONTE24,3,FALSE),"")</f>
        <v>0</v>
      </c>
      <c r="K71" s="121">
        <v>1800000</v>
      </c>
      <c r="L71" s="140">
        <f t="shared" si="8"/>
        <v>0</v>
      </c>
      <c r="M71" s="326">
        <f t="shared" si="370"/>
        <v>233769.72</v>
      </c>
      <c r="N71" s="333">
        <f t="shared" si="371"/>
        <v>233769.72</v>
      </c>
      <c r="O71" s="123">
        <f t="shared" si="11"/>
        <v>-1566230.28</v>
      </c>
      <c r="P71" s="137">
        <f t="shared" si="12"/>
        <v>0.12987206666666667</v>
      </c>
      <c r="Q71" s="326">
        <f t="shared" si="372"/>
        <v>0</v>
      </c>
      <c r="R71" s="116">
        <v>1800000</v>
      </c>
      <c r="S71" s="116">
        <f t="shared" si="14"/>
        <v>0</v>
      </c>
      <c r="T71" s="326">
        <f t="shared" si="373"/>
        <v>459953.73</v>
      </c>
      <c r="U71" s="326">
        <f t="shared" si="374"/>
        <v>459953.73</v>
      </c>
      <c r="V71" s="326">
        <f t="shared" si="17"/>
        <v>-1340046.27</v>
      </c>
      <c r="W71" s="137">
        <f t="shared" si="18"/>
        <v>0.25552985</v>
      </c>
      <c r="X71" s="326">
        <f t="shared" si="375"/>
        <v>0</v>
      </c>
      <c r="Y71" s="121">
        <v>1800000</v>
      </c>
      <c r="Z71" s="113">
        <f t="shared" si="20"/>
        <v>0</v>
      </c>
      <c r="AA71" s="116">
        <f t="shared" si="376"/>
        <v>0</v>
      </c>
      <c r="AB71" s="117">
        <f t="shared" si="377"/>
        <v>0</v>
      </c>
      <c r="AC71" s="114"/>
      <c r="AD71" s="116"/>
      <c r="AE71" s="1257">
        <f t="shared" si="23"/>
        <v>5400000</v>
      </c>
      <c r="AF71" s="140">
        <f t="shared" si="378"/>
        <v>1439607.72</v>
      </c>
      <c r="AG71" s="326">
        <f t="shared" si="25"/>
        <v>0</v>
      </c>
      <c r="AH71" s="326">
        <f t="shared" ref="AH71:AI71" si="420">AA71+T71+M71</f>
        <v>693723.45</v>
      </c>
      <c r="AI71" s="326">
        <f t="shared" si="420"/>
        <v>693723.45</v>
      </c>
      <c r="AJ71" s="326">
        <f t="shared" si="27"/>
        <v>-745884.27</v>
      </c>
      <c r="AK71" s="1258">
        <f t="shared" si="28"/>
        <v>0.48188366897615692</v>
      </c>
      <c r="AL71" s="125">
        <f t="shared" si="404"/>
        <v>0</v>
      </c>
      <c r="AM71" s="140">
        <f t="shared" si="30"/>
        <v>458814.63</v>
      </c>
      <c r="AN71" s="123">
        <f t="shared" si="380"/>
        <v>439841.63</v>
      </c>
      <c r="AO71" s="148">
        <f t="shared" si="381"/>
        <v>898656.26</v>
      </c>
      <c r="AP71" s="125">
        <f>IFERROR(VLOOKUP(I71,MONTE24,7,FALSE),"")</f>
        <v>0</v>
      </c>
      <c r="AQ71" s="140">
        <f t="shared" si="33"/>
        <v>0</v>
      </c>
      <c r="AR71" s="326">
        <f t="shared" si="382"/>
        <v>0</v>
      </c>
      <c r="AS71" s="333">
        <f t="shared" si="383"/>
        <v>0</v>
      </c>
      <c r="AT71" s="123">
        <f>IFERROR(VLOOKUP(I71,MONTE24,8,FALSE),"")</f>
        <v>0</v>
      </c>
      <c r="AU71" s="123">
        <f t="shared" si="36"/>
        <v>0</v>
      </c>
      <c r="AV71" s="123">
        <f t="shared" si="384"/>
        <v>0</v>
      </c>
      <c r="AW71" s="125">
        <f t="shared" si="385"/>
        <v>0</v>
      </c>
      <c r="AX71" s="122">
        <f t="shared" ref="AX71:AZ71" si="421">SUM(AU71,AQ71,AM71)</f>
        <v>458814.63</v>
      </c>
      <c r="AY71" s="326">
        <f t="shared" si="421"/>
        <v>439841.63</v>
      </c>
      <c r="AZ71" s="332">
        <f t="shared" si="421"/>
        <v>898656.26</v>
      </c>
      <c r="BA71" s="140">
        <f t="shared" ref="BA71:BC71" si="422">SUM(AX71,AG71)</f>
        <v>458814.63</v>
      </c>
      <c r="BB71" s="326">
        <f t="shared" si="422"/>
        <v>1133565.08</v>
      </c>
      <c r="BC71" s="435">
        <f t="shared" si="422"/>
        <v>1592379.71</v>
      </c>
      <c r="BD71" s="125">
        <f t="shared" si="388"/>
        <v>0</v>
      </c>
      <c r="BE71" s="1166">
        <f t="shared" si="42"/>
        <v>0</v>
      </c>
      <c r="BF71" s="116">
        <f t="shared" si="389"/>
        <v>0</v>
      </c>
      <c r="BG71" s="121">
        <f t="shared" si="390"/>
        <v>0</v>
      </c>
      <c r="BH71" s="114">
        <f t="shared" si="391"/>
        <v>0</v>
      </c>
      <c r="BI71" s="416">
        <f t="shared" si="46"/>
        <v>0</v>
      </c>
      <c r="BJ71" s="121">
        <f t="shared" si="392"/>
        <v>0</v>
      </c>
      <c r="BK71" s="121">
        <f t="shared" si="393"/>
        <v>0</v>
      </c>
      <c r="BL71" s="121">
        <f t="shared" si="394"/>
        <v>0</v>
      </c>
      <c r="BM71" s="113">
        <f t="shared" si="50"/>
        <v>0</v>
      </c>
      <c r="BN71" s="116">
        <f t="shared" si="395"/>
        <v>0</v>
      </c>
      <c r="BO71" s="117">
        <f t="shared" si="396"/>
        <v>0</v>
      </c>
      <c r="BP71" s="113">
        <f t="shared" si="53"/>
        <v>0</v>
      </c>
      <c r="BQ71" s="116">
        <f t="shared" ref="BQ71:BR71" si="423">SUM(BN71,BJ71,BF71)</f>
        <v>0</v>
      </c>
      <c r="BR71" s="117">
        <f t="shared" si="423"/>
        <v>0</v>
      </c>
      <c r="BS71" s="125">
        <f t="shared" si="398"/>
        <v>0</v>
      </c>
      <c r="BT71" s="140">
        <f t="shared" si="56"/>
        <v>0</v>
      </c>
      <c r="BU71" s="123">
        <f t="shared" si="399"/>
        <v>0</v>
      </c>
      <c r="BV71" s="148">
        <f t="shared" si="400"/>
        <v>0</v>
      </c>
      <c r="BW71" s="123">
        <f t="shared" si="401"/>
        <v>1439607.72</v>
      </c>
      <c r="BX71" s="326">
        <f t="shared" si="402"/>
        <v>0</v>
      </c>
    </row>
    <row r="72" spans="1:76" ht="13">
      <c r="A72" s="420">
        <f t="shared" si="362"/>
        <v>112010407</v>
      </c>
      <c r="B72" s="93">
        <f t="shared" si="363"/>
        <v>4</v>
      </c>
      <c r="C72" s="558" t="str">
        <f t="shared" si="364"/>
        <v>Lista</v>
      </c>
      <c r="D72" s="558">
        <f t="shared" si="365"/>
        <v>0.2</v>
      </c>
      <c r="E72" s="559">
        <f t="shared" si="366"/>
        <v>0</v>
      </c>
      <c r="F72" s="547">
        <f t="shared" si="367"/>
        <v>70</v>
      </c>
      <c r="G72" s="699" t="str">
        <f t="shared" si="368"/>
        <v>Lista</v>
      </c>
      <c r="H72" s="702">
        <f t="shared" si="369"/>
        <v>0.11</v>
      </c>
      <c r="I72" s="423" t="s">
        <v>1332</v>
      </c>
      <c r="J72" s="326"/>
      <c r="K72" s="121"/>
      <c r="L72" s="140" t="e">
        <f t="shared" si="8"/>
        <v>#VALUE!</v>
      </c>
      <c r="M72" s="326" t="str">
        <f t="shared" si="370"/>
        <v/>
      </c>
      <c r="N72" s="333">
        <f t="shared" si="371"/>
        <v>0</v>
      </c>
      <c r="O72" s="123">
        <f t="shared" si="11"/>
        <v>0</v>
      </c>
      <c r="P72" s="137" t="e">
        <f t="shared" si="12"/>
        <v>#DIV/0!</v>
      </c>
      <c r="Q72" s="326" t="str">
        <f t="shared" si="372"/>
        <v/>
      </c>
      <c r="R72" s="116">
        <v>1800000</v>
      </c>
      <c r="S72" s="116" t="e">
        <f t="shared" si="14"/>
        <v>#VALUE!</v>
      </c>
      <c r="T72" s="326" t="str">
        <f t="shared" si="373"/>
        <v/>
      </c>
      <c r="U72" s="326">
        <f t="shared" si="374"/>
        <v>0</v>
      </c>
      <c r="V72" s="326">
        <f t="shared" si="17"/>
        <v>-1800000</v>
      </c>
      <c r="W72" s="137">
        <f t="shared" si="18"/>
        <v>0</v>
      </c>
      <c r="X72" s="326" t="str">
        <f t="shared" si="375"/>
        <v/>
      </c>
      <c r="Y72" s="121">
        <v>1800000</v>
      </c>
      <c r="Z72" s="113" t="e">
        <f t="shared" si="20"/>
        <v>#VALUE!</v>
      </c>
      <c r="AA72" s="116" t="str">
        <f t="shared" si="376"/>
        <v/>
      </c>
      <c r="AB72" s="117">
        <f t="shared" si="377"/>
        <v>0</v>
      </c>
      <c r="AC72" s="114"/>
      <c r="AD72" s="116"/>
      <c r="AE72" s="1257">
        <f t="shared" si="23"/>
        <v>3600000</v>
      </c>
      <c r="AF72" s="140">
        <f t="shared" si="378"/>
        <v>7114373.5099999998</v>
      </c>
      <c r="AG72" s="326" t="e">
        <f t="shared" si="25"/>
        <v>#VALUE!</v>
      </c>
      <c r="AH72" s="326" t="e">
        <f t="shared" ref="AH72:AI72" si="424">AA72+T72+M72</f>
        <v>#VALUE!</v>
      </c>
      <c r="AI72" s="326">
        <f t="shared" si="424"/>
        <v>0</v>
      </c>
      <c r="AJ72" s="326">
        <f t="shared" si="27"/>
        <v>-7114373.5099999998</v>
      </c>
      <c r="AK72" s="1258">
        <f t="shared" si="28"/>
        <v>0</v>
      </c>
      <c r="AL72" s="125" t="str">
        <f t="shared" si="404"/>
        <v/>
      </c>
      <c r="AM72" s="140" t="e">
        <f t="shared" si="30"/>
        <v>#VALUE!</v>
      </c>
      <c r="AN72" s="123" t="str">
        <f t="shared" si="380"/>
        <v/>
      </c>
      <c r="AO72" s="148">
        <f t="shared" si="381"/>
        <v>1214112.19</v>
      </c>
      <c r="AP72" s="125"/>
      <c r="AQ72" s="140" t="e">
        <f t="shared" si="33"/>
        <v>#VALUE!</v>
      </c>
      <c r="AR72" s="326" t="str">
        <f t="shared" si="382"/>
        <v/>
      </c>
      <c r="AS72" s="333">
        <f t="shared" si="383"/>
        <v>850913.61</v>
      </c>
      <c r="AT72" s="123"/>
      <c r="AU72" s="123" t="e">
        <f t="shared" si="36"/>
        <v>#VALUE!</v>
      </c>
      <c r="AV72" s="123" t="str">
        <f t="shared" si="384"/>
        <v/>
      </c>
      <c r="AW72" s="125">
        <f t="shared" si="385"/>
        <v>0</v>
      </c>
      <c r="AX72" s="122" t="e">
        <f t="shared" ref="AX72:AZ72" si="425">SUM(AU72,AQ72,AM72)</f>
        <v>#VALUE!</v>
      </c>
      <c r="AY72" s="326">
        <f t="shared" si="425"/>
        <v>0</v>
      </c>
      <c r="AZ72" s="332">
        <f t="shared" si="425"/>
        <v>2065025.7999999998</v>
      </c>
      <c r="BA72" s="140" t="e">
        <f t="shared" ref="BA72:BC72" si="426">SUM(AX72,AG72)</f>
        <v>#VALUE!</v>
      </c>
      <c r="BB72" s="326" t="e">
        <f t="shared" si="426"/>
        <v>#VALUE!</v>
      </c>
      <c r="BC72" s="435">
        <f t="shared" si="426"/>
        <v>2065025.7999999998</v>
      </c>
      <c r="BD72" s="125" t="str">
        <f t="shared" si="388"/>
        <v/>
      </c>
      <c r="BE72" s="1166" t="e">
        <f t="shared" si="42"/>
        <v>#VALUE!</v>
      </c>
      <c r="BF72" s="116" t="str">
        <f t="shared" si="389"/>
        <v/>
      </c>
      <c r="BG72" s="121">
        <f t="shared" si="390"/>
        <v>622318.07999999996</v>
      </c>
      <c r="BH72" s="114" t="str">
        <f t="shared" si="391"/>
        <v/>
      </c>
      <c r="BI72" s="416" t="e">
        <f t="shared" si="46"/>
        <v>#VALUE!</v>
      </c>
      <c r="BJ72" s="121" t="str">
        <f t="shared" si="392"/>
        <v/>
      </c>
      <c r="BK72" s="121">
        <f t="shared" si="393"/>
        <v>81309.8</v>
      </c>
      <c r="BL72" s="121" t="str">
        <f t="shared" si="394"/>
        <v/>
      </c>
      <c r="BM72" s="113" t="e">
        <f t="shared" si="50"/>
        <v>#VALUE!</v>
      </c>
      <c r="BN72" s="116" t="str">
        <f t="shared" si="395"/>
        <v/>
      </c>
      <c r="BO72" s="117">
        <f t="shared" si="396"/>
        <v>0</v>
      </c>
      <c r="BP72" s="113">
        <f t="shared" si="53"/>
        <v>703627.88</v>
      </c>
      <c r="BQ72" s="116">
        <f t="shared" ref="BQ72:BR72" si="427">SUM(BN72,BJ72,BF72)</f>
        <v>0</v>
      </c>
      <c r="BR72" s="117">
        <f t="shared" si="427"/>
        <v>703627.88</v>
      </c>
      <c r="BS72" s="125" t="str">
        <f t="shared" si="398"/>
        <v/>
      </c>
      <c r="BT72" s="140" t="e">
        <f t="shared" si="56"/>
        <v>#VALUE!</v>
      </c>
      <c r="BU72" s="123" t="str">
        <f t="shared" si="399"/>
        <v/>
      </c>
      <c r="BV72" s="148">
        <f t="shared" si="400"/>
        <v>0</v>
      </c>
      <c r="BW72" s="123" t="str">
        <f t="shared" si="401"/>
        <v/>
      </c>
      <c r="BX72" s="326" t="str">
        <f t="shared" si="402"/>
        <v/>
      </c>
    </row>
    <row r="73" spans="1:76" ht="13">
      <c r="A73" s="420">
        <f t="shared" si="362"/>
        <v>112014215</v>
      </c>
      <c r="B73" s="93">
        <f t="shared" si="363"/>
        <v>4</v>
      </c>
      <c r="C73" s="558" t="str">
        <f t="shared" si="364"/>
        <v>Lista</v>
      </c>
      <c r="D73" s="558">
        <f t="shared" si="365"/>
        <v>0.2</v>
      </c>
      <c r="E73" s="559">
        <f t="shared" si="366"/>
        <v>0</v>
      </c>
      <c r="F73" s="547">
        <f t="shared" si="367"/>
        <v>70</v>
      </c>
      <c r="G73" s="699" t="str">
        <f t="shared" si="368"/>
        <v>Lista</v>
      </c>
      <c r="H73" s="702">
        <f t="shared" si="369"/>
        <v>0.11</v>
      </c>
      <c r="I73" s="423" t="s">
        <v>1333</v>
      </c>
      <c r="J73" s="326">
        <f>IFERROR(VLOOKUP(I73,MONTE24,3,FALSE),"")</f>
        <v>775507.78</v>
      </c>
      <c r="K73" s="121">
        <f t="shared" ref="K73:K75" si="428">(J73*1.601)*1.05</f>
        <v>1303667.353569</v>
      </c>
      <c r="L73" s="140">
        <f t="shared" si="8"/>
        <v>0</v>
      </c>
      <c r="M73" s="326">
        <f t="shared" si="370"/>
        <v>1656237.24</v>
      </c>
      <c r="N73" s="333">
        <f t="shared" si="371"/>
        <v>1656237.24</v>
      </c>
      <c r="O73" s="123">
        <f t="shared" si="11"/>
        <v>352569.88643099996</v>
      </c>
      <c r="P73" s="137">
        <f t="shared" si="12"/>
        <v>1.2704446693903801</v>
      </c>
      <c r="Q73" s="326">
        <f t="shared" si="372"/>
        <v>1137573.58</v>
      </c>
      <c r="R73" s="116">
        <f t="shared" ref="R73:R75" si="429">(Q73*1.7245)*1.05</f>
        <v>2059832.9206455001</v>
      </c>
      <c r="S73" s="116">
        <f t="shared" si="14"/>
        <v>0</v>
      </c>
      <c r="T73" s="326">
        <f t="shared" si="373"/>
        <v>2940161.01</v>
      </c>
      <c r="U73" s="326">
        <f t="shared" si="374"/>
        <v>2940161.01</v>
      </c>
      <c r="V73" s="326">
        <f t="shared" si="17"/>
        <v>880328.08935449971</v>
      </c>
      <c r="W73" s="137">
        <f t="shared" si="18"/>
        <v>1.4273783958548574</v>
      </c>
      <c r="X73" s="326">
        <f t="shared" si="375"/>
        <v>2939479.54</v>
      </c>
      <c r="Y73" s="121">
        <f t="shared" ref="Y73:Y75" si="430">(X73*1.5955)*1.05</f>
        <v>4924436.5863734996</v>
      </c>
      <c r="Z73" s="113">
        <f t="shared" si="20"/>
        <v>0</v>
      </c>
      <c r="AA73" s="116">
        <f t="shared" si="376"/>
        <v>765220.17</v>
      </c>
      <c r="AB73" s="117">
        <f t="shared" si="377"/>
        <v>765220.17</v>
      </c>
      <c r="AC73" s="114"/>
      <c r="AD73" s="116"/>
      <c r="AE73" s="1257">
        <f t="shared" si="23"/>
        <v>8287936.8605879992</v>
      </c>
      <c r="AF73" s="140">
        <f t="shared" si="378"/>
        <v>2710162.07</v>
      </c>
      <c r="AG73" s="326">
        <f t="shared" si="25"/>
        <v>0</v>
      </c>
      <c r="AH73" s="326">
        <f t="shared" ref="AH73:AI73" si="431">AA73+T73+M73</f>
        <v>5361618.42</v>
      </c>
      <c r="AI73" s="326">
        <f t="shared" si="431"/>
        <v>5361618.42</v>
      </c>
      <c r="AJ73" s="326">
        <f t="shared" si="27"/>
        <v>2651456.35</v>
      </c>
      <c r="AK73" s="1258">
        <f t="shared" si="28"/>
        <v>1.9783386681372899</v>
      </c>
      <c r="AL73" s="125">
        <f t="shared" si="404"/>
        <v>633053.04</v>
      </c>
      <c r="AM73" s="140">
        <f t="shared" si="30"/>
        <v>0</v>
      </c>
      <c r="AN73" s="123">
        <f t="shared" si="380"/>
        <v>1436807.63</v>
      </c>
      <c r="AO73" s="148">
        <f t="shared" si="381"/>
        <v>1436807.63</v>
      </c>
      <c r="AP73" s="125">
        <f>IFERROR(VLOOKUP(I73,MONTE24,7,FALSE),"")</f>
        <v>376727.84</v>
      </c>
      <c r="AQ73" s="140">
        <f t="shared" si="33"/>
        <v>0</v>
      </c>
      <c r="AR73" s="326">
        <f t="shared" si="382"/>
        <v>938602.71</v>
      </c>
      <c r="AS73" s="333">
        <f t="shared" si="383"/>
        <v>938602.71</v>
      </c>
      <c r="AT73" s="123">
        <f>IFERROR(VLOOKUP(I73,MONTE24,8,FALSE),"")</f>
        <v>460110.14</v>
      </c>
      <c r="AU73" s="123">
        <f t="shared" si="36"/>
        <v>0</v>
      </c>
      <c r="AV73" s="123">
        <f t="shared" si="384"/>
        <v>2311775.17</v>
      </c>
      <c r="AW73" s="125">
        <f t="shared" si="385"/>
        <v>2311775.17</v>
      </c>
      <c r="AX73" s="122">
        <f t="shared" ref="AX73:AZ73" si="432">SUM(AU73,AQ73,AM73)</f>
        <v>0</v>
      </c>
      <c r="AY73" s="326">
        <f t="shared" si="432"/>
        <v>4687185.51</v>
      </c>
      <c r="AZ73" s="332">
        <f t="shared" si="432"/>
        <v>4687185.51</v>
      </c>
      <c r="BA73" s="140">
        <f t="shared" ref="BA73:BC73" si="433">SUM(AX73,AG73)</f>
        <v>0</v>
      </c>
      <c r="BB73" s="326">
        <f t="shared" si="433"/>
        <v>10048803.93</v>
      </c>
      <c r="BC73" s="435">
        <f t="shared" si="433"/>
        <v>10048803.93</v>
      </c>
      <c r="BD73" s="125">
        <f t="shared" si="388"/>
        <v>1114197.93</v>
      </c>
      <c r="BE73" s="1166">
        <f t="shared" si="42"/>
        <v>0</v>
      </c>
      <c r="BF73" s="116">
        <f t="shared" si="389"/>
        <v>2680021.61</v>
      </c>
      <c r="BG73" s="121">
        <f t="shared" si="390"/>
        <v>2680021.61</v>
      </c>
      <c r="BH73" s="114">
        <f t="shared" si="391"/>
        <v>941098.16</v>
      </c>
      <c r="BI73" s="416">
        <f t="shared" si="46"/>
        <v>0</v>
      </c>
      <c r="BJ73" s="121">
        <f t="shared" si="392"/>
        <v>1534196</v>
      </c>
      <c r="BK73" s="121">
        <f t="shared" si="393"/>
        <v>1534196</v>
      </c>
      <c r="BL73" s="121">
        <f t="shared" si="394"/>
        <v>0</v>
      </c>
      <c r="BM73" s="113">
        <f t="shared" si="50"/>
        <v>0</v>
      </c>
      <c r="BN73" s="116">
        <f t="shared" si="395"/>
        <v>3036217.86</v>
      </c>
      <c r="BO73" s="117">
        <f t="shared" si="396"/>
        <v>3036217.86</v>
      </c>
      <c r="BP73" s="113">
        <f t="shared" si="53"/>
        <v>0</v>
      </c>
      <c r="BQ73" s="116">
        <f t="shared" ref="BQ73:BR73" si="434">SUM(BN73,BJ73,BF73)</f>
        <v>7250435.4699999988</v>
      </c>
      <c r="BR73" s="117">
        <f t="shared" si="434"/>
        <v>7250435.4699999988</v>
      </c>
      <c r="BS73" s="125">
        <f t="shared" si="398"/>
        <v>0</v>
      </c>
      <c r="BT73" s="140">
        <f t="shared" si="56"/>
        <v>0</v>
      </c>
      <c r="BU73" s="123">
        <f t="shared" si="399"/>
        <v>2728357.65</v>
      </c>
      <c r="BV73" s="148">
        <f t="shared" si="400"/>
        <v>2728357.65</v>
      </c>
      <c r="BW73" s="123">
        <f t="shared" si="401"/>
        <v>964397.02</v>
      </c>
      <c r="BX73" s="326">
        <f t="shared" si="402"/>
        <v>1745765.06</v>
      </c>
    </row>
    <row r="74" spans="1:76" ht="13">
      <c r="A74" s="420">
        <f t="shared" si="362"/>
        <v>112012891</v>
      </c>
      <c r="B74" s="93">
        <f t="shared" si="363"/>
        <v>4</v>
      </c>
      <c r="C74" s="558" t="str">
        <f t="shared" si="364"/>
        <v>Lista</v>
      </c>
      <c r="D74" s="558">
        <f t="shared" si="365"/>
        <v>0.2</v>
      </c>
      <c r="E74" s="559">
        <f t="shared" si="366"/>
        <v>0</v>
      </c>
      <c r="F74" s="547">
        <f t="shared" si="367"/>
        <v>70</v>
      </c>
      <c r="G74" s="699" t="str">
        <f t="shared" si="368"/>
        <v>Lista</v>
      </c>
      <c r="H74" s="702">
        <f t="shared" si="369"/>
        <v>0.11</v>
      </c>
      <c r="I74" s="423" t="s">
        <v>1334</v>
      </c>
      <c r="J74" s="326" t="str">
        <f>IFERROR(VLOOKUP(I74,MONTE24,3,FALSE),"")</f>
        <v/>
      </c>
      <c r="K74" s="121" t="e">
        <f t="shared" si="428"/>
        <v>#VALUE!</v>
      </c>
      <c r="L74" s="140">
        <f t="shared" si="8"/>
        <v>0</v>
      </c>
      <c r="M74" s="326">
        <f t="shared" si="370"/>
        <v>0</v>
      </c>
      <c r="N74" s="333">
        <f t="shared" si="371"/>
        <v>0</v>
      </c>
      <c r="O74" s="123" t="e">
        <f t="shared" si="11"/>
        <v>#VALUE!</v>
      </c>
      <c r="P74" s="137" t="e">
        <f t="shared" si="12"/>
        <v>#VALUE!</v>
      </c>
      <c r="Q74" s="326" t="str">
        <f t="shared" si="372"/>
        <v/>
      </c>
      <c r="R74" s="116" t="e">
        <f t="shared" si="429"/>
        <v>#VALUE!</v>
      </c>
      <c r="S74" s="116">
        <f t="shared" si="14"/>
        <v>0</v>
      </c>
      <c r="T74" s="326">
        <f t="shared" si="373"/>
        <v>0</v>
      </c>
      <c r="U74" s="326">
        <f t="shared" si="374"/>
        <v>0</v>
      </c>
      <c r="V74" s="326" t="e">
        <f t="shared" si="17"/>
        <v>#VALUE!</v>
      </c>
      <c r="W74" s="137" t="e">
        <f t="shared" si="18"/>
        <v>#VALUE!</v>
      </c>
      <c r="X74" s="326" t="str">
        <f t="shared" si="375"/>
        <v/>
      </c>
      <c r="Y74" s="121" t="e">
        <f t="shared" si="430"/>
        <v>#VALUE!</v>
      </c>
      <c r="Z74" s="113">
        <f t="shared" si="20"/>
        <v>0</v>
      </c>
      <c r="AA74" s="116">
        <f t="shared" si="376"/>
        <v>963835.47</v>
      </c>
      <c r="AB74" s="117">
        <f t="shared" si="377"/>
        <v>963835.47</v>
      </c>
      <c r="AC74" s="114"/>
      <c r="AD74" s="116"/>
      <c r="AE74" s="1257" t="e">
        <f t="shared" si="23"/>
        <v>#VALUE!</v>
      </c>
      <c r="AF74" s="140" t="str">
        <f t="shared" si="378"/>
        <v>0</v>
      </c>
      <c r="AG74" s="326">
        <f t="shared" si="25"/>
        <v>0</v>
      </c>
      <c r="AH74" s="326">
        <f t="shared" ref="AH74:AI74" si="435">AA74+T74+M74</f>
        <v>963835.47</v>
      </c>
      <c r="AI74" s="326">
        <f t="shared" si="435"/>
        <v>963835.47</v>
      </c>
      <c r="AJ74" s="326">
        <f t="shared" si="27"/>
        <v>963835.47</v>
      </c>
      <c r="AK74" s="1258" t="str">
        <f t="shared" si="28"/>
        <v/>
      </c>
      <c r="AL74" s="125" t="str">
        <f t="shared" si="404"/>
        <v/>
      </c>
      <c r="AM74" s="140">
        <f t="shared" si="30"/>
        <v>0</v>
      </c>
      <c r="AN74" s="123">
        <f t="shared" si="380"/>
        <v>0</v>
      </c>
      <c r="AO74" s="148">
        <f t="shared" si="381"/>
        <v>0</v>
      </c>
      <c r="AP74" s="125" t="str">
        <f>IFERROR(VLOOKUP(I74,MONTE24,7,FALSE),"")</f>
        <v/>
      </c>
      <c r="AQ74" s="140">
        <f t="shared" si="33"/>
        <v>0</v>
      </c>
      <c r="AR74" s="326">
        <f t="shared" si="382"/>
        <v>1208543.26</v>
      </c>
      <c r="AS74" s="333">
        <f t="shared" si="383"/>
        <v>1208543.26</v>
      </c>
      <c r="AT74" s="123" t="str">
        <f>IFERROR(VLOOKUP(I74,MONTE24,8,FALSE),"")</f>
        <v/>
      </c>
      <c r="AU74" s="123">
        <f t="shared" si="36"/>
        <v>0</v>
      </c>
      <c r="AV74" s="123">
        <f t="shared" si="384"/>
        <v>0</v>
      </c>
      <c r="AW74" s="125">
        <f t="shared" si="385"/>
        <v>0</v>
      </c>
      <c r="AX74" s="122">
        <f t="shared" ref="AX74:AZ74" si="436">SUM(AU74,AQ74,AM74)</f>
        <v>0</v>
      </c>
      <c r="AY74" s="326">
        <f t="shared" si="436"/>
        <v>1208543.26</v>
      </c>
      <c r="AZ74" s="332">
        <f t="shared" si="436"/>
        <v>1208543.26</v>
      </c>
      <c r="BA74" s="140">
        <f t="shared" ref="BA74:BC74" si="437">SUM(AX74,AG74)</f>
        <v>0</v>
      </c>
      <c r="BB74" s="326">
        <f t="shared" si="437"/>
        <v>2172378.73</v>
      </c>
      <c r="BC74" s="435">
        <f t="shared" si="437"/>
        <v>2172378.73</v>
      </c>
      <c r="BD74" s="125" t="str">
        <f t="shared" si="388"/>
        <v/>
      </c>
      <c r="BE74" s="1166">
        <f t="shared" si="42"/>
        <v>0</v>
      </c>
      <c r="BF74" s="116">
        <f t="shared" si="389"/>
        <v>1183838.5</v>
      </c>
      <c r="BG74" s="121">
        <f t="shared" si="390"/>
        <v>1183838.5</v>
      </c>
      <c r="BH74" s="114" t="str">
        <f t="shared" si="391"/>
        <v/>
      </c>
      <c r="BI74" s="416">
        <f t="shared" si="46"/>
        <v>0</v>
      </c>
      <c r="BJ74" s="121">
        <f t="shared" si="392"/>
        <v>424715.84</v>
      </c>
      <c r="BK74" s="121">
        <f t="shared" si="393"/>
        <v>424715.84</v>
      </c>
      <c r="BL74" s="121" t="str">
        <f t="shared" si="394"/>
        <v/>
      </c>
      <c r="BM74" s="113">
        <f t="shared" si="50"/>
        <v>0</v>
      </c>
      <c r="BN74" s="116">
        <f t="shared" si="395"/>
        <v>475059.26</v>
      </c>
      <c r="BO74" s="117">
        <f t="shared" si="396"/>
        <v>475059.26</v>
      </c>
      <c r="BP74" s="113">
        <f t="shared" si="53"/>
        <v>0</v>
      </c>
      <c r="BQ74" s="116">
        <f t="shared" ref="BQ74:BR74" si="438">SUM(BN74,BJ74,BF74)</f>
        <v>2083613.6</v>
      </c>
      <c r="BR74" s="117">
        <f t="shared" si="438"/>
        <v>2083613.6</v>
      </c>
      <c r="BS74" s="125" t="str">
        <f t="shared" si="398"/>
        <v/>
      </c>
      <c r="BT74" s="140">
        <f t="shared" si="56"/>
        <v>0</v>
      </c>
      <c r="BU74" s="123">
        <f t="shared" si="399"/>
        <v>423266.8</v>
      </c>
      <c r="BV74" s="148">
        <f t="shared" si="400"/>
        <v>423266.8</v>
      </c>
      <c r="BW74" s="123" t="str">
        <f t="shared" si="401"/>
        <v/>
      </c>
      <c r="BX74" s="326" t="str">
        <f t="shared" si="402"/>
        <v/>
      </c>
    </row>
    <row r="75" spans="1:76" ht="13">
      <c r="A75" s="420">
        <f t="shared" si="362"/>
        <v>112014218</v>
      </c>
      <c r="B75" s="93">
        <f t="shared" si="363"/>
        <v>4</v>
      </c>
      <c r="C75" s="558" t="str">
        <f t="shared" si="364"/>
        <v>Lista</v>
      </c>
      <c r="D75" s="558">
        <f t="shared" si="365"/>
        <v>0.2</v>
      </c>
      <c r="E75" s="559">
        <f t="shared" si="366"/>
        <v>0</v>
      </c>
      <c r="F75" s="547">
        <f t="shared" si="367"/>
        <v>70</v>
      </c>
      <c r="G75" s="699" t="str">
        <f t="shared" si="368"/>
        <v>Lista</v>
      </c>
      <c r="H75" s="702">
        <f t="shared" si="369"/>
        <v>0.11</v>
      </c>
      <c r="I75" s="423" t="s">
        <v>1335</v>
      </c>
      <c r="J75" s="326">
        <f>IFERROR(VLOOKUP(I75,MONTE24,3,FALSE),"")</f>
        <v>37394.26</v>
      </c>
      <c r="K75" s="121">
        <f t="shared" si="428"/>
        <v>62861.620773000002</v>
      </c>
      <c r="L75" s="140">
        <f t="shared" si="8"/>
        <v>0</v>
      </c>
      <c r="M75" s="326">
        <f t="shared" si="370"/>
        <v>69034.929999999993</v>
      </c>
      <c r="N75" s="333">
        <f t="shared" si="371"/>
        <v>69034.929999999993</v>
      </c>
      <c r="O75" s="123">
        <f t="shared" si="11"/>
        <v>6173.3092269999906</v>
      </c>
      <c r="P75" s="137">
        <f t="shared" si="12"/>
        <v>1.0982047416386616</v>
      </c>
      <c r="Q75" s="326">
        <f t="shared" si="372"/>
        <v>77312.94</v>
      </c>
      <c r="R75" s="116">
        <f t="shared" si="429"/>
        <v>139992.47328150002</v>
      </c>
      <c r="S75" s="116">
        <f t="shared" si="14"/>
        <v>0</v>
      </c>
      <c r="T75" s="326">
        <f t="shared" si="373"/>
        <v>60410.18</v>
      </c>
      <c r="U75" s="326">
        <f t="shared" si="374"/>
        <v>60410.18</v>
      </c>
      <c r="V75" s="326">
        <f t="shared" si="17"/>
        <v>-79582.293281500024</v>
      </c>
      <c r="W75" s="137">
        <f t="shared" si="18"/>
        <v>0.43152448545234179</v>
      </c>
      <c r="X75" s="326">
        <f t="shared" si="375"/>
        <v>46474.879999999997</v>
      </c>
      <c r="Y75" s="121">
        <f t="shared" si="430"/>
        <v>77858.204591999995</v>
      </c>
      <c r="Z75" s="113">
        <f t="shared" si="20"/>
        <v>0</v>
      </c>
      <c r="AA75" s="116">
        <f t="shared" si="376"/>
        <v>125188.71</v>
      </c>
      <c r="AB75" s="117">
        <f t="shared" si="377"/>
        <v>125188.71</v>
      </c>
      <c r="AC75" s="114"/>
      <c r="AD75" s="116"/>
      <c r="AE75" s="1257">
        <f t="shared" si="23"/>
        <v>280712.29864649998</v>
      </c>
      <c r="AF75" s="140">
        <f t="shared" si="378"/>
        <v>220846.45</v>
      </c>
      <c r="AG75" s="326">
        <f t="shared" si="25"/>
        <v>0</v>
      </c>
      <c r="AH75" s="326">
        <f t="shared" ref="AH75:AI75" si="439">AA75+T75+M75</f>
        <v>254633.82</v>
      </c>
      <c r="AI75" s="326">
        <f t="shared" si="439"/>
        <v>254633.82</v>
      </c>
      <c r="AJ75" s="326">
        <f t="shared" si="27"/>
        <v>33787.369999999995</v>
      </c>
      <c r="AK75" s="1258">
        <f t="shared" si="28"/>
        <v>1.1529903242728148</v>
      </c>
      <c r="AL75" s="125">
        <f t="shared" si="404"/>
        <v>91715.34</v>
      </c>
      <c r="AM75" s="140">
        <f t="shared" si="30"/>
        <v>0</v>
      </c>
      <c r="AN75" s="123">
        <f t="shared" si="380"/>
        <v>200464.79</v>
      </c>
      <c r="AO75" s="148">
        <f t="shared" si="381"/>
        <v>200464.79</v>
      </c>
      <c r="AP75" s="125">
        <f>IFERROR(VLOOKUP(I75,MONTE24,7,FALSE),"")</f>
        <v>275080.40999999997</v>
      </c>
      <c r="AQ75" s="140">
        <f t="shared" si="33"/>
        <v>9662.3999999999942</v>
      </c>
      <c r="AR75" s="326">
        <f t="shared" si="382"/>
        <v>102649.47</v>
      </c>
      <c r="AS75" s="333">
        <f t="shared" si="383"/>
        <v>112311.87</v>
      </c>
      <c r="AT75" s="123">
        <f>IFERROR(VLOOKUP(I75,MONTE24,8,FALSE),"")</f>
        <v>91090.57</v>
      </c>
      <c r="AU75" s="123">
        <f t="shared" si="36"/>
        <v>0</v>
      </c>
      <c r="AV75" s="123">
        <f t="shared" si="384"/>
        <v>336212.85</v>
      </c>
      <c r="AW75" s="125">
        <f t="shared" si="385"/>
        <v>336212.85</v>
      </c>
      <c r="AX75" s="122">
        <f t="shared" ref="AX75:AZ75" si="440">SUM(AU75,AQ75,AM75)</f>
        <v>9662.3999999999942</v>
      </c>
      <c r="AY75" s="326">
        <f t="shared" si="440"/>
        <v>639327.11</v>
      </c>
      <c r="AZ75" s="332">
        <f t="shared" si="440"/>
        <v>648989.51</v>
      </c>
      <c r="BA75" s="140">
        <f t="shared" ref="BA75:BC75" si="441">SUM(AX75,AG75)</f>
        <v>9662.3999999999942</v>
      </c>
      <c r="BB75" s="326">
        <f t="shared" si="441"/>
        <v>893960.92999999993</v>
      </c>
      <c r="BC75" s="435">
        <f t="shared" si="441"/>
        <v>903623.33000000007</v>
      </c>
      <c r="BD75" s="125">
        <f t="shared" si="388"/>
        <v>69050.11</v>
      </c>
      <c r="BE75" s="1166">
        <f t="shared" si="42"/>
        <v>17884.800000000017</v>
      </c>
      <c r="BF75" s="116">
        <f t="shared" si="389"/>
        <v>139460.62</v>
      </c>
      <c r="BG75" s="121">
        <f t="shared" si="390"/>
        <v>157345.42000000001</v>
      </c>
      <c r="BH75" s="114">
        <f t="shared" si="391"/>
        <v>113273.02</v>
      </c>
      <c r="BI75" s="416">
        <f t="shared" si="46"/>
        <v>0</v>
      </c>
      <c r="BJ75" s="121">
        <f t="shared" si="392"/>
        <v>99252.33</v>
      </c>
      <c r="BK75" s="121">
        <f t="shared" si="393"/>
        <v>99252.33</v>
      </c>
      <c r="BL75" s="121">
        <f t="shared" si="394"/>
        <v>0</v>
      </c>
      <c r="BM75" s="113">
        <f t="shared" si="50"/>
        <v>42923.520000000019</v>
      </c>
      <c r="BN75" s="116">
        <f t="shared" si="395"/>
        <v>169602.08</v>
      </c>
      <c r="BO75" s="117">
        <f t="shared" si="396"/>
        <v>212525.6</v>
      </c>
      <c r="BP75" s="113">
        <f t="shared" si="53"/>
        <v>60808.320000000007</v>
      </c>
      <c r="BQ75" s="116">
        <f t="shared" ref="BQ75:BR75" si="442">SUM(BN75,BJ75,BF75)</f>
        <v>408315.02999999997</v>
      </c>
      <c r="BR75" s="117">
        <f t="shared" si="442"/>
        <v>469123.35</v>
      </c>
      <c r="BS75" s="125">
        <f t="shared" si="398"/>
        <v>139779.85999999999</v>
      </c>
      <c r="BT75" s="140">
        <f t="shared" si="56"/>
        <v>0</v>
      </c>
      <c r="BU75" s="123">
        <f t="shared" si="399"/>
        <v>73736.149999999994</v>
      </c>
      <c r="BV75" s="148">
        <f t="shared" si="400"/>
        <v>73736.149999999994</v>
      </c>
      <c r="BW75" s="123">
        <f t="shared" si="401"/>
        <v>0</v>
      </c>
      <c r="BX75" s="326">
        <f t="shared" si="402"/>
        <v>81066.59</v>
      </c>
    </row>
    <row r="76" spans="1:76" ht="13">
      <c r="A76" s="420">
        <f t="shared" si="362"/>
        <v>112012626</v>
      </c>
      <c r="B76" s="93">
        <f t="shared" si="363"/>
        <v>1</v>
      </c>
      <c r="C76" s="743" t="str">
        <f t="shared" si="364"/>
        <v>Lista</v>
      </c>
      <c r="D76" s="743">
        <f t="shared" si="365"/>
        <v>0.09</v>
      </c>
      <c r="E76" s="898">
        <f t="shared" si="366"/>
        <v>0</v>
      </c>
      <c r="F76" s="547">
        <f t="shared" si="367"/>
        <v>71</v>
      </c>
      <c r="G76" s="699" t="str">
        <f t="shared" si="368"/>
        <v>Lista</v>
      </c>
      <c r="H76" s="702">
        <f t="shared" si="369"/>
        <v>0.05</v>
      </c>
      <c r="I76" s="475" t="s">
        <v>1336</v>
      </c>
      <c r="J76" s="471">
        <f>IFERROR(VLOOKUP(I76,MONTE24,3,FALSE),"")</f>
        <v>0</v>
      </c>
      <c r="K76" s="273">
        <v>3000000</v>
      </c>
      <c r="L76" s="140">
        <f t="shared" si="8"/>
        <v>0</v>
      </c>
      <c r="M76" s="326">
        <f t="shared" si="370"/>
        <v>0</v>
      </c>
      <c r="N76" s="333">
        <f t="shared" si="371"/>
        <v>0</v>
      </c>
      <c r="O76" s="123">
        <f t="shared" si="11"/>
        <v>-3000000</v>
      </c>
      <c r="P76" s="137">
        <f t="shared" si="12"/>
        <v>0</v>
      </c>
      <c r="Q76" s="1276">
        <f t="shared" si="372"/>
        <v>0</v>
      </c>
      <c r="R76" s="1277">
        <v>3000000</v>
      </c>
      <c r="S76" s="116">
        <f t="shared" si="14"/>
        <v>0</v>
      </c>
      <c r="T76" s="326">
        <f t="shared" si="373"/>
        <v>149234.91</v>
      </c>
      <c r="U76" s="326">
        <f t="shared" si="374"/>
        <v>149234.91</v>
      </c>
      <c r="V76" s="326">
        <f t="shared" si="17"/>
        <v>-2850765.09</v>
      </c>
      <c r="W76" s="137">
        <f t="shared" si="18"/>
        <v>4.9744969999999999E-2</v>
      </c>
      <c r="X76" s="1276">
        <f t="shared" si="375"/>
        <v>281424.77</v>
      </c>
      <c r="Y76" s="1278">
        <v>3000000</v>
      </c>
      <c r="Z76" s="113">
        <f t="shared" si="20"/>
        <v>0</v>
      </c>
      <c r="AA76" s="116">
        <f t="shared" si="376"/>
        <v>0</v>
      </c>
      <c r="AB76" s="117">
        <f t="shared" si="377"/>
        <v>0</v>
      </c>
      <c r="AC76" s="1279"/>
      <c r="AD76" s="1277"/>
      <c r="AE76" s="1280">
        <f t="shared" si="23"/>
        <v>9000000</v>
      </c>
      <c r="AF76" s="140">
        <f t="shared" si="378"/>
        <v>2487373.44</v>
      </c>
      <c r="AG76" s="326">
        <f t="shared" si="25"/>
        <v>0</v>
      </c>
      <c r="AH76" s="326">
        <f t="shared" ref="AH76:AI76" si="443">AA76+T76+M76</f>
        <v>149234.91</v>
      </c>
      <c r="AI76" s="326">
        <f t="shared" si="443"/>
        <v>149234.91</v>
      </c>
      <c r="AJ76" s="326">
        <f t="shared" si="27"/>
        <v>-2338138.5299999998</v>
      </c>
      <c r="AK76" s="1258">
        <f t="shared" si="28"/>
        <v>5.9996986218522945E-2</v>
      </c>
      <c r="AL76" s="125">
        <f t="shared" si="404"/>
        <v>957432.74</v>
      </c>
      <c r="AM76" s="140">
        <f t="shared" si="30"/>
        <v>1292774.6399999999</v>
      </c>
      <c r="AN76" s="123">
        <f t="shared" si="380"/>
        <v>194577.57</v>
      </c>
      <c r="AO76" s="148">
        <f t="shared" si="381"/>
        <v>1487352.21</v>
      </c>
      <c r="AP76" s="125">
        <f>IFERROR(VLOOKUP(I76,MONTE24,7,FALSE),"")</f>
        <v>1892562.26</v>
      </c>
      <c r="AQ76" s="140">
        <f t="shared" si="33"/>
        <v>191005.5</v>
      </c>
      <c r="AR76" s="326">
        <f t="shared" si="382"/>
        <v>0</v>
      </c>
      <c r="AS76" s="333">
        <f t="shared" si="383"/>
        <v>191005.5</v>
      </c>
      <c r="AT76" s="123">
        <f>IFERROR(VLOOKUP(I76,MONTE24,8,FALSE),"")</f>
        <v>0</v>
      </c>
      <c r="AU76" s="123">
        <f t="shared" si="36"/>
        <v>0</v>
      </c>
      <c r="AV76" s="123">
        <f t="shared" si="384"/>
        <v>194558.4</v>
      </c>
      <c r="AW76" s="125">
        <f t="shared" si="385"/>
        <v>194558.4</v>
      </c>
      <c r="AX76" s="122">
        <f t="shared" ref="AX76:AZ76" si="444">SUM(AU76,AQ76,AM76)</f>
        <v>1483780.14</v>
      </c>
      <c r="AY76" s="326">
        <f t="shared" si="444"/>
        <v>389135.97</v>
      </c>
      <c r="AZ76" s="332">
        <f t="shared" si="444"/>
        <v>1872916.1099999999</v>
      </c>
      <c r="BA76" s="140">
        <f t="shared" ref="BA76:BC76" si="445">SUM(AX76,AG76)</f>
        <v>1483780.14</v>
      </c>
      <c r="BB76" s="326">
        <f t="shared" si="445"/>
        <v>538370.88</v>
      </c>
      <c r="BC76" s="435">
        <f t="shared" si="445"/>
        <v>2022151.0199999998</v>
      </c>
      <c r="BD76" s="125">
        <f t="shared" si="388"/>
        <v>959115.99</v>
      </c>
      <c r="BE76" s="1166">
        <f t="shared" si="42"/>
        <v>0</v>
      </c>
      <c r="BF76" s="116">
        <f t="shared" si="389"/>
        <v>0</v>
      </c>
      <c r="BG76" s="121">
        <f t="shared" si="390"/>
        <v>0</v>
      </c>
      <c r="BH76" s="114">
        <f t="shared" si="391"/>
        <v>0</v>
      </c>
      <c r="BI76" s="416">
        <f t="shared" si="46"/>
        <v>0</v>
      </c>
      <c r="BJ76" s="121">
        <f t="shared" si="392"/>
        <v>275791.61</v>
      </c>
      <c r="BK76" s="121">
        <f t="shared" si="393"/>
        <v>275791.61</v>
      </c>
      <c r="BL76" s="121">
        <f t="shared" si="394"/>
        <v>1176684.8899999999</v>
      </c>
      <c r="BM76" s="113">
        <f t="shared" si="50"/>
        <v>0</v>
      </c>
      <c r="BN76" s="116">
        <f t="shared" si="395"/>
        <v>0</v>
      </c>
      <c r="BO76" s="117">
        <f t="shared" si="396"/>
        <v>0</v>
      </c>
      <c r="BP76" s="113">
        <f t="shared" si="53"/>
        <v>0</v>
      </c>
      <c r="BQ76" s="116">
        <f t="shared" ref="BQ76:BR76" si="446">SUM(BN76,BJ76,BF76)</f>
        <v>275791.61</v>
      </c>
      <c r="BR76" s="117">
        <f t="shared" si="446"/>
        <v>275791.61</v>
      </c>
      <c r="BS76" s="125">
        <f t="shared" si="398"/>
        <v>573234.09</v>
      </c>
      <c r="BT76" s="140">
        <f t="shared" si="56"/>
        <v>0</v>
      </c>
      <c r="BU76" s="123">
        <f t="shared" si="399"/>
        <v>0</v>
      </c>
      <c r="BV76" s="148">
        <f t="shared" si="400"/>
        <v>0</v>
      </c>
      <c r="BW76" s="123">
        <f t="shared" si="401"/>
        <v>0</v>
      </c>
      <c r="BX76" s="326">
        <f t="shared" si="402"/>
        <v>1914139.34</v>
      </c>
    </row>
    <row r="77" spans="1:76" ht="13">
      <c r="A77" s="420">
        <f t="shared" si="362"/>
        <v>112013167</v>
      </c>
      <c r="B77" s="93">
        <f t="shared" si="363"/>
        <v>1</v>
      </c>
      <c r="C77" s="558" t="str">
        <f t="shared" si="364"/>
        <v>Lista</v>
      </c>
      <c r="D77" s="558">
        <f t="shared" si="365"/>
        <v>0.09</v>
      </c>
      <c r="E77" s="559">
        <f t="shared" si="366"/>
        <v>0</v>
      </c>
      <c r="F77" s="547">
        <f t="shared" si="367"/>
        <v>71</v>
      </c>
      <c r="G77" s="699" t="str">
        <f t="shared" si="368"/>
        <v>Lista</v>
      </c>
      <c r="H77" s="702">
        <f t="shared" si="369"/>
        <v>0.05</v>
      </c>
      <c r="I77" s="423" t="s">
        <v>1337</v>
      </c>
      <c r="J77" s="326"/>
      <c r="K77" s="121"/>
      <c r="L77" s="140" t="e">
        <f t="shared" si="8"/>
        <v>#VALUE!</v>
      </c>
      <c r="M77" s="326" t="str">
        <f t="shared" si="370"/>
        <v/>
      </c>
      <c r="N77" s="333">
        <f t="shared" si="371"/>
        <v>0</v>
      </c>
      <c r="O77" s="123">
        <f t="shared" si="11"/>
        <v>0</v>
      </c>
      <c r="P77" s="137" t="e">
        <f t="shared" si="12"/>
        <v>#DIV/0!</v>
      </c>
      <c r="Q77" s="326" t="str">
        <f t="shared" si="372"/>
        <v/>
      </c>
      <c r="R77" s="116">
        <v>1800000</v>
      </c>
      <c r="S77" s="116" t="e">
        <f t="shared" si="14"/>
        <v>#VALUE!</v>
      </c>
      <c r="T77" s="326" t="str">
        <f t="shared" si="373"/>
        <v/>
      </c>
      <c r="U77" s="326">
        <f t="shared" si="374"/>
        <v>0</v>
      </c>
      <c r="V77" s="326">
        <f t="shared" si="17"/>
        <v>-1800000</v>
      </c>
      <c r="W77" s="137">
        <f t="shared" si="18"/>
        <v>0</v>
      </c>
      <c r="X77" s="326" t="str">
        <f t="shared" si="375"/>
        <v/>
      </c>
      <c r="Y77" s="121">
        <v>1800000</v>
      </c>
      <c r="Z77" s="113" t="e">
        <f t="shared" si="20"/>
        <v>#VALUE!</v>
      </c>
      <c r="AA77" s="116" t="str">
        <f t="shared" si="376"/>
        <v/>
      </c>
      <c r="AB77" s="117">
        <f t="shared" si="377"/>
        <v>0</v>
      </c>
      <c r="AC77" s="114"/>
      <c r="AD77" s="116"/>
      <c r="AE77" s="1257">
        <f t="shared" si="23"/>
        <v>3600000</v>
      </c>
      <c r="AF77" s="140">
        <f t="shared" si="378"/>
        <v>4466220.6100000003</v>
      </c>
      <c r="AG77" s="326" t="e">
        <f t="shared" si="25"/>
        <v>#VALUE!</v>
      </c>
      <c r="AH77" s="326" t="e">
        <f t="shared" ref="AH77:AI77" si="447">AA77+T77+M77</f>
        <v>#VALUE!</v>
      </c>
      <c r="AI77" s="326">
        <f t="shared" si="447"/>
        <v>0</v>
      </c>
      <c r="AJ77" s="326">
        <f t="shared" si="27"/>
        <v>-4466220.6100000003</v>
      </c>
      <c r="AK77" s="1258">
        <f t="shared" si="28"/>
        <v>0</v>
      </c>
      <c r="AL77" s="125" t="str">
        <f t="shared" si="404"/>
        <v/>
      </c>
      <c r="AM77" s="140" t="e">
        <f t="shared" si="30"/>
        <v>#VALUE!</v>
      </c>
      <c r="AN77" s="123" t="str">
        <f t="shared" si="380"/>
        <v/>
      </c>
      <c r="AO77" s="148">
        <f t="shared" si="381"/>
        <v>0</v>
      </c>
      <c r="AP77" s="125"/>
      <c r="AQ77" s="140" t="e">
        <f t="shared" si="33"/>
        <v>#VALUE!</v>
      </c>
      <c r="AR77" s="326" t="str">
        <f t="shared" si="382"/>
        <v/>
      </c>
      <c r="AS77" s="333">
        <f t="shared" si="383"/>
        <v>248435.59</v>
      </c>
      <c r="AT77" s="123"/>
      <c r="AU77" s="123" t="e">
        <f t="shared" si="36"/>
        <v>#VALUE!</v>
      </c>
      <c r="AV77" s="123" t="str">
        <f t="shared" si="384"/>
        <v/>
      </c>
      <c r="AW77" s="125">
        <f t="shared" si="385"/>
        <v>0</v>
      </c>
      <c r="AX77" s="122" t="e">
        <f t="shared" ref="AX77:AZ77" si="448">SUM(AU77,AQ77,AM77)</f>
        <v>#VALUE!</v>
      </c>
      <c r="AY77" s="326">
        <f t="shared" si="448"/>
        <v>0</v>
      </c>
      <c r="AZ77" s="332">
        <f t="shared" si="448"/>
        <v>248435.59</v>
      </c>
      <c r="BA77" s="140" t="e">
        <f t="shared" ref="BA77:BC77" si="449">SUM(AX77,AG77)</f>
        <v>#VALUE!</v>
      </c>
      <c r="BB77" s="326" t="e">
        <f t="shared" si="449"/>
        <v>#VALUE!</v>
      </c>
      <c r="BC77" s="435">
        <f t="shared" si="449"/>
        <v>248435.59</v>
      </c>
      <c r="BD77" s="125" t="str">
        <f t="shared" si="388"/>
        <v/>
      </c>
      <c r="BE77" s="1166" t="e">
        <f t="shared" si="42"/>
        <v>#VALUE!</v>
      </c>
      <c r="BF77" s="116" t="str">
        <f t="shared" si="389"/>
        <v/>
      </c>
      <c r="BG77" s="121">
        <f t="shared" si="390"/>
        <v>1853092.29</v>
      </c>
      <c r="BH77" s="114" t="str">
        <f t="shared" si="391"/>
        <v/>
      </c>
      <c r="BI77" s="416" t="e">
        <f t="shared" si="46"/>
        <v>#VALUE!</v>
      </c>
      <c r="BJ77" s="121" t="str">
        <f t="shared" si="392"/>
        <v/>
      </c>
      <c r="BK77" s="121">
        <f t="shared" si="393"/>
        <v>441741.6</v>
      </c>
      <c r="BL77" s="121" t="str">
        <f t="shared" si="394"/>
        <v/>
      </c>
      <c r="BM77" s="113" t="e">
        <f t="shared" si="50"/>
        <v>#VALUE!</v>
      </c>
      <c r="BN77" s="116" t="str">
        <f t="shared" si="395"/>
        <v/>
      </c>
      <c r="BO77" s="117">
        <f t="shared" si="396"/>
        <v>474234.93</v>
      </c>
      <c r="BP77" s="113">
        <f t="shared" si="53"/>
        <v>2769068.8200000003</v>
      </c>
      <c r="BQ77" s="116">
        <f t="shared" ref="BQ77:BR77" si="450">SUM(BN77,BJ77,BF77)</f>
        <v>0</v>
      </c>
      <c r="BR77" s="117">
        <f t="shared" si="450"/>
        <v>2769068.8200000003</v>
      </c>
      <c r="BS77" s="125" t="str">
        <f t="shared" si="398"/>
        <v/>
      </c>
      <c r="BT77" s="140" t="e">
        <f t="shared" si="56"/>
        <v>#VALUE!</v>
      </c>
      <c r="BU77" s="123" t="str">
        <f t="shared" si="399"/>
        <v/>
      </c>
      <c r="BV77" s="148">
        <f t="shared" si="400"/>
        <v>0</v>
      </c>
      <c r="BW77" s="123" t="str">
        <f t="shared" si="401"/>
        <v/>
      </c>
      <c r="BX77" s="326" t="str">
        <f t="shared" si="402"/>
        <v/>
      </c>
    </row>
    <row r="78" spans="1:76" ht="13">
      <c r="A78" s="420">
        <f t="shared" si="362"/>
        <v>112013925</v>
      </c>
      <c r="B78" s="93">
        <f t="shared" si="363"/>
        <v>1</v>
      </c>
      <c r="C78" s="558" t="str">
        <f t="shared" si="364"/>
        <v>Lista</v>
      </c>
      <c r="D78" s="558">
        <f t="shared" si="365"/>
        <v>0.09</v>
      </c>
      <c r="E78" s="559">
        <f t="shared" si="366"/>
        <v>0</v>
      </c>
      <c r="F78" s="547">
        <f t="shared" si="367"/>
        <v>71</v>
      </c>
      <c r="G78" s="699" t="str">
        <f t="shared" si="368"/>
        <v>Lista</v>
      </c>
      <c r="H78" s="702">
        <f t="shared" si="369"/>
        <v>0.05</v>
      </c>
      <c r="I78" s="423" t="s">
        <v>1338</v>
      </c>
      <c r="J78" s="326"/>
      <c r="K78" s="121"/>
      <c r="L78" s="140">
        <f t="shared" si="8"/>
        <v>0</v>
      </c>
      <c r="M78" s="326">
        <f t="shared" si="370"/>
        <v>0</v>
      </c>
      <c r="N78" s="333">
        <f t="shared" si="371"/>
        <v>0</v>
      </c>
      <c r="O78" s="123">
        <f t="shared" si="11"/>
        <v>0</v>
      </c>
      <c r="P78" s="137" t="e">
        <f t="shared" si="12"/>
        <v>#DIV/0!</v>
      </c>
      <c r="Q78" s="326" t="str">
        <f t="shared" si="372"/>
        <v/>
      </c>
      <c r="R78" s="116">
        <v>1800000</v>
      </c>
      <c r="S78" s="116">
        <f t="shared" si="14"/>
        <v>0</v>
      </c>
      <c r="T78" s="326">
        <f t="shared" si="373"/>
        <v>0</v>
      </c>
      <c r="U78" s="326">
        <f t="shared" si="374"/>
        <v>0</v>
      </c>
      <c r="V78" s="326">
        <f t="shared" si="17"/>
        <v>-1800000</v>
      </c>
      <c r="W78" s="137">
        <f t="shared" si="18"/>
        <v>0</v>
      </c>
      <c r="X78" s="326" t="str">
        <f t="shared" si="375"/>
        <v/>
      </c>
      <c r="Y78" s="121">
        <v>1800000</v>
      </c>
      <c r="Z78" s="113">
        <f t="shared" si="20"/>
        <v>0</v>
      </c>
      <c r="AA78" s="116">
        <f t="shared" si="376"/>
        <v>0</v>
      </c>
      <c r="AB78" s="117">
        <f t="shared" si="377"/>
        <v>0</v>
      </c>
      <c r="AC78" s="114"/>
      <c r="AD78" s="116"/>
      <c r="AE78" s="1257">
        <f t="shared" si="23"/>
        <v>3600000</v>
      </c>
      <c r="AF78" s="140">
        <f t="shared" si="378"/>
        <v>242878.6</v>
      </c>
      <c r="AG78" s="326">
        <f t="shared" si="25"/>
        <v>0</v>
      </c>
      <c r="AH78" s="326">
        <f t="shared" ref="AH78:AI78" si="451">AA78+T78+M78</f>
        <v>0</v>
      </c>
      <c r="AI78" s="326">
        <f t="shared" si="451"/>
        <v>0</v>
      </c>
      <c r="AJ78" s="326">
        <f t="shared" si="27"/>
        <v>-242878.6</v>
      </c>
      <c r="AK78" s="1258">
        <f t="shared" si="28"/>
        <v>0</v>
      </c>
      <c r="AL78" s="125" t="str">
        <f t="shared" si="404"/>
        <v/>
      </c>
      <c r="AM78" s="140">
        <f t="shared" si="30"/>
        <v>0</v>
      </c>
      <c r="AN78" s="123">
        <f t="shared" si="380"/>
        <v>0</v>
      </c>
      <c r="AO78" s="148">
        <f t="shared" si="381"/>
        <v>0</v>
      </c>
      <c r="AP78" s="125"/>
      <c r="AQ78" s="140">
        <f t="shared" si="33"/>
        <v>0</v>
      </c>
      <c r="AR78" s="326">
        <f t="shared" si="382"/>
        <v>0</v>
      </c>
      <c r="AS78" s="333">
        <f t="shared" si="383"/>
        <v>0</v>
      </c>
      <c r="AT78" s="123"/>
      <c r="AU78" s="123">
        <f t="shared" si="36"/>
        <v>0</v>
      </c>
      <c r="AV78" s="123">
        <f t="shared" si="384"/>
        <v>0</v>
      </c>
      <c r="AW78" s="125">
        <f t="shared" si="385"/>
        <v>0</v>
      </c>
      <c r="AX78" s="122">
        <f t="shared" ref="AX78:AZ78" si="452">SUM(AU78,AQ78,AM78)</f>
        <v>0</v>
      </c>
      <c r="AY78" s="326">
        <f t="shared" si="452"/>
        <v>0</v>
      </c>
      <c r="AZ78" s="332">
        <f t="shared" si="452"/>
        <v>0</v>
      </c>
      <c r="BA78" s="140">
        <f t="shared" ref="BA78:BC78" si="453">SUM(AX78,AG78)</f>
        <v>0</v>
      </c>
      <c r="BB78" s="326">
        <f t="shared" si="453"/>
        <v>0</v>
      </c>
      <c r="BC78" s="435">
        <f t="shared" si="453"/>
        <v>0</v>
      </c>
      <c r="BD78" s="125" t="str">
        <f t="shared" si="388"/>
        <v/>
      </c>
      <c r="BE78" s="1166">
        <f t="shared" si="42"/>
        <v>172565.81</v>
      </c>
      <c r="BF78" s="116">
        <f t="shared" si="389"/>
        <v>12625.94</v>
      </c>
      <c r="BG78" s="121">
        <f t="shared" si="390"/>
        <v>185191.75</v>
      </c>
      <c r="BH78" s="114" t="str">
        <f t="shared" si="391"/>
        <v/>
      </c>
      <c r="BI78" s="416">
        <f t="shared" si="46"/>
        <v>0</v>
      </c>
      <c r="BJ78" s="121">
        <f t="shared" si="392"/>
        <v>0</v>
      </c>
      <c r="BK78" s="121">
        <f t="shared" si="393"/>
        <v>0</v>
      </c>
      <c r="BL78" s="121" t="str">
        <f t="shared" si="394"/>
        <v/>
      </c>
      <c r="BM78" s="113">
        <f t="shared" si="50"/>
        <v>0</v>
      </c>
      <c r="BN78" s="116">
        <f t="shared" si="395"/>
        <v>0</v>
      </c>
      <c r="BO78" s="117">
        <f t="shared" si="396"/>
        <v>0</v>
      </c>
      <c r="BP78" s="113">
        <f t="shared" si="53"/>
        <v>172565.81</v>
      </c>
      <c r="BQ78" s="116">
        <f t="shared" ref="BQ78:BR78" si="454">SUM(BN78,BJ78,BF78)</f>
        <v>12625.94</v>
      </c>
      <c r="BR78" s="117">
        <f t="shared" si="454"/>
        <v>185191.75</v>
      </c>
      <c r="BS78" s="125" t="str">
        <f t="shared" si="398"/>
        <v/>
      </c>
      <c r="BT78" s="140">
        <f t="shared" si="56"/>
        <v>0</v>
      </c>
      <c r="BU78" s="123">
        <f t="shared" si="399"/>
        <v>0</v>
      </c>
      <c r="BV78" s="148">
        <f t="shared" si="400"/>
        <v>0</v>
      </c>
      <c r="BW78" s="123" t="str">
        <f t="shared" si="401"/>
        <v/>
      </c>
      <c r="BX78" s="326" t="str">
        <f t="shared" si="402"/>
        <v/>
      </c>
    </row>
    <row r="79" spans="1:76" ht="13">
      <c r="A79" s="420">
        <f t="shared" si="362"/>
        <v>112014546</v>
      </c>
      <c r="B79" s="93">
        <f t="shared" si="363"/>
        <v>1</v>
      </c>
      <c r="C79" s="558" t="str">
        <f t="shared" si="364"/>
        <v>Lista</v>
      </c>
      <c r="D79" s="558">
        <f t="shared" si="365"/>
        <v>0.09</v>
      </c>
      <c r="E79" s="559">
        <f t="shared" si="366"/>
        <v>0</v>
      </c>
      <c r="F79" s="547">
        <f t="shared" si="367"/>
        <v>71</v>
      </c>
      <c r="G79" s="699" t="str">
        <f t="shared" si="368"/>
        <v>Lista</v>
      </c>
      <c r="H79" s="702">
        <f t="shared" si="369"/>
        <v>0.05</v>
      </c>
      <c r="I79" s="423" t="s">
        <v>1339</v>
      </c>
      <c r="J79" s="326"/>
      <c r="K79" s="121"/>
      <c r="L79" s="140" t="e">
        <f t="shared" si="8"/>
        <v>#VALUE!</v>
      </c>
      <c r="M79" s="326" t="str">
        <f t="shared" si="370"/>
        <v/>
      </c>
      <c r="N79" s="333">
        <f t="shared" si="371"/>
        <v>0</v>
      </c>
      <c r="O79" s="123">
        <f t="shared" si="11"/>
        <v>0</v>
      </c>
      <c r="P79" s="137" t="e">
        <f t="shared" si="12"/>
        <v>#DIV/0!</v>
      </c>
      <c r="Q79" s="326" t="str">
        <f t="shared" si="372"/>
        <v/>
      </c>
      <c r="R79" s="116">
        <v>1800000</v>
      </c>
      <c r="S79" s="116" t="e">
        <f t="shared" si="14"/>
        <v>#VALUE!</v>
      </c>
      <c r="T79" s="326" t="str">
        <f t="shared" si="373"/>
        <v/>
      </c>
      <c r="U79" s="326">
        <f t="shared" si="374"/>
        <v>0</v>
      </c>
      <c r="V79" s="326">
        <f t="shared" si="17"/>
        <v>-1800000</v>
      </c>
      <c r="W79" s="137">
        <f t="shared" si="18"/>
        <v>0</v>
      </c>
      <c r="X79" s="326" t="str">
        <f t="shared" si="375"/>
        <v/>
      </c>
      <c r="Y79" s="121">
        <v>1800000</v>
      </c>
      <c r="Z79" s="113" t="e">
        <f t="shared" si="20"/>
        <v>#VALUE!</v>
      </c>
      <c r="AA79" s="116" t="str">
        <f t="shared" si="376"/>
        <v/>
      </c>
      <c r="AB79" s="117">
        <f t="shared" si="377"/>
        <v>0</v>
      </c>
      <c r="AC79" s="114"/>
      <c r="AD79" s="116"/>
      <c r="AE79" s="1257">
        <f t="shared" si="23"/>
        <v>3600000</v>
      </c>
      <c r="AF79" s="140" t="str">
        <f t="shared" si="378"/>
        <v>0</v>
      </c>
      <c r="AG79" s="326" t="e">
        <f t="shared" si="25"/>
        <v>#VALUE!</v>
      </c>
      <c r="AH79" s="326" t="e">
        <f t="shared" ref="AH79:AI79" si="455">AA79+T79+M79</f>
        <v>#VALUE!</v>
      </c>
      <c r="AI79" s="326">
        <f t="shared" si="455"/>
        <v>0</v>
      </c>
      <c r="AJ79" s="326">
        <f t="shared" si="27"/>
        <v>0</v>
      </c>
      <c r="AK79" s="1258" t="str">
        <f t="shared" si="28"/>
        <v/>
      </c>
      <c r="AL79" s="125" t="str">
        <f t="shared" si="404"/>
        <v/>
      </c>
      <c r="AM79" s="140" t="e">
        <f t="shared" si="30"/>
        <v>#VALUE!</v>
      </c>
      <c r="AN79" s="123" t="str">
        <f t="shared" si="380"/>
        <v/>
      </c>
      <c r="AO79" s="148">
        <f t="shared" si="381"/>
        <v>0</v>
      </c>
      <c r="AP79" s="125"/>
      <c r="AQ79" s="140" t="e">
        <f t="shared" si="33"/>
        <v>#VALUE!</v>
      </c>
      <c r="AR79" s="326" t="str">
        <f t="shared" si="382"/>
        <v/>
      </c>
      <c r="AS79" s="333">
        <f t="shared" si="383"/>
        <v>0</v>
      </c>
      <c r="AT79" s="123"/>
      <c r="AU79" s="123" t="e">
        <f t="shared" si="36"/>
        <v>#VALUE!</v>
      </c>
      <c r="AV79" s="123" t="str">
        <f t="shared" si="384"/>
        <v/>
      </c>
      <c r="AW79" s="125">
        <f t="shared" si="385"/>
        <v>293215.96999999997</v>
      </c>
      <c r="AX79" s="122" t="e">
        <f t="shared" ref="AX79:AZ79" si="456">SUM(AU79,AQ79,AM79)</f>
        <v>#VALUE!</v>
      </c>
      <c r="AY79" s="326">
        <f t="shared" si="456"/>
        <v>0</v>
      </c>
      <c r="AZ79" s="332">
        <f t="shared" si="456"/>
        <v>293215.96999999997</v>
      </c>
      <c r="BA79" s="140" t="e">
        <f t="shared" ref="BA79:BC79" si="457">SUM(AX79,AG79)</f>
        <v>#VALUE!</v>
      </c>
      <c r="BB79" s="326" t="e">
        <f t="shared" si="457"/>
        <v>#VALUE!</v>
      </c>
      <c r="BC79" s="435">
        <f t="shared" si="457"/>
        <v>293215.96999999997</v>
      </c>
      <c r="BD79" s="125" t="str">
        <f t="shared" si="388"/>
        <v/>
      </c>
      <c r="BE79" s="1166" t="e">
        <f t="shared" si="42"/>
        <v>#VALUE!</v>
      </c>
      <c r="BF79" s="116" t="str">
        <f t="shared" si="389"/>
        <v/>
      </c>
      <c r="BG79" s="121">
        <f t="shared" si="390"/>
        <v>0</v>
      </c>
      <c r="BH79" s="114" t="str">
        <f t="shared" si="391"/>
        <v/>
      </c>
      <c r="BI79" s="416" t="e">
        <f t="shared" si="46"/>
        <v>#VALUE!</v>
      </c>
      <c r="BJ79" s="121" t="str">
        <f t="shared" si="392"/>
        <v/>
      </c>
      <c r="BK79" s="121">
        <f t="shared" si="393"/>
        <v>0</v>
      </c>
      <c r="BL79" s="121" t="str">
        <f t="shared" si="394"/>
        <v/>
      </c>
      <c r="BM79" s="113" t="e">
        <f t="shared" si="50"/>
        <v>#VALUE!</v>
      </c>
      <c r="BN79" s="116" t="str">
        <f t="shared" si="395"/>
        <v/>
      </c>
      <c r="BO79" s="117">
        <f t="shared" si="396"/>
        <v>0</v>
      </c>
      <c r="BP79" s="113">
        <f t="shared" si="53"/>
        <v>0</v>
      </c>
      <c r="BQ79" s="116">
        <f t="shared" ref="BQ79:BR79" si="458">SUM(BN79,BJ79,BF79)</f>
        <v>0</v>
      </c>
      <c r="BR79" s="117">
        <f t="shared" si="458"/>
        <v>0</v>
      </c>
      <c r="BS79" s="125" t="str">
        <f t="shared" si="398"/>
        <v/>
      </c>
      <c r="BT79" s="140" t="e">
        <f t="shared" si="56"/>
        <v>#VALUE!</v>
      </c>
      <c r="BU79" s="123" t="str">
        <f t="shared" si="399"/>
        <v/>
      </c>
      <c r="BV79" s="148">
        <f t="shared" si="400"/>
        <v>0</v>
      </c>
      <c r="BW79" s="123" t="str">
        <f t="shared" si="401"/>
        <v/>
      </c>
      <c r="BX79" s="326" t="str">
        <f t="shared" si="402"/>
        <v/>
      </c>
    </row>
    <row r="80" spans="1:76" ht="13">
      <c r="A80" s="420">
        <f t="shared" si="362"/>
        <v>112013323</v>
      </c>
      <c r="B80" s="93">
        <f t="shared" si="363"/>
        <v>1</v>
      </c>
      <c r="C80" s="558" t="str">
        <f t="shared" si="364"/>
        <v>Lista</v>
      </c>
      <c r="D80" s="558">
        <f t="shared" si="365"/>
        <v>0.09</v>
      </c>
      <c r="E80" s="559">
        <f t="shared" si="366"/>
        <v>0</v>
      </c>
      <c r="F80" s="547">
        <f t="shared" si="367"/>
        <v>71</v>
      </c>
      <c r="G80" s="699" t="str">
        <f t="shared" si="368"/>
        <v>Lista</v>
      </c>
      <c r="H80" s="702">
        <f t="shared" si="369"/>
        <v>0.05</v>
      </c>
      <c r="I80" s="423" t="s">
        <v>1340</v>
      </c>
      <c r="J80" s="326"/>
      <c r="K80" s="121"/>
      <c r="L80" s="140" t="e">
        <f t="shared" si="8"/>
        <v>#VALUE!</v>
      </c>
      <c r="M80" s="326" t="str">
        <f t="shared" si="370"/>
        <v/>
      </c>
      <c r="N80" s="333" t="str">
        <f t="shared" si="371"/>
        <v/>
      </c>
      <c r="O80" s="123" t="e">
        <f t="shared" si="11"/>
        <v>#VALUE!</v>
      </c>
      <c r="P80" s="137" t="e">
        <f t="shared" si="12"/>
        <v>#VALUE!</v>
      </c>
      <c r="Q80" s="326" t="str">
        <f t="shared" si="372"/>
        <v/>
      </c>
      <c r="R80" s="116">
        <v>1800000</v>
      </c>
      <c r="S80" s="116" t="e">
        <f t="shared" si="14"/>
        <v>#VALUE!</v>
      </c>
      <c r="T80" s="326" t="str">
        <f t="shared" si="373"/>
        <v/>
      </c>
      <c r="U80" s="326" t="str">
        <f t="shared" si="374"/>
        <v/>
      </c>
      <c r="V80" s="326" t="e">
        <f t="shared" si="17"/>
        <v>#VALUE!</v>
      </c>
      <c r="W80" s="137" t="e">
        <f t="shared" si="18"/>
        <v>#VALUE!</v>
      </c>
      <c r="X80" s="326" t="str">
        <f t="shared" si="375"/>
        <v/>
      </c>
      <c r="Y80" s="121">
        <v>1800000</v>
      </c>
      <c r="Z80" s="113" t="e">
        <f t="shared" si="20"/>
        <v>#VALUE!</v>
      </c>
      <c r="AA80" s="116" t="str">
        <f t="shared" si="376"/>
        <v/>
      </c>
      <c r="AB80" s="117" t="str">
        <f t="shared" si="377"/>
        <v/>
      </c>
      <c r="AC80" s="114"/>
      <c r="AD80" s="116"/>
      <c r="AE80" s="1257">
        <f t="shared" si="23"/>
        <v>3600000</v>
      </c>
      <c r="AF80" s="140">
        <f t="shared" si="378"/>
        <v>1414075.01</v>
      </c>
      <c r="AG80" s="326" t="e">
        <f t="shared" si="25"/>
        <v>#VALUE!</v>
      </c>
      <c r="AH80" s="326" t="e">
        <f t="shared" ref="AH80:AI80" si="459">AA80+T80+M80</f>
        <v>#VALUE!</v>
      </c>
      <c r="AI80" s="326" t="e">
        <f t="shared" si="459"/>
        <v>#VALUE!</v>
      </c>
      <c r="AJ80" s="326" t="e">
        <f t="shared" si="27"/>
        <v>#VALUE!</v>
      </c>
      <c r="AK80" s="1258" t="str">
        <f t="shared" si="28"/>
        <v/>
      </c>
      <c r="AL80" s="125" t="str">
        <f t="shared" si="404"/>
        <v/>
      </c>
      <c r="AM80" s="140" t="e">
        <f t="shared" si="30"/>
        <v>#VALUE!</v>
      </c>
      <c r="AN80" s="123" t="str">
        <f t="shared" si="380"/>
        <v/>
      </c>
      <c r="AO80" s="148" t="str">
        <f t="shared" si="381"/>
        <v/>
      </c>
      <c r="AP80" s="125"/>
      <c r="AQ80" s="140" t="e">
        <f t="shared" si="33"/>
        <v>#VALUE!</v>
      </c>
      <c r="AR80" s="326" t="str">
        <f t="shared" si="382"/>
        <v/>
      </c>
      <c r="AS80" s="333" t="str">
        <f t="shared" si="383"/>
        <v/>
      </c>
      <c r="AT80" s="123"/>
      <c r="AU80" s="123" t="e">
        <f t="shared" si="36"/>
        <v>#VALUE!</v>
      </c>
      <c r="AV80" s="123" t="str">
        <f t="shared" si="384"/>
        <v/>
      </c>
      <c r="AW80" s="125" t="str">
        <f t="shared" si="385"/>
        <v/>
      </c>
      <c r="AX80" s="122" t="e">
        <f t="shared" ref="AX80:AZ80" si="460">SUM(AU80,AQ80,AM80)</f>
        <v>#VALUE!</v>
      </c>
      <c r="AY80" s="326">
        <f t="shared" si="460"/>
        <v>0</v>
      </c>
      <c r="AZ80" s="332">
        <f t="shared" si="460"/>
        <v>0</v>
      </c>
      <c r="BA80" s="140" t="e">
        <f t="shared" ref="BA80:BC80" si="461">SUM(AX80,AG80)</f>
        <v>#VALUE!</v>
      </c>
      <c r="BB80" s="326" t="e">
        <f t="shared" si="461"/>
        <v>#VALUE!</v>
      </c>
      <c r="BC80" s="435" t="e">
        <f t="shared" si="461"/>
        <v>#VALUE!</v>
      </c>
      <c r="BD80" s="125" t="str">
        <f t="shared" si="388"/>
        <v/>
      </c>
      <c r="BE80" s="1166" t="e">
        <f t="shared" si="42"/>
        <v>#VALUE!</v>
      </c>
      <c r="BF80" s="116" t="str">
        <f t="shared" si="389"/>
        <v/>
      </c>
      <c r="BG80" s="121" t="str">
        <f t="shared" si="390"/>
        <v/>
      </c>
      <c r="BH80" s="114" t="str">
        <f t="shared" si="391"/>
        <v/>
      </c>
      <c r="BI80" s="416" t="e">
        <f t="shared" si="46"/>
        <v>#VALUE!</v>
      </c>
      <c r="BJ80" s="121" t="str">
        <f t="shared" si="392"/>
        <v/>
      </c>
      <c r="BK80" s="121" t="str">
        <f t="shared" si="393"/>
        <v/>
      </c>
      <c r="BL80" s="121" t="str">
        <f t="shared" si="394"/>
        <v/>
      </c>
      <c r="BM80" s="113" t="e">
        <f t="shared" si="50"/>
        <v>#VALUE!</v>
      </c>
      <c r="BN80" s="116" t="str">
        <f t="shared" si="395"/>
        <v/>
      </c>
      <c r="BO80" s="117" t="str">
        <f t="shared" si="396"/>
        <v/>
      </c>
      <c r="BP80" s="113">
        <f t="shared" si="53"/>
        <v>0</v>
      </c>
      <c r="BQ80" s="116">
        <f t="shared" ref="BQ80:BR80" si="462">SUM(BN80,BJ80,BF80)</f>
        <v>0</v>
      </c>
      <c r="BR80" s="117">
        <f t="shared" si="462"/>
        <v>0</v>
      </c>
      <c r="BS80" s="125" t="str">
        <f t="shared" si="398"/>
        <v/>
      </c>
      <c r="BT80" s="140" t="e">
        <f t="shared" si="56"/>
        <v>#VALUE!</v>
      </c>
      <c r="BU80" s="123" t="str">
        <f t="shared" si="399"/>
        <v/>
      </c>
      <c r="BV80" s="148" t="str">
        <f t="shared" si="400"/>
        <v/>
      </c>
      <c r="BW80" s="123" t="str">
        <f t="shared" si="401"/>
        <v/>
      </c>
      <c r="BX80" s="326" t="str">
        <f t="shared" si="402"/>
        <v/>
      </c>
    </row>
    <row r="81" spans="1:76" ht="13">
      <c r="A81" s="420">
        <f t="shared" si="362"/>
        <v>112013975</v>
      </c>
      <c r="B81" s="93">
        <f t="shared" si="363"/>
        <v>1</v>
      </c>
      <c r="C81" s="558" t="str">
        <f t="shared" si="364"/>
        <v>Lista</v>
      </c>
      <c r="D81" s="558">
        <f t="shared" si="365"/>
        <v>0.09</v>
      </c>
      <c r="E81" s="559">
        <f t="shared" si="366"/>
        <v>0</v>
      </c>
      <c r="F81" s="547">
        <f t="shared" si="367"/>
        <v>71</v>
      </c>
      <c r="G81" s="699" t="str">
        <f t="shared" si="368"/>
        <v>Lista</v>
      </c>
      <c r="H81" s="702">
        <f t="shared" si="369"/>
        <v>0.05</v>
      </c>
      <c r="I81" s="423" t="s">
        <v>1341</v>
      </c>
      <c r="J81" s="326">
        <f>IFERROR(VLOOKUP(I81,MONTE24,3,FALSE),"")</f>
        <v>0</v>
      </c>
      <c r="K81" s="121">
        <v>1800000</v>
      </c>
      <c r="L81" s="140">
        <f t="shared" si="8"/>
        <v>0</v>
      </c>
      <c r="M81" s="326">
        <f t="shared" si="370"/>
        <v>0</v>
      </c>
      <c r="N81" s="333">
        <f t="shared" si="371"/>
        <v>0</v>
      </c>
      <c r="O81" s="123">
        <f t="shared" si="11"/>
        <v>-1800000</v>
      </c>
      <c r="P81" s="137">
        <f t="shared" si="12"/>
        <v>0</v>
      </c>
      <c r="Q81" s="326">
        <f t="shared" si="372"/>
        <v>0</v>
      </c>
      <c r="R81" s="116">
        <v>1800000</v>
      </c>
      <c r="S81" s="116">
        <f t="shared" si="14"/>
        <v>0</v>
      </c>
      <c r="T81" s="326">
        <f t="shared" si="373"/>
        <v>0</v>
      </c>
      <c r="U81" s="326">
        <f t="shared" si="374"/>
        <v>0</v>
      </c>
      <c r="V81" s="326">
        <f t="shared" si="17"/>
        <v>-1800000</v>
      </c>
      <c r="W81" s="137">
        <f t="shared" si="18"/>
        <v>0</v>
      </c>
      <c r="X81" s="326">
        <f t="shared" si="375"/>
        <v>0</v>
      </c>
      <c r="Y81" s="121">
        <v>1800000</v>
      </c>
      <c r="Z81" s="113">
        <f t="shared" si="20"/>
        <v>0</v>
      </c>
      <c r="AA81" s="116">
        <f t="shared" si="376"/>
        <v>0</v>
      </c>
      <c r="AB81" s="117">
        <f t="shared" si="377"/>
        <v>0</v>
      </c>
      <c r="AC81" s="114"/>
      <c r="AD81" s="116"/>
      <c r="AE81" s="1257">
        <f t="shared" si="23"/>
        <v>5400000</v>
      </c>
      <c r="AF81" s="140" t="str">
        <f t="shared" si="378"/>
        <v>0</v>
      </c>
      <c r="AG81" s="326">
        <f t="shared" si="25"/>
        <v>0</v>
      </c>
      <c r="AH81" s="326">
        <f t="shared" ref="AH81:AI81" si="463">AA81+T81+M81</f>
        <v>0</v>
      </c>
      <c r="AI81" s="326">
        <f t="shared" si="463"/>
        <v>0</v>
      </c>
      <c r="AJ81" s="326">
        <f t="shared" si="27"/>
        <v>0</v>
      </c>
      <c r="AK81" s="1258" t="str">
        <f t="shared" si="28"/>
        <v/>
      </c>
      <c r="AL81" s="125">
        <f t="shared" si="404"/>
        <v>290141.59000000003</v>
      </c>
      <c r="AM81" s="140">
        <f t="shared" si="30"/>
        <v>1433836.24</v>
      </c>
      <c r="AN81" s="123">
        <f t="shared" si="380"/>
        <v>27219.56</v>
      </c>
      <c r="AO81" s="148">
        <f t="shared" si="381"/>
        <v>1461055.8</v>
      </c>
      <c r="AP81" s="125">
        <f>IFERROR(VLOOKUP(I81,MONTE24,7,FALSE),"")</f>
        <v>845130.58</v>
      </c>
      <c r="AQ81" s="140">
        <f t="shared" si="33"/>
        <v>0</v>
      </c>
      <c r="AR81" s="326">
        <f t="shared" si="382"/>
        <v>0</v>
      </c>
      <c r="AS81" s="333">
        <f t="shared" si="383"/>
        <v>0</v>
      </c>
      <c r="AT81" s="123">
        <f>IFERROR(VLOOKUP(I81,MONTE24,8,FALSE),"")</f>
        <v>822619.27</v>
      </c>
      <c r="AU81" s="123">
        <f t="shared" si="36"/>
        <v>0</v>
      </c>
      <c r="AV81" s="123">
        <f t="shared" si="384"/>
        <v>0</v>
      </c>
      <c r="AW81" s="125">
        <f t="shared" si="385"/>
        <v>0</v>
      </c>
      <c r="AX81" s="122">
        <f t="shared" ref="AX81:AZ81" si="464">SUM(AU81,AQ81,AM81)</f>
        <v>1433836.24</v>
      </c>
      <c r="AY81" s="326">
        <f t="shared" si="464"/>
        <v>27219.56</v>
      </c>
      <c r="AZ81" s="332">
        <f t="shared" si="464"/>
        <v>1461055.8</v>
      </c>
      <c r="BA81" s="140">
        <f t="shared" ref="BA81:BC81" si="465">SUM(AX81,AG81)</f>
        <v>1433836.24</v>
      </c>
      <c r="BB81" s="326">
        <f t="shared" si="465"/>
        <v>27219.56</v>
      </c>
      <c r="BC81" s="435">
        <f t="shared" si="465"/>
        <v>1461055.8</v>
      </c>
      <c r="BD81" s="125">
        <f t="shared" si="388"/>
        <v>0</v>
      </c>
      <c r="BE81" s="1166">
        <f t="shared" si="42"/>
        <v>0</v>
      </c>
      <c r="BF81" s="116">
        <f t="shared" si="389"/>
        <v>0</v>
      </c>
      <c r="BG81" s="121">
        <f t="shared" si="390"/>
        <v>0</v>
      </c>
      <c r="BH81" s="114">
        <f t="shared" si="391"/>
        <v>0</v>
      </c>
      <c r="BI81" s="416">
        <f t="shared" si="46"/>
        <v>956321.94</v>
      </c>
      <c r="BJ81" s="121">
        <f t="shared" si="392"/>
        <v>67406.89</v>
      </c>
      <c r="BK81" s="121">
        <f t="shared" si="393"/>
        <v>1023728.83</v>
      </c>
      <c r="BL81" s="121">
        <f t="shared" si="394"/>
        <v>0</v>
      </c>
      <c r="BM81" s="113">
        <f t="shared" si="50"/>
        <v>0</v>
      </c>
      <c r="BN81" s="116">
        <f t="shared" si="395"/>
        <v>0</v>
      </c>
      <c r="BO81" s="117">
        <f t="shared" si="396"/>
        <v>0</v>
      </c>
      <c r="BP81" s="113">
        <f t="shared" si="53"/>
        <v>956321.94</v>
      </c>
      <c r="BQ81" s="116">
        <f t="shared" ref="BQ81:BR81" si="466">SUM(BN81,BJ81,BF81)</f>
        <v>67406.89</v>
      </c>
      <c r="BR81" s="117">
        <f t="shared" si="466"/>
        <v>1023728.83</v>
      </c>
      <c r="BS81" s="125">
        <f t="shared" si="398"/>
        <v>0</v>
      </c>
      <c r="BT81" s="140">
        <f t="shared" si="56"/>
        <v>0</v>
      </c>
      <c r="BU81" s="123">
        <f t="shared" si="399"/>
        <v>0</v>
      </c>
      <c r="BV81" s="148">
        <f t="shared" si="400"/>
        <v>0</v>
      </c>
      <c r="BW81" s="123">
        <f t="shared" si="401"/>
        <v>0</v>
      </c>
      <c r="BX81" s="326">
        <f t="shared" si="402"/>
        <v>0</v>
      </c>
    </row>
    <row r="82" spans="1:76" ht="13">
      <c r="A82" s="420">
        <f t="shared" si="362"/>
        <v>112014362</v>
      </c>
      <c r="B82" s="93">
        <f t="shared" si="363"/>
        <v>1</v>
      </c>
      <c r="C82" s="558" t="str">
        <f t="shared" si="364"/>
        <v>Lista</v>
      </c>
      <c r="D82" s="558">
        <f t="shared" si="365"/>
        <v>0.09</v>
      </c>
      <c r="E82" s="559">
        <f t="shared" si="366"/>
        <v>0</v>
      </c>
      <c r="F82" s="547">
        <f t="shared" si="367"/>
        <v>71</v>
      </c>
      <c r="G82" s="699" t="str">
        <f t="shared" si="368"/>
        <v>Lista</v>
      </c>
      <c r="H82" s="702">
        <f t="shared" si="369"/>
        <v>0.05</v>
      </c>
      <c r="I82" s="423" t="s">
        <v>1342</v>
      </c>
      <c r="J82" s="326" t="str">
        <f>IFERROR(VLOOKUP(I82,MONTE24,3,FALSE),"")</f>
        <v/>
      </c>
      <c r="K82" s="332">
        <v>1800000</v>
      </c>
      <c r="L82" s="140" t="e">
        <f t="shared" si="8"/>
        <v>#VALUE!</v>
      </c>
      <c r="M82" s="326" t="str">
        <f t="shared" si="370"/>
        <v/>
      </c>
      <c r="N82" s="333" t="str">
        <f t="shared" si="371"/>
        <v/>
      </c>
      <c r="O82" s="123" t="e">
        <f t="shared" si="11"/>
        <v>#VALUE!</v>
      </c>
      <c r="P82" s="137" t="e">
        <f t="shared" si="12"/>
        <v>#VALUE!</v>
      </c>
      <c r="Q82" s="116" t="str">
        <f t="shared" si="372"/>
        <v/>
      </c>
      <c r="R82" s="116">
        <v>1800000</v>
      </c>
      <c r="S82" s="116" t="e">
        <f t="shared" si="14"/>
        <v>#VALUE!</v>
      </c>
      <c r="T82" s="326" t="str">
        <f t="shared" si="373"/>
        <v/>
      </c>
      <c r="U82" s="326" t="str">
        <f t="shared" si="374"/>
        <v/>
      </c>
      <c r="V82" s="326" t="e">
        <f t="shared" si="17"/>
        <v>#VALUE!</v>
      </c>
      <c r="W82" s="137" t="e">
        <f t="shared" si="18"/>
        <v>#VALUE!</v>
      </c>
      <c r="X82" s="116" t="str">
        <f t="shared" si="375"/>
        <v/>
      </c>
      <c r="Y82" s="121">
        <v>1800000</v>
      </c>
      <c r="Z82" s="113" t="e">
        <f t="shared" si="20"/>
        <v>#VALUE!</v>
      </c>
      <c r="AA82" s="116" t="str">
        <f t="shared" si="376"/>
        <v/>
      </c>
      <c r="AB82" s="117" t="str">
        <f t="shared" si="377"/>
        <v/>
      </c>
      <c r="AC82" s="114"/>
      <c r="AD82" s="116"/>
      <c r="AE82" s="1252">
        <f t="shared" si="23"/>
        <v>5400000</v>
      </c>
      <c r="AF82" s="140" t="str">
        <f t="shared" si="378"/>
        <v>0</v>
      </c>
      <c r="AG82" s="326" t="e">
        <f t="shared" si="25"/>
        <v>#VALUE!</v>
      </c>
      <c r="AH82" s="326" t="e">
        <f t="shared" ref="AH82:AI82" si="467">AA82+T82+M82</f>
        <v>#VALUE!</v>
      </c>
      <c r="AI82" s="326" t="e">
        <f t="shared" si="467"/>
        <v>#VALUE!</v>
      </c>
      <c r="AJ82" s="326" t="e">
        <f t="shared" si="27"/>
        <v>#VALUE!</v>
      </c>
      <c r="AK82" s="1258" t="str">
        <f t="shared" si="28"/>
        <v/>
      </c>
      <c r="AL82" s="125" t="str">
        <f t="shared" si="404"/>
        <v/>
      </c>
      <c r="AM82" s="140" t="e">
        <f t="shared" si="30"/>
        <v>#VALUE!</v>
      </c>
      <c r="AN82" s="123" t="str">
        <f t="shared" si="380"/>
        <v/>
      </c>
      <c r="AO82" s="148" t="str">
        <f t="shared" si="381"/>
        <v/>
      </c>
      <c r="AP82" s="125" t="str">
        <f>IFERROR(VLOOKUP(I82,MONTE24,7,FALSE),"")</f>
        <v/>
      </c>
      <c r="AQ82" s="140" t="e">
        <f t="shared" si="33"/>
        <v>#VALUE!</v>
      </c>
      <c r="AR82" s="326" t="str">
        <f t="shared" si="382"/>
        <v/>
      </c>
      <c r="AS82" s="333" t="str">
        <f t="shared" si="383"/>
        <v/>
      </c>
      <c r="AT82" s="123" t="str">
        <f>IFERROR(VLOOKUP(I82,MONTE24,8,FALSE),"")</f>
        <v/>
      </c>
      <c r="AU82" s="123" t="e">
        <f t="shared" si="36"/>
        <v>#VALUE!</v>
      </c>
      <c r="AV82" s="123" t="str">
        <f t="shared" si="384"/>
        <v/>
      </c>
      <c r="AW82" s="125" t="str">
        <f t="shared" si="385"/>
        <v/>
      </c>
      <c r="AX82" s="122" t="e">
        <f t="shared" ref="AX82:AZ82" si="468">SUM(AU82,AQ82,AM82)</f>
        <v>#VALUE!</v>
      </c>
      <c r="AY82" s="326">
        <f t="shared" si="468"/>
        <v>0</v>
      </c>
      <c r="AZ82" s="332">
        <f t="shared" si="468"/>
        <v>0</v>
      </c>
      <c r="BA82" s="140" t="e">
        <f t="shared" ref="BA82:BC82" si="469">SUM(AX82,AG82)</f>
        <v>#VALUE!</v>
      </c>
      <c r="BB82" s="326" t="e">
        <f t="shared" si="469"/>
        <v>#VALUE!</v>
      </c>
      <c r="BC82" s="435" t="e">
        <f t="shared" si="469"/>
        <v>#VALUE!</v>
      </c>
      <c r="BD82" s="125" t="str">
        <f t="shared" si="388"/>
        <v/>
      </c>
      <c r="BE82" s="1166" t="e">
        <f t="shared" si="42"/>
        <v>#VALUE!</v>
      </c>
      <c r="BF82" s="116" t="str">
        <f t="shared" si="389"/>
        <v/>
      </c>
      <c r="BG82" s="121" t="str">
        <f t="shared" si="390"/>
        <v/>
      </c>
      <c r="BH82" s="114" t="str">
        <f t="shared" si="391"/>
        <v/>
      </c>
      <c r="BI82" s="416" t="e">
        <f t="shared" si="46"/>
        <v>#VALUE!</v>
      </c>
      <c r="BJ82" s="121" t="str">
        <f t="shared" si="392"/>
        <v/>
      </c>
      <c r="BK82" s="121" t="str">
        <f t="shared" si="393"/>
        <v/>
      </c>
      <c r="BL82" s="121" t="str">
        <f t="shared" si="394"/>
        <v/>
      </c>
      <c r="BM82" s="113" t="e">
        <f t="shared" si="50"/>
        <v>#VALUE!</v>
      </c>
      <c r="BN82" s="116" t="str">
        <f t="shared" si="395"/>
        <v/>
      </c>
      <c r="BO82" s="117" t="str">
        <f t="shared" si="396"/>
        <v/>
      </c>
      <c r="BP82" s="113">
        <f t="shared" si="53"/>
        <v>0</v>
      </c>
      <c r="BQ82" s="116">
        <f t="shared" ref="BQ82:BR82" si="470">SUM(BN82,BJ82,BF82)</f>
        <v>0</v>
      </c>
      <c r="BR82" s="117">
        <f t="shared" si="470"/>
        <v>0</v>
      </c>
      <c r="BS82" s="125" t="str">
        <f t="shared" si="398"/>
        <v/>
      </c>
      <c r="BT82" s="140" t="e">
        <f t="shared" si="56"/>
        <v>#VALUE!</v>
      </c>
      <c r="BU82" s="123" t="str">
        <f t="shared" si="399"/>
        <v/>
      </c>
      <c r="BV82" s="148" t="str">
        <f t="shared" si="400"/>
        <v/>
      </c>
      <c r="BW82" s="123" t="str">
        <f t="shared" si="401"/>
        <v/>
      </c>
      <c r="BX82" s="326" t="str">
        <f t="shared" si="402"/>
        <v/>
      </c>
    </row>
    <row r="83" spans="1:76" ht="13">
      <c r="A83" s="420">
        <f t="shared" si="362"/>
        <v>112014456</v>
      </c>
      <c r="B83" s="93">
        <f t="shared" si="363"/>
        <v>1</v>
      </c>
      <c r="C83" s="558" t="str">
        <f t="shared" si="364"/>
        <v>Lista</v>
      </c>
      <c r="D83" s="558">
        <f t="shared" si="365"/>
        <v>0.09</v>
      </c>
      <c r="E83" s="559">
        <f t="shared" si="366"/>
        <v>0</v>
      </c>
      <c r="F83" s="547">
        <f t="shared" si="367"/>
        <v>71</v>
      </c>
      <c r="G83" s="699" t="str">
        <f t="shared" si="368"/>
        <v>Lista</v>
      </c>
      <c r="H83" s="702">
        <f t="shared" si="369"/>
        <v>0.05</v>
      </c>
      <c r="I83" s="423" t="s">
        <v>1343</v>
      </c>
      <c r="J83" s="326">
        <f>IFERROR(VLOOKUP(I83,MONTE24,3,FALSE),"")</f>
        <v>0</v>
      </c>
      <c r="K83" s="332">
        <v>1800000</v>
      </c>
      <c r="L83" s="140" t="e">
        <f t="shared" si="8"/>
        <v>#VALUE!</v>
      </c>
      <c r="M83" s="326" t="str">
        <f t="shared" si="370"/>
        <v/>
      </c>
      <c r="N83" s="333">
        <f t="shared" si="371"/>
        <v>152242.25</v>
      </c>
      <c r="O83" s="123">
        <f t="shared" si="11"/>
        <v>-1647757.75</v>
      </c>
      <c r="P83" s="137">
        <f t="shared" si="12"/>
        <v>8.4579027777777774E-2</v>
      </c>
      <c r="Q83" s="326">
        <f t="shared" si="372"/>
        <v>0</v>
      </c>
      <c r="R83" s="326">
        <v>1800000</v>
      </c>
      <c r="S83" s="116" t="e">
        <f t="shared" si="14"/>
        <v>#VALUE!</v>
      </c>
      <c r="T83" s="326" t="str">
        <f t="shared" si="373"/>
        <v/>
      </c>
      <c r="U83" s="326">
        <f t="shared" si="374"/>
        <v>0</v>
      </c>
      <c r="V83" s="326">
        <f t="shared" si="17"/>
        <v>-1800000</v>
      </c>
      <c r="W83" s="137">
        <f t="shared" si="18"/>
        <v>0</v>
      </c>
      <c r="X83" s="326">
        <f t="shared" si="375"/>
        <v>0</v>
      </c>
      <c r="Y83" s="332">
        <v>1800000</v>
      </c>
      <c r="Z83" s="113" t="e">
        <f t="shared" si="20"/>
        <v>#VALUE!</v>
      </c>
      <c r="AA83" s="116" t="str">
        <f t="shared" si="376"/>
        <v/>
      </c>
      <c r="AB83" s="117">
        <f t="shared" si="377"/>
        <v>0</v>
      </c>
      <c r="AC83" s="123"/>
      <c r="AD83" s="326"/>
      <c r="AE83" s="1257">
        <f t="shared" si="23"/>
        <v>5400000</v>
      </c>
      <c r="AF83" s="140" t="str">
        <f t="shared" si="378"/>
        <v>0</v>
      </c>
      <c r="AG83" s="326" t="e">
        <f t="shared" si="25"/>
        <v>#VALUE!</v>
      </c>
      <c r="AH83" s="326" t="e">
        <f t="shared" ref="AH83:AI83" si="471">AA83+T83+M83</f>
        <v>#VALUE!</v>
      </c>
      <c r="AI83" s="326">
        <f t="shared" si="471"/>
        <v>152242.25</v>
      </c>
      <c r="AJ83" s="326">
        <f t="shared" si="27"/>
        <v>152242.25</v>
      </c>
      <c r="AK83" s="1258" t="str">
        <f t="shared" si="28"/>
        <v/>
      </c>
      <c r="AL83" s="125">
        <f t="shared" si="404"/>
        <v>0</v>
      </c>
      <c r="AM83" s="140" t="e">
        <f t="shared" si="30"/>
        <v>#VALUE!</v>
      </c>
      <c r="AN83" s="123" t="str">
        <f t="shared" si="380"/>
        <v/>
      </c>
      <c r="AO83" s="148">
        <f t="shared" si="381"/>
        <v>884203.99</v>
      </c>
      <c r="AP83" s="125">
        <f>IFERROR(VLOOKUP(I83,MONTE24,7,FALSE),"")</f>
        <v>0</v>
      </c>
      <c r="AQ83" s="140" t="e">
        <f t="shared" si="33"/>
        <v>#VALUE!</v>
      </c>
      <c r="AR83" s="326" t="str">
        <f t="shared" si="382"/>
        <v/>
      </c>
      <c r="AS83" s="333">
        <f t="shared" si="383"/>
        <v>0</v>
      </c>
      <c r="AT83" s="123">
        <f>IFERROR(VLOOKUP(I83,MONTE24,8,FALSE),"")</f>
        <v>11138143.77</v>
      </c>
      <c r="AU83" s="123" t="e">
        <f t="shared" si="36"/>
        <v>#VALUE!</v>
      </c>
      <c r="AV83" s="123" t="str">
        <f t="shared" si="384"/>
        <v/>
      </c>
      <c r="AW83" s="125">
        <f t="shared" si="385"/>
        <v>0</v>
      </c>
      <c r="AX83" s="122" t="e">
        <f t="shared" ref="AX83:AZ83" si="472">SUM(AU83,AQ83,AM83)</f>
        <v>#VALUE!</v>
      </c>
      <c r="AY83" s="326">
        <f t="shared" si="472"/>
        <v>0</v>
      </c>
      <c r="AZ83" s="332">
        <f t="shared" si="472"/>
        <v>884203.99</v>
      </c>
      <c r="BA83" s="140" t="e">
        <f t="shared" ref="BA83:BC83" si="473">SUM(AX83,AG83)</f>
        <v>#VALUE!</v>
      </c>
      <c r="BB83" s="326" t="e">
        <f t="shared" si="473"/>
        <v>#VALUE!</v>
      </c>
      <c r="BC83" s="435">
        <f t="shared" si="473"/>
        <v>1036446.24</v>
      </c>
      <c r="BD83" s="125">
        <f t="shared" si="388"/>
        <v>0</v>
      </c>
      <c r="BE83" s="1166" t="e">
        <f t="shared" si="42"/>
        <v>#VALUE!</v>
      </c>
      <c r="BF83" s="116" t="str">
        <f t="shared" si="389"/>
        <v/>
      </c>
      <c r="BG83" s="121">
        <f t="shared" si="390"/>
        <v>0</v>
      </c>
      <c r="BH83" s="114">
        <f t="shared" si="391"/>
        <v>65180.7</v>
      </c>
      <c r="BI83" s="416" t="e">
        <f t="shared" si="46"/>
        <v>#VALUE!</v>
      </c>
      <c r="BJ83" s="121" t="str">
        <f t="shared" si="392"/>
        <v/>
      </c>
      <c r="BK83" s="121">
        <f t="shared" si="393"/>
        <v>0</v>
      </c>
      <c r="BL83" s="121">
        <f t="shared" si="394"/>
        <v>8569.1299999999992</v>
      </c>
      <c r="BM83" s="113" t="e">
        <f t="shared" si="50"/>
        <v>#VALUE!</v>
      </c>
      <c r="BN83" s="116" t="str">
        <f t="shared" si="395"/>
        <v/>
      </c>
      <c r="BO83" s="117">
        <f t="shared" si="396"/>
        <v>0</v>
      </c>
      <c r="BP83" s="113">
        <f t="shared" si="53"/>
        <v>0</v>
      </c>
      <c r="BQ83" s="116">
        <f t="shared" ref="BQ83:BR83" si="474">SUM(BN83,BJ83,BF83)</f>
        <v>0</v>
      </c>
      <c r="BR83" s="117">
        <f t="shared" si="474"/>
        <v>0</v>
      </c>
      <c r="BS83" s="125">
        <f t="shared" si="398"/>
        <v>0</v>
      </c>
      <c r="BT83" s="140" t="e">
        <f t="shared" si="56"/>
        <v>#VALUE!</v>
      </c>
      <c r="BU83" s="123" t="str">
        <f t="shared" si="399"/>
        <v/>
      </c>
      <c r="BV83" s="148">
        <f t="shared" si="400"/>
        <v>287117.65999999997</v>
      </c>
      <c r="BW83" s="123">
        <f t="shared" si="401"/>
        <v>0</v>
      </c>
      <c r="BX83" s="326">
        <f t="shared" si="402"/>
        <v>0</v>
      </c>
    </row>
    <row r="84" spans="1:76" ht="13">
      <c r="A84" s="420">
        <f t="shared" si="362"/>
        <v>112013947</v>
      </c>
      <c r="B84" s="93">
        <f t="shared" si="363"/>
        <v>1</v>
      </c>
      <c r="C84" s="558" t="str">
        <f t="shared" si="364"/>
        <v>Lista</v>
      </c>
      <c r="D84" s="558">
        <f t="shared" si="365"/>
        <v>0.09</v>
      </c>
      <c r="E84" s="559">
        <f t="shared" si="366"/>
        <v>0</v>
      </c>
      <c r="F84" s="547">
        <f t="shared" si="367"/>
        <v>71</v>
      </c>
      <c r="G84" s="699" t="str">
        <f t="shared" si="368"/>
        <v>Lista</v>
      </c>
      <c r="H84" s="702">
        <f t="shared" si="369"/>
        <v>0.05</v>
      </c>
      <c r="I84" s="423" t="s">
        <v>1344</v>
      </c>
      <c r="J84" s="326"/>
      <c r="K84" s="332"/>
      <c r="L84" s="140" t="e">
        <f t="shared" si="8"/>
        <v>#VALUE!</v>
      </c>
      <c r="M84" s="326" t="str">
        <f t="shared" si="370"/>
        <v/>
      </c>
      <c r="N84" s="333">
        <f t="shared" si="371"/>
        <v>0</v>
      </c>
      <c r="O84" s="123">
        <f t="shared" si="11"/>
        <v>0</v>
      </c>
      <c r="P84" s="137" t="e">
        <f t="shared" si="12"/>
        <v>#DIV/0!</v>
      </c>
      <c r="Q84" s="326" t="str">
        <f t="shared" si="372"/>
        <v/>
      </c>
      <c r="R84" s="326">
        <v>1800000</v>
      </c>
      <c r="S84" s="116" t="e">
        <f t="shared" si="14"/>
        <v>#VALUE!</v>
      </c>
      <c r="T84" s="326" t="str">
        <f t="shared" si="373"/>
        <v/>
      </c>
      <c r="U84" s="326">
        <f t="shared" si="374"/>
        <v>0</v>
      </c>
      <c r="V84" s="326">
        <f t="shared" si="17"/>
        <v>-1800000</v>
      </c>
      <c r="W84" s="137">
        <f t="shared" si="18"/>
        <v>0</v>
      </c>
      <c r="X84" s="326" t="str">
        <f t="shared" si="375"/>
        <v/>
      </c>
      <c r="Y84" s="332">
        <v>1800000</v>
      </c>
      <c r="Z84" s="113" t="e">
        <f t="shared" si="20"/>
        <v>#VALUE!</v>
      </c>
      <c r="AA84" s="116" t="str">
        <f t="shared" si="376"/>
        <v/>
      </c>
      <c r="AB84" s="117">
        <f t="shared" si="377"/>
        <v>0</v>
      </c>
      <c r="AC84" s="123"/>
      <c r="AD84" s="326"/>
      <c r="AE84" s="1257">
        <f t="shared" si="23"/>
        <v>3600000</v>
      </c>
      <c r="AF84" s="140">
        <f t="shared" si="378"/>
        <v>197571.51</v>
      </c>
      <c r="AG84" s="326" t="e">
        <f t="shared" si="25"/>
        <v>#VALUE!</v>
      </c>
      <c r="AH84" s="326" t="e">
        <f t="shared" ref="AH84:AI84" si="475">AA84+T84+M84</f>
        <v>#VALUE!</v>
      </c>
      <c r="AI84" s="326">
        <f t="shared" si="475"/>
        <v>0</v>
      </c>
      <c r="AJ84" s="326">
        <f t="shared" si="27"/>
        <v>-197571.51</v>
      </c>
      <c r="AK84" s="1258">
        <f t="shared" si="28"/>
        <v>0</v>
      </c>
      <c r="AL84" s="125" t="str">
        <f t="shared" si="404"/>
        <v/>
      </c>
      <c r="AM84" s="140" t="e">
        <f t="shared" si="30"/>
        <v>#VALUE!</v>
      </c>
      <c r="AN84" s="123" t="str">
        <f t="shared" si="380"/>
        <v/>
      </c>
      <c r="AO84" s="148">
        <f t="shared" si="381"/>
        <v>0</v>
      </c>
      <c r="AP84" s="125"/>
      <c r="AQ84" s="140" t="e">
        <f t="shared" si="33"/>
        <v>#VALUE!</v>
      </c>
      <c r="AR84" s="326" t="str">
        <f t="shared" si="382"/>
        <v/>
      </c>
      <c r="AS84" s="333">
        <f t="shared" si="383"/>
        <v>429093.71</v>
      </c>
      <c r="AT84" s="123"/>
      <c r="AU84" s="123" t="e">
        <f t="shared" si="36"/>
        <v>#VALUE!</v>
      </c>
      <c r="AV84" s="123" t="str">
        <f t="shared" si="384"/>
        <v/>
      </c>
      <c r="AW84" s="125">
        <f t="shared" si="385"/>
        <v>0</v>
      </c>
      <c r="AX84" s="122" t="e">
        <f t="shared" ref="AX84:AZ84" si="476">SUM(AU84,AQ84,AM84)</f>
        <v>#VALUE!</v>
      </c>
      <c r="AY84" s="326">
        <f t="shared" si="476"/>
        <v>0</v>
      </c>
      <c r="AZ84" s="332">
        <f t="shared" si="476"/>
        <v>429093.71</v>
      </c>
      <c r="BA84" s="140" t="e">
        <f t="shared" ref="BA84:BC84" si="477">SUM(AX84,AG84)</f>
        <v>#VALUE!</v>
      </c>
      <c r="BB84" s="326" t="e">
        <f t="shared" si="477"/>
        <v>#VALUE!</v>
      </c>
      <c r="BC84" s="435">
        <f t="shared" si="477"/>
        <v>429093.71</v>
      </c>
      <c r="BD84" s="125" t="str">
        <f t="shared" si="388"/>
        <v/>
      </c>
      <c r="BE84" s="1166" t="e">
        <f t="shared" si="42"/>
        <v>#VALUE!</v>
      </c>
      <c r="BF84" s="116" t="str">
        <f t="shared" si="389"/>
        <v/>
      </c>
      <c r="BG84" s="121">
        <f t="shared" si="390"/>
        <v>230878.35</v>
      </c>
      <c r="BH84" s="114" t="str">
        <f t="shared" si="391"/>
        <v/>
      </c>
      <c r="BI84" s="416" t="e">
        <f t="shared" si="46"/>
        <v>#VALUE!</v>
      </c>
      <c r="BJ84" s="121" t="str">
        <f t="shared" si="392"/>
        <v/>
      </c>
      <c r="BK84" s="121">
        <f t="shared" si="393"/>
        <v>491703.41</v>
      </c>
      <c r="BL84" s="121" t="str">
        <f t="shared" si="394"/>
        <v/>
      </c>
      <c r="BM84" s="113" t="e">
        <f t="shared" si="50"/>
        <v>#VALUE!</v>
      </c>
      <c r="BN84" s="116" t="str">
        <f t="shared" si="395"/>
        <v/>
      </c>
      <c r="BO84" s="117">
        <f t="shared" si="396"/>
        <v>0</v>
      </c>
      <c r="BP84" s="113">
        <f t="shared" si="53"/>
        <v>722581.76</v>
      </c>
      <c r="BQ84" s="116">
        <f t="shared" ref="BQ84:BR84" si="478">SUM(BN84,BJ84,BF84)</f>
        <v>0</v>
      </c>
      <c r="BR84" s="117">
        <f t="shared" si="478"/>
        <v>722581.76</v>
      </c>
      <c r="BS84" s="125" t="str">
        <f t="shared" si="398"/>
        <v/>
      </c>
      <c r="BT84" s="140" t="e">
        <f t="shared" si="56"/>
        <v>#VALUE!</v>
      </c>
      <c r="BU84" s="123" t="str">
        <f t="shared" si="399"/>
        <v/>
      </c>
      <c r="BV84" s="148">
        <f t="shared" si="400"/>
        <v>293300.28000000003</v>
      </c>
      <c r="BW84" s="123" t="str">
        <f t="shared" si="401"/>
        <v/>
      </c>
      <c r="BX84" s="326" t="str">
        <f t="shared" si="402"/>
        <v/>
      </c>
    </row>
    <row r="85" spans="1:76" ht="13">
      <c r="A85" s="420">
        <f t="shared" si="362"/>
        <v>112013731</v>
      </c>
      <c r="B85" s="93">
        <f t="shared" si="363"/>
        <v>1</v>
      </c>
      <c r="C85" s="558" t="str">
        <f t="shared" si="364"/>
        <v>Lista</v>
      </c>
      <c r="D85" s="558">
        <f t="shared" si="365"/>
        <v>0.09</v>
      </c>
      <c r="E85" s="559">
        <f t="shared" si="366"/>
        <v>0</v>
      </c>
      <c r="F85" s="547">
        <f t="shared" si="367"/>
        <v>71</v>
      </c>
      <c r="G85" s="699" t="str">
        <f t="shared" si="368"/>
        <v>Lista</v>
      </c>
      <c r="H85" s="702">
        <f t="shared" si="369"/>
        <v>0.05</v>
      </c>
      <c r="I85" s="423" t="s">
        <v>1345</v>
      </c>
      <c r="J85" s="326">
        <f t="shared" ref="J85:J91" si="479">IFERROR(VLOOKUP(I85,MONTE24,3,FALSE),"")</f>
        <v>322712.13</v>
      </c>
      <c r="K85" s="332">
        <v>1500000</v>
      </c>
      <c r="L85" s="140">
        <f t="shared" si="8"/>
        <v>74032.200000000012</v>
      </c>
      <c r="M85" s="326">
        <f t="shared" si="370"/>
        <v>34971.32</v>
      </c>
      <c r="N85" s="333">
        <f t="shared" si="371"/>
        <v>109003.52</v>
      </c>
      <c r="O85" s="123">
        <f t="shared" si="11"/>
        <v>-1390996.48</v>
      </c>
      <c r="P85" s="137">
        <f t="shared" si="12"/>
        <v>7.2669013333333338E-2</v>
      </c>
      <c r="Q85" s="326">
        <f t="shared" si="372"/>
        <v>108798.16</v>
      </c>
      <c r="R85" s="326">
        <v>1500000</v>
      </c>
      <c r="S85" s="116">
        <f t="shared" si="14"/>
        <v>116328.50000000001</v>
      </c>
      <c r="T85" s="326">
        <f t="shared" si="373"/>
        <v>69942.64</v>
      </c>
      <c r="U85" s="326">
        <f t="shared" si="374"/>
        <v>186271.14</v>
      </c>
      <c r="V85" s="326">
        <f t="shared" si="17"/>
        <v>-1313728.8599999999</v>
      </c>
      <c r="W85" s="137">
        <f t="shared" si="18"/>
        <v>0.12418076000000002</v>
      </c>
      <c r="X85" s="326">
        <f t="shared" si="375"/>
        <v>81399.75</v>
      </c>
      <c r="Y85" s="332">
        <v>1500000</v>
      </c>
      <c r="Z85" s="113">
        <f t="shared" si="20"/>
        <v>18572.5</v>
      </c>
      <c r="AA85" s="116">
        <f t="shared" si="376"/>
        <v>74838.62</v>
      </c>
      <c r="AB85" s="117">
        <f t="shared" si="377"/>
        <v>93411.12</v>
      </c>
      <c r="AC85" s="123"/>
      <c r="AD85" s="326"/>
      <c r="AE85" s="1257">
        <f t="shared" si="23"/>
        <v>4500000</v>
      </c>
      <c r="AF85" s="140">
        <f t="shared" si="378"/>
        <v>586784.35</v>
      </c>
      <c r="AG85" s="326">
        <f t="shared" si="25"/>
        <v>208933.2</v>
      </c>
      <c r="AH85" s="326">
        <f t="shared" ref="AH85:AI85" si="480">AA85+T85+M85</f>
        <v>179752.58000000002</v>
      </c>
      <c r="AI85" s="326">
        <f t="shared" si="480"/>
        <v>388685.78</v>
      </c>
      <c r="AJ85" s="326">
        <f t="shared" si="27"/>
        <v>-198098.56999999995</v>
      </c>
      <c r="AK85" s="1258">
        <f t="shared" si="28"/>
        <v>0.66239970442292817</v>
      </c>
      <c r="AL85" s="125">
        <f t="shared" si="404"/>
        <v>50831.65</v>
      </c>
      <c r="AM85" s="140">
        <f t="shared" si="30"/>
        <v>15940.580000000002</v>
      </c>
      <c r="AN85" s="123">
        <f t="shared" si="380"/>
        <v>39290.269999999997</v>
      </c>
      <c r="AO85" s="148">
        <f t="shared" si="381"/>
        <v>55230.85</v>
      </c>
      <c r="AP85" s="125">
        <f t="shared" ref="AP85:AP116" si="481">IFERROR(VLOOKUP(I85,MONTE24,7,FALSE),"")</f>
        <v>41330.129999999997</v>
      </c>
      <c r="AQ85" s="140">
        <f t="shared" si="33"/>
        <v>71168.75</v>
      </c>
      <c r="AR85" s="326">
        <f t="shared" si="382"/>
        <v>157161.1</v>
      </c>
      <c r="AS85" s="333">
        <f t="shared" si="383"/>
        <v>228329.85</v>
      </c>
      <c r="AT85" s="123">
        <f t="shared" ref="AT85:AT91" si="482">IFERROR(VLOOKUP(I85,MONTE24,8,FALSE),"")</f>
        <v>235668.97</v>
      </c>
      <c r="AU85" s="123">
        <f t="shared" si="36"/>
        <v>20437.78</v>
      </c>
      <c r="AV85" s="123">
        <f t="shared" si="384"/>
        <v>117870.82</v>
      </c>
      <c r="AW85" s="125">
        <f t="shared" si="385"/>
        <v>138308.6</v>
      </c>
      <c r="AX85" s="122">
        <f t="shared" ref="AX85:AZ85" si="483">SUM(AU85,AQ85,AM85)</f>
        <v>107547.11</v>
      </c>
      <c r="AY85" s="326">
        <f t="shared" si="483"/>
        <v>314322.19000000006</v>
      </c>
      <c r="AZ85" s="332">
        <f t="shared" si="483"/>
        <v>421869.3</v>
      </c>
      <c r="BA85" s="140">
        <f t="shared" ref="BA85:BC85" si="484">SUM(AX85,AG85)</f>
        <v>316480.31</v>
      </c>
      <c r="BB85" s="326">
        <f t="shared" si="484"/>
        <v>494074.77000000008</v>
      </c>
      <c r="BC85" s="435">
        <f t="shared" si="484"/>
        <v>810555.08000000007</v>
      </c>
      <c r="BD85" s="125">
        <f t="shared" si="388"/>
        <v>224005.23</v>
      </c>
      <c r="BE85" s="1166">
        <f t="shared" si="42"/>
        <v>7744.4499999999971</v>
      </c>
      <c r="BF85" s="116">
        <f t="shared" si="389"/>
        <v>78580.55</v>
      </c>
      <c r="BG85" s="121">
        <f t="shared" si="390"/>
        <v>86325</v>
      </c>
      <c r="BH85" s="114">
        <f t="shared" si="391"/>
        <v>338823.23</v>
      </c>
      <c r="BI85" s="416">
        <f t="shared" si="46"/>
        <v>72069.449999999983</v>
      </c>
      <c r="BJ85" s="121">
        <f t="shared" si="392"/>
        <v>64942.6</v>
      </c>
      <c r="BK85" s="121">
        <f t="shared" si="393"/>
        <v>137012.04999999999</v>
      </c>
      <c r="BL85" s="121">
        <f t="shared" si="394"/>
        <v>109298.87</v>
      </c>
      <c r="BM85" s="113">
        <f t="shared" si="50"/>
        <v>0</v>
      </c>
      <c r="BN85" s="116">
        <f t="shared" si="395"/>
        <v>166590.79</v>
      </c>
      <c r="BO85" s="117">
        <f t="shared" si="396"/>
        <v>166590.79</v>
      </c>
      <c r="BP85" s="113">
        <f t="shared" si="53"/>
        <v>79813.899999999965</v>
      </c>
      <c r="BQ85" s="116">
        <f t="shared" ref="BQ85:BR85" si="485">SUM(BN85,BJ85,BF85)</f>
        <v>310113.94</v>
      </c>
      <c r="BR85" s="117">
        <f t="shared" si="485"/>
        <v>389927.83999999997</v>
      </c>
      <c r="BS85" s="125">
        <f t="shared" si="398"/>
        <v>213367.67999999999</v>
      </c>
      <c r="BT85" s="140">
        <f t="shared" si="56"/>
        <v>0</v>
      </c>
      <c r="BU85" s="123">
        <f t="shared" si="399"/>
        <v>0</v>
      </c>
      <c r="BV85" s="148">
        <f t="shared" si="400"/>
        <v>0</v>
      </c>
      <c r="BW85" s="123">
        <f t="shared" si="401"/>
        <v>196613.3</v>
      </c>
      <c r="BX85" s="326">
        <f t="shared" si="402"/>
        <v>176803.38</v>
      </c>
    </row>
    <row r="86" spans="1:76" ht="13">
      <c r="A86" s="420">
        <f t="shared" si="362"/>
        <v>112012918</v>
      </c>
      <c r="B86" s="93">
        <f t="shared" si="363"/>
        <v>1</v>
      </c>
      <c r="C86" s="558" t="str">
        <f t="shared" si="364"/>
        <v>Lista</v>
      </c>
      <c r="D86" s="558">
        <f t="shared" si="365"/>
        <v>0.09</v>
      </c>
      <c r="E86" s="559">
        <f t="shared" si="366"/>
        <v>0</v>
      </c>
      <c r="F86" s="547">
        <f t="shared" si="367"/>
        <v>71</v>
      </c>
      <c r="G86" s="699" t="str">
        <f t="shared" si="368"/>
        <v>Lista</v>
      </c>
      <c r="H86" s="702">
        <f t="shared" si="369"/>
        <v>0.05</v>
      </c>
      <c r="I86" s="423" t="s">
        <v>1346</v>
      </c>
      <c r="J86" s="326">
        <f t="shared" si="479"/>
        <v>0</v>
      </c>
      <c r="K86" s="332">
        <v>1500000</v>
      </c>
      <c r="L86" s="140" t="e">
        <f t="shared" si="8"/>
        <v>#VALUE!</v>
      </c>
      <c r="M86" s="326" t="str">
        <f t="shared" si="370"/>
        <v/>
      </c>
      <c r="N86" s="333">
        <f t="shared" si="371"/>
        <v>328724.7</v>
      </c>
      <c r="O86" s="123">
        <f t="shared" si="11"/>
        <v>-1171275.3</v>
      </c>
      <c r="P86" s="137">
        <f t="shared" si="12"/>
        <v>0.21914980000000001</v>
      </c>
      <c r="Q86" s="326">
        <f t="shared" si="372"/>
        <v>90886.73</v>
      </c>
      <c r="R86" s="326">
        <v>1500000</v>
      </c>
      <c r="S86" s="116" t="e">
        <f t="shared" si="14"/>
        <v>#VALUE!</v>
      </c>
      <c r="T86" s="326" t="str">
        <f t="shared" si="373"/>
        <v/>
      </c>
      <c r="U86" s="326">
        <f t="shared" si="374"/>
        <v>657077.5</v>
      </c>
      <c r="V86" s="326">
        <f t="shared" si="17"/>
        <v>-842922.5</v>
      </c>
      <c r="W86" s="137">
        <f t="shared" si="18"/>
        <v>0.43805166666666667</v>
      </c>
      <c r="X86" s="326">
        <f t="shared" si="375"/>
        <v>159328.04999999999</v>
      </c>
      <c r="Y86" s="332">
        <v>1500000</v>
      </c>
      <c r="Z86" s="113" t="e">
        <f t="shared" si="20"/>
        <v>#VALUE!</v>
      </c>
      <c r="AA86" s="116" t="str">
        <f t="shared" si="376"/>
        <v/>
      </c>
      <c r="AB86" s="117">
        <f t="shared" si="377"/>
        <v>2756.31</v>
      </c>
      <c r="AC86" s="123"/>
      <c r="AD86" s="326"/>
      <c r="AE86" s="1257">
        <f t="shared" si="23"/>
        <v>4500000</v>
      </c>
      <c r="AF86" s="140">
        <f t="shared" si="378"/>
        <v>712398.59</v>
      </c>
      <c r="AG86" s="326" t="e">
        <f t="shared" si="25"/>
        <v>#VALUE!</v>
      </c>
      <c r="AH86" s="326" t="e">
        <f t="shared" ref="AH86:AI86" si="486">AA86+T86+M86</f>
        <v>#VALUE!</v>
      </c>
      <c r="AI86" s="326">
        <f t="shared" si="486"/>
        <v>988558.51</v>
      </c>
      <c r="AJ86" s="326">
        <f t="shared" si="27"/>
        <v>276159.92000000004</v>
      </c>
      <c r="AK86" s="1258">
        <f t="shared" si="28"/>
        <v>1.3876480440535404</v>
      </c>
      <c r="AL86" s="125">
        <f t="shared" si="404"/>
        <v>376062.16</v>
      </c>
      <c r="AM86" s="140" t="e">
        <f t="shared" si="30"/>
        <v>#VALUE!</v>
      </c>
      <c r="AN86" s="123" t="str">
        <f t="shared" si="380"/>
        <v/>
      </c>
      <c r="AO86" s="148">
        <f t="shared" si="381"/>
        <v>320307.09999999998</v>
      </c>
      <c r="AP86" s="125">
        <f t="shared" si="481"/>
        <v>0</v>
      </c>
      <c r="AQ86" s="140" t="e">
        <f t="shared" si="33"/>
        <v>#VALUE!</v>
      </c>
      <c r="AR86" s="326" t="str">
        <f t="shared" si="382"/>
        <v/>
      </c>
      <c r="AS86" s="333">
        <f t="shared" si="383"/>
        <v>0</v>
      </c>
      <c r="AT86" s="123">
        <f t="shared" si="482"/>
        <v>166649.97</v>
      </c>
      <c r="AU86" s="123" t="e">
        <f t="shared" si="36"/>
        <v>#VALUE!</v>
      </c>
      <c r="AV86" s="123" t="str">
        <f t="shared" si="384"/>
        <v/>
      </c>
      <c r="AW86" s="125">
        <f t="shared" si="385"/>
        <v>0</v>
      </c>
      <c r="AX86" s="122" t="e">
        <f t="shared" ref="AX86:AZ86" si="487">SUM(AU86,AQ86,AM86)</f>
        <v>#VALUE!</v>
      </c>
      <c r="AY86" s="326">
        <f t="shared" si="487"/>
        <v>0</v>
      </c>
      <c r="AZ86" s="332">
        <f t="shared" si="487"/>
        <v>320307.09999999998</v>
      </c>
      <c r="BA86" s="140" t="e">
        <f t="shared" ref="BA86:BC86" si="488">SUM(AX86,AG86)</f>
        <v>#VALUE!</v>
      </c>
      <c r="BB86" s="326" t="e">
        <f t="shared" si="488"/>
        <v>#VALUE!</v>
      </c>
      <c r="BC86" s="435">
        <f t="shared" si="488"/>
        <v>1308865.6099999999</v>
      </c>
      <c r="BD86" s="125">
        <f t="shared" si="388"/>
        <v>227483.74</v>
      </c>
      <c r="BE86" s="1166" t="e">
        <f t="shared" si="42"/>
        <v>#VALUE!</v>
      </c>
      <c r="BF86" s="116" t="str">
        <f t="shared" si="389"/>
        <v/>
      </c>
      <c r="BG86" s="121">
        <f t="shared" si="390"/>
        <v>132037.18</v>
      </c>
      <c r="BH86" s="114">
        <f t="shared" si="391"/>
        <v>185460.94</v>
      </c>
      <c r="BI86" s="416" t="e">
        <f t="shared" si="46"/>
        <v>#VALUE!</v>
      </c>
      <c r="BJ86" s="121" t="str">
        <f t="shared" si="392"/>
        <v/>
      </c>
      <c r="BK86" s="121">
        <f t="shared" si="393"/>
        <v>0</v>
      </c>
      <c r="BL86" s="121">
        <f t="shared" si="394"/>
        <v>165744.26999999999</v>
      </c>
      <c r="BM86" s="113" t="e">
        <f t="shared" si="50"/>
        <v>#VALUE!</v>
      </c>
      <c r="BN86" s="116" t="str">
        <f t="shared" si="395"/>
        <v/>
      </c>
      <c r="BO86" s="117">
        <f t="shared" si="396"/>
        <v>448930</v>
      </c>
      <c r="BP86" s="113">
        <f t="shared" si="53"/>
        <v>580967.17999999993</v>
      </c>
      <c r="BQ86" s="116">
        <f t="shared" ref="BQ86:BR86" si="489">SUM(BN86,BJ86,BF86)</f>
        <v>0</v>
      </c>
      <c r="BR86" s="117">
        <f t="shared" si="489"/>
        <v>580967.17999999993</v>
      </c>
      <c r="BS86" s="125">
        <f t="shared" si="398"/>
        <v>466144.91</v>
      </c>
      <c r="BT86" s="140" t="e">
        <f t="shared" si="56"/>
        <v>#VALUE!</v>
      </c>
      <c r="BU86" s="123" t="str">
        <f t="shared" si="399"/>
        <v/>
      </c>
      <c r="BV86" s="148">
        <f t="shared" si="400"/>
        <v>490656.4</v>
      </c>
      <c r="BW86" s="123">
        <f t="shared" si="401"/>
        <v>70004.55</v>
      </c>
      <c r="BX86" s="326">
        <f t="shared" si="402"/>
        <v>176249.13</v>
      </c>
    </row>
    <row r="87" spans="1:76" ht="13">
      <c r="A87" s="420">
        <f t="shared" si="362"/>
        <v>112011806</v>
      </c>
      <c r="B87" s="93">
        <f t="shared" si="363"/>
        <v>1</v>
      </c>
      <c r="C87" s="558" t="str">
        <f t="shared" si="364"/>
        <v>Lista</v>
      </c>
      <c r="D87" s="558">
        <f t="shared" si="365"/>
        <v>0.09</v>
      </c>
      <c r="E87" s="559">
        <f t="shared" si="366"/>
        <v>0</v>
      </c>
      <c r="F87" s="547">
        <f t="shared" si="367"/>
        <v>71</v>
      </c>
      <c r="G87" s="699" t="str">
        <f t="shared" si="368"/>
        <v>Lista</v>
      </c>
      <c r="H87" s="702">
        <f t="shared" si="369"/>
        <v>0.05</v>
      </c>
      <c r="I87" s="423" t="s">
        <v>1347</v>
      </c>
      <c r="J87" s="326">
        <f t="shared" si="479"/>
        <v>215118.1</v>
      </c>
      <c r="K87" s="332">
        <v>1500000</v>
      </c>
      <c r="L87" s="140" t="e">
        <f t="shared" si="8"/>
        <v>#VALUE!</v>
      </c>
      <c r="M87" s="326" t="str">
        <f t="shared" si="370"/>
        <v/>
      </c>
      <c r="N87" s="333">
        <f t="shared" si="371"/>
        <v>1197514.92</v>
      </c>
      <c r="O87" s="123">
        <f t="shared" si="11"/>
        <v>-302485.08000000007</v>
      </c>
      <c r="P87" s="137">
        <f t="shared" si="12"/>
        <v>0.79834327999999999</v>
      </c>
      <c r="Q87" s="326">
        <f t="shared" si="372"/>
        <v>131052.14</v>
      </c>
      <c r="R87" s="326">
        <v>1500000</v>
      </c>
      <c r="S87" s="116" t="e">
        <f t="shared" si="14"/>
        <v>#VALUE!</v>
      </c>
      <c r="T87" s="326" t="str">
        <f t="shared" si="373"/>
        <v/>
      </c>
      <c r="U87" s="326">
        <f t="shared" si="374"/>
        <v>493112.96</v>
      </c>
      <c r="V87" s="326">
        <f t="shared" si="17"/>
        <v>-1006887.04</v>
      </c>
      <c r="W87" s="137">
        <f t="shared" si="18"/>
        <v>0.32874197333333333</v>
      </c>
      <c r="X87" s="326">
        <f t="shared" si="375"/>
        <v>79682.11</v>
      </c>
      <c r="Y87" s="332">
        <v>1500000</v>
      </c>
      <c r="Z87" s="113" t="e">
        <f t="shared" si="20"/>
        <v>#VALUE!</v>
      </c>
      <c r="AA87" s="116" t="str">
        <f t="shared" si="376"/>
        <v/>
      </c>
      <c r="AB87" s="117">
        <f t="shared" si="377"/>
        <v>0</v>
      </c>
      <c r="AC87" s="123"/>
      <c r="AD87" s="326"/>
      <c r="AE87" s="1257">
        <f t="shared" si="23"/>
        <v>4500000</v>
      </c>
      <c r="AF87" s="140">
        <f t="shared" si="378"/>
        <v>64013.91</v>
      </c>
      <c r="AG87" s="326" t="e">
        <f t="shared" si="25"/>
        <v>#VALUE!</v>
      </c>
      <c r="AH87" s="326" t="e">
        <f t="shared" ref="AH87:AI87" si="490">AA87+T87+M87</f>
        <v>#VALUE!</v>
      </c>
      <c r="AI87" s="326">
        <f t="shared" si="490"/>
        <v>1690627.88</v>
      </c>
      <c r="AJ87" s="326">
        <f t="shared" si="27"/>
        <v>1626613.97</v>
      </c>
      <c r="AK87" s="1258">
        <f t="shared" si="28"/>
        <v>26.410320506902323</v>
      </c>
      <c r="AL87" s="125">
        <f t="shared" si="404"/>
        <v>113179.74</v>
      </c>
      <c r="AM87" s="140" t="e">
        <f t="shared" si="30"/>
        <v>#VALUE!</v>
      </c>
      <c r="AN87" s="123" t="str">
        <f t="shared" si="380"/>
        <v/>
      </c>
      <c r="AO87" s="148">
        <f t="shared" si="381"/>
        <v>0</v>
      </c>
      <c r="AP87" s="125">
        <f t="shared" si="481"/>
        <v>103304.4</v>
      </c>
      <c r="AQ87" s="140" t="e">
        <f t="shared" si="33"/>
        <v>#VALUE!</v>
      </c>
      <c r="AR87" s="326" t="str">
        <f t="shared" si="382"/>
        <v/>
      </c>
      <c r="AS87" s="333">
        <f t="shared" si="383"/>
        <v>171370.62</v>
      </c>
      <c r="AT87" s="123">
        <f t="shared" si="482"/>
        <v>243281.77</v>
      </c>
      <c r="AU87" s="123" t="e">
        <f t="shared" si="36"/>
        <v>#VALUE!</v>
      </c>
      <c r="AV87" s="123" t="str">
        <f t="shared" si="384"/>
        <v/>
      </c>
      <c r="AW87" s="125">
        <f t="shared" si="385"/>
        <v>496945.65</v>
      </c>
      <c r="AX87" s="122" t="e">
        <f t="shared" ref="AX87:AZ87" si="491">SUM(AU87,AQ87,AM87)</f>
        <v>#VALUE!</v>
      </c>
      <c r="AY87" s="326">
        <f t="shared" si="491"/>
        <v>0</v>
      </c>
      <c r="AZ87" s="332">
        <f t="shared" si="491"/>
        <v>668316.27</v>
      </c>
      <c r="BA87" s="140" t="e">
        <f t="shared" ref="BA87:BC87" si="492">SUM(AX87,AG87)</f>
        <v>#VALUE!</v>
      </c>
      <c r="BB87" s="326" t="e">
        <f t="shared" si="492"/>
        <v>#VALUE!</v>
      </c>
      <c r="BC87" s="435">
        <f t="shared" si="492"/>
        <v>2358944.15</v>
      </c>
      <c r="BD87" s="125">
        <f t="shared" si="388"/>
        <v>192979.91</v>
      </c>
      <c r="BE87" s="1166" t="e">
        <f t="shared" si="42"/>
        <v>#VALUE!</v>
      </c>
      <c r="BF87" s="116" t="str">
        <f t="shared" si="389"/>
        <v/>
      </c>
      <c r="BG87" s="121">
        <f t="shared" si="390"/>
        <v>167544.51</v>
      </c>
      <c r="BH87" s="114">
        <f t="shared" si="391"/>
        <v>148705.12</v>
      </c>
      <c r="BI87" s="416" t="e">
        <f t="shared" si="46"/>
        <v>#VALUE!</v>
      </c>
      <c r="BJ87" s="121" t="str">
        <f t="shared" si="392"/>
        <v/>
      </c>
      <c r="BK87" s="121">
        <f t="shared" si="393"/>
        <v>0</v>
      </c>
      <c r="BL87" s="121">
        <f t="shared" si="394"/>
        <v>33904.449999999997</v>
      </c>
      <c r="BM87" s="113" t="e">
        <f t="shared" si="50"/>
        <v>#VALUE!</v>
      </c>
      <c r="BN87" s="116" t="str">
        <f t="shared" si="395"/>
        <v/>
      </c>
      <c r="BO87" s="117">
        <f t="shared" si="396"/>
        <v>0</v>
      </c>
      <c r="BP87" s="113">
        <f t="shared" si="53"/>
        <v>167544.51</v>
      </c>
      <c r="BQ87" s="116">
        <f t="shared" ref="BQ87:BR87" si="493">SUM(BN87,BJ87,BF87)</f>
        <v>0</v>
      </c>
      <c r="BR87" s="117">
        <f t="shared" si="493"/>
        <v>167544.51</v>
      </c>
      <c r="BS87" s="125">
        <f t="shared" si="398"/>
        <v>0</v>
      </c>
      <c r="BT87" s="140" t="e">
        <f t="shared" si="56"/>
        <v>#VALUE!</v>
      </c>
      <c r="BU87" s="123" t="str">
        <f t="shared" si="399"/>
        <v/>
      </c>
      <c r="BV87" s="148">
        <f t="shared" si="400"/>
        <v>0</v>
      </c>
      <c r="BW87" s="123">
        <f t="shared" si="401"/>
        <v>0</v>
      </c>
      <c r="BX87" s="326">
        <f t="shared" si="402"/>
        <v>64013.91</v>
      </c>
    </row>
    <row r="88" spans="1:76" ht="13">
      <c r="A88" s="420">
        <f t="shared" si="362"/>
        <v>112011267</v>
      </c>
      <c r="B88" s="93">
        <f t="shared" si="363"/>
        <v>1</v>
      </c>
      <c r="C88" s="558" t="str">
        <f t="shared" si="364"/>
        <v>Lista</v>
      </c>
      <c r="D88" s="558">
        <f t="shared" si="365"/>
        <v>0.09</v>
      </c>
      <c r="E88" s="559">
        <f t="shared" si="366"/>
        <v>0</v>
      </c>
      <c r="F88" s="547">
        <f t="shared" si="367"/>
        <v>71</v>
      </c>
      <c r="G88" s="699" t="str">
        <f t="shared" si="368"/>
        <v>Lista</v>
      </c>
      <c r="H88" s="702">
        <f t="shared" si="369"/>
        <v>0.05</v>
      </c>
      <c r="I88" s="423" t="s">
        <v>1348</v>
      </c>
      <c r="J88" s="326">
        <f t="shared" si="479"/>
        <v>292187.03999999998</v>
      </c>
      <c r="K88" s="332">
        <v>1500000</v>
      </c>
      <c r="L88" s="140">
        <f t="shared" si="8"/>
        <v>1028390.79</v>
      </c>
      <c r="M88" s="326">
        <f t="shared" si="370"/>
        <v>0</v>
      </c>
      <c r="N88" s="333">
        <f t="shared" si="371"/>
        <v>1028390.79</v>
      </c>
      <c r="O88" s="123">
        <f t="shared" si="11"/>
        <v>-471609.20999999996</v>
      </c>
      <c r="P88" s="137">
        <f t="shared" si="12"/>
        <v>0.68559386</v>
      </c>
      <c r="Q88" s="1281">
        <f t="shared" si="372"/>
        <v>106475.04</v>
      </c>
      <c r="R88" s="1281">
        <v>1500000</v>
      </c>
      <c r="S88" s="116">
        <f t="shared" si="14"/>
        <v>315763.77</v>
      </c>
      <c r="T88" s="326">
        <f t="shared" si="373"/>
        <v>0</v>
      </c>
      <c r="U88" s="326">
        <f t="shared" si="374"/>
        <v>315763.77</v>
      </c>
      <c r="V88" s="326">
        <f t="shared" si="17"/>
        <v>-1184236.23</v>
      </c>
      <c r="W88" s="137">
        <f t="shared" si="18"/>
        <v>0.21050918000000002</v>
      </c>
      <c r="X88" s="1281">
        <f t="shared" si="375"/>
        <v>264060.36</v>
      </c>
      <c r="Y88" s="1282">
        <v>1500000</v>
      </c>
      <c r="Z88" s="113">
        <f t="shared" si="20"/>
        <v>464570.27</v>
      </c>
      <c r="AA88" s="116">
        <f t="shared" si="376"/>
        <v>0</v>
      </c>
      <c r="AB88" s="117">
        <f t="shared" si="377"/>
        <v>464570.27</v>
      </c>
      <c r="AC88" s="1283"/>
      <c r="AD88" s="1281"/>
      <c r="AE88" s="1284">
        <f t="shared" si="23"/>
        <v>4500000</v>
      </c>
      <c r="AF88" s="140">
        <f t="shared" si="378"/>
        <v>581793.31000000006</v>
      </c>
      <c r="AG88" s="326">
        <f t="shared" si="25"/>
        <v>1808724.83</v>
      </c>
      <c r="AH88" s="326">
        <f t="shared" ref="AH88:AI88" si="494">AA88+T88+M88</f>
        <v>0</v>
      </c>
      <c r="AI88" s="326">
        <f t="shared" si="494"/>
        <v>1808724.83</v>
      </c>
      <c r="AJ88" s="326">
        <f t="shared" si="27"/>
        <v>1226931.52</v>
      </c>
      <c r="AK88" s="1258">
        <f t="shared" si="28"/>
        <v>3.1088787012693562</v>
      </c>
      <c r="AL88" s="125">
        <f t="shared" si="404"/>
        <v>0</v>
      </c>
      <c r="AM88" s="140">
        <f t="shared" si="30"/>
        <v>0</v>
      </c>
      <c r="AN88" s="123">
        <f t="shared" si="380"/>
        <v>0</v>
      </c>
      <c r="AO88" s="148">
        <f t="shared" si="381"/>
        <v>0</v>
      </c>
      <c r="AP88" s="125">
        <f t="shared" si="481"/>
        <v>110508.75</v>
      </c>
      <c r="AQ88" s="140">
        <f t="shared" si="33"/>
        <v>554749.57999999996</v>
      </c>
      <c r="AR88" s="326">
        <f t="shared" si="382"/>
        <v>0</v>
      </c>
      <c r="AS88" s="333">
        <f t="shared" si="383"/>
        <v>554749.57999999996</v>
      </c>
      <c r="AT88" s="123">
        <f t="shared" si="482"/>
        <v>140234.87</v>
      </c>
      <c r="AU88" s="123">
        <f t="shared" si="36"/>
        <v>0</v>
      </c>
      <c r="AV88" s="123">
        <f t="shared" si="384"/>
        <v>0</v>
      </c>
      <c r="AW88" s="125">
        <f t="shared" si="385"/>
        <v>0</v>
      </c>
      <c r="AX88" s="122">
        <f t="shared" ref="AX88:AZ88" si="495">SUM(AU88,AQ88,AM88)</f>
        <v>554749.57999999996</v>
      </c>
      <c r="AY88" s="326">
        <f t="shared" si="495"/>
        <v>0</v>
      </c>
      <c r="AZ88" s="332">
        <f t="shared" si="495"/>
        <v>554749.57999999996</v>
      </c>
      <c r="BA88" s="140">
        <f t="shared" ref="BA88:BC88" si="496">SUM(AX88,AG88)</f>
        <v>2363474.41</v>
      </c>
      <c r="BB88" s="326">
        <f t="shared" si="496"/>
        <v>0</v>
      </c>
      <c r="BC88" s="435">
        <f t="shared" si="496"/>
        <v>2363474.41</v>
      </c>
      <c r="BD88" s="125">
        <f t="shared" si="388"/>
        <v>0</v>
      </c>
      <c r="BE88" s="1166">
        <f t="shared" si="42"/>
        <v>194099.77000000002</v>
      </c>
      <c r="BF88" s="116">
        <f t="shared" si="389"/>
        <v>185599.62</v>
      </c>
      <c r="BG88" s="121">
        <f t="shared" si="390"/>
        <v>379699.39</v>
      </c>
      <c r="BH88" s="114">
        <f t="shared" si="391"/>
        <v>228067.99</v>
      </c>
      <c r="BI88" s="416">
        <f t="shared" si="46"/>
        <v>0</v>
      </c>
      <c r="BJ88" s="121">
        <f t="shared" si="392"/>
        <v>0</v>
      </c>
      <c r="BK88" s="121">
        <f t="shared" si="393"/>
        <v>0</v>
      </c>
      <c r="BL88" s="121">
        <f t="shared" si="394"/>
        <v>345729.98</v>
      </c>
      <c r="BM88" s="113">
        <f t="shared" si="50"/>
        <v>0</v>
      </c>
      <c r="BN88" s="116">
        <f t="shared" si="395"/>
        <v>0</v>
      </c>
      <c r="BO88" s="117">
        <f t="shared" si="396"/>
        <v>0</v>
      </c>
      <c r="BP88" s="113">
        <f t="shared" si="53"/>
        <v>194099.77000000002</v>
      </c>
      <c r="BQ88" s="116">
        <f t="shared" ref="BQ88:BR88" si="497">SUM(BN88,BJ88,BF88)</f>
        <v>185599.62</v>
      </c>
      <c r="BR88" s="117">
        <f t="shared" si="497"/>
        <v>379699.39</v>
      </c>
      <c r="BS88" s="125">
        <f t="shared" si="398"/>
        <v>112861.09</v>
      </c>
      <c r="BT88" s="140">
        <f t="shared" si="56"/>
        <v>0</v>
      </c>
      <c r="BU88" s="123">
        <f t="shared" si="399"/>
        <v>0</v>
      </c>
      <c r="BV88" s="148">
        <f t="shared" si="400"/>
        <v>0</v>
      </c>
      <c r="BW88" s="123">
        <f t="shared" si="401"/>
        <v>0</v>
      </c>
      <c r="BX88" s="326">
        <f t="shared" si="402"/>
        <v>468932.22</v>
      </c>
    </row>
    <row r="89" spans="1:76" ht="13">
      <c r="A89" s="420">
        <f t="shared" si="362"/>
        <v>112012020</v>
      </c>
      <c r="B89" s="93">
        <f t="shared" si="363"/>
        <v>1</v>
      </c>
      <c r="C89" s="558" t="str">
        <f t="shared" si="364"/>
        <v>Lista</v>
      </c>
      <c r="D89" s="558">
        <f t="shared" si="365"/>
        <v>0.09</v>
      </c>
      <c r="E89" s="559">
        <f t="shared" si="366"/>
        <v>0</v>
      </c>
      <c r="F89" s="547">
        <f t="shared" si="367"/>
        <v>71</v>
      </c>
      <c r="G89" s="699" t="str">
        <f t="shared" si="368"/>
        <v>Lista</v>
      </c>
      <c r="H89" s="702">
        <f t="shared" si="369"/>
        <v>0.05</v>
      </c>
      <c r="I89" s="423" t="s">
        <v>1349</v>
      </c>
      <c r="J89" s="326">
        <f t="shared" si="479"/>
        <v>0</v>
      </c>
      <c r="K89" s="332">
        <v>1500000</v>
      </c>
      <c r="L89" s="140" t="e">
        <f t="shared" si="8"/>
        <v>#VALUE!</v>
      </c>
      <c r="M89" s="326" t="str">
        <f t="shared" si="370"/>
        <v/>
      </c>
      <c r="N89" s="333">
        <f t="shared" si="371"/>
        <v>0</v>
      </c>
      <c r="O89" s="123">
        <f t="shared" si="11"/>
        <v>-1500000</v>
      </c>
      <c r="P89" s="137">
        <f t="shared" si="12"/>
        <v>0</v>
      </c>
      <c r="Q89" s="326">
        <f t="shared" si="372"/>
        <v>0</v>
      </c>
      <c r="R89" s="326">
        <v>1500000</v>
      </c>
      <c r="S89" s="116" t="e">
        <f t="shared" si="14"/>
        <v>#VALUE!</v>
      </c>
      <c r="T89" s="326" t="str">
        <f t="shared" si="373"/>
        <v/>
      </c>
      <c r="U89" s="326">
        <f t="shared" si="374"/>
        <v>310095.31</v>
      </c>
      <c r="V89" s="326">
        <f t="shared" si="17"/>
        <v>-1189904.69</v>
      </c>
      <c r="W89" s="137">
        <f t="shared" si="18"/>
        <v>0.20673020666666667</v>
      </c>
      <c r="X89" s="326">
        <f t="shared" si="375"/>
        <v>548371.38</v>
      </c>
      <c r="Y89" s="332">
        <v>1500000</v>
      </c>
      <c r="Z89" s="113" t="e">
        <f t="shared" si="20"/>
        <v>#VALUE!</v>
      </c>
      <c r="AA89" s="116" t="str">
        <f t="shared" si="376"/>
        <v/>
      </c>
      <c r="AB89" s="117">
        <f t="shared" si="377"/>
        <v>0</v>
      </c>
      <c r="AC89" s="123"/>
      <c r="AD89" s="326"/>
      <c r="AE89" s="1257">
        <f t="shared" si="23"/>
        <v>4500000</v>
      </c>
      <c r="AF89" s="140">
        <f t="shared" si="378"/>
        <v>743107.14</v>
      </c>
      <c r="AG89" s="326" t="e">
        <f t="shared" si="25"/>
        <v>#VALUE!</v>
      </c>
      <c r="AH89" s="326" t="e">
        <f t="shared" ref="AH89:AI89" si="498">AA89+T89+M89</f>
        <v>#VALUE!</v>
      </c>
      <c r="AI89" s="326">
        <f t="shared" si="498"/>
        <v>310095.31</v>
      </c>
      <c r="AJ89" s="326">
        <f t="shared" si="27"/>
        <v>-433011.83</v>
      </c>
      <c r="AK89" s="1258">
        <f t="shared" si="28"/>
        <v>0.41729555983004013</v>
      </c>
      <c r="AL89" s="125">
        <f t="shared" si="404"/>
        <v>266418.38</v>
      </c>
      <c r="AM89" s="140" t="e">
        <f t="shared" si="30"/>
        <v>#VALUE!</v>
      </c>
      <c r="AN89" s="123" t="str">
        <f t="shared" si="380"/>
        <v/>
      </c>
      <c r="AO89" s="148">
        <f t="shared" si="381"/>
        <v>0</v>
      </c>
      <c r="AP89" s="125">
        <f t="shared" si="481"/>
        <v>0</v>
      </c>
      <c r="AQ89" s="140" t="e">
        <f t="shared" si="33"/>
        <v>#VALUE!</v>
      </c>
      <c r="AR89" s="326" t="str">
        <f t="shared" si="382"/>
        <v/>
      </c>
      <c r="AS89" s="333">
        <f t="shared" si="383"/>
        <v>356408.97</v>
      </c>
      <c r="AT89" s="123">
        <f t="shared" si="482"/>
        <v>175467.27</v>
      </c>
      <c r="AU89" s="123" t="e">
        <f t="shared" si="36"/>
        <v>#VALUE!</v>
      </c>
      <c r="AV89" s="123" t="str">
        <f t="shared" si="384"/>
        <v/>
      </c>
      <c r="AW89" s="125">
        <f t="shared" si="385"/>
        <v>0</v>
      </c>
      <c r="AX89" s="122" t="e">
        <f t="shared" ref="AX89:AZ89" si="499">SUM(AU89,AQ89,AM89)</f>
        <v>#VALUE!</v>
      </c>
      <c r="AY89" s="326">
        <f t="shared" si="499"/>
        <v>0</v>
      </c>
      <c r="AZ89" s="332">
        <f t="shared" si="499"/>
        <v>356408.97</v>
      </c>
      <c r="BA89" s="140" t="e">
        <f t="shared" ref="BA89:BC89" si="500">SUM(AX89,AG89)</f>
        <v>#VALUE!</v>
      </c>
      <c r="BB89" s="326" t="e">
        <f t="shared" si="500"/>
        <v>#VALUE!</v>
      </c>
      <c r="BC89" s="435">
        <f t="shared" si="500"/>
        <v>666504.28</v>
      </c>
      <c r="BD89" s="125">
        <f t="shared" si="388"/>
        <v>34651.26</v>
      </c>
      <c r="BE89" s="1166" t="e">
        <f t="shared" si="42"/>
        <v>#VALUE!</v>
      </c>
      <c r="BF89" s="116" t="str">
        <f t="shared" si="389"/>
        <v/>
      </c>
      <c r="BG89" s="121">
        <f t="shared" si="390"/>
        <v>0</v>
      </c>
      <c r="BH89" s="114">
        <f t="shared" si="391"/>
        <v>163268.70000000001</v>
      </c>
      <c r="BI89" s="416" t="e">
        <f t="shared" si="46"/>
        <v>#VALUE!</v>
      </c>
      <c r="BJ89" s="121" t="str">
        <f t="shared" si="392"/>
        <v/>
      </c>
      <c r="BK89" s="121">
        <f t="shared" si="393"/>
        <v>0</v>
      </c>
      <c r="BL89" s="121">
        <f t="shared" si="394"/>
        <v>545932.62</v>
      </c>
      <c r="BM89" s="113" t="e">
        <f t="shared" si="50"/>
        <v>#VALUE!</v>
      </c>
      <c r="BN89" s="116" t="str">
        <f t="shared" si="395"/>
        <v/>
      </c>
      <c r="BO89" s="117">
        <f t="shared" si="396"/>
        <v>0</v>
      </c>
      <c r="BP89" s="113">
        <f t="shared" si="53"/>
        <v>0</v>
      </c>
      <c r="BQ89" s="116">
        <f t="shared" ref="BQ89:BR89" si="501">SUM(BN89,BJ89,BF89)</f>
        <v>0</v>
      </c>
      <c r="BR89" s="117">
        <f t="shared" si="501"/>
        <v>0</v>
      </c>
      <c r="BS89" s="125">
        <f t="shared" si="398"/>
        <v>404377.48</v>
      </c>
      <c r="BT89" s="140" t="e">
        <f t="shared" si="56"/>
        <v>#VALUE!</v>
      </c>
      <c r="BU89" s="123" t="str">
        <f t="shared" si="399"/>
        <v/>
      </c>
      <c r="BV89" s="148">
        <f t="shared" si="400"/>
        <v>0</v>
      </c>
      <c r="BW89" s="123">
        <f t="shared" si="401"/>
        <v>338729.66</v>
      </c>
      <c r="BX89" s="326">
        <f t="shared" si="402"/>
        <v>0</v>
      </c>
    </row>
    <row r="90" spans="1:76" ht="13">
      <c r="A90" s="420">
        <f t="shared" si="362"/>
        <v>112014410</v>
      </c>
      <c r="B90" s="93">
        <f t="shared" si="363"/>
        <v>1</v>
      </c>
      <c r="C90" s="558" t="str">
        <f t="shared" si="364"/>
        <v>Lista</v>
      </c>
      <c r="D90" s="558">
        <f t="shared" si="365"/>
        <v>0.09</v>
      </c>
      <c r="E90" s="559">
        <f t="shared" si="366"/>
        <v>0</v>
      </c>
      <c r="F90" s="547">
        <f t="shared" si="367"/>
        <v>71</v>
      </c>
      <c r="G90" s="699" t="str">
        <f t="shared" si="368"/>
        <v>Lista</v>
      </c>
      <c r="H90" s="702">
        <f t="shared" si="369"/>
        <v>0.05</v>
      </c>
      <c r="I90" s="423" t="s">
        <v>1350</v>
      </c>
      <c r="J90" s="326">
        <f t="shared" si="479"/>
        <v>0</v>
      </c>
      <c r="K90" s="332">
        <v>1500000</v>
      </c>
      <c r="L90" s="140" t="e">
        <f t="shared" si="8"/>
        <v>#VALUE!</v>
      </c>
      <c r="M90" s="326" t="str">
        <f t="shared" si="370"/>
        <v/>
      </c>
      <c r="N90" s="333">
        <f t="shared" si="371"/>
        <v>43038.36</v>
      </c>
      <c r="O90" s="123">
        <f t="shared" si="11"/>
        <v>-1456961.64</v>
      </c>
      <c r="P90" s="137">
        <f t="shared" si="12"/>
        <v>2.8692240000000001E-2</v>
      </c>
      <c r="Q90" s="326">
        <f t="shared" si="372"/>
        <v>0</v>
      </c>
      <c r="R90" s="326">
        <v>1500000</v>
      </c>
      <c r="S90" s="116" t="e">
        <f t="shared" si="14"/>
        <v>#VALUE!</v>
      </c>
      <c r="T90" s="326" t="str">
        <f t="shared" si="373"/>
        <v/>
      </c>
      <c r="U90" s="326">
        <f t="shared" si="374"/>
        <v>134666.92000000001</v>
      </c>
      <c r="V90" s="326">
        <f t="shared" si="17"/>
        <v>-1365333.08</v>
      </c>
      <c r="W90" s="137">
        <f t="shared" si="18"/>
        <v>8.9777946666666678E-2</v>
      </c>
      <c r="X90" s="326">
        <f t="shared" si="375"/>
        <v>0</v>
      </c>
      <c r="Y90" s="332">
        <v>1500000</v>
      </c>
      <c r="Z90" s="113" t="e">
        <f t="shared" si="20"/>
        <v>#VALUE!</v>
      </c>
      <c r="AA90" s="116" t="str">
        <f t="shared" si="376"/>
        <v/>
      </c>
      <c r="AB90" s="117">
        <f t="shared" si="377"/>
        <v>195886.01</v>
      </c>
      <c r="AC90" s="123"/>
      <c r="AD90" s="326"/>
      <c r="AE90" s="1257">
        <f t="shared" si="23"/>
        <v>4500000</v>
      </c>
      <c r="AF90" s="140">
        <f t="shared" si="378"/>
        <v>350183.21</v>
      </c>
      <c r="AG90" s="326" t="e">
        <f t="shared" si="25"/>
        <v>#VALUE!</v>
      </c>
      <c r="AH90" s="326" t="e">
        <f t="shared" ref="AH90:AI90" si="502">AA90+T90+M90</f>
        <v>#VALUE!</v>
      </c>
      <c r="AI90" s="326">
        <f t="shared" si="502"/>
        <v>373591.29000000004</v>
      </c>
      <c r="AJ90" s="326">
        <f t="shared" si="27"/>
        <v>23408.080000000016</v>
      </c>
      <c r="AK90" s="1258">
        <f t="shared" si="28"/>
        <v>1.0668452379541555</v>
      </c>
      <c r="AL90" s="125">
        <f t="shared" si="404"/>
        <v>191074.13</v>
      </c>
      <c r="AM90" s="140" t="e">
        <f t="shared" si="30"/>
        <v>#VALUE!</v>
      </c>
      <c r="AN90" s="123" t="str">
        <f t="shared" si="380"/>
        <v/>
      </c>
      <c r="AO90" s="148">
        <f t="shared" si="381"/>
        <v>68751.570000000007</v>
      </c>
      <c r="AP90" s="125">
        <f t="shared" si="481"/>
        <v>612771.67000000004</v>
      </c>
      <c r="AQ90" s="140" t="e">
        <f t="shared" si="33"/>
        <v>#VALUE!</v>
      </c>
      <c r="AR90" s="326" t="str">
        <f t="shared" si="382"/>
        <v/>
      </c>
      <c r="AS90" s="333">
        <f t="shared" si="383"/>
        <v>0</v>
      </c>
      <c r="AT90" s="123">
        <f t="shared" si="482"/>
        <v>727277.68</v>
      </c>
      <c r="AU90" s="123" t="e">
        <f t="shared" si="36"/>
        <v>#VALUE!</v>
      </c>
      <c r="AV90" s="123" t="str">
        <f t="shared" si="384"/>
        <v/>
      </c>
      <c r="AW90" s="125">
        <f t="shared" si="385"/>
        <v>17419.28</v>
      </c>
      <c r="AX90" s="122" t="e">
        <f t="shared" ref="AX90:AZ90" si="503">SUM(AU90,AQ90,AM90)</f>
        <v>#VALUE!</v>
      </c>
      <c r="AY90" s="326">
        <f t="shared" si="503"/>
        <v>0</v>
      </c>
      <c r="AZ90" s="332">
        <f t="shared" si="503"/>
        <v>86170.85</v>
      </c>
      <c r="BA90" s="140" t="e">
        <f t="shared" ref="BA90:BC90" si="504">SUM(AX90,AG90)</f>
        <v>#VALUE!</v>
      </c>
      <c r="BB90" s="326" t="e">
        <f t="shared" si="504"/>
        <v>#VALUE!</v>
      </c>
      <c r="BC90" s="435">
        <f t="shared" si="504"/>
        <v>459762.14</v>
      </c>
      <c r="BD90" s="125">
        <f t="shared" si="388"/>
        <v>49245.62</v>
      </c>
      <c r="BE90" s="1166" t="e">
        <f t="shared" si="42"/>
        <v>#VALUE!</v>
      </c>
      <c r="BF90" s="116" t="str">
        <f t="shared" si="389"/>
        <v/>
      </c>
      <c r="BG90" s="121">
        <f t="shared" si="390"/>
        <v>0</v>
      </c>
      <c r="BH90" s="114">
        <f t="shared" si="391"/>
        <v>0</v>
      </c>
      <c r="BI90" s="416" t="e">
        <f t="shared" si="46"/>
        <v>#VALUE!</v>
      </c>
      <c r="BJ90" s="121" t="str">
        <f t="shared" si="392"/>
        <v/>
      </c>
      <c r="BK90" s="121">
        <f t="shared" si="393"/>
        <v>0</v>
      </c>
      <c r="BL90" s="121">
        <f t="shared" si="394"/>
        <v>566776.91</v>
      </c>
      <c r="BM90" s="113" t="e">
        <f t="shared" si="50"/>
        <v>#VALUE!</v>
      </c>
      <c r="BN90" s="116" t="str">
        <f t="shared" si="395"/>
        <v/>
      </c>
      <c r="BO90" s="117">
        <f t="shared" si="396"/>
        <v>0</v>
      </c>
      <c r="BP90" s="113">
        <f t="shared" si="53"/>
        <v>0</v>
      </c>
      <c r="BQ90" s="116">
        <f t="shared" ref="BQ90:BR90" si="505">SUM(BN90,BJ90,BF90)</f>
        <v>0</v>
      </c>
      <c r="BR90" s="117">
        <f t="shared" si="505"/>
        <v>0</v>
      </c>
      <c r="BS90" s="125">
        <f t="shared" si="398"/>
        <v>127027.24</v>
      </c>
      <c r="BT90" s="140" t="e">
        <f t="shared" si="56"/>
        <v>#VALUE!</v>
      </c>
      <c r="BU90" s="123" t="str">
        <f t="shared" si="399"/>
        <v/>
      </c>
      <c r="BV90" s="148">
        <f t="shared" si="400"/>
        <v>0</v>
      </c>
      <c r="BW90" s="123">
        <f t="shared" si="401"/>
        <v>154366.20000000001</v>
      </c>
      <c r="BX90" s="326">
        <f t="shared" si="402"/>
        <v>68789.77</v>
      </c>
    </row>
    <row r="91" spans="1:76" ht="13">
      <c r="A91" s="420">
        <f t="shared" si="362"/>
        <v>112013188</v>
      </c>
      <c r="B91" s="93">
        <f t="shared" si="363"/>
        <v>1</v>
      </c>
      <c r="C91" s="558" t="str">
        <f t="shared" si="364"/>
        <v>Lista</v>
      </c>
      <c r="D91" s="558">
        <f t="shared" si="365"/>
        <v>0.09</v>
      </c>
      <c r="E91" s="559">
        <f t="shared" si="366"/>
        <v>0</v>
      </c>
      <c r="F91" s="547">
        <f t="shared" si="367"/>
        <v>71</v>
      </c>
      <c r="G91" s="699" t="str">
        <f t="shared" si="368"/>
        <v>Lista</v>
      </c>
      <c r="H91" s="702">
        <f t="shared" si="369"/>
        <v>0.05</v>
      </c>
      <c r="I91" s="423" t="s">
        <v>1351</v>
      </c>
      <c r="J91" s="326">
        <f t="shared" si="479"/>
        <v>0</v>
      </c>
      <c r="K91" s="332">
        <v>1500000</v>
      </c>
      <c r="L91" s="140" t="e">
        <f t="shared" si="8"/>
        <v>#VALUE!</v>
      </c>
      <c r="M91" s="326" t="str">
        <f t="shared" si="370"/>
        <v/>
      </c>
      <c r="N91" s="333">
        <f t="shared" si="371"/>
        <v>43875.35</v>
      </c>
      <c r="O91" s="123">
        <f t="shared" si="11"/>
        <v>-1456124.65</v>
      </c>
      <c r="P91" s="137">
        <f t="shared" si="12"/>
        <v>2.9250233333333334E-2</v>
      </c>
      <c r="Q91" s="326">
        <f t="shared" si="372"/>
        <v>45591.360000000001</v>
      </c>
      <c r="R91" s="326">
        <v>1500000</v>
      </c>
      <c r="S91" s="116" t="e">
        <f t="shared" si="14"/>
        <v>#VALUE!</v>
      </c>
      <c r="T91" s="326" t="str">
        <f t="shared" si="373"/>
        <v/>
      </c>
      <c r="U91" s="326">
        <f t="shared" si="374"/>
        <v>0</v>
      </c>
      <c r="V91" s="326">
        <f t="shared" si="17"/>
        <v>-1500000</v>
      </c>
      <c r="W91" s="137">
        <f t="shared" si="18"/>
        <v>0</v>
      </c>
      <c r="X91" s="326">
        <f t="shared" si="375"/>
        <v>23570.639999999999</v>
      </c>
      <c r="Y91" s="332">
        <v>1500000</v>
      </c>
      <c r="Z91" s="113" t="e">
        <f t="shared" si="20"/>
        <v>#VALUE!</v>
      </c>
      <c r="AA91" s="116" t="str">
        <f t="shared" si="376"/>
        <v/>
      </c>
      <c r="AB91" s="117">
        <f t="shared" si="377"/>
        <v>102407.67</v>
      </c>
      <c r="AC91" s="123"/>
      <c r="AD91" s="326"/>
      <c r="AE91" s="1257">
        <f t="shared" si="23"/>
        <v>4500000</v>
      </c>
      <c r="AF91" s="140">
        <f t="shared" si="378"/>
        <v>118775.6</v>
      </c>
      <c r="AG91" s="326" t="e">
        <f t="shared" si="25"/>
        <v>#VALUE!</v>
      </c>
      <c r="AH91" s="326" t="e">
        <f t="shared" ref="AH91:AI91" si="506">AA91+T91+M91</f>
        <v>#VALUE!</v>
      </c>
      <c r="AI91" s="326">
        <f t="shared" si="506"/>
        <v>146283.01999999999</v>
      </c>
      <c r="AJ91" s="326">
        <f t="shared" si="27"/>
        <v>27507.419999999984</v>
      </c>
      <c r="AK91" s="1258">
        <f t="shared" si="28"/>
        <v>1.2315915053260096</v>
      </c>
      <c r="AL91" s="125">
        <f t="shared" si="404"/>
        <v>0</v>
      </c>
      <c r="AM91" s="140" t="e">
        <f t="shared" si="30"/>
        <v>#VALUE!</v>
      </c>
      <c r="AN91" s="123" t="str">
        <f t="shared" si="380"/>
        <v/>
      </c>
      <c r="AO91" s="148">
        <f t="shared" si="381"/>
        <v>0</v>
      </c>
      <c r="AP91" s="125">
        <f t="shared" si="481"/>
        <v>50538.61</v>
      </c>
      <c r="AQ91" s="140" t="e">
        <f t="shared" si="33"/>
        <v>#VALUE!</v>
      </c>
      <c r="AR91" s="326" t="str">
        <f t="shared" si="382"/>
        <v/>
      </c>
      <c r="AS91" s="333">
        <f t="shared" si="383"/>
        <v>117863.67999999999</v>
      </c>
      <c r="AT91" s="123">
        <f t="shared" si="482"/>
        <v>40152.51</v>
      </c>
      <c r="AU91" s="123" t="e">
        <f t="shared" si="36"/>
        <v>#VALUE!</v>
      </c>
      <c r="AV91" s="123" t="str">
        <f t="shared" si="384"/>
        <v/>
      </c>
      <c r="AW91" s="125">
        <f t="shared" si="385"/>
        <v>0</v>
      </c>
      <c r="AX91" s="122" t="e">
        <f t="shared" ref="AX91:AZ91" si="507">SUM(AU91,AQ91,AM91)</f>
        <v>#VALUE!</v>
      </c>
      <c r="AY91" s="326">
        <f t="shared" si="507"/>
        <v>0</v>
      </c>
      <c r="AZ91" s="332">
        <f t="shared" si="507"/>
        <v>117863.67999999999</v>
      </c>
      <c r="BA91" s="140" t="e">
        <f t="shared" ref="BA91:BC91" si="508">SUM(AX91,AG91)</f>
        <v>#VALUE!</v>
      </c>
      <c r="BB91" s="326" t="e">
        <f t="shared" si="508"/>
        <v>#VALUE!</v>
      </c>
      <c r="BC91" s="435">
        <f t="shared" si="508"/>
        <v>264146.69999999995</v>
      </c>
      <c r="BD91" s="125">
        <f t="shared" si="388"/>
        <v>109991.43</v>
      </c>
      <c r="BE91" s="1166" t="e">
        <f t="shared" si="42"/>
        <v>#VALUE!</v>
      </c>
      <c r="BF91" s="116" t="str">
        <f t="shared" si="389"/>
        <v/>
      </c>
      <c r="BG91" s="121">
        <f t="shared" si="390"/>
        <v>27412.16</v>
      </c>
      <c r="BH91" s="114">
        <f t="shared" si="391"/>
        <v>0</v>
      </c>
      <c r="BI91" s="416" t="e">
        <f t="shared" si="46"/>
        <v>#VALUE!</v>
      </c>
      <c r="BJ91" s="121" t="str">
        <f t="shared" si="392"/>
        <v/>
      </c>
      <c r="BK91" s="121">
        <f t="shared" si="393"/>
        <v>0</v>
      </c>
      <c r="BL91" s="121">
        <f t="shared" si="394"/>
        <v>44293.96</v>
      </c>
      <c r="BM91" s="113" t="e">
        <f t="shared" si="50"/>
        <v>#VALUE!</v>
      </c>
      <c r="BN91" s="116" t="str">
        <f t="shared" si="395"/>
        <v/>
      </c>
      <c r="BO91" s="117">
        <f t="shared" si="396"/>
        <v>0</v>
      </c>
      <c r="BP91" s="113">
        <f t="shared" si="53"/>
        <v>27412.16</v>
      </c>
      <c r="BQ91" s="116">
        <f t="shared" ref="BQ91:BR91" si="509">SUM(BN91,BJ91,BF91)</f>
        <v>0</v>
      </c>
      <c r="BR91" s="117">
        <f t="shared" si="509"/>
        <v>27412.16</v>
      </c>
      <c r="BS91" s="125">
        <f t="shared" si="398"/>
        <v>49124.76</v>
      </c>
      <c r="BT91" s="140" t="e">
        <f t="shared" si="56"/>
        <v>#VALUE!</v>
      </c>
      <c r="BU91" s="123" t="str">
        <f t="shared" si="399"/>
        <v/>
      </c>
      <c r="BV91" s="148">
        <f t="shared" si="400"/>
        <v>0</v>
      </c>
      <c r="BW91" s="123">
        <f t="shared" si="401"/>
        <v>69650.84</v>
      </c>
      <c r="BX91" s="326">
        <f t="shared" si="402"/>
        <v>0</v>
      </c>
    </row>
    <row r="92" spans="1:76" ht="13">
      <c r="A92" s="420">
        <f t="shared" si="362"/>
        <v>112014683</v>
      </c>
      <c r="B92" s="93">
        <f t="shared" si="363"/>
        <v>1</v>
      </c>
      <c r="C92" s="558" t="str">
        <f t="shared" si="364"/>
        <v>Lista</v>
      </c>
      <c r="D92" s="558">
        <f t="shared" si="365"/>
        <v>0.09</v>
      </c>
      <c r="E92" s="559">
        <f t="shared" si="366"/>
        <v>0</v>
      </c>
      <c r="F92" s="547">
        <f t="shared" si="367"/>
        <v>71</v>
      </c>
      <c r="G92" s="699" t="str">
        <f t="shared" si="368"/>
        <v>Lista</v>
      </c>
      <c r="H92" s="702">
        <f t="shared" si="369"/>
        <v>0.05</v>
      </c>
      <c r="I92" s="943" t="s">
        <v>1352</v>
      </c>
      <c r="J92" s="326"/>
      <c r="K92" s="332"/>
      <c r="L92" s="140" t="e">
        <f t="shared" si="8"/>
        <v>#VALUE!</v>
      </c>
      <c r="M92" s="326" t="str">
        <f t="shared" si="370"/>
        <v/>
      </c>
      <c r="N92" s="333">
        <f t="shared" si="371"/>
        <v>0</v>
      </c>
      <c r="O92" s="123"/>
      <c r="P92" s="137"/>
      <c r="Q92" s="326"/>
      <c r="R92" s="326"/>
      <c r="S92" s="116" t="e">
        <f t="shared" si="14"/>
        <v>#VALUE!</v>
      </c>
      <c r="T92" s="326" t="str">
        <f t="shared" si="373"/>
        <v/>
      </c>
      <c r="U92" s="326">
        <f t="shared" si="374"/>
        <v>0</v>
      </c>
      <c r="V92" s="326"/>
      <c r="W92" s="137"/>
      <c r="X92" s="326"/>
      <c r="Y92" s="332"/>
      <c r="Z92" s="113" t="e">
        <f t="shared" si="20"/>
        <v>#VALUE!</v>
      </c>
      <c r="AA92" s="116" t="str">
        <f t="shared" si="376"/>
        <v/>
      </c>
      <c r="AB92" s="117">
        <f t="shared" si="377"/>
        <v>0</v>
      </c>
      <c r="AC92" s="123"/>
      <c r="AD92" s="326"/>
      <c r="AE92" s="1257"/>
      <c r="AF92" s="140" t="str">
        <f t="shared" si="378"/>
        <v>0</v>
      </c>
      <c r="AG92" s="326" t="e">
        <f t="shared" si="25"/>
        <v>#VALUE!</v>
      </c>
      <c r="AH92" s="326" t="e">
        <f t="shared" ref="AH92:AI92" si="510">AA92+T92+M92</f>
        <v>#VALUE!</v>
      </c>
      <c r="AI92" s="326">
        <f t="shared" si="510"/>
        <v>0</v>
      </c>
      <c r="AJ92" s="326">
        <f t="shared" si="27"/>
        <v>0</v>
      </c>
      <c r="AK92" s="1258" t="str">
        <f t="shared" si="28"/>
        <v/>
      </c>
      <c r="AL92" s="125"/>
      <c r="AM92" s="140" t="e">
        <f t="shared" si="30"/>
        <v>#VALUE!</v>
      </c>
      <c r="AN92" s="123" t="str">
        <f t="shared" si="380"/>
        <v/>
      </c>
      <c r="AO92" s="148">
        <f t="shared" si="381"/>
        <v>114695</v>
      </c>
      <c r="AP92" s="125" t="str">
        <f t="shared" si="481"/>
        <v/>
      </c>
      <c r="AQ92" s="140" t="e">
        <f t="shared" si="33"/>
        <v>#VALUE!</v>
      </c>
      <c r="AR92" s="326" t="str">
        <f t="shared" si="382"/>
        <v/>
      </c>
      <c r="AS92" s="333">
        <f t="shared" si="383"/>
        <v>0</v>
      </c>
      <c r="AT92" s="123"/>
      <c r="AU92" s="123" t="e">
        <f t="shared" si="36"/>
        <v>#VALUE!</v>
      </c>
      <c r="AV92" s="123" t="str">
        <f t="shared" si="384"/>
        <v/>
      </c>
      <c r="AW92" s="125">
        <f t="shared" si="385"/>
        <v>0</v>
      </c>
      <c r="AX92" s="122" t="e">
        <f t="shared" ref="AX92:AZ92" si="511">SUM(AU92,AQ92,AM92)</f>
        <v>#VALUE!</v>
      </c>
      <c r="AY92" s="326">
        <f t="shared" si="511"/>
        <v>0</v>
      </c>
      <c r="AZ92" s="332">
        <f t="shared" si="511"/>
        <v>114695</v>
      </c>
      <c r="BA92" s="140" t="e">
        <f t="shared" ref="BA92:BC92" si="512">SUM(AX92,AG92)</f>
        <v>#VALUE!</v>
      </c>
      <c r="BB92" s="326" t="e">
        <f t="shared" si="512"/>
        <v>#VALUE!</v>
      </c>
      <c r="BC92" s="435">
        <f t="shared" si="512"/>
        <v>114695</v>
      </c>
      <c r="BD92" s="125" t="str">
        <f t="shared" si="388"/>
        <v/>
      </c>
      <c r="BE92" s="1166" t="e">
        <f t="shared" si="42"/>
        <v>#VALUE!</v>
      </c>
      <c r="BF92" s="116" t="str">
        <f t="shared" si="389"/>
        <v/>
      </c>
      <c r="BG92" s="121">
        <f t="shared" si="390"/>
        <v>109434.94</v>
      </c>
      <c r="BH92" s="114" t="str">
        <f t="shared" si="391"/>
        <v/>
      </c>
      <c r="BI92" s="416" t="e">
        <f t="shared" si="46"/>
        <v>#VALUE!</v>
      </c>
      <c r="BJ92" s="121" t="str">
        <f t="shared" si="392"/>
        <v/>
      </c>
      <c r="BK92" s="121">
        <f t="shared" si="393"/>
        <v>0</v>
      </c>
      <c r="BL92" s="121" t="str">
        <f t="shared" si="394"/>
        <v/>
      </c>
      <c r="BM92" s="113" t="e">
        <f t="shared" si="50"/>
        <v>#VALUE!</v>
      </c>
      <c r="BN92" s="116" t="str">
        <f t="shared" si="395"/>
        <v/>
      </c>
      <c r="BO92" s="117">
        <f t="shared" si="396"/>
        <v>0</v>
      </c>
      <c r="BP92" s="113">
        <f t="shared" si="53"/>
        <v>109434.94</v>
      </c>
      <c r="BQ92" s="116">
        <f t="shared" ref="BQ92:BR92" si="513">SUM(BN92,BJ92,BF92)</f>
        <v>0</v>
      </c>
      <c r="BR92" s="117">
        <f t="shared" si="513"/>
        <v>109434.94</v>
      </c>
      <c r="BS92" s="125" t="str">
        <f t="shared" si="398"/>
        <v/>
      </c>
      <c r="BT92" s="140" t="e">
        <f t="shared" si="56"/>
        <v>#VALUE!</v>
      </c>
      <c r="BU92" s="123" t="str">
        <f t="shared" si="399"/>
        <v/>
      </c>
      <c r="BV92" s="148">
        <f t="shared" si="400"/>
        <v>88244.69</v>
      </c>
      <c r="BW92" s="123" t="str">
        <f t="shared" si="401"/>
        <v/>
      </c>
      <c r="BX92" s="326" t="str">
        <f t="shared" si="402"/>
        <v/>
      </c>
    </row>
    <row r="93" spans="1:76" ht="13">
      <c r="A93" s="420">
        <f t="shared" si="362"/>
        <v>112014130</v>
      </c>
      <c r="B93" s="93">
        <f t="shared" si="363"/>
        <v>1</v>
      </c>
      <c r="C93" s="558" t="str">
        <f t="shared" si="364"/>
        <v>Lista</v>
      </c>
      <c r="D93" s="558">
        <f t="shared" si="365"/>
        <v>0.09</v>
      </c>
      <c r="E93" s="559">
        <f t="shared" si="366"/>
        <v>0</v>
      </c>
      <c r="F93" s="547">
        <f t="shared" si="367"/>
        <v>71</v>
      </c>
      <c r="G93" s="699" t="str">
        <f t="shared" si="368"/>
        <v>Lista</v>
      </c>
      <c r="H93" s="702">
        <f t="shared" si="369"/>
        <v>0.05</v>
      </c>
      <c r="I93" s="423" t="s">
        <v>1353</v>
      </c>
      <c r="J93" s="326" t="str">
        <f t="shared" ref="J93:J116" si="514">IFERROR(VLOOKUP(I93,MONTE24,3,FALSE),"")</f>
        <v/>
      </c>
      <c r="K93" s="332" t="e">
        <f t="shared" ref="K93:K116" si="515">(J93*1.601)*1.05</f>
        <v>#VALUE!</v>
      </c>
      <c r="L93" s="140">
        <f t="shared" si="8"/>
        <v>0</v>
      </c>
      <c r="M93" s="326">
        <f t="shared" si="370"/>
        <v>195568.78</v>
      </c>
      <c r="N93" s="333">
        <f t="shared" si="371"/>
        <v>195568.78</v>
      </c>
      <c r="O93" s="123" t="e">
        <f t="shared" ref="O93:O123" si="516">N93-K93</f>
        <v>#VALUE!</v>
      </c>
      <c r="P93" s="137" t="e">
        <f t="shared" ref="P93:P123" si="517">N93/K93</f>
        <v>#VALUE!</v>
      </c>
      <c r="Q93" s="326" t="str">
        <f t="shared" ref="Q93:Q123" si="518">IFERROR(VLOOKUP(I93,MONTE24,4,FALSE),"")</f>
        <v/>
      </c>
      <c r="R93" s="326" t="e">
        <f t="shared" ref="R93:R116" si="519">(Q93*1.7245)*1.05</f>
        <v>#VALUE!</v>
      </c>
      <c r="S93" s="116">
        <f t="shared" si="14"/>
        <v>0</v>
      </c>
      <c r="T93" s="326">
        <f t="shared" si="373"/>
        <v>0</v>
      </c>
      <c r="U93" s="326">
        <f t="shared" si="374"/>
        <v>0</v>
      </c>
      <c r="V93" s="326" t="e">
        <f t="shared" ref="V93:V123" si="520">U93-R93</f>
        <v>#VALUE!</v>
      </c>
      <c r="W93" s="137" t="e">
        <f t="shared" ref="W93:W123" si="521">U93/R93</f>
        <v>#VALUE!</v>
      </c>
      <c r="X93" s="326" t="str">
        <f t="shared" ref="X93:X123" si="522">IFERROR(VLOOKUP(I93,MONTE24,5,FALSE),"")</f>
        <v/>
      </c>
      <c r="Y93" s="332" t="e">
        <f t="shared" ref="Y93:Y116" si="523">(X93*1.5955)*1.05</f>
        <v>#VALUE!</v>
      </c>
      <c r="Z93" s="113">
        <f t="shared" si="20"/>
        <v>0</v>
      </c>
      <c r="AA93" s="116">
        <f t="shared" si="376"/>
        <v>262918.53000000003</v>
      </c>
      <c r="AB93" s="117">
        <f t="shared" si="377"/>
        <v>262918.53000000003</v>
      </c>
      <c r="AC93" s="123"/>
      <c r="AD93" s="326"/>
      <c r="AE93" s="1257" t="e">
        <f t="shared" ref="AE93:AE123" si="524">K93+R93+Y93</f>
        <v>#VALUE!</v>
      </c>
      <c r="AF93" s="140">
        <f t="shared" si="378"/>
        <v>488535.75</v>
      </c>
      <c r="AG93" s="326">
        <f t="shared" si="25"/>
        <v>0</v>
      </c>
      <c r="AH93" s="326">
        <f t="shared" ref="AH93:AI93" si="525">AA93+T93+M93</f>
        <v>458487.31000000006</v>
      </c>
      <c r="AI93" s="326">
        <f t="shared" si="525"/>
        <v>458487.31000000006</v>
      </c>
      <c r="AJ93" s="326">
        <f t="shared" si="27"/>
        <v>-30048.439999999944</v>
      </c>
      <c r="AK93" s="1258">
        <f t="shared" si="28"/>
        <v>0.93849285338892818</v>
      </c>
      <c r="AL93" s="125" t="str">
        <f t="shared" ref="AL93:AL123" si="526">IFERROR(VLOOKUP(I93,MONTE24,6,FALSE),"")</f>
        <v/>
      </c>
      <c r="AM93" s="140">
        <f t="shared" si="30"/>
        <v>143306.85</v>
      </c>
      <c r="AN93" s="123">
        <f t="shared" si="380"/>
        <v>0</v>
      </c>
      <c r="AO93" s="148">
        <f t="shared" si="381"/>
        <v>143306.85</v>
      </c>
      <c r="AP93" s="125" t="str">
        <f t="shared" si="481"/>
        <v/>
      </c>
      <c r="AQ93" s="140">
        <f t="shared" si="33"/>
        <v>21276.809999999998</v>
      </c>
      <c r="AR93" s="326">
        <f t="shared" si="382"/>
        <v>242891.87</v>
      </c>
      <c r="AS93" s="333">
        <f t="shared" si="383"/>
        <v>264168.68</v>
      </c>
      <c r="AT93" s="123" t="str">
        <f t="shared" ref="AT93:AT116" si="527">IFERROR(VLOOKUP(I93,MONTE24,8,FALSE),"")</f>
        <v/>
      </c>
      <c r="AU93" s="123">
        <f t="shared" si="36"/>
        <v>254709.66000000003</v>
      </c>
      <c r="AV93" s="123">
        <f t="shared" si="384"/>
        <v>310325.99</v>
      </c>
      <c r="AW93" s="125">
        <f t="shared" si="385"/>
        <v>565035.65</v>
      </c>
      <c r="AX93" s="122">
        <f t="shared" ref="AX93:AZ93" si="528">SUM(AU93,AQ93,AM93)</f>
        <v>419293.32000000007</v>
      </c>
      <c r="AY93" s="326">
        <f t="shared" si="528"/>
        <v>553217.86</v>
      </c>
      <c r="AZ93" s="332">
        <f t="shared" si="528"/>
        <v>972511.18</v>
      </c>
      <c r="BA93" s="140">
        <f t="shared" ref="BA93:BC93" si="529">SUM(AX93,AG93)</f>
        <v>419293.32000000007</v>
      </c>
      <c r="BB93" s="326">
        <f t="shared" si="529"/>
        <v>1011705.17</v>
      </c>
      <c r="BC93" s="435">
        <f t="shared" si="529"/>
        <v>1430998.4900000002</v>
      </c>
      <c r="BD93" s="125" t="str">
        <f t="shared" si="388"/>
        <v/>
      </c>
      <c r="BE93" s="1166">
        <f t="shared" si="42"/>
        <v>45048.890000000014</v>
      </c>
      <c r="BF93" s="116">
        <f t="shared" si="389"/>
        <v>301073.78999999998</v>
      </c>
      <c r="BG93" s="121">
        <f t="shared" si="390"/>
        <v>346122.68</v>
      </c>
      <c r="BH93" s="114" t="str">
        <f t="shared" si="391"/>
        <v/>
      </c>
      <c r="BI93" s="416">
        <f t="shared" si="46"/>
        <v>340891.24</v>
      </c>
      <c r="BJ93" s="121">
        <f t="shared" si="392"/>
        <v>0</v>
      </c>
      <c r="BK93" s="121">
        <f t="shared" si="393"/>
        <v>340891.24</v>
      </c>
      <c r="BL93" s="121" t="str">
        <f t="shared" si="394"/>
        <v/>
      </c>
      <c r="BM93" s="113">
        <f t="shared" si="50"/>
        <v>39862.640000000014</v>
      </c>
      <c r="BN93" s="116">
        <f t="shared" si="395"/>
        <v>327641.89</v>
      </c>
      <c r="BO93" s="117">
        <f t="shared" si="396"/>
        <v>367504.53</v>
      </c>
      <c r="BP93" s="113">
        <f t="shared" si="53"/>
        <v>425802.77</v>
      </c>
      <c r="BQ93" s="116">
        <f t="shared" ref="BQ93:BR93" si="530">SUM(BN93,BJ93,BF93)</f>
        <v>628715.67999999993</v>
      </c>
      <c r="BR93" s="117">
        <f t="shared" si="530"/>
        <v>1054518.45</v>
      </c>
      <c r="BS93" s="125" t="str">
        <f t="shared" si="398"/>
        <v/>
      </c>
      <c r="BT93" s="140">
        <f t="shared" si="56"/>
        <v>212171.68</v>
      </c>
      <c r="BU93" s="123">
        <f t="shared" si="399"/>
        <v>51448.13</v>
      </c>
      <c r="BV93" s="148">
        <f t="shared" si="400"/>
        <v>263619.81</v>
      </c>
      <c r="BW93" s="123" t="str">
        <f t="shared" si="401"/>
        <v/>
      </c>
      <c r="BX93" s="326" t="str">
        <f t="shared" si="402"/>
        <v/>
      </c>
    </row>
    <row r="94" spans="1:76" ht="13">
      <c r="A94" s="420">
        <f t="shared" si="362"/>
        <v>112011665</v>
      </c>
      <c r="B94" s="93">
        <f t="shared" si="363"/>
        <v>1</v>
      </c>
      <c r="C94" s="558" t="str">
        <f t="shared" si="364"/>
        <v>Lista</v>
      </c>
      <c r="D94" s="558">
        <f t="shared" si="365"/>
        <v>0.09</v>
      </c>
      <c r="E94" s="559">
        <f t="shared" si="366"/>
        <v>0</v>
      </c>
      <c r="F94" s="547">
        <f t="shared" si="367"/>
        <v>71</v>
      </c>
      <c r="G94" s="699" t="str">
        <f t="shared" si="368"/>
        <v>Lista</v>
      </c>
      <c r="H94" s="702">
        <f t="shared" si="369"/>
        <v>0.05</v>
      </c>
      <c r="I94" s="423" t="s">
        <v>1354</v>
      </c>
      <c r="J94" s="326">
        <f t="shared" si="514"/>
        <v>0</v>
      </c>
      <c r="K94" s="332">
        <f t="shared" si="515"/>
        <v>0</v>
      </c>
      <c r="L94" s="140" t="e">
        <f t="shared" si="8"/>
        <v>#VALUE!</v>
      </c>
      <c r="M94" s="326" t="str">
        <f t="shared" si="370"/>
        <v/>
      </c>
      <c r="N94" s="333">
        <f t="shared" si="371"/>
        <v>0</v>
      </c>
      <c r="O94" s="123">
        <f t="shared" si="516"/>
        <v>0</v>
      </c>
      <c r="P94" s="137" t="e">
        <f t="shared" si="517"/>
        <v>#DIV/0!</v>
      </c>
      <c r="Q94" s="326">
        <f t="shared" si="518"/>
        <v>89194.79</v>
      </c>
      <c r="R94" s="326">
        <f t="shared" si="519"/>
        <v>161507.23612274998</v>
      </c>
      <c r="S94" s="116" t="e">
        <f t="shared" si="14"/>
        <v>#VALUE!</v>
      </c>
      <c r="T94" s="326" t="str">
        <f t="shared" si="373"/>
        <v/>
      </c>
      <c r="U94" s="326">
        <f t="shared" si="374"/>
        <v>0</v>
      </c>
      <c r="V94" s="326">
        <f t="shared" si="520"/>
        <v>-161507.23612274998</v>
      </c>
      <c r="W94" s="137">
        <f t="shared" si="521"/>
        <v>0</v>
      </c>
      <c r="X94" s="326">
        <f t="shared" si="522"/>
        <v>160338.16</v>
      </c>
      <c r="Y94" s="332">
        <f t="shared" si="523"/>
        <v>268610.51099400001</v>
      </c>
      <c r="Z94" s="113" t="e">
        <f t="shared" si="20"/>
        <v>#VALUE!</v>
      </c>
      <c r="AA94" s="116" t="str">
        <f t="shared" si="376"/>
        <v/>
      </c>
      <c r="AB94" s="117">
        <f t="shared" si="377"/>
        <v>0</v>
      </c>
      <c r="AC94" s="123"/>
      <c r="AD94" s="326"/>
      <c r="AE94" s="1257">
        <f t="shared" si="524"/>
        <v>430117.74711674999</v>
      </c>
      <c r="AF94" s="140">
        <f t="shared" si="378"/>
        <v>413740.98</v>
      </c>
      <c r="AG94" s="326" t="e">
        <f t="shared" si="25"/>
        <v>#VALUE!</v>
      </c>
      <c r="AH94" s="326" t="e">
        <f t="shared" ref="AH94:AI94" si="531">AA94+T94+M94</f>
        <v>#VALUE!</v>
      </c>
      <c r="AI94" s="326">
        <f t="shared" si="531"/>
        <v>0</v>
      </c>
      <c r="AJ94" s="326">
        <f t="shared" si="27"/>
        <v>-413740.98</v>
      </c>
      <c r="AK94" s="1258">
        <f t="shared" si="28"/>
        <v>0</v>
      </c>
      <c r="AL94" s="125">
        <f t="shared" si="526"/>
        <v>0</v>
      </c>
      <c r="AM94" s="140" t="e">
        <f t="shared" si="30"/>
        <v>#VALUE!</v>
      </c>
      <c r="AN94" s="123" t="str">
        <f t="shared" si="380"/>
        <v/>
      </c>
      <c r="AO94" s="148">
        <f t="shared" si="381"/>
        <v>0</v>
      </c>
      <c r="AP94" s="125">
        <f t="shared" si="481"/>
        <v>0</v>
      </c>
      <c r="AQ94" s="140" t="e">
        <f t="shared" si="33"/>
        <v>#VALUE!</v>
      </c>
      <c r="AR94" s="326" t="str">
        <f t="shared" si="382"/>
        <v/>
      </c>
      <c r="AS94" s="333">
        <f t="shared" si="383"/>
        <v>338374.6</v>
      </c>
      <c r="AT94" s="123">
        <f t="shared" si="527"/>
        <v>0</v>
      </c>
      <c r="AU94" s="123" t="e">
        <f t="shared" si="36"/>
        <v>#VALUE!</v>
      </c>
      <c r="AV94" s="123" t="str">
        <f t="shared" si="384"/>
        <v/>
      </c>
      <c r="AW94" s="125">
        <f t="shared" si="385"/>
        <v>0</v>
      </c>
      <c r="AX94" s="122" t="e">
        <f t="shared" ref="AX94:AZ94" si="532">SUM(AU94,AQ94,AM94)</f>
        <v>#VALUE!</v>
      </c>
      <c r="AY94" s="326">
        <f t="shared" si="532"/>
        <v>0</v>
      </c>
      <c r="AZ94" s="332">
        <f t="shared" si="532"/>
        <v>338374.6</v>
      </c>
      <c r="BA94" s="140" t="e">
        <f t="shared" ref="BA94:BC94" si="533">SUM(AX94,AG94)</f>
        <v>#VALUE!</v>
      </c>
      <c r="BB94" s="326" t="e">
        <f t="shared" si="533"/>
        <v>#VALUE!</v>
      </c>
      <c r="BC94" s="435">
        <f t="shared" si="533"/>
        <v>338374.6</v>
      </c>
      <c r="BD94" s="125">
        <f t="shared" si="388"/>
        <v>45269.52</v>
      </c>
      <c r="BE94" s="1166" t="e">
        <f t="shared" si="42"/>
        <v>#VALUE!</v>
      </c>
      <c r="BF94" s="116" t="str">
        <f t="shared" si="389"/>
        <v/>
      </c>
      <c r="BG94" s="121">
        <f t="shared" si="390"/>
        <v>0</v>
      </c>
      <c r="BH94" s="114">
        <f t="shared" si="391"/>
        <v>103591.8</v>
      </c>
      <c r="BI94" s="416" t="e">
        <f t="shared" si="46"/>
        <v>#VALUE!</v>
      </c>
      <c r="BJ94" s="121" t="str">
        <f t="shared" si="392"/>
        <v/>
      </c>
      <c r="BK94" s="121">
        <f t="shared" si="393"/>
        <v>0</v>
      </c>
      <c r="BL94" s="121">
        <f t="shared" si="394"/>
        <v>908268.7</v>
      </c>
      <c r="BM94" s="113" t="e">
        <f t="shared" si="50"/>
        <v>#VALUE!</v>
      </c>
      <c r="BN94" s="116" t="str">
        <f t="shared" si="395"/>
        <v/>
      </c>
      <c r="BO94" s="117">
        <f t="shared" si="396"/>
        <v>330579</v>
      </c>
      <c r="BP94" s="113">
        <f t="shared" si="53"/>
        <v>330579</v>
      </c>
      <c r="BQ94" s="116">
        <f t="shared" ref="BQ94:BR94" si="534">SUM(BN94,BJ94,BF94)</f>
        <v>0</v>
      </c>
      <c r="BR94" s="117">
        <f t="shared" si="534"/>
        <v>330579</v>
      </c>
      <c r="BS94" s="125">
        <f t="shared" si="398"/>
        <v>81431.3</v>
      </c>
      <c r="BT94" s="140" t="e">
        <f t="shared" si="56"/>
        <v>#VALUE!</v>
      </c>
      <c r="BU94" s="123" t="str">
        <f t="shared" si="399"/>
        <v/>
      </c>
      <c r="BV94" s="148">
        <f t="shared" si="400"/>
        <v>0</v>
      </c>
      <c r="BW94" s="123">
        <f t="shared" si="401"/>
        <v>130707.48</v>
      </c>
      <c r="BX94" s="326">
        <f t="shared" si="402"/>
        <v>201602.2</v>
      </c>
    </row>
    <row r="95" spans="1:76" ht="13">
      <c r="A95" s="420">
        <f t="shared" si="362"/>
        <v>112012415</v>
      </c>
      <c r="B95" s="93">
        <f t="shared" si="363"/>
        <v>1</v>
      </c>
      <c r="C95" s="558" t="str">
        <f t="shared" si="364"/>
        <v>Lista</v>
      </c>
      <c r="D95" s="558">
        <f t="shared" si="365"/>
        <v>0.09</v>
      </c>
      <c r="E95" s="559">
        <f t="shared" si="366"/>
        <v>0</v>
      </c>
      <c r="F95" s="547">
        <f t="shared" si="367"/>
        <v>71</v>
      </c>
      <c r="G95" s="699" t="str">
        <f t="shared" si="368"/>
        <v>Lista</v>
      </c>
      <c r="H95" s="702">
        <f t="shared" si="369"/>
        <v>0.05</v>
      </c>
      <c r="I95" s="423" t="s">
        <v>1355</v>
      </c>
      <c r="J95" s="326">
        <f t="shared" si="514"/>
        <v>47170.97</v>
      </c>
      <c r="K95" s="332">
        <f t="shared" si="515"/>
        <v>79296.759118500006</v>
      </c>
      <c r="L95" s="140" t="e">
        <f t="shared" si="8"/>
        <v>#VALUE!</v>
      </c>
      <c r="M95" s="326" t="str">
        <f t="shared" si="370"/>
        <v/>
      </c>
      <c r="N95" s="333">
        <f t="shared" si="371"/>
        <v>130557.67</v>
      </c>
      <c r="O95" s="123">
        <f t="shared" si="516"/>
        <v>51260.910881499993</v>
      </c>
      <c r="P95" s="137">
        <f t="shared" si="517"/>
        <v>1.6464439587612449</v>
      </c>
      <c r="Q95" s="326">
        <f t="shared" si="518"/>
        <v>0</v>
      </c>
      <c r="R95" s="326">
        <f t="shared" si="519"/>
        <v>0</v>
      </c>
      <c r="S95" s="116" t="e">
        <f t="shared" si="14"/>
        <v>#VALUE!</v>
      </c>
      <c r="T95" s="326" t="str">
        <f t="shared" si="373"/>
        <v/>
      </c>
      <c r="U95" s="326">
        <f t="shared" si="374"/>
        <v>62339.97</v>
      </c>
      <c r="V95" s="326">
        <f t="shared" si="520"/>
        <v>62339.97</v>
      </c>
      <c r="W95" s="137" t="e">
        <f t="shared" si="521"/>
        <v>#DIV/0!</v>
      </c>
      <c r="X95" s="326">
        <f t="shared" si="522"/>
        <v>19641.849999999999</v>
      </c>
      <c r="Y95" s="332">
        <f t="shared" si="523"/>
        <v>32905.500258749998</v>
      </c>
      <c r="Z95" s="113" t="e">
        <f t="shared" si="20"/>
        <v>#VALUE!</v>
      </c>
      <c r="AA95" s="116" t="str">
        <f t="shared" si="376"/>
        <v/>
      </c>
      <c r="AB95" s="117">
        <f t="shared" si="377"/>
        <v>0</v>
      </c>
      <c r="AC95" s="123"/>
      <c r="AD95" s="326"/>
      <c r="AE95" s="1257">
        <f t="shared" si="524"/>
        <v>112202.25937725001</v>
      </c>
      <c r="AF95" s="140">
        <f t="shared" si="378"/>
        <v>180929.19</v>
      </c>
      <c r="AG95" s="326" t="e">
        <f t="shared" si="25"/>
        <v>#VALUE!</v>
      </c>
      <c r="AH95" s="326" t="e">
        <f t="shared" ref="AH95:AI95" si="535">AA95+T95+M95</f>
        <v>#VALUE!</v>
      </c>
      <c r="AI95" s="326">
        <f t="shared" si="535"/>
        <v>192897.64</v>
      </c>
      <c r="AJ95" s="326">
        <f t="shared" si="27"/>
        <v>11968.450000000012</v>
      </c>
      <c r="AK95" s="1258">
        <f t="shared" si="28"/>
        <v>1.0661499120180664</v>
      </c>
      <c r="AL95" s="125">
        <f t="shared" si="526"/>
        <v>69690.45</v>
      </c>
      <c r="AM95" s="140" t="e">
        <f t="shared" si="30"/>
        <v>#VALUE!</v>
      </c>
      <c r="AN95" s="123" t="str">
        <f t="shared" si="380"/>
        <v/>
      </c>
      <c r="AO95" s="148">
        <f t="shared" si="381"/>
        <v>75366.179999999993</v>
      </c>
      <c r="AP95" s="125">
        <f t="shared" si="481"/>
        <v>0</v>
      </c>
      <c r="AQ95" s="140" t="e">
        <f t="shared" si="33"/>
        <v>#VALUE!</v>
      </c>
      <c r="AR95" s="326" t="str">
        <f t="shared" si="382"/>
        <v/>
      </c>
      <c r="AS95" s="333">
        <f t="shared" si="383"/>
        <v>0</v>
      </c>
      <c r="AT95" s="123">
        <f t="shared" si="527"/>
        <v>64584.19</v>
      </c>
      <c r="AU95" s="123" t="e">
        <f t="shared" si="36"/>
        <v>#VALUE!</v>
      </c>
      <c r="AV95" s="123" t="str">
        <f t="shared" si="384"/>
        <v/>
      </c>
      <c r="AW95" s="125">
        <f t="shared" si="385"/>
        <v>0</v>
      </c>
      <c r="AX95" s="122" t="e">
        <f t="shared" ref="AX95:AZ95" si="536">SUM(AU95,AQ95,AM95)</f>
        <v>#VALUE!</v>
      </c>
      <c r="AY95" s="326">
        <f t="shared" si="536"/>
        <v>0</v>
      </c>
      <c r="AZ95" s="332">
        <f t="shared" si="536"/>
        <v>75366.179999999993</v>
      </c>
      <c r="BA95" s="140" t="e">
        <f t="shared" ref="BA95:BC95" si="537">SUM(AX95,AG95)</f>
        <v>#VALUE!</v>
      </c>
      <c r="BB95" s="326" t="e">
        <f t="shared" si="537"/>
        <v>#VALUE!</v>
      </c>
      <c r="BC95" s="435">
        <f t="shared" si="537"/>
        <v>268263.82</v>
      </c>
      <c r="BD95" s="125">
        <f t="shared" si="388"/>
        <v>46965.04</v>
      </c>
      <c r="BE95" s="1166" t="e">
        <f t="shared" si="42"/>
        <v>#VALUE!</v>
      </c>
      <c r="BF95" s="116" t="str">
        <f t="shared" si="389"/>
        <v/>
      </c>
      <c r="BG95" s="121">
        <f t="shared" si="390"/>
        <v>0</v>
      </c>
      <c r="BH95" s="114">
        <f t="shared" si="391"/>
        <v>51808.1</v>
      </c>
      <c r="BI95" s="416" t="e">
        <f t="shared" si="46"/>
        <v>#VALUE!</v>
      </c>
      <c r="BJ95" s="121" t="str">
        <f t="shared" si="392"/>
        <v/>
      </c>
      <c r="BK95" s="121">
        <f t="shared" si="393"/>
        <v>0</v>
      </c>
      <c r="BL95" s="121">
        <f t="shared" si="394"/>
        <v>38303.78</v>
      </c>
      <c r="BM95" s="113" t="e">
        <f t="shared" si="50"/>
        <v>#VALUE!</v>
      </c>
      <c r="BN95" s="116" t="str">
        <f t="shared" si="395"/>
        <v/>
      </c>
      <c r="BO95" s="117">
        <f t="shared" si="396"/>
        <v>0</v>
      </c>
      <c r="BP95" s="113">
        <f t="shared" si="53"/>
        <v>0</v>
      </c>
      <c r="BQ95" s="116">
        <f t="shared" ref="BQ95:BR95" si="538">SUM(BN95,BJ95,BF95)</f>
        <v>0</v>
      </c>
      <c r="BR95" s="117">
        <f t="shared" si="538"/>
        <v>0</v>
      </c>
      <c r="BS95" s="125">
        <f t="shared" si="398"/>
        <v>0</v>
      </c>
      <c r="BT95" s="140" t="e">
        <f t="shared" si="56"/>
        <v>#VALUE!</v>
      </c>
      <c r="BU95" s="123" t="str">
        <f t="shared" si="399"/>
        <v/>
      </c>
      <c r="BV95" s="148">
        <f t="shared" si="400"/>
        <v>0</v>
      </c>
      <c r="BW95" s="123">
        <f t="shared" si="401"/>
        <v>98995.96</v>
      </c>
      <c r="BX95" s="326">
        <f t="shared" si="402"/>
        <v>81933.23</v>
      </c>
    </row>
    <row r="96" spans="1:76" ht="13">
      <c r="A96" s="420">
        <f t="shared" si="362"/>
        <v>112013098</v>
      </c>
      <c r="B96" s="93">
        <f t="shared" si="363"/>
        <v>1</v>
      </c>
      <c r="C96" s="558" t="str">
        <f t="shared" si="364"/>
        <v>Lista</v>
      </c>
      <c r="D96" s="558">
        <f t="shared" si="365"/>
        <v>0.09</v>
      </c>
      <c r="E96" s="559">
        <f t="shared" si="366"/>
        <v>0</v>
      </c>
      <c r="F96" s="547">
        <f t="shared" si="367"/>
        <v>71</v>
      </c>
      <c r="G96" s="699" t="str">
        <f t="shared" si="368"/>
        <v>Lista</v>
      </c>
      <c r="H96" s="702">
        <f t="shared" si="369"/>
        <v>0.05</v>
      </c>
      <c r="I96" s="423" t="s">
        <v>1356</v>
      </c>
      <c r="J96" s="326" t="str">
        <f t="shared" si="514"/>
        <v/>
      </c>
      <c r="K96" s="332" t="e">
        <f t="shared" si="515"/>
        <v>#VALUE!</v>
      </c>
      <c r="L96" s="140" t="e">
        <f t="shared" si="8"/>
        <v>#VALUE!</v>
      </c>
      <c r="M96" s="326" t="str">
        <f t="shared" si="370"/>
        <v/>
      </c>
      <c r="N96" s="333" t="str">
        <f t="shared" si="371"/>
        <v/>
      </c>
      <c r="O96" s="123" t="e">
        <f t="shared" si="516"/>
        <v>#VALUE!</v>
      </c>
      <c r="P96" s="137" t="e">
        <f t="shared" si="517"/>
        <v>#VALUE!</v>
      </c>
      <c r="Q96" s="326" t="str">
        <f t="shared" si="518"/>
        <v/>
      </c>
      <c r="R96" s="326" t="e">
        <f t="shared" si="519"/>
        <v>#VALUE!</v>
      </c>
      <c r="S96" s="116" t="e">
        <f t="shared" si="14"/>
        <v>#VALUE!</v>
      </c>
      <c r="T96" s="326" t="str">
        <f t="shared" si="373"/>
        <v/>
      </c>
      <c r="U96" s="326" t="str">
        <f t="shared" si="374"/>
        <v/>
      </c>
      <c r="V96" s="326" t="e">
        <f t="shared" si="520"/>
        <v>#VALUE!</v>
      </c>
      <c r="W96" s="137" t="e">
        <f t="shared" si="521"/>
        <v>#VALUE!</v>
      </c>
      <c r="X96" s="326" t="str">
        <f t="shared" si="522"/>
        <v/>
      </c>
      <c r="Y96" s="332" t="e">
        <f t="shared" si="523"/>
        <v>#VALUE!</v>
      </c>
      <c r="Z96" s="113" t="e">
        <f t="shared" si="20"/>
        <v>#VALUE!</v>
      </c>
      <c r="AA96" s="116" t="str">
        <f t="shared" si="376"/>
        <v/>
      </c>
      <c r="AB96" s="117" t="str">
        <f t="shared" si="377"/>
        <v/>
      </c>
      <c r="AC96" s="123"/>
      <c r="AD96" s="326"/>
      <c r="AE96" s="1257" t="e">
        <f t="shared" si="524"/>
        <v>#VALUE!</v>
      </c>
      <c r="AF96" s="140" t="str">
        <f t="shared" si="378"/>
        <v>0</v>
      </c>
      <c r="AG96" s="326" t="e">
        <f t="shared" si="25"/>
        <v>#VALUE!</v>
      </c>
      <c r="AH96" s="326" t="e">
        <f t="shared" ref="AH96:AI96" si="539">AA96+T96+M96</f>
        <v>#VALUE!</v>
      </c>
      <c r="AI96" s="326" t="e">
        <f t="shared" si="539"/>
        <v>#VALUE!</v>
      </c>
      <c r="AJ96" s="326" t="e">
        <f t="shared" si="27"/>
        <v>#VALUE!</v>
      </c>
      <c r="AK96" s="1258" t="str">
        <f t="shared" si="28"/>
        <v/>
      </c>
      <c r="AL96" s="125" t="str">
        <f t="shared" si="526"/>
        <v/>
      </c>
      <c r="AM96" s="140" t="e">
        <f t="shared" si="30"/>
        <v>#VALUE!</v>
      </c>
      <c r="AN96" s="123" t="str">
        <f t="shared" si="380"/>
        <v/>
      </c>
      <c r="AO96" s="148" t="str">
        <f t="shared" si="381"/>
        <v/>
      </c>
      <c r="AP96" s="125" t="str">
        <f t="shared" si="481"/>
        <v/>
      </c>
      <c r="AQ96" s="140" t="e">
        <f t="shared" si="33"/>
        <v>#VALUE!</v>
      </c>
      <c r="AR96" s="326" t="str">
        <f t="shared" si="382"/>
        <v/>
      </c>
      <c r="AS96" s="333" t="str">
        <f t="shared" si="383"/>
        <v/>
      </c>
      <c r="AT96" s="123" t="str">
        <f t="shared" si="527"/>
        <v/>
      </c>
      <c r="AU96" s="123" t="e">
        <f t="shared" si="36"/>
        <v>#VALUE!</v>
      </c>
      <c r="AV96" s="123" t="str">
        <f t="shared" si="384"/>
        <v/>
      </c>
      <c r="AW96" s="125" t="str">
        <f t="shared" si="385"/>
        <v/>
      </c>
      <c r="AX96" s="122" t="e">
        <f t="shared" ref="AX96:AZ96" si="540">SUM(AU96,AQ96,AM96)</f>
        <v>#VALUE!</v>
      </c>
      <c r="AY96" s="326">
        <f t="shared" si="540"/>
        <v>0</v>
      </c>
      <c r="AZ96" s="332">
        <f t="shared" si="540"/>
        <v>0</v>
      </c>
      <c r="BA96" s="140" t="e">
        <f t="shared" ref="BA96:BC96" si="541">SUM(AX96,AG96)</f>
        <v>#VALUE!</v>
      </c>
      <c r="BB96" s="326" t="e">
        <f t="shared" si="541"/>
        <v>#VALUE!</v>
      </c>
      <c r="BC96" s="435" t="e">
        <f t="shared" si="541"/>
        <v>#VALUE!</v>
      </c>
      <c r="BD96" s="125" t="str">
        <f t="shared" si="388"/>
        <v/>
      </c>
      <c r="BE96" s="1166" t="e">
        <f t="shared" si="42"/>
        <v>#VALUE!</v>
      </c>
      <c r="BF96" s="116" t="str">
        <f t="shared" si="389"/>
        <v/>
      </c>
      <c r="BG96" s="121" t="str">
        <f t="shared" si="390"/>
        <v/>
      </c>
      <c r="BH96" s="114" t="str">
        <f t="shared" si="391"/>
        <v/>
      </c>
      <c r="BI96" s="416" t="e">
        <f t="shared" si="46"/>
        <v>#VALUE!</v>
      </c>
      <c r="BJ96" s="121" t="str">
        <f t="shared" si="392"/>
        <v/>
      </c>
      <c r="BK96" s="121" t="str">
        <f t="shared" si="393"/>
        <v/>
      </c>
      <c r="BL96" s="121" t="str">
        <f t="shared" si="394"/>
        <v/>
      </c>
      <c r="BM96" s="113" t="e">
        <f t="shared" si="50"/>
        <v>#VALUE!</v>
      </c>
      <c r="BN96" s="116" t="str">
        <f t="shared" si="395"/>
        <v/>
      </c>
      <c r="BO96" s="117" t="str">
        <f t="shared" si="396"/>
        <v/>
      </c>
      <c r="BP96" s="113">
        <f t="shared" si="53"/>
        <v>0</v>
      </c>
      <c r="BQ96" s="116">
        <f t="shared" ref="BQ96:BR96" si="542">SUM(BN96,BJ96,BF96)</f>
        <v>0</v>
      </c>
      <c r="BR96" s="117">
        <f t="shared" si="542"/>
        <v>0</v>
      </c>
      <c r="BS96" s="125" t="str">
        <f t="shared" si="398"/>
        <v/>
      </c>
      <c r="BT96" s="140" t="e">
        <f t="shared" si="56"/>
        <v>#VALUE!</v>
      </c>
      <c r="BU96" s="123" t="str">
        <f t="shared" si="399"/>
        <v/>
      </c>
      <c r="BV96" s="148" t="str">
        <f t="shared" si="400"/>
        <v/>
      </c>
      <c r="BW96" s="123" t="str">
        <f t="shared" si="401"/>
        <v/>
      </c>
      <c r="BX96" s="326" t="str">
        <f t="shared" si="402"/>
        <v/>
      </c>
    </row>
    <row r="97" spans="1:76" ht="13">
      <c r="A97" s="420">
        <f t="shared" si="362"/>
        <v>112012775</v>
      </c>
      <c r="B97" s="93">
        <f t="shared" si="363"/>
        <v>1</v>
      </c>
      <c r="C97" s="558" t="str">
        <f t="shared" si="364"/>
        <v>Lista</v>
      </c>
      <c r="D97" s="558">
        <f t="shared" si="365"/>
        <v>0.09</v>
      </c>
      <c r="E97" s="559">
        <f t="shared" si="366"/>
        <v>0</v>
      </c>
      <c r="F97" s="547">
        <f t="shared" si="367"/>
        <v>71</v>
      </c>
      <c r="G97" s="699" t="str">
        <f t="shared" si="368"/>
        <v>Lista</v>
      </c>
      <c r="H97" s="702">
        <f t="shared" si="369"/>
        <v>0.05</v>
      </c>
      <c r="I97" s="423" t="s">
        <v>1357</v>
      </c>
      <c r="J97" s="326">
        <f t="shared" si="514"/>
        <v>300246.84000000003</v>
      </c>
      <c r="K97" s="332">
        <f t="shared" si="515"/>
        <v>504729.95038200007</v>
      </c>
      <c r="L97" s="140" t="e">
        <f t="shared" si="8"/>
        <v>#VALUE!</v>
      </c>
      <c r="M97" s="326" t="str">
        <f t="shared" si="370"/>
        <v/>
      </c>
      <c r="N97" s="333">
        <f t="shared" si="371"/>
        <v>1566575.46</v>
      </c>
      <c r="O97" s="123">
        <f t="shared" si="516"/>
        <v>1061845.5096179999</v>
      </c>
      <c r="P97" s="137">
        <f t="shared" si="517"/>
        <v>3.1037893804684114</v>
      </c>
      <c r="Q97" s="326">
        <f t="shared" si="518"/>
        <v>306925.02</v>
      </c>
      <c r="R97" s="326">
        <f t="shared" si="519"/>
        <v>555756.80683949997</v>
      </c>
      <c r="S97" s="116" t="e">
        <f t="shared" si="14"/>
        <v>#VALUE!</v>
      </c>
      <c r="T97" s="326" t="str">
        <f t="shared" si="373"/>
        <v/>
      </c>
      <c r="U97" s="326">
        <f t="shared" si="374"/>
        <v>1239207.73</v>
      </c>
      <c r="V97" s="326">
        <f t="shared" si="520"/>
        <v>683450.92316050001</v>
      </c>
      <c r="W97" s="137">
        <f t="shared" si="521"/>
        <v>2.2297661760495133</v>
      </c>
      <c r="X97" s="326">
        <f t="shared" si="522"/>
        <v>270373.07</v>
      </c>
      <c r="Y97" s="332">
        <f t="shared" si="523"/>
        <v>452949.24484424997</v>
      </c>
      <c r="Z97" s="113" t="e">
        <f t="shared" si="20"/>
        <v>#VALUE!</v>
      </c>
      <c r="AA97" s="116" t="str">
        <f t="shared" si="376"/>
        <v/>
      </c>
      <c r="AB97" s="117">
        <f t="shared" si="377"/>
        <v>839348.35</v>
      </c>
      <c r="AC97" s="123"/>
      <c r="AD97" s="326"/>
      <c r="AE97" s="1257">
        <f t="shared" si="524"/>
        <v>1513436.0020657498</v>
      </c>
      <c r="AF97" s="140">
        <f t="shared" si="378"/>
        <v>2285194.75</v>
      </c>
      <c r="AG97" s="326" t="e">
        <f t="shared" si="25"/>
        <v>#VALUE!</v>
      </c>
      <c r="AH97" s="326" t="e">
        <f t="shared" ref="AH97:AI97" si="543">AA97+T97+M97</f>
        <v>#VALUE!</v>
      </c>
      <c r="AI97" s="326">
        <f t="shared" si="543"/>
        <v>3645131.54</v>
      </c>
      <c r="AJ97" s="326">
        <f t="shared" si="27"/>
        <v>1359936.79</v>
      </c>
      <c r="AK97" s="1258">
        <f t="shared" si="28"/>
        <v>1.5951076117254339</v>
      </c>
      <c r="AL97" s="125">
        <f t="shared" si="526"/>
        <v>70580</v>
      </c>
      <c r="AM97" s="140" t="e">
        <f t="shared" si="30"/>
        <v>#VALUE!</v>
      </c>
      <c r="AN97" s="123" t="str">
        <f t="shared" si="380"/>
        <v/>
      </c>
      <c r="AO97" s="148">
        <f t="shared" si="381"/>
        <v>574968.25</v>
      </c>
      <c r="AP97" s="125">
        <f t="shared" si="481"/>
        <v>238754.07</v>
      </c>
      <c r="AQ97" s="140" t="e">
        <f t="shared" si="33"/>
        <v>#VALUE!</v>
      </c>
      <c r="AR97" s="326" t="str">
        <f t="shared" si="382"/>
        <v/>
      </c>
      <c r="AS97" s="333">
        <f t="shared" si="383"/>
        <v>135005.88</v>
      </c>
      <c r="AT97" s="123">
        <f t="shared" si="527"/>
        <v>178688.91</v>
      </c>
      <c r="AU97" s="123" t="e">
        <f t="shared" si="36"/>
        <v>#VALUE!</v>
      </c>
      <c r="AV97" s="123" t="str">
        <f t="shared" si="384"/>
        <v/>
      </c>
      <c r="AW97" s="125">
        <f t="shared" si="385"/>
        <v>308614.89</v>
      </c>
      <c r="AX97" s="122" t="e">
        <f t="shared" ref="AX97:AZ97" si="544">SUM(AU97,AQ97,AM97)</f>
        <v>#VALUE!</v>
      </c>
      <c r="AY97" s="326">
        <f t="shared" si="544"/>
        <v>0</v>
      </c>
      <c r="AZ97" s="332">
        <f t="shared" si="544"/>
        <v>1018589.02</v>
      </c>
      <c r="BA97" s="140" t="e">
        <f t="shared" ref="BA97:BC97" si="545">SUM(AX97,AG97)</f>
        <v>#VALUE!</v>
      </c>
      <c r="BB97" s="326" t="e">
        <f t="shared" si="545"/>
        <v>#VALUE!</v>
      </c>
      <c r="BC97" s="435">
        <f t="shared" si="545"/>
        <v>4663720.5600000005</v>
      </c>
      <c r="BD97" s="125">
        <f t="shared" si="388"/>
        <v>177054.07999999999</v>
      </c>
      <c r="BE97" s="1166" t="e">
        <f t="shared" si="42"/>
        <v>#VALUE!</v>
      </c>
      <c r="BF97" s="116" t="str">
        <f t="shared" si="389"/>
        <v/>
      </c>
      <c r="BG97" s="121">
        <f t="shared" si="390"/>
        <v>151227.32999999999</v>
      </c>
      <c r="BH97" s="114">
        <f t="shared" si="391"/>
        <v>120452.76</v>
      </c>
      <c r="BI97" s="416" t="e">
        <f t="shared" si="46"/>
        <v>#VALUE!</v>
      </c>
      <c r="BJ97" s="121" t="str">
        <f t="shared" si="392"/>
        <v/>
      </c>
      <c r="BK97" s="121">
        <f t="shared" si="393"/>
        <v>1041659.64</v>
      </c>
      <c r="BL97" s="121">
        <f t="shared" si="394"/>
        <v>346167.83</v>
      </c>
      <c r="BM97" s="113" t="e">
        <f t="shared" si="50"/>
        <v>#VALUE!</v>
      </c>
      <c r="BN97" s="116" t="str">
        <f t="shared" si="395"/>
        <v/>
      </c>
      <c r="BO97" s="117">
        <f t="shared" si="396"/>
        <v>213255.88</v>
      </c>
      <c r="BP97" s="113">
        <f t="shared" si="53"/>
        <v>1406142.85</v>
      </c>
      <c r="BQ97" s="116">
        <f t="shared" ref="BQ97:BR97" si="546">SUM(BN97,BJ97,BF97)</f>
        <v>0</v>
      </c>
      <c r="BR97" s="117">
        <f t="shared" si="546"/>
        <v>1406142.85</v>
      </c>
      <c r="BS97" s="125">
        <f t="shared" si="398"/>
        <v>353716.21</v>
      </c>
      <c r="BT97" s="140" t="e">
        <f t="shared" si="56"/>
        <v>#VALUE!</v>
      </c>
      <c r="BU97" s="123" t="str">
        <f t="shared" si="399"/>
        <v/>
      </c>
      <c r="BV97" s="148">
        <f t="shared" si="400"/>
        <v>803511.63</v>
      </c>
      <c r="BW97" s="123">
        <f t="shared" si="401"/>
        <v>879007.4</v>
      </c>
      <c r="BX97" s="326">
        <f t="shared" si="402"/>
        <v>1052471.1299999999</v>
      </c>
    </row>
    <row r="98" spans="1:76" ht="13">
      <c r="A98" s="420">
        <f t="shared" ref="A98:A123" si="547">VLOOKUP(I98,MONTECART4,3,FALSE)</f>
        <v>112011920</v>
      </c>
      <c r="B98" s="93">
        <f t="shared" ref="B98:B123" si="548">VLOOKUP(I98,MONTENCART2,2,FALSE)</f>
        <v>1</v>
      </c>
      <c r="C98" s="558" t="str">
        <f t="shared" ref="C98:C129" si="549">IFERROR(VLOOKUP(B98,DES,2,FALSE),"")</f>
        <v>Lista</v>
      </c>
      <c r="D98" s="558">
        <f t="shared" ref="D98:D123" si="550">IFERROR(VLOOKUP(B98,DES,3,FALSE),"")</f>
        <v>0.09</v>
      </c>
      <c r="E98" s="559">
        <f t="shared" ref="E98:E123" si="551">IFERROR(VLOOKUP(B98,DES,4,FALSE),"")</f>
        <v>0</v>
      </c>
      <c r="F98" s="547">
        <f t="shared" ref="F98:F123" si="552">VLOOKUP(I98,MONTECART4,2,FALSE)</f>
        <v>71</v>
      </c>
      <c r="G98" s="699" t="str">
        <f t="shared" ref="G98:G129" si="553">VLOOKUP(F98,A458DC1025,2,FALSE)</f>
        <v>Lista</v>
      </c>
      <c r="H98" s="702">
        <f t="shared" ref="H98:H115" si="554">VLOOKUP(F98,A458DC1025,3,FALSE)</f>
        <v>0.05</v>
      </c>
      <c r="I98" s="423" t="s">
        <v>1358</v>
      </c>
      <c r="J98" s="326">
        <f t="shared" si="514"/>
        <v>0</v>
      </c>
      <c r="K98" s="332">
        <f t="shared" si="515"/>
        <v>0</v>
      </c>
      <c r="L98" s="140" t="e">
        <f t="shared" si="8"/>
        <v>#VALUE!</v>
      </c>
      <c r="M98" s="326" t="str">
        <f t="shared" ref="M98:M123" si="555">IFERROR(VLOOKUP(I98,MONTENALIM,3,FALSE),"")</f>
        <v/>
      </c>
      <c r="N98" s="333">
        <f t="shared" ref="N98:N123" si="556">IFERROR(VLOOKUP(I98,MONTEFC,3,FALSE),"")</f>
        <v>142224.4</v>
      </c>
      <c r="O98" s="123">
        <f t="shared" si="516"/>
        <v>142224.4</v>
      </c>
      <c r="P98" s="137" t="e">
        <f t="shared" si="517"/>
        <v>#DIV/0!</v>
      </c>
      <c r="Q98" s="326">
        <f t="shared" si="518"/>
        <v>0</v>
      </c>
      <c r="R98" s="326">
        <f t="shared" si="519"/>
        <v>0</v>
      </c>
      <c r="S98" s="116" t="e">
        <f t="shared" si="14"/>
        <v>#VALUE!</v>
      </c>
      <c r="T98" s="326" t="str">
        <f t="shared" ref="T98:T123" si="557">IFERROR(VLOOKUP(I98,MONTENALIM,4,FALSE),"")</f>
        <v/>
      </c>
      <c r="U98" s="326">
        <f t="shared" ref="U98:U123" si="558">IFERROR(VLOOKUP(I98,MONTEFC,4,FALSE),"")</f>
        <v>0</v>
      </c>
      <c r="V98" s="326">
        <f t="shared" si="520"/>
        <v>0</v>
      </c>
      <c r="W98" s="137" t="e">
        <f t="shared" si="521"/>
        <v>#DIV/0!</v>
      </c>
      <c r="X98" s="326">
        <f t="shared" si="522"/>
        <v>0</v>
      </c>
      <c r="Y98" s="332">
        <f t="shared" si="523"/>
        <v>0</v>
      </c>
      <c r="Z98" s="113" t="e">
        <f t="shared" si="20"/>
        <v>#VALUE!</v>
      </c>
      <c r="AA98" s="116" t="str">
        <f t="shared" ref="AA98:AA123" si="559">IFERROR(VLOOKUP(I98,MONTENALIM,5,FALSE),"")</f>
        <v/>
      </c>
      <c r="AB98" s="117">
        <f t="shared" ref="AB98:AB123" si="560">IFERROR(VLOOKUP(I98,MONTEFC,5,FALSE),"")</f>
        <v>226011.44</v>
      </c>
      <c r="AC98" s="123"/>
      <c r="AD98" s="326"/>
      <c r="AE98" s="1257">
        <f t="shared" si="524"/>
        <v>0</v>
      </c>
      <c r="AF98" s="140">
        <f t="shared" ref="AF98:AF123" si="561">IFERROR(VLOOKUP(I98,trim2024,2,FALSE),"0")</f>
        <v>279932.94</v>
      </c>
      <c r="AG98" s="326" t="e">
        <f t="shared" si="25"/>
        <v>#VALUE!</v>
      </c>
      <c r="AH98" s="326" t="e">
        <f t="shared" ref="AH98:AI98" si="562">AA98+T98+M98</f>
        <v>#VALUE!</v>
      </c>
      <c r="AI98" s="326">
        <f t="shared" si="562"/>
        <v>368235.83999999997</v>
      </c>
      <c r="AJ98" s="326">
        <f t="shared" si="27"/>
        <v>88302.899999999965</v>
      </c>
      <c r="AK98" s="1258">
        <f t="shared" si="28"/>
        <v>1.3154430486101421</v>
      </c>
      <c r="AL98" s="125">
        <f t="shared" si="526"/>
        <v>0</v>
      </c>
      <c r="AM98" s="140" t="e">
        <f t="shared" si="30"/>
        <v>#VALUE!</v>
      </c>
      <c r="AN98" s="123" t="str">
        <f t="shared" ref="AN98:AN123" si="563">IFERROR(VLOOKUP(I98,MONTENALIM,6,FALSE),"")</f>
        <v/>
      </c>
      <c r="AO98" s="148">
        <f t="shared" ref="AO98:AO123" si="564">IFERROR(VLOOKUP(I98,MONTEFC,6,FALSE),"")</f>
        <v>0</v>
      </c>
      <c r="AP98" s="125">
        <f t="shared" si="481"/>
        <v>0</v>
      </c>
      <c r="AQ98" s="140" t="e">
        <f t="shared" si="33"/>
        <v>#VALUE!</v>
      </c>
      <c r="AR98" s="326" t="str">
        <f t="shared" ref="AR98:AR123" si="565">IFERROR(VLOOKUP(I98,MONTENALIM,7,FALSE),"")</f>
        <v/>
      </c>
      <c r="AS98" s="333">
        <f t="shared" ref="AS98:AS123" si="566">IFERROR(VLOOKUP(I98,MONTEFC,7,FALSE),"")</f>
        <v>0</v>
      </c>
      <c r="AT98" s="123">
        <f t="shared" si="527"/>
        <v>0</v>
      </c>
      <c r="AU98" s="123" t="e">
        <f t="shared" si="36"/>
        <v>#VALUE!</v>
      </c>
      <c r="AV98" s="123" t="str">
        <f t="shared" ref="AV98:AV123" si="567">IFERROR(VLOOKUP(I98,MONTENALIM,8,FALSE),"")</f>
        <v/>
      </c>
      <c r="AW98" s="125">
        <f t="shared" ref="AW98:AW123" si="568">IFERROR(VLOOKUP(I98,MONTEFC,8,FALSE),"")</f>
        <v>0</v>
      </c>
      <c r="AX98" s="122" t="e">
        <f t="shared" ref="AX98:AZ98" si="569">SUM(AU98,AQ98,AM98)</f>
        <v>#VALUE!</v>
      </c>
      <c r="AY98" s="326">
        <f t="shared" si="569"/>
        <v>0</v>
      </c>
      <c r="AZ98" s="332">
        <f t="shared" si="569"/>
        <v>0</v>
      </c>
      <c r="BA98" s="140" t="e">
        <f t="shared" ref="BA98:BC98" si="570">SUM(AX98,AG98)</f>
        <v>#VALUE!</v>
      </c>
      <c r="BB98" s="326" t="e">
        <f t="shared" si="570"/>
        <v>#VALUE!</v>
      </c>
      <c r="BC98" s="435">
        <f t="shared" si="570"/>
        <v>368235.83999999997</v>
      </c>
      <c r="BD98" s="125">
        <f t="shared" ref="BD98:BD123" si="571">IFERROR(VLOOKUP(I98,MONTE24,9,FALSE),"")</f>
        <v>0</v>
      </c>
      <c r="BE98" s="1166" t="e">
        <f t="shared" si="42"/>
        <v>#VALUE!</v>
      </c>
      <c r="BF98" s="116" t="str">
        <f t="shared" ref="BF98:BF123" si="572">IFERROR(VLOOKUP(I98,MONTENALIM,9,FALSE),"")</f>
        <v/>
      </c>
      <c r="BG98" s="121">
        <f t="shared" ref="BG98:BG123" si="573">IFERROR(VLOOKUP(I98,MONTEFC,9,FALSE),"")</f>
        <v>0</v>
      </c>
      <c r="BH98" s="114">
        <f t="shared" ref="BH98:BH123" si="574">IFERROR(VLOOKUP(I98,MONTE24,10,FALSE),"")</f>
        <v>0</v>
      </c>
      <c r="BI98" s="416" t="e">
        <f t="shared" si="46"/>
        <v>#VALUE!</v>
      </c>
      <c r="BJ98" s="121" t="str">
        <f t="shared" ref="BJ98:BJ123" si="575">IFERROR(VLOOKUP(I98,MONTENALIM,10,FALSE),"")</f>
        <v/>
      </c>
      <c r="BK98" s="121">
        <f t="shared" ref="BK98:BK123" si="576">IFERROR(VLOOKUP(I98,MONTEFC,10,FALSE),"")</f>
        <v>0</v>
      </c>
      <c r="BL98" s="121">
        <f t="shared" ref="BL98:BL123" si="577">IFERROR(VLOOKUP(I98,MONTE24,11,FALSE),"")</f>
        <v>0</v>
      </c>
      <c r="BM98" s="113" t="e">
        <f t="shared" si="50"/>
        <v>#VALUE!</v>
      </c>
      <c r="BN98" s="116" t="str">
        <f t="shared" ref="BN98:BN123" si="578">IFERROR(VLOOKUP(I98,MONTENALIM,11,FALSE),"")</f>
        <v/>
      </c>
      <c r="BO98" s="117">
        <f t="shared" ref="BO98:BO123" si="579">IFERROR(VLOOKUP(I98,MONTEFC,11,FALSE),"")</f>
        <v>0</v>
      </c>
      <c r="BP98" s="113">
        <f t="shared" si="53"/>
        <v>0</v>
      </c>
      <c r="BQ98" s="116">
        <f t="shared" ref="BQ98:BR98" si="580">SUM(BN98,BJ98,BF98)</f>
        <v>0</v>
      </c>
      <c r="BR98" s="117">
        <f t="shared" si="580"/>
        <v>0</v>
      </c>
      <c r="BS98" s="125">
        <f t="shared" ref="BS98:BS123" si="581">IFERROR(VLOOKUP(I98,MONTE24,12,FALSE),"")</f>
        <v>118655.37</v>
      </c>
      <c r="BT98" s="140" t="e">
        <f t="shared" si="56"/>
        <v>#VALUE!</v>
      </c>
      <c r="BU98" s="123" t="str">
        <f t="shared" ref="BU98:BU123" si="582">IFERROR(VLOOKUP(I98,MONTENALIM,12,FALSE),"")</f>
        <v/>
      </c>
      <c r="BV98" s="148">
        <f t="shared" ref="BV98:BV123" si="583">IFERROR(VLOOKUP(I98,MONTEFC,12,FALSE),"")</f>
        <v>0</v>
      </c>
      <c r="BW98" s="123">
        <f t="shared" ref="BW98:BW123" si="584">IFERROR(VLOOKUP(I98,MONTE24,13,FALSE),"")</f>
        <v>93708.79</v>
      </c>
      <c r="BX98" s="326">
        <f t="shared" ref="BX98:BX123" si="585">IFERROR(VLOOKUP(I98,MONTE24,14,FALSE),"")</f>
        <v>67568.78</v>
      </c>
    </row>
    <row r="99" spans="1:76" ht="13">
      <c r="A99" s="420">
        <f t="shared" si="547"/>
        <v>112014275</v>
      </c>
      <c r="B99" s="93">
        <f t="shared" si="548"/>
        <v>1</v>
      </c>
      <c r="C99" s="558" t="str">
        <f t="shared" si="549"/>
        <v>Lista</v>
      </c>
      <c r="D99" s="558">
        <f t="shared" si="550"/>
        <v>0.09</v>
      </c>
      <c r="E99" s="559">
        <f t="shared" si="551"/>
        <v>0</v>
      </c>
      <c r="F99" s="547">
        <f t="shared" si="552"/>
        <v>71</v>
      </c>
      <c r="G99" s="699" t="str">
        <f t="shared" si="553"/>
        <v>Lista</v>
      </c>
      <c r="H99" s="702">
        <f t="shared" si="554"/>
        <v>0.05</v>
      </c>
      <c r="I99" s="423" t="s">
        <v>1359</v>
      </c>
      <c r="J99" s="326">
        <f t="shared" si="514"/>
        <v>0</v>
      </c>
      <c r="K99" s="332">
        <f t="shared" si="515"/>
        <v>0</v>
      </c>
      <c r="L99" s="140">
        <f t="shared" si="8"/>
        <v>0</v>
      </c>
      <c r="M99" s="326">
        <f t="shared" si="555"/>
        <v>0</v>
      </c>
      <c r="N99" s="333">
        <f t="shared" si="556"/>
        <v>0</v>
      </c>
      <c r="O99" s="123">
        <f t="shared" si="516"/>
        <v>0</v>
      </c>
      <c r="P99" s="137" t="e">
        <f t="shared" si="517"/>
        <v>#DIV/0!</v>
      </c>
      <c r="Q99" s="326">
        <f t="shared" si="518"/>
        <v>324019.74</v>
      </c>
      <c r="R99" s="326">
        <f t="shared" si="519"/>
        <v>586710.64371149999</v>
      </c>
      <c r="S99" s="116">
        <f t="shared" si="14"/>
        <v>225034.44</v>
      </c>
      <c r="T99" s="326">
        <f t="shared" si="557"/>
        <v>170886.07</v>
      </c>
      <c r="U99" s="326">
        <f t="shared" si="558"/>
        <v>395920.51</v>
      </c>
      <c r="V99" s="326">
        <f t="shared" si="520"/>
        <v>-190790.13371149998</v>
      </c>
      <c r="W99" s="137">
        <f t="shared" si="521"/>
        <v>0.67481392104194349</v>
      </c>
      <c r="X99" s="326">
        <f t="shared" si="522"/>
        <v>7659.23</v>
      </c>
      <c r="Y99" s="332">
        <f t="shared" si="523"/>
        <v>12831.316538249999</v>
      </c>
      <c r="Z99" s="113">
        <f t="shared" si="20"/>
        <v>247300.44999999998</v>
      </c>
      <c r="AA99" s="116">
        <f t="shared" si="559"/>
        <v>84830.65</v>
      </c>
      <c r="AB99" s="117">
        <f t="shared" si="560"/>
        <v>332131.09999999998</v>
      </c>
      <c r="AC99" s="123"/>
      <c r="AD99" s="326"/>
      <c r="AE99" s="1257">
        <f t="shared" si="524"/>
        <v>599541.96024974994</v>
      </c>
      <c r="AF99" s="140" t="str">
        <f t="shared" si="561"/>
        <v>0</v>
      </c>
      <c r="AG99" s="326">
        <f t="shared" si="25"/>
        <v>472334.89</v>
      </c>
      <c r="AH99" s="326">
        <f t="shared" ref="AH99:AI99" si="586">AA99+T99+M99</f>
        <v>255716.72</v>
      </c>
      <c r="AI99" s="326">
        <f t="shared" si="586"/>
        <v>728051.61</v>
      </c>
      <c r="AJ99" s="326">
        <f t="shared" si="27"/>
        <v>728051.61</v>
      </c>
      <c r="AK99" s="1258" t="str">
        <f t="shared" si="28"/>
        <v/>
      </c>
      <c r="AL99" s="125">
        <f t="shared" si="526"/>
        <v>97899.22</v>
      </c>
      <c r="AM99" s="140">
        <f t="shared" si="30"/>
        <v>0</v>
      </c>
      <c r="AN99" s="123">
        <f t="shared" si="563"/>
        <v>139478.89000000001</v>
      </c>
      <c r="AO99" s="148">
        <f t="shared" si="564"/>
        <v>139478.89000000001</v>
      </c>
      <c r="AP99" s="125">
        <f t="shared" si="481"/>
        <v>0</v>
      </c>
      <c r="AQ99" s="140">
        <f t="shared" si="33"/>
        <v>0</v>
      </c>
      <c r="AR99" s="326">
        <f t="shared" si="565"/>
        <v>90442.55</v>
      </c>
      <c r="AS99" s="333">
        <f t="shared" si="566"/>
        <v>90442.55</v>
      </c>
      <c r="AT99" s="123">
        <f t="shared" si="527"/>
        <v>0</v>
      </c>
      <c r="AU99" s="123">
        <f t="shared" si="36"/>
        <v>0</v>
      </c>
      <c r="AV99" s="123">
        <f t="shared" si="567"/>
        <v>0</v>
      </c>
      <c r="AW99" s="125">
        <f t="shared" si="568"/>
        <v>0</v>
      </c>
      <c r="AX99" s="122">
        <f t="shared" ref="AX99:AZ99" si="587">SUM(AU99,AQ99,AM99)</f>
        <v>0</v>
      </c>
      <c r="AY99" s="326">
        <f t="shared" si="587"/>
        <v>229921.44</v>
      </c>
      <c r="AZ99" s="332">
        <f t="shared" si="587"/>
        <v>229921.44</v>
      </c>
      <c r="BA99" s="140">
        <f t="shared" ref="BA99:BC99" si="588">SUM(AX99,AG99)</f>
        <v>472334.89</v>
      </c>
      <c r="BB99" s="326">
        <f t="shared" si="588"/>
        <v>485638.16000000003</v>
      </c>
      <c r="BC99" s="435">
        <f t="shared" si="588"/>
        <v>957973.05</v>
      </c>
      <c r="BD99" s="125">
        <f t="shared" si="571"/>
        <v>340244.68</v>
      </c>
      <c r="BE99" s="1166">
        <f t="shared" si="42"/>
        <v>353098</v>
      </c>
      <c r="BF99" s="116">
        <f t="shared" si="572"/>
        <v>44536.09</v>
      </c>
      <c r="BG99" s="121">
        <f t="shared" si="573"/>
        <v>397634.09</v>
      </c>
      <c r="BH99" s="114">
        <f t="shared" si="574"/>
        <v>0</v>
      </c>
      <c r="BI99" s="416">
        <f t="shared" si="46"/>
        <v>0</v>
      </c>
      <c r="BJ99" s="121">
        <f t="shared" si="575"/>
        <v>0</v>
      </c>
      <c r="BK99" s="121">
        <f t="shared" si="576"/>
        <v>0</v>
      </c>
      <c r="BL99" s="121">
        <f t="shared" si="577"/>
        <v>0</v>
      </c>
      <c r="BM99" s="113">
        <f t="shared" si="50"/>
        <v>0</v>
      </c>
      <c r="BN99" s="116">
        <f t="shared" si="578"/>
        <v>0</v>
      </c>
      <c r="BO99" s="117">
        <f t="shared" si="579"/>
        <v>0</v>
      </c>
      <c r="BP99" s="113">
        <f t="shared" si="53"/>
        <v>353098</v>
      </c>
      <c r="BQ99" s="116">
        <f t="shared" ref="BQ99:BR99" si="589">SUM(BN99,BJ99,BF99)</f>
        <v>44536.09</v>
      </c>
      <c r="BR99" s="117">
        <f t="shared" si="589"/>
        <v>397634.09</v>
      </c>
      <c r="BS99" s="125">
        <f t="shared" si="581"/>
        <v>0</v>
      </c>
      <c r="BT99" s="140">
        <f t="shared" si="56"/>
        <v>0</v>
      </c>
      <c r="BU99" s="123">
        <f t="shared" si="582"/>
        <v>320652.55</v>
      </c>
      <c r="BV99" s="148">
        <f t="shared" si="583"/>
        <v>320652.55</v>
      </c>
      <c r="BW99" s="123">
        <f t="shared" si="584"/>
        <v>0</v>
      </c>
      <c r="BX99" s="326">
        <f t="shared" si="585"/>
        <v>0</v>
      </c>
    </row>
    <row r="100" spans="1:76" ht="13">
      <c r="A100" s="420">
        <f t="shared" si="547"/>
        <v>112013055</v>
      </c>
      <c r="B100" s="93">
        <f t="shared" si="548"/>
        <v>1</v>
      </c>
      <c r="C100" s="558" t="str">
        <f t="shared" si="549"/>
        <v>Lista</v>
      </c>
      <c r="D100" s="558">
        <f t="shared" si="550"/>
        <v>0.09</v>
      </c>
      <c r="E100" s="559">
        <f t="shared" si="551"/>
        <v>0</v>
      </c>
      <c r="F100" s="547">
        <f t="shared" si="552"/>
        <v>71</v>
      </c>
      <c r="G100" s="699" t="str">
        <f t="shared" si="553"/>
        <v>Lista</v>
      </c>
      <c r="H100" s="702">
        <f t="shared" si="554"/>
        <v>0.05</v>
      </c>
      <c r="I100" s="423" t="s">
        <v>1360</v>
      </c>
      <c r="J100" s="326" t="str">
        <f t="shared" si="514"/>
        <v/>
      </c>
      <c r="K100" s="332" t="e">
        <f t="shared" si="515"/>
        <v>#VALUE!</v>
      </c>
      <c r="L100" s="140" t="e">
        <f t="shared" si="8"/>
        <v>#VALUE!</v>
      </c>
      <c r="M100" s="326" t="str">
        <f t="shared" si="555"/>
        <v/>
      </c>
      <c r="N100" s="333">
        <f t="shared" si="556"/>
        <v>0</v>
      </c>
      <c r="O100" s="123" t="e">
        <f t="shared" si="516"/>
        <v>#VALUE!</v>
      </c>
      <c r="P100" s="137" t="e">
        <f t="shared" si="517"/>
        <v>#VALUE!</v>
      </c>
      <c r="Q100" s="326" t="str">
        <f t="shared" si="518"/>
        <v/>
      </c>
      <c r="R100" s="326" t="e">
        <f t="shared" si="519"/>
        <v>#VALUE!</v>
      </c>
      <c r="S100" s="116" t="e">
        <f t="shared" si="14"/>
        <v>#VALUE!</v>
      </c>
      <c r="T100" s="326" t="str">
        <f t="shared" si="557"/>
        <v/>
      </c>
      <c r="U100" s="326">
        <f t="shared" si="558"/>
        <v>459506.6</v>
      </c>
      <c r="V100" s="326" t="e">
        <f t="shared" si="520"/>
        <v>#VALUE!</v>
      </c>
      <c r="W100" s="137" t="e">
        <f t="shared" si="521"/>
        <v>#VALUE!</v>
      </c>
      <c r="X100" s="326" t="str">
        <f t="shared" si="522"/>
        <v/>
      </c>
      <c r="Y100" s="332" t="e">
        <f t="shared" si="523"/>
        <v>#VALUE!</v>
      </c>
      <c r="Z100" s="113" t="e">
        <f t="shared" si="20"/>
        <v>#VALUE!</v>
      </c>
      <c r="AA100" s="116" t="str">
        <f t="shared" si="559"/>
        <v/>
      </c>
      <c r="AB100" s="117">
        <f t="shared" si="560"/>
        <v>0</v>
      </c>
      <c r="AC100" s="123"/>
      <c r="AD100" s="326"/>
      <c r="AE100" s="1257" t="e">
        <f t="shared" si="524"/>
        <v>#VALUE!</v>
      </c>
      <c r="AF100" s="140" t="str">
        <f t="shared" si="561"/>
        <v>0</v>
      </c>
      <c r="AG100" s="326" t="e">
        <f t="shared" si="25"/>
        <v>#VALUE!</v>
      </c>
      <c r="AH100" s="326" t="e">
        <f t="shared" ref="AH100:AI100" si="590">AA100+T100+M100</f>
        <v>#VALUE!</v>
      </c>
      <c r="AI100" s="326">
        <f t="shared" si="590"/>
        <v>459506.6</v>
      </c>
      <c r="AJ100" s="326">
        <f t="shared" si="27"/>
        <v>459506.6</v>
      </c>
      <c r="AK100" s="1258" t="str">
        <f t="shared" si="28"/>
        <v/>
      </c>
      <c r="AL100" s="125" t="str">
        <f t="shared" si="526"/>
        <v/>
      </c>
      <c r="AM100" s="140" t="e">
        <f t="shared" si="30"/>
        <v>#VALUE!</v>
      </c>
      <c r="AN100" s="123" t="str">
        <f t="shared" si="563"/>
        <v/>
      </c>
      <c r="AO100" s="148">
        <f t="shared" si="564"/>
        <v>0</v>
      </c>
      <c r="AP100" s="125" t="str">
        <f t="shared" si="481"/>
        <v/>
      </c>
      <c r="AQ100" s="140" t="e">
        <f t="shared" si="33"/>
        <v>#VALUE!</v>
      </c>
      <c r="AR100" s="326" t="str">
        <f t="shared" si="565"/>
        <v/>
      </c>
      <c r="AS100" s="333">
        <f t="shared" si="566"/>
        <v>0</v>
      </c>
      <c r="AT100" s="123" t="str">
        <f t="shared" si="527"/>
        <v/>
      </c>
      <c r="AU100" s="123" t="e">
        <f t="shared" si="36"/>
        <v>#VALUE!</v>
      </c>
      <c r="AV100" s="123" t="str">
        <f t="shared" si="567"/>
        <v/>
      </c>
      <c r="AW100" s="125">
        <f t="shared" si="568"/>
        <v>295439.77</v>
      </c>
      <c r="AX100" s="122" t="e">
        <f t="shared" ref="AX100:AZ100" si="591">SUM(AU100,AQ100,AM100)</f>
        <v>#VALUE!</v>
      </c>
      <c r="AY100" s="326">
        <f t="shared" si="591"/>
        <v>0</v>
      </c>
      <c r="AZ100" s="332">
        <f t="shared" si="591"/>
        <v>295439.77</v>
      </c>
      <c r="BA100" s="140" t="e">
        <f t="shared" ref="BA100:BC100" si="592">SUM(AX100,AG100)</f>
        <v>#VALUE!</v>
      </c>
      <c r="BB100" s="326" t="e">
        <f t="shared" si="592"/>
        <v>#VALUE!</v>
      </c>
      <c r="BC100" s="435">
        <f t="shared" si="592"/>
        <v>754946.37</v>
      </c>
      <c r="BD100" s="125" t="str">
        <f t="shared" si="571"/>
        <v/>
      </c>
      <c r="BE100" s="1166" t="e">
        <f t="shared" si="42"/>
        <v>#VALUE!</v>
      </c>
      <c r="BF100" s="116" t="str">
        <f t="shared" si="572"/>
        <v/>
      </c>
      <c r="BG100" s="121">
        <f t="shared" si="573"/>
        <v>0</v>
      </c>
      <c r="BH100" s="114" t="str">
        <f t="shared" si="574"/>
        <v/>
      </c>
      <c r="BI100" s="416" t="e">
        <f t="shared" si="46"/>
        <v>#VALUE!</v>
      </c>
      <c r="BJ100" s="121" t="str">
        <f t="shared" si="575"/>
        <v/>
      </c>
      <c r="BK100" s="121">
        <f t="shared" si="576"/>
        <v>0</v>
      </c>
      <c r="BL100" s="121" t="str">
        <f t="shared" si="577"/>
        <v/>
      </c>
      <c r="BM100" s="113" t="e">
        <f t="shared" si="50"/>
        <v>#VALUE!</v>
      </c>
      <c r="BN100" s="116" t="str">
        <f t="shared" si="578"/>
        <v/>
      </c>
      <c r="BO100" s="117">
        <f t="shared" si="579"/>
        <v>431981.99</v>
      </c>
      <c r="BP100" s="113">
        <f t="shared" si="53"/>
        <v>431981.99</v>
      </c>
      <c r="BQ100" s="116">
        <f t="shared" ref="BQ100:BR100" si="593">SUM(BN100,BJ100,BF100)</f>
        <v>0</v>
      </c>
      <c r="BR100" s="117">
        <f t="shared" si="593"/>
        <v>431981.99</v>
      </c>
      <c r="BS100" s="125" t="str">
        <f t="shared" si="581"/>
        <v/>
      </c>
      <c r="BT100" s="140" t="e">
        <f t="shared" si="56"/>
        <v>#VALUE!</v>
      </c>
      <c r="BU100" s="123" t="str">
        <f t="shared" si="582"/>
        <v/>
      </c>
      <c r="BV100" s="148">
        <f t="shared" si="583"/>
        <v>347086.46</v>
      </c>
      <c r="BW100" s="123" t="str">
        <f t="shared" si="584"/>
        <v/>
      </c>
      <c r="BX100" s="326" t="str">
        <f t="shared" si="585"/>
        <v/>
      </c>
    </row>
    <row r="101" spans="1:76" ht="13">
      <c r="A101" s="420">
        <f t="shared" si="547"/>
        <v>112011563</v>
      </c>
      <c r="B101" s="93">
        <f t="shared" si="548"/>
        <v>1</v>
      </c>
      <c r="C101" s="558" t="str">
        <f t="shared" si="549"/>
        <v>Lista</v>
      </c>
      <c r="D101" s="558">
        <f t="shared" si="550"/>
        <v>0.09</v>
      </c>
      <c r="E101" s="559">
        <f t="shared" si="551"/>
        <v>0</v>
      </c>
      <c r="F101" s="547">
        <f t="shared" si="552"/>
        <v>71</v>
      </c>
      <c r="G101" s="699" t="str">
        <f t="shared" si="553"/>
        <v>Lista</v>
      </c>
      <c r="H101" s="702">
        <f t="shared" si="554"/>
        <v>0.05</v>
      </c>
      <c r="I101" s="423" t="s">
        <v>1361</v>
      </c>
      <c r="J101" s="326">
        <f t="shared" si="514"/>
        <v>0</v>
      </c>
      <c r="K101" s="332">
        <f t="shared" si="515"/>
        <v>0</v>
      </c>
      <c r="L101" s="140" t="e">
        <f t="shared" si="8"/>
        <v>#VALUE!</v>
      </c>
      <c r="M101" s="326" t="str">
        <f t="shared" si="555"/>
        <v/>
      </c>
      <c r="N101" s="333" t="str">
        <f t="shared" si="556"/>
        <v/>
      </c>
      <c r="O101" s="123" t="e">
        <f t="shared" si="516"/>
        <v>#VALUE!</v>
      </c>
      <c r="P101" s="137" t="e">
        <f t="shared" si="517"/>
        <v>#VALUE!</v>
      </c>
      <c r="Q101" s="326">
        <f t="shared" si="518"/>
        <v>0</v>
      </c>
      <c r="R101" s="326">
        <f t="shared" si="519"/>
        <v>0</v>
      </c>
      <c r="S101" s="116" t="e">
        <f t="shared" si="14"/>
        <v>#VALUE!</v>
      </c>
      <c r="T101" s="326" t="str">
        <f t="shared" si="557"/>
        <v/>
      </c>
      <c r="U101" s="326" t="str">
        <f t="shared" si="558"/>
        <v/>
      </c>
      <c r="V101" s="326" t="e">
        <f t="shared" si="520"/>
        <v>#VALUE!</v>
      </c>
      <c r="W101" s="137" t="e">
        <f t="shared" si="521"/>
        <v>#VALUE!</v>
      </c>
      <c r="X101" s="326">
        <f t="shared" si="522"/>
        <v>0</v>
      </c>
      <c r="Y101" s="332">
        <f t="shared" si="523"/>
        <v>0</v>
      </c>
      <c r="Z101" s="113" t="e">
        <f t="shared" si="20"/>
        <v>#VALUE!</v>
      </c>
      <c r="AA101" s="116" t="str">
        <f t="shared" si="559"/>
        <v/>
      </c>
      <c r="AB101" s="117" t="str">
        <f t="shared" si="560"/>
        <v/>
      </c>
      <c r="AC101" s="123"/>
      <c r="AD101" s="326"/>
      <c r="AE101" s="1257">
        <f t="shared" si="524"/>
        <v>0</v>
      </c>
      <c r="AF101" s="140">
        <f t="shared" si="561"/>
        <v>66258.55</v>
      </c>
      <c r="AG101" s="326" t="e">
        <f t="shared" si="25"/>
        <v>#VALUE!</v>
      </c>
      <c r="AH101" s="326" t="e">
        <f t="shared" ref="AH101:AI101" si="594">AA101+T101+M101</f>
        <v>#VALUE!</v>
      </c>
      <c r="AI101" s="326" t="e">
        <f t="shared" si="594"/>
        <v>#VALUE!</v>
      </c>
      <c r="AJ101" s="326" t="e">
        <f t="shared" si="27"/>
        <v>#VALUE!</v>
      </c>
      <c r="AK101" s="1258" t="str">
        <f t="shared" si="28"/>
        <v/>
      </c>
      <c r="AL101" s="125">
        <f t="shared" si="526"/>
        <v>0</v>
      </c>
      <c r="AM101" s="140" t="e">
        <f t="shared" si="30"/>
        <v>#VALUE!</v>
      </c>
      <c r="AN101" s="123" t="str">
        <f t="shared" si="563"/>
        <v/>
      </c>
      <c r="AO101" s="148" t="str">
        <f t="shared" si="564"/>
        <v/>
      </c>
      <c r="AP101" s="125">
        <f t="shared" si="481"/>
        <v>0</v>
      </c>
      <c r="AQ101" s="140" t="e">
        <f t="shared" si="33"/>
        <v>#VALUE!</v>
      </c>
      <c r="AR101" s="326" t="str">
        <f t="shared" si="565"/>
        <v/>
      </c>
      <c r="AS101" s="333" t="str">
        <f t="shared" si="566"/>
        <v/>
      </c>
      <c r="AT101" s="123">
        <f t="shared" si="527"/>
        <v>0</v>
      </c>
      <c r="AU101" s="123" t="e">
        <f t="shared" si="36"/>
        <v>#VALUE!</v>
      </c>
      <c r="AV101" s="123" t="str">
        <f t="shared" si="567"/>
        <v/>
      </c>
      <c r="AW101" s="125" t="str">
        <f t="shared" si="568"/>
        <v/>
      </c>
      <c r="AX101" s="122" t="e">
        <f t="shared" ref="AX101:AZ101" si="595">SUM(AU101,AQ101,AM101)</f>
        <v>#VALUE!</v>
      </c>
      <c r="AY101" s="326">
        <f t="shared" si="595"/>
        <v>0</v>
      </c>
      <c r="AZ101" s="332">
        <f t="shared" si="595"/>
        <v>0</v>
      </c>
      <c r="BA101" s="140" t="e">
        <f t="shared" ref="BA101:BC101" si="596">SUM(AX101,AG101)</f>
        <v>#VALUE!</v>
      </c>
      <c r="BB101" s="326" t="e">
        <f t="shared" si="596"/>
        <v>#VALUE!</v>
      </c>
      <c r="BC101" s="435" t="e">
        <f t="shared" si="596"/>
        <v>#VALUE!</v>
      </c>
      <c r="BD101" s="125">
        <f t="shared" si="571"/>
        <v>0</v>
      </c>
      <c r="BE101" s="1166" t="e">
        <f t="shared" si="42"/>
        <v>#VALUE!</v>
      </c>
      <c r="BF101" s="116" t="str">
        <f t="shared" si="572"/>
        <v/>
      </c>
      <c r="BG101" s="121" t="str">
        <f t="shared" si="573"/>
        <v/>
      </c>
      <c r="BH101" s="114">
        <f t="shared" si="574"/>
        <v>0</v>
      </c>
      <c r="BI101" s="416" t="e">
        <f t="shared" si="46"/>
        <v>#VALUE!</v>
      </c>
      <c r="BJ101" s="121" t="str">
        <f t="shared" si="575"/>
        <v/>
      </c>
      <c r="BK101" s="121" t="str">
        <f t="shared" si="576"/>
        <v/>
      </c>
      <c r="BL101" s="121">
        <f t="shared" si="577"/>
        <v>0</v>
      </c>
      <c r="BM101" s="113" t="e">
        <f t="shared" si="50"/>
        <v>#VALUE!</v>
      </c>
      <c r="BN101" s="116" t="str">
        <f t="shared" si="578"/>
        <v/>
      </c>
      <c r="BO101" s="117" t="str">
        <f t="shared" si="579"/>
        <v/>
      </c>
      <c r="BP101" s="113">
        <f t="shared" si="53"/>
        <v>0</v>
      </c>
      <c r="BQ101" s="116">
        <f t="shared" ref="BQ101:BR101" si="597">SUM(BN101,BJ101,BF101)</f>
        <v>0</v>
      </c>
      <c r="BR101" s="117">
        <f t="shared" si="597"/>
        <v>0</v>
      </c>
      <c r="BS101" s="125">
        <f t="shared" si="581"/>
        <v>0</v>
      </c>
      <c r="BT101" s="140" t="e">
        <f t="shared" si="56"/>
        <v>#VALUE!</v>
      </c>
      <c r="BU101" s="123" t="str">
        <f t="shared" si="582"/>
        <v/>
      </c>
      <c r="BV101" s="148" t="str">
        <f t="shared" si="583"/>
        <v/>
      </c>
      <c r="BW101" s="123">
        <f t="shared" si="584"/>
        <v>0</v>
      </c>
      <c r="BX101" s="326">
        <f t="shared" si="585"/>
        <v>66258.55</v>
      </c>
    </row>
    <row r="102" spans="1:76" ht="13">
      <c r="A102" s="420">
        <f t="shared" si="547"/>
        <v>112012704</v>
      </c>
      <c r="B102" s="93">
        <f t="shared" si="548"/>
        <v>1</v>
      </c>
      <c r="C102" s="558" t="str">
        <f t="shared" si="549"/>
        <v>Lista</v>
      </c>
      <c r="D102" s="558">
        <f t="shared" si="550"/>
        <v>0.09</v>
      </c>
      <c r="E102" s="559">
        <f t="shared" si="551"/>
        <v>0</v>
      </c>
      <c r="F102" s="547">
        <f t="shared" si="552"/>
        <v>71</v>
      </c>
      <c r="G102" s="699" t="str">
        <f t="shared" si="553"/>
        <v>Lista</v>
      </c>
      <c r="H102" s="702">
        <f t="shared" si="554"/>
        <v>0.05</v>
      </c>
      <c r="I102" s="423" t="s">
        <v>1362</v>
      </c>
      <c r="J102" s="326">
        <f t="shared" si="514"/>
        <v>236717.72</v>
      </c>
      <c r="K102" s="332">
        <f t="shared" si="515"/>
        <v>397934.32320599997</v>
      </c>
      <c r="L102" s="140" t="e">
        <f t="shared" si="8"/>
        <v>#VALUE!</v>
      </c>
      <c r="M102" s="326" t="str">
        <f t="shared" si="555"/>
        <v/>
      </c>
      <c r="N102" s="333">
        <f t="shared" si="556"/>
        <v>398768.48</v>
      </c>
      <c r="O102" s="123">
        <f t="shared" si="516"/>
        <v>834.15679400000954</v>
      </c>
      <c r="P102" s="137">
        <f t="shared" si="517"/>
        <v>1.0020962172533385</v>
      </c>
      <c r="Q102" s="326">
        <f t="shared" si="518"/>
        <v>72724.37</v>
      </c>
      <c r="R102" s="326">
        <f t="shared" si="519"/>
        <v>131683.83486825001</v>
      </c>
      <c r="S102" s="116" t="e">
        <f t="shared" si="14"/>
        <v>#VALUE!</v>
      </c>
      <c r="T102" s="326" t="str">
        <f t="shared" si="557"/>
        <v/>
      </c>
      <c r="U102" s="326">
        <f t="shared" si="558"/>
        <v>181097.79</v>
      </c>
      <c r="V102" s="326">
        <f t="shared" si="520"/>
        <v>49413.955131750001</v>
      </c>
      <c r="W102" s="137">
        <f t="shared" si="521"/>
        <v>1.3752469327855525</v>
      </c>
      <c r="X102" s="326">
        <f t="shared" si="522"/>
        <v>168727.33</v>
      </c>
      <c r="Y102" s="332">
        <f t="shared" si="523"/>
        <v>282664.67776574998</v>
      </c>
      <c r="Z102" s="113" t="e">
        <f t="shared" si="20"/>
        <v>#VALUE!</v>
      </c>
      <c r="AA102" s="116" t="str">
        <f t="shared" si="559"/>
        <v/>
      </c>
      <c r="AB102" s="117">
        <f t="shared" si="560"/>
        <v>196248.22</v>
      </c>
      <c r="AC102" s="123"/>
      <c r="AD102" s="326"/>
      <c r="AE102" s="1257">
        <f t="shared" si="524"/>
        <v>812282.83583999996</v>
      </c>
      <c r="AF102" s="140">
        <f t="shared" si="561"/>
        <v>822461.6</v>
      </c>
      <c r="AG102" s="326" t="e">
        <f t="shared" si="25"/>
        <v>#VALUE!</v>
      </c>
      <c r="AH102" s="326" t="e">
        <f t="shared" ref="AH102:AI102" si="598">AA102+T102+M102</f>
        <v>#VALUE!</v>
      </c>
      <c r="AI102" s="326">
        <f t="shared" si="598"/>
        <v>776114.49</v>
      </c>
      <c r="AJ102" s="326">
        <f t="shared" si="27"/>
        <v>-46347.109999999986</v>
      </c>
      <c r="AK102" s="1258">
        <f t="shared" si="28"/>
        <v>0.94364829920326976</v>
      </c>
      <c r="AL102" s="125">
        <f t="shared" si="526"/>
        <v>224811.18</v>
      </c>
      <c r="AM102" s="140" t="e">
        <f t="shared" si="30"/>
        <v>#VALUE!</v>
      </c>
      <c r="AN102" s="123" t="str">
        <f t="shared" si="563"/>
        <v/>
      </c>
      <c r="AO102" s="148">
        <f t="shared" si="564"/>
        <v>345452.44</v>
      </c>
      <c r="AP102" s="125">
        <f t="shared" si="481"/>
        <v>0</v>
      </c>
      <c r="AQ102" s="140" t="e">
        <f t="shared" si="33"/>
        <v>#VALUE!</v>
      </c>
      <c r="AR102" s="326" t="str">
        <f t="shared" si="565"/>
        <v/>
      </c>
      <c r="AS102" s="333">
        <f t="shared" si="566"/>
        <v>274403.09999999998</v>
      </c>
      <c r="AT102" s="123">
        <f t="shared" si="527"/>
        <v>323472.19</v>
      </c>
      <c r="AU102" s="123" t="e">
        <f t="shared" si="36"/>
        <v>#VALUE!</v>
      </c>
      <c r="AV102" s="123" t="str">
        <f t="shared" si="567"/>
        <v/>
      </c>
      <c r="AW102" s="125">
        <f t="shared" si="568"/>
        <v>259296.01</v>
      </c>
      <c r="AX102" s="122" t="e">
        <f t="shared" ref="AX102:AZ102" si="599">SUM(AU102,AQ102,AM102)</f>
        <v>#VALUE!</v>
      </c>
      <c r="AY102" s="326">
        <f t="shared" si="599"/>
        <v>0</v>
      </c>
      <c r="AZ102" s="332">
        <f t="shared" si="599"/>
        <v>879151.55</v>
      </c>
      <c r="BA102" s="140" t="e">
        <f t="shared" ref="BA102:BC102" si="600">SUM(AX102,AG102)</f>
        <v>#VALUE!</v>
      </c>
      <c r="BB102" s="326" t="e">
        <f t="shared" si="600"/>
        <v>#VALUE!</v>
      </c>
      <c r="BC102" s="435">
        <f t="shared" si="600"/>
        <v>1655266.04</v>
      </c>
      <c r="BD102" s="125">
        <f t="shared" si="571"/>
        <v>131062.35</v>
      </c>
      <c r="BE102" s="1166" t="e">
        <f t="shared" si="42"/>
        <v>#VALUE!</v>
      </c>
      <c r="BF102" s="116" t="str">
        <f t="shared" si="572"/>
        <v/>
      </c>
      <c r="BG102" s="121">
        <f t="shared" si="573"/>
        <v>53018.22</v>
      </c>
      <c r="BH102" s="114">
        <f t="shared" si="574"/>
        <v>88377.35</v>
      </c>
      <c r="BI102" s="416" t="e">
        <f t="shared" si="46"/>
        <v>#VALUE!</v>
      </c>
      <c r="BJ102" s="121" t="str">
        <f t="shared" si="575"/>
        <v/>
      </c>
      <c r="BK102" s="121">
        <f t="shared" si="576"/>
        <v>441444.22</v>
      </c>
      <c r="BL102" s="121">
        <f t="shared" si="577"/>
        <v>179175.69</v>
      </c>
      <c r="BM102" s="113" t="e">
        <f t="shared" si="50"/>
        <v>#VALUE!</v>
      </c>
      <c r="BN102" s="116" t="str">
        <f t="shared" si="578"/>
        <v/>
      </c>
      <c r="BO102" s="117">
        <f t="shared" si="579"/>
        <v>179018.61</v>
      </c>
      <c r="BP102" s="113">
        <f t="shared" si="53"/>
        <v>673481.04999999993</v>
      </c>
      <c r="BQ102" s="116">
        <f t="shared" ref="BQ102:BR102" si="601">SUM(BN102,BJ102,BF102)</f>
        <v>0</v>
      </c>
      <c r="BR102" s="117">
        <f t="shared" si="601"/>
        <v>673481.04999999993</v>
      </c>
      <c r="BS102" s="125">
        <f t="shared" si="581"/>
        <v>188023.46</v>
      </c>
      <c r="BT102" s="140" t="e">
        <f t="shared" si="56"/>
        <v>#VALUE!</v>
      </c>
      <c r="BU102" s="123" t="str">
        <f t="shared" si="582"/>
        <v/>
      </c>
      <c r="BV102" s="148">
        <f t="shared" si="583"/>
        <v>264319.73</v>
      </c>
      <c r="BW102" s="123">
        <f t="shared" si="584"/>
        <v>156792.34</v>
      </c>
      <c r="BX102" s="326">
        <f t="shared" si="585"/>
        <v>477645.8</v>
      </c>
    </row>
    <row r="103" spans="1:76" ht="13">
      <c r="A103" s="420">
        <f t="shared" si="547"/>
        <v>112012290</v>
      </c>
      <c r="B103" s="93">
        <f t="shared" si="548"/>
        <v>1</v>
      </c>
      <c r="C103" s="558" t="str">
        <f t="shared" si="549"/>
        <v>Lista</v>
      </c>
      <c r="D103" s="558">
        <f t="shared" si="550"/>
        <v>0.09</v>
      </c>
      <c r="E103" s="559">
        <f t="shared" si="551"/>
        <v>0</v>
      </c>
      <c r="F103" s="547">
        <f t="shared" si="552"/>
        <v>71</v>
      </c>
      <c r="G103" s="699" t="str">
        <f t="shared" si="553"/>
        <v>Lista</v>
      </c>
      <c r="H103" s="702">
        <f t="shared" si="554"/>
        <v>0.05</v>
      </c>
      <c r="I103" s="423" t="s">
        <v>1363</v>
      </c>
      <c r="J103" s="326">
        <f t="shared" si="514"/>
        <v>624064.87</v>
      </c>
      <c r="K103" s="332">
        <f t="shared" si="515"/>
        <v>1049084.2497135</v>
      </c>
      <c r="L103" s="140">
        <f t="shared" si="8"/>
        <v>1889972.29</v>
      </c>
      <c r="M103" s="326">
        <f t="shared" si="555"/>
        <v>728485.13</v>
      </c>
      <c r="N103" s="333">
        <f t="shared" si="556"/>
        <v>2618457.42</v>
      </c>
      <c r="O103" s="123">
        <f t="shared" si="516"/>
        <v>1569373.1702864999</v>
      </c>
      <c r="P103" s="137">
        <f t="shared" si="517"/>
        <v>2.4959457934051419</v>
      </c>
      <c r="Q103" s="326">
        <f t="shared" si="518"/>
        <v>337505.55</v>
      </c>
      <c r="R103" s="326">
        <f t="shared" si="519"/>
        <v>611129.73702374997</v>
      </c>
      <c r="S103" s="116">
        <f t="shared" si="14"/>
        <v>1970024.73</v>
      </c>
      <c r="T103" s="326">
        <f t="shared" si="557"/>
        <v>454109.12</v>
      </c>
      <c r="U103" s="326">
        <f t="shared" si="558"/>
        <v>2424133.85</v>
      </c>
      <c r="V103" s="326">
        <f t="shared" si="520"/>
        <v>1813004.1129762502</v>
      </c>
      <c r="W103" s="137">
        <f t="shared" si="521"/>
        <v>3.9666435834160567</v>
      </c>
      <c r="X103" s="326">
        <f t="shared" si="522"/>
        <v>997194.32</v>
      </c>
      <c r="Y103" s="332">
        <f t="shared" si="523"/>
        <v>1670574.714438</v>
      </c>
      <c r="Z103" s="113">
        <f t="shared" si="20"/>
        <v>940587.14999999991</v>
      </c>
      <c r="AA103" s="116">
        <f t="shared" si="559"/>
        <v>241551.07</v>
      </c>
      <c r="AB103" s="117">
        <f t="shared" si="560"/>
        <v>1182138.22</v>
      </c>
      <c r="AC103" s="123"/>
      <c r="AD103" s="326"/>
      <c r="AE103" s="1257">
        <f t="shared" si="524"/>
        <v>3330788.7011752501</v>
      </c>
      <c r="AF103" s="140">
        <f t="shared" si="561"/>
        <v>4958610.13</v>
      </c>
      <c r="AG103" s="326">
        <f t="shared" si="25"/>
        <v>4800584.17</v>
      </c>
      <c r="AH103" s="326">
        <f t="shared" ref="AH103:AI103" si="602">AA103+T103+M103</f>
        <v>1424145.3199999998</v>
      </c>
      <c r="AI103" s="326">
        <f t="shared" si="602"/>
        <v>6224729.4900000002</v>
      </c>
      <c r="AJ103" s="326">
        <f t="shared" si="27"/>
        <v>1266119.3600000003</v>
      </c>
      <c r="AK103" s="1258">
        <f t="shared" si="28"/>
        <v>1.255337549596786</v>
      </c>
      <c r="AL103" s="125">
        <f t="shared" si="526"/>
        <v>1399867.22</v>
      </c>
      <c r="AM103" s="140">
        <f t="shared" si="30"/>
        <v>596409.11</v>
      </c>
      <c r="AN103" s="123">
        <f t="shared" si="563"/>
        <v>298492.28000000003</v>
      </c>
      <c r="AO103" s="148">
        <f t="shared" si="564"/>
        <v>894901.39</v>
      </c>
      <c r="AP103" s="125">
        <f t="shared" si="481"/>
        <v>1009973.9</v>
      </c>
      <c r="AQ103" s="140">
        <f t="shared" si="33"/>
        <v>690186.42</v>
      </c>
      <c r="AR103" s="326">
        <f t="shared" si="565"/>
        <v>8027.35</v>
      </c>
      <c r="AS103" s="333">
        <f t="shared" si="566"/>
        <v>698213.77</v>
      </c>
      <c r="AT103" s="123">
        <f t="shared" si="527"/>
        <v>1115759.8899999999</v>
      </c>
      <c r="AU103" s="123">
        <f t="shared" si="36"/>
        <v>153025.74999999994</v>
      </c>
      <c r="AV103" s="123">
        <f t="shared" si="567"/>
        <v>477866.57</v>
      </c>
      <c r="AW103" s="125">
        <f t="shared" si="568"/>
        <v>630892.31999999995</v>
      </c>
      <c r="AX103" s="122">
        <f t="shared" ref="AX103:AZ103" si="603">SUM(AU103,AQ103,AM103)</f>
        <v>1439621.2799999998</v>
      </c>
      <c r="AY103" s="326">
        <f t="shared" si="603"/>
        <v>784386.2</v>
      </c>
      <c r="AZ103" s="332">
        <f t="shared" si="603"/>
        <v>2224007.48</v>
      </c>
      <c r="BA103" s="140">
        <f t="shared" ref="BA103:BC103" si="604">SUM(AX103,AG103)</f>
        <v>6240205.4499999993</v>
      </c>
      <c r="BB103" s="326">
        <f t="shared" si="604"/>
        <v>2208531.5199999996</v>
      </c>
      <c r="BC103" s="435">
        <f t="shared" si="604"/>
        <v>8448736.9700000007</v>
      </c>
      <c r="BD103" s="125">
        <f t="shared" si="571"/>
        <v>586398.69999999995</v>
      </c>
      <c r="BE103" s="1166">
        <f t="shared" si="42"/>
        <v>500062.39</v>
      </c>
      <c r="BF103" s="116">
        <f t="shared" si="572"/>
        <v>401011.15</v>
      </c>
      <c r="BG103" s="121">
        <f t="shared" si="573"/>
        <v>901073.54</v>
      </c>
      <c r="BH103" s="114">
        <f t="shared" si="574"/>
        <v>785126.93</v>
      </c>
      <c r="BI103" s="416">
        <f t="shared" si="46"/>
        <v>44113.5</v>
      </c>
      <c r="BJ103" s="121">
        <f t="shared" si="575"/>
        <v>273796.2</v>
      </c>
      <c r="BK103" s="121">
        <f t="shared" si="576"/>
        <v>317909.7</v>
      </c>
      <c r="BL103" s="121">
        <f t="shared" si="577"/>
        <v>115300.75</v>
      </c>
      <c r="BM103" s="113">
        <f t="shared" si="50"/>
        <v>912822.03</v>
      </c>
      <c r="BN103" s="116">
        <f t="shared" si="578"/>
        <v>361917.94</v>
      </c>
      <c r="BO103" s="117">
        <f t="shared" si="579"/>
        <v>1274739.97</v>
      </c>
      <c r="BP103" s="113">
        <f t="shared" si="53"/>
        <v>1456997.92</v>
      </c>
      <c r="BQ103" s="116">
        <f t="shared" ref="BQ103:BR103" si="605">SUM(BN103,BJ103,BF103)</f>
        <v>1036725.29</v>
      </c>
      <c r="BR103" s="117">
        <f t="shared" si="605"/>
        <v>2493723.21</v>
      </c>
      <c r="BS103" s="125">
        <f t="shared" si="581"/>
        <v>909561.85</v>
      </c>
      <c r="BT103" s="140">
        <f t="shared" si="56"/>
        <v>1459383.78</v>
      </c>
      <c r="BU103" s="123">
        <f t="shared" si="582"/>
        <v>214653.32</v>
      </c>
      <c r="BV103" s="148">
        <f t="shared" si="583"/>
        <v>1674037.1</v>
      </c>
      <c r="BW103" s="123">
        <f t="shared" si="584"/>
        <v>1898022.44</v>
      </c>
      <c r="BX103" s="326">
        <f t="shared" si="585"/>
        <v>2151025.84</v>
      </c>
    </row>
    <row r="104" spans="1:76" ht="13">
      <c r="A104" s="420">
        <f t="shared" si="547"/>
        <v>112014551</v>
      </c>
      <c r="B104" s="93">
        <f t="shared" si="548"/>
        <v>1</v>
      </c>
      <c r="C104" s="558" t="str">
        <f t="shared" si="549"/>
        <v>Lista</v>
      </c>
      <c r="D104" s="558">
        <f t="shared" si="550"/>
        <v>0.09</v>
      </c>
      <c r="E104" s="559">
        <f t="shared" si="551"/>
        <v>0</v>
      </c>
      <c r="F104" s="547">
        <f t="shared" si="552"/>
        <v>71</v>
      </c>
      <c r="G104" s="699" t="str">
        <f t="shared" si="553"/>
        <v>Lista</v>
      </c>
      <c r="H104" s="702">
        <f t="shared" si="554"/>
        <v>0.05</v>
      </c>
      <c r="I104" s="423" t="s">
        <v>1364</v>
      </c>
      <c r="J104" s="326">
        <f t="shared" si="514"/>
        <v>0</v>
      </c>
      <c r="K104" s="332">
        <f t="shared" si="515"/>
        <v>0</v>
      </c>
      <c r="L104" s="140" t="e">
        <f t="shared" si="8"/>
        <v>#VALUE!</v>
      </c>
      <c r="M104" s="326" t="str">
        <f t="shared" si="555"/>
        <v/>
      </c>
      <c r="N104" s="333">
        <f t="shared" si="556"/>
        <v>390296.98</v>
      </c>
      <c r="O104" s="123">
        <f t="shared" si="516"/>
        <v>390296.98</v>
      </c>
      <c r="P104" s="137" t="e">
        <f t="shared" si="517"/>
        <v>#DIV/0!</v>
      </c>
      <c r="Q104" s="326">
        <f t="shared" si="518"/>
        <v>0</v>
      </c>
      <c r="R104" s="326">
        <f t="shared" si="519"/>
        <v>0</v>
      </c>
      <c r="S104" s="116" t="e">
        <f t="shared" si="14"/>
        <v>#VALUE!</v>
      </c>
      <c r="T104" s="326" t="str">
        <f t="shared" si="557"/>
        <v/>
      </c>
      <c r="U104" s="326">
        <f t="shared" si="558"/>
        <v>315052.18</v>
      </c>
      <c r="V104" s="326">
        <f t="shared" si="520"/>
        <v>315052.18</v>
      </c>
      <c r="W104" s="137" t="e">
        <f t="shared" si="521"/>
        <v>#DIV/0!</v>
      </c>
      <c r="X104" s="326">
        <f t="shared" si="522"/>
        <v>0</v>
      </c>
      <c r="Y104" s="332">
        <f t="shared" si="523"/>
        <v>0</v>
      </c>
      <c r="Z104" s="113" t="e">
        <f t="shared" si="20"/>
        <v>#VALUE!</v>
      </c>
      <c r="AA104" s="116" t="str">
        <f t="shared" si="559"/>
        <v/>
      </c>
      <c r="AB104" s="117">
        <f t="shared" si="560"/>
        <v>151592.60999999999</v>
      </c>
      <c r="AC104" s="123"/>
      <c r="AD104" s="326"/>
      <c r="AE104" s="1257">
        <f t="shared" si="524"/>
        <v>0</v>
      </c>
      <c r="AF104" s="140">
        <f t="shared" si="561"/>
        <v>603738.86</v>
      </c>
      <c r="AG104" s="326" t="e">
        <f t="shared" si="25"/>
        <v>#VALUE!</v>
      </c>
      <c r="AH104" s="326" t="e">
        <f t="shared" ref="AH104:AI104" si="606">AA104+T104+M104</f>
        <v>#VALUE!</v>
      </c>
      <c r="AI104" s="326">
        <f t="shared" si="606"/>
        <v>856941.77</v>
      </c>
      <c r="AJ104" s="326">
        <f t="shared" si="27"/>
        <v>253202.91000000003</v>
      </c>
      <c r="AK104" s="1258">
        <f t="shared" si="28"/>
        <v>1.4193914401998242</v>
      </c>
      <c r="AL104" s="125">
        <f t="shared" si="526"/>
        <v>0</v>
      </c>
      <c r="AM104" s="140" t="e">
        <f t="shared" si="30"/>
        <v>#VALUE!</v>
      </c>
      <c r="AN104" s="123" t="str">
        <f t="shared" si="563"/>
        <v/>
      </c>
      <c r="AO104" s="148">
        <f t="shared" si="564"/>
        <v>97359.95</v>
      </c>
      <c r="AP104" s="125">
        <f t="shared" si="481"/>
        <v>0</v>
      </c>
      <c r="AQ104" s="140" t="e">
        <f t="shared" si="33"/>
        <v>#VALUE!</v>
      </c>
      <c r="AR104" s="326" t="str">
        <f t="shared" si="565"/>
        <v/>
      </c>
      <c r="AS104" s="333">
        <f t="shared" si="566"/>
        <v>168137.12</v>
      </c>
      <c r="AT104" s="123">
        <f t="shared" si="527"/>
        <v>0</v>
      </c>
      <c r="AU104" s="123" t="e">
        <f t="shared" si="36"/>
        <v>#VALUE!</v>
      </c>
      <c r="AV104" s="123" t="str">
        <f t="shared" si="567"/>
        <v/>
      </c>
      <c r="AW104" s="125">
        <f t="shared" si="568"/>
        <v>0</v>
      </c>
      <c r="AX104" s="122" t="e">
        <f t="shared" ref="AX104:AZ104" si="607">SUM(AU104,AQ104,AM104)</f>
        <v>#VALUE!</v>
      </c>
      <c r="AY104" s="326">
        <f t="shared" si="607"/>
        <v>0</v>
      </c>
      <c r="AZ104" s="332">
        <f t="shared" si="607"/>
        <v>265497.07</v>
      </c>
      <c r="BA104" s="140" t="e">
        <f t="shared" ref="BA104:BC104" si="608">SUM(AX104,AG104)</f>
        <v>#VALUE!</v>
      </c>
      <c r="BB104" s="326" t="e">
        <f t="shared" si="608"/>
        <v>#VALUE!</v>
      </c>
      <c r="BC104" s="435">
        <f t="shared" si="608"/>
        <v>1122438.8400000001</v>
      </c>
      <c r="BD104" s="125">
        <f t="shared" si="571"/>
        <v>0</v>
      </c>
      <c r="BE104" s="1166" t="e">
        <f t="shared" si="42"/>
        <v>#VALUE!</v>
      </c>
      <c r="BF104" s="116" t="str">
        <f t="shared" si="572"/>
        <v/>
      </c>
      <c r="BG104" s="121">
        <f t="shared" si="573"/>
        <v>171010.23</v>
      </c>
      <c r="BH104" s="114">
        <f t="shared" si="574"/>
        <v>0</v>
      </c>
      <c r="BI104" s="416" t="e">
        <f t="shared" si="46"/>
        <v>#VALUE!</v>
      </c>
      <c r="BJ104" s="121" t="str">
        <f t="shared" si="575"/>
        <v/>
      </c>
      <c r="BK104" s="121">
        <f t="shared" si="576"/>
        <v>0</v>
      </c>
      <c r="BL104" s="121">
        <f t="shared" si="577"/>
        <v>119385.36</v>
      </c>
      <c r="BM104" s="113" t="e">
        <f t="shared" si="50"/>
        <v>#VALUE!</v>
      </c>
      <c r="BN104" s="116" t="str">
        <f t="shared" si="578"/>
        <v/>
      </c>
      <c r="BO104" s="117">
        <f t="shared" si="579"/>
        <v>197053.95</v>
      </c>
      <c r="BP104" s="113">
        <f t="shared" si="53"/>
        <v>368064.18000000005</v>
      </c>
      <c r="BQ104" s="116">
        <f t="shared" ref="BQ104:BR104" si="609">SUM(BN104,BJ104,BF104)</f>
        <v>0</v>
      </c>
      <c r="BR104" s="117">
        <f t="shared" si="609"/>
        <v>368064.18000000005</v>
      </c>
      <c r="BS104" s="125">
        <f t="shared" si="581"/>
        <v>131624.49</v>
      </c>
      <c r="BT104" s="140" t="e">
        <f t="shared" si="56"/>
        <v>#VALUE!</v>
      </c>
      <c r="BU104" s="123" t="str">
        <f t="shared" si="582"/>
        <v/>
      </c>
      <c r="BV104" s="148">
        <f t="shared" si="583"/>
        <v>0</v>
      </c>
      <c r="BW104" s="123">
        <f t="shared" si="584"/>
        <v>323864.76</v>
      </c>
      <c r="BX104" s="326">
        <f t="shared" si="585"/>
        <v>148249.60999999999</v>
      </c>
    </row>
    <row r="105" spans="1:76" ht="13">
      <c r="A105" s="420">
        <f t="shared" si="547"/>
        <v>112014285</v>
      </c>
      <c r="B105" s="93">
        <f t="shared" si="548"/>
        <v>1</v>
      </c>
      <c r="C105" s="558" t="str">
        <f t="shared" si="549"/>
        <v>Lista</v>
      </c>
      <c r="D105" s="558">
        <f t="shared" si="550"/>
        <v>0.09</v>
      </c>
      <c r="E105" s="559">
        <f t="shared" si="551"/>
        <v>0</v>
      </c>
      <c r="F105" s="547">
        <f t="shared" si="552"/>
        <v>71</v>
      </c>
      <c r="G105" s="699" t="str">
        <f t="shared" si="553"/>
        <v>Lista</v>
      </c>
      <c r="H105" s="702">
        <f t="shared" si="554"/>
        <v>0.05</v>
      </c>
      <c r="I105" s="423" t="s">
        <v>1365</v>
      </c>
      <c r="J105" s="326">
        <f t="shared" si="514"/>
        <v>337638.59</v>
      </c>
      <c r="K105" s="332">
        <f t="shared" si="515"/>
        <v>567587.35171950003</v>
      </c>
      <c r="L105" s="140" t="e">
        <f t="shared" si="8"/>
        <v>#VALUE!</v>
      </c>
      <c r="M105" s="326" t="str">
        <f t="shared" si="555"/>
        <v/>
      </c>
      <c r="N105" s="333" t="str">
        <f t="shared" si="556"/>
        <v/>
      </c>
      <c r="O105" s="123" t="e">
        <f t="shared" si="516"/>
        <v>#VALUE!</v>
      </c>
      <c r="P105" s="137" t="e">
        <f t="shared" si="517"/>
        <v>#VALUE!</v>
      </c>
      <c r="Q105" s="326">
        <f t="shared" si="518"/>
        <v>40847.120000000003</v>
      </c>
      <c r="R105" s="326">
        <f t="shared" si="519"/>
        <v>73962.901362000004</v>
      </c>
      <c r="S105" s="116" t="e">
        <f t="shared" si="14"/>
        <v>#VALUE!</v>
      </c>
      <c r="T105" s="326" t="str">
        <f t="shared" si="557"/>
        <v/>
      </c>
      <c r="U105" s="326" t="str">
        <f t="shared" si="558"/>
        <v/>
      </c>
      <c r="V105" s="326" t="e">
        <f t="shared" si="520"/>
        <v>#VALUE!</v>
      </c>
      <c r="W105" s="137" t="e">
        <f t="shared" si="521"/>
        <v>#VALUE!</v>
      </c>
      <c r="X105" s="326">
        <f t="shared" si="522"/>
        <v>822233.43</v>
      </c>
      <c r="Y105" s="332">
        <f t="shared" si="523"/>
        <v>1377467.1094432501</v>
      </c>
      <c r="Z105" s="113" t="e">
        <f t="shared" si="20"/>
        <v>#VALUE!</v>
      </c>
      <c r="AA105" s="116" t="str">
        <f t="shared" si="559"/>
        <v/>
      </c>
      <c r="AB105" s="117" t="str">
        <f t="shared" si="560"/>
        <v/>
      </c>
      <c r="AC105" s="123"/>
      <c r="AD105" s="326"/>
      <c r="AE105" s="1257">
        <f t="shared" si="524"/>
        <v>2019017.3625247502</v>
      </c>
      <c r="AF105" s="140">
        <f t="shared" si="561"/>
        <v>915998.31</v>
      </c>
      <c r="AG105" s="326" t="e">
        <f t="shared" si="25"/>
        <v>#VALUE!</v>
      </c>
      <c r="AH105" s="326" t="e">
        <f t="shared" ref="AH105:AI105" si="610">AA105+T105+M105</f>
        <v>#VALUE!</v>
      </c>
      <c r="AI105" s="326" t="e">
        <f t="shared" si="610"/>
        <v>#VALUE!</v>
      </c>
      <c r="AJ105" s="326" t="e">
        <f t="shared" si="27"/>
        <v>#VALUE!</v>
      </c>
      <c r="AK105" s="1258" t="str">
        <f t="shared" si="28"/>
        <v/>
      </c>
      <c r="AL105" s="125">
        <f t="shared" si="526"/>
        <v>71831.070000000007</v>
      </c>
      <c r="AM105" s="140" t="e">
        <f t="shared" si="30"/>
        <v>#VALUE!</v>
      </c>
      <c r="AN105" s="123" t="str">
        <f t="shared" si="563"/>
        <v/>
      </c>
      <c r="AO105" s="148" t="str">
        <f t="shared" si="564"/>
        <v/>
      </c>
      <c r="AP105" s="125">
        <f t="shared" si="481"/>
        <v>342274.21</v>
      </c>
      <c r="AQ105" s="140" t="e">
        <f t="shared" si="33"/>
        <v>#VALUE!</v>
      </c>
      <c r="AR105" s="326" t="str">
        <f t="shared" si="565"/>
        <v/>
      </c>
      <c r="AS105" s="333" t="str">
        <f t="shared" si="566"/>
        <v/>
      </c>
      <c r="AT105" s="123">
        <f t="shared" si="527"/>
        <v>281835.78000000003</v>
      </c>
      <c r="AU105" s="123" t="e">
        <f t="shared" si="36"/>
        <v>#VALUE!</v>
      </c>
      <c r="AV105" s="123" t="str">
        <f t="shared" si="567"/>
        <v/>
      </c>
      <c r="AW105" s="125" t="str">
        <f t="shared" si="568"/>
        <v/>
      </c>
      <c r="AX105" s="122" t="e">
        <f t="shared" ref="AX105:AZ105" si="611">SUM(AU105,AQ105,AM105)</f>
        <v>#VALUE!</v>
      </c>
      <c r="AY105" s="326">
        <f t="shared" si="611"/>
        <v>0</v>
      </c>
      <c r="AZ105" s="332">
        <f t="shared" si="611"/>
        <v>0</v>
      </c>
      <c r="BA105" s="140" t="e">
        <f t="shared" ref="BA105:BC105" si="612">SUM(AX105,AG105)</f>
        <v>#VALUE!</v>
      </c>
      <c r="BB105" s="326" t="e">
        <f t="shared" si="612"/>
        <v>#VALUE!</v>
      </c>
      <c r="BC105" s="435" t="e">
        <f t="shared" si="612"/>
        <v>#VALUE!</v>
      </c>
      <c r="BD105" s="125">
        <f t="shared" si="571"/>
        <v>621311.9</v>
      </c>
      <c r="BE105" s="1166" t="e">
        <f t="shared" si="42"/>
        <v>#VALUE!</v>
      </c>
      <c r="BF105" s="116" t="str">
        <f t="shared" si="572"/>
        <v/>
      </c>
      <c r="BG105" s="121" t="str">
        <f t="shared" si="573"/>
        <v/>
      </c>
      <c r="BH105" s="114">
        <f t="shared" si="574"/>
        <v>374775.92</v>
      </c>
      <c r="BI105" s="416" t="e">
        <f t="shared" si="46"/>
        <v>#VALUE!</v>
      </c>
      <c r="BJ105" s="121" t="str">
        <f t="shared" si="575"/>
        <v/>
      </c>
      <c r="BK105" s="121" t="str">
        <f t="shared" si="576"/>
        <v/>
      </c>
      <c r="BL105" s="121">
        <f t="shared" si="577"/>
        <v>0</v>
      </c>
      <c r="BM105" s="113" t="e">
        <f t="shared" si="50"/>
        <v>#VALUE!</v>
      </c>
      <c r="BN105" s="116" t="str">
        <f t="shared" si="578"/>
        <v/>
      </c>
      <c r="BO105" s="117" t="str">
        <f t="shared" si="579"/>
        <v/>
      </c>
      <c r="BP105" s="113">
        <f t="shared" si="53"/>
        <v>0</v>
      </c>
      <c r="BQ105" s="116">
        <f t="shared" ref="BQ105:BR105" si="613">SUM(BN105,BJ105,BF105)</f>
        <v>0</v>
      </c>
      <c r="BR105" s="117">
        <f t="shared" si="613"/>
        <v>0</v>
      </c>
      <c r="BS105" s="125">
        <f t="shared" si="581"/>
        <v>915998.31</v>
      </c>
      <c r="BT105" s="140" t="e">
        <f t="shared" si="56"/>
        <v>#VALUE!</v>
      </c>
      <c r="BU105" s="123" t="str">
        <f t="shared" si="582"/>
        <v/>
      </c>
      <c r="BV105" s="148" t="str">
        <f t="shared" si="583"/>
        <v/>
      </c>
      <c r="BW105" s="123">
        <f t="shared" si="584"/>
        <v>0</v>
      </c>
      <c r="BX105" s="326">
        <f t="shared" si="585"/>
        <v>0</v>
      </c>
    </row>
    <row r="106" spans="1:76" ht="13">
      <c r="A106" s="420">
        <f t="shared" si="547"/>
        <v>112014614</v>
      </c>
      <c r="B106" s="93">
        <f t="shared" si="548"/>
        <v>1</v>
      </c>
      <c r="C106" s="558" t="str">
        <f t="shared" si="549"/>
        <v>Lista</v>
      </c>
      <c r="D106" s="558">
        <f t="shared" si="550"/>
        <v>0.09</v>
      </c>
      <c r="E106" s="559">
        <f t="shared" si="551"/>
        <v>0</v>
      </c>
      <c r="F106" s="547">
        <f t="shared" si="552"/>
        <v>71</v>
      </c>
      <c r="G106" s="699" t="str">
        <f t="shared" si="553"/>
        <v>Lista</v>
      </c>
      <c r="H106" s="702">
        <f t="shared" si="554"/>
        <v>0.05</v>
      </c>
      <c r="I106" s="423" t="s">
        <v>1366</v>
      </c>
      <c r="J106" s="326">
        <f t="shared" si="514"/>
        <v>0</v>
      </c>
      <c r="K106" s="332">
        <f t="shared" si="515"/>
        <v>0</v>
      </c>
      <c r="L106" s="140">
        <f t="shared" si="8"/>
        <v>150499.86000000002</v>
      </c>
      <c r="M106" s="326">
        <f t="shared" si="555"/>
        <v>210900.53</v>
      </c>
      <c r="N106" s="333">
        <f t="shared" si="556"/>
        <v>361400.39</v>
      </c>
      <c r="O106" s="123">
        <f t="shared" si="516"/>
        <v>361400.39</v>
      </c>
      <c r="P106" s="137" t="e">
        <f t="shared" si="517"/>
        <v>#DIV/0!</v>
      </c>
      <c r="Q106" s="326">
        <f t="shared" si="518"/>
        <v>0</v>
      </c>
      <c r="R106" s="326">
        <f t="shared" si="519"/>
        <v>0</v>
      </c>
      <c r="S106" s="116">
        <f t="shared" si="14"/>
        <v>25216.410000000003</v>
      </c>
      <c r="T106" s="326">
        <f t="shared" si="557"/>
        <v>90857.16</v>
      </c>
      <c r="U106" s="326">
        <f t="shared" si="558"/>
        <v>116073.57</v>
      </c>
      <c r="V106" s="326">
        <f t="shared" si="520"/>
        <v>116073.57</v>
      </c>
      <c r="W106" s="137" t="e">
        <f t="shared" si="521"/>
        <v>#DIV/0!</v>
      </c>
      <c r="X106" s="326">
        <f t="shared" si="522"/>
        <v>0</v>
      </c>
      <c r="Y106" s="332">
        <f t="shared" si="523"/>
        <v>0</v>
      </c>
      <c r="Z106" s="113">
        <f t="shared" si="20"/>
        <v>113672.45</v>
      </c>
      <c r="AA106" s="116">
        <f t="shared" si="559"/>
        <v>0</v>
      </c>
      <c r="AB106" s="117">
        <f t="shared" si="560"/>
        <v>113672.45</v>
      </c>
      <c r="AC106" s="123"/>
      <c r="AD106" s="326"/>
      <c r="AE106" s="1257">
        <f t="shared" si="524"/>
        <v>0</v>
      </c>
      <c r="AF106" s="140">
        <f t="shared" si="561"/>
        <v>588636.48</v>
      </c>
      <c r="AG106" s="326">
        <f t="shared" si="25"/>
        <v>289388.72000000003</v>
      </c>
      <c r="AH106" s="326">
        <f t="shared" ref="AH106:AI106" si="614">AA106+T106+M106</f>
        <v>301757.69</v>
      </c>
      <c r="AI106" s="326">
        <f t="shared" si="614"/>
        <v>591146.41</v>
      </c>
      <c r="AJ106" s="326">
        <f t="shared" si="27"/>
        <v>2509.9300000000512</v>
      </c>
      <c r="AK106" s="1258">
        <f t="shared" si="28"/>
        <v>1.0042639729022571</v>
      </c>
      <c r="AL106" s="125">
        <f t="shared" si="526"/>
        <v>0</v>
      </c>
      <c r="AM106" s="140">
        <f t="shared" si="30"/>
        <v>212726.63999999998</v>
      </c>
      <c r="AN106" s="123">
        <f t="shared" si="563"/>
        <v>42415.32</v>
      </c>
      <c r="AO106" s="148">
        <f t="shared" si="564"/>
        <v>255141.96</v>
      </c>
      <c r="AP106" s="125">
        <f t="shared" si="481"/>
        <v>0</v>
      </c>
      <c r="AQ106" s="140">
        <f t="shared" si="33"/>
        <v>90791.22</v>
      </c>
      <c r="AR106" s="326">
        <f t="shared" si="565"/>
        <v>50562.01</v>
      </c>
      <c r="AS106" s="333">
        <f t="shared" si="566"/>
        <v>141353.23000000001</v>
      </c>
      <c r="AT106" s="123">
        <f t="shared" si="527"/>
        <v>0</v>
      </c>
      <c r="AU106" s="123">
        <f t="shared" si="36"/>
        <v>157741.07</v>
      </c>
      <c r="AV106" s="123">
        <f t="shared" si="567"/>
        <v>0</v>
      </c>
      <c r="AW106" s="125">
        <f t="shared" si="568"/>
        <v>157741.07</v>
      </c>
      <c r="AX106" s="122">
        <f t="shared" ref="AX106:AZ106" si="615">SUM(AU106,AQ106,AM106)</f>
        <v>461258.93</v>
      </c>
      <c r="AY106" s="326">
        <f t="shared" si="615"/>
        <v>92977.33</v>
      </c>
      <c r="AZ106" s="332">
        <f t="shared" si="615"/>
        <v>554236.26</v>
      </c>
      <c r="BA106" s="140">
        <f t="shared" ref="BA106:BC106" si="616">SUM(AX106,AG106)</f>
        <v>750647.65</v>
      </c>
      <c r="BB106" s="326">
        <f t="shared" si="616"/>
        <v>394735.02</v>
      </c>
      <c r="BC106" s="435">
        <f t="shared" si="616"/>
        <v>1145382.67</v>
      </c>
      <c r="BD106" s="125">
        <f t="shared" si="571"/>
        <v>0</v>
      </c>
      <c r="BE106" s="1166">
        <f t="shared" si="42"/>
        <v>46795.040000000008</v>
      </c>
      <c r="BF106" s="116">
        <f t="shared" si="572"/>
        <v>101124.03</v>
      </c>
      <c r="BG106" s="121">
        <f t="shared" si="573"/>
        <v>147919.07</v>
      </c>
      <c r="BH106" s="114">
        <f t="shared" si="574"/>
        <v>0</v>
      </c>
      <c r="BI106" s="416">
        <f t="shared" si="46"/>
        <v>59830.9</v>
      </c>
      <c r="BJ106" s="121">
        <f t="shared" si="575"/>
        <v>0</v>
      </c>
      <c r="BK106" s="121">
        <f t="shared" si="576"/>
        <v>59830.9</v>
      </c>
      <c r="BL106" s="121">
        <f t="shared" si="577"/>
        <v>0</v>
      </c>
      <c r="BM106" s="113">
        <f t="shared" si="50"/>
        <v>0</v>
      </c>
      <c r="BN106" s="116">
        <f t="shared" si="578"/>
        <v>0</v>
      </c>
      <c r="BO106" s="117">
        <f t="shared" si="579"/>
        <v>0</v>
      </c>
      <c r="BP106" s="113">
        <f t="shared" si="53"/>
        <v>106625.94</v>
      </c>
      <c r="BQ106" s="116">
        <f t="shared" ref="BQ106:BR106" si="617">SUM(BN106,BJ106,BF106)</f>
        <v>101124.03</v>
      </c>
      <c r="BR106" s="117">
        <f t="shared" si="617"/>
        <v>207749.97</v>
      </c>
      <c r="BS106" s="125">
        <f t="shared" si="581"/>
        <v>0</v>
      </c>
      <c r="BT106" s="140">
        <f t="shared" si="56"/>
        <v>0</v>
      </c>
      <c r="BU106" s="123">
        <f t="shared" si="582"/>
        <v>0</v>
      </c>
      <c r="BV106" s="148">
        <f t="shared" si="583"/>
        <v>0</v>
      </c>
      <c r="BW106" s="123">
        <f t="shared" si="584"/>
        <v>285542.40999999997</v>
      </c>
      <c r="BX106" s="326">
        <f t="shared" si="585"/>
        <v>303094.07</v>
      </c>
    </row>
    <row r="107" spans="1:76" ht="13">
      <c r="A107" s="420">
        <f t="shared" si="547"/>
        <v>112013861</v>
      </c>
      <c r="B107" s="93">
        <f t="shared" si="548"/>
        <v>1</v>
      </c>
      <c r="C107" s="558" t="str">
        <f t="shared" si="549"/>
        <v>Lista</v>
      </c>
      <c r="D107" s="558">
        <f t="shared" si="550"/>
        <v>0.09</v>
      </c>
      <c r="E107" s="559">
        <f t="shared" si="551"/>
        <v>0</v>
      </c>
      <c r="F107" s="547">
        <f t="shared" si="552"/>
        <v>71</v>
      </c>
      <c r="G107" s="699" t="str">
        <f t="shared" si="553"/>
        <v>Lista</v>
      </c>
      <c r="H107" s="702">
        <f t="shared" si="554"/>
        <v>0.05</v>
      </c>
      <c r="I107" s="423" t="s">
        <v>1367</v>
      </c>
      <c r="J107" s="326" t="str">
        <f t="shared" si="514"/>
        <v/>
      </c>
      <c r="K107" s="332" t="e">
        <f t="shared" si="515"/>
        <v>#VALUE!</v>
      </c>
      <c r="L107" s="140" t="e">
        <f t="shared" si="8"/>
        <v>#VALUE!</v>
      </c>
      <c r="M107" s="326" t="str">
        <f t="shared" si="555"/>
        <v/>
      </c>
      <c r="N107" s="333" t="str">
        <f t="shared" si="556"/>
        <v/>
      </c>
      <c r="O107" s="123" t="e">
        <f t="shared" si="516"/>
        <v>#VALUE!</v>
      </c>
      <c r="P107" s="137" t="e">
        <f t="shared" si="517"/>
        <v>#VALUE!</v>
      </c>
      <c r="Q107" s="326" t="str">
        <f t="shared" si="518"/>
        <v/>
      </c>
      <c r="R107" s="326" t="e">
        <f t="shared" si="519"/>
        <v>#VALUE!</v>
      </c>
      <c r="S107" s="116" t="e">
        <f t="shared" si="14"/>
        <v>#VALUE!</v>
      </c>
      <c r="T107" s="326" t="str">
        <f t="shared" si="557"/>
        <v/>
      </c>
      <c r="U107" s="326" t="str">
        <f t="shared" si="558"/>
        <v/>
      </c>
      <c r="V107" s="326" t="e">
        <f t="shared" si="520"/>
        <v>#VALUE!</v>
      </c>
      <c r="W107" s="137" t="e">
        <f t="shared" si="521"/>
        <v>#VALUE!</v>
      </c>
      <c r="X107" s="326" t="str">
        <f t="shared" si="522"/>
        <v/>
      </c>
      <c r="Y107" s="332" t="e">
        <f t="shared" si="523"/>
        <v>#VALUE!</v>
      </c>
      <c r="Z107" s="113" t="e">
        <f t="shared" si="20"/>
        <v>#VALUE!</v>
      </c>
      <c r="AA107" s="116" t="str">
        <f t="shared" si="559"/>
        <v/>
      </c>
      <c r="AB107" s="117" t="str">
        <f t="shared" si="560"/>
        <v/>
      </c>
      <c r="AC107" s="123"/>
      <c r="AD107" s="326"/>
      <c r="AE107" s="1257" t="e">
        <f t="shared" si="524"/>
        <v>#VALUE!</v>
      </c>
      <c r="AF107" s="140" t="str">
        <f t="shared" si="561"/>
        <v>0</v>
      </c>
      <c r="AG107" s="326" t="e">
        <f t="shared" si="25"/>
        <v>#VALUE!</v>
      </c>
      <c r="AH107" s="326" t="e">
        <f t="shared" ref="AH107:AI107" si="618">AA107+T107+M107</f>
        <v>#VALUE!</v>
      </c>
      <c r="AI107" s="326" t="e">
        <f t="shared" si="618"/>
        <v>#VALUE!</v>
      </c>
      <c r="AJ107" s="326" t="e">
        <f t="shared" si="27"/>
        <v>#VALUE!</v>
      </c>
      <c r="AK107" s="1258" t="str">
        <f t="shared" si="28"/>
        <v/>
      </c>
      <c r="AL107" s="125" t="str">
        <f t="shared" si="526"/>
        <v/>
      </c>
      <c r="AM107" s="140" t="e">
        <f t="shared" si="30"/>
        <v>#VALUE!</v>
      </c>
      <c r="AN107" s="123" t="str">
        <f t="shared" si="563"/>
        <v/>
      </c>
      <c r="AO107" s="148" t="str">
        <f t="shared" si="564"/>
        <v/>
      </c>
      <c r="AP107" s="125" t="str">
        <f t="shared" si="481"/>
        <v/>
      </c>
      <c r="AQ107" s="140" t="e">
        <f t="shared" si="33"/>
        <v>#VALUE!</v>
      </c>
      <c r="AR107" s="326" t="str">
        <f t="shared" si="565"/>
        <v/>
      </c>
      <c r="AS107" s="333" t="str">
        <f t="shared" si="566"/>
        <v/>
      </c>
      <c r="AT107" s="123" t="str">
        <f t="shared" si="527"/>
        <v/>
      </c>
      <c r="AU107" s="123" t="e">
        <f t="shared" si="36"/>
        <v>#VALUE!</v>
      </c>
      <c r="AV107" s="123" t="str">
        <f t="shared" si="567"/>
        <v/>
      </c>
      <c r="AW107" s="125" t="str">
        <f t="shared" si="568"/>
        <v/>
      </c>
      <c r="AX107" s="122" t="e">
        <f t="shared" ref="AX107:AZ107" si="619">SUM(AU107,AQ107,AM107)</f>
        <v>#VALUE!</v>
      </c>
      <c r="AY107" s="326">
        <f t="shared" si="619"/>
        <v>0</v>
      </c>
      <c r="AZ107" s="332">
        <f t="shared" si="619"/>
        <v>0</v>
      </c>
      <c r="BA107" s="140" t="e">
        <f t="shared" ref="BA107:BC107" si="620">SUM(AX107,AG107)</f>
        <v>#VALUE!</v>
      </c>
      <c r="BB107" s="326" t="e">
        <f t="shared" si="620"/>
        <v>#VALUE!</v>
      </c>
      <c r="BC107" s="435" t="e">
        <f t="shared" si="620"/>
        <v>#VALUE!</v>
      </c>
      <c r="BD107" s="125" t="str">
        <f t="shared" si="571"/>
        <v/>
      </c>
      <c r="BE107" s="1166" t="e">
        <f t="shared" si="42"/>
        <v>#VALUE!</v>
      </c>
      <c r="BF107" s="116" t="str">
        <f t="shared" si="572"/>
        <v/>
      </c>
      <c r="BG107" s="121" t="str">
        <f t="shared" si="573"/>
        <v/>
      </c>
      <c r="BH107" s="114" t="str">
        <f t="shared" si="574"/>
        <v/>
      </c>
      <c r="BI107" s="416" t="e">
        <f t="shared" si="46"/>
        <v>#VALUE!</v>
      </c>
      <c r="BJ107" s="121" t="str">
        <f t="shared" si="575"/>
        <v/>
      </c>
      <c r="BK107" s="121" t="str">
        <f t="shared" si="576"/>
        <v/>
      </c>
      <c r="BL107" s="121" t="str">
        <f t="shared" si="577"/>
        <v/>
      </c>
      <c r="BM107" s="113" t="e">
        <f t="shared" si="50"/>
        <v>#VALUE!</v>
      </c>
      <c r="BN107" s="116" t="str">
        <f t="shared" si="578"/>
        <v/>
      </c>
      <c r="BO107" s="117" t="str">
        <f t="shared" si="579"/>
        <v/>
      </c>
      <c r="BP107" s="113">
        <f t="shared" si="53"/>
        <v>0</v>
      </c>
      <c r="BQ107" s="116">
        <f t="shared" ref="BQ107:BR107" si="621">SUM(BN107,BJ107,BF107)</f>
        <v>0</v>
      </c>
      <c r="BR107" s="117">
        <f t="shared" si="621"/>
        <v>0</v>
      </c>
      <c r="BS107" s="125" t="str">
        <f t="shared" si="581"/>
        <v/>
      </c>
      <c r="BT107" s="140" t="e">
        <f t="shared" si="56"/>
        <v>#VALUE!</v>
      </c>
      <c r="BU107" s="123" t="str">
        <f t="shared" si="582"/>
        <v/>
      </c>
      <c r="BV107" s="148" t="str">
        <f t="shared" si="583"/>
        <v/>
      </c>
      <c r="BW107" s="123" t="str">
        <f t="shared" si="584"/>
        <v/>
      </c>
      <c r="BX107" s="326" t="str">
        <f t="shared" si="585"/>
        <v/>
      </c>
    </row>
    <row r="108" spans="1:76" ht="13">
      <c r="A108" s="420">
        <f t="shared" si="547"/>
        <v>112012692</v>
      </c>
      <c r="B108" s="93">
        <f t="shared" si="548"/>
        <v>1</v>
      </c>
      <c r="C108" s="558" t="str">
        <f t="shared" si="549"/>
        <v>Lista</v>
      </c>
      <c r="D108" s="558">
        <f t="shared" si="550"/>
        <v>0.09</v>
      </c>
      <c r="E108" s="559">
        <f t="shared" si="551"/>
        <v>0</v>
      </c>
      <c r="F108" s="547">
        <f t="shared" si="552"/>
        <v>71</v>
      </c>
      <c r="G108" s="699" t="str">
        <f t="shared" si="553"/>
        <v>Lista</v>
      </c>
      <c r="H108" s="702">
        <f t="shared" si="554"/>
        <v>0.05</v>
      </c>
      <c r="I108" s="423" t="s">
        <v>1368</v>
      </c>
      <c r="J108" s="326">
        <f t="shared" si="514"/>
        <v>0</v>
      </c>
      <c r="K108" s="332">
        <f t="shared" si="515"/>
        <v>0</v>
      </c>
      <c r="L108" s="140" t="e">
        <f t="shared" si="8"/>
        <v>#VALUE!</v>
      </c>
      <c r="M108" s="326" t="str">
        <f t="shared" si="555"/>
        <v/>
      </c>
      <c r="N108" s="333">
        <f t="shared" si="556"/>
        <v>524384.88</v>
      </c>
      <c r="O108" s="123">
        <f t="shared" si="516"/>
        <v>524384.88</v>
      </c>
      <c r="P108" s="137" t="e">
        <f t="shared" si="517"/>
        <v>#DIV/0!</v>
      </c>
      <c r="Q108" s="326">
        <f t="shared" si="518"/>
        <v>196336.54</v>
      </c>
      <c r="R108" s="326">
        <f t="shared" si="519"/>
        <v>355511.48139150004</v>
      </c>
      <c r="S108" s="116" t="e">
        <f t="shared" si="14"/>
        <v>#VALUE!</v>
      </c>
      <c r="T108" s="326" t="str">
        <f t="shared" si="557"/>
        <v/>
      </c>
      <c r="U108" s="326">
        <f t="shared" si="558"/>
        <v>564506.59</v>
      </c>
      <c r="V108" s="326">
        <f t="shared" si="520"/>
        <v>208995.10860849993</v>
      </c>
      <c r="W108" s="137">
        <f t="shared" si="521"/>
        <v>1.5878716146957521</v>
      </c>
      <c r="X108" s="326">
        <f t="shared" si="522"/>
        <v>276365.52</v>
      </c>
      <c r="Y108" s="332">
        <f t="shared" si="523"/>
        <v>462988.24651800003</v>
      </c>
      <c r="Z108" s="113" t="e">
        <f t="shared" si="20"/>
        <v>#VALUE!</v>
      </c>
      <c r="AA108" s="116" t="str">
        <f t="shared" si="559"/>
        <v/>
      </c>
      <c r="AB108" s="117">
        <f t="shared" si="560"/>
        <v>576563.43000000005</v>
      </c>
      <c r="AC108" s="123"/>
      <c r="AD108" s="326"/>
      <c r="AE108" s="1257">
        <f t="shared" si="524"/>
        <v>818499.72790950001</v>
      </c>
      <c r="AF108" s="140">
        <f t="shared" si="561"/>
        <v>303411.18</v>
      </c>
      <c r="AG108" s="326" t="e">
        <f t="shared" si="25"/>
        <v>#VALUE!</v>
      </c>
      <c r="AH108" s="326" t="e">
        <f t="shared" ref="AH108:AI108" si="622">AA108+T108+M108</f>
        <v>#VALUE!</v>
      </c>
      <c r="AI108" s="326">
        <f t="shared" si="622"/>
        <v>1665454.9</v>
      </c>
      <c r="AJ108" s="326">
        <f t="shared" si="27"/>
        <v>1362043.72</v>
      </c>
      <c r="AK108" s="1258">
        <f t="shared" si="28"/>
        <v>5.4891019506927856</v>
      </c>
      <c r="AL108" s="125">
        <f t="shared" si="526"/>
        <v>214402.98</v>
      </c>
      <c r="AM108" s="140" t="e">
        <f t="shared" si="30"/>
        <v>#VALUE!</v>
      </c>
      <c r="AN108" s="123" t="str">
        <f t="shared" si="563"/>
        <v/>
      </c>
      <c r="AO108" s="148">
        <f t="shared" si="564"/>
        <v>681235.22</v>
      </c>
      <c r="AP108" s="125">
        <f t="shared" si="481"/>
        <v>0</v>
      </c>
      <c r="AQ108" s="140" t="e">
        <f t="shared" si="33"/>
        <v>#VALUE!</v>
      </c>
      <c r="AR108" s="326" t="str">
        <f t="shared" si="565"/>
        <v/>
      </c>
      <c r="AS108" s="333">
        <f t="shared" si="566"/>
        <v>353906.19</v>
      </c>
      <c r="AT108" s="123">
        <f t="shared" si="527"/>
        <v>280791.90000000002</v>
      </c>
      <c r="AU108" s="123" t="e">
        <f t="shared" si="36"/>
        <v>#VALUE!</v>
      </c>
      <c r="AV108" s="123" t="str">
        <f t="shared" si="567"/>
        <v/>
      </c>
      <c r="AW108" s="125">
        <f t="shared" si="568"/>
        <v>601134.68000000005</v>
      </c>
      <c r="AX108" s="122" t="e">
        <f t="shared" ref="AX108:AZ108" si="623">SUM(AU108,AQ108,AM108)</f>
        <v>#VALUE!</v>
      </c>
      <c r="AY108" s="326">
        <f t="shared" si="623"/>
        <v>0</v>
      </c>
      <c r="AZ108" s="332">
        <f t="shared" si="623"/>
        <v>1636276.09</v>
      </c>
      <c r="BA108" s="140" t="e">
        <f t="shared" ref="BA108:BC108" si="624">SUM(AX108,AG108)</f>
        <v>#VALUE!</v>
      </c>
      <c r="BB108" s="326" t="e">
        <f t="shared" si="624"/>
        <v>#VALUE!</v>
      </c>
      <c r="BC108" s="435">
        <f t="shared" si="624"/>
        <v>3301730.99</v>
      </c>
      <c r="BD108" s="125">
        <f t="shared" si="571"/>
        <v>198005.56</v>
      </c>
      <c r="BE108" s="1166" t="e">
        <f t="shared" si="42"/>
        <v>#VALUE!</v>
      </c>
      <c r="BF108" s="116" t="str">
        <f t="shared" si="572"/>
        <v/>
      </c>
      <c r="BG108" s="121">
        <f t="shared" si="573"/>
        <v>439092.87</v>
      </c>
      <c r="BH108" s="114">
        <f t="shared" si="574"/>
        <v>111902.92</v>
      </c>
      <c r="BI108" s="416" t="e">
        <f t="shared" si="46"/>
        <v>#VALUE!</v>
      </c>
      <c r="BJ108" s="121" t="str">
        <f t="shared" si="575"/>
        <v/>
      </c>
      <c r="BK108" s="121">
        <f t="shared" si="576"/>
        <v>595873.02</v>
      </c>
      <c r="BL108" s="121">
        <f t="shared" si="577"/>
        <v>138529.43</v>
      </c>
      <c r="BM108" s="113" t="e">
        <f t="shared" si="50"/>
        <v>#VALUE!</v>
      </c>
      <c r="BN108" s="116" t="str">
        <f t="shared" si="578"/>
        <v/>
      </c>
      <c r="BO108" s="117">
        <f t="shared" si="579"/>
        <v>789413.91</v>
      </c>
      <c r="BP108" s="113">
        <f t="shared" si="53"/>
        <v>1824379.8000000003</v>
      </c>
      <c r="BQ108" s="116">
        <f t="shared" ref="BQ108:BR108" si="625">SUM(BN108,BJ108,BF108)</f>
        <v>0</v>
      </c>
      <c r="BR108" s="117">
        <f t="shared" si="625"/>
        <v>1824379.8000000003</v>
      </c>
      <c r="BS108" s="125">
        <f t="shared" si="581"/>
        <v>60951.41</v>
      </c>
      <c r="BT108" s="140" t="e">
        <f t="shared" si="56"/>
        <v>#VALUE!</v>
      </c>
      <c r="BU108" s="123" t="str">
        <f t="shared" si="582"/>
        <v/>
      </c>
      <c r="BV108" s="148">
        <f t="shared" si="583"/>
        <v>1546569.31</v>
      </c>
      <c r="BW108" s="123">
        <f t="shared" si="584"/>
        <v>242459.77</v>
      </c>
      <c r="BX108" s="326">
        <f t="shared" si="585"/>
        <v>0</v>
      </c>
    </row>
    <row r="109" spans="1:76" ht="13">
      <c r="A109" s="420">
        <f t="shared" si="547"/>
        <v>112012782</v>
      </c>
      <c r="B109" s="93">
        <f t="shared" si="548"/>
        <v>1</v>
      </c>
      <c r="C109" s="558" t="str">
        <f t="shared" si="549"/>
        <v>Lista</v>
      </c>
      <c r="D109" s="558">
        <f t="shared" si="550"/>
        <v>0.09</v>
      </c>
      <c r="E109" s="559">
        <f t="shared" si="551"/>
        <v>0</v>
      </c>
      <c r="F109" s="547">
        <f t="shared" si="552"/>
        <v>71</v>
      </c>
      <c r="G109" s="699" t="str">
        <f t="shared" si="553"/>
        <v>Lista</v>
      </c>
      <c r="H109" s="702">
        <f t="shared" si="554"/>
        <v>0.05</v>
      </c>
      <c r="I109" s="423" t="s">
        <v>1369</v>
      </c>
      <c r="J109" s="326">
        <f t="shared" si="514"/>
        <v>304214.40000000002</v>
      </c>
      <c r="K109" s="332">
        <f t="shared" si="515"/>
        <v>511399.61712000007</v>
      </c>
      <c r="L109" s="140" t="e">
        <f t="shared" si="8"/>
        <v>#VALUE!</v>
      </c>
      <c r="M109" s="326" t="str">
        <f t="shared" si="555"/>
        <v/>
      </c>
      <c r="N109" s="333">
        <f t="shared" si="556"/>
        <v>143431.94</v>
      </c>
      <c r="O109" s="123">
        <f t="shared" si="516"/>
        <v>-367967.67712000007</v>
      </c>
      <c r="P109" s="137">
        <f t="shared" si="517"/>
        <v>0.28046939262049481</v>
      </c>
      <c r="Q109" s="326">
        <f t="shared" si="518"/>
        <v>154373.65</v>
      </c>
      <c r="R109" s="326">
        <f t="shared" si="519"/>
        <v>279528.22739625</v>
      </c>
      <c r="S109" s="116" t="e">
        <f t="shared" si="14"/>
        <v>#VALUE!</v>
      </c>
      <c r="T109" s="326" t="str">
        <f t="shared" si="557"/>
        <v/>
      </c>
      <c r="U109" s="326">
        <f t="shared" si="558"/>
        <v>150998.65</v>
      </c>
      <c r="V109" s="326">
        <f t="shared" si="520"/>
        <v>-128529.57739625001</v>
      </c>
      <c r="W109" s="137">
        <f t="shared" si="521"/>
        <v>0.54019106194219624</v>
      </c>
      <c r="X109" s="326">
        <f t="shared" si="522"/>
        <v>0</v>
      </c>
      <c r="Y109" s="332">
        <f t="shared" si="523"/>
        <v>0</v>
      </c>
      <c r="Z109" s="113" t="e">
        <f t="shared" si="20"/>
        <v>#VALUE!</v>
      </c>
      <c r="AA109" s="116" t="str">
        <f t="shared" si="559"/>
        <v/>
      </c>
      <c r="AB109" s="117">
        <f t="shared" si="560"/>
        <v>461507.12</v>
      </c>
      <c r="AC109" s="123"/>
      <c r="AD109" s="326"/>
      <c r="AE109" s="1257">
        <f t="shared" si="524"/>
        <v>790927.84451625007</v>
      </c>
      <c r="AF109" s="140">
        <f t="shared" si="561"/>
        <v>345624.32000000001</v>
      </c>
      <c r="AG109" s="326" t="e">
        <f t="shared" si="25"/>
        <v>#VALUE!</v>
      </c>
      <c r="AH109" s="326" t="e">
        <f t="shared" ref="AH109:AI109" si="626">AA109+T109+M109</f>
        <v>#VALUE!</v>
      </c>
      <c r="AI109" s="326">
        <f t="shared" si="626"/>
        <v>755937.71</v>
      </c>
      <c r="AJ109" s="326">
        <f t="shared" si="27"/>
        <v>410313.38999999996</v>
      </c>
      <c r="AK109" s="1258">
        <f t="shared" si="28"/>
        <v>2.1871658510604806</v>
      </c>
      <c r="AL109" s="125">
        <f t="shared" si="526"/>
        <v>0</v>
      </c>
      <c r="AM109" s="140" t="e">
        <f t="shared" si="30"/>
        <v>#VALUE!</v>
      </c>
      <c r="AN109" s="123" t="str">
        <f t="shared" si="563"/>
        <v/>
      </c>
      <c r="AO109" s="148">
        <f t="shared" si="564"/>
        <v>0</v>
      </c>
      <c r="AP109" s="125">
        <f t="shared" si="481"/>
        <v>150705.35</v>
      </c>
      <c r="AQ109" s="140" t="e">
        <f t="shared" si="33"/>
        <v>#VALUE!</v>
      </c>
      <c r="AR109" s="326" t="str">
        <f t="shared" si="565"/>
        <v/>
      </c>
      <c r="AS109" s="333">
        <f t="shared" si="566"/>
        <v>0</v>
      </c>
      <c r="AT109" s="123">
        <f t="shared" si="527"/>
        <v>0</v>
      </c>
      <c r="AU109" s="123" t="e">
        <f t="shared" si="36"/>
        <v>#VALUE!</v>
      </c>
      <c r="AV109" s="123" t="str">
        <f t="shared" si="567"/>
        <v/>
      </c>
      <c r="AW109" s="125">
        <f t="shared" si="568"/>
        <v>0</v>
      </c>
      <c r="AX109" s="122" t="e">
        <f t="shared" ref="AX109:AZ109" si="627">SUM(AU109,AQ109,AM109)</f>
        <v>#VALUE!</v>
      </c>
      <c r="AY109" s="326">
        <f t="shared" si="627"/>
        <v>0</v>
      </c>
      <c r="AZ109" s="332">
        <f t="shared" si="627"/>
        <v>0</v>
      </c>
      <c r="BA109" s="140" t="e">
        <f t="shared" ref="BA109:BC109" si="628">SUM(AX109,AG109)</f>
        <v>#VALUE!</v>
      </c>
      <c r="BB109" s="326" t="e">
        <f t="shared" si="628"/>
        <v>#VALUE!</v>
      </c>
      <c r="BC109" s="435">
        <f t="shared" si="628"/>
        <v>755937.71</v>
      </c>
      <c r="BD109" s="125">
        <f t="shared" si="571"/>
        <v>0</v>
      </c>
      <c r="BE109" s="1166" t="e">
        <f t="shared" si="42"/>
        <v>#VALUE!</v>
      </c>
      <c r="BF109" s="116" t="str">
        <f t="shared" si="572"/>
        <v/>
      </c>
      <c r="BG109" s="121">
        <f t="shared" si="573"/>
        <v>0</v>
      </c>
      <c r="BH109" s="114">
        <f t="shared" si="574"/>
        <v>170744.81</v>
      </c>
      <c r="BI109" s="416" t="e">
        <f t="shared" si="46"/>
        <v>#VALUE!</v>
      </c>
      <c r="BJ109" s="121" t="str">
        <f t="shared" si="575"/>
        <v/>
      </c>
      <c r="BK109" s="121">
        <f t="shared" si="576"/>
        <v>0</v>
      </c>
      <c r="BL109" s="121">
        <f t="shared" si="577"/>
        <v>0</v>
      </c>
      <c r="BM109" s="113" t="e">
        <f t="shared" si="50"/>
        <v>#VALUE!</v>
      </c>
      <c r="BN109" s="116" t="str">
        <f t="shared" si="578"/>
        <v/>
      </c>
      <c r="BO109" s="117">
        <f t="shared" si="579"/>
        <v>0</v>
      </c>
      <c r="BP109" s="113">
        <f t="shared" si="53"/>
        <v>0</v>
      </c>
      <c r="BQ109" s="116">
        <f t="shared" ref="BQ109:BR109" si="629">SUM(BN109,BJ109,BF109)</f>
        <v>0</v>
      </c>
      <c r="BR109" s="117">
        <f t="shared" si="629"/>
        <v>0</v>
      </c>
      <c r="BS109" s="125">
        <f t="shared" si="581"/>
        <v>0</v>
      </c>
      <c r="BT109" s="140" t="e">
        <f t="shared" si="56"/>
        <v>#VALUE!</v>
      </c>
      <c r="BU109" s="123" t="str">
        <f t="shared" si="582"/>
        <v/>
      </c>
      <c r="BV109" s="148">
        <f t="shared" si="583"/>
        <v>0</v>
      </c>
      <c r="BW109" s="123">
        <f t="shared" si="584"/>
        <v>106452.08</v>
      </c>
      <c r="BX109" s="326">
        <f t="shared" si="585"/>
        <v>239172.24</v>
      </c>
    </row>
    <row r="110" spans="1:76" ht="13">
      <c r="A110" s="420">
        <f t="shared" si="547"/>
        <v>112011834</v>
      </c>
      <c r="B110" s="93">
        <f t="shared" si="548"/>
        <v>1</v>
      </c>
      <c r="C110" s="558" t="str">
        <f t="shared" si="549"/>
        <v>Lista</v>
      </c>
      <c r="D110" s="558">
        <f t="shared" si="550"/>
        <v>0.09</v>
      </c>
      <c r="E110" s="559">
        <f t="shared" si="551"/>
        <v>0</v>
      </c>
      <c r="F110" s="547">
        <f t="shared" si="552"/>
        <v>71</v>
      </c>
      <c r="G110" s="699" t="str">
        <f t="shared" si="553"/>
        <v>Lista</v>
      </c>
      <c r="H110" s="702">
        <f t="shared" si="554"/>
        <v>0.05</v>
      </c>
      <c r="I110" s="423" t="s">
        <v>1370</v>
      </c>
      <c r="J110" s="326">
        <f t="shared" si="514"/>
        <v>260987.61</v>
      </c>
      <c r="K110" s="332">
        <f t="shared" si="515"/>
        <v>438733.22179049999</v>
      </c>
      <c r="L110" s="140">
        <f t="shared" si="8"/>
        <v>445163.66000000003</v>
      </c>
      <c r="M110" s="326">
        <f t="shared" si="555"/>
        <v>6388.42</v>
      </c>
      <c r="N110" s="333">
        <f t="shared" si="556"/>
        <v>451552.08</v>
      </c>
      <c r="O110" s="123">
        <f t="shared" si="516"/>
        <v>12818.858209500031</v>
      </c>
      <c r="P110" s="137">
        <f t="shared" si="517"/>
        <v>1.029217888167177</v>
      </c>
      <c r="Q110" s="326">
        <f t="shared" si="518"/>
        <v>423356.85</v>
      </c>
      <c r="R110" s="326">
        <f t="shared" si="519"/>
        <v>766582.83221625001</v>
      </c>
      <c r="S110" s="116">
        <f t="shared" si="14"/>
        <v>556954.40999999992</v>
      </c>
      <c r="T110" s="326">
        <f t="shared" si="557"/>
        <v>15971.05</v>
      </c>
      <c r="U110" s="326">
        <f t="shared" si="558"/>
        <v>572925.46</v>
      </c>
      <c r="V110" s="326">
        <f t="shared" si="520"/>
        <v>-193657.37221625005</v>
      </c>
      <c r="W110" s="137">
        <f t="shared" si="521"/>
        <v>0.74737580326920228</v>
      </c>
      <c r="X110" s="326">
        <f t="shared" si="522"/>
        <v>385392.66</v>
      </c>
      <c r="Y110" s="332">
        <f t="shared" si="523"/>
        <v>645638.68848149991</v>
      </c>
      <c r="Z110" s="113">
        <f t="shared" si="20"/>
        <v>334942.39</v>
      </c>
      <c r="AA110" s="116">
        <f t="shared" si="559"/>
        <v>25553.68</v>
      </c>
      <c r="AB110" s="117">
        <f t="shared" si="560"/>
        <v>360496.07</v>
      </c>
      <c r="AC110" s="123"/>
      <c r="AD110" s="326"/>
      <c r="AE110" s="1257">
        <f t="shared" si="524"/>
        <v>1850954.7424882499</v>
      </c>
      <c r="AF110" s="140">
        <f t="shared" si="561"/>
        <v>814588.5</v>
      </c>
      <c r="AG110" s="326">
        <f t="shared" si="25"/>
        <v>1337060.4600000002</v>
      </c>
      <c r="AH110" s="326">
        <f t="shared" ref="AH110:AI110" si="630">AA110+T110+M110</f>
        <v>47913.149999999994</v>
      </c>
      <c r="AI110" s="326">
        <f t="shared" si="630"/>
        <v>1384973.61</v>
      </c>
      <c r="AJ110" s="326">
        <f t="shared" si="27"/>
        <v>570385.1100000001</v>
      </c>
      <c r="AK110" s="1258">
        <f t="shared" si="28"/>
        <v>1.7002125735877687</v>
      </c>
      <c r="AL110" s="125">
        <f t="shared" si="526"/>
        <v>108704.59</v>
      </c>
      <c r="AM110" s="140">
        <f t="shared" si="30"/>
        <v>159412.78</v>
      </c>
      <c r="AN110" s="123">
        <f t="shared" si="563"/>
        <v>0</v>
      </c>
      <c r="AO110" s="148">
        <f t="shared" si="564"/>
        <v>159412.78</v>
      </c>
      <c r="AP110" s="125">
        <f t="shared" si="481"/>
        <v>123085.33</v>
      </c>
      <c r="AQ110" s="140">
        <f t="shared" si="33"/>
        <v>0</v>
      </c>
      <c r="AR110" s="326">
        <f t="shared" si="565"/>
        <v>0</v>
      </c>
      <c r="AS110" s="333">
        <f t="shared" si="566"/>
        <v>0</v>
      </c>
      <c r="AT110" s="123">
        <f t="shared" si="527"/>
        <v>164416.68</v>
      </c>
      <c r="AU110" s="123">
        <f t="shared" si="36"/>
        <v>247758.6</v>
      </c>
      <c r="AV110" s="123">
        <f t="shared" si="567"/>
        <v>0</v>
      </c>
      <c r="AW110" s="125">
        <f t="shared" si="568"/>
        <v>247758.6</v>
      </c>
      <c r="AX110" s="122">
        <f t="shared" ref="AX110:AZ110" si="631">SUM(AU110,AQ110,AM110)</f>
        <v>407171.38</v>
      </c>
      <c r="AY110" s="326">
        <f t="shared" si="631"/>
        <v>0</v>
      </c>
      <c r="AZ110" s="332">
        <f t="shared" si="631"/>
        <v>407171.38</v>
      </c>
      <c r="BA110" s="140">
        <f t="shared" ref="BA110:BC110" si="632">SUM(AX110,AG110)</f>
        <v>1744231.8400000003</v>
      </c>
      <c r="BB110" s="326">
        <f t="shared" si="632"/>
        <v>47913.149999999994</v>
      </c>
      <c r="BC110" s="435">
        <f t="shared" si="632"/>
        <v>1792144.9900000002</v>
      </c>
      <c r="BD110" s="125">
        <f t="shared" si="571"/>
        <v>264574.7</v>
      </c>
      <c r="BE110" s="1166">
        <f t="shared" si="42"/>
        <v>181415.1</v>
      </c>
      <c r="BF110" s="116">
        <f t="shared" si="572"/>
        <v>0</v>
      </c>
      <c r="BG110" s="121">
        <f t="shared" si="573"/>
        <v>181415.1</v>
      </c>
      <c r="BH110" s="114">
        <f t="shared" si="574"/>
        <v>0</v>
      </c>
      <c r="BI110" s="416">
        <f t="shared" si="46"/>
        <v>146387.15</v>
      </c>
      <c r="BJ110" s="121">
        <f t="shared" si="575"/>
        <v>0</v>
      </c>
      <c r="BK110" s="121">
        <f t="shared" si="576"/>
        <v>146387.15</v>
      </c>
      <c r="BL110" s="121">
        <f t="shared" si="577"/>
        <v>163579.04999999999</v>
      </c>
      <c r="BM110" s="113">
        <f t="shared" si="50"/>
        <v>199399.11</v>
      </c>
      <c r="BN110" s="116">
        <f t="shared" si="578"/>
        <v>0</v>
      </c>
      <c r="BO110" s="117">
        <f t="shared" si="579"/>
        <v>199399.11</v>
      </c>
      <c r="BP110" s="113">
        <f t="shared" si="53"/>
        <v>527201.36</v>
      </c>
      <c r="BQ110" s="116">
        <f t="shared" ref="BQ110:BR110" si="633">SUM(BN110,BJ110,BF110)</f>
        <v>0</v>
      </c>
      <c r="BR110" s="117">
        <f t="shared" si="633"/>
        <v>527201.36</v>
      </c>
      <c r="BS110" s="125">
        <f t="shared" si="581"/>
        <v>345219.37</v>
      </c>
      <c r="BT110" s="140">
        <f t="shared" si="56"/>
        <v>0</v>
      </c>
      <c r="BU110" s="123">
        <f t="shared" si="582"/>
        <v>0</v>
      </c>
      <c r="BV110" s="148">
        <f t="shared" si="583"/>
        <v>0</v>
      </c>
      <c r="BW110" s="123">
        <f t="shared" si="584"/>
        <v>282553.12</v>
      </c>
      <c r="BX110" s="326">
        <f t="shared" si="585"/>
        <v>186816.01</v>
      </c>
    </row>
    <row r="111" spans="1:76" ht="13">
      <c r="A111" s="420">
        <f t="shared" si="547"/>
        <v>112013577</v>
      </c>
      <c r="B111" s="93">
        <f t="shared" si="548"/>
        <v>1</v>
      </c>
      <c r="C111" s="558" t="str">
        <f t="shared" si="549"/>
        <v>Lista</v>
      </c>
      <c r="D111" s="558">
        <f t="shared" si="550"/>
        <v>0.09</v>
      </c>
      <c r="E111" s="559">
        <f t="shared" si="551"/>
        <v>0</v>
      </c>
      <c r="F111" s="547">
        <f t="shared" si="552"/>
        <v>71</v>
      </c>
      <c r="G111" s="699" t="str">
        <f t="shared" si="553"/>
        <v>Lista</v>
      </c>
      <c r="H111" s="702">
        <f t="shared" si="554"/>
        <v>0.05</v>
      </c>
      <c r="I111" s="423" t="s">
        <v>1371</v>
      </c>
      <c r="J111" s="326">
        <f t="shared" si="514"/>
        <v>0</v>
      </c>
      <c r="K111" s="332">
        <f t="shared" si="515"/>
        <v>0</v>
      </c>
      <c r="L111" s="140" t="e">
        <f t="shared" si="8"/>
        <v>#VALUE!</v>
      </c>
      <c r="M111" s="326" t="str">
        <f t="shared" si="555"/>
        <v/>
      </c>
      <c r="N111" s="333">
        <f t="shared" si="556"/>
        <v>0</v>
      </c>
      <c r="O111" s="123">
        <f t="shared" si="516"/>
        <v>0</v>
      </c>
      <c r="P111" s="137" t="e">
        <f t="shared" si="517"/>
        <v>#DIV/0!</v>
      </c>
      <c r="Q111" s="326">
        <f t="shared" si="518"/>
        <v>0</v>
      </c>
      <c r="R111" s="326">
        <f t="shared" si="519"/>
        <v>0</v>
      </c>
      <c r="S111" s="116" t="e">
        <f t="shared" si="14"/>
        <v>#VALUE!</v>
      </c>
      <c r="T111" s="326" t="str">
        <f t="shared" si="557"/>
        <v/>
      </c>
      <c r="U111" s="326">
        <f t="shared" si="558"/>
        <v>0</v>
      </c>
      <c r="V111" s="326">
        <f t="shared" si="520"/>
        <v>0</v>
      </c>
      <c r="W111" s="137" t="e">
        <f t="shared" si="521"/>
        <v>#DIV/0!</v>
      </c>
      <c r="X111" s="326">
        <f t="shared" si="522"/>
        <v>0</v>
      </c>
      <c r="Y111" s="332">
        <f t="shared" si="523"/>
        <v>0</v>
      </c>
      <c r="Z111" s="113" t="e">
        <f t="shared" si="20"/>
        <v>#VALUE!</v>
      </c>
      <c r="AA111" s="116" t="str">
        <f t="shared" si="559"/>
        <v/>
      </c>
      <c r="AB111" s="117">
        <f t="shared" si="560"/>
        <v>0</v>
      </c>
      <c r="AC111" s="123"/>
      <c r="AD111" s="326"/>
      <c r="AE111" s="1257">
        <f t="shared" si="524"/>
        <v>0</v>
      </c>
      <c r="AF111" s="140" t="str">
        <f t="shared" si="561"/>
        <v>0</v>
      </c>
      <c r="AG111" s="326" t="e">
        <f t="shared" si="25"/>
        <v>#VALUE!</v>
      </c>
      <c r="AH111" s="326" t="e">
        <f t="shared" ref="AH111:AI111" si="634">AA111+T111+M111</f>
        <v>#VALUE!</v>
      </c>
      <c r="AI111" s="326">
        <f t="shared" si="634"/>
        <v>0</v>
      </c>
      <c r="AJ111" s="326">
        <f t="shared" si="27"/>
        <v>0</v>
      </c>
      <c r="AK111" s="1258" t="str">
        <f t="shared" si="28"/>
        <v/>
      </c>
      <c r="AL111" s="125">
        <f t="shared" si="526"/>
        <v>0</v>
      </c>
      <c r="AM111" s="140" t="e">
        <f t="shared" si="30"/>
        <v>#VALUE!</v>
      </c>
      <c r="AN111" s="123" t="str">
        <f t="shared" si="563"/>
        <v/>
      </c>
      <c r="AO111" s="148">
        <f t="shared" si="564"/>
        <v>0</v>
      </c>
      <c r="AP111" s="125">
        <f t="shared" si="481"/>
        <v>0</v>
      </c>
      <c r="AQ111" s="140" t="e">
        <f t="shared" si="33"/>
        <v>#VALUE!</v>
      </c>
      <c r="AR111" s="326" t="str">
        <f t="shared" si="565"/>
        <v/>
      </c>
      <c r="AS111" s="333">
        <f t="shared" si="566"/>
        <v>0</v>
      </c>
      <c r="AT111" s="123">
        <f t="shared" si="527"/>
        <v>301359.53000000003</v>
      </c>
      <c r="AU111" s="123" t="e">
        <f t="shared" si="36"/>
        <v>#VALUE!</v>
      </c>
      <c r="AV111" s="123" t="str">
        <f t="shared" si="567"/>
        <v/>
      </c>
      <c r="AW111" s="125">
        <f t="shared" si="568"/>
        <v>428076</v>
      </c>
      <c r="AX111" s="122" t="e">
        <f t="shared" ref="AX111:AZ111" si="635">SUM(AU111,AQ111,AM111)</f>
        <v>#VALUE!</v>
      </c>
      <c r="AY111" s="326">
        <f t="shared" si="635"/>
        <v>0</v>
      </c>
      <c r="AZ111" s="332">
        <f t="shared" si="635"/>
        <v>428076</v>
      </c>
      <c r="BA111" s="140" t="e">
        <f t="shared" ref="BA111:BC111" si="636">SUM(AX111,AG111)</f>
        <v>#VALUE!</v>
      </c>
      <c r="BB111" s="326" t="e">
        <f t="shared" si="636"/>
        <v>#VALUE!</v>
      </c>
      <c r="BC111" s="435">
        <f t="shared" si="636"/>
        <v>428076</v>
      </c>
      <c r="BD111" s="125">
        <f t="shared" si="571"/>
        <v>0</v>
      </c>
      <c r="BE111" s="1166" t="e">
        <f t="shared" si="42"/>
        <v>#VALUE!</v>
      </c>
      <c r="BF111" s="116" t="str">
        <f t="shared" si="572"/>
        <v/>
      </c>
      <c r="BG111" s="121">
        <f t="shared" si="573"/>
        <v>0</v>
      </c>
      <c r="BH111" s="114">
        <f t="shared" si="574"/>
        <v>0</v>
      </c>
      <c r="BI111" s="416" t="e">
        <f t="shared" si="46"/>
        <v>#VALUE!</v>
      </c>
      <c r="BJ111" s="121" t="str">
        <f t="shared" si="575"/>
        <v/>
      </c>
      <c r="BK111" s="121">
        <f t="shared" si="576"/>
        <v>0</v>
      </c>
      <c r="BL111" s="121">
        <f t="shared" si="577"/>
        <v>0</v>
      </c>
      <c r="BM111" s="113" t="e">
        <f t="shared" si="50"/>
        <v>#VALUE!</v>
      </c>
      <c r="BN111" s="116" t="str">
        <f t="shared" si="578"/>
        <v/>
      </c>
      <c r="BO111" s="117">
        <f t="shared" si="579"/>
        <v>346026</v>
      </c>
      <c r="BP111" s="113">
        <f t="shared" si="53"/>
        <v>346026</v>
      </c>
      <c r="BQ111" s="116">
        <f t="shared" ref="BQ111:BR111" si="637">SUM(BN111,BJ111,BF111)</f>
        <v>0</v>
      </c>
      <c r="BR111" s="117">
        <f t="shared" si="637"/>
        <v>346026</v>
      </c>
      <c r="BS111" s="125">
        <f t="shared" si="581"/>
        <v>0</v>
      </c>
      <c r="BT111" s="140" t="e">
        <f t="shared" si="56"/>
        <v>#VALUE!</v>
      </c>
      <c r="BU111" s="123" t="str">
        <f t="shared" si="582"/>
        <v/>
      </c>
      <c r="BV111" s="148">
        <f t="shared" si="583"/>
        <v>0</v>
      </c>
      <c r="BW111" s="123">
        <f t="shared" si="584"/>
        <v>0</v>
      </c>
      <c r="BX111" s="326">
        <f t="shared" si="585"/>
        <v>0</v>
      </c>
    </row>
    <row r="112" spans="1:76" ht="13">
      <c r="A112" s="420">
        <f t="shared" si="547"/>
        <v>112014417</v>
      </c>
      <c r="B112" s="93">
        <f t="shared" si="548"/>
        <v>1</v>
      </c>
      <c r="C112" s="558" t="str">
        <f t="shared" si="549"/>
        <v>Lista</v>
      </c>
      <c r="D112" s="558">
        <f t="shared" si="550"/>
        <v>0.09</v>
      </c>
      <c r="E112" s="559">
        <f t="shared" si="551"/>
        <v>0</v>
      </c>
      <c r="F112" s="547">
        <f t="shared" si="552"/>
        <v>71</v>
      </c>
      <c r="G112" s="699" t="str">
        <f t="shared" si="553"/>
        <v>Lista</v>
      </c>
      <c r="H112" s="702">
        <f t="shared" si="554"/>
        <v>0.05</v>
      </c>
      <c r="I112" s="423" t="s">
        <v>1372</v>
      </c>
      <c r="J112" s="326">
        <f t="shared" si="514"/>
        <v>0</v>
      </c>
      <c r="K112" s="332">
        <f t="shared" si="515"/>
        <v>0</v>
      </c>
      <c r="L112" s="140" t="e">
        <f t="shared" si="8"/>
        <v>#VALUE!</v>
      </c>
      <c r="M112" s="326" t="str">
        <f t="shared" si="555"/>
        <v/>
      </c>
      <c r="N112" s="333">
        <f t="shared" si="556"/>
        <v>0</v>
      </c>
      <c r="O112" s="123">
        <f t="shared" si="516"/>
        <v>0</v>
      </c>
      <c r="P112" s="137" t="e">
        <f t="shared" si="517"/>
        <v>#DIV/0!</v>
      </c>
      <c r="Q112" s="326">
        <f t="shared" si="518"/>
        <v>0</v>
      </c>
      <c r="R112" s="326">
        <f t="shared" si="519"/>
        <v>0</v>
      </c>
      <c r="S112" s="116" t="e">
        <f t="shared" si="14"/>
        <v>#VALUE!</v>
      </c>
      <c r="T112" s="326" t="str">
        <f t="shared" si="557"/>
        <v/>
      </c>
      <c r="U112" s="326">
        <f t="shared" si="558"/>
        <v>0</v>
      </c>
      <c r="V112" s="326">
        <f t="shared" si="520"/>
        <v>0</v>
      </c>
      <c r="W112" s="137" t="e">
        <f t="shared" si="521"/>
        <v>#DIV/0!</v>
      </c>
      <c r="X112" s="326">
        <f t="shared" si="522"/>
        <v>0</v>
      </c>
      <c r="Y112" s="332">
        <f t="shared" si="523"/>
        <v>0</v>
      </c>
      <c r="Z112" s="113" t="e">
        <f t="shared" si="20"/>
        <v>#VALUE!</v>
      </c>
      <c r="AA112" s="116" t="str">
        <f t="shared" si="559"/>
        <v/>
      </c>
      <c r="AB112" s="117">
        <f t="shared" si="560"/>
        <v>0</v>
      </c>
      <c r="AC112" s="123"/>
      <c r="AD112" s="326"/>
      <c r="AE112" s="1257">
        <f t="shared" si="524"/>
        <v>0</v>
      </c>
      <c r="AF112" s="140">
        <f t="shared" si="561"/>
        <v>295149.19</v>
      </c>
      <c r="AG112" s="326" t="e">
        <f t="shared" si="25"/>
        <v>#VALUE!</v>
      </c>
      <c r="AH112" s="326" t="e">
        <f t="shared" ref="AH112:AI112" si="638">AA112+T112+M112</f>
        <v>#VALUE!</v>
      </c>
      <c r="AI112" s="326">
        <f t="shared" si="638"/>
        <v>0</v>
      </c>
      <c r="AJ112" s="326">
        <f t="shared" si="27"/>
        <v>-295149.19</v>
      </c>
      <c r="AK112" s="1258">
        <f t="shared" si="28"/>
        <v>0</v>
      </c>
      <c r="AL112" s="125">
        <f t="shared" si="526"/>
        <v>0</v>
      </c>
      <c r="AM112" s="140" t="e">
        <f t="shared" si="30"/>
        <v>#VALUE!</v>
      </c>
      <c r="AN112" s="123" t="str">
        <f t="shared" si="563"/>
        <v/>
      </c>
      <c r="AO112" s="148">
        <f t="shared" si="564"/>
        <v>80693.81</v>
      </c>
      <c r="AP112" s="125">
        <f t="shared" si="481"/>
        <v>0</v>
      </c>
      <c r="AQ112" s="140" t="e">
        <f t="shared" si="33"/>
        <v>#VALUE!</v>
      </c>
      <c r="AR112" s="326" t="str">
        <f t="shared" si="565"/>
        <v/>
      </c>
      <c r="AS112" s="333">
        <f t="shared" si="566"/>
        <v>0</v>
      </c>
      <c r="AT112" s="123">
        <f t="shared" si="527"/>
        <v>0</v>
      </c>
      <c r="AU112" s="123" t="e">
        <f t="shared" si="36"/>
        <v>#VALUE!</v>
      </c>
      <c r="AV112" s="123" t="str">
        <f t="shared" si="567"/>
        <v/>
      </c>
      <c r="AW112" s="125">
        <f t="shared" si="568"/>
        <v>0</v>
      </c>
      <c r="AX112" s="122" t="e">
        <f t="shared" ref="AX112:AZ112" si="639">SUM(AU112,AQ112,AM112)</f>
        <v>#VALUE!</v>
      </c>
      <c r="AY112" s="326">
        <f t="shared" si="639"/>
        <v>0</v>
      </c>
      <c r="AZ112" s="332">
        <f t="shared" si="639"/>
        <v>80693.81</v>
      </c>
      <c r="BA112" s="140" t="e">
        <f t="shared" ref="BA112:BC112" si="640">SUM(AX112,AG112)</f>
        <v>#VALUE!</v>
      </c>
      <c r="BB112" s="326" t="e">
        <f t="shared" si="640"/>
        <v>#VALUE!</v>
      </c>
      <c r="BC112" s="435">
        <f t="shared" si="640"/>
        <v>80693.81</v>
      </c>
      <c r="BD112" s="125">
        <f t="shared" si="571"/>
        <v>0</v>
      </c>
      <c r="BE112" s="1166" t="e">
        <f t="shared" si="42"/>
        <v>#VALUE!</v>
      </c>
      <c r="BF112" s="116" t="str">
        <f t="shared" si="572"/>
        <v/>
      </c>
      <c r="BG112" s="121">
        <f t="shared" si="573"/>
        <v>0</v>
      </c>
      <c r="BH112" s="114">
        <f t="shared" si="574"/>
        <v>0</v>
      </c>
      <c r="BI112" s="416" t="e">
        <f t="shared" si="46"/>
        <v>#VALUE!</v>
      </c>
      <c r="BJ112" s="121" t="str">
        <f t="shared" si="575"/>
        <v/>
      </c>
      <c r="BK112" s="121">
        <f t="shared" si="576"/>
        <v>0</v>
      </c>
      <c r="BL112" s="121">
        <f t="shared" si="577"/>
        <v>140563.07999999999</v>
      </c>
      <c r="BM112" s="113" t="e">
        <f t="shared" si="50"/>
        <v>#VALUE!</v>
      </c>
      <c r="BN112" s="116" t="str">
        <f t="shared" si="578"/>
        <v/>
      </c>
      <c r="BO112" s="117">
        <f t="shared" si="579"/>
        <v>0</v>
      </c>
      <c r="BP112" s="113">
        <f t="shared" si="53"/>
        <v>0</v>
      </c>
      <c r="BQ112" s="116">
        <f t="shared" ref="BQ112:BR112" si="641">SUM(BN112,BJ112,BF112)</f>
        <v>0</v>
      </c>
      <c r="BR112" s="117">
        <f t="shared" si="641"/>
        <v>0</v>
      </c>
      <c r="BS112" s="125">
        <f t="shared" si="581"/>
        <v>231617.1</v>
      </c>
      <c r="BT112" s="140" t="e">
        <f t="shared" si="56"/>
        <v>#VALUE!</v>
      </c>
      <c r="BU112" s="123" t="str">
        <f t="shared" si="582"/>
        <v/>
      </c>
      <c r="BV112" s="148">
        <f t="shared" si="583"/>
        <v>0</v>
      </c>
      <c r="BW112" s="123">
        <f t="shared" si="584"/>
        <v>63532.09</v>
      </c>
      <c r="BX112" s="326">
        <f t="shared" si="585"/>
        <v>0</v>
      </c>
    </row>
    <row r="113" spans="1:111" ht="13">
      <c r="A113" s="420">
        <f t="shared" si="547"/>
        <v>112012748</v>
      </c>
      <c r="B113" s="93">
        <f t="shared" si="548"/>
        <v>1</v>
      </c>
      <c r="C113" s="558" t="str">
        <f t="shared" si="549"/>
        <v>Lista</v>
      </c>
      <c r="D113" s="558">
        <f t="shared" si="550"/>
        <v>0.09</v>
      </c>
      <c r="E113" s="559">
        <f t="shared" si="551"/>
        <v>0</v>
      </c>
      <c r="F113" s="547">
        <f t="shared" si="552"/>
        <v>71</v>
      </c>
      <c r="G113" s="699" t="str">
        <f t="shared" si="553"/>
        <v>Lista</v>
      </c>
      <c r="H113" s="702">
        <f t="shared" si="554"/>
        <v>0.05</v>
      </c>
      <c r="I113" s="423" t="s">
        <v>1373</v>
      </c>
      <c r="J113" s="326" t="str">
        <f t="shared" si="514"/>
        <v/>
      </c>
      <c r="K113" s="332" t="e">
        <f t="shared" si="515"/>
        <v>#VALUE!</v>
      </c>
      <c r="L113" s="140" t="e">
        <f t="shared" si="8"/>
        <v>#VALUE!</v>
      </c>
      <c r="M113" s="326" t="str">
        <f t="shared" si="555"/>
        <v/>
      </c>
      <c r="N113" s="333">
        <f t="shared" si="556"/>
        <v>0</v>
      </c>
      <c r="O113" s="123" t="e">
        <f t="shared" si="516"/>
        <v>#VALUE!</v>
      </c>
      <c r="P113" s="137" t="e">
        <f t="shared" si="517"/>
        <v>#VALUE!</v>
      </c>
      <c r="Q113" s="326" t="str">
        <f t="shared" si="518"/>
        <v/>
      </c>
      <c r="R113" s="326" t="e">
        <f t="shared" si="519"/>
        <v>#VALUE!</v>
      </c>
      <c r="S113" s="116" t="e">
        <f t="shared" si="14"/>
        <v>#VALUE!</v>
      </c>
      <c r="T113" s="326" t="str">
        <f t="shared" si="557"/>
        <v/>
      </c>
      <c r="U113" s="326">
        <f t="shared" si="558"/>
        <v>0</v>
      </c>
      <c r="V113" s="326" t="e">
        <f t="shared" si="520"/>
        <v>#VALUE!</v>
      </c>
      <c r="W113" s="137" t="e">
        <f t="shared" si="521"/>
        <v>#VALUE!</v>
      </c>
      <c r="X113" s="326" t="str">
        <f t="shared" si="522"/>
        <v/>
      </c>
      <c r="Y113" s="332" t="e">
        <f t="shared" si="523"/>
        <v>#VALUE!</v>
      </c>
      <c r="Z113" s="113" t="e">
        <f t="shared" si="20"/>
        <v>#VALUE!</v>
      </c>
      <c r="AA113" s="116" t="str">
        <f t="shared" si="559"/>
        <v/>
      </c>
      <c r="AB113" s="117">
        <f t="shared" si="560"/>
        <v>127090.19</v>
      </c>
      <c r="AC113" s="123"/>
      <c r="AD113" s="326"/>
      <c r="AE113" s="1257" t="e">
        <f t="shared" si="524"/>
        <v>#VALUE!</v>
      </c>
      <c r="AF113" s="140" t="str">
        <f t="shared" si="561"/>
        <v>0</v>
      </c>
      <c r="AG113" s="326" t="e">
        <f t="shared" si="25"/>
        <v>#VALUE!</v>
      </c>
      <c r="AH113" s="326" t="e">
        <f t="shared" ref="AH113:AI113" si="642">AA113+T113+M113</f>
        <v>#VALUE!</v>
      </c>
      <c r="AI113" s="326">
        <f t="shared" si="642"/>
        <v>127090.19</v>
      </c>
      <c r="AJ113" s="326">
        <f t="shared" si="27"/>
        <v>127090.19</v>
      </c>
      <c r="AK113" s="1258" t="str">
        <f t="shared" si="28"/>
        <v/>
      </c>
      <c r="AL113" s="125" t="str">
        <f t="shared" si="526"/>
        <v/>
      </c>
      <c r="AM113" s="140" t="e">
        <f t="shared" si="30"/>
        <v>#VALUE!</v>
      </c>
      <c r="AN113" s="123" t="str">
        <f t="shared" si="563"/>
        <v/>
      </c>
      <c r="AO113" s="148">
        <f t="shared" si="564"/>
        <v>299103.3</v>
      </c>
      <c r="AP113" s="125" t="str">
        <f t="shared" si="481"/>
        <v/>
      </c>
      <c r="AQ113" s="140" t="e">
        <f t="shared" si="33"/>
        <v>#VALUE!</v>
      </c>
      <c r="AR113" s="326" t="str">
        <f t="shared" si="565"/>
        <v/>
      </c>
      <c r="AS113" s="333">
        <f t="shared" si="566"/>
        <v>252343.12</v>
      </c>
      <c r="AT113" s="123" t="str">
        <f t="shared" si="527"/>
        <v/>
      </c>
      <c r="AU113" s="123" t="e">
        <f t="shared" si="36"/>
        <v>#VALUE!</v>
      </c>
      <c r="AV113" s="123" t="str">
        <f t="shared" si="567"/>
        <v/>
      </c>
      <c r="AW113" s="125">
        <f t="shared" si="568"/>
        <v>89313.5</v>
      </c>
      <c r="AX113" s="122" t="e">
        <f t="shared" ref="AX113:AZ113" si="643">SUM(AU113,AQ113,AM113)</f>
        <v>#VALUE!</v>
      </c>
      <c r="AY113" s="326">
        <f t="shared" si="643"/>
        <v>0</v>
      </c>
      <c r="AZ113" s="332">
        <f t="shared" si="643"/>
        <v>640759.91999999993</v>
      </c>
      <c r="BA113" s="140" t="e">
        <f t="shared" ref="BA113:BC113" si="644">SUM(AX113,AG113)</f>
        <v>#VALUE!</v>
      </c>
      <c r="BB113" s="326" t="e">
        <f t="shared" si="644"/>
        <v>#VALUE!</v>
      </c>
      <c r="BC113" s="435">
        <f t="shared" si="644"/>
        <v>767850.10999999987</v>
      </c>
      <c r="BD113" s="125" t="str">
        <f t="shared" si="571"/>
        <v/>
      </c>
      <c r="BE113" s="1166" t="e">
        <f t="shared" si="42"/>
        <v>#VALUE!</v>
      </c>
      <c r="BF113" s="116" t="str">
        <f t="shared" si="572"/>
        <v/>
      </c>
      <c r="BG113" s="121">
        <f t="shared" si="573"/>
        <v>0</v>
      </c>
      <c r="BH113" s="114" t="str">
        <f t="shared" si="574"/>
        <v/>
      </c>
      <c r="BI113" s="416" t="e">
        <f t="shared" si="46"/>
        <v>#VALUE!</v>
      </c>
      <c r="BJ113" s="121" t="str">
        <f t="shared" si="575"/>
        <v/>
      </c>
      <c r="BK113" s="121">
        <f t="shared" si="576"/>
        <v>367574.77</v>
      </c>
      <c r="BL113" s="121" t="str">
        <f t="shared" si="577"/>
        <v/>
      </c>
      <c r="BM113" s="113" t="e">
        <f t="shared" si="50"/>
        <v>#VALUE!</v>
      </c>
      <c r="BN113" s="116" t="str">
        <f t="shared" si="578"/>
        <v/>
      </c>
      <c r="BO113" s="117">
        <f t="shared" si="579"/>
        <v>0</v>
      </c>
      <c r="BP113" s="113">
        <f t="shared" si="53"/>
        <v>367574.77</v>
      </c>
      <c r="BQ113" s="116">
        <f t="shared" ref="BQ113:BR113" si="645">SUM(BN113,BJ113,BF113)</f>
        <v>0</v>
      </c>
      <c r="BR113" s="117">
        <f t="shared" si="645"/>
        <v>367574.77</v>
      </c>
      <c r="BS113" s="125" t="str">
        <f t="shared" si="581"/>
        <v/>
      </c>
      <c r="BT113" s="140" t="e">
        <f t="shared" si="56"/>
        <v>#VALUE!</v>
      </c>
      <c r="BU113" s="123" t="str">
        <f t="shared" si="582"/>
        <v/>
      </c>
      <c r="BV113" s="148">
        <f t="shared" si="583"/>
        <v>384734.21</v>
      </c>
      <c r="BW113" s="123" t="str">
        <f t="shared" si="584"/>
        <v/>
      </c>
      <c r="BX113" s="326" t="str">
        <f t="shared" si="585"/>
        <v/>
      </c>
    </row>
    <row r="114" spans="1:111" ht="13">
      <c r="A114" s="420">
        <f t="shared" si="547"/>
        <v>112012852</v>
      </c>
      <c r="B114" s="93">
        <f t="shared" si="548"/>
        <v>1</v>
      </c>
      <c r="C114" s="558" t="str">
        <f t="shared" si="549"/>
        <v>Lista</v>
      </c>
      <c r="D114" s="558">
        <f t="shared" si="550"/>
        <v>0.09</v>
      </c>
      <c r="E114" s="559">
        <f t="shared" si="551"/>
        <v>0</v>
      </c>
      <c r="F114" s="547">
        <f t="shared" si="552"/>
        <v>71</v>
      </c>
      <c r="G114" s="699" t="str">
        <f t="shared" si="553"/>
        <v>Lista</v>
      </c>
      <c r="H114" s="702">
        <f t="shared" si="554"/>
        <v>0.05</v>
      </c>
      <c r="I114" s="423" t="s">
        <v>1374</v>
      </c>
      <c r="J114" s="326">
        <f t="shared" si="514"/>
        <v>0</v>
      </c>
      <c r="K114" s="332">
        <f t="shared" si="515"/>
        <v>0</v>
      </c>
      <c r="L114" s="140" t="e">
        <f t="shared" si="8"/>
        <v>#VALUE!</v>
      </c>
      <c r="M114" s="326" t="str">
        <f t="shared" si="555"/>
        <v/>
      </c>
      <c r="N114" s="333">
        <f t="shared" si="556"/>
        <v>97476.19</v>
      </c>
      <c r="O114" s="123">
        <f t="shared" si="516"/>
        <v>97476.19</v>
      </c>
      <c r="P114" s="137" t="e">
        <f t="shared" si="517"/>
        <v>#DIV/0!</v>
      </c>
      <c r="Q114" s="326">
        <f t="shared" si="518"/>
        <v>134782.1</v>
      </c>
      <c r="R114" s="326">
        <f t="shared" si="519"/>
        <v>244053.3180225</v>
      </c>
      <c r="S114" s="116" t="e">
        <f t="shared" si="14"/>
        <v>#VALUE!</v>
      </c>
      <c r="T114" s="326" t="str">
        <f t="shared" si="557"/>
        <v/>
      </c>
      <c r="U114" s="326">
        <f t="shared" si="558"/>
        <v>0</v>
      </c>
      <c r="V114" s="326">
        <f t="shared" si="520"/>
        <v>-244053.3180225</v>
      </c>
      <c r="W114" s="137">
        <f t="shared" si="521"/>
        <v>0</v>
      </c>
      <c r="X114" s="326">
        <f t="shared" si="522"/>
        <v>0</v>
      </c>
      <c r="Y114" s="332">
        <f t="shared" si="523"/>
        <v>0</v>
      </c>
      <c r="Z114" s="113" t="e">
        <f t="shared" si="20"/>
        <v>#VALUE!</v>
      </c>
      <c r="AA114" s="116" t="str">
        <f t="shared" si="559"/>
        <v/>
      </c>
      <c r="AB114" s="117">
        <f t="shared" si="560"/>
        <v>92368.61</v>
      </c>
      <c r="AC114" s="123"/>
      <c r="AD114" s="326"/>
      <c r="AE114" s="1257">
        <f t="shared" si="524"/>
        <v>244053.3180225</v>
      </c>
      <c r="AF114" s="140">
        <f t="shared" si="561"/>
        <v>98356.25</v>
      </c>
      <c r="AG114" s="326" t="e">
        <f t="shared" si="25"/>
        <v>#VALUE!</v>
      </c>
      <c r="AH114" s="326" t="e">
        <f t="shared" ref="AH114:AI114" si="646">AA114+T114+M114</f>
        <v>#VALUE!</v>
      </c>
      <c r="AI114" s="326">
        <f t="shared" si="646"/>
        <v>189844.8</v>
      </c>
      <c r="AJ114" s="326">
        <f t="shared" si="27"/>
        <v>91488.549999999988</v>
      </c>
      <c r="AK114" s="1258">
        <f t="shared" si="28"/>
        <v>1.9301752557666645</v>
      </c>
      <c r="AL114" s="125">
        <f t="shared" si="526"/>
        <v>0</v>
      </c>
      <c r="AM114" s="140" t="e">
        <f t="shared" si="30"/>
        <v>#VALUE!</v>
      </c>
      <c r="AN114" s="123" t="str">
        <f t="shared" si="563"/>
        <v/>
      </c>
      <c r="AO114" s="148">
        <f t="shared" si="564"/>
        <v>0</v>
      </c>
      <c r="AP114" s="125">
        <f t="shared" si="481"/>
        <v>38563.19</v>
      </c>
      <c r="AQ114" s="140" t="e">
        <f t="shared" si="33"/>
        <v>#VALUE!</v>
      </c>
      <c r="AR114" s="326" t="str">
        <f t="shared" si="565"/>
        <v/>
      </c>
      <c r="AS114" s="333">
        <f t="shared" si="566"/>
        <v>114571.85</v>
      </c>
      <c r="AT114" s="123">
        <f t="shared" si="527"/>
        <v>0</v>
      </c>
      <c r="AU114" s="123" t="e">
        <f t="shared" si="36"/>
        <v>#VALUE!</v>
      </c>
      <c r="AV114" s="123" t="str">
        <f t="shared" si="567"/>
        <v/>
      </c>
      <c r="AW114" s="125">
        <f t="shared" si="568"/>
        <v>0</v>
      </c>
      <c r="AX114" s="122" t="e">
        <f t="shared" ref="AX114:AZ114" si="647">SUM(AU114,AQ114,AM114)</f>
        <v>#VALUE!</v>
      </c>
      <c r="AY114" s="326">
        <f t="shared" si="647"/>
        <v>0</v>
      </c>
      <c r="AZ114" s="332">
        <f t="shared" si="647"/>
        <v>114571.85</v>
      </c>
      <c r="BA114" s="140" t="e">
        <f t="shared" ref="BA114:BC114" si="648">SUM(AX114,AG114)</f>
        <v>#VALUE!</v>
      </c>
      <c r="BB114" s="326" t="e">
        <f t="shared" si="648"/>
        <v>#VALUE!</v>
      </c>
      <c r="BC114" s="435">
        <f t="shared" si="648"/>
        <v>304416.65000000002</v>
      </c>
      <c r="BD114" s="125">
        <f t="shared" si="571"/>
        <v>132627.54</v>
      </c>
      <c r="BE114" s="1166" t="e">
        <f t="shared" si="42"/>
        <v>#VALUE!</v>
      </c>
      <c r="BF114" s="116" t="str">
        <f t="shared" si="572"/>
        <v/>
      </c>
      <c r="BG114" s="121">
        <f t="shared" si="573"/>
        <v>119712.78</v>
      </c>
      <c r="BH114" s="114">
        <f t="shared" si="574"/>
        <v>21433.84</v>
      </c>
      <c r="BI114" s="416" t="e">
        <f t="shared" si="46"/>
        <v>#VALUE!</v>
      </c>
      <c r="BJ114" s="121" t="str">
        <f t="shared" si="575"/>
        <v/>
      </c>
      <c r="BK114" s="121">
        <f t="shared" si="576"/>
        <v>0</v>
      </c>
      <c r="BL114" s="121">
        <f t="shared" si="577"/>
        <v>0</v>
      </c>
      <c r="BM114" s="113" t="e">
        <f t="shared" si="50"/>
        <v>#VALUE!</v>
      </c>
      <c r="BN114" s="116" t="str">
        <f t="shared" si="578"/>
        <v/>
      </c>
      <c r="BO114" s="117">
        <f t="shared" si="579"/>
        <v>301108.24</v>
      </c>
      <c r="BP114" s="113">
        <f t="shared" si="53"/>
        <v>420821.02</v>
      </c>
      <c r="BQ114" s="116">
        <f t="shared" ref="BQ114:BR114" si="649">SUM(BN114,BJ114,BF114)</f>
        <v>0</v>
      </c>
      <c r="BR114" s="117">
        <f t="shared" si="649"/>
        <v>420821.02</v>
      </c>
      <c r="BS114" s="125">
        <f t="shared" si="581"/>
        <v>0</v>
      </c>
      <c r="BT114" s="140" t="e">
        <f t="shared" si="56"/>
        <v>#VALUE!</v>
      </c>
      <c r="BU114" s="123" t="str">
        <f t="shared" si="582"/>
        <v/>
      </c>
      <c r="BV114" s="148">
        <f t="shared" si="583"/>
        <v>213764.7</v>
      </c>
      <c r="BW114" s="123">
        <f t="shared" si="584"/>
        <v>98356.25</v>
      </c>
      <c r="BX114" s="326">
        <f t="shared" si="585"/>
        <v>0</v>
      </c>
    </row>
    <row r="115" spans="1:111" ht="13">
      <c r="A115" s="420">
        <f t="shared" si="547"/>
        <v>112014039</v>
      </c>
      <c r="B115" s="93">
        <f t="shared" si="548"/>
        <v>1</v>
      </c>
      <c r="C115" s="558" t="str">
        <f t="shared" si="549"/>
        <v>Lista</v>
      </c>
      <c r="D115" s="558">
        <f t="shared" si="550"/>
        <v>0.09</v>
      </c>
      <c r="E115" s="559">
        <f t="shared" si="551"/>
        <v>0</v>
      </c>
      <c r="F115" s="547">
        <f t="shared" si="552"/>
        <v>71</v>
      </c>
      <c r="G115" s="699" t="str">
        <f t="shared" si="553"/>
        <v>Lista</v>
      </c>
      <c r="H115" s="702">
        <f t="shared" si="554"/>
        <v>0.05</v>
      </c>
      <c r="I115" s="423" t="s">
        <v>1375</v>
      </c>
      <c r="J115" s="326">
        <f t="shared" si="514"/>
        <v>0</v>
      </c>
      <c r="K115" s="332">
        <f t="shared" si="515"/>
        <v>0</v>
      </c>
      <c r="L115" s="140" t="e">
        <f t="shared" si="8"/>
        <v>#VALUE!</v>
      </c>
      <c r="M115" s="326" t="str">
        <f t="shared" si="555"/>
        <v/>
      </c>
      <c r="N115" s="333">
        <f t="shared" si="556"/>
        <v>150962.4</v>
      </c>
      <c r="O115" s="123">
        <f t="shared" si="516"/>
        <v>150962.4</v>
      </c>
      <c r="P115" s="137" t="e">
        <f t="shared" si="517"/>
        <v>#DIV/0!</v>
      </c>
      <c r="Q115" s="326">
        <f t="shared" si="518"/>
        <v>71422.289999999994</v>
      </c>
      <c r="R115" s="326">
        <f t="shared" si="519"/>
        <v>129326.12606025</v>
      </c>
      <c r="S115" s="116" t="e">
        <f t="shared" si="14"/>
        <v>#VALUE!</v>
      </c>
      <c r="T115" s="326" t="str">
        <f t="shared" si="557"/>
        <v/>
      </c>
      <c r="U115" s="326">
        <f t="shared" si="558"/>
        <v>67208.28</v>
      </c>
      <c r="V115" s="326">
        <f t="shared" si="520"/>
        <v>-62117.846060249998</v>
      </c>
      <c r="W115" s="137">
        <f t="shared" si="521"/>
        <v>0.51968060938196847</v>
      </c>
      <c r="X115" s="326">
        <f t="shared" si="522"/>
        <v>0</v>
      </c>
      <c r="Y115" s="332">
        <f t="shared" si="523"/>
        <v>0</v>
      </c>
      <c r="Z115" s="113" t="e">
        <f t="shared" si="20"/>
        <v>#VALUE!</v>
      </c>
      <c r="AA115" s="116" t="str">
        <f t="shared" si="559"/>
        <v/>
      </c>
      <c r="AB115" s="117">
        <f t="shared" si="560"/>
        <v>0</v>
      </c>
      <c r="AC115" s="123"/>
      <c r="AD115" s="326"/>
      <c r="AE115" s="1257">
        <f t="shared" si="524"/>
        <v>129326.12606025</v>
      </c>
      <c r="AF115" s="140">
        <f t="shared" si="561"/>
        <v>237118.7</v>
      </c>
      <c r="AG115" s="326" t="e">
        <f t="shared" si="25"/>
        <v>#VALUE!</v>
      </c>
      <c r="AH115" s="326" t="e">
        <f t="shared" ref="AH115:AI115" si="650">AA115+T115+M115</f>
        <v>#VALUE!</v>
      </c>
      <c r="AI115" s="326">
        <f t="shared" si="650"/>
        <v>218170.68</v>
      </c>
      <c r="AJ115" s="326">
        <f t="shared" si="27"/>
        <v>-18948.020000000019</v>
      </c>
      <c r="AK115" s="1258">
        <f t="shared" si="28"/>
        <v>0.92009057067198829</v>
      </c>
      <c r="AL115" s="125">
        <f t="shared" si="526"/>
        <v>0</v>
      </c>
      <c r="AM115" s="140" t="e">
        <f t="shared" si="30"/>
        <v>#VALUE!</v>
      </c>
      <c r="AN115" s="123" t="str">
        <f t="shared" si="563"/>
        <v/>
      </c>
      <c r="AO115" s="148">
        <f t="shared" si="564"/>
        <v>111748.95</v>
      </c>
      <c r="AP115" s="125">
        <f t="shared" si="481"/>
        <v>45849.54</v>
      </c>
      <c r="AQ115" s="140" t="e">
        <f t="shared" si="33"/>
        <v>#VALUE!</v>
      </c>
      <c r="AR115" s="326" t="str">
        <f t="shared" si="565"/>
        <v/>
      </c>
      <c r="AS115" s="333">
        <f t="shared" si="566"/>
        <v>11539.55</v>
      </c>
      <c r="AT115" s="123">
        <f t="shared" si="527"/>
        <v>0</v>
      </c>
      <c r="AU115" s="123" t="e">
        <f t="shared" si="36"/>
        <v>#VALUE!</v>
      </c>
      <c r="AV115" s="123" t="str">
        <f t="shared" si="567"/>
        <v/>
      </c>
      <c r="AW115" s="125">
        <f t="shared" si="568"/>
        <v>30972.1</v>
      </c>
      <c r="AX115" s="122" t="e">
        <f t="shared" ref="AX115:AZ115" si="651">SUM(AU115,AQ115,AM115)</f>
        <v>#VALUE!</v>
      </c>
      <c r="AY115" s="326">
        <f t="shared" si="651"/>
        <v>0</v>
      </c>
      <c r="AZ115" s="332">
        <f t="shared" si="651"/>
        <v>154260.59999999998</v>
      </c>
      <c r="BA115" s="140" t="e">
        <f t="shared" ref="BA115:BC115" si="652">SUM(AX115,AG115)</f>
        <v>#VALUE!</v>
      </c>
      <c r="BB115" s="326" t="e">
        <f t="shared" si="652"/>
        <v>#VALUE!</v>
      </c>
      <c r="BC115" s="435">
        <f t="shared" si="652"/>
        <v>372431.27999999997</v>
      </c>
      <c r="BD115" s="125">
        <f t="shared" si="571"/>
        <v>33361.879999999997</v>
      </c>
      <c r="BE115" s="1166" t="e">
        <f t="shared" si="42"/>
        <v>#VALUE!</v>
      </c>
      <c r="BF115" s="116" t="str">
        <f t="shared" si="572"/>
        <v/>
      </c>
      <c r="BG115" s="121">
        <f t="shared" si="573"/>
        <v>0</v>
      </c>
      <c r="BH115" s="114">
        <f t="shared" si="574"/>
        <v>13701.83</v>
      </c>
      <c r="BI115" s="416" t="e">
        <f t="shared" si="46"/>
        <v>#VALUE!</v>
      </c>
      <c r="BJ115" s="121" t="str">
        <f t="shared" si="575"/>
        <v/>
      </c>
      <c r="BK115" s="121">
        <f t="shared" si="576"/>
        <v>30972.1</v>
      </c>
      <c r="BL115" s="121">
        <f t="shared" si="577"/>
        <v>68575.3</v>
      </c>
      <c r="BM115" s="113" t="e">
        <f t="shared" si="50"/>
        <v>#VALUE!</v>
      </c>
      <c r="BN115" s="116" t="str">
        <f t="shared" si="578"/>
        <v/>
      </c>
      <c r="BO115" s="117">
        <f t="shared" si="579"/>
        <v>0</v>
      </c>
      <c r="BP115" s="113">
        <f t="shared" si="53"/>
        <v>30972.1</v>
      </c>
      <c r="BQ115" s="116">
        <f t="shared" ref="BQ115:BR115" si="653">SUM(BN115,BJ115,BF115)</f>
        <v>0</v>
      </c>
      <c r="BR115" s="117">
        <f t="shared" si="653"/>
        <v>30972.1</v>
      </c>
      <c r="BS115" s="125">
        <f t="shared" si="581"/>
        <v>111260.89</v>
      </c>
      <c r="BT115" s="140" t="e">
        <f t="shared" si="56"/>
        <v>#VALUE!</v>
      </c>
      <c r="BU115" s="123" t="str">
        <f t="shared" si="582"/>
        <v/>
      </c>
      <c r="BV115" s="148">
        <f t="shared" si="583"/>
        <v>0</v>
      </c>
      <c r="BW115" s="123">
        <f t="shared" si="584"/>
        <v>27312.26</v>
      </c>
      <c r="BX115" s="326">
        <f t="shared" si="585"/>
        <v>98545.55</v>
      </c>
    </row>
    <row r="116" spans="1:111" ht="13">
      <c r="A116" s="420">
        <f t="shared" si="547"/>
        <v>112011967</v>
      </c>
      <c r="B116" s="93" t="e">
        <f t="shared" si="548"/>
        <v>#N/A</v>
      </c>
      <c r="C116" s="558" t="str">
        <f t="shared" si="549"/>
        <v/>
      </c>
      <c r="D116" s="558" t="str">
        <f t="shared" si="550"/>
        <v/>
      </c>
      <c r="E116" s="559" t="str">
        <f t="shared" si="551"/>
        <v/>
      </c>
      <c r="F116" s="547">
        <f t="shared" si="552"/>
        <v>71</v>
      </c>
      <c r="G116" s="699" t="str">
        <f t="shared" ref="G116:G123" si="654">IFERROR(VLOOKUP(F116,A458DC1025,2,FALSE),"")</f>
        <v>Lista</v>
      </c>
      <c r="H116" s="702">
        <f t="shared" ref="H116:H123" si="655">IFERROR(VLOOKUP(F116,A458DC1025,3,FALSE),"")</f>
        <v>0.05</v>
      </c>
      <c r="I116" s="423" t="s">
        <v>1376</v>
      </c>
      <c r="J116" s="326" t="str">
        <f t="shared" si="514"/>
        <v/>
      </c>
      <c r="K116" s="332" t="e">
        <f t="shared" si="515"/>
        <v>#VALUE!</v>
      </c>
      <c r="L116" s="140" t="e">
        <f t="shared" si="8"/>
        <v>#VALUE!</v>
      </c>
      <c r="M116" s="326" t="str">
        <f t="shared" si="555"/>
        <v/>
      </c>
      <c r="N116" s="333" t="str">
        <f t="shared" si="556"/>
        <v/>
      </c>
      <c r="O116" s="123" t="e">
        <f t="shared" si="516"/>
        <v>#VALUE!</v>
      </c>
      <c r="P116" s="137" t="e">
        <f t="shared" si="517"/>
        <v>#VALUE!</v>
      </c>
      <c r="Q116" s="326" t="str">
        <f t="shared" si="518"/>
        <v/>
      </c>
      <c r="R116" s="326" t="e">
        <f t="shared" si="519"/>
        <v>#VALUE!</v>
      </c>
      <c r="S116" s="116" t="e">
        <f t="shared" si="14"/>
        <v>#VALUE!</v>
      </c>
      <c r="T116" s="326" t="str">
        <f t="shared" si="557"/>
        <v/>
      </c>
      <c r="U116" s="326" t="str">
        <f t="shared" si="558"/>
        <v/>
      </c>
      <c r="V116" s="326" t="e">
        <f t="shared" si="520"/>
        <v>#VALUE!</v>
      </c>
      <c r="W116" s="137" t="e">
        <f t="shared" si="521"/>
        <v>#VALUE!</v>
      </c>
      <c r="X116" s="326" t="str">
        <f t="shared" si="522"/>
        <v/>
      </c>
      <c r="Y116" s="332" t="e">
        <f t="shared" si="523"/>
        <v>#VALUE!</v>
      </c>
      <c r="Z116" s="113" t="e">
        <f t="shared" si="20"/>
        <v>#VALUE!</v>
      </c>
      <c r="AA116" s="116" t="str">
        <f t="shared" si="559"/>
        <v/>
      </c>
      <c r="AB116" s="117" t="str">
        <f t="shared" si="560"/>
        <v/>
      </c>
      <c r="AC116" s="123"/>
      <c r="AD116" s="326"/>
      <c r="AE116" s="1257" t="e">
        <f t="shared" si="524"/>
        <v>#VALUE!</v>
      </c>
      <c r="AF116" s="140" t="str">
        <f t="shared" si="561"/>
        <v>0</v>
      </c>
      <c r="AG116" s="326" t="e">
        <f t="shared" si="25"/>
        <v>#VALUE!</v>
      </c>
      <c r="AH116" s="326" t="e">
        <f t="shared" ref="AH116:AI116" si="656">AA116+T116+M116</f>
        <v>#VALUE!</v>
      </c>
      <c r="AI116" s="326" t="e">
        <f t="shared" si="656"/>
        <v>#VALUE!</v>
      </c>
      <c r="AJ116" s="326" t="e">
        <f t="shared" si="27"/>
        <v>#VALUE!</v>
      </c>
      <c r="AK116" s="1258" t="str">
        <f t="shared" si="28"/>
        <v/>
      </c>
      <c r="AL116" s="125" t="str">
        <f t="shared" si="526"/>
        <v/>
      </c>
      <c r="AM116" s="140" t="e">
        <f t="shared" si="30"/>
        <v>#VALUE!</v>
      </c>
      <c r="AN116" s="123" t="str">
        <f t="shared" si="563"/>
        <v/>
      </c>
      <c r="AO116" s="148" t="str">
        <f t="shared" si="564"/>
        <v/>
      </c>
      <c r="AP116" s="125" t="str">
        <f t="shared" si="481"/>
        <v/>
      </c>
      <c r="AQ116" s="140" t="e">
        <f t="shared" si="33"/>
        <v>#VALUE!</v>
      </c>
      <c r="AR116" s="326" t="str">
        <f t="shared" si="565"/>
        <v/>
      </c>
      <c r="AS116" s="333" t="str">
        <f t="shared" si="566"/>
        <v/>
      </c>
      <c r="AT116" s="123" t="str">
        <f t="shared" si="527"/>
        <v/>
      </c>
      <c r="AU116" s="123" t="e">
        <f t="shared" si="36"/>
        <v>#VALUE!</v>
      </c>
      <c r="AV116" s="123" t="str">
        <f t="shared" si="567"/>
        <v/>
      </c>
      <c r="AW116" s="125" t="str">
        <f t="shared" si="568"/>
        <v/>
      </c>
      <c r="AX116" s="122" t="e">
        <f t="shared" ref="AX116:AZ116" si="657">SUM(AU116,AQ116,AM116)</f>
        <v>#VALUE!</v>
      </c>
      <c r="AY116" s="326">
        <f t="shared" si="657"/>
        <v>0</v>
      </c>
      <c r="AZ116" s="332">
        <f t="shared" si="657"/>
        <v>0</v>
      </c>
      <c r="BA116" s="140" t="e">
        <f t="shared" ref="BA116:BC116" si="658">SUM(AX116,AG116)</f>
        <v>#VALUE!</v>
      </c>
      <c r="BB116" s="326" t="e">
        <f t="shared" si="658"/>
        <v>#VALUE!</v>
      </c>
      <c r="BC116" s="435" t="e">
        <f t="shared" si="658"/>
        <v>#VALUE!</v>
      </c>
      <c r="BD116" s="125" t="str">
        <f t="shared" si="571"/>
        <v/>
      </c>
      <c r="BE116" s="1166" t="e">
        <f t="shared" si="42"/>
        <v>#VALUE!</v>
      </c>
      <c r="BF116" s="116" t="str">
        <f t="shared" si="572"/>
        <v/>
      </c>
      <c r="BG116" s="121" t="str">
        <f t="shared" si="573"/>
        <v/>
      </c>
      <c r="BH116" s="114" t="str">
        <f t="shared" si="574"/>
        <v/>
      </c>
      <c r="BI116" s="416" t="e">
        <f t="shared" si="46"/>
        <v>#VALUE!</v>
      </c>
      <c r="BJ116" s="121" t="str">
        <f t="shared" si="575"/>
        <v/>
      </c>
      <c r="BK116" s="121" t="str">
        <f t="shared" si="576"/>
        <v/>
      </c>
      <c r="BL116" s="121" t="str">
        <f t="shared" si="577"/>
        <v/>
      </c>
      <c r="BM116" s="113" t="e">
        <f t="shared" si="50"/>
        <v>#VALUE!</v>
      </c>
      <c r="BN116" s="116" t="str">
        <f t="shared" si="578"/>
        <v/>
      </c>
      <c r="BO116" s="117" t="str">
        <f t="shared" si="579"/>
        <v/>
      </c>
      <c r="BP116" s="113">
        <f t="shared" si="53"/>
        <v>0</v>
      </c>
      <c r="BQ116" s="116">
        <f t="shared" ref="BQ116:BR116" si="659">SUM(BN116,BJ116,BF116)</f>
        <v>0</v>
      </c>
      <c r="BR116" s="117">
        <f t="shared" si="659"/>
        <v>0</v>
      </c>
      <c r="BS116" s="125" t="str">
        <f t="shared" si="581"/>
        <v/>
      </c>
      <c r="BT116" s="140" t="e">
        <f t="shared" si="56"/>
        <v>#VALUE!</v>
      </c>
      <c r="BU116" s="123" t="str">
        <f t="shared" si="582"/>
        <v/>
      </c>
      <c r="BV116" s="148" t="str">
        <f t="shared" si="583"/>
        <v/>
      </c>
      <c r="BW116" s="123" t="str">
        <f t="shared" si="584"/>
        <v/>
      </c>
      <c r="BX116" s="326" t="str">
        <f t="shared" si="585"/>
        <v/>
      </c>
    </row>
    <row r="117" spans="1:111" ht="13">
      <c r="A117" s="420">
        <f t="shared" si="547"/>
        <v>112013388</v>
      </c>
      <c r="B117" s="93">
        <f t="shared" si="548"/>
        <v>0</v>
      </c>
      <c r="C117" s="558" t="str">
        <f t="shared" si="549"/>
        <v/>
      </c>
      <c r="D117" s="558" t="str">
        <f t="shared" si="550"/>
        <v/>
      </c>
      <c r="E117" s="559" t="str">
        <f t="shared" si="551"/>
        <v/>
      </c>
      <c r="F117" s="547">
        <f t="shared" si="552"/>
        <v>0</v>
      </c>
      <c r="G117" s="699" t="str">
        <f t="shared" si="654"/>
        <v/>
      </c>
      <c r="H117" s="702" t="str">
        <f t="shared" si="655"/>
        <v/>
      </c>
      <c r="I117" s="423" t="s">
        <v>1377</v>
      </c>
      <c r="J117" s="326"/>
      <c r="K117" s="121"/>
      <c r="L117" s="140" t="e">
        <f t="shared" si="8"/>
        <v>#VALUE!</v>
      </c>
      <c r="M117" s="326" t="str">
        <f t="shared" si="555"/>
        <v/>
      </c>
      <c r="N117" s="333" t="str">
        <f t="shared" si="556"/>
        <v/>
      </c>
      <c r="O117" s="123" t="e">
        <f t="shared" si="516"/>
        <v>#VALUE!</v>
      </c>
      <c r="P117" s="137" t="e">
        <f t="shared" si="517"/>
        <v>#VALUE!</v>
      </c>
      <c r="Q117" s="326" t="str">
        <f t="shared" si="518"/>
        <v/>
      </c>
      <c r="R117" s="116">
        <v>1800000</v>
      </c>
      <c r="S117" s="116" t="e">
        <f t="shared" si="14"/>
        <v>#VALUE!</v>
      </c>
      <c r="T117" s="326" t="str">
        <f t="shared" si="557"/>
        <v/>
      </c>
      <c r="U117" s="326" t="str">
        <f t="shared" si="558"/>
        <v/>
      </c>
      <c r="V117" s="326" t="e">
        <f t="shared" si="520"/>
        <v>#VALUE!</v>
      </c>
      <c r="W117" s="137" t="e">
        <f t="shared" si="521"/>
        <v>#VALUE!</v>
      </c>
      <c r="X117" s="326" t="str">
        <f t="shared" si="522"/>
        <v/>
      </c>
      <c r="Y117" s="121">
        <v>1800000</v>
      </c>
      <c r="Z117" s="113" t="e">
        <f t="shared" si="20"/>
        <v>#VALUE!</v>
      </c>
      <c r="AA117" s="116" t="str">
        <f t="shared" si="559"/>
        <v/>
      </c>
      <c r="AB117" s="117" t="str">
        <f t="shared" si="560"/>
        <v/>
      </c>
      <c r="AC117" s="114"/>
      <c r="AD117" s="116"/>
      <c r="AE117" s="1257">
        <f t="shared" si="524"/>
        <v>3600000</v>
      </c>
      <c r="AF117" s="140" t="str">
        <f t="shared" si="561"/>
        <v>0</v>
      </c>
      <c r="AG117" s="326" t="e">
        <f t="shared" si="25"/>
        <v>#VALUE!</v>
      </c>
      <c r="AH117" s="326" t="e">
        <f t="shared" ref="AH117:AI117" si="660">AA117+T117+M117</f>
        <v>#VALUE!</v>
      </c>
      <c r="AI117" s="326" t="e">
        <f t="shared" si="660"/>
        <v>#VALUE!</v>
      </c>
      <c r="AJ117" s="326" t="e">
        <f t="shared" si="27"/>
        <v>#VALUE!</v>
      </c>
      <c r="AK117" s="1258" t="str">
        <f t="shared" si="28"/>
        <v/>
      </c>
      <c r="AL117" s="125" t="str">
        <f t="shared" si="526"/>
        <v/>
      </c>
      <c r="AM117" s="140" t="e">
        <f t="shared" si="30"/>
        <v>#VALUE!</v>
      </c>
      <c r="AN117" s="123" t="str">
        <f t="shared" si="563"/>
        <v/>
      </c>
      <c r="AO117" s="148" t="str">
        <f t="shared" si="564"/>
        <v/>
      </c>
      <c r="AP117" s="125"/>
      <c r="AQ117" s="140" t="e">
        <f t="shared" si="33"/>
        <v>#VALUE!</v>
      </c>
      <c r="AR117" s="326" t="str">
        <f t="shared" si="565"/>
        <v/>
      </c>
      <c r="AS117" s="333" t="str">
        <f t="shared" si="566"/>
        <v/>
      </c>
      <c r="AT117" s="123"/>
      <c r="AU117" s="123" t="e">
        <f t="shared" si="36"/>
        <v>#VALUE!</v>
      </c>
      <c r="AV117" s="123" t="str">
        <f t="shared" si="567"/>
        <v/>
      </c>
      <c r="AW117" s="125" t="str">
        <f t="shared" si="568"/>
        <v/>
      </c>
      <c r="AX117" s="122" t="e">
        <f t="shared" ref="AX117:AZ117" si="661">SUM(AU117,AQ117,AM117)</f>
        <v>#VALUE!</v>
      </c>
      <c r="AY117" s="326">
        <f t="shared" si="661"/>
        <v>0</v>
      </c>
      <c r="AZ117" s="332">
        <f t="shared" si="661"/>
        <v>0</v>
      </c>
      <c r="BA117" s="140" t="e">
        <f t="shared" ref="BA117:BC117" si="662">SUM(AX117,AG117)</f>
        <v>#VALUE!</v>
      </c>
      <c r="BB117" s="326" t="e">
        <f t="shared" si="662"/>
        <v>#VALUE!</v>
      </c>
      <c r="BC117" s="435" t="e">
        <f t="shared" si="662"/>
        <v>#VALUE!</v>
      </c>
      <c r="BD117" s="125" t="str">
        <f t="shared" si="571"/>
        <v/>
      </c>
      <c r="BE117" s="1166" t="e">
        <f t="shared" si="42"/>
        <v>#VALUE!</v>
      </c>
      <c r="BF117" s="116" t="str">
        <f t="shared" si="572"/>
        <v/>
      </c>
      <c r="BG117" s="121" t="str">
        <f t="shared" si="573"/>
        <v/>
      </c>
      <c r="BH117" s="114" t="str">
        <f t="shared" si="574"/>
        <v/>
      </c>
      <c r="BI117" s="416" t="e">
        <f t="shared" si="46"/>
        <v>#VALUE!</v>
      </c>
      <c r="BJ117" s="121" t="str">
        <f t="shared" si="575"/>
        <v/>
      </c>
      <c r="BK117" s="121" t="str">
        <f t="shared" si="576"/>
        <v/>
      </c>
      <c r="BL117" s="121" t="str">
        <f t="shared" si="577"/>
        <v/>
      </c>
      <c r="BM117" s="113" t="e">
        <f t="shared" si="50"/>
        <v>#VALUE!</v>
      </c>
      <c r="BN117" s="116" t="str">
        <f t="shared" si="578"/>
        <v/>
      </c>
      <c r="BO117" s="117" t="str">
        <f t="shared" si="579"/>
        <v/>
      </c>
      <c r="BP117" s="113">
        <f t="shared" si="53"/>
        <v>0</v>
      </c>
      <c r="BQ117" s="116">
        <f t="shared" ref="BQ117:BR117" si="663">SUM(BN117,BJ117,BF117)</f>
        <v>0</v>
      </c>
      <c r="BR117" s="117">
        <f t="shared" si="663"/>
        <v>0</v>
      </c>
      <c r="BS117" s="125" t="str">
        <f t="shared" si="581"/>
        <v/>
      </c>
      <c r="BT117" s="140" t="e">
        <f t="shared" si="56"/>
        <v>#VALUE!</v>
      </c>
      <c r="BU117" s="123" t="str">
        <f t="shared" si="582"/>
        <v/>
      </c>
      <c r="BV117" s="148" t="str">
        <f t="shared" si="583"/>
        <v/>
      </c>
      <c r="BW117" s="123" t="str">
        <f t="shared" si="584"/>
        <v/>
      </c>
      <c r="BX117" s="326" t="str">
        <f t="shared" si="585"/>
        <v/>
      </c>
    </row>
    <row r="118" spans="1:111" ht="13">
      <c r="A118" s="420">
        <f t="shared" si="547"/>
        <v>112014679</v>
      </c>
      <c r="B118" s="93">
        <f t="shared" si="548"/>
        <v>0</v>
      </c>
      <c r="C118" s="558" t="str">
        <f t="shared" si="549"/>
        <v/>
      </c>
      <c r="D118" s="558" t="str">
        <f t="shared" si="550"/>
        <v/>
      </c>
      <c r="E118" s="559" t="str">
        <f t="shared" si="551"/>
        <v/>
      </c>
      <c r="F118" s="547">
        <f t="shared" si="552"/>
        <v>0</v>
      </c>
      <c r="G118" s="699" t="str">
        <f t="shared" si="654"/>
        <v/>
      </c>
      <c r="H118" s="702" t="str">
        <f t="shared" si="655"/>
        <v/>
      </c>
      <c r="I118" s="943" t="s">
        <v>1378</v>
      </c>
      <c r="J118" s="326"/>
      <c r="K118" s="121"/>
      <c r="L118" s="140" t="e">
        <f t="shared" si="8"/>
        <v>#VALUE!</v>
      </c>
      <c r="M118" s="326" t="str">
        <f t="shared" si="555"/>
        <v/>
      </c>
      <c r="N118" s="333">
        <f t="shared" si="556"/>
        <v>0</v>
      </c>
      <c r="O118" s="123">
        <f t="shared" si="516"/>
        <v>0</v>
      </c>
      <c r="P118" s="137" t="e">
        <f t="shared" si="517"/>
        <v>#DIV/0!</v>
      </c>
      <c r="Q118" s="326" t="str">
        <f t="shared" si="518"/>
        <v/>
      </c>
      <c r="R118" s="116">
        <v>1800000</v>
      </c>
      <c r="S118" s="116" t="e">
        <f t="shared" si="14"/>
        <v>#VALUE!</v>
      </c>
      <c r="T118" s="326" t="str">
        <f t="shared" si="557"/>
        <v/>
      </c>
      <c r="U118" s="326">
        <f t="shared" si="558"/>
        <v>0</v>
      </c>
      <c r="V118" s="326">
        <f t="shared" si="520"/>
        <v>-1800000</v>
      </c>
      <c r="W118" s="137">
        <f t="shared" si="521"/>
        <v>0</v>
      </c>
      <c r="X118" s="326" t="str">
        <f t="shared" si="522"/>
        <v/>
      </c>
      <c r="Y118" s="121">
        <v>1800000</v>
      </c>
      <c r="Z118" s="113" t="e">
        <f t="shared" si="20"/>
        <v>#VALUE!</v>
      </c>
      <c r="AA118" s="116" t="str">
        <f t="shared" si="559"/>
        <v/>
      </c>
      <c r="AB118" s="117">
        <f t="shared" si="560"/>
        <v>0</v>
      </c>
      <c r="AC118" s="114"/>
      <c r="AD118" s="116"/>
      <c r="AE118" s="1257">
        <f t="shared" si="524"/>
        <v>3600000</v>
      </c>
      <c r="AF118" s="140" t="str">
        <f t="shared" si="561"/>
        <v>0</v>
      </c>
      <c r="AG118" s="326" t="e">
        <f t="shared" si="25"/>
        <v>#VALUE!</v>
      </c>
      <c r="AH118" s="326" t="e">
        <f t="shared" ref="AH118:AI118" si="664">AA118+T118+M118</f>
        <v>#VALUE!</v>
      </c>
      <c r="AI118" s="326">
        <f t="shared" si="664"/>
        <v>0</v>
      </c>
      <c r="AJ118" s="326">
        <f t="shared" si="27"/>
        <v>0</v>
      </c>
      <c r="AK118" s="1258" t="str">
        <f t="shared" si="28"/>
        <v/>
      </c>
      <c r="AL118" s="125" t="str">
        <f t="shared" si="526"/>
        <v/>
      </c>
      <c r="AM118" s="140" t="e">
        <f t="shared" si="30"/>
        <v>#VALUE!</v>
      </c>
      <c r="AN118" s="123" t="str">
        <f t="shared" si="563"/>
        <v/>
      </c>
      <c r="AO118" s="148">
        <f t="shared" si="564"/>
        <v>0</v>
      </c>
      <c r="AP118" s="125"/>
      <c r="AQ118" s="140" t="e">
        <f t="shared" si="33"/>
        <v>#VALUE!</v>
      </c>
      <c r="AR118" s="326" t="str">
        <f t="shared" si="565"/>
        <v/>
      </c>
      <c r="AS118" s="333">
        <f t="shared" si="566"/>
        <v>0</v>
      </c>
      <c r="AT118" s="123"/>
      <c r="AU118" s="123" t="e">
        <f t="shared" si="36"/>
        <v>#VALUE!</v>
      </c>
      <c r="AV118" s="123" t="str">
        <f t="shared" si="567"/>
        <v/>
      </c>
      <c r="AW118" s="125">
        <f t="shared" si="568"/>
        <v>4874940</v>
      </c>
      <c r="AX118" s="122" t="e">
        <f t="shared" ref="AX118:AZ118" si="665">SUM(AU118,AQ118,AM118)</f>
        <v>#VALUE!</v>
      </c>
      <c r="AY118" s="326">
        <f t="shared" si="665"/>
        <v>0</v>
      </c>
      <c r="AZ118" s="332">
        <f t="shared" si="665"/>
        <v>4874940</v>
      </c>
      <c r="BA118" s="140" t="e">
        <f t="shared" ref="BA118:BC118" si="666">SUM(AX118,AG118)</f>
        <v>#VALUE!</v>
      </c>
      <c r="BB118" s="326" t="e">
        <f t="shared" si="666"/>
        <v>#VALUE!</v>
      </c>
      <c r="BC118" s="435">
        <f t="shared" si="666"/>
        <v>4874940</v>
      </c>
      <c r="BD118" s="125" t="str">
        <f t="shared" si="571"/>
        <v/>
      </c>
      <c r="BE118" s="1166" t="e">
        <f t="shared" si="42"/>
        <v>#VALUE!</v>
      </c>
      <c r="BF118" s="116" t="str">
        <f t="shared" si="572"/>
        <v/>
      </c>
      <c r="BG118" s="121">
        <f t="shared" si="573"/>
        <v>0</v>
      </c>
      <c r="BH118" s="114" t="str">
        <f t="shared" si="574"/>
        <v/>
      </c>
      <c r="BI118" s="416" t="e">
        <f t="shared" si="46"/>
        <v>#VALUE!</v>
      </c>
      <c r="BJ118" s="121" t="str">
        <f t="shared" si="575"/>
        <v/>
      </c>
      <c r="BK118" s="121">
        <f t="shared" si="576"/>
        <v>0</v>
      </c>
      <c r="BL118" s="121" t="str">
        <f t="shared" si="577"/>
        <v/>
      </c>
      <c r="BM118" s="113" t="e">
        <f t="shared" si="50"/>
        <v>#VALUE!</v>
      </c>
      <c r="BN118" s="116" t="str">
        <f t="shared" si="578"/>
        <v/>
      </c>
      <c r="BO118" s="117">
        <f t="shared" si="579"/>
        <v>0</v>
      </c>
      <c r="BP118" s="113">
        <f t="shared" si="53"/>
        <v>0</v>
      </c>
      <c r="BQ118" s="116">
        <f t="shared" ref="BQ118:BR118" si="667">SUM(BN118,BJ118,BF118)</f>
        <v>0</v>
      </c>
      <c r="BR118" s="117">
        <f t="shared" si="667"/>
        <v>0</v>
      </c>
      <c r="BS118" s="125" t="str">
        <f t="shared" si="581"/>
        <v/>
      </c>
      <c r="BT118" s="140" t="e">
        <f t="shared" si="56"/>
        <v>#VALUE!</v>
      </c>
      <c r="BU118" s="123" t="str">
        <f t="shared" si="582"/>
        <v/>
      </c>
      <c r="BV118" s="148">
        <f t="shared" si="583"/>
        <v>0</v>
      </c>
      <c r="BW118" s="123" t="str">
        <f t="shared" si="584"/>
        <v/>
      </c>
      <c r="BX118" s="326" t="str">
        <f t="shared" si="585"/>
        <v/>
      </c>
    </row>
    <row r="119" spans="1:111" ht="13">
      <c r="A119" s="420">
        <f t="shared" si="547"/>
        <v>112014710</v>
      </c>
      <c r="B119" s="93">
        <f t="shared" si="548"/>
        <v>0</v>
      </c>
      <c r="C119" s="558" t="str">
        <f t="shared" si="549"/>
        <v/>
      </c>
      <c r="D119" s="558" t="str">
        <f t="shared" si="550"/>
        <v/>
      </c>
      <c r="E119" s="559" t="str">
        <f t="shared" si="551"/>
        <v/>
      </c>
      <c r="F119" s="547">
        <f t="shared" si="552"/>
        <v>0</v>
      </c>
      <c r="G119" s="699" t="str">
        <f t="shared" si="654"/>
        <v/>
      </c>
      <c r="H119" s="702" t="str">
        <f t="shared" si="655"/>
        <v/>
      </c>
      <c r="I119" s="943" t="s">
        <v>1379</v>
      </c>
      <c r="J119" s="326"/>
      <c r="K119" s="121"/>
      <c r="L119" s="140" t="e">
        <f t="shared" si="8"/>
        <v>#VALUE!</v>
      </c>
      <c r="M119" s="326" t="str">
        <f t="shared" si="555"/>
        <v/>
      </c>
      <c r="N119" s="333">
        <f t="shared" si="556"/>
        <v>0</v>
      </c>
      <c r="O119" s="123">
        <f t="shared" si="516"/>
        <v>0</v>
      </c>
      <c r="P119" s="137" t="e">
        <f t="shared" si="517"/>
        <v>#DIV/0!</v>
      </c>
      <c r="Q119" s="326" t="str">
        <f t="shared" si="518"/>
        <v/>
      </c>
      <c r="R119" s="116">
        <v>1800000</v>
      </c>
      <c r="S119" s="116" t="e">
        <f t="shared" si="14"/>
        <v>#VALUE!</v>
      </c>
      <c r="T119" s="326" t="str">
        <f t="shared" si="557"/>
        <v/>
      </c>
      <c r="U119" s="326">
        <f t="shared" si="558"/>
        <v>0</v>
      </c>
      <c r="V119" s="326">
        <f t="shared" si="520"/>
        <v>-1800000</v>
      </c>
      <c r="W119" s="137">
        <f t="shared" si="521"/>
        <v>0</v>
      </c>
      <c r="X119" s="326" t="str">
        <f t="shared" si="522"/>
        <v/>
      </c>
      <c r="Y119" s="121">
        <v>1800000</v>
      </c>
      <c r="Z119" s="113" t="e">
        <f t="shared" si="20"/>
        <v>#VALUE!</v>
      </c>
      <c r="AA119" s="116" t="str">
        <f t="shared" si="559"/>
        <v/>
      </c>
      <c r="AB119" s="117">
        <f t="shared" si="560"/>
        <v>0</v>
      </c>
      <c r="AC119" s="114"/>
      <c r="AD119" s="116"/>
      <c r="AE119" s="1257">
        <f t="shared" si="524"/>
        <v>3600000</v>
      </c>
      <c r="AF119" s="140" t="str">
        <f t="shared" si="561"/>
        <v>0</v>
      </c>
      <c r="AG119" s="326" t="e">
        <f t="shared" si="25"/>
        <v>#VALUE!</v>
      </c>
      <c r="AH119" s="326" t="e">
        <f t="shared" ref="AH119:AI119" si="668">AA119+T119+M119</f>
        <v>#VALUE!</v>
      </c>
      <c r="AI119" s="326">
        <f t="shared" si="668"/>
        <v>0</v>
      </c>
      <c r="AJ119" s="326">
        <f t="shared" si="27"/>
        <v>0</v>
      </c>
      <c r="AK119" s="1258" t="str">
        <f t="shared" si="28"/>
        <v/>
      </c>
      <c r="AL119" s="125" t="str">
        <f t="shared" si="526"/>
        <v/>
      </c>
      <c r="AM119" s="140" t="e">
        <f t="shared" si="30"/>
        <v>#VALUE!</v>
      </c>
      <c r="AN119" s="123" t="str">
        <f t="shared" si="563"/>
        <v/>
      </c>
      <c r="AO119" s="148">
        <f t="shared" si="564"/>
        <v>0</v>
      </c>
      <c r="AP119" s="125"/>
      <c r="AQ119" s="140" t="e">
        <f t="shared" si="33"/>
        <v>#VALUE!</v>
      </c>
      <c r="AR119" s="326" t="str">
        <f t="shared" si="565"/>
        <v/>
      </c>
      <c r="AS119" s="333">
        <f t="shared" si="566"/>
        <v>0</v>
      </c>
      <c r="AT119" s="123"/>
      <c r="AU119" s="123" t="e">
        <f t="shared" si="36"/>
        <v>#VALUE!</v>
      </c>
      <c r="AV119" s="123" t="str">
        <f t="shared" si="567"/>
        <v/>
      </c>
      <c r="AW119" s="125">
        <f t="shared" si="568"/>
        <v>0</v>
      </c>
      <c r="AX119" s="122" t="e">
        <f t="shared" ref="AX119:AZ119" si="669">SUM(AU119,AQ119,AM119)</f>
        <v>#VALUE!</v>
      </c>
      <c r="AY119" s="326">
        <f t="shared" si="669"/>
        <v>0</v>
      </c>
      <c r="AZ119" s="332">
        <f t="shared" si="669"/>
        <v>0</v>
      </c>
      <c r="BA119" s="140" t="e">
        <f t="shared" ref="BA119:BC119" si="670">SUM(AX119,AG119)</f>
        <v>#VALUE!</v>
      </c>
      <c r="BB119" s="326" t="e">
        <f t="shared" si="670"/>
        <v>#VALUE!</v>
      </c>
      <c r="BC119" s="435">
        <f t="shared" si="670"/>
        <v>0</v>
      </c>
      <c r="BD119" s="125" t="str">
        <f t="shared" si="571"/>
        <v/>
      </c>
      <c r="BE119" s="1166" t="e">
        <f t="shared" si="42"/>
        <v>#VALUE!</v>
      </c>
      <c r="BF119" s="116" t="str">
        <f t="shared" si="572"/>
        <v/>
      </c>
      <c r="BG119" s="121">
        <f t="shared" si="573"/>
        <v>12352.07</v>
      </c>
      <c r="BH119" s="114" t="str">
        <f t="shared" si="574"/>
        <v/>
      </c>
      <c r="BI119" s="416" t="e">
        <f t="shared" si="46"/>
        <v>#VALUE!</v>
      </c>
      <c r="BJ119" s="121" t="str">
        <f t="shared" si="575"/>
        <v/>
      </c>
      <c r="BK119" s="121">
        <f t="shared" si="576"/>
        <v>0</v>
      </c>
      <c r="BL119" s="121" t="str">
        <f t="shared" si="577"/>
        <v/>
      </c>
      <c r="BM119" s="113" t="e">
        <f t="shared" si="50"/>
        <v>#VALUE!</v>
      </c>
      <c r="BN119" s="116" t="str">
        <f t="shared" si="578"/>
        <v/>
      </c>
      <c r="BO119" s="117">
        <f t="shared" si="579"/>
        <v>0</v>
      </c>
      <c r="BP119" s="113">
        <f t="shared" si="53"/>
        <v>12352.07</v>
      </c>
      <c r="BQ119" s="116">
        <f t="shared" ref="BQ119:BR119" si="671">SUM(BN119,BJ119,BF119)</f>
        <v>0</v>
      </c>
      <c r="BR119" s="117">
        <f t="shared" si="671"/>
        <v>12352.07</v>
      </c>
      <c r="BS119" s="125" t="str">
        <f t="shared" si="581"/>
        <v/>
      </c>
      <c r="BT119" s="140" t="e">
        <f t="shared" si="56"/>
        <v>#VALUE!</v>
      </c>
      <c r="BU119" s="123" t="str">
        <f t="shared" si="582"/>
        <v/>
      </c>
      <c r="BV119" s="148">
        <f t="shared" si="583"/>
        <v>0</v>
      </c>
      <c r="BW119" s="123" t="str">
        <f t="shared" si="584"/>
        <v/>
      </c>
      <c r="BX119" s="326" t="str">
        <f t="shared" si="585"/>
        <v/>
      </c>
    </row>
    <row r="120" spans="1:111" ht="13">
      <c r="A120" s="420">
        <f t="shared" si="547"/>
        <v>112011822</v>
      </c>
      <c r="B120" s="93">
        <f t="shared" si="548"/>
        <v>0</v>
      </c>
      <c r="C120" s="558" t="str">
        <f t="shared" si="549"/>
        <v/>
      </c>
      <c r="D120" s="558" t="str">
        <f t="shared" si="550"/>
        <v/>
      </c>
      <c r="E120" s="559" t="str">
        <f t="shared" si="551"/>
        <v/>
      </c>
      <c r="F120" s="547">
        <f t="shared" si="552"/>
        <v>0</v>
      </c>
      <c r="G120" s="699" t="str">
        <f t="shared" si="654"/>
        <v/>
      </c>
      <c r="H120" s="702" t="str">
        <f t="shared" si="655"/>
        <v/>
      </c>
      <c r="I120" s="423" t="s">
        <v>1380</v>
      </c>
      <c r="J120" s="326">
        <f>IFERROR(VLOOKUP(I120,MONTE24,3,FALSE),"")</f>
        <v>23202.62</v>
      </c>
      <c r="K120" s="332">
        <f t="shared" ref="K120:K123" si="672">(J120*1.601)*1.05</f>
        <v>39004.764350999998</v>
      </c>
      <c r="L120" s="140" t="e">
        <f t="shared" si="8"/>
        <v>#VALUE!</v>
      </c>
      <c r="M120" s="326" t="str">
        <f t="shared" si="555"/>
        <v/>
      </c>
      <c r="N120" s="333">
        <f t="shared" si="556"/>
        <v>0</v>
      </c>
      <c r="O120" s="123">
        <f t="shared" si="516"/>
        <v>-39004.764350999998</v>
      </c>
      <c r="P120" s="137">
        <f t="shared" si="517"/>
        <v>0</v>
      </c>
      <c r="Q120" s="326">
        <f t="shared" si="518"/>
        <v>11833.6</v>
      </c>
      <c r="R120" s="326">
        <f t="shared" ref="R120:R123" si="673">(Q120*1.7245)*1.05</f>
        <v>21427.395360000002</v>
      </c>
      <c r="S120" s="116" t="e">
        <f t="shared" si="14"/>
        <v>#VALUE!</v>
      </c>
      <c r="T120" s="326" t="str">
        <f t="shared" si="557"/>
        <v/>
      </c>
      <c r="U120" s="326">
        <f t="shared" si="558"/>
        <v>0</v>
      </c>
      <c r="V120" s="326">
        <f t="shared" si="520"/>
        <v>-21427.395360000002</v>
      </c>
      <c r="W120" s="137">
        <f t="shared" si="521"/>
        <v>0</v>
      </c>
      <c r="X120" s="326">
        <f t="shared" si="522"/>
        <v>23764.77</v>
      </c>
      <c r="Y120" s="332">
        <f t="shared" ref="Y120:Y123" si="674">(X120*1.5955)*1.05</f>
        <v>39812.525061750006</v>
      </c>
      <c r="Z120" s="113" t="e">
        <f t="shared" si="20"/>
        <v>#VALUE!</v>
      </c>
      <c r="AA120" s="116" t="str">
        <f t="shared" si="559"/>
        <v/>
      </c>
      <c r="AB120" s="117">
        <f t="shared" si="560"/>
        <v>52006</v>
      </c>
      <c r="AC120" s="123"/>
      <c r="AD120" s="326"/>
      <c r="AE120" s="1257">
        <f t="shared" si="524"/>
        <v>100244.68477275001</v>
      </c>
      <c r="AF120" s="140">
        <f t="shared" si="561"/>
        <v>151163.96</v>
      </c>
      <c r="AG120" s="326" t="e">
        <f t="shared" si="25"/>
        <v>#VALUE!</v>
      </c>
      <c r="AH120" s="326" t="e">
        <f t="shared" ref="AH120:AI120" si="675">AA120+T120+M120</f>
        <v>#VALUE!</v>
      </c>
      <c r="AI120" s="326">
        <f t="shared" si="675"/>
        <v>52006</v>
      </c>
      <c r="AJ120" s="326">
        <f t="shared" si="27"/>
        <v>-99157.959999999992</v>
      </c>
      <c r="AK120" s="1258">
        <f t="shared" si="28"/>
        <v>0.34403703104893524</v>
      </c>
      <c r="AL120" s="125">
        <f t="shared" si="526"/>
        <v>0</v>
      </c>
      <c r="AM120" s="140" t="e">
        <f t="shared" si="30"/>
        <v>#VALUE!</v>
      </c>
      <c r="AN120" s="123" t="str">
        <f t="shared" si="563"/>
        <v/>
      </c>
      <c r="AO120" s="148">
        <f t="shared" si="564"/>
        <v>0</v>
      </c>
      <c r="AP120" s="125">
        <f>IFERROR(VLOOKUP(I120,MONTE24,7,FALSE),"")</f>
        <v>18054.27</v>
      </c>
      <c r="AQ120" s="140" t="e">
        <f t="shared" si="33"/>
        <v>#VALUE!</v>
      </c>
      <c r="AR120" s="326" t="str">
        <f t="shared" si="565"/>
        <v/>
      </c>
      <c r="AS120" s="333">
        <f t="shared" si="566"/>
        <v>19055.04</v>
      </c>
      <c r="AT120" s="123">
        <f>IFERROR(VLOOKUP(I120,MONTE24,8,FALSE),"")</f>
        <v>67414.06</v>
      </c>
      <c r="AU120" s="123" t="e">
        <f t="shared" si="36"/>
        <v>#VALUE!</v>
      </c>
      <c r="AV120" s="123" t="str">
        <f t="shared" si="567"/>
        <v/>
      </c>
      <c r="AW120" s="125">
        <f t="shared" si="568"/>
        <v>0</v>
      </c>
      <c r="AX120" s="122" t="e">
        <f t="shared" ref="AX120:AZ120" si="676">SUM(AU120,AQ120,AM120)</f>
        <v>#VALUE!</v>
      </c>
      <c r="AY120" s="326">
        <f t="shared" si="676"/>
        <v>0</v>
      </c>
      <c r="AZ120" s="332">
        <f t="shared" si="676"/>
        <v>19055.04</v>
      </c>
      <c r="BA120" s="140" t="e">
        <f t="shared" ref="BA120:BC120" si="677">SUM(AX120,AG120)</f>
        <v>#VALUE!</v>
      </c>
      <c r="BB120" s="326" t="e">
        <f t="shared" si="677"/>
        <v>#VALUE!</v>
      </c>
      <c r="BC120" s="435">
        <f t="shared" si="677"/>
        <v>71061.040000000008</v>
      </c>
      <c r="BD120" s="125">
        <f t="shared" si="571"/>
        <v>145998.5</v>
      </c>
      <c r="BE120" s="1166" t="e">
        <f t="shared" si="42"/>
        <v>#VALUE!</v>
      </c>
      <c r="BF120" s="116" t="str">
        <f t="shared" si="572"/>
        <v/>
      </c>
      <c r="BG120" s="121">
        <f t="shared" si="573"/>
        <v>0</v>
      </c>
      <c r="BH120" s="114">
        <f t="shared" si="574"/>
        <v>67189.02</v>
      </c>
      <c r="BI120" s="416" t="e">
        <f t="shared" si="46"/>
        <v>#VALUE!</v>
      </c>
      <c r="BJ120" s="121" t="str">
        <f t="shared" si="575"/>
        <v/>
      </c>
      <c r="BK120" s="121">
        <f t="shared" si="576"/>
        <v>0</v>
      </c>
      <c r="BL120" s="121">
        <f t="shared" si="577"/>
        <v>80889.990000000005</v>
      </c>
      <c r="BM120" s="113" t="e">
        <f t="shared" si="50"/>
        <v>#VALUE!</v>
      </c>
      <c r="BN120" s="116" t="str">
        <f t="shared" si="578"/>
        <v/>
      </c>
      <c r="BO120" s="117">
        <f t="shared" si="579"/>
        <v>0</v>
      </c>
      <c r="BP120" s="113">
        <f t="shared" si="53"/>
        <v>0</v>
      </c>
      <c r="BQ120" s="116">
        <f t="shared" ref="BQ120:BR120" si="678">SUM(BN120,BJ120,BF120)</f>
        <v>0</v>
      </c>
      <c r="BR120" s="117">
        <f t="shared" si="678"/>
        <v>0</v>
      </c>
      <c r="BS120" s="125">
        <f t="shared" si="581"/>
        <v>128526.19</v>
      </c>
      <c r="BT120" s="140" t="e">
        <f t="shared" si="56"/>
        <v>#VALUE!</v>
      </c>
      <c r="BU120" s="123" t="str">
        <f t="shared" si="582"/>
        <v/>
      </c>
      <c r="BV120" s="148">
        <f t="shared" si="583"/>
        <v>0</v>
      </c>
      <c r="BW120" s="123">
        <f t="shared" si="584"/>
        <v>22637.77</v>
      </c>
      <c r="BX120" s="326">
        <f t="shared" si="585"/>
        <v>0</v>
      </c>
    </row>
    <row r="121" spans="1:111" ht="13">
      <c r="A121" s="420">
        <f t="shared" si="547"/>
        <v>112013840</v>
      </c>
      <c r="B121" s="93">
        <f t="shared" si="548"/>
        <v>0</v>
      </c>
      <c r="C121" s="558" t="str">
        <f t="shared" si="549"/>
        <v/>
      </c>
      <c r="D121" s="558" t="str">
        <f t="shared" si="550"/>
        <v/>
      </c>
      <c r="E121" s="559" t="str">
        <f t="shared" si="551"/>
        <v/>
      </c>
      <c r="F121" s="547">
        <f t="shared" si="552"/>
        <v>0</v>
      </c>
      <c r="G121" s="699" t="str">
        <f t="shared" si="654"/>
        <v/>
      </c>
      <c r="H121" s="702" t="str">
        <f t="shared" si="655"/>
        <v/>
      </c>
      <c r="I121" s="423" t="s">
        <v>1381</v>
      </c>
      <c r="J121" s="326" t="str">
        <f>IFERROR(VLOOKUP(I121,MONTE24,3,FALSE),"")</f>
        <v/>
      </c>
      <c r="K121" s="332" t="e">
        <f t="shared" si="672"/>
        <v>#VALUE!</v>
      </c>
      <c r="L121" s="140" t="e">
        <f t="shared" si="8"/>
        <v>#VALUE!</v>
      </c>
      <c r="M121" s="326" t="str">
        <f t="shared" si="555"/>
        <v/>
      </c>
      <c r="N121" s="333" t="str">
        <f t="shared" si="556"/>
        <v/>
      </c>
      <c r="O121" s="123" t="e">
        <f t="shared" si="516"/>
        <v>#VALUE!</v>
      </c>
      <c r="P121" s="137" t="e">
        <f t="shared" si="517"/>
        <v>#VALUE!</v>
      </c>
      <c r="Q121" s="326" t="str">
        <f t="shared" si="518"/>
        <v/>
      </c>
      <c r="R121" s="326" t="e">
        <f t="shared" si="673"/>
        <v>#VALUE!</v>
      </c>
      <c r="S121" s="116" t="e">
        <f t="shared" si="14"/>
        <v>#VALUE!</v>
      </c>
      <c r="T121" s="326" t="str">
        <f t="shared" si="557"/>
        <v/>
      </c>
      <c r="U121" s="326" t="str">
        <f t="shared" si="558"/>
        <v/>
      </c>
      <c r="V121" s="326" t="e">
        <f t="shared" si="520"/>
        <v>#VALUE!</v>
      </c>
      <c r="W121" s="137" t="e">
        <f t="shared" si="521"/>
        <v>#VALUE!</v>
      </c>
      <c r="X121" s="326" t="str">
        <f t="shared" si="522"/>
        <v/>
      </c>
      <c r="Y121" s="332" t="e">
        <f t="shared" si="674"/>
        <v>#VALUE!</v>
      </c>
      <c r="Z121" s="113" t="e">
        <f t="shared" si="20"/>
        <v>#VALUE!</v>
      </c>
      <c r="AA121" s="116" t="str">
        <f t="shared" si="559"/>
        <v/>
      </c>
      <c r="AB121" s="117" t="str">
        <f t="shared" si="560"/>
        <v/>
      </c>
      <c r="AC121" s="123"/>
      <c r="AD121" s="326"/>
      <c r="AE121" s="1257" t="e">
        <f t="shared" si="524"/>
        <v>#VALUE!</v>
      </c>
      <c r="AF121" s="140" t="str">
        <f t="shared" si="561"/>
        <v>0</v>
      </c>
      <c r="AG121" s="326" t="e">
        <f t="shared" si="25"/>
        <v>#VALUE!</v>
      </c>
      <c r="AH121" s="326" t="e">
        <f t="shared" ref="AH121:AI121" si="679">AA121+T121+M121</f>
        <v>#VALUE!</v>
      </c>
      <c r="AI121" s="326" t="e">
        <f t="shared" si="679"/>
        <v>#VALUE!</v>
      </c>
      <c r="AJ121" s="326" t="e">
        <f t="shared" si="27"/>
        <v>#VALUE!</v>
      </c>
      <c r="AK121" s="1258" t="str">
        <f t="shared" si="28"/>
        <v/>
      </c>
      <c r="AL121" s="125" t="str">
        <f t="shared" si="526"/>
        <v/>
      </c>
      <c r="AM121" s="140" t="e">
        <f t="shared" si="30"/>
        <v>#VALUE!</v>
      </c>
      <c r="AN121" s="123" t="str">
        <f t="shared" si="563"/>
        <v/>
      </c>
      <c r="AO121" s="148" t="str">
        <f t="shared" si="564"/>
        <v/>
      </c>
      <c r="AP121" s="125" t="str">
        <f>IFERROR(VLOOKUP(I121,MONTE24,7,FALSE),"")</f>
        <v/>
      </c>
      <c r="AQ121" s="140" t="e">
        <f t="shared" si="33"/>
        <v>#VALUE!</v>
      </c>
      <c r="AR121" s="326" t="str">
        <f t="shared" si="565"/>
        <v/>
      </c>
      <c r="AS121" s="333" t="str">
        <f t="shared" si="566"/>
        <v/>
      </c>
      <c r="AT121" s="123" t="str">
        <f>IFERROR(VLOOKUP(I121,MONTE24,8,FALSE),"")</f>
        <v/>
      </c>
      <c r="AU121" s="123" t="e">
        <f t="shared" si="36"/>
        <v>#VALUE!</v>
      </c>
      <c r="AV121" s="123" t="str">
        <f t="shared" si="567"/>
        <v/>
      </c>
      <c r="AW121" s="125" t="str">
        <f t="shared" si="568"/>
        <v/>
      </c>
      <c r="AX121" s="122" t="e">
        <f t="shared" ref="AX121:AZ121" si="680">SUM(AU121,AQ121,AM121)</f>
        <v>#VALUE!</v>
      </c>
      <c r="AY121" s="326">
        <f t="shared" si="680"/>
        <v>0</v>
      </c>
      <c r="AZ121" s="332">
        <f t="shared" si="680"/>
        <v>0</v>
      </c>
      <c r="BA121" s="140" t="e">
        <f t="shared" ref="BA121:BC121" si="681">SUM(AX121,AG121)</f>
        <v>#VALUE!</v>
      </c>
      <c r="BB121" s="326" t="e">
        <f t="shared" si="681"/>
        <v>#VALUE!</v>
      </c>
      <c r="BC121" s="435" t="e">
        <f t="shared" si="681"/>
        <v>#VALUE!</v>
      </c>
      <c r="BD121" s="125" t="str">
        <f t="shared" si="571"/>
        <v/>
      </c>
      <c r="BE121" s="1166" t="e">
        <f t="shared" si="42"/>
        <v>#VALUE!</v>
      </c>
      <c r="BF121" s="116" t="str">
        <f t="shared" si="572"/>
        <v/>
      </c>
      <c r="BG121" s="121" t="str">
        <f t="shared" si="573"/>
        <v/>
      </c>
      <c r="BH121" s="114" t="str">
        <f t="shared" si="574"/>
        <v/>
      </c>
      <c r="BI121" s="416" t="e">
        <f t="shared" si="46"/>
        <v>#VALUE!</v>
      </c>
      <c r="BJ121" s="121" t="str">
        <f t="shared" si="575"/>
        <v/>
      </c>
      <c r="BK121" s="121" t="str">
        <f t="shared" si="576"/>
        <v/>
      </c>
      <c r="BL121" s="121" t="str">
        <f t="shared" si="577"/>
        <v/>
      </c>
      <c r="BM121" s="113" t="e">
        <f t="shared" si="50"/>
        <v>#VALUE!</v>
      </c>
      <c r="BN121" s="116" t="str">
        <f t="shared" si="578"/>
        <v/>
      </c>
      <c r="BO121" s="117" t="str">
        <f t="shared" si="579"/>
        <v/>
      </c>
      <c r="BP121" s="113">
        <f t="shared" si="53"/>
        <v>0</v>
      </c>
      <c r="BQ121" s="116">
        <f t="shared" ref="BQ121:BR121" si="682">SUM(BN121,BJ121,BF121)</f>
        <v>0</v>
      </c>
      <c r="BR121" s="117">
        <f t="shared" si="682"/>
        <v>0</v>
      </c>
      <c r="BS121" s="125" t="str">
        <f t="shared" si="581"/>
        <v/>
      </c>
      <c r="BT121" s="140" t="e">
        <f t="shared" si="56"/>
        <v>#VALUE!</v>
      </c>
      <c r="BU121" s="123" t="str">
        <f t="shared" si="582"/>
        <v/>
      </c>
      <c r="BV121" s="148" t="str">
        <f t="shared" si="583"/>
        <v/>
      </c>
      <c r="BW121" s="123" t="str">
        <f t="shared" si="584"/>
        <v/>
      </c>
      <c r="BX121" s="326" t="str">
        <f t="shared" si="585"/>
        <v/>
      </c>
    </row>
    <row r="122" spans="1:111" ht="13">
      <c r="A122" s="420">
        <f t="shared" si="547"/>
        <v>112014135</v>
      </c>
      <c r="B122" s="93">
        <f t="shared" si="548"/>
        <v>0</v>
      </c>
      <c r="C122" s="558" t="str">
        <f t="shared" si="549"/>
        <v/>
      </c>
      <c r="D122" s="558" t="str">
        <f t="shared" si="550"/>
        <v/>
      </c>
      <c r="E122" s="559" t="str">
        <f t="shared" si="551"/>
        <v/>
      </c>
      <c r="F122" s="547">
        <f t="shared" si="552"/>
        <v>0</v>
      </c>
      <c r="G122" s="699" t="str">
        <f t="shared" si="654"/>
        <v/>
      </c>
      <c r="H122" s="702" t="str">
        <f t="shared" si="655"/>
        <v/>
      </c>
      <c r="I122" s="423" t="s">
        <v>1382</v>
      </c>
      <c r="J122" s="326">
        <f>IFERROR(VLOOKUP(I122,MONTE24,3,FALSE),"")</f>
        <v>5051.6499999999996</v>
      </c>
      <c r="K122" s="332">
        <f t="shared" si="672"/>
        <v>8492.0762324999996</v>
      </c>
      <c r="L122" s="140" t="e">
        <f t="shared" si="8"/>
        <v>#VALUE!</v>
      </c>
      <c r="M122" s="326" t="str">
        <f t="shared" si="555"/>
        <v/>
      </c>
      <c r="N122" s="333">
        <f t="shared" si="556"/>
        <v>-782680.1</v>
      </c>
      <c r="O122" s="123">
        <f t="shared" si="516"/>
        <v>-791172.1762325</v>
      </c>
      <c r="P122" s="137">
        <f t="shared" si="517"/>
        <v>-92.165929576162696</v>
      </c>
      <c r="Q122" s="326">
        <f t="shared" si="518"/>
        <v>850759.84</v>
      </c>
      <c r="R122" s="326">
        <f t="shared" si="673"/>
        <v>1540492.1112840001</v>
      </c>
      <c r="S122" s="116" t="e">
        <f t="shared" si="14"/>
        <v>#VALUE!</v>
      </c>
      <c r="T122" s="326" t="str">
        <f t="shared" si="557"/>
        <v/>
      </c>
      <c r="U122" s="326">
        <f t="shared" si="558"/>
        <v>-20338.32</v>
      </c>
      <c r="V122" s="326">
        <f t="shared" si="520"/>
        <v>-1560830.4312840002</v>
      </c>
      <c r="W122" s="137">
        <f t="shared" si="521"/>
        <v>-1.3202482408720686E-2</v>
      </c>
      <c r="X122" s="326">
        <f t="shared" si="522"/>
        <v>0</v>
      </c>
      <c r="Y122" s="332">
        <f t="shared" si="674"/>
        <v>0</v>
      </c>
      <c r="Z122" s="113" t="e">
        <f t="shared" si="20"/>
        <v>#VALUE!</v>
      </c>
      <c r="AA122" s="116" t="str">
        <f t="shared" si="559"/>
        <v/>
      </c>
      <c r="AB122" s="117">
        <f t="shared" si="560"/>
        <v>0</v>
      </c>
      <c r="AC122" s="123"/>
      <c r="AD122" s="326"/>
      <c r="AE122" s="1257">
        <f t="shared" si="524"/>
        <v>1548984.1875165</v>
      </c>
      <c r="AF122" s="140">
        <f t="shared" si="561"/>
        <v>2005249.59</v>
      </c>
      <c r="AG122" s="326" t="e">
        <f t="shared" si="25"/>
        <v>#VALUE!</v>
      </c>
      <c r="AH122" s="326" t="e">
        <f t="shared" ref="AH122:AI122" si="683">AA122+T122+M122</f>
        <v>#VALUE!</v>
      </c>
      <c r="AI122" s="326">
        <f t="shared" si="683"/>
        <v>-803018.41999999993</v>
      </c>
      <c r="AJ122" s="326">
        <f t="shared" si="27"/>
        <v>-2808268.01</v>
      </c>
      <c r="AK122" s="1258">
        <f t="shared" si="28"/>
        <v>-0.40045808960868551</v>
      </c>
      <c r="AL122" s="125">
        <f t="shared" si="526"/>
        <v>1118080.3600000001</v>
      </c>
      <c r="AM122" s="140" t="e">
        <f t="shared" si="30"/>
        <v>#VALUE!</v>
      </c>
      <c r="AN122" s="123" t="str">
        <f t="shared" si="563"/>
        <v/>
      </c>
      <c r="AO122" s="148">
        <f t="shared" si="564"/>
        <v>0</v>
      </c>
      <c r="AP122" s="125">
        <f>IFERROR(VLOOKUP(I122,MONTE24,7,FALSE),"")</f>
        <v>0</v>
      </c>
      <c r="AQ122" s="140" t="e">
        <f t="shared" si="33"/>
        <v>#VALUE!</v>
      </c>
      <c r="AR122" s="326" t="str">
        <f t="shared" si="565"/>
        <v/>
      </c>
      <c r="AS122" s="333">
        <f t="shared" si="566"/>
        <v>0</v>
      </c>
      <c r="AT122" s="123">
        <f>IFERROR(VLOOKUP(I122,MONTE24,8,FALSE),"")</f>
        <v>55428.7</v>
      </c>
      <c r="AU122" s="123" t="e">
        <f t="shared" si="36"/>
        <v>#VALUE!</v>
      </c>
      <c r="AV122" s="123" t="str">
        <f t="shared" si="567"/>
        <v/>
      </c>
      <c r="AW122" s="125">
        <f t="shared" si="568"/>
        <v>0</v>
      </c>
      <c r="AX122" s="122" t="e">
        <f t="shared" ref="AX122:AZ122" si="684">SUM(AU122,AQ122,AM122)</f>
        <v>#VALUE!</v>
      </c>
      <c r="AY122" s="326">
        <f t="shared" si="684"/>
        <v>0</v>
      </c>
      <c r="AZ122" s="332">
        <f t="shared" si="684"/>
        <v>0</v>
      </c>
      <c r="BA122" s="140" t="e">
        <f t="shared" ref="BA122:BC122" si="685">SUM(AX122,AG122)</f>
        <v>#VALUE!</v>
      </c>
      <c r="BB122" s="326" t="e">
        <f t="shared" si="685"/>
        <v>#VALUE!</v>
      </c>
      <c r="BC122" s="435">
        <f t="shared" si="685"/>
        <v>-803018.41999999993</v>
      </c>
      <c r="BD122" s="125">
        <f t="shared" si="571"/>
        <v>328776.95</v>
      </c>
      <c r="BE122" s="1166" t="e">
        <f t="shared" si="42"/>
        <v>#VALUE!</v>
      </c>
      <c r="BF122" s="116" t="str">
        <f t="shared" si="572"/>
        <v/>
      </c>
      <c r="BG122" s="121">
        <f t="shared" si="573"/>
        <v>0</v>
      </c>
      <c r="BH122" s="114">
        <f t="shared" si="574"/>
        <v>1137995.8500000001</v>
      </c>
      <c r="BI122" s="416" t="e">
        <f t="shared" si="46"/>
        <v>#VALUE!</v>
      </c>
      <c r="BJ122" s="121" t="str">
        <f t="shared" si="575"/>
        <v/>
      </c>
      <c r="BK122" s="121">
        <f t="shared" si="576"/>
        <v>0</v>
      </c>
      <c r="BL122" s="121">
        <f t="shared" si="577"/>
        <v>0</v>
      </c>
      <c r="BM122" s="113" t="e">
        <f t="shared" si="50"/>
        <v>#VALUE!</v>
      </c>
      <c r="BN122" s="116" t="str">
        <f t="shared" si="578"/>
        <v/>
      </c>
      <c r="BO122" s="117">
        <f t="shared" si="579"/>
        <v>0</v>
      </c>
      <c r="BP122" s="113">
        <f t="shared" si="53"/>
        <v>0</v>
      </c>
      <c r="BQ122" s="116">
        <f t="shared" ref="BQ122:BR122" si="686">SUM(BN122,BJ122,BF122)</f>
        <v>0</v>
      </c>
      <c r="BR122" s="117">
        <f t="shared" si="686"/>
        <v>0</v>
      </c>
      <c r="BS122" s="125">
        <f t="shared" si="581"/>
        <v>0</v>
      </c>
      <c r="BT122" s="140" t="e">
        <f t="shared" si="56"/>
        <v>#VALUE!</v>
      </c>
      <c r="BU122" s="123" t="str">
        <f t="shared" si="582"/>
        <v/>
      </c>
      <c r="BV122" s="148">
        <f t="shared" si="583"/>
        <v>0</v>
      </c>
      <c r="BW122" s="123">
        <f t="shared" si="584"/>
        <v>0</v>
      </c>
      <c r="BX122" s="326">
        <f t="shared" si="585"/>
        <v>2005249.59</v>
      </c>
    </row>
    <row r="123" spans="1:111" ht="17.25" customHeight="1">
      <c r="A123" s="420">
        <f t="shared" si="547"/>
        <v>112014601</v>
      </c>
      <c r="B123" s="464">
        <f t="shared" si="548"/>
        <v>0</v>
      </c>
      <c r="C123" s="801" t="str">
        <f t="shared" si="549"/>
        <v/>
      </c>
      <c r="D123" s="801" t="str">
        <f t="shared" si="550"/>
        <v/>
      </c>
      <c r="E123" s="899" t="str">
        <f t="shared" si="551"/>
        <v/>
      </c>
      <c r="F123" s="547">
        <f t="shared" si="552"/>
        <v>0</v>
      </c>
      <c r="G123" s="699" t="str">
        <f t="shared" si="654"/>
        <v/>
      </c>
      <c r="H123" s="702" t="str">
        <f t="shared" si="655"/>
        <v/>
      </c>
      <c r="I123" s="475" t="s">
        <v>1383</v>
      </c>
      <c r="J123" s="471">
        <f>IFERROR(VLOOKUP(I123,MONTE24,3,FALSE),"")</f>
        <v>0</v>
      </c>
      <c r="K123" s="467">
        <f t="shared" si="672"/>
        <v>0</v>
      </c>
      <c r="L123" s="164" t="e">
        <f t="shared" si="8"/>
        <v>#VALUE!</v>
      </c>
      <c r="M123" s="471" t="str">
        <f t="shared" si="555"/>
        <v/>
      </c>
      <c r="N123" s="472" t="str">
        <f t="shared" si="556"/>
        <v/>
      </c>
      <c r="O123" s="274" t="e">
        <f t="shared" si="516"/>
        <v>#VALUE!</v>
      </c>
      <c r="P123" s="161" t="e">
        <f t="shared" si="517"/>
        <v>#VALUE!</v>
      </c>
      <c r="Q123" s="471">
        <f t="shared" si="518"/>
        <v>0</v>
      </c>
      <c r="R123" s="471">
        <f t="shared" si="673"/>
        <v>0</v>
      </c>
      <c r="S123" s="267" t="e">
        <f t="shared" si="14"/>
        <v>#VALUE!</v>
      </c>
      <c r="T123" s="471" t="str">
        <f t="shared" si="557"/>
        <v/>
      </c>
      <c r="U123" s="471" t="str">
        <f t="shared" si="558"/>
        <v/>
      </c>
      <c r="V123" s="471" t="e">
        <f t="shared" si="520"/>
        <v>#VALUE!</v>
      </c>
      <c r="W123" s="161" t="e">
        <f t="shared" si="521"/>
        <v>#VALUE!</v>
      </c>
      <c r="X123" s="471">
        <f t="shared" si="522"/>
        <v>0</v>
      </c>
      <c r="Y123" s="467">
        <f t="shared" si="674"/>
        <v>0</v>
      </c>
      <c r="Z123" s="752" t="e">
        <f t="shared" si="20"/>
        <v>#VALUE!</v>
      </c>
      <c r="AA123" s="267" t="str">
        <f t="shared" si="559"/>
        <v/>
      </c>
      <c r="AB123" s="753" t="str">
        <f t="shared" si="560"/>
        <v/>
      </c>
      <c r="AC123" s="274"/>
      <c r="AD123" s="471"/>
      <c r="AE123" s="1285">
        <f t="shared" si="524"/>
        <v>0</v>
      </c>
      <c r="AF123" s="164">
        <f t="shared" si="561"/>
        <v>247016.57</v>
      </c>
      <c r="AG123" s="471" t="e">
        <f t="shared" si="25"/>
        <v>#VALUE!</v>
      </c>
      <c r="AH123" s="471" t="e">
        <f t="shared" ref="AH123:AI123" si="687">AA123+T123+M123</f>
        <v>#VALUE!</v>
      </c>
      <c r="AI123" s="471" t="e">
        <f t="shared" si="687"/>
        <v>#VALUE!</v>
      </c>
      <c r="AJ123" s="471" t="e">
        <f t="shared" si="27"/>
        <v>#VALUE!</v>
      </c>
      <c r="AK123" s="1286" t="str">
        <f t="shared" si="28"/>
        <v/>
      </c>
      <c r="AL123" s="271">
        <f t="shared" si="526"/>
        <v>0</v>
      </c>
      <c r="AM123" s="164" t="e">
        <f t="shared" si="30"/>
        <v>#VALUE!</v>
      </c>
      <c r="AN123" s="274" t="str">
        <f t="shared" si="563"/>
        <v/>
      </c>
      <c r="AO123" s="610" t="str">
        <f t="shared" si="564"/>
        <v/>
      </c>
      <c r="AP123" s="271">
        <f>IFERROR(VLOOKUP(I123,MONTE24,7,FALSE),"")</f>
        <v>0</v>
      </c>
      <c r="AQ123" s="164" t="e">
        <f t="shared" si="33"/>
        <v>#VALUE!</v>
      </c>
      <c r="AR123" s="471" t="str">
        <f t="shared" si="565"/>
        <v/>
      </c>
      <c r="AS123" s="472" t="str">
        <f t="shared" si="566"/>
        <v/>
      </c>
      <c r="AT123" s="274">
        <f>IFERROR(VLOOKUP(I123,MONTE24,8,FALSE),"")</f>
        <v>0</v>
      </c>
      <c r="AU123" s="274" t="e">
        <f t="shared" si="36"/>
        <v>#VALUE!</v>
      </c>
      <c r="AV123" s="274" t="str">
        <f t="shared" si="567"/>
        <v/>
      </c>
      <c r="AW123" s="271" t="str">
        <f t="shared" si="568"/>
        <v/>
      </c>
      <c r="AX123" s="275" t="e">
        <f t="shared" ref="AX123:AZ123" si="688">SUM(AU123,AQ123,AM123)</f>
        <v>#VALUE!</v>
      </c>
      <c r="AY123" s="471">
        <f t="shared" si="688"/>
        <v>0</v>
      </c>
      <c r="AZ123" s="467">
        <f t="shared" si="688"/>
        <v>0</v>
      </c>
      <c r="BA123" s="164" t="e">
        <f t="shared" ref="BA123:BC123" si="689">SUM(AX123,AG123)</f>
        <v>#VALUE!</v>
      </c>
      <c r="BB123" s="471" t="e">
        <f t="shared" si="689"/>
        <v>#VALUE!</v>
      </c>
      <c r="BC123" s="611" t="e">
        <f t="shared" si="689"/>
        <v>#VALUE!</v>
      </c>
      <c r="BD123" s="271">
        <f t="shared" si="571"/>
        <v>0</v>
      </c>
      <c r="BE123" s="1166" t="e">
        <f t="shared" si="42"/>
        <v>#VALUE!</v>
      </c>
      <c r="BF123" s="116" t="str">
        <f t="shared" si="572"/>
        <v/>
      </c>
      <c r="BG123" s="121" t="str">
        <f t="shared" si="573"/>
        <v/>
      </c>
      <c r="BH123" s="114">
        <f t="shared" si="574"/>
        <v>0</v>
      </c>
      <c r="BI123" s="416" t="e">
        <f t="shared" si="46"/>
        <v>#VALUE!</v>
      </c>
      <c r="BJ123" s="121" t="str">
        <f t="shared" si="575"/>
        <v/>
      </c>
      <c r="BK123" s="121" t="str">
        <f t="shared" si="576"/>
        <v/>
      </c>
      <c r="BL123" s="121">
        <f t="shared" si="577"/>
        <v>0</v>
      </c>
      <c r="BM123" s="752" t="e">
        <f t="shared" si="50"/>
        <v>#VALUE!</v>
      </c>
      <c r="BN123" s="267" t="str">
        <f t="shared" si="578"/>
        <v/>
      </c>
      <c r="BO123" s="753" t="str">
        <f t="shared" si="579"/>
        <v/>
      </c>
      <c r="BP123" s="752">
        <f t="shared" si="53"/>
        <v>0</v>
      </c>
      <c r="BQ123" s="267">
        <f t="shared" ref="BQ123:BR123" si="690">SUM(BN123,BJ123,BF123)</f>
        <v>0</v>
      </c>
      <c r="BR123" s="753">
        <f t="shared" si="690"/>
        <v>0</v>
      </c>
      <c r="BS123" s="271">
        <f t="shared" si="581"/>
        <v>0</v>
      </c>
      <c r="BT123" s="164" t="e">
        <f t="shared" si="56"/>
        <v>#VALUE!</v>
      </c>
      <c r="BU123" s="274" t="str">
        <f t="shared" si="582"/>
        <v/>
      </c>
      <c r="BV123" s="610" t="str">
        <f t="shared" si="583"/>
        <v/>
      </c>
      <c r="BW123" s="123">
        <f t="shared" si="584"/>
        <v>247016.57</v>
      </c>
      <c r="BX123" s="326">
        <f t="shared" si="585"/>
        <v>0</v>
      </c>
    </row>
    <row r="124" spans="1:111" ht="13">
      <c r="A124" s="1862" t="s">
        <v>813</v>
      </c>
      <c r="B124" s="1863"/>
      <c r="C124" s="1863"/>
      <c r="D124" s="1863"/>
      <c r="E124" s="1863"/>
      <c r="F124" s="1863"/>
      <c r="G124" s="1863"/>
      <c r="H124" s="1863"/>
      <c r="I124" s="1864"/>
      <c r="J124" s="1287">
        <f t="shared" ref="J124:BV124" si="691">SUM(J2:J123,J129:J139)</f>
        <v>27026285.749999996</v>
      </c>
      <c r="K124" s="1287" t="e">
        <f t="shared" si="691"/>
        <v>#VALUE!</v>
      </c>
      <c r="L124" s="1287" t="e">
        <f t="shared" si="691"/>
        <v>#VALUE!</v>
      </c>
      <c r="M124" s="1287">
        <f t="shared" si="691"/>
        <v>21369131.630000003</v>
      </c>
      <c r="N124" s="1287">
        <f t="shared" si="691"/>
        <v>121018909.98000002</v>
      </c>
      <c r="O124" s="1287" t="e">
        <f t="shared" si="691"/>
        <v>#VALUE!</v>
      </c>
      <c r="P124" s="1287" t="e">
        <f t="shared" si="691"/>
        <v>#DIV/0!</v>
      </c>
      <c r="Q124" s="1287">
        <f t="shared" si="691"/>
        <v>30832125.740000006</v>
      </c>
      <c r="R124" s="1287" t="e">
        <f t="shared" si="691"/>
        <v>#VALUE!</v>
      </c>
      <c r="S124" s="1287" t="e">
        <f t="shared" si="691"/>
        <v>#VALUE!</v>
      </c>
      <c r="T124" s="1287">
        <f t="shared" si="691"/>
        <v>19838294.900000002</v>
      </c>
      <c r="U124" s="1287">
        <f t="shared" si="691"/>
        <v>105282122.95000003</v>
      </c>
      <c r="V124" s="1287" t="e">
        <f t="shared" si="691"/>
        <v>#VALUE!</v>
      </c>
      <c r="W124" s="1287" t="e">
        <f t="shared" si="691"/>
        <v>#DIV/0!</v>
      </c>
      <c r="X124" s="1287">
        <f t="shared" si="691"/>
        <v>29801401.309999995</v>
      </c>
      <c r="Y124" s="1287" t="e">
        <f t="shared" si="691"/>
        <v>#VALUE!</v>
      </c>
      <c r="Z124" s="1287" t="e">
        <f t="shared" si="691"/>
        <v>#VALUE!</v>
      </c>
      <c r="AA124" s="1287">
        <f t="shared" si="691"/>
        <v>14088564.740000002</v>
      </c>
      <c r="AB124" s="1287">
        <f t="shared" si="691"/>
        <v>60881464.75</v>
      </c>
      <c r="AC124" s="1287">
        <f t="shared" si="691"/>
        <v>0</v>
      </c>
      <c r="AD124" s="1287">
        <f t="shared" si="691"/>
        <v>0</v>
      </c>
      <c r="AE124" s="1287" t="e">
        <f t="shared" si="691"/>
        <v>#VALUE!</v>
      </c>
      <c r="AF124" s="1287">
        <f t="shared" si="691"/>
        <v>320583788.76000017</v>
      </c>
      <c r="AG124" s="1287" t="e">
        <f t="shared" si="691"/>
        <v>#VALUE!</v>
      </c>
      <c r="AH124" s="1287" t="e">
        <f t="shared" si="691"/>
        <v>#VALUE!</v>
      </c>
      <c r="AI124" s="1287" t="e">
        <f t="shared" si="691"/>
        <v>#VALUE!</v>
      </c>
      <c r="AJ124" s="1287" t="e">
        <f t="shared" si="691"/>
        <v>#VALUE!</v>
      </c>
      <c r="AK124" s="1287">
        <f t="shared" si="691"/>
        <v>107.82862606241427</v>
      </c>
      <c r="AL124" s="1287">
        <f t="shared" si="691"/>
        <v>40241515.189999998</v>
      </c>
      <c r="AM124" s="1287" t="e">
        <f t="shared" si="691"/>
        <v>#VALUE!</v>
      </c>
      <c r="AN124" s="1287">
        <f t="shared" si="691"/>
        <v>17618903.670000002</v>
      </c>
      <c r="AO124" s="1287">
        <f t="shared" si="691"/>
        <v>89990513.10999997</v>
      </c>
      <c r="AP124" s="1287">
        <f t="shared" si="691"/>
        <v>40577299.769999996</v>
      </c>
      <c r="AQ124" s="1287" t="e">
        <f t="shared" si="691"/>
        <v>#VALUE!</v>
      </c>
      <c r="AR124" s="1287">
        <f t="shared" si="691"/>
        <v>17323005.200000007</v>
      </c>
      <c r="AS124" s="1287">
        <f t="shared" si="691"/>
        <v>66746333.230000004</v>
      </c>
      <c r="AT124" s="1287">
        <f t="shared" si="691"/>
        <v>39102995.529999994</v>
      </c>
      <c r="AU124" s="1287" t="e">
        <f t="shared" si="691"/>
        <v>#VALUE!</v>
      </c>
      <c r="AV124" s="1287">
        <f t="shared" si="691"/>
        <v>21764606.59</v>
      </c>
      <c r="AW124" s="1287">
        <f t="shared" si="691"/>
        <v>99144005.350000009</v>
      </c>
      <c r="AX124" s="1287" t="e">
        <f t="shared" si="691"/>
        <v>#VALUE!</v>
      </c>
      <c r="AY124" s="1287">
        <f t="shared" si="691"/>
        <v>56706515.460000001</v>
      </c>
      <c r="AZ124" s="1287">
        <f t="shared" si="691"/>
        <v>255880851.64000005</v>
      </c>
      <c r="BA124" s="1287" t="e">
        <f t="shared" si="691"/>
        <v>#VALUE!</v>
      </c>
      <c r="BB124" s="1287" t="e">
        <f t="shared" si="691"/>
        <v>#VALUE!</v>
      </c>
      <c r="BC124" s="1287" t="e">
        <f t="shared" si="691"/>
        <v>#VALUE!</v>
      </c>
      <c r="BD124" s="1287">
        <f t="shared" si="691"/>
        <v>55625478.420000024</v>
      </c>
      <c r="BE124" s="1287" t="e">
        <f t="shared" si="691"/>
        <v>#VALUE!</v>
      </c>
      <c r="BF124" s="1287">
        <f t="shared" si="691"/>
        <v>35852640.61999999</v>
      </c>
      <c r="BG124" s="1287">
        <f t="shared" si="691"/>
        <v>113373874.81000002</v>
      </c>
      <c r="BH124" s="1288">
        <f t="shared" si="691"/>
        <v>37401321.959999993</v>
      </c>
      <c r="BI124" s="1289" t="e">
        <f t="shared" si="691"/>
        <v>#VALUE!</v>
      </c>
      <c r="BJ124" s="1287">
        <f t="shared" si="691"/>
        <v>26262112.949999996</v>
      </c>
      <c r="BK124" s="1287">
        <f t="shared" si="691"/>
        <v>94515078.729999989</v>
      </c>
      <c r="BL124" s="1288">
        <f t="shared" si="691"/>
        <v>49245055.169999979</v>
      </c>
      <c r="BM124" s="283" t="e">
        <f t="shared" si="691"/>
        <v>#VALUE!</v>
      </c>
      <c r="BN124" s="760">
        <f t="shared" si="691"/>
        <v>32696082.360000003</v>
      </c>
      <c r="BO124" s="762">
        <f t="shared" si="691"/>
        <v>112359099.52000001</v>
      </c>
      <c r="BP124" s="283">
        <f t="shared" si="691"/>
        <v>225437217.13000003</v>
      </c>
      <c r="BQ124" s="760">
        <f t="shared" si="691"/>
        <v>94810835.930000022</v>
      </c>
      <c r="BR124" s="763">
        <f t="shared" si="691"/>
        <v>320248053.06</v>
      </c>
      <c r="BS124" s="281">
        <f t="shared" si="691"/>
        <v>69377251.199999988</v>
      </c>
      <c r="BT124" s="760" t="e">
        <f t="shared" si="691"/>
        <v>#VALUE!</v>
      </c>
      <c r="BU124" s="760">
        <f t="shared" si="691"/>
        <v>18812714.710000001</v>
      </c>
      <c r="BV124" s="763">
        <f t="shared" si="691"/>
        <v>132593327.83</v>
      </c>
      <c r="BW124" s="1290">
        <f t="shared" ref="BW124:BX124" si="692">SUM(BW2:BW123)</f>
        <v>74767546.870000005</v>
      </c>
      <c r="BX124" s="1290">
        <f t="shared" si="692"/>
        <v>84119184.949999973</v>
      </c>
      <c r="BY124" s="188"/>
      <c r="BZ124" s="188"/>
      <c r="CA124" s="188"/>
      <c r="CB124" s="188"/>
      <c r="CC124" s="188"/>
      <c r="CD124" s="188"/>
      <c r="CE124" s="188"/>
      <c r="CF124" s="188"/>
      <c r="CG124" s="188"/>
      <c r="CH124" s="188"/>
      <c r="CI124" s="188"/>
      <c r="CJ124" s="188"/>
      <c r="CK124" s="188"/>
      <c r="CL124" s="188"/>
      <c r="CM124" s="188"/>
      <c r="CN124" s="188"/>
      <c r="CO124" s="188"/>
      <c r="CP124" s="188"/>
      <c r="CQ124" s="188"/>
      <c r="CR124" s="188"/>
      <c r="CS124" s="188"/>
      <c r="CT124" s="188"/>
      <c r="CU124" s="188"/>
      <c r="CV124" s="188"/>
      <c r="CW124" s="188"/>
      <c r="CX124" s="188"/>
      <c r="CY124" s="188"/>
      <c r="CZ124" s="188"/>
      <c r="DA124" s="188"/>
      <c r="DB124" s="188"/>
      <c r="DC124" s="188"/>
      <c r="DD124" s="188"/>
      <c r="DE124" s="188"/>
      <c r="DF124" s="188"/>
      <c r="DG124" s="188"/>
    </row>
    <row r="125" spans="1:111" ht="13">
      <c r="B125" s="294"/>
      <c r="C125" s="294"/>
      <c r="D125" s="294"/>
      <c r="E125" s="294"/>
      <c r="F125" s="294"/>
      <c r="G125" s="294"/>
      <c r="H125" s="294"/>
      <c r="P125" s="295"/>
      <c r="W125" s="295"/>
      <c r="AE125" s="188"/>
      <c r="AG125" s="188"/>
      <c r="AH125" s="188"/>
      <c r="AI125" s="188"/>
      <c r="AJ125" s="188"/>
      <c r="AK125" s="299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</row>
    <row r="126" spans="1:111" ht="13">
      <c r="B126" s="294"/>
      <c r="C126" s="294"/>
      <c r="D126" s="294"/>
      <c r="E126" s="294"/>
      <c r="F126" s="294"/>
      <c r="G126" s="294"/>
      <c r="H126" s="294"/>
      <c r="I126" s="619" t="s">
        <v>227</v>
      </c>
      <c r="P126" s="295"/>
      <c r="W126" s="295"/>
      <c r="AE126" s="188"/>
      <c r="AG126" s="188"/>
      <c r="AH126" s="188"/>
      <c r="AI126" s="188"/>
      <c r="AJ126" s="188"/>
      <c r="AK126" s="299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</row>
    <row r="127" spans="1:111" ht="13">
      <c r="B127" s="294"/>
      <c r="C127" s="294"/>
      <c r="D127" s="294"/>
      <c r="E127" s="294"/>
      <c r="F127" s="294"/>
      <c r="G127" s="294"/>
      <c r="H127" s="294"/>
      <c r="I127" s="484" t="s">
        <v>228</v>
      </c>
      <c r="P127" s="295"/>
      <c r="W127" s="295"/>
      <c r="AE127" s="188"/>
      <c r="AG127" s="188"/>
      <c r="AH127" s="188"/>
      <c r="AI127" s="188"/>
      <c r="AJ127" s="188"/>
      <c r="AK127" s="299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</row>
    <row r="128" spans="1:111" ht="13">
      <c r="B128" s="294"/>
      <c r="C128" s="294"/>
      <c r="D128" s="294"/>
      <c r="E128" s="294"/>
      <c r="F128" s="294"/>
      <c r="G128" s="294"/>
      <c r="H128" s="294"/>
      <c r="P128" s="295"/>
      <c r="W128" s="295"/>
      <c r="AE128" s="188"/>
      <c r="AG128" s="188"/>
      <c r="AH128" s="188"/>
      <c r="AI128" s="188"/>
      <c r="AJ128" s="188"/>
      <c r="AK128" s="299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</row>
    <row r="129" spans="1:76" ht="13">
      <c r="A129" s="773" t="e">
        <f>VLOOKUP(I129,MONTENEGROCARTERA,3,FALSE)</f>
        <v>#N/A</v>
      </c>
      <c r="B129" s="486" t="e">
        <f>VLOOKUP(I129,MONTENEGROCARTERA,2,FALSE)</f>
        <v>#N/A</v>
      </c>
      <c r="C129" s="774" t="str">
        <f>IFERROR(VLOOKUP(B129,DES,2,FALSE),"")</f>
        <v/>
      </c>
      <c r="D129" s="774" t="str">
        <f>IFERROR(VLOOKUP(B129,DES,3,FALSE),"")</f>
        <v/>
      </c>
      <c r="E129" s="1095" t="str">
        <f>IFERROR(VLOOKUP(B129,DES,4,FALSE),"")</f>
        <v/>
      </c>
      <c r="F129" s="621"/>
      <c r="G129" s="774"/>
      <c r="H129" s="1097"/>
      <c r="I129" s="492" t="s">
        <v>997</v>
      </c>
      <c r="J129" s="312"/>
      <c r="K129" s="318"/>
      <c r="L129" s="319" t="e">
        <f t="shared" ref="L129:L139" si="693">N129-M129</f>
        <v>#VALUE!</v>
      </c>
      <c r="M129" s="312" t="str">
        <f t="shared" ref="M129:M139" si="694">IFERROR(VLOOKUP(I129,MONTENALIM,3,FALSE),"")</f>
        <v/>
      </c>
      <c r="N129" s="320">
        <f t="shared" ref="N129:N139" si="695">IFERROR(VLOOKUP(I129,MONTEFC,3,FALSE),"")</f>
        <v>0</v>
      </c>
      <c r="O129" s="321">
        <f t="shared" ref="O129:O139" si="696">N129-K129</f>
        <v>0</v>
      </c>
      <c r="P129" s="310" t="e">
        <f t="shared" ref="P129:P139" si="697">N129/K129</f>
        <v>#DIV/0!</v>
      </c>
      <c r="Q129" s="312" t="str">
        <f t="shared" ref="Q129:Q139" si="698">IFERROR(VLOOKUP(I129,MONTE24,4,FALSE),"")</f>
        <v/>
      </c>
      <c r="R129" s="312">
        <v>1800000</v>
      </c>
      <c r="S129" s="312" t="e">
        <f t="shared" ref="S129:S139" si="699">U129-T129</f>
        <v>#VALUE!</v>
      </c>
      <c r="T129" s="312" t="str">
        <f t="shared" ref="T129:T139" si="700">IFERROR(VLOOKUP(I129,MONTENALIM,4,FALSE),"")</f>
        <v/>
      </c>
      <c r="U129" s="312">
        <f t="shared" ref="U129:U139" si="701">IFERROR(VLOOKUP(I129,MONTEFC,4,FALSE),"")</f>
        <v>0</v>
      </c>
      <c r="V129" s="312">
        <f t="shared" ref="V129:V139" si="702">U129-R129</f>
        <v>-1800000</v>
      </c>
      <c r="W129" s="310">
        <f t="shared" ref="W129:W139" si="703">U129/R129</f>
        <v>0</v>
      </c>
      <c r="X129" s="312" t="str">
        <f t="shared" ref="X129:X139" si="704">IFERROR(VLOOKUP(I129,MONTE24,5,FALSE),"")</f>
        <v/>
      </c>
      <c r="Y129" s="318">
        <v>1800000</v>
      </c>
      <c r="Z129" s="319" t="e">
        <f t="shared" ref="Z129:Z139" si="705">AB129-AA129</f>
        <v>#VALUE!</v>
      </c>
      <c r="AA129" s="312" t="str">
        <f t="shared" ref="AA129:AA139" si="706">IFERROR(VLOOKUP(I129,MONTENALIM,5,FALSE),"")</f>
        <v/>
      </c>
      <c r="AB129" s="320">
        <f t="shared" ref="AB129:AB139" si="707">IFERROR(VLOOKUP(I129,MONTEFC,5,FALSE),"")</f>
        <v>0</v>
      </c>
      <c r="AC129" s="321"/>
      <c r="AD129" s="312"/>
      <c r="AE129" s="1291">
        <f t="shared" ref="AE129:AE139" si="708">K129+R129+Y129</f>
        <v>3600000</v>
      </c>
      <c r="AF129" s="319">
        <f t="shared" ref="AF129:AF139" si="709">IFERROR(VLOOKUP(I129,trim2024,2,FALSE),"0")</f>
        <v>4941404.04</v>
      </c>
      <c r="AG129" s="312" t="e">
        <f t="shared" ref="AG129:AG139" si="710">AI129-AH129</f>
        <v>#VALUE!</v>
      </c>
      <c r="AH129" s="312" t="e">
        <f t="shared" ref="AH129:AI129" si="711">AA129+T129+M129</f>
        <v>#VALUE!</v>
      </c>
      <c r="AI129" s="312">
        <f t="shared" si="711"/>
        <v>0</v>
      </c>
      <c r="AJ129" s="312">
        <f t="shared" ref="AJ129:AJ139" si="712">AI129-AF129</f>
        <v>-4941404.04</v>
      </c>
      <c r="AK129" s="1292">
        <f t="shared" ref="AK129:AK139" si="713">IFERROR(AI129/AF129,"")</f>
        <v>0</v>
      </c>
      <c r="AL129" s="629" t="str">
        <f>IFERROR(VLOOKUP(I129,MONTE24,6,FALSE),"")</f>
        <v/>
      </c>
      <c r="AM129" s="319" t="e">
        <f>AO129-AN129</f>
        <v>#VALUE!</v>
      </c>
      <c r="AN129" s="321" t="str">
        <f>IFERROR(VLOOKUP(I129,MONTENALIM,6,FALSE),"")</f>
        <v/>
      </c>
      <c r="AO129" s="322">
        <f>IFERROR(VLOOKUP(I129,MONTEFC,6,FALSE),"")</f>
        <v>0.05</v>
      </c>
      <c r="AP129" s="629"/>
      <c r="AQ129" s="319" t="e">
        <f>AS129-AR129</f>
        <v>#VALUE!</v>
      </c>
      <c r="AR129" s="312" t="str">
        <f>IFERROR(VLOOKUP(I129,MONTENALIM,7,FALSE),"")</f>
        <v/>
      </c>
      <c r="AS129" s="320">
        <f>IFERROR(VLOOKUP(I129,MONTEFC,7,FALSE),"")</f>
        <v>0</v>
      </c>
      <c r="AT129" s="321"/>
      <c r="AU129" s="321" t="e">
        <f t="shared" ref="AU129:AU140" si="714">AW129-AV129</f>
        <v>#VALUE!</v>
      </c>
      <c r="AV129" s="321" t="str">
        <f t="shared" ref="AV129:AV140" si="715">IFERROR(VLOOKUP(I129,MONTENALIM,8,FALSE),"")</f>
        <v/>
      </c>
      <c r="AW129" s="321">
        <f t="shared" ref="AW129:AW140" si="716">IFERROR(VLOOKUP(I129,MONTEFC,8,FALSE),"")</f>
        <v>0</v>
      </c>
      <c r="AX129" s="629"/>
      <c r="AY129" s="629"/>
      <c r="AZ129" s="629"/>
      <c r="BA129" s="629"/>
      <c r="BB129" s="629"/>
      <c r="BC129" s="312"/>
      <c r="BD129" s="312" t="str">
        <f t="shared" ref="BD129:BD140" si="717">IFERROR(VLOOKUP(I129,MONTE24,9,FALSE),"")</f>
        <v/>
      </c>
      <c r="BE129" s="312" t="e">
        <f t="shared" ref="BE129:BE139" si="718">BG129-BF129</f>
        <v>#VALUE!</v>
      </c>
      <c r="BF129" s="312" t="str">
        <f t="shared" ref="BF129:BF139" si="719">IFERROR(VLOOKUP(I129,MONTENALIM,9,FALSE),"")</f>
        <v/>
      </c>
      <c r="BG129" s="312">
        <f t="shared" ref="BG129:BG139" si="720">IFERROR(VLOOKUP(I129,MONTEFC,9,FALSE),"")</f>
        <v>0</v>
      </c>
      <c r="BH129" s="312" t="str">
        <f>IFERROR(VLOOKUP(I129,MONTE24,10,FALSE),"")</f>
        <v/>
      </c>
      <c r="BI129" s="312"/>
      <c r="BJ129" s="312"/>
      <c r="BK129" s="312"/>
      <c r="BL129" s="312" t="str">
        <f>IFERROR(VLOOKUP(I129,MONTE24,11,FALSE),"")</f>
        <v/>
      </c>
      <c r="BM129" s="312"/>
      <c r="BN129" s="312"/>
      <c r="BO129" s="312"/>
      <c r="BP129" s="312"/>
      <c r="BQ129" s="312"/>
      <c r="BR129" s="312"/>
      <c r="BS129" s="312" t="str">
        <f>IFERROR(VLOOKUP(I129,MONTE24,12,FALSE),"")</f>
        <v/>
      </c>
      <c r="BT129" s="312"/>
      <c r="BU129" s="312"/>
      <c r="BV129" s="320"/>
      <c r="BW129" s="123" t="str">
        <f>IFERROR(VLOOKUP(I129,MONTE24,13,FALSE),"")</f>
        <v/>
      </c>
      <c r="BX129" s="326" t="str">
        <f>IFERROR(VLOOKUP(I129,MONTE24,14,FALSE),"")</f>
        <v/>
      </c>
    </row>
    <row r="130" spans="1:76" ht="13">
      <c r="A130" s="422"/>
      <c r="B130" s="172"/>
      <c r="C130" s="558"/>
      <c r="D130" s="558"/>
      <c r="E130" s="715"/>
      <c r="F130" s="636"/>
      <c r="G130" s="558"/>
      <c r="H130" s="559"/>
      <c r="I130" s="423" t="s">
        <v>1384</v>
      </c>
      <c r="J130" s="326"/>
      <c r="K130" s="332"/>
      <c r="L130" s="326" t="e">
        <f t="shared" si="693"/>
        <v>#VALUE!</v>
      </c>
      <c r="M130" s="326" t="str">
        <f t="shared" si="694"/>
        <v/>
      </c>
      <c r="N130" s="326">
        <f t="shared" si="695"/>
        <v>0</v>
      </c>
      <c r="O130" s="326">
        <f t="shared" si="696"/>
        <v>0</v>
      </c>
      <c r="P130" s="137" t="e">
        <f t="shared" si="697"/>
        <v>#DIV/0!</v>
      </c>
      <c r="Q130" s="326" t="str">
        <f t="shared" si="698"/>
        <v/>
      </c>
      <c r="R130" s="326" t="e">
        <f t="shared" ref="R130:R133" si="721">(Q130*1.7245)*1.05</f>
        <v>#VALUE!</v>
      </c>
      <c r="S130" s="326" t="e">
        <f t="shared" si="699"/>
        <v>#VALUE!</v>
      </c>
      <c r="T130" s="326" t="str">
        <f t="shared" si="700"/>
        <v/>
      </c>
      <c r="U130" s="326">
        <f t="shared" si="701"/>
        <v>-39555.07</v>
      </c>
      <c r="V130" s="326" t="e">
        <f t="shared" si="702"/>
        <v>#VALUE!</v>
      </c>
      <c r="W130" s="137" t="e">
        <f t="shared" si="703"/>
        <v>#VALUE!</v>
      </c>
      <c r="X130" s="326" t="str">
        <f t="shared" si="704"/>
        <v/>
      </c>
      <c r="Y130" s="326" t="e">
        <f t="shared" ref="Y130:Y133" si="722">(X130*1.5955)*1.05</f>
        <v>#VALUE!</v>
      </c>
      <c r="Z130" s="326" t="e">
        <f t="shared" si="705"/>
        <v>#VALUE!</v>
      </c>
      <c r="AA130" s="326" t="str">
        <f t="shared" si="706"/>
        <v/>
      </c>
      <c r="AB130" s="326">
        <f t="shared" si="707"/>
        <v>0</v>
      </c>
      <c r="AC130" s="326"/>
      <c r="AD130" s="326"/>
      <c r="AE130" s="969" t="e">
        <f t="shared" si="708"/>
        <v>#VALUE!</v>
      </c>
      <c r="AF130" s="326" t="str">
        <f t="shared" si="709"/>
        <v>0</v>
      </c>
      <c r="AG130" s="326" t="e">
        <f t="shared" si="710"/>
        <v>#VALUE!</v>
      </c>
      <c r="AH130" s="326" t="e">
        <f t="shared" ref="AH130:AI130" si="723">AA130+T130+M130</f>
        <v>#VALUE!</v>
      </c>
      <c r="AI130" s="326">
        <f t="shared" si="723"/>
        <v>-39555.07</v>
      </c>
      <c r="AJ130" s="326">
        <f t="shared" si="712"/>
        <v>-39555.07</v>
      </c>
      <c r="AK130" s="970" t="str">
        <f t="shared" si="713"/>
        <v/>
      </c>
      <c r="AL130" s="123"/>
      <c r="AM130" s="123"/>
      <c r="AN130" s="123"/>
      <c r="AO130" s="123"/>
      <c r="AP130" s="326"/>
      <c r="AQ130" s="326"/>
      <c r="AR130" s="326"/>
      <c r="AS130" s="326"/>
      <c r="AT130" s="326"/>
      <c r="AU130" s="114" t="e">
        <f t="shared" si="714"/>
        <v>#VALUE!</v>
      </c>
      <c r="AV130" s="114" t="str">
        <f t="shared" si="715"/>
        <v/>
      </c>
      <c r="AW130" s="114">
        <f t="shared" si="716"/>
        <v>0</v>
      </c>
      <c r="AX130" s="114"/>
      <c r="AY130" s="114"/>
      <c r="AZ130" s="114"/>
      <c r="BA130" s="114"/>
      <c r="BB130" s="100"/>
      <c r="BC130" s="326"/>
      <c r="BD130" s="326" t="str">
        <f t="shared" si="717"/>
        <v/>
      </c>
      <c r="BE130" s="326" t="e">
        <f t="shared" si="718"/>
        <v>#VALUE!</v>
      </c>
      <c r="BF130" s="326" t="str">
        <f t="shared" si="719"/>
        <v/>
      </c>
      <c r="BG130" s="326">
        <f t="shared" si="720"/>
        <v>0</v>
      </c>
      <c r="BH130" s="326"/>
      <c r="BI130" s="326"/>
      <c r="BJ130" s="326"/>
      <c r="BK130" s="326"/>
      <c r="BL130" s="325"/>
      <c r="BM130" s="326"/>
      <c r="BN130" s="326"/>
      <c r="BO130" s="326"/>
      <c r="BP130" s="326"/>
      <c r="BQ130" s="326"/>
      <c r="BR130" s="326"/>
      <c r="BS130" s="325"/>
      <c r="BT130" s="325"/>
      <c r="BU130" s="325"/>
      <c r="BV130" s="424"/>
      <c r="BW130" s="423"/>
      <c r="BX130" s="325"/>
    </row>
    <row r="131" spans="1:76" ht="13">
      <c r="A131" s="92" t="e">
        <f>VLOOKUP(I131,MONTENCART2,3,FALSE)</f>
        <v>#N/A</v>
      </c>
      <c r="B131" s="93" t="e">
        <f t="shared" ref="B131:B139" si="724">VLOOKUP(I131,MONTENCART2,2,FALSE)</f>
        <v>#N/A</v>
      </c>
      <c r="C131" s="558" t="str">
        <f t="shared" ref="C131:C139" si="725">IFERROR(VLOOKUP(B131,DES,2,FALSE),"")</f>
        <v/>
      </c>
      <c r="D131" s="558" t="str">
        <f t="shared" ref="D131:D139" si="726">IFERROR(VLOOKUP(B131,DES,3,FALSE),"")</f>
        <v/>
      </c>
      <c r="E131" s="715" t="str">
        <f t="shared" ref="E131:E139" si="727">IFERROR(VLOOKUP(B131,DES,4,FALSE),"")</f>
        <v/>
      </c>
      <c r="F131" s="636"/>
      <c r="G131" s="558"/>
      <c r="H131" s="559"/>
      <c r="I131" s="423" t="s">
        <v>1385</v>
      </c>
      <c r="J131" s="326">
        <f t="shared" ref="J131:J139" si="728">IFERROR(VLOOKUP(I131,MONTE24,3,FALSE),"")</f>
        <v>0</v>
      </c>
      <c r="K131" s="332">
        <f t="shared" ref="K131:K133" si="729">(J131*1.601)*1.05</f>
        <v>0</v>
      </c>
      <c r="L131" s="140" t="e">
        <f t="shared" si="693"/>
        <v>#VALUE!</v>
      </c>
      <c r="M131" s="326" t="str">
        <f t="shared" si="694"/>
        <v/>
      </c>
      <c r="N131" s="333" t="str">
        <f t="shared" si="695"/>
        <v/>
      </c>
      <c r="O131" s="123" t="e">
        <f t="shared" si="696"/>
        <v>#VALUE!</v>
      </c>
      <c r="P131" s="137" t="e">
        <f t="shared" si="697"/>
        <v>#VALUE!</v>
      </c>
      <c r="Q131" s="326">
        <f t="shared" si="698"/>
        <v>86785.35</v>
      </c>
      <c r="R131" s="326">
        <f t="shared" si="721"/>
        <v>157144.40287875</v>
      </c>
      <c r="S131" s="116" t="e">
        <f t="shared" si="699"/>
        <v>#VALUE!</v>
      </c>
      <c r="T131" s="326" t="str">
        <f t="shared" si="700"/>
        <v/>
      </c>
      <c r="U131" s="326" t="str">
        <f t="shared" si="701"/>
        <v/>
      </c>
      <c r="V131" s="326" t="e">
        <f t="shared" si="702"/>
        <v>#VALUE!</v>
      </c>
      <c r="W131" s="137" t="e">
        <f t="shared" si="703"/>
        <v>#VALUE!</v>
      </c>
      <c r="X131" s="326">
        <f t="shared" si="704"/>
        <v>0</v>
      </c>
      <c r="Y131" s="332">
        <f t="shared" si="722"/>
        <v>0</v>
      </c>
      <c r="Z131" s="113" t="e">
        <f t="shared" si="705"/>
        <v>#VALUE!</v>
      </c>
      <c r="AA131" s="116" t="str">
        <f t="shared" si="706"/>
        <v/>
      </c>
      <c r="AB131" s="117" t="str">
        <f t="shared" si="707"/>
        <v/>
      </c>
      <c r="AC131" s="123"/>
      <c r="AD131" s="326"/>
      <c r="AE131" s="1257">
        <f t="shared" si="708"/>
        <v>157144.40287875</v>
      </c>
      <c r="AF131" s="140">
        <f t="shared" si="709"/>
        <v>178317.04</v>
      </c>
      <c r="AG131" s="326" t="e">
        <f t="shared" si="710"/>
        <v>#VALUE!</v>
      </c>
      <c r="AH131" s="326" t="e">
        <f t="shared" ref="AH131:AI131" si="730">AA131+T131+M131</f>
        <v>#VALUE!</v>
      </c>
      <c r="AI131" s="326" t="e">
        <f t="shared" si="730"/>
        <v>#VALUE!</v>
      </c>
      <c r="AJ131" s="326" t="e">
        <f t="shared" si="712"/>
        <v>#VALUE!</v>
      </c>
      <c r="AK131" s="1258" t="str">
        <f t="shared" si="713"/>
        <v/>
      </c>
      <c r="AL131" s="125">
        <f t="shared" ref="AL131:AL139" si="731">IFERROR(VLOOKUP(I131,MONTE24,6,FALSE),"")</f>
        <v>167126.69</v>
      </c>
      <c r="AM131" s="140" t="e">
        <f t="shared" ref="AM131:AM139" si="732">AO131-AN131</f>
        <v>#VALUE!</v>
      </c>
      <c r="AN131" s="123" t="str">
        <f t="shared" ref="AN131:AN139" si="733">IFERROR(VLOOKUP(I131,MONTENALIM,6,FALSE),"")</f>
        <v/>
      </c>
      <c r="AO131" s="148" t="str">
        <f t="shared" ref="AO131:AO139" si="734">IFERROR(VLOOKUP(I131,MONTEFC,6,FALSE),"")</f>
        <v/>
      </c>
      <c r="AP131" s="125">
        <f t="shared" ref="AP131:AP139" si="735">IFERROR(VLOOKUP(I131,MONTE24,7,FALSE),"")</f>
        <v>0</v>
      </c>
      <c r="AQ131" s="140" t="e">
        <f t="shared" ref="AQ131:AQ139" si="736">AS131-AR131</f>
        <v>#VALUE!</v>
      </c>
      <c r="AR131" s="326" t="str">
        <f t="shared" ref="AR131:AR139" si="737">IFERROR(VLOOKUP(I131,MONTENALIM,7,FALSE),"")</f>
        <v/>
      </c>
      <c r="AS131" s="333" t="str">
        <f t="shared" ref="AS131:AS139" si="738">IFERROR(VLOOKUP(I131,MONTEFC,7,FALSE),"")</f>
        <v/>
      </c>
      <c r="AT131" s="123">
        <f t="shared" ref="AT131:AT139" si="739">IFERROR(VLOOKUP(I131,MONTE24,8,FALSE),"")</f>
        <v>0</v>
      </c>
      <c r="AU131" s="123" t="e">
        <f t="shared" si="714"/>
        <v>#VALUE!</v>
      </c>
      <c r="AV131" s="123" t="str">
        <f t="shared" si="715"/>
        <v/>
      </c>
      <c r="AW131" s="125" t="str">
        <f t="shared" si="716"/>
        <v/>
      </c>
      <c r="AX131" s="122" t="e">
        <f t="shared" ref="AX131:AZ131" si="740">SUM(AU131,AQ131,AM131)</f>
        <v>#VALUE!</v>
      </c>
      <c r="AY131" s="326">
        <f t="shared" si="740"/>
        <v>0</v>
      </c>
      <c r="AZ131" s="332">
        <f t="shared" si="740"/>
        <v>0</v>
      </c>
      <c r="BA131" s="140" t="e">
        <f t="shared" ref="BA131:BC131" si="741">SUM(AX131,AG131)</f>
        <v>#VALUE!</v>
      </c>
      <c r="BB131" s="332" t="e">
        <f t="shared" si="741"/>
        <v>#VALUE!</v>
      </c>
      <c r="BC131" s="326" t="e">
        <f t="shared" si="741"/>
        <v>#VALUE!</v>
      </c>
      <c r="BD131" s="326">
        <f t="shared" si="717"/>
        <v>0</v>
      </c>
      <c r="BE131" s="326" t="e">
        <f t="shared" si="718"/>
        <v>#VALUE!</v>
      </c>
      <c r="BF131" s="326" t="str">
        <f t="shared" si="719"/>
        <v/>
      </c>
      <c r="BG131" s="326" t="str">
        <f t="shared" si="720"/>
        <v/>
      </c>
      <c r="BH131" s="326">
        <f t="shared" ref="BH131:BH139" si="742">IFERROR(VLOOKUP(I131,MONTE24,10,FALSE),"")</f>
        <v>107017.68</v>
      </c>
      <c r="BI131" s="326" t="e">
        <f t="shared" ref="BI131:BI139" si="743">BK131-BJ131</f>
        <v>#VALUE!</v>
      </c>
      <c r="BJ131" s="326" t="str">
        <f t="shared" ref="BJ131:BJ139" si="744">IFERROR(VLOOKUP(I131,MONTENALIM,10,FALSE),"")</f>
        <v/>
      </c>
      <c r="BK131" s="326" t="str">
        <f t="shared" ref="BK131:BK139" si="745">IFERROR(VLOOKUP(I131,MONTEFC,10,FALSE),"")</f>
        <v/>
      </c>
      <c r="BL131" s="326">
        <f t="shared" ref="BL131:BL139" si="746">IFERROR(VLOOKUP(I131,MONTE24,11,FALSE),"")</f>
        <v>0</v>
      </c>
      <c r="BM131" s="326"/>
      <c r="BN131" s="326"/>
      <c r="BO131" s="326"/>
      <c r="BP131" s="326"/>
      <c r="BQ131" s="326"/>
      <c r="BR131" s="326"/>
      <c r="BS131" s="326">
        <f t="shared" ref="BS131:BS139" si="747">IFERROR(VLOOKUP(I131,MONTE24,12,FALSE),"")</f>
        <v>0</v>
      </c>
      <c r="BT131" s="326"/>
      <c r="BU131" s="326"/>
      <c r="BV131" s="333"/>
      <c r="BW131" s="123">
        <f t="shared" ref="BW131:BW139" si="748">IFERROR(VLOOKUP(I131,MONTE24,13,FALSE),"")</f>
        <v>0</v>
      </c>
      <c r="BX131" s="326">
        <f t="shared" ref="BX131:BX139" si="749">IFERROR(VLOOKUP(I131,MONTE24,14,FALSE),"")</f>
        <v>178317.04</v>
      </c>
    </row>
    <row r="132" spans="1:76" ht="13">
      <c r="A132" s="92" t="e">
        <f t="shared" ref="A132:A137" si="750">VLOOKUP(I132,MONTECART4,3,FALSE)</f>
        <v>#N/A</v>
      </c>
      <c r="B132" s="93">
        <f t="shared" si="724"/>
        <v>0</v>
      </c>
      <c r="C132" s="558" t="str">
        <f t="shared" si="725"/>
        <v/>
      </c>
      <c r="D132" s="558" t="str">
        <f t="shared" si="726"/>
        <v/>
      </c>
      <c r="E132" s="559" t="str">
        <f t="shared" si="727"/>
        <v/>
      </c>
      <c r="F132" s="636"/>
      <c r="G132" s="558"/>
      <c r="H132" s="702" t="str">
        <f>IFERROR(VLOOKUP(F132,A458DC1025,3,FALSE),"")</f>
        <v/>
      </c>
      <c r="I132" s="423" t="s">
        <v>1386</v>
      </c>
      <c r="J132" s="326">
        <f t="shared" si="728"/>
        <v>0</v>
      </c>
      <c r="K132" s="332">
        <f t="shared" si="729"/>
        <v>0</v>
      </c>
      <c r="L132" s="140" t="e">
        <f t="shared" si="693"/>
        <v>#VALUE!</v>
      </c>
      <c r="M132" s="326" t="str">
        <f t="shared" si="694"/>
        <v/>
      </c>
      <c r="N132" s="333">
        <f t="shared" si="695"/>
        <v>77955.22</v>
      </c>
      <c r="O132" s="123">
        <f t="shared" si="696"/>
        <v>77955.22</v>
      </c>
      <c r="P132" s="137" t="e">
        <f t="shared" si="697"/>
        <v>#DIV/0!</v>
      </c>
      <c r="Q132" s="326">
        <f t="shared" si="698"/>
        <v>0</v>
      </c>
      <c r="R132" s="326">
        <f t="shared" si="721"/>
        <v>0</v>
      </c>
      <c r="S132" s="116" t="e">
        <f t="shared" si="699"/>
        <v>#VALUE!</v>
      </c>
      <c r="T132" s="326" t="str">
        <f t="shared" si="700"/>
        <v/>
      </c>
      <c r="U132" s="326">
        <f t="shared" si="701"/>
        <v>42117.5</v>
      </c>
      <c r="V132" s="326">
        <f t="shared" si="702"/>
        <v>42117.5</v>
      </c>
      <c r="W132" s="137" t="e">
        <f t="shared" si="703"/>
        <v>#DIV/0!</v>
      </c>
      <c r="X132" s="326">
        <f t="shared" si="704"/>
        <v>44290.400000000001</v>
      </c>
      <c r="Y132" s="332">
        <f t="shared" si="722"/>
        <v>74198.599860000002</v>
      </c>
      <c r="Z132" s="113" t="e">
        <f t="shared" si="705"/>
        <v>#VALUE!</v>
      </c>
      <c r="AA132" s="116" t="str">
        <f t="shared" si="706"/>
        <v/>
      </c>
      <c r="AB132" s="117">
        <f t="shared" si="707"/>
        <v>34787.68</v>
      </c>
      <c r="AC132" s="123"/>
      <c r="AD132" s="326"/>
      <c r="AE132" s="1257">
        <f t="shared" si="708"/>
        <v>74198.599860000002</v>
      </c>
      <c r="AF132" s="140">
        <f t="shared" si="709"/>
        <v>23172.94</v>
      </c>
      <c r="AG132" s="326" t="e">
        <f t="shared" si="710"/>
        <v>#VALUE!</v>
      </c>
      <c r="AH132" s="326" t="e">
        <f t="shared" ref="AH132:AI132" si="751">AA132+T132+M132</f>
        <v>#VALUE!</v>
      </c>
      <c r="AI132" s="326">
        <f t="shared" si="751"/>
        <v>154860.4</v>
      </c>
      <c r="AJ132" s="326">
        <f t="shared" si="712"/>
        <v>131687.46</v>
      </c>
      <c r="AK132" s="1258">
        <f t="shared" si="713"/>
        <v>6.6828119349551676</v>
      </c>
      <c r="AL132" s="125">
        <f t="shared" si="731"/>
        <v>34878.6</v>
      </c>
      <c r="AM132" s="140" t="e">
        <f t="shared" si="732"/>
        <v>#VALUE!</v>
      </c>
      <c r="AN132" s="123" t="str">
        <f t="shared" si="733"/>
        <v/>
      </c>
      <c r="AO132" s="148">
        <f t="shared" si="734"/>
        <v>54208.639999999999</v>
      </c>
      <c r="AP132" s="125">
        <f t="shared" si="735"/>
        <v>0</v>
      </c>
      <c r="AQ132" s="140" t="e">
        <f t="shared" si="736"/>
        <v>#VALUE!</v>
      </c>
      <c r="AR132" s="326" t="str">
        <f t="shared" si="737"/>
        <v/>
      </c>
      <c r="AS132" s="333">
        <f t="shared" si="738"/>
        <v>62465.120000000003</v>
      </c>
      <c r="AT132" s="123">
        <f t="shared" si="739"/>
        <v>38752.25</v>
      </c>
      <c r="AU132" s="123" t="e">
        <f t="shared" si="714"/>
        <v>#VALUE!</v>
      </c>
      <c r="AV132" s="123" t="str">
        <f t="shared" si="715"/>
        <v/>
      </c>
      <c r="AW132" s="125">
        <f t="shared" si="716"/>
        <v>0</v>
      </c>
      <c r="AX132" s="122" t="e">
        <f t="shared" ref="AX132:AZ132" si="752">SUM(AU132,AQ132,AM132)</f>
        <v>#VALUE!</v>
      </c>
      <c r="AY132" s="326">
        <f t="shared" si="752"/>
        <v>0</v>
      </c>
      <c r="AZ132" s="332">
        <f t="shared" si="752"/>
        <v>116673.76000000001</v>
      </c>
      <c r="BA132" s="140" t="e">
        <f t="shared" ref="BA132:BC132" si="753">SUM(AX132,AG132)</f>
        <v>#VALUE!</v>
      </c>
      <c r="BB132" s="332" t="e">
        <f t="shared" si="753"/>
        <v>#VALUE!</v>
      </c>
      <c r="BC132" s="326">
        <f t="shared" si="753"/>
        <v>271534.16000000003</v>
      </c>
      <c r="BD132" s="326">
        <f t="shared" si="717"/>
        <v>124761</v>
      </c>
      <c r="BE132" s="326" t="e">
        <f t="shared" si="718"/>
        <v>#VALUE!</v>
      </c>
      <c r="BF132" s="326" t="str">
        <f t="shared" si="719"/>
        <v/>
      </c>
      <c r="BG132" s="326">
        <f t="shared" si="720"/>
        <v>31097.25</v>
      </c>
      <c r="BH132" s="326">
        <f t="shared" si="742"/>
        <v>0</v>
      </c>
      <c r="BI132" s="326" t="e">
        <f t="shared" si="743"/>
        <v>#VALUE!</v>
      </c>
      <c r="BJ132" s="326" t="str">
        <f t="shared" si="744"/>
        <v/>
      </c>
      <c r="BK132" s="326">
        <f t="shared" si="745"/>
        <v>0</v>
      </c>
      <c r="BL132" s="326">
        <f t="shared" si="746"/>
        <v>92066.11</v>
      </c>
      <c r="BM132" s="326" t="e">
        <f t="shared" ref="BM132:BM137" si="754">BO132-BN132</f>
        <v>#VALUE!</v>
      </c>
      <c r="BN132" s="326" t="str">
        <f t="shared" ref="BN132:BN137" si="755">IFERROR(VLOOKUP(I132,MONTENALIM,11,FALSE),"")</f>
        <v/>
      </c>
      <c r="BO132" s="326">
        <f t="shared" ref="BO132:BO137" si="756">IFERROR(VLOOKUP(I132,MONTEFC,11,FALSE),"")</f>
        <v>83872.039999999994</v>
      </c>
      <c r="BP132" s="326">
        <f t="shared" ref="BP132:BP137" si="757">BR132-BQ132</f>
        <v>114969.29</v>
      </c>
      <c r="BQ132" s="326">
        <f t="shared" ref="BQ132:BR132" si="758">SUM(BN132,BJ132,BF132)</f>
        <v>0</v>
      </c>
      <c r="BR132" s="326">
        <f t="shared" si="758"/>
        <v>114969.29</v>
      </c>
      <c r="BS132" s="326">
        <f t="shared" si="747"/>
        <v>23172.94</v>
      </c>
      <c r="BT132" s="326" t="e">
        <f t="shared" ref="BT132:BT137" si="759">BV132-BU132</f>
        <v>#VALUE!</v>
      </c>
      <c r="BU132" s="326" t="str">
        <f t="shared" ref="BU132:BU137" si="760">IFERROR(VLOOKUP(I132,MONTENALIM,12,FALSE),"")</f>
        <v/>
      </c>
      <c r="BV132" s="333">
        <f t="shared" ref="BV132:BV137" si="761">IFERROR(VLOOKUP(I132,MONTEFC,12,FALSE),"")</f>
        <v>0</v>
      </c>
      <c r="BW132" s="123">
        <f t="shared" si="748"/>
        <v>0</v>
      </c>
      <c r="BX132" s="326">
        <f t="shared" si="749"/>
        <v>0</v>
      </c>
    </row>
    <row r="133" spans="1:76" ht="13">
      <c r="A133" s="92" t="e">
        <f t="shared" si="750"/>
        <v>#N/A</v>
      </c>
      <c r="B133" s="93">
        <f t="shared" si="724"/>
        <v>1</v>
      </c>
      <c r="C133" s="558" t="str">
        <f t="shared" si="725"/>
        <v>Lista</v>
      </c>
      <c r="D133" s="558">
        <f t="shared" si="726"/>
        <v>0.09</v>
      </c>
      <c r="E133" s="559">
        <f t="shared" si="727"/>
        <v>0</v>
      </c>
      <c r="F133" s="547">
        <f>VLOOKUP(I133,CART.MON.3,2,FALSE)</f>
        <v>71</v>
      </c>
      <c r="G133" s="699" t="str">
        <f>VLOOKUP(F133,A458DC1025,2,FALSE)</f>
        <v>Lista</v>
      </c>
      <c r="H133" s="702">
        <f>VLOOKUP(F133,A458DC1025,3,FALSE)</f>
        <v>0.05</v>
      </c>
      <c r="I133" s="423" t="s">
        <v>1387</v>
      </c>
      <c r="J133" s="326">
        <f t="shared" si="728"/>
        <v>107206.08</v>
      </c>
      <c r="K133" s="332">
        <f t="shared" si="729"/>
        <v>180218.780784</v>
      </c>
      <c r="L133" s="140" t="e">
        <f t="shared" si="693"/>
        <v>#VALUE!</v>
      </c>
      <c r="M133" s="326" t="str">
        <f t="shared" si="694"/>
        <v/>
      </c>
      <c r="N133" s="333" t="str">
        <f t="shared" si="695"/>
        <v/>
      </c>
      <c r="O133" s="123" t="e">
        <f t="shared" si="696"/>
        <v>#VALUE!</v>
      </c>
      <c r="P133" s="137" t="e">
        <f t="shared" si="697"/>
        <v>#VALUE!</v>
      </c>
      <c r="Q133" s="326">
        <f t="shared" si="698"/>
        <v>0</v>
      </c>
      <c r="R133" s="326">
        <f t="shared" si="721"/>
        <v>0</v>
      </c>
      <c r="S133" s="116" t="e">
        <f t="shared" si="699"/>
        <v>#VALUE!</v>
      </c>
      <c r="T133" s="326" t="str">
        <f t="shared" si="700"/>
        <v/>
      </c>
      <c r="U133" s="326" t="str">
        <f t="shared" si="701"/>
        <v/>
      </c>
      <c r="V133" s="326" t="e">
        <f t="shared" si="702"/>
        <v>#VALUE!</v>
      </c>
      <c r="W133" s="137" t="e">
        <f t="shared" si="703"/>
        <v>#VALUE!</v>
      </c>
      <c r="X133" s="326">
        <f t="shared" si="704"/>
        <v>35132.25</v>
      </c>
      <c r="Y133" s="332">
        <f t="shared" si="722"/>
        <v>58856.180118750002</v>
      </c>
      <c r="Z133" s="113" t="e">
        <f t="shared" si="705"/>
        <v>#VALUE!</v>
      </c>
      <c r="AA133" s="116" t="str">
        <f t="shared" si="706"/>
        <v/>
      </c>
      <c r="AB133" s="117" t="str">
        <f t="shared" si="707"/>
        <v/>
      </c>
      <c r="AC133" s="123"/>
      <c r="AD133" s="326"/>
      <c r="AE133" s="1257">
        <f t="shared" si="708"/>
        <v>239074.96090275</v>
      </c>
      <c r="AF133" s="140">
        <f t="shared" si="709"/>
        <v>425847.06</v>
      </c>
      <c r="AG133" s="326" t="e">
        <f t="shared" si="710"/>
        <v>#VALUE!</v>
      </c>
      <c r="AH133" s="326" t="e">
        <f t="shared" ref="AH133:AI133" si="762">AA133+T133+M133</f>
        <v>#VALUE!</v>
      </c>
      <c r="AI133" s="326" t="e">
        <f t="shared" si="762"/>
        <v>#VALUE!</v>
      </c>
      <c r="AJ133" s="326" t="e">
        <f t="shared" si="712"/>
        <v>#VALUE!</v>
      </c>
      <c r="AK133" s="1258" t="str">
        <f t="shared" si="713"/>
        <v/>
      </c>
      <c r="AL133" s="125">
        <f t="shared" si="731"/>
        <v>62073.98</v>
      </c>
      <c r="AM133" s="140" t="e">
        <f t="shared" si="732"/>
        <v>#VALUE!</v>
      </c>
      <c r="AN133" s="123" t="str">
        <f t="shared" si="733"/>
        <v/>
      </c>
      <c r="AO133" s="148" t="str">
        <f t="shared" si="734"/>
        <v/>
      </c>
      <c r="AP133" s="125">
        <f t="shared" si="735"/>
        <v>19763.14</v>
      </c>
      <c r="AQ133" s="140" t="e">
        <f t="shared" si="736"/>
        <v>#VALUE!</v>
      </c>
      <c r="AR133" s="326" t="str">
        <f t="shared" si="737"/>
        <v/>
      </c>
      <c r="AS133" s="333" t="str">
        <f t="shared" si="738"/>
        <v/>
      </c>
      <c r="AT133" s="123">
        <f t="shared" si="739"/>
        <v>0</v>
      </c>
      <c r="AU133" s="123" t="e">
        <f t="shared" si="714"/>
        <v>#VALUE!</v>
      </c>
      <c r="AV133" s="123" t="str">
        <f t="shared" si="715"/>
        <v/>
      </c>
      <c r="AW133" s="125" t="str">
        <f t="shared" si="716"/>
        <v/>
      </c>
      <c r="AX133" s="122" t="e">
        <f t="shared" ref="AX133:AZ133" si="763">SUM(AU133,AQ133,AM133)</f>
        <v>#VALUE!</v>
      </c>
      <c r="AY133" s="326">
        <f t="shared" si="763"/>
        <v>0</v>
      </c>
      <c r="AZ133" s="332">
        <f t="shared" si="763"/>
        <v>0</v>
      </c>
      <c r="BA133" s="140" t="e">
        <f t="shared" ref="BA133:BC133" si="764">SUM(AX133,AG133)</f>
        <v>#VALUE!</v>
      </c>
      <c r="BB133" s="332" t="e">
        <f t="shared" si="764"/>
        <v>#VALUE!</v>
      </c>
      <c r="BC133" s="326" t="e">
        <f t="shared" si="764"/>
        <v>#VALUE!</v>
      </c>
      <c r="BD133" s="326">
        <f t="shared" si="717"/>
        <v>0</v>
      </c>
      <c r="BE133" s="326" t="e">
        <f t="shared" si="718"/>
        <v>#VALUE!</v>
      </c>
      <c r="BF133" s="326" t="str">
        <f t="shared" si="719"/>
        <v/>
      </c>
      <c r="BG133" s="326" t="str">
        <f t="shared" si="720"/>
        <v/>
      </c>
      <c r="BH133" s="326">
        <f t="shared" si="742"/>
        <v>322324.12</v>
      </c>
      <c r="BI133" s="326" t="e">
        <f t="shared" si="743"/>
        <v>#VALUE!</v>
      </c>
      <c r="BJ133" s="326" t="str">
        <f t="shared" si="744"/>
        <v/>
      </c>
      <c r="BK133" s="326" t="str">
        <f t="shared" si="745"/>
        <v/>
      </c>
      <c r="BL133" s="326">
        <f t="shared" si="746"/>
        <v>221623.07</v>
      </c>
      <c r="BM133" s="326" t="e">
        <f t="shared" si="754"/>
        <v>#VALUE!</v>
      </c>
      <c r="BN133" s="326" t="str">
        <f t="shared" si="755"/>
        <v/>
      </c>
      <c r="BO133" s="326" t="str">
        <f t="shared" si="756"/>
        <v/>
      </c>
      <c r="BP133" s="326">
        <f t="shared" si="757"/>
        <v>0</v>
      </c>
      <c r="BQ133" s="326">
        <f t="shared" ref="BQ133:BR133" si="765">SUM(BN133,BJ133,BF133)</f>
        <v>0</v>
      </c>
      <c r="BR133" s="326">
        <f t="shared" si="765"/>
        <v>0</v>
      </c>
      <c r="BS133" s="326">
        <f t="shared" si="747"/>
        <v>111103.25</v>
      </c>
      <c r="BT133" s="326" t="e">
        <f t="shared" si="759"/>
        <v>#VALUE!</v>
      </c>
      <c r="BU133" s="326" t="str">
        <f t="shared" si="760"/>
        <v/>
      </c>
      <c r="BV133" s="333" t="str">
        <f t="shared" si="761"/>
        <v/>
      </c>
      <c r="BW133" s="123">
        <f t="shared" si="748"/>
        <v>213971.68</v>
      </c>
      <c r="BX133" s="326">
        <f t="shared" si="749"/>
        <v>100772.14</v>
      </c>
    </row>
    <row r="134" spans="1:76" ht="13">
      <c r="A134" s="92" t="e">
        <f t="shared" si="750"/>
        <v>#N/A</v>
      </c>
      <c r="B134" s="93">
        <f t="shared" si="724"/>
        <v>22</v>
      </c>
      <c r="C134" s="558">
        <f t="shared" si="725"/>
        <v>0.1</v>
      </c>
      <c r="D134" s="558">
        <f t="shared" si="726"/>
        <v>0.09</v>
      </c>
      <c r="E134" s="559">
        <f t="shared" si="727"/>
        <v>0</v>
      </c>
      <c r="F134" s="547">
        <f>VLOOKUP(I134,CART.MON.3,2,FALSE)</f>
        <v>63</v>
      </c>
      <c r="G134" s="699">
        <f>VLOOKUP(F134,A458DC1025,2,FALSE)</f>
        <v>0.1</v>
      </c>
      <c r="H134" s="702">
        <f>VLOOKUP(F134,A458DC1025,3,FALSE)</f>
        <v>0.05</v>
      </c>
      <c r="I134" s="423" t="s">
        <v>1388</v>
      </c>
      <c r="J134" s="326" t="str">
        <f t="shared" si="728"/>
        <v/>
      </c>
      <c r="K134" s="121">
        <v>1800000</v>
      </c>
      <c r="L134" s="140" t="e">
        <f t="shared" si="693"/>
        <v>#VALUE!</v>
      </c>
      <c r="M134" s="326" t="str">
        <f t="shared" si="694"/>
        <v/>
      </c>
      <c r="N134" s="333">
        <f t="shared" si="695"/>
        <v>0</v>
      </c>
      <c r="O134" s="123">
        <f t="shared" si="696"/>
        <v>-1800000</v>
      </c>
      <c r="P134" s="137">
        <f t="shared" si="697"/>
        <v>0</v>
      </c>
      <c r="Q134" s="326" t="str">
        <f t="shared" si="698"/>
        <v/>
      </c>
      <c r="R134" s="116">
        <v>1800000</v>
      </c>
      <c r="S134" s="116" t="e">
        <f t="shared" si="699"/>
        <v>#VALUE!</v>
      </c>
      <c r="T134" s="326" t="str">
        <f t="shared" si="700"/>
        <v/>
      </c>
      <c r="U134" s="326">
        <f t="shared" si="701"/>
        <v>791746.15</v>
      </c>
      <c r="V134" s="326">
        <f t="shared" si="702"/>
        <v>-1008253.85</v>
      </c>
      <c r="W134" s="137">
        <f t="shared" si="703"/>
        <v>0.43985897222222226</v>
      </c>
      <c r="X134" s="326" t="str">
        <f t="shared" si="704"/>
        <v/>
      </c>
      <c r="Y134" s="121">
        <v>1800000</v>
      </c>
      <c r="Z134" s="113" t="e">
        <f t="shared" si="705"/>
        <v>#VALUE!</v>
      </c>
      <c r="AA134" s="116" t="str">
        <f t="shared" si="706"/>
        <v/>
      </c>
      <c r="AB134" s="117">
        <f t="shared" si="707"/>
        <v>0</v>
      </c>
      <c r="AC134" s="114"/>
      <c r="AD134" s="116"/>
      <c r="AE134" s="1257">
        <f t="shared" si="708"/>
        <v>5400000</v>
      </c>
      <c r="AF134" s="140">
        <f t="shared" si="709"/>
        <v>1246824.97</v>
      </c>
      <c r="AG134" s="326" t="e">
        <f t="shared" si="710"/>
        <v>#VALUE!</v>
      </c>
      <c r="AH134" s="326" t="e">
        <f t="shared" ref="AH134:AI134" si="766">AA134+T134+M134</f>
        <v>#VALUE!</v>
      </c>
      <c r="AI134" s="326">
        <f t="shared" si="766"/>
        <v>791746.15</v>
      </c>
      <c r="AJ134" s="326">
        <f t="shared" si="712"/>
        <v>-455078.81999999995</v>
      </c>
      <c r="AK134" s="1258">
        <f t="shared" si="713"/>
        <v>0.63500986028536155</v>
      </c>
      <c r="AL134" s="125" t="str">
        <f t="shared" si="731"/>
        <v/>
      </c>
      <c r="AM134" s="140" t="e">
        <f t="shared" si="732"/>
        <v>#VALUE!</v>
      </c>
      <c r="AN134" s="123" t="str">
        <f t="shared" si="733"/>
        <v/>
      </c>
      <c r="AO134" s="148">
        <f t="shared" si="734"/>
        <v>785707.96</v>
      </c>
      <c r="AP134" s="125" t="str">
        <f t="shared" si="735"/>
        <v/>
      </c>
      <c r="AQ134" s="140" t="e">
        <f t="shared" si="736"/>
        <v>#VALUE!</v>
      </c>
      <c r="AR134" s="326" t="str">
        <f t="shared" si="737"/>
        <v/>
      </c>
      <c r="AS134" s="333">
        <f t="shared" si="738"/>
        <v>94696.78</v>
      </c>
      <c r="AT134" s="123" t="str">
        <f t="shared" si="739"/>
        <v/>
      </c>
      <c r="AU134" s="123" t="e">
        <f t="shared" si="714"/>
        <v>#VALUE!</v>
      </c>
      <c r="AV134" s="123" t="str">
        <f t="shared" si="715"/>
        <v/>
      </c>
      <c r="AW134" s="125">
        <f t="shared" si="716"/>
        <v>385983.67</v>
      </c>
      <c r="AX134" s="122" t="e">
        <f t="shared" ref="AX134:AZ134" si="767">SUM(AU134,AQ134,AM134)</f>
        <v>#VALUE!</v>
      </c>
      <c r="AY134" s="326">
        <f t="shared" si="767"/>
        <v>0</v>
      </c>
      <c r="AZ134" s="332">
        <f t="shared" si="767"/>
        <v>1266388.4099999999</v>
      </c>
      <c r="BA134" s="140" t="e">
        <f t="shared" ref="BA134:BC134" si="768">SUM(AX134,AG134)</f>
        <v>#VALUE!</v>
      </c>
      <c r="BB134" s="332" t="e">
        <f t="shared" si="768"/>
        <v>#VALUE!</v>
      </c>
      <c r="BC134" s="326">
        <f t="shared" si="768"/>
        <v>2058134.56</v>
      </c>
      <c r="BD134" s="326" t="str">
        <f t="shared" si="717"/>
        <v/>
      </c>
      <c r="BE134" s="326" t="e">
        <f t="shared" si="718"/>
        <v>#VALUE!</v>
      </c>
      <c r="BF134" s="326" t="str">
        <f t="shared" si="719"/>
        <v/>
      </c>
      <c r="BG134" s="326">
        <f t="shared" si="720"/>
        <v>874212.27</v>
      </c>
      <c r="BH134" s="326" t="str">
        <f t="shared" si="742"/>
        <v/>
      </c>
      <c r="BI134" s="326" t="e">
        <f t="shared" si="743"/>
        <v>#VALUE!</v>
      </c>
      <c r="BJ134" s="326" t="str">
        <f t="shared" si="744"/>
        <v/>
      </c>
      <c r="BK134" s="326">
        <f t="shared" si="745"/>
        <v>466957.25</v>
      </c>
      <c r="BL134" s="326" t="str">
        <f t="shared" si="746"/>
        <v/>
      </c>
      <c r="BM134" s="326" t="e">
        <f t="shared" si="754"/>
        <v>#VALUE!</v>
      </c>
      <c r="BN134" s="326" t="str">
        <f t="shared" si="755"/>
        <v/>
      </c>
      <c r="BO134" s="326">
        <f t="shared" si="756"/>
        <v>70120.509999999995</v>
      </c>
      <c r="BP134" s="326">
        <f t="shared" si="757"/>
        <v>1411290.03</v>
      </c>
      <c r="BQ134" s="326">
        <f t="shared" ref="BQ134:BR134" si="769">SUM(BN134,BJ134,BF134)</f>
        <v>0</v>
      </c>
      <c r="BR134" s="326">
        <f t="shared" si="769"/>
        <v>1411290.03</v>
      </c>
      <c r="BS134" s="326" t="str">
        <f t="shared" si="747"/>
        <v/>
      </c>
      <c r="BT134" s="326" t="e">
        <f t="shared" si="759"/>
        <v>#VALUE!</v>
      </c>
      <c r="BU134" s="326" t="str">
        <f t="shared" si="760"/>
        <v/>
      </c>
      <c r="BV134" s="333">
        <f t="shared" si="761"/>
        <v>877778.8</v>
      </c>
      <c r="BW134" s="123" t="str">
        <f t="shared" si="748"/>
        <v/>
      </c>
      <c r="BX134" s="326" t="str">
        <f t="shared" si="749"/>
        <v/>
      </c>
    </row>
    <row r="135" spans="1:76" ht="13">
      <c r="A135" s="92" t="e">
        <f t="shared" si="750"/>
        <v>#N/A</v>
      </c>
      <c r="B135" s="93">
        <f t="shared" si="724"/>
        <v>1</v>
      </c>
      <c r="C135" s="558" t="str">
        <f t="shared" si="725"/>
        <v>Lista</v>
      </c>
      <c r="D135" s="558">
        <f t="shared" si="726"/>
        <v>0.09</v>
      </c>
      <c r="E135" s="559">
        <f t="shared" si="727"/>
        <v>0</v>
      </c>
      <c r="F135" s="547">
        <f>VLOOKUP(I135,CART.MON.3,2,FALSE)</f>
        <v>71</v>
      </c>
      <c r="G135" s="699" t="str">
        <f>VLOOKUP(F135,A458DC1025,2,FALSE)</f>
        <v>Lista</v>
      </c>
      <c r="H135" s="702">
        <f>VLOOKUP(F135,A458DC1025,3,FALSE)</f>
        <v>0.05</v>
      </c>
      <c r="I135" s="423" t="s">
        <v>1389</v>
      </c>
      <c r="J135" s="326">
        <f t="shared" si="728"/>
        <v>331885.31</v>
      </c>
      <c r="K135" s="332">
        <f t="shared" ref="K135:K137" si="770">(J135*1.601)*1.05</f>
        <v>557915.8003755</v>
      </c>
      <c r="L135" s="140">
        <f t="shared" si="693"/>
        <v>0</v>
      </c>
      <c r="M135" s="326">
        <f t="shared" si="694"/>
        <v>83587.53</v>
      </c>
      <c r="N135" s="333">
        <f t="shared" si="695"/>
        <v>83587.53</v>
      </c>
      <c r="O135" s="123">
        <f t="shared" si="696"/>
        <v>-474328.27037549997</v>
      </c>
      <c r="P135" s="137">
        <f t="shared" si="697"/>
        <v>0.14982104816487038</v>
      </c>
      <c r="Q135" s="326">
        <f t="shared" si="698"/>
        <v>98991.28</v>
      </c>
      <c r="R135" s="326">
        <f t="shared" ref="R135:R137" si="771">(Q135*1.7245)*1.05</f>
        <v>179245.98547799999</v>
      </c>
      <c r="S135" s="116">
        <f t="shared" si="699"/>
        <v>0</v>
      </c>
      <c r="T135" s="326">
        <f t="shared" si="700"/>
        <v>197932.52</v>
      </c>
      <c r="U135" s="326">
        <f t="shared" si="701"/>
        <v>197932.52</v>
      </c>
      <c r="V135" s="326">
        <f t="shared" si="702"/>
        <v>18686.534522000002</v>
      </c>
      <c r="W135" s="137">
        <f t="shared" si="703"/>
        <v>1.10425078403942</v>
      </c>
      <c r="X135" s="326">
        <f t="shared" si="704"/>
        <v>191902.96</v>
      </c>
      <c r="Y135" s="332">
        <f t="shared" ref="Y135:Y137" si="772">(X135*1.5955)*1.05</f>
        <v>321490.23131399998</v>
      </c>
      <c r="Z135" s="113">
        <f t="shared" si="705"/>
        <v>0</v>
      </c>
      <c r="AA135" s="116">
        <f t="shared" si="706"/>
        <v>241551.07</v>
      </c>
      <c r="AB135" s="117">
        <f t="shared" si="707"/>
        <v>241551.07</v>
      </c>
      <c r="AC135" s="123"/>
      <c r="AD135" s="326"/>
      <c r="AE135" s="1257">
        <f t="shared" si="708"/>
        <v>1058652.0171675</v>
      </c>
      <c r="AF135" s="140">
        <f t="shared" si="709"/>
        <v>410612.36</v>
      </c>
      <c r="AG135" s="326">
        <f t="shared" si="710"/>
        <v>0</v>
      </c>
      <c r="AH135" s="326">
        <f t="shared" ref="AH135:AI135" si="773">AA135+T135+M135</f>
        <v>523071.12</v>
      </c>
      <c r="AI135" s="326">
        <f t="shared" si="773"/>
        <v>523071.12</v>
      </c>
      <c r="AJ135" s="326">
        <f t="shared" si="712"/>
        <v>112458.76000000001</v>
      </c>
      <c r="AK135" s="1258">
        <f t="shared" si="713"/>
        <v>1.2738806011587183</v>
      </c>
      <c r="AL135" s="125">
        <f t="shared" si="731"/>
        <v>55647.56</v>
      </c>
      <c r="AM135" s="140">
        <f t="shared" si="732"/>
        <v>0</v>
      </c>
      <c r="AN135" s="123">
        <f t="shared" si="733"/>
        <v>133608.26999999999</v>
      </c>
      <c r="AO135" s="148">
        <f t="shared" si="734"/>
        <v>133608.26999999999</v>
      </c>
      <c r="AP135" s="125">
        <f t="shared" si="735"/>
        <v>433818.4</v>
      </c>
      <c r="AQ135" s="140">
        <f t="shared" si="736"/>
        <v>0</v>
      </c>
      <c r="AR135" s="326">
        <f t="shared" si="737"/>
        <v>0</v>
      </c>
      <c r="AS135" s="333">
        <f t="shared" si="738"/>
        <v>0</v>
      </c>
      <c r="AT135" s="123">
        <f t="shared" si="739"/>
        <v>135964.85</v>
      </c>
      <c r="AU135" s="123">
        <f t="shared" si="714"/>
        <v>0</v>
      </c>
      <c r="AV135" s="123">
        <f t="shared" si="715"/>
        <v>381126.17</v>
      </c>
      <c r="AW135" s="125">
        <f t="shared" si="716"/>
        <v>381126.17</v>
      </c>
      <c r="AX135" s="122">
        <f t="shared" ref="AX135:AZ135" si="774">SUM(AU135,AQ135,AM135)</f>
        <v>0</v>
      </c>
      <c r="AY135" s="326">
        <f t="shared" si="774"/>
        <v>514734.43999999994</v>
      </c>
      <c r="AZ135" s="332">
        <f t="shared" si="774"/>
        <v>514734.43999999994</v>
      </c>
      <c r="BA135" s="140">
        <f t="shared" ref="BA135:BC135" si="775">SUM(AX135,AG135)</f>
        <v>0</v>
      </c>
      <c r="BB135" s="332">
        <f t="shared" si="775"/>
        <v>1037805.5599999999</v>
      </c>
      <c r="BC135" s="326">
        <f t="shared" si="775"/>
        <v>1037805.5599999999</v>
      </c>
      <c r="BD135" s="326">
        <f t="shared" si="717"/>
        <v>103280.96000000001</v>
      </c>
      <c r="BE135" s="326">
        <f t="shared" si="718"/>
        <v>0</v>
      </c>
      <c r="BF135" s="326">
        <f t="shared" si="719"/>
        <v>69774.7</v>
      </c>
      <c r="BG135" s="326">
        <f t="shared" si="720"/>
        <v>69774.7</v>
      </c>
      <c r="BH135" s="326">
        <f t="shared" si="742"/>
        <v>0</v>
      </c>
      <c r="BI135" s="326">
        <f t="shared" si="743"/>
        <v>0</v>
      </c>
      <c r="BJ135" s="326">
        <f t="shared" si="744"/>
        <v>0</v>
      </c>
      <c r="BK135" s="326">
        <f t="shared" si="745"/>
        <v>0</v>
      </c>
      <c r="BL135" s="326">
        <f t="shared" si="746"/>
        <v>223417.58</v>
      </c>
      <c r="BM135" s="326">
        <f t="shared" si="754"/>
        <v>0</v>
      </c>
      <c r="BN135" s="326">
        <f t="shared" si="755"/>
        <v>749576.98</v>
      </c>
      <c r="BO135" s="326">
        <f t="shared" si="756"/>
        <v>749576.98</v>
      </c>
      <c r="BP135" s="326">
        <f t="shared" si="757"/>
        <v>0</v>
      </c>
      <c r="BQ135" s="326">
        <f t="shared" ref="BQ135:BR135" si="776">SUM(BN135,BJ135,BF135)</f>
        <v>819351.67999999993</v>
      </c>
      <c r="BR135" s="326">
        <f t="shared" si="776"/>
        <v>819351.67999999993</v>
      </c>
      <c r="BS135" s="326">
        <f t="shared" si="747"/>
        <v>0</v>
      </c>
      <c r="BT135" s="326">
        <f t="shared" si="759"/>
        <v>0</v>
      </c>
      <c r="BU135" s="326">
        <f t="shared" si="760"/>
        <v>172114.96</v>
      </c>
      <c r="BV135" s="333">
        <f t="shared" si="761"/>
        <v>172114.96</v>
      </c>
      <c r="BW135" s="123">
        <f t="shared" si="748"/>
        <v>120043.36</v>
      </c>
      <c r="BX135" s="326">
        <f t="shared" si="749"/>
        <v>290569</v>
      </c>
    </row>
    <row r="136" spans="1:76" ht="13">
      <c r="A136" s="92" t="e">
        <f t="shared" si="750"/>
        <v>#N/A</v>
      </c>
      <c r="B136" s="93">
        <f t="shared" si="724"/>
        <v>1</v>
      </c>
      <c r="C136" s="558" t="str">
        <f t="shared" si="725"/>
        <v>Lista</v>
      </c>
      <c r="D136" s="558">
        <f t="shared" si="726"/>
        <v>0.09</v>
      </c>
      <c r="E136" s="559">
        <f t="shared" si="727"/>
        <v>0</v>
      </c>
      <c r="F136" s="547">
        <f>VLOOKUP(I136,CART.MON.3,2,FALSE)</f>
        <v>71</v>
      </c>
      <c r="G136" s="699" t="str">
        <f>VLOOKUP(F136,A458DC1025,2,FALSE)</f>
        <v>Lista</v>
      </c>
      <c r="H136" s="702">
        <f>VLOOKUP(F136,A458DC1025,3,FALSE)</f>
        <v>0.05</v>
      </c>
      <c r="I136" s="423" t="s">
        <v>1390</v>
      </c>
      <c r="J136" s="326">
        <f t="shared" si="728"/>
        <v>0</v>
      </c>
      <c r="K136" s="332">
        <f t="shared" si="770"/>
        <v>0</v>
      </c>
      <c r="L136" s="140" t="e">
        <f t="shared" si="693"/>
        <v>#VALUE!</v>
      </c>
      <c r="M136" s="326" t="str">
        <f t="shared" si="694"/>
        <v/>
      </c>
      <c r="N136" s="333" t="str">
        <f t="shared" si="695"/>
        <v/>
      </c>
      <c r="O136" s="123" t="e">
        <f t="shared" si="696"/>
        <v>#VALUE!</v>
      </c>
      <c r="P136" s="137" t="e">
        <f t="shared" si="697"/>
        <v>#VALUE!</v>
      </c>
      <c r="Q136" s="326">
        <f t="shared" si="698"/>
        <v>0</v>
      </c>
      <c r="R136" s="326">
        <f t="shared" si="771"/>
        <v>0</v>
      </c>
      <c r="S136" s="116" t="e">
        <f t="shared" si="699"/>
        <v>#VALUE!</v>
      </c>
      <c r="T136" s="326" t="str">
        <f t="shared" si="700"/>
        <v/>
      </c>
      <c r="U136" s="326" t="str">
        <f t="shared" si="701"/>
        <v/>
      </c>
      <c r="V136" s="326" t="e">
        <f t="shared" si="702"/>
        <v>#VALUE!</v>
      </c>
      <c r="W136" s="137" t="e">
        <f t="shared" si="703"/>
        <v>#VALUE!</v>
      </c>
      <c r="X136" s="326">
        <f t="shared" si="704"/>
        <v>0</v>
      </c>
      <c r="Y136" s="332">
        <f t="shared" si="772"/>
        <v>0</v>
      </c>
      <c r="Z136" s="113" t="e">
        <f t="shared" si="705"/>
        <v>#VALUE!</v>
      </c>
      <c r="AA136" s="116" t="str">
        <f t="shared" si="706"/>
        <v/>
      </c>
      <c r="AB136" s="117" t="str">
        <f t="shared" si="707"/>
        <v/>
      </c>
      <c r="AC136" s="123"/>
      <c r="AD136" s="326"/>
      <c r="AE136" s="1257">
        <f t="shared" si="708"/>
        <v>0</v>
      </c>
      <c r="AF136" s="140" t="str">
        <f t="shared" si="709"/>
        <v>0</v>
      </c>
      <c r="AG136" s="326" t="e">
        <f t="shared" si="710"/>
        <v>#VALUE!</v>
      </c>
      <c r="AH136" s="326" t="e">
        <f t="shared" ref="AH136:AI136" si="777">AA136+T136+M136</f>
        <v>#VALUE!</v>
      </c>
      <c r="AI136" s="326" t="e">
        <f t="shared" si="777"/>
        <v>#VALUE!</v>
      </c>
      <c r="AJ136" s="326" t="e">
        <f t="shared" si="712"/>
        <v>#VALUE!</v>
      </c>
      <c r="AK136" s="1258" t="str">
        <f t="shared" si="713"/>
        <v/>
      </c>
      <c r="AL136" s="125">
        <f t="shared" si="731"/>
        <v>743636.43</v>
      </c>
      <c r="AM136" s="140" t="e">
        <f t="shared" si="732"/>
        <v>#VALUE!</v>
      </c>
      <c r="AN136" s="123" t="str">
        <f t="shared" si="733"/>
        <v/>
      </c>
      <c r="AO136" s="148" t="str">
        <f t="shared" si="734"/>
        <v/>
      </c>
      <c r="AP136" s="125">
        <f t="shared" si="735"/>
        <v>990772.65</v>
      </c>
      <c r="AQ136" s="140" t="e">
        <f t="shared" si="736"/>
        <v>#VALUE!</v>
      </c>
      <c r="AR136" s="326" t="str">
        <f t="shared" si="737"/>
        <v/>
      </c>
      <c r="AS136" s="333" t="str">
        <f t="shared" si="738"/>
        <v/>
      </c>
      <c r="AT136" s="123">
        <f t="shared" si="739"/>
        <v>757410.05</v>
      </c>
      <c r="AU136" s="123" t="e">
        <f t="shared" si="714"/>
        <v>#VALUE!</v>
      </c>
      <c r="AV136" s="123" t="str">
        <f t="shared" si="715"/>
        <v/>
      </c>
      <c r="AW136" s="125" t="str">
        <f t="shared" si="716"/>
        <v/>
      </c>
      <c r="AX136" s="122" t="e">
        <f t="shared" ref="AX136:AZ136" si="778">SUM(AU136,AQ136,AM136)</f>
        <v>#VALUE!</v>
      </c>
      <c r="AY136" s="326">
        <f t="shared" si="778"/>
        <v>0</v>
      </c>
      <c r="AZ136" s="332">
        <f t="shared" si="778"/>
        <v>0</v>
      </c>
      <c r="BA136" s="140" t="e">
        <f t="shared" ref="BA136:BC136" si="779">SUM(AX136,AG136)</f>
        <v>#VALUE!</v>
      </c>
      <c r="BB136" s="332" t="e">
        <f t="shared" si="779"/>
        <v>#VALUE!</v>
      </c>
      <c r="BC136" s="326" t="e">
        <f t="shared" si="779"/>
        <v>#VALUE!</v>
      </c>
      <c r="BD136" s="326">
        <f t="shared" si="717"/>
        <v>351053.4</v>
      </c>
      <c r="BE136" s="326" t="e">
        <f t="shared" si="718"/>
        <v>#VALUE!</v>
      </c>
      <c r="BF136" s="326" t="str">
        <f t="shared" si="719"/>
        <v/>
      </c>
      <c r="BG136" s="326" t="str">
        <f t="shared" si="720"/>
        <v/>
      </c>
      <c r="BH136" s="326">
        <f t="shared" si="742"/>
        <v>2808860.8</v>
      </c>
      <c r="BI136" s="326" t="e">
        <f t="shared" si="743"/>
        <v>#VALUE!</v>
      </c>
      <c r="BJ136" s="326" t="str">
        <f t="shared" si="744"/>
        <v/>
      </c>
      <c r="BK136" s="326" t="str">
        <f t="shared" si="745"/>
        <v/>
      </c>
      <c r="BL136" s="326">
        <f t="shared" si="746"/>
        <v>867032.2</v>
      </c>
      <c r="BM136" s="326" t="e">
        <f t="shared" si="754"/>
        <v>#VALUE!</v>
      </c>
      <c r="BN136" s="326" t="str">
        <f t="shared" si="755"/>
        <v/>
      </c>
      <c r="BO136" s="326" t="str">
        <f t="shared" si="756"/>
        <v/>
      </c>
      <c r="BP136" s="326">
        <f t="shared" si="757"/>
        <v>0</v>
      </c>
      <c r="BQ136" s="326">
        <f t="shared" ref="BQ136:BR136" si="780">SUM(BN136,BJ136,BF136)</f>
        <v>0</v>
      </c>
      <c r="BR136" s="326">
        <f t="shared" si="780"/>
        <v>0</v>
      </c>
      <c r="BS136" s="326">
        <f t="shared" si="747"/>
        <v>0</v>
      </c>
      <c r="BT136" s="326" t="e">
        <f t="shared" si="759"/>
        <v>#VALUE!</v>
      </c>
      <c r="BU136" s="326" t="str">
        <f t="shared" si="760"/>
        <v/>
      </c>
      <c r="BV136" s="333" t="str">
        <f t="shared" si="761"/>
        <v/>
      </c>
      <c r="BW136" s="123">
        <f t="shared" si="748"/>
        <v>0</v>
      </c>
      <c r="BX136" s="326">
        <f t="shared" si="749"/>
        <v>0</v>
      </c>
    </row>
    <row r="137" spans="1:76" ht="13">
      <c r="A137" s="92" t="e">
        <f t="shared" si="750"/>
        <v>#N/A</v>
      </c>
      <c r="B137" s="93">
        <f t="shared" si="724"/>
        <v>1</v>
      </c>
      <c r="C137" s="558" t="str">
        <f t="shared" si="725"/>
        <v>Lista</v>
      </c>
      <c r="D137" s="558">
        <f t="shared" si="726"/>
        <v>0.09</v>
      </c>
      <c r="E137" s="559">
        <f t="shared" si="727"/>
        <v>0</v>
      </c>
      <c r="F137" s="547">
        <f>VLOOKUP(I137,CART.MON.3,2,FALSE)</f>
        <v>71</v>
      </c>
      <c r="G137" s="699" t="str">
        <f>VLOOKUP(F137,A458DC1025,2,FALSE)</f>
        <v>Lista</v>
      </c>
      <c r="H137" s="702">
        <f>VLOOKUP(F137,A458DC1025,3,FALSE)</f>
        <v>0.05</v>
      </c>
      <c r="I137" s="423" t="s">
        <v>1391</v>
      </c>
      <c r="J137" s="326">
        <f t="shared" si="728"/>
        <v>0</v>
      </c>
      <c r="K137" s="332">
        <f t="shared" si="770"/>
        <v>0</v>
      </c>
      <c r="L137" s="140" t="e">
        <f t="shared" si="693"/>
        <v>#VALUE!</v>
      </c>
      <c r="M137" s="326" t="str">
        <f t="shared" si="694"/>
        <v/>
      </c>
      <c r="N137" s="333" t="str">
        <f t="shared" si="695"/>
        <v/>
      </c>
      <c r="O137" s="123" t="e">
        <f t="shared" si="696"/>
        <v>#VALUE!</v>
      </c>
      <c r="P137" s="137" t="e">
        <f t="shared" si="697"/>
        <v>#VALUE!</v>
      </c>
      <c r="Q137" s="326">
        <f t="shared" si="698"/>
        <v>0</v>
      </c>
      <c r="R137" s="326">
        <f t="shared" si="771"/>
        <v>0</v>
      </c>
      <c r="S137" s="116" t="e">
        <f t="shared" si="699"/>
        <v>#VALUE!</v>
      </c>
      <c r="T137" s="326" t="str">
        <f t="shared" si="700"/>
        <v/>
      </c>
      <c r="U137" s="326" t="str">
        <f t="shared" si="701"/>
        <v/>
      </c>
      <c r="V137" s="326" t="e">
        <f t="shared" si="702"/>
        <v>#VALUE!</v>
      </c>
      <c r="W137" s="137" t="e">
        <f t="shared" si="703"/>
        <v>#VALUE!</v>
      </c>
      <c r="X137" s="326">
        <f t="shared" si="704"/>
        <v>0</v>
      </c>
      <c r="Y137" s="332">
        <f t="shared" si="772"/>
        <v>0</v>
      </c>
      <c r="Z137" s="113" t="e">
        <f t="shared" si="705"/>
        <v>#VALUE!</v>
      </c>
      <c r="AA137" s="116" t="str">
        <f t="shared" si="706"/>
        <v/>
      </c>
      <c r="AB137" s="117" t="str">
        <f t="shared" si="707"/>
        <v/>
      </c>
      <c r="AC137" s="123"/>
      <c r="AD137" s="326"/>
      <c r="AE137" s="1257">
        <f t="shared" si="708"/>
        <v>0</v>
      </c>
      <c r="AF137" s="140" t="str">
        <f t="shared" si="709"/>
        <v>0</v>
      </c>
      <c r="AG137" s="326" t="e">
        <f t="shared" si="710"/>
        <v>#VALUE!</v>
      </c>
      <c r="AH137" s="326" t="e">
        <f t="shared" ref="AH137:AI137" si="781">AA137+T137+M137</f>
        <v>#VALUE!</v>
      </c>
      <c r="AI137" s="326" t="e">
        <f t="shared" si="781"/>
        <v>#VALUE!</v>
      </c>
      <c r="AJ137" s="326" t="e">
        <f t="shared" si="712"/>
        <v>#VALUE!</v>
      </c>
      <c r="AK137" s="1258" t="str">
        <f t="shared" si="713"/>
        <v/>
      </c>
      <c r="AL137" s="125">
        <f t="shared" si="731"/>
        <v>0</v>
      </c>
      <c r="AM137" s="140" t="e">
        <f t="shared" si="732"/>
        <v>#VALUE!</v>
      </c>
      <c r="AN137" s="123" t="str">
        <f t="shared" si="733"/>
        <v/>
      </c>
      <c r="AO137" s="148" t="str">
        <f t="shared" si="734"/>
        <v/>
      </c>
      <c r="AP137" s="125">
        <f t="shared" si="735"/>
        <v>0</v>
      </c>
      <c r="AQ137" s="140" t="e">
        <f t="shared" si="736"/>
        <v>#VALUE!</v>
      </c>
      <c r="AR137" s="326" t="str">
        <f t="shared" si="737"/>
        <v/>
      </c>
      <c r="AS137" s="333" t="str">
        <f t="shared" si="738"/>
        <v/>
      </c>
      <c r="AT137" s="123">
        <f t="shared" si="739"/>
        <v>0</v>
      </c>
      <c r="AU137" s="123" t="e">
        <f t="shared" si="714"/>
        <v>#VALUE!</v>
      </c>
      <c r="AV137" s="123" t="str">
        <f t="shared" si="715"/>
        <v/>
      </c>
      <c r="AW137" s="125" t="str">
        <f t="shared" si="716"/>
        <v/>
      </c>
      <c r="AX137" s="122" t="e">
        <f t="shared" ref="AX137:AZ137" si="782">SUM(AU137,AQ137,AM137)</f>
        <v>#VALUE!</v>
      </c>
      <c r="AY137" s="326">
        <f t="shared" si="782"/>
        <v>0</v>
      </c>
      <c r="AZ137" s="332">
        <f t="shared" si="782"/>
        <v>0</v>
      </c>
      <c r="BA137" s="140" t="e">
        <f t="shared" ref="BA137:BC137" si="783">SUM(AX137,AG137)</f>
        <v>#VALUE!</v>
      </c>
      <c r="BB137" s="332" t="e">
        <f t="shared" si="783"/>
        <v>#VALUE!</v>
      </c>
      <c r="BC137" s="326" t="e">
        <f t="shared" si="783"/>
        <v>#VALUE!</v>
      </c>
      <c r="BD137" s="326">
        <f t="shared" si="717"/>
        <v>23499</v>
      </c>
      <c r="BE137" s="326" t="e">
        <f t="shared" si="718"/>
        <v>#VALUE!</v>
      </c>
      <c r="BF137" s="326" t="str">
        <f t="shared" si="719"/>
        <v/>
      </c>
      <c r="BG137" s="326" t="str">
        <f t="shared" si="720"/>
        <v/>
      </c>
      <c r="BH137" s="326">
        <f t="shared" si="742"/>
        <v>0</v>
      </c>
      <c r="BI137" s="326" t="e">
        <f t="shared" si="743"/>
        <v>#VALUE!</v>
      </c>
      <c r="BJ137" s="326" t="str">
        <f t="shared" si="744"/>
        <v/>
      </c>
      <c r="BK137" s="326" t="str">
        <f t="shared" si="745"/>
        <v/>
      </c>
      <c r="BL137" s="326">
        <f t="shared" si="746"/>
        <v>0</v>
      </c>
      <c r="BM137" s="326" t="e">
        <f t="shared" si="754"/>
        <v>#VALUE!</v>
      </c>
      <c r="BN137" s="326" t="str">
        <f t="shared" si="755"/>
        <v/>
      </c>
      <c r="BO137" s="326" t="str">
        <f t="shared" si="756"/>
        <v/>
      </c>
      <c r="BP137" s="326">
        <f t="shared" si="757"/>
        <v>0</v>
      </c>
      <c r="BQ137" s="326">
        <f t="shared" ref="BQ137:BR137" si="784">SUM(BN137,BJ137,BF137)</f>
        <v>0</v>
      </c>
      <c r="BR137" s="326">
        <f t="shared" si="784"/>
        <v>0</v>
      </c>
      <c r="BS137" s="326">
        <f t="shared" si="747"/>
        <v>0</v>
      </c>
      <c r="BT137" s="326" t="e">
        <f t="shared" si="759"/>
        <v>#VALUE!</v>
      </c>
      <c r="BU137" s="326" t="str">
        <f t="shared" si="760"/>
        <v/>
      </c>
      <c r="BV137" s="333" t="str">
        <f t="shared" si="761"/>
        <v/>
      </c>
      <c r="BW137" s="123">
        <f t="shared" si="748"/>
        <v>0</v>
      </c>
      <c r="BX137" s="326">
        <f t="shared" si="749"/>
        <v>0</v>
      </c>
    </row>
    <row r="138" spans="1:76" ht="13">
      <c r="A138" s="92" t="e">
        <f>VLOOKUP(I138,MONTENCART2,3,FALSE)</f>
        <v>#N/A</v>
      </c>
      <c r="B138" s="93" t="e">
        <f t="shared" si="724"/>
        <v>#N/A</v>
      </c>
      <c r="C138" s="558" t="str">
        <f t="shared" si="725"/>
        <v/>
      </c>
      <c r="D138" s="558" t="str">
        <f t="shared" si="726"/>
        <v/>
      </c>
      <c r="E138" s="715" t="str">
        <f t="shared" si="727"/>
        <v/>
      </c>
      <c r="F138" s="636"/>
      <c r="G138" s="558"/>
      <c r="H138" s="559"/>
      <c r="I138" s="423" t="s">
        <v>1392</v>
      </c>
      <c r="J138" s="326">
        <f t="shared" si="728"/>
        <v>0</v>
      </c>
      <c r="K138" s="121">
        <v>1800000</v>
      </c>
      <c r="L138" s="140" t="e">
        <f t="shared" si="693"/>
        <v>#VALUE!</v>
      </c>
      <c r="M138" s="326" t="str">
        <f t="shared" si="694"/>
        <v/>
      </c>
      <c r="N138" s="333" t="str">
        <f t="shared" si="695"/>
        <v/>
      </c>
      <c r="O138" s="123" t="e">
        <f t="shared" si="696"/>
        <v>#VALUE!</v>
      </c>
      <c r="P138" s="137" t="e">
        <f t="shared" si="697"/>
        <v>#VALUE!</v>
      </c>
      <c r="Q138" s="326">
        <f t="shared" si="698"/>
        <v>0</v>
      </c>
      <c r="R138" s="116">
        <v>1800000</v>
      </c>
      <c r="S138" s="116" t="e">
        <f t="shared" si="699"/>
        <v>#VALUE!</v>
      </c>
      <c r="T138" s="326" t="str">
        <f t="shared" si="700"/>
        <v/>
      </c>
      <c r="U138" s="326" t="str">
        <f t="shared" si="701"/>
        <v/>
      </c>
      <c r="V138" s="326" t="e">
        <f t="shared" si="702"/>
        <v>#VALUE!</v>
      </c>
      <c r="W138" s="137" t="e">
        <f t="shared" si="703"/>
        <v>#VALUE!</v>
      </c>
      <c r="X138" s="326">
        <f t="shared" si="704"/>
        <v>0</v>
      </c>
      <c r="Y138" s="121">
        <v>1800000</v>
      </c>
      <c r="Z138" s="113" t="e">
        <f t="shared" si="705"/>
        <v>#VALUE!</v>
      </c>
      <c r="AA138" s="116" t="str">
        <f t="shared" si="706"/>
        <v/>
      </c>
      <c r="AB138" s="117" t="str">
        <f t="shared" si="707"/>
        <v/>
      </c>
      <c r="AC138" s="114"/>
      <c r="AD138" s="116"/>
      <c r="AE138" s="1257">
        <f t="shared" si="708"/>
        <v>5400000</v>
      </c>
      <c r="AF138" s="140" t="str">
        <f t="shared" si="709"/>
        <v>0</v>
      </c>
      <c r="AG138" s="326" t="e">
        <f t="shared" si="710"/>
        <v>#VALUE!</v>
      </c>
      <c r="AH138" s="326" t="e">
        <f t="shared" ref="AH138:AI138" si="785">AA138+T138+M138</f>
        <v>#VALUE!</v>
      </c>
      <c r="AI138" s="326" t="e">
        <f t="shared" si="785"/>
        <v>#VALUE!</v>
      </c>
      <c r="AJ138" s="326" t="e">
        <f t="shared" si="712"/>
        <v>#VALUE!</v>
      </c>
      <c r="AK138" s="1258" t="str">
        <f t="shared" si="713"/>
        <v/>
      </c>
      <c r="AL138" s="125">
        <f t="shared" si="731"/>
        <v>0</v>
      </c>
      <c r="AM138" s="140" t="e">
        <f t="shared" si="732"/>
        <v>#VALUE!</v>
      </c>
      <c r="AN138" s="123" t="str">
        <f t="shared" si="733"/>
        <v/>
      </c>
      <c r="AO138" s="148" t="str">
        <f t="shared" si="734"/>
        <v/>
      </c>
      <c r="AP138" s="125">
        <f t="shared" si="735"/>
        <v>0</v>
      </c>
      <c r="AQ138" s="140" t="e">
        <f t="shared" si="736"/>
        <v>#VALUE!</v>
      </c>
      <c r="AR138" s="326" t="str">
        <f t="shared" si="737"/>
        <v/>
      </c>
      <c r="AS138" s="333" t="str">
        <f t="shared" si="738"/>
        <v/>
      </c>
      <c r="AT138" s="123">
        <f t="shared" si="739"/>
        <v>710593.52</v>
      </c>
      <c r="AU138" s="123" t="e">
        <f t="shared" si="714"/>
        <v>#VALUE!</v>
      </c>
      <c r="AV138" s="123" t="str">
        <f t="shared" si="715"/>
        <v/>
      </c>
      <c r="AW138" s="125" t="str">
        <f t="shared" si="716"/>
        <v/>
      </c>
      <c r="AX138" s="122" t="e">
        <f t="shared" ref="AX138:AZ138" si="786">SUM(AU138,AQ138,AM138)</f>
        <v>#VALUE!</v>
      </c>
      <c r="AY138" s="326">
        <f t="shared" si="786"/>
        <v>0</v>
      </c>
      <c r="AZ138" s="332">
        <f t="shared" si="786"/>
        <v>0</v>
      </c>
      <c r="BA138" s="140" t="e">
        <f t="shared" ref="BA138:BC138" si="787">SUM(AX138,AG138)</f>
        <v>#VALUE!</v>
      </c>
      <c r="BB138" s="332" t="e">
        <f t="shared" si="787"/>
        <v>#VALUE!</v>
      </c>
      <c r="BC138" s="326" t="e">
        <f t="shared" si="787"/>
        <v>#VALUE!</v>
      </c>
      <c r="BD138" s="326">
        <f t="shared" si="717"/>
        <v>1265811.7</v>
      </c>
      <c r="BE138" s="326" t="e">
        <f t="shared" si="718"/>
        <v>#VALUE!</v>
      </c>
      <c r="BF138" s="326" t="str">
        <f t="shared" si="719"/>
        <v/>
      </c>
      <c r="BG138" s="326" t="str">
        <f t="shared" si="720"/>
        <v/>
      </c>
      <c r="BH138" s="326">
        <f t="shared" si="742"/>
        <v>138856.53</v>
      </c>
      <c r="BI138" s="326" t="e">
        <f t="shared" si="743"/>
        <v>#VALUE!</v>
      </c>
      <c r="BJ138" s="326" t="str">
        <f t="shared" si="744"/>
        <v/>
      </c>
      <c r="BK138" s="326" t="str">
        <f t="shared" si="745"/>
        <v/>
      </c>
      <c r="BL138" s="326">
        <f t="shared" si="746"/>
        <v>203440.12</v>
      </c>
      <c r="BM138" s="326"/>
      <c r="BN138" s="326"/>
      <c r="BO138" s="326"/>
      <c r="BP138" s="326"/>
      <c r="BQ138" s="326"/>
      <c r="BR138" s="326"/>
      <c r="BS138" s="326">
        <f t="shared" si="747"/>
        <v>0</v>
      </c>
      <c r="BT138" s="326"/>
      <c r="BU138" s="326"/>
      <c r="BV138" s="333"/>
      <c r="BW138" s="123">
        <f t="shared" si="748"/>
        <v>0</v>
      </c>
      <c r="BX138" s="326">
        <f t="shared" si="749"/>
        <v>0</v>
      </c>
    </row>
    <row r="139" spans="1:76" ht="13">
      <c r="A139" s="92" t="e">
        <f>VLOOKUP(I139,MONTENCART2,3,FALSE)</f>
        <v>#N/A</v>
      </c>
      <c r="B139" s="93" t="e">
        <f t="shared" si="724"/>
        <v>#N/A</v>
      </c>
      <c r="C139" s="558" t="str">
        <f t="shared" si="725"/>
        <v/>
      </c>
      <c r="D139" s="558" t="str">
        <f t="shared" si="726"/>
        <v/>
      </c>
      <c r="E139" s="715" t="str">
        <f t="shared" si="727"/>
        <v/>
      </c>
      <c r="F139" s="636"/>
      <c r="G139" s="558"/>
      <c r="H139" s="559"/>
      <c r="I139" s="423" t="s">
        <v>1393</v>
      </c>
      <c r="J139" s="326">
        <f t="shared" si="728"/>
        <v>0</v>
      </c>
      <c r="K139" s="121">
        <v>1800000</v>
      </c>
      <c r="L139" s="140" t="e">
        <f t="shared" si="693"/>
        <v>#VALUE!</v>
      </c>
      <c r="M139" s="326" t="str">
        <f t="shared" si="694"/>
        <v/>
      </c>
      <c r="N139" s="333" t="str">
        <f t="shared" si="695"/>
        <v/>
      </c>
      <c r="O139" s="123" t="e">
        <f t="shared" si="696"/>
        <v>#VALUE!</v>
      </c>
      <c r="P139" s="137" t="e">
        <f t="shared" si="697"/>
        <v>#VALUE!</v>
      </c>
      <c r="Q139" s="326">
        <f t="shared" si="698"/>
        <v>0</v>
      </c>
      <c r="R139" s="116">
        <v>1800000</v>
      </c>
      <c r="S139" s="116" t="e">
        <f t="shared" si="699"/>
        <v>#VALUE!</v>
      </c>
      <c r="T139" s="326" t="str">
        <f t="shared" si="700"/>
        <v/>
      </c>
      <c r="U139" s="326" t="str">
        <f t="shared" si="701"/>
        <v/>
      </c>
      <c r="V139" s="326" t="e">
        <f t="shared" si="702"/>
        <v>#VALUE!</v>
      </c>
      <c r="W139" s="137" t="e">
        <f t="shared" si="703"/>
        <v>#VALUE!</v>
      </c>
      <c r="X139" s="326">
        <f t="shared" si="704"/>
        <v>0</v>
      </c>
      <c r="Y139" s="121">
        <v>1800000</v>
      </c>
      <c r="Z139" s="113" t="e">
        <f t="shared" si="705"/>
        <v>#VALUE!</v>
      </c>
      <c r="AA139" s="116" t="str">
        <f t="shared" si="706"/>
        <v/>
      </c>
      <c r="AB139" s="117" t="str">
        <f t="shared" si="707"/>
        <v/>
      </c>
      <c r="AC139" s="114"/>
      <c r="AD139" s="116"/>
      <c r="AE139" s="1257">
        <f t="shared" si="708"/>
        <v>5400000</v>
      </c>
      <c r="AF139" s="140">
        <f t="shared" si="709"/>
        <v>34367.919999999998</v>
      </c>
      <c r="AG139" s="326" t="e">
        <f t="shared" si="710"/>
        <v>#VALUE!</v>
      </c>
      <c r="AH139" s="326" t="e">
        <f t="shared" ref="AH139:AI139" si="788">AA139+T139+M139</f>
        <v>#VALUE!</v>
      </c>
      <c r="AI139" s="326" t="e">
        <f t="shared" si="788"/>
        <v>#VALUE!</v>
      </c>
      <c r="AJ139" s="326" t="e">
        <f t="shared" si="712"/>
        <v>#VALUE!</v>
      </c>
      <c r="AK139" s="1258" t="str">
        <f t="shared" si="713"/>
        <v/>
      </c>
      <c r="AL139" s="125">
        <f t="shared" si="731"/>
        <v>0</v>
      </c>
      <c r="AM139" s="140" t="e">
        <f t="shared" si="732"/>
        <v>#VALUE!</v>
      </c>
      <c r="AN139" s="123" t="str">
        <f t="shared" si="733"/>
        <v/>
      </c>
      <c r="AO139" s="148" t="str">
        <f t="shared" si="734"/>
        <v/>
      </c>
      <c r="AP139" s="125">
        <f t="shared" si="735"/>
        <v>0</v>
      </c>
      <c r="AQ139" s="140" t="e">
        <f t="shared" si="736"/>
        <v>#VALUE!</v>
      </c>
      <c r="AR139" s="326" t="str">
        <f t="shared" si="737"/>
        <v/>
      </c>
      <c r="AS139" s="333" t="str">
        <f t="shared" si="738"/>
        <v/>
      </c>
      <c r="AT139" s="123">
        <f t="shared" si="739"/>
        <v>0</v>
      </c>
      <c r="AU139" s="123" t="e">
        <f t="shared" si="714"/>
        <v>#VALUE!</v>
      </c>
      <c r="AV139" s="123" t="str">
        <f t="shared" si="715"/>
        <v/>
      </c>
      <c r="AW139" s="125" t="str">
        <f t="shared" si="716"/>
        <v/>
      </c>
      <c r="AX139" s="122" t="e">
        <f t="shared" ref="AX139:AZ139" si="789">SUM(AU139,AQ139,AM139)</f>
        <v>#VALUE!</v>
      </c>
      <c r="AY139" s="326">
        <f t="shared" si="789"/>
        <v>0</v>
      </c>
      <c r="AZ139" s="332">
        <f t="shared" si="789"/>
        <v>0</v>
      </c>
      <c r="BA139" s="140" t="e">
        <f t="shared" ref="BA139:BC139" si="790">SUM(AX139,AG139)</f>
        <v>#VALUE!</v>
      </c>
      <c r="BB139" s="332" t="e">
        <f t="shared" si="790"/>
        <v>#VALUE!</v>
      </c>
      <c r="BC139" s="326" t="e">
        <f t="shared" si="790"/>
        <v>#VALUE!</v>
      </c>
      <c r="BD139" s="326">
        <f t="shared" si="717"/>
        <v>0</v>
      </c>
      <c r="BE139" s="326" t="e">
        <f t="shared" si="718"/>
        <v>#VALUE!</v>
      </c>
      <c r="BF139" s="326" t="str">
        <f t="shared" si="719"/>
        <v/>
      </c>
      <c r="BG139" s="326" t="str">
        <f t="shared" si="720"/>
        <v/>
      </c>
      <c r="BH139" s="326">
        <f t="shared" si="742"/>
        <v>0</v>
      </c>
      <c r="BI139" s="326" t="e">
        <f t="shared" si="743"/>
        <v>#VALUE!</v>
      </c>
      <c r="BJ139" s="326" t="str">
        <f t="shared" si="744"/>
        <v/>
      </c>
      <c r="BK139" s="326" t="str">
        <f t="shared" si="745"/>
        <v/>
      </c>
      <c r="BL139" s="326">
        <f t="shared" si="746"/>
        <v>0</v>
      </c>
      <c r="BM139" s="326"/>
      <c r="BN139" s="326"/>
      <c r="BO139" s="326"/>
      <c r="BP139" s="326"/>
      <c r="BQ139" s="326"/>
      <c r="BR139" s="326"/>
      <c r="BS139" s="326">
        <f t="shared" si="747"/>
        <v>34367.919999999998</v>
      </c>
      <c r="BT139" s="326"/>
      <c r="BU139" s="326"/>
      <c r="BV139" s="333"/>
      <c r="BW139" s="123">
        <f t="shared" si="748"/>
        <v>0</v>
      </c>
      <c r="BX139" s="326">
        <f t="shared" si="749"/>
        <v>0</v>
      </c>
    </row>
    <row r="140" spans="1:76" ht="13">
      <c r="A140" s="800"/>
      <c r="B140" s="1293"/>
      <c r="C140" s="646"/>
      <c r="D140" s="646"/>
      <c r="E140" s="646"/>
      <c r="F140" s="1293"/>
      <c r="G140" s="646"/>
      <c r="H140" s="1294"/>
      <c r="I140" s="805"/>
      <c r="J140" s="805"/>
      <c r="K140" s="805"/>
      <c r="L140" s="805"/>
      <c r="M140" s="805"/>
      <c r="N140" s="805"/>
      <c r="O140" s="805"/>
      <c r="P140" s="1295"/>
      <c r="Q140" s="805"/>
      <c r="R140" s="805"/>
      <c r="S140" s="805"/>
      <c r="T140" s="805"/>
      <c r="U140" s="805"/>
      <c r="V140" s="805"/>
      <c r="W140" s="1295"/>
      <c r="X140" s="805"/>
      <c r="Y140" s="805"/>
      <c r="Z140" s="805"/>
      <c r="AA140" s="805"/>
      <c r="AB140" s="805"/>
      <c r="AC140" s="805"/>
      <c r="AD140" s="805"/>
      <c r="AE140" s="1296"/>
      <c r="AF140" s="805"/>
      <c r="AG140" s="1296"/>
      <c r="AH140" s="1296"/>
      <c r="AI140" s="1296"/>
      <c r="AJ140" s="1296"/>
      <c r="AK140" s="1297"/>
      <c r="AL140" s="805"/>
      <c r="AM140" s="805"/>
      <c r="AN140" s="805"/>
      <c r="AO140" s="805"/>
      <c r="AP140" s="805"/>
      <c r="AQ140" s="805"/>
      <c r="AR140" s="805"/>
      <c r="AS140" s="805"/>
      <c r="AT140" s="805"/>
      <c r="AU140" s="349" t="e">
        <f t="shared" si="714"/>
        <v>#VALUE!</v>
      </c>
      <c r="AV140" s="349" t="str">
        <f t="shared" si="715"/>
        <v/>
      </c>
      <c r="AW140" s="349" t="str">
        <f t="shared" si="716"/>
        <v/>
      </c>
      <c r="AX140" s="349"/>
      <c r="AY140" s="349"/>
      <c r="AZ140" s="349"/>
      <c r="BA140" s="349"/>
      <c r="BB140" s="653"/>
      <c r="BC140" s="340"/>
      <c r="BD140" s="340" t="str">
        <f t="shared" si="717"/>
        <v/>
      </c>
      <c r="BE140" s="340"/>
      <c r="BF140" s="340"/>
      <c r="BG140" s="340"/>
      <c r="BH140" s="506"/>
      <c r="BI140" s="506"/>
      <c r="BJ140" s="506"/>
      <c r="BK140" s="506"/>
      <c r="BL140" s="506"/>
      <c r="BM140" s="506"/>
      <c r="BN140" s="506"/>
      <c r="BO140" s="506"/>
      <c r="BP140" s="506"/>
      <c r="BQ140" s="506"/>
      <c r="BR140" s="506"/>
      <c r="BS140" s="506"/>
      <c r="BT140" s="506"/>
      <c r="BU140" s="506"/>
      <c r="BV140" s="803"/>
    </row>
    <row r="141" spans="1:76" ht="13">
      <c r="B141" s="294"/>
      <c r="C141" s="294"/>
      <c r="D141" s="294"/>
      <c r="E141" s="294"/>
      <c r="F141" s="294"/>
      <c r="G141" s="294"/>
      <c r="H141" s="294"/>
      <c r="P141" s="295"/>
      <c r="W141" s="295"/>
      <c r="AE141" s="188"/>
      <c r="AG141" s="188"/>
      <c r="AH141" s="188"/>
      <c r="AI141" s="188"/>
      <c r="AJ141" s="188"/>
      <c r="AK141" s="299"/>
    </row>
    <row r="142" spans="1:76" ht="13">
      <c r="B142" s="294"/>
      <c r="C142" s="294"/>
      <c r="D142" s="294"/>
      <c r="E142" s="294"/>
      <c r="F142" s="294"/>
      <c r="G142" s="294"/>
      <c r="H142" s="294"/>
      <c r="P142" s="295"/>
      <c r="W142" s="295"/>
      <c r="AE142" s="188"/>
      <c r="AG142" s="188"/>
      <c r="AH142" s="188"/>
      <c r="AI142" s="188"/>
      <c r="AJ142" s="188"/>
      <c r="AK142" s="299"/>
    </row>
    <row r="143" spans="1:76" ht="13">
      <c r="B143" s="294"/>
      <c r="C143" s="294"/>
      <c r="D143" s="294"/>
      <c r="E143" s="294"/>
      <c r="F143" s="294"/>
      <c r="G143" s="294"/>
      <c r="H143" s="294"/>
      <c r="P143" s="295"/>
      <c r="W143" s="295"/>
      <c r="AE143" s="188"/>
      <c r="AG143" s="188"/>
      <c r="AH143" s="188"/>
      <c r="AI143" s="188"/>
      <c r="AJ143" s="188"/>
      <c r="AK143" s="299"/>
    </row>
    <row r="144" spans="1:76" ht="13">
      <c r="B144" s="294"/>
      <c r="C144" s="294"/>
      <c r="D144" s="294"/>
      <c r="E144" s="294"/>
      <c r="F144" s="294"/>
      <c r="G144" s="294"/>
      <c r="H144" s="294"/>
      <c r="P144" s="295"/>
      <c r="W144" s="295"/>
      <c r="AE144" s="188"/>
      <c r="AG144" s="188"/>
      <c r="AH144" s="188"/>
      <c r="AI144" s="188"/>
      <c r="AJ144" s="188"/>
      <c r="AK144" s="299"/>
    </row>
    <row r="145" spans="2:37" ht="13">
      <c r="B145" s="294"/>
      <c r="C145" s="294"/>
      <c r="D145" s="294"/>
      <c r="E145" s="294"/>
      <c r="F145" s="294"/>
      <c r="G145" s="294"/>
      <c r="H145" s="294"/>
      <c r="P145" s="295"/>
      <c r="W145" s="295"/>
      <c r="AE145" s="188"/>
      <c r="AG145" s="188"/>
      <c r="AH145" s="188"/>
      <c r="AI145" s="188"/>
      <c r="AJ145" s="188"/>
      <c r="AK145" s="299"/>
    </row>
    <row r="146" spans="2:37" ht="13">
      <c r="B146" s="294"/>
      <c r="C146" s="294"/>
      <c r="D146" s="294"/>
      <c r="E146" s="294"/>
      <c r="F146" s="294"/>
      <c r="G146" s="294"/>
      <c r="H146" s="294"/>
      <c r="P146" s="295"/>
      <c r="W146" s="295"/>
      <c r="AE146" s="188"/>
      <c r="AG146" s="188"/>
      <c r="AH146" s="188"/>
      <c r="AI146" s="188"/>
      <c r="AJ146" s="188"/>
      <c r="AK146" s="299"/>
    </row>
    <row r="147" spans="2:37" ht="13">
      <c r="B147" s="294"/>
      <c r="C147" s="294"/>
      <c r="D147" s="294"/>
      <c r="E147" s="294"/>
      <c r="F147" s="294"/>
      <c r="G147" s="294"/>
      <c r="H147" s="294"/>
      <c r="P147" s="295"/>
      <c r="W147" s="295"/>
      <c r="AE147" s="188"/>
      <c r="AG147" s="188"/>
      <c r="AH147" s="188"/>
      <c r="AI147" s="188"/>
      <c r="AJ147" s="188"/>
      <c r="AK147" s="299"/>
    </row>
    <row r="148" spans="2:37" ht="13">
      <c r="B148" s="294"/>
      <c r="C148" s="294"/>
      <c r="D148" s="294"/>
      <c r="E148" s="294"/>
      <c r="F148" s="294"/>
      <c r="G148" s="294"/>
      <c r="H148" s="294"/>
      <c r="P148" s="295"/>
      <c r="W148" s="295"/>
      <c r="AE148" s="188"/>
      <c r="AG148" s="188"/>
      <c r="AH148" s="188"/>
      <c r="AI148" s="188"/>
      <c r="AJ148" s="188"/>
      <c r="AK148" s="299"/>
    </row>
    <row r="149" spans="2:37" ht="13">
      <c r="B149" s="294"/>
      <c r="C149" s="294"/>
      <c r="D149" s="294"/>
      <c r="E149" s="294"/>
      <c r="F149" s="294"/>
      <c r="G149" s="294"/>
      <c r="H149" s="294"/>
      <c r="P149" s="295"/>
      <c r="W149" s="295"/>
      <c r="AE149" s="188"/>
      <c r="AG149" s="188"/>
      <c r="AH149" s="188"/>
      <c r="AI149" s="188"/>
      <c r="AJ149" s="188"/>
      <c r="AK149" s="299"/>
    </row>
    <row r="150" spans="2:37" ht="13">
      <c r="B150" s="294"/>
      <c r="C150" s="294"/>
      <c r="D150" s="294"/>
      <c r="E150" s="294"/>
      <c r="F150" s="294"/>
      <c r="G150" s="294"/>
      <c r="H150" s="294"/>
      <c r="P150" s="295"/>
      <c r="W150" s="295"/>
      <c r="AE150" s="188"/>
      <c r="AG150" s="188"/>
      <c r="AH150" s="188"/>
      <c r="AI150" s="188"/>
      <c r="AJ150" s="188"/>
      <c r="AK150" s="299"/>
    </row>
    <row r="151" spans="2:37" ht="13">
      <c r="B151" s="294"/>
      <c r="C151" s="294"/>
      <c r="D151" s="294"/>
      <c r="E151" s="294"/>
      <c r="F151" s="294"/>
      <c r="G151" s="294"/>
      <c r="H151" s="294"/>
      <c r="P151" s="295"/>
      <c r="W151" s="295"/>
      <c r="AE151" s="188"/>
      <c r="AG151" s="188"/>
      <c r="AH151" s="188"/>
      <c r="AI151" s="188"/>
      <c r="AJ151" s="188"/>
      <c r="AK151" s="299"/>
    </row>
    <row r="152" spans="2:37" ht="13">
      <c r="B152" s="294"/>
      <c r="C152" s="294"/>
      <c r="D152" s="294"/>
      <c r="E152" s="294"/>
      <c r="F152" s="294"/>
      <c r="G152" s="294"/>
      <c r="H152" s="294"/>
      <c r="P152" s="295"/>
      <c r="W152" s="295"/>
      <c r="AE152" s="188"/>
      <c r="AG152" s="188"/>
      <c r="AH152" s="188"/>
      <c r="AI152" s="188"/>
      <c r="AJ152" s="188"/>
      <c r="AK152" s="299"/>
    </row>
    <row r="153" spans="2:37" ht="13">
      <c r="B153" s="294"/>
      <c r="C153" s="294"/>
      <c r="D153" s="294"/>
      <c r="E153" s="294"/>
      <c r="F153" s="294"/>
      <c r="G153" s="294"/>
      <c r="H153" s="294"/>
      <c r="P153" s="295"/>
      <c r="W153" s="295"/>
      <c r="AE153" s="188"/>
      <c r="AG153" s="188"/>
      <c r="AH153" s="188"/>
      <c r="AI153" s="188"/>
      <c r="AJ153" s="188"/>
      <c r="AK153" s="299"/>
    </row>
    <row r="154" spans="2:37" ht="13">
      <c r="B154" s="294"/>
      <c r="C154" s="294"/>
      <c r="D154" s="294"/>
      <c r="E154" s="294"/>
      <c r="F154" s="294"/>
      <c r="G154" s="294"/>
      <c r="H154" s="294"/>
      <c r="P154" s="295"/>
      <c r="W154" s="295"/>
      <c r="AE154" s="188"/>
      <c r="AG154" s="188"/>
      <c r="AH154" s="188"/>
      <c r="AI154" s="188"/>
      <c r="AJ154" s="188"/>
      <c r="AK154" s="299"/>
    </row>
    <row r="155" spans="2:37" ht="13">
      <c r="B155" s="294"/>
      <c r="C155" s="294"/>
      <c r="D155" s="294"/>
      <c r="E155" s="294"/>
      <c r="F155" s="294"/>
      <c r="G155" s="294"/>
      <c r="H155" s="294"/>
      <c r="P155" s="295"/>
      <c r="W155" s="295"/>
      <c r="AE155" s="188"/>
      <c r="AG155" s="188"/>
      <c r="AH155" s="188"/>
      <c r="AI155" s="188"/>
      <c r="AJ155" s="188"/>
      <c r="AK155" s="299"/>
    </row>
    <row r="156" spans="2:37" ht="13">
      <c r="B156" s="294"/>
      <c r="C156" s="294"/>
      <c r="D156" s="294"/>
      <c r="E156" s="294"/>
      <c r="F156" s="294"/>
      <c r="G156" s="294"/>
      <c r="H156" s="294"/>
      <c r="P156" s="295"/>
      <c r="W156" s="295"/>
      <c r="AE156" s="188"/>
      <c r="AG156" s="188"/>
      <c r="AH156" s="188"/>
      <c r="AI156" s="188"/>
      <c r="AJ156" s="188"/>
      <c r="AK156" s="299"/>
    </row>
    <row r="157" spans="2:37" ht="13">
      <c r="B157" s="294"/>
      <c r="C157" s="294"/>
      <c r="D157" s="294"/>
      <c r="E157" s="294"/>
      <c r="F157" s="294"/>
      <c r="G157" s="294"/>
      <c r="H157" s="294"/>
      <c r="P157" s="295"/>
      <c r="W157" s="295"/>
      <c r="AE157" s="188"/>
      <c r="AG157" s="188"/>
      <c r="AH157" s="188"/>
      <c r="AI157" s="188"/>
      <c r="AJ157" s="188"/>
      <c r="AK157" s="299"/>
    </row>
    <row r="158" spans="2:37" ht="13">
      <c r="B158" s="294"/>
      <c r="C158" s="294"/>
      <c r="D158" s="294"/>
      <c r="E158" s="294"/>
      <c r="F158" s="294"/>
      <c r="G158" s="294"/>
      <c r="H158" s="294"/>
      <c r="P158" s="295"/>
      <c r="W158" s="295"/>
      <c r="AE158" s="188"/>
      <c r="AG158" s="188"/>
      <c r="AH158" s="188"/>
      <c r="AI158" s="188"/>
      <c r="AJ158" s="188"/>
      <c r="AK158" s="299"/>
    </row>
    <row r="159" spans="2:37" ht="13">
      <c r="B159" s="294"/>
      <c r="C159" s="294"/>
      <c r="D159" s="294"/>
      <c r="E159" s="294"/>
      <c r="F159" s="294"/>
      <c r="G159" s="294"/>
      <c r="H159" s="294"/>
      <c r="P159" s="295"/>
      <c r="W159" s="295"/>
      <c r="AE159" s="188"/>
      <c r="AG159" s="188"/>
      <c r="AH159" s="188"/>
      <c r="AI159" s="188"/>
      <c r="AJ159" s="188"/>
      <c r="AK159" s="299"/>
    </row>
    <row r="160" spans="2:37" ht="13">
      <c r="B160" s="294"/>
      <c r="C160" s="294"/>
      <c r="D160" s="294"/>
      <c r="E160" s="294"/>
      <c r="F160" s="294"/>
      <c r="G160" s="294"/>
      <c r="H160" s="294"/>
      <c r="P160" s="295"/>
      <c r="W160" s="295"/>
      <c r="AE160" s="188"/>
      <c r="AG160" s="188"/>
      <c r="AH160" s="188"/>
      <c r="AI160" s="188"/>
      <c r="AJ160" s="188"/>
      <c r="AK160" s="299"/>
    </row>
    <row r="161" spans="2:111" ht="13">
      <c r="B161" s="294"/>
      <c r="C161" s="294"/>
      <c r="D161" s="294"/>
      <c r="E161" s="294"/>
      <c r="F161" s="294"/>
      <c r="G161" s="294"/>
      <c r="H161" s="294"/>
      <c r="P161" s="295"/>
      <c r="W161" s="295"/>
      <c r="AE161" s="188"/>
      <c r="AG161" s="188"/>
      <c r="AH161" s="188"/>
      <c r="AI161" s="188"/>
      <c r="AJ161" s="188"/>
      <c r="AK161" s="299"/>
    </row>
    <row r="162" spans="2:111" ht="13">
      <c r="B162" s="294"/>
      <c r="C162" s="294"/>
      <c r="D162" s="294"/>
      <c r="E162" s="294"/>
      <c r="F162" s="294"/>
      <c r="G162" s="294"/>
      <c r="H162" s="294"/>
      <c r="P162" s="295"/>
      <c r="W162" s="295"/>
      <c r="AE162" s="188"/>
      <c r="AG162" s="188"/>
      <c r="AH162" s="188"/>
      <c r="AI162" s="188"/>
      <c r="AJ162" s="188"/>
      <c r="AK162" s="299"/>
    </row>
    <row r="163" spans="2:111" ht="13">
      <c r="B163" s="294"/>
      <c r="C163" s="294"/>
      <c r="D163" s="294"/>
      <c r="E163" s="294"/>
      <c r="F163" s="294"/>
      <c r="G163" s="294"/>
      <c r="H163" s="294"/>
      <c r="P163" s="295"/>
      <c r="W163" s="295"/>
      <c r="AE163" s="188"/>
      <c r="AG163" s="188"/>
      <c r="AH163" s="188"/>
      <c r="AI163" s="188"/>
      <c r="AJ163" s="188"/>
      <c r="AK163" s="299"/>
    </row>
    <row r="164" spans="2:111" ht="13">
      <c r="B164" s="294"/>
      <c r="C164" s="294"/>
      <c r="D164" s="294"/>
      <c r="E164" s="294"/>
      <c r="F164" s="294"/>
      <c r="G164" s="294"/>
      <c r="H164" s="294"/>
      <c r="P164" s="295"/>
      <c r="W164" s="295"/>
      <c r="AE164" s="188"/>
      <c r="AG164" s="188"/>
      <c r="AH164" s="188"/>
      <c r="AI164" s="188"/>
      <c r="AJ164" s="188"/>
      <c r="AK164" s="299"/>
    </row>
    <row r="165" spans="2:111" ht="13">
      <c r="B165" s="294"/>
      <c r="C165" s="294"/>
      <c r="D165" s="294"/>
      <c r="E165" s="294"/>
      <c r="F165" s="294"/>
      <c r="G165" s="294"/>
      <c r="H165" s="294"/>
      <c r="P165" s="295"/>
      <c r="W165" s="295"/>
      <c r="AE165" s="188"/>
      <c r="AG165" s="188"/>
      <c r="AH165" s="188"/>
      <c r="AI165" s="188"/>
      <c r="AJ165" s="188"/>
      <c r="AK165" s="299"/>
    </row>
    <row r="166" spans="2:111" ht="13">
      <c r="B166" s="294"/>
      <c r="C166" s="294"/>
      <c r="D166" s="294"/>
      <c r="E166" s="294"/>
      <c r="F166" s="294"/>
      <c r="G166" s="294"/>
      <c r="H166" s="294"/>
      <c r="P166" s="295"/>
      <c r="W166" s="295"/>
      <c r="AE166" s="188"/>
      <c r="AG166" s="188"/>
      <c r="AH166" s="188"/>
      <c r="AI166" s="188"/>
      <c r="AJ166" s="188"/>
      <c r="AK166" s="299"/>
    </row>
    <row r="167" spans="2:111" ht="13">
      <c r="B167" s="294"/>
      <c r="C167" s="294"/>
      <c r="D167" s="294"/>
      <c r="E167" s="294"/>
      <c r="F167" s="294"/>
      <c r="G167" s="294"/>
      <c r="H167" s="294"/>
      <c r="P167" s="295"/>
      <c r="W167" s="295"/>
      <c r="AE167" s="188"/>
      <c r="AG167" s="188"/>
      <c r="AH167" s="188"/>
      <c r="AI167" s="188"/>
      <c r="AJ167" s="188"/>
      <c r="AK167" s="299"/>
    </row>
    <row r="168" spans="2:111" ht="13">
      <c r="B168" s="294"/>
      <c r="C168" s="294"/>
      <c r="D168" s="294"/>
      <c r="E168" s="294"/>
      <c r="F168" s="294"/>
      <c r="G168" s="294"/>
      <c r="H168" s="294"/>
      <c r="P168" s="295"/>
      <c r="W168" s="295"/>
      <c r="AE168" s="188"/>
      <c r="AG168" s="188"/>
      <c r="AH168" s="188"/>
      <c r="AI168" s="188"/>
      <c r="AJ168" s="188"/>
      <c r="AK168" s="299"/>
    </row>
    <row r="169" spans="2:111" ht="13">
      <c r="B169" s="294"/>
      <c r="C169" s="294"/>
      <c r="D169" s="294"/>
      <c r="E169" s="294"/>
      <c r="F169" s="294"/>
      <c r="G169" s="294"/>
      <c r="H169" s="294"/>
      <c r="P169" s="295"/>
      <c r="W169" s="295"/>
      <c r="AE169" s="188"/>
      <c r="AG169" s="188"/>
      <c r="AH169" s="188"/>
      <c r="AI169" s="188"/>
      <c r="AJ169" s="188"/>
      <c r="AK169" s="299"/>
    </row>
    <row r="170" spans="2:111" ht="13">
      <c r="B170" s="294"/>
      <c r="C170" s="294"/>
      <c r="D170" s="294"/>
      <c r="E170" s="294"/>
      <c r="F170" s="294"/>
      <c r="G170" s="294"/>
      <c r="H170" s="294"/>
      <c r="P170" s="295"/>
      <c r="W170" s="295"/>
      <c r="AE170" s="188"/>
      <c r="AG170" s="188"/>
      <c r="AH170" s="188"/>
      <c r="AI170" s="188"/>
      <c r="AJ170" s="188"/>
      <c r="AK170" s="299"/>
    </row>
    <row r="171" spans="2:111" ht="13">
      <c r="B171" s="294"/>
      <c r="C171" s="294"/>
      <c r="D171" s="294"/>
      <c r="E171" s="294"/>
      <c r="F171" s="294"/>
      <c r="G171" s="294"/>
      <c r="H171" s="294"/>
      <c r="P171" s="295"/>
      <c r="W171" s="295"/>
      <c r="AE171" s="188"/>
      <c r="AG171" s="188"/>
      <c r="AH171" s="188"/>
      <c r="AI171" s="188"/>
      <c r="AJ171" s="188"/>
      <c r="AK171" s="299"/>
    </row>
    <row r="172" spans="2:111" ht="13">
      <c r="B172" s="294"/>
      <c r="C172" s="294"/>
      <c r="D172" s="294"/>
      <c r="E172" s="294"/>
      <c r="F172" s="294"/>
      <c r="G172" s="294"/>
      <c r="H172" s="294"/>
      <c r="P172" s="295"/>
      <c r="W172" s="295"/>
      <c r="AE172" s="188"/>
      <c r="AG172" s="188"/>
      <c r="AH172" s="188"/>
      <c r="AI172" s="188"/>
      <c r="AJ172" s="188"/>
      <c r="AK172" s="299"/>
      <c r="CT172" s="352">
        <f>CT176-N124</f>
        <v>-2.0000025629997253E-2</v>
      </c>
      <c r="CU172" s="352">
        <f>CU176-U124</f>
        <v>-1.0000035166740417E-2</v>
      </c>
      <c r="CV172" s="352">
        <f>CV176-AB124</f>
        <v>9.9999979138374329E-3</v>
      </c>
      <c r="CW172" s="352">
        <f>CW176-AO124</f>
        <v>-3.9999976754188538E-2</v>
      </c>
      <c r="CX172" s="352">
        <f>CX176-AS124</f>
        <v>-2.0000003278255463E-2</v>
      </c>
      <c r="CY172" s="352">
        <f>CY176-AW124</f>
        <v>9.9999904632568359E-3</v>
      </c>
      <c r="CZ172" s="352">
        <f>CZ176-BG124</f>
        <v>-1.0000020265579224E-2</v>
      </c>
      <c r="DA172" s="352">
        <f>DA176-BK124</f>
        <v>0</v>
      </c>
      <c r="DB172" s="352">
        <f>DB176-BO124</f>
        <v>0</v>
      </c>
      <c r="DC172" s="352">
        <f>DC176-BV124</f>
        <v>1.9999995827674866E-2</v>
      </c>
    </row>
    <row r="173" spans="2:111" ht="13">
      <c r="B173" s="294"/>
      <c r="C173" s="294"/>
      <c r="D173" s="294"/>
      <c r="E173" s="294"/>
      <c r="F173" s="294"/>
      <c r="G173" s="294"/>
      <c r="H173" s="294"/>
      <c r="P173" s="295"/>
      <c r="W173" s="295"/>
      <c r="AE173" s="188"/>
      <c r="AG173" s="188"/>
      <c r="AH173" s="188"/>
      <c r="AI173" s="188"/>
      <c r="AJ173" s="188"/>
      <c r="AK173" s="299"/>
      <c r="CQ173" s="509">
        <v>0</v>
      </c>
      <c r="CR173" s="354">
        <v>1</v>
      </c>
      <c r="CS173" s="354">
        <v>2</v>
      </c>
      <c r="CT173" s="354">
        <v>3</v>
      </c>
      <c r="CU173" s="354">
        <v>4</v>
      </c>
      <c r="CV173" s="354">
        <v>5</v>
      </c>
      <c r="CW173" s="354">
        <v>6</v>
      </c>
      <c r="CX173" s="354">
        <v>7</v>
      </c>
      <c r="CY173" s="354">
        <v>8</v>
      </c>
      <c r="CZ173" s="354">
        <v>9</v>
      </c>
      <c r="DA173" s="354">
        <v>10</v>
      </c>
      <c r="DB173" s="354">
        <v>11</v>
      </c>
      <c r="DC173" s="354">
        <v>12</v>
      </c>
      <c r="DD173" s="354">
        <v>13</v>
      </c>
      <c r="DE173" s="354">
        <v>14</v>
      </c>
      <c r="DF173" s="354">
        <v>15</v>
      </c>
      <c r="DG173" s="355">
        <v>16</v>
      </c>
    </row>
    <row r="174" spans="2:111" ht="13">
      <c r="B174" s="294"/>
      <c r="C174" s="294"/>
      <c r="D174" s="294"/>
      <c r="E174" s="294"/>
      <c r="F174" s="294"/>
      <c r="G174" s="294"/>
      <c r="H174" s="294"/>
      <c r="P174" s="295"/>
      <c r="W174" s="295"/>
      <c r="AE174" s="188"/>
      <c r="AG174" s="188"/>
      <c r="AH174" s="188"/>
      <c r="AI174" s="188"/>
      <c r="AJ174" s="188"/>
      <c r="AK174" s="299"/>
      <c r="CQ174" s="510"/>
      <c r="CT174" s="357">
        <v>45658</v>
      </c>
      <c r="CU174" s="357">
        <v>45689</v>
      </c>
      <c r="CV174" s="357">
        <v>45717</v>
      </c>
      <c r="CW174" s="357">
        <v>45748</v>
      </c>
      <c r="CX174" s="357">
        <v>45778</v>
      </c>
      <c r="CY174" s="357">
        <v>45809</v>
      </c>
      <c r="CZ174" s="357">
        <v>45839</v>
      </c>
      <c r="DA174" s="357">
        <v>45870</v>
      </c>
      <c r="DB174" s="357">
        <v>45901</v>
      </c>
      <c r="DC174" s="357">
        <v>45931</v>
      </c>
      <c r="DD174" s="357">
        <v>45962</v>
      </c>
      <c r="DE174" s="357">
        <v>45992</v>
      </c>
      <c r="DF174" s="357"/>
      <c r="DG174" s="358"/>
    </row>
    <row r="175" spans="2:111" ht="13">
      <c r="B175" s="294"/>
      <c r="C175" s="294"/>
      <c r="D175" s="294"/>
      <c r="E175" s="294"/>
      <c r="F175" s="294"/>
      <c r="G175" s="294"/>
      <c r="H175" s="294"/>
      <c r="P175" s="295"/>
      <c r="W175" s="295"/>
      <c r="AE175" s="188"/>
      <c r="AG175" s="188"/>
      <c r="AH175" s="188"/>
      <c r="AI175" s="188"/>
      <c r="AJ175" s="188"/>
      <c r="AK175" s="299"/>
      <c r="CQ175" s="510"/>
      <c r="CR175" s="511"/>
      <c r="CS175" s="377" t="s">
        <v>241</v>
      </c>
      <c r="CT175" s="360">
        <v>45658</v>
      </c>
      <c r="CU175" s="360">
        <v>45689</v>
      </c>
      <c r="CV175" s="360">
        <v>45717</v>
      </c>
      <c r="CW175" s="360">
        <v>45748</v>
      </c>
      <c r="CX175" s="360">
        <v>45778</v>
      </c>
      <c r="CY175" s="360">
        <v>45809</v>
      </c>
      <c r="CZ175" s="360">
        <v>45839</v>
      </c>
      <c r="DA175" s="360">
        <v>45870</v>
      </c>
      <c r="DB175" s="360">
        <v>45901</v>
      </c>
      <c r="DC175" s="360">
        <v>45931</v>
      </c>
      <c r="DD175" s="360"/>
      <c r="DE175" s="360"/>
      <c r="DF175" s="357"/>
      <c r="DG175" s="358"/>
    </row>
    <row r="176" spans="2:111" ht="13">
      <c r="B176" s="294"/>
      <c r="C176" s="294"/>
      <c r="D176" s="294"/>
      <c r="E176" s="294"/>
      <c r="F176" s="294"/>
      <c r="G176" s="294"/>
      <c r="H176" s="294"/>
      <c r="P176" s="295"/>
      <c r="W176" s="295"/>
      <c r="AE176" s="188"/>
      <c r="AG176" s="188"/>
      <c r="AH176" s="188"/>
      <c r="AI176" s="188"/>
      <c r="AJ176" s="188"/>
      <c r="AK176" s="299"/>
      <c r="CQ176" s="510"/>
      <c r="CR176" s="359" t="s">
        <v>241</v>
      </c>
      <c r="CS176" s="361">
        <v>995904730.20000005</v>
      </c>
      <c r="CT176" s="361">
        <v>121018909.95999999</v>
      </c>
      <c r="CU176" s="361">
        <v>105282122.94</v>
      </c>
      <c r="CV176" s="361">
        <v>60881464.759999998</v>
      </c>
      <c r="CW176" s="361">
        <v>89990513.069999993</v>
      </c>
      <c r="CX176" s="361">
        <v>66746333.210000001</v>
      </c>
      <c r="CY176" s="361">
        <v>99144005.359999999</v>
      </c>
      <c r="CZ176" s="361">
        <v>113373874.8</v>
      </c>
      <c r="DA176" s="361">
        <v>94515078.730000004</v>
      </c>
      <c r="DB176" s="361">
        <v>112359099.52</v>
      </c>
      <c r="DC176" s="361">
        <v>132593327.84999999</v>
      </c>
      <c r="DD176" s="361"/>
      <c r="DE176" s="361"/>
      <c r="DF176" s="361"/>
      <c r="DG176" s="362"/>
    </row>
    <row r="177" spans="2:111" ht="13">
      <c r="B177" s="294"/>
      <c r="C177" s="294"/>
      <c r="D177" s="294"/>
      <c r="E177" s="294"/>
      <c r="F177" s="294"/>
      <c r="G177" s="294"/>
      <c r="H177" s="294"/>
      <c r="P177" s="295"/>
      <c r="W177" s="295"/>
      <c r="AE177" s="188"/>
      <c r="AG177" s="188"/>
      <c r="AH177" s="188"/>
      <c r="AI177" s="188"/>
      <c r="AJ177" s="188"/>
      <c r="AK177" s="299"/>
      <c r="CP177" s="302">
        <f t="shared" ref="CP177:CP208" si="791">VLOOKUP(CR177,MONTENEGROCARTERA,3,FALSE)</f>
        <v>112014350</v>
      </c>
      <c r="CQ177" s="510">
        <v>1</v>
      </c>
      <c r="CR177" s="359" t="s">
        <v>1261</v>
      </c>
      <c r="CS177" s="361">
        <v>167826243.19999999</v>
      </c>
      <c r="CT177" s="361">
        <v>26402374.199999999</v>
      </c>
      <c r="CU177" s="361">
        <v>16313216.949999999</v>
      </c>
      <c r="CV177" s="361">
        <v>15824703.949999999</v>
      </c>
      <c r="CW177" s="361">
        <v>20890185.280000001</v>
      </c>
      <c r="CX177" s="361">
        <v>9822859.8599999994</v>
      </c>
      <c r="CY177" s="361">
        <v>15707542.07</v>
      </c>
      <c r="CZ177" s="361">
        <v>17454686.09</v>
      </c>
      <c r="DA177" s="361">
        <v>10997009.49</v>
      </c>
      <c r="DB177" s="361">
        <v>16419568.24</v>
      </c>
      <c r="DC177" s="361">
        <v>17994097.07</v>
      </c>
      <c r="DD177" s="361"/>
      <c r="DE177" s="361"/>
      <c r="DF177" s="361"/>
      <c r="DG177" s="362"/>
    </row>
    <row r="178" spans="2:111" ht="13">
      <c r="B178" s="294"/>
      <c r="C178" s="294"/>
      <c r="D178" s="294"/>
      <c r="E178" s="294"/>
      <c r="F178" s="294"/>
      <c r="G178" s="294"/>
      <c r="H178" s="294"/>
      <c r="P178" s="295"/>
      <c r="W178" s="295"/>
      <c r="AE178" s="188"/>
      <c r="AG178" s="188"/>
      <c r="AH178" s="188"/>
      <c r="AI178" s="188"/>
      <c r="AJ178" s="188"/>
      <c r="AK178" s="299"/>
      <c r="CP178" s="302">
        <f t="shared" si="791"/>
        <v>112014014</v>
      </c>
      <c r="CQ178" s="510">
        <v>2</v>
      </c>
      <c r="CR178" s="359" t="s">
        <v>1263</v>
      </c>
      <c r="CS178" s="361">
        <v>72576724.900000006</v>
      </c>
      <c r="CT178" s="361">
        <v>3690445.85</v>
      </c>
      <c r="CU178" s="361">
        <v>3615639.37</v>
      </c>
      <c r="CV178" s="361">
        <v>2747568.22</v>
      </c>
      <c r="CW178" s="361">
        <v>3185547.87</v>
      </c>
      <c r="CX178" s="361">
        <v>1570322.61</v>
      </c>
      <c r="CY178" s="361">
        <v>6569073.6699999999</v>
      </c>
      <c r="CZ178" s="361">
        <v>18013182.460000001</v>
      </c>
      <c r="DA178" s="361">
        <v>7590937</v>
      </c>
      <c r="DB178" s="361">
        <v>5435165.8200000003</v>
      </c>
      <c r="DC178" s="361">
        <v>20158842.030000001</v>
      </c>
      <c r="DD178" s="361"/>
      <c r="DE178" s="361"/>
      <c r="DF178" s="361"/>
      <c r="DG178" s="362"/>
    </row>
    <row r="179" spans="2:111" ht="13">
      <c r="B179" s="294"/>
      <c r="C179" s="294"/>
      <c r="D179" s="294"/>
      <c r="E179" s="294"/>
      <c r="F179" s="294"/>
      <c r="G179" s="294"/>
      <c r="H179" s="294"/>
      <c r="P179" s="295"/>
      <c r="W179" s="295"/>
      <c r="AE179" s="188"/>
      <c r="AG179" s="188"/>
      <c r="AH179" s="188"/>
      <c r="AI179" s="188"/>
      <c r="AJ179" s="188"/>
      <c r="AK179" s="299"/>
      <c r="CP179" s="302">
        <f t="shared" si="791"/>
        <v>112013992</v>
      </c>
      <c r="CQ179" s="510">
        <v>3</v>
      </c>
      <c r="CR179" s="359" t="s">
        <v>1325</v>
      </c>
      <c r="CS179" s="361">
        <v>65999252.259999998</v>
      </c>
      <c r="CT179" s="361">
        <v>22661009.899999999</v>
      </c>
      <c r="CU179" s="361">
        <v>14886099.640000001</v>
      </c>
      <c r="CV179" s="361">
        <v>429488.17</v>
      </c>
      <c r="CW179" s="361">
        <v>5025625.3</v>
      </c>
      <c r="CX179" s="361">
        <v>2787619.97</v>
      </c>
      <c r="CY179" s="361">
        <v>9697083.3900000006</v>
      </c>
      <c r="CZ179" s="361">
        <v>0</v>
      </c>
      <c r="DA179" s="361">
        <v>699959.33</v>
      </c>
      <c r="DB179" s="361">
        <v>9139280.5899999999</v>
      </c>
      <c r="DC179" s="361">
        <v>673085.96</v>
      </c>
      <c r="DD179" s="361"/>
      <c r="DE179" s="361"/>
      <c r="DF179" s="361"/>
      <c r="DG179" s="362"/>
    </row>
    <row r="180" spans="2:111" ht="13">
      <c r="B180" s="294"/>
      <c r="C180" s="294"/>
      <c r="D180" s="294"/>
      <c r="E180" s="294"/>
      <c r="F180" s="294"/>
      <c r="G180" s="294"/>
      <c r="H180" s="294"/>
      <c r="P180" s="295"/>
      <c r="W180" s="295"/>
      <c r="AE180" s="188"/>
      <c r="AG180" s="188"/>
      <c r="AH180" s="188"/>
      <c r="AI180" s="188"/>
      <c r="AJ180" s="188"/>
      <c r="AK180" s="299"/>
      <c r="CP180" s="302" t="e">
        <f t="shared" si="791"/>
        <v>#N/A</v>
      </c>
      <c r="CQ180" s="510">
        <v>4</v>
      </c>
      <c r="CR180" s="359" t="s">
        <v>1290</v>
      </c>
      <c r="CS180" s="361">
        <v>55369955.939999998</v>
      </c>
      <c r="CT180" s="361">
        <v>8837688.6899999995</v>
      </c>
      <c r="CU180" s="361">
        <v>6193194.1200000001</v>
      </c>
      <c r="CV180" s="361">
        <v>4904084.0999999996</v>
      </c>
      <c r="CW180" s="361">
        <v>4510562.5</v>
      </c>
      <c r="CX180" s="361">
        <v>4075627.31</v>
      </c>
      <c r="CY180" s="361">
        <v>3092589.79</v>
      </c>
      <c r="CZ180" s="361">
        <v>4820092.17</v>
      </c>
      <c r="DA180" s="361">
        <v>3707109.36</v>
      </c>
      <c r="DB180" s="361">
        <v>4715621.84</v>
      </c>
      <c r="DC180" s="361">
        <v>10513386.060000001</v>
      </c>
      <c r="DD180" s="361"/>
      <c r="DE180" s="361"/>
      <c r="DF180" s="361"/>
      <c r="DG180" s="362"/>
    </row>
    <row r="181" spans="2:111" ht="13">
      <c r="B181" s="294"/>
      <c r="C181" s="294"/>
      <c r="D181" s="294"/>
      <c r="E181" s="294"/>
      <c r="F181" s="294"/>
      <c r="G181" s="294"/>
      <c r="H181" s="294"/>
      <c r="P181" s="295"/>
      <c r="W181" s="295"/>
      <c r="AE181" s="188"/>
      <c r="AG181" s="188"/>
      <c r="AH181" s="188"/>
      <c r="AI181" s="188"/>
      <c r="AJ181" s="188"/>
      <c r="AK181" s="299"/>
      <c r="CP181" s="302">
        <f t="shared" si="791"/>
        <v>112014180</v>
      </c>
      <c r="CQ181" s="510">
        <v>5</v>
      </c>
      <c r="CR181" s="359" t="s">
        <v>1279</v>
      </c>
      <c r="CS181" s="361">
        <v>43861502.729999997</v>
      </c>
      <c r="CT181" s="361">
        <v>9191619.4299999997</v>
      </c>
      <c r="CU181" s="361">
        <v>7159927.8600000003</v>
      </c>
      <c r="CV181" s="361">
        <v>5448436.5800000001</v>
      </c>
      <c r="CW181" s="361">
        <v>5148338.53</v>
      </c>
      <c r="CX181" s="361">
        <v>2581323.38</v>
      </c>
      <c r="CY181" s="361">
        <v>3474569.87</v>
      </c>
      <c r="CZ181" s="361">
        <v>2509837.7200000002</v>
      </c>
      <c r="DA181" s="361">
        <v>1891685.09</v>
      </c>
      <c r="DB181" s="361">
        <v>2986157.25</v>
      </c>
      <c r="DC181" s="361">
        <v>3469607.02</v>
      </c>
      <c r="DD181" s="361"/>
      <c r="DE181" s="361"/>
      <c r="DF181" s="361"/>
      <c r="DG181" s="362"/>
    </row>
    <row r="182" spans="2:111" ht="13">
      <c r="B182" s="294"/>
      <c r="C182" s="294"/>
      <c r="D182" s="294"/>
      <c r="E182" s="294"/>
      <c r="F182" s="294"/>
      <c r="G182" s="294"/>
      <c r="H182" s="294"/>
      <c r="P182" s="295"/>
      <c r="W182" s="295"/>
      <c r="AE182" s="188"/>
      <c r="AG182" s="188"/>
      <c r="AH182" s="188"/>
      <c r="AI182" s="188"/>
      <c r="AJ182" s="188"/>
      <c r="AK182" s="299"/>
      <c r="CP182" s="302">
        <f t="shared" si="791"/>
        <v>112013754</v>
      </c>
      <c r="CQ182" s="510">
        <v>6</v>
      </c>
      <c r="CR182" s="359" t="s">
        <v>1329</v>
      </c>
      <c r="CS182" s="361">
        <v>33816581.649999999</v>
      </c>
      <c r="CT182" s="361">
        <v>4136858.17</v>
      </c>
      <c r="CU182" s="361">
        <v>4080147.4</v>
      </c>
      <c r="CV182" s="361">
        <v>1334513.49</v>
      </c>
      <c r="CW182" s="361">
        <v>5366339.16</v>
      </c>
      <c r="CX182" s="361">
        <v>2219853.41</v>
      </c>
      <c r="CY182" s="361">
        <v>3747675.32</v>
      </c>
      <c r="CZ182" s="361">
        <v>4088562.29</v>
      </c>
      <c r="DA182" s="361">
        <v>4314086.33</v>
      </c>
      <c r="DB182" s="361">
        <v>4004568.37</v>
      </c>
      <c r="DC182" s="361">
        <v>523977.73</v>
      </c>
      <c r="DD182" s="361"/>
      <c r="DE182" s="361"/>
      <c r="DF182" s="361"/>
      <c r="DG182" s="362"/>
    </row>
    <row r="183" spans="2:111" ht="13">
      <c r="B183" s="294"/>
      <c r="C183" s="294"/>
      <c r="D183" s="294"/>
      <c r="E183" s="294"/>
      <c r="F183" s="294"/>
      <c r="G183" s="294"/>
      <c r="H183" s="294"/>
      <c r="P183" s="295"/>
      <c r="W183" s="295"/>
      <c r="AE183" s="188"/>
      <c r="AG183" s="188"/>
      <c r="AH183" s="188"/>
      <c r="AI183" s="188"/>
      <c r="AJ183" s="188"/>
      <c r="AK183" s="299"/>
      <c r="CP183" s="302">
        <f t="shared" si="791"/>
        <v>112013935</v>
      </c>
      <c r="CQ183" s="510">
        <v>7</v>
      </c>
      <c r="CR183" s="359" t="s">
        <v>1304</v>
      </c>
      <c r="CS183" s="361">
        <v>27591986.989999998</v>
      </c>
      <c r="CT183" s="361">
        <v>3952476.61</v>
      </c>
      <c r="CU183" s="361">
        <v>3605915.29</v>
      </c>
      <c r="CV183" s="361">
        <v>2712297.06</v>
      </c>
      <c r="CW183" s="361">
        <v>2562930.62</v>
      </c>
      <c r="CX183" s="361">
        <v>3181406.93</v>
      </c>
      <c r="CY183" s="361">
        <v>1629627.09</v>
      </c>
      <c r="CZ183" s="361">
        <v>1721011.04</v>
      </c>
      <c r="DA183" s="361">
        <v>3495106.86</v>
      </c>
      <c r="DB183" s="361">
        <v>1988781.04</v>
      </c>
      <c r="DC183" s="361">
        <v>2742434.45</v>
      </c>
      <c r="DD183" s="361"/>
      <c r="DE183" s="361"/>
      <c r="DF183" s="361"/>
      <c r="DG183" s="362"/>
    </row>
    <row r="184" spans="2:111" ht="13">
      <c r="B184" s="294"/>
      <c r="C184" s="294"/>
      <c r="D184" s="294"/>
      <c r="E184" s="294"/>
      <c r="F184" s="294"/>
      <c r="G184" s="294"/>
      <c r="H184" s="294"/>
      <c r="P184" s="295"/>
      <c r="W184" s="295"/>
      <c r="AE184" s="188"/>
      <c r="AG184" s="188"/>
      <c r="AH184" s="188"/>
      <c r="AI184" s="188"/>
      <c r="AJ184" s="188"/>
      <c r="AK184" s="299"/>
      <c r="CP184" s="302">
        <f t="shared" si="791"/>
        <v>112014022</v>
      </c>
      <c r="CQ184" s="510">
        <v>8</v>
      </c>
      <c r="CR184" s="359" t="s">
        <v>1275</v>
      </c>
      <c r="CS184" s="361">
        <v>24961480.149999999</v>
      </c>
      <c r="CT184" s="361">
        <v>3042369.12</v>
      </c>
      <c r="CU184" s="361">
        <v>4887417.09</v>
      </c>
      <c r="CV184" s="361">
        <v>812852.27</v>
      </c>
      <c r="CW184" s="361">
        <v>2262207.41</v>
      </c>
      <c r="CX184" s="361">
        <v>1311157.3999999999</v>
      </c>
      <c r="CY184" s="361">
        <v>1752934.84</v>
      </c>
      <c r="CZ184" s="361">
        <v>2479197.4900000002</v>
      </c>
      <c r="DA184" s="361">
        <v>2348519.44</v>
      </c>
      <c r="DB184" s="361">
        <v>2795505.71</v>
      </c>
      <c r="DC184" s="361">
        <v>3269319.37</v>
      </c>
      <c r="DD184" s="361"/>
      <c r="DE184" s="361"/>
      <c r="DF184" s="361"/>
      <c r="DG184" s="362"/>
    </row>
    <row r="185" spans="2:111" ht="13">
      <c r="B185" s="294"/>
      <c r="C185" s="294"/>
      <c r="D185" s="294"/>
      <c r="E185" s="294"/>
      <c r="F185" s="294"/>
      <c r="G185" s="294"/>
      <c r="H185" s="294"/>
      <c r="P185" s="295"/>
      <c r="W185" s="295"/>
      <c r="AE185" s="188"/>
      <c r="AG185" s="188"/>
      <c r="AH185" s="188"/>
      <c r="AI185" s="188"/>
      <c r="AJ185" s="188"/>
      <c r="AK185" s="299"/>
      <c r="CP185" s="302">
        <f t="shared" si="791"/>
        <v>112014416</v>
      </c>
      <c r="CQ185" s="510">
        <v>9</v>
      </c>
      <c r="CR185" s="359" t="s">
        <v>1262</v>
      </c>
      <c r="CS185" s="361">
        <v>23650087.239999998</v>
      </c>
      <c r="CT185" s="361">
        <v>2915861.81</v>
      </c>
      <c r="CU185" s="361">
        <v>2401708.8199999998</v>
      </c>
      <c r="CV185" s="361">
        <v>2049829.11</v>
      </c>
      <c r="CW185" s="361">
        <v>2716718.54</v>
      </c>
      <c r="CX185" s="361">
        <v>1675752.4</v>
      </c>
      <c r="CY185" s="361">
        <v>1744578.27</v>
      </c>
      <c r="CZ185" s="361">
        <v>1663724.06</v>
      </c>
      <c r="DA185" s="361">
        <v>4512119.83</v>
      </c>
      <c r="DB185" s="361">
        <v>1401124.29</v>
      </c>
      <c r="DC185" s="361">
        <v>2568670.1</v>
      </c>
      <c r="DD185" s="361"/>
      <c r="DE185" s="361"/>
      <c r="DF185" s="361"/>
      <c r="DG185" s="362"/>
    </row>
    <row r="186" spans="2:111" ht="13">
      <c r="B186" s="294"/>
      <c r="C186" s="294"/>
      <c r="D186" s="294"/>
      <c r="E186" s="294"/>
      <c r="F186" s="294"/>
      <c r="G186" s="294"/>
      <c r="H186" s="294"/>
      <c r="P186" s="295"/>
      <c r="W186" s="295"/>
      <c r="AE186" s="188"/>
      <c r="AG186" s="188"/>
      <c r="AH186" s="188"/>
      <c r="AI186" s="188"/>
      <c r="AJ186" s="188"/>
      <c r="AK186" s="299"/>
      <c r="CP186" s="302">
        <f t="shared" si="791"/>
        <v>112014637</v>
      </c>
      <c r="CQ186" s="510">
        <v>10</v>
      </c>
      <c r="CR186" s="359" t="s">
        <v>1330</v>
      </c>
      <c r="CS186" s="361">
        <v>20809598.27</v>
      </c>
      <c r="CT186" s="361">
        <v>0</v>
      </c>
      <c r="CU186" s="361">
        <v>0</v>
      </c>
      <c r="CV186" s="361">
        <v>0</v>
      </c>
      <c r="CW186" s="361">
        <v>142884.26999999999</v>
      </c>
      <c r="CX186" s="361">
        <v>2875756.42</v>
      </c>
      <c r="CY186" s="361">
        <v>1122155.42</v>
      </c>
      <c r="CZ186" s="361">
        <v>6524617.3300000001</v>
      </c>
      <c r="DA186" s="361">
        <v>3510358.54</v>
      </c>
      <c r="DB186" s="361">
        <v>6633826.2999999998</v>
      </c>
      <c r="DC186" s="361">
        <v>0</v>
      </c>
      <c r="DD186" s="361"/>
      <c r="DE186" s="361"/>
      <c r="DF186" s="361"/>
      <c r="DG186" s="362"/>
    </row>
    <row r="187" spans="2:111" ht="13">
      <c r="B187" s="294"/>
      <c r="C187" s="294"/>
      <c r="D187" s="294"/>
      <c r="E187" s="294"/>
      <c r="F187" s="294"/>
      <c r="G187" s="294"/>
      <c r="H187" s="294"/>
      <c r="P187" s="295"/>
      <c r="W187" s="295"/>
      <c r="AE187" s="188"/>
      <c r="AG187" s="188"/>
      <c r="AH187" s="188"/>
      <c r="AI187" s="188"/>
      <c r="AJ187" s="188"/>
      <c r="AK187" s="299"/>
      <c r="CP187" s="302">
        <f t="shared" si="791"/>
        <v>112014145</v>
      </c>
      <c r="CQ187" s="510">
        <v>11</v>
      </c>
      <c r="CR187" s="359" t="s">
        <v>1333</v>
      </c>
      <c r="CS187" s="361">
        <v>20027597.039999999</v>
      </c>
      <c r="CT187" s="361">
        <v>1656237.24</v>
      </c>
      <c r="CU187" s="361">
        <v>2940161.01</v>
      </c>
      <c r="CV187" s="361">
        <v>765220.17</v>
      </c>
      <c r="CW187" s="361">
        <v>1436807.63</v>
      </c>
      <c r="CX187" s="361">
        <v>938602.71</v>
      </c>
      <c r="CY187" s="361">
        <v>2311775.17</v>
      </c>
      <c r="CZ187" s="361">
        <v>2680021.61</v>
      </c>
      <c r="DA187" s="361">
        <v>1534196</v>
      </c>
      <c r="DB187" s="361">
        <v>3036217.86</v>
      </c>
      <c r="DC187" s="361">
        <v>2728357.65</v>
      </c>
      <c r="DD187" s="361"/>
      <c r="DE187" s="361"/>
      <c r="DF187" s="361"/>
      <c r="DG187" s="362"/>
    </row>
    <row r="188" spans="2:111" ht="13">
      <c r="B188" s="294"/>
      <c r="C188" s="294"/>
      <c r="D188" s="294"/>
      <c r="E188" s="294"/>
      <c r="F188" s="294"/>
      <c r="G188" s="294"/>
      <c r="H188" s="294"/>
      <c r="P188" s="295"/>
      <c r="W188" s="295"/>
      <c r="AE188" s="188"/>
      <c r="AG188" s="188"/>
      <c r="AH188" s="188"/>
      <c r="AI188" s="188"/>
      <c r="AJ188" s="188"/>
      <c r="AK188" s="299"/>
      <c r="CP188" s="302">
        <f t="shared" si="791"/>
        <v>112013711</v>
      </c>
      <c r="CQ188" s="510">
        <v>12</v>
      </c>
      <c r="CR188" s="359" t="s">
        <v>1266</v>
      </c>
      <c r="CS188" s="361">
        <v>18431700.010000002</v>
      </c>
      <c r="CT188" s="361">
        <v>0</v>
      </c>
      <c r="CU188" s="361">
        <v>0</v>
      </c>
      <c r="CV188" s="361">
        <v>0</v>
      </c>
      <c r="CW188" s="361">
        <v>0</v>
      </c>
      <c r="CX188" s="361">
        <v>0</v>
      </c>
      <c r="CY188" s="361">
        <v>5636784.1200000001</v>
      </c>
      <c r="CZ188" s="361">
        <v>4563009.97</v>
      </c>
      <c r="DA188" s="361">
        <v>1897277.22</v>
      </c>
      <c r="DB188" s="361">
        <v>1879602.15</v>
      </c>
      <c r="DC188" s="361">
        <v>4455026.55</v>
      </c>
      <c r="DD188" s="361"/>
      <c r="DE188" s="361"/>
      <c r="DF188" s="361"/>
      <c r="DG188" s="362"/>
    </row>
    <row r="189" spans="2:111" ht="13">
      <c r="B189" s="294"/>
      <c r="C189" s="294"/>
      <c r="D189" s="294"/>
      <c r="E189" s="294"/>
      <c r="F189" s="294"/>
      <c r="G189" s="294"/>
      <c r="H189" s="294"/>
      <c r="P189" s="295"/>
      <c r="W189" s="295"/>
      <c r="AE189" s="188"/>
      <c r="AG189" s="188"/>
      <c r="AH189" s="188"/>
      <c r="AI189" s="188"/>
      <c r="AJ189" s="188"/>
      <c r="AK189" s="299"/>
      <c r="CP189" s="302">
        <f t="shared" si="791"/>
        <v>112014128</v>
      </c>
      <c r="CQ189" s="510">
        <v>13</v>
      </c>
      <c r="CR189" s="359" t="s">
        <v>1273</v>
      </c>
      <c r="CS189" s="361">
        <v>17881186.43</v>
      </c>
      <c r="CT189" s="361">
        <v>0</v>
      </c>
      <c r="CU189" s="361">
        <v>0</v>
      </c>
      <c r="CV189" s="361">
        <v>0</v>
      </c>
      <c r="CW189" s="361">
        <v>0</v>
      </c>
      <c r="CX189" s="361">
        <v>1886084.59</v>
      </c>
      <c r="CY189" s="361">
        <v>857304.06</v>
      </c>
      <c r="CZ189" s="361">
        <v>2466865.89</v>
      </c>
      <c r="DA189" s="361">
        <v>5549481.0099999998</v>
      </c>
      <c r="DB189" s="361">
        <v>5436751.4699999997</v>
      </c>
      <c r="DC189" s="361">
        <v>1684699.4</v>
      </c>
      <c r="DD189" s="361"/>
      <c r="DE189" s="361"/>
      <c r="DF189" s="361"/>
      <c r="DG189" s="362"/>
    </row>
    <row r="190" spans="2:111" ht="13">
      <c r="B190" s="294"/>
      <c r="C190" s="294"/>
      <c r="D190" s="294"/>
      <c r="E190" s="294"/>
      <c r="F190" s="294"/>
      <c r="G190" s="294"/>
      <c r="H190" s="294"/>
      <c r="P190" s="295"/>
      <c r="W190" s="295"/>
      <c r="AE190" s="188"/>
      <c r="AG190" s="188"/>
      <c r="AH190" s="188"/>
      <c r="AI190" s="188"/>
      <c r="AJ190" s="188"/>
      <c r="AK190" s="299"/>
      <c r="CP190" s="302">
        <f t="shared" si="791"/>
        <v>112013946</v>
      </c>
      <c r="CQ190" s="510">
        <v>14</v>
      </c>
      <c r="CR190" s="359" t="s">
        <v>1278</v>
      </c>
      <c r="CS190" s="361">
        <v>17115051.82</v>
      </c>
      <c r="CT190" s="361">
        <v>615377.15</v>
      </c>
      <c r="CU190" s="361">
        <v>674610.57</v>
      </c>
      <c r="CV190" s="361">
        <v>1134512.42</v>
      </c>
      <c r="CW190" s="361">
        <v>854151.9</v>
      </c>
      <c r="CX190" s="361">
        <v>1483869.32</v>
      </c>
      <c r="CY190" s="361">
        <v>1414091.96</v>
      </c>
      <c r="CZ190" s="361">
        <v>1366201.8</v>
      </c>
      <c r="DA190" s="361">
        <v>1660561.84</v>
      </c>
      <c r="DB190" s="361">
        <v>4035721.8</v>
      </c>
      <c r="DC190" s="361">
        <v>3875953.07</v>
      </c>
      <c r="DD190" s="361"/>
      <c r="DE190" s="361"/>
      <c r="DF190" s="361"/>
      <c r="DG190" s="362"/>
    </row>
    <row r="191" spans="2:111" ht="13">
      <c r="B191" s="294"/>
      <c r="C191" s="294"/>
      <c r="D191" s="294"/>
      <c r="E191" s="294"/>
      <c r="F191" s="294"/>
      <c r="G191" s="294"/>
      <c r="H191" s="294"/>
      <c r="P191" s="295"/>
      <c r="W191" s="295"/>
      <c r="AE191" s="188"/>
      <c r="AG191" s="188"/>
      <c r="AH191" s="188"/>
      <c r="AI191" s="188"/>
      <c r="AJ191" s="188"/>
      <c r="AK191" s="299"/>
      <c r="CP191" s="302">
        <f t="shared" si="791"/>
        <v>112011830</v>
      </c>
      <c r="CQ191" s="510">
        <v>15</v>
      </c>
      <c r="CR191" s="359" t="s">
        <v>1303</v>
      </c>
      <c r="CS191" s="361">
        <v>15130994.140000001</v>
      </c>
      <c r="CT191" s="361">
        <v>1679188.95</v>
      </c>
      <c r="CU191" s="361">
        <v>1695217.84</v>
      </c>
      <c r="CV191" s="361">
        <v>1960041.01</v>
      </c>
      <c r="CW191" s="361">
        <v>1810701.85</v>
      </c>
      <c r="CX191" s="361">
        <v>496010.84</v>
      </c>
      <c r="CY191" s="361">
        <v>660779.77</v>
      </c>
      <c r="CZ191" s="361">
        <v>884757.57</v>
      </c>
      <c r="DA191" s="361">
        <v>1619986.25</v>
      </c>
      <c r="DB191" s="361">
        <v>886147.61</v>
      </c>
      <c r="DC191" s="361">
        <v>3438162.44</v>
      </c>
      <c r="DD191" s="365"/>
      <c r="DE191" s="365"/>
      <c r="DF191" s="365"/>
      <c r="DG191" s="366"/>
    </row>
    <row r="192" spans="2:111" ht="13">
      <c r="B192" s="294"/>
      <c r="C192" s="294"/>
      <c r="D192" s="294"/>
      <c r="E192" s="294"/>
      <c r="F192" s="294"/>
      <c r="G192" s="294"/>
      <c r="H192" s="294"/>
      <c r="P192" s="295"/>
      <c r="W192" s="295"/>
      <c r="AE192" s="188"/>
      <c r="AG192" s="188"/>
      <c r="AH192" s="188"/>
      <c r="AI192" s="188"/>
      <c r="AJ192" s="188"/>
      <c r="AK192" s="299"/>
      <c r="CP192" s="302">
        <f t="shared" si="791"/>
        <v>112013028</v>
      </c>
      <c r="CQ192" s="510">
        <v>16</v>
      </c>
      <c r="CR192" s="359" t="s">
        <v>1265</v>
      </c>
      <c r="CS192" s="361">
        <v>15065454.060000001</v>
      </c>
      <c r="CT192" s="361">
        <v>3622705.75</v>
      </c>
      <c r="CU192" s="361">
        <v>2594130.64</v>
      </c>
      <c r="CV192" s="361">
        <v>1824337.07</v>
      </c>
      <c r="CW192" s="361">
        <v>800899.06</v>
      </c>
      <c r="CX192" s="361">
        <v>768106.66</v>
      </c>
      <c r="CY192" s="361">
        <v>492830.55</v>
      </c>
      <c r="CZ192" s="361">
        <v>658129.25</v>
      </c>
      <c r="DA192" s="361">
        <v>688062.96</v>
      </c>
      <c r="DB192" s="361">
        <v>1517140.7</v>
      </c>
      <c r="DC192" s="361">
        <v>2099111.44</v>
      </c>
      <c r="DD192" s="361"/>
      <c r="DE192" s="361"/>
      <c r="DF192" s="361"/>
      <c r="DG192" s="362"/>
    </row>
    <row r="193" spans="2:111" ht="13">
      <c r="B193" s="294"/>
      <c r="C193" s="294"/>
      <c r="D193" s="294"/>
      <c r="E193" s="294"/>
      <c r="F193" s="294"/>
      <c r="G193" s="294"/>
      <c r="H193" s="294"/>
      <c r="P193" s="295"/>
      <c r="W193" s="295"/>
      <c r="AE193" s="188"/>
      <c r="AG193" s="188"/>
      <c r="AH193" s="188"/>
      <c r="AI193" s="188"/>
      <c r="AJ193" s="188"/>
      <c r="AK193" s="299"/>
      <c r="CP193" s="302">
        <f t="shared" si="791"/>
        <v>112013457</v>
      </c>
      <c r="CQ193" s="510">
        <v>17</v>
      </c>
      <c r="CR193" s="359" t="s">
        <v>1271</v>
      </c>
      <c r="CS193" s="361">
        <v>13339182.550000001</v>
      </c>
      <c r="CT193" s="361">
        <v>147316.35</v>
      </c>
      <c r="CU193" s="361">
        <v>2529309.36</v>
      </c>
      <c r="CV193" s="361">
        <v>1023678.6</v>
      </c>
      <c r="CW193" s="361">
        <v>1351136.87</v>
      </c>
      <c r="CX193" s="361">
        <v>2404983.98</v>
      </c>
      <c r="CY193" s="361">
        <v>2105166.35</v>
      </c>
      <c r="CZ193" s="361">
        <v>1196801.3899999999</v>
      </c>
      <c r="DA193" s="361">
        <v>1858678.33</v>
      </c>
      <c r="DB193" s="361">
        <v>0</v>
      </c>
      <c r="DC193" s="361">
        <v>722111.31</v>
      </c>
      <c r="DD193" s="361"/>
      <c r="DE193" s="361"/>
      <c r="DF193" s="361"/>
      <c r="DG193" s="362"/>
    </row>
    <row r="194" spans="2:111" ht="13">
      <c r="B194" s="294"/>
      <c r="C194" s="294"/>
      <c r="D194" s="294"/>
      <c r="E194" s="294"/>
      <c r="F194" s="294"/>
      <c r="G194" s="294"/>
      <c r="H194" s="294"/>
      <c r="P194" s="295"/>
      <c r="W194" s="295"/>
      <c r="AE194" s="188"/>
      <c r="AG194" s="188"/>
      <c r="AH194" s="188"/>
      <c r="AI194" s="188"/>
      <c r="AJ194" s="188"/>
      <c r="AK194" s="299"/>
      <c r="CP194" s="302">
        <f t="shared" si="791"/>
        <v>112014172</v>
      </c>
      <c r="CQ194" s="510">
        <v>18</v>
      </c>
      <c r="CR194" s="359" t="s">
        <v>1284</v>
      </c>
      <c r="CS194" s="361">
        <v>13109904.92</v>
      </c>
      <c r="CT194" s="361">
        <v>794421.63</v>
      </c>
      <c r="CU194" s="361">
        <v>910033.48</v>
      </c>
      <c r="CV194" s="361">
        <v>2384971.9500000002</v>
      </c>
      <c r="CW194" s="361">
        <v>413352.65</v>
      </c>
      <c r="CX194" s="361">
        <v>0</v>
      </c>
      <c r="CY194" s="361">
        <v>1280697.71</v>
      </c>
      <c r="CZ194" s="361">
        <v>1264890.27</v>
      </c>
      <c r="DA194" s="361">
        <v>747049.29</v>
      </c>
      <c r="DB194" s="361">
        <v>1873197.02</v>
      </c>
      <c r="DC194" s="361">
        <v>3441290.91</v>
      </c>
      <c r="DD194" s="361"/>
      <c r="DE194" s="361"/>
      <c r="DF194" s="361"/>
      <c r="DG194" s="362"/>
    </row>
    <row r="195" spans="2:111" ht="13">
      <c r="B195" s="294"/>
      <c r="C195" s="294"/>
      <c r="D195" s="294"/>
      <c r="E195" s="294"/>
      <c r="F195" s="294"/>
      <c r="G195" s="294"/>
      <c r="H195" s="294"/>
      <c r="P195" s="295"/>
      <c r="W195" s="295"/>
      <c r="AE195" s="188"/>
      <c r="AG195" s="188"/>
      <c r="AH195" s="188"/>
      <c r="AI195" s="188"/>
      <c r="AJ195" s="188"/>
      <c r="AK195" s="299"/>
      <c r="CP195" s="302">
        <f t="shared" si="791"/>
        <v>112012290</v>
      </c>
      <c r="CQ195" s="510">
        <v>19</v>
      </c>
      <c r="CR195" s="359" t="s">
        <v>1363</v>
      </c>
      <c r="CS195" s="361">
        <v>12616497.27</v>
      </c>
      <c r="CT195" s="361">
        <v>2618457.42</v>
      </c>
      <c r="CU195" s="361">
        <v>2424133.85</v>
      </c>
      <c r="CV195" s="361">
        <v>1182138.22</v>
      </c>
      <c r="CW195" s="361">
        <v>894901.39</v>
      </c>
      <c r="CX195" s="361">
        <v>698213.77</v>
      </c>
      <c r="CY195" s="361">
        <v>630892.31999999995</v>
      </c>
      <c r="CZ195" s="361">
        <v>901073.54</v>
      </c>
      <c r="DA195" s="361">
        <v>317909.7</v>
      </c>
      <c r="DB195" s="361">
        <v>1274739.97</v>
      </c>
      <c r="DC195" s="361">
        <v>1674037.1</v>
      </c>
      <c r="DD195" s="361"/>
      <c r="DE195" s="361"/>
      <c r="DF195" s="361"/>
      <c r="DG195" s="362"/>
    </row>
    <row r="196" spans="2:111" ht="13">
      <c r="B196" s="294"/>
      <c r="C196" s="294"/>
      <c r="D196" s="294"/>
      <c r="E196" s="294"/>
      <c r="F196" s="294"/>
      <c r="G196" s="294"/>
      <c r="H196" s="294"/>
      <c r="P196" s="295"/>
      <c r="W196" s="295"/>
      <c r="AE196" s="188"/>
      <c r="AG196" s="188"/>
      <c r="AH196" s="188"/>
      <c r="AI196" s="188"/>
      <c r="AJ196" s="188"/>
      <c r="AK196" s="299"/>
      <c r="CP196" s="302">
        <f t="shared" si="791"/>
        <v>112011216</v>
      </c>
      <c r="CQ196" s="510">
        <v>20</v>
      </c>
      <c r="CR196" s="359" t="s">
        <v>1317</v>
      </c>
      <c r="CS196" s="361">
        <v>11359141.76</v>
      </c>
      <c r="CT196" s="361">
        <v>0</v>
      </c>
      <c r="CU196" s="361">
        <v>0</v>
      </c>
      <c r="CV196" s="361">
        <v>0</v>
      </c>
      <c r="CW196" s="361">
        <v>0</v>
      </c>
      <c r="CX196" s="361">
        <v>236839.13</v>
      </c>
      <c r="CY196" s="361">
        <v>1608233.6</v>
      </c>
      <c r="CZ196" s="361">
        <v>0</v>
      </c>
      <c r="DA196" s="361">
        <v>2212286.9900000002</v>
      </c>
      <c r="DB196" s="361">
        <v>2949872.96</v>
      </c>
      <c r="DC196" s="361">
        <v>4351909.07</v>
      </c>
      <c r="DD196" s="361"/>
      <c r="DE196" s="361"/>
      <c r="DF196" s="361"/>
      <c r="DG196" s="362"/>
    </row>
    <row r="197" spans="2:111" ht="13">
      <c r="B197" s="294"/>
      <c r="C197" s="294"/>
      <c r="D197" s="294"/>
      <c r="E197" s="294"/>
      <c r="F197" s="294"/>
      <c r="G197" s="294"/>
      <c r="H197" s="294"/>
      <c r="P197" s="295"/>
      <c r="W197" s="295"/>
      <c r="AE197" s="188"/>
      <c r="AG197" s="188"/>
      <c r="AH197" s="188"/>
      <c r="AI197" s="188"/>
      <c r="AJ197" s="188"/>
      <c r="AK197" s="299"/>
      <c r="CP197" s="302">
        <f t="shared" si="791"/>
        <v>112011735</v>
      </c>
      <c r="CQ197" s="510">
        <v>21</v>
      </c>
      <c r="CR197" s="359" t="s">
        <v>1285</v>
      </c>
      <c r="CS197" s="361">
        <v>11159604.710000001</v>
      </c>
      <c r="CT197" s="361">
        <v>2867002.15</v>
      </c>
      <c r="CU197" s="361">
        <v>1660715.55</v>
      </c>
      <c r="CV197" s="361">
        <v>528205.32999999996</v>
      </c>
      <c r="CW197" s="361">
        <v>1184023.75</v>
      </c>
      <c r="CX197" s="361">
        <v>1575048.8</v>
      </c>
      <c r="CY197" s="361">
        <v>1038609.94</v>
      </c>
      <c r="CZ197" s="361">
        <v>926751.72</v>
      </c>
      <c r="DA197" s="361">
        <v>740745.73</v>
      </c>
      <c r="DB197" s="361">
        <v>441669.58</v>
      </c>
      <c r="DC197" s="361">
        <v>196832.16</v>
      </c>
      <c r="DD197" s="361"/>
      <c r="DE197" s="361"/>
      <c r="DF197" s="361"/>
      <c r="DG197" s="362"/>
    </row>
    <row r="198" spans="2:111" ht="13">
      <c r="B198" s="294"/>
      <c r="C198" s="294"/>
      <c r="D198" s="294"/>
      <c r="E198" s="294"/>
      <c r="F198" s="294"/>
      <c r="G198" s="294"/>
      <c r="H198" s="294"/>
      <c r="P198" s="295"/>
      <c r="W198" s="295"/>
      <c r="AE198" s="188"/>
      <c r="AG198" s="188"/>
      <c r="AH198" s="188"/>
      <c r="AI198" s="188"/>
      <c r="AJ198" s="188"/>
      <c r="AK198" s="299"/>
      <c r="CP198" s="302">
        <f t="shared" si="791"/>
        <v>112014454</v>
      </c>
      <c r="CQ198" s="510">
        <v>22</v>
      </c>
      <c r="CR198" s="359" t="s">
        <v>1301</v>
      </c>
      <c r="CS198" s="361">
        <v>10519304.51</v>
      </c>
      <c r="CT198" s="361">
        <v>1469382.49</v>
      </c>
      <c r="CU198" s="361">
        <v>1840736.27</v>
      </c>
      <c r="CV198" s="361">
        <v>588348.26</v>
      </c>
      <c r="CW198" s="361">
        <v>913330.78</v>
      </c>
      <c r="CX198" s="361">
        <v>376599.14</v>
      </c>
      <c r="CY198" s="361">
        <v>889206.45</v>
      </c>
      <c r="CZ198" s="361">
        <v>142006.76</v>
      </c>
      <c r="DA198" s="361">
        <v>765905.54</v>
      </c>
      <c r="DB198" s="361">
        <v>178688.81</v>
      </c>
      <c r="DC198" s="361">
        <v>3355100</v>
      </c>
      <c r="DD198" s="361"/>
      <c r="DE198" s="361"/>
      <c r="DF198" s="361"/>
      <c r="DG198" s="362"/>
    </row>
    <row r="199" spans="2:111" ht="13">
      <c r="B199" s="294"/>
      <c r="C199" s="294"/>
      <c r="D199" s="294"/>
      <c r="E199" s="294"/>
      <c r="F199" s="294"/>
      <c r="G199" s="294"/>
      <c r="H199" s="294"/>
      <c r="P199" s="295"/>
      <c r="W199" s="295"/>
      <c r="AE199" s="188"/>
      <c r="AG199" s="188"/>
      <c r="AH199" s="188"/>
      <c r="AI199" s="188"/>
      <c r="AJ199" s="188"/>
      <c r="AK199" s="299"/>
      <c r="CP199" s="302">
        <f t="shared" si="791"/>
        <v>112014521</v>
      </c>
      <c r="CQ199" s="510">
        <v>23</v>
      </c>
      <c r="CR199" s="359" t="s">
        <v>1293</v>
      </c>
      <c r="CS199" s="361">
        <v>9560896.8499999996</v>
      </c>
      <c r="CT199" s="361">
        <v>1252748.33</v>
      </c>
      <c r="CU199" s="361">
        <v>1805043.58</v>
      </c>
      <c r="CV199" s="361">
        <v>971433.86</v>
      </c>
      <c r="CW199" s="361">
        <v>893152.7</v>
      </c>
      <c r="CX199" s="361">
        <v>1347614.98</v>
      </c>
      <c r="CY199" s="361">
        <v>480801.67</v>
      </c>
      <c r="CZ199" s="361">
        <v>503453.38</v>
      </c>
      <c r="DA199" s="361">
        <v>528446.51</v>
      </c>
      <c r="DB199" s="361">
        <v>773784.38</v>
      </c>
      <c r="DC199" s="361">
        <v>1004417.45</v>
      </c>
      <c r="DD199" s="361"/>
      <c r="DE199" s="361"/>
      <c r="DF199" s="361"/>
      <c r="DG199" s="362"/>
    </row>
    <row r="200" spans="2:111" ht="13">
      <c r="B200" s="294"/>
      <c r="C200" s="294"/>
      <c r="D200" s="294"/>
      <c r="E200" s="294"/>
      <c r="F200" s="294"/>
      <c r="G200" s="294"/>
      <c r="H200" s="294"/>
      <c r="P200" s="295"/>
      <c r="W200" s="295"/>
      <c r="AE200" s="188"/>
      <c r="AG200" s="188"/>
      <c r="AH200" s="188"/>
      <c r="AI200" s="188"/>
      <c r="AJ200" s="188"/>
      <c r="AK200" s="299"/>
      <c r="CP200" s="302">
        <f t="shared" si="791"/>
        <v>112014071</v>
      </c>
      <c r="CQ200" s="510">
        <v>24</v>
      </c>
      <c r="CR200" s="359" t="s">
        <v>1313</v>
      </c>
      <c r="CS200" s="361">
        <v>9460420.8399999999</v>
      </c>
      <c r="CT200" s="361">
        <v>0</v>
      </c>
      <c r="CU200" s="361">
        <v>0</v>
      </c>
      <c r="CV200" s="361">
        <v>0</v>
      </c>
      <c r="CW200" s="361">
        <v>1087344</v>
      </c>
      <c r="CX200" s="361">
        <v>540331.26</v>
      </c>
      <c r="CY200" s="361">
        <v>2444664.85</v>
      </c>
      <c r="CZ200" s="361">
        <v>709585.44</v>
      </c>
      <c r="DA200" s="361">
        <v>609135.44999999995</v>
      </c>
      <c r="DB200" s="361">
        <v>2886185.14</v>
      </c>
      <c r="DC200" s="361">
        <v>1183174.7</v>
      </c>
      <c r="DD200" s="361"/>
      <c r="DE200" s="361"/>
      <c r="DF200" s="361"/>
      <c r="DG200" s="362"/>
    </row>
    <row r="201" spans="2:111" ht="13">
      <c r="B201" s="294"/>
      <c r="C201" s="294"/>
      <c r="D201" s="294"/>
      <c r="E201" s="294"/>
      <c r="F201" s="294"/>
      <c r="G201" s="294"/>
      <c r="H201" s="294"/>
      <c r="P201" s="295"/>
      <c r="W201" s="295"/>
      <c r="AE201" s="188"/>
      <c r="AG201" s="188"/>
      <c r="AH201" s="188"/>
      <c r="AI201" s="188"/>
      <c r="AJ201" s="188"/>
      <c r="AK201" s="299"/>
      <c r="CP201" s="302">
        <f t="shared" si="791"/>
        <v>112010365</v>
      </c>
      <c r="CQ201" s="510">
        <v>25</v>
      </c>
      <c r="CR201" s="359" t="s">
        <v>1270</v>
      </c>
      <c r="CS201" s="361">
        <v>9304596.4900000002</v>
      </c>
      <c r="CT201" s="361">
        <v>0</v>
      </c>
      <c r="CU201" s="361">
        <v>0</v>
      </c>
      <c r="CV201" s="361">
        <v>0</v>
      </c>
      <c r="CW201" s="361">
        <v>0</v>
      </c>
      <c r="CX201" s="361">
        <v>508973.67</v>
      </c>
      <c r="CY201" s="361">
        <v>1368513.03</v>
      </c>
      <c r="CZ201" s="361">
        <v>904626.58</v>
      </c>
      <c r="DA201" s="361">
        <v>2489434.0099999998</v>
      </c>
      <c r="DB201" s="361">
        <v>564222.1</v>
      </c>
      <c r="DC201" s="361">
        <v>3468827.1</v>
      </c>
      <c r="DD201" s="365"/>
      <c r="DE201" s="365"/>
      <c r="DF201" s="365"/>
      <c r="DG201" s="366"/>
    </row>
    <row r="202" spans="2:111" ht="13">
      <c r="B202" s="294"/>
      <c r="C202" s="294"/>
      <c r="D202" s="294"/>
      <c r="E202" s="294"/>
      <c r="F202" s="294"/>
      <c r="G202" s="294"/>
      <c r="H202" s="294"/>
      <c r="P202" s="295"/>
      <c r="W202" s="295"/>
      <c r="AE202" s="188"/>
      <c r="AG202" s="188"/>
      <c r="AH202" s="188"/>
      <c r="AI202" s="188"/>
      <c r="AJ202" s="188"/>
      <c r="AK202" s="299"/>
      <c r="CP202" s="302">
        <f t="shared" si="791"/>
        <v>112014487</v>
      </c>
      <c r="CQ202" s="510">
        <v>26</v>
      </c>
      <c r="CR202" s="359" t="s">
        <v>1315</v>
      </c>
      <c r="CS202" s="361">
        <v>9200591.0199999996</v>
      </c>
      <c r="CT202" s="361">
        <v>0</v>
      </c>
      <c r="CU202" s="361">
        <v>0</v>
      </c>
      <c r="CV202" s="361">
        <v>0</v>
      </c>
      <c r="CW202" s="361">
        <v>834822.75</v>
      </c>
      <c r="CX202" s="361">
        <v>518537.97</v>
      </c>
      <c r="CY202" s="361">
        <v>208765.8</v>
      </c>
      <c r="CZ202" s="361">
        <v>957652.26</v>
      </c>
      <c r="DA202" s="361">
        <v>1104315.5900000001</v>
      </c>
      <c r="DB202" s="361">
        <v>1645172.49</v>
      </c>
      <c r="DC202" s="361">
        <v>3931324.15</v>
      </c>
      <c r="DD202" s="361"/>
      <c r="DE202" s="361"/>
      <c r="DF202" s="361"/>
      <c r="DG202" s="362"/>
    </row>
    <row r="203" spans="2:111" ht="13">
      <c r="B203" s="294"/>
      <c r="C203" s="294"/>
      <c r="D203" s="294"/>
      <c r="E203" s="294"/>
      <c r="F203" s="294"/>
      <c r="G203" s="294"/>
      <c r="H203" s="294"/>
      <c r="P203" s="295"/>
      <c r="W203" s="295"/>
      <c r="AE203" s="188"/>
      <c r="AG203" s="188"/>
      <c r="AH203" s="188"/>
      <c r="AI203" s="188"/>
      <c r="AJ203" s="188"/>
      <c r="AK203" s="299"/>
      <c r="CP203" s="302">
        <f t="shared" si="791"/>
        <v>112014013</v>
      </c>
      <c r="CQ203" s="510">
        <v>27</v>
      </c>
      <c r="CR203" s="359" t="s">
        <v>1294</v>
      </c>
      <c r="CS203" s="361">
        <v>8963478.5099999998</v>
      </c>
      <c r="CT203" s="361">
        <v>1544610.3</v>
      </c>
      <c r="CU203" s="361">
        <v>1463201.21</v>
      </c>
      <c r="CV203" s="361">
        <v>357341.27</v>
      </c>
      <c r="CW203" s="361">
        <v>628581.56999999995</v>
      </c>
      <c r="CX203" s="361">
        <v>1050899.3500000001</v>
      </c>
      <c r="CY203" s="361">
        <v>986458.9</v>
      </c>
      <c r="CZ203" s="361">
        <v>966571.79</v>
      </c>
      <c r="DA203" s="361">
        <v>694708.1</v>
      </c>
      <c r="DB203" s="361">
        <v>1271106.02</v>
      </c>
      <c r="DC203" s="361">
        <v>0</v>
      </c>
      <c r="DD203" s="361"/>
      <c r="DE203" s="361"/>
      <c r="DF203" s="361"/>
      <c r="DG203" s="362"/>
    </row>
    <row r="204" spans="2:111" ht="13">
      <c r="B204" s="294"/>
      <c r="C204" s="294"/>
      <c r="D204" s="294"/>
      <c r="E204" s="294"/>
      <c r="F204" s="294"/>
      <c r="G204" s="294"/>
      <c r="H204" s="294"/>
      <c r="P204" s="295"/>
      <c r="W204" s="295"/>
      <c r="AE204" s="188"/>
      <c r="AG204" s="188"/>
      <c r="AH204" s="188"/>
      <c r="AI204" s="188"/>
      <c r="AJ204" s="188"/>
      <c r="AK204" s="299"/>
      <c r="CP204" s="302">
        <f t="shared" si="791"/>
        <v>112012449</v>
      </c>
      <c r="CQ204" s="510">
        <v>28</v>
      </c>
      <c r="CR204" s="359" t="s">
        <v>1305</v>
      </c>
      <c r="CS204" s="361">
        <v>8479755.7899999991</v>
      </c>
      <c r="CT204" s="361">
        <v>0</v>
      </c>
      <c r="CU204" s="361">
        <v>1161402.78</v>
      </c>
      <c r="CV204" s="361">
        <v>0</v>
      </c>
      <c r="CW204" s="361">
        <v>987583.59</v>
      </c>
      <c r="CX204" s="361">
        <v>0</v>
      </c>
      <c r="CY204" s="361">
        <v>0</v>
      </c>
      <c r="CZ204" s="361">
        <v>5805429.2000000002</v>
      </c>
      <c r="DA204" s="361">
        <v>-661188.64</v>
      </c>
      <c r="DB204" s="361">
        <v>0</v>
      </c>
      <c r="DC204" s="361">
        <v>1186528.8600000001</v>
      </c>
      <c r="DD204" s="361"/>
      <c r="DE204" s="361"/>
      <c r="DF204" s="361"/>
      <c r="DG204" s="362"/>
    </row>
    <row r="205" spans="2:111" ht="13">
      <c r="B205" s="294"/>
      <c r="C205" s="294"/>
      <c r="D205" s="294"/>
      <c r="E205" s="294"/>
      <c r="F205" s="294"/>
      <c r="G205" s="294"/>
      <c r="H205" s="294"/>
      <c r="P205" s="295"/>
      <c r="W205" s="295"/>
      <c r="AE205" s="188"/>
      <c r="AG205" s="188"/>
      <c r="AH205" s="188"/>
      <c r="AI205" s="188"/>
      <c r="AJ205" s="188"/>
      <c r="AK205" s="299"/>
      <c r="CP205" s="302">
        <f t="shared" si="791"/>
        <v>112014348</v>
      </c>
      <c r="CQ205" s="510">
        <v>29</v>
      </c>
      <c r="CR205" s="359" t="s">
        <v>1288</v>
      </c>
      <c r="CS205" s="361">
        <v>8048648.9500000002</v>
      </c>
      <c r="CT205" s="361">
        <v>628394.4</v>
      </c>
      <c r="CU205" s="361">
        <v>886180.99</v>
      </c>
      <c r="CV205" s="361">
        <v>26779</v>
      </c>
      <c r="CW205" s="361">
        <v>935190.8</v>
      </c>
      <c r="CX205" s="361">
        <v>968473.8</v>
      </c>
      <c r="CY205" s="361">
        <v>475989.4</v>
      </c>
      <c r="CZ205" s="361">
        <v>980282.22</v>
      </c>
      <c r="DA205" s="361">
        <v>373873.23</v>
      </c>
      <c r="DB205" s="361">
        <v>1560307.39</v>
      </c>
      <c r="DC205" s="361">
        <v>1213177.73</v>
      </c>
      <c r="DD205" s="365"/>
      <c r="DE205" s="365"/>
      <c r="DF205" s="365"/>
      <c r="DG205" s="366"/>
    </row>
    <row r="206" spans="2:111" ht="13">
      <c r="B206" s="294"/>
      <c r="C206" s="294"/>
      <c r="D206" s="294"/>
      <c r="E206" s="294"/>
      <c r="F206" s="294"/>
      <c r="G206" s="294"/>
      <c r="H206" s="294"/>
      <c r="P206" s="295"/>
      <c r="W206" s="295"/>
      <c r="AE206" s="188"/>
      <c r="AG206" s="188"/>
      <c r="AH206" s="188"/>
      <c r="AI206" s="188"/>
      <c r="AJ206" s="188"/>
      <c r="AK206" s="299"/>
      <c r="CP206" s="302">
        <f t="shared" si="791"/>
        <v>112013786</v>
      </c>
      <c r="CQ206" s="510">
        <v>30</v>
      </c>
      <c r="CR206" s="359" t="s">
        <v>1282</v>
      </c>
      <c r="CS206" s="361">
        <v>7798179.6799999997</v>
      </c>
      <c r="CT206" s="361">
        <v>0</v>
      </c>
      <c r="CU206" s="361">
        <v>0</v>
      </c>
      <c r="CV206" s="361">
        <v>0</v>
      </c>
      <c r="CW206" s="361">
        <v>0</v>
      </c>
      <c r="CX206" s="361">
        <v>0.03</v>
      </c>
      <c r="CY206" s="361">
        <v>729031.96</v>
      </c>
      <c r="CZ206" s="361">
        <v>1387073.19</v>
      </c>
      <c r="DA206" s="361">
        <v>1793585.37</v>
      </c>
      <c r="DB206" s="361">
        <v>1556833.43</v>
      </c>
      <c r="DC206" s="361">
        <v>2331655.7000000002</v>
      </c>
      <c r="DD206" s="361"/>
      <c r="DE206" s="361"/>
      <c r="DF206" s="361"/>
      <c r="DG206" s="362"/>
    </row>
    <row r="207" spans="2:111" ht="13">
      <c r="B207" s="294"/>
      <c r="C207" s="294"/>
      <c r="D207" s="294"/>
      <c r="E207" s="294"/>
      <c r="F207" s="294"/>
      <c r="G207" s="294"/>
      <c r="H207" s="294"/>
      <c r="P207" s="295"/>
      <c r="W207" s="295"/>
      <c r="AE207" s="188"/>
      <c r="AG207" s="188"/>
      <c r="AH207" s="188"/>
      <c r="AI207" s="188"/>
      <c r="AJ207" s="188"/>
      <c r="AK207" s="299"/>
      <c r="CP207" s="302">
        <f t="shared" si="791"/>
        <v>112014174</v>
      </c>
      <c r="CQ207" s="510">
        <v>31</v>
      </c>
      <c r="CR207" s="359" t="s">
        <v>1276</v>
      </c>
      <c r="CS207" s="361">
        <v>7598776.0199999996</v>
      </c>
      <c r="CT207" s="361">
        <v>770734.11</v>
      </c>
      <c r="CU207" s="361">
        <v>1197061.44</v>
      </c>
      <c r="CV207" s="361">
        <v>1315033.97</v>
      </c>
      <c r="CW207" s="361">
        <v>966966.09</v>
      </c>
      <c r="CX207" s="361">
        <v>359426.84</v>
      </c>
      <c r="CY207" s="361">
        <v>525898.65</v>
      </c>
      <c r="CZ207" s="361">
        <v>617067.93000000005</v>
      </c>
      <c r="DA207" s="361">
        <v>660940.11</v>
      </c>
      <c r="DB207" s="361">
        <v>787668.91</v>
      </c>
      <c r="DC207" s="361">
        <v>397977.98</v>
      </c>
      <c r="DD207" s="361"/>
      <c r="DE207" s="361"/>
      <c r="DF207" s="361"/>
      <c r="DG207" s="362"/>
    </row>
    <row r="208" spans="2:111" ht="13">
      <c r="B208" s="294"/>
      <c r="C208" s="294"/>
      <c r="D208" s="294"/>
      <c r="E208" s="294"/>
      <c r="F208" s="294"/>
      <c r="G208" s="294"/>
      <c r="H208" s="294"/>
      <c r="P208" s="295"/>
      <c r="W208" s="295"/>
      <c r="AE208" s="188"/>
      <c r="AG208" s="188"/>
      <c r="AH208" s="188"/>
      <c r="AI208" s="188"/>
      <c r="AJ208" s="188"/>
      <c r="AK208" s="299"/>
      <c r="CP208" s="302">
        <f t="shared" si="791"/>
        <v>112011689</v>
      </c>
      <c r="CQ208" s="510">
        <v>32</v>
      </c>
      <c r="CR208" s="359" t="s">
        <v>1295</v>
      </c>
      <c r="CS208" s="361">
        <v>7505667.4199999999</v>
      </c>
      <c r="CT208" s="361">
        <v>1968393.68</v>
      </c>
      <c r="CU208" s="361">
        <v>808695.26</v>
      </c>
      <c r="CV208" s="361">
        <v>775058.53</v>
      </c>
      <c r="CW208" s="361">
        <v>649392.94999999995</v>
      </c>
      <c r="CX208" s="361">
        <v>588964.03</v>
      </c>
      <c r="CY208" s="361">
        <v>413152.07</v>
      </c>
      <c r="CZ208" s="361">
        <v>429005.1</v>
      </c>
      <c r="DA208" s="361">
        <v>737796.15</v>
      </c>
      <c r="DB208" s="361">
        <v>511062.6</v>
      </c>
      <c r="DC208" s="361">
        <v>624147.05000000005</v>
      </c>
      <c r="DD208" s="361"/>
      <c r="DE208" s="361"/>
      <c r="DF208" s="361"/>
      <c r="DG208" s="362"/>
    </row>
    <row r="209" spans="2:111" ht="13">
      <c r="B209" s="294"/>
      <c r="C209" s="294"/>
      <c r="D209" s="294"/>
      <c r="E209" s="294"/>
      <c r="F209" s="294"/>
      <c r="G209" s="294"/>
      <c r="H209" s="294"/>
      <c r="P209" s="295"/>
      <c r="W209" s="295"/>
      <c r="AE209" s="188"/>
      <c r="AG209" s="188"/>
      <c r="AH209" s="188"/>
      <c r="AI209" s="188"/>
      <c r="AJ209" s="188"/>
      <c r="AK209" s="299"/>
      <c r="CP209" s="302">
        <f t="shared" ref="CP209:CP240" si="792">VLOOKUP(CR209,MONTENEGROCARTERA,3,FALSE)</f>
        <v>112012568</v>
      </c>
      <c r="CQ209" s="510">
        <v>33</v>
      </c>
      <c r="CR209" s="359" t="s">
        <v>1307</v>
      </c>
      <c r="CS209" s="361">
        <v>7469725.9100000001</v>
      </c>
      <c r="CT209" s="361">
        <v>851369.65</v>
      </c>
      <c r="CU209" s="361">
        <v>96925.68</v>
      </c>
      <c r="CV209" s="361">
        <v>0</v>
      </c>
      <c r="CW209" s="361">
        <v>371656.35</v>
      </c>
      <c r="CX209" s="361">
        <v>0</v>
      </c>
      <c r="CY209" s="361">
        <v>0</v>
      </c>
      <c r="CZ209" s="361">
        <v>1094779.29</v>
      </c>
      <c r="DA209" s="361">
        <v>3720600.29</v>
      </c>
      <c r="DB209" s="361">
        <v>707360.98</v>
      </c>
      <c r="DC209" s="361">
        <v>627033.67000000004</v>
      </c>
      <c r="DD209" s="365"/>
      <c r="DE209" s="365"/>
      <c r="DF209" s="365"/>
      <c r="DG209" s="366"/>
    </row>
    <row r="210" spans="2:111" ht="13">
      <c r="B210" s="294"/>
      <c r="C210" s="294"/>
      <c r="D210" s="294"/>
      <c r="E210" s="294"/>
      <c r="F210" s="294"/>
      <c r="G210" s="294"/>
      <c r="H210" s="294"/>
      <c r="P210" s="295"/>
      <c r="W210" s="295"/>
      <c r="AE210" s="188"/>
      <c r="AG210" s="188"/>
      <c r="AH210" s="188"/>
      <c r="AI210" s="188"/>
      <c r="AJ210" s="188"/>
      <c r="AK210" s="299"/>
      <c r="CP210" s="302">
        <f t="shared" si="792"/>
        <v>112013788</v>
      </c>
      <c r="CQ210" s="510">
        <v>34</v>
      </c>
      <c r="CR210" s="359" t="s">
        <v>1281</v>
      </c>
      <c r="CS210" s="361">
        <v>7245600.8700000001</v>
      </c>
      <c r="CT210" s="361">
        <v>0</v>
      </c>
      <c r="CU210" s="361">
        <v>0</v>
      </c>
      <c r="CV210" s="361">
        <v>0</v>
      </c>
      <c r="CW210" s="361">
        <v>0</v>
      </c>
      <c r="CX210" s="361">
        <v>464104.88</v>
      </c>
      <c r="CY210" s="361">
        <v>2736904.57</v>
      </c>
      <c r="CZ210" s="361">
        <v>993693.56</v>
      </c>
      <c r="DA210" s="361">
        <v>827128.37</v>
      </c>
      <c r="DB210" s="361">
        <v>1434455.26</v>
      </c>
      <c r="DC210" s="361">
        <v>789314.23</v>
      </c>
      <c r="DD210" s="361"/>
      <c r="DE210" s="361"/>
      <c r="DF210" s="361"/>
      <c r="DG210" s="362"/>
    </row>
    <row r="211" spans="2:111" ht="13">
      <c r="B211" s="294"/>
      <c r="C211" s="294"/>
      <c r="D211" s="294"/>
      <c r="E211" s="294"/>
      <c r="F211" s="294"/>
      <c r="G211" s="294"/>
      <c r="H211" s="294"/>
      <c r="P211" s="295"/>
      <c r="W211" s="295"/>
      <c r="AE211" s="188"/>
      <c r="AG211" s="188"/>
      <c r="AH211" s="188"/>
      <c r="AI211" s="188"/>
      <c r="AJ211" s="188"/>
      <c r="AK211" s="299"/>
      <c r="CP211" s="302">
        <f t="shared" si="792"/>
        <v>112012832</v>
      </c>
      <c r="CQ211" s="510">
        <v>35</v>
      </c>
      <c r="CR211" s="359" t="s">
        <v>1272</v>
      </c>
      <c r="CS211" s="361">
        <v>7215820.9400000004</v>
      </c>
      <c r="CT211" s="361">
        <v>1125962.3400000001</v>
      </c>
      <c r="CU211" s="361">
        <v>421083.06</v>
      </c>
      <c r="CV211" s="361">
        <v>404392.59</v>
      </c>
      <c r="CW211" s="361">
        <v>1016069.39</v>
      </c>
      <c r="CX211" s="361">
        <v>587308.76</v>
      </c>
      <c r="CY211" s="361">
        <v>1127616.92</v>
      </c>
      <c r="CZ211" s="361">
        <v>607023.19999999995</v>
      </c>
      <c r="DA211" s="361">
        <v>443631.04</v>
      </c>
      <c r="DB211" s="361">
        <v>810839.01</v>
      </c>
      <c r="DC211" s="361">
        <v>671894.65</v>
      </c>
      <c r="DD211" s="361"/>
      <c r="DE211" s="361"/>
      <c r="DF211" s="361"/>
      <c r="DG211" s="362"/>
    </row>
    <row r="212" spans="2:111" ht="13">
      <c r="B212" s="294"/>
      <c r="C212" s="294"/>
      <c r="D212" s="294"/>
      <c r="E212" s="294"/>
      <c r="F212" s="294"/>
      <c r="G212" s="294"/>
      <c r="H212" s="294"/>
      <c r="P212" s="295"/>
      <c r="W212" s="295"/>
      <c r="AE212" s="188"/>
      <c r="AG212" s="188"/>
      <c r="AH212" s="188"/>
      <c r="AI212" s="188"/>
      <c r="AJ212" s="188"/>
      <c r="AK212" s="299"/>
      <c r="CP212" s="302">
        <f t="shared" si="792"/>
        <v>112010568</v>
      </c>
      <c r="CQ212" s="510">
        <v>36</v>
      </c>
      <c r="CR212" s="359" t="s">
        <v>1320</v>
      </c>
      <c r="CS212" s="361">
        <v>6907608.0300000003</v>
      </c>
      <c r="CT212" s="361">
        <v>0</v>
      </c>
      <c r="CU212" s="361">
        <v>0</v>
      </c>
      <c r="CV212" s="361">
        <v>0</v>
      </c>
      <c r="CW212" s="361">
        <v>0</v>
      </c>
      <c r="CX212" s="361">
        <v>345663.91</v>
      </c>
      <c r="CY212" s="361">
        <v>1234598.18</v>
      </c>
      <c r="CZ212" s="361">
        <v>592537.74</v>
      </c>
      <c r="DA212" s="361">
        <v>833698.15</v>
      </c>
      <c r="DB212" s="361">
        <v>1178732.95</v>
      </c>
      <c r="DC212" s="361">
        <v>2722377.1</v>
      </c>
      <c r="DD212" s="361"/>
      <c r="DE212" s="361"/>
      <c r="DF212" s="361"/>
      <c r="DG212" s="362"/>
    </row>
    <row r="213" spans="2:111" ht="13">
      <c r="B213" s="294"/>
      <c r="C213" s="294"/>
      <c r="D213" s="294"/>
      <c r="E213" s="294"/>
      <c r="F213" s="294"/>
      <c r="G213" s="294"/>
      <c r="H213" s="294"/>
      <c r="P213" s="295"/>
      <c r="W213" s="295"/>
      <c r="AE213" s="188"/>
      <c r="AG213" s="188"/>
      <c r="AH213" s="188"/>
      <c r="AI213" s="188"/>
      <c r="AJ213" s="188"/>
      <c r="AK213" s="299"/>
      <c r="CP213" s="302">
        <f t="shared" si="792"/>
        <v>112012353</v>
      </c>
      <c r="CQ213" s="510">
        <v>37</v>
      </c>
      <c r="CR213" s="359" t="s">
        <v>1269</v>
      </c>
      <c r="CS213" s="361">
        <v>6907539.9500000002</v>
      </c>
      <c r="CT213" s="361">
        <v>0</v>
      </c>
      <c r="CU213" s="361">
        <v>0</v>
      </c>
      <c r="CV213" s="361">
        <v>0</v>
      </c>
      <c r="CW213" s="361">
        <v>0</v>
      </c>
      <c r="CX213" s="361">
        <v>0</v>
      </c>
      <c r="CY213" s="361">
        <v>1003391.18</v>
      </c>
      <c r="CZ213" s="361">
        <v>1319423.6100000001</v>
      </c>
      <c r="DA213" s="361">
        <v>903741.34</v>
      </c>
      <c r="DB213" s="361">
        <v>2291203.41</v>
      </c>
      <c r="DC213" s="361">
        <v>1389780.41</v>
      </c>
      <c r="DD213" s="361"/>
      <c r="DE213" s="361"/>
      <c r="DF213" s="361"/>
      <c r="DG213" s="362"/>
    </row>
    <row r="214" spans="2:111" ht="13">
      <c r="B214" s="294"/>
      <c r="C214" s="294"/>
      <c r="D214" s="294"/>
      <c r="E214" s="294"/>
      <c r="F214" s="294"/>
      <c r="G214" s="294"/>
      <c r="H214" s="294"/>
      <c r="P214" s="295"/>
      <c r="W214" s="295"/>
      <c r="AE214" s="188"/>
      <c r="AG214" s="188"/>
      <c r="AH214" s="188"/>
      <c r="AI214" s="188"/>
      <c r="AJ214" s="188"/>
      <c r="AK214" s="299"/>
      <c r="CP214" s="302">
        <f t="shared" si="792"/>
        <v>112012775</v>
      </c>
      <c r="CQ214" s="510">
        <v>38</v>
      </c>
      <c r="CR214" s="359" t="s">
        <v>1357</v>
      </c>
      <c r="CS214" s="361">
        <v>6873375.04</v>
      </c>
      <c r="CT214" s="361">
        <v>1566575.46</v>
      </c>
      <c r="CU214" s="361">
        <v>1239207.73</v>
      </c>
      <c r="CV214" s="361">
        <v>839348.35</v>
      </c>
      <c r="CW214" s="361">
        <v>574968.25</v>
      </c>
      <c r="CX214" s="361">
        <v>135005.88</v>
      </c>
      <c r="CY214" s="361">
        <v>308614.89</v>
      </c>
      <c r="CZ214" s="361">
        <v>151227.32999999999</v>
      </c>
      <c r="DA214" s="361">
        <v>1041659.64</v>
      </c>
      <c r="DB214" s="361">
        <v>213255.88</v>
      </c>
      <c r="DC214" s="361">
        <v>803511.63</v>
      </c>
      <c r="DD214" s="361"/>
      <c r="DE214" s="361"/>
      <c r="DF214" s="361"/>
      <c r="DG214" s="362"/>
    </row>
    <row r="215" spans="2:111" ht="13">
      <c r="B215" s="294"/>
      <c r="C215" s="294"/>
      <c r="D215" s="294"/>
      <c r="E215" s="294"/>
      <c r="F215" s="294"/>
      <c r="G215" s="294"/>
      <c r="H215" s="294"/>
      <c r="P215" s="295"/>
      <c r="W215" s="295"/>
      <c r="AE215" s="188"/>
      <c r="AG215" s="188"/>
      <c r="AH215" s="188"/>
      <c r="AI215" s="188"/>
      <c r="AJ215" s="188"/>
      <c r="AK215" s="299"/>
      <c r="CP215" s="302">
        <f t="shared" si="792"/>
        <v>112013988</v>
      </c>
      <c r="CQ215" s="510">
        <v>39</v>
      </c>
      <c r="CR215" s="325" t="s">
        <v>1292</v>
      </c>
      <c r="CS215" s="361">
        <v>6730137.6699999999</v>
      </c>
      <c r="CT215" s="361">
        <v>0</v>
      </c>
      <c r="CU215" s="361">
        <v>1632744.33</v>
      </c>
      <c r="CV215" s="361">
        <v>334742.43</v>
      </c>
      <c r="CW215" s="361">
        <v>2339568.46</v>
      </c>
      <c r="CX215" s="361">
        <v>1147150.1299999999</v>
      </c>
      <c r="CY215" s="361">
        <v>602746.16</v>
      </c>
      <c r="CZ215" s="361">
        <v>599081.9</v>
      </c>
      <c r="DA215" s="361">
        <v>36257</v>
      </c>
      <c r="DB215" s="361">
        <v>0</v>
      </c>
      <c r="DC215" s="361">
        <v>37847.25</v>
      </c>
      <c r="DD215" s="361"/>
      <c r="DE215" s="361"/>
      <c r="DF215" s="361"/>
      <c r="DG215" s="362"/>
    </row>
    <row r="216" spans="2:111" ht="13">
      <c r="B216" s="294"/>
      <c r="C216" s="294"/>
      <c r="D216" s="294"/>
      <c r="E216" s="294"/>
      <c r="F216" s="294"/>
      <c r="G216" s="294"/>
      <c r="H216" s="294"/>
      <c r="P216" s="295"/>
      <c r="W216" s="295"/>
      <c r="AE216" s="188"/>
      <c r="AG216" s="188"/>
      <c r="AH216" s="188"/>
      <c r="AI216" s="188"/>
      <c r="AJ216" s="188"/>
      <c r="AK216" s="299"/>
      <c r="CP216" s="302">
        <f t="shared" si="792"/>
        <v>112012692</v>
      </c>
      <c r="CQ216" s="510">
        <v>40</v>
      </c>
      <c r="CR216" s="359" t="s">
        <v>1368</v>
      </c>
      <c r="CS216" s="361">
        <v>6672680.1100000003</v>
      </c>
      <c r="CT216" s="361">
        <v>524384.88</v>
      </c>
      <c r="CU216" s="361">
        <v>564506.59</v>
      </c>
      <c r="CV216" s="361">
        <v>576563.43000000005</v>
      </c>
      <c r="CW216" s="361">
        <v>681235.22</v>
      </c>
      <c r="CX216" s="361">
        <v>353906.19</v>
      </c>
      <c r="CY216" s="361">
        <v>601134.68000000005</v>
      </c>
      <c r="CZ216" s="361">
        <v>439092.87</v>
      </c>
      <c r="DA216" s="361">
        <v>595873.02</v>
      </c>
      <c r="DB216" s="361">
        <v>789413.91</v>
      </c>
      <c r="DC216" s="361">
        <v>1546569.31</v>
      </c>
      <c r="DD216" s="361"/>
      <c r="DE216" s="361"/>
      <c r="DF216" s="361"/>
      <c r="DG216" s="362"/>
    </row>
    <row r="217" spans="2:111" ht="13">
      <c r="B217" s="294"/>
      <c r="C217" s="294"/>
      <c r="D217" s="294"/>
      <c r="E217" s="294"/>
      <c r="F217" s="294"/>
      <c r="G217" s="294"/>
      <c r="H217" s="294"/>
      <c r="P217" s="295"/>
      <c r="W217" s="295"/>
      <c r="AE217" s="188"/>
      <c r="AG217" s="188"/>
      <c r="AH217" s="188"/>
      <c r="AI217" s="188"/>
      <c r="AJ217" s="188"/>
      <c r="AK217" s="299"/>
      <c r="CP217" s="302">
        <f t="shared" si="792"/>
        <v>112014146</v>
      </c>
      <c r="CQ217" s="510">
        <v>41</v>
      </c>
      <c r="CR217" s="325" t="s">
        <v>1287</v>
      </c>
      <c r="CS217" s="361">
        <v>6024634.1200000001</v>
      </c>
      <c r="CT217" s="361">
        <v>968428.32</v>
      </c>
      <c r="CU217" s="361">
        <v>718371.08</v>
      </c>
      <c r="CV217" s="361">
        <v>359744.69</v>
      </c>
      <c r="CW217" s="361">
        <v>583742.76</v>
      </c>
      <c r="CX217" s="361">
        <v>468606.1</v>
      </c>
      <c r="CY217" s="361">
        <v>180279.35</v>
      </c>
      <c r="CZ217" s="361">
        <v>453102.19</v>
      </c>
      <c r="DA217" s="361">
        <v>423489.67</v>
      </c>
      <c r="DB217" s="361">
        <v>692610.56000000006</v>
      </c>
      <c r="DC217" s="361">
        <v>1176259.3999999999</v>
      </c>
      <c r="DD217" s="361"/>
      <c r="DE217" s="361"/>
      <c r="DF217" s="361"/>
      <c r="DG217" s="362"/>
    </row>
    <row r="218" spans="2:111" ht="13">
      <c r="B218" s="294"/>
      <c r="C218" s="294"/>
      <c r="D218" s="294"/>
      <c r="E218" s="294"/>
      <c r="F218" s="294"/>
      <c r="G218" s="294"/>
      <c r="H218" s="294"/>
      <c r="P218" s="295"/>
      <c r="W218" s="295"/>
      <c r="AE218" s="188"/>
      <c r="AG218" s="188"/>
      <c r="AH218" s="188"/>
      <c r="AI218" s="188"/>
      <c r="AJ218" s="188"/>
      <c r="AK218" s="299"/>
      <c r="CP218" s="302">
        <f t="shared" si="792"/>
        <v>112013403</v>
      </c>
      <c r="CQ218" s="510">
        <v>42</v>
      </c>
      <c r="CR218" s="359" t="s">
        <v>1296</v>
      </c>
      <c r="CS218" s="361">
        <v>5987276.4500000002</v>
      </c>
      <c r="CT218" s="361">
        <v>1335142.67</v>
      </c>
      <c r="CU218" s="361">
        <v>713778.47</v>
      </c>
      <c r="CV218" s="361">
        <v>383434.84</v>
      </c>
      <c r="CW218" s="361">
        <v>830707.29</v>
      </c>
      <c r="CX218" s="361">
        <v>475639.81</v>
      </c>
      <c r="CY218" s="361">
        <v>437236.07</v>
      </c>
      <c r="CZ218" s="361">
        <v>347098.21</v>
      </c>
      <c r="DA218" s="361">
        <v>487601.36</v>
      </c>
      <c r="DB218" s="361">
        <v>630108.03</v>
      </c>
      <c r="DC218" s="361">
        <v>346529.71</v>
      </c>
      <c r="DD218" s="361"/>
      <c r="DE218" s="361"/>
      <c r="DF218" s="361"/>
      <c r="DG218" s="362"/>
    </row>
    <row r="219" spans="2:111" ht="13">
      <c r="B219" s="294"/>
      <c r="C219" s="294"/>
      <c r="D219" s="294"/>
      <c r="E219" s="294"/>
      <c r="F219" s="294"/>
      <c r="G219" s="294"/>
      <c r="H219" s="294"/>
      <c r="P219" s="295"/>
      <c r="W219" s="295"/>
      <c r="AE219" s="188"/>
      <c r="AG219" s="188"/>
      <c r="AH219" s="188"/>
      <c r="AI219" s="188"/>
      <c r="AJ219" s="188"/>
      <c r="AK219" s="299"/>
      <c r="CP219" s="302">
        <f t="shared" si="792"/>
        <v>112013545</v>
      </c>
      <c r="CQ219" s="510">
        <v>43</v>
      </c>
      <c r="CR219" s="359" t="s">
        <v>1319</v>
      </c>
      <c r="CS219" s="361">
        <v>5943525.8799999999</v>
      </c>
      <c r="CT219" s="361">
        <v>0</v>
      </c>
      <c r="CU219" s="361">
        <v>0</v>
      </c>
      <c r="CV219" s="361">
        <v>0</v>
      </c>
      <c r="CW219" s="361">
        <v>809843.35</v>
      </c>
      <c r="CX219" s="361">
        <v>1508175.38</v>
      </c>
      <c r="CY219" s="361">
        <v>903098.44</v>
      </c>
      <c r="CZ219" s="361">
        <v>394006.73</v>
      </c>
      <c r="DA219" s="361">
        <v>0</v>
      </c>
      <c r="DB219" s="361">
        <v>1065158.97</v>
      </c>
      <c r="DC219" s="361">
        <v>1263243.01</v>
      </c>
      <c r="DD219" s="365"/>
      <c r="DE219" s="365"/>
      <c r="DF219" s="365"/>
      <c r="DG219" s="366"/>
    </row>
    <row r="220" spans="2:111" ht="13">
      <c r="B220" s="294"/>
      <c r="C220" s="294"/>
      <c r="D220" s="294"/>
      <c r="E220" s="294"/>
      <c r="F220" s="294"/>
      <c r="G220" s="294"/>
      <c r="H220" s="294"/>
      <c r="P220" s="295"/>
      <c r="W220" s="295"/>
      <c r="AE220" s="188"/>
      <c r="AG220" s="188"/>
      <c r="AH220" s="188"/>
      <c r="AI220" s="188"/>
      <c r="AJ220" s="188"/>
      <c r="AK220" s="299"/>
      <c r="CP220" s="302">
        <f t="shared" si="792"/>
        <v>112014300</v>
      </c>
      <c r="CQ220" s="510">
        <v>44</v>
      </c>
      <c r="CR220" s="359" t="s">
        <v>1306</v>
      </c>
      <c r="CS220" s="361">
        <v>5757253.75</v>
      </c>
      <c r="CT220" s="361">
        <v>634665.36</v>
      </c>
      <c r="CU220" s="361">
        <v>0</v>
      </c>
      <c r="CV220" s="361">
        <v>0</v>
      </c>
      <c r="CW220" s="361">
        <v>366214.32</v>
      </c>
      <c r="CX220" s="361">
        <v>1711737.84</v>
      </c>
      <c r="CY220" s="361">
        <v>722427.1</v>
      </c>
      <c r="CZ220" s="361">
        <v>0</v>
      </c>
      <c r="DA220" s="361">
        <v>2322209.14</v>
      </c>
      <c r="DB220" s="361">
        <v>0</v>
      </c>
      <c r="DC220" s="361">
        <v>0</v>
      </c>
      <c r="DD220" s="361"/>
      <c r="DE220" s="361"/>
      <c r="DF220" s="361"/>
      <c r="DG220" s="362"/>
    </row>
    <row r="221" spans="2:111" ht="13">
      <c r="B221" s="294"/>
      <c r="C221" s="294"/>
      <c r="D221" s="294"/>
      <c r="E221" s="294"/>
      <c r="F221" s="294"/>
      <c r="G221" s="294"/>
      <c r="H221" s="294"/>
      <c r="P221" s="295"/>
      <c r="W221" s="295"/>
      <c r="AE221" s="188"/>
      <c r="AG221" s="188"/>
      <c r="AH221" s="188"/>
      <c r="AI221" s="188"/>
      <c r="AJ221" s="188"/>
      <c r="AK221" s="299"/>
      <c r="CP221" s="302">
        <f t="shared" si="792"/>
        <v>112011732</v>
      </c>
      <c r="CQ221" s="510">
        <v>45</v>
      </c>
      <c r="CR221" s="325" t="s">
        <v>1264</v>
      </c>
      <c r="CS221" s="361">
        <v>5565569.7800000003</v>
      </c>
      <c r="CT221" s="361">
        <v>0</v>
      </c>
      <c r="CU221" s="361">
        <v>0</v>
      </c>
      <c r="CV221" s="361">
        <v>0</v>
      </c>
      <c r="CW221" s="361">
        <v>0</v>
      </c>
      <c r="CX221" s="361">
        <v>59098.58</v>
      </c>
      <c r="CY221" s="361">
        <v>50013.9</v>
      </c>
      <c r="CZ221" s="361">
        <v>1191731.69</v>
      </c>
      <c r="DA221" s="361">
        <v>866180.4</v>
      </c>
      <c r="DB221" s="361">
        <v>1410161.63</v>
      </c>
      <c r="DC221" s="361">
        <v>1988383.58</v>
      </c>
      <c r="DD221" s="365"/>
      <c r="DE221" s="365"/>
      <c r="DF221" s="365"/>
      <c r="DG221" s="366"/>
    </row>
    <row r="222" spans="2:111" ht="13">
      <c r="B222" s="294"/>
      <c r="C222" s="294"/>
      <c r="D222" s="294"/>
      <c r="E222" s="294"/>
      <c r="F222" s="294"/>
      <c r="G222" s="294"/>
      <c r="H222" s="294"/>
      <c r="P222" s="295"/>
      <c r="W222" s="295"/>
      <c r="AE222" s="188"/>
      <c r="AG222" s="188"/>
      <c r="AH222" s="188"/>
      <c r="AI222" s="188"/>
      <c r="AJ222" s="188"/>
      <c r="AK222" s="299"/>
      <c r="CP222" s="302">
        <f t="shared" si="792"/>
        <v>112013308</v>
      </c>
      <c r="CQ222" s="510">
        <v>46</v>
      </c>
      <c r="CR222" s="359" t="s">
        <v>1280</v>
      </c>
      <c r="CS222" s="361">
        <v>5468913.7800000003</v>
      </c>
      <c r="CT222" s="361">
        <v>325539.21999999997</v>
      </c>
      <c r="CU222" s="361">
        <v>1824875.74</v>
      </c>
      <c r="CV222" s="361">
        <v>0</v>
      </c>
      <c r="CW222" s="361">
        <v>223119.79</v>
      </c>
      <c r="CX222" s="361">
        <v>160652.74</v>
      </c>
      <c r="CY222" s="361">
        <v>246970.82</v>
      </c>
      <c r="CZ222" s="361">
        <v>471933.52</v>
      </c>
      <c r="DA222" s="361">
        <v>727047.09</v>
      </c>
      <c r="DB222" s="361">
        <v>978797.55</v>
      </c>
      <c r="DC222" s="361">
        <v>509977.29</v>
      </c>
      <c r="DD222" s="361"/>
      <c r="DE222" s="361"/>
      <c r="DF222" s="361"/>
      <c r="DG222" s="362"/>
    </row>
    <row r="223" spans="2:111" ht="13">
      <c r="B223" s="294"/>
      <c r="C223" s="294"/>
      <c r="D223" s="294"/>
      <c r="E223" s="294"/>
      <c r="F223" s="294"/>
      <c r="G223" s="294"/>
      <c r="H223" s="294"/>
      <c r="P223" s="295"/>
      <c r="W223" s="295"/>
      <c r="AE223" s="188"/>
      <c r="AG223" s="188"/>
      <c r="AH223" s="188"/>
      <c r="AI223" s="188"/>
      <c r="AJ223" s="188"/>
      <c r="AK223" s="299"/>
      <c r="CP223" s="302">
        <f t="shared" si="792"/>
        <v>112010112</v>
      </c>
      <c r="CQ223" s="510">
        <v>47</v>
      </c>
      <c r="CR223" s="359" t="s">
        <v>1327</v>
      </c>
      <c r="CS223" s="361">
        <v>5388344.0499999998</v>
      </c>
      <c r="CT223" s="361">
        <v>0</v>
      </c>
      <c r="CU223" s="361">
        <v>522418.22</v>
      </c>
      <c r="CV223" s="361">
        <v>785550.44</v>
      </c>
      <c r="CW223" s="361">
        <v>0</v>
      </c>
      <c r="CX223" s="361">
        <v>0</v>
      </c>
      <c r="CY223" s="361">
        <v>906557.02</v>
      </c>
      <c r="CZ223" s="361">
        <v>3173818.38</v>
      </c>
      <c r="DA223" s="361">
        <v>0</v>
      </c>
      <c r="DB223" s="361">
        <v>0</v>
      </c>
      <c r="DC223" s="361">
        <v>0</v>
      </c>
      <c r="DD223" s="361"/>
      <c r="DE223" s="361"/>
      <c r="DF223" s="361"/>
      <c r="DG223" s="362"/>
    </row>
    <row r="224" spans="2:111" ht="13">
      <c r="B224" s="294"/>
      <c r="C224" s="294"/>
      <c r="D224" s="294"/>
      <c r="E224" s="294"/>
      <c r="F224" s="294"/>
      <c r="G224" s="294"/>
      <c r="H224" s="294"/>
      <c r="P224" s="295"/>
      <c r="W224" s="295"/>
      <c r="AE224" s="188"/>
      <c r="AG224" s="188"/>
      <c r="AH224" s="188"/>
      <c r="AI224" s="188"/>
      <c r="AJ224" s="188"/>
      <c r="AK224" s="299"/>
      <c r="CP224" s="302">
        <f t="shared" si="792"/>
        <v>112013551</v>
      </c>
      <c r="CQ224" s="510">
        <v>48</v>
      </c>
      <c r="CR224" s="359" t="s">
        <v>1286</v>
      </c>
      <c r="CS224" s="361">
        <v>5361926.28</v>
      </c>
      <c r="CT224" s="361">
        <v>0</v>
      </c>
      <c r="CU224" s="361">
        <v>0</v>
      </c>
      <c r="CV224" s="361">
        <v>0</v>
      </c>
      <c r="CW224" s="361">
        <v>1249912.56</v>
      </c>
      <c r="CX224" s="361">
        <v>1110590.05</v>
      </c>
      <c r="CY224" s="361">
        <v>948043.44</v>
      </c>
      <c r="CZ224" s="361">
        <v>480817.05</v>
      </c>
      <c r="DA224" s="361">
        <v>126228.6</v>
      </c>
      <c r="DB224" s="361">
        <v>1053117.73</v>
      </c>
      <c r="DC224" s="361">
        <v>393216.84</v>
      </c>
      <c r="DD224" s="361"/>
      <c r="DE224" s="361"/>
      <c r="DF224" s="361"/>
      <c r="DG224" s="362"/>
    </row>
    <row r="225" spans="2:111" ht="13">
      <c r="B225" s="294"/>
      <c r="C225" s="294"/>
      <c r="D225" s="294"/>
      <c r="E225" s="294"/>
      <c r="F225" s="294"/>
      <c r="G225" s="294"/>
      <c r="H225" s="294"/>
      <c r="P225" s="295"/>
      <c r="W225" s="295"/>
      <c r="AE225" s="188"/>
      <c r="AG225" s="188"/>
      <c r="AH225" s="188"/>
      <c r="AI225" s="188"/>
      <c r="AJ225" s="188"/>
      <c r="AK225" s="299"/>
      <c r="CP225" s="302">
        <f t="shared" si="792"/>
        <v>112013617</v>
      </c>
      <c r="CQ225" s="510">
        <v>49</v>
      </c>
      <c r="CR225" s="359" t="s">
        <v>1308</v>
      </c>
      <c r="CS225" s="361">
        <v>5260171.71</v>
      </c>
      <c r="CT225" s="361">
        <v>0</v>
      </c>
      <c r="CU225" s="361">
        <v>0</v>
      </c>
      <c r="CV225" s="361">
        <v>0</v>
      </c>
      <c r="CW225" s="361">
        <v>366130.86</v>
      </c>
      <c r="CX225" s="361">
        <v>1218699.92</v>
      </c>
      <c r="CY225" s="361">
        <v>702213.21</v>
      </c>
      <c r="CZ225" s="361">
        <v>961523.87</v>
      </c>
      <c r="DA225" s="361">
        <v>1390441.58</v>
      </c>
      <c r="DB225" s="361">
        <v>303720.88</v>
      </c>
      <c r="DC225" s="361">
        <v>317441.39</v>
      </c>
      <c r="DD225" s="361"/>
      <c r="DE225" s="361"/>
      <c r="DF225" s="361"/>
      <c r="DG225" s="362"/>
    </row>
    <row r="226" spans="2:111" ht="13">
      <c r="B226" s="294"/>
      <c r="C226" s="294"/>
      <c r="D226" s="294"/>
      <c r="E226" s="294"/>
      <c r="F226" s="294"/>
      <c r="G226" s="294"/>
      <c r="H226" s="294"/>
      <c r="P226" s="295"/>
      <c r="W226" s="295"/>
      <c r="AE226" s="188"/>
      <c r="AG226" s="188"/>
      <c r="AH226" s="188"/>
      <c r="AI226" s="188"/>
      <c r="AJ226" s="188"/>
      <c r="AK226" s="299"/>
      <c r="CP226" s="302">
        <f t="shared" si="792"/>
        <v>112014679</v>
      </c>
      <c r="CQ226" s="510">
        <v>50</v>
      </c>
      <c r="CR226" s="359" t="s">
        <v>1378</v>
      </c>
      <c r="CS226" s="361">
        <v>4874940</v>
      </c>
      <c r="CT226" s="361">
        <v>0</v>
      </c>
      <c r="CU226" s="361">
        <v>0</v>
      </c>
      <c r="CV226" s="361">
        <v>0</v>
      </c>
      <c r="CW226" s="361">
        <v>0</v>
      </c>
      <c r="CX226" s="361">
        <v>0</v>
      </c>
      <c r="CY226" s="361">
        <v>4874940</v>
      </c>
      <c r="CZ226" s="361">
        <v>0</v>
      </c>
      <c r="DA226" s="361">
        <v>0</v>
      </c>
      <c r="DB226" s="361">
        <v>0</v>
      </c>
      <c r="DC226" s="361">
        <v>0</v>
      </c>
      <c r="DD226" s="361"/>
      <c r="DE226" s="361"/>
      <c r="DF226" s="361"/>
      <c r="DG226" s="362"/>
    </row>
    <row r="227" spans="2:111" ht="13">
      <c r="B227" s="294"/>
      <c r="C227" s="294"/>
      <c r="D227" s="294"/>
      <c r="E227" s="294"/>
      <c r="F227" s="294"/>
      <c r="G227" s="294"/>
      <c r="H227" s="294"/>
      <c r="P227" s="295"/>
      <c r="W227" s="295"/>
      <c r="AE227" s="188"/>
      <c r="AG227" s="188"/>
      <c r="AH227" s="188"/>
      <c r="AI227" s="188"/>
      <c r="AJ227" s="188"/>
      <c r="AK227" s="299"/>
      <c r="CP227" s="302">
        <f t="shared" si="792"/>
        <v>112012891</v>
      </c>
      <c r="CQ227" s="510">
        <v>51</v>
      </c>
      <c r="CR227" s="359" t="s">
        <v>1334</v>
      </c>
      <c r="CS227" s="361">
        <v>4679259.13</v>
      </c>
      <c r="CT227" s="361">
        <v>0</v>
      </c>
      <c r="CU227" s="361">
        <v>0</v>
      </c>
      <c r="CV227" s="361">
        <v>963835.47</v>
      </c>
      <c r="CW227" s="361">
        <v>0</v>
      </c>
      <c r="CX227" s="361">
        <v>1208543.26</v>
      </c>
      <c r="CY227" s="361">
        <v>0</v>
      </c>
      <c r="CZ227" s="361">
        <v>1183838.5</v>
      </c>
      <c r="DA227" s="361">
        <v>424715.84</v>
      </c>
      <c r="DB227" s="361">
        <v>475059.26</v>
      </c>
      <c r="DC227" s="361">
        <v>423266.8</v>
      </c>
      <c r="DD227" s="365"/>
      <c r="DE227" s="365"/>
      <c r="DF227" s="365"/>
      <c r="DG227" s="366"/>
    </row>
    <row r="228" spans="2:111" ht="13">
      <c r="B228" s="294"/>
      <c r="C228" s="294"/>
      <c r="D228" s="294"/>
      <c r="E228" s="294"/>
      <c r="F228" s="294"/>
      <c r="G228" s="294"/>
      <c r="H228" s="294"/>
      <c r="P228" s="295"/>
      <c r="W228" s="295"/>
      <c r="AE228" s="188"/>
      <c r="AG228" s="188"/>
      <c r="AH228" s="188"/>
      <c r="AI228" s="188"/>
      <c r="AJ228" s="188"/>
      <c r="AK228" s="299"/>
      <c r="CP228" s="302">
        <f t="shared" si="792"/>
        <v>112013986</v>
      </c>
      <c r="CQ228" s="510">
        <v>52</v>
      </c>
      <c r="CR228" s="359" t="s">
        <v>1291</v>
      </c>
      <c r="CS228" s="361">
        <v>4629320.92</v>
      </c>
      <c r="CT228" s="361">
        <v>0</v>
      </c>
      <c r="CU228" s="361">
        <v>753383.29</v>
      </c>
      <c r="CV228" s="361">
        <v>698146.65</v>
      </c>
      <c r="CW228" s="361">
        <v>204380.89</v>
      </c>
      <c r="CX228" s="361">
        <v>147817.99</v>
      </c>
      <c r="CY228" s="361">
        <v>418358.44</v>
      </c>
      <c r="CZ228" s="361">
        <v>262485.61</v>
      </c>
      <c r="DA228" s="361">
        <v>892293.7</v>
      </c>
      <c r="DB228" s="361">
        <v>112759.89</v>
      </c>
      <c r="DC228" s="361">
        <v>1139694.46</v>
      </c>
      <c r="DD228" s="361"/>
      <c r="DE228" s="361"/>
      <c r="DF228" s="361"/>
      <c r="DG228" s="362"/>
    </row>
    <row r="229" spans="2:111" ht="13">
      <c r="B229" s="294"/>
      <c r="C229" s="294"/>
      <c r="D229" s="294"/>
      <c r="E229" s="294"/>
      <c r="F229" s="294"/>
      <c r="G229" s="294"/>
      <c r="H229" s="294"/>
      <c r="P229" s="295"/>
      <c r="W229" s="295"/>
      <c r="AE229" s="188"/>
      <c r="AG229" s="188"/>
      <c r="AH229" s="188"/>
      <c r="AI229" s="188"/>
      <c r="AJ229" s="188"/>
      <c r="AK229" s="299"/>
      <c r="CP229" s="302">
        <f t="shared" si="792"/>
        <v>112013571</v>
      </c>
      <c r="CQ229" s="510">
        <v>53</v>
      </c>
      <c r="CR229" s="359" t="s">
        <v>1388</v>
      </c>
      <c r="CS229" s="361">
        <v>4347203.38</v>
      </c>
      <c r="CT229" s="361">
        <v>0</v>
      </c>
      <c r="CU229" s="361">
        <v>791746.15</v>
      </c>
      <c r="CV229" s="361">
        <v>0</v>
      </c>
      <c r="CW229" s="361">
        <v>785707.96</v>
      </c>
      <c r="CX229" s="361">
        <v>94696.78</v>
      </c>
      <c r="CY229" s="361">
        <v>385983.67</v>
      </c>
      <c r="CZ229" s="361">
        <v>874212.27</v>
      </c>
      <c r="DA229" s="361">
        <v>466957.25</v>
      </c>
      <c r="DB229" s="361">
        <v>70120.509999999995</v>
      </c>
      <c r="DC229" s="361">
        <v>877778.8</v>
      </c>
      <c r="DD229" s="361"/>
      <c r="DE229" s="361"/>
      <c r="DF229" s="361"/>
      <c r="DG229" s="362"/>
    </row>
    <row r="230" spans="2:111" ht="13">
      <c r="B230" s="294"/>
      <c r="C230" s="294"/>
      <c r="D230" s="294"/>
      <c r="E230" s="294"/>
      <c r="F230" s="294"/>
      <c r="G230" s="294"/>
      <c r="H230" s="294"/>
      <c r="P230" s="295"/>
      <c r="W230" s="295"/>
      <c r="AE230" s="188"/>
      <c r="AG230" s="188"/>
      <c r="AH230" s="188"/>
      <c r="AI230" s="188"/>
      <c r="AJ230" s="188"/>
      <c r="AK230" s="299"/>
      <c r="CP230" s="302">
        <f t="shared" si="792"/>
        <v>112013273</v>
      </c>
      <c r="CQ230" s="510">
        <v>54</v>
      </c>
      <c r="CR230" s="359" t="s">
        <v>1300</v>
      </c>
      <c r="CS230" s="361">
        <v>4063651.45</v>
      </c>
      <c r="CT230" s="361">
        <v>755567.59</v>
      </c>
      <c r="CU230" s="361">
        <v>424520.72</v>
      </c>
      <c r="CV230" s="361">
        <v>308068.39</v>
      </c>
      <c r="CW230" s="361">
        <v>598153.38</v>
      </c>
      <c r="CX230" s="361">
        <v>564984.09</v>
      </c>
      <c r="CY230" s="361">
        <v>256052.02</v>
      </c>
      <c r="CZ230" s="361">
        <v>0</v>
      </c>
      <c r="DA230" s="361">
        <v>257464.11</v>
      </c>
      <c r="DB230" s="361">
        <v>273013.44</v>
      </c>
      <c r="DC230" s="361">
        <v>625827.71</v>
      </c>
      <c r="DD230" s="361"/>
      <c r="DE230" s="361"/>
      <c r="DF230" s="361"/>
      <c r="DG230" s="362"/>
    </row>
    <row r="231" spans="2:111" ht="13">
      <c r="B231" s="294"/>
      <c r="C231" s="294"/>
      <c r="D231" s="294"/>
      <c r="E231" s="294"/>
      <c r="F231" s="294"/>
      <c r="G231" s="294"/>
      <c r="H231" s="294"/>
      <c r="P231" s="295"/>
      <c r="W231" s="295"/>
      <c r="AE231" s="188"/>
      <c r="AG231" s="188"/>
      <c r="AH231" s="188"/>
      <c r="AI231" s="188"/>
      <c r="AJ231" s="188"/>
      <c r="AK231" s="299"/>
      <c r="CP231" s="302">
        <f t="shared" si="792"/>
        <v>112014053</v>
      </c>
      <c r="CQ231" s="510">
        <v>55</v>
      </c>
      <c r="CR231" s="359" t="s">
        <v>1277</v>
      </c>
      <c r="CS231" s="361">
        <v>3706191.38</v>
      </c>
      <c r="CT231" s="361">
        <v>852798.29</v>
      </c>
      <c r="CU231" s="361">
        <v>888016.71</v>
      </c>
      <c r="CV231" s="361">
        <v>416454.42</v>
      </c>
      <c r="CW231" s="361">
        <v>314425.67</v>
      </c>
      <c r="CX231" s="361">
        <v>0</v>
      </c>
      <c r="CY231" s="361">
        <v>491654.93</v>
      </c>
      <c r="CZ231" s="361">
        <v>500833.05</v>
      </c>
      <c r="DA231" s="361">
        <v>242008.31</v>
      </c>
      <c r="DB231" s="361">
        <v>0</v>
      </c>
      <c r="DC231" s="365">
        <v>0</v>
      </c>
      <c r="DD231" s="365"/>
      <c r="DE231" s="365"/>
      <c r="DF231" s="365"/>
      <c r="DG231" s="366"/>
    </row>
    <row r="232" spans="2:111" ht="13">
      <c r="B232" s="294"/>
      <c r="C232" s="294"/>
      <c r="D232" s="294"/>
      <c r="E232" s="294"/>
      <c r="F232" s="294"/>
      <c r="G232" s="294"/>
      <c r="H232" s="294"/>
      <c r="P232" s="295"/>
      <c r="W232" s="295"/>
      <c r="AE232" s="188"/>
      <c r="AG232" s="188"/>
      <c r="AH232" s="188"/>
      <c r="AI232" s="188"/>
      <c r="AJ232" s="188"/>
      <c r="AK232" s="299"/>
      <c r="CP232" s="302">
        <f t="shared" si="792"/>
        <v>112013730</v>
      </c>
      <c r="CQ232" s="510">
        <v>56</v>
      </c>
      <c r="CR232" s="325" t="s">
        <v>1323</v>
      </c>
      <c r="CS232" s="361">
        <v>3018861.7</v>
      </c>
      <c r="CT232" s="361">
        <v>0</v>
      </c>
      <c r="CU232" s="361">
        <v>0</v>
      </c>
      <c r="CV232" s="361">
        <v>0</v>
      </c>
      <c r="CW232" s="361">
        <v>114596.56</v>
      </c>
      <c r="CX232" s="361">
        <v>525472.5</v>
      </c>
      <c r="CY232" s="361">
        <v>0</v>
      </c>
      <c r="CZ232" s="361">
        <v>476237.73</v>
      </c>
      <c r="DA232" s="361">
        <v>528752.93000000005</v>
      </c>
      <c r="DB232" s="361">
        <v>715984.33</v>
      </c>
      <c r="DC232" s="361">
        <v>657817.65</v>
      </c>
      <c r="DD232" s="365"/>
      <c r="DE232" s="365"/>
      <c r="DF232" s="365"/>
      <c r="DG232" s="366"/>
    </row>
    <row r="233" spans="2:111" ht="13">
      <c r="B233" s="294"/>
      <c r="C233" s="294"/>
      <c r="D233" s="294"/>
      <c r="E233" s="294"/>
      <c r="F233" s="294"/>
      <c r="G233" s="294"/>
      <c r="H233" s="294"/>
      <c r="P233" s="295"/>
      <c r="W233" s="295"/>
      <c r="AE233" s="188"/>
      <c r="AG233" s="188"/>
      <c r="AH233" s="188"/>
      <c r="AI233" s="188"/>
      <c r="AJ233" s="188"/>
      <c r="AK233" s="299"/>
      <c r="CP233" s="302">
        <f t="shared" si="792"/>
        <v>112013167</v>
      </c>
      <c r="CQ233" s="510">
        <v>57</v>
      </c>
      <c r="CR233" s="325" t="s">
        <v>1337</v>
      </c>
      <c r="CS233" s="361">
        <v>3017504.4</v>
      </c>
      <c r="CT233" s="361">
        <v>0</v>
      </c>
      <c r="CU233" s="361">
        <v>0</v>
      </c>
      <c r="CV233" s="361">
        <v>0</v>
      </c>
      <c r="CW233" s="361">
        <v>0</v>
      </c>
      <c r="CX233" s="361">
        <v>248435.59</v>
      </c>
      <c r="CY233" s="361">
        <v>0</v>
      </c>
      <c r="CZ233" s="361">
        <v>1853092.29</v>
      </c>
      <c r="DA233" s="361">
        <v>441741.6</v>
      </c>
      <c r="DB233" s="361">
        <v>474234.93</v>
      </c>
      <c r="DC233" s="361">
        <v>0</v>
      </c>
      <c r="DD233" s="361"/>
      <c r="DE233" s="361"/>
      <c r="DF233" s="361"/>
      <c r="DG233" s="362"/>
    </row>
    <row r="234" spans="2:111" ht="13">
      <c r="B234" s="294"/>
      <c r="C234" s="294"/>
      <c r="D234" s="294"/>
      <c r="E234" s="294"/>
      <c r="F234" s="294"/>
      <c r="G234" s="294"/>
      <c r="H234" s="294"/>
      <c r="P234" s="295"/>
      <c r="W234" s="295"/>
      <c r="AE234" s="188"/>
      <c r="AG234" s="188"/>
      <c r="AH234" s="188"/>
      <c r="AI234" s="188"/>
      <c r="AJ234" s="188"/>
      <c r="AK234" s="299"/>
      <c r="CP234" s="302">
        <f t="shared" si="792"/>
        <v>112012507</v>
      </c>
      <c r="CQ234" s="510">
        <v>58</v>
      </c>
      <c r="CR234" s="325" t="s">
        <v>1326</v>
      </c>
      <c r="CS234" s="361">
        <v>2847824.74</v>
      </c>
      <c r="CT234" s="361">
        <v>0</v>
      </c>
      <c r="CU234" s="361">
        <v>0</v>
      </c>
      <c r="CV234" s="352">
        <v>0</v>
      </c>
      <c r="CW234" s="361">
        <v>0</v>
      </c>
      <c r="CX234" s="361">
        <v>0</v>
      </c>
      <c r="CY234" s="361">
        <v>292485.43</v>
      </c>
      <c r="CZ234" s="361">
        <v>767329.01</v>
      </c>
      <c r="DA234" s="361">
        <v>862558.5</v>
      </c>
      <c r="DB234" s="361">
        <v>925451.79</v>
      </c>
      <c r="DC234" s="361">
        <v>0</v>
      </c>
      <c r="DD234" s="361"/>
      <c r="DE234" s="361"/>
      <c r="DF234" s="361"/>
      <c r="DG234" s="362"/>
    </row>
    <row r="235" spans="2:111" ht="13">
      <c r="B235" s="294"/>
      <c r="C235" s="294"/>
      <c r="D235" s="294"/>
      <c r="E235" s="294"/>
      <c r="F235" s="294"/>
      <c r="G235" s="294"/>
      <c r="H235" s="294"/>
      <c r="P235" s="295"/>
      <c r="W235" s="295"/>
      <c r="AE235" s="188"/>
      <c r="AG235" s="188"/>
      <c r="AH235" s="188"/>
      <c r="AI235" s="188"/>
      <c r="AJ235" s="188"/>
      <c r="AK235" s="299"/>
      <c r="CP235" s="302">
        <f t="shared" si="792"/>
        <v>112010407</v>
      </c>
      <c r="CQ235" s="510">
        <v>59</v>
      </c>
      <c r="CR235" s="359" t="s">
        <v>1332</v>
      </c>
      <c r="CS235" s="361">
        <v>2768653.68</v>
      </c>
      <c r="CT235" s="361">
        <v>0</v>
      </c>
      <c r="CU235" s="361">
        <v>0</v>
      </c>
      <c r="CV235" s="361">
        <v>0</v>
      </c>
      <c r="CW235" s="361">
        <v>1214112.19</v>
      </c>
      <c r="CX235" s="361">
        <v>850913.61</v>
      </c>
      <c r="CY235" s="361">
        <v>0</v>
      </c>
      <c r="CZ235" s="361">
        <v>622318.07999999996</v>
      </c>
      <c r="DA235" s="361">
        <v>81309.8</v>
      </c>
      <c r="DB235" s="361">
        <v>0</v>
      </c>
      <c r="DC235" s="361">
        <v>0</v>
      </c>
      <c r="DD235" s="361"/>
      <c r="DE235" s="361"/>
      <c r="DF235" s="361"/>
      <c r="DG235" s="362"/>
    </row>
    <row r="236" spans="2:111" ht="13">
      <c r="B236" s="294"/>
      <c r="C236" s="294"/>
      <c r="D236" s="294"/>
      <c r="E236" s="294"/>
      <c r="F236" s="294"/>
      <c r="G236" s="294"/>
      <c r="H236" s="294"/>
      <c r="P236" s="295"/>
      <c r="W236" s="295"/>
      <c r="AE236" s="188"/>
      <c r="AG236" s="188"/>
      <c r="AH236" s="188"/>
      <c r="AI236" s="188"/>
      <c r="AJ236" s="188"/>
      <c r="AK236" s="299"/>
      <c r="CP236" s="302" t="e">
        <f t="shared" si="792"/>
        <v>#N/A</v>
      </c>
      <c r="CQ236" s="510">
        <v>60</v>
      </c>
      <c r="CR236" s="359" t="s">
        <v>1353</v>
      </c>
      <c r="CS236" s="361">
        <v>2749136.76</v>
      </c>
      <c r="CT236" s="361">
        <v>195568.78</v>
      </c>
      <c r="CU236" s="361">
        <v>0</v>
      </c>
      <c r="CV236" s="361">
        <v>262918.53000000003</v>
      </c>
      <c r="CW236" s="361">
        <v>143306.85</v>
      </c>
      <c r="CX236" s="361">
        <v>264168.68</v>
      </c>
      <c r="CY236" s="361">
        <v>565035.65</v>
      </c>
      <c r="CZ236" s="361">
        <v>346122.68</v>
      </c>
      <c r="DA236" s="361">
        <v>340891.24</v>
      </c>
      <c r="DB236" s="361">
        <v>367504.53</v>
      </c>
      <c r="DC236" s="361">
        <v>263619.81</v>
      </c>
      <c r="DD236" s="361"/>
      <c r="DE236" s="361"/>
      <c r="DF236" s="361"/>
      <c r="DG236" s="362"/>
    </row>
    <row r="237" spans="2:111" ht="13">
      <c r="B237" s="294"/>
      <c r="C237" s="294"/>
      <c r="D237" s="294"/>
      <c r="E237" s="294"/>
      <c r="F237" s="294"/>
      <c r="G237" s="294"/>
      <c r="H237" s="294"/>
      <c r="P237" s="295"/>
      <c r="W237" s="295"/>
      <c r="AE237" s="188"/>
      <c r="AG237" s="188"/>
      <c r="AH237" s="188"/>
      <c r="AI237" s="188"/>
      <c r="AJ237" s="188"/>
      <c r="AK237" s="299"/>
      <c r="CP237" s="302">
        <f t="shared" si="792"/>
        <v>112011267</v>
      </c>
      <c r="CQ237" s="510">
        <v>61</v>
      </c>
      <c r="CR237" s="359" t="s">
        <v>1348</v>
      </c>
      <c r="CS237" s="361">
        <v>2743173.8</v>
      </c>
      <c r="CT237" s="361">
        <v>1028390.79</v>
      </c>
      <c r="CU237" s="361">
        <v>315763.77</v>
      </c>
      <c r="CV237" s="361">
        <v>464570.27</v>
      </c>
      <c r="CW237" s="361">
        <v>0</v>
      </c>
      <c r="CX237" s="361">
        <v>554749.57999999996</v>
      </c>
      <c r="CY237" s="361">
        <v>0</v>
      </c>
      <c r="CZ237" s="361">
        <v>379699.39</v>
      </c>
      <c r="DA237" s="361">
        <v>0</v>
      </c>
      <c r="DB237" s="361">
        <v>0</v>
      </c>
      <c r="DC237" s="361">
        <v>0</v>
      </c>
      <c r="DD237" s="361"/>
      <c r="DE237" s="361"/>
      <c r="DF237" s="361"/>
      <c r="DG237" s="362"/>
    </row>
    <row r="238" spans="2:111" ht="13">
      <c r="B238" s="294"/>
      <c r="C238" s="294"/>
      <c r="D238" s="294"/>
      <c r="E238" s="294"/>
      <c r="F238" s="294"/>
      <c r="G238" s="294"/>
      <c r="H238" s="294"/>
      <c r="P238" s="295"/>
      <c r="W238" s="295"/>
      <c r="AE238" s="188"/>
      <c r="AG238" s="188"/>
      <c r="AH238" s="188"/>
      <c r="AI238" s="188"/>
      <c r="AJ238" s="188"/>
      <c r="AK238" s="299"/>
      <c r="CP238" s="302">
        <f t="shared" si="792"/>
        <v>112012704</v>
      </c>
      <c r="CQ238" s="510">
        <v>62</v>
      </c>
      <c r="CR238" s="359" t="s">
        <v>1362</v>
      </c>
      <c r="CS238" s="361">
        <v>2593066.81</v>
      </c>
      <c r="CT238" s="361">
        <v>398768.48</v>
      </c>
      <c r="CU238" s="361">
        <v>181097.79</v>
      </c>
      <c r="CV238" s="352">
        <v>196248.22</v>
      </c>
      <c r="CW238" s="361">
        <v>345452.44</v>
      </c>
      <c r="CX238" s="361">
        <v>274403.09999999998</v>
      </c>
      <c r="CY238" s="361">
        <v>259296.01</v>
      </c>
      <c r="CZ238" s="361">
        <v>53018.22</v>
      </c>
      <c r="DA238" s="361">
        <v>441444.22</v>
      </c>
      <c r="DB238" s="361">
        <v>179018.61</v>
      </c>
      <c r="DC238" s="361">
        <v>264319.73</v>
      </c>
      <c r="DD238" s="361"/>
      <c r="DE238" s="361"/>
      <c r="DF238" s="361"/>
      <c r="DG238" s="362"/>
    </row>
    <row r="239" spans="2:111" ht="13">
      <c r="B239" s="294"/>
      <c r="C239" s="294"/>
      <c r="D239" s="294"/>
      <c r="E239" s="294"/>
      <c r="F239" s="294"/>
      <c r="G239" s="294"/>
      <c r="H239" s="294"/>
      <c r="P239" s="295"/>
      <c r="W239" s="295"/>
      <c r="AE239" s="188"/>
      <c r="AG239" s="188"/>
      <c r="AH239" s="188"/>
      <c r="AI239" s="188"/>
      <c r="AJ239" s="188"/>
      <c r="AK239" s="299"/>
      <c r="CP239" s="302">
        <f t="shared" si="792"/>
        <v>112011806</v>
      </c>
      <c r="CQ239" s="510">
        <v>63</v>
      </c>
      <c r="CR239" s="325" t="s">
        <v>1347</v>
      </c>
      <c r="CS239" s="361">
        <v>2526488.66</v>
      </c>
      <c r="CT239" s="361">
        <v>1197514.92</v>
      </c>
      <c r="CU239" s="361">
        <v>493112.96</v>
      </c>
      <c r="CV239" s="361">
        <v>0</v>
      </c>
      <c r="CW239" s="361">
        <v>0</v>
      </c>
      <c r="CX239" s="361">
        <v>171370.62</v>
      </c>
      <c r="CY239" s="361">
        <v>496945.65</v>
      </c>
      <c r="CZ239" s="361">
        <v>167544.51</v>
      </c>
      <c r="DA239" s="361">
        <v>0</v>
      </c>
      <c r="DB239" s="361">
        <v>0</v>
      </c>
      <c r="DC239" s="361">
        <v>0</v>
      </c>
      <c r="DD239" s="361"/>
      <c r="DE239" s="361"/>
      <c r="DF239" s="361"/>
      <c r="DG239" s="362"/>
    </row>
    <row r="240" spans="2:111" ht="13">
      <c r="B240" s="294"/>
      <c r="C240" s="294"/>
      <c r="D240" s="294"/>
      <c r="E240" s="294"/>
      <c r="F240" s="294"/>
      <c r="G240" s="294"/>
      <c r="H240" s="294"/>
      <c r="P240" s="295"/>
      <c r="W240" s="295"/>
      <c r="AE240" s="188"/>
      <c r="AG240" s="188"/>
      <c r="AH240" s="188"/>
      <c r="AI240" s="188"/>
      <c r="AJ240" s="188"/>
      <c r="AK240" s="299"/>
      <c r="CP240" s="302">
        <f t="shared" si="792"/>
        <v>112013975</v>
      </c>
      <c r="CQ240" s="510">
        <v>64</v>
      </c>
      <c r="CR240" s="359" t="s">
        <v>1341</v>
      </c>
      <c r="CS240" s="361">
        <v>2484784.62</v>
      </c>
      <c r="CT240" s="361">
        <v>0</v>
      </c>
      <c r="CU240" s="361">
        <v>0</v>
      </c>
      <c r="CV240" s="361">
        <v>0</v>
      </c>
      <c r="CW240" s="361">
        <v>1461055.8</v>
      </c>
      <c r="CX240" s="361">
        <v>0</v>
      </c>
      <c r="CY240" s="361">
        <v>0</v>
      </c>
      <c r="CZ240" s="361">
        <v>0</v>
      </c>
      <c r="DA240" s="361">
        <v>1023728.83</v>
      </c>
      <c r="DB240" s="361">
        <v>0</v>
      </c>
      <c r="DC240" s="365">
        <v>0</v>
      </c>
      <c r="DD240" s="365"/>
      <c r="DE240" s="365"/>
      <c r="DF240" s="365"/>
      <c r="DG240" s="366"/>
    </row>
    <row r="241" spans="2:111" ht="13">
      <c r="B241" s="294"/>
      <c r="C241" s="294"/>
      <c r="D241" s="294"/>
      <c r="E241" s="294"/>
      <c r="F241" s="294"/>
      <c r="G241" s="294"/>
      <c r="H241" s="294"/>
      <c r="P241" s="295"/>
      <c r="W241" s="295"/>
      <c r="AE241" s="188"/>
      <c r="AG241" s="188"/>
      <c r="AH241" s="188"/>
      <c r="AI241" s="188"/>
      <c r="AJ241" s="188"/>
      <c r="AK241" s="299"/>
      <c r="CP241" s="302">
        <f t="shared" ref="CP241:CP259" si="793">VLOOKUP(CR241,MONTENEGROCARTERA,3,FALSE)</f>
        <v>112012918</v>
      </c>
      <c r="CQ241" s="510">
        <v>65</v>
      </c>
      <c r="CR241" s="359" t="s">
        <v>1346</v>
      </c>
      <c r="CS241" s="361">
        <v>2380489.1800000002</v>
      </c>
      <c r="CT241" s="361">
        <v>328724.7</v>
      </c>
      <c r="CU241" s="361">
        <v>657077.5</v>
      </c>
      <c r="CV241" s="361">
        <v>2756.31</v>
      </c>
      <c r="CW241" s="361">
        <v>320307.09999999998</v>
      </c>
      <c r="CX241" s="361">
        <v>0</v>
      </c>
      <c r="CY241" s="361">
        <v>0</v>
      </c>
      <c r="CZ241" s="361">
        <v>132037.18</v>
      </c>
      <c r="DA241" s="361">
        <v>0</v>
      </c>
      <c r="DB241" s="361">
        <v>448930</v>
      </c>
      <c r="DC241" s="361">
        <v>490656.4</v>
      </c>
      <c r="DD241" s="361"/>
      <c r="DE241" s="361"/>
      <c r="DF241" s="361"/>
      <c r="DG241" s="362"/>
    </row>
    <row r="242" spans="2:111" ht="13">
      <c r="B242" s="294"/>
      <c r="C242" s="294"/>
      <c r="D242" s="294"/>
      <c r="E242" s="294"/>
      <c r="F242" s="294"/>
      <c r="G242" s="294"/>
      <c r="H242" s="294"/>
      <c r="P242" s="295"/>
      <c r="W242" s="295"/>
      <c r="AE242" s="188"/>
      <c r="AG242" s="188"/>
      <c r="AH242" s="188"/>
      <c r="AI242" s="188"/>
      <c r="AJ242" s="188"/>
      <c r="AK242" s="299"/>
      <c r="CP242" s="302">
        <f t="shared" si="793"/>
        <v>112011834</v>
      </c>
      <c r="CQ242" s="510">
        <v>66</v>
      </c>
      <c r="CR242" s="359" t="s">
        <v>1370</v>
      </c>
      <c r="CS242" s="361">
        <v>2319346.34</v>
      </c>
      <c r="CT242" s="361">
        <v>451552.08</v>
      </c>
      <c r="CU242" s="361">
        <v>572925.46</v>
      </c>
      <c r="CV242" s="361">
        <v>360496.07</v>
      </c>
      <c r="CW242" s="361">
        <v>159412.78</v>
      </c>
      <c r="CX242" s="361">
        <v>0</v>
      </c>
      <c r="CY242" s="361">
        <v>247758.6</v>
      </c>
      <c r="CZ242" s="361">
        <v>181415.1</v>
      </c>
      <c r="DA242" s="361">
        <v>146387.15</v>
      </c>
      <c r="DB242" s="361">
        <v>199399.11</v>
      </c>
      <c r="DC242" s="361">
        <v>0</v>
      </c>
      <c r="DD242" s="361"/>
      <c r="DE242" s="361"/>
      <c r="DF242" s="361"/>
      <c r="DG242" s="362"/>
    </row>
    <row r="243" spans="2:111" ht="13">
      <c r="B243" s="294"/>
      <c r="C243" s="294"/>
      <c r="D243" s="294"/>
      <c r="E243" s="294"/>
      <c r="F243" s="294"/>
      <c r="G243" s="294"/>
      <c r="H243" s="294"/>
      <c r="P243" s="295"/>
      <c r="W243" s="295"/>
      <c r="AE243" s="188"/>
      <c r="AG243" s="188"/>
      <c r="AH243" s="188"/>
      <c r="AI243" s="188"/>
      <c r="AJ243" s="188"/>
      <c r="AK243" s="299"/>
      <c r="CP243" s="302">
        <f t="shared" si="793"/>
        <v>112012626</v>
      </c>
      <c r="CQ243" s="510">
        <v>67</v>
      </c>
      <c r="CR243" s="359" t="s">
        <v>1336</v>
      </c>
      <c r="CS243" s="361">
        <v>2297942.63</v>
      </c>
      <c r="CT243" s="361">
        <v>0</v>
      </c>
      <c r="CU243" s="361">
        <v>149234.91</v>
      </c>
      <c r="CV243" s="361">
        <v>0</v>
      </c>
      <c r="CW243" s="361">
        <v>1487352.21</v>
      </c>
      <c r="CX243" s="361">
        <v>191005.5</v>
      </c>
      <c r="CY243" s="361">
        <v>194558.4</v>
      </c>
      <c r="CZ243" s="361">
        <v>0</v>
      </c>
      <c r="DA243" s="361">
        <v>275791.61</v>
      </c>
      <c r="DB243" s="361">
        <v>0</v>
      </c>
      <c r="DC243" s="361">
        <v>0</v>
      </c>
      <c r="DD243" s="361"/>
      <c r="DE243" s="361"/>
      <c r="DF243" s="361"/>
      <c r="DG243" s="362"/>
    </row>
    <row r="244" spans="2:111" ht="13">
      <c r="B244" s="294"/>
      <c r="C244" s="294"/>
      <c r="D244" s="294"/>
      <c r="E244" s="294"/>
      <c r="F244" s="294"/>
      <c r="G244" s="294"/>
      <c r="H244" s="294"/>
      <c r="P244" s="295"/>
      <c r="W244" s="295"/>
      <c r="AE244" s="188"/>
      <c r="AG244" s="188"/>
      <c r="AH244" s="188"/>
      <c r="AI244" s="188"/>
      <c r="AJ244" s="188"/>
      <c r="AK244" s="299"/>
      <c r="CP244" s="302">
        <f t="shared" si="793"/>
        <v>112013897</v>
      </c>
      <c r="CQ244" s="510">
        <v>68</v>
      </c>
      <c r="CR244" s="359" t="s">
        <v>1314</v>
      </c>
      <c r="CS244" s="361">
        <v>2241278.13</v>
      </c>
      <c r="CT244" s="361">
        <v>0</v>
      </c>
      <c r="CU244" s="361">
        <v>0</v>
      </c>
      <c r="CV244" s="361">
        <v>0</v>
      </c>
      <c r="CW244" s="361">
        <v>0</v>
      </c>
      <c r="CX244" s="361">
        <v>0</v>
      </c>
      <c r="CY244" s="361">
        <v>210084.3</v>
      </c>
      <c r="CZ244" s="361">
        <v>211791.85</v>
      </c>
      <c r="DA244" s="361">
        <v>215385.24</v>
      </c>
      <c r="DB244" s="361">
        <v>263245.76</v>
      </c>
      <c r="DC244" s="361">
        <v>1340770.97</v>
      </c>
      <c r="DD244" s="365"/>
      <c r="DE244" s="365"/>
      <c r="DF244" s="365"/>
      <c r="DG244" s="366"/>
    </row>
    <row r="245" spans="2:111" ht="13">
      <c r="B245" s="294"/>
      <c r="C245" s="294"/>
      <c r="D245" s="294"/>
      <c r="E245" s="294"/>
      <c r="F245" s="294"/>
      <c r="G245" s="294"/>
      <c r="H245" s="294"/>
      <c r="P245" s="295"/>
      <c r="W245" s="295"/>
      <c r="AE245" s="188"/>
      <c r="AG245" s="188"/>
      <c r="AH245" s="188"/>
      <c r="AI245" s="188"/>
      <c r="AJ245" s="188"/>
      <c r="AK245" s="299"/>
      <c r="CP245" s="302">
        <f t="shared" si="793"/>
        <v>112013337</v>
      </c>
      <c r="CQ245" s="510">
        <v>69</v>
      </c>
      <c r="CR245" s="359" t="s">
        <v>1389</v>
      </c>
      <c r="CS245" s="361">
        <v>2029272.2</v>
      </c>
      <c r="CT245" s="361">
        <v>83587.53</v>
      </c>
      <c r="CU245" s="361">
        <v>197932.52</v>
      </c>
      <c r="CV245" s="361">
        <v>241551.07</v>
      </c>
      <c r="CW245" s="361">
        <v>133608.26999999999</v>
      </c>
      <c r="CX245" s="361">
        <v>0</v>
      </c>
      <c r="CY245" s="361">
        <v>381126.17</v>
      </c>
      <c r="CZ245" s="361">
        <v>69774.7</v>
      </c>
      <c r="DA245" s="361">
        <v>0</v>
      </c>
      <c r="DB245" s="361">
        <v>749576.98</v>
      </c>
      <c r="DC245" s="361">
        <v>172114.96</v>
      </c>
      <c r="DD245" s="361"/>
      <c r="DE245" s="361"/>
      <c r="DF245" s="361"/>
      <c r="DG245" s="362"/>
    </row>
    <row r="246" spans="2:111" ht="13">
      <c r="B246" s="294"/>
      <c r="C246" s="294"/>
      <c r="D246" s="294"/>
      <c r="E246" s="294"/>
      <c r="F246" s="294"/>
      <c r="G246" s="294"/>
      <c r="H246" s="294"/>
      <c r="P246" s="295"/>
      <c r="W246" s="295"/>
      <c r="AE246" s="188"/>
      <c r="AG246" s="188"/>
      <c r="AH246" s="188"/>
      <c r="AI246" s="188"/>
      <c r="AJ246" s="188"/>
      <c r="AK246" s="299"/>
      <c r="CP246" s="302">
        <f t="shared" si="793"/>
        <v>112013486</v>
      </c>
      <c r="CQ246" s="510">
        <v>70</v>
      </c>
      <c r="CR246" s="325" t="s">
        <v>1312</v>
      </c>
      <c r="CS246" s="361">
        <v>1737391.62</v>
      </c>
      <c r="CT246" s="361">
        <v>0</v>
      </c>
      <c r="CU246" s="361">
        <v>0</v>
      </c>
      <c r="CV246" s="361">
        <v>0</v>
      </c>
      <c r="CW246" s="361">
        <v>1737391.62</v>
      </c>
      <c r="CX246" s="361">
        <v>0</v>
      </c>
      <c r="CY246" s="361">
        <v>0</v>
      </c>
      <c r="CZ246" s="361">
        <v>0</v>
      </c>
      <c r="DA246" s="361">
        <v>0</v>
      </c>
      <c r="DB246" s="361">
        <v>0</v>
      </c>
      <c r="DC246" s="361">
        <v>0</v>
      </c>
      <c r="DD246" s="361"/>
      <c r="DE246" s="361"/>
      <c r="DF246" s="361"/>
      <c r="DG246" s="362"/>
    </row>
    <row r="247" spans="2:111" ht="13">
      <c r="B247" s="294"/>
      <c r="C247" s="294"/>
      <c r="D247" s="294"/>
      <c r="E247" s="294"/>
      <c r="F247" s="294"/>
      <c r="G247" s="294"/>
      <c r="H247" s="294"/>
      <c r="P247" s="295"/>
      <c r="W247" s="295"/>
      <c r="AE247" s="188"/>
      <c r="AG247" s="188"/>
      <c r="AH247" s="188"/>
      <c r="AI247" s="188"/>
      <c r="AJ247" s="188"/>
      <c r="AK247" s="299"/>
      <c r="CP247" s="302">
        <f t="shared" si="793"/>
        <v>112014275</v>
      </c>
      <c r="CQ247" s="510">
        <v>71</v>
      </c>
      <c r="CR247" s="359" t="s">
        <v>1359</v>
      </c>
      <c r="CS247" s="361">
        <v>1676259.68</v>
      </c>
      <c r="CT247" s="361">
        <v>0</v>
      </c>
      <c r="CU247" s="361">
        <v>395920.51</v>
      </c>
      <c r="CV247" s="361">
        <v>332131.09999999998</v>
      </c>
      <c r="CW247" s="361">
        <v>139478.89000000001</v>
      </c>
      <c r="CX247" s="361">
        <v>90442.55</v>
      </c>
      <c r="CY247" s="361">
        <v>0</v>
      </c>
      <c r="CZ247" s="361">
        <v>397634.09</v>
      </c>
      <c r="DA247" s="361">
        <v>0</v>
      </c>
      <c r="DB247" s="361">
        <v>0</v>
      </c>
      <c r="DC247" s="361">
        <v>320652.55</v>
      </c>
      <c r="DD247" s="361"/>
      <c r="DE247" s="361"/>
      <c r="DF247" s="361"/>
      <c r="DG247" s="362"/>
    </row>
    <row r="248" spans="2:111" ht="13">
      <c r="B248" s="294"/>
      <c r="C248" s="294"/>
      <c r="D248" s="294"/>
      <c r="E248" s="294"/>
      <c r="F248" s="294"/>
      <c r="G248" s="294"/>
      <c r="H248" s="294"/>
      <c r="P248" s="295"/>
      <c r="W248" s="295"/>
      <c r="AE248" s="188"/>
      <c r="AG248" s="188"/>
      <c r="AH248" s="188"/>
      <c r="AI248" s="188"/>
      <c r="AJ248" s="188"/>
      <c r="AK248" s="299"/>
      <c r="CP248" s="302">
        <f t="shared" si="793"/>
        <v>112014458</v>
      </c>
      <c r="CQ248" s="510">
        <v>72</v>
      </c>
      <c r="CR248" s="359" t="s">
        <v>1331</v>
      </c>
      <c r="CS248" s="361">
        <v>1592379.7</v>
      </c>
      <c r="CT248" s="361">
        <v>233769.72</v>
      </c>
      <c r="CU248" s="361">
        <v>459953.73</v>
      </c>
      <c r="CV248" s="361">
        <v>0</v>
      </c>
      <c r="CW248" s="361">
        <v>898656.26</v>
      </c>
      <c r="CX248" s="361">
        <v>0</v>
      </c>
      <c r="CY248" s="361">
        <v>0</v>
      </c>
      <c r="CZ248" s="361">
        <v>0</v>
      </c>
      <c r="DA248" s="361">
        <v>0</v>
      </c>
      <c r="DB248" s="361">
        <v>0</v>
      </c>
      <c r="DC248" s="361">
        <v>0</v>
      </c>
      <c r="DD248" s="361"/>
      <c r="DE248" s="361"/>
      <c r="DF248" s="361"/>
      <c r="DG248" s="362"/>
    </row>
    <row r="249" spans="2:111" ht="13">
      <c r="B249" s="294"/>
      <c r="C249" s="294"/>
      <c r="D249" s="294"/>
      <c r="E249" s="294"/>
      <c r="F249" s="294"/>
      <c r="G249" s="294"/>
      <c r="H249" s="294"/>
      <c r="P249" s="295"/>
      <c r="W249" s="295"/>
      <c r="AE249" s="188"/>
      <c r="AG249" s="188"/>
      <c r="AH249" s="188"/>
      <c r="AI249" s="188"/>
      <c r="AJ249" s="188"/>
      <c r="AK249" s="299"/>
      <c r="CP249" s="302">
        <f t="shared" si="793"/>
        <v>112013055</v>
      </c>
      <c r="CQ249" s="510">
        <v>73</v>
      </c>
      <c r="CR249" s="359" t="s">
        <v>1360</v>
      </c>
      <c r="CS249" s="361">
        <v>1534014.82</v>
      </c>
      <c r="CT249" s="361">
        <v>0</v>
      </c>
      <c r="CU249" s="361">
        <v>459506.6</v>
      </c>
      <c r="CV249" s="361">
        <v>0</v>
      </c>
      <c r="CW249" s="361">
        <v>0</v>
      </c>
      <c r="CX249" s="361">
        <v>0</v>
      </c>
      <c r="CY249" s="361">
        <v>295439.77</v>
      </c>
      <c r="CZ249" s="361">
        <v>0</v>
      </c>
      <c r="DA249" s="361">
        <v>0</v>
      </c>
      <c r="DB249" s="361">
        <v>431981.99</v>
      </c>
      <c r="DC249" s="361">
        <v>347086.46</v>
      </c>
      <c r="DD249" s="361"/>
      <c r="DE249" s="361"/>
      <c r="DF249" s="361"/>
      <c r="DG249" s="362"/>
    </row>
    <row r="250" spans="2:111" ht="13">
      <c r="B250" s="294"/>
      <c r="C250" s="294"/>
      <c r="D250" s="294"/>
      <c r="E250" s="294"/>
      <c r="F250" s="294"/>
      <c r="G250" s="294"/>
      <c r="H250" s="294"/>
      <c r="P250" s="295"/>
      <c r="W250" s="295"/>
      <c r="AE250" s="188"/>
      <c r="AG250" s="188"/>
      <c r="AH250" s="188"/>
      <c r="AI250" s="188"/>
      <c r="AJ250" s="188"/>
      <c r="AK250" s="299"/>
      <c r="CP250" s="302" t="e">
        <f t="shared" si="793"/>
        <v>#N/A</v>
      </c>
      <c r="CQ250" s="510">
        <v>74</v>
      </c>
      <c r="CR250" s="325" t="s">
        <v>1373</v>
      </c>
      <c r="CS250" s="361">
        <v>1520159.09</v>
      </c>
      <c r="CT250" s="361">
        <v>0</v>
      </c>
      <c r="CU250" s="361">
        <v>0</v>
      </c>
      <c r="CV250" s="361">
        <v>127090.19</v>
      </c>
      <c r="CW250" s="361">
        <v>299103.3</v>
      </c>
      <c r="CX250" s="361">
        <v>252343.12</v>
      </c>
      <c r="CY250" s="361">
        <v>89313.5</v>
      </c>
      <c r="CZ250" s="361">
        <v>0</v>
      </c>
      <c r="DA250" s="361">
        <v>367574.77</v>
      </c>
      <c r="DB250" s="361">
        <v>0</v>
      </c>
      <c r="DC250" s="361">
        <v>384734.21</v>
      </c>
      <c r="DD250" s="365"/>
      <c r="DE250" s="365"/>
      <c r="DF250" s="365"/>
      <c r="DG250" s="366"/>
    </row>
    <row r="251" spans="2:111" ht="13">
      <c r="B251" s="294"/>
      <c r="C251" s="294"/>
      <c r="D251" s="294"/>
      <c r="E251" s="294"/>
      <c r="F251" s="294"/>
      <c r="G251" s="294"/>
      <c r="H251" s="294"/>
      <c r="P251" s="295"/>
      <c r="W251" s="295"/>
      <c r="AE251" s="188"/>
      <c r="AG251" s="188"/>
      <c r="AH251" s="188"/>
      <c r="AI251" s="188"/>
      <c r="AJ251" s="188"/>
      <c r="AK251" s="299"/>
      <c r="CP251" s="302">
        <f t="shared" si="793"/>
        <v>112014551</v>
      </c>
      <c r="CQ251" s="510">
        <v>75</v>
      </c>
      <c r="CR251" s="359" t="s">
        <v>1364</v>
      </c>
      <c r="CS251" s="361">
        <v>1490503.01</v>
      </c>
      <c r="CT251" s="361">
        <v>390296.98</v>
      </c>
      <c r="CU251" s="361">
        <v>315052.18</v>
      </c>
      <c r="CV251" s="361">
        <v>151592.60999999999</v>
      </c>
      <c r="CW251" s="361">
        <v>97359.95</v>
      </c>
      <c r="CX251" s="361">
        <v>168137.12</v>
      </c>
      <c r="CY251" s="361">
        <v>0</v>
      </c>
      <c r="CZ251" s="361">
        <v>171010.23</v>
      </c>
      <c r="DA251" s="361">
        <v>0</v>
      </c>
      <c r="DB251" s="361">
        <v>197053.95</v>
      </c>
      <c r="DC251" s="361">
        <v>0</v>
      </c>
      <c r="DD251" s="361"/>
      <c r="DE251" s="361"/>
      <c r="DF251" s="361"/>
      <c r="DG251" s="362"/>
    </row>
    <row r="252" spans="2:111" ht="13">
      <c r="B252" s="294"/>
      <c r="C252" s="294"/>
      <c r="D252" s="294"/>
      <c r="E252" s="294"/>
      <c r="F252" s="294"/>
      <c r="G252" s="294"/>
      <c r="H252" s="294"/>
      <c r="P252" s="295"/>
      <c r="W252" s="295"/>
      <c r="AE252" s="188"/>
      <c r="AG252" s="188"/>
      <c r="AH252" s="188"/>
      <c r="AI252" s="188"/>
      <c r="AJ252" s="188"/>
      <c r="AK252" s="299"/>
      <c r="CP252" s="302">
        <f t="shared" si="793"/>
        <v>112014218</v>
      </c>
      <c r="CQ252" s="510">
        <v>76</v>
      </c>
      <c r="CR252" s="359" t="s">
        <v>1335</v>
      </c>
      <c r="CS252" s="361">
        <v>1446482.83</v>
      </c>
      <c r="CT252" s="361">
        <v>69034.929999999993</v>
      </c>
      <c r="CU252" s="361">
        <v>60410.18</v>
      </c>
      <c r="CV252" s="361">
        <v>125188.71</v>
      </c>
      <c r="CW252" s="361">
        <v>200464.79</v>
      </c>
      <c r="CX252" s="361">
        <v>112311.87</v>
      </c>
      <c r="CY252" s="361">
        <v>336212.85</v>
      </c>
      <c r="CZ252" s="361">
        <v>157345.42000000001</v>
      </c>
      <c r="DA252" s="361">
        <v>99252.33</v>
      </c>
      <c r="DB252" s="361">
        <v>212525.6</v>
      </c>
      <c r="DC252" s="361">
        <v>73736.149999999994</v>
      </c>
      <c r="DD252" s="361"/>
      <c r="DE252" s="361"/>
      <c r="DF252" s="361"/>
      <c r="DG252" s="362"/>
    </row>
    <row r="253" spans="2:111" ht="13">
      <c r="B253" s="294"/>
      <c r="C253" s="294"/>
      <c r="D253" s="294"/>
      <c r="E253" s="294"/>
      <c r="F253" s="294"/>
      <c r="G253" s="294"/>
      <c r="H253" s="294"/>
      <c r="P253" s="295"/>
      <c r="W253" s="295"/>
      <c r="AE253" s="188"/>
      <c r="AG253" s="188"/>
      <c r="AH253" s="188"/>
      <c r="AI253" s="188"/>
      <c r="AJ253" s="188"/>
      <c r="AK253" s="299"/>
      <c r="CP253" s="302">
        <f t="shared" si="793"/>
        <v>112013947</v>
      </c>
      <c r="CQ253" s="510">
        <v>77</v>
      </c>
      <c r="CR253" s="325" t="s">
        <v>1344</v>
      </c>
      <c r="CS253" s="361">
        <v>1444975.75</v>
      </c>
      <c r="CT253" s="361">
        <v>0</v>
      </c>
      <c r="CU253" s="361">
        <v>0</v>
      </c>
      <c r="CV253" s="361">
        <v>0</v>
      </c>
      <c r="CW253" s="361">
        <v>0</v>
      </c>
      <c r="CX253" s="361">
        <v>429093.71</v>
      </c>
      <c r="CY253" s="361">
        <v>0</v>
      </c>
      <c r="CZ253" s="361">
        <v>230878.35</v>
      </c>
      <c r="DA253" s="361">
        <v>491703.41</v>
      </c>
      <c r="DB253" s="361">
        <v>0</v>
      </c>
      <c r="DC253" s="361">
        <v>293300.28000000003</v>
      </c>
      <c r="DD253" s="361"/>
      <c r="DE253" s="361"/>
      <c r="DF253" s="361"/>
      <c r="DG253" s="362"/>
    </row>
    <row r="254" spans="2:111" ht="13">
      <c r="B254" s="294"/>
      <c r="C254" s="294"/>
      <c r="D254" s="294"/>
      <c r="E254" s="294"/>
      <c r="F254" s="294"/>
      <c r="G254" s="294"/>
      <c r="H254" s="294"/>
      <c r="P254" s="295"/>
      <c r="W254" s="295"/>
      <c r="AE254" s="188"/>
      <c r="AG254" s="188"/>
      <c r="AH254" s="188"/>
      <c r="AI254" s="188"/>
      <c r="AJ254" s="188"/>
      <c r="AK254" s="299"/>
      <c r="CP254" s="302" t="e">
        <f t="shared" si="793"/>
        <v>#N/A</v>
      </c>
      <c r="CQ254" s="510">
        <v>78</v>
      </c>
      <c r="CR254" s="325" t="s">
        <v>1316</v>
      </c>
      <c r="CS254" s="361">
        <v>1419786.29</v>
      </c>
      <c r="CT254" s="361">
        <v>0</v>
      </c>
      <c r="CU254" s="361">
        <v>0</v>
      </c>
      <c r="CV254" s="361">
        <v>0</v>
      </c>
      <c r="CW254" s="361">
        <v>0</v>
      </c>
      <c r="CX254" s="361">
        <v>0</v>
      </c>
      <c r="CY254" s="361">
        <v>0</v>
      </c>
      <c r="CZ254" s="361">
        <v>0</v>
      </c>
      <c r="DA254" s="361">
        <v>350971.43</v>
      </c>
      <c r="DB254" s="361">
        <v>600612.11</v>
      </c>
      <c r="DC254" s="361">
        <v>468202.76</v>
      </c>
      <c r="DD254" s="361"/>
      <c r="DE254" s="361"/>
      <c r="DF254" s="361"/>
      <c r="DG254" s="362"/>
    </row>
    <row r="255" spans="2:111" ht="13">
      <c r="B255" s="294"/>
      <c r="C255" s="294"/>
      <c r="D255" s="294"/>
      <c r="E255" s="294"/>
      <c r="F255" s="294"/>
      <c r="G255" s="294"/>
      <c r="H255" s="294"/>
      <c r="P255" s="295"/>
      <c r="W255" s="295"/>
      <c r="AE255" s="188"/>
      <c r="AG255" s="188"/>
      <c r="AH255" s="188"/>
      <c r="AI255" s="188"/>
      <c r="AJ255" s="188"/>
      <c r="AK255" s="299"/>
      <c r="CP255" s="302">
        <f t="shared" si="793"/>
        <v>112014614</v>
      </c>
      <c r="CQ255" s="510">
        <v>79</v>
      </c>
      <c r="CR255" s="325" t="s">
        <v>1366</v>
      </c>
      <c r="CS255" s="361">
        <v>1353132.65</v>
      </c>
      <c r="CT255" s="361">
        <v>361400.39</v>
      </c>
      <c r="CU255" s="361">
        <v>116073.57</v>
      </c>
      <c r="CV255" s="361">
        <v>113672.45</v>
      </c>
      <c r="CW255" s="361">
        <v>255141.96</v>
      </c>
      <c r="CX255" s="361">
        <v>141353.23000000001</v>
      </c>
      <c r="CY255" s="361">
        <v>157741.07</v>
      </c>
      <c r="CZ255" s="361">
        <v>147919.07</v>
      </c>
      <c r="DA255" s="361">
        <v>59830.9</v>
      </c>
      <c r="DB255" s="361">
        <v>0</v>
      </c>
      <c r="DC255" s="365">
        <v>0</v>
      </c>
      <c r="DD255" s="365"/>
      <c r="DE255" s="365"/>
      <c r="DF255" s="365"/>
      <c r="DG255" s="366"/>
    </row>
    <row r="256" spans="2:111" ht="13">
      <c r="B256" s="294"/>
      <c r="C256" s="294"/>
      <c r="D256" s="294"/>
      <c r="E256" s="294"/>
      <c r="F256" s="294"/>
      <c r="G256" s="294"/>
      <c r="H256" s="294"/>
      <c r="P256" s="295"/>
      <c r="W256" s="295"/>
      <c r="AE256" s="188"/>
      <c r="AG256" s="188"/>
      <c r="AH256" s="188"/>
      <c r="AI256" s="188"/>
      <c r="AJ256" s="188"/>
      <c r="AK256" s="299"/>
      <c r="CP256" s="302">
        <f t="shared" si="793"/>
        <v>112014456</v>
      </c>
      <c r="CQ256" s="510">
        <v>80</v>
      </c>
      <c r="CR256" s="359" t="s">
        <v>1343</v>
      </c>
      <c r="CS256" s="361">
        <v>1323563.8999999999</v>
      </c>
      <c r="CT256" s="361">
        <v>152242.25</v>
      </c>
      <c r="CU256" s="361">
        <v>0</v>
      </c>
      <c r="CV256" s="361">
        <v>0</v>
      </c>
      <c r="CW256" s="361">
        <v>884203.99</v>
      </c>
      <c r="CX256" s="361">
        <v>0</v>
      </c>
      <c r="CY256" s="361">
        <v>0</v>
      </c>
      <c r="CZ256" s="361">
        <v>0</v>
      </c>
      <c r="DA256" s="361">
        <v>0</v>
      </c>
      <c r="DB256" s="361">
        <v>0</v>
      </c>
      <c r="DC256" s="361">
        <v>287117.65999999997</v>
      </c>
      <c r="DD256" s="361"/>
      <c r="DE256" s="361"/>
      <c r="DF256" s="361"/>
      <c r="DG256" s="362"/>
    </row>
    <row r="257" spans="2:111" ht="13">
      <c r="B257" s="294"/>
      <c r="C257" s="294"/>
      <c r="D257" s="294"/>
      <c r="E257" s="294"/>
      <c r="F257" s="294"/>
      <c r="G257" s="294"/>
      <c r="H257" s="294"/>
      <c r="P257" s="295"/>
      <c r="W257" s="295"/>
      <c r="AE257" s="188"/>
      <c r="AG257" s="188"/>
      <c r="AH257" s="188"/>
      <c r="AI257" s="188"/>
      <c r="AJ257" s="188"/>
      <c r="AK257" s="299"/>
      <c r="CP257" s="302">
        <f t="shared" si="793"/>
        <v>112012506</v>
      </c>
      <c r="CQ257" s="510">
        <v>81</v>
      </c>
      <c r="CR257" s="359" t="s">
        <v>1302</v>
      </c>
      <c r="CS257" s="361">
        <v>1306368</v>
      </c>
      <c r="CT257" s="361">
        <v>0</v>
      </c>
      <c r="CU257" s="361">
        <v>1306368</v>
      </c>
      <c r="CV257" s="361">
        <v>0</v>
      </c>
      <c r="CW257" s="361">
        <v>0</v>
      </c>
      <c r="CX257" s="361">
        <v>0</v>
      </c>
      <c r="CY257" s="361">
        <v>0</v>
      </c>
      <c r="CZ257" s="361">
        <v>0</v>
      </c>
      <c r="DA257" s="361">
        <v>0</v>
      </c>
      <c r="DB257" s="361">
        <v>0</v>
      </c>
      <c r="DC257" s="361">
        <v>0</v>
      </c>
      <c r="DD257" s="361"/>
      <c r="DE257" s="361"/>
      <c r="DF257" s="361"/>
      <c r="DG257" s="362"/>
    </row>
    <row r="258" spans="2:111" ht="13">
      <c r="B258" s="294"/>
      <c r="C258" s="294"/>
      <c r="D258" s="294"/>
      <c r="E258" s="294"/>
      <c r="F258" s="294"/>
      <c r="G258" s="294"/>
      <c r="H258" s="294"/>
      <c r="P258" s="295"/>
      <c r="W258" s="295"/>
      <c r="AE258" s="188"/>
      <c r="AG258" s="188"/>
      <c r="AH258" s="188"/>
      <c r="AI258" s="188"/>
      <c r="AJ258" s="188"/>
      <c r="AK258" s="299"/>
      <c r="CP258" s="302">
        <f t="shared" si="793"/>
        <v>112013731</v>
      </c>
      <c r="CQ258" s="510">
        <v>82</v>
      </c>
      <c r="CR258" s="325" t="s">
        <v>1345</v>
      </c>
      <c r="CS258" s="361">
        <v>1200482.92</v>
      </c>
      <c r="CT258" s="361">
        <v>109003.52</v>
      </c>
      <c r="CU258" s="361">
        <v>186271.14</v>
      </c>
      <c r="CV258" s="361">
        <v>93411.12</v>
      </c>
      <c r="CW258" s="361">
        <v>55230.85</v>
      </c>
      <c r="CX258" s="361">
        <v>228329.85</v>
      </c>
      <c r="CY258" s="361">
        <v>138308.6</v>
      </c>
      <c r="CZ258" s="361">
        <v>86325</v>
      </c>
      <c r="DA258" s="361">
        <v>137012.04999999999</v>
      </c>
      <c r="DB258" s="361">
        <v>166590.79</v>
      </c>
      <c r="DC258" s="365">
        <v>0</v>
      </c>
      <c r="DD258" s="365"/>
      <c r="DE258" s="365"/>
      <c r="DF258" s="365"/>
      <c r="DG258" s="366"/>
    </row>
    <row r="259" spans="2:111" ht="13">
      <c r="B259" s="294"/>
      <c r="C259" s="294"/>
      <c r="D259" s="294"/>
      <c r="E259" s="294"/>
      <c r="F259" s="294"/>
      <c r="G259" s="294"/>
      <c r="H259" s="294"/>
      <c r="P259" s="295"/>
      <c r="W259" s="295"/>
      <c r="AE259" s="188"/>
      <c r="AG259" s="188"/>
      <c r="AH259" s="188"/>
      <c r="AI259" s="188"/>
      <c r="AJ259" s="188"/>
      <c r="AK259" s="299"/>
      <c r="CP259" s="302">
        <f t="shared" si="793"/>
        <v>112014686</v>
      </c>
      <c r="CQ259" s="510">
        <v>83</v>
      </c>
      <c r="CR259" s="359" t="s">
        <v>1321</v>
      </c>
      <c r="CS259" s="361">
        <v>1090630.29</v>
      </c>
      <c r="CT259" s="361">
        <v>0</v>
      </c>
      <c r="CU259" s="361">
        <v>0</v>
      </c>
      <c r="CV259" s="361">
        <v>0</v>
      </c>
      <c r="CW259" s="361">
        <v>0</v>
      </c>
      <c r="CX259" s="361">
        <v>0</v>
      </c>
      <c r="CY259" s="361">
        <v>473702.95</v>
      </c>
      <c r="CZ259" s="361">
        <v>327105.27</v>
      </c>
      <c r="DA259" s="361">
        <v>0</v>
      </c>
      <c r="DB259" s="361">
        <v>289822.07</v>
      </c>
      <c r="DC259" s="361">
        <v>0</v>
      </c>
      <c r="DD259" s="361"/>
      <c r="DE259" s="361"/>
      <c r="DF259" s="361"/>
      <c r="DG259" s="362"/>
    </row>
    <row r="260" spans="2:111" ht="13">
      <c r="B260" s="294"/>
      <c r="C260" s="294"/>
      <c r="D260" s="294"/>
      <c r="E260" s="294"/>
      <c r="F260" s="294"/>
      <c r="G260" s="294"/>
      <c r="H260" s="294"/>
      <c r="P260" s="295"/>
      <c r="W260" s="295"/>
      <c r="AE260" s="188"/>
      <c r="AG260" s="188"/>
      <c r="AH260" s="188"/>
      <c r="AI260" s="188"/>
      <c r="AJ260" s="188"/>
      <c r="AK260" s="299"/>
      <c r="CQ260" s="510">
        <v>84</v>
      </c>
      <c r="CR260" s="359" t="s">
        <v>1299</v>
      </c>
      <c r="CS260" s="361">
        <v>953535.09</v>
      </c>
      <c r="CT260" s="361">
        <v>566105.97</v>
      </c>
      <c r="CU260" s="361">
        <v>382410.75</v>
      </c>
      <c r="CV260" s="361">
        <v>73709.259999999995</v>
      </c>
      <c r="CW260" s="361">
        <v>-230703.21</v>
      </c>
      <c r="CX260" s="361">
        <v>162012.32</v>
      </c>
      <c r="CY260" s="361">
        <v>0</v>
      </c>
      <c r="CZ260" s="365">
        <v>0</v>
      </c>
      <c r="DA260" s="361">
        <v>0</v>
      </c>
      <c r="DB260" s="361">
        <v>0</v>
      </c>
      <c r="DC260" s="365">
        <v>0</v>
      </c>
      <c r="DD260" s="365"/>
      <c r="DE260" s="365"/>
      <c r="DF260" s="365"/>
      <c r="DG260" s="366"/>
    </row>
    <row r="261" spans="2:111" ht="13">
      <c r="B261" s="294"/>
      <c r="C261" s="294"/>
      <c r="D261" s="294"/>
      <c r="E261" s="294"/>
      <c r="F261" s="294"/>
      <c r="G261" s="294"/>
      <c r="H261" s="294"/>
      <c r="P261" s="295"/>
      <c r="W261" s="295"/>
      <c r="AE261" s="188"/>
      <c r="AG261" s="188"/>
      <c r="AH261" s="188"/>
      <c r="AI261" s="188"/>
      <c r="AJ261" s="188"/>
      <c r="AK261" s="299"/>
      <c r="CQ261" s="510">
        <v>85</v>
      </c>
      <c r="CR261" s="359" t="s">
        <v>1374</v>
      </c>
      <c r="CS261" s="361">
        <v>939002.37</v>
      </c>
      <c r="CT261" s="361">
        <v>97476.19</v>
      </c>
      <c r="CU261" s="361">
        <v>0</v>
      </c>
      <c r="CV261" s="361">
        <v>92368.61</v>
      </c>
      <c r="CW261" s="361">
        <v>0</v>
      </c>
      <c r="CX261" s="361">
        <v>114571.85</v>
      </c>
      <c r="CY261" s="361">
        <v>0</v>
      </c>
      <c r="CZ261" s="361">
        <v>119712.78</v>
      </c>
      <c r="DA261" s="361">
        <v>0</v>
      </c>
      <c r="DB261" s="361">
        <v>301108.24</v>
      </c>
      <c r="DC261" s="361">
        <v>213764.7</v>
      </c>
      <c r="DD261" s="365"/>
      <c r="DE261" s="365"/>
      <c r="DF261" s="365"/>
      <c r="DG261" s="366"/>
    </row>
    <row r="262" spans="2:111" ht="13">
      <c r="B262" s="294"/>
      <c r="C262" s="294"/>
      <c r="D262" s="294"/>
      <c r="E262" s="294"/>
      <c r="F262" s="294"/>
      <c r="G262" s="294"/>
      <c r="H262" s="294"/>
      <c r="P262" s="295"/>
      <c r="W262" s="295"/>
      <c r="AE262" s="188"/>
      <c r="AG262" s="188"/>
      <c r="AH262" s="188"/>
      <c r="AI262" s="188"/>
      <c r="AJ262" s="188"/>
      <c r="AK262" s="299"/>
      <c r="CQ262" s="510">
        <v>86</v>
      </c>
      <c r="CR262" s="359" t="s">
        <v>1310</v>
      </c>
      <c r="CS262" s="361">
        <v>824118.37</v>
      </c>
      <c r="CT262" s="361">
        <v>0</v>
      </c>
      <c r="CU262" s="361">
        <v>0</v>
      </c>
      <c r="CV262" s="365">
        <v>0</v>
      </c>
      <c r="CW262" s="361">
        <v>0</v>
      </c>
      <c r="CX262" s="361">
        <v>0</v>
      </c>
      <c r="CY262" s="361">
        <v>0</v>
      </c>
      <c r="CZ262" s="361">
        <v>371902.6</v>
      </c>
      <c r="DA262" s="361">
        <v>452215.77</v>
      </c>
      <c r="DB262" s="361">
        <v>0</v>
      </c>
      <c r="DC262" s="365">
        <v>0</v>
      </c>
      <c r="DD262" s="365"/>
      <c r="DE262" s="365"/>
      <c r="DF262" s="365"/>
      <c r="DG262" s="366"/>
    </row>
    <row r="263" spans="2:111" ht="13">
      <c r="B263" s="294"/>
      <c r="C263" s="294"/>
      <c r="D263" s="294"/>
      <c r="E263" s="294"/>
      <c r="F263" s="294"/>
      <c r="G263" s="294"/>
      <c r="H263" s="294"/>
      <c r="P263" s="295"/>
      <c r="W263" s="295"/>
      <c r="AE263" s="188"/>
      <c r="AG263" s="188"/>
      <c r="AH263" s="188"/>
      <c r="AI263" s="188"/>
      <c r="AJ263" s="188"/>
      <c r="AK263" s="299"/>
      <c r="CQ263" s="510">
        <v>87</v>
      </c>
      <c r="CR263" s="359" t="s">
        <v>1371</v>
      </c>
      <c r="CS263" s="361">
        <v>774102</v>
      </c>
      <c r="CT263" s="361">
        <v>0</v>
      </c>
      <c r="CU263" s="361">
        <v>0</v>
      </c>
      <c r="CV263" s="361">
        <v>0</v>
      </c>
      <c r="CW263" s="361">
        <v>0</v>
      </c>
      <c r="CX263" s="361">
        <v>0</v>
      </c>
      <c r="CY263" s="361">
        <v>428076</v>
      </c>
      <c r="CZ263" s="365">
        <v>0</v>
      </c>
      <c r="DA263" s="361">
        <v>0</v>
      </c>
      <c r="DB263" s="361">
        <v>346026</v>
      </c>
      <c r="DC263" s="365">
        <v>0</v>
      </c>
      <c r="DD263" s="365"/>
      <c r="DE263" s="365"/>
      <c r="DF263" s="365"/>
      <c r="DG263" s="366"/>
    </row>
    <row r="264" spans="2:111" ht="13">
      <c r="B264" s="294"/>
      <c r="C264" s="294"/>
      <c r="D264" s="294"/>
      <c r="E264" s="294"/>
      <c r="F264" s="294"/>
      <c r="G264" s="294"/>
      <c r="H264" s="294"/>
      <c r="P264" s="295"/>
      <c r="W264" s="295"/>
      <c r="AE264" s="188"/>
      <c r="AG264" s="188"/>
      <c r="AH264" s="188"/>
      <c r="AI264" s="188"/>
      <c r="AJ264" s="188"/>
      <c r="AK264" s="299"/>
      <c r="CQ264" s="510">
        <v>88</v>
      </c>
      <c r="CR264" s="359" t="s">
        <v>1369</v>
      </c>
      <c r="CS264" s="361">
        <v>755937.7</v>
      </c>
      <c r="CT264" s="361">
        <v>143431.94</v>
      </c>
      <c r="CU264" s="361">
        <v>150998.65</v>
      </c>
      <c r="CV264" s="361">
        <v>461507.12</v>
      </c>
      <c r="CW264" s="361">
        <v>0</v>
      </c>
      <c r="CX264" s="361">
        <v>0</v>
      </c>
      <c r="CY264" s="361">
        <v>0</v>
      </c>
      <c r="CZ264" s="361">
        <v>0</v>
      </c>
      <c r="DA264" s="361">
        <v>0</v>
      </c>
      <c r="DB264" s="361">
        <v>0</v>
      </c>
      <c r="DC264" s="361">
        <v>0</v>
      </c>
      <c r="DD264" s="361"/>
      <c r="DE264" s="361"/>
      <c r="DF264" s="361"/>
      <c r="DG264" s="362"/>
    </row>
    <row r="265" spans="2:111" ht="13">
      <c r="B265" s="294"/>
      <c r="C265" s="294"/>
      <c r="D265" s="294"/>
      <c r="E265" s="294"/>
      <c r="F265" s="294"/>
      <c r="G265" s="294"/>
      <c r="H265" s="294"/>
      <c r="P265" s="295"/>
      <c r="W265" s="295"/>
      <c r="AE265" s="188"/>
      <c r="AG265" s="188"/>
      <c r="AH265" s="188"/>
      <c r="AI265" s="188"/>
      <c r="AJ265" s="188"/>
      <c r="AK265" s="299"/>
      <c r="CQ265" s="510">
        <v>89</v>
      </c>
      <c r="CR265" s="302" t="s">
        <v>1354</v>
      </c>
      <c r="CS265" s="352">
        <v>668953.59999999998</v>
      </c>
      <c r="CT265" s="352">
        <v>0</v>
      </c>
      <c r="CU265" s="302">
        <v>0</v>
      </c>
      <c r="CV265" s="352">
        <v>0</v>
      </c>
      <c r="CW265" s="302">
        <v>0</v>
      </c>
      <c r="CX265" s="352">
        <v>338374.6</v>
      </c>
      <c r="CY265" s="352">
        <v>0</v>
      </c>
      <c r="CZ265" s="352">
        <v>0</v>
      </c>
      <c r="DA265" s="302">
        <v>0</v>
      </c>
      <c r="DB265" s="352">
        <v>330579</v>
      </c>
      <c r="DC265" s="302">
        <v>0</v>
      </c>
      <c r="DG265" s="367"/>
    </row>
    <row r="266" spans="2:111" ht="13">
      <c r="B266" s="294"/>
      <c r="C266" s="294"/>
      <c r="D266" s="294"/>
      <c r="E266" s="294"/>
      <c r="F266" s="294"/>
      <c r="G266" s="294"/>
      <c r="H266" s="294"/>
      <c r="P266" s="295"/>
      <c r="W266" s="295"/>
      <c r="AE266" s="188"/>
      <c r="AG266" s="188"/>
      <c r="AH266" s="188"/>
      <c r="AI266" s="188"/>
      <c r="AJ266" s="188"/>
      <c r="AK266" s="299"/>
      <c r="CQ266" s="510">
        <v>90</v>
      </c>
      <c r="CR266" s="302" t="s">
        <v>1349</v>
      </c>
      <c r="CS266" s="352">
        <v>666504.29</v>
      </c>
      <c r="CT266" s="352">
        <v>0</v>
      </c>
      <c r="CU266" s="352">
        <v>310095.31</v>
      </c>
      <c r="CV266" s="352">
        <v>0</v>
      </c>
      <c r="CW266" s="302">
        <v>0</v>
      </c>
      <c r="CX266" s="352">
        <v>356408.97</v>
      </c>
      <c r="CY266" s="302">
        <v>0</v>
      </c>
      <c r="CZ266" s="352">
        <v>0</v>
      </c>
      <c r="DA266" s="302">
        <v>0</v>
      </c>
      <c r="DB266" s="302">
        <v>0</v>
      </c>
      <c r="DC266" s="302">
        <v>0</v>
      </c>
      <c r="DG266" s="367"/>
    </row>
    <row r="267" spans="2:111" ht="13">
      <c r="B267" s="294"/>
      <c r="C267" s="294"/>
      <c r="D267" s="294"/>
      <c r="E267" s="294"/>
      <c r="F267" s="294"/>
      <c r="G267" s="294"/>
      <c r="H267" s="294"/>
      <c r="P267" s="295"/>
      <c r="W267" s="295"/>
      <c r="AE267" s="188"/>
      <c r="AG267" s="188"/>
      <c r="AH267" s="188"/>
      <c r="AI267" s="188"/>
      <c r="AJ267" s="188"/>
      <c r="AK267" s="299"/>
      <c r="CQ267" s="510">
        <v>91</v>
      </c>
      <c r="CR267" s="325" t="s">
        <v>1350</v>
      </c>
      <c r="CS267" s="352">
        <v>459762.14</v>
      </c>
      <c r="CT267" s="352">
        <v>43038.36</v>
      </c>
      <c r="CU267" s="352">
        <v>134666.92000000001</v>
      </c>
      <c r="CV267" s="352">
        <v>195886.01</v>
      </c>
      <c r="CW267" s="352">
        <v>68751.570000000007</v>
      </c>
      <c r="CX267" s="352">
        <v>0</v>
      </c>
      <c r="CY267" s="352">
        <v>17419.28</v>
      </c>
      <c r="CZ267" s="352">
        <v>0</v>
      </c>
      <c r="DA267" s="352">
        <v>0</v>
      </c>
      <c r="DB267" s="302">
        <v>0</v>
      </c>
      <c r="DC267" s="302">
        <v>0</v>
      </c>
      <c r="DG267" s="367"/>
    </row>
    <row r="268" spans="2:111" ht="13">
      <c r="B268" s="294"/>
      <c r="C268" s="294"/>
      <c r="D268" s="294"/>
      <c r="E268" s="294"/>
      <c r="F268" s="294"/>
      <c r="G268" s="294"/>
      <c r="H268" s="294"/>
      <c r="P268" s="295"/>
      <c r="W268" s="295"/>
      <c r="AE268" s="188"/>
      <c r="AG268" s="188"/>
      <c r="AH268" s="188"/>
      <c r="AI268" s="188"/>
      <c r="AJ268" s="188"/>
      <c r="AK268" s="299"/>
      <c r="CQ268" s="510">
        <v>92</v>
      </c>
      <c r="CR268" s="325" t="s">
        <v>1318</v>
      </c>
      <c r="CS268" s="352">
        <v>411859.8</v>
      </c>
      <c r="CT268" s="352">
        <v>0</v>
      </c>
      <c r="CU268" s="352">
        <v>0</v>
      </c>
      <c r="CV268" s="352">
        <v>0</v>
      </c>
      <c r="CW268" s="352">
        <v>0</v>
      </c>
      <c r="CX268" s="352">
        <v>203863.86</v>
      </c>
      <c r="CY268" s="352">
        <v>0</v>
      </c>
      <c r="CZ268" s="352">
        <v>59745.01</v>
      </c>
      <c r="DA268" s="352">
        <v>148250.94</v>
      </c>
      <c r="DB268" s="302">
        <v>0</v>
      </c>
      <c r="DC268" s="302">
        <v>0</v>
      </c>
      <c r="DG268" s="367"/>
    </row>
    <row r="269" spans="2:111" ht="13">
      <c r="B269" s="294"/>
      <c r="C269" s="294"/>
      <c r="D269" s="294"/>
      <c r="E269" s="294"/>
      <c r="F269" s="294"/>
      <c r="G269" s="294"/>
      <c r="H269" s="294"/>
      <c r="P269" s="295"/>
      <c r="W269" s="295"/>
      <c r="AE269" s="188"/>
      <c r="AG269" s="188"/>
      <c r="AH269" s="188"/>
      <c r="AI269" s="188"/>
      <c r="AJ269" s="188"/>
      <c r="AK269" s="299"/>
      <c r="CQ269" s="510">
        <v>93</v>
      </c>
      <c r="CR269" s="325" t="s">
        <v>1375</v>
      </c>
      <c r="CS269" s="352">
        <v>403403.38</v>
      </c>
      <c r="CT269" s="352">
        <v>150962.4</v>
      </c>
      <c r="CU269" s="352">
        <v>67208.28</v>
      </c>
      <c r="CV269" s="352">
        <v>0</v>
      </c>
      <c r="CW269" s="352">
        <v>111748.95</v>
      </c>
      <c r="CX269" s="352">
        <v>11539.55</v>
      </c>
      <c r="CY269" s="352">
        <v>30972.1</v>
      </c>
      <c r="CZ269" s="352">
        <v>0</v>
      </c>
      <c r="DA269" s="352">
        <v>30972.1</v>
      </c>
      <c r="DB269" s="302">
        <v>0</v>
      </c>
      <c r="DC269" s="302">
        <v>0</v>
      </c>
      <c r="DG269" s="367"/>
    </row>
    <row r="270" spans="2:111" ht="13">
      <c r="B270" s="294"/>
      <c r="C270" s="294"/>
      <c r="D270" s="294"/>
      <c r="E270" s="294"/>
      <c r="F270" s="294"/>
      <c r="G270" s="294"/>
      <c r="H270" s="294"/>
      <c r="P270" s="295"/>
      <c r="W270" s="295"/>
      <c r="AE270" s="188"/>
      <c r="AG270" s="188"/>
      <c r="AH270" s="188"/>
      <c r="AI270" s="188"/>
      <c r="AJ270" s="188"/>
      <c r="AK270" s="299"/>
      <c r="CQ270" s="510">
        <v>94</v>
      </c>
      <c r="CR270" s="302" t="s">
        <v>1386</v>
      </c>
      <c r="CS270" s="352">
        <v>386503.45</v>
      </c>
      <c r="CT270" s="352">
        <v>77955.22</v>
      </c>
      <c r="CU270" s="352">
        <v>42117.5</v>
      </c>
      <c r="CV270" s="352">
        <v>34787.68</v>
      </c>
      <c r="CW270" s="352">
        <v>54208.639999999999</v>
      </c>
      <c r="CX270" s="352">
        <v>62465.120000000003</v>
      </c>
      <c r="CY270" s="352">
        <v>0</v>
      </c>
      <c r="CZ270" s="352">
        <v>31097.25</v>
      </c>
      <c r="DA270" s="302">
        <v>0</v>
      </c>
      <c r="DB270" s="352">
        <v>83872.039999999994</v>
      </c>
      <c r="DC270" s="302">
        <v>0</v>
      </c>
      <c r="DG270" s="367"/>
    </row>
    <row r="271" spans="2:111" ht="13">
      <c r="B271" s="294"/>
      <c r="C271" s="294"/>
      <c r="D271" s="294"/>
      <c r="E271" s="294"/>
      <c r="F271" s="294"/>
      <c r="G271" s="294"/>
      <c r="H271" s="294"/>
      <c r="P271" s="295"/>
      <c r="W271" s="295"/>
      <c r="AE271" s="188"/>
      <c r="AG271" s="188"/>
      <c r="AH271" s="188"/>
      <c r="AI271" s="188"/>
      <c r="AJ271" s="188"/>
      <c r="AK271" s="299"/>
      <c r="CQ271" s="510">
        <v>95</v>
      </c>
      <c r="CR271" s="302" t="s">
        <v>1358</v>
      </c>
      <c r="CS271" s="352">
        <v>368235.84</v>
      </c>
      <c r="CT271" s="352">
        <v>142224.4</v>
      </c>
      <c r="CU271" s="352">
        <v>0</v>
      </c>
      <c r="CV271" s="352">
        <v>226011.44</v>
      </c>
      <c r="CW271" s="352">
        <v>0</v>
      </c>
      <c r="CX271" s="352">
        <v>0</v>
      </c>
      <c r="CY271" s="352">
        <v>0</v>
      </c>
      <c r="CZ271" s="302">
        <v>0</v>
      </c>
      <c r="DA271" s="352">
        <v>0</v>
      </c>
      <c r="DB271" s="302">
        <v>0</v>
      </c>
      <c r="DC271" s="302">
        <v>0</v>
      </c>
      <c r="DG271" s="367"/>
    </row>
    <row r="272" spans="2:111" ht="13">
      <c r="B272" s="294"/>
      <c r="C272" s="294"/>
      <c r="D272" s="294"/>
      <c r="E272" s="294"/>
      <c r="F272" s="294"/>
      <c r="G272" s="294"/>
      <c r="H272" s="294"/>
      <c r="P272" s="295"/>
      <c r="W272" s="295"/>
      <c r="AE272" s="188"/>
      <c r="AG272" s="188"/>
      <c r="AH272" s="188"/>
      <c r="AI272" s="188"/>
      <c r="AJ272" s="188"/>
      <c r="AK272" s="299"/>
      <c r="CQ272" s="510">
        <v>96</v>
      </c>
      <c r="CR272" s="325" t="s">
        <v>1352</v>
      </c>
      <c r="CS272" s="352">
        <v>312374.62</v>
      </c>
      <c r="CT272" s="352">
        <v>0</v>
      </c>
      <c r="CU272" s="352">
        <v>0</v>
      </c>
      <c r="CV272" s="352">
        <v>0</v>
      </c>
      <c r="CW272" s="352">
        <v>114695</v>
      </c>
      <c r="CX272" s="352">
        <v>0</v>
      </c>
      <c r="CY272" s="352">
        <v>0</v>
      </c>
      <c r="CZ272" s="352">
        <v>109434.94</v>
      </c>
      <c r="DA272" s="302">
        <v>0</v>
      </c>
      <c r="DB272" s="302">
        <v>0</v>
      </c>
      <c r="DC272" s="352">
        <v>88244.69</v>
      </c>
      <c r="DG272" s="367"/>
    </row>
    <row r="273" spans="2:111" ht="13">
      <c r="B273" s="294"/>
      <c r="C273" s="294"/>
      <c r="D273" s="294"/>
      <c r="E273" s="294"/>
      <c r="F273" s="294"/>
      <c r="G273" s="294"/>
      <c r="H273" s="294"/>
      <c r="P273" s="295"/>
      <c r="W273" s="295"/>
      <c r="AE273" s="188"/>
      <c r="AG273" s="188"/>
      <c r="AH273" s="188"/>
      <c r="AI273" s="188"/>
      <c r="AJ273" s="188"/>
      <c r="AK273" s="299"/>
      <c r="CQ273" s="510">
        <v>97</v>
      </c>
      <c r="CR273" s="325" t="s">
        <v>1339</v>
      </c>
      <c r="CS273" s="352">
        <v>293215.96999999997</v>
      </c>
      <c r="CT273" s="352">
        <v>0</v>
      </c>
      <c r="CU273" s="352">
        <v>0</v>
      </c>
      <c r="CV273" s="352">
        <v>0</v>
      </c>
      <c r="CW273" s="352">
        <v>0</v>
      </c>
      <c r="CX273" s="352">
        <v>0</v>
      </c>
      <c r="CY273" s="352">
        <v>293215.96999999997</v>
      </c>
      <c r="CZ273" s="352">
        <v>0</v>
      </c>
      <c r="DA273" s="302">
        <v>0</v>
      </c>
      <c r="DB273" s="302">
        <v>0</v>
      </c>
      <c r="DC273" s="302">
        <v>0</v>
      </c>
      <c r="DG273" s="367"/>
    </row>
    <row r="274" spans="2:111" ht="13">
      <c r="B274" s="294"/>
      <c r="C274" s="294"/>
      <c r="D274" s="294"/>
      <c r="E274" s="294"/>
      <c r="F274" s="294"/>
      <c r="G274" s="294"/>
      <c r="H274" s="294"/>
      <c r="P274" s="295"/>
      <c r="W274" s="295"/>
      <c r="AE274" s="188"/>
      <c r="AG274" s="188"/>
      <c r="AH274" s="188"/>
      <c r="AI274" s="188"/>
      <c r="AJ274" s="188"/>
      <c r="AK274" s="299"/>
      <c r="CQ274" s="510">
        <v>98</v>
      </c>
      <c r="CR274" s="325" t="s">
        <v>1351</v>
      </c>
      <c r="CS274" s="352">
        <v>291558.86</v>
      </c>
      <c r="CT274" s="352">
        <v>43875.35</v>
      </c>
      <c r="CU274" s="352">
        <v>0</v>
      </c>
      <c r="CV274" s="352">
        <v>102407.67</v>
      </c>
      <c r="CW274" s="352">
        <v>0</v>
      </c>
      <c r="CX274" s="352">
        <v>117863.67999999999</v>
      </c>
      <c r="CY274" s="352">
        <v>0</v>
      </c>
      <c r="CZ274" s="352">
        <v>27412.16</v>
      </c>
      <c r="DA274" s="302">
        <v>0</v>
      </c>
      <c r="DB274" s="302">
        <v>0</v>
      </c>
      <c r="DC274" s="302">
        <v>0</v>
      </c>
      <c r="DG274" s="367"/>
    </row>
    <row r="275" spans="2:111" ht="13">
      <c r="B275" s="294"/>
      <c r="C275" s="294"/>
      <c r="D275" s="294"/>
      <c r="E275" s="294"/>
      <c r="F275" s="294"/>
      <c r="G275" s="294"/>
      <c r="H275" s="294"/>
      <c r="P275" s="295"/>
      <c r="W275" s="295"/>
      <c r="AE275" s="188"/>
      <c r="AG275" s="188"/>
      <c r="AH275" s="188"/>
      <c r="AI275" s="188"/>
      <c r="AJ275" s="188"/>
      <c r="AK275" s="299"/>
      <c r="CQ275" s="510">
        <v>99</v>
      </c>
      <c r="CR275" s="302" t="s">
        <v>1355</v>
      </c>
      <c r="CS275" s="352">
        <v>268263.82</v>
      </c>
      <c r="CT275" s="352">
        <v>130557.67</v>
      </c>
      <c r="CU275" s="352">
        <v>62339.97</v>
      </c>
      <c r="CV275" s="352">
        <v>0</v>
      </c>
      <c r="CW275" s="352">
        <v>75366.179999999993</v>
      </c>
      <c r="CX275" s="352">
        <v>0</v>
      </c>
      <c r="CY275" s="352">
        <v>0</v>
      </c>
      <c r="CZ275" s="352">
        <v>0</v>
      </c>
      <c r="DA275" s="302">
        <v>0</v>
      </c>
      <c r="DB275" s="302">
        <v>0</v>
      </c>
      <c r="DC275" s="302">
        <v>0</v>
      </c>
      <c r="DG275" s="367"/>
    </row>
    <row r="276" spans="2:111" ht="13">
      <c r="B276" s="294"/>
      <c r="C276" s="294"/>
      <c r="D276" s="294"/>
      <c r="E276" s="294"/>
      <c r="F276" s="294"/>
      <c r="G276" s="294"/>
      <c r="H276" s="294"/>
      <c r="P276" s="295"/>
      <c r="W276" s="295"/>
      <c r="AE276" s="188"/>
      <c r="AG276" s="188"/>
      <c r="AH276" s="188"/>
      <c r="AI276" s="188"/>
      <c r="AJ276" s="188"/>
      <c r="AK276" s="299"/>
      <c r="CQ276" s="510">
        <v>100</v>
      </c>
      <c r="CR276" s="325" t="s">
        <v>1311</v>
      </c>
      <c r="CS276" s="352">
        <v>246004.76</v>
      </c>
      <c r="CT276" s="352">
        <v>0</v>
      </c>
      <c r="CU276" s="352">
        <v>0</v>
      </c>
      <c r="CV276" s="302">
        <v>0</v>
      </c>
      <c r="CW276" s="352">
        <v>0</v>
      </c>
      <c r="CX276" s="352">
        <v>246004.76</v>
      </c>
      <c r="CY276" s="352">
        <v>0</v>
      </c>
      <c r="CZ276" s="352">
        <v>0</v>
      </c>
      <c r="DA276" s="302">
        <v>0</v>
      </c>
      <c r="DB276" s="302">
        <v>0</v>
      </c>
      <c r="DC276" s="302">
        <v>0</v>
      </c>
      <c r="DG276" s="367"/>
    </row>
    <row r="277" spans="2:111" ht="13">
      <c r="B277" s="294"/>
      <c r="C277" s="294"/>
      <c r="D277" s="294"/>
      <c r="E277" s="294"/>
      <c r="F277" s="294"/>
      <c r="G277" s="294"/>
      <c r="H277" s="294"/>
      <c r="P277" s="295"/>
      <c r="W277" s="295"/>
      <c r="AE277" s="188"/>
      <c r="AG277" s="188"/>
      <c r="AH277" s="188"/>
      <c r="AI277" s="188"/>
      <c r="AJ277" s="188"/>
      <c r="AK277" s="299"/>
      <c r="CQ277" s="510">
        <v>101</v>
      </c>
      <c r="CR277" s="302" t="s">
        <v>1338</v>
      </c>
      <c r="CS277" s="352">
        <v>185191.75</v>
      </c>
      <c r="CT277" s="302">
        <v>0</v>
      </c>
      <c r="CU277" s="302">
        <v>0</v>
      </c>
      <c r="CV277" s="302">
        <v>0</v>
      </c>
      <c r="CW277" s="302">
        <v>0</v>
      </c>
      <c r="CX277" s="352">
        <v>0</v>
      </c>
      <c r="CY277" s="352">
        <v>0</v>
      </c>
      <c r="CZ277" s="352">
        <v>185191.75</v>
      </c>
      <c r="DA277" s="302">
        <v>0</v>
      </c>
      <c r="DB277" s="302">
        <v>0</v>
      </c>
      <c r="DC277" s="302">
        <v>0</v>
      </c>
      <c r="DG277" s="367"/>
    </row>
    <row r="278" spans="2:111" ht="13">
      <c r="B278" s="294"/>
      <c r="C278" s="294"/>
      <c r="D278" s="294"/>
      <c r="E278" s="294"/>
      <c r="F278" s="294"/>
      <c r="G278" s="294"/>
      <c r="H278" s="294"/>
      <c r="P278" s="295"/>
      <c r="W278" s="295"/>
      <c r="AE278" s="188"/>
      <c r="AG278" s="188"/>
      <c r="AH278" s="188"/>
      <c r="AI278" s="188"/>
      <c r="AJ278" s="188"/>
      <c r="AK278" s="299"/>
      <c r="CQ278" s="510">
        <v>102</v>
      </c>
      <c r="CR278" s="302" t="s">
        <v>1372</v>
      </c>
      <c r="CS278" s="352">
        <v>80693.81</v>
      </c>
      <c r="CT278" s="302">
        <v>0</v>
      </c>
      <c r="CU278" s="302">
        <v>0</v>
      </c>
      <c r="CV278" s="352">
        <v>0</v>
      </c>
      <c r="CW278" s="352">
        <v>80693.81</v>
      </c>
      <c r="CX278" s="302">
        <v>0</v>
      </c>
      <c r="CY278" s="352">
        <v>0</v>
      </c>
      <c r="CZ278" s="352">
        <v>0</v>
      </c>
      <c r="DA278" s="352">
        <v>0</v>
      </c>
      <c r="DB278" s="302">
        <v>0</v>
      </c>
      <c r="DC278" s="302">
        <v>0</v>
      </c>
      <c r="DG278" s="367"/>
    </row>
    <row r="279" spans="2:111" ht="13">
      <c r="B279" s="294"/>
      <c r="C279" s="294"/>
      <c r="D279" s="294"/>
      <c r="E279" s="294"/>
      <c r="F279" s="294"/>
      <c r="G279" s="294"/>
      <c r="H279" s="294"/>
      <c r="P279" s="295"/>
      <c r="W279" s="295"/>
      <c r="AE279" s="188"/>
      <c r="AG279" s="188"/>
      <c r="AH279" s="188"/>
      <c r="AI279" s="188"/>
      <c r="AJ279" s="188"/>
      <c r="AK279" s="299"/>
      <c r="CQ279" s="510">
        <v>103</v>
      </c>
      <c r="CR279" s="302" t="s">
        <v>1380</v>
      </c>
      <c r="CS279" s="352">
        <v>71061.039999999994</v>
      </c>
      <c r="CT279" s="302">
        <v>0</v>
      </c>
      <c r="CU279" s="302">
        <v>0</v>
      </c>
      <c r="CV279" s="352">
        <v>52006</v>
      </c>
      <c r="CW279" s="352">
        <v>0</v>
      </c>
      <c r="CX279" s="352">
        <v>19055.04</v>
      </c>
      <c r="CY279" s="302">
        <v>0</v>
      </c>
      <c r="CZ279" s="352">
        <v>0</v>
      </c>
      <c r="DA279" s="302">
        <v>0</v>
      </c>
      <c r="DB279" s="302">
        <v>0</v>
      </c>
      <c r="DC279" s="302">
        <v>0</v>
      </c>
      <c r="DG279" s="367"/>
    </row>
    <row r="280" spans="2:111" ht="13">
      <c r="B280" s="294"/>
      <c r="C280" s="294"/>
      <c r="D280" s="294"/>
      <c r="E280" s="294"/>
      <c r="F280" s="294"/>
      <c r="G280" s="294"/>
      <c r="H280" s="294"/>
      <c r="P280" s="295"/>
      <c r="W280" s="295"/>
      <c r="AE280" s="188"/>
      <c r="AG280" s="188"/>
      <c r="AH280" s="188"/>
      <c r="AI280" s="188"/>
      <c r="AJ280" s="188"/>
      <c r="AK280" s="299"/>
      <c r="CQ280" s="510">
        <v>104</v>
      </c>
      <c r="CR280" s="302" t="s">
        <v>1379</v>
      </c>
      <c r="CS280" s="352">
        <v>12352.07</v>
      </c>
      <c r="CT280" s="302">
        <v>0</v>
      </c>
      <c r="CU280" s="302">
        <v>0</v>
      </c>
      <c r="CV280" s="352">
        <v>0</v>
      </c>
      <c r="CW280" s="302">
        <v>0</v>
      </c>
      <c r="CX280" s="352">
        <v>0</v>
      </c>
      <c r="CY280" s="352">
        <v>0</v>
      </c>
      <c r="CZ280" s="352">
        <v>12352.07</v>
      </c>
      <c r="DA280" s="302">
        <v>0</v>
      </c>
      <c r="DB280" s="302">
        <v>0</v>
      </c>
      <c r="DC280" s="302">
        <v>0</v>
      </c>
      <c r="DG280" s="367"/>
    </row>
    <row r="281" spans="2:111" ht="13">
      <c r="B281" s="294"/>
      <c r="C281" s="294"/>
      <c r="D281" s="294"/>
      <c r="E281" s="294"/>
      <c r="F281" s="294"/>
      <c r="G281" s="294"/>
      <c r="H281" s="294"/>
      <c r="P281" s="295"/>
      <c r="W281" s="295"/>
      <c r="AE281" s="188"/>
      <c r="AG281" s="188"/>
      <c r="AH281" s="188"/>
      <c r="AI281" s="188"/>
      <c r="AJ281" s="188"/>
      <c r="AK281" s="299"/>
      <c r="CQ281" s="510">
        <v>105</v>
      </c>
      <c r="CR281" s="302" t="s">
        <v>997</v>
      </c>
      <c r="CS281" s="352">
        <v>0.05</v>
      </c>
      <c r="CT281" s="302">
        <v>0</v>
      </c>
      <c r="CU281" s="352">
        <v>0</v>
      </c>
      <c r="CV281" s="352">
        <v>0</v>
      </c>
      <c r="CW281" s="352">
        <v>0.05</v>
      </c>
      <c r="CX281" s="302">
        <v>0</v>
      </c>
      <c r="CY281" s="352">
        <v>0</v>
      </c>
      <c r="CZ281" s="352">
        <v>0</v>
      </c>
      <c r="DA281" s="302">
        <v>0</v>
      </c>
      <c r="DB281" s="302">
        <v>0</v>
      </c>
      <c r="DC281" s="302">
        <v>0</v>
      </c>
      <c r="DG281" s="367"/>
    </row>
    <row r="282" spans="2:111" ht="13">
      <c r="B282" s="294"/>
      <c r="C282" s="294"/>
      <c r="D282" s="294"/>
      <c r="E282" s="294"/>
      <c r="F282" s="294"/>
      <c r="G282" s="294"/>
      <c r="H282" s="294"/>
      <c r="P282" s="295"/>
      <c r="W282" s="295"/>
      <c r="AE282" s="188"/>
      <c r="AG282" s="188"/>
      <c r="AH282" s="188"/>
      <c r="AI282" s="188"/>
      <c r="AJ282" s="188"/>
      <c r="AK282" s="299"/>
      <c r="CQ282" s="510">
        <v>106</v>
      </c>
      <c r="CR282" s="302" t="s">
        <v>1384</v>
      </c>
      <c r="CS282" s="352">
        <v>-39555.07</v>
      </c>
      <c r="CT282" s="352">
        <v>0</v>
      </c>
      <c r="CU282" s="352">
        <v>-39555.07</v>
      </c>
      <c r="CV282" s="352">
        <v>0</v>
      </c>
      <c r="CW282" s="302">
        <v>0</v>
      </c>
      <c r="CX282" s="352">
        <v>0</v>
      </c>
      <c r="CY282" s="302">
        <v>0</v>
      </c>
      <c r="CZ282" s="352">
        <v>0</v>
      </c>
      <c r="DA282" s="302">
        <v>0</v>
      </c>
      <c r="DB282" s="302">
        <v>0</v>
      </c>
      <c r="DC282" s="302">
        <v>0</v>
      </c>
      <c r="DG282" s="367"/>
    </row>
    <row r="283" spans="2:111" ht="13">
      <c r="B283" s="294"/>
      <c r="C283" s="294"/>
      <c r="D283" s="294"/>
      <c r="E283" s="294"/>
      <c r="F283" s="294"/>
      <c r="G283" s="294"/>
      <c r="H283" s="294"/>
      <c r="P283" s="295"/>
      <c r="W283" s="295"/>
      <c r="AE283" s="188"/>
      <c r="AG283" s="188"/>
      <c r="AH283" s="188"/>
      <c r="AI283" s="188"/>
      <c r="AJ283" s="188"/>
      <c r="AK283" s="299"/>
      <c r="CQ283" s="510">
        <v>107</v>
      </c>
      <c r="CR283" s="302" t="s">
        <v>1382</v>
      </c>
      <c r="CS283" s="352">
        <v>-803018.42</v>
      </c>
      <c r="CT283" s="352">
        <v>-782680.1</v>
      </c>
      <c r="CU283" s="352">
        <v>-20338.32</v>
      </c>
      <c r="CV283" s="302">
        <v>0</v>
      </c>
      <c r="CW283" s="302">
        <v>0</v>
      </c>
      <c r="CX283" s="302">
        <v>0</v>
      </c>
      <c r="CY283" s="302">
        <v>0</v>
      </c>
      <c r="CZ283" s="352">
        <v>0</v>
      </c>
      <c r="DA283" s="302">
        <v>0</v>
      </c>
      <c r="DB283" s="302">
        <v>0</v>
      </c>
      <c r="DC283" s="302">
        <v>0</v>
      </c>
      <c r="DG283" s="367"/>
    </row>
    <row r="284" spans="2:111" ht="13">
      <c r="B284" s="294"/>
      <c r="C284" s="294"/>
      <c r="D284" s="294"/>
      <c r="E284" s="294"/>
      <c r="F284" s="294"/>
      <c r="G284" s="294"/>
      <c r="H284" s="294"/>
      <c r="P284" s="295"/>
      <c r="W284" s="295"/>
      <c r="AE284" s="188"/>
      <c r="AG284" s="188"/>
      <c r="AH284" s="188"/>
      <c r="AI284" s="188"/>
      <c r="AJ284" s="188"/>
      <c r="AK284" s="299"/>
      <c r="CQ284" s="510">
        <v>108</v>
      </c>
      <c r="CS284" s="352"/>
      <c r="CT284" s="352"/>
      <c r="CU284" s="352"/>
      <c r="DG284" s="367"/>
    </row>
    <row r="285" spans="2:111" ht="13">
      <c r="B285" s="294"/>
      <c r="C285" s="294"/>
      <c r="D285" s="294"/>
      <c r="E285" s="294"/>
      <c r="F285" s="294"/>
      <c r="G285" s="294"/>
      <c r="H285" s="294"/>
      <c r="P285" s="295"/>
      <c r="W285" s="295"/>
      <c r="AE285" s="188"/>
      <c r="AG285" s="188"/>
      <c r="AH285" s="188"/>
      <c r="AI285" s="188"/>
      <c r="AJ285" s="188"/>
      <c r="AK285" s="299"/>
      <c r="CQ285" s="510">
        <v>109</v>
      </c>
      <c r="CS285" s="352"/>
      <c r="CT285" s="352"/>
      <c r="CU285" s="352"/>
      <c r="DG285" s="367"/>
    </row>
    <row r="286" spans="2:111" ht="13">
      <c r="B286" s="294"/>
      <c r="C286" s="294"/>
      <c r="D286" s="294"/>
      <c r="E286" s="294"/>
      <c r="F286" s="294"/>
      <c r="G286" s="294"/>
      <c r="H286" s="294"/>
      <c r="P286" s="295"/>
      <c r="W286" s="295"/>
      <c r="AE286" s="188"/>
      <c r="AG286" s="188"/>
      <c r="AH286" s="188"/>
      <c r="AI286" s="188"/>
      <c r="AJ286" s="188"/>
      <c r="AK286" s="299"/>
      <c r="CQ286" s="510">
        <v>110</v>
      </c>
      <c r="CS286" s="352"/>
      <c r="CT286" s="352"/>
      <c r="CU286" s="352"/>
      <c r="DG286" s="367"/>
    </row>
    <row r="287" spans="2:111" ht="13">
      <c r="B287" s="294"/>
      <c r="C287" s="294"/>
      <c r="D287" s="294"/>
      <c r="E287" s="294"/>
      <c r="F287" s="294"/>
      <c r="G287" s="294"/>
      <c r="H287" s="294"/>
      <c r="P287" s="295"/>
      <c r="W287" s="295"/>
      <c r="AE287" s="188"/>
      <c r="AG287" s="188"/>
      <c r="AH287" s="188"/>
      <c r="AI287" s="188"/>
      <c r="AJ287" s="188"/>
      <c r="AK287" s="299"/>
      <c r="CQ287" s="510">
        <v>111</v>
      </c>
      <c r="DG287" s="367"/>
    </row>
    <row r="288" spans="2:111" ht="13">
      <c r="B288" s="294"/>
      <c r="C288" s="294"/>
      <c r="D288" s="294"/>
      <c r="E288" s="294"/>
      <c r="F288" s="294"/>
      <c r="G288" s="294"/>
      <c r="H288" s="294"/>
      <c r="P288" s="295"/>
      <c r="W288" s="295"/>
      <c r="AE288" s="188"/>
      <c r="AG288" s="188"/>
      <c r="AH288" s="188"/>
      <c r="AI288" s="188"/>
      <c r="AJ288" s="188"/>
      <c r="AK288" s="299"/>
      <c r="CQ288" s="510">
        <v>112</v>
      </c>
      <c r="DG288" s="367"/>
    </row>
    <row r="289" spans="2:111" ht="13">
      <c r="B289" s="294"/>
      <c r="C289" s="294"/>
      <c r="D289" s="294"/>
      <c r="E289" s="294"/>
      <c r="F289" s="294"/>
      <c r="G289" s="294"/>
      <c r="H289" s="294"/>
      <c r="P289" s="295"/>
      <c r="W289" s="295"/>
      <c r="AE289" s="188"/>
      <c r="AG289" s="188"/>
      <c r="AH289" s="188"/>
      <c r="AI289" s="188"/>
      <c r="AJ289" s="188"/>
      <c r="AK289" s="299"/>
      <c r="CQ289" s="510">
        <v>113</v>
      </c>
      <c r="DG289" s="367"/>
    </row>
    <row r="290" spans="2:111" ht="13">
      <c r="B290" s="294"/>
      <c r="C290" s="294"/>
      <c r="D290" s="294"/>
      <c r="E290" s="294"/>
      <c r="F290" s="294"/>
      <c r="G290" s="294"/>
      <c r="H290" s="294"/>
      <c r="P290" s="295"/>
      <c r="W290" s="295"/>
      <c r="AE290" s="188"/>
      <c r="AG290" s="188"/>
      <c r="AH290" s="188"/>
      <c r="AI290" s="188"/>
      <c r="AJ290" s="188"/>
      <c r="AK290" s="299"/>
      <c r="CQ290" s="510">
        <v>114</v>
      </c>
      <c r="DG290" s="367"/>
    </row>
    <row r="291" spans="2:111" ht="13">
      <c r="B291" s="294"/>
      <c r="C291" s="294"/>
      <c r="D291" s="294"/>
      <c r="E291" s="294"/>
      <c r="F291" s="294"/>
      <c r="G291" s="294"/>
      <c r="H291" s="294"/>
      <c r="P291" s="295"/>
      <c r="W291" s="295"/>
      <c r="AE291" s="188"/>
      <c r="AG291" s="188"/>
      <c r="AH291" s="188"/>
      <c r="AI291" s="188"/>
      <c r="AJ291" s="188"/>
      <c r="AK291" s="299"/>
      <c r="CQ291" s="510">
        <v>115</v>
      </c>
      <c r="DG291" s="367"/>
    </row>
    <row r="292" spans="2:111" ht="13">
      <c r="B292" s="294"/>
      <c r="C292" s="294"/>
      <c r="D292" s="294"/>
      <c r="E292" s="294"/>
      <c r="F292" s="294"/>
      <c r="G292" s="294"/>
      <c r="H292" s="294"/>
      <c r="P292" s="295"/>
      <c r="W292" s="295"/>
      <c r="AE292" s="188"/>
      <c r="AG292" s="188"/>
      <c r="AH292" s="188"/>
      <c r="AI292" s="188"/>
      <c r="AJ292" s="188"/>
      <c r="AK292" s="299"/>
      <c r="CQ292" s="510">
        <v>116</v>
      </c>
      <c r="DG292" s="367"/>
    </row>
    <row r="293" spans="2:111" ht="13">
      <c r="B293" s="294"/>
      <c r="C293" s="294"/>
      <c r="D293" s="294"/>
      <c r="E293" s="294"/>
      <c r="F293" s="294"/>
      <c r="G293" s="294"/>
      <c r="H293" s="294"/>
      <c r="P293" s="295"/>
      <c r="W293" s="295"/>
      <c r="AE293" s="188"/>
      <c r="AG293" s="188"/>
      <c r="AH293" s="188"/>
      <c r="AI293" s="188"/>
      <c r="AJ293" s="188"/>
      <c r="AK293" s="299"/>
      <c r="CQ293" s="510">
        <v>117</v>
      </c>
      <c r="DG293" s="367"/>
    </row>
    <row r="294" spans="2:111" ht="13">
      <c r="B294" s="294"/>
      <c r="C294" s="294"/>
      <c r="D294" s="294"/>
      <c r="E294" s="294"/>
      <c r="F294" s="294"/>
      <c r="G294" s="294"/>
      <c r="H294" s="294"/>
      <c r="P294" s="295"/>
      <c r="W294" s="295"/>
      <c r="AE294" s="188"/>
      <c r="AG294" s="188"/>
      <c r="AH294" s="188"/>
      <c r="AI294" s="188"/>
      <c r="AJ294" s="188"/>
      <c r="AK294" s="299"/>
      <c r="CQ294" s="510">
        <v>118</v>
      </c>
      <c r="DG294" s="367"/>
    </row>
    <row r="295" spans="2:111" ht="13">
      <c r="B295" s="294"/>
      <c r="C295" s="294"/>
      <c r="D295" s="294"/>
      <c r="E295" s="294"/>
      <c r="F295" s="294"/>
      <c r="G295" s="294"/>
      <c r="H295" s="294"/>
      <c r="P295" s="295"/>
      <c r="W295" s="295"/>
      <c r="AE295" s="188"/>
      <c r="AG295" s="188"/>
      <c r="AH295" s="188"/>
      <c r="AI295" s="188"/>
      <c r="AJ295" s="188"/>
      <c r="AK295" s="299"/>
      <c r="CQ295" s="510">
        <v>119</v>
      </c>
      <c r="DG295" s="367"/>
    </row>
    <row r="296" spans="2:111" ht="13">
      <c r="B296" s="294"/>
      <c r="C296" s="294"/>
      <c r="D296" s="294"/>
      <c r="E296" s="294"/>
      <c r="F296" s="294"/>
      <c r="G296" s="294"/>
      <c r="H296" s="294"/>
      <c r="P296" s="295"/>
      <c r="W296" s="295"/>
      <c r="AE296" s="188"/>
      <c r="AG296" s="188"/>
      <c r="AH296" s="188"/>
      <c r="AI296" s="188"/>
      <c r="AJ296" s="188"/>
      <c r="AK296" s="299"/>
      <c r="CQ296" s="510">
        <v>120</v>
      </c>
      <c r="DG296" s="367"/>
    </row>
    <row r="297" spans="2:111" ht="13">
      <c r="B297" s="294"/>
      <c r="C297" s="294"/>
      <c r="D297" s="294"/>
      <c r="E297" s="294"/>
      <c r="F297" s="294"/>
      <c r="G297" s="294"/>
      <c r="H297" s="294"/>
      <c r="P297" s="295"/>
      <c r="W297" s="295"/>
      <c r="AE297" s="188"/>
      <c r="AG297" s="188"/>
      <c r="AH297" s="188"/>
      <c r="AI297" s="188"/>
      <c r="AJ297" s="188"/>
      <c r="AK297" s="299"/>
      <c r="CQ297" s="510">
        <v>121</v>
      </c>
      <c r="DG297" s="367"/>
    </row>
    <row r="298" spans="2:111" ht="13">
      <c r="B298" s="294"/>
      <c r="C298" s="294"/>
      <c r="D298" s="294"/>
      <c r="E298" s="294"/>
      <c r="F298" s="294"/>
      <c r="G298" s="294"/>
      <c r="H298" s="294"/>
      <c r="P298" s="295"/>
      <c r="W298" s="295"/>
      <c r="AE298" s="188"/>
      <c r="AG298" s="188"/>
      <c r="AH298" s="188"/>
      <c r="AI298" s="188"/>
      <c r="AJ298" s="188"/>
      <c r="AK298" s="299"/>
      <c r="CQ298" s="510">
        <v>122</v>
      </c>
      <c r="DG298" s="367"/>
    </row>
    <row r="299" spans="2:111" ht="13">
      <c r="B299" s="294"/>
      <c r="C299" s="294"/>
      <c r="D299" s="294"/>
      <c r="E299" s="294"/>
      <c r="F299" s="294"/>
      <c r="G299" s="294"/>
      <c r="H299" s="294"/>
      <c r="P299" s="295"/>
      <c r="W299" s="295"/>
      <c r="AE299" s="188"/>
      <c r="AG299" s="188"/>
      <c r="AH299" s="188"/>
      <c r="AI299" s="188"/>
      <c r="AJ299" s="188"/>
      <c r="AK299" s="299"/>
      <c r="CQ299" s="510">
        <v>123</v>
      </c>
      <c r="DG299" s="367"/>
    </row>
    <row r="300" spans="2:111" ht="13">
      <c r="B300" s="294"/>
      <c r="C300" s="294"/>
      <c r="D300" s="294"/>
      <c r="E300" s="294"/>
      <c r="F300" s="294"/>
      <c r="G300" s="294"/>
      <c r="H300" s="294"/>
      <c r="P300" s="295"/>
      <c r="W300" s="295"/>
      <c r="AE300" s="188"/>
      <c r="AG300" s="188"/>
      <c r="AH300" s="188"/>
      <c r="AI300" s="188"/>
      <c r="AJ300" s="188"/>
      <c r="AK300" s="299"/>
      <c r="CQ300" s="510">
        <v>124</v>
      </c>
      <c r="DG300" s="367"/>
    </row>
    <row r="301" spans="2:111" ht="13">
      <c r="B301" s="294"/>
      <c r="C301" s="294"/>
      <c r="D301" s="294"/>
      <c r="E301" s="294"/>
      <c r="F301" s="294"/>
      <c r="G301" s="294"/>
      <c r="H301" s="294"/>
      <c r="P301" s="295"/>
      <c r="W301" s="295"/>
      <c r="AE301" s="188"/>
      <c r="AG301" s="188"/>
      <c r="AH301" s="188"/>
      <c r="AI301" s="188"/>
      <c r="AJ301" s="188"/>
      <c r="AK301" s="299"/>
      <c r="CQ301" s="510">
        <v>125</v>
      </c>
      <c r="DG301" s="367"/>
    </row>
    <row r="302" spans="2:111" ht="13">
      <c r="B302" s="294"/>
      <c r="C302" s="294"/>
      <c r="D302" s="294"/>
      <c r="E302" s="294"/>
      <c r="F302" s="294"/>
      <c r="G302" s="294"/>
      <c r="H302" s="294"/>
      <c r="P302" s="295"/>
      <c r="W302" s="295"/>
      <c r="AE302" s="188"/>
      <c r="AG302" s="188"/>
      <c r="AH302" s="188"/>
      <c r="AI302" s="188"/>
      <c r="AJ302" s="188"/>
      <c r="AK302" s="299"/>
      <c r="CQ302" s="510">
        <v>126</v>
      </c>
      <c r="DG302" s="367"/>
    </row>
    <row r="303" spans="2:111" ht="13">
      <c r="B303" s="294"/>
      <c r="C303" s="294"/>
      <c r="D303" s="294"/>
      <c r="E303" s="294"/>
      <c r="F303" s="294"/>
      <c r="G303" s="294"/>
      <c r="H303" s="294"/>
      <c r="P303" s="295"/>
      <c r="W303" s="295"/>
      <c r="AE303" s="188"/>
      <c r="AG303" s="188"/>
      <c r="AH303" s="188"/>
      <c r="AI303" s="188"/>
      <c r="AJ303" s="188"/>
      <c r="AK303" s="299"/>
      <c r="CQ303" s="510">
        <v>127</v>
      </c>
      <c r="DG303" s="367"/>
    </row>
    <row r="304" spans="2:111" ht="13">
      <c r="B304" s="294"/>
      <c r="C304" s="294"/>
      <c r="D304" s="294"/>
      <c r="E304" s="294"/>
      <c r="F304" s="294"/>
      <c r="G304" s="294"/>
      <c r="H304" s="294"/>
      <c r="P304" s="295"/>
      <c r="W304" s="295"/>
      <c r="AE304" s="188"/>
      <c r="AG304" s="188"/>
      <c r="AH304" s="188"/>
      <c r="AI304" s="188"/>
      <c r="AJ304" s="188"/>
      <c r="AK304" s="299"/>
      <c r="CQ304" s="510">
        <v>128</v>
      </c>
      <c r="DG304" s="367"/>
    </row>
    <row r="305" spans="2:111" ht="13">
      <c r="B305" s="294"/>
      <c r="C305" s="294"/>
      <c r="D305" s="294"/>
      <c r="E305" s="294"/>
      <c r="F305" s="294"/>
      <c r="G305" s="294"/>
      <c r="H305" s="294"/>
      <c r="P305" s="295"/>
      <c r="W305" s="295"/>
      <c r="AE305" s="188"/>
      <c r="AG305" s="188"/>
      <c r="AH305" s="188"/>
      <c r="AI305" s="188"/>
      <c r="AJ305" s="188"/>
      <c r="AK305" s="299"/>
      <c r="CQ305" s="510">
        <v>129</v>
      </c>
      <c r="DG305" s="367"/>
    </row>
    <row r="306" spans="2:111" ht="13">
      <c r="B306" s="294"/>
      <c r="C306" s="294"/>
      <c r="D306" s="294"/>
      <c r="E306" s="294"/>
      <c r="F306" s="294"/>
      <c r="G306" s="294"/>
      <c r="H306" s="294"/>
      <c r="P306" s="295"/>
      <c r="W306" s="295"/>
      <c r="AE306" s="188"/>
      <c r="AG306" s="188"/>
      <c r="AH306" s="188"/>
      <c r="AI306" s="188"/>
      <c r="AJ306" s="188"/>
      <c r="AK306" s="299"/>
      <c r="CQ306" s="510">
        <v>130</v>
      </c>
      <c r="DG306" s="367"/>
    </row>
    <row r="307" spans="2:111" ht="13">
      <c r="B307" s="294"/>
      <c r="C307" s="294"/>
      <c r="D307" s="294"/>
      <c r="E307" s="294"/>
      <c r="F307" s="294"/>
      <c r="G307" s="294"/>
      <c r="H307" s="294"/>
      <c r="P307" s="295"/>
      <c r="W307" s="295"/>
      <c r="AE307" s="188"/>
      <c r="AG307" s="188"/>
      <c r="AH307" s="188"/>
      <c r="AI307" s="188"/>
      <c r="AJ307" s="188"/>
      <c r="AK307" s="299"/>
      <c r="CQ307" s="510">
        <v>131</v>
      </c>
      <c r="DG307" s="367"/>
    </row>
    <row r="308" spans="2:111" ht="13">
      <c r="B308" s="294"/>
      <c r="C308" s="294"/>
      <c r="D308" s="294"/>
      <c r="E308" s="294"/>
      <c r="F308" s="294"/>
      <c r="G308" s="294"/>
      <c r="H308" s="294"/>
      <c r="P308" s="295"/>
      <c r="W308" s="295"/>
      <c r="AE308" s="188"/>
      <c r="AG308" s="188"/>
      <c r="AH308" s="188"/>
      <c r="AI308" s="188"/>
      <c r="AJ308" s="188"/>
      <c r="AK308" s="299"/>
      <c r="CQ308" s="510">
        <v>132</v>
      </c>
      <c r="DG308" s="367"/>
    </row>
    <row r="309" spans="2:111" ht="13">
      <c r="B309" s="294"/>
      <c r="C309" s="294"/>
      <c r="D309" s="294"/>
      <c r="E309" s="294"/>
      <c r="F309" s="294"/>
      <c r="G309" s="294"/>
      <c r="H309" s="294"/>
      <c r="P309" s="295"/>
      <c r="W309" s="295"/>
      <c r="AE309" s="188"/>
      <c r="AG309" s="188"/>
      <c r="AH309" s="188"/>
      <c r="AI309" s="188"/>
      <c r="AJ309" s="188"/>
      <c r="AK309" s="299"/>
      <c r="CQ309" s="510">
        <v>133</v>
      </c>
      <c r="DG309" s="367"/>
    </row>
    <row r="310" spans="2:111" ht="13">
      <c r="B310" s="294"/>
      <c r="C310" s="294"/>
      <c r="D310" s="294"/>
      <c r="E310" s="294"/>
      <c r="F310" s="294"/>
      <c r="G310" s="294"/>
      <c r="H310" s="294"/>
      <c r="P310" s="295"/>
      <c r="W310" s="295"/>
      <c r="AE310" s="188"/>
      <c r="AG310" s="188"/>
      <c r="AH310" s="188"/>
      <c r="AI310" s="188"/>
      <c r="AJ310" s="188"/>
      <c r="AK310" s="299"/>
      <c r="CQ310" s="510">
        <v>134</v>
      </c>
      <c r="DG310" s="367"/>
    </row>
    <row r="311" spans="2:111" ht="13">
      <c r="B311" s="294"/>
      <c r="C311" s="294"/>
      <c r="D311" s="294"/>
      <c r="E311" s="294"/>
      <c r="F311" s="294"/>
      <c r="G311" s="294"/>
      <c r="H311" s="294"/>
      <c r="P311" s="295"/>
      <c r="W311" s="295"/>
      <c r="AE311" s="188"/>
      <c r="AG311" s="188"/>
      <c r="AH311" s="188"/>
      <c r="AI311" s="188"/>
      <c r="AJ311" s="188"/>
      <c r="AK311" s="299"/>
      <c r="CQ311" s="510">
        <v>135</v>
      </c>
      <c r="DG311" s="367"/>
    </row>
    <row r="312" spans="2:111" ht="13">
      <c r="B312" s="294"/>
      <c r="C312" s="294"/>
      <c r="D312" s="294"/>
      <c r="E312" s="294"/>
      <c r="F312" s="294"/>
      <c r="G312" s="294"/>
      <c r="H312" s="294"/>
      <c r="P312" s="295"/>
      <c r="W312" s="295"/>
      <c r="AE312" s="188"/>
      <c r="AG312" s="188"/>
      <c r="AH312" s="188"/>
      <c r="AI312" s="188"/>
      <c r="AJ312" s="188"/>
      <c r="AK312" s="299"/>
      <c r="CQ312" s="510">
        <v>136</v>
      </c>
      <c r="DG312" s="367"/>
    </row>
    <row r="313" spans="2:111" ht="13">
      <c r="B313" s="294"/>
      <c r="C313" s="294"/>
      <c r="D313" s="294"/>
      <c r="E313" s="294"/>
      <c r="F313" s="294"/>
      <c r="G313" s="294"/>
      <c r="H313" s="294"/>
      <c r="P313" s="295"/>
      <c r="W313" s="295"/>
      <c r="AE313" s="188"/>
      <c r="AG313" s="188"/>
      <c r="AH313" s="188"/>
      <c r="AI313" s="188"/>
      <c r="AJ313" s="188"/>
      <c r="AK313" s="299"/>
      <c r="CQ313" s="510">
        <v>137</v>
      </c>
      <c r="DG313" s="367"/>
    </row>
    <row r="314" spans="2:111" ht="13">
      <c r="B314" s="294"/>
      <c r="C314" s="294"/>
      <c r="D314" s="294"/>
      <c r="E314" s="294"/>
      <c r="F314" s="294"/>
      <c r="G314" s="294"/>
      <c r="H314" s="294"/>
      <c r="P314" s="295"/>
      <c r="W314" s="295"/>
      <c r="AE314" s="188"/>
      <c r="AG314" s="188"/>
      <c r="AH314" s="188"/>
      <c r="AI314" s="188"/>
      <c r="AJ314" s="188"/>
      <c r="AK314" s="299"/>
      <c r="CQ314" s="510">
        <v>138</v>
      </c>
      <c r="DG314" s="367"/>
    </row>
    <row r="315" spans="2:111" ht="13">
      <c r="B315" s="294"/>
      <c r="C315" s="294"/>
      <c r="D315" s="294"/>
      <c r="E315" s="294"/>
      <c r="F315" s="294"/>
      <c r="G315" s="294"/>
      <c r="H315" s="294"/>
      <c r="P315" s="295"/>
      <c r="W315" s="295"/>
      <c r="AE315" s="188"/>
      <c r="AG315" s="188"/>
      <c r="AH315" s="188"/>
      <c r="AI315" s="188"/>
      <c r="AJ315" s="188"/>
      <c r="AK315" s="299"/>
      <c r="CQ315" s="510">
        <v>139</v>
      </c>
      <c r="DG315" s="367"/>
    </row>
    <row r="316" spans="2:111" ht="13">
      <c r="B316" s="294"/>
      <c r="C316" s="294"/>
      <c r="D316" s="294"/>
      <c r="E316" s="294"/>
      <c r="F316" s="294"/>
      <c r="G316" s="294"/>
      <c r="H316" s="294"/>
      <c r="P316" s="295"/>
      <c r="W316" s="295"/>
      <c r="AE316" s="188"/>
      <c r="AG316" s="188"/>
      <c r="AH316" s="188"/>
      <c r="AI316" s="188"/>
      <c r="AJ316" s="188"/>
      <c r="AK316" s="299"/>
      <c r="CQ316" s="510">
        <v>140</v>
      </c>
      <c r="DG316" s="367"/>
    </row>
    <row r="317" spans="2:111" ht="13">
      <c r="B317" s="294"/>
      <c r="C317" s="294"/>
      <c r="D317" s="294"/>
      <c r="E317" s="294"/>
      <c r="F317" s="294"/>
      <c r="G317" s="294"/>
      <c r="H317" s="294"/>
      <c r="P317" s="295"/>
      <c r="W317" s="295"/>
      <c r="AE317" s="188"/>
      <c r="AG317" s="188"/>
      <c r="AH317" s="188"/>
      <c r="AI317" s="188"/>
      <c r="AJ317" s="188"/>
      <c r="AK317" s="299"/>
      <c r="CQ317" s="512">
        <v>141</v>
      </c>
      <c r="CR317" s="369"/>
      <c r="CS317" s="369"/>
      <c r="CT317" s="369"/>
      <c r="CU317" s="369"/>
      <c r="CV317" s="369"/>
      <c r="CW317" s="369"/>
      <c r="CX317" s="369"/>
      <c r="CY317" s="369"/>
      <c r="CZ317" s="369"/>
      <c r="DA317" s="369"/>
      <c r="DB317" s="369"/>
      <c r="DC317" s="369"/>
      <c r="DD317" s="369"/>
      <c r="DE317" s="369"/>
      <c r="DF317" s="369"/>
      <c r="DG317" s="370"/>
    </row>
    <row r="318" spans="2:111" ht="13">
      <c r="B318" s="294"/>
      <c r="C318" s="294"/>
      <c r="D318" s="294"/>
      <c r="E318" s="294"/>
      <c r="F318" s="294"/>
      <c r="G318" s="294"/>
      <c r="H318" s="294"/>
      <c r="P318" s="295"/>
      <c r="W318" s="295"/>
      <c r="AE318" s="188"/>
      <c r="AG318" s="188"/>
      <c r="AH318" s="188"/>
      <c r="AI318" s="188"/>
      <c r="AJ318" s="188"/>
      <c r="AK318" s="299"/>
    </row>
    <row r="319" spans="2:111" ht="13">
      <c r="B319" s="294"/>
      <c r="C319" s="294"/>
      <c r="D319" s="294"/>
      <c r="E319" s="294"/>
      <c r="F319" s="294"/>
      <c r="G319" s="294"/>
      <c r="H319" s="294"/>
      <c r="P319" s="295"/>
      <c r="W319" s="295"/>
      <c r="AE319" s="188"/>
      <c r="AG319" s="188"/>
      <c r="AH319" s="188"/>
      <c r="AI319" s="188"/>
      <c r="AJ319" s="188"/>
      <c r="AK319" s="299"/>
    </row>
    <row r="320" spans="2:111" ht="13">
      <c r="B320" s="294"/>
      <c r="C320" s="294"/>
      <c r="D320" s="294"/>
      <c r="E320" s="294"/>
      <c r="F320" s="294"/>
      <c r="G320" s="294"/>
      <c r="H320" s="294"/>
      <c r="P320" s="295"/>
      <c r="W320" s="295"/>
      <c r="AE320" s="188"/>
      <c r="AG320" s="188"/>
      <c r="AH320" s="188"/>
      <c r="AI320" s="188"/>
      <c r="AJ320" s="188"/>
      <c r="AK320" s="299"/>
      <c r="CU320" s="352">
        <f>CU324-T124</f>
        <v>9.9999979138374329E-3</v>
      </c>
      <c r="CV320" s="352">
        <f>CV324-AA124</f>
        <v>0</v>
      </c>
      <c r="CW320" s="352">
        <f>CW324-AN124</f>
        <v>1.9999999552965164E-2</v>
      </c>
      <c r="CX320" s="352">
        <f>CX324-AR124</f>
        <v>-1.000000536441803E-2</v>
      </c>
      <c r="CY320" s="352">
        <f>CY324-AV124</f>
        <v>0</v>
      </c>
      <c r="CZ320" s="352">
        <f>CZ324-BF124</f>
        <v>1.0000012814998627E-2</v>
      </c>
      <c r="DA320" s="352">
        <f>DA324-BJ124</f>
        <v>1.000000536441803E-2</v>
      </c>
      <c r="DB320" s="352">
        <f>DB324-BN124</f>
        <v>2.9999997466802597E-2</v>
      </c>
      <c r="DC320" s="352">
        <f>DC324-BU124</f>
        <v>-1.9999999552965164E-2</v>
      </c>
    </row>
    <row r="321" spans="2:111" ht="13">
      <c r="B321" s="294"/>
      <c r="C321" s="294"/>
      <c r="D321" s="294"/>
      <c r="E321" s="294"/>
      <c r="F321" s="294"/>
      <c r="G321" s="294"/>
      <c r="H321" s="294"/>
      <c r="P321" s="295"/>
      <c r="W321" s="295"/>
      <c r="AE321" s="188"/>
      <c r="AG321" s="188"/>
      <c r="AH321" s="188"/>
      <c r="AI321" s="188"/>
      <c r="AJ321" s="188"/>
      <c r="AK321" s="299"/>
      <c r="CQ321" s="371"/>
      <c r="CR321" s="372">
        <v>1</v>
      </c>
      <c r="CS321" s="372">
        <v>2</v>
      </c>
      <c r="CT321" s="372">
        <v>3</v>
      </c>
      <c r="CU321" s="372">
        <v>4</v>
      </c>
      <c r="CV321" s="372">
        <v>5</v>
      </c>
      <c r="CW321" s="372">
        <v>6</v>
      </c>
      <c r="CX321" s="372">
        <v>7</v>
      </c>
      <c r="CY321" s="372">
        <v>8</v>
      </c>
      <c r="CZ321" s="372">
        <v>9</v>
      </c>
      <c r="DA321" s="372">
        <v>10</v>
      </c>
      <c r="DB321" s="372">
        <v>11</v>
      </c>
      <c r="DC321" s="372">
        <v>12</v>
      </c>
      <c r="DD321" s="372">
        <v>13</v>
      </c>
      <c r="DE321" s="372">
        <v>14</v>
      </c>
      <c r="DF321" s="372">
        <v>15</v>
      </c>
      <c r="DG321" s="373">
        <v>16</v>
      </c>
    </row>
    <row r="322" spans="2:111" ht="13">
      <c r="B322" s="294"/>
      <c r="C322" s="294"/>
      <c r="D322" s="294"/>
      <c r="E322" s="294"/>
      <c r="F322" s="294"/>
      <c r="G322" s="294"/>
      <c r="H322" s="294"/>
      <c r="P322" s="295"/>
      <c r="W322" s="295"/>
      <c r="AE322" s="188"/>
      <c r="AG322" s="188"/>
      <c r="AH322" s="188"/>
      <c r="AI322" s="188"/>
      <c r="AJ322" s="188"/>
      <c r="AK322" s="299"/>
      <c r="CQ322" s="374"/>
      <c r="CT322" s="357">
        <v>45658</v>
      </c>
      <c r="CU322" s="357">
        <v>45689</v>
      </c>
      <c r="CV322" s="357">
        <v>45717</v>
      </c>
      <c r="CW322" s="357">
        <v>45748</v>
      </c>
      <c r="CX322" s="357">
        <v>45778</v>
      </c>
      <c r="CY322" s="357">
        <v>45809</v>
      </c>
      <c r="CZ322" s="357">
        <v>45839</v>
      </c>
      <c r="DA322" s="357">
        <v>45870</v>
      </c>
      <c r="DB322" s="357">
        <v>45901</v>
      </c>
      <c r="DC322" s="357">
        <v>45931</v>
      </c>
      <c r="DD322" s="357">
        <v>45962</v>
      </c>
      <c r="DE322" s="357">
        <v>45992</v>
      </c>
      <c r="DF322" s="357"/>
      <c r="DG322" s="375"/>
    </row>
    <row r="323" spans="2:111" ht="13">
      <c r="B323" s="294"/>
      <c r="C323" s="294"/>
      <c r="D323" s="294"/>
      <c r="E323" s="294"/>
      <c r="F323" s="294"/>
      <c r="G323" s="294"/>
      <c r="H323" s="294"/>
      <c r="P323" s="295"/>
      <c r="W323" s="295"/>
      <c r="AE323" s="188"/>
      <c r="AG323" s="188"/>
      <c r="AH323" s="188"/>
      <c r="AI323" s="188"/>
      <c r="AJ323" s="188"/>
      <c r="AK323" s="299"/>
      <c r="CQ323" s="374"/>
      <c r="CR323" s="376"/>
      <c r="CS323" s="377" t="s">
        <v>241</v>
      </c>
      <c r="CT323" s="360">
        <v>45658</v>
      </c>
      <c r="CU323" s="360">
        <v>45689</v>
      </c>
      <c r="CV323" s="360">
        <v>45717</v>
      </c>
      <c r="CW323" s="360">
        <v>45748</v>
      </c>
      <c r="CX323" s="360">
        <v>45778</v>
      </c>
      <c r="CY323" s="360">
        <v>45809</v>
      </c>
      <c r="CZ323" s="360">
        <v>45839</v>
      </c>
      <c r="DA323" s="360">
        <v>45870</v>
      </c>
      <c r="DB323" s="360">
        <v>45901</v>
      </c>
      <c r="DC323" s="360">
        <v>45931</v>
      </c>
      <c r="DD323" s="360"/>
      <c r="DE323" s="360"/>
      <c r="DF323" s="357"/>
      <c r="DG323" s="375"/>
    </row>
    <row r="324" spans="2:111" ht="13">
      <c r="B324" s="294"/>
      <c r="C324" s="294"/>
      <c r="D324" s="294"/>
      <c r="E324" s="294"/>
      <c r="F324" s="294"/>
      <c r="G324" s="294"/>
      <c r="H324" s="294"/>
      <c r="P324" s="295"/>
      <c r="W324" s="295"/>
      <c r="AE324" s="188"/>
      <c r="AG324" s="188"/>
      <c r="AH324" s="188"/>
      <c r="AI324" s="188"/>
      <c r="AJ324" s="188"/>
      <c r="AK324" s="299"/>
      <c r="CQ324" s="374"/>
      <c r="CR324" s="359" t="s">
        <v>241</v>
      </c>
      <c r="CS324" s="361">
        <v>225626057.40000001</v>
      </c>
      <c r="CT324" s="361">
        <v>21369131.620000001</v>
      </c>
      <c r="CU324" s="361">
        <v>19838294.91</v>
      </c>
      <c r="CV324" s="361">
        <v>14088564.74</v>
      </c>
      <c r="CW324" s="361">
        <v>17618903.690000001</v>
      </c>
      <c r="CX324" s="361">
        <v>17323005.190000001</v>
      </c>
      <c r="CY324" s="361">
        <v>21764606.59</v>
      </c>
      <c r="CZ324" s="361">
        <v>35852640.630000003</v>
      </c>
      <c r="DA324" s="361">
        <v>26262112.960000001</v>
      </c>
      <c r="DB324" s="361">
        <v>32696082.390000001</v>
      </c>
      <c r="DC324" s="361">
        <v>18812714.690000001</v>
      </c>
      <c r="DD324" s="361"/>
      <c r="DE324" s="361"/>
      <c r="DF324" s="361"/>
      <c r="DG324" s="378"/>
    </row>
    <row r="325" spans="2:111" ht="13">
      <c r="B325" s="294"/>
      <c r="C325" s="294"/>
      <c r="D325" s="294"/>
      <c r="E325" s="294"/>
      <c r="F325" s="294"/>
      <c r="G325" s="294"/>
      <c r="H325" s="294"/>
      <c r="P325" s="295"/>
      <c r="W325" s="295"/>
      <c r="AE325" s="188"/>
      <c r="AG325" s="188"/>
      <c r="AH325" s="188"/>
      <c r="AI325" s="188"/>
      <c r="AJ325" s="188"/>
      <c r="AK325" s="299"/>
      <c r="CQ325" s="374">
        <v>1</v>
      </c>
      <c r="CR325" s="359" t="s">
        <v>1261</v>
      </c>
      <c r="CS325" s="361">
        <v>41034412.420000002</v>
      </c>
      <c r="CT325" s="361">
        <v>6533115.0999999996</v>
      </c>
      <c r="CU325" s="361">
        <v>3270662.7</v>
      </c>
      <c r="CV325" s="361">
        <v>3341713.31</v>
      </c>
      <c r="CW325" s="361">
        <v>4415291.58</v>
      </c>
      <c r="CX325" s="361">
        <v>4112956.09</v>
      </c>
      <c r="CY325" s="361">
        <v>3213080.38</v>
      </c>
      <c r="CZ325" s="361">
        <v>5481776.5599999996</v>
      </c>
      <c r="DA325" s="361">
        <v>4684875.09</v>
      </c>
      <c r="DB325" s="361">
        <v>2045900.13</v>
      </c>
      <c r="DC325" s="361">
        <v>3935041.49</v>
      </c>
      <c r="DD325" s="361"/>
      <c r="DE325" s="361"/>
      <c r="DF325" s="361"/>
      <c r="DG325" s="378"/>
    </row>
    <row r="326" spans="2:111" ht="13">
      <c r="B326" s="294"/>
      <c r="C326" s="294"/>
      <c r="D326" s="294"/>
      <c r="E326" s="294"/>
      <c r="F326" s="294"/>
      <c r="G326" s="294"/>
      <c r="H326" s="294"/>
      <c r="P326" s="295"/>
      <c r="W326" s="295"/>
      <c r="AE326" s="188"/>
      <c r="AG326" s="188"/>
      <c r="AH326" s="188"/>
      <c r="AI326" s="188"/>
      <c r="AJ326" s="188"/>
      <c r="AK326" s="299"/>
      <c r="CQ326" s="374">
        <v>2</v>
      </c>
      <c r="CR326" s="359" t="s">
        <v>1263</v>
      </c>
      <c r="CS326" s="361">
        <v>32404474.82</v>
      </c>
      <c r="CT326" s="361">
        <v>3661456.6</v>
      </c>
      <c r="CU326" s="361">
        <v>3592376.37</v>
      </c>
      <c r="CV326" s="361">
        <v>2747568.22</v>
      </c>
      <c r="CW326" s="361">
        <v>3185547.87</v>
      </c>
      <c r="CX326" s="361">
        <v>1570322.61</v>
      </c>
      <c r="CY326" s="361">
        <v>3704238.85</v>
      </c>
      <c r="CZ326" s="361">
        <v>5992704.3300000001</v>
      </c>
      <c r="DA326" s="361">
        <v>2629614.1</v>
      </c>
      <c r="DB326" s="361">
        <v>2727956.95</v>
      </c>
      <c r="DC326" s="361">
        <v>2592688.91</v>
      </c>
      <c r="DD326" s="361"/>
      <c r="DE326" s="361"/>
      <c r="DF326" s="361"/>
      <c r="DG326" s="378"/>
    </row>
    <row r="327" spans="2:111" ht="13">
      <c r="B327" s="294"/>
      <c r="C327" s="294"/>
      <c r="D327" s="294"/>
      <c r="E327" s="294"/>
      <c r="F327" s="294"/>
      <c r="G327" s="294"/>
      <c r="H327" s="294"/>
      <c r="P327" s="295"/>
      <c r="W327" s="295"/>
      <c r="AE327" s="188"/>
      <c r="AG327" s="188"/>
      <c r="AH327" s="188"/>
      <c r="AI327" s="188"/>
      <c r="AJ327" s="188"/>
      <c r="AK327" s="299"/>
      <c r="CQ327" s="374">
        <v>3</v>
      </c>
      <c r="CR327" s="359" t="s">
        <v>1329</v>
      </c>
      <c r="CS327" s="361">
        <v>32173800.859999999</v>
      </c>
      <c r="CT327" s="361">
        <v>3955675.48</v>
      </c>
      <c r="CU327" s="361">
        <v>3254255.8</v>
      </c>
      <c r="CV327" s="361">
        <v>1334513.49</v>
      </c>
      <c r="CW327" s="361">
        <v>4957931.16</v>
      </c>
      <c r="CX327" s="361">
        <v>2219853.41</v>
      </c>
      <c r="CY327" s="361">
        <v>3747675.32</v>
      </c>
      <c r="CZ327" s="361">
        <v>4088562.29</v>
      </c>
      <c r="DA327" s="361">
        <v>4086787.83</v>
      </c>
      <c r="DB327" s="361">
        <v>4004568.37</v>
      </c>
      <c r="DC327" s="361">
        <v>523977.73</v>
      </c>
      <c r="DD327" s="361"/>
      <c r="DE327" s="361"/>
      <c r="DF327" s="361"/>
      <c r="DG327" s="378"/>
    </row>
    <row r="328" spans="2:111" ht="13">
      <c r="B328" s="294"/>
      <c r="C328" s="294"/>
      <c r="D328" s="294"/>
      <c r="E328" s="294"/>
      <c r="F328" s="294"/>
      <c r="G328" s="294"/>
      <c r="H328" s="294"/>
      <c r="P328" s="295"/>
      <c r="W328" s="295"/>
      <c r="AE328" s="188"/>
      <c r="AG328" s="188"/>
      <c r="AH328" s="188"/>
      <c r="AI328" s="188"/>
      <c r="AJ328" s="188"/>
      <c r="AK328" s="299"/>
      <c r="CQ328" s="374">
        <v>4</v>
      </c>
      <c r="CR328" s="359" t="s">
        <v>1330</v>
      </c>
      <c r="CS328" s="361">
        <v>20809597.989999998</v>
      </c>
      <c r="CT328" s="361">
        <v>0</v>
      </c>
      <c r="CU328" s="361">
        <v>0</v>
      </c>
      <c r="CV328" s="361">
        <v>0</v>
      </c>
      <c r="CW328" s="361">
        <v>142884.01</v>
      </c>
      <c r="CX328" s="361">
        <v>2875756.39</v>
      </c>
      <c r="CY328" s="361">
        <v>1122155.42</v>
      </c>
      <c r="CZ328" s="361">
        <v>6524617.3300000001</v>
      </c>
      <c r="DA328" s="361">
        <v>3510358.54</v>
      </c>
      <c r="DB328" s="361">
        <v>6633826.2999999998</v>
      </c>
      <c r="DC328" s="361">
        <v>0</v>
      </c>
      <c r="DD328" s="361"/>
      <c r="DE328" s="361"/>
      <c r="DF328" s="361"/>
      <c r="DG328" s="378"/>
    </row>
    <row r="329" spans="2:111" ht="13">
      <c r="B329" s="294"/>
      <c r="C329" s="294"/>
      <c r="D329" s="294"/>
      <c r="E329" s="294"/>
      <c r="F329" s="294"/>
      <c r="G329" s="294"/>
      <c r="H329" s="294"/>
      <c r="P329" s="295"/>
      <c r="W329" s="295"/>
      <c r="AE329" s="188"/>
      <c r="AG329" s="188"/>
      <c r="AH329" s="188"/>
      <c r="AI329" s="188"/>
      <c r="AJ329" s="188"/>
      <c r="AK329" s="299"/>
      <c r="CQ329" s="374">
        <v>5</v>
      </c>
      <c r="CR329" s="359" t="s">
        <v>1333</v>
      </c>
      <c r="CS329" s="361">
        <v>20027597.039999999</v>
      </c>
      <c r="CT329" s="361">
        <v>1656237.24</v>
      </c>
      <c r="CU329" s="361">
        <v>2940161.01</v>
      </c>
      <c r="CV329" s="361">
        <v>765220.17</v>
      </c>
      <c r="CW329" s="361">
        <v>1436807.63</v>
      </c>
      <c r="CX329" s="361">
        <v>938602.71</v>
      </c>
      <c r="CY329" s="361">
        <v>2311775.17</v>
      </c>
      <c r="CZ329" s="361">
        <v>2680021.61</v>
      </c>
      <c r="DA329" s="361">
        <v>1534196</v>
      </c>
      <c r="DB329" s="361">
        <v>3036217.86</v>
      </c>
      <c r="DC329" s="361">
        <v>2728357.65</v>
      </c>
      <c r="DD329" s="361"/>
      <c r="DE329" s="361"/>
      <c r="DF329" s="361"/>
      <c r="DG329" s="378"/>
    </row>
    <row r="330" spans="2:111" ht="13">
      <c r="B330" s="294"/>
      <c r="C330" s="294"/>
      <c r="D330" s="294"/>
      <c r="E330" s="294"/>
      <c r="F330" s="294"/>
      <c r="G330" s="294"/>
      <c r="H330" s="294"/>
      <c r="P330" s="295"/>
      <c r="W330" s="295"/>
      <c r="AE330" s="188"/>
      <c r="AG330" s="188"/>
      <c r="AH330" s="188"/>
      <c r="AI330" s="188"/>
      <c r="AJ330" s="188"/>
      <c r="AK330" s="299"/>
      <c r="CQ330" s="374">
        <v>6</v>
      </c>
      <c r="CR330" s="359" t="s">
        <v>1273</v>
      </c>
      <c r="CS330" s="361">
        <v>17881186.43</v>
      </c>
      <c r="CT330" s="361">
        <v>0</v>
      </c>
      <c r="CU330" s="361">
        <v>0</v>
      </c>
      <c r="CV330" s="361">
        <v>0</v>
      </c>
      <c r="CW330" s="361">
        <v>0</v>
      </c>
      <c r="CX330" s="361">
        <v>1886084.59</v>
      </c>
      <c r="CY330" s="361">
        <v>857304.06</v>
      </c>
      <c r="CZ330" s="361">
        <v>2466865.89</v>
      </c>
      <c r="DA330" s="361">
        <v>5549481.0099999998</v>
      </c>
      <c r="DB330" s="361">
        <v>5436751.4699999997</v>
      </c>
      <c r="DC330" s="361">
        <v>1684699.4</v>
      </c>
      <c r="DD330" s="361"/>
      <c r="DE330" s="361"/>
      <c r="DF330" s="361"/>
      <c r="DG330" s="378"/>
    </row>
    <row r="331" spans="2:111" ht="13">
      <c r="B331" s="294"/>
      <c r="C331" s="294"/>
      <c r="D331" s="294"/>
      <c r="E331" s="294"/>
      <c r="F331" s="294"/>
      <c r="G331" s="294"/>
      <c r="H331" s="294"/>
      <c r="P331" s="295"/>
      <c r="W331" s="295"/>
      <c r="AE331" s="188"/>
      <c r="AG331" s="188"/>
      <c r="AH331" s="188"/>
      <c r="AI331" s="188"/>
      <c r="AJ331" s="188"/>
      <c r="AK331" s="299"/>
      <c r="CQ331" s="374">
        <v>7</v>
      </c>
      <c r="CR331" s="359" t="s">
        <v>1284</v>
      </c>
      <c r="CS331" s="361">
        <v>12572738.01</v>
      </c>
      <c r="CT331" s="361">
        <v>794421.63</v>
      </c>
      <c r="CU331" s="361">
        <v>910033.48</v>
      </c>
      <c r="CV331" s="361">
        <v>2384971.9500000002</v>
      </c>
      <c r="CW331" s="361">
        <v>0</v>
      </c>
      <c r="CX331" s="361">
        <v>0</v>
      </c>
      <c r="CY331" s="361">
        <v>1280697.71</v>
      </c>
      <c r="CZ331" s="361">
        <v>1237214.0900000001</v>
      </c>
      <c r="DA331" s="361">
        <v>658520.71</v>
      </c>
      <c r="DB331" s="361">
        <v>1873197.02</v>
      </c>
      <c r="DC331" s="361">
        <v>3433681.41</v>
      </c>
      <c r="DD331" s="361"/>
      <c r="DE331" s="361"/>
      <c r="DF331" s="361"/>
      <c r="DG331" s="378"/>
    </row>
    <row r="332" spans="2:111" ht="13">
      <c r="B332" s="294"/>
      <c r="C332" s="294"/>
      <c r="D332" s="294"/>
      <c r="E332" s="294"/>
      <c r="F332" s="294"/>
      <c r="G332" s="294"/>
      <c r="H332" s="294"/>
      <c r="P332" s="295"/>
      <c r="W332" s="295"/>
      <c r="AE332" s="188"/>
      <c r="AG332" s="188"/>
      <c r="AH332" s="188"/>
      <c r="AI332" s="188"/>
      <c r="AJ332" s="188"/>
      <c r="AK332" s="299"/>
      <c r="CQ332" s="374">
        <v>8</v>
      </c>
      <c r="CR332" s="359" t="s">
        <v>1334</v>
      </c>
      <c r="CS332" s="361">
        <v>4679259.13</v>
      </c>
      <c r="CT332" s="361">
        <v>0</v>
      </c>
      <c r="CU332" s="361">
        <v>0</v>
      </c>
      <c r="CV332" s="361">
        <v>963835.47</v>
      </c>
      <c r="CW332" s="361">
        <v>0</v>
      </c>
      <c r="CX332" s="361">
        <v>1208543.26</v>
      </c>
      <c r="CY332" s="361">
        <v>0</v>
      </c>
      <c r="CZ332" s="361">
        <v>1183838.5</v>
      </c>
      <c r="DA332" s="361">
        <v>424715.84</v>
      </c>
      <c r="DB332" s="361">
        <v>475059.26</v>
      </c>
      <c r="DC332" s="361">
        <v>423266.8</v>
      </c>
      <c r="DD332" s="361"/>
      <c r="DE332" s="361"/>
      <c r="DF332" s="361"/>
      <c r="DG332" s="378"/>
    </row>
    <row r="333" spans="2:111" ht="13">
      <c r="B333" s="294"/>
      <c r="C333" s="294"/>
      <c r="D333" s="294"/>
      <c r="E333" s="294"/>
      <c r="F333" s="294"/>
      <c r="G333" s="294"/>
      <c r="H333" s="294"/>
      <c r="P333" s="295"/>
      <c r="W333" s="295"/>
      <c r="AE333" s="188"/>
      <c r="AG333" s="188"/>
      <c r="AH333" s="188"/>
      <c r="AI333" s="188"/>
      <c r="AJ333" s="188"/>
      <c r="AK333" s="299"/>
      <c r="CQ333" s="374">
        <v>9</v>
      </c>
      <c r="CR333" s="359" t="s">
        <v>1278</v>
      </c>
      <c r="CS333" s="361">
        <v>4302172.67</v>
      </c>
      <c r="CT333" s="361">
        <v>0</v>
      </c>
      <c r="CU333" s="361">
        <v>0</v>
      </c>
      <c r="CV333" s="361">
        <v>86091.72</v>
      </c>
      <c r="CW333" s="361">
        <v>232287.98</v>
      </c>
      <c r="CX333" s="361">
        <v>345589.66</v>
      </c>
      <c r="CY333" s="361">
        <v>333185.46000000002</v>
      </c>
      <c r="CZ333" s="361">
        <v>728796.94</v>
      </c>
      <c r="DA333" s="361">
        <v>969139.76</v>
      </c>
      <c r="DB333" s="361">
        <v>988158.91</v>
      </c>
      <c r="DC333" s="361">
        <v>618922.23999999999</v>
      </c>
      <c r="DD333" s="361"/>
      <c r="DE333" s="361"/>
      <c r="DF333" s="361"/>
      <c r="DG333" s="378"/>
    </row>
    <row r="334" spans="2:111" ht="13">
      <c r="B334" s="294"/>
      <c r="C334" s="294"/>
      <c r="D334" s="294"/>
      <c r="E334" s="294"/>
      <c r="F334" s="294"/>
      <c r="G334" s="294"/>
      <c r="H334" s="294"/>
      <c r="P334" s="295"/>
      <c r="W334" s="295"/>
      <c r="AE334" s="188"/>
      <c r="AG334" s="188"/>
      <c r="AH334" s="188"/>
      <c r="AI334" s="188"/>
      <c r="AJ334" s="188"/>
      <c r="AK334" s="299"/>
      <c r="CQ334" s="374">
        <v>10</v>
      </c>
      <c r="CR334" s="359" t="s">
        <v>1262</v>
      </c>
      <c r="CS334" s="361">
        <v>4021525.43</v>
      </c>
      <c r="CT334" s="361">
        <v>245546.4</v>
      </c>
      <c r="CU334" s="361">
        <v>201691.8</v>
      </c>
      <c r="CV334" s="361">
        <v>704532.5</v>
      </c>
      <c r="CW334" s="361">
        <v>855161.41</v>
      </c>
      <c r="CX334" s="361">
        <v>237289.12</v>
      </c>
      <c r="CY334" s="361">
        <v>305072.26</v>
      </c>
      <c r="CZ334" s="361">
        <v>355001.34</v>
      </c>
      <c r="DA334" s="361">
        <v>301944.33</v>
      </c>
      <c r="DB334" s="361">
        <v>381213.55</v>
      </c>
      <c r="DC334" s="361">
        <v>434072.72</v>
      </c>
      <c r="DD334" s="361"/>
      <c r="DE334" s="361"/>
      <c r="DF334" s="361"/>
      <c r="DG334" s="378"/>
    </row>
    <row r="335" spans="2:111" ht="13">
      <c r="B335" s="294"/>
      <c r="C335" s="294"/>
      <c r="D335" s="294"/>
      <c r="E335" s="294"/>
      <c r="F335" s="294"/>
      <c r="G335" s="294"/>
      <c r="H335" s="294"/>
      <c r="P335" s="295"/>
      <c r="W335" s="295"/>
      <c r="AE335" s="188"/>
      <c r="AG335" s="188"/>
      <c r="AH335" s="188"/>
      <c r="AI335" s="188"/>
      <c r="AJ335" s="188"/>
      <c r="AK335" s="299"/>
      <c r="CQ335" s="374">
        <v>11</v>
      </c>
      <c r="CR335" s="359" t="s">
        <v>1279</v>
      </c>
      <c r="CS335" s="361">
        <v>3725658.97</v>
      </c>
      <c r="CT335" s="361">
        <v>814648.85</v>
      </c>
      <c r="CU335" s="361">
        <v>528185.54</v>
      </c>
      <c r="CV335" s="361">
        <v>271376.28000000003</v>
      </c>
      <c r="CW335" s="361">
        <v>0</v>
      </c>
      <c r="CX335" s="361">
        <v>391913.68</v>
      </c>
      <c r="CY335" s="361">
        <v>195956.84</v>
      </c>
      <c r="CZ335" s="361">
        <v>195956.84</v>
      </c>
      <c r="DA335" s="361">
        <v>401682.18</v>
      </c>
      <c r="DB335" s="361">
        <v>478863.2</v>
      </c>
      <c r="DC335" s="361">
        <v>447075.56</v>
      </c>
      <c r="DD335" s="361"/>
      <c r="DE335" s="361"/>
      <c r="DF335" s="361"/>
      <c r="DG335" s="378"/>
    </row>
    <row r="336" spans="2:111" ht="13">
      <c r="B336" s="294"/>
      <c r="C336" s="294"/>
      <c r="D336" s="294"/>
      <c r="E336" s="294"/>
      <c r="F336" s="294"/>
      <c r="G336" s="294"/>
      <c r="H336" s="294"/>
      <c r="P336" s="295"/>
      <c r="W336" s="295"/>
      <c r="AE336" s="188"/>
      <c r="AG336" s="188"/>
      <c r="AH336" s="188"/>
      <c r="AI336" s="188"/>
      <c r="AJ336" s="188"/>
      <c r="AK336" s="299"/>
      <c r="CQ336" s="374">
        <v>12</v>
      </c>
      <c r="CR336" s="359" t="s">
        <v>1363</v>
      </c>
      <c r="CS336" s="361">
        <v>3459910.12</v>
      </c>
      <c r="CT336" s="361">
        <v>728485.13</v>
      </c>
      <c r="CU336" s="361">
        <v>454109.12</v>
      </c>
      <c r="CV336" s="361">
        <v>241551.07</v>
      </c>
      <c r="CW336" s="361">
        <v>298492.28000000003</v>
      </c>
      <c r="CX336" s="361">
        <v>8027.35</v>
      </c>
      <c r="CY336" s="361">
        <v>477866.57</v>
      </c>
      <c r="CZ336" s="361">
        <v>401011.15</v>
      </c>
      <c r="DA336" s="361">
        <v>273796.2</v>
      </c>
      <c r="DB336" s="361">
        <v>361917.94</v>
      </c>
      <c r="DC336" s="361">
        <v>214653.32</v>
      </c>
      <c r="DD336" s="361"/>
      <c r="DE336" s="361"/>
      <c r="DF336" s="361"/>
      <c r="DG336" s="378"/>
    </row>
    <row r="337" spans="2:111" ht="13">
      <c r="B337" s="294"/>
      <c r="C337" s="294"/>
      <c r="D337" s="294"/>
      <c r="E337" s="294"/>
      <c r="F337" s="294"/>
      <c r="G337" s="294"/>
      <c r="H337" s="294"/>
      <c r="P337" s="295"/>
      <c r="W337" s="295"/>
      <c r="AE337" s="188"/>
      <c r="AG337" s="188"/>
      <c r="AH337" s="188"/>
      <c r="AI337" s="188"/>
      <c r="AJ337" s="188"/>
      <c r="AK337" s="299"/>
      <c r="CQ337" s="374">
        <v>13</v>
      </c>
      <c r="CR337" s="359" t="s">
        <v>1265</v>
      </c>
      <c r="CS337" s="361">
        <v>2730421.24</v>
      </c>
      <c r="CT337" s="361">
        <v>647082.79</v>
      </c>
      <c r="CU337" s="361">
        <v>575171.73</v>
      </c>
      <c r="CV337" s="361">
        <v>361936.83</v>
      </c>
      <c r="CW337" s="361">
        <v>212943.67</v>
      </c>
      <c r="CX337" s="361">
        <v>133977.32999999999</v>
      </c>
      <c r="CY337" s="361">
        <v>83737.899999999994</v>
      </c>
      <c r="CZ337" s="361">
        <v>81038.820000000007</v>
      </c>
      <c r="DA337" s="361">
        <v>0</v>
      </c>
      <c r="DB337" s="361">
        <v>507468.78</v>
      </c>
      <c r="DC337" s="361">
        <v>127063.39</v>
      </c>
      <c r="DD337" s="361"/>
      <c r="DE337" s="361"/>
      <c r="DF337" s="361"/>
      <c r="DG337" s="378"/>
    </row>
    <row r="338" spans="2:111" ht="13">
      <c r="B338" s="294"/>
      <c r="C338" s="294"/>
      <c r="D338" s="294"/>
      <c r="E338" s="294"/>
      <c r="F338" s="294"/>
      <c r="G338" s="294"/>
      <c r="H338" s="294"/>
      <c r="P338" s="295"/>
      <c r="W338" s="295"/>
      <c r="AE338" s="188"/>
      <c r="AG338" s="188"/>
      <c r="AH338" s="188"/>
      <c r="AI338" s="188"/>
      <c r="AJ338" s="188"/>
      <c r="AK338" s="299"/>
      <c r="CQ338" s="374">
        <v>14</v>
      </c>
      <c r="CR338" s="359" t="s">
        <v>1281</v>
      </c>
      <c r="CS338" s="361">
        <v>2449889.6</v>
      </c>
      <c r="CT338" s="361">
        <v>0</v>
      </c>
      <c r="CU338" s="361">
        <v>0</v>
      </c>
      <c r="CV338" s="361">
        <v>0</v>
      </c>
      <c r="CW338" s="361">
        <v>0</v>
      </c>
      <c r="CX338" s="361">
        <v>0</v>
      </c>
      <c r="CY338" s="361">
        <v>1610557</v>
      </c>
      <c r="CZ338" s="361">
        <v>557893.5</v>
      </c>
      <c r="DA338" s="361">
        <v>31057.599999999999</v>
      </c>
      <c r="DB338" s="361">
        <v>110307.31</v>
      </c>
      <c r="DC338" s="361">
        <v>140074.20000000001</v>
      </c>
      <c r="DD338" s="361"/>
      <c r="DE338" s="361"/>
      <c r="DF338" s="361"/>
      <c r="DG338" s="378"/>
    </row>
    <row r="339" spans="2:111" ht="13">
      <c r="B339" s="294"/>
      <c r="C339" s="294"/>
      <c r="D339" s="294"/>
      <c r="E339" s="294"/>
      <c r="F339" s="294"/>
      <c r="G339" s="294"/>
      <c r="H339" s="294"/>
      <c r="P339" s="295"/>
      <c r="W339" s="295"/>
      <c r="AE339" s="188"/>
      <c r="AG339" s="188"/>
      <c r="AH339" s="188"/>
      <c r="AI339" s="188"/>
      <c r="AJ339" s="188"/>
      <c r="AK339" s="299"/>
      <c r="CQ339" s="374">
        <v>15</v>
      </c>
      <c r="CR339" s="359" t="s">
        <v>1269</v>
      </c>
      <c r="CS339" s="361">
        <v>2094597.94</v>
      </c>
      <c r="CT339" s="361">
        <v>0</v>
      </c>
      <c r="CU339" s="361">
        <v>0</v>
      </c>
      <c r="CV339" s="352">
        <v>0</v>
      </c>
      <c r="CW339" s="361">
        <v>0</v>
      </c>
      <c r="CX339" s="361">
        <v>0</v>
      </c>
      <c r="CY339" s="361">
        <v>351662.91</v>
      </c>
      <c r="CZ339" s="361">
        <v>664351.42000000004</v>
      </c>
      <c r="DA339" s="361">
        <v>216855.91</v>
      </c>
      <c r="DB339" s="361">
        <v>747080.17</v>
      </c>
      <c r="DC339" s="361">
        <v>114647.53</v>
      </c>
      <c r="DD339" s="365"/>
      <c r="DE339" s="365"/>
      <c r="DF339" s="365"/>
      <c r="DG339" s="379"/>
    </row>
    <row r="340" spans="2:111" ht="13">
      <c r="B340" s="294"/>
      <c r="C340" s="294"/>
      <c r="D340" s="294"/>
      <c r="E340" s="294"/>
      <c r="F340" s="294"/>
      <c r="G340" s="294"/>
      <c r="H340" s="294"/>
      <c r="P340" s="295"/>
      <c r="W340" s="295"/>
      <c r="AE340" s="188"/>
      <c r="AG340" s="188"/>
      <c r="AH340" s="188"/>
      <c r="AI340" s="188"/>
      <c r="AJ340" s="188"/>
      <c r="AK340" s="299"/>
      <c r="CQ340" s="374">
        <v>16</v>
      </c>
      <c r="CR340" s="359" t="s">
        <v>1389</v>
      </c>
      <c r="CS340" s="361">
        <v>2029272.2</v>
      </c>
      <c r="CT340" s="361">
        <v>83587.53</v>
      </c>
      <c r="CU340" s="361">
        <v>197932.52</v>
      </c>
      <c r="CV340" s="352">
        <v>241551.07</v>
      </c>
      <c r="CW340" s="361">
        <v>133608.26999999999</v>
      </c>
      <c r="CX340" s="361">
        <v>0</v>
      </c>
      <c r="CY340" s="361">
        <v>381126.17</v>
      </c>
      <c r="CZ340" s="361">
        <v>69774.7</v>
      </c>
      <c r="DA340" s="361">
        <v>0</v>
      </c>
      <c r="DB340" s="361">
        <v>749576.98</v>
      </c>
      <c r="DC340" s="361">
        <v>172114.96</v>
      </c>
      <c r="DD340" s="361"/>
      <c r="DE340" s="361"/>
      <c r="DF340" s="361"/>
      <c r="DG340" s="378"/>
    </row>
    <row r="341" spans="2:111" ht="13">
      <c r="B341" s="294"/>
      <c r="C341" s="294"/>
      <c r="D341" s="294"/>
      <c r="E341" s="294"/>
      <c r="F341" s="294"/>
      <c r="G341" s="294"/>
      <c r="H341" s="294"/>
      <c r="P341" s="295"/>
      <c r="W341" s="295"/>
      <c r="AE341" s="188"/>
      <c r="AG341" s="188"/>
      <c r="AH341" s="188"/>
      <c r="AI341" s="188"/>
      <c r="AJ341" s="188"/>
      <c r="AK341" s="299"/>
      <c r="CQ341" s="374">
        <v>17</v>
      </c>
      <c r="CR341" s="325" t="s">
        <v>1277</v>
      </c>
      <c r="CS341" s="361">
        <v>1971547.7</v>
      </c>
      <c r="CT341" s="361">
        <v>507449.15</v>
      </c>
      <c r="CU341" s="361">
        <v>473424.85</v>
      </c>
      <c r="CV341" s="361">
        <v>18110.419999999998</v>
      </c>
      <c r="CW341" s="361">
        <v>130655.9</v>
      </c>
      <c r="CX341" s="361">
        <v>0</v>
      </c>
      <c r="CY341" s="361">
        <v>400353.51</v>
      </c>
      <c r="CZ341" s="361">
        <v>423593.02</v>
      </c>
      <c r="DA341" s="361">
        <v>17960.849999999999</v>
      </c>
      <c r="DB341" s="361">
        <v>0</v>
      </c>
      <c r="DC341" s="361">
        <v>0</v>
      </c>
      <c r="DD341" s="361"/>
      <c r="DE341" s="361"/>
      <c r="DF341" s="361"/>
      <c r="DG341" s="378"/>
    </row>
    <row r="342" spans="2:111" ht="13">
      <c r="B342" s="294"/>
      <c r="C342" s="294"/>
      <c r="D342" s="294"/>
      <c r="E342" s="294"/>
      <c r="F342" s="294"/>
      <c r="G342" s="294"/>
      <c r="H342" s="294"/>
      <c r="P342" s="295"/>
      <c r="W342" s="295"/>
      <c r="AE342" s="188"/>
      <c r="AG342" s="188"/>
      <c r="AH342" s="188"/>
      <c r="AI342" s="188"/>
      <c r="AJ342" s="188"/>
      <c r="AK342" s="299"/>
      <c r="CQ342" s="374">
        <v>18</v>
      </c>
      <c r="CR342" s="359" t="s">
        <v>1264</v>
      </c>
      <c r="CS342" s="361">
        <v>1778646.62</v>
      </c>
      <c r="CT342" s="361">
        <v>0</v>
      </c>
      <c r="CU342" s="361">
        <v>0</v>
      </c>
      <c r="CV342" s="352">
        <v>0</v>
      </c>
      <c r="CW342" s="361">
        <v>0</v>
      </c>
      <c r="CX342" s="361">
        <v>59098.58</v>
      </c>
      <c r="CY342" s="361">
        <v>0</v>
      </c>
      <c r="CZ342" s="361">
        <v>1009492.56</v>
      </c>
      <c r="DA342" s="361">
        <v>103205.75999999999</v>
      </c>
      <c r="DB342" s="361">
        <v>606849.71</v>
      </c>
      <c r="DC342" s="361">
        <v>0</v>
      </c>
      <c r="DD342" s="361"/>
      <c r="DE342" s="361"/>
      <c r="DF342" s="361"/>
      <c r="DG342" s="378"/>
    </row>
    <row r="343" spans="2:111" ht="13">
      <c r="B343" s="294"/>
      <c r="C343" s="294"/>
      <c r="D343" s="294"/>
      <c r="E343" s="294"/>
      <c r="F343" s="294"/>
      <c r="G343" s="294"/>
      <c r="H343" s="294"/>
      <c r="P343" s="295"/>
      <c r="W343" s="295"/>
      <c r="AE343" s="188"/>
      <c r="AG343" s="188"/>
      <c r="AH343" s="188"/>
      <c r="AI343" s="188"/>
      <c r="AJ343" s="188"/>
      <c r="AK343" s="299"/>
      <c r="CQ343" s="374">
        <v>19</v>
      </c>
      <c r="CR343" s="359" t="s">
        <v>1353</v>
      </c>
      <c r="CS343" s="361">
        <v>1691868.99</v>
      </c>
      <c r="CT343" s="361">
        <v>195568.78</v>
      </c>
      <c r="CU343" s="361">
        <v>0</v>
      </c>
      <c r="CV343" s="361">
        <v>262918.53000000003</v>
      </c>
      <c r="CW343" s="361">
        <v>0</v>
      </c>
      <c r="CX343" s="361">
        <v>242891.87</v>
      </c>
      <c r="CY343" s="361">
        <v>310325.99</v>
      </c>
      <c r="CZ343" s="361">
        <v>301073.78999999998</v>
      </c>
      <c r="DA343" s="361">
        <v>0</v>
      </c>
      <c r="DB343" s="361">
        <v>327641.89</v>
      </c>
      <c r="DC343" s="361">
        <v>51448.13</v>
      </c>
      <c r="DD343" s="361"/>
      <c r="DE343" s="361"/>
      <c r="DF343" s="361"/>
      <c r="DG343" s="378"/>
    </row>
    <row r="344" spans="2:111" ht="13">
      <c r="B344" s="294"/>
      <c r="C344" s="294"/>
      <c r="D344" s="294"/>
      <c r="E344" s="294"/>
      <c r="F344" s="294"/>
      <c r="G344" s="294"/>
      <c r="H344" s="294"/>
      <c r="P344" s="295"/>
      <c r="W344" s="295"/>
      <c r="AE344" s="188"/>
      <c r="AG344" s="188"/>
      <c r="AH344" s="188"/>
      <c r="AI344" s="188"/>
      <c r="AJ344" s="188"/>
      <c r="AK344" s="299"/>
      <c r="CQ344" s="374">
        <v>20</v>
      </c>
      <c r="CR344" s="325" t="s">
        <v>1280</v>
      </c>
      <c r="CS344" s="361">
        <v>1635565.12</v>
      </c>
      <c r="CT344" s="361">
        <v>0</v>
      </c>
      <c r="CU344" s="361">
        <v>1635565.12</v>
      </c>
      <c r="CV344" s="361">
        <v>0</v>
      </c>
      <c r="CW344" s="361">
        <v>0</v>
      </c>
      <c r="CX344" s="361">
        <v>0</v>
      </c>
      <c r="CY344" s="361">
        <v>0</v>
      </c>
      <c r="CZ344" s="361">
        <v>0</v>
      </c>
      <c r="DA344" s="361">
        <v>0</v>
      </c>
      <c r="DB344" s="361">
        <v>0</v>
      </c>
      <c r="DC344" s="361">
        <v>0</v>
      </c>
      <c r="DD344" s="361"/>
      <c r="DE344" s="361"/>
      <c r="DF344" s="361"/>
      <c r="DG344" s="378"/>
    </row>
    <row r="345" spans="2:111" ht="13">
      <c r="B345" s="294"/>
      <c r="C345" s="294"/>
      <c r="D345" s="294"/>
      <c r="E345" s="294"/>
      <c r="F345" s="294"/>
      <c r="G345" s="294"/>
      <c r="H345" s="294"/>
      <c r="P345" s="295"/>
      <c r="W345" s="295"/>
      <c r="AE345" s="188"/>
      <c r="AG345" s="188"/>
      <c r="AH345" s="188"/>
      <c r="AI345" s="188"/>
      <c r="AJ345" s="188"/>
      <c r="AK345" s="299"/>
      <c r="CQ345" s="374">
        <v>21</v>
      </c>
      <c r="CR345" s="359" t="s">
        <v>1335</v>
      </c>
      <c r="CS345" s="361">
        <v>1376012.11</v>
      </c>
      <c r="CT345" s="361">
        <v>69034.929999999993</v>
      </c>
      <c r="CU345" s="361">
        <v>60410.18</v>
      </c>
      <c r="CV345" s="361">
        <v>125188.71</v>
      </c>
      <c r="CW345" s="361">
        <v>200464.79</v>
      </c>
      <c r="CX345" s="361">
        <v>102649.47</v>
      </c>
      <c r="CY345" s="361">
        <v>336212.85</v>
      </c>
      <c r="CZ345" s="361">
        <v>139460.62</v>
      </c>
      <c r="DA345" s="361">
        <v>99252.33</v>
      </c>
      <c r="DB345" s="361">
        <v>169602.08</v>
      </c>
      <c r="DC345" s="361">
        <v>73736.149999999994</v>
      </c>
      <c r="DD345" s="361"/>
      <c r="DE345" s="361"/>
      <c r="DF345" s="361"/>
      <c r="DG345" s="378"/>
    </row>
    <row r="346" spans="2:111" ht="13">
      <c r="B346" s="294"/>
      <c r="C346" s="294"/>
      <c r="D346" s="294"/>
      <c r="E346" s="294"/>
      <c r="F346" s="294"/>
      <c r="G346" s="294"/>
      <c r="H346" s="294"/>
      <c r="P346" s="295"/>
      <c r="W346" s="295"/>
      <c r="AE346" s="188"/>
      <c r="AG346" s="188"/>
      <c r="AH346" s="188"/>
      <c r="AI346" s="188"/>
      <c r="AJ346" s="188"/>
      <c r="AK346" s="299"/>
      <c r="CQ346" s="374">
        <v>22</v>
      </c>
      <c r="CR346" s="359" t="s">
        <v>1320</v>
      </c>
      <c r="CS346" s="361">
        <v>1315081.6499999999</v>
      </c>
      <c r="CT346" s="361">
        <v>0</v>
      </c>
      <c r="CU346" s="361">
        <v>0</v>
      </c>
      <c r="CV346" s="361">
        <v>0</v>
      </c>
      <c r="CW346" s="361">
        <v>0</v>
      </c>
      <c r="CX346" s="361">
        <v>0</v>
      </c>
      <c r="CY346" s="361">
        <v>243913.3</v>
      </c>
      <c r="CZ346" s="361">
        <v>320433.27</v>
      </c>
      <c r="DA346" s="361">
        <v>231440.75</v>
      </c>
      <c r="DB346" s="361">
        <v>195978.88</v>
      </c>
      <c r="DC346" s="361">
        <v>323315.45</v>
      </c>
      <c r="DD346" s="361"/>
      <c r="DE346" s="361"/>
      <c r="DF346" s="361"/>
      <c r="DG346" s="378"/>
    </row>
    <row r="347" spans="2:111" ht="13">
      <c r="B347" s="294"/>
      <c r="C347" s="294"/>
      <c r="D347" s="294"/>
      <c r="E347" s="294"/>
      <c r="F347" s="294"/>
      <c r="G347" s="294"/>
      <c r="H347" s="294"/>
      <c r="P347" s="295"/>
      <c r="W347" s="295"/>
      <c r="AE347" s="188"/>
      <c r="AG347" s="188"/>
      <c r="AH347" s="188"/>
      <c r="AI347" s="188"/>
      <c r="AJ347" s="188"/>
      <c r="AK347" s="299"/>
      <c r="CQ347" s="374">
        <v>23</v>
      </c>
      <c r="CR347" s="359" t="s">
        <v>1276</v>
      </c>
      <c r="CS347" s="361">
        <v>1137698.05</v>
      </c>
      <c r="CT347" s="361">
        <v>436003.97</v>
      </c>
      <c r="CU347" s="361">
        <v>137262.01999999999</v>
      </c>
      <c r="CV347" s="361">
        <v>0</v>
      </c>
      <c r="CW347" s="361">
        <v>72327.13</v>
      </c>
      <c r="CX347" s="361">
        <v>0</v>
      </c>
      <c r="CY347" s="361">
        <v>92458.72</v>
      </c>
      <c r="CZ347" s="361">
        <v>142697.54</v>
      </c>
      <c r="DA347" s="361">
        <v>102542.11</v>
      </c>
      <c r="DB347" s="361">
        <v>154406.56</v>
      </c>
      <c r="DC347" s="361">
        <v>0</v>
      </c>
      <c r="DD347" s="361"/>
      <c r="DE347" s="361"/>
      <c r="DF347" s="361"/>
      <c r="DG347" s="378"/>
    </row>
    <row r="348" spans="2:111" ht="13">
      <c r="B348" s="294"/>
      <c r="C348" s="294"/>
      <c r="D348" s="294"/>
      <c r="E348" s="294"/>
      <c r="F348" s="294"/>
      <c r="G348" s="294"/>
      <c r="H348" s="294"/>
      <c r="P348" s="295"/>
      <c r="W348" s="295"/>
      <c r="AE348" s="188"/>
      <c r="AG348" s="188"/>
      <c r="AH348" s="188"/>
      <c r="AI348" s="188"/>
      <c r="AJ348" s="188"/>
      <c r="AK348" s="299"/>
      <c r="CQ348" s="374">
        <v>24</v>
      </c>
      <c r="CR348" s="359" t="s">
        <v>1331</v>
      </c>
      <c r="CS348" s="361">
        <v>1133565.07</v>
      </c>
      <c r="CT348" s="361">
        <v>233769.72</v>
      </c>
      <c r="CU348" s="361">
        <v>459953.73</v>
      </c>
      <c r="CV348" s="361">
        <v>0</v>
      </c>
      <c r="CW348" s="361">
        <v>439841.63</v>
      </c>
      <c r="CX348" s="361">
        <v>0</v>
      </c>
      <c r="CY348" s="361">
        <v>0</v>
      </c>
      <c r="CZ348" s="361">
        <v>0</v>
      </c>
      <c r="DA348" s="361">
        <v>0</v>
      </c>
      <c r="DB348" s="361">
        <v>0</v>
      </c>
      <c r="DC348" s="361">
        <v>0</v>
      </c>
      <c r="DD348" s="361"/>
      <c r="DE348" s="361"/>
      <c r="DF348" s="361"/>
      <c r="DG348" s="378"/>
    </row>
    <row r="349" spans="2:111" ht="13">
      <c r="B349" s="294"/>
      <c r="C349" s="294"/>
      <c r="D349" s="294"/>
      <c r="E349" s="294"/>
      <c r="F349" s="294"/>
      <c r="G349" s="294"/>
      <c r="H349" s="294"/>
      <c r="P349" s="295"/>
      <c r="W349" s="295"/>
      <c r="AE349" s="188"/>
      <c r="AG349" s="188"/>
      <c r="AH349" s="188"/>
      <c r="AI349" s="188"/>
      <c r="AJ349" s="188"/>
      <c r="AK349" s="299"/>
      <c r="CQ349" s="374">
        <v>25</v>
      </c>
      <c r="CR349" s="359" t="s">
        <v>1290</v>
      </c>
      <c r="CS349" s="361">
        <v>878728.92</v>
      </c>
      <c r="CT349" s="361">
        <v>19800</v>
      </c>
      <c r="CU349" s="361">
        <v>200072.27</v>
      </c>
      <c r="CV349" s="361">
        <v>12776.84</v>
      </c>
      <c r="CW349" s="361">
        <v>169661.3</v>
      </c>
      <c r="CX349" s="361">
        <v>311752.64</v>
      </c>
      <c r="CY349" s="361">
        <v>31057.599999999999</v>
      </c>
      <c r="CZ349" s="361">
        <v>133608.26999999999</v>
      </c>
      <c r="DA349" s="361">
        <v>0</v>
      </c>
      <c r="DB349" s="365">
        <v>0</v>
      </c>
      <c r="DC349" s="365">
        <v>0</v>
      </c>
      <c r="DD349" s="365"/>
      <c r="DE349" s="365"/>
      <c r="DF349" s="365"/>
      <c r="DG349" s="379"/>
    </row>
    <row r="350" spans="2:111" ht="13">
      <c r="B350" s="294"/>
      <c r="C350" s="294"/>
      <c r="D350" s="294"/>
      <c r="E350" s="294"/>
      <c r="F350" s="294"/>
      <c r="G350" s="294"/>
      <c r="H350" s="294"/>
      <c r="P350" s="295"/>
      <c r="W350" s="295"/>
      <c r="AE350" s="188"/>
      <c r="AG350" s="188"/>
      <c r="AH350" s="188"/>
      <c r="AI350" s="188"/>
      <c r="AJ350" s="188"/>
      <c r="AK350" s="299"/>
      <c r="CQ350" s="374">
        <v>26</v>
      </c>
      <c r="CR350" s="359" t="s">
        <v>1359</v>
      </c>
      <c r="CS350" s="361">
        <v>850826.8</v>
      </c>
      <c r="CT350" s="361">
        <v>0</v>
      </c>
      <c r="CU350" s="361">
        <v>170886.07</v>
      </c>
      <c r="CV350" s="361">
        <v>84830.65</v>
      </c>
      <c r="CW350" s="361">
        <v>139478.89000000001</v>
      </c>
      <c r="CX350" s="361">
        <v>90442.55</v>
      </c>
      <c r="CY350" s="361">
        <v>0</v>
      </c>
      <c r="CZ350" s="361">
        <v>44536.09</v>
      </c>
      <c r="DA350" s="361">
        <v>0</v>
      </c>
      <c r="DB350" s="361">
        <v>0</v>
      </c>
      <c r="DC350" s="361">
        <v>320652.55</v>
      </c>
      <c r="DD350" s="361"/>
      <c r="DE350" s="361"/>
      <c r="DF350" s="361"/>
      <c r="DG350" s="378"/>
    </row>
    <row r="351" spans="2:111" ht="13">
      <c r="B351" s="294"/>
      <c r="C351" s="294"/>
      <c r="D351" s="294"/>
      <c r="E351" s="294"/>
      <c r="F351" s="294"/>
      <c r="G351" s="294"/>
      <c r="H351" s="294"/>
      <c r="P351" s="295"/>
      <c r="W351" s="295"/>
      <c r="AE351" s="188"/>
      <c r="AG351" s="188"/>
      <c r="AH351" s="188"/>
      <c r="AI351" s="188"/>
      <c r="AJ351" s="188"/>
      <c r="AK351" s="299"/>
      <c r="CQ351" s="374">
        <v>27</v>
      </c>
      <c r="CR351" s="359" t="s">
        <v>1282</v>
      </c>
      <c r="CS351" s="361">
        <v>815180.48</v>
      </c>
      <c r="CT351" s="361">
        <v>0</v>
      </c>
      <c r="CU351" s="361">
        <v>0</v>
      </c>
      <c r="CV351" s="361">
        <v>0</v>
      </c>
      <c r="CW351" s="361">
        <v>0</v>
      </c>
      <c r="CX351" s="361">
        <v>0</v>
      </c>
      <c r="CY351" s="361">
        <v>0</v>
      </c>
      <c r="CZ351" s="361">
        <v>0</v>
      </c>
      <c r="DA351" s="361">
        <v>0</v>
      </c>
      <c r="DB351" s="361">
        <v>391913.68</v>
      </c>
      <c r="DC351" s="361">
        <v>423266.8</v>
      </c>
      <c r="DD351" s="361"/>
      <c r="DE351" s="361"/>
      <c r="DF351" s="361"/>
      <c r="DG351" s="378"/>
    </row>
    <row r="352" spans="2:111" ht="13">
      <c r="B352" s="294"/>
      <c r="C352" s="294"/>
      <c r="D352" s="294"/>
      <c r="E352" s="294"/>
      <c r="F352" s="294"/>
      <c r="G352" s="294"/>
      <c r="H352" s="294"/>
      <c r="P352" s="295"/>
      <c r="W352" s="295"/>
      <c r="AE352" s="188"/>
      <c r="AG352" s="188"/>
      <c r="AH352" s="188"/>
      <c r="AI352" s="188"/>
      <c r="AJ352" s="188"/>
      <c r="AK352" s="299"/>
      <c r="CQ352" s="374">
        <v>28</v>
      </c>
      <c r="CR352" s="359" t="s">
        <v>1336</v>
      </c>
      <c r="CS352" s="361">
        <v>814162.5</v>
      </c>
      <c r="CT352" s="361">
        <v>0</v>
      </c>
      <c r="CU352" s="361">
        <v>149234.91</v>
      </c>
      <c r="CV352" s="361">
        <v>0</v>
      </c>
      <c r="CW352" s="361">
        <v>194577.57</v>
      </c>
      <c r="CX352" s="361">
        <v>0</v>
      </c>
      <c r="CY352" s="361">
        <v>194558.4</v>
      </c>
      <c r="CZ352" s="361">
        <v>0</v>
      </c>
      <c r="DA352" s="361">
        <v>275791.61</v>
      </c>
      <c r="DB352" s="361">
        <v>0</v>
      </c>
      <c r="DC352" s="361">
        <v>0</v>
      </c>
      <c r="DD352" s="361"/>
      <c r="DE352" s="361"/>
      <c r="DF352" s="361"/>
      <c r="DG352" s="378"/>
    </row>
    <row r="353" spans="2:111" ht="13">
      <c r="B353" s="294"/>
      <c r="C353" s="294"/>
      <c r="D353" s="294"/>
      <c r="E353" s="294"/>
      <c r="F353" s="294"/>
      <c r="G353" s="294"/>
      <c r="H353" s="294"/>
      <c r="P353" s="295"/>
      <c r="W353" s="295"/>
      <c r="AE353" s="188"/>
      <c r="AG353" s="188"/>
      <c r="AH353" s="188"/>
      <c r="AI353" s="188"/>
      <c r="AJ353" s="188"/>
      <c r="AK353" s="299"/>
      <c r="CQ353" s="374">
        <v>29</v>
      </c>
      <c r="CR353" s="359" t="s">
        <v>1345</v>
      </c>
      <c r="CS353" s="361">
        <v>804188.73</v>
      </c>
      <c r="CT353" s="361">
        <v>34971.32</v>
      </c>
      <c r="CU353" s="361">
        <v>69942.64</v>
      </c>
      <c r="CV353" s="361">
        <v>74838.62</v>
      </c>
      <c r="CW353" s="361">
        <v>39290.269999999997</v>
      </c>
      <c r="CX353" s="361">
        <v>157161.1</v>
      </c>
      <c r="CY353" s="361">
        <v>117870.82</v>
      </c>
      <c r="CZ353" s="361">
        <v>78580.55</v>
      </c>
      <c r="DA353" s="361">
        <v>64942.6</v>
      </c>
      <c r="DB353" s="361">
        <v>166590.79</v>
      </c>
      <c r="DC353" s="365">
        <v>0</v>
      </c>
      <c r="DD353" s="365"/>
      <c r="DE353" s="365"/>
      <c r="DF353" s="365"/>
      <c r="DG353" s="379"/>
    </row>
    <row r="354" spans="2:111" ht="13">
      <c r="B354" s="294"/>
      <c r="C354" s="294"/>
      <c r="D354" s="294"/>
      <c r="E354" s="294"/>
      <c r="F354" s="294"/>
      <c r="G354" s="294"/>
      <c r="H354" s="294"/>
      <c r="P354" s="295"/>
      <c r="W354" s="295"/>
      <c r="AE354" s="188"/>
      <c r="AG354" s="188"/>
      <c r="AH354" s="188"/>
      <c r="AI354" s="188"/>
      <c r="AJ354" s="188"/>
      <c r="AK354" s="299"/>
      <c r="CQ354" s="374">
        <v>30</v>
      </c>
      <c r="CR354" s="359" t="s">
        <v>1303</v>
      </c>
      <c r="CS354" s="361">
        <v>524058.32</v>
      </c>
      <c r="CT354" s="361">
        <v>123601.98</v>
      </c>
      <c r="CU354" s="361">
        <v>15486.88</v>
      </c>
      <c r="CV354" s="361">
        <v>0</v>
      </c>
      <c r="CW354" s="361">
        <v>48154.3</v>
      </c>
      <c r="CX354" s="361">
        <v>177927.55</v>
      </c>
      <c r="CY354" s="361">
        <v>0</v>
      </c>
      <c r="CZ354" s="361">
        <v>136051.94</v>
      </c>
      <c r="DA354" s="361">
        <v>0</v>
      </c>
      <c r="DB354" s="361">
        <v>22835.66</v>
      </c>
      <c r="DC354" s="361">
        <v>0</v>
      </c>
      <c r="DD354" s="361"/>
      <c r="DE354" s="361"/>
      <c r="DF354" s="361"/>
      <c r="DG354" s="378"/>
    </row>
    <row r="355" spans="2:111" ht="13">
      <c r="B355" s="294"/>
      <c r="C355" s="294"/>
      <c r="D355" s="294"/>
      <c r="E355" s="294"/>
      <c r="F355" s="294"/>
      <c r="G355" s="294"/>
      <c r="H355" s="294"/>
      <c r="P355" s="295"/>
      <c r="W355" s="295"/>
      <c r="AE355" s="188"/>
      <c r="AG355" s="188"/>
      <c r="AH355" s="188"/>
      <c r="AI355" s="188"/>
      <c r="AJ355" s="188"/>
      <c r="AK355" s="299"/>
      <c r="CQ355" s="374">
        <v>31</v>
      </c>
      <c r="CR355" s="359" t="s">
        <v>1366</v>
      </c>
      <c r="CS355" s="361">
        <v>495859.06</v>
      </c>
      <c r="CT355" s="361">
        <v>210900.53</v>
      </c>
      <c r="CU355" s="361">
        <v>90857.16</v>
      </c>
      <c r="CV355" s="361">
        <v>0</v>
      </c>
      <c r="CW355" s="361">
        <v>42415.32</v>
      </c>
      <c r="CX355" s="361">
        <v>50562.01</v>
      </c>
      <c r="CY355" s="361">
        <v>0</v>
      </c>
      <c r="CZ355" s="361">
        <v>101124.03</v>
      </c>
      <c r="DA355" s="361">
        <v>0</v>
      </c>
      <c r="DB355" s="361">
        <v>0</v>
      </c>
      <c r="DC355" s="361">
        <v>0</v>
      </c>
      <c r="DD355" s="361"/>
      <c r="DE355" s="361"/>
      <c r="DF355" s="361"/>
      <c r="DG355" s="378"/>
    </row>
    <row r="356" spans="2:111" ht="13">
      <c r="B356" s="294"/>
      <c r="C356" s="294"/>
      <c r="D356" s="294"/>
      <c r="E356" s="294"/>
      <c r="F356" s="294"/>
      <c r="G356" s="294"/>
      <c r="H356" s="294"/>
      <c r="P356" s="295"/>
      <c r="W356" s="295"/>
      <c r="AE356" s="188"/>
      <c r="AG356" s="188"/>
      <c r="AH356" s="188"/>
      <c r="AI356" s="188"/>
      <c r="AJ356" s="188"/>
      <c r="AK356" s="299"/>
      <c r="CQ356" s="374">
        <v>32</v>
      </c>
      <c r="CR356" s="359" t="s">
        <v>1285</v>
      </c>
      <c r="CS356" s="361">
        <v>490899.59</v>
      </c>
      <c r="CT356" s="361">
        <v>150640.01999999999</v>
      </c>
      <c r="CU356" s="361">
        <v>179609.08</v>
      </c>
      <c r="CV356" s="361">
        <v>39485.21</v>
      </c>
      <c r="CW356" s="361">
        <v>90459.5</v>
      </c>
      <c r="CX356" s="361">
        <v>0</v>
      </c>
      <c r="CY356" s="361">
        <v>30705.78</v>
      </c>
      <c r="CZ356" s="361">
        <v>0</v>
      </c>
      <c r="DA356" s="361">
        <v>0</v>
      </c>
      <c r="DB356" s="361">
        <v>0</v>
      </c>
      <c r="DC356" s="361">
        <v>0</v>
      </c>
      <c r="DD356" s="361"/>
      <c r="DE356" s="361"/>
      <c r="DF356" s="361"/>
      <c r="DG356" s="378"/>
    </row>
    <row r="357" spans="2:111" ht="13">
      <c r="B357" s="294"/>
      <c r="C357" s="294"/>
      <c r="D357" s="294"/>
      <c r="E357" s="294"/>
      <c r="F357" s="294"/>
      <c r="G357" s="294"/>
      <c r="H357" s="294"/>
      <c r="P357" s="295"/>
      <c r="W357" s="295"/>
      <c r="AE357" s="188"/>
      <c r="AG357" s="188"/>
      <c r="AH357" s="188"/>
      <c r="AI357" s="188"/>
      <c r="AJ357" s="188"/>
      <c r="AK357" s="299"/>
      <c r="CQ357" s="374">
        <v>33</v>
      </c>
      <c r="CR357" s="359" t="s">
        <v>1296</v>
      </c>
      <c r="CS357" s="361">
        <v>246897</v>
      </c>
      <c r="CT357" s="361">
        <v>26771.09</v>
      </c>
      <c r="CU357" s="361">
        <v>12486.03</v>
      </c>
      <c r="CV357" s="365">
        <v>0</v>
      </c>
      <c r="CW357" s="361">
        <v>74801.440000000002</v>
      </c>
      <c r="CX357" s="361">
        <v>0</v>
      </c>
      <c r="CY357" s="361">
        <v>31057.599999999999</v>
      </c>
      <c r="CZ357" s="361">
        <v>30639.52</v>
      </c>
      <c r="DA357" s="365">
        <v>0</v>
      </c>
      <c r="DB357" s="361">
        <v>71141.31</v>
      </c>
      <c r="DC357" s="365">
        <v>0</v>
      </c>
      <c r="DD357" s="365"/>
      <c r="DE357" s="365"/>
      <c r="DF357" s="365"/>
      <c r="DG357" s="379"/>
    </row>
    <row r="358" spans="2:111" ht="13">
      <c r="B358" s="294"/>
      <c r="C358" s="294"/>
      <c r="D358" s="294"/>
      <c r="E358" s="294"/>
      <c r="F358" s="294"/>
      <c r="G358" s="294"/>
      <c r="H358" s="294"/>
      <c r="P358" s="295"/>
      <c r="W358" s="295"/>
      <c r="AE358" s="188"/>
      <c r="AG358" s="188"/>
      <c r="AH358" s="188"/>
      <c r="AI358" s="188"/>
      <c r="AJ358" s="188"/>
      <c r="AK358" s="299"/>
      <c r="CQ358" s="374">
        <v>34</v>
      </c>
      <c r="CR358" s="359" t="s">
        <v>1325</v>
      </c>
      <c r="CS358" s="361">
        <v>208086.43</v>
      </c>
      <c r="CT358" s="361">
        <v>0</v>
      </c>
      <c r="CU358" s="361">
        <v>64085.75</v>
      </c>
      <c r="CV358" s="361">
        <v>0</v>
      </c>
      <c r="CW358" s="361">
        <v>0</v>
      </c>
      <c r="CX358" s="361">
        <v>144000.68</v>
      </c>
      <c r="CY358" s="361">
        <v>0</v>
      </c>
      <c r="CZ358" s="361">
        <v>0</v>
      </c>
      <c r="DA358" s="361">
        <v>0</v>
      </c>
      <c r="DB358" s="361">
        <v>0</v>
      </c>
      <c r="DC358" s="361">
        <v>0</v>
      </c>
      <c r="DD358" s="361"/>
      <c r="DE358" s="361"/>
      <c r="DF358" s="361"/>
      <c r="DG358" s="378"/>
    </row>
    <row r="359" spans="2:111" ht="13">
      <c r="B359" s="294"/>
      <c r="C359" s="294"/>
      <c r="D359" s="294"/>
      <c r="E359" s="294"/>
      <c r="F359" s="294"/>
      <c r="G359" s="294"/>
      <c r="H359" s="294"/>
      <c r="P359" s="295"/>
      <c r="W359" s="295"/>
      <c r="AE359" s="188"/>
      <c r="AG359" s="188"/>
      <c r="AH359" s="188"/>
      <c r="AI359" s="188"/>
      <c r="AJ359" s="188"/>
      <c r="AK359" s="299"/>
      <c r="CQ359" s="374">
        <v>35</v>
      </c>
      <c r="CR359" s="359" t="s">
        <v>1272</v>
      </c>
      <c r="CS359" s="361">
        <v>207553.01</v>
      </c>
      <c r="CT359" s="361">
        <v>25435.52</v>
      </c>
      <c r="CU359" s="361">
        <v>87242.2</v>
      </c>
      <c r="CV359" s="361">
        <v>0</v>
      </c>
      <c r="CW359" s="361">
        <v>37721.69</v>
      </c>
      <c r="CX359" s="361">
        <v>0</v>
      </c>
      <c r="CY359" s="361">
        <v>0</v>
      </c>
      <c r="CZ359" s="361">
        <v>57153.599999999999</v>
      </c>
      <c r="DA359" s="361">
        <v>0</v>
      </c>
      <c r="DB359" s="361">
        <v>0</v>
      </c>
      <c r="DC359" s="361">
        <v>0</v>
      </c>
      <c r="DD359" s="361"/>
      <c r="DE359" s="361"/>
      <c r="DF359" s="361"/>
      <c r="DG359" s="378"/>
    </row>
    <row r="360" spans="2:111" ht="13">
      <c r="B360" s="294"/>
      <c r="C360" s="294"/>
      <c r="D360" s="294"/>
      <c r="E360" s="294"/>
      <c r="F360" s="294"/>
      <c r="G360" s="294"/>
      <c r="H360" s="294"/>
      <c r="P360" s="295"/>
      <c r="W360" s="295"/>
      <c r="AE360" s="188"/>
      <c r="AG360" s="188"/>
      <c r="AH360" s="188"/>
      <c r="AI360" s="188"/>
      <c r="AJ360" s="188"/>
      <c r="AK360" s="299"/>
      <c r="CQ360" s="374">
        <v>36</v>
      </c>
      <c r="CR360" s="359" t="s">
        <v>1275</v>
      </c>
      <c r="CS360" s="361">
        <v>187253</v>
      </c>
      <c r="CT360" s="361">
        <v>90013.119999999995</v>
      </c>
      <c r="CU360" s="361">
        <v>81642.259999999995</v>
      </c>
      <c r="CV360" s="361">
        <v>0</v>
      </c>
      <c r="CW360" s="361">
        <v>15597.62</v>
      </c>
      <c r="CX360" s="361">
        <v>0</v>
      </c>
      <c r="CY360" s="361">
        <v>0</v>
      </c>
      <c r="CZ360" s="361">
        <v>0</v>
      </c>
      <c r="DA360" s="361">
        <v>0</v>
      </c>
      <c r="DB360" s="361">
        <v>0</v>
      </c>
      <c r="DC360" s="361">
        <v>0</v>
      </c>
      <c r="DD360" s="361"/>
      <c r="DE360" s="361"/>
      <c r="DF360" s="361"/>
      <c r="DG360" s="378"/>
    </row>
    <row r="361" spans="2:111" ht="13">
      <c r="B361" s="294"/>
      <c r="C361" s="294"/>
      <c r="D361" s="294"/>
      <c r="E361" s="294"/>
      <c r="F361" s="294"/>
      <c r="G361" s="294"/>
      <c r="H361" s="294"/>
      <c r="P361" s="295"/>
      <c r="W361" s="295"/>
      <c r="AE361" s="188"/>
      <c r="AG361" s="188"/>
      <c r="AH361" s="188"/>
      <c r="AI361" s="188"/>
      <c r="AJ361" s="188"/>
      <c r="AK361" s="299"/>
      <c r="CQ361" s="374">
        <v>37</v>
      </c>
      <c r="CR361" s="359" t="s">
        <v>1348</v>
      </c>
      <c r="CS361" s="361">
        <v>185599.62</v>
      </c>
      <c r="CT361" s="361">
        <v>0</v>
      </c>
      <c r="CU361" s="361">
        <v>0</v>
      </c>
      <c r="CV361" s="361">
        <v>0</v>
      </c>
      <c r="CW361" s="361">
        <v>0</v>
      </c>
      <c r="CX361" s="361">
        <v>0</v>
      </c>
      <c r="CY361" s="361">
        <v>0</v>
      </c>
      <c r="CZ361" s="361">
        <v>185599.62</v>
      </c>
      <c r="DA361" s="361">
        <v>0</v>
      </c>
      <c r="DB361" s="361">
        <v>0</v>
      </c>
      <c r="DC361" s="361">
        <v>0</v>
      </c>
      <c r="DD361" s="361"/>
      <c r="DE361" s="361"/>
      <c r="DF361" s="361"/>
      <c r="DG361" s="378"/>
    </row>
    <row r="362" spans="2:111" ht="13">
      <c r="B362" s="294"/>
      <c r="C362" s="294"/>
      <c r="D362" s="294"/>
      <c r="E362" s="294"/>
      <c r="F362" s="294"/>
      <c r="G362" s="294"/>
      <c r="H362" s="294"/>
      <c r="P362" s="295"/>
      <c r="W362" s="295"/>
      <c r="AE362" s="188"/>
      <c r="AG362" s="188"/>
      <c r="AH362" s="188"/>
      <c r="AI362" s="188"/>
      <c r="AJ362" s="188"/>
      <c r="AK362" s="299"/>
      <c r="CQ362" s="374">
        <v>38</v>
      </c>
      <c r="CR362" s="359" t="s">
        <v>1287</v>
      </c>
      <c r="CS362" s="361">
        <v>151056.70000000001</v>
      </c>
      <c r="CT362" s="361">
        <v>6600</v>
      </c>
      <c r="CU362" s="361">
        <v>9582.6299999999992</v>
      </c>
      <c r="CV362" s="361">
        <v>0</v>
      </c>
      <c r="CW362" s="361">
        <v>25280.9</v>
      </c>
      <c r="CX362" s="361">
        <v>26544.95</v>
      </c>
      <c r="CY362" s="361">
        <v>0</v>
      </c>
      <c r="CZ362" s="361">
        <v>26544.95</v>
      </c>
      <c r="DA362" s="361">
        <v>26544.95</v>
      </c>
      <c r="DB362" s="361">
        <v>0</v>
      </c>
      <c r="DC362" s="361">
        <v>29958.32</v>
      </c>
      <c r="DD362" s="361"/>
      <c r="DE362" s="361"/>
      <c r="DF362" s="361"/>
      <c r="DG362" s="378"/>
    </row>
    <row r="363" spans="2:111" ht="13">
      <c r="B363" s="294"/>
      <c r="C363" s="294"/>
      <c r="D363" s="294"/>
      <c r="E363" s="294"/>
      <c r="F363" s="294"/>
      <c r="G363" s="294"/>
      <c r="H363" s="294"/>
      <c r="P363" s="295"/>
      <c r="W363" s="295"/>
      <c r="AE363" s="188"/>
      <c r="AG363" s="188"/>
      <c r="AH363" s="188"/>
      <c r="AI363" s="188"/>
      <c r="AJ363" s="188"/>
      <c r="AK363" s="299"/>
      <c r="CQ363" s="374">
        <v>39</v>
      </c>
      <c r="CR363" s="359" t="s">
        <v>1304</v>
      </c>
      <c r="CS363" s="361">
        <v>98726.33</v>
      </c>
      <c r="CT363" s="361">
        <v>98726.33</v>
      </c>
      <c r="CU363" s="361">
        <v>0</v>
      </c>
      <c r="CV363" s="361">
        <v>0</v>
      </c>
      <c r="CW363" s="361">
        <v>0</v>
      </c>
      <c r="CX363" s="361">
        <v>0</v>
      </c>
      <c r="CY363" s="361">
        <v>0</v>
      </c>
      <c r="CZ363" s="361">
        <v>0</v>
      </c>
      <c r="DA363" s="361">
        <v>0</v>
      </c>
      <c r="DB363" s="361">
        <v>0</v>
      </c>
      <c r="DC363" s="361">
        <v>0</v>
      </c>
      <c r="DD363" s="361"/>
      <c r="DE363" s="361"/>
      <c r="DF363" s="361"/>
      <c r="DG363" s="378"/>
    </row>
    <row r="364" spans="2:111" ht="13">
      <c r="B364" s="294"/>
      <c r="C364" s="294"/>
      <c r="D364" s="294"/>
      <c r="E364" s="294"/>
      <c r="F364" s="294"/>
      <c r="G364" s="294"/>
      <c r="H364" s="294"/>
      <c r="P364" s="295"/>
      <c r="W364" s="295"/>
      <c r="AE364" s="188"/>
      <c r="AG364" s="188"/>
      <c r="AH364" s="188"/>
      <c r="AI364" s="188"/>
      <c r="AJ364" s="188"/>
      <c r="AK364" s="299"/>
      <c r="CQ364" s="374">
        <v>40</v>
      </c>
      <c r="CR364" s="359" t="s">
        <v>1341</v>
      </c>
      <c r="CS364" s="361">
        <v>94626.46</v>
      </c>
      <c r="CT364" s="361">
        <v>0</v>
      </c>
      <c r="CU364" s="361">
        <v>0</v>
      </c>
      <c r="CV364" s="361">
        <v>0</v>
      </c>
      <c r="CW364" s="361">
        <v>27219.56</v>
      </c>
      <c r="CX364" s="361">
        <v>0</v>
      </c>
      <c r="CY364" s="361">
        <v>0</v>
      </c>
      <c r="CZ364" s="361">
        <v>0</v>
      </c>
      <c r="DA364" s="361">
        <v>67406.89</v>
      </c>
      <c r="DB364" s="361">
        <v>0</v>
      </c>
      <c r="DC364" s="361">
        <v>0</v>
      </c>
      <c r="DD364" s="361"/>
      <c r="DE364" s="361"/>
      <c r="DF364" s="361"/>
      <c r="DG364" s="378"/>
    </row>
    <row r="365" spans="2:111" ht="13">
      <c r="B365" s="294"/>
      <c r="C365" s="294"/>
      <c r="D365" s="294"/>
      <c r="E365" s="294"/>
      <c r="F365" s="294"/>
      <c r="G365" s="294"/>
      <c r="H365" s="294"/>
      <c r="P365" s="295"/>
      <c r="W365" s="295"/>
      <c r="AE365" s="188"/>
      <c r="AG365" s="188"/>
      <c r="AH365" s="188"/>
      <c r="AI365" s="188"/>
      <c r="AJ365" s="188"/>
      <c r="AK365" s="299"/>
      <c r="CQ365" s="374">
        <v>41</v>
      </c>
      <c r="CR365" s="359" t="s">
        <v>1319</v>
      </c>
      <c r="CS365" s="361">
        <v>62115.199999999997</v>
      </c>
      <c r="CT365" s="361">
        <v>0</v>
      </c>
      <c r="CU365" s="361">
        <v>0</v>
      </c>
      <c r="CV365" s="361">
        <v>0</v>
      </c>
      <c r="CW365" s="361">
        <v>0</v>
      </c>
      <c r="CX365" s="361">
        <v>31057.599999999999</v>
      </c>
      <c r="CY365" s="361">
        <v>0</v>
      </c>
      <c r="CZ365" s="361">
        <v>0</v>
      </c>
      <c r="DA365" s="361">
        <v>0</v>
      </c>
      <c r="DB365" s="361">
        <v>31057.599999999999</v>
      </c>
      <c r="DC365" s="361">
        <v>0</v>
      </c>
      <c r="DD365" s="361"/>
      <c r="DE365" s="361"/>
      <c r="DF365" s="361"/>
      <c r="DG365" s="378"/>
    </row>
    <row r="366" spans="2:111" ht="13">
      <c r="B366" s="294"/>
      <c r="C366" s="294"/>
      <c r="D366" s="294"/>
      <c r="E366" s="294"/>
      <c r="F366" s="294"/>
      <c r="G366" s="294"/>
      <c r="H366" s="294"/>
      <c r="P366" s="295"/>
      <c r="W366" s="295"/>
      <c r="AE366" s="188"/>
      <c r="AG366" s="188"/>
      <c r="AH366" s="188"/>
      <c r="AI366" s="188"/>
      <c r="AJ366" s="188"/>
      <c r="AK366" s="299"/>
      <c r="CQ366" s="374">
        <v>42</v>
      </c>
      <c r="CR366" s="359" t="s">
        <v>1370</v>
      </c>
      <c r="CS366" s="361">
        <v>47913.15</v>
      </c>
      <c r="CT366" s="361">
        <v>6388.42</v>
      </c>
      <c r="CU366" s="361">
        <v>15971.05</v>
      </c>
      <c r="CV366" s="361">
        <v>25553.68</v>
      </c>
      <c r="CW366" s="361">
        <v>0</v>
      </c>
      <c r="CX366" s="361">
        <v>0</v>
      </c>
      <c r="CY366" s="361">
        <v>0</v>
      </c>
      <c r="CZ366" s="361">
        <v>0</v>
      </c>
      <c r="DA366" s="361">
        <v>0</v>
      </c>
      <c r="DB366" s="361">
        <v>0</v>
      </c>
      <c r="DC366" s="361">
        <v>0</v>
      </c>
      <c r="DD366" s="361"/>
      <c r="DE366" s="361"/>
      <c r="DF366" s="361"/>
      <c r="DG366" s="378"/>
    </row>
    <row r="367" spans="2:111" ht="13">
      <c r="B367" s="294"/>
      <c r="C367" s="294"/>
      <c r="D367" s="294"/>
      <c r="E367" s="294"/>
      <c r="F367" s="294"/>
      <c r="G367" s="294"/>
      <c r="H367" s="294"/>
      <c r="P367" s="295"/>
      <c r="W367" s="295"/>
      <c r="AE367" s="188"/>
      <c r="AG367" s="188"/>
      <c r="AH367" s="188"/>
      <c r="AI367" s="188"/>
      <c r="AJ367" s="188"/>
      <c r="AK367" s="299"/>
      <c r="CQ367" s="374">
        <v>43</v>
      </c>
      <c r="CR367" s="359" t="s">
        <v>1338</v>
      </c>
      <c r="CS367" s="361">
        <v>12625.94</v>
      </c>
      <c r="CT367" s="361">
        <v>0</v>
      </c>
      <c r="CU367" s="361">
        <v>0</v>
      </c>
      <c r="CV367" s="365">
        <v>0</v>
      </c>
      <c r="CW367" s="361">
        <v>0</v>
      </c>
      <c r="CX367" s="365">
        <v>0</v>
      </c>
      <c r="CY367" s="365">
        <v>0</v>
      </c>
      <c r="CZ367" s="361">
        <v>12625.94</v>
      </c>
      <c r="DA367" s="365">
        <v>0</v>
      </c>
      <c r="DB367" s="365">
        <v>0</v>
      </c>
      <c r="DC367" s="365">
        <v>0</v>
      </c>
      <c r="DD367" s="365"/>
      <c r="DE367" s="365"/>
      <c r="DF367" s="365"/>
      <c r="DG367" s="379"/>
    </row>
    <row r="368" spans="2:111" ht="13">
      <c r="B368" s="294"/>
      <c r="C368" s="294"/>
      <c r="D368" s="294"/>
      <c r="E368" s="294"/>
      <c r="F368" s="294"/>
      <c r="G368" s="294"/>
      <c r="H368" s="294"/>
      <c r="P368" s="295"/>
      <c r="W368" s="295"/>
      <c r="AE368" s="188"/>
      <c r="AG368" s="188"/>
      <c r="AH368" s="188"/>
      <c r="AI368" s="188"/>
      <c r="AJ368" s="188"/>
      <c r="AK368" s="299"/>
      <c r="CQ368" s="374">
        <v>44</v>
      </c>
      <c r="CR368" s="359" t="s">
        <v>1288</v>
      </c>
      <c r="CS368" s="361">
        <v>6600</v>
      </c>
      <c r="CT368" s="361">
        <v>6600</v>
      </c>
      <c r="CU368" s="361">
        <v>0</v>
      </c>
      <c r="CV368" s="361">
        <v>0</v>
      </c>
      <c r="CW368" s="361">
        <v>0</v>
      </c>
      <c r="CX368" s="361">
        <v>0</v>
      </c>
      <c r="CY368" s="361">
        <v>0</v>
      </c>
      <c r="CZ368" s="361">
        <v>0</v>
      </c>
      <c r="DA368" s="361">
        <v>0</v>
      </c>
      <c r="DB368" s="361">
        <v>0</v>
      </c>
      <c r="DC368" s="361">
        <v>0</v>
      </c>
      <c r="DD368" s="361"/>
      <c r="DE368" s="361"/>
      <c r="DF368" s="361"/>
      <c r="DG368" s="378"/>
    </row>
    <row r="369" spans="2:111" ht="13">
      <c r="B369" s="294"/>
      <c r="C369" s="294"/>
      <c r="D369" s="294"/>
      <c r="E369" s="294"/>
      <c r="F369" s="294"/>
      <c r="G369" s="294"/>
      <c r="H369" s="294"/>
      <c r="P369" s="295"/>
      <c r="W369" s="295"/>
      <c r="AE369" s="188"/>
      <c r="AG369" s="188"/>
      <c r="AH369" s="188"/>
      <c r="AI369" s="188"/>
      <c r="AJ369" s="188"/>
      <c r="AK369" s="299"/>
      <c r="CQ369" s="374">
        <v>45</v>
      </c>
      <c r="CR369" s="359" t="s">
        <v>1301</v>
      </c>
      <c r="CS369" s="361">
        <v>6600</v>
      </c>
      <c r="CT369" s="361">
        <v>6600</v>
      </c>
      <c r="CU369" s="361">
        <v>0</v>
      </c>
      <c r="CV369" s="365">
        <v>0</v>
      </c>
      <c r="CW369" s="365">
        <v>0</v>
      </c>
      <c r="CX369" s="365">
        <v>0</v>
      </c>
      <c r="CY369" s="365">
        <v>0</v>
      </c>
      <c r="CZ369" s="365">
        <v>0</v>
      </c>
      <c r="DA369" s="365">
        <v>0</v>
      </c>
      <c r="DB369" s="365">
        <v>0</v>
      </c>
      <c r="DC369" s="365">
        <v>0</v>
      </c>
      <c r="DD369" s="365"/>
      <c r="DE369" s="365"/>
      <c r="DF369" s="365"/>
      <c r="DG369" s="379"/>
    </row>
    <row r="370" spans="2:111" ht="13">
      <c r="B370" s="294"/>
      <c r="C370" s="294"/>
      <c r="D370" s="294"/>
      <c r="E370" s="294"/>
      <c r="F370" s="294"/>
      <c r="G370" s="294"/>
      <c r="H370" s="294"/>
      <c r="P370" s="295"/>
      <c r="W370" s="295"/>
      <c r="AE370" s="188"/>
      <c r="AG370" s="188"/>
      <c r="AH370" s="188"/>
      <c r="AI370" s="188"/>
      <c r="AJ370" s="188"/>
      <c r="AK370" s="299"/>
      <c r="CQ370" s="374">
        <v>46</v>
      </c>
      <c r="CR370" s="359"/>
      <c r="CS370" s="361"/>
      <c r="CT370" s="361"/>
      <c r="CU370" s="361"/>
      <c r="CV370" s="361"/>
      <c r="CW370" s="361"/>
      <c r="CX370" s="361"/>
      <c r="CY370" s="361"/>
      <c r="CZ370" s="361"/>
      <c r="DA370" s="361"/>
      <c r="DB370" s="361"/>
      <c r="DC370" s="361"/>
      <c r="DD370" s="361"/>
      <c r="DE370" s="361"/>
      <c r="DF370" s="361"/>
      <c r="DG370" s="378"/>
    </row>
    <row r="371" spans="2:111" ht="13">
      <c r="B371" s="294"/>
      <c r="C371" s="294"/>
      <c r="D371" s="294"/>
      <c r="E371" s="294"/>
      <c r="F371" s="294"/>
      <c r="G371" s="294"/>
      <c r="H371" s="294"/>
      <c r="P371" s="295"/>
      <c r="W371" s="295"/>
      <c r="AE371" s="188"/>
      <c r="AG371" s="188"/>
      <c r="AH371" s="188"/>
      <c r="AI371" s="188"/>
      <c r="AJ371" s="188"/>
      <c r="AK371" s="299"/>
      <c r="CQ371" s="374">
        <v>47</v>
      </c>
      <c r="CR371" s="359"/>
      <c r="CS371" s="361"/>
      <c r="CT371" s="361"/>
      <c r="CU371" s="361"/>
      <c r="CV371" s="361"/>
      <c r="CW371" s="361"/>
      <c r="CX371" s="361"/>
      <c r="CY371" s="361"/>
      <c r="CZ371" s="361"/>
      <c r="DA371" s="361"/>
      <c r="DB371" s="361"/>
      <c r="DC371" s="361"/>
      <c r="DD371" s="361"/>
      <c r="DE371" s="361"/>
      <c r="DF371" s="361"/>
      <c r="DG371" s="378"/>
    </row>
    <row r="372" spans="2:111" ht="13">
      <c r="B372" s="294"/>
      <c r="C372" s="294"/>
      <c r="D372" s="294"/>
      <c r="E372" s="294"/>
      <c r="F372" s="294"/>
      <c r="G372" s="294"/>
      <c r="H372" s="294"/>
      <c r="P372" s="295"/>
      <c r="W372" s="295"/>
      <c r="AE372" s="188"/>
      <c r="AG372" s="188"/>
      <c r="AH372" s="188"/>
      <c r="AI372" s="188"/>
      <c r="AJ372" s="188"/>
      <c r="AK372" s="299"/>
      <c r="CQ372" s="374">
        <v>48</v>
      </c>
      <c r="CR372" s="359"/>
      <c r="CS372" s="361"/>
      <c r="CT372" s="361"/>
      <c r="CU372" s="361"/>
      <c r="CV372" s="361"/>
      <c r="CW372" s="361"/>
      <c r="CX372" s="361"/>
      <c r="CY372" s="361"/>
      <c r="CZ372" s="361"/>
      <c r="DA372" s="361"/>
      <c r="DB372" s="361"/>
      <c r="DC372" s="361"/>
      <c r="DD372" s="361"/>
      <c r="DE372" s="361"/>
      <c r="DF372" s="361"/>
      <c r="DG372" s="378"/>
    </row>
    <row r="373" spans="2:111" ht="13">
      <c r="B373" s="294"/>
      <c r="C373" s="294"/>
      <c r="D373" s="294"/>
      <c r="E373" s="294"/>
      <c r="F373" s="294"/>
      <c r="G373" s="294"/>
      <c r="H373" s="294"/>
      <c r="P373" s="295"/>
      <c r="W373" s="295"/>
      <c r="AE373" s="188"/>
      <c r="AG373" s="188"/>
      <c r="AH373" s="188"/>
      <c r="AI373" s="188"/>
      <c r="AJ373" s="188"/>
      <c r="AK373" s="299"/>
      <c r="CQ373" s="374">
        <v>49</v>
      </c>
      <c r="CR373" s="359"/>
      <c r="CS373" s="361"/>
      <c r="CT373" s="361"/>
      <c r="CU373" s="361"/>
      <c r="CV373" s="361"/>
      <c r="CW373" s="361"/>
      <c r="CX373" s="361"/>
      <c r="CY373" s="361"/>
      <c r="CZ373" s="361"/>
      <c r="DA373" s="361"/>
      <c r="DB373" s="361"/>
      <c r="DC373" s="361"/>
      <c r="DD373" s="361"/>
      <c r="DE373" s="361"/>
      <c r="DF373" s="361"/>
      <c r="DG373" s="378"/>
    </row>
    <row r="374" spans="2:111" ht="13">
      <c r="B374" s="294"/>
      <c r="C374" s="294"/>
      <c r="D374" s="294"/>
      <c r="E374" s="294"/>
      <c r="F374" s="294"/>
      <c r="G374" s="294"/>
      <c r="H374" s="294"/>
      <c r="P374" s="295"/>
      <c r="W374" s="295"/>
      <c r="AE374" s="188"/>
      <c r="AG374" s="188"/>
      <c r="AH374" s="188"/>
      <c r="AI374" s="188"/>
      <c r="AJ374" s="188"/>
      <c r="AK374" s="299"/>
      <c r="CQ374" s="374">
        <v>50</v>
      </c>
      <c r="CR374" s="359"/>
      <c r="CS374" s="361"/>
      <c r="CT374" s="361"/>
      <c r="CU374" s="361"/>
      <c r="CV374" s="361"/>
      <c r="CW374" s="361"/>
      <c r="CX374" s="361"/>
      <c r="CY374" s="361"/>
      <c r="CZ374" s="361"/>
      <c r="DA374" s="361"/>
      <c r="DB374" s="361"/>
      <c r="DC374" s="361"/>
      <c r="DD374" s="361"/>
      <c r="DE374" s="361"/>
      <c r="DF374" s="361"/>
      <c r="DG374" s="378"/>
    </row>
    <row r="375" spans="2:111" ht="13">
      <c r="B375" s="294"/>
      <c r="C375" s="294"/>
      <c r="D375" s="294"/>
      <c r="E375" s="294"/>
      <c r="F375" s="294"/>
      <c r="G375" s="294"/>
      <c r="H375" s="294"/>
      <c r="P375" s="295"/>
      <c r="W375" s="295"/>
      <c r="AE375" s="188"/>
      <c r="AG375" s="188"/>
      <c r="AH375" s="188"/>
      <c r="AI375" s="188"/>
      <c r="AJ375" s="188"/>
      <c r="AK375" s="299"/>
      <c r="CQ375" s="374">
        <v>51</v>
      </c>
      <c r="CR375" s="359"/>
      <c r="CS375" s="361"/>
      <c r="CT375" s="361"/>
      <c r="CU375" s="361"/>
      <c r="CV375" s="365"/>
      <c r="CW375" s="365"/>
      <c r="CX375" s="365"/>
      <c r="CY375" s="365"/>
      <c r="CZ375" s="365"/>
      <c r="DA375" s="365"/>
      <c r="DB375" s="365"/>
      <c r="DC375" s="365"/>
      <c r="DD375" s="365"/>
      <c r="DE375" s="365"/>
      <c r="DF375" s="365"/>
      <c r="DG375" s="379"/>
    </row>
    <row r="376" spans="2:111" ht="13">
      <c r="B376" s="294"/>
      <c r="C376" s="294"/>
      <c r="D376" s="294"/>
      <c r="E376" s="294"/>
      <c r="F376" s="294"/>
      <c r="G376" s="294"/>
      <c r="H376" s="294"/>
      <c r="P376" s="295"/>
      <c r="W376" s="295"/>
      <c r="AE376" s="188"/>
      <c r="AG376" s="188"/>
      <c r="AH376" s="188"/>
      <c r="AI376" s="188"/>
      <c r="AJ376" s="188"/>
      <c r="AK376" s="299"/>
      <c r="CQ376" s="374">
        <v>52</v>
      </c>
      <c r="CR376" s="359"/>
      <c r="CS376" s="361"/>
      <c r="CT376" s="361"/>
      <c r="CU376" s="361"/>
      <c r="CV376" s="361"/>
      <c r="CW376" s="361"/>
      <c r="CX376" s="361"/>
      <c r="CY376" s="361"/>
      <c r="CZ376" s="361"/>
      <c r="DA376" s="361"/>
      <c r="DB376" s="361"/>
      <c r="DC376" s="361"/>
      <c r="DD376" s="361"/>
      <c r="DE376" s="361"/>
      <c r="DF376" s="361"/>
      <c r="DG376" s="378"/>
    </row>
    <row r="377" spans="2:111" ht="13">
      <c r="B377" s="294"/>
      <c r="C377" s="294"/>
      <c r="D377" s="294"/>
      <c r="E377" s="294"/>
      <c r="F377" s="294"/>
      <c r="G377" s="294"/>
      <c r="H377" s="294"/>
      <c r="P377" s="295"/>
      <c r="W377" s="295"/>
      <c r="AE377" s="188"/>
      <c r="AG377" s="188"/>
      <c r="AH377" s="188"/>
      <c r="AI377" s="188"/>
      <c r="AJ377" s="188"/>
      <c r="AK377" s="299"/>
      <c r="CQ377" s="374">
        <v>53</v>
      </c>
      <c r="CR377" s="359"/>
      <c r="CS377" s="361"/>
      <c r="CT377" s="361"/>
      <c r="CU377" s="361"/>
      <c r="CV377" s="361"/>
      <c r="CW377" s="361"/>
      <c r="CX377" s="361"/>
      <c r="CY377" s="361"/>
      <c r="CZ377" s="361"/>
      <c r="DA377" s="361"/>
      <c r="DB377" s="361"/>
      <c r="DC377" s="361"/>
      <c r="DD377" s="361"/>
      <c r="DE377" s="361"/>
      <c r="DF377" s="361"/>
      <c r="DG377" s="378"/>
    </row>
    <row r="378" spans="2:111" ht="13">
      <c r="B378" s="294"/>
      <c r="C378" s="294"/>
      <c r="D378" s="294"/>
      <c r="E378" s="294"/>
      <c r="F378" s="294"/>
      <c r="G378" s="294"/>
      <c r="H378" s="294"/>
      <c r="P378" s="295"/>
      <c r="W378" s="295"/>
      <c r="AE378" s="188"/>
      <c r="AG378" s="188"/>
      <c r="AH378" s="188"/>
      <c r="AI378" s="188"/>
      <c r="AJ378" s="188"/>
      <c r="AK378" s="299"/>
      <c r="CQ378" s="374">
        <v>54</v>
      </c>
      <c r="CR378" s="359"/>
      <c r="CS378" s="361"/>
      <c r="CT378" s="361"/>
      <c r="CU378" s="361"/>
      <c r="CV378" s="361"/>
      <c r="CW378" s="361"/>
      <c r="CX378" s="361"/>
      <c r="CY378" s="361"/>
      <c r="CZ378" s="361"/>
      <c r="DA378" s="361"/>
      <c r="DB378" s="361"/>
      <c r="DC378" s="361"/>
      <c r="DD378" s="361"/>
      <c r="DE378" s="361"/>
      <c r="DF378" s="361"/>
      <c r="DG378" s="378"/>
    </row>
    <row r="379" spans="2:111" ht="13">
      <c r="B379" s="294"/>
      <c r="C379" s="294"/>
      <c r="D379" s="294"/>
      <c r="E379" s="294"/>
      <c r="F379" s="294"/>
      <c r="G379" s="294"/>
      <c r="H379" s="294"/>
      <c r="P379" s="295"/>
      <c r="W379" s="295"/>
      <c r="AE379" s="188"/>
      <c r="AG379" s="188"/>
      <c r="AH379" s="188"/>
      <c r="AI379" s="188"/>
      <c r="AJ379" s="188"/>
      <c r="AK379" s="299"/>
      <c r="CQ379" s="374">
        <v>55</v>
      </c>
      <c r="CR379" s="359"/>
      <c r="CS379" s="361"/>
      <c r="CT379" s="361"/>
      <c r="CU379" s="361"/>
      <c r="CV379" s="365"/>
      <c r="CW379" s="365"/>
      <c r="CX379" s="365"/>
      <c r="CY379" s="365"/>
      <c r="CZ379" s="365"/>
      <c r="DA379" s="365"/>
      <c r="DB379" s="365"/>
      <c r="DC379" s="365"/>
      <c r="DD379" s="365"/>
      <c r="DE379" s="365"/>
      <c r="DF379" s="365"/>
      <c r="DG379" s="379"/>
    </row>
    <row r="380" spans="2:111" ht="13">
      <c r="B380" s="294"/>
      <c r="C380" s="294"/>
      <c r="D380" s="294"/>
      <c r="E380" s="294"/>
      <c r="F380" s="294"/>
      <c r="G380" s="294"/>
      <c r="H380" s="294"/>
      <c r="P380" s="295"/>
      <c r="W380" s="295"/>
      <c r="AE380" s="188"/>
      <c r="AG380" s="188"/>
      <c r="AH380" s="188"/>
      <c r="AI380" s="188"/>
      <c r="AJ380" s="188"/>
      <c r="AK380" s="299"/>
      <c r="CQ380" s="374">
        <v>56</v>
      </c>
      <c r="CR380" s="359"/>
      <c r="CS380" s="361"/>
      <c r="CT380" s="361"/>
      <c r="CU380" s="361"/>
      <c r="CV380" s="365"/>
      <c r="CW380" s="365"/>
      <c r="CX380" s="365"/>
      <c r="CY380" s="365"/>
      <c r="CZ380" s="365"/>
      <c r="DA380" s="365"/>
      <c r="DB380" s="365"/>
      <c r="DC380" s="365"/>
      <c r="DD380" s="365"/>
      <c r="DE380" s="365"/>
      <c r="DF380" s="365"/>
      <c r="DG380" s="379"/>
    </row>
    <row r="381" spans="2:111" ht="13">
      <c r="B381" s="294"/>
      <c r="C381" s="294"/>
      <c r="D381" s="294"/>
      <c r="E381" s="294"/>
      <c r="F381" s="294"/>
      <c r="G381" s="294"/>
      <c r="H381" s="294"/>
      <c r="P381" s="295"/>
      <c r="W381" s="295"/>
      <c r="AE381" s="188"/>
      <c r="AG381" s="188"/>
      <c r="AH381" s="188"/>
      <c r="AI381" s="188"/>
      <c r="AJ381" s="188"/>
      <c r="AK381" s="299"/>
      <c r="CQ381" s="374">
        <v>57</v>
      </c>
      <c r="CR381" s="359"/>
      <c r="CS381" s="361"/>
      <c r="CT381" s="361"/>
      <c r="CU381" s="361"/>
      <c r="CV381" s="361"/>
      <c r="CW381" s="361"/>
      <c r="CX381" s="361"/>
      <c r="CY381" s="361"/>
      <c r="CZ381" s="361"/>
      <c r="DA381" s="361"/>
      <c r="DB381" s="361"/>
      <c r="DC381" s="361"/>
      <c r="DD381" s="361"/>
      <c r="DE381" s="361"/>
      <c r="DF381" s="361"/>
      <c r="DG381" s="378"/>
    </row>
    <row r="382" spans="2:111" ht="13">
      <c r="B382" s="294"/>
      <c r="C382" s="294"/>
      <c r="D382" s="294"/>
      <c r="E382" s="294"/>
      <c r="F382" s="294"/>
      <c r="G382" s="294"/>
      <c r="H382" s="294"/>
      <c r="P382" s="295"/>
      <c r="W382" s="295"/>
      <c r="AE382" s="188"/>
      <c r="AG382" s="188"/>
      <c r="AH382" s="188"/>
      <c r="AI382" s="188"/>
      <c r="AJ382" s="188"/>
      <c r="AK382" s="299"/>
      <c r="CQ382" s="374">
        <v>58</v>
      </c>
      <c r="CR382" s="359"/>
      <c r="CS382" s="361"/>
      <c r="CT382" s="361"/>
      <c r="CU382" s="361"/>
      <c r="CV382" s="361"/>
      <c r="CW382" s="361"/>
      <c r="CX382" s="361"/>
      <c r="CY382" s="361"/>
      <c r="CZ382" s="361"/>
      <c r="DA382" s="361"/>
      <c r="DB382" s="361"/>
      <c r="DC382" s="361"/>
      <c r="DD382" s="361"/>
      <c r="DE382" s="361"/>
      <c r="DF382" s="361"/>
      <c r="DG382" s="378"/>
    </row>
    <row r="383" spans="2:111" ht="13">
      <c r="B383" s="294"/>
      <c r="C383" s="294"/>
      <c r="D383" s="294"/>
      <c r="E383" s="294"/>
      <c r="F383" s="294"/>
      <c r="G383" s="294"/>
      <c r="H383" s="294"/>
      <c r="P383" s="295"/>
      <c r="W383" s="295"/>
      <c r="AE383" s="188"/>
      <c r="AG383" s="188"/>
      <c r="AH383" s="188"/>
      <c r="AI383" s="188"/>
      <c r="AJ383" s="188"/>
      <c r="AK383" s="299"/>
      <c r="CQ383" s="374">
        <v>59</v>
      </c>
      <c r="CR383" s="359"/>
      <c r="CS383" s="361"/>
      <c r="CT383" s="361"/>
      <c r="CU383" s="361"/>
      <c r="CV383" s="361"/>
      <c r="CW383" s="361"/>
      <c r="CX383" s="361"/>
      <c r="CY383" s="361"/>
      <c r="CZ383" s="361"/>
      <c r="DA383" s="361"/>
      <c r="DB383" s="361"/>
      <c r="DC383" s="361"/>
      <c r="DD383" s="361"/>
      <c r="DE383" s="361"/>
      <c r="DF383" s="361"/>
      <c r="DG383" s="378"/>
    </row>
    <row r="384" spans="2:111" ht="13">
      <c r="B384" s="294"/>
      <c r="C384" s="294"/>
      <c r="D384" s="294"/>
      <c r="E384" s="294"/>
      <c r="F384" s="294"/>
      <c r="G384" s="294"/>
      <c r="H384" s="294"/>
      <c r="P384" s="295"/>
      <c r="W384" s="295"/>
      <c r="AE384" s="188"/>
      <c r="AG384" s="188"/>
      <c r="AH384" s="188"/>
      <c r="AI384" s="188"/>
      <c r="AJ384" s="188"/>
      <c r="AK384" s="299"/>
      <c r="CQ384" s="374">
        <v>60</v>
      </c>
      <c r="CR384" s="359"/>
      <c r="CS384" s="361"/>
      <c r="CT384" s="361"/>
      <c r="CU384" s="361"/>
      <c r="CV384" s="361"/>
      <c r="CW384" s="361"/>
      <c r="CX384" s="361"/>
      <c r="CY384" s="361"/>
      <c r="CZ384" s="361"/>
      <c r="DA384" s="361"/>
      <c r="DB384" s="361"/>
      <c r="DC384" s="361"/>
      <c r="DD384" s="361"/>
      <c r="DE384" s="361"/>
      <c r="DF384" s="361"/>
      <c r="DG384" s="378"/>
    </row>
    <row r="385" spans="2:111" ht="13">
      <c r="B385" s="294"/>
      <c r="C385" s="294"/>
      <c r="D385" s="294"/>
      <c r="E385" s="294"/>
      <c r="F385" s="294"/>
      <c r="G385" s="294"/>
      <c r="H385" s="294"/>
      <c r="P385" s="295"/>
      <c r="W385" s="295"/>
      <c r="AE385" s="188"/>
      <c r="AG385" s="188"/>
      <c r="AH385" s="188"/>
      <c r="AI385" s="188"/>
      <c r="AJ385" s="188"/>
      <c r="AK385" s="299"/>
      <c r="CQ385" s="374">
        <v>61</v>
      </c>
      <c r="CR385" s="359"/>
      <c r="CS385" s="361"/>
      <c r="CT385" s="361"/>
      <c r="CU385" s="361"/>
      <c r="CV385" s="361"/>
      <c r="CW385" s="361"/>
      <c r="CX385" s="361"/>
      <c r="CY385" s="361"/>
      <c r="CZ385" s="361"/>
      <c r="DA385" s="361"/>
      <c r="DB385" s="361"/>
      <c r="DC385" s="361"/>
      <c r="DD385" s="361"/>
      <c r="DE385" s="361"/>
      <c r="DF385" s="361"/>
      <c r="DG385" s="378"/>
    </row>
    <row r="386" spans="2:111" ht="13">
      <c r="B386" s="294"/>
      <c r="C386" s="294"/>
      <c r="D386" s="294"/>
      <c r="E386" s="294"/>
      <c r="F386" s="294"/>
      <c r="G386" s="294"/>
      <c r="H386" s="294"/>
      <c r="P386" s="295"/>
      <c r="W386" s="295"/>
      <c r="AE386" s="188"/>
      <c r="AG386" s="188"/>
      <c r="AH386" s="188"/>
      <c r="AI386" s="188"/>
      <c r="AJ386" s="188"/>
      <c r="AK386" s="299"/>
      <c r="CQ386" s="374">
        <v>62</v>
      </c>
      <c r="CR386" s="359"/>
      <c r="CS386" s="361"/>
      <c r="CT386" s="361"/>
      <c r="CU386" s="361"/>
      <c r="CV386" s="361"/>
      <c r="CW386" s="361"/>
      <c r="CX386" s="361"/>
      <c r="CY386" s="361"/>
      <c r="CZ386" s="361"/>
      <c r="DA386" s="361"/>
      <c r="DB386" s="361"/>
      <c r="DC386" s="361"/>
      <c r="DD386" s="361"/>
      <c r="DE386" s="361"/>
      <c r="DF386" s="361"/>
      <c r="DG386" s="378"/>
    </row>
    <row r="387" spans="2:111" ht="13">
      <c r="B387" s="294"/>
      <c r="C387" s="294"/>
      <c r="D387" s="294"/>
      <c r="E387" s="294"/>
      <c r="F387" s="294"/>
      <c r="G387" s="294"/>
      <c r="H387" s="294"/>
      <c r="P387" s="295"/>
      <c r="W387" s="295"/>
      <c r="AE387" s="188"/>
      <c r="AG387" s="188"/>
      <c r="AH387" s="188"/>
      <c r="AI387" s="188"/>
      <c r="AJ387" s="188"/>
      <c r="AK387" s="299"/>
      <c r="CQ387" s="374">
        <v>63</v>
      </c>
      <c r="CR387" s="359"/>
      <c r="CS387" s="361"/>
      <c r="CT387" s="361"/>
      <c r="CU387" s="361"/>
      <c r="CV387" s="361"/>
      <c r="CW387" s="361"/>
      <c r="CX387" s="361"/>
      <c r="CY387" s="361"/>
      <c r="CZ387" s="361"/>
      <c r="DA387" s="361"/>
      <c r="DB387" s="361"/>
      <c r="DC387" s="361"/>
      <c r="DD387" s="361"/>
      <c r="DE387" s="361"/>
      <c r="DF387" s="361"/>
      <c r="DG387" s="378"/>
    </row>
    <row r="388" spans="2:111" ht="13">
      <c r="B388" s="294"/>
      <c r="C388" s="294"/>
      <c r="D388" s="294"/>
      <c r="E388" s="294"/>
      <c r="F388" s="294"/>
      <c r="G388" s="294"/>
      <c r="H388" s="294"/>
      <c r="P388" s="295"/>
      <c r="W388" s="295"/>
      <c r="AE388" s="188"/>
      <c r="AG388" s="188"/>
      <c r="AH388" s="188"/>
      <c r="AI388" s="188"/>
      <c r="AJ388" s="188"/>
      <c r="AK388" s="299"/>
      <c r="CQ388" s="374">
        <v>64</v>
      </c>
      <c r="CR388" s="359"/>
      <c r="CS388" s="361"/>
      <c r="CT388" s="361"/>
      <c r="CU388" s="365"/>
      <c r="CV388" s="365"/>
      <c r="CW388" s="365"/>
      <c r="CX388" s="365"/>
      <c r="CY388" s="365"/>
      <c r="CZ388" s="365"/>
      <c r="DA388" s="365"/>
      <c r="DB388" s="365"/>
      <c r="DC388" s="365"/>
      <c r="DD388" s="365"/>
      <c r="DE388" s="365"/>
      <c r="DF388" s="365"/>
      <c r="DG388" s="379"/>
    </row>
    <row r="389" spans="2:111" ht="13">
      <c r="B389" s="294"/>
      <c r="C389" s="294"/>
      <c r="D389" s="294"/>
      <c r="E389" s="294"/>
      <c r="F389" s="294"/>
      <c r="G389" s="294"/>
      <c r="H389" s="294"/>
      <c r="P389" s="295"/>
      <c r="W389" s="295"/>
      <c r="AE389" s="188"/>
      <c r="AG389" s="188"/>
      <c r="AH389" s="188"/>
      <c r="AI389" s="188"/>
      <c r="AJ389" s="188"/>
      <c r="AK389" s="299"/>
      <c r="CQ389" s="374">
        <v>65</v>
      </c>
      <c r="CR389" s="359"/>
      <c r="CS389" s="361"/>
      <c r="CT389" s="361"/>
      <c r="CU389" s="361"/>
      <c r="CV389" s="361"/>
      <c r="CW389" s="361"/>
      <c r="CX389" s="361"/>
      <c r="CY389" s="361"/>
      <c r="CZ389" s="361"/>
      <c r="DA389" s="361"/>
      <c r="DB389" s="361"/>
      <c r="DC389" s="361"/>
      <c r="DD389" s="361"/>
      <c r="DE389" s="361"/>
      <c r="DF389" s="361"/>
      <c r="DG389" s="378"/>
    </row>
    <row r="390" spans="2:111" ht="13">
      <c r="B390" s="294"/>
      <c r="C390" s="294"/>
      <c r="D390" s="294"/>
      <c r="E390" s="294"/>
      <c r="F390" s="294"/>
      <c r="G390" s="294"/>
      <c r="H390" s="294"/>
      <c r="P390" s="295"/>
      <c r="W390" s="295"/>
      <c r="AE390" s="188"/>
      <c r="AG390" s="188"/>
      <c r="AH390" s="188"/>
      <c r="AI390" s="188"/>
      <c r="AJ390" s="188"/>
      <c r="AK390" s="299"/>
      <c r="CQ390" s="374">
        <v>66</v>
      </c>
      <c r="CR390" s="359"/>
      <c r="CS390" s="361"/>
      <c r="CT390" s="361"/>
      <c r="CU390" s="361"/>
      <c r="CV390" s="361"/>
      <c r="CW390" s="361"/>
      <c r="CX390" s="361"/>
      <c r="CY390" s="361"/>
      <c r="CZ390" s="361"/>
      <c r="DA390" s="361"/>
      <c r="DB390" s="361"/>
      <c r="DC390" s="361"/>
      <c r="DD390" s="361"/>
      <c r="DE390" s="361"/>
      <c r="DF390" s="361"/>
      <c r="DG390" s="378"/>
    </row>
    <row r="391" spans="2:111" ht="13">
      <c r="B391" s="294"/>
      <c r="C391" s="294"/>
      <c r="D391" s="294"/>
      <c r="E391" s="294"/>
      <c r="F391" s="294"/>
      <c r="G391" s="294"/>
      <c r="H391" s="294"/>
      <c r="P391" s="295"/>
      <c r="W391" s="295"/>
      <c r="AE391" s="188"/>
      <c r="AG391" s="188"/>
      <c r="AH391" s="188"/>
      <c r="AI391" s="188"/>
      <c r="AJ391" s="188"/>
      <c r="AK391" s="299"/>
      <c r="CQ391" s="374">
        <v>67</v>
      </c>
      <c r="CR391" s="359"/>
      <c r="CS391" s="361"/>
      <c r="CT391" s="361"/>
      <c r="CU391" s="361"/>
      <c r="CV391" s="361"/>
      <c r="CW391" s="361"/>
      <c r="CX391" s="361"/>
      <c r="CY391" s="361"/>
      <c r="CZ391" s="361"/>
      <c r="DA391" s="361"/>
      <c r="DB391" s="361"/>
      <c r="DC391" s="361"/>
      <c r="DD391" s="361"/>
      <c r="DE391" s="361"/>
      <c r="DF391" s="361"/>
      <c r="DG391" s="378"/>
    </row>
    <row r="392" spans="2:111" ht="13">
      <c r="B392" s="294"/>
      <c r="C392" s="294"/>
      <c r="D392" s="294"/>
      <c r="E392" s="294"/>
      <c r="F392" s="294"/>
      <c r="G392" s="294"/>
      <c r="H392" s="294"/>
      <c r="P392" s="295"/>
      <c r="W392" s="295"/>
      <c r="AE392" s="188"/>
      <c r="AG392" s="188"/>
      <c r="AH392" s="188"/>
      <c r="AI392" s="188"/>
      <c r="AJ392" s="188"/>
      <c r="AK392" s="299"/>
      <c r="CQ392" s="374">
        <v>68</v>
      </c>
      <c r="CR392" s="359"/>
      <c r="CS392" s="361"/>
      <c r="CT392" s="361"/>
      <c r="CU392" s="361"/>
      <c r="CV392" s="365"/>
      <c r="CW392" s="365"/>
      <c r="CX392" s="365"/>
      <c r="CY392" s="365"/>
      <c r="CZ392" s="365"/>
      <c r="DA392" s="365"/>
      <c r="DB392" s="365"/>
      <c r="DC392" s="365"/>
      <c r="DD392" s="365"/>
      <c r="DE392" s="365"/>
      <c r="DF392" s="365"/>
      <c r="DG392" s="379"/>
    </row>
    <row r="393" spans="2:111" ht="13">
      <c r="B393" s="294"/>
      <c r="C393" s="294"/>
      <c r="D393" s="294"/>
      <c r="E393" s="294"/>
      <c r="F393" s="294"/>
      <c r="G393" s="294"/>
      <c r="H393" s="294"/>
      <c r="P393" s="295"/>
      <c r="W393" s="295"/>
      <c r="AE393" s="188"/>
      <c r="AG393" s="188"/>
      <c r="AH393" s="188"/>
      <c r="AI393" s="188"/>
      <c r="AJ393" s="188"/>
      <c r="AK393" s="299"/>
      <c r="CQ393" s="374">
        <v>69</v>
      </c>
      <c r="CR393" s="359"/>
      <c r="CS393" s="361"/>
      <c r="CT393" s="361"/>
      <c r="CU393" s="361"/>
      <c r="CV393" s="361"/>
      <c r="CW393" s="361"/>
      <c r="CX393" s="361"/>
      <c r="CY393" s="361"/>
      <c r="CZ393" s="361"/>
      <c r="DA393" s="361"/>
      <c r="DB393" s="361"/>
      <c r="DC393" s="361"/>
      <c r="DD393" s="361"/>
      <c r="DE393" s="361"/>
      <c r="DF393" s="361"/>
      <c r="DG393" s="378"/>
    </row>
    <row r="394" spans="2:111" ht="13">
      <c r="B394" s="294"/>
      <c r="C394" s="294"/>
      <c r="D394" s="294"/>
      <c r="E394" s="294"/>
      <c r="F394" s="294"/>
      <c r="G394" s="294"/>
      <c r="H394" s="294"/>
      <c r="P394" s="295"/>
      <c r="W394" s="295"/>
      <c r="AE394" s="188"/>
      <c r="AG394" s="188"/>
      <c r="AH394" s="188"/>
      <c r="AI394" s="188"/>
      <c r="AJ394" s="188"/>
      <c r="AK394" s="299"/>
      <c r="CQ394" s="374">
        <v>70</v>
      </c>
      <c r="CR394" s="359"/>
      <c r="CS394" s="361"/>
      <c r="CT394" s="361"/>
      <c r="CU394" s="361"/>
      <c r="CV394" s="361"/>
      <c r="CW394" s="361"/>
      <c r="CX394" s="361"/>
      <c r="CY394" s="361"/>
      <c r="CZ394" s="361"/>
      <c r="DA394" s="361"/>
      <c r="DB394" s="361"/>
      <c r="DC394" s="361"/>
      <c r="DD394" s="361"/>
      <c r="DE394" s="361"/>
      <c r="DF394" s="361"/>
      <c r="DG394" s="378"/>
    </row>
    <row r="395" spans="2:111" ht="13">
      <c r="B395" s="294"/>
      <c r="C395" s="294"/>
      <c r="D395" s="294"/>
      <c r="E395" s="294"/>
      <c r="F395" s="294"/>
      <c r="G395" s="294"/>
      <c r="H395" s="294"/>
      <c r="P395" s="295"/>
      <c r="W395" s="295"/>
      <c r="AE395" s="188"/>
      <c r="AG395" s="188"/>
      <c r="AH395" s="188"/>
      <c r="AI395" s="188"/>
      <c r="AJ395" s="188"/>
      <c r="AK395" s="299"/>
      <c r="CQ395" s="374">
        <v>71</v>
      </c>
      <c r="CR395" s="359"/>
      <c r="CS395" s="361"/>
      <c r="CT395" s="365"/>
      <c r="CU395" s="361"/>
      <c r="CV395" s="361"/>
      <c r="CW395" s="361"/>
      <c r="CX395" s="361"/>
      <c r="CY395" s="361"/>
      <c r="CZ395" s="361"/>
      <c r="DA395" s="361"/>
      <c r="DB395" s="361"/>
      <c r="DC395" s="361"/>
      <c r="DD395" s="361"/>
      <c r="DE395" s="361"/>
      <c r="DF395" s="361"/>
      <c r="DG395" s="378"/>
    </row>
    <row r="396" spans="2:111" ht="13">
      <c r="B396" s="294"/>
      <c r="C396" s="294"/>
      <c r="D396" s="294"/>
      <c r="E396" s="294"/>
      <c r="F396" s="294"/>
      <c r="G396" s="294"/>
      <c r="H396" s="294"/>
      <c r="P396" s="295"/>
      <c r="W396" s="295"/>
      <c r="AE396" s="188"/>
      <c r="AG396" s="188"/>
      <c r="AH396" s="188"/>
      <c r="AI396" s="188"/>
      <c r="AJ396" s="188"/>
      <c r="AK396" s="299"/>
      <c r="CQ396" s="374">
        <v>72</v>
      </c>
      <c r="CR396" s="359"/>
      <c r="CS396" s="361"/>
      <c r="CT396" s="361"/>
      <c r="CU396" s="361"/>
      <c r="CV396" s="361"/>
      <c r="CW396" s="361"/>
      <c r="CX396" s="361"/>
      <c r="CY396" s="361"/>
      <c r="CZ396" s="361"/>
      <c r="DA396" s="361"/>
      <c r="DB396" s="361"/>
      <c r="DC396" s="361"/>
      <c r="DD396" s="361"/>
      <c r="DE396" s="361"/>
      <c r="DF396" s="361"/>
      <c r="DG396" s="378"/>
    </row>
    <row r="397" spans="2:111" ht="13">
      <c r="B397" s="294"/>
      <c r="C397" s="294"/>
      <c r="D397" s="294"/>
      <c r="E397" s="294"/>
      <c r="F397" s="294"/>
      <c r="G397" s="294"/>
      <c r="H397" s="294"/>
      <c r="P397" s="295"/>
      <c r="W397" s="295"/>
      <c r="AE397" s="188"/>
      <c r="AG397" s="188"/>
      <c r="AH397" s="188"/>
      <c r="AI397" s="188"/>
      <c r="AJ397" s="188"/>
      <c r="AK397" s="299"/>
      <c r="CQ397" s="374">
        <v>73</v>
      </c>
      <c r="CR397" s="359"/>
      <c r="CS397" s="361"/>
      <c r="CT397" s="361"/>
      <c r="CU397" s="361"/>
      <c r="CV397" s="361"/>
      <c r="CW397" s="361"/>
      <c r="CX397" s="361"/>
      <c r="CY397" s="361"/>
      <c r="CZ397" s="361"/>
      <c r="DA397" s="361"/>
      <c r="DB397" s="361"/>
      <c r="DC397" s="361"/>
      <c r="DD397" s="361"/>
      <c r="DE397" s="361"/>
      <c r="DF397" s="361"/>
      <c r="DG397" s="378"/>
    </row>
    <row r="398" spans="2:111" ht="13">
      <c r="B398" s="294"/>
      <c r="C398" s="294"/>
      <c r="D398" s="294"/>
      <c r="E398" s="294"/>
      <c r="F398" s="294"/>
      <c r="G398" s="294"/>
      <c r="H398" s="294"/>
      <c r="P398" s="295"/>
      <c r="W398" s="295"/>
      <c r="AE398" s="188"/>
      <c r="AG398" s="188"/>
      <c r="AH398" s="188"/>
      <c r="AI398" s="188"/>
      <c r="AJ398" s="188"/>
      <c r="AK398" s="299"/>
      <c r="CQ398" s="374">
        <v>74</v>
      </c>
      <c r="CR398" s="359"/>
      <c r="CS398" s="361"/>
      <c r="CT398" s="361"/>
      <c r="CU398" s="361"/>
      <c r="CV398" s="365"/>
      <c r="CW398" s="365"/>
      <c r="CX398" s="365"/>
      <c r="CY398" s="365"/>
      <c r="CZ398" s="365"/>
      <c r="DA398" s="365"/>
      <c r="DB398" s="365"/>
      <c r="DC398" s="365"/>
      <c r="DD398" s="365"/>
      <c r="DE398" s="365"/>
      <c r="DF398" s="365"/>
      <c r="DG398" s="379"/>
    </row>
    <row r="399" spans="2:111" ht="13">
      <c r="B399" s="294"/>
      <c r="C399" s="294"/>
      <c r="D399" s="294"/>
      <c r="E399" s="294"/>
      <c r="F399" s="294"/>
      <c r="G399" s="294"/>
      <c r="H399" s="294"/>
      <c r="P399" s="295"/>
      <c r="W399" s="295"/>
      <c r="AE399" s="188"/>
      <c r="AG399" s="188"/>
      <c r="AH399" s="188"/>
      <c r="AI399" s="188"/>
      <c r="AJ399" s="188"/>
      <c r="AK399" s="299"/>
      <c r="CQ399" s="374">
        <v>75</v>
      </c>
      <c r="CR399" s="359"/>
      <c r="CS399" s="361"/>
      <c r="CT399" s="361"/>
      <c r="CU399" s="361"/>
      <c r="CV399" s="361"/>
      <c r="CW399" s="361"/>
      <c r="CX399" s="361"/>
      <c r="CY399" s="361"/>
      <c r="CZ399" s="361"/>
      <c r="DA399" s="361"/>
      <c r="DB399" s="361"/>
      <c r="DC399" s="361"/>
      <c r="DD399" s="361"/>
      <c r="DE399" s="361"/>
      <c r="DF399" s="361"/>
      <c r="DG399" s="378"/>
    </row>
    <row r="400" spans="2:111" ht="13">
      <c r="B400" s="294"/>
      <c r="C400" s="294"/>
      <c r="D400" s="294"/>
      <c r="E400" s="294"/>
      <c r="F400" s="294"/>
      <c r="G400" s="294"/>
      <c r="H400" s="294"/>
      <c r="P400" s="295"/>
      <c r="W400" s="295"/>
      <c r="AE400" s="188"/>
      <c r="AG400" s="188"/>
      <c r="AH400" s="188"/>
      <c r="AI400" s="188"/>
      <c r="AJ400" s="188"/>
      <c r="AK400" s="299"/>
      <c r="CQ400" s="374">
        <v>76</v>
      </c>
      <c r="CR400" s="359"/>
      <c r="CS400" s="361"/>
      <c r="CT400" s="361"/>
      <c r="CU400" s="361"/>
      <c r="CV400" s="361"/>
      <c r="CW400" s="361"/>
      <c r="CX400" s="361"/>
      <c r="CY400" s="361"/>
      <c r="CZ400" s="361"/>
      <c r="DA400" s="361"/>
      <c r="DB400" s="361"/>
      <c r="DC400" s="361"/>
      <c r="DD400" s="361"/>
      <c r="DE400" s="361"/>
      <c r="DF400" s="361"/>
      <c r="DG400" s="378"/>
    </row>
    <row r="401" spans="2:111" ht="13">
      <c r="B401" s="294"/>
      <c r="C401" s="294"/>
      <c r="D401" s="294"/>
      <c r="E401" s="294"/>
      <c r="F401" s="294"/>
      <c r="G401" s="294"/>
      <c r="H401" s="294"/>
      <c r="P401" s="295"/>
      <c r="W401" s="295"/>
      <c r="AE401" s="188"/>
      <c r="AG401" s="188"/>
      <c r="AH401" s="188"/>
      <c r="AI401" s="188"/>
      <c r="AJ401" s="188"/>
      <c r="AK401" s="299"/>
      <c r="CQ401" s="374">
        <v>77</v>
      </c>
      <c r="CR401" s="359"/>
      <c r="CS401" s="361"/>
      <c r="CT401" s="361"/>
      <c r="CU401" s="361"/>
      <c r="CV401" s="361"/>
      <c r="CW401" s="361"/>
      <c r="CX401" s="361"/>
      <c r="CY401" s="361"/>
      <c r="CZ401" s="361"/>
      <c r="DA401" s="361"/>
      <c r="DB401" s="361"/>
      <c r="DC401" s="361"/>
      <c r="DD401" s="361"/>
      <c r="DE401" s="361"/>
      <c r="DF401" s="361"/>
      <c r="DG401" s="378"/>
    </row>
    <row r="402" spans="2:111" ht="13">
      <c r="B402" s="294"/>
      <c r="C402" s="294"/>
      <c r="D402" s="294"/>
      <c r="E402" s="294"/>
      <c r="F402" s="294"/>
      <c r="G402" s="294"/>
      <c r="H402" s="294"/>
      <c r="P402" s="295"/>
      <c r="W402" s="295"/>
      <c r="AE402" s="188"/>
      <c r="AG402" s="188"/>
      <c r="AH402" s="188"/>
      <c r="AI402" s="188"/>
      <c r="AJ402" s="188"/>
      <c r="AK402" s="299"/>
      <c r="CQ402" s="374">
        <v>78</v>
      </c>
      <c r="CR402" s="359"/>
      <c r="CS402" s="361"/>
      <c r="CT402" s="361"/>
      <c r="CU402" s="361"/>
      <c r="CV402" s="361"/>
      <c r="CW402" s="361"/>
      <c r="CX402" s="361"/>
      <c r="CY402" s="361"/>
      <c r="CZ402" s="361"/>
      <c r="DA402" s="361"/>
      <c r="DB402" s="361"/>
      <c r="DC402" s="361"/>
      <c r="DD402" s="361"/>
      <c r="DE402" s="361"/>
      <c r="DF402" s="361"/>
      <c r="DG402" s="378"/>
    </row>
    <row r="403" spans="2:111" ht="13">
      <c r="B403" s="294"/>
      <c r="C403" s="294"/>
      <c r="D403" s="294"/>
      <c r="E403" s="294"/>
      <c r="F403" s="294"/>
      <c r="G403" s="294"/>
      <c r="H403" s="294"/>
      <c r="P403" s="295"/>
      <c r="W403" s="295"/>
      <c r="AE403" s="188"/>
      <c r="AG403" s="188"/>
      <c r="AH403" s="188"/>
      <c r="AI403" s="188"/>
      <c r="AJ403" s="188"/>
      <c r="AK403" s="299"/>
      <c r="CQ403" s="374">
        <v>79</v>
      </c>
      <c r="CR403" s="359"/>
      <c r="CS403" s="361"/>
      <c r="CT403" s="361"/>
      <c r="CU403" s="365"/>
      <c r="CV403" s="365"/>
      <c r="CW403" s="365"/>
      <c r="CX403" s="365"/>
      <c r="CY403" s="365"/>
      <c r="CZ403" s="365"/>
      <c r="DA403" s="365"/>
      <c r="DB403" s="365"/>
      <c r="DC403" s="365"/>
      <c r="DD403" s="365"/>
      <c r="DE403" s="365"/>
      <c r="DF403" s="365"/>
      <c r="DG403" s="379"/>
    </row>
    <row r="404" spans="2:111" ht="13">
      <c r="B404" s="294"/>
      <c r="C404" s="294"/>
      <c r="D404" s="294"/>
      <c r="E404" s="294"/>
      <c r="F404" s="294"/>
      <c r="G404" s="294"/>
      <c r="H404" s="294"/>
      <c r="P404" s="295"/>
      <c r="W404" s="295"/>
      <c r="AE404" s="188"/>
      <c r="AG404" s="188"/>
      <c r="AH404" s="188"/>
      <c r="AI404" s="188"/>
      <c r="AJ404" s="188"/>
      <c r="AK404" s="299"/>
      <c r="CQ404" s="374">
        <v>80</v>
      </c>
      <c r="CR404" s="359"/>
      <c r="CS404" s="361"/>
      <c r="CT404" s="361"/>
      <c r="CU404" s="361"/>
      <c r="CV404" s="361"/>
      <c r="CW404" s="361"/>
      <c r="CX404" s="361"/>
      <c r="CY404" s="361"/>
      <c r="CZ404" s="361"/>
      <c r="DA404" s="361"/>
      <c r="DB404" s="361"/>
      <c r="DC404" s="361"/>
      <c r="DD404" s="361"/>
      <c r="DE404" s="361"/>
      <c r="DF404" s="361"/>
      <c r="DG404" s="378"/>
    </row>
    <row r="405" spans="2:111" ht="13">
      <c r="B405" s="294"/>
      <c r="C405" s="294"/>
      <c r="D405" s="294"/>
      <c r="E405" s="294"/>
      <c r="F405" s="294"/>
      <c r="G405" s="294"/>
      <c r="H405" s="294"/>
      <c r="P405" s="295"/>
      <c r="W405" s="295"/>
      <c r="AE405" s="188"/>
      <c r="AG405" s="188"/>
      <c r="AH405" s="188"/>
      <c r="AI405" s="188"/>
      <c r="AJ405" s="188"/>
      <c r="AK405" s="299"/>
      <c r="CQ405" s="374">
        <v>81</v>
      </c>
      <c r="CR405" s="359"/>
      <c r="CS405" s="361"/>
      <c r="CT405" s="361"/>
      <c r="CU405" s="361"/>
      <c r="CV405" s="361"/>
      <c r="CW405" s="361"/>
      <c r="CX405" s="361"/>
      <c r="CY405" s="361"/>
      <c r="CZ405" s="361"/>
      <c r="DA405" s="361"/>
      <c r="DB405" s="361"/>
      <c r="DC405" s="361"/>
      <c r="DD405" s="361"/>
      <c r="DE405" s="361"/>
      <c r="DF405" s="361"/>
      <c r="DG405" s="378"/>
    </row>
    <row r="406" spans="2:111" ht="13">
      <c r="B406" s="294"/>
      <c r="C406" s="294"/>
      <c r="D406" s="294"/>
      <c r="E406" s="294"/>
      <c r="F406" s="294"/>
      <c r="G406" s="294"/>
      <c r="H406" s="294"/>
      <c r="P406" s="295"/>
      <c r="W406" s="295"/>
      <c r="AE406" s="188"/>
      <c r="AG406" s="188"/>
      <c r="AH406" s="188"/>
      <c r="AI406" s="188"/>
      <c r="AJ406" s="188"/>
      <c r="AK406" s="299"/>
      <c r="CQ406" s="374">
        <v>82</v>
      </c>
      <c r="CR406" s="359"/>
      <c r="CS406" s="361"/>
      <c r="CT406" s="361"/>
      <c r="CU406" s="365"/>
      <c r="CV406" s="365"/>
      <c r="CW406" s="365"/>
      <c r="CX406" s="365"/>
      <c r="CY406" s="365"/>
      <c r="CZ406" s="365"/>
      <c r="DA406" s="365"/>
      <c r="DB406" s="365"/>
      <c r="DC406" s="365"/>
      <c r="DD406" s="365"/>
      <c r="DE406" s="365"/>
      <c r="DF406" s="365"/>
      <c r="DG406" s="379"/>
    </row>
    <row r="407" spans="2:111" ht="13">
      <c r="B407" s="294"/>
      <c r="C407" s="294"/>
      <c r="D407" s="294"/>
      <c r="E407" s="294"/>
      <c r="F407" s="294"/>
      <c r="G407" s="294"/>
      <c r="H407" s="294"/>
      <c r="P407" s="295"/>
      <c r="W407" s="295"/>
      <c r="AE407" s="188"/>
      <c r="AG407" s="188"/>
      <c r="AH407" s="188"/>
      <c r="AI407" s="188"/>
      <c r="AJ407" s="188"/>
      <c r="AK407" s="299"/>
      <c r="CQ407" s="374">
        <v>83</v>
      </c>
      <c r="CR407" s="359"/>
      <c r="CS407" s="361"/>
      <c r="CT407" s="361"/>
      <c r="CU407" s="361"/>
      <c r="CV407" s="361"/>
      <c r="CW407" s="361"/>
      <c r="CX407" s="361"/>
      <c r="CY407" s="361"/>
      <c r="CZ407" s="361"/>
      <c r="DA407" s="361"/>
      <c r="DB407" s="361"/>
      <c r="DC407" s="361"/>
      <c r="DD407" s="361"/>
      <c r="DE407" s="361"/>
      <c r="DF407" s="361"/>
      <c r="DG407" s="378"/>
    </row>
    <row r="408" spans="2:111" ht="13">
      <c r="B408" s="294"/>
      <c r="C408" s="294"/>
      <c r="D408" s="294"/>
      <c r="E408" s="294"/>
      <c r="F408" s="294"/>
      <c r="G408" s="294"/>
      <c r="H408" s="294"/>
      <c r="P408" s="295"/>
      <c r="W408" s="295"/>
      <c r="AE408" s="188"/>
      <c r="AG408" s="188"/>
      <c r="AH408" s="188"/>
      <c r="AI408" s="188"/>
      <c r="AJ408" s="188"/>
      <c r="AK408" s="299"/>
      <c r="CQ408" s="374">
        <v>84</v>
      </c>
      <c r="CR408" s="359"/>
      <c r="CS408" s="361"/>
      <c r="CT408" s="361"/>
      <c r="CU408" s="361"/>
      <c r="CV408" s="365"/>
      <c r="CW408" s="365"/>
      <c r="CX408" s="365"/>
      <c r="CY408" s="365"/>
      <c r="CZ408" s="365"/>
      <c r="DA408" s="365"/>
      <c r="DB408" s="365"/>
      <c r="DC408" s="365"/>
      <c r="DD408" s="365"/>
      <c r="DE408" s="365"/>
      <c r="DF408" s="365"/>
      <c r="DG408" s="379"/>
    </row>
    <row r="409" spans="2:111" ht="13">
      <c r="B409" s="294"/>
      <c r="C409" s="294"/>
      <c r="D409" s="294"/>
      <c r="E409" s="294"/>
      <c r="F409" s="294"/>
      <c r="G409" s="294"/>
      <c r="H409" s="294"/>
      <c r="P409" s="295"/>
      <c r="W409" s="295"/>
      <c r="AE409" s="188"/>
      <c r="AG409" s="188"/>
      <c r="AH409" s="188"/>
      <c r="AI409" s="188"/>
      <c r="AJ409" s="188"/>
      <c r="AK409" s="299"/>
      <c r="CQ409" s="374">
        <v>85</v>
      </c>
      <c r="CR409" s="359"/>
      <c r="CS409" s="361"/>
      <c r="CT409" s="361"/>
      <c r="CU409" s="365"/>
      <c r="CV409" s="365"/>
      <c r="CW409" s="365"/>
      <c r="CX409" s="365"/>
      <c r="CY409" s="365"/>
      <c r="CZ409" s="365"/>
      <c r="DA409" s="365"/>
      <c r="DB409" s="365"/>
      <c r="DC409" s="365"/>
      <c r="DD409" s="365"/>
      <c r="DE409" s="365"/>
      <c r="DF409" s="365"/>
      <c r="DG409" s="379"/>
    </row>
    <row r="410" spans="2:111" ht="13">
      <c r="B410" s="294"/>
      <c r="C410" s="294"/>
      <c r="D410" s="294"/>
      <c r="E410" s="294"/>
      <c r="F410" s="294"/>
      <c r="G410" s="294"/>
      <c r="H410" s="294"/>
      <c r="P410" s="295"/>
      <c r="W410" s="295"/>
      <c r="AE410" s="188"/>
      <c r="AG410" s="188"/>
      <c r="AH410" s="188"/>
      <c r="AI410" s="188"/>
      <c r="AJ410" s="188"/>
      <c r="AK410" s="299"/>
      <c r="CQ410" s="374">
        <v>86</v>
      </c>
      <c r="CR410" s="359"/>
      <c r="CS410" s="361"/>
      <c r="CT410" s="361"/>
      <c r="CU410" s="365"/>
      <c r="CV410" s="365"/>
      <c r="CW410" s="365"/>
      <c r="CX410" s="365"/>
      <c r="CY410" s="365"/>
      <c r="CZ410" s="365"/>
      <c r="DA410" s="365"/>
      <c r="DB410" s="365"/>
      <c r="DC410" s="365"/>
      <c r="DD410" s="365"/>
      <c r="DE410" s="365"/>
      <c r="DF410" s="365"/>
      <c r="DG410" s="379"/>
    </row>
    <row r="411" spans="2:111" ht="13">
      <c r="B411" s="294"/>
      <c r="C411" s="294"/>
      <c r="D411" s="294"/>
      <c r="E411" s="294"/>
      <c r="F411" s="294"/>
      <c r="G411" s="294"/>
      <c r="H411" s="294"/>
      <c r="P411" s="295"/>
      <c r="W411" s="295"/>
      <c r="AE411" s="188"/>
      <c r="AG411" s="188"/>
      <c r="AH411" s="188"/>
      <c r="AI411" s="188"/>
      <c r="AJ411" s="188"/>
      <c r="AK411" s="299"/>
      <c r="CQ411" s="374">
        <v>87</v>
      </c>
      <c r="CR411" s="359"/>
      <c r="CS411" s="361"/>
      <c r="CT411" s="361"/>
      <c r="CU411" s="365"/>
      <c r="CV411" s="365"/>
      <c r="CW411" s="365"/>
      <c r="CX411" s="365"/>
      <c r="CY411" s="365"/>
      <c r="CZ411" s="365"/>
      <c r="DA411" s="365"/>
      <c r="DB411" s="365"/>
      <c r="DC411" s="365"/>
      <c r="DD411" s="365"/>
      <c r="DE411" s="365"/>
      <c r="DF411" s="365"/>
      <c r="DG411" s="379"/>
    </row>
    <row r="412" spans="2:111" ht="13">
      <c r="B412" s="294"/>
      <c r="C412" s="294"/>
      <c r="D412" s="294"/>
      <c r="E412" s="294"/>
      <c r="F412" s="294"/>
      <c r="G412" s="294"/>
      <c r="H412" s="294"/>
      <c r="P412" s="295"/>
      <c r="W412" s="295"/>
      <c r="AE412" s="188"/>
      <c r="AG412" s="188"/>
      <c r="AH412" s="188"/>
      <c r="AI412" s="188"/>
      <c r="AJ412" s="188"/>
      <c r="AK412" s="299"/>
      <c r="CQ412" s="374">
        <v>88</v>
      </c>
      <c r="CR412" s="359"/>
      <c r="CS412" s="361"/>
      <c r="CT412" s="365"/>
      <c r="CU412" s="361"/>
      <c r="CV412" s="361"/>
      <c r="CW412" s="361"/>
      <c r="CX412" s="361"/>
      <c r="CY412" s="361"/>
      <c r="CZ412" s="361"/>
      <c r="DA412" s="361"/>
      <c r="DB412" s="361"/>
      <c r="DC412" s="361"/>
      <c r="DD412" s="361"/>
      <c r="DE412" s="361"/>
      <c r="DF412" s="361"/>
      <c r="DG412" s="378"/>
    </row>
    <row r="413" spans="2:111" ht="13">
      <c r="B413" s="294"/>
      <c r="C413" s="294"/>
      <c r="D413" s="294"/>
      <c r="E413" s="294"/>
      <c r="F413" s="294"/>
      <c r="G413" s="294"/>
      <c r="H413" s="294"/>
      <c r="P413" s="295"/>
      <c r="W413" s="295"/>
      <c r="AE413" s="188"/>
      <c r="AG413" s="188"/>
      <c r="AH413" s="188"/>
      <c r="AI413" s="188"/>
      <c r="AJ413" s="188"/>
      <c r="AK413" s="299"/>
      <c r="CQ413" s="374">
        <v>89</v>
      </c>
      <c r="DG413" s="380"/>
    </row>
    <row r="414" spans="2:111" ht="13">
      <c r="B414" s="294"/>
      <c r="C414" s="294"/>
      <c r="D414" s="294"/>
      <c r="E414" s="294"/>
      <c r="F414" s="294"/>
      <c r="G414" s="294"/>
      <c r="H414" s="294"/>
      <c r="P414" s="295"/>
      <c r="W414" s="295"/>
      <c r="AE414" s="188"/>
      <c r="AG414" s="188"/>
      <c r="AH414" s="188"/>
      <c r="AI414" s="188"/>
      <c r="AJ414" s="188"/>
      <c r="AK414" s="299"/>
      <c r="CQ414" s="374">
        <v>90</v>
      </c>
      <c r="DG414" s="380"/>
    </row>
    <row r="415" spans="2:111" ht="13">
      <c r="B415" s="294"/>
      <c r="C415" s="294"/>
      <c r="D415" s="294"/>
      <c r="E415" s="294"/>
      <c r="F415" s="294"/>
      <c r="G415" s="294"/>
      <c r="H415" s="294"/>
      <c r="P415" s="295"/>
      <c r="W415" s="295"/>
      <c r="AE415" s="188"/>
      <c r="AG415" s="188"/>
      <c r="AH415" s="188"/>
      <c r="AI415" s="188"/>
      <c r="AJ415" s="188"/>
      <c r="AK415" s="299"/>
      <c r="CQ415" s="374">
        <v>91</v>
      </c>
      <c r="DG415" s="380"/>
    </row>
    <row r="416" spans="2:111" ht="13">
      <c r="B416" s="294"/>
      <c r="C416" s="294"/>
      <c r="D416" s="294"/>
      <c r="E416" s="294"/>
      <c r="F416" s="294"/>
      <c r="G416" s="294"/>
      <c r="H416" s="294"/>
      <c r="P416" s="295"/>
      <c r="W416" s="295"/>
      <c r="AE416" s="188"/>
      <c r="AG416" s="188"/>
      <c r="AH416" s="188"/>
      <c r="AI416" s="188"/>
      <c r="AJ416" s="188"/>
      <c r="AK416" s="299"/>
      <c r="CQ416" s="374">
        <v>92</v>
      </c>
      <c r="DG416" s="380"/>
    </row>
    <row r="417" spans="2:111" ht="13">
      <c r="B417" s="294"/>
      <c r="C417" s="294"/>
      <c r="D417" s="294"/>
      <c r="E417" s="294"/>
      <c r="F417" s="294"/>
      <c r="G417" s="294"/>
      <c r="H417" s="294"/>
      <c r="P417" s="295"/>
      <c r="W417" s="295"/>
      <c r="AE417" s="188"/>
      <c r="AG417" s="188"/>
      <c r="AH417" s="188"/>
      <c r="AI417" s="188"/>
      <c r="AJ417" s="188"/>
      <c r="AK417" s="299"/>
      <c r="CQ417" s="374">
        <v>93</v>
      </c>
      <c r="DG417" s="380"/>
    </row>
    <row r="418" spans="2:111" ht="13">
      <c r="B418" s="294"/>
      <c r="C418" s="294"/>
      <c r="D418" s="294"/>
      <c r="E418" s="294"/>
      <c r="F418" s="294"/>
      <c r="G418" s="294"/>
      <c r="H418" s="294"/>
      <c r="P418" s="295"/>
      <c r="W418" s="295"/>
      <c r="AE418" s="188"/>
      <c r="AG418" s="188"/>
      <c r="AH418" s="188"/>
      <c r="AI418" s="188"/>
      <c r="AJ418" s="188"/>
      <c r="AK418" s="299"/>
      <c r="CQ418" s="374">
        <v>94</v>
      </c>
      <c r="DG418" s="380"/>
    </row>
    <row r="419" spans="2:111" ht="13">
      <c r="B419" s="294"/>
      <c r="C419" s="294"/>
      <c r="D419" s="294"/>
      <c r="E419" s="294"/>
      <c r="F419" s="294"/>
      <c r="G419" s="294"/>
      <c r="H419" s="294"/>
      <c r="P419" s="295"/>
      <c r="W419" s="295"/>
      <c r="AE419" s="188"/>
      <c r="AG419" s="188"/>
      <c r="AH419" s="188"/>
      <c r="AI419" s="188"/>
      <c r="AJ419" s="188"/>
      <c r="AK419" s="299"/>
      <c r="CQ419" s="374">
        <v>95</v>
      </c>
      <c r="DG419" s="380"/>
    </row>
    <row r="420" spans="2:111" ht="13">
      <c r="B420" s="294"/>
      <c r="C420" s="294"/>
      <c r="D420" s="294"/>
      <c r="E420" s="294"/>
      <c r="F420" s="294"/>
      <c r="G420" s="294"/>
      <c r="H420" s="294"/>
      <c r="P420" s="295"/>
      <c r="W420" s="295"/>
      <c r="AE420" s="188"/>
      <c r="AG420" s="188"/>
      <c r="AH420" s="188"/>
      <c r="AI420" s="188"/>
      <c r="AJ420" s="188"/>
      <c r="AK420" s="299"/>
      <c r="CQ420" s="374">
        <v>96</v>
      </c>
      <c r="DG420" s="380"/>
    </row>
    <row r="421" spans="2:111" ht="13">
      <c r="B421" s="294"/>
      <c r="C421" s="294"/>
      <c r="D421" s="294"/>
      <c r="E421" s="294"/>
      <c r="F421" s="294"/>
      <c r="G421" s="294"/>
      <c r="H421" s="294"/>
      <c r="P421" s="295"/>
      <c r="W421" s="295"/>
      <c r="AE421" s="188"/>
      <c r="AG421" s="188"/>
      <c r="AH421" s="188"/>
      <c r="AI421" s="188"/>
      <c r="AJ421" s="188"/>
      <c r="AK421" s="299"/>
      <c r="CQ421" s="374">
        <v>97</v>
      </c>
      <c r="DG421" s="380"/>
    </row>
    <row r="422" spans="2:111" ht="13">
      <c r="B422" s="294"/>
      <c r="C422" s="294"/>
      <c r="D422" s="294"/>
      <c r="E422" s="294"/>
      <c r="F422" s="294"/>
      <c r="G422" s="294"/>
      <c r="H422" s="294"/>
      <c r="P422" s="295"/>
      <c r="W422" s="295"/>
      <c r="AE422" s="188"/>
      <c r="AG422" s="188"/>
      <c r="AH422" s="188"/>
      <c r="AI422" s="188"/>
      <c r="AJ422" s="188"/>
      <c r="AK422" s="299"/>
      <c r="CQ422" s="374">
        <v>98</v>
      </c>
      <c r="DG422" s="380"/>
    </row>
    <row r="423" spans="2:111" ht="13">
      <c r="B423" s="294"/>
      <c r="C423" s="294"/>
      <c r="D423" s="294"/>
      <c r="E423" s="294"/>
      <c r="F423" s="294"/>
      <c r="G423" s="294"/>
      <c r="H423" s="294"/>
      <c r="P423" s="295"/>
      <c r="W423" s="295"/>
      <c r="AE423" s="188"/>
      <c r="AG423" s="188"/>
      <c r="AH423" s="188"/>
      <c r="AI423" s="188"/>
      <c r="AJ423" s="188"/>
      <c r="AK423" s="299"/>
      <c r="CQ423" s="374">
        <v>99</v>
      </c>
      <c r="DG423" s="380"/>
    </row>
    <row r="424" spans="2:111" ht="13">
      <c r="B424" s="294"/>
      <c r="C424" s="294"/>
      <c r="D424" s="294"/>
      <c r="E424" s="294"/>
      <c r="F424" s="294"/>
      <c r="G424" s="294"/>
      <c r="H424" s="294"/>
      <c r="P424" s="295"/>
      <c r="W424" s="295"/>
      <c r="AE424" s="188"/>
      <c r="AG424" s="188"/>
      <c r="AH424" s="188"/>
      <c r="AI424" s="188"/>
      <c r="AJ424" s="188"/>
      <c r="AK424" s="299"/>
      <c r="CQ424" s="374">
        <v>100</v>
      </c>
      <c r="DG424" s="380"/>
    </row>
    <row r="425" spans="2:111" ht="13">
      <c r="B425" s="294"/>
      <c r="C425" s="294"/>
      <c r="D425" s="294"/>
      <c r="E425" s="294"/>
      <c r="F425" s="294"/>
      <c r="G425" s="294"/>
      <c r="H425" s="294"/>
      <c r="P425" s="295"/>
      <c r="W425" s="295"/>
      <c r="AE425" s="188"/>
      <c r="AG425" s="188"/>
      <c r="AH425" s="188"/>
      <c r="AI425" s="188"/>
      <c r="AJ425" s="188"/>
      <c r="AK425" s="299"/>
      <c r="CQ425" s="374">
        <v>101</v>
      </c>
      <c r="DG425" s="380"/>
    </row>
    <row r="426" spans="2:111" ht="13">
      <c r="B426" s="294"/>
      <c r="C426" s="294"/>
      <c r="D426" s="294"/>
      <c r="E426" s="294"/>
      <c r="F426" s="294"/>
      <c r="G426" s="294"/>
      <c r="H426" s="294"/>
      <c r="P426" s="295"/>
      <c r="W426" s="295"/>
      <c r="AE426" s="188"/>
      <c r="AG426" s="188"/>
      <c r="AH426" s="188"/>
      <c r="AI426" s="188"/>
      <c r="AJ426" s="188"/>
      <c r="AK426" s="299"/>
      <c r="CQ426" s="374">
        <v>102</v>
      </c>
      <c r="DG426" s="380"/>
    </row>
    <row r="427" spans="2:111" ht="13">
      <c r="B427" s="294"/>
      <c r="C427" s="294"/>
      <c r="D427" s="294"/>
      <c r="E427" s="294"/>
      <c r="F427" s="294"/>
      <c r="G427" s="294"/>
      <c r="H427" s="294"/>
      <c r="P427" s="295"/>
      <c r="W427" s="295"/>
      <c r="AE427" s="188"/>
      <c r="AG427" s="188"/>
      <c r="AH427" s="188"/>
      <c r="AI427" s="188"/>
      <c r="AJ427" s="188"/>
      <c r="AK427" s="299"/>
      <c r="CQ427" s="374">
        <v>103</v>
      </c>
      <c r="DG427" s="380"/>
    </row>
    <row r="428" spans="2:111" ht="13">
      <c r="B428" s="294"/>
      <c r="C428" s="294"/>
      <c r="D428" s="294"/>
      <c r="E428" s="294"/>
      <c r="F428" s="294"/>
      <c r="G428" s="294"/>
      <c r="H428" s="294"/>
      <c r="P428" s="295"/>
      <c r="W428" s="295"/>
      <c r="AE428" s="188"/>
      <c r="AG428" s="188"/>
      <c r="AH428" s="188"/>
      <c r="AI428" s="188"/>
      <c r="AJ428" s="188"/>
      <c r="AK428" s="299"/>
      <c r="CQ428" s="374">
        <v>104</v>
      </c>
      <c r="DG428" s="380"/>
    </row>
    <row r="429" spans="2:111" ht="13">
      <c r="B429" s="294"/>
      <c r="C429" s="294"/>
      <c r="D429" s="294"/>
      <c r="E429" s="294"/>
      <c r="F429" s="294"/>
      <c r="G429" s="294"/>
      <c r="H429" s="294"/>
      <c r="P429" s="295"/>
      <c r="W429" s="295"/>
      <c r="AE429" s="188"/>
      <c r="AG429" s="188"/>
      <c r="AH429" s="188"/>
      <c r="AI429" s="188"/>
      <c r="AJ429" s="188"/>
      <c r="AK429" s="299"/>
      <c r="CQ429" s="374">
        <v>105</v>
      </c>
      <c r="DG429" s="380"/>
    </row>
    <row r="430" spans="2:111" ht="13">
      <c r="B430" s="294"/>
      <c r="C430" s="294"/>
      <c r="D430" s="294"/>
      <c r="E430" s="294"/>
      <c r="F430" s="294"/>
      <c r="G430" s="294"/>
      <c r="H430" s="294"/>
      <c r="P430" s="295"/>
      <c r="W430" s="295"/>
      <c r="AE430" s="188"/>
      <c r="AG430" s="188"/>
      <c r="AH430" s="188"/>
      <c r="AI430" s="188"/>
      <c r="AJ430" s="188"/>
      <c r="AK430" s="299"/>
      <c r="CQ430" s="374">
        <v>106</v>
      </c>
      <c r="DG430" s="380"/>
    </row>
    <row r="431" spans="2:111" ht="13">
      <c r="B431" s="294"/>
      <c r="C431" s="294"/>
      <c r="D431" s="294"/>
      <c r="E431" s="294"/>
      <c r="F431" s="294"/>
      <c r="G431" s="294"/>
      <c r="H431" s="294"/>
      <c r="P431" s="295"/>
      <c r="W431" s="295"/>
      <c r="AE431" s="188"/>
      <c r="AG431" s="188"/>
      <c r="AH431" s="188"/>
      <c r="AI431" s="188"/>
      <c r="AJ431" s="188"/>
      <c r="AK431" s="299"/>
      <c r="CQ431" s="374">
        <v>107</v>
      </c>
      <c r="DG431" s="380"/>
    </row>
    <row r="432" spans="2:111" ht="13">
      <c r="B432" s="294"/>
      <c r="C432" s="294"/>
      <c r="D432" s="294"/>
      <c r="E432" s="294"/>
      <c r="F432" s="294"/>
      <c r="G432" s="294"/>
      <c r="H432" s="294"/>
      <c r="P432" s="295"/>
      <c r="W432" s="295"/>
      <c r="AE432" s="188"/>
      <c r="AG432" s="188"/>
      <c r="AH432" s="188"/>
      <c r="AI432" s="188"/>
      <c r="AJ432" s="188"/>
      <c r="AK432" s="299"/>
      <c r="CQ432" s="374">
        <v>108</v>
      </c>
      <c r="DG432" s="380"/>
    </row>
    <row r="433" spans="2:111" ht="13">
      <c r="B433" s="294"/>
      <c r="C433" s="294"/>
      <c r="D433" s="294"/>
      <c r="E433" s="294"/>
      <c r="F433" s="294"/>
      <c r="G433" s="294"/>
      <c r="H433" s="294"/>
      <c r="P433" s="295"/>
      <c r="W433" s="295"/>
      <c r="AE433" s="188"/>
      <c r="AG433" s="188"/>
      <c r="AH433" s="188"/>
      <c r="AI433" s="188"/>
      <c r="AJ433" s="188"/>
      <c r="AK433" s="299"/>
      <c r="CQ433" s="374">
        <v>109</v>
      </c>
      <c r="DG433" s="380"/>
    </row>
    <row r="434" spans="2:111" ht="13">
      <c r="B434" s="294"/>
      <c r="C434" s="294"/>
      <c r="D434" s="294"/>
      <c r="E434" s="294"/>
      <c r="F434" s="294"/>
      <c r="G434" s="294"/>
      <c r="H434" s="294"/>
      <c r="P434" s="295"/>
      <c r="W434" s="295"/>
      <c r="AE434" s="188"/>
      <c r="AG434" s="188"/>
      <c r="AH434" s="188"/>
      <c r="AI434" s="188"/>
      <c r="AJ434" s="188"/>
      <c r="AK434" s="299"/>
      <c r="CQ434" s="374">
        <v>110</v>
      </c>
      <c r="DG434" s="380"/>
    </row>
    <row r="435" spans="2:111" ht="13">
      <c r="B435" s="294"/>
      <c r="C435" s="294"/>
      <c r="D435" s="294"/>
      <c r="E435" s="294"/>
      <c r="F435" s="294"/>
      <c r="G435" s="294"/>
      <c r="H435" s="294"/>
      <c r="P435" s="295"/>
      <c r="W435" s="295"/>
      <c r="AE435" s="188"/>
      <c r="AG435" s="188"/>
      <c r="AH435" s="188"/>
      <c r="AI435" s="188"/>
      <c r="AJ435" s="188"/>
      <c r="AK435" s="299"/>
      <c r="CQ435" s="374">
        <v>111</v>
      </c>
      <c r="DG435" s="380"/>
    </row>
    <row r="436" spans="2:111" ht="13">
      <c r="B436" s="294"/>
      <c r="C436" s="294"/>
      <c r="D436" s="294"/>
      <c r="E436" s="294"/>
      <c r="F436" s="294"/>
      <c r="G436" s="294"/>
      <c r="H436" s="294"/>
      <c r="P436" s="295"/>
      <c r="W436" s="295"/>
      <c r="AE436" s="188"/>
      <c r="AG436" s="188"/>
      <c r="AH436" s="188"/>
      <c r="AI436" s="188"/>
      <c r="AJ436" s="188"/>
      <c r="AK436" s="299"/>
      <c r="CQ436" s="374">
        <v>112</v>
      </c>
      <c r="DG436" s="380"/>
    </row>
    <row r="437" spans="2:111" ht="13">
      <c r="B437" s="294"/>
      <c r="C437" s="294"/>
      <c r="D437" s="294"/>
      <c r="E437" s="294"/>
      <c r="F437" s="294"/>
      <c r="G437" s="294"/>
      <c r="H437" s="294"/>
      <c r="P437" s="295"/>
      <c r="W437" s="295"/>
      <c r="AE437" s="188"/>
      <c r="AG437" s="188"/>
      <c r="AH437" s="188"/>
      <c r="AI437" s="188"/>
      <c r="AJ437" s="188"/>
      <c r="AK437" s="299"/>
      <c r="CQ437" s="374">
        <v>113</v>
      </c>
      <c r="DG437" s="380"/>
    </row>
    <row r="438" spans="2:111" ht="13">
      <c r="B438" s="294"/>
      <c r="C438" s="294"/>
      <c r="D438" s="294"/>
      <c r="E438" s="294"/>
      <c r="F438" s="294"/>
      <c r="G438" s="294"/>
      <c r="H438" s="294"/>
      <c r="P438" s="295"/>
      <c r="W438" s="295"/>
      <c r="AE438" s="188"/>
      <c r="AG438" s="188"/>
      <c r="AH438" s="188"/>
      <c r="AI438" s="188"/>
      <c r="AJ438" s="188"/>
      <c r="AK438" s="299"/>
      <c r="CQ438" s="374">
        <v>114</v>
      </c>
      <c r="DG438" s="380"/>
    </row>
    <row r="439" spans="2:111" ht="13">
      <c r="B439" s="294"/>
      <c r="C439" s="294"/>
      <c r="D439" s="294"/>
      <c r="E439" s="294"/>
      <c r="F439" s="294"/>
      <c r="G439" s="294"/>
      <c r="H439" s="294"/>
      <c r="P439" s="295"/>
      <c r="W439" s="295"/>
      <c r="AE439" s="188"/>
      <c r="AG439" s="188"/>
      <c r="AH439" s="188"/>
      <c r="AI439" s="188"/>
      <c r="AJ439" s="188"/>
      <c r="AK439" s="299"/>
      <c r="CQ439" s="374">
        <v>115</v>
      </c>
      <c r="DG439" s="380"/>
    </row>
    <row r="440" spans="2:111" ht="13">
      <c r="B440" s="294"/>
      <c r="C440" s="294"/>
      <c r="D440" s="294"/>
      <c r="E440" s="294"/>
      <c r="F440" s="294"/>
      <c r="G440" s="294"/>
      <c r="H440" s="294"/>
      <c r="P440" s="295"/>
      <c r="W440" s="295"/>
      <c r="AE440" s="188"/>
      <c r="AG440" s="188"/>
      <c r="AH440" s="188"/>
      <c r="AI440" s="188"/>
      <c r="AJ440" s="188"/>
      <c r="AK440" s="299"/>
      <c r="CQ440" s="374">
        <v>116</v>
      </c>
      <c r="DG440" s="380"/>
    </row>
    <row r="441" spans="2:111" ht="13">
      <c r="B441" s="294"/>
      <c r="C441" s="294"/>
      <c r="D441" s="294"/>
      <c r="E441" s="294"/>
      <c r="F441" s="294"/>
      <c r="G441" s="294"/>
      <c r="H441" s="294"/>
      <c r="P441" s="295"/>
      <c r="W441" s="295"/>
      <c r="AE441" s="188"/>
      <c r="AG441" s="188"/>
      <c r="AH441" s="188"/>
      <c r="AI441" s="188"/>
      <c r="AJ441" s="188"/>
      <c r="AK441" s="299"/>
      <c r="CQ441" s="374">
        <v>117</v>
      </c>
      <c r="DG441" s="380"/>
    </row>
    <row r="442" spans="2:111" ht="13">
      <c r="B442" s="294"/>
      <c r="C442" s="294"/>
      <c r="D442" s="294"/>
      <c r="E442" s="294"/>
      <c r="F442" s="294"/>
      <c r="G442" s="294"/>
      <c r="H442" s="294"/>
      <c r="P442" s="295"/>
      <c r="W442" s="295"/>
      <c r="AE442" s="188"/>
      <c r="AG442" s="188"/>
      <c r="AH442" s="188"/>
      <c r="AI442" s="188"/>
      <c r="AJ442" s="188"/>
      <c r="AK442" s="299"/>
      <c r="CQ442" s="374">
        <v>118</v>
      </c>
      <c r="DG442" s="380"/>
    </row>
    <row r="443" spans="2:111" ht="13">
      <c r="B443" s="294"/>
      <c r="C443" s="294"/>
      <c r="D443" s="294"/>
      <c r="E443" s="294"/>
      <c r="F443" s="294"/>
      <c r="G443" s="294"/>
      <c r="H443" s="294"/>
      <c r="P443" s="295"/>
      <c r="W443" s="295"/>
      <c r="AE443" s="188"/>
      <c r="AG443" s="188"/>
      <c r="AH443" s="188"/>
      <c r="AI443" s="188"/>
      <c r="AJ443" s="188"/>
      <c r="AK443" s="299"/>
      <c r="CQ443" s="374">
        <v>119</v>
      </c>
      <c r="DG443" s="380"/>
    </row>
    <row r="444" spans="2:111" ht="13">
      <c r="B444" s="294"/>
      <c r="C444" s="294"/>
      <c r="D444" s="294"/>
      <c r="E444" s="294"/>
      <c r="F444" s="294"/>
      <c r="G444" s="294"/>
      <c r="H444" s="294"/>
      <c r="P444" s="295"/>
      <c r="W444" s="295"/>
      <c r="AE444" s="188"/>
      <c r="AG444" s="188"/>
      <c r="AH444" s="188"/>
      <c r="AI444" s="188"/>
      <c r="AJ444" s="188"/>
      <c r="AK444" s="299"/>
      <c r="CQ444" s="374">
        <v>120</v>
      </c>
      <c r="DG444" s="380"/>
    </row>
    <row r="445" spans="2:111" ht="13">
      <c r="B445" s="294"/>
      <c r="C445" s="294"/>
      <c r="D445" s="294"/>
      <c r="E445" s="294"/>
      <c r="F445" s="294"/>
      <c r="G445" s="294"/>
      <c r="H445" s="294"/>
      <c r="P445" s="295"/>
      <c r="W445" s="295"/>
      <c r="AE445" s="188"/>
      <c r="AG445" s="188"/>
      <c r="AH445" s="188"/>
      <c r="AI445" s="188"/>
      <c r="AJ445" s="188"/>
      <c r="AK445" s="299"/>
      <c r="CQ445" s="374">
        <v>121</v>
      </c>
      <c r="DG445" s="380"/>
    </row>
    <row r="446" spans="2:111" ht="13">
      <c r="B446" s="294"/>
      <c r="C446" s="294"/>
      <c r="D446" s="294"/>
      <c r="E446" s="294"/>
      <c r="F446" s="294"/>
      <c r="G446" s="294"/>
      <c r="H446" s="294"/>
      <c r="P446" s="295"/>
      <c r="W446" s="295"/>
      <c r="AE446" s="188"/>
      <c r="AG446" s="188"/>
      <c r="AH446" s="188"/>
      <c r="AI446" s="188"/>
      <c r="AJ446" s="188"/>
      <c r="AK446" s="299"/>
      <c r="CQ446" s="374">
        <v>122</v>
      </c>
      <c r="DG446" s="380"/>
    </row>
    <row r="447" spans="2:111" ht="13">
      <c r="B447" s="294"/>
      <c r="C447" s="294"/>
      <c r="D447" s="294"/>
      <c r="E447" s="294"/>
      <c r="F447" s="294"/>
      <c r="G447" s="294"/>
      <c r="H447" s="294"/>
      <c r="P447" s="295"/>
      <c r="W447" s="295"/>
      <c r="AE447" s="188"/>
      <c r="AG447" s="188"/>
      <c r="AH447" s="188"/>
      <c r="AI447" s="188"/>
      <c r="AJ447" s="188"/>
      <c r="AK447" s="299"/>
      <c r="CQ447" s="374">
        <v>123</v>
      </c>
      <c r="DG447" s="380"/>
    </row>
    <row r="448" spans="2:111" ht="13">
      <c r="B448" s="294"/>
      <c r="C448" s="294"/>
      <c r="D448" s="294"/>
      <c r="E448" s="294"/>
      <c r="F448" s="294"/>
      <c r="G448" s="294"/>
      <c r="H448" s="294"/>
      <c r="P448" s="295"/>
      <c r="W448" s="295"/>
      <c r="AE448" s="188"/>
      <c r="AG448" s="188"/>
      <c r="AH448" s="188"/>
      <c r="AI448" s="188"/>
      <c r="AJ448" s="188"/>
      <c r="AK448" s="299"/>
      <c r="CQ448" s="374">
        <v>124</v>
      </c>
      <c r="DG448" s="380"/>
    </row>
    <row r="449" spans="2:111" ht="13">
      <c r="B449" s="294"/>
      <c r="C449" s="294"/>
      <c r="D449" s="294"/>
      <c r="E449" s="294"/>
      <c r="F449" s="294"/>
      <c r="G449" s="294"/>
      <c r="H449" s="294"/>
      <c r="P449" s="295"/>
      <c r="W449" s="295"/>
      <c r="AE449" s="188"/>
      <c r="AG449" s="188"/>
      <c r="AH449" s="188"/>
      <c r="AI449" s="188"/>
      <c r="AJ449" s="188"/>
      <c r="AK449" s="299"/>
      <c r="CQ449" s="374">
        <v>125</v>
      </c>
      <c r="DG449" s="380"/>
    </row>
    <row r="450" spans="2:111" ht="13">
      <c r="B450" s="294"/>
      <c r="C450" s="294"/>
      <c r="D450" s="294"/>
      <c r="E450" s="294"/>
      <c r="F450" s="294"/>
      <c r="G450" s="294"/>
      <c r="H450" s="294"/>
      <c r="P450" s="295"/>
      <c r="W450" s="295"/>
      <c r="AE450" s="188"/>
      <c r="AG450" s="188"/>
      <c r="AH450" s="188"/>
      <c r="AI450" s="188"/>
      <c r="AJ450" s="188"/>
      <c r="AK450" s="299"/>
      <c r="CQ450" s="374">
        <v>126</v>
      </c>
      <c r="DG450" s="380"/>
    </row>
    <row r="451" spans="2:111" ht="13">
      <c r="B451" s="294"/>
      <c r="C451" s="294"/>
      <c r="D451" s="294"/>
      <c r="E451" s="294"/>
      <c r="F451" s="294"/>
      <c r="G451" s="294"/>
      <c r="H451" s="294"/>
      <c r="P451" s="295"/>
      <c r="W451" s="295"/>
      <c r="AE451" s="188"/>
      <c r="AG451" s="188"/>
      <c r="AH451" s="188"/>
      <c r="AI451" s="188"/>
      <c r="AJ451" s="188"/>
      <c r="AK451" s="299"/>
      <c r="CQ451" s="374">
        <v>127</v>
      </c>
      <c r="DG451" s="380"/>
    </row>
    <row r="452" spans="2:111" ht="13">
      <c r="B452" s="294"/>
      <c r="C452" s="294"/>
      <c r="D452" s="294"/>
      <c r="E452" s="294"/>
      <c r="F452" s="294"/>
      <c r="G452" s="294"/>
      <c r="H452" s="294"/>
      <c r="P452" s="295"/>
      <c r="W452" s="295"/>
      <c r="AE452" s="188"/>
      <c r="AG452" s="188"/>
      <c r="AH452" s="188"/>
      <c r="AI452" s="188"/>
      <c r="AJ452" s="188"/>
      <c r="AK452" s="299"/>
      <c r="CQ452" s="374">
        <v>128</v>
      </c>
      <c r="DG452" s="380"/>
    </row>
    <row r="453" spans="2:111" ht="13">
      <c r="B453" s="294"/>
      <c r="C453" s="294"/>
      <c r="D453" s="294"/>
      <c r="E453" s="294"/>
      <c r="F453" s="294"/>
      <c r="G453" s="294"/>
      <c r="H453" s="294"/>
      <c r="P453" s="295"/>
      <c r="W453" s="295"/>
      <c r="AE453" s="188"/>
      <c r="AG453" s="188"/>
      <c r="AH453" s="188"/>
      <c r="AI453" s="188"/>
      <c r="AJ453" s="188"/>
      <c r="AK453" s="299"/>
      <c r="CQ453" s="374">
        <v>129</v>
      </c>
      <c r="DG453" s="380"/>
    </row>
    <row r="454" spans="2:111" ht="13">
      <c r="B454" s="294"/>
      <c r="C454" s="294"/>
      <c r="D454" s="294"/>
      <c r="E454" s="294"/>
      <c r="F454" s="294"/>
      <c r="G454" s="294"/>
      <c r="H454" s="294"/>
      <c r="P454" s="295"/>
      <c r="W454" s="295"/>
      <c r="AE454" s="188"/>
      <c r="AG454" s="188"/>
      <c r="AH454" s="188"/>
      <c r="AI454" s="188"/>
      <c r="AJ454" s="188"/>
      <c r="AK454" s="299"/>
      <c r="CQ454" s="374">
        <v>130</v>
      </c>
      <c r="DG454" s="380"/>
    </row>
    <row r="455" spans="2:111" ht="13">
      <c r="B455" s="294"/>
      <c r="C455" s="294"/>
      <c r="D455" s="294"/>
      <c r="E455" s="294"/>
      <c r="F455" s="294"/>
      <c r="G455" s="294"/>
      <c r="H455" s="294"/>
      <c r="P455" s="295"/>
      <c r="W455" s="295"/>
      <c r="AE455" s="188"/>
      <c r="AG455" s="188"/>
      <c r="AH455" s="188"/>
      <c r="AI455" s="188"/>
      <c r="AJ455" s="188"/>
      <c r="AK455" s="299"/>
      <c r="CQ455" s="374">
        <v>131</v>
      </c>
      <c r="DG455" s="380"/>
    </row>
    <row r="456" spans="2:111" ht="13">
      <c r="B456" s="294"/>
      <c r="C456" s="294"/>
      <c r="D456" s="294"/>
      <c r="E456" s="294"/>
      <c r="F456" s="294"/>
      <c r="G456" s="294"/>
      <c r="H456" s="294"/>
      <c r="P456" s="295"/>
      <c r="W456" s="295"/>
      <c r="AE456" s="188"/>
      <c r="AG456" s="188"/>
      <c r="AH456" s="188"/>
      <c r="AI456" s="188"/>
      <c r="AJ456" s="188"/>
      <c r="AK456" s="299"/>
      <c r="CQ456" s="374">
        <v>132</v>
      </c>
      <c r="DG456" s="380"/>
    </row>
    <row r="457" spans="2:111" ht="13">
      <c r="B457" s="294"/>
      <c r="C457" s="294"/>
      <c r="D457" s="294"/>
      <c r="E457" s="294"/>
      <c r="F457" s="294"/>
      <c r="G457" s="294"/>
      <c r="H457" s="294"/>
      <c r="P457" s="295"/>
      <c r="W457" s="295"/>
      <c r="AE457" s="188"/>
      <c r="AG457" s="188"/>
      <c r="AH457" s="188"/>
      <c r="AI457" s="188"/>
      <c r="AJ457" s="188"/>
      <c r="AK457" s="299"/>
      <c r="CQ457" s="374">
        <v>133</v>
      </c>
      <c r="DG457" s="380"/>
    </row>
    <row r="458" spans="2:111" ht="13">
      <c r="B458" s="294"/>
      <c r="C458" s="294"/>
      <c r="D458" s="294"/>
      <c r="E458" s="294"/>
      <c r="F458" s="294"/>
      <c r="G458" s="294"/>
      <c r="H458" s="294"/>
      <c r="P458" s="295"/>
      <c r="W458" s="295"/>
      <c r="AE458" s="188"/>
      <c r="AG458" s="188"/>
      <c r="AH458" s="188"/>
      <c r="AI458" s="188"/>
      <c r="AJ458" s="188"/>
      <c r="AK458" s="299"/>
      <c r="CQ458" s="374">
        <v>134</v>
      </c>
      <c r="DG458" s="380"/>
    </row>
    <row r="459" spans="2:111" ht="13">
      <c r="B459" s="294"/>
      <c r="C459" s="294"/>
      <c r="D459" s="294"/>
      <c r="E459" s="294"/>
      <c r="F459" s="294"/>
      <c r="G459" s="294"/>
      <c r="H459" s="294"/>
      <c r="P459" s="295"/>
      <c r="W459" s="295"/>
      <c r="AE459" s="188"/>
      <c r="AG459" s="188"/>
      <c r="AH459" s="188"/>
      <c r="AI459" s="188"/>
      <c r="AJ459" s="188"/>
      <c r="AK459" s="299"/>
      <c r="CQ459" s="374">
        <v>135</v>
      </c>
      <c r="DG459" s="380"/>
    </row>
    <row r="460" spans="2:111" ht="13">
      <c r="B460" s="294"/>
      <c r="C460" s="294"/>
      <c r="D460" s="294"/>
      <c r="E460" s="294"/>
      <c r="F460" s="294"/>
      <c r="G460" s="294"/>
      <c r="H460" s="294"/>
      <c r="P460" s="295"/>
      <c r="W460" s="295"/>
      <c r="AE460" s="188"/>
      <c r="AG460" s="188"/>
      <c r="AH460" s="188"/>
      <c r="AI460" s="188"/>
      <c r="AJ460" s="188"/>
      <c r="AK460" s="299"/>
      <c r="CQ460" s="374">
        <v>136</v>
      </c>
      <c r="DG460" s="380"/>
    </row>
    <row r="461" spans="2:111" ht="13">
      <c r="B461" s="294"/>
      <c r="C461" s="294"/>
      <c r="D461" s="294"/>
      <c r="E461" s="294"/>
      <c r="F461" s="294"/>
      <c r="G461" s="294"/>
      <c r="H461" s="294"/>
      <c r="P461" s="295"/>
      <c r="W461" s="295"/>
      <c r="AE461" s="188"/>
      <c r="AG461" s="188"/>
      <c r="AH461" s="188"/>
      <c r="AI461" s="188"/>
      <c r="AJ461" s="188"/>
      <c r="AK461" s="299"/>
      <c r="CQ461" s="374">
        <v>137</v>
      </c>
      <c r="DG461" s="380"/>
    </row>
    <row r="462" spans="2:111" ht="13">
      <c r="B462" s="294"/>
      <c r="C462" s="294"/>
      <c r="D462" s="294"/>
      <c r="E462" s="294"/>
      <c r="F462" s="294"/>
      <c r="G462" s="294"/>
      <c r="H462" s="294"/>
      <c r="P462" s="295"/>
      <c r="W462" s="295"/>
      <c r="AE462" s="188"/>
      <c r="AG462" s="188"/>
      <c r="AH462" s="188"/>
      <c r="AI462" s="188"/>
      <c r="AJ462" s="188"/>
      <c r="AK462" s="299"/>
      <c r="CQ462" s="374">
        <v>138</v>
      </c>
      <c r="DG462" s="380"/>
    </row>
    <row r="463" spans="2:111" ht="13">
      <c r="B463" s="294"/>
      <c r="C463" s="294"/>
      <c r="D463" s="294"/>
      <c r="E463" s="294"/>
      <c r="F463" s="294"/>
      <c r="G463" s="294"/>
      <c r="H463" s="294"/>
      <c r="P463" s="295"/>
      <c r="W463" s="295"/>
      <c r="AE463" s="188"/>
      <c r="AG463" s="188"/>
      <c r="AH463" s="188"/>
      <c r="AI463" s="188"/>
      <c r="AJ463" s="188"/>
      <c r="AK463" s="299"/>
      <c r="CQ463" s="374">
        <v>139</v>
      </c>
      <c r="DG463" s="380"/>
    </row>
    <row r="464" spans="2:111" ht="13">
      <c r="B464" s="294"/>
      <c r="C464" s="294"/>
      <c r="D464" s="294"/>
      <c r="E464" s="294"/>
      <c r="F464" s="294"/>
      <c r="G464" s="294"/>
      <c r="H464" s="294"/>
      <c r="P464" s="295"/>
      <c r="W464" s="295"/>
      <c r="AE464" s="188"/>
      <c r="AG464" s="188"/>
      <c r="AH464" s="188"/>
      <c r="AI464" s="188"/>
      <c r="AJ464" s="188"/>
      <c r="AK464" s="299"/>
      <c r="CQ464" s="381">
        <v>140</v>
      </c>
      <c r="CR464" s="382"/>
      <c r="CS464" s="382"/>
      <c r="CT464" s="382"/>
      <c r="CU464" s="382"/>
      <c r="CV464" s="382"/>
      <c r="CW464" s="382"/>
      <c r="CX464" s="382"/>
      <c r="CY464" s="382"/>
      <c r="CZ464" s="382"/>
      <c r="DA464" s="382"/>
      <c r="DB464" s="382"/>
      <c r="DC464" s="382"/>
      <c r="DD464" s="382"/>
      <c r="DE464" s="382"/>
      <c r="DF464" s="382"/>
      <c r="DG464" s="383"/>
    </row>
    <row r="465" spans="2:37" ht="13">
      <c r="B465" s="294"/>
      <c r="C465" s="294"/>
      <c r="D465" s="294"/>
      <c r="E465" s="294"/>
      <c r="F465" s="294"/>
      <c r="G465" s="294"/>
      <c r="H465" s="294"/>
      <c r="P465" s="295"/>
      <c r="W465" s="295"/>
      <c r="AE465" s="188"/>
      <c r="AG465" s="188"/>
      <c r="AH465" s="188"/>
      <c r="AI465" s="188"/>
      <c r="AJ465" s="188"/>
      <c r="AK465" s="299"/>
    </row>
    <row r="466" spans="2:37" ht="13">
      <c r="B466" s="294"/>
      <c r="C466" s="294"/>
      <c r="D466" s="294"/>
      <c r="E466" s="294"/>
      <c r="F466" s="294"/>
      <c r="G466" s="294"/>
      <c r="H466" s="294"/>
      <c r="P466" s="295"/>
      <c r="W466" s="295"/>
      <c r="AE466" s="188"/>
      <c r="AG466" s="188"/>
      <c r="AH466" s="188"/>
      <c r="AI466" s="188"/>
      <c r="AJ466" s="188"/>
      <c r="AK466" s="299"/>
    </row>
    <row r="467" spans="2:37" ht="13">
      <c r="B467" s="294"/>
      <c r="C467" s="294"/>
      <c r="D467" s="294"/>
      <c r="E467" s="294"/>
      <c r="F467" s="294"/>
      <c r="G467" s="294"/>
      <c r="H467" s="294"/>
      <c r="P467" s="295"/>
      <c r="W467" s="295"/>
      <c r="AE467" s="188"/>
      <c r="AG467" s="188"/>
      <c r="AH467" s="188"/>
      <c r="AI467" s="188"/>
      <c r="AJ467" s="188"/>
      <c r="AK467" s="299"/>
    </row>
    <row r="468" spans="2:37" ht="13">
      <c r="B468" s="294"/>
      <c r="C468" s="294"/>
      <c r="D468" s="294"/>
      <c r="E468" s="294"/>
      <c r="F468" s="294"/>
      <c r="G468" s="294"/>
      <c r="H468" s="294"/>
      <c r="P468" s="295"/>
      <c r="W468" s="295"/>
      <c r="AE468" s="188"/>
      <c r="AG468" s="188"/>
      <c r="AH468" s="188"/>
      <c r="AI468" s="188"/>
      <c r="AJ468" s="188"/>
      <c r="AK468" s="299"/>
    </row>
    <row r="469" spans="2:37" ht="13">
      <c r="B469" s="294"/>
      <c r="C469" s="294"/>
      <c r="D469" s="294"/>
      <c r="E469" s="294"/>
      <c r="F469" s="294"/>
      <c r="G469" s="294"/>
      <c r="H469" s="294"/>
      <c r="P469" s="295"/>
      <c r="W469" s="295"/>
      <c r="AE469" s="188"/>
      <c r="AG469" s="188"/>
      <c r="AH469" s="188"/>
      <c r="AI469" s="188"/>
      <c r="AJ469" s="188"/>
      <c r="AK469" s="299"/>
    </row>
    <row r="470" spans="2:37" ht="13">
      <c r="B470" s="294"/>
      <c r="C470" s="294"/>
      <c r="D470" s="294"/>
      <c r="E470" s="294"/>
      <c r="F470" s="294"/>
      <c r="G470" s="294"/>
      <c r="H470" s="294"/>
      <c r="P470" s="295"/>
      <c r="W470" s="295"/>
      <c r="AE470" s="188"/>
      <c r="AG470" s="188"/>
      <c r="AH470" s="188"/>
      <c r="AI470" s="188"/>
      <c r="AJ470" s="188"/>
      <c r="AK470" s="299"/>
    </row>
    <row r="471" spans="2:37" ht="13">
      <c r="B471" s="294"/>
      <c r="C471" s="294"/>
      <c r="D471" s="294"/>
      <c r="E471" s="294"/>
      <c r="F471" s="294"/>
      <c r="G471" s="294"/>
      <c r="H471" s="294"/>
      <c r="P471" s="295"/>
      <c r="W471" s="295"/>
      <c r="AE471" s="188"/>
      <c r="AG471" s="188"/>
      <c r="AH471" s="188"/>
      <c r="AI471" s="188"/>
      <c r="AJ471" s="188"/>
      <c r="AK471" s="299"/>
    </row>
    <row r="472" spans="2:37" ht="13">
      <c r="B472" s="294"/>
      <c r="C472" s="294"/>
      <c r="D472" s="294"/>
      <c r="E472" s="294"/>
      <c r="F472" s="294"/>
      <c r="G472" s="294"/>
      <c r="H472" s="294"/>
      <c r="P472" s="295"/>
      <c r="W472" s="295"/>
      <c r="AE472" s="188"/>
      <c r="AG472" s="188"/>
      <c r="AH472" s="188"/>
      <c r="AI472" s="188"/>
      <c r="AJ472" s="188"/>
      <c r="AK472" s="299"/>
    </row>
    <row r="473" spans="2:37" ht="13">
      <c r="B473" s="294"/>
      <c r="C473" s="294"/>
      <c r="D473" s="294"/>
      <c r="E473" s="294"/>
      <c r="F473" s="294"/>
      <c r="G473" s="294"/>
      <c r="H473" s="294"/>
      <c r="P473" s="295"/>
      <c r="W473" s="295"/>
      <c r="AE473" s="188"/>
      <c r="AG473" s="188"/>
      <c r="AH473" s="188"/>
      <c r="AI473" s="188"/>
      <c r="AJ473" s="188"/>
      <c r="AK473" s="299"/>
    </row>
    <row r="474" spans="2:37" ht="13">
      <c r="B474" s="294"/>
      <c r="C474" s="294"/>
      <c r="D474" s="294"/>
      <c r="E474" s="294"/>
      <c r="F474" s="294"/>
      <c r="G474" s="294"/>
      <c r="H474" s="294"/>
      <c r="P474" s="295"/>
      <c r="W474" s="295"/>
      <c r="AE474" s="188"/>
      <c r="AG474" s="188"/>
      <c r="AH474" s="188"/>
      <c r="AI474" s="188"/>
      <c r="AJ474" s="188"/>
      <c r="AK474" s="299"/>
    </row>
    <row r="475" spans="2:37" ht="13">
      <c r="B475" s="294"/>
      <c r="C475" s="294"/>
      <c r="D475" s="294"/>
      <c r="E475" s="294"/>
      <c r="F475" s="294"/>
      <c r="G475" s="294"/>
      <c r="H475" s="294"/>
      <c r="P475" s="295"/>
      <c r="W475" s="295"/>
      <c r="AE475" s="188"/>
      <c r="AG475" s="188"/>
      <c r="AH475" s="188"/>
      <c r="AI475" s="188"/>
      <c r="AJ475" s="188"/>
      <c r="AK475" s="299"/>
    </row>
    <row r="476" spans="2:37" ht="13">
      <c r="B476" s="294"/>
      <c r="C476" s="294"/>
      <c r="D476" s="294"/>
      <c r="E476" s="294"/>
      <c r="F476" s="294"/>
      <c r="G476" s="294"/>
      <c r="H476" s="294"/>
      <c r="P476" s="295"/>
      <c r="W476" s="295"/>
      <c r="AE476" s="188"/>
      <c r="AG476" s="188"/>
      <c r="AH476" s="188"/>
      <c r="AI476" s="188"/>
      <c r="AJ476" s="188"/>
      <c r="AK476" s="299"/>
    </row>
    <row r="477" spans="2:37" ht="13">
      <c r="B477" s="294"/>
      <c r="C477" s="294"/>
      <c r="D477" s="294"/>
      <c r="E477" s="294"/>
      <c r="F477" s="294"/>
      <c r="G477" s="294"/>
      <c r="H477" s="294"/>
      <c r="P477" s="295"/>
      <c r="W477" s="295"/>
      <c r="AE477" s="188"/>
      <c r="AG477" s="188"/>
      <c r="AH477" s="188"/>
      <c r="AI477" s="188"/>
      <c r="AJ477" s="188"/>
      <c r="AK477" s="299"/>
    </row>
    <row r="478" spans="2:37" ht="13">
      <c r="B478" s="294"/>
      <c r="C478" s="294"/>
      <c r="D478" s="294"/>
      <c r="E478" s="294"/>
      <c r="F478" s="294"/>
      <c r="G478" s="294"/>
      <c r="H478" s="294"/>
      <c r="P478" s="295"/>
      <c r="W478" s="295"/>
      <c r="AE478" s="188"/>
      <c r="AG478" s="188"/>
      <c r="AH478" s="188"/>
      <c r="AI478" s="188"/>
      <c r="AJ478" s="188"/>
      <c r="AK478" s="299"/>
    </row>
    <row r="479" spans="2:37" ht="13">
      <c r="B479" s="294"/>
      <c r="C479" s="294"/>
      <c r="D479" s="294"/>
      <c r="E479" s="294"/>
      <c r="F479" s="294"/>
      <c r="G479" s="294"/>
      <c r="H479" s="294"/>
      <c r="P479" s="295"/>
      <c r="W479" s="295"/>
      <c r="AE479" s="188"/>
      <c r="AG479" s="188"/>
      <c r="AH479" s="188"/>
      <c r="AI479" s="188"/>
      <c r="AJ479" s="188"/>
      <c r="AK479" s="299"/>
    </row>
    <row r="480" spans="2:37" ht="13">
      <c r="B480" s="294"/>
      <c r="C480" s="294"/>
      <c r="D480" s="294"/>
      <c r="E480" s="294"/>
      <c r="F480" s="294"/>
      <c r="G480" s="294"/>
      <c r="H480" s="294"/>
      <c r="P480" s="295"/>
      <c r="W480" s="295"/>
      <c r="AE480" s="188"/>
      <c r="AG480" s="188"/>
      <c r="AH480" s="188"/>
      <c r="AI480" s="188"/>
      <c r="AJ480" s="188"/>
      <c r="AK480" s="299"/>
    </row>
    <row r="481" spans="2:37" ht="13">
      <c r="B481" s="294"/>
      <c r="C481" s="294"/>
      <c r="D481" s="294"/>
      <c r="E481" s="294"/>
      <c r="F481" s="294"/>
      <c r="G481" s="294"/>
      <c r="H481" s="294"/>
      <c r="P481" s="295"/>
      <c r="W481" s="295"/>
      <c r="AE481" s="188"/>
      <c r="AG481" s="188"/>
      <c r="AH481" s="188"/>
      <c r="AI481" s="188"/>
      <c r="AJ481" s="188"/>
      <c r="AK481" s="299"/>
    </row>
    <row r="482" spans="2:37" ht="13">
      <c r="B482" s="294"/>
      <c r="C482" s="294"/>
      <c r="D482" s="294"/>
      <c r="E482" s="294"/>
      <c r="F482" s="294"/>
      <c r="G482" s="294"/>
      <c r="H482" s="294"/>
      <c r="P482" s="295"/>
      <c r="W482" s="295"/>
      <c r="AE482" s="188"/>
      <c r="AG482" s="188"/>
      <c r="AH482" s="188"/>
      <c r="AI482" s="188"/>
      <c r="AJ482" s="188"/>
      <c r="AK482" s="299"/>
    </row>
    <row r="483" spans="2:37" ht="13">
      <c r="B483" s="294"/>
      <c r="C483" s="294"/>
      <c r="D483" s="294"/>
      <c r="E483" s="294"/>
      <c r="F483" s="294"/>
      <c r="G483" s="294"/>
      <c r="H483" s="294"/>
      <c r="P483" s="295"/>
      <c r="W483" s="295"/>
      <c r="AE483" s="188"/>
      <c r="AG483" s="188"/>
      <c r="AH483" s="188"/>
      <c r="AI483" s="188"/>
      <c r="AJ483" s="188"/>
      <c r="AK483" s="299"/>
    </row>
    <row r="484" spans="2:37" ht="13">
      <c r="B484" s="294"/>
      <c r="C484" s="294"/>
      <c r="D484" s="294"/>
      <c r="E484" s="294"/>
      <c r="F484" s="294"/>
      <c r="G484" s="294"/>
      <c r="H484" s="294"/>
      <c r="P484" s="295"/>
      <c r="W484" s="295"/>
      <c r="AE484" s="188"/>
      <c r="AG484" s="188"/>
      <c r="AH484" s="188"/>
      <c r="AI484" s="188"/>
      <c r="AJ484" s="188"/>
      <c r="AK484" s="299"/>
    </row>
    <row r="485" spans="2:37" ht="13">
      <c r="B485" s="294"/>
      <c r="C485" s="294"/>
      <c r="D485" s="294"/>
      <c r="E485" s="294"/>
      <c r="F485" s="294"/>
      <c r="G485" s="294"/>
      <c r="H485" s="294"/>
      <c r="P485" s="295"/>
      <c r="W485" s="295"/>
      <c r="AE485" s="188"/>
      <c r="AG485" s="188"/>
      <c r="AH485" s="188"/>
      <c r="AI485" s="188"/>
      <c r="AJ485" s="188"/>
      <c r="AK485" s="299"/>
    </row>
    <row r="486" spans="2:37" ht="13">
      <c r="B486" s="294"/>
      <c r="C486" s="294"/>
      <c r="D486" s="294"/>
      <c r="E486" s="294"/>
      <c r="F486" s="294"/>
      <c r="G486" s="294"/>
      <c r="H486" s="294"/>
      <c r="P486" s="295"/>
      <c r="W486" s="295"/>
      <c r="AE486" s="188"/>
      <c r="AG486" s="188"/>
      <c r="AH486" s="188"/>
      <c r="AI486" s="188"/>
      <c r="AJ486" s="188"/>
      <c r="AK486" s="299"/>
    </row>
    <row r="487" spans="2:37" ht="13">
      <c r="B487" s="294"/>
      <c r="C487" s="294"/>
      <c r="D487" s="294"/>
      <c r="E487" s="294"/>
      <c r="F487" s="294"/>
      <c r="G487" s="294"/>
      <c r="H487" s="294"/>
      <c r="P487" s="295"/>
      <c r="W487" s="295"/>
      <c r="AE487" s="188"/>
      <c r="AG487" s="188"/>
      <c r="AH487" s="188"/>
      <c r="AI487" s="188"/>
      <c r="AJ487" s="188"/>
      <c r="AK487" s="299"/>
    </row>
    <row r="488" spans="2:37" ht="13">
      <c r="B488" s="294"/>
      <c r="C488" s="294"/>
      <c r="D488" s="294"/>
      <c r="E488" s="294"/>
      <c r="F488" s="294"/>
      <c r="G488" s="294"/>
      <c r="H488" s="294"/>
      <c r="P488" s="295"/>
      <c r="W488" s="295"/>
      <c r="AE488" s="188"/>
      <c r="AG488" s="188"/>
      <c r="AH488" s="188"/>
      <c r="AI488" s="188"/>
      <c r="AJ488" s="188"/>
      <c r="AK488" s="299"/>
    </row>
    <row r="489" spans="2:37" ht="13">
      <c r="B489" s="294"/>
      <c r="C489" s="294"/>
      <c r="D489" s="294"/>
      <c r="E489" s="294"/>
      <c r="F489" s="294"/>
      <c r="G489" s="294"/>
      <c r="H489" s="294"/>
      <c r="P489" s="295"/>
      <c r="W489" s="295"/>
      <c r="AE489" s="188"/>
      <c r="AG489" s="188"/>
      <c r="AH489" s="188"/>
      <c r="AI489" s="188"/>
      <c r="AJ489" s="188"/>
      <c r="AK489" s="299"/>
    </row>
    <row r="490" spans="2:37" ht="13">
      <c r="B490" s="294"/>
      <c r="C490" s="294"/>
      <c r="D490" s="294"/>
      <c r="E490" s="294"/>
      <c r="F490" s="294"/>
      <c r="G490" s="294"/>
      <c r="H490" s="294"/>
      <c r="P490" s="295"/>
      <c r="W490" s="295"/>
      <c r="AE490" s="188"/>
      <c r="AG490" s="188"/>
      <c r="AH490" s="188"/>
      <c r="AI490" s="188"/>
      <c r="AJ490" s="188"/>
      <c r="AK490" s="299"/>
    </row>
    <row r="491" spans="2:37" ht="13">
      <c r="B491" s="294"/>
      <c r="C491" s="294"/>
      <c r="D491" s="294"/>
      <c r="E491" s="294"/>
      <c r="F491" s="294"/>
      <c r="G491" s="294"/>
      <c r="H491" s="294"/>
      <c r="P491" s="295"/>
      <c r="W491" s="295"/>
      <c r="AE491" s="188"/>
      <c r="AG491" s="188"/>
      <c r="AH491" s="188"/>
      <c r="AI491" s="188"/>
      <c r="AJ491" s="188"/>
      <c r="AK491" s="299"/>
    </row>
    <row r="492" spans="2:37" ht="13">
      <c r="B492" s="294"/>
      <c r="C492" s="294"/>
      <c r="D492" s="294"/>
      <c r="E492" s="294"/>
      <c r="F492" s="294"/>
      <c r="G492" s="294"/>
      <c r="H492" s="294"/>
      <c r="P492" s="295"/>
      <c r="W492" s="295"/>
      <c r="AE492" s="188"/>
      <c r="AG492" s="188"/>
      <c r="AH492" s="188"/>
      <c r="AI492" s="188"/>
      <c r="AJ492" s="188"/>
      <c r="AK492" s="299"/>
    </row>
    <row r="493" spans="2:37" ht="13">
      <c r="B493" s="294"/>
      <c r="C493" s="294"/>
      <c r="D493" s="294"/>
      <c r="E493" s="294"/>
      <c r="F493" s="294"/>
      <c r="G493" s="294"/>
      <c r="H493" s="294"/>
      <c r="P493" s="295"/>
      <c r="W493" s="295"/>
      <c r="AE493" s="188"/>
      <c r="AG493" s="188"/>
      <c r="AH493" s="188"/>
      <c r="AI493" s="188"/>
      <c r="AJ493" s="188"/>
      <c r="AK493" s="299"/>
    </row>
    <row r="494" spans="2:37" ht="13">
      <c r="B494" s="294"/>
      <c r="C494" s="294"/>
      <c r="D494" s="294"/>
      <c r="E494" s="294"/>
      <c r="F494" s="294"/>
      <c r="G494" s="294"/>
      <c r="H494" s="294"/>
      <c r="P494" s="295"/>
      <c r="W494" s="295"/>
      <c r="AE494" s="188"/>
      <c r="AG494" s="188"/>
      <c r="AH494" s="188"/>
      <c r="AI494" s="188"/>
      <c r="AJ494" s="188"/>
      <c r="AK494" s="299"/>
    </row>
    <row r="495" spans="2:37" ht="13">
      <c r="B495" s="294"/>
      <c r="C495" s="294"/>
      <c r="D495" s="294"/>
      <c r="E495" s="294"/>
      <c r="F495" s="294"/>
      <c r="G495" s="294"/>
      <c r="H495" s="294"/>
      <c r="P495" s="295"/>
      <c r="W495" s="295"/>
      <c r="AE495" s="188"/>
      <c r="AG495" s="188"/>
      <c r="AH495" s="188"/>
      <c r="AI495" s="188"/>
      <c r="AJ495" s="188"/>
      <c r="AK495" s="299"/>
    </row>
    <row r="496" spans="2:37" ht="13">
      <c r="B496" s="294"/>
      <c r="C496" s="294"/>
      <c r="D496" s="294"/>
      <c r="E496" s="294"/>
      <c r="F496" s="294"/>
      <c r="G496" s="294"/>
      <c r="H496" s="294"/>
      <c r="P496" s="295"/>
      <c r="W496" s="295"/>
      <c r="AE496" s="188"/>
      <c r="AG496" s="188"/>
      <c r="AH496" s="188"/>
      <c r="AI496" s="188"/>
      <c r="AJ496" s="188"/>
      <c r="AK496" s="299"/>
    </row>
    <row r="497" spans="2:37" ht="13">
      <c r="B497" s="294"/>
      <c r="C497" s="294"/>
      <c r="D497" s="294"/>
      <c r="E497" s="294"/>
      <c r="F497" s="294"/>
      <c r="G497" s="294"/>
      <c r="H497" s="294"/>
      <c r="P497" s="295"/>
      <c r="W497" s="295"/>
      <c r="AE497" s="188"/>
      <c r="AG497" s="188"/>
      <c r="AH497" s="188"/>
      <c r="AI497" s="188"/>
      <c r="AJ497" s="188"/>
      <c r="AK497" s="299"/>
    </row>
    <row r="498" spans="2:37" ht="13">
      <c r="B498" s="294"/>
      <c r="C498" s="294"/>
      <c r="D498" s="294"/>
      <c r="E498" s="294"/>
      <c r="F498" s="294"/>
      <c r="G498" s="294"/>
      <c r="H498" s="294"/>
      <c r="P498" s="295"/>
      <c r="W498" s="295"/>
      <c r="AE498" s="188"/>
      <c r="AG498" s="188"/>
      <c r="AH498" s="188"/>
      <c r="AI498" s="188"/>
      <c r="AJ498" s="188"/>
      <c r="AK498" s="299"/>
    </row>
    <row r="499" spans="2:37" ht="13">
      <c r="B499" s="294"/>
      <c r="C499" s="294"/>
      <c r="D499" s="294"/>
      <c r="E499" s="294"/>
      <c r="F499" s="294"/>
      <c r="G499" s="294"/>
      <c r="H499" s="294"/>
      <c r="P499" s="295"/>
      <c r="W499" s="295"/>
      <c r="AE499" s="188"/>
      <c r="AG499" s="188"/>
      <c r="AH499" s="188"/>
      <c r="AI499" s="188"/>
      <c r="AJ499" s="188"/>
      <c r="AK499" s="299"/>
    </row>
    <row r="500" spans="2:37" ht="13">
      <c r="B500" s="294"/>
      <c r="C500" s="294"/>
      <c r="D500" s="294"/>
      <c r="E500" s="294"/>
      <c r="F500" s="294"/>
      <c r="G500" s="294"/>
      <c r="H500" s="294"/>
      <c r="P500" s="295"/>
      <c r="W500" s="295"/>
      <c r="AE500" s="188"/>
      <c r="AG500" s="188"/>
      <c r="AH500" s="188"/>
      <c r="AI500" s="188"/>
      <c r="AJ500" s="188"/>
      <c r="AK500" s="299"/>
    </row>
    <row r="501" spans="2:37" ht="13">
      <c r="B501" s="294"/>
      <c r="C501" s="294"/>
      <c r="D501" s="294"/>
      <c r="E501" s="294"/>
      <c r="F501" s="294"/>
      <c r="G501" s="294"/>
      <c r="H501" s="294"/>
      <c r="P501" s="295"/>
      <c r="W501" s="295"/>
      <c r="AE501" s="188"/>
      <c r="AG501" s="188"/>
      <c r="AH501" s="188"/>
      <c r="AI501" s="188"/>
      <c r="AJ501" s="188"/>
      <c r="AK501" s="299"/>
    </row>
    <row r="502" spans="2:37" ht="13">
      <c r="B502" s="294"/>
      <c r="C502" s="294"/>
      <c r="D502" s="294"/>
      <c r="E502" s="294"/>
      <c r="F502" s="294"/>
      <c r="G502" s="294"/>
      <c r="H502" s="294"/>
      <c r="P502" s="295"/>
      <c r="W502" s="295"/>
      <c r="AE502" s="188"/>
      <c r="AG502" s="188"/>
      <c r="AH502" s="188"/>
      <c r="AI502" s="188"/>
      <c r="AJ502" s="188"/>
      <c r="AK502" s="299"/>
    </row>
    <row r="503" spans="2:37" ht="13">
      <c r="B503" s="294"/>
      <c r="C503" s="294"/>
      <c r="D503" s="294"/>
      <c r="E503" s="294"/>
      <c r="F503" s="294"/>
      <c r="G503" s="294"/>
      <c r="H503" s="294"/>
      <c r="P503" s="295"/>
      <c r="W503" s="295"/>
      <c r="AE503" s="188"/>
      <c r="AG503" s="188"/>
      <c r="AH503" s="188"/>
      <c r="AI503" s="188"/>
      <c r="AJ503" s="188"/>
      <c r="AK503" s="299"/>
    </row>
    <row r="504" spans="2:37" ht="13">
      <c r="B504" s="294"/>
      <c r="C504" s="294"/>
      <c r="D504" s="294"/>
      <c r="E504" s="294"/>
      <c r="F504" s="294"/>
      <c r="G504" s="294"/>
      <c r="H504" s="294"/>
      <c r="P504" s="295"/>
      <c r="W504" s="295"/>
      <c r="AE504" s="188"/>
      <c r="AG504" s="188"/>
      <c r="AH504" s="188"/>
      <c r="AI504" s="188"/>
      <c r="AJ504" s="188"/>
      <c r="AK504" s="299"/>
    </row>
    <row r="505" spans="2:37" ht="13">
      <c r="B505" s="294"/>
      <c r="C505" s="294"/>
      <c r="D505" s="294"/>
      <c r="E505" s="294"/>
      <c r="F505" s="294"/>
      <c r="G505" s="294"/>
      <c r="H505" s="294"/>
      <c r="P505" s="295"/>
      <c r="W505" s="295"/>
      <c r="AE505" s="188"/>
      <c r="AG505" s="188"/>
      <c r="AH505" s="188"/>
      <c r="AI505" s="188"/>
      <c r="AJ505" s="188"/>
      <c r="AK505" s="299"/>
    </row>
    <row r="506" spans="2:37" ht="13">
      <c r="B506" s="294"/>
      <c r="C506" s="294"/>
      <c r="D506" s="294"/>
      <c r="E506" s="294"/>
      <c r="F506" s="294"/>
      <c r="G506" s="294"/>
      <c r="H506" s="294"/>
      <c r="P506" s="295"/>
      <c r="W506" s="295"/>
      <c r="AE506" s="188"/>
      <c r="AG506" s="188"/>
      <c r="AH506" s="188"/>
      <c r="AI506" s="188"/>
      <c r="AJ506" s="188"/>
      <c r="AK506" s="299"/>
    </row>
    <row r="507" spans="2:37" ht="13">
      <c r="B507" s="294"/>
      <c r="C507" s="294"/>
      <c r="D507" s="294"/>
      <c r="E507" s="294"/>
      <c r="F507" s="294"/>
      <c r="G507" s="294"/>
      <c r="H507" s="294"/>
      <c r="P507" s="295"/>
      <c r="W507" s="295"/>
      <c r="AE507" s="188"/>
      <c r="AG507" s="188"/>
      <c r="AH507" s="188"/>
      <c r="AI507" s="188"/>
      <c r="AJ507" s="188"/>
      <c r="AK507" s="299"/>
    </row>
    <row r="508" spans="2:37" ht="13">
      <c r="B508" s="294"/>
      <c r="C508" s="294"/>
      <c r="D508" s="294"/>
      <c r="E508" s="294"/>
      <c r="F508" s="294"/>
      <c r="G508" s="294"/>
      <c r="H508" s="294"/>
      <c r="P508" s="295"/>
      <c r="W508" s="295"/>
      <c r="AE508" s="188"/>
      <c r="AG508" s="188"/>
      <c r="AH508" s="188"/>
      <c r="AI508" s="188"/>
      <c r="AJ508" s="188"/>
      <c r="AK508" s="299"/>
    </row>
    <row r="509" spans="2:37" ht="13">
      <c r="B509" s="294"/>
      <c r="C509" s="294"/>
      <c r="D509" s="294"/>
      <c r="E509" s="294"/>
      <c r="F509" s="294"/>
      <c r="G509" s="294"/>
      <c r="H509" s="294"/>
      <c r="P509" s="295"/>
      <c r="W509" s="295"/>
      <c r="AE509" s="188"/>
      <c r="AG509" s="188"/>
      <c r="AH509" s="188"/>
      <c r="AI509" s="188"/>
      <c r="AJ509" s="188"/>
      <c r="AK509" s="299"/>
    </row>
    <row r="510" spans="2:37" ht="13">
      <c r="B510" s="294"/>
      <c r="C510" s="294"/>
      <c r="D510" s="294"/>
      <c r="E510" s="294"/>
      <c r="F510" s="294"/>
      <c r="G510" s="294"/>
      <c r="H510" s="294"/>
      <c r="P510" s="295"/>
      <c r="W510" s="295"/>
      <c r="AE510" s="188"/>
      <c r="AG510" s="188"/>
      <c r="AH510" s="188"/>
      <c r="AI510" s="188"/>
      <c r="AJ510" s="188"/>
      <c r="AK510" s="299"/>
    </row>
    <row r="511" spans="2:37" ht="13">
      <c r="B511" s="294"/>
      <c r="C511" s="294"/>
      <c r="D511" s="294"/>
      <c r="E511" s="294"/>
      <c r="F511" s="294"/>
      <c r="G511" s="294"/>
      <c r="H511" s="294"/>
      <c r="P511" s="295"/>
      <c r="W511" s="295"/>
      <c r="AE511" s="188"/>
      <c r="AG511" s="188"/>
      <c r="AH511" s="188"/>
      <c r="AI511" s="188"/>
      <c r="AJ511" s="188"/>
      <c r="AK511" s="299"/>
    </row>
    <row r="512" spans="2:37" ht="13">
      <c r="B512" s="294"/>
      <c r="C512" s="294"/>
      <c r="D512" s="294"/>
      <c r="E512" s="294"/>
      <c r="F512" s="294"/>
      <c r="G512" s="294"/>
      <c r="H512" s="294"/>
      <c r="P512" s="295"/>
      <c r="W512" s="295"/>
      <c r="AE512" s="188"/>
      <c r="AG512" s="188"/>
      <c r="AH512" s="188"/>
      <c r="AI512" s="188"/>
      <c r="AJ512" s="188"/>
      <c r="AK512" s="299"/>
    </row>
    <row r="513" spans="2:37" ht="13">
      <c r="B513" s="294"/>
      <c r="C513" s="294"/>
      <c r="D513" s="294"/>
      <c r="E513" s="294"/>
      <c r="F513" s="294"/>
      <c r="G513" s="294"/>
      <c r="H513" s="294"/>
      <c r="P513" s="295"/>
      <c r="W513" s="295"/>
      <c r="AE513" s="188"/>
      <c r="AG513" s="188"/>
      <c r="AH513" s="188"/>
      <c r="AI513" s="188"/>
      <c r="AJ513" s="188"/>
      <c r="AK513" s="299"/>
    </row>
    <row r="514" spans="2:37" ht="13">
      <c r="B514" s="294"/>
      <c r="C514" s="294"/>
      <c r="D514" s="294"/>
      <c r="E514" s="294"/>
      <c r="F514" s="294"/>
      <c r="G514" s="294"/>
      <c r="H514" s="294"/>
      <c r="P514" s="295"/>
      <c r="W514" s="295"/>
      <c r="AE514" s="188"/>
      <c r="AG514" s="188"/>
      <c r="AH514" s="188"/>
      <c r="AI514" s="188"/>
      <c r="AJ514" s="188"/>
      <c r="AK514" s="299"/>
    </row>
    <row r="515" spans="2:37" ht="13">
      <c r="B515" s="294"/>
      <c r="C515" s="294"/>
      <c r="D515" s="294"/>
      <c r="E515" s="294"/>
      <c r="F515" s="294"/>
      <c r="G515" s="294"/>
      <c r="H515" s="294"/>
      <c r="P515" s="295"/>
      <c r="W515" s="295"/>
      <c r="AE515" s="188"/>
      <c r="AG515" s="188"/>
      <c r="AH515" s="188"/>
      <c r="AI515" s="188"/>
      <c r="AJ515" s="188"/>
      <c r="AK515" s="299"/>
    </row>
    <row r="516" spans="2:37" ht="13">
      <c r="B516" s="294"/>
      <c r="C516" s="294"/>
      <c r="D516" s="294"/>
      <c r="E516" s="294"/>
      <c r="F516" s="294"/>
      <c r="G516" s="294"/>
      <c r="H516" s="294"/>
      <c r="P516" s="295"/>
      <c r="W516" s="295"/>
      <c r="AE516" s="188"/>
      <c r="AG516" s="188"/>
      <c r="AH516" s="188"/>
      <c r="AI516" s="188"/>
      <c r="AJ516" s="188"/>
      <c r="AK516" s="299"/>
    </row>
    <row r="517" spans="2:37" ht="13">
      <c r="B517" s="294"/>
      <c r="C517" s="294"/>
      <c r="D517" s="294"/>
      <c r="E517" s="294"/>
      <c r="F517" s="294"/>
      <c r="G517" s="294"/>
      <c r="H517" s="294"/>
      <c r="P517" s="295"/>
      <c r="W517" s="295"/>
      <c r="AE517" s="188"/>
      <c r="AG517" s="188"/>
      <c r="AH517" s="188"/>
      <c r="AI517" s="188"/>
      <c r="AJ517" s="188"/>
      <c r="AK517" s="299"/>
    </row>
    <row r="518" spans="2:37" ht="13">
      <c r="B518" s="294"/>
      <c r="C518" s="294"/>
      <c r="D518" s="294"/>
      <c r="E518" s="294"/>
      <c r="F518" s="294"/>
      <c r="G518" s="294"/>
      <c r="H518" s="294"/>
      <c r="P518" s="295"/>
      <c r="W518" s="295"/>
      <c r="AE518" s="188"/>
      <c r="AG518" s="188"/>
      <c r="AH518" s="188"/>
      <c r="AI518" s="188"/>
      <c r="AJ518" s="188"/>
      <c r="AK518" s="299"/>
    </row>
    <row r="519" spans="2:37" ht="13">
      <c r="B519" s="294"/>
      <c r="C519" s="294"/>
      <c r="D519" s="294"/>
      <c r="E519" s="294"/>
      <c r="F519" s="294"/>
      <c r="G519" s="294"/>
      <c r="H519" s="294"/>
      <c r="P519" s="295"/>
      <c r="W519" s="295"/>
      <c r="AE519" s="188"/>
      <c r="AG519" s="188"/>
      <c r="AH519" s="188"/>
      <c r="AI519" s="188"/>
      <c r="AJ519" s="188"/>
      <c r="AK519" s="299"/>
    </row>
    <row r="520" spans="2:37" ht="13">
      <c r="B520" s="294"/>
      <c r="C520" s="294"/>
      <c r="D520" s="294"/>
      <c r="E520" s="294"/>
      <c r="F520" s="294"/>
      <c r="G520" s="294"/>
      <c r="H520" s="294"/>
      <c r="P520" s="295"/>
      <c r="W520" s="295"/>
      <c r="AE520" s="188"/>
      <c r="AG520" s="188"/>
      <c r="AH520" s="188"/>
      <c r="AI520" s="188"/>
      <c r="AJ520" s="188"/>
      <c r="AK520" s="299"/>
    </row>
    <row r="521" spans="2:37" ht="13">
      <c r="B521" s="294"/>
      <c r="C521" s="294"/>
      <c r="D521" s="294"/>
      <c r="E521" s="294"/>
      <c r="F521" s="294"/>
      <c r="G521" s="294"/>
      <c r="H521" s="294"/>
      <c r="P521" s="295"/>
      <c r="W521" s="295"/>
      <c r="AE521" s="188"/>
      <c r="AG521" s="188"/>
      <c r="AH521" s="188"/>
      <c r="AI521" s="188"/>
      <c r="AJ521" s="188"/>
      <c r="AK521" s="299"/>
    </row>
    <row r="522" spans="2:37" ht="13">
      <c r="B522" s="294"/>
      <c r="C522" s="294"/>
      <c r="D522" s="294"/>
      <c r="E522" s="294"/>
      <c r="F522" s="294"/>
      <c r="G522" s="294"/>
      <c r="H522" s="294"/>
      <c r="P522" s="295"/>
      <c r="W522" s="295"/>
      <c r="AE522" s="188"/>
      <c r="AG522" s="188"/>
      <c r="AH522" s="188"/>
      <c r="AI522" s="188"/>
      <c r="AJ522" s="188"/>
      <c r="AK522" s="299"/>
    </row>
    <row r="523" spans="2:37" ht="13">
      <c r="B523" s="294"/>
      <c r="C523" s="294"/>
      <c r="D523" s="294"/>
      <c r="E523" s="294"/>
      <c r="F523" s="294"/>
      <c r="G523" s="294"/>
      <c r="H523" s="294"/>
      <c r="P523" s="295"/>
      <c r="W523" s="295"/>
      <c r="AE523" s="188"/>
      <c r="AG523" s="188"/>
      <c r="AH523" s="188"/>
      <c r="AI523" s="188"/>
      <c r="AJ523" s="188"/>
      <c r="AK523" s="299"/>
    </row>
    <row r="524" spans="2:37" ht="13">
      <c r="B524" s="294"/>
      <c r="C524" s="294"/>
      <c r="D524" s="294"/>
      <c r="E524" s="294"/>
      <c r="F524" s="294"/>
      <c r="G524" s="294"/>
      <c r="H524" s="294"/>
      <c r="P524" s="295"/>
      <c r="W524" s="295"/>
      <c r="AE524" s="188"/>
      <c r="AG524" s="188"/>
      <c r="AH524" s="188"/>
      <c r="AI524" s="188"/>
      <c r="AJ524" s="188"/>
      <c r="AK524" s="299"/>
    </row>
    <row r="525" spans="2:37" ht="13">
      <c r="B525" s="294"/>
      <c r="C525" s="294"/>
      <c r="D525" s="294"/>
      <c r="E525" s="294"/>
      <c r="F525" s="294"/>
      <c r="G525" s="294"/>
      <c r="H525" s="294"/>
      <c r="P525" s="295"/>
      <c r="W525" s="295"/>
      <c r="AE525" s="188"/>
      <c r="AG525" s="188"/>
      <c r="AH525" s="188"/>
      <c r="AI525" s="188"/>
      <c r="AJ525" s="188"/>
      <c r="AK525" s="299"/>
    </row>
    <row r="526" spans="2:37" ht="13">
      <c r="B526" s="294"/>
      <c r="C526" s="294"/>
      <c r="D526" s="294"/>
      <c r="E526" s="294"/>
      <c r="F526" s="294"/>
      <c r="G526" s="294"/>
      <c r="H526" s="294"/>
      <c r="P526" s="295"/>
      <c r="W526" s="295"/>
      <c r="AE526" s="188"/>
      <c r="AG526" s="188"/>
      <c r="AH526" s="188"/>
      <c r="AI526" s="188"/>
      <c r="AJ526" s="188"/>
      <c r="AK526" s="299"/>
    </row>
    <row r="527" spans="2:37" ht="13">
      <c r="B527" s="294"/>
      <c r="C527" s="294"/>
      <c r="D527" s="294"/>
      <c r="E527" s="294"/>
      <c r="F527" s="294"/>
      <c r="G527" s="294"/>
      <c r="H527" s="294"/>
      <c r="P527" s="295"/>
      <c r="W527" s="295"/>
      <c r="AE527" s="188"/>
      <c r="AG527" s="188"/>
      <c r="AH527" s="188"/>
      <c r="AI527" s="188"/>
      <c r="AJ527" s="188"/>
      <c r="AK527" s="299"/>
    </row>
    <row r="528" spans="2:37" ht="13">
      <c r="B528" s="294"/>
      <c r="C528" s="294"/>
      <c r="D528" s="294"/>
      <c r="E528" s="294"/>
      <c r="F528" s="294"/>
      <c r="G528" s="294"/>
      <c r="H528" s="294"/>
      <c r="P528" s="295"/>
      <c r="W528" s="295"/>
      <c r="AE528" s="188"/>
      <c r="AG528" s="188"/>
      <c r="AH528" s="188"/>
      <c r="AI528" s="188"/>
      <c r="AJ528" s="188"/>
      <c r="AK528" s="299"/>
    </row>
    <row r="529" spans="2:37" ht="13">
      <c r="B529" s="294"/>
      <c r="C529" s="294"/>
      <c r="D529" s="294"/>
      <c r="E529" s="294"/>
      <c r="F529" s="294"/>
      <c r="G529" s="294"/>
      <c r="H529" s="294"/>
      <c r="P529" s="295"/>
      <c r="W529" s="295"/>
      <c r="AE529" s="188"/>
      <c r="AG529" s="188"/>
      <c r="AH529" s="188"/>
      <c r="AI529" s="188"/>
      <c r="AJ529" s="188"/>
      <c r="AK529" s="299"/>
    </row>
    <row r="530" spans="2:37" ht="13">
      <c r="B530" s="294"/>
      <c r="C530" s="294"/>
      <c r="D530" s="294"/>
      <c r="E530" s="294"/>
      <c r="F530" s="294"/>
      <c r="G530" s="294"/>
      <c r="H530" s="294"/>
      <c r="P530" s="295"/>
      <c r="W530" s="295"/>
      <c r="AE530" s="188"/>
      <c r="AG530" s="188"/>
      <c r="AH530" s="188"/>
      <c r="AI530" s="188"/>
      <c r="AJ530" s="188"/>
      <c r="AK530" s="299"/>
    </row>
    <row r="531" spans="2:37" ht="13">
      <c r="B531" s="294"/>
      <c r="C531" s="294"/>
      <c r="D531" s="294"/>
      <c r="E531" s="294"/>
      <c r="F531" s="294"/>
      <c r="G531" s="294"/>
      <c r="H531" s="294"/>
      <c r="P531" s="295"/>
      <c r="W531" s="295"/>
      <c r="AE531" s="188"/>
      <c r="AG531" s="188"/>
      <c r="AH531" s="188"/>
      <c r="AI531" s="188"/>
      <c r="AJ531" s="188"/>
      <c r="AK531" s="299"/>
    </row>
    <row r="532" spans="2:37" ht="13">
      <c r="B532" s="294"/>
      <c r="C532" s="294"/>
      <c r="D532" s="294"/>
      <c r="E532" s="294"/>
      <c r="F532" s="294"/>
      <c r="G532" s="294"/>
      <c r="H532" s="294"/>
      <c r="P532" s="295"/>
      <c r="W532" s="295"/>
      <c r="AE532" s="188"/>
      <c r="AG532" s="188"/>
      <c r="AH532" s="188"/>
      <c r="AI532" s="188"/>
      <c r="AJ532" s="188"/>
      <c r="AK532" s="299"/>
    </row>
    <row r="533" spans="2:37" ht="13">
      <c r="B533" s="294"/>
      <c r="C533" s="294"/>
      <c r="D533" s="294"/>
      <c r="E533" s="294"/>
      <c r="F533" s="294"/>
      <c r="G533" s="294"/>
      <c r="H533" s="294"/>
      <c r="P533" s="295"/>
      <c r="W533" s="295"/>
      <c r="AE533" s="188"/>
      <c r="AG533" s="188"/>
      <c r="AH533" s="188"/>
      <c r="AI533" s="188"/>
      <c r="AJ533" s="188"/>
      <c r="AK533" s="299"/>
    </row>
    <row r="534" spans="2:37" ht="13">
      <c r="B534" s="294"/>
      <c r="C534" s="294"/>
      <c r="D534" s="294"/>
      <c r="E534" s="294"/>
      <c r="F534" s="294"/>
      <c r="G534" s="294"/>
      <c r="H534" s="294"/>
      <c r="P534" s="295"/>
      <c r="W534" s="295"/>
      <c r="AE534" s="188"/>
      <c r="AG534" s="188"/>
      <c r="AH534" s="188"/>
      <c r="AI534" s="188"/>
      <c r="AJ534" s="188"/>
      <c r="AK534" s="299"/>
    </row>
    <row r="535" spans="2:37" ht="13">
      <c r="B535" s="294"/>
      <c r="C535" s="294"/>
      <c r="D535" s="294"/>
      <c r="E535" s="294"/>
      <c r="F535" s="294"/>
      <c r="G535" s="294"/>
      <c r="H535" s="294"/>
      <c r="P535" s="295"/>
      <c r="W535" s="295"/>
      <c r="AE535" s="188"/>
      <c r="AG535" s="188"/>
      <c r="AH535" s="188"/>
      <c r="AI535" s="188"/>
      <c r="AJ535" s="188"/>
      <c r="AK535" s="299"/>
    </row>
    <row r="536" spans="2:37" ht="13">
      <c r="B536" s="294"/>
      <c r="C536" s="294"/>
      <c r="D536" s="294"/>
      <c r="E536" s="294"/>
      <c r="F536" s="294"/>
      <c r="G536" s="294"/>
      <c r="H536" s="294"/>
      <c r="P536" s="295"/>
      <c r="W536" s="295"/>
      <c r="AE536" s="188"/>
      <c r="AG536" s="188"/>
      <c r="AH536" s="188"/>
      <c r="AI536" s="188"/>
      <c r="AJ536" s="188"/>
      <c r="AK536" s="299"/>
    </row>
    <row r="537" spans="2:37" ht="13">
      <c r="B537" s="294"/>
      <c r="C537" s="294"/>
      <c r="D537" s="294"/>
      <c r="E537" s="294"/>
      <c r="F537" s="294"/>
      <c r="G537" s="294"/>
      <c r="H537" s="294"/>
      <c r="P537" s="295"/>
      <c r="W537" s="295"/>
      <c r="AE537" s="188"/>
      <c r="AG537" s="188"/>
      <c r="AH537" s="188"/>
      <c r="AI537" s="188"/>
      <c r="AJ537" s="188"/>
      <c r="AK537" s="299"/>
    </row>
    <row r="538" spans="2:37" ht="13">
      <c r="B538" s="294"/>
      <c r="C538" s="294"/>
      <c r="D538" s="294"/>
      <c r="E538" s="294"/>
      <c r="F538" s="294"/>
      <c r="G538" s="294"/>
      <c r="H538" s="294"/>
      <c r="P538" s="295"/>
      <c r="W538" s="295"/>
      <c r="AE538" s="188"/>
      <c r="AG538" s="188"/>
      <c r="AH538" s="188"/>
      <c r="AI538" s="188"/>
      <c r="AJ538" s="188"/>
      <c r="AK538" s="299"/>
    </row>
    <row r="539" spans="2:37" ht="13">
      <c r="B539" s="294"/>
      <c r="C539" s="294"/>
      <c r="D539" s="294"/>
      <c r="E539" s="294"/>
      <c r="F539" s="294"/>
      <c r="G539" s="294"/>
      <c r="H539" s="294"/>
      <c r="P539" s="295"/>
      <c r="W539" s="295"/>
      <c r="AE539" s="188"/>
      <c r="AG539" s="188"/>
      <c r="AH539" s="188"/>
      <c r="AI539" s="188"/>
      <c r="AJ539" s="188"/>
      <c r="AK539" s="299"/>
    </row>
    <row r="540" spans="2:37" ht="13">
      <c r="B540" s="294"/>
      <c r="C540" s="294"/>
      <c r="D540" s="294"/>
      <c r="E540" s="294"/>
      <c r="F540" s="294"/>
      <c r="G540" s="294"/>
      <c r="H540" s="294"/>
      <c r="P540" s="295"/>
      <c r="W540" s="295"/>
      <c r="AE540" s="188"/>
      <c r="AG540" s="188"/>
      <c r="AH540" s="188"/>
      <c r="AI540" s="188"/>
      <c r="AJ540" s="188"/>
      <c r="AK540" s="299"/>
    </row>
    <row r="541" spans="2:37" ht="13">
      <c r="B541" s="294"/>
      <c r="C541" s="294"/>
      <c r="D541" s="294"/>
      <c r="E541" s="294"/>
      <c r="F541" s="294"/>
      <c r="G541" s="294"/>
      <c r="H541" s="294"/>
      <c r="P541" s="295"/>
      <c r="W541" s="295"/>
      <c r="AE541" s="188"/>
      <c r="AG541" s="188"/>
      <c r="AH541" s="188"/>
      <c r="AI541" s="188"/>
      <c r="AJ541" s="188"/>
      <c r="AK541" s="299"/>
    </row>
    <row r="542" spans="2:37" ht="13">
      <c r="B542" s="294"/>
      <c r="C542" s="294"/>
      <c r="D542" s="294"/>
      <c r="E542" s="294"/>
      <c r="F542" s="294"/>
      <c r="G542" s="294"/>
      <c r="H542" s="294"/>
      <c r="P542" s="295"/>
      <c r="W542" s="295"/>
      <c r="AE542" s="188"/>
      <c r="AG542" s="188"/>
      <c r="AH542" s="188"/>
      <c r="AI542" s="188"/>
      <c r="AJ542" s="188"/>
      <c r="AK542" s="299"/>
    </row>
    <row r="543" spans="2:37" ht="13">
      <c r="B543" s="294"/>
      <c r="C543" s="294"/>
      <c r="D543" s="294"/>
      <c r="E543" s="294"/>
      <c r="F543" s="294"/>
      <c r="G543" s="294"/>
      <c r="H543" s="294"/>
      <c r="P543" s="295"/>
      <c r="W543" s="295"/>
      <c r="AE543" s="188"/>
      <c r="AG543" s="188"/>
      <c r="AH543" s="188"/>
      <c r="AI543" s="188"/>
      <c r="AJ543" s="188"/>
      <c r="AK543" s="299"/>
    </row>
    <row r="544" spans="2:37" ht="13">
      <c r="B544" s="294"/>
      <c r="C544" s="294"/>
      <c r="D544" s="294"/>
      <c r="E544" s="294"/>
      <c r="F544" s="294"/>
      <c r="G544" s="294"/>
      <c r="H544" s="294"/>
      <c r="P544" s="295"/>
      <c r="W544" s="295"/>
      <c r="AE544" s="188"/>
      <c r="AG544" s="188"/>
      <c r="AH544" s="188"/>
      <c r="AI544" s="188"/>
      <c r="AJ544" s="188"/>
      <c r="AK544" s="299"/>
    </row>
    <row r="545" spans="2:37" ht="13">
      <c r="B545" s="294"/>
      <c r="C545" s="294"/>
      <c r="D545" s="294"/>
      <c r="E545" s="294"/>
      <c r="F545" s="294"/>
      <c r="G545" s="294"/>
      <c r="H545" s="294"/>
      <c r="P545" s="295"/>
      <c r="W545" s="295"/>
      <c r="AE545" s="188"/>
      <c r="AG545" s="188"/>
      <c r="AH545" s="188"/>
      <c r="AI545" s="188"/>
      <c r="AJ545" s="188"/>
      <c r="AK545" s="299"/>
    </row>
    <row r="546" spans="2:37" ht="13">
      <c r="B546" s="294"/>
      <c r="C546" s="294"/>
      <c r="D546" s="294"/>
      <c r="E546" s="294"/>
      <c r="F546" s="294"/>
      <c r="G546" s="294"/>
      <c r="H546" s="294"/>
      <c r="P546" s="295"/>
      <c r="W546" s="295"/>
      <c r="AE546" s="188"/>
      <c r="AG546" s="188"/>
      <c r="AH546" s="188"/>
      <c r="AI546" s="188"/>
      <c r="AJ546" s="188"/>
      <c r="AK546" s="299"/>
    </row>
    <row r="547" spans="2:37" ht="13">
      <c r="B547" s="294"/>
      <c r="C547" s="294"/>
      <c r="D547" s="294"/>
      <c r="E547" s="294"/>
      <c r="F547" s="294"/>
      <c r="G547" s="294"/>
      <c r="H547" s="294"/>
      <c r="P547" s="295"/>
      <c r="W547" s="295"/>
      <c r="AE547" s="188"/>
      <c r="AG547" s="188"/>
      <c r="AH547" s="188"/>
      <c r="AI547" s="188"/>
      <c r="AJ547" s="188"/>
      <c r="AK547" s="299"/>
    </row>
    <row r="548" spans="2:37" ht="13">
      <c r="B548" s="294"/>
      <c r="C548" s="294"/>
      <c r="D548" s="294"/>
      <c r="E548" s="294"/>
      <c r="F548" s="294"/>
      <c r="G548" s="294"/>
      <c r="H548" s="294"/>
      <c r="P548" s="295"/>
      <c r="W548" s="295"/>
      <c r="AE548" s="188"/>
      <c r="AG548" s="188"/>
      <c r="AH548" s="188"/>
      <c r="AI548" s="188"/>
      <c r="AJ548" s="188"/>
      <c r="AK548" s="299"/>
    </row>
    <row r="549" spans="2:37" ht="13">
      <c r="B549" s="294"/>
      <c r="C549" s="294"/>
      <c r="D549" s="294"/>
      <c r="E549" s="294"/>
      <c r="F549" s="294"/>
      <c r="G549" s="294"/>
      <c r="H549" s="294"/>
      <c r="P549" s="295"/>
      <c r="W549" s="295"/>
      <c r="AE549" s="188"/>
      <c r="AG549" s="188"/>
      <c r="AH549" s="188"/>
      <c r="AI549" s="188"/>
      <c r="AJ549" s="188"/>
      <c r="AK549" s="299"/>
    </row>
    <row r="550" spans="2:37" ht="13">
      <c r="B550" s="294"/>
      <c r="C550" s="294"/>
      <c r="D550" s="294"/>
      <c r="E550" s="294"/>
      <c r="F550" s="294"/>
      <c r="G550" s="294"/>
      <c r="H550" s="294"/>
      <c r="P550" s="295"/>
      <c r="W550" s="295"/>
      <c r="AE550" s="188"/>
      <c r="AG550" s="188"/>
      <c r="AH550" s="188"/>
      <c r="AI550" s="188"/>
      <c r="AJ550" s="188"/>
      <c r="AK550" s="299"/>
    </row>
    <row r="551" spans="2:37" ht="13">
      <c r="B551" s="294"/>
      <c r="C551" s="294"/>
      <c r="D551" s="294"/>
      <c r="E551" s="294"/>
      <c r="F551" s="294"/>
      <c r="G551" s="294"/>
      <c r="H551" s="294"/>
      <c r="P551" s="295"/>
      <c r="W551" s="295"/>
      <c r="AE551" s="188"/>
      <c r="AG551" s="188"/>
      <c r="AH551" s="188"/>
      <c r="AI551" s="188"/>
      <c r="AJ551" s="188"/>
      <c r="AK551" s="299"/>
    </row>
    <row r="552" spans="2:37" ht="13">
      <c r="B552" s="294"/>
      <c r="C552" s="294"/>
      <c r="D552" s="294"/>
      <c r="E552" s="294"/>
      <c r="F552" s="294"/>
      <c r="G552" s="294"/>
      <c r="H552" s="294"/>
      <c r="P552" s="295"/>
      <c r="W552" s="295"/>
      <c r="AE552" s="188"/>
      <c r="AG552" s="188"/>
      <c r="AH552" s="188"/>
      <c r="AI552" s="188"/>
      <c r="AJ552" s="188"/>
      <c r="AK552" s="299"/>
    </row>
    <row r="553" spans="2:37" ht="13">
      <c r="B553" s="294"/>
      <c r="C553" s="294"/>
      <c r="D553" s="294"/>
      <c r="E553" s="294"/>
      <c r="F553" s="294"/>
      <c r="G553" s="294"/>
      <c r="H553" s="294"/>
      <c r="P553" s="295"/>
      <c r="W553" s="295"/>
      <c r="AE553" s="188"/>
      <c r="AG553" s="188"/>
      <c r="AH553" s="188"/>
      <c r="AI553" s="188"/>
      <c r="AJ553" s="188"/>
      <c r="AK553" s="299"/>
    </row>
    <row r="554" spans="2:37" ht="13">
      <c r="B554" s="294"/>
      <c r="C554" s="294"/>
      <c r="D554" s="294"/>
      <c r="E554" s="294"/>
      <c r="F554" s="294"/>
      <c r="G554" s="294"/>
      <c r="H554" s="294"/>
      <c r="P554" s="295"/>
      <c r="W554" s="295"/>
      <c r="AE554" s="188"/>
      <c r="AG554" s="188"/>
      <c r="AH554" s="188"/>
      <c r="AI554" s="188"/>
      <c r="AJ554" s="188"/>
      <c r="AK554" s="299"/>
    </row>
    <row r="555" spans="2:37" ht="13">
      <c r="B555" s="294"/>
      <c r="C555" s="294"/>
      <c r="D555" s="294"/>
      <c r="E555" s="294"/>
      <c r="F555" s="294"/>
      <c r="G555" s="294"/>
      <c r="H555" s="294"/>
      <c r="P555" s="295"/>
      <c r="W555" s="295"/>
      <c r="AE555" s="188"/>
      <c r="AG555" s="188"/>
      <c r="AH555" s="188"/>
      <c r="AI555" s="188"/>
      <c r="AJ555" s="188"/>
      <c r="AK555" s="299"/>
    </row>
    <row r="556" spans="2:37" ht="13">
      <c r="B556" s="294"/>
      <c r="C556" s="294"/>
      <c r="D556" s="294"/>
      <c r="E556" s="294"/>
      <c r="F556" s="294"/>
      <c r="G556" s="294"/>
      <c r="H556" s="294"/>
      <c r="P556" s="295"/>
      <c r="W556" s="295"/>
      <c r="AE556" s="188"/>
      <c r="AG556" s="188"/>
      <c r="AH556" s="188"/>
      <c r="AI556" s="188"/>
      <c r="AJ556" s="188"/>
      <c r="AK556" s="299"/>
    </row>
    <row r="557" spans="2:37" ht="13">
      <c r="B557" s="294"/>
      <c r="C557" s="294"/>
      <c r="D557" s="294"/>
      <c r="E557" s="294"/>
      <c r="F557" s="294"/>
      <c r="G557" s="294"/>
      <c r="H557" s="294"/>
      <c r="P557" s="295"/>
      <c r="W557" s="295"/>
      <c r="AE557" s="188"/>
      <c r="AG557" s="188"/>
      <c r="AH557" s="188"/>
      <c r="AI557" s="188"/>
      <c r="AJ557" s="188"/>
      <c r="AK557" s="299"/>
    </row>
    <row r="558" spans="2:37" ht="13">
      <c r="B558" s="294"/>
      <c r="C558" s="294"/>
      <c r="D558" s="294"/>
      <c r="E558" s="294"/>
      <c r="F558" s="294"/>
      <c r="G558" s="294"/>
      <c r="H558" s="294"/>
      <c r="P558" s="295"/>
      <c r="W558" s="295"/>
      <c r="AE558" s="188"/>
      <c r="AG558" s="188"/>
      <c r="AH558" s="188"/>
      <c r="AI558" s="188"/>
      <c r="AJ558" s="188"/>
      <c r="AK558" s="299"/>
    </row>
    <row r="559" spans="2:37" ht="13">
      <c r="B559" s="294"/>
      <c r="C559" s="294"/>
      <c r="D559" s="294"/>
      <c r="E559" s="294"/>
      <c r="F559" s="294"/>
      <c r="G559" s="294"/>
      <c r="H559" s="294"/>
      <c r="P559" s="295"/>
      <c r="W559" s="295"/>
      <c r="AE559" s="188"/>
      <c r="AG559" s="188"/>
      <c r="AH559" s="188"/>
      <c r="AI559" s="188"/>
      <c r="AJ559" s="188"/>
      <c r="AK559" s="299"/>
    </row>
    <row r="560" spans="2:37" ht="13">
      <c r="B560" s="294"/>
      <c r="C560" s="294"/>
      <c r="D560" s="294"/>
      <c r="E560" s="294"/>
      <c r="F560" s="294"/>
      <c r="G560" s="294"/>
      <c r="H560" s="294"/>
      <c r="P560" s="295"/>
      <c r="W560" s="295"/>
      <c r="AE560" s="188"/>
      <c r="AG560" s="188"/>
      <c r="AH560" s="188"/>
      <c r="AI560" s="188"/>
      <c r="AJ560" s="188"/>
      <c r="AK560" s="299"/>
    </row>
    <row r="561" spans="2:37" ht="13">
      <c r="B561" s="294"/>
      <c r="C561" s="294"/>
      <c r="D561" s="294"/>
      <c r="E561" s="294"/>
      <c r="F561" s="294"/>
      <c r="G561" s="294"/>
      <c r="H561" s="294"/>
      <c r="P561" s="295"/>
      <c r="W561" s="295"/>
      <c r="AE561" s="188"/>
      <c r="AG561" s="188"/>
      <c r="AH561" s="188"/>
      <c r="AI561" s="188"/>
      <c r="AJ561" s="188"/>
      <c r="AK561" s="299"/>
    </row>
    <row r="562" spans="2:37" ht="13">
      <c r="B562" s="294"/>
      <c r="C562" s="294"/>
      <c r="D562" s="294"/>
      <c r="E562" s="294"/>
      <c r="F562" s="294"/>
      <c r="G562" s="294"/>
      <c r="H562" s="294"/>
      <c r="P562" s="295"/>
      <c r="W562" s="295"/>
      <c r="AE562" s="188"/>
      <c r="AG562" s="188"/>
      <c r="AH562" s="188"/>
      <c r="AI562" s="188"/>
      <c r="AJ562" s="188"/>
      <c r="AK562" s="299"/>
    </row>
    <row r="563" spans="2:37" ht="13">
      <c r="B563" s="294"/>
      <c r="C563" s="294"/>
      <c r="D563" s="294"/>
      <c r="E563" s="294"/>
      <c r="F563" s="294"/>
      <c r="G563" s="294"/>
      <c r="H563" s="294"/>
      <c r="P563" s="295"/>
      <c r="W563" s="295"/>
      <c r="AE563" s="188"/>
      <c r="AG563" s="188"/>
      <c r="AH563" s="188"/>
      <c r="AI563" s="188"/>
      <c r="AJ563" s="188"/>
      <c r="AK563" s="299"/>
    </row>
    <row r="564" spans="2:37" ht="13">
      <c r="B564" s="294"/>
      <c r="C564" s="294"/>
      <c r="D564" s="294"/>
      <c r="E564" s="294"/>
      <c r="F564" s="294"/>
      <c r="G564" s="294"/>
      <c r="H564" s="294"/>
      <c r="P564" s="295"/>
      <c r="W564" s="295"/>
      <c r="AE564" s="188"/>
      <c r="AG564" s="188"/>
      <c r="AH564" s="188"/>
      <c r="AI564" s="188"/>
      <c r="AJ564" s="188"/>
      <c r="AK564" s="299"/>
    </row>
    <row r="565" spans="2:37" ht="13">
      <c r="B565" s="294"/>
      <c r="C565" s="294"/>
      <c r="D565" s="294"/>
      <c r="E565" s="294"/>
      <c r="F565" s="294"/>
      <c r="G565" s="294"/>
      <c r="H565" s="294"/>
      <c r="P565" s="295"/>
      <c r="W565" s="295"/>
      <c r="AE565" s="188"/>
      <c r="AG565" s="188"/>
      <c r="AH565" s="188"/>
      <c r="AI565" s="188"/>
      <c r="AJ565" s="188"/>
      <c r="AK565" s="299"/>
    </row>
    <row r="566" spans="2:37" ht="13">
      <c r="B566" s="294"/>
      <c r="C566" s="294"/>
      <c r="D566" s="294"/>
      <c r="E566" s="294"/>
      <c r="F566" s="294"/>
      <c r="G566" s="294"/>
      <c r="H566" s="294"/>
      <c r="P566" s="295"/>
      <c r="W566" s="295"/>
      <c r="AE566" s="188"/>
      <c r="AG566" s="188"/>
      <c r="AH566" s="188"/>
      <c r="AI566" s="188"/>
      <c r="AJ566" s="188"/>
      <c r="AK566" s="299"/>
    </row>
    <row r="567" spans="2:37" ht="13">
      <c r="B567" s="294"/>
      <c r="C567" s="294"/>
      <c r="D567" s="294"/>
      <c r="E567" s="294"/>
      <c r="F567" s="294"/>
      <c r="G567" s="294"/>
      <c r="H567" s="294"/>
      <c r="P567" s="295"/>
      <c r="W567" s="295"/>
      <c r="AE567" s="188"/>
      <c r="AG567" s="188"/>
      <c r="AH567" s="188"/>
      <c r="AI567" s="188"/>
      <c r="AJ567" s="188"/>
      <c r="AK567" s="299"/>
    </row>
    <row r="568" spans="2:37" ht="13">
      <c r="B568" s="294"/>
      <c r="C568" s="294"/>
      <c r="D568" s="294"/>
      <c r="E568" s="294"/>
      <c r="F568" s="294"/>
      <c r="G568" s="294"/>
      <c r="H568" s="294"/>
      <c r="P568" s="295"/>
      <c r="W568" s="295"/>
      <c r="AE568" s="188"/>
      <c r="AG568" s="188"/>
      <c r="AH568" s="188"/>
      <c r="AI568" s="188"/>
      <c r="AJ568" s="188"/>
      <c r="AK568" s="299"/>
    </row>
    <row r="569" spans="2:37" ht="13">
      <c r="B569" s="294"/>
      <c r="C569" s="294"/>
      <c r="D569" s="294"/>
      <c r="E569" s="294"/>
      <c r="F569" s="294"/>
      <c r="G569" s="294"/>
      <c r="H569" s="294"/>
      <c r="P569" s="295"/>
      <c r="W569" s="295"/>
      <c r="AE569" s="188"/>
      <c r="AG569" s="188"/>
      <c r="AH569" s="188"/>
      <c r="AI569" s="188"/>
      <c r="AJ569" s="188"/>
      <c r="AK569" s="299"/>
    </row>
    <row r="570" spans="2:37" ht="13">
      <c r="B570" s="294"/>
      <c r="C570" s="294"/>
      <c r="D570" s="294"/>
      <c r="E570" s="294"/>
      <c r="F570" s="294"/>
      <c r="G570" s="294"/>
      <c r="H570" s="294"/>
      <c r="P570" s="295"/>
      <c r="W570" s="295"/>
      <c r="AE570" s="188"/>
      <c r="AG570" s="188"/>
      <c r="AH570" s="188"/>
      <c r="AI570" s="188"/>
      <c r="AJ570" s="188"/>
      <c r="AK570" s="299"/>
    </row>
    <row r="571" spans="2:37" ht="13">
      <c r="B571" s="294"/>
      <c r="C571" s="294"/>
      <c r="D571" s="294"/>
      <c r="E571" s="294"/>
      <c r="F571" s="294"/>
      <c r="G571" s="294"/>
      <c r="H571" s="294"/>
      <c r="P571" s="295"/>
      <c r="W571" s="295"/>
      <c r="AE571" s="188"/>
      <c r="AG571" s="188"/>
      <c r="AH571" s="188"/>
      <c r="AI571" s="188"/>
      <c r="AJ571" s="188"/>
      <c r="AK571" s="299"/>
    </row>
    <row r="572" spans="2:37" ht="13">
      <c r="B572" s="294"/>
      <c r="C572" s="294"/>
      <c r="D572" s="294"/>
      <c r="E572" s="294"/>
      <c r="F572" s="294"/>
      <c r="G572" s="294"/>
      <c r="H572" s="294"/>
      <c r="P572" s="295"/>
      <c r="W572" s="295"/>
      <c r="AE572" s="188"/>
      <c r="AG572" s="188"/>
      <c r="AH572" s="188"/>
      <c r="AI572" s="188"/>
      <c r="AJ572" s="188"/>
      <c r="AK572" s="299"/>
    </row>
    <row r="573" spans="2:37" ht="13">
      <c r="B573" s="294"/>
      <c r="C573" s="294"/>
      <c r="D573" s="294"/>
      <c r="E573" s="294"/>
      <c r="F573" s="294"/>
      <c r="G573" s="294"/>
      <c r="H573" s="294"/>
      <c r="P573" s="295"/>
      <c r="W573" s="295"/>
      <c r="AE573" s="188"/>
      <c r="AG573" s="188"/>
      <c r="AH573" s="188"/>
      <c r="AI573" s="188"/>
      <c r="AJ573" s="188"/>
      <c r="AK573" s="299"/>
    </row>
    <row r="574" spans="2:37" ht="13">
      <c r="B574" s="294"/>
      <c r="C574" s="294"/>
      <c r="D574" s="294"/>
      <c r="E574" s="294"/>
      <c r="F574" s="294"/>
      <c r="G574" s="294"/>
      <c r="H574" s="294"/>
      <c r="P574" s="295"/>
      <c r="W574" s="295"/>
      <c r="AE574" s="188"/>
      <c r="AG574" s="188"/>
      <c r="AH574" s="188"/>
      <c r="AI574" s="188"/>
      <c r="AJ574" s="188"/>
      <c r="AK574" s="299"/>
    </row>
    <row r="575" spans="2:37" ht="13">
      <c r="B575" s="294"/>
      <c r="C575" s="294"/>
      <c r="D575" s="294"/>
      <c r="E575" s="294"/>
      <c r="F575" s="294"/>
      <c r="G575" s="294"/>
      <c r="H575" s="294"/>
      <c r="P575" s="295"/>
      <c r="W575" s="295"/>
      <c r="AE575" s="188"/>
      <c r="AG575" s="188"/>
      <c r="AH575" s="188"/>
      <c r="AI575" s="188"/>
      <c r="AJ575" s="188"/>
      <c r="AK575" s="299"/>
    </row>
    <row r="576" spans="2:37" ht="13">
      <c r="B576" s="294"/>
      <c r="C576" s="294"/>
      <c r="D576" s="294"/>
      <c r="E576" s="294"/>
      <c r="F576" s="294"/>
      <c r="G576" s="294"/>
      <c r="H576" s="294"/>
      <c r="P576" s="295"/>
      <c r="W576" s="295"/>
      <c r="AE576" s="188"/>
      <c r="AG576" s="188"/>
      <c r="AH576" s="188"/>
      <c r="AI576" s="188"/>
      <c r="AJ576" s="188"/>
      <c r="AK576" s="299"/>
    </row>
    <row r="577" spans="2:37" ht="13">
      <c r="B577" s="294"/>
      <c r="C577" s="294"/>
      <c r="D577" s="294"/>
      <c r="E577" s="294"/>
      <c r="F577" s="294"/>
      <c r="G577" s="294"/>
      <c r="H577" s="294"/>
      <c r="P577" s="295"/>
      <c r="W577" s="295"/>
      <c r="AE577" s="188"/>
      <c r="AG577" s="188"/>
      <c r="AH577" s="188"/>
      <c r="AI577" s="188"/>
      <c r="AJ577" s="188"/>
      <c r="AK577" s="299"/>
    </row>
    <row r="578" spans="2:37" ht="13">
      <c r="B578" s="294"/>
      <c r="C578" s="294"/>
      <c r="D578" s="294"/>
      <c r="E578" s="294"/>
      <c r="F578" s="294"/>
      <c r="G578" s="294"/>
      <c r="H578" s="294"/>
      <c r="P578" s="295"/>
      <c r="W578" s="295"/>
      <c r="AE578" s="188"/>
      <c r="AG578" s="188"/>
      <c r="AH578" s="188"/>
      <c r="AI578" s="188"/>
      <c r="AJ578" s="188"/>
      <c r="AK578" s="299"/>
    </row>
    <row r="579" spans="2:37" ht="13">
      <c r="B579" s="294"/>
      <c r="C579" s="294"/>
      <c r="D579" s="294"/>
      <c r="E579" s="294"/>
      <c r="F579" s="294"/>
      <c r="G579" s="294"/>
      <c r="H579" s="294"/>
      <c r="P579" s="295"/>
      <c r="W579" s="295"/>
      <c r="AE579" s="188"/>
      <c r="AG579" s="188"/>
      <c r="AH579" s="188"/>
      <c r="AI579" s="188"/>
      <c r="AJ579" s="188"/>
      <c r="AK579" s="299"/>
    </row>
    <row r="580" spans="2:37" ht="13">
      <c r="B580" s="294"/>
      <c r="C580" s="294"/>
      <c r="D580" s="294"/>
      <c r="E580" s="294"/>
      <c r="F580" s="294"/>
      <c r="G580" s="294"/>
      <c r="H580" s="294"/>
      <c r="P580" s="295"/>
      <c r="W580" s="295"/>
      <c r="AE580" s="188"/>
      <c r="AG580" s="188"/>
      <c r="AH580" s="188"/>
      <c r="AI580" s="188"/>
      <c r="AJ580" s="188"/>
      <c r="AK580" s="299"/>
    </row>
    <row r="581" spans="2:37" ht="13">
      <c r="B581" s="294"/>
      <c r="C581" s="294"/>
      <c r="D581" s="294"/>
      <c r="E581" s="294"/>
      <c r="F581" s="294"/>
      <c r="G581" s="294"/>
      <c r="H581" s="294"/>
      <c r="P581" s="295"/>
      <c r="W581" s="295"/>
      <c r="AE581" s="188"/>
      <c r="AG581" s="188"/>
      <c r="AH581" s="188"/>
      <c r="AI581" s="188"/>
      <c r="AJ581" s="188"/>
      <c r="AK581" s="299"/>
    </row>
    <row r="582" spans="2:37" ht="13">
      <c r="B582" s="294"/>
      <c r="C582" s="294"/>
      <c r="D582" s="294"/>
      <c r="E582" s="294"/>
      <c r="F582" s="294"/>
      <c r="G582" s="294"/>
      <c r="H582" s="294"/>
      <c r="P582" s="295"/>
      <c r="W582" s="295"/>
      <c r="AE582" s="188"/>
      <c r="AG582" s="188"/>
      <c r="AH582" s="188"/>
      <c r="AI582" s="188"/>
      <c r="AJ582" s="188"/>
      <c r="AK582" s="299"/>
    </row>
    <row r="583" spans="2:37" ht="13">
      <c r="B583" s="294"/>
      <c r="C583" s="294"/>
      <c r="D583" s="294"/>
      <c r="E583" s="294"/>
      <c r="F583" s="294"/>
      <c r="G583" s="294"/>
      <c r="H583" s="294"/>
      <c r="P583" s="295"/>
      <c r="W583" s="295"/>
      <c r="AE583" s="188"/>
      <c r="AG583" s="188"/>
      <c r="AH583" s="188"/>
      <c r="AI583" s="188"/>
      <c r="AJ583" s="188"/>
      <c r="AK583" s="299"/>
    </row>
    <row r="584" spans="2:37" ht="13">
      <c r="B584" s="294"/>
      <c r="C584" s="294"/>
      <c r="D584" s="294"/>
      <c r="E584" s="294"/>
      <c r="F584" s="294"/>
      <c r="G584" s="294"/>
      <c r="H584" s="294"/>
      <c r="P584" s="295"/>
      <c r="W584" s="295"/>
      <c r="AE584" s="188"/>
      <c r="AG584" s="188"/>
      <c r="AH584" s="188"/>
      <c r="AI584" s="188"/>
      <c r="AJ584" s="188"/>
      <c r="AK584" s="299"/>
    </row>
    <row r="585" spans="2:37" ht="13">
      <c r="B585" s="294"/>
      <c r="C585" s="294"/>
      <c r="D585" s="294"/>
      <c r="E585" s="294"/>
      <c r="F585" s="294"/>
      <c r="G585" s="294"/>
      <c r="H585" s="294"/>
      <c r="P585" s="295"/>
      <c r="W585" s="295"/>
      <c r="AE585" s="188"/>
      <c r="AG585" s="188"/>
      <c r="AH585" s="188"/>
      <c r="AI585" s="188"/>
      <c r="AJ585" s="188"/>
      <c r="AK585" s="299"/>
    </row>
    <row r="586" spans="2:37" ht="13">
      <c r="B586" s="294"/>
      <c r="C586" s="294"/>
      <c r="D586" s="294"/>
      <c r="E586" s="294"/>
      <c r="F586" s="294"/>
      <c r="G586" s="294"/>
      <c r="H586" s="294"/>
      <c r="P586" s="295"/>
      <c r="W586" s="295"/>
      <c r="AE586" s="188"/>
      <c r="AG586" s="188"/>
      <c r="AH586" s="188"/>
      <c r="AI586" s="188"/>
      <c r="AJ586" s="188"/>
      <c r="AK586" s="299"/>
    </row>
    <row r="587" spans="2:37" ht="13">
      <c r="B587" s="294"/>
      <c r="C587" s="294"/>
      <c r="D587" s="294"/>
      <c r="E587" s="294"/>
      <c r="F587" s="294"/>
      <c r="G587" s="294"/>
      <c r="H587" s="294"/>
      <c r="P587" s="295"/>
      <c r="W587" s="295"/>
      <c r="AE587" s="188"/>
      <c r="AG587" s="188"/>
      <c r="AH587" s="188"/>
      <c r="AI587" s="188"/>
      <c r="AJ587" s="188"/>
      <c r="AK587" s="299"/>
    </row>
    <row r="588" spans="2:37" ht="13">
      <c r="B588" s="294"/>
      <c r="C588" s="294"/>
      <c r="D588" s="294"/>
      <c r="E588" s="294"/>
      <c r="F588" s="294"/>
      <c r="G588" s="294"/>
      <c r="H588" s="294"/>
      <c r="P588" s="295"/>
      <c r="W588" s="295"/>
      <c r="AE588" s="188"/>
      <c r="AG588" s="188"/>
      <c r="AH588" s="188"/>
      <c r="AI588" s="188"/>
      <c r="AJ588" s="188"/>
      <c r="AK588" s="299"/>
    </row>
    <row r="589" spans="2:37" ht="13">
      <c r="B589" s="294"/>
      <c r="C589" s="294"/>
      <c r="D589" s="294"/>
      <c r="E589" s="294"/>
      <c r="F589" s="294"/>
      <c r="G589" s="294"/>
      <c r="H589" s="294"/>
      <c r="P589" s="295"/>
      <c r="W589" s="295"/>
      <c r="AE589" s="188"/>
      <c r="AG589" s="188"/>
      <c r="AH589" s="188"/>
      <c r="AI589" s="188"/>
      <c r="AJ589" s="188"/>
      <c r="AK589" s="299"/>
    </row>
    <row r="590" spans="2:37" ht="13">
      <c r="B590" s="294"/>
      <c r="C590" s="294"/>
      <c r="D590" s="294"/>
      <c r="E590" s="294"/>
      <c r="F590" s="294"/>
      <c r="G590" s="294"/>
      <c r="H590" s="294"/>
      <c r="P590" s="295"/>
      <c r="W590" s="295"/>
      <c r="AE590" s="188"/>
      <c r="AG590" s="188"/>
      <c r="AH590" s="188"/>
      <c r="AI590" s="188"/>
      <c r="AJ590" s="188"/>
      <c r="AK590" s="299"/>
    </row>
    <row r="591" spans="2:37" ht="13">
      <c r="B591" s="294"/>
      <c r="C591" s="294"/>
      <c r="D591" s="294"/>
      <c r="E591" s="294"/>
      <c r="F591" s="294"/>
      <c r="G591" s="294"/>
      <c r="H591" s="294"/>
      <c r="P591" s="295"/>
      <c r="W591" s="295"/>
      <c r="AE591" s="188"/>
      <c r="AG591" s="188"/>
      <c r="AH591" s="188"/>
      <c r="AI591" s="188"/>
      <c r="AJ591" s="188"/>
      <c r="AK591" s="299"/>
    </row>
    <row r="592" spans="2:37" ht="13">
      <c r="B592" s="294"/>
      <c r="C592" s="294"/>
      <c r="D592" s="294"/>
      <c r="E592" s="294"/>
      <c r="F592" s="294"/>
      <c r="G592" s="294"/>
      <c r="H592" s="294"/>
      <c r="P592" s="295"/>
      <c r="W592" s="295"/>
      <c r="AE592" s="188"/>
      <c r="AG592" s="188"/>
      <c r="AH592" s="188"/>
      <c r="AI592" s="188"/>
      <c r="AJ592" s="188"/>
      <c r="AK592" s="299"/>
    </row>
    <row r="593" spans="2:37" ht="13">
      <c r="B593" s="294"/>
      <c r="C593" s="294"/>
      <c r="D593" s="294"/>
      <c r="E593" s="294"/>
      <c r="F593" s="294"/>
      <c r="G593" s="294"/>
      <c r="H593" s="294"/>
      <c r="P593" s="295"/>
      <c r="W593" s="295"/>
      <c r="AE593" s="188"/>
      <c r="AG593" s="188"/>
      <c r="AH593" s="188"/>
      <c r="AI593" s="188"/>
      <c r="AJ593" s="188"/>
      <c r="AK593" s="299"/>
    </row>
    <row r="594" spans="2:37" ht="13">
      <c r="B594" s="294"/>
      <c r="C594" s="294"/>
      <c r="D594" s="294"/>
      <c r="E594" s="294"/>
      <c r="F594" s="294"/>
      <c r="G594" s="294"/>
      <c r="H594" s="294"/>
      <c r="P594" s="295"/>
      <c r="W594" s="295"/>
      <c r="AE594" s="188"/>
      <c r="AG594" s="188"/>
      <c r="AH594" s="188"/>
      <c r="AI594" s="188"/>
      <c r="AJ594" s="188"/>
      <c r="AK594" s="299"/>
    </row>
    <row r="595" spans="2:37" ht="13">
      <c r="B595" s="294"/>
      <c r="C595" s="294"/>
      <c r="D595" s="294"/>
      <c r="E595" s="294"/>
      <c r="F595" s="294"/>
      <c r="G595" s="294"/>
      <c r="H595" s="294"/>
      <c r="P595" s="295"/>
      <c r="W595" s="295"/>
      <c r="AE595" s="188"/>
      <c r="AG595" s="188"/>
      <c r="AH595" s="188"/>
      <c r="AI595" s="188"/>
      <c r="AJ595" s="188"/>
      <c r="AK595" s="299"/>
    </row>
    <row r="596" spans="2:37" ht="13">
      <c r="B596" s="294"/>
      <c r="C596" s="294"/>
      <c r="D596" s="294"/>
      <c r="E596" s="294"/>
      <c r="F596" s="294"/>
      <c r="G596" s="294"/>
      <c r="H596" s="294"/>
      <c r="P596" s="295"/>
      <c r="W596" s="295"/>
      <c r="AE596" s="188"/>
      <c r="AG596" s="188"/>
      <c r="AH596" s="188"/>
      <c r="AI596" s="188"/>
      <c r="AJ596" s="188"/>
      <c r="AK596" s="299"/>
    </row>
    <row r="597" spans="2:37" ht="13">
      <c r="B597" s="294"/>
      <c r="C597" s="294"/>
      <c r="D597" s="294"/>
      <c r="E597" s="294"/>
      <c r="F597" s="294"/>
      <c r="G597" s="294"/>
      <c r="H597" s="294"/>
      <c r="P597" s="295"/>
      <c r="W597" s="295"/>
      <c r="AE597" s="188"/>
      <c r="AG597" s="188"/>
      <c r="AH597" s="188"/>
      <c r="AI597" s="188"/>
      <c r="AJ597" s="188"/>
      <c r="AK597" s="299"/>
    </row>
    <row r="598" spans="2:37" ht="13">
      <c r="B598" s="294"/>
      <c r="C598" s="294"/>
      <c r="D598" s="294"/>
      <c r="E598" s="294"/>
      <c r="F598" s="294"/>
      <c r="G598" s="294"/>
      <c r="H598" s="294"/>
      <c r="P598" s="295"/>
      <c r="W598" s="295"/>
      <c r="AE598" s="188"/>
      <c r="AG598" s="188"/>
      <c r="AH598" s="188"/>
      <c r="AI598" s="188"/>
      <c r="AJ598" s="188"/>
      <c r="AK598" s="299"/>
    </row>
    <row r="599" spans="2:37" ht="13">
      <c r="B599" s="294"/>
      <c r="C599" s="294"/>
      <c r="D599" s="294"/>
      <c r="E599" s="294"/>
      <c r="F599" s="294"/>
      <c r="G599" s="294"/>
      <c r="H599" s="294"/>
      <c r="P599" s="295"/>
      <c r="W599" s="295"/>
      <c r="AE599" s="188"/>
      <c r="AG599" s="188"/>
      <c r="AH599" s="188"/>
      <c r="AI599" s="188"/>
      <c r="AJ599" s="188"/>
      <c r="AK599" s="299"/>
    </row>
    <row r="600" spans="2:37" ht="13">
      <c r="B600" s="294"/>
      <c r="C600" s="294"/>
      <c r="D600" s="294"/>
      <c r="E600" s="294"/>
      <c r="F600" s="294"/>
      <c r="G600" s="294"/>
      <c r="H600" s="294"/>
      <c r="P600" s="295"/>
      <c r="W600" s="295"/>
      <c r="AE600" s="188"/>
      <c r="AG600" s="188"/>
      <c r="AH600" s="188"/>
      <c r="AI600" s="188"/>
      <c r="AJ600" s="188"/>
      <c r="AK600" s="299"/>
    </row>
    <row r="601" spans="2:37" ht="13">
      <c r="B601" s="294"/>
      <c r="C601" s="294"/>
      <c r="D601" s="294"/>
      <c r="E601" s="294"/>
      <c r="F601" s="294"/>
      <c r="G601" s="294"/>
      <c r="H601" s="294"/>
      <c r="P601" s="295"/>
      <c r="W601" s="295"/>
      <c r="AE601" s="188"/>
      <c r="AG601" s="188"/>
      <c r="AH601" s="188"/>
      <c r="AI601" s="188"/>
      <c r="AJ601" s="188"/>
      <c r="AK601" s="299"/>
    </row>
    <row r="602" spans="2:37" ht="13">
      <c r="B602" s="294"/>
      <c r="C602" s="294"/>
      <c r="D602" s="294"/>
      <c r="E602" s="294"/>
      <c r="F602" s="294"/>
      <c r="G602" s="294"/>
      <c r="H602" s="294"/>
      <c r="P602" s="295"/>
      <c r="W602" s="295"/>
      <c r="AE602" s="188"/>
      <c r="AG602" s="188"/>
      <c r="AH602" s="188"/>
      <c r="AI602" s="188"/>
      <c r="AJ602" s="188"/>
      <c r="AK602" s="299"/>
    </row>
    <row r="603" spans="2:37" ht="13">
      <c r="B603" s="294"/>
      <c r="C603" s="294"/>
      <c r="D603" s="294"/>
      <c r="E603" s="294"/>
      <c r="F603" s="294"/>
      <c r="G603" s="294"/>
      <c r="H603" s="294"/>
      <c r="P603" s="295"/>
      <c r="W603" s="295"/>
      <c r="AE603" s="188"/>
      <c r="AG603" s="188"/>
      <c r="AH603" s="188"/>
      <c r="AI603" s="188"/>
      <c r="AJ603" s="188"/>
      <c r="AK603" s="299"/>
    </row>
    <row r="604" spans="2:37" ht="13">
      <c r="B604" s="294"/>
      <c r="C604" s="294"/>
      <c r="D604" s="294"/>
      <c r="E604" s="294"/>
      <c r="F604" s="294"/>
      <c r="G604" s="294"/>
      <c r="H604" s="294"/>
      <c r="P604" s="295"/>
      <c r="W604" s="295"/>
      <c r="AE604" s="188"/>
      <c r="AG604" s="188"/>
      <c r="AH604" s="188"/>
      <c r="AI604" s="188"/>
      <c r="AJ604" s="188"/>
      <c r="AK604" s="299"/>
    </row>
    <row r="605" spans="2:37" ht="13">
      <c r="B605" s="294"/>
      <c r="C605" s="294"/>
      <c r="D605" s="294"/>
      <c r="E605" s="294"/>
      <c r="F605" s="294"/>
      <c r="G605" s="294"/>
      <c r="H605" s="294"/>
      <c r="P605" s="295"/>
      <c r="W605" s="295"/>
      <c r="AE605" s="188"/>
      <c r="AG605" s="188"/>
      <c r="AH605" s="188"/>
      <c r="AI605" s="188"/>
      <c r="AJ605" s="188"/>
      <c r="AK605" s="299"/>
    </row>
    <row r="606" spans="2:37" ht="13">
      <c r="B606" s="294"/>
      <c r="C606" s="294"/>
      <c r="D606" s="294"/>
      <c r="E606" s="294"/>
      <c r="F606" s="294"/>
      <c r="G606" s="294"/>
      <c r="H606" s="294"/>
      <c r="P606" s="295"/>
      <c r="W606" s="295"/>
      <c r="AE606" s="188"/>
      <c r="AG606" s="188"/>
      <c r="AH606" s="188"/>
      <c r="AI606" s="188"/>
      <c r="AJ606" s="188"/>
      <c r="AK606" s="299"/>
    </row>
    <row r="607" spans="2:37" ht="13">
      <c r="B607" s="294"/>
      <c r="C607" s="294"/>
      <c r="D607" s="294"/>
      <c r="E607" s="294"/>
      <c r="F607" s="294"/>
      <c r="G607" s="294"/>
      <c r="H607" s="294"/>
      <c r="P607" s="295"/>
      <c r="W607" s="295"/>
      <c r="AE607" s="188"/>
      <c r="AG607" s="188"/>
      <c r="AH607" s="188"/>
      <c r="AI607" s="188"/>
      <c r="AJ607" s="188"/>
      <c r="AK607" s="299"/>
    </row>
    <row r="608" spans="2:37" ht="13">
      <c r="B608" s="294"/>
      <c r="C608" s="294"/>
      <c r="D608" s="294"/>
      <c r="E608" s="294"/>
      <c r="F608" s="294"/>
      <c r="G608" s="294"/>
      <c r="H608" s="294"/>
      <c r="P608" s="295"/>
      <c r="W608" s="295"/>
      <c r="AE608" s="188"/>
      <c r="AG608" s="188"/>
      <c r="AH608" s="188"/>
      <c r="AI608" s="188"/>
      <c r="AJ608" s="188"/>
      <c r="AK608" s="299"/>
    </row>
    <row r="609" spans="2:37" ht="13">
      <c r="B609" s="294"/>
      <c r="C609" s="294"/>
      <c r="D609" s="294"/>
      <c r="E609" s="294"/>
      <c r="F609" s="294"/>
      <c r="G609" s="294"/>
      <c r="H609" s="294"/>
      <c r="P609" s="295"/>
      <c r="W609" s="295"/>
      <c r="AE609" s="188"/>
      <c r="AG609" s="188"/>
      <c r="AH609" s="188"/>
      <c r="AI609" s="188"/>
      <c r="AJ609" s="188"/>
      <c r="AK609" s="299"/>
    </row>
    <row r="610" spans="2:37" ht="13">
      <c r="B610" s="294"/>
      <c r="C610" s="294"/>
      <c r="D610" s="294"/>
      <c r="E610" s="294"/>
      <c r="F610" s="294"/>
      <c r="G610" s="294"/>
      <c r="H610" s="294"/>
      <c r="P610" s="295"/>
      <c r="W610" s="295"/>
      <c r="AE610" s="188"/>
      <c r="AG610" s="188"/>
      <c r="AH610" s="188"/>
      <c r="AI610" s="188"/>
      <c r="AJ610" s="188"/>
      <c r="AK610" s="299"/>
    </row>
    <row r="611" spans="2:37" ht="13">
      <c r="B611" s="294"/>
      <c r="C611" s="294"/>
      <c r="D611" s="294"/>
      <c r="E611" s="294"/>
      <c r="F611" s="294"/>
      <c r="G611" s="294"/>
      <c r="H611" s="294"/>
      <c r="P611" s="295"/>
      <c r="W611" s="295"/>
      <c r="AE611" s="188"/>
      <c r="AG611" s="188"/>
      <c r="AH611" s="188"/>
      <c r="AI611" s="188"/>
      <c r="AJ611" s="188"/>
      <c r="AK611" s="299"/>
    </row>
    <row r="612" spans="2:37" ht="13">
      <c r="B612" s="294"/>
      <c r="C612" s="294"/>
      <c r="D612" s="294"/>
      <c r="E612" s="294"/>
      <c r="F612" s="294"/>
      <c r="G612" s="294"/>
      <c r="H612" s="294"/>
      <c r="P612" s="295"/>
      <c r="W612" s="295"/>
      <c r="AE612" s="188"/>
      <c r="AG612" s="188"/>
      <c r="AH612" s="188"/>
      <c r="AI612" s="188"/>
      <c r="AJ612" s="188"/>
      <c r="AK612" s="299"/>
    </row>
    <row r="613" spans="2:37" ht="13">
      <c r="B613" s="294"/>
      <c r="C613" s="294"/>
      <c r="D613" s="294"/>
      <c r="E613" s="294"/>
      <c r="F613" s="294"/>
      <c r="G613" s="294"/>
      <c r="H613" s="294"/>
      <c r="P613" s="295"/>
      <c r="W613" s="295"/>
      <c r="AE613" s="188"/>
      <c r="AG613" s="188"/>
      <c r="AH613" s="188"/>
      <c r="AI613" s="188"/>
      <c r="AJ613" s="188"/>
      <c r="AK613" s="299"/>
    </row>
    <row r="614" spans="2:37" ht="13">
      <c r="B614" s="294"/>
      <c r="C614" s="294"/>
      <c r="D614" s="294"/>
      <c r="E614" s="294"/>
      <c r="F614" s="294"/>
      <c r="G614" s="294"/>
      <c r="H614" s="294"/>
      <c r="P614" s="295"/>
      <c r="W614" s="295"/>
      <c r="AE614" s="188"/>
      <c r="AG614" s="188"/>
      <c r="AH614" s="188"/>
      <c r="AI614" s="188"/>
      <c r="AJ614" s="188"/>
      <c r="AK614" s="299"/>
    </row>
    <row r="615" spans="2:37" ht="13">
      <c r="B615" s="294"/>
      <c r="C615" s="294"/>
      <c r="D615" s="294"/>
      <c r="E615" s="294"/>
      <c r="F615" s="294"/>
      <c r="G615" s="294"/>
      <c r="H615" s="294"/>
      <c r="P615" s="295"/>
      <c r="W615" s="295"/>
      <c r="AE615" s="188"/>
      <c r="AG615" s="188"/>
      <c r="AH615" s="188"/>
      <c r="AI615" s="188"/>
      <c r="AJ615" s="188"/>
      <c r="AK615" s="299"/>
    </row>
    <row r="616" spans="2:37" ht="13">
      <c r="B616" s="294"/>
      <c r="C616" s="294"/>
      <c r="D616" s="294"/>
      <c r="E616" s="294"/>
      <c r="F616" s="294"/>
      <c r="G616" s="294"/>
      <c r="H616" s="294"/>
      <c r="P616" s="295"/>
      <c r="W616" s="295"/>
      <c r="AE616" s="188"/>
      <c r="AG616" s="188"/>
      <c r="AH616" s="188"/>
      <c r="AI616" s="188"/>
      <c r="AJ616" s="188"/>
      <c r="AK616" s="299"/>
    </row>
    <row r="617" spans="2:37" ht="13">
      <c r="B617" s="294"/>
      <c r="C617" s="294"/>
      <c r="D617" s="294"/>
      <c r="E617" s="294"/>
      <c r="F617" s="294"/>
      <c r="G617" s="294"/>
      <c r="H617" s="294"/>
      <c r="P617" s="295"/>
      <c r="W617" s="295"/>
      <c r="AE617" s="188"/>
      <c r="AG617" s="188"/>
      <c r="AH617" s="188"/>
      <c r="AI617" s="188"/>
      <c r="AJ617" s="188"/>
      <c r="AK617" s="299"/>
    </row>
    <row r="618" spans="2:37" ht="13">
      <c r="B618" s="294"/>
      <c r="C618" s="294"/>
      <c r="D618" s="294"/>
      <c r="E618" s="294"/>
      <c r="F618" s="294"/>
      <c r="G618" s="294"/>
      <c r="H618" s="294"/>
      <c r="P618" s="295"/>
      <c r="W618" s="295"/>
      <c r="AE618" s="188"/>
      <c r="AG618" s="188"/>
      <c r="AH618" s="188"/>
      <c r="AI618" s="188"/>
      <c r="AJ618" s="188"/>
      <c r="AK618" s="299"/>
    </row>
    <row r="619" spans="2:37" ht="13">
      <c r="B619" s="294"/>
      <c r="C619" s="294"/>
      <c r="D619" s="294"/>
      <c r="E619" s="294"/>
      <c r="F619" s="294"/>
      <c r="G619" s="294"/>
      <c r="H619" s="294"/>
      <c r="P619" s="295"/>
      <c r="W619" s="295"/>
      <c r="AE619" s="188"/>
      <c r="AG619" s="188"/>
      <c r="AH619" s="188"/>
      <c r="AI619" s="188"/>
      <c r="AJ619" s="188"/>
      <c r="AK619" s="299"/>
    </row>
    <row r="620" spans="2:37" ht="13">
      <c r="B620" s="294"/>
      <c r="C620" s="294"/>
      <c r="D620" s="294"/>
      <c r="E620" s="294"/>
      <c r="F620" s="294"/>
      <c r="G620" s="294"/>
      <c r="H620" s="294"/>
      <c r="P620" s="295"/>
      <c r="W620" s="295"/>
      <c r="AE620" s="188"/>
      <c r="AG620" s="188"/>
      <c r="AH620" s="188"/>
      <c r="AI620" s="188"/>
      <c r="AJ620" s="188"/>
      <c r="AK620" s="299"/>
    </row>
    <row r="621" spans="2:37" ht="13">
      <c r="B621" s="294"/>
      <c r="C621" s="294"/>
      <c r="D621" s="294"/>
      <c r="E621" s="294"/>
      <c r="F621" s="294"/>
      <c r="G621" s="294"/>
      <c r="H621" s="294"/>
      <c r="P621" s="295"/>
      <c r="W621" s="295"/>
      <c r="AE621" s="188"/>
      <c r="AG621" s="188"/>
      <c r="AH621" s="188"/>
      <c r="AI621" s="188"/>
      <c r="AJ621" s="188"/>
      <c r="AK621" s="299"/>
    </row>
    <row r="622" spans="2:37" ht="13">
      <c r="B622" s="294"/>
      <c r="C622" s="294"/>
      <c r="D622" s="294"/>
      <c r="E622" s="294"/>
      <c r="F622" s="294"/>
      <c r="G622" s="294"/>
      <c r="H622" s="294"/>
      <c r="P622" s="295"/>
      <c r="W622" s="295"/>
      <c r="AE622" s="188"/>
      <c r="AG622" s="188"/>
      <c r="AH622" s="188"/>
      <c r="AI622" s="188"/>
      <c r="AJ622" s="188"/>
      <c r="AK622" s="299"/>
    </row>
    <row r="623" spans="2:37" ht="13">
      <c r="B623" s="294"/>
      <c r="C623" s="294"/>
      <c r="D623" s="294"/>
      <c r="E623" s="294"/>
      <c r="F623" s="294"/>
      <c r="G623" s="294"/>
      <c r="H623" s="294"/>
      <c r="P623" s="295"/>
      <c r="W623" s="295"/>
      <c r="AE623" s="188"/>
      <c r="AG623" s="188"/>
      <c r="AH623" s="188"/>
      <c r="AI623" s="188"/>
      <c r="AJ623" s="188"/>
      <c r="AK623" s="299"/>
    </row>
    <row r="624" spans="2:37" ht="13">
      <c r="B624" s="294"/>
      <c r="C624" s="294"/>
      <c r="D624" s="294"/>
      <c r="E624" s="294"/>
      <c r="F624" s="294"/>
      <c r="G624" s="294"/>
      <c r="H624" s="294"/>
      <c r="P624" s="295"/>
      <c r="W624" s="295"/>
      <c r="AE624" s="188"/>
      <c r="AG624" s="188"/>
      <c r="AH624" s="188"/>
      <c r="AI624" s="188"/>
      <c r="AJ624" s="188"/>
      <c r="AK624" s="299"/>
    </row>
    <row r="625" spans="2:37" ht="13">
      <c r="B625" s="294"/>
      <c r="C625" s="294"/>
      <c r="D625" s="294"/>
      <c r="E625" s="294"/>
      <c r="F625" s="294"/>
      <c r="G625" s="294"/>
      <c r="H625" s="294"/>
      <c r="P625" s="295"/>
      <c r="W625" s="295"/>
      <c r="AE625" s="188"/>
      <c r="AG625" s="188"/>
      <c r="AH625" s="188"/>
      <c r="AI625" s="188"/>
      <c r="AJ625" s="188"/>
      <c r="AK625" s="299"/>
    </row>
    <row r="626" spans="2:37" ht="13">
      <c r="B626" s="294"/>
      <c r="C626" s="294"/>
      <c r="D626" s="294"/>
      <c r="E626" s="294"/>
      <c r="F626" s="294"/>
      <c r="G626" s="294"/>
      <c r="H626" s="294"/>
      <c r="P626" s="295"/>
      <c r="W626" s="295"/>
      <c r="AE626" s="188"/>
      <c r="AG626" s="188"/>
      <c r="AH626" s="188"/>
      <c r="AI626" s="188"/>
      <c r="AJ626" s="188"/>
      <c r="AK626" s="299"/>
    </row>
    <row r="627" spans="2:37" ht="13">
      <c r="B627" s="294"/>
      <c r="C627" s="294"/>
      <c r="D627" s="294"/>
      <c r="E627" s="294"/>
      <c r="F627" s="294"/>
      <c r="G627" s="294"/>
      <c r="H627" s="294"/>
      <c r="P627" s="295"/>
      <c r="W627" s="295"/>
      <c r="AE627" s="188"/>
      <c r="AG627" s="188"/>
      <c r="AH627" s="188"/>
      <c r="AI627" s="188"/>
      <c r="AJ627" s="188"/>
      <c r="AK627" s="299"/>
    </row>
    <row r="628" spans="2:37" ht="13">
      <c r="B628" s="294"/>
      <c r="C628" s="294"/>
      <c r="D628" s="294"/>
      <c r="E628" s="294"/>
      <c r="F628" s="294"/>
      <c r="G628" s="294"/>
      <c r="H628" s="294"/>
      <c r="P628" s="295"/>
      <c r="W628" s="295"/>
      <c r="AE628" s="188"/>
      <c r="AG628" s="188"/>
      <c r="AH628" s="188"/>
      <c r="AI628" s="188"/>
      <c r="AJ628" s="188"/>
      <c r="AK628" s="299"/>
    </row>
    <row r="629" spans="2:37" ht="13">
      <c r="B629" s="294"/>
      <c r="C629" s="294"/>
      <c r="D629" s="294"/>
      <c r="E629" s="294"/>
      <c r="F629" s="294"/>
      <c r="G629" s="294"/>
      <c r="H629" s="294"/>
      <c r="P629" s="295"/>
      <c r="W629" s="295"/>
      <c r="AE629" s="188"/>
      <c r="AG629" s="188"/>
      <c r="AH629" s="188"/>
      <c r="AI629" s="188"/>
      <c r="AJ629" s="188"/>
      <c r="AK629" s="299"/>
    </row>
    <row r="630" spans="2:37" ht="13">
      <c r="B630" s="294"/>
      <c r="C630" s="294"/>
      <c r="D630" s="294"/>
      <c r="E630" s="294"/>
      <c r="F630" s="294"/>
      <c r="G630" s="294"/>
      <c r="H630" s="294"/>
      <c r="P630" s="295"/>
      <c r="W630" s="295"/>
      <c r="AE630" s="188"/>
      <c r="AG630" s="188"/>
      <c r="AH630" s="188"/>
      <c r="AI630" s="188"/>
      <c r="AJ630" s="188"/>
      <c r="AK630" s="299"/>
    </row>
    <row r="631" spans="2:37" ht="13">
      <c r="B631" s="294"/>
      <c r="C631" s="294"/>
      <c r="D631" s="294"/>
      <c r="E631" s="294"/>
      <c r="F631" s="294"/>
      <c r="G631" s="294"/>
      <c r="H631" s="294"/>
      <c r="P631" s="295"/>
      <c r="W631" s="295"/>
      <c r="AE631" s="188"/>
      <c r="AG631" s="188"/>
      <c r="AH631" s="188"/>
      <c r="AI631" s="188"/>
      <c r="AJ631" s="188"/>
      <c r="AK631" s="299"/>
    </row>
    <row r="632" spans="2:37" ht="13">
      <c r="B632" s="294"/>
      <c r="C632" s="294"/>
      <c r="D632" s="294"/>
      <c r="E632" s="294"/>
      <c r="F632" s="294"/>
      <c r="G632" s="294"/>
      <c r="H632" s="294"/>
      <c r="P632" s="295"/>
      <c r="W632" s="295"/>
      <c r="AE632" s="188"/>
      <c r="AG632" s="188"/>
      <c r="AH632" s="188"/>
      <c r="AI632" s="188"/>
      <c r="AJ632" s="188"/>
      <c r="AK632" s="299"/>
    </row>
    <row r="633" spans="2:37" ht="13">
      <c r="B633" s="294"/>
      <c r="C633" s="294"/>
      <c r="D633" s="294"/>
      <c r="E633" s="294"/>
      <c r="F633" s="294"/>
      <c r="G633" s="294"/>
      <c r="H633" s="294"/>
      <c r="P633" s="295"/>
      <c r="W633" s="295"/>
      <c r="AE633" s="188"/>
      <c r="AG633" s="188"/>
      <c r="AH633" s="188"/>
      <c r="AI633" s="188"/>
      <c r="AJ633" s="188"/>
      <c r="AK633" s="299"/>
    </row>
    <row r="634" spans="2:37" ht="13">
      <c r="B634" s="294"/>
      <c r="C634" s="294"/>
      <c r="D634" s="294"/>
      <c r="E634" s="294"/>
      <c r="F634" s="294"/>
      <c r="G634" s="294"/>
      <c r="H634" s="294"/>
      <c r="P634" s="295"/>
      <c r="W634" s="295"/>
      <c r="AE634" s="188"/>
      <c r="AG634" s="188"/>
      <c r="AH634" s="188"/>
      <c r="AI634" s="188"/>
      <c r="AJ634" s="188"/>
      <c r="AK634" s="299"/>
    </row>
    <row r="635" spans="2:37" ht="13">
      <c r="B635" s="294"/>
      <c r="C635" s="294"/>
      <c r="D635" s="294"/>
      <c r="E635" s="294"/>
      <c r="F635" s="294"/>
      <c r="G635" s="294"/>
      <c r="H635" s="294"/>
      <c r="P635" s="295"/>
      <c r="W635" s="295"/>
      <c r="AE635" s="188"/>
      <c r="AG635" s="188"/>
      <c r="AH635" s="188"/>
      <c r="AI635" s="188"/>
      <c r="AJ635" s="188"/>
      <c r="AK635" s="299"/>
    </row>
    <row r="636" spans="2:37" ht="13">
      <c r="B636" s="294"/>
      <c r="C636" s="294"/>
      <c r="D636" s="294"/>
      <c r="E636" s="294"/>
      <c r="F636" s="294"/>
      <c r="G636" s="294"/>
      <c r="H636" s="294"/>
      <c r="P636" s="295"/>
      <c r="W636" s="295"/>
      <c r="AE636" s="188"/>
      <c r="AG636" s="188"/>
      <c r="AH636" s="188"/>
      <c r="AI636" s="188"/>
      <c r="AJ636" s="188"/>
      <c r="AK636" s="299"/>
    </row>
    <row r="637" spans="2:37" ht="13">
      <c r="B637" s="294"/>
      <c r="C637" s="294"/>
      <c r="D637" s="294"/>
      <c r="E637" s="294"/>
      <c r="F637" s="294"/>
      <c r="G637" s="294"/>
      <c r="H637" s="294"/>
      <c r="P637" s="295"/>
      <c r="W637" s="295"/>
      <c r="AE637" s="188"/>
      <c r="AG637" s="188"/>
      <c r="AH637" s="188"/>
      <c r="AI637" s="188"/>
      <c r="AJ637" s="188"/>
      <c r="AK637" s="299"/>
    </row>
    <row r="638" spans="2:37" ht="13">
      <c r="B638" s="294"/>
      <c r="C638" s="294"/>
      <c r="D638" s="294"/>
      <c r="E638" s="294"/>
      <c r="F638" s="294"/>
      <c r="G638" s="294"/>
      <c r="H638" s="294"/>
      <c r="P638" s="295"/>
      <c r="W638" s="295"/>
      <c r="AE638" s="188"/>
      <c r="AG638" s="188"/>
      <c r="AH638" s="188"/>
      <c r="AI638" s="188"/>
      <c r="AJ638" s="188"/>
      <c r="AK638" s="299"/>
    </row>
    <row r="639" spans="2:37" ht="13">
      <c r="B639" s="294"/>
      <c r="C639" s="294"/>
      <c r="D639" s="294"/>
      <c r="E639" s="294"/>
      <c r="F639" s="294"/>
      <c r="G639" s="294"/>
      <c r="H639" s="294"/>
      <c r="P639" s="295"/>
      <c r="W639" s="295"/>
      <c r="AE639" s="188"/>
      <c r="AG639" s="188"/>
      <c r="AH639" s="188"/>
      <c r="AI639" s="188"/>
      <c r="AJ639" s="188"/>
      <c r="AK639" s="299"/>
    </row>
    <row r="640" spans="2:37" ht="13">
      <c r="B640" s="294"/>
      <c r="C640" s="294"/>
      <c r="D640" s="294"/>
      <c r="E640" s="294"/>
      <c r="F640" s="294"/>
      <c r="G640" s="294"/>
      <c r="H640" s="294"/>
      <c r="P640" s="295"/>
      <c r="W640" s="295"/>
      <c r="AE640" s="188"/>
      <c r="AG640" s="188"/>
      <c r="AH640" s="188"/>
      <c r="AI640" s="188"/>
      <c r="AJ640" s="188"/>
      <c r="AK640" s="299"/>
    </row>
    <row r="641" spans="2:37" ht="13">
      <c r="B641" s="294"/>
      <c r="C641" s="294"/>
      <c r="D641" s="294"/>
      <c r="E641" s="294"/>
      <c r="F641" s="294"/>
      <c r="G641" s="294"/>
      <c r="H641" s="294"/>
      <c r="P641" s="295"/>
      <c r="W641" s="295"/>
      <c r="AE641" s="188"/>
      <c r="AG641" s="188"/>
      <c r="AH641" s="188"/>
      <c r="AI641" s="188"/>
      <c r="AJ641" s="188"/>
      <c r="AK641" s="299"/>
    </row>
    <row r="642" spans="2:37" ht="13">
      <c r="B642" s="294"/>
      <c r="C642" s="294"/>
      <c r="D642" s="294"/>
      <c r="E642" s="294"/>
      <c r="F642" s="294"/>
      <c r="G642" s="294"/>
      <c r="H642" s="294"/>
      <c r="P642" s="295"/>
      <c r="W642" s="295"/>
      <c r="AE642" s="188"/>
      <c r="AG642" s="188"/>
      <c r="AH642" s="188"/>
      <c r="AI642" s="188"/>
      <c r="AJ642" s="188"/>
      <c r="AK642" s="299"/>
    </row>
    <row r="643" spans="2:37" ht="13">
      <c r="B643" s="294"/>
      <c r="C643" s="294"/>
      <c r="D643" s="294"/>
      <c r="E643" s="294"/>
      <c r="F643" s="294"/>
      <c r="G643" s="294"/>
      <c r="H643" s="294"/>
      <c r="P643" s="295"/>
      <c r="W643" s="295"/>
      <c r="AE643" s="188"/>
      <c r="AG643" s="188"/>
      <c r="AH643" s="188"/>
      <c r="AI643" s="188"/>
      <c r="AJ643" s="188"/>
      <c r="AK643" s="299"/>
    </row>
    <row r="644" spans="2:37" ht="13">
      <c r="B644" s="294"/>
      <c r="C644" s="294"/>
      <c r="D644" s="294"/>
      <c r="E644" s="294"/>
      <c r="F644" s="294"/>
      <c r="G644" s="294"/>
      <c r="H644" s="294"/>
      <c r="P644" s="295"/>
      <c r="W644" s="295"/>
      <c r="AE644" s="188"/>
      <c r="AG644" s="188"/>
      <c r="AH644" s="188"/>
      <c r="AI644" s="188"/>
      <c r="AJ644" s="188"/>
      <c r="AK644" s="299"/>
    </row>
    <row r="645" spans="2:37" ht="13">
      <c r="B645" s="294"/>
      <c r="C645" s="294"/>
      <c r="D645" s="294"/>
      <c r="E645" s="294"/>
      <c r="F645" s="294"/>
      <c r="G645" s="294"/>
      <c r="H645" s="294"/>
      <c r="P645" s="295"/>
      <c r="W645" s="295"/>
      <c r="AE645" s="188"/>
      <c r="AG645" s="188"/>
      <c r="AH645" s="188"/>
      <c r="AI645" s="188"/>
      <c r="AJ645" s="188"/>
      <c r="AK645" s="299"/>
    </row>
    <row r="646" spans="2:37" ht="13">
      <c r="B646" s="294"/>
      <c r="C646" s="294"/>
      <c r="D646" s="294"/>
      <c r="E646" s="294"/>
      <c r="F646" s="294"/>
      <c r="G646" s="294"/>
      <c r="H646" s="294"/>
      <c r="P646" s="295"/>
      <c r="W646" s="295"/>
      <c r="AE646" s="188"/>
      <c r="AG646" s="188"/>
      <c r="AH646" s="188"/>
      <c r="AI646" s="188"/>
      <c r="AJ646" s="188"/>
      <c r="AK646" s="299"/>
    </row>
    <row r="647" spans="2:37" ht="13">
      <c r="B647" s="294"/>
      <c r="C647" s="294"/>
      <c r="D647" s="294"/>
      <c r="E647" s="294"/>
      <c r="F647" s="294"/>
      <c r="G647" s="294"/>
      <c r="H647" s="294"/>
      <c r="P647" s="295"/>
      <c r="W647" s="295"/>
      <c r="AE647" s="188"/>
      <c r="AG647" s="188"/>
      <c r="AH647" s="188"/>
      <c r="AI647" s="188"/>
      <c r="AJ647" s="188"/>
      <c r="AK647" s="299"/>
    </row>
    <row r="648" spans="2:37" ht="13">
      <c r="B648" s="294"/>
      <c r="C648" s="294"/>
      <c r="D648" s="294"/>
      <c r="E648" s="294"/>
      <c r="F648" s="294"/>
      <c r="G648" s="294"/>
      <c r="H648" s="294"/>
      <c r="P648" s="295"/>
      <c r="W648" s="295"/>
      <c r="AE648" s="188"/>
      <c r="AG648" s="188"/>
      <c r="AH648" s="188"/>
      <c r="AI648" s="188"/>
      <c r="AJ648" s="188"/>
      <c r="AK648" s="299"/>
    </row>
    <row r="649" spans="2:37" ht="13">
      <c r="B649" s="294"/>
      <c r="C649" s="294"/>
      <c r="D649" s="294"/>
      <c r="E649" s="294"/>
      <c r="F649" s="294"/>
      <c r="G649" s="294"/>
      <c r="H649" s="294"/>
      <c r="P649" s="295"/>
      <c r="W649" s="295"/>
      <c r="AE649" s="188"/>
      <c r="AG649" s="188"/>
      <c r="AH649" s="188"/>
      <c r="AI649" s="188"/>
      <c r="AJ649" s="188"/>
      <c r="AK649" s="299"/>
    </row>
    <row r="650" spans="2:37" ht="13">
      <c r="B650" s="294"/>
      <c r="C650" s="294"/>
      <c r="D650" s="294"/>
      <c r="E650" s="294"/>
      <c r="F650" s="294"/>
      <c r="G650" s="294"/>
      <c r="H650" s="294"/>
      <c r="P650" s="295"/>
      <c r="W650" s="295"/>
      <c r="AE650" s="188"/>
      <c r="AG650" s="188"/>
      <c r="AH650" s="188"/>
      <c r="AI650" s="188"/>
      <c r="AJ650" s="188"/>
      <c r="AK650" s="299"/>
    </row>
    <row r="651" spans="2:37" ht="13">
      <c r="B651" s="294"/>
      <c r="C651" s="294"/>
      <c r="D651" s="294"/>
      <c r="E651" s="294"/>
      <c r="F651" s="294"/>
      <c r="G651" s="294"/>
      <c r="H651" s="294"/>
      <c r="P651" s="295"/>
      <c r="W651" s="295"/>
      <c r="AE651" s="188"/>
      <c r="AG651" s="188"/>
      <c r="AH651" s="188"/>
      <c r="AI651" s="188"/>
      <c r="AJ651" s="188"/>
      <c r="AK651" s="299"/>
    </row>
    <row r="652" spans="2:37" ht="13">
      <c r="B652" s="294"/>
      <c r="C652" s="294"/>
      <c r="D652" s="294"/>
      <c r="E652" s="294"/>
      <c r="F652" s="294"/>
      <c r="G652" s="294"/>
      <c r="H652" s="294"/>
      <c r="P652" s="295"/>
      <c r="W652" s="295"/>
      <c r="AE652" s="188"/>
      <c r="AG652" s="188"/>
      <c r="AH652" s="188"/>
      <c r="AI652" s="188"/>
      <c r="AJ652" s="188"/>
      <c r="AK652" s="299"/>
    </row>
    <row r="653" spans="2:37" ht="13">
      <c r="B653" s="294"/>
      <c r="C653" s="294"/>
      <c r="D653" s="294"/>
      <c r="E653" s="294"/>
      <c r="F653" s="294"/>
      <c r="G653" s="294"/>
      <c r="H653" s="294"/>
      <c r="P653" s="295"/>
      <c r="W653" s="295"/>
      <c r="AE653" s="188"/>
      <c r="AG653" s="188"/>
      <c r="AH653" s="188"/>
      <c r="AI653" s="188"/>
      <c r="AJ653" s="188"/>
      <c r="AK653" s="299"/>
    </row>
    <row r="654" spans="2:37" ht="13">
      <c r="B654" s="294"/>
      <c r="C654" s="294"/>
      <c r="D654" s="294"/>
      <c r="E654" s="294"/>
      <c r="F654" s="294"/>
      <c r="G654" s="294"/>
      <c r="H654" s="294"/>
      <c r="P654" s="295"/>
      <c r="W654" s="295"/>
      <c r="AE654" s="188"/>
      <c r="AG654" s="188"/>
      <c r="AH654" s="188"/>
      <c r="AI654" s="188"/>
      <c r="AJ654" s="188"/>
      <c r="AK654" s="299"/>
    </row>
    <row r="655" spans="2:37" ht="13">
      <c r="B655" s="294"/>
      <c r="C655" s="294"/>
      <c r="D655" s="294"/>
      <c r="E655" s="294"/>
      <c r="F655" s="294"/>
      <c r="G655" s="294"/>
      <c r="H655" s="294"/>
      <c r="P655" s="295"/>
      <c r="W655" s="295"/>
      <c r="AE655" s="188"/>
      <c r="AG655" s="188"/>
      <c r="AH655" s="188"/>
      <c r="AI655" s="188"/>
      <c r="AJ655" s="188"/>
      <c r="AK655" s="299"/>
    </row>
    <row r="656" spans="2:37" ht="13">
      <c r="B656" s="294"/>
      <c r="C656" s="294"/>
      <c r="D656" s="294"/>
      <c r="E656" s="294"/>
      <c r="F656" s="294"/>
      <c r="G656" s="294"/>
      <c r="H656" s="294"/>
      <c r="P656" s="295"/>
      <c r="W656" s="295"/>
      <c r="AE656" s="188"/>
      <c r="AG656" s="188"/>
      <c r="AH656" s="188"/>
      <c r="AI656" s="188"/>
      <c r="AJ656" s="188"/>
      <c r="AK656" s="299"/>
    </row>
    <row r="657" spans="2:37" ht="13">
      <c r="B657" s="294"/>
      <c r="C657" s="294"/>
      <c r="D657" s="294"/>
      <c r="E657" s="294"/>
      <c r="F657" s="294"/>
      <c r="G657" s="294"/>
      <c r="H657" s="294"/>
      <c r="P657" s="295"/>
      <c r="W657" s="295"/>
      <c r="AE657" s="188"/>
      <c r="AG657" s="188"/>
      <c r="AH657" s="188"/>
      <c r="AI657" s="188"/>
      <c r="AJ657" s="188"/>
      <c r="AK657" s="299"/>
    </row>
    <row r="658" spans="2:37" ht="13">
      <c r="B658" s="294"/>
      <c r="C658" s="294"/>
      <c r="D658" s="294"/>
      <c r="E658" s="294"/>
      <c r="F658" s="294"/>
      <c r="G658" s="294"/>
      <c r="H658" s="294"/>
      <c r="P658" s="295"/>
      <c r="W658" s="295"/>
      <c r="AE658" s="188"/>
      <c r="AG658" s="188"/>
      <c r="AH658" s="188"/>
      <c r="AI658" s="188"/>
      <c r="AJ658" s="188"/>
      <c r="AK658" s="299"/>
    </row>
    <row r="659" spans="2:37" ht="13">
      <c r="B659" s="294"/>
      <c r="C659" s="294"/>
      <c r="D659" s="294"/>
      <c r="E659" s="294"/>
      <c r="F659" s="294"/>
      <c r="G659" s="294"/>
      <c r="H659" s="294"/>
      <c r="P659" s="295"/>
      <c r="W659" s="295"/>
      <c r="AE659" s="188"/>
      <c r="AG659" s="188"/>
      <c r="AH659" s="188"/>
      <c r="AI659" s="188"/>
      <c r="AJ659" s="188"/>
      <c r="AK659" s="299"/>
    </row>
    <row r="660" spans="2:37" ht="13">
      <c r="B660" s="294"/>
      <c r="C660" s="294"/>
      <c r="D660" s="294"/>
      <c r="E660" s="294"/>
      <c r="F660" s="294"/>
      <c r="G660" s="294"/>
      <c r="H660" s="294"/>
      <c r="P660" s="295"/>
      <c r="W660" s="295"/>
      <c r="AE660" s="188"/>
      <c r="AG660" s="188"/>
      <c r="AH660" s="188"/>
      <c r="AI660" s="188"/>
      <c r="AJ660" s="188"/>
      <c r="AK660" s="299"/>
    </row>
    <row r="661" spans="2:37" ht="13">
      <c r="B661" s="294"/>
      <c r="C661" s="294"/>
      <c r="D661" s="294"/>
      <c r="E661" s="294"/>
      <c r="F661" s="294"/>
      <c r="G661" s="294"/>
      <c r="H661" s="294"/>
      <c r="P661" s="295"/>
      <c r="W661" s="295"/>
      <c r="AE661" s="188"/>
      <c r="AG661" s="188"/>
      <c r="AH661" s="188"/>
      <c r="AI661" s="188"/>
      <c r="AJ661" s="188"/>
      <c r="AK661" s="299"/>
    </row>
    <row r="662" spans="2:37" ht="13">
      <c r="B662" s="294"/>
      <c r="C662" s="294"/>
      <c r="D662" s="294"/>
      <c r="E662" s="294"/>
      <c r="F662" s="294"/>
      <c r="G662" s="294"/>
      <c r="H662" s="294"/>
      <c r="P662" s="295"/>
      <c r="W662" s="295"/>
      <c r="AE662" s="188"/>
      <c r="AG662" s="188"/>
      <c r="AH662" s="188"/>
      <c r="AI662" s="188"/>
      <c r="AJ662" s="188"/>
      <c r="AK662" s="299"/>
    </row>
    <row r="663" spans="2:37" ht="13">
      <c r="B663" s="294"/>
      <c r="C663" s="294"/>
      <c r="D663" s="294"/>
      <c r="E663" s="294"/>
      <c r="F663" s="294"/>
      <c r="G663" s="294"/>
      <c r="H663" s="294"/>
      <c r="P663" s="295"/>
      <c r="W663" s="295"/>
      <c r="AE663" s="188"/>
      <c r="AG663" s="188"/>
      <c r="AH663" s="188"/>
      <c r="AI663" s="188"/>
      <c r="AJ663" s="188"/>
      <c r="AK663" s="299"/>
    </row>
    <row r="664" spans="2:37" ht="13">
      <c r="B664" s="294"/>
      <c r="C664" s="294"/>
      <c r="D664" s="294"/>
      <c r="E664" s="294"/>
      <c r="F664" s="294"/>
      <c r="G664" s="294"/>
      <c r="H664" s="294"/>
      <c r="P664" s="295"/>
      <c r="W664" s="295"/>
      <c r="AE664" s="188"/>
      <c r="AG664" s="188"/>
      <c r="AH664" s="188"/>
      <c r="AI664" s="188"/>
      <c r="AJ664" s="188"/>
      <c r="AK664" s="299"/>
    </row>
    <row r="665" spans="2:37" ht="13">
      <c r="B665" s="294"/>
      <c r="C665" s="294"/>
      <c r="D665" s="294"/>
      <c r="E665" s="294"/>
      <c r="F665" s="294"/>
      <c r="G665" s="294"/>
      <c r="H665" s="294"/>
      <c r="P665" s="295"/>
      <c r="W665" s="295"/>
      <c r="AE665" s="188"/>
      <c r="AG665" s="188"/>
      <c r="AH665" s="188"/>
      <c r="AI665" s="188"/>
      <c r="AJ665" s="188"/>
      <c r="AK665" s="299"/>
    </row>
    <row r="666" spans="2:37" ht="13">
      <c r="B666" s="294"/>
      <c r="C666" s="294"/>
      <c r="D666" s="294"/>
      <c r="E666" s="294"/>
      <c r="F666" s="294"/>
      <c r="G666" s="294"/>
      <c r="H666" s="294"/>
      <c r="P666" s="295"/>
      <c r="W666" s="295"/>
      <c r="AE666" s="188"/>
      <c r="AG666" s="188"/>
      <c r="AH666" s="188"/>
      <c r="AI666" s="188"/>
      <c r="AJ666" s="188"/>
      <c r="AK666" s="299"/>
    </row>
    <row r="667" spans="2:37" ht="13">
      <c r="B667" s="294"/>
      <c r="C667" s="294"/>
      <c r="D667" s="294"/>
      <c r="E667" s="294"/>
      <c r="F667" s="294"/>
      <c r="G667" s="294"/>
      <c r="H667" s="294"/>
      <c r="P667" s="295"/>
      <c r="W667" s="295"/>
      <c r="AE667" s="188"/>
      <c r="AG667" s="188"/>
      <c r="AH667" s="188"/>
      <c r="AI667" s="188"/>
      <c r="AJ667" s="188"/>
      <c r="AK667" s="299"/>
    </row>
    <row r="668" spans="2:37" ht="13">
      <c r="B668" s="294"/>
      <c r="C668" s="294"/>
      <c r="D668" s="294"/>
      <c r="E668" s="294"/>
      <c r="F668" s="294"/>
      <c r="G668" s="294"/>
      <c r="H668" s="294"/>
      <c r="P668" s="295"/>
      <c r="W668" s="295"/>
      <c r="AE668" s="188"/>
      <c r="AG668" s="188"/>
      <c r="AH668" s="188"/>
      <c r="AI668" s="188"/>
      <c r="AJ668" s="188"/>
      <c r="AK668" s="299"/>
    </row>
    <row r="669" spans="2:37" ht="13">
      <c r="B669" s="294"/>
      <c r="C669" s="294"/>
      <c r="D669" s="294"/>
      <c r="E669" s="294"/>
      <c r="F669" s="294"/>
      <c r="G669" s="294"/>
      <c r="H669" s="294"/>
      <c r="P669" s="295"/>
      <c r="W669" s="295"/>
      <c r="AE669" s="188"/>
      <c r="AG669" s="188"/>
      <c r="AH669" s="188"/>
      <c r="AI669" s="188"/>
      <c r="AJ669" s="188"/>
      <c r="AK669" s="299"/>
    </row>
    <row r="670" spans="2:37" ht="13">
      <c r="B670" s="294"/>
      <c r="C670" s="294"/>
      <c r="D670" s="294"/>
      <c r="E670" s="294"/>
      <c r="F670" s="294"/>
      <c r="G670" s="294"/>
      <c r="H670" s="294"/>
      <c r="P670" s="295"/>
      <c r="W670" s="295"/>
      <c r="AE670" s="188"/>
      <c r="AG670" s="188"/>
      <c r="AH670" s="188"/>
      <c r="AI670" s="188"/>
      <c r="AJ670" s="188"/>
      <c r="AK670" s="299"/>
    </row>
    <row r="671" spans="2:37" ht="13">
      <c r="B671" s="294"/>
      <c r="C671" s="294"/>
      <c r="D671" s="294"/>
      <c r="E671" s="294"/>
      <c r="F671" s="294"/>
      <c r="G671" s="294"/>
      <c r="H671" s="294"/>
      <c r="P671" s="295"/>
      <c r="W671" s="295"/>
      <c r="AE671" s="188"/>
      <c r="AG671" s="188"/>
      <c r="AH671" s="188"/>
      <c r="AI671" s="188"/>
      <c r="AJ671" s="188"/>
      <c r="AK671" s="299"/>
    </row>
    <row r="672" spans="2:37" ht="13">
      <c r="B672" s="294"/>
      <c r="C672" s="294"/>
      <c r="D672" s="294"/>
      <c r="E672" s="294"/>
      <c r="F672" s="294"/>
      <c r="G672" s="294"/>
      <c r="H672" s="294"/>
      <c r="P672" s="295"/>
      <c r="W672" s="295"/>
      <c r="AE672" s="188"/>
      <c r="AG672" s="188"/>
      <c r="AH672" s="188"/>
      <c r="AI672" s="188"/>
      <c r="AJ672" s="188"/>
      <c r="AK672" s="299"/>
    </row>
    <row r="673" spans="2:37" ht="13">
      <c r="B673" s="294"/>
      <c r="C673" s="294"/>
      <c r="D673" s="294"/>
      <c r="E673" s="294"/>
      <c r="F673" s="294"/>
      <c r="G673" s="294"/>
      <c r="H673" s="294"/>
      <c r="P673" s="295"/>
      <c r="W673" s="295"/>
      <c r="AE673" s="188"/>
      <c r="AG673" s="188"/>
      <c r="AH673" s="188"/>
      <c r="AI673" s="188"/>
      <c r="AJ673" s="188"/>
      <c r="AK673" s="299"/>
    </row>
    <row r="674" spans="2:37" ht="13">
      <c r="B674" s="294"/>
      <c r="C674" s="294"/>
      <c r="D674" s="294"/>
      <c r="E674" s="294"/>
      <c r="F674" s="294"/>
      <c r="G674" s="294"/>
      <c r="H674" s="294"/>
      <c r="P674" s="295"/>
      <c r="W674" s="295"/>
      <c r="AE674" s="188"/>
      <c r="AG674" s="188"/>
      <c r="AH674" s="188"/>
      <c r="AI674" s="188"/>
      <c r="AJ674" s="188"/>
      <c r="AK674" s="299"/>
    </row>
    <row r="675" spans="2:37" ht="13">
      <c r="B675" s="294"/>
      <c r="C675" s="294"/>
      <c r="D675" s="294"/>
      <c r="E675" s="294"/>
      <c r="F675" s="294"/>
      <c r="G675" s="294"/>
      <c r="H675" s="294"/>
      <c r="P675" s="295"/>
      <c r="W675" s="295"/>
      <c r="AE675" s="188"/>
      <c r="AG675" s="188"/>
      <c r="AH675" s="188"/>
      <c r="AI675" s="188"/>
      <c r="AJ675" s="188"/>
      <c r="AK675" s="299"/>
    </row>
    <row r="676" spans="2:37" ht="13">
      <c r="B676" s="294"/>
      <c r="C676" s="294"/>
      <c r="D676" s="294"/>
      <c r="E676" s="294"/>
      <c r="F676" s="294"/>
      <c r="G676" s="294"/>
      <c r="H676" s="294"/>
      <c r="P676" s="295"/>
      <c r="W676" s="295"/>
      <c r="AE676" s="188"/>
      <c r="AG676" s="188"/>
      <c r="AH676" s="188"/>
      <c r="AI676" s="188"/>
      <c r="AJ676" s="188"/>
      <c r="AK676" s="299"/>
    </row>
    <row r="677" spans="2:37" ht="13">
      <c r="B677" s="294"/>
      <c r="C677" s="294"/>
      <c r="D677" s="294"/>
      <c r="E677" s="294"/>
      <c r="F677" s="294"/>
      <c r="G677" s="294"/>
      <c r="H677" s="294"/>
      <c r="P677" s="295"/>
      <c r="W677" s="295"/>
      <c r="AE677" s="188"/>
      <c r="AG677" s="188"/>
      <c r="AH677" s="188"/>
      <c r="AI677" s="188"/>
      <c r="AJ677" s="188"/>
      <c r="AK677" s="299"/>
    </row>
    <row r="678" spans="2:37" ht="13">
      <c r="B678" s="294"/>
      <c r="C678" s="294"/>
      <c r="D678" s="294"/>
      <c r="E678" s="294"/>
      <c r="F678" s="294"/>
      <c r="G678" s="294"/>
      <c r="H678" s="294"/>
      <c r="P678" s="295"/>
      <c r="W678" s="295"/>
      <c r="AE678" s="188"/>
      <c r="AG678" s="188"/>
      <c r="AH678" s="188"/>
      <c r="AI678" s="188"/>
      <c r="AJ678" s="188"/>
      <c r="AK678" s="299"/>
    </row>
    <row r="679" spans="2:37" ht="13">
      <c r="B679" s="294"/>
      <c r="C679" s="294"/>
      <c r="D679" s="294"/>
      <c r="E679" s="294"/>
      <c r="F679" s="294"/>
      <c r="G679" s="294"/>
      <c r="H679" s="294"/>
      <c r="P679" s="295"/>
      <c r="W679" s="295"/>
      <c r="AE679" s="188"/>
      <c r="AG679" s="188"/>
      <c r="AH679" s="188"/>
      <c r="AI679" s="188"/>
      <c r="AJ679" s="188"/>
      <c r="AK679" s="299"/>
    </row>
    <row r="680" spans="2:37" ht="13">
      <c r="B680" s="294"/>
      <c r="C680" s="294"/>
      <c r="D680" s="294"/>
      <c r="E680" s="294"/>
      <c r="F680" s="294"/>
      <c r="G680" s="294"/>
      <c r="H680" s="294"/>
      <c r="P680" s="295"/>
      <c r="W680" s="295"/>
      <c r="AE680" s="188"/>
      <c r="AG680" s="188"/>
      <c r="AH680" s="188"/>
      <c r="AI680" s="188"/>
      <c r="AJ680" s="188"/>
      <c r="AK680" s="299"/>
    </row>
    <row r="681" spans="2:37" ht="13">
      <c r="B681" s="294"/>
      <c r="C681" s="294"/>
      <c r="D681" s="294"/>
      <c r="E681" s="294"/>
      <c r="F681" s="294"/>
      <c r="G681" s="294"/>
      <c r="H681" s="294"/>
      <c r="P681" s="295"/>
      <c r="W681" s="295"/>
      <c r="AE681" s="188"/>
      <c r="AG681" s="188"/>
      <c r="AH681" s="188"/>
      <c r="AI681" s="188"/>
      <c r="AJ681" s="188"/>
      <c r="AK681" s="299"/>
    </row>
    <row r="682" spans="2:37" ht="13">
      <c r="B682" s="294"/>
      <c r="C682" s="294"/>
      <c r="D682" s="294"/>
      <c r="E682" s="294"/>
      <c r="F682" s="294"/>
      <c r="G682" s="294"/>
      <c r="H682" s="294"/>
      <c r="P682" s="295"/>
      <c r="W682" s="295"/>
      <c r="AE682" s="188"/>
      <c r="AG682" s="188"/>
      <c r="AH682" s="188"/>
      <c r="AI682" s="188"/>
      <c r="AJ682" s="188"/>
      <c r="AK682" s="299"/>
    </row>
    <row r="683" spans="2:37" ht="13">
      <c r="B683" s="294"/>
      <c r="C683" s="294"/>
      <c r="D683" s="294"/>
      <c r="E683" s="294"/>
      <c r="F683" s="294"/>
      <c r="G683" s="294"/>
      <c r="H683" s="294"/>
      <c r="P683" s="295"/>
      <c r="W683" s="295"/>
      <c r="AE683" s="188"/>
      <c r="AG683" s="188"/>
      <c r="AH683" s="188"/>
      <c r="AI683" s="188"/>
      <c r="AJ683" s="188"/>
      <c r="AK683" s="299"/>
    </row>
    <row r="684" spans="2:37" ht="13">
      <c r="B684" s="294"/>
      <c r="C684" s="294"/>
      <c r="D684" s="294"/>
      <c r="E684" s="294"/>
      <c r="F684" s="294"/>
      <c r="G684" s="294"/>
      <c r="H684" s="294"/>
      <c r="P684" s="295"/>
      <c r="W684" s="295"/>
      <c r="AE684" s="188"/>
      <c r="AG684" s="188"/>
      <c r="AH684" s="188"/>
      <c r="AI684" s="188"/>
      <c r="AJ684" s="188"/>
      <c r="AK684" s="299"/>
    </row>
    <row r="685" spans="2:37" ht="13">
      <c r="B685" s="294"/>
      <c r="C685" s="294"/>
      <c r="D685" s="294"/>
      <c r="E685" s="294"/>
      <c r="F685" s="294"/>
      <c r="G685" s="294"/>
      <c r="H685" s="294"/>
      <c r="P685" s="295"/>
      <c r="W685" s="295"/>
      <c r="AE685" s="188"/>
      <c r="AG685" s="188"/>
      <c r="AH685" s="188"/>
      <c r="AI685" s="188"/>
      <c r="AJ685" s="188"/>
      <c r="AK685" s="299"/>
    </row>
    <row r="686" spans="2:37" ht="13">
      <c r="B686" s="294"/>
      <c r="C686" s="294"/>
      <c r="D686" s="294"/>
      <c r="E686" s="294"/>
      <c r="F686" s="294"/>
      <c r="G686" s="294"/>
      <c r="H686" s="294"/>
      <c r="P686" s="295"/>
      <c r="W686" s="295"/>
      <c r="AE686" s="188"/>
      <c r="AG686" s="188"/>
      <c r="AH686" s="188"/>
      <c r="AI686" s="188"/>
      <c r="AJ686" s="188"/>
      <c r="AK686" s="299"/>
    </row>
    <row r="687" spans="2:37" ht="13">
      <c r="B687" s="294"/>
      <c r="C687" s="294"/>
      <c r="D687" s="294"/>
      <c r="E687" s="294"/>
      <c r="F687" s="294"/>
      <c r="G687" s="294"/>
      <c r="H687" s="294"/>
      <c r="P687" s="295"/>
      <c r="W687" s="295"/>
      <c r="AE687" s="188"/>
      <c r="AG687" s="188"/>
      <c r="AH687" s="188"/>
      <c r="AI687" s="188"/>
      <c r="AJ687" s="188"/>
      <c r="AK687" s="299"/>
    </row>
    <row r="688" spans="2:37" ht="13">
      <c r="B688" s="294"/>
      <c r="C688" s="294"/>
      <c r="D688" s="294"/>
      <c r="E688" s="294"/>
      <c r="F688" s="294"/>
      <c r="G688" s="294"/>
      <c r="H688" s="294"/>
      <c r="P688" s="295"/>
      <c r="W688" s="295"/>
      <c r="AE688" s="188"/>
      <c r="AG688" s="188"/>
      <c r="AH688" s="188"/>
      <c r="AI688" s="188"/>
      <c r="AJ688" s="188"/>
      <c r="AK688" s="299"/>
    </row>
    <row r="689" spans="2:37" ht="13">
      <c r="B689" s="294"/>
      <c r="C689" s="294"/>
      <c r="D689" s="294"/>
      <c r="E689" s="294"/>
      <c r="F689" s="294"/>
      <c r="G689" s="294"/>
      <c r="H689" s="294"/>
      <c r="P689" s="295"/>
      <c r="W689" s="295"/>
      <c r="AE689" s="188"/>
      <c r="AG689" s="188"/>
      <c r="AH689" s="188"/>
      <c r="AI689" s="188"/>
      <c r="AJ689" s="188"/>
      <c r="AK689" s="299"/>
    </row>
    <row r="690" spans="2:37" ht="13">
      <c r="B690" s="294"/>
      <c r="C690" s="294"/>
      <c r="D690" s="294"/>
      <c r="E690" s="294"/>
      <c r="F690" s="294"/>
      <c r="G690" s="294"/>
      <c r="H690" s="294"/>
      <c r="P690" s="295"/>
      <c r="W690" s="295"/>
      <c r="AE690" s="188"/>
      <c r="AG690" s="188"/>
      <c r="AH690" s="188"/>
      <c r="AI690" s="188"/>
      <c r="AJ690" s="188"/>
      <c r="AK690" s="299"/>
    </row>
    <row r="691" spans="2:37" ht="13">
      <c r="B691" s="294"/>
      <c r="C691" s="294"/>
      <c r="D691" s="294"/>
      <c r="E691" s="294"/>
      <c r="F691" s="294"/>
      <c r="G691" s="294"/>
      <c r="H691" s="294"/>
      <c r="P691" s="295"/>
      <c r="W691" s="295"/>
      <c r="AE691" s="188"/>
      <c r="AG691" s="188"/>
      <c r="AH691" s="188"/>
      <c r="AI691" s="188"/>
      <c r="AJ691" s="188"/>
      <c r="AK691" s="299"/>
    </row>
    <row r="692" spans="2:37" ht="13">
      <c r="B692" s="294"/>
      <c r="C692" s="294"/>
      <c r="D692" s="294"/>
      <c r="E692" s="294"/>
      <c r="F692" s="294"/>
      <c r="G692" s="294"/>
      <c r="H692" s="294"/>
      <c r="P692" s="295"/>
      <c r="W692" s="295"/>
      <c r="AE692" s="188"/>
      <c r="AG692" s="188"/>
      <c r="AH692" s="188"/>
      <c r="AI692" s="188"/>
      <c r="AJ692" s="188"/>
      <c r="AK692" s="299"/>
    </row>
    <row r="693" spans="2:37" ht="13">
      <c r="B693" s="294"/>
      <c r="C693" s="294"/>
      <c r="D693" s="294"/>
      <c r="E693" s="294"/>
      <c r="F693" s="294"/>
      <c r="G693" s="294"/>
      <c r="H693" s="294"/>
      <c r="P693" s="295"/>
      <c r="W693" s="295"/>
      <c r="AE693" s="188"/>
      <c r="AG693" s="188"/>
      <c r="AH693" s="188"/>
      <c r="AI693" s="188"/>
      <c r="AJ693" s="188"/>
      <c r="AK693" s="299"/>
    </row>
    <row r="694" spans="2:37" ht="13">
      <c r="B694" s="294"/>
      <c r="C694" s="294"/>
      <c r="D694" s="294"/>
      <c r="E694" s="294"/>
      <c r="F694" s="294"/>
      <c r="G694" s="294"/>
      <c r="H694" s="294"/>
      <c r="P694" s="295"/>
      <c r="W694" s="295"/>
      <c r="AE694" s="188"/>
      <c r="AG694" s="188"/>
      <c r="AH694" s="188"/>
      <c r="AI694" s="188"/>
      <c r="AJ694" s="188"/>
      <c r="AK694" s="299"/>
    </row>
    <row r="695" spans="2:37" ht="13">
      <c r="B695" s="294"/>
      <c r="C695" s="294"/>
      <c r="D695" s="294"/>
      <c r="E695" s="294"/>
      <c r="F695" s="294"/>
      <c r="G695" s="294"/>
      <c r="H695" s="294"/>
      <c r="P695" s="295"/>
      <c r="W695" s="295"/>
      <c r="AE695" s="188"/>
      <c r="AG695" s="188"/>
      <c r="AH695" s="188"/>
      <c r="AI695" s="188"/>
      <c r="AJ695" s="188"/>
      <c r="AK695" s="299"/>
    </row>
    <row r="696" spans="2:37" ht="13">
      <c r="B696" s="294"/>
      <c r="C696" s="294"/>
      <c r="D696" s="294"/>
      <c r="E696" s="294"/>
      <c r="F696" s="294"/>
      <c r="G696" s="294"/>
      <c r="H696" s="294"/>
      <c r="P696" s="295"/>
      <c r="W696" s="295"/>
      <c r="AE696" s="188"/>
      <c r="AG696" s="188"/>
      <c r="AH696" s="188"/>
      <c r="AI696" s="188"/>
      <c r="AJ696" s="188"/>
      <c r="AK696" s="299"/>
    </row>
    <row r="697" spans="2:37" ht="13">
      <c r="B697" s="294"/>
      <c r="C697" s="294"/>
      <c r="D697" s="294"/>
      <c r="E697" s="294"/>
      <c r="F697" s="294"/>
      <c r="G697" s="294"/>
      <c r="H697" s="294"/>
      <c r="P697" s="295"/>
      <c r="W697" s="295"/>
      <c r="AE697" s="188"/>
      <c r="AG697" s="188"/>
      <c r="AH697" s="188"/>
      <c r="AI697" s="188"/>
      <c r="AJ697" s="188"/>
      <c r="AK697" s="299"/>
    </row>
    <row r="698" spans="2:37" ht="13">
      <c r="B698" s="294"/>
      <c r="C698" s="294"/>
      <c r="D698" s="294"/>
      <c r="E698" s="294"/>
      <c r="F698" s="294"/>
      <c r="G698" s="294"/>
      <c r="H698" s="294"/>
      <c r="P698" s="295"/>
      <c r="W698" s="295"/>
      <c r="AE698" s="188"/>
      <c r="AG698" s="188"/>
      <c r="AH698" s="188"/>
      <c r="AI698" s="188"/>
      <c r="AJ698" s="188"/>
      <c r="AK698" s="299"/>
    </row>
    <row r="699" spans="2:37" ht="13">
      <c r="B699" s="294"/>
      <c r="C699" s="294"/>
      <c r="D699" s="294"/>
      <c r="E699" s="294"/>
      <c r="F699" s="294"/>
      <c r="G699" s="294"/>
      <c r="H699" s="294"/>
      <c r="P699" s="295"/>
      <c r="W699" s="295"/>
      <c r="AE699" s="188"/>
      <c r="AG699" s="188"/>
      <c r="AH699" s="188"/>
      <c r="AI699" s="188"/>
      <c r="AJ699" s="188"/>
      <c r="AK699" s="299"/>
    </row>
    <row r="700" spans="2:37" ht="13">
      <c r="B700" s="294"/>
      <c r="C700" s="294"/>
      <c r="D700" s="294"/>
      <c r="E700" s="294"/>
      <c r="F700" s="294"/>
      <c r="G700" s="294"/>
      <c r="H700" s="294"/>
      <c r="P700" s="295"/>
      <c r="W700" s="295"/>
      <c r="AE700" s="188"/>
      <c r="AG700" s="188"/>
      <c r="AH700" s="188"/>
      <c r="AI700" s="188"/>
      <c r="AJ700" s="188"/>
      <c r="AK700" s="299"/>
    </row>
    <row r="701" spans="2:37" ht="13">
      <c r="B701" s="294"/>
      <c r="C701" s="294"/>
      <c r="D701" s="294"/>
      <c r="E701" s="294"/>
      <c r="F701" s="294"/>
      <c r="G701" s="294"/>
      <c r="H701" s="294"/>
      <c r="P701" s="295"/>
      <c r="W701" s="295"/>
      <c r="AE701" s="188"/>
      <c r="AG701" s="188"/>
      <c r="AH701" s="188"/>
      <c r="AI701" s="188"/>
      <c r="AJ701" s="188"/>
      <c r="AK701" s="299"/>
    </row>
    <row r="702" spans="2:37" ht="13">
      <c r="B702" s="294"/>
      <c r="C702" s="294"/>
      <c r="D702" s="294"/>
      <c r="E702" s="294"/>
      <c r="F702" s="294"/>
      <c r="G702" s="294"/>
      <c r="H702" s="294"/>
      <c r="P702" s="295"/>
      <c r="W702" s="295"/>
      <c r="AE702" s="188"/>
      <c r="AG702" s="188"/>
      <c r="AH702" s="188"/>
      <c r="AI702" s="188"/>
      <c r="AJ702" s="188"/>
      <c r="AK702" s="299"/>
    </row>
    <row r="703" spans="2:37" ht="13">
      <c r="B703" s="294"/>
      <c r="C703" s="294"/>
      <c r="D703" s="294"/>
      <c r="E703" s="294"/>
      <c r="F703" s="294"/>
      <c r="G703" s="294"/>
      <c r="H703" s="294"/>
      <c r="P703" s="295"/>
      <c r="W703" s="295"/>
      <c r="AE703" s="188"/>
      <c r="AG703" s="188"/>
      <c r="AH703" s="188"/>
      <c r="AI703" s="188"/>
      <c r="AJ703" s="188"/>
      <c r="AK703" s="299"/>
    </row>
    <row r="704" spans="2:37" ht="13">
      <c r="B704" s="294"/>
      <c r="C704" s="294"/>
      <c r="D704" s="294"/>
      <c r="E704" s="294"/>
      <c r="F704" s="294"/>
      <c r="G704" s="294"/>
      <c r="H704" s="294"/>
      <c r="P704" s="295"/>
      <c r="W704" s="295"/>
      <c r="AE704" s="188"/>
      <c r="AG704" s="188"/>
      <c r="AH704" s="188"/>
      <c r="AI704" s="188"/>
      <c r="AJ704" s="188"/>
      <c r="AK704" s="299"/>
    </row>
    <row r="705" spans="2:37" ht="13">
      <c r="B705" s="294"/>
      <c r="C705" s="294"/>
      <c r="D705" s="294"/>
      <c r="E705" s="294"/>
      <c r="F705" s="294"/>
      <c r="G705" s="294"/>
      <c r="H705" s="294"/>
      <c r="P705" s="295"/>
      <c r="W705" s="295"/>
      <c r="AE705" s="188"/>
      <c r="AG705" s="188"/>
      <c r="AH705" s="188"/>
      <c r="AI705" s="188"/>
      <c r="AJ705" s="188"/>
      <c r="AK705" s="299"/>
    </row>
    <row r="706" spans="2:37" ht="13">
      <c r="B706" s="294"/>
      <c r="C706" s="294"/>
      <c r="D706" s="294"/>
      <c r="E706" s="294"/>
      <c r="F706" s="294"/>
      <c r="G706" s="294"/>
      <c r="H706" s="294"/>
      <c r="P706" s="295"/>
      <c r="W706" s="295"/>
      <c r="AE706" s="188"/>
      <c r="AG706" s="188"/>
      <c r="AH706" s="188"/>
      <c r="AI706" s="188"/>
      <c r="AJ706" s="188"/>
      <c r="AK706" s="299"/>
    </row>
    <row r="707" spans="2:37" ht="13">
      <c r="B707" s="294"/>
      <c r="C707" s="294"/>
      <c r="D707" s="294"/>
      <c r="E707" s="294"/>
      <c r="F707" s="294"/>
      <c r="G707" s="294"/>
      <c r="H707" s="294"/>
      <c r="P707" s="295"/>
      <c r="W707" s="295"/>
      <c r="AE707" s="188"/>
      <c r="AG707" s="188"/>
      <c r="AH707" s="188"/>
      <c r="AI707" s="188"/>
      <c r="AJ707" s="188"/>
      <c r="AK707" s="299"/>
    </row>
    <row r="708" spans="2:37" ht="13">
      <c r="B708" s="294"/>
      <c r="C708" s="294"/>
      <c r="D708" s="294"/>
      <c r="E708" s="294"/>
      <c r="F708" s="294"/>
      <c r="G708" s="294"/>
      <c r="H708" s="294"/>
      <c r="P708" s="295"/>
      <c r="W708" s="295"/>
      <c r="AE708" s="188"/>
      <c r="AG708" s="188"/>
      <c r="AH708" s="188"/>
      <c r="AI708" s="188"/>
      <c r="AJ708" s="188"/>
      <c r="AK708" s="299"/>
    </row>
    <row r="709" spans="2:37" ht="13">
      <c r="B709" s="294"/>
      <c r="C709" s="294"/>
      <c r="D709" s="294"/>
      <c r="E709" s="294"/>
      <c r="F709" s="294"/>
      <c r="G709" s="294"/>
      <c r="H709" s="294"/>
      <c r="P709" s="295"/>
      <c r="W709" s="295"/>
      <c r="AE709" s="188"/>
      <c r="AG709" s="188"/>
      <c r="AH709" s="188"/>
      <c r="AI709" s="188"/>
      <c r="AJ709" s="188"/>
      <c r="AK709" s="299"/>
    </row>
    <row r="710" spans="2:37" ht="13">
      <c r="B710" s="294"/>
      <c r="C710" s="294"/>
      <c r="D710" s="294"/>
      <c r="E710" s="294"/>
      <c r="F710" s="294"/>
      <c r="G710" s="294"/>
      <c r="H710" s="294"/>
      <c r="P710" s="295"/>
      <c r="W710" s="295"/>
      <c r="AE710" s="188"/>
      <c r="AG710" s="188"/>
      <c r="AH710" s="188"/>
      <c r="AI710" s="188"/>
      <c r="AJ710" s="188"/>
      <c r="AK710" s="299"/>
    </row>
    <row r="711" spans="2:37" ht="13">
      <c r="B711" s="294"/>
      <c r="C711" s="294"/>
      <c r="D711" s="294"/>
      <c r="E711" s="294"/>
      <c r="F711" s="294"/>
      <c r="G711" s="294"/>
      <c r="H711" s="294"/>
      <c r="P711" s="295"/>
      <c r="W711" s="295"/>
      <c r="AE711" s="188"/>
      <c r="AG711" s="188"/>
      <c r="AH711" s="188"/>
      <c r="AI711" s="188"/>
      <c r="AJ711" s="188"/>
      <c r="AK711" s="299"/>
    </row>
    <row r="712" spans="2:37" ht="13">
      <c r="B712" s="294"/>
      <c r="C712" s="294"/>
      <c r="D712" s="294"/>
      <c r="E712" s="294"/>
      <c r="F712" s="294"/>
      <c r="G712" s="294"/>
      <c r="H712" s="294"/>
      <c r="P712" s="295"/>
      <c r="W712" s="295"/>
      <c r="AE712" s="188"/>
      <c r="AG712" s="188"/>
      <c r="AH712" s="188"/>
      <c r="AI712" s="188"/>
      <c r="AJ712" s="188"/>
      <c r="AK712" s="299"/>
    </row>
    <row r="713" spans="2:37" ht="13">
      <c r="B713" s="294"/>
      <c r="C713" s="294"/>
      <c r="D713" s="294"/>
      <c r="E713" s="294"/>
      <c r="F713" s="294"/>
      <c r="G713" s="294"/>
      <c r="H713" s="294"/>
      <c r="P713" s="295"/>
      <c r="W713" s="295"/>
      <c r="AE713" s="188"/>
      <c r="AG713" s="188"/>
      <c r="AH713" s="188"/>
      <c r="AI713" s="188"/>
      <c r="AJ713" s="188"/>
      <c r="AK713" s="299"/>
    </row>
    <row r="714" spans="2:37" ht="13">
      <c r="B714" s="294"/>
      <c r="C714" s="294"/>
      <c r="D714" s="294"/>
      <c r="E714" s="294"/>
      <c r="F714" s="294"/>
      <c r="G714" s="294"/>
      <c r="H714" s="294"/>
      <c r="P714" s="295"/>
      <c r="W714" s="295"/>
      <c r="AE714" s="188"/>
      <c r="AG714" s="188"/>
      <c r="AH714" s="188"/>
      <c r="AI714" s="188"/>
      <c r="AJ714" s="188"/>
      <c r="AK714" s="299"/>
    </row>
    <row r="715" spans="2:37" ht="13">
      <c r="B715" s="294"/>
      <c r="C715" s="294"/>
      <c r="D715" s="294"/>
      <c r="E715" s="294"/>
      <c r="F715" s="294"/>
      <c r="G715" s="294"/>
      <c r="H715" s="294"/>
      <c r="P715" s="295"/>
      <c r="W715" s="295"/>
      <c r="AE715" s="188"/>
      <c r="AG715" s="188"/>
      <c r="AH715" s="188"/>
      <c r="AI715" s="188"/>
      <c r="AJ715" s="188"/>
      <c r="AK715" s="299"/>
    </row>
    <row r="716" spans="2:37" ht="13">
      <c r="B716" s="294"/>
      <c r="C716" s="294"/>
      <c r="D716" s="294"/>
      <c r="E716" s="294"/>
      <c r="F716" s="294"/>
      <c r="G716" s="294"/>
      <c r="H716" s="294"/>
      <c r="P716" s="295"/>
      <c r="W716" s="295"/>
      <c r="AE716" s="188"/>
      <c r="AG716" s="188"/>
      <c r="AH716" s="188"/>
      <c r="AI716" s="188"/>
      <c r="AJ716" s="188"/>
      <c r="AK716" s="299"/>
    </row>
    <row r="717" spans="2:37" ht="13">
      <c r="B717" s="294"/>
      <c r="C717" s="294"/>
      <c r="D717" s="294"/>
      <c r="E717" s="294"/>
      <c r="F717" s="294"/>
      <c r="G717" s="294"/>
      <c r="H717" s="294"/>
      <c r="P717" s="295"/>
      <c r="W717" s="295"/>
      <c r="AE717" s="188"/>
      <c r="AG717" s="188"/>
      <c r="AH717" s="188"/>
      <c r="AI717" s="188"/>
      <c r="AJ717" s="188"/>
      <c r="AK717" s="299"/>
    </row>
    <row r="718" spans="2:37" ht="13">
      <c r="B718" s="294"/>
      <c r="C718" s="294"/>
      <c r="D718" s="294"/>
      <c r="E718" s="294"/>
      <c r="F718" s="294"/>
      <c r="G718" s="294"/>
      <c r="H718" s="294"/>
      <c r="P718" s="295"/>
      <c r="W718" s="295"/>
      <c r="AE718" s="188"/>
      <c r="AG718" s="188"/>
      <c r="AH718" s="188"/>
      <c r="AI718" s="188"/>
      <c r="AJ718" s="188"/>
      <c r="AK718" s="299"/>
    </row>
    <row r="719" spans="2:37" ht="13">
      <c r="B719" s="294"/>
      <c r="C719" s="294"/>
      <c r="D719" s="294"/>
      <c r="E719" s="294"/>
      <c r="F719" s="294"/>
      <c r="G719" s="294"/>
      <c r="H719" s="294"/>
      <c r="P719" s="295"/>
      <c r="W719" s="295"/>
      <c r="AE719" s="188"/>
      <c r="AG719" s="188"/>
      <c r="AH719" s="188"/>
      <c r="AI719" s="188"/>
      <c r="AJ719" s="188"/>
      <c r="AK719" s="299"/>
    </row>
    <row r="720" spans="2:37" ht="13">
      <c r="B720" s="294"/>
      <c r="C720" s="294"/>
      <c r="D720" s="294"/>
      <c r="E720" s="294"/>
      <c r="F720" s="294"/>
      <c r="G720" s="294"/>
      <c r="H720" s="294"/>
      <c r="P720" s="295"/>
      <c r="W720" s="295"/>
      <c r="AE720" s="188"/>
      <c r="AG720" s="188"/>
      <c r="AH720" s="188"/>
      <c r="AI720" s="188"/>
      <c r="AJ720" s="188"/>
      <c r="AK720" s="299"/>
    </row>
    <row r="721" spans="2:37" ht="13">
      <c r="B721" s="294"/>
      <c r="C721" s="294"/>
      <c r="D721" s="294"/>
      <c r="E721" s="294"/>
      <c r="F721" s="294"/>
      <c r="G721" s="294"/>
      <c r="H721" s="294"/>
      <c r="P721" s="295"/>
      <c r="W721" s="295"/>
      <c r="AE721" s="188"/>
      <c r="AG721" s="188"/>
      <c r="AH721" s="188"/>
      <c r="AI721" s="188"/>
      <c r="AJ721" s="188"/>
      <c r="AK721" s="299"/>
    </row>
    <row r="722" spans="2:37" ht="13">
      <c r="B722" s="294"/>
      <c r="C722" s="294"/>
      <c r="D722" s="294"/>
      <c r="E722" s="294"/>
      <c r="F722" s="294"/>
      <c r="G722" s="294"/>
      <c r="H722" s="294"/>
      <c r="P722" s="295"/>
      <c r="W722" s="295"/>
      <c r="AE722" s="188"/>
      <c r="AG722" s="188"/>
      <c r="AH722" s="188"/>
      <c r="AI722" s="188"/>
      <c r="AJ722" s="188"/>
      <c r="AK722" s="299"/>
    </row>
    <row r="723" spans="2:37" ht="13">
      <c r="B723" s="294"/>
      <c r="C723" s="294"/>
      <c r="D723" s="294"/>
      <c r="E723" s="294"/>
      <c r="F723" s="294"/>
      <c r="G723" s="294"/>
      <c r="H723" s="294"/>
      <c r="P723" s="295"/>
      <c r="W723" s="295"/>
      <c r="AE723" s="188"/>
      <c r="AG723" s="188"/>
      <c r="AH723" s="188"/>
      <c r="AI723" s="188"/>
      <c r="AJ723" s="188"/>
      <c r="AK723" s="299"/>
    </row>
    <row r="724" spans="2:37" ht="13">
      <c r="B724" s="294"/>
      <c r="C724" s="294"/>
      <c r="D724" s="294"/>
      <c r="E724" s="294"/>
      <c r="F724" s="294"/>
      <c r="G724" s="294"/>
      <c r="H724" s="294"/>
      <c r="P724" s="295"/>
      <c r="W724" s="295"/>
      <c r="AE724" s="188"/>
      <c r="AG724" s="188"/>
      <c r="AH724" s="188"/>
      <c r="AI724" s="188"/>
      <c r="AJ724" s="188"/>
      <c r="AK724" s="299"/>
    </row>
    <row r="725" spans="2:37" ht="13">
      <c r="B725" s="294"/>
      <c r="C725" s="294"/>
      <c r="D725" s="294"/>
      <c r="E725" s="294"/>
      <c r="F725" s="294"/>
      <c r="G725" s="294"/>
      <c r="H725" s="294"/>
      <c r="P725" s="295"/>
      <c r="W725" s="295"/>
      <c r="AE725" s="188"/>
      <c r="AG725" s="188"/>
      <c r="AH725" s="188"/>
      <c r="AI725" s="188"/>
      <c r="AJ725" s="188"/>
      <c r="AK725" s="299"/>
    </row>
    <row r="726" spans="2:37" ht="13">
      <c r="B726" s="294"/>
      <c r="C726" s="294"/>
      <c r="D726" s="294"/>
      <c r="E726" s="294"/>
      <c r="F726" s="294"/>
      <c r="G726" s="294"/>
      <c r="H726" s="294"/>
      <c r="P726" s="295"/>
      <c r="W726" s="295"/>
      <c r="AE726" s="188"/>
      <c r="AG726" s="188"/>
      <c r="AH726" s="188"/>
      <c r="AI726" s="188"/>
      <c r="AJ726" s="188"/>
      <c r="AK726" s="299"/>
    </row>
    <row r="727" spans="2:37" ht="13">
      <c r="B727" s="294"/>
      <c r="C727" s="294"/>
      <c r="D727" s="294"/>
      <c r="E727" s="294"/>
      <c r="F727" s="294"/>
      <c r="G727" s="294"/>
      <c r="H727" s="294"/>
      <c r="P727" s="295"/>
      <c r="W727" s="295"/>
      <c r="AE727" s="188"/>
      <c r="AG727" s="188"/>
      <c r="AH727" s="188"/>
      <c r="AI727" s="188"/>
      <c r="AJ727" s="188"/>
      <c r="AK727" s="299"/>
    </row>
    <row r="728" spans="2:37" ht="13">
      <c r="B728" s="294"/>
      <c r="C728" s="294"/>
      <c r="D728" s="294"/>
      <c r="E728" s="294"/>
      <c r="F728" s="294"/>
      <c r="G728" s="294"/>
      <c r="H728" s="294"/>
      <c r="P728" s="295"/>
      <c r="W728" s="295"/>
      <c r="AE728" s="188"/>
      <c r="AG728" s="188"/>
      <c r="AH728" s="188"/>
      <c r="AI728" s="188"/>
      <c r="AJ728" s="188"/>
      <c r="AK728" s="299"/>
    </row>
    <row r="729" spans="2:37" ht="13">
      <c r="B729" s="294"/>
      <c r="C729" s="294"/>
      <c r="D729" s="294"/>
      <c r="E729" s="294"/>
      <c r="F729" s="294"/>
      <c r="G729" s="294"/>
      <c r="H729" s="294"/>
      <c r="P729" s="295"/>
      <c r="W729" s="295"/>
      <c r="AE729" s="188"/>
      <c r="AG729" s="188"/>
      <c r="AH729" s="188"/>
      <c r="AI729" s="188"/>
      <c r="AJ729" s="188"/>
      <c r="AK729" s="299"/>
    </row>
    <row r="730" spans="2:37" ht="13">
      <c r="B730" s="294"/>
      <c r="C730" s="294"/>
      <c r="D730" s="294"/>
      <c r="E730" s="294"/>
      <c r="F730" s="294"/>
      <c r="G730" s="294"/>
      <c r="H730" s="294"/>
      <c r="P730" s="295"/>
      <c r="W730" s="295"/>
      <c r="AE730" s="188"/>
      <c r="AG730" s="188"/>
      <c r="AH730" s="188"/>
      <c r="AI730" s="188"/>
      <c r="AJ730" s="188"/>
      <c r="AK730" s="299"/>
    </row>
    <row r="731" spans="2:37" ht="13">
      <c r="B731" s="294"/>
      <c r="C731" s="294"/>
      <c r="D731" s="294"/>
      <c r="E731" s="294"/>
      <c r="F731" s="294"/>
      <c r="G731" s="294"/>
      <c r="H731" s="294"/>
      <c r="P731" s="295"/>
      <c r="W731" s="295"/>
      <c r="AE731" s="188"/>
      <c r="AG731" s="188"/>
      <c r="AH731" s="188"/>
      <c r="AI731" s="188"/>
      <c r="AJ731" s="188"/>
      <c r="AK731" s="299"/>
    </row>
    <row r="732" spans="2:37" ht="13">
      <c r="B732" s="294"/>
      <c r="C732" s="294"/>
      <c r="D732" s="294"/>
      <c r="E732" s="294"/>
      <c r="F732" s="294"/>
      <c r="G732" s="294"/>
      <c r="H732" s="294"/>
      <c r="P732" s="295"/>
      <c r="W732" s="295"/>
      <c r="AE732" s="188"/>
      <c r="AG732" s="188"/>
      <c r="AH732" s="188"/>
      <c r="AI732" s="188"/>
      <c r="AJ732" s="188"/>
      <c r="AK732" s="299"/>
    </row>
    <row r="733" spans="2:37" ht="13">
      <c r="B733" s="294"/>
      <c r="C733" s="294"/>
      <c r="D733" s="294"/>
      <c r="E733" s="294"/>
      <c r="F733" s="294"/>
      <c r="G733" s="294"/>
      <c r="H733" s="294"/>
      <c r="P733" s="295"/>
      <c r="W733" s="295"/>
      <c r="AE733" s="188"/>
      <c r="AG733" s="188"/>
      <c r="AH733" s="188"/>
      <c r="AI733" s="188"/>
      <c r="AJ733" s="188"/>
      <c r="AK733" s="299"/>
    </row>
    <row r="734" spans="2:37" ht="13">
      <c r="B734" s="294"/>
      <c r="C734" s="294"/>
      <c r="D734" s="294"/>
      <c r="E734" s="294"/>
      <c r="F734" s="294"/>
      <c r="G734" s="294"/>
      <c r="H734" s="294"/>
      <c r="P734" s="295"/>
      <c r="W734" s="295"/>
      <c r="AE734" s="188"/>
      <c r="AG734" s="188"/>
      <c r="AH734" s="188"/>
      <c r="AI734" s="188"/>
      <c r="AJ734" s="188"/>
      <c r="AK734" s="299"/>
    </row>
    <row r="735" spans="2:37" ht="13">
      <c r="B735" s="294"/>
      <c r="C735" s="294"/>
      <c r="D735" s="294"/>
      <c r="E735" s="294"/>
      <c r="F735" s="294"/>
      <c r="G735" s="294"/>
      <c r="H735" s="294"/>
      <c r="P735" s="295"/>
      <c r="W735" s="295"/>
      <c r="AE735" s="188"/>
      <c r="AG735" s="188"/>
      <c r="AH735" s="188"/>
      <c r="AI735" s="188"/>
      <c r="AJ735" s="188"/>
      <c r="AK735" s="299"/>
    </row>
    <row r="736" spans="2:37" ht="13">
      <c r="B736" s="294"/>
      <c r="C736" s="294"/>
      <c r="D736" s="294"/>
      <c r="E736" s="294"/>
      <c r="F736" s="294"/>
      <c r="G736" s="294"/>
      <c r="H736" s="294"/>
      <c r="P736" s="295"/>
      <c r="W736" s="295"/>
      <c r="AE736" s="188"/>
      <c r="AG736" s="188"/>
      <c r="AH736" s="188"/>
      <c r="AI736" s="188"/>
      <c r="AJ736" s="188"/>
      <c r="AK736" s="299"/>
    </row>
    <row r="737" spans="2:37" ht="13">
      <c r="B737" s="294"/>
      <c r="C737" s="294"/>
      <c r="D737" s="294"/>
      <c r="E737" s="294"/>
      <c r="F737" s="294"/>
      <c r="G737" s="294"/>
      <c r="H737" s="294"/>
      <c r="P737" s="295"/>
      <c r="W737" s="295"/>
      <c r="AE737" s="188"/>
      <c r="AG737" s="188"/>
      <c r="AH737" s="188"/>
      <c r="AI737" s="188"/>
      <c r="AJ737" s="188"/>
      <c r="AK737" s="299"/>
    </row>
    <row r="738" spans="2:37" ht="13">
      <c r="B738" s="294"/>
      <c r="C738" s="294"/>
      <c r="D738" s="294"/>
      <c r="E738" s="294"/>
      <c r="F738" s="294"/>
      <c r="G738" s="294"/>
      <c r="H738" s="294"/>
      <c r="P738" s="295"/>
      <c r="W738" s="295"/>
      <c r="AE738" s="188"/>
      <c r="AG738" s="188"/>
      <c r="AH738" s="188"/>
      <c r="AI738" s="188"/>
      <c r="AJ738" s="188"/>
      <c r="AK738" s="299"/>
    </row>
    <row r="739" spans="2:37" ht="13">
      <c r="B739" s="294"/>
      <c r="C739" s="294"/>
      <c r="D739" s="294"/>
      <c r="E739" s="294"/>
      <c r="F739" s="294"/>
      <c r="G739" s="294"/>
      <c r="H739" s="294"/>
      <c r="P739" s="295"/>
      <c r="W739" s="295"/>
      <c r="AE739" s="188"/>
      <c r="AG739" s="188"/>
      <c r="AH739" s="188"/>
      <c r="AI739" s="188"/>
      <c r="AJ739" s="188"/>
      <c r="AK739" s="299"/>
    </row>
    <row r="740" spans="2:37" ht="13">
      <c r="B740" s="294"/>
      <c r="C740" s="294"/>
      <c r="D740" s="294"/>
      <c r="E740" s="294"/>
      <c r="F740" s="294"/>
      <c r="G740" s="294"/>
      <c r="H740" s="294"/>
      <c r="P740" s="295"/>
      <c r="W740" s="295"/>
      <c r="AE740" s="188"/>
      <c r="AG740" s="188"/>
      <c r="AH740" s="188"/>
      <c r="AI740" s="188"/>
      <c r="AJ740" s="188"/>
      <c r="AK740" s="299"/>
    </row>
    <row r="741" spans="2:37" ht="13">
      <c r="B741" s="294"/>
      <c r="C741" s="294"/>
      <c r="D741" s="294"/>
      <c r="E741" s="294"/>
      <c r="F741" s="294"/>
      <c r="G741" s="294"/>
      <c r="H741" s="294"/>
      <c r="P741" s="295"/>
      <c r="W741" s="295"/>
      <c r="AE741" s="188"/>
      <c r="AG741" s="188"/>
      <c r="AH741" s="188"/>
      <c r="AI741" s="188"/>
      <c r="AJ741" s="188"/>
      <c r="AK741" s="299"/>
    </row>
    <row r="742" spans="2:37" ht="13">
      <c r="B742" s="294"/>
      <c r="C742" s="294"/>
      <c r="D742" s="294"/>
      <c r="E742" s="294"/>
      <c r="F742" s="294"/>
      <c r="G742" s="294"/>
      <c r="H742" s="294"/>
      <c r="P742" s="295"/>
      <c r="W742" s="295"/>
      <c r="AE742" s="188"/>
      <c r="AG742" s="188"/>
      <c r="AH742" s="188"/>
      <c r="AI742" s="188"/>
      <c r="AJ742" s="188"/>
      <c r="AK742" s="299"/>
    </row>
    <row r="743" spans="2:37" ht="13">
      <c r="B743" s="294"/>
      <c r="C743" s="294"/>
      <c r="D743" s="294"/>
      <c r="E743" s="294"/>
      <c r="F743" s="294"/>
      <c r="G743" s="294"/>
      <c r="H743" s="294"/>
      <c r="P743" s="295"/>
      <c r="W743" s="295"/>
      <c r="AE743" s="188"/>
      <c r="AG743" s="188"/>
      <c r="AH743" s="188"/>
      <c r="AI743" s="188"/>
      <c r="AJ743" s="188"/>
      <c r="AK743" s="299"/>
    </row>
    <row r="744" spans="2:37" ht="13">
      <c r="B744" s="294"/>
      <c r="C744" s="294"/>
      <c r="D744" s="294"/>
      <c r="E744" s="294"/>
      <c r="F744" s="294"/>
      <c r="G744" s="294"/>
      <c r="H744" s="294"/>
      <c r="P744" s="295"/>
      <c r="W744" s="295"/>
      <c r="AE744" s="188"/>
      <c r="AG744" s="188"/>
      <c r="AH744" s="188"/>
      <c r="AI744" s="188"/>
      <c r="AJ744" s="188"/>
      <c r="AK744" s="299"/>
    </row>
    <row r="745" spans="2:37" ht="13">
      <c r="B745" s="294"/>
      <c r="C745" s="294"/>
      <c r="D745" s="294"/>
      <c r="E745" s="294"/>
      <c r="F745" s="294"/>
      <c r="G745" s="294"/>
      <c r="H745" s="294"/>
      <c r="P745" s="295"/>
      <c r="W745" s="295"/>
      <c r="AE745" s="188"/>
      <c r="AG745" s="188"/>
      <c r="AH745" s="188"/>
      <c r="AI745" s="188"/>
      <c r="AJ745" s="188"/>
      <c r="AK745" s="299"/>
    </row>
    <row r="746" spans="2:37" ht="13">
      <c r="B746" s="294"/>
      <c r="C746" s="294"/>
      <c r="D746" s="294"/>
      <c r="E746" s="294"/>
      <c r="F746" s="294"/>
      <c r="G746" s="294"/>
      <c r="H746" s="294"/>
      <c r="P746" s="295"/>
      <c r="W746" s="295"/>
      <c r="AE746" s="188"/>
      <c r="AG746" s="188"/>
      <c r="AH746" s="188"/>
      <c r="AI746" s="188"/>
      <c r="AJ746" s="188"/>
      <c r="AK746" s="299"/>
    </row>
    <row r="747" spans="2:37" ht="13">
      <c r="B747" s="294"/>
      <c r="C747" s="294"/>
      <c r="D747" s="294"/>
      <c r="E747" s="294"/>
      <c r="F747" s="294"/>
      <c r="G747" s="294"/>
      <c r="H747" s="294"/>
      <c r="P747" s="295"/>
      <c r="W747" s="295"/>
      <c r="AE747" s="188"/>
      <c r="AG747" s="188"/>
      <c r="AH747" s="188"/>
      <c r="AI747" s="188"/>
      <c r="AJ747" s="188"/>
      <c r="AK747" s="299"/>
    </row>
    <row r="748" spans="2:37" ht="13">
      <c r="B748" s="294"/>
      <c r="C748" s="294"/>
      <c r="D748" s="294"/>
      <c r="E748" s="294"/>
      <c r="F748" s="294"/>
      <c r="G748" s="294"/>
      <c r="H748" s="294"/>
      <c r="P748" s="295"/>
      <c r="W748" s="295"/>
      <c r="AE748" s="188"/>
      <c r="AG748" s="188"/>
      <c r="AH748" s="188"/>
      <c r="AI748" s="188"/>
      <c r="AJ748" s="188"/>
      <c r="AK748" s="299"/>
    </row>
    <row r="749" spans="2:37" ht="13">
      <c r="B749" s="294"/>
      <c r="C749" s="294"/>
      <c r="D749" s="294"/>
      <c r="E749" s="294"/>
      <c r="F749" s="294"/>
      <c r="G749" s="294"/>
      <c r="H749" s="294"/>
      <c r="P749" s="295"/>
      <c r="W749" s="295"/>
      <c r="AE749" s="188"/>
      <c r="AG749" s="188"/>
      <c r="AH749" s="188"/>
      <c r="AI749" s="188"/>
      <c r="AJ749" s="188"/>
      <c r="AK749" s="299"/>
    </row>
    <row r="750" spans="2:37" ht="13">
      <c r="B750" s="294"/>
      <c r="C750" s="294"/>
      <c r="D750" s="294"/>
      <c r="E750" s="294"/>
      <c r="F750" s="294"/>
      <c r="G750" s="294"/>
      <c r="H750" s="294"/>
      <c r="P750" s="295"/>
      <c r="W750" s="295"/>
      <c r="AE750" s="188"/>
      <c r="AG750" s="188"/>
      <c r="AH750" s="188"/>
      <c r="AI750" s="188"/>
      <c r="AJ750" s="188"/>
      <c r="AK750" s="299"/>
    </row>
    <row r="751" spans="2:37" ht="13">
      <c r="B751" s="294"/>
      <c r="C751" s="294"/>
      <c r="D751" s="294"/>
      <c r="E751" s="294"/>
      <c r="F751" s="294"/>
      <c r="G751" s="294"/>
      <c r="H751" s="294"/>
      <c r="P751" s="295"/>
      <c r="W751" s="295"/>
      <c r="AE751" s="188"/>
      <c r="AG751" s="188"/>
      <c r="AH751" s="188"/>
      <c r="AI751" s="188"/>
      <c r="AJ751" s="188"/>
      <c r="AK751" s="299"/>
    </row>
    <row r="752" spans="2:37" ht="13">
      <c r="B752" s="294"/>
      <c r="C752" s="294"/>
      <c r="D752" s="294"/>
      <c r="E752" s="294"/>
      <c r="F752" s="294"/>
      <c r="G752" s="294"/>
      <c r="H752" s="294"/>
      <c r="P752" s="295"/>
      <c r="W752" s="295"/>
      <c r="AE752" s="188"/>
      <c r="AG752" s="188"/>
      <c r="AH752" s="188"/>
      <c r="AI752" s="188"/>
      <c r="AJ752" s="188"/>
      <c r="AK752" s="299"/>
    </row>
    <row r="753" spans="2:37" ht="13">
      <c r="B753" s="294"/>
      <c r="C753" s="294"/>
      <c r="D753" s="294"/>
      <c r="E753" s="294"/>
      <c r="F753" s="294"/>
      <c r="G753" s="294"/>
      <c r="H753" s="294"/>
      <c r="P753" s="295"/>
      <c r="W753" s="295"/>
      <c r="AE753" s="188"/>
      <c r="AG753" s="188"/>
      <c r="AH753" s="188"/>
      <c r="AI753" s="188"/>
      <c r="AJ753" s="188"/>
      <c r="AK753" s="299"/>
    </row>
    <row r="754" spans="2:37" ht="13">
      <c r="B754" s="294"/>
      <c r="C754" s="294"/>
      <c r="D754" s="294"/>
      <c r="E754" s="294"/>
      <c r="F754" s="294"/>
      <c r="G754" s="294"/>
      <c r="H754" s="294"/>
      <c r="P754" s="295"/>
      <c r="W754" s="295"/>
      <c r="AE754" s="188"/>
      <c r="AG754" s="188"/>
      <c r="AH754" s="188"/>
      <c r="AI754" s="188"/>
      <c r="AJ754" s="188"/>
      <c r="AK754" s="299"/>
    </row>
    <row r="755" spans="2:37" ht="13">
      <c r="B755" s="294"/>
      <c r="C755" s="294"/>
      <c r="D755" s="294"/>
      <c r="E755" s="294"/>
      <c r="F755" s="294"/>
      <c r="G755" s="294"/>
      <c r="H755" s="294"/>
      <c r="P755" s="295"/>
      <c r="W755" s="295"/>
      <c r="AE755" s="188"/>
      <c r="AG755" s="188"/>
      <c r="AH755" s="188"/>
      <c r="AI755" s="188"/>
      <c r="AJ755" s="188"/>
      <c r="AK755" s="299"/>
    </row>
    <row r="756" spans="2:37" ht="13">
      <c r="B756" s="294"/>
      <c r="C756" s="294"/>
      <c r="D756" s="294"/>
      <c r="E756" s="294"/>
      <c r="F756" s="294"/>
      <c r="G756" s="294"/>
      <c r="H756" s="294"/>
      <c r="P756" s="295"/>
      <c r="W756" s="295"/>
      <c r="AE756" s="188"/>
      <c r="AG756" s="188"/>
      <c r="AH756" s="188"/>
      <c r="AI756" s="188"/>
      <c r="AJ756" s="188"/>
      <c r="AK756" s="299"/>
    </row>
    <row r="757" spans="2:37" ht="13">
      <c r="B757" s="294"/>
      <c r="C757" s="294"/>
      <c r="D757" s="294"/>
      <c r="E757" s="294"/>
      <c r="F757" s="294"/>
      <c r="G757" s="294"/>
      <c r="H757" s="294"/>
      <c r="P757" s="295"/>
      <c r="W757" s="295"/>
      <c r="AE757" s="188"/>
      <c r="AG757" s="188"/>
      <c r="AH757" s="188"/>
      <c r="AI757" s="188"/>
      <c r="AJ757" s="188"/>
      <c r="AK757" s="299"/>
    </row>
    <row r="758" spans="2:37" ht="13">
      <c r="B758" s="294"/>
      <c r="C758" s="294"/>
      <c r="D758" s="294"/>
      <c r="E758" s="294"/>
      <c r="F758" s="294"/>
      <c r="G758" s="294"/>
      <c r="H758" s="294"/>
      <c r="P758" s="295"/>
      <c r="W758" s="295"/>
      <c r="AE758" s="188"/>
      <c r="AG758" s="188"/>
      <c r="AH758" s="188"/>
      <c r="AI758" s="188"/>
      <c r="AJ758" s="188"/>
      <c r="AK758" s="299"/>
    </row>
    <row r="759" spans="2:37" ht="13">
      <c r="B759" s="294"/>
      <c r="C759" s="294"/>
      <c r="D759" s="294"/>
      <c r="E759" s="294"/>
      <c r="F759" s="294"/>
      <c r="G759" s="294"/>
      <c r="H759" s="294"/>
      <c r="P759" s="295"/>
      <c r="W759" s="295"/>
      <c r="AE759" s="188"/>
      <c r="AG759" s="188"/>
      <c r="AH759" s="188"/>
      <c r="AI759" s="188"/>
      <c r="AJ759" s="188"/>
      <c r="AK759" s="299"/>
    </row>
    <row r="760" spans="2:37" ht="13">
      <c r="B760" s="294"/>
      <c r="C760" s="294"/>
      <c r="D760" s="294"/>
      <c r="E760" s="294"/>
      <c r="F760" s="294"/>
      <c r="G760" s="294"/>
      <c r="H760" s="294"/>
      <c r="P760" s="295"/>
      <c r="W760" s="295"/>
      <c r="AE760" s="188"/>
      <c r="AG760" s="188"/>
      <c r="AH760" s="188"/>
      <c r="AI760" s="188"/>
      <c r="AJ760" s="188"/>
      <c r="AK760" s="299"/>
    </row>
    <row r="761" spans="2:37" ht="13">
      <c r="B761" s="294"/>
      <c r="C761" s="294"/>
      <c r="D761" s="294"/>
      <c r="E761" s="294"/>
      <c r="F761" s="294"/>
      <c r="G761" s="294"/>
      <c r="H761" s="294"/>
      <c r="P761" s="295"/>
      <c r="W761" s="295"/>
      <c r="AE761" s="188"/>
      <c r="AG761" s="188"/>
      <c r="AH761" s="188"/>
      <c r="AI761" s="188"/>
      <c r="AJ761" s="188"/>
      <c r="AK761" s="299"/>
    </row>
    <row r="762" spans="2:37" ht="13">
      <c r="B762" s="294"/>
      <c r="C762" s="294"/>
      <c r="D762" s="294"/>
      <c r="E762" s="294"/>
      <c r="F762" s="294"/>
      <c r="G762" s="294"/>
      <c r="H762" s="294"/>
      <c r="P762" s="295"/>
      <c r="W762" s="295"/>
      <c r="AE762" s="188"/>
      <c r="AG762" s="188"/>
      <c r="AH762" s="188"/>
      <c r="AI762" s="188"/>
      <c r="AJ762" s="188"/>
      <c r="AK762" s="299"/>
    </row>
    <row r="763" spans="2:37" ht="13">
      <c r="B763" s="294"/>
      <c r="C763" s="294"/>
      <c r="D763" s="294"/>
      <c r="E763" s="294"/>
      <c r="F763" s="294"/>
      <c r="G763" s="294"/>
      <c r="H763" s="294"/>
      <c r="P763" s="295"/>
      <c r="W763" s="295"/>
      <c r="AE763" s="188"/>
      <c r="AG763" s="188"/>
      <c r="AH763" s="188"/>
      <c r="AI763" s="188"/>
      <c r="AJ763" s="188"/>
      <c r="AK763" s="299"/>
    </row>
    <row r="764" spans="2:37" ht="13">
      <c r="B764" s="294"/>
      <c r="C764" s="294"/>
      <c r="D764" s="294"/>
      <c r="E764" s="294"/>
      <c r="F764" s="294"/>
      <c r="G764" s="294"/>
      <c r="H764" s="294"/>
      <c r="P764" s="295"/>
      <c r="W764" s="295"/>
      <c r="AE764" s="188"/>
      <c r="AG764" s="188"/>
      <c r="AH764" s="188"/>
      <c r="AI764" s="188"/>
      <c r="AJ764" s="188"/>
      <c r="AK764" s="299"/>
    </row>
    <row r="765" spans="2:37" ht="13">
      <c r="B765" s="294"/>
      <c r="C765" s="294"/>
      <c r="D765" s="294"/>
      <c r="E765" s="294"/>
      <c r="F765" s="294"/>
      <c r="G765" s="294"/>
      <c r="H765" s="294"/>
      <c r="P765" s="295"/>
      <c r="W765" s="295"/>
      <c r="AE765" s="188"/>
      <c r="AG765" s="188"/>
      <c r="AH765" s="188"/>
      <c r="AI765" s="188"/>
      <c r="AJ765" s="188"/>
      <c r="AK765" s="299"/>
    </row>
    <row r="766" spans="2:37" ht="13">
      <c r="B766" s="294"/>
      <c r="C766" s="294"/>
      <c r="D766" s="294"/>
      <c r="E766" s="294"/>
      <c r="F766" s="294"/>
      <c r="G766" s="294"/>
      <c r="H766" s="294"/>
      <c r="P766" s="295"/>
      <c r="W766" s="295"/>
      <c r="AE766" s="188"/>
      <c r="AG766" s="188"/>
      <c r="AH766" s="188"/>
      <c r="AI766" s="188"/>
      <c r="AJ766" s="188"/>
      <c r="AK766" s="299"/>
    </row>
    <row r="767" spans="2:37" ht="13">
      <c r="B767" s="294"/>
      <c r="C767" s="294"/>
      <c r="D767" s="294"/>
      <c r="E767" s="294"/>
      <c r="F767" s="294"/>
      <c r="G767" s="294"/>
      <c r="H767" s="294"/>
      <c r="P767" s="295"/>
      <c r="W767" s="295"/>
      <c r="AE767" s="188"/>
      <c r="AG767" s="188"/>
      <c r="AH767" s="188"/>
      <c r="AI767" s="188"/>
      <c r="AJ767" s="188"/>
      <c r="AK767" s="299"/>
    </row>
    <row r="768" spans="2:37" ht="13">
      <c r="B768" s="294"/>
      <c r="C768" s="294"/>
      <c r="D768" s="294"/>
      <c r="E768" s="294"/>
      <c r="F768" s="294"/>
      <c r="G768" s="294"/>
      <c r="H768" s="294"/>
      <c r="P768" s="295"/>
      <c r="W768" s="295"/>
      <c r="AE768" s="188"/>
      <c r="AG768" s="188"/>
      <c r="AH768" s="188"/>
      <c r="AI768" s="188"/>
      <c r="AJ768" s="188"/>
      <c r="AK768" s="299"/>
    </row>
    <row r="769" spans="2:37" ht="13">
      <c r="B769" s="294"/>
      <c r="C769" s="294"/>
      <c r="D769" s="294"/>
      <c r="E769" s="294"/>
      <c r="F769" s="294"/>
      <c r="G769" s="294"/>
      <c r="H769" s="294"/>
      <c r="P769" s="295"/>
      <c r="W769" s="295"/>
      <c r="AE769" s="188"/>
      <c r="AG769" s="188"/>
      <c r="AH769" s="188"/>
      <c r="AI769" s="188"/>
      <c r="AJ769" s="188"/>
      <c r="AK769" s="299"/>
    </row>
    <row r="770" spans="2:37" ht="13">
      <c r="B770" s="294"/>
      <c r="C770" s="294"/>
      <c r="D770" s="294"/>
      <c r="E770" s="294"/>
      <c r="F770" s="294"/>
      <c r="G770" s="294"/>
      <c r="H770" s="294"/>
      <c r="P770" s="295"/>
      <c r="W770" s="295"/>
      <c r="AE770" s="188"/>
      <c r="AG770" s="188"/>
      <c r="AH770" s="188"/>
      <c r="AI770" s="188"/>
      <c r="AJ770" s="188"/>
      <c r="AK770" s="299"/>
    </row>
    <row r="771" spans="2:37" ht="13">
      <c r="B771" s="294"/>
      <c r="C771" s="294"/>
      <c r="D771" s="294"/>
      <c r="E771" s="294"/>
      <c r="F771" s="294"/>
      <c r="G771" s="294"/>
      <c r="H771" s="294"/>
      <c r="P771" s="295"/>
      <c r="W771" s="295"/>
      <c r="AE771" s="188"/>
      <c r="AG771" s="188"/>
      <c r="AH771" s="188"/>
      <c r="AI771" s="188"/>
      <c r="AJ771" s="188"/>
      <c r="AK771" s="299"/>
    </row>
    <row r="772" spans="2:37" ht="13">
      <c r="B772" s="294"/>
      <c r="C772" s="294"/>
      <c r="D772" s="294"/>
      <c r="E772" s="294"/>
      <c r="F772" s="294"/>
      <c r="G772" s="294"/>
      <c r="H772" s="294"/>
      <c r="P772" s="295"/>
      <c r="W772" s="295"/>
      <c r="AE772" s="188"/>
      <c r="AG772" s="188"/>
      <c r="AH772" s="188"/>
      <c r="AI772" s="188"/>
      <c r="AJ772" s="188"/>
      <c r="AK772" s="299"/>
    </row>
    <row r="773" spans="2:37" ht="13">
      <c r="B773" s="294"/>
      <c r="C773" s="294"/>
      <c r="D773" s="294"/>
      <c r="E773" s="294"/>
      <c r="F773" s="294"/>
      <c r="G773" s="294"/>
      <c r="H773" s="294"/>
      <c r="P773" s="295"/>
      <c r="W773" s="295"/>
      <c r="AE773" s="188"/>
      <c r="AG773" s="188"/>
      <c r="AH773" s="188"/>
      <c r="AI773" s="188"/>
      <c r="AJ773" s="188"/>
      <c r="AK773" s="299"/>
    </row>
    <row r="774" spans="2:37" ht="13">
      <c r="B774" s="294"/>
      <c r="C774" s="294"/>
      <c r="D774" s="294"/>
      <c r="E774" s="294"/>
      <c r="F774" s="294"/>
      <c r="G774" s="294"/>
      <c r="H774" s="294"/>
      <c r="P774" s="295"/>
      <c r="W774" s="295"/>
      <c r="AE774" s="188"/>
      <c r="AG774" s="188"/>
      <c r="AH774" s="188"/>
      <c r="AI774" s="188"/>
      <c r="AJ774" s="188"/>
      <c r="AK774" s="299"/>
    </row>
    <row r="775" spans="2:37" ht="13">
      <c r="B775" s="294"/>
      <c r="C775" s="294"/>
      <c r="D775" s="294"/>
      <c r="E775" s="294"/>
      <c r="F775" s="294"/>
      <c r="G775" s="294"/>
      <c r="H775" s="294"/>
      <c r="P775" s="295"/>
      <c r="W775" s="295"/>
      <c r="AE775" s="188"/>
      <c r="AG775" s="188"/>
      <c r="AH775" s="188"/>
      <c r="AI775" s="188"/>
      <c r="AJ775" s="188"/>
      <c r="AK775" s="299"/>
    </row>
    <row r="776" spans="2:37" ht="13">
      <c r="B776" s="294"/>
      <c r="C776" s="294"/>
      <c r="D776" s="294"/>
      <c r="E776" s="294"/>
      <c r="F776" s="294"/>
      <c r="G776" s="294"/>
      <c r="H776" s="294"/>
      <c r="P776" s="295"/>
      <c r="W776" s="295"/>
      <c r="AE776" s="188"/>
      <c r="AG776" s="188"/>
      <c r="AH776" s="188"/>
      <c r="AI776" s="188"/>
      <c r="AJ776" s="188"/>
      <c r="AK776" s="299"/>
    </row>
    <row r="777" spans="2:37" ht="13">
      <c r="B777" s="294"/>
      <c r="C777" s="294"/>
      <c r="D777" s="294"/>
      <c r="E777" s="294"/>
      <c r="F777" s="294"/>
      <c r="G777" s="294"/>
      <c r="H777" s="294"/>
      <c r="P777" s="295"/>
      <c r="W777" s="295"/>
      <c r="AE777" s="188"/>
      <c r="AG777" s="188"/>
      <c r="AH777" s="188"/>
      <c r="AI777" s="188"/>
      <c r="AJ777" s="188"/>
      <c r="AK777" s="299"/>
    </row>
    <row r="778" spans="2:37" ht="13">
      <c r="B778" s="294"/>
      <c r="C778" s="294"/>
      <c r="D778" s="294"/>
      <c r="E778" s="294"/>
      <c r="F778" s="294"/>
      <c r="G778" s="294"/>
      <c r="H778" s="294"/>
      <c r="P778" s="295"/>
      <c r="W778" s="295"/>
      <c r="AE778" s="188"/>
      <c r="AG778" s="188"/>
      <c r="AH778" s="188"/>
      <c r="AI778" s="188"/>
      <c r="AJ778" s="188"/>
      <c r="AK778" s="299"/>
    </row>
    <row r="779" spans="2:37" ht="13">
      <c r="B779" s="294"/>
      <c r="C779" s="294"/>
      <c r="D779" s="294"/>
      <c r="E779" s="294"/>
      <c r="F779" s="294"/>
      <c r="G779" s="294"/>
      <c r="H779" s="294"/>
      <c r="P779" s="295"/>
      <c r="W779" s="295"/>
      <c r="AE779" s="188"/>
      <c r="AG779" s="188"/>
      <c r="AH779" s="188"/>
      <c r="AI779" s="188"/>
      <c r="AJ779" s="188"/>
      <c r="AK779" s="299"/>
    </row>
    <row r="780" spans="2:37" ht="13">
      <c r="B780" s="294"/>
      <c r="C780" s="294"/>
      <c r="D780" s="294"/>
      <c r="E780" s="294"/>
      <c r="F780" s="294"/>
      <c r="G780" s="294"/>
      <c r="H780" s="294"/>
      <c r="P780" s="295"/>
      <c r="W780" s="295"/>
      <c r="AE780" s="188"/>
      <c r="AG780" s="188"/>
      <c r="AH780" s="188"/>
      <c r="AI780" s="188"/>
      <c r="AJ780" s="188"/>
      <c r="AK780" s="299"/>
    </row>
    <row r="781" spans="2:37" ht="13">
      <c r="B781" s="294"/>
      <c r="C781" s="294"/>
      <c r="D781" s="294"/>
      <c r="E781" s="294"/>
      <c r="F781" s="294"/>
      <c r="G781" s="294"/>
      <c r="H781" s="294"/>
      <c r="P781" s="295"/>
      <c r="W781" s="295"/>
      <c r="AE781" s="188"/>
      <c r="AG781" s="188"/>
      <c r="AH781" s="188"/>
      <c r="AI781" s="188"/>
      <c r="AJ781" s="188"/>
      <c r="AK781" s="299"/>
    </row>
    <row r="782" spans="2:37" ht="13">
      <c r="B782" s="294"/>
      <c r="C782" s="294"/>
      <c r="D782" s="294"/>
      <c r="E782" s="294"/>
      <c r="F782" s="294"/>
      <c r="G782" s="294"/>
      <c r="H782" s="294"/>
      <c r="P782" s="295"/>
      <c r="W782" s="295"/>
      <c r="AE782" s="188"/>
      <c r="AG782" s="188"/>
      <c r="AH782" s="188"/>
      <c r="AI782" s="188"/>
      <c r="AJ782" s="188"/>
      <c r="AK782" s="299"/>
    </row>
    <row r="783" spans="2:37" ht="13">
      <c r="B783" s="294"/>
      <c r="C783" s="294"/>
      <c r="D783" s="294"/>
      <c r="E783" s="294"/>
      <c r="F783" s="294"/>
      <c r="G783" s="294"/>
      <c r="H783" s="294"/>
      <c r="P783" s="295"/>
      <c r="W783" s="295"/>
      <c r="AE783" s="188"/>
      <c r="AG783" s="188"/>
      <c r="AH783" s="188"/>
      <c r="AI783" s="188"/>
      <c r="AJ783" s="188"/>
      <c r="AK783" s="299"/>
    </row>
    <row r="784" spans="2:37" ht="13">
      <c r="B784" s="294"/>
      <c r="C784" s="294"/>
      <c r="D784" s="294"/>
      <c r="E784" s="294"/>
      <c r="F784" s="294"/>
      <c r="G784" s="294"/>
      <c r="H784" s="294"/>
      <c r="P784" s="295"/>
      <c r="W784" s="295"/>
      <c r="AE784" s="188"/>
      <c r="AG784" s="188"/>
      <c r="AH784" s="188"/>
      <c r="AI784" s="188"/>
      <c r="AJ784" s="188"/>
      <c r="AK784" s="299"/>
    </row>
    <row r="785" spans="2:37" ht="13">
      <c r="B785" s="294"/>
      <c r="C785" s="294"/>
      <c r="D785" s="294"/>
      <c r="E785" s="294"/>
      <c r="F785" s="294"/>
      <c r="G785" s="294"/>
      <c r="H785" s="294"/>
      <c r="P785" s="295"/>
      <c r="W785" s="295"/>
      <c r="AE785" s="188"/>
      <c r="AG785" s="188"/>
      <c r="AH785" s="188"/>
      <c r="AI785" s="188"/>
      <c r="AJ785" s="188"/>
      <c r="AK785" s="299"/>
    </row>
    <row r="786" spans="2:37" ht="13">
      <c r="B786" s="294"/>
      <c r="C786" s="294"/>
      <c r="D786" s="294"/>
      <c r="E786" s="294"/>
      <c r="F786" s="294"/>
      <c r="G786" s="294"/>
      <c r="H786" s="294"/>
      <c r="P786" s="295"/>
      <c r="W786" s="295"/>
      <c r="AE786" s="188"/>
      <c r="AG786" s="188"/>
      <c r="AH786" s="188"/>
      <c r="AI786" s="188"/>
      <c r="AJ786" s="188"/>
      <c r="AK786" s="299"/>
    </row>
    <row r="787" spans="2:37" ht="13">
      <c r="B787" s="294"/>
      <c r="C787" s="294"/>
      <c r="D787" s="294"/>
      <c r="E787" s="294"/>
      <c r="F787" s="294"/>
      <c r="G787" s="294"/>
      <c r="H787" s="294"/>
      <c r="P787" s="295"/>
      <c r="W787" s="295"/>
      <c r="AE787" s="188"/>
      <c r="AG787" s="188"/>
      <c r="AH787" s="188"/>
      <c r="AI787" s="188"/>
      <c r="AJ787" s="188"/>
      <c r="AK787" s="299"/>
    </row>
    <row r="788" spans="2:37" ht="13">
      <c r="B788" s="294"/>
      <c r="C788" s="294"/>
      <c r="D788" s="294"/>
      <c r="E788" s="294"/>
      <c r="F788" s="294"/>
      <c r="G788" s="294"/>
      <c r="H788" s="294"/>
      <c r="P788" s="295"/>
      <c r="W788" s="295"/>
      <c r="AE788" s="188"/>
      <c r="AG788" s="188"/>
      <c r="AH788" s="188"/>
      <c r="AI788" s="188"/>
      <c r="AJ788" s="188"/>
      <c r="AK788" s="299"/>
    </row>
    <row r="789" spans="2:37" ht="13">
      <c r="B789" s="294"/>
      <c r="C789" s="294"/>
      <c r="D789" s="294"/>
      <c r="E789" s="294"/>
      <c r="F789" s="294"/>
      <c r="G789" s="294"/>
      <c r="H789" s="294"/>
      <c r="P789" s="295"/>
      <c r="W789" s="295"/>
      <c r="AE789" s="188"/>
      <c r="AG789" s="188"/>
      <c r="AH789" s="188"/>
      <c r="AI789" s="188"/>
      <c r="AJ789" s="188"/>
      <c r="AK789" s="299"/>
    </row>
    <row r="790" spans="2:37" ht="13">
      <c r="B790" s="294"/>
      <c r="C790" s="294"/>
      <c r="D790" s="294"/>
      <c r="E790" s="294"/>
      <c r="F790" s="294"/>
      <c r="G790" s="294"/>
      <c r="H790" s="294"/>
      <c r="P790" s="295"/>
      <c r="W790" s="295"/>
      <c r="AE790" s="188"/>
      <c r="AG790" s="188"/>
      <c r="AH790" s="188"/>
      <c r="AI790" s="188"/>
      <c r="AJ790" s="188"/>
      <c r="AK790" s="299"/>
    </row>
    <row r="791" spans="2:37" ht="13">
      <c r="B791" s="294"/>
      <c r="C791" s="294"/>
      <c r="D791" s="294"/>
      <c r="E791" s="294"/>
      <c r="F791" s="294"/>
      <c r="G791" s="294"/>
      <c r="H791" s="294"/>
      <c r="P791" s="295"/>
      <c r="W791" s="295"/>
      <c r="AE791" s="188"/>
      <c r="AG791" s="188"/>
      <c r="AH791" s="188"/>
      <c r="AI791" s="188"/>
      <c r="AJ791" s="188"/>
      <c r="AK791" s="299"/>
    </row>
    <row r="792" spans="2:37" ht="13">
      <c r="B792" s="294"/>
      <c r="C792" s="294"/>
      <c r="D792" s="294"/>
      <c r="E792" s="294"/>
      <c r="F792" s="294"/>
      <c r="G792" s="294"/>
      <c r="H792" s="294"/>
      <c r="P792" s="295"/>
      <c r="W792" s="295"/>
      <c r="AE792" s="188"/>
      <c r="AG792" s="188"/>
      <c r="AH792" s="188"/>
      <c r="AI792" s="188"/>
      <c r="AJ792" s="188"/>
      <c r="AK792" s="299"/>
    </row>
    <row r="793" spans="2:37" ht="13">
      <c r="B793" s="294"/>
      <c r="C793" s="294"/>
      <c r="D793" s="294"/>
      <c r="E793" s="294"/>
      <c r="F793" s="294"/>
      <c r="G793" s="294"/>
      <c r="H793" s="294"/>
      <c r="P793" s="295"/>
      <c r="W793" s="295"/>
      <c r="AE793" s="188"/>
      <c r="AG793" s="188"/>
      <c r="AH793" s="188"/>
      <c r="AI793" s="188"/>
      <c r="AJ793" s="188"/>
      <c r="AK793" s="299"/>
    </row>
    <row r="794" spans="2:37" ht="13">
      <c r="B794" s="294"/>
      <c r="C794" s="294"/>
      <c r="D794" s="294"/>
      <c r="E794" s="294"/>
      <c r="F794" s="294"/>
      <c r="G794" s="294"/>
      <c r="H794" s="294"/>
      <c r="P794" s="295"/>
      <c r="W794" s="295"/>
      <c r="AE794" s="188"/>
      <c r="AG794" s="188"/>
      <c r="AH794" s="188"/>
      <c r="AI794" s="188"/>
      <c r="AJ794" s="188"/>
      <c r="AK794" s="299"/>
    </row>
    <row r="795" spans="2:37" ht="13">
      <c r="B795" s="294"/>
      <c r="C795" s="294"/>
      <c r="D795" s="294"/>
      <c r="E795" s="294"/>
      <c r="F795" s="294"/>
      <c r="G795" s="294"/>
      <c r="H795" s="294"/>
      <c r="P795" s="295"/>
      <c r="W795" s="295"/>
      <c r="AE795" s="188"/>
      <c r="AG795" s="188"/>
      <c r="AH795" s="188"/>
      <c r="AI795" s="188"/>
      <c r="AJ795" s="188"/>
      <c r="AK795" s="299"/>
    </row>
    <row r="796" spans="2:37" ht="13">
      <c r="B796" s="294"/>
      <c r="C796" s="294"/>
      <c r="D796" s="294"/>
      <c r="E796" s="294"/>
      <c r="F796" s="294"/>
      <c r="G796" s="294"/>
      <c r="H796" s="294"/>
      <c r="P796" s="295"/>
      <c r="W796" s="295"/>
      <c r="AE796" s="188"/>
      <c r="AG796" s="188"/>
      <c r="AH796" s="188"/>
      <c r="AI796" s="188"/>
      <c r="AJ796" s="188"/>
      <c r="AK796" s="299"/>
    </row>
    <row r="797" spans="2:37" ht="13">
      <c r="B797" s="294"/>
      <c r="C797" s="294"/>
      <c r="D797" s="294"/>
      <c r="E797" s="294"/>
      <c r="F797" s="294"/>
      <c r="G797" s="294"/>
      <c r="H797" s="294"/>
      <c r="P797" s="295"/>
      <c r="W797" s="295"/>
      <c r="AE797" s="188"/>
      <c r="AG797" s="188"/>
      <c r="AH797" s="188"/>
      <c r="AI797" s="188"/>
      <c r="AJ797" s="188"/>
      <c r="AK797" s="299"/>
    </row>
    <row r="798" spans="2:37" ht="13">
      <c r="B798" s="294"/>
      <c r="C798" s="294"/>
      <c r="D798" s="294"/>
      <c r="E798" s="294"/>
      <c r="F798" s="294"/>
      <c r="G798" s="294"/>
      <c r="H798" s="294"/>
      <c r="P798" s="295"/>
      <c r="W798" s="295"/>
      <c r="AE798" s="188"/>
      <c r="AG798" s="188"/>
      <c r="AH798" s="188"/>
      <c r="AI798" s="188"/>
      <c r="AJ798" s="188"/>
      <c r="AK798" s="299"/>
    </row>
    <row r="799" spans="2:37" ht="13">
      <c r="B799" s="294"/>
      <c r="C799" s="294"/>
      <c r="D799" s="294"/>
      <c r="E799" s="294"/>
      <c r="F799" s="294"/>
      <c r="G799" s="294"/>
      <c r="H799" s="294"/>
      <c r="P799" s="295"/>
      <c r="W799" s="295"/>
      <c r="AE799" s="188"/>
      <c r="AG799" s="188"/>
      <c r="AH799" s="188"/>
      <c r="AI799" s="188"/>
      <c r="AJ799" s="188"/>
      <c r="AK799" s="299"/>
    </row>
    <row r="800" spans="2:37" ht="13">
      <c r="B800" s="294"/>
      <c r="C800" s="294"/>
      <c r="D800" s="294"/>
      <c r="E800" s="294"/>
      <c r="F800" s="294"/>
      <c r="G800" s="294"/>
      <c r="H800" s="294"/>
      <c r="P800" s="295"/>
      <c r="W800" s="295"/>
      <c r="AE800" s="188"/>
      <c r="AG800" s="188"/>
      <c r="AH800" s="188"/>
      <c r="AI800" s="188"/>
      <c r="AJ800" s="188"/>
      <c r="AK800" s="299"/>
    </row>
    <row r="801" spans="2:37" ht="13">
      <c r="B801" s="294"/>
      <c r="C801" s="294"/>
      <c r="D801" s="294"/>
      <c r="E801" s="294"/>
      <c r="F801" s="294"/>
      <c r="G801" s="294"/>
      <c r="H801" s="294"/>
      <c r="P801" s="295"/>
      <c r="W801" s="295"/>
      <c r="AE801" s="188"/>
      <c r="AG801" s="188"/>
      <c r="AH801" s="188"/>
      <c r="AI801" s="188"/>
      <c r="AJ801" s="188"/>
      <c r="AK801" s="299"/>
    </row>
    <row r="802" spans="2:37" ht="13">
      <c r="B802" s="294"/>
      <c r="C802" s="294"/>
      <c r="D802" s="294"/>
      <c r="E802" s="294"/>
      <c r="F802" s="294"/>
      <c r="G802" s="294"/>
      <c r="H802" s="294"/>
      <c r="P802" s="295"/>
      <c r="W802" s="295"/>
      <c r="AE802" s="188"/>
      <c r="AG802" s="188"/>
      <c r="AH802" s="188"/>
      <c r="AI802" s="188"/>
      <c r="AJ802" s="188"/>
      <c r="AK802" s="299"/>
    </row>
    <row r="803" spans="2:37" ht="13">
      <c r="B803" s="294"/>
      <c r="C803" s="294"/>
      <c r="D803" s="294"/>
      <c r="E803" s="294"/>
      <c r="F803" s="294"/>
      <c r="G803" s="294"/>
      <c r="H803" s="294"/>
      <c r="P803" s="295"/>
      <c r="W803" s="295"/>
      <c r="AE803" s="188"/>
      <c r="AG803" s="188"/>
      <c r="AH803" s="188"/>
      <c r="AI803" s="188"/>
      <c r="AJ803" s="188"/>
      <c r="AK803" s="299"/>
    </row>
    <row r="804" spans="2:37" ht="13">
      <c r="B804" s="294"/>
      <c r="C804" s="294"/>
      <c r="D804" s="294"/>
      <c r="E804" s="294"/>
      <c r="F804" s="294"/>
      <c r="G804" s="294"/>
      <c r="H804" s="294"/>
      <c r="P804" s="295"/>
      <c r="W804" s="295"/>
      <c r="AE804" s="188"/>
      <c r="AG804" s="188"/>
      <c r="AH804" s="188"/>
      <c r="AI804" s="188"/>
      <c r="AJ804" s="188"/>
      <c r="AK804" s="299"/>
    </row>
    <row r="805" spans="2:37" ht="13">
      <c r="B805" s="294"/>
      <c r="C805" s="294"/>
      <c r="D805" s="294"/>
      <c r="E805" s="294"/>
      <c r="F805" s="294"/>
      <c r="G805" s="294"/>
      <c r="H805" s="294"/>
      <c r="P805" s="295"/>
      <c r="W805" s="295"/>
      <c r="AE805" s="188"/>
      <c r="AG805" s="188"/>
      <c r="AH805" s="188"/>
      <c r="AI805" s="188"/>
      <c r="AJ805" s="188"/>
      <c r="AK805" s="299"/>
    </row>
    <row r="806" spans="2:37" ht="13">
      <c r="B806" s="294"/>
      <c r="C806" s="294"/>
      <c r="D806" s="294"/>
      <c r="E806" s="294"/>
      <c r="F806" s="294"/>
      <c r="G806" s="294"/>
      <c r="H806" s="294"/>
      <c r="P806" s="295"/>
      <c r="W806" s="295"/>
      <c r="AE806" s="188"/>
      <c r="AG806" s="188"/>
      <c r="AH806" s="188"/>
      <c r="AI806" s="188"/>
      <c r="AJ806" s="188"/>
      <c r="AK806" s="299"/>
    </row>
    <row r="807" spans="2:37" ht="13">
      <c r="B807" s="294"/>
      <c r="C807" s="294"/>
      <c r="D807" s="294"/>
      <c r="E807" s="294"/>
      <c r="F807" s="294"/>
      <c r="G807" s="294"/>
      <c r="H807" s="294"/>
      <c r="P807" s="295"/>
      <c r="W807" s="295"/>
      <c r="AE807" s="188"/>
      <c r="AG807" s="188"/>
      <c r="AH807" s="188"/>
      <c r="AI807" s="188"/>
      <c r="AJ807" s="188"/>
      <c r="AK807" s="299"/>
    </row>
    <row r="808" spans="2:37" ht="13">
      <c r="B808" s="294"/>
      <c r="C808" s="294"/>
      <c r="D808" s="294"/>
      <c r="E808" s="294"/>
      <c r="F808" s="294"/>
      <c r="G808" s="294"/>
      <c r="H808" s="294"/>
      <c r="P808" s="295"/>
      <c r="W808" s="295"/>
      <c r="AE808" s="188"/>
      <c r="AG808" s="188"/>
      <c r="AH808" s="188"/>
      <c r="AI808" s="188"/>
      <c r="AJ808" s="188"/>
      <c r="AK808" s="299"/>
    </row>
    <row r="809" spans="2:37" ht="13">
      <c r="B809" s="294"/>
      <c r="C809" s="294"/>
      <c r="D809" s="294"/>
      <c r="E809" s="294"/>
      <c r="F809" s="294"/>
      <c r="G809" s="294"/>
      <c r="H809" s="294"/>
      <c r="P809" s="295"/>
      <c r="W809" s="295"/>
      <c r="AE809" s="188"/>
      <c r="AG809" s="188"/>
      <c r="AH809" s="188"/>
      <c r="AI809" s="188"/>
      <c r="AJ809" s="188"/>
      <c r="AK809" s="299"/>
    </row>
    <row r="810" spans="2:37" ht="13">
      <c r="B810" s="294"/>
      <c r="C810" s="294"/>
      <c r="D810" s="294"/>
      <c r="E810" s="294"/>
      <c r="F810" s="294"/>
      <c r="G810" s="294"/>
      <c r="H810" s="294"/>
      <c r="P810" s="295"/>
      <c r="W810" s="295"/>
      <c r="AE810" s="188"/>
      <c r="AG810" s="188"/>
      <c r="AH810" s="188"/>
      <c r="AI810" s="188"/>
      <c r="AJ810" s="188"/>
      <c r="AK810" s="299"/>
    </row>
    <row r="811" spans="2:37" ht="13">
      <c r="B811" s="294"/>
      <c r="C811" s="294"/>
      <c r="D811" s="294"/>
      <c r="E811" s="294"/>
      <c r="F811" s="294"/>
      <c r="G811" s="294"/>
      <c r="H811" s="294"/>
      <c r="P811" s="295"/>
      <c r="W811" s="295"/>
      <c r="AE811" s="188"/>
      <c r="AG811" s="188"/>
      <c r="AH811" s="188"/>
      <c r="AI811" s="188"/>
      <c r="AJ811" s="188"/>
      <c r="AK811" s="299"/>
    </row>
    <row r="812" spans="2:37" ht="13">
      <c r="B812" s="294"/>
      <c r="C812" s="294"/>
      <c r="D812" s="294"/>
      <c r="E812" s="294"/>
      <c r="F812" s="294"/>
      <c r="G812" s="294"/>
      <c r="H812" s="294"/>
      <c r="P812" s="295"/>
      <c r="W812" s="295"/>
      <c r="AE812" s="188"/>
      <c r="AG812" s="188"/>
      <c r="AH812" s="188"/>
      <c r="AI812" s="188"/>
      <c r="AJ812" s="188"/>
      <c r="AK812" s="299"/>
    </row>
    <row r="813" spans="2:37" ht="13">
      <c r="B813" s="294"/>
      <c r="C813" s="294"/>
      <c r="D813" s="294"/>
      <c r="E813" s="294"/>
      <c r="F813" s="294"/>
      <c r="G813" s="294"/>
      <c r="H813" s="294"/>
      <c r="P813" s="295"/>
      <c r="W813" s="295"/>
      <c r="AE813" s="188"/>
      <c r="AG813" s="188"/>
      <c r="AH813" s="188"/>
      <c r="AI813" s="188"/>
      <c r="AJ813" s="188"/>
      <c r="AK813" s="299"/>
    </row>
    <row r="814" spans="2:37" ht="13">
      <c r="B814" s="294"/>
      <c r="C814" s="294"/>
      <c r="D814" s="294"/>
      <c r="E814" s="294"/>
      <c r="F814" s="294"/>
      <c r="G814" s="294"/>
      <c r="H814" s="294"/>
      <c r="P814" s="295"/>
      <c r="W814" s="295"/>
      <c r="AE814" s="188"/>
      <c r="AG814" s="188"/>
      <c r="AH814" s="188"/>
      <c r="AI814" s="188"/>
      <c r="AJ814" s="188"/>
      <c r="AK814" s="299"/>
    </row>
    <row r="815" spans="2:37" ht="13">
      <c r="B815" s="294"/>
      <c r="C815" s="294"/>
      <c r="D815" s="294"/>
      <c r="E815" s="294"/>
      <c r="F815" s="294"/>
      <c r="G815" s="294"/>
      <c r="H815" s="294"/>
      <c r="P815" s="295"/>
      <c r="W815" s="295"/>
      <c r="AE815" s="188"/>
      <c r="AG815" s="188"/>
      <c r="AH815" s="188"/>
      <c r="AI815" s="188"/>
      <c r="AJ815" s="188"/>
      <c r="AK815" s="299"/>
    </row>
    <row r="816" spans="2:37" ht="13">
      <c r="B816" s="294"/>
      <c r="C816" s="294"/>
      <c r="D816" s="294"/>
      <c r="E816" s="294"/>
      <c r="F816" s="294"/>
      <c r="G816" s="294"/>
      <c r="H816" s="294"/>
      <c r="P816" s="295"/>
      <c r="W816" s="295"/>
      <c r="AE816" s="188"/>
      <c r="AG816" s="188"/>
      <c r="AH816" s="188"/>
      <c r="AI816" s="188"/>
      <c r="AJ816" s="188"/>
      <c r="AK816" s="299"/>
    </row>
    <row r="817" spans="2:37" ht="13">
      <c r="B817" s="294"/>
      <c r="C817" s="294"/>
      <c r="D817" s="294"/>
      <c r="E817" s="294"/>
      <c r="F817" s="294"/>
      <c r="G817" s="294"/>
      <c r="H817" s="294"/>
      <c r="P817" s="295"/>
      <c r="W817" s="295"/>
      <c r="AE817" s="188"/>
      <c r="AG817" s="188"/>
      <c r="AH817" s="188"/>
      <c r="AI817" s="188"/>
      <c r="AJ817" s="188"/>
      <c r="AK817" s="299"/>
    </row>
    <row r="818" spans="2:37" ht="13">
      <c r="B818" s="294"/>
      <c r="C818" s="294"/>
      <c r="D818" s="294"/>
      <c r="E818" s="294"/>
      <c r="F818" s="294"/>
      <c r="G818" s="294"/>
      <c r="H818" s="294"/>
      <c r="P818" s="295"/>
      <c r="W818" s="295"/>
      <c r="AE818" s="188"/>
      <c r="AG818" s="188"/>
      <c r="AH818" s="188"/>
      <c r="AI818" s="188"/>
      <c r="AJ818" s="188"/>
      <c r="AK818" s="299"/>
    </row>
    <row r="819" spans="2:37" ht="13">
      <c r="B819" s="294"/>
      <c r="C819" s="294"/>
      <c r="D819" s="294"/>
      <c r="E819" s="294"/>
      <c r="F819" s="294"/>
      <c r="G819" s="294"/>
      <c r="H819" s="294"/>
      <c r="P819" s="295"/>
      <c r="W819" s="295"/>
      <c r="AE819" s="188"/>
      <c r="AG819" s="188"/>
      <c r="AH819" s="188"/>
      <c r="AI819" s="188"/>
      <c r="AJ819" s="188"/>
      <c r="AK819" s="299"/>
    </row>
    <row r="820" spans="2:37" ht="13">
      <c r="B820" s="294"/>
      <c r="C820" s="294"/>
      <c r="D820" s="294"/>
      <c r="E820" s="294"/>
      <c r="F820" s="294"/>
      <c r="G820" s="294"/>
      <c r="H820" s="294"/>
      <c r="P820" s="295"/>
      <c r="W820" s="295"/>
      <c r="AE820" s="188"/>
      <c r="AG820" s="188"/>
      <c r="AH820" s="188"/>
      <c r="AI820" s="188"/>
      <c r="AJ820" s="188"/>
      <c r="AK820" s="299"/>
    </row>
    <row r="821" spans="2:37" ht="13">
      <c r="B821" s="294"/>
      <c r="C821" s="294"/>
      <c r="D821" s="294"/>
      <c r="E821" s="294"/>
      <c r="F821" s="294"/>
      <c r="G821" s="294"/>
      <c r="H821" s="294"/>
      <c r="P821" s="295"/>
      <c r="W821" s="295"/>
      <c r="AE821" s="188"/>
      <c r="AG821" s="188"/>
      <c r="AH821" s="188"/>
      <c r="AI821" s="188"/>
      <c r="AJ821" s="188"/>
      <c r="AK821" s="299"/>
    </row>
    <row r="822" spans="2:37" ht="13">
      <c r="B822" s="294"/>
      <c r="C822" s="294"/>
      <c r="D822" s="294"/>
      <c r="E822" s="294"/>
      <c r="F822" s="294"/>
      <c r="G822" s="294"/>
      <c r="H822" s="294"/>
      <c r="P822" s="295"/>
      <c r="W822" s="295"/>
      <c r="AE822" s="188"/>
      <c r="AG822" s="188"/>
      <c r="AH822" s="188"/>
      <c r="AI822" s="188"/>
      <c r="AJ822" s="188"/>
      <c r="AK822" s="299"/>
    </row>
    <row r="823" spans="2:37" ht="13">
      <c r="B823" s="294"/>
      <c r="C823" s="294"/>
      <c r="D823" s="294"/>
      <c r="E823" s="294"/>
      <c r="F823" s="294"/>
      <c r="G823" s="294"/>
      <c r="H823" s="294"/>
      <c r="P823" s="295"/>
      <c r="W823" s="295"/>
      <c r="AE823" s="188"/>
      <c r="AG823" s="188"/>
      <c r="AH823" s="188"/>
      <c r="AI823" s="188"/>
      <c r="AJ823" s="188"/>
      <c r="AK823" s="299"/>
    </row>
    <row r="824" spans="2:37" ht="13">
      <c r="B824" s="294"/>
      <c r="C824" s="294"/>
      <c r="D824" s="294"/>
      <c r="E824" s="294"/>
      <c r="F824" s="294"/>
      <c r="G824" s="294"/>
      <c r="H824" s="294"/>
      <c r="P824" s="295"/>
      <c r="W824" s="295"/>
      <c r="AE824" s="188"/>
      <c r="AG824" s="188"/>
      <c r="AH824" s="188"/>
      <c r="AI824" s="188"/>
      <c r="AJ824" s="188"/>
      <c r="AK824" s="299"/>
    </row>
    <row r="825" spans="2:37" ht="13">
      <c r="B825" s="294"/>
      <c r="C825" s="294"/>
      <c r="D825" s="294"/>
      <c r="E825" s="294"/>
      <c r="F825" s="294"/>
      <c r="G825" s="294"/>
      <c r="H825" s="294"/>
      <c r="P825" s="295"/>
      <c r="W825" s="295"/>
      <c r="AE825" s="188"/>
      <c r="AG825" s="188"/>
      <c r="AH825" s="188"/>
      <c r="AI825" s="188"/>
      <c r="AJ825" s="188"/>
      <c r="AK825" s="299"/>
    </row>
    <row r="826" spans="2:37" ht="13">
      <c r="B826" s="294"/>
      <c r="C826" s="294"/>
      <c r="D826" s="294"/>
      <c r="E826" s="294"/>
      <c r="F826" s="294"/>
      <c r="G826" s="294"/>
      <c r="H826" s="294"/>
      <c r="P826" s="295"/>
      <c r="W826" s="295"/>
      <c r="AE826" s="188"/>
      <c r="AG826" s="188"/>
      <c r="AH826" s="188"/>
      <c r="AI826" s="188"/>
      <c r="AJ826" s="188"/>
      <c r="AK826" s="299"/>
    </row>
    <row r="827" spans="2:37" ht="13">
      <c r="B827" s="294"/>
      <c r="C827" s="294"/>
      <c r="D827" s="294"/>
      <c r="E827" s="294"/>
      <c r="F827" s="294"/>
      <c r="G827" s="294"/>
      <c r="H827" s="294"/>
      <c r="P827" s="295"/>
      <c r="W827" s="295"/>
      <c r="AE827" s="188"/>
      <c r="AG827" s="188"/>
      <c r="AH827" s="188"/>
      <c r="AI827" s="188"/>
      <c r="AJ827" s="188"/>
      <c r="AK827" s="299"/>
    </row>
    <row r="828" spans="2:37" ht="13">
      <c r="B828" s="294"/>
      <c r="C828" s="294"/>
      <c r="D828" s="294"/>
      <c r="E828" s="294"/>
      <c r="F828" s="294"/>
      <c r="G828" s="294"/>
      <c r="H828" s="294"/>
      <c r="P828" s="295"/>
      <c r="W828" s="295"/>
      <c r="AE828" s="188"/>
      <c r="AG828" s="188"/>
      <c r="AH828" s="188"/>
      <c r="AI828" s="188"/>
      <c r="AJ828" s="188"/>
      <c r="AK828" s="299"/>
    </row>
    <row r="829" spans="2:37" ht="13">
      <c r="B829" s="294"/>
      <c r="C829" s="294"/>
      <c r="D829" s="294"/>
      <c r="E829" s="294"/>
      <c r="F829" s="294"/>
      <c r="G829" s="294"/>
      <c r="H829" s="294"/>
      <c r="P829" s="295"/>
      <c r="W829" s="295"/>
      <c r="AE829" s="188"/>
      <c r="AG829" s="188"/>
      <c r="AH829" s="188"/>
      <c r="AI829" s="188"/>
      <c r="AJ829" s="188"/>
      <c r="AK829" s="299"/>
    </row>
    <row r="830" spans="2:37" ht="13">
      <c r="B830" s="294"/>
      <c r="C830" s="294"/>
      <c r="D830" s="294"/>
      <c r="E830" s="294"/>
      <c r="F830" s="294"/>
      <c r="G830" s="294"/>
      <c r="H830" s="294"/>
      <c r="P830" s="295"/>
      <c r="W830" s="295"/>
      <c r="AE830" s="188"/>
      <c r="AG830" s="188"/>
      <c r="AH830" s="188"/>
      <c r="AI830" s="188"/>
      <c r="AJ830" s="188"/>
      <c r="AK830" s="299"/>
    </row>
    <row r="831" spans="2:37" ht="13">
      <c r="B831" s="294"/>
      <c r="C831" s="294"/>
      <c r="D831" s="294"/>
      <c r="E831" s="294"/>
      <c r="F831" s="294"/>
      <c r="G831" s="294"/>
      <c r="H831" s="294"/>
      <c r="P831" s="295"/>
      <c r="W831" s="295"/>
      <c r="AE831" s="188"/>
      <c r="AG831" s="188"/>
      <c r="AH831" s="188"/>
      <c r="AI831" s="188"/>
      <c r="AJ831" s="188"/>
      <c r="AK831" s="299"/>
    </row>
    <row r="832" spans="2:37" ht="13">
      <c r="B832" s="294"/>
      <c r="C832" s="294"/>
      <c r="D832" s="294"/>
      <c r="E832" s="294"/>
      <c r="F832" s="294"/>
      <c r="G832" s="294"/>
      <c r="H832" s="294"/>
      <c r="P832" s="295"/>
      <c r="W832" s="295"/>
      <c r="AE832" s="188"/>
      <c r="AG832" s="188"/>
      <c r="AH832" s="188"/>
      <c r="AI832" s="188"/>
      <c r="AJ832" s="188"/>
      <c r="AK832" s="299"/>
    </row>
    <row r="833" spans="2:37" ht="13">
      <c r="B833" s="294"/>
      <c r="C833" s="294"/>
      <c r="D833" s="294"/>
      <c r="E833" s="294"/>
      <c r="F833" s="294"/>
      <c r="G833" s="294"/>
      <c r="H833" s="294"/>
      <c r="P833" s="295"/>
      <c r="W833" s="295"/>
      <c r="AE833" s="188"/>
      <c r="AG833" s="188"/>
      <c r="AH833" s="188"/>
      <c r="AI833" s="188"/>
      <c r="AJ833" s="188"/>
      <c r="AK833" s="299"/>
    </row>
    <row r="834" spans="2:37" ht="13">
      <c r="B834" s="294"/>
      <c r="C834" s="294"/>
      <c r="D834" s="294"/>
      <c r="E834" s="294"/>
      <c r="F834" s="294"/>
      <c r="G834" s="294"/>
      <c r="H834" s="294"/>
      <c r="P834" s="295"/>
      <c r="W834" s="295"/>
      <c r="AE834" s="188"/>
      <c r="AG834" s="188"/>
      <c r="AH834" s="188"/>
      <c r="AI834" s="188"/>
      <c r="AJ834" s="188"/>
      <c r="AK834" s="299"/>
    </row>
    <row r="835" spans="2:37" ht="13">
      <c r="B835" s="294"/>
      <c r="C835" s="294"/>
      <c r="D835" s="294"/>
      <c r="E835" s="294"/>
      <c r="F835" s="294"/>
      <c r="G835" s="294"/>
      <c r="H835" s="294"/>
      <c r="P835" s="295"/>
      <c r="W835" s="295"/>
      <c r="AE835" s="188"/>
      <c r="AG835" s="188"/>
      <c r="AH835" s="188"/>
      <c r="AI835" s="188"/>
      <c r="AJ835" s="188"/>
      <c r="AK835" s="299"/>
    </row>
    <row r="836" spans="2:37" ht="13">
      <c r="B836" s="294"/>
      <c r="C836" s="294"/>
      <c r="D836" s="294"/>
      <c r="E836" s="294"/>
      <c r="F836" s="294"/>
      <c r="G836" s="294"/>
      <c r="H836" s="294"/>
      <c r="P836" s="295"/>
      <c r="W836" s="295"/>
      <c r="AE836" s="188"/>
      <c r="AG836" s="188"/>
      <c r="AH836" s="188"/>
      <c r="AI836" s="188"/>
      <c r="AJ836" s="188"/>
      <c r="AK836" s="299"/>
    </row>
    <row r="837" spans="2:37" ht="13">
      <c r="B837" s="294"/>
      <c r="C837" s="294"/>
      <c r="D837" s="294"/>
      <c r="E837" s="294"/>
      <c r="F837" s="294"/>
      <c r="G837" s="294"/>
      <c r="H837" s="294"/>
      <c r="P837" s="295"/>
      <c r="W837" s="295"/>
      <c r="AE837" s="188"/>
      <c r="AG837" s="188"/>
      <c r="AH837" s="188"/>
      <c r="AI837" s="188"/>
      <c r="AJ837" s="188"/>
      <c r="AK837" s="299"/>
    </row>
    <row r="838" spans="2:37" ht="13">
      <c r="B838" s="294"/>
      <c r="C838" s="294"/>
      <c r="D838" s="294"/>
      <c r="E838" s="294"/>
      <c r="F838" s="294"/>
      <c r="G838" s="294"/>
      <c r="H838" s="294"/>
      <c r="P838" s="295"/>
      <c r="W838" s="295"/>
      <c r="AE838" s="188"/>
      <c r="AG838" s="188"/>
      <c r="AH838" s="188"/>
      <c r="AI838" s="188"/>
      <c r="AJ838" s="188"/>
      <c r="AK838" s="299"/>
    </row>
    <row r="839" spans="2:37" ht="13">
      <c r="B839" s="294"/>
      <c r="C839" s="294"/>
      <c r="D839" s="294"/>
      <c r="E839" s="294"/>
      <c r="F839" s="294"/>
      <c r="G839" s="294"/>
      <c r="H839" s="294"/>
      <c r="P839" s="295"/>
      <c r="W839" s="295"/>
      <c r="AE839" s="188"/>
      <c r="AG839" s="188"/>
      <c r="AH839" s="188"/>
      <c r="AI839" s="188"/>
      <c r="AJ839" s="188"/>
      <c r="AK839" s="299"/>
    </row>
    <row r="840" spans="2:37" ht="13">
      <c r="B840" s="294"/>
      <c r="C840" s="294"/>
      <c r="D840" s="294"/>
      <c r="E840" s="294"/>
      <c r="F840" s="294"/>
      <c r="G840" s="294"/>
      <c r="H840" s="294"/>
      <c r="P840" s="295"/>
      <c r="W840" s="295"/>
      <c r="AE840" s="188"/>
      <c r="AG840" s="188"/>
      <c r="AH840" s="188"/>
      <c r="AI840" s="188"/>
      <c r="AJ840" s="188"/>
      <c r="AK840" s="299"/>
    </row>
    <row r="841" spans="2:37" ht="13">
      <c r="B841" s="294"/>
      <c r="C841" s="294"/>
      <c r="D841" s="294"/>
      <c r="E841" s="294"/>
      <c r="F841" s="294"/>
      <c r="G841" s="294"/>
      <c r="H841" s="294"/>
      <c r="P841" s="295"/>
      <c r="W841" s="295"/>
      <c r="AE841" s="188"/>
      <c r="AG841" s="188"/>
      <c r="AH841" s="188"/>
      <c r="AI841" s="188"/>
      <c r="AJ841" s="188"/>
      <c r="AK841" s="299"/>
    </row>
    <row r="842" spans="2:37" ht="13">
      <c r="B842" s="294"/>
      <c r="C842" s="294"/>
      <c r="D842" s="294"/>
      <c r="E842" s="294"/>
      <c r="F842" s="294"/>
      <c r="G842" s="294"/>
      <c r="H842" s="294"/>
      <c r="P842" s="295"/>
      <c r="W842" s="295"/>
      <c r="AE842" s="188"/>
      <c r="AG842" s="188"/>
      <c r="AH842" s="188"/>
      <c r="AI842" s="188"/>
      <c r="AJ842" s="188"/>
      <c r="AK842" s="299"/>
    </row>
    <row r="843" spans="2:37" ht="13">
      <c r="B843" s="294"/>
      <c r="C843" s="294"/>
      <c r="D843" s="294"/>
      <c r="E843" s="294"/>
      <c r="F843" s="294"/>
      <c r="G843" s="294"/>
      <c r="H843" s="294"/>
      <c r="P843" s="295"/>
      <c r="W843" s="295"/>
      <c r="AE843" s="188"/>
      <c r="AG843" s="188"/>
      <c r="AH843" s="188"/>
      <c r="AI843" s="188"/>
      <c r="AJ843" s="188"/>
      <c r="AK843" s="299"/>
    </row>
    <row r="844" spans="2:37" ht="13">
      <c r="B844" s="294"/>
      <c r="C844" s="294"/>
      <c r="D844" s="294"/>
      <c r="E844" s="294"/>
      <c r="F844" s="294"/>
      <c r="G844" s="294"/>
      <c r="H844" s="294"/>
      <c r="P844" s="295"/>
      <c r="W844" s="295"/>
      <c r="AE844" s="188"/>
      <c r="AG844" s="188"/>
      <c r="AH844" s="188"/>
      <c r="AI844" s="188"/>
      <c r="AJ844" s="188"/>
      <c r="AK844" s="299"/>
    </row>
    <row r="845" spans="2:37" ht="13">
      <c r="B845" s="294"/>
      <c r="C845" s="294"/>
      <c r="D845" s="294"/>
      <c r="E845" s="294"/>
      <c r="F845" s="294"/>
      <c r="G845" s="294"/>
      <c r="H845" s="294"/>
      <c r="P845" s="295"/>
      <c r="W845" s="295"/>
      <c r="AE845" s="188"/>
      <c r="AG845" s="188"/>
      <c r="AH845" s="188"/>
      <c r="AI845" s="188"/>
      <c r="AJ845" s="188"/>
      <c r="AK845" s="299"/>
    </row>
    <row r="846" spans="2:37" ht="13">
      <c r="B846" s="294"/>
      <c r="C846" s="294"/>
      <c r="D846" s="294"/>
      <c r="E846" s="294"/>
      <c r="F846" s="294"/>
      <c r="G846" s="294"/>
      <c r="H846" s="294"/>
      <c r="P846" s="295"/>
      <c r="W846" s="295"/>
      <c r="AE846" s="188"/>
      <c r="AG846" s="188"/>
      <c r="AH846" s="188"/>
      <c r="AI846" s="188"/>
      <c r="AJ846" s="188"/>
      <c r="AK846" s="299"/>
    </row>
    <row r="847" spans="2:37" ht="13">
      <c r="B847" s="294"/>
      <c r="C847" s="294"/>
      <c r="D847" s="294"/>
      <c r="E847" s="294"/>
      <c r="F847" s="294"/>
      <c r="G847" s="294"/>
      <c r="H847" s="294"/>
      <c r="P847" s="295"/>
      <c r="W847" s="295"/>
      <c r="AE847" s="188"/>
      <c r="AG847" s="188"/>
      <c r="AH847" s="188"/>
      <c r="AI847" s="188"/>
      <c r="AJ847" s="188"/>
      <c r="AK847" s="299"/>
    </row>
    <row r="848" spans="2:37" ht="13">
      <c r="B848" s="294"/>
      <c r="C848" s="294"/>
      <c r="D848" s="294"/>
      <c r="E848" s="294"/>
      <c r="F848" s="294"/>
      <c r="G848" s="294"/>
      <c r="H848" s="294"/>
      <c r="P848" s="295"/>
      <c r="W848" s="295"/>
      <c r="AE848" s="188"/>
      <c r="AG848" s="188"/>
      <c r="AH848" s="188"/>
      <c r="AI848" s="188"/>
      <c r="AJ848" s="188"/>
      <c r="AK848" s="299"/>
    </row>
    <row r="849" spans="2:37" ht="13">
      <c r="B849" s="294"/>
      <c r="C849" s="294"/>
      <c r="D849" s="294"/>
      <c r="E849" s="294"/>
      <c r="F849" s="294"/>
      <c r="G849" s="294"/>
      <c r="H849" s="294"/>
      <c r="P849" s="295"/>
      <c r="W849" s="295"/>
      <c r="AE849" s="188"/>
      <c r="AG849" s="188"/>
      <c r="AH849" s="188"/>
      <c r="AI849" s="188"/>
      <c r="AJ849" s="188"/>
      <c r="AK849" s="299"/>
    </row>
    <row r="850" spans="2:37" ht="13">
      <c r="B850" s="294"/>
      <c r="C850" s="294"/>
      <c r="D850" s="294"/>
      <c r="E850" s="294"/>
      <c r="F850" s="294"/>
      <c r="G850" s="294"/>
      <c r="H850" s="294"/>
      <c r="P850" s="295"/>
      <c r="W850" s="295"/>
      <c r="AE850" s="188"/>
      <c r="AG850" s="188"/>
      <c r="AH850" s="188"/>
      <c r="AI850" s="188"/>
      <c r="AJ850" s="188"/>
      <c r="AK850" s="299"/>
    </row>
    <row r="851" spans="2:37" ht="13">
      <c r="B851" s="294"/>
      <c r="C851" s="294"/>
      <c r="D851" s="294"/>
      <c r="E851" s="294"/>
      <c r="F851" s="294"/>
      <c r="G851" s="294"/>
      <c r="H851" s="294"/>
      <c r="P851" s="295"/>
      <c r="W851" s="295"/>
      <c r="AE851" s="188"/>
      <c r="AG851" s="188"/>
      <c r="AH851" s="188"/>
      <c r="AI851" s="188"/>
      <c r="AJ851" s="188"/>
      <c r="AK851" s="299"/>
    </row>
    <row r="852" spans="2:37" ht="13">
      <c r="B852" s="294"/>
      <c r="C852" s="294"/>
      <c r="D852" s="294"/>
      <c r="E852" s="294"/>
      <c r="F852" s="294"/>
      <c r="G852" s="294"/>
      <c r="H852" s="294"/>
      <c r="P852" s="295"/>
      <c r="W852" s="295"/>
      <c r="AE852" s="188"/>
      <c r="AG852" s="188"/>
      <c r="AH852" s="188"/>
      <c r="AI852" s="188"/>
      <c r="AJ852" s="188"/>
      <c r="AK852" s="299"/>
    </row>
    <row r="853" spans="2:37" ht="13">
      <c r="B853" s="294"/>
      <c r="C853" s="294"/>
      <c r="D853" s="294"/>
      <c r="E853" s="294"/>
      <c r="F853" s="294"/>
      <c r="G853" s="294"/>
      <c r="H853" s="294"/>
      <c r="P853" s="295"/>
      <c r="W853" s="295"/>
      <c r="AE853" s="188"/>
      <c r="AG853" s="188"/>
      <c r="AH853" s="188"/>
      <c r="AI853" s="188"/>
      <c r="AJ853" s="188"/>
      <c r="AK853" s="299"/>
    </row>
    <row r="854" spans="2:37" ht="13">
      <c r="B854" s="294"/>
      <c r="C854" s="294"/>
      <c r="D854" s="294"/>
      <c r="E854" s="294"/>
      <c r="F854" s="294"/>
      <c r="G854" s="294"/>
      <c r="H854" s="294"/>
      <c r="P854" s="295"/>
      <c r="W854" s="295"/>
      <c r="AE854" s="188"/>
      <c r="AG854" s="188"/>
      <c r="AH854" s="188"/>
      <c r="AI854" s="188"/>
      <c r="AJ854" s="188"/>
      <c r="AK854" s="299"/>
    </row>
    <row r="855" spans="2:37" ht="13">
      <c r="B855" s="294"/>
      <c r="C855" s="294"/>
      <c r="D855" s="294"/>
      <c r="E855" s="294"/>
      <c r="F855" s="294"/>
      <c r="G855" s="294"/>
      <c r="H855" s="294"/>
      <c r="P855" s="295"/>
      <c r="W855" s="295"/>
      <c r="AE855" s="188"/>
      <c r="AG855" s="188"/>
      <c r="AH855" s="188"/>
      <c r="AI855" s="188"/>
      <c r="AJ855" s="188"/>
      <c r="AK855" s="299"/>
    </row>
    <row r="856" spans="2:37" ht="13">
      <c r="B856" s="294"/>
      <c r="C856" s="294"/>
      <c r="D856" s="294"/>
      <c r="E856" s="294"/>
      <c r="F856" s="294"/>
      <c r="G856" s="294"/>
      <c r="H856" s="294"/>
      <c r="P856" s="295"/>
      <c r="W856" s="295"/>
      <c r="AE856" s="188"/>
      <c r="AG856" s="188"/>
      <c r="AH856" s="188"/>
      <c r="AI856" s="188"/>
      <c r="AJ856" s="188"/>
      <c r="AK856" s="299"/>
    </row>
    <row r="857" spans="2:37" ht="13">
      <c r="B857" s="294"/>
      <c r="C857" s="294"/>
      <c r="D857" s="294"/>
      <c r="E857" s="294"/>
      <c r="F857" s="294"/>
      <c r="G857" s="294"/>
      <c r="H857" s="294"/>
      <c r="P857" s="295"/>
      <c r="W857" s="295"/>
      <c r="AE857" s="188"/>
      <c r="AG857" s="188"/>
      <c r="AH857" s="188"/>
      <c r="AI857" s="188"/>
      <c r="AJ857" s="188"/>
      <c r="AK857" s="299"/>
    </row>
    <row r="858" spans="2:37" ht="13">
      <c r="B858" s="294"/>
      <c r="C858" s="294"/>
      <c r="D858" s="294"/>
      <c r="E858" s="294"/>
      <c r="F858" s="294"/>
      <c r="G858" s="294"/>
      <c r="H858" s="294"/>
      <c r="P858" s="295"/>
      <c r="W858" s="295"/>
      <c r="AE858" s="188"/>
      <c r="AG858" s="188"/>
      <c r="AH858" s="188"/>
      <c r="AI858" s="188"/>
      <c r="AJ858" s="188"/>
      <c r="AK858" s="299"/>
    </row>
    <row r="859" spans="2:37" ht="13">
      <c r="B859" s="294"/>
      <c r="C859" s="294"/>
      <c r="D859" s="294"/>
      <c r="E859" s="294"/>
      <c r="F859" s="294"/>
      <c r="G859" s="294"/>
      <c r="H859" s="294"/>
      <c r="P859" s="295"/>
      <c r="W859" s="295"/>
      <c r="AE859" s="188"/>
      <c r="AG859" s="188"/>
      <c r="AH859" s="188"/>
      <c r="AI859" s="188"/>
      <c r="AJ859" s="188"/>
      <c r="AK859" s="299"/>
    </row>
    <row r="860" spans="2:37" ht="13">
      <c r="B860" s="294"/>
      <c r="C860" s="294"/>
      <c r="D860" s="294"/>
      <c r="E860" s="294"/>
      <c r="F860" s="294"/>
      <c r="G860" s="294"/>
      <c r="H860" s="294"/>
      <c r="P860" s="295"/>
      <c r="W860" s="295"/>
      <c r="AE860" s="188"/>
      <c r="AG860" s="188"/>
      <c r="AH860" s="188"/>
      <c r="AI860" s="188"/>
      <c r="AJ860" s="188"/>
      <c r="AK860" s="299"/>
    </row>
    <row r="861" spans="2:37" ht="13">
      <c r="B861" s="294"/>
      <c r="C861" s="294"/>
      <c r="D861" s="294"/>
      <c r="E861" s="294"/>
      <c r="F861" s="294"/>
      <c r="G861" s="294"/>
      <c r="H861" s="294"/>
      <c r="P861" s="295"/>
      <c r="W861" s="295"/>
      <c r="AE861" s="188"/>
      <c r="AG861" s="188"/>
      <c r="AH861" s="188"/>
      <c r="AI861" s="188"/>
      <c r="AJ861" s="188"/>
      <c r="AK861" s="299"/>
    </row>
    <row r="862" spans="2:37" ht="13">
      <c r="B862" s="294"/>
      <c r="C862" s="294"/>
      <c r="D862" s="294"/>
      <c r="E862" s="294"/>
      <c r="F862" s="294"/>
      <c r="G862" s="294"/>
      <c r="H862" s="294"/>
      <c r="P862" s="295"/>
      <c r="W862" s="295"/>
      <c r="AE862" s="188"/>
      <c r="AG862" s="188"/>
      <c r="AH862" s="188"/>
      <c r="AI862" s="188"/>
      <c r="AJ862" s="188"/>
      <c r="AK862" s="299"/>
    </row>
    <row r="863" spans="2:37" ht="13">
      <c r="B863" s="294"/>
      <c r="C863" s="294"/>
      <c r="D863" s="294"/>
      <c r="E863" s="294"/>
      <c r="F863" s="294"/>
      <c r="G863" s="294"/>
      <c r="H863" s="294"/>
      <c r="P863" s="295"/>
      <c r="W863" s="295"/>
      <c r="AE863" s="188"/>
      <c r="AG863" s="188"/>
      <c r="AH863" s="188"/>
      <c r="AI863" s="188"/>
      <c r="AJ863" s="188"/>
      <c r="AK863" s="299"/>
    </row>
    <row r="864" spans="2:37" ht="13">
      <c r="B864" s="294"/>
      <c r="C864" s="294"/>
      <c r="D864" s="294"/>
      <c r="E864" s="294"/>
      <c r="F864" s="294"/>
      <c r="G864" s="294"/>
      <c r="H864" s="294"/>
      <c r="P864" s="295"/>
      <c r="W864" s="295"/>
      <c r="AE864" s="188"/>
      <c r="AG864" s="188"/>
      <c r="AH864" s="188"/>
      <c r="AI864" s="188"/>
      <c r="AJ864" s="188"/>
      <c r="AK864" s="299"/>
    </row>
    <row r="865" spans="2:37" ht="13">
      <c r="B865" s="294"/>
      <c r="C865" s="294"/>
      <c r="D865" s="294"/>
      <c r="E865" s="294"/>
      <c r="F865" s="294"/>
      <c r="G865" s="294"/>
      <c r="H865" s="294"/>
      <c r="P865" s="295"/>
      <c r="W865" s="295"/>
      <c r="AE865" s="188"/>
      <c r="AG865" s="188"/>
      <c r="AH865" s="188"/>
      <c r="AI865" s="188"/>
      <c r="AJ865" s="188"/>
      <c r="AK865" s="299"/>
    </row>
    <row r="866" spans="2:37" ht="13">
      <c r="B866" s="294"/>
      <c r="C866" s="294"/>
      <c r="D866" s="294"/>
      <c r="E866" s="294"/>
      <c r="F866" s="294"/>
      <c r="G866" s="294"/>
      <c r="H866" s="294"/>
      <c r="P866" s="295"/>
      <c r="W866" s="295"/>
      <c r="AE866" s="188"/>
      <c r="AG866" s="188"/>
      <c r="AH866" s="188"/>
      <c r="AI866" s="188"/>
      <c r="AJ866" s="188"/>
      <c r="AK866" s="299"/>
    </row>
    <row r="867" spans="2:37" ht="13">
      <c r="B867" s="294"/>
      <c r="C867" s="294"/>
      <c r="D867" s="294"/>
      <c r="E867" s="294"/>
      <c r="F867" s="294"/>
      <c r="G867" s="294"/>
      <c r="H867" s="294"/>
      <c r="P867" s="295"/>
      <c r="W867" s="295"/>
      <c r="AE867" s="188"/>
      <c r="AG867" s="188"/>
      <c r="AH867" s="188"/>
      <c r="AI867" s="188"/>
      <c r="AJ867" s="188"/>
      <c r="AK867" s="299"/>
    </row>
    <row r="868" spans="2:37" ht="13">
      <c r="B868" s="294"/>
      <c r="C868" s="294"/>
      <c r="D868" s="294"/>
      <c r="E868" s="294"/>
      <c r="F868" s="294"/>
      <c r="G868" s="294"/>
      <c r="H868" s="294"/>
      <c r="P868" s="295"/>
      <c r="W868" s="295"/>
      <c r="AE868" s="188"/>
      <c r="AG868" s="188"/>
      <c r="AH868" s="188"/>
      <c r="AI868" s="188"/>
      <c r="AJ868" s="188"/>
      <c r="AK868" s="299"/>
    </row>
    <row r="869" spans="2:37" ht="13">
      <c r="B869" s="294"/>
      <c r="C869" s="294"/>
      <c r="D869" s="294"/>
      <c r="E869" s="294"/>
      <c r="F869" s="294"/>
      <c r="G869" s="294"/>
      <c r="H869" s="294"/>
      <c r="P869" s="295"/>
      <c r="W869" s="295"/>
      <c r="AE869" s="188"/>
      <c r="AG869" s="188"/>
      <c r="AH869" s="188"/>
      <c r="AI869" s="188"/>
      <c r="AJ869" s="188"/>
      <c r="AK869" s="299"/>
    </row>
    <row r="870" spans="2:37" ht="13">
      <c r="B870" s="294"/>
      <c r="C870" s="294"/>
      <c r="D870" s="294"/>
      <c r="E870" s="294"/>
      <c r="F870" s="294"/>
      <c r="G870" s="294"/>
      <c r="H870" s="294"/>
      <c r="P870" s="295"/>
      <c r="W870" s="295"/>
      <c r="AE870" s="188"/>
      <c r="AG870" s="188"/>
      <c r="AH870" s="188"/>
      <c r="AI870" s="188"/>
      <c r="AJ870" s="188"/>
      <c r="AK870" s="299"/>
    </row>
    <row r="871" spans="2:37" ht="13">
      <c r="B871" s="294"/>
      <c r="C871" s="294"/>
      <c r="D871" s="294"/>
      <c r="E871" s="294"/>
      <c r="F871" s="294"/>
      <c r="G871" s="294"/>
      <c r="H871" s="294"/>
      <c r="P871" s="295"/>
      <c r="W871" s="295"/>
      <c r="AE871" s="188"/>
      <c r="AG871" s="188"/>
      <c r="AH871" s="188"/>
      <c r="AI871" s="188"/>
      <c r="AJ871" s="188"/>
      <c r="AK871" s="299"/>
    </row>
    <row r="872" spans="2:37" ht="13">
      <c r="B872" s="294"/>
      <c r="C872" s="294"/>
      <c r="D872" s="294"/>
      <c r="E872" s="294"/>
      <c r="F872" s="294"/>
      <c r="G872" s="294"/>
      <c r="H872" s="294"/>
      <c r="P872" s="295"/>
      <c r="W872" s="295"/>
      <c r="AE872" s="188"/>
      <c r="AG872" s="188"/>
      <c r="AH872" s="188"/>
      <c r="AI872" s="188"/>
      <c r="AJ872" s="188"/>
      <c r="AK872" s="299"/>
    </row>
    <row r="873" spans="2:37" ht="13">
      <c r="B873" s="294"/>
      <c r="C873" s="294"/>
      <c r="D873" s="294"/>
      <c r="E873" s="294"/>
      <c r="F873" s="294"/>
      <c r="G873" s="294"/>
      <c r="H873" s="294"/>
      <c r="P873" s="295"/>
      <c r="W873" s="295"/>
      <c r="AE873" s="188"/>
      <c r="AG873" s="188"/>
      <c r="AH873" s="188"/>
      <c r="AI873" s="188"/>
      <c r="AJ873" s="188"/>
      <c r="AK873" s="299"/>
    </row>
    <row r="874" spans="2:37" ht="13">
      <c r="B874" s="294"/>
      <c r="C874" s="294"/>
      <c r="D874" s="294"/>
      <c r="E874" s="294"/>
      <c r="F874" s="294"/>
      <c r="G874" s="294"/>
      <c r="H874" s="294"/>
      <c r="P874" s="295"/>
      <c r="W874" s="295"/>
      <c r="AE874" s="188"/>
      <c r="AG874" s="188"/>
      <c r="AH874" s="188"/>
      <c r="AI874" s="188"/>
      <c r="AJ874" s="188"/>
      <c r="AK874" s="299"/>
    </row>
    <row r="875" spans="2:37" ht="13">
      <c r="B875" s="294"/>
      <c r="C875" s="294"/>
      <c r="D875" s="294"/>
      <c r="E875" s="294"/>
      <c r="F875" s="294"/>
      <c r="G875" s="294"/>
      <c r="H875" s="294"/>
      <c r="P875" s="295"/>
      <c r="W875" s="295"/>
      <c r="AE875" s="188"/>
      <c r="AG875" s="188"/>
      <c r="AH875" s="188"/>
      <c r="AI875" s="188"/>
      <c r="AJ875" s="188"/>
      <c r="AK875" s="299"/>
    </row>
    <row r="876" spans="2:37" ht="13">
      <c r="B876" s="294"/>
      <c r="C876" s="294"/>
      <c r="D876" s="294"/>
      <c r="E876" s="294"/>
      <c r="F876" s="294"/>
      <c r="G876" s="294"/>
      <c r="H876" s="294"/>
      <c r="P876" s="295"/>
      <c r="W876" s="295"/>
      <c r="AE876" s="188"/>
      <c r="AG876" s="188"/>
      <c r="AH876" s="188"/>
      <c r="AI876" s="188"/>
      <c r="AJ876" s="188"/>
      <c r="AK876" s="299"/>
    </row>
    <row r="877" spans="2:37" ht="13">
      <c r="B877" s="294"/>
      <c r="C877" s="294"/>
      <c r="D877" s="294"/>
      <c r="E877" s="294"/>
      <c r="F877" s="294"/>
      <c r="G877" s="294"/>
      <c r="H877" s="294"/>
      <c r="P877" s="295"/>
      <c r="W877" s="295"/>
      <c r="AE877" s="188"/>
      <c r="AG877" s="188"/>
      <c r="AH877" s="188"/>
      <c r="AI877" s="188"/>
      <c r="AJ877" s="188"/>
      <c r="AK877" s="299"/>
    </row>
    <row r="878" spans="2:37" ht="13">
      <c r="B878" s="294"/>
      <c r="C878" s="294"/>
      <c r="D878" s="294"/>
      <c r="E878" s="294"/>
      <c r="F878" s="294"/>
      <c r="G878" s="294"/>
      <c r="H878" s="294"/>
      <c r="P878" s="295"/>
      <c r="W878" s="295"/>
      <c r="AE878" s="188"/>
      <c r="AG878" s="188"/>
      <c r="AH878" s="188"/>
      <c r="AI878" s="188"/>
      <c r="AJ878" s="188"/>
      <c r="AK878" s="299"/>
    </row>
    <row r="879" spans="2:37" ht="13">
      <c r="B879" s="294"/>
      <c r="C879" s="294"/>
      <c r="D879" s="294"/>
      <c r="E879" s="294"/>
      <c r="F879" s="294"/>
      <c r="G879" s="294"/>
      <c r="H879" s="294"/>
      <c r="P879" s="295"/>
      <c r="W879" s="295"/>
      <c r="AE879" s="188"/>
      <c r="AG879" s="188"/>
      <c r="AH879" s="188"/>
      <c r="AI879" s="188"/>
      <c r="AJ879" s="188"/>
      <c r="AK879" s="299"/>
    </row>
    <row r="880" spans="2:37" ht="13">
      <c r="B880" s="294"/>
      <c r="C880" s="294"/>
      <c r="D880" s="294"/>
      <c r="E880" s="294"/>
      <c r="F880" s="294"/>
      <c r="G880" s="294"/>
      <c r="H880" s="294"/>
      <c r="P880" s="295"/>
      <c r="W880" s="295"/>
      <c r="AE880" s="188"/>
      <c r="AG880" s="188"/>
      <c r="AH880" s="188"/>
      <c r="AI880" s="188"/>
      <c r="AJ880" s="188"/>
      <c r="AK880" s="299"/>
    </row>
    <row r="881" spans="2:37" ht="13">
      <c r="B881" s="294"/>
      <c r="C881" s="294"/>
      <c r="D881" s="294"/>
      <c r="E881" s="294"/>
      <c r="F881" s="294"/>
      <c r="G881" s="294"/>
      <c r="H881" s="294"/>
      <c r="P881" s="295"/>
      <c r="W881" s="295"/>
      <c r="AE881" s="188"/>
      <c r="AG881" s="188"/>
      <c r="AH881" s="188"/>
      <c r="AI881" s="188"/>
      <c r="AJ881" s="188"/>
      <c r="AK881" s="299"/>
    </row>
    <row r="882" spans="2:37" ht="13">
      <c r="B882" s="294"/>
      <c r="C882" s="294"/>
      <c r="D882" s="294"/>
      <c r="E882" s="294"/>
      <c r="F882" s="294"/>
      <c r="G882" s="294"/>
      <c r="H882" s="294"/>
      <c r="P882" s="295"/>
      <c r="W882" s="295"/>
      <c r="AE882" s="188"/>
      <c r="AG882" s="188"/>
      <c r="AH882" s="188"/>
      <c r="AI882" s="188"/>
      <c r="AJ882" s="188"/>
      <c r="AK882" s="299"/>
    </row>
    <row r="883" spans="2:37" ht="13">
      <c r="B883" s="294"/>
      <c r="C883" s="294"/>
      <c r="D883" s="294"/>
      <c r="E883" s="294"/>
      <c r="F883" s="294"/>
      <c r="G883" s="294"/>
      <c r="H883" s="294"/>
      <c r="P883" s="295"/>
      <c r="W883" s="295"/>
      <c r="AE883" s="188"/>
      <c r="AG883" s="188"/>
      <c r="AH883" s="188"/>
      <c r="AI883" s="188"/>
      <c r="AJ883" s="188"/>
      <c r="AK883" s="299"/>
    </row>
    <row r="884" spans="2:37" ht="13">
      <c r="B884" s="294"/>
      <c r="C884" s="294"/>
      <c r="D884" s="294"/>
      <c r="E884" s="294"/>
      <c r="F884" s="294"/>
      <c r="G884" s="294"/>
      <c r="H884" s="294"/>
      <c r="P884" s="295"/>
      <c r="W884" s="295"/>
      <c r="AE884" s="188"/>
      <c r="AG884" s="188"/>
      <c r="AH884" s="188"/>
      <c r="AI884" s="188"/>
      <c r="AJ884" s="188"/>
      <c r="AK884" s="299"/>
    </row>
    <row r="885" spans="2:37" ht="13">
      <c r="B885" s="294"/>
      <c r="C885" s="294"/>
      <c r="D885" s="294"/>
      <c r="E885" s="294"/>
      <c r="F885" s="294"/>
      <c r="G885" s="294"/>
      <c r="H885" s="294"/>
      <c r="P885" s="295"/>
      <c r="W885" s="295"/>
      <c r="AE885" s="188"/>
      <c r="AG885" s="188"/>
      <c r="AH885" s="188"/>
      <c r="AI885" s="188"/>
      <c r="AJ885" s="188"/>
      <c r="AK885" s="299"/>
    </row>
    <row r="886" spans="2:37" ht="13">
      <c r="B886" s="294"/>
      <c r="C886" s="294"/>
      <c r="D886" s="294"/>
      <c r="E886" s="294"/>
      <c r="F886" s="294"/>
      <c r="G886" s="294"/>
      <c r="H886" s="294"/>
      <c r="P886" s="295"/>
      <c r="W886" s="295"/>
      <c r="AE886" s="188"/>
      <c r="AG886" s="188"/>
      <c r="AH886" s="188"/>
      <c r="AI886" s="188"/>
      <c r="AJ886" s="188"/>
      <c r="AK886" s="299"/>
    </row>
    <row r="887" spans="2:37" ht="13">
      <c r="B887" s="294"/>
      <c r="C887" s="294"/>
      <c r="D887" s="294"/>
      <c r="E887" s="294"/>
      <c r="F887" s="294"/>
      <c r="G887" s="294"/>
      <c r="H887" s="294"/>
      <c r="P887" s="295"/>
      <c r="W887" s="295"/>
      <c r="AE887" s="188"/>
      <c r="AG887" s="188"/>
      <c r="AH887" s="188"/>
      <c r="AI887" s="188"/>
      <c r="AJ887" s="188"/>
      <c r="AK887" s="299"/>
    </row>
    <row r="888" spans="2:37" ht="13">
      <c r="B888" s="294"/>
      <c r="C888" s="294"/>
      <c r="D888" s="294"/>
      <c r="E888" s="294"/>
      <c r="F888" s="294"/>
      <c r="G888" s="294"/>
      <c r="H888" s="294"/>
      <c r="P888" s="295"/>
      <c r="W888" s="295"/>
      <c r="AE888" s="188"/>
      <c r="AG888" s="188"/>
      <c r="AH888" s="188"/>
      <c r="AI888" s="188"/>
      <c r="AJ888" s="188"/>
      <c r="AK888" s="299"/>
    </row>
    <row r="889" spans="2:37" ht="13">
      <c r="B889" s="294"/>
      <c r="C889" s="294"/>
      <c r="D889" s="294"/>
      <c r="E889" s="294"/>
      <c r="F889" s="294"/>
      <c r="G889" s="294"/>
      <c r="H889" s="294"/>
      <c r="P889" s="295"/>
      <c r="W889" s="295"/>
      <c r="AE889" s="188"/>
      <c r="AG889" s="188"/>
      <c r="AH889" s="188"/>
      <c r="AI889" s="188"/>
      <c r="AJ889" s="188"/>
      <c r="AK889" s="299"/>
    </row>
    <row r="890" spans="2:37" ht="13">
      <c r="B890" s="294"/>
      <c r="C890" s="294"/>
      <c r="D890" s="294"/>
      <c r="E890" s="294"/>
      <c r="F890" s="294"/>
      <c r="G890" s="294"/>
      <c r="H890" s="294"/>
      <c r="P890" s="295"/>
      <c r="W890" s="295"/>
      <c r="AE890" s="188"/>
      <c r="AG890" s="188"/>
      <c r="AH890" s="188"/>
      <c r="AI890" s="188"/>
      <c r="AJ890" s="188"/>
      <c r="AK890" s="299"/>
    </row>
    <row r="891" spans="2:37" ht="13">
      <c r="B891" s="294"/>
      <c r="C891" s="294"/>
      <c r="D891" s="294"/>
      <c r="E891" s="294"/>
      <c r="F891" s="294"/>
      <c r="G891" s="294"/>
      <c r="H891" s="294"/>
      <c r="P891" s="295"/>
      <c r="W891" s="295"/>
      <c r="AE891" s="188"/>
      <c r="AG891" s="188"/>
      <c r="AH891" s="188"/>
      <c r="AI891" s="188"/>
      <c r="AJ891" s="188"/>
      <c r="AK891" s="299"/>
    </row>
    <row r="892" spans="2:37" ht="13">
      <c r="B892" s="294"/>
      <c r="C892" s="294"/>
      <c r="D892" s="294"/>
      <c r="E892" s="294"/>
      <c r="F892" s="294"/>
      <c r="G892" s="294"/>
      <c r="H892" s="294"/>
      <c r="P892" s="295"/>
      <c r="W892" s="295"/>
      <c r="AE892" s="188"/>
      <c r="AG892" s="188"/>
      <c r="AH892" s="188"/>
      <c r="AI892" s="188"/>
      <c r="AJ892" s="188"/>
      <c r="AK892" s="299"/>
    </row>
    <row r="893" spans="2:37" ht="13">
      <c r="B893" s="294"/>
      <c r="C893" s="294"/>
      <c r="D893" s="294"/>
      <c r="E893" s="294"/>
      <c r="F893" s="294"/>
      <c r="G893" s="294"/>
      <c r="H893" s="294"/>
      <c r="P893" s="295"/>
      <c r="W893" s="295"/>
      <c r="AE893" s="188"/>
      <c r="AG893" s="188"/>
      <c r="AH893" s="188"/>
      <c r="AI893" s="188"/>
      <c r="AJ893" s="188"/>
      <c r="AK893" s="299"/>
    </row>
    <row r="894" spans="2:37" ht="13">
      <c r="B894" s="294"/>
      <c r="C894" s="294"/>
      <c r="D894" s="294"/>
      <c r="E894" s="294"/>
      <c r="F894" s="294"/>
      <c r="G894" s="294"/>
      <c r="H894" s="294"/>
      <c r="P894" s="295"/>
      <c r="W894" s="295"/>
      <c r="AE894" s="188"/>
      <c r="AG894" s="188"/>
      <c r="AH894" s="188"/>
      <c r="AI894" s="188"/>
      <c r="AJ894" s="188"/>
      <c r="AK894" s="299"/>
    </row>
    <row r="895" spans="2:37" ht="13">
      <c r="B895" s="294"/>
      <c r="C895" s="294"/>
      <c r="D895" s="294"/>
      <c r="E895" s="294"/>
      <c r="F895" s="294"/>
      <c r="G895" s="294"/>
      <c r="H895" s="294"/>
      <c r="P895" s="295"/>
      <c r="W895" s="295"/>
      <c r="AE895" s="188"/>
      <c r="AG895" s="188"/>
      <c r="AH895" s="188"/>
      <c r="AI895" s="188"/>
      <c r="AJ895" s="188"/>
      <c r="AK895" s="299"/>
    </row>
    <row r="896" spans="2:37" ht="13">
      <c r="B896" s="294"/>
      <c r="C896" s="294"/>
      <c r="D896" s="294"/>
      <c r="E896" s="294"/>
      <c r="F896" s="294"/>
      <c r="G896" s="294"/>
      <c r="H896" s="294"/>
      <c r="P896" s="295"/>
      <c r="W896" s="295"/>
      <c r="AE896" s="188"/>
      <c r="AG896" s="188"/>
      <c r="AH896" s="188"/>
      <c r="AI896" s="188"/>
      <c r="AJ896" s="188"/>
      <c r="AK896" s="299"/>
    </row>
    <row r="897" spans="2:37" ht="13">
      <c r="B897" s="294"/>
      <c r="C897" s="294"/>
      <c r="D897" s="294"/>
      <c r="E897" s="294"/>
      <c r="F897" s="294"/>
      <c r="G897" s="294"/>
      <c r="H897" s="294"/>
      <c r="P897" s="295"/>
      <c r="W897" s="295"/>
      <c r="AE897" s="188"/>
      <c r="AG897" s="188"/>
      <c r="AH897" s="188"/>
      <c r="AI897" s="188"/>
      <c r="AJ897" s="188"/>
      <c r="AK897" s="299"/>
    </row>
    <row r="898" spans="2:37" ht="13">
      <c r="B898" s="294"/>
      <c r="C898" s="294"/>
      <c r="D898" s="294"/>
      <c r="E898" s="294"/>
      <c r="F898" s="294"/>
      <c r="G898" s="294"/>
      <c r="H898" s="294"/>
      <c r="P898" s="295"/>
      <c r="W898" s="295"/>
      <c r="AE898" s="188"/>
      <c r="AG898" s="188"/>
      <c r="AH898" s="188"/>
      <c r="AI898" s="188"/>
      <c r="AJ898" s="188"/>
      <c r="AK898" s="299"/>
    </row>
    <row r="899" spans="2:37" ht="13">
      <c r="B899" s="294"/>
      <c r="C899" s="294"/>
      <c r="D899" s="294"/>
      <c r="E899" s="294"/>
      <c r="F899" s="294"/>
      <c r="G899" s="294"/>
      <c r="H899" s="294"/>
      <c r="P899" s="295"/>
      <c r="W899" s="295"/>
      <c r="AE899" s="188"/>
      <c r="AG899" s="188"/>
      <c r="AH899" s="188"/>
      <c r="AI899" s="188"/>
      <c r="AJ899" s="188"/>
      <c r="AK899" s="299"/>
    </row>
    <row r="900" spans="2:37" ht="13">
      <c r="B900" s="294"/>
      <c r="C900" s="294"/>
      <c r="D900" s="294"/>
      <c r="E900" s="294"/>
      <c r="F900" s="294"/>
      <c r="G900" s="294"/>
      <c r="H900" s="294"/>
      <c r="P900" s="295"/>
      <c r="W900" s="295"/>
      <c r="AE900" s="188"/>
      <c r="AG900" s="188"/>
      <c r="AH900" s="188"/>
      <c r="AI900" s="188"/>
      <c r="AJ900" s="188"/>
      <c r="AK900" s="299"/>
    </row>
    <row r="901" spans="2:37" ht="13">
      <c r="B901" s="294"/>
      <c r="C901" s="294"/>
      <c r="D901" s="294"/>
      <c r="E901" s="294"/>
      <c r="F901" s="294"/>
      <c r="G901" s="294"/>
      <c r="H901" s="294"/>
      <c r="P901" s="295"/>
      <c r="W901" s="295"/>
      <c r="AE901" s="188"/>
      <c r="AG901" s="188"/>
      <c r="AH901" s="188"/>
      <c r="AI901" s="188"/>
      <c r="AJ901" s="188"/>
      <c r="AK901" s="299"/>
    </row>
    <row r="902" spans="2:37" ht="13">
      <c r="B902" s="294"/>
      <c r="C902" s="294"/>
      <c r="D902" s="294"/>
      <c r="E902" s="294"/>
      <c r="F902" s="294"/>
      <c r="G902" s="294"/>
      <c r="H902" s="294"/>
      <c r="P902" s="295"/>
      <c r="W902" s="295"/>
      <c r="AE902" s="188"/>
      <c r="AG902" s="188"/>
      <c r="AH902" s="188"/>
      <c r="AI902" s="188"/>
      <c r="AJ902" s="188"/>
      <c r="AK902" s="299"/>
    </row>
    <row r="903" spans="2:37" ht="13">
      <c r="B903" s="294"/>
      <c r="C903" s="294"/>
      <c r="D903" s="294"/>
      <c r="E903" s="294"/>
      <c r="F903" s="294"/>
      <c r="G903" s="294"/>
      <c r="H903" s="294"/>
      <c r="P903" s="295"/>
      <c r="W903" s="295"/>
      <c r="AE903" s="188"/>
      <c r="AG903" s="188"/>
      <c r="AH903" s="188"/>
      <c r="AI903" s="188"/>
      <c r="AJ903" s="188"/>
      <c r="AK903" s="299"/>
    </row>
    <row r="904" spans="2:37" ht="13">
      <c r="B904" s="294"/>
      <c r="C904" s="294"/>
      <c r="D904" s="294"/>
      <c r="E904" s="294"/>
      <c r="F904" s="294"/>
      <c r="G904" s="294"/>
      <c r="H904" s="294"/>
      <c r="P904" s="295"/>
      <c r="W904" s="295"/>
      <c r="AE904" s="188"/>
      <c r="AG904" s="188"/>
      <c r="AH904" s="188"/>
      <c r="AI904" s="188"/>
      <c r="AJ904" s="188"/>
      <c r="AK904" s="299"/>
    </row>
    <row r="905" spans="2:37" ht="13">
      <c r="B905" s="294"/>
      <c r="C905" s="294"/>
      <c r="D905" s="294"/>
      <c r="E905" s="294"/>
      <c r="F905" s="294"/>
      <c r="G905" s="294"/>
      <c r="H905" s="294"/>
      <c r="P905" s="295"/>
      <c r="W905" s="295"/>
      <c r="AE905" s="188"/>
      <c r="AG905" s="188"/>
      <c r="AH905" s="188"/>
      <c r="AI905" s="188"/>
      <c r="AJ905" s="188"/>
      <c r="AK905" s="299"/>
    </row>
    <row r="906" spans="2:37" ht="13">
      <c r="B906" s="294"/>
      <c r="C906" s="294"/>
      <c r="D906" s="294"/>
      <c r="E906" s="294"/>
      <c r="F906" s="294"/>
      <c r="G906" s="294"/>
      <c r="H906" s="294"/>
      <c r="P906" s="295"/>
      <c r="W906" s="295"/>
      <c r="AE906" s="188"/>
      <c r="AG906" s="188"/>
      <c r="AH906" s="188"/>
      <c r="AI906" s="188"/>
      <c r="AJ906" s="188"/>
      <c r="AK906" s="299"/>
    </row>
    <row r="907" spans="2:37" ht="13">
      <c r="B907" s="294"/>
      <c r="C907" s="294"/>
      <c r="D907" s="294"/>
      <c r="E907" s="294"/>
      <c r="F907" s="294"/>
      <c r="G907" s="294"/>
      <c r="H907" s="294"/>
      <c r="P907" s="295"/>
      <c r="W907" s="295"/>
      <c r="AE907" s="188"/>
      <c r="AG907" s="188"/>
      <c r="AH907" s="188"/>
      <c r="AI907" s="188"/>
      <c r="AJ907" s="188"/>
      <c r="AK907" s="299"/>
    </row>
    <row r="908" spans="2:37" ht="13">
      <c r="B908" s="294"/>
      <c r="C908" s="294"/>
      <c r="D908" s="294"/>
      <c r="E908" s="294"/>
      <c r="F908" s="294"/>
      <c r="G908" s="294"/>
      <c r="H908" s="294"/>
      <c r="P908" s="295"/>
      <c r="W908" s="295"/>
      <c r="AE908" s="188"/>
      <c r="AG908" s="188"/>
      <c r="AH908" s="188"/>
      <c r="AI908" s="188"/>
      <c r="AJ908" s="188"/>
      <c r="AK908" s="299"/>
    </row>
    <row r="909" spans="2:37" ht="13">
      <c r="B909" s="294"/>
      <c r="C909" s="294"/>
      <c r="D909" s="294"/>
      <c r="E909" s="294"/>
      <c r="F909" s="294"/>
      <c r="G909" s="294"/>
      <c r="H909" s="294"/>
      <c r="P909" s="295"/>
      <c r="W909" s="295"/>
      <c r="AE909" s="188"/>
      <c r="AG909" s="188"/>
      <c r="AH909" s="188"/>
      <c r="AI909" s="188"/>
      <c r="AJ909" s="188"/>
      <c r="AK909" s="299"/>
    </row>
    <row r="910" spans="2:37" ht="13">
      <c r="B910" s="294"/>
      <c r="C910" s="294"/>
      <c r="D910" s="294"/>
      <c r="E910" s="294"/>
      <c r="F910" s="294"/>
      <c r="G910" s="294"/>
      <c r="H910" s="294"/>
      <c r="P910" s="295"/>
      <c r="W910" s="295"/>
      <c r="AE910" s="188"/>
      <c r="AG910" s="188"/>
      <c r="AH910" s="188"/>
      <c r="AI910" s="188"/>
      <c r="AJ910" s="188"/>
      <c r="AK910" s="299"/>
    </row>
    <row r="911" spans="2:37" ht="13">
      <c r="B911" s="294"/>
      <c r="C911" s="294"/>
      <c r="D911" s="294"/>
      <c r="E911" s="294"/>
      <c r="F911" s="294"/>
      <c r="G911" s="294"/>
      <c r="H911" s="294"/>
      <c r="P911" s="295"/>
      <c r="W911" s="295"/>
      <c r="AE911" s="188"/>
      <c r="AG911" s="188"/>
      <c r="AH911" s="188"/>
      <c r="AI911" s="188"/>
      <c r="AJ911" s="188"/>
      <c r="AK911" s="299"/>
    </row>
    <row r="912" spans="2:37" ht="13">
      <c r="B912" s="294"/>
      <c r="C912" s="294"/>
      <c r="D912" s="294"/>
      <c r="E912" s="294"/>
      <c r="F912" s="294"/>
      <c r="G912" s="294"/>
      <c r="H912" s="294"/>
      <c r="P912" s="295"/>
      <c r="W912" s="295"/>
      <c r="AE912" s="188"/>
      <c r="AG912" s="188"/>
      <c r="AH912" s="188"/>
      <c r="AI912" s="188"/>
      <c r="AJ912" s="188"/>
      <c r="AK912" s="299"/>
    </row>
    <row r="913" spans="2:37" ht="13">
      <c r="B913" s="294"/>
      <c r="C913" s="294"/>
      <c r="D913" s="294"/>
      <c r="E913" s="294"/>
      <c r="F913" s="294"/>
      <c r="G913" s="294"/>
      <c r="H913" s="294"/>
      <c r="P913" s="295"/>
      <c r="W913" s="295"/>
      <c r="AE913" s="188"/>
      <c r="AG913" s="188"/>
      <c r="AH913" s="188"/>
      <c r="AI913" s="188"/>
      <c r="AJ913" s="188"/>
      <c r="AK913" s="299"/>
    </row>
    <row r="914" spans="2:37" ht="13">
      <c r="B914" s="294"/>
      <c r="C914" s="294"/>
      <c r="D914" s="294"/>
      <c r="E914" s="294"/>
      <c r="F914" s="294"/>
      <c r="G914" s="294"/>
      <c r="H914" s="294"/>
      <c r="P914" s="295"/>
      <c r="W914" s="295"/>
      <c r="AE914" s="188"/>
      <c r="AG914" s="188"/>
      <c r="AH914" s="188"/>
      <c r="AI914" s="188"/>
      <c r="AJ914" s="188"/>
      <c r="AK914" s="299"/>
    </row>
    <row r="915" spans="2:37" ht="13">
      <c r="B915" s="294"/>
      <c r="C915" s="294"/>
      <c r="D915" s="294"/>
      <c r="E915" s="294"/>
      <c r="F915" s="294"/>
      <c r="G915" s="294"/>
      <c r="H915" s="294"/>
      <c r="P915" s="295"/>
      <c r="W915" s="295"/>
      <c r="AE915" s="188"/>
      <c r="AG915" s="188"/>
      <c r="AH915" s="188"/>
      <c r="AI915" s="188"/>
      <c r="AJ915" s="188"/>
      <c r="AK915" s="299"/>
    </row>
    <row r="916" spans="2:37" ht="13">
      <c r="B916" s="294"/>
      <c r="C916" s="294"/>
      <c r="D916" s="294"/>
      <c r="E916" s="294"/>
      <c r="F916" s="294"/>
      <c r="G916" s="294"/>
      <c r="H916" s="294"/>
      <c r="P916" s="295"/>
      <c r="W916" s="295"/>
      <c r="AE916" s="188"/>
      <c r="AG916" s="188"/>
      <c r="AH916" s="188"/>
      <c r="AI916" s="188"/>
      <c r="AJ916" s="188"/>
      <c r="AK916" s="299"/>
    </row>
    <row r="917" spans="2:37" ht="13">
      <c r="B917" s="294"/>
      <c r="C917" s="294"/>
      <c r="D917" s="294"/>
      <c r="E917" s="294"/>
      <c r="F917" s="294"/>
      <c r="G917" s="294"/>
      <c r="H917" s="294"/>
      <c r="P917" s="295"/>
      <c r="W917" s="295"/>
      <c r="AE917" s="188"/>
      <c r="AG917" s="188"/>
      <c r="AH917" s="188"/>
      <c r="AI917" s="188"/>
      <c r="AJ917" s="188"/>
      <c r="AK917" s="299"/>
    </row>
    <row r="918" spans="2:37" ht="13">
      <c r="B918" s="294"/>
      <c r="C918" s="294"/>
      <c r="D918" s="294"/>
      <c r="E918" s="294"/>
      <c r="F918" s="294"/>
      <c r="G918" s="294"/>
      <c r="H918" s="294"/>
      <c r="P918" s="295"/>
      <c r="W918" s="295"/>
      <c r="AE918" s="188"/>
      <c r="AG918" s="188"/>
      <c r="AH918" s="188"/>
      <c r="AI918" s="188"/>
      <c r="AJ918" s="188"/>
      <c r="AK918" s="299"/>
    </row>
    <row r="919" spans="2:37" ht="13">
      <c r="B919" s="294"/>
      <c r="C919" s="294"/>
      <c r="D919" s="294"/>
      <c r="E919" s="294"/>
      <c r="F919" s="294"/>
      <c r="G919" s="294"/>
      <c r="H919" s="294"/>
      <c r="P919" s="295"/>
      <c r="W919" s="295"/>
      <c r="AE919" s="188"/>
      <c r="AG919" s="188"/>
      <c r="AH919" s="188"/>
      <c r="AI919" s="188"/>
      <c r="AJ919" s="188"/>
      <c r="AK919" s="299"/>
    </row>
    <row r="920" spans="2:37" ht="13">
      <c r="B920" s="294"/>
      <c r="C920" s="294"/>
      <c r="D920" s="294"/>
      <c r="E920" s="294"/>
      <c r="F920" s="294"/>
      <c r="G920" s="294"/>
      <c r="H920" s="294"/>
      <c r="P920" s="295"/>
      <c r="W920" s="295"/>
      <c r="AE920" s="188"/>
      <c r="AG920" s="188"/>
      <c r="AH920" s="188"/>
      <c r="AI920" s="188"/>
      <c r="AJ920" s="188"/>
      <c r="AK920" s="299"/>
    </row>
    <row r="921" spans="2:37" ht="13">
      <c r="B921" s="294"/>
      <c r="C921" s="294"/>
      <c r="D921" s="294"/>
      <c r="E921" s="294"/>
      <c r="F921" s="294"/>
      <c r="G921" s="294"/>
      <c r="H921" s="294"/>
      <c r="P921" s="295"/>
      <c r="W921" s="295"/>
      <c r="AE921" s="188"/>
      <c r="AG921" s="188"/>
      <c r="AH921" s="188"/>
      <c r="AI921" s="188"/>
      <c r="AJ921" s="188"/>
      <c r="AK921" s="299"/>
    </row>
    <row r="922" spans="2:37" ht="13">
      <c r="B922" s="294"/>
      <c r="C922" s="294"/>
      <c r="D922" s="294"/>
      <c r="E922" s="294"/>
      <c r="F922" s="294"/>
      <c r="G922" s="294"/>
      <c r="H922" s="294"/>
      <c r="P922" s="295"/>
      <c r="W922" s="295"/>
      <c r="AE922" s="188"/>
      <c r="AG922" s="188"/>
      <c r="AH922" s="188"/>
      <c r="AI922" s="188"/>
      <c r="AJ922" s="188"/>
      <c r="AK922" s="299"/>
    </row>
    <row r="923" spans="2:37" ht="13">
      <c r="B923" s="294"/>
      <c r="C923" s="294"/>
      <c r="D923" s="294"/>
      <c r="E923" s="294"/>
      <c r="F923" s="294"/>
      <c r="G923" s="294"/>
      <c r="H923" s="294"/>
      <c r="P923" s="295"/>
      <c r="W923" s="295"/>
      <c r="AE923" s="188"/>
      <c r="AG923" s="188"/>
      <c r="AH923" s="188"/>
      <c r="AI923" s="188"/>
      <c r="AJ923" s="188"/>
      <c r="AK923" s="299"/>
    </row>
    <row r="924" spans="2:37" ht="13">
      <c r="B924" s="294"/>
      <c r="C924" s="294"/>
      <c r="D924" s="294"/>
      <c r="E924" s="294"/>
      <c r="F924" s="294"/>
      <c r="G924" s="294"/>
      <c r="H924" s="294"/>
      <c r="P924" s="295"/>
      <c r="W924" s="295"/>
      <c r="AE924" s="188"/>
      <c r="AG924" s="188"/>
      <c r="AH924" s="188"/>
      <c r="AI924" s="188"/>
      <c r="AJ924" s="188"/>
      <c r="AK924" s="299"/>
    </row>
    <row r="925" spans="2:37" ht="13">
      <c r="B925" s="294"/>
      <c r="C925" s="294"/>
      <c r="D925" s="294"/>
      <c r="E925" s="294"/>
      <c r="F925" s="294"/>
      <c r="G925" s="294"/>
      <c r="H925" s="294"/>
      <c r="P925" s="295"/>
      <c r="W925" s="295"/>
      <c r="AE925" s="188"/>
      <c r="AG925" s="188"/>
      <c r="AH925" s="188"/>
      <c r="AI925" s="188"/>
      <c r="AJ925" s="188"/>
      <c r="AK925" s="299"/>
    </row>
    <row r="926" spans="2:37" ht="13">
      <c r="B926" s="294"/>
      <c r="C926" s="294"/>
      <c r="D926" s="294"/>
      <c r="E926" s="294"/>
      <c r="F926" s="294"/>
      <c r="G926" s="294"/>
      <c r="H926" s="294"/>
      <c r="P926" s="295"/>
      <c r="W926" s="295"/>
      <c r="AE926" s="188"/>
      <c r="AG926" s="188"/>
      <c r="AH926" s="188"/>
      <c r="AI926" s="188"/>
      <c r="AJ926" s="188"/>
      <c r="AK926" s="299"/>
    </row>
    <row r="927" spans="2:37" ht="13">
      <c r="B927" s="294"/>
      <c r="C927" s="294"/>
      <c r="D927" s="294"/>
      <c r="E927" s="294"/>
      <c r="F927" s="294"/>
      <c r="G927" s="294"/>
      <c r="H927" s="294"/>
      <c r="P927" s="295"/>
      <c r="W927" s="295"/>
      <c r="AE927" s="188"/>
      <c r="AG927" s="188"/>
      <c r="AH927" s="188"/>
      <c r="AI927" s="188"/>
      <c r="AJ927" s="188"/>
      <c r="AK927" s="299"/>
    </row>
    <row r="928" spans="2:37" ht="13">
      <c r="B928" s="294"/>
      <c r="C928" s="294"/>
      <c r="D928" s="294"/>
      <c r="E928" s="294"/>
      <c r="F928" s="294"/>
      <c r="G928" s="294"/>
      <c r="H928" s="294"/>
      <c r="P928" s="295"/>
      <c r="W928" s="295"/>
      <c r="AE928" s="188"/>
      <c r="AG928" s="188"/>
      <c r="AH928" s="188"/>
      <c r="AI928" s="188"/>
      <c r="AJ928" s="188"/>
      <c r="AK928" s="299"/>
    </row>
    <row r="929" spans="2:37" ht="13">
      <c r="B929" s="294"/>
      <c r="C929" s="294"/>
      <c r="D929" s="294"/>
      <c r="E929" s="294"/>
      <c r="F929" s="294"/>
      <c r="G929" s="294"/>
      <c r="H929" s="294"/>
      <c r="P929" s="295"/>
      <c r="W929" s="295"/>
      <c r="AE929" s="188"/>
      <c r="AG929" s="188"/>
      <c r="AH929" s="188"/>
      <c r="AI929" s="188"/>
      <c r="AJ929" s="188"/>
      <c r="AK929" s="299"/>
    </row>
    <row r="930" spans="2:37" ht="13">
      <c r="B930" s="294"/>
      <c r="C930" s="294"/>
      <c r="D930" s="294"/>
      <c r="E930" s="294"/>
      <c r="F930" s="294"/>
      <c r="G930" s="294"/>
      <c r="H930" s="294"/>
      <c r="P930" s="295"/>
      <c r="W930" s="295"/>
      <c r="AE930" s="188"/>
      <c r="AG930" s="188"/>
      <c r="AH930" s="188"/>
      <c r="AI930" s="188"/>
      <c r="AJ930" s="188"/>
      <c r="AK930" s="299"/>
    </row>
    <row r="931" spans="2:37" ht="13">
      <c r="B931" s="294"/>
      <c r="C931" s="294"/>
      <c r="D931" s="294"/>
      <c r="E931" s="294"/>
      <c r="F931" s="294"/>
      <c r="G931" s="294"/>
      <c r="H931" s="294"/>
      <c r="P931" s="295"/>
      <c r="W931" s="295"/>
      <c r="AE931" s="188"/>
      <c r="AG931" s="188"/>
      <c r="AH931" s="188"/>
      <c r="AI931" s="188"/>
      <c r="AJ931" s="188"/>
      <c r="AK931" s="299"/>
    </row>
    <row r="932" spans="2:37" ht="13">
      <c r="B932" s="294"/>
      <c r="C932" s="294"/>
      <c r="D932" s="294"/>
      <c r="E932" s="294"/>
      <c r="F932" s="294"/>
      <c r="G932" s="294"/>
      <c r="H932" s="294"/>
      <c r="P932" s="295"/>
      <c r="W932" s="295"/>
      <c r="AE932" s="188"/>
      <c r="AG932" s="188"/>
      <c r="AH932" s="188"/>
      <c r="AI932" s="188"/>
      <c r="AJ932" s="188"/>
      <c r="AK932" s="299"/>
    </row>
    <row r="933" spans="2:37" ht="13">
      <c r="B933" s="294"/>
      <c r="C933" s="294"/>
      <c r="D933" s="294"/>
      <c r="E933" s="294"/>
      <c r="F933" s="294"/>
      <c r="G933" s="294"/>
      <c r="H933" s="294"/>
      <c r="P933" s="295"/>
      <c r="W933" s="295"/>
      <c r="AE933" s="188"/>
      <c r="AG933" s="188"/>
      <c r="AH933" s="188"/>
      <c r="AI933" s="188"/>
      <c r="AJ933" s="188"/>
      <c r="AK933" s="299"/>
    </row>
    <row r="934" spans="2:37" ht="13">
      <c r="B934" s="294"/>
      <c r="C934" s="294"/>
      <c r="D934" s="294"/>
      <c r="E934" s="294"/>
      <c r="F934" s="294"/>
      <c r="G934" s="294"/>
      <c r="H934" s="294"/>
      <c r="P934" s="295"/>
      <c r="W934" s="295"/>
      <c r="AE934" s="188"/>
      <c r="AG934" s="188"/>
      <c r="AH934" s="188"/>
      <c r="AI934" s="188"/>
      <c r="AJ934" s="188"/>
      <c r="AK934" s="299"/>
    </row>
    <row r="935" spans="2:37" ht="13">
      <c r="B935" s="294"/>
      <c r="C935" s="294"/>
      <c r="D935" s="294"/>
      <c r="E935" s="294"/>
      <c r="F935" s="294"/>
      <c r="G935" s="294"/>
      <c r="H935" s="294"/>
      <c r="P935" s="295"/>
      <c r="W935" s="295"/>
      <c r="AE935" s="188"/>
      <c r="AG935" s="188"/>
      <c r="AH935" s="188"/>
      <c r="AI935" s="188"/>
      <c r="AJ935" s="188"/>
      <c r="AK935" s="299"/>
    </row>
    <row r="936" spans="2:37" ht="13">
      <c r="B936" s="294"/>
      <c r="C936" s="294"/>
      <c r="D936" s="294"/>
      <c r="E936" s="294"/>
      <c r="F936" s="294"/>
      <c r="G936" s="294"/>
      <c r="H936" s="294"/>
      <c r="P936" s="295"/>
      <c r="W936" s="295"/>
      <c r="AE936" s="188"/>
      <c r="AG936" s="188"/>
      <c r="AH936" s="188"/>
      <c r="AI936" s="188"/>
      <c r="AJ936" s="188"/>
      <c r="AK936" s="299"/>
    </row>
    <row r="937" spans="2:37" ht="13">
      <c r="B937" s="294"/>
      <c r="C937" s="294"/>
      <c r="D937" s="294"/>
      <c r="E937" s="294"/>
      <c r="F937" s="294"/>
      <c r="G937" s="294"/>
      <c r="H937" s="294"/>
      <c r="P937" s="295"/>
      <c r="W937" s="295"/>
      <c r="AE937" s="188"/>
      <c r="AG937" s="188"/>
      <c r="AH937" s="188"/>
      <c r="AI937" s="188"/>
      <c r="AJ937" s="188"/>
      <c r="AK937" s="299"/>
    </row>
    <row r="938" spans="2:37" ht="13">
      <c r="B938" s="294"/>
      <c r="C938" s="294"/>
      <c r="D938" s="294"/>
      <c r="E938" s="294"/>
      <c r="F938" s="294"/>
      <c r="G938" s="294"/>
      <c r="H938" s="294"/>
      <c r="P938" s="295"/>
      <c r="W938" s="295"/>
      <c r="AE938" s="188"/>
      <c r="AG938" s="188"/>
      <c r="AH938" s="188"/>
      <c r="AI938" s="188"/>
      <c r="AJ938" s="188"/>
      <c r="AK938" s="299"/>
    </row>
    <row r="939" spans="2:37" ht="13">
      <c r="B939" s="294"/>
      <c r="C939" s="294"/>
      <c r="D939" s="294"/>
      <c r="E939" s="294"/>
      <c r="F939" s="294"/>
      <c r="G939" s="294"/>
      <c r="H939" s="294"/>
      <c r="P939" s="295"/>
      <c r="W939" s="295"/>
      <c r="AE939" s="188"/>
      <c r="AG939" s="188"/>
      <c r="AH939" s="188"/>
      <c r="AI939" s="188"/>
      <c r="AJ939" s="188"/>
      <c r="AK939" s="299"/>
    </row>
    <row r="940" spans="2:37" ht="13">
      <c r="B940" s="294"/>
      <c r="C940" s="294"/>
      <c r="D940" s="294"/>
      <c r="E940" s="294"/>
      <c r="F940" s="294"/>
      <c r="G940" s="294"/>
      <c r="H940" s="294"/>
      <c r="P940" s="295"/>
      <c r="W940" s="295"/>
      <c r="AE940" s="188"/>
      <c r="AG940" s="188"/>
      <c r="AH940" s="188"/>
      <c r="AI940" s="188"/>
      <c r="AJ940" s="188"/>
      <c r="AK940" s="299"/>
    </row>
    <row r="941" spans="2:37" ht="13">
      <c r="B941" s="294"/>
      <c r="C941" s="294"/>
      <c r="D941" s="294"/>
      <c r="E941" s="294"/>
      <c r="F941" s="294"/>
      <c r="G941" s="294"/>
      <c r="H941" s="294"/>
      <c r="P941" s="295"/>
      <c r="W941" s="295"/>
      <c r="AE941" s="188"/>
      <c r="AG941" s="188"/>
      <c r="AH941" s="188"/>
      <c r="AI941" s="188"/>
      <c r="AJ941" s="188"/>
      <c r="AK941" s="299"/>
    </row>
    <row r="942" spans="2:37" ht="13">
      <c r="B942" s="294"/>
      <c r="C942" s="294"/>
      <c r="D942" s="294"/>
      <c r="E942" s="294"/>
      <c r="F942" s="294"/>
      <c r="G942" s="294"/>
      <c r="H942" s="294"/>
      <c r="P942" s="295"/>
      <c r="W942" s="295"/>
      <c r="AE942" s="188"/>
      <c r="AG942" s="188"/>
      <c r="AH942" s="188"/>
      <c r="AI942" s="188"/>
      <c r="AJ942" s="188"/>
      <c r="AK942" s="299"/>
    </row>
    <row r="943" spans="2:37" ht="13">
      <c r="B943" s="294"/>
      <c r="C943" s="294"/>
      <c r="D943" s="294"/>
      <c r="E943" s="294"/>
      <c r="F943" s="294"/>
      <c r="G943" s="294"/>
      <c r="H943" s="294"/>
      <c r="P943" s="295"/>
      <c r="W943" s="295"/>
      <c r="AE943" s="188"/>
      <c r="AG943" s="188"/>
      <c r="AH943" s="188"/>
      <c r="AI943" s="188"/>
      <c r="AJ943" s="188"/>
      <c r="AK943" s="299"/>
    </row>
    <row r="944" spans="2:37" ht="13">
      <c r="B944" s="294"/>
      <c r="C944" s="294"/>
      <c r="D944" s="294"/>
      <c r="E944" s="294"/>
      <c r="F944" s="294"/>
      <c r="G944" s="294"/>
      <c r="H944" s="294"/>
      <c r="P944" s="295"/>
      <c r="W944" s="295"/>
      <c r="AE944" s="188"/>
      <c r="AG944" s="188"/>
      <c r="AH944" s="188"/>
      <c r="AI944" s="188"/>
      <c r="AJ944" s="188"/>
      <c r="AK944" s="299"/>
    </row>
    <row r="945" spans="2:37" ht="13">
      <c r="B945" s="294"/>
      <c r="C945" s="294"/>
      <c r="D945" s="294"/>
      <c r="E945" s="294"/>
      <c r="F945" s="294"/>
      <c r="G945" s="294"/>
      <c r="H945" s="294"/>
      <c r="P945" s="295"/>
      <c r="W945" s="295"/>
      <c r="AE945" s="188"/>
      <c r="AG945" s="188"/>
      <c r="AH945" s="188"/>
      <c r="AI945" s="188"/>
      <c r="AJ945" s="188"/>
      <c r="AK945" s="299"/>
    </row>
    <row r="946" spans="2:37" ht="13">
      <c r="B946" s="294"/>
      <c r="C946" s="294"/>
      <c r="D946" s="294"/>
      <c r="E946" s="294"/>
      <c r="F946" s="294"/>
      <c r="G946" s="294"/>
      <c r="H946" s="294"/>
      <c r="P946" s="295"/>
      <c r="W946" s="295"/>
      <c r="AE946" s="188"/>
      <c r="AG946" s="188"/>
      <c r="AH946" s="188"/>
      <c r="AI946" s="188"/>
      <c r="AJ946" s="188"/>
      <c r="AK946" s="299"/>
    </row>
    <row r="947" spans="2:37" ht="13">
      <c r="B947" s="294"/>
      <c r="C947" s="294"/>
      <c r="D947" s="294"/>
      <c r="E947" s="294"/>
      <c r="F947" s="294"/>
      <c r="G947" s="294"/>
      <c r="H947" s="294"/>
      <c r="P947" s="295"/>
      <c r="W947" s="295"/>
      <c r="AE947" s="188"/>
      <c r="AG947" s="188"/>
      <c r="AH947" s="188"/>
      <c r="AI947" s="188"/>
      <c r="AJ947" s="188"/>
      <c r="AK947" s="299"/>
    </row>
    <row r="948" spans="2:37" ht="13">
      <c r="B948" s="294"/>
      <c r="C948" s="294"/>
      <c r="D948" s="294"/>
      <c r="E948" s="294"/>
      <c r="F948" s="294"/>
      <c r="G948" s="294"/>
      <c r="H948" s="294"/>
      <c r="P948" s="295"/>
      <c r="W948" s="295"/>
      <c r="AE948" s="188"/>
      <c r="AG948" s="188"/>
      <c r="AH948" s="188"/>
      <c r="AI948" s="188"/>
      <c r="AJ948" s="188"/>
      <c r="AK948" s="299"/>
    </row>
    <row r="949" spans="2:37" ht="13">
      <c r="B949" s="294"/>
      <c r="C949" s="294"/>
      <c r="D949" s="294"/>
      <c r="E949" s="294"/>
      <c r="F949" s="294"/>
      <c r="G949" s="294"/>
      <c r="H949" s="294"/>
      <c r="P949" s="295"/>
      <c r="W949" s="295"/>
      <c r="AE949" s="188"/>
      <c r="AG949" s="188"/>
      <c r="AH949" s="188"/>
      <c r="AI949" s="188"/>
      <c r="AJ949" s="188"/>
      <c r="AK949" s="299"/>
    </row>
    <row r="950" spans="2:37" ht="13">
      <c r="B950" s="294"/>
      <c r="C950" s="294"/>
      <c r="D950" s="294"/>
      <c r="E950" s="294"/>
      <c r="F950" s="294"/>
      <c r="G950" s="294"/>
      <c r="H950" s="294"/>
      <c r="P950" s="295"/>
      <c r="W950" s="295"/>
      <c r="AE950" s="188"/>
      <c r="AG950" s="188"/>
      <c r="AH950" s="188"/>
      <c r="AI950" s="188"/>
      <c r="AJ950" s="188"/>
      <c r="AK950" s="299"/>
    </row>
    <row r="951" spans="2:37" ht="13">
      <c r="B951" s="294"/>
      <c r="C951" s="294"/>
      <c r="D951" s="294"/>
      <c r="E951" s="294"/>
      <c r="F951" s="294"/>
      <c r="G951" s="294"/>
      <c r="H951" s="294"/>
      <c r="P951" s="295"/>
      <c r="W951" s="295"/>
      <c r="AE951" s="188"/>
      <c r="AG951" s="188"/>
      <c r="AH951" s="188"/>
      <c r="AI951" s="188"/>
      <c r="AJ951" s="188"/>
      <c r="AK951" s="299"/>
    </row>
    <row r="952" spans="2:37" ht="13">
      <c r="B952" s="294"/>
      <c r="C952" s="294"/>
      <c r="D952" s="294"/>
      <c r="E952" s="294"/>
      <c r="F952" s="294"/>
      <c r="G952" s="294"/>
      <c r="H952" s="294"/>
      <c r="P952" s="295"/>
      <c r="W952" s="295"/>
      <c r="AE952" s="188"/>
      <c r="AG952" s="188"/>
      <c r="AH952" s="188"/>
      <c r="AI952" s="188"/>
      <c r="AJ952" s="188"/>
      <c r="AK952" s="299"/>
    </row>
    <row r="953" spans="2:37" ht="13">
      <c r="B953" s="294"/>
      <c r="C953" s="294"/>
      <c r="D953" s="294"/>
      <c r="E953" s="294"/>
      <c r="F953" s="294"/>
      <c r="G953" s="294"/>
      <c r="H953" s="294"/>
      <c r="P953" s="295"/>
      <c r="W953" s="295"/>
      <c r="AE953" s="188"/>
      <c r="AG953" s="188"/>
      <c r="AH953" s="188"/>
      <c r="AI953" s="188"/>
      <c r="AJ953" s="188"/>
      <c r="AK953" s="299"/>
    </row>
    <row r="954" spans="2:37" ht="13">
      <c r="B954" s="294"/>
      <c r="C954" s="294"/>
      <c r="D954" s="294"/>
      <c r="E954" s="294"/>
      <c r="F954" s="294"/>
      <c r="G954" s="294"/>
      <c r="H954" s="294"/>
      <c r="P954" s="295"/>
      <c r="W954" s="295"/>
      <c r="AE954" s="188"/>
      <c r="AG954" s="188"/>
      <c r="AH954" s="188"/>
      <c r="AI954" s="188"/>
      <c r="AJ954" s="188"/>
      <c r="AK954" s="299"/>
    </row>
    <row r="955" spans="2:37" ht="13">
      <c r="B955" s="294"/>
      <c r="C955" s="294"/>
      <c r="D955" s="294"/>
      <c r="E955" s="294"/>
      <c r="F955" s="294"/>
      <c r="G955" s="294"/>
      <c r="H955" s="294"/>
      <c r="P955" s="295"/>
      <c r="W955" s="295"/>
      <c r="AE955" s="188"/>
      <c r="AG955" s="188"/>
      <c r="AH955" s="188"/>
      <c r="AI955" s="188"/>
      <c r="AJ955" s="188"/>
      <c r="AK955" s="299"/>
    </row>
    <row r="956" spans="2:37" ht="13">
      <c r="B956" s="294"/>
      <c r="C956" s="294"/>
      <c r="D956" s="294"/>
      <c r="E956" s="294"/>
      <c r="F956" s="294"/>
      <c r="G956" s="294"/>
      <c r="H956" s="294"/>
      <c r="P956" s="295"/>
      <c r="W956" s="295"/>
      <c r="AE956" s="188"/>
      <c r="AG956" s="188"/>
      <c r="AH956" s="188"/>
      <c r="AI956" s="188"/>
      <c r="AJ956" s="188"/>
      <c r="AK956" s="299"/>
    </row>
    <row r="957" spans="2:37" ht="13">
      <c r="B957" s="294"/>
      <c r="C957" s="294"/>
      <c r="D957" s="294"/>
      <c r="E957" s="294"/>
      <c r="F957" s="294"/>
      <c r="G957" s="294"/>
      <c r="H957" s="294"/>
      <c r="P957" s="295"/>
      <c r="W957" s="295"/>
      <c r="AE957" s="188"/>
      <c r="AG957" s="188"/>
      <c r="AH957" s="188"/>
      <c r="AI957" s="188"/>
      <c r="AJ957" s="188"/>
      <c r="AK957" s="299"/>
    </row>
    <row r="958" spans="2:37" ht="13">
      <c r="B958" s="294"/>
      <c r="C958" s="294"/>
      <c r="D958" s="294"/>
      <c r="E958" s="294"/>
      <c r="F958" s="294"/>
      <c r="G958" s="294"/>
      <c r="H958" s="294"/>
      <c r="P958" s="295"/>
      <c r="W958" s="295"/>
      <c r="AE958" s="188"/>
      <c r="AG958" s="188"/>
      <c r="AH958" s="188"/>
      <c r="AI958" s="188"/>
      <c r="AJ958" s="188"/>
      <c r="AK958" s="299"/>
    </row>
    <row r="959" spans="2:37" ht="13">
      <c r="B959" s="294"/>
      <c r="C959" s="294"/>
      <c r="D959" s="294"/>
      <c r="E959" s="294"/>
      <c r="F959" s="294"/>
      <c r="G959" s="294"/>
      <c r="H959" s="294"/>
      <c r="P959" s="295"/>
      <c r="W959" s="295"/>
      <c r="AE959" s="188"/>
      <c r="AG959" s="188"/>
      <c r="AH959" s="188"/>
      <c r="AI959" s="188"/>
      <c r="AJ959" s="188"/>
      <c r="AK959" s="299"/>
    </row>
    <row r="960" spans="2:37" ht="13">
      <c r="B960" s="294"/>
      <c r="C960" s="294"/>
      <c r="D960" s="294"/>
      <c r="E960" s="294"/>
      <c r="F960" s="294"/>
      <c r="G960" s="294"/>
      <c r="H960" s="294"/>
      <c r="P960" s="295"/>
      <c r="W960" s="295"/>
      <c r="AE960" s="188"/>
      <c r="AG960" s="188"/>
      <c r="AH960" s="188"/>
      <c r="AI960" s="188"/>
      <c r="AJ960" s="188"/>
      <c r="AK960" s="299"/>
    </row>
    <row r="961" spans="2:37" ht="13">
      <c r="B961" s="294"/>
      <c r="C961" s="294"/>
      <c r="D961" s="294"/>
      <c r="E961" s="294"/>
      <c r="F961" s="294"/>
      <c r="G961" s="294"/>
      <c r="H961" s="294"/>
      <c r="P961" s="295"/>
      <c r="W961" s="295"/>
      <c r="AE961" s="188"/>
      <c r="AG961" s="188"/>
      <c r="AH961" s="188"/>
      <c r="AI961" s="188"/>
      <c r="AJ961" s="188"/>
      <c r="AK961" s="299"/>
    </row>
    <row r="962" spans="2:37" ht="13">
      <c r="B962" s="294"/>
      <c r="C962" s="294"/>
      <c r="D962" s="294"/>
      <c r="E962" s="294"/>
      <c r="F962" s="294"/>
      <c r="G962" s="294"/>
      <c r="H962" s="294"/>
      <c r="P962" s="295"/>
      <c r="W962" s="295"/>
      <c r="AE962" s="188"/>
      <c r="AG962" s="188"/>
      <c r="AH962" s="188"/>
      <c r="AI962" s="188"/>
      <c r="AJ962" s="188"/>
      <c r="AK962" s="299"/>
    </row>
    <row r="963" spans="2:37" ht="13">
      <c r="B963" s="294"/>
      <c r="C963" s="294"/>
      <c r="D963" s="294"/>
      <c r="E963" s="294"/>
      <c r="F963" s="294"/>
      <c r="G963" s="294"/>
      <c r="H963" s="294"/>
      <c r="P963" s="295"/>
      <c r="W963" s="295"/>
      <c r="AE963" s="188"/>
      <c r="AG963" s="188"/>
      <c r="AH963" s="188"/>
      <c r="AI963" s="188"/>
      <c r="AJ963" s="188"/>
      <c r="AK963" s="299"/>
    </row>
    <row r="964" spans="2:37" ht="13">
      <c r="B964" s="294"/>
      <c r="C964" s="294"/>
      <c r="D964" s="294"/>
      <c r="E964" s="294"/>
      <c r="F964" s="294"/>
      <c r="G964" s="294"/>
      <c r="H964" s="294"/>
      <c r="P964" s="295"/>
      <c r="W964" s="295"/>
      <c r="AE964" s="188"/>
      <c r="AG964" s="188"/>
      <c r="AH964" s="188"/>
      <c r="AI964" s="188"/>
      <c r="AJ964" s="188"/>
      <c r="AK964" s="299"/>
    </row>
    <row r="965" spans="2:37" ht="13">
      <c r="B965" s="294"/>
      <c r="C965" s="294"/>
      <c r="D965" s="294"/>
      <c r="E965" s="294"/>
      <c r="F965" s="294"/>
      <c r="G965" s="294"/>
      <c r="H965" s="294"/>
      <c r="P965" s="295"/>
      <c r="W965" s="295"/>
      <c r="AE965" s="188"/>
      <c r="AG965" s="188"/>
      <c r="AH965" s="188"/>
      <c r="AI965" s="188"/>
      <c r="AJ965" s="188"/>
      <c r="AK965" s="299"/>
    </row>
    <row r="966" spans="2:37" ht="13">
      <c r="B966" s="294"/>
      <c r="C966" s="294"/>
      <c r="D966" s="294"/>
      <c r="E966" s="294"/>
      <c r="F966" s="294"/>
      <c r="G966" s="294"/>
      <c r="H966" s="294"/>
      <c r="P966" s="295"/>
      <c r="W966" s="295"/>
      <c r="AE966" s="188"/>
      <c r="AG966" s="188"/>
      <c r="AH966" s="188"/>
      <c r="AI966" s="188"/>
      <c r="AJ966" s="188"/>
      <c r="AK966" s="299"/>
    </row>
    <row r="967" spans="2:37" ht="13">
      <c r="B967" s="294"/>
      <c r="C967" s="294"/>
      <c r="D967" s="294"/>
      <c r="E967" s="294"/>
      <c r="F967" s="294"/>
      <c r="G967" s="294"/>
      <c r="H967" s="294"/>
      <c r="P967" s="295"/>
      <c r="W967" s="295"/>
      <c r="AE967" s="188"/>
      <c r="AG967" s="188"/>
      <c r="AH967" s="188"/>
      <c r="AI967" s="188"/>
      <c r="AJ967" s="188"/>
      <c r="AK967" s="299"/>
    </row>
    <row r="968" spans="2:37" ht="13">
      <c r="B968" s="294"/>
      <c r="C968" s="294"/>
      <c r="D968" s="294"/>
      <c r="E968" s="294"/>
      <c r="F968" s="294"/>
      <c r="G968" s="294"/>
      <c r="H968" s="294"/>
      <c r="P968" s="295"/>
      <c r="W968" s="295"/>
      <c r="AE968" s="188"/>
      <c r="AG968" s="188"/>
      <c r="AH968" s="188"/>
      <c r="AI968" s="188"/>
      <c r="AJ968" s="188"/>
      <c r="AK968" s="299"/>
    </row>
    <row r="969" spans="2:37" ht="13">
      <c r="B969" s="294"/>
      <c r="C969" s="294"/>
      <c r="D969" s="294"/>
      <c r="E969" s="294"/>
      <c r="F969" s="294"/>
      <c r="G969" s="294"/>
      <c r="H969" s="294"/>
      <c r="P969" s="295"/>
      <c r="W969" s="295"/>
      <c r="AE969" s="188"/>
      <c r="AG969" s="188"/>
      <c r="AH969" s="188"/>
      <c r="AI969" s="188"/>
      <c r="AJ969" s="188"/>
      <c r="AK969" s="299"/>
    </row>
    <row r="970" spans="2:37" ht="13">
      <c r="B970" s="294"/>
      <c r="C970" s="294"/>
      <c r="D970" s="294"/>
      <c r="E970" s="294"/>
      <c r="F970" s="294"/>
      <c r="G970" s="294"/>
      <c r="H970" s="294"/>
      <c r="P970" s="295"/>
      <c r="W970" s="295"/>
      <c r="AE970" s="188"/>
      <c r="AG970" s="188"/>
      <c r="AH970" s="188"/>
      <c r="AI970" s="188"/>
      <c r="AJ970" s="188"/>
      <c r="AK970" s="299"/>
    </row>
    <row r="971" spans="2:37" ht="13">
      <c r="B971" s="294"/>
      <c r="C971" s="294"/>
      <c r="D971" s="294"/>
      <c r="E971" s="294"/>
      <c r="F971" s="294"/>
      <c r="G971" s="294"/>
      <c r="H971" s="294"/>
      <c r="P971" s="295"/>
      <c r="W971" s="295"/>
      <c r="AE971" s="188"/>
      <c r="AG971" s="188"/>
      <c r="AH971" s="188"/>
      <c r="AI971" s="188"/>
      <c r="AJ971" s="188"/>
      <c r="AK971" s="299"/>
    </row>
    <row r="972" spans="2:37" ht="13">
      <c r="B972" s="294"/>
      <c r="C972" s="294"/>
      <c r="D972" s="294"/>
      <c r="E972" s="294"/>
      <c r="F972" s="294"/>
      <c r="G972" s="294"/>
      <c r="H972" s="294"/>
      <c r="P972" s="295"/>
      <c r="W972" s="295"/>
      <c r="AE972" s="188"/>
      <c r="AG972" s="188"/>
      <c r="AH972" s="188"/>
      <c r="AI972" s="188"/>
      <c r="AJ972" s="188"/>
      <c r="AK972" s="299"/>
    </row>
    <row r="973" spans="2:37" ht="13">
      <c r="B973" s="294"/>
      <c r="C973" s="294"/>
      <c r="D973" s="294"/>
      <c r="E973" s="294"/>
      <c r="F973" s="294"/>
      <c r="G973" s="294"/>
      <c r="H973" s="294"/>
      <c r="P973" s="295"/>
      <c r="W973" s="295"/>
      <c r="AE973" s="188"/>
      <c r="AG973" s="188"/>
      <c r="AH973" s="188"/>
      <c r="AI973" s="188"/>
      <c r="AJ973" s="188"/>
      <c r="AK973" s="299"/>
    </row>
    <row r="974" spans="2:37" ht="13">
      <c r="B974" s="294"/>
      <c r="C974" s="294"/>
      <c r="D974" s="294"/>
      <c r="E974" s="294"/>
      <c r="F974" s="294"/>
      <c r="G974" s="294"/>
      <c r="H974" s="294"/>
      <c r="P974" s="295"/>
      <c r="W974" s="295"/>
      <c r="AE974" s="188"/>
      <c r="AG974" s="188"/>
      <c r="AH974" s="188"/>
      <c r="AI974" s="188"/>
      <c r="AJ974" s="188"/>
      <c r="AK974" s="299"/>
    </row>
    <row r="975" spans="2:37" ht="13">
      <c r="B975" s="294"/>
      <c r="C975" s="294"/>
      <c r="D975" s="294"/>
      <c r="E975" s="294"/>
      <c r="F975" s="294"/>
      <c r="G975" s="294"/>
      <c r="H975" s="294"/>
      <c r="P975" s="295"/>
      <c r="W975" s="295"/>
      <c r="AE975" s="188"/>
      <c r="AG975" s="188"/>
      <c r="AH975" s="188"/>
      <c r="AI975" s="188"/>
      <c r="AJ975" s="188"/>
      <c r="AK975" s="299"/>
    </row>
    <row r="976" spans="2:37" ht="13">
      <c r="B976" s="294"/>
      <c r="C976" s="294"/>
      <c r="D976" s="294"/>
      <c r="E976" s="294"/>
      <c r="F976" s="294"/>
      <c r="G976" s="294"/>
      <c r="H976" s="294"/>
      <c r="P976" s="295"/>
      <c r="W976" s="295"/>
      <c r="AE976" s="188"/>
      <c r="AG976" s="188"/>
      <c r="AH976" s="188"/>
      <c r="AI976" s="188"/>
      <c r="AJ976" s="188"/>
      <c r="AK976" s="299"/>
    </row>
    <row r="977" spans="2:37" ht="13">
      <c r="B977" s="294"/>
      <c r="C977" s="294"/>
      <c r="D977" s="294"/>
      <c r="E977" s="294"/>
      <c r="F977" s="294"/>
      <c r="G977" s="294"/>
      <c r="H977" s="294"/>
      <c r="P977" s="295"/>
      <c r="W977" s="295"/>
      <c r="AE977" s="188"/>
      <c r="AG977" s="188"/>
      <c r="AH977" s="188"/>
      <c r="AI977" s="188"/>
      <c r="AJ977" s="188"/>
      <c r="AK977" s="299"/>
    </row>
    <row r="978" spans="2:37" ht="13">
      <c r="B978" s="294"/>
      <c r="C978" s="294"/>
      <c r="D978" s="294"/>
      <c r="E978" s="294"/>
      <c r="F978" s="294"/>
      <c r="G978" s="294"/>
      <c r="H978" s="294"/>
      <c r="P978" s="295"/>
      <c r="W978" s="295"/>
      <c r="AE978" s="188"/>
      <c r="AG978" s="188"/>
      <c r="AH978" s="188"/>
      <c r="AI978" s="188"/>
      <c r="AJ978" s="188"/>
      <c r="AK978" s="299"/>
    </row>
    <row r="979" spans="2:37" ht="13">
      <c r="B979" s="294"/>
      <c r="C979" s="294"/>
      <c r="D979" s="294"/>
      <c r="E979" s="294"/>
      <c r="F979" s="294"/>
      <c r="G979" s="294"/>
      <c r="H979" s="294"/>
      <c r="P979" s="295"/>
      <c r="W979" s="295"/>
      <c r="AE979" s="188"/>
      <c r="AG979" s="188"/>
      <c r="AH979" s="188"/>
      <c r="AI979" s="188"/>
      <c r="AJ979" s="188"/>
      <c r="AK979" s="299"/>
    </row>
    <row r="980" spans="2:37" ht="13">
      <c r="B980" s="294"/>
      <c r="C980" s="294"/>
      <c r="D980" s="294"/>
      <c r="E980" s="294"/>
      <c r="F980" s="294"/>
      <c r="G980" s="294"/>
      <c r="H980" s="294"/>
      <c r="P980" s="295"/>
      <c r="W980" s="295"/>
      <c r="AE980" s="188"/>
      <c r="AG980" s="188"/>
      <c r="AH980" s="188"/>
      <c r="AI980" s="188"/>
      <c r="AJ980" s="188"/>
      <c r="AK980" s="299"/>
    </row>
    <row r="981" spans="2:37" ht="13">
      <c r="B981" s="294"/>
      <c r="C981" s="294"/>
      <c r="D981" s="294"/>
      <c r="E981" s="294"/>
      <c r="F981" s="294"/>
      <c r="G981" s="294"/>
      <c r="H981" s="294"/>
      <c r="P981" s="295"/>
      <c r="W981" s="295"/>
      <c r="AE981" s="188"/>
      <c r="AG981" s="188"/>
      <c r="AH981" s="188"/>
      <c r="AI981" s="188"/>
      <c r="AJ981" s="188"/>
      <c r="AK981" s="299"/>
    </row>
    <row r="982" spans="2:37" ht="13">
      <c r="B982" s="294"/>
      <c r="C982" s="294"/>
      <c r="D982" s="294"/>
      <c r="E982" s="294"/>
      <c r="F982" s="294"/>
      <c r="G982" s="294"/>
      <c r="H982" s="294"/>
      <c r="P982" s="295"/>
      <c r="W982" s="295"/>
      <c r="AE982" s="188"/>
      <c r="AG982" s="188"/>
      <c r="AH982" s="188"/>
      <c r="AI982" s="188"/>
      <c r="AJ982" s="188"/>
      <c r="AK982" s="299"/>
    </row>
    <row r="983" spans="2:37" ht="13">
      <c r="B983" s="294"/>
      <c r="C983" s="294"/>
      <c r="D983" s="294"/>
      <c r="E983" s="294"/>
      <c r="F983" s="294"/>
      <c r="G983" s="294"/>
      <c r="H983" s="294"/>
      <c r="P983" s="295"/>
      <c r="W983" s="295"/>
      <c r="AE983" s="188"/>
      <c r="AG983" s="188"/>
      <c r="AH983" s="188"/>
      <c r="AI983" s="188"/>
      <c r="AJ983" s="188"/>
      <c r="AK983" s="299"/>
    </row>
    <row r="984" spans="2:37" ht="13">
      <c r="B984" s="294"/>
      <c r="C984" s="294"/>
      <c r="D984" s="294"/>
      <c r="E984" s="294"/>
      <c r="F984" s="294"/>
      <c r="G984" s="294"/>
      <c r="H984" s="294"/>
      <c r="P984" s="295"/>
      <c r="W984" s="295"/>
      <c r="AE984" s="188"/>
      <c r="AG984" s="188"/>
      <c r="AH984" s="188"/>
      <c r="AI984" s="188"/>
      <c r="AJ984" s="188"/>
      <c r="AK984" s="299"/>
    </row>
    <row r="985" spans="2:37" ht="13">
      <c r="B985" s="294"/>
      <c r="C985" s="294"/>
      <c r="D985" s="294"/>
      <c r="E985" s="294"/>
      <c r="F985" s="294"/>
      <c r="G985" s="294"/>
      <c r="H985" s="294"/>
      <c r="P985" s="295"/>
      <c r="W985" s="295"/>
      <c r="AE985" s="188"/>
      <c r="AG985" s="188"/>
      <c r="AH985" s="188"/>
      <c r="AI985" s="188"/>
      <c r="AJ985" s="188"/>
      <c r="AK985" s="299"/>
    </row>
    <row r="986" spans="2:37" ht="13">
      <c r="B986" s="294"/>
      <c r="C986" s="294"/>
      <c r="D986" s="294"/>
      <c r="E986" s="294"/>
      <c r="F986" s="294"/>
      <c r="G986" s="294"/>
      <c r="H986" s="294"/>
      <c r="P986" s="295"/>
      <c r="W986" s="295"/>
      <c r="AE986" s="188"/>
      <c r="AG986" s="188"/>
      <c r="AH986" s="188"/>
      <c r="AI986" s="188"/>
      <c r="AJ986" s="188"/>
      <c r="AK986" s="299"/>
    </row>
    <row r="987" spans="2:37" ht="13">
      <c r="B987" s="294"/>
      <c r="C987" s="294"/>
      <c r="D987" s="294"/>
      <c r="E987" s="294"/>
      <c r="F987" s="294"/>
      <c r="G987" s="294"/>
      <c r="H987" s="294"/>
      <c r="P987" s="295"/>
      <c r="W987" s="295"/>
      <c r="AE987" s="188"/>
      <c r="AG987" s="188"/>
      <c r="AH987" s="188"/>
      <c r="AI987" s="188"/>
      <c r="AJ987" s="188"/>
      <c r="AK987" s="299"/>
    </row>
    <row r="988" spans="2:37" ht="13">
      <c r="B988" s="294"/>
      <c r="C988" s="294"/>
      <c r="D988" s="294"/>
      <c r="E988" s="294"/>
      <c r="F988" s="294"/>
      <c r="G988" s="294"/>
      <c r="H988" s="294"/>
      <c r="P988" s="295"/>
      <c r="W988" s="295"/>
      <c r="AE988" s="188"/>
      <c r="AG988" s="188"/>
      <c r="AH988" s="188"/>
      <c r="AI988" s="188"/>
      <c r="AJ988" s="188"/>
      <c r="AK988" s="299"/>
    </row>
    <row r="989" spans="2:37" ht="13">
      <c r="B989" s="294"/>
      <c r="C989" s="294"/>
      <c r="D989" s="294"/>
      <c r="E989" s="294"/>
      <c r="F989" s="294"/>
      <c r="G989" s="294"/>
      <c r="H989" s="294"/>
      <c r="P989" s="295"/>
      <c r="W989" s="295"/>
      <c r="AE989" s="188"/>
      <c r="AG989" s="188"/>
      <c r="AH989" s="188"/>
      <c r="AI989" s="188"/>
      <c r="AJ989" s="188"/>
      <c r="AK989" s="299"/>
    </row>
    <row r="990" spans="2:37" ht="13">
      <c r="B990" s="294"/>
      <c r="C990" s="294"/>
      <c r="D990" s="294"/>
      <c r="E990" s="294"/>
      <c r="F990" s="294"/>
      <c r="G990" s="294"/>
      <c r="H990" s="294"/>
      <c r="P990" s="295"/>
      <c r="W990" s="295"/>
      <c r="AE990" s="188"/>
      <c r="AG990" s="188"/>
      <c r="AH990" s="188"/>
      <c r="AI990" s="188"/>
      <c r="AJ990" s="188"/>
      <c r="AK990" s="299"/>
    </row>
    <row r="991" spans="2:37" ht="13">
      <c r="B991" s="294"/>
      <c r="C991" s="294"/>
      <c r="D991" s="294"/>
      <c r="E991" s="294"/>
      <c r="F991" s="294"/>
      <c r="G991" s="294"/>
      <c r="H991" s="294"/>
      <c r="P991" s="295"/>
      <c r="W991" s="295"/>
      <c r="AE991" s="188"/>
      <c r="AG991" s="188"/>
      <c r="AH991" s="188"/>
      <c r="AI991" s="188"/>
      <c r="AJ991" s="188"/>
      <c r="AK991" s="299"/>
    </row>
    <row r="992" spans="2:37" ht="13">
      <c r="B992" s="294"/>
      <c r="C992" s="294"/>
      <c r="D992" s="294"/>
      <c r="E992" s="294"/>
      <c r="F992" s="294"/>
      <c r="G992" s="294"/>
      <c r="H992" s="294"/>
      <c r="P992" s="295"/>
      <c r="W992" s="295"/>
      <c r="AE992" s="188"/>
      <c r="AG992" s="188"/>
      <c r="AH992" s="188"/>
      <c r="AI992" s="188"/>
      <c r="AJ992" s="188"/>
      <c r="AK992" s="299"/>
    </row>
    <row r="993" spans="2:37" ht="13">
      <c r="B993" s="294"/>
      <c r="C993" s="294"/>
      <c r="D993" s="294"/>
      <c r="E993" s="294"/>
      <c r="F993" s="294"/>
      <c r="G993" s="294"/>
      <c r="H993" s="294"/>
      <c r="P993" s="295"/>
      <c r="W993" s="295"/>
      <c r="AE993" s="188"/>
      <c r="AG993" s="188"/>
      <c r="AH993" s="188"/>
      <c r="AI993" s="188"/>
      <c r="AJ993" s="188"/>
      <c r="AK993" s="299"/>
    </row>
    <row r="994" spans="2:37" ht="13">
      <c r="B994" s="294"/>
      <c r="C994" s="294"/>
      <c r="D994" s="294"/>
      <c r="E994" s="294"/>
      <c r="F994" s="294"/>
      <c r="G994" s="294"/>
      <c r="H994" s="294"/>
      <c r="P994" s="295"/>
      <c r="W994" s="295"/>
      <c r="AE994" s="188"/>
      <c r="AG994" s="188"/>
      <c r="AH994" s="188"/>
      <c r="AI994" s="188"/>
      <c r="AJ994" s="188"/>
      <c r="AK994" s="299"/>
    </row>
    <row r="995" spans="2:37" ht="13">
      <c r="B995" s="294"/>
      <c r="C995" s="294"/>
      <c r="D995" s="294"/>
      <c r="E995" s="294"/>
      <c r="F995" s="294"/>
      <c r="G995" s="294"/>
      <c r="H995" s="294"/>
      <c r="P995" s="295"/>
      <c r="W995" s="295"/>
      <c r="AE995" s="188"/>
      <c r="AG995" s="188"/>
      <c r="AH995" s="188"/>
      <c r="AI995" s="188"/>
      <c r="AJ995" s="188"/>
      <c r="AK995" s="299"/>
    </row>
    <row r="996" spans="2:37" ht="13">
      <c r="B996" s="294"/>
      <c r="C996" s="294"/>
      <c r="D996" s="294"/>
      <c r="E996" s="294"/>
      <c r="F996" s="294"/>
      <c r="G996" s="294"/>
      <c r="H996" s="294"/>
      <c r="P996" s="295"/>
      <c r="W996" s="295"/>
      <c r="AE996" s="188"/>
      <c r="AG996" s="188"/>
      <c r="AH996" s="188"/>
      <c r="AI996" s="188"/>
      <c r="AJ996" s="188"/>
      <c r="AK996" s="299"/>
    </row>
    <row r="997" spans="2:37" ht="13">
      <c r="B997" s="294"/>
      <c r="C997" s="294"/>
      <c r="D997" s="294"/>
      <c r="E997" s="294"/>
      <c r="F997" s="294"/>
      <c r="G997" s="294"/>
      <c r="H997" s="294"/>
      <c r="P997" s="295"/>
      <c r="W997" s="295"/>
      <c r="AE997" s="188"/>
      <c r="AG997" s="188"/>
      <c r="AH997" s="188"/>
      <c r="AI997" s="188"/>
      <c r="AJ997" s="188"/>
      <c r="AK997" s="299"/>
    </row>
    <row r="998" spans="2:37" ht="13">
      <c r="B998" s="294"/>
      <c r="C998" s="294"/>
      <c r="D998" s="294"/>
      <c r="E998" s="294"/>
      <c r="F998" s="294"/>
      <c r="G998" s="294"/>
      <c r="H998" s="294"/>
      <c r="P998" s="295"/>
      <c r="W998" s="295"/>
      <c r="AE998" s="188"/>
      <c r="AG998" s="188"/>
      <c r="AH998" s="188"/>
      <c r="AI998" s="188"/>
      <c r="AJ998" s="188"/>
      <c r="AK998" s="299"/>
    </row>
    <row r="999" spans="2:37" ht="13">
      <c r="B999" s="294"/>
      <c r="C999" s="294"/>
      <c r="D999" s="294"/>
      <c r="E999" s="294"/>
      <c r="F999" s="294"/>
      <c r="G999" s="294"/>
      <c r="H999" s="294"/>
      <c r="P999" s="295"/>
      <c r="W999" s="295"/>
      <c r="AE999" s="188"/>
      <c r="AG999" s="188"/>
      <c r="AH999" s="188"/>
      <c r="AI999" s="188"/>
      <c r="AJ999" s="188"/>
      <c r="AK999" s="299"/>
    </row>
    <row r="1000" spans="2:37" ht="13">
      <c r="B1000" s="294"/>
      <c r="C1000" s="294"/>
      <c r="D1000" s="294"/>
      <c r="E1000" s="294"/>
      <c r="F1000" s="294"/>
      <c r="G1000" s="294"/>
      <c r="H1000" s="294"/>
      <c r="P1000" s="295"/>
      <c r="W1000" s="295"/>
      <c r="AE1000" s="188"/>
      <c r="AG1000" s="188"/>
      <c r="AH1000" s="188"/>
      <c r="AI1000" s="188"/>
      <c r="AJ1000" s="188"/>
      <c r="AK1000" s="299"/>
    </row>
    <row r="1001" spans="2:37" ht="13">
      <c r="B1001" s="294"/>
      <c r="C1001" s="294"/>
      <c r="D1001" s="294"/>
      <c r="E1001" s="294"/>
      <c r="F1001" s="294"/>
      <c r="G1001" s="294"/>
      <c r="H1001" s="294"/>
      <c r="P1001" s="295"/>
      <c r="W1001" s="295"/>
      <c r="AE1001" s="188"/>
      <c r="AG1001" s="188"/>
      <c r="AH1001" s="188"/>
      <c r="AI1001" s="188"/>
      <c r="AJ1001" s="188"/>
      <c r="AK1001" s="299"/>
    </row>
    <row r="1002" spans="2:37" ht="13">
      <c r="B1002" s="294"/>
      <c r="C1002" s="294"/>
      <c r="D1002" s="294"/>
      <c r="E1002" s="294"/>
      <c r="F1002" s="294"/>
      <c r="G1002" s="294"/>
      <c r="H1002" s="294"/>
      <c r="P1002" s="295"/>
      <c r="W1002" s="295"/>
      <c r="AE1002" s="188"/>
      <c r="AG1002" s="188"/>
      <c r="AH1002" s="188"/>
      <c r="AI1002" s="188"/>
      <c r="AJ1002" s="188"/>
      <c r="AK1002" s="299"/>
    </row>
    <row r="1003" spans="2:37" ht="13">
      <c r="B1003" s="294"/>
      <c r="C1003" s="294"/>
      <c r="D1003" s="294"/>
      <c r="E1003" s="294"/>
      <c r="F1003" s="294"/>
      <c r="G1003" s="294"/>
      <c r="H1003" s="294"/>
      <c r="P1003" s="295"/>
      <c r="W1003" s="295"/>
      <c r="AE1003" s="188"/>
      <c r="AG1003" s="188"/>
      <c r="AH1003" s="188"/>
      <c r="AI1003" s="188"/>
      <c r="AJ1003" s="188"/>
      <c r="AK1003" s="299"/>
    </row>
    <row r="1004" spans="2:37" ht="13">
      <c r="B1004" s="294"/>
      <c r="C1004" s="294"/>
      <c r="D1004" s="294"/>
      <c r="E1004" s="294"/>
      <c r="F1004" s="294"/>
      <c r="G1004" s="294"/>
      <c r="H1004" s="294"/>
      <c r="P1004" s="295"/>
      <c r="W1004" s="295"/>
      <c r="AE1004" s="188"/>
      <c r="AG1004" s="188"/>
      <c r="AH1004" s="188"/>
      <c r="AI1004" s="188"/>
      <c r="AJ1004" s="188"/>
      <c r="AK1004" s="299"/>
    </row>
    <row r="1005" spans="2:37" ht="13">
      <c r="B1005" s="294"/>
      <c r="C1005" s="294"/>
      <c r="D1005" s="294"/>
      <c r="E1005" s="294"/>
      <c r="F1005" s="294"/>
      <c r="G1005" s="294"/>
      <c r="H1005" s="294"/>
      <c r="P1005" s="295"/>
      <c r="W1005" s="295"/>
      <c r="AE1005" s="188"/>
      <c r="AG1005" s="188"/>
      <c r="AH1005" s="188"/>
      <c r="AI1005" s="188"/>
      <c r="AJ1005" s="188"/>
      <c r="AK1005" s="299"/>
    </row>
    <row r="1006" spans="2:37" ht="13">
      <c r="B1006" s="294"/>
      <c r="C1006" s="294"/>
      <c r="D1006" s="294"/>
      <c r="E1006" s="294"/>
      <c r="F1006" s="294"/>
      <c r="G1006" s="294"/>
      <c r="H1006" s="294"/>
      <c r="P1006" s="295"/>
      <c r="W1006" s="295"/>
      <c r="AE1006" s="188"/>
      <c r="AG1006" s="188"/>
      <c r="AH1006" s="188"/>
      <c r="AI1006" s="188"/>
      <c r="AJ1006" s="188"/>
      <c r="AK1006" s="299"/>
    </row>
    <row r="1007" spans="2:37" ht="13">
      <c r="B1007" s="294"/>
      <c r="C1007" s="294"/>
      <c r="D1007" s="294"/>
      <c r="E1007" s="294"/>
      <c r="F1007" s="294"/>
      <c r="G1007" s="294"/>
      <c r="H1007" s="294"/>
      <c r="P1007" s="295"/>
      <c r="W1007" s="295"/>
      <c r="AE1007" s="188"/>
      <c r="AG1007" s="188"/>
      <c r="AH1007" s="188"/>
      <c r="AI1007" s="188"/>
      <c r="AJ1007" s="188"/>
      <c r="AK1007" s="299"/>
    </row>
    <row r="1008" spans="2:37" ht="13">
      <c r="B1008" s="294"/>
      <c r="C1008" s="294"/>
      <c r="D1008" s="294"/>
      <c r="E1008" s="294"/>
      <c r="F1008" s="294"/>
      <c r="G1008" s="294"/>
      <c r="H1008" s="294"/>
      <c r="P1008" s="295"/>
      <c r="W1008" s="295"/>
      <c r="AE1008" s="188"/>
      <c r="AG1008" s="188"/>
      <c r="AH1008" s="188"/>
      <c r="AI1008" s="188"/>
      <c r="AJ1008" s="188"/>
      <c r="AK1008" s="299"/>
    </row>
    <row r="1009" spans="2:37" ht="13">
      <c r="B1009" s="294"/>
      <c r="C1009" s="294"/>
      <c r="D1009" s="294"/>
      <c r="E1009" s="294"/>
      <c r="F1009" s="294"/>
      <c r="G1009" s="294"/>
      <c r="H1009" s="294"/>
      <c r="P1009" s="295"/>
      <c r="W1009" s="295"/>
      <c r="AE1009" s="188"/>
      <c r="AG1009" s="188"/>
      <c r="AH1009" s="188"/>
      <c r="AI1009" s="188"/>
      <c r="AJ1009" s="188"/>
      <c r="AK1009" s="299"/>
    </row>
    <row r="1010" spans="2:37" ht="13">
      <c r="B1010" s="294"/>
      <c r="C1010" s="294"/>
      <c r="D1010" s="294"/>
      <c r="E1010" s="294"/>
      <c r="F1010" s="294"/>
      <c r="G1010" s="294"/>
      <c r="H1010" s="294"/>
      <c r="P1010" s="295"/>
      <c r="W1010" s="295"/>
      <c r="AE1010" s="188"/>
      <c r="AG1010" s="188"/>
      <c r="AH1010" s="188"/>
      <c r="AI1010" s="188"/>
      <c r="AJ1010" s="188"/>
      <c r="AK1010" s="299"/>
    </row>
    <row r="1011" spans="2:37" ht="13">
      <c r="B1011" s="294"/>
      <c r="C1011" s="294"/>
      <c r="D1011" s="294"/>
      <c r="E1011" s="294"/>
      <c r="F1011" s="294"/>
      <c r="G1011" s="294"/>
      <c r="H1011" s="294"/>
      <c r="P1011" s="295"/>
      <c r="W1011" s="295"/>
      <c r="AE1011" s="188"/>
      <c r="AG1011" s="188"/>
      <c r="AH1011" s="188"/>
      <c r="AI1011" s="188"/>
      <c r="AJ1011" s="188"/>
      <c r="AK1011" s="299"/>
    </row>
    <row r="1012" spans="2:37" ht="13">
      <c r="B1012" s="294"/>
      <c r="C1012" s="294"/>
      <c r="D1012" s="294"/>
      <c r="E1012" s="294"/>
      <c r="F1012" s="294"/>
      <c r="G1012" s="294"/>
      <c r="H1012" s="294"/>
      <c r="P1012" s="295"/>
      <c r="W1012" s="295"/>
      <c r="AE1012" s="188"/>
      <c r="AG1012" s="188"/>
      <c r="AH1012" s="188"/>
      <c r="AI1012" s="188"/>
      <c r="AJ1012" s="188"/>
      <c r="AK1012" s="299"/>
    </row>
    <row r="1013" spans="2:37" ht="13">
      <c r="B1013" s="294"/>
      <c r="C1013" s="294"/>
      <c r="D1013" s="294"/>
      <c r="E1013" s="294"/>
      <c r="F1013" s="294"/>
      <c r="G1013" s="294"/>
      <c r="H1013" s="294"/>
      <c r="P1013" s="295"/>
      <c r="W1013" s="295"/>
      <c r="AE1013" s="188"/>
      <c r="AG1013" s="188"/>
      <c r="AH1013" s="188"/>
      <c r="AI1013" s="188"/>
      <c r="AJ1013" s="188"/>
      <c r="AK1013" s="299"/>
    </row>
    <row r="1014" spans="2:37" ht="13">
      <c r="B1014" s="294"/>
      <c r="C1014" s="294"/>
      <c r="D1014" s="294"/>
      <c r="E1014" s="294"/>
      <c r="F1014" s="294"/>
      <c r="G1014" s="294"/>
      <c r="H1014" s="294"/>
      <c r="P1014" s="295"/>
      <c r="W1014" s="295"/>
      <c r="AE1014" s="188"/>
      <c r="AG1014" s="188"/>
      <c r="AH1014" s="188"/>
      <c r="AI1014" s="188"/>
      <c r="AJ1014" s="188"/>
      <c r="AK1014" s="299"/>
    </row>
    <row r="1015" spans="2:37" ht="13">
      <c r="B1015" s="294"/>
      <c r="C1015" s="294"/>
      <c r="D1015" s="294"/>
      <c r="E1015" s="294"/>
      <c r="F1015" s="294"/>
      <c r="G1015" s="294"/>
      <c r="H1015" s="294"/>
      <c r="P1015" s="295"/>
      <c r="W1015" s="295"/>
      <c r="AE1015" s="188"/>
      <c r="AG1015" s="188"/>
      <c r="AH1015" s="188"/>
      <c r="AI1015" s="188"/>
      <c r="AJ1015" s="188"/>
      <c r="AK1015" s="299"/>
    </row>
    <row r="1016" spans="2:37" ht="13">
      <c r="B1016" s="294"/>
      <c r="C1016" s="294"/>
      <c r="D1016" s="294"/>
      <c r="E1016" s="294"/>
      <c r="F1016" s="294"/>
      <c r="G1016" s="294"/>
      <c r="H1016" s="294"/>
      <c r="P1016" s="295"/>
      <c r="W1016" s="295"/>
      <c r="AE1016" s="188"/>
      <c r="AG1016" s="188"/>
      <c r="AH1016" s="188"/>
      <c r="AI1016" s="188"/>
      <c r="AJ1016" s="188"/>
      <c r="AK1016" s="299"/>
    </row>
    <row r="1017" spans="2:37" ht="13">
      <c r="B1017" s="294"/>
      <c r="C1017" s="294"/>
      <c r="D1017" s="294"/>
      <c r="E1017" s="294"/>
      <c r="F1017" s="294"/>
      <c r="G1017" s="294"/>
      <c r="H1017" s="294"/>
      <c r="P1017" s="295"/>
      <c r="W1017" s="295"/>
      <c r="AE1017" s="188"/>
      <c r="AG1017" s="188"/>
      <c r="AH1017" s="188"/>
      <c r="AI1017" s="188"/>
      <c r="AJ1017" s="188"/>
      <c r="AK1017" s="299"/>
    </row>
    <row r="1018" spans="2:37" ht="13">
      <c r="B1018" s="294"/>
      <c r="C1018" s="294"/>
      <c r="D1018" s="294"/>
      <c r="E1018" s="294"/>
      <c r="F1018" s="294"/>
      <c r="G1018" s="294"/>
      <c r="H1018" s="294"/>
      <c r="P1018" s="295"/>
      <c r="W1018" s="295"/>
      <c r="AE1018" s="188"/>
      <c r="AG1018" s="188"/>
      <c r="AH1018" s="188"/>
      <c r="AI1018" s="188"/>
      <c r="AJ1018" s="188"/>
      <c r="AK1018" s="299"/>
    </row>
    <row r="1019" spans="2:37" ht="13">
      <c r="B1019" s="294"/>
      <c r="C1019" s="294"/>
      <c r="D1019" s="294"/>
      <c r="E1019" s="294"/>
      <c r="F1019" s="294"/>
      <c r="G1019" s="294"/>
      <c r="H1019" s="294"/>
      <c r="P1019" s="295"/>
      <c r="W1019" s="295"/>
      <c r="AE1019" s="188"/>
      <c r="AG1019" s="188"/>
      <c r="AH1019" s="188"/>
      <c r="AI1019" s="188"/>
      <c r="AJ1019" s="188"/>
      <c r="AK1019" s="299"/>
    </row>
    <row r="1020" spans="2:37" ht="13">
      <c r="B1020" s="294"/>
      <c r="C1020" s="294"/>
      <c r="D1020" s="294"/>
      <c r="E1020" s="294"/>
      <c r="F1020" s="294"/>
      <c r="G1020" s="294"/>
      <c r="H1020" s="294"/>
      <c r="P1020" s="295"/>
      <c r="W1020" s="295"/>
      <c r="AE1020" s="188"/>
      <c r="AG1020" s="188"/>
      <c r="AH1020" s="188"/>
      <c r="AI1020" s="188"/>
      <c r="AJ1020" s="188"/>
      <c r="AK1020" s="299"/>
    </row>
    <row r="1021" spans="2:37" ht="13">
      <c r="B1021" s="294"/>
      <c r="C1021" s="294"/>
      <c r="D1021" s="294"/>
      <c r="E1021" s="294"/>
      <c r="F1021" s="294"/>
      <c r="G1021" s="294"/>
      <c r="H1021" s="294"/>
      <c r="P1021" s="295"/>
      <c r="W1021" s="295"/>
      <c r="AE1021" s="188"/>
      <c r="AG1021" s="188"/>
      <c r="AH1021" s="188"/>
      <c r="AI1021" s="188"/>
      <c r="AJ1021" s="188"/>
      <c r="AK1021" s="299"/>
    </row>
    <row r="1022" spans="2:37" ht="13">
      <c r="B1022" s="294"/>
      <c r="C1022" s="294"/>
      <c r="D1022" s="294"/>
      <c r="E1022" s="294"/>
      <c r="F1022" s="294"/>
      <c r="G1022" s="294"/>
      <c r="H1022" s="294"/>
      <c r="P1022" s="295"/>
      <c r="W1022" s="295"/>
      <c r="AE1022" s="188"/>
      <c r="AG1022" s="188"/>
      <c r="AH1022" s="188"/>
      <c r="AI1022" s="188"/>
      <c r="AJ1022" s="188"/>
      <c r="AK1022" s="299"/>
    </row>
    <row r="1023" spans="2:37" ht="13">
      <c r="B1023" s="294"/>
      <c r="C1023" s="294"/>
      <c r="D1023" s="294"/>
      <c r="E1023" s="294"/>
      <c r="F1023" s="294"/>
      <c r="G1023" s="294"/>
      <c r="H1023" s="294"/>
      <c r="P1023" s="295"/>
      <c r="W1023" s="295"/>
      <c r="AE1023" s="188"/>
      <c r="AG1023" s="188"/>
      <c r="AH1023" s="188"/>
      <c r="AI1023" s="188"/>
      <c r="AJ1023" s="188"/>
      <c r="AK1023" s="299"/>
    </row>
    <row r="1024" spans="2:37" ht="13">
      <c r="B1024" s="294"/>
      <c r="C1024" s="294"/>
      <c r="D1024" s="294"/>
      <c r="E1024" s="294"/>
      <c r="F1024" s="294"/>
      <c r="G1024" s="294"/>
      <c r="H1024" s="294"/>
      <c r="P1024" s="295"/>
      <c r="W1024" s="295"/>
      <c r="AE1024" s="188"/>
      <c r="AG1024" s="188"/>
      <c r="AH1024" s="188"/>
      <c r="AI1024" s="188"/>
      <c r="AJ1024" s="188"/>
      <c r="AK1024" s="299"/>
    </row>
  </sheetData>
  <mergeCells count="1">
    <mergeCell ref="A124:I124"/>
  </mergeCells>
  <conditionalFormatting sqref="C1:C123 G1:G202 C129:C139">
    <cfRule type="cellIs" dxfId="146" priority="3" operator="equal">
      <formula>"15%"</formula>
    </cfRule>
    <cfRule type="cellIs" dxfId="145" priority="4" operator="equal">
      <formula>"12%"</formula>
    </cfRule>
    <cfRule type="cellIs" dxfId="144" priority="6" operator="equal">
      <formula>"10%"</formula>
    </cfRule>
  </conditionalFormatting>
  <conditionalFormatting sqref="G1 C1:C123 C129:C139">
    <cfRule type="cellIs" dxfId="143" priority="2" operator="equal">
      <formula>"18%"</formula>
    </cfRule>
    <cfRule type="cellIs" dxfId="142" priority="5" operator="equal">
      <formula>"5%"</formula>
    </cfRule>
  </conditionalFormatting>
  <conditionalFormatting sqref="I92 CR221 CR239 CR246 CR255 CR258 CR268:CR269 CR272:CR274 CR276">
    <cfRule type="containsText" dxfId="141" priority="1" operator="containsText" text="/">
      <formula>NOT(ISERROR(SEARCH(("/"),(I92))))</formula>
    </cfRule>
  </conditionalFormatting>
  <conditionalFormatting sqref="P1:P123 W1:W123 AD1:AD123 AK1:AK123 P125:P1024 W125:W1024 AD125:AD1024 AK125:AK1024">
    <cfRule type="cellIs" dxfId="140" priority="7" operator="lessThan">
      <formula>"90%"</formula>
    </cfRule>
    <cfRule type="cellIs" dxfId="139" priority="8" operator="lessThan">
      <formula>"100%"</formula>
    </cfRule>
  </conditionalFormatting>
  <conditionalFormatting sqref="AJ1:AJ123 AJ125:AJ1024">
    <cfRule type="cellIs" dxfId="138" priority="10" operator="lessThan">
      <formula>0</formula>
    </cfRule>
  </conditionalFormatting>
  <conditionalFormatting sqref="AK1:AK123 AK125:AK1024">
    <cfRule type="cellIs" dxfId="137" priority="9" operator="greaterThanOrEqual">
      <formula>"100%"</formula>
    </cfRule>
  </conditionalFormatting>
  <conditionalFormatting sqref="AM2:AM22 AQ2:AQ22 AU2:AU22 BE2:BE123 BE132:BE137">
    <cfRule type="cellIs" dxfId="136" priority="14" operator="lessThan">
      <formula>4000000</formula>
    </cfRule>
    <cfRule type="cellIs" dxfId="135" priority="15" operator="greaterThanOrEqual">
      <formula>5000000</formula>
    </cfRule>
  </conditionalFormatting>
  <conditionalFormatting sqref="AM2:AM22">
    <cfRule type="cellIs" dxfId="134" priority="19" operator="lessThan">
      <formula>5000000</formula>
    </cfRule>
  </conditionalFormatting>
  <conditionalFormatting sqref="AM23:AM80 AQ23:AQ80 AU23:AU80 BE23:BE80 AM132:AM134 AQ132:AQ134 AU132:AU134 BE132:BE134 AM138:AM139 AQ138:AQ139 AU138:AU139 BE138:BE139">
    <cfRule type="cellIs" dxfId="133" priority="16" operator="lessThan">
      <formula>1200000</formula>
    </cfRule>
    <cfRule type="cellIs" dxfId="132" priority="17" operator="lessThan">
      <formula>1500000</formula>
    </cfRule>
  </conditionalFormatting>
  <conditionalFormatting sqref="AX2:AX22">
    <cfRule type="cellIs" dxfId="131" priority="20" operator="lessThan">
      <formula>12000000</formula>
    </cfRule>
    <cfRule type="cellIs" dxfId="130" priority="21" operator="lessThan">
      <formula>15000000</formula>
    </cfRule>
    <cfRule type="cellIs" dxfId="129" priority="22" operator="greaterThanOrEqual">
      <formula>15000000</formula>
    </cfRule>
  </conditionalFormatting>
  <conditionalFormatting sqref="AX23:AX80 AX132:AX134 AX138:AX139">
    <cfRule type="cellIs" dxfId="128" priority="24" operator="lessThan">
      <formula>4500000</formula>
    </cfRule>
    <cfRule type="cellIs" dxfId="127" priority="25" operator="greaterThanOrEqual">
      <formula>4500000</formula>
    </cfRule>
    <cfRule type="cellIs" dxfId="126" priority="23" operator="lessThan">
      <formula>3600000</formula>
    </cfRule>
  </conditionalFormatting>
  <conditionalFormatting sqref="AZ2:AZ123 BC2:BC123 BG2:BG123 BW124:BX124 AZ131:AZ139 BC131:BC139 BG131:BG139">
    <cfRule type="cellIs" dxfId="125" priority="12" operator="equal">
      <formula>0</formula>
    </cfRule>
    <cfRule type="containsBlanks" dxfId="124" priority="13">
      <formula>LEN(TRIM(AZ2))=0</formula>
    </cfRule>
  </conditionalFormatting>
  <conditionalFormatting sqref="BE23:BE80 BE132:BE134 AM23:AM80 AQ23:AQ80 AU23:AU80 AM132:AM134 AQ132:AQ134 AU132:AU134 AM138:AM139 AQ138:AQ139 AU138:AU139 BE138:BE139">
    <cfRule type="cellIs" dxfId="123" priority="18" operator="greaterThanOrEqual">
      <formula>1500000</formula>
    </cfRule>
  </conditionalFormatting>
  <conditionalFormatting sqref="BE2:BG123 BE131:BG139 BI2:BK123 BI131:BK139">
    <cfRule type="containsBlanks" dxfId="122" priority="26">
      <formula>LEN(TRIM(BE2))=0</formula>
    </cfRule>
    <cfRule type="cellIs" dxfId="121" priority="27" operator="equal">
      <formula>0</formula>
    </cfRule>
  </conditionalFormatting>
  <conditionalFormatting sqref="BI2:BO11">
    <cfRule type="cellIs" dxfId="120" priority="28" operator="lessThan">
      <formula>5000000</formula>
    </cfRule>
    <cfRule type="cellIs" dxfId="119" priority="29" operator="greaterThanOrEqual">
      <formula>5000000</formula>
    </cfRule>
  </conditionalFormatting>
  <conditionalFormatting sqref="BM13:BO68 BM134:BO134">
    <cfRule type="cellIs" dxfId="118" priority="32" operator="greaterThanOrEqual">
      <formula>1500000</formula>
    </cfRule>
    <cfRule type="cellIs" dxfId="117" priority="33" operator="lessThan">
      <formula>1500000</formula>
    </cfRule>
  </conditionalFormatting>
  <conditionalFormatting sqref="BP2:BR11">
    <cfRule type="cellIs" dxfId="116" priority="30" operator="greaterThanOrEqual">
      <formula>15000000</formula>
    </cfRule>
    <cfRule type="cellIs" dxfId="115" priority="31" operator="lessThan">
      <formula>15000000</formula>
    </cfRule>
  </conditionalFormatting>
  <conditionalFormatting sqref="BP13:BR68 BP134:BR134">
    <cfRule type="cellIs" dxfId="114" priority="34" operator="greaterThanOrEqual">
      <formula>4500000</formula>
    </cfRule>
    <cfRule type="cellIs" dxfId="113" priority="35" operator="lessThan">
      <formula>4500000</formula>
    </cfRule>
  </conditionalFormatting>
  <conditionalFormatting sqref="CR218:CR231 CR234:CR249 CR255:CR266 CR268:CR340 CR1:CR214 CR216 CR251:CR252 CR342:CR343 CR345:CR1024">
    <cfRule type="containsText" dxfId="112" priority="11" operator="containsText" text="ALTI">
      <formula>NOT(ISERROR(SEARCH(("ALTI"),(CR1))))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  <pageSetUpPr fitToPage="1"/>
  </sheetPr>
  <dimension ref="A1:DJ1078"/>
  <sheetViews>
    <sheetView showGridLines="0" workbookViewId="0">
      <pane xSplit="13" ySplit="1" topLeftCell="BI2" activePane="bottomRight" state="frozen"/>
      <selection pane="topRight" activeCell="N1" sqref="N1"/>
      <selection pane="bottomLeft" activeCell="A2" sqref="A2"/>
      <selection pane="bottomRight" activeCell="N2" sqref="N2"/>
    </sheetView>
  </sheetViews>
  <sheetFormatPr baseColWidth="10" defaultColWidth="12.6640625" defaultRowHeight="15.75" customHeight="1"/>
  <cols>
    <col min="1" max="1" width="11" customWidth="1"/>
    <col min="2" max="12" width="5.6640625" customWidth="1"/>
    <col min="13" max="13" width="35.5" customWidth="1"/>
    <col min="14" max="15" width="12.1640625" hidden="1" customWidth="1"/>
    <col min="16" max="60" width="10.6640625" hidden="1" customWidth="1"/>
    <col min="61" max="61" width="10.6640625" customWidth="1"/>
    <col min="62" max="62" width="10.6640625" hidden="1" customWidth="1"/>
    <col min="63" max="63" width="10.6640625" customWidth="1"/>
    <col min="64" max="64" width="10.6640625" hidden="1" customWidth="1"/>
    <col min="65" max="65" width="10.6640625" customWidth="1"/>
    <col min="66" max="66" width="10.6640625" hidden="1" customWidth="1"/>
    <col min="67" max="67" width="10.6640625" customWidth="1"/>
    <col min="68" max="68" width="10.6640625" hidden="1" customWidth="1"/>
    <col min="69" max="69" width="10.6640625" customWidth="1"/>
    <col min="70" max="70" width="10.6640625" hidden="1" customWidth="1"/>
    <col min="71" max="72" width="10.6640625" customWidth="1"/>
    <col min="73" max="73" width="10.6640625" hidden="1" customWidth="1"/>
    <col min="74" max="74" width="10.6640625" customWidth="1"/>
    <col min="75" max="75" width="10.6640625" hidden="1" customWidth="1"/>
    <col min="76" max="76" width="10.6640625" customWidth="1"/>
    <col min="77" max="77" width="10.6640625" hidden="1" customWidth="1"/>
    <col min="78" max="78" width="10.6640625" customWidth="1"/>
    <col min="79" max="80" width="10.6640625" hidden="1" customWidth="1"/>
    <col min="81" max="82" width="10.6640625" customWidth="1"/>
    <col min="83" max="83" width="11.6640625" customWidth="1"/>
    <col min="84" max="92" width="10.6640625" customWidth="1"/>
    <col min="99" max="99" width="29.6640625" customWidth="1"/>
  </cols>
  <sheetData>
    <row r="1" spans="1:114" ht="15.75" customHeight="1">
      <c r="A1" s="816" t="s">
        <v>19</v>
      </c>
      <c r="B1" s="513" t="s">
        <v>20</v>
      </c>
      <c r="C1" s="514" t="s">
        <v>21</v>
      </c>
      <c r="D1" s="514" t="s">
        <v>22</v>
      </c>
      <c r="E1" s="928" t="s">
        <v>23</v>
      </c>
      <c r="F1" s="929" t="s">
        <v>20</v>
      </c>
      <c r="G1" s="930" t="s">
        <v>21</v>
      </c>
      <c r="H1" s="930" t="s">
        <v>22</v>
      </c>
      <c r="I1" s="820" t="s">
        <v>23</v>
      </c>
      <c r="J1" s="931" t="s">
        <v>20</v>
      </c>
      <c r="K1" s="932" t="s">
        <v>21</v>
      </c>
      <c r="L1" s="933" t="s">
        <v>22</v>
      </c>
      <c r="M1" s="516" t="s">
        <v>24</v>
      </c>
      <c r="N1" s="1242">
        <v>45681</v>
      </c>
      <c r="O1" s="826" t="s">
        <v>989</v>
      </c>
      <c r="P1" s="78" t="s">
        <v>26</v>
      </c>
      <c r="Q1" s="79" t="s">
        <v>27</v>
      </c>
      <c r="R1" s="518" t="s">
        <v>28</v>
      </c>
      <c r="S1" s="519" t="s">
        <v>29</v>
      </c>
      <c r="T1" s="1298" t="s">
        <v>30</v>
      </c>
      <c r="U1" s="1242">
        <v>45712</v>
      </c>
      <c r="V1" s="522" t="s">
        <v>990</v>
      </c>
      <c r="W1" s="523" t="s">
        <v>26</v>
      </c>
      <c r="X1" s="79" t="s">
        <v>27</v>
      </c>
      <c r="Y1" s="524" t="s">
        <v>831</v>
      </c>
      <c r="Z1" s="525" t="s">
        <v>29</v>
      </c>
      <c r="AA1" s="1298" t="s">
        <v>30</v>
      </c>
      <c r="AB1" s="1242">
        <v>45740</v>
      </c>
      <c r="AC1" s="826" t="s">
        <v>679</v>
      </c>
      <c r="AD1" s="78" t="s">
        <v>26</v>
      </c>
      <c r="AE1" s="79" t="s">
        <v>27</v>
      </c>
      <c r="AF1" s="518" t="s">
        <v>34</v>
      </c>
      <c r="AG1" s="519" t="s">
        <v>29</v>
      </c>
      <c r="AH1" s="1298" t="s">
        <v>30</v>
      </c>
      <c r="AI1" s="1243" t="s">
        <v>35</v>
      </c>
      <c r="AJ1" s="528" t="s">
        <v>36</v>
      </c>
      <c r="AK1" s="523" t="s">
        <v>26</v>
      </c>
      <c r="AL1" s="79" t="s">
        <v>27</v>
      </c>
      <c r="AM1" s="524" t="s">
        <v>41</v>
      </c>
      <c r="AN1" s="525" t="s">
        <v>29</v>
      </c>
      <c r="AO1" s="520" t="s">
        <v>30</v>
      </c>
      <c r="AP1" s="1155">
        <v>45771</v>
      </c>
      <c r="AQ1" s="78" t="s">
        <v>26</v>
      </c>
      <c r="AR1" s="79" t="s">
        <v>27</v>
      </c>
      <c r="AS1" s="518" t="s">
        <v>38</v>
      </c>
      <c r="AT1" s="1155">
        <v>45801</v>
      </c>
      <c r="AU1" s="78" t="s">
        <v>26</v>
      </c>
      <c r="AV1" s="79" t="s">
        <v>27</v>
      </c>
      <c r="AW1" s="518" t="s">
        <v>39</v>
      </c>
      <c r="AX1" s="1155">
        <v>45832</v>
      </c>
      <c r="AY1" s="78" t="s">
        <v>26</v>
      </c>
      <c r="AZ1" s="79" t="s">
        <v>27</v>
      </c>
      <c r="BA1" s="529" t="s">
        <v>40</v>
      </c>
      <c r="BB1" s="530" t="s">
        <v>26</v>
      </c>
      <c r="BC1" s="531" t="s">
        <v>27</v>
      </c>
      <c r="BD1" s="532" t="s">
        <v>41</v>
      </c>
      <c r="BE1" s="1299" t="s">
        <v>26</v>
      </c>
      <c r="BF1" s="1154" t="s">
        <v>27</v>
      </c>
      <c r="BG1" s="534" t="s">
        <v>42</v>
      </c>
      <c r="BH1" s="1155">
        <v>45862</v>
      </c>
      <c r="BI1" s="1022" t="s">
        <v>26</v>
      </c>
      <c r="BJ1" s="1023" t="s">
        <v>27</v>
      </c>
      <c r="BK1" s="1300" t="s">
        <v>43</v>
      </c>
      <c r="BL1" s="1301">
        <v>45893</v>
      </c>
      <c r="BM1" s="78" t="s">
        <v>26</v>
      </c>
      <c r="BN1" s="79" t="s">
        <v>27</v>
      </c>
      <c r="BO1" s="518" t="s">
        <v>44</v>
      </c>
      <c r="BP1" s="1302">
        <v>45924</v>
      </c>
      <c r="BQ1" s="78" t="s">
        <v>26</v>
      </c>
      <c r="BR1" s="79" t="s">
        <v>27</v>
      </c>
      <c r="BS1" s="529" t="s">
        <v>45</v>
      </c>
      <c r="BT1" s="78" t="s">
        <v>26</v>
      </c>
      <c r="BU1" s="79" t="s">
        <v>27</v>
      </c>
      <c r="BV1" s="518" t="s">
        <v>41</v>
      </c>
      <c r="BW1" s="1303">
        <v>45954</v>
      </c>
      <c r="BX1" s="78" t="s">
        <v>26</v>
      </c>
      <c r="BY1" s="79" t="s">
        <v>27</v>
      </c>
      <c r="BZ1" s="518" t="s">
        <v>48</v>
      </c>
      <c r="CA1" s="81">
        <v>45985</v>
      </c>
      <c r="CB1" s="536">
        <v>46015</v>
      </c>
      <c r="CC1" s="82"/>
      <c r="CD1" s="82"/>
      <c r="CE1" s="1304" t="s">
        <v>250</v>
      </c>
      <c r="CF1" s="1304" t="s">
        <v>51</v>
      </c>
      <c r="CG1" s="1305" t="s">
        <v>52</v>
      </c>
      <c r="CH1" s="834" t="s">
        <v>1394</v>
      </c>
      <c r="CI1" s="834" t="s">
        <v>835</v>
      </c>
      <c r="CJ1" s="834" t="s">
        <v>1395</v>
      </c>
      <c r="CK1" s="1306" t="s">
        <v>502</v>
      </c>
      <c r="CL1" s="1307" t="s">
        <v>369</v>
      </c>
      <c r="CM1" s="1305" t="s">
        <v>1396</v>
      </c>
      <c r="CN1" s="1308" t="s">
        <v>683</v>
      </c>
      <c r="CO1" s="1309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</row>
    <row r="2" spans="1:114" ht="15.75" customHeight="1">
      <c r="A2" s="325">
        <f t="shared" ref="A2:A33" si="0">VLOOKUP(M2,lavcart4,3,FALSE)</f>
        <v>112014482</v>
      </c>
      <c r="B2" s="501">
        <f t="shared" ref="B2:B33" si="1">VLOOKUP(M2,LAVENIACARTERA,2,FALSE)</f>
        <v>12</v>
      </c>
      <c r="C2" s="699">
        <f t="shared" ref="C2:C33" si="2">IFERROR(VLOOKUP(B2,DES,2,FALSE),"")</f>
        <v>0.15</v>
      </c>
      <c r="D2" s="699">
        <f t="shared" ref="D2:D33" si="3">IFERROR(VLOOKUP(B2,DES,3,FALSE),"")</f>
        <v>0.09</v>
      </c>
      <c r="E2" s="700">
        <f t="shared" ref="E2:E33" si="4">IFERROR(VLOOKUP(B2,DES,4,FALSE),"")</f>
        <v>0</v>
      </c>
      <c r="F2" s="547">
        <f t="shared" ref="F2:F33" si="5">VLOOKUP(M2,LAVENIACART2,2,FALSE)</f>
        <v>12</v>
      </c>
      <c r="G2" s="699">
        <f t="shared" ref="G2:G33" si="6">IFERROR(VLOOKUP(F2,DES,2,FALSE),"")</f>
        <v>0.15</v>
      </c>
      <c r="H2" s="699">
        <f t="shared" ref="H2:H33" si="7">IFERROR(VLOOKUP(F2,DES,3,FALSE),"")</f>
        <v>0.09</v>
      </c>
      <c r="I2" s="702">
        <f t="shared" ref="I2:I33" si="8">IFERROR(VLOOKUP(F2,DES,4,FALSE),"")</f>
        <v>0</v>
      </c>
      <c r="J2" s="837">
        <f t="shared" ref="J2:J33" si="9">VLOOKUP(M2,lavcart4,2,FALSE)</f>
        <v>55</v>
      </c>
      <c r="K2" s="699">
        <f t="shared" ref="K2:K33" si="10">VLOOKUP(J2,A458DC1025,2,FALSE)</f>
        <v>0.15</v>
      </c>
      <c r="L2" s="1040">
        <f t="shared" ref="L2:L33" si="11">VLOOKUP(J2,A458DC1025,3,FALSE)</f>
        <v>0.05</v>
      </c>
      <c r="M2" s="703" t="s">
        <v>1397</v>
      </c>
      <c r="N2" s="116">
        <f>IFERROR(VLOOKUP(M2,tmkpechhhh24,3,FALSE),"")</f>
        <v>0</v>
      </c>
      <c r="O2" s="121">
        <v>3000000</v>
      </c>
      <c r="P2" s="113" t="e">
        <f t="shared" ref="P2:P117" si="12">R2-Q2</f>
        <v>#VALUE!</v>
      </c>
      <c r="Q2" s="116" t="str">
        <f t="shared" ref="Q2:Q33" si="13">IFERROR(VLOOKUP(M2,VANEALIM,3,FALSE),"")</f>
        <v/>
      </c>
      <c r="R2" s="117">
        <f t="shared" ref="R2:R33" si="14">IFERROR(VLOOKUP(M2,LAVEFC,3,FALSE),"0")</f>
        <v>621280.86</v>
      </c>
      <c r="S2" s="114"/>
      <c r="T2" s="116"/>
      <c r="U2" s="116">
        <f t="shared" ref="U2:U33" si="15">IFERROR(VLOOKUP(M2,tmkpechhhh24,4,FALSE),"")</f>
        <v>0</v>
      </c>
      <c r="V2" s="116">
        <v>3000000</v>
      </c>
      <c r="W2" s="116" t="e">
        <f t="shared" ref="W2:W117" si="16">Y2-X2</f>
        <v>#VALUE!</v>
      </c>
      <c r="X2" s="116" t="str">
        <f t="shared" ref="X2:X33" si="17">IFERROR(VLOOKUP(M2,VANEALIM,4,FALSE),"")</f>
        <v/>
      </c>
      <c r="Y2" s="116">
        <f t="shared" ref="Y2:Y33" si="18">IFERROR(VLOOKUP(M2,LAVEFC,4,FALSE),"0")</f>
        <v>481627.97</v>
      </c>
      <c r="Z2" s="116"/>
      <c r="AA2" s="116"/>
      <c r="AB2" s="116">
        <f t="shared" ref="AB2:AB33" si="19">IFERROR(VLOOKUP(M2,tmkpechhhh24,5,FALSE),"")</f>
        <v>0</v>
      </c>
      <c r="AC2" s="121">
        <v>3000000</v>
      </c>
      <c r="AD2" s="113" t="e">
        <f t="shared" ref="AD2:AD117" si="20">AF2-AE2</f>
        <v>#VALUE!</v>
      </c>
      <c r="AE2" s="116" t="str">
        <f t="shared" ref="AE2:AE33" si="21">IFERROR(VLOOKUP(M2,VANEALIM,5,FALSE),"")</f>
        <v/>
      </c>
      <c r="AF2" s="117">
        <f t="shared" ref="AF2:AF33" si="22">IFERROR(VLOOKUP(M2,LAVEFC,5,FALSE),"0")</f>
        <v>933739.86</v>
      </c>
      <c r="AG2" s="114"/>
      <c r="AH2" s="116"/>
      <c r="AI2" s="1252">
        <f t="shared" ref="AI2:AI117" si="23">SUM(O2,V2,AC2)</f>
        <v>9000000</v>
      </c>
      <c r="AJ2" s="113">
        <f t="shared" ref="AJ2:AJ33" si="24">IFERROR(VLOOKUP(M2,trim2024,2,FALSE),"0")</f>
        <v>1457097.51</v>
      </c>
      <c r="AK2" s="114" t="e">
        <f t="shared" ref="AK2:AM2" si="25">AD2+W2+P2</f>
        <v>#VALUE!</v>
      </c>
      <c r="AL2" s="114" t="e">
        <f t="shared" si="25"/>
        <v>#VALUE!</v>
      </c>
      <c r="AM2" s="114">
        <f t="shared" si="25"/>
        <v>2036648.69</v>
      </c>
      <c r="AN2" s="114">
        <f t="shared" ref="AN2:AN117" si="26">AM2-AJ2</f>
        <v>579551.17999999993</v>
      </c>
      <c r="AO2" s="1310">
        <f>AN2/AJ2</f>
        <v>0.3977435799749599</v>
      </c>
      <c r="AP2" s="419">
        <f t="shared" ref="AP2:AP33" si="27">IFERROR(VLOOKUP(M2,tmkpechhhh24,6,FALSE),"")</f>
        <v>0</v>
      </c>
      <c r="AQ2" s="1311" t="e">
        <f t="shared" ref="AQ2:AQ117" si="28">AS2-AR2</f>
        <v>#VALUE!</v>
      </c>
      <c r="AR2" s="1312" t="str">
        <f t="shared" ref="AR2:AR33" si="29">IFERROR(VLOOKUP(M2,VANEALIM,6,FALSE),"")</f>
        <v/>
      </c>
      <c r="AS2" s="1313">
        <f t="shared" ref="AS2:AS33" si="30">IFERROR(VLOOKUP(M2,LAVEFC,6,FALSE),"0")</f>
        <v>510194.23</v>
      </c>
      <c r="AT2" s="1314">
        <f t="shared" ref="AT2:AT32" si="31">IFERROR(VLOOKUP(M2,tmkpechhhh24,7,FALSE),"")</f>
        <v>0</v>
      </c>
      <c r="AU2" s="739" t="e">
        <f t="shared" ref="AU2:AU117" si="32">AW2-AV2</f>
        <v>#VALUE!</v>
      </c>
      <c r="AV2" s="740" t="str">
        <f t="shared" ref="AV2:AV33" si="33">IFERROR(VLOOKUP(M2,VANEALIM,7,FALSE),"")</f>
        <v/>
      </c>
      <c r="AW2" s="741">
        <f t="shared" ref="AW2:AW33" si="34">IFERROR(VLOOKUP(M2,LAVEFC,7,FALSE),"0")</f>
        <v>366000.26</v>
      </c>
      <c r="AX2" s="1314">
        <f t="shared" ref="AX2:AX32" si="35">IFERROR(VLOOKUP(M2,tmkpechhhh24,8,FALSE),"")</f>
        <v>0</v>
      </c>
      <c r="AY2" s="739" t="e">
        <f t="shared" ref="AY2:AY117" si="36">BA2-AZ2</f>
        <v>#VALUE!</v>
      </c>
      <c r="AZ2" s="740" t="str">
        <f t="shared" ref="AZ2:AZ33" si="37">IFERROR(VLOOKUP(M2,VANEALIM,8,FALSE),"")</f>
        <v/>
      </c>
      <c r="BA2" s="1274">
        <f t="shared" ref="BA2:BA33" si="38">IFERROR(VLOOKUP(M2,LAVEFC,8,FALSE),"0")</f>
        <v>397367.59</v>
      </c>
      <c r="BB2" s="841" t="e">
        <f t="shared" ref="BB2:BD2" si="39">SUM(AY2,AU2,AQ2)</f>
        <v>#VALUE!</v>
      </c>
      <c r="BC2" s="116">
        <f t="shared" si="39"/>
        <v>0</v>
      </c>
      <c r="BD2" s="117">
        <f t="shared" si="39"/>
        <v>1273562.08</v>
      </c>
      <c r="BE2" s="114" t="e">
        <f t="shared" ref="BE2:BE117" si="40">SUM(BB2,AK2)</f>
        <v>#VALUE!</v>
      </c>
      <c r="BF2" s="116">
        <f t="shared" ref="BF2:BF117" si="41">BC2</f>
        <v>0</v>
      </c>
      <c r="BG2" s="119">
        <f t="shared" ref="BG2:BG117" si="42">SUM(BD2,AM2)</f>
        <v>3310210.77</v>
      </c>
      <c r="BH2" s="419">
        <f t="shared" ref="BH2:BH32" si="43">IFERROR(VLOOKUP(M2,tmkpechhhh24,9,FALSE),"")</f>
        <v>885842.23</v>
      </c>
      <c r="BI2" s="1315" t="e">
        <f t="shared" ref="BI2:BI117" si="44">BK2-BJ2</f>
        <v>#VALUE!</v>
      </c>
      <c r="BJ2" s="703" t="str">
        <f t="shared" ref="BJ2:BJ33" si="45">IFERROR(VLOOKUP(M2,VANEALIM,9,FALSE),"")</f>
        <v/>
      </c>
      <c r="BK2" s="463">
        <f t="shared" ref="BK2:BK33" si="46">IFERROR(VLOOKUP(M2,LAVEFC,9,FALSE),"0")</f>
        <v>151597.81</v>
      </c>
      <c r="BL2" s="123">
        <f t="shared" ref="BL2:BL32" si="47">IFERROR(VLOOKUP(M2,tmkpechhhh24,10,FALSE),"")</f>
        <v>403744.91</v>
      </c>
      <c r="BM2" s="113" t="e">
        <f t="shared" ref="BM2:BM117" si="48">BO2-BN2</f>
        <v>#VALUE!</v>
      </c>
      <c r="BN2" s="116" t="str">
        <f t="shared" ref="BN2:BN33" si="49">IFERROR(VLOOKUP(M2,VANEALIM,10,FALSE),"")</f>
        <v/>
      </c>
      <c r="BO2" s="115">
        <f>IFERROR(VLOOKUP(M2,LAVEFC,10,FALSE),"")</f>
        <v>0</v>
      </c>
      <c r="BP2" s="326">
        <f t="shared" ref="BP2:BP32" si="50">IFERROR(VLOOKUP(M2,tmkpechhhh24,11,FALSE),"")</f>
        <v>319856.67</v>
      </c>
      <c r="BQ2" s="326" t="e">
        <f t="shared" ref="BQ2:BQ117" si="51">BS2-BR2</f>
        <v>#VALUE!</v>
      </c>
      <c r="BR2" s="326" t="str">
        <f t="shared" ref="BR2:BR33" si="52">IFERROR(VLOOKUP(M2,VANEALIM,11,FALSE),"")</f>
        <v/>
      </c>
      <c r="BS2" s="332">
        <f t="shared" ref="BS2:BS33" si="53">IFERROR(VLOOKUP(M2,LAVEFC,11,FALSE),"")</f>
        <v>0</v>
      </c>
      <c r="BT2" s="586" t="e">
        <f t="shared" ref="BT2:BV2" si="54">SUM(BQ2,BM2,BI2)</f>
        <v>#VALUE!</v>
      </c>
      <c r="BU2" s="738">
        <f t="shared" si="54"/>
        <v>0</v>
      </c>
      <c r="BV2" s="737">
        <f t="shared" si="54"/>
        <v>151597.81</v>
      </c>
      <c r="BW2" s="125">
        <f t="shared" ref="BW2:BW32" si="55">IFERROR(VLOOKUP(M2,tmkpechhhh24,12,FALSE),"")</f>
        <v>445477.11</v>
      </c>
      <c r="BX2" s="140" t="e">
        <f t="shared" ref="BX2:BX117" si="56">BZ2-BY2</f>
        <v>#VALUE!</v>
      </c>
      <c r="BY2" s="123" t="str">
        <f t="shared" ref="BY2:BY33" si="57">IFERROR(VLOOKUP(M2,VANEALIM,12,FALSE),"")</f>
        <v/>
      </c>
      <c r="BZ2" s="333">
        <f t="shared" ref="BZ2:BZ33" si="58">IFERROR(VLOOKUP(M2,LAVEFC,12,FALSE),"")</f>
        <v>0</v>
      </c>
      <c r="CA2" s="123">
        <f t="shared" ref="CA2:CA32" si="59">IFERROR(VLOOKUP(M2,tmkpechhhh24,13,FALSE),"")</f>
        <v>285853.19</v>
      </c>
      <c r="CB2" s="326">
        <f t="shared" ref="CB2:CB32" si="60">IFERROR(VLOOKUP(M2,tmkpechhhh24,14,FALSE),"")</f>
        <v>725767.22</v>
      </c>
      <c r="CE2" s="842"/>
      <c r="CF2" s="442"/>
      <c r="CG2" s="442"/>
      <c r="CH2" s="153"/>
      <c r="CI2" s="153"/>
      <c r="CJ2" s="153"/>
      <c r="CK2" s="1316"/>
      <c r="CL2" s="442"/>
      <c r="CM2" s="442"/>
      <c r="CN2" s="153"/>
      <c r="CO2" s="442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</row>
    <row r="3" spans="1:114" ht="15.75" customHeight="1">
      <c r="A3" s="325">
        <f t="shared" si="0"/>
        <v>112012985</v>
      </c>
      <c r="B3" s="324">
        <f t="shared" si="1"/>
        <v>12</v>
      </c>
      <c r="C3" s="558">
        <f t="shared" si="2"/>
        <v>0.15</v>
      </c>
      <c r="D3" s="558">
        <f t="shared" si="3"/>
        <v>0.09</v>
      </c>
      <c r="E3" s="715">
        <f t="shared" si="4"/>
        <v>0</v>
      </c>
      <c r="F3" s="547">
        <f t="shared" si="5"/>
        <v>12</v>
      </c>
      <c r="G3" s="699">
        <f t="shared" si="6"/>
        <v>0.15</v>
      </c>
      <c r="H3" s="699">
        <f t="shared" si="7"/>
        <v>0.09</v>
      </c>
      <c r="I3" s="702">
        <f t="shared" si="8"/>
        <v>0</v>
      </c>
      <c r="J3" s="837">
        <f t="shared" si="9"/>
        <v>55</v>
      </c>
      <c r="K3" s="699">
        <f t="shared" si="10"/>
        <v>0.15</v>
      </c>
      <c r="L3" s="1040">
        <f t="shared" si="11"/>
        <v>0.05</v>
      </c>
      <c r="M3" s="423" t="s">
        <v>1398</v>
      </c>
      <c r="N3" s="326"/>
      <c r="O3" s="332"/>
      <c r="P3" s="113" t="e">
        <f t="shared" si="12"/>
        <v>#VALUE!</v>
      </c>
      <c r="Q3" s="116" t="str">
        <f t="shared" si="13"/>
        <v/>
      </c>
      <c r="R3" s="117" t="str">
        <f t="shared" si="14"/>
        <v>0</v>
      </c>
      <c r="S3" s="114"/>
      <c r="T3" s="116"/>
      <c r="U3" s="116">
        <f t="shared" si="15"/>
        <v>0</v>
      </c>
      <c r="V3" s="116">
        <v>3000000</v>
      </c>
      <c r="W3" s="116" t="e">
        <f t="shared" si="16"/>
        <v>#VALUE!</v>
      </c>
      <c r="X3" s="116" t="str">
        <f t="shared" si="17"/>
        <v/>
      </c>
      <c r="Y3" s="116" t="str">
        <f t="shared" si="18"/>
        <v>0</v>
      </c>
      <c r="Z3" s="326"/>
      <c r="AA3" s="326"/>
      <c r="AB3" s="326">
        <f t="shared" si="19"/>
        <v>6207982.2000000002</v>
      </c>
      <c r="AC3" s="332">
        <v>1800000</v>
      </c>
      <c r="AD3" s="140" t="e">
        <f t="shared" si="20"/>
        <v>#VALUE!</v>
      </c>
      <c r="AE3" s="326" t="str">
        <f t="shared" si="21"/>
        <v/>
      </c>
      <c r="AF3" s="117" t="str">
        <f t="shared" si="22"/>
        <v>0</v>
      </c>
      <c r="AG3" s="123"/>
      <c r="AH3" s="326"/>
      <c r="AI3" s="1257">
        <f t="shared" si="23"/>
        <v>4800000</v>
      </c>
      <c r="AJ3" s="140" t="str">
        <f t="shared" si="24"/>
        <v>0</v>
      </c>
      <c r="AK3" s="123" t="e">
        <f t="shared" ref="AK3:AM3" si="61">AD3+W3+P3</f>
        <v>#VALUE!</v>
      </c>
      <c r="AL3" s="123" t="e">
        <f t="shared" si="61"/>
        <v>#VALUE!</v>
      </c>
      <c r="AM3" s="123">
        <f t="shared" si="61"/>
        <v>0</v>
      </c>
      <c r="AN3" s="123">
        <f t="shared" si="26"/>
        <v>0</v>
      </c>
      <c r="AO3" s="1317" t="str">
        <f t="shared" ref="AO3:AO117" si="62">IFERROR((AN3/AJ3),"")</f>
        <v/>
      </c>
      <c r="AP3" s="434">
        <f t="shared" si="27"/>
        <v>0</v>
      </c>
      <c r="AQ3" s="1318" t="e">
        <f t="shared" si="28"/>
        <v>#VALUE!</v>
      </c>
      <c r="AR3" s="1319" t="str">
        <f t="shared" si="29"/>
        <v/>
      </c>
      <c r="AS3" s="1320" t="str">
        <f t="shared" si="30"/>
        <v>0</v>
      </c>
      <c r="AT3" s="125">
        <f t="shared" si="31"/>
        <v>0</v>
      </c>
      <c r="AU3" s="140" t="e">
        <f t="shared" si="32"/>
        <v>#VALUE!</v>
      </c>
      <c r="AV3" s="326" t="str">
        <f t="shared" si="33"/>
        <v/>
      </c>
      <c r="AW3" s="333" t="str">
        <f t="shared" si="34"/>
        <v>0</v>
      </c>
      <c r="AX3" s="125">
        <f t="shared" si="35"/>
        <v>36482.82</v>
      </c>
      <c r="AY3" s="140" t="e">
        <f t="shared" si="36"/>
        <v>#VALUE!</v>
      </c>
      <c r="AZ3" s="326" t="str">
        <f t="shared" si="37"/>
        <v/>
      </c>
      <c r="BA3" s="332" t="str">
        <f t="shared" si="38"/>
        <v>0</v>
      </c>
      <c r="BB3" s="122" t="e">
        <f t="shared" ref="BB3:BD3" si="63">SUM(AY3,AU3,AQ3)</f>
        <v>#VALUE!</v>
      </c>
      <c r="BC3" s="326">
        <f t="shared" si="63"/>
        <v>0</v>
      </c>
      <c r="BD3" s="333">
        <f t="shared" si="63"/>
        <v>0</v>
      </c>
      <c r="BE3" s="123" t="e">
        <f t="shared" si="40"/>
        <v>#VALUE!</v>
      </c>
      <c r="BF3" s="326">
        <f t="shared" si="41"/>
        <v>0</v>
      </c>
      <c r="BG3" s="435">
        <f t="shared" si="42"/>
        <v>0</v>
      </c>
      <c r="BH3" s="434">
        <f t="shared" si="43"/>
        <v>0</v>
      </c>
      <c r="BI3" s="1321" t="e">
        <f t="shared" si="44"/>
        <v>#VALUE!</v>
      </c>
      <c r="BJ3" s="423" t="str">
        <f t="shared" si="45"/>
        <v/>
      </c>
      <c r="BK3" s="325" t="str">
        <f t="shared" si="46"/>
        <v>0</v>
      </c>
      <c r="BL3" s="123">
        <f t="shared" si="47"/>
        <v>0</v>
      </c>
      <c r="BM3" s="113" t="e">
        <f t="shared" si="48"/>
        <v>#VALUE!</v>
      </c>
      <c r="BN3" s="116" t="str">
        <f t="shared" si="49"/>
        <v/>
      </c>
      <c r="BO3" s="115" t="str">
        <f t="shared" ref="BO3:BO34" si="64">IFERROR(VLOOKUP(M3,LAVEFC,10,FALSE),"0")</f>
        <v>0</v>
      </c>
      <c r="BP3" s="326">
        <f t="shared" si="50"/>
        <v>0</v>
      </c>
      <c r="BQ3" s="326" t="e">
        <f t="shared" si="51"/>
        <v>#VALUE!</v>
      </c>
      <c r="BR3" s="326" t="str">
        <f t="shared" si="52"/>
        <v/>
      </c>
      <c r="BS3" s="332" t="str">
        <f t="shared" si="53"/>
        <v/>
      </c>
      <c r="BT3" s="586" t="e">
        <f t="shared" ref="BT3:BV3" si="65">SUM(BQ3,BM3,BI3)</f>
        <v>#VALUE!</v>
      </c>
      <c r="BU3" s="738">
        <f t="shared" si="65"/>
        <v>0</v>
      </c>
      <c r="BV3" s="737">
        <f t="shared" si="65"/>
        <v>0</v>
      </c>
      <c r="BW3" s="125">
        <f t="shared" si="55"/>
        <v>0</v>
      </c>
      <c r="BX3" s="140" t="e">
        <f t="shared" si="56"/>
        <v>#VALUE!</v>
      </c>
      <c r="BY3" s="123" t="str">
        <f t="shared" si="57"/>
        <v/>
      </c>
      <c r="BZ3" s="333" t="str">
        <f t="shared" si="58"/>
        <v/>
      </c>
      <c r="CA3" s="123">
        <f t="shared" si="59"/>
        <v>0</v>
      </c>
      <c r="CB3" s="326">
        <f t="shared" si="60"/>
        <v>0</v>
      </c>
      <c r="CE3" s="190">
        <v>0.15</v>
      </c>
      <c r="CF3" s="324">
        <v>10</v>
      </c>
      <c r="CG3" s="440">
        <v>4</v>
      </c>
      <c r="CH3" s="441">
        <v>1</v>
      </c>
      <c r="CI3" s="441">
        <v>1</v>
      </c>
      <c r="CJ3" s="138">
        <v>7</v>
      </c>
      <c r="CK3" s="1322">
        <v>9</v>
      </c>
      <c r="CL3" s="324">
        <v>9</v>
      </c>
      <c r="CM3" s="324">
        <v>10</v>
      </c>
      <c r="CN3" s="138">
        <v>10</v>
      </c>
      <c r="CO3" s="325"/>
    </row>
    <row r="4" spans="1:114" ht="15.75" customHeight="1">
      <c r="A4" s="325">
        <f t="shared" si="0"/>
        <v>112014120</v>
      </c>
      <c r="B4" s="324">
        <f t="shared" si="1"/>
        <v>11</v>
      </c>
      <c r="C4" s="558">
        <f t="shared" si="2"/>
        <v>0.15</v>
      </c>
      <c r="D4" s="558">
        <f t="shared" si="3"/>
        <v>0.2</v>
      </c>
      <c r="E4" s="715">
        <f t="shared" si="4"/>
        <v>0</v>
      </c>
      <c r="F4" s="547">
        <f t="shared" si="5"/>
        <v>11</v>
      </c>
      <c r="G4" s="699">
        <f t="shared" si="6"/>
        <v>0.15</v>
      </c>
      <c r="H4" s="699">
        <f t="shared" si="7"/>
        <v>0.2</v>
      </c>
      <c r="I4" s="702">
        <f t="shared" si="8"/>
        <v>0</v>
      </c>
      <c r="J4" s="837">
        <f t="shared" si="9"/>
        <v>54</v>
      </c>
      <c r="K4" s="699">
        <f t="shared" si="10"/>
        <v>0.15</v>
      </c>
      <c r="L4" s="1040">
        <f t="shared" si="11"/>
        <v>0.11</v>
      </c>
      <c r="M4" s="423" t="s">
        <v>1399</v>
      </c>
      <c r="N4" s="326"/>
      <c r="O4" s="332"/>
      <c r="P4" s="113" t="e">
        <f t="shared" si="12"/>
        <v>#VALUE!</v>
      </c>
      <c r="Q4" s="116" t="str">
        <f t="shared" si="13"/>
        <v/>
      </c>
      <c r="R4" s="117" t="str">
        <f t="shared" si="14"/>
        <v>0</v>
      </c>
      <c r="S4" s="114"/>
      <c r="T4" s="116"/>
      <c r="U4" s="116">
        <f t="shared" si="15"/>
        <v>0</v>
      </c>
      <c r="V4" s="116">
        <v>3000000</v>
      </c>
      <c r="W4" s="116" t="e">
        <f t="shared" si="16"/>
        <v>#VALUE!</v>
      </c>
      <c r="X4" s="116" t="str">
        <f t="shared" si="17"/>
        <v/>
      </c>
      <c r="Y4" s="116" t="str">
        <f t="shared" si="18"/>
        <v>0</v>
      </c>
      <c r="Z4" s="326"/>
      <c r="AA4" s="326"/>
      <c r="AB4" s="326">
        <f t="shared" si="19"/>
        <v>0</v>
      </c>
      <c r="AC4" s="332">
        <v>1800000</v>
      </c>
      <c r="AD4" s="140" t="e">
        <f t="shared" si="20"/>
        <v>#VALUE!</v>
      </c>
      <c r="AE4" s="326" t="str">
        <f t="shared" si="21"/>
        <v/>
      </c>
      <c r="AF4" s="117" t="str">
        <f t="shared" si="22"/>
        <v>0</v>
      </c>
      <c r="AG4" s="123"/>
      <c r="AH4" s="326"/>
      <c r="AI4" s="1257">
        <f t="shared" si="23"/>
        <v>4800000</v>
      </c>
      <c r="AJ4" s="140" t="str">
        <f t="shared" si="24"/>
        <v>0</v>
      </c>
      <c r="AK4" s="123" t="e">
        <f t="shared" ref="AK4:AM4" si="66">AD4+W4+P4</f>
        <v>#VALUE!</v>
      </c>
      <c r="AL4" s="123" t="e">
        <f t="shared" si="66"/>
        <v>#VALUE!</v>
      </c>
      <c r="AM4" s="123">
        <f t="shared" si="66"/>
        <v>0</v>
      </c>
      <c r="AN4" s="123">
        <f t="shared" si="26"/>
        <v>0</v>
      </c>
      <c r="AO4" s="1317" t="str">
        <f t="shared" si="62"/>
        <v/>
      </c>
      <c r="AP4" s="434">
        <f t="shared" si="27"/>
        <v>0</v>
      </c>
      <c r="AQ4" s="1318" t="e">
        <f t="shared" si="28"/>
        <v>#VALUE!</v>
      </c>
      <c r="AR4" s="1319" t="str">
        <f t="shared" si="29"/>
        <v/>
      </c>
      <c r="AS4" s="1320" t="str">
        <f t="shared" si="30"/>
        <v>0</v>
      </c>
      <c r="AT4" s="125">
        <f t="shared" si="31"/>
        <v>0</v>
      </c>
      <c r="AU4" s="140" t="e">
        <f t="shared" si="32"/>
        <v>#VALUE!</v>
      </c>
      <c r="AV4" s="326" t="str">
        <f t="shared" si="33"/>
        <v/>
      </c>
      <c r="AW4" s="333" t="str">
        <f t="shared" si="34"/>
        <v>0</v>
      </c>
      <c r="AX4" s="125">
        <f t="shared" si="35"/>
        <v>5428693.1600000001</v>
      </c>
      <c r="AY4" s="140" t="e">
        <f t="shared" si="36"/>
        <v>#VALUE!</v>
      </c>
      <c r="AZ4" s="326" t="str">
        <f t="shared" si="37"/>
        <v/>
      </c>
      <c r="BA4" s="332" t="str">
        <f t="shared" si="38"/>
        <v>0</v>
      </c>
      <c r="BB4" s="122" t="e">
        <f t="shared" ref="BB4:BD4" si="67">SUM(AY4,AU4,AQ4)</f>
        <v>#VALUE!</v>
      </c>
      <c r="BC4" s="326">
        <f t="shared" si="67"/>
        <v>0</v>
      </c>
      <c r="BD4" s="333">
        <f t="shared" si="67"/>
        <v>0</v>
      </c>
      <c r="BE4" s="123" t="e">
        <f t="shared" si="40"/>
        <v>#VALUE!</v>
      </c>
      <c r="BF4" s="326">
        <f t="shared" si="41"/>
        <v>0</v>
      </c>
      <c r="BG4" s="435">
        <f t="shared" si="42"/>
        <v>0</v>
      </c>
      <c r="BH4" s="125">
        <f t="shared" si="43"/>
        <v>472515</v>
      </c>
      <c r="BI4" s="1041" t="e">
        <f t="shared" si="44"/>
        <v>#VALUE!</v>
      </c>
      <c r="BJ4" s="123" t="str">
        <f t="shared" si="45"/>
        <v/>
      </c>
      <c r="BK4" s="326" t="str">
        <f t="shared" si="46"/>
        <v>0</v>
      </c>
      <c r="BL4" s="123">
        <f t="shared" si="47"/>
        <v>0</v>
      </c>
      <c r="BM4" s="113" t="e">
        <f t="shared" si="48"/>
        <v>#VALUE!</v>
      </c>
      <c r="BN4" s="116" t="str">
        <f t="shared" si="49"/>
        <v/>
      </c>
      <c r="BO4" s="115" t="str">
        <f t="shared" si="64"/>
        <v>0</v>
      </c>
      <c r="BP4" s="326">
        <f t="shared" si="50"/>
        <v>0</v>
      </c>
      <c r="BQ4" s="326" t="e">
        <f t="shared" si="51"/>
        <v>#VALUE!</v>
      </c>
      <c r="BR4" s="326" t="str">
        <f t="shared" si="52"/>
        <v/>
      </c>
      <c r="BS4" s="332" t="str">
        <f t="shared" si="53"/>
        <v/>
      </c>
      <c r="BT4" s="586" t="e">
        <f t="shared" ref="BT4:BV4" si="68">SUM(BQ4,BM4,BI4)</f>
        <v>#VALUE!</v>
      </c>
      <c r="BU4" s="738">
        <f t="shared" si="68"/>
        <v>0</v>
      </c>
      <c r="BV4" s="737">
        <f t="shared" si="68"/>
        <v>0</v>
      </c>
      <c r="BW4" s="125">
        <f t="shared" si="55"/>
        <v>0</v>
      </c>
      <c r="BX4" s="140" t="e">
        <f t="shared" si="56"/>
        <v>#VALUE!</v>
      </c>
      <c r="BY4" s="123" t="str">
        <f t="shared" si="57"/>
        <v/>
      </c>
      <c r="BZ4" s="333" t="str">
        <f t="shared" si="58"/>
        <v/>
      </c>
      <c r="CA4" s="123">
        <f t="shared" si="59"/>
        <v>0</v>
      </c>
      <c r="CB4" s="326">
        <f t="shared" si="60"/>
        <v>0</v>
      </c>
      <c r="CE4" s="847">
        <v>0.12</v>
      </c>
      <c r="CF4" s="324">
        <v>1</v>
      </c>
      <c r="CG4" s="440">
        <v>7</v>
      </c>
      <c r="CH4" s="441">
        <v>3</v>
      </c>
      <c r="CI4" s="441">
        <v>3</v>
      </c>
      <c r="CJ4" s="138">
        <v>3</v>
      </c>
      <c r="CK4" s="1322">
        <v>3</v>
      </c>
      <c r="CL4" s="324">
        <v>1</v>
      </c>
      <c r="CM4" s="324">
        <v>1</v>
      </c>
      <c r="CN4" s="138">
        <v>1</v>
      </c>
      <c r="CO4" s="325"/>
    </row>
    <row r="5" spans="1:114" ht="15.75" customHeight="1">
      <c r="A5" s="325">
        <f t="shared" si="0"/>
        <v>112012493</v>
      </c>
      <c r="B5" s="324">
        <f t="shared" si="1"/>
        <v>28</v>
      </c>
      <c r="C5" s="558">
        <f t="shared" si="2"/>
        <v>0.15</v>
      </c>
      <c r="D5" s="558">
        <f t="shared" si="3"/>
        <v>0</v>
      </c>
      <c r="E5" s="715">
        <f t="shared" si="4"/>
        <v>0</v>
      </c>
      <c r="F5" s="547">
        <f t="shared" si="5"/>
        <v>28</v>
      </c>
      <c r="G5" s="699">
        <f t="shared" si="6"/>
        <v>0.15</v>
      </c>
      <c r="H5" s="699">
        <f t="shared" si="7"/>
        <v>0</v>
      </c>
      <c r="I5" s="702">
        <f t="shared" si="8"/>
        <v>0</v>
      </c>
      <c r="J5" s="837">
        <f t="shared" si="9"/>
        <v>28</v>
      </c>
      <c r="K5" s="699">
        <f t="shared" si="10"/>
        <v>0.15</v>
      </c>
      <c r="L5" s="1040">
        <f t="shared" si="11"/>
        <v>0</v>
      </c>
      <c r="M5" s="423" t="s">
        <v>1400</v>
      </c>
      <c r="N5" s="326"/>
      <c r="O5" s="332"/>
      <c r="P5" s="113" t="e">
        <f t="shared" si="12"/>
        <v>#VALUE!</v>
      </c>
      <c r="Q5" s="116" t="str">
        <f t="shared" si="13"/>
        <v/>
      </c>
      <c r="R5" s="117">
        <f t="shared" si="14"/>
        <v>0</v>
      </c>
      <c r="S5" s="114"/>
      <c r="T5" s="116"/>
      <c r="U5" s="116">
        <f t="shared" si="15"/>
        <v>0</v>
      </c>
      <c r="V5" s="116">
        <v>3000000</v>
      </c>
      <c r="W5" s="116" t="e">
        <f t="shared" si="16"/>
        <v>#VALUE!</v>
      </c>
      <c r="X5" s="116" t="str">
        <f t="shared" si="17"/>
        <v/>
      </c>
      <c r="Y5" s="116">
        <f t="shared" si="18"/>
        <v>0</v>
      </c>
      <c r="Z5" s="326"/>
      <c r="AA5" s="326"/>
      <c r="AB5" s="326">
        <f t="shared" si="19"/>
        <v>0</v>
      </c>
      <c r="AC5" s="332">
        <v>1800000</v>
      </c>
      <c r="AD5" s="140" t="e">
        <f t="shared" si="20"/>
        <v>#VALUE!</v>
      </c>
      <c r="AE5" s="326" t="str">
        <f t="shared" si="21"/>
        <v/>
      </c>
      <c r="AF5" s="117">
        <f t="shared" si="22"/>
        <v>0</v>
      </c>
      <c r="AG5" s="123"/>
      <c r="AH5" s="326"/>
      <c r="AI5" s="1257">
        <f t="shared" si="23"/>
        <v>4800000</v>
      </c>
      <c r="AJ5" s="140">
        <f t="shared" si="24"/>
        <v>11249694.93</v>
      </c>
      <c r="AK5" s="123" t="e">
        <f t="shared" ref="AK5:AM5" si="69">AD5+W5+P5</f>
        <v>#VALUE!</v>
      </c>
      <c r="AL5" s="123" t="e">
        <f t="shared" si="69"/>
        <v>#VALUE!</v>
      </c>
      <c r="AM5" s="123">
        <f t="shared" si="69"/>
        <v>0</v>
      </c>
      <c r="AN5" s="123">
        <f t="shared" si="26"/>
        <v>-11249694.93</v>
      </c>
      <c r="AO5" s="1317">
        <f t="shared" si="62"/>
        <v>-1</v>
      </c>
      <c r="AP5" s="434">
        <f t="shared" si="27"/>
        <v>0</v>
      </c>
      <c r="AQ5" s="1318" t="e">
        <f t="shared" si="28"/>
        <v>#VALUE!</v>
      </c>
      <c r="AR5" s="1319" t="str">
        <f t="shared" si="29"/>
        <v/>
      </c>
      <c r="AS5" s="1320">
        <f t="shared" si="30"/>
        <v>0</v>
      </c>
      <c r="AT5" s="125">
        <f t="shared" si="31"/>
        <v>0</v>
      </c>
      <c r="AU5" s="140" t="e">
        <f t="shared" si="32"/>
        <v>#VALUE!</v>
      </c>
      <c r="AV5" s="326" t="str">
        <f t="shared" si="33"/>
        <v/>
      </c>
      <c r="AW5" s="333">
        <f t="shared" si="34"/>
        <v>0</v>
      </c>
      <c r="AX5" s="125">
        <f t="shared" si="35"/>
        <v>8478107.3300000001</v>
      </c>
      <c r="AY5" s="140" t="e">
        <f t="shared" si="36"/>
        <v>#VALUE!</v>
      </c>
      <c r="AZ5" s="326" t="str">
        <f t="shared" si="37"/>
        <v/>
      </c>
      <c r="BA5" s="332">
        <f t="shared" si="38"/>
        <v>8199777.3700000001</v>
      </c>
      <c r="BB5" s="844" t="e">
        <f t="shared" ref="BB5:BD5" si="70">SUM(AY5,AU5,AQ5)</f>
        <v>#VALUE!</v>
      </c>
      <c r="BC5" s="326">
        <f t="shared" si="70"/>
        <v>0</v>
      </c>
      <c r="BD5" s="333">
        <f t="shared" si="70"/>
        <v>8199777.3700000001</v>
      </c>
      <c r="BE5" s="123" t="e">
        <f t="shared" si="40"/>
        <v>#VALUE!</v>
      </c>
      <c r="BF5" s="326">
        <f t="shared" si="41"/>
        <v>0</v>
      </c>
      <c r="BG5" s="435">
        <f t="shared" si="42"/>
        <v>8199777.3700000001</v>
      </c>
      <c r="BH5" s="125">
        <f t="shared" si="43"/>
        <v>-208560.04</v>
      </c>
      <c r="BI5" s="1041" t="e">
        <f t="shared" si="44"/>
        <v>#VALUE!</v>
      </c>
      <c r="BJ5" s="123" t="str">
        <f t="shared" si="45"/>
        <v/>
      </c>
      <c r="BK5" s="326">
        <f t="shared" si="46"/>
        <v>2484450.29</v>
      </c>
      <c r="BL5" s="123">
        <f t="shared" si="47"/>
        <v>0</v>
      </c>
      <c r="BM5" s="113" t="e">
        <f t="shared" si="48"/>
        <v>#VALUE!</v>
      </c>
      <c r="BN5" s="116" t="str">
        <f t="shared" si="49"/>
        <v/>
      </c>
      <c r="BO5" s="115">
        <f t="shared" si="64"/>
        <v>0</v>
      </c>
      <c r="BP5" s="326">
        <f t="shared" si="50"/>
        <v>0</v>
      </c>
      <c r="BQ5" s="326" t="e">
        <f t="shared" si="51"/>
        <v>#VALUE!</v>
      </c>
      <c r="BR5" s="326" t="str">
        <f t="shared" si="52"/>
        <v/>
      </c>
      <c r="BS5" s="332">
        <f t="shared" si="53"/>
        <v>74215.13</v>
      </c>
      <c r="BT5" s="586" t="e">
        <f t="shared" ref="BT5:BV5" si="71">SUM(BQ5,BM5,BI5)</f>
        <v>#VALUE!</v>
      </c>
      <c r="BU5" s="738">
        <f t="shared" si="71"/>
        <v>0</v>
      </c>
      <c r="BV5" s="737">
        <f t="shared" si="71"/>
        <v>2558665.42</v>
      </c>
      <c r="BW5" s="125">
        <f t="shared" si="55"/>
        <v>0</v>
      </c>
      <c r="BX5" s="140" t="e">
        <f t="shared" si="56"/>
        <v>#VALUE!</v>
      </c>
      <c r="BY5" s="123" t="str">
        <f t="shared" si="57"/>
        <v/>
      </c>
      <c r="BZ5" s="333">
        <f t="shared" si="58"/>
        <v>0</v>
      </c>
      <c r="CA5" s="123">
        <f t="shared" si="59"/>
        <v>0</v>
      </c>
      <c r="CB5" s="326">
        <f t="shared" si="60"/>
        <v>11249694.93</v>
      </c>
      <c r="CE5" s="848">
        <v>0.1</v>
      </c>
      <c r="CF5" s="324">
        <v>65</v>
      </c>
      <c r="CG5" s="440">
        <v>39</v>
      </c>
      <c r="CH5" s="441">
        <v>38</v>
      </c>
      <c r="CI5" s="441">
        <v>41</v>
      </c>
      <c r="CJ5" s="138">
        <v>68</v>
      </c>
      <c r="CK5" s="1322">
        <v>69</v>
      </c>
      <c r="CL5" s="324">
        <v>61</v>
      </c>
      <c r="CM5" s="324">
        <v>60</v>
      </c>
      <c r="CN5" s="138">
        <v>65</v>
      </c>
      <c r="CO5" s="325"/>
    </row>
    <row r="6" spans="1:114" ht="15.75" customHeight="1">
      <c r="A6" s="325">
        <f t="shared" si="0"/>
        <v>112013512</v>
      </c>
      <c r="B6" s="324">
        <f t="shared" si="1"/>
        <v>12</v>
      </c>
      <c r="C6" s="558">
        <f t="shared" si="2"/>
        <v>0.15</v>
      </c>
      <c r="D6" s="558">
        <f t="shared" si="3"/>
        <v>0.09</v>
      </c>
      <c r="E6" s="715">
        <f t="shared" si="4"/>
        <v>0</v>
      </c>
      <c r="F6" s="547">
        <f t="shared" si="5"/>
        <v>12</v>
      </c>
      <c r="G6" s="699">
        <f t="shared" si="6"/>
        <v>0.15</v>
      </c>
      <c r="H6" s="699">
        <f t="shared" si="7"/>
        <v>0.09</v>
      </c>
      <c r="I6" s="702">
        <f t="shared" si="8"/>
        <v>0</v>
      </c>
      <c r="J6" s="837">
        <f t="shared" si="9"/>
        <v>55</v>
      </c>
      <c r="K6" s="699">
        <f t="shared" si="10"/>
        <v>0.15</v>
      </c>
      <c r="L6" s="1040">
        <f t="shared" si="11"/>
        <v>0.05</v>
      </c>
      <c r="M6" s="423" t="s">
        <v>1401</v>
      </c>
      <c r="N6" s="326"/>
      <c r="O6" s="332"/>
      <c r="P6" s="113" t="e">
        <f t="shared" si="12"/>
        <v>#VALUE!</v>
      </c>
      <c r="Q6" s="116" t="str">
        <f t="shared" si="13"/>
        <v/>
      </c>
      <c r="R6" s="117">
        <f t="shared" si="14"/>
        <v>0</v>
      </c>
      <c r="S6" s="114"/>
      <c r="T6" s="116"/>
      <c r="U6" s="116" t="str">
        <f t="shared" si="15"/>
        <v/>
      </c>
      <c r="V6" s="116">
        <v>3000000</v>
      </c>
      <c r="W6" s="116" t="e">
        <f t="shared" si="16"/>
        <v>#VALUE!</v>
      </c>
      <c r="X6" s="116" t="str">
        <f t="shared" si="17"/>
        <v/>
      </c>
      <c r="Y6" s="116">
        <f t="shared" si="18"/>
        <v>0</v>
      </c>
      <c r="Z6" s="326"/>
      <c r="AA6" s="326"/>
      <c r="AB6" s="326" t="str">
        <f t="shared" si="19"/>
        <v/>
      </c>
      <c r="AC6" s="332">
        <v>1800000</v>
      </c>
      <c r="AD6" s="140" t="e">
        <f t="shared" si="20"/>
        <v>#VALUE!</v>
      </c>
      <c r="AE6" s="326" t="str">
        <f t="shared" si="21"/>
        <v/>
      </c>
      <c r="AF6" s="117">
        <f t="shared" si="22"/>
        <v>0</v>
      </c>
      <c r="AG6" s="123"/>
      <c r="AH6" s="326"/>
      <c r="AI6" s="1257">
        <f t="shared" si="23"/>
        <v>4800000</v>
      </c>
      <c r="AJ6" s="140" t="str">
        <f t="shared" si="24"/>
        <v>0</v>
      </c>
      <c r="AK6" s="123" t="e">
        <f t="shared" ref="AK6:AM6" si="72">AD6+W6+P6</f>
        <v>#VALUE!</v>
      </c>
      <c r="AL6" s="123" t="e">
        <f t="shared" si="72"/>
        <v>#VALUE!</v>
      </c>
      <c r="AM6" s="123">
        <f t="shared" si="72"/>
        <v>0</v>
      </c>
      <c r="AN6" s="123">
        <f t="shared" si="26"/>
        <v>0</v>
      </c>
      <c r="AO6" s="1317" t="str">
        <f t="shared" si="62"/>
        <v/>
      </c>
      <c r="AP6" s="434" t="str">
        <f t="shared" si="27"/>
        <v/>
      </c>
      <c r="AQ6" s="1318" t="e">
        <f t="shared" si="28"/>
        <v>#VALUE!</v>
      </c>
      <c r="AR6" s="1319" t="str">
        <f t="shared" si="29"/>
        <v/>
      </c>
      <c r="AS6" s="1320">
        <f t="shared" si="30"/>
        <v>0</v>
      </c>
      <c r="AT6" s="125" t="str">
        <f t="shared" si="31"/>
        <v/>
      </c>
      <c r="AU6" s="140" t="e">
        <f t="shared" si="32"/>
        <v>#VALUE!</v>
      </c>
      <c r="AV6" s="326" t="str">
        <f t="shared" si="33"/>
        <v/>
      </c>
      <c r="AW6" s="333">
        <f t="shared" si="34"/>
        <v>0</v>
      </c>
      <c r="AX6" s="125" t="str">
        <f t="shared" si="35"/>
        <v/>
      </c>
      <c r="AY6" s="140" t="e">
        <f t="shared" si="36"/>
        <v>#VALUE!</v>
      </c>
      <c r="AZ6" s="326" t="str">
        <f t="shared" si="37"/>
        <v/>
      </c>
      <c r="BA6" s="332">
        <f t="shared" si="38"/>
        <v>0</v>
      </c>
      <c r="BB6" s="122" t="e">
        <f t="shared" ref="BB6:BD6" si="73">SUM(AY6,AU6,AQ6)</f>
        <v>#VALUE!</v>
      </c>
      <c r="BC6" s="326">
        <f t="shared" si="73"/>
        <v>0</v>
      </c>
      <c r="BD6" s="333">
        <f t="shared" si="73"/>
        <v>0</v>
      </c>
      <c r="BE6" s="123" t="e">
        <f t="shared" si="40"/>
        <v>#VALUE!</v>
      </c>
      <c r="BF6" s="326">
        <f t="shared" si="41"/>
        <v>0</v>
      </c>
      <c r="BG6" s="435">
        <f t="shared" si="42"/>
        <v>0</v>
      </c>
      <c r="BH6" s="125" t="str">
        <f t="shared" si="43"/>
        <v/>
      </c>
      <c r="BI6" s="1041" t="e">
        <f t="shared" si="44"/>
        <v>#VALUE!</v>
      </c>
      <c r="BJ6" s="123" t="str">
        <f t="shared" si="45"/>
        <v/>
      </c>
      <c r="BK6" s="326">
        <f t="shared" si="46"/>
        <v>0</v>
      </c>
      <c r="BL6" s="123" t="str">
        <f t="shared" si="47"/>
        <v/>
      </c>
      <c r="BM6" s="113" t="e">
        <f t="shared" si="48"/>
        <v>#VALUE!</v>
      </c>
      <c r="BN6" s="116" t="str">
        <f t="shared" si="49"/>
        <v/>
      </c>
      <c r="BO6" s="115">
        <f t="shared" si="64"/>
        <v>0</v>
      </c>
      <c r="BP6" s="326" t="str">
        <f t="shared" si="50"/>
        <v/>
      </c>
      <c r="BQ6" s="326" t="e">
        <f t="shared" si="51"/>
        <v>#VALUE!</v>
      </c>
      <c r="BR6" s="326" t="str">
        <f t="shared" si="52"/>
        <v/>
      </c>
      <c r="BS6" s="332">
        <f t="shared" si="53"/>
        <v>0</v>
      </c>
      <c r="BT6" s="586" t="e">
        <f t="shared" ref="BT6:BV6" si="74">SUM(BQ6,BM6,BI6)</f>
        <v>#VALUE!</v>
      </c>
      <c r="BU6" s="738">
        <f t="shared" si="74"/>
        <v>0</v>
      </c>
      <c r="BV6" s="737">
        <f t="shared" si="74"/>
        <v>0</v>
      </c>
      <c r="BW6" s="125" t="str">
        <f t="shared" si="55"/>
        <v/>
      </c>
      <c r="BX6" s="140" t="e">
        <f t="shared" si="56"/>
        <v>#VALUE!</v>
      </c>
      <c r="BY6" s="123" t="str">
        <f t="shared" si="57"/>
        <v/>
      </c>
      <c r="BZ6" s="333">
        <f t="shared" si="58"/>
        <v>463636.38</v>
      </c>
      <c r="CA6" s="123" t="str">
        <f t="shared" si="59"/>
        <v/>
      </c>
      <c r="CB6" s="326" t="str">
        <f t="shared" si="60"/>
        <v/>
      </c>
      <c r="CE6" s="850">
        <v>0.05</v>
      </c>
      <c r="CF6" s="324">
        <v>3</v>
      </c>
      <c r="CG6" s="449">
        <v>0</v>
      </c>
      <c r="CH6" s="169"/>
      <c r="CI6" s="169">
        <v>1</v>
      </c>
      <c r="CJ6" s="138">
        <v>2</v>
      </c>
      <c r="CK6" s="1322">
        <v>2</v>
      </c>
      <c r="CL6" s="324">
        <v>3</v>
      </c>
      <c r="CM6" s="324">
        <v>3</v>
      </c>
      <c r="CN6" s="138">
        <v>3</v>
      </c>
      <c r="CO6" s="325"/>
    </row>
    <row r="7" spans="1:114" ht="15.75" customHeight="1">
      <c r="A7" s="325">
        <f t="shared" si="0"/>
        <v>112013513</v>
      </c>
      <c r="B7" s="324">
        <f t="shared" si="1"/>
        <v>12</v>
      </c>
      <c r="C7" s="558">
        <f t="shared" si="2"/>
        <v>0.15</v>
      </c>
      <c r="D7" s="558">
        <f t="shared" si="3"/>
        <v>0.09</v>
      </c>
      <c r="E7" s="715">
        <f t="shared" si="4"/>
        <v>0</v>
      </c>
      <c r="F7" s="547">
        <f t="shared" si="5"/>
        <v>12</v>
      </c>
      <c r="G7" s="699">
        <f t="shared" si="6"/>
        <v>0.15</v>
      </c>
      <c r="H7" s="699">
        <f t="shared" si="7"/>
        <v>0.09</v>
      </c>
      <c r="I7" s="702">
        <f t="shared" si="8"/>
        <v>0</v>
      </c>
      <c r="J7" s="837">
        <f t="shared" si="9"/>
        <v>55</v>
      </c>
      <c r="K7" s="699">
        <f t="shared" si="10"/>
        <v>0.15</v>
      </c>
      <c r="L7" s="1040">
        <f t="shared" si="11"/>
        <v>0.05</v>
      </c>
      <c r="M7" s="423" t="s">
        <v>1402</v>
      </c>
      <c r="N7" s="326"/>
      <c r="O7" s="332"/>
      <c r="P7" s="113" t="e">
        <f t="shared" si="12"/>
        <v>#VALUE!</v>
      </c>
      <c r="Q7" s="116" t="str">
        <f t="shared" si="13"/>
        <v/>
      </c>
      <c r="R7" s="117" t="str">
        <f t="shared" si="14"/>
        <v>0</v>
      </c>
      <c r="S7" s="114"/>
      <c r="T7" s="116"/>
      <c r="U7" s="116">
        <f t="shared" si="15"/>
        <v>0</v>
      </c>
      <c r="V7" s="116">
        <v>3000000</v>
      </c>
      <c r="W7" s="116" t="e">
        <f t="shared" si="16"/>
        <v>#VALUE!</v>
      </c>
      <c r="X7" s="116" t="str">
        <f t="shared" si="17"/>
        <v/>
      </c>
      <c r="Y7" s="116" t="str">
        <f t="shared" si="18"/>
        <v>0</v>
      </c>
      <c r="Z7" s="326"/>
      <c r="AA7" s="326"/>
      <c r="AB7" s="326">
        <f t="shared" si="19"/>
        <v>0</v>
      </c>
      <c r="AC7" s="332">
        <v>1800000</v>
      </c>
      <c r="AD7" s="140" t="e">
        <f t="shared" si="20"/>
        <v>#VALUE!</v>
      </c>
      <c r="AE7" s="326" t="str">
        <f t="shared" si="21"/>
        <v/>
      </c>
      <c r="AF7" s="117" t="str">
        <f t="shared" si="22"/>
        <v>0</v>
      </c>
      <c r="AG7" s="123"/>
      <c r="AH7" s="326"/>
      <c r="AI7" s="1257">
        <f t="shared" si="23"/>
        <v>4800000</v>
      </c>
      <c r="AJ7" s="140">
        <f t="shared" si="24"/>
        <v>322935.08</v>
      </c>
      <c r="AK7" s="123" t="e">
        <f t="shared" ref="AK7:AM7" si="75">AD7+W7+P7</f>
        <v>#VALUE!</v>
      </c>
      <c r="AL7" s="123" t="e">
        <f t="shared" si="75"/>
        <v>#VALUE!</v>
      </c>
      <c r="AM7" s="123">
        <f t="shared" si="75"/>
        <v>0</v>
      </c>
      <c r="AN7" s="123">
        <f t="shared" si="26"/>
        <v>-322935.08</v>
      </c>
      <c r="AO7" s="1317">
        <f t="shared" si="62"/>
        <v>-1</v>
      </c>
      <c r="AP7" s="434">
        <f t="shared" si="27"/>
        <v>0</v>
      </c>
      <c r="AQ7" s="1318" t="e">
        <f t="shared" si="28"/>
        <v>#VALUE!</v>
      </c>
      <c r="AR7" s="1319" t="str">
        <f t="shared" si="29"/>
        <v/>
      </c>
      <c r="AS7" s="1320" t="str">
        <f t="shared" si="30"/>
        <v>0</v>
      </c>
      <c r="AT7" s="125">
        <f t="shared" si="31"/>
        <v>3570000</v>
      </c>
      <c r="AU7" s="140" t="e">
        <f t="shared" si="32"/>
        <v>#VALUE!</v>
      </c>
      <c r="AV7" s="326" t="str">
        <f t="shared" si="33"/>
        <v/>
      </c>
      <c r="AW7" s="333" t="str">
        <f t="shared" si="34"/>
        <v>0</v>
      </c>
      <c r="AX7" s="125">
        <f t="shared" si="35"/>
        <v>2100000.0499999998</v>
      </c>
      <c r="AY7" s="140" t="e">
        <f t="shared" si="36"/>
        <v>#VALUE!</v>
      </c>
      <c r="AZ7" s="326" t="str">
        <f t="shared" si="37"/>
        <v/>
      </c>
      <c r="BA7" s="332" t="str">
        <f t="shared" si="38"/>
        <v>0</v>
      </c>
      <c r="BB7" s="122" t="e">
        <f t="shared" ref="BB7:BD7" si="76">SUM(AY7,AU7,AQ7)</f>
        <v>#VALUE!</v>
      </c>
      <c r="BC7" s="326">
        <f t="shared" si="76"/>
        <v>0</v>
      </c>
      <c r="BD7" s="333">
        <f t="shared" si="76"/>
        <v>0</v>
      </c>
      <c r="BE7" s="123" t="e">
        <f t="shared" si="40"/>
        <v>#VALUE!</v>
      </c>
      <c r="BF7" s="326">
        <f t="shared" si="41"/>
        <v>0</v>
      </c>
      <c r="BG7" s="435">
        <f t="shared" si="42"/>
        <v>0</v>
      </c>
      <c r="BH7" s="125">
        <f t="shared" si="43"/>
        <v>0</v>
      </c>
      <c r="BI7" s="1041" t="e">
        <f t="shared" si="44"/>
        <v>#VALUE!</v>
      </c>
      <c r="BJ7" s="123" t="str">
        <f t="shared" si="45"/>
        <v/>
      </c>
      <c r="BK7" s="326" t="str">
        <f t="shared" si="46"/>
        <v>0</v>
      </c>
      <c r="BL7" s="123">
        <f t="shared" si="47"/>
        <v>0</v>
      </c>
      <c r="BM7" s="113" t="e">
        <f t="shared" si="48"/>
        <v>#VALUE!</v>
      </c>
      <c r="BN7" s="116" t="str">
        <f t="shared" si="49"/>
        <v/>
      </c>
      <c r="BO7" s="115" t="str">
        <f t="shared" si="64"/>
        <v>0</v>
      </c>
      <c r="BP7" s="326">
        <f t="shared" si="50"/>
        <v>99485.18</v>
      </c>
      <c r="BQ7" s="326" t="e">
        <f t="shared" si="51"/>
        <v>#VALUE!</v>
      </c>
      <c r="BR7" s="326" t="str">
        <f t="shared" si="52"/>
        <v/>
      </c>
      <c r="BS7" s="332" t="str">
        <f t="shared" si="53"/>
        <v/>
      </c>
      <c r="BT7" s="586" t="e">
        <f t="shared" ref="BT7:BV7" si="77">SUM(BQ7,BM7,BI7)</f>
        <v>#VALUE!</v>
      </c>
      <c r="BU7" s="738">
        <f t="shared" si="77"/>
        <v>0</v>
      </c>
      <c r="BV7" s="737">
        <f t="shared" si="77"/>
        <v>0</v>
      </c>
      <c r="BW7" s="125">
        <f t="shared" si="55"/>
        <v>322935.08</v>
      </c>
      <c r="BX7" s="140" t="e">
        <f t="shared" si="56"/>
        <v>#VALUE!</v>
      </c>
      <c r="BY7" s="123" t="str">
        <f t="shared" si="57"/>
        <v/>
      </c>
      <c r="BZ7" s="333" t="str">
        <f t="shared" si="58"/>
        <v/>
      </c>
      <c r="CA7" s="123">
        <f t="shared" si="59"/>
        <v>0</v>
      </c>
      <c r="CB7" s="326">
        <f t="shared" si="60"/>
        <v>0</v>
      </c>
      <c r="CE7" s="852" t="s">
        <v>4</v>
      </c>
      <c r="CF7" s="324">
        <v>36</v>
      </c>
      <c r="CG7" s="449">
        <v>17</v>
      </c>
      <c r="CH7" s="169">
        <v>12</v>
      </c>
      <c r="CI7" s="169">
        <v>13</v>
      </c>
      <c r="CJ7" s="138">
        <v>35</v>
      </c>
      <c r="CK7" s="1322">
        <v>34</v>
      </c>
      <c r="CL7" s="324">
        <v>35</v>
      </c>
      <c r="CM7" s="324">
        <v>36</v>
      </c>
      <c r="CN7" s="138">
        <v>36</v>
      </c>
      <c r="CO7" s="325"/>
    </row>
    <row r="8" spans="1:114" ht="15.75" customHeight="1">
      <c r="A8" s="325">
        <f t="shared" si="0"/>
        <v>112013962</v>
      </c>
      <c r="B8" s="324">
        <f t="shared" si="1"/>
        <v>28</v>
      </c>
      <c r="C8" s="558">
        <f t="shared" si="2"/>
        <v>0.15</v>
      </c>
      <c r="D8" s="558">
        <f t="shared" si="3"/>
        <v>0</v>
      </c>
      <c r="E8" s="715">
        <f t="shared" si="4"/>
        <v>0</v>
      </c>
      <c r="F8" s="547">
        <f t="shared" si="5"/>
        <v>28</v>
      </c>
      <c r="G8" s="699">
        <f t="shared" si="6"/>
        <v>0.15</v>
      </c>
      <c r="H8" s="699">
        <f t="shared" si="7"/>
        <v>0</v>
      </c>
      <c r="I8" s="702">
        <f t="shared" si="8"/>
        <v>0</v>
      </c>
      <c r="J8" s="837">
        <f t="shared" si="9"/>
        <v>28</v>
      </c>
      <c r="K8" s="699">
        <f t="shared" si="10"/>
        <v>0.15</v>
      </c>
      <c r="L8" s="1040">
        <f t="shared" si="11"/>
        <v>0</v>
      </c>
      <c r="M8" s="423" t="s">
        <v>1403</v>
      </c>
      <c r="N8" s="326"/>
      <c r="O8" s="332"/>
      <c r="P8" s="113" t="e">
        <f t="shared" si="12"/>
        <v>#VALUE!</v>
      </c>
      <c r="Q8" s="116" t="str">
        <f t="shared" si="13"/>
        <v/>
      </c>
      <c r="R8" s="117">
        <f t="shared" si="14"/>
        <v>0</v>
      </c>
      <c r="S8" s="114"/>
      <c r="T8" s="116"/>
      <c r="U8" s="116">
        <f t="shared" si="15"/>
        <v>1760478.65</v>
      </c>
      <c r="V8" s="116">
        <v>3000000</v>
      </c>
      <c r="W8" s="116" t="e">
        <f t="shared" si="16"/>
        <v>#VALUE!</v>
      </c>
      <c r="X8" s="116" t="str">
        <f t="shared" si="17"/>
        <v/>
      </c>
      <c r="Y8" s="116">
        <f t="shared" si="18"/>
        <v>0</v>
      </c>
      <c r="Z8" s="326"/>
      <c r="AA8" s="326"/>
      <c r="AB8" s="326">
        <f t="shared" si="19"/>
        <v>2466139.21</v>
      </c>
      <c r="AC8" s="332">
        <v>1800000</v>
      </c>
      <c r="AD8" s="140" t="e">
        <f t="shared" si="20"/>
        <v>#VALUE!</v>
      </c>
      <c r="AE8" s="326" t="str">
        <f t="shared" si="21"/>
        <v/>
      </c>
      <c r="AF8" s="117">
        <f t="shared" si="22"/>
        <v>0</v>
      </c>
      <c r="AG8" s="123"/>
      <c r="AH8" s="326"/>
      <c r="AI8" s="1257">
        <f t="shared" si="23"/>
        <v>4800000</v>
      </c>
      <c r="AJ8" s="140">
        <f t="shared" si="24"/>
        <v>18135126.309999999</v>
      </c>
      <c r="AK8" s="123" t="e">
        <f t="shared" ref="AK8:AM8" si="78">AD8+W8+P8</f>
        <v>#VALUE!</v>
      </c>
      <c r="AL8" s="123" t="e">
        <f t="shared" si="78"/>
        <v>#VALUE!</v>
      </c>
      <c r="AM8" s="123">
        <f t="shared" si="78"/>
        <v>0</v>
      </c>
      <c r="AN8" s="123">
        <f t="shared" si="26"/>
        <v>-18135126.309999999</v>
      </c>
      <c r="AO8" s="1317">
        <f t="shared" si="62"/>
        <v>-1</v>
      </c>
      <c r="AP8" s="434">
        <f t="shared" si="27"/>
        <v>4249116.5999999996</v>
      </c>
      <c r="AQ8" s="1318" t="e">
        <f t="shared" si="28"/>
        <v>#VALUE!</v>
      </c>
      <c r="AR8" s="1319" t="str">
        <f t="shared" si="29"/>
        <v/>
      </c>
      <c r="AS8" s="1320">
        <f t="shared" si="30"/>
        <v>0</v>
      </c>
      <c r="AT8" s="125">
        <f t="shared" si="31"/>
        <v>936277.52</v>
      </c>
      <c r="AU8" s="140" t="e">
        <f t="shared" si="32"/>
        <v>#VALUE!</v>
      </c>
      <c r="AV8" s="326" t="str">
        <f t="shared" si="33"/>
        <v/>
      </c>
      <c r="AW8" s="333">
        <f t="shared" si="34"/>
        <v>0</v>
      </c>
      <c r="AX8" s="125">
        <f t="shared" si="35"/>
        <v>4496461.07</v>
      </c>
      <c r="AY8" s="140" t="e">
        <f t="shared" si="36"/>
        <v>#VALUE!</v>
      </c>
      <c r="AZ8" s="326" t="str">
        <f t="shared" si="37"/>
        <v/>
      </c>
      <c r="BA8" s="332">
        <f t="shared" si="38"/>
        <v>4804443.6100000003</v>
      </c>
      <c r="BB8" s="844" t="e">
        <f t="shared" ref="BB8:BD8" si="79">SUM(AY8,AU8,AQ8)</f>
        <v>#VALUE!</v>
      </c>
      <c r="BC8" s="326">
        <f t="shared" si="79"/>
        <v>0</v>
      </c>
      <c r="BD8" s="333">
        <f t="shared" si="79"/>
        <v>4804443.6100000003</v>
      </c>
      <c r="BE8" s="123" t="e">
        <f t="shared" si="40"/>
        <v>#VALUE!</v>
      </c>
      <c r="BF8" s="326">
        <f t="shared" si="41"/>
        <v>0</v>
      </c>
      <c r="BG8" s="435">
        <f t="shared" si="42"/>
        <v>4804443.6100000003</v>
      </c>
      <c r="BH8" s="125">
        <f t="shared" si="43"/>
        <v>5167474.3499999996</v>
      </c>
      <c r="BI8" s="1041" t="e">
        <f t="shared" si="44"/>
        <v>#VALUE!</v>
      </c>
      <c r="BJ8" s="123" t="str">
        <f t="shared" si="45"/>
        <v/>
      </c>
      <c r="BK8" s="326">
        <f t="shared" si="46"/>
        <v>12893993.859999999</v>
      </c>
      <c r="BL8" s="123">
        <f t="shared" si="47"/>
        <v>3601676.02</v>
      </c>
      <c r="BM8" s="113" t="e">
        <f t="shared" si="48"/>
        <v>#VALUE!</v>
      </c>
      <c r="BN8" s="116" t="str">
        <f t="shared" si="49"/>
        <v/>
      </c>
      <c r="BO8" s="115">
        <f t="shared" si="64"/>
        <v>-121810.82</v>
      </c>
      <c r="BP8" s="326">
        <f t="shared" si="50"/>
        <v>2638672.27</v>
      </c>
      <c r="BQ8" s="326" t="e">
        <f t="shared" si="51"/>
        <v>#VALUE!</v>
      </c>
      <c r="BR8" s="326" t="str">
        <f t="shared" si="52"/>
        <v/>
      </c>
      <c r="BS8" s="332">
        <f t="shared" si="53"/>
        <v>0</v>
      </c>
      <c r="BT8" s="586" t="e">
        <f t="shared" ref="BT8:BV8" si="80">SUM(BQ8,BM8,BI8)</f>
        <v>#VALUE!</v>
      </c>
      <c r="BU8" s="738">
        <f t="shared" si="80"/>
        <v>0</v>
      </c>
      <c r="BV8" s="737">
        <f t="shared" si="80"/>
        <v>12772183.039999999</v>
      </c>
      <c r="BW8" s="125">
        <f t="shared" si="55"/>
        <v>5554794.8300000001</v>
      </c>
      <c r="BX8" s="140" t="e">
        <f t="shared" si="56"/>
        <v>#VALUE!</v>
      </c>
      <c r="BY8" s="123" t="str">
        <f t="shared" si="57"/>
        <v/>
      </c>
      <c r="BZ8" s="333">
        <f t="shared" si="58"/>
        <v>0</v>
      </c>
      <c r="CA8" s="123">
        <f t="shared" si="59"/>
        <v>6526345.9800000004</v>
      </c>
      <c r="CB8" s="326">
        <f t="shared" si="60"/>
        <v>6053985.5</v>
      </c>
      <c r="CE8" s="853" t="s">
        <v>17</v>
      </c>
      <c r="CF8" s="854">
        <f t="shared" ref="CF8:CN8" si="81">SUM(CF2:CF7)</f>
        <v>115</v>
      </c>
      <c r="CG8" s="854">
        <f t="shared" si="81"/>
        <v>67</v>
      </c>
      <c r="CH8" s="855">
        <f t="shared" si="81"/>
        <v>54</v>
      </c>
      <c r="CI8" s="1323">
        <f t="shared" si="81"/>
        <v>59</v>
      </c>
      <c r="CJ8" s="1323">
        <f t="shared" si="81"/>
        <v>115</v>
      </c>
      <c r="CK8" s="1323">
        <f t="shared" si="81"/>
        <v>117</v>
      </c>
      <c r="CL8" s="1324">
        <f t="shared" si="81"/>
        <v>109</v>
      </c>
      <c r="CM8" s="1324">
        <f t="shared" si="81"/>
        <v>110</v>
      </c>
      <c r="CN8" s="1323">
        <f t="shared" si="81"/>
        <v>115</v>
      </c>
      <c r="CO8" s="325"/>
    </row>
    <row r="9" spans="1:114" ht="15.75" customHeight="1">
      <c r="A9" s="325">
        <f t="shared" si="0"/>
        <v>112013168</v>
      </c>
      <c r="B9" s="324">
        <f t="shared" si="1"/>
        <v>12</v>
      </c>
      <c r="C9" s="558">
        <f t="shared" si="2"/>
        <v>0.15</v>
      </c>
      <c r="D9" s="558">
        <f t="shared" si="3"/>
        <v>0.09</v>
      </c>
      <c r="E9" s="715">
        <f t="shared" si="4"/>
        <v>0</v>
      </c>
      <c r="F9" s="547">
        <f t="shared" si="5"/>
        <v>12</v>
      </c>
      <c r="G9" s="699">
        <f t="shared" si="6"/>
        <v>0.15</v>
      </c>
      <c r="H9" s="699">
        <f t="shared" si="7"/>
        <v>0.09</v>
      </c>
      <c r="I9" s="702">
        <f t="shared" si="8"/>
        <v>0</v>
      </c>
      <c r="J9" s="837">
        <f t="shared" si="9"/>
        <v>55</v>
      </c>
      <c r="K9" s="699">
        <f t="shared" si="10"/>
        <v>0.15</v>
      </c>
      <c r="L9" s="1040">
        <f t="shared" si="11"/>
        <v>0.05</v>
      </c>
      <c r="M9" s="423" t="s">
        <v>1404</v>
      </c>
      <c r="N9" s="326"/>
      <c r="O9" s="332"/>
      <c r="P9" s="113" t="e">
        <f t="shared" si="12"/>
        <v>#VALUE!</v>
      </c>
      <c r="Q9" s="116" t="str">
        <f t="shared" si="13"/>
        <v/>
      </c>
      <c r="R9" s="117">
        <f t="shared" si="14"/>
        <v>579447.57999999996</v>
      </c>
      <c r="S9" s="114"/>
      <c r="T9" s="116"/>
      <c r="U9" s="116">
        <f t="shared" si="15"/>
        <v>0</v>
      </c>
      <c r="V9" s="116">
        <v>3000000</v>
      </c>
      <c r="W9" s="116" t="e">
        <f t="shared" si="16"/>
        <v>#VALUE!</v>
      </c>
      <c r="X9" s="116" t="str">
        <f t="shared" si="17"/>
        <v/>
      </c>
      <c r="Y9" s="116">
        <f t="shared" si="18"/>
        <v>1409413.51</v>
      </c>
      <c r="Z9" s="326"/>
      <c r="AA9" s="326"/>
      <c r="AB9" s="326">
        <f t="shared" si="19"/>
        <v>3267339.12</v>
      </c>
      <c r="AC9" s="332">
        <v>1800000</v>
      </c>
      <c r="AD9" s="140" t="e">
        <f t="shared" si="20"/>
        <v>#VALUE!</v>
      </c>
      <c r="AE9" s="326" t="str">
        <f t="shared" si="21"/>
        <v/>
      </c>
      <c r="AF9" s="117">
        <f t="shared" si="22"/>
        <v>2005765.67</v>
      </c>
      <c r="AG9" s="123"/>
      <c r="AH9" s="326"/>
      <c r="AI9" s="1257">
        <f t="shared" si="23"/>
        <v>4800000</v>
      </c>
      <c r="AJ9" s="140">
        <f t="shared" si="24"/>
        <v>7335885.4100000001</v>
      </c>
      <c r="AK9" s="123" t="e">
        <f t="shared" ref="AK9:AM9" si="82">AD9+W9+P9</f>
        <v>#VALUE!</v>
      </c>
      <c r="AL9" s="123" t="e">
        <f t="shared" si="82"/>
        <v>#VALUE!</v>
      </c>
      <c r="AM9" s="123">
        <f t="shared" si="82"/>
        <v>3994626.76</v>
      </c>
      <c r="AN9" s="123">
        <f t="shared" si="26"/>
        <v>-3341258.6500000004</v>
      </c>
      <c r="AO9" s="1317">
        <f t="shared" si="62"/>
        <v>-0.45546767203387933</v>
      </c>
      <c r="AP9" s="434">
        <f t="shared" si="27"/>
        <v>0</v>
      </c>
      <c r="AQ9" s="1318" t="e">
        <f t="shared" si="28"/>
        <v>#VALUE!</v>
      </c>
      <c r="AR9" s="1319" t="str">
        <f t="shared" si="29"/>
        <v/>
      </c>
      <c r="AS9" s="1320">
        <f t="shared" si="30"/>
        <v>0</v>
      </c>
      <c r="AT9" s="125">
        <f t="shared" si="31"/>
        <v>0</v>
      </c>
      <c r="AU9" s="140" t="e">
        <f t="shared" si="32"/>
        <v>#VALUE!</v>
      </c>
      <c r="AV9" s="326" t="str">
        <f t="shared" si="33"/>
        <v/>
      </c>
      <c r="AW9" s="333">
        <f t="shared" si="34"/>
        <v>218127.06</v>
      </c>
      <c r="AX9" s="125">
        <f t="shared" si="35"/>
        <v>0</v>
      </c>
      <c r="AY9" s="140" t="e">
        <f t="shared" si="36"/>
        <v>#VALUE!</v>
      </c>
      <c r="AZ9" s="326" t="str">
        <f t="shared" si="37"/>
        <v/>
      </c>
      <c r="BA9" s="332">
        <f t="shared" si="38"/>
        <v>1330404.69</v>
      </c>
      <c r="BB9" s="844" t="e">
        <f t="shared" ref="BB9:BD9" si="83">SUM(AY9,AU9,AQ9)</f>
        <v>#VALUE!</v>
      </c>
      <c r="BC9" s="326">
        <f t="shared" si="83"/>
        <v>0</v>
      </c>
      <c r="BD9" s="333">
        <f t="shared" si="83"/>
        <v>1548531.75</v>
      </c>
      <c r="BE9" s="123" t="e">
        <f t="shared" si="40"/>
        <v>#VALUE!</v>
      </c>
      <c r="BF9" s="326">
        <f t="shared" si="41"/>
        <v>0</v>
      </c>
      <c r="BG9" s="435">
        <f t="shared" si="42"/>
        <v>5543158.5099999998</v>
      </c>
      <c r="BH9" s="125">
        <f t="shared" si="43"/>
        <v>0</v>
      </c>
      <c r="BI9" s="1041" t="e">
        <f t="shared" si="44"/>
        <v>#VALUE!</v>
      </c>
      <c r="BJ9" s="123" t="str">
        <f t="shared" si="45"/>
        <v/>
      </c>
      <c r="BK9" s="326">
        <f t="shared" si="46"/>
        <v>555245.13</v>
      </c>
      <c r="BL9" s="123">
        <f t="shared" si="47"/>
        <v>0</v>
      </c>
      <c r="BM9" s="113" t="e">
        <f t="shared" si="48"/>
        <v>#VALUE!</v>
      </c>
      <c r="BN9" s="116" t="str">
        <f t="shared" si="49"/>
        <v/>
      </c>
      <c r="BO9" s="115">
        <f t="shared" si="64"/>
        <v>0</v>
      </c>
      <c r="BP9" s="326">
        <f t="shared" si="50"/>
        <v>0</v>
      </c>
      <c r="BQ9" s="326" t="e">
        <f t="shared" si="51"/>
        <v>#VALUE!</v>
      </c>
      <c r="BR9" s="326" t="str">
        <f t="shared" si="52"/>
        <v/>
      </c>
      <c r="BS9" s="332">
        <f t="shared" si="53"/>
        <v>0</v>
      </c>
      <c r="BT9" s="586" t="e">
        <f t="shared" ref="BT9:BV9" si="84">SUM(BQ9,BM9,BI9)</f>
        <v>#VALUE!</v>
      </c>
      <c r="BU9" s="738">
        <f t="shared" si="84"/>
        <v>0</v>
      </c>
      <c r="BV9" s="737">
        <f t="shared" si="84"/>
        <v>555245.13</v>
      </c>
      <c r="BW9" s="125">
        <f t="shared" si="55"/>
        <v>2759751.76</v>
      </c>
      <c r="BX9" s="140" t="e">
        <f t="shared" si="56"/>
        <v>#VALUE!</v>
      </c>
      <c r="BY9" s="123" t="str">
        <f t="shared" si="57"/>
        <v/>
      </c>
      <c r="BZ9" s="333">
        <f t="shared" si="58"/>
        <v>0</v>
      </c>
      <c r="CA9" s="123">
        <f t="shared" si="59"/>
        <v>4041961.99</v>
      </c>
      <c r="CB9" s="326">
        <f t="shared" si="60"/>
        <v>534171.66</v>
      </c>
      <c r="CF9" s="294"/>
      <c r="CG9" s="294"/>
      <c r="CH9" s="294"/>
      <c r="CI9" s="294"/>
      <c r="CJ9" s="294"/>
      <c r="CK9" s="294"/>
      <c r="CL9" s="294"/>
      <c r="CM9" s="294"/>
      <c r="CN9" s="294"/>
    </row>
    <row r="10" spans="1:114" ht="15.75" customHeight="1">
      <c r="A10" s="325">
        <f t="shared" si="0"/>
        <v>112013143</v>
      </c>
      <c r="B10" s="324">
        <f t="shared" si="1"/>
        <v>12</v>
      </c>
      <c r="C10" s="558">
        <f t="shared" si="2"/>
        <v>0.15</v>
      </c>
      <c r="D10" s="558">
        <f t="shared" si="3"/>
        <v>0.09</v>
      </c>
      <c r="E10" s="715">
        <f t="shared" si="4"/>
        <v>0</v>
      </c>
      <c r="F10" s="547">
        <f t="shared" si="5"/>
        <v>12</v>
      </c>
      <c r="G10" s="699">
        <f t="shared" si="6"/>
        <v>0.15</v>
      </c>
      <c r="H10" s="699">
        <f t="shared" si="7"/>
        <v>0.09</v>
      </c>
      <c r="I10" s="702">
        <f t="shared" si="8"/>
        <v>0</v>
      </c>
      <c r="J10" s="837">
        <f t="shared" si="9"/>
        <v>55</v>
      </c>
      <c r="K10" s="699">
        <f t="shared" si="10"/>
        <v>0.15</v>
      </c>
      <c r="L10" s="1040">
        <f t="shared" si="11"/>
        <v>0.05</v>
      </c>
      <c r="M10" s="423" t="s">
        <v>1405</v>
      </c>
      <c r="N10" s="326"/>
      <c r="O10" s="332"/>
      <c r="P10" s="113" t="e">
        <f t="shared" si="12"/>
        <v>#VALUE!</v>
      </c>
      <c r="Q10" s="116" t="str">
        <f t="shared" si="13"/>
        <v/>
      </c>
      <c r="R10" s="117">
        <f t="shared" si="14"/>
        <v>0</v>
      </c>
      <c r="S10" s="114"/>
      <c r="T10" s="116"/>
      <c r="U10" s="116">
        <f t="shared" si="15"/>
        <v>0</v>
      </c>
      <c r="V10" s="116">
        <v>3000000</v>
      </c>
      <c r="W10" s="116" t="e">
        <f t="shared" si="16"/>
        <v>#VALUE!</v>
      </c>
      <c r="X10" s="116" t="str">
        <f t="shared" si="17"/>
        <v/>
      </c>
      <c r="Y10" s="116">
        <f t="shared" si="18"/>
        <v>0</v>
      </c>
      <c r="Z10" s="326"/>
      <c r="AA10" s="326"/>
      <c r="AB10" s="326">
        <f t="shared" si="19"/>
        <v>813648</v>
      </c>
      <c r="AC10" s="332">
        <v>1800000</v>
      </c>
      <c r="AD10" s="140" t="e">
        <f t="shared" si="20"/>
        <v>#VALUE!</v>
      </c>
      <c r="AE10" s="326" t="str">
        <f t="shared" si="21"/>
        <v/>
      </c>
      <c r="AF10" s="117">
        <f t="shared" si="22"/>
        <v>0</v>
      </c>
      <c r="AG10" s="123"/>
      <c r="AH10" s="326"/>
      <c r="AI10" s="1257">
        <f t="shared" si="23"/>
        <v>4800000</v>
      </c>
      <c r="AJ10" s="140">
        <f t="shared" si="24"/>
        <v>2260451.9</v>
      </c>
      <c r="AK10" s="123" t="e">
        <f t="shared" ref="AK10:AM10" si="85">AD10+W10+P10</f>
        <v>#VALUE!</v>
      </c>
      <c r="AL10" s="123" t="e">
        <f t="shared" si="85"/>
        <v>#VALUE!</v>
      </c>
      <c r="AM10" s="123">
        <f t="shared" si="85"/>
        <v>0</v>
      </c>
      <c r="AN10" s="123">
        <f t="shared" si="26"/>
        <v>-2260451.9</v>
      </c>
      <c r="AO10" s="1317">
        <f t="shared" si="62"/>
        <v>-1</v>
      </c>
      <c r="AP10" s="434">
        <f t="shared" si="27"/>
        <v>1224608.3</v>
      </c>
      <c r="AQ10" s="1318" t="e">
        <f t="shared" si="28"/>
        <v>#VALUE!</v>
      </c>
      <c r="AR10" s="1319" t="str">
        <f t="shared" si="29"/>
        <v/>
      </c>
      <c r="AS10" s="1320">
        <f t="shared" si="30"/>
        <v>0</v>
      </c>
      <c r="AT10" s="125">
        <f t="shared" si="31"/>
        <v>663088.5</v>
      </c>
      <c r="AU10" s="140" t="e">
        <f t="shared" si="32"/>
        <v>#VALUE!</v>
      </c>
      <c r="AV10" s="326" t="str">
        <f t="shared" si="33"/>
        <v/>
      </c>
      <c r="AW10" s="333">
        <f t="shared" si="34"/>
        <v>1288117.45</v>
      </c>
      <c r="AX10" s="125">
        <f t="shared" si="35"/>
        <v>0</v>
      </c>
      <c r="AY10" s="586" t="e">
        <f t="shared" si="36"/>
        <v>#VALUE!</v>
      </c>
      <c r="AZ10" s="326" t="str">
        <f t="shared" si="37"/>
        <v/>
      </c>
      <c r="BA10" s="332">
        <f t="shared" si="38"/>
        <v>0</v>
      </c>
      <c r="BB10" s="844" t="e">
        <f t="shared" ref="BB10:BD10" si="86">SUM(AY10,AU10,AQ10)</f>
        <v>#VALUE!</v>
      </c>
      <c r="BC10" s="326">
        <f t="shared" si="86"/>
        <v>0</v>
      </c>
      <c r="BD10" s="333">
        <f t="shared" si="86"/>
        <v>1288117.45</v>
      </c>
      <c r="BE10" s="123" t="e">
        <f t="shared" si="40"/>
        <v>#VALUE!</v>
      </c>
      <c r="BF10" s="326">
        <f t="shared" si="41"/>
        <v>0</v>
      </c>
      <c r="BG10" s="435">
        <f t="shared" si="42"/>
        <v>1288117.45</v>
      </c>
      <c r="BH10" s="125">
        <f t="shared" si="43"/>
        <v>2376709.7000000002</v>
      </c>
      <c r="BI10" s="1041" t="e">
        <f t="shared" si="44"/>
        <v>#VALUE!</v>
      </c>
      <c r="BJ10" s="123" t="str">
        <f t="shared" si="45"/>
        <v/>
      </c>
      <c r="BK10" s="326">
        <f t="shared" si="46"/>
        <v>1232327.01</v>
      </c>
      <c r="BL10" s="123">
        <f t="shared" si="47"/>
        <v>1460002</v>
      </c>
      <c r="BM10" s="113" t="e">
        <f t="shared" si="48"/>
        <v>#VALUE!</v>
      </c>
      <c r="BN10" s="116" t="str">
        <f t="shared" si="49"/>
        <v/>
      </c>
      <c r="BO10" s="115">
        <f t="shared" si="64"/>
        <v>931512.48</v>
      </c>
      <c r="BP10" s="326">
        <f t="shared" si="50"/>
        <v>1233201.6499999999</v>
      </c>
      <c r="BQ10" s="326" t="e">
        <f t="shared" si="51"/>
        <v>#VALUE!</v>
      </c>
      <c r="BR10" s="326" t="str">
        <f t="shared" si="52"/>
        <v/>
      </c>
      <c r="BS10" s="332">
        <f t="shared" si="53"/>
        <v>0</v>
      </c>
      <c r="BT10" s="586" t="e">
        <f t="shared" ref="BT10:BV10" si="87">SUM(BQ10,BM10,BI10)</f>
        <v>#VALUE!</v>
      </c>
      <c r="BU10" s="738">
        <f t="shared" si="87"/>
        <v>0</v>
      </c>
      <c r="BV10" s="737">
        <f t="shared" si="87"/>
        <v>2163839.4900000002</v>
      </c>
      <c r="BW10" s="125">
        <f t="shared" si="55"/>
        <v>632154</v>
      </c>
      <c r="BX10" s="140" t="e">
        <f t="shared" si="56"/>
        <v>#VALUE!</v>
      </c>
      <c r="BY10" s="123" t="str">
        <f t="shared" si="57"/>
        <v/>
      </c>
      <c r="BZ10" s="333">
        <f t="shared" si="58"/>
        <v>3425666.52</v>
      </c>
      <c r="CA10" s="123">
        <f t="shared" si="59"/>
        <v>1026074.4</v>
      </c>
      <c r="CB10" s="326">
        <f t="shared" si="60"/>
        <v>602223.5</v>
      </c>
      <c r="CF10" s="294"/>
      <c r="CG10" s="294"/>
      <c r="CH10" s="294"/>
      <c r="CI10" s="294"/>
      <c r="CJ10" s="294"/>
      <c r="CK10" s="294"/>
      <c r="CL10" s="294"/>
      <c r="CM10" s="294"/>
      <c r="CN10" s="294"/>
    </row>
    <row r="11" spans="1:114" ht="15.75" customHeight="1">
      <c r="A11" s="325">
        <f t="shared" si="0"/>
        <v>112014646</v>
      </c>
      <c r="B11" s="324">
        <f t="shared" si="1"/>
        <v>31</v>
      </c>
      <c r="C11" s="558">
        <f t="shared" si="2"/>
        <v>0.1</v>
      </c>
      <c r="D11" s="558">
        <f t="shared" si="3"/>
        <v>0.23</v>
      </c>
      <c r="E11" s="715">
        <f t="shared" si="4"/>
        <v>0</v>
      </c>
      <c r="F11" s="547">
        <f t="shared" si="5"/>
        <v>10</v>
      </c>
      <c r="G11" s="699">
        <f t="shared" si="6"/>
        <v>0.15</v>
      </c>
      <c r="H11" s="699">
        <f t="shared" si="7"/>
        <v>0.23</v>
      </c>
      <c r="I11" s="702">
        <f t="shared" si="8"/>
        <v>0</v>
      </c>
      <c r="J11" s="837">
        <f t="shared" si="9"/>
        <v>53</v>
      </c>
      <c r="K11" s="699">
        <f t="shared" si="10"/>
        <v>0.15</v>
      </c>
      <c r="L11" s="1040">
        <f t="shared" si="11"/>
        <v>0.14000000000000001</v>
      </c>
      <c r="M11" s="423" t="s">
        <v>1406</v>
      </c>
      <c r="N11" s="326"/>
      <c r="O11" s="332"/>
      <c r="P11" s="113">
        <f t="shared" si="12"/>
        <v>1917184.7300000002</v>
      </c>
      <c r="Q11" s="116">
        <f t="shared" si="13"/>
        <v>199214.68</v>
      </c>
      <c r="R11" s="117">
        <f t="shared" si="14"/>
        <v>2116399.41</v>
      </c>
      <c r="S11" s="114"/>
      <c r="T11" s="116"/>
      <c r="U11" s="116" t="str">
        <f t="shared" si="15"/>
        <v/>
      </c>
      <c r="V11" s="116">
        <v>3000000</v>
      </c>
      <c r="W11" s="116">
        <f t="shared" si="16"/>
        <v>597655.07999999996</v>
      </c>
      <c r="X11" s="116">
        <f t="shared" si="17"/>
        <v>332210.26</v>
      </c>
      <c r="Y11" s="116">
        <f t="shared" si="18"/>
        <v>929865.34</v>
      </c>
      <c r="Z11" s="326"/>
      <c r="AA11" s="326"/>
      <c r="AB11" s="326" t="str">
        <f t="shared" si="19"/>
        <v/>
      </c>
      <c r="AC11" s="332">
        <v>1800000</v>
      </c>
      <c r="AD11" s="140">
        <f t="shared" si="20"/>
        <v>380119.37</v>
      </c>
      <c r="AE11" s="326">
        <f t="shared" si="21"/>
        <v>0</v>
      </c>
      <c r="AF11" s="117">
        <f t="shared" si="22"/>
        <v>380119.37</v>
      </c>
      <c r="AG11" s="123"/>
      <c r="AH11" s="326"/>
      <c r="AI11" s="1257">
        <f t="shared" si="23"/>
        <v>4800000</v>
      </c>
      <c r="AJ11" s="140" t="str">
        <f t="shared" si="24"/>
        <v>0</v>
      </c>
      <c r="AK11" s="123">
        <f t="shared" ref="AK11:AM11" si="88">AD11+W11+P11</f>
        <v>2894959.18</v>
      </c>
      <c r="AL11" s="123">
        <f t="shared" si="88"/>
        <v>531424.93999999994</v>
      </c>
      <c r="AM11" s="123">
        <f t="shared" si="88"/>
        <v>3426384.12</v>
      </c>
      <c r="AN11" s="123">
        <f t="shared" si="26"/>
        <v>3426384.12</v>
      </c>
      <c r="AO11" s="1317" t="str">
        <f t="shared" si="62"/>
        <v/>
      </c>
      <c r="AP11" s="434" t="str">
        <f t="shared" si="27"/>
        <v/>
      </c>
      <c r="AQ11" s="1318">
        <f t="shared" si="28"/>
        <v>450646.18</v>
      </c>
      <c r="AR11" s="1319">
        <f t="shared" si="29"/>
        <v>0</v>
      </c>
      <c r="AS11" s="1320">
        <f t="shared" si="30"/>
        <v>450646.18</v>
      </c>
      <c r="AT11" s="125" t="str">
        <f t="shared" si="31"/>
        <v/>
      </c>
      <c r="AU11" s="140">
        <f t="shared" si="32"/>
        <v>451673.04</v>
      </c>
      <c r="AV11" s="326">
        <f t="shared" si="33"/>
        <v>0</v>
      </c>
      <c r="AW11" s="333">
        <f t="shared" si="34"/>
        <v>451673.04</v>
      </c>
      <c r="AX11" s="125" t="str">
        <f t="shared" si="35"/>
        <v/>
      </c>
      <c r="AY11" s="140">
        <f t="shared" si="36"/>
        <v>167130</v>
      </c>
      <c r="AZ11" s="326">
        <f t="shared" si="37"/>
        <v>0</v>
      </c>
      <c r="BA11" s="332">
        <f t="shared" si="38"/>
        <v>167130</v>
      </c>
      <c r="BB11" s="122">
        <f t="shared" ref="BB11:BD11" si="89">SUM(AY11,AU11,AQ11)</f>
        <v>1069449.22</v>
      </c>
      <c r="BC11" s="326">
        <f t="shared" si="89"/>
        <v>0</v>
      </c>
      <c r="BD11" s="333">
        <f t="shared" si="89"/>
        <v>1069449.22</v>
      </c>
      <c r="BE11" s="123">
        <f t="shared" si="40"/>
        <v>3964408.4000000004</v>
      </c>
      <c r="BF11" s="326">
        <f t="shared" si="41"/>
        <v>0</v>
      </c>
      <c r="BG11" s="435">
        <f t="shared" si="42"/>
        <v>4495833.34</v>
      </c>
      <c r="BH11" s="125" t="str">
        <f t="shared" si="43"/>
        <v/>
      </c>
      <c r="BI11" s="1041">
        <f t="shared" si="44"/>
        <v>246752.97999999998</v>
      </c>
      <c r="BJ11" s="123">
        <f t="shared" si="45"/>
        <v>1697266.59</v>
      </c>
      <c r="BK11" s="326">
        <f t="shared" si="46"/>
        <v>1944019.57</v>
      </c>
      <c r="BL11" s="123" t="str">
        <f t="shared" si="47"/>
        <v/>
      </c>
      <c r="BM11" s="113">
        <f t="shared" si="48"/>
        <v>1075275.05</v>
      </c>
      <c r="BN11" s="116">
        <f t="shared" si="49"/>
        <v>1753195.51</v>
      </c>
      <c r="BO11" s="115">
        <f t="shared" si="64"/>
        <v>2828470.56</v>
      </c>
      <c r="BP11" s="326" t="str">
        <f t="shared" si="50"/>
        <v/>
      </c>
      <c r="BQ11" s="326">
        <f t="shared" si="51"/>
        <v>976579.54999999993</v>
      </c>
      <c r="BR11" s="326">
        <f t="shared" si="52"/>
        <v>759724.18</v>
      </c>
      <c r="BS11" s="332">
        <f t="shared" si="53"/>
        <v>1736303.73</v>
      </c>
      <c r="BT11" s="586">
        <f t="shared" ref="BT11:BV11" si="90">SUM(BQ11,BM11,BI11)</f>
        <v>2298607.58</v>
      </c>
      <c r="BU11" s="738">
        <f t="shared" si="90"/>
        <v>4210186.28</v>
      </c>
      <c r="BV11" s="737">
        <f t="shared" si="90"/>
        <v>6508793.8600000003</v>
      </c>
      <c r="BW11" s="125" t="str">
        <f t="shared" si="55"/>
        <v/>
      </c>
      <c r="BX11" s="140">
        <f t="shared" si="56"/>
        <v>2002164.0700000003</v>
      </c>
      <c r="BY11" s="123">
        <f t="shared" si="57"/>
        <v>1491486.17</v>
      </c>
      <c r="BZ11" s="333">
        <f t="shared" si="58"/>
        <v>3493650.24</v>
      </c>
      <c r="CA11" s="123" t="str">
        <f t="shared" si="59"/>
        <v/>
      </c>
      <c r="CB11" s="326" t="str">
        <f t="shared" si="60"/>
        <v/>
      </c>
      <c r="CF11" s="294"/>
      <c r="CG11" s="294"/>
      <c r="CH11" s="294"/>
      <c r="CI11" s="294"/>
      <c r="CJ11" s="136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36"/>
      <c r="DJ11" s="136"/>
    </row>
    <row r="12" spans="1:114" ht="15.75" customHeight="1">
      <c r="A12" s="325">
        <f t="shared" si="0"/>
        <v>112013246</v>
      </c>
      <c r="B12" s="324">
        <f t="shared" si="1"/>
        <v>9</v>
      </c>
      <c r="C12" s="558">
        <f t="shared" si="2"/>
        <v>0.12</v>
      </c>
      <c r="D12" s="558">
        <f t="shared" si="3"/>
        <v>0.23</v>
      </c>
      <c r="E12" s="715">
        <f t="shared" si="4"/>
        <v>0</v>
      </c>
      <c r="F12" s="547">
        <f t="shared" si="5"/>
        <v>9</v>
      </c>
      <c r="G12" s="699">
        <f t="shared" si="6"/>
        <v>0.12</v>
      </c>
      <c r="H12" s="699">
        <f t="shared" si="7"/>
        <v>0.23</v>
      </c>
      <c r="I12" s="702">
        <f t="shared" si="8"/>
        <v>0</v>
      </c>
      <c r="J12" s="837">
        <f t="shared" si="9"/>
        <v>57</v>
      </c>
      <c r="K12" s="699">
        <f t="shared" si="10"/>
        <v>0.12</v>
      </c>
      <c r="L12" s="1040">
        <f t="shared" si="11"/>
        <v>0.14000000000000001</v>
      </c>
      <c r="M12" s="423" t="s">
        <v>1407</v>
      </c>
      <c r="N12" s="326"/>
      <c r="O12" s="332"/>
      <c r="P12" s="113">
        <f t="shared" si="12"/>
        <v>2023831.8499999999</v>
      </c>
      <c r="Q12" s="116">
        <f t="shared" si="13"/>
        <v>1385072.84</v>
      </c>
      <c r="R12" s="117">
        <f t="shared" si="14"/>
        <v>3408904.69</v>
      </c>
      <c r="S12" s="114"/>
      <c r="T12" s="116"/>
      <c r="U12" s="116">
        <f t="shared" si="15"/>
        <v>805070.57</v>
      </c>
      <c r="V12" s="116">
        <v>3000000</v>
      </c>
      <c r="W12" s="116">
        <f t="shared" si="16"/>
        <v>1128431.71</v>
      </c>
      <c r="X12" s="116">
        <f t="shared" si="17"/>
        <v>925207.13</v>
      </c>
      <c r="Y12" s="116">
        <f t="shared" si="18"/>
        <v>2053638.84</v>
      </c>
      <c r="Z12" s="326"/>
      <c r="AA12" s="326"/>
      <c r="AB12" s="326">
        <f t="shared" si="19"/>
        <v>0</v>
      </c>
      <c r="AC12" s="332">
        <v>1800000</v>
      </c>
      <c r="AD12" s="140">
        <f t="shared" si="20"/>
        <v>0</v>
      </c>
      <c r="AE12" s="326">
        <f t="shared" si="21"/>
        <v>397808.33</v>
      </c>
      <c r="AF12" s="117">
        <f t="shared" si="22"/>
        <v>397808.33</v>
      </c>
      <c r="AG12" s="123"/>
      <c r="AH12" s="326"/>
      <c r="AI12" s="1257">
        <f t="shared" si="23"/>
        <v>4800000</v>
      </c>
      <c r="AJ12" s="140">
        <f t="shared" si="24"/>
        <v>8276602.21</v>
      </c>
      <c r="AK12" s="123">
        <f t="shared" ref="AK12:AM12" si="91">AD12+W12+P12</f>
        <v>3152263.5599999996</v>
      </c>
      <c r="AL12" s="123">
        <f t="shared" si="91"/>
        <v>2708088.3</v>
      </c>
      <c r="AM12" s="123">
        <f t="shared" si="91"/>
        <v>5860351.8599999994</v>
      </c>
      <c r="AN12" s="123">
        <f t="shared" si="26"/>
        <v>-2416250.3500000006</v>
      </c>
      <c r="AO12" s="1317">
        <f t="shared" si="62"/>
        <v>-0.29193747490735095</v>
      </c>
      <c r="AP12" s="434">
        <f t="shared" si="27"/>
        <v>126534.01</v>
      </c>
      <c r="AQ12" s="1325">
        <f t="shared" si="28"/>
        <v>694957.24</v>
      </c>
      <c r="AR12" s="1319">
        <f t="shared" si="29"/>
        <v>1747249.2</v>
      </c>
      <c r="AS12" s="1320">
        <f t="shared" si="30"/>
        <v>2442206.44</v>
      </c>
      <c r="AT12" s="125">
        <f t="shared" si="31"/>
        <v>0</v>
      </c>
      <c r="AU12" s="586">
        <f t="shared" si="32"/>
        <v>754353.67999999993</v>
      </c>
      <c r="AV12" s="326">
        <f t="shared" si="33"/>
        <v>1522117.3</v>
      </c>
      <c r="AW12" s="333">
        <f t="shared" si="34"/>
        <v>2276470.98</v>
      </c>
      <c r="AX12" s="125">
        <f t="shared" si="35"/>
        <v>319102.94</v>
      </c>
      <c r="AY12" s="586">
        <f t="shared" si="36"/>
        <v>1306374.33</v>
      </c>
      <c r="AZ12" s="326">
        <f t="shared" si="37"/>
        <v>1962022.25</v>
      </c>
      <c r="BA12" s="332">
        <f t="shared" si="38"/>
        <v>3268396.58</v>
      </c>
      <c r="BB12" s="844">
        <f t="shared" ref="BB12:BD12" si="92">SUM(AY12,AU12,AQ12)</f>
        <v>2755685.25</v>
      </c>
      <c r="BC12" s="326">
        <f t="shared" si="92"/>
        <v>5231388.75</v>
      </c>
      <c r="BD12" s="333">
        <f t="shared" si="92"/>
        <v>7987074</v>
      </c>
      <c r="BE12" s="123">
        <f t="shared" si="40"/>
        <v>5907948.8099999996</v>
      </c>
      <c r="BF12" s="326">
        <f t="shared" si="41"/>
        <v>5231388.75</v>
      </c>
      <c r="BG12" s="435">
        <f t="shared" si="42"/>
        <v>13847425.859999999</v>
      </c>
      <c r="BH12" s="125">
        <f t="shared" si="43"/>
        <v>1061307.0900000001</v>
      </c>
      <c r="BI12" s="1041">
        <f t="shared" si="44"/>
        <v>493542.64999999991</v>
      </c>
      <c r="BJ12" s="123">
        <f t="shared" si="45"/>
        <v>2038565.21</v>
      </c>
      <c r="BK12" s="326">
        <f t="shared" si="46"/>
        <v>2532107.86</v>
      </c>
      <c r="BL12" s="123">
        <f t="shared" si="47"/>
        <v>320588.73</v>
      </c>
      <c r="BM12" s="113">
        <f t="shared" si="48"/>
        <v>621287.06000000006</v>
      </c>
      <c r="BN12" s="116">
        <f t="shared" si="49"/>
        <v>1882983.65</v>
      </c>
      <c r="BO12" s="115">
        <f t="shared" si="64"/>
        <v>2504270.71</v>
      </c>
      <c r="BP12" s="326">
        <f t="shared" si="50"/>
        <v>361479.2</v>
      </c>
      <c r="BQ12" s="326">
        <f t="shared" si="51"/>
        <v>1128748.9099999997</v>
      </c>
      <c r="BR12" s="326">
        <f t="shared" si="52"/>
        <v>2630302.91</v>
      </c>
      <c r="BS12" s="332">
        <f t="shared" si="53"/>
        <v>3759051.82</v>
      </c>
      <c r="BT12" s="586">
        <f t="shared" ref="BT12:BV12" si="93">SUM(BQ12,BM12,BI12)</f>
        <v>2243578.6199999996</v>
      </c>
      <c r="BU12" s="738">
        <f t="shared" si="93"/>
        <v>6551851.7700000005</v>
      </c>
      <c r="BV12" s="1326">
        <f t="shared" si="93"/>
        <v>8795430.3899999987</v>
      </c>
      <c r="BW12" s="125">
        <f t="shared" si="55"/>
        <v>3201175.23</v>
      </c>
      <c r="BX12" s="140">
        <f t="shared" si="56"/>
        <v>3069912.2800000003</v>
      </c>
      <c r="BY12" s="123">
        <f t="shared" si="57"/>
        <v>1837143.09</v>
      </c>
      <c r="BZ12" s="333">
        <f t="shared" si="58"/>
        <v>4907055.37</v>
      </c>
      <c r="CA12" s="123">
        <f t="shared" si="59"/>
        <v>1898165.55</v>
      </c>
      <c r="CB12" s="326">
        <f t="shared" si="60"/>
        <v>3177261.42</v>
      </c>
      <c r="CF12" s="294"/>
      <c r="CG12" s="294"/>
      <c r="CH12" s="294"/>
      <c r="CI12" s="294"/>
      <c r="CJ12" s="136"/>
      <c r="CK12" s="136"/>
      <c r="CL12" s="136"/>
      <c r="CM12" s="136"/>
      <c r="CN12" s="136"/>
      <c r="CO12" s="136"/>
      <c r="CP12" s="136"/>
      <c r="CQ12" s="136"/>
      <c r="CR12" s="136"/>
      <c r="CS12" s="136"/>
      <c r="CT12" s="136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136"/>
      <c r="DF12" s="136"/>
      <c r="DG12" s="136"/>
      <c r="DH12" s="136"/>
      <c r="DI12" s="136"/>
      <c r="DJ12" s="136"/>
    </row>
    <row r="13" spans="1:114" ht="15.75" customHeight="1">
      <c r="A13" s="325">
        <f t="shared" si="0"/>
        <v>112013226</v>
      </c>
      <c r="B13" s="324">
        <f t="shared" si="1"/>
        <v>24</v>
      </c>
      <c r="C13" s="558">
        <f t="shared" si="2"/>
        <v>0.12</v>
      </c>
      <c r="D13" s="558">
        <f t="shared" si="3"/>
        <v>0.09</v>
      </c>
      <c r="E13" s="715">
        <f t="shared" si="4"/>
        <v>0</v>
      </c>
      <c r="F13" s="547">
        <f t="shared" si="5"/>
        <v>7</v>
      </c>
      <c r="G13" s="699">
        <f t="shared" si="6"/>
        <v>0.1</v>
      </c>
      <c r="H13" s="699">
        <f t="shared" si="7"/>
        <v>0.2</v>
      </c>
      <c r="I13" s="702">
        <f t="shared" si="8"/>
        <v>0</v>
      </c>
      <c r="J13" s="837">
        <f t="shared" si="9"/>
        <v>62</v>
      </c>
      <c r="K13" s="699">
        <f t="shared" si="10"/>
        <v>0.1</v>
      </c>
      <c r="L13" s="1040">
        <f t="shared" si="11"/>
        <v>0.11</v>
      </c>
      <c r="M13" s="423" t="s">
        <v>1408</v>
      </c>
      <c r="N13" s="326"/>
      <c r="O13" s="332"/>
      <c r="P13" s="113">
        <f t="shared" si="12"/>
        <v>38742.550000000017</v>
      </c>
      <c r="Q13" s="116">
        <f t="shared" si="13"/>
        <v>201807.65</v>
      </c>
      <c r="R13" s="117">
        <f t="shared" si="14"/>
        <v>240550.2</v>
      </c>
      <c r="S13" s="114"/>
      <c r="T13" s="116"/>
      <c r="U13" s="116">
        <f t="shared" si="15"/>
        <v>346541.38</v>
      </c>
      <c r="V13" s="116">
        <v>3000000</v>
      </c>
      <c r="W13" s="116">
        <f t="shared" si="16"/>
        <v>59324.72</v>
      </c>
      <c r="X13" s="116">
        <f t="shared" si="17"/>
        <v>131604.81</v>
      </c>
      <c r="Y13" s="116">
        <f t="shared" si="18"/>
        <v>190929.53</v>
      </c>
      <c r="Z13" s="326"/>
      <c r="AA13" s="326"/>
      <c r="AB13" s="326">
        <f t="shared" si="19"/>
        <v>581439.91</v>
      </c>
      <c r="AC13" s="332">
        <v>1800000</v>
      </c>
      <c r="AD13" s="140">
        <f t="shared" si="20"/>
        <v>83515.219999999972</v>
      </c>
      <c r="AE13" s="326">
        <f t="shared" si="21"/>
        <v>628460.97</v>
      </c>
      <c r="AF13" s="117">
        <f t="shared" si="22"/>
        <v>711976.19</v>
      </c>
      <c r="AG13" s="123"/>
      <c r="AH13" s="326"/>
      <c r="AI13" s="1257">
        <f t="shared" si="23"/>
        <v>4800000</v>
      </c>
      <c r="AJ13" s="140">
        <f t="shared" si="24"/>
        <v>1608998.92</v>
      </c>
      <c r="AK13" s="123">
        <f t="shared" ref="AK13:AM13" si="94">AD13+W13+P13</f>
        <v>181582.49</v>
      </c>
      <c r="AL13" s="123">
        <f t="shared" si="94"/>
        <v>961873.43</v>
      </c>
      <c r="AM13" s="123">
        <f t="shared" si="94"/>
        <v>1143455.92</v>
      </c>
      <c r="AN13" s="123">
        <f t="shared" si="26"/>
        <v>-465543</v>
      </c>
      <c r="AO13" s="1317">
        <f t="shared" si="62"/>
        <v>-0.28933704939963539</v>
      </c>
      <c r="AP13" s="434">
        <f t="shared" si="27"/>
        <v>193063.32</v>
      </c>
      <c r="AQ13" s="1325">
        <f t="shared" si="28"/>
        <v>186624.84</v>
      </c>
      <c r="AR13" s="1319">
        <f t="shared" si="29"/>
        <v>244113.21</v>
      </c>
      <c r="AS13" s="1320">
        <f t="shared" si="30"/>
        <v>430738.05</v>
      </c>
      <c r="AT13" s="125">
        <f t="shared" si="31"/>
        <v>160477.4</v>
      </c>
      <c r="AU13" s="586">
        <f t="shared" si="32"/>
        <v>25431.600000000035</v>
      </c>
      <c r="AV13" s="326">
        <f t="shared" si="33"/>
        <v>442140.54</v>
      </c>
      <c r="AW13" s="333">
        <f t="shared" si="34"/>
        <v>467572.14</v>
      </c>
      <c r="AX13" s="125">
        <f t="shared" si="35"/>
        <v>448513.11</v>
      </c>
      <c r="AY13" s="586">
        <f t="shared" si="36"/>
        <v>109570.91000000003</v>
      </c>
      <c r="AZ13" s="326">
        <f t="shared" si="37"/>
        <v>304885.21999999997</v>
      </c>
      <c r="BA13" s="332">
        <f t="shared" si="38"/>
        <v>414456.13</v>
      </c>
      <c r="BB13" s="844">
        <f t="shared" ref="BB13:BD13" si="95">SUM(AY13,AU13,AQ13)</f>
        <v>321627.35000000009</v>
      </c>
      <c r="BC13" s="326">
        <f t="shared" si="95"/>
        <v>991138.97</v>
      </c>
      <c r="BD13" s="333">
        <f t="shared" si="95"/>
        <v>1312766.32</v>
      </c>
      <c r="BE13" s="123">
        <f t="shared" si="40"/>
        <v>503209.84000000008</v>
      </c>
      <c r="BF13" s="326">
        <f t="shared" si="41"/>
        <v>991138.97</v>
      </c>
      <c r="BG13" s="435">
        <f t="shared" si="42"/>
        <v>2456222.2400000002</v>
      </c>
      <c r="BH13" s="125">
        <f t="shared" si="43"/>
        <v>316619.11</v>
      </c>
      <c r="BI13" s="1041">
        <f t="shared" si="44"/>
        <v>0</v>
      </c>
      <c r="BJ13" s="123">
        <f t="shared" si="45"/>
        <v>320316.65000000002</v>
      </c>
      <c r="BK13" s="326">
        <f t="shared" si="46"/>
        <v>320316.65000000002</v>
      </c>
      <c r="BL13" s="123">
        <f t="shared" si="47"/>
        <v>634581.12</v>
      </c>
      <c r="BM13" s="113">
        <f t="shared" si="48"/>
        <v>139980.76</v>
      </c>
      <c r="BN13" s="116">
        <f t="shared" si="49"/>
        <v>557478.11</v>
      </c>
      <c r="BO13" s="115">
        <f t="shared" si="64"/>
        <v>697458.87</v>
      </c>
      <c r="BP13" s="326">
        <f t="shared" si="50"/>
        <v>199488.81</v>
      </c>
      <c r="BQ13" s="326">
        <f t="shared" si="51"/>
        <v>75411.13</v>
      </c>
      <c r="BR13" s="326">
        <f t="shared" si="52"/>
        <v>667823.6</v>
      </c>
      <c r="BS13" s="332">
        <f t="shared" si="53"/>
        <v>743234.73</v>
      </c>
      <c r="BT13" s="586">
        <f t="shared" ref="BT13:BV13" si="96">SUM(BQ13,BM13,BI13)</f>
        <v>215391.89</v>
      </c>
      <c r="BU13" s="738">
        <f t="shared" si="96"/>
        <v>1545618.3599999999</v>
      </c>
      <c r="BV13" s="737">
        <f t="shared" si="96"/>
        <v>1761010.25</v>
      </c>
      <c r="BW13" s="125">
        <f t="shared" si="55"/>
        <v>342477.85</v>
      </c>
      <c r="BX13" s="140">
        <f t="shared" si="56"/>
        <v>162024.68</v>
      </c>
      <c r="BY13" s="123">
        <f t="shared" si="57"/>
        <v>147393.64000000001</v>
      </c>
      <c r="BZ13" s="333">
        <f t="shared" si="58"/>
        <v>309418.32</v>
      </c>
      <c r="CA13" s="123">
        <f t="shared" si="59"/>
        <v>258187.45</v>
      </c>
      <c r="CB13" s="326">
        <f t="shared" si="60"/>
        <v>1008333.61</v>
      </c>
      <c r="CE13" s="231" t="s">
        <v>78</v>
      </c>
      <c r="CF13" s="1327"/>
      <c r="CG13" s="1327"/>
      <c r="CH13" s="294"/>
      <c r="CI13" s="294"/>
      <c r="CJ13" s="294"/>
      <c r="CK13" s="294"/>
      <c r="CL13" s="294"/>
      <c r="CM13" s="294"/>
      <c r="CN13" s="294"/>
    </row>
    <row r="14" spans="1:114" ht="15.75" customHeight="1">
      <c r="A14" s="325">
        <f t="shared" si="0"/>
        <v>112014712</v>
      </c>
      <c r="B14" s="324">
        <f t="shared" si="1"/>
        <v>31</v>
      </c>
      <c r="C14" s="558">
        <f t="shared" si="2"/>
        <v>0.1</v>
      </c>
      <c r="D14" s="558">
        <f t="shared" si="3"/>
        <v>0.23</v>
      </c>
      <c r="E14" s="715">
        <f t="shared" si="4"/>
        <v>0</v>
      </c>
      <c r="F14" s="547">
        <f t="shared" si="5"/>
        <v>31</v>
      </c>
      <c r="G14" s="699">
        <f t="shared" si="6"/>
        <v>0.1</v>
      </c>
      <c r="H14" s="699">
        <f t="shared" si="7"/>
        <v>0.23</v>
      </c>
      <c r="I14" s="702">
        <f t="shared" si="8"/>
        <v>0</v>
      </c>
      <c r="J14" s="837">
        <f t="shared" si="9"/>
        <v>61</v>
      </c>
      <c r="K14" s="699">
        <f t="shared" si="10"/>
        <v>0.1</v>
      </c>
      <c r="L14" s="1040">
        <f t="shared" si="11"/>
        <v>0.14000000000000001</v>
      </c>
      <c r="M14" s="943" t="s">
        <v>1409</v>
      </c>
      <c r="N14" s="326"/>
      <c r="O14" s="332"/>
      <c r="P14" s="113">
        <f t="shared" si="12"/>
        <v>0</v>
      </c>
      <c r="Q14" s="116">
        <f t="shared" si="13"/>
        <v>0</v>
      </c>
      <c r="R14" s="117">
        <f t="shared" si="14"/>
        <v>0</v>
      </c>
      <c r="S14" s="114"/>
      <c r="T14" s="116"/>
      <c r="U14" s="116" t="str">
        <f t="shared" si="15"/>
        <v/>
      </c>
      <c r="V14" s="116">
        <v>3000000</v>
      </c>
      <c r="W14" s="116">
        <f t="shared" si="16"/>
        <v>0</v>
      </c>
      <c r="X14" s="116">
        <f t="shared" si="17"/>
        <v>0</v>
      </c>
      <c r="Y14" s="116">
        <f t="shared" si="18"/>
        <v>0</v>
      </c>
      <c r="Z14" s="326"/>
      <c r="AA14" s="326"/>
      <c r="AB14" s="326" t="str">
        <f t="shared" si="19"/>
        <v/>
      </c>
      <c r="AC14" s="332">
        <v>1800000</v>
      </c>
      <c r="AD14" s="140">
        <f t="shared" si="20"/>
        <v>0</v>
      </c>
      <c r="AE14" s="326">
        <f t="shared" si="21"/>
        <v>0</v>
      </c>
      <c r="AF14" s="117">
        <f t="shared" si="22"/>
        <v>0</v>
      </c>
      <c r="AG14" s="123"/>
      <c r="AH14" s="326"/>
      <c r="AI14" s="1257">
        <f t="shared" si="23"/>
        <v>4800000</v>
      </c>
      <c r="AJ14" s="140" t="str">
        <f t="shared" si="24"/>
        <v>0</v>
      </c>
      <c r="AK14" s="123">
        <f t="shared" ref="AK14:AM14" si="97">AD14+W14+P14</f>
        <v>0</v>
      </c>
      <c r="AL14" s="123">
        <f t="shared" si="97"/>
        <v>0</v>
      </c>
      <c r="AM14" s="123">
        <f t="shared" si="97"/>
        <v>0</v>
      </c>
      <c r="AN14" s="123">
        <f t="shared" si="26"/>
        <v>0</v>
      </c>
      <c r="AO14" s="1317" t="str">
        <f t="shared" si="62"/>
        <v/>
      </c>
      <c r="AP14" s="434" t="str">
        <f t="shared" si="27"/>
        <v/>
      </c>
      <c r="AQ14" s="1318">
        <f t="shared" si="28"/>
        <v>0</v>
      </c>
      <c r="AR14" s="1319">
        <f t="shared" si="29"/>
        <v>0</v>
      </c>
      <c r="AS14" s="1320">
        <f t="shared" si="30"/>
        <v>0</v>
      </c>
      <c r="AT14" s="125" t="str">
        <f t="shared" si="31"/>
        <v/>
      </c>
      <c r="AU14" s="586">
        <f t="shared" si="32"/>
        <v>0</v>
      </c>
      <c r="AV14" s="326">
        <f t="shared" si="33"/>
        <v>0</v>
      </c>
      <c r="AW14" s="333">
        <f t="shared" si="34"/>
        <v>0</v>
      </c>
      <c r="AX14" s="125" t="str">
        <f t="shared" si="35"/>
        <v/>
      </c>
      <c r="AY14" s="140">
        <f t="shared" si="36"/>
        <v>0</v>
      </c>
      <c r="AZ14" s="326">
        <f t="shared" si="37"/>
        <v>40878.959999999999</v>
      </c>
      <c r="BA14" s="332">
        <f t="shared" si="38"/>
        <v>40878.959999999999</v>
      </c>
      <c r="BB14" s="122">
        <f t="shared" ref="BB14:BD14" si="98">SUM(AY14,AU14,AQ14)</f>
        <v>0</v>
      </c>
      <c r="BC14" s="326">
        <f t="shared" si="98"/>
        <v>40878.959999999999</v>
      </c>
      <c r="BD14" s="333">
        <f t="shared" si="98"/>
        <v>40878.959999999999</v>
      </c>
      <c r="BE14" s="123">
        <f t="shared" si="40"/>
        <v>0</v>
      </c>
      <c r="BF14" s="326">
        <f t="shared" si="41"/>
        <v>40878.959999999999</v>
      </c>
      <c r="BG14" s="435">
        <f t="shared" si="42"/>
        <v>40878.959999999999</v>
      </c>
      <c r="BH14" s="125" t="str">
        <f t="shared" si="43"/>
        <v/>
      </c>
      <c r="BI14" s="1041">
        <f t="shared" si="44"/>
        <v>0</v>
      </c>
      <c r="BJ14" s="123">
        <f t="shared" si="45"/>
        <v>37721.69</v>
      </c>
      <c r="BK14" s="326">
        <f t="shared" si="46"/>
        <v>37721.69</v>
      </c>
      <c r="BL14" s="123" t="str">
        <f t="shared" si="47"/>
        <v/>
      </c>
      <c r="BM14" s="113">
        <f t="shared" si="48"/>
        <v>0</v>
      </c>
      <c r="BN14" s="116">
        <f t="shared" si="49"/>
        <v>179802.36</v>
      </c>
      <c r="BO14" s="115">
        <f t="shared" si="64"/>
        <v>179802.36</v>
      </c>
      <c r="BP14" s="326" t="str">
        <f t="shared" si="50"/>
        <v/>
      </c>
      <c r="BQ14" s="326">
        <f t="shared" si="51"/>
        <v>0</v>
      </c>
      <c r="BR14" s="326">
        <f t="shared" si="52"/>
        <v>50771.72</v>
      </c>
      <c r="BS14" s="332">
        <f t="shared" si="53"/>
        <v>50771.72</v>
      </c>
      <c r="BT14" s="586">
        <f t="shared" ref="BT14:BV14" si="99">SUM(BQ14,BM14,BI14)</f>
        <v>0</v>
      </c>
      <c r="BU14" s="738">
        <f t="shared" si="99"/>
        <v>268295.77</v>
      </c>
      <c r="BV14" s="737">
        <f t="shared" si="99"/>
        <v>268295.77</v>
      </c>
      <c r="BW14" s="125" t="str">
        <f t="shared" si="55"/>
        <v/>
      </c>
      <c r="BX14" s="140">
        <f t="shared" si="56"/>
        <v>0</v>
      </c>
      <c r="BY14" s="123">
        <f t="shared" si="57"/>
        <v>88298.58</v>
      </c>
      <c r="BZ14" s="333">
        <f t="shared" si="58"/>
        <v>88298.58</v>
      </c>
      <c r="CA14" s="123" t="str">
        <f t="shared" si="59"/>
        <v/>
      </c>
      <c r="CB14" s="326" t="str">
        <f t="shared" si="60"/>
        <v/>
      </c>
      <c r="CE14" s="231" t="s">
        <v>80</v>
      </c>
      <c r="CF14" s="1327"/>
      <c r="CG14" s="1327"/>
      <c r="CH14" s="294"/>
      <c r="CI14" s="294"/>
      <c r="CJ14" s="294"/>
      <c r="CK14" s="294"/>
      <c r="CL14" s="294"/>
      <c r="CM14" s="294"/>
      <c r="CN14" s="294"/>
    </row>
    <row r="15" spans="1:114" ht="15.75" customHeight="1">
      <c r="A15" s="325">
        <f t="shared" si="0"/>
        <v>112014440</v>
      </c>
      <c r="B15" s="324">
        <f t="shared" si="1"/>
        <v>31</v>
      </c>
      <c r="C15" s="558">
        <f t="shared" si="2"/>
        <v>0.1</v>
      </c>
      <c r="D15" s="558">
        <f t="shared" si="3"/>
        <v>0.23</v>
      </c>
      <c r="E15" s="715">
        <f t="shared" si="4"/>
        <v>0</v>
      </c>
      <c r="F15" s="547">
        <f t="shared" si="5"/>
        <v>31</v>
      </c>
      <c r="G15" s="699">
        <f t="shared" si="6"/>
        <v>0.1</v>
      </c>
      <c r="H15" s="699">
        <f t="shared" si="7"/>
        <v>0.23</v>
      </c>
      <c r="I15" s="702">
        <f t="shared" si="8"/>
        <v>0</v>
      </c>
      <c r="J15" s="837">
        <f t="shared" si="9"/>
        <v>61</v>
      </c>
      <c r="K15" s="699">
        <f t="shared" si="10"/>
        <v>0.1</v>
      </c>
      <c r="L15" s="1040">
        <f t="shared" si="11"/>
        <v>0.14000000000000001</v>
      </c>
      <c r="M15" s="423" t="s">
        <v>1410</v>
      </c>
      <c r="N15" s="326"/>
      <c r="O15" s="332"/>
      <c r="P15" s="113">
        <f t="shared" si="12"/>
        <v>0</v>
      </c>
      <c r="Q15" s="116">
        <f t="shared" si="13"/>
        <v>2325174.54</v>
      </c>
      <c r="R15" s="117">
        <f t="shared" si="14"/>
        <v>2325174.54</v>
      </c>
      <c r="S15" s="114"/>
      <c r="T15" s="116"/>
      <c r="U15" s="116">
        <f t="shared" si="15"/>
        <v>0</v>
      </c>
      <c r="V15" s="116">
        <v>3000000</v>
      </c>
      <c r="W15" s="116">
        <f t="shared" si="16"/>
        <v>0</v>
      </c>
      <c r="X15" s="116">
        <f t="shared" si="17"/>
        <v>1472759.6</v>
      </c>
      <c r="Y15" s="116">
        <f t="shared" si="18"/>
        <v>1472759.6</v>
      </c>
      <c r="Z15" s="326"/>
      <c r="AA15" s="326"/>
      <c r="AB15" s="326">
        <f t="shared" si="19"/>
        <v>0</v>
      </c>
      <c r="AC15" s="332">
        <v>1800000</v>
      </c>
      <c r="AD15" s="140">
        <f t="shared" si="20"/>
        <v>0</v>
      </c>
      <c r="AE15" s="326">
        <f t="shared" si="21"/>
        <v>1089591.0900000001</v>
      </c>
      <c r="AF15" s="117">
        <f t="shared" si="22"/>
        <v>1089591.0900000001</v>
      </c>
      <c r="AG15" s="123"/>
      <c r="AH15" s="326"/>
      <c r="AI15" s="1257">
        <f t="shared" si="23"/>
        <v>4800000</v>
      </c>
      <c r="AJ15" s="140">
        <f t="shared" si="24"/>
        <v>4931524.2699999996</v>
      </c>
      <c r="AK15" s="123">
        <f t="shared" ref="AK15:AM15" si="100">AD15+W15+P15</f>
        <v>0</v>
      </c>
      <c r="AL15" s="123">
        <f t="shared" si="100"/>
        <v>4887525.2300000004</v>
      </c>
      <c r="AM15" s="123">
        <f t="shared" si="100"/>
        <v>4887525.2300000004</v>
      </c>
      <c r="AN15" s="123">
        <f t="shared" si="26"/>
        <v>-43999.039999999106</v>
      </c>
      <c r="AO15" s="1317">
        <f t="shared" si="62"/>
        <v>-8.9219960383565364E-3</v>
      </c>
      <c r="AP15" s="434">
        <f t="shared" si="27"/>
        <v>0</v>
      </c>
      <c r="AQ15" s="1318">
        <f t="shared" si="28"/>
        <v>0</v>
      </c>
      <c r="AR15" s="1319">
        <f t="shared" si="29"/>
        <v>1668649.28</v>
      </c>
      <c r="AS15" s="1320">
        <f t="shared" si="30"/>
        <v>1668649.28</v>
      </c>
      <c r="AT15" s="125">
        <f t="shared" si="31"/>
        <v>0</v>
      </c>
      <c r="AU15" s="140">
        <f t="shared" si="32"/>
        <v>0</v>
      </c>
      <c r="AV15" s="326">
        <f t="shared" si="33"/>
        <v>931302.6</v>
      </c>
      <c r="AW15" s="333">
        <f t="shared" si="34"/>
        <v>931302.6</v>
      </c>
      <c r="AX15" s="125">
        <f t="shared" si="35"/>
        <v>701785.08</v>
      </c>
      <c r="AY15" s="140">
        <f t="shared" si="36"/>
        <v>0</v>
      </c>
      <c r="AZ15" s="326">
        <f t="shared" si="37"/>
        <v>744919.98</v>
      </c>
      <c r="BA15" s="332">
        <f t="shared" si="38"/>
        <v>744919.98</v>
      </c>
      <c r="BB15" s="122">
        <f t="shared" ref="BB15:BD15" si="101">SUM(AY15,AU15,AQ15)</f>
        <v>0</v>
      </c>
      <c r="BC15" s="326">
        <f t="shared" si="101"/>
        <v>3344871.8600000003</v>
      </c>
      <c r="BD15" s="333">
        <f t="shared" si="101"/>
        <v>3344871.8600000003</v>
      </c>
      <c r="BE15" s="123">
        <f t="shared" si="40"/>
        <v>0</v>
      </c>
      <c r="BF15" s="326">
        <f t="shared" si="41"/>
        <v>3344871.8600000003</v>
      </c>
      <c r="BG15" s="435">
        <f t="shared" si="42"/>
        <v>8232397.0900000008</v>
      </c>
      <c r="BH15" s="125">
        <f t="shared" si="43"/>
        <v>758722.43</v>
      </c>
      <c r="BI15" s="1041">
        <f t="shared" si="44"/>
        <v>0</v>
      </c>
      <c r="BJ15" s="123">
        <f t="shared" si="45"/>
        <v>686880.48</v>
      </c>
      <c r="BK15" s="326">
        <f t="shared" si="46"/>
        <v>686880.48</v>
      </c>
      <c r="BL15" s="123">
        <f t="shared" si="47"/>
        <v>1191891.5</v>
      </c>
      <c r="BM15" s="113">
        <f t="shared" si="48"/>
        <v>0</v>
      </c>
      <c r="BN15" s="116">
        <f t="shared" si="49"/>
        <v>816372.07</v>
      </c>
      <c r="BO15" s="115">
        <f t="shared" si="64"/>
        <v>816372.07</v>
      </c>
      <c r="BP15" s="326">
        <f t="shared" si="50"/>
        <v>1058192.95</v>
      </c>
      <c r="BQ15" s="326">
        <f t="shared" si="51"/>
        <v>0</v>
      </c>
      <c r="BR15" s="326">
        <f t="shared" si="52"/>
        <v>1397704.4</v>
      </c>
      <c r="BS15" s="332">
        <f t="shared" si="53"/>
        <v>1397704.4</v>
      </c>
      <c r="BT15" s="586">
        <f t="shared" ref="BT15:BV15" si="102">SUM(BQ15,BM15,BI15)</f>
        <v>0</v>
      </c>
      <c r="BU15" s="738">
        <f t="shared" si="102"/>
        <v>2900956.9499999997</v>
      </c>
      <c r="BV15" s="737">
        <f t="shared" si="102"/>
        <v>2900956.9499999997</v>
      </c>
      <c r="BW15" s="125">
        <f t="shared" si="55"/>
        <v>1153007.3500000001</v>
      </c>
      <c r="BX15" s="140">
        <f t="shared" si="56"/>
        <v>0</v>
      </c>
      <c r="BY15" s="123">
        <f t="shared" si="57"/>
        <v>1082193.3600000001</v>
      </c>
      <c r="BZ15" s="333">
        <f t="shared" si="58"/>
        <v>1082193.3600000001</v>
      </c>
      <c r="CA15" s="123">
        <f t="shared" si="59"/>
        <v>1705172.28</v>
      </c>
      <c r="CB15" s="326">
        <f t="shared" si="60"/>
        <v>2073344.64</v>
      </c>
      <c r="CE15" s="231" t="s">
        <v>82</v>
      </c>
      <c r="CF15" s="1327"/>
      <c r="CG15" s="1327"/>
      <c r="CH15" s="294"/>
      <c r="CI15" s="294"/>
      <c r="CJ15" s="294"/>
      <c r="CK15" s="294"/>
      <c r="CL15" s="294"/>
      <c r="CM15" s="294"/>
      <c r="CN15" s="294"/>
    </row>
    <row r="16" spans="1:114" ht="15.75" customHeight="1">
      <c r="A16" s="325">
        <f t="shared" si="0"/>
        <v>112011899</v>
      </c>
      <c r="B16" s="324">
        <f t="shared" si="1"/>
        <v>31</v>
      </c>
      <c r="C16" s="558">
        <f t="shared" si="2"/>
        <v>0.1</v>
      </c>
      <c r="D16" s="558">
        <f t="shared" si="3"/>
        <v>0.23</v>
      </c>
      <c r="E16" s="715">
        <f t="shared" si="4"/>
        <v>0</v>
      </c>
      <c r="F16" s="547">
        <f t="shared" si="5"/>
        <v>31</v>
      </c>
      <c r="G16" s="699">
        <f t="shared" si="6"/>
        <v>0.1</v>
      </c>
      <c r="H16" s="699">
        <f t="shared" si="7"/>
        <v>0.23</v>
      </c>
      <c r="I16" s="702">
        <f t="shared" si="8"/>
        <v>0</v>
      </c>
      <c r="J16" s="837">
        <f t="shared" si="9"/>
        <v>61</v>
      </c>
      <c r="K16" s="699">
        <f t="shared" si="10"/>
        <v>0.1</v>
      </c>
      <c r="L16" s="1040">
        <f t="shared" si="11"/>
        <v>0.14000000000000001</v>
      </c>
      <c r="M16" s="423" t="s">
        <v>1411</v>
      </c>
      <c r="N16" s="326"/>
      <c r="O16" s="332"/>
      <c r="P16" s="113" t="e">
        <f t="shared" si="12"/>
        <v>#VALUE!</v>
      </c>
      <c r="Q16" s="116" t="str">
        <f t="shared" si="13"/>
        <v/>
      </c>
      <c r="R16" s="117">
        <f t="shared" si="14"/>
        <v>467242.99</v>
      </c>
      <c r="S16" s="114"/>
      <c r="T16" s="116"/>
      <c r="U16" s="116">
        <f t="shared" si="15"/>
        <v>127997.73</v>
      </c>
      <c r="V16" s="116">
        <v>3000000</v>
      </c>
      <c r="W16" s="116" t="e">
        <f t="shared" si="16"/>
        <v>#VALUE!</v>
      </c>
      <c r="X16" s="116" t="str">
        <f t="shared" si="17"/>
        <v/>
      </c>
      <c r="Y16" s="116">
        <f t="shared" si="18"/>
        <v>175436.3</v>
      </c>
      <c r="Z16" s="326"/>
      <c r="AA16" s="326"/>
      <c r="AB16" s="326">
        <f t="shared" si="19"/>
        <v>0</v>
      </c>
      <c r="AC16" s="332">
        <v>1800000</v>
      </c>
      <c r="AD16" s="140" t="e">
        <f t="shared" si="20"/>
        <v>#VALUE!</v>
      </c>
      <c r="AE16" s="326" t="str">
        <f t="shared" si="21"/>
        <v/>
      </c>
      <c r="AF16" s="117">
        <f t="shared" si="22"/>
        <v>504183.54</v>
      </c>
      <c r="AG16" s="123"/>
      <c r="AH16" s="326"/>
      <c r="AI16" s="1257">
        <f t="shared" si="23"/>
        <v>4800000</v>
      </c>
      <c r="AJ16" s="140">
        <f t="shared" si="24"/>
        <v>2132989.87</v>
      </c>
      <c r="AK16" s="123" t="e">
        <f t="shared" ref="AK16:AM16" si="103">AD16+W16+P16</f>
        <v>#VALUE!</v>
      </c>
      <c r="AL16" s="123" t="e">
        <f t="shared" si="103"/>
        <v>#VALUE!</v>
      </c>
      <c r="AM16" s="123">
        <f t="shared" si="103"/>
        <v>1146862.83</v>
      </c>
      <c r="AN16" s="123">
        <f t="shared" si="26"/>
        <v>-986127.04</v>
      </c>
      <c r="AO16" s="1317">
        <f t="shared" si="62"/>
        <v>-0.46232148303639153</v>
      </c>
      <c r="AP16" s="434">
        <f t="shared" si="27"/>
        <v>258346.25</v>
      </c>
      <c r="AQ16" s="1318" t="e">
        <f t="shared" si="28"/>
        <v>#VALUE!</v>
      </c>
      <c r="AR16" s="1319" t="str">
        <f t="shared" si="29"/>
        <v/>
      </c>
      <c r="AS16" s="1320">
        <f t="shared" si="30"/>
        <v>207053.73</v>
      </c>
      <c r="AT16" s="125">
        <f t="shared" si="31"/>
        <v>277023.24</v>
      </c>
      <c r="AU16" s="140" t="e">
        <f t="shared" si="32"/>
        <v>#VALUE!</v>
      </c>
      <c r="AV16" s="326" t="str">
        <f t="shared" si="33"/>
        <v/>
      </c>
      <c r="AW16" s="333">
        <f t="shared" si="34"/>
        <v>360517.38</v>
      </c>
      <c r="AX16" s="125">
        <f t="shared" si="35"/>
        <v>326308.36</v>
      </c>
      <c r="AY16" s="140" t="e">
        <f t="shared" si="36"/>
        <v>#VALUE!</v>
      </c>
      <c r="AZ16" s="326" t="str">
        <f t="shared" si="37"/>
        <v/>
      </c>
      <c r="BA16" s="332">
        <f t="shared" si="38"/>
        <v>445443.13</v>
      </c>
      <c r="BB16" s="122" t="e">
        <f t="shared" ref="BB16:BD16" si="104">SUM(AY16,AU16,AQ16)</f>
        <v>#VALUE!</v>
      </c>
      <c r="BC16" s="326">
        <f t="shared" si="104"/>
        <v>0</v>
      </c>
      <c r="BD16" s="333">
        <f t="shared" si="104"/>
        <v>1013014.24</v>
      </c>
      <c r="BE16" s="123" t="e">
        <f t="shared" si="40"/>
        <v>#VALUE!</v>
      </c>
      <c r="BF16" s="326">
        <f t="shared" si="41"/>
        <v>0</v>
      </c>
      <c r="BG16" s="435">
        <f t="shared" si="42"/>
        <v>2159877.0700000003</v>
      </c>
      <c r="BH16" s="125">
        <f t="shared" si="43"/>
        <v>534647.09</v>
      </c>
      <c r="BI16" s="1041" t="e">
        <f t="shared" si="44"/>
        <v>#VALUE!</v>
      </c>
      <c r="BJ16" s="123" t="str">
        <f t="shared" si="45"/>
        <v/>
      </c>
      <c r="BK16" s="326">
        <f t="shared" si="46"/>
        <v>0</v>
      </c>
      <c r="BL16" s="123">
        <f t="shared" si="47"/>
        <v>0</v>
      </c>
      <c r="BM16" s="113" t="e">
        <f t="shared" si="48"/>
        <v>#VALUE!</v>
      </c>
      <c r="BN16" s="116" t="str">
        <f t="shared" si="49"/>
        <v/>
      </c>
      <c r="BO16" s="115">
        <f t="shared" si="64"/>
        <v>580263.11</v>
      </c>
      <c r="BP16" s="326">
        <f t="shared" si="50"/>
        <v>371043.57</v>
      </c>
      <c r="BQ16" s="326" t="e">
        <f t="shared" si="51"/>
        <v>#VALUE!</v>
      </c>
      <c r="BR16" s="326" t="str">
        <f t="shared" si="52"/>
        <v/>
      </c>
      <c r="BS16" s="332">
        <f t="shared" si="53"/>
        <v>441850.67</v>
      </c>
      <c r="BT16" s="586" t="e">
        <f t="shared" ref="BT16:BV16" si="105">SUM(BQ16,BM16,BI16)</f>
        <v>#VALUE!</v>
      </c>
      <c r="BU16" s="738">
        <f t="shared" si="105"/>
        <v>0</v>
      </c>
      <c r="BV16" s="737">
        <f t="shared" si="105"/>
        <v>1022113.78</v>
      </c>
      <c r="BW16" s="125">
        <f t="shared" si="55"/>
        <v>369463.02</v>
      </c>
      <c r="BX16" s="140" t="e">
        <f t="shared" si="56"/>
        <v>#VALUE!</v>
      </c>
      <c r="BY16" s="123" t="str">
        <f t="shared" si="57"/>
        <v/>
      </c>
      <c r="BZ16" s="333">
        <f t="shared" si="58"/>
        <v>0</v>
      </c>
      <c r="CA16" s="123">
        <f t="shared" si="59"/>
        <v>941927.28</v>
      </c>
      <c r="CB16" s="326">
        <f t="shared" si="60"/>
        <v>821599.57</v>
      </c>
      <c r="CE16" s="231" t="s">
        <v>84</v>
      </c>
      <c r="CF16" s="1327"/>
      <c r="CG16" s="1327"/>
      <c r="CH16" s="294"/>
      <c r="CI16" s="294"/>
      <c r="CJ16" s="294"/>
      <c r="CK16" s="294"/>
      <c r="CL16" s="294"/>
      <c r="CM16" s="294"/>
      <c r="CN16" s="294"/>
    </row>
    <row r="17" spans="1:114" ht="15.75" customHeight="1">
      <c r="A17" s="325">
        <f t="shared" si="0"/>
        <v>112014450</v>
      </c>
      <c r="B17" s="324">
        <f t="shared" si="1"/>
        <v>31</v>
      </c>
      <c r="C17" s="558">
        <f t="shared" si="2"/>
        <v>0.1</v>
      </c>
      <c r="D17" s="558">
        <f t="shared" si="3"/>
        <v>0.23</v>
      </c>
      <c r="E17" s="715">
        <f t="shared" si="4"/>
        <v>0</v>
      </c>
      <c r="F17" s="547">
        <f t="shared" si="5"/>
        <v>31</v>
      </c>
      <c r="G17" s="699">
        <f t="shared" si="6"/>
        <v>0.1</v>
      </c>
      <c r="H17" s="699">
        <f t="shared" si="7"/>
        <v>0.23</v>
      </c>
      <c r="I17" s="702">
        <f t="shared" si="8"/>
        <v>0</v>
      </c>
      <c r="J17" s="837">
        <f t="shared" si="9"/>
        <v>61</v>
      </c>
      <c r="K17" s="699">
        <f t="shared" si="10"/>
        <v>0.1</v>
      </c>
      <c r="L17" s="1040">
        <f t="shared" si="11"/>
        <v>0.14000000000000001</v>
      </c>
      <c r="M17" s="423" t="s">
        <v>1412</v>
      </c>
      <c r="N17" s="326"/>
      <c r="O17" s="332"/>
      <c r="P17" s="113">
        <f t="shared" si="12"/>
        <v>0</v>
      </c>
      <c r="Q17" s="116">
        <f t="shared" si="13"/>
        <v>96141.51</v>
      </c>
      <c r="R17" s="117">
        <f t="shared" si="14"/>
        <v>96141.51</v>
      </c>
      <c r="S17" s="114"/>
      <c r="T17" s="116"/>
      <c r="U17" s="116">
        <f t="shared" si="15"/>
        <v>0</v>
      </c>
      <c r="V17" s="116">
        <v>3000000</v>
      </c>
      <c r="W17" s="116">
        <f t="shared" si="16"/>
        <v>60223.68</v>
      </c>
      <c r="X17" s="116">
        <f t="shared" si="17"/>
        <v>0</v>
      </c>
      <c r="Y17" s="116">
        <f t="shared" si="18"/>
        <v>60223.68</v>
      </c>
      <c r="Z17" s="326"/>
      <c r="AA17" s="326"/>
      <c r="AB17" s="326">
        <f t="shared" si="19"/>
        <v>0</v>
      </c>
      <c r="AC17" s="332">
        <v>1800000</v>
      </c>
      <c r="AD17" s="140">
        <f t="shared" si="20"/>
        <v>0</v>
      </c>
      <c r="AE17" s="326">
        <f t="shared" si="21"/>
        <v>0</v>
      </c>
      <c r="AF17" s="117">
        <f t="shared" si="22"/>
        <v>0</v>
      </c>
      <c r="AG17" s="123"/>
      <c r="AH17" s="326"/>
      <c r="AI17" s="1257">
        <f t="shared" si="23"/>
        <v>4800000</v>
      </c>
      <c r="AJ17" s="140">
        <f t="shared" si="24"/>
        <v>152023.03</v>
      </c>
      <c r="AK17" s="123">
        <f t="shared" ref="AK17:AM17" si="106">AD17+W17+P17</f>
        <v>60223.68</v>
      </c>
      <c r="AL17" s="123">
        <f t="shared" si="106"/>
        <v>96141.51</v>
      </c>
      <c r="AM17" s="123">
        <f t="shared" si="106"/>
        <v>156365.19</v>
      </c>
      <c r="AN17" s="123">
        <f t="shared" si="26"/>
        <v>4342.1600000000035</v>
      </c>
      <c r="AO17" s="1317">
        <f t="shared" si="62"/>
        <v>2.8562514508492585E-2</v>
      </c>
      <c r="AP17" s="434">
        <f t="shared" si="27"/>
        <v>0</v>
      </c>
      <c r="AQ17" s="1318">
        <f t="shared" si="28"/>
        <v>0</v>
      </c>
      <c r="AR17" s="1319">
        <f t="shared" si="29"/>
        <v>0</v>
      </c>
      <c r="AS17" s="1320">
        <f t="shared" si="30"/>
        <v>0</v>
      </c>
      <c r="AT17" s="125">
        <f t="shared" si="31"/>
        <v>67005.55</v>
      </c>
      <c r="AU17" s="140">
        <f t="shared" si="32"/>
        <v>0</v>
      </c>
      <c r="AV17" s="326">
        <f t="shared" si="33"/>
        <v>0</v>
      </c>
      <c r="AW17" s="333">
        <f t="shared" si="34"/>
        <v>0</v>
      </c>
      <c r="AX17" s="125">
        <f t="shared" si="35"/>
        <v>40834.639999999999</v>
      </c>
      <c r="AY17" s="140">
        <f t="shared" si="36"/>
        <v>0</v>
      </c>
      <c r="AZ17" s="326">
        <f t="shared" si="37"/>
        <v>67450.039999999994</v>
      </c>
      <c r="BA17" s="332">
        <f t="shared" si="38"/>
        <v>67450.039999999994</v>
      </c>
      <c r="BB17" s="122">
        <f t="shared" ref="BB17:BD17" si="107">SUM(AY17,AU17,AQ17)</f>
        <v>0</v>
      </c>
      <c r="BC17" s="326">
        <f t="shared" si="107"/>
        <v>67450.039999999994</v>
      </c>
      <c r="BD17" s="333">
        <f t="shared" si="107"/>
        <v>67450.039999999994</v>
      </c>
      <c r="BE17" s="123">
        <f t="shared" si="40"/>
        <v>60223.68</v>
      </c>
      <c r="BF17" s="326">
        <f t="shared" si="41"/>
        <v>67450.039999999994</v>
      </c>
      <c r="BG17" s="435">
        <f t="shared" si="42"/>
        <v>223815.22999999998</v>
      </c>
      <c r="BH17" s="125">
        <f t="shared" si="43"/>
        <v>188941.07</v>
      </c>
      <c r="BI17" s="1041">
        <f t="shared" si="44"/>
        <v>0</v>
      </c>
      <c r="BJ17" s="123">
        <f t="shared" si="45"/>
        <v>0</v>
      </c>
      <c r="BK17" s="326">
        <f t="shared" si="46"/>
        <v>0</v>
      </c>
      <c r="BL17" s="123">
        <f t="shared" si="47"/>
        <v>92005.75</v>
      </c>
      <c r="BM17" s="113">
        <f t="shared" si="48"/>
        <v>18758.099999999999</v>
      </c>
      <c r="BN17" s="116">
        <f t="shared" si="49"/>
        <v>0</v>
      </c>
      <c r="BO17" s="115">
        <f t="shared" si="64"/>
        <v>18758.099999999999</v>
      </c>
      <c r="BP17" s="326">
        <f t="shared" si="50"/>
        <v>313201.84999999998</v>
      </c>
      <c r="BQ17" s="326">
        <f t="shared" si="51"/>
        <v>0</v>
      </c>
      <c r="BR17" s="326">
        <f t="shared" si="52"/>
        <v>0</v>
      </c>
      <c r="BS17" s="332">
        <f t="shared" si="53"/>
        <v>0</v>
      </c>
      <c r="BT17" s="586">
        <f t="shared" ref="BT17:BV17" si="108">SUM(BQ17,BM17,BI17)</f>
        <v>18758.099999999999</v>
      </c>
      <c r="BU17" s="738">
        <f t="shared" si="108"/>
        <v>0</v>
      </c>
      <c r="BV17" s="737">
        <f t="shared" si="108"/>
        <v>18758.099999999999</v>
      </c>
      <c r="BW17" s="125">
        <f t="shared" si="55"/>
        <v>152023.03</v>
      </c>
      <c r="BX17" s="140">
        <f t="shared" si="56"/>
        <v>0</v>
      </c>
      <c r="BY17" s="123">
        <f t="shared" si="57"/>
        <v>0</v>
      </c>
      <c r="BZ17" s="333">
        <f t="shared" si="58"/>
        <v>0</v>
      </c>
      <c r="CA17" s="123">
        <f t="shared" si="59"/>
        <v>0</v>
      </c>
      <c r="CB17" s="326">
        <f t="shared" si="60"/>
        <v>0</v>
      </c>
      <c r="CE17" s="231" t="s">
        <v>86</v>
      </c>
      <c r="CF17" s="1327"/>
      <c r="CG17" s="1327"/>
      <c r="CH17" s="294"/>
      <c r="CI17" s="294"/>
      <c r="CJ17" s="294"/>
      <c r="CK17" s="294"/>
      <c r="CL17" s="294"/>
      <c r="CM17" s="294"/>
      <c r="CN17" s="294"/>
    </row>
    <row r="18" spans="1:114" ht="15.75" customHeight="1">
      <c r="A18" s="325">
        <f t="shared" si="0"/>
        <v>112014314</v>
      </c>
      <c r="B18" s="324">
        <f t="shared" si="1"/>
        <v>31</v>
      </c>
      <c r="C18" s="558">
        <f t="shared" si="2"/>
        <v>0.1</v>
      </c>
      <c r="D18" s="558">
        <f t="shared" si="3"/>
        <v>0.23</v>
      </c>
      <c r="E18" s="715">
        <f t="shared" si="4"/>
        <v>0</v>
      </c>
      <c r="F18" s="547">
        <f t="shared" si="5"/>
        <v>31</v>
      </c>
      <c r="G18" s="699">
        <f t="shared" si="6"/>
        <v>0.1</v>
      </c>
      <c r="H18" s="699">
        <f t="shared" si="7"/>
        <v>0.23</v>
      </c>
      <c r="I18" s="702">
        <f t="shared" si="8"/>
        <v>0</v>
      </c>
      <c r="J18" s="837">
        <f t="shared" si="9"/>
        <v>61</v>
      </c>
      <c r="K18" s="699">
        <f t="shared" si="10"/>
        <v>0.1</v>
      </c>
      <c r="L18" s="1040">
        <f t="shared" si="11"/>
        <v>0.14000000000000001</v>
      </c>
      <c r="M18" s="423" t="s">
        <v>1413</v>
      </c>
      <c r="N18" s="326"/>
      <c r="O18" s="332"/>
      <c r="P18" s="113">
        <f t="shared" si="12"/>
        <v>152214.59</v>
      </c>
      <c r="Q18" s="116">
        <f t="shared" si="13"/>
        <v>190755.79</v>
      </c>
      <c r="R18" s="117">
        <f t="shared" si="14"/>
        <v>342970.38</v>
      </c>
      <c r="S18" s="114"/>
      <c r="T18" s="116"/>
      <c r="U18" s="116">
        <f t="shared" si="15"/>
        <v>-77361.289999999994</v>
      </c>
      <c r="V18" s="116">
        <v>3000000</v>
      </c>
      <c r="W18" s="116">
        <f t="shared" si="16"/>
        <v>186701.22</v>
      </c>
      <c r="X18" s="116">
        <f t="shared" si="17"/>
        <v>217109.52</v>
      </c>
      <c r="Y18" s="116">
        <f t="shared" si="18"/>
        <v>403810.74</v>
      </c>
      <c r="Z18" s="326"/>
      <c r="AA18" s="326"/>
      <c r="AB18" s="326">
        <f t="shared" si="19"/>
        <v>72881.149999999994</v>
      </c>
      <c r="AC18" s="332">
        <v>1800000</v>
      </c>
      <c r="AD18" s="140">
        <f t="shared" si="20"/>
        <v>165837.69</v>
      </c>
      <c r="AE18" s="326">
        <f t="shared" si="21"/>
        <v>244696.74</v>
      </c>
      <c r="AF18" s="117">
        <f t="shared" si="22"/>
        <v>410534.43</v>
      </c>
      <c r="AG18" s="123"/>
      <c r="AH18" s="326"/>
      <c r="AI18" s="1257">
        <f t="shared" si="23"/>
        <v>4800000</v>
      </c>
      <c r="AJ18" s="140">
        <f t="shared" si="24"/>
        <v>1261382.55</v>
      </c>
      <c r="AK18" s="123">
        <f t="shared" ref="AK18:AM18" si="109">AD18+W18+P18</f>
        <v>504753.5</v>
      </c>
      <c r="AL18" s="123">
        <f t="shared" si="109"/>
        <v>652562.05000000005</v>
      </c>
      <c r="AM18" s="123">
        <f t="shared" si="109"/>
        <v>1157315.5499999998</v>
      </c>
      <c r="AN18" s="123">
        <f t="shared" si="26"/>
        <v>-104067.00000000023</v>
      </c>
      <c r="AO18" s="1317">
        <f t="shared" si="62"/>
        <v>-8.2502330478569114E-2</v>
      </c>
      <c r="AP18" s="434">
        <f t="shared" si="27"/>
        <v>27841.919999999998</v>
      </c>
      <c r="AQ18" s="1318">
        <f t="shared" si="28"/>
        <v>78814.13</v>
      </c>
      <c r="AR18" s="1319">
        <f t="shared" si="29"/>
        <v>267844.37</v>
      </c>
      <c r="AS18" s="1320">
        <f t="shared" si="30"/>
        <v>346658.5</v>
      </c>
      <c r="AT18" s="125">
        <f t="shared" si="31"/>
        <v>174979.6</v>
      </c>
      <c r="AU18" s="140">
        <f t="shared" si="32"/>
        <v>178741.29000000004</v>
      </c>
      <c r="AV18" s="326">
        <f t="shared" si="33"/>
        <v>269453.36</v>
      </c>
      <c r="AW18" s="333">
        <f t="shared" si="34"/>
        <v>448194.65</v>
      </c>
      <c r="AX18" s="125">
        <f t="shared" si="35"/>
        <v>184810.7</v>
      </c>
      <c r="AY18" s="140">
        <f t="shared" si="36"/>
        <v>65636.299999999988</v>
      </c>
      <c r="AZ18" s="326">
        <f t="shared" si="37"/>
        <v>419319.24</v>
      </c>
      <c r="BA18" s="332">
        <f t="shared" si="38"/>
        <v>484955.54</v>
      </c>
      <c r="BB18" s="122">
        <f t="shared" ref="BB18:BD18" si="110">SUM(AY18,AU18,AQ18)</f>
        <v>323191.72000000003</v>
      </c>
      <c r="BC18" s="326">
        <f t="shared" si="110"/>
        <v>956616.97</v>
      </c>
      <c r="BD18" s="333">
        <f t="shared" si="110"/>
        <v>1279808.69</v>
      </c>
      <c r="BE18" s="123">
        <f t="shared" si="40"/>
        <v>827945.22</v>
      </c>
      <c r="BF18" s="326">
        <f t="shared" si="41"/>
        <v>956616.97</v>
      </c>
      <c r="BG18" s="435">
        <f t="shared" si="42"/>
        <v>2437124.2399999998</v>
      </c>
      <c r="BH18" s="125">
        <f t="shared" si="43"/>
        <v>426227.08</v>
      </c>
      <c r="BI18" s="1041">
        <f t="shared" si="44"/>
        <v>231409.87</v>
      </c>
      <c r="BJ18" s="123">
        <f t="shared" si="45"/>
        <v>295393.37</v>
      </c>
      <c r="BK18" s="326">
        <f t="shared" si="46"/>
        <v>526803.24</v>
      </c>
      <c r="BL18" s="123">
        <f t="shared" si="47"/>
        <v>421355.39</v>
      </c>
      <c r="BM18" s="113">
        <f t="shared" si="48"/>
        <v>253727.91999999998</v>
      </c>
      <c r="BN18" s="116">
        <f t="shared" si="49"/>
        <v>402835.08</v>
      </c>
      <c r="BO18" s="115">
        <f t="shared" si="64"/>
        <v>656563</v>
      </c>
      <c r="BP18" s="326">
        <f t="shared" si="50"/>
        <v>421939.62</v>
      </c>
      <c r="BQ18" s="326">
        <f t="shared" si="51"/>
        <v>141902.54000000004</v>
      </c>
      <c r="BR18" s="326">
        <f t="shared" si="52"/>
        <v>475653.76</v>
      </c>
      <c r="BS18" s="332">
        <f t="shared" si="53"/>
        <v>617556.30000000005</v>
      </c>
      <c r="BT18" s="586">
        <f t="shared" ref="BT18:BV18" si="111">SUM(BQ18,BM18,BI18)</f>
        <v>627040.33000000007</v>
      </c>
      <c r="BU18" s="738">
        <f t="shared" si="111"/>
        <v>1173882.21</v>
      </c>
      <c r="BV18" s="737">
        <f t="shared" si="111"/>
        <v>1800922.54</v>
      </c>
      <c r="BW18" s="125">
        <f t="shared" si="55"/>
        <v>342241.88</v>
      </c>
      <c r="BX18" s="140">
        <f t="shared" si="56"/>
        <v>118792.98000000001</v>
      </c>
      <c r="BY18" s="123">
        <f t="shared" si="57"/>
        <v>170307.9</v>
      </c>
      <c r="BZ18" s="333">
        <f t="shared" si="58"/>
        <v>289100.88</v>
      </c>
      <c r="CA18" s="123">
        <f t="shared" si="59"/>
        <v>412307.38</v>
      </c>
      <c r="CB18" s="326">
        <f t="shared" si="60"/>
        <v>506833.3</v>
      </c>
      <c r="CE18" s="242" t="s">
        <v>88</v>
      </c>
      <c r="CF18" s="1328"/>
      <c r="CG18" s="1328"/>
      <c r="CH18" s="294"/>
      <c r="CI18" s="294"/>
      <c r="CJ18" s="294"/>
      <c r="CK18" s="294"/>
      <c r="CL18" s="294"/>
      <c r="CM18" s="294"/>
      <c r="CN18" s="294"/>
    </row>
    <row r="19" spans="1:114" ht="15.75" customHeight="1">
      <c r="A19" s="325">
        <f t="shared" si="0"/>
        <v>112013941</v>
      </c>
      <c r="B19" s="324">
        <f t="shared" si="1"/>
        <v>31</v>
      </c>
      <c r="C19" s="558">
        <f t="shared" si="2"/>
        <v>0.1</v>
      </c>
      <c r="D19" s="558">
        <f t="shared" si="3"/>
        <v>0.23</v>
      </c>
      <c r="E19" s="715">
        <f t="shared" si="4"/>
        <v>0</v>
      </c>
      <c r="F19" s="547">
        <f t="shared" si="5"/>
        <v>31</v>
      </c>
      <c r="G19" s="699">
        <f t="shared" si="6"/>
        <v>0.1</v>
      </c>
      <c r="H19" s="699">
        <f t="shared" si="7"/>
        <v>0.23</v>
      </c>
      <c r="I19" s="702">
        <f t="shared" si="8"/>
        <v>0</v>
      </c>
      <c r="J19" s="837">
        <f t="shared" si="9"/>
        <v>61</v>
      </c>
      <c r="K19" s="699">
        <f t="shared" si="10"/>
        <v>0.1</v>
      </c>
      <c r="L19" s="1040">
        <f t="shared" si="11"/>
        <v>0.14000000000000001</v>
      </c>
      <c r="M19" s="423" t="s">
        <v>1414</v>
      </c>
      <c r="N19" s="326"/>
      <c r="O19" s="332"/>
      <c r="P19" s="113">
        <f t="shared" si="12"/>
        <v>0</v>
      </c>
      <c r="Q19" s="116">
        <f t="shared" si="13"/>
        <v>0</v>
      </c>
      <c r="R19" s="117">
        <f t="shared" si="14"/>
        <v>0</v>
      </c>
      <c r="S19" s="114"/>
      <c r="T19" s="116"/>
      <c r="U19" s="116">
        <f t="shared" si="15"/>
        <v>169873.35</v>
      </c>
      <c r="V19" s="116">
        <v>3000000</v>
      </c>
      <c r="W19" s="116">
        <f t="shared" si="16"/>
        <v>0</v>
      </c>
      <c r="X19" s="116">
        <f t="shared" si="17"/>
        <v>55328.31</v>
      </c>
      <c r="Y19" s="116">
        <f t="shared" si="18"/>
        <v>55328.31</v>
      </c>
      <c r="Z19" s="326"/>
      <c r="AA19" s="326"/>
      <c r="AB19" s="326">
        <f t="shared" si="19"/>
        <v>400261.97</v>
      </c>
      <c r="AC19" s="332">
        <v>1800000</v>
      </c>
      <c r="AD19" s="140">
        <f t="shared" si="20"/>
        <v>0</v>
      </c>
      <c r="AE19" s="326">
        <f t="shared" si="21"/>
        <v>0</v>
      </c>
      <c r="AF19" s="117">
        <f t="shared" si="22"/>
        <v>0</v>
      </c>
      <c r="AG19" s="123"/>
      <c r="AH19" s="326"/>
      <c r="AI19" s="1257">
        <f t="shared" si="23"/>
        <v>4800000</v>
      </c>
      <c r="AJ19" s="140">
        <f t="shared" si="24"/>
        <v>246633.1</v>
      </c>
      <c r="AK19" s="123">
        <f t="shared" ref="AK19:AM19" si="112">AD19+W19+P19</f>
        <v>0</v>
      </c>
      <c r="AL19" s="123">
        <f t="shared" si="112"/>
        <v>55328.31</v>
      </c>
      <c r="AM19" s="123">
        <f t="shared" si="112"/>
        <v>55328.31</v>
      </c>
      <c r="AN19" s="123">
        <f t="shared" si="26"/>
        <v>-191304.79</v>
      </c>
      <c r="AO19" s="1317">
        <f t="shared" si="62"/>
        <v>-0.77566551286100693</v>
      </c>
      <c r="AP19" s="434">
        <f t="shared" si="27"/>
        <v>227840.28</v>
      </c>
      <c r="AQ19" s="1318">
        <f t="shared" si="28"/>
        <v>0</v>
      </c>
      <c r="AR19" s="1319">
        <f t="shared" si="29"/>
        <v>58797.27</v>
      </c>
      <c r="AS19" s="1320">
        <f t="shared" si="30"/>
        <v>58797.27</v>
      </c>
      <c r="AT19" s="125">
        <f t="shared" si="31"/>
        <v>0</v>
      </c>
      <c r="AU19" s="140">
        <f t="shared" si="32"/>
        <v>0</v>
      </c>
      <c r="AV19" s="326">
        <f t="shared" si="33"/>
        <v>33540.9</v>
      </c>
      <c r="AW19" s="333">
        <f t="shared" si="34"/>
        <v>33540.9</v>
      </c>
      <c r="AX19" s="125">
        <f t="shared" si="35"/>
        <v>261112.63</v>
      </c>
      <c r="AY19" s="140">
        <f t="shared" si="36"/>
        <v>0</v>
      </c>
      <c r="AZ19" s="326">
        <f t="shared" si="37"/>
        <v>0</v>
      </c>
      <c r="BA19" s="332">
        <f t="shared" si="38"/>
        <v>0</v>
      </c>
      <c r="BB19" s="122">
        <f t="shared" ref="BB19:BD19" si="113">SUM(AY19,AU19,AQ19)</f>
        <v>0</v>
      </c>
      <c r="BC19" s="326">
        <f t="shared" si="113"/>
        <v>92338.17</v>
      </c>
      <c r="BD19" s="333">
        <f t="shared" si="113"/>
        <v>92338.17</v>
      </c>
      <c r="BE19" s="123">
        <f t="shared" si="40"/>
        <v>0</v>
      </c>
      <c r="BF19" s="326">
        <f t="shared" si="41"/>
        <v>92338.17</v>
      </c>
      <c r="BG19" s="435">
        <f t="shared" si="42"/>
        <v>147666.47999999998</v>
      </c>
      <c r="BH19" s="125">
        <f t="shared" si="43"/>
        <v>89605.96</v>
      </c>
      <c r="BI19" s="1041">
        <f t="shared" si="44"/>
        <v>12136.400000000001</v>
      </c>
      <c r="BJ19" s="123">
        <f t="shared" si="45"/>
        <v>33540.9</v>
      </c>
      <c r="BK19" s="326">
        <f t="shared" si="46"/>
        <v>45677.3</v>
      </c>
      <c r="BL19" s="123">
        <f t="shared" si="47"/>
        <v>313150.78999999998</v>
      </c>
      <c r="BM19" s="113">
        <f t="shared" si="48"/>
        <v>0</v>
      </c>
      <c r="BN19" s="116">
        <f t="shared" si="49"/>
        <v>0</v>
      </c>
      <c r="BO19" s="115">
        <f t="shared" si="64"/>
        <v>0</v>
      </c>
      <c r="BP19" s="326">
        <f t="shared" si="50"/>
        <v>143056.03</v>
      </c>
      <c r="BQ19" s="326">
        <f t="shared" si="51"/>
        <v>0</v>
      </c>
      <c r="BR19" s="326">
        <f t="shared" si="52"/>
        <v>0</v>
      </c>
      <c r="BS19" s="332">
        <f t="shared" si="53"/>
        <v>0</v>
      </c>
      <c r="BT19" s="586">
        <f t="shared" ref="BT19:BV19" si="114">SUM(BQ19,BM19,BI19)</f>
        <v>12136.400000000001</v>
      </c>
      <c r="BU19" s="738">
        <f t="shared" si="114"/>
        <v>33540.9</v>
      </c>
      <c r="BV19" s="737">
        <f t="shared" si="114"/>
        <v>45677.3</v>
      </c>
      <c r="BW19" s="125">
        <f t="shared" si="55"/>
        <v>156953.65</v>
      </c>
      <c r="BX19" s="140">
        <f t="shared" si="56"/>
        <v>0</v>
      </c>
      <c r="BY19" s="123">
        <f t="shared" si="57"/>
        <v>90976.46</v>
      </c>
      <c r="BZ19" s="333">
        <f t="shared" si="58"/>
        <v>90976.46</v>
      </c>
      <c r="CA19" s="123">
        <f t="shared" si="59"/>
        <v>37122.199999999997</v>
      </c>
      <c r="CB19" s="326">
        <f t="shared" si="60"/>
        <v>52557.25</v>
      </c>
      <c r="CE19" s="242" t="s">
        <v>90</v>
      </c>
      <c r="CF19" s="1328"/>
      <c r="CG19" s="1328"/>
      <c r="CH19" s="294"/>
      <c r="CI19" s="294"/>
      <c r="CJ19" s="294"/>
      <c r="CK19" s="294"/>
      <c r="CL19" s="294"/>
      <c r="CM19" s="294"/>
      <c r="CN19" s="294"/>
    </row>
    <row r="20" spans="1:114" ht="15.75" customHeight="1">
      <c r="A20" s="325">
        <f t="shared" si="0"/>
        <v>112011201</v>
      </c>
      <c r="B20" s="324">
        <f t="shared" si="1"/>
        <v>7</v>
      </c>
      <c r="C20" s="558">
        <f t="shared" si="2"/>
        <v>0.1</v>
      </c>
      <c r="D20" s="558">
        <f t="shared" si="3"/>
        <v>0.2</v>
      </c>
      <c r="E20" s="715">
        <f t="shared" si="4"/>
        <v>0</v>
      </c>
      <c r="F20" s="547">
        <f t="shared" si="5"/>
        <v>7</v>
      </c>
      <c r="G20" s="699">
        <f t="shared" si="6"/>
        <v>0.1</v>
      </c>
      <c r="H20" s="699">
        <f t="shared" si="7"/>
        <v>0.2</v>
      </c>
      <c r="I20" s="702">
        <f t="shared" si="8"/>
        <v>0</v>
      </c>
      <c r="J20" s="837">
        <f t="shared" si="9"/>
        <v>62</v>
      </c>
      <c r="K20" s="699">
        <f t="shared" si="10"/>
        <v>0.1</v>
      </c>
      <c r="L20" s="1040">
        <f t="shared" si="11"/>
        <v>0.11</v>
      </c>
      <c r="M20" s="423" t="s">
        <v>1415</v>
      </c>
      <c r="N20" s="326"/>
      <c r="O20" s="332"/>
      <c r="P20" s="113" t="e">
        <f t="shared" si="12"/>
        <v>#VALUE!</v>
      </c>
      <c r="Q20" s="116" t="str">
        <f t="shared" si="13"/>
        <v/>
      </c>
      <c r="R20" s="117">
        <f t="shared" si="14"/>
        <v>397461.14</v>
      </c>
      <c r="S20" s="114"/>
      <c r="T20" s="116"/>
      <c r="U20" s="116">
        <f t="shared" si="15"/>
        <v>581339.59</v>
      </c>
      <c r="V20" s="116">
        <v>3000000</v>
      </c>
      <c r="W20" s="116" t="e">
        <f t="shared" si="16"/>
        <v>#VALUE!</v>
      </c>
      <c r="X20" s="116" t="str">
        <f t="shared" si="17"/>
        <v/>
      </c>
      <c r="Y20" s="116">
        <f t="shared" si="18"/>
        <v>803925.18</v>
      </c>
      <c r="Z20" s="326"/>
      <c r="AA20" s="326"/>
      <c r="AB20" s="326">
        <f t="shared" si="19"/>
        <v>63721.78</v>
      </c>
      <c r="AC20" s="332">
        <v>1800000</v>
      </c>
      <c r="AD20" s="140" t="e">
        <f t="shared" si="20"/>
        <v>#VALUE!</v>
      </c>
      <c r="AE20" s="326" t="str">
        <f t="shared" si="21"/>
        <v/>
      </c>
      <c r="AF20" s="117">
        <f t="shared" si="22"/>
        <v>-4422.8599999999997</v>
      </c>
      <c r="AG20" s="123"/>
      <c r="AH20" s="326"/>
      <c r="AI20" s="1257">
        <f t="shared" si="23"/>
        <v>4800000</v>
      </c>
      <c r="AJ20" s="140">
        <f t="shared" si="24"/>
        <v>760420.13</v>
      </c>
      <c r="AK20" s="123" t="e">
        <f t="shared" ref="AK20:AM20" si="115">AD20+W20+P20</f>
        <v>#VALUE!</v>
      </c>
      <c r="AL20" s="123" t="e">
        <f t="shared" si="115"/>
        <v>#VALUE!</v>
      </c>
      <c r="AM20" s="123">
        <f t="shared" si="115"/>
        <v>1196963.46</v>
      </c>
      <c r="AN20" s="123">
        <f t="shared" si="26"/>
        <v>436543.32999999996</v>
      </c>
      <c r="AO20" s="1317">
        <f t="shared" si="62"/>
        <v>0.57408176451088944</v>
      </c>
      <c r="AP20" s="434">
        <f t="shared" si="27"/>
        <v>344607.61</v>
      </c>
      <c r="AQ20" s="1318" t="e">
        <f t="shared" si="28"/>
        <v>#VALUE!</v>
      </c>
      <c r="AR20" s="1319" t="str">
        <f t="shared" si="29"/>
        <v/>
      </c>
      <c r="AS20" s="1320">
        <f t="shared" si="30"/>
        <v>430948.19</v>
      </c>
      <c r="AT20" s="125">
        <f t="shared" si="31"/>
        <v>265819.58</v>
      </c>
      <c r="AU20" s="140" t="e">
        <f t="shared" si="32"/>
        <v>#VALUE!</v>
      </c>
      <c r="AV20" s="326" t="str">
        <f t="shared" si="33"/>
        <v/>
      </c>
      <c r="AW20" s="333">
        <f t="shared" si="34"/>
        <v>275329.5</v>
      </c>
      <c r="AX20" s="125">
        <f t="shared" si="35"/>
        <v>66383.14</v>
      </c>
      <c r="AY20" s="140" t="e">
        <f t="shared" si="36"/>
        <v>#VALUE!</v>
      </c>
      <c r="AZ20" s="326" t="str">
        <f t="shared" si="37"/>
        <v/>
      </c>
      <c r="BA20" s="332">
        <f t="shared" si="38"/>
        <v>0</v>
      </c>
      <c r="BB20" s="122" t="e">
        <f t="shared" ref="BB20:BD20" si="116">SUM(AY20,AU20,AQ20)</f>
        <v>#VALUE!</v>
      </c>
      <c r="BC20" s="326">
        <f t="shared" si="116"/>
        <v>0</v>
      </c>
      <c r="BD20" s="333">
        <f t="shared" si="116"/>
        <v>706277.69</v>
      </c>
      <c r="BE20" s="123" t="e">
        <f t="shared" si="40"/>
        <v>#VALUE!</v>
      </c>
      <c r="BF20" s="326">
        <f t="shared" si="41"/>
        <v>0</v>
      </c>
      <c r="BG20" s="435">
        <f t="shared" si="42"/>
        <v>1903241.15</v>
      </c>
      <c r="BH20" s="125">
        <f t="shared" si="43"/>
        <v>0</v>
      </c>
      <c r="BI20" s="1041" t="e">
        <f t="shared" si="44"/>
        <v>#VALUE!</v>
      </c>
      <c r="BJ20" s="123" t="str">
        <f t="shared" si="45"/>
        <v/>
      </c>
      <c r="BK20" s="326">
        <f t="shared" si="46"/>
        <v>0</v>
      </c>
      <c r="BL20" s="123">
        <f t="shared" si="47"/>
        <v>451212.45</v>
      </c>
      <c r="BM20" s="113" t="e">
        <f t="shared" si="48"/>
        <v>#VALUE!</v>
      </c>
      <c r="BN20" s="116" t="str">
        <f t="shared" si="49"/>
        <v/>
      </c>
      <c r="BO20" s="115">
        <f t="shared" si="64"/>
        <v>0</v>
      </c>
      <c r="BP20" s="326">
        <f t="shared" si="50"/>
        <v>0</v>
      </c>
      <c r="BQ20" s="326" t="e">
        <f t="shared" si="51"/>
        <v>#VALUE!</v>
      </c>
      <c r="BR20" s="326" t="str">
        <f t="shared" si="52"/>
        <v/>
      </c>
      <c r="BS20" s="332">
        <f t="shared" si="53"/>
        <v>0</v>
      </c>
      <c r="BT20" s="586" t="e">
        <f t="shared" ref="BT20:BV20" si="117">SUM(BQ20,BM20,BI20)</f>
        <v>#VALUE!</v>
      </c>
      <c r="BU20" s="738">
        <f t="shared" si="117"/>
        <v>0</v>
      </c>
      <c r="BV20" s="737">
        <f t="shared" si="117"/>
        <v>0</v>
      </c>
      <c r="BW20" s="125">
        <f t="shared" si="55"/>
        <v>94963.07</v>
      </c>
      <c r="BX20" s="140" t="e">
        <f t="shared" si="56"/>
        <v>#VALUE!</v>
      </c>
      <c r="BY20" s="123" t="str">
        <f t="shared" si="57"/>
        <v/>
      </c>
      <c r="BZ20" s="333">
        <f t="shared" si="58"/>
        <v>0</v>
      </c>
      <c r="CA20" s="123">
        <f t="shared" si="59"/>
        <v>287426.56</v>
      </c>
      <c r="CB20" s="326">
        <f t="shared" si="60"/>
        <v>378030.49</v>
      </c>
      <c r="CE20" s="242" t="s">
        <v>92</v>
      </c>
      <c r="CF20" s="1328"/>
      <c r="CG20" s="1328"/>
      <c r="CH20" s="294"/>
      <c r="CI20" s="294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</row>
    <row r="21" spans="1:114" ht="15.75" customHeight="1">
      <c r="A21" s="325">
        <f t="shared" si="0"/>
        <v>112014635</v>
      </c>
      <c r="B21" s="324">
        <f t="shared" si="1"/>
        <v>7</v>
      </c>
      <c r="C21" s="558">
        <f t="shared" si="2"/>
        <v>0.1</v>
      </c>
      <c r="D21" s="558">
        <f t="shared" si="3"/>
        <v>0.2</v>
      </c>
      <c r="E21" s="715">
        <f t="shared" si="4"/>
        <v>0</v>
      </c>
      <c r="F21" s="547">
        <f t="shared" si="5"/>
        <v>7</v>
      </c>
      <c r="G21" s="699">
        <f t="shared" si="6"/>
        <v>0.1</v>
      </c>
      <c r="H21" s="699">
        <f t="shared" si="7"/>
        <v>0.2</v>
      </c>
      <c r="I21" s="702">
        <f t="shared" si="8"/>
        <v>0</v>
      </c>
      <c r="J21" s="837">
        <f t="shared" si="9"/>
        <v>62</v>
      </c>
      <c r="K21" s="699">
        <f t="shared" si="10"/>
        <v>0.1</v>
      </c>
      <c r="L21" s="1040">
        <f t="shared" si="11"/>
        <v>0.11</v>
      </c>
      <c r="M21" s="423" t="s">
        <v>1416</v>
      </c>
      <c r="N21" s="326"/>
      <c r="O21" s="332"/>
      <c r="P21" s="113">
        <f t="shared" si="12"/>
        <v>499535.87</v>
      </c>
      <c r="Q21" s="116">
        <f t="shared" si="13"/>
        <v>0</v>
      </c>
      <c r="R21" s="117">
        <f t="shared" si="14"/>
        <v>499535.87</v>
      </c>
      <c r="S21" s="114"/>
      <c r="T21" s="116"/>
      <c r="U21" s="116">
        <f t="shared" si="15"/>
        <v>0</v>
      </c>
      <c r="V21" s="116">
        <v>3000000</v>
      </c>
      <c r="W21" s="116">
        <f t="shared" si="16"/>
        <v>199027.04</v>
      </c>
      <c r="X21" s="116">
        <f t="shared" si="17"/>
        <v>28500</v>
      </c>
      <c r="Y21" s="116">
        <f t="shared" si="18"/>
        <v>227527.04000000001</v>
      </c>
      <c r="Z21" s="326"/>
      <c r="AA21" s="326"/>
      <c r="AB21" s="326">
        <f t="shared" si="19"/>
        <v>0</v>
      </c>
      <c r="AC21" s="332">
        <v>1800000</v>
      </c>
      <c r="AD21" s="140">
        <f t="shared" si="20"/>
        <v>403450.36</v>
      </c>
      <c r="AE21" s="326">
        <f t="shared" si="21"/>
        <v>0</v>
      </c>
      <c r="AF21" s="117">
        <f t="shared" si="22"/>
        <v>403450.36</v>
      </c>
      <c r="AG21" s="123"/>
      <c r="AH21" s="326"/>
      <c r="AI21" s="1257">
        <f t="shared" si="23"/>
        <v>4800000</v>
      </c>
      <c r="AJ21" s="140">
        <f t="shared" si="24"/>
        <v>229241.04</v>
      </c>
      <c r="AK21" s="123">
        <f t="shared" ref="AK21:AM21" si="118">AD21+W21+P21</f>
        <v>1102013.27</v>
      </c>
      <c r="AL21" s="123">
        <f t="shared" si="118"/>
        <v>28500</v>
      </c>
      <c r="AM21" s="123">
        <f t="shared" si="118"/>
        <v>1130513.27</v>
      </c>
      <c r="AN21" s="123">
        <f t="shared" si="26"/>
        <v>901272.23</v>
      </c>
      <c r="AO21" s="1317">
        <f t="shared" si="62"/>
        <v>3.9315483388140273</v>
      </c>
      <c r="AP21" s="434">
        <f t="shared" si="27"/>
        <v>0</v>
      </c>
      <c r="AQ21" s="1318">
        <f t="shared" si="28"/>
        <v>17420.400000000001</v>
      </c>
      <c r="AR21" s="1319">
        <f t="shared" si="29"/>
        <v>0</v>
      </c>
      <c r="AS21" s="1320">
        <f t="shared" si="30"/>
        <v>17420.400000000001</v>
      </c>
      <c r="AT21" s="125">
        <f t="shared" si="31"/>
        <v>0</v>
      </c>
      <c r="AU21" s="140">
        <f t="shared" si="32"/>
        <v>533441.03</v>
      </c>
      <c r="AV21" s="326">
        <f t="shared" si="33"/>
        <v>0</v>
      </c>
      <c r="AW21" s="333">
        <f t="shared" si="34"/>
        <v>533441.03</v>
      </c>
      <c r="AX21" s="125">
        <f t="shared" si="35"/>
        <v>0</v>
      </c>
      <c r="AY21" s="140">
        <f t="shared" si="36"/>
        <v>502251.39</v>
      </c>
      <c r="AZ21" s="326">
        <f t="shared" si="37"/>
        <v>0</v>
      </c>
      <c r="BA21" s="332">
        <f t="shared" si="38"/>
        <v>502251.39</v>
      </c>
      <c r="BB21" s="122">
        <f t="shared" ref="BB21:BD21" si="119">SUM(AY21,AU21,AQ21)</f>
        <v>1053112.82</v>
      </c>
      <c r="BC21" s="326">
        <f t="shared" si="119"/>
        <v>0</v>
      </c>
      <c r="BD21" s="333">
        <f t="shared" si="119"/>
        <v>1053112.82</v>
      </c>
      <c r="BE21" s="123">
        <f t="shared" si="40"/>
        <v>2155126.09</v>
      </c>
      <c r="BF21" s="326">
        <f t="shared" si="41"/>
        <v>0</v>
      </c>
      <c r="BG21" s="435">
        <f t="shared" si="42"/>
        <v>2183626.09</v>
      </c>
      <c r="BH21" s="125">
        <f t="shared" si="43"/>
        <v>0</v>
      </c>
      <c r="BI21" s="1041">
        <f t="shared" si="44"/>
        <v>309620.74</v>
      </c>
      <c r="BJ21" s="123">
        <f t="shared" si="45"/>
        <v>0</v>
      </c>
      <c r="BK21" s="326">
        <f t="shared" si="46"/>
        <v>309620.74</v>
      </c>
      <c r="BL21" s="123">
        <f t="shared" si="47"/>
        <v>0</v>
      </c>
      <c r="BM21" s="113">
        <f t="shared" si="48"/>
        <v>200987.33</v>
      </c>
      <c r="BN21" s="116">
        <f t="shared" si="49"/>
        <v>0</v>
      </c>
      <c r="BO21" s="115">
        <f t="shared" si="64"/>
        <v>200987.33</v>
      </c>
      <c r="BP21" s="326">
        <f t="shared" si="50"/>
        <v>0</v>
      </c>
      <c r="BQ21" s="326">
        <f t="shared" si="51"/>
        <v>732874.65</v>
      </c>
      <c r="BR21" s="326">
        <f t="shared" si="52"/>
        <v>0</v>
      </c>
      <c r="BS21" s="332">
        <f t="shared" si="53"/>
        <v>732874.65</v>
      </c>
      <c r="BT21" s="586">
        <f t="shared" ref="BT21:BV21" si="120">SUM(BQ21,BM21,BI21)</f>
        <v>1243482.72</v>
      </c>
      <c r="BU21" s="738">
        <f t="shared" si="120"/>
        <v>0</v>
      </c>
      <c r="BV21" s="737">
        <f t="shared" si="120"/>
        <v>1243482.72</v>
      </c>
      <c r="BW21" s="125">
        <f t="shared" si="55"/>
        <v>0</v>
      </c>
      <c r="BX21" s="140">
        <f t="shared" si="56"/>
        <v>827368</v>
      </c>
      <c r="BY21" s="123">
        <f t="shared" si="57"/>
        <v>0</v>
      </c>
      <c r="BZ21" s="333">
        <f t="shared" si="58"/>
        <v>827368</v>
      </c>
      <c r="CA21" s="123">
        <f t="shared" si="59"/>
        <v>0</v>
      </c>
      <c r="CB21" s="326">
        <f t="shared" si="60"/>
        <v>229241.04</v>
      </c>
      <c r="CE21" s="242" t="s">
        <v>94</v>
      </c>
      <c r="CF21" s="1328"/>
      <c r="CG21" s="1328"/>
      <c r="CH21" s="294"/>
      <c r="CI21" s="294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</row>
    <row r="22" spans="1:114" ht="15.75" customHeight="1">
      <c r="A22" s="325">
        <f t="shared" si="0"/>
        <v>112013950</v>
      </c>
      <c r="B22" s="324">
        <f t="shared" si="1"/>
        <v>7</v>
      </c>
      <c r="C22" s="558">
        <f t="shared" si="2"/>
        <v>0.1</v>
      </c>
      <c r="D22" s="558">
        <f t="shared" si="3"/>
        <v>0.2</v>
      </c>
      <c r="E22" s="715">
        <f t="shared" si="4"/>
        <v>0</v>
      </c>
      <c r="F22" s="547">
        <f t="shared" si="5"/>
        <v>7</v>
      </c>
      <c r="G22" s="699">
        <f t="shared" si="6"/>
        <v>0.1</v>
      </c>
      <c r="H22" s="699">
        <f t="shared" si="7"/>
        <v>0.2</v>
      </c>
      <c r="I22" s="702">
        <f t="shared" si="8"/>
        <v>0</v>
      </c>
      <c r="J22" s="837">
        <f t="shared" si="9"/>
        <v>62</v>
      </c>
      <c r="K22" s="699">
        <f t="shared" si="10"/>
        <v>0.1</v>
      </c>
      <c r="L22" s="1040">
        <f t="shared" si="11"/>
        <v>0.11</v>
      </c>
      <c r="M22" s="423" t="s">
        <v>1417</v>
      </c>
      <c r="N22" s="326"/>
      <c r="O22" s="332"/>
      <c r="P22" s="113">
        <f t="shared" si="12"/>
        <v>101924.25</v>
      </c>
      <c r="Q22" s="116">
        <f t="shared" si="13"/>
        <v>322110.59999999998</v>
      </c>
      <c r="R22" s="117">
        <f t="shared" si="14"/>
        <v>424034.85</v>
      </c>
      <c r="S22" s="114"/>
      <c r="T22" s="116"/>
      <c r="U22" s="116">
        <f t="shared" si="15"/>
        <v>0</v>
      </c>
      <c r="V22" s="116">
        <v>3000000</v>
      </c>
      <c r="W22" s="116">
        <f t="shared" si="16"/>
        <v>86653.95000000007</v>
      </c>
      <c r="X22" s="116">
        <f t="shared" si="17"/>
        <v>583184.69999999995</v>
      </c>
      <c r="Y22" s="116">
        <f t="shared" si="18"/>
        <v>669838.65</v>
      </c>
      <c r="Z22" s="326"/>
      <c r="AA22" s="326"/>
      <c r="AB22" s="326">
        <f t="shared" si="19"/>
        <v>0</v>
      </c>
      <c r="AC22" s="332">
        <v>1800000</v>
      </c>
      <c r="AD22" s="140">
        <f t="shared" si="20"/>
        <v>218243.8</v>
      </c>
      <c r="AE22" s="326">
        <f t="shared" si="21"/>
        <v>0</v>
      </c>
      <c r="AF22" s="117">
        <f t="shared" si="22"/>
        <v>218243.8</v>
      </c>
      <c r="AG22" s="123"/>
      <c r="AH22" s="326"/>
      <c r="AI22" s="1257">
        <f t="shared" si="23"/>
        <v>4800000</v>
      </c>
      <c r="AJ22" s="140">
        <f t="shared" si="24"/>
        <v>3654873.81</v>
      </c>
      <c r="AK22" s="123">
        <f t="shared" ref="AK22:AM22" si="121">AD22+W22+P22</f>
        <v>406822.00000000006</v>
      </c>
      <c r="AL22" s="123">
        <f t="shared" si="121"/>
        <v>905295.29999999993</v>
      </c>
      <c r="AM22" s="123">
        <f t="shared" si="121"/>
        <v>1312117.2999999998</v>
      </c>
      <c r="AN22" s="123">
        <f t="shared" si="26"/>
        <v>-2342756.5100000002</v>
      </c>
      <c r="AO22" s="1317">
        <f t="shared" si="62"/>
        <v>-0.64099518390759436</v>
      </c>
      <c r="AP22" s="434">
        <f t="shared" si="27"/>
        <v>158089.01</v>
      </c>
      <c r="AQ22" s="1318">
        <f t="shared" si="28"/>
        <v>88103.740000000107</v>
      </c>
      <c r="AR22" s="1319">
        <f t="shared" si="29"/>
        <v>806232.82</v>
      </c>
      <c r="AS22" s="1320">
        <f t="shared" si="30"/>
        <v>894336.56</v>
      </c>
      <c r="AT22" s="125">
        <f t="shared" si="31"/>
        <v>93798.75</v>
      </c>
      <c r="AU22" s="140">
        <f t="shared" si="32"/>
        <v>123570.28000000003</v>
      </c>
      <c r="AV22" s="326">
        <f t="shared" si="33"/>
        <v>534115.87</v>
      </c>
      <c r="AW22" s="333">
        <f t="shared" si="34"/>
        <v>657686.15</v>
      </c>
      <c r="AX22" s="125">
        <f t="shared" si="35"/>
        <v>50389.31</v>
      </c>
      <c r="AY22" s="140">
        <f t="shared" si="36"/>
        <v>195030.29000000004</v>
      </c>
      <c r="AZ22" s="326">
        <f t="shared" si="37"/>
        <v>479452.23</v>
      </c>
      <c r="BA22" s="332">
        <f t="shared" si="38"/>
        <v>674482.52</v>
      </c>
      <c r="BB22" s="122">
        <f t="shared" ref="BB22:BD22" si="122">SUM(AY22,AU22,AQ22)</f>
        <v>406704.31000000017</v>
      </c>
      <c r="BC22" s="326">
        <f t="shared" si="122"/>
        <v>1819800.92</v>
      </c>
      <c r="BD22" s="333">
        <f t="shared" si="122"/>
        <v>2226505.23</v>
      </c>
      <c r="BE22" s="123">
        <f t="shared" si="40"/>
        <v>813526.31000000029</v>
      </c>
      <c r="BF22" s="326">
        <f t="shared" si="41"/>
        <v>1819800.92</v>
      </c>
      <c r="BG22" s="435">
        <f t="shared" si="42"/>
        <v>3538622.53</v>
      </c>
      <c r="BH22" s="125">
        <f t="shared" si="43"/>
        <v>37669.33</v>
      </c>
      <c r="BI22" s="1041">
        <f t="shared" si="44"/>
        <v>153155.09000000008</v>
      </c>
      <c r="BJ22" s="123">
        <f t="shared" si="45"/>
        <v>1210273.52</v>
      </c>
      <c r="BK22" s="326">
        <f t="shared" si="46"/>
        <v>1363428.61</v>
      </c>
      <c r="BL22" s="123">
        <f t="shared" si="47"/>
        <v>48419.72</v>
      </c>
      <c r="BM22" s="113">
        <f t="shared" si="48"/>
        <v>46638.339999999967</v>
      </c>
      <c r="BN22" s="116">
        <f t="shared" si="49"/>
        <v>663494.89</v>
      </c>
      <c r="BO22" s="115">
        <f t="shared" si="64"/>
        <v>710133.23</v>
      </c>
      <c r="BP22" s="326">
        <f t="shared" si="50"/>
        <v>0</v>
      </c>
      <c r="BQ22" s="326">
        <f t="shared" si="51"/>
        <v>38674.800000000047</v>
      </c>
      <c r="BR22" s="326">
        <f t="shared" si="52"/>
        <v>539071.72</v>
      </c>
      <c r="BS22" s="332">
        <f t="shared" si="53"/>
        <v>577746.52</v>
      </c>
      <c r="BT22" s="586">
        <f t="shared" ref="BT22:BV22" si="123">SUM(BQ22,BM22,BI22)</f>
        <v>238468.2300000001</v>
      </c>
      <c r="BU22" s="738">
        <f t="shared" si="123"/>
        <v>2412840.13</v>
      </c>
      <c r="BV22" s="737">
        <f t="shared" si="123"/>
        <v>2651308.3600000003</v>
      </c>
      <c r="BW22" s="125">
        <f t="shared" si="55"/>
        <v>481194.34</v>
      </c>
      <c r="BX22" s="140">
        <f t="shared" si="56"/>
        <v>0</v>
      </c>
      <c r="BY22" s="123">
        <f t="shared" si="57"/>
        <v>0</v>
      </c>
      <c r="BZ22" s="333">
        <f t="shared" si="58"/>
        <v>0</v>
      </c>
      <c r="CA22" s="123">
        <f t="shared" si="59"/>
        <v>1083236.6000000001</v>
      </c>
      <c r="CB22" s="326">
        <f t="shared" si="60"/>
        <v>2090442.87</v>
      </c>
      <c r="CE22" s="231" t="s">
        <v>96</v>
      </c>
      <c r="CF22" s="1329"/>
      <c r="CG22" s="1329"/>
      <c r="CH22" s="294"/>
      <c r="CI22" s="294"/>
      <c r="CJ22" s="455"/>
      <c r="CK22" s="455"/>
      <c r="CL22" s="455"/>
      <c r="CM22" s="455"/>
      <c r="CN22" s="455"/>
      <c r="CO22" s="455"/>
      <c r="CP22" s="455"/>
      <c r="CQ22" s="455"/>
      <c r="CR22" s="455"/>
      <c r="CS22" s="455"/>
      <c r="CT22" s="455"/>
      <c r="CU22" s="455"/>
      <c r="CV22" s="455"/>
      <c r="CW22" s="455"/>
      <c r="CX22" s="455"/>
      <c r="CY22" s="455"/>
      <c r="CZ22" s="455"/>
      <c r="DA22" s="455"/>
      <c r="DB22" s="455"/>
      <c r="DC22" s="455"/>
      <c r="DD22" s="455"/>
      <c r="DE22" s="455"/>
      <c r="DF22" s="455"/>
      <c r="DG22" s="455"/>
      <c r="DH22" s="455"/>
      <c r="DI22" s="455"/>
      <c r="DJ22" s="455"/>
    </row>
    <row r="23" spans="1:114" ht="15.75" customHeight="1">
      <c r="A23" s="325">
        <f t="shared" si="0"/>
        <v>112014566</v>
      </c>
      <c r="B23" s="324">
        <f t="shared" si="1"/>
        <v>7</v>
      </c>
      <c r="C23" s="558">
        <f t="shared" si="2"/>
        <v>0.1</v>
      </c>
      <c r="D23" s="558">
        <f t="shared" si="3"/>
        <v>0.2</v>
      </c>
      <c r="E23" s="715">
        <f t="shared" si="4"/>
        <v>0</v>
      </c>
      <c r="F23" s="547">
        <f t="shared" si="5"/>
        <v>7</v>
      </c>
      <c r="G23" s="699">
        <f t="shared" si="6"/>
        <v>0.1</v>
      </c>
      <c r="H23" s="699">
        <f t="shared" si="7"/>
        <v>0.2</v>
      </c>
      <c r="I23" s="702">
        <f t="shared" si="8"/>
        <v>0</v>
      </c>
      <c r="J23" s="837">
        <f t="shared" si="9"/>
        <v>62</v>
      </c>
      <c r="K23" s="699">
        <f t="shared" si="10"/>
        <v>0.1</v>
      </c>
      <c r="L23" s="1040">
        <f t="shared" si="11"/>
        <v>0.11</v>
      </c>
      <c r="M23" s="423" t="s">
        <v>1418</v>
      </c>
      <c r="N23" s="326"/>
      <c r="O23" s="332"/>
      <c r="P23" s="113">
        <f t="shared" si="12"/>
        <v>22846.819999999992</v>
      </c>
      <c r="Q23" s="116">
        <f t="shared" si="13"/>
        <v>70424.740000000005</v>
      </c>
      <c r="R23" s="117">
        <f t="shared" si="14"/>
        <v>93271.56</v>
      </c>
      <c r="S23" s="114"/>
      <c r="T23" s="116"/>
      <c r="U23" s="116">
        <f t="shared" si="15"/>
        <v>0</v>
      </c>
      <c r="V23" s="116">
        <v>3000000</v>
      </c>
      <c r="W23" s="116">
        <f t="shared" si="16"/>
        <v>22846.83</v>
      </c>
      <c r="X23" s="116">
        <f t="shared" si="17"/>
        <v>0</v>
      </c>
      <c r="Y23" s="116">
        <f t="shared" si="18"/>
        <v>22846.83</v>
      </c>
      <c r="Z23" s="326"/>
      <c r="AA23" s="326"/>
      <c r="AB23" s="326">
        <f t="shared" si="19"/>
        <v>0</v>
      </c>
      <c r="AC23" s="332">
        <v>1800000</v>
      </c>
      <c r="AD23" s="140">
        <f t="shared" si="20"/>
        <v>68647.990000000005</v>
      </c>
      <c r="AE23" s="326">
        <f t="shared" si="21"/>
        <v>0</v>
      </c>
      <c r="AF23" s="117">
        <f t="shared" si="22"/>
        <v>68647.990000000005</v>
      </c>
      <c r="AG23" s="123"/>
      <c r="AH23" s="326"/>
      <c r="AI23" s="1257">
        <f t="shared" si="23"/>
        <v>4800000</v>
      </c>
      <c r="AJ23" s="140">
        <f t="shared" si="24"/>
        <v>302571.51</v>
      </c>
      <c r="AK23" s="123">
        <f t="shared" ref="AK23:AM23" si="124">AD23+W23+P23</f>
        <v>114341.64</v>
      </c>
      <c r="AL23" s="123">
        <f t="shared" si="124"/>
        <v>70424.740000000005</v>
      </c>
      <c r="AM23" s="123">
        <f t="shared" si="124"/>
        <v>184766.38</v>
      </c>
      <c r="AN23" s="123">
        <f t="shared" si="26"/>
        <v>-117805.13</v>
      </c>
      <c r="AO23" s="1317">
        <f t="shared" si="62"/>
        <v>-0.38934640607769055</v>
      </c>
      <c r="AP23" s="434">
        <f t="shared" si="27"/>
        <v>0</v>
      </c>
      <c r="AQ23" s="1318">
        <f t="shared" si="28"/>
        <v>0</v>
      </c>
      <c r="AR23" s="1319">
        <f t="shared" si="29"/>
        <v>0</v>
      </c>
      <c r="AS23" s="1320">
        <f t="shared" si="30"/>
        <v>0</v>
      </c>
      <c r="AT23" s="125">
        <f t="shared" si="31"/>
        <v>0</v>
      </c>
      <c r="AU23" s="140">
        <f t="shared" si="32"/>
        <v>0</v>
      </c>
      <c r="AV23" s="326">
        <f t="shared" si="33"/>
        <v>156765.47</v>
      </c>
      <c r="AW23" s="333">
        <f t="shared" si="34"/>
        <v>156765.47</v>
      </c>
      <c r="AX23" s="125">
        <f t="shared" si="35"/>
        <v>0</v>
      </c>
      <c r="AY23" s="140">
        <f t="shared" si="36"/>
        <v>0</v>
      </c>
      <c r="AZ23" s="326">
        <f t="shared" si="37"/>
        <v>0</v>
      </c>
      <c r="BA23" s="332">
        <f t="shared" si="38"/>
        <v>0</v>
      </c>
      <c r="BB23" s="122">
        <f t="shared" ref="BB23:BD23" si="125">SUM(AY23,AU23,AQ23)</f>
        <v>0</v>
      </c>
      <c r="BC23" s="326">
        <f t="shared" si="125"/>
        <v>156765.47</v>
      </c>
      <c r="BD23" s="333">
        <f t="shared" si="125"/>
        <v>156765.47</v>
      </c>
      <c r="BE23" s="123">
        <f t="shared" si="40"/>
        <v>114341.64</v>
      </c>
      <c r="BF23" s="326">
        <f t="shared" si="41"/>
        <v>156765.47</v>
      </c>
      <c r="BG23" s="435">
        <f t="shared" si="42"/>
        <v>341531.85</v>
      </c>
      <c r="BH23" s="125">
        <f t="shared" si="43"/>
        <v>0</v>
      </c>
      <c r="BI23" s="1041">
        <f t="shared" si="44"/>
        <v>0</v>
      </c>
      <c r="BJ23" s="123">
        <f t="shared" si="45"/>
        <v>0</v>
      </c>
      <c r="BK23" s="326">
        <f t="shared" si="46"/>
        <v>0</v>
      </c>
      <c r="BL23" s="123">
        <f t="shared" si="47"/>
        <v>0</v>
      </c>
      <c r="BM23" s="113">
        <f t="shared" si="48"/>
        <v>0</v>
      </c>
      <c r="BN23" s="116">
        <f t="shared" si="49"/>
        <v>0</v>
      </c>
      <c r="BO23" s="115">
        <f t="shared" si="64"/>
        <v>0</v>
      </c>
      <c r="BP23" s="326">
        <f t="shared" si="50"/>
        <v>318340.71000000002</v>
      </c>
      <c r="BQ23" s="326">
        <f t="shared" si="51"/>
        <v>0</v>
      </c>
      <c r="BR23" s="326">
        <f t="shared" si="52"/>
        <v>696738.46</v>
      </c>
      <c r="BS23" s="332">
        <f t="shared" si="53"/>
        <v>696738.46</v>
      </c>
      <c r="BT23" s="586">
        <f t="shared" ref="BT23:BV23" si="126">SUM(BQ23,BM23,BI23)</f>
        <v>0</v>
      </c>
      <c r="BU23" s="738">
        <f t="shared" si="126"/>
        <v>696738.46</v>
      </c>
      <c r="BV23" s="737">
        <f t="shared" si="126"/>
        <v>696738.46</v>
      </c>
      <c r="BW23" s="125">
        <f t="shared" si="55"/>
        <v>194172.1</v>
      </c>
      <c r="BX23" s="140">
        <f t="shared" si="56"/>
        <v>0</v>
      </c>
      <c r="BY23" s="123">
        <f t="shared" si="57"/>
        <v>396885.02</v>
      </c>
      <c r="BZ23" s="333">
        <f t="shared" si="58"/>
        <v>396885.02</v>
      </c>
      <c r="CA23" s="123">
        <f t="shared" si="59"/>
        <v>0</v>
      </c>
      <c r="CB23" s="326">
        <f t="shared" si="60"/>
        <v>108399.42</v>
      </c>
      <c r="CE23" s="245" t="s">
        <v>525</v>
      </c>
      <c r="CF23" s="1330"/>
      <c r="CG23" s="1330"/>
      <c r="CH23" s="294"/>
      <c r="CI23" s="294"/>
      <c r="CJ23" s="294"/>
      <c r="CK23" s="294"/>
      <c r="CL23" s="294"/>
      <c r="CM23" s="294"/>
      <c r="CN23" s="294"/>
    </row>
    <row r="24" spans="1:114" ht="15.75" customHeight="1">
      <c r="A24" s="325">
        <f t="shared" si="0"/>
        <v>112014011</v>
      </c>
      <c r="B24" s="324">
        <f t="shared" si="1"/>
        <v>7</v>
      </c>
      <c r="C24" s="558">
        <f t="shared" si="2"/>
        <v>0.1</v>
      </c>
      <c r="D24" s="558">
        <f t="shared" si="3"/>
        <v>0.2</v>
      </c>
      <c r="E24" s="715">
        <f t="shared" si="4"/>
        <v>0</v>
      </c>
      <c r="F24" s="547">
        <f t="shared" si="5"/>
        <v>7</v>
      </c>
      <c r="G24" s="699">
        <f t="shared" si="6"/>
        <v>0.1</v>
      </c>
      <c r="H24" s="699">
        <f t="shared" si="7"/>
        <v>0.2</v>
      </c>
      <c r="I24" s="702">
        <f t="shared" si="8"/>
        <v>0</v>
      </c>
      <c r="J24" s="837">
        <f t="shared" si="9"/>
        <v>62</v>
      </c>
      <c r="K24" s="699">
        <f t="shared" si="10"/>
        <v>0.1</v>
      </c>
      <c r="L24" s="1040">
        <f t="shared" si="11"/>
        <v>0.11</v>
      </c>
      <c r="M24" s="423" t="s">
        <v>1419</v>
      </c>
      <c r="N24" s="326"/>
      <c r="O24" s="332"/>
      <c r="P24" s="113" t="e">
        <f t="shared" si="12"/>
        <v>#VALUE!</v>
      </c>
      <c r="Q24" s="116" t="str">
        <f t="shared" si="13"/>
        <v/>
      </c>
      <c r="R24" s="117">
        <f t="shared" si="14"/>
        <v>374811.3</v>
      </c>
      <c r="S24" s="114"/>
      <c r="T24" s="116"/>
      <c r="U24" s="116">
        <f t="shared" si="15"/>
        <v>26114.92</v>
      </c>
      <c r="V24" s="116">
        <v>3000000</v>
      </c>
      <c r="W24" s="116" t="e">
        <f t="shared" si="16"/>
        <v>#VALUE!</v>
      </c>
      <c r="X24" s="116" t="str">
        <f t="shared" si="17"/>
        <v/>
      </c>
      <c r="Y24" s="116">
        <f t="shared" si="18"/>
        <v>144606.92000000001</v>
      </c>
      <c r="Z24" s="326"/>
      <c r="AA24" s="326"/>
      <c r="AB24" s="326">
        <f t="shared" si="19"/>
        <v>230483.72</v>
      </c>
      <c r="AC24" s="332">
        <v>1800000</v>
      </c>
      <c r="AD24" s="140" t="e">
        <f t="shared" si="20"/>
        <v>#VALUE!</v>
      </c>
      <c r="AE24" s="326" t="str">
        <f t="shared" si="21"/>
        <v/>
      </c>
      <c r="AF24" s="117">
        <f t="shared" si="22"/>
        <v>368133.46</v>
      </c>
      <c r="AG24" s="123"/>
      <c r="AH24" s="326"/>
      <c r="AI24" s="1257">
        <f t="shared" si="23"/>
        <v>4800000</v>
      </c>
      <c r="AJ24" s="140" t="str">
        <f t="shared" si="24"/>
        <v>0</v>
      </c>
      <c r="AK24" s="123" t="e">
        <f t="shared" ref="AK24:AM24" si="127">AD24+W24+P24</f>
        <v>#VALUE!</v>
      </c>
      <c r="AL24" s="123" t="e">
        <f t="shared" si="127"/>
        <v>#VALUE!</v>
      </c>
      <c r="AM24" s="123">
        <f t="shared" si="127"/>
        <v>887551.67999999993</v>
      </c>
      <c r="AN24" s="123">
        <f t="shared" si="26"/>
        <v>887551.67999999993</v>
      </c>
      <c r="AO24" s="1317" t="str">
        <f t="shared" si="62"/>
        <v/>
      </c>
      <c r="AP24" s="434">
        <f t="shared" si="27"/>
        <v>0</v>
      </c>
      <c r="AQ24" s="1318" t="e">
        <f t="shared" si="28"/>
        <v>#VALUE!</v>
      </c>
      <c r="AR24" s="1319" t="str">
        <f t="shared" si="29"/>
        <v/>
      </c>
      <c r="AS24" s="1320">
        <f t="shared" si="30"/>
        <v>168382.37</v>
      </c>
      <c r="AT24" s="125">
        <f t="shared" si="31"/>
        <v>0</v>
      </c>
      <c r="AU24" s="140" t="e">
        <f t="shared" si="32"/>
        <v>#VALUE!</v>
      </c>
      <c r="AV24" s="326" t="str">
        <f t="shared" si="33"/>
        <v/>
      </c>
      <c r="AW24" s="333">
        <f t="shared" si="34"/>
        <v>108697.9</v>
      </c>
      <c r="AX24" s="125">
        <f t="shared" si="35"/>
        <v>0</v>
      </c>
      <c r="AY24" s="140" t="e">
        <f t="shared" si="36"/>
        <v>#VALUE!</v>
      </c>
      <c r="AZ24" s="326" t="str">
        <f t="shared" si="37"/>
        <v/>
      </c>
      <c r="BA24" s="332">
        <f t="shared" si="38"/>
        <v>0</v>
      </c>
      <c r="BB24" s="122" t="e">
        <f t="shared" ref="BB24:BD24" si="128">SUM(AY24,AU24,AQ24)</f>
        <v>#VALUE!</v>
      </c>
      <c r="BC24" s="326">
        <f t="shared" si="128"/>
        <v>0</v>
      </c>
      <c r="BD24" s="333">
        <f t="shared" si="128"/>
        <v>277080.27</v>
      </c>
      <c r="BE24" s="123" t="e">
        <f t="shared" si="40"/>
        <v>#VALUE!</v>
      </c>
      <c r="BF24" s="326">
        <f t="shared" si="41"/>
        <v>0</v>
      </c>
      <c r="BG24" s="435">
        <f t="shared" si="42"/>
        <v>1164631.95</v>
      </c>
      <c r="BH24" s="125">
        <f t="shared" si="43"/>
        <v>321292.13</v>
      </c>
      <c r="BI24" s="1041" t="e">
        <f t="shared" si="44"/>
        <v>#VALUE!</v>
      </c>
      <c r="BJ24" s="123" t="str">
        <f t="shared" si="45"/>
        <v/>
      </c>
      <c r="BK24" s="326">
        <f t="shared" si="46"/>
        <v>0</v>
      </c>
      <c r="BL24" s="123">
        <f t="shared" si="47"/>
        <v>0</v>
      </c>
      <c r="BM24" s="113" t="e">
        <f t="shared" si="48"/>
        <v>#VALUE!</v>
      </c>
      <c r="BN24" s="116" t="str">
        <f t="shared" si="49"/>
        <v/>
      </c>
      <c r="BO24" s="115">
        <f t="shared" si="64"/>
        <v>307556.53999999998</v>
      </c>
      <c r="BP24" s="326">
        <f t="shared" si="50"/>
        <v>659817.85</v>
      </c>
      <c r="BQ24" s="326" t="e">
        <f t="shared" si="51"/>
        <v>#VALUE!</v>
      </c>
      <c r="BR24" s="326" t="str">
        <f t="shared" si="52"/>
        <v/>
      </c>
      <c r="BS24" s="332">
        <f t="shared" si="53"/>
        <v>0</v>
      </c>
      <c r="BT24" s="586" t="e">
        <f t="shared" ref="BT24:BV24" si="129">SUM(BQ24,BM24,BI24)</f>
        <v>#VALUE!</v>
      </c>
      <c r="BU24" s="738">
        <f t="shared" si="129"/>
        <v>0</v>
      </c>
      <c r="BV24" s="737">
        <f t="shared" si="129"/>
        <v>307556.53999999998</v>
      </c>
      <c r="BW24" s="125">
        <f t="shared" si="55"/>
        <v>0</v>
      </c>
      <c r="BX24" s="140" t="e">
        <f t="shared" si="56"/>
        <v>#VALUE!</v>
      </c>
      <c r="BY24" s="123" t="str">
        <f t="shared" si="57"/>
        <v/>
      </c>
      <c r="BZ24" s="333">
        <f t="shared" si="58"/>
        <v>409644.9</v>
      </c>
      <c r="CA24" s="123">
        <f t="shared" si="59"/>
        <v>0</v>
      </c>
      <c r="CB24" s="326">
        <f t="shared" si="60"/>
        <v>0</v>
      </c>
      <c r="CF24" s="294"/>
      <c r="CG24" s="294"/>
      <c r="CH24" s="294"/>
      <c r="CI24" s="294"/>
      <c r="CJ24" s="294"/>
      <c r="CK24" s="294"/>
      <c r="CL24" s="294"/>
      <c r="CM24" s="294"/>
      <c r="CN24" s="294"/>
    </row>
    <row r="25" spans="1:114" ht="15.75" customHeight="1">
      <c r="A25" s="325">
        <f t="shared" si="0"/>
        <v>112014577</v>
      </c>
      <c r="B25" s="324">
        <f t="shared" si="1"/>
        <v>7</v>
      </c>
      <c r="C25" s="558">
        <f t="shared" si="2"/>
        <v>0.1</v>
      </c>
      <c r="D25" s="558">
        <f t="shared" si="3"/>
        <v>0.2</v>
      </c>
      <c r="E25" s="715">
        <f t="shared" si="4"/>
        <v>0</v>
      </c>
      <c r="F25" s="547">
        <f t="shared" si="5"/>
        <v>7</v>
      </c>
      <c r="G25" s="699">
        <f t="shared" si="6"/>
        <v>0.1</v>
      </c>
      <c r="H25" s="699">
        <f t="shared" si="7"/>
        <v>0.2</v>
      </c>
      <c r="I25" s="702">
        <f t="shared" si="8"/>
        <v>0</v>
      </c>
      <c r="J25" s="837">
        <f t="shared" si="9"/>
        <v>62</v>
      </c>
      <c r="K25" s="699">
        <f t="shared" si="10"/>
        <v>0.1</v>
      </c>
      <c r="L25" s="1040">
        <f t="shared" si="11"/>
        <v>0.11</v>
      </c>
      <c r="M25" s="423" t="s">
        <v>1420</v>
      </c>
      <c r="N25" s="326"/>
      <c r="O25" s="332"/>
      <c r="P25" s="113" t="e">
        <f t="shared" si="12"/>
        <v>#VALUE!</v>
      </c>
      <c r="Q25" s="116" t="str">
        <f t="shared" si="13"/>
        <v/>
      </c>
      <c r="R25" s="117">
        <f t="shared" si="14"/>
        <v>0</v>
      </c>
      <c r="S25" s="114"/>
      <c r="T25" s="116"/>
      <c r="U25" s="116">
        <f t="shared" si="15"/>
        <v>0</v>
      </c>
      <c r="V25" s="116">
        <v>3000000</v>
      </c>
      <c r="W25" s="116" t="e">
        <f t="shared" si="16"/>
        <v>#VALUE!</v>
      </c>
      <c r="X25" s="116" t="str">
        <f t="shared" si="17"/>
        <v/>
      </c>
      <c r="Y25" s="116">
        <f t="shared" si="18"/>
        <v>0</v>
      </c>
      <c r="Z25" s="326"/>
      <c r="AA25" s="326"/>
      <c r="AB25" s="326">
        <f t="shared" si="19"/>
        <v>0</v>
      </c>
      <c r="AC25" s="332">
        <v>1800000</v>
      </c>
      <c r="AD25" s="140" t="e">
        <f t="shared" si="20"/>
        <v>#VALUE!</v>
      </c>
      <c r="AE25" s="326" t="str">
        <f t="shared" si="21"/>
        <v/>
      </c>
      <c r="AF25" s="117">
        <f t="shared" si="22"/>
        <v>0</v>
      </c>
      <c r="AG25" s="123"/>
      <c r="AH25" s="326"/>
      <c r="AI25" s="1257">
        <f t="shared" si="23"/>
        <v>4800000</v>
      </c>
      <c r="AJ25" s="140">
        <f t="shared" si="24"/>
        <v>134208.60999999999</v>
      </c>
      <c r="AK25" s="123" t="e">
        <f t="shared" ref="AK25:AM25" si="130">AD25+W25+P25</f>
        <v>#VALUE!</v>
      </c>
      <c r="AL25" s="123" t="e">
        <f t="shared" si="130"/>
        <v>#VALUE!</v>
      </c>
      <c r="AM25" s="123">
        <f t="shared" si="130"/>
        <v>0</v>
      </c>
      <c r="AN25" s="123">
        <f t="shared" si="26"/>
        <v>-134208.60999999999</v>
      </c>
      <c r="AO25" s="1317">
        <f t="shared" si="62"/>
        <v>-1</v>
      </c>
      <c r="AP25" s="434">
        <f t="shared" si="27"/>
        <v>0</v>
      </c>
      <c r="AQ25" s="1318" t="e">
        <f t="shared" si="28"/>
        <v>#VALUE!</v>
      </c>
      <c r="AR25" s="1319" t="str">
        <f t="shared" si="29"/>
        <v/>
      </c>
      <c r="AS25" s="1320">
        <f t="shared" si="30"/>
        <v>0</v>
      </c>
      <c r="AT25" s="125">
        <f t="shared" si="31"/>
        <v>0</v>
      </c>
      <c r="AU25" s="140" t="e">
        <f t="shared" si="32"/>
        <v>#VALUE!</v>
      </c>
      <c r="AV25" s="326" t="str">
        <f t="shared" si="33"/>
        <v/>
      </c>
      <c r="AW25" s="333">
        <f t="shared" si="34"/>
        <v>0</v>
      </c>
      <c r="AX25" s="125">
        <f t="shared" si="35"/>
        <v>0</v>
      </c>
      <c r="AY25" s="140" t="e">
        <f t="shared" si="36"/>
        <v>#VALUE!</v>
      </c>
      <c r="AZ25" s="326" t="str">
        <f t="shared" si="37"/>
        <v/>
      </c>
      <c r="BA25" s="332">
        <f t="shared" si="38"/>
        <v>0</v>
      </c>
      <c r="BB25" s="122" t="e">
        <f t="shared" ref="BB25:BD25" si="131">SUM(AY25,AU25,AQ25)</f>
        <v>#VALUE!</v>
      </c>
      <c r="BC25" s="326">
        <f t="shared" si="131"/>
        <v>0</v>
      </c>
      <c r="BD25" s="333">
        <f t="shared" si="131"/>
        <v>0</v>
      </c>
      <c r="BE25" s="123" t="e">
        <f t="shared" si="40"/>
        <v>#VALUE!</v>
      </c>
      <c r="BF25" s="326">
        <f t="shared" si="41"/>
        <v>0</v>
      </c>
      <c r="BG25" s="435">
        <f t="shared" si="42"/>
        <v>0</v>
      </c>
      <c r="BH25" s="125">
        <f t="shared" si="43"/>
        <v>0</v>
      </c>
      <c r="BI25" s="1041" t="e">
        <f t="shared" si="44"/>
        <v>#VALUE!</v>
      </c>
      <c r="BJ25" s="123" t="str">
        <f t="shared" si="45"/>
        <v/>
      </c>
      <c r="BK25" s="326">
        <f t="shared" si="46"/>
        <v>73351.33</v>
      </c>
      <c r="BL25" s="123">
        <f t="shared" si="47"/>
        <v>0</v>
      </c>
      <c r="BM25" s="113" t="e">
        <f t="shared" si="48"/>
        <v>#VALUE!</v>
      </c>
      <c r="BN25" s="116" t="str">
        <f t="shared" si="49"/>
        <v/>
      </c>
      <c r="BO25" s="115">
        <f t="shared" si="64"/>
        <v>0</v>
      </c>
      <c r="BP25" s="326">
        <f t="shared" si="50"/>
        <v>0</v>
      </c>
      <c r="BQ25" s="326" t="e">
        <f t="shared" si="51"/>
        <v>#VALUE!</v>
      </c>
      <c r="BR25" s="326" t="str">
        <f t="shared" si="52"/>
        <v/>
      </c>
      <c r="BS25" s="332">
        <f t="shared" si="53"/>
        <v>0</v>
      </c>
      <c r="BT25" s="586" t="e">
        <f t="shared" ref="BT25:BV25" si="132">SUM(BQ25,BM25,BI25)</f>
        <v>#VALUE!</v>
      </c>
      <c r="BU25" s="738">
        <f t="shared" si="132"/>
        <v>0</v>
      </c>
      <c r="BV25" s="737">
        <f t="shared" si="132"/>
        <v>73351.33</v>
      </c>
      <c r="BW25" s="125">
        <f t="shared" si="55"/>
        <v>75213.33</v>
      </c>
      <c r="BX25" s="140" t="e">
        <f t="shared" si="56"/>
        <v>#VALUE!</v>
      </c>
      <c r="BY25" s="123" t="str">
        <f t="shared" si="57"/>
        <v/>
      </c>
      <c r="BZ25" s="333">
        <f t="shared" si="58"/>
        <v>0</v>
      </c>
      <c r="CA25" s="123">
        <f t="shared" si="59"/>
        <v>58995.28</v>
      </c>
      <c r="CB25" s="326">
        <f t="shared" si="60"/>
        <v>0</v>
      </c>
      <c r="CF25" s="294"/>
      <c r="CG25" s="294"/>
      <c r="CH25" s="294"/>
      <c r="CI25" s="294"/>
      <c r="CJ25" s="294"/>
      <c r="CK25" s="294"/>
      <c r="CL25" s="294"/>
      <c r="CM25" s="294"/>
      <c r="CN25" s="294"/>
    </row>
    <row r="26" spans="1:114" ht="15.75" customHeight="1">
      <c r="A26" s="325">
        <f t="shared" si="0"/>
        <v>112014780</v>
      </c>
      <c r="B26" s="324" t="e">
        <f t="shared" si="1"/>
        <v>#N/A</v>
      </c>
      <c r="C26" s="558" t="str">
        <f t="shared" si="2"/>
        <v/>
      </c>
      <c r="D26" s="558" t="str">
        <f t="shared" si="3"/>
        <v/>
      </c>
      <c r="E26" s="715" t="str">
        <f t="shared" si="4"/>
        <v/>
      </c>
      <c r="F26" s="547" t="e">
        <f t="shared" si="5"/>
        <v>#N/A</v>
      </c>
      <c r="G26" s="699" t="str">
        <f t="shared" si="6"/>
        <v/>
      </c>
      <c r="H26" s="699" t="str">
        <f t="shared" si="7"/>
        <v/>
      </c>
      <c r="I26" s="702" t="str">
        <f t="shared" si="8"/>
        <v/>
      </c>
      <c r="J26" s="837">
        <f t="shared" si="9"/>
        <v>21</v>
      </c>
      <c r="K26" s="699">
        <f t="shared" si="10"/>
        <v>0.1</v>
      </c>
      <c r="L26" s="1040">
        <f t="shared" si="11"/>
        <v>0</v>
      </c>
      <c r="M26" s="944" t="s">
        <v>1421</v>
      </c>
      <c r="N26" s="326"/>
      <c r="O26" s="332"/>
      <c r="P26" s="113" t="e">
        <f t="shared" si="12"/>
        <v>#VALUE!</v>
      </c>
      <c r="Q26" s="116" t="str">
        <f t="shared" si="13"/>
        <v/>
      </c>
      <c r="R26" s="117" t="str">
        <f t="shared" si="14"/>
        <v>0</v>
      </c>
      <c r="S26" s="114"/>
      <c r="T26" s="116"/>
      <c r="U26" s="116" t="str">
        <f t="shared" si="15"/>
        <v/>
      </c>
      <c r="V26" s="116">
        <v>3000000</v>
      </c>
      <c r="W26" s="116" t="e">
        <f t="shared" si="16"/>
        <v>#VALUE!</v>
      </c>
      <c r="X26" s="116" t="str">
        <f t="shared" si="17"/>
        <v/>
      </c>
      <c r="Y26" s="116" t="str">
        <f t="shared" si="18"/>
        <v>0</v>
      </c>
      <c r="Z26" s="326"/>
      <c r="AA26" s="326"/>
      <c r="AB26" s="326" t="str">
        <f t="shared" si="19"/>
        <v/>
      </c>
      <c r="AC26" s="332">
        <v>1800000</v>
      </c>
      <c r="AD26" s="140" t="e">
        <f t="shared" si="20"/>
        <v>#VALUE!</v>
      </c>
      <c r="AE26" s="326" t="str">
        <f t="shared" si="21"/>
        <v/>
      </c>
      <c r="AF26" s="117" t="str">
        <f t="shared" si="22"/>
        <v>0</v>
      </c>
      <c r="AG26" s="123"/>
      <c r="AH26" s="326"/>
      <c r="AI26" s="1257">
        <f t="shared" si="23"/>
        <v>4800000</v>
      </c>
      <c r="AJ26" s="140" t="str">
        <f t="shared" si="24"/>
        <v>0</v>
      </c>
      <c r="AK26" s="123" t="e">
        <f t="shared" ref="AK26:AM26" si="133">AD26+W26+P26</f>
        <v>#VALUE!</v>
      </c>
      <c r="AL26" s="123" t="e">
        <f t="shared" si="133"/>
        <v>#VALUE!</v>
      </c>
      <c r="AM26" s="123">
        <f t="shared" si="133"/>
        <v>0</v>
      </c>
      <c r="AN26" s="123">
        <f t="shared" si="26"/>
        <v>0</v>
      </c>
      <c r="AO26" s="1317" t="str">
        <f t="shared" si="62"/>
        <v/>
      </c>
      <c r="AP26" s="434" t="str">
        <f t="shared" si="27"/>
        <v/>
      </c>
      <c r="AQ26" s="1318" t="e">
        <f t="shared" si="28"/>
        <v>#VALUE!</v>
      </c>
      <c r="AR26" s="1319" t="str">
        <f t="shared" si="29"/>
        <v/>
      </c>
      <c r="AS26" s="1320" t="str">
        <f t="shared" si="30"/>
        <v>0</v>
      </c>
      <c r="AT26" s="125" t="str">
        <f t="shared" si="31"/>
        <v/>
      </c>
      <c r="AU26" s="140" t="e">
        <f t="shared" si="32"/>
        <v>#VALUE!</v>
      </c>
      <c r="AV26" s="326" t="str">
        <f t="shared" si="33"/>
        <v/>
      </c>
      <c r="AW26" s="333" t="str">
        <f t="shared" si="34"/>
        <v>0</v>
      </c>
      <c r="AX26" s="125" t="str">
        <f t="shared" si="35"/>
        <v/>
      </c>
      <c r="AY26" s="140" t="e">
        <f t="shared" si="36"/>
        <v>#VALUE!</v>
      </c>
      <c r="AZ26" s="326" t="str">
        <f t="shared" si="37"/>
        <v/>
      </c>
      <c r="BA26" s="332" t="str">
        <f t="shared" si="38"/>
        <v>0</v>
      </c>
      <c r="BB26" s="122" t="e">
        <f t="shared" ref="BB26:BD26" si="134">SUM(AY26,AU26,AQ26)</f>
        <v>#VALUE!</v>
      </c>
      <c r="BC26" s="326">
        <f t="shared" si="134"/>
        <v>0</v>
      </c>
      <c r="BD26" s="333">
        <f t="shared" si="134"/>
        <v>0</v>
      </c>
      <c r="BE26" s="123" t="e">
        <f t="shared" si="40"/>
        <v>#VALUE!</v>
      </c>
      <c r="BF26" s="326">
        <f t="shared" si="41"/>
        <v>0</v>
      </c>
      <c r="BG26" s="435">
        <f t="shared" si="42"/>
        <v>0</v>
      </c>
      <c r="BH26" s="125" t="str">
        <f t="shared" si="43"/>
        <v/>
      </c>
      <c r="BI26" s="1041" t="e">
        <f t="shared" si="44"/>
        <v>#VALUE!</v>
      </c>
      <c r="BJ26" s="123" t="str">
        <f t="shared" si="45"/>
        <v/>
      </c>
      <c r="BK26" s="326" t="str">
        <f t="shared" si="46"/>
        <v>0</v>
      </c>
      <c r="BL26" s="123" t="str">
        <f t="shared" si="47"/>
        <v/>
      </c>
      <c r="BM26" s="113" t="e">
        <f t="shared" si="48"/>
        <v>#VALUE!</v>
      </c>
      <c r="BN26" s="116" t="str">
        <f t="shared" si="49"/>
        <v/>
      </c>
      <c r="BO26" s="115" t="str">
        <f t="shared" si="64"/>
        <v>0</v>
      </c>
      <c r="BP26" s="326" t="str">
        <f t="shared" si="50"/>
        <v/>
      </c>
      <c r="BQ26" s="326" t="e">
        <f t="shared" si="51"/>
        <v>#VALUE!</v>
      </c>
      <c r="BR26" s="326" t="str">
        <f t="shared" si="52"/>
        <v/>
      </c>
      <c r="BS26" s="332" t="str">
        <f t="shared" si="53"/>
        <v/>
      </c>
      <c r="BT26" s="586" t="e">
        <f t="shared" ref="BT26:BV26" si="135">SUM(BQ26,BM26,BI26)</f>
        <v>#VALUE!</v>
      </c>
      <c r="BU26" s="738">
        <f t="shared" si="135"/>
        <v>0</v>
      </c>
      <c r="BV26" s="737">
        <f t="shared" si="135"/>
        <v>0</v>
      </c>
      <c r="BW26" s="125" t="str">
        <f t="shared" si="55"/>
        <v/>
      </c>
      <c r="BX26" s="140" t="e">
        <f t="shared" si="56"/>
        <v>#VALUE!</v>
      </c>
      <c r="BY26" s="123" t="str">
        <f t="shared" si="57"/>
        <v/>
      </c>
      <c r="BZ26" s="333" t="str">
        <f t="shared" si="58"/>
        <v/>
      </c>
      <c r="CA26" s="123" t="str">
        <f t="shared" si="59"/>
        <v/>
      </c>
      <c r="CB26" s="326" t="str">
        <f t="shared" si="60"/>
        <v/>
      </c>
      <c r="CF26" s="294"/>
      <c r="CG26" s="294"/>
      <c r="CH26" s="294"/>
      <c r="CI26" s="294"/>
      <c r="CJ26" s="294"/>
      <c r="CK26" s="294"/>
      <c r="CL26" s="294"/>
      <c r="CM26" s="294"/>
      <c r="CN26" s="294"/>
    </row>
    <row r="27" spans="1:114" ht="15.75" customHeight="1">
      <c r="A27" s="325">
        <f t="shared" si="0"/>
        <v>112013982</v>
      </c>
      <c r="B27" s="324">
        <f t="shared" si="1"/>
        <v>7</v>
      </c>
      <c r="C27" s="558">
        <f t="shared" si="2"/>
        <v>0.1</v>
      </c>
      <c r="D27" s="558">
        <f t="shared" si="3"/>
        <v>0.2</v>
      </c>
      <c r="E27" s="715">
        <f t="shared" si="4"/>
        <v>0</v>
      </c>
      <c r="F27" s="547">
        <f t="shared" si="5"/>
        <v>7</v>
      </c>
      <c r="G27" s="699">
        <f t="shared" si="6"/>
        <v>0.1</v>
      </c>
      <c r="H27" s="699">
        <f t="shared" si="7"/>
        <v>0.2</v>
      </c>
      <c r="I27" s="702">
        <f t="shared" si="8"/>
        <v>0</v>
      </c>
      <c r="J27" s="837">
        <f t="shared" si="9"/>
        <v>62</v>
      </c>
      <c r="K27" s="699">
        <f t="shared" si="10"/>
        <v>0.1</v>
      </c>
      <c r="L27" s="1040">
        <f t="shared" si="11"/>
        <v>0.11</v>
      </c>
      <c r="M27" s="423" t="s">
        <v>1422</v>
      </c>
      <c r="N27" s="326"/>
      <c r="O27" s="332"/>
      <c r="P27" s="113" t="e">
        <f t="shared" si="12"/>
        <v>#VALUE!</v>
      </c>
      <c r="Q27" s="116" t="str">
        <f t="shared" si="13"/>
        <v/>
      </c>
      <c r="R27" s="117" t="str">
        <f t="shared" si="14"/>
        <v>0</v>
      </c>
      <c r="S27" s="114"/>
      <c r="T27" s="116"/>
      <c r="U27" s="116">
        <f t="shared" si="15"/>
        <v>512543.68</v>
      </c>
      <c r="V27" s="116">
        <v>3000000</v>
      </c>
      <c r="W27" s="116" t="e">
        <f t="shared" si="16"/>
        <v>#VALUE!</v>
      </c>
      <c r="X27" s="116" t="str">
        <f t="shared" si="17"/>
        <v/>
      </c>
      <c r="Y27" s="116" t="str">
        <f t="shared" si="18"/>
        <v>0</v>
      </c>
      <c r="Z27" s="326"/>
      <c r="AA27" s="326"/>
      <c r="AB27" s="326">
        <f t="shared" si="19"/>
        <v>0</v>
      </c>
      <c r="AC27" s="332">
        <v>1800000</v>
      </c>
      <c r="AD27" s="140" t="e">
        <f t="shared" si="20"/>
        <v>#VALUE!</v>
      </c>
      <c r="AE27" s="326" t="str">
        <f t="shared" si="21"/>
        <v/>
      </c>
      <c r="AF27" s="117" t="str">
        <f t="shared" si="22"/>
        <v>0</v>
      </c>
      <c r="AG27" s="123"/>
      <c r="AH27" s="326"/>
      <c r="AI27" s="1257">
        <f t="shared" si="23"/>
        <v>4800000</v>
      </c>
      <c r="AJ27" s="140" t="str">
        <f t="shared" si="24"/>
        <v>0</v>
      </c>
      <c r="AK27" s="123" t="e">
        <f t="shared" ref="AK27:AM27" si="136">AD27+W27+P27</f>
        <v>#VALUE!</v>
      </c>
      <c r="AL27" s="123" t="e">
        <f t="shared" si="136"/>
        <v>#VALUE!</v>
      </c>
      <c r="AM27" s="123">
        <f t="shared" si="136"/>
        <v>0</v>
      </c>
      <c r="AN27" s="123">
        <f t="shared" si="26"/>
        <v>0</v>
      </c>
      <c r="AO27" s="1317" t="str">
        <f t="shared" si="62"/>
        <v/>
      </c>
      <c r="AP27" s="434">
        <f t="shared" si="27"/>
        <v>0</v>
      </c>
      <c r="AQ27" s="1318" t="e">
        <f t="shared" si="28"/>
        <v>#VALUE!</v>
      </c>
      <c r="AR27" s="1319" t="str">
        <f t="shared" si="29"/>
        <v/>
      </c>
      <c r="AS27" s="1320" t="str">
        <f t="shared" si="30"/>
        <v>0</v>
      </c>
      <c r="AT27" s="125">
        <f t="shared" si="31"/>
        <v>0</v>
      </c>
      <c r="AU27" s="140" t="e">
        <f t="shared" si="32"/>
        <v>#VALUE!</v>
      </c>
      <c r="AV27" s="326" t="str">
        <f t="shared" si="33"/>
        <v/>
      </c>
      <c r="AW27" s="333" t="str">
        <f t="shared" si="34"/>
        <v>0</v>
      </c>
      <c r="AX27" s="125">
        <f t="shared" si="35"/>
        <v>0</v>
      </c>
      <c r="AY27" s="140" t="e">
        <f t="shared" si="36"/>
        <v>#VALUE!</v>
      </c>
      <c r="AZ27" s="326" t="str">
        <f t="shared" si="37"/>
        <v/>
      </c>
      <c r="BA27" s="332" t="str">
        <f t="shared" si="38"/>
        <v>0</v>
      </c>
      <c r="BB27" s="122" t="e">
        <f t="shared" ref="BB27:BD27" si="137">SUM(AY27,AU27,AQ27)</f>
        <v>#VALUE!</v>
      </c>
      <c r="BC27" s="326">
        <f t="shared" si="137"/>
        <v>0</v>
      </c>
      <c r="BD27" s="333">
        <f t="shared" si="137"/>
        <v>0</v>
      </c>
      <c r="BE27" s="123" t="e">
        <f t="shared" si="40"/>
        <v>#VALUE!</v>
      </c>
      <c r="BF27" s="326">
        <f t="shared" si="41"/>
        <v>0</v>
      </c>
      <c r="BG27" s="435">
        <f t="shared" si="42"/>
        <v>0</v>
      </c>
      <c r="BH27" s="125">
        <f t="shared" si="43"/>
        <v>339501.89</v>
      </c>
      <c r="BI27" s="1041" t="e">
        <f t="shared" si="44"/>
        <v>#VALUE!</v>
      </c>
      <c r="BJ27" s="123" t="str">
        <f t="shared" si="45"/>
        <v/>
      </c>
      <c r="BK27" s="326" t="str">
        <f t="shared" si="46"/>
        <v>0</v>
      </c>
      <c r="BL27" s="123">
        <f t="shared" si="47"/>
        <v>0</v>
      </c>
      <c r="BM27" s="113" t="e">
        <f t="shared" si="48"/>
        <v>#VALUE!</v>
      </c>
      <c r="BN27" s="116" t="str">
        <f t="shared" si="49"/>
        <v/>
      </c>
      <c r="BO27" s="115" t="str">
        <f t="shared" si="64"/>
        <v>0</v>
      </c>
      <c r="BP27" s="326">
        <f t="shared" si="50"/>
        <v>0</v>
      </c>
      <c r="BQ27" s="326" t="e">
        <f t="shared" si="51"/>
        <v>#VALUE!</v>
      </c>
      <c r="BR27" s="326" t="str">
        <f t="shared" si="52"/>
        <v/>
      </c>
      <c r="BS27" s="332" t="str">
        <f t="shared" si="53"/>
        <v/>
      </c>
      <c r="BT27" s="586" t="e">
        <f t="shared" ref="BT27:BV27" si="138">SUM(BQ27,BM27,BI27)</f>
        <v>#VALUE!</v>
      </c>
      <c r="BU27" s="738">
        <f t="shared" si="138"/>
        <v>0</v>
      </c>
      <c r="BV27" s="737">
        <f t="shared" si="138"/>
        <v>0</v>
      </c>
      <c r="BW27" s="125">
        <f t="shared" si="55"/>
        <v>0</v>
      </c>
      <c r="BX27" s="140" t="e">
        <f t="shared" si="56"/>
        <v>#VALUE!</v>
      </c>
      <c r="BY27" s="123" t="str">
        <f t="shared" si="57"/>
        <v/>
      </c>
      <c r="BZ27" s="333" t="str">
        <f t="shared" si="58"/>
        <v/>
      </c>
      <c r="CA27" s="123">
        <f t="shared" si="59"/>
        <v>0</v>
      </c>
      <c r="CB27" s="326">
        <f t="shared" si="60"/>
        <v>0</v>
      </c>
      <c r="CF27" s="294"/>
      <c r="CG27" s="294"/>
      <c r="CH27" s="294"/>
      <c r="CI27" s="294"/>
      <c r="CJ27" s="294"/>
      <c r="CK27" s="294"/>
      <c r="CL27" s="294"/>
      <c r="CM27" s="294"/>
      <c r="CN27" s="294"/>
    </row>
    <row r="28" spans="1:114" ht="15.75" customHeight="1">
      <c r="A28" s="325">
        <f t="shared" si="0"/>
        <v>112013331</v>
      </c>
      <c r="B28" s="324">
        <f t="shared" si="1"/>
        <v>7</v>
      </c>
      <c r="C28" s="558">
        <f t="shared" si="2"/>
        <v>0.1</v>
      </c>
      <c r="D28" s="558">
        <f t="shared" si="3"/>
        <v>0.2</v>
      </c>
      <c r="E28" s="715">
        <f t="shared" si="4"/>
        <v>0</v>
      </c>
      <c r="F28" s="547">
        <f t="shared" si="5"/>
        <v>7</v>
      </c>
      <c r="G28" s="699">
        <f t="shared" si="6"/>
        <v>0.1</v>
      </c>
      <c r="H28" s="699">
        <f t="shared" si="7"/>
        <v>0.2</v>
      </c>
      <c r="I28" s="702">
        <f t="shared" si="8"/>
        <v>0</v>
      </c>
      <c r="J28" s="837">
        <f t="shared" si="9"/>
        <v>62</v>
      </c>
      <c r="K28" s="699">
        <f t="shared" si="10"/>
        <v>0.1</v>
      </c>
      <c r="L28" s="1040">
        <f t="shared" si="11"/>
        <v>0.11</v>
      </c>
      <c r="M28" s="423" t="s">
        <v>1423</v>
      </c>
      <c r="N28" s="326"/>
      <c r="O28" s="332"/>
      <c r="P28" s="113" t="e">
        <f t="shared" si="12"/>
        <v>#VALUE!</v>
      </c>
      <c r="Q28" s="116" t="str">
        <f t="shared" si="13"/>
        <v/>
      </c>
      <c r="R28" s="117">
        <f t="shared" si="14"/>
        <v>0</v>
      </c>
      <c r="S28" s="114"/>
      <c r="T28" s="116"/>
      <c r="U28" s="116">
        <f t="shared" si="15"/>
        <v>0</v>
      </c>
      <c r="V28" s="116">
        <v>3000000</v>
      </c>
      <c r="W28" s="116" t="e">
        <f t="shared" si="16"/>
        <v>#VALUE!</v>
      </c>
      <c r="X28" s="116" t="str">
        <f t="shared" si="17"/>
        <v/>
      </c>
      <c r="Y28" s="116">
        <f t="shared" si="18"/>
        <v>0</v>
      </c>
      <c r="Z28" s="326"/>
      <c r="AA28" s="326"/>
      <c r="AB28" s="326">
        <f t="shared" si="19"/>
        <v>2074498.98</v>
      </c>
      <c r="AC28" s="332">
        <v>1800000</v>
      </c>
      <c r="AD28" s="140" t="e">
        <f t="shared" si="20"/>
        <v>#VALUE!</v>
      </c>
      <c r="AE28" s="326" t="str">
        <f t="shared" si="21"/>
        <v/>
      </c>
      <c r="AF28" s="117">
        <f t="shared" si="22"/>
        <v>0</v>
      </c>
      <c r="AG28" s="123"/>
      <c r="AH28" s="326"/>
      <c r="AI28" s="1257">
        <f t="shared" si="23"/>
        <v>4800000</v>
      </c>
      <c r="AJ28" s="140" t="str">
        <f t="shared" si="24"/>
        <v>0</v>
      </c>
      <c r="AK28" s="123" t="e">
        <f t="shared" ref="AK28:AM28" si="139">AD28+W28+P28</f>
        <v>#VALUE!</v>
      </c>
      <c r="AL28" s="123" t="e">
        <f t="shared" si="139"/>
        <v>#VALUE!</v>
      </c>
      <c r="AM28" s="123">
        <f t="shared" si="139"/>
        <v>0</v>
      </c>
      <c r="AN28" s="123">
        <f t="shared" si="26"/>
        <v>0</v>
      </c>
      <c r="AO28" s="1317" t="str">
        <f t="shared" si="62"/>
        <v/>
      </c>
      <c r="AP28" s="434">
        <f t="shared" si="27"/>
        <v>181152.92</v>
      </c>
      <c r="AQ28" s="1318" t="e">
        <f t="shared" si="28"/>
        <v>#VALUE!</v>
      </c>
      <c r="AR28" s="1319" t="str">
        <f t="shared" si="29"/>
        <v/>
      </c>
      <c r="AS28" s="1320">
        <f t="shared" si="30"/>
        <v>0</v>
      </c>
      <c r="AT28" s="125">
        <f t="shared" si="31"/>
        <v>2047522.91</v>
      </c>
      <c r="AU28" s="140" t="e">
        <f t="shared" si="32"/>
        <v>#VALUE!</v>
      </c>
      <c r="AV28" s="326" t="str">
        <f t="shared" si="33"/>
        <v/>
      </c>
      <c r="AW28" s="333">
        <f t="shared" si="34"/>
        <v>0</v>
      </c>
      <c r="AX28" s="125">
        <f t="shared" si="35"/>
        <v>1240983.53</v>
      </c>
      <c r="AY28" s="140" t="e">
        <f t="shared" si="36"/>
        <v>#VALUE!</v>
      </c>
      <c r="AZ28" s="326" t="str">
        <f t="shared" si="37"/>
        <v/>
      </c>
      <c r="BA28" s="332">
        <f t="shared" si="38"/>
        <v>0</v>
      </c>
      <c r="BB28" s="122" t="e">
        <f t="shared" ref="BB28:BD28" si="140">SUM(AY28,AU28,AQ28)</f>
        <v>#VALUE!</v>
      </c>
      <c r="BC28" s="326">
        <f t="shared" si="140"/>
        <v>0</v>
      </c>
      <c r="BD28" s="333">
        <f t="shared" si="140"/>
        <v>0</v>
      </c>
      <c r="BE28" s="123" t="e">
        <f t="shared" si="40"/>
        <v>#VALUE!</v>
      </c>
      <c r="BF28" s="326">
        <f t="shared" si="41"/>
        <v>0</v>
      </c>
      <c r="BG28" s="435">
        <f t="shared" si="42"/>
        <v>0</v>
      </c>
      <c r="BH28" s="125">
        <f t="shared" si="43"/>
        <v>386282.15</v>
      </c>
      <c r="BI28" s="1041" t="e">
        <f t="shared" si="44"/>
        <v>#VALUE!</v>
      </c>
      <c r="BJ28" s="123" t="str">
        <f t="shared" si="45"/>
        <v/>
      </c>
      <c r="BK28" s="326">
        <f t="shared" si="46"/>
        <v>0</v>
      </c>
      <c r="BL28" s="123">
        <f t="shared" si="47"/>
        <v>122845.01</v>
      </c>
      <c r="BM28" s="113" t="e">
        <f t="shared" si="48"/>
        <v>#VALUE!</v>
      </c>
      <c r="BN28" s="116" t="str">
        <f t="shared" si="49"/>
        <v/>
      </c>
      <c r="BO28" s="115">
        <f t="shared" si="64"/>
        <v>392562.78</v>
      </c>
      <c r="BP28" s="326">
        <f t="shared" si="50"/>
        <v>0</v>
      </c>
      <c r="BQ28" s="326" t="e">
        <f t="shared" si="51"/>
        <v>#VALUE!</v>
      </c>
      <c r="BR28" s="326" t="str">
        <f t="shared" si="52"/>
        <v/>
      </c>
      <c r="BS28" s="332">
        <f t="shared" si="53"/>
        <v>-175524.48000000001</v>
      </c>
      <c r="BT28" s="586" t="e">
        <f t="shared" ref="BT28:BV28" si="141">SUM(BQ28,BM28,BI28)</f>
        <v>#VALUE!</v>
      </c>
      <c r="BU28" s="738">
        <f t="shared" si="141"/>
        <v>0</v>
      </c>
      <c r="BV28" s="737">
        <f t="shared" si="141"/>
        <v>217038.30000000002</v>
      </c>
      <c r="BW28" s="125">
        <f t="shared" si="55"/>
        <v>0</v>
      </c>
      <c r="BX28" s="140" t="e">
        <f t="shared" si="56"/>
        <v>#VALUE!</v>
      </c>
      <c r="BY28" s="123" t="str">
        <f t="shared" si="57"/>
        <v/>
      </c>
      <c r="BZ28" s="333">
        <f t="shared" si="58"/>
        <v>0</v>
      </c>
      <c r="CA28" s="123">
        <f t="shared" si="59"/>
        <v>0</v>
      </c>
      <c r="CB28" s="326">
        <f t="shared" si="60"/>
        <v>0</v>
      </c>
      <c r="CF28" s="294"/>
      <c r="CG28" s="294"/>
      <c r="CH28" s="294"/>
      <c r="CI28" s="294"/>
      <c r="CJ28" s="294"/>
      <c r="CK28" s="294"/>
      <c r="CL28" s="294"/>
      <c r="CM28" s="294"/>
      <c r="CN28" s="294"/>
    </row>
    <row r="29" spans="1:114" ht="15.75" customHeight="1">
      <c r="A29" s="325">
        <f t="shared" si="0"/>
        <v>112014493</v>
      </c>
      <c r="B29" s="324">
        <f t="shared" si="1"/>
        <v>22</v>
      </c>
      <c r="C29" s="558">
        <f t="shared" si="2"/>
        <v>0.1</v>
      </c>
      <c r="D29" s="558">
        <f t="shared" si="3"/>
        <v>0.09</v>
      </c>
      <c r="E29" s="715">
        <f t="shared" si="4"/>
        <v>0</v>
      </c>
      <c r="F29" s="547">
        <f t="shared" si="5"/>
        <v>22</v>
      </c>
      <c r="G29" s="699">
        <f t="shared" si="6"/>
        <v>0.1</v>
      </c>
      <c r="H29" s="699">
        <f t="shared" si="7"/>
        <v>0.09</v>
      </c>
      <c r="I29" s="702">
        <f t="shared" si="8"/>
        <v>0</v>
      </c>
      <c r="J29" s="837">
        <f t="shared" si="9"/>
        <v>63</v>
      </c>
      <c r="K29" s="699">
        <f t="shared" si="10"/>
        <v>0.1</v>
      </c>
      <c r="L29" s="1040">
        <f t="shared" si="11"/>
        <v>0.05</v>
      </c>
      <c r="M29" s="423" t="s">
        <v>1424</v>
      </c>
      <c r="N29" s="326"/>
      <c r="O29" s="332"/>
      <c r="P29" s="113" t="e">
        <f t="shared" si="12"/>
        <v>#VALUE!</v>
      </c>
      <c r="Q29" s="116" t="str">
        <f t="shared" si="13"/>
        <v/>
      </c>
      <c r="R29" s="117">
        <f t="shared" si="14"/>
        <v>66984.350000000006</v>
      </c>
      <c r="S29" s="114"/>
      <c r="T29" s="116"/>
      <c r="U29" s="116">
        <f t="shared" si="15"/>
        <v>0</v>
      </c>
      <c r="V29" s="116">
        <v>3000000</v>
      </c>
      <c r="W29" s="116" t="e">
        <f t="shared" si="16"/>
        <v>#VALUE!</v>
      </c>
      <c r="X29" s="116" t="str">
        <f t="shared" si="17"/>
        <v/>
      </c>
      <c r="Y29" s="116">
        <f t="shared" si="18"/>
        <v>0</v>
      </c>
      <c r="Z29" s="326"/>
      <c r="AA29" s="326"/>
      <c r="AB29" s="326">
        <f t="shared" si="19"/>
        <v>0</v>
      </c>
      <c r="AC29" s="332">
        <v>1800000</v>
      </c>
      <c r="AD29" s="140" t="e">
        <f t="shared" si="20"/>
        <v>#VALUE!</v>
      </c>
      <c r="AE29" s="326" t="str">
        <f t="shared" si="21"/>
        <v/>
      </c>
      <c r="AF29" s="117">
        <f t="shared" si="22"/>
        <v>0</v>
      </c>
      <c r="AG29" s="123"/>
      <c r="AH29" s="326"/>
      <c r="AI29" s="1257">
        <f t="shared" si="23"/>
        <v>4800000</v>
      </c>
      <c r="AJ29" s="140">
        <f t="shared" si="24"/>
        <v>389400.71</v>
      </c>
      <c r="AK29" s="123" t="e">
        <f t="shared" ref="AK29:AM29" si="142">AD29+W29+P29</f>
        <v>#VALUE!</v>
      </c>
      <c r="AL29" s="123" t="e">
        <f t="shared" si="142"/>
        <v>#VALUE!</v>
      </c>
      <c r="AM29" s="123">
        <f t="shared" si="142"/>
        <v>66984.350000000006</v>
      </c>
      <c r="AN29" s="123">
        <f t="shared" si="26"/>
        <v>-322416.36</v>
      </c>
      <c r="AO29" s="1317">
        <f t="shared" si="62"/>
        <v>-0.827980924842176</v>
      </c>
      <c r="AP29" s="434">
        <f t="shared" si="27"/>
        <v>0</v>
      </c>
      <c r="AQ29" s="1318" t="e">
        <f t="shared" si="28"/>
        <v>#VALUE!</v>
      </c>
      <c r="AR29" s="1319" t="str">
        <f t="shared" si="29"/>
        <v/>
      </c>
      <c r="AS29" s="1320">
        <f t="shared" si="30"/>
        <v>154590.41</v>
      </c>
      <c r="AT29" s="125">
        <f t="shared" si="31"/>
        <v>0</v>
      </c>
      <c r="AU29" s="140" t="e">
        <f t="shared" si="32"/>
        <v>#VALUE!</v>
      </c>
      <c r="AV29" s="326" t="str">
        <f t="shared" si="33"/>
        <v/>
      </c>
      <c r="AW29" s="333">
        <f t="shared" si="34"/>
        <v>81656.600000000006</v>
      </c>
      <c r="AX29" s="125">
        <f t="shared" si="35"/>
        <v>0</v>
      </c>
      <c r="AY29" s="140" t="e">
        <f t="shared" si="36"/>
        <v>#VALUE!</v>
      </c>
      <c r="AZ29" s="326" t="str">
        <f t="shared" si="37"/>
        <v/>
      </c>
      <c r="BA29" s="332">
        <f t="shared" si="38"/>
        <v>124187.57</v>
      </c>
      <c r="BB29" s="122" t="e">
        <f t="shared" ref="BB29:BD29" si="143">SUM(AY29,AU29,AQ29)</f>
        <v>#VALUE!</v>
      </c>
      <c r="BC29" s="326">
        <f t="shared" si="143"/>
        <v>0</v>
      </c>
      <c r="BD29" s="333">
        <f t="shared" si="143"/>
        <v>360434.58</v>
      </c>
      <c r="BE29" s="123" t="e">
        <f t="shared" si="40"/>
        <v>#VALUE!</v>
      </c>
      <c r="BF29" s="326">
        <f t="shared" si="41"/>
        <v>0</v>
      </c>
      <c r="BG29" s="435">
        <f t="shared" si="42"/>
        <v>427418.93000000005</v>
      </c>
      <c r="BH29" s="125">
        <f t="shared" si="43"/>
        <v>0</v>
      </c>
      <c r="BI29" s="1041" t="e">
        <f t="shared" si="44"/>
        <v>#VALUE!</v>
      </c>
      <c r="BJ29" s="123" t="str">
        <f t="shared" si="45"/>
        <v/>
      </c>
      <c r="BK29" s="326">
        <f t="shared" si="46"/>
        <v>237758.94</v>
      </c>
      <c r="BL29" s="123">
        <f t="shared" si="47"/>
        <v>689706.97</v>
      </c>
      <c r="BM29" s="113" t="e">
        <f t="shared" si="48"/>
        <v>#VALUE!</v>
      </c>
      <c r="BN29" s="116" t="str">
        <f t="shared" si="49"/>
        <v/>
      </c>
      <c r="BO29" s="115">
        <f t="shared" si="64"/>
        <v>211644.58</v>
      </c>
      <c r="BP29" s="326">
        <f t="shared" si="50"/>
        <v>308287.77</v>
      </c>
      <c r="BQ29" s="326" t="e">
        <f t="shared" si="51"/>
        <v>#VALUE!</v>
      </c>
      <c r="BR29" s="326" t="str">
        <f t="shared" si="52"/>
        <v/>
      </c>
      <c r="BS29" s="332">
        <f t="shared" si="53"/>
        <v>158591</v>
      </c>
      <c r="BT29" s="586" t="e">
        <f t="shared" ref="BT29:BV29" si="144">SUM(BQ29,BM29,BI29)</f>
        <v>#VALUE!</v>
      </c>
      <c r="BU29" s="738">
        <f t="shared" si="144"/>
        <v>0</v>
      </c>
      <c r="BV29" s="737">
        <f t="shared" si="144"/>
        <v>607994.52</v>
      </c>
      <c r="BW29" s="125">
        <f t="shared" si="55"/>
        <v>0</v>
      </c>
      <c r="BX29" s="140" t="e">
        <f t="shared" si="56"/>
        <v>#VALUE!</v>
      </c>
      <c r="BY29" s="123" t="str">
        <f t="shared" si="57"/>
        <v/>
      </c>
      <c r="BZ29" s="333">
        <f t="shared" si="58"/>
        <v>396017.68</v>
      </c>
      <c r="CA29" s="123">
        <f t="shared" si="59"/>
        <v>135665.32999999999</v>
      </c>
      <c r="CB29" s="326">
        <f t="shared" si="60"/>
        <v>253735.38</v>
      </c>
      <c r="CF29" s="294"/>
      <c r="CG29" s="294"/>
      <c r="CH29" s="294"/>
      <c r="CI29" s="294"/>
      <c r="CJ29" s="294"/>
      <c r="CK29" s="294"/>
      <c r="CL29" s="294"/>
      <c r="CM29" s="294"/>
      <c r="CN29" s="294"/>
    </row>
    <row r="30" spans="1:114" ht="15.75" customHeight="1">
      <c r="A30" s="325">
        <f t="shared" si="0"/>
        <v>112013303</v>
      </c>
      <c r="B30" s="324">
        <f t="shared" si="1"/>
        <v>22</v>
      </c>
      <c r="C30" s="558">
        <f t="shared" si="2"/>
        <v>0.1</v>
      </c>
      <c r="D30" s="558">
        <f t="shared" si="3"/>
        <v>0.09</v>
      </c>
      <c r="E30" s="715">
        <f t="shared" si="4"/>
        <v>0</v>
      </c>
      <c r="F30" s="547">
        <f t="shared" si="5"/>
        <v>22</v>
      </c>
      <c r="G30" s="699">
        <f t="shared" si="6"/>
        <v>0.1</v>
      </c>
      <c r="H30" s="699">
        <f t="shared" si="7"/>
        <v>0.09</v>
      </c>
      <c r="I30" s="702">
        <f t="shared" si="8"/>
        <v>0</v>
      </c>
      <c r="J30" s="837">
        <f t="shared" si="9"/>
        <v>63</v>
      </c>
      <c r="K30" s="699">
        <f t="shared" si="10"/>
        <v>0.1</v>
      </c>
      <c r="L30" s="1040">
        <f t="shared" si="11"/>
        <v>0.05</v>
      </c>
      <c r="M30" s="423" t="s">
        <v>1425</v>
      </c>
      <c r="N30" s="326"/>
      <c r="O30" s="332"/>
      <c r="P30" s="113" t="e">
        <f t="shared" si="12"/>
        <v>#VALUE!</v>
      </c>
      <c r="Q30" s="116" t="str">
        <f t="shared" si="13"/>
        <v/>
      </c>
      <c r="R30" s="117">
        <f t="shared" si="14"/>
        <v>664480.53</v>
      </c>
      <c r="S30" s="114"/>
      <c r="T30" s="116"/>
      <c r="U30" s="116">
        <f t="shared" si="15"/>
        <v>0</v>
      </c>
      <c r="V30" s="116">
        <v>3000000</v>
      </c>
      <c r="W30" s="116" t="e">
        <f t="shared" si="16"/>
        <v>#VALUE!</v>
      </c>
      <c r="X30" s="116" t="str">
        <f t="shared" si="17"/>
        <v/>
      </c>
      <c r="Y30" s="116">
        <f t="shared" si="18"/>
        <v>0</v>
      </c>
      <c r="Z30" s="326"/>
      <c r="AA30" s="326"/>
      <c r="AB30" s="326">
        <f t="shared" si="19"/>
        <v>0</v>
      </c>
      <c r="AC30" s="332">
        <v>1800000</v>
      </c>
      <c r="AD30" s="140" t="e">
        <f t="shared" si="20"/>
        <v>#VALUE!</v>
      </c>
      <c r="AE30" s="326" t="str">
        <f t="shared" si="21"/>
        <v/>
      </c>
      <c r="AF30" s="117">
        <f t="shared" si="22"/>
        <v>0</v>
      </c>
      <c r="AG30" s="123"/>
      <c r="AH30" s="326"/>
      <c r="AI30" s="1257">
        <f t="shared" si="23"/>
        <v>4800000</v>
      </c>
      <c r="AJ30" s="140" t="str">
        <f t="shared" si="24"/>
        <v>0</v>
      </c>
      <c r="AK30" s="123" t="e">
        <f t="shared" ref="AK30:AM30" si="145">AD30+W30+P30</f>
        <v>#VALUE!</v>
      </c>
      <c r="AL30" s="123" t="e">
        <f t="shared" si="145"/>
        <v>#VALUE!</v>
      </c>
      <c r="AM30" s="123">
        <f t="shared" si="145"/>
        <v>664480.53</v>
      </c>
      <c r="AN30" s="123">
        <f t="shared" si="26"/>
        <v>664480.53</v>
      </c>
      <c r="AO30" s="1317" t="str">
        <f t="shared" si="62"/>
        <v/>
      </c>
      <c r="AP30" s="434">
        <f t="shared" si="27"/>
        <v>0</v>
      </c>
      <c r="AQ30" s="1318" t="e">
        <f t="shared" si="28"/>
        <v>#VALUE!</v>
      </c>
      <c r="AR30" s="1319" t="str">
        <f t="shared" si="29"/>
        <v/>
      </c>
      <c r="AS30" s="1320">
        <f t="shared" si="30"/>
        <v>0</v>
      </c>
      <c r="AT30" s="125">
        <f t="shared" si="31"/>
        <v>121065</v>
      </c>
      <c r="AU30" s="140" t="e">
        <f t="shared" si="32"/>
        <v>#VALUE!</v>
      </c>
      <c r="AV30" s="326" t="str">
        <f t="shared" si="33"/>
        <v/>
      </c>
      <c r="AW30" s="333">
        <f t="shared" si="34"/>
        <v>0</v>
      </c>
      <c r="AX30" s="125">
        <f t="shared" si="35"/>
        <v>363195.23</v>
      </c>
      <c r="AY30" s="140" t="e">
        <f t="shared" si="36"/>
        <v>#VALUE!</v>
      </c>
      <c r="AZ30" s="326" t="str">
        <f t="shared" si="37"/>
        <v/>
      </c>
      <c r="BA30" s="332">
        <f t="shared" si="38"/>
        <v>0</v>
      </c>
      <c r="BB30" s="122" t="e">
        <f t="shared" ref="BB30:BD30" si="146">SUM(AY30,AU30,AQ30)</f>
        <v>#VALUE!</v>
      </c>
      <c r="BC30" s="326">
        <f t="shared" si="146"/>
        <v>0</v>
      </c>
      <c r="BD30" s="333">
        <f t="shared" si="146"/>
        <v>0</v>
      </c>
      <c r="BE30" s="123" t="e">
        <f t="shared" si="40"/>
        <v>#VALUE!</v>
      </c>
      <c r="BF30" s="326">
        <f t="shared" si="41"/>
        <v>0</v>
      </c>
      <c r="BG30" s="435">
        <f t="shared" si="42"/>
        <v>664480.53</v>
      </c>
      <c r="BH30" s="125">
        <f t="shared" si="43"/>
        <v>0</v>
      </c>
      <c r="BI30" s="1041" t="e">
        <f t="shared" si="44"/>
        <v>#VALUE!</v>
      </c>
      <c r="BJ30" s="123" t="str">
        <f t="shared" si="45"/>
        <v/>
      </c>
      <c r="BK30" s="326">
        <f t="shared" si="46"/>
        <v>0</v>
      </c>
      <c r="BL30" s="123">
        <f t="shared" si="47"/>
        <v>0</v>
      </c>
      <c r="BM30" s="113" t="e">
        <f t="shared" si="48"/>
        <v>#VALUE!</v>
      </c>
      <c r="BN30" s="116" t="str">
        <f t="shared" si="49"/>
        <v/>
      </c>
      <c r="BO30" s="115">
        <f t="shared" si="64"/>
        <v>0</v>
      </c>
      <c r="BP30" s="326">
        <f t="shared" si="50"/>
        <v>439469.7</v>
      </c>
      <c r="BQ30" s="326" t="e">
        <f t="shared" si="51"/>
        <v>#VALUE!</v>
      </c>
      <c r="BR30" s="326" t="str">
        <f t="shared" si="52"/>
        <v/>
      </c>
      <c r="BS30" s="332">
        <f t="shared" si="53"/>
        <v>0</v>
      </c>
      <c r="BT30" s="586" t="e">
        <f t="shared" ref="BT30:BV30" si="147">SUM(BQ30,BM30,BI30)</f>
        <v>#VALUE!</v>
      </c>
      <c r="BU30" s="738">
        <f t="shared" si="147"/>
        <v>0</v>
      </c>
      <c r="BV30" s="737">
        <f t="shared" si="147"/>
        <v>0</v>
      </c>
      <c r="BW30" s="125">
        <f t="shared" si="55"/>
        <v>0</v>
      </c>
      <c r="BX30" s="140" t="e">
        <f t="shared" si="56"/>
        <v>#VALUE!</v>
      </c>
      <c r="BY30" s="123" t="str">
        <f t="shared" si="57"/>
        <v/>
      </c>
      <c r="BZ30" s="333">
        <f t="shared" si="58"/>
        <v>0</v>
      </c>
      <c r="CA30" s="123">
        <f t="shared" si="59"/>
        <v>0</v>
      </c>
      <c r="CB30" s="326">
        <f t="shared" si="60"/>
        <v>0</v>
      </c>
      <c r="CF30" s="294"/>
      <c r="CG30" s="294"/>
      <c r="CH30" s="294"/>
      <c r="CI30" s="294"/>
      <c r="CJ30" s="294"/>
      <c r="CK30" s="294"/>
      <c r="CL30" s="294"/>
      <c r="CM30" s="294"/>
      <c r="CN30" s="294"/>
    </row>
    <row r="31" spans="1:114" ht="15.75" customHeight="1">
      <c r="A31" s="325">
        <f t="shared" si="0"/>
        <v>112013392</v>
      </c>
      <c r="B31" s="324">
        <f t="shared" si="1"/>
        <v>22</v>
      </c>
      <c r="C31" s="558">
        <f t="shared" si="2"/>
        <v>0.1</v>
      </c>
      <c r="D31" s="558">
        <f t="shared" si="3"/>
        <v>0.09</v>
      </c>
      <c r="E31" s="715">
        <f t="shared" si="4"/>
        <v>0</v>
      </c>
      <c r="F31" s="547">
        <f t="shared" si="5"/>
        <v>22</v>
      </c>
      <c r="G31" s="699">
        <f t="shared" si="6"/>
        <v>0.1</v>
      </c>
      <c r="H31" s="699">
        <f t="shared" si="7"/>
        <v>0.09</v>
      </c>
      <c r="I31" s="702">
        <f t="shared" si="8"/>
        <v>0</v>
      </c>
      <c r="J31" s="837">
        <f t="shared" si="9"/>
        <v>63</v>
      </c>
      <c r="K31" s="699">
        <f t="shared" si="10"/>
        <v>0.1</v>
      </c>
      <c r="L31" s="1040">
        <f t="shared" si="11"/>
        <v>0.05</v>
      </c>
      <c r="M31" s="423" t="s">
        <v>1426</v>
      </c>
      <c r="N31" s="326"/>
      <c r="O31" s="332"/>
      <c r="P31" s="113" t="e">
        <f t="shared" si="12"/>
        <v>#VALUE!</v>
      </c>
      <c r="Q31" s="116" t="str">
        <f t="shared" si="13"/>
        <v/>
      </c>
      <c r="R31" s="117">
        <f t="shared" si="14"/>
        <v>0</v>
      </c>
      <c r="S31" s="114"/>
      <c r="T31" s="116"/>
      <c r="U31" s="116">
        <f t="shared" si="15"/>
        <v>0</v>
      </c>
      <c r="V31" s="116">
        <v>3000000</v>
      </c>
      <c r="W31" s="116" t="e">
        <f t="shared" si="16"/>
        <v>#VALUE!</v>
      </c>
      <c r="X31" s="116" t="str">
        <f t="shared" si="17"/>
        <v/>
      </c>
      <c r="Y31" s="116">
        <f t="shared" si="18"/>
        <v>0</v>
      </c>
      <c r="Z31" s="326"/>
      <c r="AA31" s="326"/>
      <c r="AB31" s="326">
        <f t="shared" si="19"/>
        <v>0</v>
      </c>
      <c r="AC31" s="332">
        <v>1800000</v>
      </c>
      <c r="AD31" s="140" t="e">
        <f t="shared" si="20"/>
        <v>#VALUE!</v>
      </c>
      <c r="AE31" s="326" t="str">
        <f t="shared" si="21"/>
        <v/>
      </c>
      <c r="AF31" s="117">
        <f t="shared" si="22"/>
        <v>1284562.1599999999</v>
      </c>
      <c r="AG31" s="123"/>
      <c r="AH31" s="326"/>
      <c r="AI31" s="1257">
        <f t="shared" si="23"/>
        <v>4800000</v>
      </c>
      <c r="AJ31" s="140" t="str">
        <f t="shared" si="24"/>
        <v>0</v>
      </c>
      <c r="AK31" s="123" t="e">
        <f t="shared" ref="AK31:AM31" si="148">AD31+W31+P31</f>
        <v>#VALUE!</v>
      </c>
      <c r="AL31" s="123" t="e">
        <f t="shared" si="148"/>
        <v>#VALUE!</v>
      </c>
      <c r="AM31" s="123">
        <f t="shared" si="148"/>
        <v>1284562.1599999999</v>
      </c>
      <c r="AN31" s="123">
        <f t="shared" si="26"/>
        <v>1284562.1599999999</v>
      </c>
      <c r="AO31" s="1317" t="str">
        <f t="shared" si="62"/>
        <v/>
      </c>
      <c r="AP31" s="434">
        <f t="shared" si="27"/>
        <v>411145.44</v>
      </c>
      <c r="AQ31" s="1318" t="e">
        <f t="shared" si="28"/>
        <v>#VALUE!</v>
      </c>
      <c r="AR31" s="1319" t="str">
        <f t="shared" si="29"/>
        <v/>
      </c>
      <c r="AS31" s="1320">
        <f t="shared" si="30"/>
        <v>0</v>
      </c>
      <c r="AT31" s="125">
        <f t="shared" si="31"/>
        <v>0</v>
      </c>
      <c r="AU31" s="140" t="e">
        <f t="shared" si="32"/>
        <v>#VALUE!</v>
      </c>
      <c r="AV31" s="326" t="str">
        <f t="shared" si="33"/>
        <v/>
      </c>
      <c r="AW31" s="333">
        <f t="shared" si="34"/>
        <v>0</v>
      </c>
      <c r="AX31" s="125">
        <f t="shared" si="35"/>
        <v>0</v>
      </c>
      <c r="AY31" s="140" t="e">
        <f t="shared" si="36"/>
        <v>#VALUE!</v>
      </c>
      <c r="AZ31" s="326" t="str">
        <f t="shared" si="37"/>
        <v/>
      </c>
      <c r="BA31" s="332">
        <f t="shared" si="38"/>
        <v>0</v>
      </c>
      <c r="BB31" s="122" t="e">
        <f t="shared" ref="BB31:BD31" si="149">SUM(AY31,AU31,AQ31)</f>
        <v>#VALUE!</v>
      </c>
      <c r="BC31" s="326">
        <f t="shared" si="149"/>
        <v>0</v>
      </c>
      <c r="BD31" s="333">
        <f t="shared" si="149"/>
        <v>0</v>
      </c>
      <c r="BE31" s="123" t="e">
        <f t="shared" si="40"/>
        <v>#VALUE!</v>
      </c>
      <c r="BF31" s="326">
        <f t="shared" si="41"/>
        <v>0</v>
      </c>
      <c r="BG31" s="435">
        <f t="shared" si="42"/>
        <v>1284562.1599999999</v>
      </c>
      <c r="BH31" s="125">
        <f t="shared" si="43"/>
        <v>0</v>
      </c>
      <c r="BI31" s="1041" t="e">
        <f t="shared" si="44"/>
        <v>#VALUE!</v>
      </c>
      <c r="BJ31" s="123" t="str">
        <f t="shared" si="45"/>
        <v/>
      </c>
      <c r="BK31" s="326">
        <f t="shared" si="46"/>
        <v>0</v>
      </c>
      <c r="BL31" s="123">
        <f t="shared" si="47"/>
        <v>0</v>
      </c>
      <c r="BM31" s="113" t="e">
        <f t="shared" si="48"/>
        <v>#VALUE!</v>
      </c>
      <c r="BN31" s="116" t="str">
        <f t="shared" si="49"/>
        <v/>
      </c>
      <c r="BO31" s="115">
        <f t="shared" si="64"/>
        <v>0</v>
      </c>
      <c r="BP31" s="326">
        <f t="shared" si="50"/>
        <v>850147.53</v>
      </c>
      <c r="BQ31" s="326" t="e">
        <f t="shared" si="51"/>
        <v>#VALUE!</v>
      </c>
      <c r="BR31" s="326" t="str">
        <f t="shared" si="52"/>
        <v/>
      </c>
      <c r="BS31" s="332">
        <f t="shared" si="53"/>
        <v>0</v>
      </c>
      <c r="BT31" s="586" t="e">
        <f t="shared" ref="BT31:BV31" si="150">SUM(BQ31,BM31,BI31)</f>
        <v>#VALUE!</v>
      </c>
      <c r="BU31" s="738">
        <f t="shared" si="150"/>
        <v>0</v>
      </c>
      <c r="BV31" s="737">
        <f t="shared" si="150"/>
        <v>0</v>
      </c>
      <c r="BW31" s="125">
        <f t="shared" si="55"/>
        <v>0</v>
      </c>
      <c r="BX31" s="140" t="e">
        <f t="shared" si="56"/>
        <v>#VALUE!</v>
      </c>
      <c r="BY31" s="123" t="str">
        <f t="shared" si="57"/>
        <v/>
      </c>
      <c r="BZ31" s="333">
        <f t="shared" si="58"/>
        <v>0</v>
      </c>
      <c r="CA31" s="123">
        <f t="shared" si="59"/>
        <v>0</v>
      </c>
      <c r="CB31" s="326">
        <f t="shared" si="60"/>
        <v>0</v>
      </c>
      <c r="CF31" s="294"/>
      <c r="CG31" s="294"/>
      <c r="CH31" s="294"/>
      <c r="CI31" s="294"/>
      <c r="CJ31" s="294"/>
      <c r="CK31" s="294"/>
      <c r="CL31" s="294"/>
      <c r="CM31" s="294"/>
      <c r="CN31" s="294"/>
    </row>
    <row r="32" spans="1:114" ht="15.75" customHeight="1">
      <c r="A32" s="325">
        <f t="shared" si="0"/>
        <v>112013194</v>
      </c>
      <c r="B32" s="324">
        <f t="shared" si="1"/>
        <v>22</v>
      </c>
      <c r="C32" s="558">
        <f t="shared" si="2"/>
        <v>0.1</v>
      </c>
      <c r="D32" s="558">
        <f t="shared" si="3"/>
        <v>0.09</v>
      </c>
      <c r="E32" s="715">
        <f t="shared" si="4"/>
        <v>0</v>
      </c>
      <c r="F32" s="547">
        <f t="shared" si="5"/>
        <v>22</v>
      </c>
      <c r="G32" s="699">
        <f t="shared" si="6"/>
        <v>0.1</v>
      </c>
      <c r="H32" s="699">
        <f t="shared" si="7"/>
        <v>0.09</v>
      </c>
      <c r="I32" s="702">
        <f t="shared" si="8"/>
        <v>0</v>
      </c>
      <c r="J32" s="837">
        <f t="shared" si="9"/>
        <v>63</v>
      </c>
      <c r="K32" s="699">
        <f t="shared" si="10"/>
        <v>0.1</v>
      </c>
      <c r="L32" s="1040">
        <f t="shared" si="11"/>
        <v>0.05</v>
      </c>
      <c r="M32" s="423" t="s">
        <v>1427</v>
      </c>
      <c r="N32" s="326"/>
      <c r="O32" s="332"/>
      <c r="P32" s="113" t="e">
        <f t="shared" si="12"/>
        <v>#VALUE!</v>
      </c>
      <c r="Q32" s="116" t="str">
        <f t="shared" si="13"/>
        <v/>
      </c>
      <c r="R32" s="117">
        <f t="shared" si="14"/>
        <v>580849.16</v>
      </c>
      <c r="S32" s="114"/>
      <c r="T32" s="116"/>
      <c r="U32" s="116">
        <f t="shared" si="15"/>
        <v>0</v>
      </c>
      <c r="V32" s="116">
        <v>3000000</v>
      </c>
      <c r="W32" s="116" t="e">
        <f t="shared" si="16"/>
        <v>#VALUE!</v>
      </c>
      <c r="X32" s="116" t="str">
        <f t="shared" si="17"/>
        <v/>
      </c>
      <c r="Y32" s="116">
        <f t="shared" si="18"/>
        <v>107172.32</v>
      </c>
      <c r="Z32" s="326"/>
      <c r="AA32" s="326"/>
      <c r="AB32" s="326">
        <f t="shared" si="19"/>
        <v>0</v>
      </c>
      <c r="AC32" s="332">
        <v>1800000</v>
      </c>
      <c r="AD32" s="140" t="e">
        <f t="shared" si="20"/>
        <v>#VALUE!</v>
      </c>
      <c r="AE32" s="326" t="str">
        <f t="shared" si="21"/>
        <v/>
      </c>
      <c r="AF32" s="117">
        <f t="shared" si="22"/>
        <v>0</v>
      </c>
      <c r="AG32" s="123"/>
      <c r="AH32" s="326"/>
      <c r="AI32" s="1257">
        <f t="shared" si="23"/>
        <v>4800000</v>
      </c>
      <c r="AJ32" s="140">
        <f t="shared" si="24"/>
        <v>296140.37</v>
      </c>
      <c r="AK32" s="123" t="e">
        <f t="shared" ref="AK32:AM32" si="151">AD32+W32+P32</f>
        <v>#VALUE!</v>
      </c>
      <c r="AL32" s="123" t="e">
        <f t="shared" si="151"/>
        <v>#VALUE!</v>
      </c>
      <c r="AM32" s="123">
        <f t="shared" si="151"/>
        <v>688021.48</v>
      </c>
      <c r="AN32" s="123">
        <f t="shared" si="26"/>
        <v>391881.11</v>
      </c>
      <c r="AO32" s="1317">
        <f t="shared" si="62"/>
        <v>1.3232951319673167</v>
      </c>
      <c r="AP32" s="434">
        <f t="shared" si="27"/>
        <v>0</v>
      </c>
      <c r="AQ32" s="1318" t="e">
        <f t="shared" si="28"/>
        <v>#VALUE!</v>
      </c>
      <c r="AR32" s="1319" t="str">
        <f t="shared" si="29"/>
        <v/>
      </c>
      <c r="AS32" s="1320">
        <f t="shared" si="30"/>
        <v>0</v>
      </c>
      <c r="AT32" s="125">
        <f t="shared" si="31"/>
        <v>0</v>
      </c>
      <c r="AU32" s="140" t="e">
        <f t="shared" si="32"/>
        <v>#VALUE!</v>
      </c>
      <c r="AV32" s="326" t="str">
        <f t="shared" si="33"/>
        <v/>
      </c>
      <c r="AW32" s="333">
        <f t="shared" si="34"/>
        <v>0</v>
      </c>
      <c r="AX32" s="125">
        <f t="shared" si="35"/>
        <v>157162.37</v>
      </c>
      <c r="AY32" s="140" t="e">
        <f t="shared" si="36"/>
        <v>#VALUE!</v>
      </c>
      <c r="AZ32" s="326" t="str">
        <f t="shared" si="37"/>
        <v/>
      </c>
      <c r="BA32" s="332">
        <f t="shared" si="38"/>
        <v>157162.37</v>
      </c>
      <c r="BB32" s="122" t="e">
        <f t="shared" ref="BB32:BD32" si="152">SUM(AY32,AU32,AQ32)</f>
        <v>#VALUE!</v>
      </c>
      <c r="BC32" s="326">
        <f t="shared" si="152"/>
        <v>0</v>
      </c>
      <c r="BD32" s="333">
        <f t="shared" si="152"/>
        <v>157162.37</v>
      </c>
      <c r="BE32" s="123" t="e">
        <f t="shared" si="40"/>
        <v>#VALUE!</v>
      </c>
      <c r="BF32" s="326">
        <f t="shared" si="41"/>
        <v>0</v>
      </c>
      <c r="BG32" s="435">
        <f t="shared" si="42"/>
        <v>845183.85</v>
      </c>
      <c r="BH32" s="125">
        <f t="shared" si="43"/>
        <v>0</v>
      </c>
      <c r="BI32" s="1041" t="e">
        <f t="shared" si="44"/>
        <v>#VALUE!</v>
      </c>
      <c r="BJ32" s="123" t="str">
        <f t="shared" si="45"/>
        <v/>
      </c>
      <c r="BK32" s="326">
        <f t="shared" si="46"/>
        <v>86262.8</v>
      </c>
      <c r="BL32" s="123">
        <f t="shared" si="47"/>
        <v>0</v>
      </c>
      <c r="BM32" s="113" t="e">
        <f t="shared" si="48"/>
        <v>#VALUE!</v>
      </c>
      <c r="BN32" s="116" t="str">
        <f t="shared" si="49"/>
        <v/>
      </c>
      <c r="BO32" s="115">
        <f t="shared" si="64"/>
        <v>134476.79</v>
      </c>
      <c r="BP32" s="326">
        <f t="shared" si="50"/>
        <v>628649.46</v>
      </c>
      <c r="BQ32" s="326" t="e">
        <f t="shared" si="51"/>
        <v>#VALUE!</v>
      </c>
      <c r="BR32" s="326" t="str">
        <f t="shared" si="52"/>
        <v/>
      </c>
      <c r="BS32" s="332">
        <f t="shared" si="53"/>
        <v>0</v>
      </c>
      <c r="BT32" s="586" t="e">
        <f t="shared" ref="BT32:BV32" si="153">SUM(BQ32,BM32,BI32)</f>
        <v>#VALUE!</v>
      </c>
      <c r="BU32" s="738">
        <f t="shared" si="153"/>
        <v>0</v>
      </c>
      <c r="BV32" s="737">
        <f t="shared" si="153"/>
        <v>220739.59000000003</v>
      </c>
      <c r="BW32" s="125">
        <f t="shared" si="55"/>
        <v>0</v>
      </c>
      <c r="BX32" s="140" t="e">
        <f t="shared" si="56"/>
        <v>#VALUE!</v>
      </c>
      <c r="BY32" s="123" t="str">
        <f t="shared" si="57"/>
        <v/>
      </c>
      <c r="BZ32" s="333">
        <f t="shared" si="58"/>
        <v>320488.5</v>
      </c>
      <c r="CA32" s="123">
        <f t="shared" si="59"/>
        <v>296140.37</v>
      </c>
      <c r="CB32" s="326">
        <f t="shared" si="60"/>
        <v>0</v>
      </c>
      <c r="CF32" s="294"/>
      <c r="CG32" s="294"/>
      <c r="CH32" s="294"/>
      <c r="CI32" s="294"/>
      <c r="CJ32" s="294"/>
      <c r="CK32" s="294"/>
      <c r="CL32" s="294"/>
      <c r="CM32" s="294"/>
      <c r="CN32" s="294"/>
    </row>
    <row r="33" spans="1:92" ht="15.75" customHeight="1">
      <c r="A33" s="325">
        <f t="shared" si="0"/>
        <v>112013212</v>
      </c>
      <c r="B33" s="324">
        <f t="shared" si="1"/>
        <v>22</v>
      </c>
      <c r="C33" s="558">
        <f t="shared" si="2"/>
        <v>0.1</v>
      </c>
      <c r="D33" s="558">
        <f t="shared" si="3"/>
        <v>0.09</v>
      </c>
      <c r="E33" s="715">
        <f t="shared" si="4"/>
        <v>0</v>
      </c>
      <c r="F33" s="547">
        <f t="shared" si="5"/>
        <v>22</v>
      </c>
      <c r="G33" s="699">
        <f t="shared" si="6"/>
        <v>0.1</v>
      </c>
      <c r="H33" s="699">
        <f t="shared" si="7"/>
        <v>0.09</v>
      </c>
      <c r="I33" s="702">
        <f t="shared" si="8"/>
        <v>0</v>
      </c>
      <c r="J33" s="837">
        <f t="shared" si="9"/>
        <v>63</v>
      </c>
      <c r="K33" s="699">
        <f t="shared" si="10"/>
        <v>0.1</v>
      </c>
      <c r="L33" s="1040">
        <f t="shared" si="11"/>
        <v>0.05</v>
      </c>
      <c r="M33" s="423" t="s">
        <v>1428</v>
      </c>
      <c r="N33" s="326"/>
      <c r="O33" s="332"/>
      <c r="P33" s="113">
        <f t="shared" si="12"/>
        <v>0</v>
      </c>
      <c r="Q33" s="116">
        <f t="shared" si="13"/>
        <v>0</v>
      </c>
      <c r="R33" s="117">
        <f t="shared" si="14"/>
        <v>0</v>
      </c>
      <c r="S33" s="114"/>
      <c r="T33" s="116"/>
      <c r="U33" s="116" t="str">
        <f t="shared" si="15"/>
        <v/>
      </c>
      <c r="V33" s="116">
        <v>3000000</v>
      </c>
      <c r="W33" s="116">
        <f t="shared" si="16"/>
        <v>0</v>
      </c>
      <c r="X33" s="116">
        <f t="shared" si="17"/>
        <v>0</v>
      </c>
      <c r="Y33" s="116">
        <f t="shared" si="18"/>
        <v>0</v>
      </c>
      <c r="Z33" s="326"/>
      <c r="AA33" s="326"/>
      <c r="AB33" s="326" t="str">
        <f t="shared" si="19"/>
        <v/>
      </c>
      <c r="AC33" s="332">
        <v>1800000</v>
      </c>
      <c r="AD33" s="140">
        <f t="shared" si="20"/>
        <v>0</v>
      </c>
      <c r="AE33" s="326">
        <f t="shared" si="21"/>
        <v>0</v>
      </c>
      <c r="AF33" s="117">
        <f t="shared" si="22"/>
        <v>0</v>
      </c>
      <c r="AG33" s="123"/>
      <c r="AH33" s="326"/>
      <c r="AI33" s="1257">
        <f t="shared" si="23"/>
        <v>4800000</v>
      </c>
      <c r="AJ33" s="140" t="str">
        <f t="shared" si="24"/>
        <v>0</v>
      </c>
      <c r="AK33" s="123">
        <f t="shared" ref="AK33:AM33" si="154">AD33+W33+P33</f>
        <v>0</v>
      </c>
      <c r="AL33" s="123">
        <f t="shared" si="154"/>
        <v>0</v>
      </c>
      <c r="AM33" s="123">
        <f t="shared" si="154"/>
        <v>0</v>
      </c>
      <c r="AN33" s="123">
        <f t="shared" si="26"/>
        <v>0</v>
      </c>
      <c r="AO33" s="1317" t="str">
        <f t="shared" si="62"/>
        <v/>
      </c>
      <c r="AP33" s="434" t="str">
        <f t="shared" si="27"/>
        <v/>
      </c>
      <c r="AQ33" s="1318">
        <f t="shared" si="28"/>
        <v>0</v>
      </c>
      <c r="AR33" s="1319">
        <f t="shared" si="29"/>
        <v>0</v>
      </c>
      <c r="AS33" s="1320">
        <f t="shared" si="30"/>
        <v>0</v>
      </c>
      <c r="AT33" s="125"/>
      <c r="AU33" s="140">
        <f t="shared" si="32"/>
        <v>71222.820000000007</v>
      </c>
      <c r="AV33" s="326">
        <f t="shared" si="33"/>
        <v>0</v>
      </c>
      <c r="AW33" s="333">
        <f t="shared" si="34"/>
        <v>71222.820000000007</v>
      </c>
      <c r="AX33" s="125"/>
      <c r="AY33" s="140">
        <f t="shared" si="36"/>
        <v>86739.71</v>
      </c>
      <c r="AZ33" s="326">
        <f t="shared" si="37"/>
        <v>0</v>
      </c>
      <c r="BA33" s="332">
        <f t="shared" si="38"/>
        <v>86739.71</v>
      </c>
      <c r="BB33" s="122">
        <f t="shared" ref="BB33:BD33" si="155">SUM(AY33,AU33,AQ33)</f>
        <v>157962.53000000003</v>
      </c>
      <c r="BC33" s="326">
        <f t="shared" si="155"/>
        <v>0</v>
      </c>
      <c r="BD33" s="333">
        <f t="shared" si="155"/>
        <v>157962.53000000003</v>
      </c>
      <c r="BE33" s="123">
        <f t="shared" si="40"/>
        <v>157962.53000000003</v>
      </c>
      <c r="BF33" s="326">
        <f t="shared" si="41"/>
        <v>0</v>
      </c>
      <c r="BG33" s="435">
        <f t="shared" si="42"/>
        <v>157962.53000000003</v>
      </c>
      <c r="BH33" s="125"/>
      <c r="BI33" s="1041">
        <f t="shared" si="44"/>
        <v>156848.68</v>
      </c>
      <c r="BJ33" s="123">
        <f t="shared" si="45"/>
        <v>8909.1</v>
      </c>
      <c r="BK33" s="326">
        <f t="shared" si="46"/>
        <v>165757.78</v>
      </c>
      <c r="BL33" s="123"/>
      <c r="BM33" s="113">
        <f t="shared" si="48"/>
        <v>87296.7</v>
      </c>
      <c r="BN33" s="116">
        <f t="shared" si="49"/>
        <v>0</v>
      </c>
      <c r="BO33" s="115">
        <f t="shared" si="64"/>
        <v>87296.7</v>
      </c>
      <c r="BP33" s="326"/>
      <c r="BQ33" s="326">
        <f t="shared" si="51"/>
        <v>62627.72</v>
      </c>
      <c r="BR33" s="326">
        <f t="shared" si="52"/>
        <v>0</v>
      </c>
      <c r="BS33" s="332">
        <f t="shared" si="53"/>
        <v>62627.72</v>
      </c>
      <c r="BT33" s="586">
        <f t="shared" ref="BT33:BV33" si="156">SUM(BQ33,BM33,BI33)</f>
        <v>306773.09999999998</v>
      </c>
      <c r="BU33" s="738">
        <f t="shared" si="156"/>
        <v>8909.1</v>
      </c>
      <c r="BV33" s="737">
        <f t="shared" si="156"/>
        <v>315682.19999999995</v>
      </c>
      <c r="BW33" s="125"/>
      <c r="BX33" s="140">
        <f t="shared" si="56"/>
        <v>0</v>
      </c>
      <c r="BY33" s="123">
        <f t="shared" si="57"/>
        <v>0</v>
      </c>
      <c r="BZ33" s="333">
        <f t="shared" si="58"/>
        <v>0</v>
      </c>
      <c r="CA33" s="123"/>
      <c r="CB33" s="326"/>
      <c r="CF33" s="294"/>
      <c r="CG33" s="294"/>
      <c r="CH33" s="294"/>
      <c r="CI33" s="294"/>
      <c r="CJ33" s="294"/>
      <c r="CK33" s="294"/>
      <c r="CL33" s="294"/>
      <c r="CM33" s="294"/>
      <c r="CN33" s="294"/>
    </row>
    <row r="34" spans="1:92" ht="15.75" customHeight="1">
      <c r="A34" s="325">
        <f t="shared" ref="A34:A65" si="157">VLOOKUP(M34,lavcart4,3,FALSE)</f>
        <v>112014574</v>
      </c>
      <c r="B34" s="324">
        <f t="shared" ref="B34:B65" si="158">VLOOKUP(M34,LAVENIACARTERA,2,FALSE)</f>
        <v>22</v>
      </c>
      <c r="C34" s="558">
        <f t="shared" ref="C34:C65" si="159">IFERROR(VLOOKUP(B34,DES,2,FALSE),"")</f>
        <v>0.1</v>
      </c>
      <c r="D34" s="558">
        <f t="shared" ref="D34:D65" si="160">IFERROR(VLOOKUP(B34,DES,3,FALSE),"")</f>
        <v>0.09</v>
      </c>
      <c r="E34" s="715">
        <f t="shared" ref="E34:E65" si="161">IFERROR(VLOOKUP(B34,DES,4,FALSE),"")</f>
        <v>0</v>
      </c>
      <c r="F34" s="547">
        <f t="shared" ref="F34:F65" si="162">VLOOKUP(M34,LAVENIACART2,2,FALSE)</f>
        <v>22</v>
      </c>
      <c r="G34" s="699">
        <f t="shared" ref="G34:G65" si="163">IFERROR(VLOOKUP(F34,DES,2,FALSE),"")</f>
        <v>0.1</v>
      </c>
      <c r="H34" s="699">
        <f t="shared" ref="H34:H65" si="164">IFERROR(VLOOKUP(F34,DES,3,FALSE),"")</f>
        <v>0.09</v>
      </c>
      <c r="I34" s="702">
        <f t="shared" ref="I34:I65" si="165">IFERROR(VLOOKUP(F34,DES,4,FALSE),"")</f>
        <v>0</v>
      </c>
      <c r="J34" s="837">
        <f t="shared" ref="J34:J65" si="166">VLOOKUP(M34,lavcart4,2,FALSE)</f>
        <v>63</v>
      </c>
      <c r="K34" s="699">
        <f t="shared" ref="K34:K65" si="167">VLOOKUP(J34,A458DC1025,2,FALSE)</f>
        <v>0.1</v>
      </c>
      <c r="L34" s="1040">
        <f t="shared" ref="L34:L70" si="168">VLOOKUP(J34,A458DC1025,3,FALSE)</f>
        <v>0.05</v>
      </c>
      <c r="M34" s="423" t="s">
        <v>1429</v>
      </c>
      <c r="N34" s="326"/>
      <c r="O34" s="332"/>
      <c r="P34" s="113" t="e">
        <f t="shared" si="12"/>
        <v>#VALUE!</v>
      </c>
      <c r="Q34" s="116" t="str">
        <f t="shared" ref="Q34:Q65" si="169">IFERROR(VLOOKUP(M34,VANEALIM,3,FALSE),"")</f>
        <v/>
      </c>
      <c r="R34" s="117">
        <f t="shared" ref="R34:R65" si="170">IFERROR(VLOOKUP(M34,LAVEFC,3,FALSE),"0")</f>
        <v>36174.720000000001</v>
      </c>
      <c r="S34" s="114"/>
      <c r="T34" s="116"/>
      <c r="U34" s="116">
        <f t="shared" ref="U34:U65" si="171">IFERROR(VLOOKUP(M34,tmkpechhhh24,4,FALSE),"")</f>
        <v>0</v>
      </c>
      <c r="V34" s="116">
        <v>3000000</v>
      </c>
      <c r="W34" s="116" t="e">
        <f t="shared" si="16"/>
        <v>#VALUE!</v>
      </c>
      <c r="X34" s="116" t="str">
        <f t="shared" ref="X34:X65" si="172">IFERROR(VLOOKUP(M34,VANEALIM,4,FALSE),"")</f>
        <v/>
      </c>
      <c r="Y34" s="116">
        <f t="shared" ref="Y34:Y65" si="173">IFERROR(VLOOKUP(M34,LAVEFC,4,FALSE),"0")</f>
        <v>130583.57</v>
      </c>
      <c r="Z34" s="326"/>
      <c r="AA34" s="326"/>
      <c r="AB34" s="326">
        <f t="shared" ref="AB34:AB65" si="174">IFERROR(VLOOKUP(M34,tmkpechhhh24,5,FALSE),"")</f>
        <v>0</v>
      </c>
      <c r="AC34" s="332">
        <v>1800000</v>
      </c>
      <c r="AD34" s="140" t="e">
        <f t="shared" si="20"/>
        <v>#VALUE!</v>
      </c>
      <c r="AE34" s="326" t="str">
        <f t="shared" ref="AE34:AE65" si="175">IFERROR(VLOOKUP(M34,VANEALIM,5,FALSE),"")</f>
        <v/>
      </c>
      <c r="AF34" s="117">
        <f t="shared" ref="AF34:AF65" si="176">IFERROR(VLOOKUP(M34,LAVEFC,5,FALSE),"0")</f>
        <v>0</v>
      </c>
      <c r="AG34" s="123"/>
      <c r="AH34" s="326"/>
      <c r="AI34" s="1257">
        <f t="shared" si="23"/>
        <v>4800000</v>
      </c>
      <c r="AJ34" s="140">
        <f t="shared" ref="AJ34:AJ65" si="177">IFERROR(VLOOKUP(M34,trim2024,2,FALSE),"0")</f>
        <v>887716.62</v>
      </c>
      <c r="AK34" s="123" t="e">
        <f t="shared" ref="AK34:AM34" si="178">AD34+W34+P34</f>
        <v>#VALUE!</v>
      </c>
      <c r="AL34" s="123" t="e">
        <f t="shared" si="178"/>
        <v>#VALUE!</v>
      </c>
      <c r="AM34" s="123">
        <f t="shared" si="178"/>
        <v>166758.29</v>
      </c>
      <c r="AN34" s="123">
        <f t="shared" si="26"/>
        <v>-720958.33</v>
      </c>
      <c r="AO34" s="1317">
        <f t="shared" si="62"/>
        <v>-0.81214918562637695</v>
      </c>
      <c r="AP34" s="434">
        <f t="shared" ref="AP34:AP65" si="179">IFERROR(VLOOKUP(M34,tmkpechhhh24,6,FALSE),"")</f>
        <v>0</v>
      </c>
      <c r="AQ34" s="1318" t="e">
        <f t="shared" si="28"/>
        <v>#VALUE!</v>
      </c>
      <c r="AR34" s="1319" t="str">
        <f t="shared" ref="AR34:AR65" si="180">IFERROR(VLOOKUP(M34,VANEALIM,6,FALSE),"")</f>
        <v/>
      </c>
      <c r="AS34" s="1320">
        <f t="shared" ref="AS34:AS65" si="181">IFERROR(VLOOKUP(M34,LAVEFC,6,FALSE),"0")</f>
        <v>0</v>
      </c>
      <c r="AT34" s="125">
        <f t="shared" ref="AT34:AT74" si="182">IFERROR(VLOOKUP(M34,tmkpechhhh24,7,FALSE),"")</f>
        <v>0</v>
      </c>
      <c r="AU34" s="140" t="e">
        <f t="shared" si="32"/>
        <v>#VALUE!</v>
      </c>
      <c r="AV34" s="326" t="str">
        <f t="shared" ref="AV34:AV65" si="183">IFERROR(VLOOKUP(M34,VANEALIM,7,FALSE),"")</f>
        <v/>
      </c>
      <c r="AW34" s="333">
        <f t="shared" ref="AW34:AW65" si="184">IFERROR(VLOOKUP(M34,LAVEFC,7,FALSE),"0")</f>
        <v>22757.56</v>
      </c>
      <c r="AX34" s="125">
        <f t="shared" ref="AX34:AX74" si="185">IFERROR(VLOOKUP(M34,tmkpechhhh24,8,FALSE),"")</f>
        <v>0</v>
      </c>
      <c r="AY34" s="140" t="e">
        <f t="shared" si="36"/>
        <v>#VALUE!</v>
      </c>
      <c r="AZ34" s="326" t="str">
        <f t="shared" ref="AZ34:AZ65" si="186">IFERROR(VLOOKUP(M34,VANEALIM,8,FALSE),"")</f>
        <v/>
      </c>
      <c r="BA34" s="332">
        <f t="shared" ref="BA34:BA65" si="187">IFERROR(VLOOKUP(M34,LAVEFC,8,FALSE),"0")</f>
        <v>1012.76</v>
      </c>
      <c r="BB34" s="122" t="e">
        <f t="shared" ref="BB34:BD34" si="188">SUM(AY34,AU34,AQ34)</f>
        <v>#VALUE!</v>
      </c>
      <c r="BC34" s="326">
        <f t="shared" si="188"/>
        <v>0</v>
      </c>
      <c r="BD34" s="333">
        <f t="shared" si="188"/>
        <v>23770.32</v>
      </c>
      <c r="BE34" s="123" t="e">
        <f t="shared" si="40"/>
        <v>#VALUE!</v>
      </c>
      <c r="BF34" s="326">
        <f t="shared" si="41"/>
        <v>0</v>
      </c>
      <c r="BG34" s="435">
        <f t="shared" si="42"/>
        <v>190528.61000000002</v>
      </c>
      <c r="BH34" s="125">
        <f t="shared" ref="BH34:BH74" si="189">IFERROR(VLOOKUP(M34,tmkpechhhh24,9,FALSE),"")</f>
        <v>0</v>
      </c>
      <c r="BI34" s="1041" t="e">
        <f t="shared" si="44"/>
        <v>#VALUE!</v>
      </c>
      <c r="BJ34" s="123" t="str">
        <f t="shared" ref="BJ34:BJ65" si="190">IFERROR(VLOOKUP(M34,VANEALIM,9,FALSE),"")</f>
        <v/>
      </c>
      <c r="BK34" s="326">
        <f t="shared" ref="BK34:BK65" si="191">IFERROR(VLOOKUP(M34,LAVEFC,9,FALSE),"0")</f>
        <v>0</v>
      </c>
      <c r="BL34" s="123">
        <f t="shared" ref="BL34:BL74" si="192">IFERROR(VLOOKUP(M34,tmkpechhhh24,10,FALSE),"")</f>
        <v>0</v>
      </c>
      <c r="BM34" s="113" t="e">
        <f t="shared" si="48"/>
        <v>#VALUE!</v>
      </c>
      <c r="BN34" s="116" t="str">
        <f t="shared" ref="BN34:BN65" si="193">IFERROR(VLOOKUP(M34,VANEALIM,10,FALSE),"")</f>
        <v/>
      </c>
      <c r="BO34" s="115">
        <f t="shared" si="64"/>
        <v>134977.17000000001</v>
      </c>
      <c r="BP34" s="326">
        <f t="shared" ref="BP34:BP74" si="194">IFERROR(VLOOKUP(M34,tmkpechhhh24,11,FALSE),"")</f>
        <v>200577.11</v>
      </c>
      <c r="BQ34" s="326" t="e">
        <f t="shared" si="51"/>
        <v>#VALUE!</v>
      </c>
      <c r="BR34" s="326" t="str">
        <f t="shared" ref="BR34:BR65" si="195">IFERROR(VLOOKUP(M34,VANEALIM,11,FALSE),"")</f>
        <v/>
      </c>
      <c r="BS34" s="332">
        <f t="shared" ref="BS34:BS65" si="196">IFERROR(VLOOKUP(M34,LAVEFC,11,FALSE),"")</f>
        <v>69406.399999999994</v>
      </c>
      <c r="BT34" s="586" t="e">
        <f t="shared" ref="BT34:BV34" si="197">SUM(BQ34,BM34,BI34)</f>
        <v>#VALUE!</v>
      </c>
      <c r="BU34" s="738">
        <f t="shared" si="197"/>
        <v>0</v>
      </c>
      <c r="BV34" s="737">
        <f t="shared" si="197"/>
        <v>204383.57</v>
      </c>
      <c r="BW34" s="125">
        <f t="shared" ref="BW34:BW74" si="198">IFERROR(VLOOKUP(M34,tmkpechhhh24,12,FALSE),"")</f>
        <v>139290.73000000001</v>
      </c>
      <c r="BX34" s="140" t="e">
        <f t="shared" si="56"/>
        <v>#VALUE!</v>
      </c>
      <c r="BY34" s="123" t="str">
        <f t="shared" ref="BY34:BY65" si="199">IFERROR(VLOOKUP(M34,VANEALIM,12,FALSE),"")</f>
        <v/>
      </c>
      <c r="BZ34" s="333">
        <f t="shared" ref="BZ34:BZ65" si="200">IFERROR(VLOOKUP(M34,LAVEFC,12,FALSE),"")</f>
        <v>0</v>
      </c>
      <c r="CA34" s="123">
        <f t="shared" ref="CA34:CA74" si="201">IFERROR(VLOOKUP(M34,tmkpechhhh24,13,FALSE),"")</f>
        <v>504998.39</v>
      </c>
      <c r="CB34" s="326">
        <f t="shared" ref="CB34:CB74" si="202">IFERROR(VLOOKUP(M34,tmkpechhhh24,14,FALSE),"")</f>
        <v>243427.51</v>
      </c>
      <c r="CF34" s="294"/>
      <c r="CG34" s="294"/>
      <c r="CH34" s="294"/>
      <c r="CI34" s="294"/>
      <c r="CJ34" s="294"/>
      <c r="CK34" s="294"/>
      <c r="CL34" s="294"/>
      <c r="CM34" s="294"/>
      <c r="CN34" s="294"/>
    </row>
    <row r="35" spans="1:92" ht="15.75" customHeight="1">
      <c r="A35" s="325">
        <f t="shared" si="157"/>
        <v>112014479</v>
      </c>
      <c r="B35" s="324">
        <f t="shared" si="158"/>
        <v>22</v>
      </c>
      <c r="C35" s="558">
        <f t="shared" si="159"/>
        <v>0.1</v>
      </c>
      <c r="D35" s="558">
        <f t="shared" si="160"/>
        <v>0.09</v>
      </c>
      <c r="E35" s="715">
        <f t="shared" si="161"/>
        <v>0</v>
      </c>
      <c r="F35" s="547">
        <f t="shared" si="162"/>
        <v>22</v>
      </c>
      <c r="G35" s="699">
        <f t="shared" si="163"/>
        <v>0.1</v>
      </c>
      <c r="H35" s="699">
        <f t="shared" si="164"/>
        <v>0.09</v>
      </c>
      <c r="I35" s="702">
        <f t="shared" si="165"/>
        <v>0</v>
      </c>
      <c r="J35" s="837">
        <f t="shared" si="166"/>
        <v>63</v>
      </c>
      <c r="K35" s="699">
        <f t="shared" si="167"/>
        <v>0.1</v>
      </c>
      <c r="L35" s="1040">
        <f t="shared" si="168"/>
        <v>0.05</v>
      </c>
      <c r="M35" s="423" t="s">
        <v>1430</v>
      </c>
      <c r="N35" s="326"/>
      <c r="O35" s="332"/>
      <c r="P35" s="113" t="e">
        <f t="shared" si="12"/>
        <v>#VALUE!</v>
      </c>
      <c r="Q35" s="116" t="str">
        <f t="shared" si="169"/>
        <v/>
      </c>
      <c r="R35" s="117" t="str">
        <f t="shared" si="170"/>
        <v>0</v>
      </c>
      <c r="S35" s="114"/>
      <c r="T35" s="116"/>
      <c r="U35" s="116">
        <f t="shared" si="171"/>
        <v>0</v>
      </c>
      <c r="V35" s="116">
        <v>3000000</v>
      </c>
      <c r="W35" s="116" t="e">
        <f t="shared" si="16"/>
        <v>#VALUE!</v>
      </c>
      <c r="X35" s="116" t="str">
        <f t="shared" si="172"/>
        <v/>
      </c>
      <c r="Y35" s="116" t="str">
        <f t="shared" si="173"/>
        <v>0</v>
      </c>
      <c r="Z35" s="326"/>
      <c r="AA35" s="326"/>
      <c r="AB35" s="326">
        <f t="shared" si="174"/>
        <v>0</v>
      </c>
      <c r="AC35" s="332">
        <v>1800000</v>
      </c>
      <c r="AD35" s="140" t="e">
        <f t="shared" si="20"/>
        <v>#VALUE!</v>
      </c>
      <c r="AE35" s="326" t="str">
        <f t="shared" si="175"/>
        <v/>
      </c>
      <c r="AF35" s="117" t="str">
        <f t="shared" si="176"/>
        <v>0</v>
      </c>
      <c r="AG35" s="123"/>
      <c r="AH35" s="326"/>
      <c r="AI35" s="1257">
        <f t="shared" si="23"/>
        <v>4800000</v>
      </c>
      <c r="AJ35" s="140" t="str">
        <f t="shared" si="177"/>
        <v>0</v>
      </c>
      <c r="AK35" s="123" t="e">
        <f t="shared" ref="AK35:AM35" si="203">AD35+W35+P35</f>
        <v>#VALUE!</v>
      </c>
      <c r="AL35" s="123" t="e">
        <f t="shared" si="203"/>
        <v>#VALUE!</v>
      </c>
      <c r="AM35" s="123">
        <f t="shared" si="203"/>
        <v>0</v>
      </c>
      <c r="AN35" s="123">
        <f t="shared" si="26"/>
        <v>0</v>
      </c>
      <c r="AO35" s="1317" t="str">
        <f t="shared" si="62"/>
        <v/>
      </c>
      <c r="AP35" s="434">
        <f t="shared" si="179"/>
        <v>0</v>
      </c>
      <c r="AQ35" s="1318" t="e">
        <f t="shared" si="28"/>
        <v>#VALUE!</v>
      </c>
      <c r="AR35" s="1319" t="str">
        <f t="shared" si="180"/>
        <v/>
      </c>
      <c r="AS35" s="1320" t="str">
        <f t="shared" si="181"/>
        <v>0</v>
      </c>
      <c r="AT35" s="125">
        <f t="shared" si="182"/>
        <v>0</v>
      </c>
      <c r="AU35" s="140" t="e">
        <f t="shared" si="32"/>
        <v>#VALUE!</v>
      </c>
      <c r="AV35" s="326" t="str">
        <f t="shared" si="183"/>
        <v/>
      </c>
      <c r="AW35" s="333" t="str">
        <f t="shared" si="184"/>
        <v>0</v>
      </c>
      <c r="AX35" s="125">
        <f t="shared" si="185"/>
        <v>0</v>
      </c>
      <c r="AY35" s="140" t="e">
        <f t="shared" si="36"/>
        <v>#VALUE!</v>
      </c>
      <c r="AZ35" s="326" t="str">
        <f t="shared" si="186"/>
        <v/>
      </c>
      <c r="BA35" s="332" t="str">
        <f t="shared" si="187"/>
        <v>0</v>
      </c>
      <c r="BB35" s="122" t="e">
        <f t="shared" ref="BB35:BD35" si="204">SUM(AY35,AU35,AQ35)</f>
        <v>#VALUE!</v>
      </c>
      <c r="BC35" s="326">
        <f t="shared" si="204"/>
        <v>0</v>
      </c>
      <c r="BD35" s="333">
        <f t="shared" si="204"/>
        <v>0</v>
      </c>
      <c r="BE35" s="123" t="e">
        <f t="shared" si="40"/>
        <v>#VALUE!</v>
      </c>
      <c r="BF35" s="326">
        <f t="shared" si="41"/>
        <v>0</v>
      </c>
      <c r="BG35" s="435">
        <f t="shared" si="42"/>
        <v>0</v>
      </c>
      <c r="BH35" s="125">
        <f t="shared" si="189"/>
        <v>65836.92</v>
      </c>
      <c r="BI35" s="1041" t="e">
        <f t="shared" si="44"/>
        <v>#VALUE!</v>
      </c>
      <c r="BJ35" s="123" t="str">
        <f t="shared" si="190"/>
        <v/>
      </c>
      <c r="BK35" s="326" t="str">
        <f t="shared" si="191"/>
        <v>0</v>
      </c>
      <c r="BL35" s="123">
        <f t="shared" si="192"/>
        <v>0</v>
      </c>
      <c r="BM35" s="113" t="e">
        <f t="shared" si="48"/>
        <v>#VALUE!</v>
      </c>
      <c r="BN35" s="116" t="str">
        <f t="shared" si="193"/>
        <v/>
      </c>
      <c r="BO35" s="115" t="str">
        <f t="shared" ref="BO35:BO66" si="205">IFERROR(VLOOKUP(M35,LAVEFC,10,FALSE),"0")</f>
        <v>0</v>
      </c>
      <c r="BP35" s="326">
        <f t="shared" si="194"/>
        <v>0</v>
      </c>
      <c r="BQ35" s="326" t="e">
        <f t="shared" si="51"/>
        <v>#VALUE!</v>
      </c>
      <c r="BR35" s="326" t="str">
        <f t="shared" si="195"/>
        <v/>
      </c>
      <c r="BS35" s="332" t="str">
        <f t="shared" si="196"/>
        <v/>
      </c>
      <c r="BT35" s="586" t="e">
        <f t="shared" ref="BT35:BV35" si="206">SUM(BQ35,BM35,BI35)</f>
        <v>#VALUE!</v>
      </c>
      <c r="BU35" s="738">
        <f t="shared" si="206"/>
        <v>0</v>
      </c>
      <c r="BV35" s="737">
        <f t="shared" si="206"/>
        <v>0</v>
      </c>
      <c r="BW35" s="125">
        <f t="shared" si="198"/>
        <v>0</v>
      </c>
      <c r="BX35" s="140" t="e">
        <f t="shared" si="56"/>
        <v>#VALUE!</v>
      </c>
      <c r="BY35" s="123" t="str">
        <f t="shared" si="199"/>
        <v/>
      </c>
      <c r="BZ35" s="333" t="str">
        <f t="shared" si="200"/>
        <v/>
      </c>
      <c r="CA35" s="123">
        <f t="shared" si="201"/>
        <v>0</v>
      </c>
      <c r="CB35" s="326">
        <f t="shared" si="202"/>
        <v>0</v>
      </c>
      <c r="CF35" s="294"/>
      <c r="CG35" s="294"/>
      <c r="CH35" s="294"/>
      <c r="CI35" s="294"/>
      <c r="CJ35" s="294"/>
      <c r="CK35" s="294"/>
      <c r="CL35" s="294"/>
      <c r="CM35" s="294"/>
      <c r="CN35" s="294"/>
    </row>
    <row r="36" spans="1:92" ht="15.75" customHeight="1">
      <c r="A36" s="325">
        <f t="shared" si="157"/>
        <v>112014387</v>
      </c>
      <c r="B36" s="324">
        <f t="shared" si="158"/>
        <v>22</v>
      </c>
      <c r="C36" s="558">
        <f t="shared" si="159"/>
        <v>0.1</v>
      </c>
      <c r="D36" s="558">
        <f t="shared" si="160"/>
        <v>0.09</v>
      </c>
      <c r="E36" s="715">
        <f t="shared" si="161"/>
        <v>0</v>
      </c>
      <c r="F36" s="547">
        <f t="shared" si="162"/>
        <v>22</v>
      </c>
      <c r="G36" s="699">
        <f t="shared" si="163"/>
        <v>0.1</v>
      </c>
      <c r="H36" s="699">
        <f t="shared" si="164"/>
        <v>0.09</v>
      </c>
      <c r="I36" s="702">
        <f t="shared" si="165"/>
        <v>0</v>
      </c>
      <c r="J36" s="837">
        <f t="shared" si="166"/>
        <v>63</v>
      </c>
      <c r="K36" s="699">
        <f t="shared" si="167"/>
        <v>0.1</v>
      </c>
      <c r="L36" s="1040">
        <f t="shared" si="168"/>
        <v>0.05</v>
      </c>
      <c r="M36" s="423" t="s">
        <v>1431</v>
      </c>
      <c r="N36" s="326"/>
      <c r="O36" s="332"/>
      <c r="P36" s="113" t="e">
        <f t="shared" si="12"/>
        <v>#VALUE!</v>
      </c>
      <c r="Q36" s="116" t="str">
        <f t="shared" si="169"/>
        <v/>
      </c>
      <c r="R36" s="117">
        <f t="shared" si="170"/>
        <v>0</v>
      </c>
      <c r="S36" s="114"/>
      <c r="T36" s="116"/>
      <c r="U36" s="116">
        <f t="shared" si="171"/>
        <v>0</v>
      </c>
      <c r="V36" s="116">
        <v>3000000</v>
      </c>
      <c r="W36" s="116" t="e">
        <f t="shared" si="16"/>
        <v>#VALUE!</v>
      </c>
      <c r="X36" s="116" t="str">
        <f t="shared" si="172"/>
        <v/>
      </c>
      <c r="Y36" s="116">
        <f t="shared" si="173"/>
        <v>0</v>
      </c>
      <c r="Z36" s="326"/>
      <c r="AA36" s="326"/>
      <c r="AB36" s="326">
        <f t="shared" si="174"/>
        <v>150035.69</v>
      </c>
      <c r="AC36" s="332">
        <v>1800000</v>
      </c>
      <c r="AD36" s="140" t="e">
        <f t="shared" si="20"/>
        <v>#VALUE!</v>
      </c>
      <c r="AE36" s="326" t="str">
        <f t="shared" si="175"/>
        <v/>
      </c>
      <c r="AF36" s="117">
        <f t="shared" si="176"/>
        <v>0</v>
      </c>
      <c r="AG36" s="123"/>
      <c r="AH36" s="326"/>
      <c r="AI36" s="1257">
        <f t="shared" si="23"/>
        <v>4800000</v>
      </c>
      <c r="AJ36" s="140">
        <f t="shared" si="177"/>
        <v>668105.78</v>
      </c>
      <c r="AK36" s="123" t="e">
        <f t="shared" ref="AK36:AM36" si="207">AD36+W36+P36</f>
        <v>#VALUE!</v>
      </c>
      <c r="AL36" s="123" t="e">
        <f t="shared" si="207"/>
        <v>#VALUE!</v>
      </c>
      <c r="AM36" s="123">
        <f t="shared" si="207"/>
        <v>0</v>
      </c>
      <c r="AN36" s="123">
        <f t="shared" si="26"/>
        <v>-668105.78</v>
      </c>
      <c r="AO36" s="1317">
        <f t="shared" si="62"/>
        <v>-1</v>
      </c>
      <c r="AP36" s="434">
        <f t="shared" si="179"/>
        <v>0</v>
      </c>
      <c r="AQ36" s="1318" t="e">
        <f t="shared" si="28"/>
        <v>#VALUE!</v>
      </c>
      <c r="AR36" s="1319" t="str">
        <f t="shared" si="180"/>
        <v/>
      </c>
      <c r="AS36" s="1320">
        <f t="shared" si="181"/>
        <v>0</v>
      </c>
      <c r="AT36" s="125">
        <f t="shared" si="182"/>
        <v>82626.070000000007</v>
      </c>
      <c r="AU36" s="140" t="e">
        <f t="shared" si="32"/>
        <v>#VALUE!</v>
      </c>
      <c r="AV36" s="326" t="str">
        <f t="shared" si="183"/>
        <v/>
      </c>
      <c r="AW36" s="333">
        <f t="shared" si="184"/>
        <v>0</v>
      </c>
      <c r="AX36" s="125">
        <f t="shared" si="185"/>
        <v>118745.03</v>
      </c>
      <c r="AY36" s="140" t="e">
        <f t="shared" si="36"/>
        <v>#VALUE!</v>
      </c>
      <c r="AZ36" s="326" t="str">
        <f t="shared" si="186"/>
        <v/>
      </c>
      <c r="BA36" s="332">
        <f t="shared" si="187"/>
        <v>0</v>
      </c>
      <c r="BB36" s="122" t="e">
        <f t="shared" ref="BB36:BD36" si="208">SUM(AY36,AU36,AQ36)</f>
        <v>#VALUE!</v>
      </c>
      <c r="BC36" s="326">
        <f t="shared" si="208"/>
        <v>0</v>
      </c>
      <c r="BD36" s="333">
        <f t="shared" si="208"/>
        <v>0</v>
      </c>
      <c r="BE36" s="123" t="e">
        <f t="shared" si="40"/>
        <v>#VALUE!</v>
      </c>
      <c r="BF36" s="326">
        <f t="shared" si="41"/>
        <v>0</v>
      </c>
      <c r="BG36" s="435">
        <f t="shared" si="42"/>
        <v>0</v>
      </c>
      <c r="BH36" s="125">
        <f t="shared" si="189"/>
        <v>132741.29999999999</v>
      </c>
      <c r="BI36" s="1041" t="e">
        <f t="shared" si="44"/>
        <v>#VALUE!</v>
      </c>
      <c r="BJ36" s="123" t="str">
        <f t="shared" si="190"/>
        <v/>
      </c>
      <c r="BK36" s="326">
        <f t="shared" si="191"/>
        <v>118980</v>
      </c>
      <c r="BL36" s="123">
        <f t="shared" si="192"/>
        <v>0</v>
      </c>
      <c r="BM36" s="113" t="e">
        <f t="shared" si="48"/>
        <v>#VALUE!</v>
      </c>
      <c r="BN36" s="116" t="str">
        <f t="shared" si="193"/>
        <v/>
      </c>
      <c r="BO36" s="115">
        <f t="shared" si="205"/>
        <v>121468.5</v>
      </c>
      <c r="BP36" s="326">
        <f t="shared" si="194"/>
        <v>237734.7</v>
      </c>
      <c r="BQ36" s="326" t="e">
        <f t="shared" si="51"/>
        <v>#VALUE!</v>
      </c>
      <c r="BR36" s="326" t="str">
        <f t="shared" si="195"/>
        <v/>
      </c>
      <c r="BS36" s="332">
        <f t="shared" si="196"/>
        <v>0</v>
      </c>
      <c r="BT36" s="586" t="e">
        <f t="shared" ref="BT36:BV36" si="209">SUM(BQ36,BM36,BI36)</f>
        <v>#VALUE!</v>
      </c>
      <c r="BU36" s="738">
        <f t="shared" si="209"/>
        <v>0</v>
      </c>
      <c r="BV36" s="737">
        <f t="shared" si="209"/>
        <v>240448.5</v>
      </c>
      <c r="BW36" s="125">
        <f t="shared" si="198"/>
        <v>123876</v>
      </c>
      <c r="BX36" s="140" t="e">
        <f t="shared" si="56"/>
        <v>#VALUE!</v>
      </c>
      <c r="BY36" s="123" t="str">
        <f t="shared" si="199"/>
        <v/>
      </c>
      <c r="BZ36" s="333">
        <f t="shared" si="200"/>
        <v>151049.63</v>
      </c>
      <c r="CA36" s="123">
        <f t="shared" si="201"/>
        <v>427816.6</v>
      </c>
      <c r="CB36" s="326">
        <f t="shared" si="202"/>
        <v>116413.18</v>
      </c>
      <c r="CF36" s="294"/>
      <c r="CG36" s="294"/>
      <c r="CH36" s="294"/>
      <c r="CI36" s="294"/>
      <c r="CJ36" s="294"/>
      <c r="CK36" s="294"/>
      <c r="CL36" s="294"/>
      <c r="CM36" s="294"/>
      <c r="CN36" s="294"/>
    </row>
    <row r="37" spans="1:92" ht="15.75" customHeight="1">
      <c r="A37" s="325">
        <f t="shared" si="157"/>
        <v>112013773</v>
      </c>
      <c r="B37" s="324">
        <f t="shared" si="158"/>
        <v>22</v>
      </c>
      <c r="C37" s="558">
        <f t="shared" si="159"/>
        <v>0.1</v>
      </c>
      <c r="D37" s="558">
        <f t="shared" si="160"/>
        <v>0.09</v>
      </c>
      <c r="E37" s="715">
        <f t="shared" si="161"/>
        <v>0</v>
      </c>
      <c r="F37" s="547">
        <f t="shared" si="162"/>
        <v>22</v>
      </c>
      <c r="G37" s="699">
        <f t="shared" si="163"/>
        <v>0.1</v>
      </c>
      <c r="H37" s="699">
        <f t="shared" si="164"/>
        <v>0.09</v>
      </c>
      <c r="I37" s="702">
        <f t="shared" si="165"/>
        <v>0</v>
      </c>
      <c r="J37" s="837">
        <f t="shared" si="166"/>
        <v>63</v>
      </c>
      <c r="K37" s="699">
        <f t="shared" si="167"/>
        <v>0.1</v>
      </c>
      <c r="L37" s="1040">
        <f t="shared" si="168"/>
        <v>0.05</v>
      </c>
      <c r="M37" s="423" t="s">
        <v>1432</v>
      </c>
      <c r="N37" s="326"/>
      <c r="O37" s="332"/>
      <c r="P37" s="113" t="e">
        <f t="shared" si="12"/>
        <v>#VALUE!</v>
      </c>
      <c r="Q37" s="116" t="str">
        <f t="shared" si="169"/>
        <v/>
      </c>
      <c r="R37" s="117">
        <f t="shared" si="170"/>
        <v>0</v>
      </c>
      <c r="S37" s="114"/>
      <c r="T37" s="116"/>
      <c r="U37" s="116">
        <f t="shared" si="171"/>
        <v>0</v>
      </c>
      <c r="V37" s="116">
        <v>3000000</v>
      </c>
      <c r="W37" s="116" t="e">
        <f t="shared" si="16"/>
        <v>#VALUE!</v>
      </c>
      <c r="X37" s="116" t="str">
        <f t="shared" si="172"/>
        <v/>
      </c>
      <c r="Y37" s="116">
        <f t="shared" si="173"/>
        <v>0</v>
      </c>
      <c r="Z37" s="326"/>
      <c r="AA37" s="326"/>
      <c r="AB37" s="326">
        <f t="shared" si="174"/>
        <v>0</v>
      </c>
      <c r="AC37" s="332">
        <v>1800000</v>
      </c>
      <c r="AD37" s="140" t="e">
        <f t="shared" si="20"/>
        <v>#VALUE!</v>
      </c>
      <c r="AE37" s="326" t="str">
        <f t="shared" si="175"/>
        <v/>
      </c>
      <c r="AF37" s="117">
        <f t="shared" si="176"/>
        <v>0</v>
      </c>
      <c r="AG37" s="123"/>
      <c r="AH37" s="326"/>
      <c r="AI37" s="1257">
        <f t="shared" si="23"/>
        <v>4800000</v>
      </c>
      <c r="AJ37" s="140">
        <f t="shared" si="177"/>
        <v>593719.47</v>
      </c>
      <c r="AK37" s="123" t="e">
        <f t="shared" ref="AK37:AM37" si="210">AD37+W37+P37</f>
        <v>#VALUE!</v>
      </c>
      <c r="AL37" s="123" t="e">
        <f t="shared" si="210"/>
        <v>#VALUE!</v>
      </c>
      <c r="AM37" s="123">
        <f t="shared" si="210"/>
        <v>0</v>
      </c>
      <c r="AN37" s="123">
        <f t="shared" si="26"/>
        <v>-593719.47</v>
      </c>
      <c r="AO37" s="1317">
        <f t="shared" si="62"/>
        <v>-1</v>
      </c>
      <c r="AP37" s="434">
        <f t="shared" si="179"/>
        <v>0</v>
      </c>
      <c r="AQ37" s="1318" t="e">
        <f t="shared" si="28"/>
        <v>#VALUE!</v>
      </c>
      <c r="AR37" s="1319" t="str">
        <f t="shared" si="180"/>
        <v/>
      </c>
      <c r="AS37" s="1320">
        <f t="shared" si="181"/>
        <v>0</v>
      </c>
      <c r="AT37" s="125">
        <f t="shared" si="182"/>
        <v>0</v>
      </c>
      <c r="AU37" s="140" t="e">
        <f t="shared" si="32"/>
        <v>#VALUE!</v>
      </c>
      <c r="AV37" s="326" t="str">
        <f t="shared" si="183"/>
        <v/>
      </c>
      <c r="AW37" s="333">
        <f t="shared" si="184"/>
        <v>0</v>
      </c>
      <c r="AX37" s="125">
        <f t="shared" si="185"/>
        <v>0</v>
      </c>
      <c r="AY37" s="140" t="e">
        <f t="shared" si="36"/>
        <v>#VALUE!</v>
      </c>
      <c r="AZ37" s="326" t="str">
        <f t="shared" si="186"/>
        <v/>
      </c>
      <c r="BA37" s="332">
        <f t="shared" si="187"/>
        <v>258482.99</v>
      </c>
      <c r="BB37" s="122" t="e">
        <f t="shared" ref="BB37:BD37" si="211">SUM(AY37,AU37,AQ37)</f>
        <v>#VALUE!</v>
      </c>
      <c r="BC37" s="326">
        <f t="shared" si="211"/>
        <v>0</v>
      </c>
      <c r="BD37" s="333">
        <f t="shared" si="211"/>
        <v>258482.99</v>
      </c>
      <c r="BE37" s="123" t="e">
        <f t="shared" si="40"/>
        <v>#VALUE!</v>
      </c>
      <c r="BF37" s="326">
        <f t="shared" si="41"/>
        <v>0</v>
      </c>
      <c r="BG37" s="435">
        <f t="shared" si="42"/>
        <v>258482.99</v>
      </c>
      <c r="BH37" s="125">
        <f t="shared" si="189"/>
        <v>293772.74</v>
      </c>
      <c r="BI37" s="1041" t="e">
        <f t="shared" si="44"/>
        <v>#VALUE!</v>
      </c>
      <c r="BJ37" s="123" t="str">
        <f t="shared" si="190"/>
        <v/>
      </c>
      <c r="BK37" s="326">
        <f t="shared" si="191"/>
        <v>0</v>
      </c>
      <c r="BL37" s="123">
        <f t="shared" si="192"/>
        <v>0</v>
      </c>
      <c r="BM37" s="113" t="e">
        <f t="shared" si="48"/>
        <v>#VALUE!</v>
      </c>
      <c r="BN37" s="116" t="str">
        <f t="shared" si="193"/>
        <v/>
      </c>
      <c r="BO37" s="115">
        <f t="shared" si="205"/>
        <v>162359.64000000001</v>
      </c>
      <c r="BP37" s="326">
        <f t="shared" si="194"/>
        <v>0</v>
      </c>
      <c r="BQ37" s="326" t="e">
        <f t="shared" si="51"/>
        <v>#VALUE!</v>
      </c>
      <c r="BR37" s="326" t="str">
        <f t="shared" si="195"/>
        <v/>
      </c>
      <c r="BS37" s="332">
        <f t="shared" si="196"/>
        <v>0</v>
      </c>
      <c r="BT37" s="586" t="e">
        <f t="shared" ref="BT37:BV37" si="212">SUM(BQ37,BM37,BI37)</f>
        <v>#VALUE!</v>
      </c>
      <c r="BU37" s="738">
        <f t="shared" si="212"/>
        <v>0</v>
      </c>
      <c r="BV37" s="737">
        <f t="shared" si="212"/>
        <v>162359.64000000001</v>
      </c>
      <c r="BW37" s="125">
        <f t="shared" si="198"/>
        <v>370780.82</v>
      </c>
      <c r="BX37" s="140" t="e">
        <f t="shared" si="56"/>
        <v>#VALUE!</v>
      </c>
      <c r="BY37" s="123" t="str">
        <f t="shared" si="199"/>
        <v/>
      </c>
      <c r="BZ37" s="333">
        <f t="shared" si="200"/>
        <v>536700.68000000005</v>
      </c>
      <c r="CA37" s="123">
        <f t="shared" si="201"/>
        <v>0</v>
      </c>
      <c r="CB37" s="326">
        <f t="shared" si="202"/>
        <v>222938.65</v>
      </c>
      <c r="CF37" s="294"/>
      <c r="CG37" s="294"/>
      <c r="CH37" s="294"/>
      <c r="CI37" s="294"/>
      <c r="CJ37" s="294"/>
      <c r="CK37" s="294"/>
      <c r="CL37" s="294"/>
      <c r="CM37" s="294"/>
      <c r="CN37" s="294"/>
    </row>
    <row r="38" spans="1:92" ht="15.75" customHeight="1">
      <c r="A38" s="325">
        <f t="shared" si="157"/>
        <v>112014189</v>
      </c>
      <c r="B38" s="324">
        <f t="shared" si="158"/>
        <v>22</v>
      </c>
      <c r="C38" s="558">
        <f t="shared" si="159"/>
        <v>0.1</v>
      </c>
      <c r="D38" s="558">
        <f t="shared" si="160"/>
        <v>0.09</v>
      </c>
      <c r="E38" s="715">
        <f t="shared" si="161"/>
        <v>0</v>
      </c>
      <c r="F38" s="547">
        <f t="shared" si="162"/>
        <v>22</v>
      </c>
      <c r="G38" s="699">
        <f t="shared" si="163"/>
        <v>0.1</v>
      </c>
      <c r="H38" s="699">
        <f t="shared" si="164"/>
        <v>0.09</v>
      </c>
      <c r="I38" s="702">
        <f t="shared" si="165"/>
        <v>0</v>
      </c>
      <c r="J38" s="837">
        <f t="shared" si="166"/>
        <v>63</v>
      </c>
      <c r="K38" s="699">
        <f t="shared" si="167"/>
        <v>0.1</v>
      </c>
      <c r="L38" s="1040">
        <f t="shared" si="168"/>
        <v>0.05</v>
      </c>
      <c r="M38" s="423" t="s">
        <v>1433</v>
      </c>
      <c r="N38" s="326"/>
      <c r="O38" s="332"/>
      <c r="P38" s="113" t="e">
        <f t="shared" si="12"/>
        <v>#VALUE!</v>
      </c>
      <c r="Q38" s="116" t="str">
        <f t="shared" si="169"/>
        <v/>
      </c>
      <c r="R38" s="117" t="str">
        <f t="shared" si="170"/>
        <v>0</v>
      </c>
      <c r="S38" s="114"/>
      <c r="T38" s="116"/>
      <c r="U38" s="116">
        <f t="shared" si="171"/>
        <v>0</v>
      </c>
      <c r="V38" s="116">
        <v>3000000</v>
      </c>
      <c r="W38" s="116" t="e">
        <f t="shared" si="16"/>
        <v>#VALUE!</v>
      </c>
      <c r="X38" s="116" t="str">
        <f t="shared" si="172"/>
        <v/>
      </c>
      <c r="Y38" s="116" t="str">
        <f t="shared" si="173"/>
        <v>0</v>
      </c>
      <c r="Z38" s="326"/>
      <c r="AA38" s="326"/>
      <c r="AB38" s="326">
        <f t="shared" si="174"/>
        <v>0</v>
      </c>
      <c r="AC38" s="332">
        <v>1800000</v>
      </c>
      <c r="AD38" s="140" t="e">
        <f t="shared" si="20"/>
        <v>#VALUE!</v>
      </c>
      <c r="AE38" s="326" t="str">
        <f t="shared" si="175"/>
        <v/>
      </c>
      <c r="AF38" s="117" t="str">
        <f t="shared" si="176"/>
        <v>0</v>
      </c>
      <c r="AG38" s="123"/>
      <c r="AH38" s="326"/>
      <c r="AI38" s="1257">
        <f t="shared" si="23"/>
        <v>4800000</v>
      </c>
      <c r="AJ38" s="140">
        <f t="shared" si="177"/>
        <v>1524563.73</v>
      </c>
      <c r="AK38" s="123" t="e">
        <f t="shared" ref="AK38:AM38" si="213">AD38+W38+P38</f>
        <v>#VALUE!</v>
      </c>
      <c r="AL38" s="123" t="e">
        <f t="shared" si="213"/>
        <v>#VALUE!</v>
      </c>
      <c r="AM38" s="123">
        <f t="shared" si="213"/>
        <v>0</v>
      </c>
      <c r="AN38" s="123">
        <f t="shared" si="26"/>
        <v>-1524563.73</v>
      </c>
      <c r="AO38" s="1317">
        <f t="shared" si="62"/>
        <v>-1</v>
      </c>
      <c r="AP38" s="434">
        <f t="shared" si="179"/>
        <v>732733.02</v>
      </c>
      <c r="AQ38" s="1318" t="e">
        <f t="shared" si="28"/>
        <v>#VALUE!</v>
      </c>
      <c r="AR38" s="1319" t="str">
        <f t="shared" si="180"/>
        <v/>
      </c>
      <c r="AS38" s="1320" t="str">
        <f t="shared" si="181"/>
        <v>0</v>
      </c>
      <c r="AT38" s="125">
        <f t="shared" si="182"/>
        <v>238279.9</v>
      </c>
      <c r="AU38" s="140" t="e">
        <f t="shared" si="32"/>
        <v>#VALUE!</v>
      </c>
      <c r="AV38" s="326" t="str">
        <f t="shared" si="183"/>
        <v/>
      </c>
      <c r="AW38" s="333" t="str">
        <f t="shared" si="184"/>
        <v>0</v>
      </c>
      <c r="AX38" s="125">
        <f t="shared" si="185"/>
        <v>0</v>
      </c>
      <c r="AY38" s="140" t="e">
        <f t="shared" si="36"/>
        <v>#VALUE!</v>
      </c>
      <c r="AZ38" s="326" t="str">
        <f t="shared" si="186"/>
        <v/>
      </c>
      <c r="BA38" s="332" t="str">
        <f t="shared" si="187"/>
        <v>0</v>
      </c>
      <c r="BB38" s="122" t="e">
        <f t="shared" ref="BB38:BD38" si="214">SUM(AY38,AU38,AQ38)</f>
        <v>#VALUE!</v>
      </c>
      <c r="BC38" s="326">
        <f t="shared" si="214"/>
        <v>0</v>
      </c>
      <c r="BD38" s="333">
        <f t="shared" si="214"/>
        <v>0</v>
      </c>
      <c r="BE38" s="123" t="e">
        <f t="shared" si="40"/>
        <v>#VALUE!</v>
      </c>
      <c r="BF38" s="326">
        <f t="shared" si="41"/>
        <v>0</v>
      </c>
      <c r="BG38" s="435">
        <f t="shared" si="42"/>
        <v>0</v>
      </c>
      <c r="BH38" s="125">
        <f t="shared" si="189"/>
        <v>0</v>
      </c>
      <c r="BI38" s="1041" t="e">
        <f t="shared" si="44"/>
        <v>#VALUE!</v>
      </c>
      <c r="BJ38" s="123" t="str">
        <f t="shared" si="190"/>
        <v/>
      </c>
      <c r="BK38" s="326" t="str">
        <f t="shared" si="191"/>
        <v>0</v>
      </c>
      <c r="BL38" s="123">
        <f t="shared" si="192"/>
        <v>0</v>
      </c>
      <c r="BM38" s="113" t="e">
        <f t="shared" si="48"/>
        <v>#VALUE!</v>
      </c>
      <c r="BN38" s="116" t="str">
        <f t="shared" si="193"/>
        <v/>
      </c>
      <c r="BO38" s="115" t="str">
        <f t="shared" si="205"/>
        <v>0</v>
      </c>
      <c r="BP38" s="326">
        <f t="shared" si="194"/>
        <v>0</v>
      </c>
      <c r="BQ38" s="326" t="e">
        <f t="shared" si="51"/>
        <v>#VALUE!</v>
      </c>
      <c r="BR38" s="326" t="str">
        <f t="shared" si="195"/>
        <v/>
      </c>
      <c r="BS38" s="332" t="str">
        <f t="shared" si="196"/>
        <v/>
      </c>
      <c r="BT38" s="586" t="e">
        <f t="shared" ref="BT38:BV38" si="215">SUM(BQ38,BM38,BI38)</f>
        <v>#VALUE!</v>
      </c>
      <c r="BU38" s="738">
        <f t="shared" si="215"/>
        <v>0</v>
      </c>
      <c r="BV38" s="737">
        <f t="shared" si="215"/>
        <v>0</v>
      </c>
      <c r="BW38" s="125">
        <f t="shared" si="198"/>
        <v>0</v>
      </c>
      <c r="BX38" s="140" t="e">
        <f t="shared" si="56"/>
        <v>#VALUE!</v>
      </c>
      <c r="BY38" s="123" t="str">
        <f t="shared" si="199"/>
        <v/>
      </c>
      <c r="BZ38" s="333" t="str">
        <f t="shared" si="200"/>
        <v/>
      </c>
      <c r="CA38" s="123">
        <f t="shared" si="201"/>
        <v>1524563.73</v>
      </c>
      <c r="CB38" s="326">
        <f t="shared" si="202"/>
        <v>0</v>
      </c>
      <c r="CF38" s="294"/>
      <c r="CG38" s="294"/>
      <c r="CH38" s="294"/>
      <c r="CI38" s="294"/>
      <c r="CJ38" s="294"/>
      <c r="CK38" s="294"/>
      <c r="CL38" s="294"/>
      <c r="CM38" s="294"/>
      <c r="CN38" s="294"/>
    </row>
    <row r="39" spans="1:92" ht="15.75" customHeight="1">
      <c r="A39" s="325">
        <f t="shared" si="157"/>
        <v>112014288</v>
      </c>
      <c r="B39" s="324">
        <f t="shared" si="158"/>
        <v>22</v>
      </c>
      <c r="C39" s="558">
        <f t="shared" si="159"/>
        <v>0.1</v>
      </c>
      <c r="D39" s="558">
        <f t="shared" si="160"/>
        <v>0.09</v>
      </c>
      <c r="E39" s="715">
        <f t="shared" si="161"/>
        <v>0</v>
      </c>
      <c r="F39" s="547">
        <f t="shared" si="162"/>
        <v>22</v>
      </c>
      <c r="G39" s="699">
        <f t="shared" si="163"/>
        <v>0.1</v>
      </c>
      <c r="H39" s="699">
        <f t="shared" si="164"/>
        <v>0.09</v>
      </c>
      <c r="I39" s="702">
        <f t="shared" si="165"/>
        <v>0</v>
      </c>
      <c r="J39" s="837">
        <f t="shared" si="166"/>
        <v>63</v>
      </c>
      <c r="K39" s="699">
        <f t="shared" si="167"/>
        <v>0.1</v>
      </c>
      <c r="L39" s="1040">
        <f t="shared" si="168"/>
        <v>0.05</v>
      </c>
      <c r="M39" s="423" t="s">
        <v>1434</v>
      </c>
      <c r="N39" s="326"/>
      <c r="O39" s="332"/>
      <c r="P39" s="113" t="e">
        <f t="shared" si="12"/>
        <v>#VALUE!</v>
      </c>
      <c r="Q39" s="116" t="str">
        <f t="shared" si="169"/>
        <v/>
      </c>
      <c r="R39" s="117">
        <f t="shared" si="170"/>
        <v>0</v>
      </c>
      <c r="S39" s="114"/>
      <c r="T39" s="116"/>
      <c r="U39" s="116">
        <f t="shared" si="171"/>
        <v>139402.88</v>
      </c>
      <c r="V39" s="116">
        <v>3000000</v>
      </c>
      <c r="W39" s="116" t="e">
        <f t="shared" si="16"/>
        <v>#VALUE!</v>
      </c>
      <c r="X39" s="116" t="str">
        <f t="shared" si="172"/>
        <v/>
      </c>
      <c r="Y39" s="116">
        <f t="shared" si="173"/>
        <v>0</v>
      </c>
      <c r="Z39" s="326"/>
      <c r="AA39" s="326"/>
      <c r="AB39" s="326">
        <f t="shared" si="174"/>
        <v>0</v>
      </c>
      <c r="AC39" s="332">
        <v>1800000</v>
      </c>
      <c r="AD39" s="140" t="e">
        <f t="shared" si="20"/>
        <v>#VALUE!</v>
      </c>
      <c r="AE39" s="326" t="str">
        <f t="shared" si="175"/>
        <v/>
      </c>
      <c r="AF39" s="117">
        <f t="shared" si="176"/>
        <v>0</v>
      </c>
      <c r="AG39" s="123"/>
      <c r="AH39" s="326"/>
      <c r="AI39" s="1257">
        <f t="shared" si="23"/>
        <v>4800000</v>
      </c>
      <c r="AJ39" s="140">
        <f t="shared" si="177"/>
        <v>2146367.94</v>
      </c>
      <c r="AK39" s="123" t="e">
        <f t="shared" ref="AK39:AM39" si="216">AD39+W39+P39</f>
        <v>#VALUE!</v>
      </c>
      <c r="AL39" s="123" t="e">
        <f t="shared" si="216"/>
        <v>#VALUE!</v>
      </c>
      <c r="AM39" s="123">
        <f t="shared" si="216"/>
        <v>0</v>
      </c>
      <c r="AN39" s="123">
        <f t="shared" si="26"/>
        <v>-2146367.94</v>
      </c>
      <c r="AO39" s="1317">
        <f t="shared" si="62"/>
        <v>-1</v>
      </c>
      <c r="AP39" s="434">
        <f t="shared" si="179"/>
        <v>475446.41</v>
      </c>
      <c r="AQ39" s="1318" t="e">
        <f t="shared" si="28"/>
        <v>#VALUE!</v>
      </c>
      <c r="AR39" s="1319" t="str">
        <f t="shared" si="180"/>
        <v/>
      </c>
      <c r="AS39" s="1320">
        <f t="shared" si="181"/>
        <v>0</v>
      </c>
      <c r="AT39" s="125">
        <f t="shared" si="182"/>
        <v>530134.91</v>
      </c>
      <c r="AU39" s="140" t="e">
        <f t="shared" si="32"/>
        <v>#VALUE!</v>
      </c>
      <c r="AV39" s="326" t="str">
        <f t="shared" si="183"/>
        <v/>
      </c>
      <c r="AW39" s="333">
        <f t="shared" si="184"/>
        <v>0</v>
      </c>
      <c r="AX39" s="125">
        <f t="shared" si="185"/>
        <v>0</v>
      </c>
      <c r="AY39" s="140" t="e">
        <f t="shared" si="36"/>
        <v>#VALUE!</v>
      </c>
      <c r="AZ39" s="326" t="str">
        <f t="shared" si="186"/>
        <v/>
      </c>
      <c r="BA39" s="332">
        <f t="shared" si="187"/>
        <v>463566.69</v>
      </c>
      <c r="BB39" s="122" t="e">
        <f t="shared" ref="BB39:BD39" si="217">SUM(AY39,AU39,AQ39)</f>
        <v>#VALUE!</v>
      </c>
      <c r="BC39" s="326">
        <f t="shared" si="217"/>
        <v>0</v>
      </c>
      <c r="BD39" s="333">
        <f t="shared" si="217"/>
        <v>463566.69</v>
      </c>
      <c r="BE39" s="123" t="e">
        <f t="shared" si="40"/>
        <v>#VALUE!</v>
      </c>
      <c r="BF39" s="326">
        <f t="shared" si="41"/>
        <v>0</v>
      </c>
      <c r="BG39" s="435">
        <f t="shared" si="42"/>
        <v>463566.69</v>
      </c>
      <c r="BH39" s="125">
        <f t="shared" si="189"/>
        <v>631952.91</v>
      </c>
      <c r="BI39" s="1041" t="e">
        <f t="shared" si="44"/>
        <v>#VALUE!</v>
      </c>
      <c r="BJ39" s="123" t="str">
        <f t="shared" si="190"/>
        <v/>
      </c>
      <c r="BK39" s="326">
        <f t="shared" si="191"/>
        <v>495013.06</v>
      </c>
      <c r="BL39" s="123">
        <f t="shared" si="192"/>
        <v>619294.56999999995</v>
      </c>
      <c r="BM39" s="113" t="e">
        <f t="shared" si="48"/>
        <v>#VALUE!</v>
      </c>
      <c r="BN39" s="116" t="str">
        <f t="shared" si="193"/>
        <v/>
      </c>
      <c r="BO39" s="115">
        <f t="shared" si="205"/>
        <v>901098.38</v>
      </c>
      <c r="BP39" s="326">
        <f t="shared" si="194"/>
        <v>765845.16</v>
      </c>
      <c r="BQ39" s="326" t="e">
        <f t="shared" si="51"/>
        <v>#VALUE!</v>
      </c>
      <c r="BR39" s="326" t="str">
        <f t="shared" si="195"/>
        <v/>
      </c>
      <c r="BS39" s="332">
        <f t="shared" si="196"/>
        <v>361667.8</v>
      </c>
      <c r="BT39" s="586" t="e">
        <f t="shared" ref="BT39:BV39" si="218">SUM(BQ39,BM39,BI39)</f>
        <v>#VALUE!</v>
      </c>
      <c r="BU39" s="738">
        <f t="shared" si="218"/>
        <v>0</v>
      </c>
      <c r="BV39" s="737">
        <f t="shared" si="218"/>
        <v>1757779.24</v>
      </c>
      <c r="BW39" s="125">
        <f t="shared" si="198"/>
        <v>481067.99</v>
      </c>
      <c r="BX39" s="140" t="e">
        <f t="shared" si="56"/>
        <v>#VALUE!</v>
      </c>
      <c r="BY39" s="123" t="str">
        <f t="shared" si="199"/>
        <v/>
      </c>
      <c r="BZ39" s="333">
        <f t="shared" si="200"/>
        <v>931823.01</v>
      </c>
      <c r="CA39" s="123">
        <f t="shared" si="201"/>
        <v>839821.72</v>
      </c>
      <c r="CB39" s="326">
        <f t="shared" si="202"/>
        <v>825478.23</v>
      </c>
      <c r="CF39" s="294"/>
      <c r="CG39" s="294"/>
      <c r="CH39" s="294"/>
      <c r="CI39" s="294"/>
      <c r="CJ39" s="294"/>
      <c r="CK39" s="294"/>
      <c r="CL39" s="294"/>
      <c r="CM39" s="294"/>
      <c r="CN39" s="294"/>
    </row>
    <row r="40" spans="1:92" ht="15.75" customHeight="1">
      <c r="A40" s="325">
        <f t="shared" si="157"/>
        <v>112014555</v>
      </c>
      <c r="B40" s="324">
        <f t="shared" si="158"/>
        <v>22</v>
      </c>
      <c r="C40" s="558">
        <f t="shared" si="159"/>
        <v>0.1</v>
      </c>
      <c r="D40" s="558">
        <f t="shared" si="160"/>
        <v>0.09</v>
      </c>
      <c r="E40" s="715">
        <f t="shared" si="161"/>
        <v>0</v>
      </c>
      <c r="F40" s="547">
        <f t="shared" si="162"/>
        <v>22</v>
      </c>
      <c r="G40" s="699">
        <f t="shared" si="163"/>
        <v>0.1</v>
      </c>
      <c r="H40" s="699">
        <f t="shared" si="164"/>
        <v>0.09</v>
      </c>
      <c r="I40" s="702">
        <f t="shared" si="165"/>
        <v>0</v>
      </c>
      <c r="J40" s="837">
        <f t="shared" si="166"/>
        <v>63</v>
      </c>
      <c r="K40" s="699">
        <f t="shared" si="167"/>
        <v>0.1</v>
      </c>
      <c r="L40" s="1040">
        <f t="shared" si="168"/>
        <v>0.05</v>
      </c>
      <c r="M40" s="423" t="s">
        <v>1435</v>
      </c>
      <c r="N40" s="326"/>
      <c r="O40" s="332"/>
      <c r="P40" s="113" t="e">
        <f t="shared" si="12"/>
        <v>#VALUE!</v>
      </c>
      <c r="Q40" s="116" t="str">
        <f t="shared" si="169"/>
        <v/>
      </c>
      <c r="R40" s="117" t="str">
        <f t="shared" si="170"/>
        <v>0</v>
      </c>
      <c r="S40" s="114"/>
      <c r="T40" s="116"/>
      <c r="U40" s="116">
        <f t="shared" si="171"/>
        <v>0</v>
      </c>
      <c r="V40" s="116">
        <v>3000000</v>
      </c>
      <c r="W40" s="116" t="e">
        <f t="shared" si="16"/>
        <v>#VALUE!</v>
      </c>
      <c r="X40" s="116" t="str">
        <f t="shared" si="172"/>
        <v/>
      </c>
      <c r="Y40" s="116" t="str">
        <f t="shared" si="173"/>
        <v>0</v>
      </c>
      <c r="Z40" s="326"/>
      <c r="AA40" s="326"/>
      <c r="AB40" s="326">
        <f t="shared" si="174"/>
        <v>0</v>
      </c>
      <c r="AC40" s="332">
        <v>1800000</v>
      </c>
      <c r="AD40" s="140" t="e">
        <f t="shared" si="20"/>
        <v>#VALUE!</v>
      </c>
      <c r="AE40" s="326" t="str">
        <f t="shared" si="175"/>
        <v/>
      </c>
      <c r="AF40" s="117" t="str">
        <f t="shared" si="176"/>
        <v>0</v>
      </c>
      <c r="AG40" s="123"/>
      <c r="AH40" s="326"/>
      <c r="AI40" s="1257">
        <f t="shared" si="23"/>
        <v>4800000</v>
      </c>
      <c r="AJ40" s="140">
        <f t="shared" si="177"/>
        <v>818501.91</v>
      </c>
      <c r="AK40" s="123" t="e">
        <f t="shared" ref="AK40:AM40" si="219">AD40+W40+P40</f>
        <v>#VALUE!</v>
      </c>
      <c r="AL40" s="123" t="e">
        <f t="shared" si="219"/>
        <v>#VALUE!</v>
      </c>
      <c r="AM40" s="123">
        <f t="shared" si="219"/>
        <v>0</v>
      </c>
      <c r="AN40" s="123">
        <f t="shared" si="26"/>
        <v>-818501.91</v>
      </c>
      <c r="AO40" s="1317">
        <f t="shared" si="62"/>
        <v>-1</v>
      </c>
      <c r="AP40" s="434">
        <f t="shared" si="179"/>
        <v>0</v>
      </c>
      <c r="AQ40" s="1318" t="e">
        <f t="shared" si="28"/>
        <v>#VALUE!</v>
      </c>
      <c r="AR40" s="1319" t="str">
        <f t="shared" si="180"/>
        <v/>
      </c>
      <c r="AS40" s="1320" t="str">
        <f t="shared" si="181"/>
        <v>0</v>
      </c>
      <c r="AT40" s="125">
        <f t="shared" si="182"/>
        <v>0</v>
      </c>
      <c r="AU40" s="140" t="e">
        <f t="shared" si="32"/>
        <v>#VALUE!</v>
      </c>
      <c r="AV40" s="326" t="str">
        <f t="shared" si="183"/>
        <v/>
      </c>
      <c r="AW40" s="333" t="str">
        <f t="shared" si="184"/>
        <v>0</v>
      </c>
      <c r="AX40" s="125">
        <f t="shared" si="185"/>
        <v>0</v>
      </c>
      <c r="AY40" s="140" t="e">
        <f t="shared" si="36"/>
        <v>#VALUE!</v>
      </c>
      <c r="AZ40" s="326" t="str">
        <f t="shared" si="186"/>
        <v/>
      </c>
      <c r="BA40" s="332" t="str">
        <f t="shared" si="187"/>
        <v>0</v>
      </c>
      <c r="BB40" s="122" t="e">
        <f t="shared" ref="BB40:BD40" si="220">SUM(AY40,AU40,AQ40)</f>
        <v>#VALUE!</v>
      </c>
      <c r="BC40" s="326">
        <f t="shared" si="220"/>
        <v>0</v>
      </c>
      <c r="BD40" s="333">
        <f t="shared" si="220"/>
        <v>0</v>
      </c>
      <c r="BE40" s="123" t="e">
        <f t="shared" si="40"/>
        <v>#VALUE!</v>
      </c>
      <c r="BF40" s="326">
        <f t="shared" si="41"/>
        <v>0</v>
      </c>
      <c r="BG40" s="435">
        <f t="shared" si="42"/>
        <v>0</v>
      </c>
      <c r="BH40" s="125">
        <f t="shared" si="189"/>
        <v>0</v>
      </c>
      <c r="BI40" s="1041" t="e">
        <f t="shared" si="44"/>
        <v>#VALUE!</v>
      </c>
      <c r="BJ40" s="123" t="str">
        <f t="shared" si="190"/>
        <v/>
      </c>
      <c r="BK40" s="326" t="str">
        <f t="shared" si="191"/>
        <v>0</v>
      </c>
      <c r="BL40" s="123">
        <f t="shared" si="192"/>
        <v>0</v>
      </c>
      <c r="BM40" s="113" t="e">
        <f t="shared" si="48"/>
        <v>#VALUE!</v>
      </c>
      <c r="BN40" s="116" t="str">
        <f t="shared" si="193"/>
        <v/>
      </c>
      <c r="BO40" s="115" t="str">
        <f t="shared" si="205"/>
        <v>0</v>
      </c>
      <c r="BP40" s="326">
        <f t="shared" si="194"/>
        <v>624525.31000000006</v>
      </c>
      <c r="BQ40" s="326" t="e">
        <f t="shared" si="51"/>
        <v>#VALUE!</v>
      </c>
      <c r="BR40" s="326" t="str">
        <f t="shared" si="195"/>
        <v/>
      </c>
      <c r="BS40" s="332" t="str">
        <f t="shared" si="196"/>
        <v/>
      </c>
      <c r="BT40" s="586" t="e">
        <f t="shared" ref="BT40:BV40" si="221">SUM(BQ40,BM40,BI40)</f>
        <v>#VALUE!</v>
      </c>
      <c r="BU40" s="738">
        <f t="shared" si="221"/>
        <v>0</v>
      </c>
      <c r="BV40" s="737">
        <f t="shared" si="221"/>
        <v>0</v>
      </c>
      <c r="BW40" s="125">
        <f t="shared" si="198"/>
        <v>533504.96</v>
      </c>
      <c r="BX40" s="140" t="e">
        <f t="shared" si="56"/>
        <v>#VALUE!</v>
      </c>
      <c r="BY40" s="123" t="str">
        <f t="shared" si="199"/>
        <v/>
      </c>
      <c r="BZ40" s="333" t="str">
        <f t="shared" si="200"/>
        <v/>
      </c>
      <c r="CA40" s="123">
        <f t="shared" si="201"/>
        <v>0</v>
      </c>
      <c r="CB40" s="326">
        <f t="shared" si="202"/>
        <v>284996.95</v>
      </c>
      <c r="CF40" s="294"/>
      <c r="CG40" s="294"/>
      <c r="CH40" s="294"/>
      <c r="CI40" s="294"/>
      <c r="CJ40" s="294"/>
      <c r="CK40" s="294"/>
      <c r="CL40" s="294"/>
      <c r="CM40" s="294"/>
      <c r="CN40" s="294"/>
    </row>
    <row r="41" spans="1:92" ht="15.75" customHeight="1">
      <c r="A41" s="325">
        <f t="shared" si="157"/>
        <v>112012334</v>
      </c>
      <c r="B41" s="324">
        <f t="shared" si="158"/>
        <v>22</v>
      </c>
      <c r="C41" s="558">
        <f t="shared" si="159"/>
        <v>0.1</v>
      </c>
      <c r="D41" s="558">
        <f t="shared" si="160"/>
        <v>0.09</v>
      </c>
      <c r="E41" s="715">
        <f t="shared" si="161"/>
        <v>0</v>
      </c>
      <c r="F41" s="547">
        <f t="shared" si="162"/>
        <v>22</v>
      </c>
      <c r="G41" s="699">
        <f t="shared" si="163"/>
        <v>0.1</v>
      </c>
      <c r="H41" s="699">
        <f t="shared" si="164"/>
        <v>0.09</v>
      </c>
      <c r="I41" s="702">
        <f t="shared" si="165"/>
        <v>0</v>
      </c>
      <c r="J41" s="837">
        <f t="shared" si="166"/>
        <v>63</v>
      </c>
      <c r="K41" s="699">
        <f t="shared" si="167"/>
        <v>0.1</v>
      </c>
      <c r="L41" s="1040">
        <f t="shared" si="168"/>
        <v>0.05</v>
      </c>
      <c r="M41" s="423" t="s">
        <v>1436</v>
      </c>
      <c r="N41" s="326"/>
      <c r="O41" s="332"/>
      <c r="P41" s="113" t="e">
        <f t="shared" si="12"/>
        <v>#VALUE!</v>
      </c>
      <c r="Q41" s="116" t="str">
        <f t="shared" si="169"/>
        <v/>
      </c>
      <c r="R41" s="117">
        <f t="shared" si="170"/>
        <v>0</v>
      </c>
      <c r="S41" s="114"/>
      <c r="T41" s="116"/>
      <c r="U41" s="116">
        <f t="shared" si="171"/>
        <v>590153.43000000005</v>
      </c>
      <c r="V41" s="116">
        <v>3000000</v>
      </c>
      <c r="W41" s="116" t="e">
        <f t="shared" si="16"/>
        <v>#VALUE!</v>
      </c>
      <c r="X41" s="116" t="str">
        <f t="shared" si="172"/>
        <v/>
      </c>
      <c r="Y41" s="116">
        <f t="shared" si="173"/>
        <v>0</v>
      </c>
      <c r="Z41" s="326"/>
      <c r="AA41" s="326"/>
      <c r="AB41" s="326">
        <f t="shared" si="174"/>
        <v>1066891.69</v>
      </c>
      <c r="AC41" s="332">
        <v>1800000</v>
      </c>
      <c r="AD41" s="140" t="e">
        <f t="shared" si="20"/>
        <v>#VALUE!</v>
      </c>
      <c r="AE41" s="326" t="str">
        <f t="shared" si="175"/>
        <v/>
      </c>
      <c r="AF41" s="117">
        <f t="shared" si="176"/>
        <v>0</v>
      </c>
      <c r="AG41" s="123"/>
      <c r="AH41" s="326"/>
      <c r="AI41" s="1257">
        <f t="shared" si="23"/>
        <v>4800000</v>
      </c>
      <c r="AJ41" s="140">
        <f t="shared" si="177"/>
        <v>1765010.07</v>
      </c>
      <c r="AK41" s="123" t="e">
        <f t="shared" ref="AK41:AM41" si="222">AD41+W41+P41</f>
        <v>#VALUE!</v>
      </c>
      <c r="AL41" s="123" t="e">
        <f t="shared" si="222"/>
        <v>#VALUE!</v>
      </c>
      <c r="AM41" s="123">
        <f t="shared" si="222"/>
        <v>0</v>
      </c>
      <c r="AN41" s="123">
        <f t="shared" si="26"/>
        <v>-1765010.07</v>
      </c>
      <c r="AO41" s="1317">
        <f t="shared" si="62"/>
        <v>-1</v>
      </c>
      <c r="AP41" s="434">
        <f t="shared" si="179"/>
        <v>1765654.08</v>
      </c>
      <c r="AQ41" s="1318" t="e">
        <f t="shared" si="28"/>
        <v>#VALUE!</v>
      </c>
      <c r="AR41" s="1319" t="str">
        <f t="shared" si="180"/>
        <v/>
      </c>
      <c r="AS41" s="1320">
        <f t="shared" si="181"/>
        <v>0</v>
      </c>
      <c r="AT41" s="125">
        <f t="shared" si="182"/>
        <v>0</v>
      </c>
      <c r="AU41" s="140" t="e">
        <f t="shared" si="32"/>
        <v>#VALUE!</v>
      </c>
      <c r="AV41" s="326" t="str">
        <f t="shared" si="183"/>
        <v/>
      </c>
      <c r="AW41" s="333">
        <f t="shared" si="184"/>
        <v>0</v>
      </c>
      <c r="AX41" s="125">
        <f t="shared" si="185"/>
        <v>1667712.26</v>
      </c>
      <c r="AY41" s="140" t="e">
        <f t="shared" si="36"/>
        <v>#VALUE!</v>
      </c>
      <c r="AZ41" s="326" t="str">
        <f t="shared" si="186"/>
        <v/>
      </c>
      <c r="BA41" s="332">
        <f t="shared" si="187"/>
        <v>492254.28</v>
      </c>
      <c r="BB41" s="122" t="e">
        <f t="shared" ref="BB41:BD41" si="223">SUM(AY41,AU41,AQ41)</f>
        <v>#VALUE!</v>
      </c>
      <c r="BC41" s="326">
        <f t="shared" si="223"/>
        <v>0</v>
      </c>
      <c r="BD41" s="333">
        <f t="shared" si="223"/>
        <v>492254.28</v>
      </c>
      <c r="BE41" s="123" t="e">
        <f t="shared" si="40"/>
        <v>#VALUE!</v>
      </c>
      <c r="BF41" s="326">
        <f t="shared" si="41"/>
        <v>0</v>
      </c>
      <c r="BG41" s="435">
        <f t="shared" si="42"/>
        <v>492254.28</v>
      </c>
      <c r="BH41" s="125">
        <f t="shared" si="189"/>
        <v>238159.19</v>
      </c>
      <c r="BI41" s="1041" t="e">
        <f t="shared" si="44"/>
        <v>#VALUE!</v>
      </c>
      <c r="BJ41" s="123" t="str">
        <f t="shared" si="190"/>
        <v/>
      </c>
      <c r="BK41" s="326">
        <f t="shared" si="191"/>
        <v>1574858.41</v>
      </c>
      <c r="BL41" s="123">
        <f t="shared" si="192"/>
        <v>1228115.1299999999</v>
      </c>
      <c r="BM41" s="113" t="e">
        <f t="shared" si="48"/>
        <v>#VALUE!</v>
      </c>
      <c r="BN41" s="116" t="str">
        <f t="shared" si="193"/>
        <v/>
      </c>
      <c r="BO41" s="115">
        <f t="shared" si="205"/>
        <v>1120957.82</v>
      </c>
      <c r="BP41" s="326">
        <f t="shared" si="194"/>
        <v>523059.22</v>
      </c>
      <c r="BQ41" s="326" t="e">
        <f t="shared" si="51"/>
        <v>#VALUE!</v>
      </c>
      <c r="BR41" s="326" t="str">
        <f t="shared" si="195"/>
        <v/>
      </c>
      <c r="BS41" s="332">
        <f t="shared" si="196"/>
        <v>1867613.01</v>
      </c>
      <c r="BT41" s="1182" t="e">
        <f t="shared" ref="BT41:BV41" si="224">SUM(BQ41,BM41,BI41)</f>
        <v>#VALUE!</v>
      </c>
      <c r="BU41" s="1331">
        <f t="shared" si="224"/>
        <v>0</v>
      </c>
      <c r="BV41" s="1326">
        <f t="shared" si="224"/>
        <v>4563429.24</v>
      </c>
      <c r="BW41" s="125">
        <f t="shared" si="198"/>
        <v>699675.59</v>
      </c>
      <c r="BX41" s="140" t="e">
        <f t="shared" si="56"/>
        <v>#VALUE!</v>
      </c>
      <c r="BY41" s="123" t="str">
        <f t="shared" si="199"/>
        <v/>
      </c>
      <c r="BZ41" s="333">
        <f t="shared" si="200"/>
        <v>2081469.95</v>
      </c>
      <c r="CA41" s="123">
        <f t="shared" si="201"/>
        <v>753264.47</v>
      </c>
      <c r="CB41" s="326">
        <f t="shared" si="202"/>
        <v>312070.01</v>
      </c>
      <c r="CF41" s="294"/>
      <c r="CG41" s="294"/>
      <c r="CH41" s="294"/>
      <c r="CI41" s="294"/>
      <c r="CJ41" s="294"/>
      <c r="CK41" s="294"/>
      <c r="CL41" s="294"/>
      <c r="CM41" s="294"/>
      <c r="CN41" s="294"/>
    </row>
    <row r="42" spans="1:92" ht="15.75" customHeight="1">
      <c r="A42" s="325">
        <f t="shared" si="157"/>
        <v>112013682</v>
      </c>
      <c r="B42" s="324">
        <f t="shared" si="158"/>
        <v>22</v>
      </c>
      <c r="C42" s="558">
        <f t="shared" si="159"/>
        <v>0.1</v>
      </c>
      <c r="D42" s="558">
        <f t="shared" si="160"/>
        <v>0.09</v>
      </c>
      <c r="E42" s="715">
        <f t="shared" si="161"/>
        <v>0</v>
      </c>
      <c r="F42" s="547">
        <f t="shared" si="162"/>
        <v>22</v>
      </c>
      <c r="G42" s="699">
        <f t="shared" si="163"/>
        <v>0.1</v>
      </c>
      <c r="H42" s="699">
        <f t="shared" si="164"/>
        <v>0.09</v>
      </c>
      <c r="I42" s="702">
        <f t="shared" si="165"/>
        <v>0</v>
      </c>
      <c r="J42" s="837">
        <f t="shared" si="166"/>
        <v>63</v>
      </c>
      <c r="K42" s="699">
        <f t="shared" si="167"/>
        <v>0.1</v>
      </c>
      <c r="L42" s="1040">
        <f t="shared" si="168"/>
        <v>0.05</v>
      </c>
      <c r="M42" s="423" t="s">
        <v>1437</v>
      </c>
      <c r="N42" s="326"/>
      <c r="O42" s="332"/>
      <c r="P42" s="113" t="e">
        <f t="shared" si="12"/>
        <v>#VALUE!</v>
      </c>
      <c r="Q42" s="116" t="str">
        <f t="shared" si="169"/>
        <v/>
      </c>
      <c r="R42" s="117">
        <f t="shared" si="170"/>
        <v>0</v>
      </c>
      <c r="S42" s="114"/>
      <c r="T42" s="116"/>
      <c r="U42" s="116">
        <f t="shared" si="171"/>
        <v>603826.28</v>
      </c>
      <c r="V42" s="116">
        <v>3000000</v>
      </c>
      <c r="W42" s="116" t="e">
        <f t="shared" si="16"/>
        <v>#VALUE!</v>
      </c>
      <c r="X42" s="116" t="str">
        <f t="shared" si="172"/>
        <v/>
      </c>
      <c r="Y42" s="116">
        <f t="shared" si="173"/>
        <v>0</v>
      </c>
      <c r="Z42" s="326"/>
      <c r="AA42" s="326"/>
      <c r="AB42" s="326">
        <f t="shared" si="174"/>
        <v>612242.68000000005</v>
      </c>
      <c r="AC42" s="332">
        <v>1800000</v>
      </c>
      <c r="AD42" s="140" t="e">
        <f t="shared" si="20"/>
        <v>#VALUE!</v>
      </c>
      <c r="AE42" s="326" t="str">
        <f t="shared" si="175"/>
        <v/>
      </c>
      <c r="AF42" s="117">
        <f t="shared" si="176"/>
        <v>0</v>
      </c>
      <c r="AG42" s="123"/>
      <c r="AH42" s="326"/>
      <c r="AI42" s="1257">
        <f t="shared" si="23"/>
        <v>4800000</v>
      </c>
      <c r="AJ42" s="140">
        <f t="shared" si="177"/>
        <v>1461097.47</v>
      </c>
      <c r="AK42" s="123" t="e">
        <f t="shared" ref="AK42:AM42" si="225">AD42+W42+P42</f>
        <v>#VALUE!</v>
      </c>
      <c r="AL42" s="123" t="e">
        <f t="shared" si="225"/>
        <v>#VALUE!</v>
      </c>
      <c r="AM42" s="123">
        <f t="shared" si="225"/>
        <v>0</v>
      </c>
      <c r="AN42" s="123">
        <f t="shared" si="26"/>
        <v>-1461097.47</v>
      </c>
      <c r="AO42" s="1317">
        <f t="shared" si="62"/>
        <v>-1</v>
      </c>
      <c r="AP42" s="434">
        <f t="shared" si="179"/>
        <v>1607984.51</v>
      </c>
      <c r="AQ42" s="1318" t="e">
        <f t="shared" si="28"/>
        <v>#VALUE!</v>
      </c>
      <c r="AR42" s="1319" t="str">
        <f t="shared" si="180"/>
        <v/>
      </c>
      <c r="AS42" s="1320">
        <f t="shared" si="181"/>
        <v>575039.16</v>
      </c>
      <c r="AT42" s="125">
        <f t="shared" si="182"/>
        <v>211571.05</v>
      </c>
      <c r="AU42" s="140" t="e">
        <f t="shared" si="32"/>
        <v>#VALUE!</v>
      </c>
      <c r="AV42" s="326" t="str">
        <f t="shared" si="183"/>
        <v/>
      </c>
      <c r="AW42" s="333">
        <f t="shared" si="184"/>
        <v>0</v>
      </c>
      <c r="AX42" s="125">
        <f t="shared" si="185"/>
        <v>549099.41</v>
      </c>
      <c r="AY42" s="140" t="e">
        <f t="shared" si="36"/>
        <v>#VALUE!</v>
      </c>
      <c r="AZ42" s="326" t="str">
        <f t="shared" si="186"/>
        <v/>
      </c>
      <c r="BA42" s="332">
        <f t="shared" si="187"/>
        <v>0</v>
      </c>
      <c r="BB42" s="122" t="e">
        <f t="shared" ref="BB42:BD42" si="226">SUM(AY42,AU42,AQ42)</f>
        <v>#VALUE!</v>
      </c>
      <c r="BC42" s="326">
        <f t="shared" si="226"/>
        <v>0</v>
      </c>
      <c r="BD42" s="333">
        <f t="shared" si="226"/>
        <v>575039.16</v>
      </c>
      <c r="BE42" s="123" t="e">
        <f t="shared" si="40"/>
        <v>#VALUE!</v>
      </c>
      <c r="BF42" s="326">
        <f t="shared" si="41"/>
        <v>0</v>
      </c>
      <c r="BG42" s="435">
        <f t="shared" si="42"/>
        <v>575039.16</v>
      </c>
      <c r="BH42" s="125">
        <f t="shared" si="189"/>
        <v>467993.93</v>
      </c>
      <c r="BI42" s="1041" t="e">
        <f t="shared" si="44"/>
        <v>#VALUE!</v>
      </c>
      <c r="BJ42" s="123" t="str">
        <f t="shared" si="190"/>
        <v/>
      </c>
      <c r="BK42" s="326">
        <f t="shared" si="191"/>
        <v>600458.19999999995</v>
      </c>
      <c r="BL42" s="123">
        <f t="shared" si="192"/>
        <v>491416.57</v>
      </c>
      <c r="BM42" s="113" t="e">
        <f t="shared" si="48"/>
        <v>#VALUE!</v>
      </c>
      <c r="BN42" s="116" t="str">
        <f t="shared" si="193"/>
        <v/>
      </c>
      <c r="BO42" s="115">
        <f t="shared" si="205"/>
        <v>632288.42000000004</v>
      </c>
      <c r="BP42" s="326">
        <f t="shared" si="194"/>
        <v>615636.01</v>
      </c>
      <c r="BQ42" s="326" t="e">
        <f t="shared" si="51"/>
        <v>#VALUE!</v>
      </c>
      <c r="BR42" s="326" t="str">
        <f t="shared" si="195"/>
        <v/>
      </c>
      <c r="BS42" s="332">
        <f t="shared" si="196"/>
        <v>0</v>
      </c>
      <c r="BT42" s="586" t="e">
        <f t="shared" ref="BT42:BV42" si="227">SUM(BQ42,BM42,BI42)</f>
        <v>#VALUE!</v>
      </c>
      <c r="BU42" s="738">
        <f t="shared" si="227"/>
        <v>0</v>
      </c>
      <c r="BV42" s="737">
        <f t="shared" si="227"/>
        <v>1232746.6200000001</v>
      </c>
      <c r="BW42" s="125">
        <f t="shared" si="198"/>
        <v>374986.88</v>
      </c>
      <c r="BX42" s="140" t="e">
        <f t="shared" si="56"/>
        <v>#VALUE!</v>
      </c>
      <c r="BY42" s="123" t="str">
        <f t="shared" si="199"/>
        <v/>
      </c>
      <c r="BZ42" s="333">
        <f t="shared" si="200"/>
        <v>731616.31</v>
      </c>
      <c r="CA42" s="123">
        <f t="shared" si="201"/>
        <v>729889.48</v>
      </c>
      <c r="CB42" s="326">
        <f t="shared" si="202"/>
        <v>356221.11</v>
      </c>
      <c r="CF42" s="294"/>
      <c r="CG42" s="294"/>
      <c r="CH42" s="294"/>
      <c r="CI42" s="294"/>
      <c r="CJ42" s="294"/>
      <c r="CK42" s="294"/>
      <c r="CL42" s="294"/>
      <c r="CM42" s="294"/>
      <c r="CN42" s="294"/>
    </row>
    <row r="43" spans="1:92" ht="15.75" customHeight="1">
      <c r="A43" s="325">
        <f t="shared" si="157"/>
        <v>112013714</v>
      </c>
      <c r="B43" s="324">
        <f t="shared" si="158"/>
        <v>22</v>
      </c>
      <c r="C43" s="558">
        <f t="shared" si="159"/>
        <v>0.1</v>
      </c>
      <c r="D43" s="558">
        <f t="shared" si="160"/>
        <v>0.09</v>
      </c>
      <c r="E43" s="715">
        <f t="shared" si="161"/>
        <v>0</v>
      </c>
      <c r="F43" s="547">
        <f t="shared" si="162"/>
        <v>22</v>
      </c>
      <c r="G43" s="699">
        <f t="shared" si="163"/>
        <v>0.1</v>
      </c>
      <c r="H43" s="699">
        <f t="shared" si="164"/>
        <v>0.09</v>
      </c>
      <c r="I43" s="702">
        <f t="shared" si="165"/>
        <v>0</v>
      </c>
      <c r="J43" s="837">
        <f t="shared" si="166"/>
        <v>63</v>
      </c>
      <c r="K43" s="699">
        <f t="shared" si="167"/>
        <v>0.1</v>
      </c>
      <c r="L43" s="1040">
        <f t="shared" si="168"/>
        <v>0.05</v>
      </c>
      <c r="M43" s="423" t="s">
        <v>1438</v>
      </c>
      <c r="N43" s="326"/>
      <c r="O43" s="332"/>
      <c r="P43" s="113" t="e">
        <f t="shared" si="12"/>
        <v>#VALUE!</v>
      </c>
      <c r="Q43" s="116" t="str">
        <f t="shared" si="169"/>
        <v/>
      </c>
      <c r="R43" s="117" t="str">
        <f t="shared" si="170"/>
        <v>0</v>
      </c>
      <c r="S43" s="114"/>
      <c r="T43" s="116"/>
      <c r="U43" s="116">
        <f t="shared" si="171"/>
        <v>0</v>
      </c>
      <c r="V43" s="116">
        <v>3000000</v>
      </c>
      <c r="W43" s="116" t="e">
        <f t="shared" si="16"/>
        <v>#VALUE!</v>
      </c>
      <c r="X43" s="116" t="str">
        <f t="shared" si="172"/>
        <v/>
      </c>
      <c r="Y43" s="116" t="str">
        <f t="shared" si="173"/>
        <v>0</v>
      </c>
      <c r="Z43" s="326"/>
      <c r="AA43" s="326"/>
      <c r="AB43" s="326">
        <f t="shared" si="174"/>
        <v>0</v>
      </c>
      <c r="AC43" s="332">
        <v>1800000</v>
      </c>
      <c r="AD43" s="140" t="e">
        <f t="shared" si="20"/>
        <v>#VALUE!</v>
      </c>
      <c r="AE43" s="326" t="str">
        <f t="shared" si="175"/>
        <v/>
      </c>
      <c r="AF43" s="117" t="str">
        <f t="shared" si="176"/>
        <v>0</v>
      </c>
      <c r="AG43" s="123"/>
      <c r="AH43" s="326"/>
      <c r="AI43" s="1257">
        <f t="shared" si="23"/>
        <v>4800000</v>
      </c>
      <c r="AJ43" s="140" t="str">
        <f t="shared" si="177"/>
        <v>0</v>
      </c>
      <c r="AK43" s="123" t="e">
        <f t="shared" ref="AK43:AM43" si="228">AD43+W43+P43</f>
        <v>#VALUE!</v>
      </c>
      <c r="AL43" s="123" t="e">
        <f t="shared" si="228"/>
        <v>#VALUE!</v>
      </c>
      <c r="AM43" s="123">
        <f t="shared" si="228"/>
        <v>0</v>
      </c>
      <c r="AN43" s="123">
        <f t="shared" si="26"/>
        <v>0</v>
      </c>
      <c r="AO43" s="1317" t="str">
        <f t="shared" si="62"/>
        <v/>
      </c>
      <c r="AP43" s="434">
        <f t="shared" si="179"/>
        <v>1103724.32</v>
      </c>
      <c r="AQ43" s="1318" t="e">
        <f t="shared" si="28"/>
        <v>#VALUE!</v>
      </c>
      <c r="AR43" s="1319" t="str">
        <f t="shared" si="180"/>
        <v/>
      </c>
      <c r="AS43" s="1320" t="str">
        <f t="shared" si="181"/>
        <v>0</v>
      </c>
      <c r="AT43" s="125">
        <f t="shared" si="182"/>
        <v>0</v>
      </c>
      <c r="AU43" s="140" t="e">
        <f t="shared" si="32"/>
        <v>#VALUE!</v>
      </c>
      <c r="AV43" s="326" t="str">
        <f t="shared" si="183"/>
        <v/>
      </c>
      <c r="AW43" s="333" t="str">
        <f t="shared" si="184"/>
        <v>0</v>
      </c>
      <c r="AX43" s="125">
        <f t="shared" si="185"/>
        <v>0</v>
      </c>
      <c r="AY43" s="140" t="e">
        <f t="shared" si="36"/>
        <v>#VALUE!</v>
      </c>
      <c r="AZ43" s="326" t="str">
        <f t="shared" si="186"/>
        <v/>
      </c>
      <c r="BA43" s="332" t="str">
        <f t="shared" si="187"/>
        <v>0</v>
      </c>
      <c r="BB43" s="122" t="e">
        <f t="shared" ref="BB43:BD43" si="229">SUM(AY43,AU43,AQ43)</f>
        <v>#VALUE!</v>
      </c>
      <c r="BC43" s="326">
        <f t="shared" si="229"/>
        <v>0</v>
      </c>
      <c r="BD43" s="333">
        <f t="shared" si="229"/>
        <v>0</v>
      </c>
      <c r="BE43" s="123" t="e">
        <f t="shared" si="40"/>
        <v>#VALUE!</v>
      </c>
      <c r="BF43" s="326">
        <f t="shared" si="41"/>
        <v>0</v>
      </c>
      <c r="BG43" s="435">
        <f t="shared" si="42"/>
        <v>0</v>
      </c>
      <c r="BH43" s="125">
        <f t="shared" si="189"/>
        <v>0</v>
      </c>
      <c r="BI43" s="1041" t="e">
        <f t="shared" si="44"/>
        <v>#VALUE!</v>
      </c>
      <c r="BJ43" s="123" t="str">
        <f t="shared" si="190"/>
        <v/>
      </c>
      <c r="BK43" s="326" t="str">
        <f t="shared" si="191"/>
        <v>0</v>
      </c>
      <c r="BL43" s="123">
        <f t="shared" si="192"/>
        <v>0</v>
      </c>
      <c r="BM43" s="113" t="e">
        <f t="shared" si="48"/>
        <v>#VALUE!</v>
      </c>
      <c r="BN43" s="116" t="str">
        <f t="shared" si="193"/>
        <v/>
      </c>
      <c r="BO43" s="115" t="str">
        <f t="shared" si="205"/>
        <v>0</v>
      </c>
      <c r="BP43" s="326">
        <f t="shared" si="194"/>
        <v>0</v>
      </c>
      <c r="BQ43" s="326" t="e">
        <f t="shared" si="51"/>
        <v>#VALUE!</v>
      </c>
      <c r="BR43" s="326" t="str">
        <f t="shared" si="195"/>
        <v/>
      </c>
      <c r="BS43" s="332" t="str">
        <f t="shared" si="196"/>
        <v/>
      </c>
      <c r="BT43" s="586" t="e">
        <f t="shared" ref="BT43:BV43" si="230">SUM(BQ43,BM43,BI43)</f>
        <v>#VALUE!</v>
      </c>
      <c r="BU43" s="738">
        <f t="shared" si="230"/>
        <v>0</v>
      </c>
      <c r="BV43" s="737">
        <f t="shared" si="230"/>
        <v>0</v>
      </c>
      <c r="BW43" s="125">
        <f t="shared" si="198"/>
        <v>0</v>
      </c>
      <c r="BX43" s="140" t="e">
        <f t="shared" si="56"/>
        <v>#VALUE!</v>
      </c>
      <c r="BY43" s="123" t="str">
        <f t="shared" si="199"/>
        <v/>
      </c>
      <c r="BZ43" s="333" t="str">
        <f t="shared" si="200"/>
        <v/>
      </c>
      <c r="CA43" s="123">
        <f t="shared" si="201"/>
        <v>0</v>
      </c>
      <c r="CB43" s="326">
        <f t="shared" si="202"/>
        <v>0</v>
      </c>
      <c r="CF43" s="294"/>
      <c r="CG43" s="294"/>
      <c r="CH43" s="294"/>
      <c r="CI43" s="294"/>
      <c r="CJ43" s="294"/>
      <c r="CK43" s="294"/>
      <c r="CL43" s="294"/>
      <c r="CM43" s="294"/>
      <c r="CN43" s="294"/>
    </row>
    <row r="44" spans="1:92" ht="15.75" customHeight="1">
      <c r="A44" s="325">
        <f t="shared" si="157"/>
        <v>112013765</v>
      </c>
      <c r="B44" s="324">
        <f t="shared" si="158"/>
        <v>22</v>
      </c>
      <c r="C44" s="558">
        <f t="shared" si="159"/>
        <v>0.1</v>
      </c>
      <c r="D44" s="558">
        <f t="shared" si="160"/>
        <v>0.09</v>
      </c>
      <c r="E44" s="715">
        <f t="shared" si="161"/>
        <v>0</v>
      </c>
      <c r="F44" s="547">
        <f t="shared" si="162"/>
        <v>22</v>
      </c>
      <c r="G44" s="699">
        <f t="shared" si="163"/>
        <v>0.1</v>
      </c>
      <c r="H44" s="699">
        <f t="shared" si="164"/>
        <v>0.09</v>
      </c>
      <c r="I44" s="702">
        <f t="shared" si="165"/>
        <v>0</v>
      </c>
      <c r="J44" s="837">
        <f t="shared" si="166"/>
        <v>63</v>
      </c>
      <c r="K44" s="699">
        <f t="shared" si="167"/>
        <v>0.1</v>
      </c>
      <c r="L44" s="1040">
        <f t="shared" si="168"/>
        <v>0.05</v>
      </c>
      <c r="M44" s="423" t="s">
        <v>1439</v>
      </c>
      <c r="N44" s="326"/>
      <c r="O44" s="332"/>
      <c r="P44" s="113" t="e">
        <f t="shared" si="12"/>
        <v>#VALUE!</v>
      </c>
      <c r="Q44" s="116" t="str">
        <f t="shared" si="169"/>
        <v/>
      </c>
      <c r="R44" s="117" t="str">
        <f t="shared" si="170"/>
        <v>0</v>
      </c>
      <c r="S44" s="114"/>
      <c r="T44" s="116"/>
      <c r="U44" s="116">
        <f t="shared" si="171"/>
        <v>205708.15</v>
      </c>
      <c r="V44" s="116">
        <v>3000000</v>
      </c>
      <c r="W44" s="116" t="e">
        <f t="shared" si="16"/>
        <v>#VALUE!</v>
      </c>
      <c r="X44" s="116" t="str">
        <f t="shared" si="172"/>
        <v/>
      </c>
      <c r="Y44" s="116" t="str">
        <f t="shared" si="173"/>
        <v>0</v>
      </c>
      <c r="Z44" s="326"/>
      <c r="AA44" s="326"/>
      <c r="AB44" s="326">
        <f t="shared" si="174"/>
        <v>0</v>
      </c>
      <c r="AC44" s="332">
        <v>1800000</v>
      </c>
      <c r="AD44" s="140" t="e">
        <f t="shared" si="20"/>
        <v>#VALUE!</v>
      </c>
      <c r="AE44" s="326" t="str">
        <f t="shared" si="175"/>
        <v/>
      </c>
      <c r="AF44" s="117" t="str">
        <f t="shared" si="176"/>
        <v>0</v>
      </c>
      <c r="AG44" s="123"/>
      <c r="AH44" s="326"/>
      <c r="AI44" s="1257">
        <f t="shared" si="23"/>
        <v>4800000</v>
      </c>
      <c r="AJ44" s="140">
        <f t="shared" si="177"/>
        <v>343526.5</v>
      </c>
      <c r="AK44" s="123" t="e">
        <f t="shared" ref="AK44:AM44" si="231">AD44+W44+P44</f>
        <v>#VALUE!</v>
      </c>
      <c r="AL44" s="123" t="e">
        <f t="shared" si="231"/>
        <v>#VALUE!</v>
      </c>
      <c r="AM44" s="123">
        <f t="shared" si="231"/>
        <v>0</v>
      </c>
      <c r="AN44" s="123">
        <f t="shared" si="26"/>
        <v>-343526.5</v>
      </c>
      <c r="AO44" s="1317">
        <f t="shared" si="62"/>
        <v>-1</v>
      </c>
      <c r="AP44" s="434">
        <f t="shared" si="179"/>
        <v>0</v>
      </c>
      <c r="AQ44" s="1318" t="e">
        <f t="shared" si="28"/>
        <v>#VALUE!</v>
      </c>
      <c r="AR44" s="1319" t="str">
        <f t="shared" si="180"/>
        <v/>
      </c>
      <c r="AS44" s="1320" t="str">
        <f t="shared" si="181"/>
        <v>0</v>
      </c>
      <c r="AT44" s="125">
        <f t="shared" si="182"/>
        <v>0</v>
      </c>
      <c r="AU44" s="140" t="e">
        <f t="shared" si="32"/>
        <v>#VALUE!</v>
      </c>
      <c r="AV44" s="326" t="str">
        <f t="shared" si="183"/>
        <v/>
      </c>
      <c r="AW44" s="333" t="str">
        <f t="shared" si="184"/>
        <v>0</v>
      </c>
      <c r="AX44" s="125">
        <f t="shared" si="185"/>
        <v>0</v>
      </c>
      <c r="AY44" s="140" t="e">
        <f t="shared" si="36"/>
        <v>#VALUE!</v>
      </c>
      <c r="AZ44" s="326" t="str">
        <f t="shared" si="186"/>
        <v/>
      </c>
      <c r="BA44" s="332" t="str">
        <f t="shared" si="187"/>
        <v>0</v>
      </c>
      <c r="BB44" s="122" t="e">
        <f t="shared" ref="BB44:BD44" si="232">SUM(AY44,AU44,AQ44)</f>
        <v>#VALUE!</v>
      </c>
      <c r="BC44" s="326">
        <f t="shared" si="232"/>
        <v>0</v>
      </c>
      <c r="BD44" s="333">
        <f t="shared" si="232"/>
        <v>0</v>
      </c>
      <c r="BE44" s="123" t="e">
        <f t="shared" si="40"/>
        <v>#VALUE!</v>
      </c>
      <c r="BF44" s="326">
        <f t="shared" si="41"/>
        <v>0</v>
      </c>
      <c r="BG44" s="435">
        <f t="shared" si="42"/>
        <v>0</v>
      </c>
      <c r="BH44" s="125">
        <f t="shared" si="189"/>
        <v>0</v>
      </c>
      <c r="BI44" s="1041" t="e">
        <f t="shared" si="44"/>
        <v>#VALUE!</v>
      </c>
      <c r="BJ44" s="123" t="str">
        <f t="shared" si="190"/>
        <v/>
      </c>
      <c r="BK44" s="326" t="str">
        <f t="shared" si="191"/>
        <v>0</v>
      </c>
      <c r="BL44" s="123">
        <f t="shared" si="192"/>
        <v>0</v>
      </c>
      <c r="BM44" s="113" t="e">
        <f t="shared" si="48"/>
        <v>#VALUE!</v>
      </c>
      <c r="BN44" s="116" t="str">
        <f t="shared" si="193"/>
        <v/>
      </c>
      <c r="BO44" s="115" t="str">
        <f t="shared" si="205"/>
        <v>0</v>
      </c>
      <c r="BP44" s="326">
        <f t="shared" si="194"/>
        <v>0</v>
      </c>
      <c r="BQ44" s="326" t="e">
        <f t="shared" si="51"/>
        <v>#VALUE!</v>
      </c>
      <c r="BR44" s="326" t="str">
        <f t="shared" si="195"/>
        <v/>
      </c>
      <c r="BS44" s="332" t="str">
        <f t="shared" si="196"/>
        <v/>
      </c>
      <c r="BT44" s="586" t="e">
        <f t="shared" ref="BT44:BV44" si="233">SUM(BQ44,BM44,BI44)</f>
        <v>#VALUE!</v>
      </c>
      <c r="BU44" s="738">
        <f t="shared" si="233"/>
        <v>0</v>
      </c>
      <c r="BV44" s="737">
        <f t="shared" si="233"/>
        <v>0</v>
      </c>
      <c r="BW44" s="125">
        <f t="shared" si="198"/>
        <v>343526.5</v>
      </c>
      <c r="BX44" s="140" t="e">
        <f t="shared" si="56"/>
        <v>#VALUE!</v>
      </c>
      <c r="BY44" s="123" t="str">
        <f t="shared" si="199"/>
        <v/>
      </c>
      <c r="BZ44" s="333" t="str">
        <f t="shared" si="200"/>
        <v/>
      </c>
      <c r="CA44" s="123">
        <f t="shared" si="201"/>
        <v>0</v>
      </c>
      <c r="CB44" s="326">
        <f t="shared" si="202"/>
        <v>0</v>
      </c>
      <c r="CF44" s="294"/>
      <c r="CG44" s="294"/>
      <c r="CH44" s="294"/>
      <c r="CI44" s="294"/>
      <c r="CJ44" s="294"/>
      <c r="CK44" s="294"/>
      <c r="CL44" s="294"/>
      <c r="CM44" s="294"/>
      <c r="CN44" s="294"/>
    </row>
    <row r="45" spans="1:92" ht="13">
      <c r="A45" s="325">
        <f t="shared" si="157"/>
        <v>112014534</v>
      </c>
      <c r="B45" s="324">
        <f t="shared" si="158"/>
        <v>22</v>
      </c>
      <c r="C45" s="558">
        <f t="shared" si="159"/>
        <v>0.1</v>
      </c>
      <c r="D45" s="558">
        <f t="shared" si="160"/>
        <v>0.09</v>
      </c>
      <c r="E45" s="715">
        <f t="shared" si="161"/>
        <v>0</v>
      </c>
      <c r="F45" s="547">
        <f t="shared" si="162"/>
        <v>22</v>
      </c>
      <c r="G45" s="699">
        <f t="shared" si="163"/>
        <v>0.1</v>
      </c>
      <c r="H45" s="699">
        <f t="shared" si="164"/>
        <v>0.09</v>
      </c>
      <c r="I45" s="702">
        <f t="shared" si="165"/>
        <v>0</v>
      </c>
      <c r="J45" s="837">
        <f t="shared" si="166"/>
        <v>63</v>
      </c>
      <c r="K45" s="699">
        <f t="shared" si="167"/>
        <v>0.1</v>
      </c>
      <c r="L45" s="1040">
        <f t="shared" si="168"/>
        <v>0.05</v>
      </c>
      <c r="M45" s="423" t="s">
        <v>1440</v>
      </c>
      <c r="N45" s="326"/>
      <c r="O45" s="332"/>
      <c r="P45" s="113" t="e">
        <f t="shared" si="12"/>
        <v>#VALUE!</v>
      </c>
      <c r="Q45" s="116" t="str">
        <f t="shared" si="169"/>
        <v/>
      </c>
      <c r="R45" s="117">
        <f t="shared" si="170"/>
        <v>0</v>
      </c>
      <c r="S45" s="114"/>
      <c r="T45" s="116"/>
      <c r="U45" s="116" t="str">
        <f t="shared" si="171"/>
        <v/>
      </c>
      <c r="V45" s="116">
        <v>3000000</v>
      </c>
      <c r="W45" s="116" t="e">
        <f t="shared" si="16"/>
        <v>#VALUE!</v>
      </c>
      <c r="X45" s="116" t="str">
        <f t="shared" si="172"/>
        <v/>
      </c>
      <c r="Y45" s="116">
        <f t="shared" si="173"/>
        <v>0</v>
      </c>
      <c r="Z45" s="326"/>
      <c r="AA45" s="326"/>
      <c r="AB45" s="326" t="str">
        <f t="shared" si="174"/>
        <v/>
      </c>
      <c r="AC45" s="332">
        <v>1800000</v>
      </c>
      <c r="AD45" s="140" t="e">
        <f t="shared" si="20"/>
        <v>#VALUE!</v>
      </c>
      <c r="AE45" s="326" t="str">
        <f t="shared" si="175"/>
        <v/>
      </c>
      <c r="AF45" s="117">
        <f t="shared" si="176"/>
        <v>0</v>
      </c>
      <c r="AG45" s="123"/>
      <c r="AH45" s="326"/>
      <c r="AI45" s="1257">
        <f t="shared" si="23"/>
        <v>4800000</v>
      </c>
      <c r="AJ45" s="140">
        <f t="shared" si="177"/>
        <v>280521.43</v>
      </c>
      <c r="AK45" s="123" t="e">
        <f t="shared" ref="AK45:AM45" si="234">AD45+W45+P45</f>
        <v>#VALUE!</v>
      </c>
      <c r="AL45" s="123" t="e">
        <f t="shared" si="234"/>
        <v>#VALUE!</v>
      </c>
      <c r="AM45" s="123">
        <f t="shared" si="234"/>
        <v>0</v>
      </c>
      <c r="AN45" s="123">
        <f t="shared" si="26"/>
        <v>-280521.43</v>
      </c>
      <c r="AO45" s="1317">
        <f t="shared" si="62"/>
        <v>-1</v>
      </c>
      <c r="AP45" s="434" t="str">
        <f t="shared" si="179"/>
        <v/>
      </c>
      <c r="AQ45" s="1318" t="e">
        <f t="shared" si="28"/>
        <v>#VALUE!</v>
      </c>
      <c r="AR45" s="1319" t="str">
        <f t="shared" si="180"/>
        <v/>
      </c>
      <c r="AS45" s="1320">
        <f t="shared" si="181"/>
        <v>0</v>
      </c>
      <c r="AT45" s="125" t="str">
        <f t="shared" si="182"/>
        <v/>
      </c>
      <c r="AU45" s="140" t="e">
        <f t="shared" si="32"/>
        <v>#VALUE!</v>
      </c>
      <c r="AV45" s="326" t="str">
        <f t="shared" si="183"/>
        <v/>
      </c>
      <c r="AW45" s="333">
        <f t="shared" si="184"/>
        <v>0</v>
      </c>
      <c r="AX45" s="125" t="str">
        <f t="shared" si="185"/>
        <v/>
      </c>
      <c r="AY45" s="140" t="e">
        <f t="shared" si="36"/>
        <v>#VALUE!</v>
      </c>
      <c r="AZ45" s="326" t="str">
        <f t="shared" si="186"/>
        <v/>
      </c>
      <c r="BA45" s="332">
        <f t="shared" si="187"/>
        <v>0</v>
      </c>
      <c r="BB45" s="122" t="e">
        <f t="shared" ref="BB45:BD45" si="235">SUM(AY45,AU45,AQ45)</f>
        <v>#VALUE!</v>
      </c>
      <c r="BC45" s="326">
        <f t="shared" si="235"/>
        <v>0</v>
      </c>
      <c r="BD45" s="333">
        <f t="shared" si="235"/>
        <v>0</v>
      </c>
      <c r="BE45" s="123" t="e">
        <f t="shared" si="40"/>
        <v>#VALUE!</v>
      </c>
      <c r="BF45" s="326">
        <f t="shared" si="41"/>
        <v>0</v>
      </c>
      <c r="BG45" s="435">
        <f t="shared" si="42"/>
        <v>0</v>
      </c>
      <c r="BH45" s="125" t="str">
        <f t="shared" si="189"/>
        <v/>
      </c>
      <c r="BI45" s="1041" t="e">
        <f t="shared" si="44"/>
        <v>#VALUE!</v>
      </c>
      <c r="BJ45" s="123" t="str">
        <f t="shared" si="190"/>
        <v/>
      </c>
      <c r="BK45" s="326">
        <f t="shared" si="191"/>
        <v>0</v>
      </c>
      <c r="BL45" s="123" t="str">
        <f t="shared" si="192"/>
        <v/>
      </c>
      <c r="BM45" s="113" t="e">
        <f t="shared" si="48"/>
        <v>#VALUE!</v>
      </c>
      <c r="BN45" s="116" t="str">
        <f t="shared" si="193"/>
        <v/>
      </c>
      <c r="BO45" s="115">
        <f t="shared" si="205"/>
        <v>1185465.82</v>
      </c>
      <c r="BP45" s="326" t="str">
        <f t="shared" si="194"/>
        <v/>
      </c>
      <c r="BQ45" s="326" t="e">
        <f t="shared" si="51"/>
        <v>#VALUE!</v>
      </c>
      <c r="BR45" s="326" t="str">
        <f t="shared" si="195"/>
        <v/>
      </c>
      <c r="BS45" s="332">
        <f t="shared" si="196"/>
        <v>0</v>
      </c>
      <c r="BT45" s="586" t="e">
        <f t="shared" ref="BT45:BV45" si="236">SUM(BQ45,BM45,BI45)</f>
        <v>#VALUE!</v>
      </c>
      <c r="BU45" s="738">
        <f t="shared" si="236"/>
        <v>0</v>
      </c>
      <c r="BV45" s="737">
        <f t="shared" si="236"/>
        <v>1185465.82</v>
      </c>
      <c r="BW45" s="125" t="str">
        <f t="shared" si="198"/>
        <v/>
      </c>
      <c r="BX45" s="140" t="e">
        <f t="shared" si="56"/>
        <v>#VALUE!</v>
      </c>
      <c r="BY45" s="123" t="str">
        <f t="shared" si="199"/>
        <v/>
      </c>
      <c r="BZ45" s="333">
        <f t="shared" si="200"/>
        <v>0</v>
      </c>
      <c r="CA45" s="123" t="str">
        <f t="shared" si="201"/>
        <v/>
      </c>
      <c r="CB45" s="326" t="str">
        <f t="shared" si="202"/>
        <v/>
      </c>
      <c r="CF45" s="294"/>
      <c r="CG45" s="294"/>
      <c r="CH45" s="294"/>
      <c r="CI45" s="294"/>
      <c r="CJ45" s="294"/>
      <c r="CK45" s="294"/>
      <c r="CL45" s="294"/>
      <c r="CM45" s="294"/>
      <c r="CN45" s="294"/>
    </row>
    <row r="46" spans="1:92" ht="13">
      <c r="A46" s="325">
        <f t="shared" si="157"/>
        <v>112013622</v>
      </c>
      <c r="B46" s="324">
        <f t="shared" si="158"/>
        <v>22</v>
      </c>
      <c r="C46" s="558">
        <f t="shared" si="159"/>
        <v>0.1</v>
      </c>
      <c r="D46" s="558">
        <f t="shared" si="160"/>
        <v>0.09</v>
      </c>
      <c r="E46" s="715">
        <f t="shared" si="161"/>
        <v>0</v>
      </c>
      <c r="F46" s="547">
        <f t="shared" si="162"/>
        <v>22</v>
      </c>
      <c r="G46" s="699">
        <f t="shared" si="163"/>
        <v>0.1</v>
      </c>
      <c r="H46" s="699">
        <f t="shared" si="164"/>
        <v>0.09</v>
      </c>
      <c r="I46" s="702">
        <f t="shared" si="165"/>
        <v>0</v>
      </c>
      <c r="J46" s="837">
        <f t="shared" si="166"/>
        <v>63</v>
      </c>
      <c r="K46" s="699">
        <f t="shared" si="167"/>
        <v>0.1</v>
      </c>
      <c r="L46" s="1040">
        <f t="shared" si="168"/>
        <v>0.05</v>
      </c>
      <c r="M46" s="423" t="s">
        <v>1441</v>
      </c>
      <c r="N46" s="326"/>
      <c r="O46" s="332"/>
      <c r="P46" s="113" t="e">
        <f t="shared" si="12"/>
        <v>#VALUE!</v>
      </c>
      <c r="Q46" s="116" t="str">
        <f t="shared" si="169"/>
        <v/>
      </c>
      <c r="R46" s="117">
        <f t="shared" si="170"/>
        <v>0</v>
      </c>
      <c r="S46" s="114"/>
      <c r="T46" s="116"/>
      <c r="U46" s="116">
        <f t="shared" si="171"/>
        <v>440054.41</v>
      </c>
      <c r="V46" s="116">
        <v>3000000</v>
      </c>
      <c r="W46" s="116" t="e">
        <f t="shared" si="16"/>
        <v>#VALUE!</v>
      </c>
      <c r="X46" s="116" t="str">
        <f t="shared" si="172"/>
        <v/>
      </c>
      <c r="Y46" s="116">
        <f t="shared" si="173"/>
        <v>0</v>
      </c>
      <c r="Z46" s="326"/>
      <c r="AA46" s="326"/>
      <c r="AB46" s="326">
        <f t="shared" si="174"/>
        <v>435189.59</v>
      </c>
      <c r="AC46" s="332">
        <v>1800000</v>
      </c>
      <c r="AD46" s="140" t="e">
        <f t="shared" si="20"/>
        <v>#VALUE!</v>
      </c>
      <c r="AE46" s="326" t="str">
        <f t="shared" si="175"/>
        <v/>
      </c>
      <c r="AF46" s="117">
        <f t="shared" si="176"/>
        <v>0</v>
      </c>
      <c r="AG46" s="123"/>
      <c r="AH46" s="326"/>
      <c r="AI46" s="1257">
        <f t="shared" si="23"/>
        <v>4800000</v>
      </c>
      <c r="AJ46" s="140">
        <f t="shared" si="177"/>
        <v>2899016.26</v>
      </c>
      <c r="AK46" s="123" t="e">
        <f t="shared" ref="AK46:AM46" si="237">AD46+W46+P46</f>
        <v>#VALUE!</v>
      </c>
      <c r="AL46" s="123" t="e">
        <f t="shared" si="237"/>
        <v>#VALUE!</v>
      </c>
      <c r="AM46" s="123">
        <f t="shared" si="237"/>
        <v>0</v>
      </c>
      <c r="AN46" s="123">
        <f t="shared" si="26"/>
        <v>-2899016.26</v>
      </c>
      <c r="AO46" s="1317">
        <f t="shared" si="62"/>
        <v>-1</v>
      </c>
      <c r="AP46" s="434">
        <f t="shared" si="179"/>
        <v>833454.78</v>
      </c>
      <c r="AQ46" s="1318" t="e">
        <f t="shared" si="28"/>
        <v>#VALUE!</v>
      </c>
      <c r="AR46" s="1319" t="str">
        <f t="shared" si="180"/>
        <v/>
      </c>
      <c r="AS46" s="1320">
        <f t="shared" si="181"/>
        <v>0</v>
      </c>
      <c r="AT46" s="125">
        <f t="shared" si="182"/>
        <v>843269.57</v>
      </c>
      <c r="AU46" s="140" t="e">
        <f t="shared" si="32"/>
        <v>#VALUE!</v>
      </c>
      <c r="AV46" s="326" t="str">
        <f t="shared" si="183"/>
        <v/>
      </c>
      <c r="AW46" s="333">
        <f t="shared" si="184"/>
        <v>392846.99</v>
      </c>
      <c r="AX46" s="125">
        <f t="shared" si="185"/>
        <v>464695.81</v>
      </c>
      <c r="AY46" s="140" t="e">
        <f t="shared" si="36"/>
        <v>#VALUE!</v>
      </c>
      <c r="AZ46" s="326" t="str">
        <f t="shared" si="186"/>
        <v/>
      </c>
      <c r="BA46" s="332">
        <f t="shared" si="187"/>
        <v>363684.97</v>
      </c>
      <c r="BB46" s="122" t="e">
        <f t="shared" ref="BB46:BD46" si="238">SUM(AY46,AU46,AQ46)</f>
        <v>#VALUE!</v>
      </c>
      <c r="BC46" s="326">
        <f t="shared" si="238"/>
        <v>0</v>
      </c>
      <c r="BD46" s="333">
        <f t="shared" si="238"/>
        <v>756531.96</v>
      </c>
      <c r="BE46" s="123" t="e">
        <f t="shared" si="40"/>
        <v>#VALUE!</v>
      </c>
      <c r="BF46" s="326">
        <f t="shared" si="41"/>
        <v>0</v>
      </c>
      <c r="BG46" s="435">
        <f t="shared" si="42"/>
        <v>756531.96</v>
      </c>
      <c r="BH46" s="125">
        <f t="shared" si="189"/>
        <v>1289546.67</v>
      </c>
      <c r="BI46" s="1041" t="e">
        <f t="shared" si="44"/>
        <v>#VALUE!</v>
      </c>
      <c r="BJ46" s="123" t="str">
        <f t="shared" si="190"/>
        <v/>
      </c>
      <c r="BK46" s="326">
        <f t="shared" si="191"/>
        <v>367597.61</v>
      </c>
      <c r="BL46" s="123">
        <f t="shared" si="192"/>
        <v>1135467.78</v>
      </c>
      <c r="BM46" s="113" t="e">
        <f t="shared" si="48"/>
        <v>#VALUE!</v>
      </c>
      <c r="BN46" s="116" t="str">
        <f t="shared" si="193"/>
        <v/>
      </c>
      <c r="BO46" s="115">
        <f t="shared" si="205"/>
        <v>494932.96</v>
      </c>
      <c r="BP46" s="326">
        <f t="shared" si="194"/>
        <v>505825.78</v>
      </c>
      <c r="BQ46" s="326" t="e">
        <f t="shared" si="51"/>
        <v>#VALUE!</v>
      </c>
      <c r="BR46" s="326" t="str">
        <f t="shared" si="195"/>
        <v/>
      </c>
      <c r="BS46" s="332">
        <f t="shared" si="196"/>
        <v>0</v>
      </c>
      <c r="BT46" s="586" t="e">
        <f t="shared" ref="BT46:BV46" si="239">SUM(BQ46,BM46,BI46)</f>
        <v>#VALUE!</v>
      </c>
      <c r="BU46" s="738">
        <f t="shared" si="239"/>
        <v>0</v>
      </c>
      <c r="BV46" s="737">
        <f t="shared" si="239"/>
        <v>862530.57000000007</v>
      </c>
      <c r="BW46" s="125">
        <f t="shared" si="198"/>
        <v>1264195.92</v>
      </c>
      <c r="BX46" s="140" t="e">
        <f t="shared" si="56"/>
        <v>#VALUE!</v>
      </c>
      <c r="BY46" s="123" t="str">
        <f t="shared" si="199"/>
        <v/>
      </c>
      <c r="BZ46" s="333">
        <f t="shared" si="200"/>
        <v>-494932.96</v>
      </c>
      <c r="CA46" s="123">
        <f t="shared" si="201"/>
        <v>1168782.8899999999</v>
      </c>
      <c r="CB46" s="326">
        <f t="shared" si="202"/>
        <v>466037.45</v>
      </c>
      <c r="CF46" s="294"/>
      <c r="CG46" s="294"/>
      <c r="CH46" s="294"/>
      <c r="CI46" s="294"/>
      <c r="CJ46" s="294"/>
      <c r="CK46" s="294"/>
      <c r="CL46" s="294"/>
      <c r="CM46" s="294"/>
      <c r="CN46" s="294"/>
    </row>
    <row r="47" spans="1:92" ht="13">
      <c r="A47" s="325">
        <f t="shared" si="157"/>
        <v>112013606</v>
      </c>
      <c r="B47" s="324">
        <f t="shared" si="158"/>
        <v>22</v>
      </c>
      <c r="C47" s="558">
        <f t="shared" si="159"/>
        <v>0.1</v>
      </c>
      <c r="D47" s="558">
        <f t="shared" si="160"/>
        <v>0.09</v>
      </c>
      <c r="E47" s="715">
        <f t="shared" si="161"/>
        <v>0</v>
      </c>
      <c r="F47" s="547">
        <f t="shared" si="162"/>
        <v>22</v>
      </c>
      <c r="G47" s="699">
        <f t="shared" si="163"/>
        <v>0.1</v>
      </c>
      <c r="H47" s="699">
        <f t="shared" si="164"/>
        <v>0.09</v>
      </c>
      <c r="I47" s="702">
        <f t="shared" si="165"/>
        <v>0</v>
      </c>
      <c r="J47" s="837">
        <f t="shared" si="166"/>
        <v>63</v>
      </c>
      <c r="K47" s="699">
        <f t="shared" si="167"/>
        <v>0.1</v>
      </c>
      <c r="L47" s="1040">
        <f t="shared" si="168"/>
        <v>0.05</v>
      </c>
      <c r="M47" s="423" t="s">
        <v>668</v>
      </c>
      <c r="N47" s="326"/>
      <c r="O47" s="332"/>
      <c r="P47" s="113">
        <f t="shared" si="12"/>
        <v>0</v>
      </c>
      <c r="Q47" s="116">
        <f t="shared" si="169"/>
        <v>0</v>
      </c>
      <c r="R47" s="117">
        <f t="shared" si="170"/>
        <v>0</v>
      </c>
      <c r="S47" s="114"/>
      <c r="T47" s="116"/>
      <c r="U47" s="116" t="str">
        <f t="shared" si="171"/>
        <v/>
      </c>
      <c r="V47" s="116">
        <v>3000000</v>
      </c>
      <c r="W47" s="116">
        <f t="shared" si="16"/>
        <v>0</v>
      </c>
      <c r="X47" s="116">
        <f t="shared" si="172"/>
        <v>0</v>
      </c>
      <c r="Y47" s="116">
        <f t="shared" si="173"/>
        <v>0</v>
      </c>
      <c r="Z47" s="326"/>
      <c r="AA47" s="326"/>
      <c r="AB47" s="326" t="str">
        <f t="shared" si="174"/>
        <v/>
      </c>
      <c r="AC47" s="332">
        <v>1800000</v>
      </c>
      <c r="AD47" s="140">
        <f t="shared" si="20"/>
        <v>0</v>
      </c>
      <c r="AE47" s="326">
        <f t="shared" si="175"/>
        <v>0</v>
      </c>
      <c r="AF47" s="117">
        <f t="shared" si="176"/>
        <v>0</v>
      </c>
      <c r="AG47" s="123"/>
      <c r="AH47" s="326"/>
      <c r="AI47" s="1257">
        <f t="shared" si="23"/>
        <v>4800000</v>
      </c>
      <c r="AJ47" s="140">
        <f t="shared" si="177"/>
        <v>1577968.36</v>
      </c>
      <c r="AK47" s="123">
        <f t="shared" ref="AK47:AM47" si="240">AD47+W47+P47</f>
        <v>0</v>
      </c>
      <c r="AL47" s="123">
        <f t="shared" si="240"/>
        <v>0</v>
      </c>
      <c r="AM47" s="123">
        <f t="shared" si="240"/>
        <v>0</v>
      </c>
      <c r="AN47" s="123">
        <f t="shared" si="26"/>
        <v>-1577968.36</v>
      </c>
      <c r="AO47" s="1317">
        <f t="shared" si="62"/>
        <v>-1</v>
      </c>
      <c r="AP47" s="434" t="str">
        <f t="shared" si="179"/>
        <v/>
      </c>
      <c r="AQ47" s="1318">
        <f t="shared" si="28"/>
        <v>0</v>
      </c>
      <c r="AR47" s="1319">
        <f t="shared" si="180"/>
        <v>0</v>
      </c>
      <c r="AS47" s="1320">
        <f t="shared" si="181"/>
        <v>0</v>
      </c>
      <c r="AT47" s="125" t="str">
        <f t="shared" si="182"/>
        <v/>
      </c>
      <c r="AU47" s="140">
        <f t="shared" si="32"/>
        <v>180870.94</v>
      </c>
      <c r="AV47" s="326">
        <f t="shared" si="183"/>
        <v>17724.72</v>
      </c>
      <c r="AW47" s="333">
        <f t="shared" si="184"/>
        <v>198595.66</v>
      </c>
      <c r="AX47" s="125" t="str">
        <f t="shared" si="185"/>
        <v/>
      </c>
      <c r="AY47" s="140">
        <f t="shared" si="36"/>
        <v>62900.819999999992</v>
      </c>
      <c r="AZ47" s="326">
        <f t="shared" si="186"/>
        <v>27960.13</v>
      </c>
      <c r="BA47" s="332">
        <f t="shared" si="187"/>
        <v>90860.95</v>
      </c>
      <c r="BB47" s="122">
        <f t="shared" ref="BB47:BD47" si="241">SUM(AY47,AU47,AQ47)</f>
        <v>243771.76</v>
      </c>
      <c r="BC47" s="326">
        <f t="shared" si="241"/>
        <v>45684.850000000006</v>
      </c>
      <c r="BD47" s="333">
        <f t="shared" si="241"/>
        <v>289456.61</v>
      </c>
      <c r="BE47" s="123">
        <f t="shared" si="40"/>
        <v>243771.76</v>
      </c>
      <c r="BF47" s="326">
        <f t="shared" si="41"/>
        <v>45684.850000000006</v>
      </c>
      <c r="BG47" s="435">
        <f t="shared" si="42"/>
        <v>289456.61</v>
      </c>
      <c r="BH47" s="125" t="str">
        <f t="shared" si="189"/>
        <v/>
      </c>
      <c r="BI47" s="1041">
        <f t="shared" si="44"/>
        <v>3409.6199999999953</v>
      </c>
      <c r="BJ47" s="123">
        <f t="shared" si="190"/>
        <v>56570.98</v>
      </c>
      <c r="BK47" s="326">
        <f t="shared" si="191"/>
        <v>59980.6</v>
      </c>
      <c r="BL47" s="123" t="str">
        <f t="shared" si="192"/>
        <v/>
      </c>
      <c r="BM47" s="113">
        <f t="shared" si="48"/>
        <v>107798.58</v>
      </c>
      <c r="BN47" s="116">
        <f t="shared" si="193"/>
        <v>120621.08</v>
      </c>
      <c r="BO47" s="115">
        <f t="shared" si="205"/>
        <v>228419.66</v>
      </c>
      <c r="BP47" s="326" t="str">
        <f t="shared" si="194"/>
        <v/>
      </c>
      <c r="BQ47" s="326">
        <f t="shared" si="51"/>
        <v>115804.72</v>
      </c>
      <c r="BR47" s="326">
        <f t="shared" si="195"/>
        <v>39957.769999999997</v>
      </c>
      <c r="BS47" s="332">
        <f t="shared" si="196"/>
        <v>155762.49</v>
      </c>
      <c r="BT47" s="586">
        <f t="shared" ref="BT47:BV47" si="242">SUM(BQ47,BM47,BI47)</f>
        <v>227012.91999999998</v>
      </c>
      <c r="BU47" s="738">
        <f t="shared" si="242"/>
        <v>217149.83000000002</v>
      </c>
      <c r="BV47" s="737">
        <f t="shared" si="242"/>
        <v>444162.75</v>
      </c>
      <c r="BW47" s="125" t="str">
        <f t="shared" si="198"/>
        <v/>
      </c>
      <c r="BX47" s="140">
        <f t="shared" si="56"/>
        <v>34862.400000000001</v>
      </c>
      <c r="BY47" s="123">
        <f t="shared" si="199"/>
        <v>0</v>
      </c>
      <c r="BZ47" s="333">
        <f t="shared" si="200"/>
        <v>34862.400000000001</v>
      </c>
      <c r="CA47" s="123" t="str">
        <f t="shared" si="201"/>
        <v/>
      </c>
      <c r="CB47" s="326" t="str">
        <f t="shared" si="202"/>
        <v/>
      </c>
      <c r="CF47" s="294"/>
      <c r="CG47" s="294"/>
      <c r="CH47" s="294"/>
      <c r="CI47" s="294"/>
      <c r="CJ47" s="294"/>
      <c r="CK47" s="294"/>
      <c r="CL47" s="294"/>
      <c r="CM47" s="294"/>
      <c r="CN47" s="294"/>
    </row>
    <row r="48" spans="1:92" ht="13">
      <c r="A48" s="325">
        <f t="shared" si="157"/>
        <v>112014274</v>
      </c>
      <c r="B48" s="324">
        <f t="shared" si="158"/>
        <v>22</v>
      </c>
      <c r="C48" s="558">
        <f t="shared" si="159"/>
        <v>0.1</v>
      </c>
      <c r="D48" s="558">
        <f t="shared" si="160"/>
        <v>0.09</v>
      </c>
      <c r="E48" s="715">
        <f t="shared" si="161"/>
        <v>0</v>
      </c>
      <c r="F48" s="547">
        <f t="shared" si="162"/>
        <v>22</v>
      </c>
      <c r="G48" s="699">
        <f t="shared" si="163"/>
        <v>0.1</v>
      </c>
      <c r="H48" s="699">
        <f t="shared" si="164"/>
        <v>0.09</v>
      </c>
      <c r="I48" s="702">
        <f t="shared" si="165"/>
        <v>0</v>
      </c>
      <c r="J48" s="837">
        <f t="shared" si="166"/>
        <v>63</v>
      </c>
      <c r="K48" s="699">
        <f t="shared" si="167"/>
        <v>0.1</v>
      </c>
      <c r="L48" s="1040">
        <f t="shared" si="168"/>
        <v>0.05</v>
      </c>
      <c r="M48" s="423" t="s">
        <v>1442</v>
      </c>
      <c r="N48" s="326"/>
      <c r="O48" s="332"/>
      <c r="P48" s="113" t="e">
        <f t="shared" si="12"/>
        <v>#VALUE!</v>
      </c>
      <c r="Q48" s="116" t="str">
        <f t="shared" si="169"/>
        <v/>
      </c>
      <c r="R48" s="117" t="str">
        <f t="shared" si="170"/>
        <v>0</v>
      </c>
      <c r="S48" s="114"/>
      <c r="T48" s="116"/>
      <c r="U48" s="116" t="str">
        <f t="shared" si="171"/>
        <v/>
      </c>
      <c r="V48" s="116">
        <v>3000000</v>
      </c>
      <c r="W48" s="116" t="e">
        <f t="shared" si="16"/>
        <v>#VALUE!</v>
      </c>
      <c r="X48" s="116" t="str">
        <f t="shared" si="172"/>
        <v/>
      </c>
      <c r="Y48" s="116" t="str">
        <f t="shared" si="173"/>
        <v>0</v>
      </c>
      <c r="Z48" s="326"/>
      <c r="AA48" s="326"/>
      <c r="AB48" s="326" t="str">
        <f t="shared" si="174"/>
        <v/>
      </c>
      <c r="AC48" s="332">
        <v>1800000</v>
      </c>
      <c r="AD48" s="140" t="e">
        <f t="shared" si="20"/>
        <v>#VALUE!</v>
      </c>
      <c r="AE48" s="326" t="str">
        <f t="shared" si="175"/>
        <v/>
      </c>
      <c r="AF48" s="117" t="str">
        <f t="shared" si="176"/>
        <v>0</v>
      </c>
      <c r="AG48" s="123"/>
      <c r="AH48" s="326"/>
      <c r="AI48" s="1257">
        <f t="shared" si="23"/>
        <v>4800000</v>
      </c>
      <c r="AJ48" s="140" t="str">
        <f t="shared" si="177"/>
        <v>0</v>
      </c>
      <c r="AK48" s="123" t="e">
        <f t="shared" ref="AK48:AM48" si="243">AD48+W48+P48</f>
        <v>#VALUE!</v>
      </c>
      <c r="AL48" s="123" t="e">
        <f t="shared" si="243"/>
        <v>#VALUE!</v>
      </c>
      <c r="AM48" s="123">
        <f t="shared" si="243"/>
        <v>0</v>
      </c>
      <c r="AN48" s="123">
        <f t="shared" si="26"/>
        <v>0</v>
      </c>
      <c r="AO48" s="1317" t="str">
        <f t="shared" si="62"/>
        <v/>
      </c>
      <c r="AP48" s="434" t="str">
        <f t="shared" si="179"/>
        <v/>
      </c>
      <c r="AQ48" s="1318" t="e">
        <f t="shared" si="28"/>
        <v>#VALUE!</v>
      </c>
      <c r="AR48" s="1319" t="str">
        <f t="shared" si="180"/>
        <v/>
      </c>
      <c r="AS48" s="1320" t="str">
        <f t="shared" si="181"/>
        <v>0</v>
      </c>
      <c r="AT48" s="125" t="str">
        <f t="shared" si="182"/>
        <v/>
      </c>
      <c r="AU48" s="140" t="e">
        <f t="shared" si="32"/>
        <v>#VALUE!</v>
      </c>
      <c r="AV48" s="326" t="str">
        <f t="shared" si="183"/>
        <v/>
      </c>
      <c r="AW48" s="333" t="str">
        <f t="shared" si="184"/>
        <v>0</v>
      </c>
      <c r="AX48" s="125" t="str">
        <f t="shared" si="185"/>
        <v/>
      </c>
      <c r="AY48" s="140" t="e">
        <f t="shared" si="36"/>
        <v>#VALUE!</v>
      </c>
      <c r="AZ48" s="326" t="str">
        <f t="shared" si="186"/>
        <v/>
      </c>
      <c r="BA48" s="332" t="str">
        <f t="shared" si="187"/>
        <v>0</v>
      </c>
      <c r="BB48" s="122" t="e">
        <f t="shared" ref="BB48:BD48" si="244">SUM(AY48,AU48,AQ48)</f>
        <v>#VALUE!</v>
      </c>
      <c r="BC48" s="326">
        <f t="shared" si="244"/>
        <v>0</v>
      </c>
      <c r="BD48" s="333">
        <f t="shared" si="244"/>
        <v>0</v>
      </c>
      <c r="BE48" s="123" t="e">
        <f t="shared" si="40"/>
        <v>#VALUE!</v>
      </c>
      <c r="BF48" s="326">
        <f t="shared" si="41"/>
        <v>0</v>
      </c>
      <c r="BG48" s="435">
        <f t="shared" si="42"/>
        <v>0</v>
      </c>
      <c r="BH48" s="125" t="str">
        <f t="shared" si="189"/>
        <v/>
      </c>
      <c r="BI48" s="1041" t="e">
        <f t="shared" si="44"/>
        <v>#VALUE!</v>
      </c>
      <c r="BJ48" s="123" t="str">
        <f t="shared" si="190"/>
        <v/>
      </c>
      <c r="BK48" s="326" t="str">
        <f t="shared" si="191"/>
        <v>0</v>
      </c>
      <c r="BL48" s="123" t="str">
        <f t="shared" si="192"/>
        <v/>
      </c>
      <c r="BM48" s="113" t="e">
        <f t="shared" si="48"/>
        <v>#VALUE!</v>
      </c>
      <c r="BN48" s="116" t="str">
        <f t="shared" si="193"/>
        <v/>
      </c>
      <c r="BO48" s="115" t="str">
        <f t="shared" si="205"/>
        <v>0</v>
      </c>
      <c r="BP48" s="326" t="str">
        <f t="shared" si="194"/>
        <v/>
      </c>
      <c r="BQ48" s="326" t="e">
        <f t="shared" si="51"/>
        <v>#VALUE!</v>
      </c>
      <c r="BR48" s="326" t="str">
        <f t="shared" si="195"/>
        <v/>
      </c>
      <c r="BS48" s="332" t="str">
        <f t="shared" si="196"/>
        <v/>
      </c>
      <c r="BT48" s="586" t="e">
        <f t="shared" ref="BT48:BV48" si="245">SUM(BQ48,BM48,BI48)</f>
        <v>#VALUE!</v>
      </c>
      <c r="BU48" s="738">
        <f t="shared" si="245"/>
        <v>0</v>
      </c>
      <c r="BV48" s="737">
        <f t="shared" si="245"/>
        <v>0</v>
      </c>
      <c r="BW48" s="125" t="str">
        <f t="shared" si="198"/>
        <v/>
      </c>
      <c r="BX48" s="140" t="e">
        <f t="shared" si="56"/>
        <v>#VALUE!</v>
      </c>
      <c r="BY48" s="123" t="str">
        <f t="shared" si="199"/>
        <v/>
      </c>
      <c r="BZ48" s="333" t="str">
        <f t="shared" si="200"/>
        <v/>
      </c>
      <c r="CA48" s="123" t="str">
        <f t="shared" si="201"/>
        <v/>
      </c>
      <c r="CB48" s="326" t="str">
        <f t="shared" si="202"/>
        <v/>
      </c>
      <c r="CF48" s="294"/>
      <c r="CG48" s="294"/>
      <c r="CH48" s="294"/>
      <c r="CI48" s="294"/>
      <c r="CJ48" s="294"/>
      <c r="CK48" s="294"/>
      <c r="CL48" s="294"/>
      <c r="CM48" s="294"/>
      <c r="CN48" s="294"/>
    </row>
    <row r="49" spans="1:92" ht="13">
      <c r="A49" s="325">
        <f t="shared" si="157"/>
        <v>112013144</v>
      </c>
      <c r="B49" s="324">
        <f t="shared" si="158"/>
        <v>22</v>
      </c>
      <c r="C49" s="558">
        <f t="shared" si="159"/>
        <v>0.1</v>
      </c>
      <c r="D49" s="558">
        <f t="shared" si="160"/>
        <v>0.09</v>
      </c>
      <c r="E49" s="715">
        <f t="shared" si="161"/>
        <v>0</v>
      </c>
      <c r="F49" s="547">
        <f t="shared" si="162"/>
        <v>22</v>
      </c>
      <c r="G49" s="699">
        <f t="shared" si="163"/>
        <v>0.1</v>
      </c>
      <c r="H49" s="699">
        <f t="shared" si="164"/>
        <v>0.09</v>
      </c>
      <c r="I49" s="702">
        <f t="shared" si="165"/>
        <v>0</v>
      </c>
      <c r="J49" s="837">
        <f t="shared" si="166"/>
        <v>63</v>
      </c>
      <c r="K49" s="699">
        <f t="shared" si="167"/>
        <v>0.1</v>
      </c>
      <c r="L49" s="1040">
        <f t="shared" si="168"/>
        <v>0.05</v>
      </c>
      <c r="M49" s="423" t="s">
        <v>1443</v>
      </c>
      <c r="N49" s="326"/>
      <c r="O49" s="332"/>
      <c r="P49" s="113" t="e">
        <f t="shared" si="12"/>
        <v>#VALUE!</v>
      </c>
      <c r="Q49" s="116" t="str">
        <f t="shared" si="169"/>
        <v/>
      </c>
      <c r="R49" s="117">
        <f t="shared" si="170"/>
        <v>0</v>
      </c>
      <c r="S49" s="114"/>
      <c r="T49" s="116"/>
      <c r="U49" s="116">
        <f t="shared" si="171"/>
        <v>0</v>
      </c>
      <c r="V49" s="116">
        <v>3000000</v>
      </c>
      <c r="W49" s="116" t="e">
        <f t="shared" si="16"/>
        <v>#VALUE!</v>
      </c>
      <c r="X49" s="116" t="str">
        <f t="shared" si="172"/>
        <v/>
      </c>
      <c r="Y49" s="116">
        <f t="shared" si="173"/>
        <v>0</v>
      </c>
      <c r="Z49" s="326"/>
      <c r="AA49" s="326"/>
      <c r="AB49" s="326">
        <f t="shared" si="174"/>
        <v>330348.61</v>
      </c>
      <c r="AC49" s="332">
        <v>1800000</v>
      </c>
      <c r="AD49" s="140" t="e">
        <f t="shared" si="20"/>
        <v>#VALUE!</v>
      </c>
      <c r="AE49" s="326" t="str">
        <f t="shared" si="175"/>
        <v/>
      </c>
      <c r="AF49" s="117">
        <f t="shared" si="176"/>
        <v>0</v>
      </c>
      <c r="AG49" s="123"/>
      <c r="AH49" s="326"/>
      <c r="AI49" s="1257">
        <f t="shared" si="23"/>
        <v>4800000</v>
      </c>
      <c r="AJ49" s="140" t="str">
        <f t="shared" si="177"/>
        <v>0</v>
      </c>
      <c r="AK49" s="123" t="e">
        <f t="shared" ref="AK49:AM49" si="246">AD49+W49+P49</f>
        <v>#VALUE!</v>
      </c>
      <c r="AL49" s="123" t="e">
        <f t="shared" si="246"/>
        <v>#VALUE!</v>
      </c>
      <c r="AM49" s="123">
        <f t="shared" si="246"/>
        <v>0</v>
      </c>
      <c r="AN49" s="123">
        <f t="shared" si="26"/>
        <v>0</v>
      </c>
      <c r="AO49" s="1317" t="str">
        <f t="shared" si="62"/>
        <v/>
      </c>
      <c r="AP49" s="434">
        <f t="shared" si="179"/>
        <v>120729.18</v>
      </c>
      <c r="AQ49" s="1318" t="e">
        <f t="shared" si="28"/>
        <v>#VALUE!</v>
      </c>
      <c r="AR49" s="1319" t="str">
        <f t="shared" si="180"/>
        <v/>
      </c>
      <c r="AS49" s="1320">
        <f t="shared" si="181"/>
        <v>0</v>
      </c>
      <c r="AT49" s="125">
        <f t="shared" si="182"/>
        <v>0</v>
      </c>
      <c r="AU49" s="140" t="e">
        <f t="shared" si="32"/>
        <v>#VALUE!</v>
      </c>
      <c r="AV49" s="326" t="str">
        <f t="shared" si="183"/>
        <v/>
      </c>
      <c r="AW49" s="333">
        <f t="shared" si="184"/>
        <v>0</v>
      </c>
      <c r="AX49" s="125">
        <f t="shared" si="185"/>
        <v>0</v>
      </c>
      <c r="AY49" s="140" t="e">
        <f t="shared" si="36"/>
        <v>#VALUE!</v>
      </c>
      <c r="AZ49" s="326" t="str">
        <f t="shared" si="186"/>
        <v/>
      </c>
      <c r="BA49" s="332">
        <f t="shared" si="187"/>
        <v>0</v>
      </c>
      <c r="BB49" s="122" t="e">
        <f t="shared" ref="BB49:BD49" si="247">SUM(AY49,AU49,AQ49)</f>
        <v>#VALUE!</v>
      </c>
      <c r="BC49" s="326">
        <f t="shared" si="247"/>
        <v>0</v>
      </c>
      <c r="BD49" s="333">
        <f t="shared" si="247"/>
        <v>0</v>
      </c>
      <c r="BE49" s="123" t="e">
        <f t="shared" si="40"/>
        <v>#VALUE!</v>
      </c>
      <c r="BF49" s="326">
        <f t="shared" si="41"/>
        <v>0</v>
      </c>
      <c r="BG49" s="435">
        <f t="shared" si="42"/>
        <v>0</v>
      </c>
      <c r="BH49" s="125">
        <f t="shared" si="189"/>
        <v>0</v>
      </c>
      <c r="BI49" s="1041" t="e">
        <f t="shared" si="44"/>
        <v>#VALUE!</v>
      </c>
      <c r="BJ49" s="123" t="str">
        <f t="shared" si="190"/>
        <v/>
      </c>
      <c r="BK49" s="326">
        <f t="shared" si="191"/>
        <v>0</v>
      </c>
      <c r="BL49" s="123">
        <f t="shared" si="192"/>
        <v>0</v>
      </c>
      <c r="BM49" s="113" t="e">
        <f t="shared" si="48"/>
        <v>#VALUE!</v>
      </c>
      <c r="BN49" s="116" t="str">
        <f t="shared" si="193"/>
        <v/>
      </c>
      <c r="BO49" s="115">
        <f t="shared" si="205"/>
        <v>0</v>
      </c>
      <c r="BP49" s="326">
        <f t="shared" si="194"/>
        <v>0</v>
      </c>
      <c r="BQ49" s="326" t="e">
        <f t="shared" si="51"/>
        <v>#VALUE!</v>
      </c>
      <c r="BR49" s="326" t="str">
        <f t="shared" si="195"/>
        <v/>
      </c>
      <c r="BS49" s="332">
        <f t="shared" si="196"/>
        <v>0</v>
      </c>
      <c r="BT49" s="586" t="e">
        <f t="shared" ref="BT49:BV49" si="248">SUM(BQ49,BM49,BI49)</f>
        <v>#VALUE!</v>
      </c>
      <c r="BU49" s="738">
        <f t="shared" si="248"/>
        <v>0</v>
      </c>
      <c r="BV49" s="737">
        <f t="shared" si="248"/>
        <v>0</v>
      </c>
      <c r="BW49" s="125">
        <f t="shared" si="198"/>
        <v>0</v>
      </c>
      <c r="BX49" s="140" t="e">
        <f t="shared" si="56"/>
        <v>#VALUE!</v>
      </c>
      <c r="BY49" s="123" t="str">
        <f t="shared" si="199"/>
        <v/>
      </c>
      <c r="BZ49" s="333">
        <f t="shared" si="200"/>
        <v>1607280.69</v>
      </c>
      <c r="CA49" s="123">
        <f t="shared" si="201"/>
        <v>0</v>
      </c>
      <c r="CB49" s="326">
        <f t="shared" si="202"/>
        <v>0</v>
      </c>
      <c r="CF49" s="294"/>
      <c r="CG49" s="294"/>
      <c r="CH49" s="294"/>
      <c r="CI49" s="294"/>
      <c r="CJ49" s="294"/>
      <c r="CK49" s="294"/>
      <c r="CL49" s="294"/>
      <c r="CM49" s="294"/>
      <c r="CN49" s="294"/>
    </row>
    <row r="50" spans="1:92" ht="13">
      <c r="A50" s="325">
        <f t="shared" si="157"/>
        <v>112014342</v>
      </c>
      <c r="B50" s="324">
        <f t="shared" si="158"/>
        <v>22</v>
      </c>
      <c r="C50" s="558">
        <f t="shared" si="159"/>
        <v>0.1</v>
      </c>
      <c r="D50" s="558">
        <f t="shared" si="160"/>
        <v>0.09</v>
      </c>
      <c r="E50" s="715">
        <f t="shared" si="161"/>
        <v>0</v>
      </c>
      <c r="F50" s="547">
        <f t="shared" si="162"/>
        <v>22</v>
      </c>
      <c r="G50" s="699">
        <f t="shared" si="163"/>
        <v>0.1</v>
      </c>
      <c r="H50" s="699">
        <f t="shared" si="164"/>
        <v>0.09</v>
      </c>
      <c r="I50" s="702">
        <f t="shared" si="165"/>
        <v>0</v>
      </c>
      <c r="J50" s="837">
        <f t="shared" si="166"/>
        <v>63</v>
      </c>
      <c r="K50" s="699">
        <f t="shared" si="167"/>
        <v>0.1</v>
      </c>
      <c r="L50" s="1040">
        <f t="shared" si="168"/>
        <v>0.05</v>
      </c>
      <c r="M50" s="423" t="s">
        <v>1444</v>
      </c>
      <c r="N50" s="326"/>
      <c r="O50" s="332"/>
      <c r="P50" s="113" t="e">
        <f t="shared" si="12"/>
        <v>#VALUE!</v>
      </c>
      <c r="Q50" s="116" t="str">
        <f t="shared" si="169"/>
        <v/>
      </c>
      <c r="R50" s="117" t="str">
        <f t="shared" si="170"/>
        <v>0</v>
      </c>
      <c r="S50" s="114"/>
      <c r="T50" s="116"/>
      <c r="U50" s="116">
        <f t="shared" si="171"/>
        <v>0</v>
      </c>
      <c r="V50" s="116">
        <v>3000000</v>
      </c>
      <c r="W50" s="116" t="e">
        <f t="shared" si="16"/>
        <v>#VALUE!</v>
      </c>
      <c r="X50" s="116" t="str">
        <f t="shared" si="172"/>
        <v/>
      </c>
      <c r="Y50" s="116" t="str">
        <f t="shared" si="173"/>
        <v>0</v>
      </c>
      <c r="Z50" s="326"/>
      <c r="AA50" s="326"/>
      <c r="AB50" s="326">
        <f t="shared" si="174"/>
        <v>0</v>
      </c>
      <c r="AC50" s="332">
        <v>1800000</v>
      </c>
      <c r="AD50" s="140" t="e">
        <f t="shared" si="20"/>
        <v>#VALUE!</v>
      </c>
      <c r="AE50" s="326" t="str">
        <f t="shared" si="175"/>
        <v/>
      </c>
      <c r="AF50" s="117" t="str">
        <f t="shared" si="176"/>
        <v>0</v>
      </c>
      <c r="AG50" s="123"/>
      <c r="AH50" s="326"/>
      <c r="AI50" s="1257">
        <f t="shared" si="23"/>
        <v>4800000</v>
      </c>
      <c r="AJ50" s="140" t="str">
        <f t="shared" si="177"/>
        <v>0</v>
      </c>
      <c r="AK50" s="123" t="e">
        <f t="shared" ref="AK50:AM50" si="249">AD50+W50+P50</f>
        <v>#VALUE!</v>
      </c>
      <c r="AL50" s="123" t="e">
        <f t="shared" si="249"/>
        <v>#VALUE!</v>
      </c>
      <c r="AM50" s="123">
        <f t="shared" si="249"/>
        <v>0</v>
      </c>
      <c r="AN50" s="123">
        <f t="shared" si="26"/>
        <v>0</v>
      </c>
      <c r="AO50" s="1317" t="str">
        <f t="shared" si="62"/>
        <v/>
      </c>
      <c r="AP50" s="434">
        <f t="shared" si="179"/>
        <v>0</v>
      </c>
      <c r="AQ50" s="1318" t="e">
        <f t="shared" si="28"/>
        <v>#VALUE!</v>
      </c>
      <c r="AR50" s="1319" t="str">
        <f t="shared" si="180"/>
        <v/>
      </c>
      <c r="AS50" s="1320" t="str">
        <f t="shared" si="181"/>
        <v>0</v>
      </c>
      <c r="AT50" s="125">
        <f t="shared" si="182"/>
        <v>0</v>
      </c>
      <c r="AU50" s="140" t="e">
        <f t="shared" si="32"/>
        <v>#VALUE!</v>
      </c>
      <c r="AV50" s="326" t="str">
        <f t="shared" si="183"/>
        <v/>
      </c>
      <c r="AW50" s="333" t="str">
        <f t="shared" si="184"/>
        <v>0</v>
      </c>
      <c r="AX50" s="125">
        <f t="shared" si="185"/>
        <v>344212.75</v>
      </c>
      <c r="AY50" s="140" t="e">
        <f t="shared" si="36"/>
        <v>#VALUE!</v>
      </c>
      <c r="AZ50" s="326" t="str">
        <f t="shared" si="186"/>
        <v/>
      </c>
      <c r="BA50" s="332" t="str">
        <f t="shared" si="187"/>
        <v>0</v>
      </c>
      <c r="BB50" s="122" t="e">
        <f t="shared" ref="BB50:BD50" si="250">SUM(AY50,AU50,AQ50)</f>
        <v>#VALUE!</v>
      </c>
      <c r="BC50" s="326">
        <f t="shared" si="250"/>
        <v>0</v>
      </c>
      <c r="BD50" s="333">
        <f t="shared" si="250"/>
        <v>0</v>
      </c>
      <c r="BE50" s="123" t="e">
        <f t="shared" si="40"/>
        <v>#VALUE!</v>
      </c>
      <c r="BF50" s="326">
        <f t="shared" si="41"/>
        <v>0</v>
      </c>
      <c r="BG50" s="435">
        <f t="shared" si="42"/>
        <v>0</v>
      </c>
      <c r="BH50" s="125">
        <f t="shared" si="189"/>
        <v>0</v>
      </c>
      <c r="BI50" s="1041" t="e">
        <f t="shared" si="44"/>
        <v>#VALUE!</v>
      </c>
      <c r="BJ50" s="123" t="str">
        <f t="shared" si="190"/>
        <v/>
      </c>
      <c r="BK50" s="326" t="str">
        <f t="shared" si="191"/>
        <v>0</v>
      </c>
      <c r="BL50" s="123">
        <f t="shared" si="192"/>
        <v>364873.77</v>
      </c>
      <c r="BM50" s="113" t="e">
        <f t="shared" si="48"/>
        <v>#VALUE!</v>
      </c>
      <c r="BN50" s="116" t="str">
        <f t="shared" si="193"/>
        <v/>
      </c>
      <c r="BO50" s="115" t="str">
        <f t="shared" si="205"/>
        <v>0</v>
      </c>
      <c r="BP50" s="326">
        <f t="shared" si="194"/>
        <v>0</v>
      </c>
      <c r="BQ50" s="326" t="e">
        <f t="shared" si="51"/>
        <v>#VALUE!</v>
      </c>
      <c r="BR50" s="326" t="str">
        <f t="shared" si="195"/>
        <v/>
      </c>
      <c r="BS50" s="332" t="str">
        <f t="shared" si="196"/>
        <v/>
      </c>
      <c r="BT50" s="586" t="e">
        <f t="shared" ref="BT50:BV50" si="251">SUM(BQ50,BM50,BI50)</f>
        <v>#VALUE!</v>
      </c>
      <c r="BU50" s="738">
        <f t="shared" si="251"/>
        <v>0</v>
      </c>
      <c r="BV50" s="737">
        <f t="shared" si="251"/>
        <v>0</v>
      </c>
      <c r="BW50" s="125">
        <f t="shared" si="198"/>
        <v>0</v>
      </c>
      <c r="BX50" s="140" t="e">
        <f t="shared" si="56"/>
        <v>#VALUE!</v>
      </c>
      <c r="BY50" s="123" t="str">
        <f t="shared" si="199"/>
        <v/>
      </c>
      <c r="BZ50" s="333" t="str">
        <f t="shared" si="200"/>
        <v/>
      </c>
      <c r="CA50" s="123">
        <f t="shared" si="201"/>
        <v>0</v>
      </c>
      <c r="CB50" s="326">
        <f t="shared" si="202"/>
        <v>0</v>
      </c>
      <c r="CF50" s="294"/>
      <c r="CG50" s="294"/>
      <c r="CH50" s="294"/>
      <c r="CI50" s="294"/>
      <c r="CJ50" s="294"/>
      <c r="CK50" s="294"/>
      <c r="CL50" s="294"/>
      <c r="CM50" s="294"/>
      <c r="CN50" s="294"/>
    </row>
    <row r="51" spans="1:92" ht="13">
      <c r="A51" s="325">
        <f t="shared" si="157"/>
        <v>112013858</v>
      </c>
      <c r="B51" s="324">
        <f t="shared" si="158"/>
        <v>22</v>
      </c>
      <c r="C51" s="558">
        <f t="shared" si="159"/>
        <v>0.1</v>
      </c>
      <c r="D51" s="558">
        <f t="shared" si="160"/>
        <v>0.09</v>
      </c>
      <c r="E51" s="715">
        <f t="shared" si="161"/>
        <v>0</v>
      </c>
      <c r="F51" s="547">
        <f t="shared" si="162"/>
        <v>22</v>
      </c>
      <c r="G51" s="699">
        <f t="shared" si="163"/>
        <v>0.1</v>
      </c>
      <c r="H51" s="699">
        <f t="shared" si="164"/>
        <v>0.09</v>
      </c>
      <c r="I51" s="702">
        <f t="shared" si="165"/>
        <v>0</v>
      </c>
      <c r="J51" s="837">
        <f t="shared" si="166"/>
        <v>63</v>
      </c>
      <c r="K51" s="699">
        <f t="shared" si="167"/>
        <v>0.1</v>
      </c>
      <c r="L51" s="1040">
        <f t="shared" si="168"/>
        <v>0.05</v>
      </c>
      <c r="M51" s="423" t="s">
        <v>1445</v>
      </c>
      <c r="N51" s="326"/>
      <c r="O51" s="332"/>
      <c r="P51" s="113" t="e">
        <f t="shared" si="12"/>
        <v>#VALUE!</v>
      </c>
      <c r="Q51" s="116" t="str">
        <f t="shared" si="169"/>
        <v/>
      </c>
      <c r="R51" s="117" t="str">
        <f t="shared" si="170"/>
        <v>0</v>
      </c>
      <c r="S51" s="114"/>
      <c r="T51" s="116"/>
      <c r="U51" s="116">
        <f t="shared" si="171"/>
        <v>0</v>
      </c>
      <c r="V51" s="116">
        <v>3000000</v>
      </c>
      <c r="W51" s="116" t="e">
        <f t="shared" si="16"/>
        <v>#VALUE!</v>
      </c>
      <c r="X51" s="116" t="str">
        <f t="shared" si="172"/>
        <v/>
      </c>
      <c r="Y51" s="116" t="str">
        <f t="shared" si="173"/>
        <v>0</v>
      </c>
      <c r="Z51" s="326"/>
      <c r="AA51" s="326"/>
      <c r="AB51" s="326">
        <f t="shared" si="174"/>
        <v>0</v>
      </c>
      <c r="AC51" s="332">
        <v>1800000</v>
      </c>
      <c r="AD51" s="140" t="e">
        <f t="shared" si="20"/>
        <v>#VALUE!</v>
      </c>
      <c r="AE51" s="326" t="str">
        <f t="shared" si="175"/>
        <v/>
      </c>
      <c r="AF51" s="117" t="str">
        <f t="shared" si="176"/>
        <v>0</v>
      </c>
      <c r="AG51" s="123"/>
      <c r="AH51" s="326"/>
      <c r="AI51" s="1257">
        <f t="shared" si="23"/>
        <v>4800000</v>
      </c>
      <c r="AJ51" s="140" t="str">
        <f t="shared" si="177"/>
        <v>0</v>
      </c>
      <c r="AK51" s="123" t="e">
        <f t="shared" ref="AK51:AM51" si="252">AD51+W51+P51</f>
        <v>#VALUE!</v>
      </c>
      <c r="AL51" s="123" t="e">
        <f t="shared" si="252"/>
        <v>#VALUE!</v>
      </c>
      <c r="AM51" s="123">
        <f t="shared" si="252"/>
        <v>0</v>
      </c>
      <c r="AN51" s="123">
        <f t="shared" si="26"/>
        <v>0</v>
      </c>
      <c r="AO51" s="1317" t="str">
        <f t="shared" si="62"/>
        <v/>
      </c>
      <c r="AP51" s="434">
        <f t="shared" si="179"/>
        <v>0</v>
      </c>
      <c r="AQ51" s="1318" t="e">
        <f t="shared" si="28"/>
        <v>#VALUE!</v>
      </c>
      <c r="AR51" s="1319" t="str">
        <f t="shared" si="180"/>
        <v/>
      </c>
      <c r="AS51" s="1320" t="str">
        <f t="shared" si="181"/>
        <v>0</v>
      </c>
      <c r="AT51" s="125">
        <f t="shared" si="182"/>
        <v>0</v>
      </c>
      <c r="AU51" s="140" t="e">
        <f t="shared" si="32"/>
        <v>#VALUE!</v>
      </c>
      <c r="AV51" s="326" t="str">
        <f t="shared" si="183"/>
        <v/>
      </c>
      <c r="AW51" s="333" t="str">
        <f t="shared" si="184"/>
        <v>0</v>
      </c>
      <c r="AX51" s="125">
        <f t="shared" si="185"/>
        <v>0</v>
      </c>
      <c r="AY51" s="140" t="e">
        <f t="shared" si="36"/>
        <v>#VALUE!</v>
      </c>
      <c r="AZ51" s="326" t="str">
        <f t="shared" si="186"/>
        <v/>
      </c>
      <c r="BA51" s="332" t="str">
        <f t="shared" si="187"/>
        <v>0</v>
      </c>
      <c r="BB51" s="122" t="e">
        <f t="shared" ref="BB51:BD51" si="253">SUM(AY51,AU51,AQ51)</f>
        <v>#VALUE!</v>
      </c>
      <c r="BC51" s="326">
        <f t="shared" si="253"/>
        <v>0</v>
      </c>
      <c r="BD51" s="333">
        <f t="shared" si="253"/>
        <v>0</v>
      </c>
      <c r="BE51" s="123" t="e">
        <f t="shared" si="40"/>
        <v>#VALUE!</v>
      </c>
      <c r="BF51" s="326">
        <f t="shared" si="41"/>
        <v>0</v>
      </c>
      <c r="BG51" s="435">
        <f t="shared" si="42"/>
        <v>0</v>
      </c>
      <c r="BH51" s="125">
        <f t="shared" si="189"/>
        <v>0</v>
      </c>
      <c r="BI51" s="1041" t="e">
        <f t="shared" si="44"/>
        <v>#VALUE!</v>
      </c>
      <c r="BJ51" s="123" t="str">
        <f t="shared" si="190"/>
        <v/>
      </c>
      <c r="BK51" s="326" t="str">
        <f t="shared" si="191"/>
        <v>0</v>
      </c>
      <c r="BL51" s="123">
        <f t="shared" si="192"/>
        <v>0</v>
      </c>
      <c r="BM51" s="113" t="e">
        <f t="shared" si="48"/>
        <v>#VALUE!</v>
      </c>
      <c r="BN51" s="116" t="str">
        <f t="shared" si="193"/>
        <v/>
      </c>
      <c r="BO51" s="115" t="str">
        <f t="shared" si="205"/>
        <v>0</v>
      </c>
      <c r="BP51" s="326">
        <f t="shared" si="194"/>
        <v>76000</v>
      </c>
      <c r="BQ51" s="326" t="e">
        <f t="shared" si="51"/>
        <v>#VALUE!</v>
      </c>
      <c r="BR51" s="326" t="str">
        <f t="shared" si="195"/>
        <v/>
      </c>
      <c r="BS51" s="332" t="str">
        <f t="shared" si="196"/>
        <v/>
      </c>
      <c r="BT51" s="586" t="e">
        <f t="shared" ref="BT51:BV51" si="254">SUM(BQ51,BM51,BI51)</f>
        <v>#VALUE!</v>
      </c>
      <c r="BU51" s="738">
        <f t="shared" si="254"/>
        <v>0</v>
      </c>
      <c r="BV51" s="737">
        <f t="shared" si="254"/>
        <v>0</v>
      </c>
      <c r="BW51" s="125">
        <f t="shared" si="198"/>
        <v>0</v>
      </c>
      <c r="BX51" s="140" t="e">
        <f t="shared" si="56"/>
        <v>#VALUE!</v>
      </c>
      <c r="BY51" s="123" t="str">
        <f t="shared" si="199"/>
        <v/>
      </c>
      <c r="BZ51" s="333" t="str">
        <f t="shared" si="200"/>
        <v/>
      </c>
      <c r="CA51" s="123">
        <f t="shared" si="201"/>
        <v>0</v>
      </c>
      <c r="CB51" s="326">
        <f t="shared" si="202"/>
        <v>0</v>
      </c>
      <c r="CF51" s="294"/>
      <c r="CG51" s="294"/>
      <c r="CH51" s="294"/>
      <c r="CI51" s="294"/>
      <c r="CJ51" s="294"/>
      <c r="CK51" s="294"/>
      <c r="CL51" s="294"/>
      <c r="CM51" s="294"/>
      <c r="CN51" s="294"/>
    </row>
    <row r="52" spans="1:92" ht="13">
      <c r="A52" s="325">
        <f t="shared" si="157"/>
        <v>112013865</v>
      </c>
      <c r="B52" s="324">
        <f t="shared" si="158"/>
        <v>22</v>
      </c>
      <c r="C52" s="558">
        <f t="shared" si="159"/>
        <v>0.1</v>
      </c>
      <c r="D52" s="558">
        <f t="shared" si="160"/>
        <v>0.09</v>
      </c>
      <c r="E52" s="715">
        <f t="shared" si="161"/>
        <v>0</v>
      </c>
      <c r="F52" s="547">
        <f t="shared" si="162"/>
        <v>22</v>
      </c>
      <c r="G52" s="699">
        <f t="shared" si="163"/>
        <v>0.1</v>
      </c>
      <c r="H52" s="699">
        <f t="shared" si="164"/>
        <v>0.09</v>
      </c>
      <c r="I52" s="702">
        <f t="shared" si="165"/>
        <v>0</v>
      </c>
      <c r="J52" s="837">
        <f t="shared" si="166"/>
        <v>63</v>
      </c>
      <c r="K52" s="699">
        <f t="shared" si="167"/>
        <v>0.1</v>
      </c>
      <c r="L52" s="1040">
        <f t="shared" si="168"/>
        <v>0.05</v>
      </c>
      <c r="M52" s="423" t="s">
        <v>1446</v>
      </c>
      <c r="N52" s="326"/>
      <c r="O52" s="332"/>
      <c r="P52" s="113" t="e">
        <f t="shared" si="12"/>
        <v>#VALUE!</v>
      </c>
      <c r="Q52" s="116" t="str">
        <f t="shared" si="169"/>
        <v/>
      </c>
      <c r="R52" s="117" t="str">
        <f t="shared" si="170"/>
        <v>0</v>
      </c>
      <c r="S52" s="114"/>
      <c r="T52" s="116"/>
      <c r="U52" s="116">
        <f t="shared" si="171"/>
        <v>0</v>
      </c>
      <c r="V52" s="116">
        <v>3000000</v>
      </c>
      <c r="W52" s="116" t="e">
        <f t="shared" si="16"/>
        <v>#VALUE!</v>
      </c>
      <c r="X52" s="116" t="str">
        <f t="shared" si="172"/>
        <v/>
      </c>
      <c r="Y52" s="116" t="str">
        <f t="shared" si="173"/>
        <v>0</v>
      </c>
      <c r="Z52" s="326"/>
      <c r="AA52" s="326"/>
      <c r="AB52" s="326">
        <f t="shared" si="174"/>
        <v>155553.70000000001</v>
      </c>
      <c r="AC52" s="332">
        <v>1800000</v>
      </c>
      <c r="AD52" s="140" t="e">
        <f t="shared" si="20"/>
        <v>#VALUE!</v>
      </c>
      <c r="AE52" s="326" t="str">
        <f t="shared" si="175"/>
        <v/>
      </c>
      <c r="AF52" s="117" t="str">
        <f t="shared" si="176"/>
        <v>0</v>
      </c>
      <c r="AG52" s="123"/>
      <c r="AH52" s="326"/>
      <c r="AI52" s="1257">
        <f t="shared" si="23"/>
        <v>4800000</v>
      </c>
      <c r="AJ52" s="140" t="str">
        <f t="shared" si="177"/>
        <v>0</v>
      </c>
      <c r="AK52" s="123" t="e">
        <f t="shared" ref="AK52:AM52" si="255">AD52+W52+P52</f>
        <v>#VALUE!</v>
      </c>
      <c r="AL52" s="123" t="e">
        <f t="shared" si="255"/>
        <v>#VALUE!</v>
      </c>
      <c r="AM52" s="123">
        <f t="shared" si="255"/>
        <v>0</v>
      </c>
      <c r="AN52" s="123">
        <f t="shared" si="26"/>
        <v>0</v>
      </c>
      <c r="AO52" s="1317" t="str">
        <f t="shared" si="62"/>
        <v/>
      </c>
      <c r="AP52" s="434">
        <f t="shared" si="179"/>
        <v>0</v>
      </c>
      <c r="AQ52" s="1318" t="e">
        <f t="shared" si="28"/>
        <v>#VALUE!</v>
      </c>
      <c r="AR52" s="1319" t="str">
        <f t="shared" si="180"/>
        <v/>
      </c>
      <c r="AS52" s="1320" t="str">
        <f t="shared" si="181"/>
        <v>0</v>
      </c>
      <c r="AT52" s="125">
        <f t="shared" si="182"/>
        <v>1500376.51</v>
      </c>
      <c r="AU52" s="140" t="e">
        <f t="shared" si="32"/>
        <v>#VALUE!</v>
      </c>
      <c r="AV52" s="326" t="str">
        <f t="shared" si="183"/>
        <v/>
      </c>
      <c r="AW52" s="333" t="str">
        <f t="shared" si="184"/>
        <v>0</v>
      </c>
      <c r="AX52" s="125">
        <f t="shared" si="185"/>
        <v>223365.42</v>
      </c>
      <c r="AY52" s="140" t="e">
        <f t="shared" si="36"/>
        <v>#VALUE!</v>
      </c>
      <c r="AZ52" s="326" t="str">
        <f t="shared" si="186"/>
        <v/>
      </c>
      <c r="BA52" s="332" t="str">
        <f t="shared" si="187"/>
        <v>0</v>
      </c>
      <c r="BB52" s="122" t="e">
        <f t="shared" ref="BB52:BD52" si="256">SUM(AY52,AU52,AQ52)</f>
        <v>#VALUE!</v>
      </c>
      <c r="BC52" s="326">
        <f t="shared" si="256"/>
        <v>0</v>
      </c>
      <c r="BD52" s="333">
        <f t="shared" si="256"/>
        <v>0</v>
      </c>
      <c r="BE52" s="123" t="e">
        <f t="shared" si="40"/>
        <v>#VALUE!</v>
      </c>
      <c r="BF52" s="326">
        <f t="shared" si="41"/>
        <v>0</v>
      </c>
      <c r="BG52" s="435">
        <f t="shared" si="42"/>
        <v>0</v>
      </c>
      <c r="BH52" s="125">
        <f t="shared" si="189"/>
        <v>119505.09</v>
      </c>
      <c r="BI52" s="1041" t="e">
        <f t="shared" si="44"/>
        <v>#VALUE!</v>
      </c>
      <c r="BJ52" s="123" t="str">
        <f t="shared" si="190"/>
        <v/>
      </c>
      <c r="BK52" s="326" t="str">
        <f t="shared" si="191"/>
        <v>0</v>
      </c>
      <c r="BL52" s="123">
        <f t="shared" si="192"/>
        <v>0</v>
      </c>
      <c r="BM52" s="113" t="e">
        <f t="shared" si="48"/>
        <v>#VALUE!</v>
      </c>
      <c r="BN52" s="116" t="str">
        <f t="shared" si="193"/>
        <v/>
      </c>
      <c r="BO52" s="115" t="str">
        <f t="shared" si="205"/>
        <v>0</v>
      </c>
      <c r="BP52" s="326">
        <f t="shared" si="194"/>
        <v>0</v>
      </c>
      <c r="BQ52" s="326" t="e">
        <f t="shared" si="51"/>
        <v>#VALUE!</v>
      </c>
      <c r="BR52" s="326" t="str">
        <f t="shared" si="195"/>
        <v/>
      </c>
      <c r="BS52" s="332" t="str">
        <f t="shared" si="196"/>
        <v/>
      </c>
      <c r="BT52" s="586" t="e">
        <f t="shared" ref="BT52:BV52" si="257">SUM(BQ52,BM52,BI52)</f>
        <v>#VALUE!</v>
      </c>
      <c r="BU52" s="738">
        <f t="shared" si="257"/>
        <v>0</v>
      </c>
      <c r="BV52" s="737">
        <f t="shared" si="257"/>
        <v>0</v>
      </c>
      <c r="BW52" s="125">
        <f t="shared" si="198"/>
        <v>0</v>
      </c>
      <c r="BX52" s="140" t="e">
        <f t="shared" si="56"/>
        <v>#VALUE!</v>
      </c>
      <c r="BY52" s="123" t="str">
        <f t="shared" si="199"/>
        <v/>
      </c>
      <c r="BZ52" s="333" t="str">
        <f t="shared" si="200"/>
        <v/>
      </c>
      <c r="CA52" s="123">
        <f t="shared" si="201"/>
        <v>0</v>
      </c>
      <c r="CB52" s="326">
        <f t="shared" si="202"/>
        <v>0</v>
      </c>
      <c r="CF52" s="294"/>
      <c r="CG52" s="294"/>
      <c r="CH52" s="294"/>
      <c r="CI52" s="294"/>
      <c r="CJ52" s="294"/>
      <c r="CK52" s="294"/>
      <c r="CL52" s="294"/>
      <c r="CM52" s="294"/>
      <c r="CN52" s="294"/>
    </row>
    <row r="53" spans="1:92" ht="13">
      <c r="A53" s="325">
        <f t="shared" si="157"/>
        <v>112014400</v>
      </c>
      <c r="B53" s="324">
        <f t="shared" si="158"/>
        <v>22</v>
      </c>
      <c r="C53" s="558">
        <f t="shared" si="159"/>
        <v>0.1</v>
      </c>
      <c r="D53" s="558">
        <f t="shared" si="160"/>
        <v>0.09</v>
      </c>
      <c r="E53" s="715">
        <f t="shared" si="161"/>
        <v>0</v>
      </c>
      <c r="F53" s="547">
        <f t="shared" si="162"/>
        <v>22</v>
      </c>
      <c r="G53" s="699">
        <f t="shared" si="163"/>
        <v>0.1</v>
      </c>
      <c r="H53" s="699">
        <f t="shared" si="164"/>
        <v>0.09</v>
      </c>
      <c r="I53" s="702">
        <f t="shared" si="165"/>
        <v>0</v>
      </c>
      <c r="J53" s="837">
        <f t="shared" si="166"/>
        <v>63</v>
      </c>
      <c r="K53" s="699">
        <f t="shared" si="167"/>
        <v>0.1</v>
      </c>
      <c r="L53" s="1040">
        <f t="shared" si="168"/>
        <v>0.05</v>
      </c>
      <c r="M53" s="423" t="s">
        <v>1447</v>
      </c>
      <c r="N53" s="326"/>
      <c r="O53" s="332"/>
      <c r="P53" s="113" t="e">
        <f t="shared" si="12"/>
        <v>#VALUE!</v>
      </c>
      <c r="Q53" s="116" t="str">
        <f t="shared" si="169"/>
        <v/>
      </c>
      <c r="R53" s="117">
        <f t="shared" si="170"/>
        <v>0</v>
      </c>
      <c r="S53" s="114"/>
      <c r="T53" s="116"/>
      <c r="U53" s="116">
        <f t="shared" si="171"/>
        <v>0</v>
      </c>
      <c r="V53" s="116">
        <v>3000000</v>
      </c>
      <c r="W53" s="116" t="e">
        <f t="shared" si="16"/>
        <v>#VALUE!</v>
      </c>
      <c r="X53" s="116" t="str">
        <f t="shared" si="172"/>
        <v/>
      </c>
      <c r="Y53" s="116">
        <f t="shared" si="173"/>
        <v>-35481.699999999997</v>
      </c>
      <c r="Z53" s="326"/>
      <c r="AA53" s="326"/>
      <c r="AB53" s="326">
        <f t="shared" si="174"/>
        <v>330605.74</v>
      </c>
      <c r="AC53" s="332">
        <v>1800000</v>
      </c>
      <c r="AD53" s="140" t="e">
        <f t="shared" si="20"/>
        <v>#VALUE!</v>
      </c>
      <c r="AE53" s="326" t="str">
        <f t="shared" si="175"/>
        <v/>
      </c>
      <c r="AF53" s="117">
        <f t="shared" si="176"/>
        <v>0</v>
      </c>
      <c r="AG53" s="123"/>
      <c r="AH53" s="326"/>
      <c r="AI53" s="1257">
        <f t="shared" si="23"/>
        <v>4800000</v>
      </c>
      <c r="AJ53" s="140">
        <f t="shared" si="177"/>
        <v>1832542.29</v>
      </c>
      <c r="AK53" s="123" t="e">
        <f t="shared" ref="AK53:AM53" si="258">AD53+W53+P53</f>
        <v>#VALUE!</v>
      </c>
      <c r="AL53" s="123" t="e">
        <f t="shared" si="258"/>
        <v>#VALUE!</v>
      </c>
      <c r="AM53" s="123">
        <f t="shared" si="258"/>
        <v>-35481.699999999997</v>
      </c>
      <c r="AN53" s="123">
        <f t="shared" si="26"/>
        <v>-1868023.99</v>
      </c>
      <c r="AO53" s="1317">
        <f t="shared" si="62"/>
        <v>-1.0193620088298208</v>
      </c>
      <c r="AP53" s="434">
        <f t="shared" si="179"/>
        <v>108384.17</v>
      </c>
      <c r="AQ53" s="1318" t="e">
        <f t="shared" si="28"/>
        <v>#VALUE!</v>
      </c>
      <c r="AR53" s="1319" t="str">
        <f t="shared" si="180"/>
        <v/>
      </c>
      <c r="AS53" s="1320">
        <f t="shared" si="181"/>
        <v>0</v>
      </c>
      <c r="AT53" s="125">
        <f t="shared" si="182"/>
        <v>732516.7</v>
      </c>
      <c r="AU53" s="140" t="e">
        <f t="shared" si="32"/>
        <v>#VALUE!</v>
      </c>
      <c r="AV53" s="326" t="str">
        <f t="shared" si="183"/>
        <v/>
      </c>
      <c r="AW53" s="333">
        <f t="shared" si="184"/>
        <v>0</v>
      </c>
      <c r="AX53" s="125">
        <f t="shared" si="185"/>
        <v>0</v>
      </c>
      <c r="AY53" s="140" t="e">
        <f t="shared" si="36"/>
        <v>#VALUE!</v>
      </c>
      <c r="AZ53" s="326" t="str">
        <f t="shared" si="186"/>
        <v/>
      </c>
      <c r="BA53" s="332">
        <f t="shared" si="187"/>
        <v>0</v>
      </c>
      <c r="BB53" s="122" t="e">
        <f t="shared" ref="BB53:BD53" si="259">SUM(AY53,AU53,AQ53)</f>
        <v>#VALUE!</v>
      </c>
      <c r="BC53" s="326">
        <f t="shared" si="259"/>
        <v>0</v>
      </c>
      <c r="BD53" s="333">
        <f t="shared" si="259"/>
        <v>0</v>
      </c>
      <c r="BE53" s="123" t="e">
        <f t="shared" si="40"/>
        <v>#VALUE!</v>
      </c>
      <c r="BF53" s="326">
        <f t="shared" si="41"/>
        <v>0</v>
      </c>
      <c r="BG53" s="435">
        <f t="shared" si="42"/>
        <v>-35481.699999999997</v>
      </c>
      <c r="BH53" s="125">
        <f t="shared" si="189"/>
        <v>917548.94</v>
      </c>
      <c r="BI53" s="1041" t="e">
        <f t="shared" si="44"/>
        <v>#VALUE!</v>
      </c>
      <c r="BJ53" s="123" t="str">
        <f t="shared" si="190"/>
        <v/>
      </c>
      <c r="BK53" s="326">
        <f t="shared" si="191"/>
        <v>0</v>
      </c>
      <c r="BL53" s="123">
        <f t="shared" si="192"/>
        <v>508096.47</v>
      </c>
      <c r="BM53" s="113" t="e">
        <f t="shared" si="48"/>
        <v>#VALUE!</v>
      </c>
      <c r="BN53" s="116" t="str">
        <f t="shared" si="193"/>
        <v/>
      </c>
      <c r="BO53" s="115">
        <f t="shared" si="205"/>
        <v>0</v>
      </c>
      <c r="BP53" s="326">
        <f t="shared" si="194"/>
        <v>223095.35</v>
      </c>
      <c r="BQ53" s="326" t="e">
        <f t="shared" si="51"/>
        <v>#VALUE!</v>
      </c>
      <c r="BR53" s="326" t="str">
        <f t="shared" si="195"/>
        <v/>
      </c>
      <c r="BS53" s="332">
        <f t="shared" si="196"/>
        <v>0</v>
      </c>
      <c r="BT53" s="586" t="e">
        <f t="shared" ref="BT53:BV53" si="260">SUM(BQ53,BM53,BI53)</f>
        <v>#VALUE!</v>
      </c>
      <c r="BU53" s="738">
        <f t="shared" si="260"/>
        <v>0</v>
      </c>
      <c r="BV53" s="737">
        <f t="shared" si="260"/>
        <v>0</v>
      </c>
      <c r="BW53" s="125">
        <f t="shared" si="198"/>
        <v>1087918.51</v>
      </c>
      <c r="BX53" s="140" t="e">
        <f t="shared" si="56"/>
        <v>#VALUE!</v>
      </c>
      <c r="BY53" s="123" t="str">
        <f t="shared" si="199"/>
        <v/>
      </c>
      <c r="BZ53" s="333">
        <f t="shared" si="200"/>
        <v>0</v>
      </c>
      <c r="CA53" s="123">
        <f t="shared" si="201"/>
        <v>100548.07</v>
      </c>
      <c r="CB53" s="326">
        <f t="shared" si="202"/>
        <v>644075.71</v>
      </c>
      <c r="CF53" s="294"/>
      <c r="CG53" s="294"/>
      <c r="CH53" s="294"/>
      <c r="CI53" s="294"/>
      <c r="CJ53" s="294"/>
      <c r="CK53" s="294"/>
      <c r="CL53" s="294"/>
      <c r="CM53" s="294"/>
      <c r="CN53" s="294"/>
    </row>
    <row r="54" spans="1:92" ht="13">
      <c r="A54" s="325">
        <f t="shared" si="157"/>
        <v>112013987</v>
      </c>
      <c r="B54" s="324">
        <f t="shared" si="158"/>
        <v>22</v>
      </c>
      <c r="C54" s="558">
        <f t="shared" si="159"/>
        <v>0.1</v>
      </c>
      <c r="D54" s="558">
        <f t="shared" si="160"/>
        <v>0.09</v>
      </c>
      <c r="E54" s="715">
        <f t="shared" si="161"/>
        <v>0</v>
      </c>
      <c r="F54" s="547">
        <f t="shared" si="162"/>
        <v>22</v>
      </c>
      <c r="G54" s="699">
        <f t="shared" si="163"/>
        <v>0.1</v>
      </c>
      <c r="H54" s="699">
        <f t="shared" si="164"/>
        <v>0.09</v>
      </c>
      <c r="I54" s="702">
        <f t="shared" si="165"/>
        <v>0</v>
      </c>
      <c r="J54" s="837">
        <f t="shared" si="166"/>
        <v>63</v>
      </c>
      <c r="K54" s="699">
        <f t="shared" si="167"/>
        <v>0.1</v>
      </c>
      <c r="L54" s="1040">
        <f t="shared" si="168"/>
        <v>0.05</v>
      </c>
      <c r="M54" s="423" t="s">
        <v>1448</v>
      </c>
      <c r="N54" s="326"/>
      <c r="O54" s="332"/>
      <c r="P54" s="113" t="e">
        <f t="shared" si="12"/>
        <v>#VALUE!</v>
      </c>
      <c r="Q54" s="116" t="str">
        <f t="shared" si="169"/>
        <v/>
      </c>
      <c r="R54" s="117">
        <f t="shared" si="170"/>
        <v>0</v>
      </c>
      <c r="S54" s="114"/>
      <c r="T54" s="116"/>
      <c r="U54" s="116">
        <f t="shared" si="171"/>
        <v>62801.36</v>
      </c>
      <c r="V54" s="116">
        <v>3000000</v>
      </c>
      <c r="W54" s="116" t="e">
        <f t="shared" si="16"/>
        <v>#VALUE!</v>
      </c>
      <c r="X54" s="116" t="str">
        <f t="shared" si="172"/>
        <v/>
      </c>
      <c r="Y54" s="116">
        <f t="shared" si="173"/>
        <v>0</v>
      </c>
      <c r="Z54" s="326"/>
      <c r="AA54" s="326"/>
      <c r="AB54" s="326">
        <f t="shared" si="174"/>
        <v>7238.43</v>
      </c>
      <c r="AC54" s="332">
        <v>1800000</v>
      </c>
      <c r="AD54" s="140" t="e">
        <f t="shared" si="20"/>
        <v>#VALUE!</v>
      </c>
      <c r="AE54" s="326" t="str">
        <f t="shared" si="175"/>
        <v/>
      </c>
      <c r="AF54" s="117">
        <f t="shared" si="176"/>
        <v>0</v>
      </c>
      <c r="AG54" s="123"/>
      <c r="AH54" s="326"/>
      <c r="AI54" s="1257">
        <f t="shared" si="23"/>
        <v>4800000</v>
      </c>
      <c r="AJ54" s="140">
        <f t="shared" si="177"/>
        <v>258181.71</v>
      </c>
      <c r="AK54" s="123" t="e">
        <f t="shared" ref="AK54:AM54" si="261">AD54+W54+P54</f>
        <v>#VALUE!</v>
      </c>
      <c r="AL54" s="123" t="e">
        <f t="shared" si="261"/>
        <v>#VALUE!</v>
      </c>
      <c r="AM54" s="123">
        <f t="shared" si="261"/>
        <v>0</v>
      </c>
      <c r="AN54" s="123">
        <f t="shared" si="26"/>
        <v>-258181.71</v>
      </c>
      <c r="AO54" s="1317">
        <f t="shared" si="62"/>
        <v>-1</v>
      </c>
      <c r="AP54" s="434">
        <f t="shared" si="179"/>
        <v>173735.44</v>
      </c>
      <c r="AQ54" s="1318" t="e">
        <f t="shared" si="28"/>
        <v>#VALUE!</v>
      </c>
      <c r="AR54" s="1319" t="str">
        <f t="shared" si="180"/>
        <v/>
      </c>
      <c r="AS54" s="1320">
        <f t="shared" si="181"/>
        <v>0</v>
      </c>
      <c r="AT54" s="125">
        <f t="shared" si="182"/>
        <v>0</v>
      </c>
      <c r="AU54" s="140" t="e">
        <f t="shared" si="32"/>
        <v>#VALUE!</v>
      </c>
      <c r="AV54" s="326" t="str">
        <f t="shared" si="183"/>
        <v/>
      </c>
      <c r="AW54" s="333">
        <f t="shared" si="184"/>
        <v>0</v>
      </c>
      <c r="AX54" s="125">
        <f t="shared" si="185"/>
        <v>113667.24</v>
      </c>
      <c r="AY54" s="140" t="e">
        <f t="shared" si="36"/>
        <v>#VALUE!</v>
      </c>
      <c r="AZ54" s="326" t="str">
        <f t="shared" si="186"/>
        <v/>
      </c>
      <c r="BA54" s="332">
        <f t="shared" si="187"/>
        <v>0</v>
      </c>
      <c r="BB54" s="122" t="e">
        <f t="shared" ref="BB54:BD54" si="262">SUM(AY54,AU54,AQ54)</f>
        <v>#VALUE!</v>
      </c>
      <c r="BC54" s="326">
        <f t="shared" si="262"/>
        <v>0</v>
      </c>
      <c r="BD54" s="333">
        <f t="shared" si="262"/>
        <v>0</v>
      </c>
      <c r="BE54" s="123" t="e">
        <f t="shared" si="40"/>
        <v>#VALUE!</v>
      </c>
      <c r="BF54" s="326">
        <f t="shared" si="41"/>
        <v>0</v>
      </c>
      <c r="BG54" s="435">
        <f t="shared" si="42"/>
        <v>0</v>
      </c>
      <c r="BH54" s="125">
        <f t="shared" si="189"/>
        <v>73979.09</v>
      </c>
      <c r="BI54" s="1041" t="e">
        <f t="shared" si="44"/>
        <v>#VALUE!</v>
      </c>
      <c r="BJ54" s="123" t="str">
        <f t="shared" si="190"/>
        <v/>
      </c>
      <c r="BK54" s="326">
        <f t="shared" si="191"/>
        <v>0</v>
      </c>
      <c r="BL54" s="123">
        <f t="shared" si="192"/>
        <v>0</v>
      </c>
      <c r="BM54" s="113" t="e">
        <f t="shared" si="48"/>
        <v>#VALUE!</v>
      </c>
      <c r="BN54" s="116" t="str">
        <f t="shared" si="193"/>
        <v/>
      </c>
      <c r="BO54" s="115">
        <f t="shared" si="205"/>
        <v>277896</v>
      </c>
      <c r="BP54" s="326">
        <f t="shared" si="194"/>
        <v>190544.63</v>
      </c>
      <c r="BQ54" s="326" t="e">
        <f t="shared" si="51"/>
        <v>#VALUE!</v>
      </c>
      <c r="BR54" s="326" t="str">
        <f t="shared" si="195"/>
        <v/>
      </c>
      <c r="BS54" s="332">
        <f t="shared" si="196"/>
        <v>89385.02</v>
      </c>
      <c r="BT54" s="586" t="e">
        <f t="shared" ref="BT54:BV54" si="263">SUM(BQ54,BM54,BI54)</f>
        <v>#VALUE!</v>
      </c>
      <c r="BU54" s="738">
        <f t="shared" si="263"/>
        <v>0</v>
      </c>
      <c r="BV54" s="737">
        <f t="shared" si="263"/>
        <v>367281.02</v>
      </c>
      <c r="BW54" s="125">
        <f t="shared" si="198"/>
        <v>120970.57</v>
      </c>
      <c r="BX54" s="140" t="e">
        <f t="shared" si="56"/>
        <v>#VALUE!</v>
      </c>
      <c r="BY54" s="123" t="str">
        <f t="shared" si="199"/>
        <v/>
      </c>
      <c r="BZ54" s="333">
        <f t="shared" si="200"/>
        <v>70601.570000000007</v>
      </c>
      <c r="CA54" s="123">
        <f t="shared" si="201"/>
        <v>70518.210000000006</v>
      </c>
      <c r="CB54" s="326">
        <f t="shared" si="202"/>
        <v>66692.929999999993</v>
      </c>
      <c r="CF54" s="294"/>
      <c r="CG54" s="294"/>
      <c r="CH54" s="294"/>
      <c r="CI54" s="294"/>
      <c r="CJ54" s="294"/>
      <c r="CK54" s="294"/>
      <c r="CL54" s="294"/>
      <c r="CM54" s="294"/>
      <c r="CN54" s="294"/>
    </row>
    <row r="55" spans="1:92" ht="13">
      <c r="A55" s="325">
        <f t="shared" si="157"/>
        <v>112012277</v>
      </c>
      <c r="B55" s="324">
        <f t="shared" si="158"/>
        <v>22</v>
      </c>
      <c r="C55" s="558">
        <f t="shared" si="159"/>
        <v>0.1</v>
      </c>
      <c r="D55" s="558">
        <f t="shared" si="160"/>
        <v>0.09</v>
      </c>
      <c r="E55" s="715">
        <f t="shared" si="161"/>
        <v>0</v>
      </c>
      <c r="F55" s="547">
        <f t="shared" si="162"/>
        <v>22</v>
      </c>
      <c r="G55" s="699">
        <f t="shared" si="163"/>
        <v>0.1</v>
      </c>
      <c r="H55" s="699">
        <f t="shared" si="164"/>
        <v>0.09</v>
      </c>
      <c r="I55" s="702">
        <f t="shared" si="165"/>
        <v>0</v>
      </c>
      <c r="J55" s="837">
        <f t="shared" si="166"/>
        <v>63</v>
      </c>
      <c r="K55" s="699">
        <f t="shared" si="167"/>
        <v>0.1</v>
      </c>
      <c r="L55" s="1040">
        <f t="shared" si="168"/>
        <v>0.05</v>
      </c>
      <c r="M55" s="423" t="s">
        <v>1449</v>
      </c>
      <c r="N55" s="326"/>
      <c r="O55" s="332"/>
      <c r="P55" s="113" t="e">
        <f t="shared" si="12"/>
        <v>#VALUE!</v>
      </c>
      <c r="Q55" s="116" t="str">
        <f t="shared" si="169"/>
        <v/>
      </c>
      <c r="R55" s="117" t="str">
        <f t="shared" si="170"/>
        <v>0</v>
      </c>
      <c r="S55" s="114"/>
      <c r="T55" s="116"/>
      <c r="U55" s="116" t="str">
        <f t="shared" si="171"/>
        <v/>
      </c>
      <c r="V55" s="116">
        <v>3000000</v>
      </c>
      <c r="W55" s="116" t="e">
        <f t="shared" si="16"/>
        <v>#VALUE!</v>
      </c>
      <c r="X55" s="116" t="str">
        <f t="shared" si="172"/>
        <v/>
      </c>
      <c r="Y55" s="116" t="str">
        <f t="shared" si="173"/>
        <v>0</v>
      </c>
      <c r="Z55" s="326"/>
      <c r="AA55" s="326"/>
      <c r="AB55" s="326" t="str">
        <f t="shared" si="174"/>
        <v/>
      </c>
      <c r="AC55" s="332">
        <v>1800000</v>
      </c>
      <c r="AD55" s="140" t="e">
        <f t="shared" si="20"/>
        <v>#VALUE!</v>
      </c>
      <c r="AE55" s="326" t="str">
        <f t="shared" si="175"/>
        <v/>
      </c>
      <c r="AF55" s="117" t="str">
        <f t="shared" si="176"/>
        <v>0</v>
      </c>
      <c r="AG55" s="123"/>
      <c r="AH55" s="326"/>
      <c r="AI55" s="1257">
        <f t="shared" si="23"/>
        <v>4800000</v>
      </c>
      <c r="AJ55" s="140" t="str">
        <f t="shared" si="177"/>
        <v>0</v>
      </c>
      <c r="AK55" s="123" t="e">
        <f t="shared" ref="AK55:AM55" si="264">AD55+W55+P55</f>
        <v>#VALUE!</v>
      </c>
      <c r="AL55" s="123" t="e">
        <f t="shared" si="264"/>
        <v>#VALUE!</v>
      </c>
      <c r="AM55" s="123">
        <f t="shared" si="264"/>
        <v>0</v>
      </c>
      <c r="AN55" s="123">
        <f t="shared" si="26"/>
        <v>0</v>
      </c>
      <c r="AO55" s="1317" t="str">
        <f t="shared" si="62"/>
        <v/>
      </c>
      <c r="AP55" s="434" t="str">
        <f t="shared" si="179"/>
        <v/>
      </c>
      <c r="AQ55" s="1318" t="e">
        <f t="shared" si="28"/>
        <v>#VALUE!</v>
      </c>
      <c r="AR55" s="1319" t="str">
        <f t="shared" si="180"/>
        <v/>
      </c>
      <c r="AS55" s="1320" t="str">
        <f t="shared" si="181"/>
        <v>0</v>
      </c>
      <c r="AT55" s="125" t="str">
        <f t="shared" si="182"/>
        <v/>
      </c>
      <c r="AU55" s="140" t="e">
        <f t="shared" si="32"/>
        <v>#VALUE!</v>
      </c>
      <c r="AV55" s="326" t="str">
        <f t="shared" si="183"/>
        <v/>
      </c>
      <c r="AW55" s="333" t="str">
        <f t="shared" si="184"/>
        <v>0</v>
      </c>
      <c r="AX55" s="125" t="str">
        <f t="shared" si="185"/>
        <v/>
      </c>
      <c r="AY55" s="140" t="e">
        <f t="shared" si="36"/>
        <v>#VALUE!</v>
      </c>
      <c r="AZ55" s="326" t="str">
        <f t="shared" si="186"/>
        <v/>
      </c>
      <c r="BA55" s="332" t="str">
        <f t="shared" si="187"/>
        <v>0</v>
      </c>
      <c r="BB55" s="122" t="e">
        <f t="shared" ref="BB55:BD55" si="265">SUM(AY55,AU55,AQ55)</f>
        <v>#VALUE!</v>
      </c>
      <c r="BC55" s="326">
        <f t="shared" si="265"/>
        <v>0</v>
      </c>
      <c r="BD55" s="333">
        <f t="shared" si="265"/>
        <v>0</v>
      </c>
      <c r="BE55" s="123" t="e">
        <f t="shared" si="40"/>
        <v>#VALUE!</v>
      </c>
      <c r="BF55" s="326">
        <f t="shared" si="41"/>
        <v>0</v>
      </c>
      <c r="BG55" s="435">
        <f t="shared" si="42"/>
        <v>0</v>
      </c>
      <c r="BH55" s="125" t="str">
        <f t="shared" si="189"/>
        <v/>
      </c>
      <c r="BI55" s="1041" t="e">
        <f t="shared" si="44"/>
        <v>#VALUE!</v>
      </c>
      <c r="BJ55" s="123" t="str">
        <f t="shared" si="190"/>
        <v/>
      </c>
      <c r="BK55" s="326" t="str">
        <f t="shared" si="191"/>
        <v>0</v>
      </c>
      <c r="BL55" s="123" t="str">
        <f t="shared" si="192"/>
        <v/>
      </c>
      <c r="BM55" s="113" t="e">
        <f t="shared" si="48"/>
        <v>#VALUE!</v>
      </c>
      <c r="BN55" s="116" t="str">
        <f t="shared" si="193"/>
        <v/>
      </c>
      <c r="BO55" s="115" t="str">
        <f t="shared" si="205"/>
        <v>0</v>
      </c>
      <c r="BP55" s="326" t="str">
        <f t="shared" si="194"/>
        <v/>
      </c>
      <c r="BQ55" s="326" t="e">
        <f t="shared" si="51"/>
        <v>#VALUE!</v>
      </c>
      <c r="BR55" s="326" t="str">
        <f t="shared" si="195"/>
        <v/>
      </c>
      <c r="BS55" s="332" t="str">
        <f t="shared" si="196"/>
        <v/>
      </c>
      <c r="BT55" s="586" t="e">
        <f t="shared" ref="BT55:BV55" si="266">SUM(BQ55,BM55,BI55)</f>
        <v>#VALUE!</v>
      </c>
      <c r="BU55" s="738">
        <f t="shared" si="266"/>
        <v>0</v>
      </c>
      <c r="BV55" s="737">
        <f t="shared" si="266"/>
        <v>0</v>
      </c>
      <c r="BW55" s="125" t="str">
        <f t="shared" si="198"/>
        <v/>
      </c>
      <c r="BX55" s="140" t="e">
        <f t="shared" si="56"/>
        <v>#VALUE!</v>
      </c>
      <c r="BY55" s="123" t="str">
        <f t="shared" si="199"/>
        <v/>
      </c>
      <c r="BZ55" s="333" t="str">
        <f t="shared" si="200"/>
        <v/>
      </c>
      <c r="CA55" s="123" t="str">
        <f t="shared" si="201"/>
        <v/>
      </c>
      <c r="CB55" s="326" t="str">
        <f t="shared" si="202"/>
        <v/>
      </c>
      <c r="CF55" s="294"/>
      <c r="CG55" s="294"/>
      <c r="CH55" s="294"/>
      <c r="CI55" s="294"/>
      <c r="CJ55" s="294"/>
      <c r="CK55" s="294"/>
      <c r="CL55" s="294"/>
      <c r="CM55" s="294"/>
      <c r="CN55" s="294"/>
    </row>
    <row r="56" spans="1:92" ht="13">
      <c r="A56" s="325">
        <f t="shared" si="157"/>
        <v>112011749</v>
      </c>
      <c r="B56" s="324">
        <f t="shared" si="158"/>
        <v>22</v>
      </c>
      <c r="C56" s="558">
        <f t="shared" si="159"/>
        <v>0.1</v>
      </c>
      <c r="D56" s="558">
        <f t="shared" si="160"/>
        <v>0.09</v>
      </c>
      <c r="E56" s="715">
        <f t="shared" si="161"/>
        <v>0</v>
      </c>
      <c r="F56" s="547">
        <f t="shared" si="162"/>
        <v>22</v>
      </c>
      <c r="G56" s="699">
        <f t="shared" si="163"/>
        <v>0.1</v>
      </c>
      <c r="H56" s="699">
        <f t="shared" si="164"/>
        <v>0.09</v>
      </c>
      <c r="I56" s="702">
        <f t="shared" si="165"/>
        <v>0</v>
      </c>
      <c r="J56" s="837">
        <f t="shared" si="166"/>
        <v>63</v>
      </c>
      <c r="K56" s="699">
        <f t="shared" si="167"/>
        <v>0.1</v>
      </c>
      <c r="L56" s="1040">
        <f t="shared" si="168"/>
        <v>0.05</v>
      </c>
      <c r="M56" s="423" t="s">
        <v>1450</v>
      </c>
      <c r="N56" s="326"/>
      <c r="O56" s="332"/>
      <c r="P56" s="113" t="e">
        <f t="shared" si="12"/>
        <v>#VALUE!</v>
      </c>
      <c r="Q56" s="116" t="str">
        <f t="shared" si="169"/>
        <v/>
      </c>
      <c r="R56" s="117">
        <f t="shared" si="170"/>
        <v>0</v>
      </c>
      <c r="S56" s="114"/>
      <c r="T56" s="116"/>
      <c r="U56" s="116">
        <f t="shared" si="171"/>
        <v>137406.04999999999</v>
      </c>
      <c r="V56" s="116">
        <v>3000000</v>
      </c>
      <c r="W56" s="116" t="e">
        <f t="shared" si="16"/>
        <v>#VALUE!</v>
      </c>
      <c r="X56" s="116" t="str">
        <f t="shared" si="172"/>
        <v/>
      </c>
      <c r="Y56" s="116">
        <f t="shared" si="173"/>
        <v>0</v>
      </c>
      <c r="Z56" s="326"/>
      <c r="AA56" s="326"/>
      <c r="AB56" s="326">
        <f t="shared" si="174"/>
        <v>0</v>
      </c>
      <c r="AC56" s="332">
        <v>1800000</v>
      </c>
      <c r="AD56" s="140" t="e">
        <f t="shared" si="20"/>
        <v>#VALUE!</v>
      </c>
      <c r="AE56" s="326" t="str">
        <f t="shared" si="175"/>
        <v/>
      </c>
      <c r="AF56" s="117">
        <f t="shared" si="176"/>
        <v>0</v>
      </c>
      <c r="AG56" s="123"/>
      <c r="AH56" s="326"/>
      <c r="AI56" s="1257">
        <f t="shared" si="23"/>
        <v>4800000</v>
      </c>
      <c r="AJ56" s="140">
        <f t="shared" si="177"/>
        <v>464971.43</v>
      </c>
      <c r="AK56" s="123" t="e">
        <f t="shared" ref="AK56:AM56" si="267">AD56+W56+P56</f>
        <v>#VALUE!</v>
      </c>
      <c r="AL56" s="123" t="e">
        <f t="shared" si="267"/>
        <v>#VALUE!</v>
      </c>
      <c r="AM56" s="123">
        <f t="shared" si="267"/>
        <v>0</v>
      </c>
      <c r="AN56" s="123">
        <f t="shared" si="26"/>
        <v>-464971.43</v>
      </c>
      <c r="AO56" s="1317">
        <f t="shared" si="62"/>
        <v>-1</v>
      </c>
      <c r="AP56" s="434">
        <f t="shared" si="179"/>
        <v>107698.05</v>
      </c>
      <c r="AQ56" s="1318" t="e">
        <f t="shared" si="28"/>
        <v>#VALUE!</v>
      </c>
      <c r="AR56" s="1319" t="str">
        <f t="shared" si="180"/>
        <v/>
      </c>
      <c r="AS56" s="1320">
        <f t="shared" si="181"/>
        <v>0</v>
      </c>
      <c r="AT56" s="125">
        <f t="shared" si="182"/>
        <v>41112.74</v>
      </c>
      <c r="AU56" s="140" t="e">
        <f t="shared" si="32"/>
        <v>#VALUE!</v>
      </c>
      <c r="AV56" s="326" t="str">
        <f t="shared" si="183"/>
        <v/>
      </c>
      <c r="AW56" s="333">
        <f t="shared" si="184"/>
        <v>70168.34</v>
      </c>
      <c r="AX56" s="125">
        <f t="shared" si="185"/>
        <v>233027.64</v>
      </c>
      <c r="AY56" s="140" t="e">
        <f t="shared" si="36"/>
        <v>#VALUE!</v>
      </c>
      <c r="AZ56" s="326" t="str">
        <f t="shared" si="186"/>
        <v/>
      </c>
      <c r="BA56" s="332">
        <f t="shared" si="187"/>
        <v>204364.74</v>
      </c>
      <c r="BB56" s="122" t="e">
        <f t="shared" ref="BB56:BD56" si="268">SUM(AY56,AU56,AQ56)</f>
        <v>#VALUE!</v>
      </c>
      <c r="BC56" s="326">
        <f t="shared" si="268"/>
        <v>0</v>
      </c>
      <c r="BD56" s="333">
        <f t="shared" si="268"/>
        <v>274533.07999999996</v>
      </c>
      <c r="BE56" s="123" t="e">
        <f t="shared" si="40"/>
        <v>#VALUE!</v>
      </c>
      <c r="BF56" s="326">
        <f t="shared" si="41"/>
        <v>0</v>
      </c>
      <c r="BG56" s="435">
        <f t="shared" si="42"/>
        <v>274533.07999999996</v>
      </c>
      <c r="BH56" s="125">
        <f t="shared" si="189"/>
        <v>87369.77</v>
      </c>
      <c r="BI56" s="1041" t="e">
        <f t="shared" si="44"/>
        <v>#VALUE!</v>
      </c>
      <c r="BJ56" s="123" t="str">
        <f t="shared" si="190"/>
        <v/>
      </c>
      <c r="BK56" s="326">
        <f t="shared" si="191"/>
        <v>0</v>
      </c>
      <c r="BL56" s="123">
        <f t="shared" si="192"/>
        <v>109643.84</v>
      </c>
      <c r="BM56" s="113" t="e">
        <f t="shared" si="48"/>
        <v>#VALUE!</v>
      </c>
      <c r="BN56" s="116" t="str">
        <f t="shared" si="193"/>
        <v/>
      </c>
      <c r="BO56" s="115">
        <f t="shared" si="205"/>
        <v>238189.5</v>
      </c>
      <c r="BP56" s="326">
        <f t="shared" si="194"/>
        <v>20624.7</v>
      </c>
      <c r="BQ56" s="326" t="e">
        <f t="shared" si="51"/>
        <v>#VALUE!</v>
      </c>
      <c r="BR56" s="326" t="str">
        <f t="shared" si="195"/>
        <v/>
      </c>
      <c r="BS56" s="332">
        <f t="shared" si="196"/>
        <v>0</v>
      </c>
      <c r="BT56" s="586" t="e">
        <f t="shared" ref="BT56:BV56" si="269">SUM(BQ56,BM56,BI56)</f>
        <v>#VALUE!</v>
      </c>
      <c r="BU56" s="738">
        <f t="shared" si="269"/>
        <v>0</v>
      </c>
      <c r="BV56" s="737">
        <f t="shared" si="269"/>
        <v>238189.5</v>
      </c>
      <c r="BW56" s="125">
        <f t="shared" si="198"/>
        <v>152559.9</v>
      </c>
      <c r="BX56" s="140" t="e">
        <f t="shared" si="56"/>
        <v>#VALUE!</v>
      </c>
      <c r="BY56" s="123" t="str">
        <f t="shared" si="199"/>
        <v/>
      </c>
      <c r="BZ56" s="333">
        <f t="shared" si="200"/>
        <v>269542.01</v>
      </c>
      <c r="CA56" s="123">
        <f t="shared" si="201"/>
        <v>207018.29</v>
      </c>
      <c r="CB56" s="326">
        <f t="shared" si="202"/>
        <v>105393.24</v>
      </c>
      <c r="CF56" s="294"/>
      <c r="CG56" s="294"/>
      <c r="CH56" s="294"/>
      <c r="CI56" s="294"/>
      <c r="CJ56" s="294"/>
      <c r="CK56" s="294"/>
      <c r="CL56" s="294"/>
      <c r="CM56" s="294"/>
      <c r="CN56" s="294"/>
    </row>
    <row r="57" spans="1:92" ht="13">
      <c r="A57" s="325">
        <f t="shared" si="157"/>
        <v>112013852</v>
      </c>
      <c r="B57" s="324">
        <f t="shared" si="158"/>
        <v>22</v>
      </c>
      <c r="C57" s="558">
        <f t="shared" si="159"/>
        <v>0.1</v>
      </c>
      <c r="D57" s="558">
        <f t="shared" si="160"/>
        <v>0.09</v>
      </c>
      <c r="E57" s="715">
        <f t="shared" si="161"/>
        <v>0</v>
      </c>
      <c r="F57" s="547">
        <f t="shared" si="162"/>
        <v>22</v>
      </c>
      <c r="G57" s="699">
        <f t="shared" si="163"/>
        <v>0.1</v>
      </c>
      <c r="H57" s="699">
        <f t="shared" si="164"/>
        <v>0.09</v>
      </c>
      <c r="I57" s="702">
        <f t="shared" si="165"/>
        <v>0</v>
      </c>
      <c r="J57" s="837">
        <f t="shared" si="166"/>
        <v>63</v>
      </c>
      <c r="K57" s="699">
        <f t="shared" si="167"/>
        <v>0.1</v>
      </c>
      <c r="L57" s="1040">
        <f t="shared" si="168"/>
        <v>0.05</v>
      </c>
      <c r="M57" s="423" t="s">
        <v>1451</v>
      </c>
      <c r="N57" s="326"/>
      <c r="O57" s="332"/>
      <c r="P57" s="113" t="e">
        <f t="shared" si="12"/>
        <v>#VALUE!</v>
      </c>
      <c r="Q57" s="116" t="str">
        <f t="shared" si="169"/>
        <v/>
      </c>
      <c r="R57" s="117" t="str">
        <f t="shared" si="170"/>
        <v>0</v>
      </c>
      <c r="S57" s="114"/>
      <c r="T57" s="116"/>
      <c r="U57" s="116">
        <f t="shared" si="171"/>
        <v>0</v>
      </c>
      <c r="V57" s="116">
        <v>3000000</v>
      </c>
      <c r="W57" s="116" t="e">
        <f t="shared" si="16"/>
        <v>#VALUE!</v>
      </c>
      <c r="X57" s="116" t="str">
        <f t="shared" si="172"/>
        <v/>
      </c>
      <c r="Y57" s="116" t="str">
        <f t="shared" si="173"/>
        <v>0</v>
      </c>
      <c r="Z57" s="326"/>
      <c r="AA57" s="326"/>
      <c r="AB57" s="326">
        <f t="shared" si="174"/>
        <v>0</v>
      </c>
      <c r="AC57" s="332">
        <v>1800000</v>
      </c>
      <c r="AD57" s="140" t="e">
        <f t="shared" si="20"/>
        <v>#VALUE!</v>
      </c>
      <c r="AE57" s="326" t="str">
        <f t="shared" si="175"/>
        <v/>
      </c>
      <c r="AF57" s="117" t="str">
        <f t="shared" si="176"/>
        <v>0</v>
      </c>
      <c r="AG57" s="123"/>
      <c r="AH57" s="326"/>
      <c r="AI57" s="1257">
        <f t="shared" si="23"/>
        <v>4800000</v>
      </c>
      <c r="AJ57" s="140">
        <f t="shared" si="177"/>
        <v>327780.47999999998</v>
      </c>
      <c r="AK57" s="123" t="e">
        <f t="shared" ref="AK57:AM57" si="270">AD57+W57+P57</f>
        <v>#VALUE!</v>
      </c>
      <c r="AL57" s="123" t="e">
        <f t="shared" si="270"/>
        <v>#VALUE!</v>
      </c>
      <c r="AM57" s="123">
        <f t="shared" si="270"/>
        <v>0</v>
      </c>
      <c r="AN57" s="123">
        <f t="shared" si="26"/>
        <v>-327780.47999999998</v>
      </c>
      <c r="AO57" s="1317">
        <f t="shared" si="62"/>
        <v>-1</v>
      </c>
      <c r="AP57" s="434">
        <f t="shared" si="179"/>
        <v>0</v>
      </c>
      <c r="AQ57" s="1318" t="e">
        <f t="shared" si="28"/>
        <v>#VALUE!</v>
      </c>
      <c r="AR57" s="1319" t="str">
        <f t="shared" si="180"/>
        <v/>
      </c>
      <c r="AS57" s="1320" t="str">
        <f t="shared" si="181"/>
        <v>0</v>
      </c>
      <c r="AT57" s="125">
        <f t="shared" si="182"/>
        <v>0</v>
      </c>
      <c r="AU57" s="140" t="e">
        <f t="shared" si="32"/>
        <v>#VALUE!</v>
      </c>
      <c r="AV57" s="326" t="str">
        <f t="shared" si="183"/>
        <v/>
      </c>
      <c r="AW57" s="333" t="str">
        <f t="shared" si="184"/>
        <v>0</v>
      </c>
      <c r="AX57" s="125">
        <f t="shared" si="185"/>
        <v>0</v>
      </c>
      <c r="AY57" s="140" t="e">
        <f t="shared" si="36"/>
        <v>#VALUE!</v>
      </c>
      <c r="AZ57" s="326" t="str">
        <f t="shared" si="186"/>
        <v/>
      </c>
      <c r="BA57" s="332" t="str">
        <f t="shared" si="187"/>
        <v>0</v>
      </c>
      <c r="BB57" s="122" t="e">
        <f t="shared" ref="BB57:BD57" si="271">SUM(AY57,AU57,AQ57)</f>
        <v>#VALUE!</v>
      </c>
      <c r="BC57" s="326">
        <f t="shared" si="271"/>
        <v>0</v>
      </c>
      <c r="BD57" s="333">
        <f t="shared" si="271"/>
        <v>0</v>
      </c>
      <c r="BE57" s="123" t="e">
        <f t="shared" si="40"/>
        <v>#VALUE!</v>
      </c>
      <c r="BF57" s="326">
        <f t="shared" si="41"/>
        <v>0</v>
      </c>
      <c r="BG57" s="435">
        <f t="shared" si="42"/>
        <v>0</v>
      </c>
      <c r="BH57" s="125">
        <f t="shared" si="189"/>
        <v>0</v>
      </c>
      <c r="BI57" s="1041" t="e">
        <f t="shared" si="44"/>
        <v>#VALUE!</v>
      </c>
      <c r="BJ57" s="123" t="str">
        <f t="shared" si="190"/>
        <v/>
      </c>
      <c r="BK57" s="326" t="str">
        <f t="shared" si="191"/>
        <v>0</v>
      </c>
      <c r="BL57" s="123">
        <f t="shared" si="192"/>
        <v>0</v>
      </c>
      <c r="BM57" s="113" t="e">
        <f t="shared" si="48"/>
        <v>#VALUE!</v>
      </c>
      <c r="BN57" s="116" t="str">
        <f t="shared" si="193"/>
        <v/>
      </c>
      <c r="BO57" s="115" t="str">
        <f t="shared" si="205"/>
        <v>0</v>
      </c>
      <c r="BP57" s="326">
        <f t="shared" si="194"/>
        <v>0</v>
      </c>
      <c r="BQ57" s="326" t="e">
        <f t="shared" si="51"/>
        <v>#VALUE!</v>
      </c>
      <c r="BR57" s="326" t="str">
        <f t="shared" si="195"/>
        <v/>
      </c>
      <c r="BS57" s="332" t="str">
        <f t="shared" si="196"/>
        <v/>
      </c>
      <c r="BT57" s="586" t="e">
        <f t="shared" ref="BT57:BV57" si="272">SUM(BQ57,BM57,BI57)</f>
        <v>#VALUE!</v>
      </c>
      <c r="BU57" s="738">
        <f t="shared" si="272"/>
        <v>0</v>
      </c>
      <c r="BV57" s="737">
        <f t="shared" si="272"/>
        <v>0</v>
      </c>
      <c r="BW57" s="125">
        <f t="shared" si="198"/>
        <v>327780.47999999998</v>
      </c>
      <c r="BX57" s="140" t="e">
        <f t="shared" si="56"/>
        <v>#VALUE!</v>
      </c>
      <c r="BY57" s="123" t="str">
        <f t="shared" si="199"/>
        <v/>
      </c>
      <c r="BZ57" s="333" t="str">
        <f t="shared" si="200"/>
        <v/>
      </c>
      <c r="CA57" s="123">
        <f t="shared" si="201"/>
        <v>0</v>
      </c>
      <c r="CB57" s="326">
        <f t="shared" si="202"/>
        <v>0</v>
      </c>
      <c r="CF57" s="294"/>
      <c r="CG57" s="294"/>
      <c r="CH57" s="294"/>
      <c r="CI57" s="294"/>
      <c r="CJ57" s="294"/>
      <c r="CK57" s="294"/>
      <c r="CL57" s="294"/>
      <c r="CM57" s="294"/>
      <c r="CN57" s="294"/>
    </row>
    <row r="58" spans="1:92" ht="13">
      <c r="A58" s="325">
        <f t="shared" si="157"/>
        <v>112014381</v>
      </c>
      <c r="B58" s="324">
        <f t="shared" si="158"/>
        <v>22</v>
      </c>
      <c r="C58" s="558">
        <f t="shared" si="159"/>
        <v>0.1</v>
      </c>
      <c r="D58" s="558">
        <f t="shared" si="160"/>
        <v>0.09</v>
      </c>
      <c r="E58" s="715">
        <f t="shared" si="161"/>
        <v>0</v>
      </c>
      <c r="F58" s="547">
        <f t="shared" si="162"/>
        <v>22</v>
      </c>
      <c r="G58" s="699">
        <f t="shared" si="163"/>
        <v>0.1</v>
      </c>
      <c r="H58" s="699">
        <f t="shared" si="164"/>
        <v>0.09</v>
      </c>
      <c r="I58" s="702">
        <f t="shared" si="165"/>
        <v>0</v>
      </c>
      <c r="J58" s="837">
        <f t="shared" si="166"/>
        <v>63</v>
      </c>
      <c r="K58" s="699">
        <f t="shared" si="167"/>
        <v>0.1</v>
      </c>
      <c r="L58" s="1040">
        <f t="shared" si="168"/>
        <v>0.05</v>
      </c>
      <c r="M58" s="423" t="s">
        <v>1452</v>
      </c>
      <c r="N58" s="326"/>
      <c r="O58" s="332"/>
      <c r="P58" s="113" t="e">
        <f t="shared" si="12"/>
        <v>#VALUE!</v>
      </c>
      <c r="Q58" s="116" t="str">
        <f t="shared" si="169"/>
        <v/>
      </c>
      <c r="R58" s="117">
        <f t="shared" si="170"/>
        <v>0</v>
      </c>
      <c r="S58" s="114"/>
      <c r="T58" s="116"/>
      <c r="U58" s="116">
        <f t="shared" si="171"/>
        <v>90799.38</v>
      </c>
      <c r="V58" s="116">
        <v>3000000</v>
      </c>
      <c r="W58" s="116" t="e">
        <f t="shared" si="16"/>
        <v>#VALUE!</v>
      </c>
      <c r="X58" s="116" t="str">
        <f t="shared" si="172"/>
        <v/>
      </c>
      <c r="Y58" s="116">
        <f t="shared" si="173"/>
        <v>82392.070000000007</v>
      </c>
      <c r="Z58" s="326"/>
      <c r="AA58" s="326"/>
      <c r="AB58" s="326">
        <f t="shared" si="174"/>
        <v>52735.03</v>
      </c>
      <c r="AC58" s="332">
        <v>1800000</v>
      </c>
      <c r="AD58" s="140" t="e">
        <f t="shared" si="20"/>
        <v>#VALUE!</v>
      </c>
      <c r="AE58" s="326" t="str">
        <f t="shared" si="175"/>
        <v/>
      </c>
      <c r="AF58" s="117">
        <f t="shared" si="176"/>
        <v>39774.31</v>
      </c>
      <c r="AG58" s="123"/>
      <c r="AH58" s="326"/>
      <c r="AI58" s="1257">
        <f t="shared" si="23"/>
        <v>4800000</v>
      </c>
      <c r="AJ58" s="140">
        <f t="shared" si="177"/>
        <v>108890.15</v>
      </c>
      <c r="AK58" s="123" t="e">
        <f t="shared" ref="AK58:AM58" si="273">AD58+W58+P58</f>
        <v>#VALUE!</v>
      </c>
      <c r="AL58" s="123" t="e">
        <f t="shared" si="273"/>
        <v>#VALUE!</v>
      </c>
      <c r="AM58" s="123">
        <f t="shared" si="273"/>
        <v>122166.38</v>
      </c>
      <c r="AN58" s="123">
        <f t="shared" si="26"/>
        <v>13276.23000000001</v>
      </c>
      <c r="AO58" s="1317">
        <f t="shared" si="62"/>
        <v>0.12192314915536448</v>
      </c>
      <c r="AP58" s="434">
        <f t="shared" si="179"/>
        <v>0</v>
      </c>
      <c r="AQ58" s="1318" t="e">
        <f t="shared" si="28"/>
        <v>#VALUE!</v>
      </c>
      <c r="AR58" s="1319" t="str">
        <f t="shared" si="180"/>
        <v/>
      </c>
      <c r="AS58" s="1320">
        <f t="shared" si="181"/>
        <v>0</v>
      </c>
      <c r="AT58" s="125">
        <f t="shared" si="182"/>
        <v>0</v>
      </c>
      <c r="AU58" s="140" t="e">
        <f t="shared" si="32"/>
        <v>#VALUE!</v>
      </c>
      <c r="AV58" s="326" t="str">
        <f t="shared" si="183"/>
        <v/>
      </c>
      <c r="AW58" s="333">
        <f t="shared" si="184"/>
        <v>0</v>
      </c>
      <c r="AX58" s="125">
        <f t="shared" si="185"/>
        <v>0</v>
      </c>
      <c r="AY58" s="140" t="e">
        <f t="shared" si="36"/>
        <v>#VALUE!</v>
      </c>
      <c r="AZ58" s="326" t="str">
        <f t="shared" si="186"/>
        <v/>
      </c>
      <c r="BA58" s="332">
        <f t="shared" si="187"/>
        <v>0</v>
      </c>
      <c r="BB58" s="122" t="e">
        <f t="shared" ref="BB58:BD58" si="274">SUM(AY58,AU58,AQ58)</f>
        <v>#VALUE!</v>
      </c>
      <c r="BC58" s="326">
        <f t="shared" si="274"/>
        <v>0</v>
      </c>
      <c r="BD58" s="333">
        <f t="shared" si="274"/>
        <v>0</v>
      </c>
      <c r="BE58" s="123" t="e">
        <f t="shared" si="40"/>
        <v>#VALUE!</v>
      </c>
      <c r="BF58" s="326">
        <f t="shared" si="41"/>
        <v>0</v>
      </c>
      <c r="BG58" s="435">
        <f t="shared" si="42"/>
        <v>122166.38</v>
      </c>
      <c r="BH58" s="125">
        <f t="shared" si="189"/>
        <v>0</v>
      </c>
      <c r="BI58" s="1041" t="e">
        <f t="shared" si="44"/>
        <v>#VALUE!</v>
      </c>
      <c r="BJ58" s="123" t="str">
        <f t="shared" si="190"/>
        <v/>
      </c>
      <c r="BK58" s="326">
        <f t="shared" si="191"/>
        <v>0</v>
      </c>
      <c r="BL58" s="123">
        <f t="shared" si="192"/>
        <v>0</v>
      </c>
      <c r="BM58" s="113" t="e">
        <f t="shared" si="48"/>
        <v>#VALUE!</v>
      </c>
      <c r="BN58" s="116" t="str">
        <f t="shared" si="193"/>
        <v/>
      </c>
      <c r="BO58" s="115">
        <f t="shared" si="205"/>
        <v>0</v>
      </c>
      <c r="BP58" s="326">
        <f t="shared" si="194"/>
        <v>0</v>
      </c>
      <c r="BQ58" s="326" t="e">
        <f t="shared" si="51"/>
        <v>#VALUE!</v>
      </c>
      <c r="BR58" s="326" t="str">
        <f t="shared" si="195"/>
        <v/>
      </c>
      <c r="BS58" s="332">
        <f t="shared" si="196"/>
        <v>0</v>
      </c>
      <c r="BT58" s="586" t="e">
        <f t="shared" ref="BT58:BV58" si="275">SUM(BQ58,BM58,BI58)</f>
        <v>#VALUE!</v>
      </c>
      <c r="BU58" s="738">
        <f t="shared" si="275"/>
        <v>0</v>
      </c>
      <c r="BV58" s="737">
        <f t="shared" si="275"/>
        <v>0</v>
      </c>
      <c r="BW58" s="125">
        <f t="shared" si="198"/>
        <v>48834</v>
      </c>
      <c r="BX58" s="140" t="e">
        <f t="shared" si="56"/>
        <v>#VALUE!</v>
      </c>
      <c r="BY58" s="123" t="str">
        <f t="shared" si="199"/>
        <v/>
      </c>
      <c r="BZ58" s="333">
        <f t="shared" si="200"/>
        <v>110468.21</v>
      </c>
      <c r="CA58" s="123">
        <f t="shared" si="201"/>
        <v>60056.15</v>
      </c>
      <c r="CB58" s="326">
        <f t="shared" si="202"/>
        <v>0</v>
      </c>
      <c r="CF58" s="294"/>
      <c r="CG58" s="294"/>
      <c r="CH58" s="294"/>
      <c r="CI58" s="294"/>
      <c r="CJ58" s="294"/>
      <c r="CK58" s="294"/>
      <c r="CL58" s="294"/>
      <c r="CM58" s="294"/>
      <c r="CN58" s="294"/>
    </row>
    <row r="59" spans="1:92" ht="13">
      <c r="A59" s="325">
        <f t="shared" si="157"/>
        <v>112013586</v>
      </c>
      <c r="B59" s="324">
        <f t="shared" si="158"/>
        <v>22</v>
      </c>
      <c r="C59" s="558">
        <f t="shared" si="159"/>
        <v>0.1</v>
      </c>
      <c r="D59" s="558">
        <f t="shared" si="160"/>
        <v>0.09</v>
      </c>
      <c r="E59" s="715">
        <f t="shared" si="161"/>
        <v>0</v>
      </c>
      <c r="F59" s="547">
        <f t="shared" si="162"/>
        <v>22</v>
      </c>
      <c r="G59" s="699">
        <f t="shared" si="163"/>
        <v>0.1</v>
      </c>
      <c r="H59" s="699">
        <f t="shared" si="164"/>
        <v>0.09</v>
      </c>
      <c r="I59" s="702">
        <f t="shared" si="165"/>
        <v>0</v>
      </c>
      <c r="J59" s="837">
        <f t="shared" si="166"/>
        <v>63</v>
      </c>
      <c r="K59" s="699">
        <f t="shared" si="167"/>
        <v>0.1</v>
      </c>
      <c r="L59" s="1040">
        <f t="shared" si="168"/>
        <v>0.05</v>
      </c>
      <c r="M59" s="423" t="s">
        <v>1453</v>
      </c>
      <c r="N59" s="326"/>
      <c r="O59" s="332"/>
      <c r="P59" s="113" t="e">
        <f t="shared" si="12"/>
        <v>#VALUE!</v>
      </c>
      <c r="Q59" s="116" t="str">
        <f t="shared" si="169"/>
        <v/>
      </c>
      <c r="R59" s="117">
        <f t="shared" si="170"/>
        <v>269357.36</v>
      </c>
      <c r="S59" s="114"/>
      <c r="T59" s="116"/>
      <c r="U59" s="116">
        <f t="shared" si="171"/>
        <v>263060.34000000003</v>
      </c>
      <c r="V59" s="116">
        <v>3000000</v>
      </c>
      <c r="W59" s="116" t="e">
        <f t="shared" si="16"/>
        <v>#VALUE!</v>
      </c>
      <c r="X59" s="116" t="str">
        <f t="shared" si="172"/>
        <v/>
      </c>
      <c r="Y59" s="116">
        <f t="shared" si="173"/>
        <v>0</v>
      </c>
      <c r="Z59" s="326"/>
      <c r="AA59" s="326"/>
      <c r="AB59" s="326">
        <f t="shared" si="174"/>
        <v>0</v>
      </c>
      <c r="AC59" s="332">
        <v>1800000</v>
      </c>
      <c r="AD59" s="140" t="e">
        <f t="shared" si="20"/>
        <v>#VALUE!</v>
      </c>
      <c r="AE59" s="326" t="str">
        <f t="shared" si="175"/>
        <v/>
      </c>
      <c r="AF59" s="117">
        <f t="shared" si="176"/>
        <v>326792.71000000002</v>
      </c>
      <c r="AG59" s="123"/>
      <c r="AH59" s="326"/>
      <c r="AI59" s="1257">
        <f t="shared" si="23"/>
        <v>4800000</v>
      </c>
      <c r="AJ59" s="140">
        <f t="shared" si="177"/>
        <v>825387.38</v>
      </c>
      <c r="AK59" s="123" t="e">
        <f t="shared" ref="AK59:AM59" si="276">AD59+W59+P59</f>
        <v>#VALUE!</v>
      </c>
      <c r="AL59" s="123" t="e">
        <f t="shared" si="276"/>
        <v>#VALUE!</v>
      </c>
      <c r="AM59" s="123">
        <f t="shared" si="276"/>
        <v>596150.07000000007</v>
      </c>
      <c r="AN59" s="123">
        <f t="shared" si="26"/>
        <v>-229237.30999999994</v>
      </c>
      <c r="AO59" s="1317">
        <f t="shared" si="62"/>
        <v>-0.27773299611147428</v>
      </c>
      <c r="AP59" s="434">
        <f t="shared" si="179"/>
        <v>192786.85</v>
      </c>
      <c r="AQ59" s="1318" t="e">
        <f t="shared" si="28"/>
        <v>#VALUE!</v>
      </c>
      <c r="AR59" s="1319" t="str">
        <f t="shared" si="180"/>
        <v/>
      </c>
      <c r="AS59" s="1320">
        <f t="shared" si="181"/>
        <v>0</v>
      </c>
      <c r="AT59" s="125">
        <f t="shared" si="182"/>
        <v>149215.41</v>
      </c>
      <c r="AU59" s="140" t="e">
        <f t="shared" si="32"/>
        <v>#VALUE!</v>
      </c>
      <c r="AV59" s="326" t="str">
        <f t="shared" si="183"/>
        <v/>
      </c>
      <c r="AW59" s="333">
        <f t="shared" si="184"/>
        <v>417099.14</v>
      </c>
      <c r="AX59" s="125">
        <f t="shared" si="185"/>
        <v>0</v>
      </c>
      <c r="AY59" s="140" t="e">
        <f t="shared" si="36"/>
        <v>#VALUE!</v>
      </c>
      <c r="AZ59" s="326" t="str">
        <f t="shared" si="186"/>
        <v/>
      </c>
      <c r="BA59" s="332">
        <f t="shared" si="187"/>
        <v>294383.19</v>
      </c>
      <c r="BB59" s="122" t="e">
        <f t="shared" ref="BB59:BD59" si="277">SUM(AY59,AU59,AQ59)</f>
        <v>#VALUE!</v>
      </c>
      <c r="BC59" s="326">
        <f t="shared" si="277"/>
        <v>0</v>
      </c>
      <c r="BD59" s="333">
        <f t="shared" si="277"/>
        <v>711482.33000000007</v>
      </c>
      <c r="BE59" s="123" t="e">
        <f t="shared" si="40"/>
        <v>#VALUE!</v>
      </c>
      <c r="BF59" s="326">
        <f t="shared" si="41"/>
        <v>0</v>
      </c>
      <c r="BG59" s="435">
        <f t="shared" si="42"/>
        <v>1307632.4000000001</v>
      </c>
      <c r="BH59" s="125">
        <f t="shared" si="189"/>
        <v>254257.71</v>
      </c>
      <c r="BI59" s="1041" t="e">
        <f t="shared" si="44"/>
        <v>#VALUE!</v>
      </c>
      <c r="BJ59" s="123" t="str">
        <f t="shared" si="190"/>
        <v/>
      </c>
      <c r="BK59" s="326">
        <f t="shared" si="191"/>
        <v>0</v>
      </c>
      <c r="BL59" s="123">
        <f t="shared" si="192"/>
        <v>170301.03</v>
      </c>
      <c r="BM59" s="113" t="e">
        <f t="shared" si="48"/>
        <v>#VALUE!</v>
      </c>
      <c r="BN59" s="116" t="str">
        <f t="shared" si="193"/>
        <v/>
      </c>
      <c r="BO59" s="115">
        <f t="shared" si="205"/>
        <v>460661.03</v>
      </c>
      <c r="BP59" s="326">
        <f t="shared" si="194"/>
        <v>274103.44</v>
      </c>
      <c r="BQ59" s="326" t="e">
        <f t="shared" si="51"/>
        <v>#VALUE!</v>
      </c>
      <c r="BR59" s="326" t="str">
        <f t="shared" si="195"/>
        <v/>
      </c>
      <c r="BS59" s="332">
        <f t="shared" si="196"/>
        <v>1055796.3799999999</v>
      </c>
      <c r="BT59" s="586" t="e">
        <f t="shared" ref="BT59:BV59" si="278">SUM(BQ59,BM59,BI59)</f>
        <v>#VALUE!</v>
      </c>
      <c r="BU59" s="738">
        <f t="shared" si="278"/>
        <v>0</v>
      </c>
      <c r="BV59" s="737">
        <f t="shared" si="278"/>
        <v>1516457.41</v>
      </c>
      <c r="BW59" s="125">
        <f t="shared" si="198"/>
        <v>250355.59</v>
      </c>
      <c r="BX59" s="140" t="e">
        <f t="shared" si="56"/>
        <v>#VALUE!</v>
      </c>
      <c r="BY59" s="123" t="str">
        <f t="shared" si="199"/>
        <v/>
      </c>
      <c r="BZ59" s="333">
        <f t="shared" si="200"/>
        <v>403798.39</v>
      </c>
      <c r="CA59" s="123">
        <f t="shared" si="201"/>
        <v>291764.95</v>
      </c>
      <c r="CB59" s="326">
        <f t="shared" si="202"/>
        <v>283266.84000000003</v>
      </c>
      <c r="CF59" s="294"/>
      <c r="CG59" s="294"/>
      <c r="CH59" s="294"/>
      <c r="CI59" s="294"/>
      <c r="CJ59" s="294"/>
      <c r="CK59" s="294"/>
      <c r="CL59" s="294"/>
      <c r="CM59" s="294"/>
      <c r="CN59" s="294"/>
    </row>
    <row r="60" spans="1:92" ht="13">
      <c r="A60" s="325">
        <f t="shared" si="157"/>
        <v>112014567</v>
      </c>
      <c r="B60" s="324">
        <f t="shared" si="158"/>
        <v>22</v>
      </c>
      <c r="C60" s="558">
        <f t="shared" si="159"/>
        <v>0.1</v>
      </c>
      <c r="D60" s="558">
        <f t="shared" si="160"/>
        <v>0.09</v>
      </c>
      <c r="E60" s="715">
        <f t="shared" si="161"/>
        <v>0</v>
      </c>
      <c r="F60" s="547">
        <f t="shared" si="162"/>
        <v>22</v>
      </c>
      <c r="G60" s="699">
        <f t="shared" si="163"/>
        <v>0.1</v>
      </c>
      <c r="H60" s="699">
        <f t="shared" si="164"/>
        <v>0.09</v>
      </c>
      <c r="I60" s="702">
        <f t="shared" si="165"/>
        <v>0</v>
      </c>
      <c r="J60" s="837">
        <f t="shared" si="166"/>
        <v>63</v>
      </c>
      <c r="K60" s="699">
        <f t="shared" si="167"/>
        <v>0.1</v>
      </c>
      <c r="L60" s="1040">
        <f t="shared" si="168"/>
        <v>0.05</v>
      </c>
      <c r="M60" s="423" t="s">
        <v>1454</v>
      </c>
      <c r="N60" s="326"/>
      <c r="O60" s="332"/>
      <c r="P60" s="113" t="e">
        <f t="shared" si="12"/>
        <v>#VALUE!</v>
      </c>
      <c r="Q60" s="116" t="str">
        <f t="shared" si="169"/>
        <v/>
      </c>
      <c r="R60" s="117">
        <f t="shared" si="170"/>
        <v>0</v>
      </c>
      <c r="S60" s="114"/>
      <c r="T60" s="116"/>
      <c r="U60" s="116">
        <f t="shared" si="171"/>
        <v>0</v>
      </c>
      <c r="V60" s="116">
        <v>3000000</v>
      </c>
      <c r="W60" s="116" t="e">
        <f t="shared" si="16"/>
        <v>#VALUE!</v>
      </c>
      <c r="X60" s="116" t="str">
        <f t="shared" si="172"/>
        <v/>
      </c>
      <c r="Y60" s="116">
        <f t="shared" si="173"/>
        <v>709457.03</v>
      </c>
      <c r="Z60" s="326"/>
      <c r="AA60" s="326"/>
      <c r="AB60" s="326">
        <f t="shared" si="174"/>
        <v>0</v>
      </c>
      <c r="AC60" s="332">
        <v>1800000</v>
      </c>
      <c r="AD60" s="140" t="e">
        <f t="shared" si="20"/>
        <v>#VALUE!</v>
      </c>
      <c r="AE60" s="326" t="str">
        <f t="shared" si="175"/>
        <v/>
      </c>
      <c r="AF60" s="117">
        <f t="shared" si="176"/>
        <v>0</v>
      </c>
      <c r="AG60" s="123"/>
      <c r="AH60" s="326"/>
      <c r="AI60" s="1257">
        <f t="shared" si="23"/>
        <v>4800000</v>
      </c>
      <c r="AJ60" s="140">
        <f t="shared" si="177"/>
        <v>2976783.06</v>
      </c>
      <c r="AK60" s="123" t="e">
        <f t="shared" ref="AK60:AM60" si="279">AD60+W60+P60</f>
        <v>#VALUE!</v>
      </c>
      <c r="AL60" s="123" t="e">
        <f t="shared" si="279"/>
        <v>#VALUE!</v>
      </c>
      <c r="AM60" s="123">
        <f t="shared" si="279"/>
        <v>709457.03</v>
      </c>
      <c r="AN60" s="123">
        <f t="shared" si="26"/>
        <v>-2267326.0300000003</v>
      </c>
      <c r="AO60" s="1317">
        <f t="shared" si="62"/>
        <v>-0.76166989138939811</v>
      </c>
      <c r="AP60" s="434">
        <f t="shared" si="179"/>
        <v>0</v>
      </c>
      <c r="AQ60" s="1318" t="e">
        <f t="shared" si="28"/>
        <v>#VALUE!</v>
      </c>
      <c r="AR60" s="1319" t="str">
        <f t="shared" si="180"/>
        <v/>
      </c>
      <c r="AS60" s="1320">
        <f t="shared" si="181"/>
        <v>1104783.0900000001</v>
      </c>
      <c r="AT60" s="125">
        <f t="shared" si="182"/>
        <v>0</v>
      </c>
      <c r="AU60" s="140" t="e">
        <f t="shared" si="32"/>
        <v>#VALUE!</v>
      </c>
      <c r="AV60" s="326" t="str">
        <f t="shared" si="183"/>
        <v/>
      </c>
      <c r="AW60" s="333">
        <f t="shared" si="184"/>
        <v>0</v>
      </c>
      <c r="AX60" s="125">
        <f t="shared" si="185"/>
        <v>0</v>
      </c>
      <c r="AY60" s="140" t="e">
        <f t="shared" si="36"/>
        <v>#VALUE!</v>
      </c>
      <c r="AZ60" s="326" t="str">
        <f t="shared" si="186"/>
        <v/>
      </c>
      <c r="BA60" s="332">
        <f t="shared" si="187"/>
        <v>0</v>
      </c>
      <c r="BB60" s="122" t="e">
        <f t="shared" ref="BB60:BD60" si="280">SUM(AY60,AU60,AQ60)</f>
        <v>#VALUE!</v>
      </c>
      <c r="BC60" s="326">
        <f t="shared" si="280"/>
        <v>0</v>
      </c>
      <c r="BD60" s="333">
        <f t="shared" si="280"/>
        <v>1104783.0900000001</v>
      </c>
      <c r="BE60" s="123" t="e">
        <f t="shared" si="40"/>
        <v>#VALUE!</v>
      </c>
      <c r="BF60" s="326">
        <f t="shared" si="41"/>
        <v>0</v>
      </c>
      <c r="BG60" s="435">
        <f t="shared" si="42"/>
        <v>1814240.12</v>
      </c>
      <c r="BH60" s="125">
        <f t="shared" si="189"/>
        <v>0</v>
      </c>
      <c r="BI60" s="1041" t="e">
        <f t="shared" si="44"/>
        <v>#VALUE!</v>
      </c>
      <c r="BJ60" s="123" t="str">
        <f t="shared" si="190"/>
        <v/>
      </c>
      <c r="BK60" s="326">
        <f t="shared" si="191"/>
        <v>504693.27</v>
      </c>
      <c r="BL60" s="123">
        <f t="shared" si="192"/>
        <v>0</v>
      </c>
      <c r="BM60" s="113" t="e">
        <f t="shared" si="48"/>
        <v>#VALUE!</v>
      </c>
      <c r="BN60" s="116" t="str">
        <f t="shared" si="193"/>
        <v/>
      </c>
      <c r="BO60" s="115">
        <f t="shared" si="205"/>
        <v>2119270.17</v>
      </c>
      <c r="BP60" s="326">
        <f t="shared" si="194"/>
        <v>1645610.69</v>
      </c>
      <c r="BQ60" s="326" t="e">
        <f t="shared" si="51"/>
        <v>#VALUE!</v>
      </c>
      <c r="BR60" s="326" t="str">
        <f t="shared" si="195"/>
        <v/>
      </c>
      <c r="BS60" s="332">
        <f t="shared" si="196"/>
        <v>0</v>
      </c>
      <c r="BT60" s="586" t="e">
        <f t="shared" ref="BT60:BV60" si="281">SUM(BQ60,BM60,BI60)</f>
        <v>#VALUE!</v>
      </c>
      <c r="BU60" s="738">
        <f t="shared" si="281"/>
        <v>0</v>
      </c>
      <c r="BV60" s="737">
        <f t="shared" si="281"/>
        <v>2623963.44</v>
      </c>
      <c r="BW60" s="125">
        <f t="shared" si="198"/>
        <v>1251332.52</v>
      </c>
      <c r="BX60" s="140" t="e">
        <f t="shared" si="56"/>
        <v>#VALUE!</v>
      </c>
      <c r="BY60" s="123" t="str">
        <f t="shared" si="199"/>
        <v/>
      </c>
      <c r="BZ60" s="333">
        <f t="shared" si="200"/>
        <v>0</v>
      </c>
      <c r="CA60" s="123">
        <f t="shared" si="201"/>
        <v>1725450.54</v>
      </c>
      <c r="CB60" s="326">
        <f t="shared" si="202"/>
        <v>0</v>
      </c>
      <c r="CF60" s="294"/>
      <c r="CG60" s="294"/>
      <c r="CH60" s="294"/>
      <c r="CI60" s="294"/>
      <c r="CJ60" s="294"/>
      <c r="CK60" s="294"/>
      <c r="CL60" s="294"/>
      <c r="CM60" s="294"/>
      <c r="CN60" s="294"/>
    </row>
    <row r="61" spans="1:92" ht="13">
      <c r="A61" s="325">
        <f t="shared" si="157"/>
        <v>112014636</v>
      </c>
      <c r="B61" s="324">
        <f t="shared" si="158"/>
        <v>22</v>
      </c>
      <c r="C61" s="558">
        <f t="shared" si="159"/>
        <v>0.1</v>
      </c>
      <c r="D61" s="558">
        <f t="shared" si="160"/>
        <v>0.09</v>
      </c>
      <c r="E61" s="715">
        <f t="shared" si="161"/>
        <v>0</v>
      </c>
      <c r="F61" s="547">
        <f t="shared" si="162"/>
        <v>22</v>
      </c>
      <c r="G61" s="699">
        <f t="shared" si="163"/>
        <v>0.1</v>
      </c>
      <c r="H61" s="699">
        <f t="shared" si="164"/>
        <v>0.09</v>
      </c>
      <c r="I61" s="702">
        <f t="shared" si="165"/>
        <v>0</v>
      </c>
      <c r="J61" s="837">
        <f t="shared" si="166"/>
        <v>63</v>
      </c>
      <c r="K61" s="699">
        <f t="shared" si="167"/>
        <v>0.1</v>
      </c>
      <c r="L61" s="1040">
        <f t="shared" si="168"/>
        <v>0.05</v>
      </c>
      <c r="M61" s="423" t="s">
        <v>1455</v>
      </c>
      <c r="N61" s="326"/>
      <c r="O61" s="332"/>
      <c r="P61" s="113" t="e">
        <f t="shared" si="12"/>
        <v>#VALUE!</v>
      </c>
      <c r="Q61" s="116" t="str">
        <f t="shared" si="169"/>
        <v/>
      </c>
      <c r="R61" s="117">
        <f t="shared" si="170"/>
        <v>0</v>
      </c>
      <c r="S61" s="114"/>
      <c r="T61" s="116"/>
      <c r="U61" s="116">
        <f t="shared" si="171"/>
        <v>0</v>
      </c>
      <c r="V61" s="116">
        <v>3000000</v>
      </c>
      <c r="W61" s="116" t="e">
        <f t="shared" si="16"/>
        <v>#VALUE!</v>
      </c>
      <c r="X61" s="116" t="str">
        <f t="shared" si="172"/>
        <v/>
      </c>
      <c r="Y61" s="116">
        <f t="shared" si="173"/>
        <v>116406.57</v>
      </c>
      <c r="Z61" s="326"/>
      <c r="AA61" s="326"/>
      <c r="AB61" s="326">
        <f t="shared" si="174"/>
        <v>0</v>
      </c>
      <c r="AC61" s="332">
        <v>1800000</v>
      </c>
      <c r="AD61" s="140" t="e">
        <f t="shared" si="20"/>
        <v>#VALUE!</v>
      </c>
      <c r="AE61" s="326" t="str">
        <f t="shared" si="175"/>
        <v/>
      </c>
      <c r="AF61" s="117">
        <f t="shared" si="176"/>
        <v>69078.7</v>
      </c>
      <c r="AG61" s="123"/>
      <c r="AH61" s="326"/>
      <c r="AI61" s="1257">
        <f t="shared" si="23"/>
        <v>4800000</v>
      </c>
      <c r="AJ61" s="140">
        <f t="shared" si="177"/>
        <v>47579.25</v>
      </c>
      <c r="AK61" s="123" t="e">
        <f t="shared" ref="AK61:AM61" si="282">AD61+W61+P61</f>
        <v>#VALUE!</v>
      </c>
      <c r="AL61" s="123" t="e">
        <f t="shared" si="282"/>
        <v>#VALUE!</v>
      </c>
      <c r="AM61" s="123">
        <f t="shared" si="282"/>
        <v>185485.27000000002</v>
      </c>
      <c r="AN61" s="123">
        <f t="shared" si="26"/>
        <v>137906.02000000002</v>
      </c>
      <c r="AO61" s="1317">
        <f t="shared" si="62"/>
        <v>2.8984487985834164</v>
      </c>
      <c r="AP61" s="434">
        <f t="shared" si="179"/>
        <v>0</v>
      </c>
      <c r="AQ61" s="1318" t="e">
        <f t="shared" si="28"/>
        <v>#VALUE!</v>
      </c>
      <c r="AR61" s="1319" t="str">
        <f t="shared" si="180"/>
        <v/>
      </c>
      <c r="AS61" s="1320">
        <f t="shared" si="181"/>
        <v>54004.84</v>
      </c>
      <c r="AT61" s="125">
        <f t="shared" si="182"/>
        <v>0</v>
      </c>
      <c r="AU61" s="140" t="e">
        <f t="shared" si="32"/>
        <v>#VALUE!</v>
      </c>
      <c r="AV61" s="326" t="str">
        <f t="shared" si="183"/>
        <v/>
      </c>
      <c r="AW61" s="333">
        <f t="shared" si="184"/>
        <v>0</v>
      </c>
      <c r="AX61" s="125">
        <f t="shared" si="185"/>
        <v>0</v>
      </c>
      <c r="AY61" s="140" t="e">
        <f t="shared" si="36"/>
        <v>#VALUE!</v>
      </c>
      <c r="AZ61" s="326" t="str">
        <f t="shared" si="186"/>
        <v/>
      </c>
      <c r="BA61" s="332">
        <f t="shared" si="187"/>
        <v>0</v>
      </c>
      <c r="BB61" s="122" t="e">
        <f t="shared" ref="BB61:BD61" si="283">SUM(AY61,AU61,AQ61)</f>
        <v>#VALUE!</v>
      </c>
      <c r="BC61" s="326">
        <f t="shared" si="283"/>
        <v>0</v>
      </c>
      <c r="BD61" s="333">
        <f t="shared" si="283"/>
        <v>54004.84</v>
      </c>
      <c r="BE61" s="123" t="e">
        <f t="shared" si="40"/>
        <v>#VALUE!</v>
      </c>
      <c r="BF61" s="326">
        <f t="shared" si="41"/>
        <v>0</v>
      </c>
      <c r="BG61" s="435">
        <f t="shared" si="42"/>
        <v>239490.11000000002</v>
      </c>
      <c r="BH61" s="125">
        <f t="shared" si="189"/>
        <v>0</v>
      </c>
      <c r="BI61" s="1041" t="e">
        <f t="shared" si="44"/>
        <v>#VALUE!</v>
      </c>
      <c r="BJ61" s="123" t="str">
        <f t="shared" si="190"/>
        <v/>
      </c>
      <c r="BK61" s="326">
        <f t="shared" si="191"/>
        <v>0</v>
      </c>
      <c r="BL61" s="123">
        <f t="shared" si="192"/>
        <v>0</v>
      </c>
      <c r="BM61" s="113" t="e">
        <f t="shared" si="48"/>
        <v>#VALUE!</v>
      </c>
      <c r="BN61" s="116" t="str">
        <f t="shared" si="193"/>
        <v/>
      </c>
      <c r="BO61" s="115">
        <f t="shared" si="205"/>
        <v>232895.05</v>
      </c>
      <c r="BP61" s="326">
        <f t="shared" si="194"/>
        <v>0</v>
      </c>
      <c r="BQ61" s="326" t="e">
        <f t="shared" si="51"/>
        <v>#VALUE!</v>
      </c>
      <c r="BR61" s="326" t="str">
        <f t="shared" si="195"/>
        <v/>
      </c>
      <c r="BS61" s="332">
        <f t="shared" si="196"/>
        <v>574119.05000000005</v>
      </c>
      <c r="BT61" s="586" t="e">
        <f t="shared" ref="BT61:BV61" si="284">SUM(BQ61,BM61,BI61)</f>
        <v>#VALUE!</v>
      </c>
      <c r="BU61" s="738">
        <f t="shared" si="284"/>
        <v>0</v>
      </c>
      <c r="BV61" s="737">
        <f t="shared" si="284"/>
        <v>807014.10000000009</v>
      </c>
      <c r="BW61" s="125">
        <f t="shared" si="198"/>
        <v>0</v>
      </c>
      <c r="BX61" s="140" t="e">
        <f t="shared" si="56"/>
        <v>#VALUE!</v>
      </c>
      <c r="BY61" s="123" t="str">
        <f t="shared" si="199"/>
        <v/>
      </c>
      <c r="BZ61" s="333">
        <f t="shared" si="200"/>
        <v>0</v>
      </c>
      <c r="CA61" s="123">
        <f t="shared" si="201"/>
        <v>0</v>
      </c>
      <c r="CB61" s="326">
        <f t="shared" si="202"/>
        <v>47579.25</v>
      </c>
      <c r="CF61" s="294"/>
      <c r="CG61" s="294"/>
      <c r="CH61" s="294"/>
      <c r="CI61" s="294"/>
      <c r="CJ61" s="294"/>
      <c r="CK61" s="294"/>
      <c r="CL61" s="294"/>
      <c r="CM61" s="294"/>
      <c r="CN61" s="294"/>
    </row>
    <row r="62" spans="1:92" ht="13">
      <c r="A62" s="325">
        <f t="shared" si="157"/>
        <v>112013198</v>
      </c>
      <c r="B62" s="324">
        <f t="shared" si="158"/>
        <v>22</v>
      </c>
      <c r="C62" s="558">
        <f t="shared" si="159"/>
        <v>0.1</v>
      </c>
      <c r="D62" s="558">
        <f t="shared" si="160"/>
        <v>0.09</v>
      </c>
      <c r="E62" s="715">
        <f t="shared" si="161"/>
        <v>0</v>
      </c>
      <c r="F62" s="547">
        <f t="shared" si="162"/>
        <v>22</v>
      </c>
      <c r="G62" s="699">
        <f t="shared" si="163"/>
        <v>0.1</v>
      </c>
      <c r="H62" s="699">
        <f t="shared" si="164"/>
        <v>0.09</v>
      </c>
      <c r="I62" s="702">
        <f t="shared" si="165"/>
        <v>0</v>
      </c>
      <c r="J62" s="837">
        <f t="shared" si="166"/>
        <v>63</v>
      </c>
      <c r="K62" s="699">
        <f t="shared" si="167"/>
        <v>0.1</v>
      </c>
      <c r="L62" s="1040">
        <f t="shared" si="168"/>
        <v>0.05</v>
      </c>
      <c r="M62" s="423" t="s">
        <v>1456</v>
      </c>
      <c r="N62" s="326"/>
      <c r="O62" s="332"/>
      <c r="P62" s="113">
        <f t="shared" si="12"/>
        <v>0</v>
      </c>
      <c r="Q62" s="116">
        <f t="shared" si="169"/>
        <v>0</v>
      </c>
      <c r="R62" s="117">
        <f t="shared" si="170"/>
        <v>0</v>
      </c>
      <c r="S62" s="114"/>
      <c r="T62" s="116"/>
      <c r="U62" s="116">
        <f t="shared" si="171"/>
        <v>0</v>
      </c>
      <c r="V62" s="116">
        <v>3000000</v>
      </c>
      <c r="W62" s="116">
        <f t="shared" si="16"/>
        <v>0</v>
      </c>
      <c r="X62" s="116">
        <f t="shared" si="172"/>
        <v>0</v>
      </c>
      <c r="Y62" s="116">
        <f t="shared" si="173"/>
        <v>0</v>
      </c>
      <c r="Z62" s="326"/>
      <c r="AA62" s="326"/>
      <c r="AB62" s="326">
        <f t="shared" si="174"/>
        <v>0</v>
      </c>
      <c r="AC62" s="332">
        <v>1800000</v>
      </c>
      <c r="AD62" s="140">
        <f t="shared" si="20"/>
        <v>0</v>
      </c>
      <c r="AE62" s="326">
        <f t="shared" si="175"/>
        <v>0</v>
      </c>
      <c r="AF62" s="117">
        <f t="shared" si="176"/>
        <v>0</v>
      </c>
      <c r="AG62" s="123"/>
      <c r="AH62" s="326"/>
      <c r="AI62" s="1257">
        <f t="shared" si="23"/>
        <v>4800000</v>
      </c>
      <c r="AJ62" s="140">
        <f t="shared" si="177"/>
        <v>781332.38</v>
      </c>
      <c r="AK62" s="123">
        <f t="shared" ref="AK62:AM62" si="285">AD62+W62+P62</f>
        <v>0</v>
      </c>
      <c r="AL62" s="123">
        <f t="shared" si="285"/>
        <v>0</v>
      </c>
      <c r="AM62" s="123">
        <f t="shared" si="285"/>
        <v>0</v>
      </c>
      <c r="AN62" s="123">
        <f t="shared" si="26"/>
        <v>-781332.38</v>
      </c>
      <c r="AO62" s="1317">
        <f t="shared" si="62"/>
        <v>-1</v>
      </c>
      <c r="AP62" s="434">
        <f t="shared" si="179"/>
        <v>0</v>
      </c>
      <c r="AQ62" s="1318">
        <f t="shared" si="28"/>
        <v>0</v>
      </c>
      <c r="AR62" s="1319">
        <f t="shared" si="180"/>
        <v>0</v>
      </c>
      <c r="AS62" s="1320">
        <f t="shared" si="181"/>
        <v>0</v>
      </c>
      <c r="AT62" s="125">
        <f t="shared" si="182"/>
        <v>0</v>
      </c>
      <c r="AU62" s="140">
        <f t="shared" si="32"/>
        <v>0</v>
      </c>
      <c r="AV62" s="326">
        <f t="shared" si="183"/>
        <v>0</v>
      </c>
      <c r="AW62" s="333">
        <f t="shared" si="184"/>
        <v>0</v>
      </c>
      <c r="AX62" s="125">
        <f t="shared" si="185"/>
        <v>0</v>
      </c>
      <c r="AY62" s="140">
        <f t="shared" si="36"/>
        <v>947631.15</v>
      </c>
      <c r="AZ62" s="326">
        <f t="shared" si="186"/>
        <v>39966.65</v>
      </c>
      <c r="BA62" s="332">
        <f t="shared" si="187"/>
        <v>987597.8</v>
      </c>
      <c r="BB62" s="122">
        <f t="shared" ref="BB62:BD62" si="286">SUM(AY62,AU62,AQ62)</f>
        <v>947631.15</v>
      </c>
      <c r="BC62" s="326">
        <f t="shared" si="286"/>
        <v>39966.65</v>
      </c>
      <c r="BD62" s="333">
        <f t="shared" si="286"/>
        <v>987597.8</v>
      </c>
      <c r="BE62" s="123">
        <f t="shared" si="40"/>
        <v>947631.15</v>
      </c>
      <c r="BF62" s="326">
        <f t="shared" si="41"/>
        <v>39966.65</v>
      </c>
      <c r="BG62" s="435">
        <f t="shared" si="42"/>
        <v>987597.8</v>
      </c>
      <c r="BH62" s="125">
        <f t="shared" si="189"/>
        <v>0</v>
      </c>
      <c r="BI62" s="1041">
        <f t="shared" si="44"/>
        <v>0</v>
      </c>
      <c r="BJ62" s="123">
        <f t="shared" si="190"/>
        <v>0</v>
      </c>
      <c r="BK62" s="326">
        <f t="shared" si="191"/>
        <v>0</v>
      </c>
      <c r="BL62" s="123">
        <f t="shared" si="192"/>
        <v>0</v>
      </c>
      <c r="BM62" s="113">
        <f t="shared" si="48"/>
        <v>0</v>
      </c>
      <c r="BN62" s="116">
        <f t="shared" si="193"/>
        <v>0</v>
      </c>
      <c r="BO62" s="115">
        <f t="shared" si="205"/>
        <v>0</v>
      </c>
      <c r="BP62" s="326">
        <f t="shared" si="194"/>
        <v>0</v>
      </c>
      <c r="BQ62" s="326">
        <f t="shared" si="51"/>
        <v>0</v>
      </c>
      <c r="BR62" s="326">
        <f t="shared" si="195"/>
        <v>0</v>
      </c>
      <c r="BS62" s="332">
        <f t="shared" si="196"/>
        <v>0</v>
      </c>
      <c r="BT62" s="586">
        <f t="shared" ref="BT62:BV62" si="287">SUM(BQ62,BM62,BI62)</f>
        <v>0</v>
      </c>
      <c r="BU62" s="738">
        <f t="shared" si="287"/>
        <v>0</v>
      </c>
      <c r="BV62" s="737">
        <f t="shared" si="287"/>
        <v>0</v>
      </c>
      <c r="BW62" s="125">
        <f t="shared" si="198"/>
        <v>781332.38</v>
      </c>
      <c r="BX62" s="140">
        <f t="shared" si="56"/>
        <v>0</v>
      </c>
      <c r="BY62" s="123">
        <f t="shared" si="199"/>
        <v>0</v>
      </c>
      <c r="BZ62" s="333">
        <f t="shared" si="200"/>
        <v>0</v>
      </c>
      <c r="CA62" s="123">
        <f t="shared" si="201"/>
        <v>0</v>
      </c>
      <c r="CB62" s="326">
        <f t="shared" si="202"/>
        <v>0</v>
      </c>
      <c r="CF62" s="294"/>
      <c r="CG62" s="294"/>
      <c r="CH62" s="294"/>
      <c r="CI62" s="294"/>
      <c r="CJ62" s="294"/>
      <c r="CK62" s="294"/>
      <c r="CL62" s="294"/>
      <c r="CM62" s="294"/>
      <c r="CN62" s="294"/>
    </row>
    <row r="63" spans="1:92" ht="13">
      <c r="A63" s="325">
        <f t="shared" si="157"/>
        <v>112013978</v>
      </c>
      <c r="B63" s="324">
        <f t="shared" si="158"/>
        <v>22</v>
      </c>
      <c r="C63" s="558">
        <f t="shared" si="159"/>
        <v>0.1</v>
      </c>
      <c r="D63" s="558">
        <f t="shared" si="160"/>
        <v>0.09</v>
      </c>
      <c r="E63" s="715">
        <f t="shared" si="161"/>
        <v>0</v>
      </c>
      <c r="F63" s="547">
        <f t="shared" si="162"/>
        <v>22</v>
      </c>
      <c r="G63" s="699">
        <f t="shared" si="163"/>
        <v>0.1</v>
      </c>
      <c r="H63" s="699">
        <f t="shared" si="164"/>
        <v>0.09</v>
      </c>
      <c r="I63" s="702">
        <f t="shared" si="165"/>
        <v>0</v>
      </c>
      <c r="J63" s="837">
        <f t="shared" si="166"/>
        <v>63</v>
      </c>
      <c r="K63" s="699">
        <f t="shared" si="167"/>
        <v>0.1</v>
      </c>
      <c r="L63" s="1040">
        <f t="shared" si="168"/>
        <v>0.05</v>
      </c>
      <c r="M63" s="423" t="s">
        <v>1457</v>
      </c>
      <c r="N63" s="326"/>
      <c r="O63" s="332"/>
      <c r="P63" s="113">
        <f t="shared" si="12"/>
        <v>2165272.33</v>
      </c>
      <c r="Q63" s="116">
        <f t="shared" si="169"/>
        <v>0</v>
      </c>
      <c r="R63" s="117">
        <f t="shared" si="170"/>
        <v>2165272.33</v>
      </c>
      <c r="S63" s="114"/>
      <c r="T63" s="116"/>
      <c r="U63" s="116">
        <f t="shared" si="171"/>
        <v>402082.93</v>
      </c>
      <c r="V63" s="116">
        <v>3000000</v>
      </c>
      <c r="W63" s="116">
        <f t="shared" si="16"/>
        <v>1016380.93</v>
      </c>
      <c r="X63" s="116">
        <f t="shared" si="172"/>
        <v>0</v>
      </c>
      <c r="Y63" s="116">
        <f t="shared" si="173"/>
        <v>1016380.93</v>
      </c>
      <c r="Z63" s="326"/>
      <c r="AA63" s="326"/>
      <c r="AB63" s="326">
        <f t="shared" si="174"/>
        <v>304370.84000000003</v>
      </c>
      <c r="AC63" s="332">
        <v>1800000</v>
      </c>
      <c r="AD63" s="140">
        <f t="shared" si="20"/>
        <v>1493280.39</v>
      </c>
      <c r="AE63" s="326">
        <f t="shared" si="175"/>
        <v>0</v>
      </c>
      <c r="AF63" s="117">
        <f t="shared" si="176"/>
        <v>1493280.39</v>
      </c>
      <c r="AG63" s="123"/>
      <c r="AH63" s="326"/>
      <c r="AI63" s="1257">
        <f t="shared" si="23"/>
        <v>4800000</v>
      </c>
      <c r="AJ63" s="140">
        <f t="shared" si="177"/>
        <v>4361819.4400000004</v>
      </c>
      <c r="AK63" s="123">
        <f t="shared" ref="AK63:AM63" si="288">AD63+W63+P63</f>
        <v>4674933.6500000004</v>
      </c>
      <c r="AL63" s="123">
        <f t="shared" si="288"/>
        <v>0</v>
      </c>
      <c r="AM63" s="123">
        <f t="shared" si="288"/>
        <v>4674933.6500000004</v>
      </c>
      <c r="AN63" s="123">
        <f t="shared" si="26"/>
        <v>313114.20999999996</v>
      </c>
      <c r="AO63" s="1317">
        <f t="shared" si="62"/>
        <v>7.1785229605927925E-2</v>
      </c>
      <c r="AP63" s="434">
        <f t="shared" si="179"/>
        <v>267523.13</v>
      </c>
      <c r="AQ63" s="1318">
        <f t="shared" si="28"/>
        <v>1515980.4</v>
      </c>
      <c r="AR63" s="1319">
        <f t="shared" si="180"/>
        <v>0</v>
      </c>
      <c r="AS63" s="1320">
        <f t="shared" si="181"/>
        <v>1515980.4</v>
      </c>
      <c r="AT63" s="125">
        <f t="shared" si="182"/>
        <v>0</v>
      </c>
      <c r="AU63" s="140">
        <f t="shared" si="32"/>
        <v>595446.39</v>
      </c>
      <c r="AV63" s="326">
        <f t="shared" si="183"/>
        <v>0</v>
      </c>
      <c r="AW63" s="333">
        <f t="shared" si="184"/>
        <v>595446.39</v>
      </c>
      <c r="AX63" s="125">
        <f t="shared" si="185"/>
        <v>92490.82</v>
      </c>
      <c r="AY63" s="140">
        <f t="shared" si="36"/>
        <v>1490714.9</v>
      </c>
      <c r="AZ63" s="326">
        <f t="shared" si="186"/>
        <v>31057.599999999999</v>
      </c>
      <c r="BA63" s="332">
        <f t="shared" si="187"/>
        <v>1521772.5</v>
      </c>
      <c r="BB63" s="122">
        <f t="shared" ref="BB63:BD63" si="289">SUM(AY63,AU63,AQ63)</f>
        <v>3602141.69</v>
      </c>
      <c r="BC63" s="326">
        <f t="shared" si="289"/>
        <v>31057.599999999999</v>
      </c>
      <c r="BD63" s="333">
        <f t="shared" si="289"/>
        <v>3633199.29</v>
      </c>
      <c r="BE63" s="123">
        <f t="shared" si="40"/>
        <v>8277075.3399999999</v>
      </c>
      <c r="BF63" s="326">
        <f t="shared" si="41"/>
        <v>31057.599999999999</v>
      </c>
      <c r="BG63" s="435">
        <f t="shared" si="42"/>
        <v>8308132.9400000004</v>
      </c>
      <c r="BH63" s="125">
        <f t="shared" si="189"/>
        <v>0</v>
      </c>
      <c r="BI63" s="1041">
        <f t="shared" si="44"/>
        <v>685077.62</v>
      </c>
      <c r="BJ63" s="123">
        <f t="shared" si="190"/>
        <v>0</v>
      </c>
      <c r="BK63" s="326">
        <f t="shared" si="191"/>
        <v>685077.62</v>
      </c>
      <c r="BL63" s="123">
        <f t="shared" si="192"/>
        <v>0</v>
      </c>
      <c r="BM63" s="113">
        <f t="shared" si="48"/>
        <v>1941735.14</v>
      </c>
      <c r="BN63" s="116">
        <f t="shared" si="193"/>
        <v>0</v>
      </c>
      <c r="BO63" s="115">
        <f t="shared" si="205"/>
        <v>1941735.14</v>
      </c>
      <c r="BP63" s="326">
        <f t="shared" si="194"/>
        <v>0</v>
      </c>
      <c r="BQ63" s="326">
        <f t="shared" si="51"/>
        <v>953766.44</v>
      </c>
      <c r="BR63" s="326">
        <f t="shared" si="195"/>
        <v>0</v>
      </c>
      <c r="BS63" s="332">
        <f t="shared" si="196"/>
        <v>953766.44</v>
      </c>
      <c r="BT63" s="586">
        <f t="shared" ref="BT63:BV63" si="290">SUM(BQ63,BM63,BI63)</f>
        <v>3580579.2</v>
      </c>
      <c r="BU63" s="738">
        <f t="shared" si="290"/>
        <v>0</v>
      </c>
      <c r="BV63" s="737">
        <f t="shared" si="290"/>
        <v>3580579.2</v>
      </c>
      <c r="BW63" s="125">
        <f t="shared" si="198"/>
        <v>772973.2</v>
      </c>
      <c r="BX63" s="140">
        <f t="shared" si="56"/>
        <v>1489752.99</v>
      </c>
      <c r="BY63" s="123">
        <f t="shared" si="199"/>
        <v>0</v>
      </c>
      <c r="BZ63" s="333">
        <f t="shared" si="200"/>
        <v>1489752.99</v>
      </c>
      <c r="CA63" s="123">
        <f t="shared" si="201"/>
        <v>1762157.99</v>
      </c>
      <c r="CB63" s="326">
        <f t="shared" si="202"/>
        <v>1826688.26</v>
      </c>
      <c r="CF63" s="294"/>
      <c r="CG63" s="294"/>
      <c r="CH63" s="294"/>
      <c r="CI63" s="294"/>
      <c r="CJ63" s="294"/>
      <c r="CK63" s="294"/>
      <c r="CL63" s="294"/>
      <c r="CM63" s="294"/>
      <c r="CN63" s="294"/>
    </row>
    <row r="64" spans="1:92" ht="13">
      <c r="A64" s="325">
        <f t="shared" si="157"/>
        <v>112014623</v>
      </c>
      <c r="B64" s="324">
        <f t="shared" si="158"/>
        <v>22</v>
      </c>
      <c r="C64" s="558">
        <f t="shared" si="159"/>
        <v>0.1</v>
      </c>
      <c r="D64" s="558">
        <f t="shared" si="160"/>
        <v>0.09</v>
      </c>
      <c r="E64" s="715">
        <f t="shared" si="161"/>
        <v>0</v>
      </c>
      <c r="F64" s="547">
        <f t="shared" si="162"/>
        <v>22</v>
      </c>
      <c r="G64" s="699">
        <f t="shared" si="163"/>
        <v>0.1</v>
      </c>
      <c r="H64" s="699">
        <f t="shared" si="164"/>
        <v>0.09</v>
      </c>
      <c r="I64" s="702">
        <f t="shared" si="165"/>
        <v>0</v>
      </c>
      <c r="J64" s="837">
        <f t="shared" si="166"/>
        <v>63</v>
      </c>
      <c r="K64" s="699">
        <f t="shared" si="167"/>
        <v>0.1</v>
      </c>
      <c r="L64" s="1040">
        <f t="shared" si="168"/>
        <v>0.05</v>
      </c>
      <c r="M64" s="423" t="s">
        <v>1458</v>
      </c>
      <c r="N64" s="326"/>
      <c r="O64" s="332"/>
      <c r="P64" s="113" t="e">
        <f t="shared" si="12"/>
        <v>#VALUE!</v>
      </c>
      <c r="Q64" s="116" t="str">
        <f t="shared" si="169"/>
        <v/>
      </c>
      <c r="R64" s="117">
        <f t="shared" si="170"/>
        <v>56727.62</v>
      </c>
      <c r="S64" s="114"/>
      <c r="T64" s="116"/>
      <c r="U64" s="116" t="str">
        <f t="shared" si="171"/>
        <v/>
      </c>
      <c r="V64" s="116">
        <v>3000000</v>
      </c>
      <c r="W64" s="116" t="e">
        <f t="shared" si="16"/>
        <v>#VALUE!</v>
      </c>
      <c r="X64" s="116" t="str">
        <f t="shared" si="172"/>
        <v/>
      </c>
      <c r="Y64" s="116">
        <f t="shared" si="173"/>
        <v>0</v>
      </c>
      <c r="Z64" s="326"/>
      <c r="AA64" s="326"/>
      <c r="AB64" s="326" t="str">
        <f t="shared" si="174"/>
        <v/>
      </c>
      <c r="AC64" s="332">
        <v>1800000</v>
      </c>
      <c r="AD64" s="140" t="e">
        <f t="shared" si="20"/>
        <v>#VALUE!</v>
      </c>
      <c r="AE64" s="326" t="str">
        <f t="shared" si="175"/>
        <v/>
      </c>
      <c r="AF64" s="117">
        <f t="shared" si="176"/>
        <v>0</v>
      </c>
      <c r="AG64" s="123"/>
      <c r="AH64" s="326"/>
      <c r="AI64" s="1257">
        <f t="shared" si="23"/>
        <v>4800000</v>
      </c>
      <c r="AJ64" s="140" t="str">
        <f t="shared" si="177"/>
        <v>0</v>
      </c>
      <c r="AK64" s="123" t="e">
        <f t="shared" ref="AK64:AM64" si="291">AD64+W64+P64</f>
        <v>#VALUE!</v>
      </c>
      <c r="AL64" s="123" t="e">
        <f t="shared" si="291"/>
        <v>#VALUE!</v>
      </c>
      <c r="AM64" s="123">
        <f t="shared" si="291"/>
        <v>56727.62</v>
      </c>
      <c r="AN64" s="123">
        <f t="shared" si="26"/>
        <v>56727.62</v>
      </c>
      <c r="AO64" s="1317" t="str">
        <f t="shared" si="62"/>
        <v/>
      </c>
      <c r="AP64" s="434" t="str">
        <f t="shared" si="179"/>
        <v/>
      </c>
      <c r="AQ64" s="1318" t="e">
        <f t="shared" si="28"/>
        <v>#VALUE!</v>
      </c>
      <c r="AR64" s="1319" t="str">
        <f t="shared" si="180"/>
        <v/>
      </c>
      <c r="AS64" s="1320">
        <f t="shared" si="181"/>
        <v>0</v>
      </c>
      <c r="AT64" s="125" t="str">
        <f t="shared" si="182"/>
        <v/>
      </c>
      <c r="AU64" s="140" t="e">
        <f t="shared" si="32"/>
        <v>#VALUE!</v>
      </c>
      <c r="AV64" s="326" t="str">
        <f t="shared" si="183"/>
        <v/>
      </c>
      <c r="AW64" s="333">
        <f t="shared" si="184"/>
        <v>0</v>
      </c>
      <c r="AX64" s="125" t="str">
        <f t="shared" si="185"/>
        <v/>
      </c>
      <c r="AY64" s="140" t="e">
        <f t="shared" si="36"/>
        <v>#VALUE!</v>
      </c>
      <c r="AZ64" s="326" t="str">
        <f t="shared" si="186"/>
        <v/>
      </c>
      <c r="BA64" s="332">
        <f t="shared" si="187"/>
        <v>0</v>
      </c>
      <c r="BB64" s="122" t="e">
        <f t="shared" ref="BB64:BD64" si="292">SUM(AY64,AU64,AQ64)</f>
        <v>#VALUE!</v>
      </c>
      <c r="BC64" s="326">
        <f t="shared" si="292"/>
        <v>0</v>
      </c>
      <c r="BD64" s="333">
        <f t="shared" si="292"/>
        <v>0</v>
      </c>
      <c r="BE64" s="123" t="e">
        <f t="shared" si="40"/>
        <v>#VALUE!</v>
      </c>
      <c r="BF64" s="326">
        <f t="shared" si="41"/>
        <v>0</v>
      </c>
      <c r="BG64" s="435">
        <f t="shared" si="42"/>
        <v>56727.62</v>
      </c>
      <c r="BH64" s="125" t="str">
        <f t="shared" si="189"/>
        <v/>
      </c>
      <c r="BI64" s="1041" t="e">
        <f t="shared" si="44"/>
        <v>#VALUE!</v>
      </c>
      <c r="BJ64" s="123" t="str">
        <f t="shared" si="190"/>
        <v/>
      </c>
      <c r="BK64" s="326">
        <f t="shared" si="191"/>
        <v>0</v>
      </c>
      <c r="BL64" s="123" t="str">
        <f t="shared" si="192"/>
        <v/>
      </c>
      <c r="BM64" s="113" t="e">
        <f t="shared" si="48"/>
        <v>#VALUE!</v>
      </c>
      <c r="BN64" s="116" t="str">
        <f t="shared" si="193"/>
        <v/>
      </c>
      <c r="BO64" s="115">
        <f t="shared" si="205"/>
        <v>0</v>
      </c>
      <c r="BP64" s="326" t="str">
        <f t="shared" si="194"/>
        <v/>
      </c>
      <c r="BQ64" s="326" t="e">
        <f t="shared" si="51"/>
        <v>#VALUE!</v>
      </c>
      <c r="BR64" s="326" t="str">
        <f t="shared" si="195"/>
        <v/>
      </c>
      <c r="BS64" s="332">
        <f t="shared" si="196"/>
        <v>0</v>
      </c>
      <c r="BT64" s="586" t="e">
        <f t="shared" ref="BT64:BV64" si="293">SUM(BQ64,BM64,BI64)</f>
        <v>#VALUE!</v>
      </c>
      <c r="BU64" s="738">
        <f t="shared" si="293"/>
        <v>0</v>
      </c>
      <c r="BV64" s="737">
        <f t="shared" si="293"/>
        <v>0</v>
      </c>
      <c r="BW64" s="125" t="str">
        <f t="shared" si="198"/>
        <v/>
      </c>
      <c r="BX64" s="140" t="e">
        <f t="shared" si="56"/>
        <v>#VALUE!</v>
      </c>
      <c r="BY64" s="123" t="str">
        <f t="shared" si="199"/>
        <v/>
      </c>
      <c r="BZ64" s="333">
        <f t="shared" si="200"/>
        <v>0</v>
      </c>
      <c r="CA64" s="123" t="str">
        <f t="shared" si="201"/>
        <v/>
      </c>
      <c r="CB64" s="326" t="str">
        <f t="shared" si="202"/>
        <v/>
      </c>
      <c r="CF64" s="294"/>
      <c r="CG64" s="294"/>
      <c r="CH64" s="294"/>
      <c r="CI64" s="294"/>
      <c r="CJ64" s="294"/>
      <c r="CK64" s="294"/>
      <c r="CL64" s="294"/>
      <c r="CM64" s="294"/>
      <c r="CN64" s="294"/>
    </row>
    <row r="65" spans="1:92" ht="13">
      <c r="A65" s="325">
        <f t="shared" si="157"/>
        <v>112014622</v>
      </c>
      <c r="B65" s="324">
        <f t="shared" si="158"/>
        <v>22</v>
      </c>
      <c r="C65" s="558">
        <f t="shared" si="159"/>
        <v>0.1</v>
      </c>
      <c r="D65" s="558">
        <f t="shared" si="160"/>
        <v>0.09</v>
      </c>
      <c r="E65" s="715">
        <f t="shared" si="161"/>
        <v>0</v>
      </c>
      <c r="F65" s="547">
        <f t="shared" si="162"/>
        <v>22</v>
      </c>
      <c r="G65" s="699">
        <f t="shared" si="163"/>
        <v>0.1</v>
      </c>
      <c r="H65" s="699">
        <f t="shared" si="164"/>
        <v>0.09</v>
      </c>
      <c r="I65" s="702">
        <f t="shared" si="165"/>
        <v>0</v>
      </c>
      <c r="J65" s="837">
        <f t="shared" si="166"/>
        <v>63</v>
      </c>
      <c r="K65" s="699">
        <f t="shared" si="167"/>
        <v>0.1</v>
      </c>
      <c r="L65" s="1040">
        <f t="shared" si="168"/>
        <v>0.05</v>
      </c>
      <c r="M65" s="423" t="s">
        <v>1459</v>
      </c>
      <c r="N65" s="326"/>
      <c r="O65" s="332"/>
      <c r="P65" s="113" t="e">
        <f t="shared" si="12"/>
        <v>#VALUE!</v>
      </c>
      <c r="Q65" s="116" t="str">
        <f t="shared" si="169"/>
        <v/>
      </c>
      <c r="R65" s="117">
        <f t="shared" si="170"/>
        <v>0</v>
      </c>
      <c r="S65" s="114"/>
      <c r="T65" s="116"/>
      <c r="U65" s="116">
        <f t="shared" si="171"/>
        <v>0</v>
      </c>
      <c r="V65" s="116">
        <v>3000000</v>
      </c>
      <c r="W65" s="116" t="e">
        <f t="shared" si="16"/>
        <v>#VALUE!</v>
      </c>
      <c r="X65" s="116" t="str">
        <f t="shared" si="172"/>
        <v/>
      </c>
      <c r="Y65" s="116">
        <f t="shared" si="173"/>
        <v>195513.52</v>
      </c>
      <c r="Z65" s="326"/>
      <c r="AA65" s="326"/>
      <c r="AB65" s="326">
        <f t="shared" si="174"/>
        <v>0</v>
      </c>
      <c r="AC65" s="332">
        <v>1800000</v>
      </c>
      <c r="AD65" s="140" t="e">
        <f t="shared" si="20"/>
        <v>#VALUE!</v>
      </c>
      <c r="AE65" s="326" t="str">
        <f t="shared" si="175"/>
        <v/>
      </c>
      <c r="AF65" s="117">
        <f t="shared" si="176"/>
        <v>0</v>
      </c>
      <c r="AG65" s="123"/>
      <c r="AH65" s="326"/>
      <c r="AI65" s="1257">
        <f t="shared" si="23"/>
        <v>4800000</v>
      </c>
      <c r="AJ65" s="140">
        <f t="shared" si="177"/>
        <v>343826.04</v>
      </c>
      <c r="AK65" s="123" t="e">
        <f t="shared" ref="AK65:AM65" si="294">AD65+W65+P65</f>
        <v>#VALUE!</v>
      </c>
      <c r="AL65" s="123" t="e">
        <f t="shared" si="294"/>
        <v>#VALUE!</v>
      </c>
      <c r="AM65" s="123">
        <f t="shared" si="294"/>
        <v>195513.52</v>
      </c>
      <c r="AN65" s="123">
        <f t="shared" si="26"/>
        <v>-148312.51999999999</v>
      </c>
      <c r="AO65" s="1317">
        <f t="shared" si="62"/>
        <v>-0.4313591838477388</v>
      </c>
      <c r="AP65" s="434">
        <f t="shared" si="179"/>
        <v>0</v>
      </c>
      <c r="AQ65" s="1318" t="e">
        <f t="shared" si="28"/>
        <v>#VALUE!</v>
      </c>
      <c r="AR65" s="1319" t="str">
        <f t="shared" si="180"/>
        <v/>
      </c>
      <c r="AS65" s="1320">
        <f t="shared" si="181"/>
        <v>0</v>
      </c>
      <c r="AT65" s="125">
        <f t="shared" si="182"/>
        <v>0</v>
      </c>
      <c r="AU65" s="140" t="e">
        <f t="shared" si="32"/>
        <v>#VALUE!</v>
      </c>
      <c r="AV65" s="326" t="str">
        <f t="shared" si="183"/>
        <v/>
      </c>
      <c r="AW65" s="333">
        <f t="shared" si="184"/>
        <v>0</v>
      </c>
      <c r="AX65" s="125">
        <f t="shared" si="185"/>
        <v>0</v>
      </c>
      <c r="AY65" s="140" t="e">
        <f t="shared" si="36"/>
        <v>#VALUE!</v>
      </c>
      <c r="AZ65" s="326" t="str">
        <f t="shared" si="186"/>
        <v/>
      </c>
      <c r="BA65" s="332">
        <f t="shared" si="187"/>
        <v>0</v>
      </c>
      <c r="BB65" s="122" t="e">
        <f t="shared" ref="BB65:BD65" si="295">SUM(AY65,AU65,AQ65)</f>
        <v>#VALUE!</v>
      </c>
      <c r="BC65" s="326">
        <f t="shared" si="295"/>
        <v>0</v>
      </c>
      <c r="BD65" s="333">
        <f t="shared" si="295"/>
        <v>0</v>
      </c>
      <c r="BE65" s="123" t="e">
        <f t="shared" si="40"/>
        <v>#VALUE!</v>
      </c>
      <c r="BF65" s="326">
        <f t="shared" si="41"/>
        <v>0</v>
      </c>
      <c r="BG65" s="435">
        <f t="shared" si="42"/>
        <v>195513.52</v>
      </c>
      <c r="BH65" s="125">
        <f t="shared" si="189"/>
        <v>0</v>
      </c>
      <c r="BI65" s="1041" t="e">
        <f t="shared" si="44"/>
        <v>#VALUE!</v>
      </c>
      <c r="BJ65" s="123" t="str">
        <f t="shared" si="190"/>
        <v/>
      </c>
      <c r="BK65" s="326">
        <f t="shared" si="191"/>
        <v>0</v>
      </c>
      <c r="BL65" s="123">
        <f t="shared" si="192"/>
        <v>0</v>
      </c>
      <c r="BM65" s="113" t="e">
        <f t="shared" si="48"/>
        <v>#VALUE!</v>
      </c>
      <c r="BN65" s="116" t="str">
        <f t="shared" si="193"/>
        <v/>
      </c>
      <c r="BO65" s="115">
        <f t="shared" si="205"/>
        <v>0</v>
      </c>
      <c r="BP65" s="326">
        <f t="shared" si="194"/>
        <v>0</v>
      </c>
      <c r="BQ65" s="326" t="e">
        <f t="shared" si="51"/>
        <v>#VALUE!</v>
      </c>
      <c r="BR65" s="326" t="str">
        <f t="shared" si="195"/>
        <v/>
      </c>
      <c r="BS65" s="332">
        <f t="shared" si="196"/>
        <v>598331.06000000006</v>
      </c>
      <c r="BT65" s="586" t="e">
        <f t="shared" ref="BT65:BV65" si="296">SUM(BQ65,BM65,BI65)</f>
        <v>#VALUE!</v>
      </c>
      <c r="BU65" s="738">
        <f t="shared" si="296"/>
        <v>0</v>
      </c>
      <c r="BV65" s="737">
        <f t="shared" si="296"/>
        <v>598331.06000000006</v>
      </c>
      <c r="BW65" s="125">
        <f t="shared" si="198"/>
        <v>0</v>
      </c>
      <c r="BX65" s="140" t="e">
        <f t="shared" si="56"/>
        <v>#VALUE!</v>
      </c>
      <c r="BY65" s="123" t="str">
        <f t="shared" si="199"/>
        <v/>
      </c>
      <c r="BZ65" s="333">
        <f t="shared" si="200"/>
        <v>0</v>
      </c>
      <c r="CA65" s="123">
        <f t="shared" si="201"/>
        <v>0</v>
      </c>
      <c r="CB65" s="326">
        <f t="shared" si="202"/>
        <v>343826.04</v>
      </c>
      <c r="CF65" s="294"/>
      <c r="CG65" s="294"/>
      <c r="CH65" s="294"/>
      <c r="CI65" s="294"/>
      <c r="CJ65" s="294"/>
      <c r="CK65" s="294"/>
      <c r="CL65" s="294"/>
      <c r="CM65" s="294"/>
      <c r="CN65" s="294"/>
    </row>
    <row r="66" spans="1:92" ht="13">
      <c r="A66" s="325">
        <f t="shared" ref="A66:A97" si="297">VLOOKUP(M66,lavcart4,3,FALSE)</f>
        <v>112014478</v>
      </c>
      <c r="B66" s="324">
        <f t="shared" ref="B66:B97" si="298">VLOOKUP(M66,LAVENIACARTERA,2,FALSE)</f>
        <v>22</v>
      </c>
      <c r="C66" s="558">
        <f t="shared" ref="C66:C97" si="299">IFERROR(VLOOKUP(B66,DES,2,FALSE),"")</f>
        <v>0.1</v>
      </c>
      <c r="D66" s="558">
        <f t="shared" ref="D66:D97" si="300">IFERROR(VLOOKUP(B66,DES,3,FALSE),"")</f>
        <v>0.09</v>
      </c>
      <c r="E66" s="715">
        <f t="shared" ref="E66:E97" si="301">IFERROR(VLOOKUP(B66,DES,4,FALSE),"")</f>
        <v>0</v>
      </c>
      <c r="F66" s="547">
        <f t="shared" ref="F66:F97" si="302">VLOOKUP(M66,LAVENIACART2,2,FALSE)</f>
        <v>22</v>
      </c>
      <c r="G66" s="699">
        <f t="shared" ref="G66:G97" si="303">IFERROR(VLOOKUP(F66,DES,2,FALSE),"")</f>
        <v>0.1</v>
      </c>
      <c r="H66" s="699">
        <f t="shared" ref="H66:H97" si="304">IFERROR(VLOOKUP(F66,DES,3,FALSE),"")</f>
        <v>0.09</v>
      </c>
      <c r="I66" s="702">
        <f t="shared" ref="I66:I97" si="305">IFERROR(VLOOKUP(F66,DES,4,FALSE),"")</f>
        <v>0</v>
      </c>
      <c r="J66" s="837">
        <f t="shared" ref="J66:J97" si="306">VLOOKUP(M66,lavcart4,2,FALSE)</f>
        <v>63</v>
      </c>
      <c r="K66" s="699">
        <f t="shared" ref="K66:K97" si="307">VLOOKUP(J66,A458DC1025,2,FALSE)</f>
        <v>0.1</v>
      </c>
      <c r="L66" s="1040">
        <f t="shared" si="168"/>
        <v>0.05</v>
      </c>
      <c r="M66" s="423" t="s">
        <v>1460</v>
      </c>
      <c r="N66" s="326"/>
      <c r="O66" s="332"/>
      <c r="P66" s="113" t="e">
        <f t="shared" si="12"/>
        <v>#VALUE!</v>
      </c>
      <c r="Q66" s="116" t="str">
        <f t="shared" ref="Q66:Q97" si="308">IFERROR(VLOOKUP(M66,VANEALIM,3,FALSE),"")</f>
        <v/>
      </c>
      <c r="R66" s="117">
        <f t="shared" ref="R66:R97" si="309">IFERROR(VLOOKUP(M66,LAVEFC,3,FALSE),"0")</f>
        <v>70736.429999999993</v>
      </c>
      <c r="S66" s="114"/>
      <c r="T66" s="116"/>
      <c r="U66" s="116">
        <f t="shared" ref="U66:U97" si="310">IFERROR(VLOOKUP(M66,tmkpechhhh24,4,FALSE),"")</f>
        <v>0</v>
      </c>
      <c r="V66" s="116">
        <v>3000000</v>
      </c>
      <c r="W66" s="116" t="e">
        <f t="shared" si="16"/>
        <v>#VALUE!</v>
      </c>
      <c r="X66" s="116" t="str">
        <f t="shared" ref="X66:X97" si="311">IFERROR(VLOOKUP(M66,VANEALIM,4,FALSE),"")</f>
        <v/>
      </c>
      <c r="Y66" s="116">
        <f t="shared" ref="Y66:Y97" si="312">IFERROR(VLOOKUP(M66,LAVEFC,4,FALSE),"0")</f>
        <v>0</v>
      </c>
      <c r="Z66" s="326"/>
      <c r="AA66" s="326"/>
      <c r="AB66" s="326">
        <f t="shared" ref="AB66:AB97" si="313">IFERROR(VLOOKUP(M66,tmkpechhhh24,5,FALSE),"")</f>
        <v>0</v>
      </c>
      <c r="AC66" s="332">
        <v>1800000</v>
      </c>
      <c r="AD66" s="140" t="e">
        <f t="shared" si="20"/>
        <v>#VALUE!</v>
      </c>
      <c r="AE66" s="326" t="str">
        <f t="shared" ref="AE66:AE97" si="314">IFERROR(VLOOKUP(M66,VANEALIM,5,FALSE),"")</f>
        <v/>
      </c>
      <c r="AF66" s="117">
        <f t="shared" ref="AF66:AF97" si="315">IFERROR(VLOOKUP(M66,LAVEFC,5,FALSE),"0")</f>
        <v>0</v>
      </c>
      <c r="AG66" s="123"/>
      <c r="AH66" s="326"/>
      <c r="AI66" s="1257">
        <f t="shared" si="23"/>
        <v>4800000</v>
      </c>
      <c r="AJ66" s="140">
        <f t="shared" ref="AJ66:AJ97" si="316">IFERROR(VLOOKUP(M66,trim2024,2,FALSE),"0")</f>
        <v>388230.56</v>
      </c>
      <c r="AK66" s="123" t="e">
        <f t="shared" ref="AK66:AM66" si="317">AD66+W66+P66</f>
        <v>#VALUE!</v>
      </c>
      <c r="AL66" s="123" t="e">
        <f t="shared" si="317"/>
        <v>#VALUE!</v>
      </c>
      <c r="AM66" s="123">
        <f t="shared" si="317"/>
        <v>70736.429999999993</v>
      </c>
      <c r="AN66" s="123">
        <f t="shared" si="26"/>
        <v>-317494.13</v>
      </c>
      <c r="AO66" s="1317">
        <f t="shared" si="62"/>
        <v>-0.81779788278387977</v>
      </c>
      <c r="AP66" s="434">
        <f t="shared" ref="AP66:AP97" si="318">IFERROR(VLOOKUP(M66,tmkpechhhh24,6,FALSE),"")</f>
        <v>0</v>
      </c>
      <c r="AQ66" s="1318" t="e">
        <f t="shared" si="28"/>
        <v>#VALUE!</v>
      </c>
      <c r="AR66" s="1319" t="str">
        <f t="shared" ref="AR66:AR97" si="319">IFERROR(VLOOKUP(M66,VANEALIM,6,FALSE),"")</f>
        <v/>
      </c>
      <c r="AS66" s="1320">
        <f t="shared" ref="AS66:AS97" si="320">IFERROR(VLOOKUP(M66,LAVEFC,6,FALSE),"0")</f>
        <v>140928.26999999999</v>
      </c>
      <c r="AT66" s="125">
        <f t="shared" si="182"/>
        <v>0</v>
      </c>
      <c r="AU66" s="140" t="e">
        <f t="shared" si="32"/>
        <v>#VALUE!</v>
      </c>
      <c r="AV66" s="326" t="str">
        <f t="shared" ref="AV66:AV97" si="321">IFERROR(VLOOKUP(M66,VANEALIM,7,FALSE),"")</f>
        <v/>
      </c>
      <c r="AW66" s="333">
        <f t="shared" ref="AW66:AW97" si="322">IFERROR(VLOOKUP(M66,LAVEFC,7,FALSE),"0")</f>
        <v>0</v>
      </c>
      <c r="AX66" s="125">
        <f t="shared" si="185"/>
        <v>0</v>
      </c>
      <c r="AY66" s="140" t="e">
        <f t="shared" si="36"/>
        <v>#VALUE!</v>
      </c>
      <c r="AZ66" s="326" t="str">
        <f t="shared" ref="AZ66:AZ97" si="323">IFERROR(VLOOKUP(M66,VANEALIM,8,FALSE),"")</f>
        <v/>
      </c>
      <c r="BA66" s="332">
        <f t="shared" ref="BA66:BA97" si="324">IFERROR(VLOOKUP(M66,LAVEFC,8,FALSE),"0")</f>
        <v>0</v>
      </c>
      <c r="BB66" s="122" t="e">
        <f t="shared" ref="BB66:BD66" si="325">SUM(AY66,AU66,AQ66)</f>
        <v>#VALUE!</v>
      </c>
      <c r="BC66" s="326">
        <f t="shared" si="325"/>
        <v>0</v>
      </c>
      <c r="BD66" s="333">
        <f t="shared" si="325"/>
        <v>140928.26999999999</v>
      </c>
      <c r="BE66" s="123" t="e">
        <f t="shared" si="40"/>
        <v>#VALUE!</v>
      </c>
      <c r="BF66" s="326">
        <f t="shared" si="41"/>
        <v>0</v>
      </c>
      <c r="BG66" s="435">
        <f t="shared" si="42"/>
        <v>211664.69999999998</v>
      </c>
      <c r="BH66" s="125">
        <f t="shared" si="189"/>
        <v>247366.37</v>
      </c>
      <c r="BI66" s="1041" t="e">
        <f t="shared" si="44"/>
        <v>#VALUE!</v>
      </c>
      <c r="BJ66" s="123" t="str">
        <f t="shared" ref="BJ66:BJ97" si="326">IFERROR(VLOOKUP(M66,VANEALIM,9,FALSE),"")</f>
        <v/>
      </c>
      <c r="BK66" s="326">
        <f t="shared" ref="BK66:BK97" si="327">IFERROR(VLOOKUP(M66,LAVEFC,9,FALSE),"0")</f>
        <v>0</v>
      </c>
      <c r="BL66" s="123">
        <f t="shared" si="192"/>
        <v>54365.96</v>
      </c>
      <c r="BM66" s="113" t="e">
        <f t="shared" si="48"/>
        <v>#VALUE!</v>
      </c>
      <c r="BN66" s="116" t="str">
        <f t="shared" ref="BN66:BN97" si="328">IFERROR(VLOOKUP(M66,VANEALIM,10,FALSE),"")</f>
        <v/>
      </c>
      <c r="BO66" s="115">
        <f t="shared" si="205"/>
        <v>0</v>
      </c>
      <c r="BP66" s="326">
        <f t="shared" si="194"/>
        <v>98846.23</v>
      </c>
      <c r="BQ66" s="326" t="e">
        <f t="shared" si="51"/>
        <v>#VALUE!</v>
      </c>
      <c r="BR66" s="326" t="str">
        <f t="shared" ref="BR66:BR97" si="329">IFERROR(VLOOKUP(M66,VANEALIM,11,FALSE),"")</f>
        <v/>
      </c>
      <c r="BS66" s="332">
        <f t="shared" ref="BS66:BS97" si="330">IFERROR(VLOOKUP(M66,LAVEFC,11,FALSE),"")</f>
        <v>0</v>
      </c>
      <c r="BT66" s="586" t="e">
        <f t="shared" ref="BT66:BV66" si="331">SUM(BQ66,BM66,BI66)</f>
        <v>#VALUE!</v>
      </c>
      <c r="BU66" s="738">
        <f t="shared" si="331"/>
        <v>0</v>
      </c>
      <c r="BV66" s="737">
        <f t="shared" si="331"/>
        <v>0</v>
      </c>
      <c r="BW66" s="125">
        <f t="shared" si="198"/>
        <v>58231.24</v>
      </c>
      <c r="BX66" s="140" t="e">
        <f t="shared" si="56"/>
        <v>#VALUE!</v>
      </c>
      <c r="BY66" s="123" t="str">
        <f t="shared" ref="BY66:BY97" si="332">IFERROR(VLOOKUP(M66,VANEALIM,12,FALSE),"")</f>
        <v/>
      </c>
      <c r="BZ66" s="333">
        <f t="shared" ref="BZ66:BZ97" si="333">IFERROR(VLOOKUP(M66,LAVEFC,12,FALSE),"")</f>
        <v>0</v>
      </c>
      <c r="CA66" s="123">
        <f t="shared" si="201"/>
        <v>146682.73000000001</v>
      </c>
      <c r="CB66" s="326">
        <f t="shared" si="202"/>
        <v>183316.59</v>
      </c>
      <c r="CF66" s="294"/>
      <c r="CG66" s="294"/>
      <c r="CH66" s="294"/>
      <c r="CI66" s="294"/>
      <c r="CJ66" s="294"/>
      <c r="CK66" s="294"/>
      <c r="CL66" s="294"/>
      <c r="CM66" s="294"/>
      <c r="CN66" s="294"/>
    </row>
    <row r="67" spans="1:92" ht="13">
      <c r="A67" s="325">
        <f t="shared" si="297"/>
        <v>112011902</v>
      </c>
      <c r="B67" s="324">
        <f t="shared" si="298"/>
        <v>22</v>
      </c>
      <c r="C67" s="558">
        <f t="shared" si="299"/>
        <v>0.1</v>
      </c>
      <c r="D67" s="558">
        <f t="shared" si="300"/>
        <v>0.09</v>
      </c>
      <c r="E67" s="715">
        <f t="shared" si="301"/>
        <v>0</v>
      </c>
      <c r="F67" s="547">
        <f t="shared" si="302"/>
        <v>22</v>
      </c>
      <c r="G67" s="699">
        <f t="shared" si="303"/>
        <v>0.1</v>
      </c>
      <c r="H67" s="699">
        <f t="shared" si="304"/>
        <v>0.09</v>
      </c>
      <c r="I67" s="702">
        <f t="shared" si="305"/>
        <v>0</v>
      </c>
      <c r="J67" s="837">
        <f t="shared" si="306"/>
        <v>63</v>
      </c>
      <c r="K67" s="699">
        <f t="shared" si="307"/>
        <v>0.1</v>
      </c>
      <c r="L67" s="1040">
        <f t="shared" si="168"/>
        <v>0.05</v>
      </c>
      <c r="M67" s="423" t="s">
        <v>1461</v>
      </c>
      <c r="N67" s="326"/>
      <c r="O67" s="332"/>
      <c r="P67" s="113" t="e">
        <f t="shared" si="12"/>
        <v>#VALUE!</v>
      </c>
      <c r="Q67" s="116" t="str">
        <f t="shared" si="308"/>
        <v/>
      </c>
      <c r="R67" s="117">
        <f t="shared" si="309"/>
        <v>1018354.95</v>
      </c>
      <c r="S67" s="114"/>
      <c r="T67" s="116"/>
      <c r="U67" s="116">
        <f t="shared" si="310"/>
        <v>182511.24</v>
      </c>
      <c r="V67" s="116">
        <v>3000000</v>
      </c>
      <c r="W67" s="116" t="e">
        <f t="shared" si="16"/>
        <v>#VALUE!</v>
      </c>
      <c r="X67" s="116" t="str">
        <f t="shared" si="311"/>
        <v/>
      </c>
      <c r="Y67" s="116">
        <f t="shared" si="312"/>
        <v>881315.12</v>
      </c>
      <c r="Z67" s="326"/>
      <c r="AA67" s="326"/>
      <c r="AB67" s="326">
        <f t="shared" si="313"/>
        <v>399602.26</v>
      </c>
      <c r="AC67" s="332">
        <v>1800000</v>
      </c>
      <c r="AD67" s="140" t="e">
        <f t="shared" si="20"/>
        <v>#VALUE!</v>
      </c>
      <c r="AE67" s="326" t="str">
        <f t="shared" si="314"/>
        <v/>
      </c>
      <c r="AF67" s="117">
        <f t="shared" si="315"/>
        <v>474641.43</v>
      </c>
      <c r="AG67" s="123"/>
      <c r="AH67" s="326"/>
      <c r="AI67" s="1257">
        <f t="shared" si="23"/>
        <v>4800000</v>
      </c>
      <c r="AJ67" s="140">
        <f t="shared" si="316"/>
        <v>4333533.08</v>
      </c>
      <c r="AK67" s="123" t="e">
        <f t="shared" ref="AK67:AM67" si="334">AD67+W67+P67</f>
        <v>#VALUE!</v>
      </c>
      <c r="AL67" s="123" t="e">
        <f t="shared" si="334"/>
        <v>#VALUE!</v>
      </c>
      <c r="AM67" s="123">
        <f t="shared" si="334"/>
        <v>2374311.5</v>
      </c>
      <c r="AN67" s="123">
        <f t="shared" si="26"/>
        <v>-1959221.58</v>
      </c>
      <c r="AO67" s="1317">
        <f t="shared" si="62"/>
        <v>-0.45210721686702804</v>
      </c>
      <c r="AP67" s="434">
        <f t="shared" si="318"/>
        <v>0</v>
      </c>
      <c r="AQ67" s="1318" t="e">
        <f t="shared" si="28"/>
        <v>#VALUE!</v>
      </c>
      <c r="AR67" s="1319" t="str">
        <f t="shared" si="319"/>
        <v/>
      </c>
      <c r="AS67" s="1320">
        <f t="shared" si="320"/>
        <v>616852.37</v>
      </c>
      <c r="AT67" s="125">
        <f t="shared" si="182"/>
        <v>0</v>
      </c>
      <c r="AU67" s="140" t="e">
        <f t="shared" si="32"/>
        <v>#VALUE!</v>
      </c>
      <c r="AV67" s="326" t="str">
        <f t="shared" si="321"/>
        <v/>
      </c>
      <c r="AW67" s="333">
        <f t="shared" si="322"/>
        <v>636842.48</v>
      </c>
      <c r="AX67" s="125">
        <f t="shared" si="185"/>
        <v>0</v>
      </c>
      <c r="AY67" s="140" t="e">
        <f t="shared" si="36"/>
        <v>#VALUE!</v>
      </c>
      <c r="AZ67" s="326" t="str">
        <f t="shared" si="323"/>
        <v/>
      </c>
      <c r="BA67" s="332">
        <f t="shared" si="324"/>
        <v>548836.85</v>
      </c>
      <c r="BB67" s="122" t="e">
        <f t="shared" ref="BB67:BD67" si="335">SUM(AY67,AU67,AQ67)</f>
        <v>#VALUE!</v>
      </c>
      <c r="BC67" s="326">
        <f t="shared" si="335"/>
        <v>0</v>
      </c>
      <c r="BD67" s="333">
        <f t="shared" si="335"/>
        <v>1802531.7000000002</v>
      </c>
      <c r="BE67" s="123" t="e">
        <f t="shared" si="40"/>
        <v>#VALUE!</v>
      </c>
      <c r="BF67" s="326">
        <f t="shared" si="41"/>
        <v>0</v>
      </c>
      <c r="BG67" s="435">
        <f t="shared" si="42"/>
        <v>4176843.2</v>
      </c>
      <c r="BH67" s="125">
        <f t="shared" si="189"/>
        <v>377832.43</v>
      </c>
      <c r="BI67" s="1041" t="e">
        <f t="shared" si="44"/>
        <v>#VALUE!</v>
      </c>
      <c r="BJ67" s="123" t="str">
        <f t="shared" si="326"/>
        <v/>
      </c>
      <c r="BK67" s="326">
        <f t="shared" si="327"/>
        <v>675967.56</v>
      </c>
      <c r="BL67" s="123">
        <f t="shared" si="192"/>
        <v>512857.58</v>
      </c>
      <c r="BM67" s="113" t="e">
        <f t="shared" si="48"/>
        <v>#VALUE!</v>
      </c>
      <c r="BN67" s="116" t="str">
        <f t="shared" si="328"/>
        <v/>
      </c>
      <c r="BO67" s="115">
        <f t="shared" ref="BO67:BO98" si="336">IFERROR(VLOOKUP(M67,LAVEFC,10,FALSE),"0")</f>
        <v>776381.19</v>
      </c>
      <c r="BP67" s="326">
        <f t="shared" si="194"/>
        <v>46990.8</v>
      </c>
      <c r="BQ67" s="326" t="e">
        <f t="shared" si="51"/>
        <v>#VALUE!</v>
      </c>
      <c r="BR67" s="326" t="str">
        <f t="shared" si="329"/>
        <v/>
      </c>
      <c r="BS67" s="332">
        <f t="shared" si="330"/>
        <v>1474965.74</v>
      </c>
      <c r="BT67" s="586" t="e">
        <f t="shared" ref="BT67:BV67" si="337">SUM(BQ67,BM67,BI67)</f>
        <v>#VALUE!</v>
      </c>
      <c r="BU67" s="738">
        <f t="shared" si="337"/>
        <v>0</v>
      </c>
      <c r="BV67" s="737">
        <f t="shared" si="337"/>
        <v>2927314.4899999998</v>
      </c>
      <c r="BW67" s="125">
        <f t="shared" si="198"/>
        <v>1261308.33</v>
      </c>
      <c r="BX67" s="140" t="e">
        <f t="shared" si="56"/>
        <v>#VALUE!</v>
      </c>
      <c r="BY67" s="123" t="str">
        <f t="shared" si="332"/>
        <v/>
      </c>
      <c r="BZ67" s="333">
        <f t="shared" si="333"/>
        <v>2525410.4300000002</v>
      </c>
      <c r="CA67" s="123">
        <f t="shared" si="201"/>
        <v>1165985.8899999999</v>
      </c>
      <c r="CB67" s="326">
        <f t="shared" si="202"/>
        <v>1906238.86</v>
      </c>
      <c r="CF67" s="294"/>
      <c r="CG67" s="294"/>
      <c r="CH67" s="294"/>
      <c r="CI67" s="294"/>
      <c r="CJ67" s="294"/>
      <c r="CK67" s="294"/>
      <c r="CL67" s="294"/>
      <c r="CM67" s="294"/>
      <c r="CN67" s="294"/>
    </row>
    <row r="68" spans="1:92" ht="13">
      <c r="A68" s="325">
        <f t="shared" si="297"/>
        <v>112013231</v>
      </c>
      <c r="B68" s="324">
        <f t="shared" si="298"/>
        <v>22</v>
      </c>
      <c r="C68" s="558">
        <f t="shared" si="299"/>
        <v>0.1</v>
      </c>
      <c r="D68" s="558">
        <f t="shared" si="300"/>
        <v>0.09</v>
      </c>
      <c r="E68" s="715">
        <f t="shared" si="301"/>
        <v>0</v>
      </c>
      <c r="F68" s="547">
        <f t="shared" si="302"/>
        <v>22</v>
      </c>
      <c r="G68" s="699">
        <f t="shared" si="303"/>
        <v>0.1</v>
      </c>
      <c r="H68" s="699">
        <f t="shared" si="304"/>
        <v>0.09</v>
      </c>
      <c r="I68" s="702">
        <f t="shared" si="305"/>
        <v>0</v>
      </c>
      <c r="J68" s="837">
        <f t="shared" si="306"/>
        <v>63</v>
      </c>
      <c r="K68" s="699">
        <f t="shared" si="307"/>
        <v>0.1</v>
      </c>
      <c r="L68" s="1040">
        <f t="shared" si="168"/>
        <v>0.05</v>
      </c>
      <c r="M68" s="423" t="s">
        <v>1462</v>
      </c>
      <c r="N68" s="326"/>
      <c r="O68" s="332"/>
      <c r="P68" s="113" t="e">
        <f t="shared" si="12"/>
        <v>#VALUE!</v>
      </c>
      <c r="Q68" s="116" t="str">
        <f t="shared" si="308"/>
        <v/>
      </c>
      <c r="R68" s="117">
        <f t="shared" si="309"/>
        <v>901152.11</v>
      </c>
      <c r="S68" s="114"/>
      <c r="T68" s="116"/>
      <c r="U68" s="116">
        <f t="shared" si="310"/>
        <v>0</v>
      </c>
      <c r="V68" s="116">
        <v>3000000</v>
      </c>
      <c r="W68" s="116" t="e">
        <f t="shared" si="16"/>
        <v>#VALUE!</v>
      </c>
      <c r="X68" s="116" t="str">
        <f t="shared" si="311"/>
        <v/>
      </c>
      <c r="Y68" s="116">
        <f t="shared" si="312"/>
        <v>0</v>
      </c>
      <c r="Z68" s="326"/>
      <c r="AA68" s="326"/>
      <c r="AB68" s="326">
        <f t="shared" si="313"/>
        <v>518325.02</v>
      </c>
      <c r="AC68" s="332">
        <v>1800000</v>
      </c>
      <c r="AD68" s="140" t="e">
        <f t="shared" si="20"/>
        <v>#VALUE!</v>
      </c>
      <c r="AE68" s="326" t="str">
        <f t="shared" si="314"/>
        <v/>
      </c>
      <c r="AF68" s="117">
        <f t="shared" si="315"/>
        <v>0</v>
      </c>
      <c r="AG68" s="123"/>
      <c r="AH68" s="326"/>
      <c r="AI68" s="1257">
        <f t="shared" si="23"/>
        <v>4800000</v>
      </c>
      <c r="AJ68" s="140">
        <f t="shared" si="316"/>
        <v>658687.15</v>
      </c>
      <c r="AK68" s="123" t="e">
        <f t="shared" ref="AK68:AM68" si="338">AD68+W68+P68</f>
        <v>#VALUE!</v>
      </c>
      <c r="AL68" s="123" t="e">
        <f t="shared" si="338"/>
        <v>#VALUE!</v>
      </c>
      <c r="AM68" s="123">
        <f t="shared" si="338"/>
        <v>901152.11</v>
      </c>
      <c r="AN68" s="123">
        <f t="shared" si="26"/>
        <v>242464.95999999996</v>
      </c>
      <c r="AO68" s="1317">
        <f t="shared" si="62"/>
        <v>0.3681033704695772</v>
      </c>
      <c r="AP68" s="434">
        <f t="shared" si="318"/>
        <v>0</v>
      </c>
      <c r="AQ68" s="1318" t="e">
        <f t="shared" si="28"/>
        <v>#VALUE!</v>
      </c>
      <c r="AR68" s="1319" t="str">
        <f t="shared" si="319"/>
        <v/>
      </c>
      <c r="AS68" s="1320">
        <f t="shared" si="320"/>
        <v>0</v>
      </c>
      <c r="AT68" s="125">
        <f t="shared" si="182"/>
        <v>648583.56999999995</v>
      </c>
      <c r="AU68" s="140" t="e">
        <f t="shared" si="32"/>
        <v>#VALUE!</v>
      </c>
      <c r="AV68" s="326" t="str">
        <f t="shared" si="321"/>
        <v/>
      </c>
      <c r="AW68" s="333">
        <f t="shared" si="322"/>
        <v>0</v>
      </c>
      <c r="AX68" s="125">
        <f t="shared" si="185"/>
        <v>0</v>
      </c>
      <c r="AY68" s="140" t="e">
        <f t="shared" si="36"/>
        <v>#VALUE!</v>
      </c>
      <c r="AZ68" s="326" t="str">
        <f t="shared" si="323"/>
        <v/>
      </c>
      <c r="BA68" s="332">
        <f t="shared" si="324"/>
        <v>0</v>
      </c>
      <c r="BB68" s="122" t="e">
        <f t="shared" ref="BB68:BD68" si="339">SUM(AY68,AU68,AQ68)</f>
        <v>#VALUE!</v>
      </c>
      <c r="BC68" s="326">
        <f t="shared" si="339"/>
        <v>0</v>
      </c>
      <c r="BD68" s="333">
        <f t="shared" si="339"/>
        <v>0</v>
      </c>
      <c r="BE68" s="123" t="e">
        <f t="shared" si="40"/>
        <v>#VALUE!</v>
      </c>
      <c r="BF68" s="326">
        <f t="shared" si="41"/>
        <v>0</v>
      </c>
      <c r="BG68" s="435">
        <f t="shared" si="42"/>
        <v>901152.11</v>
      </c>
      <c r="BH68" s="125">
        <f t="shared" si="189"/>
        <v>-128240.33</v>
      </c>
      <c r="BI68" s="1041" t="e">
        <f t="shared" si="44"/>
        <v>#VALUE!</v>
      </c>
      <c r="BJ68" s="123" t="str">
        <f t="shared" si="326"/>
        <v/>
      </c>
      <c r="BK68" s="326">
        <f t="shared" si="327"/>
        <v>839693.44</v>
      </c>
      <c r="BL68" s="123">
        <f t="shared" si="192"/>
        <v>0</v>
      </c>
      <c r="BM68" s="113" t="e">
        <f t="shared" si="48"/>
        <v>#VALUE!</v>
      </c>
      <c r="BN68" s="116" t="str">
        <f t="shared" si="328"/>
        <v/>
      </c>
      <c r="BO68" s="115">
        <f t="shared" si="336"/>
        <v>0</v>
      </c>
      <c r="BP68" s="326">
        <f t="shared" si="194"/>
        <v>210154.52</v>
      </c>
      <c r="BQ68" s="326" t="e">
        <f t="shared" si="51"/>
        <v>#VALUE!</v>
      </c>
      <c r="BR68" s="326" t="str">
        <f t="shared" si="329"/>
        <v/>
      </c>
      <c r="BS68" s="332">
        <f t="shared" si="330"/>
        <v>0</v>
      </c>
      <c r="BT68" s="586" t="e">
        <f t="shared" ref="BT68:BV68" si="340">SUM(BQ68,BM68,BI68)</f>
        <v>#VALUE!</v>
      </c>
      <c r="BU68" s="738">
        <f t="shared" si="340"/>
        <v>0</v>
      </c>
      <c r="BV68" s="737">
        <f t="shared" si="340"/>
        <v>839693.44</v>
      </c>
      <c r="BW68" s="125">
        <f t="shared" si="198"/>
        <v>-0.02</v>
      </c>
      <c r="BX68" s="140" t="e">
        <f t="shared" si="56"/>
        <v>#VALUE!</v>
      </c>
      <c r="BY68" s="123" t="str">
        <f t="shared" si="332"/>
        <v/>
      </c>
      <c r="BZ68" s="333">
        <f t="shared" si="333"/>
        <v>0</v>
      </c>
      <c r="CA68" s="123">
        <f t="shared" si="201"/>
        <v>0</v>
      </c>
      <c r="CB68" s="326">
        <f t="shared" si="202"/>
        <v>658687.17000000004</v>
      </c>
      <c r="CF68" s="294"/>
      <c r="CG68" s="294"/>
      <c r="CH68" s="294"/>
      <c r="CI68" s="294"/>
      <c r="CJ68" s="294"/>
      <c r="CK68" s="294"/>
      <c r="CL68" s="294"/>
      <c r="CM68" s="294"/>
      <c r="CN68" s="294"/>
    </row>
    <row r="69" spans="1:92" ht="13">
      <c r="A69" s="325">
        <f t="shared" si="297"/>
        <v>112014526</v>
      </c>
      <c r="B69" s="324">
        <f t="shared" si="298"/>
        <v>22</v>
      </c>
      <c r="C69" s="558">
        <f t="shared" si="299"/>
        <v>0.1</v>
      </c>
      <c r="D69" s="558">
        <f t="shared" si="300"/>
        <v>0.09</v>
      </c>
      <c r="E69" s="715">
        <f t="shared" si="301"/>
        <v>0</v>
      </c>
      <c r="F69" s="547">
        <f t="shared" si="302"/>
        <v>22</v>
      </c>
      <c r="G69" s="699">
        <f t="shared" si="303"/>
        <v>0.1</v>
      </c>
      <c r="H69" s="699">
        <f t="shared" si="304"/>
        <v>0.09</v>
      </c>
      <c r="I69" s="702">
        <f t="shared" si="305"/>
        <v>0</v>
      </c>
      <c r="J69" s="837">
        <f t="shared" si="306"/>
        <v>63</v>
      </c>
      <c r="K69" s="699">
        <f t="shared" si="307"/>
        <v>0.1</v>
      </c>
      <c r="L69" s="1040">
        <f t="shared" si="168"/>
        <v>0.05</v>
      </c>
      <c r="M69" s="423" t="s">
        <v>1463</v>
      </c>
      <c r="N69" s="326"/>
      <c r="O69" s="332"/>
      <c r="P69" s="113" t="e">
        <f t="shared" si="12"/>
        <v>#VALUE!</v>
      </c>
      <c r="Q69" s="116" t="str">
        <f t="shared" si="308"/>
        <v/>
      </c>
      <c r="R69" s="117">
        <f t="shared" si="309"/>
        <v>207252</v>
      </c>
      <c r="S69" s="114"/>
      <c r="T69" s="116"/>
      <c r="U69" s="116">
        <f t="shared" si="310"/>
        <v>0</v>
      </c>
      <c r="V69" s="116">
        <v>3000000</v>
      </c>
      <c r="W69" s="116" t="e">
        <f t="shared" si="16"/>
        <v>#VALUE!</v>
      </c>
      <c r="X69" s="116" t="str">
        <f t="shared" si="311"/>
        <v/>
      </c>
      <c r="Y69" s="116">
        <f t="shared" si="312"/>
        <v>0</v>
      </c>
      <c r="Z69" s="326"/>
      <c r="AA69" s="326"/>
      <c r="AB69" s="326">
        <f t="shared" si="313"/>
        <v>0</v>
      </c>
      <c r="AC69" s="332">
        <v>1800000</v>
      </c>
      <c r="AD69" s="140" t="e">
        <f t="shared" si="20"/>
        <v>#VALUE!</v>
      </c>
      <c r="AE69" s="326" t="str">
        <f t="shared" si="314"/>
        <v/>
      </c>
      <c r="AF69" s="117">
        <f t="shared" si="315"/>
        <v>588742.92000000004</v>
      </c>
      <c r="AG69" s="123"/>
      <c r="AH69" s="326"/>
      <c r="AI69" s="1257">
        <f t="shared" si="23"/>
        <v>4800000</v>
      </c>
      <c r="AJ69" s="140">
        <f t="shared" si="316"/>
        <v>954170.11</v>
      </c>
      <c r="AK69" s="123" t="e">
        <f t="shared" ref="AK69:AM69" si="341">AD69+W69+P69</f>
        <v>#VALUE!</v>
      </c>
      <c r="AL69" s="123" t="e">
        <f t="shared" si="341"/>
        <v>#VALUE!</v>
      </c>
      <c r="AM69" s="123">
        <f t="shared" si="341"/>
        <v>795994.92</v>
      </c>
      <c r="AN69" s="123">
        <f t="shared" si="26"/>
        <v>-158175.18999999994</v>
      </c>
      <c r="AO69" s="1317">
        <f t="shared" si="62"/>
        <v>-0.16577252666193867</v>
      </c>
      <c r="AP69" s="434">
        <f t="shared" si="318"/>
        <v>0</v>
      </c>
      <c r="AQ69" s="1318" t="e">
        <f t="shared" si="28"/>
        <v>#VALUE!</v>
      </c>
      <c r="AR69" s="1319" t="str">
        <f t="shared" si="319"/>
        <v/>
      </c>
      <c r="AS69" s="1320">
        <f t="shared" si="320"/>
        <v>0.03</v>
      </c>
      <c r="AT69" s="125">
        <f t="shared" si="182"/>
        <v>0</v>
      </c>
      <c r="AU69" s="140" t="e">
        <f t="shared" si="32"/>
        <v>#VALUE!</v>
      </c>
      <c r="AV69" s="326" t="str">
        <f t="shared" si="321"/>
        <v/>
      </c>
      <c r="AW69" s="333">
        <f t="shared" si="322"/>
        <v>0</v>
      </c>
      <c r="AX69" s="125">
        <f t="shared" si="185"/>
        <v>0</v>
      </c>
      <c r="AY69" s="140" t="e">
        <f t="shared" si="36"/>
        <v>#VALUE!</v>
      </c>
      <c r="AZ69" s="326" t="str">
        <f t="shared" si="323"/>
        <v/>
      </c>
      <c r="BA69" s="332">
        <f t="shared" si="324"/>
        <v>0</v>
      </c>
      <c r="BB69" s="122" t="e">
        <f t="shared" ref="BB69:BD69" si="342">SUM(AY69,AU69,AQ69)</f>
        <v>#VALUE!</v>
      </c>
      <c r="BC69" s="326">
        <f t="shared" si="342"/>
        <v>0</v>
      </c>
      <c r="BD69" s="333">
        <f t="shared" si="342"/>
        <v>0.03</v>
      </c>
      <c r="BE69" s="123" t="e">
        <f t="shared" si="40"/>
        <v>#VALUE!</v>
      </c>
      <c r="BF69" s="326">
        <f t="shared" si="41"/>
        <v>0</v>
      </c>
      <c r="BG69" s="435">
        <f t="shared" si="42"/>
        <v>795994.95000000007</v>
      </c>
      <c r="BH69" s="125">
        <f t="shared" si="189"/>
        <v>0</v>
      </c>
      <c r="BI69" s="1041" t="e">
        <f t="shared" si="44"/>
        <v>#VALUE!</v>
      </c>
      <c r="BJ69" s="123" t="str">
        <f t="shared" si="326"/>
        <v/>
      </c>
      <c r="BK69" s="326">
        <f t="shared" si="327"/>
        <v>0</v>
      </c>
      <c r="BL69" s="123">
        <f t="shared" si="192"/>
        <v>654823.37</v>
      </c>
      <c r="BM69" s="113" t="e">
        <f t="shared" si="48"/>
        <v>#VALUE!</v>
      </c>
      <c r="BN69" s="116" t="str">
        <f t="shared" si="328"/>
        <v/>
      </c>
      <c r="BO69" s="115">
        <f t="shared" si="336"/>
        <v>579240.79</v>
      </c>
      <c r="BP69" s="326">
        <f t="shared" si="194"/>
        <v>94871.86</v>
      </c>
      <c r="BQ69" s="326" t="e">
        <f t="shared" si="51"/>
        <v>#VALUE!</v>
      </c>
      <c r="BR69" s="326" t="str">
        <f t="shared" si="329"/>
        <v/>
      </c>
      <c r="BS69" s="332">
        <f t="shared" si="330"/>
        <v>43258.5</v>
      </c>
      <c r="BT69" s="586" t="e">
        <f t="shared" ref="BT69:BV69" si="343">SUM(BQ69,BM69,BI69)</f>
        <v>#VALUE!</v>
      </c>
      <c r="BU69" s="738">
        <f t="shared" si="343"/>
        <v>0</v>
      </c>
      <c r="BV69" s="737">
        <f t="shared" si="343"/>
        <v>622499.29</v>
      </c>
      <c r="BW69" s="125">
        <f t="shared" si="198"/>
        <v>83325.62</v>
      </c>
      <c r="BX69" s="140" t="e">
        <f t="shared" si="56"/>
        <v>#VALUE!</v>
      </c>
      <c r="BY69" s="123" t="str">
        <f t="shared" si="332"/>
        <v/>
      </c>
      <c r="BZ69" s="333">
        <f t="shared" si="333"/>
        <v>388309.69</v>
      </c>
      <c r="CA69" s="123">
        <f t="shared" si="201"/>
        <v>290704.76</v>
      </c>
      <c r="CB69" s="326">
        <f t="shared" si="202"/>
        <v>580139.73</v>
      </c>
      <c r="CF69" s="294"/>
      <c r="CG69" s="294"/>
      <c r="CH69" s="294"/>
      <c r="CI69" s="294"/>
      <c r="CJ69" s="294"/>
      <c r="CK69" s="294"/>
      <c r="CL69" s="294"/>
      <c r="CM69" s="294"/>
      <c r="CN69" s="294"/>
    </row>
    <row r="70" spans="1:92" ht="13">
      <c r="A70" s="325">
        <f t="shared" si="297"/>
        <v>112012873</v>
      </c>
      <c r="B70" s="324">
        <f t="shared" si="298"/>
        <v>22</v>
      </c>
      <c r="C70" s="558">
        <f t="shared" si="299"/>
        <v>0.1</v>
      </c>
      <c r="D70" s="558">
        <f t="shared" si="300"/>
        <v>0.09</v>
      </c>
      <c r="E70" s="715">
        <f t="shared" si="301"/>
        <v>0</v>
      </c>
      <c r="F70" s="547">
        <f t="shared" si="302"/>
        <v>22</v>
      </c>
      <c r="G70" s="699">
        <f t="shared" si="303"/>
        <v>0.1</v>
      </c>
      <c r="H70" s="699">
        <f t="shared" si="304"/>
        <v>0.09</v>
      </c>
      <c r="I70" s="702">
        <f t="shared" si="305"/>
        <v>0</v>
      </c>
      <c r="J70" s="837">
        <f t="shared" si="306"/>
        <v>63</v>
      </c>
      <c r="K70" s="699">
        <f t="shared" si="307"/>
        <v>0.1</v>
      </c>
      <c r="L70" s="1040">
        <f t="shared" si="168"/>
        <v>0.05</v>
      </c>
      <c r="M70" s="423" t="s">
        <v>1464</v>
      </c>
      <c r="N70" s="326"/>
      <c r="O70" s="332"/>
      <c r="P70" s="113">
        <f t="shared" si="12"/>
        <v>3038355.55</v>
      </c>
      <c r="Q70" s="116">
        <f t="shared" si="308"/>
        <v>0</v>
      </c>
      <c r="R70" s="117">
        <f t="shared" si="309"/>
        <v>3038355.55</v>
      </c>
      <c r="S70" s="114"/>
      <c r="T70" s="116"/>
      <c r="U70" s="116">
        <f t="shared" si="310"/>
        <v>0</v>
      </c>
      <c r="V70" s="116">
        <v>3000000</v>
      </c>
      <c r="W70" s="116">
        <f t="shared" si="16"/>
        <v>370026.27</v>
      </c>
      <c r="X70" s="116">
        <f t="shared" si="311"/>
        <v>28500</v>
      </c>
      <c r="Y70" s="116">
        <f t="shared" si="312"/>
        <v>398526.27</v>
      </c>
      <c r="Z70" s="326"/>
      <c r="AA70" s="326"/>
      <c r="AB70" s="326">
        <f t="shared" si="313"/>
        <v>0</v>
      </c>
      <c r="AC70" s="332">
        <v>1800000</v>
      </c>
      <c r="AD70" s="140">
        <f t="shared" si="20"/>
        <v>0</v>
      </c>
      <c r="AE70" s="326">
        <f t="shared" si="314"/>
        <v>0</v>
      </c>
      <c r="AF70" s="117">
        <f t="shared" si="315"/>
        <v>0</v>
      </c>
      <c r="AG70" s="123"/>
      <c r="AH70" s="326"/>
      <c r="AI70" s="1257">
        <f t="shared" si="23"/>
        <v>4800000</v>
      </c>
      <c r="AJ70" s="140" t="str">
        <f t="shared" si="316"/>
        <v>0</v>
      </c>
      <c r="AK70" s="123">
        <f t="shared" ref="AK70:AM70" si="344">AD70+W70+P70</f>
        <v>3408381.82</v>
      </c>
      <c r="AL70" s="123">
        <f t="shared" si="344"/>
        <v>28500</v>
      </c>
      <c r="AM70" s="123">
        <f t="shared" si="344"/>
        <v>3436881.82</v>
      </c>
      <c r="AN70" s="123">
        <f t="shared" si="26"/>
        <v>3436881.82</v>
      </c>
      <c r="AO70" s="1317" t="str">
        <f t="shared" si="62"/>
        <v/>
      </c>
      <c r="AP70" s="434">
        <f t="shared" si="318"/>
        <v>1028370.44</v>
      </c>
      <c r="AQ70" s="1318">
        <f t="shared" si="28"/>
        <v>0</v>
      </c>
      <c r="AR70" s="1319">
        <f t="shared" si="319"/>
        <v>0</v>
      </c>
      <c r="AS70" s="1320">
        <f t="shared" si="320"/>
        <v>0</v>
      </c>
      <c r="AT70" s="125">
        <f t="shared" si="182"/>
        <v>0</v>
      </c>
      <c r="AU70" s="140">
        <f t="shared" si="32"/>
        <v>0</v>
      </c>
      <c r="AV70" s="326">
        <f t="shared" si="321"/>
        <v>0</v>
      </c>
      <c r="AW70" s="333">
        <f t="shared" si="322"/>
        <v>0</v>
      </c>
      <c r="AX70" s="125">
        <f t="shared" si="185"/>
        <v>0</v>
      </c>
      <c r="AY70" s="140">
        <f t="shared" si="36"/>
        <v>0</v>
      </c>
      <c r="AZ70" s="326">
        <f t="shared" si="323"/>
        <v>0</v>
      </c>
      <c r="BA70" s="332">
        <f t="shared" si="324"/>
        <v>0</v>
      </c>
      <c r="BB70" s="122">
        <f t="shared" ref="BB70:BD70" si="345">SUM(AY70,AU70,AQ70)</f>
        <v>0</v>
      </c>
      <c r="BC70" s="326">
        <f t="shared" si="345"/>
        <v>0</v>
      </c>
      <c r="BD70" s="333">
        <f t="shared" si="345"/>
        <v>0</v>
      </c>
      <c r="BE70" s="123">
        <f t="shared" si="40"/>
        <v>3408381.82</v>
      </c>
      <c r="BF70" s="326">
        <f t="shared" si="41"/>
        <v>0</v>
      </c>
      <c r="BG70" s="435">
        <f t="shared" si="42"/>
        <v>3436881.82</v>
      </c>
      <c r="BH70" s="125">
        <f t="shared" si="189"/>
        <v>0</v>
      </c>
      <c r="BI70" s="1041">
        <f t="shared" si="44"/>
        <v>0</v>
      </c>
      <c r="BJ70" s="123">
        <f t="shared" si="326"/>
        <v>0</v>
      </c>
      <c r="BK70" s="326">
        <f t="shared" si="327"/>
        <v>0</v>
      </c>
      <c r="BL70" s="123">
        <f t="shared" si="192"/>
        <v>0</v>
      </c>
      <c r="BM70" s="113">
        <f t="shared" si="48"/>
        <v>0</v>
      </c>
      <c r="BN70" s="116">
        <f t="shared" si="328"/>
        <v>0</v>
      </c>
      <c r="BO70" s="115">
        <f t="shared" si="336"/>
        <v>0</v>
      </c>
      <c r="BP70" s="326">
        <f t="shared" si="194"/>
        <v>0</v>
      </c>
      <c r="BQ70" s="326">
        <f t="shared" si="51"/>
        <v>0</v>
      </c>
      <c r="BR70" s="326">
        <f t="shared" si="329"/>
        <v>0</v>
      </c>
      <c r="BS70" s="332">
        <f t="shared" si="330"/>
        <v>0</v>
      </c>
      <c r="BT70" s="586">
        <f t="shared" ref="BT70:BV70" si="346">SUM(BQ70,BM70,BI70)</f>
        <v>0</v>
      </c>
      <c r="BU70" s="738">
        <f t="shared" si="346"/>
        <v>0</v>
      </c>
      <c r="BV70" s="737">
        <f t="shared" si="346"/>
        <v>0</v>
      </c>
      <c r="BW70" s="125">
        <f t="shared" si="198"/>
        <v>0</v>
      </c>
      <c r="BX70" s="140">
        <f t="shared" si="56"/>
        <v>0</v>
      </c>
      <c r="BY70" s="123">
        <f t="shared" si="332"/>
        <v>0</v>
      </c>
      <c r="BZ70" s="333">
        <f t="shared" si="333"/>
        <v>0</v>
      </c>
      <c r="CA70" s="123">
        <f t="shared" si="201"/>
        <v>0</v>
      </c>
      <c r="CB70" s="326">
        <f t="shared" si="202"/>
        <v>0</v>
      </c>
      <c r="CF70" s="294"/>
      <c r="CG70" s="294"/>
      <c r="CH70" s="294"/>
      <c r="CI70" s="294"/>
      <c r="CJ70" s="294"/>
      <c r="CK70" s="294"/>
      <c r="CL70" s="294"/>
      <c r="CM70" s="294"/>
      <c r="CN70" s="294"/>
    </row>
    <row r="71" spans="1:92" ht="13">
      <c r="A71" s="325">
        <f t="shared" si="297"/>
        <v>112014781</v>
      </c>
      <c r="B71" s="324" t="e">
        <f t="shared" si="298"/>
        <v>#N/A</v>
      </c>
      <c r="C71" s="558" t="str">
        <f t="shared" si="299"/>
        <v/>
      </c>
      <c r="D71" s="558" t="str">
        <f t="shared" si="300"/>
        <v/>
      </c>
      <c r="E71" s="715" t="str">
        <f t="shared" si="301"/>
        <v/>
      </c>
      <c r="F71" s="547" t="e">
        <f t="shared" si="302"/>
        <v>#N/A</v>
      </c>
      <c r="G71" s="699" t="str">
        <f t="shared" si="303"/>
        <v/>
      </c>
      <c r="H71" s="699" t="str">
        <f t="shared" si="304"/>
        <v/>
      </c>
      <c r="I71" s="702" t="str">
        <f t="shared" si="305"/>
        <v/>
      </c>
      <c r="J71" s="837">
        <f t="shared" si="306"/>
        <v>21</v>
      </c>
      <c r="K71" s="699">
        <f>IFERROR(VLOOKUP(J71,A458DC1025,2,FALSE),"")</f>
        <v>0.1</v>
      </c>
      <c r="L71" s="1040">
        <f>IFERROR(VLOOKUP(J71,A458DC1025,3,FALSE),"")</f>
        <v>0</v>
      </c>
      <c r="M71" s="944" t="s">
        <v>1465</v>
      </c>
      <c r="N71" s="326"/>
      <c r="O71" s="332"/>
      <c r="P71" s="113" t="e">
        <f t="shared" si="12"/>
        <v>#VALUE!</v>
      </c>
      <c r="Q71" s="116" t="str">
        <f t="shared" si="308"/>
        <v/>
      </c>
      <c r="R71" s="117">
        <f t="shared" si="309"/>
        <v>0</v>
      </c>
      <c r="S71" s="114"/>
      <c r="T71" s="116"/>
      <c r="U71" s="116" t="str">
        <f t="shared" si="310"/>
        <v/>
      </c>
      <c r="V71" s="116">
        <v>3000000</v>
      </c>
      <c r="W71" s="116" t="e">
        <f t="shared" si="16"/>
        <v>#VALUE!</v>
      </c>
      <c r="X71" s="116" t="str">
        <f t="shared" si="311"/>
        <v/>
      </c>
      <c r="Y71" s="116">
        <f t="shared" si="312"/>
        <v>0</v>
      </c>
      <c r="Z71" s="326"/>
      <c r="AA71" s="326"/>
      <c r="AB71" s="326" t="str">
        <f t="shared" si="313"/>
        <v/>
      </c>
      <c r="AC71" s="332">
        <v>1800000</v>
      </c>
      <c r="AD71" s="140" t="e">
        <f t="shared" si="20"/>
        <v>#VALUE!</v>
      </c>
      <c r="AE71" s="326" t="str">
        <f t="shared" si="314"/>
        <v/>
      </c>
      <c r="AF71" s="117">
        <f t="shared" si="315"/>
        <v>0</v>
      </c>
      <c r="AG71" s="123"/>
      <c r="AH71" s="326"/>
      <c r="AI71" s="1257">
        <f t="shared" si="23"/>
        <v>4800000</v>
      </c>
      <c r="AJ71" s="140" t="str">
        <f t="shared" si="316"/>
        <v>0</v>
      </c>
      <c r="AK71" s="123" t="e">
        <f t="shared" ref="AK71:AM71" si="347">AD71+W71+P71</f>
        <v>#VALUE!</v>
      </c>
      <c r="AL71" s="123" t="e">
        <f t="shared" si="347"/>
        <v>#VALUE!</v>
      </c>
      <c r="AM71" s="123">
        <f t="shared" si="347"/>
        <v>0</v>
      </c>
      <c r="AN71" s="123">
        <f t="shared" si="26"/>
        <v>0</v>
      </c>
      <c r="AO71" s="1317" t="str">
        <f t="shared" si="62"/>
        <v/>
      </c>
      <c r="AP71" s="434" t="str">
        <f t="shared" si="318"/>
        <v/>
      </c>
      <c r="AQ71" s="1318" t="e">
        <f t="shared" si="28"/>
        <v>#VALUE!</v>
      </c>
      <c r="AR71" s="1319" t="str">
        <f t="shared" si="319"/>
        <v/>
      </c>
      <c r="AS71" s="1320">
        <f t="shared" si="320"/>
        <v>0</v>
      </c>
      <c r="AT71" s="125" t="str">
        <f t="shared" si="182"/>
        <v/>
      </c>
      <c r="AU71" s="140" t="e">
        <f t="shared" si="32"/>
        <v>#VALUE!</v>
      </c>
      <c r="AV71" s="326" t="str">
        <f t="shared" si="321"/>
        <v/>
      </c>
      <c r="AW71" s="333">
        <f t="shared" si="322"/>
        <v>0</v>
      </c>
      <c r="AX71" s="125" t="str">
        <f t="shared" si="185"/>
        <v/>
      </c>
      <c r="AY71" s="140" t="e">
        <f t="shared" si="36"/>
        <v>#VALUE!</v>
      </c>
      <c r="AZ71" s="326" t="str">
        <f t="shared" si="323"/>
        <v/>
      </c>
      <c r="BA71" s="332">
        <f t="shared" si="324"/>
        <v>0</v>
      </c>
      <c r="BB71" s="122" t="e">
        <f t="shared" ref="BB71:BD71" si="348">SUM(AY71,AU71,AQ71)</f>
        <v>#VALUE!</v>
      </c>
      <c r="BC71" s="326">
        <f t="shared" si="348"/>
        <v>0</v>
      </c>
      <c r="BD71" s="333">
        <f t="shared" si="348"/>
        <v>0</v>
      </c>
      <c r="BE71" s="123" t="e">
        <f t="shared" si="40"/>
        <v>#VALUE!</v>
      </c>
      <c r="BF71" s="326">
        <f t="shared" si="41"/>
        <v>0</v>
      </c>
      <c r="BG71" s="435">
        <f t="shared" si="42"/>
        <v>0</v>
      </c>
      <c r="BH71" s="125" t="str">
        <f t="shared" si="189"/>
        <v/>
      </c>
      <c r="BI71" s="1041" t="e">
        <f t="shared" si="44"/>
        <v>#VALUE!</v>
      </c>
      <c r="BJ71" s="123" t="str">
        <f t="shared" si="326"/>
        <v/>
      </c>
      <c r="BK71" s="326">
        <f t="shared" si="327"/>
        <v>0</v>
      </c>
      <c r="BL71" s="123" t="str">
        <f t="shared" si="192"/>
        <v/>
      </c>
      <c r="BM71" s="113" t="e">
        <f t="shared" si="48"/>
        <v>#VALUE!</v>
      </c>
      <c r="BN71" s="116" t="str">
        <f t="shared" si="328"/>
        <v/>
      </c>
      <c r="BO71" s="115">
        <f t="shared" si="336"/>
        <v>0</v>
      </c>
      <c r="BP71" s="326" t="str">
        <f t="shared" si="194"/>
        <v/>
      </c>
      <c r="BQ71" s="326" t="e">
        <f t="shared" si="51"/>
        <v>#VALUE!</v>
      </c>
      <c r="BR71" s="326" t="str">
        <f t="shared" si="329"/>
        <v/>
      </c>
      <c r="BS71" s="332">
        <f t="shared" si="330"/>
        <v>0</v>
      </c>
      <c r="BT71" s="140" t="e">
        <f t="shared" ref="BT71:BV71" si="349">SUM(BQ71,BM71,BI71)</f>
        <v>#VALUE!</v>
      </c>
      <c r="BU71" s="326">
        <f t="shared" si="349"/>
        <v>0</v>
      </c>
      <c r="BV71" s="333">
        <f t="shared" si="349"/>
        <v>0</v>
      </c>
      <c r="BW71" s="125" t="str">
        <f t="shared" si="198"/>
        <v/>
      </c>
      <c r="BX71" s="140" t="e">
        <f t="shared" si="56"/>
        <v>#VALUE!</v>
      </c>
      <c r="BY71" s="123" t="str">
        <f t="shared" si="332"/>
        <v/>
      </c>
      <c r="BZ71" s="333">
        <f t="shared" si="333"/>
        <v>205901.06</v>
      </c>
      <c r="CA71" s="123" t="str">
        <f t="shared" si="201"/>
        <v/>
      </c>
      <c r="CB71" s="326" t="str">
        <f t="shared" si="202"/>
        <v/>
      </c>
      <c r="CF71" s="294"/>
      <c r="CG71" s="294"/>
      <c r="CH71" s="294"/>
      <c r="CI71" s="294"/>
      <c r="CJ71" s="294"/>
      <c r="CK71" s="294"/>
      <c r="CL71" s="294"/>
      <c r="CM71" s="294"/>
      <c r="CN71" s="294"/>
    </row>
    <row r="72" spans="1:92" ht="13">
      <c r="A72" s="325">
        <f t="shared" si="297"/>
        <v>112013042</v>
      </c>
      <c r="B72" s="324" t="e">
        <f t="shared" si="298"/>
        <v>#N/A</v>
      </c>
      <c r="C72" s="558" t="str">
        <f t="shared" si="299"/>
        <v/>
      </c>
      <c r="D72" s="558" t="str">
        <f t="shared" si="300"/>
        <v/>
      </c>
      <c r="E72" s="715" t="str">
        <f t="shared" si="301"/>
        <v/>
      </c>
      <c r="F72" s="547" t="e">
        <f t="shared" si="302"/>
        <v>#N/A</v>
      </c>
      <c r="G72" s="699" t="str">
        <f t="shared" si="303"/>
        <v/>
      </c>
      <c r="H72" s="699" t="str">
        <f t="shared" si="304"/>
        <v/>
      </c>
      <c r="I72" s="702" t="str">
        <f t="shared" si="305"/>
        <v/>
      </c>
      <c r="J72" s="837">
        <f t="shared" si="306"/>
        <v>62</v>
      </c>
      <c r="K72" s="699">
        <f>IFERROR(VLOOKUP(J72,A458DC1025,2,FALSE),"")</f>
        <v>0.1</v>
      </c>
      <c r="L72" s="1040">
        <f>IFERROR(VLOOKUP(J72,A458DC1025,3,FALSE),"")</f>
        <v>0.11</v>
      </c>
      <c r="M72" s="423" t="s">
        <v>487</v>
      </c>
      <c r="N72" s="326"/>
      <c r="O72" s="332"/>
      <c r="P72" s="113">
        <f t="shared" si="12"/>
        <v>0</v>
      </c>
      <c r="Q72" s="116">
        <f t="shared" si="308"/>
        <v>0</v>
      </c>
      <c r="R72" s="117">
        <f t="shared" si="309"/>
        <v>0</v>
      </c>
      <c r="S72" s="114"/>
      <c r="T72" s="116"/>
      <c r="U72" s="116" t="str">
        <f t="shared" si="310"/>
        <v/>
      </c>
      <c r="V72" s="116">
        <v>3000000</v>
      </c>
      <c r="W72" s="116">
        <f t="shared" si="16"/>
        <v>0</v>
      </c>
      <c r="X72" s="116">
        <f t="shared" si="311"/>
        <v>0</v>
      </c>
      <c r="Y72" s="116">
        <f t="shared" si="312"/>
        <v>0</v>
      </c>
      <c r="Z72" s="326"/>
      <c r="AA72" s="326"/>
      <c r="AB72" s="326" t="str">
        <f t="shared" si="313"/>
        <v/>
      </c>
      <c r="AC72" s="332">
        <v>1800000</v>
      </c>
      <c r="AD72" s="140">
        <f t="shared" si="20"/>
        <v>0</v>
      </c>
      <c r="AE72" s="326">
        <f t="shared" si="314"/>
        <v>0</v>
      </c>
      <c r="AF72" s="117">
        <f t="shared" si="315"/>
        <v>0</v>
      </c>
      <c r="AG72" s="123"/>
      <c r="AH72" s="326"/>
      <c r="AI72" s="1257">
        <f t="shared" si="23"/>
        <v>4800000</v>
      </c>
      <c r="AJ72" s="140">
        <f t="shared" si="316"/>
        <v>249754.04</v>
      </c>
      <c r="AK72" s="123">
        <f t="shared" ref="AK72:AM72" si="350">AD72+W72+P72</f>
        <v>0</v>
      </c>
      <c r="AL72" s="123">
        <f t="shared" si="350"/>
        <v>0</v>
      </c>
      <c r="AM72" s="123">
        <f t="shared" si="350"/>
        <v>0</v>
      </c>
      <c r="AN72" s="123">
        <f t="shared" si="26"/>
        <v>-249754.04</v>
      </c>
      <c r="AO72" s="1317">
        <f t="shared" si="62"/>
        <v>-1</v>
      </c>
      <c r="AP72" s="434" t="str">
        <f t="shared" si="318"/>
        <v/>
      </c>
      <c r="AQ72" s="1318">
        <f t="shared" si="28"/>
        <v>0</v>
      </c>
      <c r="AR72" s="1319">
        <f t="shared" si="319"/>
        <v>0</v>
      </c>
      <c r="AS72" s="1320">
        <f t="shared" si="320"/>
        <v>0</v>
      </c>
      <c r="AT72" s="125" t="str">
        <f t="shared" si="182"/>
        <v/>
      </c>
      <c r="AU72" s="140">
        <f t="shared" si="32"/>
        <v>0</v>
      </c>
      <c r="AV72" s="326">
        <f t="shared" si="321"/>
        <v>0</v>
      </c>
      <c r="AW72" s="333">
        <f t="shared" si="322"/>
        <v>0</v>
      </c>
      <c r="AX72" s="125" t="str">
        <f t="shared" si="185"/>
        <v/>
      </c>
      <c r="AY72" s="140">
        <f t="shared" si="36"/>
        <v>0</v>
      </c>
      <c r="AZ72" s="326">
        <f t="shared" si="323"/>
        <v>0</v>
      </c>
      <c r="BA72" s="332">
        <f t="shared" si="324"/>
        <v>0</v>
      </c>
      <c r="BB72" s="122">
        <f t="shared" ref="BB72:BD72" si="351">SUM(AY72,AU72,AQ72)</f>
        <v>0</v>
      </c>
      <c r="BC72" s="326">
        <f t="shared" si="351"/>
        <v>0</v>
      </c>
      <c r="BD72" s="333">
        <f t="shared" si="351"/>
        <v>0</v>
      </c>
      <c r="BE72" s="123">
        <f t="shared" si="40"/>
        <v>0</v>
      </c>
      <c r="BF72" s="326">
        <f t="shared" si="41"/>
        <v>0</v>
      </c>
      <c r="BG72" s="435">
        <f t="shared" si="42"/>
        <v>0</v>
      </c>
      <c r="BH72" s="125" t="str">
        <f t="shared" si="189"/>
        <v/>
      </c>
      <c r="BI72" s="1041">
        <f t="shared" si="44"/>
        <v>0</v>
      </c>
      <c r="BJ72" s="123">
        <f t="shared" si="326"/>
        <v>0</v>
      </c>
      <c r="BK72" s="326">
        <f t="shared" si="327"/>
        <v>0</v>
      </c>
      <c r="BL72" s="123" t="str">
        <f t="shared" si="192"/>
        <v/>
      </c>
      <c r="BM72" s="113">
        <f t="shared" si="48"/>
        <v>0</v>
      </c>
      <c r="BN72" s="116">
        <f t="shared" si="328"/>
        <v>0</v>
      </c>
      <c r="BO72" s="115">
        <f t="shared" si="336"/>
        <v>0</v>
      </c>
      <c r="BP72" s="326" t="str">
        <f t="shared" si="194"/>
        <v/>
      </c>
      <c r="BQ72" s="326">
        <f t="shared" si="51"/>
        <v>0</v>
      </c>
      <c r="BR72" s="326">
        <f t="shared" si="329"/>
        <v>0</v>
      </c>
      <c r="BS72" s="332">
        <f t="shared" si="330"/>
        <v>0</v>
      </c>
      <c r="BT72" s="140">
        <f t="shared" ref="BT72:BV72" si="352">SUM(BQ72,BM72,BI72)</f>
        <v>0</v>
      </c>
      <c r="BU72" s="326">
        <f t="shared" si="352"/>
        <v>0</v>
      </c>
      <c r="BV72" s="333">
        <f t="shared" si="352"/>
        <v>0</v>
      </c>
      <c r="BW72" s="125" t="str">
        <f t="shared" si="198"/>
        <v/>
      </c>
      <c r="BX72" s="140">
        <f t="shared" si="56"/>
        <v>0</v>
      </c>
      <c r="BY72" s="123">
        <f t="shared" si="332"/>
        <v>166742.76</v>
      </c>
      <c r="BZ72" s="333">
        <f t="shared" si="333"/>
        <v>166742.76</v>
      </c>
      <c r="CA72" s="123" t="str">
        <f t="shared" si="201"/>
        <v/>
      </c>
      <c r="CB72" s="326" t="str">
        <f t="shared" si="202"/>
        <v/>
      </c>
      <c r="CF72" s="294"/>
      <c r="CG72" s="294"/>
      <c r="CH72" s="294"/>
      <c r="CI72" s="294"/>
      <c r="CJ72" s="294"/>
      <c r="CK72" s="294"/>
      <c r="CL72" s="294"/>
      <c r="CM72" s="294"/>
      <c r="CN72" s="294"/>
    </row>
    <row r="73" spans="1:92" ht="13">
      <c r="A73" s="325">
        <f t="shared" si="297"/>
        <v>112014589</v>
      </c>
      <c r="B73" s="324" t="e">
        <f t="shared" si="298"/>
        <v>#N/A</v>
      </c>
      <c r="C73" s="558" t="str">
        <f t="shared" si="299"/>
        <v/>
      </c>
      <c r="D73" s="558" t="str">
        <f t="shared" si="300"/>
        <v/>
      </c>
      <c r="E73" s="715" t="str">
        <f t="shared" si="301"/>
        <v/>
      </c>
      <c r="F73" s="547">
        <f t="shared" si="302"/>
        <v>22</v>
      </c>
      <c r="G73" s="699">
        <f t="shared" si="303"/>
        <v>0.1</v>
      </c>
      <c r="H73" s="699">
        <f t="shared" si="304"/>
        <v>0.09</v>
      </c>
      <c r="I73" s="702">
        <f t="shared" si="305"/>
        <v>0</v>
      </c>
      <c r="J73" s="837">
        <f t="shared" si="306"/>
        <v>63</v>
      </c>
      <c r="K73" s="699">
        <f>IFERROR(VLOOKUP(J73,A458DC1025,2,FALSE),"")</f>
        <v>0.1</v>
      </c>
      <c r="L73" s="1040">
        <f>IFERROR(VLOOKUP(J73,A458DC1025,3,FALSE),"")</f>
        <v>0.05</v>
      </c>
      <c r="M73" s="423" t="s">
        <v>1466</v>
      </c>
      <c r="N73" s="326"/>
      <c r="O73" s="332"/>
      <c r="P73" s="113" t="e">
        <f t="shared" si="12"/>
        <v>#VALUE!</v>
      </c>
      <c r="Q73" s="116" t="str">
        <f t="shared" si="308"/>
        <v/>
      </c>
      <c r="R73" s="117">
        <f t="shared" si="309"/>
        <v>0</v>
      </c>
      <c r="S73" s="114"/>
      <c r="T73" s="116"/>
      <c r="U73" s="116" t="str">
        <f t="shared" si="310"/>
        <v/>
      </c>
      <c r="V73" s="116">
        <v>3000000</v>
      </c>
      <c r="W73" s="116" t="e">
        <f t="shared" si="16"/>
        <v>#VALUE!</v>
      </c>
      <c r="X73" s="116" t="str">
        <f t="shared" si="311"/>
        <v/>
      </c>
      <c r="Y73" s="116">
        <f t="shared" si="312"/>
        <v>0</v>
      </c>
      <c r="Z73" s="326"/>
      <c r="AA73" s="326"/>
      <c r="AB73" s="326" t="str">
        <f t="shared" si="313"/>
        <v/>
      </c>
      <c r="AC73" s="332">
        <v>1800000</v>
      </c>
      <c r="AD73" s="140" t="e">
        <f t="shared" si="20"/>
        <v>#VALUE!</v>
      </c>
      <c r="AE73" s="326" t="str">
        <f t="shared" si="314"/>
        <v/>
      </c>
      <c r="AF73" s="117">
        <f t="shared" si="315"/>
        <v>0</v>
      </c>
      <c r="AG73" s="123"/>
      <c r="AH73" s="326"/>
      <c r="AI73" s="1257">
        <f t="shared" si="23"/>
        <v>4800000</v>
      </c>
      <c r="AJ73" s="140" t="str">
        <f t="shared" si="316"/>
        <v>0</v>
      </c>
      <c r="AK73" s="123" t="e">
        <f t="shared" ref="AK73:AM73" si="353">AD73+W73+P73</f>
        <v>#VALUE!</v>
      </c>
      <c r="AL73" s="123" t="e">
        <f t="shared" si="353"/>
        <v>#VALUE!</v>
      </c>
      <c r="AM73" s="123">
        <f t="shared" si="353"/>
        <v>0</v>
      </c>
      <c r="AN73" s="123">
        <f t="shared" si="26"/>
        <v>0</v>
      </c>
      <c r="AO73" s="1317" t="str">
        <f t="shared" si="62"/>
        <v/>
      </c>
      <c r="AP73" s="434" t="str">
        <f t="shared" si="318"/>
        <v/>
      </c>
      <c r="AQ73" s="1318" t="e">
        <f t="shared" si="28"/>
        <v>#VALUE!</v>
      </c>
      <c r="AR73" s="1319" t="str">
        <f t="shared" si="319"/>
        <v/>
      </c>
      <c r="AS73" s="1320">
        <f t="shared" si="320"/>
        <v>0</v>
      </c>
      <c r="AT73" s="125" t="str">
        <f t="shared" si="182"/>
        <v/>
      </c>
      <c r="AU73" s="140" t="e">
        <f t="shared" si="32"/>
        <v>#VALUE!</v>
      </c>
      <c r="AV73" s="326" t="str">
        <f t="shared" si="321"/>
        <v/>
      </c>
      <c r="AW73" s="333">
        <f t="shared" si="322"/>
        <v>0</v>
      </c>
      <c r="AX73" s="125" t="str">
        <f t="shared" si="185"/>
        <v/>
      </c>
      <c r="AY73" s="140" t="e">
        <f t="shared" si="36"/>
        <v>#VALUE!</v>
      </c>
      <c r="AZ73" s="326" t="str">
        <f t="shared" si="323"/>
        <v/>
      </c>
      <c r="BA73" s="332">
        <f t="shared" si="324"/>
        <v>0</v>
      </c>
      <c r="BB73" s="122" t="e">
        <f t="shared" ref="BB73:BD73" si="354">SUM(AY73,AU73,AQ73)</f>
        <v>#VALUE!</v>
      </c>
      <c r="BC73" s="326">
        <f t="shared" si="354"/>
        <v>0</v>
      </c>
      <c r="BD73" s="333">
        <f t="shared" si="354"/>
        <v>0</v>
      </c>
      <c r="BE73" s="123" t="e">
        <f t="shared" si="40"/>
        <v>#VALUE!</v>
      </c>
      <c r="BF73" s="326">
        <f t="shared" si="41"/>
        <v>0</v>
      </c>
      <c r="BG73" s="435">
        <f t="shared" si="42"/>
        <v>0</v>
      </c>
      <c r="BH73" s="125" t="str">
        <f t="shared" si="189"/>
        <v/>
      </c>
      <c r="BI73" s="1041" t="e">
        <f t="shared" si="44"/>
        <v>#VALUE!</v>
      </c>
      <c r="BJ73" s="123" t="str">
        <f t="shared" si="326"/>
        <v/>
      </c>
      <c r="BK73" s="326">
        <f t="shared" si="327"/>
        <v>0</v>
      </c>
      <c r="BL73" s="123" t="str">
        <f t="shared" si="192"/>
        <v/>
      </c>
      <c r="BM73" s="113" t="e">
        <f t="shared" si="48"/>
        <v>#VALUE!</v>
      </c>
      <c r="BN73" s="116" t="str">
        <f t="shared" si="328"/>
        <v/>
      </c>
      <c r="BO73" s="115">
        <f t="shared" si="336"/>
        <v>434009.42</v>
      </c>
      <c r="BP73" s="326" t="str">
        <f t="shared" si="194"/>
        <v/>
      </c>
      <c r="BQ73" s="326" t="e">
        <f t="shared" si="51"/>
        <v>#VALUE!</v>
      </c>
      <c r="BR73" s="326" t="str">
        <f t="shared" si="329"/>
        <v/>
      </c>
      <c r="BS73" s="332">
        <f t="shared" si="330"/>
        <v>0</v>
      </c>
      <c r="BT73" s="140" t="e">
        <f t="shared" ref="BT73:BV73" si="355">SUM(BQ73,BM73,BI73)</f>
        <v>#VALUE!</v>
      </c>
      <c r="BU73" s="326">
        <f t="shared" si="355"/>
        <v>0</v>
      </c>
      <c r="BV73" s="333">
        <f t="shared" si="355"/>
        <v>434009.42</v>
      </c>
      <c r="BW73" s="125" t="str">
        <f t="shared" si="198"/>
        <v/>
      </c>
      <c r="BX73" s="140" t="e">
        <f t="shared" si="56"/>
        <v>#VALUE!</v>
      </c>
      <c r="BY73" s="123" t="str">
        <f t="shared" si="332"/>
        <v/>
      </c>
      <c r="BZ73" s="333">
        <f t="shared" si="333"/>
        <v>559015.02</v>
      </c>
      <c r="CA73" s="123" t="str">
        <f t="shared" si="201"/>
        <v/>
      </c>
      <c r="CB73" s="326" t="str">
        <f t="shared" si="202"/>
        <v/>
      </c>
      <c r="CF73" s="294"/>
      <c r="CG73" s="294"/>
      <c r="CH73" s="294"/>
      <c r="CI73" s="294"/>
      <c r="CJ73" s="294"/>
      <c r="CK73" s="294"/>
      <c r="CL73" s="294"/>
      <c r="CM73" s="294"/>
      <c r="CN73" s="294"/>
    </row>
    <row r="74" spans="1:92" ht="13">
      <c r="A74" s="325">
        <f t="shared" si="297"/>
        <v>112014650</v>
      </c>
      <c r="B74" s="324">
        <f t="shared" si="298"/>
        <v>22</v>
      </c>
      <c r="C74" s="558">
        <f t="shared" si="299"/>
        <v>0.1</v>
      </c>
      <c r="D74" s="558">
        <f t="shared" si="300"/>
        <v>0.09</v>
      </c>
      <c r="E74" s="715">
        <f t="shared" si="301"/>
        <v>0</v>
      </c>
      <c r="F74" s="547">
        <f t="shared" si="302"/>
        <v>22</v>
      </c>
      <c r="G74" s="699">
        <f t="shared" si="303"/>
        <v>0.1</v>
      </c>
      <c r="H74" s="699">
        <f t="shared" si="304"/>
        <v>0.09</v>
      </c>
      <c r="I74" s="702">
        <f t="shared" si="305"/>
        <v>0</v>
      </c>
      <c r="J74" s="837">
        <f t="shared" si="306"/>
        <v>63</v>
      </c>
      <c r="K74" s="699">
        <f t="shared" ref="K74:K84" si="356">VLOOKUP(J74,A458DC1025,2,FALSE)</f>
        <v>0.1</v>
      </c>
      <c r="L74" s="1040">
        <f t="shared" ref="L74:L84" si="357">VLOOKUP(J74,A458DC1025,3,FALSE)</f>
        <v>0.05</v>
      </c>
      <c r="M74" s="423" t="s">
        <v>1467</v>
      </c>
      <c r="N74" s="326"/>
      <c r="O74" s="332"/>
      <c r="P74" s="113" t="e">
        <f t="shared" si="12"/>
        <v>#VALUE!</v>
      </c>
      <c r="Q74" s="116" t="str">
        <f t="shared" si="308"/>
        <v/>
      </c>
      <c r="R74" s="117">
        <f t="shared" si="309"/>
        <v>267598.65999999997</v>
      </c>
      <c r="S74" s="114"/>
      <c r="T74" s="116"/>
      <c r="U74" s="116" t="str">
        <f t="shared" si="310"/>
        <v/>
      </c>
      <c r="V74" s="116">
        <v>3000000</v>
      </c>
      <c r="W74" s="116" t="e">
        <f t="shared" si="16"/>
        <v>#VALUE!</v>
      </c>
      <c r="X74" s="116" t="str">
        <f t="shared" si="311"/>
        <v/>
      </c>
      <c r="Y74" s="116">
        <f t="shared" si="312"/>
        <v>239352.4</v>
      </c>
      <c r="Z74" s="326"/>
      <c r="AA74" s="326"/>
      <c r="AB74" s="326" t="str">
        <f t="shared" si="313"/>
        <v/>
      </c>
      <c r="AC74" s="332">
        <v>1800000</v>
      </c>
      <c r="AD74" s="140" t="e">
        <f t="shared" si="20"/>
        <v>#VALUE!</v>
      </c>
      <c r="AE74" s="326" t="str">
        <f t="shared" si="314"/>
        <v/>
      </c>
      <c r="AF74" s="117">
        <f t="shared" si="315"/>
        <v>18068.29</v>
      </c>
      <c r="AG74" s="123"/>
      <c r="AH74" s="326"/>
      <c r="AI74" s="1257">
        <f t="shared" si="23"/>
        <v>4800000</v>
      </c>
      <c r="AJ74" s="140" t="str">
        <f t="shared" si="316"/>
        <v>0</v>
      </c>
      <c r="AK74" s="123" t="e">
        <f t="shared" ref="AK74:AM74" si="358">AD74+W74+P74</f>
        <v>#VALUE!</v>
      </c>
      <c r="AL74" s="123" t="e">
        <f t="shared" si="358"/>
        <v>#VALUE!</v>
      </c>
      <c r="AM74" s="123">
        <f t="shared" si="358"/>
        <v>525019.35</v>
      </c>
      <c r="AN74" s="123">
        <f t="shared" si="26"/>
        <v>525019.35</v>
      </c>
      <c r="AO74" s="1317" t="str">
        <f t="shared" si="62"/>
        <v/>
      </c>
      <c r="AP74" s="434" t="str">
        <f t="shared" si="318"/>
        <v/>
      </c>
      <c r="AQ74" s="1318" t="e">
        <f t="shared" si="28"/>
        <v>#VALUE!</v>
      </c>
      <c r="AR74" s="1319" t="str">
        <f t="shared" si="319"/>
        <v/>
      </c>
      <c r="AS74" s="1320">
        <f t="shared" si="320"/>
        <v>115020.64</v>
      </c>
      <c r="AT74" s="125" t="str">
        <f t="shared" si="182"/>
        <v/>
      </c>
      <c r="AU74" s="140" t="e">
        <f t="shared" si="32"/>
        <v>#VALUE!</v>
      </c>
      <c r="AV74" s="326" t="str">
        <f t="shared" si="321"/>
        <v/>
      </c>
      <c r="AW74" s="333">
        <f t="shared" si="322"/>
        <v>73372.67</v>
      </c>
      <c r="AX74" s="125" t="str">
        <f t="shared" si="185"/>
        <v/>
      </c>
      <c r="AY74" s="140" t="e">
        <f t="shared" si="36"/>
        <v>#VALUE!</v>
      </c>
      <c r="AZ74" s="326" t="str">
        <f t="shared" si="323"/>
        <v/>
      </c>
      <c r="BA74" s="332">
        <f t="shared" si="324"/>
        <v>526006.32999999996</v>
      </c>
      <c r="BB74" s="122" t="e">
        <f t="shared" ref="BB74:BD74" si="359">SUM(AY74,AU74,AQ74)</f>
        <v>#VALUE!</v>
      </c>
      <c r="BC74" s="326">
        <f t="shared" si="359"/>
        <v>0</v>
      </c>
      <c r="BD74" s="333">
        <f t="shared" si="359"/>
        <v>714399.64</v>
      </c>
      <c r="BE74" s="123" t="e">
        <f t="shared" si="40"/>
        <v>#VALUE!</v>
      </c>
      <c r="BF74" s="326">
        <f t="shared" si="41"/>
        <v>0</v>
      </c>
      <c r="BG74" s="435">
        <f t="shared" si="42"/>
        <v>1239418.99</v>
      </c>
      <c r="BH74" s="125" t="str">
        <f t="shared" si="189"/>
        <v/>
      </c>
      <c r="BI74" s="1041" t="e">
        <f t="shared" si="44"/>
        <v>#VALUE!</v>
      </c>
      <c r="BJ74" s="123" t="str">
        <f t="shared" si="326"/>
        <v/>
      </c>
      <c r="BK74" s="326">
        <f t="shared" si="327"/>
        <v>36856.67</v>
      </c>
      <c r="BL74" s="123" t="str">
        <f t="shared" si="192"/>
        <v/>
      </c>
      <c r="BM74" s="113" t="e">
        <f t="shared" si="48"/>
        <v>#VALUE!</v>
      </c>
      <c r="BN74" s="116" t="str">
        <f t="shared" si="328"/>
        <v/>
      </c>
      <c r="BO74" s="115">
        <f t="shared" si="336"/>
        <v>0</v>
      </c>
      <c r="BP74" s="326" t="str">
        <f t="shared" si="194"/>
        <v/>
      </c>
      <c r="BQ74" s="326" t="e">
        <f t="shared" si="51"/>
        <v>#VALUE!</v>
      </c>
      <c r="BR74" s="326" t="str">
        <f t="shared" si="329"/>
        <v/>
      </c>
      <c r="BS74" s="332">
        <f t="shared" si="330"/>
        <v>0</v>
      </c>
      <c r="BT74" s="586" t="e">
        <f t="shared" ref="BT74:BV74" si="360">SUM(BQ74,BM74,BI74)</f>
        <v>#VALUE!</v>
      </c>
      <c r="BU74" s="738">
        <f t="shared" si="360"/>
        <v>0</v>
      </c>
      <c r="BV74" s="737">
        <f t="shared" si="360"/>
        <v>36856.67</v>
      </c>
      <c r="BW74" s="125" t="str">
        <f t="shared" si="198"/>
        <v/>
      </c>
      <c r="BX74" s="140" t="e">
        <f t="shared" si="56"/>
        <v>#VALUE!</v>
      </c>
      <c r="BY74" s="123" t="str">
        <f t="shared" si="332"/>
        <v/>
      </c>
      <c r="BZ74" s="333">
        <f t="shared" si="333"/>
        <v>0</v>
      </c>
      <c r="CA74" s="123" t="str">
        <f t="shared" si="201"/>
        <v/>
      </c>
      <c r="CB74" s="326" t="str">
        <f t="shared" si="202"/>
        <v/>
      </c>
      <c r="CF74" s="294"/>
      <c r="CG74" s="294"/>
      <c r="CH74" s="294"/>
      <c r="CI74" s="294"/>
      <c r="CJ74" s="294"/>
      <c r="CK74" s="294"/>
      <c r="CL74" s="294"/>
      <c r="CM74" s="294"/>
      <c r="CN74" s="294"/>
    </row>
    <row r="75" spans="1:92" ht="13">
      <c r="A75" s="325">
        <f t="shared" si="297"/>
        <v>112014718</v>
      </c>
      <c r="B75" s="324">
        <f t="shared" si="298"/>
        <v>22</v>
      </c>
      <c r="C75" s="558">
        <f t="shared" si="299"/>
        <v>0.1</v>
      </c>
      <c r="D75" s="558">
        <f t="shared" si="300"/>
        <v>0.09</v>
      </c>
      <c r="E75" s="715">
        <f t="shared" si="301"/>
        <v>0</v>
      </c>
      <c r="F75" s="547">
        <f t="shared" si="302"/>
        <v>22</v>
      </c>
      <c r="G75" s="699">
        <f t="shared" si="303"/>
        <v>0.1</v>
      </c>
      <c r="H75" s="699">
        <f t="shared" si="304"/>
        <v>0.09</v>
      </c>
      <c r="I75" s="702">
        <f t="shared" si="305"/>
        <v>0</v>
      </c>
      <c r="J75" s="837">
        <f t="shared" si="306"/>
        <v>63</v>
      </c>
      <c r="K75" s="699">
        <f t="shared" si="356"/>
        <v>0.1</v>
      </c>
      <c r="L75" s="1040">
        <f t="shared" si="357"/>
        <v>0.05</v>
      </c>
      <c r="M75" s="943" t="s">
        <v>1468</v>
      </c>
      <c r="N75" s="326"/>
      <c r="O75" s="332"/>
      <c r="P75" s="113" t="e">
        <f t="shared" si="12"/>
        <v>#VALUE!</v>
      </c>
      <c r="Q75" s="116" t="str">
        <f t="shared" si="308"/>
        <v/>
      </c>
      <c r="R75" s="117">
        <f t="shared" si="309"/>
        <v>0</v>
      </c>
      <c r="S75" s="114"/>
      <c r="T75" s="116"/>
      <c r="U75" s="116" t="str">
        <f t="shared" si="310"/>
        <v/>
      </c>
      <c r="V75" s="116">
        <v>3000000</v>
      </c>
      <c r="W75" s="116" t="e">
        <f t="shared" si="16"/>
        <v>#VALUE!</v>
      </c>
      <c r="X75" s="116" t="str">
        <f t="shared" si="311"/>
        <v/>
      </c>
      <c r="Y75" s="116">
        <f t="shared" si="312"/>
        <v>0</v>
      </c>
      <c r="Z75" s="326"/>
      <c r="AA75" s="326"/>
      <c r="AB75" s="326" t="str">
        <f t="shared" si="313"/>
        <v/>
      </c>
      <c r="AC75" s="332">
        <v>1800000</v>
      </c>
      <c r="AD75" s="140" t="e">
        <f t="shared" si="20"/>
        <v>#VALUE!</v>
      </c>
      <c r="AE75" s="326" t="str">
        <f t="shared" si="314"/>
        <v/>
      </c>
      <c r="AF75" s="117">
        <f t="shared" si="315"/>
        <v>0</v>
      </c>
      <c r="AG75" s="123"/>
      <c r="AH75" s="326"/>
      <c r="AI75" s="1257">
        <f t="shared" si="23"/>
        <v>4800000</v>
      </c>
      <c r="AJ75" s="140" t="str">
        <f t="shared" si="316"/>
        <v>0</v>
      </c>
      <c r="AK75" s="123" t="e">
        <f t="shared" ref="AK75:AM75" si="361">AD75+W75+P75</f>
        <v>#VALUE!</v>
      </c>
      <c r="AL75" s="123" t="e">
        <f t="shared" si="361"/>
        <v>#VALUE!</v>
      </c>
      <c r="AM75" s="123">
        <f t="shared" si="361"/>
        <v>0</v>
      </c>
      <c r="AN75" s="123">
        <f t="shared" si="26"/>
        <v>0</v>
      </c>
      <c r="AO75" s="1317" t="str">
        <f t="shared" si="62"/>
        <v/>
      </c>
      <c r="AP75" s="434" t="str">
        <f t="shared" si="318"/>
        <v/>
      </c>
      <c r="AQ75" s="1318" t="e">
        <f t="shared" si="28"/>
        <v>#VALUE!</v>
      </c>
      <c r="AR75" s="1319" t="str">
        <f t="shared" si="319"/>
        <v/>
      </c>
      <c r="AS75" s="1320">
        <f t="shared" si="320"/>
        <v>0</v>
      </c>
      <c r="AT75" s="125"/>
      <c r="AU75" s="140" t="e">
        <f t="shared" si="32"/>
        <v>#VALUE!</v>
      </c>
      <c r="AV75" s="326" t="str">
        <f t="shared" si="321"/>
        <v/>
      </c>
      <c r="AW75" s="333">
        <f t="shared" si="322"/>
        <v>0</v>
      </c>
      <c r="AX75" s="125"/>
      <c r="AY75" s="140" t="e">
        <f t="shared" si="36"/>
        <v>#VALUE!</v>
      </c>
      <c r="AZ75" s="326" t="str">
        <f t="shared" si="323"/>
        <v/>
      </c>
      <c r="BA75" s="332">
        <f t="shared" si="324"/>
        <v>393387.48</v>
      </c>
      <c r="BB75" s="122" t="e">
        <f t="shared" ref="BB75:BD75" si="362">SUM(AY75,AU75,AQ75)</f>
        <v>#VALUE!</v>
      </c>
      <c r="BC75" s="326">
        <f t="shared" si="362"/>
        <v>0</v>
      </c>
      <c r="BD75" s="333">
        <f t="shared" si="362"/>
        <v>393387.48</v>
      </c>
      <c r="BE75" s="123" t="e">
        <f t="shared" si="40"/>
        <v>#VALUE!</v>
      </c>
      <c r="BF75" s="326">
        <f t="shared" si="41"/>
        <v>0</v>
      </c>
      <c r="BG75" s="435">
        <f t="shared" si="42"/>
        <v>393387.48</v>
      </c>
      <c r="BH75" s="125"/>
      <c r="BI75" s="1041" t="e">
        <f t="shared" si="44"/>
        <v>#VALUE!</v>
      </c>
      <c r="BJ75" s="123" t="str">
        <f t="shared" si="326"/>
        <v/>
      </c>
      <c r="BK75" s="326">
        <f t="shared" si="327"/>
        <v>393387.48</v>
      </c>
      <c r="BL75" s="123"/>
      <c r="BM75" s="113" t="e">
        <f t="shared" si="48"/>
        <v>#VALUE!</v>
      </c>
      <c r="BN75" s="116" t="str">
        <f t="shared" si="328"/>
        <v/>
      </c>
      <c r="BO75" s="115">
        <f t="shared" si="336"/>
        <v>0</v>
      </c>
      <c r="BP75" s="326"/>
      <c r="BQ75" s="326" t="e">
        <f t="shared" si="51"/>
        <v>#VALUE!</v>
      </c>
      <c r="BR75" s="326" t="str">
        <f t="shared" si="329"/>
        <v/>
      </c>
      <c r="BS75" s="332">
        <f t="shared" si="330"/>
        <v>69421.320000000007</v>
      </c>
      <c r="BT75" s="586" t="e">
        <f t="shared" ref="BT75:BV75" si="363">SUM(BQ75,BM75,BI75)</f>
        <v>#VALUE!</v>
      </c>
      <c r="BU75" s="738">
        <f t="shared" si="363"/>
        <v>0</v>
      </c>
      <c r="BV75" s="737">
        <f t="shared" si="363"/>
        <v>462808.8</v>
      </c>
      <c r="BW75" s="125"/>
      <c r="BX75" s="140" t="e">
        <f t="shared" si="56"/>
        <v>#VALUE!</v>
      </c>
      <c r="BY75" s="123" t="str">
        <f t="shared" si="332"/>
        <v/>
      </c>
      <c r="BZ75" s="333">
        <f t="shared" si="333"/>
        <v>0</v>
      </c>
      <c r="CA75" s="123"/>
      <c r="CB75" s="326"/>
      <c r="CF75" s="294"/>
      <c r="CG75" s="294"/>
      <c r="CH75" s="294"/>
      <c r="CI75" s="294"/>
      <c r="CJ75" s="294"/>
      <c r="CK75" s="294"/>
      <c r="CL75" s="294"/>
      <c r="CM75" s="294"/>
      <c r="CN75" s="294"/>
    </row>
    <row r="76" spans="1:92" ht="13">
      <c r="A76" s="325">
        <f t="shared" si="297"/>
        <v>112014248</v>
      </c>
      <c r="B76" s="324">
        <f t="shared" si="298"/>
        <v>22</v>
      </c>
      <c r="C76" s="558">
        <f t="shared" si="299"/>
        <v>0.1</v>
      </c>
      <c r="D76" s="558">
        <f t="shared" si="300"/>
        <v>0.09</v>
      </c>
      <c r="E76" s="715">
        <f t="shared" si="301"/>
        <v>0</v>
      </c>
      <c r="F76" s="547">
        <f t="shared" si="302"/>
        <v>22</v>
      </c>
      <c r="G76" s="699">
        <f t="shared" si="303"/>
        <v>0.1</v>
      </c>
      <c r="H76" s="699">
        <f t="shared" si="304"/>
        <v>0.09</v>
      </c>
      <c r="I76" s="702">
        <f t="shared" si="305"/>
        <v>0</v>
      </c>
      <c r="J76" s="837">
        <f t="shared" si="306"/>
        <v>63</v>
      </c>
      <c r="K76" s="699">
        <f t="shared" si="356"/>
        <v>0.1</v>
      </c>
      <c r="L76" s="1040">
        <f t="shared" si="357"/>
        <v>0.05</v>
      </c>
      <c r="M76" s="423" t="s">
        <v>1469</v>
      </c>
      <c r="N76" s="326"/>
      <c r="O76" s="332"/>
      <c r="P76" s="113" t="e">
        <f t="shared" si="12"/>
        <v>#VALUE!</v>
      </c>
      <c r="Q76" s="116" t="str">
        <f t="shared" si="308"/>
        <v/>
      </c>
      <c r="R76" s="117">
        <f t="shared" si="309"/>
        <v>0</v>
      </c>
      <c r="S76" s="114"/>
      <c r="T76" s="116"/>
      <c r="U76" s="116">
        <f t="shared" si="310"/>
        <v>0</v>
      </c>
      <c r="V76" s="116">
        <v>3000000</v>
      </c>
      <c r="W76" s="116" t="e">
        <f t="shared" si="16"/>
        <v>#VALUE!</v>
      </c>
      <c r="X76" s="116" t="str">
        <f t="shared" si="311"/>
        <v/>
      </c>
      <c r="Y76" s="116">
        <f t="shared" si="312"/>
        <v>0</v>
      </c>
      <c r="Z76" s="326"/>
      <c r="AA76" s="326"/>
      <c r="AB76" s="326">
        <f t="shared" si="313"/>
        <v>0</v>
      </c>
      <c r="AC76" s="332">
        <v>1800000</v>
      </c>
      <c r="AD76" s="140" t="e">
        <f t="shared" si="20"/>
        <v>#VALUE!</v>
      </c>
      <c r="AE76" s="326" t="str">
        <f t="shared" si="314"/>
        <v/>
      </c>
      <c r="AF76" s="117">
        <f t="shared" si="315"/>
        <v>0</v>
      </c>
      <c r="AG76" s="123"/>
      <c r="AH76" s="326"/>
      <c r="AI76" s="1257">
        <f t="shared" si="23"/>
        <v>4800000</v>
      </c>
      <c r="AJ76" s="140" t="str">
        <f t="shared" si="316"/>
        <v>0</v>
      </c>
      <c r="AK76" s="123" t="e">
        <f t="shared" ref="AK76:AM76" si="364">AD76+W76+P76</f>
        <v>#VALUE!</v>
      </c>
      <c r="AL76" s="123" t="e">
        <f t="shared" si="364"/>
        <v>#VALUE!</v>
      </c>
      <c r="AM76" s="123">
        <f t="shared" si="364"/>
        <v>0</v>
      </c>
      <c r="AN76" s="123">
        <f t="shared" si="26"/>
        <v>0</v>
      </c>
      <c r="AO76" s="1317" t="str">
        <f t="shared" si="62"/>
        <v/>
      </c>
      <c r="AP76" s="434">
        <f t="shared" si="318"/>
        <v>0</v>
      </c>
      <c r="AQ76" s="1318" t="e">
        <f t="shared" si="28"/>
        <v>#VALUE!</v>
      </c>
      <c r="AR76" s="1319" t="str">
        <f t="shared" si="319"/>
        <v/>
      </c>
      <c r="AS76" s="1320">
        <f t="shared" si="320"/>
        <v>0</v>
      </c>
      <c r="AT76" s="125">
        <f>IFERROR(VLOOKUP(M76,tmkpechhhh24,7,FALSE),"")</f>
        <v>0</v>
      </c>
      <c r="AU76" s="140" t="e">
        <f t="shared" si="32"/>
        <v>#VALUE!</v>
      </c>
      <c r="AV76" s="326" t="str">
        <f t="shared" si="321"/>
        <v/>
      </c>
      <c r="AW76" s="333">
        <f t="shared" si="322"/>
        <v>0</v>
      </c>
      <c r="AX76" s="125">
        <f>IFERROR(VLOOKUP(M76,tmkpechhhh24,8,FALSE),"")</f>
        <v>0</v>
      </c>
      <c r="AY76" s="140" t="e">
        <f t="shared" si="36"/>
        <v>#VALUE!</v>
      </c>
      <c r="AZ76" s="326" t="str">
        <f t="shared" si="323"/>
        <v/>
      </c>
      <c r="BA76" s="332">
        <f t="shared" si="324"/>
        <v>0</v>
      </c>
      <c r="BB76" s="122" t="e">
        <f t="shared" ref="BB76:BD76" si="365">SUM(AY76,AU76,AQ76)</f>
        <v>#VALUE!</v>
      </c>
      <c r="BC76" s="326">
        <f t="shared" si="365"/>
        <v>0</v>
      </c>
      <c r="BD76" s="333">
        <f t="shared" si="365"/>
        <v>0</v>
      </c>
      <c r="BE76" s="123" t="e">
        <f t="shared" si="40"/>
        <v>#VALUE!</v>
      </c>
      <c r="BF76" s="326">
        <f t="shared" si="41"/>
        <v>0</v>
      </c>
      <c r="BG76" s="435">
        <f t="shared" si="42"/>
        <v>0</v>
      </c>
      <c r="BH76" s="125">
        <f>IFERROR(VLOOKUP(M76,tmkpechhhh24,9,FALSE),"")</f>
        <v>0</v>
      </c>
      <c r="BI76" s="1041" t="e">
        <f t="shared" si="44"/>
        <v>#VALUE!</v>
      </c>
      <c r="BJ76" s="123" t="str">
        <f t="shared" si="326"/>
        <v/>
      </c>
      <c r="BK76" s="326">
        <f t="shared" si="327"/>
        <v>548615.64</v>
      </c>
      <c r="BL76" s="123">
        <f>IFERROR(VLOOKUP(M76,tmkpechhhh24,10,FALSE),"")</f>
        <v>0</v>
      </c>
      <c r="BM76" s="113" t="e">
        <f t="shared" si="48"/>
        <v>#VALUE!</v>
      </c>
      <c r="BN76" s="116" t="str">
        <f t="shared" si="328"/>
        <v/>
      </c>
      <c r="BO76" s="115">
        <f t="shared" si="336"/>
        <v>0</v>
      </c>
      <c r="BP76" s="326">
        <f>IFERROR(VLOOKUP(M76,tmkpechhhh24,11,FALSE),"")</f>
        <v>0</v>
      </c>
      <c r="BQ76" s="326" t="e">
        <f t="shared" si="51"/>
        <v>#VALUE!</v>
      </c>
      <c r="BR76" s="326" t="str">
        <f t="shared" si="329"/>
        <v/>
      </c>
      <c r="BS76" s="332">
        <f t="shared" si="330"/>
        <v>0</v>
      </c>
      <c r="BT76" s="586" t="e">
        <f t="shared" ref="BT76:BV76" si="366">SUM(BQ76,BM76,BI76)</f>
        <v>#VALUE!</v>
      </c>
      <c r="BU76" s="738">
        <f t="shared" si="366"/>
        <v>0</v>
      </c>
      <c r="BV76" s="737">
        <f t="shared" si="366"/>
        <v>548615.64</v>
      </c>
      <c r="BW76" s="125">
        <f>IFERROR(VLOOKUP(M76,tmkpechhhh24,12,FALSE),"")</f>
        <v>0</v>
      </c>
      <c r="BX76" s="140" t="e">
        <f t="shared" si="56"/>
        <v>#VALUE!</v>
      </c>
      <c r="BY76" s="123" t="str">
        <f t="shared" si="332"/>
        <v/>
      </c>
      <c r="BZ76" s="333">
        <f t="shared" si="333"/>
        <v>0</v>
      </c>
      <c r="CA76" s="123">
        <f>IFERROR(VLOOKUP(M76,tmkpechhhh24,13,FALSE),"")</f>
        <v>0</v>
      </c>
      <c r="CB76" s="326">
        <f>IFERROR(VLOOKUP(M76,tmkpechhhh24,14,FALSE),"")</f>
        <v>0</v>
      </c>
      <c r="CF76" s="294"/>
      <c r="CG76" s="294"/>
      <c r="CH76" s="294"/>
      <c r="CI76" s="294"/>
      <c r="CJ76" s="294"/>
      <c r="CK76" s="294"/>
      <c r="CL76" s="294"/>
      <c r="CM76" s="294"/>
      <c r="CN76" s="294"/>
    </row>
    <row r="77" spans="1:92" ht="13">
      <c r="A77" s="325">
        <f t="shared" si="297"/>
        <v>112014779</v>
      </c>
      <c r="B77" s="324" t="e">
        <f t="shared" si="298"/>
        <v>#N/A</v>
      </c>
      <c r="C77" s="558" t="str">
        <f t="shared" si="299"/>
        <v/>
      </c>
      <c r="D77" s="558" t="str">
        <f t="shared" si="300"/>
        <v/>
      </c>
      <c r="E77" s="715" t="str">
        <f t="shared" si="301"/>
        <v/>
      </c>
      <c r="F77" s="547" t="e">
        <f t="shared" si="302"/>
        <v>#N/A</v>
      </c>
      <c r="G77" s="699" t="str">
        <f t="shared" si="303"/>
        <v/>
      </c>
      <c r="H77" s="699" t="str">
        <f t="shared" si="304"/>
        <v/>
      </c>
      <c r="I77" s="702" t="str">
        <f t="shared" si="305"/>
        <v/>
      </c>
      <c r="J77" s="837">
        <f t="shared" si="306"/>
        <v>21</v>
      </c>
      <c r="K77" s="699">
        <f t="shared" si="356"/>
        <v>0.1</v>
      </c>
      <c r="L77" s="1040">
        <f t="shared" si="357"/>
        <v>0</v>
      </c>
      <c r="M77" s="944" t="s">
        <v>1470</v>
      </c>
      <c r="N77" s="326"/>
      <c r="O77" s="332"/>
      <c r="P77" s="113" t="e">
        <f t="shared" si="12"/>
        <v>#VALUE!</v>
      </c>
      <c r="Q77" s="116" t="str">
        <f t="shared" si="308"/>
        <v/>
      </c>
      <c r="R77" s="117" t="str">
        <f t="shared" si="309"/>
        <v>0</v>
      </c>
      <c r="S77" s="114"/>
      <c r="T77" s="116"/>
      <c r="U77" s="116" t="str">
        <f t="shared" si="310"/>
        <v/>
      </c>
      <c r="V77" s="116">
        <v>3000000</v>
      </c>
      <c r="W77" s="116" t="e">
        <f t="shared" si="16"/>
        <v>#VALUE!</v>
      </c>
      <c r="X77" s="116" t="str">
        <f t="shared" si="311"/>
        <v/>
      </c>
      <c r="Y77" s="116" t="str">
        <f t="shared" si="312"/>
        <v>0</v>
      </c>
      <c r="Z77" s="326"/>
      <c r="AA77" s="326"/>
      <c r="AB77" s="326" t="str">
        <f t="shared" si="313"/>
        <v/>
      </c>
      <c r="AC77" s="332">
        <v>1800000</v>
      </c>
      <c r="AD77" s="140" t="e">
        <f t="shared" si="20"/>
        <v>#VALUE!</v>
      </c>
      <c r="AE77" s="326" t="str">
        <f t="shared" si="314"/>
        <v/>
      </c>
      <c r="AF77" s="117" t="str">
        <f t="shared" si="315"/>
        <v>0</v>
      </c>
      <c r="AG77" s="123"/>
      <c r="AH77" s="326"/>
      <c r="AI77" s="1257">
        <f t="shared" si="23"/>
        <v>4800000</v>
      </c>
      <c r="AJ77" s="140" t="str">
        <f t="shared" si="316"/>
        <v>0</v>
      </c>
      <c r="AK77" s="123" t="e">
        <f t="shared" ref="AK77:AM77" si="367">AD77+W77+P77</f>
        <v>#VALUE!</v>
      </c>
      <c r="AL77" s="123" t="e">
        <f t="shared" si="367"/>
        <v>#VALUE!</v>
      </c>
      <c r="AM77" s="123">
        <f t="shared" si="367"/>
        <v>0</v>
      </c>
      <c r="AN77" s="123">
        <f t="shared" si="26"/>
        <v>0</v>
      </c>
      <c r="AO77" s="1317" t="str">
        <f t="shared" si="62"/>
        <v/>
      </c>
      <c r="AP77" s="434" t="str">
        <f t="shared" si="318"/>
        <v/>
      </c>
      <c r="AQ77" s="1318" t="e">
        <f t="shared" si="28"/>
        <v>#VALUE!</v>
      </c>
      <c r="AR77" s="1319" t="str">
        <f t="shared" si="319"/>
        <v/>
      </c>
      <c r="AS77" s="1320" t="str">
        <f t="shared" si="320"/>
        <v>0</v>
      </c>
      <c r="AT77" s="125" t="str">
        <f>IFERROR(VLOOKUP(M77,tmkpechhhh24,7,FALSE),"")</f>
        <v/>
      </c>
      <c r="AU77" s="140" t="e">
        <f t="shared" si="32"/>
        <v>#VALUE!</v>
      </c>
      <c r="AV77" s="326" t="str">
        <f t="shared" si="321"/>
        <v/>
      </c>
      <c r="AW77" s="333" t="str">
        <f t="shared" si="322"/>
        <v>0</v>
      </c>
      <c r="AX77" s="125" t="str">
        <f>IFERROR(VLOOKUP(M77,tmkpechhhh24,8,FALSE),"")</f>
        <v/>
      </c>
      <c r="AY77" s="140" t="e">
        <f t="shared" si="36"/>
        <v>#VALUE!</v>
      </c>
      <c r="AZ77" s="326" t="str">
        <f t="shared" si="323"/>
        <v/>
      </c>
      <c r="BA77" s="332" t="str">
        <f t="shared" si="324"/>
        <v>0</v>
      </c>
      <c r="BB77" s="122" t="e">
        <f t="shared" ref="BB77:BD77" si="368">SUM(AY77,AU77,AQ77)</f>
        <v>#VALUE!</v>
      </c>
      <c r="BC77" s="326">
        <f t="shared" si="368"/>
        <v>0</v>
      </c>
      <c r="BD77" s="333">
        <f t="shared" si="368"/>
        <v>0</v>
      </c>
      <c r="BE77" s="123" t="e">
        <f t="shared" si="40"/>
        <v>#VALUE!</v>
      </c>
      <c r="BF77" s="326">
        <f t="shared" si="41"/>
        <v>0</v>
      </c>
      <c r="BG77" s="435">
        <f t="shared" si="42"/>
        <v>0</v>
      </c>
      <c r="BH77" s="125" t="str">
        <f>IFERROR(VLOOKUP(M77,tmkpechhhh24,9,FALSE),"")</f>
        <v/>
      </c>
      <c r="BI77" s="1041" t="e">
        <f t="shared" si="44"/>
        <v>#VALUE!</v>
      </c>
      <c r="BJ77" s="123" t="str">
        <f t="shared" si="326"/>
        <v/>
      </c>
      <c r="BK77" s="326" t="str">
        <f t="shared" si="327"/>
        <v>0</v>
      </c>
      <c r="BL77" s="123" t="str">
        <f>IFERROR(VLOOKUP(M77,tmkpechhhh24,10,FALSE),"")</f>
        <v/>
      </c>
      <c r="BM77" s="113" t="e">
        <f t="shared" si="48"/>
        <v>#VALUE!</v>
      </c>
      <c r="BN77" s="116" t="str">
        <f t="shared" si="328"/>
        <v/>
      </c>
      <c r="BO77" s="115" t="str">
        <f t="shared" si="336"/>
        <v>0</v>
      </c>
      <c r="BP77" s="326" t="str">
        <f>IFERROR(VLOOKUP(M77,tmkpechhhh24,11,FALSE),"")</f>
        <v/>
      </c>
      <c r="BQ77" s="326" t="e">
        <f t="shared" si="51"/>
        <v>#VALUE!</v>
      </c>
      <c r="BR77" s="326" t="str">
        <f t="shared" si="329"/>
        <v/>
      </c>
      <c r="BS77" s="332" t="str">
        <f t="shared" si="330"/>
        <v/>
      </c>
      <c r="BT77" s="140" t="e">
        <f t="shared" ref="BT77:BV77" si="369">SUM(BQ77,BM77,BI77)</f>
        <v>#VALUE!</v>
      </c>
      <c r="BU77" s="326">
        <f t="shared" si="369"/>
        <v>0</v>
      </c>
      <c r="BV77" s="333">
        <f t="shared" si="369"/>
        <v>0</v>
      </c>
      <c r="BW77" s="125" t="str">
        <f>IFERROR(VLOOKUP(M77,tmkpechhhh24,12,FALSE),"")</f>
        <v/>
      </c>
      <c r="BX77" s="140" t="e">
        <f t="shared" si="56"/>
        <v>#VALUE!</v>
      </c>
      <c r="BY77" s="123" t="str">
        <f t="shared" si="332"/>
        <v/>
      </c>
      <c r="BZ77" s="333" t="str">
        <f t="shared" si="333"/>
        <v/>
      </c>
      <c r="CA77" s="123" t="str">
        <f>IFERROR(VLOOKUP(M77,tmkpechhhh24,13,FALSE),"")</f>
        <v/>
      </c>
      <c r="CB77" s="326" t="str">
        <f>IFERROR(VLOOKUP(M77,tmkpechhhh24,14,FALSE),"")</f>
        <v/>
      </c>
      <c r="CF77" s="294"/>
      <c r="CG77" s="294"/>
      <c r="CH77" s="294"/>
      <c r="CI77" s="294"/>
      <c r="CJ77" s="294"/>
      <c r="CK77" s="294"/>
      <c r="CL77" s="294"/>
      <c r="CM77" s="294"/>
      <c r="CN77" s="294"/>
    </row>
    <row r="78" spans="1:92" ht="13">
      <c r="A78" s="325">
        <f t="shared" si="297"/>
        <v>112012550</v>
      </c>
      <c r="B78" s="324">
        <f t="shared" si="298"/>
        <v>22</v>
      </c>
      <c r="C78" s="558">
        <f t="shared" si="299"/>
        <v>0.1</v>
      </c>
      <c r="D78" s="558">
        <f t="shared" si="300"/>
        <v>0.09</v>
      </c>
      <c r="E78" s="715">
        <f t="shared" si="301"/>
        <v>0</v>
      </c>
      <c r="F78" s="547">
        <f t="shared" si="302"/>
        <v>20</v>
      </c>
      <c r="G78" s="699">
        <f t="shared" si="303"/>
        <v>0.05</v>
      </c>
      <c r="H78" s="699">
        <f t="shared" si="304"/>
        <v>0.09</v>
      </c>
      <c r="I78" s="702">
        <f t="shared" si="305"/>
        <v>0</v>
      </c>
      <c r="J78" s="837">
        <f t="shared" si="306"/>
        <v>67</v>
      </c>
      <c r="K78" s="699">
        <f t="shared" si="356"/>
        <v>0.05</v>
      </c>
      <c r="L78" s="1040">
        <f t="shared" si="357"/>
        <v>0.05</v>
      </c>
      <c r="M78" s="423" t="s">
        <v>1471</v>
      </c>
      <c r="N78" s="326"/>
      <c r="O78" s="332"/>
      <c r="P78" s="113" t="e">
        <f t="shared" si="12"/>
        <v>#VALUE!</v>
      </c>
      <c r="Q78" s="116" t="str">
        <f t="shared" si="308"/>
        <v/>
      </c>
      <c r="R78" s="117">
        <f t="shared" si="309"/>
        <v>0</v>
      </c>
      <c r="S78" s="114"/>
      <c r="T78" s="116"/>
      <c r="U78" s="116" t="str">
        <f t="shared" si="310"/>
        <v/>
      </c>
      <c r="V78" s="116">
        <v>3000000</v>
      </c>
      <c r="W78" s="116" t="e">
        <f t="shared" si="16"/>
        <v>#VALUE!</v>
      </c>
      <c r="X78" s="116" t="str">
        <f t="shared" si="311"/>
        <v/>
      </c>
      <c r="Y78" s="116">
        <f t="shared" si="312"/>
        <v>0</v>
      </c>
      <c r="Z78" s="326"/>
      <c r="AA78" s="326"/>
      <c r="AB78" s="326" t="str">
        <f t="shared" si="313"/>
        <v/>
      </c>
      <c r="AC78" s="332">
        <v>1800000</v>
      </c>
      <c r="AD78" s="140" t="e">
        <f t="shared" si="20"/>
        <v>#VALUE!</v>
      </c>
      <c r="AE78" s="326" t="str">
        <f t="shared" si="314"/>
        <v/>
      </c>
      <c r="AF78" s="117">
        <f t="shared" si="315"/>
        <v>0</v>
      </c>
      <c r="AG78" s="123"/>
      <c r="AH78" s="326"/>
      <c r="AI78" s="1257">
        <f t="shared" si="23"/>
        <v>4800000</v>
      </c>
      <c r="AJ78" s="140" t="str">
        <f t="shared" si="316"/>
        <v>0</v>
      </c>
      <c r="AK78" s="123" t="e">
        <f t="shared" ref="AK78:AM78" si="370">AD78+W78+P78</f>
        <v>#VALUE!</v>
      </c>
      <c r="AL78" s="123" t="e">
        <f t="shared" si="370"/>
        <v>#VALUE!</v>
      </c>
      <c r="AM78" s="123">
        <f t="shared" si="370"/>
        <v>0</v>
      </c>
      <c r="AN78" s="123">
        <f t="shared" si="26"/>
        <v>0</v>
      </c>
      <c r="AO78" s="1317" t="str">
        <f t="shared" si="62"/>
        <v/>
      </c>
      <c r="AP78" s="434" t="str">
        <f t="shared" si="318"/>
        <v/>
      </c>
      <c r="AQ78" s="1318" t="e">
        <f t="shared" si="28"/>
        <v>#VALUE!</v>
      </c>
      <c r="AR78" s="1319" t="str">
        <f t="shared" si="319"/>
        <v/>
      </c>
      <c r="AS78" s="1320">
        <f t="shared" si="320"/>
        <v>231036.94</v>
      </c>
      <c r="AT78" s="125"/>
      <c r="AU78" s="140" t="e">
        <f t="shared" si="32"/>
        <v>#VALUE!</v>
      </c>
      <c r="AV78" s="326" t="str">
        <f t="shared" si="321"/>
        <v/>
      </c>
      <c r="AW78" s="333">
        <f t="shared" si="322"/>
        <v>0</v>
      </c>
      <c r="AX78" s="125"/>
      <c r="AY78" s="140" t="e">
        <f t="shared" si="36"/>
        <v>#VALUE!</v>
      </c>
      <c r="AZ78" s="326" t="str">
        <f t="shared" si="323"/>
        <v/>
      </c>
      <c r="BA78" s="332">
        <f t="shared" si="324"/>
        <v>317279.09999999998</v>
      </c>
      <c r="BB78" s="122" t="e">
        <f t="shared" ref="BB78:BD78" si="371">SUM(AY78,AU78,AQ78)</f>
        <v>#VALUE!</v>
      </c>
      <c r="BC78" s="326">
        <f t="shared" si="371"/>
        <v>0</v>
      </c>
      <c r="BD78" s="333">
        <f t="shared" si="371"/>
        <v>548316.04</v>
      </c>
      <c r="BE78" s="123" t="e">
        <f t="shared" si="40"/>
        <v>#VALUE!</v>
      </c>
      <c r="BF78" s="326">
        <f t="shared" si="41"/>
        <v>0</v>
      </c>
      <c r="BG78" s="435">
        <f t="shared" si="42"/>
        <v>548316.04</v>
      </c>
      <c r="BH78" s="125"/>
      <c r="BI78" s="1041" t="e">
        <f t="shared" si="44"/>
        <v>#VALUE!</v>
      </c>
      <c r="BJ78" s="123" t="str">
        <f t="shared" si="326"/>
        <v/>
      </c>
      <c r="BK78" s="326">
        <f t="shared" si="327"/>
        <v>166591.46</v>
      </c>
      <c r="BL78" s="123"/>
      <c r="BM78" s="113" t="e">
        <f t="shared" si="48"/>
        <v>#VALUE!</v>
      </c>
      <c r="BN78" s="116" t="str">
        <f t="shared" si="328"/>
        <v/>
      </c>
      <c r="BO78" s="115">
        <f t="shared" si="336"/>
        <v>0</v>
      </c>
      <c r="BP78" s="326"/>
      <c r="BQ78" s="326" t="e">
        <f t="shared" si="51"/>
        <v>#VALUE!</v>
      </c>
      <c r="BR78" s="326" t="str">
        <f t="shared" si="329"/>
        <v/>
      </c>
      <c r="BS78" s="332">
        <f t="shared" si="330"/>
        <v>0</v>
      </c>
      <c r="BT78" s="586" t="e">
        <f t="shared" ref="BT78:BV78" si="372">SUM(BQ78,BM78,BI78)</f>
        <v>#VALUE!</v>
      </c>
      <c r="BU78" s="738">
        <f t="shared" si="372"/>
        <v>0</v>
      </c>
      <c r="BV78" s="737">
        <f t="shared" si="372"/>
        <v>166591.46</v>
      </c>
      <c r="BW78" s="125"/>
      <c r="BX78" s="140" t="e">
        <f t="shared" si="56"/>
        <v>#VALUE!</v>
      </c>
      <c r="BY78" s="123" t="str">
        <f t="shared" si="332"/>
        <v/>
      </c>
      <c r="BZ78" s="333">
        <f t="shared" si="333"/>
        <v>0</v>
      </c>
      <c r="CA78" s="123"/>
      <c r="CB78" s="326"/>
      <c r="CF78" s="294"/>
      <c r="CG78" s="294"/>
      <c r="CH78" s="294"/>
      <c r="CI78" s="294"/>
      <c r="CJ78" s="294"/>
      <c r="CK78" s="294"/>
      <c r="CL78" s="294"/>
      <c r="CM78" s="294"/>
      <c r="CN78" s="294"/>
    </row>
    <row r="79" spans="1:92" ht="13">
      <c r="A79" s="325">
        <f t="shared" si="297"/>
        <v>112014644</v>
      </c>
      <c r="B79" s="324">
        <f t="shared" si="298"/>
        <v>20</v>
      </c>
      <c r="C79" s="558">
        <f t="shared" si="299"/>
        <v>0.05</v>
      </c>
      <c r="D79" s="558">
        <f t="shared" si="300"/>
        <v>0.09</v>
      </c>
      <c r="E79" s="715">
        <f t="shared" si="301"/>
        <v>0</v>
      </c>
      <c r="F79" s="547">
        <f t="shared" si="302"/>
        <v>20</v>
      </c>
      <c r="G79" s="699">
        <f t="shared" si="303"/>
        <v>0.05</v>
      </c>
      <c r="H79" s="699">
        <f t="shared" si="304"/>
        <v>0.09</v>
      </c>
      <c r="I79" s="702">
        <f t="shared" si="305"/>
        <v>0</v>
      </c>
      <c r="J79" s="837">
        <f t="shared" si="306"/>
        <v>67</v>
      </c>
      <c r="K79" s="699">
        <f t="shared" si="356"/>
        <v>0.05</v>
      </c>
      <c r="L79" s="1040">
        <f t="shared" si="357"/>
        <v>0.05</v>
      </c>
      <c r="M79" s="423" t="s">
        <v>1472</v>
      </c>
      <c r="N79" s="326"/>
      <c r="O79" s="332"/>
      <c r="P79" s="113" t="e">
        <f t="shared" si="12"/>
        <v>#VALUE!</v>
      </c>
      <c r="Q79" s="116" t="str">
        <f t="shared" si="308"/>
        <v/>
      </c>
      <c r="R79" s="117" t="str">
        <f t="shared" si="309"/>
        <v>0</v>
      </c>
      <c r="S79" s="114"/>
      <c r="T79" s="116"/>
      <c r="U79" s="116" t="str">
        <f t="shared" si="310"/>
        <v/>
      </c>
      <c r="V79" s="116">
        <v>3000000</v>
      </c>
      <c r="W79" s="116" t="e">
        <f t="shared" si="16"/>
        <v>#VALUE!</v>
      </c>
      <c r="X79" s="116" t="str">
        <f t="shared" si="311"/>
        <v/>
      </c>
      <c r="Y79" s="116" t="str">
        <f t="shared" si="312"/>
        <v>0</v>
      </c>
      <c r="Z79" s="326"/>
      <c r="AA79" s="326"/>
      <c r="AB79" s="326" t="str">
        <f t="shared" si="313"/>
        <v/>
      </c>
      <c r="AC79" s="332">
        <v>1800000</v>
      </c>
      <c r="AD79" s="140" t="e">
        <f t="shared" si="20"/>
        <v>#VALUE!</v>
      </c>
      <c r="AE79" s="326" t="str">
        <f t="shared" si="314"/>
        <v/>
      </c>
      <c r="AF79" s="117" t="str">
        <f t="shared" si="315"/>
        <v>0</v>
      </c>
      <c r="AG79" s="123"/>
      <c r="AH79" s="326"/>
      <c r="AI79" s="1257">
        <f t="shared" si="23"/>
        <v>4800000</v>
      </c>
      <c r="AJ79" s="140" t="str">
        <f t="shared" si="316"/>
        <v>0</v>
      </c>
      <c r="AK79" s="123" t="e">
        <f t="shared" ref="AK79:AM79" si="373">AD79+W79+P79</f>
        <v>#VALUE!</v>
      </c>
      <c r="AL79" s="123" t="e">
        <f t="shared" si="373"/>
        <v>#VALUE!</v>
      </c>
      <c r="AM79" s="123">
        <f t="shared" si="373"/>
        <v>0</v>
      </c>
      <c r="AN79" s="123">
        <f t="shared" si="26"/>
        <v>0</v>
      </c>
      <c r="AO79" s="1317" t="str">
        <f t="shared" si="62"/>
        <v/>
      </c>
      <c r="AP79" s="434" t="str">
        <f t="shared" si="318"/>
        <v/>
      </c>
      <c r="AQ79" s="1318" t="e">
        <f t="shared" si="28"/>
        <v>#VALUE!</v>
      </c>
      <c r="AR79" s="1319" t="str">
        <f t="shared" si="319"/>
        <v/>
      </c>
      <c r="AS79" s="1320" t="str">
        <f t="shared" si="320"/>
        <v>0</v>
      </c>
      <c r="AT79" s="125" t="str">
        <f>IFERROR(VLOOKUP(M79,tmkpechhhh24,7,FALSE),"")</f>
        <v/>
      </c>
      <c r="AU79" s="140" t="e">
        <f t="shared" si="32"/>
        <v>#VALUE!</v>
      </c>
      <c r="AV79" s="326" t="str">
        <f t="shared" si="321"/>
        <v/>
      </c>
      <c r="AW79" s="333" t="str">
        <f t="shared" si="322"/>
        <v>0</v>
      </c>
      <c r="AX79" s="125" t="str">
        <f>IFERROR(VLOOKUP(M79,tmkpechhhh24,8,FALSE),"")</f>
        <v/>
      </c>
      <c r="AY79" s="140" t="e">
        <f t="shared" si="36"/>
        <v>#VALUE!</v>
      </c>
      <c r="AZ79" s="326" t="str">
        <f t="shared" si="323"/>
        <v/>
      </c>
      <c r="BA79" s="332" t="str">
        <f t="shared" si="324"/>
        <v>0</v>
      </c>
      <c r="BB79" s="122" t="e">
        <f t="shared" ref="BB79:BD79" si="374">SUM(AY79,AU79,AQ79)</f>
        <v>#VALUE!</v>
      </c>
      <c r="BC79" s="326">
        <f t="shared" si="374"/>
        <v>0</v>
      </c>
      <c r="BD79" s="333">
        <f t="shared" si="374"/>
        <v>0</v>
      </c>
      <c r="BE79" s="123" t="e">
        <f t="shared" si="40"/>
        <v>#VALUE!</v>
      </c>
      <c r="BF79" s="326">
        <f t="shared" si="41"/>
        <v>0</v>
      </c>
      <c r="BG79" s="435">
        <f t="shared" si="42"/>
        <v>0</v>
      </c>
      <c r="BH79" s="125" t="str">
        <f>IFERROR(VLOOKUP(M79,tmkpechhhh24,9,FALSE),"")</f>
        <v/>
      </c>
      <c r="BI79" s="1041" t="e">
        <f t="shared" si="44"/>
        <v>#VALUE!</v>
      </c>
      <c r="BJ79" s="123" t="str">
        <f t="shared" si="326"/>
        <v/>
      </c>
      <c r="BK79" s="326" t="str">
        <f t="shared" si="327"/>
        <v>0</v>
      </c>
      <c r="BL79" s="123" t="str">
        <f>IFERROR(VLOOKUP(M79,tmkpechhhh24,10,FALSE),"")</f>
        <v/>
      </c>
      <c r="BM79" s="113" t="e">
        <f t="shared" si="48"/>
        <v>#VALUE!</v>
      </c>
      <c r="BN79" s="116" t="str">
        <f t="shared" si="328"/>
        <v/>
      </c>
      <c r="BO79" s="115" t="str">
        <f t="shared" si="336"/>
        <v>0</v>
      </c>
      <c r="BP79" s="326" t="str">
        <f>IFERROR(VLOOKUP(M79,tmkpechhhh24,11,FALSE),"")</f>
        <v/>
      </c>
      <c r="BQ79" s="326" t="e">
        <f t="shared" si="51"/>
        <v>#VALUE!</v>
      </c>
      <c r="BR79" s="326" t="str">
        <f t="shared" si="329"/>
        <v/>
      </c>
      <c r="BS79" s="332" t="str">
        <f t="shared" si="330"/>
        <v/>
      </c>
      <c r="BT79" s="586" t="e">
        <f t="shared" ref="BT79:BV79" si="375">SUM(BQ79,BM79,BI79)</f>
        <v>#VALUE!</v>
      </c>
      <c r="BU79" s="738">
        <f t="shared" si="375"/>
        <v>0</v>
      </c>
      <c r="BV79" s="737">
        <f t="shared" si="375"/>
        <v>0</v>
      </c>
      <c r="BW79" s="125" t="str">
        <f>IFERROR(VLOOKUP(M79,tmkpechhhh24,12,FALSE),"")</f>
        <v/>
      </c>
      <c r="BX79" s="140" t="e">
        <f t="shared" si="56"/>
        <v>#VALUE!</v>
      </c>
      <c r="BY79" s="123" t="str">
        <f t="shared" si="332"/>
        <v/>
      </c>
      <c r="BZ79" s="333" t="str">
        <f t="shared" si="333"/>
        <v/>
      </c>
      <c r="CA79" s="123" t="str">
        <f>IFERROR(VLOOKUP(M79,tmkpechhhh24,13,FALSE),"")</f>
        <v/>
      </c>
      <c r="CB79" s="326" t="str">
        <f>IFERROR(VLOOKUP(M79,tmkpechhhh24,14,FALSE),"")</f>
        <v/>
      </c>
      <c r="CF79" s="294"/>
      <c r="CG79" s="294"/>
      <c r="CH79" s="294"/>
      <c r="CI79" s="294"/>
      <c r="CJ79" s="294"/>
      <c r="CK79" s="294"/>
      <c r="CL79" s="294"/>
      <c r="CM79" s="294"/>
      <c r="CN79" s="294"/>
    </row>
    <row r="80" spans="1:92" ht="13">
      <c r="A80" s="325">
        <f t="shared" si="297"/>
        <v>112011875</v>
      </c>
      <c r="B80" s="324">
        <f t="shared" si="298"/>
        <v>20</v>
      </c>
      <c r="C80" s="558">
        <f t="shared" si="299"/>
        <v>0.05</v>
      </c>
      <c r="D80" s="558">
        <f t="shared" si="300"/>
        <v>0.09</v>
      </c>
      <c r="E80" s="715">
        <f t="shared" si="301"/>
        <v>0</v>
      </c>
      <c r="F80" s="547">
        <f t="shared" si="302"/>
        <v>20</v>
      </c>
      <c r="G80" s="699">
        <f t="shared" si="303"/>
        <v>0.05</v>
      </c>
      <c r="H80" s="699">
        <f t="shared" si="304"/>
        <v>0.09</v>
      </c>
      <c r="I80" s="702">
        <f t="shared" si="305"/>
        <v>0</v>
      </c>
      <c r="J80" s="837">
        <f t="shared" si="306"/>
        <v>67</v>
      </c>
      <c r="K80" s="699">
        <f t="shared" si="356"/>
        <v>0.05</v>
      </c>
      <c r="L80" s="1040">
        <f t="shared" si="357"/>
        <v>0.05</v>
      </c>
      <c r="M80" s="423" t="s">
        <v>1158</v>
      </c>
      <c r="N80" s="326"/>
      <c r="O80" s="332"/>
      <c r="P80" s="113" t="e">
        <f t="shared" si="12"/>
        <v>#VALUE!</v>
      </c>
      <c r="Q80" s="116" t="str">
        <f t="shared" si="308"/>
        <v/>
      </c>
      <c r="R80" s="117" t="str">
        <f t="shared" si="309"/>
        <v>0</v>
      </c>
      <c r="S80" s="114"/>
      <c r="T80" s="116"/>
      <c r="U80" s="116" t="str">
        <f t="shared" si="310"/>
        <v/>
      </c>
      <c r="V80" s="116">
        <v>3000000</v>
      </c>
      <c r="W80" s="116" t="e">
        <f t="shared" si="16"/>
        <v>#VALUE!</v>
      </c>
      <c r="X80" s="116" t="str">
        <f t="shared" si="311"/>
        <v/>
      </c>
      <c r="Y80" s="116" t="str">
        <f t="shared" si="312"/>
        <v>0</v>
      </c>
      <c r="Z80" s="326"/>
      <c r="AA80" s="326"/>
      <c r="AB80" s="326" t="str">
        <f t="shared" si="313"/>
        <v/>
      </c>
      <c r="AC80" s="332">
        <v>1800000</v>
      </c>
      <c r="AD80" s="140" t="e">
        <f t="shared" si="20"/>
        <v>#VALUE!</v>
      </c>
      <c r="AE80" s="326" t="str">
        <f t="shared" si="314"/>
        <v/>
      </c>
      <c r="AF80" s="117" t="str">
        <f t="shared" si="315"/>
        <v>0</v>
      </c>
      <c r="AG80" s="123"/>
      <c r="AH80" s="326"/>
      <c r="AI80" s="1257">
        <f t="shared" si="23"/>
        <v>4800000</v>
      </c>
      <c r="AJ80" s="140" t="str">
        <f t="shared" si="316"/>
        <v>0</v>
      </c>
      <c r="AK80" s="123" t="e">
        <f t="shared" ref="AK80:AM80" si="376">AD80+W80+P80</f>
        <v>#VALUE!</v>
      </c>
      <c r="AL80" s="123" t="e">
        <f t="shared" si="376"/>
        <v>#VALUE!</v>
      </c>
      <c r="AM80" s="123">
        <f t="shared" si="376"/>
        <v>0</v>
      </c>
      <c r="AN80" s="123">
        <f t="shared" si="26"/>
        <v>0</v>
      </c>
      <c r="AO80" s="1317" t="str">
        <f t="shared" si="62"/>
        <v/>
      </c>
      <c r="AP80" s="434" t="str">
        <f t="shared" si="318"/>
        <v/>
      </c>
      <c r="AQ80" s="1318" t="e">
        <f t="shared" si="28"/>
        <v>#VALUE!</v>
      </c>
      <c r="AR80" s="1319" t="str">
        <f t="shared" si="319"/>
        <v/>
      </c>
      <c r="AS80" s="1320" t="str">
        <f t="shared" si="320"/>
        <v>0</v>
      </c>
      <c r="AT80" s="125"/>
      <c r="AU80" s="140" t="e">
        <f t="shared" si="32"/>
        <v>#VALUE!</v>
      </c>
      <c r="AV80" s="326" t="str">
        <f t="shared" si="321"/>
        <v/>
      </c>
      <c r="AW80" s="333" t="str">
        <f t="shared" si="322"/>
        <v>0</v>
      </c>
      <c r="AX80" s="125"/>
      <c r="AY80" s="140" t="e">
        <f t="shared" si="36"/>
        <v>#VALUE!</v>
      </c>
      <c r="AZ80" s="326" t="str">
        <f t="shared" si="323"/>
        <v/>
      </c>
      <c r="BA80" s="332" t="str">
        <f t="shared" si="324"/>
        <v>0</v>
      </c>
      <c r="BB80" s="122" t="e">
        <f t="shared" ref="BB80:BD80" si="377">SUM(AY80,AU80,AQ80)</f>
        <v>#VALUE!</v>
      </c>
      <c r="BC80" s="326">
        <f t="shared" si="377"/>
        <v>0</v>
      </c>
      <c r="BD80" s="333">
        <f t="shared" si="377"/>
        <v>0</v>
      </c>
      <c r="BE80" s="123" t="e">
        <f t="shared" si="40"/>
        <v>#VALUE!</v>
      </c>
      <c r="BF80" s="326">
        <f t="shared" si="41"/>
        <v>0</v>
      </c>
      <c r="BG80" s="435">
        <f t="shared" si="42"/>
        <v>0</v>
      </c>
      <c r="BH80" s="125"/>
      <c r="BI80" s="1041" t="e">
        <f t="shared" si="44"/>
        <v>#VALUE!</v>
      </c>
      <c r="BJ80" s="123" t="str">
        <f t="shared" si="326"/>
        <v/>
      </c>
      <c r="BK80" s="326" t="str">
        <f t="shared" si="327"/>
        <v>0</v>
      </c>
      <c r="BL80" s="123"/>
      <c r="BM80" s="113" t="e">
        <f t="shared" si="48"/>
        <v>#VALUE!</v>
      </c>
      <c r="BN80" s="116" t="str">
        <f t="shared" si="328"/>
        <v/>
      </c>
      <c r="BO80" s="115" t="str">
        <f t="shared" si="336"/>
        <v>0</v>
      </c>
      <c r="BP80" s="326"/>
      <c r="BQ80" s="326" t="e">
        <f t="shared" si="51"/>
        <v>#VALUE!</v>
      </c>
      <c r="BR80" s="326" t="str">
        <f t="shared" si="329"/>
        <v/>
      </c>
      <c r="BS80" s="332" t="str">
        <f t="shared" si="330"/>
        <v/>
      </c>
      <c r="BT80" s="586" t="e">
        <f t="shared" ref="BT80:BV80" si="378">SUM(BQ80,BM80,BI80)</f>
        <v>#VALUE!</v>
      </c>
      <c r="BU80" s="738">
        <f t="shared" si="378"/>
        <v>0</v>
      </c>
      <c r="BV80" s="737">
        <f t="shared" si="378"/>
        <v>0</v>
      </c>
      <c r="BW80" s="125"/>
      <c r="BX80" s="140" t="e">
        <f t="shared" si="56"/>
        <v>#VALUE!</v>
      </c>
      <c r="BY80" s="123" t="str">
        <f t="shared" si="332"/>
        <v/>
      </c>
      <c r="BZ80" s="333" t="str">
        <f t="shared" si="333"/>
        <v/>
      </c>
      <c r="CA80" s="123"/>
      <c r="CB80" s="326"/>
      <c r="CF80" s="294"/>
      <c r="CG80" s="294"/>
      <c r="CH80" s="294"/>
      <c r="CI80" s="294"/>
      <c r="CJ80" s="294"/>
      <c r="CK80" s="294"/>
      <c r="CL80" s="294"/>
      <c r="CM80" s="294"/>
      <c r="CN80" s="294"/>
    </row>
    <row r="81" spans="1:92" ht="13">
      <c r="A81" s="325">
        <f t="shared" si="297"/>
        <v>112013891</v>
      </c>
      <c r="B81" s="324">
        <f t="shared" si="298"/>
        <v>22</v>
      </c>
      <c r="C81" s="558">
        <f t="shared" si="299"/>
        <v>0.1</v>
      </c>
      <c r="D81" s="558">
        <f t="shared" si="300"/>
        <v>0.09</v>
      </c>
      <c r="E81" s="715">
        <f t="shared" si="301"/>
        <v>0</v>
      </c>
      <c r="F81" s="547">
        <f t="shared" si="302"/>
        <v>1</v>
      </c>
      <c r="G81" s="699" t="str">
        <f t="shared" si="303"/>
        <v>Lista</v>
      </c>
      <c r="H81" s="699">
        <f t="shared" si="304"/>
        <v>0.09</v>
      </c>
      <c r="I81" s="702">
        <f t="shared" si="305"/>
        <v>0</v>
      </c>
      <c r="J81" s="837">
        <f t="shared" si="306"/>
        <v>71</v>
      </c>
      <c r="K81" s="699" t="str">
        <f t="shared" si="356"/>
        <v>Lista</v>
      </c>
      <c r="L81" s="1040">
        <f t="shared" si="357"/>
        <v>0.05</v>
      </c>
      <c r="M81" s="423" t="s">
        <v>1473</v>
      </c>
      <c r="N81" s="326"/>
      <c r="O81" s="332"/>
      <c r="P81" s="113" t="e">
        <f t="shared" si="12"/>
        <v>#VALUE!</v>
      </c>
      <c r="Q81" s="116" t="str">
        <f t="shared" si="308"/>
        <v/>
      </c>
      <c r="R81" s="117" t="str">
        <f t="shared" si="309"/>
        <v>0</v>
      </c>
      <c r="S81" s="114"/>
      <c r="T81" s="116"/>
      <c r="U81" s="116">
        <f t="shared" si="310"/>
        <v>206478</v>
      </c>
      <c r="V81" s="116">
        <v>3000000</v>
      </c>
      <c r="W81" s="116" t="e">
        <f t="shared" si="16"/>
        <v>#VALUE!</v>
      </c>
      <c r="X81" s="116" t="str">
        <f t="shared" si="311"/>
        <v/>
      </c>
      <c r="Y81" s="116" t="str">
        <f t="shared" si="312"/>
        <v>0</v>
      </c>
      <c r="Z81" s="326"/>
      <c r="AA81" s="326"/>
      <c r="AB81" s="326">
        <f t="shared" si="313"/>
        <v>334075.28999999998</v>
      </c>
      <c r="AC81" s="332">
        <v>1800000</v>
      </c>
      <c r="AD81" s="140" t="e">
        <f t="shared" si="20"/>
        <v>#VALUE!</v>
      </c>
      <c r="AE81" s="326" t="str">
        <f t="shared" si="314"/>
        <v/>
      </c>
      <c r="AF81" s="117" t="str">
        <f t="shared" si="315"/>
        <v>0</v>
      </c>
      <c r="AG81" s="123"/>
      <c r="AH81" s="326"/>
      <c r="AI81" s="1257">
        <f t="shared" si="23"/>
        <v>4800000</v>
      </c>
      <c r="AJ81" s="140">
        <f t="shared" si="316"/>
        <v>615630.43000000005</v>
      </c>
      <c r="AK81" s="123" t="e">
        <f t="shared" ref="AK81:AM81" si="379">AD81+W81+P81</f>
        <v>#VALUE!</v>
      </c>
      <c r="AL81" s="123" t="e">
        <f t="shared" si="379"/>
        <v>#VALUE!</v>
      </c>
      <c r="AM81" s="123">
        <f t="shared" si="379"/>
        <v>0</v>
      </c>
      <c r="AN81" s="123">
        <f t="shared" si="26"/>
        <v>-615630.43000000005</v>
      </c>
      <c r="AO81" s="1317">
        <f t="shared" si="62"/>
        <v>-1</v>
      </c>
      <c r="AP81" s="434">
        <f t="shared" si="318"/>
        <v>198961.75</v>
      </c>
      <c r="AQ81" s="1318" t="e">
        <f t="shared" si="28"/>
        <v>#VALUE!</v>
      </c>
      <c r="AR81" s="1319" t="str">
        <f t="shared" si="319"/>
        <v/>
      </c>
      <c r="AS81" s="1320" t="str">
        <f t="shared" si="320"/>
        <v>0</v>
      </c>
      <c r="AT81" s="125">
        <f t="shared" ref="AT81:AT97" si="380">IFERROR(VLOOKUP(M81,tmkpechhhh24,7,FALSE),"")</f>
        <v>421966.48</v>
      </c>
      <c r="AU81" s="140" t="e">
        <f t="shared" si="32"/>
        <v>#VALUE!</v>
      </c>
      <c r="AV81" s="326" t="str">
        <f t="shared" si="321"/>
        <v/>
      </c>
      <c r="AW81" s="333" t="str">
        <f t="shared" si="322"/>
        <v>0</v>
      </c>
      <c r="AX81" s="125">
        <f t="shared" ref="AX81:AX97" si="381">IFERROR(VLOOKUP(M81,tmkpechhhh24,8,FALSE),"")</f>
        <v>441347.6</v>
      </c>
      <c r="AY81" s="140" t="e">
        <f t="shared" si="36"/>
        <v>#VALUE!</v>
      </c>
      <c r="AZ81" s="326" t="str">
        <f t="shared" si="323"/>
        <v/>
      </c>
      <c r="BA81" s="332" t="str">
        <f t="shared" si="324"/>
        <v>0</v>
      </c>
      <c r="BB81" s="122" t="e">
        <f t="shared" ref="BB81:BD81" si="382">SUM(AY81,AU81,AQ81)</f>
        <v>#VALUE!</v>
      </c>
      <c r="BC81" s="326">
        <f t="shared" si="382"/>
        <v>0</v>
      </c>
      <c r="BD81" s="333">
        <f t="shared" si="382"/>
        <v>0</v>
      </c>
      <c r="BE81" s="123" t="e">
        <f t="shared" si="40"/>
        <v>#VALUE!</v>
      </c>
      <c r="BF81" s="326">
        <f t="shared" si="41"/>
        <v>0</v>
      </c>
      <c r="BG81" s="435">
        <f t="shared" si="42"/>
        <v>0</v>
      </c>
      <c r="BH81" s="125">
        <f t="shared" ref="BH81:BH97" si="383">IFERROR(VLOOKUP(M81,tmkpechhhh24,9,FALSE),"")</f>
        <v>550919.18000000005</v>
      </c>
      <c r="BI81" s="1041" t="e">
        <f t="shared" si="44"/>
        <v>#VALUE!</v>
      </c>
      <c r="BJ81" s="123" t="str">
        <f t="shared" si="326"/>
        <v/>
      </c>
      <c r="BK81" s="326" t="str">
        <f t="shared" si="327"/>
        <v>0</v>
      </c>
      <c r="BL81" s="123">
        <f t="shared" ref="BL81:BL97" si="384">IFERROR(VLOOKUP(M81,tmkpechhhh24,10,FALSE),"")</f>
        <v>0</v>
      </c>
      <c r="BM81" s="113" t="e">
        <f t="shared" si="48"/>
        <v>#VALUE!</v>
      </c>
      <c r="BN81" s="116" t="str">
        <f t="shared" si="328"/>
        <v/>
      </c>
      <c r="BO81" s="115" t="str">
        <f t="shared" si="336"/>
        <v>0</v>
      </c>
      <c r="BP81" s="326">
        <f t="shared" ref="BP81:BP97" si="385">IFERROR(VLOOKUP(M81,tmkpechhhh24,11,FALSE),"")</f>
        <v>284592.17</v>
      </c>
      <c r="BQ81" s="326" t="e">
        <f t="shared" si="51"/>
        <v>#VALUE!</v>
      </c>
      <c r="BR81" s="326" t="str">
        <f t="shared" si="329"/>
        <v/>
      </c>
      <c r="BS81" s="332" t="str">
        <f t="shared" si="330"/>
        <v/>
      </c>
      <c r="BT81" s="140" t="e">
        <f t="shared" ref="BT81:BV81" si="386">SUM(BQ81,BM81,BI81)</f>
        <v>#VALUE!</v>
      </c>
      <c r="BU81" s="326">
        <f t="shared" si="386"/>
        <v>0</v>
      </c>
      <c r="BV81" s="333">
        <f t="shared" si="386"/>
        <v>0</v>
      </c>
      <c r="BW81" s="125">
        <f t="shared" ref="BW81:BW97" si="387">IFERROR(VLOOKUP(M81,tmkpechhhh24,12,FALSE),"")</f>
        <v>373132.01</v>
      </c>
      <c r="BX81" s="140" t="e">
        <f t="shared" si="56"/>
        <v>#VALUE!</v>
      </c>
      <c r="BY81" s="123" t="str">
        <f t="shared" si="332"/>
        <v/>
      </c>
      <c r="BZ81" s="333" t="str">
        <f t="shared" si="333"/>
        <v/>
      </c>
      <c r="CA81" s="123">
        <f t="shared" ref="CA81:CA97" si="388">IFERROR(VLOOKUP(M81,tmkpechhhh24,13,FALSE),"")</f>
        <v>242498.42</v>
      </c>
      <c r="CB81" s="326">
        <f t="shared" ref="CB81:CB97" si="389">IFERROR(VLOOKUP(M81,tmkpechhhh24,14,FALSE),"")</f>
        <v>0</v>
      </c>
      <c r="CF81" s="294"/>
      <c r="CG81" s="294"/>
      <c r="CH81" s="294"/>
      <c r="CI81" s="294"/>
      <c r="CJ81" s="294"/>
      <c r="CK81" s="294"/>
      <c r="CL81" s="294"/>
      <c r="CM81" s="294"/>
      <c r="CN81" s="294"/>
    </row>
    <row r="82" spans="1:92" ht="13">
      <c r="A82" s="325">
        <f t="shared" si="297"/>
        <v>112014006</v>
      </c>
      <c r="B82" s="324">
        <f t="shared" si="298"/>
        <v>4</v>
      </c>
      <c r="C82" s="558" t="str">
        <f t="shared" si="299"/>
        <v>Lista</v>
      </c>
      <c r="D82" s="558">
        <f t="shared" si="300"/>
        <v>0.2</v>
      </c>
      <c r="E82" s="715">
        <f t="shared" si="301"/>
        <v>0</v>
      </c>
      <c r="F82" s="547">
        <f t="shared" si="302"/>
        <v>4</v>
      </c>
      <c r="G82" s="699" t="str">
        <f t="shared" si="303"/>
        <v>Lista</v>
      </c>
      <c r="H82" s="699">
        <f t="shared" si="304"/>
        <v>0.2</v>
      </c>
      <c r="I82" s="702">
        <f t="shared" si="305"/>
        <v>0</v>
      </c>
      <c r="J82" s="837">
        <f t="shared" si="306"/>
        <v>70</v>
      </c>
      <c r="K82" s="699" t="str">
        <f t="shared" si="356"/>
        <v>Lista</v>
      </c>
      <c r="L82" s="1040">
        <f t="shared" si="357"/>
        <v>0.11</v>
      </c>
      <c r="M82" s="423" t="s">
        <v>1474</v>
      </c>
      <c r="N82" s="326"/>
      <c r="O82" s="332"/>
      <c r="P82" s="113" t="e">
        <f t="shared" si="12"/>
        <v>#VALUE!</v>
      </c>
      <c r="Q82" s="116" t="str">
        <f t="shared" si="308"/>
        <v/>
      </c>
      <c r="R82" s="117" t="str">
        <f t="shared" si="309"/>
        <v>0</v>
      </c>
      <c r="S82" s="114"/>
      <c r="T82" s="116"/>
      <c r="U82" s="116">
        <f t="shared" si="310"/>
        <v>0</v>
      </c>
      <c r="V82" s="116">
        <v>3000000</v>
      </c>
      <c r="W82" s="116" t="e">
        <f t="shared" si="16"/>
        <v>#VALUE!</v>
      </c>
      <c r="X82" s="116" t="str">
        <f t="shared" si="311"/>
        <v/>
      </c>
      <c r="Y82" s="116" t="str">
        <f t="shared" si="312"/>
        <v>0</v>
      </c>
      <c r="Z82" s="326"/>
      <c r="AA82" s="326"/>
      <c r="AB82" s="326">
        <f t="shared" si="313"/>
        <v>0</v>
      </c>
      <c r="AC82" s="332">
        <v>1800000</v>
      </c>
      <c r="AD82" s="140" t="e">
        <f t="shared" si="20"/>
        <v>#VALUE!</v>
      </c>
      <c r="AE82" s="326" t="str">
        <f t="shared" si="314"/>
        <v/>
      </c>
      <c r="AF82" s="117" t="str">
        <f t="shared" si="315"/>
        <v>0</v>
      </c>
      <c r="AG82" s="123"/>
      <c r="AH82" s="326"/>
      <c r="AI82" s="1257">
        <f t="shared" si="23"/>
        <v>4800000</v>
      </c>
      <c r="AJ82" s="140" t="str">
        <f t="shared" si="316"/>
        <v>0</v>
      </c>
      <c r="AK82" s="123" t="e">
        <f t="shared" ref="AK82:AM82" si="390">AD82+W82+P82</f>
        <v>#VALUE!</v>
      </c>
      <c r="AL82" s="123" t="e">
        <f t="shared" si="390"/>
        <v>#VALUE!</v>
      </c>
      <c r="AM82" s="123">
        <f t="shared" si="390"/>
        <v>0</v>
      </c>
      <c r="AN82" s="123">
        <f t="shared" si="26"/>
        <v>0</v>
      </c>
      <c r="AO82" s="1317" t="str">
        <f t="shared" si="62"/>
        <v/>
      </c>
      <c r="AP82" s="434">
        <f t="shared" si="318"/>
        <v>0</v>
      </c>
      <c r="AQ82" s="1318" t="e">
        <f t="shared" si="28"/>
        <v>#VALUE!</v>
      </c>
      <c r="AR82" s="1319" t="str">
        <f t="shared" si="319"/>
        <v/>
      </c>
      <c r="AS82" s="1320" t="str">
        <f t="shared" si="320"/>
        <v>0</v>
      </c>
      <c r="AT82" s="125">
        <f t="shared" si="380"/>
        <v>0</v>
      </c>
      <c r="AU82" s="140" t="e">
        <f t="shared" si="32"/>
        <v>#VALUE!</v>
      </c>
      <c r="AV82" s="326" t="str">
        <f t="shared" si="321"/>
        <v/>
      </c>
      <c r="AW82" s="333" t="str">
        <f t="shared" si="322"/>
        <v>0</v>
      </c>
      <c r="AX82" s="125">
        <f t="shared" si="381"/>
        <v>0</v>
      </c>
      <c r="AY82" s="140" t="e">
        <f t="shared" si="36"/>
        <v>#VALUE!</v>
      </c>
      <c r="AZ82" s="326" t="str">
        <f t="shared" si="323"/>
        <v/>
      </c>
      <c r="BA82" s="332" t="str">
        <f t="shared" si="324"/>
        <v>0</v>
      </c>
      <c r="BB82" s="122" t="e">
        <f t="shared" ref="BB82:BD82" si="391">SUM(AY82,AU82,AQ82)</f>
        <v>#VALUE!</v>
      </c>
      <c r="BC82" s="326">
        <f t="shared" si="391"/>
        <v>0</v>
      </c>
      <c r="BD82" s="333">
        <f t="shared" si="391"/>
        <v>0</v>
      </c>
      <c r="BE82" s="123" t="e">
        <f t="shared" si="40"/>
        <v>#VALUE!</v>
      </c>
      <c r="BF82" s="326">
        <f t="shared" si="41"/>
        <v>0</v>
      </c>
      <c r="BG82" s="435">
        <f t="shared" si="42"/>
        <v>0</v>
      </c>
      <c r="BH82" s="125">
        <f t="shared" si="383"/>
        <v>0</v>
      </c>
      <c r="BI82" s="1041" t="e">
        <f t="shared" si="44"/>
        <v>#VALUE!</v>
      </c>
      <c r="BJ82" s="123" t="str">
        <f t="shared" si="326"/>
        <v/>
      </c>
      <c r="BK82" s="326" t="str">
        <f t="shared" si="327"/>
        <v>0</v>
      </c>
      <c r="BL82" s="123">
        <f t="shared" si="384"/>
        <v>0</v>
      </c>
      <c r="BM82" s="113" t="e">
        <f t="shared" si="48"/>
        <v>#VALUE!</v>
      </c>
      <c r="BN82" s="116" t="str">
        <f t="shared" si="328"/>
        <v/>
      </c>
      <c r="BO82" s="115" t="str">
        <f t="shared" si="336"/>
        <v>0</v>
      </c>
      <c r="BP82" s="326">
        <f t="shared" si="385"/>
        <v>0</v>
      </c>
      <c r="BQ82" s="326" t="e">
        <f t="shared" si="51"/>
        <v>#VALUE!</v>
      </c>
      <c r="BR82" s="326" t="str">
        <f t="shared" si="329"/>
        <v/>
      </c>
      <c r="BS82" s="332" t="str">
        <f t="shared" si="330"/>
        <v/>
      </c>
      <c r="BT82" s="140" t="e">
        <f t="shared" ref="BT82:BV82" si="392">SUM(BQ82,BM82,BI82)</f>
        <v>#VALUE!</v>
      </c>
      <c r="BU82" s="326">
        <f t="shared" si="392"/>
        <v>0</v>
      </c>
      <c r="BV82" s="333">
        <f t="shared" si="392"/>
        <v>0</v>
      </c>
      <c r="BW82" s="125">
        <f t="shared" si="387"/>
        <v>0</v>
      </c>
      <c r="BX82" s="140" t="e">
        <f t="shared" si="56"/>
        <v>#VALUE!</v>
      </c>
      <c r="BY82" s="123" t="str">
        <f t="shared" si="332"/>
        <v/>
      </c>
      <c r="BZ82" s="333" t="str">
        <f t="shared" si="333"/>
        <v/>
      </c>
      <c r="CA82" s="123">
        <f t="shared" si="388"/>
        <v>0</v>
      </c>
      <c r="CB82" s="326">
        <f t="shared" si="389"/>
        <v>0</v>
      </c>
      <c r="CF82" s="294"/>
      <c r="CG82" s="294"/>
      <c r="CH82" s="294"/>
      <c r="CI82" s="294"/>
      <c r="CJ82" s="294"/>
      <c r="CK82" s="294"/>
      <c r="CL82" s="294"/>
      <c r="CM82" s="294"/>
      <c r="CN82" s="294"/>
    </row>
    <row r="83" spans="1:92" ht="13">
      <c r="A83" s="325">
        <f t="shared" si="297"/>
        <v>112013917</v>
      </c>
      <c r="B83" s="324">
        <f t="shared" si="298"/>
        <v>1</v>
      </c>
      <c r="C83" s="558" t="str">
        <f t="shared" si="299"/>
        <v>Lista</v>
      </c>
      <c r="D83" s="558">
        <f t="shared" si="300"/>
        <v>0.09</v>
      </c>
      <c r="E83" s="715">
        <f t="shared" si="301"/>
        <v>0</v>
      </c>
      <c r="F83" s="547">
        <f t="shared" si="302"/>
        <v>1</v>
      </c>
      <c r="G83" s="699" t="str">
        <f t="shared" si="303"/>
        <v>Lista</v>
      </c>
      <c r="H83" s="699">
        <f t="shared" si="304"/>
        <v>0.09</v>
      </c>
      <c r="I83" s="702">
        <f t="shared" si="305"/>
        <v>0</v>
      </c>
      <c r="J83" s="837">
        <f t="shared" si="306"/>
        <v>71</v>
      </c>
      <c r="K83" s="699" t="str">
        <f t="shared" si="356"/>
        <v>Lista</v>
      </c>
      <c r="L83" s="1040">
        <f t="shared" si="357"/>
        <v>0.05</v>
      </c>
      <c r="M83" s="423" t="s">
        <v>1475</v>
      </c>
      <c r="N83" s="326"/>
      <c r="O83" s="332"/>
      <c r="P83" s="113" t="e">
        <f t="shared" si="12"/>
        <v>#VALUE!</v>
      </c>
      <c r="Q83" s="116" t="str">
        <f t="shared" si="308"/>
        <v/>
      </c>
      <c r="R83" s="117" t="str">
        <f t="shared" si="309"/>
        <v>0</v>
      </c>
      <c r="S83" s="114"/>
      <c r="T83" s="116"/>
      <c r="U83" s="116" t="str">
        <f t="shared" si="310"/>
        <v/>
      </c>
      <c r="V83" s="116">
        <v>3000000</v>
      </c>
      <c r="W83" s="116" t="e">
        <f t="shared" si="16"/>
        <v>#VALUE!</v>
      </c>
      <c r="X83" s="116" t="str">
        <f t="shared" si="311"/>
        <v/>
      </c>
      <c r="Y83" s="116" t="str">
        <f t="shared" si="312"/>
        <v>0</v>
      </c>
      <c r="Z83" s="326"/>
      <c r="AA83" s="326"/>
      <c r="AB83" s="326" t="str">
        <f t="shared" si="313"/>
        <v/>
      </c>
      <c r="AC83" s="332">
        <v>1800000</v>
      </c>
      <c r="AD83" s="140" t="e">
        <f t="shared" si="20"/>
        <v>#VALUE!</v>
      </c>
      <c r="AE83" s="326" t="str">
        <f t="shared" si="314"/>
        <v/>
      </c>
      <c r="AF83" s="117" t="str">
        <f t="shared" si="315"/>
        <v>0</v>
      </c>
      <c r="AG83" s="123"/>
      <c r="AH83" s="326"/>
      <c r="AI83" s="1257">
        <f t="shared" si="23"/>
        <v>4800000</v>
      </c>
      <c r="AJ83" s="140" t="str">
        <f t="shared" si="316"/>
        <v>0</v>
      </c>
      <c r="AK83" s="123" t="e">
        <f t="shared" ref="AK83:AM83" si="393">AD83+W83+P83</f>
        <v>#VALUE!</v>
      </c>
      <c r="AL83" s="123" t="e">
        <f t="shared" si="393"/>
        <v>#VALUE!</v>
      </c>
      <c r="AM83" s="123">
        <f t="shared" si="393"/>
        <v>0</v>
      </c>
      <c r="AN83" s="123">
        <f t="shared" si="26"/>
        <v>0</v>
      </c>
      <c r="AO83" s="1317" t="str">
        <f t="shared" si="62"/>
        <v/>
      </c>
      <c r="AP83" s="434" t="str">
        <f t="shared" si="318"/>
        <v/>
      </c>
      <c r="AQ83" s="1318" t="e">
        <f t="shared" si="28"/>
        <v>#VALUE!</v>
      </c>
      <c r="AR83" s="1319" t="str">
        <f t="shared" si="319"/>
        <v/>
      </c>
      <c r="AS83" s="1320" t="str">
        <f t="shared" si="320"/>
        <v>0</v>
      </c>
      <c r="AT83" s="125" t="str">
        <f t="shared" si="380"/>
        <v/>
      </c>
      <c r="AU83" s="140" t="e">
        <f t="shared" si="32"/>
        <v>#VALUE!</v>
      </c>
      <c r="AV83" s="326" t="str">
        <f t="shared" si="321"/>
        <v/>
      </c>
      <c r="AW83" s="333" t="str">
        <f t="shared" si="322"/>
        <v>0</v>
      </c>
      <c r="AX83" s="125" t="str">
        <f t="shared" si="381"/>
        <v/>
      </c>
      <c r="AY83" s="140" t="e">
        <f t="shared" si="36"/>
        <v>#VALUE!</v>
      </c>
      <c r="AZ83" s="326" t="str">
        <f t="shared" si="323"/>
        <v/>
      </c>
      <c r="BA83" s="332" t="str">
        <f t="shared" si="324"/>
        <v>0</v>
      </c>
      <c r="BB83" s="122" t="e">
        <f t="shared" ref="BB83:BD83" si="394">SUM(AY83,AU83,AQ83)</f>
        <v>#VALUE!</v>
      </c>
      <c r="BC83" s="326">
        <f t="shared" si="394"/>
        <v>0</v>
      </c>
      <c r="BD83" s="333">
        <f t="shared" si="394"/>
        <v>0</v>
      </c>
      <c r="BE83" s="123" t="e">
        <f t="shared" si="40"/>
        <v>#VALUE!</v>
      </c>
      <c r="BF83" s="326">
        <f t="shared" si="41"/>
        <v>0</v>
      </c>
      <c r="BG83" s="435">
        <f t="shared" si="42"/>
        <v>0</v>
      </c>
      <c r="BH83" s="125" t="str">
        <f t="shared" si="383"/>
        <v/>
      </c>
      <c r="BI83" s="1041" t="e">
        <f t="shared" si="44"/>
        <v>#VALUE!</v>
      </c>
      <c r="BJ83" s="123" t="str">
        <f t="shared" si="326"/>
        <v/>
      </c>
      <c r="BK83" s="326" t="str">
        <f t="shared" si="327"/>
        <v>0</v>
      </c>
      <c r="BL83" s="123" t="str">
        <f t="shared" si="384"/>
        <v/>
      </c>
      <c r="BM83" s="113" t="e">
        <f t="shared" si="48"/>
        <v>#VALUE!</v>
      </c>
      <c r="BN83" s="116" t="str">
        <f t="shared" si="328"/>
        <v/>
      </c>
      <c r="BO83" s="115" t="str">
        <f t="shared" si="336"/>
        <v>0</v>
      </c>
      <c r="BP83" s="326" t="str">
        <f t="shared" si="385"/>
        <v/>
      </c>
      <c r="BQ83" s="326" t="e">
        <f t="shared" si="51"/>
        <v>#VALUE!</v>
      </c>
      <c r="BR83" s="326" t="str">
        <f t="shared" si="329"/>
        <v/>
      </c>
      <c r="BS83" s="332" t="str">
        <f t="shared" si="330"/>
        <v/>
      </c>
      <c r="BT83" s="140" t="e">
        <f t="shared" ref="BT83:BV83" si="395">SUM(BQ83,BM83,BI83)</f>
        <v>#VALUE!</v>
      </c>
      <c r="BU83" s="326">
        <f t="shared" si="395"/>
        <v>0</v>
      </c>
      <c r="BV83" s="333">
        <f t="shared" si="395"/>
        <v>0</v>
      </c>
      <c r="BW83" s="125" t="str">
        <f t="shared" si="387"/>
        <v/>
      </c>
      <c r="BX83" s="140" t="e">
        <f t="shared" si="56"/>
        <v>#VALUE!</v>
      </c>
      <c r="BY83" s="123" t="str">
        <f t="shared" si="332"/>
        <v/>
      </c>
      <c r="BZ83" s="333" t="str">
        <f t="shared" si="333"/>
        <v/>
      </c>
      <c r="CA83" s="123" t="str">
        <f t="shared" si="388"/>
        <v/>
      </c>
      <c r="CB83" s="326" t="str">
        <f t="shared" si="389"/>
        <v/>
      </c>
      <c r="CF83" s="294"/>
      <c r="CG83" s="294"/>
      <c r="CH83" s="294"/>
      <c r="CI83" s="294"/>
      <c r="CJ83" s="294"/>
      <c r="CK83" s="294"/>
      <c r="CL83" s="294"/>
      <c r="CM83" s="294"/>
      <c r="CN83" s="294"/>
    </row>
    <row r="84" spans="1:92" ht="13">
      <c r="A84" s="325">
        <f t="shared" si="297"/>
        <v>112013920</v>
      </c>
      <c r="B84" s="324" t="e">
        <f t="shared" si="298"/>
        <v>#N/A</v>
      </c>
      <c r="C84" s="558" t="str">
        <f t="shared" si="299"/>
        <v/>
      </c>
      <c r="D84" s="558" t="str">
        <f t="shared" si="300"/>
        <v/>
      </c>
      <c r="E84" s="715" t="str">
        <f t="shared" si="301"/>
        <v/>
      </c>
      <c r="F84" s="547">
        <f t="shared" si="302"/>
        <v>1</v>
      </c>
      <c r="G84" s="699" t="str">
        <f t="shared" si="303"/>
        <v>Lista</v>
      </c>
      <c r="H84" s="699">
        <f t="shared" si="304"/>
        <v>0.09</v>
      </c>
      <c r="I84" s="702">
        <f t="shared" si="305"/>
        <v>0</v>
      </c>
      <c r="J84" s="837">
        <f t="shared" si="306"/>
        <v>71</v>
      </c>
      <c r="K84" s="699" t="str">
        <f t="shared" si="356"/>
        <v>Lista</v>
      </c>
      <c r="L84" s="1040">
        <f t="shared" si="357"/>
        <v>0.05</v>
      </c>
      <c r="M84" s="423" t="s">
        <v>1476</v>
      </c>
      <c r="N84" s="326"/>
      <c r="O84" s="332"/>
      <c r="P84" s="113" t="e">
        <f t="shared" si="12"/>
        <v>#VALUE!</v>
      </c>
      <c r="Q84" s="116" t="str">
        <f t="shared" si="308"/>
        <v/>
      </c>
      <c r="R84" s="117">
        <f t="shared" si="309"/>
        <v>0</v>
      </c>
      <c r="S84" s="114"/>
      <c r="T84" s="116"/>
      <c r="U84" s="116">
        <f t="shared" si="310"/>
        <v>0</v>
      </c>
      <c r="V84" s="116">
        <v>3000000</v>
      </c>
      <c r="W84" s="116" t="e">
        <f t="shared" si="16"/>
        <v>#VALUE!</v>
      </c>
      <c r="X84" s="116" t="str">
        <f t="shared" si="311"/>
        <v/>
      </c>
      <c r="Y84" s="116">
        <f t="shared" si="312"/>
        <v>0</v>
      </c>
      <c r="Z84" s="326"/>
      <c r="AA84" s="326"/>
      <c r="AB84" s="326">
        <f t="shared" si="313"/>
        <v>0</v>
      </c>
      <c r="AC84" s="332">
        <v>1800000</v>
      </c>
      <c r="AD84" s="140" t="e">
        <f t="shared" si="20"/>
        <v>#VALUE!</v>
      </c>
      <c r="AE84" s="326" t="str">
        <f t="shared" si="314"/>
        <v/>
      </c>
      <c r="AF84" s="117">
        <f t="shared" si="315"/>
        <v>0</v>
      </c>
      <c r="AG84" s="123"/>
      <c r="AH84" s="326"/>
      <c r="AI84" s="1257">
        <f t="shared" si="23"/>
        <v>4800000</v>
      </c>
      <c r="AJ84" s="140" t="str">
        <f t="shared" si="316"/>
        <v>0</v>
      </c>
      <c r="AK84" s="123" t="e">
        <f t="shared" ref="AK84:AM84" si="396">AD84+W84+P84</f>
        <v>#VALUE!</v>
      </c>
      <c r="AL84" s="123" t="e">
        <f t="shared" si="396"/>
        <v>#VALUE!</v>
      </c>
      <c r="AM84" s="123">
        <f t="shared" si="396"/>
        <v>0</v>
      </c>
      <c r="AN84" s="123">
        <f t="shared" si="26"/>
        <v>0</v>
      </c>
      <c r="AO84" s="1317" t="str">
        <f t="shared" si="62"/>
        <v/>
      </c>
      <c r="AP84" s="434">
        <f t="shared" si="318"/>
        <v>0</v>
      </c>
      <c r="AQ84" s="1318" t="e">
        <f t="shared" si="28"/>
        <v>#VALUE!</v>
      </c>
      <c r="AR84" s="1319" t="str">
        <f t="shared" si="319"/>
        <v/>
      </c>
      <c r="AS84" s="1320">
        <f t="shared" si="320"/>
        <v>0</v>
      </c>
      <c r="AT84" s="125">
        <f t="shared" si="380"/>
        <v>0</v>
      </c>
      <c r="AU84" s="140" t="e">
        <f t="shared" si="32"/>
        <v>#VALUE!</v>
      </c>
      <c r="AV84" s="326" t="str">
        <f t="shared" si="321"/>
        <v/>
      </c>
      <c r="AW84" s="333">
        <f t="shared" si="322"/>
        <v>0</v>
      </c>
      <c r="AX84" s="125">
        <f t="shared" si="381"/>
        <v>0</v>
      </c>
      <c r="AY84" s="140" t="e">
        <f t="shared" si="36"/>
        <v>#VALUE!</v>
      </c>
      <c r="AZ84" s="326" t="str">
        <f t="shared" si="323"/>
        <v/>
      </c>
      <c r="BA84" s="332">
        <f t="shared" si="324"/>
        <v>0</v>
      </c>
      <c r="BB84" s="122" t="e">
        <f t="shared" ref="BB84:BD84" si="397">SUM(AY84,AU84,AQ84)</f>
        <v>#VALUE!</v>
      </c>
      <c r="BC84" s="326">
        <f t="shared" si="397"/>
        <v>0</v>
      </c>
      <c r="BD84" s="333">
        <f t="shared" si="397"/>
        <v>0</v>
      </c>
      <c r="BE84" s="123" t="e">
        <f t="shared" si="40"/>
        <v>#VALUE!</v>
      </c>
      <c r="BF84" s="326">
        <f t="shared" si="41"/>
        <v>0</v>
      </c>
      <c r="BG84" s="435">
        <f t="shared" si="42"/>
        <v>0</v>
      </c>
      <c r="BH84" s="125">
        <f t="shared" si="383"/>
        <v>168342.49</v>
      </c>
      <c r="BI84" s="1041" t="e">
        <f t="shared" si="44"/>
        <v>#VALUE!</v>
      </c>
      <c r="BJ84" s="123" t="str">
        <f t="shared" si="326"/>
        <v/>
      </c>
      <c r="BK84" s="326">
        <f t="shared" si="327"/>
        <v>0</v>
      </c>
      <c r="BL84" s="123">
        <f t="shared" si="384"/>
        <v>195907.18</v>
      </c>
      <c r="BM84" s="113" t="e">
        <f t="shared" si="48"/>
        <v>#VALUE!</v>
      </c>
      <c r="BN84" s="116" t="str">
        <f t="shared" si="328"/>
        <v/>
      </c>
      <c r="BO84" s="115">
        <f t="shared" si="336"/>
        <v>33753.57</v>
      </c>
      <c r="BP84" s="326">
        <f t="shared" si="385"/>
        <v>0</v>
      </c>
      <c r="BQ84" s="326" t="e">
        <f t="shared" si="51"/>
        <v>#VALUE!</v>
      </c>
      <c r="BR84" s="326" t="str">
        <f t="shared" si="329"/>
        <v/>
      </c>
      <c r="BS84" s="332">
        <f t="shared" si="330"/>
        <v>63628.160000000003</v>
      </c>
      <c r="BT84" s="140" t="e">
        <f t="shared" ref="BT84:BV84" si="398">SUM(BQ84,BM84,BI84)</f>
        <v>#VALUE!</v>
      </c>
      <c r="BU84" s="326">
        <f t="shared" si="398"/>
        <v>0</v>
      </c>
      <c r="BV84" s="333">
        <f t="shared" si="398"/>
        <v>97381.73000000001</v>
      </c>
      <c r="BW84" s="125">
        <f t="shared" si="387"/>
        <v>0</v>
      </c>
      <c r="BX84" s="140" t="e">
        <f t="shared" si="56"/>
        <v>#VALUE!</v>
      </c>
      <c r="BY84" s="123" t="str">
        <f t="shared" si="332"/>
        <v/>
      </c>
      <c r="BZ84" s="333">
        <f t="shared" si="333"/>
        <v>34591.47</v>
      </c>
      <c r="CA84" s="123">
        <f t="shared" si="388"/>
        <v>0</v>
      </c>
      <c r="CB84" s="326">
        <f t="shared" si="389"/>
        <v>0</v>
      </c>
      <c r="CF84" s="294"/>
      <c r="CG84" s="294"/>
      <c r="CH84" s="294"/>
      <c r="CI84" s="294"/>
      <c r="CJ84" s="294"/>
      <c r="CK84" s="294"/>
      <c r="CL84" s="294"/>
      <c r="CM84" s="294"/>
      <c r="CN84" s="294"/>
    </row>
    <row r="85" spans="1:92" ht="13">
      <c r="A85" s="325">
        <f t="shared" si="297"/>
        <v>112014357</v>
      </c>
      <c r="B85" s="324">
        <f t="shared" si="298"/>
        <v>1</v>
      </c>
      <c r="C85" s="558" t="str">
        <f t="shared" si="299"/>
        <v>Lista</v>
      </c>
      <c r="D85" s="558">
        <f t="shared" si="300"/>
        <v>0.09</v>
      </c>
      <c r="E85" s="715">
        <f t="shared" si="301"/>
        <v>0</v>
      </c>
      <c r="F85" s="547">
        <f t="shared" si="302"/>
        <v>1</v>
      </c>
      <c r="G85" s="699" t="str">
        <f t="shared" si="303"/>
        <v>Lista</v>
      </c>
      <c r="H85" s="699">
        <f t="shared" si="304"/>
        <v>0.09</v>
      </c>
      <c r="I85" s="702">
        <f t="shared" si="305"/>
        <v>0</v>
      </c>
      <c r="J85" s="837">
        <f t="shared" si="306"/>
        <v>71</v>
      </c>
      <c r="K85" s="699" t="str">
        <f t="shared" ref="K85:K118" si="399">IFERROR(VLOOKUP(J85,A458DC1025,2,FALSE),"")</f>
        <v>Lista</v>
      </c>
      <c r="L85" s="1040">
        <f t="shared" ref="L85:L118" si="400">IFERROR(VLOOKUP(J85,A458DC1025,3,FALSE),"")</f>
        <v>0.05</v>
      </c>
      <c r="M85" s="423" t="s">
        <v>1477</v>
      </c>
      <c r="N85" s="326"/>
      <c r="O85" s="332"/>
      <c r="P85" s="113" t="e">
        <f t="shared" si="12"/>
        <v>#VALUE!</v>
      </c>
      <c r="Q85" s="116" t="str">
        <f t="shared" si="308"/>
        <v/>
      </c>
      <c r="R85" s="117" t="str">
        <f t="shared" si="309"/>
        <v>0</v>
      </c>
      <c r="S85" s="114"/>
      <c r="T85" s="116"/>
      <c r="U85" s="116">
        <f t="shared" si="310"/>
        <v>576648.4</v>
      </c>
      <c r="V85" s="116">
        <v>3000000</v>
      </c>
      <c r="W85" s="116" t="e">
        <f t="shared" si="16"/>
        <v>#VALUE!</v>
      </c>
      <c r="X85" s="116" t="str">
        <f t="shared" si="311"/>
        <v/>
      </c>
      <c r="Y85" s="116" t="str">
        <f t="shared" si="312"/>
        <v>0</v>
      </c>
      <c r="Z85" s="326"/>
      <c r="AA85" s="326"/>
      <c r="AB85" s="326">
        <f t="shared" si="313"/>
        <v>-22853.61</v>
      </c>
      <c r="AC85" s="332">
        <v>1800000</v>
      </c>
      <c r="AD85" s="140" t="e">
        <f t="shared" si="20"/>
        <v>#VALUE!</v>
      </c>
      <c r="AE85" s="326" t="str">
        <f t="shared" si="314"/>
        <v/>
      </c>
      <c r="AF85" s="117" t="str">
        <f t="shared" si="315"/>
        <v>0</v>
      </c>
      <c r="AG85" s="123"/>
      <c r="AH85" s="326"/>
      <c r="AI85" s="1257">
        <f t="shared" si="23"/>
        <v>4800000</v>
      </c>
      <c r="AJ85" s="140">
        <f t="shared" si="316"/>
        <v>434052.83</v>
      </c>
      <c r="AK85" s="123" t="e">
        <f t="shared" ref="AK85:AM85" si="401">AD85+W85+P85</f>
        <v>#VALUE!</v>
      </c>
      <c r="AL85" s="123" t="e">
        <f t="shared" si="401"/>
        <v>#VALUE!</v>
      </c>
      <c r="AM85" s="123">
        <f t="shared" si="401"/>
        <v>0</v>
      </c>
      <c r="AN85" s="123">
        <f t="shared" si="26"/>
        <v>-434052.83</v>
      </c>
      <c r="AO85" s="1317">
        <f t="shared" si="62"/>
        <v>-1</v>
      </c>
      <c r="AP85" s="434">
        <f t="shared" si="318"/>
        <v>0</v>
      </c>
      <c r="AQ85" s="1318" t="e">
        <f t="shared" si="28"/>
        <v>#VALUE!</v>
      </c>
      <c r="AR85" s="1319" t="str">
        <f t="shared" si="319"/>
        <v/>
      </c>
      <c r="AS85" s="1320" t="str">
        <f t="shared" si="320"/>
        <v>0</v>
      </c>
      <c r="AT85" s="125">
        <f t="shared" si="380"/>
        <v>0</v>
      </c>
      <c r="AU85" s="140" t="e">
        <f t="shared" si="32"/>
        <v>#VALUE!</v>
      </c>
      <c r="AV85" s="326" t="str">
        <f t="shared" si="321"/>
        <v/>
      </c>
      <c r="AW85" s="333" t="str">
        <f t="shared" si="322"/>
        <v>0</v>
      </c>
      <c r="AX85" s="125">
        <f t="shared" si="381"/>
        <v>0</v>
      </c>
      <c r="AY85" s="140" t="e">
        <f t="shared" si="36"/>
        <v>#VALUE!</v>
      </c>
      <c r="AZ85" s="326" t="str">
        <f t="shared" si="323"/>
        <v/>
      </c>
      <c r="BA85" s="332" t="str">
        <f t="shared" si="324"/>
        <v>0</v>
      </c>
      <c r="BB85" s="122" t="e">
        <f t="shared" ref="BB85:BD85" si="402">SUM(AY85,AU85,AQ85)</f>
        <v>#VALUE!</v>
      </c>
      <c r="BC85" s="326">
        <f t="shared" si="402"/>
        <v>0</v>
      </c>
      <c r="BD85" s="333">
        <f t="shared" si="402"/>
        <v>0</v>
      </c>
      <c r="BE85" s="123" t="e">
        <f t="shared" si="40"/>
        <v>#VALUE!</v>
      </c>
      <c r="BF85" s="326">
        <f t="shared" si="41"/>
        <v>0</v>
      </c>
      <c r="BG85" s="435">
        <f t="shared" si="42"/>
        <v>0</v>
      </c>
      <c r="BH85" s="125">
        <f t="shared" si="383"/>
        <v>0</v>
      </c>
      <c r="BI85" s="1041" t="e">
        <f t="shared" si="44"/>
        <v>#VALUE!</v>
      </c>
      <c r="BJ85" s="123" t="str">
        <f t="shared" si="326"/>
        <v/>
      </c>
      <c r="BK85" s="326" t="str">
        <f t="shared" si="327"/>
        <v>0</v>
      </c>
      <c r="BL85" s="123">
        <f t="shared" si="384"/>
        <v>0</v>
      </c>
      <c r="BM85" s="113" t="e">
        <f t="shared" si="48"/>
        <v>#VALUE!</v>
      </c>
      <c r="BN85" s="116" t="str">
        <f t="shared" si="328"/>
        <v/>
      </c>
      <c r="BO85" s="115" t="str">
        <f t="shared" si="336"/>
        <v>0</v>
      </c>
      <c r="BP85" s="326">
        <f t="shared" si="385"/>
        <v>0</v>
      </c>
      <c r="BQ85" s="326" t="e">
        <f t="shared" si="51"/>
        <v>#VALUE!</v>
      </c>
      <c r="BR85" s="326" t="str">
        <f t="shared" si="329"/>
        <v/>
      </c>
      <c r="BS85" s="332" t="str">
        <f t="shared" si="330"/>
        <v/>
      </c>
      <c r="BT85" s="140" t="e">
        <f t="shared" ref="BT85:BV85" si="403">SUM(BQ85,BM85,BI85)</f>
        <v>#VALUE!</v>
      </c>
      <c r="BU85" s="326">
        <f t="shared" si="403"/>
        <v>0</v>
      </c>
      <c r="BV85" s="333">
        <f t="shared" si="403"/>
        <v>0</v>
      </c>
      <c r="BW85" s="125">
        <f t="shared" si="387"/>
        <v>434052.83</v>
      </c>
      <c r="BX85" s="140" t="e">
        <f t="shared" si="56"/>
        <v>#VALUE!</v>
      </c>
      <c r="BY85" s="123" t="str">
        <f t="shared" si="332"/>
        <v/>
      </c>
      <c r="BZ85" s="333" t="str">
        <f t="shared" si="333"/>
        <v/>
      </c>
      <c r="CA85" s="123">
        <f t="shared" si="388"/>
        <v>0</v>
      </c>
      <c r="CB85" s="326">
        <f t="shared" si="389"/>
        <v>0</v>
      </c>
      <c r="CF85" s="294"/>
      <c r="CG85" s="294"/>
      <c r="CH85" s="294"/>
      <c r="CI85" s="294"/>
      <c r="CJ85" s="294"/>
      <c r="CK85" s="294"/>
      <c r="CL85" s="294"/>
      <c r="CM85" s="294"/>
      <c r="CN85" s="294"/>
    </row>
    <row r="86" spans="1:92" ht="13">
      <c r="A86" s="325">
        <f t="shared" si="297"/>
        <v>112014032</v>
      </c>
      <c r="B86" s="324" t="e">
        <f t="shared" si="298"/>
        <v>#N/A</v>
      </c>
      <c r="C86" s="558" t="str">
        <f t="shared" si="299"/>
        <v/>
      </c>
      <c r="D86" s="558" t="str">
        <f t="shared" si="300"/>
        <v/>
      </c>
      <c r="E86" s="715" t="str">
        <f t="shared" si="301"/>
        <v/>
      </c>
      <c r="F86" s="547" t="e">
        <f t="shared" si="302"/>
        <v>#N/A</v>
      </c>
      <c r="G86" s="699" t="str">
        <f t="shared" si="303"/>
        <v/>
      </c>
      <c r="H86" s="699" t="str">
        <f t="shared" si="304"/>
        <v/>
      </c>
      <c r="I86" s="702" t="str">
        <f t="shared" si="305"/>
        <v/>
      </c>
      <c r="J86" s="837">
        <f t="shared" si="306"/>
        <v>71</v>
      </c>
      <c r="K86" s="699" t="str">
        <f t="shared" si="399"/>
        <v>Lista</v>
      </c>
      <c r="L86" s="1040">
        <f t="shared" si="400"/>
        <v>0.05</v>
      </c>
      <c r="M86" s="325" t="s">
        <v>1478</v>
      </c>
      <c r="N86" s="326"/>
      <c r="O86" s="332"/>
      <c r="P86" s="113" t="e">
        <f t="shared" si="12"/>
        <v>#VALUE!</v>
      </c>
      <c r="Q86" s="116" t="str">
        <f t="shared" si="308"/>
        <v/>
      </c>
      <c r="R86" s="117" t="str">
        <f t="shared" si="309"/>
        <v>0</v>
      </c>
      <c r="S86" s="114"/>
      <c r="T86" s="116"/>
      <c r="U86" s="116" t="str">
        <f t="shared" si="310"/>
        <v/>
      </c>
      <c r="V86" s="116">
        <v>3000000</v>
      </c>
      <c r="W86" s="116" t="e">
        <f t="shared" si="16"/>
        <v>#VALUE!</v>
      </c>
      <c r="X86" s="116" t="str">
        <f t="shared" si="311"/>
        <v/>
      </c>
      <c r="Y86" s="116" t="str">
        <f t="shared" si="312"/>
        <v>0</v>
      </c>
      <c r="Z86" s="326"/>
      <c r="AA86" s="326"/>
      <c r="AB86" s="326" t="str">
        <f t="shared" si="313"/>
        <v/>
      </c>
      <c r="AC86" s="332">
        <v>1800000</v>
      </c>
      <c r="AD86" s="140" t="e">
        <f t="shared" si="20"/>
        <v>#VALUE!</v>
      </c>
      <c r="AE86" s="326" t="str">
        <f t="shared" si="314"/>
        <v/>
      </c>
      <c r="AF86" s="117" t="str">
        <f t="shared" si="315"/>
        <v>0</v>
      </c>
      <c r="AG86" s="123"/>
      <c r="AH86" s="326"/>
      <c r="AI86" s="1257">
        <f t="shared" si="23"/>
        <v>4800000</v>
      </c>
      <c r="AJ86" s="140" t="str">
        <f t="shared" si="316"/>
        <v>0</v>
      </c>
      <c r="AK86" s="123" t="e">
        <f t="shared" ref="AK86:AM86" si="404">AD86+W86+P86</f>
        <v>#VALUE!</v>
      </c>
      <c r="AL86" s="123" t="e">
        <f t="shared" si="404"/>
        <v>#VALUE!</v>
      </c>
      <c r="AM86" s="123">
        <f t="shared" si="404"/>
        <v>0</v>
      </c>
      <c r="AN86" s="123">
        <f t="shared" si="26"/>
        <v>0</v>
      </c>
      <c r="AO86" s="1317" t="str">
        <f t="shared" si="62"/>
        <v/>
      </c>
      <c r="AP86" s="434" t="str">
        <f t="shared" si="318"/>
        <v/>
      </c>
      <c r="AQ86" s="1318" t="e">
        <f t="shared" si="28"/>
        <v>#VALUE!</v>
      </c>
      <c r="AR86" s="1319" t="str">
        <f t="shared" si="319"/>
        <v/>
      </c>
      <c r="AS86" s="1320" t="str">
        <f t="shared" si="320"/>
        <v>0</v>
      </c>
      <c r="AT86" s="125" t="str">
        <f t="shared" si="380"/>
        <v/>
      </c>
      <c r="AU86" s="140" t="e">
        <f t="shared" si="32"/>
        <v>#VALUE!</v>
      </c>
      <c r="AV86" s="326" t="str">
        <f t="shared" si="321"/>
        <v/>
      </c>
      <c r="AW86" s="333" t="str">
        <f t="shared" si="322"/>
        <v>0</v>
      </c>
      <c r="AX86" s="125" t="str">
        <f t="shared" si="381"/>
        <v/>
      </c>
      <c r="AY86" s="140" t="e">
        <f t="shared" si="36"/>
        <v>#VALUE!</v>
      </c>
      <c r="AZ86" s="326" t="str">
        <f t="shared" si="323"/>
        <v/>
      </c>
      <c r="BA86" s="332" t="str">
        <f t="shared" si="324"/>
        <v>0</v>
      </c>
      <c r="BB86" s="122" t="e">
        <f t="shared" ref="BB86:BD86" si="405">SUM(AY86,AU86,AQ86)</f>
        <v>#VALUE!</v>
      </c>
      <c r="BC86" s="326">
        <f t="shared" si="405"/>
        <v>0</v>
      </c>
      <c r="BD86" s="333">
        <f t="shared" si="405"/>
        <v>0</v>
      </c>
      <c r="BE86" s="123" t="e">
        <f t="shared" si="40"/>
        <v>#VALUE!</v>
      </c>
      <c r="BF86" s="326">
        <f t="shared" si="41"/>
        <v>0</v>
      </c>
      <c r="BG86" s="435">
        <f t="shared" si="42"/>
        <v>0</v>
      </c>
      <c r="BH86" s="125" t="str">
        <f t="shared" si="383"/>
        <v/>
      </c>
      <c r="BI86" s="1041" t="e">
        <f t="shared" si="44"/>
        <v>#VALUE!</v>
      </c>
      <c r="BJ86" s="123" t="str">
        <f t="shared" si="326"/>
        <v/>
      </c>
      <c r="BK86" s="326" t="str">
        <f t="shared" si="327"/>
        <v>0</v>
      </c>
      <c r="BL86" s="123" t="str">
        <f t="shared" si="384"/>
        <v/>
      </c>
      <c r="BM86" s="113" t="e">
        <f t="shared" si="48"/>
        <v>#VALUE!</v>
      </c>
      <c r="BN86" s="116" t="str">
        <f t="shared" si="328"/>
        <v/>
      </c>
      <c r="BO86" s="115" t="str">
        <f t="shared" si="336"/>
        <v>0</v>
      </c>
      <c r="BP86" s="326" t="str">
        <f t="shared" si="385"/>
        <v/>
      </c>
      <c r="BQ86" s="326" t="e">
        <f t="shared" si="51"/>
        <v>#VALUE!</v>
      </c>
      <c r="BR86" s="326" t="str">
        <f t="shared" si="329"/>
        <v/>
      </c>
      <c r="BS86" s="332" t="str">
        <f t="shared" si="330"/>
        <v/>
      </c>
      <c r="BT86" s="140" t="e">
        <f t="shared" ref="BT86:BV86" si="406">SUM(BQ86,BM86,BI86)</f>
        <v>#VALUE!</v>
      </c>
      <c r="BU86" s="326">
        <f t="shared" si="406"/>
        <v>0</v>
      </c>
      <c r="BV86" s="333">
        <f t="shared" si="406"/>
        <v>0</v>
      </c>
      <c r="BW86" s="125" t="str">
        <f t="shared" si="387"/>
        <v/>
      </c>
      <c r="BX86" s="140" t="e">
        <f t="shared" si="56"/>
        <v>#VALUE!</v>
      </c>
      <c r="BY86" s="123" t="str">
        <f t="shared" si="332"/>
        <v/>
      </c>
      <c r="BZ86" s="333" t="str">
        <f t="shared" si="333"/>
        <v/>
      </c>
      <c r="CA86" s="123" t="str">
        <f t="shared" si="388"/>
        <v/>
      </c>
      <c r="CB86" s="326" t="str">
        <f t="shared" si="389"/>
        <v/>
      </c>
      <c r="CF86" s="294"/>
      <c r="CG86" s="294"/>
      <c r="CH86" s="294"/>
      <c r="CI86" s="294"/>
      <c r="CJ86" s="294"/>
      <c r="CK86" s="294"/>
      <c r="CL86" s="294"/>
      <c r="CM86" s="294"/>
      <c r="CN86" s="294"/>
    </row>
    <row r="87" spans="1:92" ht="13">
      <c r="A87" s="325">
        <f t="shared" si="297"/>
        <v>112014728</v>
      </c>
      <c r="B87" s="324" t="e">
        <f t="shared" si="298"/>
        <v>#N/A</v>
      </c>
      <c r="C87" s="558" t="str">
        <f t="shared" si="299"/>
        <v/>
      </c>
      <c r="D87" s="558" t="str">
        <f t="shared" si="300"/>
        <v/>
      </c>
      <c r="E87" s="715" t="str">
        <f t="shared" si="301"/>
        <v/>
      </c>
      <c r="F87" s="547" t="e">
        <f t="shared" si="302"/>
        <v>#N/A</v>
      </c>
      <c r="G87" s="699" t="str">
        <f t="shared" si="303"/>
        <v/>
      </c>
      <c r="H87" s="699" t="str">
        <f t="shared" si="304"/>
        <v/>
      </c>
      <c r="I87" s="702" t="str">
        <f t="shared" si="305"/>
        <v/>
      </c>
      <c r="J87" s="837">
        <f t="shared" si="306"/>
        <v>0</v>
      </c>
      <c r="K87" s="699" t="str">
        <f t="shared" si="399"/>
        <v/>
      </c>
      <c r="L87" s="1040" t="str">
        <f t="shared" si="400"/>
        <v/>
      </c>
      <c r="M87" s="325" t="s">
        <v>983</v>
      </c>
      <c r="N87" s="326"/>
      <c r="O87" s="332"/>
      <c r="P87" s="113" t="e">
        <f t="shared" si="12"/>
        <v>#VALUE!</v>
      </c>
      <c r="Q87" s="116" t="str">
        <f t="shared" si="308"/>
        <v/>
      </c>
      <c r="R87" s="117" t="str">
        <f t="shared" si="309"/>
        <v>0</v>
      </c>
      <c r="S87" s="114"/>
      <c r="T87" s="116"/>
      <c r="U87" s="116" t="str">
        <f t="shared" si="310"/>
        <v/>
      </c>
      <c r="V87" s="116">
        <v>3000000</v>
      </c>
      <c r="W87" s="116" t="e">
        <f t="shared" si="16"/>
        <v>#VALUE!</v>
      </c>
      <c r="X87" s="116" t="str">
        <f t="shared" si="311"/>
        <v/>
      </c>
      <c r="Y87" s="116" t="str">
        <f t="shared" si="312"/>
        <v>0</v>
      </c>
      <c r="Z87" s="326"/>
      <c r="AA87" s="326"/>
      <c r="AB87" s="326" t="str">
        <f t="shared" si="313"/>
        <v/>
      </c>
      <c r="AC87" s="332">
        <v>1800000</v>
      </c>
      <c r="AD87" s="140" t="e">
        <f t="shared" si="20"/>
        <v>#VALUE!</v>
      </c>
      <c r="AE87" s="326" t="str">
        <f t="shared" si="314"/>
        <v/>
      </c>
      <c r="AF87" s="117" t="str">
        <f t="shared" si="315"/>
        <v>0</v>
      </c>
      <c r="AG87" s="123"/>
      <c r="AH87" s="326"/>
      <c r="AI87" s="1257">
        <f t="shared" si="23"/>
        <v>4800000</v>
      </c>
      <c r="AJ87" s="140" t="str">
        <f t="shared" si="316"/>
        <v>0</v>
      </c>
      <c r="AK87" s="123" t="e">
        <f t="shared" ref="AK87:AM87" si="407">AD87+W87+P87</f>
        <v>#VALUE!</v>
      </c>
      <c r="AL87" s="123" t="e">
        <f t="shared" si="407"/>
        <v>#VALUE!</v>
      </c>
      <c r="AM87" s="123">
        <f t="shared" si="407"/>
        <v>0</v>
      </c>
      <c r="AN87" s="123">
        <f t="shared" si="26"/>
        <v>0</v>
      </c>
      <c r="AO87" s="1317" t="str">
        <f t="shared" si="62"/>
        <v/>
      </c>
      <c r="AP87" s="434" t="str">
        <f t="shared" si="318"/>
        <v/>
      </c>
      <c r="AQ87" s="1318" t="e">
        <f t="shared" si="28"/>
        <v>#VALUE!</v>
      </c>
      <c r="AR87" s="1319" t="str">
        <f t="shared" si="319"/>
        <v/>
      </c>
      <c r="AS87" s="1320" t="str">
        <f t="shared" si="320"/>
        <v>0</v>
      </c>
      <c r="AT87" s="125" t="str">
        <f t="shared" si="380"/>
        <v/>
      </c>
      <c r="AU87" s="140" t="e">
        <f t="shared" si="32"/>
        <v>#VALUE!</v>
      </c>
      <c r="AV87" s="326" t="str">
        <f t="shared" si="321"/>
        <v/>
      </c>
      <c r="AW87" s="333" t="str">
        <f t="shared" si="322"/>
        <v>0</v>
      </c>
      <c r="AX87" s="125" t="str">
        <f t="shared" si="381"/>
        <v/>
      </c>
      <c r="AY87" s="140" t="e">
        <f t="shared" si="36"/>
        <v>#VALUE!</v>
      </c>
      <c r="AZ87" s="326" t="str">
        <f t="shared" si="323"/>
        <v/>
      </c>
      <c r="BA87" s="332" t="str">
        <f t="shared" si="324"/>
        <v>0</v>
      </c>
      <c r="BB87" s="122" t="e">
        <f t="shared" ref="BB87:BD87" si="408">SUM(AY87,AU87,AQ87)</f>
        <v>#VALUE!</v>
      </c>
      <c r="BC87" s="326">
        <f t="shared" si="408"/>
        <v>0</v>
      </c>
      <c r="BD87" s="333">
        <f t="shared" si="408"/>
        <v>0</v>
      </c>
      <c r="BE87" s="123" t="e">
        <f t="shared" si="40"/>
        <v>#VALUE!</v>
      </c>
      <c r="BF87" s="326">
        <f t="shared" si="41"/>
        <v>0</v>
      </c>
      <c r="BG87" s="435">
        <f t="shared" si="42"/>
        <v>0</v>
      </c>
      <c r="BH87" s="125" t="str">
        <f t="shared" si="383"/>
        <v/>
      </c>
      <c r="BI87" s="1041" t="e">
        <f t="shared" si="44"/>
        <v>#VALUE!</v>
      </c>
      <c r="BJ87" s="123" t="str">
        <f t="shared" si="326"/>
        <v/>
      </c>
      <c r="BK87" s="326" t="str">
        <f t="shared" si="327"/>
        <v>0</v>
      </c>
      <c r="BL87" s="123" t="str">
        <f t="shared" si="384"/>
        <v/>
      </c>
      <c r="BM87" s="113" t="e">
        <f t="shared" si="48"/>
        <v>#VALUE!</v>
      </c>
      <c r="BN87" s="116" t="str">
        <f t="shared" si="328"/>
        <v/>
      </c>
      <c r="BO87" s="115" t="str">
        <f t="shared" si="336"/>
        <v>0</v>
      </c>
      <c r="BP87" s="326" t="str">
        <f t="shared" si="385"/>
        <v/>
      </c>
      <c r="BQ87" s="326" t="e">
        <f t="shared" si="51"/>
        <v>#VALUE!</v>
      </c>
      <c r="BR87" s="326" t="str">
        <f t="shared" si="329"/>
        <v/>
      </c>
      <c r="BS87" s="332" t="str">
        <f t="shared" si="330"/>
        <v/>
      </c>
      <c r="BT87" s="140" t="e">
        <f t="shared" ref="BT87:BV87" si="409">SUM(BQ87,BM87,BI87)</f>
        <v>#VALUE!</v>
      </c>
      <c r="BU87" s="326">
        <f t="shared" si="409"/>
        <v>0</v>
      </c>
      <c r="BV87" s="333">
        <f t="shared" si="409"/>
        <v>0</v>
      </c>
      <c r="BW87" s="125" t="str">
        <f t="shared" si="387"/>
        <v/>
      </c>
      <c r="BX87" s="140" t="e">
        <f t="shared" si="56"/>
        <v>#VALUE!</v>
      </c>
      <c r="BY87" s="123" t="str">
        <f t="shared" si="332"/>
        <v/>
      </c>
      <c r="BZ87" s="333" t="str">
        <f t="shared" si="333"/>
        <v/>
      </c>
      <c r="CA87" s="123" t="str">
        <f t="shared" si="388"/>
        <v/>
      </c>
      <c r="CB87" s="326" t="str">
        <f t="shared" si="389"/>
        <v/>
      </c>
      <c r="CF87" s="294"/>
      <c r="CG87" s="294"/>
      <c r="CH87" s="294"/>
      <c r="CI87" s="294"/>
      <c r="CJ87" s="294"/>
      <c r="CK87" s="294"/>
      <c r="CL87" s="294"/>
      <c r="CM87" s="294"/>
      <c r="CN87" s="294"/>
    </row>
    <row r="88" spans="1:92" ht="13">
      <c r="A88" s="325">
        <f t="shared" si="297"/>
        <v>112014787</v>
      </c>
      <c r="B88" s="324" t="e">
        <f t="shared" si="298"/>
        <v>#N/A</v>
      </c>
      <c r="C88" s="558" t="str">
        <f t="shared" si="299"/>
        <v/>
      </c>
      <c r="D88" s="558" t="str">
        <f t="shared" si="300"/>
        <v/>
      </c>
      <c r="E88" s="715" t="str">
        <f t="shared" si="301"/>
        <v/>
      </c>
      <c r="F88" s="547" t="e">
        <f t="shared" si="302"/>
        <v>#N/A</v>
      </c>
      <c r="G88" s="699" t="str">
        <f t="shared" si="303"/>
        <v/>
      </c>
      <c r="H88" s="699" t="str">
        <f t="shared" si="304"/>
        <v/>
      </c>
      <c r="I88" s="702" t="str">
        <f t="shared" si="305"/>
        <v/>
      </c>
      <c r="J88" s="837">
        <f t="shared" si="306"/>
        <v>0</v>
      </c>
      <c r="K88" s="699" t="str">
        <f t="shared" si="399"/>
        <v/>
      </c>
      <c r="L88" s="1040" t="str">
        <f t="shared" si="400"/>
        <v/>
      </c>
      <c r="M88" s="325" t="s">
        <v>1479</v>
      </c>
      <c r="N88" s="326"/>
      <c r="O88" s="332"/>
      <c r="P88" s="113" t="e">
        <f t="shared" si="12"/>
        <v>#VALUE!</v>
      </c>
      <c r="Q88" s="116" t="str">
        <f t="shared" si="308"/>
        <v/>
      </c>
      <c r="R88" s="117" t="str">
        <f t="shared" si="309"/>
        <v>0</v>
      </c>
      <c r="S88" s="114"/>
      <c r="T88" s="116"/>
      <c r="U88" s="116" t="str">
        <f t="shared" si="310"/>
        <v/>
      </c>
      <c r="V88" s="116">
        <v>3000000</v>
      </c>
      <c r="W88" s="116" t="e">
        <f t="shared" si="16"/>
        <v>#VALUE!</v>
      </c>
      <c r="X88" s="116" t="str">
        <f t="shared" si="311"/>
        <v/>
      </c>
      <c r="Y88" s="116" t="str">
        <f t="shared" si="312"/>
        <v>0</v>
      </c>
      <c r="Z88" s="326"/>
      <c r="AA88" s="326"/>
      <c r="AB88" s="326" t="str">
        <f t="shared" si="313"/>
        <v/>
      </c>
      <c r="AC88" s="332">
        <v>1800000</v>
      </c>
      <c r="AD88" s="140" t="e">
        <f t="shared" si="20"/>
        <v>#VALUE!</v>
      </c>
      <c r="AE88" s="326" t="str">
        <f t="shared" si="314"/>
        <v/>
      </c>
      <c r="AF88" s="117" t="str">
        <f t="shared" si="315"/>
        <v>0</v>
      </c>
      <c r="AG88" s="123"/>
      <c r="AH88" s="326"/>
      <c r="AI88" s="1257">
        <f t="shared" si="23"/>
        <v>4800000</v>
      </c>
      <c r="AJ88" s="140" t="str">
        <f t="shared" si="316"/>
        <v>0</v>
      </c>
      <c r="AK88" s="123" t="e">
        <f t="shared" ref="AK88:AM88" si="410">AD88+W88+P88</f>
        <v>#VALUE!</v>
      </c>
      <c r="AL88" s="123" t="e">
        <f t="shared" si="410"/>
        <v>#VALUE!</v>
      </c>
      <c r="AM88" s="123">
        <f t="shared" si="410"/>
        <v>0</v>
      </c>
      <c r="AN88" s="123">
        <f t="shared" si="26"/>
        <v>0</v>
      </c>
      <c r="AO88" s="1317" t="str">
        <f t="shared" si="62"/>
        <v/>
      </c>
      <c r="AP88" s="434" t="str">
        <f t="shared" si="318"/>
        <v/>
      </c>
      <c r="AQ88" s="1318" t="e">
        <f t="shared" si="28"/>
        <v>#VALUE!</v>
      </c>
      <c r="AR88" s="1319" t="str">
        <f t="shared" si="319"/>
        <v/>
      </c>
      <c r="AS88" s="1320" t="str">
        <f t="shared" si="320"/>
        <v>0</v>
      </c>
      <c r="AT88" s="125" t="str">
        <f t="shared" si="380"/>
        <v/>
      </c>
      <c r="AU88" s="140" t="e">
        <f t="shared" si="32"/>
        <v>#VALUE!</v>
      </c>
      <c r="AV88" s="326" t="str">
        <f t="shared" si="321"/>
        <v/>
      </c>
      <c r="AW88" s="333" t="str">
        <f t="shared" si="322"/>
        <v>0</v>
      </c>
      <c r="AX88" s="125" t="str">
        <f t="shared" si="381"/>
        <v/>
      </c>
      <c r="AY88" s="140" t="e">
        <f t="shared" si="36"/>
        <v>#VALUE!</v>
      </c>
      <c r="AZ88" s="326" t="str">
        <f t="shared" si="323"/>
        <v/>
      </c>
      <c r="BA88" s="332" t="str">
        <f t="shared" si="324"/>
        <v>0</v>
      </c>
      <c r="BB88" s="122" t="e">
        <f t="shared" ref="BB88:BD88" si="411">SUM(AY88,AU88,AQ88)</f>
        <v>#VALUE!</v>
      </c>
      <c r="BC88" s="326">
        <f t="shared" si="411"/>
        <v>0</v>
      </c>
      <c r="BD88" s="333">
        <f t="shared" si="411"/>
        <v>0</v>
      </c>
      <c r="BE88" s="123" t="e">
        <f t="shared" si="40"/>
        <v>#VALUE!</v>
      </c>
      <c r="BF88" s="326">
        <f t="shared" si="41"/>
        <v>0</v>
      </c>
      <c r="BG88" s="435">
        <f t="shared" si="42"/>
        <v>0</v>
      </c>
      <c r="BH88" s="125" t="str">
        <f t="shared" si="383"/>
        <v/>
      </c>
      <c r="BI88" s="1041" t="e">
        <f t="shared" si="44"/>
        <v>#VALUE!</v>
      </c>
      <c r="BJ88" s="123" t="str">
        <f t="shared" si="326"/>
        <v/>
      </c>
      <c r="BK88" s="326" t="str">
        <f t="shared" si="327"/>
        <v>0</v>
      </c>
      <c r="BL88" s="123" t="str">
        <f t="shared" si="384"/>
        <v/>
      </c>
      <c r="BM88" s="113" t="e">
        <f t="shared" si="48"/>
        <v>#VALUE!</v>
      </c>
      <c r="BN88" s="116" t="str">
        <f t="shared" si="328"/>
        <v/>
      </c>
      <c r="BO88" s="115" t="str">
        <f t="shared" si="336"/>
        <v>0</v>
      </c>
      <c r="BP88" s="326" t="str">
        <f t="shared" si="385"/>
        <v/>
      </c>
      <c r="BQ88" s="326" t="e">
        <f t="shared" si="51"/>
        <v>#VALUE!</v>
      </c>
      <c r="BR88" s="326" t="str">
        <f t="shared" si="329"/>
        <v/>
      </c>
      <c r="BS88" s="332" t="str">
        <f t="shared" si="330"/>
        <v/>
      </c>
      <c r="BT88" s="140" t="e">
        <f t="shared" ref="BT88:BV88" si="412">SUM(BQ88,BM88,BI88)</f>
        <v>#VALUE!</v>
      </c>
      <c r="BU88" s="326">
        <f t="shared" si="412"/>
        <v>0</v>
      </c>
      <c r="BV88" s="333">
        <f t="shared" si="412"/>
        <v>0</v>
      </c>
      <c r="BW88" s="125" t="str">
        <f t="shared" si="387"/>
        <v/>
      </c>
      <c r="BX88" s="140" t="e">
        <f t="shared" si="56"/>
        <v>#VALUE!</v>
      </c>
      <c r="BY88" s="123" t="str">
        <f t="shared" si="332"/>
        <v/>
      </c>
      <c r="BZ88" s="333" t="str">
        <f t="shared" si="333"/>
        <v/>
      </c>
      <c r="CA88" s="123" t="str">
        <f t="shared" si="388"/>
        <v/>
      </c>
      <c r="CB88" s="326" t="str">
        <f t="shared" si="389"/>
        <v/>
      </c>
      <c r="CF88" s="294"/>
      <c r="CG88" s="294"/>
      <c r="CH88" s="294"/>
      <c r="CI88" s="294"/>
      <c r="CJ88" s="294"/>
      <c r="CK88" s="294"/>
      <c r="CL88" s="294"/>
      <c r="CM88" s="294"/>
      <c r="CN88" s="294"/>
    </row>
    <row r="89" spans="1:92" ht="13">
      <c r="A89" s="325">
        <f t="shared" si="297"/>
        <v>112010676</v>
      </c>
      <c r="B89" s="324" t="e">
        <f t="shared" si="298"/>
        <v>#N/A</v>
      </c>
      <c r="C89" s="558" t="str">
        <f t="shared" si="299"/>
        <v/>
      </c>
      <c r="D89" s="558" t="str">
        <f t="shared" si="300"/>
        <v/>
      </c>
      <c r="E89" s="715" t="str">
        <f t="shared" si="301"/>
        <v/>
      </c>
      <c r="F89" s="547" t="e">
        <f t="shared" si="302"/>
        <v>#N/A</v>
      </c>
      <c r="G89" s="699" t="str">
        <f t="shared" si="303"/>
        <v/>
      </c>
      <c r="H89" s="699" t="str">
        <f t="shared" si="304"/>
        <v/>
      </c>
      <c r="I89" s="702" t="str">
        <f t="shared" si="305"/>
        <v/>
      </c>
      <c r="J89" s="837">
        <f t="shared" si="306"/>
        <v>71</v>
      </c>
      <c r="K89" s="699" t="str">
        <f t="shared" si="399"/>
        <v>Lista</v>
      </c>
      <c r="L89" s="1040">
        <f t="shared" si="400"/>
        <v>0.05</v>
      </c>
      <c r="M89" s="325" t="s">
        <v>1480</v>
      </c>
      <c r="N89" s="326"/>
      <c r="O89" s="332"/>
      <c r="P89" s="113" t="e">
        <f t="shared" si="12"/>
        <v>#VALUE!</v>
      </c>
      <c r="Q89" s="116" t="str">
        <f t="shared" si="308"/>
        <v/>
      </c>
      <c r="R89" s="117" t="str">
        <f t="shared" si="309"/>
        <v>0</v>
      </c>
      <c r="S89" s="114"/>
      <c r="T89" s="116"/>
      <c r="U89" s="116">
        <f t="shared" si="310"/>
        <v>0</v>
      </c>
      <c r="V89" s="116">
        <v>3000000</v>
      </c>
      <c r="W89" s="116" t="e">
        <f t="shared" si="16"/>
        <v>#VALUE!</v>
      </c>
      <c r="X89" s="116" t="str">
        <f t="shared" si="311"/>
        <v/>
      </c>
      <c r="Y89" s="116" t="str">
        <f t="shared" si="312"/>
        <v>0</v>
      </c>
      <c r="Z89" s="326"/>
      <c r="AA89" s="326"/>
      <c r="AB89" s="326">
        <f t="shared" si="313"/>
        <v>0</v>
      </c>
      <c r="AC89" s="332">
        <v>1800000</v>
      </c>
      <c r="AD89" s="140" t="e">
        <f t="shared" si="20"/>
        <v>#VALUE!</v>
      </c>
      <c r="AE89" s="326" t="str">
        <f t="shared" si="314"/>
        <v/>
      </c>
      <c r="AF89" s="117" t="str">
        <f t="shared" si="315"/>
        <v>0</v>
      </c>
      <c r="AG89" s="123"/>
      <c r="AH89" s="326"/>
      <c r="AI89" s="1257">
        <f t="shared" si="23"/>
        <v>4800000</v>
      </c>
      <c r="AJ89" s="140" t="str">
        <f t="shared" si="316"/>
        <v>0</v>
      </c>
      <c r="AK89" s="123" t="e">
        <f t="shared" ref="AK89:AM89" si="413">AD89+W89+P89</f>
        <v>#VALUE!</v>
      </c>
      <c r="AL89" s="123" t="e">
        <f t="shared" si="413"/>
        <v>#VALUE!</v>
      </c>
      <c r="AM89" s="123">
        <f t="shared" si="413"/>
        <v>0</v>
      </c>
      <c r="AN89" s="123">
        <f t="shared" si="26"/>
        <v>0</v>
      </c>
      <c r="AO89" s="1317" t="str">
        <f t="shared" si="62"/>
        <v/>
      </c>
      <c r="AP89" s="434">
        <f t="shared" si="318"/>
        <v>0</v>
      </c>
      <c r="AQ89" s="1318" t="e">
        <f t="shared" si="28"/>
        <v>#VALUE!</v>
      </c>
      <c r="AR89" s="1319" t="str">
        <f t="shared" si="319"/>
        <v/>
      </c>
      <c r="AS89" s="1320" t="str">
        <f t="shared" si="320"/>
        <v>0</v>
      </c>
      <c r="AT89" s="125">
        <f t="shared" si="380"/>
        <v>0</v>
      </c>
      <c r="AU89" s="140" t="e">
        <f t="shared" si="32"/>
        <v>#VALUE!</v>
      </c>
      <c r="AV89" s="326" t="str">
        <f t="shared" si="321"/>
        <v/>
      </c>
      <c r="AW89" s="333" t="str">
        <f t="shared" si="322"/>
        <v>0</v>
      </c>
      <c r="AX89" s="125">
        <f t="shared" si="381"/>
        <v>0</v>
      </c>
      <c r="AY89" s="140" t="e">
        <f t="shared" si="36"/>
        <v>#VALUE!</v>
      </c>
      <c r="AZ89" s="326" t="str">
        <f t="shared" si="323"/>
        <v/>
      </c>
      <c r="BA89" s="332" t="str">
        <f t="shared" si="324"/>
        <v>0</v>
      </c>
      <c r="BB89" s="122" t="e">
        <f t="shared" ref="BB89:BD89" si="414">SUM(AY89,AU89,AQ89)</f>
        <v>#VALUE!</v>
      </c>
      <c r="BC89" s="326">
        <f t="shared" si="414"/>
        <v>0</v>
      </c>
      <c r="BD89" s="333">
        <f t="shared" si="414"/>
        <v>0</v>
      </c>
      <c r="BE89" s="123" t="e">
        <f t="shared" si="40"/>
        <v>#VALUE!</v>
      </c>
      <c r="BF89" s="326">
        <f t="shared" si="41"/>
        <v>0</v>
      </c>
      <c r="BG89" s="435">
        <f t="shared" si="42"/>
        <v>0</v>
      </c>
      <c r="BH89" s="125">
        <f t="shared" si="383"/>
        <v>0</v>
      </c>
      <c r="BI89" s="1041" t="e">
        <f t="shared" si="44"/>
        <v>#VALUE!</v>
      </c>
      <c r="BJ89" s="123" t="str">
        <f t="shared" si="326"/>
        <v/>
      </c>
      <c r="BK89" s="326" t="str">
        <f t="shared" si="327"/>
        <v>0</v>
      </c>
      <c r="BL89" s="123">
        <f t="shared" si="384"/>
        <v>0</v>
      </c>
      <c r="BM89" s="113" t="e">
        <f t="shared" si="48"/>
        <v>#VALUE!</v>
      </c>
      <c r="BN89" s="116" t="str">
        <f t="shared" si="328"/>
        <v/>
      </c>
      <c r="BO89" s="115" t="str">
        <f t="shared" si="336"/>
        <v>0</v>
      </c>
      <c r="BP89" s="326">
        <f t="shared" si="385"/>
        <v>0</v>
      </c>
      <c r="BQ89" s="326" t="e">
        <f t="shared" si="51"/>
        <v>#VALUE!</v>
      </c>
      <c r="BR89" s="326" t="str">
        <f t="shared" si="329"/>
        <v/>
      </c>
      <c r="BS89" s="332" t="str">
        <f t="shared" si="330"/>
        <v/>
      </c>
      <c r="BT89" s="140" t="e">
        <f t="shared" ref="BT89:BV89" si="415">SUM(BQ89,BM89,BI89)</f>
        <v>#VALUE!</v>
      </c>
      <c r="BU89" s="326">
        <f t="shared" si="415"/>
        <v>0</v>
      </c>
      <c r="BV89" s="333">
        <f t="shared" si="415"/>
        <v>0</v>
      </c>
      <c r="BW89" s="125">
        <f t="shared" si="387"/>
        <v>0</v>
      </c>
      <c r="BX89" s="140" t="e">
        <f t="shared" si="56"/>
        <v>#VALUE!</v>
      </c>
      <c r="BY89" s="123" t="str">
        <f t="shared" si="332"/>
        <v/>
      </c>
      <c r="BZ89" s="333" t="str">
        <f t="shared" si="333"/>
        <v/>
      </c>
      <c r="CA89" s="123">
        <f t="shared" si="388"/>
        <v>0</v>
      </c>
      <c r="CB89" s="326">
        <f t="shared" si="389"/>
        <v>0</v>
      </c>
      <c r="CF89" s="294"/>
      <c r="CG89" s="294"/>
      <c r="CH89" s="294"/>
      <c r="CI89" s="294"/>
      <c r="CJ89" s="294"/>
      <c r="CK89" s="294"/>
      <c r="CL89" s="294"/>
      <c r="CM89" s="294"/>
      <c r="CN89" s="294"/>
    </row>
    <row r="90" spans="1:92" ht="13">
      <c r="A90" s="325">
        <f t="shared" si="297"/>
        <v>112010231</v>
      </c>
      <c r="B90" s="324">
        <f t="shared" si="298"/>
        <v>1</v>
      </c>
      <c r="C90" s="558" t="str">
        <f t="shared" si="299"/>
        <v>Lista</v>
      </c>
      <c r="D90" s="558">
        <f t="shared" si="300"/>
        <v>0.09</v>
      </c>
      <c r="E90" s="715">
        <f t="shared" si="301"/>
        <v>0</v>
      </c>
      <c r="F90" s="547">
        <f t="shared" si="302"/>
        <v>1</v>
      </c>
      <c r="G90" s="699" t="str">
        <f t="shared" si="303"/>
        <v>Lista</v>
      </c>
      <c r="H90" s="699">
        <f t="shared" si="304"/>
        <v>0.09</v>
      </c>
      <c r="I90" s="702">
        <f t="shared" si="305"/>
        <v>0</v>
      </c>
      <c r="J90" s="837">
        <f t="shared" si="306"/>
        <v>71</v>
      </c>
      <c r="K90" s="699" t="str">
        <f t="shared" si="399"/>
        <v>Lista</v>
      </c>
      <c r="L90" s="1040">
        <f t="shared" si="400"/>
        <v>0.05</v>
      </c>
      <c r="M90" s="423" t="s">
        <v>1481</v>
      </c>
      <c r="N90" s="326"/>
      <c r="O90" s="332"/>
      <c r="P90" s="113" t="e">
        <f t="shared" si="12"/>
        <v>#VALUE!</v>
      </c>
      <c r="Q90" s="116" t="str">
        <f t="shared" si="308"/>
        <v/>
      </c>
      <c r="R90" s="117" t="str">
        <f t="shared" si="309"/>
        <v>0</v>
      </c>
      <c r="S90" s="114"/>
      <c r="T90" s="116"/>
      <c r="U90" s="116" t="str">
        <f t="shared" si="310"/>
        <v/>
      </c>
      <c r="V90" s="116">
        <v>3000000</v>
      </c>
      <c r="W90" s="116" t="e">
        <f t="shared" si="16"/>
        <v>#VALUE!</v>
      </c>
      <c r="X90" s="116" t="str">
        <f t="shared" si="311"/>
        <v/>
      </c>
      <c r="Y90" s="116" t="str">
        <f t="shared" si="312"/>
        <v>0</v>
      </c>
      <c r="Z90" s="326"/>
      <c r="AA90" s="326"/>
      <c r="AB90" s="326" t="str">
        <f t="shared" si="313"/>
        <v/>
      </c>
      <c r="AC90" s="332">
        <v>1800000</v>
      </c>
      <c r="AD90" s="140" t="e">
        <f t="shared" si="20"/>
        <v>#VALUE!</v>
      </c>
      <c r="AE90" s="326" t="str">
        <f t="shared" si="314"/>
        <v/>
      </c>
      <c r="AF90" s="117" t="str">
        <f t="shared" si="315"/>
        <v>0</v>
      </c>
      <c r="AG90" s="123"/>
      <c r="AH90" s="326"/>
      <c r="AI90" s="1257">
        <f t="shared" si="23"/>
        <v>4800000</v>
      </c>
      <c r="AJ90" s="140" t="str">
        <f t="shared" si="316"/>
        <v>0</v>
      </c>
      <c r="AK90" s="123" t="e">
        <f t="shared" ref="AK90:AM90" si="416">AD90+W90+P90</f>
        <v>#VALUE!</v>
      </c>
      <c r="AL90" s="123" t="e">
        <f t="shared" si="416"/>
        <v>#VALUE!</v>
      </c>
      <c r="AM90" s="123">
        <f t="shared" si="416"/>
        <v>0</v>
      </c>
      <c r="AN90" s="123">
        <f t="shared" si="26"/>
        <v>0</v>
      </c>
      <c r="AO90" s="1317" t="str">
        <f t="shared" si="62"/>
        <v/>
      </c>
      <c r="AP90" s="434" t="str">
        <f t="shared" si="318"/>
        <v/>
      </c>
      <c r="AQ90" s="1318" t="e">
        <f t="shared" si="28"/>
        <v>#VALUE!</v>
      </c>
      <c r="AR90" s="1319" t="str">
        <f t="shared" si="319"/>
        <v/>
      </c>
      <c r="AS90" s="1320" t="str">
        <f t="shared" si="320"/>
        <v>0</v>
      </c>
      <c r="AT90" s="125" t="str">
        <f t="shared" si="380"/>
        <v/>
      </c>
      <c r="AU90" s="140" t="e">
        <f t="shared" si="32"/>
        <v>#VALUE!</v>
      </c>
      <c r="AV90" s="326" t="str">
        <f t="shared" si="321"/>
        <v/>
      </c>
      <c r="AW90" s="333" t="str">
        <f t="shared" si="322"/>
        <v>0</v>
      </c>
      <c r="AX90" s="125" t="str">
        <f t="shared" si="381"/>
        <v/>
      </c>
      <c r="AY90" s="140" t="e">
        <f t="shared" si="36"/>
        <v>#VALUE!</v>
      </c>
      <c r="AZ90" s="326" t="str">
        <f t="shared" si="323"/>
        <v/>
      </c>
      <c r="BA90" s="332" t="str">
        <f t="shared" si="324"/>
        <v>0</v>
      </c>
      <c r="BB90" s="122" t="e">
        <f t="shared" ref="BB90:BD90" si="417">SUM(AY90,AU90,AQ90)</f>
        <v>#VALUE!</v>
      </c>
      <c r="BC90" s="326">
        <f t="shared" si="417"/>
        <v>0</v>
      </c>
      <c r="BD90" s="333">
        <f t="shared" si="417"/>
        <v>0</v>
      </c>
      <c r="BE90" s="123" t="e">
        <f t="shared" si="40"/>
        <v>#VALUE!</v>
      </c>
      <c r="BF90" s="326">
        <f t="shared" si="41"/>
        <v>0</v>
      </c>
      <c r="BG90" s="435">
        <f t="shared" si="42"/>
        <v>0</v>
      </c>
      <c r="BH90" s="125" t="str">
        <f t="shared" si="383"/>
        <v/>
      </c>
      <c r="BI90" s="1041" t="e">
        <f t="shared" si="44"/>
        <v>#VALUE!</v>
      </c>
      <c r="BJ90" s="123" t="str">
        <f t="shared" si="326"/>
        <v/>
      </c>
      <c r="BK90" s="326" t="str">
        <f t="shared" si="327"/>
        <v>0</v>
      </c>
      <c r="BL90" s="123" t="str">
        <f t="shared" si="384"/>
        <v/>
      </c>
      <c r="BM90" s="113" t="e">
        <f t="shared" si="48"/>
        <v>#VALUE!</v>
      </c>
      <c r="BN90" s="116" t="str">
        <f t="shared" si="328"/>
        <v/>
      </c>
      <c r="BO90" s="115" t="str">
        <f t="shared" si="336"/>
        <v>0</v>
      </c>
      <c r="BP90" s="326" t="str">
        <f t="shared" si="385"/>
        <v/>
      </c>
      <c r="BQ90" s="326" t="e">
        <f t="shared" si="51"/>
        <v>#VALUE!</v>
      </c>
      <c r="BR90" s="326" t="str">
        <f t="shared" si="329"/>
        <v/>
      </c>
      <c r="BS90" s="332" t="str">
        <f t="shared" si="330"/>
        <v/>
      </c>
      <c r="BT90" s="140" t="e">
        <f t="shared" ref="BT90:BV90" si="418">SUM(BQ90,BM90,BI90)</f>
        <v>#VALUE!</v>
      </c>
      <c r="BU90" s="326">
        <f t="shared" si="418"/>
        <v>0</v>
      </c>
      <c r="BV90" s="333">
        <f t="shared" si="418"/>
        <v>0</v>
      </c>
      <c r="BW90" s="125" t="str">
        <f t="shared" si="387"/>
        <v/>
      </c>
      <c r="BX90" s="140" t="e">
        <f t="shared" si="56"/>
        <v>#VALUE!</v>
      </c>
      <c r="BY90" s="123" t="str">
        <f t="shared" si="332"/>
        <v/>
      </c>
      <c r="BZ90" s="333" t="str">
        <f t="shared" si="333"/>
        <v/>
      </c>
      <c r="CA90" s="123" t="str">
        <f t="shared" si="388"/>
        <v/>
      </c>
      <c r="CB90" s="326" t="str">
        <f t="shared" si="389"/>
        <v/>
      </c>
      <c r="CF90" s="294"/>
      <c r="CG90" s="294"/>
      <c r="CH90" s="294"/>
      <c r="CI90" s="294"/>
      <c r="CJ90" s="294"/>
      <c r="CK90" s="294"/>
      <c r="CL90" s="294"/>
      <c r="CM90" s="294"/>
      <c r="CN90" s="294"/>
    </row>
    <row r="91" spans="1:92" ht="13">
      <c r="A91" s="325">
        <f t="shared" si="297"/>
        <v>112013669</v>
      </c>
      <c r="B91" s="324">
        <f t="shared" si="298"/>
        <v>1</v>
      </c>
      <c r="C91" s="558" t="str">
        <f t="shared" si="299"/>
        <v>Lista</v>
      </c>
      <c r="D91" s="558">
        <f t="shared" si="300"/>
        <v>0.09</v>
      </c>
      <c r="E91" s="715">
        <f t="shared" si="301"/>
        <v>0</v>
      </c>
      <c r="F91" s="547">
        <f t="shared" si="302"/>
        <v>1</v>
      </c>
      <c r="G91" s="699" t="str">
        <f t="shared" si="303"/>
        <v>Lista</v>
      </c>
      <c r="H91" s="699">
        <f t="shared" si="304"/>
        <v>0.09</v>
      </c>
      <c r="I91" s="702">
        <f t="shared" si="305"/>
        <v>0</v>
      </c>
      <c r="J91" s="837">
        <f t="shared" si="306"/>
        <v>71</v>
      </c>
      <c r="K91" s="699" t="str">
        <f t="shared" si="399"/>
        <v>Lista</v>
      </c>
      <c r="L91" s="1040">
        <f t="shared" si="400"/>
        <v>0.05</v>
      </c>
      <c r="M91" s="423" t="s">
        <v>1117</v>
      </c>
      <c r="N91" s="326"/>
      <c r="O91" s="332"/>
      <c r="P91" s="113" t="e">
        <f t="shared" si="12"/>
        <v>#VALUE!</v>
      </c>
      <c r="Q91" s="116" t="str">
        <f t="shared" si="308"/>
        <v/>
      </c>
      <c r="R91" s="117">
        <f t="shared" si="309"/>
        <v>0</v>
      </c>
      <c r="S91" s="114"/>
      <c r="T91" s="116"/>
      <c r="U91" s="116" t="str">
        <f t="shared" si="310"/>
        <v/>
      </c>
      <c r="V91" s="116">
        <v>3000000</v>
      </c>
      <c r="W91" s="116" t="e">
        <f t="shared" si="16"/>
        <v>#VALUE!</v>
      </c>
      <c r="X91" s="116" t="str">
        <f t="shared" si="311"/>
        <v/>
      </c>
      <c r="Y91" s="116">
        <f t="shared" si="312"/>
        <v>0</v>
      </c>
      <c r="Z91" s="326"/>
      <c r="AA91" s="326"/>
      <c r="AB91" s="326" t="str">
        <f t="shared" si="313"/>
        <v/>
      </c>
      <c r="AC91" s="332">
        <v>1800000</v>
      </c>
      <c r="AD91" s="140" t="e">
        <f t="shared" si="20"/>
        <v>#VALUE!</v>
      </c>
      <c r="AE91" s="326" t="str">
        <f t="shared" si="314"/>
        <v/>
      </c>
      <c r="AF91" s="117">
        <f t="shared" si="315"/>
        <v>0</v>
      </c>
      <c r="AG91" s="123"/>
      <c r="AH91" s="326"/>
      <c r="AI91" s="1257">
        <f t="shared" si="23"/>
        <v>4800000</v>
      </c>
      <c r="AJ91" s="140">
        <f t="shared" si="316"/>
        <v>387522.31</v>
      </c>
      <c r="AK91" s="123" t="e">
        <f t="shared" ref="AK91:AM91" si="419">AD91+W91+P91</f>
        <v>#VALUE!</v>
      </c>
      <c r="AL91" s="123" t="e">
        <f t="shared" si="419"/>
        <v>#VALUE!</v>
      </c>
      <c r="AM91" s="123">
        <f t="shared" si="419"/>
        <v>0</v>
      </c>
      <c r="AN91" s="123">
        <f t="shared" si="26"/>
        <v>-387522.31</v>
      </c>
      <c r="AO91" s="1317">
        <f t="shared" si="62"/>
        <v>-1</v>
      </c>
      <c r="AP91" s="434" t="str">
        <f t="shared" si="318"/>
        <v/>
      </c>
      <c r="AQ91" s="1318" t="e">
        <f t="shared" si="28"/>
        <v>#VALUE!</v>
      </c>
      <c r="AR91" s="1319" t="str">
        <f t="shared" si="319"/>
        <v/>
      </c>
      <c r="AS91" s="1320">
        <f t="shared" si="320"/>
        <v>0</v>
      </c>
      <c r="AT91" s="125" t="str">
        <f t="shared" si="380"/>
        <v/>
      </c>
      <c r="AU91" s="140" t="e">
        <f t="shared" si="32"/>
        <v>#VALUE!</v>
      </c>
      <c r="AV91" s="326" t="str">
        <f t="shared" si="321"/>
        <v/>
      </c>
      <c r="AW91" s="333">
        <f t="shared" si="322"/>
        <v>0</v>
      </c>
      <c r="AX91" s="125" t="str">
        <f t="shared" si="381"/>
        <v/>
      </c>
      <c r="AY91" s="140" t="e">
        <f t="shared" si="36"/>
        <v>#VALUE!</v>
      </c>
      <c r="AZ91" s="326" t="str">
        <f t="shared" si="323"/>
        <v/>
      </c>
      <c r="BA91" s="332">
        <f t="shared" si="324"/>
        <v>0</v>
      </c>
      <c r="BB91" s="122" t="e">
        <f t="shared" ref="BB91:BD91" si="420">SUM(AY91,AU91,AQ91)</f>
        <v>#VALUE!</v>
      </c>
      <c r="BC91" s="326">
        <f t="shared" si="420"/>
        <v>0</v>
      </c>
      <c r="BD91" s="333">
        <f t="shared" si="420"/>
        <v>0</v>
      </c>
      <c r="BE91" s="123" t="e">
        <f t="shared" si="40"/>
        <v>#VALUE!</v>
      </c>
      <c r="BF91" s="326">
        <f t="shared" si="41"/>
        <v>0</v>
      </c>
      <c r="BG91" s="435">
        <f t="shared" si="42"/>
        <v>0</v>
      </c>
      <c r="BH91" s="125" t="str">
        <f t="shared" si="383"/>
        <v/>
      </c>
      <c r="BI91" s="1041" t="e">
        <f t="shared" si="44"/>
        <v>#VALUE!</v>
      </c>
      <c r="BJ91" s="123" t="str">
        <f t="shared" si="326"/>
        <v/>
      </c>
      <c r="BK91" s="326">
        <f t="shared" si="327"/>
        <v>459110.22</v>
      </c>
      <c r="BL91" s="123" t="str">
        <f t="shared" si="384"/>
        <v/>
      </c>
      <c r="BM91" s="113" t="e">
        <f t="shared" si="48"/>
        <v>#VALUE!</v>
      </c>
      <c r="BN91" s="116" t="str">
        <f t="shared" si="328"/>
        <v/>
      </c>
      <c r="BO91" s="115">
        <f t="shared" si="336"/>
        <v>0</v>
      </c>
      <c r="BP91" s="326" t="str">
        <f t="shared" si="385"/>
        <v/>
      </c>
      <c r="BQ91" s="326" t="e">
        <f t="shared" si="51"/>
        <v>#VALUE!</v>
      </c>
      <c r="BR91" s="326" t="str">
        <f t="shared" si="329"/>
        <v/>
      </c>
      <c r="BS91" s="332">
        <f t="shared" si="330"/>
        <v>0</v>
      </c>
      <c r="BT91" s="140" t="e">
        <f t="shared" ref="BT91:BV91" si="421">SUM(BQ91,BM91,BI91)</f>
        <v>#VALUE!</v>
      </c>
      <c r="BU91" s="326">
        <f t="shared" si="421"/>
        <v>0</v>
      </c>
      <c r="BV91" s="333">
        <f t="shared" si="421"/>
        <v>459110.22</v>
      </c>
      <c r="BW91" s="125" t="str">
        <f t="shared" si="387"/>
        <v/>
      </c>
      <c r="BX91" s="140" t="e">
        <f t="shared" si="56"/>
        <v>#VALUE!</v>
      </c>
      <c r="BY91" s="123" t="str">
        <f t="shared" si="332"/>
        <v/>
      </c>
      <c r="BZ91" s="333">
        <f t="shared" si="333"/>
        <v>639054.23</v>
      </c>
      <c r="CA91" s="123" t="str">
        <f t="shared" si="388"/>
        <v/>
      </c>
      <c r="CB91" s="326" t="str">
        <f t="shared" si="389"/>
        <v/>
      </c>
      <c r="CF91" s="294"/>
      <c r="CG91" s="294"/>
      <c r="CH91" s="294"/>
      <c r="CI91" s="294"/>
      <c r="CJ91" s="294"/>
      <c r="CK91" s="294"/>
      <c r="CL91" s="294"/>
      <c r="CM91" s="294"/>
      <c r="CN91" s="294"/>
    </row>
    <row r="92" spans="1:92" ht="13">
      <c r="A92" s="325">
        <f t="shared" si="297"/>
        <v>112012451</v>
      </c>
      <c r="B92" s="324">
        <f t="shared" si="298"/>
        <v>1</v>
      </c>
      <c r="C92" s="558" t="str">
        <f t="shared" si="299"/>
        <v>Lista</v>
      </c>
      <c r="D92" s="558">
        <f t="shared" si="300"/>
        <v>0.09</v>
      </c>
      <c r="E92" s="715">
        <f t="shared" si="301"/>
        <v>0</v>
      </c>
      <c r="F92" s="547">
        <f t="shared" si="302"/>
        <v>1</v>
      </c>
      <c r="G92" s="699" t="str">
        <f t="shared" si="303"/>
        <v>Lista</v>
      </c>
      <c r="H92" s="699">
        <f t="shared" si="304"/>
        <v>0.09</v>
      </c>
      <c r="I92" s="702">
        <f t="shared" si="305"/>
        <v>0</v>
      </c>
      <c r="J92" s="837">
        <f t="shared" si="306"/>
        <v>71</v>
      </c>
      <c r="K92" s="699" t="str">
        <f t="shared" si="399"/>
        <v>Lista</v>
      </c>
      <c r="L92" s="1040">
        <f t="shared" si="400"/>
        <v>0.05</v>
      </c>
      <c r="M92" s="423" t="s">
        <v>1114</v>
      </c>
      <c r="N92" s="326"/>
      <c r="O92" s="332"/>
      <c r="P92" s="113" t="e">
        <f t="shared" si="12"/>
        <v>#VALUE!</v>
      </c>
      <c r="Q92" s="116" t="str">
        <f t="shared" si="308"/>
        <v/>
      </c>
      <c r="R92" s="117">
        <f t="shared" si="309"/>
        <v>0</v>
      </c>
      <c r="S92" s="114"/>
      <c r="T92" s="116"/>
      <c r="U92" s="116" t="str">
        <f t="shared" si="310"/>
        <v/>
      </c>
      <c r="V92" s="116">
        <v>3000000</v>
      </c>
      <c r="W92" s="116" t="e">
        <f t="shared" si="16"/>
        <v>#VALUE!</v>
      </c>
      <c r="X92" s="116" t="str">
        <f t="shared" si="311"/>
        <v/>
      </c>
      <c r="Y92" s="116">
        <f t="shared" si="312"/>
        <v>0</v>
      </c>
      <c r="Z92" s="326"/>
      <c r="AA92" s="326"/>
      <c r="AB92" s="326" t="str">
        <f t="shared" si="313"/>
        <v/>
      </c>
      <c r="AC92" s="332">
        <v>1800000</v>
      </c>
      <c r="AD92" s="140" t="e">
        <f t="shared" si="20"/>
        <v>#VALUE!</v>
      </c>
      <c r="AE92" s="326" t="str">
        <f t="shared" si="314"/>
        <v/>
      </c>
      <c r="AF92" s="117">
        <f t="shared" si="315"/>
        <v>0</v>
      </c>
      <c r="AG92" s="123"/>
      <c r="AH92" s="326"/>
      <c r="AI92" s="1257">
        <f t="shared" si="23"/>
        <v>4800000</v>
      </c>
      <c r="AJ92" s="140" t="str">
        <f t="shared" si="316"/>
        <v>0</v>
      </c>
      <c r="AK92" s="123" t="e">
        <f t="shared" ref="AK92:AM92" si="422">AD92+W92+P92</f>
        <v>#VALUE!</v>
      </c>
      <c r="AL92" s="123" t="e">
        <f t="shared" si="422"/>
        <v>#VALUE!</v>
      </c>
      <c r="AM92" s="123">
        <f t="shared" si="422"/>
        <v>0</v>
      </c>
      <c r="AN92" s="123">
        <f t="shared" si="26"/>
        <v>0</v>
      </c>
      <c r="AO92" s="1317" t="str">
        <f t="shared" si="62"/>
        <v/>
      </c>
      <c r="AP92" s="434" t="str">
        <f t="shared" si="318"/>
        <v/>
      </c>
      <c r="AQ92" s="1318" t="e">
        <f t="shared" si="28"/>
        <v>#VALUE!</v>
      </c>
      <c r="AR92" s="1319" t="str">
        <f t="shared" si="319"/>
        <v/>
      </c>
      <c r="AS92" s="1320">
        <f t="shared" si="320"/>
        <v>0</v>
      </c>
      <c r="AT92" s="125" t="str">
        <f t="shared" si="380"/>
        <v/>
      </c>
      <c r="AU92" s="140" t="e">
        <f t="shared" si="32"/>
        <v>#VALUE!</v>
      </c>
      <c r="AV92" s="326" t="str">
        <f t="shared" si="321"/>
        <v/>
      </c>
      <c r="AW92" s="333">
        <f t="shared" si="322"/>
        <v>404959</v>
      </c>
      <c r="AX92" s="125" t="str">
        <f t="shared" si="381"/>
        <v/>
      </c>
      <c r="AY92" s="140" t="e">
        <f t="shared" si="36"/>
        <v>#VALUE!</v>
      </c>
      <c r="AZ92" s="326" t="str">
        <f t="shared" si="323"/>
        <v/>
      </c>
      <c r="BA92" s="332">
        <f t="shared" si="324"/>
        <v>0</v>
      </c>
      <c r="BB92" s="122" t="e">
        <f t="shared" ref="BB92:BD92" si="423">SUM(AY92,AU92,AQ92)</f>
        <v>#VALUE!</v>
      </c>
      <c r="BC92" s="326">
        <f t="shared" si="423"/>
        <v>0</v>
      </c>
      <c r="BD92" s="333">
        <f t="shared" si="423"/>
        <v>404959</v>
      </c>
      <c r="BE92" s="123" t="e">
        <f t="shared" si="40"/>
        <v>#VALUE!</v>
      </c>
      <c r="BF92" s="326">
        <f t="shared" si="41"/>
        <v>0</v>
      </c>
      <c r="BG92" s="435">
        <f t="shared" si="42"/>
        <v>404959</v>
      </c>
      <c r="BH92" s="125" t="str">
        <f t="shared" si="383"/>
        <v/>
      </c>
      <c r="BI92" s="1041" t="e">
        <f t="shared" si="44"/>
        <v>#VALUE!</v>
      </c>
      <c r="BJ92" s="123" t="str">
        <f t="shared" si="326"/>
        <v/>
      </c>
      <c r="BK92" s="326">
        <f t="shared" si="327"/>
        <v>0</v>
      </c>
      <c r="BL92" s="123" t="str">
        <f t="shared" si="384"/>
        <v/>
      </c>
      <c r="BM92" s="113" t="e">
        <f t="shared" si="48"/>
        <v>#VALUE!</v>
      </c>
      <c r="BN92" s="116" t="str">
        <f t="shared" si="328"/>
        <v/>
      </c>
      <c r="BO92" s="115">
        <f t="shared" si="336"/>
        <v>89520</v>
      </c>
      <c r="BP92" s="326" t="str">
        <f t="shared" si="385"/>
        <v/>
      </c>
      <c r="BQ92" s="326" t="e">
        <f t="shared" si="51"/>
        <v>#VALUE!</v>
      </c>
      <c r="BR92" s="326" t="str">
        <f t="shared" si="329"/>
        <v/>
      </c>
      <c r="BS92" s="332">
        <f t="shared" si="330"/>
        <v>0</v>
      </c>
      <c r="BT92" s="140" t="e">
        <f t="shared" ref="BT92:BV92" si="424">SUM(BQ92,BM92,BI92)</f>
        <v>#VALUE!</v>
      </c>
      <c r="BU92" s="326">
        <f t="shared" si="424"/>
        <v>0</v>
      </c>
      <c r="BV92" s="333">
        <f t="shared" si="424"/>
        <v>89520</v>
      </c>
      <c r="BW92" s="125" t="str">
        <f t="shared" si="387"/>
        <v/>
      </c>
      <c r="BX92" s="140" t="e">
        <f t="shared" si="56"/>
        <v>#VALUE!</v>
      </c>
      <c r="BY92" s="123" t="str">
        <f t="shared" si="332"/>
        <v/>
      </c>
      <c r="BZ92" s="333">
        <f t="shared" si="333"/>
        <v>1205254.26</v>
      </c>
      <c r="CA92" s="123" t="str">
        <f t="shared" si="388"/>
        <v/>
      </c>
      <c r="CB92" s="326" t="str">
        <f t="shared" si="389"/>
        <v/>
      </c>
      <c r="CF92" s="294"/>
      <c r="CG92" s="294"/>
      <c r="CH92" s="294"/>
      <c r="CI92" s="294"/>
      <c r="CJ92" s="294"/>
      <c r="CK92" s="294"/>
      <c r="CL92" s="294"/>
      <c r="CM92" s="294"/>
      <c r="CN92" s="294"/>
    </row>
    <row r="93" spans="1:92" ht="13">
      <c r="A93" s="325">
        <f t="shared" si="297"/>
        <v>112013332</v>
      </c>
      <c r="B93" s="324">
        <f t="shared" si="298"/>
        <v>1</v>
      </c>
      <c r="C93" s="558" t="str">
        <f t="shared" si="299"/>
        <v>Lista</v>
      </c>
      <c r="D93" s="558">
        <f t="shared" si="300"/>
        <v>0.09</v>
      </c>
      <c r="E93" s="715">
        <f t="shared" si="301"/>
        <v>0</v>
      </c>
      <c r="F93" s="547">
        <f t="shared" si="302"/>
        <v>1</v>
      </c>
      <c r="G93" s="699" t="str">
        <f t="shared" si="303"/>
        <v>Lista</v>
      </c>
      <c r="H93" s="699">
        <f t="shared" si="304"/>
        <v>0.09</v>
      </c>
      <c r="I93" s="702">
        <f t="shared" si="305"/>
        <v>0</v>
      </c>
      <c r="J93" s="837">
        <f t="shared" si="306"/>
        <v>71</v>
      </c>
      <c r="K93" s="699" t="str">
        <f t="shared" si="399"/>
        <v>Lista</v>
      </c>
      <c r="L93" s="1040">
        <f t="shared" si="400"/>
        <v>0.05</v>
      </c>
      <c r="M93" s="423" t="s">
        <v>1482</v>
      </c>
      <c r="N93" s="326"/>
      <c r="O93" s="332"/>
      <c r="P93" s="113" t="e">
        <f t="shared" si="12"/>
        <v>#VALUE!</v>
      </c>
      <c r="Q93" s="116" t="str">
        <f t="shared" si="308"/>
        <v/>
      </c>
      <c r="R93" s="117" t="str">
        <f t="shared" si="309"/>
        <v>0</v>
      </c>
      <c r="S93" s="114"/>
      <c r="T93" s="116"/>
      <c r="U93" s="116">
        <f t="shared" si="310"/>
        <v>547093.38</v>
      </c>
      <c r="V93" s="116">
        <v>3000000</v>
      </c>
      <c r="W93" s="116" t="e">
        <f t="shared" si="16"/>
        <v>#VALUE!</v>
      </c>
      <c r="X93" s="116" t="str">
        <f t="shared" si="311"/>
        <v/>
      </c>
      <c r="Y93" s="116" t="str">
        <f t="shared" si="312"/>
        <v>0</v>
      </c>
      <c r="Z93" s="326"/>
      <c r="AA93" s="326"/>
      <c r="AB93" s="326">
        <f t="shared" si="313"/>
        <v>-111567.6</v>
      </c>
      <c r="AC93" s="332">
        <v>1800000</v>
      </c>
      <c r="AD93" s="140" t="e">
        <f t="shared" si="20"/>
        <v>#VALUE!</v>
      </c>
      <c r="AE93" s="326" t="str">
        <f t="shared" si="314"/>
        <v/>
      </c>
      <c r="AF93" s="117" t="str">
        <f t="shared" si="315"/>
        <v>0</v>
      </c>
      <c r="AG93" s="123"/>
      <c r="AH93" s="326"/>
      <c r="AI93" s="1257">
        <f t="shared" si="23"/>
        <v>4800000</v>
      </c>
      <c r="AJ93" s="140" t="str">
        <f t="shared" si="316"/>
        <v>0</v>
      </c>
      <c r="AK93" s="123" t="e">
        <f t="shared" ref="AK93:AM93" si="425">AD93+W93+P93</f>
        <v>#VALUE!</v>
      </c>
      <c r="AL93" s="123" t="e">
        <f t="shared" si="425"/>
        <v>#VALUE!</v>
      </c>
      <c r="AM93" s="123">
        <f t="shared" si="425"/>
        <v>0</v>
      </c>
      <c r="AN93" s="123">
        <f t="shared" si="26"/>
        <v>0</v>
      </c>
      <c r="AO93" s="1317" t="str">
        <f t="shared" si="62"/>
        <v/>
      </c>
      <c r="AP93" s="434">
        <f t="shared" si="318"/>
        <v>0</v>
      </c>
      <c r="AQ93" s="1318" t="e">
        <f t="shared" si="28"/>
        <v>#VALUE!</v>
      </c>
      <c r="AR93" s="1319" t="str">
        <f t="shared" si="319"/>
        <v/>
      </c>
      <c r="AS93" s="1320" t="str">
        <f t="shared" si="320"/>
        <v>0</v>
      </c>
      <c r="AT93" s="125">
        <f t="shared" si="380"/>
        <v>0</v>
      </c>
      <c r="AU93" s="140" t="e">
        <f t="shared" si="32"/>
        <v>#VALUE!</v>
      </c>
      <c r="AV93" s="326" t="str">
        <f t="shared" si="321"/>
        <v/>
      </c>
      <c r="AW93" s="333" t="str">
        <f t="shared" si="322"/>
        <v>0</v>
      </c>
      <c r="AX93" s="125">
        <f t="shared" si="381"/>
        <v>0</v>
      </c>
      <c r="AY93" s="140" t="e">
        <f t="shared" si="36"/>
        <v>#VALUE!</v>
      </c>
      <c r="AZ93" s="326" t="str">
        <f t="shared" si="323"/>
        <v/>
      </c>
      <c r="BA93" s="332" t="str">
        <f t="shared" si="324"/>
        <v>0</v>
      </c>
      <c r="BB93" s="122" t="e">
        <f t="shared" ref="BB93:BD93" si="426">SUM(AY93,AU93,AQ93)</f>
        <v>#VALUE!</v>
      </c>
      <c r="BC93" s="326">
        <f t="shared" si="426"/>
        <v>0</v>
      </c>
      <c r="BD93" s="333">
        <f t="shared" si="426"/>
        <v>0</v>
      </c>
      <c r="BE93" s="123" t="e">
        <f t="shared" si="40"/>
        <v>#VALUE!</v>
      </c>
      <c r="BF93" s="326">
        <f t="shared" si="41"/>
        <v>0</v>
      </c>
      <c r="BG93" s="435">
        <f t="shared" si="42"/>
        <v>0</v>
      </c>
      <c r="BH93" s="125">
        <f t="shared" si="383"/>
        <v>0</v>
      </c>
      <c r="BI93" s="1041" t="e">
        <f t="shared" si="44"/>
        <v>#VALUE!</v>
      </c>
      <c r="BJ93" s="123" t="str">
        <f t="shared" si="326"/>
        <v/>
      </c>
      <c r="BK93" s="326" t="str">
        <f t="shared" si="327"/>
        <v>0</v>
      </c>
      <c r="BL93" s="123">
        <f t="shared" si="384"/>
        <v>0</v>
      </c>
      <c r="BM93" s="113" t="e">
        <f t="shared" si="48"/>
        <v>#VALUE!</v>
      </c>
      <c r="BN93" s="116" t="str">
        <f t="shared" si="328"/>
        <v/>
      </c>
      <c r="BO93" s="115" t="str">
        <f t="shared" si="336"/>
        <v>0</v>
      </c>
      <c r="BP93" s="326">
        <f t="shared" si="385"/>
        <v>0</v>
      </c>
      <c r="BQ93" s="326" t="e">
        <f t="shared" si="51"/>
        <v>#VALUE!</v>
      </c>
      <c r="BR93" s="326" t="str">
        <f t="shared" si="329"/>
        <v/>
      </c>
      <c r="BS93" s="332" t="str">
        <f t="shared" si="330"/>
        <v/>
      </c>
      <c r="BT93" s="140" t="e">
        <f t="shared" ref="BT93:BV93" si="427">SUM(BQ93,BM93,BI93)</f>
        <v>#VALUE!</v>
      </c>
      <c r="BU93" s="326">
        <f t="shared" si="427"/>
        <v>0</v>
      </c>
      <c r="BV93" s="333">
        <f t="shared" si="427"/>
        <v>0</v>
      </c>
      <c r="BW93" s="125">
        <f t="shared" si="387"/>
        <v>0</v>
      </c>
      <c r="BX93" s="140" t="e">
        <f t="shared" si="56"/>
        <v>#VALUE!</v>
      </c>
      <c r="BY93" s="123" t="str">
        <f t="shared" si="332"/>
        <v/>
      </c>
      <c r="BZ93" s="333" t="str">
        <f t="shared" si="333"/>
        <v/>
      </c>
      <c r="CA93" s="123">
        <f t="shared" si="388"/>
        <v>0</v>
      </c>
      <c r="CB93" s="326">
        <f t="shared" si="389"/>
        <v>0</v>
      </c>
      <c r="CF93" s="294"/>
      <c r="CG93" s="294"/>
      <c r="CH93" s="294"/>
      <c r="CI93" s="294"/>
      <c r="CJ93" s="294"/>
      <c r="CK93" s="294"/>
      <c r="CL93" s="294"/>
      <c r="CM93" s="294"/>
      <c r="CN93" s="294"/>
    </row>
    <row r="94" spans="1:92" ht="13">
      <c r="A94" s="325">
        <f t="shared" si="297"/>
        <v>112013744</v>
      </c>
      <c r="B94" s="324">
        <f t="shared" si="298"/>
        <v>1</v>
      </c>
      <c r="C94" s="558" t="str">
        <f t="shared" si="299"/>
        <v>Lista</v>
      </c>
      <c r="D94" s="558">
        <f t="shared" si="300"/>
        <v>0.09</v>
      </c>
      <c r="E94" s="715">
        <f t="shared" si="301"/>
        <v>0</v>
      </c>
      <c r="F94" s="547">
        <f t="shared" si="302"/>
        <v>1</v>
      </c>
      <c r="G94" s="699" t="str">
        <f t="shared" si="303"/>
        <v>Lista</v>
      </c>
      <c r="H94" s="699">
        <f t="shared" si="304"/>
        <v>0.09</v>
      </c>
      <c r="I94" s="702">
        <f t="shared" si="305"/>
        <v>0</v>
      </c>
      <c r="J94" s="837">
        <f t="shared" si="306"/>
        <v>71</v>
      </c>
      <c r="K94" s="699" t="str">
        <f t="shared" si="399"/>
        <v>Lista</v>
      </c>
      <c r="L94" s="1040">
        <f t="shared" si="400"/>
        <v>0.05</v>
      </c>
      <c r="M94" s="423" t="s">
        <v>1483</v>
      </c>
      <c r="N94" s="326"/>
      <c r="O94" s="332"/>
      <c r="P94" s="113" t="e">
        <f t="shared" si="12"/>
        <v>#VALUE!</v>
      </c>
      <c r="Q94" s="116" t="str">
        <f t="shared" si="308"/>
        <v/>
      </c>
      <c r="R94" s="117" t="str">
        <f t="shared" si="309"/>
        <v>0</v>
      </c>
      <c r="S94" s="114"/>
      <c r="T94" s="116"/>
      <c r="U94" s="116">
        <f t="shared" si="310"/>
        <v>0</v>
      </c>
      <c r="V94" s="116">
        <v>3000000</v>
      </c>
      <c r="W94" s="116" t="e">
        <f t="shared" si="16"/>
        <v>#VALUE!</v>
      </c>
      <c r="X94" s="116" t="str">
        <f t="shared" si="311"/>
        <v/>
      </c>
      <c r="Y94" s="116" t="str">
        <f t="shared" si="312"/>
        <v>0</v>
      </c>
      <c r="Z94" s="326"/>
      <c r="AA94" s="326"/>
      <c r="AB94" s="326">
        <f t="shared" si="313"/>
        <v>0</v>
      </c>
      <c r="AC94" s="332">
        <v>1800000</v>
      </c>
      <c r="AD94" s="140" t="e">
        <f t="shared" si="20"/>
        <v>#VALUE!</v>
      </c>
      <c r="AE94" s="326" t="str">
        <f t="shared" si="314"/>
        <v/>
      </c>
      <c r="AF94" s="117" t="str">
        <f t="shared" si="315"/>
        <v>0</v>
      </c>
      <c r="AG94" s="123"/>
      <c r="AH94" s="326"/>
      <c r="AI94" s="1257">
        <f t="shared" si="23"/>
        <v>4800000</v>
      </c>
      <c r="AJ94" s="140">
        <f t="shared" si="316"/>
        <v>50513.599999999999</v>
      </c>
      <c r="AK94" s="123" t="e">
        <f t="shared" ref="AK94:AM94" si="428">AD94+W94+P94</f>
        <v>#VALUE!</v>
      </c>
      <c r="AL94" s="123" t="e">
        <f t="shared" si="428"/>
        <v>#VALUE!</v>
      </c>
      <c r="AM94" s="123">
        <f t="shared" si="428"/>
        <v>0</v>
      </c>
      <c r="AN94" s="123">
        <f t="shared" si="26"/>
        <v>-50513.599999999999</v>
      </c>
      <c r="AO94" s="1317">
        <f t="shared" si="62"/>
        <v>-1</v>
      </c>
      <c r="AP94" s="434">
        <f t="shared" si="318"/>
        <v>0</v>
      </c>
      <c r="AQ94" s="1318" t="e">
        <f t="shared" si="28"/>
        <v>#VALUE!</v>
      </c>
      <c r="AR94" s="1319" t="str">
        <f t="shared" si="319"/>
        <v/>
      </c>
      <c r="AS94" s="1320" t="str">
        <f t="shared" si="320"/>
        <v>0</v>
      </c>
      <c r="AT94" s="125">
        <f t="shared" si="380"/>
        <v>0</v>
      </c>
      <c r="AU94" s="140" t="e">
        <f t="shared" si="32"/>
        <v>#VALUE!</v>
      </c>
      <c r="AV94" s="326" t="str">
        <f t="shared" si="321"/>
        <v/>
      </c>
      <c r="AW94" s="333" t="str">
        <f t="shared" si="322"/>
        <v>0</v>
      </c>
      <c r="AX94" s="125">
        <f t="shared" si="381"/>
        <v>0</v>
      </c>
      <c r="AY94" s="140" t="e">
        <f t="shared" si="36"/>
        <v>#VALUE!</v>
      </c>
      <c r="AZ94" s="326" t="str">
        <f t="shared" si="323"/>
        <v/>
      </c>
      <c r="BA94" s="332" t="str">
        <f t="shared" si="324"/>
        <v>0</v>
      </c>
      <c r="BB94" s="122" t="e">
        <f t="shared" ref="BB94:BD94" si="429">SUM(AY94,AU94,AQ94)</f>
        <v>#VALUE!</v>
      </c>
      <c r="BC94" s="326">
        <f t="shared" si="429"/>
        <v>0</v>
      </c>
      <c r="BD94" s="333">
        <f t="shared" si="429"/>
        <v>0</v>
      </c>
      <c r="BE94" s="123" t="e">
        <f t="shared" si="40"/>
        <v>#VALUE!</v>
      </c>
      <c r="BF94" s="326">
        <f t="shared" si="41"/>
        <v>0</v>
      </c>
      <c r="BG94" s="435">
        <f t="shared" si="42"/>
        <v>0</v>
      </c>
      <c r="BH94" s="125">
        <f t="shared" si="383"/>
        <v>0</v>
      </c>
      <c r="BI94" s="1041" t="e">
        <f t="shared" si="44"/>
        <v>#VALUE!</v>
      </c>
      <c r="BJ94" s="123" t="str">
        <f t="shared" si="326"/>
        <v/>
      </c>
      <c r="BK94" s="326" t="str">
        <f t="shared" si="327"/>
        <v>0</v>
      </c>
      <c r="BL94" s="123">
        <f t="shared" si="384"/>
        <v>146101.1</v>
      </c>
      <c r="BM94" s="113" t="e">
        <f t="shared" si="48"/>
        <v>#VALUE!</v>
      </c>
      <c r="BN94" s="116" t="str">
        <f t="shared" si="328"/>
        <v/>
      </c>
      <c r="BO94" s="115" t="str">
        <f t="shared" si="336"/>
        <v>0</v>
      </c>
      <c r="BP94" s="326">
        <f t="shared" si="385"/>
        <v>0</v>
      </c>
      <c r="BQ94" s="326" t="e">
        <f t="shared" si="51"/>
        <v>#VALUE!</v>
      </c>
      <c r="BR94" s="326" t="str">
        <f t="shared" si="329"/>
        <v/>
      </c>
      <c r="BS94" s="332" t="str">
        <f t="shared" si="330"/>
        <v/>
      </c>
      <c r="BT94" s="140" t="e">
        <f t="shared" ref="BT94:BV94" si="430">SUM(BQ94,BM94,BI94)</f>
        <v>#VALUE!</v>
      </c>
      <c r="BU94" s="326">
        <f t="shared" si="430"/>
        <v>0</v>
      </c>
      <c r="BV94" s="333">
        <f t="shared" si="430"/>
        <v>0</v>
      </c>
      <c r="BW94" s="125">
        <f t="shared" si="387"/>
        <v>0</v>
      </c>
      <c r="BX94" s="140" t="e">
        <f t="shared" si="56"/>
        <v>#VALUE!</v>
      </c>
      <c r="BY94" s="123" t="str">
        <f t="shared" si="332"/>
        <v/>
      </c>
      <c r="BZ94" s="333" t="str">
        <f t="shared" si="333"/>
        <v/>
      </c>
      <c r="CA94" s="123">
        <f t="shared" si="388"/>
        <v>50513.599999999999</v>
      </c>
      <c r="CB94" s="326">
        <f t="shared" si="389"/>
        <v>0</v>
      </c>
      <c r="CF94" s="294"/>
      <c r="CG94" s="294"/>
      <c r="CH94" s="294"/>
      <c r="CI94" s="294"/>
      <c r="CJ94" s="294"/>
      <c r="CK94" s="294"/>
      <c r="CL94" s="294"/>
      <c r="CM94" s="294"/>
      <c r="CN94" s="294"/>
    </row>
    <row r="95" spans="1:92" ht="13">
      <c r="A95" s="325">
        <f t="shared" si="297"/>
        <v>112013990</v>
      </c>
      <c r="B95" s="324">
        <f t="shared" si="298"/>
        <v>1</v>
      </c>
      <c r="C95" s="558" t="str">
        <f t="shared" si="299"/>
        <v>Lista</v>
      </c>
      <c r="D95" s="558">
        <f t="shared" si="300"/>
        <v>0.09</v>
      </c>
      <c r="E95" s="715">
        <f t="shared" si="301"/>
        <v>0</v>
      </c>
      <c r="F95" s="547">
        <f t="shared" si="302"/>
        <v>1</v>
      </c>
      <c r="G95" s="699" t="str">
        <f t="shared" si="303"/>
        <v>Lista</v>
      </c>
      <c r="H95" s="699">
        <f t="shared" si="304"/>
        <v>0.09</v>
      </c>
      <c r="I95" s="702">
        <f t="shared" si="305"/>
        <v>0</v>
      </c>
      <c r="J95" s="837">
        <f t="shared" si="306"/>
        <v>71</v>
      </c>
      <c r="K95" s="699" t="str">
        <f t="shared" si="399"/>
        <v>Lista</v>
      </c>
      <c r="L95" s="1040">
        <f t="shared" si="400"/>
        <v>0.05</v>
      </c>
      <c r="M95" s="423" t="s">
        <v>1484</v>
      </c>
      <c r="N95" s="326"/>
      <c r="O95" s="332"/>
      <c r="P95" s="113" t="e">
        <f t="shared" si="12"/>
        <v>#VALUE!</v>
      </c>
      <c r="Q95" s="116" t="str">
        <f t="shared" si="308"/>
        <v/>
      </c>
      <c r="R95" s="117" t="str">
        <f t="shared" si="309"/>
        <v>0</v>
      </c>
      <c r="S95" s="114"/>
      <c r="T95" s="116"/>
      <c r="U95" s="116" t="str">
        <f t="shared" si="310"/>
        <v/>
      </c>
      <c r="V95" s="116">
        <v>3000000</v>
      </c>
      <c r="W95" s="116" t="e">
        <f t="shared" si="16"/>
        <v>#VALUE!</v>
      </c>
      <c r="X95" s="116" t="str">
        <f t="shared" si="311"/>
        <v/>
      </c>
      <c r="Y95" s="116" t="str">
        <f t="shared" si="312"/>
        <v>0</v>
      </c>
      <c r="Z95" s="326"/>
      <c r="AA95" s="326"/>
      <c r="AB95" s="326" t="str">
        <f t="shared" si="313"/>
        <v/>
      </c>
      <c r="AC95" s="332">
        <v>1800000</v>
      </c>
      <c r="AD95" s="140" t="e">
        <f t="shared" si="20"/>
        <v>#VALUE!</v>
      </c>
      <c r="AE95" s="326" t="str">
        <f t="shared" si="314"/>
        <v/>
      </c>
      <c r="AF95" s="117" t="str">
        <f t="shared" si="315"/>
        <v>0</v>
      </c>
      <c r="AG95" s="123"/>
      <c r="AH95" s="326"/>
      <c r="AI95" s="1257">
        <f t="shared" si="23"/>
        <v>4800000</v>
      </c>
      <c r="AJ95" s="140" t="str">
        <f t="shared" si="316"/>
        <v>0</v>
      </c>
      <c r="AK95" s="123" t="e">
        <f t="shared" ref="AK95:AM95" si="431">AD95+W95+P95</f>
        <v>#VALUE!</v>
      </c>
      <c r="AL95" s="123" t="e">
        <f t="shared" si="431"/>
        <v>#VALUE!</v>
      </c>
      <c r="AM95" s="123">
        <f t="shared" si="431"/>
        <v>0</v>
      </c>
      <c r="AN95" s="123">
        <f t="shared" si="26"/>
        <v>0</v>
      </c>
      <c r="AO95" s="1317" t="str">
        <f t="shared" si="62"/>
        <v/>
      </c>
      <c r="AP95" s="434" t="str">
        <f t="shared" si="318"/>
        <v/>
      </c>
      <c r="AQ95" s="1318" t="e">
        <f t="shared" si="28"/>
        <v>#VALUE!</v>
      </c>
      <c r="AR95" s="1319" t="str">
        <f t="shared" si="319"/>
        <v/>
      </c>
      <c r="AS95" s="1320" t="str">
        <f t="shared" si="320"/>
        <v>0</v>
      </c>
      <c r="AT95" s="125" t="str">
        <f t="shared" si="380"/>
        <v/>
      </c>
      <c r="AU95" s="140" t="e">
        <f t="shared" si="32"/>
        <v>#VALUE!</v>
      </c>
      <c r="AV95" s="326" t="str">
        <f t="shared" si="321"/>
        <v/>
      </c>
      <c r="AW95" s="333" t="str">
        <f t="shared" si="322"/>
        <v>0</v>
      </c>
      <c r="AX95" s="125" t="str">
        <f t="shared" si="381"/>
        <v/>
      </c>
      <c r="AY95" s="140" t="e">
        <f t="shared" si="36"/>
        <v>#VALUE!</v>
      </c>
      <c r="AZ95" s="326" t="str">
        <f t="shared" si="323"/>
        <v/>
      </c>
      <c r="BA95" s="332" t="str">
        <f t="shared" si="324"/>
        <v>0</v>
      </c>
      <c r="BB95" s="122" t="e">
        <f t="shared" ref="BB95:BD95" si="432">SUM(AY95,AU95,AQ95)</f>
        <v>#VALUE!</v>
      </c>
      <c r="BC95" s="326">
        <f t="shared" si="432"/>
        <v>0</v>
      </c>
      <c r="BD95" s="333">
        <f t="shared" si="432"/>
        <v>0</v>
      </c>
      <c r="BE95" s="123" t="e">
        <f t="shared" si="40"/>
        <v>#VALUE!</v>
      </c>
      <c r="BF95" s="326">
        <f t="shared" si="41"/>
        <v>0</v>
      </c>
      <c r="BG95" s="435">
        <f t="shared" si="42"/>
        <v>0</v>
      </c>
      <c r="BH95" s="125" t="str">
        <f t="shared" si="383"/>
        <v/>
      </c>
      <c r="BI95" s="1041" t="e">
        <f t="shared" si="44"/>
        <v>#VALUE!</v>
      </c>
      <c r="BJ95" s="123" t="str">
        <f t="shared" si="326"/>
        <v/>
      </c>
      <c r="BK95" s="326" t="str">
        <f t="shared" si="327"/>
        <v>0</v>
      </c>
      <c r="BL95" s="123" t="str">
        <f t="shared" si="384"/>
        <v/>
      </c>
      <c r="BM95" s="113" t="e">
        <f t="shared" si="48"/>
        <v>#VALUE!</v>
      </c>
      <c r="BN95" s="116" t="str">
        <f t="shared" si="328"/>
        <v/>
      </c>
      <c r="BO95" s="115" t="str">
        <f t="shared" si="336"/>
        <v>0</v>
      </c>
      <c r="BP95" s="326" t="str">
        <f t="shared" si="385"/>
        <v/>
      </c>
      <c r="BQ95" s="326" t="e">
        <f t="shared" si="51"/>
        <v>#VALUE!</v>
      </c>
      <c r="BR95" s="326" t="str">
        <f t="shared" si="329"/>
        <v/>
      </c>
      <c r="BS95" s="332" t="str">
        <f t="shared" si="330"/>
        <v/>
      </c>
      <c r="BT95" s="140" t="e">
        <f t="shared" ref="BT95:BV95" si="433">SUM(BQ95,BM95,BI95)</f>
        <v>#VALUE!</v>
      </c>
      <c r="BU95" s="326">
        <f t="shared" si="433"/>
        <v>0</v>
      </c>
      <c r="BV95" s="333">
        <f t="shared" si="433"/>
        <v>0</v>
      </c>
      <c r="BW95" s="125" t="str">
        <f t="shared" si="387"/>
        <v/>
      </c>
      <c r="BX95" s="140" t="e">
        <f t="shared" si="56"/>
        <v>#VALUE!</v>
      </c>
      <c r="BY95" s="123" t="str">
        <f t="shared" si="332"/>
        <v/>
      </c>
      <c r="BZ95" s="333" t="str">
        <f t="shared" si="333"/>
        <v/>
      </c>
      <c r="CA95" s="123" t="str">
        <f t="shared" si="388"/>
        <v/>
      </c>
      <c r="CB95" s="326" t="str">
        <f t="shared" si="389"/>
        <v/>
      </c>
      <c r="CF95" s="294"/>
      <c r="CG95" s="294"/>
      <c r="CH95" s="294"/>
      <c r="CI95" s="294"/>
      <c r="CJ95" s="294"/>
      <c r="CK95" s="294"/>
      <c r="CL95" s="294"/>
      <c r="CM95" s="294"/>
      <c r="CN95" s="294"/>
    </row>
    <row r="96" spans="1:92" ht="13">
      <c r="A96" s="325">
        <f t="shared" si="297"/>
        <v>112014414</v>
      </c>
      <c r="B96" s="324">
        <f t="shared" si="298"/>
        <v>1</v>
      </c>
      <c r="C96" s="558" t="str">
        <f t="shared" si="299"/>
        <v>Lista</v>
      </c>
      <c r="D96" s="558">
        <f t="shared" si="300"/>
        <v>0.09</v>
      </c>
      <c r="E96" s="715">
        <f t="shared" si="301"/>
        <v>0</v>
      </c>
      <c r="F96" s="547">
        <f t="shared" si="302"/>
        <v>1</v>
      </c>
      <c r="G96" s="699" t="str">
        <f t="shared" si="303"/>
        <v>Lista</v>
      </c>
      <c r="H96" s="699">
        <f t="shared" si="304"/>
        <v>0.09</v>
      </c>
      <c r="I96" s="702">
        <f t="shared" si="305"/>
        <v>0</v>
      </c>
      <c r="J96" s="837">
        <f t="shared" si="306"/>
        <v>71</v>
      </c>
      <c r="K96" s="699" t="str">
        <f t="shared" si="399"/>
        <v>Lista</v>
      </c>
      <c r="L96" s="1040">
        <f t="shared" si="400"/>
        <v>0.05</v>
      </c>
      <c r="M96" s="423" t="s">
        <v>1485</v>
      </c>
      <c r="N96" s="326"/>
      <c r="O96" s="332"/>
      <c r="P96" s="113" t="e">
        <f t="shared" si="12"/>
        <v>#VALUE!</v>
      </c>
      <c r="Q96" s="116" t="str">
        <f t="shared" si="308"/>
        <v/>
      </c>
      <c r="R96" s="117" t="str">
        <f t="shared" si="309"/>
        <v>0</v>
      </c>
      <c r="S96" s="114"/>
      <c r="T96" s="116"/>
      <c r="U96" s="116">
        <f t="shared" si="310"/>
        <v>0</v>
      </c>
      <c r="V96" s="116">
        <v>3000000</v>
      </c>
      <c r="W96" s="116" t="e">
        <f t="shared" si="16"/>
        <v>#VALUE!</v>
      </c>
      <c r="X96" s="116" t="str">
        <f t="shared" si="311"/>
        <v/>
      </c>
      <c r="Y96" s="116" t="str">
        <f t="shared" si="312"/>
        <v>0</v>
      </c>
      <c r="Z96" s="326"/>
      <c r="AA96" s="326"/>
      <c r="AB96" s="326">
        <f t="shared" si="313"/>
        <v>0</v>
      </c>
      <c r="AC96" s="332">
        <v>1800000</v>
      </c>
      <c r="AD96" s="140" t="e">
        <f t="shared" si="20"/>
        <v>#VALUE!</v>
      </c>
      <c r="AE96" s="326" t="str">
        <f t="shared" si="314"/>
        <v/>
      </c>
      <c r="AF96" s="117" t="str">
        <f t="shared" si="315"/>
        <v>0</v>
      </c>
      <c r="AG96" s="123"/>
      <c r="AH96" s="326"/>
      <c r="AI96" s="1257">
        <f t="shared" si="23"/>
        <v>4800000</v>
      </c>
      <c r="AJ96" s="140" t="str">
        <f t="shared" si="316"/>
        <v>0</v>
      </c>
      <c r="AK96" s="123" t="e">
        <f t="shared" ref="AK96:AM96" si="434">AD96+W96+P96</f>
        <v>#VALUE!</v>
      </c>
      <c r="AL96" s="123" t="e">
        <f t="shared" si="434"/>
        <v>#VALUE!</v>
      </c>
      <c r="AM96" s="123">
        <f t="shared" si="434"/>
        <v>0</v>
      </c>
      <c r="AN96" s="123">
        <f t="shared" si="26"/>
        <v>0</v>
      </c>
      <c r="AO96" s="1317" t="str">
        <f t="shared" si="62"/>
        <v/>
      </c>
      <c r="AP96" s="434">
        <f t="shared" si="318"/>
        <v>0</v>
      </c>
      <c r="AQ96" s="1318" t="e">
        <f t="shared" si="28"/>
        <v>#VALUE!</v>
      </c>
      <c r="AR96" s="1319" t="str">
        <f t="shared" si="319"/>
        <v/>
      </c>
      <c r="AS96" s="1320" t="str">
        <f t="shared" si="320"/>
        <v>0</v>
      </c>
      <c r="AT96" s="125">
        <f t="shared" si="380"/>
        <v>0</v>
      </c>
      <c r="AU96" s="140" t="e">
        <f t="shared" si="32"/>
        <v>#VALUE!</v>
      </c>
      <c r="AV96" s="326" t="str">
        <f t="shared" si="321"/>
        <v/>
      </c>
      <c r="AW96" s="333" t="str">
        <f t="shared" si="322"/>
        <v>0</v>
      </c>
      <c r="AX96" s="125">
        <f t="shared" si="381"/>
        <v>0</v>
      </c>
      <c r="AY96" s="140" t="e">
        <f t="shared" si="36"/>
        <v>#VALUE!</v>
      </c>
      <c r="AZ96" s="326" t="str">
        <f t="shared" si="323"/>
        <v/>
      </c>
      <c r="BA96" s="332" t="str">
        <f t="shared" si="324"/>
        <v>0</v>
      </c>
      <c r="BB96" s="122" t="e">
        <f t="shared" ref="BB96:BD96" si="435">SUM(AY96,AU96,AQ96)</f>
        <v>#VALUE!</v>
      </c>
      <c r="BC96" s="326">
        <f t="shared" si="435"/>
        <v>0</v>
      </c>
      <c r="BD96" s="333">
        <f t="shared" si="435"/>
        <v>0</v>
      </c>
      <c r="BE96" s="123" t="e">
        <f t="shared" si="40"/>
        <v>#VALUE!</v>
      </c>
      <c r="BF96" s="326">
        <f t="shared" si="41"/>
        <v>0</v>
      </c>
      <c r="BG96" s="435">
        <f t="shared" si="42"/>
        <v>0</v>
      </c>
      <c r="BH96" s="125">
        <f t="shared" si="383"/>
        <v>0</v>
      </c>
      <c r="BI96" s="1041" t="e">
        <f t="shared" si="44"/>
        <v>#VALUE!</v>
      </c>
      <c r="BJ96" s="123" t="str">
        <f t="shared" si="326"/>
        <v/>
      </c>
      <c r="BK96" s="326" t="str">
        <f t="shared" si="327"/>
        <v>0</v>
      </c>
      <c r="BL96" s="123">
        <f t="shared" si="384"/>
        <v>0</v>
      </c>
      <c r="BM96" s="113" t="e">
        <f t="shared" si="48"/>
        <v>#VALUE!</v>
      </c>
      <c r="BN96" s="116" t="str">
        <f t="shared" si="328"/>
        <v/>
      </c>
      <c r="BO96" s="115" t="str">
        <f t="shared" si="336"/>
        <v>0</v>
      </c>
      <c r="BP96" s="326">
        <f t="shared" si="385"/>
        <v>0</v>
      </c>
      <c r="BQ96" s="326" t="e">
        <f t="shared" si="51"/>
        <v>#VALUE!</v>
      </c>
      <c r="BR96" s="326" t="str">
        <f t="shared" si="329"/>
        <v/>
      </c>
      <c r="BS96" s="332" t="str">
        <f t="shared" si="330"/>
        <v/>
      </c>
      <c r="BT96" s="140" t="e">
        <f t="shared" ref="BT96:BV96" si="436">SUM(BQ96,BM96,BI96)</f>
        <v>#VALUE!</v>
      </c>
      <c r="BU96" s="326">
        <f t="shared" si="436"/>
        <v>0</v>
      </c>
      <c r="BV96" s="333">
        <f t="shared" si="436"/>
        <v>0</v>
      </c>
      <c r="BW96" s="125">
        <f t="shared" si="387"/>
        <v>0</v>
      </c>
      <c r="BX96" s="140" t="e">
        <f t="shared" si="56"/>
        <v>#VALUE!</v>
      </c>
      <c r="BY96" s="123" t="str">
        <f t="shared" si="332"/>
        <v/>
      </c>
      <c r="BZ96" s="333" t="str">
        <f t="shared" si="333"/>
        <v/>
      </c>
      <c r="CA96" s="123">
        <f t="shared" si="388"/>
        <v>0</v>
      </c>
      <c r="CB96" s="326">
        <f t="shared" si="389"/>
        <v>0</v>
      </c>
      <c r="CF96" s="294"/>
      <c r="CG96" s="294"/>
      <c r="CH96" s="294"/>
      <c r="CI96" s="294"/>
      <c r="CJ96" s="294"/>
      <c r="CK96" s="294"/>
      <c r="CL96" s="294"/>
      <c r="CM96" s="294"/>
      <c r="CN96" s="294"/>
    </row>
    <row r="97" spans="1:114" ht="13">
      <c r="A97" s="325">
        <f t="shared" si="297"/>
        <v>112014586</v>
      </c>
      <c r="B97" s="324">
        <f t="shared" si="298"/>
        <v>1</v>
      </c>
      <c r="C97" s="558" t="str">
        <f t="shared" si="299"/>
        <v>Lista</v>
      </c>
      <c r="D97" s="558">
        <f t="shared" si="300"/>
        <v>0.09</v>
      </c>
      <c r="E97" s="715">
        <f t="shared" si="301"/>
        <v>0</v>
      </c>
      <c r="F97" s="547">
        <f t="shared" si="302"/>
        <v>1</v>
      </c>
      <c r="G97" s="699" t="str">
        <f t="shared" si="303"/>
        <v>Lista</v>
      </c>
      <c r="H97" s="699">
        <f t="shared" si="304"/>
        <v>0.09</v>
      </c>
      <c r="I97" s="702">
        <f t="shared" si="305"/>
        <v>0</v>
      </c>
      <c r="J97" s="837">
        <f t="shared" si="306"/>
        <v>71</v>
      </c>
      <c r="K97" s="699" t="str">
        <f t="shared" si="399"/>
        <v>Lista</v>
      </c>
      <c r="L97" s="1040">
        <f t="shared" si="400"/>
        <v>0.05</v>
      </c>
      <c r="M97" s="423" t="s">
        <v>1486</v>
      </c>
      <c r="N97" s="326"/>
      <c r="O97" s="332"/>
      <c r="P97" s="113" t="e">
        <f t="shared" si="12"/>
        <v>#VALUE!</v>
      </c>
      <c r="Q97" s="116" t="str">
        <f t="shared" si="308"/>
        <v/>
      </c>
      <c r="R97" s="117">
        <f t="shared" si="309"/>
        <v>347917.52</v>
      </c>
      <c r="S97" s="114"/>
      <c r="T97" s="116"/>
      <c r="U97" s="116">
        <f t="shared" si="310"/>
        <v>0</v>
      </c>
      <c r="V97" s="116">
        <v>3000000</v>
      </c>
      <c r="W97" s="116" t="e">
        <f t="shared" si="16"/>
        <v>#VALUE!</v>
      </c>
      <c r="X97" s="116" t="str">
        <f t="shared" si="311"/>
        <v/>
      </c>
      <c r="Y97" s="116">
        <f t="shared" si="312"/>
        <v>0</v>
      </c>
      <c r="Z97" s="326"/>
      <c r="AA97" s="326"/>
      <c r="AB97" s="326">
        <f t="shared" si="313"/>
        <v>0</v>
      </c>
      <c r="AC97" s="332">
        <v>1800000</v>
      </c>
      <c r="AD97" s="140" t="e">
        <f t="shared" si="20"/>
        <v>#VALUE!</v>
      </c>
      <c r="AE97" s="326" t="str">
        <f t="shared" si="314"/>
        <v/>
      </c>
      <c r="AF97" s="117">
        <f t="shared" si="315"/>
        <v>127666.43</v>
      </c>
      <c r="AG97" s="123"/>
      <c r="AH97" s="326"/>
      <c r="AI97" s="1257">
        <f t="shared" si="23"/>
        <v>4800000</v>
      </c>
      <c r="AJ97" s="140">
        <f t="shared" si="316"/>
        <v>227690.44</v>
      </c>
      <c r="AK97" s="123" t="e">
        <f t="shared" ref="AK97:AM97" si="437">AD97+W97+P97</f>
        <v>#VALUE!</v>
      </c>
      <c r="AL97" s="123" t="e">
        <f t="shared" si="437"/>
        <v>#VALUE!</v>
      </c>
      <c r="AM97" s="123">
        <f t="shared" si="437"/>
        <v>475583.95</v>
      </c>
      <c r="AN97" s="123">
        <f t="shared" si="26"/>
        <v>247893.51</v>
      </c>
      <c r="AO97" s="1317">
        <f t="shared" si="62"/>
        <v>1.0887304271536389</v>
      </c>
      <c r="AP97" s="434">
        <f t="shared" si="318"/>
        <v>0</v>
      </c>
      <c r="AQ97" s="1318" t="e">
        <f t="shared" si="28"/>
        <v>#VALUE!</v>
      </c>
      <c r="AR97" s="1319" t="str">
        <f t="shared" si="319"/>
        <v/>
      </c>
      <c r="AS97" s="1320">
        <f t="shared" si="320"/>
        <v>0</v>
      </c>
      <c r="AT97" s="125">
        <f t="shared" si="380"/>
        <v>0</v>
      </c>
      <c r="AU97" s="140" t="e">
        <f t="shared" si="32"/>
        <v>#VALUE!</v>
      </c>
      <c r="AV97" s="326" t="str">
        <f t="shared" si="321"/>
        <v/>
      </c>
      <c r="AW97" s="333">
        <f t="shared" si="322"/>
        <v>96109.27</v>
      </c>
      <c r="AX97" s="125">
        <f t="shared" si="381"/>
        <v>0</v>
      </c>
      <c r="AY97" s="140" t="e">
        <f t="shared" si="36"/>
        <v>#VALUE!</v>
      </c>
      <c r="AZ97" s="326" t="str">
        <f t="shared" si="323"/>
        <v/>
      </c>
      <c r="BA97" s="332">
        <f t="shared" si="324"/>
        <v>0</v>
      </c>
      <c r="BB97" s="122" t="e">
        <f t="shared" ref="BB97:BD97" si="438">SUM(AY97,AU97,AQ97)</f>
        <v>#VALUE!</v>
      </c>
      <c r="BC97" s="326">
        <f t="shared" si="438"/>
        <v>0</v>
      </c>
      <c r="BD97" s="333">
        <f t="shared" si="438"/>
        <v>96109.27</v>
      </c>
      <c r="BE97" s="123" t="e">
        <f t="shared" si="40"/>
        <v>#VALUE!</v>
      </c>
      <c r="BF97" s="326">
        <f t="shared" si="41"/>
        <v>0</v>
      </c>
      <c r="BG97" s="435">
        <f t="shared" si="42"/>
        <v>571693.22</v>
      </c>
      <c r="BH97" s="125">
        <f t="shared" si="383"/>
        <v>0</v>
      </c>
      <c r="BI97" s="1041" t="e">
        <f t="shared" si="44"/>
        <v>#VALUE!</v>
      </c>
      <c r="BJ97" s="123" t="str">
        <f t="shared" si="326"/>
        <v/>
      </c>
      <c r="BK97" s="326">
        <f t="shared" si="327"/>
        <v>162045.6</v>
      </c>
      <c r="BL97" s="123">
        <f t="shared" si="384"/>
        <v>0</v>
      </c>
      <c r="BM97" s="113" t="e">
        <f t="shared" si="48"/>
        <v>#VALUE!</v>
      </c>
      <c r="BN97" s="116" t="str">
        <f t="shared" si="328"/>
        <v/>
      </c>
      <c r="BO97" s="115">
        <f t="shared" si="336"/>
        <v>83842</v>
      </c>
      <c r="BP97" s="326">
        <f t="shared" si="385"/>
        <v>0</v>
      </c>
      <c r="BQ97" s="326" t="e">
        <f t="shared" si="51"/>
        <v>#VALUE!</v>
      </c>
      <c r="BR97" s="326" t="str">
        <f t="shared" si="329"/>
        <v/>
      </c>
      <c r="BS97" s="332">
        <f t="shared" si="330"/>
        <v>0</v>
      </c>
      <c r="BT97" s="140" t="e">
        <f t="shared" ref="BT97:BV97" si="439">SUM(BQ97,BM97,BI97)</f>
        <v>#VALUE!</v>
      </c>
      <c r="BU97" s="326">
        <f t="shared" si="439"/>
        <v>0</v>
      </c>
      <c r="BV97" s="333">
        <f t="shared" si="439"/>
        <v>245887.6</v>
      </c>
      <c r="BW97" s="125">
        <f t="shared" si="387"/>
        <v>187051.49</v>
      </c>
      <c r="BX97" s="140" t="e">
        <f t="shared" si="56"/>
        <v>#VALUE!</v>
      </c>
      <c r="BY97" s="123" t="str">
        <f t="shared" si="332"/>
        <v/>
      </c>
      <c r="BZ97" s="333">
        <f t="shared" si="333"/>
        <v>176490.78</v>
      </c>
      <c r="CA97" s="123">
        <f t="shared" si="388"/>
        <v>40638.949999999997</v>
      </c>
      <c r="CB97" s="326">
        <f t="shared" si="389"/>
        <v>0</v>
      </c>
      <c r="CF97" s="294"/>
      <c r="CG97" s="294"/>
      <c r="CH97" s="294"/>
      <c r="CI97" s="294"/>
      <c r="CJ97" s="294"/>
      <c r="CK97" s="294"/>
      <c r="CL97" s="294"/>
      <c r="CM97" s="294"/>
      <c r="CN97" s="294"/>
    </row>
    <row r="98" spans="1:114" ht="13">
      <c r="A98" s="325">
        <f t="shared" ref="A98:A117" si="440">VLOOKUP(M98,lavcart4,3,FALSE)</f>
        <v>112014697</v>
      </c>
      <c r="B98" s="324">
        <f t="shared" ref="B98:B117" si="441">VLOOKUP(M98,LAVENIACARTERA,2,FALSE)</f>
        <v>1</v>
      </c>
      <c r="C98" s="558" t="str">
        <f t="shared" ref="C98:C129" si="442">IFERROR(VLOOKUP(B98,DES,2,FALSE),"")</f>
        <v>Lista</v>
      </c>
      <c r="D98" s="558">
        <f t="shared" ref="D98:D117" si="443">IFERROR(VLOOKUP(B98,DES,3,FALSE),"")</f>
        <v>0.09</v>
      </c>
      <c r="E98" s="715">
        <f t="shared" ref="E98:E117" si="444">IFERROR(VLOOKUP(B98,DES,4,FALSE),"")</f>
        <v>0</v>
      </c>
      <c r="F98" s="547">
        <f t="shared" ref="F98:F117" si="445">VLOOKUP(M98,LAVENIACART2,2,FALSE)</f>
        <v>1</v>
      </c>
      <c r="G98" s="699" t="str">
        <f t="shared" ref="G98:G129" si="446">IFERROR(VLOOKUP(F98,DES,2,FALSE),"")</f>
        <v>Lista</v>
      </c>
      <c r="H98" s="699">
        <f t="shared" ref="H98:H117" si="447">IFERROR(VLOOKUP(F98,DES,3,FALSE),"")</f>
        <v>0.09</v>
      </c>
      <c r="I98" s="702">
        <f t="shared" ref="I98:I117" si="448">IFERROR(VLOOKUP(F98,DES,4,FALSE),"")</f>
        <v>0</v>
      </c>
      <c r="J98" s="837">
        <f t="shared" ref="J98:J117" si="449">VLOOKUP(M98,lavcart4,2,FALSE)</f>
        <v>71</v>
      </c>
      <c r="K98" s="699" t="str">
        <f t="shared" si="399"/>
        <v>Lista</v>
      </c>
      <c r="L98" s="1040">
        <f t="shared" si="400"/>
        <v>0.05</v>
      </c>
      <c r="M98" s="943" t="s">
        <v>1487</v>
      </c>
      <c r="N98" s="326"/>
      <c r="O98" s="332"/>
      <c r="P98" s="113" t="e">
        <f t="shared" si="12"/>
        <v>#VALUE!</v>
      </c>
      <c r="Q98" s="116" t="str">
        <f t="shared" ref="Q98:Q117" si="450">IFERROR(VLOOKUP(M98,VANEALIM,3,FALSE),"")</f>
        <v/>
      </c>
      <c r="R98" s="117" t="str">
        <f t="shared" ref="R98:R117" si="451">IFERROR(VLOOKUP(M98,LAVEFC,3,FALSE),"0")</f>
        <v>0</v>
      </c>
      <c r="S98" s="114"/>
      <c r="T98" s="116"/>
      <c r="U98" s="116" t="str">
        <f t="shared" ref="U98:U117" si="452">IFERROR(VLOOKUP(M98,tmkpechhhh24,4,FALSE),"")</f>
        <v/>
      </c>
      <c r="V98" s="116">
        <v>3000000</v>
      </c>
      <c r="W98" s="116" t="e">
        <f t="shared" si="16"/>
        <v>#VALUE!</v>
      </c>
      <c r="X98" s="116" t="str">
        <f t="shared" ref="X98:X117" si="453">IFERROR(VLOOKUP(M98,VANEALIM,4,FALSE),"")</f>
        <v/>
      </c>
      <c r="Y98" s="116" t="str">
        <f t="shared" ref="Y98:Y117" si="454">IFERROR(VLOOKUP(M98,LAVEFC,4,FALSE),"0")</f>
        <v>0</v>
      </c>
      <c r="Z98" s="326"/>
      <c r="AA98" s="326"/>
      <c r="AB98" s="326" t="str">
        <f t="shared" ref="AB98:AB117" si="455">IFERROR(VLOOKUP(M98,tmkpechhhh24,5,FALSE),"")</f>
        <v/>
      </c>
      <c r="AC98" s="332">
        <v>1800000</v>
      </c>
      <c r="AD98" s="140" t="e">
        <f t="shared" si="20"/>
        <v>#VALUE!</v>
      </c>
      <c r="AE98" s="326" t="str">
        <f t="shared" ref="AE98:AE117" si="456">IFERROR(VLOOKUP(M98,VANEALIM,5,FALSE),"")</f>
        <v/>
      </c>
      <c r="AF98" s="117" t="str">
        <f t="shared" ref="AF98:AF117" si="457">IFERROR(VLOOKUP(M98,LAVEFC,5,FALSE),"0")</f>
        <v>0</v>
      </c>
      <c r="AG98" s="123"/>
      <c r="AH98" s="326"/>
      <c r="AI98" s="1257">
        <f t="shared" si="23"/>
        <v>4800000</v>
      </c>
      <c r="AJ98" s="140" t="str">
        <f t="shared" ref="AJ98:AJ117" si="458">IFERROR(VLOOKUP(M98,trim2024,2,FALSE),"0")</f>
        <v>0</v>
      </c>
      <c r="AK98" s="123" t="e">
        <f t="shared" ref="AK98:AM98" si="459">AD98+W98+P98</f>
        <v>#VALUE!</v>
      </c>
      <c r="AL98" s="123" t="e">
        <f t="shared" si="459"/>
        <v>#VALUE!</v>
      </c>
      <c r="AM98" s="123">
        <f t="shared" si="459"/>
        <v>0</v>
      </c>
      <c r="AN98" s="123">
        <f t="shared" si="26"/>
        <v>0</v>
      </c>
      <c r="AO98" s="1317" t="str">
        <f t="shared" si="62"/>
        <v/>
      </c>
      <c r="AP98" s="434" t="str">
        <f t="shared" ref="AP98:AP117" si="460">IFERROR(VLOOKUP(M98,tmkpechhhh24,6,FALSE),"")</f>
        <v/>
      </c>
      <c r="AQ98" s="1318" t="e">
        <f t="shared" si="28"/>
        <v>#VALUE!</v>
      </c>
      <c r="AR98" s="1319" t="str">
        <f t="shared" ref="AR98:AR117" si="461">IFERROR(VLOOKUP(M98,VANEALIM,6,FALSE),"")</f>
        <v/>
      </c>
      <c r="AS98" s="1320" t="str">
        <f t="shared" ref="AS98:AS117" si="462">IFERROR(VLOOKUP(M98,LAVEFC,6,FALSE),"0")</f>
        <v>0</v>
      </c>
      <c r="AT98" s="125"/>
      <c r="AU98" s="140" t="e">
        <f t="shared" si="32"/>
        <v>#VALUE!</v>
      </c>
      <c r="AV98" s="326" t="str">
        <f t="shared" ref="AV98:AV117" si="463">IFERROR(VLOOKUP(M98,VANEALIM,7,FALSE),"")</f>
        <v/>
      </c>
      <c r="AW98" s="333" t="str">
        <f t="shared" ref="AW98:AW117" si="464">IFERROR(VLOOKUP(M98,LAVEFC,7,FALSE),"0")</f>
        <v>0</v>
      </c>
      <c r="AX98" s="125"/>
      <c r="AY98" s="140" t="e">
        <f t="shared" si="36"/>
        <v>#VALUE!</v>
      </c>
      <c r="AZ98" s="326" t="str">
        <f t="shared" ref="AZ98:AZ117" si="465">IFERROR(VLOOKUP(M98,VANEALIM,8,FALSE),"")</f>
        <v/>
      </c>
      <c r="BA98" s="332" t="str">
        <f t="shared" ref="BA98:BA117" si="466">IFERROR(VLOOKUP(M98,LAVEFC,8,FALSE),"0")</f>
        <v>0</v>
      </c>
      <c r="BB98" s="122" t="e">
        <f t="shared" ref="BB98:BD98" si="467">SUM(AY98,AU98,AQ98)</f>
        <v>#VALUE!</v>
      </c>
      <c r="BC98" s="326">
        <f t="shared" si="467"/>
        <v>0</v>
      </c>
      <c r="BD98" s="333">
        <f t="shared" si="467"/>
        <v>0</v>
      </c>
      <c r="BE98" s="123" t="e">
        <f t="shared" si="40"/>
        <v>#VALUE!</v>
      </c>
      <c r="BF98" s="326">
        <f t="shared" si="41"/>
        <v>0</v>
      </c>
      <c r="BG98" s="435">
        <f t="shared" si="42"/>
        <v>0</v>
      </c>
      <c r="BH98" s="125"/>
      <c r="BI98" s="1041" t="e">
        <f t="shared" si="44"/>
        <v>#VALUE!</v>
      </c>
      <c r="BJ98" s="123" t="str">
        <f t="shared" ref="BJ98:BJ117" si="468">IFERROR(VLOOKUP(M98,VANEALIM,9,FALSE),"")</f>
        <v/>
      </c>
      <c r="BK98" s="326" t="str">
        <f t="shared" ref="BK98:BK117" si="469">IFERROR(VLOOKUP(M98,LAVEFC,9,FALSE),"0")</f>
        <v>0</v>
      </c>
      <c r="BL98" s="123"/>
      <c r="BM98" s="113" t="e">
        <f t="shared" si="48"/>
        <v>#VALUE!</v>
      </c>
      <c r="BN98" s="116" t="str">
        <f t="shared" ref="BN98:BN117" si="470">IFERROR(VLOOKUP(M98,VANEALIM,10,FALSE),"")</f>
        <v/>
      </c>
      <c r="BO98" s="115" t="str">
        <f t="shared" si="336"/>
        <v>0</v>
      </c>
      <c r="BP98" s="326"/>
      <c r="BQ98" s="326" t="e">
        <f t="shared" si="51"/>
        <v>#VALUE!</v>
      </c>
      <c r="BR98" s="326" t="str">
        <f t="shared" ref="BR98:BR117" si="471">IFERROR(VLOOKUP(M98,VANEALIM,11,FALSE),"")</f>
        <v/>
      </c>
      <c r="BS98" s="332" t="str">
        <f t="shared" ref="BS98:BS117" si="472">IFERROR(VLOOKUP(M98,LAVEFC,11,FALSE),"")</f>
        <v/>
      </c>
      <c r="BT98" s="140" t="e">
        <f t="shared" ref="BT98:BV98" si="473">SUM(BQ98,BM98,BI98)</f>
        <v>#VALUE!</v>
      </c>
      <c r="BU98" s="326">
        <f t="shared" si="473"/>
        <v>0</v>
      </c>
      <c r="BV98" s="333">
        <f t="shared" si="473"/>
        <v>0</v>
      </c>
      <c r="BW98" s="125"/>
      <c r="BX98" s="140" t="e">
        <f t="shared" si="56"/>
        <v>#VALUE!</v>
      </c>
      <c r="BY98" s="123" t="str">
        <f t="shared" ref="BY98:BY117" si="474">IFERROR(VLOOKUP(M98,VANEALIM,12,FALSE),"")</f>
        <v/>
      </c>
      <c r="BZ98" s="333" t="str">
        <f t="shared" ref="BZ98:BZ117" si="475">IFERROR(VLOOKUP(M98,LAVEFC,12,FALSE),"")</f>
        <v/>
      </c>
      <c r="CA98" s="123"/>
      <c r="CB98" s="326"/>
      <c r="CF98" s="294"/>
      <c r="CG98" s="294"/>
      <c r="CH98" s="294"/>
      <c r="CI98" s="294"/>
      <c r="CJ98" s="294"/>
      <c r="CK98" s="294"/>
      <c r="CL98" s="294"/>
      <c r="CM98" s="294"/>
      <c r="CN98" s="294"/>
    </row>
    <row r="99" spans="1:114" ht="13">
      <c r="A99" s="325">
        <f t="shared" si="440"/>
        <v>112014444</v>
      </c>
      <c r="B99" s="324">
        <f t="shared" si="441"/>
        <v>0</v>
      </c>
      <c r="C99" s="558" t="str">
        <f t="shared" si="442"/>
        <v/>
      </c>
      <c r="D99" s="558" t="str">
        <f t="shared" si="443"/>
        <v/>
      </c>
      <c r="E99" s="715" t="str">
        <f t="shared" si="444"/>
        <v/>
      </c>
      <c r="F99" s="547">
        <f t="shared" si="445"/>
        <v>0</v>
      </c>
      <c r="G99" s="699" t="str">
        <f t="shared" si="446"/>
        <v/>
      </c>
      <c r="H99" s="699" t="str">
        <f t="shared" si="447"/>
        <v/>
      </c>
      <c r="I99" s="702" t="str">
        <f t="shared" si="448"/>
        <v/>
      </c>
      <c r="J99" s="837">
        <f t="shared" si="449"/>
        <v>0</v>
      </c>
      <c r="K99" s="699" t="str">
        <f t="shared" si="399"/>
        <v/>
      </c>
      <c r="L99" s="1040" t="str">
        <f t="shared" si="400"/>
        <v/>
      </c>
      <c r="M99" s="1332" t="s">
        <v>1488</v>
      </c>
      <c r="N99" s="326"/>
      <c r="O99" s="332"/>
      <c r="P99" s="113" t="e">
        <f t="shared" si="12"/>
        <v>#VALUE!</v>
      </c>
      <c r="Q99" s="116" t="str">
        <f t="shared" si="450"/>
        <v/>
      </c>
      <c r="R99" s="117" t="str">
        <f t="shared" si="451"/>
        <v>0</v>
      </c>
      <c r="S99" s="114"/>
      <c r="T99" s="116"/>
      <c r="U99" s="116">
        <f t="shared" si="452"/>
        <v>0</v>
      </c>
      <c r="V99" s="116">
        <v>3000000</v>
      </c>
      <c r="W99" s="116" t="e">
        <f t="shared" si="16"/>
        <v>#VALUE!</v>
      </c>
      <c r="X99" s="116" t="str">
        <f t="shared" si="453"/>
        <v/>
      </c>
      <c r="Y99" s="116" t="str">
        <f t="shared" si="454"/>
        <v>0</v>
      </c>
      <c r="Z99" s="326"/>
      <c r="AA99" s="326"/>
      <c r="AB99" s="326">
        <f t="shared" si="455"/>
        <v>0</v>
      </c>
      <c r="AC99" s="332">
        <v>1800000</v>
      </c>
      <c r="AD99" s="140" t="e">
        <f t="shared" si="20"/>
        <v>#VALUE!</v>
      </c>
      <c r="AE99" s="326" t="str">
        <f t="shared" si="456"/>
        <v/>
      </c>
      <c r="AF99" s="117" t="str">
        <f t="shared" si="457"/>
        <v>0</v>
      </c>
      <c r="AG99" s="123"/>
      <c r="AH99" s="326"/>
      <c r="AI99" s="1257">
        <f t="shared" si="23"/>
        <v>4800000</v>
      </c>
      <c r="AJ99" s="140">
        <f t="shared" si="458"/>
        <v>4788187.4000000004</v>
      </c>
      <c r="AK99" s="123" t="e">
        <f t="shared" ref="AK99:AM99" si="476">AD99+W99+P99</f>
        <v>#VALUE!</v>
      </c>
      <c r="AL99" s="123" t="e">
        <f t="shared" si="476"/>
        <v>#VALUE!</v>
      </c>
      <c r="AM99" s="123">
        <f t="shared" si="476"/>
        <v>0</v>
      </c>
      <c r="AN99" s="123">
        <f t="shared" si="26"/>
        <v>-4788187.4000000004</v>
      </c>
      <c r="AO99" s="1317">
        <f t="shared" si="62"/>
        <v>-1</v>
      </c>
      <c r="AP99" s="434">
        <f t="shared" si="460"/>
        <v>0</v>
      </c>
      <c r="AQ99" s="1325" t="e">
        <f t="shared" si="28"/>
        <v>#VALUE!</v>
      </c>
      <c r="AR99" s="1333" t="str">
        <f t="shared" si="461"/>
        <v/>
      </c>
      <c r="AS99" s="1334" t="str">
        <f t="shared" si="462"/>
        <v>0</v>
      </c>
      <c r="AT99" s="249">
        <f t="shared" ref="AT99:AT117" si="477">IFERROR(VLOOKUP(M99,tmkpechhhh24,7,FALSE),"")</f>
        <v>1694544.33</v>
      </c>
      <c r="AU99" s="586" t="e">
        <f t="shared" si="32"/>
        <v>#VALUE!</v>
      </c>
      <c r="AV99" s="738" t="str">
        <f t="shared" si="463"/>
        <v/>
      </c>
      <c r="AW99" s="737" t="str">
        <f t="shared" si="464"/>
        <v>0</v>
      </c>
      <c r="AX99" s="249">
        <f t="shared" ref="AX99:AX117" si="478">IFERROR(VLOOKUP(M99,tmkpechhhh24,8,FALSE),"")</f>
        <v>144126.57</v>
      </c>
      <c r="AY99" s="586" t="e">
        <f t="shared" si="36"/>
        <v>#VALUE!</v>
      </c>
      <c r="AZ99" s="738" t="str">
        <f t="shared" si="465"/>
        <v/>
      </c>
      <c r="BA99" s="983" t="str">
        <f t="shared" si="466"/>
        <v>0</v>
      </c>
      <c r="BB99" s="844" t="e">
        <f t="shared" ref="BB99:BD99" si="479">SUM(AY99,AU99,AQ99)</f>
        <v>#VALUE!</v>
      </c>
      <c r="BC99" s="738">
        <f t="shared" si="479"/>
        <v>0</v>
      </c>
      <c r="BD99" s="737">
        <f t="shared" si="479"/>
        <v>0</v>
      </c>
      <c r="BE99" s="1168" t="e">
        <f t="shared" si="40"/>
        <v>#VALUE!</v>
      </c>
      <c r="BF99" s="738">
        <f t="shared" si="41"/>
        <v>0</v>
      </c>
      <c r="BG99" s="1335">
        <f t="shared" si="42"/>
        <v>0</v>
      </c>
      <c r="BH99" s="249">
        <f t="shared" ref="BH99:BH117" si="480">IFERROR(VLOOKUP(M99,tmkpechhhh24,9,FALSE),"")</f>
        <v>0</v>
      </c>
      <c r="BI99" s="1336" t="e">
        <f t="shared" si="44"/>
        <v>#VALUE!</v>
      </c>
      <c r="BJ99" s="1168" t="str">
        <f t="shared" si="468"/>
        <v/>
      </c>
      <c r="BK99" s="738" t="str">
        <f t="shared" si="469"/>
        <v>0</v>
      </c>
      <c r="BL99" s="123">
        <f t="shared" ref="BL99:BL117" si="481">IFERROR(VLOOKUP(M99,tmkpechhhh24,10,FALSE),"")</f>
        <v>491084.77</v>
      </c>
      <c r="BM99" s="113" t="e">
        <f t="shared" si="48"/>
        <v>#VALUE!</v>
      </c>
      <c r="BN99" s="116" t="str">
        <f t="shared" si="470"/>
        <v/>
      </c>
      <c r="BO99" s="115" t="str">
        <f t="shared" ref="BO99:BO117" si="482">IFERROR(VLOOKUP(M99,LAVEFC,10,FALSE),"0")</f>
        <v>0</v>
      </c>
      <c r="BP99" s="326">
        <f t="shared" ref="BP99:BP117" si="483">IFERROR(VLOOKUP(M99,tmkpechhhh24,11,FALSE),"")</f>
        <v>0</v>
      </c>
      <c r="BQ99" s="326" t="e">
        <f t="shared" si="51"/>
        <v>#VALUE!</v>
      </c>
      <c r="BR99" s="326" t="str">
        <f t="shared" si="471"/>
        <v/>
      </c>
      <c r="BS99" s="332" t="str">
        <f t="shared" si="472"/>
        <v/>
      </c>
      <c r="BT99" s="140" t="e">
        <f t="shared" ref="BT99:BV99" si="484">SUM(BQ99,BM99,BI99)</f>
        <v>#VALUE!</v>
      </c>
      <c r="BU99" s="326">
        <f t="shared" si="484"/>
        <v>0</v>
      </c>
      <c r="BV99" s="333">
        <f t="shared" si="484"/>
        <v>0</v>
      </c>
      <c r="BW99" s="125">
        <f t="shared" ref="BW99:BW117" si="485">IFERROR(VLOOKUP(M99,tmkpechhhh24,12,FALSE),"")</f>
        <v>810925.35</v>
      </c>
      <c r="BX99" s="140" t="e">
        <f t="shared" si="56"/>
        <v>#VALUE!</v>
      </c>
      <c r="BY99" s="123" t="str">
        <f t="shared" si="474"/>
        <v/>
      </c>
      <c r="BZ99" s="333" t="str">
        <f t="shared" si="475"/>
        <v/>
      </c>
      <c r="CA99" s="123">
        <f t="shared" ref="CA99:CA117" si="486">IFERROR(VLOOKUP(M99,tmkpechhhh24,13,FALSE),"")</f>
        <v>3721523.24</v>
      </c>
      <c r="CB99" s="326">
        <f t="shared" ref="CB99:CB117" si="487">IFERROR(VLOOKUP(M99,tmkpechhhh24,14,FALSE),"")</f>
        <v>1066664.1599999999</v>
      </c>
      <c r="CF99" s="294"/>
      <c r="CG99" s="294"/>
      <c r="CH99" s="294"/>
      <c r="CI99" s="294"/>
      <c r="CJ99" s="136"/>
      <c r="CK99" s="136"/>
      <c r="CL99" s="136"/>
      <c r="CM99" s="136"/>
      <c r="CN99" s="136"/>
      <c r="CO99" s="136"/>
      <c r="CP99" s="136"/>
      <c r="CQ99" s="136"/>
      <c r="CR99" s="136"/>
      <c r="CS99" s="136"/>
      <c r="CT99" s="136"/>
      <c r="CU99" s="136"/>
      <c r="CV99" s="136"/>
      <c r="CW99" s="136"/>
      <c r="CX99" s="136"/>
      <c r="CY99" s="136"/>
      <c r="CZ99" s="136"/>
      <c r="DA99" s="136"/>
      <c r="DB99" s="136"/>
      <c r="DC99" s="136"/>
      <c r="DD99" s="136"/>
      <c r="DE99" s="136"/>
      <c r="DF99" s="136"/>
      <c r="DG99" s="136"/>
      <c r="DH99" s="136"/>
      <c r="DI99" s="136"/>
      <c r="DJ99" s="136"/>
    </row>
    <row r="100" spans="1:114" ht="13">
      <c r="A100" s="325">
        <f t="shared" si="440"/>
        <v>112014737</v>
      </c>
      <c r="B100" s="324">
        <f t="shared" si="441"/>
        <v>0</v>
      </c>
      <c r="C100" s="558" t="str">
        <f t="shared" si="442"/>
        <v/>
      </c>
      <c r="D100" s="558" t="str">
        <f t="shared" si="443"/>
        <v/>
      </c>
      <c r="E100" s="715" t="str">
        <f t="shared" si="444"/>
        <v/>
      </c>
      <c r="F100" s="547">
        <f t="shared" si="445"/>
        <v>0</v>
      </c>
      <c r="G100" s="699" t="str">
        <f t="shared" si="446"/>
        <v/>
      </c>
      <c r="H100" s="699" t="str">
        <f t="shared" si="447"/>
        <v/>
      </c>
      <c r="I100" s="702" t="str">
        <f t="shared" si="448"/>
        <v/>
      </c>
      <c r="J100" s="837">
        <f t="shared" si="449"/>
        <v>0</v>
      </c>
      <c r="K100" s="699" t="str">
        <f t="shared" si="399"/>
        <v/>
      </c>
      <c r="L100" s="1040" t="str">
        <f t="shared" si="400"/>
        <v/>
      </c>
      <c r="M100" s="1337" t="s">
        <v>1489</v>
      </c>
      <c r="N100" s="326"/>
      <c r="O100" s="332"/>
      <c r="P100" s="113" t="e">
        <f t="shared" si="12"/>
        <v>#VALUE!</v>
      </c>
      <c r="Q100" s="116" t="str">
        <f t="shared" si="450"/>
        <v/>
      </c>
      <c r="R100" s="117">
        <f t="shared" si="451"/>
        <v>0</v>
      </c>
      <c r="S100" s="114"/>
      <c r="T100" s="116"/>
      <c r="U100" s="116" t="str">
        <f t="shared" si="452"/>
        <v/>
      </c>
      <c r="V100" s="116">
        <v>3000000</v>
      </c>
      <c r="W100" s="116" t="e">
        <f t="shared" si="16"/>
        <v>#VALUE!</v>
      </c>
      <c r="X100" s="116" t="str">
        <f t="shared" si="453"/>
        <v/>
      </c>
      <c r="Y100" s="116">
        <f t="shared" si="454"/>
        <v>0</v>
      </c>
      <c r="Z100" s="326"/>
      <c r="AA100" s="326"/>
      <c r="AB100" s="326" t="str">
        <f t="shared" si="455"/>
        <v/>
      </c>
      <c r="AC100" s="332">
        <v>1800000</v>
      </c>
      <c r="AD100" s="140" t="e">
        <f t="shared" si="20"/>
        <v>#VALUE!</v>
      </c>
      <c r="AE100" s="326" t="str">
        <f t="shared" si="456"/>
        <v/>
      </c>
      <c r="AF100" s="117">
        <f t="shared" si="457"/>
        <v>0</v>
      </c>
      <c r="AG100" s="123"/>
      <c r="AH100" s="326"/>
      <c r="AI100" s="1257">
        <f t="shared" si="23"/>
        <v>4800000</v>
      </c>
      <c r="AJ100" s="140" t="str">
        <f t="shared" si="458"/>
        <v>0</v>
      </c>
      <c r="AK100" s="123" t="e">
        <f t="shared" ref="AK100:AM100" si="488">AD100+W100+P100</f>
        <v>#VALUE!</v>
      </c>
      <c r="AL100" s="123" t="e">
        <f t="shared" si="488"/>
        <v>#VALUE!</v>
      </c>
      <c r="AM100" s="123">
        <f t="shared" si="488"/>
        <v>0</v>
      </c>
      <c r="AN100" s="123">
        <f t="shared" si="26"/>
        <v>0</v>
      </c>
      <c r="AO100" s="1317" t="str">
        <f t="shared" si="62"/>
        <v/>
      </c>
      <c r="AP100" s="434" t="str">
        <f t="shared" si="460"/>
        <v/>
      </c>
      <c r="AQ100" s="1318" t="e">
        <f t="shared" si="28"/>
        <v>#VALUE!</v>
      </c>
      <c r="AR100" s="1319" t="str">
        <f t="shared" si="461"/>
        <v/>
      </c>
      <c r="AS100" s="1320">
        <f t="shared" si="462"/>
        <v>0</v>
      </c>
      <c r="AT100" s="125" t="str">
        <f t="shared" si="477"/>
        <v/>
      </c>
      <c r="AU100" s="140" t="e">
        <f t="shared" si="32"/>
        <v>#VALUE!</v>
      </c>
      <c r="AV100" s="326" t="str">
        <f t="shared" si="463"/>
        <v/>
      </c>
      <c r="AW100" s="333">
        <f t="shared" si="464"/>
        <v>0</v>
      </c>
      <c r="AX100" s="125" t="str">
        <f t="shared" si="478"/>
        <v/>
      </c>
      <c r="AY100" s="140" t="e">
        <f t="shared" si="36"/>
        <v>#VALUE!</v>
      </c>
      <c r="AZ100" s="326" t="str">
        <f t="shared" si="465"/>
        <v/>
      </c>
      <c r="BA100" s="332">
        <f t="shared" si="466"/>
        <v>0</v>
      </c>
      <c r="BB100" s="122" t="e">
        <f t="shared" ref="BB100:BD100" si="489">SUM(AY100,AU100,AQ100)</f>
        <v>#VALUE!</v>
      </c>
      <c r="BC100" s="326">
        <f t="shared" si="489"/>
        <v>0</v>
      </c>
      <c r="BD100" s="333">
        <f t="shared" si="489"/>
        <v>0</v>
      </c>
      <c r="BE100" s="123" t="e">
        <f t="shared" si="40"/>
        <v>#VALUE!</v>
      </c>
      <c r="BF100" s="326">
        <f t="shared" si="41"/>
        <v>0</v>
      </c>
      <c r="BG100" s="435">
        <f t="shared" si="42"/>
        <v>0</v>
      </c>
      <c r="BH100" s="125" t="str">
        <f t="shared" si="480"/>
        <v/>
      </c>
      <c r="BI100" s="1041" t="e">
        <f t="shared" si="44"/>
        <v>#VALUE!</v>
      </c>
      <c r="BJ100" s="123" t="str">
        <f t="shared" si="468"/>
        <v/>
      </c>
      <c r="BK100" s="326">
        <f t="shared" si="469"/>
        <v>0</v>
      </c>
      <c r="BL100" s="123" t="str">
        <f t="shared" si="481"/>
        <v/>
      </c>
      <c r="BM100" s="113" t="e">
        <f t="shared" si="48"/>
        <v>#VALUE!</v>
      </c>
      <c r="BN100" s="116" t="str">
        <f t="shared" si="470"/>
        <v/>
      </c>
      <c r="BO100" s="115">
        <f t="shared" si="482"/>
        <v>322972.15999999997</v>
      </c>
      <c r="BP100" s="326" t="str">
        <f t="shared" si="483"/>
        <v/>
      </c>
      <c r="BQ100" s="326" t="e">
        <f t="shared" si="51"/>
        <v>#VALUE!</v>
      </c>
      <c r="BR100" s="326" t="str">
        <f t="shared" si="471"/>
        <v/>
      </c>
      <c r="BS100" s="332">
        <f t="shared" si="472"/>
        <v>0</v>
      </c>
      <c r="BT100" s="140" t="e">
        <f t="shared" ref="BT100:BV100" si="490">SUM(BQ100,BM100,BI100)</f>
        <v>#VALUE!</v>
      </c>
      <c r="BU100" s="326">
        <f t="shared" si="490"/>
        <v>0</v>
      </c>
      <c r="BV100" s="333">
        <f t="shared" si="490"/>
        <v>322972.15999999997</v>
      </c>
      <c r="BW100" s="125" t="str">
        <f t="shared" si="485"/>
        <v/>
      </c>
      <c r="BX100" s="140" t="e">
        <f t="shared" si="56"/>
        <v>#VALUE!</v>
      </c>
      <c r="BY100" s="123" t="str">
        <f t="shared" si="474"/>
        <v/>
      </c>
      <c r="BZ100" s="333">
        <f t="shared" si="475"/>
        <v>882132.18</v>
      </c>
      <c r="CA100" s="123" t="str">
        <f t="shared" si="486"/>
        <v/>
      </c>
      <c r="CB100" s="326" t="str">
        <f t="shared" si="487"/>
        <v/>
      </c>
      <c r="CF100" s="294"/>
      <c r="CG100" s="294"/>
      <c r="CH100" s="294"/>
      <c r="CI100" s="294"/>
      <c r="CJ100" s="294"/>
      <c r="CK100" s="294"/>
      <c r="CL100" s="294"/>
      <c r="CM100" s="294"/>
      <c r="CN100" s="294"/>
    </row>
    <row r="101" spans="1:114" ht="13">
      <c r="A101" s="325">
        <f t="shared" si="440"/>
        <v>112014736</v>
      </c>
      <c r="B101" s="324">
        <f t="shared" si="441"/>
        <v>0</v>
      </c>
      <c r="C101" s="558" t="str">
        <f t="shared" si="442"/>
        <v/>
      </c>
      <c r="D101" s="558" t="str">
        <f t="shared" si="443"/>
        <v/>
      </c>
      <c r="E101" s="715" t="str">
        <f t="shared" si="444"/>
        <v/>
      </c>
      <c r="F101" s="547">
        <f t="shared" si="445"/>
        <v>0</v>
      </c>
      <c r="G101" s="699" t="str">
        <f t="shared" si="446"/>
        <v/>
      </c>
      <c r="H101" s="699" t="str">
        <f t="shared" si="447"/>
        <v/>
      </c>
      <c r="I101" s="702" t="str">
        <f t="shared" si="448"/>
        <v/>
      </c>
      <c r="J101" s="837">
        <f t="shared" si="449"/>
        <v>0</v>
      </c>
      <c r="K101" s="699" t="str">
        <f t="shared" si="399"/>
        <v/>
      </c>
      <c r="L101" s="1040" t="str">
        <f t="shared" si="400"/>
        <v/>
      </c>
      <c r="M101" s="1337" t="s">
        <v>1490</v>
      </c>
      <c r="N101" s="326"/>
      <c r="O101" s="332"/>
      <c r="P101" s="113" t="e">
        <f t="shared" si="12"/>
        <v>#VALUE!</v>
      </c>
      <c r="Q101" s="116" t="str">
        <f t="shared" si="450"/>
        <v/>
      </c>
      <c r="R101" s="117">
        <f t="shared" si="451"/>
        <v>0</v>
      </c>
      <c r="S101" s="114"/>
      <c r="T101" s="116"/>
      <c r="U101" s="116" t="str">
        <f t="shared" si="452"/>
        <v/>
      </c>
      <c r="V101" s="116">
        <v>3000000</v>
      </c>
      <c r="W101" s="116" t="e">
        <f t="shared" si="16"/>
        <v>#VALUE!</v>
      </c>
      <c r="X101" s="116" t="str">
        <f t="shared" si="453"/>
        <v/>
      </c>
      <c r="Y101" s="116">
        <f t="shared" si="454"/>
        <v>0</v>
      </c>
      <c r="Z101" s="326"/>
      <c r="AA101" s="326"/>
      <c r="AB101" s="326" t="str">
        <f t="shared" si="455"/>
        <v/>
      </c>
      <c r="AC101" s="332">
        <v>1800000</v>
      </c>
      <c r="AD101" s="140" t="e">
        <f t="shared" si="20"/>
        <v>#VALUE!</v>
      </c>
      <c r="AE101" s="326" t="str">
        <f t="shared" si="456"/>
        <v/>
      </c>
      <c r="AF101" s="117">
        <f t="shared" si="457"/>
        <v>0</v>
      </c>
      <c r="AG101" s="123"/>
      <c r="AH101" s="326"/>
      <c r="AI101" s="1257">
        <f t="shared" si="23"/>
        <v>4800000</v>
      </c>
      <c r="AJ101" s="140" t="str">
        <f t="shared" si="458"/>
        <v>0</v>
      </c>
      <c r="AK101" s="123" t="e">
        <f t="shared" ref="AK101:AM101" si="491">AD101+W101+P101</f>
        <v>#VALUE!</v>
      </c>
      <c r="AL101" s="123" t="e">
        <f t="shared" si="491"/>
        <v>#VALUE!</v>
      </c>
      <c r="AM101" s="123">
        <f t="shared" si="491"/>
        <v>0</v>
      </c>
      <c r="AN101" s="123">
        <f t="shared" si="26"/>
        <v>0</v>
      </c>
      <c r="AO101" s="1317" t="str">
        <f t="shared" si="62"/>
        <v/>
      </c>
      <c r="AP101" s="434" t="str">
        <f t="shared" si="460"/>
        <v/>
      </c>
      <c r="AQ101" s="1318" t="e">
        <f t="shared" si="28"/>
        <v>#VALUE!</v>
      </c>
      <c r="AR101" s="1319" t="str">
        <f t="shared" si="461"/>
        <v/>
      </c>
      <c r="AS101" s="1320">
        <f t="shared" si="462"/>
        <v>0</v>
      </c>
      <c r="AT101" s="125" t="str">
        <f t="shared" si="477"/>
        <v/>
      </c>
      <c r="AU101" s="140" t="e">
        <f t="shared" si="32"/>
        <v>#VALUE!</v>
      </c>
      <c r="AV101" s="326" t="str">
        <f t="shared" si="463"/>
        <v/>
      </c>
      <c r="AW101" s="333">
        <f t="shared" si="464"/>
        <v>0</v>
      </c>
      <c r="AX101" s="125" t="str">
        <f t="shared" si="478"/>
        <v/>
      </c>
      <c r="AY101" s="140" t="e">
        <f t="shared" si="36"/>
        <v>#VALUE!</v>
      </c>
      <c r="AZ101" s="326" t="str">
        <f t="shared" si="465"/>
        <v/>
      </c>
      <c r="BA101" s="332">
        <f t="shared" si="466"/>
        <v>0</v>
      </c>
      <c r="BB101" s="122" t="e">
        <f t="shared" ref="BB101:BD101" si="492">SUM(AY101,AU101,AQ101)</f>
        <v>#VALUE!</v>
      </c>
      <c r="BC101" s="326">
        <f t="shared" si="492"/>
        <v>0</v>
      </c>
      <c r="BD101" s="333">
        <f t="shared" si="492"/>
        <v>0</v>
      </c>
      <c r="BE101" s="123" t="e">
        <f t="shared" si="40"/>
        <v>#VALUE!</v>
      </c>
      <c r="BF101" s="326">
        <f t="shared" si="41"/>
        <v>0</v>
      </c>
      <c r="BG101" s="435">
        <f t="shared" si="42"/>
        <v>0</v>
      </c>
      <c r="BH101" s="125" t="str">
        <f t="shared" si="480"/>
        <v/>
      </c>
      <c r="BI101" s="1041" t="e">
        <f t="shared" si="44"/>
        <v>#VALUE!</v>
      </c>
      <c r="BJ101" s="123" t="str">
        <f t="shared" si="468"/>
        <v/>
      </c>
      <c r="BK101" s="326">
        <f t="shared" si="469"/>
        <v>0</v>
      </c>
      <c r="BL101" s="123" t="str">
        <f t="shared" si="481"/>
        <v/>
      </c>
      <c r="BM101" s="113" t="e">
        <f t="shared" si="48"/>
        <v>#VALUE!</v>
      </c>
      <c r="BN101" s="116" t="str">
        <f t="shared" si="470"/>
        <v/>
      </c>
      <c r="BO101" s="115">
        <f t="shared" si="482"/>
        <v>1690604.84</v>
      </c>
      <c r="BP101" s="326" t="str">
        <f t="shared" si="483"/>
        <v/>
      </c>
      <c r="BQ101" s="326" t="e">
        <f t="shared" si="51"/>
        <v>#VALUE!</v>
      </c>
      <c r="BR101" s="326" t="str">
        <f t="shared" si="471"/>
        <v/>
      </c>
      <c r="BS101" s="332">
        <f t="shared" si="472"/>
        <v>0</v>
      </c>
      <c r="BT101" s="140" t="e">
        <f t="shared" ref="BT101:BV101" si="493">SUM(BQ101,BM101,BI101)</f>
        <v>#VALUE!</v>
      </c>
      <c r="BU101" s="326">
        <f t="shared" si="493"/>
        <v>0</v>
      </c>
      <c r="BV101" s="333">
        <f t="shared" si="493"/>
        <v>1690604.84</v>
      </c>
      <c r="BW101" s="125" t="str">
        <f t="shared" si="485"/>
        <v/>
      </c>
      <c r="BX101" s="140" t="e">
        <f t="shared" si="56"/>
        <v>#VALUE!</v>
      </c>
      <c r="BY101" s="123" t="str">
        <f t="shared" si="474"/>
        <v/>
      </c>
      <c r="BZ101" s="333">
        <f t="shared" si="475"/>
        <v>0</v>
      </c>
      <c r="CA101" s="123" t="str">
        <f t="shared" si="486"/>
        <v/>
      </c>
      <c r="CB101" s="326" t="str">
        <f t="shared" si="487"/>
        <v/>
      </c>
      <c r="CF101" s="294"/>
      <c r="CG101" s="294"/>
      <c r="CH101" s="294"/>
      <c r="CI101" s="294"/>
      <c r="CJ101" s="294"/>
      <c r="CK101" s="294"/>
      <c r="CL101" s="294"/>
      <c r="CM101" s="294"/>
      <c r="CN101" s="294"/>
    </row>
    <row r="102" spans="1:114" ht="13">
      <c r="A102" s="325">
        <f t="shared" si="440"/>
        <v>112013901</v>
      </c>
      <c r="B102" s="324">
        <f t="shared" si="441"/>
        <v>0</v>
      </c>
      <c r="C102" s="558" t="str">
        <f t="shared" si="442"/>
        <v/>
      </c>
      <c r="D102" s="558" t="str">
        <f t="shared" si="443"/>
        <v/>
      </c>
      <c r="E102" s="715" t="str">
        <f t="shared" si="444"/>
        <v/>
      </c>
      <c r="F102" s="547">
        <f t="shared" si="445"/>
        <v>0</v>
      </c>
      <c r="G102" s="699" t="str">
        <f t="shared" si="446"/>
        <v/>
      </c>
      <c r="H102" s="699" t="str">
        <f t="shared" si="447"/>
        <v/>
      </c>
      <c r="I102" s="702" t="str">
        <f t="shared" si="448"/>
        <v/>
      </c>
      <c r="J102" s="837">
        <f t="shared" si="449"/>
        <v>0</v>
      </c>
      <c r="K102" s="699" t="str">
        <f t="shared" si="399"/>
        <v/>
      </c>
      <c r="L102" s="1040" t="str">
        <f t="shared" si="400"/>
        <v/>
      </c>
      <c r="M102" s="423" t="s">
        <v>1491</v>
      </c>
      <c r="N102" s="326"/>
      <c r="O102" s="332"/>
      <c r="P102" s="113" t="e">
        <f t="shared" si="12"/>
        <v>#VALUE!</v>
      </c>
      <c r="Q102" s="116" t="str">
        <f t="shared" si="450"/>
        <v/>
      </c>
      <c r="R102" s="117" t="str">
        <f t="shared" si="451"/>
        <v>0</v>
      </c>
      <c r="S102" s="114"/>
      <c r="T102" s="116"/>
      <c r="U102" s="116" t="str">
        <f t="shared" si="452"/>
        <v/>
      </c>
      <c r="V102" s="116">
        <v>3000000</v>
      </c>
      <c r="W102" s="116" t="e">
        <f t="shared" si="16"/>
        <v>#VALUE!</v>
      </c>
      <c r="X102" s="116" t="str">
        <f t="shared" si="453"/>
        <v/>
      </c>
      <c r="Y102" s="116" t="str">
        <f t="shared" si="454"/>
        <v>0</v>
      </c>
      <c r="Z102" s="326"/>
      <c r="AA102" s="326"/>
      <c r="AB102" s="326" t="str">
        <f t="shared" si="455"/>
        <v/>
      </c>
      <c r="AC102" s="332">
        <v>1800000</v>
      </c>
      <c r="AD102" s="140" t="e">
        <f t="shared" si="20"/>
        <v>#VALUE!</v>
      </c>
      <c r="AE102" s="326" t="str">
        <f t="shared" si="456"/>
        <v/>
      </c>
      <c r="AF102" s="117" t="str">
        <f t="shared" si="457"/>
        <v>0</v>
      </c>
      <c r="AG102" s="123"/>
      <c r="AH102" s="326"/>
      <c r="AI102" s="1257">
        <f t="shared" si="23"/>
        <v>4800000</v>
      </c>
      <c r="AJ102" s="140" t="str">
        <f t="shared" si="458"/>
        <v>0</v>
      </c>
      <c r="AK102" s="123" t="e">
        <f t="shared" ref="AK102:AM102" si="494">AD102+W102+P102</f>
        <v>#VALUE!</v>
      </c>
      <c r="AL102" s="123" t="e">
        <f t="shared" si="494"/>
        <v>#VALUE!</v>
      </c>
      <c r="AM102" s="123">
        <f t="shared" si="494"/>
        <v>0</v>
      </c>
      <c r="AN102" s="123">
        <f t="shared" si="26"/>
        <v>0</v>
      </c>
      <c r="AO102" s="1317" t="str">
        <f t="shared" si="62"/>
        <v/>
      </c>
      <c r="AP102" s="434" t="str">
        <f t="shared" si="460"/>
        <v/>
      </c>
      <c r="AQ102" s="1318" t="e">
        <f t="shared" si="28"/>
        <v>#VALUE!</v>
      </c>
      <c r="AR102" s="1319" t="str">
        <f t="shared" si="461"/>
        <v/>
      </c>
      <c r="AS102" s="1320" t="str">
        <f t="shared" si="462"/>
        <v>0</v>
      </c>
      <c r="AT102" s="125" t="str">
        <f t="shared" si="477"/>
        <v/>
      </c>
      <c r="AU102" s="140" t="e">
        <f t="shared" si="32"/>
        <v>#VALUE!</v>
      </c>
      <c r="AV102" s="326" t="str">
        <f t="shared" si="463"/>
        <v/>
      </c>
      <c r="AW102" s="333" t="str">
        <f t="shared" si="464"/>
        <v>0</v>
      </c>
      <c r="AX102" s="125" t="str">
        <f t="shared" si="478"/>
        <v/>
      </c>
      <c r="AY102" s="140" t="e">
        <f t="shared" si="36"/>
        <v>#VALUE!</v>
      </c>
      <c r="AZ102" s="326" t="str">
        <f t="shared" si="465"/>
        <v/>
      </c>
      <c r="BA102" s="332" t="str">
        <f t="shared" si="466"/>
        <v>0</v>
      </c>
      <c r="BB102" s="122" t="e">
        <f t="shared" ref="BB102:BD102" si="495">SUM(AY102,AU102,AQ102)</f>
        <v>#VALUE!</v>
      </c>
      <c r="BC102" s="326">
        <f t="shared" si="495"/>
        <v>0</v>
      </c>
      <c r="BD102" s="333">
        <f t="shared" si="495"/>
        <v>0</v>
      </c>
      <c r="BE102" s="123" t="e">
        <f t="shared" si="40"/>
        <v>#VALUE!</v>
      </c>
      <c r="BF102" s="326">
        <f t="shared" si="41"/>
        <v>0</v>
      </c>
      <c r="BG102" s="435">
        <f t="shared" si="42"/>
        <v>0</v>
      </c>
      <c r="BH102" s="125" t="str">
        <f t="shared" si="480"/>
        <v/>
      </c>
      <c r="BI102" s="1041" t="e">
        <f t="shared" si="44"/>
        <v>#VALUE!</v>
      </c>
      <c r="BJ102" s="123" t="str">
        <f t="shared" si="468"/>
        <v/>
      </c>
      <c r="BK102" s="326" t="str">
        <f t="shared" si="469"/>
        <v>0</v>
      </c>
      <c r="BL102" s="123" t="str">
        <f t="shared" si="481"/>
        <v/>
      </c>
      <c r="BM102" s="113" t="e">
        <f t="shared" si="48"/>
        <v>#VALUE!</v>
      </c>
      <c r="BN102" s="116" t="str">
        <f t="shared" si="470"/>
        <v/>
      </c>
      <c r="BO102" s="115" t="str">
        <f t="shared" si="482"/>
        <v>0</v>
      </c>
      <c r="BP102" s="326" t="str">
        <f t="shared" si="483"/>
        <v/>
      </c>
      <c r="BQ102" s="326" t="e">
        <f t="shared" si="51"/>
        <v>#VALUE!</v>
      </c>
      <c r="BR102" s="326" t="str">
        <f t="shared" si="471"/>
        <v/>
      </c>
      <c r="BS102" s="332" t="str">
        <f t="shared" si="472"/>
        <v/>
      </c>
      <c r="BT102" s="140" t="e">
        <f t="shared" ref="BT102:BV102" si="496">SUM(BQ102,BM102,BI102)</f>
        <v>#VALUE!</v>
      </c>
      <c r="BU102" s="326">
        <f t="shared" si="496"/>
        <v>0</v>
      </c>
      <c r="BV102" s="333">
        <f t="shared" si="496"/>
        <v>0</v>
      </c>
      <c r="BW102" s="125" t="str">
        <f t="shared" si="485"/>
        <v/>
      </c>
      <c r="BX102" s="140" t="e">
        <f t="shared" si="56"/>
        <v>#VALUE!</v>
      </c>
      <c r="BY102" s="123" t="str">
        <f t="shared" si="474"/>
        <v/>
      </c>
      <c r="BZ102" s="333" t="str">
        <f t="shared" si="475"/>
        <v/>
      </c>
      <c r="CA102" s="123" t="str">
        <f t="shared" si="486"/>
        <v/>
      </c>
      <c r="CB102" s="326" t="str">
        <f t="shared" si="487"/>
        <v/>
      </c>
      <c r="CF102" s="294"/>
      <c r="CG102" s="294"/>
      <c r="CH102" s="294"/>
      <c r="CI102" s="294"/>
      <c r="CJ102" s="294"/>
      <c r="CK102" s="294"/>
      <c r="CL102" s="294"/>
      <c r="CM102" s="294"/>
      <c r="CN102" s="294"/>
    </row>
    <row r="103" spans="1:114" ht="13">
      <c r="A103" s="325">
        <f t="shared" si="440"/>
        <v>112012527</v>
      </c>
      <c r="B103" s="324">
        <f t="shared" si="441"/>
        <v>0</v>
      </c>
      <c r="C103" s="558" t="str">
        <f t="shared" si="442"/>
        <v/>
      </c>
      <c r="D103" s="558" t="str">
        <f t="shared" si="443"/>
        <v/>
      </c>
      <c r="E103" s="715" t="str">
        <f t="shared" si="444"/>
        <v/>
      </c>
      <c r="F103" s="547">
        <f t="shared" si="445"/>
        <v>0</v>
      </c>
      <c r="G103" s="699" t="str">
        <f t="shared" si="446"/>
        <v/>
      </c>
      <c r="H103" s="699" t="str">
        <f t="shared" si="447"/>
        <v/>
      </c>
      <c r="I103" s="702" t="str">
        <f t="shared" si="448"/>
        <v/>
      </c>
      <c r="J103" s="837">
        <f t="shared" si="449"/>
        <v>0</v>
      </c>
      <c r="K103" s="699" t="str">
        <f t="shared" si="399"/>
        <v/>
      </c>
      <c r="L103" s="1040" t="str">
        <f t="shared" si="400"/>
        <v/>
      </c>
      <c r="M103" s="423" t="s">
        <v>1492</v>
      </c>
      <c r="N103" s="326"/>
      <c r="O103" s="332"/>
      <c r="P103" s="113" t="e">
        <f t="shared" si="12"/>
        <v>#VALUE!</v>
      </c>
      <c r="Q103" s="116" t="str">
        <f t="shared" si="450"/>
        <v/>
      </c>
      <c r="R103" s="117">
        <f t="shared" si="451"/>
        <v>0</v>
      </c>
      <c r="S103" s="114"/>
      <c r="T103" s="116"/>
      <c r="U103" s="116">
        <f t="shared" si="452"/>
        <v>0</v>
      </c>
      <c r="V103" s="116">
        <v>3000000</v>
      </c>
      <c r="W103" s="116" t="e">
        <f t="shared" si="16"/>
        <v>#VALUE!</v>
      </c>
      <c r="X103" s="116" t="str">
        <f t="shared" si="453"/>
        <v/>
      </c>
      <c r="Y103" s="116">
        <f t="shared" si="454"/>
        <v>0</v>
      </c>
      <c r="Z103" s="326"/>
      <c r="AA103" s="326"/>
      <c r="AB103" s="326">
        <f t="shared" si="455"/>
        <v>0</v>
      </c>
      <c r="AC103" s="332">
        <v>1800000</v>
      </c>
      <c r="AD103" s="140" t="e">
        <f t="shared" si="20"/>
        <v>#VALUE!</v>
      </c>
      <c r="AE103" s="326" t="str">
        <f t="shared" si="456"/>
        <v/>
      </c>
      <c r="AF103" s="117">
        <f t="shared" si="457"/>
        <v>0</v>
      </c>
      <c r="AG103" s="123"/>
      <c r="AH103" s="326"/>
      <c r="AI103" s="1257">
        <f t="shared" si="23"/>
        <v>4800000</v>
      </c>
      <c r="AJ103" s="140">
        <f t="shared" si="458"/>
        <v>6204545.4500000002</v>
      </c>
      <c r="AK103" s="123" t="e">
        <f t="shared" ref="AK103:AM103" si="497">AD103+W103+P103</f>
        <v>#VALUE!</v>
      </c>
      <c r="AL103" s="123" t="e">
        <f t="shared" si="497"/>
        <v>#VALUE!</v>
      </c>
      <c r="AM103" s="123">
        <f t="shared" si="497"/>
        <v>0</v>
      </c>
      <c r="AN103" s="123">
        <f t="shared" si="26"/>
        <v>-6204545.4500000002</v>
      </c>
      <c r="AO103" s="1317">
        <f t="shared" si="62"/>
        <v>-1</v>
      </c>
      <c r="AP103" s="434">
        <f t="shared" si="460"/>
        <v>0</v>
      </c>
      <c r="AQ103" s="1318" t="e">
        <f t="shared" si="28"/>
        <v>#VALUE!</v>
      </c>
      <c r="AR103" s="1319" t="str">
        <f t="shared" si="461"/>
        <v/>
      </c>
      <c r="AS103" s="1320">
        <f t="shared" si="462"/>
        <v>0</v>
      </c>
      <c r="AT103" s="125">
        <f t="shared" si="477"/>
        <v>0</v>
      </c>
      <c r="AU103" s="140" t="e">
        <f t="shared" si="32"/>
        <v>#VALUE!</v>
      </c>
      <c r="AV103" s="326" t="str">
        <f t="shared" si="463"/>
        <v/>
      </c>
      <c r="AW103" s="333">
        <f t="shared" si="464"/>
        <v>0</v>
      </c>
      <c r="AX103" s="125">
        <f t="shared" si="478"/>
        <v>0</v>
      </c>
      <c r="AY103" s="140" t="e">
        <f t="shared" si="36"/>
        <v>#VALUE!</v>
      </c>
      <c r="AZ103" s="326" t="str">
        <f t="shared" si="465"/>
        <v/>
      </c>
      <c r="BA103" s="332">
        <f t="shared" si="466"/>
        <v>0</v>
      </c>
      <c r="BB103" s="122" t="e">
        <f t="shared" ref="BB103:BD103" si="498">SUM(AY103,AU103,AQ103)</f>
        <v>#VALUE!</v>
      </c>
      <c r="BC103" s="326">
        <f t="shared" si="498"/>
        <v>0</v>
      </c>
      <c r="BD103" s="333">
        <f t="shared" si="498"/>
        <v>0</v>
      </c>
      <c r="BE103" s="123" t="e">
        <f t="shared" si="40"/>
        <v>#VALUE!</v>
      </c>
      <c r="BF103" s="326">
        <f t="shared" si="41"/>
        <v>0</v>
      </c>
      <c r="BG103" s="435">
        <f t="shared" si="42"/>
        <v>0</v>
      </c>
      <c r="BH103" s="125">
        <f t="shared" si="480"/>
        <v>0</v>
      </c>
      <c r="BI103" s="1041" t="e">
        <f t="shared" si="44"/>
        <v>#VALUE!</v>
      </c>
      <c r="BJ103" s="123" t="str">
        <f t="shared" si="468"/>
        <v/>
      </c>
      <c r="BK103" s="326">
        <f t="shared" si="469"/>
        <v>7747206.6100000003</v>
      </c>
      <c r="BL103" s="123">
        <f t="shared" si="481"/>
        <v>0</v>
      </c>
      <c r="BM103" s="113" t="e">
        <f t="shared" si="48"/>
        <v>#VALUE!</v>
      </c>
      <c r="BN103" s="116" t="str">
        <f t="shared" si="470"/>
        <v/>
      </c>
      <c r="BO103" s="115">
        <f t="shared" si="482"/>
        <v>0</v>
      </c>
      <c r="BP103" s="326">
        <f t="shared" si="483"/>
        <v>0</v>
      </c>
      <c r="BQ103" s="326" t="e">
        <f t="shared" si="51"/>
        <v>#VALUE!</v>
      </c>
      <c r="BR103" s="326" t="str">
        <f t="shared" si="471"/>
        <v/>
      </c>
      <c r="BS103" s="332">
        <f t="shared" si="472"/>
        <v>0</v>
      </c>
      <c r="BT103" s="140" t="e">
        <f t="shared" ref="BT103:BV103" si="499">SUM(BQ103,BM103,BI103)</f>
        <v>#VALUE!</v>
      </c>
      <c r="BU103" s="326">
        <f t="shared" si="499"/>
        <v>0</v>
      </c>
      <c r="BV103" s="333">
        <f t="shared" si="499"/>
        <v>7747206.6100000003</v>
      </c>
      <c r="BW103" s="125">
        <f t="shared" si="485"/>
        <v>3722727.27</v>
      </c>
      <c r="BX103" s="140" t="e">
        <f t="shared" si="56"/>
        <v>#VALUE!</v>
      </c>
      <c r="BY103" s="123" t="str">
        <f t="shared" si="474"/>
        <v/>
      </c>
      <c r="BZ103" s="333">
        <f t="shared" si="475"/>
        <v>0</v>
      </c>
      <c r="CA103" s="123">
        <f t="shared" si="486"/>
        <v>2481818.1800000002</v>
      </c>
      <c r="CB103" s="326">
        <f t="shared" si="487"/>
        <v>0</v>
      </c>
      <c r="CF103" s="294"/>
      <c r="CG103" s="294"/>
      <c r="CH103" s="294"/>
      <c r="CI103" s="294"/>
      <c r="CJ103" s="294"/>
      <c r="CK103" s="294"/>
      <c r="CL103" s="294"/>
      <c r="CM103" s="294"/>
      <c r="CN103" s="294"/>
    </row>
    <row r="104" spans="1:114" ht="13">
      <c r="A104" s="325">
        <f t="shared" si="440"/>
        <v>112013199</v>
      </c>
      <c r="B104" s="324">
        <f t="shared" si="441"/>
        <v>0</v>
      </c>
      <c r="C104" s="558" t="str">
        <f t="shared" si="442"/>
        <v/>
      </c>
      <c r="D104" s="558" t="str">
        <f t="shared" si="443"/>
        <v/>
      </c>
      <c r="E104" s="715" t="str">
        <f t="shared" si="444"/>
        <v/>
      </c>
      <c r="F104" s="547">
        <f t="shared" si="445"/>
        <v>0</v>
      </c>
      <c r="G104" s="699" t="str">
        <f t="shared" si="446"/>
        <v/>
      </c>
      <c r="H104" s="699" t="str">
        <f t="shared" si="447"/>
        <v/>
      </c>
      <c r="I104" s="702" t="str">
        <f t="shared" si="448"/>
        <v/>
      </c>
      <c r="J104" s="837">
        <f t="shared" si="449"/>
        <v>0</v>
      </c>
      <c r="K104" s="699" t="str">
        <f t="shared" si="399"/>
        <v/>
      </c>
      <c r="L104" s="1040" t="str">
        <f t="shared" si="400"/>
        <v/>
      </c>
      <c r="M104" s="423" t="s">
        <v>1493</v>
      </c>
      <c r="N104" s="326"/>
      <c r="O104" s="332"/>
      <c r="P104" s="113" t="e">
        <f t="shared" si="12"/>
        <v>#VALUE!</v>
      </c>
      <c r="Q104" s="116" t="str">
        <f t="shared" si="450"/>
        <v/>
      </c>
      <c r="R104" s="117" t="str">
        <f t="shared" si="451"/>
        <v>0</v>
      </c>
      <c r="S104" s="114"/>
      <c r="T104" s="116"/>
      <c r="U104" s="116" t="str">
        <f t="shared" si="452"/>
        <v/>
      </c>
      <c r="V104" s="116">
        <v>3000000</v>
      </c>
      <c r="W104" s="116" t="e">
        <f t="shared" si="16"/>
        <v>#VALUE!</v>
      </c>
      <c r="X104" s="116" t="str">
        <f t="shared" si="453"/>
        <v/>
      </c>
      <c r="Y104" s="116" t="str">
        <f t="shared" si="454"/>
        <v>0</v>
      </c>
      <c r="Z104" s="326"/>
      <c r="AA104" s="326"/>
      <c r="AB104" s="326" t="str">
        <f t="shared" si="455"/>
        <v/>
      </c>
      <c r="AC104" s="332">
        <v>1800000</v>
      </c>
      <c r="AD104" s="140" t="e">
        <f t="shared" si="20"/>
        <v>#VALUE!</v>
      </c>
      <c r="AE104" s="326" t="str">
        <f t="shared" si="456"/>
        <v/>
      </c>
      <c r="AF104" s="117" t="str">
        <f t="shared" si="457"/>
        <v>0</v>
      </c>
      <c r="AG104" s="123"/>
      <c r="AH104" s="326"/>
      <c r="AI104" s="1257">
        <f t="shared" si="23"/>
        <v>4800000</v>
      </c>
      <c r="AJ104" s="140" t="str">
        <f t="shared" si="458"/>
        <v>0</v>
      </c>
      <c r="AK104" s="123" t="e">
        <f t="shared" ref="AK104:AM104" si="500">AD104+W104+P104</f>
        <v>#VALUE!</v>
      </c>
      <c r="AL104" s="123" t="e">
        <f t="shared" si="500"/>
        <v>#VALUE!</v>
      </c>
      <c r="AM104" s="123">
        <f t="shared" si="500"/>
        <v>0</v>
      </c>
      <c r="AN104" s="123">
        <f t="shared" si="26"/>
        <v>0</v>
      </c>
      <c r="AO104" s="1317" t="str">
        <f t="shared" si="62"/>
        <v/>
      </c>
      <c r="AP104" s="434" t="str">
        <f t="shared" si="460"/>
        <v/>
      </c>
      <c r="AQ104" s="1318" t="e">
        <f t="shared" si="28"/>
        <v>#VALUE!</v>
      </c>
      <c r="AR104" s="1319" t="str">
        <f t="shared" si="461"/>
        <v/>
      </c>
      <c r="AS104" s="1320" t="str">
        <f t="shared" si="462"/>
        <v>0</v>
      </c>
      <c r="AT104" s="125" t="str">
        <f t="shared" si="477"/>
        <v/>
      </c>
      <c r="AU104" s="140" t="e">
        <f t="shared" si="32"/>
        <v>#VALUE!</v>
      </c>
      <c r="AV104" s="326" t="str">
        <f t="shared" si="463"/>
        <v/>
      </c>
      <c r="AW104" s="333" t="str">
        <f t="shared" si="464"/>
        <v>0</v>
      </c>
      <c r="AX104" s="125" t="str">
        <f t="shared" si="478"/>
        <v/>
      </c>
      <c r="AY104" s="140" t="e">
        <f t="shared" si="36"/>
        <v>#VALUE!</v>
      </c>
      <c r="AZ104" s="326" t="str">
        <f t="shared" si="465"/>
        <v/>
      </c>
      <c r="BA104" s="332" t="str">
        <f t="shared" si="466"/>
        <v>0</v>
      </c>
      <c r="BB104" s="122" t="e">
        <f t="shared" ref="BB104:BD104" si="501">SUM(AY104,AU104,AQ104)</f>
        <v>#VALUE!</v>
      </c>
      <c r="BC104" s="326">
        <f t="shared" si="501"/>
        <v>0</v>
      </c>
      <c r="BD104" s="333">
        <f t="shared" si="501"/>
        <v>0</v>
      </c>
      <c r="BE104" s="123" t="e">
        <f t="shared" si="40"/>
        <v>#VALUE!</v>
      </c>
      <c r="BF104" s="326">
        <f t="shared" si="41"/>
        <v>0</v>
      </c>
      <c r="BG104" s="435">
        <f t="shared" si="42"/>
        <v>0</v>
      </c>
      <c r="BH104" s="125" t="str">
        <f t="shared" si="480"/>
        <v/>
      </c>
      <c r="BI104" s="1041" t="e">
        <f t="shared" si="44"/>
        <v>#VALUE!</v>
      </c>
      <c r="BJ104" s="123" t="str">
        <f t="shared" si="468"/>
        <v/>
      </c>
      <c r="BK104" s="326" t="str">
        <f t="shared" si="469"/>
        <v>0</v>
      </c>
      <c r="BL104" s="123" t="str">
        <f t="shared" si="481"/>
        <v/>
      </c>
      <c r="BM104" s="113" t="e">
        <f t="shared" si="48"/>
        <v>#VALUE!</v>
      </c>
      <c r="BN104" s="116" t="str">
        <f t="shared" si="470"/>
        <v/>
      </c>
      <c r="BO104" s="115" t="str">
        <f t="shared" si="482"/>
        <v>0</v>
      </c>
      <c r="BP104" s="326" t="str">
        <f t="shared" si="483"/>
        <v/>
      </c>
      <c r="BQ104" s="326" t="e">
        <f t="shared" si="51"/>
        <v>#VALUE!</v>
      </c>
      <c r="BR104" s="326" t="str">
        <f t="shared" si="471"/>
        <v/>
      </c>
      <c r="BS104" s="332" t="str">
        <f t="shared" si="472"/>
        <v/>
      </c>
      <c r="BT104" s="140" t="e">
        <f t="shared" ref="BT104:BV104" si="502">SUM(BQ104,BM104,BI104)</f>
        <v>#VALUE!</v>
      </c>
      <c r="BU104" s="326">
        <f t="shared" si="502"/>
        <v>0</v>
      </c>
      <c r="BV104" s="333">
        <f t="shared" si="502"/>
        <v>0</v>
      </c>
      <c r="BW104" s="125" t="str">
        <f t="shared" si="485"/>
        <v/>
      </c>
      <c r="BX104" s="140" t="e">
        <f t="shared" si="56"/>
        <v>#VALUE!</v>
      </c>
      <c r="BY104" s="123" t="str">
        <f t="shared" si="474"/>
        <v/>
      </c>
      <c r="BZ104" s="333" t="str">
        <f t="shared" si="475"/>
        <v/>
      </c>
      <c r="CA104" s="123" t="str">
        <f t="shared" si="486"/>
        <v/>
      </c>
      <c r="CB104" s="326" t="str">
        <f t="shared" si="487"/>
        <v/>
      </c>
      <c r="CF104" s="294"/>
      <c r="CG104" s="294"/>
      <c r="CH104" s="294"/>
      <c r="CI104" s="294"/>
      <c r="CJ104" s="294"/>
      <c r="CK104" s="294"/>
      <c r="CL104" s="294"/>
      <c r="CM104" s="294"/>
      <c r="CN104" s="294"/>
    </row>
    <row r="105" spans="1:114" ht="13">
      <c r="A105" s="325">
        <f t="shared" si="440"/>
        <v>112014076</v>
      </c>
      <c r="B105" s="324">
        <f t="shared" si="441"/>
        <v>0</v>
      </c>
      <c r="C105" s="558" t="str">
        <f t="shared" si="442"/>
        <v/>
      </c>
      <c r="D105" s="558" t="str">
        <f t="shared" si="443"/>
        <v/>
      </c>
      <c r="E105" s="715" t="str">
        <f t="shared" si="444"/>
        <v/>
      </c>
      <c r="F105" s="547">
        <f t="shared" si="445"/>
        <v>0</v>
      </c>
      <c r="G105" s="699" t="str">
        <f t="shared" si="446"/>
        <v/>
      </c>
      <c r="H105" s="699" t="str">
        <f t="shared" si="447"/>
        <v/>
      </c>
      <c r="I105" s="702" t="str">
        <f t="shared" si="448"/>
        <v/>
      </c>
      <c r="J105" s="837">
        <f t="shared" si="449"/>
        <v>0</v>
      </c>
      <c r="K105" s="699" t="str">
        <f t="shared" si="399"/>
        <v/>
      </c>
      <c r="L105" s="1040" t="str">
        <f t="shared" si="400"/>
        <v/>
      </c>
      <c r="M105" s="423" t="s">
        <v>1494</v>
      </c>
      <c r="N105" s="326"/>
      <c r="O105" s="332"/>
      <c r="P105" s="113" t="e">
        <f t="shared" si="12"/>
        <v>#VALUE!</v>
      </c>
      <c r="Q105" s="116" t="str">
        <f t="shared" si="450"/>
        <v/>
      </c>
      <c r="R105" s="117">
        <f t="shared" si="451"/>
        <v>0</v>
      </c>
      <c r="S105" s="114"/>
      <c r="T105" s="116"/>
      <c r="U105" s="116">
        <f t="shared" si="452"/>
        <v>0</v>
      </c>
      <c r="V105" s="116">
        <v>3000000</v>
      </c>
      <c r="W105" s="116" t="e">
        <f t="shared" si="16"/>
        <v>#VALUE!</v>
      </c>
      <c r="X105" s="116" t="str">
        <f t="shared" si="453"/>
        <v/>
      </c>
      <c r="Y105" s="116">
        <f t="shared" si="454"/>
        <v>0</v>
      </c>
      <c r="Z105" s="326"/>
      <c r="AA105" s="326"/>
      <c r="AB105" s="326">
        <f t="shared" si="455"/>
        <v>0</v>
      </c>
      <c r="AC105" s="332">
        <v>1800000</v>
      </c>
      <c r="AD105" s="140" t="e">
        <f t="shared" si="20"/>
        <v>#VALUE!</v>
      </c>
      <c r="AE105" s="326" t="str">
        <f t="shared" si="456"/>
        <v/>
      </c>
      <c r="AF105" s="117">
        <f t="shared" si="457"/>
        <v>114371.9</v>
      </c>
      <c r="AG105" s="123"/>
      <c r="AH105" s="326"/>
      <c r="AI105" s="1257">
        <f t="shared" si="23"/>
        <v>4800000</v>
      </c>
      <c r="AJ105" s="140">
        <f t="shared" si="458"/>
        <v>422966.12</v>
      </c>
      <c r="AK105" s="123" t="e">
        <f t="shared" ref="AK105:AM105" si="503">AD105+W105+P105</f>
        <v>#VALUE!</v>
      </c>
      <c r="AL105" s="123" t="e">
        <f t="shared" si="503"/>
        <v>#VALUE!</v>
      </c>
      <c r="AM105" s="123">
        <f t="shared" si="503"/>
        <v>114371.9</v>
      </c>
      <c r="AN105" s="123">
        <f t="shared" si="26"/>
        <v>-308594.21999999997</v>
      </c>
      <c r="AO105" s="1317">
        <f t="shared" si="62"/>
        <v>-0.72959559976103994</v>
      </c>
      <c r="AP105" s="434">
        <f t="shared" si="460"/>
        <v>0</v>
      </c>
      <c r="AQ105" s="1318" t="e">
        <f t="shared" si="28"/>
        <v>#VALUE!</v>
      </c>
      <c r="AR105" s="1319" t="str">
        <f t="shared" si="461"/>
        <v/>
      </c>
      <c r="AS105" s="1320">
        <f t="shared" si="462"/>
        <v>0</v>
      </c>
      <c r="AT105" s="125">
        <f t="shared" si="477"/>
        <v>0</v>
      </c>
      <c r="AU105" s="140" t="e">
        <f t="shared" si="32"/>
        <v>#VALUE!</v>
      </c>
      <c r="AV105" s="326" t="str">
        <f t="shared" si="463"/>
        <v/>
      </c>
      <c r="AW105" s="333">
        <f t="shared" si="464"/>
        <v>0</v>
      </c>
      <c r="AX105" s="125">
        <f t="shared" si="478"/>
        <v>0</v>
      </c>
      <c r="AY105" s="140" t="e">
        <f t="shared" si="36"/>
        <v>#VALUE!</v>
      </c>
      <c r="AZ105" s="326" t="str">
        <f t="shared" si="465"/>
        <v/>
      </c>
      <c r="BA105" s="332">
        <f t="shared" si="466"/>
        <v>0</v>
      </c>
      <c r="BB105" s="122" t="e">
        <f t="shared" ref="BB105:BD105" si="504">SUM(AY105,AU105,AQ105)</f>
        <v>#VALUE!</v>
      </c>
      <c r="BC105" s="326">
        <f t="shared" si="504"/>
        <v>0</v>
      </c>
      <c r="BD105" s="333">
        <f t="shared" si="504"/>
        <v>0</v>
      </c>
      <c r="BE105" s="123" t="e">
        <f t="shared" si="40"/>
        <v>#VALUE!</v>
      </c>
      <c r="BF105" s="326">
        <f t="shared" si="41"/>
        <v>0</v>
      </c>
      <c r="BG105" s="435">
        <f t="shared" si="42"/>
        <v>114371.9</v>
      </c>
      <c r="BH105" s="125">
        <f t="shared" si="480"/>
        <v>0</v>
      </c>
      <c r="BI105" s="1041" t="e">
        <f t="shared" si="44"/>
        <v>#VALUE!</v>
      </c>
      <c r="BJ105" s="123" t="str">
        <f t="shared" si="468"/>
        <v/>
      </c>
      <c r="BK105" s="326">
        <f t="shared" si="469"/>
        <v>0</v>
      </c>
      <c r="BL105" s="123">
        <f t="shared" si="481"/>
        <v>0</v>
      </c>
      <c r="BM105" s="113" t="e">
        <f t="shared" si="48"/>
        <v>#VALUE!</v>
      </c>
      <c r="BN105" s="116" t="str">
        <f t="shared" si="470"/>
        <v/>
      </c>
      <c r="BO105" s="115">
        <f t="shared" si="482"/>
        <v>0</v>
      </c>
      <c r="BP105" s="326">
        <f t="shared" si="483"/>
        <v>0</v>
      </c>
      <c r="BQ105" s="326" t="e">
        <f t="shared" si="51"/>
        <v>#VALUE!</v>
      </c>
      <c r="BR105" s="326" t="str">
        <f t="shared" si="471"/>
        <v/>
      </c>
      <c r="BS105" s="332">
        <f t="shared" si="472"/>
        <v>0</v>
      </c>
      <c r="BT105" s="140" t="e">
        <f t="shared" ref="BT105:BV105" si="505">SUM(BQ105,BM105,BI105)</f>
        <v>#VALUE!</v>
      </c>
      <c r="BU105" s="326">
        <f t="shared" si="505"/>
        <v>0</v>
      </c>
      <c r="BV105" s="333">
        <f t="shared" si="505"/>
        <v>0</v>
      </c>
      <c r="BW105" s="125">
        <f t="shared" si="485"/>
        <v>422966.12</v>
      </c>
      <c r="BX105" s="140" t="e">
        <f t="shared" si="56"/>
        <v>#VALUE!</v>
      </c>
      <c r="BY105" s="123" t="str">
        <f t="shared" si="474"/>
        <v/>
      </c>
      <c r="BZ105" s="333">
        <f t="shared" si="475"/>
        <v>0</v>
      </c>
      <c r="CA105" s="123">
        <f t="shared" si="486"/>
        <v>0</v>
      </c>
      <c r="CB105" s="326">
        <f t="shared" si="487"/>
        <v>0</v>
      </c>
      <c r="CF105" s="294"/>
      <c r="CG105" s="294"/>
      <c r="CH105" s="294"/>
      <c r="CI105" s="294"/>
      <c r="CJ105" s="294"/>
      <c r="CK105" s="294"/>
      <c r="CL105" s="294"/>
      <c r="CM105" s="294"/>
      <c r="CN105" s="294"/>
    </row>
    <row r="106" spans="1:114" ht="13">
      <c r="A106" s="325">
        <f t="shared" si="440"/>
        <v>112014560</v>
      </c>
      <c r="B106" s="324">
        <f t="shared" si="441"/>
        <v>0</v>
      </c>
      <c r="C106" s="558" t="str">
        <f t="shared" si="442"/>
        <v/>
      </c>
      <c r="D106" s="558" t="str">
        <f t="shared" si="443"/>
        <v/>
      </c>
      <c r="E106" s="715" t="str">
        <f t="shared" si="444"/>
        <v/>
      </c>
      <c r="F106" s="547">
        <f t="shared" si="445"/>
        <v>0</v>
      </c>
      <c r="G106" s="699" t="str">
        <f t="shared" si="446"/>
        <v/>
      </c>
      <c r="H106" s="699" t="str">
        <f t="shared" si="447"/>
        <v/>
      </c>
      <c r="I106" s="702" t="str">
        <f t="shared" si="448"/>
        <v/>
      </c>
      <c r="J106" s="837">
        <f t="shared" si="449"/>
        <v>0</v>
      </c>
      <c r="K106" s="699" t="str">
        <f t="shared" si="399"/>
        <v/>
      </c>
      <c r="L106" s="1040" t="str">
        <f t="shared" si="400"/>
        <v/>
      </c>
      <c r="M106" s="423" t="s">
        <v>362</v>
      </c>
      <c r="N106" s="326"/>
      <c r="O106" s="332"/>
      <c r="P106" s="113" t="e">
        <f t="shared" si="12"/>
        <v>#VALUE!</v>
      </c>
      <c r="Q106" s="116" t="str">
        <f t="shared" si="450"/>
        <v/>
      </c>
      <c r="R106" s="117" t="str">
        <f t="shared" si="451"/>
        <v>0</v>
      </c>
      <c r="S106" s="114"/>
      <c r="T106" s="116"/>
      <c r="U106" s="116" t="str">
        <f t="shared" si="452"/>
        <v/>
      </c>
      <c r="V106" s="116">
        <v>3000000</v>
      </c>
      <c r="W106" s="116" t="e">
        <f t="shared" si="16"/>
        <v>#VALUE!</v>
      </c>
      <c r="X106" s="116" t="str">
        <f t="shared" si="453"/>
        <v/>
      </c>
      <c r="Y106" s="116" t="str">
        <f t="shared" si="454"/>
        <v>0</v>
      </c>
      <c r="Z106" s="326"/>
      <c r="AA106" s="326"/>
      <c r="AB106" s="326" t="str">
        <f t="shared" si="455"/>
        <v/>
      </c>
      <c r="AC106" s="332">
        <v>1800000</v>
      </c>
      <c r="AD106" s="140" t="e">
        <f t="shared" si="20"/>
        <v>#VALUE!</v>
      </c>
      <c r="AE106" s="326" t="str">
        <f t="shared" si="456"/>
        <v/>
      </c>
      <c r="AF106" s="117" t="str">
        <f t="shared" si="457"/>
        <v>0</v>
      </c>
      <c r="AG106" s="123"/>
      <c r="AH106" s="326"/>
      <c r="AI106" s="1257">
        <f t="shared" si="23"/>
        <v>4800000</v>
      </c>
      <c r="AJ106" s="140" t="str">
        <f t="shared" si="458"/>
        <v>0</v>
      </c>
      <c r="AK106" s="123" t="e">
        <f t="shared" ref="AK106:AM106" si="506">AD106+W106+P106</f>
        <v>#VALUE!</v>
      </c>
      <c r="AL106" s="123" t="e">
        <f t="shared" si="506"/>
        <v>#VALUE!</v>
      </c>
      <c r="AM106" s="123">
        <f t="shared" si="506"/>
        <v>0</v>
      </c>
      <c r="AN106" s="123">
        <f t="shared" si="26"/>
        <v>0</v>
      </c>
      <c r="AO106" s="1317" t="str">
        <f t="shared" si="62"/>
        <v/>
      </c>
      <c r="AP106" s="434" t="str">
        <f t="shared" si="460"/>
        <v/>
      </c>
      <c r="AQ106" s="1318" t="e">
        <f t="shared" si="28"/>
        <v>#VALUE!</v>
      </c>
      <c r="AR106" s="1319" t="str">
        <f t="shared" si="461"/>
        <v/>
      </c>
      <c r="AS106" s="1320" t="str">
        <f t="shared" si="462"/>
        <v>0</v>
      </c>
      <c r="AT106" s="125" t="str">
        <f t="shared" si="477"/>
        <v/>
      </c>
      <c r="AU106" s="140" t="e">
        <f t="shared" si="32"/>
        <v>#VALUE!</v>
      </c>
      <c r="AV106" s="326" t="str">
        <f t="shared" si="463"/>
        <v/>
      </c>
      <c r="AW106" s="333" t="str">
        <f t="shared" si="464"/>
        <v>0</v>
      </c>
      <c r="AX106" s="125" t="str">
        <f t="shared" si="478"/>
        <v/>
      </c>
      <c r="AY106" s="140" t="e">
        <f t="shared" si="36"/>
        <v>#VALUE!</v>
      </c>
      <c r="AZ106" s="326" t="str">
        <f t="shared" si="465"/>
        <v/>
      </c>
      <c r="BA106" s="332" t="str">
        <f t="shared" si="466"/>
        <v>0</v>
      </c>
      <c r="BB106" s="122" t="e">
        <f t="shared" ref="BB106:BD106" si="507">SUM(AY106,AU106,AQ106)</f>
        <v>#VALUE!</v>
      </c>
      <c r="BC106" s="326">
        <f t="shared" si="507"/>
        <v>0</v>
      </c>
      <c r="BD106" s="333">
        <f t="shared" si="507"/>
        <v>0</v>
      </c>
      <c r="BE106" s="123" t="e">
        <f t="shared" si="40"/>
        <v>#VALUE!</v>
      </c>
      <c r="BF106" s="326">
        <f t="shared" si="41"/>
        <v>0</v>
      </c>
      <c r="BG106" s="435">
        <f t="shared" si="42"/>
        <v>0</v>
      </c>
      <c r="BH106" s="125" t="str">
        <f t="shared" si="480"/>
        <v/>
      </c>
      <c r="BI106" s="1041" t="e">
        <f t="shared" si="44"/>
        <v>#VALUE!</v>
      </c>
      <c r="BJ106" s="123" t="str">
        <f t="shared" si="468"/>
        <v/>
      </c>
      <c r="BK106" s="326" t="str">
        <f t="shared" si="469"/>
        <v>0</v>
      </c>
      <c r="BL106" s="123" t="str">
        <f t="shared" si="481"/>
        <v/>
      </c>
      <c r="BM106" s="113" t="e">
        <f t="shared" si="48"/>
        <v>#VALUE!</v>
      </c>
      <c r="BN106" s="116" t="str">
        <f t="shared" si="470"/>
        <v/>
      </c>
      <c r="BO106" s="115" t="str">
        <f t="shared" si="482"/>
        <v>0</v>
      </c>
      <c r="BP106" s="326" t="str">
        <f t="shared" si="483"/>
        <v/>
      </c>
      <c r="BQ106" s="326" t="e">
        <f t="shared" si="51"/>
        <v>#VALUE!</v>
      </c>
      <c r="BR106" s="326" t="str">
        <f t="shared" si="471"/>
        <v/>
      </c>
      <c r="BS106" s="332" t="str">
        <f t="shared" si="472"/>
        <v/>
      </c>
      <c r="BT106" s="140" t="e">
        <f t="shared" ref="BT106:BV106" si="508">SUM(BQ106,BM106,BI106)</f>
        <v>#VALUE!</v>
      </c>
      <c r="BU106" s="326">
        <f t="shared" si="508"/>
        <v>0</v>
      </c>
      <c r="BV106" s="333">
        <f t="shared" si="508"/>
        <v>0</v>
      </c>
      <c r="BW106" s="125" t="str">
        <f t="shared" si="485"/>
        <v/>
      </c>
      <c r="BX106" s="140" t="e">
        <f t="shared" si="56"/>
        <v>#VALUE!</v>
      </c>
      <c r="BY106" s="123" t="str">
        <f t="shared" si="474"/>
        <v/>
      </c>
      <c r="BZ106" s="333" t="str">
        <f t="shared" si="475"/>
        <v/>
      </c>
      <c r="CA106" s="123" t="str">
        <f t="shared" si="486"/>
        <v/>
      </c>
      <c r="CB106" s="326" t="str">
        <f t="shared" si="487"/>
        <v/>
      </c>
      <c r="CF106" s="294"/>
      <c r="CG106" s="294"/>
      <c r="CH106" s="294"/>
      <c r="CI106" s="294"/>
      <c r="CJ106" s="294"/>
      <c r="CK106" s="294"/>
      <c r="CL106" s="294"/>
      <c r="CM106" s="294"/>
      <c r="CN106" s="294"/>
    </row>
    <row r="107" spans="1:114" ht="13">
      <c r="A107" s="325">
        <f t="shared" si="440"/>
        <v>112011824</v>
      </c>
      <c r="B107" s="324">
        <f t="shared" si="441"/>
        <v>0</v>
      </c>
      <c r="C107" s="558" t="str">
        <f t="shared" si="442"/>
        <v/>
      </c>
      <c r="D107" s="558" t="str">
        <f t="shared" si="443"/>
        <v/>
      </c>
      <c r="E107" s="715" t="str">
        <f t="shared" si="444"/>
        <v/>
      </c>
      <c r="F107" s="547">
        <f t="shared" si="445"/>
        <v>0</v>
      </c>
      <c r="G107" s="699" t="str">
        <f t="shared" si="446"/>
        <v/>
      </c>
      <c r="H107" s="699" t="str">
        <f t="shared" si="447"/>
        <v/>
      </c>
      <c r="I107" s="702" t="str">
        <f t="shared" si="448"/>
        <v/>
      </c>
      <c r="J107" s="837">
        <f t="shared" si="449"/>
        <v>0</v>
      </c>
      <c r="K107" s="699" t="str">
        <f t="shared" si="399"/>
        <v/>
      </c>
      <c r="L107" s="1040" t="str">
        <f t="shared" si="400"/>
        <v/>
      </c>
      <c r="M107" s="423" t="s">
        <v>1495</v>
      </c>
      <c r="N107" s="326"/>
      <c r="O107" s="332"/>
      <c r="P107" s="113" t="e">
        <f t="shared" si="12"/>
        <v>#VALUE!</v>
      </c>
      <c r="Q107" s="116" t="str">
        <f t="shared" si="450"/>
        <v/>
      </c>
      <c r="R107" s="117">
        <f t="shared" si="451"/>
        <v>0</v>
      </c>
      <c r="S107" s="114"/>
      <c r="T107" s="116"/>
      <c r="U107" s="116">
        <f t="shared" si="452"/>
        <v>357426.45</v>
      </c>
      <c r="V107" s="116">
        <v>3000000</v>
      </c>
      <c r="W107" s="116" t="e">
        <f t="shared" si="16"/>
        <v>#VALUE!</v>
      </c>
      <c r="X107" s="116" t="str">
        <f t="shared" si="453"/>
        <v/>
      </c>
      <c r="Y107" s="116">
        <f t="shared" si="454"/>
        <v>0</v>
      </c>
      <c r="Z107" s="326"/>
      <c r="AA107" s="326"/>
      <c r="AB107" s="326">
        <f t="shared" si="455"/>
        <v>0</v>
      </c>
      <c r="AC107" s="332">
        <v>1800000</v>
      </c>
      <c r="AD107" s="140" t="e">
        <f t="shared" si="20"/>
        <v>#VALUE!</v>
      </c>
      <c r="AE107" s="326" t="str">
        <f t="shared" si="456"/>
        <v/>
      </c>
      <c r="AF107" s="117">
        <f t="shared" si="457"/>
        <v>0</v>
      </c>
      <c r="AG107" s="123"/>
      <c r="AH107" s="326"/>
      <c r="AI107" s="1257">
        <f t="shared" si="23"/>
        <v>4800000</v>
      </c>
      <c r="AJ107" s="140">
        <f t="shared" si="458"/>
        <v>659355.37</v>
      </c>
      <c r="AK107" s="123" t="e">
        <f t="shared" ref="AK107:AM107" si="509">AD107+W107+P107</f>
        <v>#VALUE!</v>
      </c>
      <c r="AL107" s="123" t="e">
        <f t="shared" si="509"/>
        <v>#VALUE!</v>
      </c>
      <c r="AM107" s="123">
        <f t="shared" si="509"/>
        <v>0</v>
      </c>
      <c r="AN107" s="123">
        <f t="shared" si="26"/>
        <v>-659355.37</v>
      </c>
      <c r="AO107" s="1317">
        <f t="shared" si="62"/>
        <v>-1</v>
      </c>
      <c r="AP107" s="434">
        <f t="shared" si="460"/>
        <v>721710.74</v>
      </c>
      <c r="AQ107" s="1318" t="e">
        <f t="shared" si="28"/>
        <v>#VALUE!</v>
      </c>
      <c r="AR107" s="1319" t="str">
        <f t="shared" si="461"/>
        <v/>
      </c>
      <c r="AS107" s="1320">
        <f t="shared" si="462"/>
        <v>425233.88</v>
      </c>
      <c r="AT107" s="125">
        <f t="shared" si="477"/>
        <v>0</v>
      </c>
      <c r="AU107" s="140" t="e">
        <f t="shared" si="32"/>
        <v>#VALUE!</v>
      </c>
      <c r="AV107" s="326" t="str">
        <f t="shared" si="463"/>
        <v/>
      </c>
      <c r="AW107" s="333">
        <f t="shared" si="464"/>
        <v>0</v>
      </c>
      <c r="AX107" s="125">
        <f t="shared" si="478"/>
        <v>564814.05000000005</v>
      </c>
      <c r="AY107" s="140" t="e">
        <f t="shared" si="36"/>
        <v>#VALUE!</v>
      </c>
      <c r="AZ107" s="326" t="str">
        <f t="shared" si="465"/>
        <v/>
      </c>
      <c r="BA107" s="332">
        <f t="shared" si="466"/>
        <v>0</v>
      </c>
      <c r="BB107" s="122" t="e">
        <f t="shared" ref="BB107:BD107" si="510">SUM(AY107,AU107,AQ107)</f>
        <v>#VALUE!</v>
      </c>
      <c r="BC107" s="326">
        <f t="shared" si="510"/>
        <v>0</v>
      </c>
      <c r="BD107" s="333">
        <f t="shared" si="510"/>
        <v>425233.88</v>
      </c>
      <c r="BE107" s="123" t="e">
        <f t="shared" si="40"/>
        <v>#VALUE!</v>
      </c>
      <c r="BF107" s="326">
        <f t="shared" si="41"/>
        <v>0</v>
      </c>
      <c r="BG107" s="435">
        <f t="shared" si="42"/>
        <v>425233.88</v>
      </c>
      <c r="BH107" s="125">
        <f t="shared" si="480"/>
        <v>0</v>
      </c>
      <c r="BI107" s="1041" t="e">
        <f t="shared" si="44"/>
        <v>#VALUE!</v>
      </c>
      <c r="BJ107" s="123" t="str">
        <f t="shared" si="468"/>
        <v/>
      </c>
      <c r="BK107" s="326">
        <f t="shared" si="469"/>
        <v>0</v>
      </c>
      <c r="BL107" s="123">
        <f t="shared" si="481"/>
        <v>876433.88</v>
      </c>
      <c r="BM107" s="113" t="e">
        <f t="shared" si="48"/>
        <v>#VALUE!</v>
      </c>
      <c r="BN107" s="116" t="str">
        <f t="shared" si="470"/>
        <v/>
      </c>
      <c r="BO107" s="115">
        <f t="shared" si="482"/>
        <v>1147873.6399999999</v>
      </c>
      <c r="BP107" s="326">
        <f t="shared" si="483"/>
        <v>411517.36</v>
      </c>
      <c r="BQ107" s="326" t="e">
        <f t="shared" si="51"/>
        <v>#VALUE!</v>
      </c>
      <c r="BR107" s="326" t="str">
        <f t="shared" si="471"/>
        <v/>
      </c>
      <c r="BS107" s="332">
        <f t="shared" si="472"/>
        <v>0</v>
      </c>
      <c r="BT107" s="140" t="e">
        <f t="shared" ref="BT107:BV107" si="511">SUM(BQ107,BM107,BI107)</f>
        <v>#VALUE!</v>
      </c>
      <c r="BU107" s="326">
        <f t="shared" si="511"/>
        <v>0</v>
      </c>
      <c r="BV107" s="333">
        <f t="shared" si="511"/>
        <v>1147873.6399999999</v>
      </c>
      <c r="BW107" s="125">
        <f t="shared" si="485"/>
        <v>720740.5</v>
      </c>
      <c r="BX107" s="140" t="e">
        <f t="shared" si="56"/>
        <v>#VALUE!</v>
      </c>
      <c r="BY107" s="123" t="str">
        <f t="shared" si="474"/>
        <v/>
      </c>
      <c r="BZ107" s="333">
        <f t="shared" si="475"/>
        <v>465954.02</v>
      </c>
      <c r="CA107" s="123">
        <f t="shared" si="486"/>
        <v>0</v>
      </c>
      <c r="CB107" s="326">
        <f t="shared" si="487"/>
        <v>-61385.120000000003</v>
      </c>
      <c r="CF107" s="294"/>
      <c r="CG107" s="294"/>
      <c r="CH107" s="294"/>
      <c r="CI107" s="294"/>
      <c r="CJ107" s="294"/>
      <c r="CK107" s="294"/>
      <c r="CL107" s="294"/>
      <c r="CM107" s="294"/>
      <c r="CN107" s="294"/>
    </row>
    <row r="108" spans="1:114" ht="13">
      <c r="A108" s="325">
        <f t="shared" si="440"/>
        <v>112013330</v>
      </c>
      <c r="B108" s="324">
        <f t="shared" si="441"/>
        <v>0</v>
      </c>
      <c r="C108" s="558" t="str">
        <f t="shared" si="442"/>
        <v/>
      </c>
      <c r="D108" s="558" t="str">
        <f t="shared" si="443"/>
        <v/>
      </c>
      <c r="E108" s="715" t="str">
        <f t="shared" si="444"/>
        <v/>
      </c>
      <c r="F108" s="547">
        <f t="shared" si="445"/>
        <v>0</v>
      </c>
      <c r="G108" s="699" t="str">
        <f t="shared" si="446"/>
        <v/>
      </c>
      <c r="H108" s="699" t="str">
        <f t="shared" si="447"/>
        <v/>
      </c>
      <c r="I108" s="702" t="str">
        <f t="shared" si="448"/>
        <v/>
      </c>
      <c r="J108" s="837">
        <f t="shared" si="449"/>
        <v>0</v>
      </c>
      <c r="K108" s="699" t="str">
        <f t="shared" si="399"/>
        <v/>
      </c>
      <c r="L108" s="1040" t="str">
        <f t="shared" si="400"/>
        <v/>
      </c>
      <c r="M108" s="423" t="s">
        <v>1496</v>
      </c>
      <c r="N108" s="326"/>
      <c r="O108" s="332"/>
      <c r="P108" s="113" t="e">
        <f t="shared" si="12"/>
        <v>#VALUE!</v>
      </c>
      <c r="Q108" s="116" t="str">
        <f t="shared" si="450"/>
        <v/>
      </c>
      <c r="R108" s="117" t="str">
        <f t="shared" si="451"/>
        <v>0</v>
      </c>
      <c r="S108" s="114"/>
      <c r="T108" s="116"/>
      <c r="U108" s="116">
        <f t="shared" si="452"/>
        <v>0</v>
      </c>
      <c r="V108" s="116">
        <v>3000000</v>
      </c>
      <c r="W108" s="116" t="e">
        <f t="shared" si="16"/>
        <v>#VALUE!</v>
      </c>
      <c r="X108" s="116" t="str">
        <f t="shared" si="453"/>
        <v/>
      </c>
      <c r="Y108" s="116" t="str">
        <f t="shared" si="454"/>
        <v>0</v>
      </c>
      <c r="Z108" s="326"/>
      <c r="AA108" s="326"/>
      <c r="AB108" s="326">
        <f t="shared" si="455"/>
        <v>0</v>
      </c>
      <c r="AC108" s="332">
        <v>1800000</v>
      </c>
      <c r="AD108" s="140" t="e">
        <f t="shared" si="20"/>
        <v>#VALUE!</v>
      </c>
      <c r="AE108" s="326" t="str">
        <f t="shared" si="456"/>
        <v/>
      </c>
      <c r="AF108" s="117" t="str">
        <f t="shared" si="457"/>
        <v>0</v>
      </c>
      <c r="AG108" s="123"/>
      <c r="AH108" s="326"/>
      <c r="AI108" s="1257">
        <f t="shared" si="23"/>
        <v>4800000</v>
      </c>
      <c r="AJ108" s="140" t="str">
        <f t="shared" si="458"/>
        <v>0</v>
      </c>
      <c r="AK108" s="123" t="e">
        <f t="shared" ref="AK108:AM108" si="512">AD108+W108+P108</f>
        <v>#VALUE!</v>
      </c>
      <c r="AL108" s="123" t="e">
        <f t="shared" si="512"/>
        <v>#VALUE!</v>
      </c>
      <c r="AM108" s="123">
        <f t="shared" si="512"/>
        <v>0</v>
      </c>
      <c r="AN108" s="123">
        <f t="shared" si="26"/>
        <v>0</v>
      </c>
      <c r="AO108" s="1317" t="str">
        <f t="shared" si="62"/>
        <v/>
      </c>
      <c r="AP108" s="434">
        <f t="shared" si="460"/>
        <v>0</v>
      </c>
      <c r="AQ108" s="1318" t="e">
        <f t="shared" si="28"/>
        <v>#VALUE!</v>
      </c>
      <c r="AR108" s="1319" t="str">
        <f t="shared" si="461"/>
        <v/>
      </c>
      <c r="AS108" s="1320" t="str">
        <f t="shared" si="462"/>
        <v>0</v>
      </c>
      <c r="AT108" s="125">
        <f t="shared" si="477"/>
        <v>0</v>
      </c>
      <c r="AU108" s="140" t="e">
        <f t="shared" si="32"/>
        <v>#VALUE!</v>
      </c>
      <c r="AV108" s="326" t="str">
        <f t="shared" si="463"/>
        <v/>
      </c>
      <c r="AW108" s="333" t="str">
        <f t="shared" si="464"/>
        <v>0</v>
      </c>
      <c r="AX108" s="125">
        <f t="shared" si="478"/>
        <v>0</v>
      </c>
      <c r="AY108" s="140" t="e">
        <f t="shared" si="36"/>
        <v>#VALUE!</v>
      </c>
      <c r="AZ108" s="326" t="str">
        <f t="shared" si="465"/>
        <v/>
      </c>
      <c r="BA108" s="332" t="str">
        <f t="shared" si="466"/>
        <v>0</v>
      </c>
      <c r="BB108" s="122" t="e">
        <f t="shared" ref="BB108:BD108" si="513">SUM(AY108,AU108,AQ108)</f>
        <v>#VALUE!</v>
      </c>
      <c r="BC108" s="326">
        <f t="shared" si="513"/>
        <v>0</v>
      </c>
      <c r="BD108" s="333">
        <f t="shared" si="513"/>
        <v>0</v>
      </c>
      <c r="BE108" s="123" t="e">
        <f t="shared" si="40"/>
        <v>#VALUE!</v>
      </c>
      <c r="BF108" s="326">
        <f t="shared" si="41"/>
        <v>0</v>
      </c>
      <c r="BG108" s="435">
        <f t="shared" si="42"/>
        <v>0</v>
      </c>
      <c r="BH108" s="125">
        <f t="shared" si="480"/>
        <v>3203406.86</v>
      </c>
      <c r="BI108" s="1041" t="e">
        <f t="shared" si="44"/>
        <v>#VALUE!</v>
      </c>
      <c r="BJ108" s="123" t="str">
        <f t="shared" si="468"/>
        <v/>
      </c>
      <c r="BK108" s="326" t="str">
        <f t="shared" si="469"/>
        <v>0</v>
      </c>
      <c r="BL108" s="123">
        <f t="shared" si="481"/>
        <v>39195</v>
      </c>
      <c r="BM108" s="113" t="e">
        <f t="shared" si="48"/>
        <v>#VALUE!</v>
      </c>
      <c r="BN108" s="116" t="str">
        <f t="shared" si="470"/>
        <v/>
      </c>
      <c r="BO108" s="115" t="str">
        <f t="shared" si="482"/>
        <v>0</v>
      </c>
      <c r="BP108" s="326">
        <f t="shared" si="483"/>
        <v>0</v>
      </c>
      <c r="BQ108" s="326" t="e">
        <f t="shared" si="51"/>
        <v>#VALUE!</v>
      </c>
      <c r="BR108" s="326" t="str">
        <f t="shared" si="471"/>
        <v/>
      </c>
      <c r="BS108" s="332" t="str">
        <f t="shared" si="472"/>
        <v/>
      </c>
      <c r="BT108" s="140" t="e">
        <f t="shared" ref="BT108:BV108" si="514">SUM(BQ108,BM108,BI108)</f>
        <v>#VALUE!</v>
      </c>
      <c r="BU108" s="326">
        <f t="shared" si="514"/>
        <v>0</v>
      </c>
      <c r="BV108" s="333">
        <f t="shared" si="514"/>
        <v>0</v>
      </c>
      <c r="BW108" s="125">
        <f t="shared" si="485"/>
        <v>0</v>
      </c>
      <c r="BX108" s="140" t="e">
        <f t="shared" si="56"/>
        <v>#VALUE!</v>
      </c>
      <c r="BY108" s="123" t="str">
        <f t="shared" si="474"/>
        <v/>
      </c>
      <c r="BZ108" s="333" t="str">
        <f t="shared" si="475"/>
        <v/>
      </c>
      <c r="CA108" s="123">
        <f t="shared" si="486"/>
        <v>0</v>
      </c>
      <c r="CB108" s="326">
        <f t="shared" si="487"/>
        <v>0</v>
      </c>
      <c r="CF108" s="294"/>
      <c r="CG108" s="294"/>
      <c r="CH108" s="294"/>
      <c r="CI108" s="294"/>
      <c r="CJ108" s="294"/>
      <c r="CK108" s="294"/>
      <c r="CL108" s="294"/>
      <c r="CM108" s="294"/>
      <c r="CN108" s="294"/>
    </row>
    <row r="109" spans="1:114" ht="13">
      <c r="A109" s="325">
        <f t="shared" si="440"/>
        <v>112014657</v>
      </c>
      <c r="B109" s="324">
        <f t="shared" si="441"/>
        <v>0</v>
      </c>
      <c r="C109" s="558" t="str">
        <f t="shared" si="442"/>
        <v/>
      </c>
      <c r="D109" s="558" t="str">
        <f t="shared" si="443"/>
        <v/>
      </c>
      <c r="E109" s="715" t="str">
        <f t="shared" si="444"/>
        <v/>
      </c>
      <c r="F109" s="547">
        <f t="shared" si="445"/>
        <v>0</v>
      </c>
      <c r="G109" s="699" t="str">
        <f t="shared" si="446"/>
        <v/>
      </c>
      <c r="H109" s="699" t="str">
        <f t="shared" si="447"/>
        <v/>
      </c>
      <c r="I109" s="702" t="str">
        <f t="shared" si="448"/>
        <v/>
      </c>
      <c r="J109" s="837">
        <f t="shared" si="449"/>
        <v>0</v>
      </c>
      <c r="K109" s="699" t="str">
        <f t="shared" si="399"/>
        <v/>
      </c>
      <c r="L109" s="1040" t="str">
        <f t="shared" si="400"/>
        <v/>
      </c>
      <c r="M109" s="423" t="s">
        <v>1497</v>
      </c>
      <c r="N109" s="326"/>
      <c r="O109" s="332"/>
      <c r="P109" s="113" t="e">
        <f t="shared" si="12"/>
        <v>#VALUE!</v>
      </c>
      <c r="Q109" s="116" t="str">
        <f t="shared" si="450"/>
        <v/>
      </c>
      <c r="R109" s="117" t="str">
        <f t="shared" si="451"/>
        <v>0</v>
      </c>
      <c r="S109" s="114"/>
      <c r="T109" s="116"/>
      <c r="U109" s="116" t="str">
        <f t="shared" si="452"/>
        <v/>
      </c>
      <c r="V109" s="116">
        <v>3000000</v>
      </c>
      <c r="W109" s="116" t="e">
        <f t="shared" si="16"/>
        <v>#VALUE!</v>
      </c>
      <c r="X109" s="116" t="str">
        <f t="shared" si="453"/>
        <v/>
      </c>
      <c r="Y109" s="116" t="str">
        <f t="shared" si="454"/>
        <v>0</v>
      </c>
      <c r="Z109" s="326"/>
      <c r="AA109" s="326"/>
      <c r="AB109" s="326" t="str">
        <f t="shared" si="455"/>
        <v/>
      </c>
      <c r="AC109" s="332">
        <v>1800000</v>
      </c>
      <c r="AD109" s="140" t="e">
        <f t="shared" si="20"/>
        <v>#VALUE!</v>
      </c>
      <c r="AE109" s="326" t="str">
        <f t="shared" si="456"/>
        <v/>
      </c>
      <c r="AF109" s="117" t="str">
        <f t="shared" si="457"/>
        <v>0</v>
      </c>
      <c r="AG109" s="123"/>
      <c r="AH109" s="326"/>
      <c r="AI109" s="1257">
        <f t="shared" si="23"/>
        <v>4800000</v>
      </c>
      <c r="AJ109" s="140" t="str">
        <f t="shared" si="458"/>
        <v>0</v>
      </c>
      <c r="AK109" s="123" t="e">
        <f t="shared" ref="AK109:AM109" si="515">AD109+W109+P109</f>
        <v>#VALUE!</v>
      </c>
      <c r="AL109" s="123" t="e">
        <f t="shared" si="515"/>
        <v>#VALUE!</v>
      </c>
      <c r="AM109" s="123">
        <f t="shared" si="515"/>
        <v>0</v>
      </c>
      <c r="AN109" s="123">
        <f t="shared" si="26"/>
        <v>0</v>
      </c>
      <c r="AO109" s="1317" t="str">
        <f t="shared" si="62"/>
        <v/>
      </c>
      <c r="AP109" s="434" t="str">
        <f t="shared" si="460"/>
        <v/>
      </c>
      <c r="AQ109" s="1318" t="e">
        <f t="shared" si="28"/>
        <v>#VALUE!</v>
      </c>
      <c r="AR109" s="1319" t="str">
        <f t="shared" si="461"/>
        <v/>
      </c>
      <c r="AS109" s="1320" t="str">
        <f t="shared" si="462"/>
        <v>0</v>
      </c>
      <c r="AT109" s="125" t="str">
        <f t="shared" si="477"/>
        <v/>
      </c>
      <c r="AU109" s="140" t="e">
        <f t="shared" si="32"/>
        <v>#VALUE!</v>
      </c>
      <c r="AV109" s="326" t="str">
        <f t="shared" si="463"/>
        <v/>
      </c>
      <c r="AW109" s="333" t="str">
        <f t="shared" si="464"/>
        <v>0</v>
      </c>
      <c r="AX109" s="125" t="str">
        <f t="shared" si="478"/>
        <v/>
      </c>
      <c r="AY109" s="140" t="e">
        <f t="shared" si="36"/>
        <v>#VALUE!</v>
      </c>
      <c r="AZ109" s="326" t="str">
        <f t="shared" si="465"/>
        <v/>
      </c>
      <c r="BA109" s="332" t="str">
        <f t="shared" si="466"/>
        <v>0</v>
      </c>
      <c r="BB109" s="122" t="e">
        <f t="shared" ref="BB109:BD109" si="516">SUM(AY109,AU109,AQ109)</f>
        <v>#VALUE!</v>
      </c>
      <c r="BC109" s="326">
        <f t="shared" si="516"/>
        <v>0</v>
      </c>
      <c r="BD109" s="333">
        <f t="shared" si="516"/>
        <v>0</v>
      </c>
      <c r="BE109" s="123" t="e">
        <f t="shared" si="40"/>
        <v>#VALUE!</v>
      </c>
      <c r="BF109" s="326">
        <f t="shared" si="41"/>
        <v>0</v>
      </c>
      <c r="BG109" s="435">
        <f t="shared" si="42"/>
        <v>0</v>
      </c>
      <c r="BH109" s="125" t="str">
        <f t="shared" si="480"/>
        <v/>
      </c>
      <c r="BI109" s="1041" t="e">
        <f t="shared" si="44"/>
        <v>#VALUE!</v>
      </c>
      <c r="BJ109" s="123" t="str">
        <f t="shared" si="468"/>
        <v/>
      </c>
      <c r="BK109" s="326" t="str">
        <f t="shared" si="469"/>
        <v>0</v>
      </c>
      <c r="BL109" s="123" t="str">
        <f t="shared" si="481"/>
        <v/>
      </c>
      <c r="BM109" s="113" t="e">
        <f t="shared" si="48"/>
        <v>#VALUE!</v>
      </c>
      <c r="BN109" s="116" t="str">
        <f t="shared" si="470"/>
        <v/>
      </c>
      <c r="BO109" s="115" t="str">
        <f t="shared" si="482"/>
        <v>0</v>
      </c>
      <c r="BP109" s="326" t="str">
        <f t="shared" si="483"/>
        <v/>
      </c>
      <c r="BQ109" s="326" t="e">
        <f t="shared" si="51"/>
        <v>#VALUE!</v>
      </c>
      <c r="BR109" s="326" t="str">
        <f t="shared" si="471"/>
        <v/>
      </c>
      <c r="BS109" s="332" t="str">
        <f t="shared" si="472"/>
        <v/>
      </c>
      <c r="BT109" s="140" t="e">
        <f t="shared" ref="BT109:BV109" si="517">SUM(BQ109,BM109,BI109)</f>
        <v>#VALUE!</v>
      </c>
      <c r="BU109" s="326">
        <f t="shared" si="517"/>
        <v>0</v>
      </c>
      <c r="BV109" s="333">
        <f t="shared" si="517"/>
        <v>0</v>
      </c>
      <c r="BW109" s="125" t="str">
        <f t="shared" si="485"/>
        <v/>
      </c>
      <c r="BX109" s="140" t="e">
        <f t="shared" si="56"/>
        <v>#VALUE!</v>
      </c>
      <c r="BY109" s="123" t="str">
        <f t="shared" si="474"/>
        <v/>
      </c>
      <c r="BZ109" s="333" t="str">
        <f t="shared" si="475"/>
        <v/>
      </c>
      <c r="CA109" s="123" t="str">
        <f t="shared" si="486"/>
        <v/>
      </c>
      <c r="CB109" s="326" t="str">
        <f t="shared" si="487"/>
        <v/>
      </c>
      <c r="CF109" s="294"/>
      <c r="CG109" s="294"/>
      <c r="CH109" s="294"/>
      <c r="CI109" s="294"/>
      <c r="CJ109" s="294"/>
      <c r="CK109" s="294"/>
      <c r="CL109" s="294"/>
      <c r="CM109" s="294"/>
      <c r="CN109" s="294"/>
    </row>
    <row r="110" spans="1:114" ht="13">
      <c r="A110" s="325">
        <f t="shared" si="440"/>
        <v>112013723</v>
      </c>
      <c r="B110" s="324">
        <f t="shared" si="441"/>
        <v>0</v>
      </c>
      <c r="C110" s="558" t="str">
        <f t="shared" si="442"/>
        <v/>
      </c>
      <c r="D110" s="558" t="str">
        <f t="shared" si="443"/>
        <v/>
      </c>
      <c r="E110" s="715" t="str">
        <f t="shared" si="444"/>
        <v/>
      </c>
      <c r="F110" s="547">
        <f t="shared" si="445"/>
        <v>0</v>
      </c>
      <c r="G110" s="699" t="str">
        <f t="shared" si="446"/>
        <v/>
      </c>
      <c r="H110" s="699" t="str">
        <f t="shared" si="447"/>
        <v/>
      </c>
      <c r="I110" s="702" t="str">
        <f t="shared" si="448"/>
        <v/>
      </c>
      <c r="J110" s="837">
        <f t="shared" si="449"/>
        <v>0</v>
      </c>
      <c r="K110" s="699" t="str">
        <f t="shared" si="399"/>
        <v/>
      </c>
      <c r="L110" s="1040" t="str">
        <f t="shared" si="400"/>
        <v/>
      </c>
      <c r="M110" s="423" t="s">
        <v>1498</v>
      </c>
      <c r="N110" s="326"/>
      <c r="O110" s="332"/>
      <c r="P110" s="113" t="e">
        <f t="shared" si="12"/>
        <v>#VALUE!</v>
      </c>
      <c r="Q110" s="116" t="str">
        <f t="shared" si="450"/>
        <v/>
      </c>
      <c r="R110" s="117">
        <f t="shared" si="451"/>
        <v>0</v>
      </c>
      <c r="S110" s="114"/>
      <c r="T110" s="116"/>
      <c r="U110" s="116">
        <f t="shared" si="452"/>
        <v>45756.2</v>
      </c>
      <c r="V110" s="116">
        <v>3000000</v>
      </c>
      <c r="W110" s="116" t="e">
        <f t="shared" si="16"/>
        <v>#VALUE!</v>
      </c>
      <c r="X110" s="116" t="str">
        <f t="shared" si="453"/>
        <v/>
      </c>
      <c r="Y110" s="116">
        <f t="shared" si="454"/>
        <v>0</v>
      </c>
      <c r="Z110" s="326"/>
      <c r="AA110" s="326"/>
      <c r="AB110" s="326">
        <f t="shared" si="455"/>
        <v>0</v>
      </c>
      <c r="AC110" s="332">
        <v>1800000</v>
      </c>
      <c r="AD110" s="140" t="e">
        <f t="shared" si="20"/>
        <v>#VALUE!</v>
      </c>
      <c r="AE110" s="326" t="str">
        <f t="shared" si="456"/>
        <v/>
      </c>
      <c r="AF110" s="117">
        <f t="shared" si="457"/>
        <v>0</v>
      </c>
      <c r="AG110" s="123"/>
      <c r="AH110" s="326"/>
      <c r="AI110" s="1257">
        <f t="shared" si="23"/>
        <v>4800000</v>
      </c>
      <c r="AJ110" s="140">
        <f t="shared" si="458"/>
        <v>502443.8</v>
      </c>
      <c r="AK110" s="123" t="e">
        <f t="shared" ref="AK110:AM110" si="518">AD110+W110+P110</f>
        <v>#VALUE!</v>
      </c>
      <c r="AL110" s="123" t="e">
        <f t="shared" si="518"/>
        <v>#VALUE!</v>
      </c>
      <c r="AM110" s="123">
        <f t="shared" si="518"/>
        <v>0</v>
      </c>
      <c r="AN110" s="123">
        <f t="shared" si="26"/>
        <v>-502443.8</v>
      </c>
      <c r="AO110" s="1317">
        <f t="shared" si="62"/>
        <v>-1</v>
      </c>
      <c r="AP110" s="434">
        <f t="shared" si="460"/>
        <v>116314.88</v>
      </c>
      <c r="AQ110" s="1318" t="e">
        <f t="shared" si="28"/>
        <v>#VALUE!</v>
      </c>
      <c r="AR110" s="1319" t="str">
        <f t="shared" si="461"/>
        <v/>
      </c>
      <c r="AS110" s="1320">
        <f t="shared" si="462"/>
        <v>0</v>
      </c>
      <c r="AT110" s="125">
        <f t="shared" si="477"/>
        <v>0</v>
      </c>
      <c r="AU110" s="140" t="e">
        <f t="shared" si="32"/>
        <v>#VALUE!</v>
      </c>
      <c r="AV110" s="326" t="str">
        <f t="shared" si="463"/>
        <v/>
      </c>
      <c r="AW110" s="333">
        <f t="shared" si="464"/>
        <v>0</v>
      </c>
      <c r="AX110" s="125">
        <f t="shared" si="478"/>
        <v>0</v>
      </c>
      <c r="AY110" s="140" t="e">
        <f t="shared" si="36"/>
        <v>#VALUE!</v>
      </c>
      <c r="AZ110" s="326" t="str">
        <f t="shared" si="465"/>
        <v/>
      </c>
      <c r="BA110" s="332">
        <f t="shared" si="466"/>
        <v>0</v>
      </c>
      <c r="BB110" s="122" t="e">
        <f t="shared" ref="BB110:BD110" si="519">SUM(AY110,AU110,AQ110)</f>
        <v>#VALUE!</v>
      </c>
      <c r="BC110" s="326">
        <f t="shared" si="519"/>
        <v>0</v>
      </c>
      <c r="BD110" s="333">
        <f t="shared" si="519"/>
        <v>0</v>
      </c>
      <c r="BE110" s="123" t="e">
        <f t="shared" si="40"/>
        <v>#VALUE!</v>
      </c>
      <c r="BF110" s="326">
        <f t="shared" si="41"/>
        <v>0</v>
      </c>
      <c r="BG110" s="435">
        <f t="shared" si="42"/>
        <v>0</v>
      </c>
      <c r="BH110" s="125">
        <f t="shared" si="480"/>
        <v>218660.33</v>
      </c>
      <c r="BI110" s="1041" t="e">
        <f t="shared" si="44"/>
        <v>#VALUE!</v>
      </c>
      <c r="BJ110" s="123" t="str">
        <f t="shared" si="468"/>
        <v/>
      </c>
      <c r="BK110" s="326">
        <f t="shared" si="469"/>
        <v>474900.4</v>
      </c>
      <c r="BL110" s="123">
        <f t="shared" si="481"/>
        <v>0</v>
      </c>
      <c r="BM110" s="113" t="e">
        <f t="shared" si="48"/>
        <v>#VALUE!</v>
      </c>
      <c r="BN110" s="116" t="str">
        <f t="shared" si="470"/>
        <v/>
      </c>
      <c r="BO110" s="115">
        <f t="shared" si="482"/>
        <v>0</v>
      </c>
      <c r="BP110" s="326">
        <f t="shared" si="483"/>
        <v>102380.17</v>
      </c>
      <c r="BQ110" s="326" t="e">
        <f t="shared" si="51"/>
        <v>#VALUE!</v>
      </c>
      <c r="BR110" s="326" t="str">
        <f t="shared" si="471"/>
        <v/>
      </c>
      <c r="BS110" s="332">
        <f t="shared" si="472"/>
        <v>290737.57</v>
      </c>
      <c r="BT110" s="140" t="e">
        <f t="shared" ref="BT110:BV110" si="520">SUM(BQ110,BM110,BI110)</f>
        <v>#VALUE!</v>
      </c>
      <c r="BU110" s="326">
        <f t="shared" si="520"/>
        <v>0</v>
      </c>
      <c r="BV110" s="333">
        <f t="shared" si="520"/>
        <v>765637.97</v>
      </c>
      <c r="BW110" s="125">
        <f t="shared" si="485"/>
        <v>0</v>
      </c>
      <c r="BX110" s="140" t="e">
        <f t="shared" si="56"/>
        <v>#VALUE!</v>
      </c>
      <c r="BY110" s="123" t="str">
        <f t="shared" si="474"/>
        <v/>
      </c>
      <c r="BZ110" s="333">
        <f t="shared" si="475"/>
        <v>0</v>
      </c>
      <c r="CA110" s="123">
        <f t="shared" si="486"/>
        <v>149419.01</v>
      </c>
      <c r="CB110" s="326">
        <f t="shared" si="487"/>
        <v>353024.79</v>
      </c>
      <c r="CF110" s="294"/>
      <c r="CG110" s="294"/>
      <c r="CH110" s="294"/>
      <c r="CI110" s="294"/>
      <c r="CJ110" s="294"/>
      <c r="CK110" s="294"/>
      <c r="CL110" s="294"/>
      <c r="CM110" s="294"/>
      <c r="CN110" s="294"/>
    </row>
    <row r="111" spans="1:114" ht="13">
      <c r="A111" s="325">
        <f t="shared" si="440"/>
        <v>112012864</v>
      </c>
      <c r="B111" s="324">
        <f t="shared" si="441"/>
        <v>0</v>
      </c>
      <c r="C111" s="558" t="str">
        <f t="shared" si="442"/>
        <v/>
      </c>
      <c r="D111" s="558" t="str">
        <f t="shared" si="443"/>
        <v/>
      </c>
      <c r="E111" s="715" t="str">
        <f t="shared" si="444"/>
        <v/>
      </c>
      <c r="F111" s="547">
        <f t="shared" si="445"/>
        <v>0</v>
      </c>
      <c r="G111" s="699" t="str">
        <f t="shared" si="446"/>
        <v/>
      </c>
      <c r="H111" s="699" t="str">
        <f t="shared" si="447"/>
        <v/>
      </c>
      <c r="I111" s="702" t="str">
        <f t="shared" si="448"/>
        <v/>
      </c>
      <c r="J111" s="837">
        <f t="shared" si="449"/>
        <v>0</v>
      </c>
      <c r="K111" s="699" t="str">
        <f t="shared" si="399"/>
        <v/>
      </c>
      <c r="L111" s="1040" t="str">
        <f t="shared" si="400"/>
        <v/>
      </c>
      <c r="M111" s="423" t="s">
        <v>1499</v>
      </c>
      <c r="N111" s="326"/>
      <c r="O111" s="332"/>
      <c r="P111" s="113" t="e">
        <f t="shared" si="12"/>
        <v>#VALUE!</v>
      </c>
      <c r="Q111" s="116" t="str">
        <f t="shared" si="450"/>
        <v/>
      </c>
      <c r="R111" s="117" t="str">
        <f t="shared" si="451"/>
        <v>0</v>
      </c>
      <c r="S111" s="114"/>
      <c r="T111" s="116"/>
      <c r="U111" s="116">
        <f t="shared" si="452"/>
        <v>0</v>
      </c>
      <c r="V111" s="116">
        <v>3000000</v>
      </c>
      <c r="W111" s="116" t="e">
        <f t="shared" si="16"/>
        <v>#VALUE!</v>
      </c>
      <c r="X111" s="116" t="str">
        <f t="shared" si="453"/>
        <v/>
      </c>
      <c r="Y111" s="116" t="str">
        <f t="shared" si="454"/>
        <v>0</v>
      </c>
      <c r="Z111" s="326"/>
      <c r="AA111" s="326"/>
      <c r="AB111" s="326">
        <f t="shared" si="455"/>
        <v>0</v>
      </c>
      <c r="AC111" s="332">
        <v>1800000</v>
      </c>
      <c r="AD111" s="140" t="e">
        <f t="shared" si="20"/>
        <v>#VALUE!</v>
      </c>
      <c r="AE111" s="326" t="str">
        <f t="shared" si="456"/>
        <v/>
      </c>
      <c r="AF111" s="117" t="str">
        <f t="shared" si="457"/>
        <v>0</v>
      </c>
      <c r="AG111" s="123"/>
      <c r="AH111" s="326"/>
      <c r="AI111" s="1257">
        <f t="shared" si="23"/>
        <v>4800000</v>
      </c>
      <c r="AJ111" s="140">
        <f t="shared" si="458"/>
        <v>228727.27</v>
      </c>
      <c r="AK111" s="123" t="e">
        <f t="shared" ref="AK111:AM111" si="521">AD111+W111+P111</f>
        <v>#VALUE!</v>
      </c>
      <c r="AL111" s="123" t="e">
        <f t="shared" si="521"/>
        <v>#VALUE!</v>
      </c>
      <c r="AM111" s="123">
        <f t="shared" si="521"/>
        <v>0</v>
      </c>
      <c r="AN111" s="123">
        <f t="shared" si="26"/>
        <v>-228727.27</v>
      </c>
      <c r="AO111" s="1317">
        <f t="shared" si="62"/>
        <v>-1</v>
      </c>
      <c r="AP111" s="434">
        <f t="shared" si="460"/>
        <v>0</v>
      </c>
      <c r="AQ111" s="1318" t="e">
        <f t="shared" si="28"/>
        <v>#VALUE!</v>
      </c>
      <c r="AR111" s="1319" t="str">
        <f t="shared" si="461"/>
        <v/>
      </c>
      <c r="AS111" s="1320" t="str">
        <f t="shared" si="462"/>
        <v>0</v>
      </c>
      <c r="AT111" s="125">
        <f t="shared" si="477"/>
        <v>885462.81</v>
      </c>
      <c r="AU111" s="140" t="e">
        <f t="shared" si="32"/>
        <v>#VALUE!</v>
      </c>
      <c r="AV111" s="326" t="str">
        <f t="shared" si="463"/>
        <v/>
      </c>
      <c r="AW111" s="333" t="str">
        <f t="shared" si="464"/>
        <v>0</v>
      </c>
      <c r="AX111" s="125">
        <f t="shared" si="478"/>
        <v>63929.75</v>
      </c>
      <c r="AY111" s="140" t="e">
        <f t="shared" si="36"/>
        <v>#VALUE!</v>
      </c>
      <c r="AZ111" s="326" t="str">
        <f t="shared" si="465"/>
        <v/>
      </c>
      <c r="BA111" s="332" t="str">
        <f t="shared" si="466"/>
        <v>0</v>
      </c>
      <c r="BB111" s="122" t="e">
        <f t="shared" ref="BB111:BD111" si="522">SUM(AY111,AU111,AQ111)</f>
        <v>#VALUE!</v>
      </c>
      <c r="BC111" s="326">
        <f t="shared" si="522"/>
        <v>0</v>
      </c>
      <c r="BD111" s="333">
        <f t="shared" si="522"/>
        <v>0</v>
      </c>
      <c r="BE111" s="123" t="e">
        <f t="shared" si="40"/>
        <v>#VALUE!</v>
      </c>
      <c r="BF111" s="326">
        <f t="shared" si="41"/>
        <v>0</v>
      </c>
      <c r="BG111" s="435">
        <f t="shared" si="42"/>
        <v>0</v>
      </c>
      <c r="BH111" s="125">
        <f t="shared" si="480"/>
        <v>-63929.75</v>
      </c>
      <c r="BI111" s="1041" t="e">
        <f t="shared" si="44"/>
        <v>#VALUE!</v>
      </c>
      <c r="BJ111" s="123" t="str">
        <f t="shared" si="468"/>
        <v/>
      </c>
      <c r="BK111" s="326" t="str">
        <f t="shared" si="469"/>
        <v>0</v>
      </c>
      <c r="BL111" s="123">
        <f t="shared" si="481"/>
        <v>0</v>
      </c>
      <c r="BM111" s="113" t="e">
        <f t="shared" si="48"/>
        <v>#VALUE!</v>
      </c>
      <c r="BN111" s="116" t="str">
        <f t="shared" si="470"/>
        <v/>
      </c>
      <c r="BO111" s="115" t="str">
        <f t="shared" si="482"/>
        <v>0</v>
      </c>
      <c r="BP111" s="326">
        <f t="shared" si="483"/>
        <v>0</v>
      </c>
      <c r="BQ111" s="326" t="e">
        <f t="shared" si="51"/>
        <v>#VALUE!</v>
      </c>
      <c r="BR111" s="326" t="str">
        <f t="shared" si="471"/>
        <v/>
      </c>
      <c r="BS111" s="332" t="str">
        <f t="shared" si="472"/>
        <v/>
      </c>
      <c r="BT111" s="140" t="e">
        <f t="shared" ref="BT111:BV111" si="523">SUM(BQ111,BM111,BI111)</f>
        <v>#VALUE!</v>
      </c>
      <c r="BU111" s="326">
        <f t="shared" si="523"/>
        <v>0</v>
      </c>
      <c r="BV111" s="333">
        <f t="shared" si="523"/>
        <v>0</v>
      </c>
      <c r="BW111" s="125">
        <f t="shared" si="485"/>
        <v>0</v>
      </c>
      <c r="BX111" s="140" t="e">
        <f t="shared" si="56"/>
        <v>#VALUE!</v>
      </c>
      <c r="BY111" s="123" t="str">
        <f t="shared" si="474"/>
        <v/>
      </c>
      <c r="BZ111" s="333" t="str">
        <f t="shared" si="475"/>
        <v/>
      </c>
      <c r="CA111" s="123">
        <f t="shared" si="486"/>
        <v>0</v>
      </c>
      <c r="CB111" s="326">
        <f t="shared" si="487"/>
        <v>228727.27</v>
      </c>
      <c r="CF111" s="294"/>
      <c r="CG111" s="294"/>
      <c r="CH111" s="294"/>
      <c r="CI111" s="294"/>
      <c r="CJ111" s="294"/>
      <c r="CK111" s="294"/>
      <c r="CL111" s="294"/>
      <c r="CM111" s="294"/>
      <c r="CN111" s="294"/>
    </row>
    <row r="112" spans="1:114" ht="13">
      <c r="A112" s="325">
        <f t="shared" si="440"/>
        <v>112014228</v>
      </c>
      <c r="B112" s="324">
        <f t="shared" si="441"/>
        <v>0</v>
      </c>
      <c r="C112" s="558" t="str">
        <f t="shared" si="442"/>
        <v/>
      </c>
      <c r="D112" s="558" t="str">
        <f t="shared" si="443"/>
        <v/>
      </c>
      <c r="E112" s="715" t="str">
        <f t="shared" si="444"/>
        <v/>
      </c>
      <c r="F112" s="547">
        <f t="shared" si="445"/>
        <v>0</v>
      </c>
      <c r="G112" s="699" t="str">
        <f t="shared" si="446"/>
        <v/>
      </c>
      <c r="H112" s="699" t="str">
        <f t="shared" si="447"/>
        <v/>
      </c>
      <c r="I112" s="702" t="str">
        <f t="shared" si="448"/>
        <v/>
      </c>
      <c r="J112" s="837">
        <f t="shared" si="449"/>
        <v>0</v>
      </c>
      <c r="K112" s="699" t="str">
        <f t="shared" si="399"/>
        <v/>
      </c>
      <c r="L112" s="1040" t="str">
        <f t="shared" si="400"/>
        <v/>
      </c>
      <c r="M112" s="423" t="s">
        <v>1500</v>
      </c>
      <c r="N112" s="326"/>
      <c r="O112" s="332"/>
      <c r="P112" s="113" t="e">
        <f t="shared" si="12"/>
        <v>#VALUE!</v>
      </c>
      <c r="Q112" s="116" t="str">
        <f t="shared" si="450"/>
        <v/>
      </c>
      <c r="R112" s="117" t="str">
        <f t="shared" si="451"/>
        <v>0</v>
      </c>
      <c r="S112" s="114"/>
      <c r="T112" s="116"/>
      <c r="U112" s="116" t="str">
        <f t="shared" si="452"/>
        <v/>
      </c>
      <c r="V112" s="116">
        <v>3000000</v>
      </c>
      <c r="W112" s="116" t="e">
        <f t="shared" si="16"/>
        <v>#VALUE!</v>
      </c>
      <c r="X112" s="116" t="str">
        <f t="shared" si="453"/>
        <v/>
      </c>
      <c r="Y112" s="116" t="str">
        <f t="shared" si="454"/>
        <v>0</v>
      </c>
      <c r="Z112" s="326"/>
      <c r="AA112" s="326"/>
      <c r="AB112" s="326" t="str">
        <f t="shared" si="455"/>
        <v/>
      </c>
      <c r="AC112" s="332">
        <v>1800000</v>
      </c>
      <c r="AD112" s="140" t="e">
        <f t="shared" si="20"/>
        <v>#VALUE!</v>
      </c>
      <c r="AE112" s="326" t="str">
        <f t="shared" si="456"/>
        <v/>
      </c>
      <c r="AF112" s="117" t="str">
        <f t="shared" si="457"/>
        <v>0</v>
      </c>
      <c r="AG112" s="123"/>
      <c r="AH112" s="326"/>
      <c r="AI112" s="1257">
        <f t="shared" si="23"/>
        <v>4800000</v>
      </c>
      <c r="AJ112" s="140" t="str">
        <f t="shared" si="458"/>
        <v>0</v>
      </c>
      <c r="AK112" s="123" t="e">
        <f t="shared" ref="AK112:AM112" si="524">AD112+W112+P112</f>
        <v>#VALUE!</v>
      </c>
      <c r="AL112" s="123" t="e">
        <f t="shared" si="524"/>
        <v>#VALUE!</v>
      </c>
      <c r="AM112" s="123">
        <f t="shared" si="524"/>
        <v>0</v>
      </c>
      <c r="AN112" s="123">
        <f t="shared" si="26"/>
        <v>0</v>
      </c>
      <c r="AO112" s="1317" t="str">
        <f t="shared" si="62"/>
        <v/>
      </c>
      <c r="AP112" s="434" t="str">
        <f t="shared" si="460"/>
        <v/>
      </c>
      <c r="AQ112" s="1318" t="e">
        <f t="shared" si="28"/>
        <v>#VALUE!</v>
      </c>
      <c r="AR112" s="1319" t="str">
        <f t="shared" si="461"/>
        <v/>
      </c>
      <c r="AS112" s="1320" t="str">
        <f t="shared" si="462"/>
        <v>0</v>
      </c>
      <c r="AT112" s="125" t="str">
        <f t="shared" si="477"/>
        <v/>
      </c>
      <c r="AU112" s="140" t="e">
        <f t="shared" si="32"/>
        <v>#VALUE!</v>
      </c>
      <c r="AV112" s="326" t="str">
        <f t="shared" si="463"/>
        <v/>
      </c>
      <c r="AW112" s="333" t="str">
        <f t="shared" si="464"/>
        <v>0</v>
      </c>
      <c r="AX112" s="125" t="str">
        <f t="shared" si="478"/>
        <v/>
      </c>
      <c r="AY112" s="140" t="e">
        <f t="shared" si="36"/>
        <v>#VALUE!</v>
      </c>
      <c r="AZ112" s="326" t="str">
        <f t="shared" si="465"/>
        <v/>
      </c>
      <c r="BA112" s="332" t="str">
        <f t="shared" si="466"/>
        <v>0</v>
      </c>
      <c r="BB112" s="122" t="e">
        <f t="shared" ref="BB112:BD112" si="525">SUM(AY112,AU112,AQ112)</f>
        <v>#VALUE!</v>
      </c>
      <c r="BC112" s="326">
        <f t="shared" si="525"/>
        <v>0</v>
      </c>
      <c r="BD112" s="333">
        <f t="shared" si="525"/>
        <v>0</v>
      </c>
      <c r="BE112" s="123" t="e">
        <f t="shared" si="40"/>
        <v>#VALUE!</v>
      </c>
      <c r="BF112" s="326">
        <f t="shared" si="41"/>
        <v>0</v>
      </c>
      <c r="BG112" s="435">
        <f t="shared" si="42"/>
        <v>0</v>
      </c>
      <c r="BH112" s="125" t="str">
        <f t="shared" si="480"/>
        <v/>
      </c>
      <c r="BI112" s="1041" t="e">
        <f t="shared" si="44"/>
        <v>#VALUE!</v>
      </c>
      <c r="BJ112" s="123" t="str">
        <f t="shared" si="468"/>
        <v/>
      </c>
      <c r="BK112" s="326" t="str">
        <f t="shared" si="469"/>
        <v>0</v>
      </c>
      <c r="BL112" s="123" t="str">
        <f t="shared" si="481"/>
        <v/>
      </c>
      <c r="BM112" s="113" t="e">
        <f t="shared" si="48"/>
        <v>#VALUE!</v>
      </c>
      <c r="BN112" s="116" t="str">
        <f t="shared" si="470"/>
        <v/>
      </c>
      <c r="BO112" s="115" t="str">
        <f t="shared" si="482"/>
        <v>0</v>
      </c>
      <c r="BP112" s="326" t="str">
        <f t="shared" si="483"/>
        <v/>
      </c>
      <c r="BQ112" s="326" t="e">
        <f t="shared" si="51"/>
        <v>#VALUE!</v>
      </c>
      <c r="BR112" s="326" t="str">
        <f t="shared" si="471"/>
        <v/>
      </c>
      <c r="BS112" s="332" t="str">
        <f t="shared" si="472"/>
        <v/>
      </c>
      <c r="BT112" s="140" t="e">
        <f t="shared" ref="BT112:BV112" si="526">SUM(BQ112,BM112,BI112)</f>
        <v>#VALUE!</v>
      </c>
      <c r="BU112" s="326">
        <f t="shared" si="526"/>
        <v>0</v>
      </c>
      <c r="BV112" s="333">
        <f t="shared" si="526"/>
        <v>0</v>
      </c>
      <c r="BW112" s="125" t="str">
        <f t="shared" si="485"/>
        <v/>
      </c>
      <c r="BX112" s="140" t="e">
        <f t="shared" si="56"/>
        <v>#VALUE!</v>
      </c>
      <c r="BY112" s="123" t="str">
        <f t="shared" si="474"/>
        <v/>
      </c>
      <c r="BZ112" s="333" t="str">
        <f t="shared" si="475"/>
        <v/>
      </c>
      <c r="CA112" s="123" t="str">
        <f t="shared" si="486"/>
        <v/>
      </c>
      <c r="CB112" s="326" t="str">
        <f t="shared" si="487"/>
        <v/>
      </c>
      <c r="CF112" s="294"/>
      <c r="CG112" s="294"/>
      <c r="CH112" s="294"/>
      <c r="CI112" s="294"/>
      <c r="CJ112" s="294"/>
      <c r="CK112" s="294"/>
      <c r="CL112" s="294"/>
      <c r="CM112" s="294"/>
      <c r="CN112" s="294"/>
    </row>
    <row r="113" spans="1:114" ht="13">
      <c r="A113" s="325">
        <f t="shared" si="440"/>
        <v>112011985</v>
      </c>
      <c r="B113" s="324">
        <f t="shared" si="441"/>
        <v>0</v>
      </c>
      <c r="C113" s="558" t="str">
        <f t="shared" si="442"/>
        <v/>
      </c>
      <c r="D113" s="558" t="str">
        <f t="shared" si="443"/>
        <v/>
      </c>
      <c r="E113" s="715" t="str">
        <f t="shared" si="444"/>
        <v/>
      </c>
      <c r="F113" s="547">
        <f t="shared" si="445"/>
        <v>0</v>
      </c>
      <c r="G113" s="699" t="str">
        <f t="shared" si="446"/>
        <v/>
      </c>
      <c r="H113" s="699" t="str">
        <f t="shared" si="447"/>
        <v/>
      </c>
      <c r="I113" s="702" t="str">
        <f t="shared" si="448"/>
        <v/>
      </c>
      <c r="J113" s="837">
        <f t="shared" si="449"/>
        <v>0</v>
      </c>
      <c r="K113" s="699" t="str">
        <f t="shared" si="399"/>
        <v/>
      </c>
      <c r="L113" s="1040" t="str">
        <f t="shared" si="400"/>
        <v/>
      </c>
      <c r="M113" s="423" t="s">
        <v>1501</v>
      </c>
      <c r="N113" s="326"/>
      <c r="O113" s="332"/>
      <c r="P113" s="113" t="e">
        <f t="shared" si="12"/>
        <v>#VALUE!</v>
      </c>
      <c r="Q113" s="116" t="str">
        <f t="shared" si="450"/>
        <v/>
      </c>
      <c r="R113" s="117" t="str">
        <f t="shared" si="451"/>
        <v>0</v>
      </c>
      <c r="S113" s="114"/>
      <c r="T113" s="116"/>
      <c r="U113" s="116">
        <f t="shared" si="452"/>
        <v>0</v>
      </c>
      <c r="V113" s="116">
        <v>3000000</v>
      </c>
      <c r="W113" s="116" t="e">
        <f t="shared" si="16"/>
        <v>#VALUE!</v>
      </c>
      <c r="X113" s="116" t="str">
        <f t="shared" si="453"/>
        <v/>
      </c>
      <c r="Y113" s="116" t="str">
        <f t="shared" si="454"/>
        <v>0</v>
      </c>
      <c r="Z113" s="326"/>
      <c r="AA113" s="326"/>
      <c r="AB113" s="326">
        <f t="shared" si="455"/>
        <v>0</v>
      </c>
      <c r="AC113" s="332">
        <v>1800000</v>
      </c>
      <c r="AD113" s="140" t="e">
        <f t="shared" si="20"/>
        <v>#VALUE!</v>
      </c>
      <c r="AE113" s="326" t="str">
        <f t="shared" si="456"/>
        <v/>
      </c>
      <c r="AF113" s="117" t="str">
        <f t="shared" si="457"/>
        <v>0</v>
      </c>
      <c r="AG113" s="123"/>
      <c r="AH113" s="326"/>
      <c r="AI113" s="1257">
        <f t="shared" si="23"/>
        <v>4800000</v>
      </c>
      <c r="AJ113" s="140" t="str">
        <f t="shared" si="458"/>
        <v>0</v>
      </c>
      <c r="AK113" s="123" t="e">
        <f t="shared" ref="AK113:AM113" si="527">AD113+W113+P113</f>
        <v>#VALUE!</v>
      </c>
      <c r="AL113" s="123" t="e">
        <f t="shared" si="527"/>
        <v>#VALUE!</v>
      </c>
      <c r="AM113" s="123">
        <f t="shared" si="527"/>
        <v>0</v>
      </c>
      <c r="AN113" s="123">
        <f t="shared" si="26"/>
        <v>0</v>
      </c>
      <c r="AO113" s="1317" t="str">
        <f t="shared" si="62"/>
        <v/>
      </c>
      <c r="AP113" s="434">
        <f t="shared" si="460"/>
        <v>0</v>
      </c>
      <c r="AQ113" s="1318" t="e">
        <f t="shared" si="28"/>
        <v>#VALUE!</v>
      </c>
      <c r="AR113" s="1319" t="str">
        <f t="shared" si="461"/>
        <v/>
      </c>
      <c r="AS113" s="1320" t="str">
        <f t="shared" si="462"/>
        <v>0</v>
      </c>
      <c r="AT113" s="125">
        <f t="shared" si="477"/>
        <v>0</v>
      </c>
      <c r="AU113" s="140" t="e">
        <f t="shared" si="32"/>
        <v>#VALUE!</v>
      </c>
      <c r="AV113" s="326" t="str">
        <f t="shared" si="463"/>
        <v/>
      </c>
      <c r="AW113" s="333" t="str">
        <f t="shared" si="464"/>
        <v>0</v>
      </c>
      <c r="AX113" s="125">
        <f t="shared" si="478"/>
        <v>0</v>
      </c>
      <c r="AY113" s="140" t="e">
        <f t="shared" si="36"/>
        <v>#VALUE!</v>
      </c>
      <c r="AZ113" s="326" t="str">
        <f t="shared" si="465"/>
        <v/>
      </c>
      <c r="BA113" s="332" t="str">
        <f t="shared" si="466"/>
        <v>0</v>
      </c>
      <c r="BB113" s="122" t="e">
        <f t="shared" ref="BB113:BD113" si="528">SUM(AY113,AU113,AQ113)</f>
        <v>#VALUE!</v>
      </c>
      <c r="BC113" s="326">
        <f t="shared" si="528"/>
        <v>0</v>
      </c>
      <c r="BD113" s="333">
        <f t="shared" si="528"/>
        <v>0</v>
      </c>
      <c r="BE113" s="123" t="e">
        <f t="shared" si="40"/>
        <v>#VALUE!</v>
      </c>
      <c r="BF113" s="326">
        <f t="shared" si="41"/>
        <v>0</v>
      </c>
      <c r="BG113" s="435">
        <f t="shared" si="42"/>
        <v>0</v>
      </c>
      <c r="BH113" s="125">
        <f t="shared" si="480"/>
        <v>0</v>
      </c>
      <c r="BI113" s="1041" t="e">
        <f t="shared" si="44"/>
        <v>#VALUE!</v>
      </c>
      <c r="BJ113" s="123" t="str">
        <f t="shared" si="468"/>
        <v/>
      </c>
      <c r="BK113" s="326" t="str">
        <f t="shared" si="469"/>
        <v>0</v>
      </c>
      <c r="BL113" s="123">
        <f t="shared" si="481"/>
        <v>428280.92</v>
      </c>
      <c r="BM113" s="113" t="e">
        <f t="shared" si="48"/>
        <v>#VALUE!</v>
      </c>
      <c r="BN113" s="116" t="str">
        <f t="shared" si="470"/>
        <v/>
      </c>
      <c r="BO113" s="115" t="str">
        <f t="shared" si="482"/>
        <v>0</v>
      </c>
      <c r="BP113" s="326">
        <f t="shared" si="483"/>
        <v>0</v>
      </c>
      <c r="BQ113" s="326" t="e">
        <f t="shared" si="51"/>
        <v>#VALUE!</v>
      </c>
      <c r="BR113" s="326" t="str">
        <f t="shared" si="471"/>
        <v/>
      </c>
      <c r="BS113" s="332" t="str">
        <f t="shared" si="472"/>
        <v/>
      </c>
      <c r="BT113" s="140" t="e">
        <f t="shared" ref="BT113:BV113" si="529">SUM(BQ113,BM113,BI113)</f>
        <v>#VALUE!</v>
      </c>
      <c r="BU113" s="326">
        <f t="shared" si="529"/>
        <v>0</v>
      </c>
      <c r="BV113" s="333">
        <f t="shared" si="529"/>
        <v>0</v>
      </c>
      <c r="BW113" s="125">
        <f t="shared" si="485"/>
        <v>0</v>
      </c>
      <c r="BX113" s="140" t="e">
        <f t="shared" si="56"/>
        <v>#VALUE!</v>
      </c>
      <c r="BY113" s="123" t="str">
        <f t="shared" si="474"/>
        <v/>
      </c>
      <c r="BZ113" s="333" t="str">
        <f t="shared" si="475"/>
        <v/>
      </c>
      <c r="CA113" s="123">
        <f t="shared" si="486"/>
        <v>0</v>
      </c>
      <c r="CB113" s="326">
        <f t="shared" si="487"/>
        <v>0</v>
      </c>
      <c r="CF113" s="294"/>
      <c r="CG113" s="294"/>
      <c r="CH113" s="294"/>
      <c r="CI113" s="294"/>
      <c r="CJ113" s="294"/>
      <c r="CK113" s="294"/>
      <c r="CL113" s="294"/>
      <c r="CM113" s="294"/>
      <c r="CN113" s="294"/>
    </row>
    <row r="114" spans="1:114" ht="13">
      <c r="A114" s="325">
        <f t="shared" si="440"/>
        <v>112013421</v>
      </c>
      <c r="B114" s="324">
        <f t="shared" si="441"/>
        <v>0</v>
      </c>
      <c r="C114" s="558" t="str">
        <f t="shared" si="442"/>
        <v/>
      </c>
      <c r="D114" s="558" t="str">
        <f t="shared" si="443"/>
        <v/>
      </c>
      <c r="E114" s="715" t="str">
        <f t="shared" si="444"/>
        <v/>
      </c>
      <c r="F114" s="547">
        <f t="shared" si="445"/>
        <v>0</v>
      </c>
      <c r="G114" s="699" t="str">
        <f t="shared" si="446"/>
        <v/>
      </c>
      <c r="H114" s="699" t="str">
        <f t="shared" si="447"/>
        <v/>
      </c>
      <c r="I114" s="702" t="str">
        <f t="shared" si="448"/>
        <v/>
      </c>
      <c r="J114" s="837">
        <f t="shared" si="449"/>
        <v>0</v>
      </c>
      <c r="K114" s="699" t="str">
        <f t="shared" si="399"/>
        <v/>
      </c>
      <c r="L114" s="1040" t="str">
        <f t="shared" si="400"/>
        <v/>
      </c>
      <c r="M114" s="423" t="s">
        <v>1120</v>
      </c>
      <c r="N114" s="326"/>
      <c r="O114" s="332"/>
      <c r="P114" s="113" t="e">
        <f t="shared" si="12"/>
        <v>#VALUE!</v>
      </c>
      <c r="Q114" s="116" t="str">
        <f t="shared" si="450"/>
        <v/>
      </c>
      <c r="R114" s="117" t="str">
        <f t="shared" si="451"/>
        <v>0</v>
      </c>
      <c r="S114" s="114"/>
      <c r="T114" s="116"/>
      <c r="U114" s="116" t="str">
        <f t="shared" si="452"/>
        <v/>
      </c>
      <c r="V114" s="116">
        <v>3000000</v>
      </c>
      <c r="W114" s="116" t="e">
        <f t="shared" si="16"/>
        <v>#VALUE!</v>
      </c>
      <c r="X114" s="116" t="str">
        <f t="shared" si="453"/>
        <v/>
      </c>
      <c r="Y114" s="116" t="str">
        <f t="shared" si="454"/>
        <v>0</v>
      </c>
      <c r="Z114" s="326"/>
      <c r="AA114" s="326"/>
      <c r="AB114" s="326" t="str">
        <f t="shared" si="455"/>
        <v/>
      </c>
      <c r="AC114" s="332">
        <v>1800000</v>
      </c>
      <c r="AD114" s="140" t="e">
        <f t="shared" si="20"/>
        <v>#VALUE!</v>
      </c>
      <c r="AE114" s="326" t="str">
        <f t="shared" si="456"/>
        <v/>
      </c>
      <c r="AF114" s="117" t="str">
        <f t="shared" si="457"/>
        <v>0</v>
      </c>
      <c r="AG114" s="123"/>
      <c r="AH114" s="326"/>
      <c r="AI114" s="1257">
        <f t="shared" si="23"/>
        <v>4800000</v>
      </c>
      <c r="AJ114" s="140">
        <f t="shared" si="458"/>
        <v>140911.57999999999</v>
      </c>
      <c r="AK114" s="123" t="e">
        <f t="shared" ref="AK114:AM114" si="530">AD114+W114+P114</f>
        <v>#VALUE!</v>
      </c>
      <c r="AL114" s="123" t="e">
        <f t="shared" si="530"/>
        <v>#VALUE!</v>
      </c>
      <c r="AM114" s="123">
        <f t="shared" si="530"/>
        <v>0</v>
      </c>
      <c r="AN114" s="123">
        <f t="shared" si="26"/>
        <v>-140911.57999999999</v>
      </c>
      <c r="AO114" s="1317">
        <f t="shared" si="62"/>
        <v>-1</v>
      </c>
      <c r="AP114" s="434" t="str">
        <f t="shared" si="460"/>
        <v/>
      </c>
      <c r="AQ114" s="1318" t="e">
        <f t="shared" si="28"/>
        <v>#VALUE!</v>
      </c>
      <c r="AR114" s="1319" t="str">
        <f t="shared" si="461"/>
        <v/>
      </c>
      <c r="AS114" s="1320" t="str">
        <f t="shared" si="462"/>
        <v>0</v>
      </c>
      <c r="AT114" s="125" t="str">
        <f t="shared" si="477"/>
        <v/>
      </c>
      <c r="AU114" s="140" t="e">
        <f t="shared" si="32"/>
        <v>#VALUE!</v>
      </c>
      <c r="AV114" s="326" t="str">
        <f t="shared" si="463"/>
        <v/>
      </c>
      <c r="AW114" s="333" t="str">
        <f t="shared" si="464"/>
        <v>0</v>
      </c>
      <c r="AX114" s="125" t="str">
        <f t="shared" si="478"/>
        <v/>
      </c>
      <c r="AY114" s="140" t="e">
        <f t="shared" si="36"/>
        <v>#VALUE!</v>
      </c>
      <c r="AZ114" s="326" t="str">
        <f t="shared" si="465"/>
        <v/>
      </c>
      <c r="BA114" s="332" t="str">
        <f t="shared" si="466"/>
        <v>0</v>
      </c>
      <c r="BB114" s="122" t="e">
        <f t="shared" ref="BB114:BD114" si="531">SUM(AY114,AU114,AQ114)</f>
        <v>#VALUE!</v>
      </c>
      <c r="BC114" s="326">
        <f t="shared" si="531"/>
        <v>0</v>
      </c>
      <c r="BD114" s="333">
        <f t="shared" si="531"/>
        <v>0</v>
      </c>
      <c r="BE114" s="123" t="e">
        <f t="shared" si="40"/>
        <v>#VALUE!</v>
      </c>
      <c r="BF114" s="326">
        <f t="shared" si="41"/>
        <v>0</v>
      </c>
      <c r="BG114" s="435">
        <f t="shared" si="42"/>
        <v>0</v>
      </c>
      <c r="BH114" s="125" t="str">
        <f t="shared" si="480"/>
        <v/>
      </c>
      <c r="BI114" s="1041" t="e">
        <f t="shared" si="44"/>
        <v>#VALUE!</v>
      </c>
      <c r="BJ114" s="123" t="str">
        <f t="shared" si="468"/>
        <v/>
      </c>
      <c r="BK114" s="326" t="str">
        <f t="shared" si="469"/>
        <v>0</v>
      </c>
      <c r="BL114" s="123" t="str">
        <f t="shared" si="481"/>
        <v/>
      </c>
      <c r="BM114" s="113" t="e">
        <f t="shared" si="48"/>
        <v>#VALUE!</v>
      </c>
      <c r="BN114" s="116" t="str">
        <f t="shared" si="470"/>
        <v/>
      </c>
      <c r="BO114" s="115" t="str">
        <f t="shared" si="482"/>
        <v>0</v>
      </c>
      <c r="BP114" s="326" t="str">
        <f t="shared" si="483"/>
        <v/>
      </c>
      <c r="BQ114" s="326" t="e">
        <f t="shared" si="51"/>
        <v>#VALUE!</v>
      </c>
      <c r="BR114" s="326" t="str">
        <f t="shared" si="471"/>
        <v/>
      </c>
      <c r="BS114" s="332" t="str">
        <f t="shared" si="472"/>
        <v/>
      </c>
      <c r="BT114" s="140" t="e">
        <f t="shared" ref="BT114:BV114" si="532">SUM(BQ114,BM114,BI114)</f>
        <v>#VALUE!</v>
      </c>
      <c r="BU114" s="326">
        <f t="shared" si="532"/>
        <v>0</v>
      </c>
      <c r="BV114" s="333">
        <f t="shared" si="532"/>
        <v>0</v>
      </c>
      <c r="BW114" s="125" t="str">
        <f t="shared" si="485"/>
        <v/>
      </c>
      <c r="BX114" s="140" t="e">
        <f t="shared" si="56"/>
        <v>#VALUE!</v>
      </c>
      <c r="BY114" s="123" t="str">
        <f t="shared" si="474"/>
        <v/>
      </c>
      <c r="BZ114" s="333" t="str">
        <f t="shared" si="475"/>
        <v/>
      </c>
      <c r="CA114" s="123" t="str">
        <f t="shared" si="486"/>
        <v/>
      </c>
      <c r="CB114" s="326" t="str">
        <f t="shared" si="487"/>
        <v/>
      </c>
      <c r="CF114" s="294"/>
      <c r="CG114" s="294"/>
      <c r="CH114" s="294"/>
      <c r="CI114" s="294"/>
      <c r="CJ114" s="294"/>
      <c r="CK114" s="294"/>
      <c r="CL114" s="294"/>
      <c r="CM114" s="294"/>
      <c r="CN114" s="294"/>
    </row>
    <row r="115" spans="1:114" ht="13">
      <c r="A115" s="325">
        <f t="shared" si="440"/>
        <v>112012403</v>
      </c>
      <c r="B115" s="324">
        <f t="shared" si="441"/>
        <v>0</v>
      </c>
      <c r="C115" s="558" t="str">
        <f t="shared" si="442"/>
        <v/>
      </c>
      <c r="D115" s="558" t="str">
        <f t="shared" si="443"/>
        <v/>
      </c>
      <c r="E115" s="715" t="str">
        <f t="shared" si="444"/>
        <v/>
      </c>
      <c r="F115" s="547">
        <f t="shared" si="445"/>
        <v>0</v>
      </c>
      <c r="G115" s="699" t="str">
        <f t="shared" si="446"/>
        <v/>
      </c>
      <c r="H115" s="699" t="str">
        <f t="shared" si="447"/>
        <v/>
      </c>
      <c r="I115" s="702" t="str">
        <f t="shared" si="448"/>
        <v/>
      </c>
      <c r="J115" s="837">
        <f t="shared" si="449"/>
        <v>0</v>
      </c>
      <c r="K115" s="699" t="str">
        <f t="shared" si="399"/>
        <v/>
      </c>
      <c r="L115" s="1040" t="str">
        <f t="shared" si="400"/>
        <v/>
      </c>
      <c r="M115" s="423" t="s">
        <v>1502</v>
      </c>
      <c r="N115" s="326"/>
      <c r="O115" s="332"/>
      <c r="P115" s="113" t="e">
        <f t="shared" si="12"/>
        <v>#VALUE!</v>
      </c>
      <c r="Q115" s="116" t="str">
        <f t="shared" si="450"/>
        <v/>
      </c>
      <c r="R115" s="117" t="str">
        <f t="shared" si="451"/>
        <v>0</v>
      </c>
      <c r="S115" s="114"/>
      <c r="T115" s="116"/>
      <c r="U115" s="116" t="str">
        <f t="shared" si="452"/>
        <v/>
      </c>
      <c r="V115" s="116">
        <v>3000000</v>
      </c>
      <c r="W115" s="116" t="e">
        <f t="shared" si="16"/>
        <v>#VALUE!</v>
      </c>
      <c r="X115" s="116" t="str">
        <f t="shared" si="453"/>
        <v/>
      </c>
      <c r="Y115" s="116" t="str">
        <f t="shared" si="454"/>
        <v>0</v>
      </c>
      <c r="Z115" s="326"/>
      <c r="AA115" s="326"/>
      <c r="AB115" s="326" t="str">
        <f t="shared" si="455"/>
        <v/>
      </c>
      <c r="AC115" s="332">
        <v>1800000</v>
      </c>
      <c r="AD115" s="140" t="e">
        <f t="shared" si="20"/>
        <v>#VALUE!</v>
      </c>
      <c r="AE115" s="326" t="str">
        <f t="shared" si="456"/>
        <v/>
      </c>
      <c r="AF115" s="117" t="str">
        <f t="shared" si="457"/>
        <v>0</v>
      </c>
      <c r="AG115" s="123"/>
      <c r="AH115" s="326"/>
      <c r="AI115" s="1257">
        <f t="shared" si="23"/>
        <v>4800000</v>
      </c>
      <c r="AJ115" s="140" t="str">
        <f t="shared" si="458"/>
        <v>0</v>
      </c>
      <c r="AK115" s="123" t="e">
        <f t="shared" ref="AK115:AM115" si="533">AD115+W115+P115</f>
        <v>#VALUE!</v>
      </c>
      <c r="AL115" s="123" t="e">
        <f t="shared" si="533"/>
        <v>#VALUE!</v>
      </c>
      <c r="AM115" s="123">
        <f t="shared" si="533"/>
        <v>0</v>
      </c>
      <c r="AN115" s="123">
        <f t="shared" si="26"/>
        <v>0</v>
      </c>
      <c r="AO115" s="1317" t="str">
        <f t="shared" si="62"/>
        <v/>
      </c>
      <c r="AP115" s="434" t="str">
        <f t="shared" si="460"/>
        <v/>
      </c>
      <c r="AQ115" s="1318" t="e">
        <f t="shared" si="28"/>
        <v>#VALUE!</v>
      </c>
      <c r="AR115" s="1319" t="str">
        <f t="shared" si="461"/>
        <v/>
      </c>
      <c r="AS115" s="1320" t="str">
        <f t="shared" si="462"/>
        <v>0</v>
      </c>
      <c r="AT115" s="125" t="str">
        <f t="shared" si="477"/>
        <v/>
      </c>
      <c r="AU115" s="140" t="e">
        <f t="shared" si="32"/>
        <v>#VALUE!</v>
      </c>
      <c r="AV115" s="326" t="str">
        <f t="shared" si="463"/>
        <v/>
      </c>
      <c r="AW115" s="333" t="str">
        <f t="shared" si="464"/>
        <v>0</v>
      </c>
      <c r="AX115" s="125" t="str">
        <f t="shared" si="478"/>
        <v/>
      </c>
      <c r="AY115" s="140" t="e">
        <f t="shared" si="36"/>
        <v>#VALUE!</v>
      </c>
      <c r="AZ115" s="326" t="str">
        <f t="shared" si="465"/>
        <v/>
      </c>
      <c r="BA115" s="332" t="str">
        <f t="shared" si="466"/>
        <v>0</v>
      </c>
      <c r="BB115" s="122" t="e">
        <f t="shared" ref="BB115:BD115" si="534">SUM(AY115,AU115,AQ115)</f>
        <v>#VALUE!</v>
      </c>
      <c r="BC115" s="326">
        <f t="shared" si="534"/>
        <v>0</v>
      </c>
      <c r="BD115" s="333">
        <f t="shared" si="534"/>
        <v>0</v>
      </c>
      <c r="BE115" s="123" t="e">
        <f t="shared" si="40"/>
        <v>#VALUE!</v>
      </c>
      <c r="BF115" s="326">
        <f t="shared" si="41"/>
        <v>0</v>
      </c>
      <c r="BG115" s="435">
        <f t="shared" si="42"/>
        <v>0</v>
      </c>
      <c r="BH115" s="125" t="str">
        <f t="shared" si="480"/>
        <v/>
      </c>
      <c r="BI115" s="1041" t="e">
        <f t="shared" si="44"/>
        <v>#VALUE!</v>
      </c>
      <c r="BJ115" s="123" t="str">
        <f t="shared" si="468"/>
        <v/>
      </c>
      <c r="BK115" s="326" t="str">
        <f t="shared" si="469"/>
        <v>0</v>
      </c>
      <c r="BL115" s="123" t="str">
        <f t="shared" si="481"/>
        <v/>
      </c>
      <c r="BM115" s="113" t="e">
        <f t="shared" si="48"/>
        <v>#VALUE!</v>
      </c>
      <c r="BN115" s="116" t="str">
        <f t="shared" si="470"/>
        <v/>
      </c>
      <c r="BO115" s="115" t="str">
        <f t="shared" si="482"/>
        <v>0</v>
      </c>
      <c r="BP115" s="326" t="str">
        <f t="shared" si="483"/>
        <v/>
      </c>
      <c r="BQ115" s="326" t="e">
        <f t="shared" si="51"/>
        <v>#VALUE!</v>
      </c>
      <c r="BR115" s="326" t="str">
        <f t="shared" si="471"/>
        <v/>
      </c>
      <c r="BS115" s="332" t="str">
        <f t="shared" si="472"/>
        <v/>
      </c>
      <c r="BT115" s="140" t="e">
        <f t="shared" ref="BT115:BV115" si="535">SUM(BQ115,BM115,BI115)</f>
        <v>#VALUE!</v>
      </c>
      <c r="BU115" s="326">
        <f t="shared" si="535"/>
        <v>0</v>
      </c>
      <c r="BV115" s="333">
        <f t="shared" si="535"/>
        <v>0</v>
      </c>
      <c r="BW115" s="125" t="str">
        <f t="shared" si="485"/>
        <v/>
      </c>
      <c r="BX115" s="140" t="e">
        <f t="shared" si="56"/>
        <v>#VALUE!</v>
      </c>
      <c r="BY115" s="123" t="str">
        <f t="shared" si="474"/>
        <v/>
      </c>
      <c r="BZ115" s="333" t="str">
        <f t="shared" si="475"/>
        <v/>
      </c>
      <c r="CA115" s="123" t="str">
        <f t="shared" si="486"/>
        <v/>
      </c>
      <c r="CB115" s="326" t="str">
        <f t="shared" si="487"/>
        <v/>
      </c>
      <c r="CF115" s="294"/>
      <c r="CG115" s="294"/>
      <c r="CH115" s="294"/>
      <c r="CI115" s="294"/>
      <c r="CJ115" s="294"/>
      <c r="CK115" s="294"/>
      <c r="CL115" s="294"/>
      <c r="CM115" s="294"/>
      <c r="CN115" s="294"/>
    </row>
    <row r="116" spans="1:114" ht="13">
      <c r="A116" s="325">
        <f t="shared" si="440"/>
        <v>112014595</v>
      </c>
      <c r="B116" s="324">
        <f t="shared" si="441"/>
        <v>0</v>
      </c>
      <c r="C116" s="558" t="str">
        <f t="shared" si="442"/>
        <v/>
      </c>
      <c r="D116" s="558" t="str">
        <f t="shared" si="443"/>
        <v/>
      </c>
      <c r="E116" s="715" t="str">
        <f t="shared" si="444"/>
        <v/>
      </c>
      <c r="F116" s="547">
        <f t="shared" si="445"/>
        <v>0</v>
      </c>
      <c r="G116" s="699" t="str">
        <f t="shared" si="446"/>
        <v/>
      </c>
      <c r="H116" s="699" t="str">
        <f t="shared" si="447"/>
        <v/>
      </c>
      <c r="I116" s="702" t="str">
        <f t="shared" si="448"/>
        <v/>
      </c>
      <c r="J116" s="837">
        <f t="shared" si="449"/>
        <v>0</v>
      </c>
      <c r="K116" s="699" t="str">
        <f t="shared" si="399"/>
        <v/>
      </c>
      <c r="L116" s="1040" t="str">
        <f t="shared" si="400"/>
        <v/>
      </c>
      <c r="M116" s="423" t="s">
        <v>1503</v>
      </c>
      <c r="N116" s="326"/>
      <c r="O116" s="332"/>
      <c r="P116" s="113" t="e">
        <f t="shared" si="12"/>
        <v>#VALUE!</v>
      </c>
      <c r="Q116" s="116" t="str">
        <f t="shared" si="450"/>
        <v/>
      </c>
      <c r="R116" s="117">
        <f t="shared" si="451"/>
        <v>114363.64</v>
      </c>
      <c r="S116" s="114"/>
      <c r="T116" s="116"/>
      <c r="U116" s="116">
        <f t="shared" si="452"/>
        <v>0</v>
      </c>
      <c r="V116" s="116">
        <v>3000000</v>
      </c>
      <c r="W116" s="116" t="e">
        <f t="shared" si="16"/>
        <v>#VALUE!</v>
      </c>
      <c r="X116" s="116" t="str">
        <f t="shared" si="453"/>
        <v/>
      </c>
      <c r="Y116" s="116">
        <f t="shared" si="454"/>
        <v>0</v>
      </c>
      <c r="Z116" s="326"/>
      <c r="AA116" s="326"/>
      <c r="AB116" s="326">
        <f t="shared" si="455"/>
        <v>0</v>
      </c>
      <c r="AC116" s="332">
        <v>1800000</v>
      </c>
      <c r="AD116" s="140" t="e">
        <f t="shared" si="20"/>
        <v>#VALUE!</v>
      </c>
      <c r="AE116" s="326" t="str">
        <f t="shared" si="456"/>
        <v/>
      </c>
      <c r="AF116" s="117">
        <f t="shared" si="457"/>
        <v>0</v>
      </c>
      <c r="AG116" s="123"/>
      <c r="AH116" s="326"/>
      <c r="AI116" s="1257">
        <f t="shared" si="23"/>
        <v>4800000</v>
      </c>
      <c r="AJ116" s="140">
        <f t="shared" si="458"/>
        <v>1259380.99</v>
      </c>
      <c r="AK116" s="123" t="e">
        <f t="shared" ref="AK116:AM116" si="536">AD116+W116+P116</f>
        <v>#VALUE!</v>
      </c>
      <c r="AL116" s="123" t="e">
        <f t="shared" si="536"/>
        <v>#VALUE!</v>
      </c>
      <c r="AM116" s="123">
        <f t="shared" si="536"/>
        <v>114363.64</v>
      </c>
      <c r="AN116" s="123">
        <f t="shared" si="26"/>
        <v>-1145017.3500000001</v>
      </c>
      <c r="AO116" s="1317">
        <f t="shared" si="62"/>
        <v>-0.90919059370588096</v>
      </c>
      <c r="AP116" s="434">
        <f t="shared" si="460"/>
        <v>0</v>
      </c>
      <c r="AQ116" s="1318" t="e">
        <f t="shared" si="28"/>
        <v>#VALUE!</v>
      </c>
      <c r="AR116" s="1319" t="str">
        <f t="shared" si="461"/>
        <v/>
      </c>
      <c r="AS116" s="1320">
        <f t="shared" si="462"/>
        <v>0</v>
      </c>
      <c r="AT116" s="125">
        <f t="shared" si="477"/>
        <v>0</v>
      </c>
      <c r="AU116" s="140" t="e">
        <f t="shared" si="32"/>
        <v>#VALUE!</v>
      </c>
      <c r="AV116" s="326" t="str">
        <f t="shared" si="463"/>
        <v/>
      </c>
      <c r="AW116" s="333">
        <f t="shared" si="464"/>
        <v>0</v>
      </c>
      <c r="AX116" s="125">
        <f t="shared" si="478"/>
        <v>0</v>
      </c>
      <c r="AY116" s="140" t="e">
        <f t="shared" si="36"/>
        <v>#VALUE!</v>
      </c>
      <c r="AZ116" s="326" t="str">
        <f t="shared" si="465"/>
        <v/>
      </c>
      <c r="BA116" s="332">
        <f t="shared" si="466"/>
        <v>0</v>
      </c>
      <c r="BB116" s="122" t="e">
        <f t="shared" ref="BB116:BD116" si="537">SUM(AY116,AU116,AQ116)</f>
        <v>#VALUE!</v>
      </c>
      <c r="BC116" s="326">
        <f t="shared" si="537"/>
        <v>0</v>
      </c>
      <c r="BD116" s="333">
        <f t="shared" si="537"/>
        <v>0</v>
      </c>
      <c r="BE116" s="123" t="e">
        <f t="shared" si="40"/>
        <v>#VALUE!</v>
      </c>
      <c r="BF116" s="326">
        <f t="shared" si="41"/>
        <v>0</v>
      </c>
      <c r="BG116" s="435">
        <f t="shared" si="42"/>
        <v>114363.64</v>
      </c>
      <c r="BH116" s="125">
        <f t="shared" si="480"/>
        <v>0</v>
      </c>
      <c r="BI116" s="1041" t="e">
        <f t="shared" si="44"/>
        <v>#VALUE!</v>
      </c>
      <c r="BJ116" s="123" t="str">
        <f t="shared" si="468"/>
        <v/>
      </c>
      <c r="BK116" s="326">
        <f t="shared" si="469"/>
        <v>0</v>
      </c>
      <c r="BL116" s="123">
        <f t="shared" si="481"/>
        <v>0</v>
      </c>
      <c r="BM116" s="113" t="e">
        <f t="shared" si="48"/>
        <v>#VALUE!</v>
      </c>
      <c r="BN116" s="116" t="str">
        <f t="shared" si="470"/>
        <v/>
      </c>
      <c r="BO116" s="115">
        <f t="shared" si="482"/>
        <v>0</v>
      </c>
      <c r="BP116" s="326">
        <f t="shared" si="483"/>
        <v>0</v>
      </c>
      <c r="BQ116" s="326" t="e">
        <f t="shared" si="51"/>
        <v>#VALUE!</v>
      </c>
      <c r="BR116" s="326" t="str">
        <f t="shared" si="471"/>
        <v/>
      </c>
      <c r="BS116" s="332">
        <f t="shared" si="472"/>
        <v>0</v>
      </c>
      <c r="BT116" s="140" t="e">
        <f t="shared" ref="BT116:BV116" si="538">SUM(BQ116,BM116,BI116)</f>
        <v>#VALUE!</v>
      </c>
      <c r="BU116" s="326">
        <f t="shared" si="538"/>
        <v>0</v>
      </c>
      <c r="BV116" s="333">
        <f t="shared" si="538"/>
        <v>0</v>
      </c>
      <c r="BW116" s="125">
        <f t="shared" si="485"/>
        <v>0</v>
      </c>
      <c r="BX116" s="140" t="e">
        <f t="shared" si="56"/>
        <v>#VALUE!</v>
      </c>
      <c r="BY116" s="123" t="str">
        <f t="shared" si="474"/>
        <v/>
      </c>
      <c r="BZ116" s="333">
        <f t="shared" si="475"/>
        <v>0</v>
      </c>
      <c r="CA116" s="123">
        <f t="shared" si="486"/>
        <v>1385182.64</v>
      </c>
      <c r="CB116" s="326">
        <f t="shared" si="487"/>
        <v>-125801.65</v>
      </c>
      <c r="CF116" s="294"/>
      <c r="CG116" s="294"/>
      <c r="CH116" s="294"/>
      <c r="CI116" s="294"/>
      <c r="CJ116" s="294"/>
      <c r="CK116" s="294"/>
      <c r="CL116" s="294"/>
      <c r="CM116" s="294"/>
      <c r="CN116" s="294"/>
    </row>
    <row r="117" spans="1:114" ht="13">
      <c r="A117" s="325">
        <f t="shared" si="440"/>
        <v>112014624</v>
      </c>
      <c r="B117" s="574">
        <f t="shared" si="441"/>
        <v>0</v>
      </c>
      <c r="C117" s="743" t="str">
        <f t="shared" si="442"/>
        <v/>
      </c>
      <c r="D117" s="743" t="str">
        <f t="shared" si="443"/>
        <v/>
      </c>
      <c r="E117" s="744" t="str">
        <f t="shared" si="444"/>
        <v/>
      </c>
      <c r="F117" s="1338">
        <f t="shared" si="445"/>
        <v>0</v>
      </c>
      <c r="G117" s="747" t="str">
        <f t="shared" si="446"/>
        <v/>
      </c>
      <c r="H117" s="747" t="str">
        <f t="shared" si="447"/>
        <v/>
      </c>
      <c r="I117" s="748" t="str">
        <f t="shared" si="448"/>
        <v/>
      </c>
      <c r="J117" s="837">
        <f t="shared" si="449"/>
        <v>0</v>
      </c>
      <c r="K117" s="747" t="str">
        <f t="shared" si="399"/>
        <v/>
      </c>
      <c r="L117" s="1339" t="str">
        <f t="shared" si="400"/>
        <v/>
      </c>
      <c r="M117" s="475" t="s">
        <v>1504</v>
      </c>
      <c r="N117" s="471"/>
      <c r="O117" s="467"/>
      <c r="P117" s="752" t="e">
        <f t="shared" si="12"/>
        <v>#VALUE!</v>
      </c>
      <c r="Q117" s="267" t="str">
        <f t="shared" si="450"/>
        <v/>
      </c>
      <c r="R117" s="117" t="str">
        <f t="shared" si="451"/>
        <v>0</v>
      </c>
      <c r="S117" s="269"/>
      <c r="T117" s="267"/>
      <c r="U117" s="267">
        <f t="shared" si="452"/>
        <v>0</v>
      </c>
      <c r="V117" s="267">
        <v>3000000</v>
      </c>
      <c r="W117" s="267" t="e">
        <f t="shared" si="16"/>
        <v>#VALUE!</v>
      </c>
      <c r="X117" s="267" t="str">
        <f t="shared" si="453"/>
        <v/>
      </c>
      <c r="Y117" s="116" t="str">
        <f t="shared" si="454"/>
        <v>0</v>
      </c>
      <c r="Z117" s="471"/>
      <c r="AA117" s="471"/>
      <c r="AB117" s="471">
        <f t="shared" si="455"/>
        <v>0</v>
      </c>
      <c r="AC117" s="467">
        <v>1800000</v>
      </c>
      <c r="AD117" s="164" t="e">
        <f t="shared" si="20"/>
        <v>#VALUE!</v>
      </c>
      <c r="AE117" s="471" t="str">
        <f t="shared" si="456"/>
        <v/>
      </c>
      <c r="AF117" s="117" t="str">
        <f t="shared" si="457"/>
        <v>0</v>
      </c>
      <c r="AG117" s="274"/>
      <c r="AH117" s="471"/>
      <c r="AI117" s="1285">
        <f t="shared" si="23"/>
        <v>4800000</v>
      </c>
      <c r="AJ117" s="164">
        <f t="shared" si="458"/>
        <v>207651.84</v>
      </c>
      <c r="AK117" s="274" t="e">
        <f t="shared" ref="AK117:AM117" si="539">AD117+W117+P117</f>
        <v>#VALUE!</v>
      </c>
      <c r="AL117" s="274" t="e">
        <f t="shared" si="539"/>
        <v>#VALUE!</v>
      </c>
      <c r="AM117" s="274">
        <f t="shared" si="539"/>
        <v>0</v>
      </c>
      <c r="AN117" s="274">
        <f t="shared" si="26"/>
        <v>-207651.84</v>
      </c>
      <c r="AO117" s="1340">
        <f t="shared" si="62"/>
        <v>-1</v>
      </c>
      <c r="AP117" s="473">
        <f t="shared" si="460"/>
        <v>0</v>
      </c>
      <c r="AQ117" s="1341" t="e">
        <f t="shared" si="28"/>
        <v>#VALUE!</v>
      </c>
      <c r="AR117" s="1342" t="str">
        <f t="shared" si="461"/>
        <v/>
      </c>
      <c r="AS117" s="1343" t="str">
        <f t="shared" si="462"/>
        <v>0</v>
      </c>
      <c r="AT117" s="271">
        <f t="shared" si="477"/>
        <v>0</v>
      </c>
      <c r="AU117" s="164" t="e">
        <f t="shared" si="32"/>
        <v>#VALUE!</v>
      </c>
      <c r="AV117" s="471" t="str">
        <f t="shared" si="463"/>
        <v/>
      </c>
      <c r="AW117" s="472" t="str">
        <f t="shared" si="464"/>
        <v>0</v>
      </c>
      <c r="AX117" s="271">
        <f t="shared" si="478"/>
        <v>0</v>
      </c>
      <c r="AY117" s="164" t="e">
        <f t="shared" si="36"/>
        <v>#VALUE!</v>
      </c>
      <c r="AZ117" s="471" t="str">
        <f t="shared" si="465"/>
        <v/>
      </c>
      <c r="BA117" s="467" t="str">
        <f t="shared" si="466"/>
        <v>0</v>
      </c>
      <c r="BB117" s="275" t="e">
        <f t="shared" ref="BB117:BD117" si="540">SUM(AY117,AU117,AQ117)</f>
        <v>#VALUE!</v>
      </c>
      <c r="BC117" s="471">
        <f t="shared" si="540"/>
        <v>0</v>
      </c>
      <c r="BD117" s="472">
        <f t="shared" si="540"/>
        <v>0</v>
      </c>
      <c r="BE117" s="274" t="e">
        <f t="shared" si="40"/>
        <v>#VALUE!</v>
      </c>
      <c r="BF117" s="471">
        <f t="shared" si="41"/>
        <v>0</v>
      </c>
      <c r="BG117" s="611">
        <f t="shared" si="42"/>
        <v>0</v>
      </c>
      <c r="BH117" s="271">
        <f t="shared" si="480"/>
        <v>0</v>
      </c>
      <c r="BI117" s="1069" t="e">
        <f t="shared" si="44"/>
        <v>#VALUE!</v>
      </c>
      <c r="BJ117" s="274" t="str">
        <f t="shared" si="468"/>
        <v/>
      </c>
      <c r="BK117" s="471" t="str">
        <f t="shared" si="469"/>
        <v>0</v>
      </c>
      <c r="BL117" s="274">
        <f t="shared" si="481"/>
        <v>0</v>
      </c>
      <c r="BM117" s="113" t="e">
        <f t="shared" si="48"/>
        <v>#VALUE!</v>
      </c>
      <c r="BN117" s="116" t="str">
        <f t="shared" si="470"/>
        <v/>
      </c>
      <c r="BO117" s="115" t="str">
        <f t="shared" si="482"/>
        <v>0</v>
      </c>
      <c r="BP117" s="471">
        <f t="shared" si="483"/>
        <v>0</v>
      </c>
      <c r="BQ117" s="326" t="e">
        <f t="shared" si="51"/>
        <v>#VALUE!</v>
      </c>
      <c r="BR117" s="326" t="str">
        <f t="shared" si="471"/>
        <v/>
      </c>
      <c r="BS117" s="332" t="str">
        <f t="shared" si="472"/>
        <v/>
      </c>
      <c r="BT117" s="140" t="e">
        <f t="shared" ref="BT117:BV117" si="541">SUM(BQ117,BM117,BI117)</f>
        <v>#VALUE!</v>
      </c>
      <c r="BU117" s="326">
        <f t="shared" si="541"/>
        <v>0</v>
      </c>
      <c r="BV117" s="333">
        <f t="shared" si="541"/>
        <v>0</v>
      </c>
      <c r="BW117" s="271">
        <f t="shared" si="485"/>
        <v>0</v>
      </c>
      <c r="BX117" s="140" t="e">
        <f t="shared" si="56"/>
        <v>#VALUE!</v>
      </c>
      <c r="BY117" s="123" t="str">
        <f t="shared" si="474"/>
        <v/>
      </c>
      <c r="BZ117" s="333" t="str">
        <f t="shared" si="475"/>
        <v/>
      </c>
      <c r="CA117" s="274">
        <f t="shared" si="486"/>
        <v>0</v>
      </c>
      <c r="CB117" s="471">
        <f t="shared" si="487"/>
        <v>207651.84</v>
      </c>
      <c r="CF117" s="294"/>
      <c r="CG117" s="294"/>
      <c r="CH117" s="294"/>
      <c r="CI117" s="294"/>
      <c r="CJ117" s="294"/>
      <c r="CK117" s="294"/>
      <c r="CL117" s="294"/>
      <c r="CM117" s="294"/>
      <c r="CN117" s="294"/>
    </row>
    <row r="118" spans="1:114" ht="13">
      <c r="A118" s="186" t="s">
        <v>813</v>
      </c>
      <c r="B118" s="732"/>
      <c r="C118" s="732"/>
      <c r="D118" s="732"/>
      <c r="E118" s="732"/>
      <c r="F118" s="732"/>
      <c r="G118" s="732"/>
      <c r="H118" s="732"/>
      <c r="I118" s="732"/>
      <c r="J118" s="1344"/>
      <c r="K118" s="1345" t="str">
        <f t="shared" si="399"/>
        <v/>
      </c>
      <c r="L118" s="1345" t="str">
        <f t="shared" si="400"/>
        <v/>
      </c>
      <c r="M118" s="731"/>
      <c r="N118" s="767">
        <f t="shared" ref="N118:CB118" si="542">SUM(N2:N117,N124:N150)</f>
        <v>692841.75</v>
      </c>
      <c r="O118" s="767" t="e">
        <f t="shared" si="542"/>
        <v>#VALUE!</v>
      </c>
      <c r="P118" s="767" t="e">
        <f t="shared" si="542"/>
        <v>#VALUE!</v>
      </c>
      <c r="Q118" s="767">
        <f t="shared" si="542"/>
        <v>4790702.3499999996</v>
      </c>
      <c r="R118" s="767">
        <f t="shared" si="542"/>
        <v>22267939.570000004</v>
      </c>
      <c r="S118" s="767">
        <f t="shared" si="542"/>
        <v>0</v>
      </c>
      <c r="T118" s="767">
        <f t="shared" si="542"/>
        <v>0</v>
      </c>
      <c r="U118" s="767">
        <f t="shared" si="542"/>
        <v>10633877.92</v>
      </c>
      <c r="V118" s="767">
        <f t="shared" si="542"/>
        <v>429000000</v>
      </c>
      <c r="W118" s="767" t="e">
        <f t="shared" si="542"/>
        <v>#VALUE!</v>
      </c>
      <c r="X118" s="767">
        <f t="shared" si="542"/>
        <v>3846708.0300000003</v>
      </c>
      <c r="Y118" s="767">
        <f t="shared" si="542"/>
        <v>13443019.539999999</v>
      </c>
      <c r="Z118" s="767">
        <f t="shared" si="542"/>
        <v>0</v>
      </c>
      <c r="AA118" s="767">
        <f t="shared" si="542"/>
        <v>0</v>
      </c>
      <c r="AB118" s="767">
        <f t="shared" si="542"/>
        <v>22507463.989999998</v>
      </c>
      <c r="AC118" s="767">
        <f t="shared" si="542"/>
        <v>258600000</v>
      </c>
      <c r="AD118" s="767" t="e">
        <f t="shared" si="542"/>
        <v>#VALUE!</v>
      </c>
      <c r="AE118" s="767">
        <f t="shared" si="542"/>
        <v>2360557.13</v>
      </c>
      <c r="AF118" s="767">
        <f t="shared" si="542"/>
        <v>12304120.559999999</v>
      </c>
      <c r="AG118" s="767">
        <f t="shared" si="542"/>
        <v>0</v>
      </c>
      <c r="AH118" s="767">
        <f t="shared" si="542"/>
        <v>0</v>
      </c>
      <c r="AI118" s="767" t="e">
        <f t="shared" si="542"/>
        <v>#VALUE!</v>
      </c>
      <c r="AJ118" s="767">
        <f t="shared" si="542"/>
        <v>119155479.99000002</v>
      </c>
      <c r="AK118" s="767" t="e">
        <f t="shared" si="542"/>
        <v>#VALUE!</v>
      </c>
      <c r="AL118" s="767" t="e">
        <f t="shared" si="542"/>
        <v>#VALUE!</v>
      </c>
      <c r="AM118" s="767">
        <f t="shared" si="542"/>
        <v>48015079.670000009</v>
      </c>
      <c r="AN118" s="767">
        <f t="shared" si="542"/>
        <v>-71140400.319999993</v>
      </c>
      <c r="AO118" s="767">
        <f t="shared" si="542"/>
        <v>-39.468863078400197</v>
      </c>
      <c r="AP118" s="767">
        <f t="shared" si="542"/>
        <v>17736477.069999997</v>
      </c>
      <c r="AQ118" s="767" t="e">
        <f t="shared" si="542"/>
        <v>#VALUE!</v>
      </c>
      <c r="AR118" s="767">
        <f t="shared" si="542"/>
        <v>4831568.6300000008</v>
      </c>
      <c r="AS118" s="767">
        <f t="shared" si="542"/>
        <v>13143979.26</v>
      </c>
      <c r="AT118" s="767">
        <f t="shared" si="542"/>
        <v>17783301.250000007</v>
      </c>
      <c r="AU118" s="767" t="e">
        <f t="shared" si="542"/>
        <v>#VALUE!</v>
      </c>
      <c r="AV118" s="767">
        <f t="shared" si="542"/>
        <v>3907160.7600000002</v>
      </c>
      <c r="AW118" s="767">
        <f t="shared" si="542"/>
        <v>12031821.790000003</v>
      </c>
      <c r="AX118" s="767">
        <f t="shared" si="542"/>
        <v>30305047.400000002</v>
      </c>
      <c r="AY118" s="767" t="e">
        <f t="shared" si="542"/>
        <v>#VALUE!</v>
      </c>
      <c r="AZ118" s="767">
        <f t="shared" si="542"/>
        <v>4117912.2999999993</v>
      </c>
      <c r="BA118" s="767">
        <f t="shared" si="542"/>
        <v>28373937.810000002</v>
      </c>
      <c r="BB118" s="767" t="e">
        <f t="shared" si="542"/>
        <v>#VALUE!</v>
      </c>
      <c r="BC118" s="767">
        <f t="shared" si="542"/>
        <v>12856641.689999999</v>
      </c>
      <c r="BD118" s="767">
        <f t="shared" si="542"/>
        <v>53549738.859999999</v>
      </c>
      <c r="BE118" s="767" t="e">
        <f t="shared" si="542"/>
        <v>#VALUE!</v>
      </c>
      <c r="BF118" s="767">
        <f t="shared" si="542"/>
        <v>12856641.689999999</v>
      </c>
      <c r="BG118" s="767">
        <f t="shared" si="542"/>
        <v>101564818.52999999</v>
      </c>
      <c r="BH118" s="767">
        <f t="shared" si="542"/>
        <v>23195885.710000001</v>
      </c>
      <c r="BI118" s="767" t="e">
        <f t="shared" si="542"/>
        <v>#VALUE!</v>
      </c>
      <c r="BJ118" s="767">
        <f t="shared" si="542"/>
        <v>6426055.0899999999</v>
      </c>
      <c r="BK118" s="767">
        <f t="shared" si="542"/>
        <v>41598971.540000007</v>
      </c>
      <c r="BL118" s="919">
        <f t="shared" si="542"/>
        <v>18533962.979999997</v>
      </c>
      <c r="BM118" s="913" t="e">
        <f t="shared" si="542"/>
        <v>#VALUE!</v>
      </c>
      <c r="BN118" s="767">
        <f t="shared" si="542"/>
        <v>6376782.75</v>
      </c>
      <c r="BO118" s="1346">
        <f t="shared" si="542"/>
        <v>26635643.560000006</v>
      </c>
      <c r="BP118" s="1346">
        <f t="shared" si="542"/>
        <v>19631076.670000002</v>
      </c>
      <c r="BQ118" s="1346" t="e">
        <f t="shared" si="542"/>
        <v>#VALUE!</v>
      </c>
      <c r="BR118" s="1346">
        <f t="shared" si="542"/>
        <v>7257748.5199999996</v>
      </c>
      <c r="BS118" s="1346">
        <f t="shared" si="542"/>
        <v>18864490.390000001</v>
      </c>
      <c r="BT118" s="920" t="e">
        <f t="shared" si="542"/>
        <v>#VALUE!</v>
      </c>
      <c r="BU118" s="1346">
        <f t="shared" si="542"/>
        <v>20019969.760000002</v>
      </c>
      <c r="BV118" s="1346">
        <f t="shared" si="542"/>
        <v>86842196.390000001</v>
      </c>
      <c r="BW118" s="1346">
        <f t="shared" si="542"/>
        <v>35705803.090000004</v>
      </c>
      <c r="BX118" s="920" t="e">
        <f t="shared" si="542"/>
        <v>#VALUE!</v>
      </c>
      <c r="BY118" s="768">
        <f t="shared" si="542"/>
        <v>5471426.9800000004</v>
      </c>
      <c r="BZ118" s="1346">
        <f t="shared" si="542"/>
        <v>31803749.410000008</v>
      </c>
      <c r="CA118" s="1347">
        <f t="shared" si="542"/>
        <v>39426036.290000007</v>
      </c>
      <c r="CB118" s="1346">
        <f t="shared" si="542"/>
        <v>42281364.140000008</v>
      </c>
      <c r="CC118" s="293"/>
      <c r="CD118" s="293"/>
      <c r="CE118" s="293"/>
      <c r="CF118" s="455"/>
      <c r="CG118" s="455"/>
      <c r="CH118" s="455"/>
      <c r="CI118" s="455"/>
      <c r="CJ118" s="455"/>
      <c r="CK118" s="455"/>
      <c r="CL118" s="455"/>
      <c r="CM118" s="455"/>
      <c r="CN118" s="455"/>
      <c r="CO118" s="293"/>
      <c r="CP118" s="293"/>
      <c r="CQ118" s="293"/>
      <c r="CR118" s="293"/>
      <c r="CS118" s="293"/>
      <c r="CT118" s="293"/>
      <c r="CU118" s="293"/>
      <c r="CV118" s="293"/>
      <c r="CW118" s="293"/>
      <c r="CX118" s="293"/>
      <c r="CY118" s="293"/>
      <c r="CZ118" s="293"/>
      <c r="DA118" s="293"/>
      <c r="DB118" s="293"/>
      <c r="DC118" s="293"/>
      <c r="DD118" s="293"/>
      <c r="DE118" s="293"/>
      <c r="DF118" s="293"/>
      <c r="DG118" s="293"/>
      <c r="DH118" s="293"/>
      <c r="DI118" s="293"/>
      <c r="DJ118" s="293"/>
    </row>
    <row r="119" spans="1:114" ht="13">
      <c r="B119" s="294"/>
      <c r="F119" s="302"/>
      <c r="J119" s="302"/>
      <c r="AI119" s="188"/>
      <c r="AJ119" s="188"/>
      <c r="AK119" s="188"/>
      <c r="AL119" s="188"/>
      <c r="AM119" s="188"/>
      <c r="AN119" s="188"/>
      <c r="AO119" s="299"/>
      <c r="AY119" s="296"/>
      <c r="AZ119" s="296"/>
      <c r="BH119" s="302" t="str">
        <f>IFERROR(VLOOKUP(M119,tmkpechhhh24,9,FALSE),"")</f>
        <v/>
      </c>
      <c r="BL119" s="302" t="str">
        <f>IFERROR(VLOOKUP(M119,tmkpechhhh24,10,FALSE),"")</f>
        <v/>
      </c>
      <c r="BP119" s="302" t="str">
        <f>IFERROR(VLOOKUP(M119,tmkpechhhh24,11,FALSE),"")</f>
        <v/>
      </c>
      <c r="BS119" s="296" t="str">
        <f t="shared" ref="BS119:BS150" si="543">IFERROR(VLOOKUP(M119,LAVEFC,11,FALSE),"")</f>
        <v/>
      </c>
      <c r="BW119" s="302" t="str">
        <f>IFERROR(VLOOKUP(M119,tmkpechhhh24,12,FALSE),"")</f>
        <v/>
      </c>
      <c r="CA119" s="302" t="str">
        <f>IFERROR(VLOOKUP(M119,tmkpechhhh24,13,FALSE),"")</f>
        <v/>
      </c>
      <c r="CB119" s="302" t="str">
        <f>IFERROR(VLOOKUP(M119,tmkpechhhh24,14,FALSE),"")</f>
        <v/>
      </c>
      <c r="CF119" s="294"/>
      <c r="CG119" s="294"/>
      <c r="CH119" s="294"/>
      <c r="CI119" s="294"/>
      <c r="CJ119" s="294"/>
      <c r="CK119" s="294"/>
      <c r="CL119" s="294"/>
      <c r="CM119" s="294"/>
      <c r="CN119" s="294"/>
    </row>
    <row r="120" spans="1:114" ht="13">
      <c r="B120" s="294"/>
      <c r="F120" s="302"/>
      <c r="J120" s="302"/>
      <c r="M120" s="619" t="s">
        <v>227</v>
      </c>
      <c r="AI120" s="188"/>
      <c r="AJ120" s="188"/>
      <c r="AK120" s="188"/>
      <c r="AL120" s="188"/>
      <c r="AM120" s="188"/>
      <c r="AN120" s="188"/>
      <c r="AO120" s="299"/>
      <c r="AY120" s="296"/>
      <c r="AZ120" s="296"/>
      <c r="BH120" s="302" t="str">
        <f>IFERROR(VLOOKUP(M120,tmkpechhhh24,9,FALSE),"")</f>
        <v/>
      </c>
      <c r="BL120" s="302" t="str">
        <f>IFERROR(VLOOKUP(M120,tmkpechhhh24,10,FALSE),"")</f>
        <v/>
      </c>
      <c r="BP120" s="302" t="str">
        <f>IFERROR(VLOOKUP(M120,tmkpechhhh24,11,FALSE),"")</f>
        <v/>
      </c>
      <c r="BS120" s="296" t="str">
        <f t="shared" si="543"/>
        <v/>
      </c>
      <c r="BW120" s="302" t="str">
        <f>IFERROR(VLOOKUP(M120,tmkpechhhh24,12,FALSE),"")</f>
        <v/>
      </c>
      <c r="CA120" s="302" t="str">
        <f>IFERROR(VLOOKUP(M120,tmkpechhhh24,13,FALSE),"")</f>
        <v/>
      </c>
      <c r="CB120" s="302" t="str">
        <f>IFERROR(VLOOKUP(M120,tmkpechhhh24,14,FALSE),"")</f>
        <v/>
      </c>
      <c r="CF120" s="294"/>
      <c r="CG120" s="294"/>
      <c r="CH120" s="294"/>
      <c r="CI120" s="294"/>
      <c r="CJ120" s="294"/>
      <c r="CK120" s="294"/>
      <c r="CL120" s="294"/>
      <c r="CM120" s="294"/>
      <c r="CN120" s="294"/>
    </row>
    <row r="121" spans="1:114" ht="13">
      <c r="B121" s="294"/>
      <c r="F121" s="302"/>
      <c r="J121" s="302"/>
      <c r="M121" s="484" t="s">
        <v>228</v>
      </c>
      <c r="AI121" s="188"/>
      <c r="AJ121" s="188"/>
      <c r="AK121" s="188"/>
      <c r="AL121" s="188"/>
      <c r="AM121" s="188"/>
      <c r="AN121" s="188"/>
      <c r="AO121" s="299"/>
      <c r="AY121" s="296"/>
      <c r="AZ121" s="296"/>
      <c r="BH121" s="302" t="str">
        <f>IFERROR(VLOOKUP(M121,tmkpechhhh24,9,FALSE),"")</f>
        <v/>
      </c>
      <c r="BL121" s="302" t="str">
        <f>IFERROR(VLOOKUP(M121,tmkpechhhh24,10,FALSE),"")</f>
        <v/>
      </c>
      <c r="BP121" s="302" t="str">
        <f>IFERROR(VLOOKUP(M121,tmkpechhhh24,11,FALSE),"")</f>
        <v/>
      </c>
      <c r="BS121" s="296" t="str">
        <f t="shared" si="543"/>
        <v/>
      </c>
      <c r="BW121" s="302" t="str">
        <f>IFERROR(VLOOKUP(M121,tmkpechhhh24,12,FALSE),"")</f>
        <v/>
      </c>
      <c r="CA121" s="302" t="str">
        <f>IFERROR(VLOOKUP(M121,tmkpechhhh24,13,FALSE),"")</f>
        <v/>
      </c>
      <c r="CB121" s="302" t="str">
        <f>IFERROR(VLOOKUP(M121,tmkpechhhh24,14,FALSE),"")</f>
        <v/>
      </c>
      <c r="CF121" s="294"/>
      <c r="CG121" s="294"/>
      <c r="CH121" s="294"/>
      <c r="CI121" s="294"/>
      <c r="CJ121" s="294"/>
      <c r="CK121" s="294"/>
      <c r="CL121" s="294"/>
      <c r="CM121" s="294"/>
      <c r="CN121" s="294"/>
    </row>
    <row r="122" spans="1:114" ht="13">
      <c r="B122" s="294"/>
      <c r="F122" s="302"/>
      <c r="J122" s="302"/>
      <c r="M122" s="809" t="s">
        <v>229</v>
      </c>
      <c r="AI122" s="188"/>
      <c r="AJ122" s="188"/>
      <c r="AK122" s="188"/>
      <c r="AL122" s="188"/>
      <c r="AM122" s="188"/>
      <c r="AN122" s="188"/>
      <c r="AO122" s="299"/>
      <c r="AY122" s="296"/>
      <c r="AZ122" s="296"/>
      <c r="BS122" s="296" t="str">
        <f t="shared" si="543"/>
        <v/>
      </c>
      <c r="CF122" s="294"/>
      <c r="CG122" s="294"/>
      <c r="CH122" s="294"/>
      <c r="CI122" s="294"/>
      <c r="CJ122" s="294"/>
      <c r="CK122" s="294"/>
      <c r="CL122" s="294"/>
      <c r="CM122" s="294"/>
      <c r="CN122" s="294"/>
    </row>
    <row r="123" spans="1:114" ht="13">
      <c r="B123" s="1348" t="s">
        <v>486</v>
      </c>
      <c r="C123" s="772" t="s">
        <v>666</v>
      </c>
      <c r="F123" s="302"/>
      <c r="J123" s="302"/>
      <c r="AI123" s="188"/>
      <c r="AJ123" s="188"/>
      <c r="AK123" s="188"/>
      <c r="AL123" s="188"/>
      <c r="AM123" s="188"/>
      <c r="AN123" s="188"/>
      <c r="AO123" s="299"/>
      <c r="AY123" s="296"/>
      <c r="AZ123" s="296"/>
      <c r="BH123" s="302" t="str">
        <f t="shared" ref="BH123:BH130" si="544">IFERROR(VLOOKUP(M123,tmkpechhhh24,9,FALSE),"")</f>
        <v/>
      </c>
      <c r="BL123" s="302" t="str">
        <f t="shared" ref="BL123:BL130" si="545">IFERROR(VLOOKUP(M123,tmkpechhhh24,10,FALSE),"")</f>
        <v/>
      </c>
      <c r="BP123" s="302" t="str">
        <f t="shared" ref="BP123:BP130" si="546">IFERROR(VLOOKUP(M123,tmkpechhhh24,11,FALSE),"")</f>
        <v/>
      </c>
      <c r="BS123" s="296" t="str">
        <f t="shared" si="543"/>
        <v/>
      </c>
      <c r="BW123" s="302" t="str">
        <f t="shared" ref="BW123:BW130" si="547">IFERROR(VLOOKUP(M123,tmkpechhhh24,12,FALSE),"")</f>
        <v/>
      </c>
      <c r="CA123" s="302" t="str">
        <f t="shared" ref="CA123:CA130" si="548">IFERROR(VLOOKUP(M123,tmkpechhhh24,13,FALSE),"")</f>
        <v/>
      </c>
      <c r="CB123" s="302" t="str">
        <f t="shared" ref="CB123:CB130" si="549">IFERROR(VLOOKUP(M123,tmkpechhhh24,14,FALSE),"")</f>
        <v/>
      </c>
      <c r="CF123" s="294"/>
      <c r="CG123" s="294"/>
      <c r="CH123" s="294"/>
      <c r="CI123" s="294"/>
      <c r="CJ123" s="294"/>
      <c r="CK123" s="294"/>
      <c r="CL123" s="294"/>
      <c r="CM123" s="294"/>
      <c r="CN123" s="294"/>
    </row>
    <row r="124" spans="1:114" ht="13">
      <c r="A124" s="773" t="e">
        <f>VLOOKUP(M124,LAVENIACARTERA,3,FALSE)</f>
        <v>#N/A</v>
      </c>
      <c r="B124" s="486">
        <v>1</v>
      </c>
      <c r="C124" s="774" t="str">
        <f t="shared" ref="C124:C150" si="550">IFERROR(VLOOKUP(B124,DES,2,FALSE),"")</f>
        <v>Lista</v>
      </c>
      <c r="D124" s="774">
        <f t="shared" ref="D124:D150" si="551">IFERROR(VLOOKUP(B124,DES,3,FALSE),"")</f>
        <v>0.09</v>
      </c>
      <c r="E124" s="1095">
        <f t="shared" ref="E124:E150" si="552">IFERROR(VLOOKUP(B124,DES,4,FALSE),"")</f>
        <v>0</v>
      </c>
      <c r="F124" s="621"/>
      <c r="G124" s="774"/>
      <c r="H124" s="774"/>
      <c r="I124" s="1097"/>
      <c r="J124" s="1349"/>
      <c r="K124" s="774"/>
      <c r="L124" s="774"/>
      <c r="M124" s="1350" t="s">
        <v>1505</v>
      </c>
      <c r="N124" s="312" t="str">
        <f>IFERROR(VLOOKUP(M124,tmkpechhhh24,3,FALSE),"")</f>
        <v/>
      </c>
      <c r="O124" s="312" t="e">
        <f>(N124*1.601)*1.05</f>
        <v>#VALUE!</v>
      </c>
      <c r="P124" s="312" t="e">
        <f t="shared" ref="P124:P150" si="553">R124-Q124</f>
        <v>#VALUE!</v>
      </c>
      <c r="Q124" s="312" t="str">
        <f t="shared" ref="Q124:Q150" si="554">IFERROR(VLOOKUP(M124,VANEALIM,3,FALSE),"")</f>
        <v/>
      </c>
      <c r="R124" s="312" t="str">
        <f t="shared" ref="R124:R150" si="555">IFERROR(VLOOKUP(M124,LAVEFC,3,FALSE),"0")</f>
        <v>0</v>
      </c>
      <c r="S124" s="312"/>
      <c r="T124" s="312"/>
      <c r="U124" s="312" t="str">
        <f t="shared" ref="U124:U150" si="556">IFERROR(VLOOKUP(M124,tmkpechhhh24,4,FALSE),"")</f>
        <v/>
      </c>
      <c r="V124" s="312">
        <v>3000000</v>
      </c>
      <c r="W124" s="312" t="e">
        <f t="shared" ref="W124:W150" si="557">Y124-X124</f>
        <v>#VALUE!</v>
      </c>
      <c r="X124" s="312" t="str">
        <f t="shared" ref="X124:X150" si="558">IFERROR(VLOOKUP(M124,VANEALIM,4,FALSE),"")</f>
        <v/>
      </c>
      <c r="Y124" s="312" t="str">
        <f t="shared" ref="Y124:Y150" si="559">IFERROR(VLOOKUP(M124,LAVEFC,4,FALSE),"0")</f>
        <v>0</v>
      </c>
      <c r="Z124" s="312"/>
      <c r="AA124" s="312"/>
      <c r="AB124" s="312" t="str">
        <f t="shared" ref="AB124:AB150" si="560">IFERROR(VLOOKUP(M124,tmkpechhhh24,5,FALSE),"")</f>
        <v/>
      </c>
      <c r="AC124" s="312">
        <v>1800000</v>
      </c>
      <c r="AD124" s="312" t="e">
        <f t="shared" ref="AD124:AD150" si="561">AF124-AE124</f>
        <v>#VALUE!</v>
      </c>
      <c r="AE124" s="312" t="str">
        <f t="shared" ref="AE124:AE150" si="562">IFERROR(VLOOKUP(M124,VANEALIM,5,FALSE),"")</f>
        <v/>
      </c>
      <c r="AF124" s="312" t="str">
        <f t="shared" ref="AF124:AF150" si="563">IFERROR(VLOOKUP(M124,LAVEFC,5,FALSE),"0")</f>
        <v>0</v>
      </c>
      <c r="AG124" s="312"/>
      <c r="AH124" s="312"/>
      <c r="AI124" s="959" t="e">
        <f t="shared" ref="AI124:AI150" si="564">SUM(O124,V124,AC124)</f>
        <v>#VALUE!</v>
      </c>
      <c r="AJ124" s="312" t="str">
        <f t="shared" ref="AJ124:AJ150" si="565">IFERROR(VLOOKUP(M124,trim2024,2,FALSE),"0")</f>
        <v>0</v>
      </c>
      <c r="AK124" s="312" t="e">
        <f t="shared" ref="AK124:AM124" si="566">AD124+W124+P124</f>
        <v>#VALUE!</v>
      </c>
      <c r="AL124" s="312" t="e">
        <f t="shared" si="566"/>
        <v>#VALUE!</v>
      </c>
      <c r="AM124" s="312">
        <f t="shared" si="566"/>
        <v>0</v>
      </c>
      <c r="AN124" s="312">
        <f t="shared" ref="AN124:AN150" si="567">AM124-AJ124</f>
        <v>0</v>
      </c>
      <c r="AO124" s="960" t="str">
        <f t="shared" ref="AO124:AO150" si="568">IFERROR((AN124/AJ124),"")</f>
        <v/>
      </c>
      <c r="AP124" s="491" t="str">
        <f t="shared" ref="AP124:AP150" si="569">IFERROR(VLOOKUP(M124,tmkpechhhh24,6,FALSE),"")</f>
        <v/>
      </c>
      <c r="AQ124" s="1351" t="e">
        <f t="shared" ref="AQ124:AQ150" si="570">AS124-AR124</f>
        <v>#VALUE!</v>
      </c>
      <c r="AR124" s="1351" t="str">
        <f t="shared" ref="AR124:AR150" si="571">IFERROR(VLOOKUP(M124,VANEALIM,6,FALSE),"")</f>
        <v/>
      </c>
      <c r="AS124" s="1351" t="str">
        <f t="shared" ref="AS124:AS150" si="572">IFERROR(VLOOKUP(M124,LAVEFC,6,FALSE),"0")</f>
        <v>0</v>
      </c>
      <c r="AT124" s="491" t="str">
        <f t="shared" ref="AT124:AT130" si="573">IFERROR(VLOOKUP(M124,tmkpechhhh24,7,FALSE),"")</f>
        <v/>
      </c>
      <c r="AU124" s="491" t="e">
        <f t="shared" ref="AU124:AU150" si="574">AW124-AV124</f>
        <v>#VALUE!</v>
      </c>
      <c r="AV124" s="491" t="str">
        <f t="shared" ref="AV124:AV150" si="575">IFERROR(VLOOKUP(M124,VANEALIM,7,FALSE),"")</f>
        <v/>
      </c>
      <c r="AW124" s="491" t="str">
        <f t="shared" ref="AW124:AW150" si="576">IFERROR(VLOOKUP(M124,LAVEFC,7,FALSE),"0")</f>
        <v>0</v>
      </c>
      <c r="AX124" s="491" t="str">
        <f t="shared" ref="AX124:AX130" si="577">IFERROR(VLOOKUP(M124,tmkpechhhh24,8,FALSE),"")</f>
        <v/>
      </c>
      <c r="AY124" s="312" t="e">
        <f t="shared" ref="AY124:AY150" si="578">BA124-AZ124</f>
        <v>#VALUE!</v>
      </c>
      <c r="AZ124" s="312" t="str">
        <f t="shared" ref="AZ124:AZ150" si="579">IFERROR(VLOOKUP(M124,VANEALIM,8,FALSE),"")</f>
        <v/>
      </c>
      <c r="BA124" s="1352" t="str">
        <f t="shared" ref="BA124:BA150" si="580">IFERROR(VLOOKUP(M124,LAVEFC,8,FALSE),"0")</f>
        <v>0</v>
      </c>
      <c r="BB124" s="491"/>
      <c r="BC124" s="491"/>
      <c r="BD124" s="491"/>
      <c r="BE124" s="491"/>
      <c r="BF124" s="491"/>
      <c r="BG124" s="491"/>
      <c r="BH124" s="492" t="str">
        <f t="shared" si="544"/>
        <v/>
      </c>
      <c r="BI124" s="491"/>
      <c r="BJ124" s="491"/>
      <c r="BK124" s="491"/>
      <c r="BL124" s="1352" t="str">
        <f t="shared" si="545"/>
        <v/>
      </c>
      <c r="BM124" s="308"/>
      <c r="BN124" s="491"/>
      <c r="BO124" s="1353"/>
      <c r="BP124" s="492" t="str">
        <f t="shared" si="546"/>
        <v/>
      </c>
      <c r="BQ124" s="491"/>
      <c r="BR124" s="491"/>
      <c r="BS124" s="1354" t="str">
        <f t="shared" si="543"/>
        <v/>
      </c>
      <c r="BT124" s="308"/>
      <c r="BU124" s="491"/>
      <c r="BV124" s="1353"/>
      <c r="BW124" s="626" t="str">
        <f t="shared" si="547"/>
        <v/>
      </c>
      <c r="BX124" s="308"/>
      <c r="BY124" s="491"/>
      <c r="BZ124" s="1353"/>
      <c r="CA124" s="423" t="str">
        <f t="shared" si="548"/>
        <v/>
      </c>
      <c r="CB124" s="325" t="str">
        <f t="shared" si="549"/>
        <v/>
      </c>
      <c r="CF124" s="294"/>
      <c r="CG124" s="294"/>
      <c r="CH124" s="294"/>
      <c r="CI124" s="294"/>
      <c r="CJ124" s="294"/>
      <c r="CK124" s="294"/>
      <c r="CL124" s="294"/>
      <c r="CM124" s="294"/>
      <c r="CN124" s="294"/>
    </row>
    <row r="125" spans="1:114" ht="13">
      <c r="A125" s="323" t="e">
        <f t="shared" ref="A125:A131" si="581">VLOOKUP(M125,LAVENIACART2,3,FALSE)</f>
        <v>#N/A</v>
      </c>
      <c r="B125" s="324">
        <f t="shared" ref="B125:B138" si="582">VLOOKUP(M125,LAVENIACARTERA,2,FALSE)</f>
        <v>22</v>
      </c>
      <c r="C125" s="558">
        <f t="shared" si="550"/>
        <v>0.1</v>
      </c>
      <c r="D125" s="558">
        <f t="shared" si="551"/>
        <v>0.09</v>
      </c>
      <c r="E125" s="715">
        <f t="shared" si="552"/>
        <v>0</v>
      </c>
      <c r="F125" s="636"/>
      <c r="G125" s="558"/>
      <c r="H125" s="558"/>
      <c r="I125" s="559"/>
      <c r="J125" s="1116"/>
      <c r="K125" s="558"/>
      <c r="L125" s="558"/>
      <c r="M125" s="968" t="s">
        <v>1506</v>
      </c>
      <c r="N125" s="326"/>
      <c r="O125" s="332"/>
      <c r="P125" s="113" t="e">
        <f t="shared" si="553"/>
        <v>#VALUE!</v>
      </c>
      <c r="Q125" s="116" t="str">
        <f t="shared" si="554"/>
        <v/>
      </c>
      <c r="R125" s="117" t="str">
        <f t="shared" si="555"/>
        <v>0</v>
      </c>
      <c r="S125" s="114"/>
      <c r="T125" s="116"/>
      <c r="U125" s="116" t="str">
        <f t="shared" si="556"/>
        <v/>
      </c>
      <c r="V125" s="116">
        <v>3000000</v>
      </c>
      <c r="W125" s="116" t="e">
        <f t="shared" si="557"/>
        <v>#VALUE!</v>
      </c>
      <c r="X125" s="116" t="str">
        <f t="shared" si="558"/>
        <v/>
      </c>
      <c r="Y125" s="116" t="str">
        <f t="shared" si="559"/>
        <v>0</v>
      </c>
      <c r="Z125" s="326"/>
      <c r="AA125" s="326"/>
      <c r="AB125" s="326" t="str">
        <f t="shared" si="560"/>
        <v/>
      </c>
      <c r="AC125" s="332">
        <v>1800000</v>
      </c>
      <c r="AD125" s="140" t="e">
        <f t="shared" si="561"/>
        <v>#VALUE!</v>
      </c>
      <c r="AE125" s="326" t="str">
        <f t="shared" si="562"/>
        <v/>
      </c>
      <c r="AF125" s="333" t="str">
        <f t="shared" si="563"/>
        <v>0</v>
      </c>
      <c r="AG125" s="123"/>
      <c r="AH125" s="326"/>
      <c r="AI125" s="1257">
        <f t="shared" si="564"/>
        <v>4800000</v>
      </c>
      <c r="AJ125" s="140" t="str">
        <f t="shared" si="565"/>
        <v>0</v>
      </c>
      <c r="AK125" s="123" t="e">
        <f t="shared" ref="AK125:AM125" si="583">AD125+W125+P125</f>
        <v>#VALUE!</v>
      </c>
      <c r="AL125" s="123" t="e">
        <f t="shared" si="583"/>
        <v>#VALUE!</v>
      </c>
      <c r="AM125" s="123">
        <f t="shared" si="583"/>
        <v>0</v>
      </c>
      <c r="AN125" s="123">
        <f t="shared" si="567"/>
        <v>0</v>
      </c>
      <c r="AO125" s="1317" t="str">
        <f t="shared" si="568"/>
        <v/>
      </c>
      <c r="AP125" s="434" t="str">
        <f t="shared" si="569"/>
        <v/>
      </c>
      <c r="AQ125" s="1318" t="e">
        <f t="shared" si="570"/>
        <v>#VALUE!</v>
      </c>
      <c r="AR125" s="1319" t="str">
        <f t="shared" si="571"/>
        <v/>
      </c>
      <c r="AS125" s="1320" t="str">
        <f t="shared" si="572"/>
        <v>0</v>
      </c>
      <c r="AT125" s="125" t="str">
        <f t="shared" si="573"/>
        <v/>
      </c>
      <c r="AU125" s="140" t="e">
        <f t="shared" si="574"/>
        <v>#VALUE!</v>
      </c>
      <c r="AV125" s="326" t="str">
        <f t="shared" si="575"/>
        <v/>
      </c>
      <c r="AW125" s="333" t="str">
        <f t="shared" si="576"/>
        <v>0</v>
      </c>
      <c r="AX125" s="125" t="str">
        <f t="shared" si="577"/>
        <v/>
      </c>
      <c r="AY125" s="140" t="e">
        <f t="shared" si="578"/>
        <v>#VALUE!</v>
      </c>
      <c r="AZ125" s="326" t="str">
        <f t="shared" si="579"/>
        <v/>
      </c>
      <c r="BA125" s="332" t="str">
        <f t="shared" si="580"/>
        <v>0</v>
      </c>
      <c r="BB125" s="326" t="e">
        <f t="shared" ref="BB125:BD125" si="584">SUM(AY125,AU125,AQ125)</f>
        <v>#VALUE!</v>
      </c>
      <c r="BC125" s="326">
        <f t="shared" si="584"/>
        <v>0</v>
      </c>
      <c r="BD125" s="326">
        <f t="shared" si="584"/>
        <v>0</v>
      </c>
      <c r="BE125" s="326" t="e">
        <f t="shared" ref="BE125:BE138" si="585">SUM(BB125,AK125)</f>
        <v>#VALUE!</v>
      </c>
      <c r="BF125" s="326">
        <f t="shared" ref="BF125:BF138" si="586">BC125</f>
        <v>0</v>
      </c>
      <c r="BG125" s="326">
        <f t="shared" ref="BG125:BG138" si="587">SUM(BD125,AM125)</f>
        <v>0</v>
      </c>
      <c r="BH125" s="125" t="str">
        <f t="shared" si="544"/>
        <v/>
      </c>
      <c r="BI125" s="326" t="e">
        <f t="shared" ref="BI125:BI138" si="588">BK125-BJ125</f>
        <v>#VALUE!</v>
      </c>
      <c r="BJ125" s="326" t="str">
        <f t="shared" ref="BJ125:BJ138" si="589">IFERROR(VLOOKUP(M125,VANEALIM,9,FALSE),"")</f>
        <v/>
      </c>
      <c r="BK125" s="326" t="str">
        <f t="shared" ref="BK125:BK138" si="590">IFERROR(VLOOKUP(M125,LAVEFC,9,FALSE),"0")</f>
        <v>0</v>
      </c>
      <c r="BL125" s="332" t="str">
        <f t="shared" si="545"/>
        <v/>
      </c>
      <c r="BM125" s="140"/>
      <c r="BN125" s="326"/>
      <c r="BO125" s="333"/>
      <c r="BP125" s="123" t="str">
        <f t="shared" si="546"/>
        <v/>
      </c>
      <c r="BQ125" s="326"/>
      <c r="BR125" s="326"/>
      <c r="BS125" s="983" t="str">
        <f t="shared" si="543"/>
        <v/>
      </c>
      <c r="BT125" s="140"/>
      <c r="BU125" s="326"/>
      <c r="BV125" s="333"/>
      <c r="BW125" s="125" t="str">
        <f t="shared" si="547"/>
        <v/>
      </c>
      <c r="BX125" s="140"/>
      <c r="BY125" s="326"/>
      <c r="BZ125" s="333"/>
      <c r="CA125" s="123" t="str">
        <f t="shared" si="548"/>
        <v/>
      </c>
      <c r="CB125" s="326" t="str">
        <f t="shared" si="549"/>
        <v/>
      </c>
      <c r="CF125" s="294"/>
      <c r="CG125" s="294"/>
      <c r="CH125" s="294"/>
      <c r="CI125" s="294"/>
      <c r="CJ125" s="294"/>
      <c r="CK125" s="294"/>
      <c r="CL125" s="294"/>
      <c r="CM125" s="294"/>
      <c r="CN125" s="294"/>
    </row>
    <row r="126" spans="1:114" ht="13">
      <c r="A126" s="323" t="e">
        <f t="shared" si="581"/>
        <v>#N/A</v>
      </c>
      <c r="B126" s="324">
        <f t="shared" si="582"/>
        <v>22</v>
      </c>
      <c r="C126" s="558">
        <f t="shared" si="550"/>
        <v>0.1</v>
      </c>
      <c r="D126" s="558">
        <f t="shared" si="551"/>
        <v>0.09</v>
      </c>
      <c r="E126" s="715">
        <f t="shared" si="552"/>
        <v>0</v>
      </c>
      <c r="F126" s="636"/>
      <c r="G126" s="558"/>
      <c r="H126" s="558"/>
      <c r="I126" s="559"/>
      <c r="J126" s="1116"/>
      <c r="K126" s="558"/>
      <c r="L126" s="558"/>
      <c r="M126" s="968" t="s">
        <v>1507</v>
      </c>
      <c r="N126" s="326"/>
      <c r="O126" s="332"/>
      <c r="P126" s="113" t="e">
        <f t="shared" si="553"/>
        <v>#VALUE!</v>
      </c>
      <c r="Q126" s="116" t="str">
        <f t="shared" si="554"/>
        <v/>
      </c>
      <c r="R126" s="117">
        <f t="shared" si="555"/>
        <v>211014</v>
      </c>
      <c r="S126" s="114"/>
      <c r="T126" s="116"/>
      <c r="U126" s="116">
        <f t="shared" si="556"/>
        <v>0</v>
      </c>
      <c r="V126" s="116">
        <v>3000000</v>
      </c>
      <c r="W126" s="116" t="e">
        <f t="shared" si="557"/>
        <v>#VALUE!</v>
      </c>
      <c r="X126" s="116" t="str">
        <f t="shared" si="558"/>
        <v/>
      </c>
      <c r="Y126" s="116">
        <f t="shared" si="559"/>
        <v>-211014</v>
      </c>
      <c r="Z126" s="326"/>
      <c r="AA126" s="326"/>
      <c r="AB126" s="326">
        <f t="shared" si="560"/>
        <v>0</v>
      </c>
      <c r="AC126" s="332">
        <v>1800000</v>
      </c>
      <c r="AD126" s="140" t="e">
        <f t="shared" si="561"/>
        <v>#VALUE!</v>
      </c>
      <c r="AE126" s="326" t="str">
        <f t="shared" si="562"/>
        <v/>
      </c>
      <c r="AF126" s="333">
        <f t="shared" si="563"/>
        <v>0</v>
      </c>
      <c r="AG126" s="123"/>
      <c r="AH126" s="326"/>
      <c r="AI126" s="1257">
        <f t="shared" si="564"/>
        <v>4800000</v>
      </c>
      <c r="AJ126" s="140">
        <f t="shared" si="565"/>
        <v>692401.37</v>
      </c>
      <c r="AK126" s="123" t="e">
        <f t="shared" ref="AK126:AM126" si="591">AD126+W126+P126</f>
        <v>#VALUE!</v>
      </c>
      <c r="AL126" s="123" t="e">
        <f t="shared" si="591"/>
        <v>#VALUE!</v>
      </c>
      <c r="AM126" s="123">
        <f t="shared" si="591"/>
        <v>0</v>
      </c>
      <c r="AN126" s="123">
        <f t="shared" si="567"/>
        <v>-692401.37</v>
      </c>
      <c r="AO126" s="1317">
        <f t="shared" si="568"/>
        <v>-1</v>
      </c>
      <c r="AP126" s="434">
        <f t="shared" si="569"/>
        <v>0</v>
      </c>
      <c r="AQ126" s="1318" t="e">
        <f t="shared" si="570"/>
        <v>#VALUE!</v>
      </c>
      <c r="AR126" s="1319" t="str">
        <f t="shared" si="571"/>
        <v/>
      </c>
      <c r="AS126" s="1320">
        <f t="shared" si="572"/>
        <v>0</v>
      </c>
      <c r="AT126" s="125">
        <f t="shared" si="573"/>
        <v>0</v>
      </c>
      <c r="AU126" s="140" t="e">
        <f t="shared" si="574"/>
        <v>#VALUE!</v>
      </c>
      <c r="AV126" s="326" t="str">
        <f t="shared" si="575"/>
        <v/>
      </c>
      <c r="AW126" s="333">
        <f t="shared" si="576"/>
        <v>0</v>
      </c>
      <c r="AX126" s="125">
        <f t="shared" si="577"/>
        <v>0</v>
      </c>
      <c r="AY126" s="140" t="e">
        <f t="shared" si="578"/>
        <v>#VALUE!</v>
      </c>
      <c r="AZ126" s="326" t="str">
        <f t="shared" si="579"/>
        <v/>
      </c>
      <c r="BA126" s="332">
        <f t="shared" si="580"/>
        <v>0</v>
      </c>
      <c r="BB126" s="326" t="e">
        <f t="shared" ref="BB126:BD126" si="592">SUM(AY126,AU126,AQ126)</f>
        <v>#VALUE!</v>
      </c>
      <c r="BC126" s="326">
        <f t="shared" si="592"/>
        <v>0</v>
      </c>
      <c r="BD126" s="326">
        <f t="shared" si="592"/>
        <v>0</v>
      </c>
      <c r="BE126" s="326" t="e">
        <f t="shared" si="585"/>
        <v>#VALUE!</v>
      </c>
      <c r="BF126" s="326">
        <f t="shared" si="586"/>
        <v>0</v>
      </c>
      <c r="BG126" s="326">
        <f t="shared" si="587"/>
        <v>0</v>
      </c>
      <c r="BH126" s="125">
        <f t="shared" si="544"/>
        <v>0</v>
      </c>
      <c r="BI126" s="326" t="e">
        <f t="shared" si="588"/>
        <v>#VALUE!</v>
      </c>
      <c r="BJ126" s="326" t="str">
        <f t="shared" si="589"/>
        <v/>
      </c>
      <c r="BK126" s="326">
        <f t="shared" si="590"/>
        <v>0</v>
      </c>
      <c r="BL126" s="332">
        <f t="shared" si="545"/>
        <v>0</v>
      </c>
      <c r="BM126" s="140"/>
      <c r="BN126" s="326"/>
      <c r="BO126" s="333"/>
      <c r="BP126" s="123">
        <f t="shared" si="546"/>
        <v>0</v>
      </c>
      <c r="BQ126" s="326"/>
      <c r="BR126" s="326"/>
      <c r="BS126" s="983">
        <f t="shared" si="543"/>
        <v>0</v>
      </c>
      <c r="BT126" s="140"/>
      <c r="BU126" s="326"/>
      <c r="BV126" s="333"/>
      <c r="BW126" s="125">
        <f t="shared" si="547"/>
        <v>446230.78</v>
      </c>
      <c r="BX126" s="140"/>
      <c r="BY126" s="326"/>
      <c r="BZ126" s="333"/>
      <c r="CA126" s="123">
        <f t="shared" si="548"/>
        <v>0</v>
      </c>
      <c r="CB126" s="326">
        <f t="shared" si="549"/>
        <v>246170.59</v>
      </c>
      <c r="CF126" s="294"/>
      <c r="CG126" s="294"/>
      <c r="CH126" s="294"/>
      <c r="CI126" s="294"/>
      <c r="CJ126" s="294"/>
      <c r="CK126" s="294"/>
      <c r="CL126" s="294"/>
      <c r="CM126" s="294"/>
      <c r="CN126" s="294"/>
    </row>
    <row r="127" spans="1:114" ht="13">
      <c r="A127" s="323" t="e">
        <f t="shared" si="581"/>
        <v>#N/A</v>
      </c>
      <c r="B127" s="324">
        <f t="shared" si="582"/>
        <v>22</v>
      </c>
      <c r="C127" s="558">
        <f t="shared" si="550"/>
        <v>0.1</v>
      </c>
      <c r="D127" s="558">
        <f t="shared" si="551"/>
        <v>0.09</v>
      </c>
      <c r="E127" s="715">
        <f t="shared" si="552"/>
        <v>0</v>
      </c>
      <c r="F127" s="636"/>
      <c r="G127" s="558"/>
      <c r="H127" s="558"/>
      <c r="I127" s="559"/>
      <c r="J127" s="1116"/>
      <c r="K127" s="558"/>
      <c r="L127" s="558"/>
      <c r="M127" s="968" t="s">
        <v>1508</v>
      </c>
      <c r="N127" s="326"/>
      <c r="O127" s="332"/>
      <c r="P127" s="113" t="e">
        <f t="shared" si="553"/>
        <v>#VALUE!</v>
      </c>
      <c r="Q127" s="116" t="str">
        <f t="shared" si="554"/>
        <v/>
      </c>
      <c r="R127" s="117" t="str">
        <f t="shared" si="555"/>
        <v>0</v>
      </c>
      <c r="S127" s="114"/>
      <c r="T127" s="116"/>
      <c r="U127" s="116">
        <f t="shared" si="556"/>
        <v>0</v>
      </c>
      <c r="V127" s="116">
        <v>3000000</v>
      </c>
      <c r="W127" s="116" t="e">
        <f t="shared" si="557"/>
        <v>#VALUE!</v>
      </c>
      <c r="X127" s="116" t="str">
        <f t="shared" si="558"/>
        <v/>
      </c>
      <c r="Y127" s="116" t="str">
        <f t="shared" si="559"/>
        <v>0</v>
      </c>
      <c r="Z127" s="326"/>
      <c r="AA127" s="326"/>
      <c r="AB127" s="326">
        <f t="shared" si="560"/>
        <v>385056.6</v>
      </c>
      <c r="AC127" s="332">
        <v>1800000</v>
      </c>
      <c r="AD127" s="140" t="e">
        <f t="shared" si="561"/>
        <v>#VALUE!</v>
      </c>
      <c r="AE127" s="326" t="str">
        <f t="shared" si="562"/>
        <v/>
      </c>
      <c r="AF127" s="333" t="str">
        <f t="shared" si="563"/>
        <v>0</v>
      </c>
      <c r="AG127" s="123"/>
      <c r="AH127" s="326"/>
      <c r="AI127" s="1257">
        <f t="shared" si="564"/>
        <v>4800000</v>
      </c>
      <c r="AJ127" s="140">
        <f t="shared" si="565"/>
        <v>268049.46000000002</v>
      </c>
      <c r="AK127" s="123" t="e">
        <f t="shared" ref="AK127:AM127" si="593">AD127+W127+P127</f>
        <v>#VALUE!</v>
      </c>
      <c r="AL127" s="123" t="e">
        <f t="shared" si="593"/>
        <v>#VALUE!</v>
      </c>
      <c r="AM127" s="123">
        <f t="shared" si="593"/>
        <v>0</v>
      </c>
      <c r="AN127" s="123">
        <f t="shared" si="567"/>
        <v>-268049.46000000002</v>
      </c>
      <c r="AO127" s="1317">
        <f t="shared" si="568"/>
        <v>-1</v>
      </c>
      <c r="AP127" s="434">
        <f t="shared" si="569"/>
        <v>66204.36</v>
      </c>
      <c r="AQ127" s="1318" t="e">
        <f t="shared" si="570"/>
        <v>#VALUE!</v>
      </c>
      <c r="AR127" s="1319" t="str">
        <f t="shared" si="571"/>
        <v/>
      </c>
      <c r="AS127" s="1320" t="str">
        <f t="shared" si="572"/>
        <v>0</v>
      </c>
      <c r="AT127" s="125">
        <f t="shared" si="573"/>
        <v>715794.44</v>
      </c>
      <c r="AU127" s="140" t="e">
        <f t="shared" si="574"/>
        <v>#VALUE!</v>
      </c>
      <c r="AV127" s="326" t="str">
        <f t="shared" si="575"/>
        <v/>
      </c>
      <c r="AW127" s="333" t="str">
        <f t="shared" si="576"/>
        <v>0</v>
      </c>
      <c r="AX127" s="125">
        <f t="shared" si="577"/>
        <v>0</v>
      </c>
      <c r="AY127" s="140" t="e">
        <f t="shared" si="578"/>
        <v>#VALUE!</v>
      </c>
      <c r="AZ127" s="326" t="str">
        <f t="shared" si="579"/>
        <v/>
      </c>
      <c r="BA127" s="332" t="str">
        <f t="shared" si="580"/>
        <v>0</v>
      </c>
      <c r="BB127" s="326" t="e">
        <f t="shared" ref="BB127:BD127" si="594">SUM(AY127,AU127,AQ127)</f>
        <v>#VALUE!</v>
      </c>
      <c r="BC127" s="326">
        <f t="shared" si="594"/>
        <v>0</v>
      </c>
      <c r="BD127" s="326">
        <f t="shared" si="594"/>
        <v>0</v>
      </c>
      <c r="BE127" s="326" t="e">
        <f t="shared" si="585"/>
        <v>#VALUE!</v>
      </c>
      <c r="BF127" s="326">
        <f t="shared" si="586"/>
        <v>0</v>
      </c>
      <c r="BG127" s="326">
        <f t="shared" si="587"/>
        <v>0</v>
      </c>
      <c r="BH127" s="125">
        <f t="shared" si="544"/>
        <v>0</v>
      </c>
      <c r="BI127" s="326" t="e">
        <f t="shared" si="588"/>
        <v>#VALUE!</v>
      </c>
      <c r="BJ127" s="326" t="str">
        <f t="shared" si="589"/>
        <v/>
      </c>
      <c r="BK127" s="326" t="str">
        <f t="shared" si="590"/>
        <v>0</v>
      </c>
      <c r="BL127" s="332">
        <f t="shared" si="545"/>
        <v>0</v>
      </c>
      <c r="BM127" s="140"/>
      <c r="BN127" s="326"/>
      <c r="BO127" s="333"/>
      <c r="BP127" s="123">
        <f t="shared" si="546"/>
        <v>378796.92</v>
      </c>
      <c r="BQ127" s="326"/>
      <c r="BR127" s="326"/>
      <c r="BS127" s="983" t="str">
        <f t="shared" si="543"/>
        <v/>
      </c>
      <c r="BT127" s="140"/>
      <c r="BU127" s="326"/>
      <c r="BV127" s="333"/>
      <c r="BW127" s="125">
        <f t="shared" si="547"/>
        <v>268049.46000000002</v>
      </c>
      <c r="BX127" s="140"/>
      <c r="BY127" s="326"/>
      <c r="BZ127" s="333"/>
      <c r="CA127" s="123">
        <f t="shared" si="548"/>
        <v>0</v>
      </c>
      <c r="CB127" s="326">
        <f t="shared" si="549"/>
        <v>0</v>
      </c>
      <c r="CF127" s="294"/>
      <c r="CG127" s="294"/>
      <c r="CH127" s="294"/>
      <c r="CI127" s="294"/>
      <c r="CJ127" s="294"/>
      <c r="CK127" s="294"/>
      <c r="CL127" s="294"/>
      <c r="CM127" s="294"/>
      <c r="CN127" s="294"/>
    </row>
    <row r="128" spans="1:114" ht="13">
      <c r="A128" s="323" t="e">
        <f t="shared" si="581"/>
        <v>#N/A</v>
      </c>
      <c r="B128" s="324">
        <f t="shared" si="582"/>
        <v>22</v>
      </c>
      <c r="C128" s="558">
        <f t="shared" si="550"/>
        <v>0.1</v>
      </c>
      <c r="D128" s="558">
        <f t="shared" si="551"/>
        <v>0.09</v>
      </c>
      <c r="E128" s="715">
        <f t="shared" si="552"/>
        <v>0</v>
      </c>
      <c r="F128" s="636"/>
      <c r="G128" s="558"/>
      <c r="H128" s="558"/>
      <c r="I128" s="559"/>
      <c r="J128" s="1116"/>
      <c r="K128" s="558"/>
      <c r="L128" s="558"/>
      <c r="M128" s="968" t="s">
        <v>1509</v>
      </c>
      <c r="N128" s="326"/>
      <c r="O128" s="332"/>
      <c r="P128" s="113" t="e">
        <f t="shared" si="553"/>
        <v>#VALUE!</v>
      </c>
      <c r="Q128" s="116" t="str">
        <f t="shared" si="554"/>
        <v/>
      </c>
      <c r="R128" s="117" t="str">
        <f t="shared" si="555"/>
        <v>0</v>
      </c>
      <c r="S128" s="114"/>
      <c r="T128" s="116"/>
      <c r="U128" s="116">
        <f t="shared" si="556"/>
        <v>0</v>
      </c>
      <c r="V128" s="116">
        <v>3000000</v>
      </c>
      <c r="W128" s="116" t="e">
        <f t="shared" si="557"/>
        <v>#VALUE!</v>
      </c>
      <c r="X128" s="116" t="str">
        <f t="shared" si="558"/>
        <v/>
      </c>
      <c r="Y128" s="116" t="str">
        <f t="shared" si="559"/>
        <v>0</v>
      </c>
      <c r="Z128" s="326"/>
      <c r="AA128" s="326"/>
      <c r="AB128" s="326">
        <f t="shared" si="560"/>
        <v>0</v>
      </c>
      <c r="AC128" s="332">
        <v>1800000</v>
      </c>
      <c r="AD128" s="140" t="e">
        <f t="shared" si="561"/>
        <v>#VALUE!</v>
      </c>
      <c r="AE128" s="326" t="str">
        <f t="shared" si="562"/>
        <v/>
      </c>
      <c r="AF128" s="333" t="str">
        <f t="shared" si="563"/>
        <v>0</v>
      </c>
      <c r="AG128" s="123"/>
      <c r="AH128" s="326"/>
      <c r="AI128" s="1257">
        <f t="shared" si="564"/>
        <v>4800000</v>
      </c>
      <c r="AJ128" s="140">
        <f t="shared" si="565"/>
        <v>250500</v>
      </c>
      <c r="AK128" s="123" t="e">
        <f t="shared" ref="AK128:AM128" si="595">AD128+W128+P128</f>
        <v>#VALUE!</v>
      </c>
      <c r="AL128" s="123" t="e">
        <f t="shared" si="595"/>
        <v>#VALUE!</v>
      </c>
      <c r="AM128" s="123">
        <f t="shared" si="595"/>
        <v>0</v>
      </c>
      <c r="AN128" s="123">
        <f t="shared" si="567"/>
        <v>-250500</v>
      </c>
      <c r="AO128" s="1317">
        <f t="shared" si="568"/>
        <v>-1</v>
      </c>
      <c r="AP128" s="434">
        <f t="shared" si="569"/>
        <v>0</v>
      </c>
      <c r="AQ128" s="1318" t="e">
        <f t="shared" si="570"/>
        <v>#VALUE!</v>
      </c>
      <c r="AR128" s="1319" t="str">
        <f t="shared" si="571"/>
        <v/>
      </c>
      <c r="AS128" s="1320" t="str">
        <f t="shared" si="572"/>
        <v>0</v>
      </c>
      <c r="AT128" s="125">
        <f t="shared" si="573"/>
        <v>0</v>
      </c>
      <c r="AU128" s="140" t="e">
        <f t="shared" si="574"/>
        <v>#VALUE!</v>
      </c>
      <c r="AV128" s="326" t="str">
        <f t="shared" si="575"/>
        <v/>
      </c>
      <c r="AW128" s="333" t="str">
        <f t="shared" si="576"/>
        <v>0</v>
      </c>
      <c r="AX128" s="125">
        <f t="shared" si="577"/>
        <v>0</v>
      </c>
      <c r="AY128" s="140" t="e">
        <f t="shared" si="578"/>
        <v>#VALUE!</v>
      </c>
      <c r="AZ128" s="326" t="str">
        <f t="shared" si="579"/>
        <v/>
      </c>
      <c r="BA128" s="332" t="str">
        <f t="shared" si="580"/>
        <v>0</v>
      </c>
      <c r="BB128" s="326" t="e">
        <f t="shared" ref="BB128:BD128" si="596">SUM(AY128,AU128,AQ128)</f>
        <v>#VALUE!</v>
      </c>
      <c r="BC128" s="326">
        <f t="shared" si="596"/>
        <v>0</v>
      </c>
      <c r="BD128" s="326">
        <f t="shared" si="596"/>
        <v>0</v>
      </c>
      <c r="BE128" s="326" t="e">
        <f t="shared" si="585"/>
        <v>#VALUE!</v>
      </c>
      <c r="BF128" s="326">
        <f t="shared" si="586"/>
        <v>0</v>
      </c>
      <c r="BG128" s="326">
        <f t="shared" si="587"/>
        <v>0</v>
      </c>
      <c r="BH128" s="125">
        <f t="shared" si="544"/>
        <v>380268</v>
      </c>
      <c r="BI128" s="326" t="e">
        <f t="shared" si="588"/>
        <v>#VALUE!</v>
      </c>
      <c r="BJ128" s="326" t="str">
        <f t="shared" si="589"/>
        <v/>
      </c>
      <c r="BK128" s="326" t="str">
        <f t="shared" si="590"/>
        <v>0</v>
      </c>
      <c r="BL128" s="332">
        <f t="shared" si="545"/>
        <v>541040.24</v>
      </c>
      <c r="BM128" s="140"/>
      <c r="BN128" s="326"/>
      <c r="BO128" s="333"/>
      <c r="BP128" s="123">
        <f t="shared" si="546"/>
        <v>469049.17</v>
      </c>
      <c r="BQ128" s="326"/>
      <c r="BR128" s="326"/>
      <c r="BS128" s="983" t="str">
        <f t="shared" si="543"/>
        <v/>
      </c>
      <c r="BT128" s="140"/>
      <c r="BU128" s="326"/>
      <c r="BV128" s="333"/>
      <c r="BW128" s="125">
        <f t="shared" si="547"/>
        <v>250500</v>
      </c>
      <c r="BX128" s="140"/>
      <c r="BY128" s="326"/>
      <c r="BZ128" s="333"/>
      <c r="CA128" s="123">
        <f t="shared" si="548"/>
        <v>0</v>
      </c>
      <c r="CB128" s="326">
        <f t="shared" si="549"/>
        <v>0</v>
      </c>
      <c r="CF128" s="294"/>
      <c r="CG128" s="294"/>
      <c r="CH128" s="294"/>
      <c r="CI128" s="294"/>
      <c r="CJ128" s="294"/>
      <c r="CK128" s="294"/>
      <c r="CL128" s="294"/>
      <c r="CM128" s="294"/>
      <c r="CN128" s="294"/>
    </row>
    <row r="129" spans="1:92" ht="13">
      <c r="A129" s="323" t="e">
        <f t="shared" si="581"/>
        <v>#N/A</v>
      </c>
      <c r="B129" s="324">
        <f t="shared" si="582"/>
        <v>22</v>
      </c>
      <c r="C129" s="558">
        <f t="shared" si="550"/>
        <v>0.1</v>
      </c>
      <c r="D129" s="558">
        <f t="shared" si="551"/>
        <v>0.09</v>
      </c>
      <c r="E129" s="715">
        <f t="shared" si="552"/>
        <v>0</v>
      </c>
      <c r="F129" s="636"/>
      <c r="G129" s="558"/>
      <c r="H129" s="558"/>
      <c r="I129" s="559"/>
      <c r="J129" s="1116"/>
      <c r="K129" s="558"/>
      <c r="L129" s="558"/>
      <c r="M129" s="968" t="s">
        <v>1510</v>
      </c>
      <c r="N129" s="326"/>
      <c r="O129" s="332"/>
      <c r="P129" s="113" t="e">
        <f t="shared" si="553"/>
        <v>#VALUE!</v>
      </c>
      <c r="Q129" s="116" t="str">
        <f t="shared" si="554"/>
        <v/>
      </c>
      <c r="R129" s="117">
        <f t="shared" si="555"/>
        <v>0</v>
      </c>
      <c r="S129" s="114"/>
      <c r="T129" s="116"/>
      <c r="U129" s="116">
        <f t="shared" si="556"/>
        <v>251261.17</v>
      </c>
      <c r="V129" s="116">
        <v>3000000</v>
      </c>
      <c r="W129" s="116" t="e">
        <f t="shared" si="557"/>
        <v>#VALUE!</v>
      </c>
      <c r="X129" s="116" t="str">
        <f t="shared" si="558"/>
        <v/>
      </c>
      <c r="Y129" s="116">
        <f t="shared" si="559"/>
        <v>243290.9</v>
      </c>
      <c r="Z129" s="326"/>
      <c r="AA129" s="326"/>
      <c r="AB129" s="326">
        <f t="shared" si="560"/>
        <v>139874</v>
      </c>
      <c r="AC129" s="332">
        <v>1800000</v>
      </c>
      <c r="AD129" s="140" t="e">
        <f t="shared" si="561"/>
        <v>#VALUE!</v>
      </c>
      <c r="AE129" s="326" t="str">
        <f t="shared" si="562"/>
        <v/>
      </c>
      <c r="AF129" s="333">
        <f t="shared" si="563"/>
        <v>0</v>
      </c>
      <c r="AG129" s="123"/>
      <c r="AH129" s="326"/>
      <c r="AI129" s="1257">
        <f t="shared" si="564"/>
        <v>4800000</v>
      </c>
      <c r="AJ129" s="140">
        <f t="shared" si="565"/>
        <v>647246.22</v>
      </c>
      <c r="AK129" s="123" t="e">
        <f t="shared" ref="AK129:AM129" si="597">AD129+W129+P129</f>
        <v>#VALUE!</v>
      </c>
      <c r="AL129" s="123" t="e">
        <f t="shared" si="597"/>
        <v>#VALUE!</v>
      </c>
      <c r="AM129" s="123">
        <f t="shared" si="597"/>
        <v>243290.9</v>
      </c>
      <c r="AN129" s="123">
        <f t="shared" si="567"/>
        <v>-403955.31999999995</v>
      </c>
      <c r="AO129" s="1317">
        <f t="shared" si="568"/>
        <v>-0.62411383414491006</v>
      </c>
      <c r="AP129" s="434">
        <f t="shared" si="569"/>
        <v>268813.73</v>
      </c>
      <c r="AQ129" s="1318" t="e">
        <f t="shared" si="570"/>
        <v>#VALUE!</v>
      </c>
      <c r="AR129" s="1319" t="str">
        <f t="shared" si="571"/>
        <v/>
      </c>
      <c r="AS129" s="1320">
        <f t="shared" si="572"/>
        <v>0</v>
      </c>
      <c r="AT129" s="125">
        <f t="shared" si="573"/>
        <v>0</v>
      </c>
      <c r="AU129" s="140" t="e">
        <f t="shared" si="574"/>
        <v>#VALUE!</v>
      </c>
      <c r="AV129" s="326" t="str">
        <f t="shared" si="575"/>
        <v/>
      </c>
      <c r="AW129" s="333">
        <f t="shared" si="576"/>
        <v>0</v>
      </c>
      <c r="AX129" s="125">
        <f t="shared" si="577"/>
        <v>267530.31</v>
      </c>
      <c r="AY129" s="140" t="e">
        <f t="shared" si="578"/>
        <v>#VALUE!</v>
      </c>
      <c r="AZ129" s="326" t="str">
        <f t="shared" si="579"/>
        <v/>
      </c>
      <c r="BA129" s="332">
        <f t="shared" si="580"/>
        <v>0</v>
      </c>
      <c r="BB129" s="326" t="e">
        <f t="shared" ref="BB129:BD129" si="598">SUM(AY129,AU129,AQ129)</f>
        <v>#VALUE!</v>
      </c>
      <c r="BC129" s="326">
        <f t="shared" si="598"/>
        <v>0</v>
      </c>
      <c r="BD129" s="326">
        <f t="shared" si="598"/>
        <v>0</v>
      </c>
      <c r="BE129" s="326" t="e">
        <f t="shared" si="585"/>
        <v>#VALUE!</v>
      </c>
      <c r="BF129" s="326">
        <f t="shared" si="586"/>
        <v>0</v>
      </c>
      <c r="BG129" s="326">
        <f t="shared" si="587"/>
        <v>243290.9</v>
      </c>
      <c r="BH129" s="125">
        <f t="shared" si="544"/>
        <v>0</v>
      </c>
      <c r="BI129" s="326" t="e">
        <f t="shared" si="588"/>
        <v>#VALUE!</v>
      </c>
      <c r="BJ129" s="326" t="str">
        <f t="shared" si="589"/>
        <v/>
      </c>
      <c r="BK129" s="326">
        <f t="shared" si="590"/>
        <v>0</v>
      </c>
      <c r="BL129" s="332">
        <f t="shared" si="545"/>
        <v>0</v>
      </c>
      <c r="BM129" s="140"/>
      <c r="BN129" s="326"/>
      <c r="BO129" s="333"/>
      <c r="BP129" s="123">
        <f t="shared" si="546"/>
        <v>362216.48</v>
      </c>
      <c r="BQ129" s="326"/>
      <c r="BR129" s="326"/>
      <c r="BS129" s="983">
        <f t="shared" si="543"/>
        <v>0</v>
      </c>
      <c r="BT129" s="140"/>
      <c r="BU129" s="326"/>
      <c r="BV129" s="333"/>
      <c r="BW129" s="125">
        <f t="shared" si="547"/>
        <v>399943.86</v>
      </c>
      <c r="BX129" s="140"/>
      <c r="BY129" s="326"/>
      <c r="BZ129" s="333"/>
      <c r="CA129" s="123">
        <f t="shared" si="548"/>
        <v>0</v>
      </c>
      <c r="CB129" s="326">
        <f t="shared" si="549"/>
        <v>247302.36</v>
      </c>
      <c r="CF129" s="294"/>
      <c r="CG129" s="294"/>
      <c r="CH129" s="294"/>
      <c r="CI129" s="294"/>
      <c r="CJ129" s="294"/>
      <c r="CK129" s="294"/>
      <c r="CL129" s="294"/>
      <c r="CM129" s="294"/>
      <c r="CN129" s="294"/>
    </row>
    <row r="130" spans="1:92" ht="13">
      <c r="A130" s="323" t="e">
        <f t="shared" si="581"/>
        <v>#N/A</v>
      </c>
      <c r="B130" s="324">
        <f t="shared" si="582"/>
        <v>22</v>
      </c>
      <c r="C130" s="558">
        <f t="shared" si="550"/>
        <v>0.1</v>
      </c>
      <c r="D130" s="558">
        <f t="shared" si="551"/>
        <v>0.09</v>
      </c>
      <c r="E130" s="715">
        <f t="shared" si="552"/>
        <v>0</v>
      </c>
      <c r="F130" s="636"/>
      <c r="G130" s="558"/>
      <c r="H130" s="558"/>
      <c r="I130" s="559"/>
      <c r="J130" s="1116"/>
      <c r="K130" s="558"/>
      <c r="L130" s="558"/>
      <c r="M130" s="968" t="s">
        <v>1316</v>
      </c>
      <c r="N130" s="326"/>
      <c r="O130" s="332"/>
      <c r="P130" s="113" t="e">
        <f t="shared" si="553"/>
        <v>#VALUE!</v>
      </c>
      <c r="Q130" s="116" t="str">
        <f t="shared" si="554"/>
        <v/>
      </c>
      <c r="R130" s="117">
        <f t="shared" si="555"/>
        <v>264121.76</v>
      </c>
      <c r="S130" s="114"/>
      <c r="T130" s="116"/>
      <c r="U130" s="116">
        <f t="shared" si="556"/>
        <v>203388.96</v>
      </c>
      <c r="V130" s="116">
        <v>3000000</v>
      </c>
      <c r="W130" s="116" t="e">
        <f t="shared" si="557"/>
        <v>#VALUE!</v>
      </c>
      <c r="X130" s="116" t="str">
        <f t="shared" si="558"/>
        <v/>
      </c>
      <c r="Y130" s="116">
        <f t="shared" si="559"/>
        <v>395042.4</v>
      </c>
      <c r="Z130" s="326"/>
      <c r="AA130" s="326"/>
      <c r="AB130" s="326">
        <f t="shared" si="560"/>
        <v>206170.82</v>
      </c>
      <c r="AC130" s="332">
        <v>1800000</v>
      </c>
      <c r="AD130" s="140" t="e">
        <f t="shared" si="561"/>
        <v>#VALUE!</v>
      </c>
      <c r="AE130" s="326" t="str">
        <f t="shared" si="562"/>
        <v/>
      </c>
      <c r="AF130" s="333">
        <f t="shared" si="563"/>
        <v>279370.09000000003</v>
      </c>
      <c r="AG130" s="123"/>
      <c r="AH130" s="326"/>
      <c r="AI130" s="1257">
        <f t="shared" si="564"/>
        <v>4800000</v>
      </c>
      <c r="AJ130" s="140">
        <f t="shared" si="565"/>
        <v>1390929.18</v>
      </c>
      <c r="AK130" s="123" t="e">
        <f t="shared" ref="AK130:AM130" si="599">AD130+W130+P130</f>
        <v>#VALUE!</v>
      </c>
      <c r="AL130" s="123" t="e">
        <f t="shared" si="599"/>
        <v>#VALUE!</v>
      </c>
      <c r="AM130" s="123">
        <f t="shared" si="599"/>
        <v>938534.25</v>
      </c>
      <c r="AN130" s="123">
        <f t="shared" si="567"/>
        <v>-452394.92999999993</v>
      </c>
      <c r="AO130" s="1317">
        <f t="shared" si="568"/>
        <v>-0.32524655928204765</v>
      </c>
      <c r="AP130" s="434">
        <f t="shared" si="569"/>
        <v>303008.59999999998</v>
      </c>
      <c r="AQ130" s="1318" t="e">
        <f t="shared" si="570"/>
        <v>#VALUE!</v>
      </c>
      <c r="AR130" s="1319" t="str">
        <f t="shared" si="571"/>
        <v/>
      </c>
      <c r="AS130" s="1320">
        <f t="shared" si="572"/>
        <v>529259.75</v>
      </c>
      <c r="AT130" s="125">
        <f t="shared" si="573"/>
        <v>343993.23</v>
      </c>
      <c r="AU130" s="140" t="e">
        <f t="shared" si="574"/>
        <v>#VALUE!</v>
      </c>
      <c r="AV130" s="326" t="str">
        <f t="shared" si="575"/>
        <v/>
      </c>
      <c r="AW130" s="333">
        <f t="shared" si="576"/>
        <v>220450.26</v>
      </c>
      <c r="AX130" s="125">
        <f t="shared" si="577"/>
        <v>149597.82</v>
      </c>
      <c r="AY130" s="140" t="e">
        <f t="shared" si="578"/>
        <v>#VALUE!</v>
      </c>
      <c r="AZ130" s="326" t="str">
        <f t="shared" si="579"/>
        <v/>
      </c>
      <c r="BA130" s="332">
        <f t="shared" si="580"/>
        <v>0</v>
      </c>
      <c r="BB130" s="326" t="e">
        <f t="shared" ref="BB130:BD130" si="600">SUM(AY130,AU130,AQ130)</f>
        <v>#VALUE!</v>
      </c>
      <c r="BC130" s="326">
        <f t="shared" si="600"/>
        <v>0</v>
      </c>
      <c r="BD130" s="326">
        <f t="shared" si="600"/>
        <v>749710.01</v>
      </c>
      <c r="BE130" s="326" t="e">
        <f t="shared" si="585"/>
        <v>#VALUE!</v>
      </c>
      <c r="BF130" s="326">
        <f t="shared" si="586"/>
        <v>0</v>
      </c>
      <c r="BG130" s="326">
        <f t="shared" si="587"/>
        <v>1688244.26</v>
      </c>
      <c r="BH130" s="125">
        <f t="shared" si="544"/>
        <v>390599.5</v>
      </c>
      <c r="BI130" s="326" t="e">
        <f t="shared" si="588"/>
        <v>#VALUE!</v>
      </c>
      <c r="BJ130" s="326" t="str">
        <f t="shared" si="589"/>
        <v/>
      </c>
      <c r="BK130" s="326">
        <f t="shared" si="590"/>
        <v>0</v>
      </c>
      <c r="BL130" s="332">
        <f t="shared" si="545"/>
        <v>215483.46</v>
      </c>
      <c r="BM130" s="140"/>
      <c r="BN130" s="326"/>
      <c r="BO130" s="333"/>
      <c r="BP130" s="123">
        <f t="shared" si="546"/>
        <v>241627.64</v>
      </c>
      <c r="BQ130" s="326"/>
      <c r="BR130" s="326"/>
      <c r="BS130" s="983">
        <f t="shared" si="543"/>
        <v>0</v>
      </c>
      <c r="BT130" s="140"/>
      <c r="BU130" s="326"/>
      <c r="BV130" s="333"/>
      <c r="BW130" s="125">
        <f t="shared" si="547"/>
        <v>276909.7</v>
      </c>
      <c r="BX130" s="140"/>
      <c r="BY130" s="326"/>
      <c r="BZ130" s="333"/>
      <c r="CA130" s="123">
        <f t="shared" si="548"/>
        <v>489571.43</v>
      </c>
      <c r="CB130" s="326">
        <f t="shared" si="549"/>
        <v>624448.05000000005</v>
      </c>
      <c r="CF130" s="294"/>
      <c r="CG130" s="294"/>
      <c r="CH130" s="294"/>
      <c r="CI130" s="294"/>
      <c r="CJ130" s="294"/>
      <c r="CK130" s="294"/>
      <c r="CL130" s="294"/>
      <c r="CM130" s="294"/>
      <c r="CN130" s="294"/>
    </row>
    <row r="131" spans="1:92" ht="13">
      <c r="A131" s="323" t="e">
        <f t="shared" si="581"/>
        <v>#N/A</v>
      </c>
      <c r="B131" s="324">
        <f t="shared" si="582"/>
        <v>22</v>
      </c>
      <c r="C131" s="558">
        <f t="shared" si="550"/>
        <v>0.1</v>
      </c>
      <c r="D131" s="558">
        <f t="shared" si="551"/>
        <v>0.09</v>
      </c>
      <c r="E131" s="715">
        <f t="shared" si="552"/>
        <v>0</v>
      </c>
      <c r="F131" s="636"/>
      <c r="G131" s="558"/>
      <c r="H131" s="558"/>
      <c r="I131" s="559"/>
      <c r="J131" s="1116"/>
      <c r="K131" s="558"/>
      <c r="L131" s="558"/>
      <c r="M131" s="968" t="s">
        <v>1511</v>
      </c>
      <c r="N131" s="326"/>
      <c r="O131" s="332"/>
      <c r="P131" s="113" t="e">
        <f t="shared" si="553"/>
        <v>#VALUE!</v>
      </c>
      <c r="Q131" s="116" t="str">
        <f t="shared" si="554"/>
        <v/>
      </c>
      <c r="R131" s="117">
        <f t="shared" si="555"/>
        <v>0</v>
      </c>
      <c r="S131" s="114"/>
      <c r="T131" s="116"/>
      <c r="U131" s="116">
        <f t="shared" si="556"/>
        <v>191653.66</v>
      </c>
      <c r="V131" s="116">
        <v>3000000</v>
      </c>
      <c r="W131" s="116" t="e">
        <f t="shared" si="557"/>
        <v>#VALUE!</v>
      </c>
      <c r="X131" s="116" t="str">
        <f t="shared" si="558"/>
        <v/>
      </c>
      <c r="Y131" s="116">
        <f t="shared" si="559"/>
        <v>0</v>
      </c>
      <c r="Z131" s="326"/>
      <c r="AA131" s="326"/>
      <c r="AB131" s="326">
        <f t="shared" si="560"/>
        <v>0</v>
      </c>
      <c r="AC131" s="332">
        <v>1800000</v>
      </c>
      <c r="AD131" s="140" t="e">
        <f t="shared" si="561"/>
        <v>#VALUE!</v>
      </c>
      <c r="AE131" s="326" t="str">
        <f t="shared" si="562"/>
        <v/>
      </c>
      <c r="AF131" s="333">
        <f t="shared" si="563"/>
        <v>0</v>
      </c>
      <c r="AG131" s="123"/>
      <c r="AH131" s="326"/>
      <c r="AI131" s="1257">
        <f t="shared" si="564"/>
        <v>4800000</v>
      </c>
      <c r="AJ131" s="140" t="str">
        <f t="shared" si="565"/>
        <v>0</v>
      </c>
      <c r="AK131" s="123" t="e">
        <f t="shared" ref="AK131:AM131" si="601">AD131+W131+P131</f>
        <v>#VALUE!</v>
      </c>
      <c r="AL131" s="123" t="e">
        <f t="shared" si="601"/>
        <v>#VALUE!</v>
      </c>
      <c r="AM131" s="123">
        <f t="shared" si="601"/>
        <v>0</v>
      </c>
      <c r="AN131" s="123">
        <f t="shared" si="567"/>
        <v>0</v>
      </c>
      <c r="AO131" s="1317" t="str">
        <f t="shared" si="568"/>
        <v/>
      </c>
      <c r="AP131" s="434">
        <f t="shared" si="569"/>
        <v>0</v>
      </c>
      <c r="AQ131" s="1318" t="e">
        <f t="shared" si="570"/>
        <v>#VALUE!</v>
      </c>
      <c r="AR131" s="1319" t="str">
        <f t="shared" si="571"/>
        <v/>
      </c>
      <c r="AS131" s="1320">
        <f t="shared" si="572"/>
        <v>0</v>
      </c>
      <c r="AT131" s="125"/>
      <c r="AU131" s="140" t="e">
        <f t="shared" si="574"/>
        <v>#VALUE!</v>
      </c>
      <c r="AV131" s="326" t="str">
        <f t="shared" si="575"/>
        <v/>
      </c>
      <c r="AW131" s="333">
        <f t="shared" si="576"/>
        <v>176858.1</v>
      </c>
      <c r="AX131" s="125"/>
      <c r="AY131" s="140" t="e">
        <f t="shared" si="578"/>
        <v>#VALUE!</v>
      </c>
      <c r="AZ131" s="326" t="str">
        <f t="shared" si="579"/>
        <v/>
      </c>
      <c r="BA131" s="332">
        <f t="shared" si="580"/>
        <v>0</v>
      </c>
      <c r="BB131" s="326" t="e">
        <f t="shared" ref="BB131:BD131" si="602">SUM(AY131,AU131,AQ131)</f>
        <v>#VALUE!</v>
      </c>
      <c r="BC131" s="326">
        <f t="shared" si="602"/>
        <v>0</v>
      </c>
      <c r="BD131" s="326">
        <f t="shared" si="602"/>
        <v>176858.1</v>
      </c>
      <c r="BE131" s="326" t="e">
        <f t="shared" si="585"/>
        <v>#VALUE!</v>
      </c>
      <c r="BF131" s="326">
        <f t="shared" si="586"/>
        <v>0</v>
      </c>
      <c r="BG131" s="326">
        <f t="shared" si="587"/>
        <v>176858.1</v>
      </c>
      <c r="BH131" s="125"/>
      <c r="BI131" s="326" t="e">
        <f t="shared" si="588"/>
        <v>#VALUE!</v>
      </c>
      <c r="BJ131" s="326" t="str">
        <f t="shared" si="589"/>
        <v/>
      </c>
      <c r="BK131" s="326">
        <f t="shared" si="590"/>
        <v>0</v>
      </c>
      <c r="BL131" s="332"/>
      <c r="BM131" s="140"/>
      <c r="BN131" s="326"/>
      <c r="BO131" s="333"/>
      <c r="BP131" s="123"/>
      <c r="BQ131" s="326"/>
      <c r="BR131" s="326"/>
      <c r="BS131" s="983">
        <f t="shared" si="543"/>
        <v>0</v>
      </c>
      <c r="BT131" s="140"/>
      <c r="BU131" s="326"/>
      <c r="BV131" s="333"/>
      <c r="BW131" s="125"/>
      <c r="BX131" s="140"/>
      <c r="BY131" s="326"/>
      <c r="BZ131" s="333"/>
      <c r="CA131" s="123"/>
      <c r="CB131" s="326"/>
      <c r="CF131" s="294"/>
      <c r="CG131" s="294"/>
      <c r="CH131" s="294"/>
      <c r="CI131" s="294"/>
      <c r="CJ131" s="294"/>
      <c r="CK131" s="294"/>
      <c r="CL131" s="294"/>
      <c r="CM131" s="294"/>
      <c r="CN131" s="294"/>
    </row>
    <row r="132" spans="1:92" ht="13">
      <c r="A132" s="323" t="e">
        <f>VLOOKUP(M132,lavcart4,3,FALSE)</f>
        <v>#N/A</v>
      </c>
      <c r="B132" s="324" t="e">
        <f t="shared" si="582"/>
        <v>#N/A</v>
      </c>
      <c r="C132" s="558" t="str">
        <f t="shared" si="550"/>
        <v/>
      </c>
      <c r="D132" s="558" t="str">
        <f t="shared" si="551"/>
        <v/>
      </c>
      <c r="E132" s="715" t="str">
        <f t="shared" si="552"/>
        <v/>
      </c>
      <c r="F132" s="547" t="e">
        <f>VLOOKUP(M132,LAVENIACART2,2,FALSE)</f>
        <v>#N/A</v>
      </c>
      <c r="G132" s="699" t="str">
        <f>IFERROR(VLOOKUP(F132,DES,2,FALSE),"")</f>
        <v/>
      </c>
      <c r="H132" s="699" t="str">
        <f>IFERROR(VLOOKUP(F132,DES,3,FALSE),"")</f>
        <v/>
      </c>
      <c r="I132" s="702" t="str">
        <f>IFERROR(VLOOKUP(F132,DES,4,FALSE),"")</f>
        <v/>
      </c>
      <c r="J132" s="837" t="e">
        <f>VLOOKUP(M132,lavcart4,2,FALSE)</f>
        <v>#N/A</v>
      </c>
      <c r="K132" s="699" t="str">
        <f>IFERROR(VLOOKUP(J132,A458DC1025,2,FALSE),"")</f>
        <v/>
      </c>
      <c r="L132" s="1040" t="str">
        <f>IFERROR(VLOOKUP(J132,A458DC1025,3,FALSE),"")</f>
        <v/>
      </c>
      <c r="M132" s="423" t="s">
        <v>1512</v>
      </c>
      <c r="N132" s="326"/>
      <c r="O132" s="332"/>
      <c r="P132" s="113" t="e">
        <f t="shared" si="553"/>
        <v>#VALUE!</v>
      </c>
      <c r="Q132" s="116" t="str">
        <f t="shared" si="554"/>
        <v/>
      </c>
      <c r="R132" s="117">
        <f t="shared" si="555"/>
        <v>0</v>
      </c>
      <c r="S132" s="114"/>
      <c r="T132" s="116"/>
      <c r="U132" s="116">
        <f t="shared" si="556"/>
        <v>0</v>
      </c>
      <c r="V132" s="116">
        <v>3000000</v>
      </c>
      <c r="W132" s="116" t="e">
        <f t="shared" si="557"/>
        <v>#VALUE!</v>
      </c>
      <c r="X132" s="116" t="str">
        <f t="shared" si="558"/>
        <v/>
      </c>
      <c r="Y132" s="116">
        <f t="shared" si="559"/>
        <v>0</v>
      </c>
      <c r="Z132" s="326"/>
      <c r="AA132" s="326"/>
      <c r="AB132" s="326">
        <f t="shared" si="560"/>
        <v>0</v>
      </c>
      <c r="AC132" s="332">
        <v>1800000</v>
      </c>
      <c r="AD132" s="140" t="e">
        <f t="shared" si="561"/>
        <v>#VALUE!</v>
      </c>
      <c r="AE132" s="326" t="str">
        <f t="shared" si="562"/>
        <v/>
      </c>
      <c r="AF132" s="117">
        <f t="shared" si="563"/>
        <v>0</v>
      </c>
      <c r="AG132" s="123"/>
      <c r="AH132" s="326"/>
      <c r="AI132" s="1257">
        <f t="shared" si="564"/>
        <v>4800000</v>
      </c>
      <c r="AJ132" s="140" t="str">
        <f t="shared" si="565"/>
        <v>0</v>
      </c>
      <c r="AK132" s="123" t="e">
        <f t="shared" ref="AK132:AM132" si="603">AD132+W132+P132</f>
        <v>#VALUE!</v>
      </c>
      <c r="AL132" s="123" t="e">
        <f t="shared" si="603"/>
        <v>#VALUE!</v>
      </c>
      <c r="AM132" s="123">
        <f t="shared" si="603"/>
        <v>0</v>
      </c>
      <c r="AN132" s="123">
        <f t="shared" si="567"/>
        <v>0</v>
      </c>
      <c r="AO132" s="1317" t="str">
        <f t="shared" si="568"/>
        <v/>
      </c>
      <c r="AP132" s="434">
        <f t="shared" si="569"/>
        <v>0</v>
      </c>
      <c r="AQ132" s="1318" t="e">
        <f t="shared" si="570"/>
        <v>#VALUE!</v>
      </c>
      <c r="AR132" s="1319" t="str">
        <f t="shared" si="571"/>
        <v/>
      </c>
      <c r="AS132" s="1320">
        <f t="shared" si="572"/>
        <v>0</v>
      </c>
      <c r="AT132" s="125">
        <f t="shared" ref="AT132:AT150" si="604">IFERROR(VLOOKUP(M132,tmkpechhhh24,7,FALSE),"")</f>
        <v>17001.599999999999</v>
      </c>
      <c r="AU132" s="140" t="e">
        <f t="shared" si="574"/>
        <v>#VALUE!</v>
      </c>
      <c r="AV132" s="326" t="str">
        <f t="shared" si="575"/>
        <v/>
      </c>
      <c r="AW132" s="333">
        <f t="shared" si="576"/>
        <v>0</v>
      </c>
      <c r="AX132" s="125">
        <f t="shared" ref="AX132:AX150" si="605">IFERROR(VLOOKUP(M132,tmkpechhhh24,8,FALSE),"")</f>
        <v>166359.45000000001</v>
      </c>
      <c r="AY132" s="140" t="e">
        <f t="shared" si="578"/>
        <v>#VALUE!</v>
      </c>
      <c r="AZ132" s="326" t="str">
        <f t="shared" si="579"/>
        <v/>
      </c>
      <c r="BA132" s="332">
        <f t="shared" si="580"/>
        <v>0</v>
      </c>
      <c r="BB132" s="122" t="e">
        <f t="shared" ref="BB132:BD132" si="606">SUM(AY132,AU132,AQ132)</f>
        <v>#VALUE!</v>
      </c>
      <c r="BC132" s="326">
        <f t="shared" si="606"/>
        <v>0</v>
      </c>
      <c r="BD132" s="333">
        <f t="shared" si="606"/>
        <v>0</v>
      </c>
      <c r="BE132" s="123" t="e">
        <f t="shared" si="585"/>
        <v>#VALUE!</v>
      </c>
      <c r="BF132" s="326">
        <f t="shared" si="586"/>
        <v>0</v>
      </c>
      <c r="BG132" s="435">
        <f t="shared" si="587"/>
        <v>0</v>
      </c>
      <c r="BH132" s="125">
        <f t="shared" ref="BH132:BH150" si="607">IFERROR(VLOOKUP(M132,tmkpechhhh24,9,FALSE),"")</f>
        <v>0</v>
      </c>
      <c r="BI132" s="1041" t="e">
        <f t="shared" si="588"/>
        <v>#VALUE!</v>
      </c>
      <c r="BJ132" s="123" t="str">
        <f t="shared" si="589"/>
        <v/>
      </c>
      <c r="BK132" s="326">
        <f t="shared" si="590"/>
        <v>0</v>
      </c>
      <c r="BL132" s="125">
        <f t="shared" ref="BL132:BL150" si="608">IFERROR(VLOOKUP(M132,tmkpechhhh24,10,FALSE),"")</f>
        <v>0</v>
      </c>
      <c r="BM132" s="113" t="e">
        <f t="shared" ref="BM132:BM135" si="609">BO132-BN132</f>
        <v>#VALUE!</v>
      </c>
      <c r="BN132" s="116" t="str">
        <f>IFERROR(VLOOKUP(M132,VANEALIM,10,FALSE),"")</f>
        <v/>
      </c>
      <c r="BO132" s="115">
        <f>IFERROR(VLOOKUP(M132,LAVEFC,10,FALSE),"0")</f>
        <v>0</v>
      </c>
      <c r="BP132" s="123">
        <f t="shared" ref="BP132:BP150" si="610">IFERROR(VLOOKUP(M132,tmkpechhhh24,11,FALSE),"")</f>
        <v>0</v>
      </c>
      <c r="BQ132" s="326" t="e">
        <f t="shared" ref="BQ132:BQ135" si="611">BS132-BR132</f>
        <v>#VALUE!</v>
      </c>
      <c r="BR132" s="326" t="str">
        <f>IFERROR(VLOOKUP(M132,VANEALIM,11,FALSE),"")</f>
        <v/>
      </c>
      <c r="BS132" s="332">
        <f t="shared" si="543"/>
        <v>33267.980000000003</v>
      </c>
      <c r="BT132" s="140" t="e">
        <f t="shared" ref="BT132:BV132" si="612">SUM(BQ132,BM132,BI132)</f>
        <v>#VALUE!</v>
      </c>
      <c r="BU132" s="326">
        <f t="shared" si="612"/>
        <v>0</v>
      </c>
      <c r="BV132" s="333">
        <f t="shared" si="612"/>
        <v>33267.980000000003</v>
      </c>
      <c r="BW132" s="125">
        <f t="shared" ref="BW132:BW150" si="613">IFERROR(VLOOKUP(M132,tmkpechhhh24,12,FALSE),"")</f>
        <v>0</v>
      </c>
      <c r="BX132" s="140" t="e">
        <f t="shared" ref="BX132:BX135" si="614">BZ132-BY132</f>
        <v>#VALUE!</v>
      </c>
      <c r="BY132" s="123" t="str">
        <f>IFERROR(VLOOKUP(M132,VANEALIM,12,FALSE),"")</f>
        <v/>
      </c>
      <c r="BZ132" s="333">
        <f>IFERROR(VLOOKUP(M132,LAVEFC,12,FALSE),"")</f>
        <v>130460.42</v>
      </c>
      <c r="CA132" s="123">
        <f t="shared" ref="CA132:CA150" si="615">IFERROR(VLOOKUP(M132,tmkpechhhh24,13,FALSE),"")</f>
        <v>0</v>
      </c>
      <c r="CB132" s="326">
        <f t="shared" ref="CB132:CB150" si="616">IFERROR(VLOOKUP(M132,tmkpechhhh24,14,FALSE),"")</f>
        <v>0</v>
      </c>
      <c r="CF132" s="294"/>
      <c r="CG132" s="294"/>
      <c r="CH132" s="294"/>
      <c r="CI132" s="294"/>
      <c r="CJ132" s="294"/>
      <c r="CK132" s="294"/>
      <c r="CL132" s="294"/>
      <c r="CM132" s="294"/>
      <c r="CN132" s="294"/>
    </row>
    <row r="133" spans="1:92" ht="13">
      <c r="A133" s="323" t="e">
        <f>VLOOKUP(M133,lavcart4,3,FALSE)</f>
        <v>#N/A</v>
      </c>
      <c r="B133" s="324">
        <f t="shared" si="582"/>
        <v>1</v>
      </c>
      <c r="C133" s="558" t="str">
        <f t="shared" si="550"/>
        <v>Lista</v>
      </c>
      <c r="D133" s="558">
        <f t="shared" si="551"/>
        <v>0.09</v>
      </c>
      <c r="E133" s="715">
        <f t="shared" si="552"/>
        <v>0</v>
      </c>
      <c r="F133" s="547">
        <f>VLOOKUP(M133,LAVENIACART2,2,FALSE)</f>
        <v>1</v>
      </c>
      <c r="G133" s="699" t="str">
        <f>IFERROR(VLOOKUP(F133,DES,2,FALSE),"")</f>
        <v>Lista</v>
      </c>
      <c r="H133" s="699">
        <f>IFERROR(VLOOKUP(F133,DES,3,FALSE),"")</f>
        <v>0.09</v>
      </c>
      <c r="I133" s="702">
        <f>IFERROR(VLOOKUP(F133,DES,4,FALSE),"")</f>
        <v>0</v>
      </c>
      <c r="J133" s="837" t="e">
        <f>VLOOKUP(M133,lavcart4,2,FALSE)</f>
        <v>#N/A</v>
      </c>
      <c r="K133" s="699" t="e">
        <f>VLOOKUP(J133,A458DC1025,2,FALSE)</f>
        <v>#N/A</v>
      </c>
      <c r="L133" s="1040" t="e">
        <f>VLOOKUP(J133,A458DC1025,3,FALSE)</f>
        <v>#N/A</v>
      </c>
      <c r="M133" s="423" t="s">
        <v>360</v>
      </c>
      <c r="N133" s="326"/>
      <c r="O133" s="332"/>
      <c r="P133" s="113" t="e">
        <f t="shared" si="553"/>
        <v>#VALUE!</v>
      </c>
      <c r="Q133" s="116" t="str">
        <f t="shared" si="554"/>
        <v/>
      </c>
      <c r="R133" s="117" t="str">
        <f t="shared" si="555"/>
        <v>0</v>
      </c>
      <c r="S133" s="114"/>
      <c r="T133" s="116"/>
      <c r="U133" s="116" t="str">
        <f t="shared" si="556"/>
        <v/>
      </c>
      <c r="V133" s="116">
        <v>3000000</v>
      </c>
      <c r="W133" s="116" t="e">
        <f t="shared" si="557"/>
        <v>#VALUE!</v>
      </c>
      <c r="X133" s="116" t="str">
        <f t="shared" si="558"/>
        <v/>
      </c>
      <c r="Y133" s="116" t="str">
        <f t="shared" si="559"/>
        <v>0</v>
      </c>
      <c r="Z133" s="326"/>
      <c r="AA133" s="326"/>
      <c r="AB133" s="326" t="str">
        <f t="shared" si="560"/>
        <v/>
      </c>
      <c r="AC133" s="332">
        <v>1800000</v>
      </c>
      <c r="AD133" s="140" t="e">
        <f t="shared" si="561"/>
        <v>#VALUE!</v>
      </c>
      <c r="AE133" s="326" t="str">
        <f t="shared" si="562"/>
        <v/>
      </c>
      <c r="AF133" s="117" t="str">
        <f t="shared" si="563"/>
        <v>0</v>
      </c>
      <c r="AG133" s="123"/>
      <c r="AH133" s="326"/>
      <c r="AI133" s="1257">
        <f t="shared" si="564"/>
        <v>4800000</v>
      </c>
      <c r="AJ133" s="140" t="str">
        <f t="shared" si="565"/>
        <v>0</v>
      </c>
      <c r="AK133" s="123" t="e">
        <f t="shared" ref="AK133:AM133" si="617">AD133+W133+P133</f>
        <v>#VALUE!</v>
      </c>
      <c r="AL133" s="123" t="e">
        <f t="shared" si="617"/>
        <v>#VALUE!</v>
      </c>
      <c r="AM133" s="123">
        <f t="shared" si="617"/>
        <v>0</v>
      </c>
      <c r="AN133" s="123">
        <f t="shared" si="567"/>
        <v>0</v>
      </c>
      <c r="AO133" s="1317" t="str">
        <f t="shared" si="568"/>
        <v/>
      </c>
      <c r="AP133" s="434" t="str">
        <f t="shared" si="569"/>
        <v/>
      </c>
      <c r="AQ133" s="1318" t="e">
        <f t="shared" si="570"/>
        <v>#VALUE!</v>
      </c>
      <c r="AR133" s="1319" t="str">
        <f t="shared" si="571"/>
        <v/>
      </c>
      <c r="AS133" s="1320" t="str">
        <f t="shared" si="572"/>
        <v>0</v>
      </c>
      <c r="AT133" s="125" t="str">
        <f t="shared" si="604"/>
        <v/>
      </c>
      <c r="AU133" s="140" t="e">
        <f t="shared" si="574"/>
        <v>#VALUE!</v>
      </c>
      <c r="AV133" s="326" t="str">
        <f t="shared" si="575"/>
        <v/>
      </c>
      <c r="AW133" s="333" t="str">
        <f t="shared" si="576"/>
        <v>0</v>
      </c>
      <c r="AX133" s="125" t="str">
        <f t="shared" si="605"/>
        <v/>
      </c>
      <c r="AY133" s="140" t="e">
        <f t="shared" si="578"/>
        <v>#VALUE!</v>
      </c>
      <c r="AZ133" s="326" t="str">
        <f t="shared" si="579"/>
        <v/>
      </c>
      <c r="BA133" s="332" t="str">
        <f t="shared" si="580"/>
        <v>0</v>
      </c>
      <c r="BB133" s="122" t="e">
        <f t="shared" ref="BB133:BD133" si="618">SUM(AY133,AU133,AQ133)</f>
        <v>#VALUE!</v>
      </c>
      <c r="BC133" s="326">
        <f t="shared" si="618"/>
        <v>0</v>
      </c>
      <c r="BD133" s="333">
        <f t="shared" si="618"/>
        <v>0</v>
      </c>
      <c r="BE133" s="123" t="e">
        <f t="shared" si="585"/>
        <v>#VALUE!</v>
      </c>
      <c r="BF133" s="326">
        <f t="shared" si="586"/>
        <v>0</v>
      </c>
      <c r="BG133" s="435">
        <f t="shared" si="587"/>
        <v>0</v>
      </c>
      <c r="BH133" s="125" t="str">
        <f t="shared" si="607"/>
        <v/>
      </c>
      <c r="BI133" s="1041" t="e">
        <f t="shared" si="588"/>
        <v>#VALUE!</v>
      </c>
      <c r="BJ133" s="123" t="str">
        <f t="shared" si="589"/>
        <v/>
      </c>
      <c r="BK133" s="326" t="str">
        <f t="shared" si="590"/>
        <v>0</v>
      </c>
      <c r="BL133" s="125" t="str">
        <f t="shared" si="608"/>
        <v/>
      </c>
      <c r="BM133" s="113" t="e">
        <f t="shared" si="609"/>
        <v>#VALUE!</v>
      </c>
      <c r="BN133" s="116" t="str">
        <f>IFERROR(VLOOKUP(M133,VANEALIM,10,FALSE),"")</f>
        <v/>
      </c>
      <c r="BO133" s="115" t="str">
        <f>IFERROR(VLOOKUP(M133,LAVEFC,10,FALSE),"0")</f>
        <v>0</v>
      </c>
      <c r="BP133" s="123" t="str">
        <f t="shared" si="610"/>
        <v/>
      </c>
      <c r="BQ133" s="326" t="e">
        <f t="shared" si="611"/>
        <v>#VALUE!</v>
      </c>
      <c r="BR133" s="326" t="str">
        <f>IFERROR(VLOOKUP(M133,VANEALIM,11,FALSE),"")</f>
        <v/>
      </c>
      <c r="BS133" s="332" t="str">
        <f t="shared" si="543"/>
        <v/>
      </c>
      <c r="BT133" s="140" t="e">
        <f t="shared" ref="BT133:BV133" si="619">SUM(BQ133,BM133,BI133)</f>
        <v>#VALUE!</v>
      </c>
      <c r="BU133" s="326">
        <f t="shared" si="619"/>
        <v>0</v>
      </c>
      <c r="BV133" s="333">
        <f t="shared" si="619"/>
        <v>0</v>
      </c>
      <c r="BW133" s="125" t="str">
        <f t="shared" si="613"/>
        <v/>
      </c>
      <c r="BX133" s="140" t="e">
        <f t="shared" si="614"/>
        <v>#VALUE!</v>
      </c>
      <c r="BY133" s="123" t="str">
        <f>IFERROR(VLOOKUP(M133,VANEALIM,12,FALSE),"")</f>
        <v/>
      </c>
      <c r="BZ133" s="333" t="str">
        <f>IFERROR(VLOOKUP(M133,LAVEFC,12,FALSE),"")</f>
        <v/>
      </c>
      <c r="CA133" s="123" t="str">
        <f t="shared" si="615"/>
        <v/>
      </c>
      <c r="CB133" s="326" t="str">
        <f t="shared" si="616"/>
        <v/>
      </c>
      <c r="CF133" s="294"/>
      <c r="CG133" s="294"/>
      <c r="CH133" s="294"/>
      <c r="CI133" s="294"/>
      <c r="CJ133" s="294"/>
      <c r="CK133" s="294"/>
      <c r="CL133" s="294"/>
      <c r="CM133" s="294"/>
      <c r="CN133" s="294"/>
    </row>
    <row r="134" spans="1:92" ht="13">
      <c r="A134" s="323" t="e">
        <f>VLOOKUP(M134,lavcart4,3,FALSE)</f>
        <v>#N/A</v>
      </c>
      <c r="B134" s="324">
        <f t="shared" si="582"/>
        <v>1</v>
      </c>
      <c r="C134" s="558" t="str">
        <f t="shared" si="550"/>
        <v>Lista</v>
      </c>
      <c r="D134" s="558">
        <f t="shared" si="551"/>
        <v>0.09</v>
      </c>
      <c r="E134" s="715">
        <f t="shared" si="552"/>
        <v>0</v>
      </c>
      <c r="F134" s="547">
        <f>VLOOKUP(M134,LAVENIACART2,2,FALSE)</f>
        <v>1</v>
      </c>
      <c r="G134" s="699" t="str">
        <f>IFERROR(VLOOKUP(F134,DES,2,FALSE),"")</f>
        <v>Lista</v>
      </c>
      <c r="H134" s="699">
        <f>IFERROR(VLOOKUP(F134,DES,3,FALSE),"")</f>
        <v>0.09</v>
      </c>
      <c r="I134" s="702">
        <f>IFERROR(VLOOKUP(F134,DES,4,FALSE),"")</f>
        <v>0</v>
      </c>
      <c r="J134" s="837" t="e">
        <f>VLOOKUP(M134,lavcart4,2,FALSE)</f>
        <v>#N/A</v>
      </c>
      <c r="K134" s="699" t="e">
        <f>VLOOKUP(J134,A458DC1025,2,FALSE)</f>
        <v>#N/A</v>
      </c>
      <c r="L134" s="1040" t="e">
        <f>VLOOKUP(J134,A458DC1025,3,FALSE)</f>
        <v>#N/A</v>
      </c>
      <c r="M134" s="423" t="s">
        <v>1513</v>
      </c>
      <c r="N134" s="326"/>
      <c r="O134" s="332"/>
      <c r="P134" s="113" t="e">
        <f t="shared" si="553"/>
        <v>#VALUE!</v>
      </c>
      <c r="Q134" s="116" t="str">
        <f t="shared" si="554"/>
        <v/>
      </c>
      <c r="R134" s="117">
        <f t="shared" si="555"/>
        <v>0</v>
      </c>
      <c r="S134" s="114"/>
      <c r="T134" s="116"/>
      <c r="U134" s="116">
        <f t="shared" si="556"/>
        <v>-4760.25</v>
      </c>
      <c r="V134" s="116">
        <v>3000000</v>
      </c>
      <c r="W134" s="116" t="e">
        <f t="shared" si="557"/>
        <v>#VALUE!</v>
      </c>
      <c r="X134" s="116" t="str">
        <f t="shared" si="558"/>
        <v/>
      </c>
      <c r="Y134" s="116">
        <f t="shared" si="559"/>
        <v>0</v>
      </c>
      <c r="Z134" s="326"/>
      <c r="AA134" s="326"/>
      <c r="AB134" s="326">
        <f t="shared" si="560"/>
        <v>0</v>
      </c>
      <c r="AC134" s="332">
        <v>1800000</v>
      </c>
      <c r="AD134" s="140" t="e">
        <f t="shared" si="561"/>
        <v>#VALUE!</v>
      </c>
      <c r="AE134" s="326" t="str">
        <f t="shared" si="562"/>
        <v/>
      </c>
      <c r="AF134" s="117">
        <f t="shared" si="563"/>
        <v>0</v>
      </c>
      <c r="AG134" s="123"/>
      <c r="AH134" s="326"/>
      <c r="AI134" s="1257">
        <f t="shared" si="564"/>
        <v>4800000</v>
      </c>
      <c r="AJ134" s="140" t="str">
        <f t="shared" si="565"/>
        <v>0</v>
      </c>
      <c r="AK134" s="123" t="e">
        <f t="shared" ref="AK134:AM134" si="620">AD134+W134+P134</f>
        <v>#VALUE!</v>
      </c>
      <c r="AL134" s="123" t="e">
        <f t="shared" si="620"/>
        <v>#VALUE!</v>
      </c>
      <c r="AM134" s="123">
        <f t="shared" si="620"/>
        <v>0</v>
      </c>
      <c r="AN134" s="123">
        <f t="shared" si="567"/>
        <v>0</v>
      </c>
      <c r="AO134" s="1317" t="str">
        <f t="shared" si="568"/>
        <v/>
      </c>
      <c r="AP134" s="434">
        <f t="shared" si="569"/>
        <v>0</v>
      </c>
      <c r="AQ134" s="1318" t="e">
        <f t="shared" si="570"/>
        <v>#VALUE!</v>
      </c>
      <c r="AR134" s="1319" t="str">
        <f t="shared" si="571"/>
        <v/>
      </c>
      <c r="AS134" s="1320">
        <f t="shared" si="572"/>
        <v>0</v>
      </c>
      <c r="AT134" s="125">
        <f t="shared" si="604"/>
        <v>90029.92</v>
      </c>
      <c r="AU134" s="140" t="e">
        <f t="shared" si="574"/>
        <v>#VALUE!</v>
      </c>
      <c r="AV134" s="326" t="str">
        <f t="shared" si="575"/>
        <v/>
      </c>
      <c r="AW134" s="333">
        <f t="shared" si="576"/>
        <v>0</v>
      </c>
      <c r="AX134" s="125">
        <f t="shared" si="605"/>
        <v>0</v>
      </c>
      <c r="AY134" s="140" t="e">
        <f t="shared" si="578"/>
        <v>#VALUE!</v>
      </c>
      <c r="AZ134" s="326" t="str">
        <f t="shared" si="579"/>
        <v/>
      </c>
      <c r="BA134" s="332">
        <f t="shared" si="580"/>
        <v>0</v>
      </c>
      <c r="BB134" s="122" t="e">
        <f t="shared" ref="BB134:BD134" si="621">SUM(AY134,AU134,AQ134)</f>
        <v>#VALUE!</v>
      </c>
      <c r="BC134" s="326">
        <f t="shared" si="621"/>
        <v>0</v>
      </c>
      <c r="BD134" s="333">
        <f t="shared" si="621"/>
        <v>0</v>
      </c>
      <c r="BE134" s="123" t="e">
        <f t="shared" si="585"/>
        <v>#VALUE!</v>
      </c>
      <c r="BF134" s="326">
        <f t="shared" si="586"/>
        <v>0</v>
      </c>
      <c r="BG134" s="435">
        <f t="shared" si="587"/>
        <v>0</v>
      </c>
      <c r="BH134" s="125">
        <f t="shared" si="607"/>
        <v>64507.8</v>
      </c>
      <c r="BI134" s="1041" t="e">
        <f t="shared" si="588"/>
        <v>#VALUE!</v>
      </c>
      <c r="BJ134" s="123" t="str">
        <f t="shared" si="589"/>
        <v/>
      </c>
      <c r="BK134" s="326">
        <f t="shared" si="590"/>
        <v>0</v>
      </c>
      <c r="BL134" s="125">
        <f t="shared" si="608"/>
        <v>0</v>
      </c>
      <c r="BM134" s="113" t="e">
        <f t="shared" si="609"/>
        <v>#VALUE!</v>
      </c>
      <c r="BN134" s="116" t="str">
        <f>IFERROR(VLOOKUP(M134,VANEALIM,10,FALSE),"")</f>
        <v/>
      </c>
      <c r="BO134" s="115">
        <f>IFERROR(VLOOKUP(M134,LAVEFC,10,FALSE),"0")</f>
        <v>88512.3</v>
      </c>
      <c r="BP134" s="123">
        <f t="shared" si="610"/>
        <v>0</v>
      </c>
      <c r="BQ134" s="326" t="e">
        <f t="shared" si="611"/>
        <v>#VALUE!</v>
      </c>
      <c r="BR134" s="326" t="str">
        <f>IFERROR(VLOOKUP(M134,VANEALIM,11,FALSE),"")</f>
        <v/>
      </c>
      <c r="BS134" s="332">
        <f t="shared" si="543"/>
        <v>0</v>
      </c>
      <c r="BT134" s="140" t="e">
        <f t="shared" ref="BT134:BV134" si="622">SUM(BQ134,BM134,BI134)</f>
        <v>#VALUE!</v>
      </c>
      <c r="BU134" s="326">
        <f t="shared" si="622"/>
        <v>0</v>
      </c>
      <c r="BV134" s="333">
        <f t="shared" si="622"/>
        <v>88512.3</v>
      </c>
      <c r="BW134" s="125">
        <f t="shared" si="613"/>
        <v>0</v>
      </c>
      <c r="BX134" s="140" t="e">
        <f t="shared" si="614"/>
        <v>#VALUE!</v>
      </c>
      <c r="BY134" s="123" t="str">
        <f>IFERROR(VLOOKUP(M134,VANEALIM,12,FALSE),"")</f>
        <v/>
      </c>
      <c r="BZ134" s="333">
        <f>IFERROR(VLOOKUP(M134,LAVEFC,12,FALSE),"")</f>
        <v>0</v>
      </c>
      <c r="CA134" s="123">
        <f t="shared" si="615"/>
        <v>0</v>
      </c>
      <c r="CB134" s="326">
        <f t="shared" si="616"/>
        <v>0</v>
      </c>
      <c r="CF134" s="294"/>
      <c r="CG134" s="294"/>
      <c r="CH134" s="294"/>
      <c r="CI134" s="294"/>
      <c r="CJ134" s="294"/>
      <c r="CK134" s="294"/>
      <c r="CL134" s="294"/>
      <c r="CM134" s="294"/>
      <c r="CN134" s="294"/>
    </row>
    <row r="135" spans="1:92" ht="13">
      <c r="A135" s="323" t="e">
        <f>VLOOKUP(M135,lavcart4,3,FALSE)</f>
        <v>#N/A</v>
      </c>
      <c r="B135" s="324" t="e">
        <f t="shared" si="582"/>
        <v>#N/A</v>
      </c>
      <c r="C135" s="558" t="str">
        <f t="shared" si="550"/>
        <v/>
      </c>
      <c r="D135" s="558" t="str">
        <f t="shared" si="551"/>
        <v/>
      </c>
      <c r="E135" s="715" t="str">
        <f t="shared" si="552"/>
        <v/>
      </c>
      <c r="F135" s="547" t="e">
        <f>VLOOKUP(M135,LAVENIACART2,2,FALSE)</f>
        <v>#N/A</v>
      </c>
      <c r="G135" s="699" t="str">
        <f>IFERROR(VLOOKUP(F135,DES,2,FALSE),"")</f>
        <v/>
      </c>
      <c r="H135" s="699" t="str">
        <f>IFERROR(VLOOKUP(F135,DES,3,FALSE),"")</f>
        <v/>
      </c>
      <c r="I135" s="702" t="str">
        <f>IFERROR(VLOOKUP(F135,DES,4,FALSE),"")</f>
        <v/>
      </c>
      <c r="J135" s="837" t="e">
        <f>VLOOKUP(M135,lavcart4,2,FALSE)</f>
        <v>#N/A</v>
      </c>
      <c r="K135" s="699" t="str">
        <f>IFERROR(VLOOKUP(J135,A458DC1025,2,FALSE),"")</f>
        <v/>
      </c>
      <c r="L135" s="1040" t="str">
        <f>IFERROR(VLOOKUP(J135,A458DC1025,3,FALSE),"")</f>
        <v/>
      </c>
      <c r="M135" s="423" t="s">
        <v>1514</v>
      </c>
      <c r="N135" s="326"/>
      <c r="O135" s="332"/>
      <c r="P135" s="113" t="e">
        <f t="shared" si="553"/>
        <v>#VALUE!</v>
      </c>
      <c r="Q135" s="116" t="str">
        <f t="shared" si="554"/>
        <v/>
      </c>
      <c r="R135" s="117">
        <f t="shared" si="555"/>
        <v>0</v>
      </c>
      <c r="S135" s="114"/>
      <c r="T135" s="116"/>
      <c r="U135" s="116">
        <f t="shared" si="556"/>
        <v>0</v>
      </c>
      <c r="V135" s="116">
        <v>3000000</v>
      </c>
      <c r="W135" s="116" t="e">
        <f t="shared" si="557"/>
        <v>#VALUE!</v>
      </c>
      <c r="X135" s="116" t="str">
        <f t="shared" si="558"/>
        <v/>
      </c>
      <c r="Y135" s="116">
        <f t="shared" si="559"/>
        <v>0</v>
      </c>
      <c r="Z135" s="326"/>
      <c r="AA135" s="326"/>
      <c r="AB135" s="326">
        <f t="shared" si="560"/>
        <v>0</v>
      </c>
      <c r="AC135" s="332">
        <v>1800000</v>
      </c>
      <c r="AD135" s="140" t="e">
        <f t="shared" si="561"/>
        <v>#VALUE!</v>
      </c>
      <c r="AE135" s="326" t="str">
        <f t="shared" si="562"/>
        <v/>
      </c>
      <c r="AF135" s="117">
        <f t="shared" si="563"/>
        <v>0</v>
      </c>
      <c r="AG135" s="123"/>
      <c r="AH135" s="326"/>
      <c r="AI135" s="1257">
        <f t="shared" si="564"/>
        <v>4800000</v>
      </c>
      <c r="AJ135" s="140" t="str">
        <f t="shared" si="565"/>
        <v>0</v>
      </c>
      <c r="AK135" s="123" t="e">
        <f t="shared" ref="AK135:AM135" si="623">AD135+W135+P135</f>
        <v>#VALUE!</v>
      </c>
      <c r="AL135" s="123" t="e">
        <f t="shared" si="623"/>
        <v>#VALUE!</v>
      </c>
      <c r="AM135" s="123">
        <f t="shared" si="623"/>
        <v>0</v>
      </c>
      <c r="AN135" s="123">
        <f t="shared" si="567"/>
        <v>0</v>
      </c>
      <c r="AO135" s="1317" t="str">
        <f t="shared" si="568"/>
        <v/>
      </c>
      <c r="AP135" s="434">
        <f t="shared" si="569"/>
        <v>48491.81</v>
      </c>
      <c r="AQ135" s="1318" t="e">
        <f t="shared" si="570"/>
        <v>#VALUE!</v>
      </c>
      <c r="AR135" s="1319" t="str">
        <f t="shared" si="571"/>
        <v/>
      </c>
      <c r="AS135" s="1320">
        <f t="shared" si="572"/>
        <v>0</v>
      </c>
      <c r="AT135" s="125">
        <f t="shared" si="604"/>
        <v>0</v>
      </c>
      <c r="AU135" s="140" t="e">
        <f t="shared" si="574"/>
        <v>#VALUE!</v>
      </c>
      <c r="AV135" s="326" t="str">
        <f t="shared" si="575"/>
        <v/>
      </c>
      <c r="AW135" s="333">
        <f t="shared" si="576"/>
        <v>0</v>
      </c>
      <c r="AX135" s="125">
        <f t="shared" si="605"/>
        <v>0</v>
      </c>
      <c r="AY135" s="140" t="e">
        <f t="shared" si="578"/>
        <v>#VALUE!</v>
      </c>
      <c r="AZ135" s="326" t="str">
        <f t="shared" si="579"/>
        <v/>
      </c>
      <c r="BA135" s="332">
        <f t="shared" si="580"/>
        <v>0</v>
      </c>
      <c r="BB135" s="122" t="e">
        <f t="shared" ref="BB135:BD135" si="624">SUM(AY135,AU135,AQ135)</f>
        <v>#VALUE!</v>
      </c>
      <c r="BC135" s="326">
        <f t="shared" si="624"/>
        <v>0</v>
      </c>
      <c r="BD135" s="333">
        <f t="shared" si="624"/>
        <v>0</v>
      </c>
      <c r="BE135" s="123" t="e">
        <f t="shared" si="585"/>
        <v>#VALUE!</v>
      </c>
      <c r="BF135" s="326">
        <f t="shared" si="586"/>
        <v>0</v>
      </c>
      <c r="BG135" s="435">
        <f t="shared" si="587"/>
        <v>0</v>
      </c>
      <c r="BH135" s="125">
        <f t="shared" si="607"/>
        <v>0</v>
      </c>
      <c r="BI135" s="1041" t="e">
        <f t="shared" si="588"/>
        <v>#VALUE!</v>
      </c>
      <c r="BJ135" s="123" t="str">
        <f t="shared" si="589"/>
        <v/>
      </c>
      <c r="BK135" s="326">
        <f t="shared" si="590"/>
        <v>0</v>
      </c>
      <c r="BL135" s="125">
        <f t="shared" si="608"/>
        <v>0</v>
      </c>
      <c r="BM135" s="113" t="e">
        <f t="shared" si="609"/>
        <v>#VALUE!</v>
      </c>
      <c r="BN135" s="116" t="str">
        <f>IFERROR(VLOOKUP(M135,VANEALIM,10,FALSE),"")</f>
        <v/>
      </c>
      <c r="BO135" s="115">
        <f>IFERROR(VLOOKUP(M135,LAVEFC,10,FALSE),"0")</f>
        <v>0</v>
      </c>
      <c r="BP135" s="123">
        <f t="shared" si="610"/>
        <v>27743.68</v>
      </c>
      <c r="BQ135" s="326" t="e">
        <f t="shared" si="611"/>
        <v>#VALUE!</v>
      </c>
      <c r="BR135" s="326" t="str">
        <f>IFERROR(VLOOKUP(M135,VANEALIM,11,FALSE),"")</f>
        <v/>
      </c>
      <c r="BS135" s="332">
        <f t="shared" si="543"/>
        <v>73328.600000000006</v>
      </c>
      <c r="BT135" s="140" t="e">
        <f t="shared" ref="BT135:BV135" si="625">SUM(BQ135,BM135,BI135)</f>
        <v>#VALUE!</v>
      </c>
      <c r="BU135" s="326">
        <f t="shared" si="625"/>
        <v>0</v>
      </c>
      <c r="BV135" s="333">
        <f t="shared" si="625"/>
        <v>73328.600000000006</v>
      </c>
      <c r="BW135" s="125">
        <f t="shared" si="613"/>
        <v>0</v>
      </c>
      <c r="BX135" s="140" t="e">
        <f t="shared" si="614"/>
        <v>#VALUE!</v>
      </c>
      <c r="BY135" s="123" t="str">
        <f>IFERROR(VLOOKUP(M135,VANEALIM,12,FALSE),"")</f>
        <v/>
      </c>
      <c r="BZ135" s="333">
        <f>IFERROR(VLOOKUP(M135,LAVEFC,12,FALSE),"")</f>
        <v>0</v>
      </c>
      <c r="CA135" s="123">
        <f t="shared" si="615"/>
        <v>83475.88</v>
      </c>
      <c r="CB135" s="326">
        <f t="shared" si="616"/>
        <v>0</v>
      </c>
      <c r="CF135" s="294"/>
      <c r="CG135" s="294"/>
      <c r="CH135" s="294"/>
      <c r="CI135" s="294"/>
      <c r="CJ135" s="294"/>
      <c r="CK135" s="294"/>
      <c r="CL135" s="294"/>
      <c r="CM135" s="294"/>
      <c r="CN135" s="294"/>
    </row>
    <row r="136" spans="1:92" ht="13">
      <c r="A136" s="323">
        <f>VLOOKUP(M136,LAVENIACART2,3,FALSE)</f>
        <v>112012554</v>
      </c>
      <c r="B136" s="324">
        <f t="shared" si="582"/>
        <v>1</v>
      </c>
      <c r="C136" s="558" t="str">
        <f t="shared" si="550"/>
        <v>Lista</v>
      </c>
      <c r="D136" s="558">
        <f t="shared" si="551"/>
        <v>0.09</v>
      </c>
      <c r="E136" s="715">
        <f t="shared" si="552"/>
        <v>0</v>
      </c>
      <c r="F136" s="636"/>
      <c r="G136" s="558"/>
      <c r="H136" s="558"/>
      <c r="I136" s="559"/>
      <c r="J136" s="1116"/>
      <c r="K136" s="558"/>
      <c r="L136" s="558"/>
      <c r="M136" s="968" t="s">
        <v>1515</v>
      </c>
      <c r="N136" s="326"/>
      <c r="O136" s="332"/>
      <c r="P136" s="113" t="e">
        <f t="shared" si="553"/>
        <v>#VALUE!</v>
      </c>
      <c r="Q136" s="116" t="str">
        <f t="shared" si="554"/>
        <v/>
      </c>
      <c r="R136" s="117">
        <f t="shared" si="555"/>
        <v>0</v>
      </c>
      <c r="S136" s="114"/>
      <c r="T136" s="116"/>
      <c r="U136" s="116">
        <f t="shared" si="556"/>
        <v>341030.18</v>
      </c>
      <c r="V136" s="116">
        <v>3000000</v>
      </c>
      <c r="W136" s="116" t="e">
        <f t="shared" si="557"/>
        <v>#VALUE!</v>
      </c>
      <c r="X136" s="116" t="str">
        <f t="shared" si="558"/>
        <v/>
      </c>
      <c r="Y136" s="116">
        <f t="shared" si="559"/>
        <v>0</v>
      </c>
      <c r="Z136" s="326"/>
      <c r="AA136" s="326"/>
      <c r="AB136" s="326">
        <f t="shared" si="560"/>
        <v>0</v>
      </c>
      <c r="AC136" s="332">
        <v>1800000</v>
      </c>
      <c r="AD136" s="140" t="e">
        <f t="shared" si="561"/>
        <v>#VALUE!</v>
      </c>
      <c r="AE136" s="326" t="str">
        <f t="shared" si="562"/>
        <v/>
      </c>
      <c r="AF136" s="333">
        <f t="shared" si="563"/>
        <v>0</v>
      </c>
      <c r="AG136" s="123"/>
      <c r="AH136" s="326"/>
      <c r="AI136" s="1257">
        <f t="shared" si="564"/>
        <v>4800000</v>
      </c>
      <c r="AJ136" s="140">
        <f t="shared" si="565"/>
        <v>262170</v>
      </c>
      <c r="AK136" s="123" t="e">
        <f t="shared" ref="AK136:AM136" si="626">AD136+W136+P136</f>
        <v>#VALUE!</v>
      </c>
      <c r="AL136" s="123" t="e">
        <f t="shared" si="626"/>
        <v>#VALUE!</v>
      </c>
      <c r="AM136" s="123">
        <f t="shared" si="626"/>
        <v>0</v>
      </c>
      <c r="AN136" s="123">
        <f t="shared" si="567"/>
        <v>-262170</v>
      </c>
      <c r="AO136" s="1317">
        <f t="shared" si="568"/>
        <v>-1</v>
      </c>
      <c r="AP136" s="434">
        <f t="shared" si="569"/>
        <v>0</v>
      </c>
      <c r="AQ136" s="1318" t="e">
        <f t="shared" si="570"/>
        <v>#VALUE!</v>
      </c>
      <c r="AR136" s="1319" t="str">
        <f t="shared" si="571"/>
        <v/>
      </c>
      <c r="AS136" s="1320">
        <f t="shared" si="572"/>
        <v>0</v>
      </c>
      <c r="AT136" s="125">
        <f t="shared" si="604"/>
        <v>0</v>
      </c>
      <c r="AU136" s="140" t="e">
        <f t="shared" si="574"/>
        <v>#VALUE!</v>
      </c>
      <c r="AV136" s="326" t="str">
        <f t="shared" si="575"/>
        <v/>
      </c>
      <c r="AW136" s="333">
        <f t="shared" si="576"/>
        <v>0</v>
      </c>
      <c r="AX136" s="125">
        <f t="shared" si="605"/>
        <v>0</v>
      </c>
      <c r="AY136" s="140" t="e">
        <f t="shared" si="578"/>
        <v>#VALUE!</v>
      </c>
      <c r="AZ136" s="326" t="str">
        <f t="shared" si="579"/>
        <v/>
      </c>
      <c r="BA136" s="332">
        <f t="shared" si="580"/>
        <v>0</v>
      </c>
      <c r="BB136" s="326" t="e">
        <f t="shared" ref="BB136:BD136" si="627">SUM(AY136,AU136,AQ136)</f>
        <v>#VALUE!</v>
      </c>
      <c r="BC136" s="326">
        <f t="shared" si="627"/>
        <v>0</v>
      </c>
      <c r="BD136" s="326">
        <f t="shared" si="627"/>
        <v>0</v>
      </c>
      <c r="BE136" s="326" t="e">
        <f t="shared" si="585"/>
        <v>#VALUE!</v>
      </c>
      <c r="BF136" s="326">
        <f t="shared" si="586"/>
        <v>0</v>
      </c>
      <c r="BG136" s="326">
        <f t="shared" si="587"/>
        <v>0</v>
      </c>
      <c r="BH136" s="125">
        <f t="shared" si="607"/>
        <v>0</v>
      </c>
      <c r="BI136" s="326" t="e">
        <f t="shared" si="588"/>
        <v>#VALUE!</v>
      </c>
      <c r="BJ136" s="326" t="str">
        <f t="shared" si="589"/>
        <v/>
      </c>
      <c r="BK136" s="326">
        <f t="shared" si="590"/>
        <v>0</v>
      </c>
      <c r="BL136" s="332">
        <f t="shared" si="608"/>
        <v>0</v>
      </c>
      <c r="BM136" s="140"/>
      <c r="BN136" s="326"/>
      <c r="BO136" s="333"/>
      <c r="BP136" s="123">
        <f t="shared" si="610"/>
        <v>161820</v>
      </c>
      <c r="BQ136" s="326"/>
      <c r="BR136" s="326"/>
      <c r="BS136" s="983">
        <f t="shared" si="543"/>
        <v>216292.5</v>
      </c>
      <c r="BT136" s="140"/>
      <c r="BU136" s="326"/>
      <c r="BV136" s="333"/>
      <c r="BW136" s="125">
        <f t="shared" si="613"/>
        <v>262170</v>
      </c>
      <c r="BX136" s="140"/>
      <c r="BY136" s="326"/>
      <c r="BZ136" s="333"/>
      <c r="CA136" s="123">
        <f t="shared" si="615"/>
        <v>0</v>
      </c>
      <c r="CB136" s="326">
        <f t="shared" si="616"/>
        <v>0</v>
      </c>
      <c r="CF136" s="294"/>
      <c r="CG136" s="294"/>
      <c r="CH136" s="294"/>
      <c r="CI136" s="294"/>
      <c r="CJ136" s="294"/>
      <c r="CK136" s="294"/>
      <c r="CL136" s="294"/>
      <c r="CM136" s="294"/>
      <c r="CN136" s="294"/>
    </row>
    <row r="137" spans="1:92" ht="13">
      <c r="A137" s="323" t="e">
        <f>VLOOKUP(M137,LAVENIACART2,3,FALSE)</f>
        <v>#N/A</v>
      </c>
      <c r="B137" s="324">
        <f t="shared" si="582"/>
        <v>1</v>
      </c>
      <c r="C137" s="558" t="str">
        <f t="shared" si="550"/>
        <v>Lista</v>
      </c>
      <c r="D137" s="558">
        <f t="shared" si="551"/>
        <v>0.09</v>
      </c>
      <c r="E137" s="715">
        <f t="shared" si="552"/>
        <v>0</v>
      </c>
      <c r="F137" s="636"/>
      <c r="G137" s="558"/>
      <c r="H137" s="558"/>
      <c r="I137" s="559"/>
      <c r="J137" s="1116"/>
      <c r="K137" s="558"/>
      <c r="L137" s="558"/>
      <c r="M137" s="968" t="s">
        <v>1516</v>
      </c>
      <c r="N137" s="326"/>
      <c r="O137" s="332"/>
      <c r="P137" s="113" t="e">
        <f t="shared" si="553"/>
        <v>#VALUE!</v>
      </c>
      <c r="Q137" s="116" t="str">
        <f t="shared" si="554"/>
        <v/>
      </c>
      <c r="R137" s="117" t="str">
        <f t="shared" si="555"/>
        <v>0</v>
      </c>
      <c r="S137" s="114"/>
      <c r="T137" s="116"/>
      <c r="U137" s="116">
        <f t="shared" si="556"/>
        <v>0</v>
      </c>
      <c r="V137" s="116">
        <v>3000000</v>
      </c>
      <c r="W137" s="116" t="e">
        <f t="shared" si="557"/>
        <v>#VALUE!</v>
      </c>
      <c r="X137" s="116" t="str">
        <f t="shared" si="558"/>
        <v/>
      </c>
      <c r="Y137" s="116" t="str">
        <f t="shared" si="559"/>
        <v>0</v>
      </c>
      <c r="Z137" s="326"/>
      <c r="AA137" s="326"/>
      <c r="AB137" s="326">
        <f t="shared" si="560"/>
        <v>466661.52</v>
      </c>
      <c r="AC137" s="332">
        <v>1800000</v>
      </c>
      <c r="AD137" s="140" t="e">
        <f t="shared" si="561"/>
        <v>#VALUE!</v>
      </c>
      <c r="AE137" s="326" t="str">
        <f t="shared" si="562"/>
        <v/>
      </c>
      <c r="AF137" s="333" t="str">
        <f t="shared" si="563"/>
        <v>0</v>
      </c>
      <c r="AG137" s="123"/>
      <c r="AH137" s="326"/>
      <c r="AI137" s="1257">
        <f t="shared" si="564"/>
        <v>4800000</v>
      </c>
      <c r="AJ137" s="140">
        <f t="shared" si="565"/>
        <v>159976.09</v>
      </c>
      <c r="AK137" s="123" t="e">
        <f t="shared" ref="AK137:AM137" si="628">AD137+W137+P137</f>
        <v>#VALUE!</v>
      </c>
      <c r="AL137" s="123" t="e">
        <f t="shared" si="628"/>
        <v>#VALUE!</v>
      </c>
      <c r="AM137" s="123">
        <f t="shared" si="628"/>
        <v>0</v>
      </c>
      <c r="AN137" s="123">
        <f t="shared" si="567"/>
        <v>-159976.09</v>
      </c>
      <c r="AO137" s="1317">
        <f t="shared" si="568"/>
        <v>-1</v>
      </c>
      <c r="AP137" s="434">
        <f t="shared" si="569"/>
        <v>0</v>
      </c>
      <c r="AQ137" s="1318" t="e">
        <f t="shared" si="570"/>
        <v>#VALUE!</v>
      </c>
      <c r="AR137" s="1319" t="str">
        <f t="shared" si="571"/>
        <v/>
      </c>
      <c r="AS137" s="1320" t="str">
        <f t="shared" si="572"/>
        <v>0</v>
      </c>
      <c r="AT137" s="125">
        <f t="shared" si="604"/>
        <v>0</v>
      </c>
      <c r="AU137" s="140" t="e">
        <f t="shared" si="574"/>
        <v>#VALUE!</v>
      </c>
      <c r="AV137" s="326" t="str">
        <f t="shared" si="575"/>
        <v/>
      </c>
      <c r="AW137" s="333" t="str">
        <f t="shared" si="576"/>
        <v>0</v>
      </c>
      <c r="AX137" s="125">
        <f t="shared" si="605"/>
        <v>0</v>
      </c>
      <c r="AY137" s="140" t="e">
        <f t="shared" si="578"/>
        <v>#VALUE!</v>
      </c>
      <c r="AZ137" s="326" t="str">
        <f t="shared" si="579"/>
        <v/>
      </c>
      <c r="BA137" s="332" t="str">
        <f t="shared" si="580"/>
        <v>0</v>
      </c>
      <c r="BB137" s="326" t="e">
        <f t="shared" ref="BB137:BD137" si="629">SUM(AY137,AU137,AQ137)</f>
        <v>#VALUE!</v>
      </c>
      <c r="BC137" s="326">
        <f t="shared" si="629"/>
        <v>0</v>
      </c>
      <c r="BD137" s="326">
        <f t="shared" si="629"/>
        <v>0</v>
      </c>
      <c r="BE137" s="326" t="e">
        <f t="shared" si="585"/>
        <v>#VALUE!</v>
      </c>
      <c r="BF137" s="326">
        <f t="shared" si="586"/>
        <v>0</v>
      </c>
      <c r="BG137" s="326">
        <f t="shared" si="587"/>
        <v>0</v>
      </c>
      <c r="BH137" s="125">
        <f t="shared" si="607"/>
        <v>0</v>
      </c>
      <c r="BI137" s="326" t="e">
        <f t="shared" si="588"/>
        <v>#VALUE!</v>
      </c>
      <c r="BJ137" s="326" t="str">
        <f t="shared" si="589"/>
        <v/>
      </c>
      <c r="BK137" s="326" t="str">
        <f t="shared" si="590"/>
        <v>0</v>
      </c>
      <c r="BL137" s="332">
        <f t="shared" si="608"/>
        <v>0</v>
      </c>
      <c r="BM137" s="140"/>
      <c r="BN137" s="326"/>
      <c r="BO137" s="333"/>
      <c r="BP137" s="123">
        <f t="shared" si="610"/>
        <v>0</v>
      </c>
      <c r="BQ137" s="326"/>
      <c r="BR137" s="326"/>
      <c r="BS137" s="983" t="str">
        <f t="shared" si="543"/>
        <v/>
      </c>
      <c r="BT137" s="140"/>
      <c r="BU137" s="326"/>
      <c r="BV137" s="333"/>
      <c r="BW137" s="125">
        <f t="shared" si="613"/>
        <v>159976.09</v>
      </c>
      <c r="BX137" s="140"/>
      <c r="BY137" s="326"/>
      <c r="BZ137" s="333"/>
      <c r="CA137" s="123">
        <f t="shared" si="615"/>
        <v>0</v>
      </c>
      <c r="CB137" s="326">
        <f t="shared" si="616"/>
        <v>0</v>
      </c>
      <c r="CF137" s="294"/>
      <c r="CG137" s="294"/>
      <c r="CH137" s="294"/>
      <c r="CI137" s="294"/>
      <c r="CJ137" s="294"/>
      <c r="CK137" s="294"/>
      <c r="CL137" s="294"/>
      <c r="CM137" s="294"/>
      <c r="CN137" s="294"/>
    </row>
    <row r="138" spans="1:92" ht="13">
      <c r="A138" s="323" t="e">
        <f>VLOOKUP(M138,LAVENIACART2,3,FALSE)</f>
        <v>#N/A</v>
      </c>
      <c r="B138" s="324">
        <f t="shared" si="582"/>
        <v>1</v>
      </c>
      <c r="C138" s="558" t="str">
        <f t="shared" si="550"/>
        <v>Lista</v>
      </c>
      <c r="D138" s="558">
        <f t="shared" si="551"/>
        <v>0.09</v>
      </c>
      <c r="E138" s="715">
        <f t="shared" si="552"/>
        <v>0</v>
      </c>
      <c r="F138" s="636"/>
      <c r="G138" s="558"/>
      <c r="H138" s="558"/>
      <c r="I138" s="559"/>
      <c r="J138" s="1116"/>
      <c r="K138" s="558"/>
      <c r="L138" s="558"/>
      <c r="M138" s="968" t="s">
        <v>1517</v>
      </c>
      <c r="N138" s="326"/>
      <c r="O138" s="332"/>
      <c r="P138" s="113">
        <f t="shared" si="553"/>
        <v>0</v>
      </c>
      <c r="Q138" s="116">
        <f t="shared" si="554"/>
        <v>0</v>
      </c>
      <c r="R138" s="117">
        <f t="shared" si="555"/>
        <v>0</v>
      </c>
      <c r="S138" s="114"/>
      <c r="T138" s="116"/>
      <c r="U138" s="116">
        <f t="shared" si="556"/>
        <v>41765.050000000003</v>
      </c>
      <c r="V138" s="116">
        <v>3000000</v>
      </c>
      <c r="W138" s="116">
        <f t="shared" si="557"/>
        <v>0</v>
      </c>
      <c r="X138" s="116">
        <f t="shared" si="558"/>
        <v>72303.7</v>
      </c>
      <c r="Y138" s="116">
        <f t="shared" si="559"/>
        <v>72303.7</v>
      </c>
      <c r="Z138" s="326"/>
      <c r="AA138" s="326"/>
      <c r="AB138" s="326">
        <f t="shared" si="560"/>
        <v>0</v>
      </c>
      <c r="AC138" s="332">
        <v>1800000</v>
      </c>
      <c r="AD138" s="140">
        <f t="shared" si="561"/>
        <v>0</v>
      </c>
      <c r="AE138" s="326">
        <f t="shared" si="562"/>
        <v>0</v>
      </c>
      <c r="AF138" s="333">
        <f t="shared" si="563"/>
        <v>0</v>
      </c>
      <c r="AG138" s="123"/>
      <c r="AH138" s="326"/>
      <c r="AI138" s="1257">
        <f t="shared" si="564"/>
        <v>4800000</v>
      </c>
      <c r="AJ138" s="140">
        <f t="shared" si="565"/>
        <v>260565.02</v>
      </c>
      <c r="AK138" s="123">
        <f t="shared" ref="AK138:AM138" si="630">AD138+W138+P138</f>
        <v>0</v>
      </c>
      <c r="AL138" s="123">
        <f t="shared" si="630"/>
        <v>72303.7</v>
      </c>
      <c r="AM138" s="123">
        <f t="shared" si="630"/>
        <v>72303.7</v>
      </c>
      <c r="AN138" s="123">
        <f t="shared" si="567"/>
        <v>-188261.32</v>
      </c>
      <c r="AO138" s="1317">
        <f t="shared" si="568"/>
        <v>-0.72251187054962329</v>
      </c>
      <c r="AP138" s="434">
        <f t="shared" si="569"/>
        <v>92401.16</v>
      </c>
      <c r="AQ138" s="1318">
        <f t="shared" si="570"/>
        <v>16535.799999999996</v>
      </c>
      <c r="AR138" s="1319">
        <f t="shared" si="571"/>
        <v>38682.480000000003</v>
      </c>
      <c r="AS138" s="1320">
        <f t="shared" si="572"/>
        <v>55218.28</v>
      </c>
      <c r="AT138" s="125">
        <f t="shared" si="604"/>
        <v>0</v>
      </c>
      <c r="AU138" s="140">
        <f t="shared" si="574"/>
        <v>0</v>
      </c>
      <c r="AV138" s="326">
        <f t="shared" si="575"/>
        <v>0</v>
      </c>
      <c r="AW138" s="333">
        <f t="shared" si="576"/>
        <v>0</v>
      </c>
      <c r="AX138" s="125">
        <f t="shared" si="605"/>
        <v>0</v>
      </c>
      <c r="AY138" s="140">
        <f t="shared" si="578"/>
        <v>0</v>
      </c>
      <c r="AZ138" s="326">
        <f t="shared" si="579"/>
        <v>0</v>
      </c>
      <c r="BA138" s="332">
        <f t="shared" si="580"/>
        <v>0</v>
      </c>
      <c r="BB138" s="326">
        <f t="shared" ref="BB138:BD138" si="631">SUM(AY138,AU138,AQ138)</f>
        <v>16535.799999999996</v>
      </c>
      <c r="BC138" s="326">
        <f t="shared" si="631"/>
        <v>38682.480000000003</v>
      </c>
      <c r="BD138" s="326">
        <f t="shared" si="631"/>
        <v>55218.28</v>
      </c>
      <c r="BE138" s="326">
        <f t="shared" si="585"/>
        <v>16535.799999999996</v>
      </c>
      <c r="BF138" s="326">
        <f t="shared" si="586"/>
        <v>38682.480000000003</v>
      </c>
      <c r="BG138" s="326">
        <f t="shared" si="587"/>
        <v>127521.98</v>
      </c>
      <c r="BH138" s="125">
        <f t="shared" si="607"/>
        <v>58692</v>
      </c>
      <c r="BI138" s="326">
        <f t="shared" si="588"/>
        <v>0</v>
      </c>
      <c r="BJ138" s="326">
        <f t="shared" si="589"/>
        <v>40616.6</v>
      </c>
      <c r="BK138" s="326">
        <f t="shared" si="590"/>
        <v>40616.6</v>
      </c>
      <c r="BL138" s="332">
        <f t="shared" si="608"/>
        <v>0</v>
      </c>
      <c r="BM138" s="140"/>
      <c r="BN138" s="326"/>
      <c r="BO138" s="333"/>
      <c r="BP138" s="123">
        <f t="shared" si="610"/>
        <v>80634.95</v>
      </c>
      <c r="BQ138" s="326"/>
      <c r="BR138" s="326"/>
      <c r="BS138" s="983">
        <f t="shared" si="543"/>
        <v>0</v>
      </c>
      <c r="BT138" s="140"/>
      <c r="BU138" s="326"/>
      <c r="BV138" s="333"/>
      <c r="BW138" s="125">
        <f t="shared" si="613"/>
        <v>175050</v>
      </c>
      <c r="BX138" s="140"/>
      <c r="BY138" s="326"/>
      <c r="BZ138" s="333"/>
      <c r="CA138" s="123">
        <f t="shared" si="615"/>
        <v>0</v>
      </c>
      <c r="CB138" s="326">
        <f t="shared" si="616"/>
        <v>85515.02</v>
      </c>
      <c r="CF138" s="294"/>
      <c r="CG138" s="294"/>
      <c r="CH138" s="294"/>
      <c r="CI138" s="294"/>
      <c r="CJ138" s="294"/>
      <c r="CK138" s="294"/>
      <c r="CL138" s="294"/>
      <c r="CM138" s="294"/>
      <c r="CN138" s="294"/>
    </row>
    <row r="139" spans="1:92" ht="13">
      <c r="A139" s="422" t="e">
        <f t="shared" ref="A139:A150" si="632">VLOOKUP(M139,LAVENIACARTERA,3,FALSE)</f>
        <v>#N/A</v>
      </c>
      <c r="B139" s="172">
        <v>1</v>
      </c>
      <c r="C139" s="558" t="str">
        <f t="shared" si="550"/>
        <v>Lista</v>
      </c>
      <c r="D139" s="558">
        <f t="shared" si="551"/>
        <v>0.09</v>
      </c>
      <c r="E139" s="715">
        <f t="shared" si="552"/>
        <v>0</v>
      </c>
      <c r="F139" s="636"/>
      <c r="G139" s="558"/>
      <c r="H139" s="558"/>
      <c r="I139" s="559"/>
      <c r="J139" s="1116"/>
      <c r="K139" s="558"/>
      <c r="L139" s="558"/>
      <c r="M139" s="968" t="s">
        <v>1518</v>
      </c>
      <c r="N139" s="326" t="str">
        <f t="shared" ref="N139:N150" si="633">IFERROR(VLOOKUP(M139,tmkpechhhh24,3,FALSE),"")</f>
        <v/>
      </c>
      <c r="O139" s="326" t="e">
        <f t="shared" ref="O139:O140" si="634">(N139*1.601)*1.05</f>
        <v>#VALUE!</v>
      </c>
      <c r="P139" s="326" t="e">
        <f t="shared" si="553"/>
        <v>#VALUE!</v>
      </c>
      <c r="Q139" s="326" t="str">
        <f t="shared" si="554"/>
        <v/>
      </c>
      <c r="R139" s="326" t="str">
        <f t="shared" si="555"/>
        <v>0</v>
      </c>
      <c r="S139" s="326"/>
      <c r="T139" s="326"/>
      <c r="U139" s="326" t="str">
        <f t="shared" si="556"/>
        <v/>
      </c>
      <c r="V139" s="326">
        <v>3000000</v>
      </c>
      <c r="W139" s="326" t="e">
        <f t="shared" si="557"/>
        <v>#VALUE!</v>
      </c>
      <c r="X139" s="326" t="str">
        <f t="shared" si="558"/>
        <v/>
      </c>
      <c r="Y139" s="326" t="str">
        <f t="shared" si="559"/>
        <v>0</v>
      </c>
      <c r="Z139" s="326"/>
      <c r="AA139" s="326"/>
      <c r="AB139" s="326" t="str">
        <f t="shared" si="560"/>
        <v/>
      </c>
      <c r="AC139" s="326">
        <v>1800000</v>
      </c>
      <c r="AD139" s="326" t="e">
        <f t="shared" si="561"/>
        <v>#VALUE!</v>
      </c>
      <c r="AE139" s="326" t="str">
        <f t="shared" si="562"/>
        <v/>
      </c>
      <c r="AF139" s="326" t="str">
        <f t="shared" si="563"/>
        <v>0</v>
      </c>
      <c r="AG139" s="326"/>
      <c r="AH139" s="326"/>
      <c r="AI139" s="969" t="e">
        <f t="shared" si="564"/>
        <v>#VALUE!</v>
      </c>
      <c r="AJ139" s="326" t="str">
        <f t="shared" si="565"/>
        <v>0</v>
      </c>
      <c r="AK139" s="326" t="e">
        <f t="shared" ref="AK139:AM139" si="635">AD139+W139+P139</f>
        <v>#VALUE!</v>
      </c>
      <c r="AL139" s="326" t="e">
        <f t="shared" si="635"/>
        <v>#VALUE!</v>
      </c>
      <c r="AM139" s="326">
        <f t="shared" si="635"/>
        <v>0</v>
      </c>
      <c r="AN139" s="326">
        <f t="shared" si="567"/>
        <v>0</v>
      </c>
      <c r="AO139" s="970" t="str">
        <f t="shared" si="568"/>
        <v/>
      </c>
      <c r="AP139" s="325" t="str">
        <f t="shared" si="569"/>
        <v/>
      </c>
      <c r="AQ139" s="1355" t="e">
        <f t="shared" si="570"/>
        <v>#VALUE!</v>
      </c>
      <c r="AR139" s="1355" t="str">
        <f t="shared" si="571"/>
        <v/>
      </c>
      <c r="AS139" s="1355" t="str">
        <f t="shared" si="572"/>
        <v>0</v>
      </c>
      <c r="AT139" s="325" t="str">
        <f t="shared" si="604"/>
        <v/>
      </c>
      <c r="AU139" s="325" t="e">
        <f t="shared" si="574"/>
        <v>#VALUE!</v>
      </c>
      <c r="AV139" s="325" t="str">
        <f t="shared" si="575"/>
        <v/>
      </c>
      <c r="AW139" s="325" t="str">
        <f t="shared" si="576"/>
        <v>0</v>
      </c>
      <c r="AX139" s="325" t="str">
        <f t="shared" si="605"/>
        <v/>
      </c>
      <c r="AY139" s="326" t="e">
        <f t="shared" si="578"/>
        <v>#VALUE!</v>
      </c>
      <c r="AZ139" s="326" t="str">
        <f t="shared" si="579"/>
        <v/>
      </c>
      <c r="BA139" s="436" t="str">
        <f t="shared" si="580"/>
        <v>0</v>
      </c>
      <c r="BB139" s="325"/>
      <c r="BC139" s="325"/>
      <c r="BD139" s="325"/>
      <c r="BE139" s="325"/>
      <c r="BF139" s="325"/>
      <c r="BG139" s="325"/>
      <c r="BH139" s="423" t="str">
        <f t="shared" si="607"/>
        <v/>
      </c>
      <c r="BI139" s="325"/>
      <c r="BJ139" s="325"/>
      <c r="BK139" s="325"/>
      <c r="BL139" s="436" t="str">
        <f t="shared" si="608"/>
        <v/>
      </c>
      <c r="BM139" s="323"/>
      <c r="BN139" s="325"/>
      <c r="BO139" s="424"/>
      <c r="BP139" s="423" t="str">
        <f t="shared" si="610"/>
        <v/>
      </c>
      <c r="BQ139" s="325"/>
      <c r="BR139" s="325"/>
      <c r="BS139" s="983" t="str">
        <f t="shared" si="543"/>
        <v/>
      </c>
      <c r="BT139" s="323"/>
      <c r="BU139" s="325"/>
      <c r="BV139" s="424"/>
      <c r="BW139" s="434" t="str">
        <f t="shared" si="613"/>
        <v/>
      </c>
      <c r="BX139" s="323"/>
      <c r="BY139" s="325"/>
      <c r="BZ139" s="424"/>
      <c r="CA139" s="423" t="str">
        <f t="shared" si="615"/>
        <v/>
      </c>
      <c r="CB139" s="325" t="str">
        <f t="shared" si="616"/>
        <v/>
      </c>
      <c r="CF139" s="294"/>
      <c r="CG139" s="294"/>
      <c r="CH139" s="294"/>
      <c r="CI139" s="294"/>
      <c r="CJ139" s="294"/>
      <c r="CK139" s="294"/>
      <c r="CL139" s="294"/>
      <c r="CM139" s="294"/>
      <c r="CN139" s="294"/>
    </row>
    <row r="140" spans="1:92" ht="13">
      <c r="A140" s="422" t="e">
        <f t="shared" si="632"/>
        <v>#N/A</v>
      </c>
      <c r="B140" s="172"/>
      <c r="C140" s="558" t="str">
        <f t="shared" si="550"/>
        <v/>
      </c>
      <c r="D140" s="558" t="str">
        <f t="shared" si="551"/>
        <v/>
      </c>
      <c r="E140" s="715" t="str">
        <f t="shared" si="552"/>
        <v/>
      </c>
      <c r="F140" s="636"/>
      <c r="G140" s="558"/>
      <c r="H140" s="558"/>
      <c r="I140" s="559"/>
      <c r="J140" s="1116"/>
      <c r="K140" s="558"/>
      <c r="L140" s="558"/>
      <c r="M140" s="968" t="s">
        <v>1519</v>
      </c>
      <c r="N140" s="326" t="str">
        <f t="shared" si="633"/>
        <v/>
      </c>
      <c r="O140" s="326" t="e">
        <f t="shared" si="634"/>
        <v>#VALUE!</v>
      </c>
      <c r="P140" s="326" t="e">
        <f t="shared" si="553"/>
        <v>#VALUE!</v>
      </c>
      <c r="Q140" s="326" t="str">
        <f t="shared" si="554"/>
        <v/>
      </c>
      <c r="R140" s="326" t="str">
        <f t="shared" si="555"/>
        <v>0</v>
      </c>
      <c r="S140" s="326"/>
      <c r="T140" s="326"/>
      <c r="U140" s="326" t="str">
        <f t="shared" si="556"/>
        <v/>
      </c>
      <c r="V140" s="326">
        <v>3000000</v>
      </c>
      <c r="W140" s="326" t="e">
        <f t="shared" si="557"/>
        <v>#VALUE!</v>
      </c>
      <c r="X140" s="326" t="str">
        <f t="shared" si="558"/>
        <v/>
      </c>
      <c r="Y140" s="326" t="str">
        <f t="shared" si="559"/>
        <v>0</v>
      </c>
      <c r="Z140" s="326"/>
      <c r="AA140" s="326"/>
      <c r="AB140" s="326" t="str">
        <f t="shared" si="560"/>
        <v/>
      </c>
      <c r="AC140" s="326">
        <v>1800000</v>
      </c>
      <c r="AD140" s="326" t="e">
        <f t="shared" si="561"/>
        <v>#VALUE!</v>
      </c>
      <c r="AE140" s="326" t="str">
        <f t="shared" si="562"/>
        <v/>
      </c>
      <c r="AF140" s="326" t="str">
        <f t="shared" si="563"/>
        <v>0</v>
      </c>
      <c r="AG140" s="326"/>
      <c r="AH140" s="326"/>
      <c r="AI140" s="969" t="e">
        <f t="shared" si="564"/>
        <v>#VALUE!</v>
      </c>
      <c r="AJ140" s="326" t="str">
        <f t="shared" si="565"/>
        <v>0</v>
      </c>
      <c r="AK140" s="326" t="e">
        <f t="shared" ref="AK140:AM140" si="636">AD140+W140+P140</f>
        <v>#VALUE!</v>
      </c>
      <c r="AL140" s="326" t="e">
        <f t="shared" si="636"/>
        <v>#VALUE!</v>
      </c>
      <c r="AM140" s="326">
        <f t="shared" si="636"/>
        <v>0</v>
      </c>
      <c r="AN140" s="326">
        <f t="shared" si="567"/>
        <v>0</v>
      </c>
      <c r="AO140" s="970" t="str">
        <f t="shared" si="568"/>
        <v/>
      </c>
      <c r="AP140" s="325" t="str">
        <f t="shared" si="569"/>
        <v/>
      </c>
      <c r="AQ140" s="1355" t="e">
        <f t="shared" si="570"/>
        <v>#VALUE!</v>
      </c>
      <c r="AR140" s="1355" t="str">
        <f t="shared" si="571"/>
        <v/>
      </c>
      <c r="AS140" s="1355" t="str">
        <f t="shared" si="572"/>
        <v>0</v>
      </c>
      <c r="AT140" s="325" t="str">
        <f t="shared" si="604"/>
        <v/>
      </c>
      <c r="AU140" s="325" t="e">
        <f t="shared" si="574"/>
        <v>#VALUE!</v>
      </c>
      <c r="AV140" s="325" t="str">
        <f t="shared" si="575"/>
        <v/>
      </c>
      <c r="AW140" s="325" t="str">
        <f t="shared" si="576"/>
        <v>0</v>
      </c>
      <c r="AX140" s="325" t="str">
        <f t="shared" si="605"/>
        <v/>
      </c>
      <c r="AY140" s="326" t="e">
        <f t="shared" si="578"/>
        <v>#VALUE!</v>
      </c>
      <c r="AZ140" s="326" t="str">
        <f t="shared" si="579"/>
        <v/>
      </c>
      <c r="BA140" s="436" t="str">
        <f t="shared" si="580"/>
        <v>0</v>
      </c>
      <c r="BB140" s="325"/>
      <c r="BC140" s="325"/>
      <c r="BD140" s="325"/>
      <c r="BE140" s="325"/>
      <c r="BF140" s="325"/>
      <c r="BG140" s="325"/>
      <c r="BH140" s="423" t="str">
        <f t="shared" si="607"/>
        <v/>
      </c>
      <c r="BI140" s="325"/>
      <c r="BJ140" s="325"/>
      <c r="BK140" s="325"/>
      <c r="BL140" s="436" t="str">
        <f t="shared" si="608"/>
        <v/>
      </c>
      <c r="BM140" s="323"/>
      <c r="BN140" s="325"/>
      <c r="BO140" s="424"/>
      <c r="BP140" s="423" t="str">
        <f t="shared" si="610"/>
        <v/>
      </c>
      <c r="BQ140" s="325"/>
      <c r="BR140" s="325"/>
      <c r="BS140" s="983" t="str">
        <f t="shared" si="543"/>
        <v/>
      </c>
      <c r="BT140" s="323"/>
      <c r="BU140" s="325"/>
      <c r="BV140" s="424"/>
      <c r="BW140" s="434" t="str">
        <f t="shared" si="613"/>
        <v/>
      </c>
      <c r="BX140" s="323"/>
      <c r="BY140" s="325"/>
      <c r="BZ140" s="424"/>
      <c r="CA140" s="423" t="str">
        <f t="shared" si="615"/>
        <v/>
      </c>
      <c r="CB140" s="325" t="str">
        <f t="shared" si="616"/>
        <v/>
      </c>
      <c r="CF140" s="294"/>
      <c r="CG140" s="294"/>
      <c r="CH140" s="294"/>
      <c r="CI140" s="294"/>
      <c r="CJ140" s="294"/>
      <c r="CK140" s="294"/>
      <c r="CL140" s="294"/>
      <c r="CM140" s="294"/>
      <c r="CN140" s="294"/>
    </row>
    <row r="141" spans="1:92" ht="13">
      <c r="A141" s="422" t="e">
        <f t="shared" si="632"/>
        <v>#N/A</v>
      </c>
      <c r="B141" s="172" t="e">
        <f t="shared" ref="B141:B150" si="637">VLOOKUP(M141,LAVENIACARTERA,2,FALSE)</f>
        <v>#N/A</v>
      </c>
      <c r="C141" s="558" t="str">
        <f t="shared" si="550"/>
        <v/>
      </c>
      <c r="D141" s="558" t="str">
        <f t="shared" si="551"/>
        <v/>
      </c>
      <c r="E141" s="715" t="str">
        <f t="shared" si="552"/>
        <v/>
      </c>
      <c r="F141" s="636"/>
      <c r="G141" s="558"/>
      <c r="H141" s="558"/>
      <c r="I141" s="559"/>
      <c r="J141" s="1116"/>
      <c r="K141" s="558"/>
      <c r="L141" s="558"/>
      <c r="M141" s="968" t="s">
        <v>71</v>
      </c>
      <c r="N141" s="326" t="str">
        <f t="shared" si="633"/>
        <v/>
      </c>
      <c r="O141" s="326">
        <v>3000000</v>
      </c>
      <c r="P141" s="326" t="e">
        <f t="shared" si="553"/>
        <v>#VALUE!</v>
      </c>
      <c r="Q141" s="326" t="str">
        <f t="shared" si="554"/>
        <v/>
      </c>
      <c r="R141" s="326" t="str">
        <f t="shared" si="555"/>
        <v>0</v>
      </c>
      <c r="S141" s="326"/>
      <c r="T141" s="326"/>
      <c r="U141" s="326" t="str">
        <f t="shared" si="556"/>
        <v/>
      </c>
      <c r="V141" s="326">
        <v>3000000</v>
      </c>
      <c r="W141" s="326" t="e">
        <f t="shared" si="557"/>
        <v>#VALUE!</v>
      </c>
      <c r="X141" s="326" t="str">
        <f t="shared" si="558"/>
        <v/>
      </c>
      <c r="Y141" s="326" t="str">
        <f t="shared" si="559"/>
        <v>0</v>
      </c>
      <c r="Z141" s="326"/>
      <c r="AA141" s="326"/>
      <c r="AB141" s="326" t="str">
        <f t="shared" si="560"/>
        <v/>
      </c>
      <c r="AC141" s="326">
        <v>1800000</v>
      </c>
      <c r="AD141" s="326" t="e">
        <f t="shared" si="561"/>
        <v>#VALUE!</v>
      </c>
      <c r="AE141" s="326" t="str">
        <f t="shared" si="562"/>
        <v/>
      </c>
      <c r="AF141" s="326" t="str">
        <f t="shared" si="563"/>
        <v>0</v>
      </c>
      <c r="AG141" s="326"/>
      <c r="AH141" s="326"/>
      <c r="AI141" s="969">
        <f t="shared" si="564"/>
        <v>7800000</v>
      </c>
      <c r="AJ141" s="326" t="str">
        <f t="shared" si="565"/>
        <v>0</v>
      </c>
      <c r="AK141" s="326" t="e">
        <f t="shared" ref="AK141:AM141" si="638">AD141+W141+P141</f>
        <v>#VALUE!</v>
      </c>
      <c r="AL141" s="326" t="e">
        <f t="shared" si="638"/>
        <v>#VALUE!</v>
      </c>
      <c r="AM141" s="326">
        <f t="shared" si="638"/>
        <v>0</v>
      </c>
      <c r="AN141" s="326">
        <f t="shared" si="567"/>
        <v>0</v>
      </c>
      <c r="AO141" s="970" t="str">
        <f t="shared" si="568"/>
        <v/>
      </c>
      <c r="AP141" s="325" t="str">
        <f t="shared" si="569"/>
        <v/>
      </c>
      <c r="AQ141" s="1355" t="e">
        <f t="shared" si="570"/>
        <v>#VALUE!</v>
      </c>
      <c r="AR141" s="1355" t="str">
        <f t="shared" si="571"/>
        <v/>
      </c>
      <c r="AS141" s="1355" t="str">
        <f t="shared" si="572"/>
        <v>0</v>
      </c>
      <c r="AT141" s="325" t="str">
        <f t="shared" si="604"/>
        <v/>
      </c>
      <c r="AU141" s="325" t="e">
        <f t="shared" si="574"/>
        <v>#VALUE!</v>
      </c>
      <c r="AV141" s="325" t="str">
        <f t="shared" si="575"/>
        <v/>
      </c>
      <c r="AW141" s="325" t="str">
        <f t="shared" si="576"/>
        <v>0</v>
      </c>
      <c r="AX141" s="325" t="str">
        <f t="shared" si="605"/>
        <v/>
      </c>
      <c r="AY141" s="326" t="e">
        <f t="shared" si="578"/>
        <v>#VALUE!</v>
      </c>
      <c r="AZ141" s="326" t="str">
        <f t="shared" si="579"/>
        <v/>
      </c>
      <c r="BA141" s="436" t="str">
        <f t="shared" si="580"/>
        <v>0</v>
      </c>
      <c r="BB141" s="325"/>
      <c r="BC141" s="325"/>
      <c r="BD141" s="325"/>
      <c r="BE141" s="325"/>
      <c r="BF141" s="325"/>
      <c r="BG141" s="325"/>
      <c r="BH141" s="423" t="str">
        <f t="shared" si="607"/>
        <v/>
      </c>
      <c r="BI141" s="325"/>
      <c r="BJ141" s="325"/>
      <c r="BK141" s="325"/>
      <c r="BL141" s="436" t="str">
        <f t="shared" si="608"/>
        <v/>
      </c>
      <c r="BM141" s="323"/>
      <c r="BN141" s="325"/>
      <c r="BO141" s="424"/>
      <c r="BP141" s="423" t="str">
        <f t="shared" si="610"/>
        <v/>
      </c>
      <c r="BQ141" s="325"/>
      <c r="BR141" s="325"/>
      <c r="BS141" s="983" t="str">
        <f t="shared" si="543"/>
        <v/>
      </c>
      <c r="BT141" s="323"/>
      <c r="BU141" s="325"/>
      <c r="BV141" s="424"/>
      <c r="BW141" s="434" t="str">
        <f t="shared" si="613"/>
        <v/>
      </c>
      <c r="BX141" s="323"/>
      <c r="BY141" s="325"/>
      <c r="BZ141" s="424"/>
      <c r="CA141" s="423" t="str">
        <f t="shared" si="615"/>
        <v/>
      </c>
      <c r="CB141" s="325" t="str">
        <f t="shared" si="616"/>
        <v/>
      </c>
      <c r="CF141" s="294"/>
      <c r="CG141" s="294"/>
      <c r="CH141" s="294"/>
      <c r="CI141" s="294"/>
      <c r="CJ141" s="294"/>
      <c r="CK141" s="294"/>
      <c r="CL141" s="294"/>
      <c r="CM141" s="294"/>
      <c r="CN141" s="294"/>
    </row>
    <row r="142" spans="1:92" ht="13">
      <c r="A142" s="422" t="e">
        <f t="shared" si="632"/>
        <v>#N/A</v>
      </c>
      <c r="B142" s="172" t="e">
        <f t="shared" si="637"/>
        <v>#N/A</v>
      </c>
      <c r="C142" s="558" t="str">
        <f t="shared" si="550"/>
        <v/>
      </c>
      <c r="D142" s="558" t="str">
        <f t="shared" si="551"/>
        <v/>
      </c>
      <c r="E142" s="715" t="str">
        <f t="shared" si="552"/>
        <v/>
      </c>
      <c r="F142" s="636"/>
      <c r="G142" s="558"/>
      <c r="H142" s="558"/>
      <c r="I142" s="559"/>
      <c r="J142" s="1116"/>
      <c r="K142" s="558"/>
      <c r="L142" s="558"/>
      <c r="M142" s="968" t="s">
        <v>1520</v>
      </c>
      <c r="N142" s="326">
        <f t="shared" si="633"/>
        <v>0</v>
      </c>
      <c r="O142" s="585">
        <v>2500000</v>
      </c>
      <c r="P142" s="326" t="e">
        <f t="shared" si="553"/>
        <v>#VALUE!</v>
      </c>
      <c r="Q142" s="326" t="str">
        <f t="shared" si="554"/>
        <v/>
      </c>
      <c r="R142" s="326" t="str">
        <f t="shared" si="555"/>
        <v>0</v>
      </c>
      <c r="S142" s="326"/>
      <c r="T142" s="326"/>
      <c r="U142" s="326">
        <f t="shared" si="556"/>
        <v>0</v>
      </c>
      <c r="V142" s="326">
        <v>3000000</v>
      </c>
      <c r="W142" s="326" t="e">
        <f t="shared" si="557"/>
        <v>#VALUE!</v>
      </c>
      <c r="X142" s="326" t="str">
        <f t="shared" si="558"/>
        <v/>
      </c>
      <c r="Y142" s="326" t="str">
        <f t="shared" si="559"/>
        <v>0</v>
      </c>
      <c r="Z142" s="326"/>
      <c r="AA142" s="326"/>
      <c r="AB142" s="326">
        <f t="shared" si="560"/>
        <v>369917.56</v>
      </c>
      <c r="AC142" s="326">
        <v>1800000</v>
      </c>
      <c r="AD142" s="326" t="e">
        <f t="shared" si="561"/>
        <v>#VALUE!</v>
      </c>
      <c r="AE142" s="326" t="str">
        <f t="shared" si="562"/>
        <v/>
      </c>
      <c r="AF142" s="326" t="str">
        <f t="shared" si="563"/>
        <v>0</v>
      </c>
      <c r="AG142" s="326"/>
      <c r="AH142" s="326"/>
      <c r="AI142" s="969">
        <f t="shared" si="564"/>
        <v>7300000</v>
      </c>
      <c r="AJ142" s="326" t="str">
        <f t="shared" si="565"/>
        <v>0</v>
      </c>
      <c r="AK142" s="326" t="e">
        <f t="shared" ref="AK142:AM142" si="639">AD142+W142+P142</f>
        <v>#VALUE!</v>
      </c>
      <c r="AL142" s="326" t="e">
        <f t="shared" si="639"/>
        <v>#VALUE!</v>
      </c>
      <c r="AM142" s="326">
        <f t="shared" si="639"/>
        <v>0</v>
      </c>
      <c r="AN142" s="326">
        <f t="shared" si="567"/>
        <v>0</v>
      </c>
      <c r="AO142" s="970" t="str">
        <f t="shared" si="568"/>
        <v/>
      </c>
      <c r="AP142" s="325">
        <f t="shared" si="569"/>
        <v>0</v>
      </c>
      <c r="AQ142" s="1355" t="e">
        <f t="shared" si="570"/>
        <v>#VALUE!</v>
      </c>
      <c r="AR142" s="1355" t="str">
        <f t="shared" si="571"/>
        <v/>
      </c>
      <c r="AS142" s="1355" t="str">
        <f t="shared" si="572"/>
        <v>0</v>
      </c>
      <c r="AT142" s="325">
        <f t="shared" si="604"/>
        <v>0</v>
      </c>
      <c r="AU142" s="325" t="e">
        <f t="shared" si="574"/>
        <v>#VALUE!</v>
      </c>
      <c r="AV142" s="325" t="str">
        <f t="shared" si="575"/>
        <v/>
      </c>
      <c r="AW142" s="325" t="str">
        <f t="shared" si="576"/>
        <v>0</v>
      </c>
      <c r="AX142" s="325">
        <f t="shared" si="605"/>
        <v>0</v>
      </c>
      <c r="AY142" s="326" t="e">
        <f t="shared" si="578"/>
        <v>#VALUE!</v>
      </c>
      <c r="AZ142" s="326" t="str">
        <f t="shared" si="579"/>
        <v/>
      </c>
      <c r="BA142" s="436" t="str">
        <f t="shared" si="580"/>
        <v>0</v>
      </c>
      <c r="BB142" s="325"/>
      <c r="BC142" s="325"/>
      <c r="BD142" s="325"/>
      <c r="BE142" s="325"/>
      <c r="BF142" s="325"/>
      <c r="BG142" s="325"/>
      <c r="BH142" s="423">
        <f t="shared" si="607"/>
        <v>0</v>
      </c>
      <c r="BI142" s="325"/>
      <c r="BJ142" s="325"/>
      <c r="BK142" s="325"/>
      <c r="BL142" s="436">
        <f t="shared" si="608"/>
        <v>0</v>
      </c>
      <c r="BM142" s="323"/>
      <c r="BN142" s="325"/>
      <c r="BO142" s="424"/>
      <c r="BP142" s="423">
        <f t="shared" si="610"/>
        <v>0</v>
      </c>
      <c r="BQ142" s="325"/>
      <c r="BR142" s="325"/>
      <c r="BS142" s="983" t="str">
        <f t="shared" si="543"/>
        <v/>
      </c>
      <c r="BT142" s="323"/>
      <c r="BU142" s="325"/>
      <c r="BV142" s="424"/>
      <c r="BW142" s="434">
        <f t="shared" si="613"/>
        <v>0</v>
      </c>
      <c r="BX142" s="323"/>
      <c r="BY142" s="325"/>
      <c r="BZ142" s="424"/>
      <c r="CA142" s="423">
        <f t="shared" si="615"/>
        <v>0</v>
      </c>
      <c r="CB142" s="325">
        <f t="shared" si="616"/>
        <v>0</v>
      </c>
      <c r="CF142" s="294"/>
      <c r="CG142" s="294"/>
      <c r="CH142" s="294"/>
      <c r="CI142" s="294"/>
      <c r="CJ142" s="294"/>
      <c r="CK142" s="294"/>
      <c r="CL142" s="294"/>
      <c r="CM142" s="294"/>
      <c r="CN142" s="294"/>
    </row>
    <row r="143" spans="1:92" ht="13">
      <c r="A143" s="422" t="e">
        <f t="shared" si="632"/>
        <v>#N/A</v>
      </c>
      <c r="B143" s="172" t="e">
        <f t="shared" si="637"/>
        <v>#N/A</v>
      </c>
      <c r="C143" s="558" t="str">
        <f t="shared" si="550"/>
        <v/>
      </c>
      <c r="D143" s="558" t="str">
        <f t="shared" si="551"/>
        <v/>
      </c>
      <c r="E143" s="715" t="str">
        <f t="shared" si="552"/>
        <v/>
      </c>
      <c r="F143" s="636"/>
      <c r="G143" s="558"/>
      <c r="H143" s="558"/>
      <c r="I143" s="559"/>
      <c r="J143" s="1116"/>
      <c r="K143" s="558"/>
      <c r="L143" s="558"/>
      <c r="M143" s="968" t="s">
        <v>1521</v>
      </c>
      <c r="N143" s="326">
        <f t="shared" si="633"/>
        <v>0</v>
      </c>
      <c r="O143" s="326">
        <v>1800000</v>
      </c>
      <c r="P143" s="326" t="e">
        <f t="shared" si="553"/>
        <v>#VALUE!</v>
      </c>
      <c r="Q143" s="326" t="str">
        <f t="shared" si="554"/>
        <v/>
      </c>
      <c r="R143" s="326" t="str">
        <f t="shared" si="555"/>
        <v>0</v>
      </c>
      <c r="S143" s="326"/>
      <c r="T143" s="326"/>
      <c r="U143" s="326">
        <f t="shared" si="556"/>
        <v>0</v>
      </c>
      <c r="V143" s="326">
        <v>3000000</v>
      </c>
      <c r="W143" s="326" t="e">
        <f t="shared" si="557"/>
        <v>#VALUE!</v>
      </c>
      <c r="X143" s="326" t="str">
        <f t="shared" si="558"/>
        <v/>
      </c>
      <c r="Y143" s="326" t="str">
        <f t="shared" si="559"/>
        <v>0</v>
      </c>
      <c r="Z143" s="326"/>
      <c r="AA143" s="326"/>
      <c r="AB143" s="326">
        <f t="shared" si="560"/>
        <v>0</v>
      </c>
      <c r="AC143" s="326">
        <v>1800000</v>
      </c>
      <c r="AD143" s="326" t="e">
        <f t="shared" si="561"/>
        <v>#VALUE!</v>
      </c>
      <c r="AE143" s="326" t="str">
        <f t="shared" si="562"/>
        <v/>
      </c>
      <c r="AF143" s="326" t="str">
        <f t="shared" si="563"/>
        <v>0</v>
      </c>
      <c r="AG143" s="326"/>
      <c r="AH143" s="326"/>
      <c r="AI143" s="969">
        <f t="shared" si="564"/>
        <v>6600000</v>
      </c>
      <c r="AJ143" s="326">
        <f t="shared" si="565"/>
        <v>76277.86</v>
      </c>
      <c r="AK143" s="326" t="e">
        <f t="shared" ref="AK143:AM143" si="640">AD143+W143+P143</f>
        <v>#VALUE!</v>
      </c>
      <c r="AL143" s="326" t="e">
        <f t="shared" si="640"/>
        <v>#VALUE!</v>
      </c>
      <c r="AM143" s="326">
        <f t="shared" si="640"/>
        <v>0</v>
      </c>
      <c r="AN143" s="326">
        <f t="shared" si="567"/>
        <v>-76277.86</v>
      </c>
      <c r="AO143" s="970">
        <f t="shared" si="568"/>
        <v>-1</v>
      </c>
      <c r="AP143" s="325">
        <f t="shared" si="569"/>
        <v>0</v>
      </c>
      <c r="AQ143" s="1355" t="e">
        <f t="shared" si="570"/>
        <v>#VALUE!</v>
      </c>
      <c r="AR143" s="1355" t="str">
        <f t="shared" si="571"/>
        <v/>
      </c>
      <c r="AS143" s="1355" t="str">
        <f t="shared" si="572"/>
        <v>0</v>
      </c>
      <c r="AT143" s="325">
        <f t="shared" si="604"/>
        <v>0</v>
      </c>
      <c r="AU143" s="325" t="e">
        <f t="shared" si="574"/>
        <v>#VALUE!</v>
      </c>
      <c r="AV143" s="325" t="str">
        <f t="shared" si="575"/>
        <v/>
      </c>
      <c r="AW143" s="325" t="str">
        <f t="shared" si="576"/>
        <v>0</v>
      </c>
      <c r="AX143" s="325">
        <f t="shared" si="605"/>
        <v>0</v>
      </c>
      <c r="AY143" s="326" t="e">
        <f t="shared" si="578"/>
        <v>#VALUE!</v>
      </c>
      <c r="AZ143" s="326" t="str">
        <f t="shared" si="579"/>
        <v/>
      </c>
      <c r="BA143" s="436" t="str">
        <f t="shared" si="580"/>
        <v>0</v>
      </c>
      <c r="BB143" s="325"/>
      <c r="BC143" s="325"/>
      <c r="BD143" s="325"/>
      <c r="BE143" s="325"/>
      <c r="BF143" s="325"/>
      <c r="BG143" s="325"/>
      <c r="BH143" s="423">
        <f t="shared" si="607"/>
        <v>0</v>
      </c>
      <c r="BI143" s="325"/>
      <c r="BJ143" s="325"/>
      <c r="BK143" s="325"/>
      <c r="BL143" s="436">
        <f t="shared" si="608"/>
        <v>0</v>
      </c>
      <c r="BM143" s="323"/>
      <c r="BN143" s="325"/>
      <c r="BO143" s="424"/>
      <c r="BP143" s="423">
        <f t="shared" si="610"/>
        <v>392321.8</v>
      </c>
      <c r="BQ143" s="325"/>
      <c r="BR143" s="325"/>
      <c r="BS143" s="983" t="str">
        <f t="shared" si="543"/>
        <v/>
      </c>
      <c r="BT143" s="323"/>
      <c r="BU143" s="325"/>
      <c r="BV143" s="424"/>
      <c r="BW143" s="434">
        <f t="shared" si="613"/>
        <v>-10447.709999999999</v>
      </c>
      <c r="BX143" s="323"/>
      <c r="BY143" s="325"/>
      <c r="BZ143" s="424"/>
      <c r="CA143" s="423">
        <f t="shared" si="615"/>
        <v>16788.240000000002</v>
      </c>
      <c r="CB143" s="325">
        <f t="shared" si="616"/>
        <v>69937.320000000007</v>
      </c>
      <c r="CF143" s="294"/>
      <c r="CG143" s="294"/>
      <c r="CH143" s="294"/>
      <c r="CI143" s="294"/>
      <c r="CJ143" s="294"/>
      <c r="CK143" s="294"/>
      <c r="CL143" s="294"/>
      <c r="CM143" s="294"/>
      <c r="CN143" s="294"/>
    </row>
    <row r="144" spans="1:92" ht="13">
      <c r="A144" s="422" t="e">
        <f t="shared" si="632"/>
        <v>#N/A</v>
      </c>
      <c r="B144" s="172" t="e">
        <f t="shared" si="637"/>
        <v>#N/A</v>
      </c>
      <c r="C144" s="558" t="str">
        <f t="shared" si="550"/>
        <v/>
      </c>
      <c r="D144" s="558" t="str">
        <f t="shared" si="551"/>
        <v/>
      </c>
      <c r="E144" s="715" t="str">
        <f t="shared" si="552"/>
        <v/>
      </c>
      <c r="F144" s="636"/>
      <c r="G144" s="558"/>
      <c r="H144" s="558"/>
      <c r="I144" s="559"/>
      <c r="J144" s="1116"/>
      <c r="K144" s="558"/>
      <c r="L144" s="558"/>
      <c r="M144" s="968" t="s">
        <v>1522</v>
      </c>
      <c r="N144" s="326" t="str">
        <f t="shared" si="633"/>
        <v/>
      </c>
      <c r="O144" s="326">
        <v>1800000</v>
      </c>
      <c r="P144" s="326" t="e">
        <f t="shared" si="553"/>
        <v>#VALUE!</v>
      </c>
      <c r="Q144" s="326" t="str">
        <f t="shared" si="554"/>
        <v/>
      </c>
      <c r="R144" s="326" t="str">
        <f t="shared" si="555"/>
        <v>0</v>
      </c>
      <c r="S144" s="326"/>
      <c r="T144" s="326"/>
      <c r="U144" s="326" t="str">
        <f t="shared" si="556"/>
        <v/>
      </c>
      <c r="V144" s="326">
        <v>3000000</v>
      </c>
      <c r="W144" s="326" t="e">
        <f t="shared" si="557"/>
        <v>#VALUE!</v>
      </c>
      <c r="X144" s="326" t="str">
        <f t="shared" si="558"/>
        <v/>
      </c>
      <c r="Y144" s="326" t="str">
        <f t="shared" si="559"/>
        <v>0</v>
      </c>
      <c r="Z144" s="326"/>
      <c r="AA144" s="326"/>
      <c r="AB144" s="326" t="str">
        <f t="shared" si="560"/>
        <v/>
      </c>
      <c r="AC144" s="326">
        <v>1800000</v>
      </c>
      <c r="AD144" s="326" t="e">
        <f t="shared" si="561"/>
        <v>#VALUE!</v>
      </c>
      <c r="AE144" s="326" t="str">
        <f t="shared" si="562"/>
        <v/>
      </c>
      <c r="AF144" s="326" t="str">
        <f t="shared" si="563"/>
        <v>0</v>
      </c>
      <c r="AG144" s="326"/>
      <c r="AH144" s="326"/>
      <c r="AI144" s="969">
        <f t="shared" si="564"/>
        <v>6600000</v>
      </c>
      <c r="AJ144" s="326" t="str">
        <f t="shared" si="565"/>
        <v>0</v>
      </c>
      <c r="AK144" s="326" t="e">
        <f t="shared" ref="AK144:AM144" si="641">AD144+W144+P144</f>
        <v>#VALUE!</v>
      </c>
      <c r="AL144" s="326" t="e">
        <f t="shared" si="641"/>
        <v>#VALUE!</v>
      </c>
      <c r="AM144" s="326">
        <f t="shared" si="641"/>
        <v>0</v>
      </c>
      <c r="AN144" s="326">
        <f t="shared" si="567"/>
        <v>0</v>
      </c>
      <c r="AO144" s="970" t="str">
        <f t="shared" si="568"/>
        <v/>
      </c>
      <c r="AP144" s="325" t="str">
        <f t="shared" si="569"/>
        <v/>
      </c>
      <c r="AQ144" s="1355" t="e">
        <f t="shared" si="570"/>
        <v>#VALUE!</v>
      </c>
      <c r="AR144" s="1355" t="str">
        <f t="shared" si="571"/>
        <v/>
      </c>
      <c r="AS144" s="1355" t="str">
        <f t="shared" si="572"/>
        <v>0</v>
      </c>
      <c r="AT144" s="325" t="str">
        <f t="shared" si="604"/>
        <v/>
      </c>
      <c r="AU144" s="325" t="e">
        <f t="shared" si="574"/>
        <v>#VALUE!</v>
      </c>
      <c r="AV144" s="325" t="str">
        <f t="shared" si="575"/>
        <v/>
      </c>
      <c r="AW144" s="325" t="str">
        <f t="shared" si="576"/>
        <v>0</v>
      </c>
      <c r="AX144" s="325" t="str">
        <f t="shared" si="605"/>
        <v/>
      </c>
      <c r="AY144" s="326" t="e">
        <f t="shared" si="578"/>
        <v>#VALUE!</v>
      </c>
      <c r="AZ144" s="326" t="str">
        <f t="shared" si="579"/>
        <v/>
      </c>
      <c r="BA144" s="436" t="str">
        <f t="shared" si="580"/>
        <v>0</v>
      </c>
      <c r="BB144" s="325"/>
      <c r="BC144" s="325"/>
      <c r="BD144" s="325"/>
      <c r="BE144" s="325"/>
      <c r="BF144" s="325"/>
      <c r="BG144" s="325"/>
      <c r="BH144" s="423" t="str">
        <f t="shared" si="607"/>
        <v/>
      </c>
      <c r="BI144" s="325"/>
      <c r="BJ144" s="325"/>
      <c r="BK144" s="325"/>
      <c r="BL144" s="436" t="str">
        <f t="shared" si="608"/>
        <v/>
      </c>
      <c r="BM144" s="323"/>
      <c r="BN144" s="325"/>
      <c r="BO144" s="424"/>
      <c r="BP144" s="423" t="str">
        <f t="shared" si="610"/>
        <v/>
      </c>
      <c r="BQ144" s="325"/>
      <c r="BR144" s="325"/>
      <c r="BS144" s="983" t="str">
        <f t="shared" si="543"/>
        <v/>
      </c>
      <c r="BT144" s="323"/>
      <c r="BU144" s="325"/>
      <c r="BV144" s="424"/>
      <c r="BW144" s="434" t="str">
        <f t="shared" si="613"/>
        <v/>
      </c>
      <c r="BX144" s="323"/>
      <c r="BY144" s="325"/>
      <c r="BZ144" s="424"/>
      <c r="CA144" s="423" t="str">
        <f t="shared" si="615"/>
        <v/>
      </c>
      <c r="CB144" s="325" t="str">
        <f t="shared" si="616"/>
        <v/>
      </c>
      <c r="CF144" s="294"/>
      <c r="CG144" s="294"/>
      <c r="CH144" s="294"/>
      <c r="CI144" s="294"/>
      <c r="CJ144" s="294"/>
      <c r="CK144" s="294"/>
      <c r="CL144" s="294"/>
      <c r="CM144" s="294"/>
      <c r="CN144" s="294"/>
    </row>
    <row r="145" spans="1:92" ht="13">
      <c r="A145" s="422" t="e">
        <f t="shared" si="632"/>
        <v>#N/A</v>
      </c>
      <c r="B145" s="172" t="e">
        <f t="shared" si="637"/>
        <v>#N/A</v>
      </c>
      <c r="C145" s="558" t="str">
        <f t="shared" si="550"/>
        <v/>
      </c>
      <c r="D145" s="558" t="str">
        <f t="shared" si="551"/>
        <v/>
      </c>
      <c r="E145" s="715" t="str">
        <f t="shared" si="552"/>
        <v/>
      </c>
      <c r="F145" s="636"/>
      <c r="G145" s="558"/>
      <c r="H145" s="558"/>
      <c r="I145" s="559"/>
      <c r="J145" s="1116"/>
      <c r="K145" s="558"/>
      <c r="L145" s="558"/>
      <c r="M145" s="968" t="s">
        <v>1523</v>
      </c>
      <c r="N145" s="326">
        <f t="shared" si="633"/>
        <v>183232.41</v>
      </c>
      <c r="O145" s="326">
        <v>1800000</v>
      </c>
      <c r="P145" s="326" t="e">
        <f t="shared" si="553"/>
        <v>#VALUE!</v>
      </c>
      <c r="Q145" s="326" t="str">
        <f t="shared" si="554"/>
        <v/>
      </c>
      <c r="R145" s="326" t="str">
        <f t="shared" si="555"/>
        <v>0</v>
      </c>
      <c r="S145" s="326"/>
      <c r="T145" s="326"/>
      <c r="U145" s="326">
        <f t="shared" si="556"/>
        <v>195263.01</v>
      </c>
      <c r="V145" s="326">
        <v>3000000</v>
      </c>
      <c r="W145" s="326" t="e">
        <f t="shared" si="557"/>
        <v>#VALUE!</v>
      </c>
      <c r="X145" s="326" t="str">
        <f t="shared" si="558"/>
        <v/>
      </c>
      <c r="Y145" s="326" t="str">
        <f t="shared" si="559"/>
        <v>0</v>
      </c>
      <c r="Z145" s="326"/>
      <c r="AA145" s="326"/>
      <c r="AB145" s="326">
        <f t="shared" si="560"/>
        <v>198594.09</v>
      </c>
      <c r="AC145" s="326">
        <v>1800000</v>
      </c>
      <c r="AD145" s="326" t="e">
        <f t="shared" si="561"/>
        <v>#VALUE!</v>
      </c>
      <c r="AE145" s="326" t="str">
        <f t="shared" si="562"/>
        <v/>
      </c>
      <c r="AF145" s="326" t="str">
        <f t="shared" si="563"/>
        <v>0</v>
      </c>
      <c r="AG145" s="326"/>
      <c r="AH145" s="326"/>
      <c r="AI145" s="969">
        <f t="shared" si="564"/>
        <v>6600000</v>
      </c>
      <c r="AJ145" s="326" t="str">
        <f t="shared" si="565"/>
        <v>0</v>
      </c>
      <c r="AK145" s="326" t="e">
        <f t="shared" ref="AK145:AM145" si="642">AD145+W145+P145</f>
        <v>#VALUE!</v>
      </c>
      <c r="AL145" s="326" t="e">
        <f t="shared" si="642"/>
        <v>#VALUE!</v>
      </c>
      <c r="AM145" s="326">
        <f t="shared" si="642"/>
        <v>0</v>
      </c>
      <c r="AN145" s="326">
        <f t="shared" si="567"/>
        <v>0</v>
      </c>
      <c r="AO145" s="970" t="str">
        <f t="shared" si="568"/>
        <v/>
      </c>
      <c r="AP145" s="325">
        <f t="shared" si="569"/>
        <v>0</v>
      </c>
      <c r="AQ145" s="1355" t="e">
        <f t="shared" si="570"/>
        <v>#VALUE!</v>
      </c>
      <c r="AR145" s="1355" t="str">
        <f t="shared" si="571"/>
        <v/>
      </c>
      <c r="AS145" s="1355" t="str">
        <f t="shared" si="572"/>
        <v>0</v>
      </c>
      <c r="AT145" s="325">
        <f t="shared" si="604"/>
        <v>259763.96</v>
      </c>
      <c r="AU145" s="325" t="e">
        <f t="shared" si="574"/>
        <v>#VALUE!</v>
      </c>
      <c r="AV145" s="325" t="str">
        <f t="shared" si="575"/>
        <v/>
      </c>
      <c r="AW145" s="325" t="str">
        <f t="shared" si="576"/>
        <v>0</v>
      </c>
      <c r="AX145" s="325">
        <f t="shared" si="605"/>
        <v>0</v>
      </c>
      <c r="AY145" s="326" t="e">
        <f t="shared" si="578"/>
        <v>#VALUE!</v>
      </c>
      <c r="AZ145" s="326" t="str">
        <f t="shared" si="579"/>
        <v/>
      </c>
      <c r="BA145" s="436" t="str">
        <f t="shared" si="580"/>
        <v>0</v>
      </c>
      <c r="BB145" s="325"/>
      <c r="BC145" s="325"/>
      <c r="BD145" s="325"/>
      <c r="BE145" s="325"/>
      <c r="BF145" s="325"/>
      <c r="BG145" s="325"/>
      <c r="BH145" s="423">
        <f t="shared" si="607"/>
        <v>0</v>
      </c>
      <c r="BI145" s="325"/>
      <c r="BJ145" s="325"/>
      <c r="BK145" s="325"/>
      <c r="BL145" s="436">
        <f t="shared" si="608"/>
        <v>0</v>
      </c>
      <c r="BM145" s="323"/>
      <c r="BN145" s="325"/>
      <c r="BO145" s="424"/>
      <c r="BP145" s="423">
        <f t="shared" si="610"/>
        <v>0</v>
      </c>
      <c r="BQ145" s="325"/>
      <c r="BR145" s="325"/>
      <c r="BS145" s="983" t="str">
        <f t="shared" si="543"/>
        <v/>
      </c>
      <c r="BT145" s="323"/>
      <c r="BU145" s="325"/>
      <c r="BV145" s="424"/>
      <c r="BW145" s="434">
        <f t="shared" si="613"/>
        <v>0</v>
      </c>
      <c r="BX145" s="323"/>
      <c r="BY145" s="325"/>
      <c r="BZ145" s="424"/>
      <c r="CA145" s="423">
        <f t="shared" si="615"/>
        <v>0</v>
      </c>
      <c r="CB145" s="325">
        <f t="shared" si="616"/>
        <v>0</v>
      </c>
      <c r="CF145" s="294"/>
      <c r="CG145" s="294"/>
      <c r="CH145" s="294"/>
      <c r="CI145" s="294"/>
      <c r="CJ145" s="294"/>
      <c r="CK145" s="294"/>
      <c r="CL145" s="294"/>
      <c r="CM145" s="294"/>
      <c r="CN145" s="294"/>
    </row>
    <row r="146" spans="1:92" ht="13">
      <c r="A146" s="422" t="e">
        <f t="shared" si="632"/>
        <v>#N/A</v>
      </c>
      <c r="B146" s="172" t="e">
        <f t="shared" si="637"/>
        <v>#N/A</v>
      </c>
      <c r="C146" s="558" t="str">
        <f t="shared" si="550"/>
        <v/>
      </c>
      <c r="D146" s="558" t="str">
        <f t="shared" si="551"/>
        <v/>
      </c>
      <c r="E146" s="715" t="str">
        <f t="shared" si="552"/>
        <v/>
      </c>
      <c r="F146" s="636"/>
      <c r="G146" s="558"/>
      <c r="H146" s="558"/>
      <c r="I146" s="559"/>
      <c r="J146" s="1116"/>
      <c r="K146" s="558"/>
      <c r="L146" s="558"/>
      <c r="M146" s="968" t="s">
        <v>1524</v>
      </c>
      <c r="N146" s="326" t="str">
        <f t="shared" si="633"/>
        <v/>
      </c>
      <c r="O146" s="326">
        <v>1800000</v>
      </c>
      <c r="P146" s="326" t="e">
        <f t="shared" si="553"/>
        <v>#VALUE!</v>
      </c>
      <c r="Q146" s="326" t="str">
        <f t="shared" si="554"/>
        <v/>
      </c>
      <c r="R146" s="326" t="str">
        <f t="shared" si="555"/>
        <v>0</v>
      </c>
      <c r="S146" s="326"/>
      <c r="T146" s="326"/>
      <c r="U146" s="326" t="str">
        <f t="shared" si="556"/>
        <v/>
      </c>
      <c r="V146" s="326">
        <v>3000000</v>
      </c>
      <c r="W146" s="326" t="e">
        <f t="shared" si="557"/>
        <v>#VALUE!</v>
      </c>
      <c r="X146" s="326" t="str">
        <f t="shared" si="558"/>
        <v/>
      </c>
      <c r="Y146" s="326" t="str">
        <f t="shared" si="559"/>
        <v>0</v>
      </c>
      <c r="Z146" s="326"/>
      <c r="AA146" s="326"/>
      <c r="AB146" s="326" t="str">
        <f t="shared" si="560"/>
        <v/>
      </c>
      <c r="AC146" s="326">
        <v>1800000</v>
      </c>
      <c r="AD146" s="326" t="e">
        <f t="shared" si="561"/>
        <v>#VALUE!</v>
      </c>
      <c r="AE146" s="326" t="str">
        <f t="shared" si="562"/>
        <v/>
      </c>
      <c r="AF146" s="326" t="str">
        <f t="shared" si="563"/>
        <v>0</v>
      </c>
      <c r="AG146" s="326"/>
      <c r="AH146" s="326"/>
      <c r="AI146" s="969">
        <f t="shared" si="564"/>
        <v>6600000</v>
      </c>
      <c r="AJ146" s="326" t="str">
        <f t="shared" si="565"/>
        <v>0</v>
      </c>
      <c r="AK146" s="326" t="e">
        <f t="shared" ref="AK146:AM146" si="643">AD146+W146+P146</f>
        <v>#VALUE!</v>
      </c>
      <c r="AL146" s="326" t="e">
        <f t="shared" si="643"/>
        <v>#VALUE!</v>
      </c>
      <c r="AM146" s="326">
        <f t="shared" si="643"/>
        <v>0</v>
      </c>
      <c r="AN146" s="326">
        <f t="shared" si="567"/>
        <v>0</v>
      </c>
      <c r="AO146" s="970" t="str">
        <f t="shared" si="568"/>
        <v/>
      </c>
      <c r="AP146" s="325" t="str">
        <f t="shared" si="569"/>
        <v/>
      </c>
      <c r="AQ146" s="1355" t="e">
        <f t="shared" si="570"/>
        <v>#VALUE!</v>
      </c>
      <c r="AR146" s="1355" t="str">
        <f t="shared" si="571"/>
        <v/>
      </c>
      <c r="AS146" s="1355" t="str">
        <f t="shared" si="572"/>
        <v>0</v>
      </c>
      <c r="AT146" s="325" t="str">
        <f t="shared" si="604"/>
        <v/>
      </c>
      <c r="AU146" s="325" t="e">
        <f t="shared" si="574"/>
        <v>#VALUE!</v>
      </c>
      <c r="AV146" s="325" t="str">
        <f t="shared" si="575"/>
        <v/>
      </c>
      <c r="AW146" s="325" t="str">
        <f t="shared" si="576"/>
        <v>0</v>
      </c>
      <c r="AX146" s="325" t="str">
        <f t="shared" si="605"/>
        <v/>
      </c>
      <c r="AY146" s="326" t="e">
        <f t="shared" si="578"/>
        <v>#VALUE!</v>
      </c>
      <c r="AZ146" s="326" t="str">
        <f t="shared" si="579"/>
        <v/>
      </c>
      <c r="BA146" s="436" t="str">
        <f t="shared" si="580"/>
        <v>0</v>
      </c>
      <c r="BB146" s="325"/>
      <c r="BC146" s="325"/>
      <c r="BD146" s="325"/>
      <c r="BE146" s="325"/>
      <c r="BF146" s="325"/>
      <c r="BG146" s="325"/>
      <c r="BH146" s="423" t="str">
        <f t="shared" si="607"/>
        <v/>
      </c>
      <c r="BI146" s="325"/>
      <c r="BJ146" s="325"/>
      <c r="BK146" s="325"/>
      <c r="BL146" s="436" t="str">
        <f t="shared" si="608"/>
        <v/>
      </c>
      <c r="BM146" s="323"/>
      <c r="BN146" s="325"/>
      <c r="BO146" s="424"/>
      <c r="BP146" s="423" t="str">
        <f t="shared" si="610"/>
        <v/>
      </c>
      <c r="BQ146" s="325"/>
      <c r="BR146" s="325"/>
      <c r="BS146" s="983" t="str">
        <f t="shared" si="543"/>
        <v/>
      </c>
      <c r="BT146" s="323"/>
      <c r="BU146" s="325"/>
      <c r="BV146" s="424"/>
      <c r="BW146" s="434" t="str">
        <f t="shared" si="613"/>
        <v/>
      </c>
      <c r="BX146" s="323"/>
      <c r="BY146" s="325"/>
      <c r="BZ146" s="424"/>
      <c r="CA146" s="423" t="str">
        <f t="shared" si="615"/>
        <v/>
      </c>
      <c r="CB146" s="325" t="str">
        <f t="shared" si="616"/>
        <v/>
      </c>
      <c r="CF146" s="294"/>
      <c r="CG146" s="294"/>
      <c r="CH146" s="294"/>
      <c r="CI146" s="294"/>
      <c r="CJ146" s="294"/>
      <c r="CK146" s="294"/>
      <c r="CL146" s="294"/>
      <c r="CM146" s="294"/>
      <c r="CN146" s="294"/>
    </row>
    <row r="147" spans="1:92" ht="13">
      <c r="A147" s="422" t="e">
        <f t="shared" si="632"/>
        <v>#N/A</v>
      </c>
      <c r="B147" s="172" t="e">
        <f t="shared" si="637"/>
        <v>#N/A</v>
      </c>
      <c r="C147" s="558" t="str">
        <f t="shared" si="550"/>
        <v/>
      </c>
      <c r="D147" s="558" t="str">
        <f t="shared" si="551"/>
        <v/>
      </c>
      <c r="E147" s="715" t="str">
        <f t="shared" si="552"/>
        <v/>
      </c>
      <c r="F147" s="636"/>
      <c r="G147" s="558"/>
      <c r="H147" s="558"/>
      <c r="I147" s="559"/>
      <c r="J147" s="1116"/>
      <c r="K147" s="558"/>
      <c r="L147" s="558"/>
      <c r="M147" s="968" t="s">
        <v>1525</v>
      </c>
      <c r="N147" s="326" t="str">
        <f t="shared" si="633"/>
        <v/>
      </c>
      <c r="O147" s="326">
        <v>1800000</v>
      </c>
      <c r="P147" s="326" t="e">
        <f t="shared" si="553"/>
        <v>#VALUE!</v>
      </c>
      <c r="Q147" s="326" t="str">
        <f t="shared" si="554"/>
        <v/>
      </c>
      <c r="R147" s="326" t="str">
        <f t="shared" si="555"/>
        <v>0</v>
      </c>
      <c r="S147" s="326"/>
      <c r="T147" s="326"/>
      <c r="U147" s="326" t="str">
        <f t="shared" si="556"/>
        <v/>
      </c>
      <c r="V147" s="326">
        <v>3000000</v>
      </c>
      <c r="W147" s="326" t="e">
        <f t="shared" si="557"/>
        <v>#VALUE!</v>
      </c>
      <c r="X147" s="326" t="str">
        <f t="shared" si="558"/>
        <v/>
      </c>
      <c r="Y147" s="326" t="str">
        <f t="shared" si="559"/>
        <v>0</v>
      </c>
      <c r="Z147" s="326"/>
      <c r="AA147" s="326"/>
      <c r="AB147" s="326" t="str">
        <f t="shared" si="560"/>
        <v/>
      </c>
      <c r="AC147" s="326">
        <v>1800000</v>
      </c>
      <c r="AD147" s="326" t="e">
        <f t="shared" si="561"/>
        <v>#VALUE!</v>
      </c>
      <c r="AE147" s="326" t="str">
        <f t="shared" si="562"/>
        <v/>
      </c>
      <c r="AF147" s="326" t="str">
        <f t="shared" si="563"/>
        <v>0</v>
      </c>
      <c r="AG147" s="326"/>
      <c r="AH147" s="326"/>
      <c r="AI147" s="969">
        <f t="shared" si="564"/>
        <v>6600000</v>
      </c>
      <c r="AJ147" s="326" t="str">
        <f t="shared" si="565"/>
        <v>0</v>
      </c>
      <c r="AK147" s="326" t="e">
        <f t="shared" ref="AK147:AM147" si="644">AD147+W147+P147</f>
        <v>#VALUE!</v>
      </c>
      <c r="AL147" s="326" t="e">
        <f t="shared" si="644"/>
        <v>#VALUE!</v>
      </c>
      <c r="AM147" s="326">
        <f t="shared" si="644"/>
        <v>0</v>
      </c>
      <c r="AN147" s="326">
        <f t="shared" si="567"/>
        <v>0</v>
      </c>
      <c r="AO147" s="970" t="str">
        <f t="shared" si="568"/>
        <v/>
      </c>
      <c r="AP147" s="325" t="str">
        <f t="shared" si="569"/>
        <v/>
      </c>
      <c r="AQ147" s="1355" t="e">
        <f t="shared" si="570"/>
        <v>#VALUE!</v>
      </c>
      <c r="AR147" s="1355" t="str">
        <f t="shared" si="571"/>
        <v/>
      </c>
      <c r="AS147" s="1355" t="str">
        <f t="shared" si="572"/>
        <v>0</v>
      </c>
      <c r="AT147" s="325" t="str">
        <f t="shared" si="604"/>
        <v/>
      </c>
      <c r="AU147" s="325" t="e">
        <f t="shared" si="574"/>
        <v>#VALUE!</v>
      </c>
      <c r="AV147" s="325" t="str">
        <f t="shared" si="575"/>
        <v/>
      </c>
      <c r="AW147" s="325" t="str">
        <f t="shared" si="576"/>
        <v>0</v>
      </c>
      <c r="AX147" s="325" t="str">
        <f t="shared" si="605"/>
        <v/>
      </c>
      <c r="AY147" s="326" t="e">
        <f t="shared" si="578"/>
        <v>#VALUE!</v>
      </c>
      <c r="AZ147" s="326" t="str">
        <f t="shared" si="579"/>
        <v/>
      </c>
      <c r="BA147" s="436" t="str">
        <f t="shared" si="580"/>
        <v>0</v>
      </c>
      <c r="BB147" s="325"/>
      <c r="BC147" s="325"/>
      <c r="BD147" s="325"/>
      <c r="BE147" s="325"/>
      <c r="BF147" s="325"/>
      <c r="BG147" s="325"/>
      <c r="BH147" s="423" t="str">
        <f t="shared" si="607"/>
        <v/>
      </c>
      <c r="BI147" s="325"/>
      <c r="BJ147" s="325"/>
      <c r="BK147" s="325"/>
      <c r="BL147" s="436" t="str">
        <f t="shared" si="608"/>
        <v/>
      </c>
      <c r="BM147" s="323"/>
      <c r="BN147" s="325"/>
      <c r="BO147" s="424"/>
      <c r="BP147" s="423" t="str">
        <f t="shared" si="610"/>
        <v/>
      </c>
      <c r="BQ147" s="325"/>
      <c r="BR147" s="325"/>
      <c r="BS147" s="983" t="str">
        <f t="shared" si="543"/>
        <v/>
      </c>
      <c r="BT147" s="323"/>
      <c r="BU147" s="325"/>
      <c r="BV147" s="424"/>
      <c r="BW147" s="434" t="str">
        <f t="shared" si="613"/>
        <v/>
      </c>
      <c r="BX147" s="323"/>
      <c r="BY147" s="325"/>
      <c r="BZ147" s="424"/>
      <c r="CA147" s="423" t="str">
        <f t="shared" si="615"/>
        <v/>
      </c>
      <c r="CB147" s="325" t="str">
        <f t="shared" si="616"/>
        <v/>
      </c>
      <c r="CF147" s="294"/>
      <c r="CG147" s="294"/>
      <c r="CH147" s="294"/>
      <c r="CI147" s="294"/>
      <c r="CJ147" s="294"/>
      <c r="CK147" s="294"/>
      <c r="CL147" s="294"/>
      <c r="CM147" s="294"/>
      <c r="CN147" s="294"/>
    </row>
    <row r="148" spans="1:92" ht="13">
      <c r="A148" s="422" t="e">
        <f t="shared" si="632"/>
        <v>#N/A</v>
      </c>
      <c r="B148" s="172" t="e">
        <f t="shared" si="637"/>
        <v>#N/A</v>
      </c>
      <c r="C148" s="558" t="str">
        <f t="shared" si="550"/>
        <v/>
      </c>
      <c r="D148" s="558" t="str">
        <f t="shared" si="551"/>
        <v/>
      </c>
      <c r="E148" s="715" t="str">
        <f t="shared" si="552"/>
        <v/>
      </c>
      <c r="F148" s="636"/>
      <c r="G148" s="558"/>
      <c r="H148" s="558"/>
      <c r="I148" s="559"/>
      <c r="J148" s="1116"/>
      <c r="K148" s="558"/>
      <c r="L148" s="558"/>
      <c r="M148" s="968" t="s">
        <v>1526</v>
      </c>
      <c r="N148" s="326">
        <f t="shared" si="633"/>
        <v>509609.34</v>
      </c>
      <c r="O148" s="326">
        <v>1800000</v>
      </c>
      <c r="P148" s="326" t="e">
        <f t="shared" si="553"/>
        <v>#VALUE!</v>
      </c>
      <c r="Q148" s="326" t="str">
        <f t="shared" si="554"/>
        <v/>
      </c>
      <c r="R148" s="326" t="str">
        <f t="shared" si="555"/>
        <v>0</v>
      </c>
      <c r="S148" s="326"/>
      <c r="T148" s="326"/>
      <c r="U148" s="326">
        <f t="shared" si="556"/>
        <v>310468.68</v>
      </c>
      <c r="V148" s="326">
        <v>3000000</v>
      </c>
      <c r="W148" s="326" t="e">
        <f t="shared" si="557"/>
        <v>#VALUE!</v>
      </c>
      <c r="X148" s="326" t="str">
        <f t="shared" si="558"/>
        <v/>
      </c>
      <c r="Y148" s="326" t="str">
        <f t="shared" si="559"/>
        <v>0</v>
      </c>
      <c r="Z148" s="326"/>
      <c r="AA148" s="326"/>
      <c r="AB148" s="326">
        <f t="shared" si="560"/>
        <v>0</v>
      </c>
      <c r="AC148" s="326">
        <v>1800000</v>
      </c>
      <c r="AD148" s="326" t="e">
        <f t="shared" si="561"/>
        <v>#VALUE!</v>
      </c>
      <c r="AE148" s="326" t="str">
        <f t="shared" si="562"/>
        <v/>
      </c>
      <c r="AF148" s="326" t="str">
        <f t="shared" si="563"/>
        <v>0</v>
      </c>
      <c r="AG148" s="326"/>
      <c r="AH148" s="326"/>
      <c r="AI148" s="969">
        <f t="shared" si="564"/>
        <v>6600000</v>
      </c>
      <c r="AJ148" s="326" t="str">
        <f t="shared" si="565"/>
        <v>0</v>
      </c>
      <c r="AK148" s="326" t="e">
        <f t="shared" ref="AK148:AM148" si="645">AD148+W148+P148</f>
        <v>#VALUE!</v>
      </c>
      <c r="AL148" s="326" t="e">
        <f t="shared" si="645"/>
        <v>#VALUE!</v>
      </c>
      <c r="AM148" s="326">
        <f t="shared" si="645"/>
        <v>0</v>
      </c>
      <c r="AN148" s="326">
        <f t="shared" si="567"/>
        <v>0</v>
      </c>
      <c r="AO148" s="970" t="str">
        <f t="shared" si="568"/>
        <v/>
      </c>
      <c r="AP148" s="325">
        <f t="shared" si="569"/>
        <v>0</v>
      </c>
      <c r="AQ148" s="1355" t="e">
        <f t="shared" si="570"/>
        <v>#VALUE!</v>
      </c>
      <c r="AR148" s="1355" t="str">
        <f t="shared" si="571"/>
        <v/>
      </c>
      <c r="AS148" s="1355" t="str">
        <f t="shared" si="572"/>
        <v>0</v>
      </c>
      <c r="AT148" s="325">
        <f t="shared" si="604"/>
        <v>0</v>
      </c>
      <c r="AU148" s="325" t="e">
        <f t="shared" si="574"/>
        <v>#VALUE!</v>
      </c>
      <c r="AV148" s="325" t="str">
        <f t="shared" si="575"/>
        <v/>
      </c>
      <c r="AW148" s="325" t="str">
        <f t="shared" si="576"/>
        <v>0</v>
      </c>
      <c r="AX148" s="325">
        <f t="shared" si="605"/>
        <v>0</v>
      </c>
      <c r="AY148" s="326" t="e">
        <f t="shared" si="578"/>
        <v>#VALUE!</v>
      </c>
      <c r="AZ148" s="326" t="str">
        <f t="shared" si="579"/>
        <v/>
      </c>
      <c r="BA148" s="436" t="str">
        <f t="shared" si="580"/>
        <v>0</v>
      </c>
      <c r="BB148" s="325"/>
      <c r="BC148" s="325"/>
      <c r="BD148" s="325"/>
      <c r="BE148" s="325"/>
      <c r="BF148" s="325"/>
      <c r="BG148" s="325"/>
      <c r="BH148" s="423">
        <f t="shared" si="607"/>
        <v>0</v>
      </c>
      <c r="BI148" s="325"/>
      <c r="BJ148" s="325"/>
      <c r="BK148" s="325"/>
      <c r="BL148" s="436">
        <f t="shared" si="608"/>
        <v>0</v>
      </c>
      <c r="BM148" s="323"/>
      <c r="BN148" s="325"/>
      <c r="BO148" s="424"/>
      <c r="BP148" s="423">
        <f t="shared" si="610"/>
        <v>0</v>
      </c>
      <c r="BQ148" s="325"/>
      <c r="BR148" s="325"/>
      <c r="BS148" s="983" t="str">
        <f t="shared" si="543"/>
        <v/>
      </c>
      <c r="BT148" s="323"/>
      <c r="BU148" s="325"/>
      <c r="BV148" s="424"/>
      <c r="BW148" s="434">
        <f t="shared" si="613"/>
        <v>0</v>
      </c>
      <c r="BX148" s="323"/>
      <c r="BY148" s="325"/>
      <c r="BZ148" s="424"/>
      <c r="CA148" s="423">
        <f t="shared" si="615"/>
        <v>0</v>
      </c>
      <c r="CB148" s="325">
        <f t="shared" si="616"/>
        <v>0</v>
      </c>
      <c r="CF148" s="294"/>
      <c r="CG148" s="294"/>
      <c r="CH148" s="294"/>
      <c r="CI148" s="294"/>
      <c r="CJ148" s="294"/>
      <c r="CK148" s="294"/>
      <c r="CL148" s="294"/>
      <c r="CM148" s="294"/>
      <c r="CN148" s="294"/>
    </row>
    <row r="149" spans="1:92" ht="13">
      <c r="A149" s="422" t="e">
        <f t="shared" si="632"/>
        <v>#N/A</v>
      </c>
      <c r="B149" s="172" t="e">
        <f t="shared" si="637"/>
        <v>#N/A</v>
      </c>
      <c r="C149" s="558" t="str">
        <f t="shared" si="550"/>
        <v/>
      </c>
      <c r="D149" s="558" t="str">
        <f t="shared" si="551"/>
        <v/>
      </c>
      <c r="E149" s="715" t="str">
        <f t="shared" si="552"/>
        <v/>
      </c>
      <c r="F149" s="636"/>
      <c r="G149" s="558"/>
      <c r="H149" s="558"/>
      <c r="I149" s="559"/>
      <c r="J149" s="1116"/>
      <c r="K149" s="558"/>
      <c r="L149" s="558"/>
      <c r="M149" s="968" t="s">
        <v>1527</v>
      </c>
      <c r="N149" s="326" t="str">
        <f t="shared" si="633"/>
        <v/>
      </c>
      <c r="O149" s="326">
        <v>1800000</v>
      </c>
      <c r="P149" s="326" t="e">
        <f t="shared" si="553"/>
        <v>#VALUE!</v>
      </c>
      <c r="Q149" s="326" t="str">
        <f t="shared" si="554"/>
        <v/>
      </c>
      <c r="R149" s="326" t="str">
        <f t="shared" si="555"/>
        <v>0</v>
      </c>
      <c r="S149" s="326"/>
      <c r="T149" s="326"/>
      <c r="U149" s="326" t="str">
        <f t="shared" si="556"/>
        <v/>
      </c>
      <c r="V149" s="326">
        <v>3000000</v>
      </c>
      <c r="W149" s="326" t="e">
        <f t="shared" si="557"/>
        <v>#VALUE!</v>
      </c>
      <c r="X149" s="326" t="str">
        <f t="shared" si="558"/>
        <v/>
      </c>
      <c r="Y149" s="326" t="str">
        <f t="shared" si="559"/>
        <v>0</v>
      </c>
      <c r="Z149" s="326"/>
      <c r="AA149" s="326"/>
      <c r="AB149" s="326" t="str">
        <f t="shared" si="560"/>
        <v/>
      </c>
      <c r="AC149" s="326">
        <v>1800000</v>
      </c>
      <c r="AD149" s="326" t="e">
        <f t="shared" si="561"/>
        <v>#VALUE!</v>
      </c>
      <c r="AE149" s="326" t="str">
        <f t="shared" si="562"/>
        <v/>
      </c>
      <c r="AF149" s="326" t="str">
        <f t="shared" si="563"/>
        <v>0</v>
      </c>
      <c r="AG149" s="326"/>
      <c r="AH149" s="326"/>
      <c r="AI149" s="969">
        <f t="shared" si="564"/>
        <v>6600000</v>
      </c>
      <c r="AJ149" s="326" t="str">
        <f t="shared" si="565"/>
        <v>0</v>
      </c>
      <c r="AK149" s="326" t="e">
        <f t="shared" ref="AK149:AM149" si="646">AD149+W149+P149</f>
        <v>#VALUE!</v>
      </c>
      <c r="AL149" s="326" t="e">
        <f t="shared" si="646"/>
        <v>#VALUE!</v>
      </c>
      <c r="AM149" s="326">
        <f t="shared" si="646"/>
        <v>0</v>
      </c>
      <c r="AN149" s="326">
        <f t="shared" si="567"/>
        <v>0</v>
      </c>
      <c r="AO149" s="970" t="str">
        <f t="shared" si="568"/>
        <v/>
      </c>
      <c r="AP149" s="325" t="str">
        <f t="shared" si="569"/>
        <v/>
      </c>
      <c r="AQ149" s="1355" t="e">
        <f t="shared" si="570"/>
        <v>#VALUE!</v>
      </c>
      <c r="AR149" s="1355" t="str">
        <f t="shared" si="571"/>
        <v/>
      </c>
      <c r="AS149" s="1355" t="str">
        <f t="shared" si="572"/>
        <v>0</v>
      </c>
      <c r="AT149" s="325" t="str">
        <f t="shared" si="604"/>
        <v/>
      </c>
      <c r="AU149" s="325" t="e">
        <f t="shared" si="574"/>
        <v>#VALUE!</v>
      </c>
      <c r="AV149" s="325" t="str">
        <f t="shared" si="575"/>
        <v/>
      </c>
      <c r="AW149" s="325" t="str">
        <f t="shared" si="576"/>
        <v>0</v>
      </c>
      <c r="AX149" s="325" t="str">
        <f t="shared" si="605"/>
        <v/>
      </c>
      <c r="AY149" s="326" t="e">
        <f t="shared" si="578"/>
        <v>#VALUE!</v>
      </c>
      <c r="AZ149" s="326" t="str">
        <f t="shared" si="579"/>
        <v/>
      </c>
      <c r="BA149" s="436" t="str">
        <f t="shared" si="580"/>
        <v>0</v>
      </c>
      <c r="BB149" s="325"/>
      <c r="BC149" s="325"/>
      <c r="BD149" s="325"/>
      <c r="BE149" s="325"/>
      <c r="BF149" s="325"/>
      <c r="BG149" s="325"/>
      <c r="BH149" s="423" t="str">
        <f t="shared" si="607"/>
        <v/>
      </c>
      <c r="BI149" s="423"/>
      <c r="BJ149" s="423"/>
      <c r="BK149" s="423"/>
      <c r="BL149" s="436" t="str">
        <f t="shared" si="608"/>
        <v/>
      </c>
      <c r="BM149" s="323"/>
      <c r="BN149" s="423"/>
      <c r="BO149" s="139"/>
      <c r="BP149" s="423" t="str">
        <f t="shared" si="610"/>
        <v/>
      </c>
      <c r="BQ149" s="325"/>
      <c r="BR149" s="325"/>
      <c r="BS149" s="983" t="str">
        <f t="shared" si="543"/>
        <v/>
      </c>
      <c r="BT149" s="323"/>
      <c r="BU149" s="325"/>
      <c r="BV149" s="424"/>
      <c r="BW149" s="434" t="str">
        <f t="shared" si="613"/>
        <v/>
      </c>
      <c r="BX149" s="323"/>
      <c r="BY149" s="325"/>
      <c r="BZ149" s="424"/>
      <c r="CA149" s="423" t="str">
        <f t="shared" si="615"/>
        <v/>
      </c>
      <c r="CB149" s="325" t="str">
        <f t="shared" si="616"/>
        <v/>
      </c>
      <c r="CF149" s="294"/>
      <c r="CG149" s="294"/>
      <c r="CH149" s="294"/>
      <c r="CI149" s="294"/>
      <c r="CJ149" s="294"/>
      <c r="CK149" s="294"/>
      <c r="CL149" s="294"/>
      <c r="CM149" s="294"/>
      <c r="CN149" s="294"/>
    </row>
    <row r="150" spans="1:92" ht="13">
      <c r="A150" s="1131" t="e">
        <f t="shared" si="632"/>
        <v>#N/A</v>
      </c>
      <c r="B150" s="503" t="e">
        <f t="shared" si="637"/>
        <v>#N/A</v>
      </c>
      <c r="C150" s="801" t="str">
        <f t="shared" si="550"/>
        <v/>
      </c>
      <c r="D150" s="801" t="str">
        <f t="shared" si="551"/>
        <v/>
      </c>
      <c r="E150" s="1132" t="str">
        <f t="shared" si="552"/>
        <v/>
      </c>
      <c r="F150" s="643"/>
      <c r="G150" s="801"/>
      <c r="H150" s="801"/>
      <c r="I150" s="899"/>
      <c r="J150" s="1134"/>
      <c r="K150" s="801"/>
      <c r="L150" s="801"/>
      <c r="M150" s="1356" t="s">
        <v>1528</v>
      </c>
      <c r="N150" s="340" t="str">
        <f t="shared" si="633"/>
        <v/>
      </c>
      <c r="O150" s="340">
        <v>1800000</v>
      </c>
      <c r="P150" s="340" t="e">
        <f t="shared" si="553"/>
        <v>#VALUE!</v>
      </c>
      <c r="Q150" s="340" t="str">
        <f t="shared" si="554"/>
        <v/>
      </c>
      <c r="R150" s="340" t="str">
        <f t="shared" si="555"/>
        <v>0</v>
      </c>
      <c r="S150" s="340"/>
      <c r="T150" s="340"/>
      <c r="U150" s="340" t="str">
        <f t="shared" si="556"/>
        <v/>
      </c>
      <c r="V150" s="340">
        <v>3000000</v>
      </c>
      <c r="W150" s="340" t="e">
        <f t="shared" si="557"/>
        <v>#VALUE!</v>
      </c>
      <c r="X150" s="340" t="str">
        <f t="shared" si="558"/>
        <v/>
      </c>
      <c r="Y150" s="340" t="str">
        <f t="shared" si="559"/>
        <v>0</v>
      </c>
      <c r="Z150" s="340"/>
      <c r="AA150" s="340"/>
      <c r="AB150" s="340" t="str">
        <f t="shared" si="560"/>
        <v/>
      </c>
      <c r="AC150" s="340">
        <v>1800000</v>
      </c>
      <c r="AD150" s="340" t="e">
        <f t="shared" si="561"/>
        <v>#VALUE!</v>
      </c>
      <c r="AE150" s="340" t="str">
        <f t="shared" si="562"/>
        <v/>
      </c>
      <c r="AF150" s="340" t="str">
        <f t="shared" si="563"/>
        <v>0</v>
      </c>
      <c r="AG150" s="340"/>
      <c r="AH150" s="340"/>
      <c r="AI150" s="992">
        <f t="shared" si="564"/>
        <v>6600000</v>
      </c>
      <c r="AJ150" s="340" t="str">
        <f t="shared" si="565"/>
        <v>0</v>
      </c>
      <c r="AK150" s="340" t="e">
        <f t="shared" ref="AK150:AM150" si="647">AD150+W150+P150</f>
        <v>#VALUE!</v>
      </c>
      <c r="AL150" s="340" t="e">
        <f t="shared" si="647"/>
        <v>#VALUE!</v>
      </c>
      <c r="AM150" s="340">
        <f t="shared" si="647"/>
        <v>0</v>
      </c>
      <c r="AN150" s="340">
        <f t="shared" si="567"/>
        <v>0</v>
      </c>
      <c r="AO150" s="993" t="str">
        <f t="shared" si="568"/>
        <v/>
      </c>
      <c r="AP150" s="506" t="str">
        <f t="shared" si="569"/>
        <v/>
      </c>
      <c r="AQ150" s="1357" t="e">
        <f t="shared" si="570"/>
        <v>#VALUE!</v>
      </c>
      <c r="AR150" s="1357" t="str">
        <f t="shared" si="571"/>
        <v/>
      </c>
      <c r="AS150" s="1357" t="str">
        <f t="shared" si="572"/>
        <v>0</v>
      </c>
      <c r="AT150" s="506" t="str">
        <f t="shared" si="604"/>
        <v/>
      </c>
      <c r="AU150" s="506" t="e">
        <f t="shared" si="574"/>
        <v>#VALUE!</v>
      </c>
      <c r="AV150" s="506" t="str">
        <f t="shared" si="575"/>
        <v/>
      </c>
      <c r="AW150" s="506" t="str">
        <f t="shared" si="576"/>
        <v>0</v>
      </c>
      <c r="AX150" s="506" t="str">
        <f t="shared" si="605"/>
        <v/>
      </c>
      <c r="AY150" s="340" t="e">
        <f t="shared" si="578"/>
        <v>#VALUE!</v>
      </c>
      <c r="AZ150" s="340" t="str">
        <f t="shared" si="579"/>
        <v/>
      </c>
      <c r="BA150" s="1358" t="str">
        <f t="shared" si="580"/>
        <v>0</v>
      </c>
      <c r="BB150" s="506"/>
      <c r="BC150" s="506"/>
      <c r="BD150" s="506"/>
      <c r="BE150" s="506"/>
      <c r="BF150" s="506"/>
      <c r="BG150" s="506"/>
      <c r="BH150" s="507" t="str">
        <f t="shared" si="607"/>
        <v/>
      </c>
      <c r="BI150" s="507"/>
      <c r="BJ150" s="507"/>
      <c r="BK150" s="507"/>
      <c r="BL150" s="1358" t="str">
        <f t="shared" si="608"/>
        <v/>
      </c>
      <c r="BM150" s="336"/>
      <c r="BN150" s="507"/>
      <c r="BO150" s="258"/>
      <c r="BP150" s="507" t="str">
        <f t="shared" si="610"/>
        <v/>
      </c>
      <c r="BQ150" s="506"/>
      <c r="BR150" s="506"/>
      <c r="BS150" s="1359" t="str">
        <f t="shared" si="543"/>
        <v/>
      </c>
      <c r="BT150" s="336"/>
      <c r="BU150" s="506"/>
      <c r="BV150" s="803"/>
      <c r="BW150" s="650" t="str">
        <f t="shared" si="613"/>
        <v/>
      </c>
      <c r="BX150" s="336"/>
      <c r="BY150" s="506"/>
      <c r="BZ150" s="803"/>
      <c r="CA150" s="423" t="str">
        <f t="shared" si="615"/>
        <v/>
      </c>
      <c r="CB150" s="325" t="str">
        <f t="shared" si="616"/>
        <v/>
      </c>
      <c r="CF150" s="294"/>
      <c r="CG150" s="294"/>
      <c r="CH150" s="294"/>
      <c r="CI150" s="294"/>
      <c r="CJ150" s="294"/>
      <c r="CK150" s="294"/>
      <c r="CL150" s="294"/>
      <c r="CM150" s="294"/>
      <c r="CN150" s="294"/>
    </row>
    <row r="151" spans="1:92" ht="13">
      <c r="B151" s="294"/>
      <c r="F151" s="302"/>
      <c r="J151" s="302"/>
      <c r="AI151" s="188"/>
      <c r="AJ151" s="188"/>
      <c r="AK151" s="188"/>
      <c r="AL151" s="188"/>
      <c r="AM151" s="188"/>
      <c r="AN151" s="188"/>
      <c r="AO151" s="299"/>
      <c r="CF151" s="294"/>
      <c r="CG151" s="294"/>
      <c r="CH151" s="294"/>
      <c r="CI151" s="294"/>
      <c r="CJ151" s="294"/>
      <c r="CK151" s="294"/>
      <c r="CL151" s="294"/>
      <c r="CM151" s="294"/>
      <c r="CN151" s="294"/>
    </row>
    <row r="152" spans="1:92" ht="13">
      <c r="B152" s="294"/>
      <c r="F152" s="302"/>
      <c r="J152" s="302"/>
      <c r="AI152" s="188"/>
      <c r="AJ152" s="188"/>
      <c r="AK152" s="188"/>
      <c r="AL152" s="188"/>
      <c r="AM152" s="188"/>
      <c r="AN152" s="188"/>
      <c r="AO152" s="299"/>
      <c r="CF152" s="294"/>
      <c r="CG152" s="294"/>
      <c r="CH152" s="294"/>
      <c r="CI152" s="294"/>
      <c r="CJ152" s="294"/>
      <c r="CK152" s="294"/>
      <c r="CL152" s="294"/>
      <c r="CM152" s="294"/>
      <c r="CN152" s="294"/>
    </row>
    <row r="153" spans="1:92" ht="13">
      <c r="B153" s="294"/>
      <c r="F153" s="302"/>
      <c r="J153" s="302"/>
      <c r="M153" s="302" t="s">
        <v>1466</v>
      </c>
      <c r="AI153" s="188"/>
      <c r="AJ153" s="188"/>
      <c r="AK153" s="188"/>
      <c r="AL153" s="188"/>
      <c r="AM153" s="188"/>
      <c r="AN153" s="188"/>
      <c r="AO153" s="299"/>
      <c r="CF153" s="294"/>
      <c r="CG153" s="294"/>
      <c r="CH153" s="294"/>
      <c r="CI153" s="294"/>
      <c r="CJ153" s="294"/>
      <c r="CK153" s="294"/>
      <c r="CL153" s="294"/>
      <c r="CM153" s="294"/>
      <c r="CN153" s="294"/>
    </row>
    <row r="154" spans="1:92" ht="13">
      <c r="B154" s="294"/>
      <c r="F154" s="302"/>
      <c r="J154" s="302"/>
      <c r="AI154" s="188"/>
      <c r="AJ154" s="188"/>
      <c r="AK154" s="188"/>
      <c r="AL154" s="188"/>
      <c r="AM154" s="188"/>
      <c r="AN154" s="188"/>
      <c r="AO154" s="299"/>
      <c r="CF154" s="294"/>
      <c r="CG154" s="294"/>
      <c r="CH154" s="294"/>
      <c r="CI154" s="294"/>
      <c r="CJ154" s="294"/>
      <c r="CK154" s="294"/>
      <c r="CL154" s="294"/>
      <c r="CM154" s="294"/>
      <c r="CN154" s="294"/>
    </row>
    <row r="155" spans="1:92" ht="13">
      <c r="B155" s="294"/>
      <c r="F155" s="302"/>
      <c r="J155" s="302"/>
      <c r="AI155" s="188"/>
      <c r="AJ155" s="188"/>
      <c r="AK155" s="188"/>
      <c r="AL155" s="188"/>
      <c r="AM155" s="188"/>
      <c r="AN155" s="188"/>
      <c r="AO155" s="299"/>
      <c r="CF155" s="294"/>
      <c r="CG155" s="294"/>
      <c r="CH155" s="294"/>
      <c r="CI155" s="294"/>
      <c r="CJ155" s="294"/>
      <c r="CK155" s="294"/>
      <c r="CL155" s="294"/>
      <c r="CM155" s="294"/>
      <c r="CN155" s="294"/>
    </row>
    <row r="156" spans="1:92" ht="13">
      <c r="B156" s="294"/>
      <c r="F156" s="302"/>
      <c r="J156" s="302"/>
      <c r="AI156" s="188"/>
      <c r="AJ156" s="188"/>
      <c r="AK156" s="188"/>
      <c r="AL156" s="188"/>
      <c r="AM156" s="188"/>
      <c r="AN156" s="188"/>
      <c r="AO156" s="299"/>
      <c r="CF156" s="294"/>
      <c r="CG156" s="294"/>
      <c r="CH156" s="294"/>
      <c r="CI156" s="294"/>
      <c r="CJ156" s="294"/>
      <c r="CK156" s="294"/>
      <c r="CL156" s="294"/>
      <c r="CM156" s="294"/>
      <c r="CN156" s="294"/>
    </row>
    <row r="157" spans="1:92" ht="13">
      <c r="B157" s="294"/>
      <c r="F157" s="302"/>
      <c r="J157" s="302"/>
      <c r="AI157" s="188"/>
      <c r="AJ157" s="188"/>
      <c r="AK157" s="188"/>
      <c r="AL157" s="188"/>
      <c r="AM157" s="188"/>
      <c r="AN157" s="188"/>
      <c r="AO157" s="299"/>
      <c r="CF157" s="294"/>
      <c r="CG157" s="294"/>
      <c r="CH157" s="294"/>
      <c r="CI157" s="294"/>
      <c r="CJ157" s="294"/>
      <c r="CK157" s="294"/>
      <c r="CL157" s="294"/>
      <c r="CM157" s="294"/>
      <c r="CN157" s="294"/>
    </row>
    <row r="158" spans="1:92" ht="13">
      <c r="B158" s="294"/>
      <c r="F158" s="302"/>
      <c r="J158" s="302"/>
      <c r="AI158" s="188"/>
      <c r="AJ158" s="188"/>
      <c r="AK158" s="188"/>
      <c r="AL158" s="188"/>
      <c r="AM158" s="188"/>
      <c r="AN158" s="188"/>
      <c r="AO158" s="299"/>
      <c r="CF158" s="294"/>
      <c r="CG158" s="294"/>
      <c r="CH158" s="294"/>
      <c r="CI158" s="294"/>
      <c r="CJ158" s="294"/>
      <c r="CK158" s="294"/>
      <c r="CL158" s="294"/>
      <c r="CM158" s="294"/>
      <c r="CN158" s="294"/>
    </row>
    <row r="159" spans="1:92" ht="13">
      <c r="B159" s="294"/>
      <c r="F159" s="302"/>
      <c r="J159" s="302"/>
      <c r="AI159" s="188"/>
      <c r="AJ159" s="188"/>
      <c r="AK159" s="188"/>
      <c r="AL159" s="188"/>
      <c r="AM159" s="188"/>
      <c r="AN159" s="188"/>
      <c r="AO159" s="299"/>
      <c r="CF159" s="294"/>
      <c r="CG159" s="294"/>
      <c r="CH159" s="294"/>
      <c r="CI159" s="294"/>
      <c r="CJ159" s="294"/>
      <c r="CK159" s="294"/>
      <c r="CL159" s="294"/>
      <c r="CM159" s="294"/>
      <c r="CN159" s="294"/>
    </row>
    <row r="160" spans="1:92" ht="13">
      <c r="B160" s="294"/>
      <c r="F160" s="302"/>
      <c r="J160" s="302"/>
      <c r="AI160" s="188"/>
      <c r="AJ160" s="188"/>
      <c r="AK160" s="188"/>
      <c r="AL160" s="188"/>
      <c r="AM160" s="188"/>
      <c r="AN160" s="188"/>
      <c r="AO160" s="299"/>
      <c r="CF160" s="294"/>
      <c r="CG160" s="294"/>
      <c r="CH160" s="294"/>
      <c r="CI160" s="294"/>
      <c r="CJ160" s="294"/>
      <c r="CK160" s="294"/>
      <c r="CL160" s="294"/>
      <c r="CM160" s="294"/>
      <c r="CN160" s="294"/>
    </row>
    <row r="161" spans="2:92" ht="13">
      <c r="B161" s="294"/>
      <c r="F161" s="302"/>
      <c r="J161" s="302"/>
      <c r="AI161" s="188"/>
      <c r="AJ161" s="188"/>
      <c r="AK161" s="188"/>
      <c r="AL161" s="188"/>
      <c r="AM161" s="188"/>
      <c r="AN161" s="188"/>
      <c r="AO161" s="299"/>
      <c r="CF161" s="294"/>
      <c r="CG161" s="294"/>
      <c r="CH161" s="294"/>
      <c r="CI161" s="294"/>
      <c r="CJ161" s="294"/>
      <c r="CK161" s="294"/>
      <c r="CL161" s="294"/>
      <c r="CM161" s="294"/>
      <c r="CN161" s="294"/>
    </row>
    <row r="162" spans="2:92" ht="13">
      <c r="B162" s="294"/>
      <c r="F162" s="302"/>
      <c r="J162" s="302"/>
      <c r="AI162" s="188"/>
      <c r="AJ162" s="188"/>
      <c r="AK162" s="188"/>
      <c r="AL162" s="188"/>
      <c r="AM162" s="188"/>
      <c r="AN162" s="188"/>
      <c r="AO162" s="299"/>
      <c r="CF162" s="294"/>
      <c r="CG162" s="294"/>
      <c r="CH162" s="294"/>
      <c r="CI162" s="294"/>
      <c r="CJ162" s="294"/>
      <c r="CK162" s="294"/>
      <c r="CL162" s="294"/>
      <c r="CM162" s="294"/>
      <c r="CN162" s="294"/>
    </row>
    <row r="163" spans="2:92" ht="13">
      <c r="B163" s="294"/>
      <c r="F163" s="302"/>
      <c r="J163" s="302"/>
      <c r="AI163" s="188"/>
      <c r="AJ163" s="188"/>
      <c r="AK163" s="188"/>
      <c r="AL163" s="188"/>
      <c r="AM163" s="188"/>
      <c r="AN163" s="188"/>
      <c r="AO163" s="299"/>
      <c r="CF163" s="294"/>
      <c r="CG163" s="294"/>
      <c r="CH163" s="294"/>
      <c r="CI163" s="294"/>
      <c r="CJ163" s="294"/>
      <c r="CK163" s="294"/>
      <c r="CL163" s="294"/>
      <c r="CM163" s="294"/>
      <c r="CN163" s="294"/>
    </row>
    <row r="164" spans="2:92" ht="13">
      <c r="B164" s="294"/>
      <c r="F164" s="302"/>
      <c r="J164" s="302"/>
      <c r="AI164" s="188"/>
      <c r="AJ164" s="188"/>
      <c r="AK164" s="188"/>
      <c r="AL164" s="188"/>
      <c r="AM164" s="188"/>
      <c r="AN164" s="188"/>
      <c r="AO164" s="299"/>
      <c r="CF164" s="294"/>
      <c r="CG164" s="294"/>
      <c r="CH164" s="294"/>
      <c r="CI164" s="294"/>
      <c r="CJ164" s="294"/>
      <c r="CK164" s="294"/>
      <c r="CL164" s="294"/>
      <c r="CM164" s="294"/>
      <c r="CN164" s="294"/>
    </row>
    <row r="165" spans="2:92" ht="13">
      <c r="B165" s="294"/>
      <c r="F165" s="302"/>
      <c r="J165" s="302"/>
      <c r="AI165" s="188"/>
      <c r="AJ165" s="188"/>
      <c r="AK165" s="188"/>
      <c r="AL165" s="188"/>
      <c r="AM165" s="188"/>
      <c r="AN165" s="188"/>
      <c r="AO165" s="299"/>
      <c r="CF165" s="294"/>
      <c r="CG165" s="294"/>
      <c r="CH165" s="294"/>
      <c r="CI165" s="294"/>
      <c r="CJ165" s="294"/>
      <c r="CK165" s="294"/>
      <c r="CL165" s="294"/>
      <c r="CM165" s="294"/>
      <c r="CN165" s="294"/>
    </row>
    <row r="166" spans="2:92" ht="13">
      <c r="B166" s="294"/>
      <c r="F166" s="302"/>
      <c r="J166" s="302"/>
      <c r="AI166" s="188"/>
      <c r="AJ166" s="188"/>
      <c r="AK166" s="188"/>
      <c r="AL166" s="188"/>
      <c r="AM166" s="188"/>
      <c r="AN166" s="188"/>
      <c r="AO166" s="299"/>
      <c r="CF166" s="294"/>
      <c r="CG166" s="294"/>
      <c r="CH166" s="294"/>
      <c r="CI166" s="294"/>
      <c r="CJ166" s="294"/>
      <c r="CK166" s="294"/>
      <c r="CL166" s="294"/>
      <c r="CM166" s="294"/>
      <c r="CN166" s="294"/>
    </row>
    <row r="167" spans="2:92" ht="13">
      <c r="B167" s="294"/>
      <c r="F167" s="302"/>
      <c r="J167" s="302"/>
      <c r="AI167" s="188"/>
      <c r="AJ167" s="188"/>
      <c r="AK167" s="188"/>
      <c r="AL167" s="188"/>
      <c r="AM167" s="188"/>
      <c r="AN167" s="188"/>
      <c r="AO167" s="299"/>
      <c r="CF167" s="294"/>
      <c r="CG167" s="294"/>
      <c r="CH167" s="294"/>
      <c r="CI167" s="294"/>
      <c r="CJ167" s="294"/>
      <c r="CK167" s="294"/>
      <c r="CL167" s="294"/>
      <c r="CM167" s="294"/>
      <c r="CN167" s="294"/>
    </row>
    <row r="168" spans="2:92" ht="13">
      <c r="B168" s="294"/>
      <c r="F168" s="302"/>
      <c r="J168" s="302"/>
      <c r="AI168" s="188"/>
      <c r="AJ168" s="188"/>
      <c r="AK168" s="188"/>
      <c r="AL168" s="188"/>
      <c r="AM168" s="188"/>
      <c r="AN168" s="188"/>
      <c r="AO168" s="299"/>
      <c r="CF168" s="294"/>
      <c r="CG168" s="294"/>
      <c r="CH168" s="294"/>
      <c r="CI168" s="294"/>
      <c r="CJ168" s="294"/>
      <c r="CK168" s="294"/>
      <c r="CL168" s="294"/>
      <c r="CM168" s="294"/>
      <c r="CN168" s="294"/>
    </row>
    <row r="169" spans="2:92" ht="13">
      <c r="B169" s="294"/>
      <c r="F169" s="302"/>
      <c r="J169" s="302"/>
      <c r="AI169" s="188"/>
      <c r="AJ169" s="188"/>
      <c r="AK169" s="188"/>
      <c r="AL169" s="188"/>
      <c r="AM169" s="188"/>
      <c r="AN169" s="188"/>
      <c r="AO169" s="299"/>
      <c r="CF169" s="294"/>
      <c r="CG169" s="294"/>
      <c r="CH169" s="294"/>
      <c r="CI169" s="294"/>
      <c r="CJ169" s="294"/>
      <c r="CK169" s="294"/>
      <c r="CL169" s="294"/>
      <c r="CM169" s="294"/>
      <c r="CN169" s="294"/>
    </row>
    <row r="170" spans="2:92" ht="13">
      <c r="B170" s="294"/>
      <c r="F170" s="302"/>
      <c r="J170" s="302"/>
      <c r="AI170" s="188"/>
      <c r="AJ170" s="188"/>
      <c r="AK170" s="188"/>
      <c r="AL170" s="188"/>
      <c r="AM170" s="188"/>
      <c r="AN170" s="188"/>
      <c r="AO170" s="299"/>
      <c r="CF170" s="294"/>
      <c r="CG170" s="294"/>
      <c r="CH170" s="294"/>
      <c r="CI170" s="294"/>
      <c r="CJ170" s="294"/>
      <c r="CK170" s="294"/>
      <c r="CL170" s="294"/>
      <c r="CM170" s="294"/>
      <c r="CN170" s="294"/>
    </row>
    <row r="171" spans="2:92" ht="13">
      <c r="B171" s="294"/>
      <c r="F171" s="302"/>
      <c r="J171" s="302"/>
      <c r="AI171" s="188"/>
      <c r="AJ171" s="188"/>
      <c r="AK171" s="188"/>
      <c r="AL171" s="188"/>
      <c r="AM171" s="188"/>
      <c r="AN171" s="188"/>
      <c r="AO171" s="299"/>
      <c r="CF171" s="294"/>
      <c r="CG171" s="294"/>
      <c r="CH171" s="294"/>
      <c r="CI171" s="294"/>
      <c r="CJ171" s="294"/>
      <c r="CK171" s="294"/>
      <c r="CL171" s="294"/>
      <c r="CM171" s="294"/>
      <c r="CN171" s="294"/>
    </row>
    <row r="172" spans="2:92" ht="13">
      <c r="B172" s="294"/>
      <c r="F172" s="302"/>
      <c r="J172" s="302"/>
      <c r="AI172" s="188"/>
      <c r="AJ172" s="188"/>
      <c r="AK172" s="188"/>
      <c r="AL172" s="188"/>
      <c r="AM172" s="188"/>
      <c r="AN172" s="188"/>
      <c r="AO172" s="299"/>
      <c r="CF172" s="294"/>
      <c r="CG172" s="294"/>
      <c r="CH172" s="294"/>
      <c r="CI172" s="294"/>
      <c r="CJ172" s="294"/>
      <c r="CK172" s="294"/>
      <c r="CL172" s="294"/>
      <c r="CM172" s="294"/>
      <c r="CN172" s="294"/>
    </row>
    <row r="173" spans="2:92" ht="13">
      <c r="B173" s="294"/>
      <c r="F173" s="302"/>
      <c r="J173" s="302"/>
      <c r="AI173" s="188"/>
      <c r="AJ173" s="188"/>
      <c r="AK173" s="188"/>
      <c r="AL173" s="188"/>
      <c r="AM173" s="188"/>
      <c r="AN173" s="188"/>
      <c r="AO173" s="299"/>
      <c r="CF173" s="294"/>
      <c r="CG173" s="294"/>
      <c r="CH173" s="294"/>
      <c r="CI173" s="294"/>
      <c r="CJ173" s="294"/>
      <c r="CK173" s="294"/>
      <c r="CL173" s="294"/>
      <c r="CM173" s="294"/>
      <c r="CN173" s="294"/>
    </row>
    <row r="174" spans="2:92" ht="13">
      <c r="B174" s="294"/>
      <c r="F174" s="302"/>
      <c r="J174" s="302"/>
      <c r="AI174" s="188"/>
      <c r="AJ174" s="188"/>
      <c r="AK174" s="188"/>
      <c r="AL174" s="188"/>
      <c r="AM174" s="188"/>
      <c r="AN174" s="188"/>
      <c r="AO174" s="299"/>
      <c r="CF174" s="294"/>
      <c r="CG174" s="294"/>
      <c r="CH174" s="294"/>
      <c r="CI174" s="294"/>
      <c r="CJ174" s="294"/>
      <c r="CK174" s="294"/>
      <c r="CL174" s="294"/>
      <c r="CM174" s="294"/>
      <c r="CN174" s="294"/>
    </row>
    <row r="175" spans="2:92" ht="13">
      <c r="B175" s="294"/>
      <c r="F175" s="302"/>
      <c r="J175" s="302"/>
      <c r="AI175" s="188"/>
      <c r="AJ175" s="188"/>
      <c r="AK175" s="188"/>
      <c r="AL175" s="188"/>
      <c r="AM175" s="188"/>
      <c r="AN175" s="188"/>
      <c r="AO175" s="299"/>
      <c r="CF175" s="294"/>
      <c r="CG175" s="294"/>
      <c r="CH175" s="294"/>
      <c r="CI175" s="294"/>
      <c r="CJ175" s="294"/>
      <c r="CK175" s="294"/>
      <c r="CL175" s="294"/>
      <c r="CM175" s="294"/>
      <c r="CN175" s="294"/>
    </row>
    <row r="176" spans="2:92" ht="13">
      <c r="B176" s="294"/>
      <c r="F176" s="302"/>
      <c r="J176" s="302"/>
      <c r="AI176" s="188"/>
      <c r="AJ176" s="188"/>
      <c r="AK176" s="188"/>
      <c r="AL176" s="188"/>
      <c r="AM176" s="188"/>
      <c r="AN176" s="188"/>
      <c r="AO176" s="299"/>
      <c r="CF176" s="294"/>
      <c r="CG176" s="294"/>
      <c r="CH176" s="294"/>
      <c r="CI176" s="294"/>
      <c r="CJ176" s="294"/>
      <c r="CK176" s="294"/>
      <c r="CL176" s="294"/>
      <c r="CM176" s="294"/>
      <c r="CN176" s="294"/>
    </row>
    <row r="177" spans="2:114" ht="13">
      <c r="B177" s="294"/>
      <c r="F177" s="302"/>
      <c r="J177" s="302"/>
      <c r="AI177" s="188"/>
      <c r="AJ177" s="188"/>
      <c r="AK177" s="188"/>
      <c r="AL177" s="188"/>
      <c r="AM177" s="188"/>
      <c r="AN177" s="188"/>
      <c r="AO177" s="299"/>
      <c r="CF177" s="294"/>
      <c r="CG177" s="294"/>
      <c r="CH177" s="294"/>
      <c r="CI177" s="294"/>
      <c r="CJ177" s="294"/>
      <c r="CK177" s="294"/>
      <c r="CL177" s="294"/>
      <c r="CM177" s="294"/>
      <c r="CN177" s="294"/>
    </row>
    <row r="178" spans="2:114" ht="13">
      <c r="B178" s="294"/>
      <c r="F178" s="302"/>
      <c r="J178" s="302"/>
      <c r="AI178" s="188"/>
      <c r="AJ178" s="188"/>
      <c r="AK178" s="188"/>
      <c r="AL178" s="188"/>
      <c r="AM178" s="188"/>
      <c r="AN178" s="188"/>
      <c r="AO178" s="299"/>
      <c r="CF178" s="294"/>
      <c r="CG178" s="294"/>
      <c r="CH178" s="294"/>
      <c r="CI178" s="294"/>
      <c r="CJ178" s="294"/>
      <c r="CK178" s="294"/>
      <c r="CL178" s="294"/>
      <c r="CM178" s="294"/>
      <c r="CN178" s="294"/>
    </row>
    <row r="179" spans="2:114" ht="13">
      <c r="B179" s="294"/>
      <c r="F179" s="302"/>
      <c r="J179" s="302"/>
      <c r="AI179" s="188"/>
      <c r="AJ179" s="188"/>
      <c r="AK179" s="188"/>
      <c r="AL179" s="188"/>
      <c r="AM179" s="188"/>
      <c r="AN179" s="188"/>
      <c r="AO179" s="299"/>
      <c r="CF179" s="294"/>
      <c r="CG179" s="294"/>
      <c r="CH179" s="294"/>
      <c r="CI179" s="294"/>
      <c r="CJ179" s="294"/>
      <c r="CK179" s="294"/>
      <c r="CL179" s="294"/>
      <c r="CM179" s="294"/>
      <c r="CN179" s="294"/>
    </row>
    <row r="180" spans="2:114" ht="13">
      <c r="B180" s="294"/>
      <c r="F180" s="302"/>
      <c r="J180" s="302"/>
      <c r="AI180" s="188"/>
      <c r="AJ180" s="188"/>
      <c r="AK180" s="188"/>
      <c r="AL180" s="188"/>
      <c r="AM180" s="188"/>
      <c r="AN180" s="188"/>
      <c r="AO180" s="299"/>
      <c r="CF180" s="294"/>
      <c r="CG180" s="294"/>
      <c r="CH180" s="294"/>
      <c r="CI180" s="294"/>
      <c r="CJ180" s="294"/>
      <c r="CK180" s="294"/>
      <c r="CL180" s="294"/>
      <c r="CM180" s="294"/>
      <c r="CN180" s="294"/>
    </row>
    <row r="181" spans="2:114" ht="13">
      <c r="B181" s="294"/>
      <c r="F181" s="302"/>
      <c r="J181" s="302"/>
      <c r="AI181" s="188"/>
      <c r="AJ181" s="188"/>
      <c r="AK181" s="188"/>
      <c r="AL181" s="188"/>
      <c r="AM181" s="188"/>
      <c r="AN181" s="188"/>
      <c r="AO181" s="299"/>
      <c r="CF181" s="294"/>
      <c r="CG181" s="294"/>
      <c r="CH181" s="294"/>
      <c r="CI181" s="294"/>
      <c r="CJ181" s="294"/>
      <c r="CK181" s="294"/>
      <c r="CL181" s="294"/>
      <c r="CM181" s="294"/>
      <c r="CN181" s="294"/>
    </row>
    <row r="182" spans="2:114" ht="13">
      <c r="B182" s="294"/>
      <c r="F182" s="302"/>
      <c r="J182" s="302"/>
      <c r="AI182" s="188"/>
      <c r="AJ182" s="188"/>
      <c r="AK182" s="188"/>
      <c r="AL182" s="188"/>
      <c r="AM182" s="188"/>
      <c r="AN182" s="188"/>
      <c r="AO182" s="299"/>
      <c r="CF182" s="294"/>
      <c r="CG182" s="294"/>
      <c r="CH182" s="294"/>
      <c r="CI182" s="294"/>
      <c r="CJ182" s="294"/>
      <c r="CK182" s="294"/>
      <c r="CL182" s="294"/>
      <c r="CM182" s="294"/>
      <c r="CN182" s="294"/>
    </row>
    <row r="183" spans="2:114" ht="13">
      <c r="B183" s="294"/>
      <c r="F183" s="302"/>
      <c r="J183" s="302"/>
      <c r="AI183" s="188"/>
      <c r="AJ183" s="188"/>
      <c r="AK183" s="188"/>
      <c r="AL183" s="188"/>
      <c r="AM183" s="188"/>
      <c r="AN183" s="188"/>
      <c r="AO183" s="299"/>
      <c r="CF183" s="294"/>
      <c r="CG183" s="294"/>
      <c r="CH183" s="294"/>
      <c r="CI183" s="294"/>
      <c r="CJ183" s="294"/>
      <c r="CK183" s="294"/>
      <c r="CL183" s="294"/>
      <c r="CM183" s="294"/>
      <c r="CN183" s="294"/>
    </row>
    <row r="184" spans="2:114" ht="13">
      <c r="B184" s="294"/>
      <c r="F184" s="302"/>
      <c r="J184" s="302"/>
      <c r="AI184" s="188"/>
      <c r="AJ184" s="188"/>
      <c r="AK184" s="188"/>
      <c r="AL184" s="188"/>
      <c r="AM184" s="188"/>
      <c r="AN184" s="188"/>
      <c r="AO184" s="299"/>
      <c r="CF184" s="294"/>
      <c r="CG184" s="294"/>
      <c r="CH184" s="294"/>
      <c r="CI184" s="294"/>
      <c r="CJ184" s="294"/>
      <c r="CK184" s="294"/>
      <c r="CL184" s="294"/>
      <c r="CM184" s="294"/>
      <c r="CN184" s="294"/>
    </row>
    <row r="185" spans="2:114" ht="13">
      <c r="B185" s="294"/>
      <c r="F185" s="302"/>
      <c r="J185" s="302"/>
      <c r="AI185" s="188"/>
      <c r="AJ185" s="188"/>
      <c r="AK185" s="188"/>
      <c r="AL185" s="188"/>
      <c r="AM185" s="188"/>
      <c r="AN185" s="188"/>
      <c r="AO185" s="299"/>
      <c r="CF185" s="294"/>
      <c r="CG185" s="294"/>
      <c r="CH185" s="294"/>
      <c r="CI185" s="294"/>
      <c r="CJ185" s="294"/>
      <c r="CK185" s="294"/>
      <c r="CL185" s="294"/>
      <c r="CM185" s="294"/>
      <c r="CN185" s="294"/>
    </row>
    <row r="186" spans="2:114" ht="13">
      <c r="B186" s="294"/>
      <c r="F186" s="302"/>
      <c r="J186" s="302"/>
      <c r="AI186" s="188"/>
      <c r="AJ186" s="188"/>
      <c r="AK186" s="188"/>
      <c r="AL186" s="188"/>
      <c r="AM186" s="188"/>
      <c r="AN186" s="188"/>
      <c r="AO186" s="299"/>
      <c r="CF186" s="294"/>
      <c r="CG186" s="294"/>
      <c r="CH186" s="294"/>
      <c r="CI186" s="294"/>
      <c r="CJ186" s="294"/>
      <c r="CK186" s="294"/>
      <c r="CL186" s="294"/>
      <c r="CM186" s="294"/>
      <c r="CN186" s="294"/>
      <c r="CW186" s="352">
        <f>CW190-R118</f>
        <v>-1.000000536441803E-2</v>
      </c>
      <c r="CX186" s="352">
        <f>CX190-Y118</f>
        <v>0</v>
      </c>
      <c r="CY186" s="352">
        <f>CY190-AF118</f>
        <v>-1.9999999552965164E-2</v>
      </c>
      <c r="CZ186" s="352">
        <f>CZ190-AS118</f>
        <v>0</v>
      </c>
      <c r="DA186" s="352">
        <f>DA190-AW118</f>
        <v>-1.0000003501772881E-2</v>
      </c>
      <c r="DB186" s="352">
        <f>DB190-BA118</f>
        <v>-1.0000001639127731E-2</v>
      </c>
      <c r="DC186" s="352">
        <f>DC190-BK118</f>
        <v>-1.000000536441803E-2</v>
      </c>
      <c r="DD186" s="352">
        <f>DD190-BO118</f>
        <v>-2.0000007003545761E-2</v>
      </c>
      <c r="DE186" s="352">
        <f>DE190-BS118</f>
        <v>-114797.03999999911</v>
      </c>
      <c r="DF186" s="352">
        <f>DF190-BZ118</f>
        <v>0</v>
      </c>
    </row>
    <row r="187" spans="2:114" ht="13">
      <c r="B187" s="294"/>
      <c r="F187" s="302"/>
      <c r="J187" s="302"/>
      <c r="AI187" s="188"/>
      <c r="AJ187" s="188"/>
      <c r="AK187" s="188"/>
      <c r="AL187" s="188"/>
      <c r="AM187" s="188"/>
      <c r="AN187" s="188"/>
      <c r="AO187" s="299"/>
      <c r="CF187" s="294"/>
      <c r="CG187" s="294"/>
      <c r="CH187" s="294"/>
      <c r="CI187" s="294"/>
      <c r="CJ187" s="294"/>
      <c r="CK187" s="294"/>
      <c r="CL187" s="294"/>
      <c r="CM187" s="294"/>
      <c r="CN187" s="294"/>
      <c r="CT187" s="509">
        <v>0</v>
      </c>
      <c r="CU187" s="354">
        <v>1</v>
      </c>
      <c r="CV187" s="354">
        <v>2</v>
      </c>
      <c r="CW187" s="354">
        <v>3</v>
      </c>
      <c r="CX187" s="354">
        <v>4</v>
      </c>
      <c r="CY187" s="354">
        <v>5</v>
      </c>
      <c r="CZ187" s="354">
        <v>6</v>
      </c>
      <c r="DA187" s="354">
        <v>7</v>
      </c>
      <c r="DB187" s="354">
        <v>8</v>
      </c>
      <c r="DC187" s="354">
        <v>9</v>
      </c>
      <c r="DD187" s="354">
        <v>10</v>
      </c>
      <c r="DE187" s="354">
        <v>11</v>
      </c>
      <c r="DF187" s="354">
        <v>12</v>
      </c>
      <c r="DG187" s="354">
        <v>13</v>
      </c>
      <c r="DH187" s="354">
        <v>14</v>
      </c>
      <c r="DI187" s="354">
        <v>15</v>
      </c>
      <c r="DJ187" s="355">
        <v>16</v>
      </c>
    </row>
    <row r="188" spans="2:114" ht="13">
      <c r="B188" s="294"/>
      <c r="F188" s="302"/>
      <c r="J188" s="302"/>
      <c r="AI188" s="188"/>
      <c r="AJ188" s="188"/>
      <c r="AK188" s="188"/>
      <c r="AL188" s="188"/>
      <c r="AM188" s="188"/>
      <c r="AN188" s="188"/>
      <c r="AO188" s="299"/>
      <c r="CF188" s="294"/>
      <c r="CG188" s="294"/>
      <c r="CH188" s="294"/>
      <c r="CI188" s="294"/>
      <c r="CJ188" s="294"/>
      <c r="CK188" s="294"/>
      <c r="CL188" s="294"/>
      <c r="CM188" s="294"/>
      <c r="CN188" s="294"/>
      <c r="CT188" s="510"/>
      <c r="CW188" s="357">
        <v>45658</v>
      </c>
      <c r="CX188" s="357">
        <v>45689</v>
      </c>
      <c r="CY188" s="357">
        <v>45717</v>
      </c>
      <c r="CZ188" s="357">
        <v>45748</v>
      </c>
      <c r="DA188" s="357">
        <v>45778</v>
      </c>
      <c r="DB188" s="357">
        <v>45809</v>
      </c>
      <c r="DC188" s="357">
        <v>45839</v>
      </c>
      <c r="DD188" s="357">
        <v>45870</v>
      </c>
      <c r="DE188" s="357">
        <v>45901</v>
      </c>
      <c r="DF188" s="357">
        <v>45931</v>
      </c>
      <c r="DG188" s="357">
        <v>45962</v>
      </c>
      <c r="DH188" s="357">
        <v>45992</v>
      </c>
      <c r="DI188" s="357"/>
      <c r="DJ188" s="358"/>
    </row>
    <row r="189" spans="2:114" ht="13">
      <c r="B189" s="294"/>
      <c r="F189" s="302"/>
      <c r="J189" s="302"/>
      <c r="AI189" s="188"/>
      <c r="AJ189" s="188"/>
      <c r="AK189" s="188"/>
      <c r="AL189" s="188"/>
      <c r="AM189" s="188"/>
      <c r="AN189" s="188"/>
      <c r="AO189" s="299"/>
      <c r="CF189" s="294"/>
      <c r="CG189" s="294"/>
      <c r="CH189" s="294"/>
      <c r="CI189" s="294"/>
      <c r="CJ189" s="294"/>
      <c r="CK189" s="294"/>
      <c r="CL189" s="294"/>
      <c r="CM189" s="294"/>
      <c r="CN189" s="294"/>
      <c r="CT189" s="510"/>
      <c r="CU189" s="511"/>
      <c r="CV189" s="377" t="s">
        <v>241</v>
      </c>
      <c r="CW189" s="360">
        <v>45658</v>
      </c>
      <c r="CX189" s="360">
        <v>45689</v>
      </c>
      <c r="CY189" s="360">
        <v>45717</v>
      </c>
      <c r="CZ189" s="360">
        <v>45748</v>
      </c>
      <c r="DA189" s="360">
        <v>45778</v>
      </c>
      <c r="DB189" s="360">
        <v>45809</v>
      </c>
      <c r="DC189" s="360">
        <v>45839</v>
      </c>
      <c r="DD189" s="360">
        <v>45870</v>
      </c>
      <c r="DE189" s="360">
        <v>45901</v>
      </c>
      <c r="DF189" s="360">
        <v>45931</v>
      </c>
      <c r="DG189" s="360"/>
      <c r="DH189" s="360"/>
      <c r="DI189" s="357"/>
      <c r="DJ189" s="358"/>
    </row>
    <row r="190" spans="2:114" ht="13">
      <c r="B190" s="294"/>
      <c r="F190" s="302"/>
      <c r="J190" s="302"/>
      <c r="AI190" s="188"/>
      <c r="AJ190" s="188"/>
      <c r="AK190" s="188"/>
      <c r="AL190" s="188"/>
      <c r="AM190" s="188"/>
      <c r="AN190" s="188"/>
      <c r="AO190" s="299"/>
      <c r="CF190" s="294"/>
      <c r="CG190" s="294"/>
      <c r="CH190" s="294"/>
      <c r="CI190" s="294"/>
      <c r="CJ190" s="294"/>
      <c r="CK190" s="294"/>
      <c r="CL190" s="294"/>
      <c r="CM190" s="294"/>
      <c r="CN190" s="294"/>
      <c r="CT190" s="510"/>
      <c r="CU190" s="359" t="s">
        <v>241</v>
      </c>
      <c r="CV190" s="361">
        <v>220352876.31</v>
      </c>
      <c r="CW190" s="361">
        <v>22267939.559999999</v>
      </c>
      <c r="CX190" s="361">
        <v>13443019.539999999</v>
      </c>
      <c r="CY190" s="361">
        <v>12304120.539999999</v>
      </c>
      <c r="CZ190" s="361">
        <v>13143979.26</v>
      </c>
      <c r="DA190" s="361">
        <v>12031821.779999999</v>
      </c>
      <c r="DB190" s="361">
        <v>28373937.800000001</v>
      </c>
      <c r="DC190" s="361">
        <v>41598971.530000001</v>
      </c>
      <c r="DD190" s="361">
        <v>26635643.539999999</v>
      </c>
      <c r="DE190" s="361">
        <v>18749693.350000001</v>
      </c>
      <c r="DF190" s="361">
        <v>31803749.41</v>
      </c>
      <c r="DG190" s="361"/>
      <c r="DH190" s="361"/>
      <c r="DI190" s="361"/>
      <c r="DJ190" s="362"/>
    </row>
    <row r="191" spans="2:114" ht="13">
      <c r="B191" s="294"/>
      <c r="F191" s="302"/>
      <c r="J191" s="302"/>
      <c r="AI191" s="188"/>
      <c r="AJ191" s="188"/>
      <c r="AK191" s="188"/>
      <c r="AL191" s="188"/>
      <c r="AM191" s="188"/>
      <c r="AN191" s="188"/>
      <c r="AO191" s="299"/>
      <c r="CF191" s="294"/>
      <c r="CG191" s="294"/>
      <c r="CH191" s="294"/>
      <c r="CI191" s="294"/>
      <c r="CJ191" s="294"/>
      <c r="CK191" s="294"/>
      <c r="CL191" s="294"/>
      <c r="CM191" s="294"/>
      <c r="CN191" s="294"/>
      <c r="CT191" s="510">
        <v>1</v>
      </c>
      <c r="CU191" s="359" t="s">
        <v>1407</v>
      </c>
      <c r="CV191" s="361">
        <v>27549911.620000001</v>
      </c>
      <c r="CW191" s="361">
        <v>3408904.69</v>
      </c>
      <c r="CX191" s="361">
        <v>2053638.84</v>
      </c>
      <c r="CY191" s="361">
        <v>397808.33</v>
      </c>
      <c r="CZ191" s="361">
        <v>2442206.44</v>
      </c>
      <c r="DA191" s="361">
        <v>2276470.98</v>
      </c>
      <c r="DB191" s="361">
        <v>3268396.58</v>
      </c>
      <c r="DC191" s="361">
        <v>2532107.86</v>
      </c>
      <c r="DD191" s="361">
        <v>2504270.71</v>
      </c>
      <c r="DE191" s="361">
        <v>3759051.82</v>
      </c>
      <c r="DF191" s="361">
        <v>4907055.37</v>
      </c>
      <c r="DG191" s="361"/>
      <c r="DH191" s="361"/>
      <c r="DI191" s="361"/>
      <c r="DJ191" s="362"/>
    </row>
    <row r="192" spans="2:114" ht="13">
      <c r="B192" s="294"/>
      <c r="F192" s="302"/>
      <c r="J192" s="302"/>
      <c r="AI192" s="188"/>
      <c r="AJ192" s="188"/>
      <c r="AK192" s="188"/>
      <c r="AL192" s="188"/>
      <c r="AM192" s="188"/>
      <c r="AN192" s="188"/>
      <c r="AO192" s="299"/>
      <c r="CF192" s="294"/>
      <c r="CG192" s="294"/>
      <c r="CH192" s="294"/>
      <c r="CI192" s="294"/>
      <c r="CJ192" s="294"/>
      <c r="CK192" s="294"/>
      <c r="CL192" s="294"/>
      <c r="CM192" s="294"/>
      <c r="CN192" s="294"/>
      <c r="CT192" s="510">
        <v>2</v>
      </c>
      <c r="CU192" s="359" t="s">
        <v>1403</v>
      </c>
      <c r="CV192" s="361">
        <v>17576626.640000001</v>
      </c>
      <c r="CW192" s="361">
        <v>0</v>
      </c>
      <c r="CX192" s="361">
        <v>0</v>
      </c>
      <c r="CY192" s="361">
        <v>0</v>
      </c>
      <c r="CZ192" s="361">
        <v>0</v>
      </c>
      <c r="DA192" s="361">
        <v>0</v>
      </c>
      <c r="DB192" s="361">
        <v>4804443.6100000003</v>
      </c>
      <c r="DC192" s="361">
        <v>12893993.859999999</v>
      </c>
      <c r="DD192" s="361">
        <v>-121810.82</v>
      </c>
      <c r="DE192" s="361">
        <v>0</v>
      </c>
      <c r="DF192" s="361">
        <v>0</v>
      </c>
      <c r="DG192" s="361"/>
      <c r="DH192" s="361"/>
      <c r="DI192" s="361"/>
      <c r="DJ192" s="362"/>
    </row>
    <row r="193" spans="2:114" ht="13">
      <c r="B193" s="294"/>
      <c r="F193" s="302"/>
      <c r="J193" s="302"/>
      <c r="AI193" s="188"/>
      <c r="AJ193" s="188"/>
      <c r="AK193" s="188"/>
      <c r="AL193" s="188"/>
      <c r="AM193" s="188"/>
      <c r="AN193" s="188"/>
      <c r="AO193" s="299"/>
      <c r="CF193" s="294"/>
      <c r="CG193" s="294"/>
      <c r="CH193" s="294"/>
      <c r="CI193" s="294"/>
      <c r="CJ193" s="294"/>
      <c r="CK193" s="294"/>
      <c r="CL193" s="294"/>
      <c r="CM193" s="294"/>
      <c r="CN193" s="294"/>
      <c r="CT193" s="510">
        <v>3</v>
      </c>
      <c r="CU193" s="359" t="s">
        <v>1406</v>
      </c>
      <c r="CV193" s="361">
        <v>14498277.43</v>
      </c>
      <c r="CW193" s="361">
        <v>2116399.41</v>
      </c>
      <c r="CX193" s="361">
        <v>929865.34</v>
      </c>
      <c r="CY193" s="361">
        <v>380119.37</v>
      </c>
      <c r="CZ193" s="361">
        <v>450646.18</v>
      </c>
      <c r="DA193" s="361">
        <v>451673.04</v>
      </c>
      <c r="DB193" s="361">
        <v>167130</v>
      </c>
      <c r="DC193" s="361">
        <v>1944019.57</v>
      </c>
      <c r="DD193" s="361">
        <v>2828470.56</v>
      </c>
      <c r="DE193" s="361">
        <v>1736303.73</v>
      </c>
      <c r="DF193" s="361">
        <v>3493650.24</v>
      </c>
      <c r="DG193" s="361"/>
      <c r="DH193" s="361"/>
      <c r="DI193" s="361"/>
      <c r="DJ193" s="362"/>
    </row>
    <row r="194" spans="2:114" ht="13">
      <c r="B194" s="294"/>
      <c r="F194" s="302"/>
      <c r="J194" s="302"/>
      <c r="AI194" s="188"/>
      <c r="AJ194" s="188"/>
      <c r="AK194" s="188"/>
      <c r="AL194" s="188"/>
      <c r="AM194" s="188"/>
      <c r="AN194" s="188"/>
      <c r="AO194" s="299"/>
      <c r="CF194" s="294"/>
      <c r="CG194" s="294"/>
      <c r="CH194" s="294"/>
      <c r="CI194" s="294"/>
      <c r="CJ194" s="294"/>
      <c r="CK194" s="294"/>
      <c r="CL194" s="294"/>
      <c r="CM194" s="294"/>
      <c r="CN194" s="294"/>
      <c r="CT194" s="510">
        <v>4</v>
      </c>
      <c r="CU194" s="359" t="s">
        <v>1457</v>
      </c>
      <c r="CV194" s="361">
        <v>13378465.140000001</v>
      </c>
      <c r="CW194" s="361">
        <v>2165272.33</v>
      </c>
      <c r="CX194" s="361">
        <v>1016380.93</v>
      </c>
      <c r="CY194" s="361">
        <v>1493280.39</v>
      </c>
      <c r="CZ194" s="361">
        <v>1515980.4</v>
      </c>
      <c r="DA194" s="361">
        <v>595446.39</v>
      </c>
      <c r="DB194" s="361">
        <v>1521772.5</v>
      </c>
      <c r="DC194" s="361">
        <v>685077.62</v>
      </c>
      <c r="DD194" s="361">
        <v>1941735.14</v>
      </c>
      <c r="DE194" s="361">
        <v>953766.44</v>
      </c>
      <c r="DF194" s="361">
        <v>1489752.99</v>
      </c>
      <c r="DG194" s="361"/>
      <c r="DH194" s="361"/>
      <c r="DI194" s="361"/>
      <c r="DJ194" s="362"/>
    </row>
    <row r="195" spans="2:114" ht="13">
      <c r="B195" s="294"/>
      <c r="F195" s="302"/>
      <c r="J195" s="302"/>
      <c r="AI195" s="188"/>
      <c r="AJ195" s="188"/>
      <c r="AK195" s="188"/>
      <c r="AL195" s="188"/>
      <c r="AM195" s="188"/>
      <c r="AN195" s="188"/>
      <c r="AO195" s="299"/>
      <c r="CF195" s="294"/>
      <c r="CG195" s="294"/>
      <c r="CH195" s="294"/>
      <c r="CI195" s="294"/>
      <c r="CJ195" s="294"/>
      <c r="CK195" s="294"/>
      <c r="CL195" s="294"/>
      <c r="CM195" s="294"/>
      <c r="CN195" s="294"/>
      <c r="CT195" s="510">
        <v>5</v>
      </c>
      <c r="CU195" s="359" t="s">
        <v>1410</v>
      </c>
      <c r="CV195" s="361">
        <v>12215547.4</v>
      </c>
      <c r="CW195" s="361">
        <v>2325174.54</v>
      </c>
      <c r="CX195" s="361">
        <v>1472759.6</v>
      </c>
      <c r="CY195" s="361">
        <v>1089591.0900000001</v>
      </c>
      <c r="CZ195" s="361">
        <v>1668649.28</v>
      </c>
      <c r="DA195" s="361">
        <v>931302.6</v>
      </c>
      <c r="DB195" s="361">
        <v>744919.98</v>
      </c>
      <c r="DC195" s="361">
        <v>686880.48</v>
      </c>
      <c r="DD195" s="361">
        <v>816372.07</v>
      </c>
      <c r="DE195" s="361">
        <v>1397704.4</v>
      </c>
      <c r="DF195" s="361">
        <v>1082193.3600000001</v>
      </c>
      <c r="DG195" s="361"/>
      <c r="DH195" s="361"/>
      <c r="DI195" s="361"/>
      <c r="DJ195" s="362"/>
    </row>
    <row r="196" spans="2:114" ht="13">
      <c r="B196" s="294"/>
      <c r="F196" s="302"/>
      <c r="J196" s="302"/>
      <c r="AI196" s="188"/>
      <c r="AJ196" s="188"/>
      <c r="AK196" s="188"/>
      <c r="AL196" s="188"/>
      <c r="AM196" s="188"/>
      <c r="AN196" s="188"/>
      <c r="AO196" s="299"/>
      <c r="CF196" s="294"/>
      <c r="CG196" s="294"/>
      <c r="CH196" s="294"/>
      <c r="CI196" s="294"/>
      <c r="CJ196" s="294"/>
      <c r="CK196" s="294"/>
      <c r="CL196" s="294"/>
      <c r="CM196" s="294"/>
      <c r="CN196" s="294"/>
      <c r="CT196" s="510">
        <v>6</v>
      </c>
      <c r="CU196" s="359" t="s">
        <v>1400</v>
      </c>
      <c r="CV196" s="361">
        <v>10758442.800000001</v>
      </c>
      <c r="CW196" s="361">
        <v>0</v>
      </c>
      <c r="CX196" s="361">
        <v>0</v>
      </c>
      <c r="CY196" s="361">
        <v>0</v>
      </c>
      <c r="CZ196" s="361">
        <v>0</v>
      </c>
      <c r="DA196" s="361">
        <v>0</v>
      </c>
      <c r="DB196" s="361">
        <v>8199777.3700000001</v>
      </c>
      <c r="DC196" s="361">
        <v>2484450.29</v>
      </c>
      <c r="DD196" s="361">
        <v>0</v>
      </c>
      <c r="DE196" s="361">
        <v>74215.13</v>
      </c>
      <c r="DF196" s="361">
        <v>0</v>
      </c>
      <c r="DG196" s="361"/>
      <c r="DH196" s="361"/>
      <c r="DI196" s="361"/>
      <c r="DJ196" s="362"/>
    </row>
    <row r="197" spans="2:114" ht="13">
      <c r="B197" s="294"/>
      <c r="F197" s="302"/>
      <c r="J197" s="302"/>
      <c r="AI197" s="188"/>
      <c r="AJ197" s="188"/>
      <c r="AK197" s="188"/>
      <c r="AL197" s="188"/>
      <c r="AM197" s="188"/>
      <c r="AN197" s="188"/>
      <c r="AO197" s="299"/>
      <c r="CF197" s="294"/>
      <c r="CG197" s="294"/>
      <c r="CH197" s="294"/>
      <c r="CI197" s="294"/>
      <c r="CJ197" s="294"/>
      <c r="CK197" s="294"/>
      <c r="CL197" s="294"/>
      <c r="CM197" s="294"/>
      <c r="CN197" s="294"/>
      <c r="CT197" s="510">
        <v>7</v>
      </c>
      <c r="CU197" s="359" t="s">
        <v>1461</v>
      </c>
      <c r="CV197" s="361">
        <v>9629568.1199999992</v>
      </c>
      <c r="CW197" s="361">
        <v>1018354.95</v>
      </c>
      <c r="CX197" s="361">
        <v>881315.12</v>
      </c>
      <c r="CY197" s="361">
        <v>474641.43</v>
      </c>
      <c r="CZ197" s="361">
        <v>616852.37</v>
      </c>
      <c r="DA197" s="361">
        <v>636842.48</v>
      </c>
      <c r="DB197" s="361">
        <v>548836.85</v>
      </c>
      <c r="DC197" s="361">
        <v>675967.56</v>
      </c>
      <c r="DD197" s="361">
        <v>776381.19</v>
      </c>
      <c r="DE197" s="361">
        <v>1474965.74</v>
      </c>
      <c r="DF197" s="361">
        <v>2525410.4300000002</v>
      </c>
      <c r="DG197" s="361"/>
      <c r="DH197" s="361"/>
      <c r="DI197" s="361"/>
      <c r="DJ197" s="362"/>
    </row>
    <row r="198" spans="2:114" ht="13">
      <c r="B198" s="294"/>
      <c r="F198" s="302"/>
      <c r="J198" s="302"/>
      <c r="AI198" s="188"/>
      <c r="AJ198" s="188"/>
      <c r="AK198" s="188"/>
      <c r="AL198" s="188"/>
      <c r="AM198" s="188"/>
      <c r="AN198" s="188"/>
      <c r="AO198" s="299"/>
      <c r="CF198" s="294"/>
      <c r="CG198" s="294"/>
      <c r="CH198" s="294"/>
      <c r="CI198" s="294"/>
      <c r="CJ198" s="294"/>
      <c r="CK198" s="294"/>
      <c r="CL198" s="294"/>
      <c r="CM198" s="294"/>
      <c r="CN198" s="294"/>
      <c r="CT198" s="510">
        <v>8</v>
      </c>
      <c r="CU198" s="359" t="s">
        <v>1492</v>
      </c>
      <c r="CV198" s="361">
        <v>7747206.6100000003</v>
      </c>
      <c r="CW198" s="361">
        <v>0</v>
      </c>
      <c r="CX198" s="361">
        <v>0</v>
      </c>
      <c r="CY198" s="361">
        <v>0</v>
      </c>
      <c r="CZ198" s="361">
        <v>0</v>
      </c>
      <c r="DA198" s="361">
        <v>0</v>
      </c>
      <c r="DB198" s="361">
        <v>0</v>
      </c>
      <c r="DC198" s="361">
        <v>7747206.6100000003</v>
      </c>
      <c r="DD198" s="361">
        <v>0</v>
      </c>
      <c r="DE198" s="361">
        <v>0</v>
      </c>
      <c r="DF198" s="361">
        <v>0</v>
      </c>
      <c r="DG198" s="361"/>
      <c r="DH198" s="361"/>
      <c r="DI198" s="361"/>
      <c r="DJ198" s="362"/>
    </row>
    <row r="199" spans="2:114" ht="13">
      <c r="B199" s="294"/>
      <c r="F199" s="302"/>
      <c r="J199" s="302"/>
      <c r="AI199" s="188"/>
      <c r="AJ199" s="188"/>
      <c r="AK199" s="188"/>
      <c r="AL199" s="188"/>
      <c r="AM199" s="188"/>
      <c r="AN199" s="188"/>
      <c r="AO199" s="299"/>
      <c r="CF199" s="294"/>
      <c r="CG199" s="294"/>
      <c r="CH199" s="294"/>
      <c r="CI199" s="294"/>
      <c r="CJ199" s="294"/>
      <c r="CK199" s="294"/>
      <c r="CL199" s="294"/>
      <c r="CM199" s="294"/>
      <c r="CN199" s="294"/>
      <c r="CT199" s="510">
        <v>9</v>
      </c>
      <c r="CU199" s="359" t="s">
        <v>1436</v>
      </c>
      <c r="CV199" s="361">
        <v>7137153.46</v>
      </c>
      <c r="CW199" s="361">
        <v>0</v>
      </c>
      <c r="CX199" s="361">
        <v>0</v>
      </c>
      <c r="CY199" s="361">
        <v>0</v>
      </c>
      <c r="CZ199" s="361">
        <v>0</v>
      </c>
      <c r="DA199" s="361">
        <v>0</v>
      </c>
      <c r="DB199" s="361">
        <v>492254.28</v>
      </c>
      <c r="DC199" s="361">
        <v>1574858.41</v>
      </c>
      <c r="DD199" s="361">
        <v>1120957.82</v>
      </c>
      <c r="DE199" s="361">
        <v>1867613.01</v>
      </c>
      <c r="DF199" s="361">
        <v>2081469.95</v>
      </c>
      <c r="DG199" s="361"/>
      <c r="DH199" s="361"/>
      <c r="DI199" s="361"/>
      <c r="DJ199" s="362"/>
    </row>
    <row r="200" spans="2:114" ht="13">
      <c r="B200" s="294"/>
      <c r="F200" s="302"/>
      <c r="J200" s="302"/>
      <c r="AI200" s="188"/>
      <c r="AJ200" s="188"/>
      <c r="AK200" s="188"/>
      <c r="AL200" s="188"/>
      <c r="AM200" s="188"/>
      <c r="AN200" s="188"/>
      <c r="AO200" s="299"/>
      <c r="CF200" s="294"/>
      <c r="CG200" s="294"/>
      <c r="CH200" s="294"/>
      <c r="CI200" s="294"/>
      <c r="CJ200" s="294"/>
      <c r="CK200" s="294"/>
      <c r="CL200" s="294"/>
      <c r="CM200" s="294"/>
      <c r="CN200" s="294"/>
      <c r="CT200" s="510">
        <v>10</v>
      </c>
      <c r="CU200" s="359" t="s">
        <v>1405</v>
      </c>
      <c r="CV200" s="361">
        <v>6877623.4500000002</v>
      </c>
      <c r="CW200" s="361">
        <v>0</v>
      </c>
      <c r="CX200" s="361">
        <v>0</v>
      </c>
      <c r="CY200" s="361">
        <v>0</v>
      </c>
      <c r="CZ200" s="361">
        <v>0</v>
      </c>
      <c r="DA200" s="361">
        <v>1288117.45</v>
      </c>
      <c r="DB200" s="361">
        <v>0</v>
      </c>
      <c r="DC200" s="361">
        <v>1232327.01</v>
      </c>
      <c r="DD200" s="361">
        <v>931512.48</v>
      </c>
      <c r="DE200" s="361">
        <v>0</v>
      </c>
      <c r="DF200" s="361">
        <v>3425666.52</v>
      </c>
      <c r="DG200" s="361"/>
      <c r="DH200" s="361"/>
      <c r="DI200" s="361"/>
      <c r="DJ200" s="362"/>
    </row>
    <row r="201" spans="2:114" ht="13">
      <c r="B201" s="294"/>
      <c r="F201" s="302"/>
      <c r="J201" s="302"/>
      <c r="AI201" s="188"/>
      <c r="AJ201" s="188"/>
      <c r="AK201" s="188"/>
      <c r="AL201" s="188"/>
      <c r="AM201" s="188"/>
      <c r="AN201" s="188"/>
      <c r="AO201" s="299"/>
      <c r="CF201" s="294"/>
      <c r="CG201" s="294"/>
      <c r="CH201" s="294"/>
      <c r="CI201" s="294"/>
      <c r="CJ201" s="294"/>
      <c r="CK201" s="294"/>
      <c r="CL201" s="294"/>
      <c r="CM201" s="294"/>
      <c r="CN201" s="294"/>
      <c r="CT201" s="510">
        <v>11</v>
      </c>
      <c r="CU201" s="359" t="s">
        <v>1417</v>
      </c>
      <c r="CV201" s="361">
        <v>6189930.8799999999</v>
      </c>
      <c r="CW201" s="361">
        <v>424034.85</v>
      </c>
      <c r="CX201" s="361">
        <v>669838.65</v>
      </c>
      <c r="CY201" s="361">
        <v>218243.8</v>
      </c>
      <c r="CZ201" s="361">
        <v>894336.56</v>
      </c>
      <c r="DA201" s="361">
        <v>657686.15</v>
      </c>
      <c r="DB201" s="361">
        <v>674482.52</v>
      </c>
      <c r="DC201" s="361">
        <v>1363428.61</v>
      </c>
      <c r="DD201" s="361">
        <v>710133.23</v>
      </c>
      <c r="DE201" s="361">
        <v>577746.52</v>
      </c>
      <c r="DF201" s="361">
        <v>0</v>
      </c>
      <c r="DG201" s="361"/>
      <c r="DH201" s="361"/>
      <c r="DI201" s="361"/>
      <c r="DJ201" s="362"/>
    </row>
    <row r="202" spans="2:114" ht="13">
      <c r="B202" s="294"/>
      <c r="F202" s="302"/>
      <c r="J202" s="302"/>
      <c r="AI202" s="188"/>
      <c r="AJ202" s="188"/>
      <c r="AK202" s="188"/>
      <c r="AL202" s="188"/>
      <c r="AM202" s="188"/>
      <c r="AN202" s="188"/>
      <c r="AO202" s="299"/>
      <c r="CF202" s="294"/>
      <c r="CG202" s="294"/>
      <c r="CH202" s="294"/>
      <c r="CI202" s="294"/>
      <c r="CJ202" s="294"/>
      <c r="CK202" s="294"/>
      <c r="CL202" s="294"/>
      <c r="CM202" s="294"/>
      <c r="CN202" s="294"/>
      <c r="CT202" s="510">
        <v>12</v>
      </c>
      <c r="CU202" s="359" t="s">
        <v>1404</v>
      </c>
      <c r="CV202" s="361">
        <v>6098403.6399999997</v>
      </c>
      <c r="CW202" s="361">
        <v>579447.57999999996</v>
      </c>
      <c r="CX202" s="361">
        <v>1409413.51</v>
      </c>
      <c r="CY202" s="361">
        <v>2005765.67</v>
      </c>
      <c r="CZ202" s="361">
        <v>0</v>
      </c>
      <c r="DA202" s="361">
        <v>218127.06</v>
      </c>
      <c r="DB202" s="361">
        <v>1330404.69</v>
      </c>
      <c r="DC202" s="361">
        <v>555245.13</v>
      </c>
      <c r="DD202" s="361">
        <v>0</v>
      </c>
      <c r="DE202" s="361">
        <v>0</v>
      </c>
      <c r="DF202" s="361">
        <v>0</v>
      </c>
      <c r="DG202" s="361"/>
      <c r="DH202" s="361"/>
      <c r="DI202" s="361"/>
      <c r="DJ202" s="362"/>
    </row>
    <row r="203" spans="2:114" ht="13">
      <c r="B203" s="294"/>
      <c r="F203" s="302"/>
      <c r="J203" s="302"/>
      <c r="AI203" s="188"/>
      <c r="AJ203" s="188"/>
      <c r="AK203" s="188"/>
      <c r="AL203" s="188"/>
      <c r="AM203" s="188"/>
      <c r="AN203" s="188"/>
      <c r="AO203" s="299"/>
      <c r="CF203" s="294"/>
      <c r="CG203" s="294"/>
      <c r="CH203" s="294"/>
      <c r="CI203" s="294"/>
      <c r="CJ203" s="294"/>
      <c r="CK203" s="294"/>
      <c r="CL203" s="294"/>
      <c r="CM203" s="294"/>
      <c r="CN203" s="294"/>
      <c r="CT203" s="510">
        <v>13</v>
      </c>
      <c r="CU203" s="359" t="s">
        <v>1413</v>
      </c>
      <c r="CV203" s="361">
        <v>4527147.66</v>
      </c>
      <c r="CW203" s="361">
        <v>342970.38</v>
      </c>
      <c r="CX203" s="361">
        <v>403810.74</v>
      </c>
      <c r="CY203" s="361">
        <v>410534.43</v>
      </c>
      <c r="CZ203" s="361">
        <v>346658.5</v>
      </c>
      <c r="DA203" s="361">
        <v>448194.65</v>
      </c>
      <c r="DB203" s="361">
        <v>484955.54</v>
      </c>
      <c r="DC203" s="361">
        <v>526803.24</v>
      </c>
      <c r="DD203" s="361">
        <v>656563</v>
      </c>
      <c r="DE203" s="361">
        <v>617556.30000000005</v>
      </c>
      <c r="DF203" s="361">
        <v>289100.88</v>
      </c>
      <c r="DG203" s="361"/>
      <c r="DH203" s="361"/>
      <c r="DI203" s="361"/>
      <c r="DJ203" s="362"/>
    </row>
    <row r="204" spans="2:114" ht="13">
      <c r="B204" s="294"/>
      <c r="F204" s="302"/>
      <c r="J204" s="302"/>
      <c r="AI204" s="188"/>
      <c r="AJ204" s="188"/>
      <c r="AK204" s="188"/>
      <c r="AL204" s="188"/>
      <c r="AM204" s="188"/>
      <c r="AN204" s="188"/>
      <c r="AO204" s="299"/>
      <c r="CF204" s="294"/>
      <c r="CG204" s="294"/>
      <c r="CH204" s="294"/>
      <c r="CI204" s="294"/>
      <c r="CJ204" s="294"/>
      <c r="CK204" s="294"/>
      <c r="CL204" s="294"/>
      <c r="CM204" s="294"/>
      <c r="CN204" s="294"/>
      <c r="CT204" s="510">
        <v>14</v>
      </c>
      <c r="CU204" s="359" t="s">
        <v>1408</v>
      </c>
      <c r="CV204" s="361">
        <v>4526650.8</v>
      </c>
      <c r="CW204" s="361">
        <v>240550.2</v>
      </c>
      <c r="CX204" s="361">
        <v>190929.53</v>
      </c>
      <c r="CY204" s="361">
        <v>711976.19</v>
      </c>
      <c r="CZ204" s="361">
        <v>430738.05</v>
      </c>
      <c r="DA204" s="361">
        <v>467572.14</v>
      </c>
      <c r="DB204" s="361">
        <v>414456.13</v>
      </c>
      <c r="DC204" s="361">
        <v>320316.65000000002</v>
      </c>
      <c r="DD204" s="361">
        <v>697458.87</v>
      </c>
      <c r="DE204" s="361">
        <v>743234.73</v>
      </c>
      <c r="DF204" s="361">
        <v>309418.32</v>
      </c>
      <c r="DG204" s="361"/>
      <c r="DH204" s="361"/>
      <c r="DI204" s="361"/>
      <c r="DJ204" s="362"/>
    </row>
    <row r="205" spans="2:114" ht="13">
      <c r="B205" s="294"/>
      <c r="F205" s="302"/>
      <c r="J205" s="302"/>
      <c r="AI205" s="188"/>
      <c r="AJ205" s="188"/>
      <c r="AK205" s="188"/>
      <c r="AL205" s="188"/>
      <c r="AM205" s="188"/>
      <c r="AN205" s="188"/>
      <c r="AO205" s="299"/>
      <c r="CF205" s="294"/>
      <c r="CG205" s="294"/>
      <c r="CH205" s="294"/>
      <c r="CI205" s="294"/>
      <c r="CJ205" s="294"/>
      <c r="CK205" s="294"/>
      <c r="CL205" s="294"/>
      <c r="CM205" s="294"/>
      <c r="CN205" s="294"/>
      <c r="CT205" s="510">
        <v>15</v>
      </c>
      <c r="CU205" s="359" t="s">
        <v>1454</v>
      </c>
      <c r="CV205" s="361">
        <v>4438203.5599999996</v>
      </c>
      <c r="CW205" s="361">
        <v>0</v>
      </c>
      <c r="CX205" s="361">
        <v>709457.03</v>
      </c>
      <c r="CY205" s="361">
        <v>0</v>
      </c>
      <c r="CZ205" s="361">
        <v>1104783.0900000001</v>
      </c>
      <c r="DA205" s="361">
        <v>0</v>
      </c>
      <c r="DB205" s="361">
        <v>0</v>
      </c>
      <c r="DC205" s="361">
        <v>504693.27</v>
      </c>
      <c r="DD205" s="361">
        <v>2119270.17</v>
      </c>
      <c r="DE205" s="361">
        <v>0</v>
      </c>
      <c r="DF205" s="361">
        <v>0</v>
      </c>
      <c r="DG205" s="365"/>
      <c r="DH205" s="365"/>
      <c r="DI205" s="365"/>
      <c r="DJ205" s="366"/>
    </row>
    <row r="206" spans="2:114" ht="13">
      <c r="B206" s="294"/>
      <c r="F206" s="302"/>
      <c r="J206" s="302"/>
      <c r="AI206" s="188"/>
      <c r="AJ206" s="188"/>
      <c r="AK206" s="188"/>
      <c r="AL206" s="188"/>
      <c r="AM206" s="188"/>
      <c r="AN206" s="188"/>
      <c r="AO206" s="299"/>
      <c r="CF206" s="294"/>
      <c r="CG206" s="294"/>
      <c r="CH206" s="294"/>
      <c r="CI206" s="294"/>
      <c r="CJ206" s="294"/>
      <c r="CK206" s="294"/>
      <c r="CL206" s="294"/>
      <c r="CM206" s="294"/>
      <c r="CN206" s="294"/>
      <c r="CT206" s="510">
        <v>16</v>
      </c>
      <c r="CU206" s="359" t="s">
        <v>1416</v>
      </c>
      <c r="CV206" s="361">
        <v>4254476.8099999996</v>
      </c>
      <c r="CW206" s="361">
        <v>499535.87</v>
      </c>
      <c r="CX206" s="361">
        <v>227527.04000000001</v>
      </c>
      <c r="CY206" s="361">
        <v>403450.36</v>
      </c>
      <c r="CZ206" s="361">
        <v>17420.400000000001</v>
      </c>
      <c r="DA206" s="361">
        <v>533441.03</v>
      </c>
      <c r="DB206" s="361">
        <v>502251.39</v>
      </c>
      <c r="DC206" s="361">
        <v>309620.74</v>
      </c>
      <c r="DD206" s="361">
        <v>200987.33</v>
      </c>
      <c r="DE206" s="361">
        <v>732874.65</v>
      </c>
      <c r="DF206" s="361">
        <v>827368</v>
      </c>
      <c r="DG206" s="361"/>
      <c r="DH206" s="361"/>
      <c r="DI206" s="361"/>
      <c r="DJ206" s="362"/>
    </row>
    <row r="207" spans="2:114" ht="13">
      <c r="B207" s="294"/>
      <c r="F207" s="302"/>
      <c r="J207" s="302"/>
      <c r="AI207" s="188"/>
      <c r="AJ207" s="188"/>
      <c r="AK207" s="188"/>
      <c r="AL207" s="188"/>
      <c r="AM207" s="188"/>
      <c r="AN207" s="188"/>
      <c r="AO207" s="299"/>
      <c r="CF207" s="294"/>
      <c r="CG207" s="294"/>
      <c r="CH207" s="294"/>
      <c r="CI207" s="294"/>
      <c r="CJ207" s="294"/>
      <c r="CK207" s="294"/>
      <c r="CL207" s="294"/>
      <c r="CM207" s="294"/>
      <c r="CN207" s="294"/>
      <c r="CT207" s="510">
        <v>17</v>
      </c>
      <c r="CU207" s="359" t="s">
        <v>1397</v>
      </c>
      <c r="CV207" s="361">
        <v>3461808.59</v>
      </c>
      <c r="CW207" s="361">
        <v>621280.86</v>
      </c>
      <c r="CX207" s="361">
        <v>481627.97</v>
      </c>
      <c r="CY207" s="361">
        <v>933739.86</v>
      </c>
      <c r="CZ207" s="361">
        <v>510194.23</v>
      </c>
      <c r="DA207" s="361">
        <v>366000.26</v>
      </c>
      <c r="DB207" s="361">
        <v>397367.59</v>
      </c>
      <c r="DC207" s="361">
        <v>151597.81</v>
      </c>
      <c r="DD207" s="361">
        <v>0</v>
      </c>
      <c r="DE207" s="361">
        <v>0</v>
      </c>
      <c r="DF207" s="361">
        <v>0</v>
      </c>
      <c r="DG207" s="361"/>
      <c r="DH207" s="361"/>
      <c r="DI207" s="361"/>
      <c r="DJ207" s="362"/>
    </row>
    <row r="208" spans="2:114" ht="13">
      <c r="B208" s="294"/>
      <c r="F208" s="302"/>
      <c r="J208" s="302"/>
      <c r="AI208" s="188"/>
      <c r="AJ208" s="188"/>
      <c r="AK208" s="188"/>
      <c r="AL208" s="188"/>
      <c r="AM208" s="188"/>
      <c r="AN208" s="188"/>
      <c r="AO208" s="299"/>
      <c r="CF208" s="294"/>
      <c r="CG208" s="294"/>
      <c r="CH208" s="294"/>
      <c r="CI208" s="294"/>
      <c r="CJ208" s="294"/>
      <c r="CK208" s="294"/>
      <c r="CL208" s="294"/>
      <c r="CM208" s="294"/>
      <c r="CN208" s="294"/>
      <c r="CT208" s="510">
        <v>18</v>
      </c>
      <c r="CU208" s="359" t="s">
        <v>1464</v>
      </c>
      <c r="CV208" s="361">
        <v>3436881.82</v>
      </c>
      <c r="CW208" s="361">
        <v>3038355.55</v>
      </c>
      <c r="CX208" s="361">
        <v>398526.27</v>
      </c>
      <c r="CY208" s="361">
        <v>0</v>
      </c>
      <c r="CZ208" s="361">
        <v>0</v>
      </c>
      <c r="DA208" s="361">
        <v>0</v>
      </c>
      <c r="DB208" s="361">
        <v>0</v>
      </c>
      <c r="DC208" s="361">
        <v>0</v>
      </c>
      <c r="DD208" s="361">
        <v>0</v>
      </c>
      <c r="DE208" s="361">
        <v>0</v>
      </c>
      <c r="DF208" s="361">
        <v>0</v>
      </c>
      <c r="DG208" s="361"/>
      <c r="DH208" s="361"/>
      <c r="DI208" s="361"/>
      <c r="DJ208" s="362"/>
    </row>
    <row r="209" spans="2:114" ht="13">
      <c r="B209" s="294"/>
      <c r="F209" s="302"/>
      <c r="J209" s="302"/>
      <c r="AI209" s="188"/>
      <c r="AJ209" s="188"/>
      <c r="AK209" s="188"/>
      <c r="AL209" s="188"/>
      <c r="AM209" s="188"/>
      <c r="AN209" s="188"/>
      <c r="AO209" s="299"/>
      <c r="CF209" s="294"/>
      <c r="CG209" s="294"/>
      <c r="CH209" s="294"/>
      <c r="CI209" s="294"/>
      <c r="CJ209" s="294"/>
      <c r="CK209" s="294"/>
      <c r="CL209" s="294"/>
      <c r="CM209" s="294"/>
      <c r="CN209" s="294"/>
      <c r="CT209" s="510">
        <v>19</v>
      </c>
      <c r="CU209" s="359" t="s">
        <v>1453</v>
      </c>
      <c r="CV209" s="361">
        <v>3227888.2</v>
      </c>
      <c r="CW209" s="361">
        <v>269357.36</v>
      </c>
      <c r="CX209" s="361">
        <v>0</v>
      </c>
      <c r="CY209" s="361">
        <v>326792.71000000002</v>
      </c>
      <c r="CZ209" s="361">
        <v>0</v>
      </c>
      <c r="DA209" s="361">
        <v>417099.14</v>
      </c>
      <c r="DB209" s="361">
        <v>294383.19</v>
      </c>
      <c r="DC209" s="361">
        <v>0</v>
      </c>
      <c r="DD209" s="361">
        <v>460661.03</v>
      </c>
      <c r="DE209" s="361">
        <v>1055796.3799999999</v>
      </c>
      <c r="DF209" s="361">
        <v>403798.39</v>
      </c>
      <c r="DG209" s="361"/>
      <c r="DH209" s="361"/>
      <c r="DI209" s="361"/>
      <c r="DJ209" s="362"/>
    </row>
    <row r="210" spans="2:114" ht="13">
      <c r="B210" s="294"/>
      <c r="F210" s="302"/>
      <c r="J210" s="302"/>
      <c r="AI210" s="188"/>
      <c r="AJ210" s="188"/>
      <c r="AK210" s="188"/>
      <c r="AL210" s="188"/>
      <c r="AM210" s="188"/>
      <c r="AN210" s="188"/>
      <c r="AO210" s="299"/>
      <c r="CF210" s="294"/>
      <c r="CG210" s="294"/>
      <c r="CH210" s="294"/>
      <c r="CI210" s="294"/>
      <c r="CJ210" s="294"/>
      <c r="CK210" s="294"/>
      <c r="CL210" s="294"/>
      <c r="CM210" s="294"/>
      <c r="CN210" s="294"/>
      <c r="CT210" s="510">
        <v>20</v>
      </c>
      <c r="CU210" s="359" t="s">
        <v>1411</v>
      </c>
      <c r="CV210" s="361">
        <v>3181990.84</v>
      </c>
      <c r="CW210" s="361">
        <v>467242.99</v>
      </c>
      <c r="CX210" s="361">
        <v>175436.3</v>
      </c>
      <c r="CY210" s="361">
        <v>504183.54</v>
      </c>
      <c r="CZ210" s="361">
        <v>207053.73</v>
      </c>
      <c r="DA210" s="361">
        <v>360517.38</v>
      </c>
      <c r="DB210" s="361">
        <v>445443.13</v>
      </c>
      <c r="DC210" s="361">
        <v>0</v>
      </c>
      <c r="DD210" s="361">
        <v>580263.11</v>
      </c>
      <c r="DE210" s="361">
        <v>441850.67</v>
      </c>
      <c r="DF210" s="361">
        <v>0</v>
      </c>
      <c r="DG210" s="361"/>
      <c r="DH210" s="361"/>
      <c r="DI210" s="361"/>
      <c r="DJ210" s="362"/>
    </row>
    <row r="211" spans="2:114" ht="13">
      <c r="B211" s="294"/>
      <c r="F211" s="302"/>
      <c r="J211" s="302"/>
      <c r="AI211" s="188"/>
      <c r="AJ211" s="188"/>
      <c r="AK211" s="188"/>
      <c r="AL211" s="188"/>
      <c r="AM211" s="188"/>
      <c r="AN211" s="188"/>
      <c r="AO211" s="299"/>
      <c r="CF211" s="294"/>
      <c r="CG211" s="294"/>
      <c r="CH211" s="294"/>
      <c r="CI211" s="294"/>
      <c r="CJ211" s="294"/>
      <c r="CK211" s="294"/>
      <c r="CL211" s="294"/>
      <c r="CM211" s="294"/>
      <c r="CN211" s="294"/>
      <c r="CT211" s="510">
        <v>21</v>
      </c>
      <c r="CU211" s="359" t="s">
        <v>1434</v>
      </c>
      <c r="CV211" s="361">
        <v>3153168.94</v>
      </c>
      <c r="CW211" s="361">
        <v>0</v>
      </c>
      <c r="CX211" s="361">
        <v>0</v>
      </c>
      <c r="CY211" s="361">
        <v>0</v>
      </c>
      <c r="CZ211" s="361">
        <v>0</v>
      </c>
      <c r="DA211" s="361">
        <v>0</v>
      </c>
      <c r="DB211" s="361">
        <v>463566.69</v>
      </c>
      <c r="DC211" s="361">
        <v>495013.06</v>
      </c>
      <c r="DD211" s="361">
        <v>901098.38</v>
      </c>
      <c r="DE211" s="361">
        <v>361667.8</v>
      </c>
      <c r="DF211" s="361">
        <v>931823.01</v>
      </c>
      <c r="DG211" s="361"/>
      <c r="DH211" s="361"/>
      <c r="DI211" s="361"/>
      <c r="DJ211" s="362"/>
    </row>
    <row r="212" spans="2:114" ht="13">
      <c r="B212" s="294"/>
      <c r="F212" s="302"/>
      <c r="J212" s="302"/>
      <c r="AI212" s="188"/>
      <c r="AJ212" s="188"/>
      <c r="AK212" s="188"/>
      <c r="AL212" s="188"/>
      <c r="AM212" s="188"/>
      <c r="AN212" s="188"/>
      <c r="AO212" s="299"/>
      <c r="CF212" s="294"/>
      <c r="CG212" s="294"/>
      <c r="CH212" s="294"/>
      <c r="CI212" s="294"/>
      <c r="CJ212" s="294"/>
      <c r="CK212" s="294"/>
      <c r="CL212" s="294"/>
      <c r="CM212" s="294"/>
      <c r="CN212" s="294"/>
      <c r="CT212" s="510">
        <v>22</v>
      </c>
      <c r="CU212" s="359" t="s">
        <v>1437</v>
      </c>
      <c r="CV212" s="361">
        <v>2539402.09</v>
      </c>
      <c r="CW212" s="361">
        <v>0</v>
      </c>
      <c r="CX212" s="361">
        <v>0</v>
      </c>
      <c r="CY212" s="361">
        <v>0</v>
      </c>
      <c r="CZ212" s="361">
        <v>575039.16</v>
      </c>
      <c r="DA212" s="361">
        <v>0</v>
      </c>
      <c r="DB212" s="361">
        <v>0</v>
      </c>
      <c r="DC212" s="361">
        <v>600458.19999999995</v>
      </c>
      <c r="DD212" s="361">
        <v>632288.42000000004</v>
      </c>
      <c r="DE212" s="361">
        <v>0</v>
      </c>
      <c r="DF212" s="361">
        <v>731616.31</v>
      </c>
      <c r="DG212" s="361"/>
      <c r="DH212" s="361"/>
      <c r="DI212" s="361"/>
      <c r="DJ212" s="362"/>
    </row>
    <row r="213" spans="2:114" ht="13">
      <c r="B213" s="294"/>
      <c r="F213" s="302"/>
      <c r="J213" s="302"/>
      <c r="AI213" s="188"/>
      <c r="AJ213" s="188"/>
      <c r="AK213" s="188"/>
      <c r="AL213" s="188"/>
      <c r="AM213" s="188"/>
      <c r="AN213" s="188"/>
      <c r="AO213" s="299"/>
      <c r="CF213" s="294"/>
      <c r="CG213" s="294"/>
      <c r="CH213" s="294"/>
      <c r="CI213" s="294"/>
      <c r="CJ213" s="294"/>
      <c r="CK213" s="294"/>
      <c r="CL213" s="294"/>
      <c r="CM213" s="294"/>
      <c r="CN213" s="294"/>
      <c r="CT213" s="510">
        <v>23</v>
      </c>
      <c r="CU213" s="359" t="s">
        <v>1495</v>
      </c>
      <c r="CV213" s="361">
        <v>2039061.55</v>
      </c>
      <c r="CW213" s="361">
        <v>0</v>
      </c>
      <c r="CX213" s="361">
        <v>0</v>
      </c>
      <c r="CY213" s="361">
        <v>0</v>
      </c>
      <c r="CZ213" s="361">
        <v>425233.88</v>
      </c>
      <c r="DA213" s="361">
        <v>0</v>
      </c>
      <c r="DB213" s="361">
        <v>0</v>
      </c>
      <c r="DC213" s="361">
        <v>0</v>
      </c>
      <c r="DD213" s="361">
        <v>1147873.6399999999</v>
      </c>
      <c r="DE213" s="361">
        <v>0</v>
      </c>
      <c r="DF213" s="361">
        <v>465954.02</v>
      </c>
      <c r="DG213" s="361"/>
      <c r="DH213" s="361"/>
      <c r="DI213" s="361"/>
      <c r="DJ213" s="362"/>
    </row>
    <row r="214" spans="2:114" ht="13">
      <c r="B214" s="294"/>
      <c r="F214" s="302"/>
      <c r="J214" s="302"/>
      <c r="AI214" s="188"/>
      <c r="AJ214" s="188"/>
      <c r="AK214" s="188"/>
      <c r="AL214" s="188"/>
      <c r="AM214" s="188"/>
      <c r="AN214" s="188"/>
      <c r="AO214" s="299"/>
      <c r="CF214" s="294"/>
      <c r="CG214" s="294"/>
      <c r="CH214" s="294"/>
      <c r="CI214" s="294"/>
      <c r="CJ214" s="294"/>
      <c r="CK214" s="294"/>
      <c r="CL214" s="294"/>
      <c r="CM214" s="294"/>
      <c r="CN214" s="294"/>
      <c r="CT214" s="510">
        <v>24</v>
      </c>
      <c r="CU214" s="359" t="s">
        <v>1415</v>
      </c>
      <c r="CV214" s="361">
        <v>1903241.15</v>
      </c>
      <c r="CW214" s="361">
        <v>397461.14</v>
      </c>
      <c r="CX214" s="361">
        <v>803925.18</v>
      </c>
      <c r="CY214" s="361">
        <v>-4422.8599999999997</v>
      </c>
      <c r="CZ214" s="361">
        <v>430948.19</v>
      </c>
      <c r="DA214" s="361">
        <v>275329.5</v>
      </c>
      <c r="DB214" s="361">
        <v>0</v>
      </c>
      <c r="DC214" s="361">
        <v>0</v>
      </c>
      <c r="DD214" s="361">
        <v>0</v>
      </c>
      <c r="DE214" s="361">
        <v>0</v>
      </c>
      <c r="DF214" s="361">
        <v>0</v>
      </c>
      <c r="DG214" s="361"/>
      <c r="DH214" s="361"/>
      <c r="DI214" s="361"/>
      <c r="DJ214" s="362"/>
    </row>
    <row r="215" spans="2:114" ht="13">
      <c r="B215" s="294"/>
      <c r="F215" s="302"/>
      <c r="J215" s="302"/>
      <c r="AI215" s="188"/>
      <c r="AJ215" s="188"/>
      <c r="AK215" s="188"/>
      <c r="AL215" s="188"/>
      <c r="AM215" s="188"/>
      <c r="AN215" s="188"/>
      <c r="AO215" s="299"/>
      <c r="CF215" s="294"/>
      <c r="CG215" s="294"/>
      <c r="CH215" s="294"/>
      <c r="CI215" s="294"/>
      <c r="CJ215" s="294"/>
      <c r="CK215" s="294"/>
      <c r="CL215" s="294"/>
      <c r="CM215" s="294"/>
      <c r="CN215" s="294"/>
      <c r="CT215" s="510">
        <v>25</v>
      </c>
      <c r="CU215" s="359" t="s">
        <v>1419</v>
      </c>
      <c r="CV215" s="361">
        <v>1881833.39</v>
      </c>
      <c r="CW215" s="361">
        <v>374811.3</v>
      </c>
      <c r="CX215" s="361">
        <v>144606.92000000001</v>
      </c>
      <c r="CY215" s="361">
        <v>368133.46</v>
      </c>
      <c r="CZ215" s="361">
        <v>168382.37</v>
      </c>
      <c r="DA215" s="361">
        <v>108697.9</v>
      </c>
      <c r="DB215" s="361">
        <v>0</v>
      </c>
      <c r="DC215" s="361">
        <v>0</v>
      </c>
      <c r="DD215" s="361">
        <v>307556.53999999998</v>
      </c>
      <c r="DE215" s="361">
        <v>0</v>
      </c>
      <c r="DF215" s="361">
        <v>409644.9</v>
      </c>
      <c r="DG215" s="365"/>
      <c r="DH215" s="365"/>
      <c r="DI215" s="365"/>
      <c r="DJ215" s="366"/>
    </row>
    <row r="216" spans="2:114" ht="13">
      <c r="B216" s="294"/>
      <c r="F216" s="302"/>
      <c r="J216" s="302"/>
      <c r="AI216" s="188"/>
      <c r="AJ216" s="188"/>
      <c r="AK216" s="188"/>
      <c r="AL216" s="188"/>
      <c r="AM216" s="188"/>
      <c r="AN216" s="188"/>
      <c r="AO216" s="299"/>
      <c r="CF216" s="294"/>
      <c r="CG216" s="294"/>
      <c r="CH216" s="294"/>
      <c r="CI216" s="294"/>
      <c r="CJ216" s="294"/>
      <c r="CK216" s="294"/>
      <c r="CL216" s="294"/>
      <c r="CM216" s="294"/>
      <c r="CN216" s="294"/>
      <c r="CT216" s="510">
        <v>26</v>
      </c>
      <c r="CU216" s="359" t="s">
        <v>1463</v>
      </c>
      <c r="CV216" s="361">
        <v>1806803.93</v>
      </c>
      <c r="CW216" s="361">
        <v>207252</v>
      </c>
      <c r="CX216" s="361">
        <v>0</v>
      </c>
      <c r="CY216" s="361">
        <v>588742.92000000004</v>
      </c>
      <c r="CZ216" s="361">
        <v>0.03</v>
      </c>
      <c r="DA216" s="361">
        <v>0</v>
      </c>
      <c r="DB216" s="361">
        <v>0</v>
      </c>
      <c r="DC216" s="361">
        <v>0</v>
      </c>
      <c r="DD216" s="361">
        <v>579240.79</v>
      </c>
      <c r="DE216" s="361">
        <v>43258.5</v>
      </c>
      <c r="DF216" s="361">
        <v>388309.69</v>
      </c>
      <c r="DG216" s="361"/>
      <c r="DH216" s="361"/>
      <c r="DI216" s="361"/>
      <c r="DJ216" s="362"/>
    </row>
    <row r="217" spans="2:114" ht="13">
      <c r="B217" s="294"/>
      <c r="F217" s="302"/>
      <c r="J217" s="302"/>
      <c r="AI217" s="188"/>
      <c r="AJ217" s="188"/>
      <c r="AK217" s="188"/>
      <c r="AL217" s="188"/>
      <c r="AM217" s="188"/>
      <c r="AN217" s="188"/>
      <c r="AO217" s="299"/>
      <c r="CF217" s="294"/>
      <c r="CG217" s="294"/>
      <c r="CH217" s="294"/>
      <c r="CI217" s="294"/>
      <c r="CJ217" s="294"/>
      <c r="CK217" s="294"/>
      <c r="CL217" s="294"/>
      <c r="CM217" s="294"/>
      <c r="CN217" s="294"/>
      <c r="CT217" s="510">
        <v>27</v>
      </c>
      <c r="CU217" s="359" t="s">
        <v>1462</v>
      </c>
      <c r="CV217" s="361">
        <v>1740845.55</v>
      </c>
      <c r="CW217" s="361">
        <v>901152.11</v>
      </c>
      <c r="CX217" s="361">
        <v>0</v>
      </c>
      <c r="CY217" s="361">
        <v>0</v>
      </c>
      <c r="CZ217" s="361">
        <v>0</v>
      </c>
      <c r="DA217" s="361">
        <v>0</v>
      </c>
      <c r="DB217" s="361">
        <v>0</v>
      </c>
      <c r="DC217" s="361">
        <v>839693.44</v>
      </c>
      <c r="DD217" s="361">
        <v>0</v>
      </c>
      <c r="DE217" s="361">
        <v>0</v>
      </c>
      <c r="DF217" s="361">
        <v>0</v>
      </c>
      <c r="DG217" s="361"/>
      <c r="DH217" s="361"/>
      <c r="DI217" s="361"/>
      <c r="DJ217" s="362"/>
    </row>
    <row r="218" spans="2:114" ht="13">
      <c r="B218" s="294"/>
      <c r="F218" s="302"/>
      <c r="J218" s="302"/>
      <c r="AI218" s="188"/>
      <c r="AJ218" s="188"/>
      <c r="AK218" s="188"/>
      <c r="AL218" s="188"/>
      <c r="AM218" s="188"/>
      <c r="AN218" s="188"/>
      <c r="AO218" s="299"/>
      <c r="CF218" s="294"/>
      <c r="CG218" s="294"/>
      <c r="CH218" s="294"/>
      <c r="CI218" s="294"/>
      <c r="CJ218" s="294"/>
      <c r="CK218" s="294"/>
      <c r="CL218" s="294"/>
      <c r="CM218" s="294"/>
      <c r="CN218" s="294"/>
      <c r="CT218" s="510">
        <v>28</v>
      </c>
      <c r="CU218" s="359" t="s">
        <v>1114</v>
      </c>
      <c r="CV218" s="361">
        <v>1699733.26</v>
      </c>
      <c r="CW218" s="361">
        <v>0</v>
      </c>
      <c r="CX218" s="361">
        <v>0</v>
      </c>
      <c r="CY218" s="361">
        <v>0</v>
      </c>
      <c r="CZ218" s="361">
        <v>0</v>
      </c>
      <c r="DA218" s="361">
        <v>404959</v>
      </c>
      <c r="DB218" s="361">
        <v>0</v>
      </c>
      <c r="DC218" s="361">
        <v>0</v>
      </c>
      <c r="DD218" s="361">
        <v>89520</v>
      </c>
      <c r="DE218" s="361">
        <v>0</v>
      </c>
      <c r="DF218" s="361">
        <v>1205254.26</v>
      </c>
      <c r="DG218" s="361"/>
      <c r="DH218" s="361"/>
      <c r="DI218" s="361"/>
      <c r="DJ218" s="362"/>
    </row>
    <row r="219" spans="2:114" ht="13">
      <c r="B219" s="294"/>
      <c r="F219" s="302"/>
      <c r="J219" s="302"/>
      <c r="AI219" s="188"/>
      <c r="AJ219" s="188"/>
      <c r="AK219" s="188"/>
      <c r="AL219" s="188"/>
      <c r="AM219" s="188"/>
      <c r="AN219" s="188"/>
      <c r="AO219" s="299"/>
      <c r="CF219" s="294"/>
      <c r="CG219" s="294"/>
      <c r="CH219" s="294"/>
      <c r="CI219" s="294"/>
      <c r="CJ219" s="294"/>
      <c r="CK219" s="294"/>
      <c r="CL219" s="294"/>
      <c r="CM219" s="294"/>
      <c r="CN219" s="294"/>
      <c r="CT219" s="510">
        <v>29</v>
      </c>
      <c r="CU219" s="359" t="s">
        <v>1490</v>
      </c>
      <c r="CV219" s="361">
        <v>1690604.84</v>
      </c>
      <c r="CW219" s="361">
        <v>0</v>
      </c>
      <c r="CX219" s="361">
        <v>0</v>
      </c>
      <c r="CY219" s="361">
        <v>0</v>
      </c>
      <c r="CZ219" s="361">
        <v>0</v>
      </c>
      <c r="DA219" s="361">
        <v>0</v>
      </c>
      <c r="DB219" s="361">
        <v>0</v>
      </c>
      <c r="DC219" s="361">
        <v>0</v>
      </c>
      <c r="DD219" s="361">
        <v>1690604.84</v>
      </c>
      <c r="DE219" s="365">
        <v>0</v>
      </c>
      <c r="DF219" s="365">
        <v>0</v>
      </c>
      <c r="DG219" s="365"/>
      <c r="DH219" s="365"/>
      <c r="DI219" s="365"/>
      <c r="DJ219" s="366"/>
    </row>
    <row r="220" spans="2:114" ht="13">
      <c r="B220" s="294"/>
      <c r="F220" s="302"/>
      <c r="J220" s="302"/>
      <c r="AI220" s="188"/>
      <c r="AJ220" s="188"/>
      <c r="AK220" s="188"/>
      <c r="AL220" s="188"/>
      <c r="AM220" s="188"/>
      <c r="AN220" s="188"/>
      <c r="AO220" s="299"/>
      <c r="CF220" s="294"/>
      <c r="CG220" s="294"/>
      <c r="CH220" s="294"/>
      <c r="CI220" s="294"/>
      <c r="CJ220" s="294"/>
      <c r="CK220" s="294"/>
      <c r="CL220" s="294"/>
      <c r="CM220" s="294"/>
      <c r="CN220" s="294"/>
      <c r="CT220" s="510">
        <v>30</v>
      </c>
      <c r="CU220" s="359" t="s">
        <v>1316</v>
      </c>
      <c r="CV220" s="361">
        <v>1688244.24</v>
      </c>
      <c r="CW220" s="361">
        <v>264121.76</v>
      </c>
      <c r="CX220" s="361">
        <v>395042.4</v>
      </c>
      <c r="CY220" s="361">
        <v>279370.09000000003</v>
      </c>
      <c r="CZ220" s="361">
        <v>529259.75</v>
      </c>
      <c r="DA220" s="361">
        <v>220450.26</v>
      </c>
      <c r="DB220" s="361">
        <v>0</v>
      </c>
      <c r="DC220" s="361">
        <v>0</v>
      </c>
      <c r="DD220" s="361">
        <v>0</v>
      </c>
      <c r="DE220" s="361">
        <v>0</v>
      </c>
      <c r="DF220" s="361">
        <v>0</v>
      </c>
      <c r="DG220" s="361"/>
      <c r="DH220" s="361"/>
      <c r="DI220" s="361"/>
      <c r="DJ220" s="362"/>
    </row>
    <row r="221" spans="2:114" ht="13">
      <c r="B221" s="294"/>
      <c r="F221" s="302"/>
      <c r="J221" s="302"/>
      <c r="AI221" s="188"/>
      <c r="AJ221" s="188"/>
      <c r="AK221" s="188"/>
      <c r="AL221" s="188"/>
      <c r="AM221" s="188"/>
      <c r="AN221" s="188"/>
      <c r="AO221" s="299"/>
      <c r="CF221" s="294"/>
      <c r="CG221" s="294"/>
      <c r="CH221" s="294"/>
      <c r="CI221" s="294"/>
      <c r="CJ221" s="294"/>
      <c r="CK221" s="294"/>
      <c r="CL221" s="294"/>
      <c r="CM221" s="294"/>
      <c r="CN221" s="294"/>
      <c r="CT221" s="510">
        <v>31</v>
      </c>
      <c r="CU221" s="359" t="s">
        <v>1443</v>
      </c>
      <c r="CV221" s="361">
        <v>1607280.69</v>
      </c>
      <c r="CW221" s="361">
        <v>0</v>
      </c>
      <c r="CX221" s="361">
        <v>0</v>
      </c>
      <c r="CY221" s="361">
        <v>0</v>
      </c>
      <c r="CZ221" s="361">
        <v>0</v>
      </c>
      <c r="DA221" s="361">
        <v>0</v>
      </c>
      <c r="DB221" s="361">
        <v>0</v>
      </c>
      <c r="DC221" s="361">
        <v>0</v>
      </c>
      <c r="DD221" s="361">
        <v>0</v>
      </c>
      <c r="DE221" s="361">
        <v>0</v>
      </c>
      <c r="DF221" s="361">
        <v>1607280.69</v>
      </c>
      <c r="DG221" s="361"/>
      <c r="DH221" s="361"/>
      <c r="DI221" s="361"/>
      <c r="DJ221" s="362"/>
    </row>
    <row r="222" spans="2:114" ht="13">
      <c r="B222" s="294"/>
      <c r="F222" s="302"/>
      <c r="J222" s="302"/>
      <c r="AI222" s="188"/>
      <c r="AJ222" s="188"/>
      <c r="AK222" s="188"/>
      <c r="AL222" s="188"/>
      <c r="AM222" s="188"/>
      <c r="AN222" s="188"/>
      <c r="AO222" s="299"/>
      <c r="CF222" s="294"/>
      <c r="CG222" s="294"/>
      <c r="CH222" s="294"/>
      <c r="CI222" s="294"/>
      <c r="CJ222" s="294"/>
      <c r="CK222" s="294"/>
      <c r="CL222" s="294"/>
      <c r="CM222" s="294"/>
      <c r="CN222" s="294"/>
      <c r="CT222" s="510">
        <v>32</v>
      </c>
      <c r="CU222" s="359" t="s">
        <v>1418</v>
      </c>
      <c r="CV222" s="361">
        <v>1435155.33</v>
      </c>
      <c r="CW222" s="361">
        <v>93271.56</v>
      </c>
      <c r="CX222" s="361">
        <v>22846.83</v>
      </c>
      <c r="CY222" s="361">
        <v>68647.990000000005</v>
      </c>
      <c r="CZ222" s="361">
        <v>0</v>
      </c>
      <c r="DA222" s="361">
        <v>156765.47</v>
      </c>
      <c r="DB222" s="361">
        <v>0</v>
      </c>
      <c r="DC222" s="361">
        <v>0</v>
      </c>
      <c r="DD222" s="361">
        <v>0</v>
      </c>
      <c r="DE222" s="361">
        <v>696738.46</v>
      </c>
      <c r="DF222" s="361">
        <v>396885.02</v>
      </c>
      <c r="DG222" s="361"/>
      <c r="DH222" s="361"/>
      <c r="DI222" s="361"/>
      <c r="DJ222" s="362"/>
    </row>
    <row r="223" spans="2:114" ht="13">
      <c r="B223" s="294"/>
      <c r="F223" s="302"/>
      <c r="J223" s="302"/>
      <c r="AI223" s="188"/>
      <c r="AJ223" s="188"/>
      <c r="AK223" s="188"/>
      <c r="AL223" s="188"/>
      <c r="AM223" s="188"/>
      <c r="AN223" s="188"/>
      <c r="AO223" s="299"/>
      <c r="CF223" s="294"/>
      <c r="CG223" s="294"/>
      <c r="CH223" s="294"/>
      <c r="CI223" s="294"/>
      <c r="CJ223" s="294"/>
      <c r="CK223" s="294"/>
      <c r="CL223" s="294"/>
      <c r="CM223" s="294"/>
      <c r="CN223" s="294"/>
      <c r="CT223" s="510">
        <v>33</v>
      </c>
      <c r="CU223" s="359" t="s">
        <v>1424</v>
      </c>
      <c r="CV223" s="361">
        <v>1431431.13</v>
      </c>
      <c r="CW223" s="361">
        <v>66984.350000000006</v>
      </c>
      <c r="CX223" s="361">
        <v>0</v>
      </c>
      <c r="CY223" s="361">
        <v>0</v>
      </c>
      <c r="CZ223" s="361">
        <v>154590.41</v>
      </c>
      <c r="DA223" s="361">
        <v>81656.600000000006</v>
      </c>
      <c r="DB223" s="361">
        <v>124187.57</v>
      </c>
      <c r="DC223" s="361">
        <v>237758.94</v>
      </c>
      <c r="DD223" s="361">
        <v>211644.58</v>
      </c>
      <c r="DE223" s="361">
        <v>158591</v>
      </c>
      <c r="DF223" s="361">
        <v>396017.68</v>
      </c>
      <c r="DG223" s="365"/>
      <c r="DH223" s="365"/>
      <c r="DI223" s="365"/>
      <c r="DJ223" s="366"/>
    </row>
    <row r="224" spans="2:114" ht="13">
      <c r="B224" s="294"/>
      <c r="F224" s="302"/>
      <c r="J224" s="302"/>
      <c r="AI224" s="188"/>
      <c r="AJ224" s="188"/>
      <c r="AK224" s="188"/>
      <c r="AL224" s="188"/>
      <c r="AM224" s="188"/>
      <c r="AN224" s="188"/>
      <c r="AO224" s="299"/>
      <c r="CF224" s="294"/>
      <c r="CG224" s="294"/>
      <c r="CH224" s="294"/>
      <c r="CI224" s="294"/>
      <c r="CJ224" s="294"/>
      <c r="CK224" s="294"/>
      <c r="CL224" s="294"/>
      <c r="CM224" s="294"/>
      <c r="CN224" s="294"/>
      <c r="CT224" s="510">
        <v>34</v>
      </c>
      <c r="CU224" s="359" t="s">
        <v>1427</v>
      </c>
      <c r="CV224" s="361">
        <v>1386411.92</v>
      </c>
      <c r="CW224" s="361">
        <v>580849.16</v>
      </c>
      <c r="CX224" s="361">
        <v>107172.32</v>
      </c>
      <c r="CY224" s="361">
        <v>0</v>
      </c>
      <c r="CZ224" s="361">
        <v>0</v>
      </c>
      <c r="DA224" s="361">
        <v>0</v>
      </c>
      <c r="DB224" s="361">
        <v>157162.37</v>
      </c>
      <c r="DC224" s="361">
        <v>86262.8</v>
      </c>
      <c r="DD224" s="361">
        <v>134476.79</v>
      </c>
      <c r="DE224" s="361">
        <v>0</v>
      </c>
      <c r="DF224" s="361">
        <v>320488.5</v>
      </c>
      <c r="DG224" s="361"/>
      <c r="DH224" s="361"/>
      <c r="DI224" s="361"/>
      <c r="DJ224" s="362"/>
    </row>
    <row r="225" spans="2:114" ht="13">
      <c r="B225" s="294"/>
      <c r="F225" s="302"/>
      <c r="J225" s="302"/>
      <c r="AI225" s="188"/>
      <c r="AJ225" s="188"/>
      <c r="AK225" s="188"/>
      <c r="AL225" s="188"/>
      <c r="AM225" s="188"/>
      <c r="AN225" s="188"/>
      <c r="AO225" s="299"/>
      <c r="CF225" s="294"/>
      <c r="CG225" s="294"/>
      <c r="CH225" s="294"/>
      <c r="CI225" s="294"/>
      <c r="CJ225" s="294"/>
      <c r="CK225" s="294"/>
      <c r="CL225" s="294"/>
      <c r="CM225" s="294"/>
      <c r="CN225" s="294"/>
      <c r="CT225" s="510">
        <v>35</v>
      </c>
      <c r="CU225" s="359" t="s">
        <v>1426</v>
      </c>
      <c r="CV225" s="361">
        <v>1284562.1599999999</v>
      </c>
      <c r="CW225" s="361">
        <v>0</v>
      </c>
      <c r="CX225" s="361">
        <v>0</v>
      </c>
      <c r="CY225" s="361">
        <v>1284562.1599999999</v>
      </c>
      <c r="CZ225" s="361">
        <v>0</v>
      </c>
      <c r="DA225" s="361">
        <v>0</v>
      </c>
      <c r="DB225" s="361">
        <v>0</v>
      </c>
      <c r="DC225" s="361">
        <v>0</v>
      </c>
      <c r="DD225" s="361">
        <v>0</v>
      </c>
      <c r="DE225" s="361">
        <v>0</v>
      </c>
      <c r="DF225" s="361">
        <v>0</v>
      </c>
      <c r="DG225" s="361"/>
      <c r="DH225" s="361"/>
      <c r="DI225" s="361"/>
      <c r="DJ225" s="362"/>
    </row>
    <row r="226" spans="2:114" ht="13">
      <c r="B226" s="294"/>
      <c r="F226" s="302"/>
      <c r="J226" s="302"/>
      <c r="AI226" s="188"/>
      <c r="AJ226" s="188"/>
      <c r="AK226" s="188"/>
      <c r="AL226" s="188"/>
      <c r="AM226" s="188"/>
      <c r="AN226" s="188"/>
      <c r="AO226" s="299"/>
      <c r="CF226" s="294"/>
      <c r="CG226" s="294"/>
      <c r="CH226" s="294"/>
      <c r="CI226" s="294"/>
      <c r="CJ226" s="294"/>
      <c r="CK226" s="294"/>
      <c r="CL226" s="294"/>
      <c r="CM226" s="294"/>
      <c r="CN226" s="294"/>
      <c r="CT226" s="510">
        <v>36</v>
      </c>
      <c r="CU226" s="359" t="s">
        <v>1467</v>
      </c>
      <c r="CV226" s="361">
        <v>1276275.6499999999</v>
      </c>
      <c r="CW226" s="361">
        <v>267598.65999999997</v>
      </c>
      <c r="CX226" s="361">
        <v>239352.4</v>
      </c>
      <c r="CY226" s="361">
        <v>18068.29</v>
      </c>
      <c r="CZ226" s="361">
        <v>115020.64</v>
      </c>
      <c r="DA226" s="361">
        <v>73372.67</v>
      </c>
      <c r="DB226" s="361">
        <v>526006.32999999996</v>
      </c>
      <c r="DC226" s="361">
        <v>36856.67</v>
      </c>
      <c r="DD226" s="361">
        <v>0</v>
      </c>
      <c r="DE226" s="361">
        <v>0</v>
      </c>
      <c r="DF226" s="361">
        <v>0</v>
      </c>
      <c r="DG226" s="361"/>
      <c r="DH226" s="361"/>
      <c r="DI226" s="361"/>
      <c r="DJ226" s="362"/>
    </row>
    <row r="227" spans="2:114" ht="13">
      <c r="B227" s="294"/>
      <c r="F227" s="302"/>
      <c r="J227" s="302"/>
      <c r="AI227" s="188"/>
      <c r="AJ227" s="188"/>
      <c r="AK227" s="188"/>
      <c r="AL227" s="188"/>
      <c r="AM227" s="188"/>
      <c r="AN227" s="188"/>
      <c r="AO227" s="299"/>
      <c r="CF227" s="294"/>
      <c r="CG227" s="294"/>
      <c r="CH227" s="294"/>
      <c r="CI227" s="294"/>
      <c r="CJ227" s="294"/>
      <c r="CK227" s="294"/>
      <c r="CL227" s="294"/>
      <c r="CM227" s="294"/>
      <c r="CN227" s="294"/>
      <c r="CT227" s="510">
        <v>37</v>
      </c>
      <c r="CU227" s="359" t="s">
        <v>1489</v>
      </c>
      <c r="CV227" s="361">
        <v>1205104.3400000001</v>
      </c>
      <c r="CW227" s="361">
        <v>0</v>
      </c>
      <c r="CX227" s="361">
        <v>0</v>
      </c>
      <c r="CY227" s="361">
        <v>0</v>
      </c>
      <c r="CZ227" s="361">
        <v>0</v>
      </c>
      <c r="DA227" s="361">
        <v>0</v>
      </c>
      <c r="DB227" s="361">
        <v>0</v>
      </c>
      <c r="DC227" s="361">
        <v>0</v>
      </c>
      <c r="DD227" s="361">
        <v>322972.15999999997</v>
      </c>
      <c r="DE227" s="361">
        <v>0</v>
      </c>
      <c r="DF227" s="361">
        <v>882132.18</v>
      </c>
      <c r="DG227" s="361"/>
      <c r="DH227" s="361"/>
      <c r="DI227" s="361"/>
      <c r="DJ227" s="362"/>
    </row>
    <row r="228" spans="2:114" ht="13">
      <c r="B228" s="294"/>
      <c r="F228" s="302"/>
      <c r="J228" s="302"/>
      <c r="AI228" s="188"/>
      <c r="AJ228" s="188"/>
      <c r="AK228" s="188"/>
      <c r="AL228" s="188"/>
      <c r="AM228" s="188"/>
      <c r="AN228" s="188"/>
      <c r="AO228" s="299"/>
      <c r="CF228" s="294"/>
      <c r="CG228" s="294"/>
      <c r="CH228" s="294"/>
      <c r="CI228" s="294"/>
      <c r="CJ228" s="294"/>
      <c r="CK228" s="294"/>
      <c r="CL228" s="294"/>
      <c r="CM228" s="294"/>
      <c r="CN228" s="294"/>
      <c r="CT228" s="510">
        <v>38</v>
      </c>
      <c r="CU228" s="359" t="s">
        <v>1440</v>
      </c>
      <c r="CV228" s="361">
        <v>1185465.82</v>
      </c>
      <c r="CW228" s="361">
        <v>0</v>
      </c>
      <c r="CX228" s="361">
        <v>0</v>
      </c>
      <c r="CY228" s="361">
        <v>0</v>
      </c>
      <c r="CZ228" s="361">
        <v>0</v>
      </c>
      <c r="DA228" s="361">
        <v>0</v>
      </c>
      <c r="DB228" s="361">
        <v>0</v>
      </c>
      <c r="DC228" s="361">
        <v>0</v>
      </c>
      <c r="DD228" s="361">
        <v>1185465.82</v>
      </c>
      <c r="DE228" s="361">
        <v>0</v>
      </c>
      <c r="DF228" s="361">
        <v>0</v>
      </c>
      <c r="DG228" s="361"/>
      <c r="DH228" s="361"/>
      <c r="DI228" s="361"/>
      <c r="DJ228" s="362"/>
    </row>
    <row r="229" spans="2:114" ht="13">
      <c r="B229" s="294"/>
      <c r="F229" s="302"/>
      <c r="J229" s="302"/>
      <c r="AI229" s="188"/>
      <c r="AJ229" s="188"/>
      <c r="AK229" s="188"/>
      <c r="AL229" s="188"/>
      <c r="AM229" s="188"/>
      <c r="AN229" s="188"/>
      <c r="AO229" s="299"/>
      <c r="CF229" s="294"/>
      <c r="CG229" s="294"/>
      <c r="CH229" s="294"/>
      <c r="CI229" s="294"/>
      <c r="CJ229" s="294"/>
      <c r="CK229" s="294"/>
      <c r="CL229" s="294"/>
      <c r="CM229" s="294"/>
      <c r="CN229" s="294"/>
      <c r="CT229" s="510">
        <v>39</v>
      </c>
      <c r="CU229" s="359" t="s">
        <v>1441</v>
      </c>
      <c r="CV229" s="361">
        <v>1124129.58</v>
      </c>
      <c r="CW229" s="361">
        <v>0</v>
      </c>
      <c r="CX229" s="361">
        <v>0</v>
      </c>
      <c r="CY229" s="361">
        <v>0</v>
      </c>
      <c r="CZ229" s="361">
        <v>0</v>
      </c>
      <c r="DA229" s="361">
        <v>392846.99</v>
      </c>
      <c r="DB229" s="361">
        <v>363684.97</v>
      </c>
      <c r="DC229" s="361">
        <v>367597.61</v>
      </c>
      <c r="DD229" s="361">
        <v>494932.96</v>
      </c>
      <c r="DE229" s="361">
        <v>0</v>
      </c>
      <c r="DF229" s="361">
        <v>-494932.96</v>
      </c>
      <c r="DG229" s="361"/>
      <c r="DH229" s="361"/>
      <c r="DI229" s="361"/>
      <c r="DJ229" s="362"/>
    </row>
    <row r="230" spans="2:114" ht="13">
      <c r="B230" s="294"/>
      <c r="F230" s="302"/>
      <c r="J230" s="302"/>
      <c r="AI230" s="188"/>
      <c r="AJ230" s="188"/>
      <c r="AK230" s="188"/>
      <c r="AL230" s="188"/>
      <c r="AM230" s="188"/>
      <c r="AN230" s="188"/>
      <c r="AO230" s="299"/>
      <c r="CF230" s="294"/>
      <c r="CG230" s="294"/>
      <c r="CH230" s="294"/>
      <c r="CI230" s="294"/>
      <c r="CJ230" s="294"/>
      <c r="CK230" s="294"/>
      <c r="CL230" s="294"/>
      <c r="CM230" s="294"/>
      <c r="CN230" s="294"/>
      <c r="CT230" s="510">
        <v>40</v>
      </c>
      <c r="CU230" s="359" t="s">
        <v>1117</v>
      </c>
      <c r="CV230" s="361">
        <v>1098164.45</v>
      </c>
      <c r="CW230" s="361">
        <v>0</v>
      </c>
      <c r="CX230" s="361">
        <v>0</v>
      </c>
      <c r="CY230" s="361">
        <v>0</v>
      </c>
      <c r="CZ230" s="361">
        <v>0</v>
      </c>
      <c r="DA230" s="361">
        <v>0</v>
      </c>
      <c r="DB230" s="361">
        <v>0</v>
      </c>
      <c r="DC230" s="361">
        <v>459110.22</v>
      </c>
      <c r="DD230" s="361">
        <v>0</v>
      </c>
      <c r="DE230" s="361">
        <v>0</v>
      </c>
      <c r="DF230" s="361">
        <v>639054.23</v>
      </c>
      <c r="DG230" s="361"/>
      <c r="DH230" s="361"/>
      <c r="DI230" s="361"/>
      <c r="DJ230" s="362"/>
    </row>
    <row r="231" spans="2:114" ht="13">
      <c r="B231" s="294"/>
      <c r="F231" s="302"/>
      <c r="J231" s="302"/>
      <c r="AI231" s="188"/>
      <c r="AJ231" s="188"/>
      <c r="AK231" s="188"/>
      <c r="AL231" s="188"/>
      <c r="AM231" s="188"/>
      <c r="AN231" s="188"/>
      <c r="AO231" s="299"/>
      <c r="CF231" s="294"/>
      <c r="CG231" s="294"/>
      <c r="CH231" s="294"/>
      <c r="CI231" s="294"/>
      <c r="CJ231" s="294"/>
      <c r="CK231" s="294"/>
      <c r="CL231" s="294"/>
      <c r="CM231" s="294"/>
      <c r="CN231" s="294"/>
      <c r="CT231" s="510">
        <v>41</v>
      </c>
      <c r="CU231" s="359" t="s">
        <v>1455</v>
      </c>
      <c r="CV231" s="361">
        <v>1046504.21</v>
      </c>
      <c r="CW231" s="361">
        <v>0</v>
      </c>
      <c r="CX231" s="361">
        <v>116406.57</v>
      </c>
      <c r="CY231" s="361">
        <v>69078.7</v>
      </c>
      <c r="CZ231" s="361">
        <v>54004.84</v>
      </c>
      <c r="DA231" s="361">
        <v>0</v>
      </c>
      <c r="DB231" s="361">
        <v>0</v>
      </c>
      <c r="DC231" s="361">
        <v>0</v>
      </c>
      <c r="DD231" s="361">
        <v>232895.05</v>
      </c>
      <c r="DE231" s="361">
        <v>574119.05000000005</v>
      </c>
      <c r="DF231" s="361">
        <v>0</v>
      </c>
      <c r="DG231" s="361"/>
      <c r="DH231" s="361"/>
      <c r="DI231" s="361"/>
      <c r="DJ231" s="362"/>
    </row>
    <row r="232" spans="2:114" ht="13">
      <c r="B232" s="294"/>
      <c r="F232" s="302"/>
      <c r="J232" s="302"/>
      <c r="AI232" s="188"/>
      <c r="AJ232" s="188"/>
      <c r="AK232" s="188"/>
      <c r="AL232" s="188"/>
      <c r="AM232" s="188"/>
      <c r="AN232" s="188"/>
      <c r="AO232" s="299"/>
      <c r="CF232" s="294"/>
      <c r="CG232" s="294"/>
      <c r="CH232" s="294"/>
      <c r="CI232" s="294"/>
      <c r="CJ232" s="294"/>
      <c r="CK232" s="294"/>
      <c r="CL232" s="294"/>
      <c r="CM232" s="294"/>
      <c r="CN232" s="294"/>
      <c r="CT232" s="510">
        <v>42</v>
      </c>
      <c r="CU232" s="359" t="s">
        <v>1486</v>
      </c>
      <c r="CV232" s="361">
        <v>994071.61</v>
      </c>
      <c r="CW232" s="361">
        <v>347917.52</v>
      </c>
      <c r="CX232" s="361">
        <v>0</v>
      </c>
      <c r="CY232" s="361">
        <v>127666.43</v>
      </c>
      <c r="CZ232" s="361">
        <v>0</v>
      </c>
      <c r="DA232" s="361">
        <v>96109.27</v>
      </c>
      <c r="DB232" s="361">
        <v>0</v>
      </c>
      <c r="DC232" s="361">
        <v>162045.6</v>
      </c>
      <c r="DD232" s="361">
        <v>83842</v>
      </c>
      <c r="DE232" s="361">
        <v>0</v>
      </c>
      <c r="DF232" s="361">
        <v>176490.78</v>
      </c>
      <c r="DG232" s="361"/>
      <c r="DH232" s="361"/>
      <c r="DI232" s="361"/>
      <c r="DJ232" s="362"/>
    </row>
    <row r="233" spans="2:114" ht="13">
      <c r="B233" s="294"/>
      <c r="F233" s="302"/>
      <c r="J233" s="302"/>
      <c r="AI233" s="188"/>
      <c r="AJ233" s="188"/>
      <c r="AK233" s="188"/>
      <c r="AL233" s="188"/>
      <c r="AM233" s="188"/>
      <c r="AN233" s="188"/>
      <c r="AO233" s="299"/>
      <c r="CF233" s="294"/>
      <c r="CG233" s="294"/>
      <c r="CH233" s="294"/>
      <c r="CI233" s="294"/>
      <c r="CJ233" s="294"/>
      <c r="CK233" s="294"/>
      <c r="CL233" s="294"/>
      <c r="CM233" s="294"/>
      <c r="CN233" s="294"/>
      <c r="CT233" s="510">
        <v>43</v>
      </c>
      <c r="CU233" s="359" t="s">
        <v>1466</v>
      </c>
      <c r="CV233" s="361">
        <v>993024.44</v>
      </c>
      <c r="CW233" s="361">
        <v>0</v>
      </c>
      <c r="CX233" s="361">
        <v>0</v>
      </c>
      <c r="CY233" s="365">
        <v>0</v>
      </c>
      <c r="CZ233" s="365">
        <v>0</v>
      </c>
      <c r="DA233" s="361">
        <v>0</v>
      </c>
      <c r="DB233" s="361">
        <v>0</v>
      </c>
      <c r="DC233" s="361">
        <v>0</v>
      </c>
      <c r="DD233" s="361">
        <v>434009.42</v>
      </c>
      <c r="DE233" s="361">
        <v>0</v>
      </c>
      <c r="DF233" s="361">
        <v>559015.02</v>
      </c>
      <c r="DG233" s="365"/>
      <c r="DH233" s="365"/>
      <c r="DI233" s="365"/>
      <c r="DJ233" s="366"/>
    </row>
    <row r="234" spans="2:114" ht="13">
      <c r="B234" s="294"/>
      <c r="F234" s="302"/>
      <c r="J234" s="302"/>
      <c r="AI234" s="188"/>
      <c r="AJ234" s="188"/>
      <c r="AK234" s="188"/>
      <c r="AL234" s="188"/>
      <c r="AM234" s="188"/>
      <c r="AN234" s="188"/>
      <c r="AO234" s="299"/>
      <c r="CF234" s="294"/>
      <c r="CG234" s="294"/>
      <c r="CH234" s="294"/>
      <c r="CI234" s="294"/>
      <c r="CJ234" s="294"/>
      <c r="CK234" s="294"/>
      <c r="CL234" s="294"/>
      <c r="CM234" s="294"/>
      <c r="CN234" s="294"/>
      <c r="CT234" s="510">
        <v>44</v>
      </c>
      <c r="CU234" s="359" t="s">
        <v>1456</v>
      </c>
      <c r="CV234" s="361">
        <v>987597.8</v>
      </c>
      <c r="CW234" s="361">
        <v>0</v>
      </c>
      <c r="CX234" s="361">
        <v>0</v>
      </c>
      <c r="CY234" s="361">
        <v>0</v>
      </c>
      <c r="CZ234" s="361">
        <v>0</v>
      </c>
      <c r="DA234" s="361">
        <v>0</v>
      </c>
      <c r="DB234" s="361">
        <v>987597.8</v>
      </c>
      <c r="DC234" s="361">
        <v>0</v>
      </c>
      <c r="DD234" s="361">
        <v>0</v>
      </c>
      <c r="DE234" s="361">
        <v>0</v>
      </c>
      <c r="DF234" s="361">
        <v>0</v>
      </c>
      <c r="DG234" s="361"/>
      <c r="DH234" s="361"/>
      <c r="DI234" s="361"/>
      <c r="DJ234" s="362"/>
    </row>
    <row r="235" spans="2:114" ht="13">
      <c r="B235" s="294"/>
      <c r="F235" s="302"/>
      <c r="J235" s="302"/>
      <c r="AI235" s="188"/>
      <c r="AJ235" s="188"/>
      <c r="AK235" s="188"/>
      <c r="AL235" s="188"/>
      <c r="AM235" s="188"/>
      <c r="AN235" s="188"/>
      <c r="AO235" s="299"/>
      <c r="CF235" s="294"/>
      <c r="CG235" s="294"/>
      <c r="CH235" s="294"/>
      <c r="CI235" s="294"/>
      <c r="CJ235" s="294"/>
      <c r="CK235" s="294"/>
      <c r="CL235" s="294"/>
      <c r="CM235" s="294"/>
      <c r="CN235" s="294"/>
      <c r="CT235" s="510">
        <v>45</v>
      </c>
      <c r="CU235" s="359" t="s">
        <v>1432</v>
      </c>
      <c r="CV235" s="361">
        <v>957543.3</v>
      </c>
      <c r="CW235" s="361">
        <v>0</v>
      </c>
      <c r="CX235" s="361">
        <v>0</v>
      </c>
      <c r="CY235" s="361">
        <v>0</v>
      </c>
      <c r="CZ235" s="361">
        <v>0</v>
      </c>
      <c r="DA235" s="361">
        <v>0</v>
      </c>
      <c r="DB235" s="361">
        <v>258482.99</v>
      </c>
      <c r="DC235" s="361">
        <v>0</v>
      </c>
      <c r="DD235" s="361">
        <v>162359.64000000001</v>
      </c>
      <c r="DE235" s="361">
        <v>0</v>
      </c>
      <c r="DF235" s="361">
        <v>536700.68000000005</v>
      </c>
      <c r="DG235" s="365"/>
      <c r="DH235" s="365"/>
      <c r="DI235" s="365"/>
      <c r="DJ235" s="366"/>
    </row>
    <row r="236" spans="2:114" ht="13">
      <c r="B236" s="294"/>
      <c r="F236" s="302"/>
      <c r="J236" s="302"/>
      <c r="AI236" s="188"/>
      <c r="AJ236" s="188"/>
      <c r="AK236" s="188"/>
      <c r="AL236" s="188"/>
      <c r="AM236" s="188"/>
      <c r="AN236" s="188"/>
      <c r="AO236" s="299"/>
      <c r="CF236" s="294"/>
      <c r="CG236" s="294"/>
      <c r="CH236" s="294"/>
      <c r="CI236" s="294"/>
      <c r="CJ236" s="294"/>
      <c r="CK236" s="294"/>
      <c r="CL236" s="294"/>
      <c r="CM236" s="294"/>
      <c r="CN236" s="294"/>
      <c r="CT236" s="510">
        <v>46</v>
      </c>
      <c r="CU236" s="359" t="s">
        <v>1468</v>
      </c>
      <c r="CV236" s="361">
        <v>856196.28</v>
      </c>
      <c r="CW236" s="361">
        <v>0</v>
      </c>
      <c r="CX236" s="361">
        <v>0</v>
      </c>
      <c r="CY236" s="361">
        <v>0</v>
      </c>
      <c r="CZ236" s="361">
        <v>0</v>
      </c>
      <c r="DA236" s="361">
        <v>0</v>
      </c>
      <c r="DB236" s="361">
        <v>393387.48</v>
      </c>
      <c r="DC236" s="361">
        <v>393387.48</v>
      </c>
      <c r="DD236" s="361">
        <v>0</v>
      </c>
      <c r="DE236" s="361">
        <v>69421.320000000007</v>
      </c>
      <c r="DF236" s="361">
        <v>0</v>
      </c>
      <c r="DG236" s="361"/>
      <c r="DH236" s="361"/>
      <c r="DI236" s="361"/>
      <c r="DJ236" s="362"/>
    </row>
    <row r="237" spans="2:114" ht="13">
      <c r="B237" s="294"/>
      <c r="F237" s="302"/>
      <c r="J237" s="302"/>
      <c r="AI237" s="188"/>
      <c r="AJ237" s="188"/>
      <c r="AK237" s="188"/>
      <c r="AL237" s="188"/>
      <c r="AM237" s="188"/>
      <c r="AN237" s="188"/>
      <c r="AO237" s="299"/>
      <c r="CF237" s="294"/>
      <c r="CG237" s="294"/>
      <c r="CH237" s="294"/>
      <c r="CI237" s="294"/>
      <c r="CJ237" s="294"/>
      <c r="CK237" s="294"/>
      <c r="CL237" s="294"/>
      <c r="CM237" s="294"/>
      <c r="CN237" s="294"/>
      <c r="CT237" s="510">
        <v>47</v>
      </c>
      <c r="CU237" s="359" t="s">
        <v>1459</v>
      </c>
      <c r="CV237" s="361">
        <v>793844.58</v>
      </c>
      <c r="CW237" s="361">
        <v>0</v>
      </c>
      <c r="CX237" s="361">
        <v>195513.52</v>
      </c>
      <c r="CY237" s="361">
        <v>0</v>
      </c>
      <c r="CZ237" s="361">
        <v>0</v>
      </c>
      <c r="DA237" s="361">
        <v>0</v>
      </c>
      <c r="DB237" s="361">
        <v>0</v>
      </c>
      <c r="DC237" s="361">
        <v>0</v>
      </c>
      <c r="DD237" s="361">
        <v>0</v>
      </c>
      <c r="DE237" s="361">
        <v>598331.06000000006</v>
      </c>
      <c r="DF237" s="361">
        <v>0</v>
      </c>
      <c r="DG237" s="361"/>
      <c r="DH237" s="361"/>
      <c r="DI237" s="361"/>
      <c r="DJ237" s="362"/>
    </row>
    <row r="238" spans="2:114" ht="13">
      <c r="B238" s="294"/>
      <c r="F238" s="302"/>
      <c r="J238" s="302"/>
      <c r="AI238" s="188"/>
      <c r="AJ238" s="188"/>
      <c r="AK238" s="188"/>
      <c r="AL238" s="188"/>
      <c r="AM238" s="188"/>
      <c r="AN238" s="188"/>
      <c r="AO238" s="299"/>
      <c r="CF238" s="294"/>
      <c r="CG238" s="294"/>
      <c r="CH238" s="294"/>
      <c r="CI238" s="294"/>
      <c r="CJ238" s="294"/>
      <c r="CK238" s="294"/>
      <c r="CL238" s="294"/>
      <c r="CM238" s="294"/>
      <c r="CN238" s="294"/>
      <c r="CT238" s="510">
        <v>48</v>
      </c>
      <c r="CU238" s="359" t="s">
        <v>1450</v>
      </c>
      <c r="CV238" s="361">
        <v>782264.59</v>
      </c>
      <c r="CW238" s="361">
        <v>0</v>
      </c>
      <c r="CX238" s="361">
        <v>0</v>
      </c>
      <c r="CY238" s="361">
        <v>0</v>
      </c>
      <c r="CZ238" s="361">
        <v>0</v>
      </c>
      <c r="DA238" s="361">
        <v>70168.34</v>
      </c>
      <c r="DB238" s="361">
        <v>204364.74</v>
      </c>
      <c r="DC238" s="361">
        <v>0</v>
      </c>
      <c r="DD238" s="361">
        <v>238189.5</v>
      </c>
      <c r="DE238" s="361">
        <v>0</v>
      </c>
      <c r="DF238" s="361">
        <v>269542.01</v>
      </c>
      <c r="DG238" s="361"/>
      <c r="DH238" s="361"/>
      <c r="DI238" s="361"/>
      <c r="DJ238" s="362"/>
    </row>
    <row r="239" spans="2:114" ht="13">
      <c r="B239" s="294"/>
      <c r="F239" s="302"/>
      <c r="J239" s="302"/>
      <c r="AI239" s="188"/>
      <c r="AJ239" s="188"/>
      <c r="AK239" s="188"/>
      <c r="AL239" s="188"/>
      <c r="AM239" s="188"/>
      <c r="AN239" s="188"/>
      <c r="AO239" s="299"/>
      <c r="CF239" s="294"/>
      <c r="CG239" s="294"/>
      <c r="CH239" s="294"/>
      <c r="CI239" s="294"/>
      <c r="CJ239" s="294"/>
      <c r="CK239" s="294"/>
      <c r="CL239" s="294"/>
      <c r="CM239" s="294"/>
      <c r="CN239" s="294"/>
      <c r="CT239" s="510">
        <v>49</v>
      </c>
      <c r="CU239" s="359" t="s">
        <v>668</v>
      </c>
      <c r="CV239" s="361">
        <v>768481.76</v>
      </c>
      <c r="CW239" s="361">
        <v>0</v>
      </c>
      <c r="CX239" s="361">
        <v>0</v>
      </c>
      <c r="CY239" s="361">
        <v>0</v>
      </c>
      <c r="CZ239" s="361">
        <v>0</v>
      </c>
      <c r="DA239" s="361">
        <v>198595.66</v>
      </c>
      <c r="DB239" s="361">
        <v>90860.95</v>
      </c>
      <c r="DC239" s="361">
        <v>59980.6</v>
      </c>
      <c r="DD239" s="361">
        <v>228419.66</v>
      </c>
      <c r="DE239" s="361">
        <v>155762.49</v>
      </c>
      <c r="DF239" s="361">
        <v>34862.400000000001</v>
      </c>
      <c r="DG239" s="361"/>
      <c r="DH239" s="361"/>
      <c r="DI239" s="361"/>
      <c r="DJ239" s="362"/>
    </row>
    <row r="240" spans="2:114" ht="13">
      <c r="B240" s="294"/>
      <c r="F240" s="302"/>
      <c r="J240" s="302"/>
      <c r="AI240" s="188"/>
      <c r="AJ240" s="188"/>
      <c r="AK240" s="188"/>
      <c r="AL240" s="188"/>
      <c r="AM240" s="188"/>
      <c r="AN240" s="188"/>
      <c r="AO240" s="299"/>
      <c r="CF240" s="294"/>
      <c r="CG240" s="294"/>
      <c r="CH240" s="294"/>
      <c r="CI240" s="294"/>
      <c r="CJ240" s="294"/>
      <c r="CK240" s="294"/>
      <c r="CL240" s="294"/>
      <c r="CM240" s="294"/>
      <c r="CN240" s="294"/>
      <c r="CT240" s="510">
        <v>50</v>
      </c>
      <c r="CU240" s="359" t="s">
        <v>1498</v>
      </c>
      <c r="CV240" s="361">
        <v>765637.98</v>
      </c>
      <c r="CW240" s="361">
        <v>0</v>
      </c>
      <c r="CX240" s="361">
        <v>0</v>
      </c>
      <c r="CY240" s="361">
        <v>0</v>
      </c>
      <c r="CZ240" s="361">
        <v>0</v>
      </c>
      <c r="DA240" s="361">
        <v>0</v>
      </c>
      <c r="DB240" s="361">
        <v>0</v>
      </c>
      <c r="DC240" s="361">
        <v>474900.4</v>
      </c>
      <c r="DD240" s="361">
        <v>0</v>
      </c>
      <c r="DE240" s="361">
        <v>290737.57</v>
      </c>
      <c r="DF240" s="361">
        <v>0</v>
      </c>
      <c r="DG240" s="361"/>
      <c r="DH240" s="361"/>
      <c r="DI240" s="361"/>
      <c r="DJ240" s="362"/>
    </row>
    <row r="241" spans="2:114" ht="13">
      <c r="B241" s="294"/>
      <c r="F241" s="302"/>
      <c r="J241" s="302"/>
      <c r="AI241" s="188"/>
      <c r="AJ241" s="188"/>
      <c r="AK241" s="188"/>
      <c r="AL241" s="188"/>
      <c r="AM241" s="188"/>
      <c r="AN241" s="188"/>
      <c r="AO241" s="299"/>
      <c r="CF241" s="294"/>
      <c r="CG241" s="294"/>
      <c r="CH241" s="294"/>
      <c r="CI241" s="294"/>
      <c r="CJ241" s="294"/>
      <c r="CK241" s="294"/>
      <c r="CL241" s="294"/>
      <c r="CM241" s="294"/>
      <c r="CN241" s="294"/>
      <c r="CT241" s="510">
        <v>51</v>
      </c>
      <c r="CU241" s="359" t="s">
        <v>1471</v>
      </c>
      <c r="CV241" s="361">
        <v>714907.5</v>
      </c>
      <c r="CW241" s="361">
        <v>0</v>
      </c>
      <c r="CX241" s="361">
        <v>0</v>
      </c>
      <c r="CY241" s="361">
        <v>0</v>
      </c>
      <c r="CZ241" s="361">
        <v>231036.94</v>
      </c>
      <c r="DA241" s="361">
        <v>0</v>
      </c>
      <c r="DB241" s="361">
        <v>317279.09999999998</v>
      </c>
      <c r="DC241" s="361">
        <v>166591.46</v>
      </c>
      <c r="DD241" s="361">
        <v>0</v>
      </c>
      <c r="DE241" s="361">
        <v>0</v>
      </c>
      <c r="DF241" s="365">
        <v>0</v>
      </c>
      <c r="DG241" s="365"/>
      <c r="DH241" s="365"/>
      <c r="DI241" s="365"/>
      <c r="DJ241" s="366"/>
    </row>
    <row r="242" spans="2:114" ht="13">
      <c r="B242" s="294"/>
      <c r="F242" s="302"/>
      <c r="J242" s="302"/>
      <c r="AI242" s="188"/>
      <c r="AJ242" s="188"/>
      <c r="AK242" s="188"/>
      <c r="AL242" s="188"/>
      <c r="AM242" s="188"/>
      <c r="AN242" s="188"/>
      <c r="AO242" s="299"/>
      <c r="CF242" s="294"/>
      <c r="CG242" s="294"/>
      <c r="CH242" s="294"/>
      <c r="CI242" s="294"/>
      <c r="CJ242" s="294"/>
      <c r="CK242" s="294"/>
      <c r="CL242" s="294"/>
      <c r="CM242" s="294"/>
      <c r="CN242" s="294"/>
      <c r="CT242" s="510">
        <v>52</v>
      </c>
      <c r="CU242" s="359" t="s">
        <v>1425</v>
      </c>
      <c r="CV242" s="361">
        <v>664480.53</v>
      </c>
      <c r="CW242" s="361">
        <v>664480.53</v>
      </c>
      <c r="CX242" s="361">
        <v>0</v>
      </c>
      <c r="CY242" s="361">
        <v>0</v>
      </c>
      <c r="CZ242" s="361">
        <v>0</v>
      </c>
      <c r="DA242" s="361">
        <v>0</v>
      </c>
      <c r="DB242" s="361">
        <v>0</v>
      </c>
      <c r="DC242" s="361">
        <v>0</v>
      </c>
      <c r="DD242" s="361">
        <v>0</v>
      </c>
      <c r="DE242" s="361">
        <v>0</v>
      </c>
      <c r="DF242" s="361">
        <v>0</v>
      </c>
      <c r="DG242" s="361"/>
      <c r="DH242" s="361"/>
      <c r="DI242" s="361"/>
      <c r="DJ242" s="362"/>
    </row>
    <row r="243" spans="2:114" ht="13">
      <c r="B243" s="294"/>
      <c r="F243" s="302"/>
      <c r="J243" s="302"/>
      <c r="AI243" s="188"/>
      <c r="AJ243" s="188"/>
      <c r="AK243" s="188"/>
      <c r="AL243" s="188"/>
      <c r="AM243" s="188"/>
      <c r="AN243" s="188"/>
      <c r="AO243" s="299"/>
      <c r="CF243" s="294"/>
      <c r="CG243" s="294"/>
      <c r="CH243" s="294"/>
      <c r="CI243" s="294"/>
      <c r="CJ243" s="294"/>
      <c r="CK243" s="294"/>
      <c r="CL243" s="294"/>
      <c r="CM243" s="294"/>
      <c r="CN243" s="294"/>
      <c r="CT243" s="510">
        <v>53</v>
      </c>
      <c r="CU243" s="359" t="s">
        <v>1469</v>
      </c>
      <c r="CV243" s="361">
        <v>548615.64</v>
      </c>
      <c r="CW243" s="361">
        <v>0</v>
      </c>
      <c r="CX243" s="361">
        <v>0</v>
      </c>
      <c r="CY243" s="361">
        <v>0</v>
      </c>
      <c r="CZ243" s="361">
        <v>0</v>
      </c>
      <c r="DA243" s="361">
        <v>0</v>
      </c>
      <c r="DB243" s="361">
        <v>0</v>
      </c>
      <c r="DC243" s="361">
        <v>548615.64</v>
      </c>
      <c r="DD243" s="361">
        <v>0</v>
      </c>
      <c r="DE243" s="361">
        <v>0</v>
      </c>
      <c r="DF243" s="361">
        <v>0</v>
      </c>
      <c r="DG243" s="361"/>
      <c r="DH243" s="361"/>
      <c r="DI243" s="361"/>
      <c r="DJ243" s="362"/>
    </row>
    <row r="244" spans="2:114" ht="13">
      <c r="B244" s="294"/>
      <c r="F244" s="302"/>
      <c r="J244" s="302"/>
      <c r="AI244" s="188"/>
      <c r="AJ244" s="188"/>
      <c r="AK244" s="188"/>
      <c r="AL244" s="188"/>
      <c r="AM244" s="188"/>
      <c r="AN244" s="188"/>
      <c r="AO244" s="299"/>
      <c r="CF244" s="294"/>
      <c r="CG244" s="294"/>
      <c r="CH244" s="294"/>
      <c r="CI244" s="294"/>
      <c r="CJ244" s="294"/>
      <c r="CK244" s="294"/>
      <c r="CL244" s="294"/>
      <c r="CM244" s="294"/>
      <c r="CN244" s="294"/>
      <c r="CT244" s="510">
        <v>54</v>
      </c>
      <c r="CU244" s="359" t="s">
        <v>1428</v>
      </c>
      <c r="CV244" s="361">
        <v>473644.73</v>
      </c>
      <c r="CW244" s="361">
        <v>0</v>
      </c>
      <c r="CX244" s="361">
        <v>0</v>
      </c>
      <c r="CY244" s="361">
        <v>0</v>
      </c>
      <c r="CZ244" s="361">
        <v>0</v>
      </c>
      <c r="DA244" s="361">
        <v>71222.820000000007</v>
      </c>
      <c r="DB244" s="361">
        <v>86739.71</v>
      </c>
      <c r="DC244" s="361">
        <v>165757.78</v>
      </c>
      <c r="DD244" s="361">
        <v>87296.7</v>
      </c>
      <c r="DE244" s="361">
        <v>62627.72</v>
      </c>
      <c r="DF244" s="361">
        <v>0</v>
      </c>
      <c r="DG244" s="361"/>
      <c r="DH244" s="361"/>
      <c r="DI244" s="361"/>
      <c r="DJ244" s="362"/>
    </row>
    <row r="245" spans="2:114" ht="13">
      <c r="B245" s="294"/>
      <c r="F245" s="302"/>
      <c r="J245" s="302"/>
      <c r="AI245" s="188"/>
      <c r="AJ245" s="188"/>
      <c r="AK245" s="188"/>
      <c r="AL245" s="188"/>
      <c r="AM245" s="188"/>
      <c r="AN245" s="188"/>
      <c r="AO245" s="299"/>
      <c r="CF245" s="294"/>
      <c r="CG245" s="294"/>
      <c r="CH245" s="294"/>
      <c r="CI245" s="294"/>
      <c r="CJ245" s="294"/>
      <c r="CK245" s="294"/>
      <c r="CL245" s="294"/>
      <c r="CM245" s="294"/>
      <c r="CN245" s="294"/>
      <c r="CT245" s="510">
        <v>55</v>
      </c>
      <c r="CU245" s="359" t="s">
        <v>1401</v>
      </c>
      <c r="CV245" s="361">
        <v>463636.38</v>
      </c>
      <c r="CW245" s="361">
        <v>0</v>
      </c>
      <c r="CX245" s="361">
        <v>0</v>
      </c>
      <c r="CY245" s="361">
        <v>0</v>
      </c>
      <c r="CZ245" s="365">
        <v>0</v>
      </c>
      <c r="DA245" s="365">
        <v>0</v>
      </c>
      <c r="DB245" s="361">
        <v>0</v>
      </c>
      <c r="DC245" s="365">
        <v>0</v>
      </c>
      <c r="DD245" s="361">
        <v>0</v>
      </c>
      <c r="DE245" s="361">
        <v>0</v>
      </c>
      <c r="DF245" s="361">
        <v>463636.38</v>
      </c>
      <c r="DG245" s="365"/>
      <c r="DH245" s="365"/>
      <c r="DI245" s="365"/>
      <c r="DJ245" s="366"/>
    </row>
    <row r="246" spans="2:114" ht="13">
      <c r="B246" s="294"/>
      <c r="F246" s="302"/>
      <c r="J246" s="302"/>
      <c r="AI246" s="188"/>
      <c r="AJ246" s="188"/>
      <c r="AK246" s="188"/>
      <c r="AL246" s="188"/>
      <c r="AM246" s="188"/>
      <c r="AN246" s="188"/>
      <c r="AO246" s="299"/>
      <c r="CF246" s="294"/>
      <c r="CG246" s="294"/>
      <c r="CH246" s="294"/>
      <c r="CI246" s="294"/>
      <c r="CJ246" s="294"/>
      <c r="CK246" s="294"/>
      <c r="CL246" s="294"/>
      <c r="CM246" s="294"/>
      <c r="CN246" s="294"/>
      <c r="CT246" s="510">
        <v>56</v>
      </c>
      <c r="CU246" s="359" t="s">
        <v>1448</v>
      </c>
      <c r="CV246" s="361">
        <v>437882.59</v>
      </c>
      <c r="CW246" s="361">
        <v>0</v>
      </c>
      <c r="CX246" s="361">
        <v>0</v>
      </c>
      <c r="CY246" s="361">
        <v>0</v>
      </c>
      <c r="CZ246" s="365">
        <v>0</v>
      </c>
      <c r="DA246" s="365">
        <v>0</v>
      </c>
      <c r="DB246" s="365">
        <v>0</v>
      </c>
      <c r="DC246" s="365">
        <v>0</v>
      </c>
      <c r="DD246" s="361">
        <v>277896</v>
      </c>
      <c r="DE246" s="361">
        <v>89385.02</v>
      </c>
      <c r="DF246" s="361">
        <v>70601.570000000007</v>
      </c>
      <c r="DG246" s="365"/>
      <c r="DH246" s="365"/>
      <c r="DI246" s="365"/>
      <c r="DJ246" s="366"/>
    </row>
    <row r="247" spans="2:114" ht="13">
      <c r="B247" s="294"/>
      <c r="F247" s="302"/>
      <c r="J247" s="302"/>
      <c r="AI247" s="188"/>
      <c r="AJ247" s="188"/>
      <c r="AK247" s="188"/>
      <c r="AL247" s="188"/>
      <c r="AM247" s="188"/>
      <c r="AN247" s="188"/>
      <c r="AO247" s="299"/>
      <c r="CF247" s="294"/>
      <c r="CG247" s="294"/>
      <c r="CH247" s="294"/>
      <c r="CI247" s="294"/>
      <c r="CJ247" s="294"/>
      <c r="CK247" s="294"/>
      <c r="CL247" s="294"/>
      <c r="CM247" s="294"/>
      <c r="CN247" s="294"/>
      <c r="CT247" s="510">
        <v>57</v>
      </c>
      <c r="CU247" s="359" t="s">
        <v>1409</v>
      </c>
      <c r="CV247" s="361">
        <v>397473.31</v>
      </c>
      <c r="CW247" s="361">
        <v>0</v>
      </c>
      <c r="CX247" s="361">
        <v>0</v>
      </c>
      <c r="CY247" s="361">
        <v>0</v>
      </c>
      <c r="CZ247" s="361">
        <v>0</v>
      </c>
      <c r="DA247" s="361">
        <v>0</v>
      </c>
      <c r="DB247" s="361">
        <v>40878.959999999999</v>
      </c>
      <c r="DC247" s="361">
        <v>37721.69</v>
      </c>
      <c r="DD247" s="361">
        <v>179802.36</v>
      </c>
      <c r="DE247" s="361">
        <v>50771.72</v>
      </c>
      <c r="DF247" s="361">
        <v>88298.58</v>
      </c>
      <c r="DG247" s="361"/>
      <c r="DH247" s="361"/>
      <c r="DI247" s="361"/>
      <c r="DJ247" s="362"/>
    </row>
    <row r="248" spans="2:114" ht="13">
      <c r="B248" s="294"/>
      <c r="F248" s="302"/>
      <c r="J248" s="302"/>
      <c r="AI248" s="188"/>
      <c r="AJ248" s="188"/>
      <c r="AK248" s="188"/>
      <c r="AL248" s="188"/>
      <c r="AM248" s="188"/>
      <c r="AN248" s="188"/>
      <c r="AO248" s="299"/>
      <c r="CF248" s="294"/>
      <c r="CG248" s="294"/>
      <c r="CH248" s="294"/>
      <c r="CI248" s="294"/>
      <c r="CJ248" s="294"/>
      <c r="CK248" s="294"/>
      <c r="CL248" s="294"/>
      <c r="CM248" s="294"/>
      <c r="CN248" s="294"/>
      <c r="CT248" s="510">
        <v>58</v>
      </c>
      <c r="CU248" s="359" t="s">
        <v>1429</v>
      </c>
      <c r="CV248" s="361">
        <v>394912.18</v>
      </c>
      <c r="CW248" s="361">
        <v>36174.720000000001</v>
      </c>
      <c r="CX248" s="361">
        <v>130583.57</v>
      </c>
      <c r="CY248" s="361">
        <v>0</v>
      </c>
      <c r="CZ248" s="361">
        <v>0</v>
      </c>
      <c r="DA248" s="361">
        <v>22757.56</v>
      </c>
      <c r="DB248" s="361">
        <v>1012.76</v>
      </c>
      <c r="DC248" s="361">
        <v>0</v>
      </c>
      <c r="DD248" s="361">
        <v>134977.17000000001</v>
      </c>
      <c r="DE248" s="361">
        <v>69406.399999999994</v>
      </c>
      <c r="DF248" s="361">
        <v>0</v>
      </c>
      <c r="DG248" s="361"/>
      <c r="DH248" s="361"/>
      <c r="DI248" s="361"/>
      <c r="DJ248" s="362"/>
    </row>
    <row r="249" spans="2:114" ht="13">
      <c r="B249" s="294"/>
      <c r="F249" s="302"/>
      <c r="J249" s="302"/>
      <c r="AI249" s="188"/>
      <c r="AJ249" s="188"/>
      <c r="AK249" s="188"/>
      <c r="AL249" s="188"/>
      <c r="AM249" s="188"/>
      <c r="AN249" s="188"/>
      <c r="AO249" s="299"/>
      <c r="CF249" s="294"/>
      <c r="CG249" s="294"/>
      <c r="CH249" s="294"/>
      <c r="CI249" s="294"/>
      <c r="CJ249" s="294"/>
      <c r="CK249" s="294"/>
      <c r="CL249" s="294"/>
      <c r="CM249" s="294"/>
      <c r="CN249" s="294"/>
      <c r="CT249" s="510">
        <v>59</v>
      </c>
      <c r="CU249" s="359" t="s">
        <v>1431</v>
      </c>
      <c r="CV249" s="361">
        <v>391498.13</v>
      </c>
      <c r="CW249" s="361">
        <v>0</v>
      </c>
      <c r="CX249" s="361">
        <v>0</v>
      </c>
      <c r="CY249" s="361">
        <v>0</v>
      </c>
      <c r="CZ249" s="361">
        <v>0</v>
      </c>
      <c r="DA249" s="361">
        <v>0</v>
      </c>
      <c r="DB249" s="361">
        <v>0</v>
      </c>
      <c r="DC249" s="361">
        <v>118980</v>
      </c>
      <c r="DD249" s="361">
        <v>121468.5</v>
      </c>
      <c r="DE249" s="361">
        <v>0</v>
      </c>
      <c r="DF249" s="361">
        <v>151049.63</v>
      </c>
      <c r="DG249" s="361"/>
      <c r="DH249" s="361"/>
      <c r="DI249" s="361"/>
      <c r="DJ249" s="362"/>
    </row>
    <row r="250" spans="2:114" ht="13">
      <c r="B250" s="294"/>
      <c r="F250" s="302"/>
      <c r="J250" s="302"/>
      <c r="AI250" s="188"/>
      <c r="AJ250" s="188"/>
      <c r="AK250" s="188"/>
      <c r="AL250" s="188"/>
      <c r="AM250" s="188"/>
      <c r="AN250" s="188"/>
      <c r="AO250" s="299"/>
      <c r="CF250" s="294"/>
      <c r="CG250" s="294"/>
      <c r="CH250" s="294"/>
      <c r="CI250" s="294"/>
      <c r="CJ250" s="294"/>
      <c r="CK250" s="294"/>
      <c r="CL250" s="294"/>
      <c r="CM250" s="294"/>
      <c r="CN250" s="294"/>
      <c r="CT250" s="510">
        <v>60</v>
      </c>
      <c r="CU250" s="359" t="s">
        <v>1414</v>
      </c>
      <c r="CV250" s="361">
        <v>284320.24</v>
      </c>
      <c r="CW250" s="361">
        <v>0</v>
      </c>
      <c r="CX250" s="361">
        <v>55328.31</v>
      </c>
      <c r="CY250" s="361">
        <v>0</v>
      </c>
      <c r="CZ250" s="361">
        <v>58797.27</v>
      </c>
      <c r="DA250" s="361">
        <v>33540.9</v>
      </c>
      <c r="DB250" s="361">
        <v>0</v>
      </c>
      <c r="DC250" s="361">
        <v>45677.3</v>
      </c>
      <c r="DD250" s="361">
        <v>0</v>
      </c>
      <c r="DE250" s="361">
        <v>0</v>
      </c>
      <c r="DF250" s="361">
        <v>90976.46</v>
      </c>
      <c r="DG250" s="361"/>
      <c r="DH250" s="361"/>
      <c r="DI250" s="361"/>
      <c r="DJ250" s="362"/>
    </row>
    <row r="251" spans="2:114" ht="13">
      <c r="B251" s="294"/>
      <c r="F251" s="302"/>
      <c r="J251" s="302"/>
      <c r="AI251" s="188"/>
      <c r="AJ251" s="188"/>
      <c r="AK251" s="188"/>
      <c r="AL251" s="188"/>
      <c r="AM251" s="188"/>
      <c r="AN251" s="188"/>
      <c r="AO251" s="299"/>
      <c r="CF251" s="294"/>
      <c r="CG251" s="294"/>
      <c r="CH251" s="294"/>
      <c r="CI251" s="294"/>
      <c r="CJ251" s="294"/>
      <c r="CK251" s="294"/>
      <c r="CL251" s="294"/>
      <c r="CM251" s="294"/>
      <c r="CN251" s="294"/>
      <c r="CT251" s="510">
        <v>61</v>
      </c>
      <c r="CU251" s="359" t="s">
        <v>1510</v>
      </c>
      <c r="CV251" s="361">
        <v>243290.9</v>
      </c>
      <c r="CW251" s="361">
        <v>0</v>
      </c>
      <c r="CX251" s="361">
        <v>243290.9</v>
      </c>
      <c r="CY251" s="361">
        <v>0</v>
      </c>
      <c r="CZ251" s="361">
        <v>0</v>
      </c>
      <c r="DA251" s="361">
        <v>0</v>
      </c>
      <c r="DB251" s="361">
        <v>0</v>
      </c>
      <c r="DC251" s="361">
        <v>0</v>
      </c>
      <c r="DD251" s="361">
        <v>0</v>
      </c>
      <c r="DE251" s="361">
        <v>0</v>
      </c>
      <c r="DF251" s="361">
        <v>0</v>
      </c>
      <c r="DG251" s="361"/>
      <c r="DH251" s="361"/>
      <c r="DI251" s="361"/>
      <c r="DJ251" s="362"/>
    </row>
    <row r="252" spans="2:114" ht="13">
      <c r="B252" s="294"/>
      <c r="F252" s="302"/>
      <c r="J252" s="302"/>
      <c r="AI252" s="188"/>
      <c r="AJ252" s="188"/>
      <c r="AK252" s="188"/>
      <c r="AL252" s="188"/>
      <c r="AM252" s="188"/>
      <c r="AN252" s="188"/>
      <c r="AO252" s="299"/>
      <c r="CF252" s="294"/>
      <c r="CG252" s="294"/>
      <c r="CH252" s="294"/>
      <c r="CI252" s="294"/>
      <c r="CJ252" s="294"/>
      <c r="CK252" s="294"/>
      <c r="CL252" s="294"/>
      <c r="CM252" s="294"/>
      <c r="CN252" s="294"/>
      <c r="CT252" s="510">
        <v>62</v>
      </c>
      <c r="CU252" s="359" t="s">
        <v>1412</v>
      </c>
      <c r="CV252" s="361">
        <v>242573.32</v>
      </c>
      <c r="CW252" s="361">
        <v>96141.51</v>
      </c>
      <c r="CX252" s="361">
        <v>60223.68</v>
      </c>
      <c r="CY252" s="361">
        <v>0</v>
      </c>
      <c r="CZ252" s="361">
        <v>0</v>
      </c>
      <c r="DA252" s="361">
        <v>0</v>
      </c>
      <c r="DB252" s="361">
        <v>67450.039999999994</v>
      </c>
      <c r="DC252" s="361">
        <v>0</v>
      </c>
      <c r="DD252" s="361">
        <v>18758.099999999999</v>
      </c>
      <c r="DE252" s="361">
        <v>0</v>
      </c>
      <c r="DF252" s="361">
        <v>0</v>
      </c>
      <c r="DG252" s="361"/>
      <c r="DH252" s="361"/>
      <c r="DI252" s="361"/>
      <c r="DJ252" s="362"/>
    </row>
    <row r="253" spans="2:114" ht="13">
      <c r="B253" s="294"/>
      <c r="F253" s="302"/>
      <c r="J253" s="302"/>
      <c r="AI253" s="188"/>
      <c r="AJ253" s="188"/>
      <c r="AK253" s="188"/>
      <c r="AL253" s="188"/>
      <c r="AM253" s="188"/>
      <c r="AN253" s="188"/>
      <c r="AO253" s="299"/>
      <c r="CF253" s="294"/>
      <c r="CG253" s="294"/>
      <c r="CH253" s="294"/>
      <c r="CI253" s="294"/>
      <c r="CJ253" s="294"/>
      <c r="CK253" s="294"/>
      <c r="CL253" s="294"/>
      <c r="CM253" s="294"/>
      <c r="CN253" s="294"/>
      <c r="CT253" s="510">
        <v>63</v>
      </c>
      <c r="CU253" s="359" t="s">
        <v>1529</v>
      </c>
      <c r="CV253" s="361">
        <v>237057.01</v>
      </c>
      <c r="CW253" s="361">
        <v>0</v>
      </c>
      <c r="CX253" s="361">
        <v>0</v>
      </c>
      <c r="CY253" s="361">
        <v>0</v>
      </c>
      <c r="CZ253" s="361">
        <v>0</v>
      </c>
      <c r="DA253" s="361">
        <v>0</v>
      </c>
      <c r="DB253" s="361">
        <v>0</v>
      </c>
      <c r="DC253" s="361">
        <v>0</v>
      </c>
      <c r="DD253" s="361">
        <v>0</v>
      </c>
      <c r="DE253" s="361">
        <v>106596.58</v>
      </c>
      <c r="DF253" s="361">
        <v>130460.42</v>
      </c>
      <c r="DG253" s="361"/>
      <c r="DH253" s="361"/>
      <c r="DI253" s="361"/>
      <c r="DJ253" s="362"/>
    </row>
    <row r="254" spans="2:114" ht="13">
      <c r="B254" s="294"/>
      <c r="F254" s="302"/>
      <c r="J254" s="302"/>
      <c r="AI254" s="188"/>
      <c r="AJ254" s="188"/>
      <c r="AK254" s="188"/>
      <c r="AL254" s="188"/>
      <c r="AM254" s="188"/>
      <c r="AN254" s="188"/>
      <c r="AO254" s="299"/>
      <c r="CF254" s="294"/>
      <c r="CG254" s="294"/>
      <c r="CH254" s="294"/>
      <c r="CI254" s="294"/>
      <c r="CJ254" s="294"/>
      <c r="CK254" s="294"/>
      <c r="CL254" s="294"/>
      <c r="CM254" s="294"/>
      <c r="CN254" s="294"/>
      <c r="CT254" s="510">
        <v>64</v>
      </c>
      <c r="CU254" s="359" t="s">
        <v>1452</v>
      </c>
      <c r="CV254" s="361">
        <v>232634.59</v>
      </c>
      <c r="CW254" s="361">
        <v>0</v>
      </c>
      <c r="CX254" s="361">
        <v>82392.070000000007</v>
      </c>
      <c r="CY254" s="361">
        <v>39774.31</v>
      </c>
      <c r="CZ254" s="365">
        <v>0</v>
      </c>
      <c r="DA254" s="361">
        <v>0</v>
      </c>
      <c r="DB254" s="365">
        <v>0</v>
      </c>
      <c r="DC254" s="361">
        <v>0</v>
      </c>
      <c r="DD254" s="365">
        <v>0</v>
      </c>
      <c r="DE254" s="365">
        <v>0</v>
      </c>
      <c r="DF254" s="361">
        <v>110468.21</v>
      </c>
      <c r="DG254" s="365"/>
      <c r="DH254" s="365"/>
      <c r="DI254" s="365"/>
      <c r="DJ254" s="366"/>
    </row>
    <row r="255" spans="2:114" ht="13">
      <c r="B255" s="294"/>
      <c r="F255" s="302"/>
      <c r="J255" s="302"/>
      <c r="AI255" s="188"/>
      <c r="AJ255" s="188"/>
      <c r="AK255" s="188"/>
      <c r="AL255" s="188"/>
      <c r="AM255" s="188"/>
      <c r="AN255" s="188"/>
      <c r="AO255" s="299"/>
      <c r="CF255" s="294"/>
      <c r="CG255" s="294"/>
      <c r="CH255" s="294"/>
      <c r="CI255" s="294"/>
      <c r="CJ255" s="294"/>
      <c r="CK255" s="294"/>
      <c r="CL255" s="294"/>
      <c r="CM255" s="294"/>
      <c r="CN255" s="294"/>
      <c r="CT255" s="510">
        <v>65</v>
      </c>
      <c r="CU255" s="359" t="s">
        <v>1423</v>
      </c>
      <c r="CV255" s="361">
        <v>217038.3</v>
      </c>
      <c r="CW255" s="361">
        <v>0</v>
      </c>
      <c r="CX255" s="361">
        <v>0</v>
      </c>
      <c r="CY255" s="361">
        <v>0</v>
      </c>
      <c r="CZ255" s="361">
        <v>0</v>
      </c>
      <c r="DA255" s="361">
        <v>0</v>
      </c>
      <c r="DB255" s="361">
        <v>0</v>
      </c>
      <c r="DC255" s="361">
        <v>0</v>
      </c>
      <c r="DD255" s="361">
        <v>392562.78</v>
      </c>
      <c r="DE255" s="361">
        <v>-175524.48000000001</v>
      </c>
      <c r="DF255" s="361">
        <v>0</v>
      </c>
      <c r="DG255" s="361"/>
      <c r="DH255" s="361"/>
      <c r="DI255" s="361"/>
      <c r="DJ255" s="362"/>
    </row>
    <row r="256" spans="2:114" ht="13">
      <c r="B256" s="294"/>
      <c r="F256" s="302"/>
      <c r="J256" s="302"/>
      <c r="AI256" s="188"/>
      <c r="AJ256" s="188"/>
      <c r="AK256" s="188"/>
      <c r="AL256" s="188"/>
      <c r="AM256" s="188"/>
      <c r="AN256" s="188"/>
      <c r="AO256" s="299"/>
      <c r="CF256" s="294"/>
      <c r="CG256" s="294"/>
      <c r="CH256" s="294"/>
      <c r="CI256" s="294"/>
      <c r="CJ256" s="294"/>
      <c r="CK256" s="294"/>
      <c r="CL256" s="294"/>
      <c r="CM256" s="294"/>
      <c r="CN256" s="294"/>
      <c r="CT256" s="510">
        <v>66</v>
      </c>
      <c r="CU256" s="359" t="s">
        <v>1515</v>
      </c>
      <c r="CV256" s="361">
        <v>216292.5</v>
      </c>
      <c r="CW256" s="361">
        <v>0</v>
      </c>
      <c r="CX256" s="361">
        <v>0</v>
      </c>
      <c r="CY256" s="361">
        <v>0</v>
      </c>
      <c r="CZ256" s="361">
        <v>0</v>
      </c>
      <c r="DA256" s="361">
        <v>0</v>
      </c>
      <c r="DB256" s="361">
        <v>0</v>
      </c>
      <c r="DC256" s="361">
        <v>0</v>
      </c>
      <c r="DD256" s="361">
        <v>0</v>
      </c>
      <c r="DE256" s="361">
        <v>216292.5</v>
      </c>
      <c r="DF256" s="361">
        <v>0</v>
      </c>
      <c r="DG256" s="361"/>
      <c r="DH256" s="361"/>
      <c r="DI256" s="361"/>
      <c r="DJ256" s="362"/>
    </row>
    <row r="257" spans="2:114" ht="13">
      <c r="B257" s="294"/>
      <c r="F257" s="302"/>
      <c r="J257" s="302"/>
      <c r="AI257" s="188"/>
      <c r="AJ257" s="188"/>
      <c r="AK257" s="188"/>
      <c r="AL257" s="188"/>
      <c r="AM257" s="188"/>
      <c r="AN257" s="188"/>
      <c r="AO257" s="299"/>
      <c r="CF257" s="294"/>
      <c r="CG257" s="294"/>
      <c r="CH257" s="294"/>
      <c r="CI257" s="294"/>
      <c r="CJ257" s="294"/>
      <c r="CK257" s="294"/>
      <c r="CL257" s="294"/>
      <c r="CM257" s="294"/>
      <c r="CN257" s="294"/>
      <c r="CT257" s="510">
        <v>67</v>
      </c>
      <c r="CU257" s="359" t="s">
        <v>1460</v>
      </c>
      <c r="CV257" s="361">
        <v>211664.7</v>
      </c>
      <c r="CW257" s="361">
        <v>70736.429999999993</v>
      </c>
      <c r="CX257" s="361">
        <v>0</v>
      </c>
      <c r="CY257" s="361">
        <v>0</v>
      </c>
      <c r="CZ257" s="361">
        <v>140928.26999999999</v>
      </c>
      <c r="DA257" s="361">
        <v>0</v>
      </c>
      <c r="DB257" s="361">
        <v>0</v>
      </c>
      <c r="DC257" s="361">
        <v>0</v>
      </c>
      <c r="DD257" s="361">
        <v>0</v>
      </c>
      <c r="DE257" s="361">
        <v>0</v>
      </c>
      <c r="DF257" s="361">
        <v>0</v>
      </c>
      <c r="DG257" s="361"/>
      <c r="DH257" s="361"/>
      <c r="DI257" s="361"/>
      <c r="DJ257" s="362"/>
    </row>
    <row r="258" spans="2:114" ht="13">
      <c r="B258" s="294"/>
      <c r="F258" s="302"/>
      <c r="J258" s="302"/>
      <c r="AI258" s="188"/>
      <c r="AJ258" s="188"/>
      <c r="AK258" s="188"/>
      <c r="AL258" s="188"/>
      <c r="AM258" s="188"/>
      <c r="AN258" s="188"/>
      <c r="AO258" s="299"/>
      <c r="CF258" s="294"/>
      <c r="CG258" s="294"/>
      <c r="CH258" s="294"/>
      <c r="CI258" s="294"/>
      <c r="CJ258" s="294"/>
      <c r="CK258" s="294"/>
      <c r="CL258" s="294"/>
      <c r="CM258" s="294"/>
      <c r="CN258" s="294"/>
      <c r="CT258" s="510">
        <v>68</v>
      </c>
      <c r="CU258" s="359" t="s">
        <v>1465</v>
      </c>
      <c r="CV258" s="361">
        <v>205901.06</v>
      </c>
      <c r="CW258" s="361">
        <v>0</v>
      </c>
      <c r="CX258" s="361">
        <v>0</v>
      </c>
      <c r="CY258" s="361">
        <v>0</v>
      </c>
      <c r="CZ258" s="365">
        <v>0</v>
      </c>
      <c r="DA258" s="365">
        <v>0</v>
      </c>
      <c r="DB258" s="365">
        <v>0</v>
      </c>
      <c r="DC258" s="361">
        <v>0</v>
      </c>
      <c r="DD258" s="365">
        <v>0</v>
      </c>
      <c r="DE258" s="365">
        <v>0</v>
      </c>
      <c r="DF258" s="361">
        <v>205901.06</v>
      </c>
      <c r="DG258" s="365"/>
      <c r="DH258" s="365"/>
      <c r="DI258" s="365"/>
      <c r="DJ258" s="366"/>
    </row>
    <row r="259" spans="2:114" ht="13">
      <c r="B259" s="294"/>
      <c r="F259" s="302"/>
      <c r="J259" s="302"/>
      <c r="AI259" s="188"/>
      <c r="AJ259" s="188"/>
      <c r="AK259" s="188"/>
      <c r="AL259" s="188"/>
      <c r="AM259" s="188"/>
      <c r="AN259" s="188"/>
      <c r="AO259" s="299"/>
      <c r="CF259" s="294"/>
      <c r="CG259" s="294"/>
      <c r="CH259" s="294"/>
      <c r="CI259" s="294"/>
      <c r="CJ259" s="294"/>
      <c r="CK259" s="294"/>
      <c r="CL259" s="294"/>
      <c r="CM259" s="294"/>
      <c r="CN259" s="294"/>
      <c r="CT259" s="510">
        <v>69</v>
      </c>
      <c r="CU259" s="359" t="s">
        <v>1511</v>
      </c>
      <c r="CV259" s="361">
        <v>176858.1</v>
      </c>
      <c r="CW259" s="361">
        <v>0</v>
      </c>
      <c r="CX259" s="361">
        <v>0</v>
      </c>
      <c r="CY259" s="361">
        <v>0</v>
      </c>
      <c r="CZ259" s="361">
        <v>0</v>
      </c>
      <c r="DA259" s="361">
        <v>176858.1</v>
      </c>
      <c r="DB259" s="361">
        <v>0</v>
      </c>
      <c r="DC259" s="361">
        <v>0</v>
      </c>
      <c r="DD259" s="361">
        <v>0</v>
      </c>
      <c r="DE259" s="361">
        <v>0</v>
      </c>
      <c r="DF259" s="361">
        <v>0</v>
      </c>
      <c r="DG259" s="361"/>
      <c r="DH259" s="361"/>
      <c r="DI259" s="361"/>
      <c r="DJ259" s="362"/>
    </row>
    <row r="260" spans="2:114" ht="13">
      <c r="B260" s="294"/>
      <c r="F260" s="302"/>
      <c r="J260" s="302"/>
      <c r="AI260" s="188"/>
      <c r="AJ260" s="188"/>
      <c r="AK260" s="188"/>
      <c r="AL260" s="188"/>
      <c r="AM260" s="188"/>
      <c r="AN260" s="188"/>
      <c r="AO260" s="299"/>
      <c r="CF260" s="294"/>
      <c r="CG260" s="294"/>
      <c r="CH260" s="294"/>
      <c r="CI260" s="294"/>
      <c r="CJ260" s="294"/>
      <c r="CK260" s="294"/>
      <c r="CL260" s="294"/>
      <c r="CM260" s="294"/>
      <c r="CN260" s="294"/>
      <c r="CT260" s="510">
        <v>70</v>
      </c>
      <c r="CU260" s="359" t="s">
        <v>1517</v>
      </c>
      <c r="CV260" s="361">
        <v>168138.59</v>
      </c>
      <c r="CW260" s="361">
        <v>0</v>
      </c>
      <c r="CX260" s="361">
        <v>72303.7</v>
      </c>
      <c r="CY260" s="361">
        <v>0</v>
      </c>
      <c r="CZ260" s="361">
        <v>55218.28</v>
      </c>
      <c r="DA260" s="361">
        <v>0</v>
      </c>
      <c r="DB260" s="361">
        <v>0</v>
      </c>
      <c r="DC260" s="361">
        <v>40616.6</v>
      </c>
      <c r="DD260" s="361">
        <v>0</v>
      </c>
      <c r="DE260" s="361">
        <v>0</v>
      </c>
      <c r="DF260" s="361">
        <v>0</v>
      </c>
      <c r="DG260" s="361"/>
      <c r="DH260" s="361"/>
      <c r="DI260" s="361"/>
      <c r="DJ260" s="362"/>
    </row>
    <row r="261" spans="2:114" ht="13">
      <c r="B261" s="294"/>
      <c r="F261" s="302"/>
      <c r="J261" s="302"/>
      <c r="AI261" s="188"/>
      <c r="AJ261" s="188"/>
      <c r="AK261" s="188"/>
      <c r="AL261" s="188"/>
      <c r="AM261" s="188"/>
      <c r="AN261" s="188"/>
      <c r="AO261" s="299"/>
      <c r="CF261" s="294"/>
      <c r="CG261" s="294"/>
      <c r="CH261" s="294"/>
      <c r="CI261" s="294"/>
      <c r="CJ261" s="294"/>
      <c r="CK261" s="294"/>
      <c r="CL261" s="294"/>
      <c r="CM261" s="294"/>
      <c r="CN261" s="294"/>
      <c r="CT261" s="510">
        <v>71</v>
      </c>
      <c r="CU261" s="359" t="s">
        <v>487</v>
      </c>
      <c r="CV261" s="361">
        <v>166742.76</v>
      </c>
      <c r="CW261" s="365">
        <v>0</v>
      </c>
      <c r="CX261" s="361">
        <v>0</v>
      </c>
      <c r="CY261" s="361">
        <v>0</v>
      </c>
      <c r="CZ261" s="361">
        <v>0</v>
      </c>
      <c r="DA261" s="361">
        <v>0</v>
      </c>
      <c r="DB261" s="361">
        <v>0</v>
      </c>
      <c r="DC261" s="361">
        <v>0</v>
      </c>
      <c r="DD261" s="361">
        <v>0</v>
      </c>
      <c r="DE261" s="361">
        <v>0</v>
      </c>
      <c r="DF261" s="361">
        <v>166742.76</v>
      </c>
      <c r="DG261" s="361"/>
      <c r="DH261" s="361"/>
      <c r="DI261" s="361"/>
      <c r="DJ261" s="362"/>
    </row>
    <row r="262" spans="2:114" ht="13">
      <c r="B262" s="294"/>
      <c r="F262" s="302"/>
      <c r="J262" s="302"/>
      <c r="AI262" s="188"/>
      <c r="AJ262" s="188"/>
      <c r="AK262" s="188"/>
      <c r="AL262" s="188"/>
      <c r="AM262" s="188"/>
      <c r="AN262" s="188"/>
      <c r="AO262" s="299"/>
      <c r="CF262" s="294"/>
      <c r="CG262" s="294"/>
      <c r="CH262" s="294"/>
      <c r="CI262" s="294"/>
      <c r="CJ262" s="294"/>
      <c r="CK262" s="294"/>
      <c r="CL262" s="294"/>
      <c r="CM262" s="294"/>
      <c r="CN262" s="294"/>
      <c r="CT262" s="510">
        <v>72</v>
      </c>
      <c r="CU262" s="359" t="s">
        <v>1476</v>
      </c>
      <c r="CV262" s="361">
        <v>131973.20000000001</v>
      </c>
      <c r="CW262" s="361">
        <v>0</v>
      </c>
      <c r="CX262" s="361">
        <v>0</v>
      </c>
      <c r="CY262" s="361">
        <v>0</v>
      </c>
      <c r="CZ262" s="361">
        <v>0</v>
      </c>
      <c r="DA262" s="361">
        <v>0</v>
      </c>
      <c r="DB262" s="361">
        <v>0</v>
      </c>
      <c r="DC262" s="361">
        <v>0</v>
      </c>
      <c r="DD262" s="361">
        <v>33753.57</v>
      </c>
      <c r="DE262" s="361">
        <v>63628.160000000003</v>
      </c>
      <c r="DF262" s="361">
        <v>34591.47</v>
      </c>
      <c r="DG262" s="361"/>
      <c r="DH262" s="361"/>
      <c r="DI262" s="361"/>
      <c r="DJ262" s="362"/>
    </row>
    <row r="263" spans="2:114" ht="13">
      <c r="B263" s="294"/>
      <c r="F263" s="302"/>
      <c r="J263" s="302"/>
      <c r="AI263" s="188"/>
      <c r="AJ263" s="188"/>
      <c r="AK263" s="188"/>
      <c r="AL263" s="188"/>
      <c r="AM263" s="188"/>
      <c r="AN263" s="188"/>
      <c r="AO263" s="299"/>
      <c r="CF263" s="294"/>
      <c r="CG263" s="294"/>
      <c r="CH263" s="294"/>
      <c r="CI263" s="294"/>
      <c r="CJ263" s="294"/>
      <c r="CK263" s="294"/>
      <c r="CL263" s="294"/>
      <c r="CM263" s="294"/>
      <c r="CN263" s="294"/>
      <c r="CT263" s="510">
        <v>73</v>
      </c>
      <c r="CU263" s="359" t="s">
        <v>1494</v>
      </c>
      <c r="CV263" s="361">
        <v>114371.9</v>
      </c>
      <c r="CW263" s="361">
        <v>0</v>
      </c>
      <c r="CX263" s="361">
        <v>0</v>
      </c>
      <c r="CY263" s="361">
        <v>114371.9</v>
      </c>
      <c r="CZ263" s="361">
        <v>0</v>
      </c>
      <c r="DA263" s="361">
        <v>0</v>
      </c>
      <c r="DB263" s="361">
        <v>0</v>
      </c>
      <c r="DC263" s="361">
        <v>0</v>
      </c>
      <c r="DD263" s="361">
        <v>0</v>
      </c>
      <c r="DE263" s="361">
        <v>0</v>
      </c>
      <c r="DF263" s="361">
        <v>0</v>
      </c>
      <c r="DG263" s="361"/>
      <c r="DH263" s="361"/>
      <c r="DI263" s="361"/>
      <c r="DJ263" s="362"/>
    </row>
    <row r="264" spans="2:114" ht="13">
      <c r="B264" s="294"/>
      <c r="F264" s="302"/>
      <c r="J264" s="302"/>
      <c r="AI264" s="188"/>
      <c r="AJ264" s="188"/>
      <c r="AK264" s="188"/>
      <c r="AL264" s="188"/>
      <c r="AM264" s="188"/>
      <c r="AN264" s="188"/>
      <c r="AO264" s="299"/>
      <c r="CF264" s="294"/>
      <c r="CG264" s="294"/>
      <c r="CH264" s="294"/>
      <c r="CI264" s="294"/>
      <c r="CJ264" s="294"/>
      <c r="CK264" s="294"/>
      <c r="CL264" s="294"/>
      <c r="CM264" s="294"/>
      <c r="CN264" s="294"/>
      <c r="CT264" s="510">
        <v>74</v>
      </c>
      <c r="CU264" s="359" t="s">
        <v>1503</v>
      </c>
      <c r="CV264" s="361">
        <v>114363.64</v>
      </c>
      <c r="CW264" s="361">
        <v>114363.64</v>
      </c>
      <c r="CX264" s="361">
        <v>0</v>
      </c>
      <c r="CY264" s="365">
        <v>0</v>
      </c>
      <c r="CZ264" s="365">
        <v>0</v>
      </c>
      <c r="DA264" s="365">
        <v>0</v>
      </c>
      <c r="DB264" s="365">
        <v>0</v>
      </c>
      <c r="DC264" s="365">
        <v>0</v>
      </c>
      <c r="DD264" s="365">
        <v>0</v>
      </c>
      <c r="DE264" s="365">
        <v>0</v>
      </c>
      <c r="DF264" s="365">
        <v>0</v>
      </c>
      <c r="DG264" s="365"/>
      <c r="DH264" s="365"/>
      <c r="DI264" s="365"/>
      <c r="DJ264" s="366"/>
    </row>
    <row r="265" spans="2:114" ht="13">
      <c r="B265" s="294"/>
      <c r="F265" s="302"/>
      <c r="J265" s="302"/>
      <c r="AI265" s="188"/>
      <c r="AJ265" s="188"/>
      <c r="AK265" s="188"/>
      <c r="AL265" s="188"/>
      <c r="AM265" s="188"/>
      <c r="AN265" s="188"/>
      <c r="AO265" s="299"/>
      <c r="CF265" s="294"/>
      <c r="CG265" s="294"/>
      <c r="CH265" s="294"/>
      <c r="CI265" s="294"/>
      <c r="CJ265" s="294"/>
      <c r="CK265" s="294"/>
      <c r="CL265" s="294"/>
      <c r="CM265" s="294"/>
      <c r="CN265" s="294"/>
      <c r="CT265" s="510">
        <v>75</v>
      </c>
      <c r="CU265" s="359" t="s">
        <v>1513</v>
      </c>
      <c r="CV265" s="361">
        <v>88512.3</v>
      </c>
      <c r="CW265" s="361">
        <v>0</v>
      </c>
      <c r="CX265" s="361">
        <v>0</v>
      </c>
      <c r="CY265" s="361">
        <v>0</v>
      </c>
      <c r="CZ265" s="361">
        <v>0</v>
      </c>
      <c r="DA265" s="361">
        <v>0</v>
      </c>
      <c r="DB265" s="361">
        <v>0</v>
      </c>
      <c r="DC265" s="361">
        <v>0</v>
      </c>
      <c r="DD265" s="361">
        <v>88512.3</v>
      </c>
      <c r="DE265" s="361">
        <v>0</v>
      </c>
      <c r="DF265" s="361">
        <v>0</v>
      </c>
      <c r="DG265" s="361"/>
      <c r="DH265" s="361"/>
      <c r="DI265" s="361"/>
      <c r="DJ265" s="362"/>
    </row>
    <row r="266" spans="2:114" ht="13">
      <c r="B266" s="294"/>
      <c r="F266" s="302"/>
      <c r="J266" s="302"/>
      <c r="AI266" s="188"/>
      <c r="AJ266" s="188"/>
      <c r="AK266" s="188"/>
      <c r="AL266" s="188"/>
      <c r="AM266" s="188"/>
      <c r="AN266" s="188"/>
      <c r="AO266" s="299"/>
      <c r="CF266" s="294"/>
      <c r="CG266" s="294"/>
      <c r="CH266" s="294"/>
      <c r="CI266" s="294"/>
      <c r="CJ266" s="294"/>
      <c r="CK266" s="294"/>
      <c r="CL266" s="294"/>
      <c r="CM266" s="294"/>
      <c r="CN266" s="294"/>
      <c r="CT266" s="510">
        <v>76</v>
      </c>
      <c r="CU266" s="359" t="s">
        <v>1420</v>
      </c>
      <c r="CV266" s="361">
        <v>73351.33</v>
      </c>
      <c r="CW266" s="361">
        <v>0</v>
      </c>
      <c r="CX266" s="361">
        <v>0</v>
      </c>
      <c r="CY266" s="361">
        <v>0</v>
      </c>
      <c r="CZ266" s="361">
        <v>0</v>
      </c>
      <c r="DA266" s="361">
        <v>0</v>
      </c>
      <c r="DB266" s="361">
        <v>0</v>
      </c>
      <c r="DC266" s="361">
        <v>73351.33</v>
      </c>
      <c r="DD266" s="361">
        <v>0</v>
      </c>
      <c r="DE266" s="361">
        <v>0</v>
      </c>
      <c r="DF266" s="361">
        <v>0</v>
      </c>
      <c r="DG266" s="361"/>
      <c r="DH266" s="361"/>
      <c r="DI266" s="361"/>
      <c r="DJ266" s="362"/>
    </row>
    <row r="267" spans="2:114" ht="13">
      <c r="B267" s="294"/>
      <c r="F267" s="302"/>
      <c r="J267" s="302"/>
      <c r="AI267" s="188"/>
      <c r="AJ267" s="188"/>
      <c r="AK267" s="188"/>
      <c r="AL267" s="188"/>
      <c r="AM267" s="188"/>
      <c r="AN267" s="188"/>
      <c r="AO267" s="299"/>
      <c r="CF267" s="294"/>
      <c r="CG267" s="294"/>
      <c r="CH267" s="294"/>
      <c r="CI267" s="294"/>
      <c r="CJ267" s="294"/>
      <c r="CK267" s="294"/>
      <c r="CL267" s="294"/>
      <c r="CM267" s="294"/>
      <c r="CN267" s="294"/>
      <c r="CT267" s="510">
        <v>77</v>
      </c>
      <c r="CU267" s="359" t="s">
        <v>1458</v>
      </c>
      <c r="CV267" s="361">
        <v>56727.62</v>
      </c>
      <c r="CW267" s="361">
        <v>56727.62</v>
      </c>
      <c r="CX267" s="361">
        <v>0</v>
      </c>
      <c r="CY267" s="361">
        <v>0</v>
      </c>
      <c r="CZ267" s="361">
        <v>0</v>
      </c>
      <c r="DA267" s="361">
        <v>0</v>
      </c>
      <c r="DB267" s="361">
        <v>0</v>
      </c>
      <c r="DC267" s="361">
        <v>0</v>
      </c>
      <c r="DD267" s="361">
        <v>0</v>
      </c>
      <c r="DE267" s="361">
        <v>0</v>
      </c>
      <c r="DF267" s="361">
        <v>0</v>
      </c>
      <c r="DG267" s="361"/>
      <c r="DH267" s="361"/>
      <c r="DI267" s="361"/>
      <c r="DJ267" s="362"/>
    </row>
    <row r="268" spans="2:114" ht="13">
      <c r="B268" s="294"/>
      <c r="F268" s="302"/>
      <c r="J268" s="302"/>
      <c r="AI268" s="188"/>
      <c r="AJ268" s="188"/>
      <c r="AK268" s="188"/>
      <c r="AL268" s="188"/>
      <c r="AM268" s="188"/>
      <c r="AN268" s="188"/>
      <c r="AO268" s="299"/>
      <c r="CF268" s="294"/>
      <c r="CG268" s="294"/>
      <c r="CH268" s="294"/>
      <c r="CI268" s="294"/>
      <c r="CJ268" s="294"/>
      <c r="CK268" s="294"/>
      <c r="CL268" s="294"/>
      <c r="CM268" s="294"/>
      <c r="CN268" s="294"/>
      <c r="CT268" s="510">
        <v>78</v>
      </c>
      <c r="CU268" s="359" t="s">
        <v>1507</v>
      </c>
      <c r="CV268" s="361">
        <v>0</v>
      </c>
      <c r="CW268" s="361">
        <v>211014</v>
      </c>
      <c r="CX268" s="361">
        <v>-211014</v>
      </c>
      <c r="CY268" s="361">
        <v>0</v>
      </c>
      <c r="CZ268" s="361">
        <v>0</v>
      </c>
      <c r="DA268" s="361">
        <v>0</v>
      </c>
      <c r="DB268" s="361">
        <v>0</v>
      </c>
      <c r="DC268" s="361">
        <v>0</v>
      </c>
      <c r="DD268" s="361">
        <v>0</v>
      </c>
      <c r="DE268" s="361">
        <v>0</v>
      </c>
      <c r="DF268" s="361">
        <v>0</v>
      </c>
      <c r="DG268" s="361"/>
      <c r="DH268" s="361"/>
      <c r="DI268" s="361"/>
      <c r="DJ268" s="362"/>
    </row>
    <row r="269" spans="2:114" ht="13">
      <c r="B269" s="294"/>
      <c r="F269" s="302"/>
      <c r="J269" s="302"/>
      <c r="AI269" s="188"/>
      <c r="AJ269" s="188"/>
      <c r="AK269" s="188"/>
      <c r="AL269" s="188"/>
      <c r="AM269" s="188"/>
      <c r="AN269" s="188"/>
      <c r="AO269" s="299"/>
      <c r="CF269" s="294"/>
      <c r="CG269" s="294"/>
      <c r="CH269" s="294"/>
      <c r="CI269" s="294"/>
      <c r="CJ269" s="294"/>
      <c r="CK269" s="294"/>
      <c r="CL269" s="294"/>
      <c r="CM269" s="294"/>
      <c r="CN269" s="294"/>
      <c r="CT269" s="510">
        <v>79</v>
      </c>
      <c r="CU269" s="359" t="s">
        <v>1447</v>
      </c>
      <c r="CV269" s="361">
        <v>-35481.699999999997</v>
      </c>
      <c r="CW269" s="361">
        <v>0</v>
      </c>
      <c r="CX269" s="361">
        <v>-35481.699999999997</v>
      </c>
      <c r="CY269" s="365">
        <v>0</v>
      </c>
      <c r="CZ269" s="365">
        <v>0</v>
      </c>
      <c r="DA269" s="365">
        <v>0</v>
      </c>
      <c r="DB269" s="365">
        <v>0</v>
      </c>
      <c r="DC269" s="365">
        <v>0</v>
      </c>
      <c r="DD269" s="365">
        <v>0</v>
      </c>
      <c r="DE269" s="365">
        <v>0</v>
      </c>
      <c r="DF269" s="365">
        <v>0</v>
      </c>
      <c r="DG269" s="365"/>
      <c r="DH269" s="365"/>
      <c r="DI269" s="365"/>
      <c r="DJ269" s="366"/>
    </row>
    <row r="270" spans="2:114" ht="13">
      <c r="B270" s="294"/>
      <c r="F270" s="302"/>
      <c r="J270" s="302"/>
      <c r="AI270" s="188"/>
      <c r="AJ270" s="188"/>
      <c r="AK270" s="188"/>
      <c r="AL270" s="188"/>
      <c r="AM270" s="188"/>
      <c r="AN270" s="188"/>
      <c r="AO270" s="299"/>
      <c r="CF270" s="294"/>
      <c r="CG270" s="294"/>
      <c r="CH270" s="294"/>
      <c r="CI270" s="294"/>
      <c r="CJ270" s="294"/>
      <c r="CK270" s="294"/>
      <c r="CL270" s="294"/>
      <c r="CM270" s="294"/>
      <c r="CN270" s="294"/>
      <c r="CT270" s="510">
        <v>80</v>
      </c>
      <c r="CU270" s="359" t="s">
        <v>840</v>
      </c>
      <c r="CV270" s="361">
        <v>-114797.04</v>
      </c>
      <c r="CW270" s="361">
        <v>0</v>
      </c>
      <c r="CX270" s="361">
        <v>0</v>
      </c>
      <c r="CY270" s="361">
        <v>0</v>
      </c>
      <c r="CZ270" s="361">
        <v>0</v>
      </c>
      <c r="DA270" s="361">
        <v>0</v>
      </c>
      <c r="DB270" s="361">
        <v>0</v>
      </c>
      <c r="DC270" s="361">
        <v>0</v>
      </c>
      <c r="DD270" s="361">
        <v>0</v>
      </c>
      <c r="DE270" s="1360">
        <v>-114797.04240000002</v>
      </c>
      <c r="DF270" s="361">
        <v>0</v>
      </c>
      <c r="DG270" s="361"/>
      <c r="DH270" s="361"/>
      <c r="DI270" s="361"/>
      <c r="DJ270" s="362"/>
    </row>
    <row r="271" spans="2:114" ht="13">
      <c r="B271" s="294"/>
      <c r="F271" s="302"/>
      <c r="J271" s="302"/>
      <c r="AI271" s="188"/>
      <c r="AJ271" s="188"/>
      <c r="AK271" s="188"/>
      <c r="AL271" s="188"/>
      <c r="AM271" s="188"/>
      <c r="AN271" s="188"/>
      <c r="AO271" s="299"/>
      <c r="CF271" s="294"/>
      <c r="CG271" s="294"/>
      <c r="CH271" s="294"/>
      <c r="CI271" s="294"/>
      <c r="CJ271" s="294"/>
      <c r="CK271" s="294"/>
      <c r="CL271" s="294"/>
      <c r="CM271" s="294"/>
      <c r="CN271" s="294"/>
      <c r="CT271" s="510">
        <v>81</v>
      </c>
      <c r="CU271" s="359" t="s">
        <v>1512</v>
      </c>
      <c r="CV271" s="361"/>
      <c r="CW271" s="361"/>
      <c r="CX271" s="361"/>
      <c r="CY271" s="361"/>
      <c r="CZ271" s="361"/>
      <c r="DA271" s="361"/>
      <c r="DB271" s="361"/>
      <c r="DC271" s="361"/>
      <c r="DD271" s="361"/>
      <c r="DE271" s="361">
        <v>33267.980000000003</v>
      </c>
      <c r="DF271" s="361">
        <v>130460.42</v>
      </c>
      <c r="DG271" s="361"/>
      <c r="DH271" s="361"/>
      <c r="DI271" s="361"/>
      <c r="DJ271" s="362"/>
    </row>
    <row r="272" spans="2:114" ht="13">
      <c r="B272" s="294"/>
      <c r="F272" s="302"/>
      <c r="J272" s="302"/>
      <c r="AI272" s="188"/>
      <c r="AJ272" s="188"/>
      <c r="AK272" s="188"/>
      <c r="AL272" s="188"/>
      <c r="AM272" s="188"/>
      <c r="AN272" s="188"/>
      <c r="AO272" s="299"/>
      <c r="CF272" s="294"/>
      <c r="CG272" s="294"/>
      <c r="CH272" s="294"/>
      <c r="CI272" s="294"/>
      <c r="CJ272" s="294"/>
      <c r="CK272" s="294"/>
      <c r="CL272" s="294"/>
      <c r="CM272" s="294"/>
      <c r="CN272" s="294"/>
      <c r="CT272" s="510">
        <v>82</v>
      </c>
      <c r="CU272" s="359" t="s">
        <v>1514</v>
      </c>
      <c r="CV272" s="361"/>
      <c r="CW272" s="361"/>
      <c r="CX272" s="365"/>
      <c r="CY272" s="365"/>
      <c r="CZ272" s="365"/>
      <c r="DA272" s="365"/>
      <c r="DB272" s="365"/>
      <c r="DC272" s="365"/>
      <c r="DD272" s="365"/>
      <c r="DE272" s="361">
        <v>73328.600000000006</v>
      </c>
      <c r="DF272" s="365"/>
      <c r="DG272" s="365"/>
      <c r="DH272" s="365"/>
      <c r="DI272" s="365"/>
      <c r="DJ272" s="366"/>
    </row>
    <row r="273" spans="2:114" ht="13">
      <c r="B273" s="294"/>
      <c r="F273" s="302"/>
      <c r="J273" s="302"/>
      <c r="AI273" s="188"/>
      <c r="AJ273" s="188"/>
      <c r="AK273" s="188"/>
      <c r="AL273" s="188"/>
      <c r="AM273" s="188"/>
      <c r="AN273" s="188"/>
      <c r="AO273" s="299"/>
      <c r="CF273" s="294"/>
      <c r="CG273" s="294"/>
      <c r="CH273" s="294"/>
      <c r="CI273" s="294"/>
      <c r="CJ273" s="294"/>
      <c r="CK273" s="294"/>
      <c r="CL273" s="294"/>
      <c r="CM273" s="294"/>
      <c r="CN273" s="294"/>
      <c r="CT273" s="510">
        <v>83</v>
      </c>
      <c r="CU273" s="359"/>
      <c r="CV273" s="361"/>
      <c r="CW273" s="361"/>
      <c r="CX273" s="361"/>
      <c r="CY273" s="361"/>
      <c r="CZ273" s="361"/>
      <c r="DA273" s="361"/>
      <c r="DB273" s="361"/>
      <c r="DC273" s="361"/>
      <c r="DD273" s="361"/>
      <c r="DE273" s="361"/>
      <c r="DF273" s="361"/>
      <c r="DG273" s="361"/>
      <c r="DH273" s="361"/>
      <c r="DI273" s="361"/>
      <c r="DJ273" s="362"/>
    </row>
    <row r="274" spans="2:114" ht="13">
      <c r="B274" s="294"/>
      <c r="F274" s="302"/>
      <c r="J274" s="302"/>
      <c r="AI274" s="188"/>
      <c r="AJ274" s="188"/>
      <c r="AK274" s="188"/>
      <c r="AL274" s="188"/>
      <c r="AM274" s="188"/>
      <c r="AN274" s="188"/>
      <c r="AO274" s="299"/>
      <c r="CF274" s="294"/>
      <c r="CG274" s="294"/>
      <c r="CH274" s="294"/>
      <c r="CI274" s="294"/>
      <c r="CJ274" s="294"/>
      <c r="CK274" s="294"/>
      <c r="CL274" s="294"/>
      <c r="CM274" s="294"/>
      <c r="CN274" s="294"/>
      <c r="CT274" s="510">
        <v>84</v>
      </c>
      <c r="CU274" s="359"/>
      <c r="CV274" s="361"/>
      <c r="CW274" s="361"/>
      <c r="CX274" s="365"/>
      <c r="CY274" s="365"/>
      <c r="CZ274" s="365"/>
      <c r="DA274" s="365"/>
      <c r="DB274" s="365"/>
      <c r="DC274" s="365"/>
      <c r="DD274" s="365"/>
      <c r="DE274" s="365"/>
      <c r="DF274" s="365"/>
      <c r="DG274" s="365"/>
      <c r="DH274" s="365"/>
      <c r="DI274" s="365"/>
      <c r="DJ274" s="366"/>
    </row>
    <row r="275" spans="2:114" ht="13">
      <c r="B275" s="294"/>
      <c r="F275" s="302"/>
      <c r="J275" s="302"/>
      <c r="AI275" s="188"/>
      <c r="AJ275" s="188"/>
      <c r="AK275" s="188"/>
      <c r="AL275" s="188"/>
      <c r="AM275" s="188"/>
      <c r="AN275" s="188"/>
      <c r="AO275" s="299"/>
      <c r="CF275" s="294"/>
      <c r="CG275" s="294"/>
      <c r="CH275" s="294"/>
      <c r="CI275" s="294"/>
      <c r="CJ275" s="294"/>
      <c r="CK275" s="294"/>
      <c r="CL275" s="294"/>
      <c r="CM275" s="294"/>
      <c r="CN275" s="294"/>
      <c r="CT275" s="510">
        <v>85</v>
      </c>
      <c r="CU275" s="359"/>
      <c r="CV275" s="361"/>
      <c r="CW275" s="361"/>
      <c r="CX275" s="365"/>
      <c r="CY275" s="365"/>
      <c r="CZ275" s="365"/>
      <c r="DA275" s="365"/>
      <c r="DB275" s="365"/>
      <c r="DC275" s="365"/>
      <c r="DD275" s="365"/>
      <c r="DE275" s="365"/>
      <c r="DF275" s="365"/>
      <c r="DG275" s="365"/>
      <c r="DH275" s="365"/>
      <c r="DI275" s="365"/>
      <c r="DJ275" s="366"/>
    </row>
    <row r="276" spans="2:114" ht="13">
      <c r="B276" s="294"/>
      <c r="F276" s="302"/>
      <c r="J276" s="302"/>
      <c r="AI276" s="188"/>
      <c r="AJ276" s="188"/>
      <c r="AK276" s="188"/>
      <c r="AL276" s="188"/>
      <c r="AM276" s="188"/>
      <c r="AN276" s="188"/>
      <c r="AO276" s="299"/>
      <c r="CF276" s="294"/>
      <c r="CG276" s="294"/>
      <c r="CH276" s="294"/>
      <c r="CI276" s="294"/>
      <c r="CJ276" s="294"/>
      <c r="CK276" s="294"/>
      <c r="CL276" s="294"/>
      <c r="CM276" s="294"/>
      <c r="CN276" s="294"/>
      <c r="CT276" s="510">
        <v>86</v>
      </c>
      <c r="CU276" s="359"/>
      <c r="CV276" s="361"/>
      <c r="CW276" s="361"/>
      <c r="CX276" s="365"/>
      <c r="CY276" s="365"/>
      <c r="CZ276" s="365"/>
      <c r="DA276" s="365"/>
      <c r="DB276" s="365"/>
      <c r="DC276" s="365"/>
      <c r="DD276" s="365"/>
      <c r="DE276" s="365"/>
      <c r="DF276" s="365"/>
      <c r="DG276" s="365"/>
      <c r="DH276" s="365"/>
      <c r="DI276" s="365"/>
      <c r="DJ276" s="366"/>
    </row>
    <row r="277" spans="2:114" ht="13">
      <c r="B277" s="294"/>
      <c r="F277" s="302"/>
      <c r="J277" s="302"/>
      <c r="AI277" s="188"/>
      <c r="AJ277" s="188"/>
      <c r="AK277" s="188"/>
      <c r="AL277" s="188"/>
      <c r="AM277" s="188"/>
      <c r="AN277" s="188"/>
      <c r="AO277" s="299"/>
      <c r="CF277" s="294"/>
      <c r="CG277" s="294"/>
      <c r="CH277" s="294"/>
      <c r="CI277" s="294"/>
      <c r="CJ277" s="294"/>
      <c r="CK277" s="294"/>
      <c r="CL277" s="294"/>
      <c r="CM277" s="294"/>
      <c r="CN277" s="294"/>
      <c r="CT277" s="510">
        <v>87</v>
      </c>
      <c r="CU277" s="359"/>
      <c r="CV277" s="361"/>
      <c r="CW277" s="361"/>
      <c r="CX277" s="365"/>
      <c r="CY277" s="365"/>
      <c r="CZ277" s="365"/>
      <c r="DA277" s="365"/>
      <c r="DB277" s="365"/>
      <c r="DC277" s="365"/>
      <c r="DD277" s="365"/>
      <c r="DE277" s="365"/>
      <c r="DF277" s="365"/>
      <c r="DG277" s="365"/>
      <c r="DH277" s="365"/>
      <c r="DI277" s="365"/>
      <c r="DJ277" s="366"/>
    </row>
    <row r="278" spans="2:114" ht="13">
      <c r="B278" s="294"/>
      <c r="F278" s="302"/>
      <c r="J278" s="302"/>
      <c r="AI278" s="188"/>
      <c r="AJ278" s="188"/>
      <c r="AK278" s="188"/>
      <c r="AL278" s="188"/>
      <c r="AM278" s="188"/>
      <c r="AN278" s="188"/>
      <c r="AO278" s="299"/>
      <c r="CF278" s="294"/>
      <c r="CG278" s="294"/>
      <c r="CH278" s="294"/>
      <c r="CI278" s="294"/>
      <c r="CJ278" s="294"/>
      <c r="CK278" s="294"/>
      <c r="CL278" s="294"/>
      <c r="CM278" s="294"/>
      <c r="CN278" s="294"/>
      <c r="CT278" s="510">
        <v>88</v>
      </c>
      <c r="CU278" s="359"/>
      <c r="CV278" s="361"/>
      <c r="CW278" s="365"/>
      <c r="CX278" s="361"/>
      <c r="CY278" s="361"/>
      <c r="CZ278" s="361"/>
      <c r="DA278" s="361"/>
      <c r="DB278" s="361"/>
      <c r="DC278" s="361"/>
      <c r="DD278" s="361"/>
      <c r="DE278" s="361"/>
      <c r="DF278" s="361"/>
      <c r="DG278" s="361"/>
      <c r="DH278" s="361"/>
      <c r="DI278" s="361"/>
      <c r="DJ278" s="362"/>
    </row>
    <row r="279" spans="2:114" ht="13">
      <c r="B279" s="294"/>
      <c r="F279" s="302"/>
      <c r="J279" s="302"/>
      <c r="AI279" s="188"/>
      <c r="AJ279" s="188"/>
      <c r="AK279" s="188"/>
      <c r="AL279" s="188"/>
      <c r="AM279" s="188"/>
      <c r="AN279" s="188"/>
      <c r="AO279" s="299"/>
      <c r="CF279" s="294"/>
      <c r="CG279" s="294"/>
      <c r="CH279" s="294"/>
      <c r="CI279" s="294"/>
      <c r="CJ279" s="294"/>
      <c r="CK279" s="294"/>
      <c r="CL279" s="294"/>
      <c r="CM279" s="294"/>
      <c r="CN279" s="294"/>
      <c r="CT279" s="510">
        <v>89</v>
      </c>
      <c r="DJ279" s="367"/>
    </row>
    <row r="280" spans="2:114" ht="13">
      <c r="B280" s="294"/>
      <c r="F280" s="302"/>
      <c r="J280" s="302"/>
      <c r="AI280" s="188"/>
      <c r="AJ280" s="188"/>
      <c r="AK280" s="188"/>
      <c r="AL280" s="188"/>
      <c r="AM280" s="188"/>
      <c r="AN280" s="188"/>
      <c r="AO280" s="299"/>
      <c r="CF280" s="294"/>
      <c r="CG280" s="294"/>
      <c r="CH280" s="294"/>
      <c r="CI280" s="294"/>
      <c r="CJ280" s="294"/>
      <c r="CK280" s="294"/>
      <c r="CL280" s="294"/>
      <c r="CM280" s="294"/>
      <c r="CN280" s="294"/>
      <c r="CT280" s="510">
        <v>90</v>
      </c>
      <c r="DJ280" s="367"/>
    </row>
    <row r="281" spans="2:114" ht="13">
      <c r="B281" s="294"/>
      <c r="F281" s="302"/>
      <c r="J281" s="302"/>
      <c r="AI281" s="188"/>
      <c r="AJ281" s="188"/>
      <c r="AK281" s="188"/>
      <c r="AL281" s="188"/>
      <c r="AM281" s="188"/>
      <c r="AN281" s="188"/>
      <c r="AO281" s="299"/>
      <c r="CF281" s="294"/>
      <c r="CG281" s="294"/>
      <c r="CH281" s="294"/>
      <c r="CI281" s="294"/>
      <c r="CJ281" s="294"/>
      <c r="CK281" s="294"/>
      <c r="CL281" s="294"/>
      <c r="CM281" s="294"/>
      <c r="CN281" s="294"/>
      <c r="CT281" s="510">
        <v>91</v>
      </c>
      <c r="DJ281" s="367"/>
    </row>
    <row r="282" spans="2:114" ht="13">
      <c r="B282" s="294"/>
      <c r="F282" s="302"/>
      <c r="J282" s="302"/>
      <c r="AI282" s="188"/>
      <c r="AJ282" s="188"/>
      <c r="AK282" s="188"/>
      <c r="AL282" s="188"/>
      <c r="AM282" s="188"/>
      <c r="AN282" s="188"/>
      <c r="AO282" s="299"/>
      <c r="CF282" s="294"/>
      <c r="CG282" s="294"/>
      <c r="CH282" s="294"/>
      <c r="CI282" s="294"/>
      <c r="CJ282" s="294"/>
      <c r="CK282" s="294"/>
      <c r="CL282" s="294"/>
      <c r="CM282" s="294"/>
      <c r="CN282" s="294"/>
      <c r="CT282" s="510">
        <v>92</v>
      </c>
      <c r="DJ282" s="367"/>
    </row>
    <row r="283" spans="2:114" ht="13">
      <c r="B283" s="294"/>
      <c r="F283" s="302"/>
      <c r="J283" s="302"/>
      <c r="AI283" s="188"/>
      <c r="AJ283" s="188"/>
      <c r="AK283" s="188"/>
      <c r="AL283" s="188"/>
      <c r="AM283" s="188"/>
      <c r="AN283" s="188"/>
      <c r="AO283" s="299"/>
      <c r="CF283" s="294"/>
      <c r="CG283" s="294"/>
      <c r="CH283" s="294"/>
      <c r="CI283" s="294"/>
      <c r="CJ283" s="294"/>
      <c r="CK283" s="294"/>
      <c r="CL283" s="294"/>
      <c r="CM283" s="294"/>
      <c r="CN283" s="294"/>
      <c r="CT283" s="510">
        <v>93</v>
      </c>
      <c r="DJ283" s="367"/>
    </row>
    <row r="284" spans="2:114" ht="13">
      <c r="B284" s="294"/>
      <c r="F284" s="302"/>
      <c r="J284" s="302"/>
      <c r="AI284" s="188"/>
      <c r="AJ284" s="188"/>
      <c r="AK284" s="188"/>
      <c r="AL284" s="188"/>
      <c r="AM284" s="188"/>
      <c r="AN284" s="188"/>
      <c r="AO284" s="299"/>
      <c r="CF284" s="294"/>
      <c r="CG284" s="294"/>
      <c r="CH284" s="294"/>
      <c r="CI284" s="294"/>
      <c r="CJ284" s="294"/>
      <c r="CK284" s="294"/>
      <c r="CL284" s="294"/>
      <c r="CM284" s="294"/>
      <c r="CN284" s="294"/>
      <c r="CT284" s="510">
        <v>94</v>
      </c>
      <c r="DJ284" s="367"/>
    </row>
    <row r="285" spans="2:114" ht="13">
      <c r="B285" s="294"/>
      <c r="F285" s="302"/>
      <c r="J285" s="302"/>
      <c r="AI285" s="188"/>
      <c r="AJ285" s="188"/>
      <c r="AK285" s="188"/>
      <c r="AL285" s="188"/>
      <c r="AM285" s="188"/>
      <c r="AN285" s="188"/>
      <c r="AO285" s="299"/>
      <c r="CF285" s="294"/>
      <c r="CG285" s="294"/>
      <c r="CH285" s="294"/>
      <c r="CI285" s="294"/>
      <c r="CJ285" s="294"/>
      <c r="CK285" s="294"/>
      <c r="CL285" s="294"/>
      <c r="CM285" s="294"/>
      <c r="CN285" s="294"/>
      <c r="CT285" s="510">
        <v>95</v>
      </c>
      <c r="DJ285" s="367"/>
    </row>
    <row r="286" spans="2:114" ht="13">
      <c r="B286" s="294"/>
      <c r="F286" s="302"/>
      <c r="J286" s="302"/>
      <c r="AI286" s="188"/>
      <c r="AJ286" s="188"/>
      <c r="AK286" s="188"/>
      <c r="AL286" s="188"/>
      <c r="AM286" s="188"/>
      <c r="AN286" s="188"/>
      <c r="AO286" s="299"/>
      <c r="CF286" s="294"/>
      <c r="CG286" s="294"/>
      <c r="CH286" s="294"/>
      <c r="CI286" s="294"/>
      <c r="CJ286" s="294"/>
      <c r="CK286" s="294"/>
      <c r="CL286" s="294"/>
      <c r="CM286" s="294"/>
      <c r="CN286" s="294"/>
      <c r="CT286" s="510">
        <v>96</v>
      </c>
      <c r="DJ286" s="367"/>
    </row>
    <row r="287" spans="2:114" ht="13">
      <c r="B287" s="294"/>
      <c r="F287" s="302"/>
      <c r="J287" s="302"/>
      <c r="AI287" s="188"/>
      <c r="AJ287" s="188"/>
      <c r="AK287" s="188"/>
      <c r="AL287" s="188"/>
      <c r="AM287" s="188"/>
      <c r="AN287" s="188"/>
      <c r="AO287" s="299"/>
      <c r="CF287" s="294"/>
      <c r="CG287" s="294"/>
      <c r="CH287" s="294"/>
      <c r="CI287" s="294"/>
      <c r="CJ287" s="294"/>
      <c r="CK287" s="294"/>
      <c r="CL287" s="294"/>
      <c r="CM287" s="294"/>
      <c r="CN287" s="294"/>
      <c r="CT287" s="510">
        <v>97</v>
      </c>
      <c r="DJ287" s="367"/>
    </row>
    <row r="288" spans="2:114" ht="13">
      <c r="B288" s="294"/>
      <c r="F288" s="302"/>
      <c r="J288" s="302"/>
      <c r="AI288" s="188"/>
      <c r="AJ288" s="188"/>
      <c r="AK288" s="188"/>
      <c r="AL288" s="188"/>
      <c r="AM288" s="188"/>
      <c r="AN288" s="188"/>
      <c r="AO288" s="299"/>
      <c r="CF288" s="294"/>
      <c r="CG288" s="294"/>
      <c r="CH288" s="294"/>
      <c r="CI288" s="294"/>
      <c r="CJ288" s="294"/>
      <c r="CK288" s="294"/>
      <c r="CL288" s="294"/>
      <c r="CM288" s="294"/>
      <c r="CN288" s="294"/>
      <c r="CT288" s="510">
        <v>98</v>
      </c>
      <c r="DJ288" s="367"/>
    </row>
    <row r="289" spans="2:114" ht="13">
      <c r="B289" s="294"/>
      <c r="F289" s="302"/>
      <c r="J289" s="302"/>
      <c r="AI289" s="188"/>
      <c r="AJ289" s="188"/>
      <c r="AK289" s="188"/>
      <c r="AL289" s="188"/>
      <c r="AM289" s="188"/>
      <c r="AN289" s="188"/>
      <c r="AO289" s="299"/>
      <c r="CF289" s="294"/>
      <c r="CG289" s="294"/>
      <c r="CH289" s="294"/>
      <c r="CI289" s="294"/>
      <c r="CJ289" s="294"/>
      <c r="CK289" s="294"/>
      <c r="CL289" s="294"/>
      <c r="CM289" s="294"/>
      <c r="CN289" s="294"/>
      <c r="CT289" s="510">
        <v>99</v>
      </c>
      <c r="DJ289" s="367"/>
    </row>
    <row r="290" spans="2:114" ht="13">
      <c r="B290" s="294"/>
      <c r="F290" s="302"/>
      <c r="J290" s="302"/>
      <c r="AI290" s="188"/>
      <c r="AJ290" s="188"/>
      <c r="AK290" s="188"/>
      <c r="AL290" s="188"/>
      <c r="AM290" s="188"/>
      <c r="AN290" s="188"/>
      <c r="AO290" s="299"/>
      <c r="CF290" s="294"/>
      <c r="CG290" s="294"/>
      <c r="CH290" s="294"/>
      <c r="CI290" s="294"/>
      <c r="CJ290" s="294"/>
      <c r="CK290" s="294"/>
      <c r="CL290" s="294"/>
      <c r="CM290" s="294"/>
      <c r="CN290" s="294"/>
      <c r="CT290" s="510">
        <v>100</v>
      </c>
      <c r="DJ290" s="367"/>
    </row>
    <row r="291" spans="2:114" ht="13">
      <c r="B291" s="294"/>
      <c r="F291" s="302"/>
      <c r="J291" s="302"/>
      <c r="AI291" s="188"/>
      <c r="AJ291" s="188"/>
      <c r="AK291" s="188"/>
      <c r="AL291" s="188"/>
      <c r="AM291" s="188"/>
      <c r="AN291" s="188"/>
      <c r="AO291" s="299"/>
      <c r="CF291" s="294"/>
      <c r="CG291" s="294"/>
      <c r="CH291" s="294"/>
      <c r="CI291" s="294"/>
      <c r="CJ291" s="294"/>
      <c r="CK291" s="294"/>
      <c r="CL291" s="294"/>
      <c r="CM291" s="294"/>
      <c r="CN291" s="294"/>
      <c r="CT291" s="510">
        <v>101</v>
      </c>
      <c r="DJ291" s="367"/>
    </row>
    <row r="292" spans="2:114" ht="13">
      <c r="B292" s="294"/>
      <c r="F292" s="302"/>
      <c r="J292" s="302"/>
      <c r="AI292" s="188"/>
      <c r="AJ292" s="188"/>
      <c r="AK292" s="188"/>
      <c r="AL292" s="188"/>
      <c r="AM292" s="188"/>
      <c r="AN292" s="188"/>
      <c r="AO292" s="299"/>
      <c r="CF292" s="294"/>
      <c r="CG292" s="294"/>
      <c r="CH292" s="294"/>
      <c r="CI292" s="294"/>
      <c r="CJ292" s="294"/>
      <c r="CK292" s="294"/>
      <c r="CL292" s="294"/>
      <c r="CM292" s="294"/>
      <c r="CN292" s="294"/>
      <c r="CT292" s="510">
        <v>102</v>
      </c>
      <c r="DJ292" s="367"/>
    </row>
    <row r="293" spans="2:114" ht="13">
      <c r="B293" s="294"/>
      <c r="F293" s="302"/>
      <c r="J293" s="302"/>
      <c r="AI293" s="188"/>
      <c r="AJ293" s="188"/>
      <c r="AK293" s="188"/>
      <c r="AL293" s="188"/>
      <c r="AM293" s="188"/>
      <c r="AN293" s="188"/>
      <c r="AO293" s="299"/>
      <c r="CF293" s="294"/>
      <c r="CG293" s="294"/>
      <c r="CH293" s="294"/>
      <c r="CI293" s="294"/>
      <c r="CJ293" s="294"/>
      <c r="CK293" s="294"/>
      <c r="CL293" s="294"/>
      <c r="CM293" s="294"/>
      <c r="CN293" s="294"/>
      <c r="CT293" s="510">
        <v>103</v>
      </c>
      <c r="DJ293" s="367"/>
    </row>
    <row r="294" spans="2:114" ht="13">
      <c r="B294" s="294"/>
      <c r="F294" s="302"/>
      <c r="J294" s="302"/>
      <c r="AI294" s="188"/>
      <c r="AJ294" s="188"/>
      <c r="AK294" s="188"/>
      <c r="AL294" s="188"/>
      <c r="AM294" s="188"/>
      <c r="AN294" s="188"/>
      <c r="AO294" s="299"/>
      <c r="CF294" s="294"/>
      <c r="CG294" s="294"/>
      <c r="CH294" s="294"/>
      <c r="CI294" s="294"/>
      <c r="CJ294" s="294"/>
      <c r="CK294" s="294"/>
      <c r="CL294" s="294"/>
      <c r="CM294" s="294"/>
      <c r="CN294" s="294"/>
      <c r="CT294" s="510">
        <v>104</v>
      </c>
      <c r="DJ294" s="367"/>
    </row>
    <row r="295" spans="2:114" ht="13">
      <c r="B295" s="294"/>
      <c r="F295" s="302"/>
      <c r="J295" s="302"/>
      <c r="AI295" s="188"/>
      <c r="AJ295" s="188"/>
      <c r="AK295" s="188"/>
      <c r="AL295" s="188"/>
      <c r="AM295" s="188"/>
      <c r="AN295" s="188"/>
      <c r="AO295" s="299"/>
      <c r="CF295" s="294"/>
      <c r="CG295" s="294"/>
      <c r="CH295" s="294"/>
      <c r="CI295" s="294"/>
      <c r="CJ295" s="294"/>
      <c r="CK295" s="294"/>
      <c r="CL295" s="294"/>
      <c r="CM295" s="294"/>
      <c r="CN295" s="294"/>
      <c r="CT295" s="510">
        <v>105</v>
      </c>
      <c r="DJ295" s="367"/>
    </row>
    <row r="296" spans="2:114" ht="13">
      <c r="B296" s="294"/>
      <c r="F296" s="302"/>
      <c r="J296" s="302"/>
      <c r="AI296" s="188"/>
      <c r="AJ296" s="188"/>
      <c r="AK296" s="188"/>
      <c r="AL296" s="188"/>
      <c r="AM296" s="188"/>
      <c r="AN296" s="188"/>
      <c r="AO296" s="299"/>
      <c r="CF296" s="294"/>
      <c r="CG296" s="294"/>
      <c r="CH296" s="294"/>
      <c r="CI296" s="294"/>
      <c r="CJ296" s="294"/>
      <c r="CK296" s="294"/>
      <c r="CL296" s="294"/>
      <c r="CM296" s="294"/>
      <c r="CN296" s="294"/>
      <c r="CT296" s="510">
        <v>106</v>
      </c>
      <c r="DJ296" s="367"/>
    </row>
    <row r="297" spans="2:114" ht="13">
      <c r="B297" s="294"/>
      <c r="F297" s="302"/>
      <c r="J297" s="302"/>
      <c r="AI297" s="188"/>
      <c r="AJ297" s="188"/>
      <c r="AK297" s="188"/>
      <c r="AL297" s="188"/>
      <c r="AM297" s="188"/>
      <c r="AN297" s="188"/>
      <c r="AO297" s="299"/>
      <c r="CF297" s="294"/>
      <c r="CG297" s="294"/>
      <c r="CH297" s="294"/>
      <c r="CI297" s="294"/>
      <c r="CJ297" s="294"/>
      <c r="CK297" s="294"/>
      <c r="CL297" s="294"/>
      <c r="CM297" s="294"/>
      <c r="CN297" s="294"/>
      <c r="CT297" s="510">
        <v>107</v>
      </c>
      <c r="DJ297" s="367"/>
    </row>
    <row r="298" spans="2:114" ht="13">
      <c r="B298" s="294"/>
      <c r="F298" s="302"/>
      <c r="J298" s="302"/>
      <c r="AI298" s="188"/>
      <c r="AJ298" s="188"/>
      <c r="AK298" s="188"/>
      <c r="AL298" s="188"/>
      <c r="AM298" s="188"/>
      <c r="AN298" s="188"/>
      <c r="AO298" s="299"/>
      <c r="CF298" s="294"/>
      <c r="CG298" s="294"/>
      <c r="CH298" s="294"/>
      <c r="CI298" s="294"/>
      <c r="CJ298" s="294"/>
      <c r="CK298" s="294"/>
      <c r="CL298" s="294"/>
      <c r="CM298" s="294"/>
      <c r="CN298" s="294"/>
      <c r="CT298" s="510">
        <v>108</v>
      </c>
      <c r="DJ298" s="367"/>
    </row>
    <row r="299" spans="2:114" ht="13">
      <c r="B299" s="294"/>
      <c r="F299" s="302"/>
      <c r="J299" s="302"/>
      <c r="AI299" s="188"/>
      <c r="AJ299" s="188"/>
      <c r="AK299" s="188"/>
      <c r="AL299" s="188"/>
      <c r="AM299" s="188"/>
      <c r="AN299" s="188"/>
      <c r="AO299" s="299"/>
      <c r="CF299" s="294"/>
      <c r="CG299" s="294"/>
      <c r="CH299" s="294"/>
      <c r="CI299" s="294"/>
      <c r="CJ299" s="294"/>
      <c r="CK299" s="294"/>
      <c r="CL299" s="294"/>
      <c r="CM299" s="294"/>
      <c r="CN299" s="294"/>
      <c r="CT299" s="510">
        <v>109</v>
      </c>
      <c r="DJ299" s="367"/>
    </row>
    <row r="300" spans="2:114" ht="13">
      <c r="B300" s="294"/>
      <c r="F300" s="302"/>
      <c r="J300" s="302"/>
      <c r="AI300" s="188"/>
      <c r="AJ300" s="188"/>
      <c r="AK300" s="188"/>
      <c r="AL300" s="188"/>
      <c r="AM300" s="188"/>
      <c r="AN300" s="188"/>
      <c r="AO300" s="299"/>
      <c r="CF300" s="294"/>
      <c r="CG300" s="294"/>
      <c r="CH300" s="294"/>
      <c r="CI300" s="294"/>
      <c r="CJ300" s="294"/>
      <c r="CK300" s="294"/>
      <c r="CL300" s="294"/>
      <c r="CM300" s="294"/>
      <c r="CN300" s="294"/>
      <c r="CT300" s="510">
        <v>110</v>
      </c>
      <c r="DJ300" s="367"/>
    </row>
    <row r="301" spans="2:114" ht="13">
      <c r="B301" s="294"/>
      <c r="F301" s="302"/>
      <c r="J301" s="302"/>
      <c r="AI301" s="188"/>
      <c r="AJ301" s="188"/>
      <c r="AK301" s="188"/>
      <c r="AL301" s="188"/>
      <c r="AM301" s="188"/>
      <c r="AN301" s="188"/>
      <c r="AO301" s="299"/>
      <c r="CF301" s="294"/>
      <c r="CG301" s="294"/>
      <c r="CH301" s="294"/>
      <c r="CI301" s="294"/>
      <c r="CJ301" s="294"/>
      <c r="CK301" s="294"/>
      <c r="CL301" s="294"/>
      <c r="CM301" s="294"/>
      <c r="CN301" s="294"/>
      <c r="CT301" s="510">
        <v>111</v>
      </c>
      <c r="DJ301" s="367"/>
    </row>
    <row r="302" spans="2:114" ht="13">
      <c r="B302" s="294"/>
      <c r="F302" s="302"/>
      <c r="J302" s="302"/>
      <c r="AI302" s="188"/>
      <c r="AJ302" s="188"/>
      <c r="AK302" s="188"/>
      <c r="AL302" s="188"/>
      <c r="AM302" s="188"/>
      <c r="AN302" s="188"/>
      <c r="AO302" s="299"/>
      <c r="CF302" s="294"/>
      <c r="CG302" s="294"/>
      <c r="CH302" s="294"/>
      <c r="CI302" s="294"/>
      <c r="CJ302" s="294"/>
      <c r="CK302" s="294"/>
      <c r="CL302" s="294"/>
      <c r="CM302" s="294"/>
      <c r="CN302" s="294"/>
      <c r="CT302" s="510">
        <v>112</v>
      </c>
      <c r="DJ302" s="367"/>
    </row>
    <row r="303" spans="2:114" ht="13">
      <c r="B303" s="294"/>
      <c r="F303" s="302"/>
      <c r="J303" s="302"/>
      <c r="AI303" s="188"/>
      <c r="AJ303" s="188"/>
      <c r="AK303" s="188"/>
      <c r="AL303" s="188"/>
      <c r="AM303" s="188"/>
      <c r="AN303" s="188"/>
      <c r="AO303" s="299"/>
      <c r="CF303" s="294"/>
      <c r="CG303" s="294"/>
      <c r="CH303" s="294"/>
      <c r="CI303" s="294"/>
      <c r="CJ303" s="294"/>
      <c r="CK303" s="294"/>
      <c r="CL303" s="294"/>
      <c r="CM303" s="294"/>
      <c r="CN303" s="294"/>
      <c r="CT303" s="510">
        <v>113</v>
      </c>
      <c r="DJ303" s="367"/>
    </row>
    <row r="304" spans="2:114" ht="13">
      <c r="B304" s="294"/>
      <c r="F304" s="302"/>
      <c r="J304" s="302"/>
      <c r="AI304" s="188"/>
      <c r="AJ304" s="188"/>
      <c r="AK304" s="188"/>
      <c r="AL304" s="188"/>
      <c r="AM304" s="188"/>
      <c r="AN304" s="188"/>
      <c r="AO304" s="299"/>
      <c r="CF304" s="294"/>
      <c r="CG304" s="294"/>
      <c r="CH304" s="294"/>
      <c r="CI304" s="294"/>
      <c r="CJ304" s="294"/>
      <c r="CK304" s="294"/>
      <c r="CL304" s="294"/>
      <c r="CM304" s="294"/>
      <c r="CN304" s="294"/>
      <c r="CT304" s="510">
        <v>114</v>
      </c>
      <c r="DJ304" s="367"/>
    </row>
    <row r="305" spans="2:114" ht="13">
      <c r="B305" s="294"/>
      <c r="F305" s="302"/>
      <c r="J305" s="302"/>
      <c r="AI305" s="188"/>
      <c r="AJ305" s="188"/>
      <c r="AK305" s="188"/>
      <c r="AL305" s="188"/>
      <c r="AM305" s="188"/>
      <c r="AN305" s="188"/>
      <c r="AO305" s="299"/>
      <c r="CF305" s="294"/>
      <c r="CG305" s="294"/>
      <c r="CH305" s="294"/>
      <c r="CI305" s="294"/>
      <c r="CJ305" s="294"/>
      <c r="CK305" s="294"/>
      <c r="CL305" s="294"/>
      <c r="CM305" s="294"/>
      <c r="CN305" s="294"/>
      <c r="CT305" s="510">
        <v>115</v>
      </c>
      <c r="DJ305" s="367"/>
    </row>
    <row r="306" spans="2:114" ht="13">
      <c r="B306" s="294"/>
      <c r="F306" s="302"/>
      <c r="J306" s="302"/>
      <c r="AI306" s="188"/>
      <c r="AJ306" s="188"/>
      <c r="AK306" s="188"/>
      <c r="AL306" s="188"/>
      <c r="AM306" s="188"/>
      <c r="AN306" s="188"/>
      <c r="AO306" s="299"/>
      <c r="CF306" s="294"/>
      <c r="CG306" s="294"/>
      <c r="CH306" s="294"/>
      <c r="CI306" s="294"/>
      <c r="CJ306" s="294"/>
      <c r="CK306" s="294"/>
      <c r="CL306" s="294"/>
      <c r="CM306" s="294"/>
      <c r="CN306" s="294"/>
      <c r="CT306" s="510">
        <v>116</v>
      </c>
      <c r="DJ306" s="367"/>
    </row>
    <row r="307" spans="2:114" ht="13">
      <c r="B307" s="294"/>
      <c r="F307" s="302"/>
      <c r="J307" s="302"/>
      <c r="AI307" s="188"/>
      <c r="AJ307" s="188"/>
      <c r="AK307" s="188"/>
      <c r="AL307" s="188"/>
      <c r="AM307" s="188"/>
      <c r="AN307" s="188"/>
      <c r="AO307" s="299"/>
      <c r="CF307" s="294"/>
      <c r="CG307" s="294"/>
      <c r="CH307" s="294"/>
      <c r="CI307" s="294"/>
      <c r="CJ307" s="294"/>
      <c r="CK307" s="294"/>
      <c r="CL307" s="294"/>
      <c r="CM307" s="294"/>
      <c r="CN307" s="294"/>
      <c r="CT307" s="510">
        <v>117</v>
      </c>
      <c r="DJ307" s="367"/>
    </row>
    <row r="308" spans="2:114" ht="13">
      <c r="B308" s="294"/>
      <c r="F308" s="302"/>
      <c r="J308" s="302"/>
      <c r="AI308" s="188"/>
      <c r="AJ308" s="188"/>
      <c r="AK308" s="188"/>
      <c r="AL308" s="188"/>
      <c r="AM308" s="188"/>
      <c r="AN308" s="188"/>
      <c r="AO308" s="299"/>
      <c r="CF308" s="294"/>
      <c r="CG308" s="294"/>
      <c r="CH308" s="294"/>
      <c r="CI308" s="294"/>
      <c r="CJ308" s="294"/>
      <c r="CK308" s="294"/>
      <c r="CL308" s="294"/>
      <c r="CM308" s="294"/>
      <c r="CN308" s="294"/>
      <c r="CT308" s="510">
        <v>118</v>
      </c>
      <c r="DJ308" s="367"/>
    </row>
    <row r="309" spans="2:114" ht="13">
      <c r="B309" s="294"/>
      <c r="F309" s="302"/>
      <c r="J309" s="302"/>
      <c r="AI309" s="188"/>
      <c r="AJ309" s="188"/>
      <c r="AK309" s="188"/>
      <c r="AL309" s="188"/>
      <c r="AM309" s="188"/>
      <c r="AN309" s="188"/>
      <c r="AO309" s="299"/>
      <c r="CF309" s="294"/>
      <c r="CG309" s="294"/>
      <c r="CH309" s="294"/>
      <c r="CI309" s="294"/>
      <c r="CJ309" s="294"/>
      <c r="CK309" s="294"/>
      <c r="CL309" s="294"/>
      <c r="CM309" s="294"/>
      <c r="CN309" s="294"/>
      <c r="CT309" s="510">
        <v>119</v>
      </c>
      <c r="DJ309" s="367"/>
    </row>
    <row r="310" spans="2:114" ht="13">
      <c r="B310" s="294"/>
      <c r="F310" s="302"/>
      <c r="J310" s="302"/>
      <c r="AI310" s="188"/>
      <c r="AJ310" s="188"/>
      <c r="AK310" s="188"/>
      <c r="AL310" s="188"/>
      <c r="AM310" s="188"/>
      <c r="AN310" s="188"/>
      <c r="AO310" s="299"/>
      <c r="CF310" s="294"/>
      <c r="CG310" s="294"/>
      <c r="CH310" s="294"/>
      <c r="CI310" s="294"/>
      <c r="CJ310" s="294"/>
      <c r="CK310" s="294"/>
      <c r="CL310" s="294"/>
      <c r="CM310" s="294"/>
      <c r="CN310" s="294"/>
      <c r="CT310" s="510">
        <v>120</v>
      </c>
      <c r="DJ310" s="367"/>
    </row>
    <row r="311" spans="2:114" ht="13">
      <c r="B311" s="294"/>
      <c r="F311" s="302"/>
      <c r="J311" s="302"/>
      <c r="AI311" s="188"/>
      <c r="AJ311" s="188"/>
      <c r="AK311" s="188"/>
      <c r="AL311" s="188"/>
      <c r="AM311" s="188"/>
      <c r="AN311" s="188"/>
      <c r="AO311" s="299"/>
      <c r="CF311" s="294"/>
      <c r="CG311" s="294"/>
      <c r="CH311" s="294"/>
      <c r="CI311" s="294"/>
      <c r="CJ311" s="294"/>
      <c r="CK311" s="294"/>
      <c r="CL311" s="294"/>
      <c r="CM311" s="294"/>
      <c r="CN311" s="294"/>
      <c r="CT311" s="510">
        <v>121</v>
      </c>
      <c r="DJ311" s="367"/>
    </row>
    <row r="312" spans="2:114" ht="13">
      <c r="B312" s="294"/>
      <c r="F312" s="302"/>
      <c r="J312" s="302"/>
      <c r="AI312" s="188"/>
      <c r="AJ312" s="188"/>
      <c r="AK312" s="188"/>
      <c r="AL312" s="188"/>
      <c r="AM312" s="188"/>
      <c r="AN312" s="188"/>
      <c r="AO312" s="299"/>
      <c r="CF312" s="294"/>
      <c r="CG312" s="294"/>
      <c r="CH312" s="294"/>
      <c r="CI312" s="294"/>
      <c r="CJ312" s="294"/>
      <c r="CK312" s="294"/>
      <c r="CL312" s="294"/>
      <c r="CM312" s="294"/>
      <c r="CN312" s="294"/>
      <c r="CT312" s="510">
        <v>122</v>
      </c>
      <c r="DJ312" s="367"/>
    </row>
    <row r="313" spans="2:114" ht="13">
      <c r="B313" s="294"/>
      <c r="F313" s="302"/>
      <c r="J313" s="302"/>
      <c r="AI313" s="188"/>
      <c r="AJ313" s="188"/>
      <c r="AK313" s="188"/>
      <c r="AL313" s="188"/>
      <c r="AM313" s="188"/>
      <c r="AN313" s="188"/>
      <c r="AO313" s="299"/>
      <c r="CF313" s="294"/>
      <c r="CG313" s="294"/>
      <c r="CH313" s="294"/>
      <c r="CI313" s="294"/>
      <c r="CJ313" s="294"/>
      <c r="CK313" s="294"/>
      <c r="CL313" s="294"/>
      <c r="CM313" s="294"/>
      <c r="CN313" s="294"/>
      <c r="CT313" s="510">
        <v>123</v>
      </c>
      <c r="DJ313" s="367"/>
    </row>
    <row r="314" spans="2:114" ht="13">
      <c r="B314" s="294"/>
      <c r="F314" s="302"/>
      <c r="J314" s="302"/>
      <c r="AI314" s="188"/>
      <c r="AJ314" s="188"/>
      <c r="AK314" s="188"/>
      <c r="AL314" s="188"/>
      <c r="AM314" s="188"/>
      <c r="AN314" s="188"/>
      <c r="AO314" s="299"/>
      <c r="CF314" s="294"/>
      <c r="CG314" s="294"/>
      <c r="CH314" s="294"/>
      <c r="CI314" s="294"/>
      <c r="CJ314" s="294"/>
      <c r="CK314" s="294"/>
      <c r="CL314" s="294"/>
      <c r="CM314" s="294"/>
      <c r="CN314" s="294"/>
      <c r="CT314" s="510">
        <v>124</v>
      </c>
      <c r="DJ314" s="367"/>
    </row>
    <row r="315" spans="2:114" ht="13">
      <c r="B315" s="294"/>
      <c r="F315" s="302"/>
      <c r="J315" s="302"/>
      <c r="AI315" s="188"/>
      <c r="AJ315" s="188"/>
      <c r="AK315" s="188"/>
      <c r="AL315" s="188"/>
      <c r="AM315" s="188"/>
      <c r="AN315" s="188"/>
      <c r="AO315" s="299"/>
      <c r="CF315" s="294"/>
      <c r="CG315" s="294"/>
      <c r="CH315" s="294"/>
      <c r="CI315" s="294"/>
      <c r="CJ315" s="294"/>
      <c r="CK315" s="294"/>
      <c r="CL315" s="294"/>
      <c r="CM315" s="294"/>
      <c r="CN315" s="294"/>
      <c r="CT315" s="510">
        <v>125</v>
      </c>
      <c r="DJ315" s="367"/>
    </row>
    <row r="316" spans="2:114" ht="13">
      <c r="B316" s="294"/>
      <c r="F316" s="302"/>
      <c r="J316" s="302"/>
      <c r="AI316" s="188"/>
      <c r="AJ316" s="188"/>
      <c r="AK316" s="188"/>
      <c r="AL316" s="188"/>
      <c r="AM316" s="188"/>
      <c r="AN316" s="188"/>
      <c r="AO316" s="299"/>
      <c r="CF316" s="294"/>
      <c r="CG316" s="294"/>
      <c r="CH316" s="294"/>
      <c r="CI316" s="294"/>
      <c r="CJ316" s="294"/>
      <c r="CK316" s="294"/>
      <c r="CL316" s="294"/>
      <c r="CM316" s="294"/>
      <c r="CN316" s="294"/>
      <c r="CT316" s="510">
        <v>126</v>
      </c>
      <c r="DJ316" s="367"/>
    </row>
    <row r="317" spans="2:114" ht="13">
      <c r="B317" s="294"/>
      <c r="F317" s="302"/>
      <c r="J317" s="302"/>
      <c r="AI317" s="188"/>
      <c r="AJ317" s="188"/>
      <c r="AK317" s="188"/>
      <c r="AL317" s="188"/>
      <c r="AM317" s="188"/>
      <c r="AN317" s="188"/>
      <c r="AO317" s="299"/>
      <c r="CF317" s="294"/>
      <c r="CG317" s="294"/>
      <c r="CH317" s="294"/>
      <c r="CI317" s="294"/>
      <c r="CJ317" s="294"/>
      <c r="CK317" s="294"/>
      <c r="CL317" s="294"/>
      <c r="CM317" s="294"/>
      <c r="CN317" s="294"/>
      <c r="CT317" s="510">
        <v>127</v>
      </c>
      <c r="DJ317" s="367"/>
    </row>
    <row r="318" spans="2:114" ht="13">
      <c r="B318" s="294"/>
      <c r="F318" s="302"/>
      <c r="J318" s="302"/>
      <c r="AI318" s="188"/>
      <c r="AJ318" s="188"/>
      <c r="AK318" s="188"/>
      <c r="AL318" s="188"/>
      <c r="AM318" s="188"/>
      <c r="AN318" s="188"/>
      <c r="AO318" s="299"/>
      <c r="CF318" s="294"/>
      <c r="CG318" s="294"/>
      <c r="CH318" s="294"/>
      <c r="CI318" s="294"/>
      <c r="CJ318" s="294"/>
      <c r="CK318" s="294"/>
      <c r="CL318" s="294"/>
      <c r="CM318" s="294"/>
      <c r="CN318" s="294"/>
      <c r="CT318" s="510">
        <v>128</v>
      </c>
      <c r="DJ318" s="367"/>
    </row>
    <row r="319" spans="2:114" ht="13">
      <c r="B319" s="294"/>
      <c r="F319" s="302"/>
      <c r="J319" s="302"/>
      <c r="AI319" s="188"/>
      <c r="AJ319" s="188"/>
      <c r="AK319" s="188"/>
      <c r="AL319" s="188"/>
      <c r="AM319" s="188"/>
      <c r="AN319" s="188"/>
      <c r="AO319" s="299"/>
      <c r="CF319" s="294"/>
      <c r="CG319" s="294"/>
      <c r="CH319" s="294"/>
      <c r="CI319" s="294"/>
      <c r="CJ319" s="294"/>
      <c r="CK319" s="294"/>
      <c r="CL319" s="294"/>
      <c r="CM319" s="294"/>
      <c r="CN319" s="294"/>
      <c r="CT319" s="510">
        <v>129</v>
      </c>
      <c r="DJ319" s="367"/>
    </row>
    <row r="320" spans="2:114" ht="13">
      <c r="B320" s="294"/>
      <c r="F320" s="302"/>
      <c r="J320" s="302"/>
      <c r="AI320" s="188"/>
      <c r="AJ320" s="188"/>
      <c r="AK320" s="188"/>
      <c r="AL320" s="188"/>
      <c r="AM320" s="188"/>
      <c r="AN320" s="188"/>
      <c r="AO320" s="299"/>
      <c r="CF320" s="294"/>
      <c r="CG320" s="294"/>
      <c r="CH320" s="294"/>
      <c r="CI320" s="294"/>
      <c r="CJ320" s="294"/>
      <c r="CK320" s="294"/>
      <c r="CL320" s="294"/>
      <c r="CM320" s="294"/>
      <c r="CN320" s="294"/>
      <c r="CT320" s="510">
        <v>130</v>
      </c>
      <c r="DJ320" s="367"/>
    </row>
    <row r="321" spans="2:114" ht="13">
      <c r="B321" s="294"/>
      <c r="F321" s="302"/>
      <c r="J321" s="302"/>
      <c r="AI321" s="188"/>
      <c r="AJ321" s="188"/>
      <c r="AK321" s="188"/>
      <c r="AL321" s="188"/>
      <c r="AM321" s="188"/>
      <c r="AN321" s="188"/>
      <c r="AO321" s="299"/>
      <c r="CF321" s="294"/>
      <c r="CG321" s="294"/>
      <c r="CH321" s="294"/>
      <c r="CI321" s="294"/>
      <c r="CJ321" s="294"/>
      <c r="CK321" s="294"/>
      <c r="CL321" s="294"/>
      <c r="CM321" s="294"/>
      <c r="CN321" s="294"/>
      <c r="CT321" s="510">
        <v>131</v>
      </c>
      <c r="DJ321" s="367"/>
    </row>
    <row r="322" spans="2:114" ht="13">
      <c r="B322" s="294"/>
      <c r="F322" s="302"/>
      <c r="J322" s="302"/>
      <c r="AI322" s="188"/>
      <c r="AJ322" s="188"/>
      <c r="AK322" s="188"/>
      <c r="AL322" s="188"/>
      <c r="AM322" s="188"/>
      <c r="AN322" s="188"/>
      <c r="AO322" s="299"/>
      <c r="CF322" s="294"/>
      <c r="CG322" s="294"/>
      <c r="CH322" s="294"/>
      <c r="CI322" s="294"/>
      <c r="CJ322" s="294"/>
      <c r="CK322" s="294"/>
      <c r="CL322" s="294"/>
      <c r="CM322" s="294"/>
      <c r="CN322" s="294"/>
      <c r="CT322" s="510">
        <v>132</v>
      </c>
      <c r="DJ322" s="367"/>
    </row>
    <row r="323" spans="2:114" ht="13">
      <c r="B323" s="294"/>
      <c r="F323" s="302"/>
      <c r="J323" s="302"/>
      <c r="AI323" s="188"/>
      <c r="AJ323" s="188"/>
      <c r="AK323" s="188"/>
      <c r="AL323" s="188"/>
      <c r="AM323" s="188"/>
      <c r="AN323" s="188"/>
      <c r="AO323" s="299"/>
      <c r="CF323" s="294"/>
      <c r="CG323" s="294"/>
      <c r="CH323" s="294"/>
      <c r="CI323" s="294"/>
      <c r="CJ323" s="294"/>
      <c r="CK323" s="294"/>
      <c r="CL323" s="294"/>
      <c r="CM323" s="294"/>
      <c r="CN323" s="294"/>
      <c r="CT323" s="510">
        <v>133</v>
      </c>
      <c r="DJ323" s="367"/>
    </row>
    <row r="324" spans="2:114" ht="13">
      <c r="B324" s="294"/>
      <c r="F324" s="302"/>
      <c r="J324" s="302"/>
      <c r="AI324" s="188"/>
      <c r="AJ324" s="188"/>
      <c r="AK324" s="188"/>
      <c r="AL324" s="188"/>
      <c r="AM324" s="188"/>
      <c r="AN324" s="188"/>
      <c r="AO324" s="299"/>
      <c r="CF324" s="294"/>
      <c r="CG324" s="294"/>
      <c r="CH324" s="294"/>
      <c r="CI324" s="294"/>
      <c r="CJ324" s="294"/>
      <c r="CK324" s="294"/>
      <c r="CL324" s="294"/>
      <c r="CM324" s="294"/>
      <c r="CN324" s="294"/>
      <c r="CT324" s="510">
        <v>134</v>
      </c>
      <c r="DJ324" s="367"/>
    </row>
    <row r="325" spans="2:114" ht="13">
      <c r="B325" s="294"/>
      <c r="F325" s="302"/>
      <c r="J325" s="302"/>
      <c r="AI325" s="188"/>
      <c r="AJ325" s="188"/>
      <c r="AK325" s="188"/>
      <c r="AL325" s="188"/>
      <c r="AM325" s="188"/>
      <c r="AN325" s="188"/>
      <c r="AO325" s="299"/>
      <c r="CF325" s="294"/>
      <c r="CG325" s="294"/>
      <c r="CH325" s="294"/>
      <c r="CI325" s="294"/>
      <c r="CJ325" s="294"/>
      <c r="CK325" s="294"/>
      <c r="CL325" s="294"/>
      <c r="CM325" s="294"/>
      <c r="CN325" s="294"/>
      <c r="CT325" s="510">
        <v>135</v>
      </c>
      <c r="DJ325" s="367"/>
    </row>
    <row r="326" spans="2:114" ht="13">
      <c r="B326" s="294"/>
      <c r="F326" s="302"/>
      <c r="J326" s="302"/>
      <c r="AI326" s="188"/>
      <c r="AJ326" s="188"/>
      <c r="AK326" s="188"/>
      <c r="AL326" s="188"/>
      <c r="AM326" s="188"/>
      <c r="AN326" s="188"/>
      <c r="AO326" s="299"/>
      <c r="CF326" s="294"/>
      <c r="CG326" s="294"/>
      <c r="CH326" s="294"/>
      <c r="CI326" s="294"/>
      <c r="CJ326" s="294"/>
      <c r="CK326" s="294"/>
      <c r="CL326" s="294"/>
      <c r="CM326" s="294"/>
      <c r="CN326" s="294"/>
      <c r="CT326" s="510">
        <v>136</v>
      </c>
      <c r="DJ326" s="367"/>
    </row>
    <row r="327" spans="2:114" ht="13">
      <c r="B327" s="294"/>
      <c r="F327" s="302"/>
      <c r="J327" s="302"/>
      <c r="AI327" s="188"/>
      <c r="AJ327" s="188"/>
      <c r="AK327" s="188"/>
      <c r="AL327" s="188"/>
      <c r="AM327" s="188"/>
      <c r="AN327" s="188"/>
      <c r="AO327" s="299"/>
      <c r="CF327" s="294"/>
      <c r="CG327" s="294"/>
      <c r="CH327" s="294"/>
      <c r="CI327" s="294"/>
      <c r="CJ327" s="294"/>
      <c r="CK327" s="294"/>
      <c r="CL327" s="294"/>
      <c r="CM327" s="294"/>
      <c r="CN327" s="294"/>
      <c r="CT327" s="510">
        <v>137</v>
      </c>
      <c r="DJ327" s="367"/>
    </row>
    <row r="328" spans="2:114" ht="13">
      <c r="B328" s="294"/>
      <c r="F328" s="302"/>
      <c r="J328" s="302"/>
      <c r="AI328" s="188"/>
      <c r="AJ328" s="188"/>
      <c r="AK328" s="188"/>
      <c r="AL328" s="188"/>
      <c r="AM328" s="188"/>
      <c r="AN328" s="188"/>
      <c r="AO328" s="299"/>
      <c r="CF328" s="294"/>
      <c r="CG328" s="294"/>
      <c r="CH328" s="294"/>
      <c r="CI328" s="294"/>
      <c r="CJ328" s="294"/>
      <c r="CK328" s="294"/>
      <c r="CL328" s="294"/>
      <c r="CM328" s="294"/>
      <c r="CN328" s="294"/>
      <c r="CT328" s="510">
        <v>138</v>
      </c>
      <c r="DJ328" s="367"/>
    </row>
    <row r="329" spans="2:114" ht="13">
      <c r="B329" s="294"/>
      <c r="F329" s="302"/>
      <c r="J329" s="302"/>
      <c r="AI329" s="188"/>
      <c r="AJ329" s="188"/>
      <c r="AK329" s="188"/>
      <c r="AL329" s="188"/>
      <c r="AM329" s="188"/>
      <c r="AN329" s="188"/>
      <c r="AO329" s="299"/>
      <c r="CF329" s="294"/>
      <c r="CG329" s="294"/>
      <c r="CH329" s="294"/>
      <c r="CI329" s="294"/>
      <c r="CJ329" s="294"/>
      <c r="CK329" s="294"/>
      <c r="CL329" s="294"/>
      <c r="CM329" s="294"/>
      <c r="CN329" s="294"/>
      <c r="CT329" s="510">
        <v>139</v>
      </c>
      <c r="DJ329" s="367"/>
    </row>
    <row r="330" spans="2:114" ht="13">
      <c r="B330" s="294"/>
      <c r="F330" s="302"/>
      <c r="J330" s="302"/>
      <c r="AI330" s="188"/>
      <c r="AJ330" s="188"/>
      <c r="AK330" s="188"/>
      <c r="AL330" s="188"/>
      <c r="AM330" s="188"/>
      <c r="AN330" s="188"/>
      <c r="AO330" s="299"/>
      <c r="CF330" s="294"/>
      <c r="CG330" s="294"/>
      <c r="CH330" s="294"/>
      <c r="CI330" s="294"/>
      <c r="CJ330" s="294"/>
      <c r="CK330" s="294"/>
      <c r="CL330" s="294"/>
      <c r="CM330" s="294"/>
      <c r="CN330" s="294"/>
      <c r="CT330" s="510">
        <v>140</v>
      </c>
      <c r="DJ330" s="367"/>
    </row>
    <row r="331" spans="2:114" ht="13">
      <c r="B331" s="294"/>
      <c r="F331" s="302"/>
      <c r="J331" s="302"/>
      <c r="AI331" s="188"/>
      <c r="AJ331" s="188"/>
      <c r="AK331" s="188"/>
      <c r="AL331" s="188"/>
      <c r="AM331" s="188"/>
      <c r="AN331" s="188"/>
      <c r="AO331" s="299"/>
      <c r="CF331" s="294"/>
      <c r="CG331" s="294"/>
      <c r="CH331" s="294"/>
      <c r="CI331" s="294"/>
      <c r="CJ331" s="294"/>
      <c r="CK331" s="294"/>
      <c r="CL331" s="294"/>
      <c r="CM331" s="294"/>
      <c r="CN331" s="294"/>
      <c r="CT331" s="512">
        <v>141</v>
      </c>
      <c r="CU331" s="369"/>
      <c r="CV331" s="369"/>
      <c r="CW331" s="369"/>
      <c r="CX331" s="369"/>
      <c r="CY331" s="369"/>
      <c r="CZ331" s="369"/>
      <c r="DA331" s="369"/>
      <c r="DB331" s="369"/>
      <c r="DC331" s="369"/>
      <c r="DD331" s="369"/>
      <c r="DE331" s="369"/>
      <c r="DF331" s="369"/>
      <c r="DG331" s="369"/>
      <c r="DH331" s="369"/>
      <c r="DI331" s="369"/>
      <c r="DJ331" s="370"/>
    </row>
    <row r="332" spans="2:114" ht="13">
      <c r="B332" s="294"/>
      <c r="F332" s="302"/>
      <c r="J332" s="302"/>
      <c r="AI332" s="188"/>
      <c r="AJ332" s="188"/>
      <c r="AK332" s="188"/>
      <c r="AL332" s="188"/>
      <c r="AM332" s="188"/>
      <c r="AN332" s="188"/>
      <c r="AO332" s="299"/>
      <c r="CF332" s="294"/>
      <c r="CG332" s="294"/>
      <c r="CH332" s="294"/>
      <c r="CI332" s="294"/>
      <c r="CJ332" s="294"/>
      <c r="CK332" s="294"/>
      <c r="CL332" s="294"/>
      <c r="CM332" s="294"/>
      <c r="CN332" s="294"/>
    </row>
    <row r="333" spans="2:114" ht="13">
      <c r="B333" s="294"/>
      <c r="F333" s="302"/>
      <c r="J333" s="302"/>
      <c r="AI333" s="188"/>
      <c r="AJ333" s="188"/>
      <c r="AK333" s="188"/>
      <c r="AL333" s="188"/>
      <c r="AM333" s="188"/>
      <c r="AN333" s="188"/>
      <c r="AO333" s="299"/>
      <c r="CF333" s="294"/>
      <c r="CG333" s="294"/>
      <c r="CH333" s="294"/>
      <c r="CI333" s="294"/>
      <c r="CJ333" s="294"/>
      <c r="CK333" s="294"/>
      <c r="CL333" s="294"/>
      <c r="CM333" s="294"/>
      <c r="CN333" s="294"/>
      <c r="CW333" s="352">
        <f>CW337-Q118</f>
        <v>-9.9999997764825821E-3</v>
      </c>
      <c r="CX333" s="352">
        <f>CX337-X118</f>
        <v>-1.0000000242143869E-2</v>
      </c>
      <c r="CY333" s="352">
        <f>CY337-AE118</f>
        <v>-9.9999997764825821E-3</v>
      </c>
      <c r="CZ333" s="352">
        <f>CZ337-AR118</f>
        <v>-1.0000000707805157E-2</v>
      </c>
      <c r="DA333" s="352">
        <f>DA337-AV118</f>
        <v>9.9999997764825821E-3</v>
      </c>
      <c r="DB333" s="352">
        <f>DB337-AZ118</f>
        <v>0</v>
      </c>
      <c r="DC333" s="296">
        <f>DC337-BJ118</f>
        <v>9.9999997764825821E-3</v>
      </c>
      <c r="DD333" s="352">
        <f>DD337-BN118</f>
        <v>0</v>
      </c>
      <c r="DE333" s="352">
        <f>DE337-BR118</f>
        <v>1.0000000707805157E-2</v>
      </c>
      <c r="DF333" s="352">
        <f>DF337-BY118</f>
        <v>-1.0000000707805157E-2</v>
      </c>
    </row>
    <row r="334" spans="2:114" ht="13">
      <c r="B334" s="294"/>
      <c r="F334" s="302"/>
      <c r="J334" s="302"/>
      <c r="AI334" s="188"/>
      <c r="AJ334" s="188"/>
      <c r="AK334" s="188"/>
      <c r="AL334" s="188"/>
      <c r="AM334" s="188"/>
      <c r="AN334" s="188"/>
      <c r="AO334" s="299"/>
      <c r="CF334" s="294"/>
      <c r="CG334" s="294"/>
      <c r="CH334" s="294"/>
      <c r="CI334" s="294"/>
      <c r="CJ334" s="294"/>
      <c r="CK334" s="294"/>
      <c r="CL334" s="294"/>
      <c r="CM334" s="294"/>
      <c r="CN334" s="294"/>
      <c r="CT334" s="371"/>
      <c r="CU334" s="372">
        <v>1</v>
      </c>
      <c r="CV334" s="372">
        <v>2</v>
      </c>
      <c r="CW334" s="372">
        <v>3</v>
      </c>
      <c r="CX334" s="372">
        <v>4</v>
      </c>
      <c r="CY334" s="372">
        <v>5</v>
      </c>
      <c r="CZ334" s="372">
        <v>6</v>
      </c>
      <c r="DA334" s="372">
        <v>7</v>
      </c>
      <c r="DB334" s="372">
        <v>8</v>
      </c>
      <c r="DC334" s="372">
        <v>9</v>
      </c>
      <c r="DD334" s="372">
        <v>10</v>
      </c>
      <c r="DE334" s="372">
        <v>11</v>
      </c>
      <c r="DF334" s="372">
        <v>12</v>
      </c>
      <c r="DG334" s="372">
        <v>13</v>
      </c>
      <c r="DH334" s="372">
        <v>14</v>
      </c>
      <c r="DI334" s="372">
        <v>15</v>
      </c>
      <c r="DJ334" s="373">
        <v>16</v>
      </c>
    </row>
    <row r="335" spans="2:114" ht="13">
      <c r="B335" s="294"/>
      <c r="F335" s="302"/>
      <c r="J335" s="302"/>
      <c r="AI335" s="188"/>
      <c r="AJ335" s="188"/>
      <c r="AK335" s="188"/>
      <c r="AL335" s="188"/>
      <c r="AM335" s="188"/>
      <c r="AN335" s="188"/>
      <c r="AO335" s="299"/>
      <c r="CF335" s="294"/>
      <c r="CG335" s="294"/>
      <c r="CH335" s="294"/>
      <c r="CI335" s="294"/>
      <c r="CJ335" s="294"/>
      <c r="CK335" s="294"/>
      <c r="CL335" s="294"/>
      <c r="CM335" s="294"/>
      <c r="CN335" s="294"/>
      <c r="CT335" s="374"/>
      <c r="CW335" s="357">
        <v>45658</v>
      </c>
      <c r="CX335" s="357">
        <v>45689</v>
      </c>
      <c r="CY335" s="357">
        <v>45717</v>
      </c>
      <c r="CZ335" s="357">
        <v>45748</v>
      </c>
      <c r="DA335" s="357">
        <v>45778</v>
      </c>
      <c r="DB335" s="357">
        <v>45809</v>
      </c>
      <c r="DC335" s="357">
        <v>45839</v>
      </c>
      <c r="DD335" s="357">
        <v>45870</v>
      </c>
      <c r="DE335" s="357">
        <v>45901</v>
      </c>
      <c r="DF335" s="357">
        <v>45931</v>
      </c>
      <c r="DG335" s="357">
        <v>45962</v>
      </c>
      <c r="DH335" s="357">
        <v>45992</v>
      </c>
      <c r="DI335" s="357"/>
      <c r="DJ335" s="375"/>
    </row>
    <row r="336" spans="2:114" ht="13">
      <c r="B336" s="294"/>
      <c r="F336" s="302"/>
      <c r="J336" s="302"/>
      <c r="AI336" s="188"/>
      <c r="AJ336" s="188"/>
      <c r="AK336" s="188"/>
      <c r="AL336" s="188"/>
      <c r="AM336" s="188"/>
      <c r="AN336" s="188"/>
      <c r="AO336" s="299"/>
      <c r="CF336" s="294"/>
      <c r="CG336" s="294"/>
      <c r="CH336" s="294"/>
      <c r="CI336" s="294"/>
      <c r="CJ336" s="294"/>
      <c r="CK336" s="294"/>
      <c r="CL336" s="294"/>
      <c r="CM336" s="294"/>
      <c r="CN336" s="294"/>
      <c r="CT336" s="374"/>
      <c r="CU336" s="1000"/>
      <c r="CV336" s="359" t="s">
        <v>241</v>
      </c>
      <c r="CW336" s="357">
        <v>45658</v>
      </c>
      <c r="CX336" s="357">
        <v>45689</v>
      </c>
      <c r="CY336" s="357">
        <v>45717</v>
      </c>
      <c r="CZ336" s="357">
        <v>45748</v>
      </c>
      <c r="DA336" s="357">
        <v>45778</v>
      </c>
      <c r="DB336" s="357">
        <v>45809</v>
      </c>
      <c r="DC336" s="357">
        <v>45839</v>
      </c>
      <c r="DD336" s="357">
        <v>45870</v>
      </c>
      <c r="DE336" s="360">
        <v>45901</v>
      </c>
      <c r="DF336" s="360">
        <v>45931</v>
      </c>
      <c r="DG336" s="360"/>
      <c r="DH336" s="360"/>
      <c r="DI336" s="357"/>
      <c r="DJ336" s="375"/>
    </row>
    <row r="337" spans="2:114" ht="13">
      <c r="B337" s="294"/>
      <c r="F337" s="302"/>
      <c r="J337" s="302"/>
      <c r="AI337" s="188"/>
      <c r="AJ337" s="188"/>
      <c r="AK337" s="188"/>
      <c r="AL337" s="188"/>
      <c r="AM337" s="188"/>
      <c r="AN337" s="188"/>
      <c r="AO337" s="299"/>
      <c r="CF337" s="294"/>
      <c r="CG337" s="294"/>
      <c r="CH337" s="294"/>
      <c r="CI337" s="294"/>
      <c r="CJ337" s="294"/>
      <c r="CK337" s="294"/>
      <c r="CL337" s="294"/>
      <c r="CM337" s="294"/>
      <c r="CN337" s="294"/>
      <c r="CT337" s="374"/>
      <c r="CU337" s="359" t="s">
        <v>241</v>
      </c>
      <c r="CV337" s="361">
        <v>49386622.520000003</v>
      </c>
      <c r="CW337" s="361">
        <v>4790702.34</v>
      </c>
      <c r="CX337" s="361">
        <v>3846708.02</v>
      </c>
      <c r="CY337" s="361">
        <v>2360557.12</v>
      </c>
      <c r="CZ337" s="361">
        <v>4831568.62</v>
      </c>
      <c r="DA337" s="361">
        <v>3907160.77</v>
      </c>
      <c r="DB337" s="361">
        <v>4117912.3</v>
      </c>
      <c r="DC337" s="361">
        <v>6426055.0999999996</v>
      </c>
      <c r="DD337" s="361">
        <v>6376782.75</v>
      </c>
      <c r="DE337" s="361">
        <v>7257748.5300000003</v>
      </c>
      <c r="DF337" s="361">
        <v>5471426.9699999997</v>
      </c>
      <c r="DG337" s="361"/>
      <c r="DH337" s="361"/>
      <c r="DI337" s="361"/>
      <c r="DJ337" s="378"/>
    </row>
    <row r="338" spans="2:114" ht="13">
      <c r="B338" s="294"/>
      <c r="F338" s="302"/>
      <c r="J338" s="302"/>
      <c r="AI338" s="188"/>
      <c r="AJ338" s="188"/>
      <c r="AK338" s="188"/>
      <c r="AL338" s="188"/>
      <c r="AM338" s="188"/>
      <c r="AN338" s="188"/>
      <c r="AO338" s="299"/>
      <c r="CF338" s="294"/>
      <c r="CG338" s="294"/>
      <c r="CH338" s="294"/>
      <c r="CI338" s="294"/>
      <c r="CJ338" s="294"/>
      <c r="CK338" s="294"/>
      <c r="CL338" s="294"/>
      <c r="CM338" s="294"/>
      <c r="CN338" s="294"/>
      <c r="CT338" s="374">
        <v>1</v>
      </c>
      <c r="CU338" s="359" t="s">
        <v>1407</v>
      </c>
      <c r="CV338" s="361">
        <v>16328471.91</v>
      </c>
      <c r="CW338" s="361">
        <v>1385072.84</v>
      </c>
      <c r="CX338" s="361">
        <v>925207.13</v>
      </c>
      <c r="CY338" s="361">
        <v>397808.33</v>
      </c>
      <c r="CZ338" s="361">
        <v>1747249.2</v>
      </c>
      <c r="DA338" s="361">
        <v>1522117.3</v>
      </c>
      <c r="DB338" s="361">
        <v>1962022.25</v>
      </c>
      <c r="DC338" s="361">
        <v>2038565.21</v>
      </c>
      <c r="DD338" s="361">
        <v>1882983.65</v>
      </c>
      <c r="DE338" s="361">
        <v>2630302.91</v>
      </c>
      <c r="DF338" s="361">
        <v>1837143.09</v>
      </c>
      <c r="DG338" s="361"/>
      <c r="DH338" s="361"/>
      <c r="DI338" s="361"/>
      <c r="DJ338" s="378"/>
    </row>
    <row r="339" spans="2:114" ht="13">
      <c r="B339" s="294"/>
      <c r="F339" s="302"/>
      <c r="J339" s="302"/>
      <c r="AI339" s="188"/>
      <c r="AJ339" s="188"/>
      <c r="AK339" s="188"/>
      <c r="AL339" s="188"/>
      <c r="AM339" s="188"/>
      <c r="AN339" s="188"/>
      <c r="AO339" s="299"/>
      <c r="CF339" s="294"/>
      <c r="CG339" s="294"/>
      <c r="CH339" s="294"/>
      <c r="CI339" s="294"/>
      <c r="CJ339" s="294"/>
      <c r="CK339" s="294"/>
      <c r="CL339" s="294"/>
      <c r="CM339" s="294"/>
      <c r="CN339" s="294"/>
      <c r="CT339" s="374">
        <v>2</v>
      </c>
      <c r="CU339" s="359" t="s">
        <v>1410</v>
      </c>
      <c r="CV339" s="361">
        <v>12215547.4</v>
      </c>
      <c r="CW339" s="361">
        <v>2325174.54</v>
      </c>
      <c r="CX339" s="361">
        <v>1472759.6</v>
      </c>
      <c r="CY339" s="361">
        <v>1089591.0900000001</v>
      </c>
      <c r="CZ339" s="361">
        <v>1668649.28</v>
      </c>
      <c r="DA339" s="361">
        <v>931302.6</v>
      </c>
      <c r="DB339" s="361">
        <v>744919.98</v>
      </c>
      <c r="DC339" s="361">
        <v>686880.48</v>
      </c>
      <c r="DD339" s="361">
        <v>816372.07</v>
      </c>
      <c r="DE339" s="361">
        <v>1397704.4</v>
      </c>
      <c r="DF339" s="361">
        <v>1082193.3600000001</v>
      </c>
      <c r="DG339" s="361"/>
      <c r="DH339" s="361"/>
      <c r="DI339" s="361"/>
      <c r="DJ339" s="378"/>
    </row>
    <row r="340" spans="2:114" ht="13">
      <c r="B340" s="294"/>
      <c r="F340" s="302"/>
      <c r="J340" s="302"/>
      <c r="AI340" s="188"/>
      <c r="AJ340" s="188"/>
      <c r="AK340" s="188"/>
      <c r="AL340" s="188"/>
      <c r="AM340" s="188"/>
      <c r="AN340" s="188"/>
      <c r="AO340" s="299"/>
      <c r="CF340" s="294"/>
      <c r="CG340" s="294"/>
      <c r="CH340" s="294"/>
      <c r="CI340" s="294"/>
      <c r="CJ340" s="294"/>
      <c r="CK340" s="294"/>
      <c r="CL340" s="294"/>
      <c r="CM340" s="294"/>
      <c r="CN340" s="294"/>
      <c r="CT340" s="374">
        <v>3</v>
      </c>
      <c r="CU340" s="359" t="s">
        <v>1406</v>
      </c>
      <c r="CV340" s="361">
        <v>6233097.3899999997</v>
      </c>
      <c r="CW340" s="361">
        <v>199214.68</v>
      </c>
      <c r="CX340" s="361">
        <v>332210.26</v>
      </c>
      <c r="CY340" s="361">
        <v>0</v>
      </c>
      <c r="CZ340" s="361">
        <v>0</v>
      </c>
      <c r="DA340" s="361">
        <v>0</v>
      </c>
      <c r="DB340" s="361">
        <v>0</v>
      </c>
      <c r="DC340" s="361">
        <v>1697266.59</v>
      </c>
      <c r="DD340" s="361">
        <v>1753195.51</v>
      </c>
      <c r="DE340" s="361">
        <v>759724.18</v>
      </c>
      <c r="DF340" s="361">
        <v>1491486.17</v>
      </c>
      <c r="DG340" s="361"/>
      <c r="DH340" s="361"/>
      <c r="DI340" s="361"/>
      <c r="DJ340" s="378"/>
    </row>
    <row r="341" spans="2:114" ht="13">
      <c r="B341" s="294"/>
      <c r="F341" s="302"/>
      <c r="J341" s="302"/>
      <c r="AI341" s="188"/>
      <c r="AJ341" s="188"/>
      <c r="AK341" s="188"/>
      <c r="AL341" s="188"/>
      <c r="AM341" s="188"/>
      <c r="AN341" s="188"/>
      <c r="AO341" s="299"/>
      <c r="CF341" s="294"/>
      <c r="CG341" s="294"/>
      <c r="CH341" s="294"/>
      <c r="CI341" s="294"/>
      <c r="CJ341" s="294"/>
      <c r="CK341" s="294"/>
      <c r="CL341" s="294"/>
      <c r="CM341" s="294"/>
      <c r="CN341" s="294"/>
      <c r="CT341" s="374">
        <v>4</v>
      </c>
      <c r="CU341" s="359" t="s">
        <v>1417</v>
      </c>
      <c r="CV341" s="361">
        <v>5137936.3499999996</v>
      </c>
      <c r="CW341" s="361">
        <v>322110.59999999998</v>
      </c>
      <c r="CX341" s="361">
        <v>583184.69999999995</v>
      </c>
      <c r="CY341" s="361">
        <v>0</v>
      </c>
      <c r="CZ341" s="361">
        <v>806232.82</v>
      </c>
      <c r="DA341" s="361">
        <v>534115.87</v>
      </c>
      <c r="DB341" s="361">
        <v>479452.23</v>
      </c>
      <c r="DC341" s="361">
        <v>1210273.52</v>
      </c>
      <c r="DD341" s="361">
        <v>663494.89</v>
      </c>
      <c r="DE341" s="361">
        <v>539071.72</v>
      </c>
      <c r="DF341" s="361">
        <v>0</v>
      </c>
      <c r="DG341" s="361"/>
      <c r="DH341" s="361"/>
      <c r="DI341" s="361"/>
      <c r="DJ341" s="378"/>
    </row>
    <row r="342" spans="2:114" ht="13">
      <c r="B342" s="294"/>
      <c r="F342" s="302"/>
      <c r="J342" s="302"/>
      <c r="AI342" s="188"/>
      <c r="AJ342" s="188"/>
      <c r="AK342" s="188"/>
      <c r="AL342" s="188"/>
      <c r="AM342" s="188"/>
      <c r="AN342" s="188"/>
      <c r="AO342" s="299"/>
      <c r="CF342" s="294"/>
      <c r="CG342" s="294"/>
      <c r="CH342" s="294"/>
      <c r="CI342" s="294"/>
      <c r="CJ342" s="294"/>
      <c r="CK342" s="294"/>
      <c r="CL342" s="294"/>
      <c r="CM342" s="294"/>
      <c r="CN342" s="294"/>
      <c r="CT342" s="374">
        <v>5</v>
      </c>
      <c r="CU342" s="359" t="s">
        <v>1408</v>
      </c>
      <c r="CV342" s="361">
        <v>3646024.39</v>
      </c>
      <c r="CW342" s="361">
        <v>201807.65</v>
      </c>
      <c r="CX342" s="361">
        <v>131604.81</v>
      </c>
      <c r="CY342" s="361">
        <v>628460.97</v>
      </c>
      <c r="CZ342" s="361">
        <v>244113.21</v>
      </c>
      <c r="DA342" s="361">
        <v>442140.54</v>
      </c>
      <c r="DB342" s="361">
        <v>304885.21999999997</v>
      </c>
      <c r="DC342" s="361">
        <v>320316.65000000002</v>
      </c>
      <c r="DD342" s="361">
        <v>557478.11</v>
      </c>
      <c r="DE342" s="361">
        <v>667823.6</v>
      </c>
      <c r="DF342" s="361">
        <v>147393.64000000001</v>
      </c>
      <c r="DG342" s="361"/>
      <c r="DH342" s="361"/>
      <c r="DI342" s="361"/>
      <c r="DJ342" s="378"/>
    </row>
    <row r="343" spans="2:114" ht="13">
      <c r="B343" s="294"/>
      <c r="F343" s="302"/>
      <c r="J343" s="302"/>
      <c r="AI343" s="188"/>
      <c r="AJ343" s="188"/>
      <c r="AK343" s="188"/>
      <c r="AL343" s="188"/>
      <c r="AM343" s="188"/>
      <c r="AN343" s="188"/>
      <c r="AO343" s="299"/>
      <c r="CF343" s="294"/>
      <c r="CG343" s="294"/>
      <c r="CH343" s="294"/>
      <c r="CI343" s="294"/>
      <c r="CJ343" s="294"/>
      <c r="CK343" s="294"/>
      <c r="CL343" s="294"/>
      <c r="CM343" s="294"/>
      <c r="CN343" s="294"/>
      <c r="CT343" s="374">
        <v>6</v>
      </c>
      <c r="CU343" s="359" t="s">
        <v>1413</v>
      </c>
      <c r="CV343" s="361">
        <v>2953369.12</v>
      </c>
      <c r="CW343" s="361">
        <v>190755.79</v>
      </c>
      <c r="CX343" s="361">
        <v>217109.52</v>
      </c>
      <c r="CY343" s="361">
        <v>244696.74</v>
      </c>
      <c r="CZ343" s="361">
        <v>267844.37</v>
      </c>
      <c r="DA343" s="361">
        <v>269453.36</v>
      </c>
      <c r="DB343" s="361">
        <v>419319.24</v>
      </c>
      <c r="DC343" s="361">
        <v>295393.37</v>
      </c>
      <c r="DD343" s="361">
        <v>402835.08</v>
      </c>
      <c r="DE343" s="361">
        <v>475653.76</v>
      </c>
      <c r="DF343" s="361">
        <v>170307.9</v>
      </c>
      <c r="DG343" s="361"/>
      <c r="DH343" s="361"/>
      <c r="DI343" s="361"/>
      <c r="DJ343" s="378"/>
    </row>
    <row r="344" spans="2:114" ht="13">
      <c r="B344" s="294"/>
      <c r="F344" s="302"/>
      <c r="J344" s="302"/>
      <c r="AI344" s="188"/>
      <c r="AJ344" s="188"/>
      <c r="AK344" s="188"/>
      <c r="AL344" s="188"/>
      <c r="AM344" s="188"/>
      <c r="AN344" s="188"/>
      <c r="AO344" s="299"/>
      <c r="CF344" s="294"/>
      <c r="CG344" s="294"/>
      <c r="CH344" s="294"/>
      <c r="CI344" s="294"/>
      <c r="CJ344" s="294"/>
      <c r="CK344" s="294"/>
      <c r="CL344" s="294"/>
      <c r="CM344" s="294"/>
      <c r="CN344" s="294"/>
      <c r="CT344" s="374">
        <v>7</v>
      </c>
      <c r="CU344" s="359" t="s">
        <v>1418</v>
      </c>
      <c r="CV344" s="361">
        <v>1320813.69</v>
      </c>
      <c r="CW344" s="361">
        <v>70424.740000000005</v>
      </c>
      <c r="CX344" s="361">
        <v>0</v>
      </c>
      <c r="CY344" s="361">
        <v>0</v>
      </c>
      <c r="CZ344" s="361">
        <v>0</v>
      </c>
      <c r="DA344" s="361">
        <v>156765.47</v>
      </c>
      <c r="DB344" s="361">
        <v>0</v>
      </c>
      <c r="DC344" s="361">
        <v>0</v>
      </c>
      <c r="DD344" s="361">
        <v>0</v>
      </c>
      <c r="DE344" s="361">
        <v>696738.46</v>
      </c>
      <c r="DF344" s="361">
        <v>396885.02</v>
      </c>
      <c r="DG344" s="361"/>
      <c r="DH344" s="361"/>
      <c r="DI344" s="361"/>
      <c r="DJ344" s="378"/>
    </row>
    <row r="345" spans="2:114" ht="13">
      <c r="B345" s="294"/>
      <c r="F345" s="302"/>
      <c r="J345" s="302"/>
      <c r="AI345" s="188"/>
      <c r="AJ345" s="188"/>
      <c r="AK345" s="188"/>
      <c r="AL345" s="188"/>
      <c r="AM345" s="188"/>
      <c r="AN345" s="188"/>
      <c r="AO345" s="299"/>
      <c r="CF345" s="294"/>
      <c r="CG345" s="294"/>
      <c r="CH345" s="294"/>
      <c r="CI345" s="294"/>
      <c r="CJ345" s="294"/>
      <c r="CK345" s="294"/>
      <c r="CL345" s="294"/>
      <c r="CM345" s="294"/>
      <c r="CN345" s="294"/>
      <c r="CT345" s="374">
        <v>8</v>
      </c>
      <c r="CU345" s="359" t="s">
        <v>1409</v>
      </c>
      <c r="CV345" s="361">
        <v>397473.31</v>
      </c>
      <c r="CW345" s="361">
        <v>0</v>
      </c>
      <c r="CX345" s="361">
        <v>0</v>
      </c>
      <c r="CY345" s="361">
        <v>0</v>
      </c>
      <c r="CZ345" s="361">
        <v>0</v>
      </c>
      <c r="DA345" s="361">
        <v>0</v>
      </c>
      <c r="DB345" s="361">
        <v>40878.959999999999</v>
      </c>
      <c r="DC345" s="361">
        <v>37721.69</v>
      </c>
      <c r="DD345" s="361">
        <v>179802.36</v>
      </c>
      <c r="DE345" s="361">
        <v>50771.72</v>
      </c>
      <c r="DF345" s="361">
        <v>88298.58</v>
      </c>
      <c r="DG345" s="361"/>
      <c r="DH345" s="361"/>
      <c r="DI345" s="361"/>
      <c r="DJ345" s="378"/>
    </row>
    <row r="346" spans="2:114" ht="13">
      <c r="B346" s="294"/>
      <c r="F346" s="302"/>
      <c r="J346" s="302"/>
      <c r="AI346" s="188"/>
      <c r="AJ346" s="188"/>
      <c r="AK346" s="188"/>
      <c r="AL346" s="188"/>
      <c r="AM346" s="188"/>
      <c r="AN346" s="188"/>
      <c r="AO346" s="299"/>
      <c r="CF346" s="294"/>
      <c r="CG346" s="294"/>
      <c r="CH346" s="294"/>
      <c r="CI346" s="294"/>
      <c r="CJ346" s="294"/>
      <c r="CK346" s="294"/>
      <c r="CL346" s="294"/>
      <c r="CM346" s="294"/>
      <c r="CN346" s="294"/>
      <c r="CT346" s="374">
        <v>9</v>
      </c>
      <c r="CU346" s="359" t="s">
        <v>1414</v>
      </c>
      <c r="CV346" s="361">
        <v>272183.84000000003</v>
      </c>
      <c r="CW346" s="361">
        <v>0</v>
      </c>
      <c r="CX346" s="361">
        <v>55328.31</v>
      </c>
      <c r="CY346" s="361">
        <v>0</v>
      </c>
      <c r="CZ346" s="361">
        <v>58797.27</v>
      </c>
      <c r="DA346" s="361">
        <v>33540.9</v>
      </c>
      <c r="DB346" s="361">
        <v>0</v>
      </c>
      <c r="DC346" s="361">
        <v>33540.9</v>
      </c>
      <c r="DD346" s="361">
        <v>0</v>
      </c>
      <c r="DE346" s="361">
        <v>0</v>
      </c>
      <c r="DF346" s="361">
        <v>90976.46</v>
      </c>
      <c r="DG346" s="361"/>
      <c r="DH346" s="361"/>
      <c r="DI346" s="361"/>
      <c r="DJ346" s="378"/>
    </row>
    <row r="347" spans="2:114" ht="13">
      <c r="B347" s="294"/>
      <c r="F347" s="302"/>
      <c r="J347" s="302"/>
      <c r="AI347" s="188"/>
      <c r="AJ347" s="188"/>
      <c r="AK347" s="188"/>
      <c r="AL347" s="188"/>
      <c r="AM347" s="188"/>
      <c r="AN347" s="188"/>
      <c r="AO347" s="299"/>
      <c r="CF347" s="294"/>
      <c r="CG347" s="294"/>
      <c r="CH347" s="294"/>
      <c r="CI347" s="294"/>
      <c r="CJ347" s="294"/>
      <c r="CK347" s="294"/>
      <c r="CL347" s="294"/>
      <c r="CM347" s="294"/>
      <c r="CN347" s="294"/>
      <c r="CT347" s="374">
        <v>10</v>
      </c>
      <c r="CU347" s="359" t="s">
        <v>668</v>
      </c>
      <c r="CV347" s="361">
        <v>262834.68</v>
      </c>
      <c r="CW347" s="361">
        <v>0</v>
      </c>
      <c r="CX347" s="361">
        <v>0</v>
      </c>
      <c r="CY347" s="361">
        <v>0</v>
      </c>
      <c r="CZ347" s="361">
        <v>0</v>
      </c>
      <c r="DA347" s="361">
        <v>17724.72</v>
      </c>
      <c r="DB347" s="361">
        <v>27960.13</v>
      </c>
      <c r="DC347" s="361">
        <v>56570.98</v>
      </c>
      <c r="DD347" s="361">
        <v>120621.08</v>
      </c>
      <c r="DE347" s="361">
        <v>39957.769999999997</v>
      </c>
      <c r="DF347" s="361">
        <v>0</v>
      </c>
      <c r="DG347" s="361"/>
      <c r="DH347" s="361"/>
      <c r="DI347" s="361"/>
      <c r="DJ347" s="378"/>
    </row>
    <row r="348" spans="2:114" ht="13">
      <c r="B348" s="294"/>
      <c r="F348" s="302"/>
      <c r="J348" s="302"/>
      <c r="AI348" s="188"/>
      <c r="AJ348" s="188"/>
      <c r="AK348" s="188"/>
      <c r="AL348" s="188"/>
      <c r="AM348" s="188"/>
      <c r="AN348" s="188"/>
      <c r="AO348" s="299"/>
      <c r="CF348" s="294"/>
      <c r="CG348" s="294"/>
      <c r="CH348" s="294"/>
      <c r="CI348" s="294"/>
      <c r="CJ348" s="294"/>
      <c r="CK348" s="294"/>
      <c r="CL348" s="294"/>
      <c r="CM348" s="294"/>
      <c r="CN348" s="294"/>
      <c r="CT348" s="374">
        <v>11</v>
      </c>
      <c r="CU348" s="359" t="s">
        <v>487</v>
      </c>
      <c r="CV348" s="361">
        <v>166742.76</v>
      </c>
      <c r="CW348" s="361">
        <v>0</v>
      </c>
      <c r="CX348" s="361">
        <v>0</v>
      </c>
      <c r="CY348" s="361">
        <v>0</v>
      </c>
      <c r="CZ348" s="361">
        <v>0</v>
      </c>
      <c r="DA348" s="361">
        <v>0</v>
      </c>
      <c r="DB348" s="361">
        <v>0</v>
      </c>
      <c r="DC348" s="361">
        <v>0</v>
      </c>
      <c r="DD348" s="361">
        <v>0</v>
      </c>
      <c r="DE348" s="361">
        <v>0</v>
      </c>
      <c r="DF348" s="361">
        <v>166742.76</v>
      </c>
      <c r="DG348" s="361"/>
      <c r="DH348" s="361"/>
      <c r="DI348" s="361"/>
      <c r="DJ348" s="378"/>
    </row>
    <row r="349" spans="2:114" ht="13">
      <c r="B349" s="294"/>
      <c r="F349" s="302"/>
      <c r="J349" s="302"/>
      <c r="AI349" s="188"/>
      <c r="AJ349" s="188"/>
      <c r="AK349" s="188"/>
      <c r="AL349" s="188"/>
      <c r="AM349" s="188"/>
      <c r="AN349" s="188"/>
      <c r="AO349" s="299"/>
      <c r="CF349" s="294"/>
      <c r="CG349" s="294"/>
      <c r="CH349" s="294"/>
      <c r="CI349" s="294"/>
      <c r="CJ349" s="294"/>
      <c r="CK349" s="294"/>
      <c r="CL349" s="294"/>
      <c r="CM349" s="294"/>
      <c r="CN349" s="294"/>
      <c r="CT349" s="374">
        <v>12</v>
      </c>
      <c r="CU349" s="359" t="s">
        <v>1412</v>
      </c>
      <c r="CV349" s="361">
        <v>163591.54</v>
      </c>
      <c r="CW349" s="361">
        <v>96141.51</v>
      </c>
      <c r="CX349" s="361">
        <v>0</v>
      </c>
      <c r="CY349" s="361">
        <v>0</v>
      </c>
      <c r="CZ349" s="361">
        <v>0</v>
      </c>
      <c r="DA349" s="361">
        <v>0</v>
      </c>
      <c r="DB349" s="361">
        <v>67450.039999999994</v>
      </c>
      <c r="DC349" s="361">
        <v>0</v>
      </c>
      <c r="DD349" s="361">
        <v>0</v>
      </c>
      <c r="DE349" s="361">
        <v>0</v>
      </c>
      <c r="DF349" s="361">
        <v>0</v>
      </c>
      <c r="DG349" s="361"/>
      <c r="DH349" s="361"/>
      <c r="DI349" s="361"/>
      <c r="DJ349" s="378"/>
    </row>
    <row r="350" spans="2:114" ht="13">
      <c r="B350" s="294"/>
      <c r="F350" s="302"/>
      <c r="J350" s="302"/>
      <c r="AI350" s="188"/>
      <c r="AJ350" s="188"/>
      <c r="AK350" s="188"/>
      <c r="AL350" s="188"/>
      <c r="AM350" s="188"/>
      <c r="AN350" s="188"/>
      <c r="AO350" s="299"/>
      <c r="CF350" s="294"/>
      <c r="CG350" s="294"/>
      <c r="CH350" s="294"/>
      <c r="CI350" s="294"/>
      <c r="CJ350" s="294"/>
      <c r="CK350" s="294"/>
      <c r="CL350" s="294"/>
      <c r="CM350" s="294"/>
      <c r="CN350" s="294"/>
      <c r="CT350" s="374">
        <v>13</v>
      </c>
      <c r="CU350" s="359" t="s">
        <v>1517</v>
      </c>
      <c r="CV350" s="361">
        <v>151602.78</v>
      </c>
      <c r="CW350" s="361">
        <v>0</v>
      </c>
      <c r="CX350" s="361">
        <v>72303.7</v>
      </c>
      <c r="CY350" s="361">
        <v>0</v>
      </c>
      <c r="CZ350" s="361">
        <v>38682.480000000003</v>
      </c>
      <c r="DA350" s="361">
        <v>0</v>
      </c>
      <c r="DB350" s="361">
        <v>0</v>
      </c>
      <c r="DC350" s="361">
        <v>40616.6</v>
      </c>
      <c r="DD350" s="361">
        <v>0</v>
      </c>
      <c r="DE350" s="361">
        <v>0</v>
      </c>
      <c r="DF350" s="361">
        <v>0</v>
      </c>
      <c r="DG350" s="361"/>
      <c r="DH350" s="361"/>
      <c r="DI350" s="361"/>
      <c r="DJ350" s="378"/>
    </row>
    <row r="351" spans="2:114" ht="13">
      <c r="B351" s="294"/>
      <c r="F351" s="302"/>
      <c r="J351" s="302"/>
      <c r="AI351" s="188"/>
      <c r="AJ351" s="188"/>
      <c r="AK351" s="188"/>
      <c r="AL351" s="188"/>
      <c r="AM351" s="188"/>
      <c r="AN351" s="188"/>
      <c r="AO351" s="299"/>
      <c r="CF351" s="294"/>
      <c r="CG351" s="294"/>
      <c r="CH351" s="294"/>
      <c r="CI351" s="294"/>
      <c r="CJ351" s="294"/>
      <c r="CK351" s="294"/>
      <c r="CL351" s="294"/>
      <c r="CM351" s="294"/>
      <c r="CN351" s="294"/>
      <c r="CT351" s="374">
        <v>14</v>
      </c>
      <c r="CU351" s="359" t="s">
        <v>1456</v>
      </c>
      <c r="CV351" s="361">
        <v>39966.65</v>
      </c>
      <c r="CW351" s="361">
        <v>0</v>
      </c>
      <c r="CX351" s="361">
        <v>0</v>
      </c>
      <c r="CY351" s="361">
        <v>0</v>
      </c>
      <c r="CZ351" s="361">
        <v>0</v>
      </c>
      <c r="DA351" s="361">
        <v>0</v>
      </c>
      <c r="DB351" s="361">
        <v>39966.65</v>
      </c>
      <c r="DC351" s="361">
        <v>0</v>
      </c>
      <c r="DD351" s="361">
        <v>0</v>
      </c>
      <c r="DE351" s="361">
        <v>0</v>
      </c>
      <c r="DF351" s="361">
        <v>0</v>
      </c>
      <c r="DG351" s="361"/>
      <c r="DH351" s="361"/>
      <c r="DI351" s="361"/>
      <c r="DJ351" s="378"/>
    </row>
    <row r="352" spans="2:114" ht="13">
      <c r="B352" s="294"/>
      <c r="F352" s="302"/>
      <c r="J352" s="302"/>
      <c r="AI352" s="188"/>
      <c r="AJ352" s="188"/>
      <c r="AK352" s="188"/>
      <c r="AL352" s="188"/>
      <c r="AM352" s="188"/>
      <c r="AN352" s="188"/>
      <c r="AO352" s="299"/>
      <c r="CF352" s="294"/>
      <c r="CG352" s="294"/>
      <c r="CH352" s="294"/>
      <c r="CI352" s="294"/>
      <c r="CJ352" s="294"/>
      <c r="CK352" s="294"/>
      <c r="CL352" s="294"/>
      <c r="CM352" s="294"/>
      <c r="CN352" s="294"/>
      <c r="CT352" s="374">
        <v>15</v>
      </c>
      <c r="CU352" s="359" t="s">
        <v>1457</v>
      </c>
      <c r="CV352" s="361">
        <v>31057.599999999999</v>
      </c>
      <c r="CW352" s="361">
        <v>0</v>
      </c>
      <c r="CX352" s="361">
        <v>0</v>
      </c>
      <c r="CY352" s="365">
        <v>0</v>
      </c>
      <c r="CZ352" s="365">
        <v>0</v>
      </c>
      <c r="DA352" s="365">
        <v>0</v>
      </c>
      <c r="DB352" s="361">
        <v>31057.599999999999</v>
      </c>
      <c r="DC352" s="365">
        <v>0</v>
      </c>
      <c r="DD352" s="365">
        <v>0</v>
      </c>
      <c r="DE352" s="365">
        <v>0</v>
      </c>
      <c r="DF352" s="365">
        <v>0</v>
      </c>
      <c r="DG352" s="365"/>
      <c r="DH352" s="365"/>
      <c r="DI352" s="365"/>
      <c r="DJ352" s="379"/>
    </row>
    <row r="353" spans="2:114" ht="13">
      <c r="B353" s="294"/>
      <c r="F353" s="302"/>
      <c r="J353" s="302"/>
      <c r="AI353" s="188"/>
      <c r="AJ353" s="188"/>
      <c r="AK353" s="188"/>
      <c r="AL353" s="188"/>
      <c r="AM353" s="188"/>
      <c r="AN353" s="188"/>
      <c r="AO353" s="299"/>
      <c r="CF353" s="294"/>
      <c r="CG353" s="294"/>
      <c r="CH353" s="294"/>
      <c r="CI353" s="294"/>
      <c r="CJ353" s="294"/>
      <c r="CK353" s="294"/>
      <c r="CL353" s="294"/>
      <c r="CM353" s="294"/>
      <c r="CN353" s="294"/>
      <c r="CT353" s="374">
        <v>16</v>
      </c>
      <c r="CU353" s="359" t="s">
        <v>1416</v>
      </c>
      <c r="CV353" s="361">
        <v>28500</v>
      </c>
      <c r="CW353" s="361">
        <v>0</v>
      </c>
      <c r="CX353" s="361">
        <v>28500</v>
      </c>
      <c r="CY353" s="361">
        <v>0</v>
      </c>
      <c r="CZ353" s="361">
        <v>0</v>
      </c>
      <c r="DA353" s="361">
        <v>0</v>
      </c>
      <c r="DB353" s="361">
        <v>0</v>
      </c>
      <c r="DC353" s="361">
        <v>0</v>
      </c>
      <c r="DD353" s="361">
        <v>0</v>
      </c>
      <c r="DE353" s="361">
        <v>0</v>
      </c>
      <c r="DF353" s="361">
        <v>0</v>
      </c>
      <c r="DG353" s="361"/>
      <c r="DH353" s="361"/>
      <c r="DI353" s="361"/>
      <c r="DJ353" s="378"/>
    </row>
    <row r="354" spans="2:114" ht="13">
      <c r="B354" s="294"/>
      <c r="F354" s="302"/>
      <c r="J354" s="302"/>
      <c r="AI354" s="188"/>
      <c r="AJ354" s="188"/>
      <c r="AK354" s="188"/>
      <c r="AL354" s="188"/>
      <c r="AM354" s="188"/>
      <c r="AN354" s="188"/>
      <c r="AO354" s="299"/>
      <c r="CF354" s="294"/>
      <c r="CG354" s="294"/>
      <c r="CH354" s="294"/>
      <c r="CI354" s="294"/>
      <c r="CJ354" s="294"/>
      <c r="CK354" s="294"/>
      <c r="CL354" s="294"/>
      <c r="CM354" s="294"/>
      <c r="CN354" s="294"/>
      <c r="CT354" s="374">
        <v>17</v>
      </c>
      <c r="CU354" s="359" t="s">
        <v>1464</v>
      </c>
      <c r="CV354" s="361">
        <v>28500</v>
      </c>
      <c r="CW354" s="361">
        <v>0</v>
      </c>
      <c r="CX354" s="361">
        <v>28500</v>
      </c>
      <c r="CY354" s="361">
        <v>0</v>
      </c>
      <c r="CZ354" s="361">
        <v>0</v>
      </c>
      <c r="DA354" s="361">
        <v>0</v>
      </c>
      <c r="DB354" s="361">
        <v>0</v>
      </c>
      <c r="DC354" s="361">
        <v>0</v>
      </c>
      <c r="DD354" s="361">
        <v>0</v>
      </c>
      <c r="DE354" s="361">
        <v>0</v>
      </c>
      <c r="DF354" s="361">
        <v>0</v>
      </c>
      <c r="DG354" s="361"/>
      <c r="DH354" s="361"/>
      <c r="DI354" s="361"/>
      <c r="DJ354" s="378"/>
    </row>
    <row r="355" spans="2:114" ht="13">
      <c r="B355" s="294"/>
      <c r="F355" s="302"/>
      <c r="J355" s="302"/>
      <c r="AI355" s="188"/>
      <c r="AJ355" s="188"/>
      <c r="AK355" s="188"/>
      <c r="AL355" s="188"/>
      <c r="AM355" s="188"/>
      <c r="AN355" s="188"/>
      <c r="AO355" s="299"/>
      <c r="CF355" s="294"/>
      <c r="CG355" s="294"/>
      <c r="CH355" s="294"/>
      <c r="CI355" s="294"/>
      <c r="CJ355" s="294"/>
      <c r="CK355" s="294"/>
      <c r="CL355" s="294"/>
      <c r="CM355" s="294"/>
      <c r="CN355" s="294"/>
      <c r="CT355" s="374">
        <v>18</v>
      </c>
      <c r="CU355" s="359" t="s">
        <v>1428</v>
      </c>
      <c r="CV355" s="361">
        <v>8909.1</v>
      </c>
      <c r="CW355" s="361">
        <v>0</v>
      </c>
      <c r="CX355" s="361">
        <v>0</v>
      </c>
      <c r="CY355" s="361">
        <v>0</v>
      </c>
      <c r="CZ355" s="361">
        <v>0</v>
      </c>
      <c r="DA355" s="361">
        <v>0</v>
      </c>
      <c r="DB355" s="361">
        <v>0</v>
      </c>
      <c r="DC355" s="361">
        <v>8909.1</v>
      </c>
      <c r="DD355" s="361">
        <v>0</v>
      </c>
      <c r="DE355" s="361">
        <v>0</v>
      </c>
      <c r="DF355" s="361">
        <v>0</v>
      </c>
      <c r="DG355" s="361"/>
      <c r="DH355" s="361"/>
      <c r="DI355" s="361"/>
      <c r="DJ355" s="378"/>
    </row>
    <row r="356" spans="2:114" ht="13">
      <c r="B356" s="294"/>
      <c r="F356" s="302"/>
      <c r="J356" s="302"/>
      <c r="AI356" s="188"/>
      <c r="AJ356" s="188"/>
      <c r="AK356" s="188"/>
      <c r="AL356" s="188"/>
      <c r="AM356" s="188"/>
      <c r="AN356" s="188"/>
      <c r="AO356" s="299"/>
      <c r="CF356" s="294"/>
      <c r="CG356" s="294"/>
      <c r="CH356" s="294"/>
      <c r="CI356" s="294"/>
      <c r="CJ356" s="294"/>
      <c r="CK356" s="294"/>
      <c r="CL356" s="294"/>
      <c r="CM356" s="294"/>
      <c r="CN356" s="294"/>
      <c r="CT356" s="374">
        <v>19</v>
      </c>
      <c r="CU356" s="359"/>
      <c r="CV356" s="361"/>
      <c r="CW356" s="361"/>
      <c r="CX356" s="361"/>
      <c r="CY356" s="361"/>
      <c r="CZ356" s="361"/>
      <c r="DA356" s="361"/>
      <c r="DB356" s="361"/>
      <c r="DC356" s="361"/>
      <c r="DD356" s="361"/>
      <c r="DE356" s="361"/>
      <c r="DF356" s="361"/>
      <c r="DG356" s="361"/>
      <c r="DH356" s="361"/>
      <c r="DI356" s="361"/>
      <c r="DJ356" s="378"/>
    </row>
    <row r="357" spans="2:114" ht="13">
      <c r="B357" s="294"/>
      <c r="F357" s="302"/>
      <c r="J357" s="302"/>
      <c r="AI357" s="188"/>
      <c r="AJ357" s="188"/>
      <c r="AK357" s="188"/>
      <c r="AL357" s="188"/>
      <c r="AM357" s="188"/>
      <c r="AN357" s="188"/>
      <c r="AO357" s="299"/>
      <c r="CF357" s="294"/>
      <c r="CG357" s="294"/>
      <c r="CH357" s="294"/>
      <c r="CI357" s="294"/>
      <c r="CJ357" s="294"/>
      <c r="CK357" s="294"/>
      <c r="CL357" s="294"/>
      <c r="CM357" s="294"/>
      <c r="CN357" s="294"/>
      <c r="CT357" s="374">
        <v>20</v>
      </c>
      <c r="CU357" s="359"/>
      <c r="CV357" s="361"/>
      <c r="CW357" s="361"/>
      <c r="CX357" s="361"/>
      <c r="CY357" s="361"/>
      <c r="CZ357" s="361"/>
      <c r="DA357" s="361"/>
      <c r="DB357" s="361"/>
      <c r="DC357" s="361"/>
      <c r="DD357" s="361"/>
      <c r="DE357" s="361"/>
      <c r="DF357" s="361"/>
      <c r="DG357" s="361"/>
      <c r="DH357" s="361"/>
      <c r="DI357" s="361"/>
      <c r="DJ357" s="378"/>
    </row>
    <row r="358" spans="2:114" ht="13">
      <c r="B358" s="294"/>
      <c r="F358" s="302"/>
      <c r="J358" s="302"/>
      <c r="AI358" s="188"/>
      <c r="AJ358" s="188"/>
      <c r="AK358" s="188"/>
      <c r="AL358" s="188"/>
      <c r="AM358" s="188"/>
      <c r="AN358" s="188"/>
      <c r="AO358" s="299"/>
      <c r="CF358" s="294"/>
      <c r="CG358" s="294"/>
      <c r="CH358" s="294"/>
      <c r="CI358" s="294"/>
      <c r="CJ358" s="294"/>
      <c r="CK358" s="294"/>
      <c r="CL358" s="294"/>
      <c r="CM358" s="294"/>
      <c r="CN358" s="294"/>
      <c r="CT358" s="374">
        <v>21</v>
      </c>
      <c r="CU358" s="359"/>
      <c r="CV358" s="361"/>
      <c r="CW358" s="361"/>
      <c r="CX358" s="361"/>
      <c r="CY358" s="361"/>
      <c r="CZ358" s="361"/>
      <c r="DA358" s="361"/>
      <c r="DB358" s="361"/>
      <c r="DC358" s="361"/>
      <c r="DD358" s="361"/>
      <c r="DE358" s="361"/>
      <c r="DF358" s="361"/>
      <c r="DG358" s="361"/>
      <c r="DH358" s="361"/>
      <c r="DI358" s="361"/>
      <c r="DJ358" s="378"/>
    </row>
    <row r="359" spans="2:114" ht="13">
      <c r="B359" s="294"/>
      <c r="F359" s="302"/>
      <c r="J359" s="302"/>
      <c r="AI359" s="188"/>
      <c r="AJ359" s="188"/>
      <c r="AK359" s="188"/>
      <c r="AL359" s="188"/>
      <c r="AM359" s="188"/>
      <c r="AN359" s="188"/>
      <c r="AO359" s="299"/>
      <c r="CF359" s="294"/>
      <c r="CG359" s="294"/>
      <c r="CH359" s="294"/>
      <c r="CI359" s="294"/>
      <c r="CJ359" s="294"/>
      <c r="CK359" s="294"/>
      <c r="CL359" s="294"/>
      <c r="CM359" s="294"/>
      <c r="CN359" s="294"/>
      <c r="CT359" s="374">
        <v>22</v>
      </c>
      <c r="CU359" s="359"/>
      <c r="CV359" s="361"/>
      <c r="CW359" s="361"/>
      <c r="CX359" s="361"/>
      <c r="CY359" s="361"/>
      <c r="CZ359" s="361"/>
      <c r="DA359" s="361"/>
      <c r="DB359" s="361"/>
      <c r="DC359" s="361"/>
      <c r="DD359" s="361"/>
      <c r="DE359" s="361"/>
      <c r="DF359" s="361"/>
      <c r="DG359" s="361"/>
      <c r="DH359" s="361"/>
      <c r="DI359" s="361"/>
      <c r="DJ359" s="378"/>
    </row>
    <row r="360" spans="2:114" ht="13">
      <c r="B360" s="294"/>
      <c r="F360" s="302"/>
      <c r="J360" s="302"/>
      <c r="AI360" s="188"/>
      <c r="AJ360" s="188"/>
      <c r="AK360" s="188"/>
      <c r="AL360" s="188"/>
      <c r="AM360" s="188"/>
      <c r="AN360" s="188"/>
      <c r="AO360" s="299"/>
      <c r="CF360" s="294"/>
      <c r="CG360" s="294"/>
      <c r="CH360" s="294"/>
      <c r="CI360" s="294"/>
      <c r="CJ360" s="294"/>
      <c r="CK360" s="294"/>
      <c r="CL360" s="294"/>
      <c r="CM360" s="294"/>
      <c r="CN360" s="294"/>
      <c r="CT360" s="374">
        <v>23</v>
      </c>
      <c r="CU360" s="359"/>
      <c r="CV360" s="361"/>
      <c r="CW360" s="361"/>
      <c r="CX360" s="361"/>
      <c r="CY360" s="361"/>
      <c r="CZ360" s="361"/>
      <c r="DA360" s="361"/>
      <c r="DB360" s="361"/>
      <c r="DC360" s="361"/>
      <c r="DD360" s="361"/>
      <c r="DE360" s="361"/>
      <c r="DF360" s="361"/>
      <c r="DG360" s="361"/>
      <c r="DH360" s="361"/>
      <c r="DI360" s="361"/>
      <c r="DJ360" s="378"/>
    </row>
    <row r="361" spans="2:114" ht="13">
      <c r="B361" s="294"/>
      <c r="F361" s="302"/>
      <c r="J361" s="302"/>
      <c r="AI361" s="188"/>
      <c r="AJ361" s="188"/>
      <c r="AK361" s="188"/>
      <c r="AL361" s="188"/>
      <c r="AM361" s="188"/>
      <c r="AN361" s="188"/>
      <c r="AO361" s="299"/>
      <c r="CF361" s="294"/>
      <c r="CG361" s="294"/>
      <c r="CH361" s="294"/>
      <c r="CI361" s="294"/>
      <c r="CJ361" s="294"/>
      <c r="CK361" s="294"/>
      <c r="CL361" s="294"/>
      <c r="CM361" s="294"/>
      <c r="CN361" s="294"/>
      <c r="CT361" s="374">
        <v>24</v>
      </c>
      <c r="CU361" s="359"/>
      <c r="CV361" s="361"/>
      <c r="CW361" s="361"/>
      <c r="CX361" s="361"/>
      <c r="CY361" s="361"/>
      <c r="CZ361" s="361"/>
      <c r="DA361" s="361"/>
      <c r="DB361" s="361"/>
      <c r="DC361" s="361"/>
      <c r="DD361" s="361"/>
      <c r="DE361" s="361"/>
      <c r="DF361" s="361"/>
      <c r="DG361" s="361"/>
      <c r="DH361" s="361"/>
      <c r="DI361" s="361"/>
      <c r="DJ361" s="378"/>
    </row>
    <row r="362" spans="2:114" ht="13">
      <c r="B362" s="294"/>
      <c r="F362" s="302"/>
      <c r="J362" s="302"/>
      <c r="AI362" s="188"/>
      <c r="AJ362" s="188"/>
      <c r="AK362" s="188"/>
      <c r="AL362" s="188"/>
      <c r="AM362" s="188"/>
      <c r="AN362" s="188"/>
      <c r="AO362" s="299"/>
      <c r="CF362" s="294"/>
      <c r="CG362" s="294"/>
      <c r="CH362" s="294"/>
      <c r="CI362" s="294"/>
      <c r="CJ362" s="294"/>
      <c r="CK362" s="294"/>
      <c r="CL362" s="294"/>
      <c r="CM362" s="294"/>
      <c r="CN362" s="294"/>
      <c r="CT362" s="374">
        <v>25</v>
      </c>
      <c r="CU362" s="359"/>
      <c r="CV362" s="361"/>
      <c r="CW362" s="361"/>
      <c r="CX362" s="361"/>
      <c r="CY362" s="365"/>
      <c r="CZ362" s="365"/>
      <c r="DA362" s="365"/>
      <c r="DB362" s="365"/>
      <c r="DC362" s="365"/>
      <c r="DD362" s="365"/>
      <c r="DE362" s="365"/>
      <c r="DF362" s="365"/>
      <c r="DG362" s="365"/>
      <c r="DH362" s="365"/>
      <c r="DI362" s="365"/>
      <c r="DJ362" s="379"/>
    </row>
    <row r="363" spans="2:114" ht="13">
      <c r="B363" s="294"/>
      <c r="F363" s="302"/>
      <c r="J363" s="302"/>
      <c r="AI363" s="188"/>
      <c r="AJ363" s="188"/>
      <c r="AK363" s="188"/>
      <c r="AL363" s="188"/>
      <c r="AM363" s="188"/>
      <c r="AN363" s="188"/>
      <c r="AO363" s="299"/>
      <c r="CF363" s="294"/>
      <c r="CG363" s="294"/>
      <c r="CH363" s="294"/>
      <c r="CI363" s="294"/>
      <c r="CJ363" s="294"/>
      <c r="CK363" s="294"/>
      <c r="CL363" s="294"/>
      <c r="CM363" s="294"/>
      <c r="CN363" s="294"/>
      <c r="CT363" s="374">
        <v>26</v>
      </c>
      <c r="CU363" s="359"/>
      <c r="CV363" s="361"/>
      <c r="CW363" s="361"/>
      <c r="CX363" s="361"/>
      <c r="CY363" s="361"/>
      <c r="CZ363" s="361"/>
      <c r="DA363" s="361"/>
      <c r="DB363" s="361"/>
      <c r="DC363" s="361"/>
      <c r="DD363" s="361"/>
      <c r="DE363" s="361"/>
      <c r="DF363" s="361"/>
      <c r="DG363" s="361"/>
      <c r="DH363" s="361"/>
      <c r="DI363" s="361"/>
      <c r="DJ363" s="378"/>
    </row>
    <row r="364" spans="2:114" ht="13">
      <c r="B364" s="294"/>
      <c r="F364" s="302"/>
      <c r="J364" s="302"/>
      <c r="AI364" s="188"/>
      <c r="AJ364" s="188"/>
      <c r="AK364" s="188"/>
      <c r="AL364" s="188"/>
      <c r="AM364" s="188"/>
      <c r="AN364" s="188"/>
      <c r="AO364" s="299"/>
      <c r="CF364" s="294"/>
      <c r="CG364" s="294"/>
      <c r="CH364" s="294"/>
      <c r="CI364" s="294"/>
      <c r="CJ364" s="294"/>
      <c r="CK364" s="294"/>
      <c r="CL364" s="294"/>
      <c r="CM364" s="294"/>
      <c r="CN364" s="294"/>
      <c r="CT364" s="374">
        <v>27</v>
      </c>
      <c r="CU364" s="359"/>
      <c r="CV364" s="361"/>
      <c r="CW364" s="361"/>
      <c r="CX364" s="361"/>
      <c r="CY364" s="361"/>
      <c r="CZ364" s="361"/>
      <c r="DA364" s="361"/>
      <c r="DB364" s="361"/>
      <c r="DC364" s="361"/>
      <c r="DD364" s="361"/>
      <c r="DE364" s="361"/>
      <c r="DF364" s="361"/>
      <c r="DG364" s="361"/>
      <c r="DH364" s="361"/>
      <c r="DI364" s="361"/>
      <c r="DJ364" s="378"/>
    </row>
    <row r="365" spans="2:114" ht="13">
      <c r="B365" s="294"/>
      <c r="F365" s="302"/>
      <c r="J365" s="302"/>
      <c r="AI365" s="188"/>
      <c r="AJ365" s="188"/>
      <c r="AK365" s="188"/>
      <c r="AL365" s="188"/>
      <c r="AM365" s="188"/>
      <c r="AN365" s="188"/>
      <c r="AO365" s="299"/>
      <c r="CF365" s="294"/>
      <c r="CG365" s="294"/>
      <c r="CH365" s="294"/>
      <c r="CI365" s="294"/>
      <c r="CJ365" s="294"/>
      <c r="CK365" s="294"/>
      <c r="CL365" s="294"/>
      <c r="CM365" s="294"/>
      <c r="CN365" s="294"/>
      <c r="CT365" s="374">
        <v>28</v>
      </c>
      <c r="CU365" s="359"/>
      <c r="CV365" s="361"/>
      <c r="CW365" s="361"/>
      <c r="CX365" s="361"/>
      <c r="CY365" s="361"/>
      <c r="CZ365" s="361"/>
      <c r="DA365" s="361"/>
      <c r="DB365" s="361"/>
      <c r="DC365" s="361"/>
      <c r="DD365" s="361"/>
      <c r="DE365" s="361"/>
      <c r="DF365" s="361"/>
      <c r="DG365" s="361"/>
      <c r="DH365" s="361"/>
      <c r="DI365" s="361"/>
      <c r="DJ365" s="378"/>
    </row>
    <row r="366" spans="2:114" ht="13">
      <c r="B366" s="294"/>
      <c r="F366" s="302"/>
      <c r="J366" s="302"/>
      <c r="AI366" s="188"/>
      <c r="AJ366" s="188"/>
      <c r="AK366" s="188"/>
      <c r="AL366" s="188"/>
      <c r="AM366" s="188"/>
      <c r="AN366" s="188"/>
      <c r="AO366" s="299"/>
      <c r="CF366" s="294"/>
      <c r="CG366" s="294"/>
      <c r="CH366" s="294"/>
      <c r="CI366" s="294"/>
      <c r="CJ366" s="294"/>
      <c r="CK366" s="294"/>
      <c r="CL366" s="294"/>
      <c r="CM366" s="294"/>
      <c r="CN366" s="294"/>
      <c r="CT366" s="374">
        <v>29</v>
      </c>
      <c r="CU366" s="359"/>
      <c r="CV366" s="361"/>
      <c r="CW366" s="361"/>
      <c r="CX366" s="361"/>
      <c r="CY366" s="365"/>
      <c r="CZ366" s="365"/>
      <c r="DA366" s="365"/>
      <c r="DB366" s="365"/>
      <c r="DC366" s="365"/>
      <c r="DD366" s="365"/>
      <c r="DE366" s="365"/>
      <c r="DF366" s="365"/>
      <c r="DG366" s="365"/>
      <c r="DH366" s="365"/>
      <c r="DI366" s="365"/>
      <c r="DJ366" s="379"/>
    </row>
    <row r="367" spans="2:114" ht="13">
      <c r="B367" s="294"/>
      <c r="F367" s="302"/>
      <c r="J367" s="302"/>
      <c r="AI367" s="188"/>
      <c r="AJ367" s="188"/>
      <c r="AK367" s="188"/>
      <c r="AL367" s="188"/>
      <c r="AM367" s="188"/>
      <c r="AN367" s="188"/>
      <c r="AO367" s="299"/>
      <c r="CF367" s="294"/>
      <c r="CG367" s="294"/>
      <c r="CH367" s="294"/>
      <c r="CI367" s="294"/>
      <c r="CJ367" s="294"/>
      <c r="CK367" s="294"/>
      <c r="CL367" s="294"/>
      <c r="CM367" s="294"/>
      <c r="CN367" s="294"/>
      <c r="CT367" s="374">
        <v>30</v>
      </c>
      <c r="CU367" s="359"/>
      <c r="CV367" s="361"/>
      <c r="CW367" s="361"/>
      <c r="CX367" s="361"/>
      <c r="CY367" s="361"/>
      <c r="CZ367" s="361"/>
      <c r="DA367" s="361"/>
      <c r="DB367" s="361"/>
      <c r="DC367" s="361"/>
      <c r="DD367" s="361"/>
      <c r="DE367" s="361"/>
      <c r="DF367" s="361"/>
      <c r="DG367" s="361"/>
      <c r="DH367" s="361"/>
      <c r="DI367" s="361"/>
      <c r="DJ367" s="378"/>
    </row>
    <row r="368" spans="2:114" ht="13">
      <c r="B368" s="294"/>
      <c r="F368" s="302"/>
      <c r="J368" s="302"/>
      <c r="AI368" s="188"/>
      <c r="AJ368" s="188"/>
      <c r="AK368" s="188"/>
      <c r="AL368" s="188"/>
      <c r="AM368" s="188"/>
      <c r="AN368" s="188"/>
      <c r="AO368" s="299"/>
      <c r="CF368" s="294"/>
      <c r="CG368" s="294"/>
      <c r="CH368" s="294"/>
      <c r="CI368" s="294"/>
      <c r="CJ368" s="294"/>
      <c r="CK368" s="294"/>
      <c r="CL368" s="294"/>
      <c r="CM368" s="294"/>
      <c r="CN368" s="294"/>
      <c r="CT368" s="374">
        <v>31</v>
      </c>
      <c r="CU368" s="359"/>
      <c r="CV368" s="361"/>
      <c r="CW368" s="361"/>
      <c r="CX368" s="361"/>
      <c r="CY368" s="361"/>
      <c r="CZ368" s="361"/>
      <c r="DA368" s="361"/>
      <c r="DB368" s="361"/>
      <c r="DC368" s="361"/>
      <c r="DD368" s="361"/>
      <c r="DE368" s="361"/>
      <c r="DF368" s="361"/>
      <c r="DG368" s="361"/>
      <c r="DH368" s="361"/>
      <c r="DI368" s="361"/>
      <c r="DJ368" s="378"/>
    </row>
    <row r="369" spans="2:114" ht="13">
      <c r="B369" s="294"/>
      <c r="F369" s="302"/>
      <c r="J369" s="302"/>
      <c r="AI369" s="188"/>
      <c r="AJ369" s="188"/>
      <c r="AK369" s="188"/>
      <c r="AL369" s="188"/>
      <c r="AM369" s="188"/>
      <c r="AN369" s="188"/>
      <c r="AO369" s="299"/>
      <c r="CF369" s="294"/>
      <c r="CG369" s="294"/>
      <c r="CH369" s="294"/>
      <c r="CI369" s="294"/>
      <c r="CJ369" s="294"/>
      <c r="CK369" s="294"/>
      <c r="CL369" s="294"/>
      <c r="CM369" s="294"/>
      <c r="CN369" s="294"/>
      <c r="CT369" s="374">
        <v>32</v>
      </c>
      <c r="CU369" s="359"/>
      <c r="CV369" s="361"/>
      <c r="CW369" s="361"/>
      <c r="CX369" s="361"/>
      <c r="CY369" s="361"/>
      <c r="CZ369" s="361"/>
      <c r="DA369" s="361"/>
      <c r="DB369" s="361"/>
      <c r="DC369" s="361"/>
      <c r="DD369" s="361"/>
      <c r="DE369" s="361"/>
      <c r="DF369" s="361"/>
      <c r="DG369" s="361"/>
      <c r="DH369" s="361"/>
      <c r="DI369" s="361"/>
      <c r="DJ369" s="378"/>
    </row>
    <row r="370" spans="2:114" ht="13">
      <c r="B370" s="294"/>
      <c r="F370" s="302"/>
      <c r="J370" s="302"/>
      <c r="AI370" s="188"/>
      <c r="AJ370" s="188"/>
      <c r="AK370" s="188"/>
      <c r="AL370" s="188"/>
      <c r="AM370" s="188"/>
      <c r="AN370" s="188"/>
      <c r="AO370" s="299"/>
      <c r="CF370" s="294"/>
      <c r="CG370" s="294"/>
      <c r="CH370" s="294"/>
      <c r="CI370" s="294"/>
      <c r="CJ370" s="294"/>
      <c r="CK370" s="294"/>
      <c r="CL370" s="294"/>
      <c r="CM370" s="294"/>
      <c r="CN370" s="294"/>
      <c r="CT370" s="374">
        <v>33</v>
      </c>
      <c r="CU370" s="359"/>
      <c r="CV370" s="361"/>
      <c r="CW370" s="361"/>
      <c r="CX370" s="361"/>
      <c r="CY370" s="365"/>
      <c r="CZ370" s="365"/>
      <c r="DA370" s="365"/>
      <c r="DB370" s="365"/>
      <c r="DC370" s="365"/>
      <c r="DD370" s="365"/>
      <c r="DE370" s="365"/>
      <c r="DF370" s="365"/>
      <c r="DG370" s="365"/>
      <c r="DH370" s="365"/>
      <c r="DI370" s="365"/>
      <c r="DJ370" s="379"/>
    </row>
    <row r="371" spans="2:114" ht="13">
      <c r="B371" s="294"/>
      <c r="F371" s="302"/>
      <c r="J371" s="302"/>
      <c r="AI371" s="188"/>
      <c r="AJ371" s="188"/>
      <c r="AK371" s="188"/>
      <c r="AL371" s="188"/>
      <c r="AM371" s="188"/>
      <c r="AN371" s="188"/>
      <c r="AO371" s="299"/>
      <c r="CF371" s="294"/>
      <c r="CG371" s="294"/>
      <c r="CH371" s="294"/>
      <c r="CI371" s="294"/>
      <c r="CJ371" s="294"/>
      <c r="CK371" s="294"/>
      <c r="CL371" s="294"/>
      <c r="CM371" s="294"/>
      <c r="CN371" s="294"/>
      <c r="CT371" s="374">
        <v>34</v>
      </c>
      <c r="CU371" s="359"/>
      <c r="CV371" s="361"/>
      <c r="CW371" s="361"/>
      <c r="CX371" s="361"/>
      <c r="CY371" s="361"/>
      <c r="CZ371" s="361"/>
      <c r="DA371" s="361"/>
      <c r="DB371" s="361"/>
      <c r="DC371" s="361"/>
      <c r="DD371" s="361"/>
      <c r="DE371" s="361"/>
      <c r="DF371" s="361"/>
      <c r="DG371" s="361"/>
      <c r="DH371" s="361"/>
      <c r="DI371" s="361"/>
      <c r="DJ371" s="378"/>
    </row>
    <row r="372" spans="2:114" ht="13">
      <c r="B372" s="294"/>
      <c r="F372" s="302"/>
      <c r="J372" s="302"/>
      <c r="AI372" s="188"/>
      <c r="AJ372" s="188"/>
      <c r="AK372" s="188"/>
      <c r="AL372" s="188"/>
      <c r="AM372" s="188"/>
      <c r="AN372" s="188"/>
      <c r="AO372" s="299"/>
      <c r="CF372" s="294"/>
      <c r="CG372" s="294"/>
      <c r="CH372" s="294"/>
      <c r="CI372" s="294"/>
      <c r="CJ372" s="294"/>
      <c r="CK372" s="294"/>
      <c r="CL372" s="294"/>
      <c r="CM372" s="294"/>
      <c r="CN372" s="294"/>
      <c r="CT372" s="374">
        <v>35</v>
      </c>
      <c r="CU372" s="359"/>
      <c r="CV372" s="361"/>
      <c r="CW372" s="361"/>
      <c r="CX372" s="361"/>
      <c r="CY372" s="361"/>
      <c r="CZ372" s="361"/>
      <c r="DA372" s="361"/>
      <c r="DB372" s="361"/>
      <c r="DC372" s="361"/>
      <c r="DD372" s="361"/>
      <c r="DE372" s="361"/>
      <c r="DF372" s="361"/>
      <c r="DG372" s="361"/>
      <c r="DH372" s="361"/>
      <c r="DI372" s="361"/>
      <c r="DJ372" s="378"/>
    </row>
    <row r="373" spans="2:114" ht="13">
      <c r="B373" s="294"/>
      <c r="F373" s="302"/>
      <c r="J373" s="302"/>
      <c r="AI373" s="188"/>
      <c r="AJ373" s="188"/>
      <c r="AK373" s="188"/>
      <c r="AL373" s="188"/>
      <c r="AM373" s="188"/>
      <c r="AN373" s="188"/>
      <c r="AO373" s="299"/>
      <c r="CF373" s="294"/>
      <c r="CG373" s="294"/>
      <c r="CH373" s="294"/>
      <c r="CI373" s="294"/>
      <c r="CJ373" s="294"/>
      <c r="CK373" s="294"/>
      <c r="CL373" s="294"/>
      <c r="CM373" s="294"/>
      <c r="CN373" s="294"/>
      <c r="CT373" s="374">
        <v>36</v>
      </c>
      <c r="CU373" s="359"/>
      <c r="CV373" s="361"/>
      <c r="CW373" s="361"/>
      <c r="CX373" s="361"/>
      <c r="CY373" s="361"/>
      <c r="CZ373" s="361"/>
      <c r="DA373" s="361"/>
      <c r="DB373" s="361"/>
      <c r="DC373" s="361"/>
      <c r="DD373" s="361"/>
      <c r="DE373" s="361"/>
      <c r="DF373" s="361"/>
      <c r="DG373" s="361"/>
      <c r="DH373" s="361"/>
      <c r="DI373" s="361"/>
      <c r="DJ373" s="378"/>
    </row>
    <row r="374" spans="2:114" ht="13">
      <c r="B374" s="294"/>
      <c r="F374" s="302"/>
      <c r="J374" s="302"/>
      <c r="AI374" s="188"/>
      <c r="AJ374" s="188"/>
      <c r="AK374" s="188"/>
      <c r="AL374" s="188"/>
      <c r="AM374" s="188"/>
      <c r="AN374" s="188"/>
      <c r="AO374" s="299"/>
      <c r="CF374" s="294"/>
      <c r="CG374" s="294"/>
      <c r="CH374" s="294"/>
      <c r="CI374" s="294"/>
      <c r="CJ374" s="294"/>
      <c r="CK374" s="294"/>
      <c r="CL374" s="294"/>
      <c r="CM374" s="294"/>
      <c r="CN374" s="294"/>
      <c r="CT374" s="374">
        <v>37</v>
      </c>
      <c r="CU374" s="359"/>
      <c r="CV374" s="361"/>
      <c r="CW374" s="361"/>
      <c r="CX374" s="361"/>
      <c r="CY374" s="361"/>
      <c r="CZ374" s="361"/>
      <c r="DA374" s="361"/>
      <c r="DB374" s="361"/>
      <c r="DC374" s="361"/>
      <c r="DD374" s="361"/>
      <c r="DE374" s="361"/>
      <c r="DF374" s="361"/>
      <c r="DG374" s="361"/>
      <c r="DH374" s="361"/>
      <c r="DI374" s="361"/>
      <c r="DJ374" s="378"/>
    </row>
    <row r="375" spans="2:114" ht="13">
      <c r="B375" s="294"/>
      <c r="F375" s="302"/>
      <c r="J375" s="302"/>
      <c r="AI375" s="188"/>
      <c r="AJ375" s="188"/>
      <c r="AK375" s="188"/>
      <c r="AL375" s="188"/>
      <c r="AM375" s="188"/>
      <c r="AN375" s="188"/>
      <c r="AO375" s="299"/>
      <c r="CF375" s="294"/>
      <c r="CG375" s="294"/>
      <c r="CH375" s="294"/>
      <c r="CI375" s="294"/>
      <c r="CJ375" s="294"/>
      <c r="CK375" s="294"/>
      <c r="CL375" s="294"/>
      <c r="CM375" s="294"/>
      <c r="CN375" s="294"/>
      <c r="CT375" s="374">
        <v>38</v>
      </c>
      <c r="CU375" s="359"/>
      <c r="CV375" s="361"/>
      <c r="CW375" s="361"/>
      <c r="CX375" s="361"/>
      <c r="CY375" s="361"/>
      <c r="CZ375" s="361"/>
      <c r="DA375" s="361"/>
      <c r="DB375" s="361"/>
      <c r="DC375" s="361"/>
      <c r="DD375" s="361"/>
      <c r="DE375" s="361"/>
      <c r="DF375" s="361"/>
      <c r="DG375" s="361"/>
      <c r="DH375" s="361"/>
      <c r="DI375" s="361"/>
      <c r="DJ375" s="378"/>
    </row>
    <row r="376" spans="2:114" ht="13">
      <c r="B376" s="294"/>
      <c r="F376" s="302"/>
      <c r="J376" s="302"/>
      <c r="AI376" s="188"/>
      <c r="AJ376" s="188"/>
      <c r="AK376" s="188"/>
      <c r="AL376" s="188"/>
      <c r="AM376" s="188"/>
      <c r="AN376" s="188"/>
      <c r="AO376" s="299"/>
      <c r="CF376" s="294"/>
      <c r="CG376" s="294"/>
      <c r="CH376" s="294"/>
      <c r="CI376" s="294"/>
      <c r="CJ376" s="294"/>
      <c r="CK376" s="294"/>
      <c r="CL376" s="294"/>
      <c r="CM376" s="294"/>
      <c r="CN376" s="294"/>
      <c r="CT376" s="374">
        <v>39</v>
      </c>
      <c r="CU376" s="359"/>
      <c r="CV376" s="361"/>
      <c r="CW376" s="361"/>
      <c r="CX376" s="361"/>
      <c r="CY376" s="361"/>
      <c r="CZ376" s="361"/>
      <c r="DA376" s="361"/>
      <c r="DB376" s="361"/>
      <c r="DC376" s="361"/>
      <c r="DD376" s="361"/>
      <c r="DE376" s="361"/>
      <c r="DF376" s="361"/>
      <c r="DG376" s="361"/>
      <c r="DH376" s="361"/>
      <c r="DI376" s="361"/>
      <c r="DJ376" s="378"/>
    </row>
    <row r="377" spans="2:114" ht="13">
      <c r="B377" s="294"/>
      <c r="F377" s="302"/>
      <c r="J377" s="302"/>
      <c r="AI377" s="188"/>
      <c r="AJ377" s="188"/>
      <c r="AK377" s="188"/>
      <c r="AL377" s="188"/>
      <c r="AM377" s="188"/>
      <c r="AN377" s="188"/>
      <c r="AO377" s="299"/>
      <c r="CF377" s="294"/>
      <c r="CG377" s="294"/>
      <c r="CH377" s="294"/>
      <c r="CI377" s="294"/>
      <c r="CJ377" s="294"/>
      <c r="CK377" s="294"/>
      <c r="CL377" s="294"/>
      <c r="CM377" s="294"/>
      <c r="CN377" s="294"/>
      <c r="CT377" s="374">
        <v>40</v>
      </c>
      <c r="CU377" s="359"/>
      <c r="CV377" s="361"/>
      <c r="CW377" s="361"/>
      <c r="CX377" s="361"/>
      <c r="CY377" s="361"/>
      <c r="CZ377" s="361"/>
      <c r="DA377" s="361"/>
      <c r="DB377" s="361"/>
      <c r="DC377" s="361"/>
      <c r="DD377" s="361"/>
      <c r="DE377" s="361"/>
      <c r="DF377" s="361"/>
      <c r="DG377" s="361"/>
      <c r="DH377" s="361"/>
      <c r="DI377" s="361"/>
      <c r="DJ377" s="378"/>
    </row>
    <row r="378" spans="2:114" ht="13">
      <c r="B378" s="294"/>
      <c r="F378" s="302"/>
      <c r="J378" s="302"/>
      <c r="AI378" s="188"/>
      <c r="AJ378" s="188"/>
      <c r="AK378" s="188"/>
      <c r="AL378" s="188"/>
      <c r="AM378" s="188"/>
      <c r="AN378" s="188"/>
      <c r="AO378" s="299"/>
      <c r="CF378" s="294"/>
      <c r="CG378" s="294"/>
      <c r="CH378" s="294"/>
      <c r="CI378" s="294"/>
      <c r="CJ378" s="294"/>
      <c r="CK378" s="294"/>
      <c r="CL378" s="294"/>
      <c r="CM378" s="294"/>
      <c r="CN378" s="294"/>
      <c r="CT378" s="374">
        <v>41</v>
      </c>
      <c r="CU378" s="359"/>
      <c r="CV378" s="361"/>
      <c r="CW378" s="361"/>
      <c r="CX378" s="361"/>
      <c r="CY378" s="361"/>
      <c r="CZ378" s="361"/>
      <c r="DA378" s="361"/>
      <c r="DB378" s="361"/>
      <c r="DC378" s="361"/>
      <c r="DD378" s="361"/>
      <c r="DE378" s="361"/>
      <c r="DF378" s="361"/>
      <c r="DG378" s="361"/>
      <c r="DH378" s="361"/>
      <c r="DI378" s="361"/>
      <c r="DJ378" s="378"/>
    </row>
    <row r="379" spans="2:114" ht="13">
      <c r="B379" s="294"/>
      <c r="F379" s="302"/>
      <c r="J379" s="302"/>
      <c r="AI379" s="188"/>
      <c r="AJ379" s="188"/>
      <c r="AK379" s="188"/>
      <c r="AL379" s="188"/>
      <c r="AM379" s="188"/>
      <c r="AN379" s="188"/>
      <c r="AO379" s="299"/>
      <c r="CF379" s="294"/>
      <c r="CG379" s="294"/>
      <c r="CH379" s="294"/>
      <c r="CI379" s="294"/>
      <c r="CJ379" s="294"/>
      <c r="CK379" s="294"/>
      <c r="CL379" s="294"/>
      <c r="CM379" s="294"/>
      <c r="CN379" s="294"/>
      <c r="CT379" s="374">
        <v>42</v>
      </c>
      <c r="CU379" s="359"/>
      <c r="CV379" s="361"/>
      <c r="CW379" s="361"/>
      <c r="CX379" s="361"/>
      <c r="CY379" s="361"/>
      <c r="CZ379" s="361"/>
      <c r="DA379" s="361"/>
      <c r="DB379" s="361"/>
      <c r="DC379" s="361"/>
      <c r="DD379" s="361"/>
      <c r="DE379" s="361"/>
      <c r="DF379" s="361"/>
      <c r="DG379" s="361"/>
      <c r="DH379" s="361"/>
      <c r="DI379" s="361"/>
      <c r="DJ379" s="378"/>
    </row>
    <row r="380" spans="2:114" ht="13">
      <c r="B380" s="294"/>
      <c r="F380" s="302"/>
      <c r="J380" s="302"/>
      <c r="AI380" s="188"/>
      <c r="AJ380" s="188"/>
      <c r="AK380" s="188"/>
      <c r="AL380" s="188"/>
      <c r="AM380" s="188"/>
      <c r="AN380" s="188"/>
      <c r="AO380" s="299"/>
      <c r="CF380" s="294"/>
      <c r="CG380" s="294"/>
      <c r="CH380" s="294"/>
      <c r="CI380" s="294"/>
      <c r="CJ380" s="294"/>
      <c r="CK380" s="294"/>
      <c r="CL380" s="294"/>
      <c r="CM380" s="294"/>
      <c r="CN380" s="294"/>
      <c r="CT380" s="374">
        <v>43</v>
      </c>
      <c r="CU380" s="359"/>
      <c r="CV380" s="361"/>
      <c r="CW380" s="361"/>
      <c r="CX380" s="361"/>
      <c r="CY380" s="365"/>
      <c r="CZ380" s="365"/>
      <c r="DA380" s="365"/>
      <c r="DB380" s="365"/>
      <c r="DC380" s="365"/>
      <c r="DD380" s="365"/>
      <c r="DE380" s="365"/>
      <c r="DF380" s="365"/>
      <c r="DG380" s="365"/>
      <c r="DH380" s="365"/>
      <c r="DI380" s="365"/>
      <c r="DJ380" s="379"/>
    </row>
    <row r="381" spans="2:114" ht="13">
      <c r="B381" s="294"/>
      <c r="F381" s="302"/>
      <c r="J381" s="302"/>
      <c r="AI381" s="188"/>
      <c r="AJ381" s="188"/>
      <c r="AK381" s="188"/>
      <c r="AL381" s="188"/>
      <c r="AM381" s="188"/>
      <c r="AN381" s="188"/>
      <c r="AO381" s="299"/>
      <c r="CF381" s="294"/>
      <c r="CG381" s="294"/>
      <c r="CH381" s="294"/>
      <c r="CI381" s="294"/>
      <c r="CJ381" s="294"/>
      <c r="CK381" s="294"/>
      <c r="CL381" s="294"/>
      <c r="CM381" s="294"/>
      <c r="CN381" s="294"/>
      <c r="CT381" s="374">
        <v>44</v>
      </c>
      <c r="CU381" s="359"/>
      <c r="CV381" s="361"/>
      <c r="CW381" s="361"/>
      <c r="CX381" s="361"/>
      <c r="CY381" s="361"/>
      <c r="CZ381" s="361"/>
      <c r="DA381" s="361"/>
      <c r="DB381" s="361"/>
      <c r="DC381" s="361"/>
      <c r="DD381" s="361"/>
      <c r="DE381" s="361"/>
      <c r="DF381" s="361"/>
      <c r="DG381" s="361"/>
      <c r="DH381" s="361"/>
      <c r="DI381" s="361"/>
      <c r="DJ381" s="378"/>
    </row>
    <row r="382" spans="2:114" ht="13">
      <c r="B382" s="294"/>
      <c r="F382" s="302"/>
      <c r="J382" s="302"/>
      <c r="AI382" s="188"/>
      <c r="AJ382" s="188"/>
      <c r="AK382" s="188"/>
      <c r="AL382" s="188"/>
      <c r="AM382" s="188"/>
      <c r="AN382" s="188"/>
      <c r="AO382" s="299"/>
      <c r="CF382" s="294"/>
      <c r="CG382" s="294"/>
      <c r="CH382" s="294"/>
      <c r="CI382" s="294"/>
      <c r="CJ382" s="294"/>
      <c r="CK382" s="294"/>
      <c r="CL382" s="294"/>
      <c r="CM382" s="294"/>
      <c r="CN382" s="294"/>
      <c r="CT382" s="374">
        <v>45</v>
      </c>
      <c r="CU382" s="359"/>
      <c r="CV382" s="361"/>
      <c r="CW382" s="361"/>
      <c r="CX382" s="361"/>
      <c r="CY382" s="365"/>
      <c r="CZ382" s="365"/>
      <c r="DA382" s="365"/>
      <c r="DB382" s="365"/>
      <c r="DC382" s="365"/>
      <c r="DD382" s="365"/>
      <c r="DE382" s="365"/>
      <c r="DF382" s="365"/>
      <c r="DG382" s="365"/>
      <c r="DH382" s="365"/>
      <c r="DI382" s="365"/>
      <c r="DJ382" s="379"/>
    </row>
    <row r="383" spans="2:114" ht="13">
      <c r="B383" s="294"/>
      <c r="F383" s="302"/>
      <c r="J383" s="302"/>
      <c r="AI383" s="188"/>
      <c r="AJ383" s="188"/>
      <c r="AK383" s="188"/>
      <c r="AL383" s="188"/>
      <c r="AM383" s="188"/>
      <c r="AN383" s="188"/>
      <c r="AO383" s="299"/>
      <c r="CF383" s="294"/>
      <c r="CG383" s="294"/>
      <c r="CH383" s="294"/>
      <c r="CI383" s="294"/>
      <c r="CJ383" s="294"/>
      <c r="CK383" s="294"/>
      <c r="CL383" s="294"/>
      <c r="CM383" s="294"/>
      <c r="CN383" s="294"/>
      <c r="CT383" s="374">
        <v>46</v>
      </c>
      <c r="CU383" s="359"/>
      <c r="CV383" s="361"/>
      <c r="CW383" s="361"/>
      <c r="CX383" s="361"/>
      <c r="CY383" s="361"/>
      <c r="CZ383" s="361"/>
      <c r="DA383" s="361"/>
      <c r="DB383" s="361"/>
      <c r="DC383" s="361"/>
      <c r="DD383" s="361"/>
      <c r="DE383" s="361"/>
      <c r="DF383" s="361"/>
      <c r="DG383" s="361"/>
      <c r="DH383" s="361"/>
      <c r="DI383" s="361"/>
      <c r="DJ383" s="378"/>
    </row>
    <row r="384" spans="2:114" ht="13">
      <c r="B384" s="294"/>
      <c r="F384" s="302"/>
      <c r="J384" s="302"/>
      <c r="AI384" s="188"/>
      <c r="AJ384" s="188"/>
      <c r="AK384" s="188"/>
      <c r="AL384" s="188"/>
      <c r="AM384" s="188"/>
      <c r="AN384" s="188"/>
      <c r="AO384" s="299"/>
      <c r="CF384" s="294"/>
      <c r="CG384" s="294"/>
      <c r="CH384" s="294"/>
      <c r="CI384" s="294"/>
      <c r="CJ384" s="294"/>
      <c r="CK384" s="294"/>
      <c r="CL384" s="294"/>
      <c r="CM384" s="294"/>
      <c r="CN384" s="294"/>
      <c r="CT384" s="374">
        <v>47</v>
      </c>
      <c r="CU384" s="359"/>
      <c r="CV384" s="361"/>
      <c r="CW384" s="361"/>
      <c r="CX384" s="361"/>
      <c r="CY384" s="361"/>
      <c r="CZ384" s="361"/>
      <c r="DA384" s="361"/>
      <c r="DB384" s="361"/>
      <c r="DC384" s="361"/>
      <c r="DD384" s="361"/>
      <c r="DE384" s="361"/>
      <c r="DF384" s="361"/>
      <c r="DG384" s="361"/>
      <c r="DH384" s="361"/>
      <c r="DI384" s="361"/>
      <c r="DJ384" s="378"/>
    </row>
    <row r="385" spans="2:114" ht="13">
      <c r="B385" s="294"/>
      <c r="F385" s="302"/>
      <c r="J385" s="302"/>
      <c r="AI385" s="188"/>
      <c r="AJ385" s="188"/>
      <c r="AK385" s="188"/>
      <c r="AL385" s="188"/>
      <c r="AM385" s="188"/>
      <c r="AN385" s="188"/>
      <c r="AO385" s="299"/>
      <c r="CF385" s="294"/>
      <c r="CG385" s="294"/>
      <c r="CH385" s="294"/>
      <c r="CI385" s="294"/>
      <c r="CJ385" s="294"/>
      <c r="CK385" s="294"/>
      <c r="CL385" s="294"/>
      <c r="CM385" s="294"/>
      <c r="CN385" s="294"/>
      <c r="CT385" s="374">
        <v>48</v>
      </c>
      <c r="CU385" s="359"/>
      <c r="CV385" s="361"/>
      <c r="CW385" s="361"/>
      <c r="CX385" s="361"/>
      <c r="CY385" s="361"/>
      <c r="CZ385" s="361"/>
      <c r="DA385" s="361"/>
      <c r="DB385" s="361"/>
      <c r="DC385" s="361"/>
      <c r="DD385" s="361"/>
      <c r="DE385" s="361"/>
      <c r="DF385" s="361"/>
      <c r="DG385" s="361"/>
      <c r="DH385" s="361"/>
      <c r="DI385" s="361"/>
      <c r="DJ385" s="378"/>
    </row>
    <row r="386" spans="2:114" ht="13">
      <c r="B386" s="294"/>
      <c r="F386" s="302"/>
      <c r="J386" s="302"/>
      <c r="AI386" s="188"/>
      <c r="AJ386" s="188"/>
      <c r="AK386" s="188"/>
      <c r="AL386" s="188"/>
      <c r="AM386" s="188"/>
      <c r="AN386" s="188"/>
      <c r="AO386" s="299"/>
      <c r="CF386" s="294"/>
      <c r="CG386" s="294"/>
      <c r="CH386" s="294"/>
      <c r="CI386" s="294"/>
      <c r="CJ386" s="294"/>
      <c r="CK386" s="294"/>
      <c r="CL386" s="294"/>
      <c r="CM386" s="294"/>
      <c r="CN386" s="294"/>
      <c r="CT386" s="374">
        <v>49</v>
      </c>
      <c r="CU386" s="359"/>
      <c r="CV386" s="361"/>
      <c r="CW386" s="361"/>
      <c r="CX386" s="361"/>
      <c r="CY386" s="361"/>
      <c r="CZ386" s="361"/>
      <c r="DA386" s="361"/>
      <c r="DB386" s="361"/>
      <c r="DC386" s="361"/>
      <c r="DD386" s="361"/>
      <c r="DE386" s="361"/>
      <c r="DF386" s="361"/>
      <c r="DG386" s="361"/>
      <c r="DH386" s="361"/>
      <c r="DI386" s="361"/>
      <c r="DJ386" s="378"/>
    </row>
    <row r="387" spans="2:114" ht="13">
      <c r="B387" s="294"/>
      <c r="F387" s="302"/>
      <c r="J387" s="302"/>
      <c r="AI387" s="188"/>
      <c r="AJ387" s="188"/>
      <c r="AK387" s="188"/>
      <c r="AL387" s="188"/>
      <c r="AM387" s="188"/>
      <c r="AN387" s="188"/>
      <c r="AO387" s="299"/>
      <c r="CF387" s="294"/>
      <c r="CG387" s="294"/>
      <c r="CH387" s="294"/>
      <c r="CI387" s="294"/>
      <c r="CJ387" s="294"/>
      <c r="CK387" s="294"/>
      <c r="CL387" s="294"/>
      <c r="CM387" s="294"/>
      <c r="CN387" s="294"/>
      <c r="CT387" s="374">
        <v>50</v>
      </c>
      <c r="CU387" s="359"/>
      <c r="CV387" s="361"/>
      <c r="CW387" s="361"/>
      <c r="CX387" s="361"/>
      <c r="CY387" s="361"/>
      <c r="CZ387" s="361"/>
      <c r="DA387" s="361"/>
      <c r="DB387" s="361"/>
      <c r="DC387" s="361"/>
      <c r="DD387" s="361"/>
      <c r="DE387" s="361"/>
      <c r="DF387" s="361"/>
      <c r="DG387" s="361"/>
      <c r="DH387" s="361"/>
      <c r="DI387" s="361"/>
      <c r="DJ387" s="378"/>
    </row>
    <row r="388" spans="2:114" ht="13">
      <c r="B388" s="294"/>
      <c r="F388" s="302"/>
      <c r="J388" s="302"/>
      <c r="AI388" s="188"/>
      <c r="AJ388" s="188"/>
      <c r="AK388" s="188"/>
      <c r="AL388" s="188"/>
      <c r="AM388" s="188"/>
      <c r="AN388" s="188"/>
      <c r="AO388" s="299"/>
      <c r="CF388" s="294"/>
      <c r="CG388" s="294"/>
      <c r="CH388" s="294"/>
      <c r="CI388" s="294"/>
      <c r="CJ388" s="294"/>
      <c r="CK388" s="294"/>
      <c r="CL388" s="294"/>
      <c r="CM388" s="294"/>
      <c r="CN388" s="294"/>
      <c r="CT388" s="374">
        <v>51</v>
      </c>
      <c r="CU388" s="359"/>
      <c r="CV388" s="361"/>
      <c r="CW388" s="361"/>
      <c r="CX388" s="361"/>
      <c r="CY388" s="365"/>
      <c r="CZ388" s="365"/>
      <c r="DA388" s="365"/>
      <c r="DB388" s="365"/>
      <c r="DC388" s="365"/>
      <c r="DD388" s="365"/>
      <c r="DE388" s="365"/>
      <c r="DF388" s="365"/>
      <c r="DG388" s="365"/>
      <c r="DH388" s="365"/>
      <c r="DI388" s="365"/>
      <c r="DJ388" s="379"/>
    </row>
    <row r="389" spans="2:114" ht="13">
      <c r="B389" s="294"/>
      <c r="F389" s="302"/>
      <c r="J389" s="302"/>
      <c r="AI389" s="188"/>
      <c r="AJ389" s="188"/>
      <c r="AK389" s="188"/>
      <c r="AL389" s="188"/>
      <c r="AM389" s="188"/>
      <c r="AN389" s="188"/>
      <c r="AO389" s="299"/>
      <c r="CF389" s="294"/>
      <c r="CG389" s="294"/>
      <c r="CH389" s="294"/>
      <c r="CI389" s="294"/>
      <c r="CJ389" s="294"/>
      <c r="CK389" s="294"/>
      <c r="CL389" s="294"/>
      <c r="CM389" s="294"/>
      <c r="CN389" s="294"/>
      <c r="CT389" s="374">
        <v>52</v>
      </c>
      <c r="CU389" s="359"/>
      <c r="CV389" s="361"/>
      <c r="CW389" s="361"/>
      <c r="CX389" s="361"/>
      <c r="CY389" s="361"/>
      <c r="CZ389" s="361"/>
      <c r="DA389" s="361"/>
      <c r="DB389" s="361"/>
      <c r="DC389" s="361"/>
      <c r="DD389" s="361"/>
      <c r="DE389" s="361"/>
      <c r="DF389" s="361"/>
      <c r="DG389" s="361"/>
      <c r="DH389" s="361"/>
      <c r="DI389" s="361"/>
      <c r="DJ389" s="378"/>
    </row>
    <row r="390" spans="2:114" ht="13">
      <c r="B390" s="294"/>
      <c r="F390" s="302"/>
      <c r="J390" s="302"/>
      <c r="AI390" s="188"/>
      <c r="AJ390" s="188"/>
      <c r="AK390" s="188"/>
      <c r="AL390" s="188"/>
      <c r="AM390" s="188"/>
      <c r="AN390" s="188"/>
      <c r="AO390" s="299"/>
      <c r="CF390" s="294"/>
      <c r="CG390" s="294"/>
      <c r="CH390" s="294"/>
      <c r="CI390" s="294"/>
      <c r="CJ390" s="294"/>
      <c r="CK390" s="294"/>
      <c r="CL390" s="294"/>
      <c r="CM390" s="294"/>
      <c r="CN390" s="294"/>
      <c r="CT390" s="374">
        <v>53</v>
      </c>
      <c r="CU390" s="359"/>
      <c r="CV390" s="361"/>
      <c r="CW390" s="361"/>
      <c r="CX390" s="361"/>
      <c r="CY390" s="361"/>
      <c r="CZ390" s="361"/>
      <c r="DA390" s="361"/>
      <c r="DB390" s="361"/>
      <c r="DC390" s="361"/>
      <c r="DD390" s="361"/>
      <c r="DE390" s="361"/>
      <c r="DF390" s="361"/>
      <c r="DG390" s="361"/>
      <c r="DH390" s="361"/>
      <c r="DI390" s="361"/>
      <c r="DJ390" s="378"/>
    </row>
    <row r="391" spans="2:114" ht="13">
      <c r="B391" s="294"/>
      <c r="F391" s="302"/>
      <c r="J391" s="302"/>
      <c r="AI391" s="188"/>
      <c r="AJ391" s="188"/>
      <c r="AK391" s="188"/>
      <c r="AL391" s="188"/>
      <c r="AM391" s="188"/>
      <c r="AN391" s="188"/>
      <c r="AO391" s="299"/>
      <c r="CF391" s="294"/>
      <c r="CG391" s="294"/>
      <c r="CH391" s="294"/>
      <c r="CI391" s="294"/>
      <c r="CJ391" s="294"/>
      <c r="CK391" s="294"/>
      <c r="CL391" s="294"/>
      <c r="CM391" s="294"/>
      <c r="CN391" s="294"/>
      <c r="CT391" s="374">
        <v>54</v>
      </c>
      <c r="CU391" s="359"/>
      <c r="CV391" s="361"/>
      <c r="CW391" s="361"/>
      <c r="CX391" s="361"/>
      <c r="CY391" s="361"/>
      <c r="CZ391" s="361"/>
      <c r="DA391" s="361"/>
      <c r="DB391" s="361"/>
      <c r="DC391" s="361"/>
      <c r="DD391" s="361"/>
      <c r="DE391" s="361"/>
      <c r="DF391" s="361"/>
      <c r="DG391" s="361"/>
      <c r="DH391" s="361"/>
      <c r="DI391" s="361"/>
      <c r="DJ391" s="378"/>
    </row>
    <row r="392" spans="2:114" ht="13">
      <c r="B392" s="294"/>
      <c r="F392" s="302"/>
      <c r="J392" s="302"/>
      <c r="AI392" s="188"/>
      <c r="AJ392" s="188"/>
      <c r="AK392" s="188"/>
      <c r="AL392" s="188"/>
      <c r="AM392" s="188"/>
      <c r="AN392" s="188"/>
      <c r="AO392" s="299"/>
      <c r="CF392" s="294"/>
      <c r="CG392" s="294"/>
      <c r="CH392" s="294"/>
      <c r="CI392" s="294"/>
      <c r="CJ392" s="294"/>
      <c r="CK392" s="294"/>
      <c r="CL392" s="294"/>
      <c r="CM392" s="294"/>
      <c r="CN392" s="294"/>
      <c r="CT392" s="374">
        <v>55</v>
      </c>
      <c r="CU392" s="359"/>
      <c r="CV392" s="361"/>
      <c r="CW392" s="361"/>
      <c r="CX392" s="361"/>
      <c r="CY392" s="365"/>
      <c r="CZ392" s="365"/>
      <c r="DA392" s="365"/>
      <c r="DB392" s="365"/>
      <c r="DC392" s="365"/>
      <c r="DD392" s="365"/>
      <c r="DE392" s="365"/>
      <c r="DF392" s="365"/>
      <c r="DG392" s="365"/>
      <c r="DH392" s="365"/>
      <c r="DI392" s="365"/>
      <c r="DJ392" s="379"/>
    </row>
    <row r="393" spans="2:114" ht="13">
      <c r="B393" s="294"/>
      <c r="F393" s="302"/>
      <c r="J393" s="302"/>
      <c r="AI393" s="188"/>
      <c r="AJ393" s="188"/>
      <c r="AK393" s="188"/>
      <c r="AL393" s="188"/>
      <c r="AM393" s="188"/>
      <c r="AN393" s="188"/>
      <c r="AO393" s="299"/>
      <c r="CF393" s="294"/>
      <c r="CG393" s="294"/>
      <c r="CH393" s="294"/>
      <c r="CI393" s="294"/>
      <c r="CJ393" s="294"/>
      <c r="CK393" s="294"/>
      <c r="CL393" s="294"/>
      <c r="CM393" s="294"/>
      <c r="CN393" s="294"/>
      <c r="CT393" s="374">
        <v>56</v>
      </c>
      <c r="CU393" s="359"/>
      <c r="CV393" s="361"/>
      <c r="CW393" s="361"/>
      <c r="CX393" s="361"/>
      <c r="CY393" s="365"/>
      <c r="CZ393" s="365"/>
      <c r="DA393" s="365"/>
      <c r="DB393" s="365"/>
      <c r="DC393" s="365"/>
      <c r="DD393" s="365"/>
      <c r="DE393" s="365"/>
      <c r="DF393" s="365"/>
      <c r="DG393" s="365"/>
      <c r="DH393" s="365"/>
      <c r="DI393" s="365"/>
      <c r="DJ393" s="379"/>
    </row>
    <row r="394" spans="2:114" ht="13">
      <c r="B394" s="294"/>
      <c r="F394" s="302"/>
      <c r="J394" s="302"/>
      <c r="AI394" s="188"/>
      <c r="AJ394" s="188"/>
      <c r="AK394" s="188"/>
      <c r="AL394" s="188"/>
      <c r="AM394" s="188"/>
      <c r="AN394" s="188"/>
      <c r="AO394" s="299"/>
      <c r="CF394" s="294"/>
      <c r="CG394" s="294"/>
      <c r="CH394" s="294"/>
      <c r="CI394" s="294"/>
      <c r="CJ394" s="294"/>
      <c r="CK394" s="294"/>
      <c r="CL394" s="294"/>
      <c r="CM394" s="294"/>
      <c r="CN394" s="294"/>
      <c r="CT394" s="374">
        <v>57</v>
      </c>
      <c r="CU394" s="359"/>
      <c r="CV394" s="361"/>
      <c r="CW394" s="361"/>
      <c r="CX394" s="361"/>
      <c r="CY394" s="361"/>
      <c r="CZ394" s="361"/>
      <c r="DA394" s="361"/>
      <c r="DB394" s="361"/>
      <c r="DC394" s="361"/>
      <c r="DD394" s="361"/>
      <c r="DE394" s="361"/>
      <c r="DF394" s="361"/>
      <c r="DG394" s="361"/>
      <c r="DH394" s="361"/>
      <c r="DI394" s="361"/>
      <c r="DJ394" s="378"/>
    </row>
    <row r="395" spans="2:114" ht="13">
      <c r="B395" s="294"/>
      <c r="F395" s="302"/>
      <c r="J395" s="302"/>
      <c r="AI395" s="188"/>
      <c r="AJ395" s="188"/>
      <c r="AK395" s="188"/>
      <c r="AL395" s="188"/>
      <c r="AM395" s="188"/>
      <c r="AN395" s="188"/>
      <c r="AO395" s="299"/>
      <c r="CF395" s="294"/>
      <c r="CG395" s="294"/>
      <c r="CH395" s="294"/>
      <c r="CI395" s="294"/>
      <c r="CJ395" s="294"/>
      <c r="CK395" s="294"/>
      <c r="CL395" s="294"/>
      <c r="CM395" s="294"/>
      <c r="CN395" s="294"/>
      <c r="CT395" s="374">
        <v>58</v>
      </c>
      <c r="CU395" s="359"/>
      <c r="CV395" s="361"/>
      <c r="CW395" s="361"/>
      <c r="CX395" s="361"/>
      <c r="CY395" s="361"/>
      <c r="CZ395" s="361"/>
      <c r="DA395" s="361"/>
      <c r="DB395" s="361"/>
      <c r="DC395" s="361"/>
      <c r="DD395" s="361"/>
      <c r="DE395" s="361"/>
      <c r="DF395" s="361"/>
      <c r="DG395" s="361"/>
      <c r="DH395" s="361"/>
      <c r="DI395" s="361"/>
      <c r="DJ395" s="378"/>
    </row>
    <row r="396" spans="2:114" ht="13">
      <c r="B396" s="294"/>
      <c r="F396" s="302"/>
      <c r="J396" s="302"/>
      <c r="AI396" s="188"/>
      <c r="AJ396" s="188"/>
      <c r="AK396" s="188"/>
      <c r="AL396" s="188"/>
      <c r="AM396" s="188"/>
      <c r="AN396" s="188"/>
      <c r="AO396" s="299"/>
      <c r="CF396" s="294"/>
      <c r="CG396" s="294"/>
      <c r="CH396" s="294"/>
      <c r="CI396" s="294"/>
      <c r="CJ396" s="294"/>
      <c r="CK396" s="294"/>
      <c r="CL396" s="294"/>
      <c r="CM396" s="294"/>
      <c r="CN396" s="294"/>
      <c r="CT396" s="374">
        <v>59</v>
      </c>
      <c r="CU396" s="359"/>
      <c r="CV396" s="361"/>
      <c r="CW396" s="361"/>
      <c r="CX396" s="361"/>
      <c r="CY396" s="361"/>
      <c r="CZ396" s="361"/>
      <c r="DA396" s="361"/>
      <c r="DB396" s="361"/>
      <c r="DC396" s="361"/>
      <c r="DD396" s="361"/>
      <c r="DE396" s="361"/>
      <c r="DF396" s="361"/>
      <c r="DG396" s="361"/>
      <c r="DH396" s="361"/>
      <c r="DI396" s="361"/>
      <c r="DJ396" s="378"/>
    </row>
    <row r="397" spans="2:114" ht="13">
      <c r="B397" s="294"/>
      <c r="F397" s="302"/>
      <c r="J397" s="302"/>
      <c r="AI397" s="188"/>
      <c r="AJ397" s="188"/>
      <c r="AK397" s="188"/>
      <c r="AL397" s="188"/>
      <c r="AM397" s="188"/>
      <c r="AN397" s="188"/>
      <c r="AO397" s="299"/>
      <c r="CF397" s="294"/>
      <c r="CG397" s="294"/>
      <c r="CH397" s="294"/>
      <c r="CI397" s="294"/>
      <c r="CJ397" s="294"/>
      <c r="CK397" s="294"/>
      <c r="CL397" s="294"/>
      <c r="CM397" s="294"/>
      <c r="CN397" s="294"/>
      <c r="CT397" s="374">
        <v>60</v>
      </c>
      <c r="CU397" s="359"/>
      <c r="CV397" s="361"/>
      <c r="CW397" s="361"/>
      <c r="CX397" s="361"/>
      <c r="CY397" s="361"/>
      <c r="CZ397" s="361"/>
      <c r="DA397" s="361"/>
      <c r="DB397" s="361"/>
      <c r="DC397" s="361"/>
      <c r="DD397" s="361"/>
      <c r="DE397" s="361"/>
      <c r="DF397" s="361"/>
      <c r="DG397" s="361"/>
      <c r="DH397" s="361"/>
      <c r="DI397" s="361"/>
      <c r="DJ397" s="378"/>
    </row>
    <row r="398" spans="2:114" ht="13">
      <c r="B398" s="294"/>
      <c r="F398" s="302"/>
      <c r="J398" s="302"/>
      <c r="AI398" s="188"/>
      <c r="AJ398" s="188"/>
      <c r="AK398" s="188"/>
      <c r="AL398" s="188"/>
      <c r="AM398" s="188"/>
      <c r="AN398" s="188"/>
      <c r="AO398" s="299"/>
      <c r="CF398" s="294"/>
      <c r="CG398" s="294"/>
      <c r="CH398" s="294"/>
      <c r="CI398" s="294"/>
      <c r="CJ398" s="294"/>
      <c r="CK398" s="294"/>
      <c r="CL398" s="294"/>
      <c r="CM398" s="294"/>
      <c r="CN398" s="294"/>
      <c r="CT398" s="374">
        <v>61</v>
      </c>
      <c r="CU398" s="359"/>
      <c r="CV398" s="361"/>
      <c r="CW398" s="361"/>
      <c r="CX398" s="361"/>
      <c r="CY398" s="361"/>
      <c r="CZ398" s="361"/>
      <c r="DA398" s="361"/>
      <c r="DB398" s="361"/>
      <c r="DC398" s="361"/>
      <c r="DD398" s="361"/>
      <c r="DE398" s="361"/>
      <c r="DF398" s="361"/>
      <c r="DG398" s="361"/>
      <c r="DH398" s="361"/>
      <c r="DI398" s="361"/>
      <c r="DJ398" s="378"/>
    </row>
    <row r="399" spans="2:114" ht="13">
      <c r="B399" s="294"/>
      <c r="F399" s="302"/>
      <c r="J399" s="302"/>
      <c r="AI399" s="188"/>
      <c r="AJ399" s="188"/>
      <c r="AK399" s="188"/>
      <c r="AL399" s="188"/>
      <c r="AM399" s="188"/>
      <c r="AN399" s="188"/>
      <c r="AO399" s="299"/>
      <c r="CF399" s="294"/>
      <c r="CG399" s="294"/>
      <c r="CH399" s="294"/>
      <c r="CI399" s="294"/>
      <c r="CJ399" s="294"/>
      <c r="CK399" s="294"/>
      <c r="CL399" s="294"/>
      <c r="CM399" s="294"/>
      <c r="CN399" s="294"/>
      <c r="CT399" s="374">
        <v>62</v>
      </c>
      <c r="CU399" s="359"/>
      <c r="CV399" s="361"/>
      <c r="CW399" s="361"/>
      <c r="CX399" s="361"/>
      <c r="CY399" s="361"/>
      <c r="CZ399" s="361"/>
      <c r="DA399" s="361"/>
      <c r="DB399" s="361"/>
      <c r="DC399" s="361"/>
      <c r="DD399" s="361"/>
      <c r="DE399" s="361"/>
      <c r="DF399" s="361"/>
      <c r="DG399" s="361"/>
      <c r="DH399" s="361"/>
      <c r="DI399" s="361"/>
      <c r="DJ399" s="378"/>
    </row>
    <row r="400" spans="2:114" ht="13">
      <c r="B400" s="294"/>
      <c r="F400" s="302"/>
      <c r="J400" s="302"/>
      <c r="AI400" s="188"/>
      <c r="AJ400" s="188"/>
      <c r="AK400" s="188"/>
      <c r="AL400" s="188"/>
      <c r="AM400" s="188"/>
      <c r="AN400" s="188"/>
      <c r="AO400" s="299"/>
      <c r="CF400" s="294"/>
      <c r="CG400" s="294"/>
      <c r="CH400" s="294"/>
      <c r="CI400" s="294"/>
      <c r="CJ400" s="294"/>
      <c r="CK400" s="294"/>
      <c r="CL400" s="294"/>
      <c r="CM400" s="294"/>
      <c r="CN400" s="294"/>
      <c r="CT400" s="374">
        <v>63</v>
      </c>
      <c r="CU400" s="359"/>
      <c r="CV400" s="361"/>
      <c r="CW400" s="361"/>
      <c r="CX400" s="361"/>
      <c r="CY400" s="361"/>
      <c r="CZ400" s="361"/>
      <c r="DA400" s="361"/>
      <c r="DB400" s="361"/>
      <c r="DC400" s="361"/>
      <c r="DD400" s="361"/>
      <c r="DE400" s="361"/>
      <c r="DF400" s="361"/>
      <c r="DG400" s="361"/>
      <c r="DH400" s="361"/>
      <c r="DI400" s="361"/>
      <c r="DJ400" s="378"/>
    </row>
    <row r="401" spans="2:114" ht="13">
      <c r="B401" s="294"/>
      <c r="F401" s="302"/>
      <c r="J401" s="302"/>
      <c r="AI401" s="188"/>
      <c r="AJ401" s="188"/>
      <c r="AK401" s="188"/>
      <c r="AL401" s="188"/>
      <c r="AM401" s="188"/>
      <c r="AN401" s="188"/>
      <c r="AO401" s="299"/>
      <c r="CF401" s="294"/>
      <c r="CG401" s="294"/>
      <c r="CH401" s="294"/>
      <c r="CI401" s="294"/>
      <c r="CJ401" s="294"/>
      <c r="CK401" s="294"/>
      <c r="CL401" s="294"/>
      <c r="CM401" s="294"/>
      <c r="CN401" s="294"/>
      <c r="CT401" s="374">
        <v>64</v>
      </c>
      <c r="CU401" s="359"/>
      <c r="CV401" s="361"/>
      <c r="CW401" s="361"/>
      <c r="CX401" s="365"/>
      <c r="CY401" s="365"/>
      <c r="CZ401" s="365"/>
      <c r="DA401" s="365"/>
      <c r="DB401" s="365"/>
      <c r="DC401" s="365"/>
      <c r="DD401" s="365"/>
      <c r="DE401" s="365"/>
      <c r="DF401" s="365"/>
      <c r="DG401" s="365"/>
      <c r="DH401" s="365"/>
      <c r="DI401" s="365"/>
      <c r="DJ401" s="379"/>
    </row>
    <row r="402" spans="2:114" ht="13">
      <c r="B402" s="294"/>
      <c r="F402" s="302"/>
      <c r="J402" s="302"/>
      <c r="AI402" s="188"/>
      <c r="AJ402" s="188"/>
      <c r="AK402" s="188"/>
      <c r="AL402" s="188"/>
      <c r="AM402" s="188"/>
      <c r="AN402" s="188"/>
      <c r="AO402" s="299"/>
      <c r="CF402" s="294"/>
      <c r="CG402" s="294"/>
      <c r="CH402" s="294"/>
      <c r="CI402" s="294"/>
      <c r="CJ402" s="294"/>
      <c r="CK402" s="294"/>
      <c r="CL402" s="294"/>
      <c r="CM402" s="294"/>
      <c r="CN402" s="294"/>
      <c r="CT402" s="374">
        <v>65</v>
      </c>
      <c r="CU402" s="359"/>
      <c r="CV402" s="361"/>
      <c r="CW402" s="361"/>
      <c r="CX402" s="361"/>
      <c r="CY402" s="361"/>
      <c r="CZ402" s="361"/>
      <c r="DA402" s="361"/>
      <c r="DB402" s="361"/>
      <c r="DC402" s="361"/>
      <c r="DD402" s="361"/>
      <c r="DE402" s="361"/>
      <c r="DF402" s="361"/>
      <c r="DG402" s="361"/>
      <c r="DH402" s="361"/>
      <c r="DI402" s="361"/>
      <c r="DJ402" s="378"/>
    </row>
    <row r="403" spans="2:114" ht="13">
      <c r="B403" s="294"/>
      <c r="F403" s="302"/>
      <c r="J403" s="302"/>
      <c r="AI403" s="188"/>
      <c r="AJ403" s="188"/>
      <c r="AK403" s="188"/>
      <c r="AL403" s="188"/>
      <c r="AM403" s="188"/>
      <c r="AN403" s="188"/>
      <c r="AO403" s="299"/>
      <c r="CF403" s="294"/>
      <c r="CG403" s="294"/>
      <c r="CH403" s="294"/>
      <c r="CI403" s="294"/>
      <c r="CJ403" s="294"/>
      <c r="CK403" s="294"/>
      <c r="CL403" s="294"/>
      <c r="CM403" s="294"/>
      <c r="CN403" s="294"/>
      <c r="CT403" s="374">
        <v>66</v>
      </c>
      <c r="CU403" s="359"/>
      <c r="CV403" s="361"/>
      <c r="CW403" s="361"/>
      <c r="CX403" s="361"/>
      <c r="CY403" s="361"/>
      <c r="CZ403" s="361"/>
      <c r="DA403" s="361"/>
      <c r="DB403" s="361"/>
      <c r="DC403" s="361"/>
      <c r="DD403" s="361"/>
      <c r="DE403" s="361"/>
      <c r="DF403" s="361"/>
      <c r="DG403" s="361"/>
      <c r="DH403" s="361"/>
      <c r="DI403" s="361"/>
      <c r="DJ403" s="378"/>
    </row>
    <row r="404" spans="2:114" ht="13">
      <c r="B404" s="294"/>
      <c r="F404" s="302"/>
      <c r="J404" s="302"/>
      <c r="AI404" s="188"/>
      <c r="AJ404" s="188"/>
      <c r="AK404" s="188"/>
      <c r="AL404" s="188"/>
      <c r="AM404" s="188"/>
      <c r="AN404" s="188"/>
      <c r="AO404" s="299"/>
      <c r="CF404" s="294"/>
      <c r="CG404" s="294"/>
      <c r="CH404" s="294"/>
      <c r="CI404" s="294"/>
      <c r="CJ404" s="294"/>
      <c r="CK404" s="294"/>
      <c r="CL404" s="294"/>
      <c r="CM404" s="294"/>
      <c r="CN404" s="294"/>
      <c r="CT404" s="374">
        <v>67</v>
      </c>
      <c r="CU404" s="359"/>
      <c r="CV404" s="361"/>
      <c r="CW404" s="361"/>
      <c r="CX404" s="361"/>
      <c r="CY404" s="361"/>
      <c r="CZ404" s="361"/>
      <c r="DA404" s="361"/>
      <c r="DB404" s="361"/>
      <c r="DC404" s="361"/>
      <c r="DD404" s="361"/>
      <c r="DE404" s="361"/>
      <c r="DF404" s="361"/>
      <c r="DG404" s="361"/>
      <c r="DH404" s="361"/>
      <c r="DI404" s="361"/>
      <c r="DJ404" s="378"/>
    </row>
    <row r="405" spans="2:114" ht="13">
      <c r="B405" s="294"/>
      <c r="F405" s="302"/>
      <c r="J405" s="302"/>
      <c r="AI405" s="188"/>
      <c r="AJ405" s="188"/>
      <c r="AK405" s="188"/>
      <c r="AL405" s="188"/>
      <c r="AM405" s="188"/>
      <c r="AN405" s="188"/>
      <c r="AO405" s="299"/>
      <c r="CF405" s="294"/>
      <c r="CG405" s="294"/>
      <c r="CH405" s="294"/>
      <c r="CI405" s="294"/>
      <c r="CJ405" s="294"/>
      <c r="CK405" s="294"/>
      <c r="CL405" s="294"/>
      <c r="CM405" s="294"/>
      <c r="CN405" s="294"/>
      <c r="CT405" s="374">
        <v>68</v>
      </c>
      <c r="CU405" s="359"/>
      <c r="CV405" s="361"/>
      <c r="CW405" s="361"/>
      <c r="CX405" s="361"/>
      <c r="CY405" s="365"/>
      <c r="CZ405" s="365"/>
      <c r="DA405" s="365"/>
      <c r="DB405" s="365"/>
      <c r="DC405" s="365"/>
      <c r="DD405" s="365"/>
      <c r="DE405" s="365"/>
      <c r="DF405" s="365"/>
      <c r="DG405" s="365"/>
      <c r="DH405" s="365"/>
      <c r="DI405" s="365"/>
      <c r="DJ405" s="379"/>
    </row>
    <row r="406" spans="2:114" ht="13">
      <c r="B406" s="294"/>
      <c r="F406" s="302"/>
      <c r="J406" s="302"/>
      <c r="AI406" s="188"/>
      <c r="AJ406" s="188"/>
      <c r="AK406" s="188"/>
      <c r="AL406" s="188"/>
      <c r="AM406" s="188"/>
      <c r="AN406" s="188"/>
      <c r="AO406" s="299"/>
      <c r="CF406" s="294"/>
      <c r="CG406" s="294"/>
      <c r="CH406" s="294"/>
      <c r="CI406" s="294"/>
      <c r="CJ406" s="294"/>
      <c r="CK406" s="294"/>
      <c r="CL406" s="294"/>
      <c r="CM406" s="294"/>
      <c r="CN406" s="294"/>
      <c r="CT406" s="374">
        <v>69</v>
      </c>
      <c r="CU406" s="359"/>
      <c r="CV406" s="361"/>
      <c r="CW406" s="361"/>
      <c r="CX406" s="361"/>
      <c r="CY406" s="361"/>
      <c r="CZ406" s="361"/>
      <c r="DA406" s="361"/>
      <c r="DB406" s="361"/>
      <c r="DC406" s="361"/>
      <c r="DD406" s="361"/>
      <c r="DE406" s="361"/>
      <c r="DF406" s="361"/>
      <c r="DG406" s="361"/>
      <c r="DH406" s="361"/>
      <c r="DI406" s="361"/>
      <c r="DJ406" s="378"/>
    </row>
    <row r="407" spans="2:114" ht="13">
      <c r="B407" s="294"/>
      <c r="F407" s="302"/>
      <c r="J407" s="302"/>
      <c r="AI407" s="188"/>
      <c r="AJ407" s="188"/>
      <c r="AK407" s="188"/>
      <c r="AL407" s="188"/>
      <c r="AM407" s="188"/>
      <c r="AN407" s="188"/>
      <c r="AO407" s="299"/>
      <c r="CF407" s="294"/>
      <c r="CG407" s="294"/>
      <c r="CH407" s="294"/>
      <c r="CI407" s="294"/>
      <c r="CJ407" s="294"/>
      <c r="CK407" s="294"/>
      <c r="CL407" s="294"/>
      <c r="CM407" s="294"/>
      <c r="CN407" s="294"/>
      <c r="CT407" s="374">
        <v>70</v>
      </c>
      <c r="CU407" s="359"/>
      <c r="CV407" s="361"/>
      <c r="CW407" s="361"/>
      <c r="CX407" s="361"/>
      <c r="CY407" s="361"/>
      <c r="CZ407" s="361"/>
      <c r="DA407" s="361"/>
      <c r="DB407" s="361"/>
      <c r="DC407" s="361"/>
      <c r="DD407" s="361"/>
      <c r="DE407" s="361"/>
      <c r="DF407" s="361"/>
      <c r="DG407" s="361"/>
      <c r="DH407" s="361"/>
      <c r="DI407" s="361"/>
      <c r="DJ407" s="378"/>
    </row>
    <row r="408" spans="2:114" ht="13">
      <c r="B408" s="294"/>
      <c r="F408" s="302"/>
      <c r="J408" s="302"/>
      <c r="AI408" s="188"/>
      <c r="AJ408" s="188"/>
      <c r="AK408" s="188"/>
      <c r="AL408" s="188"/>
      <c r="AM408" s="188"/>
      <c r="AN408" s="188"/>
      <c r="AO408" s="299"/>
      <c r="CF408" s="294"/>
      <c r="CG408" s="294"/>
      <c r="CH408" s="294"/>
      <c r="CI408" s="294"/>
      <c r="CJ408" s="294"/>
      <c r="CK408" s="294"/>
      <c r="CL408" s="294"/>
      <c r="CM408" s="294"/>
      <c r="CN408" s="294"/>
      <c r="CT408" s="374">
        <v>71</v>
      </c>
      <c r="CU408" s="359"/>
      <c r="CV408" s="361"/>
      <c r="CW408" s="365"/>
      <c r="CX408" s="361"/>
      <c r="CY408" s="361"/>
      <c r="CZ408" s="361"/>
      <c r="DA408" s="361"/>
      <c r="DB408" s="361"/>
      <c r="DC408" s="361"/>
      <c r="DD408" s="361"/>
      <c r="DE408" s="361"/>
      <c r="DF408" s="361"/>
      <c r="DG408" s="361"/>
      <c r="DH408" s="361"/>
      <c r="DI408" s="361"/>
      <c r="DJ408" s="378"/>
    </row>
    <row r="409" spans="2:114" ht="13">
      <c r="B409" s="294"/>
      <c r="F409" s="302"/>
      <c r="J409" s="302"/>
      <c r="AI409" s="188"/>
      <c r="AJ409" s="188"/>
      <c r="AK409" s="188"/>
      <c r="AL409" s="188"/>
      <c r="AM409" s="188"/>
      <c r="AN409" s="188"/>
      <c r="AO409" s="299"/>
      <c r="CF409" s="294"/>
      <c r="CG409" s="294"/>
      <c r="CH409" s="294"/>
      <c r="CI409" s="294"/>
      <c r="CJ409" s="294"/>
      <c r="CK409" s="294"/>
      <c r="CL409" s="294"/>
      <c r="CM409" s="294"/>
      <c r="CN409" s="294"/>
      <c r="CT409" s="374">
        <v>72</v>
      </c>
      <c r="CU409" s="359"/>
      <c r="CV409" s="361"/>
      <c r="CW409" s="361"/>
      <c r="CX409" s="361"/>
      <c r="CY409" s="361"/>
      <c r="CZ409" s="361"/>
      <c r="DA409" s="361"/>
      <c r="DB409" s="361"/>
      <c r="DC409" s="361"/>
      <c r="DD409" s="361"/>
      <c r="DE409" s="361"/>
      <c r="DF409" s="361"/>
      <c r="DG409" s="361"/>
      <c r="DH409" s="361"/>
      <c r="DI409" s="361"/>
      <c r="DJ409" s="378"/>
    </row>
    <row r="410" spans="2:114" ht="13">
      <c r="B410" s="294"/>
      <c r="F410" s="302"/>
      <c r="J410" s="302"/>
      <c r="AI410" s="188"/>
      <c r="AJ410" s="188"/>
      <c r="AK410" s="188"/>
      <c r="AL410" s="188"/>
      <c r="AM410" s="188"/>
      <c r="AN410" s="188"/>
      <c r="AO410" s="299"/>
      <c r="CF410" s="294"/>
      <c r="CG410" s="294"/>
      <c r="CH410" s="294"/>
      <c r="CI410" s="294"/>
      <c r="CJ410" s="294"/>
      <c r="CK410" s="294"/>
      <c r="CL410" s="294"/>
      <c r="CM410" s="294"/>
      <c r="CN410" s="294"/>
      <c r="CT410" s="374">
        <v>73</v>
      </c>
      <c r="CU410" s="359"/>
      <c r="CV410" s="361"/>
      <c r="CW410" s="361"/>
      <c r="CX410" s="361"/>
      <c r="CY410" s="361"/>
      <c r="CZ410" s="361"/>
      <c r="DA410" s="361"/>
      <c r="DB410" s="361"/>
      <c r="DC410" s="361"/>
      <c r="DD410" s="361"/>
      <c r="DE410" s="361"/>
      <c r="DF410" s="361"/>
      <c r="DG410" s="361"/>
      <c r="DH410" s="361"/>
      <c r="DI410" s="361"/>
      <c r="DJ410" s="378"/>
    </row>
    <row r="411" spans="2:114" ht="13">
      <c r="B411" s="294"/>
      <c r="F411" s="302"/>
      <c r="J411" s="302"/>
      <c r="AI411" s="188"/>
      <c r="AJ411" s="188"/>
      <c r="AK411" s="188"/>
      <c r="AL411" s="188"/>
      <c r="AM411" s="188"/>
      <c r="AN411" s="188"/>
      <c r="AO411" s="299"/>
      <c r="CF411" s="294"/>
      <c r="CG411" s="294"/>
      <c r="CH411" s="294"/>
      <c r="CI411" s="294"/>
      <c r="CJ411" s="294"/>
      <c r="CK411" s="294"/>
      <c r="CL411" s="294"/>
      <c r="CM411" s="294"/>
      <c r="CN411" s="294"/>
      <c r="CT411" s="374">
        <v>74</v>
      </c>
      <c r="CU411" s="359"/>
      <c r="CV411" s="361"/>
      <c r="CW411" s="361"/>
      <c r="CX411" s="361"/>
      <c r="CY411" s="365"/>
      <c r="CZ411" s="365"/>
      <c r="DA411" s="365"/>
      <c r="DB411" s="365"/>
      <c r="DC411" s="365"/>
      <c r="DD411" s="365"/>
      <c r="DE411" s="365"/>
      <c r="DF411" s="365"/>
      <c r="DG411" s="365"/>
      <c r="DH411" s="365"/>
      <c r="DI411" s="365"/>
      <c r="DJ411" s="379"/>
    </row>
    <row r="412" spans="2:114" ht="13">
      <c r="B412" s="294"/>
      <c r="F412" s="302"/>
      <c r="J412" s="302"/>
      <c r="AI412" s="188"/>
      <c r="AJ412" s="188"/>
      <c r="AK412" s="188"/>
      <c r="AL412" s="188"/>
      <c r="AM412" s="188"/>
      <c r="AN412" s="188"/>
      <c r="AO412" s="299"/>
      <c r="CF412" s="294"/>
      <c r="CG412" s="294"/>
      <c r="CH412" s="294"/>
      <c r="CI412" s="294"/>
      <c r="CJ412" s="294"/>
      <c r="CK412" s="294"/>
      <c r="CL412" s="294"/>
      <c r="CM412" s="294"/>
      <c r="CN412" s="294"/>
      <c r="CT412" s="374">
        <v>75</v>
      </c>
      <c r="CU412" s="359"/>
      <c r="CV412" s="361"/>
      <c r="CW412" s="361"/>
      <c r="CX412" s="361"/>
      <c r="CY412" s="361"/>
      <c r="CZ412" s="361"/>
      <c r="DA412" s="361"/>
      <c r="DB412" s="361"/>
      <c r="DC412" s="361"/>
      <c r="DD412" s="361"/>
      <c r="DE412" s="361"/>
      <c r="DF412" s="361"/>
      <c r="DG412" s="361"/>
      <c r="DH412" s="361"/>
      <c r="DI412" s="361"/>
      <c r="DJ412" s="378"/>
    </row>
    <row r="413" spans="2:114" ht="13">
      <c r="B413" s="294"/>
      <c r="F413" s="302"/>
      <c r="J413" s="302"/>
      <c r="AI413" s="188"/>
      <c r="AJ413" s="188"/>
      <c r="AK413" s="188"/>
      <c r="AL413" s="188"/>
      <c r="AM413" s="188"/>
      <c r="AN413" s="188"/>
      <c r="AO413" s="299"/>
      <c r="CF413" s="294"/>
      <c r="CG413" s="294"/>
      <c r="CH413" s="294"/>
      <c r="CI413" s="294"/>
      <c r="CJ413" s="294"/>
      <c r="CK413" s="294"/>
      <c r="CL413" s="294"/>
      <c r="CM413" s="294"/>
      <c r="CN413" s="294"/>
      <c r="CT413" s="374">
        <v>76</v>
      </c>
      <c r="CU413" s="359"/>
      <c r="CV413" s="361"/>
      <c r="CW413" s="361"/>
      <c r="CX413" s="361"/>
      <c r="CY413" s="361"/>
      <c r="CZ413" s="361"/>
      <c r="DA413" s="361"/>
      <c r="DB413" s="361"/>
      <c r="DC413" s="361"/>
      <c r="DD413" s="361"/>
      <c r="DE413" s="361"/>
      <c r="DF413" s="361"/>
      <c r="DG413" s="361"/>
      <c r="DH413" s="361"/>
      <c r="DI413" s="361"/>
      <c r="DJ413" s="378"/>
    </row>
    <row r="414" spans="2:114" ht="13">
      <c r="B414" s="294"/>
      <c r="F414" s="302"/>
      <c r="J414" s="302"/>
      <c r="AI414" s="188"/>
      <c r="AJ414" s="188"/>
      <c r="AK414" s="188"/>
      <c r="AL414" s="188"/>
      <c r="AM414" s="188"/>
      <c r="AN414" s="188"/>
      <c r="AO414" s="299"/>
      <c r="CF414" s="294"/>
      <c r="CG414" s="294"/>
      <c r="CH414" s="294"/>
      <c r="CI414" s="294"/>
      <c r="CJ414" s="294"/>
      <c r="CK414" s="294"/>
      <c r="CL414" s="294"/>
      <c r="CM414" s="294"/>
      <c r="CN414" s="294"/>
      <c r="CT414" s="374">
        <v>77</v>
      </c>
      <c r="CU414" s="359"/>
      <c r="CV414" s="361"/>
      <c r="CW414" s="361"/>
      <c r="CX414" s="361"/>
      <c r="CY414" s="361"/>
      <c r="CZ414" s="361"/>
      <c r="DA414" s="361"/>
      <c r="DB414" s="361"/>
      <c r="DC414" s="361"/>
      <c r="DD414" s="361"/>
      <c r="DE414" s="361"/>
      <c r="DF414" s="361"/>
      <c r="DG414" s="361"/>
      <c r="DH414" s="361"/>
      <c r="DI414" s="361"/>
      <c r="DJ414" s="378"/>
    </row>
    <row r="415" spans="2:114" ht="13">
      <c r="B415" s="294"/>
      <c r="F415" s="302"/>
      <c r="J415" s="302"/>
      <c r="AI415" s="188"/>
      <c r="AJ415" s="188"/>
      <c r="AK415" s="188"/>
      <c r="AL415" s="188"/>
      <c r="AM415" s="188"/>
      <c r="AN415" s="188"/>
      <c r="AO415" s="299"/>
      <c r="CF415" s="294"/>
      <c r="CG415" s="294"/>
      <c r="CH415" s="294"/>
      <c r="CI415" s="294"/>
      <c r="CJ415" s="294"/>
      <c r="CK415" s="294"/>
      <c r="CL415" s="294"/>
      <c r="CM415" s="294"/>
      <c r="CN415" s="294"/>
      <c r="CT415" s="374">
        <v>78</v>
      </c>
      <c r="CU415" s="359"/>
      <c r="CV415" s="361"/>
      <c r="CW415" s="361"/>
      <c r="CX415" s="361"/>
      <c r="CY415" s="361"/>
      <c r="CZ415" s="361"/>
      <c r="DA415" s="361"/>
      <c r="DB415" s="361"/>
      <c r="DC415" s="361"/>
      <c r="DD415" s="361"/>
      <c r="DE415" s="361"/>
      <c r="DF415" s="361"/>
      <c r="DG415" s="361"/>
      <c r="DH415" s="361"/>
      <c r="DI415" s="361"/>
      <c r="DJ415" s="378"/>
    </row>
    <row r="416" spans="2:114" ht="13">
      <c r="B416" s="294"/>
      <c r="F416" s="302"/>
      <c r="J416" s="302"/>
      <c r="AI416" s="188"/>
      <c r="AJ416" s="188"/>
      <c r="AK416" s="188"/>
      <c r="AL416" s="188"/>
      <c r="AM416" s="188"/>
      <c r="AN416" s="188"/>
      <c r="AO416" s="299"/>
      <c r="CF416" s="294"/>
      <c r="CG416" s="294"/>
      <c r="CH416" s="294"/>
      <c r="CI416" s="294"/>
      <c r="CJ416" s="294"/>
      <c r="CK416" s="294"/>
      <c r="CL416" s="294"/>
      <c r="CM416" s="294"/>
      <c r="CN416" s="294"/>
      <c r="CT416" s="374">
        <v>79</v>
      </c>
      <c r="CU416" s="359"/>
      <c r="CV416" s="361"/>
      <c r="CW416" s="361"/>
      <c r="CX416" s="365"/>
      <c r="CY416" s="365"/>
      <c r="CZ416" s="365"/>
      <c r="DA416" s="365"/>
      <c r="DB416" s="365"/>
      <c r="DC416" s="365"/>
      <c r="DD416" s="365"/>
      <c r="DE416" s="365"/>
      <c r="DF416" s="365"/>
      <c r="DG416" s="365"/>
      <c r="DH416" s="365"/>
      <c r="DI416" s="365"/>
      <c r="DJ416" s="379"/>
    </row>
    <row r="417" spans="2:114" ht="13">
      <c r="B417" s="294"/>
      <c r="F417" s="302"/>
      <c r="J417" s="302"/>
      <c r="AI417" s="188"/>
      <c r="AJ417" s="188"/>
      <c r="AK417" s="188"/>
      <c r="AL417" s="188"/>
      <c r="AM417" s="188"/>
      <c r="AN417" s="188"/>
      <c r="AO417" s="299"/>
      <c r="CF417" s="294"/>
      <c r="CG417" s="294"/>
      <c r="CH417" s="294"/>
      <c r="CI417" s="294"/>
      <c r="CJ417" s="294"/>
      <c r="CK417" s="294"/>
      <c r="CL417" s="294"/>
      <c r="CM417" s="294"/>
      <c r="CN417" s="294"/>
      <c r="CT417" s="374">
        <v>80</v>
      </c>
      <c r="CU417" s="359"/>
      <c r="CV417" s="361"/>
      <c r="CW417" s="361"/>
      <c r="CX417" s="361"/>
      <c r="CY417" s="361"/>
      <c r="CZ417" s="361"/>
      <c r="DA417" s="361"/>
      <c r="DB417" s="361"/>
      <c r="DC417" s="361"/>
      <c r="DD417" s="361"/>
      <c r="DE417" s="361"/>
      <c r="DF417" s="361"/>
      <c r="DG417" s="361"/>
      <c r="DH417" s="361"/>
      <c r="DI417" s="361"/>
      <c r="DJ417" s="378"/>
    </row>
    <row r="418" spans="2:114" ht="13">
      <c r="B418" s="294"/>
      <c r="F418" s="302"/>
      <c r="J418" s="302"/>
      <c r="AI418" s="188"/>
      <c r="AJ418" s="188"/>
      <c r="AK418" s="188"/>
      <c r="AL418" s="188"/>
      <c r="AM418" s="188"/>
      <c r="AN418" s="188"/>
      <c r="AO418" s="299"/>
      <c r="CF418" s="294"/>
      <c r="CG418" s="294"/>
      <c r="CH418" s="294"/>
      <c r="CI418" s="294"/>
      <c r="CJ418" s="294"/>
      <c r="CK418" s="294"/>
      <c r="CL418" s="294"/>
      <c r="CM418" s="294"/>
      <c r="CN418" s="294"/>
      <c r="CT418" s="374">
        <v>81</v>
      </c>
      <c r="CU418" s="359"/>
      <c r="CV418" s="361"/>
      <c r="CW418" s="361"/>
      <c r="CX418" s="361"/>
      <c r="CY418" s="361"/>
      <c r="CZ418" s="361"/>
      <c r="DA418" s="361"/>
      <c r="DB418" s="361"/>
      <c r="DC418" s="361"/>
      <c r="DD418" s="361"/>
      <c r="DE418" s="361"/>
      <c r="DF418" s="361"/>
      <c r="DG418" s="361"/>
      <c r="DH418" s="361"/>
      <c r="DI418" s="361"/>
      <c r="DJ418" s="378"/>
    </row>
    <row r="419" spans="2:114" ht="13">
      <c r="B419" s="294"/>
      <c r="F419" s="302"/>
      <c r="J419" s="302"/>
      <c r="AI419" s="188"/>
      <c r="AJ419" s="188"/>
      <c r="AK419" s="188"/>
      <c r="AL419" s="188"/>
      <c r="AM419" s="188"/>
      <c r="AN419" s="188"/>
      <c r="AO419" s="299"/>
      <c r="CF419" s="294"/>
      <c r="CG419" s="294"/>
      <c r="CH419" s="294"/>
      <c r="CI419" s="294"/>
      <c r="CJ419" s="294"/>
      <c r="CK419" s="294"/>
      <c r="CL419" s="294"/>
      <c r="CM419" s="294"/>
      <c r="CN419" s="294"/>
      <c r="CT419" s="374">
        <v>82</v>
      </c>
      <c r="CU419" s="359"/>
      <c r="CV419" s="361"/>
      <c r="CW419" s="361"/>
      <c r="CX419" s="365"/>
      <c r="CY419" s="365"/>
      <c r="CZ419" s="365"/>
      <c r="DA419" s="365"/>
      <c r="DB419" s="365"/>
      <c r="DC419" s="365"/>
      <c r="DD419" s="365"/>
      <c r="DE419" s="365"/>
      <c r="DF419" s="365"/>
      <c r="DG419" s="365"/>
      <c r="DH419" s="365"/>
      <c r="DI419" s="365"/>
      <c r="DJ419" s="379"/>
    </row>
    <row r="420" spans="2:114" ht="13">
      <c r="B420" s="294"/>
      <c r="F420" s="302"/>
      <c r="J420" s="302"/>
      <c r="AI420" s="188"/>
      <c r="AJ420" s="188"/>
      <c r="AK420" s="188"/>
      <c r="AL420" s="188"/>
      <c r="AM420" s="188"/>
      <c r="AN420" s="188"/>
      <c r="AO420" s="299"/>
      <c r="CF420" s="294"/>
      <c r="CG420" s="294"/>
      <c r="CH420" s="294"/>
      <c r="CI420" s="294"/>
      <c r="CJ420" s="294"/>
      <c r="CK420" s="294"/>
      <c r="CL420" s="294"/>
      <c r="CM420" s="294"/>
      <c r="CN420" s="294"/>
      <c r="CT420" s="374">
        <v>83</v>
      </c>
      <c r="CU420" s="359"/>
      <c r="CV420" s="361"/>
      <c r="CW420" s="361"/>
      <c r="CX420" s="361"/>
      <c r="CY420" s="361"/>
      <c r="CZ420" s="361"/>
      <c r="DA420" s="361"/>
      <c r="DB420" s="361"/>
      <c r="DC420" s="361"/>
      <c r="DD420" s="361"/>
      <c r="DE420" s="361"/>
      <c r="DF420" s="361"/>
      <c r="DG420" s="361"/>
      <c r="DH420" s="361"/>
      <c r="DI420" s="361"/>
      <c r="DJ420" s="378"/>
    </row>
    <row r="421" spans="2:114" ht="13">
      <c r="B421" s="294"/>
      <c r="F421" s="302"/>
      <c r="J421" s="302"/>
      <c r="AI421" s="188"/>
      <c r="AJ421" s="188"/>
      <c r="AK421" s="188"/>
      <c r="AL421" s="188"/>
      <c r="AM421" s="188"/>
      <c r="AN421" s="188"/>
      <c r="AO421" s="299"/>
      <c r="CF421" s="294"/>
      <c r="CG421" s="294"/>
      <c r="CH421" s="294"/>
      <c r="CI421" s="294"/>
      <c r="CJ421" s="294"/>
      <c r="CK421" s="294"/>
      <c r="CL421" s="294"/>
      <c r="CM421" s="294"/>
      <c r="CN421" s="294"/>
      <c r="CT421" s="374">
        <v>84</v>
      </c>
      <c r="CU421" s="359"/>
      <c r="CV421" s="361"/>
      <c r="CW421" s="361"/>
      <c r="CX421" s="361"/>
      <c r="CY421" s="365"/>
      <c r="CZ421" s="365"/>
      <c r="DA421" s="365"/>
      <c r="DB421" s="365"/>
      <c r="DC421" s="365"/>
      <c r="DD421" s="365"/>
      <c r="DE421" s="365"/>
      <c r="DF421" s="365"/>
      <c r="DG421" s="365"/>
      <c r="DH421" s="365"/>
      <c r="DI421" s="365"/>
      <c r="DJ421" s="379"/>
    </row>
    <row r="422" spans="2:114" ht="13">
      <c r="B422" s="294"/>
      <c r="F422" s="302"/>
      <c r="J422" s="302"/>
      <c r="AI422" s="188"/>
      <c r="AJ422" s="188"/>
      <c r="AK422" s="188"/>
      <c r="AL422" s="188"/>
      <c r="AM422" s="188"/>
      <c r="AN422" s="188"/>
      <c r="AO422" s="299"/>
      <c r="CF422" s="294"/>
      <c r="CG422" s="294"/>
      <c r="CH422" s="294"/>
      <c r="CI422" s="294"/>
      <c r="CJ422" s="294"/>
      <c r="CK422" s="294"/>
      <c r="CL422" s="294"/>
      <c r="CM422" s="294"/>
      <c r="CN422" s="294"/>
      <c r="CT422" s="374">
        <v>85</v>
      </c>
      <c r="CU422" s="359"/>
      <c r="CV422" s="361"/>
      <c r="CW422" s="361"/>
      <c r="CX422" s="365"/>
      <c r="CY422" s="365"/>
      <c r="CZ422" s="365"/>
      <c r="DA422" s="365"/>
      <c r="DB422" s="365"/>
      <c r="DC422" s="365"/>
      <c r="DD422" s="365"/>
      <c r="DE422" s="365"/>
      <c r="DF422" s="365"/>
      <c r="DG422" s="365"/>
      <c r="DH422" s="365"/>
      <c r="DI422" s="365"/>
      <c r="DJ422" s="379"/>
    </row>
    <row r="423" spans="2:114" ht="13">
      <c r="B423" s="294"/>
      <c r="F423" s="302"/>
      <c r="J423" s="302"/>
      <c r="AI423" s="188"/>
      <c r="AJ423" s="188"/>
      <c r="AK423" s="188"/>
      <c r="AL423" s="188"/>
      <c r="AM423" s="188"/>
      <c r="AN423" s="188"/>
      <c r="AO423" s="299"/>
      <c r="CF423" s="294"/>
      <c r="CG423" s="294"/>
      <c r="CH423" s="294"/>
      <c r="CI423" s="294"/>
      <c r="CJ423" s="294"/>
      <c r="CK423" s="294"/>
      <c r="CL423" s="294"/>
      <c r="CM423" s="294"/>
      <c r="CN423" s="294"/>
      <c r="CT423" s="374">
        <v>86</v>
      </c>
      <c r="CU423" s="359"/>
      <c r="CV423" s="361"/>
      <c r="CW423" s="361"/>
      <c r="CX423" s="365"/>
      <c r="CY423" s="365"/>
      <c r="CZ423" s="365"/>
      <c r="DA423" s="365"/>
      <c r="DB423" s="365"/>
      <c r="DC423" s="365"/>
      <c r="DD423" s="365"/>
      <c r="DE423" s="365"/>
      <c r="DF423" s="365"/>
      <c r="DG423" s="365"/>
      <c r="DH423" s="365"/>
      <c r="DI423" s="365"/>
      <c r="DJ423" s="379"/>
    </row>
    <row r="424" spans="2:114" ht="13">
      <c r="B424" s="294"/>
      <c r="F424" s="302"/>
      <c r="J424" s="302"/>
      <c r="AI424" s="188"/>
      <c r="AJ424" s="188"/>
      <c r="AK424" s="188"/>
      <c r="AL424" s="188"/>
      <c r="AM424" s="188"/>
      <c r="AN424" s="188"/>
      <c r="AO424" s="299"/>
      <c r="CF424" s="294"/>
      <c r="CG424" s="294"/>
      <c r="CH424" s="294"/>
      <c r="CI424" s="294"/>
      <c r="CJ424" s="294"/>
      <c r="CK424" s="294"/>
      <c r="CL424" s="294"/>
      <c r="CM424" s="294"/>
      <c r="CN424" s="294"/>
      <c r="CT424" s="374">
        <v>87</v>
      </c>
      <c r="CU424" s="359"/>
      <c r="CV424" s="361"/>
      <c r="CW424" s="361"/>
      <c r="CX424" s="365"/>
      <c r="CY424" s="365"/>
      <c r="CZ424" s="365"/>
      <c r="DA424" s="365"/>
      <c r="DB424" s="365"/>
      <c r="DC424" s="365"/>
      <c r="DD424" s="365"/>
      <c r="DE424" s="365"/>
      <c r="DF424" s="365"/>
      <c r="DG424" s="365"/>
      <c r="DH424" s="365"/>
      <c r="DI424" s="365"/>
      <c r="DJ424" s="379"/>
    </row>
    <row r="425" spans="2:114" ht="13">
      <c r="B425" s="294"/>
      <c r="F425" s="302"/>
      <c r="J425" s="302"/>
      <c r="AI425" s="188"/>
      <c r="AJ425" s="188"/>
      <c r="AK425" s="188"/>
      <c r="AL425" s="188"/>
      <c r="AM425" s="188"/>
      <c r="AN425" s="188"/>
      <c r="AO425" s="299"/>
      <c r="CF425" s="294"/>
      <c r="CG425" s="294"/>
      <c r="CH425" s="294"/>
      <c r="CI425" s="294"/>
      <c r="CJ425" s="294"/>
      <c r="CK425" s="294"/>
      <c r="CL425" s="294"/>
      <c r="CM425" s="294"/>
      <c r="CN425" s="294"/>
      <c r="CT425" s="374">
        <v>88</v>
      </c>
      <c r="CU425" s="359"/>
      <c r="CV425" s="361"/>
      <c r="CW425" s="365"/>
      <c r="CX425" s="361"/>
      <c r="CY425" s="361"/>
      <c r="CZ425" s="361"/>
      <c r="DA425" s="361"/>
      <c r="DB425" s="361"/>
      <c r="DC425" s="361"/>
      <c r="DD425" s="361"/>
      <c r="DE425" s="361"/>
      <c r="DF425" s="361"/>
      <c r="DG425" s="361"/>
      <c r="DH425" s="361"/>
      <c r="DI425" s="361"/>
      <c r="DJ425" s="378"/>
    </row>
    <row r="426" spans="2:114" ht="13">
      <c r="B426" s="294"/>
      <c r="F426" s="302"/>
      <c r="J426" s="302"/>
      <c r="AI426" s="188"/>
      <c r="AJ426" s="188"/>
      <c r="AK426" s="188"/>
      <c r="AL426" s="188"/>
      <c r="AM426" s="188"/>
      <c r="AN426" s="188"/>
      <c r="AO426" s="299"/>
      <c r="CF426" s="294"/>
      <c r="CG426" s="294"/>
      <c r="CH426" s="294"/>
      <c r="CI426" s="294"/>
      <c r="CJ426" s="294"/>
      <c r="CK426" s="294"/>
      <c r="CL426" s="294"/>
      <c r="CM426" s="294"/>
      <c r="CN426" s="294"/>
      <c r="CT426" s="374">
        <v>89</v>
      </c>
      <c r="DJ426" s="380"/>
    </row>
    <row r="427" spans="2:114" ht="13">
      <c r="B427" s="294"/>
      <c r="F427" s="302"/>
      <c r="J427" s="302"/>
      <c r="AI427" s="188"/>
      <c r="AJ427" s="188"/>
      <c r="AK427" s="188"/>
      <c r="AL427" s="188"/>
      <c r="AM427" s="188"/>
      <c r="AN427" s="188"/>
      <c r="AO427" s="299"/>
      <c r="CF427" s="294"/>
      <c r="CG427" s="294"/>
      <c r="CH427" s="294"/>
      <c r="CI427" s="294"/>
      <c r="CJ427" s="294"/>
      <c r="CK427" s="294"/>
      <c r="CL427" s="294"/>
      <c r="CM427" s="294"/>
      <c r="CN427" s="294"/>
      <c r="CT427" s="374">
        <v>90</v>
      </c>
      <c r="DJ427" s="380"/>
    </row>
    <row r="428" spans="2:114" ht="13">
      <c r="B428" s="294"/>
      <c r="F428" s="302"/>
      <c r="J428" s="302"/>
      <c r="AI428" s="188"/>
      <c r="AJ428" s="188"/>
      <c r="AK428" s="188"/>
      <c r="AL428" s="188"/>
      <c r="AM428" s="188"/>
      <c r="AN428" s="188"/>
      <c r="AO428" s="299"/>
      <c r="CF428" s="294"/>
      <c r="CG428" s="294"/>
      <c r="CH428" s="294"/>
      <c r="CI428" s="294"/>
      <c r="CJ428" s="294"/>
      <c r="CK428" s="294"/>
      <c r="CL428" s="294"/>
      <c r="CM428" s="294"/>
      <c r="CN428" s="294"/>
      <c r="CT428" s="374">
        <v>91</v>
      </c>
      <c r="DJ428" s="380"/>
    </row>
    <row r="429" spans="2:114" ht="13">
      <c r="B429" s="294"/>
      <c r="F429" s="302"/>
      <c r="J429" s="302"/>
      <c r="AI429" s="188"/>
      <c r="AJ429" s="188"/>
      <c r="AK429" s="188"/>
      <c r="AL429" s="188"/>
      <c r="AM429" s="188"/>
      <c r="AN429" s="188"/>
      <c r="AO429" s="299"/>
      <c r="CF429" s="294"/>
      <c r="CG429" s="294"/>
      <c r="CH429" s="294"/>
      <c r="CI429" s="294"/>
      <c r="CJ429" s="294"/>
      <c r="CK429" s="294"/>
      <c r="CL429" s="294"/>
      <c r="CM429" s="294"/>
      <c r="CN429" s="294"/>
      <c r="CT429" s="374">
        <v>92</v>
      </c>
      <c r="DJ429" s="380"/>
    </row>
    <row r="430" spans="2:114" ht="13">
      <c r="B430" s="294"/>
      <c r="F430" s="302"/>
      <c r="J430" s="302"/>
      <c r="AI430" s="188"/>
      <c r="AJ430" s="188"/>
      <c r="AK430" s="188"/>
      <c r="AL430" s="188"/>
      <c r="AM430" s="188"/>
      <c r="AN430" s="188"/>
      <c r="AO430" s="299"/>
      <c r="CF430" s="294"/>
      <c r="CG430" s="294"/>
      <c r="CH430" s="294"/>
      <c r="CI430" s="294"/>
      <c r="CJ430" s="294"/>
      <c r="CK430" s="294"/>
      <c r="CL430" s="294"/>
      <c r="CM430" s="294"/>
      <c r="CN430" s="294"/>
      <c r="CT430" s="374">
        <v>93</v>
      </c>
      <c r="DJ430" s="380"/>
    </row>
    <row r="431" spans="2:114" ht="13">
      <c r="B431" s="294"/>
      <c r="F431" s="302"/>
      <c r="J431" s="302"/>
      <c r="AI431" s="188"/>
      <c r="AJ431" s="188"/>
      <c r="AK431" s="188"/>
      <c r="AL431" s="188"/>
      <c r="AM431" s="188"/>
      <c r="AN431" s="188"/>
      <c r="AO431" s="299"/>
      <c r="CF431" s="294"/>
      <c r="CG431" s="294"/>
      <c r="CH431" s="294"/>
      <c r="CI431" s="294"/>
      <c r="CJ431" s="294"/>
      <c r="CK431" s="294"/>
      <c r="CL431" s="294"/>
      <c r="CM431" s="294"/>
      <c r="CN431" s="294"/>
      <c r="CT431" s="374">
        <v>94</v>
      </c>
      <c r="DJ431" s="380"/>
    </row>
    <row r="432" spans="2:114" ht="13">
      <c r="B432" s="294"/>
      <c r="F432" s="302"/>
      <c r="J432" s="302"/>
      <c r="AI432" s="188"/>
      <c r="AJ432" s="188"/>
      <c r="AK432" s="188"/>
      <c r="AL432" s="188"/>
      <c r="AM432" s="188"/>
      <c r="AN432" s="188"/>
      <c r="AO432" s="299"/>
      <c r="CF432" s="294"/>
      <c r="CG432" s="294"/>
      <c r="CH432" s="294"/>
      <c r="CI432" s="294"/>
      <c r="CJ432" s="294"/>
      <c r="CK432" s="294"/>
      <c r="CL432" s="294"/>
      <c r="CM432" s="294"/>
      <c r="CN432" s="294"/>
      <c r="CT432" s="374">
        <v>95</v>
      </c>
      <c r="DJ432" s="380"/>
    </row>
    <row r="433" spans="2:114" ht="13">
      <c r="B433" s="294"/>
      <c r="F433" s="302"/>
      <c r="J433" s="302"/>
      <c r="AI433" s="188"/>
      <c r="AJ433" s="188"/>
      <c r="AK433" s="188"/>
      <c r="AL433" s="188"/>
      <c r="AM433" s="188"/>
      <c r="AN433" s="188"/>
      <c r="AO433" s="299"/>
      <c r="CF433" s="294"/>
      <c r="CG433" s="294"/>
      <c r="CH433" s="294"/>
      <c r="CI433" s="294"/>
      <c r="CJ433" s="294"/>
      <c r="CK433" s="294"/>
      <c r="CL433" s="294"/>
      <c r="CM433" s="294"/>
      <c r="CN433" s="294"/>
      <c r="CT433" s="374">
        <v>96</v>
      </c>
      <c r="DJ433" s="380"/>
    </row>
    <row r="434" spans="2:114" ht="13">
      <c r="B434" s="294"/>
      <c r="F434" s="302"/>
      <c r="J434" s="302"/>
      <c r="AI434" s="188"/>
      <c r="AJ434" s="188"/>
      <c r="AK434" s="188"/>
      <c r="AL434" s="188"/>
      <c r="AM434" s="188"/>
      <c r="AN434" s="188"/>
      <c r="AO434" s="299"/>
      <c r="CF434" s="294"/>
      <c r="CG434" s="294"/>
      <c r="CH434" s="294"/>
      <c r="CI434" s="294"/>
      <c r="CJ434" s="294"/>
      <c r="CK434" s="294"/>
      <c r="CL434" s="294"/>
      <c r="CM434" s="294"/>
      <c r="CN434" s="294"/>
      <c r="CT434" s="374">
        <v>97</v>
      </c>
      <c r="DJ434" s="380"/>
    </row>
    <row r="435" spans="2:114" ht="13">
      <c r="B435" s="294"/>
      <c r="F435" s="302"/>
      <c r="J435" s="302"/>
      <c r="AI435" s="188"/>
      <c r="AJ435" s="188"/>
      <c r="AK435" s="188"/>
      <c r="AL435" s="188"/>
      <c r="AM435" s="188"/>
      <c r="AN435" s="188"/>
      <c r="AO435" s="299"/>
      <c r="CF435" s="294"/>
      <c r="CG435" s="294"/>
      <c r="CH435" s="294"/>
      <c r="CI435" s="294"/>
      <c r="CJ435" s="294"/>
      <c r="CK435" s="294"/>
      <c r="CL435" s="294"/>
      <c r="CM435" s="294"/>
      <c r="CN435" s="294"/>
      <c r="CT435" s="374">
        <v>98</v>
      </c>
      <c r="DJ435" s="380"/>
    </row>
    <row r="436" spans="2:114" ht="13">
      <c r="B436" s="294"/>
      <c r="F436" s="302"/>
      <c r="J436" s="302"/>
      <c r="AI436" s="188"/>
      <c r="AJ436" s="188"/>
      <c r="AK436" s="188"/>
      <c r="AL436" s="188"/>
      <c r="AM436" s="188"/>
      <c r="AN436" s="188"/>
      <c r="AO436" s="299"/>
      <c r="CF436" s="294"/>
      <c r="CG436" s="294"/>
      <c r="CH436" s="294"/>
      <c r="CI436" s="294"/>
      <c r="CJ436" s="294"/>
      <c r="CK436" s="294"/>
      <c r="CL436" s="294"/>
      <c r="CM436" s="294"/>
      <c r="CN436" s="294"/>
      <c r="CT436" s="374">
        <v>99</v>
      </c>
      <c r="DJ436" s="380"/>
    </row>
    <row r="437" spans="2:114" ht="13">
      <c r="B437" s="294"/>
      <c r="F437" s="302"/>
      <c r="J437" s="302"/>
      <c r="AI437" s="188"/>
      <c r="AJ437" s="188"/>
      <c r="AK437" s="188"/>
      <c r="AL437" s="188"/>
      <c r="AM437" s="188"/>
      <c r="AN437" s="188"/>
      <c r="AO437" s="299"/>
      <c r="CF437" s="294"/>
      <c r="CG437" s="294"/>
      <c r="CH437" s="294"/>
      <c r="CI437" s="294"/>
      <c r="CJ437" s="294"/>
      <c r="CK437" s="294"/>
      <c r="CL437" s="294"/>
      <c r="CM437" s="294"/>
      <c r="CN437" s="294"/>
      <c r="CT437" s="374">
        <v>100</v>
      </c>
      <c r="DJ437" s="380"/>
    </row>
    <row r="438" spans="2:114" ht="13">
      <c r="B438" s="294"/>
      <c r="F438" s="302"/>
      <c r="J438" s="302"/>
      <c r="AI438" s="188"/>
      <c r="AJ438" s="188"/>
      <c r="AK438" s="188"/>
      <c r="AL438" s="188"/>
      <c r="AM438" s="188"/>
      <c r="AN438" s="188"/>
      <c r="AO438" s="299"/>
      <c r="CF438" s="294"/>
      <c r="CG438" s="294"/>
      <c r="CH438" s="294"/>
      <c r="CI438" s="294"/>
      <c r="CJ438" s="294"/>
      <c r="CK438" s="294"/>
      <c r="CL438" s="294"/>
      <c r="CM438" s="294"/>
      <c r="CN438" s="294"/>
      <c r="CT438" s="374">
        <v>101</v>
      </c>
      <c r="DJ438" s="380"/>
    </row>
    <row r="439" spans="2:114" ht="13">
      <c r="B439" s="294"/>
      <c r="F439" s="302"/>
      <c r="J439" s="302"/>
      <c r="AI439" s="188"/>
      <c r="AJ439" s="188"/>
      <c r="AK439" s="188"/>
      <c r="AL439" s="188"/>
      <c r="AM439" s="188"/>
      <c r="AN439" s="188"/>
      <c r="AO439" s="299"/>
      <c r="CF439" s="294"/>
      <c r="CG439" s="294"/>
      <c r="CH439" s="294"/>
      <c r="CI439" s="294"/>
      <c r="CJ439" s="294"/>
      <c r="CK439" s="294"/>
      <c r="CL439" s="294"/>
      <c r="CM439" s="294"/>
      <c r="CN439" s="294"/>
      <c r="CT439" s="374">
        <v>102</v>
      </c>
      <c r="DJ439" s="380"/>
    </row>
    <row r="440" spans="2:114" ht="13">
      <c r="B440" s="294"/>
      <c r="F440" s="302"/>
      <c r="J440" s="302"/>
      <c r="AI440" s="188"/>
      <c r="AJ440" s="188"/>
      <c r="AK440" s="188"/>
      <c r="AL440" s="188"/>
      <c r="AM440" s="188"/>
      <c r="AN440" s="188"/>
      <c r="AO440" s="299"/>
      <c r="CF440" s="294"/>
      <c r="CG440" s="294"/>
      <c r="CH440" s="294"/>
      <c r="CI440" s="294"/>
      <c r="CJ440" s="294"/>
      <c r="CK440" s="294"/>
      <c r="CL440" s="294"/>
      <c r="CM440" s="294"/>
      <c r="CN440" s="294"/>
      <c r="CT440" s="374">
        <v>103</v>
      </c>
      <c r="DJ440" s="380"/>
    </row>
    <row r="441" spans="2:114" ht="13">
      <c r="B441" s="294"/>
      <c r="F441" s="302"/>
      <c r="J441" s="302"/>
      <c r="AI441" s="188"/>
      <c r="AJ441" s="188"/>
      <c r="AK441" s="188"/>
      <c r="AL441" s="188"/>
      <c r="AM441" s="188"/>
      <c r="AN441" s="188"/>
      <c r="AO441" s="299"/>
      <c r="CF441" s="294"/>
      <c r="CG441" s="294"/>
      <c r="CH441" s="294"/>
      <c r="CI441" s="294"/>
      <c r="CJ441" s="294"/>
      <c r="CK441" s="294"/>
      <c r="CL441" s="294"/>
      <c r="CM441" s="294"/>
      <c r="CN441" s="294"/>
      <c r="CT441" s="374">
        <v>104</v>
      </c>
      <c r="DJ441" s="380"/>
    </row>
    <row r="442" spans="2:114" ht="13">
      <c r="B442" s="294"/>
      <c r="F442" s="302"/>
      <c r="J442" s="302"/>
      <c r="AI442" s="188"/>
      <c r="AJ442" s="188"/>
      <c r="AK442" s="188"/>
      <c r="AL442" s="188"/>
      <c r="AM442" s="188"/>
      <c r="AN442" s="188"/>
      <c r="AO442" s="299"/>
      <c r="CF442" s="294"/>
      <c r="CG442" s="294"/>
      <c r="CH442" s="294"/>
      <c r="CI442" s="294"/>
      <c r="CJ442" s="294"/>
      <c r="CK442" s="294"/>
      <c r="CL442" s="294"/>
      <c r="CM442" s="294"/>
      <c r="CN442" s="294"/>
      <c r="CT442" s="374">
        <v>105</v>
      </c>
      <c r="DJ442" s="380"/>
    </row>
    <row r="443" spans="2:114" ht="13">
      <c r="B443" s="294"/>
      <c r="F443" s="302"/>
      <c r="J443" s="302"/>
      <c r="AI443" s="188"/>
      <c r="AJ443" s="188"/>
      <c r="AK443" s="188"/>
      <c r="AL443" s="188"/>
      <c r="AM443" s="188"/>
      <c r="AN443" s="188"/>
      <c r="AO443" s="299"/>
      <c r="CF443" s="294"/>
      <c r="CG443" s="294"/>
      <c r="CH443" s="294"/>
      <c r="CI443" s="294"/>
      <c r="CJ443" s="294"/>
      <c r="CK443" s="294"/>
      <c r="CL443" s="294"/>
      <c r="CM443" s="294"/>
      <c r="CN443" s="294"/>
      <c r="CT443" s="374">
        <v>106</v>
      </c>
      <c r="DJ443" s="380"/>
    </row>
    <row r="444" spans="2:114" ht="13">
      <c r="B444" s="294"/>
      <c r="F444" s="302"/>
      <c r="J444" s="302"/>
      <c r="AI444" s="188"/>
      <c r="AJ444" s="188"/>
      <c r="AK444" s="188"/>
      <c r="AL444" s="188"/>
      <c r="AM444" s="188"/>
      <c r="AN444" s="188"/>
      <c r="AO444" s="299"/>
      <c r="CF444" s="294"/>
      <c r="CG444" s="294"/>
      <c r="CH444" s="294"/>
      <c r="CI444" s="294"/>
      <c r="CJ444" s="294"/>
      <c r="CK444" s="294"/>
      <c r="CL444" s="294"/>
      <c r="CM444" s="294"/>
      <c r="CN444" s="294"/>
      <c r="CT444" s="374">
        <v>107</v>
      </c>
      <c r="DJ444" s="380"/>
    </row>
    <row r="445" spans="2:114" ht="13">
      <c r="B445" s="294"/>
      <c r="F445" s="302"/>
      <c r="J445" s="302"/>
      <c r="AI445" s="188"/>
      <c r="AJ445" s="188"/>
      <c r="AK445" s="188"/>
      <c r="AL445" s="188"/>
      <c r="AM445" s="188"/>
      <c r="AN445" s="188"/>
      <c r="AO445" s="299"/>
      <c r="CF445" s="294"/>
      <c r="CG445" s="294"/>
      <c r="CH445" s="294"/>
      <c r="CI445" s="294"/>
      <c r="CJ445" s="294"/>
      <c r="CK445" s="294"/>
      <c r="CL445" s="294"/>
      <c r="CM445" s="294"/>
      <c r="CN445" s="294"/>
      <c r="CT445" s="374">
        <v>108</v>
      </c>
      <c r="DJ445" s="380"/>
    </row>
    <row r="446" spans="2:114" ht="13">
      <c r="B446" s="294"/>
      <c r="F446" s="302"/>
      <c r="J446" s="302"/>
      <c r="AI446" s="188"/>
      <c r="AJ446" s="188"/>
      <c r="AK446" s="188"/>
      <c r="AL446" s="188"/>
      <c r="AM446" s="188"/>
      <c r="AN446" s="188"/>
      <c r="AO446" s="299"/>
      <c r="CF446" s="294"/>
      <c r="CG446" s="294"/>
      <c r="CH446" s="294"/>
      <c r="CI446" s="294"/>
      <c r="CJ446" s="294"/>
      <c r="CK446" s="294"/>
      <c r="CL446" s="294"/>
      <c r="CM446" s="294"/>
      <c r="CN446" s="294"/>
      <c r="CT446" s="374">
        <v>109</v>
      </c>
      <c r="DJ446" s="380"/>
    </row>
    <row r="447" spans="2:114" ht="13">
      <c r="B447" s="294"/>
      <c r="F447" s="302"/>
      <c r="J447" s="302"/>
      <c r="AI447" s="188"/>
      <c r="AJ447" s="188"/>
      <c r="AK447" s="188"/>
      <c r="AL447" s="188"/>
      <c r="AM447" s="188"/>
      <c r="AN447" s="188"/>
      <c r="AO447" s="299"/>
      <c r="CF447" s="294"/>
      <c r="CG447" s="294"/>
      <c r="CH447" s="294"/>
      <c r="CI447" s="294"/>
      <c r="CJ447" s="294"/>
      <c r="CK447" s="294"/>
      <c r="CL447" s="294"/>
      <c r="CM447" s="294"/>
      <c r="CN447" s="294"/>
      <c r="CT447" s="374">
        <v>110</v>
      </c>
      <c r="DJ447" s="380"/>
    </row>
    <row r="448" spans="2:114" ht="13">
      <c r="B448" s="294"/>
      <c r="F448" s="302"/>
      <c r="J448" s="302"/>
      <c r="AI448" s="188"/>
      <c r="AJ448" s="188"/>
      <c r="AK448" s="188"/>
      <c r="AL448" s="188"/>
      <c r="AM448" s="188"/>
      <c r="AN448" s="188"/>
      <c r="AO448" s="299"/>
      <c r="CF448" s="294"/>
      <c r="CG448" s="294"/>
      <c r="CH448" s="294"/>
      <c r="CI448" s="294"/>
      <c r="CJ448" s="294"/>
      <c r="CK448" s="294"/>
      <c r="CL448" s="294"/>
      <c r="CM448" s="294"/>
      <c r="CN448" s="294"/>
      <c r="CT448" s="374">
        <v>111</v>
      </c>
      <c r="DJ448" s="380"/>
    </row>
    <row r="449" spans="2:114" ht="13">
      <c r="B449" s="294"/>
      <c r="F449" s="302"/>
      <c r="J449" s="302"/>
      <c r="AI449" s="188"/>
      <c r="AJ449" s="188"/>
      <c r="AK449" s="188"/>
      <c r="AL449" s="188"/>
      <c r="AM449" s="188"/>
      <c r="AN449" s="188"/>
      <c r="AO449" s="299"/>
      <c r="CF449" s="294"/>
      <c r="CG449" s="294"/>
      <c r="CH449" s="294"/>
      <c r="CI449" s="294"/>
      <c r="CJ449" s="294"/>
      <c r="CK449" s="294"/>
      <c r="CL449" s="294"/>
      <c r="CM449" s="294"/>
      <c r="CN449" s="294"/>
      <c r="CT449" s="374">
        <v>112</v>
      </c>
      <c r="DJ449" s="380"/>
    </row>
    <row r="450" spans="2:114" ht="13">
      <c r="B450" s="294"/>
      <c r="F450" s="302"/>
      <c r="J450" s="302"/>
      <c r="AI450" s="188"/>
      <c r="AJ450" s="188"/>
      <c r="AK450" s="188"/>
      <c r="AL450" s="188"/>
      <c r="AM450" s="188"/>
      <c r="AN450" s="188"/>
      <c r="AO450" s="299"/>
      <c r="CF450" s="294"/>
      <c r="CG450" s="294"/>
      <c r="CH450" s="294"/>
      <c r="CI450" s="294"/>
      <c r="CJ450" s="294"/>
      <c r="CK450" s="294"/>
      <c r="CL450" s="294"/>
      <c r="CM450" s="294"/>
      <c r="CN450" s="294"/>
      <c r="CT450" s="374">
        <v>113</v>
      </c>
      <c r="DJ450" s="380"/>
    </row>
    <row r="451" spans="2:114" ht="13">
      <c r="B451" s="294"/>
      <c r="F451" s="302"/>
      <c r="J451" s="302"/>
      <c r="AI451" s="188"/>
      <c r="AJ451" s="188"/>
      <c r="AK451" s="188"/>
      <c r="AL451" s="188"/>
      <c r="AM451" s="188"/>
      <c r="AN451" s="188"/>
      <c r="AO451" s="299"/>
      <c r="CF451" s="294"/>
      <c r="CG451" s="294"/>
      <c r="CH451" s="294"/>
      <c r="CI451" s="294"/>
      <c r="CJ451" s="294"/>
      <c r="CK451" s="294"/>
      <c r="CL451" s="294"/>
      <c r="CM451" s="294"/>
      <c r="CN451" s="294"/>
      <c r="CT451" s="374">
        <v>114</v>
      </c>
      <c r="DJ451" s="380"/>
    </row>
    <row r="452" spans="2:114" ht="13">
      <c r="B452" s="294"/>
      <c r="F452" s="302"/>
      <c r="J452" s="302"/>
      <c r="AI452" s="188"/>
      <c r="AJ452" s="188"/>
      <c r="AK452" s="188"/>
      <c r="AL452" s="188"/>
      <c r="AM452" s="188"/>
      <c r="AN452" s="188"/>
      <c r="AO452" s="299"/>
      <c r="CF452" s="294"/>
      <c r="CG452" s="294"/>
      <c r="CH452" s="294"/>
      <c r="CI452" s="294"/>
      <c r="CJ452" s="294"/>
      <c r="CK452" s="294"/>
      <c r="CL452" s="294"/>
      <c r="CM452" s="294"/>
      <c r="CN452" s="294"/>
      <c r="CT452" s="374">
        <v>115</v>
      </c>
      <c r="DJ452" s="380"/>
    </row>
    <row r="453" spans="2:114" ht="13">
      <c r="B453" s="294"/>
      <c r="F453" s="302"/>
      <c r="J453" s="302"/>
      <c r="AI453" s="188"/>
      <c r="AJ453" s="188"/>
      <c r="AK453" s="188"/>
      <c r="AL453" s="188"/>
      <c r="AM453" s="188"/>
      <c r="AN453" s="188"/>
      <c r="AO453" s="299"/>
      <c r="CF453" s="294"/>
      <c r="CG453" s="294"/>
      <c r="CH453" s="294"/>
      <c r="CI453" s="294"/>
      <c r="CJ453" s="294"/>
      <c r="CK453" s="294"/>
      <c r="CL453" s="294"/>
      <c r="CM453" s="294"/>
      <c r="CN453" s="294"/>
      <c r="CT453" s="374">
        <v>116</v>
      </c>
      <c r="DJ453" s="380"/>
    </row>
    <row r="454" spans="2:114" ht="13">
      <c r="B454" s="294"/>
      <c r="F454" s="302"/>
      <c r="J454" s="302"/>
      <c r="AI454" s="188"/>
      <c r="AJ454" s="188"/>
      <c r="AK454" s="188"/>
      <c r="AL454" s="188"/>
      <c r="AM454" s="188"/>
      <c r="AN454" s="188"/>
      <c r="AO454" s="299"/>
      <c r="CF454" s="294"/>
      <c r="CG454" s="294"/>
      <c r="CH454" s="294"/>
      <c r="CI454" s="294"/>
      <c r="CJ454" s="294"/>
      <c r="CK454" s="294"/>
      <c r="CL454" s="294"/>
      <c r="CM454" s="294"/>
      <c r="CN454" s="294"/>
      <c r="CT454" s="374">
        <v>117</v>
      </c>
      <c r="DJ454" s="380"/>
    </row>
    <row r="455" spans="2:114" ht="13">
      <c r="B455" s="294"/>
      <c r="F455" s="302"/>
      <c r="J455" s="302"/>
      <c r="AI455" s="188"/>
      <c r="AJ455" s="188"/>
      <c r="AK455" s="188"/>
      <c r="AL455" s="188"/>
      <c r="AM455" s="188"/>
      <c r="AN455" s="188"/>
      <c r="AO455" s="299"/>
      <c r="CF455" s="294"/>
      <c r="CG455" s="294"/>
      <c r="CH455" s="294"/>
      <c r="CI455" s="294"/>
      <c r="CJ455" s="294"/>
      <c r="CK455" s="294"/>
      <c r="CL455" s="294"/>
      <c r="CM455" s="294"/>
      <c r="CN455" s="294"/>
      <c r="CT455" s="374">
        <v>118</v>
      </c>
      <c r="DJ455" s="380"/>
    </row>
    <row r="456" spans="2:114" ht="13">
      <c r="B456" s="294"/>
      <c r="F456" s="302"/>
      <c r="J456" s="302"/>
      <c r="AI456" s="188"/>
      <c r="AJ456" s="188"/>
      <c r="AK456" s="188"/>
      <c r="AL456" s="188"/>
      <c r="AM456" s="188"/>
      <c r="AN456" s="188"/>
      <c r="AO456" s="299"/>
      <c r="CF456" s="294"/>
      <c r="CG456" s="294"/>
      <c r="CH456" s="294"/>
      <c r="CI456" s="294"/>
      <c r="CJ456" s="294"/>
      <c r="CK456" s="294"/>
      <c r="CL456" s="294"/>
      <c r="CM456" s="294"/>
      <c r="CN456" s="294"/>
      <c r="CT456" s="374">
        <v>119</v>
      </c>
      <c r="DJ456" s="380"/>
    </row>
    <row r="457" spans="2:114" ht="13">
      <c r="B457" s="294"/>
      <c r="F457" s="302"/>
      <c r="J457" s="302"/>
      <c r="AI457" s="188"/>
      <c r="AJ457" s="188"/>
      <c r="AK457" s="188"/>
      <c r="AL457" s="188"/>
      <c r="AM457" s="188"/>
      <c r="AN457" s="188"/>
      <c r="AO457" s="299"/>
      <c r="CF457" s="294"/>
      <c r="CG457" s="294"/>
      <c r="CH457" s="294"/>
      <c r="CI457" s="294"/>
      <c r="CJ457" s="294"/>
      <c r="CK457" s="294"/>
      <c r="CL457" s="294"/>
      <c r="CM457" s="294"/>
      <c r="CN457" s="294"/>
      <c r="CT457" s="374">
        <v>120</v>
      </c>
      <c r="DJ457" s="380"/>
    </row>
    <row r="458" spans="2:114" ht="13">
      <c r="B458" s="294"/>
      <c r="F458" s="302"/>
      <c r="J458" s="302"/>
      <c r="AI458" s="188"/>
      <c r="AJ458" s="188"/>
      <c r="AK458" s="188"/>
      <c r="AL458" s="188"/>
      <c r="AM458" s="188"/>
      <c r="AN458" s="188"/>
      <c r="AO458" s="299"/>
      <c r="CF458" s="294"/>
      <c r="CG458" s="294"/>
      <c r="CH458" s="294"/>
      <c r="CI458" s="294"/>
      <c r="CJ458" s="294"/>
      <c r="CK458" s="294"/>
      <c r="CL458" s="294"/>
      <c r="CM458" s="294"/>
      <c r="CN458" s="294"/>
      <c r="CT458" s="374">
        <v>121</v>
      </c>
      <c r="DJ458" s="380"/>
    </row>
    <row r="459" spans="2:114" ht="13">
      <c r="B459" s="294"/>
      <c r="F459" s="302"/>
      <c r="J459" s="302"/>
      <c r="AI459" s="188"/>
      <c r="AJ459" s="188"/>
      <c r="AK459" s="188"/>
      <c r="AL459" s="188"/>
      <c r="AM459" s="188"/>
      <c r="AN459" s="188"/>
      <c r="AO459" s="299"/>
      <c r="CF459" s="294"/>
      <c r="CG459" s="294"/>
      <c r="CH459" s="294"/>
      <c r="CI459" s="294"/>
      <c r="CJ459" s="294"/>
      <c r="CK459" s="294"/>
      <c r="CL459" s="294"/>
      <c r="CM459" s="294"/>
      <c r="CN459" s="294"/>
      <c r="CT459" s="374">
        <v>122</v>
      </c>
      <c r="DJ459" s="380"/>
    </row>
    <row r="460" spans="2:114" ht="13">
      <c r="B460" s="294"/>
      <c r="F460" s="302"/>
      <c r="J460" s="302"/>
      <c r="AI460" s="188"/>
      <c r="AJ460" s="188"/>
      <c r="AK460" s="188"/>
      <c r="AL460" s="188"/>
      <c r="AM460" s="188"/>
      <c r="AN460" s="188"/>
      <c r="AO460" s="299"/>
      <c r="CF460" s="294"/>
      <c r="CG460" s="294"/>
      <c r="CH460" s="294"/>
      <c r="CI460" s="294"/>
      <c r="CJ460" s="294"/>
      <c r="CK460" s="294"/>
      <c r="CL460" s="294"/>
      <c r="CM460" s="294"/>
      <c r="CN460" s="294"/>
      <c r="CT460" s="374">
        <v>123</v>
      </c>
      <c r="DJ460" s="380"/>
    </row>
    <row r="461" spans="2:114" ht="13">
      <c r="B461" s="294"/>
      <c r="F461" s="302"/>
      <c r="J461" s="302"/>
      <c r="AI461" s="188"/>
      <c r="AJ461" s="188"/>
      <c r="AK461" s="188"/>
      <c r="AL461" s="188"/>
      <c r="AM461" s="188"/>
      <c r="AN461" s="188"/>
      <c r="AO461" s="299"/>
      <c r="CF461" s="294"/>
      <c r="CG461" s="294"/>
      <c r="CH461" s="294"/>
      <c r="CI461" s="294"/>
      <c r="CJ461" s="294"/>
      <c r="CK461" s="294"/>
      <c r="CL461" s="294"/>
      <c r="CM461" s="294"/>
      <c r="CN461" s="294"/>
      <c r="CT461" s="374">
        <v>124</v>
      </c>
      <c r="DJ461" s="380"/>
    </row>
    <row r="462" spans="2:114" ht="13">
      <c r="B462" s="294"/>
      <c r="F462" s="302"/>
      <c r="J462" s="302"/>
      <c r="AI462" s="188"/>
      <c r="AJ462" s="188"/>
      <c r="AK462" s="188"/>
      <c r="AL462" s="188"/>
      <c r="AM462" s="188"/>
      <c r="AN462" s="188"/>
      <c r="AO462" s="299"/>
      <c r="CF462" s="294"/>
      <c r="CG462" s="294"/>
      <c r="CH462" s="294"/>
      <c r="CI462" s="294"/>
      <c r="CJ462" s="294"/>
      <c r="CK462" s="294"/>
      <c r="CL462" s="294"/>
      <c r="CM462" s="294"/>
      <c r="CN462" s="294"/>
      <c r="CT462" s="374">
        <v>125</v>
      </c>
      <c r="DJ462" s="380"/>
    </row>
    <row r="463" spans="2:114" ht="13">
      <c r="B463" s="294"/>
      <c r="F463" s="302"/>
      <c r="J463" s="302"/>
      <c r="AI463" s="188"/>
      <c r="AJ463" s="188"/>
      <c r="AK463" s="188"/>
      <c r="AL463" s="188"/>
      <c r="AM463" s="188"/>
      <c r="AN463" s="188"/>
      <c r="AO463" s="299"/>
      <c r="CF463" s="294"/>
      <c r="CG463" s="294"/>
      <c r="CH463" s="294"/>
      <c r="CI463" s="294"/>
      <c r="CJ463" s="294"/>
      <c r="CK463" s="294"/>
      <c r="CL463" s="294"/>
      <c r="CM463" s="294"/>
      <c r="CN463" s="294"/>
      <c r="CT463" s="374">
        <v>126</v>
      </c>
      <c r="DJ463" s="380"/>
    </row>
    <row r="464" spans="2:114" ht="13">
      <c r="B464" s="294"/>
      <c r="F464" s="302"/>
      <c r="J464" s="302"/>
      <c r="AI464" s="188"/>
      <c r="AJ464" s="188"/>
      <c r="AK464" s="188"/>
      <c r="AL464" s="188"/>
      <c r="AM464" s="188"/>
      <c r="AN464" s="188"/>
      <c r="AO464" s="299"/>
      <c r="CF464" s="294"/>
      <c r="CG464" s="294"/>
      <c r="CH464" s="294"/>
      <c r="CI464" s="294"/>
      <c r="CJ464" s="294"/>
      <c r="CK464" s="294"/>
      <c r="CL464" s="294"/>
      <c r="CM464" s="294"/>
      <c r="CN464" s="294"/>
      <c r="CT464" s="374">
        <v>127</v>
      </c>
      <c r="DJ464" s="380"/>
    </row>
    <row r="465" spans="2:114" ht="13">
      <c r="B465" s="294"/>
      <c r="F465" s="302"/>
      <c r="J465" s="302"/>
      <c r="AI465" s="188"/>
      <c r="AJ465" s="188"/>
      <c r="AK465" s="188"/>
      <c r="AL465" s="188"/>
      <c r="AM465" s="188"/>
      <c r="AN465" s="188"/>
      <c r="AO465" s="299"/>
      <c r="CF465" s="294"/>
      <c r="CG465" s="294"/>
      <c r="CH465" s="294"/>
      <c r="CI465" s="294"/>
      <c r="CJ465" s="294"/>
      <c r="CK465" s="294"/>
      <c r="CL465" s="294"/>
      <c r="CM465" s="294"/>
      <c r="CN465" s="294"/>
      <c r="CT465" s="374">
        <v>128</v>
      </c>
      <c r="DJ465" s="380"/>
    </row>
    <row r="466" spans="2:114" ht="13">
      <c r="B466" s="294"/>
      <c r="F466" s="302"/>
      <c r="J466" s="302"/>
      <c r="AI466" s="188"/>
      <c r="AJ466" s="188"/>
      <c r="AK466" s="188"/>
      <c r="AL466" s="188"/>
      <c r="AM466" s="188"/>
      <c r="AN466" s="188"/>
      <c r="AO466" s="299"/>
      <c r="CF466" s="294"/>
      <c r="CG466" s="294"/>
      <c r="CH466" s="294"/>
      <c r="CI466" s="294"/>
      <c r="CJ466" s="294"/>
      <c r="CK466" s="294"/>
      <c r="CL466" s="294"/>
      <c r="CM466" s="294"/>
      <c r="CN466" s="294"/>
      <c r="CT466" s="374">
        <v>129</v>
      </c>
      <c r="DJ466" s="380"/>
    </row>
    <row r="467" spans="2:114" ht="13">
      <c r="B467" s="294"/>
      <c r="F467" s="302"/>
      <c r="J467" s="302"/>
      <c r="AI467" s="188"/>
      <c r="AJ467" s="188"/>
      <c r="AK467" s="188"/>
      <c r="AL467" s="188"/>
      <c r="AM467" s="188"/>
      <c r="AN467" s="188"/>
      <c r="AO467" s="299"/>
      <c r="CF467" s="294"/>
      <c r="CG467" s="294"/>
      <c r="CH467" s="294"/>
      <c r="CI467" s="294"/>
      <c r="CJ467" s="294"/>
      <c r="CK467" s="294"/>
      <c r="CL467" s="294"/>
      <c r="CM467" s="294"/>
      <c r="CN467" s="294"/>
      <c r="CT467" s="374">
        <v>130</v>
      </c>
      <c r="DJ467" s="380"/>
    </row>
    <row r="468" spans="2:114" ht="13">
      <c r="B468" s="294"/>
      <c r="F468" s="302"/>
      <c r="J468" s="302"/>
      <c r="AI468" s="188"/>
      <c r="AJ468" s="188"/>
      <c r="AK468" s="188"/>
      <c r="AL468" s="188"/>
      <c r="AM468" s="188"/>
      <c r="AN468" s="188"/>
      <c r="AO468" s="299"/>
      <c r="CF468" s="294"/>
      <c r="CG468" s="294"/>
      <c r="CH468" s="294"/>
      <c r="CI468" s="294"/>
      <c r="CJ468" s="294"/>
      <c r="CK468" s="294"/>
      <c r="CL468" s="294"/>
      <c r="CM468" s="294"/>
      <c r="CN468" s="294"/>
      <c r="CT468" s="374">
        <v>131</v>
      </c>
      <c r="DJ468" s="380"/>
    </row>
    <row r="469" spans="2:114" ht="13">
      <c r="B469" s="294"/>
      <c r="F469" s="302"/>
      <c r="J469" s="302"/>
      <c r="AI469" s="188"/>
      <c r="AJ469" s="188"/>
      <c r="AK469" s="188"/>
      <c r="AL469" s="188"/>
      <c r="AM469" s="188"/>
      <c r="AN469" s="188"/>
      <c r="AO469" s="299"/>
      <c r="CF469" s="294"/>
      <c r="CG469" s="294"/>
      <c r="CH469" s="294"/>
      <c r="CI469" s="294"/>
      <c r="CJ469" s="294"/>
      <c r="CK469" s="294"/>
      <c r="CL469" s="294"/>
      <c r="CM469" s="294"/>
      <c r="CN469" s="294"/>
      <c r="CT469" s="374">
        <v>132</v>
      </c>
      <c r="DJ469" s="380"/>
    </row>
    <row r="470" spans="2:114" ht="13">
      <c r="B470" s="294"/>
      <c r="F470" s="302"/>
      <c r="J470" s="302"/>
      <c r="AI470" s="188"/>
      <c r="AJ470" s="188"/>
      <c r="AK470" s="188"/>
      <c r="AL470" s="188"/>
      <c r="AM470" s="188"/>
      <c r="AN470" s="188"/>
      <c r="AO470" s="299"/>
      <c r="CF470" s="294"/>
      <c r="CG470" s="294"/>
      <c r="CH470" s="294"/>
      <c r="CI470" s="294"/>
      <c r="CJ470" s="294"/>
      <c r="CK470" s="294"/>
      <c r="CL470" s="294"/>
      <c r="CM470" s="294"/>
      <c r="CN470" s="294"/>
      <c r="CT470" s="374">
        <v>133</v>
      </c>
      <c r="DJ470" s="380"/>
    </row>
    <row r="471" spans="2:114" ht="13">
      <c r="B471" s="294"/>
      <c r="F471" s="302"/>
      <c r="J471" s="302"/>
      <c r="AI471" s="188"/>
      <c r="AJ471" s="188"/>
      <c r="AK471" s="188"/>
      <c r="AL471" s="188"/>
      <c r="AM471" s="188"/>
      <c r="AN471" s="188"/>
      <c r="AO471" s="299"/>
      <c r="CF471" s="294"/>
      <c r="CG471" s="294"/>
      <c r="CH471" s="294"/>
      <c r="CI471" s="294"/>
      <c r="CJ471" s="294"/>
      <c r="CK471" s="294"/>
      <c r="CL471" s="294"/>
      <c r="CM471" s="294"/>
      <c r="CN471" s="294"/>
      <c r="CT471" s="374">
        <v>134</v>
      </c>
      <c r="DJ471" s="380"/>
    </row>
    <row r="472" spans="2:114" ht="13">
      <c r="B472" s="294"/>
      <c r="F472" s="302"/>
      <c r="J472" s="302"/>
      <c r="AI472" s="188"/>
      <c r="AJ472" s="188"/>
      <c r="AK472" s="188"/>
      <c r="AL472" s="188"/>
      <c r="AM472" s="188"/>
      <c r="AN472" s="188"/>
      <c r="AO472" s="299"/>
      <c r="CF472" s="294"/>
      <c r="CG472" s="294"/>
      <c r="CH472" s="294"/>
      <c r="CI472" s="294"/>
      <c r="CJ472" s="294"/>
      <c r="CK472" s="294"/>
      <c r="CL472" s="294"/>
      <c r="CM472" s="294"/>
      <c r="CN472" s="294"/>
      <c r="CT472" s="374">
        <v>135</v>
      </c>
      <c r="DJ472" s="380"/>
    </row>
    <row r="473" spans="2:114" ht="13">
      <c r="B473" s="294"/>
      <c r="F473" s="302"/>
      <c r="J473" s="302"/>
      <c r="AI473" s="188"/>
      <c r="AJ473" s="188"/>
      <c r="AK473" s="188"/>
      <c r="AL473" s="188"/>
      <c r="AM473" s="188"/>
      <c r="AN473" s="188"/>
      <c r="AO473" s="299"/>
      <c r="CF473" s="294"/>
      <c r="CG473" s="294"/>
      <c r="CH473" s="294"/>
      <c r="CI473" s="294"/>
      <c r="CJ473" s="294"/>
      <c r="CK473" s="294"/>
      <c r="CL473" s="294"/>
      <c r="CM473" s="294"/>
      <c r="CN473" s="294"/>
      <c r="CT473" s="374">
        <v>136</v>
      </c>
      <c r="DJ473" s="380"/>
    </row>
    <row r="474" spans="2:114" ht="13">
      <c r="B474" s="294"/>
      <c r="F474" s="302"/>
      <c r="J474" s="302"/>
      <c r="AI474" s="188"/>
      <c r="AJ474" s="188"/>
      <c r="AK474" s="188"/>
      <c r="AL474" s="188"/>
      <c r="AM474" s="188"/>
      <c r="AN474" s="188"/>
      <c r="AO474" s="299"/>
      <c r="CF474" s="294"/>
      <c r="CG474" s="294"/>
      <c r="CH474" s="294"/>
      <c r="CI474" s="294"/>
      <c r="CJ474" s="294"/>
      <c r="CK474" s="294"/>
      <c r="CL474" s="294"/>
      <c r="CM474" s="294"/>
      <c r="CN474" s="294"/>
      <c r="CT474" s="374">
        <v>137</v>
      </c>
      <c r="DJ474" s="380"/>
    </row>
    <row r="475" spans="2:114" ht="13">
      <c r="B475" s="294"/>
      <c r="F475" s="302"/>
      <c r="J475" s="302"/>
      <c r="AI475" s="188"/>
      <c r="AJ475" s="188"/>
      <c r="AK475" s="188"/>
      <c r="AL475" s="188"/>
      <c r="AM475" s="188"/>
      <c r="AN475" s="188"/>
      <c r="AO475" s="299"/>
      <c r="CF475" s="294"/>
      <c r="CG475" s="294"/>
      <c r="CH475" s="294"/>
      <c r="CI475" s="294"/>
      <c r="CJ475" s="294"/>
      <c r="CK475" s="294"/>
      <c r="CL475" s="294"/>
      <c r="CM475" s="294"/>
      <c r="CN475" s="294"/>
      <c r="CT475" s="374">
        <v>138</v>
      </c>
      <c r="DJ475" s="380"/>
    </row>
    <row r="476" spans="2:114" ht="13">
      <c r="B476" s="294"/>
      <c r="F476" s="302"/>
      <c r="J476" s="302"/>
      <c r="AI476" s="188"/>
      <c r="AJ476" s="188"/>
      <c r="AK476" s="188"/>
      <c r="AL476" s="188"/>
      <c r="AM476" s="188"/>
      <c r="AN476" s="188"/>
      <c r="AO476" s="299"/>
      <c r="CF476" s="294"/>
      <c r="CG476" s="294"/>
      <c r="CH476" s="294"/>
      <c r="CI476" s="294"/>
      <c r="CJ476" s="294"/>
      <c r="CK476" s="294"/>
      <c r="CL476" s="294"/>
      <c r="CM476" s="294"/>
      <c r="CN476" s="294"/>
      <c r="CT476" s="374">
        <v>139</v>
      </c>
      <c r="DJ476" s="380"/>
    </row>
    <row r="477" spans="2:114" ht="13">
      <c r="B477" s="294"/>
      <c r="F477" s="302"/>
      <c r="J477" s="302"/>
      <c r="AI477" s="188"/>
      <c r="AJ477" s="188"/>
      <c r="AK477" s="188"/>
      <c r="AL477" s="188"/>
      <c r="AM477" s="188"/>
      <c r="AN477" s="188"/>
      <c r="AO477" s="299"/>
      <c r="CF477" s="294"/>
      <c r="CG477" s="294"/>
      <c r="CH477" s="294"/>
      <c r="CI477" s="294"/>
      <c r="CJ477" s="294"/>
      <c r="CK477" s="294"/>
      <c r="CL477" s="294"/>
      <c r="CM477" s="294"/>
      <c r="CN477" s="294"/>
      <c r="CT477" s="381">
        <v>140</v>
      </c>
      <c r="CU477" s="382"/>
      <c r="CV477" s="382"/>
      <c r="CW477" s="382"/>
      <c r="CX477" s="382"/>
      <c r="CY477" s="382"/>
      <c r="CZ477" s="382"/>
      <c r="DA477" s="382"/>
      <c r="DB477" s="382"/>
      <c r="DC477" s="382"/>
      <c r="DD477" s="382"/>
      <c r="DE477" s="382"/>
      <c r="DF477" s="382"/>
      <c r="DG477" s="382"/>
      <c r="DH477" s="382"/>
      <c r="DI477" s="382"/>
      <c r="DJ477" s="383"/>
    </row>
    <row r="478" spans="2:114" ht="13">
      <c r="B478" s="294"/>
      <c r="F478" s="302"/>
      <c r="J478" s="302"/>
      <c r="AI478" s="188"/>
      <c r="AJ478" s="188"/>
      <c r="AK478" s="188"/>
      <c r="AL478" s="188"/>
      <c r="AM478" s="188"/>
      <c r="AN478" s="188"/>
      <c r="AO478" s="299"/>
      <c r="CF478" s="294"/>
      <c r="CG478" s="294"/>
      <c r="CH478" s="294"/>
      <c r="CI478" s="294"/>
      <c r="CJ478" s="294"/>
      <c r="CK478" s="294"/>
      <c r="CL478" s="294"/>
      <c r="CM478" s="294"/>
      <c r="CN478" s="294"/>
    </row>
    <row r="479" spans="2:114" ht="13">
      <c r="B479" s="294"/>
      <c r="F479" s="302"/>
      <c r="J479" s="302"/>
      <c r="AI479" s="188"/>
      <c r="AJ479" s="188"/>
      <c r="AK479" s="188"/>
      <c r="AL479" s="188"/>
      <c r="AM479" s="188"/>
      <c r="AN479" s="188"/>
      <c r="AO479" s="299"/>
      <c r="CF479" s="294"/>
      <c r="CG479" s="294"/>
      <c r="CH479" s="294"/>
      <c r="CI479" s="294"/>
      <c r="CJ479" s="294"/>
      <c r="CK479" s="294"/>
      <c r="CL479" s="294"/>
      <c r="CM479" s="294"/>
      <c r="CN479" s="294"/>
    </row>
    <row r="480" spans="2:114" ht="13">
      <c r="B480" s="294"/>
      <c r="F480" s="302"/>
      <c r="J480" s="302"/>
      <c r="AI480" s="188"/>
      <c r="AJ480" s="188"/>
      <c r="AK480" s="188"/>
      <c r="AL480" s="188"/>
      <c r="AM480" s="188"/>
      <c r="AN480" s="188"/>
      <c r="AO480" s="299"/>
      <c r="CF480" s="294"/>
      <c r="CG480" s="294"/>
      <c r="CH480" s="294"/>
      <c r="CI480" s="294"/>
      <c r="CJ480" s="294"/>
      <c r="CK480" s="294"/>
      <c r="CL480" s="294"/>
      <c r="CM480" s="294"/>
      <c r="CN480" s="294"/>
    </row>
    <row r="481" spans="2:92" ht="13">
      <c r="B481" s="294"/>
      <c r="F481" s="302"/>
      <c r="J481" s="302"/>
      <c r="AI481" s="188"/>
      <c r="AJ481" s="188"/>
      <c r="AK481" s="188"/>
      <c r="AL481" s="188"/>
      <c r="AM481" s="188"/>
      <c r="AN481" s="188"/>
      <c r="AO481" s="299"/>
      <c r="CF481" s="294"/>
      <c r="CG481" s="294"/>
      <c r="CH481" s="294"/>
      <c r="CI481" s="294"/>
      <c r="CJ481" s="294"/>
      <c r="CK481" s="294"/>
      <c r="CL481" s="294"/>
      <c r="CM481" s="294"/>
      <c r="CN481" s="294"/>
    </row>
    <row r="482" spans="2:92" ht="13">
      <c r="B482" s="294"/>
      <c r="F482" s="302"/>
      <c r="J482" s="302"/>
      <c r="AI482" s="188"/>
      <c r="AJ482" s="188"/>
      <c r="AK482" s="188"/>
      <c r="AL482" s="188"/>
      <c r="AM482" s="188"/>
      <c r="AN482" s="188"/>
      <c r="AO482" s="299"/>
      <c r="CF482" s="294"/>
      <c r="CG482" s="294"/>
      <c r="CH482" s="294"/>
      <c r="CI482" s="294"/>
      <c r="CJ482" s="294"/>
      <c r="CK482" s="294"/>
      <c r="CL482" s="294"/>
      <c r="CM482" s="294"/>
      <c r="CN482" s="294"/>
    </row>
    <row r="483" spans="2:92" ht="13">
      <c r="B483" s="294"/>
      <c r="F483" s="302"/>
      <c r="J483" s="302"/>
      <c r="AI483" s="188"/>
      <c r="AJ483" s="188"/>
      <c r="AK483" s="188"/>
      <c r="AL483" s="188"/>
      <c r="AM483" s="188"/>
      <c r="AN483" s="188"/>
      <c r="AO483" s="299"/>
      <c r="CF483" s="294"/>
      <c r="CG483" s="294"/>
      <c r="CH483" s="294"/>
      <c r="CI483" s="294"/>
      <c r="CJ483" s="294"/>
      <c r="CK483" s="294"/>
      <c r="CL483" s="294"/>
      <c r="CM483" s="294"/>
      <c r="CN483" s="294"/>
    </row>
    <row r="484" spans="2:92" ht="13">
      <c r="B484" s="294"/>
      <c r="F484" s="302"/>
      <c r="J484" s="302"/>
      <c r="AI484" s="188"/>
      <c r="AJ484" s="188"/>
      <c r="AK484" s="188"/>
      <c r="AL484" s="188"/>
      <c r="AM484" s="188"/>
      <c r="AN484" s="188"/>
      <c r="AO484" s="299"/>
      <c r="CF484" s="294"/>
      <c r="CG484" s="294"/>
      <c r="CH484" s="294"/>
      <c r="CI484" s="294"/>
      <c r="CJ484" s="294"/>
      <c r="CK484" s="294"/>
      <c r="CL484" s="294"/>
      <c r="CM484" s="294"/>
      <c r="CN484" s="294"/>
    </row>
    <row r="485" spans="2:92" ht="13">
      <c r="B485" s="294"/>
      <c r="F485" s="302"/>
      <c r="J485" s="302"/>
      <c r="AI485" s="188"/>
      <c r="AJ485" s="188"/>
      <c r="AK485" s="188"/>
      <c r="AL485" s="188"/>
      <c r="AM485" s="188"/>
      <c r="AN485" s="188"/>
      <c r="AO485" s="299"/>
      <c r="CF485" s="294"/>
      <c r="CG485" s="294"/>
      <c r="CH485" s="294"/>
      <c r="CI485" s="294"/>
      <c r="CJ485" s="294"/>
      <c r="CK485" s="294"/>
      <c r="CL485" s="294"/>
      <c r="CM485" s="294"/>
      <c r="CN485" s="294"/>
    </row>
    <row r="486" spans="2:92" ht="13">
      <c r="B486" s="294"/>
      <c r="F486" s="302"/>
      <c r="J486" s="302"/>
      <c r="AI486" s="188"/>
      <c r="AJ486" s="188"/>
      <c r="AK486" s="188"/>
      <c r="AL486" s="188"/>
      <c r="AM486" s="188"/>
      <c r="AN486" s="188"/>
      <c r="AO486" s="299"/>
      <c r="CF486" s="294"/>
      <c r="CG486" s="294"/>
      <c r="CH486" s="294"/>
      <c r="CI486" s="294"/>
      <c r="CJ486" s="294"/>
      <c r="CK486" s="294"/>
      <c r="CL486" s="294"/>
      <c r="CM486" s="294"/>
      <c r="CN486" s="294"/>
    </row>
    <row r="487" spans="2:92" ht="13">
      <c r="B487" s="294"/>
      <c r="F487" s="302"/>
      <c r="J487" s="302"/>
      <c r="AI487" s="188"/>
      <c r="AJ487" s="188"/>
      <c r="AK487" s="188"/>
      <c r="AL487" s="188"/>
      <c r="AM487" s="188"/>
      <c r="AN487" s="188"/>
      <c r="AO487" s="299"/>
      <c r="CF487" s="294"/>
      <c r="CG487" s="294"/>
      <c r="CH487" s="294"/>
      <c r="CI487" s="294"/>
      <c r="CJ487" s="294"/>
      <c r="CK487" s="294"/>
      <c r="CL487" s="294"/>
      <c r="CM487" s="294"/>
      <c r="CN487" s="294"/>
    </row>
    <row r="488" spans="2:92" ht="13">
      <c r="B488" s="294"/>
      <c r="F488" s="302"/>
      <c r="J488" s="302"/>
      <c r="AI488" s="188"/>
      <c r="AJ488" s="188"/>
      <c r="AK488" s="188"/>
      <c r="AL488" s="188"/>
      <c r="AM488" s="188"/>
      <c r="AN488" s="188"/>
      <c r="AO488" s="299"/>
      <c r="CF488" s="294"/>
      <c r="CG488" s="294"/>
      <c r="CH488" s="294"/>
      <c r="CI488" s="294"/>
      <c r="CJ488" s="294"/>
      <c r="CK488" s="294"/>
      <c r="CL488" s="294"/>
      <c r="CM488" s="294"/>
      <c r="CN488" s="294"/>
    </row>
    <row r="489" spans="2:92" ht="13">
      <c r="B489" s="294"/>
      <c r="F489" s="302"/>
      <c r="J489" s="302"/>
      <c r="AI489" s="188"/>
      <c r="AJ489" s="188"/>
      <c r="AK489" s="188"/>
      <c r="AL489" s="188"/>
      <c r="AM489" s="188"/>
      <c r="AN489" s="188"/>
      <c r="AO489" s="299"/>
      <c r="CF489" s="294"/>
      <c r="CG489" s="294"/>
      <c r="CH489" s="294"/>
      <c r="CI489" s="294"/>
      <c r="CJ489" s="294"/>
      <c r="CK489" s="294"/>
      <c r="CL489" s="294"/>
      <c r="CM489" s="294"/>
      <c r="CN489" s="294"/>
    </row>
    <row r="490" spans="2:92" ht="13">
      <c r="B490" s="294"/>
      <c r="F490" s="302"/>
      <c r="J490" s="302"/>
      <c r="AI490" s="188"/>
      <c r="AJ490" s="188"/>
      <c r="AK490" s="188"/>
      <c r="AL490" s="188"/>
      <c r="AM490" s="188"/>
      <c r="AN490" s="188"/>
      <c r="AO490" s="299"/>
      <c r="CF490" s="294"/>
      <c r="CG490" s="294"/>
      <c r="CH490" s="294"/>
      <c r="CI490" s="294"/>
      <c r="CJ490" s="294"/>
      <c r="CK490" s="294"/>
      <c r="CL490" s="294"/>
      <c r="CM490" s="294"/>
      <c r="CN490" s="294"/>
    </row>
    <row r="491" spans="2:92" ht="13">
      <c r="B491" s="294"/>
      <c r="F491" s="302"/>
      <c r="J491" s="302"/>
      <c r="AI491" s="188"/>
      <c r="AJ491" s="188"/>
      <c r="AK491" s="188"/>
      <c r="AL491" s="188"/>
      <c r="AM491" s="188"/>
      <c r="AN491" s="188"/>
      <c r="AO491" s="299"/>
      <c r="CF491" s="294"/>
      <c r="CG491" s="294"/>
      <c r="CH491" s="294"/>
      <c r="CI491" s="294"/>
      <c r="CJ491" s="294"/>
      <c r="CK491" s="294"/>
      <c r="CL491" s="294"/>
      <c r="CM491" s="294"/>
      <c r="CN491" s="294"/>
    </row>
    <row r="492" spans="2:92" ht="13">
      <c r="B492" s="294"/>
      <c r="F492" s="302"/>
      <c r="J492" s="302"/>
      <c r="AI492" s="188"/>
      <c r="AJ492" s="188"/>
      <c r="AK492" s="188"/>
      <c r="AL492" s="188"/>
      <c r="AM492" s="188"/>
      <c r="AN492" s="188"/>
      <c r="AO492" s="299"/>
      <c r="CF492" s="294"/>
      <c r="CG492" s="294"/>
      <c r="CH492" s="294"/>
      <c r="CI492" s="294"/>
      <c r="CJ492" s="294"/>
      <c r="CK492" s="294"/>
      <c r="CL492" s="294"/>
      <c r="CM492" s="294"/>
      <c r="CN492" s="294"/>
    </row>
    <row r="493" spans="2:92" ht="13">
      <c r="B493" s="294"/>
      <c r="F493" s="302"/>
      <c r="J493" s="302"/>
      <c r="AI493" s="188"/>
      <c r="AJ493" s="188"/>
      <c r="AK493" s="188"/>
      <c r="AL493" s="188"/>
      <c r="AM493" s="188"/>
      <c r="AN493" s="188"/>
      <c r="AO493" s="299"/>
      <c r="CF493" s="294"/>
      <c r="CG493" s="294"/>
      <c r="CH493" s="294"/>
      <c r="CI493" s="294"/>
      <c r="CJ493" s="294"/>
      <c r="CK493" s="294"/>
      <c r="CL493" s="294"/>
      <c r="CM493" s="294"/>
      <c r="CN493" s="294"/>
    </row>
    <row r="494" spans="2:92" ht="13">
      <c r="B494" s="294"/>
      <c r="F494" s="302"/>
      <c r="J494" s="302"/>
      <c r="AI494" s="188"/>
      <c r="AJ494" s="188"/>
      <c r="AK494" s="188"/>
      <c r="AL494" s="188"/>
      <c r="AM494" s="188"/>
      <c r="AN494" s="188"/>
      <c r="AO494" s="299"/>
      <c r="CF494" s="294"/>
      <c r="CG494" s="294"/>
      <c r="CH494" s="294"/>
      <c r="CI494" s="294"/>
      <c r="CJ494" s="294"/>
      <c r="CK494" s="294"/>
      <c r="CL494" s="294"/>
      <c r="CM494" s="294"/>
      <c r="CN494" s="294"/>
    </row>
    <row r="495" spans="2:92" ht="13">
      <c r="B495" s="294"/>
      <c r="F495" s="302"/>
      <c r="J495" s="302"/>
      <c r="AI495" s="188"/>
      <c r="AJ495" s="188"/>
      <c r="AK495" s="188"/>
      <c r="AL495" s="188"/>
      <c r="AM495" s="188"/>
      <c r="AN495" s="188"/>
      <c r="AO495" s="299"/>
      <c r="CF495" s="294"/>
      <c r="CG495" s="294"/>
      <c r="CH495" s="294"/>
      <c r="CI495" s="294"/>
      <c r="CJ495" s="294"/>
      <c r="CK495" s="294"/>
      <c r="CL495" s="294"/>
      <c r="CM495" s="294"/>
      <c r="CN495" s="294"/>
    </row>
    <row r="496" spans="2:92" ht="13">
      <c r="B496" s="294"/>
      <c r="F496" s="302"/>
      <c r="J496" s="302"/>
      <c r="AI496" s="188"/>
      <c r="AJ496" s="188"/>
      <c r="AK496" s="188"/>
      <c r="AL496" s="188"/>
      <c r="AM496" s="188"/>
      <c r="AN496" s="188"/>
      <c r="AO496" s="299"/>
      <c r="CF496" s="294"/>
      <c r="CG496" s="294"/>
      <c r="CH496" s="294"/>
      <c r="CI496" s="294"/>
      <c r="CJ496" s="294"/>
      <c r="CK496" s="294"/>
      <c r="CL496" s="294"/>
      <c r="CM496" s="294"/>
      <c r="CN496" s="294"/>
    </row>
    <row r="497" spans="2:92" ht="13">
      <c r="B497" s="294"/>
      <c r="F497" s="302"/>
      <c r="J497" s="302"/>
      <c r="AI497" s="188"/>
      <c r="AJ497" s="188"/>
      <c r="AK497" s="188"/>
      <c r="AL497" s="188"/>
      <c r="AM497" s="188"/>
      <c r="AN497" s="188"/>
      <c r="AO497" s="299"/>
      <c r="CF497" s="294"/>
      <c r="CG497" s="294"/>
      <c r="CH497" s="294"/>
      <c r="CI497" s="294"/>
      <c r="CJ497" s="294"/>
      <c r="CK497" s="294"/>
      <c r="CL497" s="294"/>
      <c r="CM497" s="294"/>
      <c r="CN497" s="294"/>
    </row>
    <row r="498" spans="2:92" ht="13">
      <c r="B498" s="294"/>
      <c r="F498" s="302"/>
      <c r="J498" s="302"/>
      <c r="AI498" s="188"/>
      <c r="AJ498" s="188"/>
      <c r="AK498" s="188"/>
      <c r="AL498" s="188"/>
      <c r="AM498" s="188"/>
      <c r="AN498" s="188"/>
      <c r="AO498" s="299"/>
      <c r="CF498" s="294"/>
      <c r="CG498" s="294"/>
      <c r="CH498" s="294"/>
      <c r="CI498" s="294"/>
      <c r="CJ498" s="294"/>
      <c r="CK498" s="294"/>
      <c r="CL498" s="294"/>
      <c r="CM498" s="294"/>
      <c r="CN498" s="294"/>
    </row>
    <row r="499" spans="2:92" ht="13">
      <c r="B499" s="294"/>
      <c r="F499" s="302"/>
      <c r="J499" s="302"/>
      <c r="AI499" s="188"/>
      <c r="AJ499" s="188"/>
      <c r="AK499" s="188"/>
      <c r="AL499" s="188"/>
      <c r="AM499" s="188"/>
      <c r="AN499" s="188"/>
      <c r="AO499" s="299"/>
      <c r="CF499" s="294"/>
      <c r="CG499" s="294"/>
      <c r="CH499" s="294"/>
      <c r="CI499" s="294"/>
      <c r="CJ499" s="294"/>
      <c r="CK499" s="294"/>
      <c r="CL499" s="294"/>
      <c r="CM499" s="294"/>
      <c r="CN499" s="294"/>
    </row>
    <row r="500" spans="2:92" ht="13">
      <c r="B500" s="294"/>
      <c r="F500" s="302"/>
      <c r="J500" s="302"/>
      <c r="AI500" s="188"/>
      <c r="AJ500" s="188"/>
      <c r="AK500" s="188"/>
      <c r="AL500" s="188"/>
      <c r="AM500" s="188"/>
      <c r="AN500" s="188"/>
      <c r="AO500" s="299"/>
      <c r="CF500" s="294"/>
      <c r="CG500" s="294"/>
      <c r="CH500" s="294"/>
      <c r="CI500" s="294"/>
      <c r="CJ500" s="294"/>
      <c r="CK500" s="294"/>
      <c r="CL500" s="294"/>
      <c r="CM500" s="294"/>
      <c r="CN500" s="294"/>
    </row>
    <row r="501" spans="2:92" ht="13">
      <c r="B501" s="294"/>
      <c r="F501" s="302"/>
      <c r="J501" s="302"/>
      <c r="AI501" s="188"/>
      <c r="AJ501" s="188"/>
      <c r="AK501" s="188"/>
      <c r="AL501" s="188"/>
      <c r="AM501" s="188"/>
      <c r="AN501" s="188"/>
      <c r="AO501" s="299"/>
      <c r="CF501" s="294"/>
      <c r="CG501" s="294"/>
      <c r="CH501" s="294"/>
      <c r="CI501" s="294"/>
      <c r="CJ501" s="294"/>
      <c r="CK501" s="294"/>
      <c r="CL501" s="294"/>
      <c r="CM501" s="294"/>
      <c r="CN501" s="294"/>
    </row>
    <row r="502" spans="2:92" ht="13">
      <c r="B502" s="294"/>
      <c r="F502" s="302"/>
      <c r="J502" s="302"/>
      <c r="AI502" s="188"/>
      <c r="AJ502" s="188"/>
      <c r="AK502" s="188"/>
      <c r="AL502" s="188"/>
      <c r="AM502" s="188"/>
      <c r="AN502" s="188"/>
      <c r="AO502" s="299"/>
      <c r="CF502" s="294"/>
      <c r="CG502" s="294"/>
      <c r="CH502" s="294"/>
      <c r="CI502" s="294"/>
      <c r="CJ502" s="294"/>
      <c r="CK502" s="294"/>
      <c r="CL502" s="294"/>
      <c r="CM502" s="294"/>
      <c r="CN502" s="294"/>
    </row>
    <row r="503" spans="2:92" ht="13">
      <c r="B503" s="294"/>
      <c r="F503" s="302"/>
      <c r="J503" s="302"/>
      <c r="AI503" s="188"/>
      <c r="AJ503" s="188"/>
      <c r="AK503" s="188"/>
      <c r="AL503" s="188"/>
      <c r="AM503" s="188"/>
      <c r="AN503" s="188"/>
      <c r="AO503" s="299"/>
      <c r="CF503" s="294"/>
      <c r="CG503" s="294"/>
      <c r="CH503" s="294"/>
      <c r="CI503" s="294"/>
      <c r="CJ503" s="294"/>
      <c r="CK503" s="294"/>
      <c r="CL503" s="294"/>
      <c r="CM503" s="294"/>
      <c r="CN503" s="294"/>
    </row>
    <row r="504" spans="2:92" ht="13">
      <c r="B504" s="294"/>
      <c r="F504" s="302"/>
      <c r="J504" s="302"/>
      <c r="AI504" s="188"/>
      <c r="AJ504" s="188"/>
      <c r="AK504" s="188"/>
      <c r="AL504" s="188"/>
      <c r="AM504" s="188"/>
      <c r="AN504" s="188"/>
      <c r="AO504" s="299"/>
      <c r="CF504" s="294"/>
      <c r="CG504" s="294"/>
      <c r="CH504" s="294"/>
      <c r="CI504" s="294"/>
      <c r="CJ504" s="294"/>
      <c r="CK504" s="294"/>
      <c r="CL504" s="294"/>
      <c r="CM504" s="294"/>
      <c r="CN504" s="294"/>
    </row>
    <row r="505" spans="2:92" ht="13">
      <c r="B505" s="294"/>
      <c r="F505" s="302"/>
      <c r="J505" s="302"/>
      <c r="AI505" s="188"/>
      <c r="AJ505" s="188"/>
      <c r="AK505" s="188"/>
      <c r="AL505" s="188"/>
      <c r="AM505" s="188"/>
      <c r="AN505" s="188"/>
      <c r="AO505" s="299"/>
      <c r="CF505" s="294"/>
      <c r="CG505" s="294"/>
      <c r="CH505" s="294"/>
      <c r="CI505" s="294"/>
      <c r="CJ505" s="294"/>
      <c r="CK505" s="294"/>
      <c r="CL505" s="294"/>
      <c r="CM505" s="294"/>
      <c r="CN505" s="294"/>
    </row>
    <row r="506" spans="2:92" ht="13">
      <c r="B506" s="294"/>
      <c r="F506" s="302"/>
      <c r="J506" s="302"/>
      <c r="AI506" s="188"/>
      <c r="AJ506" s="188"/>
      <c r="AK506" s="188"/>
      <c r="AL506" s="188"/>
      <c r="AM506" s="188"/>
      <c r="AN506" s="188"/>
      <c r="AO506" s="299"/>
      <c r="CF506" s="294"/>
      <c r="CG506" s="294"/>
      <c r="CH506" s="294"/>
      <c r="CI506" s="294"/>
      <c r="CJ506" s="294"/>
      <c r="CK506" s="294"/>
      <c r="CL506" s="294"/>
      <c r="CM506" s="294"/>
      <c r="CN506" s="294"/>
    </row>
    <row r="507" spans="2:92" ht="13">
      <c r="B507" s="294"/>
      <c r="F507" s="302"/>
      <c r="J507" s="302"/>
      <c r="AI507" s="188"/>
      <c r="AJ507" s="188"/>
      <c r="AK507" s="188"/>
      <c r="AL507" s="188"/>
      <c r="AM507" s="188"/>
      <c r="AN507" s="188"/>
      <c r="AO507" s="299"/>
      <c r="CF507" s="294"/>
      <c r="CG507" s="294"/>
      <c r="CH507" s="294"/>
      <c r="CI507" s="294"/>
      <c r="CJ507" s="294"/>
      <c r="CK507" s="294"/>
      <c r="CL507" s="294"/>
      <c r="CM507" s="294"/>
      <c r="CN507" s="294"/>
    </row>
    <row r="508" spans="2:92" ht="13">
      <c r="B508" s="294"/>
      <c r="F508" s="302"/>
      <c r="J508" s="302"/>
      <c r="AI508" s="188"/>
      <c r="AJ508" s="188"/>
      <c r="AK508" s="188"/>
      <c r="AL508" s="188"/>
      <c r="AM508" s="188"/>
      <c r="AN508" s="188"/>
      <c r="AO508" s="299"/>
      <c r="CF508" s="294"/>
      <c r="CG508" s="294"/>
      <c r="CH508" s="294"/>
      <c r="CI508" s="294"/>
      <c r="CJ508" s="294"/>
      <c r="CK508" s="294"/>
      <c r="CL508" s="294"/>
      <c r="CM508" s="294"/>
      <c r="CN508" s="294"/>
    </row>
    <row r="509" spans="2:92" ht="13">
      <c r="B509" s="294"/>
      <c r="F509" s="302"/>
      <c r="J509" s="302"/>
      <c r="AI509" s="188"/>
      <c r="AJ509" s="188"/>
      <c r="AK509" s="188"/>
      <c r="AL509" s="188"/>
      <c r="AM509" s="188"/>
      <c r="AN509" s="188"/>
      <c r="AO509" s="299"/>
      <c r="CF509" s="294"/>
      <c r="CG509" s="294"/>
      <c r="CH509" s="294"/>
      <c r="CI509" s="294"/>
      <c r="CJ509" s="294"/>
      <c r="CK509" s="294"/>
      <c r="CL509" s="294"/>
      <c r="CM509" s="294"/>
      <c r="CN509" s="294"/>
    </row>
    <row r="510" spans="2:92" ht="13">
      <c r="B510" s="294"/>
      <c r="F510" s="302"/>
      <c r="J510" s="302"/>
      <c r="AI510" s="188"/>
      <c r="AJ510" s="188"/>
      <c r="AK510" s="188"/>
      <c r="AL510" s="188"/>
      <c r="AM510" s="188"/>
      <c r="AN510" s="188"/>
      <c r="AO510" s="299"/>
      <c r="CF510" s="294"/>
      <c r="CG510" s="294"/>
      <c r="CH510" s="294"/>
      <c r="CI510" s="294"/>
      <c r="CJ510" s="294"/>
      <c r="CK510" s="294"/>
      <c r="CL510" s="294"/>
      <c r="CM510" s="294"/>
      <c r="CN510" s="294"/>
    </row>
    <row r="511" spans="2:92" ht="13">
      <c r="B511" s="294"/>
      <c r="F511" s="302"/>
      <c r="J511" s="302"/>
      <c r="AI511" s="188"/>
      <c r="AJ511" s="188"/>
      <c r="AK511" s="188"/>
      <c r="AL511" s="188"/>
      <c r="AM511" s="188"/>
      <c r="AN511" s="188"/>
      <c r="AO511" s="299"/>
      <c r="CF511" s="294"/>
      <c r="CG511" s="294"/>
      <c r="CH511" s="294"/>
      <c r="CI511" s="294"/>
      <c r="CJ511" s="294"/>
      <c r="CK511" s="294"/>
      <c r="CL511" s="294"/>
      <c r="CM511" s="294"/>
      <c r="CN511" s="294"/>
    </row>
    <row r="512" spans="2:92" ht="13">
      <c r="B512" s="294"/>
      <c r="F512" s="302"/>
      <c r="J512" s="302"/>
      <c r="AI512" s="188"/>
      <c r="AJ512" s="188"/>
      <c r="AK512" s="188"/>
      <c r="AL512" s="188"/>
      <c r="AM512" s="188"/>
      <c r="AN512" s="188"/>
      <c r="AO512" s="299"/>
      <c r="CF512" s="294"/>
      <c r="CG512" s="294"/>
      <c r="CH512" s="294"/>
      <c r="CI512" s="294"/>
      <c r="CJ512" s="294"/>
      <c r="CK512" s="294"/>
      <c r="CL512" s="294"/>
      <c r="CM512" s="294"/>
      <c r="CN512" s="294"/>
    </row>
    <row r="513" spans="2:92" ht="13">
      <c r="B513" s="294"/>
      <c r="F513" s="302"/>
      <c r="J513" s="302"/>
      <c r="AI513" s="188"/>
      <c r="AJ513" s="188"/>
      <c r="AK513" s="188"/>
      <c r="AL513" s="188"/>
      <c r="AM513" s="188"/>
      <c r="AN513" s="188"/>
      <c r="AO513" s="299"/>
      <c r="CF513" s="294"/>
      <c r="CG513" s="294"/>
      <c r="CH513" s="294"/>
      <c r="CI513" s="294"/>
      <c r="CJ513" s="294"/>
      <c r="CK513" s="294"/>
      <c r="CL513" s="294"/>
      <c r="CM513" s="294"/>
      <c r="CN513" s="294"/>
    </row>
    <row r="514" spans="2:92" ht="13">
      <c r="B514" s="294"/>
      <c r="F514" s="302"/>
      <c r="J514" s="302"/>
      <c r="AI514" s="188"/>
      <c r="AJ514" s="188"/>
      <c r="AK514" s="188"/>
      <c r="AL514" s="188"/>
      <c r="AM514" s="188"/>
      <c r="AN514" s="188"/>
      <c r="AO514" s="299"/>
      <c r="CF514" s="294"/>
      <c r="CG514" s="294"/>
      <c r="CH514" s="294"/>
      <c r="CI514" s="294"/>
      <c r="CJ514" s="294"/>
      <c r="CK514" s="294"/>
      <c r="CL514" s="294"/>
      <c r="CM514" s="294"/>
      <c r="CN514" s="294"/>
    </row>
    <row r="515" spans="2:92" ht="13">
      <c r="B515" s="294"/>
      <c r="F515" s="302"/>
      <c r="J515" s="302"/>
      <c r="AI515" s="188"/>
      <c r="AJ515" s="188"/>
      <c r="AK515" s="188"/>
      <c r="AL515" s="188"/>
      <c r="AM515" s="188"/>
      <c r="AN515" s="188"/>
      <c r="AO515" s="299"/>
      <c r="CF515" s="294"/>
      <c r="CG515" s="294"/>
      <c r="CH515" s="294"/>
      <c r="CI515" s="294"/>
      <c r="CJ515" s="294"/>
      <c r="CK515" s="294"/>
      <c r="CL515" s="294"/>
      <c r="CM515" s="294"/>
      <c r="CN515" s="294"/>
    </row>
    <row r="516" spans="2:92" ht="13">
      <c r="B516" s="294"/>
      <c r="F516" s="302"/>
      <c r="J516" s="302"/>
      <c r="AI516" s="188"/>
      <c r="AJ516" s="188"/>
      <c r="AK516" s="188"/>
      <c r="AL516" s="188"/>
      <c r="AM516" s="188"/>
      <c r="AN516" s="188"/>
      <c r="AO516" s="299"/>
      <c r="CF516" s="294"/>
      <c r="CG516" s="294"/>
      <c r="CH516" s="294"/>
      <c r="CI516" s="294"/>
      <c r="CJ516" s="294"/>
      <c r="CK516" s="294"/>
      <c r="CL516" s="294"/>
      <c r="CM516" s="294"/>
      <c r="CN516" s="294"/>
    </row>
    <row r="517" spans="2:92" ht="13">
      <c r="B517" s="294"/>
      <c r="F517" s="302"/>
      <c r="J517" s="302"/>
      <c r="AI517" s="188"/>
      <c r="AJ517" s="188"/>
      <c r="AK517" s="188"/>
      <c r="AL517" s="188"/>
      <c r="AM517" s="188"/>
      <c r="AN517" s="188"/>
      <c r="AO517" s="299"/>
      <c r="CF517" s="294"/>
      <c r="CG517" s="294"/>
      <c r="CH517" s="294"/>
      <c r="CI517" s="294"/>
      <c r="CJ517" s="294"/>
      <c r="CK517" s="294"/>
      <c r="CL517" s="294"/>
      <c r="CM517" s="294"/>
      <c r="CN517" s="294"/>
    </row>
    <row r="518" spans="2:92" ht="13">
      <c r="B518" s="294"/>
      <c r="F518" s="302"/>
      <c r="J518" s="302"/>
      <c r="AI518" s="188"/>
      <c r="AJ518" s="188"/>
      <c r="AK518" s="188"/>
      <c r="AL518" s="188"/>
      <c r="AM518" s="188"/>
      <c r="AN518" s="188"/>
      <c r="AO518" s="299"/>
      <c r="CF518" s="294"/>
      <c r="CG518" s="294"/>
      <c r="CH518" s="294"/>
      <c r="CI518" s="294"/>
      <c r="CJ518" s="294"/>
      <c r="CK518" s="294"/>
      <c r="CL518" s="294"/>
      <c r="CM518" s="294"/>
      <c r="CN518" s="294"/>
    </row>
    <row r="519" spans="2:92" ht="13">
      <c r="B519" s="294"/>
      <c r="F519" s="302"/>
      <c r="J519" s="302"/>
      <c r="AI519" s="188"/>
      <c r="AJ519" s="188"/>
      <c r="AK519" s="188"/>
      <c r="AL519" s="188"/>
      <c r="AM519" s="188"/>
      <c r="AN519" s="188"/>
      <c r="AO519" s="299"/>
      <c r="CF519" s="294"/>
      <c r="CG519" s="294"/>
      <c r="CH519" s="294"/>
      <c r="CI519" s="294"/>
      <c r="CJ519" s="294"/>
      <c r="CK519" s="294"/>
      <c r="CL519" s="294"/>
      <c r="CM519" s="294"/>
      <c r="CN519" s="294"/>
    </row>
    <row r="520" spans="2:92" ht="13">
      <c r="B520" s="294"/>
      <c r="F520" s="302"/>
      <c r="J520" s="302"/>
      <c r="AI520" s="188"/>
      <c r="AJ520" s="188"/>
      <c r="AK520" s="188"/>
      <c r="AL520" s="188"/>
      <c r="AM520" s="188"/>
      <c r="AN520" s="188"/>
      <c r="AO520" s="299"/>
      <c r="CF520" s="294"/>
      <c r="CG520" s="294"/>
      <c r="CH520" s="294"/>
      <c r="CI520" s="294"/>
      <c r="CJ520" s="294"/>
      <c r="CK520" s="294"/>
      <c r="CL520" s="294"/>
      <c r="CM520" s="294"/>
      <c r="CN520" s="294"/>
    </row>
    <row r="521" spans="2:92" ht="13">
      <c r="B521" s="294"/>
      <c r="F521" s="302"/>
      <c r="J521" s="302"/>
      <c r="AI521" s="188"/>
      <c r="AJ521" s="188"/>
      <c r="AK521" s="188"/>
      <c r="AL521" s="188"/>
      <c r="AM521" s="188"/>
      <c r="AN521" s="188"/>
      <c r="AO521" s="299"/>
      <c r="CF521" s="294"/>
      <c r="CG521" s="294"/>
      <c r="CH521" s="294"/>
      <c r="CI521" s="294"/>
      <c r="CJ521" s="294"/>
      <c r="CK521" s="294"/>
      <c r="CL521" s="294"/>
      <c r="CM521" s="294"/>
      <c r="CN521" s="294"/>
    </row>
    <row r="522" spans="2:92" ht="13">
      <c r="B522" s="294"/>
      <c r="F522" s="302"/>
      <c r="J522" s="302"/>
      <c r="AI522" s="188"/>
      <c r="AJ522" s="188"/>
      <c r="AK522" s="188"/>
      <c r="AL522" s="188"/>
      <c r="AM522" s="188"/>
      <c r="AN522" s="188"/>
      <c r="AO522" s="299"/>
      <c r="CF522" s="294"/>
      <c r="CG522" s="294"/>
      <c r="CH522" s="294"/>
      <c r="CI522" s="294"/>
      <c r="CJ522" s="294"/>
      <c r="CK522" s="294"/>
      <c r="CL522" s="294"/>
      <c r="CM522" s="294"/>
      <c r="CN522" s="294"/>
    </row>
    <row r="523" spans="2:92" ht="13">
      <c r="B523" s="294"/>
      <c r="F523" s="302"/>
      <c r="J523" s="302"/>
      <c r="AI523" s="188"/>
      <c r="AJ523" s="188"/>
      <c r="AK523" s="188"/>
      <c r="AL523" s="188"/>
      <c r="AM523" s="188"/>
      <c r="AN523" s="188"/>
      <c r="AO523" s="299"/>
      <c r="CF523" s="294"/>
      <c r="CG523" s="294"/>
      <c r="CH523" s="294"/>
      <c r="CI523" s="294"/>
      <c r="CJ523" s="294"/>
      <c r="CK523" s="294"/>
      <c r="CL523" s="294"/>
      <c r="CM523" s="294"/>
      <c r="CN523" s="294"/>
    </row>
    <row r="524" spans="2:92" ht="13">
      <c r="B524" s="294"/>
      <c r="F524" s="302"/>
      <c r="J524" s="302"/>
      <c r="AI524" s="188"/>
      <c r="AJ524" s="188"/>
      <c r="AK524" s="188"/>
      <c r="AL524" s="188"/>
      <c r="AM524" s="188"/>
      <c r="AN524" s="188"/>
      <c r="AO524" s="299"/>
      <c r="CF524" s="294"/>
      <c r="CG524" s="294"/>
      <c r="CH524" s="294"/>
      <c r="CI524" s="294"/>
      <c r="CJ524" s="294"/>
      <c r="CK524" s="294"/>
      <c r="CL524" s="294"/>
      <c r="CM524" s="294"/>
      <c r="CN524" s="294"/>
    </row>
    <row r="525" spans="2:92" ht="13">
      <c r="B525" s="294"/>
      <c r="F525" s="302"/>
      <c r="J525" s="302"/>
      <c r="AI525" s="188"/>
      <c r="AJ525" s="188"/>
      <c r="AK525" s="188"/>
      <c r="AL525" s="188"/>
      <c r="AM525" s="188"/>
      <c r="AN525" s="188"/>
      <c r="AO525" s="299"/>
      <c r="CF525" s="294"/>
      <c r="CG525" s="294"/>
      <c r="CH525" s="294"/>
      <c r="CI525" s="294"/>
      <c r="CJ525" s="294"/>
      <c r="CK525" s="294"/>
      <c r="CL525" s="294"/>
      <c r="CM525" s="294"/>
      <c r="CN525" s="294"/>
    </row>
    <row r="526" spans="2:92" ht="13">
      <c r="B526" s="294"/>
      <c r="F526" s="302"/>
      <c r="J526" s="302"/>
      <c r="AI526" s="188"/>
      <c r="AJ526" s="188"/>
      <c r="AK526" s="188"/>
      <c r="AL526" s="188"/>
      <c r="AM526" s="188"/>
      <c r="AN526" s="188"/>
      <c r="AO526" s="299"/>
      <c r="CF526" s="294"/>
      <c r="CG526" s="294"/>
      <c r="CH526" s="294"/>
      <c r="CI526" s="294"/>
      <c r="CJ526" s="294"/>
      <c r="CK526" s="294"/>
      <c r="CL526" s="294"/>
      <c r="CM526" s="294"/>
      <c r="CN526" s="294"/>
    </row>
    <row r="527" spans="2:92" ht="13">
      <c r="B527" s="294"/>
      <c r="F527" s="302"/>
      <c r="J527" s="302"/>
      <c r="AI527" s="188"/>
      <c r="AJ527" s="188"/>
      <c r="AK527" s="188"/>
      <c r="AL527" s="188"/>
      <c r="AM527" s="188"/>
      <c r="AN527" s="188"/>
      <c r="AO527" s="299"/>
      <c r="CF527" s="294"/>
      <c r="CG527" s="294"/>
      <c r="CH527" s="294"/>
      <c r="CI527" s="294"/>
      <c r="CJ527" s="294"/>
      <c r="CK527" s="294"/>
      <c r="CL527" s="294"/>
      <c r="CM527" s="294"/>
      <c r="CN527" s="294"/>
    </row>
    <row r="528" spans="2:92" ht="13">
      <c r="B528" s="294"/>
      <c r="F528" s="302"/>
      <c r="J528" s="302"/>
      <c r="AI528" s="188"/>
      <c r="AJ528" s="188"/>
      <c r="AK528" s="188"/>
      <c r="AL528" s="188"/>
      <c r="AM528" s="188"/>
      <c r="AN528" s="188"/>
      <c r="AO528" s="299"/>
      <c r="CF528" s="294"/>
      <c r="CG528" s="294"/>
      <c r="CH528" s="294"/>
      <c r="CI528" s="294"/>
      <c r="CJ528" s="294"/>
      <c r="CK528" s="294"/>
      <c r="CL528" s="294"/>
      <c r="CM528" s="294"/>
      <c r="CN528" s="294"/>
    </row>
    <row r="529" spans="2:92" ht="13">
      <c r="B529" s="294"/>
      <c r="F529" s="302"/>
      <c r="J529" s="302"/>
      <c r="AI529" s="188"/>
      <c r="AJ529" s="188"/>
      <c r="AK529" s="188"/>
      <c r="AL529" s="188"/>
      <c r="AM529" s="188"/>
      <c r="AN529" s="188"/>
      <c r="AO529" s="299"/>
      <c r="CF529" s="294"/>
      <c r="CG529" s="294"/>
      <c r="CH529" s="294"/>
      <c r="CI529" s="294"/>
      <c r="CJ529" s="294"/>
      <c r="CK529" s="294"/>
      <c r="CL529" s="294"/>
      <c r="CM529" s="294"/>
      <c r="CN529" s="294"/>
    </row>
    <row r="530" spans="2:92" ht="13">
      <c r="B530" s="294"/>
      <c r="F530" s="302"/>
      <c r="J530" s="302"/>
      <c r="AI530" s="188"/>
      <c r="AJ530" s="188"/>
      <c r="AK530" s="188"/>
      <c r="AL530" s="188"/>
      <c r="AM530" s="188"/>
      <c r="AN530" s="188"/>
      <c r="AO530" s="299"/>
      <c r="CF530" s="294"/>
      <c r="CG530" s="294"/>
      <c r="CH530" s="294"/>
      <c r="CI530" s="294"/>
      <c r="CJ530" s="294"/>
      <c r="CK530" s="294"/>
      <c r="CL530" s="294"/>
      <c r="CM530" s="294"/>
      <c r="CN530" s="294"/>
    </row>
    <row r="531" spans="2:92" ht="13">
      <c r="B531" s="294"/>
      <c r="F531" s="302"/>
      <c r="J531" s="302"/>
      <c r="AI531" s="188"/>
      <c r="AJ531" s="188"/>
      <c r="AK531" s="188"/>
      <c r="AL531" s="188"/>
      <c r="AM531" s="188"/>
      <c r="AN531" s="188"/>
      <c r="AO531" s="299"/>
      <c r="CF531" s="294"/>
      <c r="CG531" s="294"/>
      <c r="CH531" s="294"/>
      <c r="CI531" s="294"/>
      <c r="CJ531" s="294"/>
      <c r="CK531" s="294"/>
      <c r="CL531" s="294"/>
      <c r="CM531" s="294"/>
      <c r="CN531" s="294"/>
    </row>
    <row r="532" spans="2:92" ht="13">
      <c r="B532" s="294"/>
      <c r="F532" s="302"/>
      <c r="J532" s="302"/>
      <c r="AI532" s="188"/>
      <c r="AJ532" s="188"/>
      <c r="AK532" s="188"/>
      <c r="AL532" s="188"/>
      <c r="AM532" s="188"/>
      <c r="AN532" s="188"/>
      <c r="AO532" s="299"/>
      <c r="CF532" s="294"/>
      <c r="CG532" s="294"/>
      <c r="CH532" s="294"/>
      <c r="CI532" s="294"/>
      <c r="CJ532" s="294"/>
      <c r="CK532" s="294"/>
      <c r="CL532" s="294"/>
      <c r="CM532" s="294"/>
      <c r="CN532" s="294"/>
    </row>
    <row r="533" spans="2:92" ht="13">
      <c r="B533" s="294"/>
      <c r="F533" s="302"/>
      <c r="J533" s="302"/>
      <c r="AI533" s="188"/>
      <c r="AJ533" s="188"/>
      <c r="AK533" s="188"/>
      <c r="AL533" s="188"/>
      <c r="AM533" s="188"/>
      <c r="AN533" s="188"/>
      <c r="AO533" s="299"/>
      <c r="CF533" s="294"/>
      <c r="CG533" s="294"/>
      <c r="CH533" s="294"/>
      <c r="CI533" s="294"/>
      <c r="CJ533" s="294"/>
      <c r="CK533" s="294"/>
      <c r="CL533" s="294"/>
      <c r="CM533" s="294"/>
      <c r="CN533" s="294"/>
    </row>
    <row r="534" spans="2:92" ht="13">
      <c r="B534" s="294"/>
      <c r="F534" s="302"/>
      <c r="J534" s="302"/>
      <c r="AI534" s="188"/>
      <c r="AJ534" s="188"/>
      <c r="AK534" s="188"/>
      <c r="AL534" s="188"/>
      <c r="AM534" s="188"/>
      <c r="AN534" s="188"/>
      <c r="AO534" s="299"/>
      <c r="CF534" s="294"/>
      <c r="CG534" s="294"/>
      <c r="CH534" s="294"/>
      <c r="CI534" s="294"/>
      <c r="CJ534" s="294"/>
      <c r="CK534" s="294"/>
      <c r="CL534" s="294"/>
      <c r="CM534" s="294"/>
      <c r="CN534" s="294"/>
    </row>
    <row r="535" spans="2:92" ht="13">
      <c r="B535" s="294"/>
      <c r="F535" s="302"/>
      <c r="J535" s="302"/>
      <c r="AI535" s="188"/>
      <c r="AJ535" s="188"/>
      <c r="AK535" s="188"/>
      <c r="AL535" s="188"/>
      <c r="AM535" s="188"/>
      <c r="AN535" s="188"/>
      <c r="AO535" s="299"/>
      <c r="CF535" s="294"/>
      <c r="CG535" s="294"/>
      <c r="CH535" s="294"/>
      <c r="CI535" s="294"/>
      <c r="CJ535" s="294"/>
      <c r="CK535" s="294"/>
      <c r="CL535" s="294"/>
      <c r="CM535" s="294"/>
      <c r="CN535" s="294"/>
    </row>
    <row r="536" spans="2:92" ht="13">
      <c r="B536" s="294"/>
      <c r="F536" s="302"/>
      <c r="J536" s="302"/>
      <c r="AI536" s="188"/>
      <c r="AJ536" s="188"/>
      <c r="AK536" s="188"/>
      <c r="AL536" s="188"/>
      <c r="AM536" s="188"/>
      <c r="AN536" s="188"/>
      <c r="AO536" s="299"/>
      <c r="CF536" s="294"/>
      <c r="CG536" s="294"/>
      <c r="CH536" s="294"/>
      <c r="CI536" s="294"/>
      <c r="CJ536" s="294"/>
      <c r="CK536" s="294"/>
      <c r="CL536" s="294"/>
      <c r="CM536" s="294"/>
      <c r="CN536" s="294"/>
    </row>
    <row r="537" spans="2:92" ht="13">
      <c r="B537" s="294"/>
      <c r="F537" s="302"/>
      <c r="J537" s="302"/>
      <c r="AI537" s="188"/>
      <c r="AJ537" s="188"/>
      <c r="AK537" s="188"/>
      <c r="AL537" s="188"/>
      <c r="AM537" s="188"/>
      <c r="AN537" s="188"/>
      <c r="AO537" s="299"/>
      <c r="CF537" s="294"/>
      <c r="CG537" s="294"/>
      <c r="CH537" s="294"/>
      <c r="CI537" s="294"/>
      <c r="CJ537" s="294"/>
      <c r="CK537" s="294"/>
      <c r="CL537" s="294"/>
      <c r="CM537" s="294"/>
      <c r="CN537" s="294"/>
    </row>
    <row r="538" spans="2:92" ht="13">
      <c r="B538" s="294"/>
      <c r="F538" s="302"/>
      <c r="J538" s="302"/>
      <c r="AI538" s="188"/>
      <c r="AJ538" s="188"/>
      <c r="AK538" s="188"/>
      <c r="AL538" s="188"/>
      <c r="AM538" s="188"/>
      <c r="AN538" s="188"/>
      <c r="AO538" s="299"/>
      <c r="CF538" s="294"/>
      <c r="CG538" s="294"/>
      <c r="CH538" s="294"/>
      <c r="CI538" s="294"/>
      <c r="CJ538" s="294"/>
      <c r="CK538" s="294"/>
      <c r="CL538" s="294"/>
      <c r="CM538" s="294"/>
      <c r="CN538" s="294"/>
    </row>
    <row r="539" spans="2:92" ht="13">
      <c r="B539" s="294"/>
      <c r="F539" s="302"/>
      <c r="J539" s="302"/>
      <c r="AI539" s="188"/>
      <c r="AJ539" s="188"/>
      <c r="AK539" s="188"/>
      <c r="AL539" s="188"/>
      <c r="AM539" s="188"/>
      <c r="AN539" s="188"/>
      <c r="AO539" s="299"/>
      <c r="CF539" s="294"/>
      <c r="CG539" s="294"/>
      <c r="CH539" s="294"/>
      <c r="CI539" s="294"/>
      <c r="CJ539" s="294"/>
      <c r="CK539" s="294"/>
      <c r="CL539" s="294"/>
      <c r="CM539" s="294"/>
      <c r="CN539" s="294"/>
    </row>
    <row r="540" spans="2:92" ht="13">
      <c r="B540" s="294"/>
      <c r="F540" s="302"/>
      <c r="J540" s="302"/>
      <c r="AI540" s="188"/>
      <c r="AJ540" s="188"/>
      <c r="AK540" s="188"/>
      <c r="AL540" s="188"/>
      <c r="AM540" s="188"/>
      <c r="AN540" s="188"/>
      <c r="AO540" s="299"/>
      <c r="CF540" s="294"/>
      <c r="CG540" s="294"/>
      <c r="CH540" s="294"/>
      <c r="CI540" s="294"/>
      <c r="CJ540" s="294"/>
      <c r="CK540" s="294"/>
      <c r="CL540" s="294"/>
      <c r="CM540" s="294"/>
      <c r="CN540" s="294"/>
    </row>
    <row r="541" spans="2:92" ht="13">
      <c r="B541" s="294"/>
      <c r="F541" s="302"/>
      <c r="J541" s="302"/>
      <c r="AI541" s="188"/>
      <c r="AJ541" s="188"/>
      <c r="AK541" s="188"/>
      <c r="AL541" s="188"/>
      <c r="AM541" s="188"/>
      <c r="AN541" s="188"/>
      <c r="AO541" s="299"/>
      <c r="CF541" s="294"/>
      <c r="CG541" s="294"/>
      <c r="CH541" s="294"/>
      <c r="CI541" s="294"/>
      <c r="CJ541" s="294"/>
      <c r="CK541" s="294"/>
      <c r="CL541" s="294"/>
      <c r="CM541" s="294"/>
      <c r="CN541" s="294"/>
    </row>
    <row r="542" spans="2:92" ht="13">
      <c r="B542" s="294"/>
      <c r="F542" s="302"/>
      <c r="J542" s="302"/>
      <c r="AI542" s="188"/>
      <c r="AJ542" s="188"/>
      <c r="AK542" s="188"/>
      <c r="AL542" s="188"/>
      <c r="AM542" s="188"/>
      <c r="AN542" s="188"/>
      <c r="AO542" s="299"/>
      <c r="CF542" s="294"/>
      <c r="CG542" s="294"/>
      <c r="CH542" s="294"/>
      <c r="CI542" s="294"/>
      <c r="CJ542" s="294"/>
      <c r="CK542" s="294"/>
      <c r="CL542" s="294"/>
      <c r="CM542" s="294"/>
      <c r="CN542" s="294"/>
    </row>
    <row r="543" spans="2:92" ht="13">
      <c r="B543" s="294"/>
      <c r="F543" s="302"/>
      <c r="J543" s="302"/>
      <c r="AI543" s="188"/>
      <c r="AJ543" s="188"/>
      <c r="AK543" s="188"/>
      <c r="AL543" s="188"/>
      <c r="AM543" s="188"/>
      <c r="AN543" s="188"/>
      <c r="AO543" s="299"/>
      <c r="CF543" s="294"/>
      <c r="CG543" s="294"/>
      <c r="CH543" s="294"/>
      <c r="CI543" s="294"/>
      <c r="CJ543" s="294"/>
      <c r="CK543" s="294"/>
      <c r="CL543" s="294"/>
      <c r="CM543" s="294"/>
      <c r="CN543" s="294"/>
    </row>
    <row r="544" spans="2:92" ht="13">
      <c r="B544" s="294"/>
      <c r="F544" s="302"/>
      <c r="J544" s="302"/>
      <c r="AI544" s="188"/>
      <c r="AJ544" s="188"/>
      <c r="AK544" s="188"/>
      <c r="AL544" s="188"/>
      <c r="AM544" s="188"/>
      <c r="AN544" s="188"/>
      <c r="AO544" s="299"/>
      <c r="CF544" s="294"/>
      <c r="CG544" s="294"/>
      <c r="CH544" s="294"/>
      <c r="CI544" s="294"/>
      <c r="CJ544" s="294"/>
      <c r="CK544" s="294"/>
      <c r="CL544" s="294"/>
      <c r="CM544" s="294"/>
      <c r="CN544" s="294"/>
    </row>
    <row r="545" spans="2:92" ht="13">
      <c r="B545" s="294"/>
      <c r="F545" s="302"/>
      <c r="J545" s="302"/>
      <c r="AI545" s="188"/>
      <c r="AJ545" s="188"/>
      <c r="AK545" s="188"/>
      <c r="AL545" s="188"/>
      <c r="AM545" s="188"/>
      <c r="AN545" s="188"/>
      <c r="AO545" s="299"/>
      <c r="CF545" s="294"/>
      <c r="CG545" s="294"/>
      <c r="CH545" s="294"/>
      <c r="CI545" s="294"/>
      <c r="CJ545" s="294"/>
      <c r="CK545" s="294"/>
      <c r="CL545" s="294"/>
      <c r="CM545" s="294"/>
      <c r="CN545" s="294"/>
    </row>
    <row r="546" spans="2:92" ht="13">
      <c r="B546" s="294"/>
      <c r="F546" s="302"/>
      <c r="J546" s="302"/>
      <c r="AI546" s="188"/>
      <c r="AJ546" s="188"/>
      <c r="AK546" s="188"/>
      <c r="AL546" s="188"/>
      <c r="AM546" s="188"/>
      <c r="AN546" s="188"/>
      <c r="AO546" s="299"/>
      <c r="CF546" s="294"/>
      <c r="CG546" s="294"/>
      <c r="CH546" s="294"/>
      <c r="CI546" s="294"/>
      <c r="CJ546" s="294"/>
      <c r="CK546" s="294"/>
      <c r="CL546" s="294"/>
      <c r="CM546" s="294"/>
      <c r="CN546" s="294"/>
    </row>
    <row r="547" spans="2:92" ht="13">
      <c r="B547" s="294"/>
      <c r="F547" s="302"/>
      <c r="J547" s="302"/>
      <c r="AI547" s="188"/>
      <c r="AJ547" s="188"/>
      <c r="AK547" s="188"/>
      <c r="AL547" s="188"/>
      <c r="AM547" s="188"/>
      <c r="AN547" s="188"/>
      <c r="AO547" s="299"/>
      <c r="CF547" s="294"/>
      <c r="CG547" s="294"/>
      <c r="CH547" s="294"/>
      <c r="CI547" s="294"/>
      <c r="CJ547" s="294"/>
      <c r="CK547" s="294"/>
      <c r="CL547" s="294"/>
      <c r="CM547" s="294"/>
      <c r="CN547" s="294"/>
    </row>
    <row r="548" spans="2:92" ht="13">
      <c r="B548" s="294"/>
      <c r="F548" s="302"/>
      <c r="J548" s="302"/>
      <c r="AI548" s="188"/>
      <c r="AJ548" s="188"/>
      <c r="AK548" s="188"/>
      <c r="AL548" s="188"/>
      <c r="AM548" s="188"/>
      <c r="AN548" s="188"/>
      <c r="AO548" s="299"/>
      <c r="CF548" s="294"/>
      <c r="CG548" s="294"/>
      <c r="CH548" s="294"/>
      <c r="CI548" s="294"/>
      <c r="CJ548" s="294"/>
      <c r="CK548" s="294"/>
      <c r="CL548" s="294"/>
      <c r="CM548" s="294"/>
      <c r="CN548" s="294"/>
    </row>
    <row r="549" spans="2:92" ht="13">
      <c r="B549" s="294"/>
      <c r="F549" s="302"/>
      <c r="J549" s="302"/>
      <c r="AI549" s="188"/>
      <c r="AJ549" s="188"/>
      <c r="AK549" s="188"/>
      <c r="AL549" s="188"/>
      <c r="AM549" s="188"/>
      <c r="AN549" s="188"/>
      <c r="AO549" s="299"/>
      <c r="CF549" s="294"/>
      <c r="CG549" s="294"/>
      <c r="CH549" s="294"/>
      <c r="CI549" s="294"/>
      <c r="CJ549" s="294"/>
      <c r="CK549" s="294"/>
      <c r="CL549" s="294"/>
      <c r="CM549" s="294"/>
      <c r="CN549" s="294"/>
    </row>
    <row r="550" spans="2:92" ht="13">
      <c r="B550" s="294"/>
      <c r="F550" s="302"/>
      <c r="J550" s="302"/>
      <c r="AI550" s="188"/>
      <c r="AJ550" s="188"/>
      <c r="AK550" s="188"/>
      <c r="AL550" s="188"/>
      <c r="AM550" s="188"/>
      <c r="AN550" s="188"/>
      <c r="AO550" s="299"/>
      <c r="CF550" s="294"/>
      <c r="CG550" s="294"/>
      <c r="CH550" s="294"/>
      <c r="CI550" s="294"/>
      <c r="CJ550" s="294"/>
      <c r="CK550" s="294"/>
      <c r="CL550" s="294"/>
      <c r="CM550" s="294"/>
      <c r="CN550" s="294"/>
    </row>
    <row r="551" spans="2:92" ht="13">
      <c r="B551" s="294"/>
      <c r="F551" s="302"/>
      <c r="J551" s="302"/>
      <c r="AI551" s="188"/>
      <c r="AJ551" s="188"/>
      <c r="AK551" s="188"/>
      <c r="AL551" s="188"/>
      <c r="AM551" s="188"/>
      <c r="AN551" s="188"/>
      <c r="AO551" s="299"/>
      <c r="CF551" s="294"/>
      <c r="CG551" s="294"/>
      <c r="CH551" s="294"/>
      <c r="CI551" s="294"/>
      <c r="CJ551" s="294"/>
      <c r="CK551" s="294"/>
      <c r="CL551" s="294"/>
      <c r="CM551" s="294"/>
      <c r="CN551" s="294"/>
    </row>
    <row r="552" spans="2:92" ht="13">
      <c r="B552" s="294"/>
      <c r="F552" s="302"/>
      <c r="J552" s="302"/>
      <c r="AI552" s="188"/>
      <c r="AJ552" s="188"/>
      <c r="AK552" s="188"/>
      <c r="AL552" s="188"/>
      <c r="AM552" s="188"/>
      <c r="AN552" s="188"/>
      <c r="AO552" s="299"/>
      <c r="CF552" s="294"/>
      <c r="CG552" s="294"/>
      <c r="CH552" s="294"/>
      <c r="CI552" s="294"/>
      <c r="CJ552" s="294"/>
      <c r="CK552" s="294"/>
      <c r="CL552" s="294"/>
      <c r="CM552" s="294"/>
      <c r="CN552" s="294"/>
    </row>
    <row r="553" spans="2:92" ht="13">
      <c r="B553" s="294"/>
      <c r="F553" s="302"/>
      <c r="J553" s="302"/>
      <c r="AI553" s="188"/>
      <c r="AJ553" s="188"/>
      <c r="AK553" s="188"/>
      <c r="AL553" s="188"/>
      <c r="AM553" s="188"/>
      <c r="AN553" s="188"/>
      <c r="AO553" s="299"/>
      <c r="CF553" s="294"/>
      <c r="CG553" s="294"/>
      <c r="CH553" s="294"/>
      <c r="CI553" s="294"/>
      <c r="CJ553" s="294"/>
      <c r="CK553" s="294"/>
      <c r="CL553" s="294"/>
      <c r="CM553" s="294"/>
      <c r="CN553" s="294"/>
    </row>
    <row r="554" spans="2:92" ht="13">
      <c r="B554" s="294"/>
      <c r="F554" s="302"/>
      <c r="J554" s="302"/>
      <c r="AI554" s="188"/>
      <c r="AJ554" s="188"/>
      <c r="AK554" s="188"/>
      <c r="AL554" s="188"/>
      <c r="AM554" s="188"/>
      <c r="AN554" s="188"/>
      <c r="AO554" s="299"/>
      <c r="CF554" s="294"/>
      <c r="CG554" s="294"/>
      <c r="CH554" s="294"/>
      <c r="CI554" s="294"/>
      <c r="CJ554" s="294"/>
      <c r="CK554" s="294"/>
      <c r="CL554" s="294"/>
      <c r="CM554" s="294"/>
      <c r="CN554" s="294"/>
    </row>
    <row r="555" spans="2:92" ht="13">
      <c r="B555" s="294"/>
      <c r="F555" s="302"/>
      <c r="J555" s="302"/>
      <c r="AI555" s="188"/>
      <c r="AJ555" s="188"/>
      <c r="AK555" s="188"/>
      <c r="AL555" s="188"/>
      <c r="AM555" s="188"/>
      <c r="AN555" s="188"/>
      <c r="AO555" s="299"/>
      <c r="CF555" s="294"/>
      <c r="CG555" s="294"/>
      <c r="CH555" s="294"/>
      <c r="CI555" s="294"/>
      <c r="CJ555" s="294"/>
      <c r="CK555" s="294"/>
      <c r="CL555" s="294"/>
      <c r="CM555" s="294"/>
      <c r="CN555" s="294"/>
    </row>
    <row r="556" spans="2:92" ht="13">
      <c r="B556" s="294"/>
      <c r="F556" s="302"/>
      <c r="J556" s="302"/>
      <c r="AI556" s="188"/>
      <c r="AJ556" s="188"/>
      <c r="AK556" s="188"/>
      <c r="AL556" s="188"/>
      <c r="AM556" s="188"/>
      <c r="AN556" s="188"/>
      <c r="AO556" s="299"/>
      <c r="CF556" s="294"/>
      <c r="CG556" s="294"/>
      <c r="CH556" s="294"/>
      <c r="CI556" s="294"/>
      <c r="CJ556" s="294"/>
      <c r="CK556" s="294"/>
      <c r="CL556" s="294"/>
      <c r="CM556" s="294"/>
      <c r="CN556" s="294"/>
    </row>
    <row r="557" spans="2:92" ht="13">
      <c r="B557" s="294"/>
      <c r="F557" s="302"/>
      <c r="J557" s="302"/>
      <c r="AI557" s="188"/>
      <c r="AJ557" s="188"/>
      <c r="AK557" s="188"/>
      <c r="AL557" s="188"/>
      <c r="AM557" s="188"/>
      <c r="AN557" s="188"/>
      <c r="AO557" s="299"/>
      <c r="CF557" s="294"/>
      <c r="CG557" s="294"/>
      <c r="CH557" s="294"/>
      <c r="CI557" s="294"/>
      <c r="CJ557" s="294"/>
      <c r="CK557" s="294"/>
      <c r="CL557" s="294"/>
      <c r="CM557" s="294"/>
      <c r="CN557" s="294"/>
    </row>
    <row r="558" spans="2:92" ht="13">
      <c r="B558" s="294"/>
      <c r="F558" s="302"/>
      <c r="J558" s="302"/>
      <c r="AI558" s="188"/>
      <c r="AJ558" s="188"/>
      <c r="AK558" s="188"/>
      <c r="AL558" s="188"/>
      <c r="AM558" s="188"/>
      <c r="AN558" s="188"/>
      <c r="AO558" s="299"/>
      <c r="CF558" s="294"/>
      <c r="CG558" s="294"/>
      <c r="CH558" s="294"/>
      <c r="CI558" s="294"/>
      <c r="CJ558" s="294"/>
      <c r="CK558" s="294"/>
      <c r="CL558" s="294"/>
      <c r="CM558" s="294"/>
      <c r="CN558" s="294"/>
    </row>
    <row r="559" spans="2:92" ht="13">
      <c r="B559" s="294"/>
      <c r="F559" s="302"/>
      <c r="J559" s="302"/>
      <c r="AI559" s="188"/>
      <c r="AJ559" s="188"/>
      <c r="AK559" s="188"/>
      <c r="AL559" s="188"/>
      <c r="AM559" s="188"/>
      <c r="AN559" s="188"/>
      <c r="AO559" s="299"/>
      <c r="CF559" s="294"/>
      <c r="CG559" s="294"/>
      <c r="CH559" s="294"/>
      <c r="CI559" s="294"/>
      <c r="CJ559" s="294"/>
      <c r="CK559" s="294"/>
      <c r="CL559" s="294"/>
      <c r="CM559" s="294"/>
      <c r="CN559" s="294"/>
    </row>
    <row r="560" spans="2:92" ht="13">
      <c r="B560" s="294"/>
      <c r="F560" s="302"/>
      <c r="J560" s="302"/>
      <c r="AI560" s="188"/>
      <c r="AJ560" s="188"/>
      <c r="AK560" s="188"/>
      <c r="AL560" s="188"/>
      <c r="AM560" s="188"/>
      <c r="AN560" s="188"/>
      <c r="AO560" s="299"/>
      <c r="CF560" s="294"/>
      <c r="CG560" s="294"/>
      <c r="CH560" s="294"/>
      <c r="CI560" s="294"/>
      <c r="CJ560" s="294"/>
      <c r="CK560" s="294"/>
      <c r="CL560" s="294"/>
      <c r="CM560" s="294"/>
      <c r="CN560" s="294"/>
    </row>
    <row r="561" spans="2:92" ht="13">
      <c r="B561" s="294"/>
      <c r="F561" s="302"/>
      <c r="J561" s="302"/>
      <c r="AI561" s="188"/>
      <c r="AJ561" s="188"/>
      <c r="AK561" s="188"/>
      <c r="AL561" s="188"/>
      <c r="AM561" s="188"/>
      <c r="AN561" s="188"/>
      <c r="AO561" s="299"/>
      <c r="CF561" s="294"/>
      <c r="CG561" s="294"/>
      <c r="CH561" s="294"/>
      <c r="CI561" s="294"/>
      <c r="CJ561" s="294"/>
      <c r="CK561" s="294"/>
      <c r="CL561" s="294"/>
      <c r="CM561" s="294"/>
      <c r="CN561" s="294"/>
    </row>
    <row r="562" spans="2:92" ht="13">
      <c r="B562" s="294"/>
      <c r="F562" s="302"/>
      <c r="J562" s="302"/>
      <c r="AI562" s="188"/>
      <c r="AJ562" s="188"/>
      <c r="AK562" s="188"/>
      <c r="AL562" s="188"/>
      <c r="AM562" s="188"/>
      <c r="AN562" s="188"/>
      <c r="AO562" s="299"/>
      <c r="CF562" s="294"/>
      <c r="CG562" s="294"/>
      <c r="CH562" s="294"/>
      <c r="CI562" s="294"/>
      <c r="CJ562" s="294"/>
      <c r="CK562" s="294"/>
      <c r="CL562" s="294"/>
      <c r="CM562" s="294"/>
      <c r="CN562" s="294"/>
    </row>
    <row r="563" spans="2:92" ht="13">
      <c r="B563" s="294"/>
      <c r="F563" s="302"/>
      <c r="J563" s="302"/>
      <c r="AI563" s="188"/>
      <c r="AJ563" s="188"/>
      <c r="AK563" s="188"/>
      <c r="AL563" s="188"/>
      <c r="AM563" s="188"/>
      <c r="AN563" s="188"/>
      <c r="AO563" s="299"/>
      <c r="CF563" s="294"/>
      <c r="CG563" s="294"/>
      <c r="CH563" s="294"/>
      <c r="CI563" s="294"/>
      <c r="CJ563" s="294"/>
      <c r="CK563" s="294"/>
      <c r="CL563" s="294"/>
      <c r="CM563" s="294"/>
      <c r="CN563" s="294"/>
    </row>
    <row r="564" spans="2:92" ht="13">
      <c r="B564" s="294"/>
      <c r="F564" s="302"/>
      <c r="J564" s="302"/>
      <c r="AI564" s="188"/>
      <c r="AJ564" s="188"/>
      <c r="AK564" s="188"/>
      <c r="AL564" s="188"/>
      <c r="AM564" s="188"/>
      <c r="AN564" s="188"/>
      <c r="AO564" s="299"/>
      <c r="CF564" s="294"/>
      <c r="CG564" s="294"/>
      <c r="CH564" s="294"/>
      <c r="CI564" s="294"/>
      <c r="CJ564" s="294"/>
      <c r="CK564" s="294"/>
      <c r="CL564" s="294"/>
      <c r="CM564" s="294"/>
      <c r="CN564" s="294"/>
    </row>
    <row r="565" spans="2:92" ht="13">
      <c r="B565" s="294"/>
      <c r="F565" s="302"/>
      <c r="J565" s="302"/>
      <c r="AI565" s="188"/>
      <c r="AJ565" s="188"/>
      <c r="AK565" s="188"/>
      <c r="AL565" s="188"/>
      <c r="AM565" s="188"/>
      <c r="AN565" s="188"/>
      <c r="AO565" s="299"/>
      <c r="CF565" s="294"/>
      <c r="CG565" s="294"/>
      <c r="CH565" s="294"/>
      <c r="CI565" s="294"/>
      <c r="CJ565" s="294"/>
      <c r="CK565" s="294"/>
      <c r="CL565" s="294"/>
      <c r="CM565" s="294"/>
      <c r="CN565" s="294"/>
    </row>
    <row r="566" spans="2:92" ht="13">
      <c r="B566" s="294"/>
      <c r="F566" s="302"/>
      <c r="J566" s="302"/>
      <c r="AI566" s="188"/>
      <c r="AJ566" s="188"/>
      <c r="AK566" s="188"/>
      <c r="AL566" s="188"/>
      <c r="AM566" s="188"/>
      <c r="AN566" s="188"/>
      <c r="AO566" s="299"/>
      <c r="CF566" s="294"/>
      <c r="CG566" s="294"/>
      <c r="CH566" s="294"/>
      <c r="CI566" s="294"/>
      <c r="CJ566" s="294"/>
      <c r="CK566" s="294"/>
      <c r="CL566" s="294"/>
      <c r="CM566" s="294"/>
      <c r="CN566" s="294"/>
    </row>
    <row r="567" spans="2:92" ht="13">
      <c r="B567" s="294"/>
      <c r="F567" s="302"/>
      <c r="J567" s="302"/>
      <c r="AI567" s="188"/>
      <c r="AJ567" s="188"/>
      <c r="AK567" s="188"/>
      <c r="AL567" s="188"/>
      <c r="AM567" s="188"/>
      <c r="AN567" s="188"/>
      <c r="AO567" s="299"/>
      <c r="CF567" s="294"/>
      <c r="CG567" s="294"/>
      <c r="CH567" s="294"/>
      <c r="CI567" s="294"/>
      <c r="CJ567" s="294"/>
      <c r="CK567" s="294"/>
      <c r="CL567" s="294"/>
      <c r="CM567" s="294"/>
      <c r="CN567" s="294"/>
    </row>
    <row r="568" spans="2:92" ht="13">
      <c r="B568" s="294"/>
      <c r="F568" s="302"/>
      <c r="J568" s="302"/>
      <c r="AI568" s="188"/>
      <c r="AJ568" s="188"/>
      <c r="AK568" s="188"/>
      <c r="AL568" s="188"/>
      <c r="AM568" s="188"/>
      <c r="AN568" s="188"/>
      <c r="AO568" s="299"/>
      <c r="CF568" s="294"/>
      <c r="CG568" s="294"/>
      <c r="CH568" s="294"/>
      <c r="CI568" s="294"/>
      <c r="CJ568" s="294"/>
      <c r="CK568" s="294"/>
      <c r="CL568" s="294"/>
      <c r="CM568" s="294"/>
      <c r="CN568" s="294"/>
    </row>
    <row r="569" spans="2:92" ht="13">
      <c r="B569" s="294"/>
      <c r="F569" s="302"/>
      <c r="J569" s="302"/>
      <c r="AI569" s="188"/>
      <c r="AJ569" s="188"/>
      <c r="AK569" s="188"/>
      <c r="AL569" s="188"/>
      <c r="AM569" s="188"/>
      <c r="AN569" s="188"/>
      <c r="AO569" s="299"/>
      <c r="CF569" s="294"/>
      <c r="CG569" s="294"/>
      <c r="CH569" s="294"/>
      <c r="CI569" s="294"/>
      <c r="CJ569" s="294"/>
      <c r="CK569" s="294"/>
      <c r="CL569" s="294"/>
      <c r="CM569" s="294"/>
      <c r="CN569" s="294"/>
    </row>
    <row r="570" spans="2:92" ht="13">
      <c r="B570" s="294"/>
      <c r="F570" s="302"/>
      <c r="J570" s="302"/>
      <c r="AI570" s="188"/>
      <c r="AJ570" s="188"/>
      <c r="AK570" s="188"/>
      <c r="AL570" s="188"/>
      <c r="AM570" s="188"/>
      <c r="AN570" s="188"/>
      <c r="AO570" s="299"/>
      <c r="CF570" s="294"/>
      <c r="CG570" s="294"/>
      <c r="CH570" s="294"/>
      <c r="CI570" s="294"/>
      <c r="CJ570" s="294"/>
      <c r="CK570" s="294"/>
      <c r="CL570" s="294"/>
      <c r="CM570" s="294"/>
      <c r="CN570" s="294"/>
    </row>
    <row r="571" spans="2:92" ht="13">
      <c r="B571" s="294"/>
      <c r="F571" s="302"/>
      <c r="J571" s="302"/>
      <c r="AI571" s="188"/>
      <c r="AJ571" s="188"/>
      <c r="AK571" s="188"/>
      <c r="AL571" s="188"/>
      <c r="AM571" s="188"/>
      <c r="AN571" s="188"/>
      <c r="AO571" s="299"/>
      <c r="CF571" s="294"/>
      <c r="CG571" s="294"/>
      <c r="CH571" s="294"/>
      <c r="CI571" s="294"/>
      <c r="CJ571" s="294"/>
      <c r="CK571" s="294"/>
      <c r="CL571" s="294"/>
      <c r="CM571" s="294"/>
      <c r="CN571" s="294"/>
    </row>
    <row r="572" spans="2:92" ht="13">
      <c r="B572" s="294"/>
      <c r="F572" s="302"/>
      <c r="J572" s="302"/>
      <c r="AI572" s="188"/>
      <c r="AJ572" s="188"/>
      <c r="AK572" s="188"/>
      <c r="AL572" s="188"/>
      <c r="AM572" s="188"/>
      <c r="AN572" s="188"/>
      <c r="AO572" s="299"/>
      <c r="CF572" s="294"/>
      <c r="CG572" s="294"/>
      <c r="CH572" s="294"/>
      <c r="CI572" s="294"/>
      <c r="CJ572" s="294"/>
      <c r="CK572" s="294"/>
      <c r="CL572" s="294"/>
      <c r="CM572" s="294"/>
      <c r="CN572" s="294"/>
    </row>
    <row r="573" spans="2:92" ht="13">
      <c r="B573" s="294"/>
      <c r="F573" s="302"/>
      <c r="J573" s="302"/>
      <c r="AI573" s="188"/>
      <c r="AJ573" s="188"/>
      <c r="AK573" s="188"/>
      <c r="AL573" s="188"/>
      <c r="AM573" s="188"/>
      <c r="AN573" s="188"/>
      <c r="AO573" s="299"/>
      <c r="CF573" s="294"/>
      <c r="CG573" s="294"/>
      <c r="CH573" s="294"/>
      <c r="CI573" s="294"/>
      <c r="CJ573" s="294"/>
      <c r="CK573" s="294"/>
      <c r="CL573" s="294"/>
      <c r="CM573" s="294"/>
      <c r="CN573" s="294"/>
    </row>
    <row r="574" spans="2:92" ht="13">
      <c r="B574" s="294"/>
      <c r="F574" s="302"/>
      <c r="J574" s="302"/>
      <c r="AI574" s="188"/>
      <c r="AJ574" s="188"/>
      <c r="AK574" s="188"/>
      <c r="AL574" s="188"/>
      <c r="AM574" s="188"/>
      <c r="AN574" s="188"/>
      <c r="AO574" s="299"/>
      <c r="CF574" s="294"/>
      <c r="CG574" s="294"/>
      <c r="CH574" s="294"/>
      <c r="CI574" s="294"/>
      <c r="CJ574" s="294"/>
      <c r="CK574" s="294"/>
      <c r="CL574" s="294"/>
      <c r="CM574" s="294"/>
      <c r="CN574" s="294"/>
    </row>
    <row r="575" spans="2:92" ht="13">
      <c r="B575" s="294"/>
      <c r="F575" s="302"/>
      <c r="J575" s="302"/>
      <c r="AI575" s="188"/>
      <c r="AJ575" s="188"/>
      <c r="AK575" s="188"/>
      <c r="AL575" s="188"/>
      <c r="AM575" s="188"/>
      <c r="AN575" s="188"/>
      <c r="AO575" s="299"/>
      <c r="CF575" s="294"/>
      <c r="CG575" s="294"/>
      <c r="CH575" s="294"/>
      <c r="CI575" s="294"/>
      <c r="CJ575" s="294"/>
      <c r="CK575" s="294"/>
      <c r="CL575" s="294"/>
      <c r="CM575" s="294"/>
      <c r="CN575" s="294"/>
    </row>
    <row r="576" spans="2:92" ht="13">
      <c r="B576" s="294"/>
      <c r="F576" s="302"/>
      <c r="J576" s="302"/>
      <c r="AI576" s="188"/>
      <c r="AJ576" s="188"/>
      <c r="AK576" s="188"/>
      <c r="AL576" s="188"/>
      <c r="AM576" s="188"/>
      <c r="AN576" s="188"/>
      <c r="AO576" s="299"/>
      <c r="CF576" s="294"/>
      <c r="CG576" s="294"/>
      <c r="CH576" s="294"/>
      <c r="CI576" s="294"/>
      <c r="CJ576" s="294"/>
      <c r="CK576" s="294"/>
      <c r="CL576" s="294"/>
      <c r="CM576" s="294"/>
      <c r="CN576" s="294"/>
    </row>
    <row r="577" spans="2:92" ht="13">
      <c r="B577" s="294"/>
      <c r="F577" s="302"/>
      <c r="J577" s="302"/>
      <c r="AI577" s="188"/>
      <c r="AJ577" s="188"/>
      <c r="AK577" s="188"/>
      <c r="AL577" s="188"/>
      <c r="AM577" s="188"/>
      <c r="AN577" s="188"/>
      <c r="AO577" s="299"/>
      <c r="CF577" s="294"/>
      <c r="CG577" s="294"/>
      <c r="CH577" s="294"/>
      <c r="CI577" s="294"/>
      <c r="CJ577" s="294"/>
      <c r="CK577" s="294"/>
      <c r="CL577" s="294"/>
      <c r="CM577" s="294"/>
      <c r="CN577" s="294"/>
    </row>
    <row r="578" spans="2:92" ht="13">
      <c r="B578" s="294"/>
      <c r="F578" s="302"/>
      <c r="J578" s="302"/>
      <c r="AI578" s="188"/>
      <c r="AJ578" s="188"/>
      <c r="AK578" s="188"/>
      <c r="AL578" s="188"/>
      <c r="AM578" s="188"/>
      <c r="AN578" s="188"/>
      <c r="AO578" s="299"/>
      <c r="CF578" s="294"/>
      <c r="CG578" s="294"/>
      <c r="CH578" s="294"/>
      <c r="CI578" s="294"/>
      <c r="CJ578" s="294"/>
      <c r="CK578" s="294"/>
      <c r="CL578" s="294"/>
      <c r="CM578" s="294"/>
      <c r="CN578" s="294"/>
    </row>
    <row r="579" spans="2:92" ht="13">
      <c r="B579" s="294"/>
      <c r="F579" s="302"/>
      <c r="J579" s="302"/>
      <c r="AI579" s="188"/>
      <c r="AJ579" s="188"/>
      <c r="AK579" s="188"/>
      <c r="AL579" s="188"/>
      <c r="AM579" s="188"/>
      <c r="AN579" s="188"/>
      <c r="AO579" s="299"/>
      <c r="CF579" s="294"/>
      <c r="CG579" s="294"/>
      <c r="CH579" s="294"/>
      <c r="CI579" s="294"/>
      <c r="CJ579" s="294"/>
      <c r="CK579" s="294"/>
      <c r="CL579" s="294"/>
      <c r="CM579" s="294"/>
      <c r="CN579" s="294"/>
    </row>
    <row r="580" spans="2:92" ht="13">
      <c r="B580" s="294"/>
      <c r="F580" s="302"/>
      <c r="J580" s="302"/>
      <c r="AI580" s="188"/>
      <c r="AJ580" s="188"/>
      <c r="AK580" s="188"/>
      <c r="AL580" s="188"/>
      <c r="AM580" s="188"/>
      <c r="AN580" s="188"/>
      <c r="AO580" s="299"/>
      <c r="CF580" s="294"/>
      <c r="CG580" s="294"/>
      <c r="CH580" s="294"/>
      <c r="CI580" s="294"/>
      <c r="CJ580" s="294"/>
      <c r="CK580" s="294"/>
      <c r="CL580" s="294"/>
      <c r="CM580" s="294"/>
      <c r="CN580" s="294"/>
    </row>
    <row r="581" spans="2:92" ht="13">
      <c r="B581" s="294"/>
      <c r="F581" s="302"/>
      <c r="J581" s="302"/>
      <c r="AI581" s="188"/>
      <c r="AJ581" s="188"/>
      <c r="AK581" s="188"/>
      <c r="AL581" s="188"/>
      <c r="AM581" s="188"/>
      <c r="AN581" s="188"/>
      <c r="AO581" s="299"/>
      <c r="CF581" s="294"/>
      <c r="CG581" s="294"/>
      <c r="CH581" s="294"/>
      <c r="CI581" s="294"/>
      <c r="CJ581" s="294"/>
      <c r="CK581" s="294"/>
      <c r="CL581" s="294"/>
      <c r="CM581" s="294"/>
      <c r="CN581" s="294"/>
    </row>
    <row r="582" spans="2:92" ht="13">
      <c r="B582" s="294"/>
      <c r="F582" s="302"/>
      <c r="J582" s="302"/>
      <c r="AI582" s="188"/>
      <c r="AJ582" s="188"/>
      <c r="AK582" s="188"/>
      <c r="AL582" s="188"/>
      <c r="AM582" s="188"/>
      <c r="AN582" s="188"/>
      <c r="AO582" s="299"/>
      <c r="CF582" s="294"/>
      <c r="CG582" s="294"/>
      <c r="CH582" s="294"/>
      <c r="CI582" s="294"/>
      <c r="CJ582" s="294"/>
      <c r="CK582" s="294"/>
      <c r="CL582" s="294"/>
      <c r="CM582" s="294"/>
      <c r="CN582" s="294"/>
    </row>
    <row r="583" spans="2:92" ht="13">
      <c r="B583" s="294"/>
      <c r="F583" s="302"/>
      <c r="J583" s="302"/>
      <c r="AI583" s="188"/>
      <c r="AJ583" s="188"/>
      <c r="AK583" s="188"/>
      <c r="AL583" s="188"/>
      <c r="AM583" s="188"/>
      <c r="AN583" s="188"/>
      <c r="AO583" s="299"/>
      <c r="CF583" s="294"/>
      <c r="CG583" s="294"/>
      <c r="CH583" s="294"/>
      <c r="CI583" s="294"/>
      <c r="CJ583" s="294"/>
      <c r="CK583" s="294"/>
      <c r="CL583" s="294"/>
      <c r="CM583" s="294"/>
      <c r="CN583" s="294"/>
    </row>
    <row r="584" spans="2:92" ht="13">
      <c r="B584" s="294"/>
      <c r="F584" s="302"/>
      <c r="J584" s="302"/>
      <c r="AI584" s="188"/>
      <c r="AJ584" s="188"/>
      <c r="AK584" s="188"/>
      <c r="AL584" s="188"/>
      <c r="AM584" s="188"/>
      <c r="AN584" s="188"/>
      <c r="AO584" s="299"/>
      <c r="CF584" s="294"/>
      <c r="CG584" s="294"/>
      <c r="CH584" s="294"/>
      <c r="CI584" s="294"/>
      <c r="CJ584" s="294"/>
      <c r="CK584" s="294"/>
      <c r="CL584" s="294"/>
      <c r="CM584" s="294"/>
      <c r="CN584" s="294"/>
    </row>
    <row r="585" spans="2:92" ht="13">
      <c r="B585" s="294"/>
      <c r="F585" s="302"/>
      <c r="J585" s="302"/>
      <c r="AI585" s="188"/>
      <c r="AJ585" s="188"/>
      <c r="AK585" s="188"/>
      <c r="AL585" s="188"/>
      <c r="AM585" s="188"/>
      <c r="AN585" s="188"/>
      <c r="AO585" s="299"/>
      <c r="CF585" s="294"/>
      <c r="CG585" s="294"/>
      <c r="CH585" s="294"/>
      <c r="CI585" s="294"/>
      <c r="CJ585" s="294"/>
      <c r="CK585" s="294"/>
      <c r="CL585" s="294"/>
      <c r="CM585" s="294"/>
      <c r="CN585" s="294"/>
    </row>
    <row r="586" spans="2:92" ht="13">
      <c r="B586" s="294"/>
      <c r="F586" s="302"/>
      <c r="J586" s="302"/>
      <c r="AI586" s="188"/>
      <c r="AJ586" s="188"/>
      <c r="AK586" s="188"/>
      <c r="AL586" s="188"/>
      <c r="AM586" s="188"/>
      <c r="AN586" s="188"/>
      <c r="AO586" s="299"/>
      <c r="CF586" s="294"/>
      <c r="CG586" s="294"/>
      <c r="CH586" s="294"/>
      <c r="CI586" s="294"/>
      <c r="CJ586" s="294"/>
      <c r="CK586" s="294"/>
      <c r="CL586" s="294"/>
      <c r="CM586" s="294"/>
      <c r="CN586" s="294"/>
    </row>
    <row r="587" spans="2:92" ht="13">
      <c r="B587" s="294"/>
      <c r="F587" s="302"/>
      <c r="J587" s="302"/>
      <c r="AI587" s="188"/>
      <c r="AJ587" s="188"/>
      <c r="AK587" s="188"/>
      <c r="AL587" s="188"/>
      <c r="AM587" s="188"/>
      <c r="AN587" s="188"/>
      <c r="AO587" s="299"/>
      <c r="CF587" s="294"/>
      <c r="CG587" s="294"/>
      <c r="CH587" s="294"/>
      <c r="CI587" s="294"/>
      <c r="CJ587" s="294"/>
      <c r="CK587" s="294"/>
      <c r="CL587" s="294"/>
      <c r="CM587" s="294"/>
      <c r="CN587" s="294"/>
    </row>
    <row r="588" spans="2:92" ht="13">
      <c r="B588" s="294"/>
      <c r="F588" s="302"/>
      <c r="J588" s="302"/>
      <c r="AI588" s="188"/>
      <c r="AJ588" s="188"/>
      <c r="AK588" s="188"/>
      <c r="AL588" s="188"/>
      <c r="AM588" s="188"/>
      <c r="AN588" s="188"/>
      <c r="AO588" s="299"/>
      <c r="CF588" s="294"/>
      <c r="CG588" s="294"/>
      <c r="CH588" s="294"/>
      <c r="CI588" s="294"/>
      <c r="CJ588" s="294"/>
      <c r="CK588" s="294"/>
      <c r="CL588" s="294"/>
      <c r="CM588" s="294"/>
      <c r="CN588" s="294"/>
    </row>
    <row r="589" spans="2:92" ht="13">
      <c r="B589" s="294"/>
      <c r="F589" s="302"/>
      <c r="J589" s="302"/>
      <c r="AI589" s="188"/>
      <c r="AJ589" s="188"/>
      <c r="AK589" s="188"/>
      <c r="AL589" s="188"/>
      <c r="AM589" s="188"/>
      <c r="AN589" s="188"/>
      <c r="AO589" s="299"/>
      <c r="CF589" s="294"/>
      <c r="CG589" s="294"/>
      <c r="CH589" s="294"/>
      <c r="CI589" s="294"/>
      <c r="CJ589" s="294"/>
      <c r="CK589" s="294"/>
      <c r="CL589" s="294"/>
      <c r="CM589" s="294"/>
      <c r="CN589" s="294"/>
    </row>
    <row r="590" spans="2:92" ht="13">
      <c r="B590" s="294"/>
      <c r="F590" s="302"/>
      <c r="J590" s="302"/>
      <c r="AI590" s="188"/>
      <c r="AJ590" s="188"/>
      <c r="AK590" s="188"/>
      <c r="AL590" s="188"/>
      <c r="AM590" s="188"/>
      <c r="AN590" s="188"/>
      <c r="AO590" s="299"/>
      <c r="CF590" s="294"/>
      <c r="CG590" s="294"/>
      <c r="CH590" s="294"/>
      <c r="CI590" s="294"/>
      <c r="CJ590" s="294"/>
      <c r="CK590" s="294"/>
      <c r="CL590" s="294"/>
      <c r="CM590" s="294"/>
      <c r="CN590" s="294"/>
    </row>
    <row r="591" spans="2:92" ht="13">
      <c r="B591" s="294"/>
      <c r="F591" s="302"/>
      <c r="J591" s="302"/>
      <c r="AI591" s="188"/>
      <c r="AJ591" s="188"/>
      <c r="AK591" s="188"/>
      <c r="AL591" s="188"/>
      <c r="AM591" s="188"/>
      <c r="AN591" s="188"/>
      <c r="AO591" s="299"/>
      <c r="CF591" s="294"/>
      <c r="CG591" s="294"/>
      <c r="CH591" s="294"/>
      <c r="CI591" s="294"/>
      <c r="CJ591" s="294"/>
      <c r="CK591" s="294"/>
      <c r="CL591" s="294"/>
      <c r="CM591" s="294"/>
      <c r="CN591" s="294"/>
    </row>
    <row r="592" spans="2:92" ht="13">
      <c r="B592" s="294"/>
      <c r="F592" s="302"/>
      <c r="J592" s="302"/>
      <c r="AI592" s="188"/>
      <c r="AJ592" s="188"/>
      <c r="AK592" s="188"/>
      <c r="AL592" s="188"/>
      <c r="AM592" s="188"/>
      <c r="AN592" s="188"/>
      <c r="AO592" s="299"/>
      <c r="CF592" s="294"/>
      <c r="CG592" s="294"/>
      <c r="CH592" s="294"/>
      <c r="CI592" s="294"/>
      <c r="CJ592" s="294"/>
      <c r="CK592" s="294"/>
      <c r="CL592" s="294"/>
      <c r="CM592" s="294"/>
      <c r="CN592" s="294"/>
    </row>
    <row r="593" spans="2:92" ht="13">
      <c r="B593" s="294"/>
      <c r="F593" s="302"/>
      <c r="J593" s="302"/>
      <c r="AI593" s="188"/>
      <c r="AJ593" s="188"/>
      <c r="AK593" s="188"/>
      <c r="AL593" s="188"/>
      <c r="AM593" s="188"/>
      <c r="AN593" s="188"/>
      <c r="AO593" s="299"/>
      <c r="CF593" s="294"/>
      <c r="CG593" s="294"/>
      <c r="CH593" s="294"/>
      <c r="CI593" s="294"/>
      <c r="CJ593" s="294"/>
      <c r="CK593" s="294"/>
      <c r="CL593" s="294"/>
      <c r="CM593" s="294"/>
      <c r="CN593" s="294"/>
    </row>
    <row r="594" spans="2:92" ht="13">
      <c r="B594" s="294"/>
      <c r="F594" s="302"/>
      <c r="J594" s="302"/>
      <c r="AI594" s="188"/>
      <c r="AJ594" s="188"/>
      <c r="AK594" s="188"/>
      <c r="AL594" s="188"/>
      <c r="AM594" s="188"/>
      <c r="AN594" s="188"/>
      <c r="AO594" s="299"/>
      <c r="CF594" s="294"/>
      <c r="CG594" s="294"/>
      <c r="CH594" s="294"/>
      <c r="CI594" s="294"/>
      <c r="CJ594" s="294"/>
      <c r="CK594" s="294"/>
      <c r="CL594" s="294"/>
      <c r="CM594" s="294"/>
      <c r="CN594" s="294"/>
    </row>
    <row r="595" spans="2:92" ht="13">
      <c r="B595" s="294"/>
      <c r="F595" s="302"/>
      <c r="J595" s="302"/>
      <c r="AI595" s="188"/>
      <c r="AJ595" s="188"/>
      <c r="AK595" s="188"/>
      <c r="AL595" s="188"/>
      <c r="AM595" s="188"/>
      <c r="AN595" s="188"/>
      <c r="AO595" s="299"/>
      <c r="CF595" s="294"/>
      <c r="CG595" s="294"/>
      <c r="CH595" s="294"/>
      <c r="CI595" s="294"/>
      <c r="CJ595" s="294"/>
      <c r="CK595" s="294"/>
      <c r="CL595" s="294"/>
      <c r="CM595" s="294"/>
      <c r="CN595" s="294"/>
    </row>
    <row r="596" spans="2:92" ht="13">
      <c r="B596" s="294"/>
      <c r="F596" s="302"/>
      <c r="J596" s="302"/>
      <c r="AI596" s="188"/>
      <c r="AJ596" s="188"/>
      <c r="AK596" s="188"/>
      <c r="AL596" s="188"/>
      <c r="AM596" s="188"/>
      <c r="AN596" s="188"/>
      <c r="AO596" s="299"/>
      <c r="CF596" s="294"/>
      <c r="CG596" s="294"/>
      <c r="CH596" s="294"/>
      <c r="CI596" s="294"/>
      <c r="CJ596" s="294"/>
      <c r="CK596" s="294"/>
      <c r="CL596" s="294"/>
      <c r="CM596" s="294"/>
      <c r="CN596" s="294"/>
    </row>
    <row r="597" spans="2:92" ht="13">
      <c r="B597" s="294"/>
      <c r="F597" s="302"/>
      <c r="J597" s="302"/>
      <c r="AI597" s="188"/>
      <c r="AJ597" s="188"/>
      <c r="AK597" s="188"/>
      <c r="AL597" s="188"/>
      <c r="AM597" s="188"/>
      <c r="AN597" s="188"/>
      <c r="AO597" s="299"/>
      <c r="CF597" s="294"/>
      <c r="CG597" s="294"/>
      <c r="CH597" s="294"/>
      <c r="CI597" s="294"/>
      <c r="CJ597" s="294"/>
      <c r="CK597" s="294"/>
      <c r="CL597" s="294"/>
      <c r="CM597" s="294"/>
      <c r="CN597" s="294"/>
    </row>
    <row r="598" spans="2:92" ht="13">
      <c r="B598" s="294"/>
      <c r="F598" s="302"/>
      <c r="J598" s="302"/>
      <c r="AI598" s="188"/>
      <c r="AJ598" s="188"/>
      <c r="AK598" s="188"/>
      <c r="AL598" s="188"/>
      <c r="AM598" s="188"/>
      <c r="AN598" s="188"/>
      <c r="AO598" s="299"/>
      <c r="CF598" s="294"/>
      <c r="CG598" s="294"/>
      <c r="CH598" s="294"/>
      <c r="CI598" s="294"/>
      <c r="CJ598" s="294"/>
      <c r="CK598" s="294"/>
      <c r="CL598" s="294"/>
      <c r="CM598" s="294"/>
      <c r="CN598" s="294"/>
    </row>
    <row r="599" spans="2:92" ht="13">
      <c r="B599" s="294"/>
      <c r="F599" s="302"/>
      <c r="J599" s="302"/>
      <c r="AI599" s="188"/>
      <c r="AJ599" s="188"/>
      <c r="AK599" s="188"/>
      <c r="AL599" s="188"/>
      <c r="AM599" s="188"/>
      <c r="AN599" s="188"/>
      <c r="AO599" s="299"/>
      <c r="CF599" s="294"/>
      <c r="CG599" s="294"/>
      <c r="CH599" s="294"/>
      <c r="CI599" s="294"/>
      <c r="CJ599" s="294"/>
      <c r="CK599" s="294"/>
      <c r="CL599" s="294"/>
      <c r="CM599" s="294"/>
      <c r="CN599" s="294"/>
    </row>
    <row r="600" spans="2:92" ht="13">
      <c r="B600" s="294"/>
      <c r="F600" s="302"/>
      <c r="J600" s="302"/>
      <c r="AI600" s="188"/>
      <c r="AJ600" s="188"/>
      <c r="AK600" s="188"/>
      <c r="AL600" s="188"/>
      <c r="AM600" s="188"/>
      <c r="AN600" s="188"/>
      <c r="AO600" s="299"/>
      <c r="CF600" s="294"/>
      <c r="CG600" s="294"/>
      <c r="CH600" s="294"/>
      <c r="CI600" s="294"/>
      <c r="CJ600" s="294"/>
      <c r="CK600" s="294"/>
      <c r="CL600" s="294"/>
      <c r="CM600" s="294"/>
      <c r="CN600" s="294"/>
    </row>
    <row r="601" spans="2:92" ht="13">
      <c r="B601" s="294"/>
      <c r="F601" s="302"/>
      <c r="J601" s="302"/>
      <c r="AI601" s="188"/>
      <c r="AJ601" s="188"/>
      <c r="AK601" s="188"/>
      <c r="AL601" s="188"/>
      <c r="AM601" s="188"/>
      <c r="AN601" s="188"/>
      <c r="AO601" s="299"/>
      <c r="CF601" s="294"/>
      <c r="CG601" s="294"/>
      <c r="CH601" s="294"/>
      <c r="CI601" s="294"/>
      <c r="CJ601" s="294"/>
      <c r="CK601" s="294"/>
      <c r="CL601" s="294"/>
      <c r="CM601" s="294"/>
      <c r="CN601" s="294"/>
    </row>
    <row r="602" spans="2:92" ht="13">
      <c r="B602" s="294"/>
      <c r="F602" s="302"/>
      <c r="J602" s="302"/>
      <c r="AI602" s="188"/>
      <c r="AJ602" s="188"/>
      <c r="AK602" s="188"/>
      <c r="AL602" s="188"/>
      <c r="AM602" s="188"/>
      <c r="AN602" s="188"/>
      <c r="AO602" s="299"/>
      <c r="CF602" s="294"/>
      <c r="CG602" s="294"/>
      <c r="CH602" s="294"/>
      <c r="CI602" s="294"/>
      <c r="CJ602" s="294"/>
      <c r="CK602" s="294"/>
      <c r="CL602" s="294"/>
      <c r="CM602" s="294"/>
      <c r="CN602" s="294"/>
    </row>
    <row r="603" spans="2:92" ht="13">
      <c r="B603" s="294"/>
      <c r="F603" s="302"/>
      <c r="J603" s="302"/>
      <c r="AI603" s="188"/>
      <c r="AJ603" s="188"/>
      <c r="AK603" s="188"/>
      <c r="AL603" s="188"/>
      <c r="AM603" s="188"/>
      <c r="AN603" s="188"/>
      <c r="AO603" s="299"/>
      <c r="CF603" s="294"/>
      <c r="CG603" s="294"/>
      <c r="CH603" s="294"/>
      <c r="CI603" s="294"/>
      <c r="CJ603" s="294"/>
      <c r="CK603" s="294"/>
      <c r="CL603" s="294"/>
      <c r="CM603" s="294"/>
      <c r="CN603" s="294"/>
    </row>
    <row r="604" spans="2:92" ht="13">
      <c r="B604" s="294"/>
      <c r="F604" s="302"/>
      <c r="J604" s="302"/>
      <c r="AI604" s="188"/>
      <c r="AJ604" s="188"/>
      <c r="AK604" s="188"/>
      <c r="AL604" s="188"/>
      <c r="AM604" s="188"/>
      <c r="AN604" s="188"/>
      <c r="AO604" s="299"/>
      <c r="CF604" s="294"/>
      <c r="CG604" s="294"/>
      <c r="CH604" s="294"/>
      <c r="CI604" s="294"/>
      <c r="CJ604" s="294"/>
      <c r="CK604" s="294"/>
      <c r="CL604" s="294"/>
      <c r="CM604" s="294"/>
      <c r="CN604" s="294"/>
    </row>
    <row r="605" spans="2:92" ht="13">
      <c r="B605" s="294"/>
      <c r="F605" s="302"/>
      <c r="J605" s="302"/>
      <c r="AI605" s="188"/>
      <c r="AJ605" s="188"/>
      <c r="AK605" s="188"/>
      <c r="AL605" s="188"/>
      <c r="AM605" s="188"/>
      <c r="AN605" s="188"/>
      <c r="AO605" s="299"/>
      <c r="CF605" s="294"/>
      <c r="CG605" s="294"/>
      <c r="CH605" s="294"/>
      <c r="CI605" s="294"/>
      <c r="CJ605" s="294"/>
      <c r="CK605" s="294"/>
      <c r="CL605" s="294"/>
      <c r="CM605" s="294"/>
      <c r="CN605" s="294"/>
    </row>
    <row r="606" spans="2:92" ht="13">
      <c r="B606" s="294"/>
      <c r="F606" s="302"/>
      <c r="J606" s="302"/>
      <c r="AI606" s="188"/>
      <c r="AJ606" s="188"/>
      <c r="AK606" s="188"/>
      <c r="AL606" s="188"/>
      <c r="AM606" s="188"/>
      <c r="AN606" s="188"/>
      <c r="AO606" s="299"/>
      <c r="CF606" s="294"/>
      <c r="CG606" s="294"/>
      <c r="CH606" s="294"/>
      <c r="CI606" s="294"/>
      <c r="CJ606" s="294"/>
      <c r="CK606" s="294"/>
      <c r="CL606" s="294"/>
      <c r="CM606" s="294"/>
      <c r="CN606" s="294"/>
    </row>
    <row r="607" spans="2:92" ht="13">
      <c r="B607" s="294"/>
      <c r="F607" s="302"/>
      <c r="J607" s="302"/>
      <c r="AI607" s="188"/>
      <c r="AJ607" s="188"/>
      <c r="AK607" s="188"/>
      <c r="AL607" s="188"/>
      <c r="AM607" s="188"/>
      <c r="AN607" s="188"/>
      <c r="AO607" s="299"/>
      <c r="CF607" s="294"/>
      <c r="CG607" s="294"/>
      <c r="CH607" s="294"/>
      <c r="CI607" s="294"/>
      <c r="CJ607" s="294"/>
      <c r="CK607" s="294"/>
      <c r="CL607" s="294"/>
      <c r="CM607" s="294"/>
      <c r="CN607" s="294"/>
    </row>
    <row r="608" spans="2:92" ht="13">
      <c r="B608" s="294"/>
      <c r="F608" s="302"/>
      <c r="J608" s="302"/>
      <c r="AI608" s="188"/>
      <c r="AJ608" s="188"/>
      <c r="AK608" s="188"/>
      <c r="AL608" s="188"/>
      <c r="AM608" s="188"/>
      <c r="AN608" s="188"/>
      <c r="AO608" s="299"/>
      <c r="CF608" s="294"/>
      <c r="CG608" s="294"/>
      <c r="CH608" s="294"/>
      <c r="CI608" s="294"/>
      <c r="CJ608" s="294"/>
      <c r="CK608" s="294"/>
      <c r="CL608" s="294"/>
      <c r="CM608" s="294"/>
      <c r="CN608" s="294"/>
    </row>
    <row r="609" spans="2:92" ht="13">
      <c r="B609" s="294"/>
      <c r="F609" s="302"/>
      <c r="J609" s="302"/>
      <c r="AI609" s="188"/>
      <c r="AJ609" s="188"/>
      <c r="AK609" s="188"/>
      <c r="AL609" s="188"/>
      <c r="AM609" s="188"/>
      <c r="AN609" s="188"/>
      <c r="AO609" s="299"/>
      <c r="CF609" s="294"/>
      <c r="CG609" s="294"/>
      <c r="CH609" s="294"/>
      <c r="CI609" s="294"/>
      <c r="CJ609" s="294"/>
      <c r="CK609" s="294"/>
      <c r="CL609" s="294"/>
      <c r="CM609" s="294"/>
      <c r="CN609" s="294"/>
    </row>
    <row r="610" spans="2:92" ht="13">
      <c r="B610" s="294"/>
      <c r="F610" s="302"/>
      <c r="J610" s="302"/>
      <c r="AI610" s="188"/>
      <c r="AJ610" s="188"/>
      <c r="AK610" s="188"/>
      <c r="AL610" s="188"/>
      <c r="AM610" s="188"/>
      <c r="AN610" s="188"/>
      <c r="AO610" s="299"/>
      <c r="CF610" s="294"/>
      <c r="CG610" s="294"/>
      <c r="CH610" s="294"/>
      <c r="CI610" s="294"/>
      <c r="CJ610" s="294"/>
      <c r="CK610" s="294"/>
      <c r="CL610" s="294"/>
      <c r="CM610" s="294"/>
      <c r="CN610" s="294"/>
    </row>
    <row r="611" spans="2:92" ht="13">
      <c r="B611" s="294"/>
      <c r="F611" s="302"/>
      <c r="J611" s="302"/>
      <c r="AI611" s="188"/>
      <c r="AJ611" s="188"/>
      <c r="AK611" s="188"/>
      <c r="AL611" s="188"/>
      <c r="AM611" s="188"/>
      <c r="AN611" s="188"/>
      <c r="AO611" s="299"/>
      <c r="CF611" s="294"/>
      <c r="CG611" s="294"/>
      <c r="CH611" s="294"/>
      <c r="CI611" s="294"/>
      <c r="CJ611" s="294"/>
      <c r="CK611" s="294"/>
      <c r="CL611" s="294"/>
      <c r="CM611" s="294"/>
      <c r="CN611" s="294"/>
    </row>
    <row r="612" spans="2:92" ht="13">
      <c r="B612" s="294"/>
      <c r="F612" s="302"/>
      <c r="J612" s="302"/>
      <c r="AI612" s="188"/>
      <c r="AJ612" s="188"/>
      <c r="AK612" s="188"/>
      <c r="AL612" s="188"/>
      <c r="AM612" s="188"/>
      <c r="AN612" s="188"/>
      <c r="AO612" s="299"/>
      <c r="CF612" s="294"/>
      <c r="CG612" s="294"/>
      <c r="CH612" s="294"/>
      <c r="CI612" s="294"/>
      <c r="CJ612" s="294"/>
      <c r="CK612" s="294"/>
      <c r="CL612" s="294"/>
      <c r="CM612" s="294"/>
      <c r="CN612" s="294"/>
    </row>
    <row r="613" spans="2:92" ht="13">
      <c r="B613" s="294"/>
      <c r="F613" s="302"/>
      <c r="J613" s="302"/>
      <c r="AI613" s="188"/>
      <c r="AJ613" s="188"/>
      <c r="AK613" s="188"/>
      <c r="AL613" s="188"/>
      <c r="AM613" s="188"/>
      <c r="AN613" s="188"/>
      <c r="AO613" s="299"/>
      <c r="CF613" s="294"/>
      <c r="CG613" s="294"/>
      <c r="CH613" s="294"/>
      <c r="CI613" s="294"/>
      <c r="CJ613" s="294"/>
      <c r="CK613" s="294"/>
      <c r="CL613" s="294"/>
      <c r="CM613" s="294"/>
      <c r="CN613" s="294"/>
    </row>
    <row r="614" spans="2:92" ht="13">
      <c r="B614" s="294"/>
      <c r="F614" s="302"/>
      <c r="J614" s="302"/>
      <c r="AI614" s="188"/>
      <c r="AJ614" s="188"/>
      <c r="AK614" s="188"/>
      <c r="AL614" s="188"/>
      <c r="AM614" s="188"/>
      <c r="AN614" s="188"/>
      <c r="AO614" s="299"/>
      <c r="CF614" s="294"/>
      <c r="CG614" s="294"/>
      <c r="CH614" s="294"/>
      <c r="CI614" s="294"/>
      <c r="CJ614" s="294"/>
      <c r="CK614" s="294"/>
      <c r="CL614" s="294"/>
      <c r="CM614" s="294"/>
      <c r="CN614" s="294"/>
    </row>
    <row r="615" spans="2:92" ht="13">
      <c r="B615" s="294"/>
      <c r="F615" s="302"/>
      <c r="J615" s="302"/>
      <c r="AI615" s="188"/>
      <c r="AJ615" s="188"/>
      <c r="AK615" s="188"/>
      <c r="AL615" s="188"/>
      <c r="AM615" s="188"/>
      <c r="AN615" s="188"/>
      <c r="AO615" s="299"/>
      <c r="CF615" s="294"/>
      <c r="CG615" s="294"/>
      <c r="CH615" s="294"/>
      <c r="CI615" s="294"/>
      <c r="CJ615" s="294"/>
      <c r="CK615" s="294"/>
      <c r="CL615" s="294"/>
      <c r="CM615" s="294"/>
      <c r="CN615" s="294"/>
    </row>
    <row r="616" spans="2:92" ht="13">
      <c r="B616" s="294"/>
      <c r="F616" s="302"/>
      <c r="J616" s="302"/>
      <c r="AI616" s="188"/>
      <c r="AJ616" s="188"/>
      <c r="AK616" s="188"/>
      <c r="AL616" s="188"/>
      <c r="AM616" s="188"/>
      <c r="AN616" s="188"/>
      <c r="AO616" s="299"/>
      <c r="CF616" s="294"/>
      <c r="CG616" s="294"/>
      <c r="CH616" s="294"/>
      <c r="CI616" s="294"/>
      <c r="CJ616" s="294"/>
      <c r="CK616" s="294"/>
      <c r="CL616" s="294"/>
      <c r="CM616" s="294"/>
      <c r="CN616" s="294"/>
    </row>
    <row r="617" spans="2:92" ht="13">
      <c r="B617" s="294"/>
      <c r="F617" s="302"/>
      <c r="J617" s="302"/>
      <c r="AI617" s="188"/>
      <c r="AJ617" s="188"/>
      <c r="AK617" s="188"/>
      <c r="AL617" s="188"/>
      <c r="AM617" s="188"/>
      <c r="AN617" s="188"/>
      <c r="AO617" s="299"/>
      <c r="CF617" s="294"/>
      <c r="CG617" s="294"/>
      <c r="CH617" s="294"/>
      <c r="CI617" s="294"/>
      <c r="CJ617" s="294"/>
      <c r="CK617" s="294"/>
      <c r="CL617" s="294"/>
      <c r="CM617" s="294"/>
      <c r="CN617" s="294"/>
    </row>
    <row r="618" spans="2:92" ht="13">
      <c r="B618" s="294"/>
      <c r="F618" s="302"/>
      <c r="J618" s="302"/>
      <c r="AI618" s="188"/>
      <c r="AJ618" s="188"/>
      <c r="AK618" s="188"/>
      <c r="AL618" s="188"/>
      <c r="AM618" s="188"/>
      <c r="AN618" s="188"/>
      <c r="AO618" s="299"/>
      <c r="CF618" s="294"/>
      <c r="CG618" s="294"/>
      <c r="CH618" s="294"/>
      <c r="CI618" s="294"/>
      <c r="CJ618" s="294"/>
      <c r="CK618" s="294"/>
      <c r="CL618" s="294"/>
      <c r="CM618" s="294"/>
      <c r="CN618" s="294"/>
    </row>
    <row r="619" spans="2:92" ht="13">
      <c r="B619" s="294"/>
      <c r="F619" s="302"/>
      <c r="J619" s="302"/>
      <c r="AI619" s="188"/>
      <c r="AJ619" s="188"/>
      <c r="AK619" s="188"/>
      <c r="AL619" s="188"/>
      <c r="AM619" s="188"/>
      <c r="AN619" s="188"/>
      <c r="AO619" s="299"/>
      <c r="CF619" s="294"/>
      <c r="CG619" s="294"/>
      <c r="CH619" s="294"/>
      <c r="CI619" s="294"/>
      <c r="CJ619" s="294"/>
      <c r="CK619" s="294"/>
      <c r="CL619" s="294"/>
      <c r="CM619" s="294"/>
      <c r="CN619" s="294"/>
    </row>
    <row r="620" spans="2:92" ht="13">
      <c r="B620" s="294"/>
      <c r="F620" s="302"/>
      <c r="J620" s="302"/>
      <c r="AI620" s="188"/>
      <c r="AJ620" s="188"/>
      <c r="AK620" s="188"/>
      <c r="AL620" s="188"/>
      <c r="AM620" s="188"/>
      <c r="AN620" s="188"/>
      <c r="AO620" s="299"/>
      <c r="CF620" s="294"/>
      <c r="CG620" s="294"/>
      <c r="CH620" s="294"/>
      <c r="CI620" s="294"/>
      <c r="CJ620" s="294"/>
      <c r="CK620" s="294"/>
      <c r="CL620" s="294"/>
      <c r="CM620" s="294"/>
      <c r="CN620" s="294"/>
    </row>
    <row r="621" spans="2:92" ht="13">
      <c r="B621" s="294"/>
      <c r="F621" s="302"/>
      <c r="J621" s="302"/>
      <c r="AI621" s="188"/>
      <c r="AJ621" s="188"/>
      <c r="AK621" s="188"/>
      <c r="AL621" s="188"/>
      <c r="AM621" s="188"/>
      <c r="AN621" s="188"/>
      <c r="AO621" s="299"/>
      <c r="CF621" s="294"/>
      <c r="CG621" s="294"/>
      <c r="CH621" s="294"/>
      <c r="CI621" s="294"/>
      <c r="CJ621" s="294"/>
      <c r="CK621" s="294"/>
      <c r="CL621" s="294"/>
      <c r="CM621" s="294"/>
      <c r="CN621" s="294"/>
    </row>
    <row r="622" spans="2:92" ht="13">
      <c r="B622" s="294"/>
      <c r="F622" s="302"/>
      <c r="J622" s="302"/>
      <c r="AI622" s="188"/>
      <c r="AJ622" s="188"/>
      <c r="AK622" s="188"/>
      <c r="AL622" s="188"/>
      <c r="AM622" s="188"/>
      <c r="AN622" s="188"/>
      <c r="AO622" s="299"/>
      <c r="CF622" s="294"/>
      <c r="CG622" s="294"/>
      <c r="CH622" s="294"/>
      <c r="CI622" s="294"/>
      <c r="CJ622" s="294"/>
      <c r="CK622" s="294"/>
      <c r="CL622" s="294"/>
      <c r="CM622" s="294"/>
      <c r="CN622" s="294"/>
    </row>
    <row r="623" spans="2:92" ht="13">
      <c r="B623" s="294"/>
      <c r="F623" s="302"/>
      <c r="J623" s="302"/>
      <c r="AI623" s="188"/>
      <c r="AJ623" s="188"/>
      <c r="AK623" s="188"/>
      <c r="AL623" s="188"/>
      <c r="AM623" s="188"/>
      <c r="AN623" s="188"/>
      <c r="AO623" s="299"/>
      <c r="CF623" s="294"/>
      <c r="CG623" s="294"/>
      <c r="CH623" s="294"/>
      <c r="CI623" s="294"/>
      <c r="CJ623" s="294"/>
      <c r="CK623" s="294"/>
      <c r="CL623" s="294"/>
      <c r="CM623" s="294"/>
      <c r="CN623" s="294"/>
    </row>
    <row r="624" spans="2:92" ht="13">
      <c r="B624" s="294"/>
      <c r="F624" s="302"/>
      <c r="J624" s="302"/>
      <c r="AI624" s="188"/>
      <c r="AJ624" s="188"/>
      <c r="AK624" s="188"/>
      <c r="AL624" s="188"/>
      <c r="AM624" s="188"/>
      <c r="AN624" s="188"/>
      <c r="AO624" s="299"/>
      <c r="CF624" s="294"/>
      <c r="CG624" s="294"/>
      <c r="CH624" s="294"/>
      <c r="CI624" s="294"/>
      <c r="CJ624" s="294"/>
      <c r="CK624" s="294"/>
      <c r="CL624" s="294"/>
      <c r="CM624" s="294"/>
      <c r="CN624" s="294"/>
    </row>
    <row r="625" spans="2:92" ht="13">
      <c r="B625" s="294"/>
      <c r="F625" s="302"/>
      <c r="J625" s="302"/>
      <c r="AI625" s="188"/>
      <c r="AJ625" s="188"/>
      <c r="AK625" s="188"/>
      <c r="AL625" s="188"/>
      <c r="AM625" s="188"/>
      <c r="AN625" s="188"/>
      <c r="AO625" s="299"/>
      <c r="CF625" s="294"/>
      <c r="CG625" s="294"/>
      <c r="CH625" s="294"/>
      <c r="CI625" s="294"/>
      <c r="CJ625" s="294"/>
      <c r="CK625" s="294"/>
      <c r="CL625" s="294"/>
      <c r="CM625" s="294"/>
      <c r="CN625" s="294"/>
    </row>
    <row r="626" spans="2:92" ht="13">
      <c r="B626" s="294"/>
      <c r="F626" s="302"/>
      <c r="J626" s="302"/>
      <c r="AI626" s="188"/>
      <c r="AJ626" s="188"/>
      <c r="AK626" s="188"/>
      <c r="AL626" s="188"/>
      <c r="AM626" s="188"/>
      <c r="AN626" s="188"/>
      <c r="AO626" s="299"/>
      <c r="CF626" s="294"/>
      <c r="CG626" s="294"/>
      <c r="CH626" s="294"/>
      <c r="CI626" s="294"/>
      <c r="CJ626" s="294"/>
      <c r="CK626" s="294"/>
      <c r="CL626" s="294"/>
      <c r="CM626" s="294"/>
      <c r="CN626" s="294"/>
    </row>
    <row r="627" spans="2:92" ht="13">
      <c r="B627" s="294"/>
      <c r="F627" s="302"/>
      <c r="J627" s="302"/>
      <c r="AI627" s="188"/>
      <c r="AJ627" s="188"/>
      <c r="AK627" s="188"/>
      <c r="AL627" s="188"/>
      <c r="AM627" s="188"/>
      <c r="AN627" s="188"/>
      <c r="AO627" s="299"/>
      <c r="CF627" s="294"/>
      <c r="CG627" s="294"/>
      <c r="CH627" s="294"/>
      <c r="CI627" s="294"/>
      <c r="CJ627" s="294"/>
      <c r="CK627" s="294"/>
      <c r="CL627" s="294"/>
      <c r="CM627" s="294"/>
      <c r="CN627" s="294"/>
    </row>
    <row r="628" spans="2:92" ht="13">
      <c r="B628" s="294"/>
      <c r="F628" s="302"/>
      <c r="J628" s="302"/>
      <c r="AI628" s="188"/>
      <c r="AJ628" s="188"/>
      <c r="AK628" s="188"/>
      <c r="AL628" s="188"/>
      <c r="AM628" s="188"/>
      <c r="AN628" s="188"/>
      <c r="AO628" s="299"/>
      <c r="CF628" s="294"/>
      <c r="CG628" s="294"/>
      <c r="CH628" s="294"/>
      <c r="CI628" s="294"/>
      <c r="CJ628" s="294"/>
      <c r="CK628" s="294"/>
      <c r="CL628" s="294"/>
      <c r="CM628" s="294"/>
      <c r="CN628" s="294"/>
    </row>
    <row r="629" spans="2:92" ht="13">
      <c r="B629" s="294"/>
      <c r="F629" s="302"/>
      <c r="J629" s="302"/>
      <c r="AI629" s="188"/>
      <c r="AJ629" s="188"/>
      <c r="AK629" s="188"/>
      <c r="AL629" s="188"/>
      <c r="AM629" s="188"/>
      <c r="AN629" s="188"/>
      <c r="AO629" s="299"/>
      <c r="CF629" s="294"/>
      <c r="CG629" s="294"/>
      <c r="CH629" s="294"/>
      <c r="CI629" s="294"/>
      <c r="CJ629" s="294"/>
      <c r="CK629" s="294"/>
      <c r="CL629" s="294"/>
      <c r="CM629" s="294"/>
      <c r="CN629" s="294"/>
    </row>
    <row r="630" spans="2:92" ht="13">
      <c r="B630" s="294"/>
      <c r="F630" s="302"/>
      <c r="J630" s="302"/>
      <c r="AI630" s="188"/>
      <c r="AJ630" s="188"/>
      <c r="AK630" s="188"/>
      <c r="AL630" s="188"/>
      <c r="AM630" s="188"/>
      <c r="AN630" s="188"/>
      <c r="AO630" s="299"/>
      <c r="CF630" s="294"/>
      <c r="CG630" s="294"/>
      <c r="CH630" s="294"/>
      <c r="CI630" s="294"/>
      <c r="CJ630" s="294"/>
      <c r="CK630" s="294"/>
      <c r="CL630" s="294"/>
      <c r="CM630" s="294"/>
      <c r="CN630" s="294"/>
    </row>
    <row r="631" spans="2:92" ht="13">
      <c r="B631" s="294"/>
      <c r="F631" s="302"/>
      <c r="J631" s="302"/>
      <c r="AI631" s="188"/>
      <c r="AJ631" s="188"/>
      <c r="AK631" s="188"/>
      <c r="AL631" s="188"/>
      <c r="AM631" s="188"/>
      <c r="AN631" s="188"/>
      <c r="AO631" s="299"/>
      <c r="CF631" s="294"/>
      <c r="CG631" s="294"/>
      <c r="CH631" s="294"/>
      <c r="CI631" s="294"/>
      <c r="CJ631" s="294"/>
      <c r="CK631" s="294"/>
      <c r="CL631" s="294"/>
      <c r="CM631" s="294"/>
      <c r="CN631" s="294"/>
    </row>
    <row r="632" spans="2:92" ht="13">
      <c r="B632" s="294"/>
      <c r="F632" s="302"/>
      <c r="J632" s="302"/>
      <c r="AI632" s="188"/>
      <c r="AJ632" s="188"/>
      <c r="AK632" s="188"/>
      <c r="AL632" s="188"/>
      <c r="AM632" s="188"/>
      <c r="AN632" s="188"/>
      <c r="AO632" s="299"/>
      <c r="CF632" s="294"/>
      <c r="CG632" s="294"/>
      <c r="CH632" s="294"/>
      <c r="CI632" s="294"/>
      <c r="CJ632" s="294"/>
      <c r="CK632" s="294"/>
      <c r="CL632" s="294"/>
      <c r="CM632" s="294"/>
      <c r="CN632" s="294"/>
    </row>
    <row r="633" spans="2:92" ht="13">
      <c r="B633" s="294"/>
      <c r="F633" s="302"/>
      <c r="J633" s="302"/>
      <c r="AI633" s="188"/>
      <c r="AJ633" s="188"/>
      <c r="AK633" s="188"/>
      <c r="AL633" s="188"/>
      <c r="AM633" s="188"/>
      <c r="AN633" s="188"/>
      <c r="AO633" s="299"/>
      <c r="CF633" s="294"/>
      <c r="CG633" s="294"/>
      <c r="CH633" s="294"/>
      <c r="CI633" s="294"/>
      <c r="CJ633" s="294"/>
      <c r="CK633" s="294"/>
      <c r="CL633" s="294"/>
      <c r="CM633" s="294"/>
      <c r="CN633" s="294"/>
    </row>
    <row r="634" spans="2:92" ht="13">
      <c r="B634" s="294"/>
      <c r="F634" s="302"/>
      <c r="J634" s="302"/>
      <c r="AI634" s="188"/>
      <c r="AJ634" s="188"/>
      <c r="AK634" s="188"/>
      <c r="AL634" s="188"/>
      <c r="AM634" s="188"/>
      <c r="AN634" s="188"/>
      <c r="AO634" s="299"/>
      <c r="CF634" s="294"/>
      <c r="CG634" s="294"/>
      <c r="CH634" s="294"/>
      <c r="CI634" s="294"/>
      <c r="CJ634" s="294"/>
      <c r="CK634" s="294"/>
      <c r="CL634" s="294"/>
      <c r="CM634" s="294"/>
      <c r="CN634" s="294"/>
    </row>
    <row r="635" spans="2:92" ht="13">
      <c r="B635" s="294"/>
      <c r="F635" s="302"/>
      <c r="J635" s="302"/>
      <c r="AI635" s="188"/>
      <c r="AJ635" s="188"/>
      <c r="AK635" s="188"/>
      <c r="AL635" s="188"/>
      <c r="AM635" s="188"/>
      <c r="AN635" s="188"/>
      <c r="AO635" s="299"/>
      <c r="CF635" s="294"/>
      <c r="CG635" s="294"/>
      <c r="CH635" s="294"/>
      <c r="CI635" s="294"/>
      <c r="CJ635" s="294"/>
      <c r="CK635" s="294"/>
      <c r="CL635" s="294"/>
      <c r="CM635" s="294"/>
      <c r="CN635" s="294"/>
    </row>
    <row r="636" spans="2:92" ht="13">
      <c r="B636" s="294"/>
      <c r="F636" s="302"/>
      <c r="J636" s="302"/>
      <c r="AI636" s="188"/>
      <c r="AJ636" s="188"/>
      <c r="AK636" s="188"/>
      <c r="AL636" s="188"/>
      <c r="AM636" s="188"/>
      <c r="AN636" s="188"/>
      <c r="AO636" s="299"/>
      <c r="CF636" s="294"/>
      <c r="CG636" s="294"/>
      <c r="CH636" s="294"/>
      <c r="CI636" s="294"/>
      <c r="CJ636" s="294"/>
      <c r="CK636" s="294"/>
      <c r="CL636" s="294"/>
      <c r="CM636" s="294"/>
      <c r="CN636" s="294"/>
    </row>
    <row r="637" spans="2:92" ht="13">
      <c r="B637" s="294"/>
      <c r="F637" s="302"/>
      <c r="J637" s="302"/>
      <c r="AI637" s="188"/>
      <c r="AJ637" s="188"/>
      <c r="AK637" s="188"/>
      <c r="AL637" s="188"/>
      <c r="AM637" s="188"/>
      <c r="AN637" s="188"/>
      <c r="AO637" s="299"/>
      <c r="CF637" s="294"/>
      <c r="CG637" s="294"/>
      <c r="CH637" s="294"/>
      <c r="CI637" s="294"/>
      <c r="CJ637" s="294"/>
      <c r="CK637" s="294"/>
      <c r="CL637" s="294"/>
      <c r="CM637" s="294"/>
      <c r="CN637" s="294"/>
    </row>
    <row r="638" spans="2:92" ht="13">
      <c r="B638" s="294"/>
      <c r="F638" s="302"/>
      <c r="J638" s="302"/>
      <c r="AI638" s="188"/>
      <c r="AJ638" s="188"/>
      <c r="AK638" s="188"/>
      <c r="AL638" s="188"/>
      <c r="AM638" s="188"/>
      <c r="AN638" s="188"/>
      <c r="AO638" s="299"/>
      <c r="CF638" s="294"/>
      <c r="CG638" s="294"/>
      <c r="CH638" s="294"/>
      <c r="CI638" s="294"/>
      <c r="CJ638" s="294"/>
      <c r="CK638" s="294"/>
      <c r="CL638" s="294"/>
      <c r="CM638" s="294"/>
      <c r="CN638" s="294"/>
    </row>
    <row r="639" spans="2:92" ht="13">
      <c r="B639" s="294"/>
      <c r="F639" s="302"/>
      <c r="J639" s="302"/>
      <c r="AI639" s="188"/>
      <c r="AJ639" s="188"/>
      <c r="AK639" s="188"/>
      <c r="AL639" s="188"/>
      <c r="AM639" s="188"/>
      <c r="AN639" s="188"/>
      <c r="AO639" s="299"/>
      <c r="CF639" s="294"/>
      <c r="CG639" s="294"/>
      <c r="CH639" s="294"/>
      <c r="CI639" s="294"/>
      <c r="CJ639" s="294"/>
      <c r="CK639" s="294"/>
      <c r="CL639" s="294"/>
      <c r="CM639" s="294"/>
      <c r="CN639" s="294"/>
    </row>
    <row r="640" spans="2:92" ht="13">
      <c r="B640" s="294"/>
      <c r="F640" s="302"/>
      <c r="J640" s="302"/>
      <c r="AI640" s="188"/>
      <c r="AJ640" s="188"/>
      <c r="AK640" s="188"/>
      <c r="AL640" s="188"/>
      <c r="AM640" s="188"/>
      <c r="AN640" s="188"/>
      <c r="AO640" s="299"/>
      <c r="CF640" s="294"/>
      <c r="CG640" s="294"/>
      <c r="CH640" s="294"/>
      <c r="CI640" s="294"/>
      <c r="CJ640" s="294"/>
      <c r="CK640" s="294"/>
      <c r="CL640" s="294"/>
      <c r="CM640" s="294"/>
      <c r="CN640" s="294"/>
    </row>
    <row r="641" spans="2:92" ht="13">
      <c r="B641" s="294"/>
      <c r="F641" s="302"/>
      <c r="J641" s="302"/>
      <c r="AI641" s="188"/>
      <c r="AJ641" s="188"/>
      <c r="AK641" s="188"/>
      <c r="AL641" s="188"/>
      <c r="AM641" s="188"/>
      <c r="AN641" s="188"/>
      <c r="AO641" s="299"/>
      <c r="CF641" s="294"/>
      <c r="CG641" s="294"/>
      <c r="CH641" s="294"/>
      <c r="CI641" s="294"/>
      <c r="CJ641" s="294"/>
      <c r="CK641" s="294"/>
      <c r="CL641" s="294"/>
      <c r="CM641" s="294"/>
      <c r="CN641" s="294"/>
    </row>
    <row r="642" spans="2:92" ht="13">
      <c r="B642" s="294"/>
      <c r="F642" s="302"/>
      <c r="J642" s="302"/>
      <c r="AI642" s="188"/>
      <c r="AJ642" s="188"/>
      <c r="AK642" s="188"/>
      <c r="AL642" s="188"/>
      <c r="AM642" s="188"/>
      <c r="AN642" s="188"/>
      <c r="AO642" s="299"/>
      <c r="CF642" s="294"/>
      <c r="CG642" s="294"/>
      <c r="CH642" s="294"/>
      <c r="CI642" s="294"/>
      <c r="CJ642" s="294"/>
      <c r="CK642" s="294"/>
      <c r="CL642" s="294"/>
      <c r="CM642" s="294"/>
      <c r="CN642" s="294"/>
    </row>
    <row r="643" spans="2:92" ht="13">
      <c r="B643" s="294"/>
      <c r="F643" s="302"/>
      <c r="J643" s="302"/>
      <c r="AI643" s="188"/>
      <c r="AJ643" s="188"/>
      <c r="AK643" s="188"/>
      <c r="AL643" s="188"/>
      <c r="AM643" s="188"/>
      <c r="AN643" s="188"/>
      <c r="AO643" s="299"/>
      <c r="CF643" s="294"/>
      <c r="CG643" s="294"/>
      <c r="CH643" s="294"/>
      <c r="CI643" s="294"/>
      <c r="CJ643" s="294"/>
      <c r="CK643" s="294"/>
      <c r="CL643" s="294"/>
      <c r="CM643" s="294"/>
      <c r="CN643" s="294"/>
    </row>
    <row r="644" spans="2:92" ht="13">
      <c r="B644" s="294"/>
      <c r="F644" s="302"/>
      <c r="J644" s="302"/>
      <c r="AI644" s="188"/>
      <c r="AJ644" s="188"/>
      <c r="AK644" s="188"/>
      <c r="AL644" s="188"/>
      <c r="AM644" s="188"/>
      <c r="AN644" s="188"/>
      <c r="AO644" s="299"/>
      <c r="CF644" s="294"/>
      <c r="CG644" s="294"/>
      <c r="CH644" s="294"/>
      <c r="CI644" s="294"/>
      <c r="CJ644" s="294"/>
      <c r="CK644" s="294"/>
      <c r="CL644" s="294"/>
      <c r="CM644" s="294"/>
      <c r="CN644" s="294"/>
    </row>
    <row r="645" spans="2:92" ht="13">
      <c r="B645" s="294"/>
      <c r="F645" s="302"/>
      <c r="J645" s="302"/>
      <c r="AI645" s="188"/>
      <c r="AJ645" s="188"/>
      <c r="AK645" s="188"/>
      <c r="AL645" s="188"/>
      <c r="AM645" s="188"/>
      <c r="AN645" s="188"/>
      <c r="AO645" s="299"/>
      <c r="CF645" s="294"/>
      <c r="CG645" s="294"/>
      <c r="CH645" s="294"/>
      <c r="CI645" s="294"/>
      <c r="CJ645" s="294"/>
      <c r="CK645" s="294"/>
      <c r="CL645" s="294"/>
      <c r="CM645" s="294"/>
      <c r="CN645" s="294"/>
    </row>
    <row r="646" spans="2:92" ht="13">
      <c r="B646" s="294"/>
      <c r="F646" s="302"/>
      <c r="J646" s="302"/>
      <c r="AI646" s="188"/>
      <c r="AJ646" s="188"/>
      <c r="AK646" s="188"/>
      <c r="AL646" s="188"/>
      <c r="AM646" s="188"/>
      <c r="AN646" s="188"/>
      <c r="AO646" s="299"/>
      <c r="CF646" s="294"/>
      <c r="CG646" s="294"/>
      <c r="CH646" s="294"/>
      <c r="CI646" s="294"/>
      <c r="CJ646" s="294"/>
      <c r="CK646" s="294"/>
      <c r="CL646" s="294"/>
      <c r="CM646" s="294"/>
      <c r="CN646" s="294"/>
    </row>
    <row r="647" spans="2:92" ht="13">
      <c r="B647" s="294"/>
      <c r="F647" s="302"/>
      <c r="J647" s="302"/>
      <c r="AI647" s="188"/>
      <c r="AJ647" s="188"/>
      <c r="AK647" s="188"/>
      <c r="AL647" s="188"/>
      <c r="AM647" s="188"/>
      <c r="AN647" s="188"/>
      <c r="AO647" s="299"/>
      <c r="CF647" s="294"/>
      <c r="CG647" s="294"/>
      <c r="CH647" s="294"/>
      <c r="CI647" s="294"/>
      <c r="CJ647" s="294"/>
      <c r="CK647" s="294"/>
      <c r="CL647" s="294"/>
      <c r="CM647" s="294"/>
      <c r="CN647" s="294"/>
    </row>
    <row r="648" spans="2:92" ht="13">
      <c r="B648" s="294"/>
      <c r="F648" s="302"/>
      <c r="J648" s="302"/>
      <c r="AI648" s="188"/>
      <c r="AJ648" s="188"/>
      <c r="AK648" s="188"/>
      <c r="AL648" s="188"/>
      <c r="AM648" s="188"/>
      <c r="AN648" s="188"/>
      <c r="AO648" s="299"/>
      <c r="CF648" s="294"/>
      <c r="CG648" s="294"/>
      <c r="CH648" s="294"/>
      <c r="CI648" s="294"/>
      <c r="CJ648" s="294"/>
      <c r="CK648" s="294"/>
      <c r="CL648" s="294"/>
      <c r="CM648" s="294"/>
      <c r="CN648" s="294"/>
    </row>
    <row r="649" spans="2:92" ht="13">
      <c r="B649" s="294"/>
      <c r="F649" s="302"/>
      <c r="J649" s="302"/>
      <c r="AI649" s="188"/>
      <c r="AJ649" s="188"/>
      <c r="AK649" s="188"/>
      <c r="AL649" s="188"/>
      <c r="AM649" s="188"/>
      <c r="AN649" s="188"/>
      <c r="AO649" s="299"/>
      <c r="CF649" s="294"/>
      <c r="CG649" s="294"/>
      <c r="CH649" s="294"/>
      <c r="CI649" s="294"/>
      <c r="CJ649" s="294"/>
      <c r="CK649" s="294"/>
      <c r="CL649" s="294"/>
      <c r="CM649" s="294"/>
      <c r="CN649" s="294"/>
    </row>
    <row r="650" spans="2:92" ht="13">
      <c r="B650" s="294"/>
      <c r="F650" s="302"/>
      <c r="J650" s="302"/>
      <c r="AI650" s="188"/>
      <c r="AJ650" s="188"/>
      <c r="AK650" s="188"/>
      <c r="AL650" s="188"/>
      <c r="AM650" s="188"/>
      <c r="AN650" s="188"/>
      <c r="AO650" s="299"/>
      <c r="CF650" s="294"/>
      <c r="CG650" s="294"/>
      <c r="CH650" s="294"/>
      <c r="CI650" s="294"/>
      <c r="CJ650" s="294"/>
      <c r="CK650" s="294"/>
      <c r="CL650" s="294"/>
      <c r="CM650" s="294"/>
      <c r="CN650" s="294"/>
    </row>
    <row r="651" spans="2:92" ht="13">
      <c r="B651" s="294"/>
      <c r="F651" s="302"/>
      <c r="J651" s="302"/>
      <c r="AI651" s="188"/>
      <c r="AJ651" s="188"/>
      <c r="AK651" s="188"/>
      <c r="AL651" s="188"/>
      <c r="AM651" s="188"/>
      <c r="AN651" s="188"/>
      <c r="AO651" s="299"/>
      <c r="CF651" s="294"/>
      <c r="CG651" s="294"/>
      <c r="CH651" s="294"/>
      <c r="CI651" s="294"/>
      <c r="CJ651" s="294"/>
      <c r="CK651" s="294"/>
      <c r="CL651" s="294"/>
      <c r="CM651" s="294"/>
      <c r="CN651" s="294"/>
    </row>
    <row r="652" spans="2:92" ht="13">
      <c r="B652" s="294"/>
      <c r="F652" s="302"/>
      <c r="J652" s="302"/>
      <c r="AI652" s="188"/>
      <c r="AJ652" s="188"/>
      <c r="AK652" s="188"/>
      <c r="AL652" s="188"/>
      <c r="AM652" s="188"/>
      <c r="AN652" s="188"/>
      <c r="AO652" s="299"/>
      <c r="CF652" s="294"/>
      <c r="CG652" s="294"/>
      <c r="CH652" s="294"/>
      <c r="CI652" s="294"/>
      <c r="CJ652" s="294"/>
      <c r="CK652" s="294"/>
      <c r="CL652" s="294"/>
      <c r="CM652" s="294"/>
      <c r="CN652" s="294"/>
    </row>
    <row r="653" spans="2:92" ht="13">
      <c r="B653" s="294"/>
      <c r="F653" s="302"/>
      <c r="J653" s="302"/>
      <c r="AI653" s="188"/>
      <c r="AJ653" s="188"/>
      <c r="AK653" s="188"/>
      <c r="AL653" s="188"/>
      <c r="AM653" s="188"/>
      <c r="AN653" s="188"/>
      <c r="AO653" s="299"/>
      <c r="CF653" s="294"/>
      <c r="CG653" s="294"/>
      <c r="CH653" s="294"/>
      <c r="CI653" s="294"/>
      <c r="CJ653" s="294"/>
      <c r="CK653" s="294"/>
      <c r="CL653" s="294"/>
      <c r="CM653" s="294"/>
      <c r="CN653" s="294"/>
    </row>
    <row r="654" spans="2:92" ht="13">
      <c r="B654" s="294"/>
      <c r="F654" s="302"/>
      <c r="J654" s="302"/>
      <c r="AI654" s="188"/>
      <c r="AJ654" s="188"/>
      <c r="AK654" s="188"/>
      <c r="AL654" s="188"/>
      <c r="AM654" s="188"/>
      <c r="AN654" s="188"/>
      <c r="AO654" s="299"/>
      <c r="CF654" s="294"/>
      <c r="CG654" s="294"/>
      <c r="CH654" s="294"/>
      <c r="CI654" s="294"/>
      <c r="CJ654" s="294"/>
      <c r="CK654" s="294"/>
      <c r="CL654" s="294"/>
      <c r="CM654" s="294"/>
      <c r="CN654" s="294"/>
    </row>
    <row r="655" spans="2:92" ht="13">
      <c r="B655" s="294"/>
      <c r="F655" s="302"/>
      <c r="J655" s="302"/>
      <c r="AI655" s="188"/>
      <c r="AJ655" s="188"/>
      <c r="AK655" s="188"/>
      <c r="AL655" s="188"/>
      <c r="AM655" s="188"/>
      <c r="AN655" s="188"/>
      <c r="AO655" s="299"/>
      <c r="CF655" s="294"/>
      <c r="CG655" s="294"/>
      <c r="CH655" s="294"/>
      <c r="CI655" s="294"/>
      <c r="CJ655" s="294"/>
      <c r="CK655" s="294"/>
      <c r="CL655" s="294"/>
      <c r="CM655" s="294"/>
      <c r="CN655" s="294"/>
    </row>
    <row r="656" spans="2:92" ht="13">
      <c r="B656" s="294"/>
      <c r="F656" s="302"/>
      <c r="J656" s="302"/>
      <c r="AI656" s="188"/>
      <c r="AJ656" s="188"/>
      <c r="AK656" s="188"/>
      <c r="AL656" s="188"/>
      <c r="AM656" s="188"/>
      <c r="AN656" s="188"/>
      <c r="AO656" s="299"/>
      <c r="CF656" s="294"/>
      <c r="CG656" s="294"/>
      <c r="CH656" s="294"/>
      <c r="CI656" s="294"/>
      <c r="CJ656" s="294"/>
      <c r="CK656" s="294"/>
      <c r="CL656" s="294"/>
      <c r="CM656" s="294"/>
      <c r="CN656" s="294"/>
    </row>
    <row r="657" spans="2:92" ht="13">
      <c r="B657" s="294"/>
      <c r="F657" s="302"/>
      <c r="J657" s="302"/>
      <c r="AI657" s="188"/>
      <c r="AJ657" s="188"/>
      <c r="AK657" s="188"/>
      <c r="AL657" s="188"/>
      <c r="AM657" s="188"/>
      <c r="AN657" s="188"/>
      <c r="AO657" s="299"/>
      <c r="CF657" s="294"/>
      <c r="CG657" s="294"/>
      <c r="CH657" s="294"/>
      <c r="CI657" s="294"/>
      <c r="CJ657" s="294"/>
      <c r="CK657" s="294"/>
      <c r="CL657" s="294"/>
      <c r="CM657" s="294"/>
      <c r="CN657" s="294"/>
    </row>
    <row r="658" spans="2:92" ht="13">
      <c r="B658" s="294"/>
      <c r="F658" s="302"/>
      <c r="J658" s="302"/>
      <c r="AI658" s="188"/>
      <c r="AJ658" s="188"/>
      <c r="AK658" s="188"/>
      <c r="AL658" s="188"/>
      <c r="AM658" s="188"/>
      <c r="AN658" s="188"/>
      <c r="AO658" s="299"/>
      <c r="CF658" s="294"/>
      <c r="CG658" s="294"/>
      <c r="CH658" s="294"/>
      <c r="CI658" s="294"/>
      <c r="CJ658" s="294"/>
      <c r="CK658" s="294"/>
      <c r="CL658" s="294"/>
      <c r="CM658" s="294"/>
      <c r="CN658" s="294"/>
    </row>
    <row r="659" spans="2:92" ht="13">
      <c r="B659" s="294"/>
      <c r="F659" s="302"/>
      <c r="J659" s="302"/>
      <c r="AI659" s="188"/>
      <c r="AJ659" s="188"/>
      <c r="AK659" s="188"/>
      <c r="AL659" s="188"/>
      <c r="AM659" s="188"/>
      <c r="AN659" s="188"/>
      <c r="AO659" s="299"/>
      <c r="CF659" s="294"/>
      <c r="CG659" s="294"/>
      <c r="CH659" s="294"/>
      <c r="CI659" s="294"/>
      <c r="CJ659" s="294"/>
      <c r="CK659" s="294"/>
      <c r="CL659" s="294"/>
      <c r="CM659" s="294"/>
      <c r="CN659" s="294"/>
    </row>
    <row r="660" spans="2:92" ht="13">
      <c r="B660" s="294"/>
      <c r="F660" s="302"/>
      <c r="J660" s="302"/>
      <c r="AI660" s="188"/>
      <c r="AJ660" s="188"/>
      <c r="AK660" s="188"/>
      <c r="AL660" s="188"/>
      <c r="AM660" s="188"/>
      <c r="AN660" s="188"/>
      <c r="AO660" s="299"/>
      <c r="CF660" s="294"/>
      <c r="CG660" s="294"/>
      <c r="CH660" s="294"/>
      <c r="CI660" s="294"/>
      <c r="CJ660" s="294"/>
      <c r="CK660" s="294"/>
      <c r="CL660" s="294"/>
      <c r="CM660" s="294"/>
      <c r="CN660" s="294"/>
    </row>
    <row r="661" spans="2:92" ht="13">
      <c r="B661" s="294"/>
      <c r="F661" s="302"/>
      <c r="J661" s="302"/>
      <c r="AI661" s="188"/>
      <c r="AJ661" s="188"/>
      <c r="AK661" s="188"/>
      <c r="AL661" s="188"/>
      <c r="AM661" s="188"/>
      <c r="AN661" s="188"/>
      <c r="AO661" s="299"/>
      <c r="CF661" s="294"/>
      <c r="CG661" s="294"/>
      <c r="CH661" s="294"/>
      <c r="CI661" s="294"/>
      <c r="CJ661" s="294"/>
      <c r="CK661" s="294"/>
      <c r="CL661" s="294"/>
      <c r="CM661" s="294"/>
      <c r="CN661" s="294"/>
    </row>
    <row r="662" spans="2:92" ht="13">
      <c r="B662" s="294"/>
      <c r="F662" s="302"/>
      <c r="J662" s="302"/>
      <c r="AI662" s="188"/>
      <c r="AJ662" s="188"/>
      <c r="AK662" s="188"/>
      <c r="AL662" s="188"/>
      <c r="AM662" s="188"/>
      <c r="AN662" s="188"/>
      <c r="AO662" s="299"/>
      <c r="CF662" s="294"/>
      <c r="CG662" s="294"/>
      <c r="CH662" s="294"/>
      <c r="CI662" s="294"/>
      <c r="CJ662" s="294"/>
      <c r="CK662" s="294"/>
      <c r="CL662" s="294"/>
      <c r="CM662" s="294"/>
      <c r="CN662" s="294"/>
    </row>
    <row r="663" spans="2:92" ht="13">
      <c r="B663" s="294"/>
      <c r="F663" s="302"/>
      <c r="J663" s="302"/>
      <c r="AI663" s="188"/>
      <c r="AJ663" s="188"/>
      <c r="AK663" s="188"/>
      <c r="AL663" s="188"/>
      <c r="AM663" s="188"/>
      <c r="AN663" s="188"/>
      <c r="AO663" s="299"/>
      <c r="CF663" s="294"/>
      <c r="CG663" s="294"/>
      <c r="CH663" s="294"/>
      <c r="CI663" s="294"/>
      <c r="CJ663" s="294"/>
      <c r="CK663" s="294"/>
      <c r="CL663" s="294"/>
      <c r="CM663" s="294"/>
      <c r="CN663" s="294"/>
    </row>
    <row r="664" spans="2:92" ht="13">
      <c r="B664" s="294"/>
      <c r="F664" s="302"/>
      <c r="J664" s="302"/>
      <c r="AI664" s="188"/>
      <c r="AJ664" s="188"/>
      <c r="AK664" s="188"/>
      <c r="AL664" s="188"/>
      <c r="AM664" s="188"/>
      <c r="AN664" s="188"/>
      <c r="AO664" s="299"/>
      <c r="CF664" s="294"/>
      <c r="CG664" s="294"/>
      <c r="CH664" s="294"/>
      <c r="CI664" s="294"/>
      <c r="CJ664" s="294"/>
      <c r="CK664" s="294"/>
      <c r="CL664" s="294"/>
      <c r="CM664" s="294"/>
      <c r="CN664" s="294"/>
    </row>
    <row r="665" spans="2:92" ht="13">
      <c r="B665" s="294"/>
      <c r="F665" s="302"/>
      <c r="J665" s="302"/>
      <c r="AI665" s="188"/>
      <c r="AJ665" s="188"/>
      <c r="AK665" s="188"/>
      <c r="AL665" s="188"/>
      <c r="AM665" s="188"/>
      <c r="AN665" s="188"/>
      <c r="AO665" s="299"/>
      <c r="CF665" s="294"/>
      <c r="CG665" s="294"/>
      <c r="CH665" s="294"/>
      <c r="CI665" s="294"/>
      <c r="CJ665" s="294"/>
      <c r="CK665" s="294"/>
      <c r="CL665" s="294"/>
      <c r="CM665" s="294"/>
      <c r="CN665" s="294"/>
    </row>
    <row r="666" spans="2:92" ht="13">
      <c r="B666" s="294"/>
      <c r="F666" s="302"/>
      <c r="J666" s="302"/>
      <c r="AI666" s="188"/>
      <c r="AJ666" s="188"/>
      <c r="AK666" s="188"/>
      <c r="AL666" s="188"/>
      <c r="AM666" s="188"/>
      <c r="AN666" s="188"/>
      <c r="AO666" s="299"/>
      <c r="CF666" s="294"/>
      <c r="CG666" s="294"/>
      <c r="CH666" s="294"/>
      <c r="CI666" s="294"/>
      <c r="CJ666" s="294"/>
      <c r="CK666" s="294"/>
      <c r="CL666" s="294"/>
      <c r="CM666" s="294"/>
      <c r="CN666" s="294"/>
    </row>
    <row r="667" spans="2:92" ht="13">
      <c r="B667" s="294"/>
      <c r="F667" s="302"/>
      <c r="J667" s="302"/>
      <c r="AI667" s="188"/>
      <c r="AJ667" s="188"/>
      <c r="AK667" s="188"/>
      <c r="AL667" s="188"/>
      <c r="AM667" s="188"/>
      <c r="AN667" s="188"/>
      <c r="AO667" s="299"/>
      <c r="CF667" s="294"/>
      <c r="CG667" s="294"/>
      <c r="CH667" s="294"/>
      <c r="CI667" s="294"/>
      <c r="CJ667" s="294"/>
      <c r="CK667" s="294"/>
      <c r="CL667" s="294"/>
      <c r="CM667" s="294"/>
      <c r="CN667" s="294"/>
    </row>
    <row r="668" spans="2:92" ht="13">
      <c r="B668" s="294"/>
      <c r="F668" s="302"/>
      <c r="J668" s="302"/>
      <c r="AI668" s="188"/>
      <c r="AJ668" s="188"/>
      <c r="AK668" s="188"/>
      <c r="AL668" s="188"/>
      <c r="AM668" s="188"/>
      <c r="AN668" s="188"/>
      <c r="AO668" s="299"/>
      <c r="CF668" s="294"/>
      <c r="CG668" s="294"/>
      <c r="CH668" s="294"/>
      <c r="CI668" s="294"/>
      <c r="CJ668" s="294"/>
      <c r="CK668" s="294"/>
      <c r="CL668" s="294"/>
      <c r="CM668" s="294"/>
      <c r="CN668" s="294"/>
    </row>
    <row r="669" spans="2:92" ht="13">
      <c r="B669" s="294"/>
      <c r="F669" s="302"/>
      <c r="J669" s="302"/>
      <c r="AI669" s="188"/>
      <c r="AJ669" s="188"/>
      <c r="AK669" s="188"/>
      <c r="AL669" s="188"/>
      <c r="AM669" s="188"/>
      <c r="AN669" s="188"/>
      <c r="AO669" s="299"/>
      <c r="CF669" s="294"/>
      <c r="CG669" s="294"/>
      <c r="CH669" s="294"/>
      <c r="CI669" s="294"/>
      <c r="CJ669" s="294"/>
      <c r="CK669" s="294"/>
      <c r="CL669" s="294"/>
      <c r="CM669" s="294"/>
      <c r="CN669" s="294"/>
    </row>
    <row r="670" spans="2:92" ht="13">
      <c r="B670" s="294"/>
      <c r="F670" s="302"/>
      <c r="J670" s="302"/>
      <c r="AI670" s="188"/>
      <c r="AJ670" s="188"/>
      <c r="AK670" s="188"/>
      <c r="AL670" s="188"/>
      <c r="AM670" s="188"/>
      <c r="AN670" s="188"/>
      <c r="AO670" s="299"/>
      <c r="CF670" s="294"/>
      <c r="CG670" s="294"/>
      <c r="CH670" s="294"/>
      <c r="CI670" s="294"/>
      <c r="CJ670" s="294"/>
      <c r="CK670" s="294"/>
      <c r="CL670" s="294"/>
      <c r="CM670" s="294"/>
      <c r="CN670" s="294"/>
    </row>
    <row r="671" spans="2:92" ht="13">
      <c r="B671" s="294"/>
      <c r="F671" s="302"/>
      <c r="J671" s="302"/>
      <c r="AI671" s="188"/>
      <c r="AJ671" s="188"/>
      <c r="AK671" s="188"/>
      <c r="AL671" s="188"/>
      <c r="AM671" s="188"/>
      <c r="AN671" s="188"/>
      <c r="AO671" s="299"/>
      <c r="CF671" s="294"/>
      <c r="CG671" s="294"/>
      <c r="CH671" s="294"/>
      <c r="CI671" s="294"/>
      <c r="CJ671" s="294"/>
      <c r="CK671" s="294"/>
      <c r="CL671" s="294"/>
      <c r="CM671" s="294"/>
      <c r="CN671" s="294"/>
    </row>
    <row r="672" spans="2:92" ht="13">
      <c r="B672" s="294"/>
      <c r="F672" s="302"/>
      <c r="J672" s="302"/>
      <c r="AI672" s="188"/>
      <c r="AJ672" s="188"/>
      <c r="AK672" s="188"/>
      <c r="AL672" s="188"/>
      <c r="AM672" s="188"/>
      <c r="AN672" s="188"/>
      <c r="AO672" s="299"/>
      <c r="CF672" s="294"/>
      <c r="CG672" s="294"/>
      <c r="CH672" s="294"/>
      <c r="CI672" s="294"/>
      <c r="CJ672" s="294"/>
      <c r="CK672" s="294"/>
      <c r="CL672" s="294"/>
      <c r="CM672" s="294"/>
      <c r="CN672" s="294"/>
    </row>
    <row r="673" spans="2:92" ht="13">
      <c r="B673" s="294"/>
      <c r="F673" s="302"/>
      <c r="J673" s="302"/>
      <c r="AI673" s="188"/>
      <c r="AJ673" s="188"/>
      <c r="AK673" s="188"/>
      <c r="AL673" s="188"/>
      <c r="AM673" s="188"/>
      <c r="AN673" s="188"/>
      <c r="AO673" s="299"/>
      <c r="CF673" s="294"/>
      <c r="CG673" s="294"/>
      <c r="CH673" s="294"/>
      <c r="CI673" s="294"/>
      <c r="CJ673" s="294"/>
      <c r="CK673" s="294"/>
      <c r="CL673" s="294"/>
      <c r="CM673" s="294"/>
      <c r="CN673" s="294"/>
    </row>
    <row r="674" spans="2:92" ht="13">
      <c r="B674" s="294"/>
      <c r="F674" s="302"/>
      <c r="J674" s="302"/>
      <c r="AI674" s="188"/>
      <c r="AJ674" s="188"/>
      <c r="AK674" s="188"/>
      <c r="AL674" s="188"/>
      <c r="AM674" s="188"/>
      <c r="AN674" s="188"/>
      <c r="AO674" s="299"/>
      <c r="CF674" s="294"/>
      <c r="CG674" s="294"/>
      <c r="CH674" s="294"/>
      <c r="CI674" s="294"/>
      <c r="CJ674" s="294"/>
      <c r="CK674" s="294"/>
      <c r="CL674" s="294"/>
      <c r="CM674" s="294"/>
      <c r="CN674" s="294"/>
    </row>
    <row r="675" spans="2:92" ht="13">
      <c r="B675" s="294"/>
      <c r="F675" s="302"/>
      <c r="J675" s="302"/>
      <c r="AI675" s="188"/>
      <c r="AJ675" s="188"/>
      <c r="AK675" s="188"/>
      <c r="AL675" s="188"/>
      <c r="AM675" s="188"/>
      <c r="AN675" s="188"/>
      <c r="AO675" s="299"/>
      <c r="CF675" s="294"/>
      <c r="CG675" s="294"/>
      <c r="CH675" s="294"/>
      <c r="CI675" s="294"/>
      <c r="CJ675" s="294"/>
      <c r="CK675" s="294"/>
      <c r="CL675" s="294"/>
      <c r="CM675" s="294"/>
      <c r="CN675" s="294"/>
    </row>
    <row r="676" spans="2:92" ht="13">
      <c r="B676" s="294"/>
      <c r="F676" s="302"/>
      <c r="J676" s="302"/>
      <c r="AI676" s="188"/>
      <c r="AJ676" s="188"/>
      <c r="AK676" s="188"/>
      <c r="AL676" s="188"/>
      <c r="AM676" s="188"/>
      <c r="AN676" s="188"/>
      <c r="AO676" s="299"/>
      <c r="CF676" s="294"/>
      <c r="CG676" s="294"/>
      <c r="CH676" s="294"/>
      <c r="CI676" s="294"/>
      <c r="CJ676" s="294"/>
      <c r="CK676" s="294"/>
      <c r="CL676" s="294"/>
      <c r="CM676" s="294"/>
      <c r="CN676" s="294"/>
    </row>
    <row r="677" spans="2:92" ht="13">
      <c r="B677" s="294"/>
      <c r="F677" s="302"/>
      <c r="J677" s="302"/>
      <c r="AI677" s="188"/>
      <c r="AJ677" s="188"/>
      <c r="AK677" s="188"/>
      <c r="AL677" s="188"/>
      <c r="AM677" s="188"/>
      <c r="AN677" s="188"/>
      <c r="AO677" s="299"/>
      <c r="CF677" s="294"/>
      <c r="CG677" s="294"/>
      <c r="CH677" s="294"/>
      <c r="CI677" s="294"/>
      <c r="CJ677" s="294"/>
      <c r="CK677" s="294"/>
      <c r="CL677" s="294"/>
      <c r="CM677" s="294"/>
      <c r="CN677" s="294"/>
    </row>
    <row r="678" spans="2:92" ht="13">
      <c r="B678" s="294"/>
      <c r="F678" s="302"/>
      <c r="J678" s="302"/>
      <c r="AI678" s="188"/>
      <c r="AJ678" s="188"/>
      <c r="AK678" s="188"/>
      <c r="AL678" s="188"/>
      <c r="AM678" s="188"/>
      <c r="AN678" s="188"/>
      <c r="AO678" s="299"/>
      <c r="CF678" s="294"/>
      <c r="CG678" s="294"/>
      <c r="CH678" s="294"/>
      <c r="CI678" s="294"/>
      <c r="CJ678" s="294"/>
      <c r="CK678" s="294"/>
      <c r="CL678" s="294"/>
      <c r="CM678" s="294"/>
      <c r="CN678" s="294"/>
    </row>
    <row r="679" spans="2:92" ht="13">
      <c r="B679" s="294"/>
      <c r="F679" s="302"/>
      <c r="J679" s="302"/>
      <c r="AI679" s="188"/>
      <c r="AJ679" s="188"/>
      <c r="AK679" s="188"/>
      <c r="AL679" s="188"/>
      <c r="AM679" s="188"/>
      <c r="AN679" s="188"/>
      <c r="AO679" s="299"/>
      <c r="CF679" s="294"/>
      <c r="CG679" s="294"/>
      <c r="CH679" s="294"/>
      <c r="CI679" s="294"/>
      <c r="CJ679" s="294"/>
      <c r="CK679" s="294"/>
      <c r="CL679" s="294"/>
      <c r="CM679" s="294"/>
      <c r="CN679" s="294"/>
    </row>
    <row r="680" spans="2:92" ht="13">
      <c r="B680" s="294"/>
      <c r="F680" s="302"/>
      <c r="J680" s="302"/>
      <c r="AI680" s="188"/>
      <c r="AJ680" s="188"/>
      <c r="AK680" s="188"/>
      <c r="AL680" s="188"/>
      <c r="AM680" s="188"/>
      <c r="AN680" s="188"/>
      <c r="AO680" s="299"/>
      <c r="CF680" s="294"/>
      <c r="CG680" s="294"/>
      <c r="CH680" s="294"/>
      <c r="CI680" s="294"/>
      <c r="CJ680" s="294"/>
      <c r="CK680" s="294"/>
      <c r="CL680" s="294"/>
      <c r="CM680" s="294"/>
      <c r="CN680" s="294"/>
    </row>
    <row r="681" spans="2:92" ht="13">
      <c r="B681" s="294"/>
      <c r="F681" s="302"/>
      <c r="J681" s="302"/>
      <c r="AI681" s="188"/>
      <c r="AJ681" s="188"/>
      <c r="AK681" s="188"/>
      <c r="AL681" s="188"/>
      <c r="AM681" s="188"/>
      <c r="AN681" s="188"/>
      <c r="AO681" s="299"/>
      <c r="CF681" s="294"/>
      <c r="CG681" s="294"/>
      <c r="CH681" s="294"/>
      <c r="CI681" s="294"/>
      <c r="CJ681" s="294"/>
      <c r="CK681" s="294"/>
      <c r="CL681" s="294"/>
      <c r="CM681" s="294"/>
      <c r="CN681" s="294"/>
    </row>
    <row r="682" spans="2:92" ht="13">
      <c r="B682" s="294"/>
      <c r="F682" s="302"/>
      <c r="J682" s="302"/>
      <c r="AI682" s="188"/>
      <c r="AJ682" s="188"/>
      <c r="AK682" s="188"/>
      <c r="AL682" s="188"/>
      <c r="AM682" s="188"/>
      <c r="AN682" s="188"/>
      <c r="AO682" s="299"/>
      <c r="CF682" s="294"/>
      <c r="CG682" s="294"/>
      <c r="CH682" s="294"/>
      <c r="CI682" s="294"/>
      <c r="CJ682" s="294"/>
      <c r="CK682" s="294"/>
      <c r="CL682" s="294"/>
      <c r="CM682" s="294"/>
      <c r="CN682" s="294"/>
    </row>
    <row r="683" spans="2:92" ht="13">
      <c r="B683" s="294"/>
      <c r="F683" s="302"/>
      <c r="J683" s="302"/>
      <c r="AI683" s="188"/>
      <c r="AJ683" s="188"/>
      <c r="AK683" s="188"/>
      <c r="AL683" s="188"/>
      <c r="AM683" s="188"/>
      <c r="AN683" s="188"/>
      <c r="AO683" s="299"/>
      <c r="CF683" s="294"/>
      <c r="CG683" s="294"/>
      <c r="CH683" s="294"/>
      <c r="CI683" s="294"/>
      <c r="CJ683" s="294"/>
      <c r="CK683" s="294"/>
      <c r="CL683" s="294"/>
      <c r="CM683" s="294"/>
      <c r="CN683" s="294"/>
    </row>
    <row r="684" spans="2:92" ht="13">
      <c r="B684" s="294"/>
      <c r="F684" s="302"/>
      <c r="J684" s="302"/>
      <c r="AI684" s="188"/>
      <c r="AJ684" s="188"/>
      <c r="AK684" s="188"/>
      <c r="AL684" s="188"/>
      <c r="AM684" s="188"/>
      <c r="AN684" s="188"/>
      <c r="AO684" s="299"/>
      <c r="CF684" s="294"/>
      <c r="CG684" s="294"/>
      <c r="CH684" s="294"/>
      <c r="CI684" s="294"/>
      <c r="CJ684" s="294"/>
      <c r="CK684" s="294"/>
      <c r="CL684" s="294"/>
      <c r="CM684" s="294"/>
      <c r="CN684" s="294"/>
    </row>
    <row r="685" spans="2:92" ht="13">
      <c r="B685" s="294"/>
      <c r="F685" s="302"/>
      <c r="J685" s="302"/>
      <c r="AI685" s="188"/>
      <c r="AJ685" s="188"/>
      <c r="AK685" s="188"/>
      <c r="AL685" s="188"/>
      <c r="AM685" s="188"/>
      <c r="AN685" s="188"/>
      <c r="AO685" s="299"/>
      <c r="CF685" s="294"/>
      <c r="CG685" s="294"/>
      <c r="CH685" s="294"/>
      <c r="CI685" s="294"/>
      <c r="CJ685" s="294"/>
      <c r="CK685" s="294"/>
      <c r="CL685" s="294"/>
      <c r="CM685" s="294"/>
      <c r="CN685" s="294"/>
    </row>
    <row r="686" spans="2:92" ht="13">
      <c r="B686" s="294"/>
      <c r="F686" s="302"/>
      <c r="J686" s="302"/>
      <c r="AI686" s="188"/>
      <c r="AJ686" s="188"/>
      <c r="AK686" s="188"/>
      <c r="AL686" s="188"/>
      <c r="AM686" s="188"/>
      <c r="AN686" s="188"/>
      <c r="AO686" s="299"/>
      <c r="CF686" s="294"/>
      <c r="CG686" s="294"/>
      <c r="CH686" s="294"/>
      <c r="CI686" s="294"/>
      <c r="CJ686" s="294"/>
      <c r="CK686" s="294"/>
      <c r="CL686" s="294"/>
      <c r="CM686" s="294"/>
      <c r="CN686" s="294"/>
    </row>
    <row r="687" spans="2:92" ht="13">
      <c r="B687" s="294"/>
      <c r="F687" s="302"/>
      <c r="J687" s="302"/>
      <c r="AI687" s="188"/>
      <c r="AJ687" s="188"/>
      <c r="AK687" s="188"/>
      <c r="AL687" s="188"/>
      <c r="AM687" s="188"/>
      <c r="AN687" s="188"/>
      <c r="AO687" s="299"/>
      <c r="CF687" s="294"/>
      <c r="CG687" s="294"/>
      <c r="CH687" s="294"/>
      <c r="CI687" s="294"/>
      <c r="CJ687" s="294"/>
      <c r="CK687" s="294"/>
      <c r="CL687" s="294"/>
      <c r="CM687" s="294"/>
      <c r="CN687" s="294"/>
    </row>
    <row r="688" spans="2:92" ht="13">
      <c r="B688" s="294"/>
      <c r="F688" s="302"/>
      <c r="J688" s="302"/>
      <c r="AI688" s="188"/>
      <c r="AJ688" s="188"/>
      <c r="AK688" s="188"/>
      <c r="AL688" s="188"/>
      <c r="AM688" s="188"/>
      <c r="AN688" s="188"/>
      <c r="AO688" s="299"/>
      <c r="CF688" s="294"/>
      <c r="CG688" s="294"/>
      <c r="CH688" s="294"/>
      <c r="CI688" s="294"/>
      <c r="CJ688" s="294"/>
      <c r="CK688" s="294"/>
      <c r="CL688" s="294"/>
      <c r="CM688" s="294"/>
      <c r="CN688" s="294"/>
    </row>
    <row r="689" spans="2:92" ht="13">
      <c r="B689" s="294"/>
      <c r="F689" s="302"/>
      <c r="J689" s="302"/>
      <c r="AI689" s="188"/>
      <c r="AJ689" s="188"/>
      <c r="AK689" s="188"/>
      <c r="AL689" s="188"/>
      <c r="AM689" s="188"/>
      <c r="AN689" s="188"/>
      <c r="AO689" s="299"/>
      <c r="CF689" s="294"/>
      <c r="CG689" s="294"/>
      <c r="CH689" s="294"/>
      <c r="CI689" s="294"/>
      <c r="CJ689" s="294"/>
      <c r="CK689" s="294"/>
      <c r="CL689" s="294"/>
      <c r="CM689" s="294"/>
      <c r="CN689" s="294"/>
    </row>
    <row r="690" spans="2:92" ht="13">
      <c r="B690" s="294"/>
      <c r="F690" s="302"/>
      <c r="J690" s="302"/>
      <c r="AI690" s="188"/>
      <c r="AJ690" s="188"/>
      <c r="AK690" s="188"/>
      <c r="AL690" s="188"/>
      <c r="AM690" s="188"/>
      <c r="AN690" s="188"/>
      <c r="AO690" s="299"/>
      <c r="CF690" s="294"/>
      <c r="CG690" s="294"/>
      <c r="CH690" s="294"/>
      <c r="CI690" s="294"/>
      <c r="CJ690" s="294"/>
      <c r="CK690" s="294"/>
      <c r="CL690" s="294"/>
      <c r="CM690" s="294"/>
      <c r="CN690" s="294"/>
    </row>
    <row r="691" spans="2:92" ht="13">
      <c r="B691" s="294"/>
      <c r="F691" s="302"/>
      <c r="J691" s="302"/>
      <c r="AI691" s="188"/>
      <c r="AJ691" s="188"/>
      <c r="AK691" s="188"/>
      <c r="AL691" s="188"/>
      <c r="AM691" s="188"/>
      <c r="AN691" s="188"/>
      <c r="AO691" s="299"/>
      <c r="CF691" s="294"/>
      <c r="CG691" s="294"/>
      <c r="CH691" s="294"/>
      <c r="CI691" s="294"/>
      <c r="CJ691" s="294"/>
      <c r="CK691" s="294"/>
      <c r="CL691" s="294"/>
      <c r="CM691" s="294"/>
      <c r="CN691" s="294"/>
    </row>
    <row r="692" spans="2:92" ht="13">
      <c r="B692" s="294"/>
      <c r="F692" s="302"/>
      <c r="J692" s="302"/>
      <c r="AI692" s="188"/>
      <c r="AJ692" s="188"/>
      <c r="AK692" s="188"/>
      <c r="AL692" s="188"/>
      <c r="AM692" s="188"/>
      <c r="AN692" s="188"/>
      <c r="AO692" s="299"/>
      <c r="CF692" s="294"/>
      <c r="CG692" s="294"/>
      <c r="CH692" s="294"/>
      <c r="CI692" s="294"/>
      <c r="CJ692" s="294"/>
      <c r="CK692" s="294"/>
      <c r="CL692" s="294"/>
      <c r="CM692" s="294"/>
      <c r="CN692" s="294"/>
    </row>
    <row r="693" spans="2:92" ht="13">
      <c r="B693" s="294"/>
      <c r="F693" s="302"/>
      <c r="J693" s="302"/>
      <c r="AI693" s="188"/>
      <c r="AJ693" s="188"/>
      <c r="AK693" s="188"/>
      <c r="AL693" s="188"/>
      <c r="AM693" s="188"/>
      <c r="AN693" s="188"/>
      <c r="AO693" s="299"/>
      <c r="CF693" s="294"/>
      <c r="CG693" s="294"/>
      <c r="CH693" s="294"/>
      <c r="CI693" s="294"/>
      <c r="CJ693" s="294"/>
      <c r="CK693" s="294"/>
      <c r="CL693" s="294"/>
      <c r="CM693" s="294"/>
      <c r="CN693" s="294"/>
    </row>
    <row r="694" spans="2:92" ht="13">
      <c r="B694" s="294"/>
      <c r="F694" s="302"/>
      <c r="J694" s="302"/>
      <c r="AI694" s="188"/>
      <c r="AJ694" s="188"/>
      <c r="AK694" s="188"/>
      <c r="AL694" s="188"/>
      <c r="AM694" s="188"/>
      <c r="AN694" s="188"/>
      <c r="AO694" s="299"/>
      <c r="CF694" s="294"/>
      <c r="CG694" s="294"/>
      <c r="CH694" s="294"/>
      <c r="CI694" s="294"/>
      <c r="CJ694" s="294"/>
      <c r="CK694" s="294"/>
      <c r="CL694" s="294"/>
      <c r="CM694" s="294"/>
      <c r="CN694" s="294"/>
    </row>
    <row r="695" spans="2:92" ht="13">
      <c r="B695" s="294"/>
      <c r="F695" s="302"/>
      <c r="J695" s="302"/>
      <c r="AI695" s="188"/>
      <c r="AJ695" s="188"/>
      <c r="AK695" s="188"/>
      <c r="AL695" s="188"/>
      <c r="AM695" s="188"/>
      <c r="AN695" s="188"/>
      <c r="AO695" s="299"/>
      <c r="CF695" s="294"/>
      <c r="CG695" s="294"/>
      <c r="CH695" s="294"/>
      <c r="CI695" s="294"/>
      <c r="CJ695" s="294"/>
      <c r="CK695" s="294"/>
      <c r="CL695" s="294"/>
      <c r="CM695" s="294"/>
      <c r="CN695" s="294"/>
    </row>
    <row r="696" spans="2:92" ht="13">
      <c r="B696" s="294"/>
      <c r="F696" s="302"/>
      <c r="J696" s="302"/>
      <c r="AI696" s="188"/>
      <c r="AJ696" s="188"/>
      <c r="AK696" s="188"/>
      <c r="AL696" s="188"/>
      <c r="AM696" s="188"/>
      <c r="AN696" s="188"/>
      <c r="AO696" s="299"/>
      <c r="CF696" s="294"/>
      <c r="CG696" s="294"/>
      <c r="CH696" s="294"/>
      <c r="CI696" s="294"/>
      <c r="CJ696" s="294"/>
      <c r="CK696" s="294"/>
      <c r="CL696" s="294"/>
      <c r="CM696" s="294"/>
      <c r="CN696" s="294"/>
    </row>
    <row r="697" spans="2:92" ht="13">
      <c r="B697" s="294"/>
      <c r="F697" s="302"/>
      <c r="J697" s="302"/>
      <c r="AI697" s="188"/>
      <c r="AJ697" s="188"/>
      <c r="AK697" s="188"/>
      <c r="AL697" s="188"/>
      <c r="AM697" s="188"/>
      <c r="AN697" s="188"/>
      <c r="AO697" s="299"/>
      <c r="CF697" s="294"/>
      <c r="CG697" s="294"/>
      <c r="CH697" s="294"/>
      <c r="CI697" s="294"/>
      <c r="CJ697" s="294"/>
      <c r="CK697" s="294"/>
      <c r="CL697" s="294"/>
      <c r="CM697" s="294"/>
      <c r="CN697" s="294"/>
    </row>
    <row r="698" spans="2:92" ht="13">
      <c r="B698" s="294"/>
      <c r="F698" s="302"/>
      <c r="J698" s="302"/>
      <c r="AI698" s="188"/>
      <c r="AJ698" s="188"/>
      <c r="AK698" s="188"/>
      <c r="AL698" s="188"/>
      <c r="AM698" s="188"/>
      <c r="AN698" s="188"/>
      <c r="AO698" s="299"/>
      <c r="CF698" s="294"/>
      <c r="CG698" s="294"/>
      <c r="CH698" s="294"/>
      <c r="CI698" s="294"/>
      <c r="CJ698" s="294"/>
      <c r="CK698" s="294"/>
      <c r="CL698" s="294"/>
      <c r="CM698" s="294"/>
      <c r="CN698" s="294"/>
    </row>
    <row r="699" spans="2:92" ht="13">
      <c r="B699" s="294"/>
      <c r="F699" s="302"/>
      <c r="J699" s="302"/>
      <c r="AI699" s="188"/>
      <c r="AJ699" s="188"/>
      <c r="AK699" s="188"/>
      <c r="AL699" s="188"/>
      <c r="AM699" s="188"/>
      <c r="AN699" s="188"/>
      <c r="AO699" s="299"/>
      <c r="CF699" s="294"/>
      <c r="CG699" s="294"/>
      <c r="CH699" s="294"/>
      <c r="CI699" s="294"/>
      <c r="CJ699" s="294"/>
      <c r="CK699" s="294"/>
      <c r="CL699" s="294"/>
      <c r="CM699" s="294"/>
      <c r="CN699" s="294"/>
    </row>
    <row r="700" spans="2:92" ht="13">
      <c r="B700" s="294"/>
      <c r="F700" s="302"/>
      <c r="J700" s="302"/>
      <c r="AI700" s="188"/>
      <c r="AJ700" s="188"/>
      <c r="AK700" s="188"/>
      <c r="AL700" s="188"/>
      <c r="AM700" s="188"/>
      <c r="AN700" s="188"/>
      <c r="AO700" s="299"/>
      <c r="CF700" s="294"/>
      <c r="CG700" s="294"/>
      <c r="CH700" s="294"/>
      <c r="CI700" s="294"/>
      <c r="CJ700" s="294"/>
      <c r="CK700" s="294"/>
      <c r="CL700" s="294"/>
      <c r="CM700" s="294"/>
      <c r="CN700" s="294"/>
    </row>
    <row r="701" spans="2:92" ht="13">
      <c r="B701" s="294"/>
      <c r="F701" s="302"/>
      <c r="J701" s="302"/>
      <c r="AI701" s="188"/>
      <c r="AJ701" s="188"/>
      <c r="AK701" s="188"/>
      <c r="AL701" s="188"/>
      <c r="AM701" s="188"/>
      <c r="AN701" s="188"/>
      <c r="AO701" s="299"/>
      <c r="CF701" s="294"/>
      <c r="CG701" s="294"/>
      <c r="CH701" s="294"/>
      <c r="CI701" s="294"/>
      <c r="CJ701" s="294"/>
      <c r="CK701" s="294"/>
      <c r="CL701" s="294"/>
      <c r="CM701" s="294"/>
      <c r="CN701" s="294"/>
    </row>
    <row r="702" spans="2:92" ht="13">
      <c r="B702" s="294"/>
      <c r="F702" s="302"/>
      <c r="J702" s="302"/>
      <c r="AI702" s="188"/>
      <c r="AJ702" s="188"/>
      <c r="AK702" s="188"/>
      <c r="AL702" s="188"/>
      <c r="AM702" s="188"/>
      <c r="AN702" s="188"/>
      <c r="AO702" s="299"/>
      <c r="CF702" s="294"/>
      <c r="CG702" s="294"/>
      <c r="CH702" s="294"/>
      <c r="CI702" s="294"/>
      <c r="CJ702" s="294"/>
      <c r="CK702" s="294"/>
      <c r="CL702" s="294"/>
      <c r="CM702" s="294"/>
      <c r="CN702" s="294"/>
    </row>
    <row r="703" spans="2:92" ht="13">
      <c r="B703" s="294"/>
      <c r="F703" s="302"/>
      <c r="J703" s="302"/>
      <c r="AI703" s="188"/>
      <c r="AJ703" s="188"/>
      <c r="AK703" s="188"/>
      <c r="AL703" s="188"/>
      <c r="AM703" s="188"/>
      <c r="AN703" s="188"/>
      <c r="AO703" s="299"/>
      <c r="CF703" s="294"/>
      <c r="CG703" s="294"/>
      <c r="CH703" s="294"/>
      <c r="CI703" s="294"/>
      <c r="CJ703" s="294"/>
      <c r="CK703" s="294"/>
      <c r="CL703" s="294"/>
      <c r="CM703" s="294"/>
      <c r="CN703" s="294"/>
    </row>
    <row r="704" spans="2:92" ht="13">
      <c r="B704" s="294"/>
      <c r="F704" s="302"/>
      <c r="J704" s="302"/>
      <c r="AI704" s="188"/>
      <c r="AJ704" s="188"/>
      <c r="AK704" s="188"/>
      <c r="AL704" s="188"/>
      <c r="AM704" s="188"/>
      <c r="AN704" s="188"/>
      <c r="AO704" s="299"/>
      <c r="CF704" s="294"/>
      <c r="CG704" s="294"/>
      <c r="CH704" s="294"/>
      <c r="CI704" s="294"/>
      <c r="CJ704" s="294"/>
      <c r="CK704" s="294"/>
      <c r="CL704" s="294"/>
      <c r="CM704" s="294"/>
      <c r="CN704" s="294"/>
    </row>
    <row r="705" spans="2:92" ht="13">
      <c r="B705" s="294"/>
      <c r="F705" s="302"/>
      <c r="J705" s="302"/>
      <c r="AI705" s="188"/>
      <c r="AJ705" s="188"/>
      <c r="AK705" s="188"/>
      <c r="AL705" s="188"/>
      <c r="AM705" s="188"/>
      <c r="AN705" s="188"/>
      <c r="AO705" s="299"/>
      <c r="CF705" s="294"/>
      <c r="CG705" s="294"/>
      <c r="CH705" s="294"/>
      <c r="CI705" s="294"/>
      <c r="CJ705" s="294"/>
      <c r="CK705" s="294"/>
      <c r="CL705" s="294"/>
      <c r="CM705" s="294"/>
      <c r="CN705" s="294"/>
    </row>
    <row r="706" spans="2:92" ht="13">
      <c r="B706" s="294"/>
      <c r="F706" s="302"/>
      <c r="J706" s="302"/>
      <c r="AI706" s="188"/>
      <c r="AJ706" s="188"/>
      <c r="AK706" s="188"/>
      <c r="AL706" s="188"/>
      <c r="AM706" s="188"/>
      <c r="AN706" s="188"/>
      <c r="AO706" s="299"/>
      <c r="CF706" s="294"/>
      <c r="CG706" s="294"/>
      <c r="CH706" s="294"/>
      <c r="CI706" s="294"/>
      <c r="CJ706" s="294"/>
      <c r="CK706" s="294"/>
      <c r="CL706" s="294"/>
      <c r="CM706" s="294"/>
      <c r="CN706" s="294"/>
    </row>
    <row r="707" spans="2:92" ht="13">
      <c r="B707" s="294"/>
      <c r="F707" s="302"/>
      <c r="J707" s="302"/>
      <c r="AI707" s="188"/>
      <c r="AJ707" s="188"/>
      <c r="AK707" s="188"/>
      <c r="AL707" s="188"/>
      <c r="AM707" s="188"/>
      <c r="AN707" s="188"/>
      <c r="AO707" s="299"/>
      <c r="CF707" s="294"/>
      <c r="CG707" s="294"/>
      <c r="CH707" s="294"/>
      <c r="CI707" s="294"/>
      <c r="CJ707" s="294"/>
      <c r="CK707" s="294"/>
      <c r="CL707" s="294"/>
      <c r="CM707" s="294"/>
      <c r="CN707" s="294"/>
    </row>
    <row r="708" spans="2:92" ht="13">
      <c r="B708" s="294"/>
      <c r="F708" s="302"/>
      <c r="J708" s="302"/>
      <c r="AI708" s="188"/>
      <c r="AJ708" s="188"/>
      <c r="AK708" s="188"/>
      <c r="AL708" s="188"/>
      <c r="AM708" s="188"/>
      <c r="AN708" s="188"/>
      <c r="AO708" s="299"/>
      <c r="CF708" s="294"/>
      <c r="CG708" s="294"/>
      <c r="CH708" s="294"/>
      <c r="CI708" s="294"/>
      <c r="CJ708" s="294"/>
      <c r="CK708" s="294"/>
      <c r="CL708" s="294"/>
      <c r="CM708" s="294"/>
      <c r="CN708" s="294"/>
    </row>
    <row r="709" spans="2:92" ht="13">
      <c r="B709" s="294"/>
      <c r="F709" s="302"/>
      <c r="J709" s="302"/>
      <c r="AI709" s="188"/>
      <c r="AJ709" s="188"/>
      <c r="AK709" s="188"/>
      <c r="AL709" s="188"/>
      <c r="AM709" s="188"/>
      <c r="AN709" s="188"/>
      <c r="AO709" s="299"/>
      <c r="CF709" s="294"/>
      <c r="CG709" s="294"/>
      <c r="CH709" s="294"/>
      <c r="CI709" s="294"/>
      <c r="CJ709" s="294"/>
      <c r="CK709" s="294"/>
      <c r="CL709" s="294"/>
      <c r="CM709" s="294"/>
      <c r="CN709" s="294"/>
    </row>
    <row r="710" spans="2:92" ht="13">
      <c r="B710" s="294"/>
      <c r="F710" s="302"/>
      <c r="J710" s="302"/>
      <c r="AI710" s="188"/>
      <c r="AJ710" s="188"/>
      <c r="AK710" s="188"/>
      <c r="AL710" s="188"/>
      <c r="AM710" s="188"/>
      <c r="AN710" s="188"/>
      <c r="AO710" s="299"/>
      <c r="CF710" s="294"/>
      <c r="CG710" s="294"/>
      <c r="CH710" s="294"/>
      <c r="CI710" s="294"/>
      <c r="CJ710" s="294"/>
      <c r="CK710" s="294"/>
      <c r="CL710" s="294"/>
      <c r="CM710" s="294"/>
      <c r="CN710" s="294"/>
    </row>
    <row r="711" spans="2:92" ht="13">
      <c r="B711" s="294"/>
      <c r="F711" s="302"/>
      <c r="J711" s="302"/>
      <c r="AI711" s="188"/>
      <c r="AJ711" s="188"/>
      <c r="AK711" s="188"/>
      <c r="AL711" s="188"/>
      <c r="AM711" s="188"/>
      <c r="AN711" s="188"/>
      <c r="AO711" s="299"/>
      <c r="CF711" s="294"/>
      <c r="CG711" s="294"/>
      <c r="CH711" s="294"/>
      <c r="CI711" s="294"/>
      <c r="CJ711" s="294"/>
      <c r="CK711" s="294"/>
      <c r="CL711" s="294"/>
      <c r="CM711" s="294"/>
      <c r="CN711" s="294"/>
    </row>
    <row r="712" spans="2:92" ht="13">
      <c r="B712" s="294"/>
      <c r="F712" s="302"/>
      <c r="J712" s="302"/>
      <c r="AI712" s="188"/>
      <c r="AJ712" s="188"/>
      <c r="AK712" s="188"/>
      <c r="AL712" s="188"/>
      <c r="AM712" s="188"/>
      <c r="AN712" s="188"/>
      <c r="AO712" s="299"/>
      <c r="CF712" s="294"/>
      <c r="CG712" s="294"/>
      <c r="CH712" s="294"/>
      <c r="CI712" s="294"/>
      <c r="CJ712" s="294"/>
      <c r="CK712" s="294"/>
      <c r="CL712" s="294"/>
      <c r="CM712" s="294"/>
      <c r="CN712" s="294"/>
    </row>
    <row r="713" spans="2:92" ht="13">
      <c r="B713" s="294"/>
      <c r="F713" s="302"/>
      <c r="J713" s="302"/>
      <c r="AI713" s="188"/>
      <c r="AJ713" s="188"/>
      <c r="AK713" s="188"/>
      <c r="AL713" s="188"/>
      <c r="AM713" s="188"/>
      <c r="AN713" s="188"/>
      <c r="AO713" s="299"/>
      <c r="CF713" s="294"/>
      <c r="CG713" s="294"/>
      <c r="CH713" s="294"/>
      <c r="CI713" s="294"/>
      <c r="CJ713" s="294"/>
      <c r="CK713" s="294"/>
      <c r="CL713" s="294"/>
      <c r="CM713" s="294"/>
      <c r="CN713" s="294"/>
    </row>
    <row r="714" spans="2:92" ht="13">
      <c r="B714" s="294"/>
      <c r="F714" s="302"/>
      <c r="J714" s="302"/>
      <c r="AI714" s="188"/>
      <c r="AJ714" s="188"/>
      <c r="AK714" s="188"/>
      <c r="AL714" s="188"/>
      <c r="AM714" s="188"/>
      <c r="AN714" s="188"/>
      <c r="AO714" s="299"/>
      <c r="CF714" s="294"/>
      <c r="CG714" s="294"/>
      <c r="CH714" s="294"/>
      <c r="CI714" s="294"/>
      <c r="CJ714" s="294"/>
      <c r="CK714" s="294"/>
      <c r="CL714" s="294"/>
      <c r="CM714" s="294"/>
      <c r="CN714" s="294"/>
    </row>
    <row r="715" spans="2:92" ht="13">
      <c r="B715" s="294"/>
      <c r="F715" s="302"/>
      <c r="J715" s="302"/>
      <c r="AI715" s="188"/>
      <c r="AJ715" s="188"/>
      <c r="AK715" s="188"/>
      <c r="AL715" s="188"/>
      <c r="AM715" s="188"/>
      <c r="AN715" s="188"/>
      <c r="AO715" s="299"/>
      <c r="CF715" s="294"/>
      <c r="CG715" s="294"/>
      <c r="CH715" s="294"/>
      <c r="CI715" s="294"/>
      <c r="CJ715" s="294"/>
      <c r="CK715" s="294"/>
      <c r="CL715" s="294"/>
      <c r="CM715" s="294"/>
      <c r="CN715" s="294"/>
    </row>
    <row r="716" spans="2:92" ht="13">
      <c r="B716" s="294"/>
      <c r="F716" s="302"/>
      <c r="J716" s="302"/>
      <c r="AI716" s="188"/>
      <c r="AJ716" s="188"/>
      <c r="AK716" s="188"/>
      <c r="AL716" s="188"/>
      <c r="AM716" s="188"/>
      <c r="AN716" s="188"/>
      <c r="AO716" s="299"/>
      <c r="CF716" s="294"/>
      <c r="CG716" s="294"/>
      <c r="CH716" s="294"/>
      <c r="CI716" s="294"/>
      <c r="CJ716" s="294"/>
      <c r="CK716" s="294"/>
      <c r="CL716" s="294"/>
      <c r="CM716" s="294"/>
      <c r="CN716" s="294"/>
    </row>
    <row r="717" spans="2:92" ht="13">
      <c r="B717" s="294"/>
      <c r="F717" s="302"/>
      <c r="J717" s="302"/>
      <c r="AI717" s="188"/>
      <c r="AJ717" s="188"/>
      <c r="AK717" s="188"/>
      <c r="AL717" s="188"/>
      <c r="AM717" s="188"/>
      <c r="AN717" s="188"/>
      <c r="AO717" s="299"/>
      <c r="CF717" s="294"/>
      <c r="CG717" s="294"/>
      <c r="CH717" s="294"/>
      <c r="CI717" s="294"/>
      <c r="CJ717" s="294"/>
      <c r="CK717" s="294"/>
      <c r="CL717" s="294"/>
      <c r="CM717" s="294"/>
      <c r="CN717" s="294"/>
    </row>
    <row r="718" spans="2:92" ht="13">
      <c r="B718" s="294"/>
      <c r="F718" s="302"/>
      <c r="J718" s="302"/>
      <c r="AI718" s="188"/>
      <c r="AJ718" s="188"/>
      <c r="AK718" s="188"/>
      <c r="AL718" s="188"/>
      <c r="AM718" s="188"/>
      <c r="AN718" s="188"/>
      <c r="AO718" s="299"/>
      <c r="CF718" s="294"/>
      <c r="CG718" s="294"/>
      <c r="CH718" s="294"/>
      <c r="CI718" s="294"/>
      <c r="CJ718" s="294"/>
      <c r="CK718" s="294"/>
      <c r="CL718" s="294"/>
      <c r="CM718" s="294"/>
      <c r="CN718" s="294"/>
    </row>
    <row r="719" spans="2:92" ht="13">
      <c r="B719" s="294"/>
      <c r="F719" s="302"/>
      <c r="J719" s="302"/>
      <c r="AI719" s="188"/>
      <c r="AJ719" s="188"/>
      <c r="AK719" s="188"/>
      <c r="AL719" s="188"/>
      <c r="AM719" s="188"/>
      <c r="AN719" s="188"/>
      <c r="AO719" s="299"/>
      <c r="CF719" s="294"/>
      <c r="CG719" s="294"/>
      <c r="CH719" s="294"/>
      <c r="CI719" s="294"/>
      <c r="CJ719" s="294"/>
      <c r="CK719" s="294"/>
      <c r="CL719" s="294"/>
      <c r="CM719" s="294"/>
      <c r="CN719" s="294"/>
    </row>
    <row r="720" spans="2:92" ht="13">
      <c r="B720" s="294"/>
      <c r="F720" s="302"/>
      <c r="J720" s="302"/>
      <c r="AI720" s="188"/>
      <c r="AJ720" s="188"/>
      <c r="AK720" s="188"/>
      <c r="AL720" s="188"/>
      <c r="AM720" s="188"/>
      <c r="AN720" s="188"/>
      <c r="AO720" s="299"/>
      <c r="CF720" s="294"/>
      <c r="CG720" s="294"/>
      <c r="CH720" s="294"/>
      <c r="CI720" s="294"/>
      <c r="CJ720" s="294"/>
      <c r="CK720" s="294"/>
      <c r="CL720" s="294"/>
      <c r="CM720" s="294"/>
      <c r="CN720" s="294"/>
    </row>
    <row r="721" spans="2:92" ht="13">
      <c r="B721" s="294"/>
      <c r="F721" s="302"/>
      <c r="J721" s="302"/>
      <c r="AI721" s="188"/>
      <c r="AJ721" s="188"/>
      <c r="AK721" s="188"/>
      <c r="AL721" s="188"/>
      <c r="AM721" s="188"/>
      <c r="AN721" s="188"/>
      <c r="AO721" s="299"/>
      <c r="CF721" s="294"/>
      <c r="CG721" s="294"/>
      <c r="CH721" s="294"/>
      <c r="CI721" s="294"/>
      <c r="CJ721" s="294"/>
      <c r="CK721" s="294"/>
      <c r="CL721" s="294"/>
      <c r="CM721" s="294"/>
      <c r="CN721" s="294"/>
    </row>
    <row r="722" spans="2:92" ht="13">
      <c r="B722" s="294"/>
      <c r="F722" s="302"/>
      <c r="J722" s="302"/>
      <c r="AI722" s="188"/>
      <c r="AJ722" s="188"/>
      <c r="AK722" s="188"/>
      <c r="AL722" s="188"/>
      <c r="AM722" s="188"/>
      <c r="AN722" s="188"/>
      <c r="AO722" s="299"/>
      <c r="CF722" s="294"/>
      <c r="CG722" s="294"/>
      <c r="CH722" s="294"/>
      <c r="CI722" s="294"/>
      <c r="CJ722" s="294"/>
      <c r="CK722" s="294"/>
      <c r="CL722" s="294"/>
      <c r="CM722" s="294"/>
      <c r="CN722" s="294"/>
    </row>
    <row r="723" spans="2:92" ht="13">
      <c r="B723" s="294"/>
      <c r="F723" s="302"/>
      <c r="J723" s="302"/>
      <c r="AI723" s="188"/>
      <c r="AJ723" s="188"/>
      <c r="AK723" s="188"/>
      <c r="AL723" s="188"/>
      <c r="AM723" s="188"/>
      <c r="AN723" s="188"/>
      <c r="AO723" s="299"/>
      <c r="CF723" s="294"/>
      <c r="CG723" s="294"/>
      <c r="CH723" s="294"/>
      <c r="CI723" s="294"/>
      <c r="CJ723" s="294"/>
      <c r="CK723" s="294"/>
      <c r="CL723" s="294"/>
      <c r="CM723" s="294"/>
      <c r="CN723" s="294"/>
    </row>
    <row r="724" spans="2:92" ht="13">
      <c r="B724" s="294"/>
      <c r="F724" s="302"/>
      <c r="J724" s="302"/>
      <c r="AI724" s="188"/>
      <c r="AJ724" s="188"/>
      <c r="AK724" s="188"/>
      <c r="AL724" s="188"/>
      <c r="AM724" s="188"/>
      <c r="AN724" s="188"/>
      <c r="AO724" s="299"/>
      <c r="CF724" s="294"/>
      <c r="CG724" s="294"/>
      <c r="CH724" s="294"/>
      <c r="CI724" s="294"/>
      <c r="CJ724" s="294"/>
      <c r="CK724" s="294"/>
      <c r="CL724" s="294"/>
      <c r="CM724" s="294"/>
      <c r="CN724" s="294"/>
    </row>
    <row r="725" spans="2:92" ht="13">
      <c r="B725" s="294"/>
      <c r="F725" s="302"/>
      <c r="J725" s="302"/>
      <c r="AI725" s="188"/>
      <c r="AJ725" s="188"/>
      <c r="AK725" s="188"/>
      <c r="AL725" s="188"/>
      <c r="AM725" s="188"/>
      <c r="AN725" s="188"/>
      <c r="AO725" s="299"/>
      <c r="CF725" s="294"/>
      <c r="CG725" s="294"/>
      <c r="CH725" s="294"/>
      <c r="CI725" s="294"/>
      <c r="CJ725" s="294"/>
      <c r="CK725" s="294"/>
      <c r="CL725" s="294"/>
      <c r="CM725" s="294"/>
      <c r="CN725" s="294"/>
    </row>
    <row r="726" spans="2:92" ht="13">
      <c r="B726" s="294"/>
      <c r="F726" s="302"/>
      <c r="J726" s="302"/>
      <c r="AI726" s="188"/>
      <c r="AJ726" s="188"/>
      <c r="AK726" s="188"/>
      <c r="AL726" s="188"/>
      <c r="AM726" s="188"/>
      <c r="AN726" s="188"/>
      <c r="AO726" s="299"/>
      <c r="CF726" s="294"/>
      <c r="CG726" s="294"/>
      <c r="CH726" s="294"/>
      <c r="CI726" s="294"/>
      <c r="CJ726" s="294"/>
      <c r="CK726" s="294"/>
      <c r="CL726" s="294"/>
      <c r="CM726" s="294"/>
      <c r="CN726" s="294"/>
    </row>
    <row r="727" spans="2:92" ht="13">
      <c r="B727" s="294"/>
      <c r="F727" s="302"/>
      <c r="J727" s="302"/>
      <c r="AI727" s="188"/>
      <c r="AJ727" s="188"/>
      <c r="AK727" s="188"/>
      <c r="AL727" s="188"/>
      <c r="AM727" s="188"/>
      <c r="AN727" s="188"/>
      <c r="AO727" s="299"/>
      <c r="CF727" s="294"/>
      <c r="CG727" s="294"/>
      <c r="CH727" s="294"/>
      <c r="CI727" s="294"/>
      <c r="CJ727" s="294"/>
      <c r="CK727" s="294"/>
      <c r="CL727" s="294"/>
      <c r="CM727" s="294"/>
      <c r="CN727" s="294"/>
    </row>
    <row r="728" spans="2:92" ht="13">
      <c r="B728" s="294"/>
      <c r="F728" s="302"/>
      <c r="J728" s="302"/>
      <c r="AI728" s="188"/>
      <c r="AJ728" s="188"/>
      <c r="AK728" s="188"/>
      <c r="AL728" s="188"/>
      <c r="AM728" s="188"/>
      <c r="AN728" s="188"/>
      <c r="AO728" s="299"/>
      <c r="CF728" s="294"/>
      <c r="CG728" s="294"/>
      <c r="CH728" s="294"/>
      <c r="CI728" s="294"/>
      <c r="CJ728" s="294"/>
      <c r="CK728" s="294"/>
      <c r="CL728" s="294"/>
      <c r="CM728" s="294"/>
      <c r="CN728" s="294"/>
    </row>
    <row r="729" spans="2:92" ht="13">
      <c r="B729" s="294"/>
      <c r="F729" s="302"/>
      <c r="J729" s="302"/>
      <c r="AI729" s="188"/>
      <c r="AJ729" s="188"/>
      <c r="AK729" s="188"/>
      <c r="AL729" s="188"/>
      <c r="AM729" s="188"/>
      <c r="AN729" s="188"/>
      <c r="AO729" s="299"/>
      <c r="CF729" s="294"/>
      <c r="CG729" s="294"/>
      <c r="CH729" s="294"/>
      <c r="CI729" s="294"/>
      <c r="CJ729" s="294"/>
      <c r="CK729" s="294"/>
      <c r="CL729" s="294"/>
      <c r="CM729" s="294"/>
      <c r="CN729" s="294"/>
    </row>
    <row r="730" spans="2:92" ht="13">
      <c r="B730" s="294"/>
      <c r="F730" s="302"/>
      <c r="J730" s="302"/>
      <c r="AI730" s="188"/>
      <c r="AJ730" s="188"/>
      <c r="AK730" s="188"/>
      <c r="AL730" s="188"/>
      <c r="AM730" s="188"/>
      <c r="AN730" s="188"/>
      <c r="AO730" s="299"/>
      <c r="CF730" s="294"/>
      <c r="CG730" s="294"/>
      <c r="CH730" s="294"/>
      <c r="CI730" s="294"/>
      <c r="CJ730" s="294"/>
      <c r="CK730" s="294"/>
      <c r="CL730" s="294"/>
      <c r="CM730" s="294"/>
      <c r="CN730" s="294"/>
    </row>
    <row r="731" spans="2:92" ht="13">
      <c r="B731" s="294"/>
      <c r="F731" s="302"/>
      <c r="J731" s="302"/>
      <c r="AI731" s="188"/>
      <c r="AJ731" s="188"/>
      <c r="AK731" s="188"/>
      <c r="AL731" s="188"/>
      <c r="AM731" s="188"/>
      <c r="AN731" s="188"/>
      <c r="AO731" s="299"/>
      <c r="CF731" s="294"/>
      <c r="CG731" s="294"/>
      <c r="CH731" s="294"/>
      <c r="CI731" s="294"/>
      <c r="CJ731" s="294"/>
      <c r="CK731" s="294"/>
      <c r="CL731" s="294"/>
      <c r="CM731" s="294"/>
      <c r="CN731" s="294"/>
    </row>
    <row r="732" spans="2:92" ht="13">
      <c r="B732" s="294"/>
      <c r="F732" s="302"/>
      <c r="J732" s="302"/>
      <c r="AI732" s="188"/>
      <c r="AJ732" s="188"/>
      <c r="AK732" s="188"/>
      <c r="AL732" s="188"/>
      <c r="AM732" s="188"/>
      <c r="AN732" s="188"/>
      <c r="AO732" s="299"/>
      <c r="CF732" s="294"/>
      <c r="CG732" s="294"/>
      <c r="CH732" s="294"/>
      <c r="CI732" s="294"/>
      <c r="CJ732" s="294"/>
      <c r="CK732" s="294"/>
      <c r="CL732" s="294"/>
      <c r="CM732" s="294"/>
      <c r="CN732" s="294"/>
    </row>
    <row r="733" spans="2:92" ht="13">
      <c r="B733" s="294"/>
      <c r="F733" s="302"/>
      <c r="J733" s="302"/>
      <c r="AI733" s="188"/>
      <c r="AJ733" s="188"/>
      <c r="AK733" s="188"/>
      <c r="AL733" s="188"/>
      <c r="AM733" s="188"/>
      <c r="AN733" s="188"/>
      <c r="AO733" s="299"/>
      <c r="CF733" s="294"/>
      <c r="CG733" s="294"/>
      <c r="CH733" s="294"/>
      <c r="CI733" s="294"/>
      <c r="CJ733" s="294"/>
      <c r="CK733" s="294"/>
      <c r="CL733" s="294"/>
      <c r="CM733" s="294"/>
      <c r="CN733" s="294"/>
    </row>
    <row r="734" spans="2:92" ht="13">
      <c r="B734" s="294"/>
      <c r="F734" s="302"/>
      <c r="J734" s="302"/>
      <c r="AI734" s="188"/>
      <c r="AJ734" s="188"/>
      <c r="AK734" s="188"/>
      <c r="AL734" s="188"/>
      <c r="AM734" s="188"/>
      <c r="AN734" s="188"/>
      <c r="AO734" s="299"/>
      <c r="CF734" s="294"/>
      <c r="CG734" s="294"/>
      <c r="CH734" s="294"/>
      <c r="CI734" s="294"/>
      <c r="CJ734" s="294"/>
      <c r="CK734" s="294"/>
      <c r="CL734" s="294"/>
      <c r="CM734" s="294"/>
      <c r="CN734" s="294"/>
    </row>
    <row r="735" spans="2:92" ht="13">
      <c r="B735" s="294"/>
      <c r="F735" s="302"/>
      <c r="J735" s="302"/>
      <c r="AI735" s="188"/>
      <c r="AJ735" s="188"/>
      <c r="AK735" s="188"/>
      <c r="AL735" s="188"/>
      <c r="AM735" s="188"/>
      <c r="AN735" s="188"/>
      <c r="AO735" s="299"/>
      <c r="CF735" s="294"/>
      <c r="CG735" s="294"/>
      <c r="CH735" s="294"/>
      <c r="CI735" s="294"/>
      <c r="CJ735" s="294"/>
      <c r="CK735" s="294"/>
      <c r="CL735" s="294"/>
      <c r="CM735" s="294"/>
      <c r="CN735" s="294"/>
    </row>
    <row r="736" spans="2:92" ht="13">
      <c r="B736" s="294"/>
      <c r="F736" s="302"/>
      <c r="J736" s="302"/>
      <c r="AI736" s="188"/>
      <c r="AJ736" s="188"/>
      <c r="AK736" s="188"/>
      <c r="AL736" s="188"/>
      <c r="AM736" s="188"/>
      <c r="AN736" s="188"/>
      <c r="AO736" s="299"/>
      <c r="CF736" s="294"/>
      <c r="CG736" s="294"/>
      <c r="CH736" s="294"/>
      <c r="CI736" s="294"/>
      <c r="CJ736" s="294"/>
      <c r="CK736" s="294"/>
      <c r="CL736" s="294"/>
      <c r="CM736" s="294"/>
      <c r="CN736" s="294"/>
    </row>
    <row r="737" spans="2:92" ht="13">
      <c r="B737" s="294"/>
      <c r="F737" s="302"/>
      <c r="J737" s="302"/>
      <c r="AI737" s="188"/>
      <c r="AJ737" s="188"/>
      <c r="AK737" s="188"/>
      <c r="AL737" s="188"/>
      <c r="AM737" s="188"/>
      <c r="AN737" s="188"/>
      <c r="AO737" s="299"/>
      <c r="CF737" s="294"/>
      <c r="CG737" s="294"/>
      <c r="CH737" s="294"/>
      <c r="CI737" s="294"/>
      <c r="CJ737" s="294"/>
      <c r="CK737" s="294"/>
      <c r="CL737" s="294"/>
      <c r="CM737" s="294"/>
      <c r="CN737" s="294"/>
    </row>
    <row r="738" spans="2:92" ht="13">
      <c r="B738" s="294"/>
      <c r="F738" s="302"/>
      <c r="J738" s="302"/>
      <c r="AI738" s="188"/>
      <c r="AJ738" s="188"/>
      <c r="AK738" s="188"/>
      <c r="AL738" s="188"/>
      <c r="AM738" s="188"/>
      <c r="AN738" s="188"/>
      <c r="AO738" s="299"/>
      <c r="CF738" s="294"/>
      <c r="CG738" s="294"/>
      <c r="CH738" s="294"/>
      <c r="CI738" s="294"/>
      <c r="CJ738" s="294"/>
      <c r="CK738" s="294"/>
      <c r="CL738" s="294"/>
      <c r="CM738" s="294"/>
      <c r="CN738" s="294"/>
    </row>
    <row r="739" spans="2:92" ht="13">
      <c r="B739" s="294"/>
      <c r="F739" s="302"/>
      <c r="J739" s="302"/>
      <c r="AI739" s="188"/>
      <c r="AJ739" s="188"/>
      <c r="AK739" s="188"/>
      <c r="AL739" s="188"/>
      <c r="AM739" s="188"/>
      <c r="AN739" s="188"/>
      <c r="AO739" s="299"/>
      <c r="CF739" s="294"/>
      <c r="CG739" s="294"/>
      <c r="CH739" s="294"/>
      <c r="CI739" s="294"/>
      <c r="CJ739" s="294"/>
      <c r="CK739" s="294"/>
      <c r="CL739" s="294"/>
      <c r="CM739" s="294"/>
      <c r="CN739" s="294"/>
    </row>
    <row r="740" spans="2:92" ht="13">
      <c r="B740" s="294"/>
      <c r="F740" s="302"/>
      <c r="J740" s="302"/>
      <c r="AI740" s="188"/>
      <c r="AJ740" s="188"/>
      <c r="AK740" s="188"/>
      <c r="AL740" s="188"/>
      <c r="AM740" s="188"/>
      <c r="AN740" s="188"/>
      <c r="AO740" s="299"/>
      <c r="CF740" s="294"/>
      <c r="CG740" s="294"/>
      <c r="CH740" s="294"/>
      <c r="CI740" s="294"/>
      <c r="CJ740" s="294"/>
      <c r="CK740" s="294"/>
      <c r="CL740" s="294"/>
      <c r="CM740" s="294"/>
      <c r="CN740" s="294"/>
    </row>
    <row r="741" spans="2:92" ht="13">
      <c r="B741" s="294"/>
      <c r="F741" s="302"/>
      <c r="J741" s="302"/>
      <c r="AI741" s="188"/>
      <c r="AJ741" s="188"/>
      <c r="AK741" s="188"/>
      <c r="AL741" s="188"/>
      <c r="AM741" s="188"/>
      <c r="AN741" s="188"/>
      <c r="AO741" s="299"/>
      <c r="CF741" s="294"/>
      <c r="CG741" s="294"/>
      <c r="CH741" s="294"/>
      <c r="CI741" s="294"/>
      <c r="CJ741" s="294"/>
      <c r="CK741" s="294"/>
      <c r="CL741" s="294"/>
      <c r="CM741" s="294"/>
      <c r="CN741" s="294"/>
    </row>
    <row r="742" spans="2:92" ht="13">
      <c r="B742" s="294"/>
      <c r="F742" s="302"/>
      <c r="J742" s="302"/>
      <c r="AI742" s="188"/>
      <c r="AJ742" s="188"/>
      <c r="AK742" s="188"/>
      <c r="AL742" s="188"/>
      <c r="AM742" s="188"/>
      <c r="AN742" s="188"/>
      <c r="AO742" s="299"/>
      <c r="CF742" s="294"/>
      <c r="CG742" s="294"/>
      <c r="CH742" s="294"/>
      <c r="CI742" s="294"/>
      <c r="CJ742" s="294"/>
      <c r="CK742" s="294"/>
      <c r="CL742" s="294"/>
      <c r="CM742" s="294"/>
      <c r="CN742" s="294"/>
    </row>
    <row r="743" spans="2:92" ht="13">
      <c r="B743" s="294"/>
      <c r="F743" s="302"/>
      <c r="J743" s="302"/>
      <c r="AI743" s="188"/>
      <c r="AJ743" s="188"/>
      <c r="AK743" s="188"/>
      <c r="AL743" s="188"/>
      <c r="AM743" s="188"/>
      <c r="AN743" s="188"/>
      <c r="AO743" s="299"/>
      <c r="CF743" s="294"/>
      <c r="CG743" s="294"/>
      <c r="CH743" s="294"/>
      <c r="CI743" s="294"/>
      <c r="CJ743" s="294"/>
      <c r="CK743" s="294"/>
      <c r="CL743" s="294"/>
      <c r="CM743" s="294"/>
      <c r="CN743" s="294"/>
    </row>
    <row r="744" spans="2:92" ht="13">
      <c r="B744" s="294"/>
      <c r="F744" s="302"/>
      <c r="J744" s="302"/>
      <c r="AI744" s="188"/>
      <c r="AJ744" s="188"/>
      <c r="AK744" s="188"/>
      <c r="AL744" s="188"/>
      <c r="AM744" s="188"/>
      <c r="AN744" s="188"/>
      <c r="AO744" s="299"/>
      <c r="CF744" s="294"/>
      <c r="CG744" s="294"/>
      <c r="CH744" s="294"/>
      <c r="CI744" s="294"/>
      <c r="CJ744" s="294"/>
      <c r="CK744" s="294"/>
      <c r="CL744" s="294"/>
      <c r="CM744" s="294"/>
      <c r="CN744" s="294"/>
    </row>
    <row r="745" spans="2:92" ht="13">
      <c r="B745" s="294"/>
      <c r="F745" s="302"/>
      <c r="J745" s="302"/>
      <c r="AI745" s="188"/>
      <c r="AJ745" s="188"/>
      <c r="AK745" s="188"/>
      <c r="AL745" s="188"/>
      <c r="AM745" s="188"/>
      <c r="AN745" s="188"/>
      <c r="AO745" s="299"/>
      <c r="CF745" s="294"/>
      <c r="CG745" s="294"/>
      <c r="CH745" s="294"/>
      <c r="CI745" s="294"/>
      <c r="CJ745" s="294"/>
      <c r="CK745" s="294"/>
      <c r="CL745" s="294"/>
      <c r="CM745" s="294"/>
      <c r="CN745" s="294"/>
    </row>
    <row r="746" spans="2:92" ht="13">
      <c r="B746" s="294"/>
      <c r="F746" s="302"/>
      <c r="J746" s="302"/>
      <c r="AI746" s="188"/>
      <c r="AJ746" s="188"/>
      <c r="AK746" s="188"/>
      <c r="AL746" s="188"/>
      <c r="AM746" s="188"/>
      <c r="AN746" s="188"/>
      <c r="AO746" s="299"/>
      <c r="CF746" s="294"/>
      <c r="CG746" s="294"/>
      <c r="CH746" s="294"/>
      <c r="CI746" s="294"/>
      <c r="CJ746" s="294"/>
      <c r="CK746" s="294"/>
      <c r="CL746" s="294"/>
      <c r="CM746" s="294"/>
      <c r="CN746" s="294"/>
    </row>
    <row r="747" spans="2:92" ht="13">
      <c r="B747" s="294"/>
      <c r="F747" s="302"/>
      <c r="J747" s="302"/>
      <c r="AI747" s="188"/>
      <c r="AJ747" s="188"/>
      <c r="AK747" s="188"/>
      <c r="AL747" s="188"/>
      <c r="AM747" s="188"/>
      <c r="AN747" s="188"/>
      <c r="AO747" s="299"/>
      <c r="CF747" s="294"/>
      <c r="CG747" s="294"/>
      <c r="CH747" s="294"/>
      <c r="CI747" s="294"/>
      <c r="CJ747" s="294"/>
      <c r="CK747" s="294"/>
      <c r="CL747" s="294"/>
      <c r="CM747" s="294"/>
      <c r="CN747" s="294"/>
    </row>
    <row r="748" spans="2:92" ht="13">
      <c r="B748" s="294"/>
      <c r="F748" s="302"/>
      <c r="J748" s="302"/>
      <c r="AI748" s="188"/>
      <c r="AJ748" s="188"/>
      <c r="AK748" s="188"/>
      <c r="AL748" s="188"/>
      <c r="AM748" s="188"/>
      <c r="AN748" s="188"/>
      <c r="AO748" s="299"/>
      <c r="CF748" s="294"/>
      <c r="CG748" s="294"/>
      <c r="CH748" s="294"/>
      <c r="CI748" s="294"/>
      <c r="CJ748" s="294"/>
      <c r="CK748" s="294"/>
      <c r="CL748" s="294"/>
      <c r="CM748" s="294"/>
      <c r="CN748" s="294"/>
    </row>
    <row r="749" spans="2:92" ht="13">
      <c r="B749" s="294"/>
      <c r="F749" s="302"/>
      <c r="J749" s="302"/>
      <c r="AI749" s="188"/>
      <c r="AJ749" s="188"/>
      <c r="AK749" s="188"/>
      <c r="AL749" s="188"/>
      <c r="AM749" s="188"/>
      <c r="AN749" s="188"/>
      <c r="AO749" s="299"/>
      <c r="CF749" s="294"/>
      <c r="CG749" s="294"/>
      <c r="CH749" s="294"/>
      <c r="CI749" s="294"/>
      <c r="CJ749" s="294"/>
      <c r="CK749" s="294"/>
      <c r="CL749" s="294"/>
      <c r="CM749" s="294"/>
      <c r="CN749" s="294"/>
    </row>
    <row r="750" spans="2:92" ht="13">
      <c r="B750" s="294"/>
      <c r="F750" s="302"/>
      <c r="J750" s="302"/>
      <c r="AI750" s="188"/>
      <c r="AJ750" s="188"/>
      <c r="AK750" s="188"/>
      <c r="AL750" s="188"/>
      <c r="AM750" s="188"/>
      <c r="AN750" s="188"/>
      <c r="AO750" s="299"/>
      <c r="CF750" s="294"/>
      <c r="CG750" s="294"/>
      <c r="CH750" s="294"/>
      <c r="CI750" s="294"/>
      <c r="CJ750" s="294"/>
      <c r="CK750" s="294"/>
      <c r="CL750" s="294"/>
      <c r="CM750" s="294"/>
      <c r="CN750" s="294"/>
    </row>
    <row r="751" spans="2:92" ht="13">
      <c r="B751" s="294"/>
      <c r="F751" s="302"/>
      <c r="J751" s="302"/>
      <c r="AI751" s="188"/>
      <c r="AJ751" s="188"/>
      <c r="AK751" s="188"/>
      <c r="AL751" s="188"/>
      <c r="AM751" s="188"/>
      <c r="AN751" s="188"/>
      <c r="AO751" s="299"/>
      <c r="CF751" s="294"/>
      <c r="CG751" s="294"/>
      <c r="CH751" s="294"/>
      <c r="CI751" s="294"/>
      <c r="CJ751" s="294"/>
      <c r="CK751" s="294"/>
      <c r="CL751" s="294"/>
      <c r="CM751" s="294"/>
      <c r="CN751" s="294"/>
    </row>
    <row r="752" spans="2:92" ht="13">
      <c r="B752" s="294"/>
      <c r="F752" s="302"/>
      <c r="J752" s="302"/>
      <c r="AI752" s="188"/>
      <c r="AJ752" s="188"/>
      <c r="AK752" s="188"/>
      <c r="AL752" s="188"/>
      <c r="AM752" s="188"/>
      <c r="AN752" s="188"/>
      <c r="AO752" s="299"/>
      <c r="CF752" s="294"/>
      <c r="CG752" s="294"/>
      <c r="CH752" s="294"/>
      <c r="CI752" s="294"/>
      <c r="CJ752" s="294"/>
      <c r="CK752" s="294"/>
      <c r="CL752" s="294"/>
      <c r="CM752" s="294"/>
      <c r="CN752" s="294"/>
    </row>
    <row r="753" spans="2:92" ht="13">
      <c r="B753" s="294"/>
      <c r="F753" s="302"/>
      <c r="J753" s="302"/>
      <c r="AI753" s="188"/>
      <c r="AJ753" s="188"/>
      <c r="AK753" s="188"/>
      <c r="AL753" s="188"/>
      <c r="AM753" s="188"/>
      <c r="AN753" s="188"/>
      <c r="AO753" s="299"/>
      <c r="CF753" s="294"/>
      <c r="CG753" s="294"/>
      <c r="CH753" s="294"/>
      <c r="CI753" s="294"/>
      <c r="CJ753" s="294"/>
      <c r="CK753" s="294"/>
      <c r="CL753" s="294"/>
      <c r="CM753" s="294"/>
      <c r="CN753" s="294"/>
    </row>
    <row r="754" spans="2:92" ht="13">
      <c r="B754" s="294"/>
      <c r="F754" s="302"/>
      <c r="J754" s="302"/>
      <c r="AI754" s="188"/>
      <c r="AJ754" s="188"/>
      <c r="AK754" s="188"/>
      <c r="AL754" s="188"/>
      <c r="AM754" s="188"/>
      <c r="AN754" s="188"/>
      <c r="AO754" s="299"/>
      <c r="CF754" s="294"/>
      <c r="CG754" s="294"/>
      <c r="CH754" s="294"/>
      <c r="CI754" s="294"/>
      <c r="CJ754" s="294"/>
      <c r="CK754" s="294"/>
      <c r="CL754" s="294"/>
      <c r="CM754" s="294"/>
      <c r="CN754" s="294"/>
    </row>
    <row r="755" spans="2:92" ht="13">
      <c r="B755" s="294"/>
      <c r="F755" s="302"/>
      <c r="J755" s="302"/>
      <c r="AI755" s="188"/>
      <c r="AJ755" s="188"/>
      <c r="AK755" s="188"/>
      <c r="AL755" s="188"/>
      <c r="AM755" s="188"/>
      <c r="AN755" s="188"/>
      <c r="AO755" s="299"/>
      <c r="CF755" s="294"/>
      <c r="CG755" s="294"/>
      <c r="CH755" s="294"/>
      <c r="CI755" s="294"/>
      <c r="CJ755" s="294"/>
      <c r="CK755" s="294"/>
      <c r="CL755" s="294"/>
      <c r="CM755" s="294"/>
      <c r="CN755" s="294"/>
    </row>
    <row r="756" spans="2:92" ht="13">
      <c r="B756" s="294"/>
      <c r="F756" s="302"/>
      <c r="J756" s="302"/>
      <c r="AI756" s="188"/>
      <c r="AJ756" s="188"/>
      <c r="AK756" s="188"/>
      <c r="AL756" s="188"/>
      <c r="AM756" s="188"/>
      <c r="AN756" s="188"/>
      <c r="AO756" s="299"/>
      <c r="CF756" s="294"/>
      <c r="CG756" s="294"/>
      <c r="CH756" s="294"/>
      <c r="CI756" s="294"/>
      <c r="CJ756" s="294"/>
      <c r="CK756" s="294"/>
      <c r="CL756" s="294"/>
      <c r="CM756" s="294"/>
      <c r="CN756" s="294"/>
    </row>
    <row r="757" spans="2:92" ht="13">
      <c r="B757" s="294"/>
      <c r="F757" s="302"/>
      <c r="J757" s="302"/>
      <c r="AI757" s="188"/>
      <c r="AJ757" s="188"/>
      <c r="AK757" s="188"/>
      <c r="AL757" s="188"/>
      <c r="AM757" s="188"/>
      <c r="AN757" s="188"/>
      <c r="AO757" s="299"/>
      <c r="CF757" s="294"/>
      <c r="CG757" s="294"/>
      <c r="CH757" s="294"/>
      <c r="CI757" s="294"/>
      <c r="CJ757" s="294"/>
      <c r="CK757" s="294"/>
      <c r="CL757" s="294"/>
      <c r="CM757" s="294"/>
      <c r="CN757" s="294"/>
    </row>
    <row r="758" spans="2:92" ht="13">
      <c r="B758" s="294"/>
      <c r="F758" s="302"/>
      <c r="J758" s="302"/>
      <c r="AI758" s="188"/>
      <c r="AJ758" s="188"/>
      <c r="AK758" s="188"/>
      <c r="AL758" s="188"/>
      <c r="AM758" s="188"/>
      <c r="AN758" s="188"/>
      <c r="AO758" s="299"/>
      <c r="CF758" s="294"/>
      <c r="CG758" s="294"/>
      <c r="CH758" s="294"/>
      <c r="CI758" s="294"/>
      <c r="CJ758" s="294"/>
      <c r="CK758" s="294"/>
      <c r="CL758" s="294"/>
      <c r="CM758" s="294"/>
      <c r="CN758" s="294"/>
    </row>
    <row r="759" spans="2:92" ht="13">
      <c r="B759" s="294"/>
      <c r="F759" s="302"/>
      <c r="J759" s="302"/>
      <c r="AI759" s="188"/>
      <c r="AJ759" s="188"/>
      <c r="AK759" s="188"/>
      <c r="AL759" s="188"/>
      <c r="AM759" s="188"/>
      <c r="AN759" s="188"/>
      <c r="AO759" s="299"/>
      <c r="CF759" s="294"/>
      <c r="CG759" s="294"/>
      <c r="CH759" s="294"/>
      <c r="CI759" s="294"/>
      <c r="CJ759" s="294"/>
      <c r="CK759" s="294"/>
      <c r="CL759" s="294"/>
      <c r="CM759" s="294"/>
      <c r="CN759" s="294"/>
    </row>
    <row r="760" spans="2:92" ht="13">
      <c r="B760" s="294"/>
      <c r="F760" s="302"/>
      <c r="J760" s="302"/>
      <c r="AI760" s="188"/>
      <c r="AJ760" s="188"/>
      <c r="AK760" s="188"/>
      <c r="AL760" s="188"/>
      <c r="AM760" s="188"/>
      <c r="AN760" s="188"/>
      <c r="AO760" s="299"/>
      <c r="CF760" s="294"/>
      <c r="CG760" s="294"/>
      <c r="CH760" s="294"/>
      <c r="CI760" s="294"/>
      <c r="CJ760" s="294"/>
      <c r="CK760" s="294"/>
      <c r="CL760" s="294"/>
      <c r="CM760" s="294"/>
      <c r="CN760" s="294"/>
    </row>
    <row r="761" spans="2:92" ht="13">
      <c r="B761" s="294"/>
      <c r="F761" s="302"/>
      <c r="J761" s="302"/>
      <c r="AI761" s="188"/>
      <c r="AJ761" s="188"/>
      <c r="AK761" s="188"/>
      <c r="AL761" s="188"/>
      <c r="AM761" s="188"/>
      <c r="AN761" s="188"/>
      <c r="AO761" s="299"/>
      <c r="CF761" s="294"/>
      <c r="CG761" s="294"/>
      <c r="CH761" s="294"/>
      <c r="CI761" s="294"/>
      <c r="CJ761" s="294"/>
      <c r="CK761" s="294"/>
      <c r="CL761" s="294"/>
      <c r="CM761" s="294"/>
      <c r="CN761" s="294"/>
    </row>
    <row r="762" spans="2:92" ht="13">
      <c r="B762" s="294"/>
      <c r="F762" s="302"/>
      <c r="J762" s="302"/>
      <c r="AI762" s="188"/>
      <c r="AJ762" s="188"/>
      <c r="AK762" s="188"/>
      <c r="AL762" s="188"/>
      <c r="AM762" s="188"/>
      <c r="AN762" s="188"/>
      <c r="AO762" s="299"/>
      <c r="CF762" s="294"/>
      <c r="CG762" s="294"/>
      <c r="CH762" s="294"/>
      <c r="CI762" s="294"/>
      <c r="CJ762" s="294"/>
      <c r="CK762" s="294"/>
      <c r="CL762" s="294"/>
      <c r="CM762" s="294"/>
      <c r="CN762" s="294"/>
    </row>
    <row r="763" spans="2:92" ht="13">
      <c r="B763" s="294"/>
      <c r="F763" s="302"/>
      <c r="J763" s="302"/>
      <c r="AI763" s="188"/>
      <c r="AJ763" s="188"/>
      <c r="AK763" s="188"/>
      <c r="AL763" s="188"/>
      <c r="AM763" s="188"/>
      <c r="AN763" s="188"/>
      <c r="AO763" s="299"/>
      <c r="CF763" s="294"/>
      <c r="CG763" s="294"/>
      <c r="CH763" s="294"/>
      <c r="CI763" s="294"/>
      <c r="CJ763" s="294"/>
      <c r="CK763" s="294"/>
      <c r="CL763" s="294"/>
      <c r="CM763" s="294"/>
      <c r="CN763" s="294"/>
    </row>
    <row r="764" spans="2:92" ht="13">
      <c r="B764" s="294"/>
      <c r="F764" s="302"/>
      <c r="J764" s="302"/>
      <c r="AI764" s="188"/>
      <c r="AJ764" s="188"/>
      <c r="AK764" s="188"/>
      <c r="AL764" s="188"/>
      <c r="AM764" s="188"/>
      <c r="AN764" s="188"/>
      <c r="AO764" s="299"/>
      <c r="CF764" s="294"/>
      <c r="CG764" s="294"/>
      <c r="CH764" s="294"/>
      <c r="CI764" s="294"/>
      <c r="CJ764" s="294"/>
      <c r="CK764" s="294"/>
      <c r="CL764" s="294"/>
      <c r="CM764" s="294"/>
      <c r="CN764" s="294"/>
    </row>
    <row r="765" spans="2:92" ht="13">
      <c r="B765" s="294"/>
      <c r="F765" s="302"/>
      <c r="J765" s="302"/>
      <c r="AI765" s="188"/>
      <c r="AJ765" s="188"/>
      <c r="AK765" s="188"/>
      <c r="AL765" s="188"/>
      <c r="AM765" s="188"/>
      <c r="AN765" s="188"/>
      <c r="AO765" s="299"/>
      <c r="CF765" s="294"/>
      <c r="CG765" s="294"/>
      <c r="CH765" s="294"/>
      <c r="CI765" s="294"/>
      <c r="CJ765" s="294"/>
      <c r="CK765" s="294"/>
      <c r="CL765" s="294"/>
      <c r="CM765" s="294"/>
      <c r="CN765" s="294"/>
    </row>
    <row r="766" spans="2:92" ht="13">
      <c r="B766" s="294"/>
      <c r="F766" s="302"/>
      <c r="J766" s="302"/>
      <c r="AI766" s="188"/>
      <c r="AJ766" s="188"/>
      <c r="AK766" s="188"/>
      <c r="AL766" s="188"/>
      <c r="AM766" s="188"/>
      <c r="AN766" s="188"/>
      <c r="AO766" s="299"/>
      <c r="CF766" s="294"/>
      <c r="CG766" s="294"/>
      <c r="CH766" s="294"/>
      <c r="CI766" s="294"/>
      <c r="CJ766" s="294"/>
      <c r="CK766" s="294"/>
      <c r="CL766" s="294"/>
      <c r="CM766" s="294"/>
      <c r="CN766" s="294"/>
    </row>
    <row r="767" spans="2:92" ht="13">
      <c r="B767" s="294"/>
      <c r="F767" s="302"/>
      <c r="J767" s="302"/>
      <c r="AI767" s="188"/>
      <c r="AJ767" s="188"/>
      <c r="AK767" s="188"/>
      <c r="AL767" s="188"/>
      <c r="AM767" s="188"/>
      <c r="AN767" s="188"/>
      <c r="AO767" s="299"/>
      <c r="CF767" s="294"/>
      <c r="CG767" s="294"/>
      <c r="CH767" s="294"/>
      <c r="CI767" s="294"/>
      <c r="CJ767" s="294"/>
      <c r="CK767" s="294"/>
      <c r="CL767" s="294"/>
      <c r="CM767" s="294"/>
      <c r="CN767" s="294"/>
    </row>
    <row r="768" spans="2:92" ht="13">
      <c r="B768" s="294"/>
      <c r="F768" s="302"/>
      <c r="J768" s="302"/>
      <c r="AI768" s="188"/>
      <c r="AJ768" s="188"/>
      <c r="AK768" s="188"/>
      <c r="AL768" s="188"/>
      <c r="AM768" s="188"/>
      <c r="AN768" s="188"/>
      <c r="AO768" s="299"/>
      <c r="CF768" s="294"/>
      <c r="CG768" s="294"/>
      <c r="CH768" s="294"/>
      <c r="CI768" s="294"/>
      <c r="CJ768" s="294"/>
      <c r="CK768" s="294"/>
      <c r="CL768" s="294"/>
      <c r="CM768" s="294"/>
      <c r="CN768" s="294"/>
    </row>
    <row r="769" spans="2:92" ht="13">
      <c r="B769" s="294"/>
      <c r="F769" s="302"/>
      <c r="J769" s="302"/>
      <c r="AI769" s="188"/>
      <c r="AJ769" s="188"/>
      <c r="AK769" s="188"/>
      <c r="AL769" s="188"/>
      <c r="AM769" s="188"/>
      <c r="AN769" s="188"/>
      <c r="AO769" s="299"/>
      <c r="CF769" s="294"/>
      <c r="CG769" s="294"/>
      <c r="CH769" s="294"/>
      <c r="CI769" s="294"/>
      <c r="CJ769" s="294"/>
      <c r="CK769" s="294"/>
      <c r="CL769" s="294"/>
      <c r="CM769" s="294"/>
      <c r="CN769" s="294"/>
    </row>
    <row r="770" spans="2:92" ht="13">
      <c r="B770" s="294"/>
      <c r="F770" s="302"/>
      <c r="J770" s="302"/>
      <c r="AI770" s="188"/>
      <c r="AJ770" s="188"/>
      <c r="AK770" s="188"/>
      <c r="AL770" s="188"/>
      <c r="AM770" s="188"/>
      <c r="AN770" s="188"/>
      <c r="AO770" s="299"/>
      <c r="CF770" s="294"/>
      <c r="CG770" s="294"/>
      <c r="CH770" s="294"/>
      <c r="CI770" s="294"/>
      <c r="CJ770" s="294"/>
      <c r="CK770" s="294"/>
      <c r="CL770" s="294"/>
      <c r="CM770" s="294"/>
      <c r="CN770" s="294"/>
    </row>
    <row r="771" spans="2:92" ht="13">
      <c r="B771" s="294"/>
      <c r="F771" s="302"/>
      <c r="J771" s="302"/>
      <c r="AI771" s="188"/>
      <c r="AJ771" s="188"/>
      <c r="AK771" s="188"/>
      <c r="AL771" s="188"/>
      <c r="AM771" s="188"/>
      <c r="AN771" s="188"/>
      <c r="AO771" s="299"/>
      <c r="CF771" s="294"/>
      <c r="CG771" s="294"/>
      <c r="CH771" s="294"/>
      <c r="CI771" s="294"/>
      <c r="CJ771" s="294"/>
      <c r="CK771" s="294"/>
      <c r="CL771" s="294"/>
      <c r="CM771" s="294"/>
      <c r="CN771" s="294"/>
    </row>
    <row r="772" spans="2:92" ht="13">
      <c r="B772" s="294"/>
      <c r="F772" s="302"/>
      <c r="J772" s="302"/>
      <c r="AI772" s="188"/>
      <c r="AJ772" s="188"/>
      <c r="AK772" s="188"/>
      <c r="AL772" s="188"/>
      <c r="AM772" s="188"/>
      <c r="AN772" s="188"/>
      <c r="AO772" s="299"/>
      <c r="CF772" s="294"/>
      <c r="CG772" s="294"/>
      <c r="CH772" s="294"/>
      <c r="CI772" s="294"/>
      <c r="CJ772" s="294"/>
      <c r="CK772" s="294"/>
      <c r="CL772" s="294"/>
      <c r="CM772" s="294"/>
      <c r="CN772" s="294"/>
    </row>
    <row r="773" spans="2:92" ht="13">
      <c r="B773" s="294"/>
      <c r="F773" s="302"/>
      <c r="J773" s="302"/>
      <c r="AI773" s="188"/>
      <c r="AJ773" s="188"/>
      <c r="AK773" s="188"/>
      <c r="AL773" s="188"/>
      <c r="AM773" s="188"/>
      <c r="AN773" s="188"/>
      <c r="AO773" s="299"/>
      <c r="CF773" s="294"/>
      <c r="CG773" s="294"/>
      <c r="CH773" s="294"/>
      <c r="CI773" s="294"/>
      <c r="CJ773" s="294"/>
      <c r="CK773" s="294"/>
      <c r="CL773" s="294"/>
      <c r="CM773" s="294"/>
      <c r="CN773" s="294"/>
    </row>
    <row r="774" spans="2:92" ht="13">
      <c r="B774" s="294"/>
      <c r="F774" s="302"/>
      <c r="J774" s="302"/>
      <c r="AI774" s="188"/>
      <c r="AJ774" s="188"/>
      <c r="AK774" s="188"/>
      <c r="AL774" s="188"/>
      <c r="AM774" s="188"/>
      <c r="AN774" s="188"/>
      <c r="AO774" s="299"/>
      <c r="CF774" s="294"/>
      <c r="CG774" s="294"/>
      <c r="CH774" s="294"/>
      <c r="CI774" s="294"/>
      <c r="CJ774" s="294"/>
      <c r="CK774" s="294"/>
      <c r="CL774" s="294"/>
      <c r="CM774" s="294"/>
      <c r="CN774" s="294"/>
    </row>
    <row r="775" spans="2:92" ht="13">
      <c r="B775" s="294"/>
      <c r="F775" s="302"/>
      <c r="J775" s="302"/>
      <c r="AI775" s="188"/>
      <c r="AJ775" s="188"/>
      <c r="AK775" s="188"/>
      <c r="AL775" s="188"/>
      <c r="AM775" s="188"/>
      <c r="AN775" s="188"/>
      <c r="AO775" s="299"/>
      <c r="CF775" s="294"/>
      <c r="CG775" s="294"/>
      <c r="CH775" s="294"/>
      <c r="CI775" s="294"/>
      <c r="CJ775" s="294"/>
      <c r="CK775" s="294"/>
      <c r="CL775" s="294"/>
      <c r="CM775" s="294"/>
      <c r="CN775" s="294"/>
    </row>
    <row r="776" spans="2:92" ht="13">
      <c r="B776" s="294"/>
      <c r="F776" s="302"/>
      <c r="J776" s="302"/>
      <c r="AI776" s="188"/>
      <c r="AJ776" s="188"/>
      <c r="AK776" s="188"/>
      <c r="AL776" s="188"/>
      <c r="AM776" s="188"/>
      <c r="AN776" s="188"/>
      <c r="AO776" s="299"/>
      <c r="CF776" s="294"/>
      <c r="CG776" s="294"/>
      <c r="CH776" s="294"/>
      <c r="CI776" s="294"/>
      <c r="CJ776" s="294"/>
      <c r="CK776" s="294"/>
      <c r="CL776" s="294"/>
      <c r="CM776" s="294"/>
      <c r="CN776" s="294"/>
    </row>
    <row r="777" spans="2:92" ht="13">
      <c r="B777" s="294"/>
      <c r="F777" s="302"/>
      <c r="J777" s="302"/>
      <c r="AI777" s="188"/>
      <c r="AJ777" s="188"/>
      <c r="AK777" s="188"/>
      <c r="AL777" s="188"/>
      <c r="AM777" s="188"/>
      <c r="AN777" s="188"/>
      <c r="AO777" s="299"/>
      <c r="CF777" s="294"/>
      <c r="CG777" s="294"/>
      <c r="CH777" s="294"/>
      <c r="CI777" s="294"/>
      <c r="CJ777" s="294"/>
      <c r="CK777" s="294"/>
      <c r="CL777" s="294"/>
      <c r="CM777" s="294"/>
      <c r="CN777" s="294"/>
    </row>
    <row r="778" spans="2:92" ht="13">
      <c r="B778" s="294"/>
      <c r="F778" s="302"/>
      <c r="J778" s="302"/>
      <c r="AI778" s="188"/>
      <c r="AJ778" s="188"/>
      <c r="AK778" s="188"/>
      <c r="AL778" s="188"/>
      <c r="AM778" s="188"/>
      <c r="AN778" s="188"/>
      <c r="AO778" s="299"/>
      <c r="CF778" s="294"/>
      <c r="CG778" s="294"/>
      <c r="CH778" s="294"/>
      <c r="CI778" s="294"/>
      <c r="CJ778" s="294"/>
      <c r="CK778" s="294"/>
      <c r="CL778" s="294"/>
      <c r="CM778" s="294"/>
      <c r="CN778" s="294"/>
    </row>
    <row r="779" spans="2:92" ht="13">
      <c r="B779" s="294"/>
      <c r="F779" s="302"/>
      <c r="J779" s="302"/>
      <c r="AI779" s="188"/>
      <c r="AJ779" s="188"/>
      <c r="AK779" s="188"/>
      <c r="AL779" s="188"/>
      <c r="AM779" s="188"/>
      <c r="AN779" s="188"/>
      <c r="AO779" s="299"/>
      <c r="CF779" s="294"/>
      <c r="CG779" s="294"/>
      <c r="CH779" s="294"/>
      <c r="CI779" s="294"/>
      <c r="CJ779" s="294"/>
      <c r="CK779" s="294"/>
      <c r="CL779" s="294"/>
      <c r="CM779" s="294"/>
      <c r="CN779" s="294"/>
    </row>
    <row r="780" spans="2:92" ht="13">
      <c r="B780" s="294"/>
      <c r="F780" s="302"/>
      <c r="J780" s="302"/>
      <c r="AI780" s="188"/>
      <c r="AJ780" s="188"/>
      <c r="AK780" s="188"/>
      <c r="AL780" s="188"/>
      <c r="AM780" s="188"/>
      <c r="AN780" s="188"/>
      <c r="AO780" s="299"/>
      <c r="CF780" s="294"/>
      <c r="CG780" s="294"/>
      <c r="CH780" s="294"/>
      <c r="CI780" s="294"/>
      <c r="CJ780" s="294"/>
      <c r="CK780" s="294"/>
      <c r="CL780" s="294"/>
      <c r="CM780" s="294"/>
      <c r="CN780" s="294"/>
    </row>
    <row r="781" spans="2:92" ht="13">
      <c r="B781" s="294"/>
      <c r="F781" s="302"/>
      <c r="J781" s="302"/>
      <c r="AI781" s="188"/>
      <c r="AJ781" s="188"/>
      <c r="AK781" s="188"/>
      <c r="AL781" s="188"/>
      <c r="AM781" s="188"/>
      <c r="AN781" s="188"/>
      <c r="AO781" s="299"/>
      <c r="CF781" s="294"/>
      <c r="CG781" s="294"/>
      <c r="CH781" s="294"/>
      <c r="CI781" s="294"/>
      <c r="CJ781" s="294"/>
      <c r="CK781" s="294"/>
      <c r="CL781" s="294"/>
      <c r="CM781" s="294"/>
      <c r="CN781" s="294"/>
    </row>
    <row r="782" spans="2:92" ht="13">
      <c r="B782" s="294"/>
      <c r="F782" s="302"/>
      <c r="J782" s="302"/>
      <c r="AI782" s="188"/>
      <c r="AJ782" s="188"/>
      <c r="AK782" s="188"/>
      <c r="AL782" s="188"/>
      <c r="AM782" s="188"/>
      <c r="AN782" s="188"/>
      <c r="AO782" s="299"/>
      <c r="CF782" s="294"/>
      <c r="CG782" s="294"/>
      <c r="CH782" s="294"/>
      <c r="CI782" s="294"/>
      <c r="CJ782" s="294"/>
      <c r="CK782" s="294"/>
      <c r="CL782" s="294"/>
      <c r="CM782" s="294"/>
      <c r="CN782" s="294"/>
    </row>
    <row r="783" spans="2:92" ht="13">
      <c r="B783" s="294"/>
      <c r="F783" s="302"/>
      <c r="J783" s="302"/>
      <c r="AI783" s="188"/>
      <c r="AJ783" s="188"/>
      <c r="AK783" s="188"/>
      <c r="AL783" s="188"/>
      <c r="AM783" s="188"/>
      <c r="AN783" s="188"/>
      <c r="AO783" s="299"/>
      <c r="CF783" s="294"/>
      <c r="CG783" s="294"/>
      <c r="CH783" s="294"/>
      <c r="CI783" s="294"/>
      <c r="CJ783" s="294"/>
      <c r="CK783" s="294"/>
      <c r="CL783" s="294"/>
      <c r="CM783" s="294"/>
      <c r="CN783" s="294"/>
    </row>
    <row r="784" spans="2:92" ht="13">
      <c r="B784" s="294"/>
      <c r="F784" s="302"/>
      <c r="J784" s="302"/>
      <c r="AI784" s="188"/>
      <c r="AJ784" s="188"/>
      <c r="AK784" s="188"/>
      <c r="AL784" s="188"/>
      <c r="AM784" s="188"/>
      <c r="AN784" s="188"/>
      <c r="AO784" s="299"/>
      <c r="CF784" s="294"/>
      <c r="CG784" s="294"/>
      <c r="CH784" s="294"/>
      <c r="CI784" s="294"/>
      <c r="CJ784" s="294"/>
      <c r="CK784" s="294"/>
      <c r="CL784" s="294"/>
      <c r="CM784" s="294"/>
      <c r="CN784" s="294"/>
    </row>
    <row r="785" spans="2:92" ht="13">
      <c r="B785" s="294"/>
      <c r="F785" s="302"/>
      <c r="J785" s="302"/>
      <c r="AI785" s="188"/>
      <c r="AJ785" s="188"/>
      <c r="AK785" s="188"/>
      <c r="AL785" s="188"/>
      <c r="AM785" s="188"/>
      <c r="AN785" s="188"/>
      <c r="AO785" s="299"/>
      <c r="CF785" s="294"/>
      <c r="CG785" s="294"/>
      <c r="CH785" s="294"/>
      <c r="CI785" s="294"/>
      <c r="CJ785" s="294"/>
      <c r="CK785" s="294"/>
      <c r="CL785" s="294"/>
      <c r="CM785" s="294"/>
      <c r="CN785" s="294"/>
    </row>
    <row r="786" spans="2:92" ht="13">
      <c r="B786" s="294"/>
      <c r="F786" s="302"/>
      <c r="J786" s="302"/>
      <c r="AI786" s="188"/>
      <c r="AJ786" s="188"/>
      <c r="AK786" s="188"/>
      <c r="AL786" s="188"/>
      <c r="AM786" s="188"/>
      <c r="AN786" s="188"/>
      <c r="AO786" s="299"/>
      <c r="CF786" s="294"/>
      <c r="CG786" s="294"/>
      <c r="CH786" s="294"/>
      <c r="CI786" s="294"/>
      <c r="CJ786" s="294"/>
      <c r="CK786" s="294"/>
      <c r="CL786" s="294"/>
      <c r="CM786" s="294"/>
      <c r="CN786" s="294"/>
    </row>
    <row r="787" spans="2:92" ht="13">
      <c r="B787" s="294"/>
      <c r="F787" s="302"/>
      <c r="J787" s="302"/>
      <c r="AI787" s="188"/>
      <c r="AJ787" s="188"/>
      <c r="AK787" s="188"/>
      <c r="AL787" s="188"/>
      <c r="AM787" s="188"/>
      <c r="AN787" s="188"/>
      <c r="AO787" s="299"/>
      <c r="CF787" s="294"/>
      <c r="CG787" s="294"/>
      <c r="CH787" s="294"/>
      <c r="CI787" s="294"/>
      <c r="CJ787" s="294"/>
      <c r="CK787" s="294"/>
      <c r="CL787" s="294"/>
      <c r="CM787" s="294"/>
      <c r="CN787" s="294"/>
    </row>
    <row r="788" spans="2:92" ht="13">
      <c r="B788" s="294"/>
      <c r="F788" s="302"/>
      <c r="J788" s="302"/>
      <c r="AI788" s="188"/>
      <c r="AJ788" s="188"/>
      <c r="AK788" s="188"/>
      <c r="AL788" s="188"/>
      <c r="AM788" s="188"/>
      <c r="AN788" s="188"/>
      <c r="AO788" s="299"/>
      <c r="CF788" s="294"/>
      <c r="CG788" s="294"/>
      <c r="CH788" s="294"/>
      <c r="CI788" s="294"/>
      <c r="CJ788" s="294"/>
      <c r="CK788" s="294"/>
      <c r="CL788" s="294"/>
      <c r="CM788" s="294"/>
      <c r="CN788" s="294"/>
    </row>
    <row r="789" spans="2:92" ht="13">
      <c r="B789" s="294"/>
      <c r="F789" s="302"/>
      <c r="J789" s="302"/>
      <c r="AI789" s="188"/>
      <c r="AJ789" s="188"/>
      <c r="AK789" s="188"/>
      <c r="AL789" s="188"/>
      <c r="AM789" s="188"/>
      <c r="AN789" s="188"/>
      <c r="AO789" s="299"/>
      <c r="CF789" s="294"/>
      <c r="CG789" s="294"/>
      <c r="CH789" s="294"/>
      <c r="CI789" s="294"/>
      <c r="CJ789" s="294"/>
      <c r="CK789" s="294"/>
      <c r="CL789" s="294"/>
      <c r="CM789" s="294"/>
      <c r="CN789" s="294"/>
    </row>
    <row r="790" spans="2:92" ht="13">
      <c r="B790" s="294"/>
      <c r="F790" s="302"/>
      <c r="J790" s="302"/>
      <c r="AI790" s="188"/>
      <c r="AJ790" s="188"/>
      <c r="AK790" s="188"/>
      <c r="AL790" s="188"/>
      <c r="AM790" s="188"/>
      <c r="AN790" s="188"/>
      <c r="AO790" s="299"/>
      <c r="CF790" s="294"/>
      <c r="CG790" s="294"/>
      <c r="CH790" s="294"/>
      <c r="CI790" s="294"/>
      <c r="CJ790" s="294"/>
      <c r="CK790" s="294"/>
      <c r="CL790" s="294"/>
      <c r="CM790" s="294"/>
      <c r="CN790" s="294"/>
    </row>
    <row r="791" spans="2:92" ht="13">
      <c r="B791" s="294"/>
      <c r="F791" s="302"/>
      <c r="J791" s="302"/>
      <c r="AI791" s="188"/>
      <c r="AJ791" s="188"/>
      <c r="AK791" s="188"/>
      <c r="AL791" s="188"/>
      <c r="AM791" s="188"/>
      <c r="AN791" s="188"/>
      <c r="AO791" s="299"/>
      <c r="CF791" s="294"/>
      <c r="CG791" s="294"/>
      <c r="CH791" s="294"/>
      <c r="CI791" s="294"/>
      <c r="CJ791" s="294"/>
      <c r="CK791" s="294"/>
      <c r="CL791" s="294"/>
      <c r="CM791" s="294"/>
      <c r="CN791" s="294"/>
    </row>
    <row r="792" spans="2:92" ht="13">
      <c r="B792" s="294"/>
      <c r="F792" s="302"/>
      <c r="J792" s="302"/>
      <c r="AI792" s="188"/>
      <c r="AJ792" s="188"/>
      <c r="AK792" s="188"/>
      <c r="AL792" s="188"/>
      <c r="AM792" s="188"/>
      <c r="AN792" s="188"/>
      <c r="AO792" s="299"/>
      <c r="CF792" s="294"/>
      <c r="CG792" s="294"/>
      <c r="CH792" s="294"/>
      <c r="CI792" s="294"/>
      <c r="CJ792" s="294"/>
      <c r="CK792" s="294"/>
      <c r="CL792" s="294"/>
      <c r="CM792" s="294"/>
      <c r="CN792" s="294"/>
    </row>
    <row r="793" spans="2:92" ht="13">
      <c r="B793" s="294"/>
      <c r="F793" s="302"/>
      <c r="J793" s="302"/>
      <c r="AI793" s="188"/>
      <c r="AJ793" s="188"/>
      <c r="AK793" s="188"/>
      <c r="AL793" s="188"/>
      <c r="AM793" s="188"/>
      <c r="AN793" s="188"/>
      <c r="AO793" s="299"/>
      <c r="CF793" s="294"/>
      <c r="CG793" s="294"/>
      <c r="CH793" s="294"/>
      <c r="CI793" s="294"/>
      <c r="CJ793" s="294"/>
      <c r="CK793" s="294"/>
      <c r="CL793" s="294"/>
      <c r="CM793" s="294"/>
      <c r="CN793" s="294"/>
    </row>
    <row r="794" spans="2:92" ht="13">
      <c r="B794" s="294"/>
      <c r="F794" s="302"/>
      <c r="J794" s="302"/>
      <c r="AI794" s="188"/>
      <c r="AJ794" s="188"/>
      <c r="AK794" s="188"/>
      <c r="AL794" s="188"/>
      <c r="AM794" s="188"/>
      <c r="AN794" s="188"/>
      <c r="AO794" s="299"/>
      <c r="CF794" s="294"/>
      <c r="CG794" s="294"/>
      <c r="CH794" s="294"/>
      <c r="CI794" s="294"/>
      <c r="CJ794" s="294"/>
      <c r="CK794" s="294"/>
      <c r="CL794" s="294"/>
      <c r="CM794" s="294"/>
      <c r="CN794" s="294"/>
    </row>
    <row r="795" spans="2:92" ht="13">
      <c r="B795" s="294"/>
      <c r="F795" s="302"/>
      <c r="J795" s="302"/>
      <c r="AI795" s="188"/>
      <c r="AJ795" s="188"/>
      <c r="AK795" s="188"/>
      <c r="AL795" s="188"/>
      <c r="AM795" s="188"/>
      <c r="AN795" s="188"/>
      <c r="AO795" s="299"/>
      <c r="CF795" s="294"/>
      <c r="CG795" s="294"/>
      <c r="CH795" s="294"/>
      <c r="CI795" s="294"/>
      <c r="CJ795" s="294"/>
      <c r="CK795" s="294"/>
      <c r="CL795" s="294"/>
      <c r="CM795" s="294"/>
      <c r="CN795" s="294"/>
    </row>
    <row r="796" spans="2:92" ht="13">
      <c r="B796" s="294"/>
      <c r="F796" s="302"/>
      <c r="J796" s="302"/>
      <c r="AI796" s="188"/>
      <c r="AJ796" s="188"/>
      <c r="AK796" s="188"/>
      <c r="AL796" s="188"/>
      <c r="AM796" s="188"/>
      <c r="AN796" s="188"/>
      <c r="AO796" s="299"/>
      <c r="CF796" s="294"/>
      <c r="CG796" s="294"/>
      <c r="CH796" s="294"/>
      <c r="CI796" s="294"/>
      <c r="CJ796" s="294"/>
      <c r="CK796" s="294"/>
      <c r="CL796" s="294"/>
      <c r="CM796" s="294"/>
      <c r="CN796" s="294"/>
    </row>
    <row r="797" spans="2:92" ht="13">
      <c r="B797" s="294"/>
      <c r="F797" s="302"/>
      <c r="J797" s="302"/>
      <c r="AI797" s="188"/>
      <c r="AJ797" s="188"/>
      <c r="AK797" s="188"/>
      <c r="AL797" s="188"/>
      <c r="AM797" s="188"/>
      <c r="AN797" s="188"/>
      <c r="AO797" s="299"/>
      <c r="CF797" s="294"/>
      <c r="CG797" s="294"/>
      <c r="CH797" s="294"/>
      <c r="CI797" s="294"/>
      <c r="CJ797" s="294"/>
      <c r="CK797" s="294"/>
      <c r="CL797" s="294"/>
      <c r="CM797" s="294"/>
      <c r="CN797" s="294"/>
    </row>
    <row r="798" spans="2:92" ht="13">
      <c r="B798" s="294"/>
      <c r="F798" s="302"/>
      <c r="J798" s="302"/>
      <c r="AI798" s="188"/>
      <c r="AJ798" s="188"/>
      <c r="AK798" s="188"/>
      <c r="AL798" s="188"/>
      <c r="AM798" s="188"/>
      <c r="AN798" s="188"/>
      <c r="AO798" s="299"/>
      <c r="CF798" s="294"/>
      <c r="CG798" s="294"/>
      <c r="CH798" s="294"/>
      <c r="CI798" s="294"/>
      <c r="CJ798" s="294"/>
      <c r="CK798" s="294"/>
      <c r="CL798" s="294"/>
      <c r="CM798" s="294"/>
      <c r="CN798" s="294"/>
    </row>
    <row r="799" spans="2:92" ht="13">
      <c r="B799" s="294"/>
      <c r="F799" s="302"/>
      <c r="J799" s="302"/>
      <c r="AI799" s="188"/>
      <c r="AJ799" s="188"/>
      <c r="AK799" s="188"/>
      <c r="AL799" s="188"/>
      <c r="AM799" s="188"/>
      <c r="AN799" s="188"/>
      <c r="AO799" s="299"/>
      <c r="CF799" s="294"/>
      <c r="CG799" s="294"/>
      <c r="CH799" s="294"/>
      <c r="CI799" s="294"/>
      <c r="CJ799" s="294"/>
      <c r="CK799" s="294"/>
      <c r="CL799" s="294"/>
      <c r="CM799" s="294"/>
      <c r="CN799" s="294"/>
    </row>
    <row r="800" spans="2:92" ht="13">
      <c r="B800" s="294"/>
      <c r="F800" s="302"/>
      <c r="J800" s="302"/>
      <c r="AI800" s="188"/>
      <c r="AJ800" s="188"/>
      <c r="AK800" s="188"/>
      <c r="AL800" s="188"/>
      <c r="AM800" s="188"/>
      <c r="AN800" s="188"/>
      <c r="AO800" s="299"/>
      <c r="CF800" s="294"/>
      <c r="CG800" s="294"/>
      <c r="CH800" s="294"/>
      <c r="CI800" s="294"/>
      <c r="CJ800" s="294"/>
      <c r="CK800" s="294"/>
      <c r="CL800" s="294"/>
      <c r="CM800" s="294"/>
      <c r="CN800" s="294"/>
    </row>
    <row r="801" spans="2:92" ht="13">
      <c r="B801" s="294"/>
      <c r="F801" s="302"/>
      <c r="J801" s="302"/>
      <c r="AI801" s="188"/>
      <c r="AJ801" s="188"/>
      <c r="AK801" s="188"/>
      <c r="AL801" s="188"/>
      <c r="AM801" s="188"/>
      <c r="AN801" s="188"/>
      <c r="AO801" s="299"/>
      <c r="CF801" s="294"/>
      <c r="CG801" s="294"/>
      <c r="CH801" s="294"/>
      <c r="CI801" s="294"/>
      <c r="CJ801" s="294"/>
      <c r="CK801" s="294"/>
      <c r="CL801" s="294"/>
      <c r="CM801" s="294"/>
      <c r="CN801" s="294"/>
    </row>
    <row r="802" spans="2:92" ht="13">
      <c r="B802" s="294"/>
      <c r="F802" s="302"/>
      <c r="J802" s="302"/>
      <c r="AI802" s="188"/>
      <c r="AJ802" s="188"/>
      <c r="AK802" s="188"/>
      <c r="AL802" s="188"/>
      <c r="AM802" s="188"/>
      <c r="AN802" s="188"/>
      <c r="AO802" s="299"/>
      <c r="CF802" s="294"/>
      <c r="CG802" s="294"/>
      <c r="CH802" s="294"/>
      <c r="CI802" s="294"/>
      <c r="CJ802" s="294"/>
      <c r="CK802" s="294"/>
      <c r="CL802" s="294"/>
      <c r="CM802" s="294"/>
      <c r="CN802" s="294"/>
    </row>
    <row r="803" spans="2:92" ht="13">
      <c r="B803" s="294"/>
      <c r="F803" s="302"/>
      <c r="J803" s="302"/>
      <c r="AI803" s="188"/>
      <c r="AJ803" s="188"/>
      <c r="AK803" s="188"/>
      <c r="AL803" s="188"/>
      <c r="AM803" s="188"/>
      <c r="AN803" s="188"/>
      <c r="AO803" s="299"/>
      <c r="CF803" s="294"/>
      <c r="CG803" s="294"/>
      <c r="CH803" s="294"/>
      <c r="CI803" s="294"/>
      <c r="CJ803" s="294"/>
      <c r="CK803" s="294"/>
      <c r="CL803" s="294"/>
      <c r="CM803" s="294"/>
      <c r="CN803" s="294"/>
    </row>
    <row r="804" spans="2:92" ht="13">
      <c r="B804" s="294"/>
      <c r="F804" s="302"/>
      <c r="J804" s="302"/>
      <c r="AI804" s="188"/>
      <c r="AJ804" s="188"/>
      <c r="AK804" s="188"/>
      <c r="AL804" s="188"/>
      <c r="AM804" s="188"/>
      <c r="AN804" s="188"/>
      <c r="AO804" s="299"/>
      <c r="CF804" s="294"/>
      <c r="CG804" s="294"/>
      <c r="CH804" s="294"/>
      <c r="CI804" s="294"/>
      <c r="CJ804" s="294"/>
      <c r="CK804" s="294"/>
      <c r="CL804" s="294"/>
      <c r="CM804" s="294"/>
      <c r="CN804" s="294"/>
    </row>
    <row r="805" spans="2:92" ht="13">
      <c r="B805" s="294"/>
      <c r="F805" s="302"/>
      <c r="J805" s="302"/>
      <c r="AI805" s="188"/>
      <c r="AJ805" s="188"/>
      <c r="AK805" s="188"/>
      <c r="AL805" s="188"/>
      <c r="AM805" s="188"/>
      <c r="AN805" s="188"/>
      <c r="AO805" s="299"/>
      <c r="CF805" s="294"/>
      <c r="CG805" s="294"/>
      <c r="CH805" s="294"/>
      <c r="CI805" s="294"/>
      <c r="CJ805" s="294"/>
      <c r="CK805" s="294"/>
      <c r="CL805" s="294"/>
      <c r="CM805" s="294"/>
      <c r="CN805" s="294"/>
    </row>
    <row r="806" spans="2:92" ht="13">
      <c r="B806" s="294"/>
      <c r="F806" s="302"/>
      <c r="J806" s="302"/>
      <c r="AI806" s="188"/>
      <c r="AJ806" s="188"/>
      <c r="AK806" s="188"/>
      <c r="AL806" s="188"/>
      <c r="AM806" s="188"/>
      <c r="AN806" s="188"/>
      <c r="AO806" s="299"/>
      <c r="CF806" s="294"/>
      <c r="CG806" s="294"/>
      <c r="CH806" s="294"/>
      <c r="CI806" s="294"/>
      <c r="CJ806" s="294"/>
      <c r="CK806" s="294"/>
      <c r="CL806" s="294"/>
      <c r="CM806" s="294"/>
      <c r="CN806" s="294"/>
    </row>
    <row r="807" spans="2:92" ht="13">
      <c r="B807" s="294"/>
      <c r="F807" s="302"/>
      <c r="J807" s="302"/>
      <c r="AI807" s="188"/>
      <c r="AJ807" s="188"/>
      <c r="AK807" s="188"/>
      <c r="AL807" s="188"/>
      <c r="AM807" s="188"/>
      <c r="AN807" s="188"/>
      <c r="AO807" s="299"/>
      <c r="CF807" s="294"/>
      <c r="CG807" s="294"/>
      <c r="CH807" s="294"/>
      <c r="CI807" s="294"/>
      <c r="CJ807" s="294"/>
      <c r="CK807" s="294"/>
      <c r="CL807" s="294"/>
      <c r="CM807" s="294"/>
      <c r="CN807" s="294"/>
    </row>
    <row r="808" spans="2:92" ht="13">
      <c r="B808" s="294"/>
      <c r="F808" s="302"/>
      <c r="J808" s="302"/>
      <c r="AI808" s="188"/>
      <c r="AJ808" s="188"/>
      <c r="AK808" s="188"/>
      <c r="AL808" s="188"/>
      <c r="AM808" s="188"/>
      <c r="AN808" s="188"/>
      <c r="AO808" s="299"/>
      <c r="CF808" s="294"/>
      <c r="CG808" s="294"/>
      <c r="CH808" s="294"/>
      <c r="CI808" s="294"/>
      <c r="CJ808" s="294"/>
      <c r="CK808" s="294"/>
      <c r="CL808" s="294"/>
      <c r="CM808" s="294"/>
      <c r="CN808" s="294"/>
    </row>
    <row r="809" spans="2:92" ht="13">
      <c r="B809" s="294"/>
      <c r="F809" s="302"/>
      <c r="J809" s="302"/>
      <c r="AI809" s="188"/>
      <c r="AJ809" s="188"/>
      <c r="AK809" s="188"/>
      <c r="AL809" s="188"/>
      <c r="AM809" s="188"/>
      <c r="AN809" s="188"/>
      <c r="AO809" s="299"/>
      <c r="CF809" s="294"/>
      <c r="CG809" s="294"/>
      <c r="CH809" s="294"/>
      <c r="CI809" s="294"/>
      <c r="CJ809" s="294"/>
      <c r="CK809" s="294"/>
      <c r="CL809" s="294"/>
      <c r="CM809" s="294"/>
      <c r="CN809" s="294"/>
    </row>
    <row r="810" spans="2:92" ht="13">
      <c r="B810" s="294"/>
      <c r="F810" s="302"/>
      <c r="J810" s="302"/>
      <c r="AI810" s="188"/>
      <c r="AJ810" s="188"/>
      <c r="AK810" s="188"/>
      <c r="AL810" s="188"/>
      <c r="AM810" s="188"/>
      <c r="AN810" s="188"/>
      <c r="AO810" s="299"/>
      <c r="CF810" s="294"/>
      <c r="CG810" s="294"/>
      <c r="CH810" s="294"/>
      <c r="CI810" s="294"/>
      <c r="CJ810" s="294"/>
      <c r="CK810" s="294"/>
      <c r="CL810" s="294"/>
      <c r="CM810" s="294"/>
      <c r="CN810" s="294"/>
    </row>
    <row r="811" spans="2:92" ht="13">
      <c r="B811" s="294"/>
      <c r="F811" s="302"/>
      <c r="J811" s="302"/>
      <c r="AI811" s="188"/>
      <c r="AJ811" s="188"/>
      <c r="AK811" s="188"/>
      <c r="AL811" s="188"/>
      <c r="AM811" s="188"/>
      <c r="AN811" s="188"/>
      <c r="AO811" s="299"/>
      <c r="CF811" s="294"/>
      <c r="CG811" s="294"/>
      <c r="CH811" s="294"/>
      <c r="CI811" s="294"/>
      <c r="CJ811" s="294"/>
      <c r="CK811" s="294"/>
      <c r="CL811" s="294"/>
      <c r="CM811" s="294"/>
      <c r="CN811" s="294"/>
    </row>
    <row r="812" spans="2:92" ht="13">
      <c r="B812" s="294"/>
      <c r="F812" s="302"/>
      <c r="J812" s="302"/>
      <c r="AI812" s="188"/>
      <c r="AJ812" s="188"/>
      <c r="AK812" s="188"/>
      <c r="AL812" s="188"/>
      <c r="AM812" s="188"/>
      <c r="AN812" s="188"/>
      <c r="AO812" s="299"/>
      <c r="CF812" s="294"/>
      <c r="CG812" s="294"/>
      <c r="CH812" s="294"/>
      <c r="CI812" s="294"/>
      <c r="CJ812" s="294"/>
      <c r="CK812" s="294"/>
      <c r="CL812" s="294"/>
      <c r="CM812" s="294"/>
      <c r="CN812" s="294"/>
    </row>
    <row r="813" spans="2:92" ht="13">
      <c r="B813" s="294"/>
      <c r="F813" s="302"/>
      <c r="J813" s="302"/>
      <c r="AI813" s="188"/>
      <c r="AJ813" s="188"/>
      <c r="AK813" s="188"/>
      <c r="AL813" s="188"/>
      <c r="AM813" s="188"/>
      <c r="AN813" s="188"/>
      <c r="AO813" s="299"/>
      <c r="CF813" s="294"/>
      <c r="CG813" s="294"/>
      <c r="CH813" s="294"/>
      <c r="CI813" s="294"/>
      <c r="CJ813" s="294"/>
      <c r="CK813" s="294"/>
      <c r="CL813" s="294"/>
      <c r="CM813" s="294"/>
      <c r="CN813" s="294"/>
    </row>
    <row r="814" spans="2:92" ht="13">
      <c r="B814" s="294"/>
      <c r="F814" s="302"/>
      <c r="J814" s="302"/>
      <c r="AI814" s="188"/>
      <c r="AJ814" s="188"/>
      <c r="AK814" s="188"/>
      <c r="AL814" s="188"/>
      <c r="AM814" s="188"/>
      <c r="AN814" s="188"/>
      <c r="AO814" s="299"/>
      <c r="CF814" s="294"/>
      <c r="CG814" s="294"/>
      <c r="CH814" s="294"/>
      <c r="CI814" s="294"/>
      <c r="CJ814" s="294"/>
      <c r="CK814" s="294"/>
      <c r="CL814" s="294"/>
      <c r="CM814" s="294"/>
      <c r="CN814" s="294"/>
    </row>
    <row r="815" spans="2:92" ht="13">
      <c r="B815" s="294"/>
      <c r="F815" s="302"/>
      <c r="J815" s="302"/>
      <c r="AI815" s="188"/>
      <c r="AJ815" s="188"/>
      <c r="AK815" s="188"/>
      <c r="AL815" s="188"/>
      <c r="AM815" s="188"/>
      <c r="AN815" s="188"/>
      <c r="AO815" s="299"/>
      <c r="CF815" s="294"/>
      <c r="CG815" s="294"/>
      <c r="CH815" s="294"/>
      <c r="CI815" s="294"/>
      <c r="CJ815" s="294"/>
      <c r="CK815" s="294"/>
      <c r="CL815" s="294"/>
      <c r="CM815" s="294"/>
      <c r="CN815" s="294"/>
    </row>
    <row r="816" spans="2:92" ht="13">
      <c r="B816" s="294"/>
      <c r="F816" s="302"/>
      <c r="J816" s="302"/>
      <c r="AI816" s="188"/>
      <c r="AJ816" s="188"/>
      <c r="AK816" s="188"/>
      <c r="AL816" s="188"/>
      <c r="AM816" s="188"/>
      <c r="AN816" s="188"/>
      <c r="AO816" s="299"/>
      <c r="CF816" s="294"/>
      <c r="CG816" s="294"/>
      <c r="CH816" s="294"/>
      <c r="CI816" s="294"/>
      <c r="CJ816" s="294"/>
      <c r="CK816" s="294"/>
      <c r="CL816" s="294"/>
      <c r="CM816" s="294"/>
      <c r="CN816" s="294"/>
    </row>
    <row r="817" spans="2:92" ht="13">
      <c r="B817" s="294"/>
      <c r="F817" s="302"/>
      <c r="J817" s="302"/>
      <c r="AI817" s="188"/>
      <c r="AJ817" s="188"/>
      <c r="AK817" s="188"/>
      <c r="AL817" s="188"/>
      <c r="AM817" s="188"/>
      <c r="AN817" s="188"/>
      <c r="AO817" s="299"/>
      <c r="CF817" s="294"/>
      <c r="CG817" s="294"/>
      <c r="CH817" s="294"/>
      <c r="CI817" s="294"/>
      <c r="CJ817" s="294"/>
      <c r="CK817" s="294"/>
      <c r="CL817" s="294"/>
      <c r="CM817" s="294"/>
      <c r="CN817" s="294"/>
    </row>
    <row r="818" spans="2:92" ht="13">
      <c r="B818" s="294"/>
      <c r="F818" s="302"/>
      <c r="J818" s="302"/>
      <c r="AI818" s="188"/>
      <c r="AJ818" s="188"/>
      <c r="AK818" s="188"/>
      <c r="AL818" s="188"/>
      <c r="AM818" s="188"/>
      <c r="AN818" s="188"/>
      <c r="AO818" s="299"/>
      <c r="CF818" s="294"/>
      <c r="CG818" s="294"/>
      <c r="CH818" s="294"/>
      <c r="CI818" s="294"/>
      <c r="CJ818" s="294"/>
      <c r="CK818" s="294"/>
      <c r="CL818" s="294"/>
      <c r="CM818" s="294"/>
      <c r="CN818" s="294"/>
    </row>
    <row r="819" spans="2:92" ht="13">
      <c r="B819" s="294"/>
      <c r="F819" s="302"/>
      <c r="J819" s="302"/>
      <c r="AI819" s="188"/>
      <c r="AJ819" s="188"/>
      <c r="AK819" s="188"/>
      <c r="AL819" s="188"/>
      <c r="AM819" s="188"/>
      <c r="AN819" s="188"/>
      <c r="AO819" s="299"/>
      <c r="CF819" s="294"/>
      <c r="CG819" s="294"/>
      <c r="CH819" s="294"/>
      <c r="CI819" s="294"/>
      <c r="CJ819" s="294"/>
      <c r="CK819" s="294"/>
      <c r="CL819" s="294"/>
      <c r="CM819" s="294"/>
      <c r="CN819" s="294"/>
    </row>
    <row r="820" spans="2:92" ht="13">
      <c r="B820" s="294"/>
      <c r="F820" s="302"/>
      <c r="J820" s="302"/>
      <c r="AI820" s="188"/>
      <c r="AJ820" s="188"/>
      <c r="AK820" s="188"/>
      <c r="AL820" s="188"/>
      <c r="AM820" s="188"/>
      <c r="AN820" s="188"/>
      <c r="AO820" s="299"/>
      <c r="CF820" s="294"/>
      <c r="CG820" s="294"/>
      <c r="CH820" s="294"/>
      <c r="CI820" s="294"/>
      <c r="CJ820" s="294"/>
      <c r="CK820" s="294"/>
      <c r="CL820" s="294"/>
      <c r="CM820" s="294"/>
      <c r="CN820" s="294"/>
    </row>
    <row r="821" spans="2:92" ht="13">
      <c r="B821" s="294"/>
      <c r="F821" s="302"/>
      <c r="J821" s="302"/>
      <c r="AI821" s="188"/>
      <c r="AJ821" s="188"/>
      <c r="AK821" s="188"/>
      <c r="AL821" s="188"/>
      <c r="AM821" s="188"/>
      <c r="AN821" s="188"/>
      <c r="AO821" s="299"/>
      <c r="CF821" s="294"/>
      <c r="CG821" s="294"/>
      <c r="CH821" s="294"/>
      <c r="CI821" s="294"/>
      <c r="CJ821" s="294"/>
      <c r="CK821" s="294"/>
      <c r="CL821" s="294"/>
      <c r="CM821" s="294"/>
      <c r="CN821" s="294"/>
    </row>
    <row r="822" spans="2:92" ht="13">
      <c r="B822" s="294"/>
      <c r="F822" s="302"/>
      <c r="J822" s="302"/>
      <c r="AI822" s="188"/>
      <c r="AJ822" s="188"/>
      <c r="AK822" s="188"/>
      <c r="AL822" s="188"/>
      <c r="AM822" s="188"/>
      <c r="AN822" s="188"/>
      <c r="AO822" s="299"/>
      <c r="CF822" s="294"/>
      <c r="CG822" s="294"/>
      <c r="CH822" s="294"/>
      <c r="CI822" s="294"/>
      <c r="CJ822" s="294"/>
      <c r="CK822" s="294"/>
      <c r="CL822" s="294"/>
      <c r="CM822" s="294"/>
      <c r="CN822" s="294"/>
    </row>
    <row r="823" spans="2:92" ht="13">
      <c r="B823" s="294"/>
      <c r="F823" s="302"/>
      <c r="J823" s="302"/>
      <c r="AI823" s="188"/>
      <c r="AJ823" s="188"/>
      <c r="AK823" s="188"/>
      <c r="AL823" s="188"/>
      <c r="AM823" s="188"/>
      <c r="AN823" s="188"/>
      <c r="AO823" s="299"/>
      <c r="CF823" s="294"/>
      <c r="CG823" s="294"/>
      <c r="CH823" s="294"/>
      <c r="CI823" s="294"/>
      <c r="CJ823" s="294"/>
      <c r="CK823" s="294"/>
      <c r="CL823" s="294"/>
      <c r="CM823" s="294"/>
      <c r="CN823" s="294"/>
    </row>
    <row r="824" spans="2:92" ht="13">
      <c r="B824" s="294"/>
      <c r="F824" s="302"/>
      <c r="J824" s="302"/>
      <c r="AI824" s="188"/>
      <c r="AJ824" s="188"/>
      <c r="AK824" s="188"/>
      <c r="AL824" s="188"/>
      <c r="AM824" s="188"/>
      <c r="AN824" s="188"/>
      <c r="AO824" s="299"/>
      <c r="CF824" s="294"/>
      <c r="CG824" s="294"/>
      <c r="CH824" s="294"/>
      <c r="CI824" s="294"/>
      <c r="CJ824" s="294"/>
      <c r="CK824" s="294"/>
      <c r="CL824" s="294"/>
      <c r="CM824" s="294"/>
      <c r="CN824" s="294"/>
    </row>
    <row r="825" spans="2:92" ht="13">
      <c r="B825" s="294"/>
      <c r="F825" s="302"/>
      <c r="J825" s="302"/>
      <c r="AI825" s="188"/>
      <c r="AJ825" s="188"/>
      <c r="AK825" s="188"/>
      <c r="AL825" s="188"/>
      <c r="AM825" s="188"/>
      <c r="AN825" s="188"/>
      <c r="AO825" s="299"/>
      <c r="CF825" s="294"/>
      <c r="CG825" s="294"/>
      <c r="CH825" s="294"/>
      <c r="CI825" s="294"/>
      <c r="CJ825" s="294"/>
      <c r="CK825" s="294"/>
      <c r="CL825" s="294"/>
      <c r="CM825" s="294"/>
      <c r="CN825" s="294"/>
    </row>
    <row r="826" spans="2:92" ht="13">
      <c r="B826" s="294"/>
      <c r="F826" s="302"/>
      <c r="J826" s="302"/>
      <c r="AI826" s="188"/>
      <c r="AJ826" s="188"/>
      <c r="AK826" s="188"/>
      <c r="AL826" s="188"/>
      <c r="AM826" s="188"/>
      <c r="AN826" s="188"/>
      <c r="AO826" s="299"/>
      <c r="CF826" s="294"/>
      <c r="CG826" s="294"/>
      <c r="CH826" s="294"/>
      <c r="CI826" s="294"/>
      <c r="CJ826" s="294"/>
      <c r="CK826" s="294"/>
      <c r="CL826" s="294"/>
      <c r="CM826" s="294"/>
      <c r="CN826" s="294"/>
    </row>
    <row r="827" spans="2:92" ht="13">
      <c r="B827" s="294"/>
      <c r="F827" s="302"/>
      <c r="J827" s="302"/>
      <c r="AI827" s="188"/>
      <c r="AJ827" s="188"/>
      <c r="AK827" s="188"/>
      <c r="AL827" s="188"/>
      <c r="AM827" s="188"/>
      <c r="AN827" s="188"/>
      <c r="AO827" s="299"/>
      <c r="CF827" s="294"/>
      <c r="CG827" s="294"/>
      <c r="CH827" s="294"/>
      <c r="CI827" s="294"/>
      <c r="CJ827" s="294"/>
      <c r="CK827" s="294"/>
      <c r="CL827" s="294"/>
      <c r="CM827" s="294"/>
      <c r="CN827" s="294"/>
    </row>
    <row r="828" spans="2:92" ht="13">
      <c r="B828" s="294"/>
      <c r="F828" s="302"/>
      <c r="J828" s="302"/>
      <c r="AI828" s="188"/>
      <c r="AJ828" s="188"/>
      <c r="AK828" s="188"/>
      <c r="AL828" s="188"/>
      <c r="AM828" s="188"/>
      <c r="AN828" s="188"/>
      <c r="AO828" s="299"/>
      <c r="CF828" s="294"/>
      <c r="CG828" s="294"/>
      <c r="CH828" s="294"/>
      <c r="CI828" s="294"/>
      <c r="CJ828" s="294"/>
      <c r="CK828" s="294"/>
      <c r="CL828" s="294"/>
      <c r="CM828" s="294"/>
      <c r="CN828" s="294"/>
    </row>
    <row r="829" spans="2:92" ht="13">
      <c r="B829" s="294"/>
      <c r="F829" s="302"/>
      <c r="J829" s="302"/>
      <c r="AI829" s="188"/>
      <c r="AJ829" s="188"/>
      <c r="AK829" s="188"/>
      <c r="AL829" s="188"/>
      <c r="AM829" s="188"/>
      <c r="AN829" s="188"/>
      <c r="AO829" s="299"/>
      <c r="CF829" s="294"/>
      <c r="CG829" s="294"/>
      <c r="CH829" s="294"/>
      <c r="CI829" s="294"/>
      <c r="CJ829" s="294"/>
      <c r="CK829" s="294"/>
      <c r="CL829" s="294"/>
      <c r="CM829" s="294"/>
      <c r="CN829" s="294"/>
    </row>
    <row r="830" spans="2:92" ht="13">
      <c r="B830" s="294"/>
      <c r="F830" s="302"/>
      <c r="J830" s="302"/>
      <c r="AI830" s="188"/>
      <c r="AJ830" s="188"/>
      <c r="AK830" s="188"/>
      <c r="AL830" s="188"/>
      <c r="AM830" s="188"/>
      <c r="AN830" s="188"/>
      <c r="AO830" s="299"/>
      <c r="CF830" s="294"/>
      <c r="CG830" s="294"/>
      <c r="CH830" s="294"/>
      <c r="CI830" s="294"/>
      <c r="CJ830" s="294"/>
      <c r="CK830" s="294"/>
      <c r="CL830" s="294"/>
      <c r="CM830" s="294"/>
      <c r="CN830" s="294"/>
    </row>
    <row r="831" spans="2:92" ht="13">
      <c r="B831" s="294"/>
      <c r="F831" s="302"/>
      <c r="J831" s="302"/>
      <c r="AI831" s="188"/>
      <c r="AJ831" s="188"/>
      <c r="AK831" s="188"/>
      <c r="AL831" s="188"/>
      <c r="AM831" s="188"/>
      <c r="AN831" s="188"/>
      <c r="AO831" s="299"/>
      <c r="CF831" s="294"/>
      <c r="CG831" s="294"/>
      <c r="CH831" s="294"/>
      <c r="CI831" s="294"/>
      <c r="CJ831" s="294"/>
      <c r="CK831" s="294"/>
      <c r="CL831" s="294"/>
      <c r="CM831" s="294"/>
      <c r="CN831" s="294"/>
    </row>
    <row r="832" spans="2:92" ht="13">
      <c r="B832" s="294"/>
      <c r="F832" s="302"/>
      <c r="J832" s="302"/>
      <c r="AI832" s="188"/>
      <c r="AJ832" s="188"/>
      <c r="AK832" s="188"/>
      <c r="AL832" s="188"/>
      <c r="AM832" s="188"/>
      <c r="AN832" s="188"/>
      <c r="AO832" s="299"/>
      <c r="CF832" s="294"/>
      <c r="CG832" s="294"/>
      <c r="CH832" s="294"/>
      <c r="CI832" s="294"/>
      <c r="CJ832" s="294"/>
      <c r="CK832" s="294"/>
      <c r="CL832" s="294"/>
      <c r="CM832" s="294"/>
      <c r="CN832" s="294"/>
    </row>
    <row r="833" spans="2:92" ht="13">
      <c r="B833" s="294"/>
      <c r="F833" s="302"/>
      <c r="J833" s="302"/>
      <c r="AI833" s="188"/>
      <c r="AJ833" s="188"/>
      <c r="AK833" s="188"/>
      <c r="AL833" s="188"/>
      <c r="AM833" s="188"/>
      <c r="AN833" s="188"/>
      <c r="AO833" s="299"/>
      <c r="CF833" s="294"/>
      <c r="CG833" s="294"/>
      <c r="CH833" s="294"/>
      <c r="CI833" s="294"/>
      <c r="CJ833" s="294"/>
      <c r="CK833" s="294"/>
      <c r="CL833" s="294"/>
      <c r="CM833" s="294"/>
      <c r="CN833" s="294"/>
    </row>
    <row r="834" spans="2:92" ht="13">
      <c r="B834" s="294"/>
      <c r="F834" s="302"/>
      <c r="J834" s="302"/>
      <c r="AI834" s="188"/>
      <c r="AJ834" s="188"/>
      <c r="AK834" s="188"/>
      <c r="AL834" s="188"/>
      <c r="AM834" s="188"/>
      <c r="AN834" s="188"/>
      <c r="AO834" s="299"/>
      <c r="CF834" s="294"/>
      <c r="CG834" s="294"/>
      <c r="CH834" s="294"/>
      <c r="CI834" s="294"/>
      <c r="CJ834" s="294"/>
      <c r="CK834" s="294"/>
      <c r="CL834" s="294"/>
      <c r="CM834" s="294"/>
      <c r="CN834" s="294"/>
    </row>
    <row r="835" spans="2:92" ht="13">
      <c r="B835" s="294"/>
      <c r="F835" s="302"/>
      <c r="J835" s="302"/>
      <c r="AI835" s="188"/>
      <c r="AJ835" s="188"/>
      <c r="AK835" s="188"/>
      <c r="AL835" s="188"/>
      <c r="AM835" s="188"/>
      <c r="AN835" s="188"/>
      <c r="AO835" s="299"/>
      <c r="CF835" s="294"/>
      <c r="CG835" s="294"/>
      <c r="CH835" s="294"/>
      <c r="CI835" s="294"/>
      <c r="CJ835" s="294"/>
      <c r="CK835" s="294"/>
      <c r="CL835" s="294"/>
      <c r="CM835" s="294"/>
      <c r="CN835" s="294"/>
    </row>
    <row r="836" spans="2:92" ht="13">
      <c r="B836" s="294"/>
      <c r="F836" s="302"/>
      <c r="J836" s="302"/>
      <c r="AI836" s="188"/>
      <c r="AJ836" s="188"/>
      <c r="AK836" s="188"/>
      <c r="AL836" s="188"/>
      <c r="AM836" s="188"/>
      <c r="AN836" s="188"/>
      <c r="AO836" s="299"/>
      <c r="CF836" s="294"/>
      <c r="CG836" s="294"/>
      <c r="CH836" s="294"/>
      <c r="CI836" s="294"/>
      <c r="CJ836" s="294"/>
      <c r="CK836" s="294"/>
      <c r="CL836" s="294"/>
      <c r="CM836" s="294"/>
      <c r="CN836" s="294"/>
    </row>
    <row r="837" spans="2:92" ht="13">
      <c r="B837" s="294"/>
      <c r="F837" s="302"/>
      <c r="J837" s="302"/>
      <c r="AI837" s="188"/>
      <c r="AJ837" s="188"/>
      <c r="AK837" s="188"/>
      <c r="AL837" s="188"/>
      <c r="AM837" s="188"/>
      <c r="AN837" s="188"/>
      <c r="AO837" s="299"/>
      <c r="CF837" s="294"/>
      <c r="CG837" s="294"/>
      <c r="CH837" s="294"/>
      <c r="CI837" s="294"/>
      <c r="CJ837" s="294"/>
      <c r="CK837" s="294"/>
      <c r="CL837" s="294"/>
      <c r="CM837" s="294"/>
      <c r="CN837" s="294"/>
    </row>
    <row r="838" spans="2:92" ht="13">
      <c r="B838" s="294"/>
      <c r="F838" s="302"/>
      <c r="J838" s="302"/>
      <c r="AI838" s="188"/>
      <c r="AJ838" s="188"/>
      <c r="AK838" s="188"/>
      <c r="AL838" s="188"/>
      <c r="AM838" s="188"/>
      <c r="AN838" s="188"/>
      <c r="AO838" s="299"/>
      <c r="CF838" s="294"/>
      <c r="CG838" s="294"/>
      <c r="CH838" s="294"/>
      <c r="CI838" s="294"/>
      <c r="CJ838" s="294"/>
      <c r="CK838" s="294"/>
      <c r="CL838" s="294"/>
      <c r="CM838" s="294"/>
      <c r="CN838" s="294"/>
    </row>
    <row r="839" spans="2:92" ht="13">
      <c r="B839" s="294"/>
      <c r="F839" s="302"/>
      <c r="J839" s="302"/>
      <c r="AI839" s="188"/>
      <c r="AJ839" s="188"/>
      <c r="AK839" s="188"/>
      <c r="AL839" s="188"/>
      <c r="AM839" s="188"/>
      <c r="AN839" s="188"/>
      <c r="AO839" s="299"/>
      <c r="CF839" s="294"/>
      <c r="CG839" s="294"/>
      <c r="CH839" s="294"/>
      <c r="CI839" s="294"/>
      <c r="CJ839" s="294"/>
      <c r="CK839" s="294"/>
      <c r="CL839" s="294"/>
      <c r="CM839" s="294"/>
      <c r="CN839" s="294"/>
    </row>
    <row r="840" spans="2:92" ht="13">
      <c r="B840" s="294"/>
      <c r="F840" s="302"/>
      <c r="J840" s="302"/>
      <c r="AI840" s="188"/>
      <c r="AJ840" s="188"/>
      <c r="AK840" s="188"/>
      <c r="AL840" s="188"/>
      <c r="AM840" s="188"/>
      <c r="AN840" s="188"/>
      <c r="AO840" s="299"/>
      <c r="CF840" s="294"/>
      <c r="CG840" s="294"/>
      <c r="CH840" s="294"/>
      <c r="CI840" s="294"/>
      <c r="CJ840" s="294"/>
      <c r="CK840" s="294"/>
      <c r="CL840" s="294"/>
      <c r="CM840" s="294"/>
      <c r="CN840" s="294"/>
    </row>
    <row r="841" spans="2:92" ht="13">
      <c r="B841" s="294"/>
      <c r="F841" s="302"/>
      <c r="J841" s="302"/>
      <c r="AI841" s="188"/>
      <c r="AJ841" s="188"/>
      <c r="AK841" s="188"/>
      <c r="AL841" s="188"/>
      <c r="AM841" s="188"/>
      <c r="AN841" s="188"/>
      <c r="AO841" s="299"/>
      <c r="CF841" s="294"/>
      <c r="CG841" s="294"/>
      <c r="CH841" s="294"/>
      <c r="CI841" s="294"/>
      <c r="CJ841" s="294"/>
      <c r="CK841" s="294"/>
      <c r="CL841" s="294"/>
      <c r="CM841" s="294"/>
      <c r="CN841" s="294"/>
    </row>
    <row r="842" spans="2:92" ht="13">
      <c r="B842" s="294"/>
      <c r="F842" s="302"/>
      <c r="J842" s="302"/>
      <c r="AI842" s="188"/>
      <c r="AJ842" s="188"/>
      <c r="AK842" s="188"/>
      <c r="AL842" s="188"/>
      <c r="AM842" s="188"/>
      <c r="AN842" s="188"/>
      <c r="AO842" s="299"/>
      <c r="CF842" s="294"/>
      <c r="CG842" s="294"/>
      <c r="CH842" s="294"/>
      <c r="CI842" s="294"/>
      <c r="CJ842" s="294"/>
      <c r="CK842" s="294"/>
      <c r="CL842" s="294"/>
      <c r="CM842" s="294"/>
      <c r="CN842" s="294"/>
    </row>
    <row r="843" spans="2:92" ht="13">
      <c r="B843" s="294"/>
      <c r="F843" s="302"/>
      <c r="J843" s="302"/>
      <c r="AI843" s="188"/>
      <c r="AJ843" s="188"/>
      <c r="AK843" s="188"/>
      <c r="AL843" s="188"/>
      <c r="AM843" s="188"/>
      <c r="AN843" s="188"/>
      <c r="AO843" s="299"/>
      <c r="CF843" s="294"/>
      <c r="CG843" s="294"/>
      <c r="CH843" s="294"/>
      <c r="CI843" s="294"/>
      <c r="CJ843" s="294"/>
      <c r="CK843" s="294"/>
      <c r="CL843" s="294"/>
      <c r="CM843" s="294"/>
      <c r="CN843" s="294"/>
    </row>
    <row r="844" spans="2:92" ht="13">
      <c r="B844" s="294"/>
      <c r="F844" s="302"/>
      <c r="J844" s="302"/>
      <c r="AI844" s="188"/>
      <c r="AJ844" s="188"/>
      <c r="AK844" s="188"/>
      <c r="AL844" s="188"/>
      <c r="AM844" s="188"/>
      <c r="AN844" s="188"/>
      <c r="AO844" s="299"/>
      <c r="CF844" s="294"/>
      <c r="CG844" s="294"/>
      <c r="CH844" s="294"/>
      <c r="CI844" s="294"/>
      <c r="CJ844" s="294"/>
      <c r="CK844" s="294"/>
      <c r="CL844" s="294"/>
      <c r="CM844" s="294"/>
      <c r="CN844" s="294"/>
    </row>
    <row r="845" spans="2:92" ht="13">
      <c r="B845" s="294"/>
      <c r="F845" s="302"/>
      <c r="J845" s="302"/>
      <c r="AI845" s="188"/>
      <c r="AJ845" s="188"/>
      <c r="AK845" s="188"/>
      <c r="AL845" s="188"/>
      <c r="AM845" s="188"/>
      <c r="AN845" s="188"/>
      <c r="AO845" s="299"/>
      <c r="CF845" s="294"/>
      <c r="CG845" s="294"/>
      <c r="CH845" s="294"/>
      <c r="CI845" s="294"/>
      <c r="CJ845" s="294"/>
      <c r="CK845" s="294"/>
      <c r="CL845" s="294"/>
      <c r="CM845" s="294"/>
      <c r="CN845" s="294"/>
    </row>
    <row r="846" spans="2:92" ht="13">
      <c r="B846" s="294"/>
      <c r="F846" s="302"/>
      <c r="J846" s="302"/>
      <c r="AI846" s="188"/>
      <c r="AJ846" s="188"/>
      <c r="AK846" s="188"/>
      <c r="AL846" s="188"/>
      <c r="AM846" s="188"/>
      <c r="AN846" s="188"/>
      <c r="AO846" s="299"/>
      <c r="CF846" s="294"/>
      <c r="CG846" s="294"/>
      <c r="CH846" s="294"/>
      <c r="CI846" s="294"/>
      <c r="CJ846" s="294"/>
      <c r="CK846" s="294"/>
      <c r="CL846" s="294"/>
      <c r="CM846" s="294"/>
      <c r="CN846" s="294"/>
    </row>
    <row r="847" spans="2:92" ht="13">
      <c r="B847" s="294"/>
      <c r="F847" s="302"/>
      <c r="J847" s="302"/>
      <c r="AI847" s="188"/>
      <c r="AJ847" s="188"/>
      <c r="AK847" s="188"/>
      <c r="AL847" s="188"/>
      <c r="AM847" s="188"/>
      <c r="AN847" s="188"/>
      <c r="AO847" s="299"/>
      <c r="CF847" s="294"/>
      <c r="CG847" s="294"/>
      <c r="CH847" s="294"/>
      <c r="CI847" s="294"/>
      <c r="CJ847" s="294"/>
      <c r="CK847" s="294"/>
      <c r="CL847" s="294"/>
      <c r="CM847" s="294"/>
      <c r="CN847" s="294"/>
    </row>
    <row r="848" spans="2:92" ht="13">
      <c r="B848" s="294"/>
      <c r="F848" s="302"/>
      <c r="J848" s="302"/>
      <c r="AI848" s="188"/>
      <c r="AJ848" s="188"/>
      <c r="AK848" s="188"/>
      <c r="AL848" s="188"/>
      <c r="AM848" s="188"/>
      <c r="AN848" s="188"/>
      <c r="AO848" s="299"/>
      <c r="CF848" s="294"/>
      <c r="CG848" s="294"/>
      <c r="CH848" s="294"/>
      <c r="CI848" s="294"/>
      <c r="CJ848" s="294"/>
      <c r="CK848" s="294"/>
      <c r="CL848" s="294"/>
      <c r="CM848" s="294"/>
      <c r="CN848" s="294"/>
    </row>
    <row r="849" spans="2:92" ht="13">
      <c r="B849" s="294"/>
      <c r="F849" s="302"/>
      <c r="J849" s="302"/>
      <c r="AI849" s="188"/>
      <c r="AJ849" s="188"/>
      <c r="AK849" s="188"/>
      <c r="AL849" s="188"/>
      <c r="AM849" s="188"/>
      <c r="AN849" s="188"/>
      <c r="AO849" s="299"/>
      <c r="CF849" s="294"/>
      <c r="CG849" s="294"/>
      <c r="CH849" s="294"/>
      <c r="CI849" s="294"/>
      <c r="CJ849" s="294"/>
      <c r="CK849" s="294"/>
      <c r="CL849" s="294"/>
      <c r="CM849" s="294"/>
      <c r="CN849" s="294"/>
    </row>
    <row r="850" spans="2:92" ht="13">
      <c r="B850" s="294"/>
      <c r="F850" s="302"/>
      <c r="J850" s="302"/>
      <c r="AI850" s="188"/>
      <c r="AJ850" s="188"/>
      <c r="AK850" s="188"/>
      <c r="AL850" s="188"/>
      <c r="AM850" s="188"/>
      <c r="AN850" s="188"/>
      <c r="AO850" s="299"/>
      <c r="CF850" s="294"/>
      <c r="CG850" s="294"/>
      <c r="CH850" s="294"/>
      <c r="CI850" s="294"/>
      <c r="CJ850" s="294"/>
      <c r="CK850" s="294"/>
      <c r="CL850" s="294"/>
      <c r="CM850" s="294"/>
      <c r="CN850" s="294"/>
    </row>
    <row r="851" spans="2:92" ht="13">
      <c r="B851" s="294"/>
      <c r="F851" s="302"/>
      <c r="J851" s="302"/>
      <c r="AI851" s="188"/>
      <c r="AJ851" s="188"/>
      <c r="AK851" s="188"/>
      <c r="AL851" s="188"/>
      <c r="AM851" s="188"/>
      <c r="AN851" s="188"/>
      <c r="AO851" s="299"/>
      <c r="CF851" s="294"/>
      <c r="CG851" s="294"/>
      <c r="CH851" s="294"/>
      <c r="CI851" s="294"/>
      <c r="CJ851" s="294"/>
      <c r="CK851" s="294"/>
      <c r="CL851" s="294"/>
      <c r="CM851" s="294"/>
      <c r="CN851" s="294"/>
    </row>
    <row r="852" spans="2:92" ht="13">
      <c r="B852" s="294"/>
      <c r="F852" s="302"/>
      <c r="J852" s="302"/>
      <c r="AI852" s="188"/>
      <c r="AJ852" s="188"/>
      <c r="AK852" s="188"/>
      <c r="AL852" s="188"/>
      <c r="AM852" s="188"/>
      <c r="AN852" s="188"/>
      <c r="AO852" s="299"/>
      <c r="CF852" s="294"/>
      <c r="CG852" s="294"/>
      <c r="CH852" s="294"/>
      <c r="CI852" s="294"/>
      <c r="CJ852" s="294"/>
      <c r="CK852" s="294"/>
      <c r="CL852" s="294"/>
      <c r="CM852" s="294"/>
      <c r="CN852" s="294"/>
    </row>
    <row r="853" spans="2:92" ht="13">
      <c r="B853" s="294"/>
      <c r="F853" s="302"/>
      <c r="J853" s="302"/>
      <c r="AI853" s="188"/>
      <c r="AJ853" s="188"/>
      <c r="AK853" s="188"/>
      <c r="AL853" s="188"/>
      <c r="AM853" s="188"/>
      <c r="AN853" s="188"/>
      <c r="AO853" s="299"/>
      <c r="CF853" s="294"/>
      <c r="CG853" s="294"/>
      <c r="CH853" s="294"/>
      <c r="CI853" s="294"/>
      <c r="CJ853" s="294"/>
      <c r="CK853" s="294"/>
      <c r="CL853" s="294"/>
      <c r="CM853" s="294"/>
      <c r="CN853" s="294"/>
    </row>
    <row r="854" spans="2:92" ht="13">
      <c r="B854" s="294"/>
      <c r="F854" s="302"/>
      <c r="J854" s="302"/>
      <c r="AI854" s="188"/>
      <c r="AJ854" s="188"/>
      <c r="AK854" s="188"/>
      <c r="AL854" s="188"/>
      <c r="AM854" s="188"/>
      <c r="AN854" s="188"/>
      <c r="AO854" s="299"/>
      <c r="CF854" s="294"/>
      <c r="CG854" s="294"/>
      <c r="CH854" s="294"/>
      <c r="CI854" s="294"/>
      <c r="CJ854" s="294"/>
      <c r="CK854" s="294"/>
      <c r="CL854" s="294"/>
      <c r="CM854" s="294"/>
      <c r="CN854" s="294"/>
    </row>
    <row r="855" spans="2:92" ht="13">
      <c r="B855" s="294"/>
      <c r="F855" s="302"/>
      <c r="J855" s="302"/>
      <c r="AI855" s="188"/>
      <c r="AJ855" s="188"/>
      <c r="AK855" s="188"/>
      <c r="AL855" s="188"/>
      <c r="AM855" s="188"/>
      <c r="AN855" s="188"/>
      <c r="AO855" s="299"/>
      <c r="CF855" s="294"/>
      <c r="CG855" s="294"/>
      <c r="CH855" s="294"/>
      <c r="CI855" s="294"/>
      <c r="CJ855" s="294"/>
      <c r="CK855" s="294"/>
      <c r="CL855" s="294"/>
      <c r="CM855" s="294"/>
      <c r="CN855" s="294"/>
    </row>
    <row r="856" spans="2:92" ht="13">
      <c r="B856" s="294"/>
      <c r="F856" s="302"/>
      <c r="J856" s="302"/>
      <c r="AI856" s="188"/>
      <c r="AJ856" s="188"/>
      <c r="AK856" s="188"/>
      <c r="AL856" s="188"/>
      <c r="AM856" s="188"/>
      <c r="AN856" s="188"/>
      <c r="AO856" s="299"/>
      <c r="CF856" s="294"/>
      <c r="CG856" s="294"/>
      <c r="CH856" s="294"/>
      <c r="CI856" s="294"/>
      <c r="CJ856" s="294"/>
      <c r="CK856" s="294"/>
      <c r="CL856" s="294"/>
      <c r="CM856" s="294"/>
      <c r="CN856" s="294"/>
    </row>
    <row r="857" spans="2:92" ht="13">
      <c r="B857" s="294"/>
      <c r="F857" s="302"/>
      <c r="J857" s="302"/>
      <c r="AI857" s="188"/>
      <c r="AJ857" s="188"/>
      <c r="AK857" s="188"/>
      <c r="AL857" s="188"/>
      <c r="AM857" s="188"/>
      <c r="AN857" s="188"/>
      <c r="AO857" s="299"/>
      <c r="CF857" s="294"/>
      <c r="CG857" s="294"/>
      <c r="CH857" s="294"/>
      <c r="CI857" s="294"/>
      <c r="CJ857" s="294"/>
      <c r="CK857" s="294"/>
      <c r="CL857" s="294"/>
      <c r="CM857" s="294"/>
      <c r="CN857" s="294"/>
    </row>
    <row r="858" spans="2:92" ht="13">
      <c r="B858" s="294"/>
      <c r="F858" s="302"/>
      <c r="J858" s="302"/>
      <c r="AI858" s="188"/>
      <c r="AJ858" s="188"/>
      <c r="AK858" s="188"/>
      <c r="AL858" s="188"/>
      <c r="AM858" s="188"/>
      <c r="AN858" s="188"/>
      <c r="AO858" s="299"/>
      <c r="CF858" s="294"/>
      <c r="CG858" s="294"/>
      <c r="CH858" s="294"/>
      <c r="CI858" s="294"/>
      <c r="CJ858" s="294"/>
      <c r="CK858" s="294"/>
      <c r="CL858" s="294"/>
      <c r="CM858" s="294"/>
      <c r="CN858" s="294"/>
    </row>
    <row r="859" spans="2:92" ht="13">
      <c r="B859" s="294"/>
      <c r="F859" s="302"/>
      <c r="J859" s="302"/>
      <c r="AI859" s="188"/>
      <c r="AJ859" s="188"/>
      <c r="AK859" s="188"/>
      <c r="AL859" s="188"/>
      <c r="AM859" s="188"/>
      <c r="AN859" s="188"/>
      <c r="AO859" s="299"/>
      <c r="CF859" s="294"/>
      <c r="CG859" s="294"/>
      <c r="CH859" s="294"/>
      <c r="CI859" s="294"/>
      <c r="CJ859" s="294"/>
      <c r="CK859" s="294"/>
      <c r="CL859" s="294"/>
      <c r="CM859" s="294"/>
      <c r="CN859" s="294"/>
    </row>
    <row r="860" spans="2:92" ht="13">
      <c r="B860" s="294"/>
      <c r="F860" s="302"/>
      <c r="J860" s="302"/>
      <c r="AI860" s="188"/>
      <c r="AJ860" s="188"/>
      <c r="AK860" s="188"/>
      <c r="AL860" s="188"/>
      <c r="AM860" s="188"/>
      <c r="AN860" s="188"/>
      <c r="AO860" s="299"/>
      <c r="CF860" s="294"/>
      <c r="CG860" s="294"/>
      <c r="CH860" s="294"/>
      <c r="CI860" s="294"/>
      <c r="CJ860" s="294"/>
      <c r="CK860" s="294"/>
      <c r="CL860" s="294"/>
      <c r="CM860" s="294"/>
      <c r="CN860" s="294"/>
    </row>
    <row r="861" spans="2:92" ht="13">
      <c r="B861" s="294"/>
      <c r="F861" s="302"/>
      <c r="J861" s="302"/>
      <c r="AI861" s="188"/>
      <c r="AJ861" s="188"/>
      <c r="AK861" s="188"/>
      <c r="AL861" s="188"/>
      <c r="AM861" s="188"/>
      <c r="AN861" s="188"/>
      <c r="AO861" s="299"/>
      <c r="CF861" s="294"/>
      <c r="CG861" s="294"/>
      <c r="CH861" s="294"/>
      <c r="CI861" s="294"/>
      <c r="CJ861" s="294"/>
      <c r="CK861" s="294"/>
      <c r="CL861" s="294"/>
      <c r="CM861" s="294"/>
      <c r="CN861" s="294"/>
    </row>
    <row r="862" spans="2:92" ht="13">
      <c r="B862" s="294"/>
      <c r="F862" s="302"/>
      <c r="J862" s="302"/>
      <c r="AI862" s="188"/>
      <c r="AJ862" s="188"/>
      <c r="AK862" s="188"/>
      <c r="AL862" s="188"/>
      <c r="AM862" s="188"/>
      <c r="AN862" s="188"/>
      <c r="AO862" s="299"/>
      <c r="CF862" s="294"/>
      <c r="CG862" s="294"/>
      <c r="CH862" s="294"/>
      <c r="CI862" s="294"/>
      <c r="CJ862" s="294"/>
      <c r="CK862" s="294"/>
      <c r="CL862" s="294"/>
      <c r="CM862" s="294"/>
      <c r="CN862" s="294"/>
    </row>
    <row r="863" spans="2:92" ht="13">
      <c r="B863" s="294"/>
      <c r="F863" s="302"/>
      <c r="J863" s="302"/>
      <c r="AI863" s="188"/>
      <c r="AJ863" s="188"/>
      <c r="AK863" s="188"/>
      <c r="AL863" s="188"/>
      <c r="AM863" s="188"/>
      <c r="AN863" s="188"/>
      <c r="AO863" s="299"/>
      <c r="CF863" s="294"/>
      <c r="CG863" s="294"/>
      <c r="CH863" s="294"/>
      <c r="CI863" s="294"/>
      <c r="CJ863" s="294"/>
      <c r="CK863" s="294"/>
      <c r="CL863" s="294"/>
      <c r="CM863" s="294"/>
      <c r="CN863" s="294"/>
    </row>
    <row r="864" spans="2:92" ht="13">
      <c r="B864" s="294"/>
      <c r="F864" s="302"/>
      <c r="J864" s="302"/>
      <c r="AI864" s="188"/>
      <c r="AJ864" s="188"/>
      <c r="AK864" s="188"/>
      <c r="AL864" s="188"/>
      <c r="AM864" s="188"/>
      <c r="AN864" s="188"/>
      <c r="AO864" s="299"/>
      <c r="CF864" s="294"/>
      <c r="CG864" s="294"/>
      <c r="CH864" s="294"/>
      <c r="CI864" s="294"/>
      <c r="CJ864" s="294"/>
      <c r="CK864" s="294"/>
      <c r="CL864" s="294"/>
      <c r="CM864" s="294"/>
      <c r="CN864" s="294"/>
    </row>
    <row r="865" spans="2:92" ht="13">
      <c r="B865" s="294"/>
      <c r="F865" s="302"/>
      <c r="J865" s="302"/>
      <c r="AI865" s="188"/>
      <c r="AJ865" s="188"/>
      <c r="AK865" s="188"/>
      <c r="AL865" s="188"/>
      <c r="AM865" s="188"/>
      <c r="AN865" s="188"/>
      <c r="AO865" s="299"/>
      <c r="CF865" s="294"/>
      <c r="CG865" s="294"/>
      <c r="CH865" s="294"/>
      <c r="CI865" s="294"/>
      <c r="CJ865" s="294"/>
      <c r="CK865" s="294"/>
      <c r="CL865" s="294"/>
      <c r="CM865" s="294"/>
      <c r="CN865" s="294"/>
    </row>
    <row r="866" spans="2:92" ht="13">
      <c r="B866" s="294"/>
      <c r="F866" s="302"/>
      <c r="J866" s="302"/>
      <c r="AI866" s="188"/>
      <c r="AJ866" s="188"/>
      <c r="AK866" s="188"/>
      <c r="AL866" s="188"/>
      <c r="AM866" s="188"/>
      <c r="AN866" s="188"/>
      <c r="AO866" s="299"/>
      <c r="CF866" s="294"/>
      <c r="CG866" s="294"/>
      <c r="CH866" s="294"/>
      <c r="CI866" s="294"/>
      <c r="CJ866" s="294"/>
      <c r="CK866" s="294"/>
      <c r="CL866" s="294"/>
      <c r="CM866" s="294"/>
      <c r="CN866" s="294"/>
    </row>
    <row r="867" spans="2:92" ht="13">
      <c r="B867" s="294"/>
      <c r="F867" s="302"/>
      <c r="J867" s="302"/>
      <c r="AI867" s="188"/>
      <c r="AJ867" s="188"/>
      <c r="AK867" s="188"/>
      <c r="AL867" s="188"/>
      <c r="AM867" s="188"/>
      <c r="AN867" s="188"/>
      <c r="AO867" s="299"/>
      <c r="CF867" s="294"/>
      <c r="CG867" s="294"/>
      <c r="CH867" s="294"/>
      <c r="CI867" s="294"/>
      <c r="CJ867" s="294"/>
      <c r="CK867" s="294"/>
      <c r="CL867" s="294"/>
      <c r="CM867" s="294"/>
      <c r="CN867" s="294"/>
    </row>
    <row r="868" spans="2:92" ht="13">
      <c r="B868" s="294"/>
      <c r="F868" s="302"/>
      <c r="J868" s="302"/>
      <c r="AI868" s="188"/>
      <c r="AJ868" s="188"/>
      <c r="AK868" s="188"/>
      <c r="AL868" s="188"/>
      <c r="AM868" s="188"/>
      <c r="AN868" s="188"/>
      <c r="AO868" s="299"/>
      <c r="CF868" s="294"/>
      <c r="CG868" s="294"/>
      <c r="CH868" s="294"/>
      <c r="CI868" s="294"/>
      <c r="CJ868" s="294"/>
      <c r="CK868" s="294"/>
      <c r="CL868" s="294"/>
      <c r="CM868" s="294"/>
      <c r="CN868" s="294"/>
    </row>
    <row r="869" spans="2:92" ht="13">
      <c r="B869" s="294"/>
      <c r="F869" s="302"/>
      <c r="J869" s="302"/>
      <c r="AI869" s="188"/>
      <c r="AJ869" s="188"/>
      <c r="AK869" s="188"/>
      <c r="AL869" s="188"/>
      <c r="AM869" s="188"/>
      <c r="AN869" s="188"/>
      <c r="AO869" s="299"/>
      <c r="CF869" s="294"/>
      <c r="CG869" s="294"/>
      <c r="CH869" s="294"/>
      <c r="CI869" s="294"/>
      <c r="CJ869" s="294"/>
      <c r="CK869" s="294"/>
      <c r="CL869" s="294"/>
      <c r="CM869" s="294"/>
      <c r="CN869" s="294"/>
    </row>
    <row r="870" spans="2:92" ht="13">
      <c r="B870" s="294"/>
      <c r="F870" s="302"/>
      <c r="J870" s="302"/>
      <c r="AI870" s="188"/>
      <c r="AJ870" s="188"/>
      <c r="AK870" s="188"/>
      <c r="AL870" s="188"/>
      <c r="AM870" s="188"/>
      <c r="AN870" s="188"/>
      <c r="AO870" s="299"/>
      <c r="CF870" s="294"/>
      <c r="CG870" s="294"/>
      <c r="CH870" s="294"/>
      <c r="CI870" s="294"/>
      <c r="CJ870" s="294"/>
      <c r="CK870" s="294"/>
      <c r="CL870" s="294"/>
      <c r="CM870" s="294"/>
      <c r="CN870" s="294"/>
    </row>
    <row r="871" spans="2:92" ht="13">
      <c r="B871" s="294"/>
      <c r="F871" s="302"/>
      <c r="J871" s="302"/>
      <c r="AI871" s="188"/>
      <c r="AJ871" s="188"/>
      <c r="AK871" s="188"/>
      <c r="AL871" s="188"/>
      <c r="AM871" s="188"/>
      <c r="AN871" s="188"/>
      <c r="AO871" s="299"/>
      <c r="CF871" s="294"/>
      <c r="CG871" s="294"/>
      <c r="CH871" s="294"/>
      <c r="CI871" s="294"/>
      <c r="CJ871" s="294"/>
      <c r="CK871" s="294"/>
      <c r="CL871" s="294"/>
      <c r="CM871" s="294"/>
      <c r="CN871" s="294"/>
    </row>
    <row r="872" spans="2:92" ht="13">
      <c r="B872" s="294"/>
      <c r="F872" s="302"/>
      <c r="J872" s="302"/>
      <c r="AI872" s="188"/>
      <c r="AJ872" s="188"/>
      <c r="AK872" s="188"/>
      <c r="AL872" s="188"/>
      <c r="AM872" s="188"/>
      <c r="AN872" s="188"/>
      <c r="AO872" s="299"/>
      <c r="CF872" s="294"/>
      <c r="CG872" s="294"/>
      <c r="CH872" s="294"/>
      <c r="CI872" s="294"/>
      <c r="CJ872" s="294"/>
      <c r="CK872" s="294"/>
      <c r="CL872" s="294"/>
      <c r="CM872" s="294"/>
      <c r="CN872" s="294"/>
    </row>
    <row r="873" spans="2:92" ht="13">
      <c r="B873" s="294"/>
      <c r="F873" s="302"/>
      <c r="J873" s="302"/>
      <c r="AI873" s="188"/>
      <c r="AJ873" s="188"/>
      <c r="AK873" s="188"/>
      <c r="AL873" s="188"/>
      <c r="AM873" s="188"/>
      <c r="AN873" s="188"/>
      <c r="AO873" s="299"/>
      <c r="CF873" s="294"/>
      <c r="CG873" s="294"/>
      <c r="CH873" s="294"/>
      <c r="CI873" s="294"/>
      <c r="CJ873" s="294"/>
      <c r="CK873" s="294"/>
      <c r="CL873" s="294"/>
      <c r="CM873" s="294"/>
      <c r="CN873" s="294"/>
    </row>
    <row r="874" spans="2:92" ht="13">
      <c r="B874" s="294"/>
      <c r="F874" s="302"/>
      <c r="J874" s="302"/>
      <c r="AI874" s="188"/>
      <c r="AJ874" s="188"/>
      <c r="AK874" s="188"/>
      <c r="AL874" s="188"/>
      <c r="AM874" s="188"/>
      <c r="AN874" s="188"/>
      <c r="AO874" s="299"/>
      <c r="CF874" s="294"/>
      <c r="CG874" s="294"/>
      <c r="CH874" s="294"/>
      <c r="CI874" s="294"/>
      <c r="CJ874" s="294"/>
      <c r="CK874" s="294"/>
      <c r="CL874" s="294"/>
      <c r="CM874" s="294"/>
      <c r="CN874" s="294"/>
    </row>
    <row r="875" spans="2:92" ht="13">
      <c r="B875" s="294"/>
      <c r="F875" s="302"/>
      <c r="J875" s="302"/>
      <c r="AI875" s="188"/>
      <c r="AJ875" s="188"/>
      <c r="AK875" s="188"/>
      <c r="AL875" s="188"/>
      <c r="AM875" s="188"/>
      <c r="AN875" s="188"/>
      <c r="AO875" s="299"/>
      <c r="CF875" s="294"/>
      <c r="CG875" s="294"/>
      <c r="CH875" s="294"/>
      <c r="CI875" s="294"/>
      <c r="CJ875" s="294"/>
      <c r="CK875" s="294"/>
      <c r="CL875" s="294"/>
      <c r="CM875" s="294"/>
      <c r="CN875" s="294"/>
    </row>
    <row r="876" spans="2:92" ht="13">
      <c r="B876" s="294"/>
      <c r="F876" s="302"/>
      <c r="J876" s="302"/>
      <c r="AI876" s="188"/>
      <c r="AJ876" s="188"/>
      <c r="AK876" s="188"/>
      <c r="AL876" s="188"/>
      <c r="AM876" s="188"/>
      <c r="AN876" s="188"/>
      <c r="AO876" s="299"/>
      <c r="CF876" s="294"/>
      <c r="CG876" s="294"/>
      <c r="CH876" s="294"/>
      <c r="CI876" s="294"/>
      <c r="CJ876" s="294"/>
      <c r="CK876" s="294"/>
      <c r="CL876" s="294"/>
      <c r="CM876" s="294"/>
      <c r="CN876" s="294"/>
    </row>
    <row r="877" spans="2:92" ht="13">
      <c r="B877" s="294"/>
      <c r="F877" s="302"/>
      <c r="J877" s="302"/>
      <c r="AI877" s="188"/>
      <c r="AJ877" s="188"/>
      <c r="AK877" s="188"/>
      <c r="AL877" s="188"/>
      <c r="AM877" s="188"/>
      <c r="AN877" s="188"/>
      <c r="AO877" s="299"/>
      <c r="CF877" s="294"/>
      <c r="CG877" s="294"/>
      <c r="CH877" s="294"/>
      <c r="CI877" s="294"/>
      <c r="CJ877" s="294"/>
      <c r="CK877" s="294"/>
      <c r="CL877" s="294"/>
      <c r="CM877" s="294"/>
      <c r="CN877" s="294"/>
    </row>
    <row r="878" spans="2:92" ht="13">
      <c r="B878" s="294"/>
      <c r="F878" s="302"/>
      <c r="J878" s="302"/>
      <c r="AI878" s="188"/>
      <c r="AJ878" s="188"/>
      <c r="AK878" s="188"/>
      <c r="AL878" s="188"/>
      <c r="AM878" s="188"/>
      <c r="AN878" s="188"/>
      <c r="AO878" s="299"/>
      <c r="CF878" s="294"/>
      <c r="CG878" s="294"/>
      <c r="CH878" s="294"/>
      <c r="CI878" s="294"/>
      <c r="CJ878" s="294"/>
      <c r="CK878" s="294"/>
      <c r="CL878" s="294"/>
      <c r="CM878" s="294"/>
      <c r="CN878" s="294"/>
    </row>
    <row r="879" spans="2:92" ht="13">
      <c r="B879" s="294"/>
      <c r="F879" s="302"/>
      <c r="J879" s="302"/>
      <c r="AI879" s="188"/>
      <c r="AJ879" s="188"/>
      <c r="AK879" s="188"/>
      <c r="AL879" s="188"/>
      <c r="AM879" s="188"/>
      <c r="AN879" s="188"/>
      <c r="AO879" s="299"/>
      <c r="CF879" s="294"/>
      <c r="CG879" s="294"/>
      <c r="CH879" s="294"/>
      <c r="CI879" s="294"/>
      <c r="CJ879" s="294"/>
      <c r="CK879" s="294"/>
      <c r="CL879" s="294"/>
      <c r="CM879" s="294"/>
      <c r="CN879" s="294"/>
    </row>
    <row r="880" spans="2:92" ht="13">
      <c r="B880" s="294"/>
      <c r="F880" s="302"/>
      <c r="J880" s="302"/>
      <c r="AI880" s="188"/>
      <c r="AJ880" s="188"/>
      <c r="AK880" s="188"/>
      <c r="AL880" s="188"/>
      <c r="AM880" s="188"/>
      <c r="AN880" s="188"/>
      <c r="AO880" s="299"/>
      <c r="CF880" s="294"/>
      <c r="CG880" s="294"/>
      <c r="CH880" s="294"/>
      <c r="CI880" s="294"/>
      <c r="CJ880" s="294"/>
      <c r="CK880" s="294"/>
      <c r="CL880" s="294"/>
      <c r="CM880" s="294"/>
      <c r="CN880" s="294"/>
    </row>
    <row r="881" spans="2:92" ht="13">
      <c r="B881" s="294"/>
      <c r="F881" s="302"/>
      <c r="J881" s="302"/>
      <c r="AI881" s="188"/>
      <c r="AJ881" s="188"/>
      <c r="AK881" s="188"/>
      <c r="AL881" s="188"/>
      <c r="AM881" s="188"/>
      <c r="AN881" s="188"/>
      <c r="AO881" s="299"/>
      <c r="CF881" s="294"/>
      <c r="CG881" s="294"/>
      <c r="CH881" s="294"/>
      <c r="CI881" s="294"/>
      <c r="CJ881" s="294"/>
      <c r="CK881" s="294"/>
      <c r="CL881" s="294"/>
      <c r="CM881" s="294"/>
      <c r="CN881" s="294"/>
    </row>
    <row r="882" spans="2:92" ht="13">
      <c r="B882" s="294"/>
      <c r="F882" s="302"/>
      <c r="J882" s="302"/>
      <c r="AI882" s="188"/>
      <c r="AJ882" s="188"/>
      <c r="AK882" s="188"/>
      <c r="AL882" s="188"/>
      <c r="AM882" s="188"/>
      <c r="AN882" s="188"/>
      <c r="AO882" s="299"/>
      <c r="CF882" s="294"/>
      <c r="CG882" s="294"/>
      <c r="CH882" s="294"/>
      <c r="CI882" s="294"/>
      <c r="CJ882" s="294"/>
      <c r="CK882" s="294"/>
      <c r="CL882" s="294"/>
      <c r="CM882" s="294"/>
      <c r="CN882" s="294"/>
    </row>
    <row r="883" spans="2:92" ht="13">
      <c r="B883" s="294"/>
      <c r="F883" s="302"/>
      <c r="J883" s="302"/>
      <c r="AI883" s="188"/>
      <c r="AJ883" s="188"/>
      <c r="AK883" s="188"/>
      <c r="AL883" s="188"/>
      <c r="AM883" s="188"/>
      <c r="AN883" s="188"/>
      <c r="AO883" s="299"/>
      <c r="CF883" s="294"/>
      <c r="CG883" s="294"/>
      <c r="CH883" s="294"/>
      <c r="CI883" s="294"/>
      <c r="CJ883" s="294"/>
      <c r="CK883" s="294"/>
      <c r="CL883" s="294"/>
      <c r="CM883" s="294"/>
      <c r="CN883" s="294"/>
    </row>
    <row r="884" spans="2:92" ht="13">
      <c r="B884" s="294"/>
      <c r="F884" s="302"/>
      <c r="J884" s="302"/>
      <c r="AI884" s="188"/>
      <c r="AJ884" s="188"/>
      <c r="AK884" s="188"/>
      <c r="AL884" s="188"/>
      <c r="AM884" s="188"/>
      <c r="AN884" s="188"/>
      <c r="AO884" s="299"/>
      <c r="CF884" s="294"/>
      <c r="CG884" s="294"/>
      <c r="CH884" s="294"/>
      <c r="CI884" s="294"/>
      <c r="CJ884" s="294"/>
      <c r="CK884" s="294"/>
      <c r="CL884" s="294"/>
      <c r="CM884" s="294"/>
      <c r="CN884" s="294"/>
    </row>
    <row r="885" spans="2:92" ht="13">
      <c r="B885" s="294"/>
      <c r="F885" s="302"/>
      <c r="J885" s="302"/>
      <c r="AI885" s="188"/>
      <c r="AJ885" s="188"/>
      <c r="AK885" s="188"/>
      <c r="AL885" s="188"/>
      <c r="AM885" s="188"/>
      <c r="AN885" s="188"/>
      <c r="AO885" s="299"/>
      <c r="CF885" s="294"/>
      <c r="CG885" s="294"/>
      <c r="CH885" s="294"/>
      <c r="CI885" s="294"/>
      <c r="CJ885" s="294"/>
      <c r="CK885" s="294"/>
      <c r="CL885" s="294"/>
      <c r="CM885" s="294"/>
      <c r="CN885" s="294"/>
    </row>
    <row r="886" spans="2:92" ht="13">
      <c r="B886" s="294"/>
      <c r="F886" s="302"/>
      <c r="J886" s="302"/>
      <c r="AI886" s="188"/>
      <c r="AJ886" s="188"/>
      <c r="AK886" s="188"/>
      <c r="AL886" s="188"/>
      <c r="AM886" s="188"/>
      <c r="AN886" s="188"/>
      <c r="AO886" s="299"/>
      <c r="CF886" s="294"/>
      <c r="CG886" s="294"/>
      <c r="CH886" s="294"/>
      <c r="CI886" s="294"/>
      <c r="CJ886" s="294"/>
      <c r="CK886" s="294"/>
      <c r="CL886" s="294"/>
      <c r="CM886" s="294"/>
      <c r="CN886" s="294"/>
    </row>
    <row r="887" spans="2:92" ht="13">
      <c r="B887" s="294"/>
      <c r="F887" s="302"/>
      <c r="J887" s="302"/>
      <c r="AI887" s="188"/>
      <c r="AJ887" s="188"/>
      <c r="AK887" s="188"/>
      <c r="AL887" s="188"/>
      <c r="AM887" s="188"/>
      <c r="AN887" s="188"/>
      <c r="AO887" s="299"/>
      <c r="CF887" s="294"/>
      <c r="CG887" s="294"/>
      <c r="CH887" s="294"/>
      <c r="CI887" s="294"/>
      <c r="CJ887" s="294"/>
      <c r="CK887" s="294"/>
      <c r="CL887" s="294"/>
      <c r="CM887" s="294"/>
      <c r="CN887" s="294"/>
    </row>
    <row r="888" spans="2:92" ht="13">
      <c r="B888" s="294"/>
      <c r="F888" s="302"/>
      <c r="J888" s="302"/>
      <c r="AI888" s="188"/>
      <c r="AJ888" s="188"/>
      <c r="AK888" s="188"/>
      <c r="AL888" s="188"/>
      <c r="AM888" s="188"/>
      <c r="AN888" s="188"/>
      <c r="AO888" s="299"/>
      <c r="CF888" s="294"/>
      <c r="CG888" s="294"/>
      <c r="CH888" s="294"/>
      <c r="CI888" s="294"/>
      <c r="CJ888" s="294"/>
      <c r="CK888" s="294"/>
      <c r="CL888" s="294"/>
      <c r="CM888" s="294"/>
      <c r="CN888" s="294"/>
    </row>
    <row r="889" spans="2:92" ht="13">
      <c r="B889" s="294"/>
      <c r="F889" s="302"/>
      <c r="J889" s="302"/>
      <c r="AI889" s="188"/>
      <c r="AJ889" s="188"/>
      <c r="AK889" s="188"/>
      <c r="AL889" s="188"/>
      <c r="AM889" s="188"/>
      <c r="AN889" s="188"/>
      <c r="AO889" s="299"/>
      <c r="CF889" s="294"/>
      <c r="CG889" s="294"/>
      <c r="CH889" s="294"/>
      <c r="CI889" s="294"/>
      <c r="CJ889" s="294"/>
      <c r="CK889" s="294"/>
      <c r="CL889" s="294"/>
      <c r="CM889" s="294"/>
      <c r="CN889" s="294"/>
    </row>
    <row r="890" spans="2:92" ht="13">
      <c r="B890" s="294"/>
      <c r="F890" s="302"/>
      <c r="J890" s="302"/>
      <c r="AI890" s="188"/>
      <c r="AJ890" s="188"/>
      <c r="AK890" s="188"/>
      <c r="AL890" s="188"/>
      <c r="AM890" s="188"/>
      <c r="AN890" s="188"/>
      <c r="AO890" s="299"/>
      <c r="CF890" s="294"/>
      <c r="CG890" s="294"/>
      <c r="CH890" s="294"/>
      <c r="CI890" s="294"/>
      <c r="CJ890" s="294"/>
      <c r="CK890" s="294"/>
      <c r="CL890" s="294"/>
      <c r="CM890" s="294"/>
      <c r="CN890" s="294"/>
    </row>
    <row r="891" spans="2:92" ht="13">
      <c r="B891" s="294"/>
      <c r="F891" s="302"/>
      <c r="J891" s="302"/>
      <c r="AI891" s="188"/>
      <c r="AJ891" s="188"/>
      <c r="AK891" s="188"/>
      <c r="AL891" s="188"/>
      <c r="AM891" s="188"/>
      <c r="AN891" s="188"/>
      <c r="AO891" s="299"/>
      <c r="CF891" s="294"/>
      <c r="CG891" s="294"/>
      <c r="CH891" s="294"/>
      <c r="CI891" s="294"/>
      <c r="CJ891" s="294"/>
      <c r="CK891" s="294"/>
      <c r="CL891" s="294"/>
      <c r="CM891" s="294"/>
      <c r="CN891" s="294"/>
    </row>
    <row r="892" spans="2:92" ht="13">
      <c r="B892" s="294"/>
      <c r="F892" s="302"/>
      <c r="J892" s="302"/>
      <c r="AI892" s="188"/>
      <c r="AJ892" s="188"/>
      <c r="AK892" s="188"/>
      <c r="AL892" s="188"/>
      <c r="AM892" s="188"/>
      <c r="AN892" s="188"/>
      <c r="AO892" s="299"/>
      <c r="CF892" s="294"/>
      <c r="CG892" s="294"/>
      <c r="CH892" s="294"/>
      <c r="CI892" s="294"/>
      <c r="CJ892" s="294"/>
      <c r="CK892" s="294"/>
      <c r="CL892" s="294"/>
      <c r="CM892" s="294"/>
      <c r="CN892" s="294"/>
    </row>
    <row r="893" spans="2:92" ht="13">
      <c r="B893" s="294"/>
      <c r="F893" s="302"/>
      <c r="J893" s="302"/>
      <c r="AI893" s="188"/>
      <c r="AJ893" s="188"/>
      <c r="AK893" s="188"/>
      <c r="AL893" s="188"/>
      <c r="AM893" s="188"/>
      <c r="AN893" s="188"/>
      <c r="AO893" s="299"/>
      <c r="CF893" s="294"/>
      <c r="CG893" s="294"/>
      <c r="CH893" s="294"/>
      <c r="CI893" s="294"/>
      <c r="CJ893" s="294"/>
      <c r="CK893" s="294"/>
      <c r="CL893" s="294"/>
      <c r="CM893" s="294"/>
      <c r="CN893" s="294"/>
    </row>
    <row r="894" spans="2:92" ht="13">
      <c r="B894" s="294"/>
      <c r="F894" s="302"/>
      <c r="J894" s="302"/>
      <c r="AI894" s="188"/>
      <c r="AJ894" s="188"/>
      <c r="AK894" s="188"/>
      <c r="AL894" s="188"/>
      <c r="AM894" s="188"/>
      <c r="AN894" s="188"/>
      <c r="AO894" s="299"/>
      <c r="CF894" s="294"/>
      <c r="CG894" s="294"/>
      <c r="CH894" s="294"/>
      <c r="CI894" s="294"/>
      <c r="CJ894" s="294"/>
      <c r="CK894" s="294"/>
      <c r="CL894" s="294"/>
      <c r="CM894" s="294"/>
      <c r="CN894" s="294"/>
    </row>
    <row r="895" spans="2:92" ht="13">
      <c r="B895" s="294"/>
      <c r="F895" s="302"/>
      <c r="J895" s="302"/>
      <c r="AI895" s="188"/>
      <c r="AJ895" s="188"/>
      <c r="AK895" s="188"/>
      <c r="AL895" s="188"/>
      <c r="AM895" s="188"/>
      <c r="AN895" s="188"/>
      <c r="AO895" s="299"/>
      <c r="CF895" s="294"/>
      <c r="CG895" s="294"/>
      <c r="CH895" s="294"/>
      <c r="CI895" s="294"/>
      <c r="CJ895" s="294"/>
      <c r="CK895" s="294"/>
      <c r="CL895" s="294"/>
      <c r="CM895" s="294"/>
      <c r="CN895" s="294"/>
    </row>
    <row r="896" spans="2:92" ht="13">
      <c r="B896" s="294"/>
      <c r="F896" s="302"/>
      <c r="J896" s="302"/>
      <c r="AI896" s="188"/>
      <c r="AJ896" s="188"/>
      <c r="AK896" s="188"/>
      <c r="AL896" s="188"/>
      <c r="AM896" s="188"/>
      <c r="AN896" s="188"/>
      <c r="AO896" s="299"/>
      <c r="CF896" s="294"/>
      <c r="CG896" s="294"/>
      <c r="CH896" s="294"/>
      <c r="CI896" s="294"/>
      <c r="CJ896" s="294"/>
      <c r="CK896" s="294"/>
      <c r="CL896" s="294"/>
      <c r="CM896" s="294"/>
      <c r="CN896" s="294"/>
    </row>
    <row r="897" spans="2:92" ht="13">
      <c r="B897" s="294"/>
      <c r="F897" s="302"/>
      <c r="J897" s="302"/>
      <c r="AI897" s="188"/>
      <c r="AJ897" s="188"/>
      <c r="AK897" s="188"/>
      <c r="AL897" s="188"/>
      <c r="AM897" s="188"/>
      <c r="AN897" s="188"/>
      <c r="AO897" s="299"/>
      <c r="CF897" s="294"/>
      <c r="CG897" s="294"/>
      <c r="CH897" s="294"/>
      <c r="CI897" s="294"/>
      <c r="CJ897" s="294"/>
      <c r="CK897" s="294"/>
      <c r="CL897" s="294"/>
      <c r="CM897" s="294"/>
      <c r="CN897" s="294"/>
    </row>
    <row r="898" spans="2:92" ht="13">
      <c r="B898" s="294"/>
      <c r="F898" s="302"/>
      <c r="J898" s="302"/>
      <c r="AI898" s="188"/>
      <c r="AJ898" s="188"/>
      <c r="AK898" s="188"/>
      <c r="AL898" s="188"/>
      <c r="AM898" s="188"/>
      <c r="AN898" s="188"/>
      <c r="AO898" s="299"/>
      <c r="CF898" s="294"/>
      <c r="CG898" s="294"/>
      <c r="CH898" s="294"/>
      <c r="CI898" s="294"/>
      <c r="CJ898" s="294"/>
      <c r="CK898" s="294"/>
      <c r="CL898" s="294"/>
      <c r="CM898" s="294"/>
      <c r="CN898" s="294"/>
    </row>
    <row r="899" spans="2:92" ht="13">
      <c r="B899" s="294"/>
      <c r="F899" s="302"/>
      <c r="J899" s="302"/>
      <c r="AI899" s="188"/>
      <c r="AJ899" s="188"/>
      <c r="AK899" s="188"/>
      <c r="AL899" s="188"/>
      <c r="AM899" s="188"/>
      <c r="AN899" s="188"/>
      <c r="AO899" s="299"/>
      <c r="CF899" s="294"/>
      <c r="CG899" s="294"/>
      <c r="CH899" s="294"/>
      <c r="CI899" s="294"/>
      <c r="CJ899" s="294"/>
      <c r="CK899" s="294"/>
      <c r="CL899" s="294"/>
      <c r="CM899" s="294"/>
      <c r="CN899" s="294"/>
    </row>
    <row r="900" spans="2:92" ht="13">
      <c r="B900" s="294"/>
      <c r="F900" s="302"/>
      <c r="J900" s="302"/>
      <c r="AI900" s="188"/>
      <c r="AJ900" s="188"/>
      <c r="AK900" s="188"/>
      <c r="AL900" s="188"/>
      <c r="AM900" s="188"/>
      <c r="AN900" s="188"/>
      <c r="AO900" s="299"/>
      <c r="CF900" s="294"/>
      <c r="CG900" s="294"/>
      <c r="CH900" s="294"/>
      <c r="CI900" s="294"/>
      <c r="CJ900" s="294"/>
      <c r="CK900" s="294"/>
      <c r="CL900" s="294"/>
      <c r="CM900" s="294"/>
      <c r="CN900" s="294"/>
    </row>
    <row r="901" spans="2:92" ht="13">
      <c r="B901" s="294"/>
      <c r="F901" s="302"/>
      <c r="J901" s="302"/>
      <c r="AI901" s="188"/>
      <c r="AJ901" s="188"/>
      <c r="AK901" s="188"/>
      <c r="AL901" s="188"/>
      <c r="AM901" s="188"/>
      <c r="AN901" s="188"/>
      <c r="AO901" s="299"/>
      <c r="CF901" s="294"/>
      <c r="CG901" s="294"/>
      <c r="CH901" s="294"/>
      <c r="CI901" s="294"/>
      <c r="CJ901" s="294"/>
      <c r="CK901" s="294"/>
      <c r="CL901" s="294"/>
      <c r="CM901" s="294"/>
      <c r="CN901" s="294"/>
    </row>
    <row r="902" spans="2:92" ht="13">
      <c r="B902" s="294"/>
      <c r="F902" s="302"/>
      <c r="J902" s="302"/>
      <c r="AI902" s="188"/>
      <c r="AJ902" s="188"/>
      <c r="AK902" s="188"/>
      <c r="AL902" s="188"/>
      <c r="AM902" s="188"/>
      <c r="AN902" s="188"/>
      <c r="AO902" s="299"/>
      <c r="CF902" s="294"/>
      <c r="CG902" s="294"/>
      <c r="CH902" s="294"/>
      <c r="CI902" s="294"/>
      <c r="CJ902" s="294"/>
      <c r="CK902" s="294"/>
      <c r="CL902" s="294"/>
      <c r="CM902" s="294"/>
      <c r="CN902" s="294"/>
    </row>
    <row r="903" spans="2:92" ht="13">
      <c r="B903" s="294"/>
      <c r="F903" s="302"/>
      <c r="J903" s="302"/>
      <c r="AI903" s="188"/>
      <c r="AJ903" s="188"/>
      <c r="AK903" s="188"/>
      <c r="AL903" s="188"/>
      <c r="AM903" s="188"/>
      <c r="AN903" s="188"/>
      <c r="AO903" s="299"/>
      <c r="CF903" s="294"/>
      <c r="CG903" s="294"/>
      <c r="CH903" s="294"/>
      <c r="CI903" s="294"/>
      <c r="CJ903" s="294"/>
      <c r="CK903" s="294"/>
      <c r="CL903" s="294"/>
      <c r="CM903" s="294"/>
      <c r="CN903" s="294"/>
    </row>
    <row r="904" spans="2:92" ht="13">
      <c r="B904" s="294"/>
      <c r="F904" s="302"/>
      <c r="J904" s="302"/>
      <c r="AI904" s="188"/>
      <c r="AJ904" s="188"/>
      <c r="AK904" s="188"/>
      <c r="AL904" s="188"/>
      <c r="AM904" s="188"/>
      <c r="AN904" s="188"/>
      <c r="AO904" s="299"/>
      <c r="CF904" s="294"/>
      <c r="CG904" s="294"/>
      <c r="CH904" s="294"/>
      <c r="CI904" s="294"/>
      <c r="CJ904" s="294"/>
      <c r="CK904" s="294"/>
      <c r="CL904" s="294"/>
      <c r="CM904" s="294"/>
      <c r="CN904" s="294"/>
    </row>
    <row r="905" spans="2:92" ht="13">
      <c r="B905" s="294"/>
      <c r="F905" s="302"/>
      <c r="J905" s="302"/>
      <c r="AI905" s="188"/>
      <c r="AJ905" s="188"/>
      <c r="AK905" s="188"/>
      <c r="AL905" s="188"/>
      <c r="AM905" s="188"/>
      <c r="AN905" s="188"/>
      <c r="AO905" s="299"/>
      <c r="CF905" s="294"/>
      <c r="CG905" s="294"/>
      <c r="CH905" s="294"/>
      <c r="CI905" s="294"/>
      <c r="CJ905" s="294"/>
      <c r="CK905" s="294"/>
      <c r="CL905" s="294"/>
      <c r="CM905" s="294"/>
      <c r="CN905" s="294"/>
    </row>
    <row r="906" spans="2:92" ht="13">
      <c r="B906" s="294"/>
      <c r="F906" s="302"/>
      <c r="J906" s="302"/>
      <c r="AI906" s="188"/>
      <c r="AJ906" s="188"/>
      <c r="AK906" s="188"/>
      <c r="AL906" s="188"/>
      <c r="AM906" s="188"/>
      <c r="AN906" s="188"/>
      <c r="AO906" s="299"/>
      <c r="CF906" s="294"/>
      <c r="CG906" s="294"/>
      <c r="CH906" s="294"/>
      <c r="CI906" s="294"/>
      <c r="CJ906" s="294"/>
      <c r="CK906" s="294"/>
      <c r="CL906" s="294"/>
      <c r="CM906" s="294"/>
      <c r="CN906" s="294"/>
    </row>
    <row r="907" spans="2:92" ht="13">
      <c r="B907" s="294"/>
      <c r="F907" s="302"/>
      <c r="J907" s="302"/>
      <c r="AI907" s="188"/>
      <c r="AJ907" s="188"/>
      <c r="AK907" s="188"/>
      <c r="AL907" s="188"/>
      <c r="AM907" s="188"/>
      <c r="AN907" s="188"/>
      <c r="AO907" s="299"/>
      <c r="CF907" s="294"/>
      <c r="CG907" s="294"/>
      <c r="CH907" s="294"/>
      <c r="CI907" s="294"/>
      <c r="CJ907" s="294"/>
      <c r="CK907" s="294"/>
      <c r="CL907" s="294"/>
      <c r="CM907" s="294"/>
      <c r="CN907" s="294"/>
    </row>
    <row r="908" spans="2:92" ht="13">
      <c r="B908" s="294"/>
      <c r="F908" s="302"/>
      <c r="J908" s="302"/>
      <c r="AI908" s="188"/>
      <c r="AJ908" s="188"/>
      <c r="AK908" s="188"/>
      <c r="AL908" s="188"/>
      <c r="AM908" s="188"/>
      <c r="AN908" s="188"/>
      <c r="AO908" s="299"/>
      <c r="CF908" s="294"/>
      <c r="CG908" s="294"/>
      <c r="CH908" s="294"/>
      <c r="CI908" s="294"/>
      <c r="CJ908" s="294"/>
      <c r="CK908" s="294"/>
      <c r="CL908" s="294"/>
      <c r="CM908" s="294"/>
      <c r="CN908" s="294"/>
    </row>
    <row r="909" spans="2:92" ht="13">
      <c r="B909" s="294"/>
      <c r="F909" s="302"/>
      <c r="J909" s="302"/>
      <c r="AI909" s="188"/>
      <c r="AJ909" s="188"/>
      <c r="AK909" s="188"/>
      <c r="AL909" s="188"/>
      <c r="AM909" s="188"/>
      <c r="AN909" s="188"/>
      <c r="AO909" s="299"/>
      <c r="CF909" s="294"/>
      <c r="CG909" s="294"/>
      <c r="CH909" s="294"/>
      <c r="CI909" s="294"/>
      <c r="CJ909" s="294"/>
      <c r="CK909" s="294"/>
      <c r="CL909" s="294"/>
      <c r="CM909" s="294"/>
      <c r="CN909" s="294"/>
    </row>
    <row r="910" spans="2:92" ht="13">
      <c r="B910" s="294"/>
      <c r="F910" s="302"/>
      <c r="J910" s="302"/>
      <c r="AI910" s="188"/>
      <c r="AJ910" s="188"/>
      <c r="AK910" s="188"/>
      <c r="AL910" s="188"/>
      <c r="AM910" s="188"/>
      <c r="AN910" s="188"/>
      <c r="AO910" s="299"/>
      <c r="CF910" s="294"/>
      <c r="CG910" s="294"/>
      <c r="CH910" s="294"/>
      <c r="CI910" s="294"/>
      <c r="CJ910" s="294"/>
      <c r="CK910" s="294"/>
      <c r="CL910" s="294"/>
      <c r="CM910" s="294"/>
      <c r="CN910" s="294"/>
    </row>
    <row r="911" spans="2:92" ht="13">
      <c r="B911" s="294"/>
      <c r="F911" s="302"/>
      <c r="J911" s="302"/>
      <c r="AI911" s="188"/>
      <c r="AJ911" s="188"/>
      <c r="AK911" s="188"/>
      <c r="AL911" s="188"/>
      <c r="AM911" s="188"/>
      <c r="AN911" s="188"/>
      <c r="AO911" s="299"/>
      <c r="CF911" s="294"/>
      <c r="CG911" s="294"/>
      <c r="CH911" s="294"/>
      <c r="CI911" s="294"/>
      <c r="CJ911" s="294"/>
      <c r="CK911" s="294"/>
      <c r="CL911" s="294"/>
      <c r="CM911" s="294"/>
      <c r="CN911" s="294"/>
    </row>
    <row r="912" spans="2:92" ht="13">
      <c r="B912" s="294"/>
      <c r="F912" s="302"/>
      <c r="J912" s="302"/>
      <c r="AI912" s="188"/>
      <c r="AJ912" s="188"/>
      <c r="AK912" s="188"/>
      <c r="AL912" s="188"/>
      <c r="AM912" s="188"/>
      <c r="AN912" s="188"/>
      <c r="AO912" s="299"/>
      <c r="CF912" s="294"/>
      <c r="CG912" s="294"/>
      <c r="CH912" s="294"/>
      <c r="CI912" s="294"/>
      <c r="CJ912" s="294"/>
      <c r="CK912" s="294"/>
      <c r="CL912" s="294"/>
      <c r="CM912" s="294"/>
      <c r="CN912" s="294"/>
    </row>
    <row r="913" spans="2:92" ht="13">
      <c r="B913" s="294"/>
      <c r="F913" s="302"/>
      <c r="J913" s="302"/>
      <c r="AI913" s="188"/>
      <c r="AJ913" s="188"/>
      <c r="AK913" s="188"/>
      <c r="AL913" s="188"/>
      <c r="AM913" s="188"/>
      <c r="AN913" s="188"/>
      <c r="AO913" s="299"/>
      <c r="CF913" s="294"/>
      <c r="CG913" s="294"/>
      <c r="CH913" s="294"/>
      <c r="CI913" s="294"/>
      <c r="CJ913" s="294"/>
      <c r="CK913" s="294"/>
      <c r="CL913" s="294"/>
      <c r="CM913" s="294"/>
      <c r="CN913" s="294"/>
    </row>
    <row r="914" spans="2:92" ht="13">
      <c r="B914" s="294"/>
      <c r="F914" s="302"/>
      <c r="J914" s="302"/>
      <c r="AI914" s="188"/>
      <c r="AJ914" s="188"/>
      <c r="AK914" s="188"/>
      <c r="AL914" s="188"/>
      <c r="AM914" s="188"/>
      <c r="AN914" s="188"/>
      <c r="AO914" s="299"/>
      <c r="CF914" s="294"/>
      <c r="CG914" s="294"/>
      <c r="CH914" s="294"/>
      <c r="CI914" s="294"/>
      <c r="CJ914" s="294"/>
      <c r="CK914" s="294"/>
      <c r="CL914" s="294"/>
      <c r="CM914" s="294"/>
      <c r="CN914" s="294"/>
    </row>
    <row r="915" spans="2:92" ht="13">
      <c r="B915" s="294"/>
      <c r="F915" s="302"/>
      <c r="J915" s="302"/>
      <c r="AI915" s="188"/>
      <c r="AJ915" s="188"/>
      <c r="AK915" s="188"/>
      <c r="AL915" s="188"/>
      <c r="AM915" s="188"/>
      <c r="AN915" s="188"/>
      <c r="AO915" s="299"/>
      <c r="CF915" s="294"/>
      <c r="CG915" s="294"/>
      <c r="CH915" s="294"/>
      <c r="CI915" s="294"/>
      <c r="CJ915" s="294"/>
      <c r="CK915" s="294"/>
      <c r="CL915" s="294"/>
      <c r="CM915" s="294"/>
      <c r="CN915" s="294"/>
    </row>
    <row r="916" spans="2:92" ht="13">
      <c r="B916" s="294"/>
      <c r="F916" s="302"/>
      <c r="J916" s="302"/>
      <c r="AI916" s="188"/>
      <c r="AJ916" s="188"/>
      <c r="AK916" s="188"/>
      <c r="AL916" s="188"/>
      <c r="AM916" s="188"/>
      <c r="AN916" s="188"/>
      <c r="AO916" s="299"/>
      <c r="CF916" s="294"/>
      <c r="CG916" s="294"/>
      <c r="CH916" s="294"/>
      <c r="CI916" s="294"/>
      <c r="CJ916" s="294"/>
      <c r="CK916" s="294"/>
      <c r="CL916" s="294"/>
      <c r="CM916" s="294"/>
      <c r="CN916" s="294"/>
    </row>
    <row r="917" spans="2:92" ht="13">
      <c r="B917" s="294"/>
      <c r="F917" s="302"/>
      <c r="J917" s="302"/>
      <c r="AI917" s="188"/>
      <c r="AJ917" s="188"/>
      <c r="AK917" s="188"/>
      <c r="AL917" s="188"/>
      <c r="AM917" s="188"/>
      <c r="AN917" s="188"/>
      <c r="AO917" s="299"/>
      <c r="CF917" s="294"/>
      <c r="CG917" s="294"/>
      <c r="CH917" s="294"/>
      <c r="CI917" s="294"/>
      <c r="CJ917" s="294"/>
      <c r="CK917" s="294"/>
      <c r="CL917" s="294"/>
      <c r="CM917" s="294"/>
      <c r="CN917" s="294"/>
    </row>
    <row r="918" spans="2:92" ht="13">
      <c r="B918" s="294"/>
      <c r="F918" s="302"/>
      <c r="J918" s="302"/>
      <c r="AI918" s="188"/>
      <c r="AJ918" s="188"/>
      <c r="AK918" s="188"/>
      <c r="AL918" s="188"/>
      <c r="AM918" s="188"/>
      <c r="AN918" s="188"/>
      <c r="AO918" s="299"/>
      <c r="CF918" s="294"/>
      <c r="CG918" s="294"/>
      <c r="CH918" s="294"/>
      <c r="CI918" s="294"/>
      <c r="CJ918" s="294"/>
      <c r="CK918" s="294"/>
      <c r="CL918" s="294"/>
      <c r="CM918" s="294"/>
      <c r="CN918" s="294"/>
    </row>
    <row r="919" spans="2:92" ht="13">
      <c r="B919" s="294"/>
      <c r="F919" s="302"/>
      <c r="J919" s="302"/>
      <c r="AI919" s="188"/>
      <c r="AJ919" s="188"/>
      <c r="AK919" s="188"/>
      <c r="AL919" s="188"/>
      <c r="AM919" s="188"/>
      <c r="AN919" s="188"/>
      <c r="AO919" s="299"/>
      <c r="CF919" s="294"/>
      <c r="CG919" s="294"/>
      <c r="CH919" s="294"/>
      <c r="CI919" s="294"/>
      <c r="CJ919" s="294"/>
      <c r="CK919" s="294"/>
      <c r="CL919" s="294"/>
      <c r="CM919" s="294"/>
      <c r="CN919" s="294"/>
    </row>
    <row r="920" spans="2:92" ht="13">
      <c r="B920" s="294"/>
      <c r="F920" s="302"/>
      <c r="J920" s="302"/>
      <c r="AI920" s="188"/>
      <c r="AJ920" s="188"/>
      <c r="AK920" s="188"/>
      <c r="AL920" s="188"/>
      <c r="AM920" s="188"/>
      <c r="AN920" s="188"/>
      <c r="AO920" s="299"/>
      <c r="CF920" s="294"/>
      <c r="CG920" s="294"/>
      <c r="CH920" s="294"/>
      <c r="CI920" s="294"/>
      <c r="CJ920" s="294"/>
      <c r="CK920" s="294"/>
      <c r="CL920" s="294"/>
      <c r="CM920" s="294"/>
      <c r="CN920" s="294"/>
    </row>
    <row r="921" spans="2:92" ht="13">
      <c r="B921" s="294"/>
      <c r="F921" s="302"/>
      <c r="J921" s="302"/>
      <c r="AI921" s="188"/>
      <c r="AJ921" s="188"/>
      <c r="AK921" s="188"/>
      <c r="AL921" s="188"/>
      <c r="AM921" s="188"/>
      <c r="AN921" s="188"/>
      <c r="AO921" s="299"/>
      <c r="CF921" s="294"/>
      <c r="CG921" s="294"/>
      <c r="CH921" s="294"/>
      <c r="CI921" s="294"/>
      <c r="CJ921" s="294"/>
      <c r="CK921" s="294"/>
      <c r="CL921" s="294"/>
      <c r="CM921" s="294"/>
      <c r="CN921" s="294"/>
    </row>
    <row r="922" spans="2:92" ht="13">
      <c r="B922" s="294"/>
      <c r="F922" s="302"/>
      <c r="J922" s="302"/>
      <c r="AI922" s="188"/>
      <c r="AJ922" s="188"/>
      <c r="AK922" s="188"/>
      <c r="AL922" s="188"/>
      <c r="AM922" s="188"/>
      <c r="AN922" s="188"/>
      <c r="AO922" s="299"/>
      <c r="CF922" s="294"/>
      <c r="CG922" s="294"/>
      <c r="CH922" s="294"/>
      <c r="CI922" s="294"/>
      <c r="CJ922" s="294"/>
      <c r="CK922" s="294"/>
      <c r="CL922" s="294"/>
      <c r="CM922" s="294"/>
      <c r="CN922" s="294"/>
    </row>
    <row r="923" spans="2:92" ht="13">
      <c r="B923" s="294"/>
      <c r="F923" s="302"/>
      <c r="J923" s="302"/>
      <c r="AI923" s="188"/>
      <c r="AJ923" s="188"/>
      <c r="AK923" s="188"/>
      <c r="AL923" s="188"/>
      <c r="AM923" s="188"/>
      <c r="AN923" s="188"/>
      <c r="AO923" s="299"/>
      <c r="CF923" s="294"/>
      <c r="CG923" s="294"/>
      <c r="CH923" s="294"/>
      <c r="CI923" s="294"/>
      <c r="CJ923" s="294"/>
      <c r="CK923" s="294"/>
      <c r="CL923" s="294"/>
      <c r="CM923" s="294"/>
      <c r="CN923" s="294"/>
    </row>
    <row r="924" spans="2:92" ht="13">
      <c r="B924" s="294"/>
      <c r="F924" s="302"/>
      <c r="J924" s="302"/>
      <c r="AI924" s="188"/>
      <c r="AJ924" s="188"/>
      <c r="AK924" s="188"/>
      <c r="AL924" s="188"/>
      <c r="AM924" s="188"/>
      <c r="AN924" s="188"/>
      <c r="AO924" s="299"/>
      <c r="CF924" s="294"/>
      <c r="CG924" s="294"/>
      <c r="CH924" s="294"/>
      <c r="CI924" s="294"/>
      <c r="CJ924" s="294"/>
      <c r="CK924" s="294"/>
      <c r="CL924" s="294"/>
      <c r="CM924" s="294"/>
      <c r="CN924" s="294"/>
    </row>
    <row r="925" spans="2:92" ht="13">
      <c r="B925" s="294"/>
      <c r="F925" s="302"/>
      <c r="J925" s="302"/>
      <c r="AI925" s="188"/>
      <c r="AJ925" s="188"/>
      <c r="AK925" s="188"/>
      <c r="AL925" s="188"/>
      <c r="AM925" s="188"/>
      <c r="AN925" s="188"/>
      <c r="AO925" s="299"/>
      <c r="CF925" s="294"/>
      <c r="CG925" s="294"/>
      <c r="CH925" s="294"/>
      <c r="CI925" s="294"/>
      <c r="CJ925" s="294"/>
      <c r="CK925" s="294"/>
      <c r="CL925" s="294"/>
      <c r="CM925" s="294"/>
      <c r="CN925" s="294"/>
    </row>
    <row r="926" spans="2:92" ht="13">
      <c r="B926" s="294"/>
      <c r="F926" s="302"/>
      <c r="J926" s="302"/>
      <c r="AI926" s="188"/>
      <c r="AJ926" s="188"/>
      <c r="AK926" s="188"/>
      <c r="AL926" s="188"/>
      <c r="AM926" s="188"/>
      <c r="AN926" s="188"/>
      <c r="AO926" s="299"/>
      <c r="CF926" s="294"/>
      <c r="CG926" s="294"/>
      <c r="CH926" s="294"/>
      <c r="CI926" s="294"/>
      <c r="CJ926" s="294"/>
      <c r="CK926" s="294"/>
      <c r="CL926" s="294"/>
      <c r="CM926" s="294"/>
      <c r="CN926" s="294"/>
    </row>
    <row r="927" spans="2:92" ht="13">
      <c r="B927" s="294"/>
      <c r="F927" s="302"/>
      <c r="J927" s="302"/>
      <c r="AI927" s="188"/>
      <c r="AJ927" s="188"/>
      <c r="AK927" s="188"/>
      <c r="AL927" s="188"/>
      <c r="AM927" s="188"/>
      <c r="AN927" s="188"/>
      <c r="AO927" s="299"/>
      <c r="CF927" s="294"/>
      <c r="CG927" s="294"/>
      <c r="CH927" s="294"/>
      <c r="CI927" s="294"/>
      <c r="CJ927" s="294"/>
      <c r="CK927" s="294"/>
      <c r="CL927" s="294"/>
      <c r="CM927" s="294"/>
      <c r="CN927" s="294"/>
    </row>
    <row r="928" spans="2:92" ht="13">
      <c r="B928" s="294"/>
      <c r="F928" s="302"/>
      <c r="J928" s="302"/>
      <c r="AI928" s="188"/>
      <c r="AJ928" s="188"/>
      <c r="AK928" s="188"/>
      <c r="AL928" s="188"/>
      <c r="AM928" s="188"/>
      <c r="AN928" s="188"/>
      <c r="AO928" s="299"/>
      <c r="CF928" s="294"/>
      <c r="CG928" s="294"/>
      <c r="CH928" s="294"/>
      <c r="CI928" s="294"/>
      <c r="CJ928" s="294"/>
      <c r="CK928" s="294"/>
      <c r="CL928" s="294"/>
      <c r="CM928" s="294"/>
      <c r="CN928" s="294"/>
    </row>
    <row r="929" spans="2:92" ht="13">
      <c r="B929" s="294"/>
      <c r="F929" s="302"/>
      <c r="J929" s="302"/>
      <c r="AI929" s="188"/>
      <c r="AJ929" s="188"/>
      <c r="AK929" s="188"/>
      <c r="AL929" s="188"/>
      <c r="AM929" s="188"/>
      <c r="AN929" s="188"/>
      <c r="AO929" s="299"/>
      <c r="CF929" s="294"/>
      <c r="CG929" s="294"/>
      <c r="CH929" s="294"/>
      <c r="CI929" s="294"/>
      <c r="CJ929" s="294"/>
      <c r="CK929" s="294"/>
      <c r="CL929" s="294"/>
      <c r="CM929" s="294"/>
      <c r="CN929" s="294"/>
    </row>
    <row r="930" spans="2:92" ht="13">
      <c r="B930" s="294"/>
      <c r="F930" s="302"/>
      <c r="J930" s="302"/>
      <c r="AI930" s="188"/>
      <c r="AJ930" s="188"/>
      <c r="AK930" s="188"/>
      <c r="AL930" s="188"/>
      <c r="AM930" s="188"/>
      <c r="AN930" s="188"/>
      <c r="AO930" s="299"/>
      <c r="CF930" s="294"/>
      <c r="CG930" s="294"/>
      <c r="CH930" s="294"/>
      <c r="CI930" s="294"/>
      <c r="CJ930" s="294"/>
      <c r="CK930" s="294"/>
      <c r="CL930" s="294"/>
      <c r="CM930" s="294"/>
      <c r="CN930" s="294"/>
    </row>
    <row r="931" spans="2:92" ht="13">
      <c r="B931" s="294"/>
      <c r="F931" s="302"/>
      <c r="J931" s="302"/>
      <c r="AI931" s="188"/>
      <c r="AJ931" s="188"/>
      <c r="AK931" s="188"/>
      <c r="AL931" s="188"/>
      <c r="AM931" s="188"/>
      <c r="AN931" s="188"/>
      <c r="AO931" s="299"/>
      <c r="CF931" s="294"/>
      <c r="CG931" s="294"/>
      <c r="CH931" s="294"/>
      <c r="CI931" s="294"/>
      <c r="CJ931" s="294"/>
      <c r="CK931" s="294"/>
      <c r="CL931" s="294"/>
      <c r="CM931" s="294"/>
      <c r="CN931" s="294"/>
    </row>
    <row r="932" spans="2:92" ht="13">
      <c r="B932" s="294"/>
      <c r="F932" s="302"/>
      <c r="J932" s="302"/>
      <c r="AI932" s="188"/>
      <c r="AJ932" s="188"/>
      <c r="AK932" s="188"/>
      <c r="AL932" s="188"/>
      <c r="AM932" s="188"/>
      <c r="AN932" s="188"/>
      <c r="AO932" s="299"/>
      <c r="CF932" s="294"/>
      <c r="CG932" s="294"/>
      <c r="CH932" s="294"/>
      <c r="CI932" s="294"/>
      <c r="CJ932" s="294"/>
      <c r="CK932" s="294"/>
      <c r="CL932" s="294"/>
      <c r="CM932" s="294"/>
      <c r="CN932" s="294"/>
    </row>
    <row r="933" spans="2:92" ht="13">
      <c r="B933" s="294"/>
      <c r="F933" s="302"/>
      <c r="J933" s="302"/>
      <c r="AI933" s="188"/>
      <c r="AJ933" s="188"/>
      <c r="AK933" s="188"/>
      <c r="AL933" s="188"/>
      <c r="AM933" s="188"/>
      <c r="AN933" s="188"/>
      <c r="AO933" s="299"/>
      <c r="CF933" s="294"/>
      <c r="CG933" s="294"/>
      <c r="CH933" s="294"/>
      <c r="CI933" s="294"/>
      <c r="CJ933" s="294"/>
      <c r="CK933" s="294"/>
      <c r="CL933" s="294"/>
      <c r="CM933" s="294"/>
      <c r="CN933" s="294"/>
    </row>
    <row r="934" spans="2:92" ht="13">
      <c r="B934" s="294"/>
      <c r="F934" s="302"/>
      <c r="J934" s="302"/>
      <c r="AI934" s="188"/>
      <c r="AJ934" s="188"/>
      <c r="AK934" s="188"/>
      <c r="AL934" s="188"/>
      <c r="AM934" s="188"/>
      <c r="AN934" s="188"/>
      <c r="AO934" s="299"/>
      <c r="CF934" s="294"/>
      <c r="CG934" s="294"/>
      <c r="CH934" s="294"/>
      <c r="CI934" s="294"/>
      <c r="CJ934" s="294"/>
      <c r="CK934" s="294"/>
      <c r="CL934" s="294"/>
      <c r="CM934" s="294"/>
      <c r="CN934" s="294"/>
    </row>
    <row r="935" spans="2:92" ht="13">
      <c r="B935" s="294"/>
      <c r="F935" s="302"/>
      <c r="J935" s="302"/>
      <c r="AI935" s="188"/>
      <c r="AJ935" s="188"/>
      <c r="AK935" s="188"/>
      <c r="AL935" s="188"/>
      <c r="AM935" s="188"/>
      <c r="AN935" s="188"/>
      <c r="AO935" s="299"/>
      <c r="CF935" s="294"/>
      <c r="CG935" s="294"/>
      <c r="CH935" s="294"/>
      <c r="CI935" s="294"/>
      <c r="CJ935" s="294"/>
      <c r="CK935" s="294"/>
      <c r="CL935" s="294"/>
      <c r="CM935" s="294"/>
      <c r="CN935" s="294"/>
    </row>
    <row r="936" spans="2:92" ht="13">
      <c r="B936" s="294"/>
      <c r="F936" s="302"/>
      <c r="J936" s="302"/>
      <c r="AI936" s="188"/>
      <c r="AJ936" s="188"/>
      <c r="AK936" s="188"/>
      <c r="AL936" s="188"/>
      <c r="AM936" s="188"/>
      <c r="AN936" s="188"/>
      <c r="AO936" s="299"/>
      <c r="CF936" s="294"/>
      <c r="CG936" s="294"/>
      <c r="CH936" s="294"/>
      <c r="CI936" s="294"/>
      <c r="CJ936" s="294"/>
      <c r="CK936" s="294"/>
      <c r="CL936" s="294"/>
      <c r="CM936" s="294"/>
      <c r="CN936" s="294"/>
    </row>
    <row r="937" spans="2:92" ht="13">
      <c r="B937" s="294"/>
      <c r="F937" s="302"/>
      <c r="J937" s="302"/>
      <c r="AI937" s="188"/>
      <c r="AJ937" s="188"/>
      <c r="AK937" s="188"/>
      <c r="AL937" s="188"/>
      <c r="AM937" s="188"/>
      <c r="AN937" s="188"/>
      <c r="AO937" s="299"/>
      <c r="CF937" s="294"/>
      <c r="CG937" s="294"/>
      <c r="CH937" s="294"/>
      <c r="CI937" s="294"/>
      <c r="CJ937" s="294"/>
      <c r="CK937" s="294"/>
      <c r="CL937" s="294"/>
      <c r="CM937" s="294"/>
      <c r="CN937" s="294"/>
    </row>
    <row r="938" spans="2:92" ht="13">
      <c r="B938" s="294"/>
      <c r="F938" s="302"/>
      <c r="J938" s="302"/>
      <c r="AI938" s="188"/>
      <c r="AJ938" s="188"/>
      <c r="AK938" s="188"/>
      <c r="AL938" s="188"/>
      <c r="AM938" s="188"/>
      <c r="AN938" s="188"/>
      <c r="AO938" s="299"/>
      <c r="CF938" s="294"/>
      <c r="CG938" s="294"/>
      <c r="CH938" s="294"/>
      <c r="CI938" s="294"/>
      <c r="CJ938" s="294"/>
      <c r="CK938" s="294"/>
      <c r="CL938" s="294"/>
      <c r="CM938" s="294"/>
      <c r="CN938" s="294"/>
    </row>
    <row r="939" spans="2:92" ht="13">
      <c r="B939" s="294"/>
      <c r="F939" s="302"/>
      <c r="J939" s="302"/>
      <c r="AI939" s="188"/>
      <c r="AJ939" s="188"/>
      <c r="AK939" s="188"/>
      <c r="AL939" s="188"/>
      <c r="AM939" s="188"/>
      <c r="AN939" s="188"/>
      <c r="AO939" s="299"/>
      <c r="CF939" s="294"/>
      <c r="CG939" s="294"/>
      <c r="CH939" s="294"/>
      <c r="CI939" s="294"/>
      <c r="CJ939" s="294"/>
      <c r="CK939" s="294"/>
      <c r="CL939" s="294"/>
      <c r="CM939" s="294"/>
      <c r="CN939" s="294"/>
    </row>
    <row r="940" spans="2:92" ht="13">
      <c r="B940" s="294"/>
      <c r="F940" s="302"/>
      <c r="J940" s="302"/>
      <c r="AI940" s="188"/>
      <c r="AJ940" s="188"/>
      <c r="AK940" s="188"/>
      <c r="AL940" s="188"/>
      <c r="AM940" s="188"/>
      <c r="AN940" s="188"/>
      <c r="AO940" s="299"/>
      <c r="CF940" s="294"/>
      <c r="CG940" s="294"/>
      <c r="CH940" s="294"/>
      <c r="CI940" s="294"/>
      <c r="CJ940" s="294"/>
      <c r="CK940" s="294"/>
      <c r="CL940" s="294"/>
      <c r="CM940" s="294"/>
      <c r="CN940" s="294"/>
    </row>
    <row r="941" spans="2:92" ht="13">
      <c r="B941" s="294"/>
      <c r="F941" s="302"/>
      <c r="J941" s="302"/>
      <c r="AI941" s="188"/>
      <c r="AJ941" s="188"/>
      <c r="AK941" s="188"/>
      <c r="AL941" s="188"/>
      <c r="AM941" s="188"/>
      <c r="AN941" s="188"/>
      <c r="AO941" s="299"/>
      <c r="CF941" s="294"/>
      <c r="CG941" s="294"/>
      <c r="CH941" s="294"/>
      <c r="CI941" s="294"/>
      <c r="CJ941" s="294"/>
      <c r="CK941" s="294"/>
      <c r="CL941" s="294"/>
      <c r="CM941" s="294"/>
      <c r="CN941" s="294"/>
    </row>
    <row r="942" spans="2:92" ht="13">
      <c r="B942" s="294"/>
      <c r="F942" s="302"/>
      <c r="J942" s="302"/>
      <c r="AI942" s="188"/>
      <c r="AJ942" s="188"/>
      <c r="AK942" s="188"/>
      <c r="AL942" s="188"/>
      <c r="AM942" s="188"/>
      <c r="AN942" s="188"/>
      <c r="AO942" s="299"/>
      <c r="CF942" s="294"/>
      <c r="CG942" s="294"/>
      <c r="CH942" s="294"/>
      <c r="CI942" s="294"/>
      <c r="CJ942" s="294"/>
      <c r="CK942" s="294"/>
      <c r="CL942" s="294"/>
      <c r="CM942" s="294"/>
      <c r="CN942" s="294"/>
    </row>
    <row r="943" spans="2:92" ht="13">
      <c r="B943" s="294"/>
      <c r="F943" s="302"/>
      <c r="J943" s="302"/>
      <c r="AI943" s="188"/>
      <c r="AJ943" s="188"/>
      <c r="AK943" s="188"/>
      <c r="AL943" s="188"/>
      <c r="AM943" s="188"/>
      <c r="AN943" s="188"/>
      <c r="AO943" s="299"/>
      <c r="CF943" s="294"/>
      <c r="CG943" s="294"/>
      <c r="CH943" s="294"/>
      <c r="CI943" s="294"/>
      <c r="CJ943" s="294"/>
      <c r="CK943" s="294"/>
      <c r="CL943" s="294"/>
      <c r="CM943" s="294"/>
      <c r="CN943" s="294"/>
    </row>
    <row r="944" spans="2:92" ht="13">
      <c r="B944" s="294"/>
      <c r="F944" s="302"/>
      <c r="J944" s="302"/>
      <c r="AI944" s="188"/>
      <c r="AJ944" s="188"/>
      <c r="AK944" s="188"/>
      <c r="AL944" s="188"/>
      <c r="AM944" s="188"/>
      <c r="AN944" s="188"/>
      <c r="AO944" s="299"/>
      <c r="CF944" s="294"/>
      <c r="CG944" s="294"/>
      <c r="CH944" s="294"/>
      <c r="CI944" s="294"/>
      <c r="CJ944" s="294"/>
      <c r="CK944" s="294"/>
      <c r="CL944" s="294"/>
      <c r="CM944" s="294"/>
      <c r="CN944" s="294"/>
    </row>
    <row r="945" spans="2:92" ht="13">
      <c r="B945" s="294"/>
      <c r="F945" s="302"/>
      <c r="J945" s="302"/>
      <c r="AI945" s="188"/>
      <c r="AJ945" s="188"/>
      <c r="AK945" s="188"/>
      <c r="AL945" s="188"/>
      <c r="AM945" s="188"/>
      <c r="AN945" s="188"/>
      <c r="AO945" s="299"/>
      <c r="CF945" s="294"/>
      <c r="CG945" s="294"/>
      <c r="CH945" s="294"/>
      <c r="CI945" s="294"/>
      <c r="CJ945" s="294"/>
      <c r="CK945" s="294"/>
      <c r="CL945" s="294"/>
      <c r="CM945" s="294"/>
      <c r="CN945" s="294"/>
    </row>
    <row r="946" spans="2:92" ht="13">
      <c r="B946" s="294"/>
      <c r="F946" s="302"/>
      <c r="J946" s="302"/>
      <c r="AI946" s="188"/>
      <c r="AJ946" s="188"/>
      <c r="AK946" s="188"/>
      <c r="AL946" s="188"/>
      <c r="AM946" s="188"/>
      <c r="AN946" s="188"/>
      <c r="AO946" s="299"/>
      <c r="CF946" s="294"/>
      <c r="CG946" s="294"/>
      <c r="CH946" s="294"/>
      <c r="CI946" s="294"/>
      <c r="CJ946" s="294"/>
      <c r="CK946" s="294"/>
      <c r="CL946" s="294"/>
      <c r="CM946" s="294"/>
      <c r="CN946" s="294"/>
    </row>
    <row r="947" spans="2:92" ht="13">
      <c r="B947" s="294"/>
      <c r="F947" s="302"/>
      <c r="J947" s="302"/>
      <c r="AI947" s="188"/>
      <c r="AJ947" s="188"/>
      <c r="AK947" s="188"/>
      <c r="AL947" s="188"/>
      <c r="AM947" s="188"/>
      <c r="AN947" s="188"/>
      <c r="AO947" s="299"/>
      <c r="CF947" s="294"/>
      <c r="CG947" s="294"/>
      <c r="CH947" s="294"/>
      <c r="CI947" s="294"/>
      <c r="CJ947" s="294"/>
      <c r="CK947" s="294"/>
      <c r="CL947" s="294"/>
      <c r="CM947" s="294"/>
      <c r="CN947" s="294"/>
    </row>
    <row r="948" spans="2:92" ht="13">
      <c r="B948" s="294"/>
      <c r="F948" s="302"/>
      <c r="J948" s="302"/>
      <c r="AI948" s="188"/>
      <c r="AJ948" s="188"/>
      <c r="AK948" s="188"/>
      <c r="AL948" s="188"/>
      <c r="AM948" s="188"/>
      <c r="AN948" s="188"/>
      <c r="AO948" s="299"/>
      <c r="CF948" s="294"/>
      <c r="CG948" s="294"/>
      <c r="CH948" s="294"/>
      <c r="CI948" s="294"/>
      <c r="CJ948" s="294"/>
      <c r="CK948" s="294"/>
      <c r="CL948" s="294"/>
      <c r="CM948" s="294"/>
      <c r="CN948" s="294"/>
    </row>
    <row r="949" spans="2:92" ht="13">
      <c r="B949" s="294"/>
      <c r="F949" s="302"/>
      <c r="J949" s="302"/>
      <c r="AI949" s="188"/>
      <c r="AJ949" s="188"/>
      <c r="AK949" s="188"/>
      <c r="AL949" s="188"/>
      <c r="AM949" s="188"/>
      <c r="AN949" s="188"/>
      <c r="AO949" s="299"/>
      <c r="CF949" s="294"/>
      <c r="CG949" s="294"/>
      <c r="CH949" s="294"/>
      <c r="CI949" s="294"/>
      <c r="CJ949" s="294"/>
      <c r="CK949" s="294"/>
      <c r="CL949" s="294"/>
      <c r="CM949" s="294"/>
      <c r="CN949" s="294"/>
    </row>
    <row r="950" spans="2:92" ht="13">
      <c r="B950" s="294"/>
      <c r="F950" s="302"/>
      <c r="J950" s="302"/>
      <c r="AI950" s="188"/>
      <c r="AJ950" s="188"/>
      <c r="AK950" s="188"/>
      <c r="AL950" s="188"/>
      <c r="AM950" s="188"/>
      <c r="AN950" s="188"/>
      <c r="AO950" s="299"/>
      <c r="CF950" s="294"/>
      <c r="CG950" s="294"/>
      <c r="CH950" s="294"/>
      <c r="CI950" s="294"/>
      <c r="CJ950" s="294"/>
      <c r="CK950" s="294"/>
      <c r="CL950" s="294"/>
      <c r="CM950" s="294"/>
      <c r="CN950" s="294"/>
    </row>
    <row r="951" spans="2:92" ht="13">
      <c r="B951" s="294"/>
      <c r="F951" s="302"/>
      <c r="J951" s="302"/>
      <c r="AI951" s="188"/>
      <c r="AJ951" s="188"/>
      <c r="AK951" s="188"/>
      <c r="AL951" s="188"/>
      <c r="AM951" s="188"/>
      <c r="AN951" s="188"/>
      <c r="AO951" s="299"/>
      <c r="CF951" s="294"/>
      <c r="CG951" s="294"/>
      <c r="CH951" s="294"/>
      <c r="CI951" s="294"/>
      <c r="CJ951" s="294"/>
      <c r="CK951" s="294"/>
      <c r="CL951" s="294"/>
      <c r="CM951" s="294"/>
      <c r="CN951" s="294"/>
    </row>
    <row r="952" spans="2:92" ht="13">
      <c r="B952" s="294"/>
      <c r="F952" s="302"/>
      <c r="J952" s="302"/>
      <c r="AI952" s="188"/>
      <c r="AJ952" s="188"/>
      <c r="AK952" s="188"/>
      <c r="AL952" s="188"/>
      <c r="AM952" s="188"/>
      <c r="AN952" s="188"/>
      <c r="AO952" s="299"/>
      <c r="CF952" s="294"/>
      <c r="CG952" s="294"/>
      <c r="CH952" s="294"/>
      <c r="CI952" s="294"/>
      <c r="CJ952" s="294"/>
      <c r="CK952" s="294"/>
      <c r="CL952" s="294"/>
      <c r="CM952" s="294"/>
      <c r="CN952" s="294"/>
    </row>
    <row r="953" spans="2:92" ht="13">
      <c r="B953" s="294"/>
      <c r="F953" s="302"/>
      <c r="J953" s="302"/>
      <c r="AI953" s="188"/>
      <c r="AJ953" s="188"/>
      <c r="AK953" s="188"/>
      <c r="AL953" s="188"/>
      <c r="AM953" s="188"/>
      <c r="AN953" s="188"/>
      <c r="AO953" s="299"/>
      <c r="CF953" s="294"/>
      <c r="CG953" s="294"/>
      <c r="CH953" s="294"/>
      <c r="CI953" s="294"/>
      <c r="CJ953" s="294"/>
      <c r="CK953" s="294"/>
      <c r="CL953" s="294"/>
      <c r="CM953" s="294"/>
      <c r="CN953" s="294"/>
    </row>
    <row r="954" spans="2:92" ht="13">
      <c r="B954" s="294"/>
      <c r="F954" s="302"/>
      <c r="J954" s="302"/>
      <c r="AI954" s="188"/>
      <c r="AJ954" s="188"/>
      <c r="AK954" s="188"/>
      <c r="AL954" s="188"/>
      <c r="AM954" s="188"/>
      <c r="AN954" s="188"/>
      <c r="AO954" s="299"/>
      <c r="CF954" s="294"/>
      <c r="CG954" s="294"/>
      <c r="CH954" s="294"/>
      <c r="CI954" s="294"/>
      <c r="CJ954" s="294"/>
      <c r="CK954" s="294"/>
      <c r="CL954" s="294"/>
      <c r="CM954" s="294"/>
      <c r="CN954" s="294"/>
    </row>
    <row r="955" spans="2:92" ht="13">
      <c r="B955" s="294"/>
      <c r="F955" s="302"/>
      <c r="J955" s="302"/>
      <c r="AI955" s="188"/>
      <c r="AJ955" s="188"/>
      <c r="AK955" s="188"/>
      <c r="AL955" s="188"/>
      <c r="AM955" s="188"/>
      <c r="AN955" s="188"/>
      <c r="AO955" s="299"/>
      <c r="CF955" s="294"/>
      <c r="CG955" s="294"/>
      <c r="CH955" s="294"/>
      <c r="CI955" s="294"/>
      <c r="CJ955" s="294"/>
      <c r="CK955" s="294"/>
      <c r="CL955" s="294"/>
      <c r="CM955" s="294"/>
      <c r="CN955" s="294"/>
    </row>
    <row r="956" spans="2:92" ht="13">
      <c r="B956" s="294"/>
      <c r="F956" s="302"/>
      <c r="J956" s="302"/>
      <c r="AI956" s="188"/>
      <c r="AJ956" s="188"/>
      <c r="AK956" s="188"/>
      <c r="AL956" s="188"/>
      <c r="AM956" s="188"/>
      <c r="AN956" s="188"/>
      <c r="AO956" s="299"/>
      <c r="CF956" s="294"/>
      <c r="CG956" s="294"/>
      <c r="CH956" s="294"/>
      <c r="CI956" s="294"/>
      <c r="CJ956" s="294"/>
      <c r="CK956" s="294"/>
      <c r="CL956" s="294"/>
      <c r="CM956" s="294"/>
      <c r="CN956" s="294"/>
    </row>
    <row r="957" spans="2:92" ht="13">
      <c r="B957" s="294"/>
      <c r="F957" s="302"/>
      <c r="J957" s="302"/>
      <c r="AI957" s="188"/>
      <c r="AJ957" s="188"/>
      <c r="AK957" s="188"/>
      <c r="AL957" s="188"/>
      <c r="AM957" s="188"/>
      <c r="AN957" s="188"/>
      <c r="AO957" s="299"/>
      <c r="CF957" s="294"/>
      <c r="CG957" s="294"/>
      <c r="CH957" s="294"/>
      <c r="CI957" s="294"/>
      <c r="CJ957" s="294"/>
      <c r="CK957" s="294"/>
      <c r="CL957" s="294"/>
      <c r="CM957" s="294"/>
      <c r="CN957" s="294"/>
    </row>
    <row r="958" spans="2:92" ht="13">
      <c r="B958" s="294"/>
      <c r="F958" s="302"/>
      <c r="J958" s="302"/>
      <c r="AI958" s="188"/>
      <c r="AJ958" s="188"/>
      <c r="AK958" s="188"/>
      <c r="AL958" s="188"/>
      <c r="AM958" s="188"/>
      <c r="AN958" s="188"/>
      <c r="AO958" s="299"/>
      <c r="CF958" s="294"/>
      <c r="CG958" s="294"/>
      <c r="CH958" s="294"/>
      <c r="CI958" s="294"/>
      <c r="CJ958" s="294"/>
      <c r="CK958" s="294"/>
      <c r="CL958" s="294"/>
      <c r="CM958" s="294"/>
      <c r="CN958" s="294"/>
    </row>
    <row r="959" spans="2:92" ht="13">
      <c r="B959" s="294"/>
      <c r="F959" s="302"/>
      <c r="J959" s="302"/>
      <c r="AI959" s="188"/>
      <c r="AJ959" s="188"/>
      <c r="AK959" s="188"/>
      <c r="AL959" s="188"/>
      <c r="AM959" s="188"/>
      <c r="AN959" s="188"/>
      <c r="AO959" s="299"/>
      <c r="CF959" s="294"/>
      <c r="CG959" s="294"/>
      <c r="CH959" s="294"/>
      <c r="CI959" s="294"/>
      <c r="CJ959" s="294"/>
      <c r="CK959" s="294"/>
      <c r="CL959" s="294"/>
      <c r="CM959" s="294"/>
      <c r="CN959" s="294"/>
    </row>
    <row r="960" spans="2:92" ht="13">
      <c r="B960" s="294"/>
      <c r="F960" s="302"/>
      <c r="J960" s="302"/>
      <c r="AI960" s="188"/>
      <c r="AJ960" s="188"/>
      <c r="AK960" s="188"/>
      <c r="AL960" s="188"/>
      <c r="AM960" s="188"/>
      <c r="AN960" s="188"/>
      <c r="AO960" s="299"/>
      <c r="CF960" s="294"/>
      <c r="CG960" s="294"/>
      <c r="CH960" s="294"/>
      <c r="CI960" s="294"/>
      <c r="CJ960" s="294"/>
      <c r="CK960" s="294"/>
      <c r="CL960" s="294"/>
      <c r="CM960" s="294"/>
      <c r="CN960" s="294"/>
    </row>
    <row r="961" spans="2:92" ht="13">
      <c r="B961" s="294"/>
      <c r="F961" s="302"/>
      <c r="J961" s="302"/>
      <c r="AI961" s="188"/>
      <c r="AJ961" s="188"/>
      <c r="AK961" s="188"/>
      <c r="AL961" s="188"/>
      <c r="AM961" s="188"/>
      <c r="AN961" s="188"/>
      <c r="AO961" s="299"/>
      <c r="CF961" s="294"/>
      <c r="CG961" s="294"/>
      <c r="CH961" s="294"/>
      <c r="CI961" s="294"/>
      <c r="CJ961" s="294"/>
      <c r="CK961" s="294"/>
      <c r="CL961" s="294"/>
      <c r="CM961" s="294"/>
      <c r="CN961" s="294"/>
    </row>
    <row r="962" spans="2:92" ht="13">
      <c r="B962" s="294"/>
      <c r="F962" s="302"/>
      <c r="J962" s="302"/>
      <c r="AI962" s="188"/>
      <c r="AJ962" s="188"/>
      <c r="AK962" s="188"/>
      <c r="AL962" s="188"/>
      <c r="AM962" s="188"/>
      <c r="AN962" s="188"/>
      <c r="AO962" s="299"/>
      <c r="CF962" s="294"/>
      <c r="CG962" s="294"/>
      <c r="CH962" s="294"/>
      <c r="CI962" s="294"/>
      <c r="CJ962" s="294"/>
      <c r="CK962" s="294"/>
      <c r="CL962" s="294"/>
      <c r="CM962" s="294"/>
      <c r="CN962" s="294"/>
    </row>
    <row r="963" spans="2:92" ht="13">
      <c r="B963" s="294"/>
      <c r="F963" s="302"/>
      <c r="J963" s="302"/>
      <c r="AI963" s="188"/>
      <c r="AJ963" s="188"/>
      <c r="AK963" s="188"/>
      <c r="AL963" s="188"/>
      <c r="AM963" s="188"/>
      <c r="AN963" s="188"/>
      <c r="AO963" s="299"/>
      <c r="CF963" s="294"/>
      <c r="CG963" s="294"/>
      <c r="CH963" s="294"/>
      <c r="CI963" s="294"/>
      <c r="CJ963" s="294"/>
      <c r="CK963" s="294"/>
      <c r="CL963" s="294"/>
      <c r="CM963" s="294"/>
      <c r="CN963" s="294"/>
    </row>
    <row r="964" spans="2:92" ht="13">
      <c r="B964" s="294"/>
      <c r="F964" s="302"/>
      <c r="J964" s="302"/>
      <c r="AI964" s="188"/>
      <c r="AJ964" s="188"/>
      <c r="AK964" s="188"/>
      <c r="AL964" s="188"/>
      <c r="AM964" s="188"/>
      <c r="AN964" s="188"/>
      <c r="AO964" s="299"/>
      <c r="CF964" s="294"/>
      <c r="CG964" s="294"/>
      <c r="CH964" s="294"/>
      <c r="CI964" s="294"/>
      <c r="CJ964" s="294"/>
      <c r="CK964" s="294"/>
      <c r="CL964" s="294"/>
      <c r="CM964" s="294"/>
      <c r="CN964" s="294"/>
    </row>
    <row r="965" spans="2:92" ht="13">
      <c r="B965" s="294"/>
      <c r="F965" s="302"/>
      <c r="J965" s="302"/>
      <c r="AI965" s="188"/>
      <c r="AJ965" s="188"/>
      <c r="AK965" s="188"/>
      <c r="AL965" s="188"/>
      <c r="AM965" s="188"/>
      <c r="AN965" s="188"/>
      <c r="AO965" s="299"/>
      <c r="CF965" s="294"/>
      <c r="CG965" s="294"/>
      <c r="CH965" s="294"/>
      <c r="CI965" s="294"/>
      <c r="CJ965" s="294"/>
      <c r="CK965" s="294"/>
      <c r="CL965" s="294"/>
      <c r="CM965" s="294"/>
      <c r="CN965" s="294"/>
    </row>
    <row r="966" spans="2:92" ht="13">
      <c r="B966" s="294"/>
      <c r="F966" s="302"/>
      <c r="J966" s="302"/>
      <c r="AI966" s="188"/>
      <c r="AJ966" s="188"/>
      <c r="AK966" s="188"/>
      <c r="AL966" s="188"/>
      <c r="AM966" s="188"/>
      <c r="AN966" s="188"/>
      <c r="AO966" s="299"/>
      <c r="CF966" s="294"/>
      <c r="CG966" s="294"/>
      <c r="CH966" s="294"/>
      <c r="CI966" s="294"/>
      <c r="CJ966" s="294"/>
      <c r="CK966" s="294"/>
      <c r="CL966" s="294"/>
      <c r="CM966" s="294"/>
      <c r="CN966" s="294"/>
    </row>
    <row r="967" spans="2:92" ht="13">
      <c r="B967" s="294"/>
      <c r="F967" s="302"/>
      <c r="J967" s="302"/>
      <c r="AI967" s="188"/>
      <c r="AJ967" s="188"/>
      <c r="AK967" s="188"/>
      <c r="AL967" s="188"/>
      <c r="AM967" s="188"/>
      <c r="AN967" s="188"/>
      <c r="AO967" s="299"/>
      <c r="CF967" s="294"/>
      <c r="CG967" s="294"/>
      <c r="CH967" s="294"/>
      <c r="CI967" s="294"/>
      <c r="CJ967" s="294"/>
      <c r="CK967" s="294"/>
      <c r="CL967" s="294"/>
      <c r="CM967" s="294"/>
      <c r="CN967" s="294"/>
    </row>
    <row r="968" spans="2:92" ht="13">
      <c r="B968" s="294"/>
      <c r="F968" s="302"/>
      <c r="J968" s="302"/>
      <c r="AI968" s="188"/>
      <c r="AJ968" s="188"/>
      <c r="AK968" s="188"/>
      <c r="AL968" s="188"/>
      <c r="AM968" s="188"/>
      <c r="AN968" s="188"/>
      <c r="AO968" s="299"/>
      <c r="CF968" s="294"/>
      <c r="CG968" s="294"/>
      <c r="CH968" s="294"/>
      <c r="CI968" s="294"/>
      <c r="CJ968" s="294"/>
      <c r="CK968" s="294"/>
      <c r="CL968" s="294"/>
      <c r="CM968" s="294"/>
      <c r="CN968" s="294"/>
    </row>
    <row r="969" spans="2:92" ht="13">
      <c r="B969" s="294"/>
      <c r="F969" s="302"/>
      <c r="J969" s="302"/>
      <c r="AI969" s="188"/>
      <c r="AJ969" s="188"/>
      <c r="AK969" s="188"/>
      <c r="AL969" s="188"/>
      <c r="AM969" s="188"/>
      <c r="AN969" s="188"/>
      <c r="AO969" s="299"/>
      <c r="CF969" s="294"/>
      <c r="CG969" s="294"/>
      <c r="CH969" s="294"/>
      <c r="CI969" s="294"/>
      <c r="CJ969" s="294"/>
      <c r="CK969" s="294"/>
      <c r="CL969" s="294"/>
      <c r="CM969" s="294"/>
      <c r="CN969" s="294"/>
    </row>
    <row r="970" spans="2:92" ht="13">
      <c r="B970" s="294"/>
      <c r="F970" s="302"/>
      <c r="J970" s="302"/>
      <c r="AI970" s="188"/>
      <c r="AJ970" s="188"/>
      <c r="AK970" s="188"/>
      <c r="AL970" s="188"/>
      <c r="AM970" s="188"/>
      <c r="AN970" s="188"/>
      <c r="AO970" s="299"/>
      <c r="CF970" s="294"/>
      <c r="CG970" s="294"/>
      <c r="CH970" s="294"/>
      <c r="CI970" s="294"/>
      <c r="CJ970" s="294"/>
      <c r="CK970" s="294"/>
      <c r="CL970" s="294"/>
      <c r="CM970" s="294"/>
      <c r="CN970" s="294"/>
    </row>
    <row r="971" spans="2:92" ht="13">
      <c r="B971" s="294"/>
      <c r="F971" s="302"/>
      <c r="J971" s="302"/>
      <c r="AI971" s="188"/>
      <c r="AJ971" s="188"/>
      <c r="AK971" s="188"/>
      <c r="AL971" s="188"/>
      <c r="AM971" s="188"/>
      <c r="AN971" s="188"/>
      <c r="AO971" s="299"/>
      <c r="CF971" s="294"/>
      <c r="CG971" s="294"/>
      <c r="CH971" s="294"/>
      <c r="CI971" s="294"/>
      <c r="CJ971" s="294"/>
      <c r="CK971" s="294"/>
      <c r="CL971" s="294"/>
      <c r="CM971" s="294"/>
      <c r="CN971" s="294"/>
    </row>
    <row r="972" spans="2:92" ht="13">
      <c r="B972" s="294"/>
      <c r="F972" s="302"/>
      <c r="J972" s="302"/>
      <c r="AI972" s="188"/>
      <c r="AJ972" s="188"/>
      <c r="AK972" s="188"/>
      <c r="AL972" s="188"/>
      <c r="AM972" s="188"/>
      <c r="AN972" s="188"/>
      <c r="AO972" s="299"/>
      <c r="CF972" s="294"/>
      <c r="CG972" s="294"/>
      <c r="CH972" s="294"/>
      <c r="CI972" s="294"/>
      <c r="CJ972" s="294"/>
      <c r="CK972" s="294"/>
      <c r="CL972" s="294"/>
      <c r="CM972" s="294"/>
      <c r="CN972" s="294"/>
    </row>
    <row r="973" spans="2:92" ht="13">
      <c r="B973" s="294"/>
      <c r="F973" s="302"/>
      <c r="J973" s="302"/>
      <c r="AI973" s="188"/>
      <c r="AJ973" s="188"/>
      <c r="AK973" s="188"/>
      <c r="AL973" s="188"/>
      <c r="AM973" s="188"/>
      <c r="AN973" s="188"/>
      <c r="AO973" s="299"/>
      <c r="CF973" s="294"/>
      <c r="CG973" s="294"/>
      <c r="CH973" s="294"/>
      <c r="CI973" s="294"/>
      <c r="CJ973" s="294"/>
      <c r="CK973" s="294"/>
      <c r="CL973" s="294"/>
      <c r="CM973" s="294"/>
      <c r="CN973" s="294"/>
    </row>
    <row r="974" spans="2:92" ht="13">
      <c r="B974" s="294"/>
      <c r="F974" s="302"/>
      <c r="J974" s="302"/>
      <c r="AI974" s="188"/>
      <c r="AJ974" s="188"/>
      <c r="AK974" s="188"/>
      <c r="AL974" s="188"/>
      <c r="AM974" s="188"/>
      <c r="AN974" s="188"/>
      <c r="AO974" s="299"/>
      <c r="CF974" s="294"/>
      <c r="CG974" s="294"/>
      <c r="CH974" s="294"/>
      <c r="CI974" s="294"/>
      <c r="CJ974" s="294"/>
      <c r="CK974" s="294"/>
      <c r="CL974" s="294"/>
      <c r="CM974" s="294"/>
      <c r="CN974" s="294"/>
    </row>
    <row r="975" spans="2:92" ht="13">
      <c r="B975" s="294"/>
      <c r="F975" s="302"/>
      <c r="J975" s="302"/>
      <c r="AI975" s="188"/>
      <c r="AJ975" s="188"/>
      <c r="AK975" s="188"/>
      <c r="AL975" s="188"/>
      <c r="AM975" s="188"/>
      <c r="AN975" s="188"/>
      <c r="AO975" s="299"/>
      <c r="CF975" s="294"/>
      <c r="CG975" s="294"/>
      <c r="CH975" s="294"/>
      <c r="CI975" s="294"/>
      <c r="CJ975" s="294"/>
      <c r="CK975" s="294"/>
      <c r="CL975" s="294"/>
      <c r="CM975" s="294"/>
      <c r="CN975" s="294"/>
    </row>
    <row r="976" spans="2:92" ht="13">
      <c r="B976" s="294"/>
      <c r="F976" s="302"/>
      <c r="J976" s="302"/>
      <c r="AI976" s="188"/>
      <c r="AJ976" s="188"/>
      <c r="AK976" s="188"/>
      <c r="AL976" s="188"/>
      <c r="AM976" s="188"/>
      <c r="AN976" s="188"/>
      <c r="AO976" s="299"/>
      <c r="CF976" s="294"/>
      <c r="CG976" s="294"/>
      <c r="CH976" s="294"/>
      <c r="CI976" s="294"/>
      <c r="CJ976" s="294"/>
      <c r="CK976" s="294"/>
      <c r="CL976" s="294"/>
      <c r="CM976" s="294"/>
      <c r="CN976" s="294"/>
    </row>
    <row r="977" spans="2:92" ht="13">
      <c r="B977" s="294"/>
      <c r="F977" s="302"/>
      <c r="J977" s="302"/>
      <c r="AI977" s="188"/>
      <c r="AJ977" s="188"/>
      <c r="AK977" s="188"/>
      <c r="AL977" s="188"/>
      <c r="AM977" s="188"/>
      <c r="AN977" s="188"/>
      <c r="AO977" s="299"/>
      <c r="CF977" s="294"/>
      <c r="CG977" s="294"/>
      <c r="CH977" s="294"/>
      <c r="CI977" s="294"/>
      <c r="CJ977" s="294"/>
      <c r="CK977" s="294"/>
      <c r="CL977" s="294"/>
      <c r="CM977" s="294"/>
      <c r="CN977" s="294"/>
    </row>
    <row r="978" spans="2:92" ht="13">
      <c r="B978" s="294"/>
      <c r="F978" s="302"/>
      <c r="J978" s="302"/>
      <c r="AI978" s="188"/>
      <c r="AJ978" s="188"/>
      <c r="AK978" s="188"/>
      <c r="AL978" s="188"/>
      <c r="AM978" s="188"/>
      <c r="AN978" s="188"/>
      <c r="AO978" s="299"/>
      <c r="CF978" s="294"/>
      <c r="CG978" s="294"/>
      <c r="CH978" s="294"/>
      <c r="CI978" s="294"/>
      <c r="CJ978" s="294"/>
      <c r="CK978" s="294"/>
      <c r="CL978" s="294"/>
      <c r="CM978" s="294"/>
      <c r="CN978" s="294"/>
    </row>
    <row r="979" spans="2:92" ht="13">
      <c r="B979" s="294"/>
      <c r="F979" s="302"/>
      <c r="J979" s="302"/>
      <c r="AI979" s="188"/>
      <c r="AJ979" s="188"/>
      <c r="AK979" s="188"/>
      <c r="AL979" s="188"/>
      <c r="AM979" s="188"/>
      <c r="AN979" s="188"/>
      <c r="AO979" s="299"/>
      <c r="CF979" s="294"/>
      <c r="CG979" s="294"/>
      <c r="CH979" s="294"/>
      <c r="CI979" s="294"/>
      <c r="CJ979" s="294"/>
      <c r="CK979" s="294"/>
      <c r="CL979" s="294"/>
      <c r="CM979" s="294"/>
      <c r="CN979" s="294"/>
    </row>
    <row r="980" spans="2:92" ht="13">
      <c r="B980" s="294"/>
      <c r="F980" s="302"/>
      <c r="J980" s="302"/>
      <c r="AI980" s="188"/>
      <c r="AJ980" s="188"/>
      <c r="AK980" s="188"/>
      <c r="AL980" s="188"/>
      <c r="AM980" s="188"/>
      <c r="AN980" s="188"/>
      <c r="AO980" s="299"/>
      <c r="CF980" s="294"/>
      <c r="CG980" s="294"/>
      <c r="CH980" s="294"/>
      <c r="CI980" s="294"/>
      <c r="CJ980" s="294"/>
      <c r="CK980" s="294"/>
      <c r="CL980" s="294"/>
      <c r="CM980" s="294"/>
      <c r="CN980" s="294"/>
    </row>
    <row r="981" spans="2:92" ht="13">
      <c r="B981" s="294"/>
      <c r="F981" s="302"/>
      <c r="J981" s="302"/>
      <c r="AI981" s="188"/>
      <c r="AJ981" s="188"/>
      <c r="AK981" s="188"/>
      <c r="AL981" s="188"/>
      <c r="AM981" s="188"/>
      <c r="AN981" s="188"/>
      <c r="AO981" s="299"/>
      <c r="CF981" s="294"/>
      <c r="CG981" s="294"/>
      <c r="CH981" s="294"/>
      <c r="CI981" s="294"/>
      <c r="CJ981" s="294"/>
      <c r="CK981" s="294"/>
      <c r="CL981" s="294"/>
      <c r="CM981" s="294"/>
      <c r="CN981" s="294"/>
    </row>
    <row r="982" spans="2:92" ht="13">
      <c r="B982" s="294"/>
      <c r="F982" s="302"/>
      <c r="J982" s="302"/>
      <c r="AI982" s="188"/>
      <c r="AJ982" s="188"/>
      <c r="AK982" s="188"/>
      <c r="AL982" s="188"/>
      <c r="AM982" s="188"/>
      <c r="AN982" s="188"/>
      <c r="AO982" s="299"/>
      <c r="CF982" s="294"/>
      <c r="CG982" s="294"/>
      <c r="CH982" s="294"/>
      <c r="CI982" s="294"/>
      <c r="CJ982" s="294"/>
      <c r="CK982" s="294"/>
      <c r="CL982" s="294"/>
      <c r="CM982" s="294"/>
      <c r="CN982" s="294"/>
    </row>
    <row r="983" spans="2:92" ht="13">
      <c r="B983" s="294"/>
      <c r="F983" s="302"/>
      <c r="J983" s="302"/>
      <c r="AI983" s="188"/>
      <c r="AJ983" s="188"/>
      <c r="AK983" s="188"/>
      <c r="AL983" s="188"/>
      <c r="AM983" s="188"/>
      <c r="AN983" s="188"/>
      <c r="AO983" s="299"/>
      <c r="CF983" s="294"/>
      <c r="CG983" s="294"/>
      <c r="CH983" s="294"/>
      <c r="CI983" s="294"/>
      <c r="CJ983" s="294"/>
      <c r="CK983" s="294"/>
      <c r="CL983" s="294"/>
      <c r="CM983" s="294"/>
      <c r="CN983" s="294"/>
    </row>
    <row r="984" spans="2:92" ht="13">
      <c r="B984" s="294"/>
      <c r="F984" s="302"/>
      <c r="J984" s="302"/>
      <c r="AI984" s="188"/>
      <c r="AJ984" s="188"/>
      <c r="AK984" s="188"/>
      <c r="AL984" s="188"/>
      <c r="AM984" s="188"/>
      <c r="AN984" s="188"/>
      <c r="AO984" s="299"/>
      <c r="CF984" s="294"/>
      <c r="CG984" s="294"/>
      <c r="CH984" s="294"/>
      <c r="CI984" s="294"/>
      <c r="CJ984" s="294"/>
      <c r="CK984" s="294"/>
      <c r="CL984" s="294"/>
      <c r="CM984" s="294"/>
      <c r="CN984" s="294"/>
    </row>
    <row r="985" spans="2:92" ht="13">
      <c r="B985" s="294"/>
      <c r="F985" s="302"/>
      <c r="J985" s="302"/>
      <c r="AI985" s="188"/>
      <c r="AJ985" s="188"/>
      <c r="AK985" s="188"/>
      <c r="AL985" s="188"/>
      <c r="AM985" s="188"/>
      <c r="AN985" s="188"/>
      <c r="AO985" s="299"/>
      <c r="CF985" s="294"/>
      <c r="CG985" s="294"/>
      <c r="CH985" s="294"/>
      <c r="CI985" s="294"/>
      <c r="CJ985" s="294"/>
      <c r="CK985" s="294"/>
      <c r="CL985" s="294"/>
      <c r="CM985" s="294"/>
      <c r="CN985" s="294"/>
    </row>
    <row r="986" spans="2:92" ht="13">
      <c r="B986" s="294"/>
      <c r="F986" s="302"/>
      <c r="J986" s="302"/>
      <c r="AI986" s="188"/>
      <c r="AJ986" s="188"/>
      <c r="AK986" s="188"/>
      <c r="AL986" s="188"/>
      <c r="AM986" s="188"/>
      <c r="AN986" s="188"/>
      <c r="AO986" s="299"/>
      <c r="CF986" s="294"/>
      <c r="CG986" s="294"/>
      <c r="CH986" s="294"/>
      <c r="CI986" s="294"/>
      <c r="CJ986" s="294"/>
      <c r="CK986" s="294"/>
      <c r="CL986" s="294"/>
      <c r="CM986" s="294"/>
      <c r="CN986" s="294"/>
    </row>
    <row r="987" spans="2:92" ht="13">
      <c r="B987" s="294"/>
      <c r="F987" s="302"/>
      <c r="J987" s="302"/>
      <c r="AI987" s="188"/>
      <c r="AJ987" s="188"/>
      <c r="AK987" s="188"/>
      <c r="AL987" s="188"/>
      <c r="AM987" s="188"/>
      <c r="AN987" s="188"/>
      <c r="AO987" s="299"/>
      <c r="CF987" s="294"/>
      <c r="CG987" s="294"/>
      <c r="CH987" s="294"/>
      <c r="CI987" s="294"/>
      <c r="CJ987" s="294"/>
      <c r="CK987" s="294"/>
      <c r="CL987" s="294"/>
      <c r="CM987" s="294"/>
      <c r="CN987" s="294"/>
    </row>
    <row r="988" spans="2:92" ht="13">
      <c r="B988" s="294"/>
      <c r="F988" s="302"/>
      <c r="J988" s="302"/>
      <c r="AI988" s="188"/>
      <c r="AJ988" s="188"/>
      <c r="AK988" s="188"/>
      <c r="AL988" s="188"/>
      <c r="AM988" s="188"/>
      <c r="AN988" s="188"/>
      <c r="AO988" s="299"/>
      <c r="CF988" s="294"/>
      <c r="CG988" s="294"/>
      <c r="CH988" s="294"/>
      <c r="CI988" s="294"/>
      <c r="CJ988" s="294"/>
      <c r="CK988" s="294"/>
      <c r="CL988" s="294"/>
      <c r="CM988" s="294"/>
      <c r="CN988" s="294"/>
    </row>
    <row r="989" spans="2:92" ht="13">
      <c r="B989" s="294"/>
      <c r="F989" s="302"/>
      <c r="J989" s="302"/>
      <c r="AI989" s="188"/>
      <c r="AJ989" s="188"/>
      <c r="AK989" s="188"/>
      <c r="AL989" s="188"/>
      <c r="AM989" s="188"/>
      <c r="AN989" s="188"/>
      <c r="AO989" s="299"/>
      <c r="CF989" s="294"/>
      <c r="CG989" s="294"/>
      <c r="CH989" s="294"/>
      <c r="CI989" s="294"/>
      <c r="CJ989" s="294"/>
      <c r="CK989" s="294"/>
      <c r="CL989" s="294"/>
      <c r="CM989" s="294"/>
      <c r="CN989" s="294"/>
    </row>
    <row r="990" spans="2:92" ht="13">
      <c r="B990" s="294"/>
      <c r="F990" s="302"/>
      <c r="J990" s="302"/>
      <c r="AI990" s="188"/>
      <c r="AJ990" s="188"/>
      <c r="AK990" s="188"/>
      <c r="AL990" s="188"/>
      <c r="AM990" s="188"/>
      <c r="AN990" s="188"/>
      <c r="AO990" s="299"/>
      <c r="CF990" s="294"/>
      <c r="CG990" s="294"/>
      <c r="CH990" s="294"/>
      <c r="CI990" s="294"/>
      <c r="CJ990" s="294"/>
      <c r="CK990" s="294"/>
      <c r="CL990" s="294"/>
      <c r="CM990" s="294"/>
      <c r="CN990" s="294"/>
    </row>
    <row r="991" spans="2:92" ht="13">
      <c r="B991" s="294"/>
      <c r="F991" s="302"/>
      <c r="J991" s="302"/>
      <c r="AI991" s="188"/>
      <c r="AJ991" s="188"/>
      <c r="AK991" s="188"/>
      <c r="AL991" s="188"/>
      <c r="AM991" s="188"/>
      <c r="AN991" s="188"/>
      <c r="AO991" s="299"/>
      <c r="CF991" s="294"/>
      <c r="CG991" s="294"/>
      <c r="CH991" s="294"/>
      <c r="CI991" s="294"/>
      <c r="CJ991" s="294"/>
      <c r="CK991" s="294"/>
      <c r="CL991" s="294"/>
      <c r="CM991" s="294"/>
      <c r="CN991" s="294"/>
    </row>
    <row r="992" spans="2:92" ht="13">
      <c r="B992" s="294"/>
      <c r="F992" s="302"/>
      <c r="J992" s="302"/>
      <c r="AI992" s="188"/>
      <c r="AJ992" s="188"/>
      <c r="AK992" s="188"/>
      <c r="AL992" s="188"/>
      <c r="AM992" s="188"/>
      <c r="AN992" s="188"/>
      <c r="AO992" s="299"/>
      <c r="CF992" s="294"/>
      <c r="CG992" s="294"/>
      <c r="CH992" s="294"/>
      <c r="CI992" s="294"/>
      <c r="CJ992" s="294"/>
      <c r="CK992" s="294"/>
      <c r="CL992" s="294"/>
      <c r="CM992" s="294"/>
      <c r="CN992" s="294"/>
    </row>
    <row r="993" spans="2:92" ht="13">
      <c r="B993" s="294"/>
      <c r="F993" s="302"/>
      <c r="J993" s="302"/>
      <c r="AI993" s="188"/>
      <c r="AJ993" s="188"/>
      <c r="AK993" s="188"/>
      <c r="AL993" s="188"/>
      <c r="AM993" s="188"/>
      <c r="AN993" s="188"/>
      <c r="AO993" s="299"/>
      <c r="CF993" s="294"/>
      <c r="CG993" s="294"/>
      <c r="CH993" s="294"/>
      <c r="CI993" s="294"/>
      <c r="CJ993" s="294"/>
      <c r="CK993" s="294"/>
      <c r="CL993" s="294"/>
      <c r="CM993" s="294"/>
      <c r="CN993" s="294"/>
    </row>
    <row r="994" spans="2:92" ht="13">
      <c r="B994" s="294"/>
      <c r="F994" s="302"/>
      <c r="J994" s="302"/>
      <c r="AI994" s="188"/>
      <c r="AJ994" s="188"/>
      <c r="AK994" s="188"/>
      <c r="AL994" s="188"/>
      <c r="AM994" s="188"/>
      <c r="AN994" s="188"/>
      <c r="AO994" s="299"/>
      <c r="CF994" s="294"/>
      <c r="CG994" s="294"/>
      <c r="CH994" s="294"/>
      <c r="CI994" s="294"/>
      <c r="CJ994" s="294"/>
      <c r="CK994" s="294"/>
      <c r="CL994" s="294"/>
      <c r="CM994" s="294"/>
      <c r="CN994" s="294"/>
    </row>
    <row r="995" spans="2:92" ht="13">
      <c r="B995" s="294"/>
      <c r="F995" s="302"/>
      <c r="J995" s="302"/>
      <c r="AI995" s="188"/>
      <c r="AJ995" s="188"/>
      <c r="AK995" s="188"/>
      <c r="AL995" s="188"/>
      <c r="AM995" s="188"/>
      <c r="AN995" s="188"/>
      <c r="AO995" s="299"/>
      <c r="CF995" s="294"/>
      <c r="CG995" s="294"/>
      <c r="CH995" s="294"/>
      <c r="CI995" s="294"/>
      <c r="CJ995" s="294"/>
      <c r="CK995" s="294"/>
      <c r="CL995" s="294"/>
      <c r="CM995" s="294"/>
      <c r="CN995" s="294"/>
    </row>
    <row r="996" spans="2:92" ht="13">
      <c r="B996" s="294"/>
      <c r="F996" s="302"/>
      <c r="J996" s="302"/>
      <c r="AI996" s="188"/>
      <c r="AJ996" s="188"/>
      <c r="AK996" s="188"/>
      <c r="AL996" s="188"/>
      <c r="AM996" s="188"/>
      <c r="AN996" s="188"/>
      <c r="AO996" s="299"/>
      <c r="CF996" s="294"/>
      <c r="CG996" s="294"/>
      <c r="CH996" s="294"/>
      <c r="CI996" s="294"/>
      <c r="CJ996" s="294"/>
      <c r="CK996" s="294"/>
      <c r="CL996" s="294"/>
      <c r="CM996" s="294"/>
      <c r="CN996" s="294"/>
    </row>
    <row r="997" spans="2:92" ht="13">
      <c r="B997" s="294"/>
      <c r="F997" s="302"/>
      <c r="J997" s="302"/>
      <c r="AI997" s="188"/>
      <c r="AJ997" s="188"/>
      <c r="AK997" s="188"/>
      <c r="AL997" s="188"/>
      <c r="AM997" s="188"/>
      <c r="AN997" s="188"/>
      <c r="AO997" s="299"/>
      <c r="CF997" s="294"/>
      <c r="CG997" s="294"/>
      <c r="CH997" s="294"/>
      <c r="CI997" s="294"/>
      <c r="CJ997" s="294"/>
      <c r="CK997" s="294"/>
      <c r="CL997" s="294"/>
      <c r="CM997" s="294"/>
      <c r="CN997" s="294"/>
    </row>
    <row r="998" spans="2:92" ht="13">
      <c r="B998" s="294"/>
      <c r="F998" s="302"/>
      <c r="J998" s="302"/>
      <c r="AI998" s="188"/>
      <c r="AJ998" s="188"/>
      <c r="AK998" s="188"/>
      <c r="AL998" s="188"/>
      <c r="AM998" s="188"/>
      <c r="AN998" s="188"/>
      <c r="AO998" s="299"/>
      <c r="CF998" s="294"/>
      <c r="CG998" s="294"/>
      <c r="CH998" s="294"/>
      <c r="CI998" s="294"/>
      <c r="CJ998" s="294"/>
      <c r="CK998" s="294"/>
      <c r="CL998" s="294"/>
      <c r="CM998" s="294"/>
      <c r="CN998" s="294"/>
    </row>
    <row r="999" spans="2:92" ht="13">
      <c r="B999" s="294"/>
      <c r="F999" s="302"/>
      <c r="J999" s="302"/>
      <c r="AI999" s="188"/>
      <c r="AJ999" s="188"/>
      <c r="AK999" s="188"/>
      <c r="AL999" s="188"/>
      <c r="AM999" s="188"/>
      <c r="AN999" s="188"/>
      <c r="AO999" s="299"/>
      <c r="CF999" s="294"/>
      <c r="CG999" s="294"/>
      <c r="CH999" s="294"/>
      <c r="CI999" s="294"/>
      <c r="CJ999" s="294"/>
      <c r="CK999" s="294"/>
      <c r="CL999" s="294"/>
      <c r="CM999" s="294"/>
      <c r="CN999" s="294"/>
    </row>
    <row r="1000" spans="2:92" ht="13">
      <c r="B1000" s="294"/>
      <c r="F1000" s="302"/>
      <c r="J1000" s="302"/>
      <c r="AI1000" s="188"/>
      <c r="AJ1000" s="188"/>
      <c r="AK1000" s="188"/>
      <c r="AL1000" s="188"/>
      <c r="AM1000" s="188"/>
      <c r="AN1000" s="188"/>
      <c r="AO1000" s="299"/>
      <c r="CF1000" s="294"/>
      <c r="CG1000" s="294"/>
      <c r="CH1000" s="294"/>
      <c r="CI1000" s="294"/>
      <c r="CJ1000" s="294"/>
      <c r="CK1000" s="294"/>
      <c r="CL1000" s="294"/>
      <c r="CM1000" s="294"/>
      <c r="CN1000" s="294"/>
    </row>
    <row r="1001" spans="2:92" ht="13">
      <c r="B1001" s="294"/>
      <c r="F1001" s="302"/>
      <c r="J1001" s="302"/>
      <c r="AI1001" s="188"/>
      <c r="AJ1001" s="188"/>
      <c r="AK1001" s="188"/>
      <c r="AL1001" s="188"/>
      <c r="AM1001" s="188"/>
      <c r="AN1001" s="188"/>
      <c r="AO1001" s="299"/>
      <c r="CF1001" s="294"/>
      <c r="CG1001" s="294"/>
      <c r="CH1001" s="294"/>
      <c r="CI1001" s="294"/>
      <c r="CJ1001" s="294"/>
      <c r="CK1001" s="294"/>
      <c r="CL1001" s="294"/>
      <c r="CM1001" s="294"/>
      <c r="CN1001" s="294"/>
    </row>
    <row r="1002" spans="2:92" ht="13">
      <c r="B1002" s="294"/>
      <c r="F1002" s="302"/>
      <c r="J1002" s="302"/>
      <c r="AI1002" s="188"/>
      <c r="AJ1002" s="188"/>
      <c r="AK1002" s="188"/>
      <c r="AL1002" s="188"/>
      <c r="AM1002" s="188"/>
      <c r="AN1002" s="188"/>
      <c r="AO1002" s="299"/>
      <c r="CF1002" s="294"/>
      <c r="CG1002" s="294"/>
      <c r="CH1002" s="294"/>
      <c r="CI1002" s="294"/>
      <c r="CJ1002" s="294"/>
      <c r="CK1002" s="294"/>
      <c r="CL1002" s="294"/>
      <c r="CM1002" s="294"/>
      <c r="CN1002" s="294"/>
    </row>
    <row r="1003" spans="2:92" ht="13">
      <c r="B1003" s="294"/>
      <c r="F1003" s="302"/>
      <c r="J1003" s="302"/>
      <c r="AI1003" s="188"/>
      <c r="AJ1003" s="188"/>
      <c r="AK1003" s="188"/>
      <c r="AL1003" s="188"/>
      <c r="AM1003" s="188"/>
      <c r="AN1003" s="188"/>
      <c r="AO1003" s="299"/>
      <c r="CF1003" s="294"/>
      <c r="CG1003" s="294"/>
      <c r="CH1003" s="294"/>
      <c r="CI1003" s="294"/>
      <c r="CJ1003" s="294"/>
      <c r="CK1003" s="294"/>
      <c r="CL1003" s="294"/>
      <c r="CM1003" s="294"/>
      <c r="CN1003" s="294"/>
    </row>
    <row r="1004" spans="2:92" ht="13">
      <c r="B1004" s="294"/>
      <c r="F1004" s="302"/>
      <c r="J1004" s="302"/>
      <c r="AI1004" s="188"/>
      <c r="AJ1004" s="188"/>
      <c r="AK1004" s="188"/>
      <c r="AL1004" s="188"/>
      <c r="AM1004" s="188"/>
      <c r="AN1004" s="188"/>
      <c r="AO1004" s="299"/>
      <c r="CF1004" s="294"/>
      <c r="CG1004" s="294"/>
      <c r="CH1004" s="294"/>
      <c r="CI1004" s="294"/>
      <c r="CJ1004" s="294"/>
      <c r="CK1004" s="294"/>
      <c r="CL1004" s="294"/>
      <c r="CM1004" s="294"/>
      <c r="CN1004" s="294"/>
    </row>
    <row r="1005" spans="2:92" ht="13">
      <c r="B1005" s="294"/>
      <c r="F1005" s="302"/>
      <c r="J1005" s="302"/>
      <c r="AI1005" s="188"/>
      <c r="AJ1005" s="188"/>
      <c r="AK1005" s="188"/>
      <c r="AL1005" s="188"/>
      <c r="AM1005" s="188"/>
      <c r="AN1005" s="188"/>
      <c r="AO1005" s="299"/>
      <c r="CF1005" s="294"/>
      <c r="CG1005" s="294"/>
      <c r="CH1005" s="294"/>
      <c r="CI1005" s="294"/>
      <c r="CJ1005" s="294"/>
      <c r="CK1005" s="294"/>
      <c r="CL1005" s="294"/>
      <c r="CM1005" s="294"/>
      <c r="CN1005" s="294"/>
    </row>
    <row r="1006" spans="2:92" ht="13">
      <c r="B1006" s="294"/>
      <c r="F1006" s="302"/>
      <c r="J1006" s="302"/>
      <c r="AI1006" s="188"/>
      <c r="AJ1006" s="188"/>
      <c r="AK1006" s="188"/>
      <c r="AL1006" s="188"/>
      <c r="AM1006" s="188"/>
      <c r="AN1006" s="188"/>
      <c r="AO1006" s="299"/>
      <c r="CF1006" s="294"/>
      <c r="CG1006" s="294"/>
      <c r="CH1006" s="294"/>
      <c r="CI1006" s="294"/>
      <c r="CJ1006" s="294"/>
      <c r="CK1006" s="294"/>
      <c r="CL1006" s="294"/>
      <c r="CM1006" s="294"/>
      <c r="CN1006" s="294"/>
    </row>
    <row r="1007" spans="2:92" ht="13">
      <c r="B1007" s="294"/>
      <c r="F1007" s="302"/>
      <c r="J1007" s="302"/>
      <c r="AI1007" s="188"/>
      <c r="AJ1007" s="188"/>
      <c r="AK1007" s="188"/>
      <c r="AL1007" s="188"/>
      <c r="AM1007" s="188"/>
      <c r="AN1007" s="188"/>
      <c r="AO1007" s="299"/>
      <c r="CF1007" s="294"/>
      <c r="CG1007" s="294"/>
      <c r="CH1007" s="294"/>
      <c r="CI1007" s="294"/>
      <c r="CJ1007" s="294"/>
      <c r="CK1007" s="294"/>
      <c r="CL1007" s="294"/>
      <c r="CM1007" s="294"/>
      <c r="CN1007" s="294"/>
    </row>
    <row r="1008" spans="2:92" ht="13">
      <c r="B1008" s="294"/>
      <c r="F1008" s="302"/>
      <c r="J1008" s="302"/>
      <c r="AI1008" s="188"/>
      <c r="AJ1008" s="188"/>
      <c r="AK1008" s="188"/>
      <c r="AL1008" s="188"/>
      <c r="AM1008" s="188"/>
      <c r="AN1008" s="188"/>
      <c r="AO1008" s="299"/>
      <c r="CF1008" s="294"/>
      <c r="CG1008" s="294"/>
      <c r="CH1008" s="294"/>
      <c r="CI1008" s="294"/>
      <c r="CJ1008" s="294"/>
      <c r="CK1008" s="294"/>
      <c r="CL1008" s="294"/>
      <c r="CM1008" s="294"/>
      <c r="CN1008" s="294"/>
    </row>
    <row r="1009" spans="2:92" ht="13">
      <c r="B1009" s="294"/>
      <c r="F1009" s="302"/>
      <c r="J1009" s="302"/>
      <c r="AI1009" s="188"/>
      <c r="AJ1009" s="188"/>
      <c r="AK1009" s="188"/>
      <c r="AL1009" s="188"/>
      <c r="AM1009" s="188"/>
      <c r="AN1009" s="188"/>
      <c r="AO1009" s="299"/>
      <c r="CF1009" s="294"/>
      <c r="CG1009" s="294"/>
      <c r="CH1009" s="294"/>
      <c r="CI1009" s="294"/>
      <c r="CJ1009" s="294"/>
      <c r="CK1009" s="294"/>
      <c r="CL1009" s="294"/>
      <c r="CM1009" s="294"/>
      <c r="CN1009" s="294"/>
    </row>
    <row r="1010" spans="2:92" ht="13">
      <c r="B1010" s="294"/>
      <c r="F1010" s="302"/>
      <c r="J1010" s="302"/>
      <c r="AI1010" s="188"/>
      <c r="AJ1010" s="188"/>
      <c r="AK1010" s="188"/>
      <c r="AL1010" s="188"/>
      <c r="AM1010" s="188"/>
      <c r="AN1010" s="188"/>
      <c r="AO1010" s="299"/>
      <c r="CF1010" s="294"/>
      <c r="CG1010" s="294"/>
      <c r="CH1010" s="294"/>
      <c r="CI1010" s="294"/>
      <c r="CJ1010" s="294"/>
      <c r="CK1010" s="294"/>
      <c r="CL1010" s="294"/>
      <c r="CM1010" s="294"/>
      <c r="CN1010" s="294"/>
    </row>
    <row r="1011" spans="2:92" ht="13">
      <c r="B1011" s="294"/>
      <c r="F1011" s="302"/>
      <c r="J1011" s="302"/>
      <c r="AI1011" s="188"/>
      <c r="AJ1011" s="188"/>
      <c r="AK1011" s="188"/>
      <c r="AL1011" s="188"/>
      <c r="AM1011" s="188"/>
      <c r="AN1011" s="188"/>
      <c r="AO1011" s="299"/>
      <c r="CF1011" s="294"/>
      <c r="CG1011" s="294"/>
      <c r="CH1011" s="294"/>
      <c r="CI1011" s="294"/>
      <c r="CJ1011" s="294"/>
      <c r="CK1011" s="294"/>
      <c r="CL1011" s="294"/>
      <c r="CM1011" s="294"/>
      <c r="CN1011" s="294"/>
    </row>
    <row r="1012" spans="2:92" ht="13">
      <c r="B1012" s="294"/>
      <c r="F1012" s="302"/>
      <c r="J1012" s="302"/>
      <c r="AI1012" s="188"/>
      <c r="AJ1012" s="188"/>
      <c r="AK1012" s="188"/>
      <c r="AL1012" s="188"/>
      <c r="AM1012" s="188"/>
      <c r="AN1012" s="188"/>
      <c r="AO1012" s="299"/>
      <c r="CF1012" s="294"/>
      <c r="CG1012" s="294"/>
      <c r="CH1012" s="294"/>
      <c r="CI1012" s="294"/>
      <c r="CJ1012" s="294"/>
      <c r="CK1012" s="294"/>
      <c r="CL1012" s="294"/>
      <c r="CM1012" s="294"/>
      <c r="CN1012" s="294"/>
    </row>
    <row r="1013" spans="2:92" ht="13">
      <c r="B1013" s="294"/>
      <c r="F1013" s="302"/>
      <c r="J1013" s="302"/>
      <c r="AI1013" s="188"/>
      <c r="AJ1013" s="188"/>
      <c r="AK1013" s="188"/>
      <c r="AL1013" s="188"/>
      <c r="AM1013" s="188"/>
      <c r="AN1013" s="188"/>
      <c r="AO1013" s="299"/>
      <c r="CF1013" s="294"/>
      <c r="CG1013" s="294"/>
      <c r="CH1013" s="294"/>
      <c r="CI1013" s="294"/>
      <c r="CJ1013" s="294"/>
      <c r="CK1013" s="294"/>
      <c r="CL1013" s="294"/>
      <c r="CM1013" s="294"/>
      <c r="CN1013" s="294"/>
    </row>
    <row r="1014" spans="2:92" ht="13">
      <c r="B1014" s="294"/>
      <c r="F1014" s="302"/>
      <c r="J1014" s="302"/>
      <c r="AI1014" s="188"/>
      <c r="AJ1014" s="188"/>
      <c r="AK1014" s="188"/>
      <c r="AL1014" s="188"/>
      <c r="AM1014" s="188"/>
      <c r="AN1014" s="188"/>
      <c r="AO1014" s="299"/>
      <c r="CF1014" s="294"/>
      <c r="CG1014" s="294"/>
      <c r="CH1014" s="294"/>
      <c r="CI1014" s="294"/>
      <c r="CJ1014" s="294"/>
      <c r="CK1014" s="294"/>
      <c r="CL1014" s="294"/>
      <c r="CM1014" s="294"/>
      <c r="CN1014" s="294"/>
    </row>
    <row r="1015" spans="2:92" ht="13">
      <c r="B1015" s="294"/>
      <c r="F1015" s="302"/>
      <c r="J1015" s="302"/>
      <c r="AI1015" s="188"/>
      <c r="AJ1015" s="188"/>
      <c r="AK1015" s="188"/>
      <c r="AL1015" s="188"/>
      <c r="AM1015" s="188"/>
      <c r="AN1015" s="188"/>
      <c r="AO1015" s="299"/>
      <c r="CF1015" s="294"/>
      <c r="CG1015" s="294"/>
      <c r="CH1015" s="294"/>
      <c r="CI1015" s="294"/>
      <c r="CJ1015" s="294"/>
      <c r="CK1015" s="294"/>
      <c r="CL1015" s="294"/>
      <c r="CM1015" s="294"/>
      <c r="CN1015" s="294"/>
    </row>
    <row r="1016" spans="2:92" ht="13">
      <c r="B1016" s="294"/>
      <c r="F1016" s="302"/>
      <c r="J1016" s="302"/>
      <c r="AI1016" s="188"/>
      <c r="AJ1016" s="188"/>
      <c r="AK1016" s="188"/>
      <c r="AL1016" s="188"/>
      <c r="AM1016" s="188"/>
      <c r="AN1016" s="188"/>
      <c r="AO1016" s="299"/>
      <c r="CF1016" s="294"/>
      <c r="CG1016" s="294"/>
      <c r="CH1016" s="294"/>
      <c r="CI1016" s="294"/>
      <c r="CJ1016" s="294"/>
      <c r="CK1016" s="294"/>
      <c r="CL1016" s="294"/>
      <c r="CM1016" s="294"/>
      <c r="CN1016" s="294"/>
    </row>
    <row r="1017" spans="2:92" ht="13">
      <c r="B1017" s="294"/>
      <c r="F1017" s="302"/>
      <c r="J1017" s="302"/>
      <c r="AI1017" s="188"/>
      <c r="AJ1017" s="188"/>
      <c r="AK1017" s="188"/>
      <c r="AL1017" s="188"/>
      <c r="AM1017" s="188"/>
      <c r="AN1017" s="188"/>
      <c r="AO1017" s="299"/>
      <c r="CF1017" s="294"/>
      <c r="CG1017" s="294"/>
      <c r="CH1017" s="294"/>
      <c r="CI1017" s="294"/>
      <c r="CJ1017" s="294"/>
      <c r="CK1017" s="294"/>
      <c r="CL1017" s="294"/>
      <c r="CM1017" s="294"/>
      <c r="CN1017" s="294"/>
    </row>
    <row r="1018" spans="2:92" ht="13">
      <c r="B1018" s="294"/>
      <c r="F1018" s="302"/>
      <c r="J1018" s="302"/>
      <c r="AI1018" s="188"/>
      <c r="AJ1018" s="188"/>
      <c r="AK1018" s="188"/>
      <c r="AL1018" s="188"/>
      <c r="AM1018" s="188"/>
      <c r="AN1018" s="188"/>
      <c r="AO1018" s="299"/>
      <c r="CF1018" s="294"/>
      <c r="CG1018" s="294"/>
      <c r="CH1018" s="294"/>
      <c r="CI1018" s="294"/>
      <c r="CJ1018" s="294"/>
      <c r="CK1018" s="294"/>
      <c r="CL1018" s="294"/>
      <c r="CM1018" s="294"/>
      <c r="CN1018" s="294"/>
    </row>
    <row r="1019" spans="2:92" ht="13">
      <c r="B1019" s="294"/>
      <c r="F1019" s="302"/>
      <c r="J1019" s="302"/>
      <c r="AI1019" s="188"/>
      <c r="AJ1019" s="188"/>
      <c r="AK1019" s="188"/>
      <c r="AL1019" s="188"/>
      <c r="AM1019" s="188"/>
      <c r="AN1019" s="188"/>
      <c r="AO1019" s="299"/>
      <c r="CF1019" s="294"/>
      <c r="CG1019" s="294"/>
      <c r="CH1019" s="294"/>
      <c r="CI1019" s="294"/>
      <c r="CJ1019" s="294"/>
      <c r="CK1019" s="294"/>
      <c r="CL1019" s="294"/>
      <c r="CM1019" s="294"/>
      <c r="CN1019" s="294"/>
    </row>
    <row r="1020" spans="2:92" ht="13">
      <c r="B1020" s="294"/>
      <c r="F1020" s="302"/>
      <c r="J1020" s="302"/>
      <c r="AI1020" s="188"/>
      <c r="AJ1020" s="188"/>
      <c r="AK1020" s="188"/>
      <c r="AL1020" s="188"/>
      <c r="AM1020" s="188"/>
      <c r="AN1020" s="188"/>
      <c r="AO1020" s="299"/>
      <c r="CF1020" s="294"/>
      <c r="CG1020" s="294"/>
      <c r="CH1020" s="294"/>
      <c r="CI1020" s="294"/>
      <c r="CJ1020" s="294"/>
      <c r="CK1020" s="294"/>
      <c r="CL1020" s="294"/>
      <c r="CM1020" s="294"/>
      <c r="CN1020" s="294"/>
    </row>
    <row r="1021" spans="2:92" ht="13">
      <c r="B1021" s="294"/>
      <c r="F1021" s="302"/>
      <c r="J1021" s="302"/>
      <c r="AI1021" s="188"/>
      <c r="AJ1021" s="188"/>
      <c r="AK1021" s="188"/>
      <c r="AL1021" s="188"/>
      <c r="AM1021" s="188"/>
      <c r="AN1021" s="188"/>
      <c r="AO1021" s="299"/>
      <c r="CF1021" s="294"/>
      <c r="CG1021" s="294"/>
      <c r="CH1021" s="294"/>
      <c r="CI1021" s="294"/>
      <c r="CJ1021" s="294"/>
      <c r="CK1021" s="294"/>
      <c r="CL1021" s="294"/>
      <c r="CM1021" s="294"/>
      <c r="CN1021" s="294"/>
    </row>
    <row r="1022" spans="2:92" ht="13">
      <c r="B1022" s="294"/>
      <c r="F1022" s="302"/>
      <c r="J1022" s="302"/>
      <c r="AI1022" s="188"/>
      <c r="AJ1022" s="188"/>
      <c r="AK1022" s="188"/>
      <c r="AL1022" s="188"/>
      <c r="AM1022" s="188"/>
      <c r="AN1022" s="188"/>
      <c r="AO1022" s="299"/>
      <c r="CF1022" s="294"/>
      <c r="CG1022" s="294"/>
      <c r="CH1022" s="294"/>
      <c r="CI1022" s="294"/>
      <c r="CJ1022" s="294"/>
      <c r="CK1022" s="294"/>
      <c r="CL1022" s="294"/>
      <c r="CM1022" s="294"/>
      <c r="CN1022" s="294"/>
    </row>
    <row r="1023" spans="2:92" ht="13">
      <c r="B1023" s="294"/>
      <c r="F1023" s="302"/>
      <c r="J1023" s="302"/>
      <c r="AI1023" s="188"/>
      <c r="AJ1023" s="188"/>
      <c r="AK1023" s="188"/>
      <c r="AL1023" s="188"/>
      <c r="AM1023" s="188"/>
      <c r="AN1023" s="188"/>
      <c r="AO1023" s="299"/>
      <c r="CF1023" s="294"/>
      <c r="CG1023" s="294"/>
      <c r="CH1023" s="294"/>
      <c r="CI1023" s="294"/>
      <c r="CJ1023" s="294"/>
      <c r="CK1023" s="294"/>
      <c r="CL1023" s="294"/>
      <c r="CM1023" s="294"/>
      <c r="CN1023" s="294"/>
    </row>
    <row r="1024" spans="2:92" ht="13">
      <c r="B1024" s="294"/>
      <c r="F1024" s="302"/>
      <c r="J1024" s="302"/>
      <c r="AI1024" s="188"/>
      <c r="AJ1024" s="188"/>
      <c r="AK1024" s="188"/>
      <c r="AL1024" s="188"/>
      <c r="AM1024" s="188"/>
      <c r="AN1024" s="188"/>
      <c r="AO1024" s="299"/>
      <c r="CF1024" s="294"/>
      <c r="CG1024" s="294"/>
      <c r="CH1024" s="294"/>
      <c r="CI1024" s="294"/>
      <c r="CJ1024" s="294"/>
      <c r="CK1024" s="294"/>
      <c r="CL1024" s="294"/>
      <c r="CM1024" s="294"/>
      <c r="CN1024" s="294"/>
    </row>
    <row r="1025" spans="2:92" ht="13">
      <c r="B1025" s="294"/>
      <c r="F1025" s="302"/>
      <c r="J1025" s="302"/>
      <c r="AI1025" s="188"/>
      <c r="AJ1025" s="188"/>
      <c r="AK1025" s="188"/>
      <c r="AL1025" s="188"/>
      <c r="AM1025" s="188"/>
      <c r="AN1025" s="188"/>
      <c r="AO1025" s="299"/>
      <c r="CF1025" s="294"/>
      <c r="CG1025" s="294"/>
      <c r="CH1025" s="294"/>
      <c r="CI1025" s="294"/>
      <c r="CJ1025" s="294"/>
      <c r="CK1025" s="294"/>
      <c r="CL1025" s="294"/>
      <c r="CM1025" s="294"/>
      <c r="CN1025" s="294"/>
    </row>
    <row r="1026" spans="2:92" ht="13">
      <c r="B1026" s="294"/>
      <c r="F1026" s="302"/>
      <c r="J1026" s="302"/>
      <c r="AI1026" s="188"/>
      <c r="AJ1026" s="188"/>
      <c r="AK1026" s="188"/>
      <c r="AL1026" s="188"/>
      <c r="AM1026" s="188"/>
      <c r="AN1026" s="188"/>
      <c r="AO1026" s="299"/>
      <c r="CF1026" s="294"/>
      <c r="CG1026" s="294"/>
      <c r="CH1026" s="294"/>
      <c r="CI1026" s="294"/>
      <c r="CJ1026" s="294"/>
      <c r="CK1026" s="294"/>
      <c r="CL1026" s="294"/>
      <c r="CM1026" s="294"/>
      <c r="CN1026" s="294"/>
    </row>
    <row r="1027" spans="2:92" ht="13">
      <c r="B1027" s="294"/>
      <c r="F1027" s="302"/>
      <c r="J1027" s="302"/>
      <c r="AI1027" s="188"/>
      <c r="AJ1027" s="188"/>
      <c r="AK1027" s="188"/>
      <c r="AL1027" s="188"/>
      <c r="AM1027" s="188"/>
      <c r="AN1027" s="188"/>
      <c r="AO1027" s="299"/>
      <c r="CF1027" s="294"/>
      <c r="CG1027" s="294"/>
      <c r="CH1027" s="294"/>
      <c r="CI1027" s="294"/>
      <c r="CJ1027" s="294"/>
      <c r="CK1027" s="294"/>
      <c r="CL1027" s="294"/>
      <c r="CM1027" s="294"/>
      <c r="CN1027" s="294"/>
    </row>
    <row r="1028" spans="2:92" ht="13">
      <c r="B1028" s="294"/>
      <c r="F1028" s="302"/>
      <c r="J1028" s="302"/>
      <c r="AI1028" s="188"/>
      <c r="AJ1028" s="188"/>
      <c r="AK1028" s="188"/>
      <c r="AL1028" s="188"/>
      <c r="AM1028" s="188"/>
      <c r="AN1028" s="188"/>
      <c r="AO1028" s="299"/>
      <c r="CF1028" s="294"/>
      <c r="CG1028" s="294"/>
      <c r="CH1028" s="294"/>
      <c r="CI1028" s="294"/>
      <c r="CJ1028" s="294"/>
      <c r="CK1028" s="294"/>
      <c r="CL1028" s="294"/>
      <c r="CM1028" s="294"/>
      <c r="CN1028" s="294"/>
    </row>
    <row r="1029" spans="2:92" ht="13">
      <c r="B1029" s="294"/>
      <c r="F1029" s="302"/>
      <c r="J1029" s="302"/>
      <c r="AI1029" s="188"/>
      <c r="AJ1029" s="188"/>
      <c r="AK1029" s="188"/>
      <c r="AL1029" s="188"/>
      <c r="AM1029" s="188"/>
      <c r="AN1029" s="188"/>
      <c r="AO1029" s="299"/>
      <c r="CF1029" s="294"/>
      <c r="CG1029" s="294"/>
      <c r="CH1029" s="294"/>
      <c r="CI1029" s="294"/>
      <c r="CJ1029" s="294"/>
      <c r="CK1029" s="294"/>
      <c r="CL1029" s="294"/>
      <c r="CM1029" s="294"/>
      <c r="CN1029" s="294"/>
    </row>
    <row r="1030" spans="2:92" ht="13">
      <c r="B1030" s="294"/>
      <c r="F1030" s="302"/>
      <c r="J1030" s="302"/>
      <c r="AI1030" s="188"/>
      <c r="AJ1030" s="188"/>
      <c r="AK1030" s="188"/>
      <c r="AL1030" s="188"/>
      <c r="AM1030" s="188"/>
      <c r="AN1030" s="188"/>
      <c r="AO1030" s="299"/>
      <c r="CF1030" s="294"/>
      <c r="CG1030" s="294"/>
      <c r="CH1030" s="294"/>
      <c r="CI1030" s="294"/>
      <c r="CJ1030" s="294"/>
      <c r="CK1030" s="294"/>
      <c r="CL1030" s="294"/>
      <c r="CM1030" s="294"/>
      <c r="CN1030" s="294"/>
    </row>
    <row r="1031" spans="2:92" ht="13">
      <c r="B1031" s="294"/>
      <c r="F1031" s="302"/>
      <c r="J1031" s="302"/>
      <c r="AI1031" s="188"/>
      <c r="AJ1031" s="188"/>
      <c r="AK1031" s="188"/>
      <c r="AL1031" s="188"/>
      <c r="AM1031" s="188"/>
      <c r="AN1031" s="188"/>
      <c r="AO1031" s="299"/>
      <c r="CF1031" s="294"/>
      <c r="CG1031" s="294"/>
      <c r="CH1031" s="294"/>
      <c r="CI1031" s="294"/>
      <c r="CJ1031" s="294"/>
      <c r="CK1031" s="294"/>
      <c r="CL1031" s="294"/>
      <c r="CM1031" s="294"/>
      <c r="CN1031" s="294"/>
    </row>
    <row r="1032" spans="2:92" ht="13">
      <c r="B1032" s="294"/>
      <c r="F1032" s="302"/>
      <c r="J1032" s="302"/>
      <c r="AI1032" s="188"/>
      <c r="AJ1032" s="188"/>
      <c r="AK1032" s="188"/>
      <c r="AL1032" s="188"/>
      <c r="AM1032" s="188"/>
      <c r="AN1032" s="188"/>
      <c r="AO1032" s="299"/>
      <c r="CF1032" s="294"/>
      <c r="CG1032" s="294"/>
      <c r="CH1032" s="294"/>
      <c r="CI1032" s="294"/>
      <c r="CJ1032" s="294"/>
      <c r="CK1032" s="294"/>
      <c r="CL1032" s="294"/>
      <c r="CM1032" s="294"/>
      <c r="CN1032" s="294"/>
    </row>
    <row r="1033" spans="2:92" ht="13">
      <c r="B1033" s="294"/>
      <c r="F1033" s="302"/>
      <c r="J1033" s="302"/>
      <c r="AI1033" s="188"/>
      <c r="AJ1033" s="188"/>
      <c r="AK1033" s="188"/>
      <c r="AL1033" s="188"/>
      <c r="AM1033" s="188"/>
      <c r="AN1033" s="188"/>
      <c r="AO1033" s="299"/>
      <c r="CF1033" s="294"/>
      <c r="CG1033" s="294"/>
      <c r="CH1033" s="294"/>
      <c r="CI1033" s="294"/>
      <c r="CJ1033" s="294"/>
      <c r="CK1033" s="294"/>
      <c r="CL1033" s="294"/>
      <c r="CM1033" s="294"/>
      <c r="CN1033" s="294"/>
    </row>
    <row r="1034" spans="2:92" ht="13">
      <c r="B1034" s="294"/>
      <c r="F1034" s="302"/>
      <c r="J1034" s="302"/>
      <c r="AI1034" s="188"/>
      <c r="AJ1034" s="188"/>
      <c r="AK1034" s="188"/>
      <c r="AL1034" s="188"/>
      <c r="AM1034" s="188"/>
      <c r="AN1034" s="188"/>
      <c r="AO1034" s="299"/>
      <c r="CF1034" s="294"/>
      <c r="CG1034" s="294"/>
      <c r="CH1034" s="294"/>
      <c r="CI1034" s="294"/>
      <c r="CJ1034" s="294"/>
      <c r="CK1034" s="294"/>
      <c r="CL1034" s="294"/>
      <c r="CM1034" s="294"/>
      <c r="CN1034" s="294"/>
    </row>
    <row r="1035" spans="2:92" ht="13">
      <c r="B1035" s="294"/>
      <c r="F1035" s="302"/>
      <c r="J1035" s="302"/>
      <c r="AI1035" s="188"/>
      <c r="AJ1035" s="188"/>
      <c r="AK1035" s="188"/>
      <c r="AL1035" s="188"/>
      <c r="AM1035" s="188"/>
      <c r="AN1035" s="188"/>
      <c r="AO1035" s="299"/>
      <c r="CF1035" s="294"/>
      <c r="CG1035" s="294"/>
      <c r="CH1035" s="294"/>
      <c r="CI1035" s="294"/>
      <c r="CJ1035" s="294"/>
      <c r="CK1035" s="294"/>
      <c r="CL1035" s="294"/>
      <c r="CM1035" s="294"/>
      <c r="CN1035" s="294"/>
    </row>
    <row r="1036" spans="2:92" ht="13">
      <c r="B1036" s="294"/>
      <c r="F1036" s="302"/>
      <c r="J1036" s="302"/>
      <c r="AI1036" s="188"/>
      <c r="AJ1036" s="188"/>
      <c r="AK1036" s="188"/>
      <c r="AL1036" s="188"/>
      <c r="AM1036" s="188"/>
      <c r="AN1036" s="188"/>
      <c r="AO1036" s="299"/>
      <c r="CF1036" s="294"/>
      <c r="CG1036" s="294"/>
      <c r="CH1036" s="294"/>
      <c r="CI1036" s="294"/>
      <c r="CJ1036" s="294"/>
      <c r="CK1036" s="294"/>
      <c r="CL1036" s="294"/>
      <c r="CM1036" s="294"/>
      <c r="CN1036" s="294"/>
    </row>
    <row r="1037" spans="2:92" ht="13">
      <c r="B1037" s="294"/>
      <c r="F1037" s="302"/>
      <c r="J1037" s="302"/>
      <c r="AI1037" s="188"/>
      <c r="AJ1037" s="188"/>
      <c r="AK1037" s="188"/>
      <c r="AL1037" s="188"/>
      <c r="AM1037" s="188"/>
      <c r="AN1037" s="188"/>
      <c r="AO1037" s="299"/>
      <c r="CF1037" s="294"/>
      <c r="CG1037" s="294"/>
      <c r="CH1037" s="294"/>
      <c r="CI1037" s="294"/>
      <c r="CJ1037" s="294"/>
      <c r="CK1037" s="294"/>
      <c r="CL1037" s="294"/>
      <c r="CM1037" s="294"/>
      <c r="CN1037" s="294"/>
    </row>
    <row r="1038" spans="2:92" ht="13">
      <c r="B1038" s="294"/>
      <c r="F1038" s="302"/>
      <c r="J1038" s="302"/>
      <c r="AI1038" s="188"/>
      <c r="AJ1038" s="188"/>
      <c r="AK1038" s="188"/>
      <c r="AL1038" s="188"/>
      <c r="AM1038" s="188"/>
      <c r="AN1038" s="188"/>
      <c r="AO1038" s="299"/>
      <c r="CF1038" s="294"/>
      <c r="CG1038" s="294"/>
      <c r="CH1038" s="294"/>
      <c r="CI1038" s="294"/>
      <c r="CJ1038" s="294"/>
      <c r="CK1038" s="294"/>
      <c r="CL1038" s="294"/>
      <c r="CM1038" s="294"/>
      <c r="CN1038" s="294"/>
    </row>
    <row r="1039" spans="2:92" ht="13">
      <c r="B1039" s="294"/>
      <c r="F1039" s="302"/>
      <c r="J1039" s="302"/>
      <c r="AI1039" s="188"/>
      <c r="AJ1039" s="188"/>
      <c r="AK1039" s="188"/>
      <c r="AL1039" s="188"/>
      <c r="AM1039" s="188"/>
      <c r="AN1039" s="188"/>
      <c r="AO1039" s="299"/>
      <c r="CF1039" s="294"/>
      <c r="CG1039" s="294"/>
      <c r="CH1039" s="294"/>
      <c r="CI1039" s="294"/>
      <c r="CJ1039" s="294"/>
      <c r="CK1039" s="294"/>
      <c r="CL1039" s="294"/>
      <c r="CM1039" s="294"/>
      <c r="CN1039" s="294"/>
    </row>
    <row r="1040" spans="2:92" ht="13">
      <c r="B1040" s="294"/>
      <c r="F1040" s="302"/>
      <c r="J1040" s="302"/>
      <c r="AI1040" s="188"/>
      <c r="AJ1040" s="188"/>
      <c r="AK1040" s="188"/>
      <c r="AL1040" s="188"/>
      <c r="AM1040" s="188"/>
      <c r="AN1040" s="188"/>
      <c r="AO1040" s="299"/>
      <c r="CF1040" s="294"/>
      <c r="CG1040" s="294"/>
      <c r="CH1040" s="294"/>
      <c r="CI1040" s="294"/>
      <c r="CJ1040" s="294"/>
      <c r="CK1040" s="294"/>
      <c r="CL1040" s="294"/>
      <c r="CM1040" s="294"/>
      <c r="CN1040" s="294"/>
    </row>
    <row r="1041" spans="2:92" ht="13">
      <c r="B1041" s="294"/>
      <c r="F1041" s="302"/>
      <c r="J1041" s="302"/>
      <c r="AI1041" s="188"/>
      <c r="AJ1041" s="188"/>
      <c r="AK1041" s="188"/>
      <c r="AL1041" s="188"/>
      <c r="AM1041" s="188"/>
      <c r="AN1041" s="188"/>
      <c r="AO1041" s="299"/>
      <c r="CF1041" s="294"/>
      <c r="CG1041" s="294"/>
      <c r="CH1041" s="294"/>
      <c r="CI1041" s="294"/>
      <c r="CJ1041" s="294"/>
      <c r="CK1041" s="294"/>
      <c r="CL1041" s="294"/>
      <c r="CM1041" s="294"/>
      <c r="CN1041" s="294"/>
    </row>
    <row r="1042" spans="2:92" ht="13">
      <c r="B1042" s="294"/>
      <c r="F1042" s="302"/>
      <c r="J1042" s="302"/>
      <c r="AI1042" s="188"/>
      <c r="AJ1042" s="188"/>
      <c r="AK1042" s="188"/>
      <c r="AL1042" s="188"/>
      <c r="AM1042" s="188"/>
      <c r="AN1042" s="188"/>
      <c r="AO1042" s="299"/>
      <c r="CF1042" s="294"/>
      <c r="CG1042" s="294"/>
      <c r="CH1042" s="294"/>
      <c r="CI1042" s="294"/>
      <c r="CJ1042" s="294"/>
      <c r="CK1042" s="294"/>
      <c r="CL1042" s="294"/>
      <c r="CM1042" s="294"/>
      <c r="CN1042" s="294"/>
    </row>
    <row r="1043" spans="2:92" ht="13">
      <c r="B1043" s="294"/>
      <c r="F1043" s="302"/>
      <c r="J1043" s="302"/>
      <c r="AI1043" s="188"/>
      <c r="AJ1043" s="188"/>
      <c r="AK1043" s="188"/>
      <c r="AL1043" s="188"/>
      <c r="AM1043" s="188"/>
      <c r="AN1043" s="188"/>
      <c r="AO1043" s="299"/>
      <c r="CF1043" s="294"/>
      <c r="CG1043" s="294"/>
      <c r="CH1043" s="294"/>
      <c r="CI1043" s="294"/>
      <c r="CJ1043" s="294"/>
      <c r="CK1043" s="294"/>
      <c r="CL1043" s="294"/>
      <c r="CM1043" s="294"/>
      <c r="CN1043" s="294"/>
    </row>
    <row r="1044" spans="2:92" ht="13">
      <c r="B1044" s="294"/>
      <c r="F1044" s="302"/>
      <c r="J1044" s="302"/>
      <c r="AI1044" s="188"/>
      <c r="AJ1044" s="188"/>
      <c r="AK1044" s="188"/>
      <c r="AL1044" s="188"/>
      <c r="AM1044" s="188"/>
      <c r="AN1044" s="188"/>
      <c r="AO1044" s="299"/>
      <c r="CF1044" s="294"/>
      <c r="CG1044" s="294"/>
      <c r="CH1044" s="294"/>
      <c r="CI1044" s="294"/>
      <c r="CJ1044" s="294"/>
      <c r="CK1044" s="294"/>
      <c r="CL1044" s="294"/>
      <c r="CM1044" s="294"/>
      <c r="CN1044" s="294"/>
    </row>
    <row r="1045" spans="2:92" ht="13">
      <c r="B1045" s="294"/>
      <c r="F1045" s="302"/>
      <c r="J1045" s="302"/>
      <c r="AI1045" s="188"/>
      <c r="AJ1045" s="188"/>
      <c r="AK1045" s="188"/>
      <c r="AL1045" s="188"/>
      <c r="AM1045" s="188"/>
      <c r="AN1045" s="188"/>
      <c r="AO1045" s="299"/>
      <c r="CF1045" s="294"/>
      <c r="CG1045" s="294"/>
      <c r="CH1045" s="294"/>
      <c r="CI1045" s="294"/>
      <c r="CJ1045" s="294"/>
      <c r="CK1045" s="294"/>
      <c r="CL1045" s="294"/>
      <c r="CM1045" s="294"/>
      <c r="CN1045" s="294"/>
    </row>
    <row r="1046" spans="2:92" ht="13">
      <c r="B1046" s="294"/>
      <c r="F1046" s="302"/>
      <c r="J1046" s="302"/>
      <c r="AI1046" s="188"/>
      <c r="AJ1046" s="188"/>
      <c r="AK1046" s="188"/>
      <c r="AL1046" s="188"/>
      <c r="AM1046" s="188"/>
      <c r="AN1046" s="188"/>
      <c r="AO1046" s="299"/>
      <c r="CF1046" s="294"/>
      <c r="CG1046" s="294"/>
      <c r="CH1046" s="294"/>
      <c r="CI1046" s="294"/>
      <c r="CJ1046" s="294"/>
      <c r="CK1046" s="294"/>
      <c r="CL1046" s="294"/>
      <c r="CM1046" s="294"/>
      <c r="CN1046" s="294"/>
    </row>
    <row r="1047" spans="2:92" ht="13">
      <c r="B1047" s="294"/>
      <c r="F1047" s="302"/>
      <c r="J1047" s="302"/>
      <c r="AI1047" s="188"/>
      <c r="AJ1047" s="188"/>
      <c r="AK1047" s="188"/>
      <c r="AL1047" s="188"/>
      <c r="AM1047" s="188"/>
      <c r="AN1047" s="188"/>
      <c r="AO1047" s="299"/>
      <c r="CF1047" s="294"/>
      <c r="CG1047" s="294"/>
      <c r="CH1047" s="294"/>
      <c r="CI1047" s="294"/>
      <c r="CJ1047" s="294"/>
      <c r="CK1047" s="294"/>
      <c r="CL1047" s="294"/>
      <c r="CM1047" s="294"/>
      <c r="CN1047" s="294"/>
    </row>
    <row r="1048" spans="2:92" ht="13">
      <c r="B1048" s="294"/>
      <c r="F1048" s="302"/>
      <c r="J1048" s="302"/>
      <c r="AI1048" s="188"/>
      <c r="AJ1048" s="188"/>
      <c r="AK1048" s="188"/>
      <c r="AL1048" s="188"/>
      <c r="AM1048" s="188"/>
      <c r="AN1048" s="188"/>
      <c r="AO1048" s="299"/>
      <c r="CF1048" s="294"/>
      <c r="CG1048" s="294"/>
      <c r="CH1048" s="294"/>
      <c r="CI1048" s="294"/>
      <c r="CJ1048" s="294"/>
      <c r="CK1048" s="294"/>
      <c r="CL1048" s="294"/>
      <c r="CM1048" s="294"/>
      <c r="CN1048" s="294"/>
    </row>
    <row r="1049" spans="2:92" ht="13">
      <c r="B1049" s="294"/>
      <c r="F1049" s="302"/>
      <c r="J1049" s="302"/>
      <c r="AI1049" s="188"/>
      <c r="AJ1049" s="188"/>
      <c r="AK1049" s="188"/>
      <c r="AL1049" s="188"/>
      <c r="AM1049" s="188"/>
      <c r="AN1049" s="188"/>
      <c r="AO1049" s="299"/>
      <c r="CF1049" s="294"/>
      <c r="CG1049" s="294"/>
      <c r="CH1049" s="294"/>
      <c r="CI1049" s="294"/>
      <c r="CJ1049" s="294"/>
      <c r="CK1049" s="294"/>
      <c r="CL1049" s="294"/>
      <c r="CM1049" s="294"/>
      <c r="CN1049" s="294"/>
    </row>
    <row r="1050" spans="2:92" ht="13">
      <c r="B1050" s="294"/>
      <c r="F1050" s="302"/>
      <c r="J1050" s="302"/>
      <c r="AI1050" s="188"/>
      <c r="AJ1050" s="188"/>
      <c r="AK1050" s="188"/>
      <c r="AL1050" s="188"/>
      <c r="AM1050" s="188"/>
      <c r="AN1050" s="188"/>
      <c r="AO1050" s="299"/>
      <c r="CF1050" s="294"/>
      <c r="CG1050" s="294"/>
      <c r="CH1050" s="294"/>
      <c r="CI1050" s="294"/>
      <c r="CJ1050" s="294"/>
      <c r="CK1050" s="294"/>
      <c r="CL1050" s="294"/>
      <c r="CM1050" s="294"/>
      <c r="CN1050" s="294"/>
    </row>
    <row r="1051" spans="2:92" ht="13">
      <c r="B1051" s="294"/>
      <c r="F1051" s="302"/>
      <c r="J1051" s="302"/>
      <c r="AI1051" s="188"/>
      <c r="AJ1051" s="188"/>
      <c r="AK1051" s="188"/>
      <c r="AL1051" s="188"/>
      <c r="AM1051" s="188"/>
      <c r="AN1051" s="188"/>
      <c r="AO1051" s="299"/>
      <c r="CF1051" s="294"/>
      <c r="CG1051" s="294"/>
      <c r="CH1051" s="294"/>
      <c r="CI1051" s="294"/>
      <c r="CJ1051" s="294"/>
      <c r="CK1051" s="294"/>
      <c r="CL1051" s="294"/>
      <c r="CM1051" s="294"/>
      <c r="CN1051" s="294"/>
    </row>
    <row r="1052" spans="2:92" ht="13">
      <c r="B1052" s="294"/>
      <c r="F1052" s="302"/>
      <c r="J1052" s="302"/>
      <c r="AI1052" s="188"/>
      <c r="AJ1052" s="188"/>
      <c r="AK1052" s="188"/>
      <c r="AL1052" s="188"/>
      <c r="AM1052" s="188"/>
      <c r="AN1052" s="188"/>
      <c r="AO1052" s="299"/>
      <c r="CF1052" s="294"/>
      <c r="CG1052" s="294"/>
      <c r="CH1052" s="294"/>
      <c r="CI1052" s="294"/>
      <c r="CJ1052" s="294"/>
      <c r="CK1052" s="294"/>
      <c r="CL1052" s="294"/>
      <c r="CM1052" s="294"/>
      <c r="CN1052" s="294"/>
    </row>
    <row r="1053" spans="2:92" ht="13">
      <c r="B1053" s="294"/>
      <c r="F1053" s="302"/>
      <c r="J1053" s="302"/>
      <c r="AI1053" s="188"/>
      <c r="AJ1053" s="188"/>
      <c r="AK1053" s="188"/>
      <c r="AL1053" s="188"/>
      <c r="AM1053" s="188"/>
      <c r="AN1053" s="188"/>
      <c r="AO1053" s="299"/>
      <c r="CF1053" s="294"/>
      <c r="CG1053" s="294"/>
      <c r="CH1053" s="294"/>
      <c r="CI1053" s="294"/>
      <c r="CJ1053" s="294"/>
      <c r="CK1053" s="294"/>
      <c r="CL1053" s="294"/>
      <c r="CM1053" s="294"/>
      <c r="CN1053" s="294"/>
    </row>
    <row r="1054" spans="2:92" ht="13">
      <c r="B1054" s="294"/>
      <c r="F1054" s="302"/>
      <c r="J1054" s="302"/>
      <c r="AI1054" s="188"/>
      <c r="AJ1054" s="188"/>
      <c r="AK1054" s="188"/>
      <c r="AL1054" s="188"/>
      <c r="AM1054" s="188"/>
      <c r="AN1054" s="188"/>
      <c r="AO1054" s="299"/>
      <c r="CF1054" s="294"/>
      <c r="CG1054" s="294"/>
      <c r="CH1054" s="294"/>
      <c r="CI1054" s="294"/>
      <c r="CJ1054" s="294"/>
      <c r="CK1054" s="294"/>
      <c r="CL1054" s="294"/>
      <c r="CM1054" s="294"/>
      <c r="CN1054" s="294"/>
    </row>
    <row r="1055" spans="2:92" ht="13">
      <c r="B1055" s="294"/>
      <c r="F1055" s="302"/>
      <c r="J1055" s="302"/>
      <c r="AI1055" s="188"/>
      <c r="AJ1055" s="188"/>
      <c r="AK1055" s="188"/>
      <c r="AL1055" s="188"/>
      <c r="AM1055" s="188"/>
      <c r="AN1055" s="188"/>
      <c r="AO1055" s="299"/>
      <c r="CF1055" s="294"/>
      <c r="CG1055" s="294"/>
      <c r="CH1055" s="294"/>
      <c r="CI1055" s="294"/>
      <c r="CJ1055" s="294"/>
      <c r="CK1055" s="294"/>
      <c r="CL1055" s="294"/>
      <c r="CM1055" s="294"/>
      <c r="CN1055" s="294"/>
    </row>
    <row r="1056" spans="2:92" ht="13">
      <c r="B1056" s="294"/>
      <c r="F1056" s="302"/>
      <c r="J1056" s="302"/>
      <c r="AI1056" s="188"/>
      <c r="AJ1056" s="188"/>
      <c r="AK1056" s="188"/>
      <c r="AL1056" s="188"/>
      <c r="AM1056" s="188"/>
      <c r="AN1056" s="188"/>
      <c r="AO1056" s="299"/>
      <c r="CF1056" s="294"/>
      <c r="CG1056" s="294"/>
      <c r="CH1056" s="294"/>
      <c r="CI1056" s="294"/>
      <c r="CJ1056" s="294"/>
      <c r="CK1056" s="294"/>
      <c r="CL1056" s="294"/>
      <c r="CM1056" s="294"/>
      <c r="CN1056" s="294"/>
    </row>
    <row r="1057" spans="2:92" ht="13">
      <c r="B1057" s="294"/>
      <c r="F1057" s="302"/>
      <c r="J1057" s="302"/>
      <c r="AI1057" s="188"/>
      <c r="AJ1057" s="188"/>
      <c r="AK1057" s="188"/>
      <c r="AL1057" s="188"/>
      <c r="AM1057" s="188"/>
      <c r="AN1057" s="188"/>
      <c r="AO1057" s="299"/>
      <c r="CF1057" s="294"/>
      <c r="CG1057" s="294"/>
      <c r="CH1057" s="294"/>
      <c r="CI1057" s="294"/>
      <c r="CJ1057" s="294"/>
      <c r="CK1057" s="294"/>
      <c r="CL1057" s="294"/>
      <c r="CM1057" s="294"/>
      <c r="CN1057" s="294"/>
    </row>
    <row r="1058" spans="2:92" ht="13">
      <c r="B1058" s="294"/>
      <c r="F1058" s="302"/>
      <c r="J1058" s="302"/>
      <c r="AI1058" s="188"/>
      <c r="AJ1058" s="188"/>
      <c r="AK1058" s="188"/>
      <c r="AL1058" s="188"/>
      <c r="AM1058" s="188"/>
      <c r="AN1058" s="188"/>
      <c r="AO1058" s="299"/>
      <c r="CF1058" s="294"/>
      <c r="CG1058" s="294"/>
      <c r="CH1058" s="294"/>
      <c r="CI1058" s="294"/>
      <c r="CJ1058" s="294"/>
      <c r="CK1058" s="294"/>
      <c r="CL1058" s="294"/>
      <c r="CM1058" s="294"/>
      <c r="CN1058" s="294"/>
    </row>
    <row r="1059" spans="2:92" ht="13">
      <c r="B1059" s="294"/>
      <c r="F1059" s="302"/>
      <c r="J1059" s="302"/>
      <c r="AI1059" s="188"/>
      <c r="AJ1059" s="188"/>
      <c r="AK1059" s="188"/>
      <c r="AL1059" s="188"/>
      <c r="AM1059" s="188"/>
      <c r="AN1059" s="188"/>
      <c r="AO1059" s="299"/>
      <c r="CF1059" s="294"/>
      <c r="CG1059" s="294"/>
      <c r="CH1059" s="294"/>
      <c r="CI1059" s="294"/>
      <c r="CJ1059" s="294"/>
      <c r="CK1059" s="294"/>
      <c r="CL1059" s="294"/>
      <c r="CM1059" s="294"/>
      <c r="CN1059" s="294"/>
    </row>
    <row r="1060" spans="2:92" ht="13">
      <c r="B1060" s="294"/>
      <c r="F1060" s="302"/>
      <c r="J1060" s="302"/>
      <c r="AI1060" s="188"/>
      <c r="AJ1060" s="188"/>
      <c r="AK1060" s="188"/>
      <c r="AL1060" s="188"/>
      <c r="AM1060" s="188"/>
      <c r="AN1060" s="188"/>
      <c r="AO1060" s="299"/>
      <c r="CF1060" s="294"/>
      <c r="CG1060" s="294"/>
      <c r="CH1060" s="294"/>
      <c r="CI1060" s="294"/>
      <c r="CJ1060" s="294"/>
      <c r="CK1060" s="294"/>
      <c r="CL1060" s="294"/>
      <c r="CM1060" s="294"/>
      <c r="CN1060" s="294"/>
    </row>
    <row r="1061" spans="2:92" ht="13">
      <c r="B1061" s="294"/>
      <c r="F1061" s="302"/>
      <c r="J1061" s="302"/>
      <c r="AI1061" s="188"/>
      <c r="AJ1061" s="188"/>
      <c r="AK1061" s="188"/>
      <c r="AL1061" s="188"/>
      <c r="AM1061" s="188"/>
      <c r="AN1061" s="188"/>
      <c r="AO1061" s="299"/>
      <c r="CF1061" s="294"/>
      <c r="CG1061" s="294"/>
      <c r="CH1061" s="294"/>
      <c r="CI1061" s="294"/>
      <c r="CJ1061" s="294"/>
      <c r="CK1061" s="294"/>
      <c r="CL1061" s="294"/>
      <c r="CM1061" s="294"/>
      <c r="CN1061" s="294"/>
    </row>
    <row r="1062" spans="2:92" ht="13">
      <c r="B1062" s="294"/>
      <c r="F1062" s="302"/>
      <c r="J1062" s="302"/>
      <c r="AI1062" s="188"/>
      <c r="AJ1062" s="188"/>
      <c r="AK1062" s="188"/>
      <c r="AL1062" s="188"/>
      <c r="AM1062" s="188"/>
      <c r="AN1062" s="188"/>
      <c r="AO1062" s="299"/>
      <c r="CF1062" s="294"/>
      <c r="CG1062" s="294"/>
      <c r="CH1062" s="294"/>
      <c r="CI1062" s="294"/>
      <c r="CJ1062" s="294"/>
      <c r="CK1062" s="294"/>
      <c r="CL1062" s="294"/>
      <c r="CM1062" s="294"/>
      <c r="CN1062" s="294"/>
    </row>
    <row r="1063" spans="2:92" ht="13">
      <c r="B1063" s="294"/>
      <c r="F1063" s="302"/>
      <c r="J1063" s="302"/>
      <c r="AI1063" s="188"/>
      <c r="AJ1063" s="188"/>
      <c r="AK1063" s="188"/>
      <c r="AL1063" s="188"/>
      <c r="AM1063" s="188"/>
      <c r="AN1063" s="188"/>
      <c r="AO1063" s="299"/>
      <c r="CF1063" s="294"/>
      <c r="CG1063" s="294"/>
      <c r="CH1063" s="294"/>
      <c r="CI1063" s="294"/>
      <c r="CJ1063" s="294"/>
      <c r="CK1063" s="294"/>
      <c r="CL1063" s="294"/>
      <c r="CM1063" s="294"/>
      <c r="CN1063" s="294"/>
    </row>
    <row r="1064" spans="2:92" ht="13">
      <c r="B1064" s="294"/>
      <c r="F1064" s="302"/>
      <c r="J1064" s="302"/>
      <c r="AI1064" s="188"/>
      <c r="AJ1064" s="188"/>
      <c r="AK1064" s="188"/>
      <c r="AL1064" s="188"/>
      <c r="AM1064" s="188"/>
      <c r="AN1064" s="188"/>
      <c r="AO1064" s="299"/>
      <c r="CF1064" s="294"/>
      <c r="CG1064" s="294"/>
      <c r="CH1064" s="294"/>
      <c r="CI1064" s="294"/>
      <c r="CJ1064" s="294"/>
      <c r="CK1064" s="294"/>
      <c r="CL1064" s="294"/>
      <c r="CM1064" s="294"/>
      <c r="CN1064" s="294"/>
    </row>
    <row r="1065" spans="2:92" ht="13">
      <c r="B1065" s="294"/>
      <c r="F1065" s="302"/>
      <c r="J1065" s="302"/>
      <c r="AI1065" s="188"/>
      <c r="AJ1065" s="188"/>
      <c r="AK1065" s="188"/>
      <c r="AL1065" s="188"/>
      <c r="AM1065" s="188"/>
      <c r="AN1065" s="188"/>
      <c r="AO1065" s="299"/>
      <c r="CF1065" s="294"/>
      <c r="CG1065" s="294"/>
      <c r="CH1065" s="294"/>
      <c r="CI1065" s="294"/>
      <c r="CJ1065" s="294"/>
      <c r="CK1065" s="294"/>
      <c r="CL1065" s="294"/>
      <c r="CM1065" s="294"/>
      <c r="CN1065" s="294"/>
    </row>
    <row r="1066" spans="2:92" ht="13">
      <c r="B1066" s="294"/>
      <c r="F1066" s="302"/>
      <c r="J1066" s="302"/>
      <c r="AI1066" s="188"/>
      <c r="AJ1066" s="188"/>
      <c r="AK1066" s="188"/>
      <c r="AL1066" s="188"/>
      <c r="AM1066" s="188"/>
      <c r="AN1066" s="188"/>
      <c r="AO1066" s="299"/>
      <c r="CF1066" s="294"/>
      <c r="CG1066" s="294"/>
      <c r="CH1066" s="294"/>
      <c r="CI1066" s="294"/>
      <c r="CJ1066" s="294"/>
      <c r="CK1066" s="294"/>
      <c r="CL1066" s="294"/>
      <c r="CM1066" s="294"/>
      <c r="CN1066" s="294"/>
    </row>
    <row r="1067" spans="2:92" ht="13">
      <c r="B1067" s="294"/>
      <c r="F1067" s="302"/>
      <c r="J1067" s="302"/>
      <c r="AI1067" s="188"/>
      <c r="AJ1067" s="188"/>
      <c r="AK1067" s="188"/>
      <c r="AL1067" s="188"/>
      <c r="AM1067" s="188"/>
      <c r="AN1067" s="188"/>
      <c r="AO1067" s="299"/>
      <c r="CF1067" s="294"/>
      <c r="CG1067" s="294"/>
      <c r="CH1067" s="294"/>
      <c r="CI1067" s="294"/>
      <c r="CJ1067" s="294"/>
      <c r="CK1067" s="294"/>
      <c r="CL1067" s="294"/>
      <c r="CM1067" s="294"/>
      <c r="CN1067" s="294"/>
    </row>
    <row r="1068" spans="2:92" ht="13">
      <c r="B1068" s="294"/>
      <c r="F1068" s="302"/>
      <c r="J1068" s="302"/>
      <c r="AI1068" s="188"/>
      <c r="AJ1068" s="188"/>
      <c r="AK1068" s="188"/>
      <c r="AL1068" s="188"/>
      <c r="AM1068" s="188"/>
      <c r="AN1068" s="188"/>
      <c r="AO1068" s="299"/>
      <c r="CF1068" s="294"/>
      <c r="CG1068" s="294"/>
      <c r="CH1068" s="294"/>
      <c r="CI1068" s="294"/>
      <c r="CJ1068" s="294"/>
      <c r="CK1068" s="294"/>
      <c r="CL1068" s="294"/>
      <c r="CM1068" s="294"/>
      <c r="CN1068" s="294"/>
    </row>
    <row r="1069" spans="2:92" ht="13">
      <c r="B1069" s="294"/>
      <c r="F1069" s="302"/>
      <c r="J1069" s="302"/>
      <c r="AI1069" s="188"/>
      <c r="AJ1069" s="188"/>
      <c r="AK1069" s="188"/>
      <c r="AL1069" s="188"/>
      <c r="AM1069" s="188"/>
      <c r="AN1069" s="188"/>
      <c r="AO1069" s="299"/>
      <c r="CF1069" s="294"/>
      <c r="CG1069" s="294"/>
      <c r="CH1069" s="294"/>
      <c r="CI1069" s="294"/>
      <c r="CJ1069" s="294"/>
      <c r="CK1069" s="294"/>
      <c r="CL1069" s="294"/>
      <c r="CM1069" s="294"/>
      <c r="CN1069" s="294"/>
    </row>
    <row r="1070" spans="2:92" ht="13">
      <c r="B1070" s="294"/>
      <c r="F1070" s="302"/>
      <c r="J1070" s="302"/>
      <c r="AI1070" s="188"/>
      <c r="AJ1070" s="188"/>
      <c r="AK1070" s="188"/>
      <c r="AL1070" s="188"/>
      <c r="AM1070" s="188"/>
      <c r="AN1070" s="188"/>
      <c r="AO1070" s="299"/>
      <c r="CF1070" s="294"/>
      <c r="CG1070" s="294"/>
      <c r="CH1070" s="294"/>
      <c r="CI1070" s="294"/>
      <c r="CJ1070" s="294"/>
      <c r="CK1070" s="294"/>
      <c r="CL1070" s="294"/>
      <c r="CM1070" s="294"/>
      <c r="CN1070" s="294"/>
    </row>
    <row r="1071" spans="2:92" ht="13">
      <c r="B1071" s="294"/>
      <c r="F1071" s="302"/>
      <c r="J1071" s="302"/>
      <c r="AI1071" s="188"/>
      <c r="AJ1071" s="188"/>
      <c r="AK1071" s="188"/>
      <c r="AL1071" s="188"/>
      <c r="AM1071" s="188"/>
      <c r="AN1071" s="188"/>
      <c r="AO1071" s="299"/>
      <c r="CF1071" s="294"/>
      <c r="CG1071" s="294"/>
      <c r="CH1071" s="294"/>
      <c r="CI1071" s="294"/>
      <c r="CJ1071" s="294"/>
      <c r="CK1071" s="294"/>
      <c r="CL1071" s="294"/>
      <c r="CM1071" s="294"/>
      <c r="CN1071" s="294"/>
    </row>
    <row r="1072" spans="2:92" ht="13">
      <c r="B1072" s="294"/>
      <c r="F1072" s="302"/>
      <c r="J1072" s="302"/>
      <c r="AI1072" s="188"/>
      <c r="AJ1072" s="188"/>
      <c r="AK1072" s="188"/>
      <c r="AL1072" s="188"/>
      <c r="AM1072" s="188"/>
      <c r="AN1072" s="188"/>
      <c r="AO1072" s="299"/>
      <c r="CF1072" s="294"/>
      <c r="CG1072" s="294"/>
      <c r="CH1072" s="294"/>
      <c r="CI1072" s="294"/>
      <c r="CJ1072" s="294"/>
      <c r="CK1072" s="294"/>
      <c r="CL1072" s="294"/>
      <c r="CM1072" s="294"/>
      <c r="CN1072" s="294"/>
    </row>
    <row r="1073" spans="2:92" ht="13">
      <c r="B1073" s="294"/>
      <c r="F1073" s="302"/>
      <c r="J1073" s="302"/>
      <c r="AI1073" s="188"/>
      <c r="AJ1073" s="188"/>
      <c r="AK1073" s="188"/>
      <c r="AL1073" s="188"/>
      <c r="AM1073" s="188"/>
      <c r="AN1073" s="188"/>
      <c r="AO1073" s="299"/>
      <c r="CF1073" s="294"/>
      <c r="CG1073" s="294"/>
      <c r="CH1073" s="294"/>
      <c r="CI1073" s="294"/>
      <c r="CJ1073" s="294"/>
      <c r="CK1073" s="294"/>
      <c r="CL1073" s="294"/>
      <c r="CM1073" s="294"/>
      <c r="CN1073" s="294"/>
    </row>
    <row r="1074" spans="2:92" ht="13">
      <c r="B1074" s="294"/>
      <c r="F1074" s="302"/>
      <c r="J1074" s="302"/>
      <c r="AI1074" s="188"/>
      <c r="AJ1074" s="188"/>
      <c r="AK1074" s="188"/>
      <c r="AL1074" s="188"/>
      <c r="AM1074" s="188"/>
      <c r="AN1074" s="188"/>
      <c r="AO1074" s="299"/>
      <c r="CF1074" s="294"/>
      <c r="CG1074" s="294"/>
      <c r="CH1074" s="294"/>
      <c r="CI1074" s="294"/>
      <c r="CJ1074" s="294"/>
      <c r="CK1074" s="294"/>
      <c r="CL1074" s="294"/>
      <c r="CM1074" s="294"/>
      <c r="CN1074" s="294"/>
    </row>
    <row r="1075" spans="2:92" ht="13">
      <c r="B1075" s="294"/>
      <c r="F1075" s="302"/>
      <c r="J1075" s="302"/>
      <c r="AI1075" s="188"/>
      <c r="AJ1075" s="188"/>
      <c r="AK1075" s="188"/>
      <c r="AL1075" s="188"/>
      <c r="AM1075" s="188"/>
      <c r="AN1075" s="188"/>
      <c r="AO1075" s="299"/>
      <c r="CF1075" s="294"/>
      <c r="CG1075" s="294"/>
      <c r="CH1075" s="294"/>
      <c r="CI1075" s="294"/>
      <c r="CJ1075" s="294"/>
      <c r="CK1075" s="294"/>
      <c r="CL1075" s="294"/>
      <c r="CM1075" s="294"/>
      <c r="CN1075" s="294"/>
    </row>
    <row r="1076" spans="2:92" ht="13">
      <c r="B1076" s="294"/>
      <c r="F1076" s="302"/>
      <c r="J1076" s="302"/>
      <c r="AI1076" s="188"/>
      <c r="AJ1076" s="188"/>
      <c r="AK1076" s="188"/>
      <c r="AL1076" s="188"/>
      <c r="AM1076" s="188"/>
      <c r="AN1076" s="188"/>
      <c r="AO1076" s="299"/>
      <c r="CF1076" s="294"/>
      <c r="CG1076" s="294"/>
      <c r="CH1076" s="294"/>
      <c r="CI1076" s="294"/>
      <c r="CJ1076" s="294"/>
      <c r="CK1076" s="294"/>
      <c r="CL1076" s="294"/>
      <c r="CM1076" s="294"/>
      <c r="CN1076" s="294"/>
    </row>
    <row r="1077" spans="2:92" ht="13">
      <c r="B1077" s="294"/>
      <c r="F1077" s="302"/>
      <c r="J1077" s="302"/>
      <c r="AI1077" s="188"/>
      <c r="AJ1077" s="188"/>
      <c r="AK1077" s="188"/>
      <c r="AL1077" s="188"/>
      <c r="AM1077" s="188"/>
      <c r="AN1077" s="188"/>
      <c r="AO1077" s="299"/>
      <c r="CF1077" s="294"/>
      <c r="CG1077" s="294"/>
      <c r="CH1077" s="294"/>
      <c r="CI1077" s="294"/>
      <c r="CJ1077" s="294"/>
      <c r="CK1077" s="294"/>
      <c r="CL1077" s="294"/>
      <c r="CM1077" s="294"/>
      <c r="CN1077" s="294"/>
    </row>
    <row r="1078" spans="2:92" ht="13">
      <c r="B1078" s="294"/>
      <c r="F1078" s="302"/>
      <c r="J1078" s="302"/>
      <c r="AI1078" s="188"/>
      <c r="AJ1078" s="188"/>
      <c r="AK1078" s="188"/>
      <c r="AL1078" s="188"/>
      <c r="AM1078" s="188"/>
      <c r="AN1078" s="188"/>
      <c r="AO1078" s="299"/>
      <c r="CF1078" s="294"/>
      <c r="CG1078" s="294"/>
      <c r="CH1078" s="294"/>
      <c r="CI1078" s="294"/>
      <c r="CJ1078" s="294"/>
      <c r="CK1078" s="294"/>
      <c r="CL1078" s="294"/>
      <c r="CM1078" s="294"/>
      <c r="CN1078" s="294"/>
    </row>
  </sheetData>
  <conditionalFormatting sqref="C1:C117 G1:G117 K1:K205 G119:G211 C124:C150">
    <cfRule type="cellIs" dxfId="111" priority="7" operator="equal">
      <formula>"5%"</formula>
    </cfRule>
  </conditionalFormatting>
  <conditionalFormatting sqref="C1:C117 G1:G117 K1:K205 G119:G211 C124:C1078">
    <cfRule type="cellIs" dxfId="110" priority="6" operator="equal">
      <formula>"12%"</formula>
    </cfRule>
  </conditionalFormatting>
  <conditionalFormatting sqref="C119:C122">
    <cfRule type="cellIs" dxfId="109" priority="11" operator="equal">
      <formula>"12%"</formula>
    </cfRule>
  </conditionalFormatting>
  <conditionalFormatting sqref="G1 C1:C117 K1:K205 C119:C122 C124:C1078">
    <cfRule type="cellIs" dxfId="108" priority="10" operator="equal">
      <formula>"10%"</formula>
    </cfRule>
  </conditionalFormatting>
  <conditionalFormatting sqref="G1 K1 C1:C117 C119:C122 C124:C1078">
    <cfRule type="cellIs" dxfId="107" priority="12" operator="equal">
      <formula>"5%"</formula>
    </cfRule>
    <cfRule type="cellIs" dxfId="106" priority="13" operator="equal">
      <formula>"18%"</formula>
    </cfRule>
  </conditionalFormatting>
  <conditionalFormatting sqref="K1 C1:C117 G1:G117 G119:G211 C124:C150">
    <cfRule type="cellIs" dxfId="105" priority="8" operator="equal">
      <formula>"10%"</formula>
    </cfRule>
  </conditionalFormatting>
  <conditionalFormatting sqref="M1">
    <cfRule type="containsText" dxfId="104" priority="5" operator="containsText" text="/">
      <formula>NOT(ISERROR(SEARCH(("/"),(M1))))</formula>
    </cfRule>
  </conditionalFormatting>
  <conditionalFormatting sqref="M1:M117 N1:DJ211 C1:C117 G1:I117 J1:L211 C119:C122 G119:I211 M119:M211 C124:C1078">
    <cfRule type="cellIs" dxfId="103" priority="9" operator="equal">
      <formula>"15%"</formula>
    </cfRule>
  </conditionalFormatting>
  <conditionalFormatting sqref="M26 M71:M73 M86:M89">
    <cfRule type="containsText" dxfId="102" priority="1" operator="containsText" text="/">
      <formula>NOT(ISERROR(SEARCH(("/"),(M26))))</formula>
    </cfRule>
  </conditionalFormatting>
  <conditionalFormatting sqref="N118:AP118 BM1:BO1 BQ1:BV1 BX1:BZ1 AQ1:BG1078 BI1:BK1078 BH118 BL118:CB118 BS143">
    <cfRule type="cellIs" dxfId="101" priority="18" operator="equal">
      <formula>0</formula>
    </cfRule>
  </conditionalFormatting>
  <conditionalFormatting sqref="T1 AA1 AH1">
    <cfRule type="cellIs" dxfId="100" priority="3" operator="greaterThanOrEqual">
      <formula>"100%"</formula>
    </cfRule>
    <cfRule type="cellIs" dxfId="99" priority="4" operator="lessThan">
      <formula>"100%"</formula>
    </cfRule>
  </conditionalFormatting>
  <conditionalFormatting sqref="AN1:AN117 AN119:AN1078">
    <cfRule type="cellIs" dxfId="98" priority="17" operator="lessThan">
      <formula>0</formula>
    </cfRule>
  </conditionalFormatting>
  <conditionalFormatting sqref="AO1:AO1078">
    <cfRule type="cellIs" dxfId="97" priority="14" operator="greaterThanOrEqual">
      <formula>"100%"</formula>
    </cfRule>
    <cfRule type="cellIs" dxfId="96" priority="16" operator="lessThan">
      <formula>"100%"</formula>
    </cfRule>
    <cfRule type="cellIs" dxfId="95" priority="15" operator="lessThan">
      <formula>"90%"</formula>
    </cfRule>
  </conditionalFormatting>
  <conditionalFormatting sqref="AQ2:AQ10 AU2:AU10 AY2:AY10 BI2:BI10">
    <cfRule type="cellIs" dxfId="94" priority="20" operator="lessThan">
      <formula>4000000</formula>
    </cfRule>
    <cfRule type="cellIs" dxfId="93" priority="21" operator="greaterThanOrEqual">
      <formula>5000000</formula>
    </cfRule>
    <cfRule type="cellIs" dxfId="92" priority="22" operator="lessThan">
      <formula>5000000</formula>
    </cfRule>
  </conditionalFormatting>
  <conditionalFormatting sqref="AQ13:AQ70 AU13:AU70 AY13:AY70 BB13:BB70 BI13:BI70 AQ74:AQ76 AU74:AU76 AY74:AY76 BB74:BB76 BI74:BI76 AQ78:AQ79 AU78:AU79 AY78:AY79 BB78:BB79 BI78:BI79 AQ125:AQ131 AU125:AU131 AY125:AY131 BB125:BB131 BI125:BI131">
    <cfRule type="cellIs" dxfId="91" priority="23" operator="lessThan">
      <formula>1200000</formula>
    </cfRule>
  </conditionalFormatting>
  <conditionalFormatting sqref="BD1 BG1">
    <cfRule type="cellIs" dxfId="90" priority="2" operator="equal">
      <formula>0</formula>
    </cfRule>
  </conditionalFormatting>
  <conditionalFormatting sqref="BD2:BD118 BG2:BG118 BK2:BK118 BL118:CB118 BD125:BD138 BG125:BG138 BK125:BK138 BS143">
    <cfRule type="containsBlanks" dxfId="89" priority="19">
      <formula>LEN(TRIM(BD2))=0</formula>
    </cfRule>
  </conditionalFormatting>
  <conditionalFormatting sqref="BI11">
    <cfRule type="cellIs" dxfId="88" priority="24" operator="lessThan">
      <formula>2080000</formula>
    </cfRule>
  </conditionalFormatting>
  <conditionalFormatting sqref="BM2:BO117 BM132:BO135">
    <cfRule type="cellIs" dxfId="87" priority="25" operator="lessThanOrEqual">
      <formula>0</formula>
    </cfRule>
    <cfRule type="containsBlanks" dxfId="86" priority="26">
      <formula>LEN(TRIM(BM2))=0</formula>
    </cfRule>
    <cfRule type="cellIs" dxfId="85" priority="27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1000"/>
  <sheetViews>
    <sheetView workbookViewId="0">
      <selection activeCell="J5" sqref="J5"/>
    </sheetView>
  </sheetViews>
  <sheetFormatPr baseColWidth="10" defaultColWidth="12.6640625" defaultRowHeight="15.75" customHeight="1"/>
  <cols>
    <col min="1" max="1" width="10.6640625" customWidth="1"/>
    <col min="2" max="4" width="5.1640625" customWidth="1"/>
    <col min="5" max="5" width="46.6640625" customWidth="1"/>
  </cols>
  <sheetData>
    <row r="1" spans="1:19" ht="15.75" customHeight="1">
      <c r="A1" s="1361" t="s">
        <v>19</v>
      </c>
      <c r="B1" s="1362" t="s">
        <v>20</v>
      </c>
      <c r="C1" s="1362" t="s">
        <v>21</v>
      </c>
      <c r="D1" s="1362" t="s">
        <v>22</v>
      </c>
      <c r="E1" s="1361" t="s">
        <v>24</v>
      </c>
      <c r="F1" s="1363" t="s">
        <v>26</v>
      </c>
      <c r="G1" s="1364" t="s">
        <v>27</v>
      </c>
      <c r="H1" s="1365" t="s">
        <v>49</v>
      </c>
      <c r="I1" s="1366"/>
      <c r="J1" s="1366"/>
      <c r="K1" s="1366"/>
      <c r="L1" s="1366"/>
      <c r="M1" s="1366"/>
      <c r="N1" s="1366"/>
      <c r="O1" s="1366"/>
      <c r="P1" s="1366"/>
      <c r="Q1" s="1366"/>
      <c r="R1" s="1366"/>
      <c r="S1" s="1366"/>
    </row>
    <row r="2" spans="1:19" ht="15.75" customHeight="1">
      <c r="A2" s="325">
        <f t="shared" ref="A2:A33" si="0">VLOOKUP(E2,MAICART1,3,FALSE)</f>
        <v>112014554</v>
      </c>
      <c r="B2" s="324">
        <f t="shared" ref="B2:B33" si="1">VLOOKUP(E2,MAICART1,2,FALSE)</f>
        <v>63</v>
      </c>
      <c r="C2" s="137">
        <f t="shared" ref="C2:C33" si="2">VLOOKUP(B2,A458DC1025,2,FALSE)</f>
        <v>0.1</v>
      </c>
      <c r="D2" s="137">
        <f t="shared" ref="D2:D33" si="3">VLOOKUP(B2,A458DC1025,3,FALSE)</f>
        <v>0.05</v>
      </c>
      <c r="E2" s="325" t="s">
        <v>1121</v>
      </c>
      <c r="F2" s="325"/>
      <c r="G2" s="325"/>
      <c r="H2" s="325"/>
    </row>
    <row r="3" spans="1:19" ht="15.75" customHeight="1">
      <c r="A3" s="325">
        <f t="shared" si="0"/>
        <v>112014582</v>
      </c>
      <c r="B3" s="324">
        <f t="shared" si="1"/>
        <v>63</v>
      </c>
      <c r="C3" s="137">
        <f t="shared" si="2"/>
        <v>0.1</v>
      </c>
      <c r="D3" s="137">
        <f t="shared" si="3"/>
        <v>0.05</v>
      </c>
      <c r="E3" s="325" t="s">
        <v>929</v>
      </c>
      <c r="F3" s="325"/>
      <c r="G3" s="325"/>
      <c r="H3" s="325"/>
    </row>
    <row r="4" spans="1:19" ht="15.75" customHeight="1">
      <c r="A4" s="325">
        <f t="shared" si="0"/>
        <v>112010479</v>
      </c>
      <c r="B4" s="324">
        <f t="shared" si="1"/>
        <v>63</v>
      </c>
      <c r="C4" s="137">
        <f t="shared" si="2"/>
        <v>0.1</v>
      </c>
      <c r="D4" s="137">
        <f t="shared" si="3"/>
        <v>0.05</v>
      </c>
      <c r="E4" s="325" t="s">
        <v>1236</v>
      </c>
      <c r="F4" s="325"/>
      <c r="G4" s="325"/>
      <c r="H4" s="325"/>
    </row>
    <row r="5" spans="1:19" ht="15.75" customHeight="1">
      <c r="A5" s="325">
        <f t="shared" si="0"/>
        <v>112012802</v>
      </c>
      <c r="B5" s="324">
        <f t="shared" si="1"/>
        <v>63</v>
      </c>
      <c r="C5" s="137">
        <f t="shared" si="2"/>
        <v>0.1</v>
      </c>
      <c r="D5" s="137">
        <f t="shared" si="3"/>
        <v>0.05</v>
      </c>
      <c r="E5" s="325" t="s">
        <v>1237</v>
      </c>
      <c r="F5" s="325"/>
      <c r="G5" s="325"/>
      <c r="H5" s="325"/>
    </row>
    <row r="6" spans="1:19" ht="15.75" customHeight="1">
      <c r="A6" s="325">
        <f t="shared" si="0"/>
        <v>112012640</v>
      </c>
      <c r="B6" s="324">
        <f t="shared" si="1"/>
        <v>63</v>
      </c>
      <c r="C6" s="137">
        <f t="shared" si="2"/>
        <v>0.1</v>
      </c>
      <c r="D6" s="137">
        <f t="shared" si="3"/>
        <v>0.05</v>
      </c>
      <c r="E6" s="325" t="s">
        <v>932</v>
      </c>
      <c r="F6" s="325"/>
      <c r="G6" s="325"/>
      <c r="H6" s="325"/>
    </row>
    <row r="7" spans="1:19" ht="15.75" customHeight="1">
      <c r="A7" s="325">
        <f t="shared" si="0"/>
        <v>112012863</v>
      </c>
      <c r="B7" s="324">
        <f t="shared" si="1"/>
        <v>67</v>
      </c>
      <c r="C7" s="137">
        <f t="shared" si="2"/>
        <v>0.05</v>
      </c>
      <c r="D7" s="137">
        <f t="shared" si="3"/>
        <v>0.05</v>
      </c>
      <c r="E7" s="325" t="s">
        <v>933</v>
      </c>
      <c r="F7" s="325"/>
      <c r="G7" s="325"/>
      <c r="H7" s="325"/>
    </row>
    <row r="8" spans="1:19" ht="15.75" customHeight="1">
      <c r="A8" s="325">
        <f t="shared" si="0"/>
        <v>112013656</v>
      </c>
      <c r="B8" s="324">
        <f t="shared" si="1"/>
        <v>71</v>
      </c>
      <c r="C8" s="324" t="str">
        <f t="shared" si="2"/>
        <v>Lista</v>
      </c>
      <c r="D8" s="137">
        <f t="shared" si="3"/>
        <v>0.05</v>
      </c>
      <c r="E8" s="325" t="s">
        <v>958</v>
      </c>
      <c r="F8" s="325"/>
      <c r="G8" s="325"/>
      <c r="H8" s="325"/>
    </row>
    <row r="9" spans="1:19" ht="15.75" customHeight="1">
      <c r="A9" s="325">
        <f t="shared" si="0"/>
        <v>112014698</v>
      </c>
      <c r="B9" s="324">
        <f t="shared" si="1"/>
        <v>71</v>
      </c>
      <c r="C9" s="324" t="str">
        <f t="shared" si="2"/>
        <v>Lista</v>
      </c>
      <c r="D9" s="137">
        <f t="shared" si="3"/>
        <v>0.05</v>
      </c>
      <c r="E9" s="325" t="s">
        <v>1193</v>
      </c>
      <c r="F9" s="325"/>
      <c r="G9" s="325"/>
      <c r="H9" s="325"/>
    </row>
    <row r="10" spans="1:19" ht="15.75" customHeight="1">
      <c r="A10" s="325">
        <f t="shared" si="0"/>
        <v>112012599</v>
      </c>
      <c r="B10" s="324">
        <f t="shared" si="1"/>
        <v>71</v>
      </c>
      <c r="C10" s="324" t="str">
        <f t="shared" si="2"/>
        <v>Lista</v>
      </c>
      <c r="D10" s="137">
        <f t="shared" si="3"/>
        <v>0.05</v>
      </c>
      <c r="E10" s="325" t="s">
        <v>1194</v>
      </c>
      <c r="F10" s="325"/>
      <c r="G10" s="325"/>
      <c r="H10" s="325"/>
    </row>
    <row r="11" spans="1:19" ht="15.75" customHeight="1">
      <c r="A11" s="325">
        <f t="shared" si="0"/>
        <v>112012889</v>
      </c>
      <c r="B11" s="324">
        <f t="shared" si="1"/>
        <v>71</v>
      </c>
      <c r="C11" s="324" t="str">
        <f t="shared" si="2"/>
        <v>Lista</v>
      </c>
      <c r="D11" s="137">
        <f t="shared" si="3"/>
        <v>0.05</v>
      </c>
      <c r="E11" s="325" t="s">
        <v>1174</v>
      </c>
      <c r="F11" s="325"/>
      <c r="G11" s="325"/>
      <c r="H11" s="325"/>
    </row>
    <row r="12" spans="1:19" ht="15.75" customHeight="1">
      <c r="A12" s="325">
        <f t="shared" si="0"/>
        <v>112014207</v>
      </c>
      <c r="B12" s="324">
        <f t="shared" si="1"/>
        <v>70</v>
      </c>
      <c r="C12" s="324" t="str">
        <f t="shared" si="2"/>
        <v>Lista</v>
      </c>
      <c r="D12" s="137">
        <f t="shared" si="3"/>
        <v>0.11</v>
      </c>
      <c r="E12" s="325" t="s">
        <v>907</v>
      </c>
      <c r="F12" s="325"/>
      <c r="G12" s="325"/>
      <c r="H12" s="325"/>
    </row>
    <row r="13" spans="1:19" ht="15.75" customHeight="1">
      <c r="A13" s="325">
        <f t="shared" si="0"/>
        <v>112014529</v>
      </c>
      <c r="B13" s="324">
        <f t="shared" si="1"/>
        <v>70</v>
      </c>
      <c r="C13" s="324" t="str">
        <f t="shared" si="2"/>
        <v>Lista</v>
      </c>
      <c r="D13" s="137">
        <f t="shared" si="3"/>
        <v>0.11</v>
      </c>
      <c r="E13" s="325" t="s">
        <v>1200</v>
      </c>
      <c r="F13" s="325"/>
      <c r="G13" s="325"/>
      <c r="H13" s="325"/>
    </row>
    <row r="14" spans="1:19" ht="15.75" customHeight="1">
      <c r="A14" s="325">
        <f t="shared" si="0"/>
        <v>112014571</v>
      </c>
      <c r="B14" s="324">
        <f t="shared" si="1"/>
        <v>70</v>
      </c>
      <c r="C14" s="324" t="str">
        <f t="shared" si="2"/>
        <v>Lista</v>
      </c>
      <c r="D14" s="137">
        <f t="shared" si="3"/>
        <v>0.11</v>
      </c>
      <c r="E14" s="325" t="s">
        <v>1201</v>
      </c>
      <c r="F14" s="325"/>
      <c r="G14" s="325"/>
      <c r="H14" s="325"/>
    </row>
    <row r="15" spans="1:19" ht="15.75" customHeight="1">
      <c r="A15" s="325">
        <f t="shared" si="0"/>
        <v>112013306</v>
      </c>
      <c r="B15" s="324">
        <f t="shared" si="1"/>
        <v>71</v>
      </c>
      <c r="C15" s="324" t="str">
        <f t="shared" si="2"/>
        <v>Lista</v>
      </c>
      <c r="D15" s="137">
        <f t="shared" si="3"/>
        <v>0.05</v>
      </c>
      <c r="E15" s="325" t="s">
        <v>1176</v>
      </c>
      <c r="F15" s="325"/>
      <c r="G15" s="325"/>
      <c r="H15" s="325"/>
    </row>
    <row r="16" spans="1:19" ht="15.75" customHeight="1">
      <c r="A16" s="325">
        <f t="shared" si="0"/>
        <v>112013126</v>
      </c>
      <c r="B16" s="324">
        <f t="shared" si="1"/>
        <v>71</v>
      </c>
      <c r="C16" s="324" t="str">
        <f t="shared" si="2"/>
        <v>Lista</v>
      </c>
      <c r="D16" s="137">
        <f t="shared" si="3"/>
        <v>0.05</v>
      </c>
      <c r="E16" s="325" t="s">
        <v>915</v>
      </c>
      <c r="F16" s="325"/>
      <c r="G16" s="325"/>
      <c r="H16" s="325"/>
    </row>
    <row r="17" spans="1:8" ht="15.75" customHeight="1">
      <c r="A17" s="325">
        <f t="shared" si="0"/>
        <v>112014108</v>
      </c>
      <c r="B17" s="324">
        <f t="shared" si="1"/>
        <v>71</v>
      </c>
      <c r="C17" s="324" t="str">
        <f t="shared" si="2"/>
        <v>Lista</v>
      </c>
      <c r="D17" s="137">
        <f t="shared" si="3"/>
        <v>0.05</v>
      </c>
      <c r="E17" s="325" t="s">
        <v>976</v>
      </c>
      <c r="F17" s="325"/>
      <c r="G17" s="325"/>
      <c r="H17" s="325"/>
    </row>
    <row r="18" spans="1:8" ht="15.75" customHeight="1">
      <c r="A18" s="325">
        <f t="shared" si="0"/>
        <v>112013890</v>
      </c>
      <c r="B18" s="324">
        <f t="shared" si="1"/>
        <v>71</v>
      </c>
      <c r="C18" s="324" t="str">
        <f t="shared" si="2"/>
        <v>Lista</v>
      </c>
      <c r="D18" s="137">
        <f t="shared" si="3"/>
        <v>0.05</v>
      </c>
      <c r="E18" s="325" t="s">
        <v>978</v>
      </c>
      <c r="F18" s="325"/>
      <c r="G18" s="325"/>
      <c r="H18" s="325"/>
    </row>
    <row r="19" spans="1:8" ht="15.75" customHeight="1">
      <c r="A19" s="325">
        <f t="shared" si="0"/>
        <v>112012501</v>
      </c>
      <c r="B19" s="324">
        <f t="shared" si="1"/>
        <v>71</v>
      </c>
      <c r="C19" s="324" t="str">
        <f t="shared" si="2"/>
        <v>Lista</v>
      </c>
      <c r="D19" s="137">
        <f t="shared" si="3"/>
        <v>0.05</v>
      </c>
      <c r="E19" s="325" t="s">
        <v>1230</v>
      </c>
      <c r="F19" s="325"/>
      <c r="G19" s="325"/>
      <c r="H19" s="325"/>
    </row>
    <row r="20" spans="1:8" ht="15.75" customHeight="1">
      <c r="A20" s="325">
        <f t="shared" si="0"/>
        <v>112014671</v>
      </c>
      <c r="B20" s="324">
        <f t="shared" si="1"/>
        <v>70</v>
      </c>
      <c r="C20" s="324" t="str">
        <f t="shared" si="2"/>
        <v>Lista</v>
      </c>
      <c r="D20" s="137">
        <f t="shared" si="3"/>
        <v>0.11</v>
      </c>
      <c r="E20" s="325" t="s">
        <v>944</v>
      </c>
      <c r="F20" s="325"/>
      <c r="G20" s="325"/>
      <c r="H20" s="325"/>
    </row>
    <row r="21" spans="1:8" ht="15.75" customHeight="1">
      <c r="A21" s="325">
        <f t="shared" si="0"/>
        <v>112013390</v>
      </c>
      <c r="B21" s="324">
        <f t="shared" si="1"/>
        <v>71</v>
      </c>
      <c r="C21" s="324" t="str">
        <f t="shared" si="2"/>
        <v>Lista</v>
      </c>
      <c r="D21" s="137">
        <f t="shared" si="3"/>
        <v>0.05</v>
      </c>
      <c r="E21" s="325" t="s">
        <v>1177</v>
      </c>
      <c r="F21" s="325"/>
      <c r="G21" s="325"/>
      <c r="H21" s="325"/>
    </row>
    <row r="22" spans="1:8" ht="15.75" customHeight="1">
      <c r="A22" s="325">
        <f t="shared" si="0"/>
        <v>112012446</v>
      </c>
      <c r="B22" s="324">
        <f t="shared" si="1"/>
        <v>70</v>
      </c>
      <c r="C22" s="324" t="str">
        <f t="shared" si="2"/>
        <v>Lista</v>
      </c>
      <c r="D22" s="137">
        <f t="shared" si="3"/>
        <v>0.11</v>
      </c>
      <c r="E22" s="325" t="s">
        <v>1204</v>
      </c>
      <c r="F22" s="325"/>
      <c r="G22" s="325"/>
      <c r="H22" s="325"/>
    </row>
    <row r="23" spans="1:8" ht="15.75" customHeight="1">
      <c r="A23" s="325">
        <f t="shared" si="0"/>
        <v>112013558</v>
      </c>
      <c r="B23" s="324">
        <f t="shared" si="1"/>
        <v>70</v>
      </c>
      <c r="C23" s="324" t="str">
        <f t="shared" si="2"/>
        <v>Lista</v>
      </c>
      <c r="D23" s="137">
        <f t="shared" si="3"/>
        <v>0.11</v>
      </c>
      <c r="E23" s="325" t="s">
        <v>1178</v>
      </c>
      <c r="F23" s="325"/>
      <c r="G23" s="325"/>
      <c r="H23" s="325"/>
    </row>
    <row r="24" spans="1:8" ht="15.75" customHeight="1">
      <c r="A24" s="325">
        <f t="shared" si="0"/>
        <v>112014052</v>
      </c>
      <c r="B24" s="324">
        <f t="shared" si="1"/>
        <v>71</v>
      </c>
      <c r="C24" s="324" t="str">
        <f t="shared" si="2"/>
        <v>Lista</v>
      </c>
      <c r="D24" s="137">
        <f t="shared" si="3"/>
        <v>0.05</v>
      </c>
      <c r="E24" s="325" t="s">
        <v>953</v>
      </c>
      <c r="F24" s="325"/>
      <c r="G24" s="325"/>
      <c r="H24" s="325"/>
    </row>
    <row r="25" spans="1:8" ht="15.75" customHeight="1">
      <c r="A25" s="325">
        <f t="shared" si="0"/>
        <v>112012473</v>
      </c>
      <c r="B25" s="324">
        <f t="shared" si="1"/>
        <v>70</v>
      </c>
      <c r="C25" s="324" t="str">
        <f t="shared" si="2"/>
        <v>Lista</v>
      </c>
      <c r="D25" s="137">
        <f t="shared" si="3"/>
        <v>0.11</v>
      </c>
      <c r="E25" s="325" t="s">
        <v>1205</v>
      </c>
      <c r="F25" s="325"/>
      <c r="G25" s="325"/>
      <c r="H25" s="325"/>
    </row>
    <row r="26" spans="1:8" ht="15.75" customHeight="1">
      <c r="A26" s="325">
        <f t="shared" si="0"/>
        <v>112014099</v>
      </c>
      <c r="B26" s="324">
        <f t="shared" si="1"/>
        <v>71</v>
      </c>
      <c r="C26" s="324" t="str">
        <f t="shared" si="2"/>
        <v>Lista</v>
      </c>
      <c r="D26" s="137">
        <f t="shared" si="3"/>
        <v>0.05</v>
      </c>
      <c r="E26" s="325" t="s">
        <v>974</v>
      </c>
      <c r="F26" s="325"/>
      <c r="G26" s="325"/>
      <c r="H26" s="325"/>
    </row>
    <row r="27" spans="1:8" ht="15.75" customHeight="1">
      <c r="A27" s="325">
        <f t="shared" si="0"/>
        <v>112013070</v>
      </c>
      <c r="B27" s="324">
        <f t="shared" si="1"/>
        <v>70</v>
      </c>
      <c r="C27" s="324" t="str">
        <f t="shared" si="2"/>
        <v>Lista</v>
      </c>
      <c r="D27" s="137">
        <f t="shared" si="3"/>
        <v>0.11</v>
      </c>
      <c r="E27" s="325" t="s">
        <v>1234</v>
      </c>
      <c r="F27" s="325"/>
      <c r="G27" s="325"/>
      <c r="H27" s="325"/>
    </row>
    <row r="28" spans="1:8" ht="15.75" customHeight="1">
      <c r="A28" s="325">
        <f t="shared" si="0"/>
        <v>112014266</v>
      </c>
      <c r="B28" s="324">
        <f t="shared" si="1"/>
        <v>70</v>
      </c>
      <c r="C28" s="324" t="str">
        <f t="shared" si="2"/>
        <v>Lista</v>
      </c>
      <c r="D28" s="137">
        <f t="shared" si="3"/>
        <v>0.11</v>
      </c>
      <c r="E28" s="325" t="s">
        <v>1239</v>
      </c>
      <c r="F28" s="325"/>
      <c r="G28" s="325"/>
      <c r="H28" s="325"/>
    </row>
    <row r="29" spans="1:8" ht="15.75" customHeight="1">
      <c r="A29" s="325">
        <f t="shared" si="0"/>
        <v>112012513</v>
      </c>
      <c r="B29" s="324">
        <f t="shared" si="1"/>
        <v>71</v>
      </c>
      <c r="C29" s="324" t="str">
        <f t="shared" si="2"/>
        <v>Lista</v>
      </c>
      <c r="D29" s="137">
        <f t="shared" si="3"/>
        <v>0.05</v>
      </c>
      <c r="E29" s="325" t="s">
        <v>360</v>
      </c>
      <c r="F29" s="325"/>
      <c r="G29" s="325"/>
      <c r="H29" s="325"/>
    </row>
    <row r="30" spans="1:8" ht="15.75" customHeight="1">
      <c r="A30" s="325">
        <f t="shared" si="0"/>
        <v>112014759</v>
      </c>
      <c r="B30" s="324">
        <f t="shared" si="1"/>
        <v>70</v>
      </c>
      <c r="C30" s="324" t="str">
        <f t="shared" si="2"/>
        <v>Lista</v>
      </c>
      <c r="D30" s="137">
        <f t="shared" si="3"/>
        <v>0.11</v>
      </c>
      <c r="E30" s="325" t="s">
        <v>1161</v>
      </c>
      <c r="F30" s="325"/>
      <c r="G30" s="325"/>
      <c r="H30" s="325"/>
    </row>
    <row r="31" spans="1:8" ht="15.75" customHeight="1">
      <c r="A31" s="325">
        <f t="shared" si="0"/>
        <v>112012465</v>
      </c>
      <c r="B31" s="324">
        <f t="shared" si="1"/>
        <v>70</v>
      </c>
      <c r="C31" s="324" t="str">
        <f t="shared" si="2"/>
        <v>Lista</v>
      </c>
      <c r="D31" s="137">
        <f t="shared" si="3"/>
        <v>0.11</v>
      </c>
      <c r="E31" s="325" t="s">
        <v>1240</v>
      </c>
      <c r="F31" s="325"/>
      <c r="G31" s="325"/>
      <c r="H31" s="325"/>
    </row>
    <row r="32" spans="1:8" ht="15.75" customHeight="1">
      <c r="A32" s="325">
        <f t="shared" si="0"/>
        <v>112013337</v>
      </c>
      <c r="B32" s="324">
        <f t="shared" si="1"/>
        <v>71</v>
      </c>
      <c r="C32" s="324" t="str">
        <f t="shared" si="2"/>
        <v>Lista</v>
      </c>
      <c r="D32" s="137">
        <f t="shared" si="3"/>
        <v>0.05</v>
      </c>
      <c r="E32" s="325" t="s">
        <v>1389</v>
      </c>
      <c r="F32" s="325"/>
      <c r="G32" s="325"/>
      <c r="H32" s="325"/>
    </row>
    <row r="33" spans="1:8" ht="15.75" customHeight="1">
      <c r="A33" s="325">
        <f t="shared" si="0"/>
        <v>112014724</v>
      </c>
      <c r="B33" s="324">
        <f t="shared" si="1"/>
        <v>71</v>
      </c>
      <c r="C33" s="324" t="str">
        <f t="shared" si="2"/>
        <v>Lista</v>
      </c>
      <c r="D33" s="137">
        <f t="shared" si="3"/>
        <v>0.05</v>
      </c>
      <c r="E33" s="325" t="s">
        <v>1232</v>
      </c>
      <c r="F33" s="325"/>
      <c r="G33" s="325"/>
      <c r="H33" s="325"/>
    </row>
    <row r="34" spans="1:8" ht="15.75" customHeight="1">
      <c r="A34" s="325">
        <f t="shared" ref="A34:A65" si="4">VLOOKUP(E34,MAICART1,3,FALSE)</f>
        <v>112014699</v>
      </c>
      <c r="B34" s="324">
        <f t="shared" ref="B34:B65" si="5">VLOOKUP(E34,MAICART1,2,FALSE)</f>
        <v>70</v>
      </c>
      <c r="C34" s="324" t="str">
        <f t="shared" ref="C34:C65" si="6">VLOOKUP(B34,A458DC1025,2,FALSE)</f>
        <v>Lista</v>
      </c>
      <c r="D34" s="137">
        <f t="shared" ref="D34:D65" si="7">VLOOKUP(B34,A458DC1025,3,FALSE)</f>
        <v>0.11</v>
      </c>
      <c r="E34" s="325" t="s">
        <v>939</v>
      </c>
      <c r="F34" s="325"/>
      <c r="G34" s="325"/>
      <c r="H34" s="325"/>
    </row>
    <row r="35" spans="1:8" ht="15.75" customHeight="1">
      <c r="A35" s="325">
        <f t="shared" si="4"/>
        <v>112014308</v>
      </c>
      <c r="B35" s="324">
        <f t="shared" si="5"/>
        <v>70</v>
      </c>
      <c r="C35" s="324" t="str">
        <f t="shared" si="6"/>
        <v>Lista</v>
      </c>
      <c r="D35" s="137">
        <f t="shared" si="7"/>
        <v>0.11</v>
      </c>
      <c r="E35" s="325" t="s">
        <v>964</v>
      </c>
      <c r="F35" s="325"/>
      <c r="G35" s="325"/>
      <c r="H35" s="325"/>
    </row>
    <row r="36" spans="1:8" ht="15.75" customHeight="1">
      <c r="A36" s="325">
        <f t="shared" si="4"/>
        <v>112014599</v>
      </c>
      <c r="B36" s="324">
        <f t="shared" si="5"/>
        <v>70</v>
      </c>
      <c r="C36" s="324" t="str">
        <f t="shared" si="6"/>
        <v>Lista</v>
      </c>
      <c r="D36" s="137">
        <f t="shared" si="7"/>
        <v>0.11</v>
      </c>
      <c r="E36" s="325" t="s">
        <v>940</v>
      </c>
      <c r="F36" s="325"/>
      <c r="G36" s="325"/>
      <c r="H36" s="325"/>
    </row>
    <row r="37" spans="1:8" ht="15.75" customHeight="1">
      <c r="A37" s="325">
        <f t="shared" si="4"/>
        <v>112011649</v>
      </c>
      <c r="B37" s="324">
        <f t="shared" si="5"/>
        <v>71</v>
      </c>
      <c r="C37" s="324" t="str">
        <f t="shared" si="6"/>
        <v>Lista</v>
      </c>
      <c r="D37" s="137">
        <f t="shared" si="7"/>
        <v>0.05</v>
      </c>
      <c r="E37" s="325" t="s">
        <v>1514</v>
      </c>
      <c r="F37" s="325"/>
      <c r="G37" s="325"/>
      <c r="H37" s="325"/>
    </row>
    <row r="38" spans="1:8" ht="15.75" customHeight="1">
      <c r="A38" s="325">
        <f t="shared" si="4"/>
        <v>112014651</v>
      </c>
      <c r="B38" s="324">
        <f t="shared" si="5"/>
        <v>70</v>
      </c>
      <c r="C38" s="324" t="str">
        <f t="shared" si="6"/>
        <v>Lista</v>
      </c>
      <c r="D38" s="137">
        <f t="shared" si="7"/>
        <v>0.11</v>
      </c>
      <c r="E38" s="325" t="s">
        <v>1118</v>
      </c>
      <c r="F38" s="325"/>
      <c r="G38" s="325"/>
      <c r="H38" s="325"/>
    </row>
    <row r="39" spans="1:8" ht="15.75" customHeight="1">
      <c r="A39" s="325">
        <f t="shared" si="4"/>
        <v>112014040</v>
      </c>
      <c r="B39" s="324">
        <f t="shared" si="5"/>
        <v>70</v>
      </c>
      <c r="C39" s="324" t="str">
        <f t="shared" si="6"/>
        <v>Lista</v>
      </c>
      <c r="D39" s="137">
        <f t="shared" si="7"/>
        <v>0.11</v>
      </c>
      <c r="E39" s="325" t="s">
        <v>962</v>
      </c>
      <c r="F39" s="325"/>
      <c r="G39" s="325"/>
      <c r="H39" s="325"/>
    </row>
    <row r="40" spans="1:8" ht="15.75" customHeight="1">
      <c r="A40" s="325">
        <f t="shared" si="4"/>
        <v>112014096</v>
      </c>
      <c r="B40" s="324">
        <f t="shared" si="5"/>
        <v>70</v>
      </c>
      <c r="C40" s="324" t="str">
        <f t="shared" si="6"/>
        <v>Lista</v>
      </c>
      <c r="D40" s="137">
        <f t="shared" si="7"/>
        <v>0.11</v>
      </c>
      <c r="E40" s="325" t="s">
        <v>1241</v>
      </c>
      <c r="F40" s="325"/>
      <c r="G40" s="325"/>
      <c r="H40" s="325"/>
    </row>
    <row r="41" spans="1:8" ht="15.75" customHeight="1">
      <c r="A41" s="325">
        <f t="shared" si="4"/>
        <v>112014662</v>
      </c>
      <c r="B41" s="324">
        <f t="shared" si="5"/>
        <v>70</v>
      </c>
      <c r="C41" s="324" t="str">
        <f t="shared" si="6"/>
        <v>Lista</v>
      </c>
      <c r="D41" s="137">
        <f t="shared" si="7"/>
        <v>0.11</v>
      </c>
      <c r="E41" s="325" t="s">
        <v>363</v>
      </c>
      <c r="F41" s="325"/>
      <c r="G41" s="325"/>
      <c r="H41" s="325"/>
    </row>
    <row r="42" spans="1:8" ht="15.75" customHeight="1">
      <c r="A42" s="325">
        <f t="shared" si="4"/>
        <v>112013639</v>
      </c>
      <c r="B42" s="324">
        <f t="shared" si="5"/>
        <v>71</v>
      </c>
      <c r="C42" s="324" t="str">
        <f t="shared" si="6"/>
        <v>Lista</v>
      </c>
      <c r="D42" s="137">
        <f t="shared" si="7"/>
        <v>0.05</v>
      </c>
      <c r="E42" s="325" t="s">
        <v>1206</v>
      </c>
      <c r="F42" s="325"/>
      <c r="G42" s="325"/>
      <c r="H42" s="325"/>
    </row>
    <row r="43" spans="1:8" ht="13">
      <c r="A43" s="325">
        <f t="shared" si="4"/>
        <v>112014625</v>
      </c>
      <c r="B43" s="324">
        <f t="shared" si="5"/>
        <v>70</v>
      </c>
      <c r="C43" s="324" t="str">
        <f t="shared" si="6"/>
        <v>Lista</v>
      </c>
      <c r="D43" s="137">
        <f t="shared" si="7"/>
        <v>0.11</v>
      </c>
      <c r="E43" s="325" t="s">
        <v>968</v>
      </c>
      <c r="F43" s="325"/>
      <c r="G43" s="325"/>
      <c r="H43" s="325"/>
    </row>
    <row r="44" spans="1:8" ht="13">
      <c r="A44" s="325">
        <f t="shared" si="4"/>
        <v>112014552</v>
      </c>
      <c r="B44" s="324">
        <f t="shared" si="5"/>
        <v>71</v>
      </c>
      <c r="C44" s="324" t="str">
        <f t="shared" si="6"/>
        <v>Lista</v>
      </c>
      <c r="D44" s="137">
        <f t="shared" si="7"/>
        <v>0.05</v>
      </c>
      <c r="E44" s="325" t="s">
        <v>965</v>
      </c>
      <c r="F44" s="325"/>
      <c r="G44" s="325"/>
      <c r="H44" s="325"/>
    </row>
    <row r="45" spans="1:8" ht="13">
      <c r="A45" s="325">
        <f t="shared" si="4"/>
        <v>112013855</v>
      </c>
      <c r="B45" s="324">
        <f t="shared" si="5"/>
        <v>70</v>
      </c>
      <c r="C45" s="324" t="str">
        <f t="shared" si="6"/>
        <v>Lista</v>
      </c>
      <c r="D45" s="137">
        <f t="shared" si="7"/>
        <v>0.11</v>
      </c>
      <c r="E45" s="325" t="s">
        <v>1219</v>
      </c>
      <c r="F45" s="325"/>
      <c r="G45" s="325"/>
      <c r="H45" s="325"/>
    </row>
    <row r="46" spans="1:8" ht="13">
      <c r="A46" s="325">
        <f t="shared" si="4"/>
        <v>112014201</v>
      </c>
      <c r="B46" s="324">
        <f t="shared" si="5"/>
        <v>70</v>
      </c>
      <c r="C46" s="324" t="str">
        <f t="shared" si="6"/>
        <v>Lista</v>
      </c>
      <c r="D46" s="137">
        <f t="shared" si="7"/>
        <v>0.11</v>
      </c>
      <c r="E46" s="325" t="s">
        <v>963</v>
      </c>
      <c r="F46" s="325"/>
      <c r="G46" s="325"/>
      <c r="H46" s="325"/>
    </row>
    <row r="47" spans="1:8" ht="13">
      <c r="A47" s="325">
        <f t="shared" si="4"/>
        <v>112013146</v>
      </c>
      <c r="B47" s="324">
        <f t="shared" si="5"/>
        <v>70</v>
      </c>
      <c r="C47" s="324" t="str">
        <f t="shared" si="6"/>
        <v>Lista</v>
      </c>
      <c r="D47" s="137">
        <f t="shared" si="7"/>
        <v>0.11</v>
      </c>
      <c r="E47" s="325" t="s">
        <v>1166</v>
      </c>
      <c r="F47" s="325"/>
      <c r="G47" s="325"/>
      <c r="H47" s="325"/>
    </row>
    <row r="48" spans="1:8" ht="13">
      <c r="A48" s="325">
        <f t="shared" si="4"/>
        <v>112014756</v>
      </c>
      <c r="B48" s="324">
        <f t="shared" si="5"/>
        <v>71</v>
      </c>
      <c r="C48" s="324" t="str">
        <f t="shared" si="6"/>
        <v>Lista</v>
      </c>
      <c r="D48" s="137">
        <f t="shared" si="7"/>
        <v>0.05</v>
      </c>
      <c r="E48" s="325" t="s">
        <v>981</v>
      </c>
      <c r="F48" s="325"/>
      <c r="G48" s="325"/>
      <c r="H48" s="325"/>
    </row>
    <row r="49" spans="1:8" ht="13">
      <c r="A49" s="325">
        <f t="shared" si="4"/>
        <v>112014125</v>
      </c>
      <c r="B49" s="324">
        <f t="shared" si="5"/>
        <v>71</v>
      </c>
      <c r="C49" s="324" t="str">
        <f t="shared" si="6"/>
        <v>Lista</v>
      </c>
      <c r="D49" s="137">
        <f t="shared" si="7"/>
        <v>0.05</v>
      </c>
      <c r="E49" s="325" t="s">
        <v>934</v>
      </c>
      <c r="F49" s="325"/>
      <c r="G49" s="325"/>
      <c r="H49" s="325"/>
    </row>
    <row r="50" spans="1:8" ht="13">
      <c r="A50" s="325">
        <f t="shared" si="4"/>
        <v>112013266</v>
      </c>
      <c r="B50" s="324">
        <f t="shared" si="5"/>
        <v>70</v>
      </c>
      <c r="C50" s="324" t="str">
        <f t="shared" si="6"/>
        <v>Lista</v>
      </c>
      <c r="D50" s="137">
        <f t="shared" si="7"/>
        <v>0.11</v>
      </c>
      <c r="E50" s="325" t="s">
        <v>1170</v>
      </c>
      <c r="F50" s="325"/>
      <c r="G50" s="325"/>
      <c r="H50" s="325"/>
    </row>
    <row r="51" spans="1:8" ht="13">
      <c r="A51" s="325">
        <f t="shared" si="4"/>
        <v>112013784</v>
      </c>
      <c r="B51" s="324">
        <f t="shared" si="5"/>
        <v>71</v>
      </c>
      <c r="C51" s="324" t="str">
        <f t="shared" si="6"/>
        <v>Lista</v>
      </c>
      <c r="D51" s="137">
        <f t="shared" si="7"/>
        <v>0.05</v>
      </c>
      <c r="E51" s="325" t="s">
        <v>1228</v>
      </c>
      <c r="F51" s="325"/>
      <c r="G51" s="325"/>
      <c r="H51" s="325"/>
    </row>
    <row r="52" spans="1:8" ht="13">
      <c r="A52" s="325">
        <f t="shared" si="4"/>
        <v>112014568</v>
      </c>
      <c r="B52" s="324">
        <f t="shared" si="5"/>
        <v>71</v>
      </c>
      <c r="C52" s="324" t="str">
        <f t="shared" si="6"/>
        <v>Lista</v>
      </c>
      <c r="D52" s="137">
        <f t="shared" si="7"/>
        <v>0.05</v>
      </c>
      <c r="E52" s="325" t="s">
        <v>969</v>
      </c>
      <c r="F52" s="325"/>
      <c r="G52" s="325"/>
      <c r="H52" s="325"/>
    </row>
    <row r="53" spans="1:8" ht="13">
      <c r="A53" s="325">
        <f t="shared" si="4"/>
        <v>112012595</v>
      </c>
      <c r="B53" s="324">
        <f t="shared" si="5"/>
        <v>71</v>
      </c>
      <c r="C53" s="324" t="str">
        <f t="shared" si="6"/>
        <v>Lista</v>
      </c>
      <c r="D53" s="137">
        <f t="shared" si="7"/>
        <v>0.05</v>
      </c>
      <c r="E53" s="325" t="s">
        <v>1207</v>
      </c>
      <c r="F53" s="325"/>
      <c r="G53" s="325"/>
      <c r="H53" s="325"/>
    </row>
    <row r="54" spans="1:8" ht="13">
      <c r="A54" s="325">
        <f t="shared" si="4"/>
        <v>112012424</v>
      </c>
      <c r="B54" s="324">
        <f t="shared" si="5"/>
        <v>70</v>
      </c>
      <c r="C54" s="324" t="str">
        <f t="shared" si="6"/>
        <v>Lista</v>
      </c>
      <c r="D54" s="137">
        <f t="shared" si="7"/>
        <v>0.11</v>
      </c>
      <c r="E54" s="325" t="s">
        <v>947</v>
      </c>
      <c r="F54" s="325"/>
      <c r="G54" s="325"/>
      <c r="H54" s="325"/>
    </row>
    <row r="55" spans="1:8" ht="13">
      <c r="A55" s="325">
        <f t="shared" si="4"/>
        <v>112011846</v>
      </c>
      <c r="B55" s="324">
        <f t="shared" si="5"/>
        <v>71</v>
      </c>
      <c r="C55" s="324" t="str">
        <f t="shared" si="6"/>
        <v>Lista</v>
      </c>
      <c r="D55" s="137">
        <f t="shared" si="7"/>
        <v>0.05</v>
      </c>
      <c r="E55" s="325" t="s">
        <v>1208</v>
      </c>
      <c r="F55" s="325"/>
      <c r="G55" s="325"/>
      <c r="H55" s="325"/>
    </row>
    <row r="56" spans="1:8" ht="13">
      <c r="A56" s="325">
        <f t="shared" si="4"/>
        <v>112013366</v>
      </c>
      <c r="B56" s="324">
        <f t="shared" si="5"/>
        <v>71</v>
      </c>
      <c r="C56" s="324" t="str">
        <f t="shared" si="6"/>
        <v>Lista</v>
      </c>
      <c r="D56" s="137">
        <f t="shared" si="7"/>
        <v>0.05</v>
      </c>
      <c r="E56" s="325" t="s">
        <v>1181</v>
      </c>
      <c r="F56" s="325"/>
      <c r="G56" s="325"/>
      <c r="H56" s="325"/>
    </row>
    <row r="57" spans="1:8" ht="13">
      <c r="A57" s="325">
        <f t="shared" si="4"/>
        <v>112012576</v>
      </c>
      <c r="B57" s="324">
        <f t="shared" si="5"/>
        <v>70</v>
      </c>
      <c r="C57" s="324" t="str">
        <f t="shared" si="6"/>
        <v>Lista</v>
      </c>
      <c r="D57" s="137">
        <f t="shared" si="7"/>
        <v>0.11</v>
      </c>
      <c r="E57" s="325" t="s">
        <v>1159</v>
      </c>
      <c r="F57" s="325"/>
      <c r="G57" s="325"/>
      <c r="H57" s="325"/>
    </row>
    <row r="58" spans="1:8" ht="13">
      <c r="A58" s="325">
        <f t="shared" si="4"/>
        <v>112013698</v>
      </c>
      <c r="B58" s="324">
        <f t="shared" si="5"/>
        <v>71</v>
      </c>
      <c r="C58" s="324" t="str">
        <f t="shared" si="6"/>
        <v>Lista</v>
      </c>
      <c r="D58" s="137">
        <f t="shared" si="7"/>
        <v>0.05</v>
      </c>
      <c r="E58" s="325" t="s">
        <v>948</v>
      </c>
      <c r="F58" s="325"/>
      <c r="G58" s="325"/>
      <c r="H58" s="325"/>
    </row>
    <row r="59" spans="1:8" ht="13">
      <c r="A59" s="325">
        <f t="shared" si="4"/>
        <v>112013037</v>
      </c>
      <c r="B59" s="324">
        <f t="shared" si="5"/>
        <v>70</v>
      </c>
      <c r="C59" s="324" t="str">
        <f t="shared" si="6"/>
        <v>Lista</v>
      </c>
      <c r="D59" s="137">
        <f t="shared" si="7"/>
        <v>0.11</v>
      </c>
      <c r="E59" s="325" t="s">
        <v>1164</v>
      </c>
      <c r="F59" s="325"/>
      <c r="G59" s="325"/>
      <c r="H59" s="325"/>
    </row>
    <row r="60" spans="1:8" ht="13">
      <c r="A60" s="325">
        <f t="shared" si="4"/>
        <v>112014765</v>
      </c>
      <c r="B60" s="324">
        <f t="shared" si="5"/>
        <v>70</v>
      </c>
      <c r="C60" s="324" t="str">
        <f t="shared" si="6"/>
        <v>Lista</v>
      </c>
      <c r="D60" s="137">
        <f t="shared" si="7"/>
        <v>0.11</v>
      </c>
      <c r="E60" s="325" t="s">
        <v>1171</v>
      </c>
      <c r="F60" s="325"/>
      <c r="G60" s="325"/>
      <c r="H60" s="325"/>
    </row>
    <row r="61" spans="1:8" ht="13">
      <c r="A61" s="325">
        <f t="shared" si="4"/>
        <v>112014464</v>
      </c>
      <c r="B61" s="324">
        <f t="shared" si="5"/>
        <v>70</v>
      </c>
      <c r="C61" s="324" t="str">
        <f t="shared" si="6"/>
        <v>Lista</v>
      </c>
      <c r="D61" s="137">
        <f t="shared" si="7"/>
        <v>0.11</v>
      </c>
      <c r="E61" s="325" t="s">
        <v>1216</v>
      </c>
      <c r="F61" s="325"/>
      <c r="G61" s="325"/>
      <c r="H61" s="325"/>
    </row>
    <row r="62" spans="1:8" ht="13">
      <c r="A62" s="325">
        <f t="shared" si="4"/>
        <v>112012486</v>
      </c>
      <c r="B62" s="324">
        <f t="shared" si="5"/>
        <v>70</v>
      </c>
      <c r="C62" s="324" t="str">
        <f t="shared" si="6"/>
        <v>Lista</v>
      </c>
      <c r="D62" s="137">
        <f t="shared" si="7"/>
        <v>0.11</v>
      </c>
      <c r="E62" s="325" t="s">
        <v>1197</v>
      </c>
      <c r="F62" s="325"/>
      <c r="G62" s="325"/>
      <c r="H62" s="325"/>
    </row>
    <row r="63" spans="1:8" ht="13">
      <c r="A63" s="325">
        <f t="shared" si="4"/>
        <v>112010481</v>
      </c>
      <c r="B63" s="324">
        <f t="shared" si="5"/>
        <v>71</v>
      </c>
      <c r="C63" s="324" t="str">
        <f t="shared" si="6"/>
        <v>Lista</v>
      </c>
      <c r="D63" s="137">
        <f t="shared" si="7"/>
        <v>0.05</v>
      </c>
      <c r="E63" s="325" t="s">
        <v>1227</v>
      </c>
      <c r="F63" s="325"/>
      <c r="G63" s="325"/>
      <c r="H63" s="325"/>
    </row>
    <row r="64" spans="1:8" ht="13">
      <c r="A64" s="325">
        <f t="shared" si="4"/>
        <v>112010482</v>
      </c>
      <c r="B64" s="324">
        <f t="shared" si="5"/>
        <v>70</v>
      </c>
      <c r="C64" s="324" t="str">
        <f t="shared" si="6"/>
        <v>Lista</v>
      </c>
      <c r="D64" s="137">
        <f t="shared" si="7"/>
        <v>0.11</v>
      </c>
      <c r="E64" s="325" t="s">
        <v>1172</v>
      </c>
      <c r="F64" s="325"/>
      <c r="G64" s="325"/>
      <c r="H64" s="325"/>
    </row>
    <row r="65" spans="1:8" ht="13">
      <c r="A65" s="325">
        <f t="shared" si="4"/>
        <v>112013088</v>
      </c>
      <c r="B65" s="324">
        <f t="shared" si="5"/>
        <v>71</v>
      </c>
      <c r="C65" s="324" t="str">
        <f t="shared" si="6"/>
        <v>Lista</v>
      </c>
      <c r="D65" s="137">
        <f t="shared" si="7"/>
        <v>0.05</v>
      </c>
      <c r="E65" s="325" t="s">
        <v>1183</v>
      </c>
      <c r="F65" s="325"/>
      <c r="G65" s="325"/>
      <c r="H65" s="325"/>
    </row>
    <row r="66" spans="1:8" ht="13">
      <c r="A66" s="325">
        <f t="shared" ref="A66:A83" si="8">VLOOKUP(E66,MAICART1,3,FALSE)</f>
        <v>112011927</v>
      </c>
      <c r="B66" s="324">
        <f t="shared" ref="B66:B83" si="9">VLOOKUP(E66,MAICART1,2,FALSE)</f>
        <v>71</v>
      </c>
      <c r="C66" s="324" t="str">
        <f t="shared" ref="C66:C97" si="10">VLOOKUP(B66,A458DC1025,2,FALSE)</f>
        <v>Lista</v>
      </c>
      <c r="D66" s="137">
        <f t="shared" ref="D66:D78" si="11">VLOOKUP(B66,A458DC1025,3,FALSE)</f>
        <v>0.05</v>
      </c>
      <c r="E66" s="325" t="s">
        <v>941</v>
      </c>
      <c r="F66" s="325"/>
      <c r="G66" s="325"/>
      <c r="H66" s="325"/>
    </row>
    <row r="67" spans="1:8" ht="13">
      <c r="A67" s="325">
        <f t="shared" si="8"/>
        <v>112011571</v>
      </c>
      <c r="B67" s="324">
        <f t="shared" si="9"/>
        <v>71</v>
      </c>
      <c r="C67" s="324" t="str">
        <f t="shared" si="10"/>
        <v>Lista</v>
      </c>
      <c r="D67" s="137">
        <f t="shared" si="11"/>
        <v>0.05</v>
      </c>
      <c r="E67" s="325" t="s">
        <v>1184</v>
      </c>
      <c r="F67" s="325"/>
      <c r="G67" s="325"/>
      <c r="H67" s="325"/>
    </row>
    <row r="68" spans="1:8" ht="13">
      <c r="A68" s="325">
        <f t="shared" si="8"/>
        <v>112012795</v>
      </c>
      <c r="B68" s="324">
        <f t="shared" si="9"/>
        <v>70</v>
      </c>
      <c r="C68" s="324" t="str">
        <f t="shared" si="10"/>
        <v>Lista</v>
      </c>
      <c r="D68" s="137">
        <f t="shared" si="11"/>
        <v>0.11</v>
      </c>
      <c r="E68" s="325" t="s">
        <v>1189</v>
      </c>
      <c r="F68" s="325"/>
      <c r="G68" s="325"/>
      <c r="H68" s="325"/>
    </row>
    <row r="69" spans="1:8" ht="13">
      <c r="A69" s="325">
        <f t="shared" si="8"/>
        <v>112012375</v>
      </c>
      <c r="B69" s="324">
        <f t="shared" si="9"/>
        <v>70</v>
      </c>
      <c r="C69" s="324" t="str">
        <f t="shared" si="10"/>
        <v>Lista</v>
      </c>
      <c r="D69" s="137">
        <f t="shared" si="11"/>
        <v>0.11</v>
      </c>
      <c r="E69" s="325" t="s">
        <v>1213</v>
      </c>
      <c r="F69" s="325"/>
      <c r="G69" s="325"/>
      <c r="H69" s="325"/>
    </row>
    <row r="70" spans="1:8" ht="13">
      <c r="A70" s="325">
        <f t="shared" si="8"/>
        <v>112014690</v>
      </c>
      <c r="B70" s="324">
        <f t="shared" si="9"/>
        <v>71</v>
      </c>
      <c r="C70" s="324" t="str">
        <f t="shared" si="10"/>
        <v>Lista</v>
      </c>
      <c r="D70" s="137">
        <f t="shared" si="11"/>
        <v>0.05</v>
      </c>
      <c r="E70" s="325" t="s">
        <v>959</v>
      </c>
      <c r="F70" s="325"/>
      <c r="G70" s="325"/>
      <c r="H70" s="325"/>
    </row>
    <row r="71" spans="1:8" ht="13">
      <c r="A71" s="325">
        <f t="shared" si="8"/>
        <v>112013873</v>
      </c>
      <c r="B71" s="324">
        <f t="shared" si="9"/>
        <v>71</v>
      </c>
      <c r="C71" s="324" t="str">
        <f t="shared" si="10"/>
        <v>Lista</v>
      </c>
      <c r="D71" s="137">
        <f t="shared" si="11"/>
        <v>0.05</v>
      </c>
      <c r="E71" s="325" t="s">
        <v>1185</v>
      </c>
      <c r="F71" s="325"/>
      <c r="G71" s="325"/>
      <c r="H71" s="325"/>
    </row>
    <row r="72" spans="1:8" ht="13">
      <c r="A72" s="325">
        <f t="shared" si="8"/>
        <v>112014192</v>
      </c>
      <c r="B72" s="324">
        <f t="shared" si="9"/>
        <v>70</v>
      </c>
      <c r="C72" s="324" t="str">
        <f t="shared" si="10"/>
        <v>Lista</v>
      </c>
      <c r="D72" s="137">
        <f t="shared" si="11"/>
        <v>0.11</v>
      </c>
      <c r="E72" s="325" t="s">
        <v>1196</v>
      </c>
      <c r="F72" s="325"/>
      <c r="G72" s="325"/>
      <c r="H72" s="325"/>
    </row>
    <row r="73" spans="1:8" ht="13">
      <c r="A73" s="325">
        <f t="shared" si="8"/>
        <v>112011525</v>
      </c>
      <c r="B73" s="324">
        <f t="shared" si="9"/>
        <v>70</v>
      </c>
      <c r="C73" s="324" t="str">
        <f t="shared" si="10"/>
        <v>Lista</v>
      </c>
      <c r="D73" s="137">
        <f t="shared" si="11"/>
        <v>0.11</v>
      </c>
      <c r="E73" s="325" t="s">
        <v>1210</v>
      </c>
      <c r="F73" s="325"/>
      <c r="G73" s="325"/>
      <c r="H73" s="325"/>
    </row>
    <row r="74" spans="1:8" ht="13">
      <c r="A74" s="325">
        <f t="shared" si="8"/>
        <v>112010856</v>
      </c>
      <c r="B74" s="324">
        <f t="shared" si="9"/>
        <v>70</v>
      </c>
      <c r="C74" s="324" t="str">
        <f t="shared" si="10"/>
        <v>Lista</v>
      </c>
      <c r="D74" s="137">
        <f t="shared" si="11"/>
        <v>0.11</v>
      </c>
      <c r="E74" s="325" t="s">
        <v>956</v>
      </c>
      <c r="F74" s="325"/>
      <c r="G74" s="325"/>
      <c r="H74" s="325"/>
    </row>
    <row r="75" spans="1:8" ht="13">
      <c r="A75" s="325">
        <f t="shared" si="8"/>
        <v>112012973</v>
      </c>
      <c r="B75" s="324">
        <f t="shared" si="9"/>
        <v>71</v>
      </c>
      <c r="C75" s="324" t="str">
        <f t="shared" si="10"/>
        <v>Lista</v>
      </c>
      <c r="D75" s="137">
        <f t="shared" si="11"/>
        <v>0.05</v>
      </c>
      <c r="E75" s="325" t="s">
        <v>1387</v>
      </c>
      <c r="F75" s="325"/>
      <c r="G75" s="325"/>
      <c r="H75" s="325"/>
    </row>
    <row r="76" spans="1:8" ht="13">
      <c r="A76" s="325">
        <f t="shared" si="8"/>
        <v>112014306</v>
      </c>
      <c r="B76" s="324">
        <f t="shared" si="9"/>
        <v>71</v>
      </c>
      <c r="C76" s="324" t="str">
        <f t="shared" si="10"/>
        <v>Lista</v>
      </c>
      <c r="D76" s="137">
        <f t="shared" si="11"/>
        <v>0.05</v>
      </c>
      <c r="E76" s="325" t="s">
        <v>1119</v>
      </c>
      <c r="F76" s="325"/>
      <c r="G76" s="325"/>
      <c r="H76" s="325"/>
    </row>
    <row r="77" spans="1:8" ht="13">
      <c r="A77" s="325">
        <f t="shared" si="8"/>
        <v>112013235</v>
      </c>
      <c r="B77" s="324">
        <f t="shared" si="9"/>
        <v>70</v>
      </c>
      <c r="C77" s="324" t="str">
        <f t="shared" si="10"/>
        <v>Lista</v>
      </c>
      <c r="D77" s="137">
        <f t="shared" si="11"/>
        <v>0.11</v>
      </c>
      <c r="E77" s="325" t="s">
        <v>1215</v>
      </c>
      <c r="F77" s="325"/>
      <c r="G77" s="325"/>
      <c r="H77" s="325"/>
    </row>
    <row r="78" spans="1:8" ht="13">
      <c r="A78" s="325">
        <f t="shared" si="8"/>
        <v>112012430</v>
      </c>
      <c r="B78" s="324">
        <f t="shared" si="9"/>
        <v>70</v>
      </c>
      <c r="C78" s="324" t="str">
        <f t="shared" si="10"/>
        <v>Lista</v>
      </c>
      <c r="D78" s="137">
        <f t="shared" si="11"/>
        <v>0.11</v>
      </c>
      <c r="E78" s="325" t="s">
        <v>1190</v>
      </c>
      <c r="F78" s="325"/>
      <c r="G78" s="325"/>
      <c r="H78" s="325"/>
    </row>
    <row r="79" spans="1:8" ht="13">
      <c r="A79" s="325">
        <f t="shared" si="8"/>
        <v>112013383</v>
      </c>
      <c r="B79" s="324">
        <f t="shared" si="9"/>
        <v>0</v>
      </c>
      <c r="C79" s="324" t="str">
        <f>IFERROR(VLOOKUP(B79,A458DC1025,2,FALSE),"")</f>
        <v/>
      </c>
      <c r="D79" s="324" t="str">
        <f>IFERROR(VLOOKUP(B79,A458DC1025,3,FALSE),"")</f>
        <v/>
      </c>
      <c r="E79" s="325" t="s">
        <v>1512</v>
      </c>
      <c r="F79" s="325"/>
      <c r="G79" s="325"/>
      <c r="H79" s="325"/>
    </row>
    <row r="80" spans="1:8" ht="13">
      <c r="A80" s="325">
        <f t="shared" si="8"/>
        <v>112012164</v>
      </c>
      <c r="B80" s="324">
        <f t="shared" si="9"/>
        <v>0</v>
      </c>
      <c r="C80" s="324" t="str">
        <f>IFERROR(VLOOKUP(B80,A458DC1025,2,FALSE),"")</f>
        <v/>
      </c>
      <c r="D80" s="324" t="str">
        <f>IFERROR(VLOOKUP(B80,A458DC1025,3,FALSE),"")</f>
        <v/>
      </c>
      <c r="E80" s="325" t="s">
        <v>982</v>
      </c>
      <c r="F80" s="325"/>
      <c r="G80" s="325"/>
      <c r="H80" s="325"/>
    </row>
    <row r="81" spans="1:8" ht="13">
      <c r="A81" s="325">
        <f t="shared" si="8"/>
        <v>112012917</v>
      </c>
      <c r="B81" s="324">
        <f t="shared" si="9"/>
        <v>0</v>
      </c>
      <c r="C81" s="324" t="str">
        <f>IFERROR(VLOOKUP(B81,A458DC1025,2,FALSE),"")</f>
        <v/>
      </c>
      <c r="D81" s="324" t="str">
        <f>IFERROR(VLOOKUP(B81,A458DC1025,3,FALSE),"")</f>
        <v/>
      </c>
      <c r="E81" s="325" t="s">
        <v>1246</v>
      </c>
      <c r="F81" s="325"/>
      <c r="G81" s="325"/>
      <c r="H81" s="325"/>
    </row>
    <row r="82" spans="1:8" ht="13">
      <c r="A82" s="325">
        <f t="shared" si="8"/>
        <v>112012708</v>
      </c>
      <c r="B82" s="324">
        <f t="shared" si="9"/>
        <v>0</v>
      </c>
      <c r="C82" s="324" t="str">
        <f>IFERROR(VLOOKUP(B82,A458DC1025,2,FALSE),"")</f>
        <v/>
      </c>
      <c r="D82" s="324" t="str">
        <f>IFERROR(VLOOKUP(B82,A458DC1025,3,FALSE),"")</f>
        <v/>
      </c>
      <c r="E82" s="325" t="s">
        <v>920</v>
      </c>
      <c r="F82" s="325"/>
      <c r="G82" s="325"/>
      <c r="H82" s="325"/>
    </row>
    <row r="83" spans="1:8" ht="13">
      <c r="A83" s="325">
        <f t="shared" si="8"/>
        <v>112012418</v>
      </c>
      <c r="B83" s="324">
        <f t="shared" si="9"/>
        <v>0</v>
      </c>
      <c r="C83" s="324" t="str">
        <f>IFERROR(VLOOKUP(B83,A458DC1025,2,FALSE),"")</f>
        <v/>
      </c>
      <c r="D83" s="324" t="str">
        <f>IFERROR(VLOOKUP(B83,A458DC1025,3,FALSE),"")</f>
        <v/>
      </c>
      <c r="E83" s="325" t="s">
        <v>985</v>
      </c>
      <c r="F83" s="325"/>
      <c r="G83" s="325"/>
      <c r="H83" s="325"/>
    </row>
    <row r="84" spans="1:8" ht="13">
      <c r="B84" s="294"/>
      <c r="C84" s="294"/>
      <c r="D84" s="294"/>
    </row>
    <row r="85" spans="1:8" ht="13">
      <c r="B85" s="294"/>
      <c r="C85" s="294"/>
      <c r="D85" s="294"/>
    </row>
    <row r="86" spans="1:8" ht="13">
      <c r="B86" s="294"/>
      <c r="C86" s="294"/>
      <c r="D86" s="294"/>
    </row>
    <row r="87" spans="1:8" ht="13">
      <c r="B87" s="294"/>
      <c r="C87" s="294"/>
      <c r="D87" s="294"/>
    </row>
    <row r="88" spans="1:8" ht="13">
      <c r="B88" s="294"/>
      <c r="C88" s="294"/>
      <c r="D88" s="294"/>
    </row>
    <row r="89" spans="1:8" ht="13">
      <c r="B89" s="294"/>
      <c r="C89" s="294"/>
      <c r="D89" s="294"/>
    </row>
    <row r="90" spans="1:8" ht="13">
      <c r="B90" s="294"/>
      <c r="C90" s="294"/>
      <c r="D90" s="294"/>
    </row>
    <row r="91" spans="1:8" ht="13">
      <c r="B91" s="294"/>
      <c r="C91" s="294"/>
      <c r="D91" s="294"/>
    </row>
    <row r="92" spans="1:8" ht="13">
      <c r="B92" s="294"/>
      <c r="C92" s="294"/>
      <c r="D92" s="294"/>
    </row>
    <row r="93" spans="1:8" ht="13">
      <c r="B93" s="294"/>
      <c r="C93" s="294"/>
      <c r="D93" s="294"/>
    </row>
    <row r="94" spans="1:8" ht="13">
      <c r="B94" s="294"/>
      <c r="C94" s="294"/>
      <c r="D94" s="294"/>
    </row>
    <row r="95" spans="1:8" ht="13">
      <c r="B95" s="294"/>
      <c r="C95" s="294"/>
      <c r="D95" s="294"/>
    </row>
    <row r="96" spans="1:8" ht="13">
      <c r="B96" s="294"/>
      <c r="C96" s="294"/>
      <c r="D96" s="294"/>
    </row>
    <row r="97" spans="2:4" ht="13">
      <c r="B97" s="294"/>
      <c r="C97" s="294"/>
      <c r="D97" s="294"/>
    </row>
    <row r="98" spans="2:4" ht="13">
      <c r="B98" s="294"/>
      <c r="C98" s="294"/>
      <c r="D98" s="294"/>
    </row>
    <row r="99" spans="2:4" ht="13">
      <c r="B99" s="294"/>
      <c r="C99" s="294"/>
      <c r="D99" s="294"/>
    </row>
    <row r="100" spans="2:4" ht="13">
      <c r="B100" s="294"/>
      <c r="C100" s="294"/>
      <c r="D100" s="294"/>
    </row>
    <row r="101" spans="2:4" ht="13">
      <c r="B101" s="294"/>
      <c r="C101" s="294"/>
      <c r="D101" s="294"/>
    </row>
    <row r="102" spans="2:4" ht="13">
      <c r="B102" s="294"/>
      <c r="C102" s="294"/>
      <c r="D102" s="294"/>
    </row>
    <row r="103" spans="2:4" ht="13">
      <c r="B103" s="294"/>
      <c r="C103" s="294"/>
      <c r="D103" s="294"/>
    </row>
    <row r="104" spans="2:4" ht="13">
      <c r="B104" s="294"/>
      <c r="C104" s="294"/>
      <c r="D104" s="294"/>
    </row>
    <row r="105" spans="2:4" ht="13">
      <c r="B105" s="294"/>
      <c r="C105" s="294"/>
      <c r="D105" s="294"/>
    </row>
    <row r="106" spans="2:4" ht="13">
      <c r="B106" s="294"/>
      <c r="C106" s="294"/>
      <c r="D106" s="294"/>
    </row>
    <row r="107" spans="2:4" ht="13">
      <c r="B107" s="294"/>
      <c r="C107" s="294"/>
      <c r="D107" s="294"/>
    </row>
    <row r="108" spans="2:4" ht="13">
      <c r="B108" s="294"/>
      <c r="C108" s="294"/>
      <c r="D108" s="294"/>
    </row>
    <row r="109" spans="2:4" ht="13">
      <c r="B109" s="294"/>
      <c r="C109" s="294"/>
      <c r="D109" s="294"/>
    </row>
    <row r="110" spans="2:4" ht="13">
      <c r="B110" s="294"/>
      <c r="C110" s="294"/>
      <c r="D110" s="294"/>
    </row>
    <row r="111" spans="2:4" ht="13">
      <c r="B111" s="294"/>
      <c r="C111" s="294"/>
      <c r="D111" s="294"/>
    </row>
    <row r="112" spans="2:4" ht="13">
      <c r="B112" s="294"/>
      <c r="C112" s="294"/>
      <c r="D112" s="294"/>
    </row>
    <row r="113" spans="2:4" ht="13">
      <c r="B113" s="294"/>
      <c r="C113" s="294"/>
      <c r="D113" s="294"/>
    </row>
    <row r="114" spans="2:4" ht="13">
      <c r="B114" s="294"/>
      <c r="C114" s="294"/>
      <c r="D114" s="294"/>
    </row>
    <row r="115" spans="2:4" ht="13">
      <c r="B115" s="294"/>
      <c r="C115" s="294"/>
      <c r="D115" s="294"/>
    </row>
    <row r="116" spans="2:4" ht="13">
      <c r="B116" s="294"/>
      <c r="C116" s="294"/>
      <c r="D116" s="294"/>
    </row>
    <row r="117" spans="2:4" ht="13">
      <c r="B117" s="294"/>
      <c r="C117" s="294"/>
      <c r="D117" s="294"/>
    </row>
    <row r="118" spans="2:4" ht="13">
      <c r="B118" s="294"/>
      <c r="C118" s="294"/>
      <c r="D118" s="294"/>
    </row>
    <row r="119" spans="2:4" ht="13">
      <c r="B119" s="294"/>
      <c r="C119" s="294"/>
      <c r="D119" s="294"/>
    </row>
    <row r="120" spans="2:4" ht="13">
      <c r="B120" s="294"/>
      <c r="C120" s="294"/>
      <c r="D120" s="294"/>
    </row>
    <row r="121" spans="2:4" ht="13">
      <c r="B121" s="294"/>
      <c r="C121" s="294"/>
      <c r="D121" s="294"/>
    </row>
    <row r="122" spans="2:4" ht="13">
      <c r="B122" s="294"/>
      <c r="C122" s="294"/>
      <c r="D122" s="294"/>
    </row>
    <row r="123" spans="2:4" ht="13">
      <c r="B123" s="294"/>
      <c r="C123" s="294"/>
      <c r="D123" s="294"/>
    </row>
    <row r="124" spans="2:4" ht="13">
      <c r="B124" s="294"/>
      <c r="C124" s="294"/>
      <c r="D124" s="294"/>
    </row>
    <row r="125" spans="2:4" ht="13">
      <c r="B125" s="294"/>
      <c r="C125" s="294"/>
      <c r="D125" s="294"/>
    </row>
    <row r="126" spans="2:4" ht="13">
      <c r="B126" s="294"/>
      <c r="C126" s="294"/>
      <c r="D126" s="294"/>
    </row>
    <row r="127" spans="2:4" ht="13">
      <c r="B127" s="294"/>
      <c r="C127" s="294"/>
      <c r="D127" s="294"/>
    </row>
    <row r="128" spans="2:4" ht="13">
      <c r="B128" s="294"/>
      <c r="C128" s="294"/>
      <c r="D128" s="294"/>
    </row>
    <row r="129" spans="2:4" ht="13">
      <c r="B129" s="294"/>
      <c r="C129" s="294"/>
      <c r="D129" s="294"/>
    </row>
    <row r="130" spans="2:4" ht="13">
      <c r="B130" s="294"/>
      <c r="C130" s="294"/>
      <c r="D130" s="294"/>
    </row>
    <row r="131" spans="2:4" ht="13">
      <c r="B131" s="294"/>
      <c r="C131" s="294"/>
      <c r="D131" s="294"/>
    </row>
    <row r="132" spans="2:4" ht="13">
      <c r="B132" s="294"/>
      <c r="C132" s="294"/>
      <c r="D132" s="294"/>
    </row>
    <row r="133" spans="2:4" ht="13">
      <c r="B133" s="294"/>
      <c r="C133" s="294"/>
      <c r="D133" s="294"/>
    </row>
    <row r="134" spans="2:4" ht="13">
      <c r="B134" s="294"/>
      <c r="C134" s="294"/>
      <c r="D134" s="294"/>
    </row>
    <row r="135" spans="2:4" ht="13">
      <c r="B135" s="294"/>
      <c r="C135" s="294"/>
      <c r="D135" s="294"/>
    </row>
    <row r="136" spans="2:4" ht="13">
      <c r="B136" s="294"/>
      <c r="C136" s="294"/>
      <c r="D136" s="294"/>
    </row>
    <row r="137" spans="2:4" ht="13">
      <c r="B137" s="294"/>
      <c r="C137" s="294"/>
      <c r="D137" s="294"/>
    </row>
    <row r="138" spans="2:4" ht="13">
      <c r="B138" s="294"/>
      <c r="C138" s="294"/>
      <c r="D138" s="294"/>
    </row>
    <row r="139" spans="2:4" ht="13">
      <c r="B139" s="294"/>
      <c r="C139" s="294"/>
      <c r="D139" s="294"/>
    </row>
    <row r="140" spans="2:4" ht="13">
      <c r="B140" s="294"/>
      <c r="C140" s="294"/>
      <c r="D140" s="294"/>
    </row>
    <row r="141" spans="2:4" ht="13">
      <c r="B141" s="294"/>
      <c r="C141" s="294"/>
      <c r="D141" s="294"/>
    </row>
    <row r="142" spans="2:4" ht="13">
      <c r="B142" s="294"/>
      <c r="C142" s="294"/>
      <c r="D142" s="294"/>
    </row>
    <row r="143" spans="2:4" ht="13">
      <c r="B143" s="294"/>
      <c r="C143" s="294"/>
      <c r="D143" s="294"/>
    </row>
    <row r="144" spans="2:4" ht="13">
      <c r="B144" s="294"/>
      <c r="C144" s="294"/>
      <c r="D144" s="294"/>
    </row>
    <row r="145" spans="2:4" ht="13">
      <c r="B145" s="294"/>
      <c r="C145" s="294"/>
      <c r="D145" s="294"/>
    </row>
    <row r="146" spans="2:4" ht="13">
      <c r="B146" s="294"/>
      <c r="C146" s="294"/>
      <c r="D146" s="294"/>
    </row>
    <row r="147" spans="2:4" ht="13">
      <c r="B147" s="294"/>
      <c r="C147" s="294"/>
      <c r="D147" s="294"/>
    </row>
    <row r="148" spans="2:4" ht="13">
      <c r="B148" s="294"/>
      <c r="C148" s="294"/>
      <c r="D148" s="294"/>
    </row>
    <row r="149" spans="2:4" ht="13">
      <c r="B149" s="294"/>
      <c r="C149" s="294"/>
      <c r="D149" s="294"/>
    </row>
    <row r="150" spans="2:4" ht="13">
      <c r="B150" s="294"/>
      <c r="C150" s="294"/>
      <c r="D150" s="294"/>
    </row>
    <row r="151" spans="2:4" ht="13">
      <c r="B151" s="294"/>
      <c r="C151" s="294"/>
      <c r="D151" s="294"/>
    </row>
    <row r="152" spans="2:4" ht="13">
      <c r="B152" s="294"/>
      <c r="C152" s="294"/>
      <c r="D152" s="294"/>
    </row>
    <row r="153" spans="2:4" ht="13">
      <c r="B153" s="294"/>
      <c r="C153" s="294"/>
      <c r="D153" s="294"/>
    </row>
    <row r="154" spans="2:4" ht="13">
      <c r="B154" s="294"/>
      <c r="C154" s="294"/>
      <c r="D154" s="294"/>
    </row>
    <row r="155" spans="2:4" ht="13">
      <c r="B155" s="294"/>
      <c r="C155" s="294"/>
      <c r="D155" s="294"/>
    </row>
    <row r="156" spans="2:4" ht="13">
      <c r="B156" s="294"/>
      <c r="C156" s="294"/>
      <c r="D156" s="294"/>
    </row>
    <row r="157" spans="2:4" ht="13">
      <c r="B157" s="294"/>
      <c r="C157" s="294"/>
      <c r="D157" s="294"/>
    </row>
    <row r="158" spans="2:4" ht="13">
      <c r="B158" s="294"/>
      <c r="C158" s="294"/>
      <c r="D158" s="294"/>
    </row>
    <row r="159" spans="2:4" ht="13">
      <c r="B159" s="294"/>
      <c r="C159" s="294"/>
      <c r="D159" s="294"/>
    </row>
    <row r="160" spans="2:4" ht="13">
      <c r="B160" s="294"/>
      <c r="C160" s="294"/>
      <c r="D160" s="294"/>
    </row>
    <row r="161" spans="2:4" ht="13">
      <c r="B161" s="294"/>
      <c r="C161" s="294"/>
      <c r="D161" s="294"/>
    </row>
    <row r="162" spans="2:4" ht="13">
      <c r="B162" s="294"/>
      <c r="C162" s="294"/>
      <c r="D162" s="294"/>
    </row>
    <row r="163" spans="2:4" ht="13">
      <c r="B163" s="294"/>
      <c r="C163" s="294"/>
      <c r="D163" s="294"/>
    </row>
    <row r="164" spans="2:4" ht="13">
      <c r="B164" s="294"/>
      <c r="C164" s="294"/>
      <c r="D164" s="294"/>
    </row>
    <row r="165" spans="2:4" ht="13">
      <c r="B165" s="294"/>
      <c r="C165" s="294"/>
      <c r="D165" s="294"/>
    </row>
    <row r="166" spans="2:4" ht="13">
      <c r="B166" s="294"/>
      <c r="C166" s="294"/>
      <c r="D166" s="294"/>
    </row>
    <row r="167" spans="2:4" ht="13">
      <c r="B167" s="294"/>
      <c r="C167" s="294"/>
      <c r="D167" s="294"/>
    </row>
    <row r="168" spans="2:4" ht="13">
      <c r="B168" s="294"/>
      <c r="C168" s="294"/>
      <c r="D168" s="294"/>
    </row>
    <row r="169" spans="2:4" ht="13">
      <c r="B169" s="294"/>
      <c r="C169" s="294"/>
      <c r="D169" s="294"/>
    </row>
    <row r="170" spans="2:4" ht="13">
      <c r="B170" s="294"/>
      <c r="C170" s="294"/>
      <c r="D170" s="294"/>
    </row>
    <row r="171" spans="2:4" ht="13">
      <c r="B171" s="294"/>
      <c r="C171" s="294"/>
      <c r="D171" s="294"/>
    </row>
    <row r="172" spans="2:4" ht="13">
      <c r="B172" s="294"/>
      <c r="C172" s="294"/>
      <c r="D172" s="294"/>
    </row>
    <row r="173" spans="2:4" ht="13">
      <c r="B173" s="294"/>
      <c r="C173" s="294"/>
      <c r="D173" s="294"/>
    </row>
    <row r="174" spans="2:4" ht="13">
      <c r="B174" s="294"/>
      <c r="C174" s="294"/>
      <c r="D174" s="294"/>
    </row>
    <row r="175" spans="2:4" ht="13">
      <c r="B175" s="294"/>
      <c r="C175" s="294"/>
      <c r="D175" s="294"/>
    </row>
    <row r="176" spans="2:4" ht="13">
      <c r="B176" s="294"/>
      <c r="C176" s="294"/>
      <c r="D176" s="294"/>
    </row>
    <row r="177" spans="2:4" ht="13">
      <c r="B177" s="294"/>
      <c r="C177" s="294"/>
      <c r="D177" s="294"/>
    </row>
    <row r="178" spans="2:4" ht="13">
      <c r="B178" s="294"/>
      <c r="C178" s="294"/>
      <c r="D178" s="294"/>
    </row>
    <row r="179" spans="2:4" ht="13">
      <c r="B179" s="294"/>
      <c r="C179" s="294"/>
      <c r="D179" s="294"/>
    </row>
    <row r="180" spans="2:4" ht="13">
      <c r="B180" s="294"/>
      <c r="C180" s="294"/>
      <c r="D180" s="294"/>
    </row>
    <row r="181" spans="2:4" ht="13">
      <c r="B181" s="294"/>
      <c r="C181" s="294"/>
      <c r="D181" s="294"/>
    </row>
    <row r="182" spans="2:4" ht="13">
      <c r="B182" s="294"/>
      <c r="C182" s="294"/>
      <c r="D182" s="294"/>
    </row>
    <row r="183" spans="2:4" ht="13">
      <c r="B183" s="294"/>
      <c r="C183" s="294"/>
      <c r="D183" s="294"/>
    </row>
    <row r="184" spans="2:4" ht="13">
      <c r="B184" s="294"/>
      <c r="C184" s="294"/>
      <c r="D184" s="294"/>
    </row>
    <row r="185" spans="2:4" ht="13">
      <c r="B185" s="294"/>
      <c r="C185" s="294"/>
      <c r="D185" s="294"/>
    </row>
    <row r="186" spans="2:4" ht="13">
      <c r="B186" s="294"/>
      <c r="C186" s="294"/>
      <c r="D186" s="294"/>
    </row>
    <row r="187" spans="2:4" ht="13">
      <c r="B187" s="294"/>
      <c r="C187" s="294"/>
      <c r="D187" s="294"/>
    </row>
    <row r="188" spans="2:4" ht="13">
      <c r="B188" s="294"/>
      <c r="C188" s="294"/>
      <c r="D188" s="294"/>
    </row>
    <row r="189" spans="2:4" ht="13">
      <c r="B189" s="294"/>
      <c r="C189" s="294"/>
      <c r="D189" s="294"/>
    </row>
    <row r="190" spans="2:4" ht="13">
      <c r="B190" s="294"/>
      <c r="C190" s="294"/>
      <c r="D190" s="294"/>
    </row>
    <row r="191" spans="2:4" ht="13">
      <c r="B191" s="294"/>
      <c r="C191" s="294"/>
      <c r="D191" s="294"/>
    </row>
    <row r="192" spans="2:4" ht="13">
      <c r="B192" s="294"/>
      <c r="C192" s="294"/>
      <c r="D192" s="294"/>
    </row>
    <row r="193" spans="2:4" ht="13">
      <c r="B193" s="294"/>
      <c r="C193" s="294"/>
      <c r="D193" s="294"/>
    </row>
    <row r="194" spans="2:4" ht="13">
      <c r="B194" s="294"/>
      <c r="C194" s="294"/>
      <c r="D194" s="294"/>
    </row>
    <row r="195" spans="2:4" ht="13">
      <c r="B195" s="294"/>
      <c r="C195" s="294"/>
      <c r="D195" s="294"/>
    </row>
    <row r="196" spans="2:4" ht="13">
      <c r="B196" s="294"/>
      <c r="C196" s="294"/>
      <c r="D196" s="294"/>
    </row>
    <row r="197" spans="2:4" ht="13">
      <c r="B197" s="294"/>
      <c r="C197" s="294"/>
      <c r="D197" s="294"/>
    </row>
    <row r="198" spans="2:4" ht="13">
      <c r="B198" s="294"/>
      <c r="C198" s="294"/>
      <c r="D198" s="294"/>
    </row>
    <row r="199" spans="2:4" ht="13">
      <c r="B199" s="294"/>
      <c r="C199" s="294"/>
      <c r="D199" s="294"/>
    </row>
    <row r="200" spans="2:4" ht="13">
      <c r="B200" s="294"/>
      <c r="C200" s="294"/>
      <c r="D200" s="294"/>
    </row>
    <row r="201" spans="2:4" ht="13">
      <c r="B201" s="294"/>
      <c r="C201" s="294"/>
      <c r="D201" s="294"/>
    </row>
    <row r="202" spans="2:4" ht="13">
      <c r="B202" s="294"/>
      <c r="C202" s="294"/>
      <c r="D202" s="294"/>
    </row>
    <row r="203" spans="2:4" ht="13">
      <c r="B203" s="294"/>
      <c r="C203" s="294"/>
      <c r="D203" s="294"/>
    </row>
    <row r="204" spans="2:4" ht="13">
      <c r="B204" s="294"/>
      <c r="C204" s="294"/>
      <c r="D204" s="294"/>
    </row>
    <row r="205" spans="2:4" ht="13">
      <c r="B205" s="294"/>
      <c r="C205" s="294"/>
      <c r="D205" s="294"/>
    </row>
    <row r="206" spans="2:4" ht="13">
      <c r="B206" s="294"/>
      <c r="C206" s="294"/>
      <c r="D206" s="294"/>
    </row>
    <row r="207" spans="2:4" ht="13">
      <c r="B207" s="294"/>
      <c r="C207" s="294"/>
      <c r="D207" s="294"/>
    </row>
    <row r="208" spans="2:4" ht="13">
      <c r="B208" s="294"/>
      <c r="C208" s="294"/>
      <c r="D208" s="294"/>
    </row>
    <row r="209" spans="2:4" ht="13">
      <c r="B209" s="294"/>
      <c r="C209" s="294"/>
      <c r="D209" s="294"/>
    </row>
    <row r="210" spans="2:4" ht="13">
      <c r="B210" s="294"/>
      <c r="C210" s="294"/>
      <c r="D210" s="294"/>
    </row>
    <row r="211" spans="2:4" ht="13">
      <c r="B211" s="294"/>
      <c r="C211" s="294"/>
      <c r="D211" s="294"/>
    </row>
    <row r="212" spans="2:4" ht="13">
      <c r="B212" s="294"/>
      <c r="C212" s="294"/>
      <c r="D212" s="294"/>
    </row>
    <row r="213" spans="2:4" ht="13">
      <c r="B213" s="294"/>
      <c r="C213" s="294"/>
      <c r="D213" s="294"/>
    </row>
    <row r="214" spans="2:4" ht="13">
      <c r="B214" s="294"/>
      <c r="C214" s="294"/>
      <c r="D214" s="294"/>
    </row>
    <row r="215" spans="2:4" ht="13">
      <c r="B215" s="294"/>
      <c r="C215" s="294"/>
      <c r="D215" s="294"/>
    </row>
    <row r="216" spans="2:4" ht="13">
      <c r="B216" s="294"/>
      <c r="C216" s="294"/>
      <c r="D216" s="294"/>
    </row>
    <row r="217" spans="2:4" ht="13">
      <c r="B217" s="294"/>
      <c r="C217" s="294"/>
      <c r="D217" s="294"/>
    </row>
    <row r="218" spans="2:4" ht="13">
      <c r="B218" s="294"/>
      <c r="C218" s="294"/>
      <c r="D218" s="294"/>
    </row>
    <row r="219" spans="2:4" ht="13">
      <c r="B219" s="294"/>
      <c r="C219" s="294"/>
      <c r="D219" s="294"/>
    </row>
    <row r="220" spans="2:4" ht="13">
      <c r="B220" s="294"/>
      <c r="C220" s="294"/>
      <c r="D220" s="294"/>
    </row>
    <row r="221" spans="2:4" ht="13">
      <c r="B221" s="294"/>
      <c r="C221" s="294"/>
      <c r="D221" s="294"/>
    </row>
    <row r="222" spans="2:4" ht="13">
      <c r="B222" s="294"/>
      <c r="C222" s="294"/>
      <c r="D222" s="294"/>
    </row>
    <row r="223" spans="2:4" ht="13">
      <c r="B223" s="294"/>
      <c r="C223" s="294"/>
      <c r="D223" s="294"/>
    </row>
    <row r="224" spans="2:4" ht="13">
      <c r="B224" s="294"/>
      <c r="C224" s="294"/>
      <c r="D224" s="294"/>
    </row>
    <row r="225" spans="2:4" ht="13">
      <c r="B225" s="294"/>
      <c r="C225" s="294"/>
      <c r="D225" s="294"/>
    </row>
    <row r="226" spans="2:4" ht="13">
      <c r="B226" s="294"/>
      <c r="C226" s="294"/>
      <c r="D226" s="294"/>
    </row>
    <row r="227" spans="2:4" ht="13">
      <c r="B227" s="294"/>
      <c r="C227" s="294"/>
      <c r="D227" s="294"/>
    </row>
    <row r="228" spans="2:4" ht="13">
      <c r="B228" s="294"/>
      <c r="C228" s="294"/>
      <c r="D228" s="294"/>
    </row>
    <row r="229" spans="2:4" ht="13">
      <c r="B229" s="294"/>
      <c r="C229" s="294"/>
      <c r="D229" s="294"/>
    </row>
    <row r="230" spans="2:4" ht="13">
      <c r="B230" s="294"/>
      <c r="C230" s="294"/>
      <c r="D230" s="294"/>
    </row>
    <row r="231" spans="2:4" ht="13">
      <c r="B231" s="294"/>
      <c r="C231" s="294"/>
      <c r="D231" s="294"/>
    </row>
    <row r="232" spans="2:4" ht="13">
      <c r="B232" s="294"/>
      <c r="C232" s="294"/>
      <c r="D232" s="294"/>
    </row>
    <row r="233" spans="2:4" ht="13">
      <c r="B233" s="294"/>
      <c r="C233" s="294"/>
      <c r="D233" s="294"/>
    </row>
    <row r="234" spans="2:4" ht="13">
      <c r="B234" s="294"/>
      <c r="C234" s="294"/>
      <c r="D234" s="294"/>
    </row>
    <row r="235" spans="2:4" ht="13">
      <c r="B235" s="294"/>
      <c r="C235" s="294"/>
      <c r="D235" s="294"/>
    </row>
    <row r="236" spans="2:4" ht="13">
      <c r="B236" s="294"/>
      <c r="C236" s="294"/>
      <c r="D236" s="294"/>
    </row>
    <row r="237" spans="2:4" ht="13">
      <c r="B237" s="294"/>
      <c r="C237" s="294"/>
      <c r="D237" s="294"/>
    </row>
    <row r="238" spans="2:4" ht="13">
      <c r="B238" s="294"/>
      <c r="C238" s="294"/>
      <c r="D238" s="294"/>
    </row>
    <row r="239" spans="2:4" ht="13">
      <c r="B239" s="294"/>
      <c r="C239" s="294"/>
      <c r="D239" s="294"/>
    </row>
    <row r="240" spans="2:4" ht="13">
      <c r="B240" s="294"/>
      <c r="C240" s="294"/>
      <c r="D240" s="294"/>
    </row>
    <row r="241" spans="2:4" ht="13">
      <c r="B241" s="294"/>
      <c r="C241" s="294"/>
      <c r="D241" s="294"/>
    </row>
    <row r="242" spans="2:4" ht="13">
      <c r="B242" s="294"/>
      <c r="C242" s="294"/>
      <c r="D242" s="294"/>
    </row>
    <row r="243" spans="2:4" ht="13">
      <c r="B243" s="294"/>
      <c r="C243" s="294"/>
      <c r="D243" s="294"/>
    </row>
    <row r="244" spans="2:4" ht="13">
      <c r="B244" s="294"/>
      <c r="C244" s="294"/>
      <c r="D244" s="294"/>
    </row>
    <row r="245" spans="2:4" ht="13">
      <c r="B245" s="294"/>
      <c r="C245" s="294"/>
      <c r="D245" s="294"/>
    </row>
    <row r="246" spans="2:4" ht="13">
      <c r="B246" s="294"/>
      <c r="C246" s="294"/>
      <c r="D246" s="294"/>
    </row>
    <row r="247" spans="2:4" ht="13">
      <c r="B247" s="294"/>
      <c r="C247" s="294"/>
      <c r="D247" s="294"/>
    </row>
    <row r="248" spans="2:4" ht="13">
      <c r="B248" s="294"/>
      <c r="C248" s="294"/>
      <c r="D248" s="294"/>
    </row>
    <row r="249" spans="2:4" ht="13">
      <c r="B249" s="294"/>
      <c r="C249" s="294"/>
      <c r="D249" s="294"/>
    </row>
    <row r="250" spans="2:4" ht="13">
      <c r="B250" s="294"/>
      <c r="C250" s="294"/>
      <c r="D250" s="294"/>
    </row>
    <row r="251" spans="2:4" ht="13">
      <c r="B251" s="294"/>
      <c r="C251" s="294"/>
      <c r="D251" s="294"/>
    </row>
    <row r="252" spans="2:4" ht="13">
      <c r="B252" s="294"/>
      <c r="C252" s="294"/>
      <c r="D252" s="294"/>
    </row>
    <row r="253" spans="2:4" ht="13">
      <c r="B253" s="294"/>
      <c r="C253" s="294"/>
      <c r="D253" s="294"/>
    </row>
    <row r="254" spans="2:4" ht="13">
      <c r="B254" s="294"/>
      <c r="C254" s="294"/>
      <c r="D254" s="294"/>
    </row>
    <row r="255" spans="2:4" ht="13">
      <c r="B255" s="294"/>
      <c r="C255" s="294"/>
      <c r="D255" s="294"/>
    </row>
    <row r="256" spans="2:4" ht="13">
      <c r="B256" s="294"/>
      <c r="C256" s="294"/>
      <c r="D256" s="294"/>
    </row>
    <row r="257" spans="2:4" ht="13">
      <c r="B257" s="294"/>
      <c r="C257" s="294"/>
      <c r="D257" s="294"/>
    </row>
    <row r="258" spans="2:4" ht="13">
      <c r="B258" s="294"/>
      <c r="C258" s="294"/>
      <c r="D258" s="294"/>
    </row>
    <row r="259" spans="2:4" ht="13">
      <c r="B259" s="294"/>
      <c r="C259" s="294"/>
      <c r="D259" s="294"/>
    </row>
    <row r="260" spans="2:4" ht="13">
      <c r="B260" s="294"/>
      <c r="C260" s="294"/>
      <c r="D260" s="294"/>
    </row>
    <row r="261" spans="2:4" ht="13">
      <c r="B261" s="294"/>
      <c r="C261" s="294"/>
      <c r="D261" s="294"/>
    </row>
    <row r="262" spans="2:4" ht="13">
      <c r="B262" s="294"/>
      <c r="C262" s="294"/>
      <c r="D262" s="294"/>
    </row>
    <row r="263" spans="2:4" ht="13">
      <c r="B263" s="294"/>
      <c r="C263" s="294"/>
      <c r="D263" s="294"/>
    </row>
    <row r="264" spans="2:4" ht="13">
      <c r="B264" s="294"/>
      <c r="C264" s="294"/>
      <c r="D264" s="294"/>
    </row>
    <row r="265" spans="2:4" ht="13">
      <c r="B265" s="294"/>
      <c r="C265" s="294"/>
      <c r="D265" s="294"/>
    </row>
    <row r="266" spans="2:4" ht="13">
      <c r="B266" s="294"/>
      <c r="C266" s="294"/>
      <c r="D266" s="294"/>
    </row>
    <row r="267" spans="2:4" ht="13">
      <c r="B267" s="294"/>
      <c r="C267" s="294"/>
      <c r="D267" s="294"/>
    </row>
    <row r="268" spans="2:4" ht="13">
      <c r="B268" s="294"/>
      <c r="C268" s="294"/>
      <c r="D268" s="294"/>
    </row>
    <row r="269" spans="2:4" ht="13">
      <c r="B269" s="294"/>
      <c r="C269" s="294"/>
      <c r="D269" s="294"/>
    </row>
    <row r="270" spans="2:4" ht="13">
      <c r="B270" s="294"/>
      <c r="C270" s="294"/>
      <c r="D270" s="294"/>
    </row>
    <row r="271" spans="2:4" ht="13">
      <c r="B271" s="294"/>
      <c r="C271" s="294"/>
      <c r="D271" s="294"/>
    </row>
    <row r="272" spans="2:4" ht="13">
      <c r="B272" s="294"/>
      <c r="C272" s="294"/>
      <c r="D272" s="294"/>
    </row>
    <row r="273" spans="2:4" ht="13">
      <c r="B273" s="294"/>
      <c r="C273" s="294"/>
      <c r="D273" s="294"/>
    </row>
    <row r="274" spans="2:4" ht="13">
      <c r="B274" s="294"/>
      <c r="C274" s="294"/>
      <c r="D274" s="294"/>
    </row>
    <row r="275" spans="2:4" ht="13">
      <c r="B275" s="294"/>
      <c r="C275" s="294"/>
      <c r="D275" s="294"/>
    </row>
    <row r="276" spans="2:4" ht="13">
      <c r="B276" s="294"/>
      <c r="C276" s="294"/>
      <c r="D276" s="294"/>
    </row>
    <row r="277" spans="2:4" ht="13">
      <c r="B277" s="294"/>
      <c r="C277" s="294"/>
      <c r="D277" s="294"/>
    </row>
    <row r="278" spans="2:4" ht="13">
      <c r="B278" s="294"/>
      <c r="C278" s="294"/>
      <c r="D278" s="294"/>
    </row>
    <row r="279" spans="2:4" ht="13">
      <c r="B279" s="294"/>
      <c r="C279" s="294"/>
      <c r="D279" s="294"/>
    </row>
    <row r="280" spans="2:4" ht="13">
      <c r="B280" s="294"/>
      <c r="C280" s="294"/>
      <c r="D280" s="294"/>
    </row>
    <row r="281" spans="2:4" ht="13">
      <c r="B281" s="294"/>
      <c r="C281" s="294"/>
      <c r="D281" s="294"/>
    </row>
    <row r="282" spans="2:4" ht="13">
      <c r="B282" s="294"/>
      <c r="C282" s="294"/>
      <c r="D282" s="294"/>
    </row>
    <row r="283" spans="2:4" ht="13">
      <c r="B283" s="294"/>
      <c r="C283" s="294"/>
      <c r="D283" s="294"/>
    </row>
    <row r="284" spans="2:4" ht="13">
      <c r="B284" s="294"/>
      <c r="C284" s="294"/>
      <c r="D284" s="294"/>
    </row>
    <row r="285" spans="2:4" ht="13">
      <c r="B285" s="294"/>
      <c r="C285" s="294"/>
      <c r="D285" s="294"/>
    </row>
    <row r="286" spans="2:4" ht="13">
      <c r="B286" s="294"/>
      <c r="C286" s="294"/>
      <c r="D286" s="294"/>
    </row>
    <row r="287" spans="2:4" ht="13">
      <c r="B287" s="294"/>
      <c r="C287" s="294"/>
      <c r="D287" s="294"/>
    </row>
    <row r="288" spans="2:4" ht="13">
      <c r="B288" s="294"/>
      <c r="C288" s="294"/>
      <c r="D288" s="294"/>
    </row>
    <row r="289" spans="2:4" ht="13">
      <c r="B289" s="294"/>
      <c r="C289" s="294"/>
      <c r="D289" s="294"/>
    </row>
    <row r="290" spans="2:4" ht="13">
      <c r="B290" s="294"/>
      <c r="C290" s="294"/>
      <c r="D290" s="294"/>
    </row>
    <row r="291" spans="2:4" ht="13">
      <c r="B291" s="294"/>
      <c r="C291" s="294"/>
      <c r="D291" s="294"/>
    </row>
    <row r="292" spans="2:4" ht="13">
      <c r="B292" s="294"/>
      <c r="C292" s="294"/>
      <c r="D292" s="294"/>
    </row>
    <row r="293" spans="2:4" ht="13">
      <c r="B293" s="294"/>
      <c r="C293" s="294"/>
      <c r="D293" s="294"/>
    </row>
    <row r="294" spans="2:4" ht="13">
      <c r="B294" s="294"/>
      <c r="C294" s="294"/>
      <c r="D294" s="294"/>
    </row>
    <row r="295" spans="2:4" ht="13">
      <c r="B295" s="294"/>
      <c r="C295" s="294"/>
      <c r="D295" s="294"/>
    </row>
    <row r="296" spans="2:4" ht="13">
      <c r="B296" s="294"/>
      <c r="C296" s="294"/>
      <c r="D296" s="294"/>
    </row>
    <row r="297" spans="2:4" ht="13">
      <c r="B297" s="294"/>
      <c r="C297" s="294"/>
      <c r="D297" s="294"/>
    </row>
    <row r="298" spans="2:4" ht="13">
      <c r="B298" s="294"/>
      <c r="C298" s="294"/>
      <c r="D298" s="294"/>
    </row>
    <row r="299" spans="2:4" ht="13">
      <c r="B299" s="294"/>
      <c r="C299" s="294"/>
      <c r="D299" s="294"/>
    </row>
    <row r="300" spans="2:4" ht="13">
      <c r="B300" s="294"/>
      <c r="C300" s="294"/>
      <c r="D300" s="294"/>
    </row>
    <row r="301" spans="2:4" ht="13">
      <c r="B301" s="294"/>
      <c r="C301" s="294"/>
      <c r="D301" s="294"/>
    </row>
    <row r="302" spans="2:4" ht="13">
      <c r="B302" s="294"/>
      <c r="C302" s="294"/>
      <c r="D302" s="294"/>
    </row>
    <row r="303" spans="2:4" ht="13">
      <c r="B303" s="294"/>
      <c r="C303" s="294"/>
      <c r="D303" s="294"/>
    </row>
    <row r="304" spans="2:4" ht="13">
      <c r="B304" s="294"/>
      <c r="C304" s="294"/>
      <c r="D304" s="294"/>
    </row>
    <row r="305" spans="2:4" ht="13">
      <c r="B305" s="294"/>
      <c r="C305" s="294"/>
      <c r="D305" s="294"/>
    </row>
    <row r="306" spans="2:4" ht="13">
      <c r="B306" s="294"/>
      <c r="C306" s="294"/>
      <c r="D306" s="294"/>
    </row>
    <row r="307" spans="2:4" ht="13">
      <c r="B307" s="294"/>
      <c r="C307" s="294"/>
      <c r="D307" s="294"/>
    </row>
    <row r="308" spans="2:4" ht="13">
      <c r="B308" s="294"/>
      <c r="C308" s="294"/>
      <c r="D308" s="294"/>
    </row>
    <row r="309" spans="2:4" ht="13">
      <c r="B309" s="294"/>
      <c r="C309" s="294"/>
      <c r="D309" s="294"/>
    </row>
    <row r="310" spans="2:4" ht="13">
      <c r="B310" s="294"/>
      <c r="C310" s="294"/>
      <c r="D310" s="294"/>
    </row>
    <row r="311" spans="2:4" ht="13">
      <c r="B311" s="294"/>
      <c r="C311" s="294"/>
      <c r="D311" s="294"/>
    </row>
    <row r="312" spans="2:4" ht="13">
      <c r="B312" s="294"/>
      <c r="C312" s="294"/>
      <c r="D312" s="294"/>
    </row>
    <row r="313" spans="2:4" ht="13">
      <c r="B313" s="294"/>
      <c r="C313" s="294"/>
      <c r="D313" s="294"/>
    </row>
    <row r="314" spans="2:4" ht="13">
      <c r="B314" s="294"/>
      <c r="C314" s="294"/>
      <c r="D314" s="294"/>
    </row>
    <row r="315" spans="2:4" ht="13">
      <c r="B315" s="294"/>
      <c r="C315" s="294"/>
      <c r="D315" s="294"/>
    </row>
    <row r="316" spans="2:4" ht="13">
      <c r="B316" s="294"/>
      <c r="C316" s="294"/>
      <c r="D316" s="294"/>
    </row>
    <row r="317" spans="2:4" ht="13">
      <c r="B317" s="294"/>
      <c r="C317" s="294"/>
      <c r="D317" s="294"/>
    </row>
    <row r="318" spans="2:4" ht="13">
      <c r="B318" s="294"/>
      <c r="C318" s="294"/>
      <c r="D318" s="294"/>
    </row>
    <row r="319" spans="2:4" ht="13">
      <c r="B319" s="294"/>
      <c r="C319" s="294"/>
      <c r="D319" s="294"/>
    </row>
    <row r="320" spans="2:4" ht="13">
      <c r="B320" s="294"/>
      <c r="C320" s="294"/>
      <c r="D320" s="294"/>
    </row>
    <row r="321" spans="2:4" ht="13">
      <c r="B321" s="294"/>
      <c r="C321" s="294"/>
      <c r="D321" s="294"/>
    </row>
    <row r="322" spans="2:4" ht="13">
      <c r="B322" s="294"/>
      <c r="C322" s="294"/>
      <c r="D322" s="294"/>
    </row>
    <row r="323" spans="2:4" ht="13">
      <c r="B323" s="294"/>
      <c r="C323" s="294"/>
      <c r="D323" s="294"/>
    </row>
    <row r="324" spans="2:4" ht="13">
      <c r="B324" s="294"/>
      <c r="C324" s="294"/>
      <c r="D324" s="294"/>
    </row>
    <row r="325" spans="2:4" ht="13">
      <c r="B325" s="294"/>
      <c r="C325" s="294"/>
      <c r="D325" s="294"/>
    </row>
    <row r="326" spans="2:4" ht="13">
      <c r="B326" s="294"/>
      <c r="C326" s="294"/>
      <c r="D326" s="294"/>
    </row>
    <row r="327" spans="2:4" ht="13">
      <c r="B327" s="294"/>
      <c r="C327" s="294"/>
      <c r="D327" s="294"/>
    </row>
    <row r="328" spans="2:4" ht="13">
      <c r="B328" s="294"/>
      <c r="C328" s="294"/>
      <c r="D328" s="294"/>
    </row>
    <row r="329" spans="2:4" ht="13">
      <c r="B329" s="294"/>
      <c r="C329" s="294"/>
      <c r="D329" s="294"/>
    </row>
    <row r="330" spans="2:4" ht="13">
      <c r="B330" s="294"/>
      <c r="C330" s="294"/>
      <c r="D330" s="294"/>
    </row>
    <row r="331" spans="2:4" ht="13">
      <c r="B331" s="294"/>
      <c r="C331" s="294"/>
      <c r="D331" s="294"/>
    </row>
    <row r="332" spans="2:4" ht="13">
      <c r="B332" s="294"/>
      <c r="C332" s="294"/>
      <c r="D332" s="294"/>
    </row>
    <row r="333" spans="2:4" ht="13">
      <c r="B333" s="294"/>
      <c r="C333" s="294"/>
      <c r="D333" s="294"/>
    </row>
    <row r="334" spans="2:4" ht="13">
      <c r="B334" s="294"/>
      <c r="C334" s="294"/>
      <c r="D334" s="294"/>
    </row>
    <row r="335" spans="2:4" ht="13">
      <c r="B335" s="294"/>
      <c r="C335" s="294"/>
      <c r="D335" s="294"/>
    </row>
    <row r="336" spans="2:4" ht="13">
      <c r="B336" s="294"/>
      <c r="C336" s="294"/>
      <c r="D336" s="294"/>
    </row>
    <row r="337" spans="2:4" ht="13">
      <c r="B337" s="294"/>
      <c r="C337" s="294"/>
      <c r="D337" s="294"/>
    </row>
    <row r="338" spans="2:4" ht="13">
      <c r="B338" s="294"/>
      <c r="C338" s="294"/>
      <c r="D338" s="294"/>
    </row>
    <row r="339" spans="2:4" ht="13">
      <c r="B339" s="294"/>
      <c r="C339" s="294"/>
      <c r="D339" s="294"/>
    </row>
    <row r="340" spans="2:4" ht="13">
      <c r="B340" s="294"/>
      <c r="C340" s="294"/>
      <c r="D340" s="294"/>
    </row>
    <row r="341" spans="2:4" ht="13">
      <c r="B341" s="294"/>
      <c r="C341" s="294"/>
      <c r="D341" s="294"/>
    </row>
    <row r="342" spans="2:4" ht="13">
      <c r="B342" s="294"/>
      <c r="C342" s="294"/>
      <c r="D342" s="294"/>
    </row>
    <row r="343" spans="2:4" ht="13">
      <c r="B343" s="294"/>
      <c r="C343" s="294"/>
      <c r="D343" s="294"/>
    </row>
    <row r="344" spans="2:4" ht="13">
      <c r="B344" s="294"/>
      <c r="C344" s="294"/>
      <c r="D344" s="294"/>
    </row>
    <row r="345" spans="2:4" ht="13">
      <c r="B345" s="294"/>
      <c r="C345" s="294"/>
      <c r="D345" s="294"/>
    </row>
    <row r="346" spans="2:4" ht="13">
      <c r="B346" s="294"/>
      <c r="C346" s="294"/>
      <c r="D346" s="294"/>
    </row>
    <row r="347" spans="2:4" ht="13">
      <c r="B347" s="294"/>
      <c r="C347" s="294"/>
      <c r="D347" s="294"/>
    </row>
    <row r="348" spans="2:4" ht="13">
      <c r="B348" s="294"/>
      <c r="C348" s="294"/>
      <c r="D348" s="294"/>
    </row>
    <row r="349" spans="2:4" ht="13">
      <c r="B349" s="294"/>
      <c r="C349" s="294"/>
      <c r="D349" s="294"/>
    </row>
    <row r="350" spans="2:4" ht="13">
      <c r="B350" s="294"/>
      <c r="C350" s="294"/>
      <c r="D350" s="294"/>
    </row>
    <row r="351" spans="2:4" ht="13">
      <c r="B351" s="294"/>
      <c r="C351" s="294"/>
      <c r="D351" s="294"/>
    </row>
    <row r="352" spans="2:4" ht="13">
      <c r="B352" s="294"/>
      <c r="C352" s="294"/>
      <c r="D352" s="294"/>
    </row>
    <row r="353" spans="2:4" ht="13">
      <c r="B353" s="294"/>
      <c r="C353" s="294"/>
      <c r="D353" s="294"/>
    </row>
    <row r="354" spans="2:4" ht="13">
      <c r="B354" s="294"/>
      <c r="C354" s="294"/>
      <c r="D354" s="294"/>
    </row>
    <row r="355" spans="2:4" ht="13">
      <c r="B355" s="294"/>
      <c r="C355" s="294"/>
      <c r="D355" s="294"/>
    </row>
    <row r="356" spans="2:4" ht="13">
      <c r="B356" s="294"/>
      <c r="C356" s="294"/>
      <c r="D356" s="294"/>
    </row>
    <row r="357" spans="2:4" ht="13">
      <c r="B357" s="294"/>
      <c r="C357" s="294"/>
      <c r="D357" s="294"/>
    </row>
    <row r="358" spans="2:4" ht="13">
      <c r="B358" s="294"/>
      <c r="C358" s="294"/>
      <c r="D358" s="294"/>
    </row>
    <row r="359" spans="2:4" ht="13">
      <c r="B359" s="294"/>
      <c r="C359" s="294"/>
      <c r="D359" s="294"/>
    </row>
    <row r="360" spans="2:4" ht="13">
      <c r="B360" s="294"/>
      <c r="C360" s="294"/>
      <c r="D360" s="294"/>
    </row>
    <row r="361" spans="2:4" ht="13">
      <c r="B361" s="294"/>
      <c r="C361" s="294"/>
      <c r="D361" s="294"/>
    </row>
    <row r="362" spans="2:4" ht="13">
      <c r="B362" s="294"/>
      <c r="C362" s="294"/>
      <c r="D362" s="294"/>
    </row>
    <row r="363" spans="2:4" ht="13">
      <c r="B363" s="294"/>
      <c r="C363" s="294"/>
      <c r="D363" s="294"/>
    </row>
    <row r="364" spans="2:4" ht="13">
      <c r="B364" s="294"/>
      <c r="C364" s="294"/>
      <c r="D364" s="294"/>
    </row>
    <row r="365" spans="2:4" ht="13">
      <c r="B365" s="294"/>
      <c r="C365" s="294"/>
      <c r="D365" s="294"/>
    </row>
    <row r="366" spans="2:4" ht="13">
      <c r="B366" s="294"/>
      <c r="C366" s="294"/>
      <c r="D366" s="294"/>
    </row>
    <row r="367" spans="2:4" ht="13">
      <c r="B367" s="294"/>
      <c r="C367" s="294"/>
      <c r="D367" s="294"/>
    </row>
    <row r="368" spans="2:4" ht="13">
      <c r="B368" s="294"/>
      <c r="C368" s="294"/>
      <c r="D368" s="294"/>
    </row>
    <row r="369" spans="2:4" ht="13">
      <c r="B369" s="294"/>
      <c r="C369" s="294"/>
      <c r="D369" s="294"/>
    </row>
    <row r="370" spans="2:4" ht="13">
      <c r="B370" s="294"/>
      <c r="C370" s="294"/>
      <c r="D370" s="294"/>
    </row>
    <row r="371" spans="2:4" ht="13">
      <c r="B371" s="294"/>
      <c r="C371" s="294"/>
      <c r="D371" s="294"/>
    </row>
    <row r="372" spans="2:4" ht="13">
      <c r="B372" s="294"/>
      <c r="C372" s="294"/>
      <c r="D372" s="294"/>
    </row>
    <row r="373" spans="2:4" ht="13">
      <c r="B373" s="294"/>
      <c r="C373" s="294"/>
      <c r="D373" s="294"/>
    </row>
    <row r="374" spans="2:4" ht="13">
      <c r="B374" s="294"/>
      <c r="C374" s="294"/>
      <c r="D374" s="294"/>
    </row>
    <row r="375" spans="2:4" ht="13">
      <c r="B375" s="294"/>
      <c r="C375" s="294"/>
      <c r="D375" s="294"/>
    </row>
    <row r="376" spans="2:4" ht="13">
      <c r="B376" s="294"/>
      <c r="C376" s="294"/>
      <c r="D376" s="294"/>
    </row>
    <row r="377" spans="2:4" ht="13">
      <c r="B377" s="294"/>
      <c r="C377" s="294"/>
      <c r="D377" s="294"/>
    </row>
    <row r="378" spans="2:4" ht="13">
      <c r="B378" s="294"/>
      <c r="C378" s="294"/>
      <c r="D378" s="294"/>
    </row>
    <row r="379" spans="2:4" ht="13">
      <c r="B379" s="294"/>
      <c r="C379" s="294"/>
      <c r="D379" s="294"/>
    </row>
    <row r="380" spans="2:4" ht="13">
      <c r="B380" s="294"/>
      <c r="C380" s="294"/>
      <c r="D380" s="294"/>
    </row>
    <row r="381" spans="2:4" ht="13">
      <c r="B381" s="294"/>
      <c r="C381" s="294"/>
      <c r="D381" s="294"/>
    </row>
    <row r="382" spans="2:4" ht="13">
      <c r="B382" s="294"/>
      <c r="C382" s="294"/>
      <c r="D382" s="294"/>
    </row>
    <row r="383" spans="2:4" ht="13">
      <c r="B383" s="294"/>
      <c r="C383" s="294"/>
      <c r="D383" s="294"/>
    </row>
    <row r="384" spans="2:4" ht="13">
      <c r="B384" s="294"/>
      <c r="C384" s="294"/>
      <c r="D384" s="294"/>
    </row>
    <row r="385" spans="2:4" ht="13">
      <c r="B385" s="294"/>
      <c r="C385" s="294"/>
      <c r="D385" s="294"/>
    </row>
    <row r="386" spans="2:4" ht="13">
      <c r="B386" s="294"/>
      <c r="C386" s="294"/>
      <c r="D386" s="294"/>
    </row>
    <row r="387" spans="2:4" ht="13">
      <c r="B387" s="294"/>
      <c r="C387" s="294"/>
      <c r="D387" s="294"/>
    </row>
    <row r="388" spans="2:4" ht="13">
      <c r="B388" s="294"/>
      <c r="C388" s="294"/>
      <c r="D388" s="294"/>
    </row>
    <row r="389" spans="2:4" ht="13">
      <c r="B389" s="294"/>
      <c r="C389" s="294"/>
      <c r="D389" s="294"/>
    </row>
    <row r="390" spans="2:4" ht="13">
      <c r="B390" s="294"/>
      <c r="C390" s="294"/>
      <c r="D390" s="294"/>
    </row>
    <row r="391" spans="2:4" ht="13">
      <c r="B391" s="294"/>
      <c r="C391" s="294"/>
      <c r="D391" s="294"/>
    </row>
    <row r="392" spans="2:4" ht="13">
      <c r="B392" s="294"/>
      <c r="C392" s="294"/>
      <c r="D392" s="294"/>
    </row>
    <row r="393" spans="2:4" ht="13">
      <c r="B393" s="294"/>
      <c r="C393" s="294"/>
      <c r="D393" s="294"/>
    </row>
    <row r="394" spans="2:4" ht="13">
      <c r="B394" s="294"/>
      <c r="C394" s="294"/>
      <c r="D394" s="294"/>
    </row>
    <row r="395" spans="2:4" ht="13">
      <c r="B395" s="294"/>
      <c r="C395" s="294"/>
      <c r="D395" s="294"/>
    </row>
    <row r="396" spans="2:4" ht="13">
      <c r="B396" s="294"/>
      <c r="C396" s="294"/>
      <c r="D396" s="294"/>
    </row>
    <row r="397" spans="2:4" ht="13">
      <c r="B397" s="294"/>
      <c r="C397" s="294"/>
      <c r="D397" s="294"/>
    </row>
    <row r="398" spans="2:4" ht="13">
      <c r="B398" s="294"/>
      <c r="C398" s="294"/>
      <c r="D398" s="294"/>
    </row>
    <row r="399" spans="2:4" ht="13">
      <c r="B399" s="294"/>
      <c r="C399" s="294"/>
      <c r="D399" s="294"/>
    </row>
    <row r="400" spans="2:4" ht="13">
      <c r="B400" s="294"/>
      <c r="C400" s="294"/>
      <c r="D400" s="294"/>
    </row>
    <row r="401" spans="2:4" ht="13">
      <c r="B401" s="294"/>
      <c r="C401" s="294"/>
      <c r="D401" s="294"/>
    </row>
    <row r="402" spans="2:4" ht="13">
      <c r="B402" s="294"/>
      <c r="C402" s="294"/>
      <c r="D402" s="294"/>
    </row>
    <row r="403" spans="2:4" ht="13">
      <c r="B403" s="294"/>
      <c r="C403" s="294"/>
      <c r="D403" s="294"/>
    </row>
    <row r="404" spans="2:4" ht="13">
      <c r="B404" s="294"/>
      <c r="C404" s="294"/>
      <c r="D404" s="294"/>
    </row>
    <row r="405" spans="2:4" ht="13">
      <c r="B405" s="294"/>
      <c r="C405" s="294"/>
      <c r="D405" s="294"/>
    </row>
    <row r="406" spans="2:4" ht="13">
      <c r="B406" s="294"/>
      <c r="C406" s="294"/>
      <c r="D406" s="294"/>
    </row>
    <row r="407" spans="2:4" ht="13">
      <c r="B407" s="294"/>
      <c r="C407" s="294"/>
      <c r="D407" s="294"/>
    </row>
    <row r="408" spans="2:4" ht="13">
      <c r="B408" s="294"/>
      <c r="C408" s="294"/>
      <c r="D408" s="294"/>
    </row>
    <row r="409" spans="2:4" ht="13">
      <c r="B409" s="294"/>
      <c r="C409" s="294"/>
      <c r="D409" s="294"/>
    </row>
    <row r="410" spans="2:4" ht="13">
      <c r="B410" s="294"/>
      <c r="C410" s="294"/>
      <c r="D410" s="294"/>
    </row>
    <row r="411" spans="2:4" ht="13">
      <c r="B411" s="294"/>
      <c r="C411" s="294"/>
      <c r="D411" s="294"/>
    </row>
    <row r="412" spans="2:4" ht="13">
      <c r="B412" s="294"/>
      <c r="C412" s="294"/>
      <c r="D412" s="294"/>
    </row>
    <row r="413" spans="2:4" ht="13">
      <c r="B413" s="294"/>
      <c r="C413" s="294"/>
      <c r="D413" s="294"/>
    </row>
    <row r="414" spans="2:4" ht="13">
      <c r="B414" s="294"/>
      <c r="C414" s="294"/>
      <c r="D414" s="294"/>
    </row>
    <row r="415" spans="2:4" ht="13">
      <c r="B415" s="294"/>
      <c r="C415" s="294"/>
      <c r="D415" s="294"/>
    </row>
    <row r="416" spans="2:4" ht="13">
      <c r="B416" s="294"/>
      <c r="C416" s="294"/>
      <c r="D416" s="294"/>
    </row>
    <row r="417" spans="2:4" ht="13">
      <c r="B417" s="294"/>
      <c r="C417" s="294"/>
      <c r="D417" s="294"/>
    </row>
    <row r="418" spans="2:4" ht="13">
      <c r="B418" s="294"/>
      <c r="C418" s="294"/>
      <c r="D418" s="294"/>
    </row>
    <row r="419" spans="2:4" ht="13">
      <c r="B419" s="294"/>
      <c r="C419" s="294"/>
      <c r="D419" s="294"/>
    </row>
    <row r="420" spans="2:4" ht="13">
      <c r="B420" s="294"/>
      <c r="C420" s="294"/>
      <c r="D420" s="294"/>
    </row>
    <row r="421" spans="2:4" ht="13">
      <c r="B421" s="294"/>
      <c r="C421" s="294"/>
      <c r="D421" s="294"/>
    </row>
    <row r="422" spans="2:4" ht="13">
      <c r="B422" s="294"/>
      <c r="C422" s="294"/>
      <c r="D422" s="294"/>
    </row>
    <row r="423" spans="2:4" ht="13">
      <c r="B423" s="294"/>
      <c r="C423" s="294"/>
      <c r="D423" s="294"/>
    </row>
    <row r="424" spans="2:4" ht="13">
      <c r="B424" s="294"/>
      <c r="C424" s="294"/>
      <c r="D424" s="294"/>
    </row>
    <row r="425" spans="2:4" ht="13">
      <c r="B425" s="294"/>
      <c r="C425" s="294"/>
      <c r="D425" s="294"/>
    </row>
    <row r="426" spans="2:4" ht="13">
      <c r="B426" s="294"/>
      <c r="C426" s="294"/>
      <c r="D426" s="294"/>
    </row>
    <row r="427" spans="2:4" ht="13">
      <c r="B427" s="294"/>
      <c r="C427" s="294"/>
      <c r="D427" s="294"/>
    </row>
    <row r="428" spans="2:4" ht="13">
      <c r="B428" s="294"/>
      <c r="C428" s="294"/>
      <c r="D428" s="294"/>
    </row>
    <row r="429" spans="2:4" ht="13">
      <c r="B429" s="294"/>
      <c r="C429" s="294"/>
      <c r="D429" s="294"/>
    </row>
    <row r="430" spans="2:4" ht="13">
      <c r="B430" s="294"/>
      <c r="C430" s="294"/>
      <c r="D430" s="294"/>
    </row>
    <row r="431" spans="2:4" ht="13">
      <c r="B431" s="294"/>
      <c r="C431" s="294"/>
      <c r="D431" s="294"/>
    </row>
    <row r="432" spans="2:4" ht="13">
      <c r="B432" s="294"/>
      <c r="C432" s="294"/>
      <c r="D432" s="294"/>
    </row>
    <row r="433" spans="2:4" ht="13">
      <c r="B433" s="294"/>
      <c r="C433" s="294"/>
      <c r="D433" s="294"/>
    </row>
    <row r="434" spans="2:4" ht="13">
      <c r="B434" s="294"/>
      <c r="C434" s="294"/>
      <c r="D434" s="294"/>
    </row>
    <row r="435" spans="2:4" ht="13">
      <c r="B435" s="294"/>
      <c r="C435" s="294"/>
      <c r="D435" s="294"/>
    </row>
    <row r="436" spans="2:4" ht="13">
      <c r="B436" s="294"/>
      <c r="C436" s="294"/>
      <c r="D436" s="294"/>
    </row>
    <row r="437" spans="2:4" ht="13">
      <c r="B437" s="294"/>
      <c r="C437" s="294"/>
      <c r="D437" s="294"/>
    </row>
    <row r="438" spans="2:4" ht="13">
      <c r="B438" s="294"/>
      <c r="C438" s="294"/>
      <c r="D438" s="294"/>
    </row>
    <row r="439" spans="2:4" ht="13">
      <c r="B439" s="294"/>
      <c r="C439" s="294"/>
      <c r="D439" s="294"/>
    </row>
    <row r="440" spans="2:4" ht="13">
      <c r="B440" s="294"/>
      <c r="C440" s="294"/>
      <c r="D440" s="294"/>
    </row>
    <row r="441" spans="2:4" ht="13">
      <c r="B441" s="294"/>
      <c r="C441" s="294"/>
      <c r="D441" s="294"/>
    </row>
    <row r="442" spans="2:4" ht="13">
      <c r="B442" s="294"/>
      <c r="C442" s="294"/>
      <c r="D442" s="294"/>
    </row>
    <row r="443" spans="2:4" ht="13">
      <c r="B443" s="294"/>
      <c r="C443" s="294"/>
      <c r="D443" s="294"/>
    </row>
    <row r="444" spans="2:4" ht="13">
      <c r="B444" s="294"/>
      <c r="C444" s="294"/>
      <c r="D444" s="294"/>
    </row>
    <row r="445" spans="2:4" ht="13">
      <c r="B445" s="294"/>
      <c r="C445" s="294"/>
      <c r="D445" s="294"/>
    </row>
    <row r="446" spans="2:4" ht="13">
      <c r="B446" s="294"/>
      <c r="C446" s="294"/>
      <c r="D446" s="294"/>
    </row>
    <row r="447" spans="2:4" ht="13">
      <c r="B447" s="294"/>
      <c r="C447" s="294"/>
      <c r="D447" s="294"/>
    </row>
    <row r="448" spans="2:4" ht="13">
      <c r="B448" s="294"/>
      <c r="C448" s="294"/>
      <c r="D448" s="294"/>
    </row>
    <row r="449" spans="2:4" ht="13">
      <c r="B449" s="294"/>
      <c r="C449" s="294"/>
      <c r="D449" s="294"/>
    </row>
    <row r="450" spans="2:4" ht="13">
      <c r="B450" s="294"/>
      <c r="C450" s="294"/>
      <c r="D450" s="294"/>
    </row>
    <row r="451" spans="2:4" ht="13">
      <c r="B451" s="294"/>
      <c r="C451" s="294"/>
      <c r="D451" s="294"/>
    </row>
    <row r="452" spans="2:4" ht="13">
      <c r="B452" s="294"/>
      <c r="C452" s="294"/>
      <c r="D452" s="294"/>
    </row>
    <row r="453" spans="2:4" ht="13">
      <c r="B453" s="294"/>
      <c r="C453" s="294"/>
      <c r="D453" s="294"/>
    </row>
    <row r="454" spans="2:4" ht="13">
      <c r="B454" s="294"/>
      <c r="C454" s="294"/>
      <c r="D454" s="294"/>
    </row>
    <row r="455" spans="2:4" ht="13">
      <c r="B455" s="294"/>
      <c r="C455" s="294"/>
      <c r="D455" s="294"/>
    </row>
    <row r="456" spans="2:4" ht="13">
      <c r="B456" s="294"/>
      <c r="C456" s="294"/>
      <c r="D456" s="294"/>
    </row>
    <row r="457" spans="2:4" ht="13">
      <c r="B457" s="294"/>
      <c r="C457" s="294"/>
      <c r="D457" s="294"/>
    </row>
    <row r="458" spans="2:4" ht="13">
      <c r="B458" s="294"/>
      <c r="C458" s="294"/>
      <c r="D458" s="294"/>
    </row>
    <row r="459" spans="2:4" ht="13">
      <c r="B459" s="294"/>
      <c r="C459" s="294"/>
      <c r="D459" s="294"/>
    </row>
    <row r="460" spans="2:4" ht="13">
      <c r="B460" s="294"/>
      <c r="C460" s="294"/>
      <c r="D460" s="294"/>
    </row>
    <row r="461" spans="2:4" ht="13">
      <c r="B461" s="294"/>
      <c r="C461" s="294"/>
      <c r="D461" s="294"/>
    </row>
    <row r="462" spans="2:4" ht="13">
      <c r="B462" s="294"/>
      <c r="C462" s="294"/>
      <c r="D462" s="294"/>
    </row>
    <row r="463" spans="2:4" ht="13">
      <c r="B463" s="294"/>
      <c r="C463" s="294"/>
      <c r="D463" s="294"/>
    </row>
    <row r="464" spans="2:4" ht="13">
      <c r="B464" s="294"/>
      <c r="C464" s="294"/>
      <c r="D464" s="294"/>
    </row>
    <row r="465" spans="2:4" ht="13">
      <c r="B465" s="294"/>
      <c r="C465" s="294"/>
      <c r="D465" s="294"/>
    </row>
    <row r="466" spans="2:4" ht="13">
      <c r="B466" s="294"/>
      <c r="C466" s="294"/>
      <c r="D466" s="294"/>
    </row>
    <row r="467" spans="2:4" ht="13">
      <c r="B467" s="294"/>
      <c r="C467" s="294"/>
      <c r="D467" s="294"/>
    </row>
    <row r="468" spans="2:4" ht="13">
      <c r="B468" s="294"/>
      <c r="C468" s="294"/>
      <c r="D468" s="294"/>
    </row>
    <row r="469" spans="2:4" ht="13">
      <c r="B469" s="294"/>
      <c r="C469" s="294"/>
      <c r="D469" s="294"/>
    </row>
    <row r="470" spans="2:4" ht="13">
      <c r="B470" s="294"/>
      <c r="C470" s="294"/>
      <c r="D470" s="294"/>
    </row>
    <row r="471" spans="2:4" ht="13">
      <c r="B471" s="294"/>
      <c r="C471" s="294"/>
      <c r="D471" s="294"/>
    </row>
    <row r="472" spans="2:4" ht="13">
      <c r="B472" s="294"/>
      <c r="C472" s="294"/>
      <c r="D472" s="294"/>
    </row>
    <row r="473" spans="2:4" ht="13">
      <c r="B473" s="294"/>
      <c r="C473" s="294"/>
      <c r="D473" s="294"/>
    </row>
    <row r="474" spans="2:4" ht="13">
      <c r="B474" s="294"/>
      <c r="C474" s="294"/>
      <c r="D474" s="294"/>
    </row>
    <row r="475" spans="2:4" ht="13">
      <c r="B475" s="294"/>
      <c r="C475" s="294"/>
      <c r="D475" s="294"/>
    </row>
    <row r="476" spans="2:4" ht="13">
      <c r="B476" s="294"/>
      <c r="C476" s="294"/>
      <c r="D476" s="294"/>
    </row>
    <row r="477" spans="2:4" ht="13">
      <c r="B477" s="294"/>
      <c r="C477" s="294"/>
      <c r="D477" s="294"/>
    </row>
    <row r="478" spans="2:4" ht="13">
      <c r="B478" s="294"/>
      <c r="C478" s="294"/>
      <c r="D478" s="294"/>
    </row>
    <row r="479" spans="2:4" ht="13">
      <c r="B479" s="294"/>
      <c r="C479" s="294"/>
      <c r="D479" s="294"/>
    </row>
    <row r="480" spans="2:4" ht="13">
      <c r="B480" s="294"/>
      <c r="C480" s="294"/>
      <c r="D480" s="294"/>
    </row>
    <row r="481" spans="2:4" ht="13">
      <c r="B481" s="294"/>
      <c r="C481" s="294"/>
      <c r="D481" s="294"/>
    </row>
    <row r="482" spans="2:4" ht="13">
      <c r="B482" s="294"/>
      <c r="C482" s="294"/>
      <c r="D482" s="294"/>
    </row>
    <row r="483" spans="2:4" ht="13">
      <c r="B483" s="294"/>
      <c r="C483" s="294"/>
      <c r="D483" s="294"/>
    </row>
    <row r="484" spans="2:4" ht="13">
      <c r="B484" s="294"/>
      <c r="C484" s="294"/>
      <c r="D484" s="294"/>
    </row>
    <row r="485" spans="2:4" ht="13">
      <c r="B485" s="294"/>
      <c r="C485" s="294"/>
      <c r="D485" s="294"/>
    </row>
    <row r="486" spans="2:4" ht="13">
      <c r="B486" s="294"/>
      <c r="C486" s="294"/>
      <c r="D486" s="294"/>
    </row>
    <row r="487" spans="2:4" ht="13">
      <c r="B487" s="294"/>
      <c r="C487" s="294"/>
      <c r="D487" s="294"/>
    </row>
    <row r="488" spans="2:4" ht="13">
      <c r="B488" s="294"/>
      <c r="C488" s="294"/>
      <c r="D488" s="294"/>
    </row>
    <row r="489" spans="2:4" ht="13">
      <c r="B489" s="294"/>
      <c r="C489" s="294"/>
      <c r="D489" s="294"/>
    </row>
    <row r="490" spans="2:4" ht="13">
      <c r="B490" s="294"/>
      <c r="C490" s="294"/>
      <c r="D490" s="294"/>
    </row>
    <row r="491" spans="2:4" ht="13">
      <c r="B491" s="294"/>
      <c r="C491" s="294"/>
      <c r="D491" s="294"/>
    </row>
    <row r="492" spans="2:4" ht="13">
      <c r="B492" s="294"/>
      <c r="C492" s="294"/>
      <c r="D492" s="294"/>
    </row>
    <row r="493" spans="2:4" ht="13">
      <c r="B493" s="294"/>
      <c r="C493" s="294"/>
      <c r="D493" s="294"/>
    </row>
    <row r="494" spans="2:4" ht="13">
      <c r="B494" s="294"/>
      <c r="C494" s="294"/>
      <c r="D494" s="294"/>
    </row>
    <row r="495" spans="2:4" ht="13">
      <c r="B495" s="294"/>
      <c r="C495" s="294"/>
      <c r="D495" s="294"/>
    </row>
    <row r="496" spans="2:4" ht="13">
      <c r="B496" s="294"/>
      <c r="C496" s="294"/>
      <c r="D496" s="294"/>
    </row>
    <row r="497" spans="2:4" ht="13">
      <c r="B497" s="294"/>
      <c r="C497" s="294"/>
      <c r="D497" s="294"/>
    </row>
    <row r="498" spans="2:4" ht="13">
      <c r="B498" s="294"/>
      <c r="C498" s="294"/>
      <c r="D498" s="294"/>
    </row>
    <row r="499" spans="2:4" ht="13">
      <c r="B499" s="294"/>
      <c r="C499" s="294"/>
      <c r="D499" s="294"/>
    </row>
    <row r="500" spans="2:4" ht="13">
      <c r="B500" s="294"/>
      <c r="C500" s="294"/>
      <c r="D500" s="294"/>
    </row>
    <row r="501" spans="2:4" ht="13">
      <c r="B501" s="294"/>
      <c r="C501" s="294"/>
      <c r="D501" s="294"/>
    </row>
    <row r="502" spans="2:4" ht="13">
      <c r="B502" s="294"/>
      <c r="C502" s="294"/>
      <c r="D502" s="294"/>
    </row>
    <row r="503" spans="2:4" ht="13">
      <c r="B503" s="294"/>
      <c r="C503" s="294"/>
      <c r="D503" s="294"/>
    </row>
    <row r="504" spans="2:4" ht="13">
      <c r="B504" s="294"/>
      <c r="C504" s="294"/>
      <c r="D504" s="294"/>
    </row>
    <row r="505" spans="2:4" ht="13">
      <c r="B505" s="294"/>
      <c r="C505" s="294"/>
      <c r="D505" s="294"/>
    </row>
    <row r="506" spans="2:4" ht="13">
      <c r="B506" s="294"/>
      <c r="C506" s="294"/>
      <c r="D506" s="294"/>
    </row>
    <row r="507" spans="2:4" ht="13">
      <c r="B507" s="294"/>
      <c r="C507" s="294"/>
      <c r="D507" s="294"/>
    </row>
    <row r="508" spans="2:4" ht="13">
      <c r="B508" s="294"/>
      <c r="C508" s="294"/>
      <c r="D508" s="294"/>
    </row>
    <row r="509" spans="2:4" ht="13">
      <c r="B509" s="294"/>
      <c r="C509" s="294"/>
      <c r="D509" s="294"/>
    </row>
    <row r="510" spans="2:4" ht="13">
      <c r="B510" s="294"/>
      <c r="C510" s="294"/>
      <c r="D510" s="294"/>
    </row>
    <row r="511" spans="2:4" ht="13">
      <c r="B511" s="294"/>
      <c r="C511" s="294"/>
      <c r="D511" s="294"/>
    </row>
    <row r="512" spans="2:4" ht="13">
      <c r="B512" s="294"/>
      <c r="C512" s="294"/>
      <c r="D512" s="294"/>
    </row>
    <row r="513" spans="2:4" ht="13">
      <c r="B513" s="294"/>
      <c r="C513" s="294"/>
      <c r="D513" s="294"/>
    </row>
    <row r="514" spans="2:4" ht="13">
      <c r="B514" s="294"/>
      <c r="C514" s="294"/>
      <c r="D514" s="294"/>
    </row>
    <row r="515" spans="2:4" ht="13">
      <c r="B515" s="294"/>
      <c r="C515" s="294"/>
      <c r="D515" s="294"/>
    </row>
    <row r="516" spans="2:4" ht="13">
      <c r="B516" s="294"/>
      <c r="C516" s="294"/>
      <c r="D516" s="294"/>
    </row>
    <row r="517" spans="2:4" ht="13">
      <c r="B517" s="294"/>
      <c r="C517" s="294"/>
      <c r="D517" s="294"/>
    </row>
    <row r="518" spans="2:4" ht="13">
      <c r="B518" s="294"/>
      <c r="C518" s="294"/>
      <c r="D518" s="294"/>
    </row>
    <row r="519" spans="2:4" ht="13">
      <c r="B519" s="294"/>
      <c r="C519" s="294"/>
      <c r="D519" s="294"/>
    </row>
    <row r="520" spans="2:4" ht="13">
      <c r="B520" s="294"/>
      <c r="C520" s="294"/>
      <c r="D520" s="294"/>
    </row>
    <row r="521" spans="2:4" ht="13">
      <c r="B521" s="294"/>
      <c r="C521" s="294"/>
      <c r="D521" s="294"/>
    </row>
    <row r="522" spans="2:4" ht="13">
      <c r="B522" s="294"/>
      <c r="C522" s="294"/>
      <c r="D522" s="294"/>
    </row>
    <row r="523" spans="2:4" ht="13">
      <c r="B523" s="294"/>
      <c r="C523" s="294"/>
      <c r="D523" s="294"/>
    </row>
    <row r="524" spans="2:4" ht="13">
      <c r="B524" s="294"/>
      <c r="C524" s="294"/>
      <c r="D524" s="294"/>
    </row>
    <row r="525" spans="2:4" ht="13">
      <c r="B525" s="294"/>
      <c r="C525" s="294"/>
      <c r="D525" s="294"/>
    </row>
    <row r="526" spans="2:4" ht="13">
      <c r="B526" s="294"/>
      <c r="C526" s="294"/>
      <c r="D526" s="294"/>
    </row>
    <row r="527" spans="2:4" ht="13">
      <c r="B527" s="294"/>
      <c r="C527" s="294"/>
      <c r="D527" s="294"/>
    </row>
    <row r="528" spans="2:4" ht="13">
      <c r="B528" s="294"/>
      <c r="C528" s="294"/>
      <c r="D528" s="294"/>
    </row>
    <row r="529" spans="2:4" ht="13">
      <c r="B529" s="294"/>
      <c r="C529" s="294"/>
      <c r="D529" s="294"/>
    </row>
    <row r="530" spans="2:4" ht="13">
      <c r="B530" s="294"/>
      <c r="C530" s="294"/>
      <c r="D530" s="294"/>
    </row>
    <row r="531" spans="2:4" ht="13">
      <c r="B531" s="294"/>
      <c r="C531" s="294"/>
      <c r="D531" s="294"/>
    </row>
    <row r="532" spans="2:4" ht="13">
      <c r="B532" s="294"/>
      <c r="C532" s="294"/>
      <c r="D532" s="294"/>
    </row>
    <row r="533" spans="2:4" ht="13">
      <c r="B533" s="294"/>
      <c r="C533" s="294"/>
      <c r="D533" s="294"/>
    </row>
    <row r="534" spans="2:4" ht="13">
      <c r="B534" s="294"/>
      <c r="C534" s="294"/>
      <c r="D534" s="294"/>
    </row>
    <row r="535" spans="2:4" ht="13">
      <c r="B535" s="294"/>
      <c r="C535" s="294"/>
      <c r="D535" s="294"/>
    </row>
    <row r="536" spans="2:4" ht="13">
      <c r="B536" s="294"/>
      <c r="C536" s="294"/>
      <c r="D536" s="294"/>
    </row>
    <row r="537" spans="2:4" ht="13">
      <c r="B537" s="294"/>
      <c r="C537" s="294"/>
      <c r="D537" s="294"/>
    </row>
    <row r="538" spans="2:4" ht="13">
      <c r="B538" s="294"/>
      <c r="C538" s="294"/>
      <c r="D538" s="294"/>
    </row>
    <row r="539" spans="2:4" ht="13">
      <c r="B539" s="294"/>
      <c r="C539" s="294"/>
      <c r="D539" s="294"/>
    </row>
    <row r="540" spans="2:4" ht="13">
      <c r="B540" s="294"/>
      <c r="C540" s="294"/>
      <c r="D540" s="294"/>
    </row>
    <row r="541" spans="2:4" ht="13">
      <c r="B541" s="294"/>
      <c r="C541" s="294"/>
      <c r="D541" s="294"/>
    </row>
    <row r="542" spans="2:4" ht="13">
      <c r="B542" s="294"/>
      <c r="C542" s="294"/>
      <c r="D542" s="294"/>
    </row>
    <row r="543" spans="2:4" ht="13">
      <c r="B543" s="294"/>
      <c r="C543" s="294"/>
      <c r="D543" s="294"/>
    </row>
    <row r="544" spans="2:4" ht="13">
      <c r="B544" s="294"/>
      <c r="C544" s="294"/>
      <c r="D544" s="294"/>
    </row>
    <row r="545" spans="2:4" ht="13">
      <c r="B545" s="294"/>
      <c r="C545" s="294"/>
      <c r="D545" s="294"/>
    </row>
    <row r="546" spans="2:4" ht="13">
      <c r="B546" s="294"/>
      <c r="C546" s="294"/>
      <c r="D546" s="294"/>
    </row>
    <row r="547" spans="2:4" ht="13">
      <c r="B547" s="294"/>
      <c r="C547" s="294"/>
      <c r="D547" s="294"/>
    </row>
    <row r="548" spans="2:4" ht="13">
      <c r="B548" s="294"/>
      <c r="C548" s="294"/>
      <c r="D548" s="294"/>
    </row>
    <row r="549" spans="2:4" ht="13">
      <c r="B549" s="294"/>
      <c r="C549" s="294"/>
      <c r="D549" s="294"/>
    </row>
    <row r="550" spans="2:4" ht="13">
      <c r="B550" s="294"/>
      <c r="C550" s="294"/>
      <c r="D550" s="294"/>
    </row>
    <row r="551" spans="2:4" ht="13">
      <c r="B551" s="294"/>
      <c r="C551" s="294"/>
      <c r="D551" s="294"/>
    </row>
    <row r="552" spans="2:4" ht="13">
      <c r="B552" s="294"/>
      <c r="C552" s="294"/>
      <c r="D552" s="294"/>
    </row>
    <row r="553" spans="2:4" ht="13">
      <c r="B553" s="294"/>
      <c r="C553" s="294"/>
      <c r="D553" s="294"/>
    </row>
    <row r="554" spans="2:4" ht="13">
      <c r="B554" s="294"/>
      <c r="C554" s="294"/>
      <c r="D554" s="294"/>
    </row>
    <row r="555" spans="2:4" ht="13">
      <c r="B555" s="294"/>
      <c r="C555" s="294"/>
      <c r="D555" s="294"/>
    </row>
    <row r="556" spans="2:4" ht="13">
      <c r="B556" s="294"/>
      <c r="C556" s="294"/>
      <c r="D556" s="294"/>
    </row>
    <row r="557" spans="2:4" ht="13">
      <c r="B557" s="294"/>
      <c r="C557" s="294"/>
      <c r="D557" s="294"/>
    </row>
    <row r="558" spans="2:4" ht="13">
      <c r="B558" s="294"/>
      <c r="C558" s="294"/>
      <c r="D558" s="294"/>
    </row>
    <row r="559" spans="2:4" ht="13">
      <c r="B559" s="294"/>
      <c r="C559" s="294"/>
      <c r="D559" s="294"/>
    </row>
    <row r="560" spans="2:4" ht="13">
      <c r="B560" s="294"/>
      <c r="C560" s="294"/>
      <c r="D560" s="294"/>
    </row>
    <row r="561" spans="2:4" ht="13">
      <c r="B561" s="294"/>
      <c r="C561" s="294"/>
      <c r="D561" s="294"/>
    </row>
    <row r="562" spans="2:4" ht="13">
      <c r="B562" s="294"/>
      <c r="C562" s="294"/>
      <c r="D562" s="294"/>
    </row>
    <row r="563" spans="2:4" ht="13">
      <c r="B563" s="294"/>
      <c r="C563" s="294"/>
      <c r="D563" s="294"/>
    </row>
    <row r="564" spans="2:4" ht="13">
      <c r="B564" s="294"/>
      <c r="C564" s="294"/>
      <c r="D564" s="294"/>
    </row>
    <row r="565" spans="2:4" ht="13">
      <c r="B565" s="294"/>
      <c r="C565" s="294"/>
      <c r="D565" s="294"/>
    </row>
    <row r="566" spans="2:4" ht="13">
      <c r="B566" s="294"/>
      <c r="C566" s="294"/>
      <c r="D566" s="294"/>
    </row>
    <row r="567" spans="2:4" ht="13">
      <c r="B567" s="294"/>
      <c r="C567" s="294"/>
      <c r="D567" s="294"/>
    </row>
    <row r="568" spans="2:4" ht="13">
      <c r="B568" s="294"/>
      <c r="C568" s="294"/>
      <c r="D568" s="294"/>
    </row>
    <row r="569" spans="2:4" ht="13">
      <c r="B569" s="294"/>
      <c r="C569" s="294"/>
      <c r="D569" s="294"/>
    </row>
    <row r="570" spans="2:4" ht="13">
      <c r="B570" s="294"/>
      <c r="C570" s="294"/>
      <c r="D570" s="294"/>
    </row>
    <row r="571" spans="2:4" ht="13">
      <c r="B571" s="294"/>
      <c r="C571" s="294"/>
      <c r="D571" s="294"/>
    </row>
    <row r="572" spans="2:4" ht="13">
      <c r="B572" s="294"/>
      <c r="C572" s="294"/>
      <c r="D572" s="294"/>
    </row>
    <row r="573" spans="2:4" ht="13">
      <c r="B573" s="294"/>
      <c r="C573" s="294"/>
      <c r="D573" s="294"/>
    </row>
    <row r="574" spans="2:4" ht="13">
      <c r="B574" s="294"/>
      <c r="C574" s="294"/>
      <c r="D574" s="294"/>
    </row>
    <row r="575" spans="2:4" ht="13">
      <c r="B575" s="294"/>
      <c r="C575" s="294"/>
      <c r="D575" s="294"/>
    </row>
    <row r="576" spans="2:4" ht="13">
      <c r="B576" s="294"/>
      <c r="C576" s="294"/>
      <c r="D576" s="294"/>
    </row>
    <row r="577" spans="2:4" ht="13">
      <c r="B577" s="294"/>
      <c r="C577" s="294"/>
      <c r="D577" s="294"/>
    </row>
    <row r="578" spans="2:4" ht="13">
      <c r="B578" s="294"/>
      <c r="C578" s="294"/>
      <c r="D578" s="294"/>
    </row>
    <row r="579" spans="2:4" ht="13">
      <c r="B579" s="294"/>
      <c r="C579" s="294"/>
      <c r="D579" s="294"/>
    </row>
    <row r="580" spans="2:4" ht="13">
      <c r="B580" s="294"/>
      <c r="C580" s="294"/>
      <c r="D580" s="294"/>
    </row>
    <row r="581" spans="2:4" ht="13">
      <c r="B581" s="294"/>
      <c r="C581" s="294"/>
      <c r="D581" s="294"/>
    </row>
    <row r="582" spans="2:4" ht="13">
      <c r="B582" s="294"/>
      <c r="C582" s="294"/>
      <c r="D582" s="294"/>
    </row>
    <row r="583" spans="2:4" ht="13">
      <c r="B583" s="294"/>
      <c r="C583" s="294"/>
      <c r="D583" s="294"/>
    </row>
    <row r="584" spans="2:4" ht="13">
      <c r="B584" s="294"/>
      <c r="C584" s="294"/>
      <c r="D584" s="294"/>
    </row>
    <row r="585" spans="2:4" ht="13">
      <c r="B585" s="294"/>
      <c r="C585" s="294"/>
      <c r="D585" s="294"/>
    </row>
    <row r="586" spans="2:4" ht="13">
      <c r="B586" s="294"/>
      <c r="C586" s="294"/>
      <c r="D586" s="294"/>
    </row>
    <row r="587" spans="2:4" ht="13">
      <c r="B587" s="294"/>
      <c r="C587" s="294"/>
      <c r="D587" s="294"/>
    </row>
    <row r="588" spans="2:4" ht="13">
      <c r="B588" s="294"/>
      <c r="C588" s="294"/>
      <c r="D588" s="294"/>
    </row>
    <row r="589" spans="2:4" ht="13">
      <c r="B589" s="294"/>
      <c r="C589" s="294"/>
      <c r="D589" s="294"/>
    </row>
    <row r="590" spans="2:4" ht="13">
      <c r="B590" s="294"/>
      <c r="C590" s="294"/>
      <c r="D590" s="294"/>
    </row>
    <row r="591" spans="2:4" ht="13">
      <c r="B591" s="294"/>
      <c r="C591" s="294"/>
      <c r="D591" s="294"/>
    </row>
    <row r="592" spans="2:4" ht="13">
      <c r="B592" s="294"/>
      <c r="C592" s="294"/>
      <c r="D592" s="294"/>
    </row>
    <row r="593" spans="2:4" ht="13">
      <c r="B593" s="294"/>
      <c r="C593" s="294"/>
      <c r="D593" s="294"/>
    </row>
    <row r="594" spans="2:4" ht="13">
      <c r="B594" s="294"/>
      <c r="C594" s="294"/>
      <c r="D594" s="294"/>
    </row>
    <row r="595" spans="2:4" ht="13">
      <c r="B595" s="294"/>
      <c r="C595" s="294"/>
      <c r="D595" s="294"/>
    </row>
    <row r="596" spans="2:4" ht="13">
      <c r="B596" s="294"/>
      <c r="C596" s="294"/>
      <c r="D596" s="294"/>
    </row>
    <row r="597" spans="2:4" ht="13">
      <c r="B597" s="294"/>
      <c r="C597" s="294"/>
      <c r="D597" s="294"/>
    </row>
    <row r="598" spans="2:4" ht="13">
      <c r="B598" s="294"/>
      <c r="C598" s="294"/>
      <c r="D598" s="294"/>
    </row>
    <row r="599" spans="2:4" ht="13">
      <c r="B599" s="294"/>
      <c r="C599" s="294"/>
      <c r="D599" s="294"/>
    </row>
    <row r="600" spans="2:4" ht="13">
      <c r="B600" s="294"/>
      <c r="C600" s="294"/>
      <c r="D600" s="294"/>
    </row>
    <row r="601" spans="2:4" ht="13">
      <c r="B601" s="294"/>
      <c r="C601" s="294"/>
      <c r="D601" s="294"/>
    </row>
    <row r="602" spans="2:4" ht="13">
      <c r="B602" s="294"/>
      <c r="C602" s="294"/>
      <c r="D602" s="294"/>
    </row>
    <row r="603" spans="2:4" ht="13">
      <c r="B603" s="294"/>
      <c r="C603" s="294"/>
      <c r="D603" s="294"/>
    </row>
    <row r="604" spans="2:4" ht="13">
      <c r="B604" s="294"/>
      <c r="C604" s="294"/>
      <c r="D604" s="294"/>
    </row>
    <row r="605" spans="2:4" ht="13">
      <c r="B605" s="294"/>
      <c r="C605" s="294"/>
      <c r="D605" s="294"/>
    </row>
    <row r="606" spans="2:4" ht="13">
      <c r="B606" s="294"/>
      <c r="C606" s="294"/>
      <c r="D606" s="294"/>
    </row>
    <row r="607" spans="2:4" ht="13">
      <c r="B607" s="294"/>
      <c r="C607" s="294"/>
      <c r="D607" s="294"/>
    </row>
    <row r="608" spans="2:4" ht="13">
      <c r="B608" s="294"/>
      <c r="C608" s="294"/>
      <c r="D608" s="294"/>
    </row>
    <row r="609" spans="2:4" ht="13">
      <c r="B609" s="294"/>
      <c r="C609" s="294"/>
      <c r="D609" s="294"/>
    </row>
    <row r="610" spans="2:4" ht="13">
      <c r="B610" s="294"/>
      <c r="C610" s="294"/>
      <c r="D610" s="294"/>
    </row>
    <row r="611" spans="2:4" ht="13">
      <c r="B611" s="294"/>
      <c r="C611" s="294"/>
      <c r="D611" s="294"/>
    </row>
    <row r="612" spans="2:4" ht="13">
      <c r="B612" s="294"/>
      <c r="C612" s="294"/>
      <c r="D612" s="294"/>
    </row>
    <row r="613" spans="2:4" ht="13">
      <c r="B613" s="294"/>
      <c r="C613" s="294"/>
      <c r="D613" s="294"/>
    </row>
    <row r="614" spans="2:4" ht="13">
      <c r="B614" s="294"/>
      <c r="C614" s="294"/>
      <c r="D614" s="294"/>
    </row>
    <row r="615" spans="2:4" ht="13">
      <c r="B615" s="294"/>
      <c r="C615" s="294"/>
      <c r="D615" s="294"/>
    </row>
    <row r="616" spans="2:4" ht="13">
      <c r="B616" s="294"/>
      <c r="C616" s="294"/>
      <c r="D616" s="294"/>
    </row>
    <row r="617" spans="2:4" ht="13">
      <c r="B617" s="294"/>
      <c r="C617" s="294"/>
      <c r="D617" s="294"/>
    </row>
    <row r="618" spans="2:4" ht="13">
      <c r="B618" s="294"/>
      <c r="C618" s="294"/>
      <c r="D618" s="294"/>
    </row>
    <row r="619" spans="2:4" ht="13">
      <c r="B619" s="294"/>
      <c r="C619" s="294"/>
      <c r="D619" s="294"/>
    </row>
    <row r="620" spans="2:4" ht="13">
      <c r="B620" s="294"/>
      <c r="C620" s="294"/>
      <c r="D620" s="294"/>
    </row>
    <row r="621" spans="2:4" ht="13">
      <c r="B621" s="294"/>
      <c r="C621" s="294"/>
      <c r="D621" s="294"/>
    </row>
    <row r="622" spans="2:4" ht="13">
      <c r="B622" s="294"/>
      <c r="C622" s="294"/>
      <c r="D622" s="294"/>
    </row>
    <row r="623" spans="2:4" ht="13">
      <c r="B623" s="294"/>
      <c r="C623" s="294"/>
      <c r="D623" s="294"/>
    </row>
    <row r="624" spans="2:4" ht="13">
      <c r="B624" s="294"/>
      <c r="C624" s="294"/>
      <c r="D624" s="294"/>
    </row>
    <row r="625" spans="2:4" ht="13">
      <c r="B625" s="294"/>
      <c r="C625" s="294"/>
      <c r="D625" s="294"/>
    </row>
    <row r="626" spans="2:4" ht="13">
      <c r="B626" s="294"/>
      <c r="C626" s="294"/>
      <c r="D626" s="294"/>
    </row>
    <row r="627" spans="2:4" ht="13">
      <c r="B627" s="294"/>
      <c r="C627" s="294"/>
      <c r="D627" s="294"/>
    </row>
    <row r="628" spans="2:4" ht="13">
      <c r="B628" s="294"/>
      <c r="C628" s="294"/>
      <c r="D628" s="294"/>
    </row>
    <row r="629" spans="2:4" ht="13">
      <c r="B629" s="294"/>
      <c r="C629" s="294"/>
      <c r="D629" s="294"/>
    </row>
    <row r="630" spans="2:4" ht="13">
      <c r="B630" s="294"/>
      <c r="C630" s="294"/>
      <c r="D630" s="294"/>
    </row>
    <row r="631" spans="2:4" ht="13">
      <c r="B631" s="294"/>
      <c r="C631" s="294"/>
      <c r="D631" s="294"/>
    </row>
    <row r="632" spans="2:4" ht="13">
      <c r="B632" s="294"/>
      <c r="C632" s="294"/>
      <c r="D632" s="294"/>
    </row>
    <row r="633" spans="2:4" ht="13">
      <c r="B633" s="294"/>
      <c r="C633" s="294"/>
      <c r="D633" s="294"/>
    </row>
    <row r="634" spans="2:4" ht="13">
      <c r="B634" s="294"/>
      <c r="C634" s="294"/>
      <c r="D634" s="294"/>
    </row>
    <row r="635" spans="2:4" ht="13">
      <c r="B635" s="294"/>
      <c r="C635" s="294"/>
      <c r="D635" s="294"/>
    </row>
    <row r="636" spans="2:4" ht="13">
      <c r="B636" s="294"/>
      <c r="C636" s="294"/>
      <c r="D636" s="294"/>
    </row>
    <row r="637" spans="2:4" ht="13">
      <c r="B637" s="294"/>
      <c r="C637" s="294"/>
      <c r="D637" s="294"/>
    </row>
    <row r="638" spans="2:4" ht="13">
      <c r="B638" s="294"/>
      <c r="C638" s="294"/>
      <c r="D638" s="294"/>
    </row>
    <row r="639" spans="2:4" ht="13">
      <c r="B639" s="294"/>
      <c r="C639" s="294"/>
      <c r="D639" s="294"/>
    </row>
    <row r="640" spans="2:4" ht="13">
      <c r="B640" s="294"/>
      <c r="C640" s="294"/>
      <c r="D640" s="294"/>
    </row>
    <row r="641" spans="2:4" ht="13">
      <c r="B641" s="294"/>
      <c r="C641" s="294"/>
      <c r="D641" s="294"/>
    </row>
    <row r="642" spans="2:4" ht="13">
      <c r="B642" s="294"/>
      <c r="C642" s="294"/>
      <c r="D642" s="294"/>
    </row>
    <row r="643" spans="2:4" ht="13">
      <c r="B643" s="294"/>
      <c r="C643" s="294"/>
      <c r="D643" s="294"/>
    </row>
    <row r="644" spans="2:4" ht="13">
      <c r="B644" s="294"/>
      <c r="C644" s="294"/>
      <c r="D644" s="294"/>
    </row>
    <row r="645" spans="2:4" ht="13">
      <c r="B645" s="294"/>
      <c r="C645" s="294"/>
      <c r="D645" s="294"/>
    </row>
    <row r="646" spans="2:4" ht="13">
      <c r="B646" s="294"/>
      <c r="C646" s="294"/>
      <c r="D646" s="294"/>
    </row>
    <row r="647" spans="2:4" ht="13">
      <c r="B647" s="294"/>
      <c r="C647" s="294"/>
      <c r="D647" s="294"/>
    </row>
    <row r="648" spans="2:4" ht="13">
      <c r="B648" s="294"/>
      <c r="C648" s="294"/>
      <c r="D648" s="294"/>
    </row>
    <row r="649" spans="2:4" ht="13">
      <c r="B649" s="294"/>
      <c r="C649" s="294"/>
      <c r="D649" s="294"/>
    </row>
    <row r="650" spans="2:4" ht="13">
      <c r="B650" s="294"/>
      <c r="C650" s="294"/>
      <c r="D650" s="294"/>
    </row>
    <row r="651" spans="2:4" ht="13">
      <c r="B651" s="294"/>
      <c r="C651" s="294"/>
      <c r="D651" s="294"/>
    </row>
    <row r="652" spans="2:4" ht="13">
      <c r="B652" s="294"/>
      <c r="C652" s="294"/>
      <c r="D652" s="294"/>
    </row>
    <row r="653" spans="2:4" ht="13">
      <c r="B653" s="294"/>
      <c r="C653" s="294"/>
      <c r="D653" s="294"/>
    </row>
    <row r="654" spans="2:4" ht="13">
      <c r="B654" s="294"/>
      <c r="C654" s="294"/>
      <c r="D654" s="294"/>
    </row>
    <row r="655" spans="2:4" ht="13">
      <c r="B655" s="294"/>
      <c r="C655" s="294"/>
      <c r="D655" s="294"/>
    </row>
    <row r="656" spans="2:4" ht="13">
      <c r="B656" s="294"/>
      <c r="C656" s="294"/>
      <c r="D656" s="294"/>
    </row>
    <row r="657" spans="2:4" ht="13">
      <c r="B657" s="294"/>
      <c r="C657" s="294"/>
      <c r="D657" s="294"/>
    </row>
    <row r="658" spans="2:4" ht="13">
      <c r="B658" s="294"/>
      <c r="C658" s="294"/>
      <c r="D658" s="294"/>
    </row>
    <row r="659" spans="2:4" ht="13">
      <c r="B659" s="294"/>
      <c r="C659" s="294"/>
      <c r="D659" s="294"/>
    </row>
    <row r="660" spans="2:4" ht="13">
      <c r="B660" s="294"/>
      <c r="C660" s="294"/>
      <c r="D660" s="294"/>
    </row>
    <row r="661" spans="2:4" ht="13">
      <c r="B661" s="294"/>
      <c r="C661" s="294"/>
      <c r="D661" s="294"/>
    </row>
    <row r="662" spans="2:4" ht="13">
      <c r="B662" s="294"/>
      <c r="C662" s="294"/>
      <c r="D662" s="294"/>
    </row>
    <row r="663" spans="2:4" ht="13">
      <c r="B663" s="294"/>
      <c r="C663" s="294"/>
      <c r="D663" s="294"/>
    </row>
    <row r="664" spans="2:4" ht="13">
      <c r="B664" s="294"/>
      <c r="C664" s="294"/>
      <c r="D664" s="294"/>
    </row>
    <row r="665" spans="2:4" ht="13">
      <c r="B665" s="294"/>
      <c r="C665" s="294"/>
      <c r="D665" s="294"/>
    </row>
    <row r="666" spans="2:4" ht="13">
      <c r="B666" s="294"/>
      <c r="C666" s="294"/>
      <c r="D666" s="294"/>
    </row>
    <row r="667" spans="2:4" ht="13">
      <c r="B667" s="294"/>
      <c r="C667" s="294"/>
      <c r="D667" s="294"/>
    </row>
    <row r="668" spans="2:4" ht="13">
      <c r="B668" s="294"/>
      <c r="C668" s="294"/>
      <c r="D668" s="294"/>
    </row>
    <row r="669" spans="2:4" ht="13">
      <c r="B669" s="294"/>
      <c r="C669" s="294"/>
      <c r="D669" s="294"/>
    </row>
    <row r="670" spans="2:4" ht="13">
      <c r="B670" s="294"/>
      <c r="C670" s="294"/>
      <c r="D670" s="294"/>
    </row>
    <row r="671" spans="2:4" ht="13">
      <c r="B671" s="294"/>
      <c r="C671" s="294"/>
      <c r="D671" s="294"/>
    </row>
    <row r="672" spans="2:4" ht="13">
      <c r="B672" s="294"/>
      <c r="C672" s="294"/>
      <c r="D672" s="294"/>
    </row>
    <row r="673" spans="2:4" ht="13">
      <c r="B673" s="294"/>
      <c r="C673" s="294"/>
      <c r="D673" s="294"/>
    </row>
    <row r="674" spans="2:4" ht="13">
      <c r="B674" s="294"/>
      <c r="C674" s="294"/>
      <c r="D674" s="294"/>
    </row>
    <row r="675" spans="2:4" ht="13">
      <c r="B675" s="294"/>
      <c r="C675" s="294"/>
      <c r="D675" s="294"/>
    </row>
    <row r="676" spans="2:4" ht="13">
      <c r="B676" s="294"/>
      <c r="C676" s="294"/>
      <c r="D676" s="294"/>
    </row>
    <row r="677" spans="2:4" ht="13">
      <c r="B677" s="294"/>
      <c r="C677" s="294"/>
      <c r="D677" s="294"/>
    </row>
    <row r="678" spans="2:4" ht="13">
      <c r="B678" s="294"/>
      <c r="C678" s="294"/>
      <c r="D678" s="294"/>
    </row>
    <row r="679" spans="2:4" ht="13">
      <c r="B679" s="294"/>
      <c r="C679" s="294"/>
      <c r="D679" s="294"/>
    </row>
    <row r="680" spans="2:4" ht="13">
      <c r="B680" s="294"/>
      <c r="C680" s="294"/>
      <c r="D680" s="294"/>
    </row>
    <row r="681" spans="2:4" ht="13">
      <c r="B681" s="294"/>
      <c r="C681" s="294"/>
      <c r="D681" s="294"/>
    </row>
    <row r="682" spans="2:4" ht="13">
      <c r="B682" s="294"/>
      <c r="C682" s="294"/>
      <c r="D682" s="294"/>
    </row>
    <row r="683" spans="2:4" ht="13">
      <c r="B683" s="294"/>
      <c r="C683" s="294"/>
      <c r="D683" s="294"/>
    </row>
    <row r="684" spans="2:4" ht="13">
      <c r="B684" s="294"/>
      <c r="C684" s="294"/>
      <c r="D684" s="294"/>
    </row>
    <row r="685" spans="2:4" ht="13">
      <c r="B685" s="294"/>
      <c r="C685" s="294"/>
      <c r="D685" s="294"/>
    </row>
    <row r="686" spans="2:4" ht="13">
      <c r="B686" s="294"/>
      <c r="C686" s="294"/>
      <c r="D686" s="294"/>
    </row>
    <row r="687" spans="2:4" ht="13">
      <c r="B687" s="294"/>
      <c r="C687" s="294"/>
      <c r="D687" s="294"/>
    </row>
    <row r="688" spans="2:4" ht="13">
      <c r="B688" s="294"/>
      <c r="C688" s="294"/>
      <c r="D688" s="294"/>
    </row>
    <row r="689" spans="2:4" ht="13">
      <c r="B689" s="294"/>
      <c r="C689" s="294"/>
      <c r="D689" s="294"/>
    </row>
    <row r="690" spans="2:4" ht="13">
      <c r="B690" s="294"/>
      <c r="C690" s="294"/>
      <c r="D690" s="294"/>
    </row>
    <row r="691" spans="2:4" ht="13">
      <c r="B691" s="294"/>
      <c r="C691" s="294"/>
      <c r="D691" s="294"/>
    </row>
    <row r="692" spans="2:4" ht="13">
      <c r="B692" s="294"/>
      <c r="C692" s="294"/>
      <c r="D692" s="294"/>
    </row>
    <row r="693" spans="2:4" ht="13">
      <c r="B693" s="294"/>
      <c r="C693" s="294"/>
      <c r="D693" s="294"/>
    </row>
    <row r="694" spans="2:4" ht="13">
      <c r="B694" s="294"/>
      <c r="C694" s="294"/>
      <c r="D694" s="294"/>
    </row>
    <row r="695" spans="2:4" ht="13">
      <c r="B695" s="294"/>
      <c r="C695" s="294"/>
      <c r="D695" s="294"/>
    </row>
    <row r="696" spans="2:4" ht="13">
      <c r="B696" s="294"/>
      <c r="C696" s="294"/>
      <c r="D696" s="294"/>
    </row>
    <row r="697" spans="2:4" ht="13">
      <c r="B697" s="294"/>
      <c r="C697" s="294"/>
      <c r="D697" s="294"/>
    </row>
    <row r="698" spans="2:4" ht="13">
      <c r="B698" s="294"/>
      <c r="C698" s="294"/>
      <c r="D698" s="294"/>
    </row>
    <row r="699" spans="2:4" ht="13">
      <c r="B699" s="294"/>
      <c r="C699" s="294"/>
      <c r="D699" s="294"/>
    </row>
    <row r="700" spans="2:4" ht="13">
      <c r="B700" s="294"/>
      <c r="C700" s="294"/>
      <c r="D700" s="294"/>
    </row>
    <row r="701" spans="2:4" ht="13">
      <c r="B701" s="294"/>
      <c r="C701" s="294"/>
      <c r="D701" s="294"/>
    </row>
    <row r="702" spans="2:4" ht="13">
      <c r="B702" s="294"/>
      <c r="C702" s="294"/>
      <c r="D702" s="294"/>
    </row>
    <row r="703" spans="2:4" ht="13">
      <c r="B703" s="294"/>
      <c r="C703" s="294"/>
      <c r="D703" s="294"/>
    </row>
    <row r="704" spans="2:4" ht="13">
      <c r="B704" s="294"/>
      <c r="C704" s="294"/>
      <c r="D704" s="294"/>
    </row>
    <row r="705" spans="2:4" ht="13">
      <c r="B705" s="294"/>
      <c r="C705" s="294"/>
      <c r="D705" s="294"/>
    </row>
    <row r="706" spans="2:4" ht="13">
      <c r="B706" s="294"/>
      <c r="C706" s="294"/>
      <c r="D706" s="294"/>
    </row>
    <row r="707" spans="2:4" ht="13">
      <c r="B707" s="294"/>
      <c r="C707" s="294"/>
      <c r="D707" s="294"/>
    </row>
    <row r="708" spans="2:4" ht="13">
      <c r="B708" s="294"/>
      <c r="C708" s="294"/>
      <c r="D708" s="294"/>
    </row>
    <row r="709" spans="2:4" ht="13">
      <c r="B709" s="294"/>
      <c r="C709" s="294"/>
      <c r="D709" s="294"/>
    </row>
    <row r="710" spans="2:4" ht="13">
      <c r="B710" s="294"/>
      <c r="C710" s="294"/>
      <c r="D710" s="294"/>
    </row>
    <row r="711" spans="2:4" ht="13">
      <c r="B711" s="294"/>
      <c r="C711" s="294"/>
      <c r="D711" s="294"/>
    </row>
    <row r="712" spans="2:4" ht="13">
      <c r="B712" s="294"/>
      <c r="C712" s="294"/>
      <c r="D712" s="294"/>
    </row>
    <row r="713" spans="2:4" ht="13">
      <c r="B713" s="294"/>
      <c r="C713" s="294"/>
      <c r="D713" s="294"/>
    </row>
    <row r="714" spans="2:4" ht="13">
      <c r="B714" s="294"/>
      <c r="C714" s="294"/>
      <c r="D714" s="294"/>
    </row>
    <row r="715" spans="2:4" ht="13">
      <c r="B715" s="294"/>
      <c r="C715" s="294"/>
      <c r="D715" s="294"/>
    </row>
    <row r="716" spans="2:4" ht="13">
      <c r="B716" s="294"/>
      <c r="C716" s="294"/>
      <c r="D716" s="294"/>
    </row>
    <row r="717" spans="2:4" ht="13">
      <c r="B717" s="294"/>
      <c r="C717" s="294"/>
      <c r="D717" s="294"/>
    </row>
    <row r="718" spans="2:4" ht="13">
      <c r="B718" s="294"/>
      <c r="C718" s="294"/>
      <c r="D718" s="294"/>
    </row>
    <row r="719" spans="2:4" ht="13">
      <c r="B719" s="294"/>
      <c r="C719" s="294"/>
      <c r="D719" s="294"/>
    </row>
    <row r="720" spans="2:4" ht="13">
      <c r="B720" s="294"/>
      <c r="C720" s="294"/>
      <c r="D720" s="294"/>
    </row>
    <row r="721" spans="2:4" ht="13">
      <c r="B721" s="294"/>
      <c r="C721" s="294"/>
      <c r="D721" s="294"/>
    </row>
    <row r="722" spans="2:4" ht="13">
      <c r="B722" s="294"/>
      <c r="C722" s="294"/>
      <c r="D722" s="294"/>
    </row>
    <row r="723" spans="2:4" ht="13">
      <c r="B723" s="294"/>
      <c r="C723" s="294"/>
      <c r="D723" s="294"/>
    </row>
    <row r="724" spans="2:4" ht="13">
      <c r="B724" s="294"/>
      <c r="C724" s="294"/>
      <c r="D724" s="294"/>
    </row>
    <row r="725" spans="2:4" ht="13">
      <c r="B725" s="294"/>
      <c r="C725" s="294"/>
      <c r="D725" s="294"/>
    </row>
    <row r="726" spans="2:4" ht="13">
      <c r="B726" s="294"/>
      <c r="C726" s="294"/>
      <c r="D726" s="294"/>
    </row>
    <row r="727" spans="2:4" ht="13">
      <c r="B727" s="294"/>
      <c r="C727" s="294"/>
      <c r="D727" s="294"/>
    </row>
    <row r="728" spans="2:4" ht="13">
      <c r="B728" s="294"/>
      <c r="C728" s="294"/>
      <c r="D728" s="294"/>
    </row>
    <row r="729" spans="2:4" ht="13">
      <c r="B729" s="294"/>
      <c r="C729" s="294"/>
      <c r="D729" s="294"/>
    </row>
    <row r="730" spans="2:4" ht="13">
      <c r="B730" s="294"/>
      <c r="C730" s="294"/>
      <c r="D730" s="294"/>
    </row>
    <row r="731" spans="2:4" ht="13">
      <c r="B731" s="294"/>
      <c r="C731" s="294"/>
      <c r="D731" s="294"/>
    </row>
    <row r="732" spans="2:4" ht="13">
      <c r="B732" s="294"/>
      <c r="C732" s="294"/>
      <c r="D732" s="294"/>
    </row>
    <row r="733" spans="2:4" ht="13">
      <c r="B733" s="294"/>
      <c r="C733" s="294"/>
      <c r="D733" s="294"/>
    </row>
    <row r="734" spans="2:4" ht="13">
      <c r="B734" s="294"/>
      <c r="C734" s="294"/>
      <c r="D734" s="294"/>
    </row>
    <row r="735" spans="2:4" ht="13">
      <c r="B735" s="294"/>
      <c r="C735" s="294"/>
      <c r="D735" s="294"/>
    </row>
    <row r="736" spans="2:4" ht="13">
      <c r="B736" s="294"/>
      <c r="C736" s="294"/>
      <c r="D736" s="294"/>
    </row>
    <row r="737" spans="2:4" ht="13">
      <c r="B737" s="294"/>
      <c r="C737" s="294"/>
      <c r="D737" s="294"/>
    </row>
    <row r="738" spans="2:4" ht="13">
      <c r="B738" s="294"/>
      <c r="C738" s="294"/>
      <c r="D738" s="294"/>
    </row>
    <row r="739" spans="2:4" ht="13">
      <c r="B739" s="294"/>
      <c r="C739" s="294"/>
      <c r="D739" s="294"/>
    </row>
    <row r="740" spans="2:4" ht="13">
      <c r="B740" s="294"/>
      <c r="C740" s="294"/>
      <c r="D740" s="294"/>
    </row>
    <row r="741" spans="2:4" ht="13">
      <c r="B741" s="294"/>
      <c r="C741" s="294"/>
      <c r="D741" s="294"/>
    </row>
    <row r="742" spans="2:4" ht="13">
      <c r="B742" s="294"/>
      <c r="C742" s="294"/>
      <c r="D742" s="294"/>
    </row>
    <row r="743" spans="2:4" ht="13">
      <c r="B743" s="294"/>
      <c r="C743" s="294"/>
      <c r="D743" s="294"/>
    </row>
    <row r="744" spans="2:4" ht="13">
      <c r="B744" s="294"/>
      <c r="C744" s="294"/>
      <c r="D744" s="294"/>
    </row>
    <row r="745" spans="2:4" ht="13">
      <c r="B745" s="294"/>
      <c r="C745" s="294"/>
      <c r="D745" s="294"/>
    </row>
    <row r="746" spans="2:4" ht="13">
      <c r="B746" s="294"/>
      <c r="C746" s="294"/>
      <c r="D746" s="294"/>
    </row>
    <row r="747" spans="2:4" ht="13">
      <c r="B747" s="294"/>
      <c r="C747" s="294"/>
      <c r="D747" s="294"/>
    </row>
    <row r="748" spans="2:4" ht="13">
      <c r="B748" s="294"/>
      <c r="C748" s="294"/>
      <c r="D748" s="294"/>
    </row>
    <row r="749" spans="2:4" ht="13">
      <c r="B749" s="294"/>
      <c r="C749" s="294"/>
      <c r="D749" s="294"/>
    </row>
    <row r="750" spans="2:4" ht="13">
      <c r="B750" s="294"/>
      <c r="C750" s="294"/>
      <c r="D750" s="294"/>
    </row>
    <row r="751" spans="2:4" ht="13">
      <c r="B751" s="294"/>
      <c r="C751" s="294"/>
      <c r="D751" s="294"/>
    </row>
    <row r="752" spans="2:4" ht="13">
      <c r="B752" s="294"/>
      <c r="C752" s="294"/>
      <c r="D752" s="294"/>
    </row>
    <row r="753" spans="2:4" ht="13">
      <c r="B753" s="294"/>
      <c r="C753" s="294"/>
      <c r="D753" s="294"/>
    </row>
    <row r="754" spans="2:4" ht="13">
      <c r="B754" s="294"/>
      <c r="C754" s="294"/>
      <c r="D754" s="294"/>
    </row>
    <row r="755" spans="2:4" ht="13">
      <c r="B755" s="294"/>
      <c r="C755" s="294"/>
      <c r="D755" s="294"/>
    </row>
    <row r="756" spans="2:4" ht="13">
      <c r="B756" s="294"/>
      <c r="C756" s="294"/>
      <c r="D756" s="294"/>
    </row>
    <row r="757" spans="2:4" ht="13">
      <c r="B757" s="294"/>
      <c r="C757" s="294"/>
      <c r="D757" s="294"/>
    </row>
    <row r="758" spans="2:4" ht="13">
      <c r="B758" s="294"/>
      <c r="C758" s="294"/>
      <c r="D758" s="294"/>
    </row>
    <row r="759" spans="2:4" ht="13">
      <c r="B759" s="294"/>
      <c r="C759" s="294"/>
      <c r="D759" s="294"/>
    </row>
    <row r="760" spans="2:4" ht="13">
      <c r="B760" s="294"/>
      <c r="C760" s="294"/>
      <c r="D760" s="294"/>
    </row>
    <row r="761" spans="2:4" ht="13">
      <c r="B761" s="294"/>
      <c r="C761" s="294"/>
      <c r="D761" s="294"/>
    </row>
    <row r="762" spans="2:4" ht="13">
      <c r="B762" s="294"/>
      <c r="C762" s="294"/>
      <c r="D762" s="294"/>
    </row>
    <row r="763" spans="2:4" ht="13">
      <c r="B763" s="294"/>
      <c r="C763" s="294"/>
      <c r="D763" s="294"/>
    </row>
    <row r="764" spans="2:4" ht="13">
      <c r="B764" s="294"/>
      <c r="C764" s="294"/>
      <c r="D764" s="294"/>
    </row>
    <row r="765" spans="2:4" ht="13">
      <c r="B765" s="294"/>
      <c r="C765" s="294"/>
      <c r="D765" s="294"/>
    </row>
    <row r="766" spans="2:4" ht="13">
      <c r="B766" s="294"/>
      <c r="C766" s="294"/>
      <c r="D766" s="294"/>
    </row>
    <row r="767" spans="2:4" ht="13">
      <c r="B767" s="294"/>
      <c r="C767" s="294"/>
      <c r="D767" s="294"/>
    </row>
    <row r="768" spans="2:4" ht="13">
      <c r="B768" s="294"/>
      <c r="C768" s="294"/>
      <c r="D768" s="294"/>
    </row>
    <row r="769" spans="2:4" ht="13">
      <c r="B769" s="294"/>
      <c r="C769" s="294"/>
      <c r="D769" s="294"/>
    </row>
    <row r="770" spans="2:4" ht="13">
      <c r="B770" s="294"/>
      <c r="C770" s="294"/>
      <c r="D770" s="294"/>
    </row>
    <row r="771" spans="2:4" ht="13">
      <c r="B771" s="294"/>
      <c r="C771" s="294"/>
      <c r="D771" s="294"/>
    </row>
    <row r="772" spans="2:4" ht="13">
      <c r="B772" s="294"/>
      <c r="C772" s="294"/>
      <c r="D772" s="294"/>
    </row>
    <row r="773" spans="2:4" ht="13">
      <c r="B773" s="294"/>
      <c r="C773" s="294"/>
      <c r="D773" s="294"/>
    </row>
    <row r="774" spans="2:4" ht="13">
      <c r="B774" s="294"/>
      <c r="C774" s="294"/>
      <c r="D774" s="294"/>
    </row>
    <row r="775" spans="2:4" ht="13">
      <c r="B775" s="294"/>
      <c r="C775" s="294"/>
      <c r="D775" s="294"/>
    </row>
    <row r="776" spans="2:4" ht="13">
      <c r="B776" s="294"/>
      <c r="C776" s="294"/>
      <c r="D776" s="294"/>
    </row>
    <row r="777" spans="2:4" ht="13">
      <c r="B777" s="294"/>
      <c r="C777" s="294"/>
      <c r="D777" s="294"/>
    </row>
    <row r="778" spans="2:4" ht="13">
      <c r="B778" s="294"/>
      <c r="C778" s="294"/>
      <c r="D778" s="294"/>
    </row>
    <row r="779" spans="2:4" ht="13">
      <c r="B779" s="294"/>
      <c r="C779" s="294"/>
      <c r="D779" s="294"/>
    </row>
    <row r="780" spans="2:4" ht="13">
      <c r="B780" s="294"/>
      <c r="C780" s="294"/>
      <c r="D780" s="294"/>
    </row>
    <row r="781" spans="2:4" ht="13">
      <c r="B781" s="294"/>
      <c r="C781" s="294"/>
      <c r="D781" s="294"/>
    </row>
    <row r="782" spans="2:4" ht="13">
      <c r="B782" s="294"/>
      <c r="C782" s="294"/>
      <c r="D782" s="294"/>
    </row>
    <row r="783" spans="2:4" ht="13">
      <c r="B783" s="294"/>
      <c r="C783" s="294"/>
      <c r="D783" s="294"/>
    </row>
    <row r="784" spans="2:4" ht="13">
      <c r="B784" s="294"/>
      <c r="C784" s="294"/>
      <c r="D784" s="294"/>
    </row>
    <row r="785" spans="2:4" ht="13">
      <c r="B785" s="294"/>
      <c r="C785" s="294"/>
      <c r="D785" s="294"/>
    </row>
    <row r="786" spans="2:4" ht="13">
      <c r="B786" s="294"/>
      <c r="C786" s="294"/>
      <c r="D786" s="294"/>
    </row>
    <row r="787" spans="2:4" ht="13">
      <c r="B787" s="294"/>
      <c r="C787" s="294"/>
      <c r="D787" s="294"/>
    </row>
    <row r="788" spans="2:4" ht="13">
      <c r="B788" s="294"/>
      <c r="C788" s="294"/>
      <c r="D788" s="294"/>
    </row>
    <row r="789" spans="2:4" ht="13">
      <c r="B789" s="294"/>
      <c r="C789" s="294"/>
      <c r="D789" s="294"/>
    </row>
    <row r="790" spans="2:4" ht="13">
      <c r="B790" s="294"/>
      <c r="C790" s="294"/>
      <c r="D790" s="294"/>
    </row>
    <row r="791" spans="2:4" ht="13">
      <c r="B791" s="294"/>
      <c r="C791" s="294"/>
      <c r="D791" s="294"/>
    </row>
    <row r="792" spans="2:4" ht="13">
      <c r="B792" s="294"/>
      <c r="C792" s="294"/>
      <c r="D792" s="294"/>
    </row>
    <row r="793" spans="2:4" ht="13">
      <c r="B793" s="294"/>
      <c r="C793" s="294"/>
      <c r="D793" s="294"/>
    </row>
    <row r="794" spans="2:4" ht="13">
      <c r="B794" s="294"/>
      <c r="C794" s="294"/>
      <c r="D794" s="294"/>
    </row>
    <row r="795" spans="2:4" ht="13">
      <c r="B795" s="294"/>
      <c r="C795" s="294"/>
      <c r="D795" s="294"/>
    </row>
    <row r="796" spans="2:4" ht="13">
      <c r="B796" s="294"/>
      <c r="C796" s="294"/>
      <c r="D796" s="294"/>
    </row>
    <row r="797" spans="2:4" ht="13">
      <c r="B797" s="294"/>
      <c r="C797" s="294"/>
      <c r="D797" s="294"/>
    </row>
    <row r="798" spans="2:4" ht="13">
      <c r="B798" s="294"/>
      <c r="C798" s="294"/>
      <c r="D798" s="294"/>
    </row>
    <row r="799" spans="2:4" ht="13">
      <c r="B799" s="294"/>
      <c r="C799" s="294"/>
      <c r="D799" s="294"/>
    </row>
    <row r="800" spans="2:4" ht="13">
      <c r="B800" s="294"/>
      <c r="C800" s="294"/>
      <c r="D800" s="294"/>
    </row>
    <row r="801" spans="2:4" ht="13">
      <c r="B801" s="294"/>
      <c r="C801" s="294"/>
      <c r="D801" s="294"/>
    </row>
    <row r="802" spans="2:4" ht="13">
      <c r="B802" s="294"/>
      <c r="C802" s="294"/>
      <c r="D802" s="294"/>
    </row>
    <row r="803" spans="2:4" ht="13">
      <c r="B803" s="294"/>
      <c r="C803" s="294"/>
      <c r="D803" s="294"/>
    </row>
    <row r="804" spans="2:4" ht="13">
      <c r="B804" s="294"/>
      <c r="C804" s="294"/>
      <c r="D804" s="294"/>
    </row>
    <row r="805" spans="2:4" ht="13">
      <c r="B805" s="294"/>
      <c r="C805" s="294"/>
      <c r="D805" s="294"/>
    </row>
    <row r="806" spans="2:4" ht="13">
      <c r="B806" s="294"/>
      <c r="C806" s="294"/>
      <c r="D806" s="294"/>
    </row>
    <row r="807" spans="2:4" ht="13">
      <c r="B807" s="294"/>
      <c r="C807" s="294"/>
      <c r="D807" s="294"/>
    </row>
    <row r="808" spans="2:4" ht="13">
      <c r="B808" s="294"/>
      <c r="C808" s="294"/>
      <c r="D808" s="294"/>
    </row>
    <row r="809" spans="2:4" ht="13">
      <c r="B809" s="294"/>
      <c r="C809" s="294"/>
      <c r="D809" s="294"/>
    </row>
    <row r="810" spans="2:4" ht="13">
      <c r="B810" s="294"/>
      <c r="C810" s="294"/>
      <c r="D810" s="294"/>
    </row>
    <row r="811" spans="2:4" ht="13">
      <c r="B811" s="294"/>
      <c r="C811" s="294"/>
      <c r="D811" s="294"/>
    </row>
    <row r="812" spans="2:4" ht="13">
      <c r="B812" s="294"/>
      <c r="C812" s="294"/>
      <c r="D812" s="294"/>
    </row>
    <row r="813" spans="2:4" ht="13">
      <c r="B813" s="294"/>
      <c r="C813" s="294"/>
      <c r="D813" s="294"/>
    </row>
    <row r="814" spans="2:4" ht="13">
      <c r="B814" s="294"/>
      <c r="C814" s="294"/>
      <c r="D814" s="294"/>
    </row>
    <row r="815" spans="2:4" ht="13">
      <c r="B815" s="294"/>
      <c r="C815" s="294"/>
      <c r="D815" s="294"/>
    </row>
    <row r="816" spans="2:4" ht="13">
      <c r="B816" s="294"/>
      <c r="C816" s="294"/>
      <c r="D816" s="294"/>
    </row>
    <row r="817" spans="2:4" ht="13">
      <c r="B817" s="294"/>
      <c r="C817" s="294"/>
      <c r="D817" s="294"/>
    </row>
    <row r="818" spans="2:4" ht="13">
      <c r="B818" s="294"/>
      <c r="C818" s="294"/>
      <c r="D818" s="294"/>
    </row>
    <row r="819" spans="2:4" ht="13">
      <c r="B819" s="294"/>
      <c r="C819" s="294"/>
      <c r="D819" s="294"/>
    </row>
    <row r="820" spans="2:4" ht="13">
      <c r="B820" s="294"/>
      <c r="C820" s="294"/>
      <c r="D820" s="294"/>
    </row>
    <row r="821" spans="2:4" ht="13">
      <c r="B821" s="294"/>
      <c r="C821" s="294"/>
      <c r="D821" s="294"/>
    </row>
    <row r="822" spans="2:4" ht="13">
      <c r="B822" s="294"/>
      <c r="C822" s="294"/>
      <c r="D822" s="294"/>
    </row>
    <row r="823" spans="2:4" ht="13">
      <c r="B823" s="294"/>
      <c r="C823" s="294"/>
      <c r="D823" s="294"/>
    </row>
    <row r="824" spans="2:4" ht="13">
      <c r="B824" s="294"/>
      <c r="C824" s="294"/>
      <c r="D824" s="294"/>
    </row>
    <row r="825" spans="2:4" ht="13">
      <c r="B825" s="294"/>
      <c r="C825" s="294"/>
      <c r="D825" s="294"/>
    </row>
    <row r="826" spans="2:4" ht="13">
      <c r="B826" s="294"/>
      <c r="C826" s="294"/>
      <c r="D826" s="294"/>
    </row>
    <row r="827" spans="2:4" ht="13">
      <c r="B827" s="294"/>
      <c r="C827" s="294"/>
      <c r="D827" s="294"/>
    </row>
    <row r="828" spans="2:4" ht="13">
      <c r="B828" s="294"/>
      <c r="C828" s="294"/>
      <c r="D828" s="294"/>
    </row>
    <row r="829" spans="2:4" ht="13">
      <c r="B829" s="294"/>
      <c r="C829" s="294"/>
      <c r="D829" s="294"/>
    </row>
    <row r="830" spans="2:4" ht="13">
      <c r="B830" s="294"/>
      <c r="C830" s="294"/>
      <c r="D830" s="294"/>
    </row>
    <row r="831" spans="2:4" ht="13">
      <c r="B831" s="294"/>
      <c r="C831" s="294"/>
      <c r="D831" s="294"/>
    </row>
    <row r="832" spans="2:4" ht="13">
      <c r="B832" s="294"/>
      <c r="C832" s="294"/>
      <c r="D832" s="294"/>
    </row>
    <row r="833" spans="2:4" ht="13">
      <c r="B833" s="294"/>
      <c r="C833" s="294"/>
      <c r="D833" s="294"/>
    </row>
    <row r="834" spans="2:4" ht="13">
      <c r="B834" s="294"/>
      <c r="C834" s="294"/>
      <c r="D834" s="294"/>
    </row>
    <row r="835" spans="2:4" ht="13">
      <c r="B835" s="294"/>
      <c r="C835" s="294"/>
      <c r="D835" s="294"/>
    </row>
    <row r="836" spans="2:4" ht="13">
      <c r="B836" s="294"/>
      <c r="C836" s="294"/>
      <c r="D836" s="294"/>
    </row>
    <row r="837" spans="2:4" ht="13">
      <c r="B837" s="294"/>
      <c r="C837" s="294"/>
      <c r="D837" s="294"/>
    </row>
    <row r="838" spans="2:4" ht="13">
      <c r="B838" s="294"/>
      <c r="C838" s="294"/>
      <c r="D838" s="294"/>
    </row>
    <row r="839" spans="2:4" ht="13">
      <c r="B839" s="294"/>
      <c r="C839" s="294"/>
      <c r="D839" s="294"/>
    </row>
    <row r="840" spans="2:4" ht="13">
      <c r="B840" s="294"/>
      <c r="C840" s="294"/>
      <c r="D840" s="294"/>
    </row>
    <row r="841" spans="2:4" ht="13">
      <c r="B841" s="294"/>
      <c r="C841" s="294"/>
      <c r="D841" s="294"/>
    </row>
    <row r="842" spans="2:4" ht="13">
      <c r="B842" s="294"/>
      <c r="C842" s="294"/>
      <c r="D842" s="294"/>
    </row>
    <row r="843" spans="2:4" ht="13">
      <c r="B843" s="294"/>
      <c r="C843" s="294"/>
      <c r="D843" s="294"/>
    </row>
    <row r="844" spans="2:4" ht="13">
      <c r="B844" s="294"/>
      <c r="C844" s="294"/>
      <c r="D844" s="294"/>
    </row>
    <row r="845" spans="2:4" ht="13">
      <c r="B845" s="294"/>
      <c r="C845" s="294"/>
      <c r="D845" s="294"/>
    </row>
    <row r="846" spans="2:4" ht="13">
      <c r="B846" s="294"/>
      <c r="C846" s="294"/>
      <c r="D846" s="294"/>
    </row>
    <row r="847" spans="2:4" ht="13">
      <c r="B847" s="294"/>
      <c r="C847" s="294"/>
      <c r="D847" s="294"/>
    </row>
    <row r="848" spans="2:4" ht="13">
      <c r="B848" s="294"/>
      <c r="C848" s="294"/>
      <c r="D848" s="294"/>
    </row>
    <row r="849" spans="2:4" ht="13">
      <c r="B849" s="294"/>
      <c r="C849" s="294"/>
      <c r="D849" s="294"/>
    </row>
    <row r="850" spans="2:4" ht="13">
      <c r="B850" s="294"/>
      <c r="C850" s="294"/>
      <c r="D850" s="294"/>
    </row>
    <row r="851" spans="2:4" ht="13">
      <c r="B851" s="294"/>
      <c r="C851" s="294"/>
      <c r="D851" s="294"/>
    </row>
    <row r="852" spans="2:4" ht="13">
      <c r="B852" s="294"/>
      <c r="C852" s="294"/>
      <c r="D852" s="294"/>
    </row>
    <row r="853" spans="2:4" ht="13">
      <c r="B853" s="294"/>
      <c r="C853" s="294"/>
      <c r="D853" s="294"/>
    </row>
    <row r="854" spans="2:4" ht="13">
      <c r="B854" s="294"/>
      <c r="C854" s="294"/>
      <c r="D854" s="294"/>
    </row>
    <row r="855" spans="2:4" ht="13">
      <c r="B855" s="294"/>
      <c r="C855" s="294"/>
      <c r="D855" s="294"/>
    </row>
    <row r="856" spans="2:4" ht="13">
      <c r="B856" s="294"/>
      <c r="C856" s="294"/>
      <c r="D856" s="294"/>
    </row>
    <row r="857" spans="2:4" ht="13">
      <c r="B857" s="294"/>
      <c r="C857" s="294"/>
      <c r="D857" s="294"/>
    </row>
    <row r="858" spans="2:4" ht="13">
      <c r="B858" s="294"/>
      <c r="C858" s="294"/>
      <c r="D858" s="294"/>
    </row>
    <row r="859" spans="2:4" ht="13">
      <c r="B859" s="294"/>
      <c r="C859" s="294"/>
      <c r="D859" s="294"/>
    </row>
    <row r="860" spans="2:4" ht="13">
      <c r="B860" s="294"/>
      <c r="C860" s="294"/>
      <c r="D860" s="294"/>
    </row>
    <row r="861" spans="2:4" ht="13">
      <c r="B861" s="294"/>
      <c r="C861" s="294"/>
      <c r="D861" s="294"/>
    </row>
    <row r="862" spans="2:4" ht="13">
      <c r="B862" s="294"/>
      <c r="C862" s="294"/>
      <c r="D862" s="294"/>
    </row>
    <row r="863" spans="2:4" ht="13">
      <c r="B863" s="294"/>
      <c r="C863" s="294"/>
      <c r="D863" s="294"/>
    </row>
    <row r="864" spans="2:4" ht="13">
      <c r="B864" s="294"/>
      <c r="C864" s="294"/>
      <c r="D864" s="294"/>
    </row>
    <row r="865" spans="2:4" ht="13">
      <c r="B865" s="294"/>
      <c r="C865" s="294"/>
      <c r="D865" s="294"/>
    </row>
    <row r="866" spans="2:4" ht="13">
      <c r="B866" s="294"/>
      <c r="C866" s="294"/>
      <c r="D866" s="294"/>
    </row>
    <row r="867" spans="2:4" ht="13">
      <c r="B867" s="294"/>
      <c r="C867" s="294"/>
      <c r="D867" s="294"/>
    </row>
    <row r="868" spans="2:4" ht="13">
      <c r="B868" s="294"/>
      <c r="C868" s="294"/>
      <c r="D868" s="294"/>
    </row>
    <row r="869" spans="2:4" ht="13">
      <c r="B869" s="294"/>
      <c r="C869" s="294"/>
      <c r="D869" s="294"/>
    </row>
    <row r="870" spans="2:4" ht="13">
      <c r="B870" s="294"/>
      <c r="C870" s="294"/>
      <c r="D870" s="294"/>
    </row>
    <row r="871" spans="2:4" ht="13">
      <c r="B871" s="294"/>
      <c r="C871" s="294"/>
      <c r="D871" s="294"/>
    </row>
    <row r="872" spans="2:4" ht="13">
      <c r="B872" s="294"/>
      <c r="C872" s="294"/>
      <c r="D872" s="294"/>
    </row>
    <row r="873" spans="2:4" ht="13">
      <c r="B873" s="294"/>
      <c r="C873" s="294"/>
      <c r="D873" s="294"/>
    </row>
    <row r="874" spans="2:4" ht="13">
      <c r="B874" s="294"/>
      <c r="C874" s="294"/>
      <c r="D874" s="294"/>
    </row>
    <row r="875" spans="2:4" ht="13">
      <c r="B875" s="294"/>
      <c r="C875" s="294"/>
      <c r="D875" s="294"/>
    </row>
    <row r="876" spans="2:4" ht="13">
      <c r="B876" s="294"/>
      <c r="C876" s="294"/>
      <c r="D876" s="294"/>
    </row>
    <row r="877" spans="2:4" ht="13">
      <c r="B877" s="294"/>
      <c r="C877" s="294"/>
      <c r="D877" s="294"/>
    </row>
    <row r="878" spans="2:4" ht="13">
      <c r="B878" s="294"/>
      <c r="C878" s="294"/>
      <c r="D878" s="294"/>
    </row>
    <row r="879" spans="2:4" ht="13">
      <c r="B879" s="294"/>
      <c r="C879" s="294"/>
      <c r="D879" s="294"/>
    </row>
    <row r="880" spans="2:4" ht="13">
      <c r="B880" s="294"/>
      <c r="C880" s="294"/>
      <c r="D880" s="294"/>
    </row>
    <row r="881" spans="2:4" ht="13">
      <c r="B881" s="294"/>
      <c r="C881" s="294"/>
      <c r="D881" s="294"/>
    </row>
    <row r="882" spans="2:4" ht="13">
      <c r="B882" s="294"/>
      <c r="C882" s="294"/>
      <c r="D882" s="294"/>
    </row>
    <row r="883" spans="2:4" ht="13">
      <c r="B883" s="294"/>
      <c r="C883" s="294"/>
      <c r="D883" s="294"/>
    </row>
    <row r="884" spans="2:4" ht="13">
      <c r="B884" s="294"/>
      <c r="C884" s="294"/>
      <c r="D884" s="294"/>
    </row>
    <row r="885" spans="2:4" ht="13">
      <c r="B885" s="294"/>
      <c r="C885" s="294"/>
      <c r="D885" s="294"/>
    </row>
    <row r="886" spans="2:4" ht="13">
      <c r="B886" s="294"/>
      <c r="C886" s="294"/>
      <c r="D886" s="294"/>
    </row>
    <row r="887" spans="2:4" ht="13">
      <c r="B887" s="294"/>
      <c r="C887" s="294"/>
      <c r="D887" s="294"/>
    </row>
    <row r="888" spans="2:4" ht="13">
      <c r="B888" s="294"/>
      <c r="C888" s="294"/>
      <c r="D888" s="294"/>
    </row>
    <row r="889" spans="2:4" ht="13">
      <c r="B889" s="294"/>
      <c r="C889" s="294"/>
      <c r="D889" s="294"/>
    </row>
    <row r="890" spans="2:4" ht="13">
      <c r="B890" s="294"/>
      <c r="C890" s="294"/>
      <c r="D890" s="294"/>
    </row>
    <row r="891" spans="2:4" ht="13">
      <c r="B891" s="294"/>
      <c r="C891" s="294"/>
      <c r="D891" s="294"/>
    </row>
    <row r="892" spans="2:4" ht="13">
      <c r="B892" s="294"/>
      <c r="C892" s="294"/>
      <c r="D892" s="294"/>
    </row>
    <row r="893" spans="2:4" ht="13">
      <c r="B893" s="294"/>
      <c r="C893" s="294"/>
      <c r="D893" s="294"/>
    </row>
    <row r="894" spans="2:4" ht="13">
      <c r="B894" s="294"/>
      <c r="C894" s="294"/>
      <c r="D894" s="294"/>
    </row>
    <row r="895" spans="2:4" ht="13">
      <c r="B895" s="294"/>
      <c r="C895" s="294"/>
      <c r="D895" s="294"/>
    </row>
    <row r="896" spans="2:4" ht="13">
      <c r="B896" s="294"/>
      <c r="C896" s="294"/>
      <c r="D896" s="294"/>
    </row>
    <row r="897" spans="2:4" ht="13">
      <c r="B897" s="294"/>
      <c r="C897" s="294"/>
      <c r="D897" s="294"/>
    </row>
    <row r="898" spans="2:4" ht="13">
      <c r="B898" s="294"/>
      <c r="C898" s="294"/>
      <c r="D898" s="294"/>
    </row>
    <row r="899" spans="2:4" ht="13">
      <c r="B899" s="294"/>
      <c r="C899" s="294"/>
      <c r="D899" s="294"/>
    </row>
    <row r="900" spans="2:4" ht="13">
      <c r="B900" s="294"/>
      <c r="C900" s="294"/>
      <c r="D900" s="294"/>
    </row>
    <row r="901" spans="2:4" ht="13">
      <c r="B901" s="294"/>
      <c r="C901" s="294"/>
      <c r="D901" s="294"/>
    </row>
    <row r="902" spans="2:4" ht="13">
      <c r="B902" s="294"/>
      <c r="C902" s="294"/>
      <c r="D902" s="294"/>
    </row>
    <row r="903" spans="2:4" ht="13">
      <c r="B903" s="294"/>
      <c r="C903" s="294"/>
      <c r="D903" s="294"/>
    </row>
    <row r="904" spans="2:4" ht="13">
      <c r="B904" s="294"/>
      <c r="C904" s="294"/>
      <c r="D904" s="294"/>
    </row>
    <row r="905" spans="2:4" ht="13">
      <c r="B905" s="294"/>
      <c r="C905" s="294"/>
      <c r="D905" s="294"/>
    </row>
    <row r="906" spans="2:4" ht="13">
      <c r="B906" s="294"/>
      <c r="C906" s="294"/>
      <c r="D906" s="294"/>
    </row>
    <row r="907" spans="2:4" ht="13">
      <c r="B907" s="294"/>
      <c r="C907" s="294"/>
      <c r="D907" s="294"/>
    </row>
    <row r="908" spans="2:4" ht="13">
      <c r="B908" s="294"/>
      <c r="C908" s="294"/>
      <c r="D908" s="294"/>
    </row>
    <row r="909" spans="2:4" ht="13">
      <c r="B909" s="294"/>
      <c r="C909" s="294"/>
      <c r="D909" s="294"/>
    </row>
    <row r="910" spans="2:4" ht="13">
      <c r="B910" s="294"/>
      <c r="C910" s="294"/>
      <c r="D910" s="294"/>
    </row>
    <row r="911" spans="2:4" ht="13">
      <c r="B911" s="294"/>
      <c r="C911" s="294"/>
      <c r="D911" s="294"/>
    </row>
    <row r="912" spans="2:4" ht="13">
      <c r="B912" s="294"/>
      <c r="C912" s="294"/>
      <c r="D912" s="294"/>
    </row>
    <row r="913" spans="2:4" ht="13">
      <c r="B913" s="294"/>
      <c r="C913" s="294"/>
      <c r="D913" s="294"/>
    </row>
    <row r="914" spans="2:4" ht="13">
      <c r="B914" s="294"/>
      <c r="C914" s="294"/>
      <c r="D914" s="294"/>
    </row>
    <row r="915" spans="2:4" ht="13">
      <c r="B915" s="294"/>
      <c r="C915" s="294"/>
      <c r="D915" s="294"/>
    </row>
    <row r="916" spans="2:4" ht="13">
      <c r="B916" s="294"/>
      <c r="C916" s="294"/>
      <c r="D916" s="294"/>
    </row>
    <row r="917" spans="2:4" ht="13">
      <c r="B917" s="294"/>
      <c r="C917" s="294"/>
      <c r="D917" s="294"/>
    </row>
    <row r="918" spans="2:4" ht="13">
      <c r="B918" s="294"/>
      <c r="C918" s="294"/>
      <c r="D918" s="294"/>
    </row>
    <row r="919" spans="2:4" ht="13">
      <c r="B919" s="294"/>
      <c r="C919" s="294"/>
      <c r="D919" s="294"/>
    </row>
    <row r="920" spans="2:4" ht="13">
      <c r="B920" s="294"/>
      <c r="C920" s="294"/>
      <c r="D920" s="294"/>
    </row>
    <row r="921" spans="2:4" ht="13">
      <c r="B921" s="294"/>
      <c r="C921" s="294"/>
      <c r="D921" s="294"/>
    </row>
    <row r="922" spans="2:4" ht="13">
      <c r="B922" s="294"/>
      <c r="C922" s="294"/>
      <c r="D922" s="294"/>
    </row>
    <row r="923" spans="2:4" ht="13">
      <c r="B923" s="294"/>
      <c r="C923" s="294"/>
      <c r="D923" s="294"/>
    </row>
    <row r="924" spans="2:4" ht="13">
      <c r="B924" s="294"/>
      <c r="C924" s="294"/>
      <c r="D924" s="294"/>
    </row>
    <row r="925" spans="2:4" ht="13">
      <c r="B925" s="294"/>
      <c r="C925" s="294"/>
      <c r="D925" s="294"/>
    </row>
    <row r="926" spans="2:4" ht="13">
      <c r="B926" s="294"/>
      <c r="C926" s="294"/>
      <c r="D926" s="294"/>
    </row>
    <row r="927" spans="2:4" ht="13">
      <c r="B927" s="294"/>
      <c r="C927" s="294"/>
      <c r="D927" s="294"/>
    </row>
    <row r="928" spans="2:4" ht="13">
      <c r="B928" s="294"/>
      <c r="C928" s="294"/>
      <c r="D928" s="294"/>
    </row>
    <row r="929" spans="2:4" ht="13">
      <c r="B929" s="294"/>
      <c r="C929" s="294"/>
      <c r="D929" s="294"/>
    </row>
    <row r="930" spans="2:4" ht="13">
      <c r="B930" s="294"/>
      <c r="C930" s="294"/>
      <c r="D930" s="294"/>
    </row>
    <row r="931" spans="2:4" ht="13">
      <c r="B931" s="294"/>
      <c r="C931" s="294"/>
      <c r="D931" s="294"/>
    </row>
    <row r="932" spans="2:4" ht="13">
      <c r="B932" s="294"/>
      <c r="C932" s="294"/>
      <c r="D932" s="294"/>
    </row>
    <row r="933" spans="2:4" ht="13">
      <c r="B933" s="294"/>
      <c r="C933" s="294"/>
      <c r="D933" s="294"/>
    </row>
    <row r="934" spans="2:4" ht="13">
      <c r="B934" s="294"/>
      <c r="C934" s="294"/>
      <c r="D934" s="294"/>
    </row>
    <row r="935" spans="2:4" ht="13">
      <c r="B935" s="294"/>
      <c r="C935" s="294"/>
      <c r="D935" s="294"/>
    </row>
    <row r="936" spans="2:4" ht="13">
      <c r="B936" s="294"/>
      <c r="C936" s="294"/>
      <c r="D936" s="294"/>
    </row>
    <row r="937" spans="2:4" ht="13">
      <c r="B937" s="294"/>
      <c r="C937" s="294"/>
      <c r="D937" s="294"/>
    </row>
    <row r="938" spans="2:4" ht="13">
      <c r="B938" s="294"/>
      <c r="C938" s="294"/>
      <c r="D938" s="294"/>
    </row>
    <row r="939" spans="2:4" ht="13">
      <c r="B939" s="294"/>
      <c r="C939" s="294"/>
      <c r="D939" s="294"/>
    </row>
    <row r="940" spans="2:4" ht="13">
      <c r="B940" s="294"/>
      <c r="C940" s="294"/>
      <c r="D940" s="294"/>
    </row>
    <row r="941" spans="2:4" ht="13">
      <c r="B941" s="294"/>
      <c r="C941" s="294"/>
      <c r="D941" s="294"/>
    </row>
    <row r="942" spans="2:4" ht="13">
      <c r="B942" s="294"/>
      <c r="C942" s="294"/>
      <c r="D942" s="294"/>
    </row>
    <row r="943" spans="2:4" ht="13">
      <c r="B943" s="294"/>
      <c r="C943" s="294"/>
      <c r="D943" s="294"/>
    </row>
    <row r="944" spans="2:4" ht="13">
      <c r="B944" s="294"/>
      <c r="C944" s="294"/>
      <c r="D944" s="294"/>
    </row>
    <row r="945" spans="2:4" ht="13">
      <c r="B945" s="294"/>
      <c r="C945" s="294"/>
      <c r="D945" s="294"/>
    </row>
    <row r="946" spans="2:4" ht="13">
      <c r="B946" s="294"/>
      <c r="C946" s="294"/>
      <c r="D946" s="294"/>
    </row>
    <row r="947" spans="2:4" ht="13">
      <c r="B947" s="294"/>
      <c r="C947" s="294"/>
      <c r="D947" s="294"/>
    </row>
    <row r="948" spans="2:4" ht="13">
      <c r="B948" s="294"/>
      <c r="C948" s="294"/>
      <c r="D948" s="294"/>
    </row>
    <row r="949" spans="2:4" ht="13">
      <c r="B949" s="294"/>
      <c r="C949" s="294"/>
      <c r="D949" s="294"/>
    </row>
    <row r="950" spans="2:4" ht="13">
      <c r="B950" s="294"/>
      <c r="C950" s="294"/>
      <c r="D950" s="294"/>
    </row>
    <row r="951" spans="2:4" ht="13">
      <c r="B951" s="294"/>
      <c r="C951" s="294"/>
      <c r="D951" s="294"/>
    </row>
    <row r="952" spans="2:4" ht="13">
      <c r="B952" s="294"/>
      <c r="C952" s="294"/>
      <c r="D952" s="294"/>
    </row>
    <row r="953" spans="2:4" ht="13">
      <c r="B953" s="294"/>
      <c r="C953" s="294"/>
      <c r="D953" s="294"/>
    </row>
    <row r="954" spans="2:4" ht="13">
      <c r="B954" s="294"/>
      <c r="C954" s="294"/>
      <c r="D954" s="294"/>
    </row>
    <row r="955" spans="2:4" ht="13">
      <c r="B955" s="294"/>
      <c r="C955" s="294"/>
      <c r="D955" s="294"/>
    </row>
    <row r="956" spans="2:4" ht="13">
      <c r="B956" s="294"/>
      <c r="C956" s="294"/>
      <c r="D956" s="294"/>
    </row>
    <row r="957" spans="2:4" ht="13">
      <c r="B957" s="294"/>
      <c r="C957" s="294"/>
      <c r="D957" s="294"/>
    </row>
    <row r="958" spans="2:4" ht="13">
      <c r="B958" s="294"/>
      <c r="C958" s="294"/>
      <c r="D958" s="294"/>
    </row>
    <row r="959" spans="2:4" ht="13">
      <c r="B959" s="294"/>
      <c r="C959" s="294"/>
      <c r="D959" s="294"/>
    </row>
    <row r="960" spans="2:4" ht="13">
      <c r="B960" s="294"/>
      <c r="C960" s="294"/>
      <c r="D960" s="294"/>
    </row>
    <row r="961" spans="2:4" ht="13">
      <c r="B961" s="294"/>
      <c r="C961" s="294"/>
      <c r="D961" s="294"/>
    </row>
    <row r="962" spans="2:4" ht="13">
      <c r="B962" s="294"/>
      <c r="C962" s="294"/>
      <c r="D962" s="294"/>
    </row>
    <row r="963" spans="2:4" ht="13">
      <c r="B963" s="294"/>
      <c r="C963" s="294"/>
      <c r="D963" s="294"/>
    </row>
    <row r="964" spans="2:4" ht="13">
      <c r="B964" s="294"/>
      <c r="C964" s="294"/>
      <c r="D964" s="294"/>
    </row>
    <row r="965" spans="2:4" ht="13">
      <c r="B965" s="294"/>
      <c r="C965" s="294"/>
      <c r="D965" s="294"/>
    </row>
    <row r="966" spans="2:4" ht="13">
      <c r="B966" s="294"/>
      <c r="C966" s="294"/>
      <c r="D966" s="294"/>
    </row>
    <row r="967" spans="2:4" ht="13">
      <c r="B967" s="294"/>
      <c r="C967" s="294"/>
      <c r="D967" s="294"/>
    </row>
    <row r="968" spans="2:4" ht="13">
      <c r="B968" s="294"/>
      <c r="C968" s="294"/>
      <c r="D968" s="294"/>
    </row>
    <row r="969" spans="2:4" ht="13">
      <c r="B969" s="294"/>
      <c r="C969" s="294"/>
      <c r="D969" s="294"/>
    </row>
    <row r="970" spans="2:4" ht="13">
      <c r="B970" s="294"/>
      <c r="C970" s="294"/>
      <c r="D970" s="294"/>
    </row>
    <row r="971" spans="2:4" ht="13">
      <c r="B971" s="294"/>
      <c r="C971" s="294"/>
      <c r="D971" s="294"/>
    </row>
    <row r="972" spans="2:4" ht="13">
      <c r="B972" s="294"/>
      <c r="C972" s="294"/>
      <c r="D972" s="294"/>
    </row>
    <row r="973" spans="2:4" ht="13">
      <c r="B973" s="294"/>
      <c r="C973" s="294"/>
      <c r="D973" s="294"/>
    </row>
    <row r="974" spans="2:4" ht="13">
      <c r="B974" s="294"/>
      <c r="C974" s="294"/>
      <c r="D974" s="294"/>
    </row>
    <row r="975" spans="2:4" ht="13">
      <c r="B975" s="294"/>
      <c r="C975" s="294"/>
      <c r="D975" s="294"/>
    </row>
    <row r="976" spans="2:4" ht="13">
      <c r="B976" s="294"/>
      <c r="C976" s="294"/>
      <c r="D976" s="294"/>
    </row>
    <row r="977" spans="2:4" ht="13">
      <c r="B977" s="294"/>
      <c r="C977" s="294"/>
      <c r="D977" s="294"/>
    </row>
    <row r="978" spans="2:4" ht="13">
      <c r="B978" s="294"/>
      <c r="C978" s="294"/>
      <c r="D978" s="294"/>
    </row>
    <row r="979" spans="2:4" ht="13">
      <c r="B979" s="294"/>
      <c r="C979" s="294"/>
      <c r="D979" s="294"/>
    </row>
    <row r="980" spans="2:4" ht="13">
      <c r="B980" s="294"/>
      <c r="C980" s="294"/>
      <c r="D980" s="294"/>
    </row>
    <row r="981" spans="2:4" ht="13">
      <c r="B981" s="294"/>
      <c r="C981" s="294"/>
      <c r="D981" s="294"/>
    </row>
    <row r="982" spans="2:4" ht="13">
      <c r="B982" s="294"/>
      <c r="C982" s="294"/>
      <c r="D982" s="294"/>
    </row>
    <row r="983" spans="2:4" ht="13">
      <c r="B983" s="294"/>
      <c r="C983" s="294"/>
      <c r="D983" s="294"/>
    </row>
    <row r="984" spans="2:4" ht="13">
      <c r="B984" s="294"/>
      <c r="C984" s="294"/>
      <c r="D984" s="294"/>
    </row>
    <row r="985" spans="2:4" ht="13">
      <c r="B985" s="294"/>
      <c r="C985" s="294"/>
      <c r="D985" s="294"/>
    </row>
    <row r="986" spans="2:4" ht="13">
      <c r="B986" s="294"/>
      <c r="C986" s="294"/>
      <c r="D986" s="294"/>
    </row>
    <row r="987" spans="2:4" ht="13">
      <c r="B987" s="294"/>
      <c r="C987" s="294"/>
      <c r="D987" s="294"/>
    </row>
    <row r="988" spans="2:4" ht="13">
      <c r="B988" s="294"/>
      <c r="C988" s="294"/>
      <c r="D988" s="294"/>
    </row>
    <row r="989" spans="2:4" ht="13">
      <c r="B989" s="294"/>
      <c r="C989" s="294"/>
      <c r="D989" s="294"/>
    </row>
    <row r="990" spans="2:4" ht="13">
      <c r="B990" s="294"/>
      <c r="C990" s="294"/>
      <c r="D990" s="294"/>
    </row>
    <row r="991" spans="2:4" ht="13">
      <c r="B991" s="294"/>
      <c r="C991" s="294"/>
      <c r="D991" s="294"/>
    </row>
    <row r="992" spans="2:4" ht="13">
      <c r="B992" s="294"/>
      <c r="C992" s="294"/>
      <c r="D992" s="294"/>
    </row>
    <row r="993" spans="2:4" ht="13">
      <c r="B993" s="294"/>
      <c r="C993" s="294"/>
      <c r="D993" s="294"/>
    </row>
    <row r="994" spans="2:4" ht="13">
      <c r="B994" s="294"/>
      <c r="C994" s="294"/>
      <c r="D994" s="294"/>
    </row>
    <row r="995" spans="2:4" ht="13">
      <c r="B995" s="294"/>
      <c r="C995" s="294"/>
      <c r="D995" s="294"/>
    </row>
    <row r="996" spans="2:4" ht="13">
      <c r="B996" s="294"/>
      <c r="C996" s="294"/>
      <c r="D996" s="294"/>
    </row>
    <row r="997" spans="2:4" ht="13">
      <c r="B997" s="294"/>
      <c r="C997" s="294"/>
      <c r="D997" s="294"/>
    </row>
    <row r="998" spans="2:4" ht="13">
      <c r="B998" s="294"/>
      <c r="C998" s="294"/>
      <c r="D998" s="294"/>
    </row>
    <row r="999" spans="2:4" ht="13">
      <c r="B999" s="294"/>
      <c r="C999" s="294"/>
      <c r="D999" s="294"/>
    </row>
    <row r="1000" spans="2:4" ht="13">
      <c r="B1000" s="294"/>
      <c r="C1000" s="294"/>
      <c r="D1000" s="294"/>
    </row>
  </sheetData>
  <conditionalFormatting sqref="B1:S1">
    <cfRule type="cellIs" dxfId="84" priority="5" operator="equal">
      <formula>"15%"</formula>
    </cfRule>
  </conditionalFormatting>
  <conditionalFormatting sqref="C1">
    <cfRule type="cellIs" dxfId="83" priority="2" operator="equal">
      <formula>"12%"</formula>
    </cfRule>
    <cfRule type="cellIs" dxfId="82" priority="3" operator="equal">
      <formula>"5%"</formula>
    </cfRule>
    <cfRule type="cellIs" dxfId="81" priority="4" operator="equal">
      <formula>"10%"</formula>
    </cfRule>
    <cfRule type="cellIs" dxfId="80" priority="6" operator="equal">
      <formula>"10%"</formula>
    </cfRule>
    <cfRule type="cellIs" dxfId="79" priority="8" operator="equal">
      <formula>"5%"</formula>
    </cfRule>
    <cfRule type="cellIs" dxfId="78" priority="9" operator="equal">
      <formula>"18%"</formula>
    </cfRule>
  </conditionalFormatting>
  <conditionalFormatting sqref="C1:C1000">
    <cfRule type="containsText" dxfId="77" priority="10" operator="containsText" text="10%">
      <formula>NOT(ISERROR(SEARCH(("10%"),(C1))))</formula>
    </cfRule>
    <cfRule type="containsText" dxfId="76" priority="11" operator="containsText" text="5%">
      <formula>NOT(ISERROR(SEARCH(("5%"),(C1))))</formula>
    </cfRule>
    <cfRule type="containsText" dxfId="75" priority="12" operator="containsText" text="15%">
      <formula>NOT(ISERROR(SEARCH(("15%"),(C1))))</formula>
    </cfRule>
  </conditionalFormatting>
  <conditionalFormatting sqref="E1">
    <cfRule type="containsText" dxfId="74" priority="1" operator="containsText" text="/">
      <formula>NOT(ISERROR(SEARCH(("/"),(E1))))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S1000"/>
  <sheetViews>
    <sheetView workbookViewId="0"/>
  </sheetViews>
  <sheetFormatPr baseColWidth="10" defaultColWidth="12.6640625" defaultRowHeight="15.75" customHeight="1"/>
  <cols>
    <col min="1" max="1" width="10.6640625" customWidth="1"/>
    <col min="2" max="4" width="5.1640625" customWidth="1"/>
    <col min="5" max="5" width="37.1640625" customWidth="1"/>
  </cols>
  <sheetData>
    <row r="1" spans="1:19" ht="15.75" customHeight="1">
      <c r="A1" s="1361" t="s">
        <v>19</v>
      </c>
      <c r="B1" s="1362" t="s">
        <v>20</v>
      </c>
      <c r="C1" s="1362" t="s">
        <v>21</v>
      </c>
      <c r="D1" s="835" t="s">
        <v>22</v>
      </c>
      <c r="E1" s="1361" t="s">
        <v>24</v>
      </c>
      <c r="F1" s="1363" t="s">
        <v>26</v>
      </c>
      <c r="G1" s="1364" t="s">
        <v>27</v>
      </c>
      <c r="H1" s="1365" t="s">
        <v>49</v>
      </c>
      <c r="I1" s="1366"/>
      <c r="J1" s="1366"/>
      <c r="K1" s="1366"/>
      <c r="L1" s="1366"/>
      <c r="M1" s="1366"/>
      <c r="N1" s="1366"/>
      <c r="O1" s="1366"/>
      <c r="P1" s="1366"/>
      <c r="Q1" s="1366"/>
      <c r="R1" s="1366"/>
      <c r="S1" s="1366"/>
    </row>
    <row r="2" spans="1:19" ht="15.75" customHeight="1">
      <c r="A2" s="325">
        <f t="shared" ref="A2:A33" si="0">VLOOKUP(E2,CARTLES1,3,FALSE)</f>
        <v>112014715</v>
      </c>
      <c r="B2" s="324">
        <f t="shared" ref="B2:B33" si="1">VLOOKUP(E2,CARTLES1,2,FALSE)</f>
        <v>61</v>
      </c>
      <c r="C2" s="137">
        <f>IFERROR(VLOOKUP(B2,A458DC1025,2,FALSE),"")</f>
        <v>0.1</v>
      </c>
      <c r="D2" s="137">
        <f>IFERROR(VLOOKUP(B2,A458DC1025,3,FALSE),"")</f>
        <v>0.14000000000000001</v>
      </c>
      <c r="E2" s="325" t="s">
        <v>1238</v>
      </c>
      <c r="F2" s="325"/>
      <c r="G2" s="325"/>
      <c r="H2" s="325"/>
    </row>
    <row r="3" spans="1:19" ht="15.75" customHeight="1">
      <c r="A3" s="325">
        <f t="shared" si="0"/>
        <v>112013570</v>
      </c>
      <c r="B3" s="324">
        <f t="shared" si="1"/>
        <v>63</v>
      </c>
      <c r="C3" s="137">
        <f>IFERROR(VLOOKUP(B3,A458DC1025,2,FALSE),"")</f>
        <v>0.1</v>
      </c>
      <c r="D3" s="137">
        <f>IFERROR(VLOOKUP(B3,A458DC1025,3,FALSE),"")</f>
        <v>0.05</v>
      </c>
      <c r="E3" s="325" t="s">
        <v>1388</v>
      </c>
      <c r="F3" s="325"/>
      <c r="G3" s="325"/>
      <c r="H3" s="325"/>
    </row>
    <row r="4" spans="1:19" ht="15.75" customHeight="1">
      <c r="A4" s="325">
        <f t="shared" si="0"/>
        <v>112014746</v>
      </c>
      <c r="B4" s="324">
        <f t="shared" si="1"/>
        <v>63</v>
      </c>
      <c r="C4" s="137">
        <f>IFERROR(VLOOKUP(B4,A458DC1025,2,FALSE),"")</f>
        <v>0.1</v>
      </c>
      <c r="D4" s="137">
        <f>IFERROR(VLOOKUP(B4,A458DC1025,3,FALSE),"")</f>
        <v>0.05</v>
      </c>
      <c r="E4" s="325" t="s">
        <v>931</v>
      </c>
      <c r="F4" s="325"/>
      <c r="G4" s="325"/>
      <c r="H4" s="325"/>
    </row>
    <row r="5" spans="1:19" ht="15.75" customHeight="1">
      <c r="A5" s="325">
        <f t="shared" si="0"/>
        <v>112012484</v>
      </c>
      <c r="B5" s="324">
        <f t="shared" si="1"/>
        <v>63</v>
      </c>
      <c r="C5" s="137">
        <f>IFERROR(VLOOKUP(B5,A458DC1025,2,FALSE),"")</f>
        <v>0.1</v>
      </c>
      <c r="D5" s="137">
        <f>IFERROR(VLOOKUP(B5,A458DC1025,3,FALSE),"")</f>
        <v>0.05</v>
      </c>
      <c r="E5" s="325" t="s">
        <v>1212</v>
      </c>
      <c r="F5" s="325"/>
      <c r="G5" s="325"/>
      <c r="H5" s="325"/>
    </row>
    <row r="6" spans="1:19" ht="15.75" customHeight="1">
      <c r="A6" s="325">
        <f t="shared" si="0"/>
        <v>112014677</v>
      </c>
      <c r="B6" s="324">
        <f t="shared" si="1"/>
        <v>63</v>
      </c>
      <c r="C6" s="137">
        <f t="shared" ref="C6:C13" si="2">VLOOKUP(B6,A458DC1025,2,FALSE)</f>
        <v>0.1</v>
      </c>
      <c r="D6" s="137">
        <f t="shared" ref="D6:D13" si="3">VLOOKUP(B6,A458DC1025,3,FALSE)</f>
        <v>0.05</v>
      </c>
      <c r="E6" s="325" t="s">
        <v>930</v>
      </c>
      <c r="F6" s="325"/>
      <c r="G6" s="325"/>
      <c r="H6" s="325"/>
    </row>
    <row r="7" spans="1:19" ht="15.75" customHeight="1">
      <c r="A7" s="325">
        <f t="shared" si="0"/>
        <v>112014140</v>
      </c>
      <c r="B7" s="324">
        <f t="shared" si="1"/>
        <v>62</v>
      </c>
      <c r="C7" s="137">
        <f t="shared" si="2"/>
        <v>0.1</v>
      </c>
      <c r="D7" s="137">
        <f t="shared" si="3"/>
        <v>0.11</v>
      </c>
      <c r="E7" s="325" t="s">
        <v>928</v>
      </c>
      <c r="F7" s="325"/>
      <c r="G7" s="325"/>
      <c r="H7" s="325"/>
    </row>
    <row r="8" spans="1:19" ht="15.75" customHeight="1">
      <c r="A8" s="325">
        <f t="shared" si="0"/>
        <v>112010437</v>
      </c>
      <c r="B8" s="324">
        <f t="shared" si="1"/>
        <v>71</v>
      </c>
      <c r="C8" s="324" t="str">
        <f t="shared" si="2"/>
        <v>Lista</v>
      </c>
      <c r="D8" s="137">
        <f t="shared" si="3"/>
        <v>0.05</v>
      </c>
      <c r="E8" s="325" t="s">
        <v>954</v>
      </c>
      <c r="F8" s="325"/>
      <c r="G8" s="325"/>
      <c r="H8" s="325"/>
    </row>
    <row r="9" spans="1:19" ht="15.75" customHeight="1">
      <c r="A9" s="325">
        <f t="shared" si="0"/>
        <v>112014378</v>
      </c>
      <c r="B9" s="324">
        <f t="shared" si="1"/>
        <v>71</v>
      </c>
      <c r="C9" s="324" t="str">
        <f t="shared" si="2"/>
        <v>Lista</v>
      </c>
      <c r="D9" s="137">
        <f t="shared" si="3"/>
        <v>0.05</v>
      </c>
      <c r="E9" s="325" t="s">
        <v>488</v>
      </c>
      <c r="F9" s="325"/>
      <c r="G9" s="325"/>
      <c r="H9" s="325"/>
    </row>
    <row r="10" spans="1:19" ht="15.75" customHeight="1">
      <c r="A10" s="325">
        <f t="shared" si="0"/>
        <v>112014607</v>
      </c>
      <c r="B10" s="324">
        <f t="shared" si="1"/>
        <v>71</v>
      </c>
      <c r="C10" s="324" t="str">
        <f t="shared" si="2"/>
        <v>Lista</v>
      </c>
      <c r="D10" s="137">
        <f t="shared" si="3"/>
        <v>0.05</v>
      </c>
      <c r="E10" s="325" t="s">
        <v>970</v>
      </c>
      <c r="F10" s="325"/>
      <c r="G10" s="325"/>
      <c r="H10" s="325"/>
    </row>
    <row r="11" spans="1:19" ht="15.75" customHeight="1">
      <c r="A11" s="325">
        <f t="shared" si="0"/>
        <v>112014681</v>
      </c>
      <c r="B11" s="324">
        <f t="shared" si="1"/>
        <v>70</v>
      </c>
      <c r="C11" s="324" t="str">
        <f t="shared" si="2"/>
        <v>Lista</v>
      </c>
      <c r="D11" s="137">
        <f t="shared" si="3"/>
        <v>0.11</v>
      </c>
      <c r="E11" s="325" t="s">
        <v>1198</v>
      </c>
      <c r="F11" s="325"/>
      <c r="G11" s="325"/>
      <c r="H11" s="325"/>
    </row>
    <row r="12" spans="1:19" ht="15.75" customHeight="1">
      <c r="A12" s="325">
        <f t="shared" si="0"/>
        <v>112012202</v>
      </c>
      <c r="B12" s="324">
        <f t="shared" si="1"/>
        <v>70</v>
      </c>
      <c r="C12" s="324" t="str">
        <f t="shared" si="2"/>
        <v>Lista</v>
      </c>
      <c r="D12" s="137">
        <f t="shared" si="3"/>
        <v>0.11</v>
      </c>
      <c r="E12" s="325" t="s">
        <v>1199</v>
      </c>
      <c r="F12" s="325"/>
      <c r="G12" s="325"/>
      <c r="H12" s="325"/>
    </row>
    <row r="13" spans="1:19" ht="15.75" customHeight="1">
      <c r="A13" s="325">
        <f t="shared" si="0"/>
        <v>112012809</v>
      </c>
      <c r="B13" s="324">
        <f t="shared" si="1"/>
        <v>70</v>
      </c>
      <c r="C13" s="324" t="str">
        <f t="shared" si="2"/>
        <v>Lista</v>
      </c>
      <c r="D13" s="137">
        <f t="shared" si="3"/>
        <v>0.11</v>
      </c>
      <c r="E13" s="325" t="s">
        <v>960</v>
      </c>
      <c r="F13" s="325"/>
      <c r="G13" s="325"/>
      <c r="H13" s="325"/>
    </row>
    <row r="14" spans="1:19" ht="15.75" customHeight="1">
      <c r="A14" s="325">
        <f t="shared" si="0"/>
        <v>112014302</v>
      </c>
      <c r="B14" s="324">
        <f t="shared" si="1"/>
        <v>70</v>
      </c>
      <c r="C14" s="324" t="str">
        <f t="shared" ref="C14:C36" si="4">IFERROR(VLOOKUP(B14,A458DC1025,2,FALSE),"")</f>
        <v>Lista</v>
      </c>
      <c r="D14" s="137">
        <f t="shared" ref="D14:D36" si="5">IFERROR(VLOOKUP(B14,A458DC1025,3,FALSE),"")</f>
        <v>0.11</v>
      </c>
      <c r="E14" s="325" t="s">
        <v>1202</v>
      </c>
      <c r="F14" s="325"/>
      <c r="G14" s="325"/>
      <c r="H14" s="325"/>
    </row>
    <row r="15" spans="1:19" ht="15.75" customHeight="1">
      <c r="A15" s="325">
        <f t="shared" si="0"/>
        <v>112014351</v>
      </c>
      <c r="B15" s="324">
        <f t="shared" si="1"/>
        <v>70</v>
      </c>
      <c r="C15" s="324" t="str">
        <f t="shared" si="4"/>
        <v>Lista</v>
      </c>
      <c r="D15" s="137">
        <f t="shared" si="5"/>
        <v>0.11</v>
      </c>
      <c r="E15" s="325" t="s">
        <v>1203</v>
      </c>
      <c r="F15" s="325"/>
      <c r="G15" s="325"/>
      <c r="H15" s="325"/>
    </row>
    <row r="16" spans="1:19" ht="15.75" customHeight="1">
      <c r="A16" s="325">
        <f t="shared" si="0"/>
        <v>112013713</v>
      </c>
      <c r="B16" s="324">
        <f t="shared" si="1"/>
        <v>71</v>
      </c>
      <c r="C16" s="324" t="str">
        <f t="shared" si="4"/>
        <v>Lista</v>
      </c>
      <c r="D16" s="137">
        <f t="shared" si="5"/>
        <v>0.05</v>
      </c>
      <c r="E16" s="325" t="s">
        <v>979</v>
      </c>
      <c r="F16" s="325"/>
      <c r="G16" s="325"/>
      <c r="H16" s="325"/>
    </row>
    <row r="17" spans="1:8" ht="15.75" customHeight="1">
      <c r="A17" s="325">
        <f t="shared" si="0"/>
        <v>112014097</v>
      </c>
      <c r="B17" s="324">
        <f t="shared" si="1"/>
        <v>70</v>
      </c>
      <c r="C17" s="324" t="str">
        <f t="shared" si="4"/>
        <v>Lista</v>
      </c>
      <c r="D17" s="137">
        <f t="shared" si="5"/>
        <v>0.11</v>
      </c>
      <c r="E17" s="325" t="s">
        <v>951</v>
      </c>
      <c r="F17" s="325"/>
      <c r="G17" s="325"/>
      <c r="H17" s="325"/>
    </row>
    <row r="18" spans="1:8" ht="15.75" customHeight="1">
      <c r="A18" s="325">
        <f t="shared" si="0"/>
        <v>112012310</v>
      </c>
      <c r="B18" s="324">
        <f t="shared" si="1"/>
        <v>71</v>
      </c>
      <c r="C18" s="324" t="str">
        <f t="shared" si="4"/>
        <v>Lista</v>
      </c>
      <c r="D18" s="137">
        <f t="shared" si="5"/>
        <v>0.05</v>
      </c>
      <c r="E18" s="325" t="s">
        <v>923</v>
      </c>
      <c r="F18" s="325"/>
      <c r="G18" s="325"/>
      <c r="H18" s="325"/>
    </row>
    <row r="19" spans="1:8" ht="15.75" customHeight="1">
      <c r="A19" s="325">
        <f t="shared" si="0"/>
        <v>112014098</v>
      </c>
      <c r="B19" s="324">
        <f t="shared" si="1"/>
        <v>71</v>
      </c>
      <c r="C19" s="324" t="str">
        <f t="shared" si="4"/>
        <v>Lista</v>
      </c>
      <c r="D19" s="137">
        <f t="shared" si="5"/>
        <v>0.05</v>
      </c>
      <c r="E19" s="325" t="s">
        <v>973</v>
      </c>
      <c r="F19" s="325"/>
      <c r="G19" s="325"/>
      <c r="H19" s="325"/>
    </row>
    <row r="20" spans="1:8" ht="15.75" customHeight="1">
      <c r="A20" s="325">
        <f t="shared" si="0"/>
        <v>112014696</v>
      </c>
      <c r="B20" s="324">
        <f t="shared" si="1"/>
        <v>71</v>
      </c>
      <c r="C20" s="324" t="str">
        <f t="shared" si="4"/>
        <v>Lista</v>
      </c>
      <c r="D20" s="137">
        <f t="shared" si="5"/>
        <v>0.05</v>
      </c>
      <c r="E20" s="325" t="s">
        <v>1192</v>
      </c>
      <c r="F20" s="325"/>
      <c r="G20" s="325"/>
      <c r="H20" s="325"/>
    </row>
    <row r="21" spans="1:8" ht="15.75" customHeight="1">
      <c r="A21" s="325">
        <f t="shared" si="0"/>
        <v>112013151</v>
      </c>
      <c r="B21" s="324">
        <f t="shared" si="1"/>
        <v>71</v>
      </c>
      <c r="C21" s="324" t="str">
        <f t="shared" si="4"/>
        <v>Lista</v>
      </c>
      <c r="D21" s="137">
        <f t="shared" si="5"/>
        <v>0.05</v>
      </c>
      <c r="E21" s="325" t="s">
        <v>1222</v>
      </c>
      <c r="F21" s="325"/>
      <c r="G21" s="325"/>
      <c r="H21" s="325"/>
    </row>
    <row r="22" spans="1:8" ht="15.75" customHeight="1">
      <c r="A22" s="325">
        <f t="shared" si="0"/>
        <v>112012435</v>
      </c>
      <c r="B22" s="324">
        <f t="shared" si="1"/>
        <v>70</v>
      </c>
      <c r="C22" s="324" t="str">
        <f t="shared" si="4"/>
        <v>Lista</v>
      </c>
      <c r="D22" s="137">
        <f t="shared" si="5"/>
        <v>0.11</v>
      </c>
      <c r="E22" s="325" t="s">
        <v>1218</v>
      </c>
      <c r="F22" s="325"/>
      <c r="G22" s="325"/>
      <c r="H22" s="325"/>
    </row>
    <row r="23" spans="1:8" ht="15.75" customHeight="1">
      <c r="A23" s="325">
        <f t="shared" si="0"/>
        <v>112014463</v>
      </c>
      <c r="B23" s="324">
        <f t="shared" si="1"/>
        <v>71</v>
      </c>
      <c r="C23" s="324" t="str">
        <f t="shared" si="4"/>
        <v>Lista</v>
      </c>
      <c r="D23" s="137">
        <f t="shared" si="5"/>
        <v>0.05</v>
      </c>
      <c r="E23" s="325" t="s">
        <v>1229</v>
      </c>
      <c r="F23" s="325"/>
      <c r="G23" s="325"/>
      <c r="H23" s="325"/>
    </row>
    <row r="24" spans="1:8" ht="15.75" customHeight="1">
      <c r="A24" s="325">
        <f t="shared" si="0"/>
        <v>112012289</v>
      </c>
      <c r="B24" s="324">
        <f t="shared" si="1"/>
        <v>70</v>
      </c>
      <c r="C24" s="324" t="str">
        <f t="shared" si="4"/>
        <v>Lista</v>
      </c>
      <c r="D24" s="137">
        <f t="shared" si="5"/>
        <v>0.11</v>
      </c>
      <c r="E24" s="325" t="s">
        <v>1235</v>
      </c>
      <c r="F24" s="325"/>
      <c r="G24" s="325"/>
      <c r="H24" s="325"/>
    </row>
    <row r="25" spans="1:8" ht="15.75" customHeight="1">
      <c r="A25" s="325">
        <f t="shared" si="0"/>
        <v>112011492</v>
      </c>
      <c r="B25" s="324">
        <f t="shared" si="1"/>
        <v>71</v>
      </c>
      <c r="C25" s="324" t="str">
        <f t="shared" si="4"/>
        <v>Lista</v>
      </c>
      <c r="D25" s="137">
        <f t="shared" si="5"/>
        <v>0.05</v>
      </c>
      <c r="E25" s="325" t="s">
        <v>955</v>
      </c>
      <c r="F25" s="325"/>
      <c r="G25" s="325"/>
      <c r="H25" s="325"/>
    </row>
    <row r="26" spans="1:8" ht="15.75" customHeight="1">
      <c r="A26" s="325">
        <f t="shared" si="0"/>
        <v>112012078</v>
      </c>
      <c r="B26" s="324">
        <f t="shared" si="1"/>
        <v>71</v>
      </c>
      <c r="C26" s="324" t="str">
        <f t="shared" si="4"/>
        <v>Lista</v>
      </c>
      <c r="D26" s="137">
        <f t="shared" si="5"/>
        <v>0.05</v>
      </c>
      <c r="E26" s="325" t="s">
        <v>1223</v>
      </c>
      <c r="F26" s="325"/>
      <c r="G26" s="325"/>
      <c r="H26" s="325"/>
    </row>
    <row r="27" spans="1:8" ht="15.75" customHeight="1">
      <c r="A27" s="325">
        <f t="shared" si="0"/>
        <v>112013049</v>
      </c>
      <c r="B27" s="324">
        <f t="shared" si="1"/>
        <v>71</v>
      </c>
      <c r="C27" s="324" t="str">
        <f t="shared" si="4"/>
        <v>Lista</v>
      </c>
      <c r="D27" s="137">
        <f t="shared" si="5"/>
        <v>0.05</v>
      </c>
      <c r="E27" s="325" t="s">
        <v>961</v>
      </c>
      <c r="F27" s="325"/>
      <c r="G27" s="325"/>
      <c r="H27" s="325"/>
    </row>
    <row r="28" spans="1:8" ht="15.75" customHeight="1">
      <c r="A28" s="325">
        <f t="shared" si="0"/>
        <v>112012664</v>
      </c>
      <c r="B28" s="324">
        <f t="shared" si="1"/>
        <v>71</v>
      </c>
      <c r="C28" s="324" t="str">
        <f t="shared" si="4"/>
        <v>Lista</v>
      </c>
      <c r="D28" s="137">
        <f t="shared" si="5"/>
        <v>0.05</v>
      </c>
      <c r="E28" s="325" t="s">
        <v>1231</v>
      </c>
      <c r="F28" s="325"/>
      <c r="G28" s="325"/>
      <c r="H28" s="325"/>
    </row>
    <row r="29" spans="1:8" ht="15.75" customHeight="1">
      <c r="A29" s="325">
        <f t="shared" si="0"/>
        <v>112014695</v>
      </c>
      <c r="B29" s="324">
        <f t="shared" si="1"/>
        <v>70</v>
      </c>
      <c r="C29" s="324" t="str">
        <f t="shared" si="4"/>
        <v>Lista</v>
      </c>
      <c r="D29" s="137">
        <f t="shared" si="5"/>
        <v>0.11</v>
      </c>
      <c r="E29" s="325" t="s">
        <v>1191</v>
      </c>
      <c r="F29" s="325"/>
      <c r="G29" s="325"/>
      <c r="H29" s="325"/>
    </row>
    <row r="30" spans="1:8" ht="15.75" customHeight="1">
      <c r="A30" s="325">
        <f t="shared" si="0"/>
        <v>112012680</v>
      </c>
      <c r="B30" s="324">
        <f t="shared" si="1"/>
        <v>71</v>
      </c>
      <c r="C30" s="324" t="str">
        <f t="shared" si="4"/>
        <v>Lista</v>
      </c>
      <c r="D30" s="137">
        <f t="shared" si="5"/>
        <v>0.05</v>
      </c>
      <c r="E30" s="325" t="s">
        <v>1224</v>
      </c>
      <c r="F30" s="325"/>
      <c r="G30" s="325"/>
      <c r="H30" s="325"/>
    </row>
    <row r="31" spans="1:8" ht="15.75" customHeight="1">
      <c r="A31" s="325">
        <f t="shared" si="0"/>
        <v>112014147</v>
      </c>
      <c r="B31" s="324">
        <f t="shared" si="1"/>
        <v>71</v>
      </c>
      <c r="C31" s="324" t="str">
        <f t="shared" si="4"/>
        <v>Lista</v>
      </c>
      <c r="D31" s="137">
        <f t="shared" si="5"/>
        <v>0.05</v>
      </c>
      <c r="E31" s="325" t="s">
        <v>966</v>
      </c>
      <c r="F31" s="325"/>
      <c r="G31" s="325"/>
      <c r="H31" s="325"/>
    </row>
    <row r="32" spans="1:8" ht="15.75" customHeight="1">
      <c r="A32" s="325">
        <f t="shared" si="0"/>
        <v>112014070</v>
      </c>
      <c r="B32" s="324">
        <f t="shared" si="1"/>
        <v>70</v>
      </c>
      <c r="C32" s="324" t="str">
        <f t="shared" si="4"/>
        <v>Lista</v>
      </c>
      <c r="D32" s="137">
        <f t="shared" si="5"/>
        <v>0.11</v>
      </c>
      <c r="E32" s="325" t="s">
        <v>937</v>
      </c>
      <c r="F32" s="325"/>
      <c r="G32" s="325"/>
      <c r="H32" s="325"/>
    </row>
    <row r="33" spans="1:8" ht="15.75" customHeight="1">
      <c r="A33" s="325">
        <f t="shared" si="0"/>
        <v>112012520</v>
      </c>
      <c r="B33" s="324">
        <f t="shared" si="1"/>
        <v>70</v>
      </c>
      <c r="C33" s="324" t="str">
        <f t="shared" si="4"/>
        <v>Lista</v>
      </c>
      <c r="D33" s="137">
        <f t="shared" si="5"/>
        <v>0.11</v>
      </c>
      <c r="E33" s="325" t="s">
        <v>1211</v>
      </c>
      <c r="F33" s="325"/>
      <c r="G33" s="325"/>
      <c r="H33" s="325"/>
    </row>
    <row r="34" spans="1:8" ht="15.75" customHeight="1">
      <c r="A34" s="325">
        <f t="shared" ref="A34:A65" si="6">VLOOKUP(E34,CARTLES1,3,FALSE)</f>
        <v>112014212</v>
      </c>
      <c r="B34" s="324">
        <f t="shared" ref="B34:B65" si="7">VLOOKUP(E34,CARTLES1,2,FALSE)</f>
        <v>70</v>
      </c>
      <c r="C34" s="324" t="str">
        <f t="shared" si="4"/>
        <v>Lista</v>
      </c>
      <c r="D34" s="137">
        <f t="shared" si="5"/>
        <v>0.11</v>
      </c>
      <c r="E34" s="325" t="s">
        <v>1242</v>
      </c>
      <c r="F34" s="325"/>
      <c r="G34" s="325"/>
      <c r="H34" s="325"/>
    </row>
    <row r="35" spans="1:8" ht="15.75" customHeight="1">
      <c r="A35" s="325">
        <f t="shared" si="6"/>
        <v>112012606</v>
      </c>
      <c r="B35" s="324">
        <f t="shared" si="7"/>
        <v>71</v>
      </c>
      <c r="C35" s="324" t="str">
        <f t="shared" si="4"/>
        <v>Lista</v>
      </c>
      <c r="D35" s="137">
        <f t="shared" si="5"/>
        <v>0.05</v>
      </c>
      <c r="E35" s="325" t="s">
        <v>1233</v>
      </c>
      <c r="F35" s="325"/>
      <c r="G35" s="325"/>
      <c r="H35" s="325"/>
    </row>
    <row r="36" spans="1:8" ht="15.75" customHeight="1">
      <c r="A36" s="325">
        <f t="shared" si="6"/>
        <v>112012600</v>
      </c>
      <c r="B36" s="324">
        <f t="shared" si="7"/>
        <v>70</v>
      </c>
      <c r="C36" s="324" t="str">
        <f t="shared" si="4"/>
        <v>Lista</v>
      </c>
      <c r="D36" s="137">
        <f t="shared" si="5"/>
        <v>0.11</v>
      </c>
      <c r="E36" s="325" t="s">
        <v>1160</v>
      </c>
      <c r="F36" s="325"/>
      <c r="G36" s="325"/>
      <c r="H36" s="325"/>
    </row>
    <row r="37" spans="1:8" ht="15.75" customHeight="1">
      <c r="A37" s="325">
        <f t="shared" si="6"/>
        <v>112014691</v>
      </c>
      <c r="B37" s="324">
        <f t="shared" si="7"/>
        <v>71</v>
      </c>
      <c r="C37" s="324" t="str">
        <f t="shared" ref="C37:C56" si="8">VLOOKUP(B37,A458DC1025,2,FALSE)</f>
        <v>Lista</v>
      </c>
      <c r="D37" s="137">
        <f t="shared" ref="D37:D56" si="9">VLOOKUP(B37,A458DC1025,3,FALSE)</f>
        <v>0.05</v>
      </c>
      <c r="E37" s="325" t="s">
        <v>945</v>
      </c>
      <c r="F37" s="325"/>
      <c r="G37" s="325"/>
      <c r="H37" s="325"/>
    </row>
    <row r="38" spans="1:8" ht="15.75" customHeight="1">
      <c r="A38" s="325">
        <f t="shared" si="6"/>
        <v>112014703</v>
      </c>
      <c r="B38" s="324">
        <f t="shared" si="7"/>
        <v>70</v>
      </c>
      <c r="C38" s="324" t="str">
        <f t="shared" si="8"/>
        <v>Lista</v>
      </c>
      <c r="D38" s="137">
        <f t="shared" si="9"/>
        <v>0.11</v>
      </c>
      <c r="E38" s="325" t="s">
        <v>235</v>
      </c>
      <c r="F38" s="325"/>
      <c r="G38" s="325"/>
      <c r="H38" s="325"/>
    </row>
    <row r="39" spans="1:8" ht="15.75" customHeight="1">
      <c r="A39" s="325">
        <f t="shared" si="6"/>
        <v>112012225</v>
      </c>
      <c r="B39" s="324">
        <f t="shared" si="7"/>
        <v>71</v>
      </c>
      <c r="C39" s="324" t="str">
        <f t="shared" si="8"/>
        <v>Lista</v>
      </c>
      <c r="D39" s="137">
        <f t="shared" si="9"/>
        <v>0.05</v>
      </c>
      <c r="E39" s="325" t="s">
        <v>1390</v>
      </c>
      <c r="F39" s="325"/>
      <c r="G39" s="325"/>
      <c r="H39" s="325"/>
    </row>
    <row r="40" spans="1:8" ht="15.75" customHeight="1">
      <c r="A40" s="325">
        <f t="shared" si="6"/>
        <v>112012622</v>
      </c>
      <c r="B40" s="324">
        <f t="shared" si="7"/>
        <v>71</v>
      </c>
      <c r="C40" s="324" t="str">
        <f t="shared" si="8"/>
        <v>Lista</v>
      </c>
      <c r="D40" s="137">
        <f t="shared" si="9"/>
        <v>0.05</v>
      </c>
      <c r="E40" s="325" t="s">
        <v>1391</v>
      </c>
      <c r="F40" s="325"/>
      <c r="G40" s="325"/>
      <c r="H40" s="325"/>
    </row>
    <row r="41" spans="1:8" ht="15.75" customHeight="1">
      <c r="A41" s="325">
        <f t="shared" si="6"/>
        <v>112012041</v>
      </c>
      <c r="B41" s="324">
        <f t="shared" si="7"/>
        <v>71</v>
      </c>
      <c r="C41" s="324" t="str">
        <f t="shared" si="8"/>
        <v>Lista</v>
      </c>
      <c r="D41" s="137">
        <f t="shared" si="9"/>
        <v>0.05</v>
      </c>
      <c r="E41" s="325" t="s">
        <v>1096</v>
      </c>
      <c r="F41" s="325"/>
      <c r="G41" s="325"/>
      <c r="H41" s="325"/>
    </row>
    <row r="42" spans="1:8" ht="15.75" customHeight="1">
      <c r="A42" s="325">
        <f t="shared" si="6"/>
        <v>112014078</v>
      </c>
      <c r="B42" s="324">
        <f t="shared" si="7"/>
        <v>70</v>
      </c>
      <c r="C42" s="324" t="str">
        <f t="shared" si="8"/>
        <v>Lista</v>
      </c>
      <c r="D42" s="137">
        <f t="shared" si="9"/>
        <v>0.11</v>
      </c>
      <c r="E42" s="325" t="s">
        <v>950</v>
      </c>
      <c r="F42" s="325"/>
      <c r="G42" s="325"/>
      <c r="H42" s="325"/>
    </row>
    <row r="43" spans="1:8" ht="13">
      <c r="A43" s="325">
        <f t="shared" si="6"/>
        <v>112012316</v>
      </c>
      <c r="B43" s="324">
        <f t="shared" si="7"/>
        <v>70</v>
      </c>
      <c r="C43" s="324" t="str">
        <f t="shared" si="8"/>
        <v>Lista</v>
      </c>
      <c r="D43" s="137">
        <f t="shared" si="9"/>
        <v>0.11</v>
      </c>
      <c r="E43" s="325" t="s">
        <v>938</v>
      </c>
      <c r="F43" s="325"/>
      <c r="G43" s="325"/>
      <c r="H43" s="325"/>
    </row>
    <row r="44" spans="1:8" ht="13">
      <c r="A44" s="325">
        <f t="shared" si="6"/>
        <v>112013433</v>
      </c>
      <c r="B44" s="324">
        <f t="shared" si="7"/>
        <v>70</v>
      </c>
      <c r="C44" s="324" t="str">
        <f t="shared" si="8"/>
        <v>Lista</v>
      </c>
      <c r="D44" s="137">
        <f t="shared" si="9"/>
        <v>0.11</v>
      </c>
      <c r="E44" s="325" t="s">
        <v>1165</v>
      </c>
      <c r="F44" s="325"/>
      <c r="G44" s="325"/>
      <c r="H44" s="325"/>
    </row>
    <row r="45" spans="1:8" ht="13">
      <c r="A45" s="325">
        <f t="shared" si="6"/>
        <v>112014596</v>
      </c>
      <c r="B45" s="324">
        <f t="shared" si="7"/>
        <v>70</v>
      </c>
      <c r="C45" s="324" t="str">
        <f t="shared" si="8"/>
        <v>Lista</v>
      </c>
      <c r="D45" s="137">
        <f t="shared" si="9"/>
        <v>0.11</v>
      </c>
      <c r="E45" s="325" t="s">
        <v>967</v>
      </c>
      <c r="F45" s="325"/>
      <c r="G45" s="325"/>
      <c r="H45" s="325"/>
    </row>
    <row r="46" spans="1:8" ht="13">
      <c r="A46" s="325">
        <f t="shared" si="6"/>
        <v>112013642</v>
      </c>
      <c r="B46" s="324">
        <f t="shared" si="7"/>
        <v>71</v>
      </c>
      <c r="C46" s="324" t="str">
        <f t="shared" si="8"/>
        <v>Lista</v>
      </c>
      <c r="D46" s="137">
        <f t="shared" si="9"/>
        <v>0.05</v>
      </c>
      <c r="E46" s="325" t="s">
        <v>1179</v>
      </c>
      <c r="F46" s="325"/>
      <c r="G46" s="325"/>
      <c r="H46" s="325"/>
    </row>
    <row r="47" spans="1:8" ht="13">
      <c r="A47" s="325">
        <f t="shared" si="6"/>
        <v>112013717</v>
      </c>
      <c r="B47" s="324">
        <f t="shared" si="7"/>
        <v>70</v>
      </c>
      <c r="C47" s="324" t="str">
        <f t="shared" si="8"/>
        <v>Lista</v>
      </c>
      <c r="D47" s="137">
        <f t="shared" si="9"/>
        <v>0.11</v>
      </c>
      <c r="E47" s="325" t="s">
        <v>1220</v>
      </c>
      <c r="F47" s="325"/>
      <c r="G47" s="325"/>
      <c r="H47" s="325"/>
    </row>
    <row r="48" spans="1:8" ht="13">
      <c r="A48" s="325">
        <f t="shared" si="6"/>
        <v>112014655</v>
      </c>
      <c r="B48" s="324">
        <f t="shared" si="7"/>
        <v>70</v>
      </c>
      <c r="C48" s="324" t="str">
        <f t="shared" si="8"/>
        <v>Lista</v>
      </c>
      <c r="D48" s="137">
        <f t="shared" si="9"/>
        <v>0.11</v>
      </c>
      <c r="E48" s="325" t="s">
        <v>1167</v>
      </c>
      <c r="F48" s="325"/>
      <c r="G48" s="325"/>
      <c r="H48" s="325"/>
    </row>
    <row r="49" spans="1:8" ht="13">
      <c r="A49" s="325">
        <f t="shared" si="6"/>
        <v>112014669</v>
      </c>
      <c r="B49" s="324">
        <f t="shared" si="7"/>
        <v>70</v>
      </c>
      <c r="C49" s="324" t="str">
        <f t="shared" si="8"/>
        <v>Lista</v>
      </c>
      <c r="D49" s="137">
        <f t="shared" si="9"/>
        <v>0.11</v>
      </c>
      <c r="E49" s="325" t="s">
        <v>1168</v>
      </c>
      <c r="F49" s="325"/>
      <c r="G49" s="325"/>
      <c r="H49" s="325"/>
    </row>
    <row r="50" spans="1:8" ht="13">
      <c r="A50" s="325">
        <f t="shared" si="6"/>
        <v>112014100</v>
      </c>
      <c r="B50" s="324">
        <f t="shared" si="7"/>
        <v>71</v>
      </c>
      <c r="C50" s="324" t="str">
        <f t="shared" si="8"/>
        <v>Lista</v>
      </c>
      <c r="D50" s="137">
        <f t="shared" si="9"/>
        <v>0.05</v>
      </c>
      <c r="E50" s="325" t="s">
        <v>975</v>
      </c>
      <c r="F50" s="325"/>
      <c r="G50" s="325"/>
      <c r="H50" s="325"/>
    </row>
    <row r="51" spans="1:8" ht="13">
      <c r="A51" s="325">
        <f t="shared" si="6"/>
        <v>112014075</v>
      </c>
      <c r="B51" s="324">
        <f t="shared" si="7"/>
        <v>70</v>
      </c>
      <c r="C51" s="324" t="str">
        <f t="shared" si="8"/>
        <v>Lista</v>
      </c>
      <c r="D51" s="137">
        <f t="shared" si="9"/>
        <v>0.11</v>
      </c>
      <c r="E51" s="325" t="s">
        <v>918</v>
      </c>
      <c r="F51" s="325"/>
      <c r="G51" s="325"/>
      <c r="H51" s="325"/>
    </row>
    <row r="52" spans="1:8" ht="13">
      <c r="A52" s="325">
        <f t="shared" si="6"/>
        <v>112014673</v>
      </c>
      <c r="B52" s="324">
        <f t="shared" si="7"/>
        <v>71</v>
      </c>
      <c r="C52" s="324" t="str">
        <f t="shared" si="8"/>
        <v>Lista</v>
      </c>
      <c r="D52" s="137">
        <f t="shared" si="9"/>
        <v>0.05</v>
      </c>
      <c r="E52" s="325" t="s">
        <v>1169</v>
      </c>
      <c r="F52" s="325"/>
      <c r="G52" s="325"/>
      <c r="H52" s="325"/>
    </row>
    <row r="53" spans="1:8" ht="13">
      <c r="A53" s="325">
        <f t="shared" si="6"/>
        <v>112012186</v>
      </c>
      <c r="B53" s="324">
        <f t="shared" si="7"/>
        <v>71</v>
      </c>
      <c r="C53" s="324" t="str">
        <f t="shared" si="8"/>
        <v>Lista</v>
      </c>
      <c r="D53" s="137">
        <f t="shared" si="9"/>
        <v>0.05</v>
      </c>
      <c r="E53" s="325" t="s">
        <v>1180</v>
      </c>
      <c r="F53" s="325"/>
      <c r="G53" s="325"/>
      <c r="H53" s="325"/>
    </row>
    <row r="54" spans="1:8" ht="13">
      <c r="A54" s="325">
        <f t="shared" si="6"/>
        <v>112014689</v>
      </c>
      <c r="B54" s="324">
        <f t="shared" si="7"/>
        <v>71</v>
      </c>
      <c r="C54" s="324" t="str">
        <f t="shared" si="8"/>
        <v>Lista</v>
      </c>
      <c r="D54" s="137">
        <f t="shared" si="9"/>
        <v>0.05</v>
      </c>
      <c r="E54" s="325" t="s">
        <v>977</v>
      </c>
      <c r="F54" s="325"/>
      <c r="G54" s="325"/>
      <c r="H54" s="325"/>
    </row>
    <row r="55" spans="1:8" ht="13">
      <c r="A55" s="325">
        <f t="shared" si="6"/>
        <v>112014148</v>
      </c>
      <c r="B55" s="324">
        <f t="shared" si="7"/>
        <v>70</v>
      </c>
      <c r="C55" s="324" t="str">
        <f t="shared" si="8"/>
        <v>Lista</v>
      </c>
      <c r="D55" s="137">
        <f t="shared" si="9"/>
        <v>0.11</v>
      </c>
      <c r="E55" s="325" t="s">
        <v>946</v>
      </c>
      <c r="F55" s="325"/>
      <c r="G55" s="325"/>
      <c r="H55" s="325"/>
    </row>
    <row r="56" spans="1:8" ht="13">
      <c r="A56" s="325">
        <f t="shared" si="6"/>
        <v>112012132</v>
      </c>
      <c r="B56" s="324">
        <f t="shared" si="7"/>
        <v>71</v>
      </c>
      <c r="C56" s="324" t="str">
        <f t="shared" si="8"/>
        <v>Lista</v>
      </c>
      <c r="D56" s="137">
        <f t="shared" si="9"/>
        <v>0.05</v>
      </c>
      <c r="E56" s="325" t="s">
        <v>942</v>
      </c>
      <c r="F56" s="325"/>
      <c r="G56" s="325"/>
      <c r="H56" s="325"/>
    </row>
    <row r="57" spans="1:8" ht="13">
      <c r="A57" s="325">
        <f t="shared" si="6"/>
        <v>112011445</v>
      </c>
      <c r="B57" s="324">
        <f t="shared" si="7"/>
        <v>70</v>
      </c>
      <c r="C57" s="324" t="str">
        <f t="shared" ref="C57:C68" si="10">IFERROR(VLOOKUP(B57,A458DC1025,2,FALSE),"")</f>
        <v>Lista</v>
      </c>
      <c r="D57" s="137">
        <f t="shared" ref="D57:D68" si="11">IFERROR(VLOOKUP(B57,A458DC1025,3,FALSE),"")</f>
        <v>0.11</v>
      </c>
      <c r="E57" s="325" t="s">
        <v>1217</v>
      </c>
      <c r="F57" s="325"/>
      <c r="G57" s="325"/>
      <c r="H57" s="325"/>
    </row>
    <row r="58" spans="1:8" ht="13">
      <c r="A58" s="325">
        <f t="shared" si="6"/>
        <v>112014544</v>
      </c>
      <c r="B58" s="324">
        <f t="shared" si="7"/>
        <v>70</v>
      </c>
      <c r="C58" s="324" t="str">
        <f t="shared" si="10"/>
        <v>Lista</v>
      </c>
      <c r="D58" s="137">
        <f t="shared" si="11"/>
        <v>0.11</v>
      </c>
      <c r="E58" s="325" t="s">
        <v>1162</v>
      </c>
      <c r="F58" s="325"/>
      <c r="G58" s="325"/>
      <c r="H58" s="325"/>
    </row>
    <row r="59" spans="1:8" ht="13">
      <c r="A59" s="325">
        <f t="shared" si="6"/>
        <v>112013965</v>
      </c>
      <c r="B59" s="324">
        <f t="shared" si="7"/>
        <v>71</v>
      </c>
      <c r="C59" s="324" t="str">
        <f t="shared" si="10"/>
        <v>Lista</v>
      </c>
      <c r="D59" s="137">
        <f t="shared" si="11"/>
        <v>0.05</v>
      </c>
      <c r="E59" s="325" t="s">
        <v>1225</v>
      </c>
      <c r="F59" s="325"/>
      <c r="G59" s="325"/>
      <c r="H59" s="325"/>
    </row>
    <row r="60" spans="1:8" ht="13">
      <c r="A60" s="325">
        <f t="shared" si="6"/>
        <v>112010669</v>
      </c>
      <c r="B60" s="324">
        <f t="shared" si="7"/>
        <v>71</v>
      </c>
      <c r="C60" s="324" t="str">
        <f t="shared" si="10"/>
        <v>Lista</v>
      </c>
      <c r="D60" s="137">
        <f t="shared" si="11"/>
        <v>0.05</v>
      </c>
      <c r="E60" s="325" t="s">
        <v>916</v>
      </c>
      <c r="F60" s="325"/>
      <c r="G60" s="325"/>
      <c r="H60" s="325"/>
    </row>
    <row r="61" spans="1:8" ht="13">
      <c r="A61" s="325">
        <f t="shared" si="6"/>
        <v>112013436</v>
      </c>
      <c r="B61" s="324">
        <f t="shared" si="7"/>
        <v>71</v>
      </c>
      <c r="C61" s="324" t="str">
        <f t="shared" si="10"/>
        <v>Lista</v>
      </c>
      <c r="D61" s="137">
        <f t="shared" si="11"/>
        <v>0.05</v>
      </c>
      <c r="E61" s="325" t="s">
        <v>1182</v>
      </c>
      <c r="F61" s="325"/>
      <c r="G61" s="325"/>
      <c r="H61" s="325"/>
    </row>
    <row r="62" spans="1:8" ht="13">
      <c r="A62" s="325">
        <f t="shared" si="6"/>
        <v>112013940</v>
      </c>
      <c r="B62" s="324">
        <f t="shared" si="7"/>
        <v>71</v>
      </c>
      <c r="C62" s="324" t="str">
        <f t="shared" si="10"/>
        <v>Lista</v>
      </c>
      <c r="D62" s="137">
        <f t="shared" si="11"/>
        <v>0.05</v>
      </c>
      <c r="E62" s="325" t="s">
        <v>1226</v>
      </c>
      <c r="F62" s="325"/>
      <c r="G62" s="325"/>
      <c r="H62" s="325"/>
    </row>
    <row r="63" spans="1:8" ht="13">
      <c r="A63" s="325">
        <f t="shared" si="6"/>
        <v>112013993</v>
      </c>
      <c r="B63" s="324">
        <f t="shared" si="7"/>
        <v>70</v>
      </c>
      <c r="C63" s="324" t="str">
        <f t="shared" si="10"/>
        <v>Lista</v>
      </c>
      <c r="D63" s="137">
        <f t="shared" si="11"/>
        <v>0.11</v>
      </c>
      <c r="E63" s="325" t="s">
        <v>1173</v>
      </c>
      <c r="F63" s="325"/>
      <c r="G63" s="325"/>
      <c r="H63" s="325"/>
    </row>
    <row r="64" spans="1:8" ht="13">
      <c r="A64" s="325">
        <f t="shared" si="6"/>
        <v>112012178</v>
      </c>
      <c r="B64" s="324">
        <f t="shared" si="7"/>
        <v>71</v>
      </c>
      <c r="C64" s="324" t="str">
        <f t="shared" si="10"/>
        <v>Lista</v>
      </c>
      <c r="D64" s="137">
        <f t="shared" si="11"/>
        <v>0.05</v>
      </c>
      <c r="E64" s="325" t="s">
        <v>1209</v>
      </c>
      <c r="F64" s="325"/>
      <c r="G64" s="325"/>
      <c r="H64" s="325"/>
    </row>
    <row r="65" spans="1:8" ht="13">
      <c r="A65" s="325">
        <f t="shared" si="6"/>
        <v>112014667</v>
      </c>
      <c r="B65" s="324">
        <f t="shared" si="7"/>
        <v>71</v>
      </c>
      <c r="C65" s="324" t="str">
        <f t="shared" si="10"/>
        <v>Lista</v>
      </c>
      <c r="D65" s="137">
        <f t="shared" si="11"/>
        <v>0.05</v>
      </c>
      <c r="E65" s="325" t="s">
        <v>1221</v>
      </c>
      <c r="F65" s="325"/>
      <c r="G65" s="325"/>
      <c r="H65" s="325"/>
    </row>
    <row r="66" spans="1:8" ht="13">
      <c r="A66" s="325">
        <f t="shared" ref="A66:A84" si="12">VLOOKUP(E66,CARTLES1,3,FALSE)</f>
        <v>112014038</v>
      </c>
      <c r="B66" s="324">
        <f t="shared" ref="B66:B84" si="13">VLOOKUP(E66,CARTLES1,2,FALSE)</f>
        <v>71</v>
      </c>
      <c r="C66" s="324" t="str">
        <f t="shared" si="10"/>
        <v>Lista</v>
      </c>
      <c r="D66" s="137">
        <f t="shared" si="11"/>
        <v>0.05</v>
      </c>
      <c r="E66" s="325" t="s">
        <v>1116</v>
      </c>
      <c r="F66" s="325"/>
      <c r="G66" s="325"/>
      <c r="H66" s="325"/>
    </row>
    <row r="67" spans="1:8" ht="13">
      <c r="A67" s="325">
        <f t="shared" si="12"/>
        <v>112013395</v>
      </c>
      <c r="B67" s="324">
        <f t="shared" si="13"/>
        <v>71</v>
      </c>
      <c r="C67" s="324" t="str">
        <f t="shared" si="10"/>
        <v>Lista</v>
      </c>
      <c r="D67" s="137">
        <f t="shared" si="11"/>
        <v>0.05</v>
      </c>
      <c r="E67" s="325" t="s">
        <v>952</v>
      </c>
      <c r="F67" s="325"/>
      <c r="G67" s="325"/>
      <c r="H67" s="325"/>
    </row>
    <row r="68" spans="1:8" ht="13">
      <c r="A68" s="325">
        <f t="shared" si="12"/>
        <v>112014030</v>
      </c>
      <c r="B68" s="324">
        <f t="shared" si="13"/>
        <v>71</v>
      </c>
      <c r="C68" s="324" t="str">
        <f t="shared" si="10"/>
        <v>Lista</v>
      </c>
      <c r="D68" s="137">
        <f t="shared" si="11"/>
        <v>0.05</v>
      </c>
      <c r="E68" s="325" t="s">
        <v>676</v>
      </c>
      <c r="F68" s="325"/>
      <c r="G68" s="325"/>
      <c r="H68" s="325"/>
    </row>
    <row r="69" spans="1:8" ht="13">
      <c r="A69" s="325">
        <f t="shared" si="12"/>
        <v>112012953</v>
      </c>
      <c r="B69" s="324">
        <f t="shared" si="13"/>
        <v>71</v>
      </c>
      <c r="C69" s="324" t="str">
        <f>VLOOKUP(B69,A458DC1025,2,FALSE)</f>
        <v>Lista</v>
      </c>
      <c r="D69" s="137">
        <f>VLOOKUP(B69,A458DC1025,3,FALSE)</f>
        <v>0.05</v>
      </c>
      <c r="E69" s="325" t="s">
        <v>972</v>
      </c>
      <c r="F69" s="325"/>
      <c r="G69" s="325"/>
      <c r="H69" s="325"/>
    </row>
    <row r="70" spans="1:8" ht="13">
      <c r="A70" s="325">
        <f t="shared" si="12"/>
        <v>112012303</v>
      </c>
      <c r="B70" s="324">
        <f t="shared" si="13"/>
        <v>70</v>
      </c>
      <c r="C70" s="324" t="str">
        <f>VLOOKUP(B70,A458DC1025,2,FALSE)</f>
        <v>Lista</v>
      </c>
      <c r="D70" s="137">
        <f>VLOOKUP(B70,A458DC1025,3,FALSE)</f>
        <v>0.11</v>
      </c>
      <c r="E70" s="325" t="s">
        <v>957</v>
      </c>
      <c r="F70" s="325"/>
      <c r="G70" s="325"/>
      <c r="H70" s="325"/>
    </row>
    <row r="71" spans="1:8" ht="13">
      <c r="A71" s="325">
        <f t="shared" si="12"/>
        <v>112014186</v>
      </c>
      <c r="B71" s="324">
        <f t="shared" si="13"/>
        <v>70</v>
      </c>
      <c r="C71" s="324" t="str">
        <f>VLOOKUP(B71,A458DC1025,2,FALSE)</f>
        <v>Lista</v>
      </c>
      <c r="D71" s="137">
        <f>VLOOKUP(B71,A458DC1025,3,FALSE)</f>
        <v>0.11</v>
      </c>
      <c r="E71" s="325" t="s">
        <v>1195</v>
      </c>
      <c r="F71" s="325"/>
      <c r="G71" s="325"/>
      <c r="H71" s="325"/>
    </row>
    <row r="72" spans="1:8" ht="13">
      <c r="A72" s="325">
        <f t="shared" si="12"/>
        <v>112014072</v>
      </c>
      <c r="B72" s="324">
        <f t="shared" si="13"/>
        <v>71</v>
      </c>
      <c r="C72" s="324" t="str">
        <f>VLOOKUP(B72,A458DC1025,2,FALSE)</f>
        <v>Lista</v>
      </c>
      <c r="D72" s="137">
        <f>VLOOKUP(B72,A458DC1025,3,FALSE)</f>
        <v>0.05</v>
      </c>
      <c r="E72" s="325" t="s">
        <v>971</v>
      </c>
      <c r="F72" s="325"/>
      <c r="G72" s="325"/>
      <c r="H72" s="325"/>
    </row>
    <row r="73" spans="1:8" ht="13">
      <c r="A73" s="325">
        <f t="shared" si="12"/>
        <v>112012399</v>
      </c>
      <c r="B73" s="324">
        <f t="shared" si="13"/>
        <v>71</v>
      </c>
      <c r="C73" s="324" t="str">
        <f t="shared" ref="C73:C84" si="14">IFERROR(VLOOKUP(B73,A458DC1025,2,FALSE),"")</f>
        <v>Lista</v>
      </c>
      <c r="D73" s="137">
        <f t="shared" ref="D73:D84" si="15">IFERROR(VLOOKUP(B73,A458DC1025,3,FALSE),"")</f>
        <v>0.05</v>
      </c>
      <c r="E73" s="325" t="s">
        <v>980</v>
      </c>
      <c r="F73" s="325"/>
      <c r="G73" s="325"/>
      <c r="H73" s="325"/>
    </row>
    <row r="74" spans="1:8" ht="13">
      <c r="A74" s="325">
        <f t="shared" si="12"/>
        <v>112010784</v>
      </c>
      <c r="B74" s="324">
        <f t="shared" si="13"/>
        <v>71</v>
      </c>
      <c r="C74" s="324" t="str">
        <f t="shared" si="14"/>
        <v>Lista</v>
      </c>
      <c r="D74" s="137">
        <f t="shared" si="15"/>
        <v>0.05</v>
      </c>
      <c r="E74" s="325" t="s">
        <v>1513</v>
      </c>
      <c r="F74" s="325"/>
      <c r="G74" s="325"/>
      <c r="H74" s="325"/>
    </row>
    <row r="75" spans="1:8" ht="13">
      <c r="A75" s="325">
        <f t="shared" si="12"/>
        <v>112013139</v>
      </c>
      <c r="B75" s="324">
        <f t="shared" si="13"/>
        <v>71</v>
      </c>
      <c r="C75" s="324" t="str">
        <f t="shared" si="14"/>
        <v>Lista</v>
      </c>
      <c r="D75" s="137">
        <f t="shared" si="15"/>
        <v>0.05</v>
      </c>
      <c r="E75" s="325" t="s">
        <v>943</v>
      </c>
      <c r="F75" s="325"/>
      <c r="G75" s="325"/>
      <c r="H75" s="325"/>
    </row>
    <row r="76" spans="1:8" ht="13">
      <c r="A76" s="325">
        <f t="shared" si="12"/>
        <v>112014761</v>
      </c>
      <c r="B76" s="324">
        <f t="shared" si="13"/>
        <v>70</v>
      </c>
      <c r="C76" s="324" t="str">
        <f t="shared" si="14"/>
        <v>Lista</v>
      </c>
      <c r="D76" s="137">
        <f t="shared" si="15"/>
        <v>0.11</v>
      </c>
      <c r="E76" s="325" t="s">
        <v>1163</v>
      </c>
      <c r="F76" s="325"/>
      <c r="G76" s="325"/>
      <c r="H76" s="325"/>
    </row>
    <row r="77" spans="1:8" ht="13">
      <c r="A77" s="325">
        <f t="shared" si="12"/>
        <v>112014204</v>
      </c>
      <c r="B77" s="324">
        <f t="shared" si="13"/>
        <v>70</v>
      </c>
      <c r="C77" s="324" t="str">
        <f t="shared" si="14"/>
        <v>Lista</v>
      </c>
      <c r="D77" s="137">
        <f t="shared" si="15"/>
        <v>0.11</v>
      </c>
      <c r="E77" s="325" t="s">
        <v>1214</v>
      </c>
      <c r="F77" s="325"/>
      <c r="G77" s="325"/>
      <c r="H77" s="325"/>
    </row>
    <row r="78" spans="1:8" ht="13">
      <c r="A78" s="325">
        <f t="shared" si="12"/>
        <v>112010442</v>
      </c>
      <c r="B78" s="324">
        <f t="shared" si="13"/>
        <v>0</v>
      </c>
      <c r="C78" s="324" t="str">
        <f t="shared" si="14"/>
        <v/>
      </c>
      <c r="D78" s="137" t="str">
        <f t="shared" si="15"/>
        <v/>
      </c>
      <c r="E78" s="325" t="s">
        <v>984</v>
      </c>
      <c r="F78" s="325"/>
      <c r="G78" s="325"/>
      <c r="H78" s="325"/>
    </row>
    <row r="79" spans="1:8" ht="13">
      <c r="A79" s="325">
        <f t="shared" si="12"/>
        <v>112014114</v>
      </c>
      <c r="B79" s="324">
        <f t="shared" si="13"/>
        <v>0</v>
      </c>
      <c r="C79" s="324" t="str">
        <f t="shared" si="14"/>
        <v/>
      </c>
      <c r="D79" s="137" t="str">
        <f t="shared" si="15"/>
        <v/>
      </c>
      <c r="E79" s="325" t="s">
        <v>986</v>
      </c>
      <c r="F79" s="325"/>
      <c r="G79" s="325"/>
      <c r="H79" s="325"/>
    </row>
    <row r="80" spans="1:8" ht="13">
      <c r="A80" s="325">
        <f t="shared" si="12"/>
        <v>112013667</v>
      </c>
      <c r="B80" s="324">
        <f t="shared" si="13"/>
        <v>0</v>
      </c>
      <c r="C80" s="324" t="str">
        <f t="shared" si="14"/>
        <v/>
      </c>
      <c r="D80" s="137" t="str">
        <f t="shared" si="15"/>
        <v/>
      </c>
      <c r="E80" s="325" t="s">
        <v>1386</v>
      </c>
      <c r="F80" s="325"/>
      <c r="G80" s="325"/>
      <c r="H80" s="325"/>
    </row>
    <row r="81" spans="1:8" ht="13">
      <c r="A81" s="325">
        <f t="shared" si="12"/>
        <v>112014225</v>
      </c>
      <c r="B81" s="324">
        <f t="shared" si="13"/>
        <v>0</v>
      </c>
      <c r="C81" s="324" t="str">
        <f t="shared" si="14"/>
        <v/>
      </c>
      <c r="D81" s="137" t="str">
        <f t="shared" si="15"/>
        <v/>
      </c>
      <c r="E81" s="325" t="s">
        <v>1530</v>
      </c>
      <c r="F81" s="325"/>
      <c r="G81" s="325"/>
      <c r="H81" s="325"/>
    </row>
    <row r="82" spans="1:8" ht="13">
      <c r="A82" s="325">
        <f t="shared" si="12"/>
        <v>112012517</v>
      </c>
      <c r="B82" s="324">
        <f t="shared" si="13"/>
        <v>0</v>
      </c>
      <c r="C82" s="324" t="str">
        <f t="shared" si="14"/>
        <v/>
      </c>
      <c r="D82" s="137" t="str">
        <f t="shared" si="15"/>
        <v/>
      </c>
      <c r="E82" s="325" t="s">
        <v>1187</v>
      </c>
      <c r="F82" s="325"/>
      <c r="G82" s="325"/>
      <c r="H82" s="325"/>
    </row>
    <row r="83" spans="1:8" ht="13">
      <c r="A83" s="325">
        <f t="shared" si="12"/>
        <v>112012757</v>
      </c>
      <c r="B83" s="324">
        <f t="shared" si="13"/>
        <v>0</v>
      </c>
      <c r="C83" s="324" t="str">
        <f t="shared" si="14"/>
        <v/>
      </c>
      <c r="D83" s="137" t="str">
        <f t="shared" si="15"/>
        <v/>
      </c>
      <c r="E83" s="325" t="s">
        <v>1175</v>
      </c>
      <c r="F83" s="325"/>
      <c r="G83" s="325"/>
      <c r="H83" s="325"/>
    </row>
    <row r="84" spans="1:8" ht="13">
      <c r="A84" s="325">
        <f t="shared" si="12"/>
        <v>112014789</v>
      </c>
      <c r="B84" s="324">
        <f t="shared" si="13"/>
        <v>0</v>
      </c>
      <c r="C84" s="324" t="str">
        <f t="shared" si="14"/>
        <v/>
      </c>
      <c r="D84" s="137" t="str">
        <f t="shared" si="15"/>
        <v/>
      </c>
      <c r="E84" s="325" t="s">
        <v>1531</v>
      </c>
      <c r="F84" s="325"/>
      <c r="G84" s="325"/>
      <c r="H84" s="325"/>
    </row>
    <row r="85" spans="1:8" ht="13">
      <c r="B85" s="294"/>
      <c r="C85" s="294"/>
      <c r="D85" s="295"/>
    </row>
    <row r="86" spans="1:8" ht="13">
      <c r="B86" s="294"/>
      <c r="C86" s="294"/>
      <c r="D86" s="295"/>
    </row>
    <row r="87" spans="1:8" ht="13">
      <c r="B87" s="294"/>
      <c r="C87" s="294"/>
      <c r="D87" s="295"/>
    </row>
    <row r="88" spans="1:8" ht="13">
      <c r="B88" s="294"/>
      <c r="C88" s="294"/>
      <c r="D88" s="295"/>
    </row>
    <row r="89" spans="1:8" ht="13">
      <c r="B89" s="294"/>
      <c r="C89" s="294"/>
      <c r="D89" s="295"/>
    </row>
    <row r="90" spans="1:8" ht="13">
      <c r="B90" s="294"/>
      <c r="C90" s="294"/>
      <c r="D90" s="295"/>
    </row>
    <row r="91" spans="1:8" ht="13">
      <c r="B91" s="294"/>
      <c r="C91" s="294"/>
      <c r="D91" s="295"/>
    </row>
    <row r="92" spans="1:8" ht="13">
      <c r="B92" s="294"/>
      <c r="C92" s="294"/>
      <c r="D92" s="295"/>
    </row>
    <row r="93" spans="1:8" ht="13">
      <c r="B93" s="294"/>
      <c r="C93" s="294"/>
      <c r="D93" s="295"/>
    </row>
    <row r="94" spans="1:8" ht="13">
      <c r="B94" s="294"/>
      <c r="C94" s="294"/>
      <c r="D94" s="295"/>
    </row>
    <row r="95" spans="1:8" ht="13">
      <c r="B95" s="294"/>
      <c r="C95" s="294"/>
      <c r="D95" s="295"/>
    </row>
    <row r="96" spans="1:8" ht="13">
      <c r="B96" s="294"/>
      <c r="C96" s="294"/>
      <c r="D96" s="295"/>
    </row>
    <row r="97" spans="2:4" ht="13">
      <c r="B97" s="294"/>
      <c r="C97" s="294"/>
      <c r="D97" s="295"/>
    </row>
    <row r="98" spans="2:4" ht="13">
      <c r="B98" s="294"/>
      <c r="C98" s="294"/>
      <c r="D98" s="295"/>
    </row>
    <row r="99" spans="2:4" ht="13">
      <c r="B99" s="294"/>
      <c r="C99" s="294"/>
      <c r="D99" s="295"/>
    </row>
    <row r="100" spans="2:4" ht="13">
      <c r="B100" s="294"/>
      <c r="C100" s="294"/>
      <c r="D100" s="295"/>
    </row>
    <row r="101" spans="2:4" ht="13">
      <c r="B101" s="294"/>
      <c r="C101" s="294"/>
      <c r="D101" s="295"/>
    </row>
    <row r="102" spans="2:4" ht="13">
      <c r="B102" s="294"/>
      <c r="C102" s="294"/>
      <c r="D102" s="295"/>
    </row>
    <row r="103" spans="2:4" ht="13">
      <c r="B103" s="294"/>
      <c r="C103" s="294"/>
      <c r="D103" s="295"/>
    </row>
    <row r="104" spans="2:4" ht="13">
      <c r="B104" s="294"/>
      <c r="C104" s="294"/>
      <c r="D104" s="295"/>
    </row>
    <row r="105" spans="2:4" ht="13">
      <c r="B105" s="294"/>
      <c r="C105" s="294"/>
      <c r="D105" s="295"/>
    </row>
    <row r="106" spans="2:4" ht="13">
      <c r="B106" s="294"/>
      <c r="C106" s="294"/>
      <c r="D106" s="295"/>
    </row>
    <row r="107" spans="2:4" ht="13">
      <c r="B107" s="294"/>
      <c r="C107" s="294"/>
      <c r="D107" s="295"/>
    </row>
    <row r="108" spans="2:4" ht="13">
      <c r="B108" s="294"/>
      <c r="C108" s="294"/>
      <c r="D108" s="295"/>
    </row>
    <row r="109" spans="2:4" ht="13">
      <c r="B109" s="294"/>
      <c r="C109" s="294"/>
      <c r="D109" s="295"/>
    </row>
    <row r="110" spans="2:4" ht="13">
      <c r="B110" s="294"/>
      <c r="C110" s="294"/>
      <c r="D110" s="295"/>
    </row>
    <row r="111" spans="2:4" ht="13">
      <c r="B111" s="294"/>
      <c r="C111" s="294"/>
      <c r="D111" s="295"/>
    </row>
    <row r="112" spans="2:4" ht="13">
      <c r="B112" s="294"/>
      <c r="C112" s="294"/>
      <c r="D112" s="295"/>
    </row>
    <row r="113" spans="2:4" ht="13">
      <c r="B113" s="294"/>
      <c r="C113" s="294"/>
      <c r="D113" s="295"/>
    </row>
    <row r="114" spans="2:4" ht="13">
      <c r="B114" s="294"/>
      <c r="C114" s="294"/>
      <c r="D114" s="295"/>
    </row>
    <row r="115" spans="2:4" ht="13">
      <c r="B115" s="294"/>
      <c r="C115" s="294"/>
      <c r="D115" s="295"/>
    </row>
    <row r="116" spans="2:4" ht="13">
      <c r="B116" s="294"/>
      <c r="C116" s="294"/>
      <c r="D116" s="295"/>
    </row>
    <row r="117" spans="2:4" ht="13">
      <c r="B117" s="294"/>
      <c r="C117" s="294"/>
      <c r="D117" s="295"/>
    </row>
    <row r="118" spans="2:4" ht="13">
      <c r="B118" s="294"/>
      <c r="C118" s="294"/>
      <c r="D118" s="295"/>
    </row>
    <row r="119" spans="2:4" ht="13">
      <c r="B119" s="294"/>
      <c r="C119" s="294"/>
      <c r="D119" s="295"/>
    </row>
    <row r="120" spans="2:4" ht="13">
      <c r="B120" s="294"/>
      <c r="C120" s="294"/>
      <c r="D120" s="295"/>
    </row>
    <row r="121" spans="2:4" ht="13">
      <c r="B121" s="294"/>
      <c r="C121" s="294"/>
      <c r="D121" s="295"/>
    </row>
    <row r="122" spans="2:4" ht="13">
      <c r="B122" s="294"/>
      <c r="C122" s="294"/>
      <c r="D122" s="295"/>
    </row>
    <row r="123" spans="2:4" ht="13">
      <c r="B123" s="294"/>
      <c r="C123" s="294"/>
      <c r="D123" s="295"/>
    </row>
    <row r="124" spans="2:4" ht="13">
      <c r="B124" s="294"/>
      <c r="C124" s="294"/>
      <c r="D124" s="295"/>
    </row>
    <row r="125" spans="2:4" ht="13">
      <c r="B125" s="294"/>
      <c r="C125" s="294"/>
      <c r="D125" s="295"/>
    </row>
    <row r="126" spans="2:4" ht="13">
      <c r="B126" s="294"/>
      <c r="C126" s="294"/>
      <c r="D126" s="295"/>
    </row>
    <row r="127" spans="2:4" ht="13">
      <c r="B127" s="294"/>
      <c r="C127" s="294"/>
      <c r="D127" s="295"/>
    </row>
    <row r="128" spans="2:4" ht="13">
      <c r="B128" s="294"/>
      <c r="C128" s="294"/>
      <c r="D128" s="295"/>
    </row>
    <row r="129" spans="2:4" ht="13">
      <c r="B129" s="294"/>
      <c r="C129" s="294"/>
      <c r="D129" s="295"/>
    </row>
    <row r="130" spans="2:4" ht="13">
      <c r="B130" s="294"/>
      <c r="C130" s="294"/>
      <c r="D130" s="295"/>
    </row>
    <row r="131" spans="2:4" ht="13">
      <c r="B131" s="294"/>
      <c r="C131" s="294"/>
      <c r="D131" s="295"/>
    </row>
    <row r="132" spans="2:4" ht="13">
      <c r="B132" s="294"/>
      <c r="C132" s="294"/>
      <c r="D132" s="295"/>
    </row>
    <row r="133" spans="2:4" ht="13">
      <c r="B133" s="294"/>
      <c r="C133" s="294"/>
      <c r="D133" s="295"/>
    </row>
    <row r="134" spans="2:4" ht="13">
      <c r="B134" s="294"/>
      <c r="C134" s="294"/>
      <c r="D134" s="295"/>
    </row>
    <row r="135" spans="2:4" ht="13">
      <c r="B135" s="294"/>
      <c r="C135" s="294"/>
      <c r="D135" s="295"/>
    </row>
    <row r="136" spans="2:4" ht="13">
      <c r="B136" s="294"/>
      <c r="C136" s="294"/>
      <c r="D136" s="295"/>
    </row>
    <row r="137" spans="2:4" ht="13">
      <c r="B137" s="294"/>
      <c r="C137" s="294"/>
      <c r="D137" s="295"/>
    </row>
    <row r="138" spans="2:4" ht="13">
      <c r="B138" s="294"/>
      <c r="C138" s="294"/>
      <c r="D138" s="295"/>
    </row>
    <row r="139" spans="2:4" ht="13">
      <c r="B139" s="294"/>
      <c r="C139" s="294"/>
      <c r="D139" s="295"/>
    </row>
    <row r="140" spans="2:4" ht="13">
      <c r="B140" s="294"/>
      <c r="C140" s="294"/>
      <c r="D140" s="295"/>
    </row>
    <row r="141" spans="2:4" ht="13">
      <c r="B141" s="294"/>
      <c r="C141" s="294"/>
      <c r="D141" s="295"/>
    </row>
    <row r="142" spans="2:4" ht="13">
      <c r="B142" s="294"/>
      <c r="C142" s="294"/>
      <c r="D142" s="295"/>
    </row>
    <row r="143" spans="2:4" ht="13">
      <c r="B143" s="294"/>
      <c r="C143" s="294"/>
      <c r="D143" s="295"/>
    </row>
    <row r="144" spans="2:4" ht="13">
      <c r="B144" s="294"/>
      <c r="C144" s="294"/>
      <c r="D144" s="295"/>
    </row>
    <row r="145" spans="2:4" ht="13">
      <c r="B145" s="294"/>
      <c r="C145" s="294"/>
      <c r="D145" s="295"/>
    </row>
    <row r="146" spans="2:4" ht="13">
      <c r="B146" s="294"/>
      <c r="C146" s="294"/>
      <c r="D146" s="295"/>
    </row>
    <row r="147" spans="2:4" ht="13">
      <c r="B147" s="294"/>
      <c r="C147" s="294"/>
      <c r="D147" s="295"/>
    </row>
    <row r="148" spans="2:4" ht="13">
      <c r="B148" s="294"/>
      <c r="C148" s="294"/>
      <c r="D148" s="295"/>
    </row>
    <row r="149" spans="2:4" ht="13">
      <c r="B149" s="294"/>
      <c r="C149" s="294"/>
      <c r="D149" s="295"/>
    </row>
    <row r="150" spans="2:4" ht="13">
      <c r="B150" s="294"/>
      <c r="C150" s="294"/>
      <c r="D150" s="295"/>
    </row>
    <row r="151" spans="2:4" ht="13">
      <c r="B151" s="294"/>
      <c r="C151" s="294"/>
      <c r="D151" s="295"/>
    </row>
    <row r="152" spans="2:4" ht="13">
      <c r="B152" s="294"/>
      <c r="C152" s="294"/>
      <c r="D152" s="295"/>
    </row>
    <row r="153" spans="2:4" ht="13">
      <c r="B153" s="294"/>
      <c r="C153" s="294"/>
      <c r="D153" s="295"/>
    </row>
    <row r="154" spans="2:4" ht="13">
      <c r="B154" s="294"/>
      <c r="C154" s="294"/>
      <c r="D154" s="295"/>
    </row>
    <row r="155" spans="2:4" ht="13">
      <c r="B155" s="294"/>
      <c r="C155" s="294"/>
      <c r="D155" s="295"/>
    </row>
    <row r="156" spans="2:4" ht="13">
      <c r="B156" s="294"/>
      <c r="C156" s="294"/>
      <c r="D156" s="295"/>
    </row>
    <row r="157" spans="2:4" ht="13">
      <c r="B157" s="294"/>
      <c r="C157" s="294"/>
      <c r="D157" s="295"/>
    </row>
    <row r="158" spans="2:4" ht="13">
      <c r="B158" s="294"/>
      <c r="C158" s="294"/>
      <c r="D158" s="295"/>
    </row>
    <row r="159" spans="2:4" ht="13">
      <c r="B159" s="294"/>
      <c r="C159" s="294"/>
      <c r="D159" s="295"/>
    </row>
    <row r="160" spans="2:4" ht="13">
      <c r="B160" s="294"/>
      <c r="C160" s="294"/>
      <c r="D160" s="295"/>
    </row>
    <row r="161" spans="2:4" ht="13">
      <c r="B161" s="294"/>
      <c r="C161" s="294"/>
      <c r="D161" s="295"/>
    </row>
    <row r="162" spans="2:4" ht="13">
      <c r="B162" s="294"/>
      <c r="C162" s="294"/>
      <c r="D162" s="295"/>
    </row>
    <row r="163" spans="2:4" ht="13">
      <c r="B163" s="294"/>
      <c r="C163" s="294"/>
      <c r="D163" s="295"/>
    </row>
    <row r="164" spans="2:4" ht="13">
      <c r="B164" s="294"/>
      <c r="C164" s="294"/>
      <c r="D164" s="295"/>
    </row>
    <row r="165" spans="2:4" ht="13">
      <c r="B165" s="294"/>
      <c r="C165" s="294"/>
      <c r="D165" s="295"/>
    </row>
    <row r="166" spans="2:4" ht="13">
      <c r="B166" s="294"/>
      <c r="C166" s="294"/>
      <c r="D166" s="295"/>
    </row>
    <row r="167" spans="2:4" ht="13">
      <c r="B167" s="294"/>
      <c r="C167" s="294"/>
      <c r="D167" s="295"/>
    </row>
    <row r="168" spans="2:4" ht="13">
      <c r="B168" s="294"/>
      <c r="C168" s="294"/>
      <c r="D168" s="295"/>
    </row>
    <row r="169" spans="2:4" ht="13">
      <c r="B169" s="294"/>
      <c r="C169" s="294"/>
      <c r="D169" s="295"/>
    </row>
    <row r="170" spans="2:4" ht="13">
      <c r="B170" s="294"/>
      <c r="C170" s="294"/>
      <c r="D170" s="295"/>
    </row>
    <row r="171" spans="2:4" ht="13">
      <c r="B171" s="294"/>
      <c r="C171" s="294"/>
      <c r="D171" s="295"/>
    </row>
    <row r="172" spans="2:4" ht="13">
      <c r="B172" s="294"/>
      <c r="C172" s="294"/>
      <c r="D172" s="295"/>
    </row>
    <row r="173" spans="2:4" ht="13">
      <c r="B173" s="294"/>
      <c r="C173" s="294"/>
      <c r="D173" s="295"/>
    </row>
    <row r="174" spans="2:4" ht="13">
      <c r="B174" s="294"/>
      <c r="C174" s="294"/>
      <c r="D174" s="295"/>
    </row>
    <row r="175" spans="2:4" ht="13">
      <c r="B175" s="294"/>
      <c r="C175" s="294"/>
      <c r="D175" s="295"/>
    </row>
    <row r="176" spans="2:4" ht="13">
      <c r="B176" s="294"/>
      <c r="C176" s="294"/>
      <c r="D176" s="295"/>
    </row>
    <row r="177" spans="2:4" ht="13">
      <c r="B177" s="294"/>
      <c r="C177" s="294"/>
      <c r="D177" s="295"/>
    </row>
    <row r="178" spans="2:4" ht="13">
      <c r="B178" s="294"/>
      <c r="C178" s="294"/>
      <c r="D178" s="295"/>
    </row>
    <row r="179" spans="2:4" ht="13">
      <c r="B179" s="294"/>
      <c r="C179" s="294"/>
      <c r="D179" s="295"/>
    </row>
    <row r="180" spans="2:4" ht="13">
      <c r="B180" s="294"/>
      <c r="C180" s="294"/>
      <c r="D180" s="295"/>
    </row>
    <row r="181" spans="2:4" ht="13">
      <c r="B181" s="294"/>
      <c r="C181" s="294"/>
      <c r="D181" s="295"/>
    </row>
    <row r="182" spans="2:4" ht="13">
      <c r="B182" s="294"/>
      <c r="C182" s="294"/>
      <c r="D182" s="295"/>
    </row>
    <row r="183" spans="2:4" ht="13">
      <c r="B183" s="294"/>
      <c r="C183" s="294"/>
      <c r="D183" s="295"/>
    </row>
    <row r="184" spans="2:4" ht="13">
      <c r="B184" s="294"/>
      <c r="C184" s="294"/>
      <c r="D184" s="295"/>
    </row>
    <row r="185" spans="2:4" ht="13">
      <c r="B185" s="294"/>
      <c r="C185" s="294"/>
      <c r="D185" s="295"/>
    </row>
    <row r="186" spans="2:4" ht="13">
      <c r="B186" s="294"/>
      <c r="C186" s="294"/>
      <c r="D186" s="295"/>
    </row>
    <row r="187" spans="2:4" ht="13">
      <c r="B187" s="294"/>
      <c r="C187" s="294"/>
      <c r="D187" s="295"/>
    </row>
    <row r="188" spans="2:4" ht="13">
      <c r="B188" s="294"/>
      <c r="C188" s="294"/>
      <c r="D188" s="295"/>
    </row>
    <row r="189" spans="2:4" ht="13">
      <c r="B189" s="294"/>
      <c r="C189" s="294"/>
      <c r="D189" s="295"/>
    </row>
    <row r="190" spans="2:4" ht="13">
      <c r="B190" s="294"/>
      <c r="C190" s="294"/>
      <c r="D190" s="295"/>
    </row>
    <row r="191" spans="2:4" ht="13">
      <c r="B191" s="294"/>
      <c r="C191" s="294"/>
      <c r="D191" s="295"/>
    </row>
    <row r="192" spans="2:4" ht="13">
      <c r="B192" s="294"/>
      <c r="C192" s="294"/>
      <c r="D192" s="295"/>
    </row>
    <row r="193" spans="2:4" ht="13">
      <c r="B193" s="294"/>
      <c r="C193" s="294"/>
      <c r="D193" s="295"/>
    </row>
    <row r="194" spans="2:4" ht="13">
      <c r="B194" s="294"/>
      <c r="C194" s="294"/>
      <c r="D194" s="295"/>
    </row>
    <row r="195" spans="2:4" ht="13">
      <c r="B195" s="294"/>
      <c r="C195" s="294"/>
      <c r="D195" s="295"/>
    </row>
    <row r="196" spans="2:4" ht="13">
      <c r="B196" s="294"/>
      <c r="C196" s="294"/>
      <c r="D196" s="295"/>
    </row>
    <row r="197" spans="2:4" ht="13">
      <c r="B197" s="294"/>
      <c r="C197" s="294"/>
      <c r="D197" s="295"/>
    </row>
    <row r="198" spans="2:4" ht="13">
      <c r="B198" s="294"/>
      <c r="C198" s="294"/>
      <c r="D198" s="295"/>
    </row>
    <row r="199" spans="2:4" ht="13">
      <c r="B199" s="294"/>
      <c r="C199" s="294"/>
      <c r="D199" s="295"/>
    </row>
    <row r="200" spans="2:4" ht="13">
      <c r="B200" s="294"/>
      <c r="C200" s="294"/>
      <c r="D200" s="295"/>
    </row>
    <row r="201" spans="2:4" ht="13">
      <c r="B201" s="294"/>
      <c r="C201" s="294"/>
      <c r="D201" s="295"/>
    </row>
    <row r="202" spans="2:4" ht="13">
      <c r="B202" s="294"/>
      <c r="C202" s="294"/>
      <c r="D202" s="295"/>
    </row>
    <row r="203" spans="2:4" ht="13">
      <c r="B203" s="294"/>
      <c r="C203" s="294"/>
      <c r="D203" s="295"/>
    </row>
    <row r="204" spans="2:4" ht="13">
      <c r="B204" s="294"/>
      <c r="C204" s="294"/>
      <c r="D204" s="295"/>
    </row>
    <row r="205" spans="2:4" ht="13">
      <c r="B205" s="294"/>
      <c r="C205" s="294"/>
      <c r="D205" s="295"/>
    </row>
    <row r="206" spans="2:4" ht="13">
      <c r="B206" s="294"/>
      <c r="C206" s="294"/>
      <c r="D206" s="295"/>
    </row>
    <row r="207" spans="2:4" ht="13">
      <c r="B207" s="294"/>
      <c r="C207" s="294"/>
      <c r="D207" s="295"/>
    </row>
    <row r="208" spans="2:4" ht="13">
      <c r="B208" s="294"/>
      <c r="C208" s="294"/>
      <c r="D208" s="295"/>
    </row>
    <row r="209" spans="2:4" ht="13">
      <c r="B209" s="294"/>
      <c r="C209" s="294"/>
      <c r="D209" s="295"/>
    </row>
    <row r="210" spans="2:4" ht="13">
      <c r="B210" s="294"/>
      <c r="C210" s="294"/>
      <c r="D210" s="295"/>
    </row>
    <row r="211" spans="2:4" ht="13">
      <c r="B211" s="294"/>
      <c r="C211" s="294"/>
      <c r="D211" s="295"/>
    </row>
    <row r="212" spans="2:4" ht="13">
      <c r="B212" s="294"/>
      <c r="C212" s="294"/>
      <c r="D212" s="295"/>
    </row>
    <row r="213" spans="2:4" ht="13">
      <c r="B213" s="294"/>
      <c r="C213" s="294"/>
      <c r="D213" s="295"/>
    </row>
    <row r="214" spans="2:4" ht="13">
      <c r="B214" s="294"/>
      <c r="C214" s="294"/>
      <c r="D214" s="295"/>
    </row>
    <row r="215" spans="2:4" ht="13">
      <c r="B215" s="294"/>
      <c r="C215" s="294"/>
      <c r="D215" s="295"/>
    </row>
    <row r="216" spans="2:4" ht="13">
      <c r="B216" s="294"/>
      <c r="C216" s="294"/>
      <c r="D216" s="295"/>
    </row>
    <row r="217" spans="2:4" ht="13">
      <c r="B217" s="294"/>
      <c r="C217" s="294"/>
      <c r="D217" s="295"/>
    </row>
    <row r="218" spans="2:4" ht="13">
      <c r="B218" s="294"/>
      <c r="C218" s="294"/>
      <c r="D218" s="295"/>
    </row>
    <row r="219" spans="2:4" ht="13">
      <c r="B219" s="294"/>
      <c r="C219" s="294"/>
      <c r="D219" s="295"/>
    </row>
    <row r="220" spans="2:4" ht="13">
      <c r="B220" s="294"/>
      <c r="C220" s="294"/>
      <c r="D220" s="295"/>
    </row>
    <row r="221" spans="2:4" ht="13">
      <c r="B221" s="294"/>
      <c r="C221" s="294"/>
      <c r="D221" s="295"/>
    </row>
    <row r="222" spans="2:4" ht="13">
      <c r="B222" s="294"/>
      <c r="C222" s="294"/>
      <c r="D222" s="295"/>
    </row>
    <row r="223" spans="2:4" ht="13">
      <c r="B223" s="294"/>
      <c r="C223" s="294"/>
      <c r="D223" s="295"/>
    </row>
    <row r="224" spans="2:4" ht="13">
      <c r="B224" s="294"/>
      <c r="C224" s="294"/>
      <c r="D224" s="295"/>
    </row>
    <row r="225" spans="2:4" ht="13">
      <c r="B225" s="294"/>
      <c r="C225" s="294"/>
      <c r="D225" s="295"/>
    </row>
    <row r="226" spans="2:4" ht="13">
      <c r="B226" s="294"/>
      <c r="C226" s="294"/>
      <c r="D226" s="295"/>
    </row>
    <row r="227" spans="2:4" ht="13">
      <c r="B227" s="294"/>
      <c r="C227" s="294"/>
      <c r="D227" s="295"/>
    </row>
    <row r="228" spans="2:4" ht="13">
      <c r="B228" s="294"/>
      <c r="C228" s="294"/>
      <c r="D228" s="295"/>
    </row>
    <row r="229" spans="2:4" ht="13">
      <c r="B229" s="294"/>
      <c r="C229" s="294"/>
      <c r="D229" s="295"/>
    </row>
    <row r="230" spans="2:4" ht="13">
      <c r="B230" s="294"/>
      <c r="C230" s="294"/>
      <c r="D230" s="295"/>
    </row>
    <row r="231" spans="2:4" ht="13">
      <c r="B231" s="294"/>
      <c r="C231" s="294"/>
      <c r="D231" s="295"/>
    </row>
    <row r="232" spans="2:4" ht="13">
      <c r="B232" s="294"/>
      <c r="C232" s="294"/>
      <c r="D232" s="295"/>
    </row>
    <row r="233" spans="2:4" ht="13">
      <c r="B233" s="294"/>
      <c r="C233" s="294"/>
      <c r="D233" s="295"/>
    </row>
    <row r="234" spans="2:4" ht="13">
      <c r="B234" s="294"/>
      <c r="C234" s="294"/>
      <c r="D234" s="295"/>
    </row>
    <row r="235" spans="2:4" ht="13">
      <c r="B235" s="294"/>
      <c r="C235" s="294"/>
      <c r="D235" s="295"/>
    </row>
    <row r="236" spans="2:4" ht="13">
      <c r="B236" s="294"/>
      <c r="C236" s="294"/>
      <c r="D236" s="295"/>
    </row>
    <row r="237" spans="2:4" ht="13">
      <c r="B237" s="294"/>
      <c r="C237" s="294"/>
      <c r="D237" s="295"/>
    </row>
    <row r="238" spans="2:4" ht="13">
      <c r="B238" s="294"/>
      <c r="C238" s="294"/>
      <c r="D238" s="295"/>
    </row>
    <row r="239" spans="2:4" ht="13">
      <c r="B239" s="294"/>
      <c r="C239" s="294"/>
      <c r="D239" s="295"/>
    </row>
    <row r="240" spans="2:4" ht="13">
      <c r="B240" s="294"/>
      <c r="C240" s="294"/>
      <c r="D240" s="295"/>
    </row>
    <row r="241" spans="2:4" ht="13">
      <c r="B241" s="294"/>
      <c r="C241" s="294"/>
      <c r="D241" s="295"/>
    </row>
    <row r="242" spans="2:4" ht="13">
      <c r="B242" s="294"/>
      <c r="C242" s="294"/>
      <c r="D242" s="295"/>
    </row>
    <row r="243" spans="2:4" ht="13">
      <c r="B243" s="294"/>
      <c r="C243" s="294"/>
      <c r="D243" s="295"/>
    </row>
    <row r="244" spans="2:4" ht="13">
      <c r="B244" s="294"/>
      <c r="C244" s="294"/>
      <c r="D244" s="295"/>
    </row>
    <row r="245" spans="2:4" ht="13">
      <c r="B245" s="294"/>
      <c r="C245" s="294"/>
      <c r="D245" s="295"/>
    </row>
    <row r="246" spans="2:4" ht="13">
      <c r="B246" s="294"/>
      <c r="C246" s="294"/>
      <c r="D246" s="295"/>
    </row>
    <row r="247" spans="2:4" ht="13">
      <c r="B247" s="294"/>
      <c r="C247" s="294"/>
      <c r="D247" s="295"/>
    </row>
    <row r="248" spans="2:4" ht="13">
      <c r="B248" s="294"/>
      <c r="C248" s="294"/>
      <c r="D248" s="295"/>
    </row>
    <row r="249" spans="2:4" ht="13">
      <c r="B249" s="294"/>
      <c r="C249" s="294"/>
      <c r="D249" s="295"/>
    </row>
    <row r="250" spans="2:4" ht="13">
      <c r="B250" s="294"/>
      <c r="C250" s="294"/>
      <c r="D250" s="295"/>
    </row>
    <row r="251" spans="2:4" ht="13">
      <c r="B251" s="294"/>
      <c r="C251" s="294"/>
      <c r="D251" s="295"/>
    </row>
    <row r="252" spans="2:4" ht="13">
      <c r="B252" s="294"/>
      <c r="C252" s="294"/>
      <c r="D252" s="295"/>
    </row>
    <row r="253" spans="2:4" ht="13">
      <c r="B253" s="294"/>
      <c r="C253" s="294"/>
      <c r="D253" s="295"/>
    </row>
    <row r="254" spans="2:4" ht="13">
      <c r="B254" s="294"/>
      <c r="C254" s="294"/>
      <c r="D254" s="295"/>
    </row>
    <row r="255" spans="2:4" ht="13">
      <c r="B255" s="294"/>
      <c r="C255" s="294"/>
      <c r="D255" s="295"/>
    </row>
    <row r="256" spans="2:4" ht="13">
      <c r="B256" s="294"/>
      <c r="C256" s="294"/>
      <c r="D256" s="295"/>
    </row>
    <row r="257" spans="2:4" ht="13">
      <c r="B257" s="294"/>
      <c r="C257" s="294"/>
      <c r="D257" s="295"/>
    </row>
    <row r="258" spans="2:4" ht="13">
      <c r="B258" s="294"/>
      <c r="C258" s="294"/>
      <c r="D258" s="295"/>
    </row>
    <row r="259" spans="2:4" ht="13">
      <c r="B259" s="294"/>
      <c r="C259" s="294"/>
      <c r="D259" s="295"/>
    </row>
    <row r="260" spans="2:4" ht="13">
      <c r="B260" s="294"/>
      <c r="C260" s="294"/>
      <c r="D260" s="295"/>
    </row>
    <row r="261" spans="2:4" ht="13">
      <c r="B261" s="294"/>
      <c r="C261" s="294"/>
      <c r="D261" s="295"/>
    </row>
    <row r="262" spans="2:4" ht="13">
      <c r="B262" s="294"/>
      <c r="C262" s="294"/>
      <c r="D262" s="295"/>
    </row>
    <row r="263" spans="2:4" ht="13">
      <c r="B263" s="294"/>
      <c r="C263" s="294"/>
      <c r="D263" s="295"/>
    </row>
    <row r="264" spans="2:4" ht="13">
      <c r="B264" s="294"/>
      <c r="C264" s="294"/>
      <c r="D264" s="295"/>
    </row>
    <row r="265" spans="2:4" ht="13">
      <c r="B265" s="294"/>
      <c r="C265" s="294"/>
      <c r="D265" s="295"/>
    </row>
    <row r="266" spans="2:4" ht="13">
      <c r="B266" s="294"/>
      <c r="C266" s="294"/>
      <c r="D266" s="295"/>
    </row>
    <row r="267" spans="2:4" ht="13">
      <c r="B267" s="294"/>
      <c r="C267" s="294"/>
      <c r="D267" s="295"/>
    </row>
    <row r="268" spans="2:4" ht="13">
      <c r="B268" s="294"/>
      <c r="C268" s="294"/>
      <c r="D268" s="295"/>
    </row>
    <row r="269" spans="2:4" ht="13">
      <c r="B269" s="294"/>
      <c r="C269" s="294"/>
      <c r="D269" s="295"/>
    </row>
    <row r="270" spans="2:4" ht="13">
      <c r="B270" s="294"/>
      <c r="C270" s="294"/>
      <c r="D270" s="295"/>
    </row>
    <row r="271" spans="2:4" ht="13">
      <c r="B271" s="294"/>
      <c r="C271" s="294"/>
      <c r="D271" s="295"/>
    </row>
    <row r="272" spans="2:4" ht="13">
      <c r="B272" s="294"/>
      <c r="C272" s="294"/>
      <c r="D272" s="295"/>
    </row>
    <row r="273" spans="2:4" ht="13">
      <c r="B273" s="294"/>
      <c r="C273" s="294"/>
      <c r="D273" s="295"/>
    </row>
    <row r="274" spans="2:4" ht="13">
      <c r="B274" s="294"/>
      <c r="C274" s="294"/>
      <c r="D274" s="295"/>
    </row>
    <row r="275" spans="2:4" ht="13">
      <c r="B275" s="294"/>
      <c r="C275" s="294"/>
      <c r="D275" s="295"/>
    </row>
    <row r="276" spans="2:4" ht="13">
      <c r="B276" s="294"/>
      <c r="C276" s="294"/>
      <c r="D276" s="295"/>
    </row>
    <row r="277" spans="2:4" ht="13">
      <c r="B277" s="294"/>
      <c r="C277" s="294"/>
      <c r="D277" s="295"/>
    </row>
    <row r="278" spans="2:4" ht="13">
      <c r="B278" s="294"/>
      <c r="C278" s="294"/>
      <c r="D278" s="295"/>
    </row>
    <row r="279" spans="2:4" ht="13">
      <c r="B279" s="294"/>
      <c r="C279" s="294"/>
      <c r="D279" s="295"/>
    </row>
    <row r="280" spans="2:4" ht="13">
      <c r="B280" s="294"/>
      <c r="C280" s="294"/>
      <c r="D280" s="295"/>
    </row>
    <row r="281" spans="2:4" ht="13">
      <c r="B281" s="294"/>
      <c r="C281" s="294"/>
      <c r="D281" s="295"/>
    </row>
    <row r="282" spans="2:4" ht="13">
      <c r="B282" s="294"/>
      <c r="C282" s="294"/>
      <c r="D282" s="295"/>
    </row>
    <row r="283" spans="2:4" ht="13">
      <c r="B283" s="294"/>
      <c r="C283" s="294"/>
      <c r="D283" s="295"/>
    </row>
    <row r="284" spans="2:4" ht="13">
      <c r="B284" s="294"/>
      <c r="C284" s="294"/>
      <c r="D284" s="295"/>
    </row>
    <row r="285" spans="2:4" ht="13">
      <c r="B285" s="294"/>
      <c r="C285" s="294"/>
      <c r="D285" s="295"/>
    </row>
    <row r="286" spans="2:4" ht="13">
      <c r="B286" s="294"/>
      <c r="C286" s="294"/>
      <c r="D286" s="295"/>
    </row>
    <row r="287" spans="2:4" ht="13">
      <c r="B287" s="294"/>
      <c r="C287" s="294"/>
      <c r="D287" s="295"/>
    </row>
    <row r="288" spans="2:4" ht="13">
      <c r="B288" s="294"/>
      <c r="C288" s="294"/>
      <c r="D288" s="295"/>
    </row>
    <row r="289" spans="2:4" ht="13">
      <c r="B289" s="294"/>
      <c r="C289" s="294"/>
      <c r="D289" s="295"/>
    </row>
    <row r="290" spans="2:4" ht="13">
      <c r="B290" s="294"/>
      <c r="C290" s="294"/>
      <c r="D290" s="295"/>
    </row>
    <row r="291" spans="2:4" ht="13">
      <c r="B291" s="294"/>
      <c r="C291" s="294"/>
      <c r="D291" s="295"/>
    </row>
    <row r="292" spans="2:4" ht="13">
      <c r="B292" s="294"/>
      <c r="C292" s="294"/>
      <c r="D292" s="295"/>
    </row>
    <row r="293" spans="2:4" ht="13">
      <c r="B293" s="294"/>
      <c r="C293" s="294"/>
      <c r="D293" s="295"/>
    </row>
    <row r="294" spans="2:4" ht="13">
      <c r="B294" s="294"/>
      <c r="C294" s="294"/>
      <c r="D294" s="295"/>
    </row>
    <row r="295" spans="2:4" ht="13">
      <c r="B295" s="294"/>
      <c r="C295" s="294"/>
      <c r="D295" s="295"/>
    </row>
    <row r="296" spans="2:4" ht="13">
      <c r="B296" s="294"/>
      <c r="C296" s="294"/>
      <c r="D296" s="295"/>
    </row>
    <row r="297" spans="2:4" ht="13">
      <c r="B297" s="294"/>
      <c r="C297" s="294"/>
      <c r="D297" s="295"/>
    </row>
    <row r="298" spans="2:4" ht="13">
      <c r="B298" s="294"/>
      <c r="C298" s="294"/>
      <c r="D298" s="295"/>
    </row>
    <row r="299" spans="2:4" ht="13">
      <c r="B299" s="294"/>
      <c r="C299" s="294"/>
      <c r="D299" s="295"/>
    </row>
    <row r="300" spans="2:4" ht="13">
      <c r="B300" s="294"/>
      <c r="C300" s="294"/>
      <c r="D300" s="295"/>
    </row>
    <row r="301" spans="2:4" ht="13">
      <c r="B301" s="294"/>
      <c r="C301" s="294"/>
      <c r="D301" s="295"/>
    </row>
    <row r="302" spans="2:4" ht="13">
      <c r="B302" s="294"/>
      <c r="C302" s="294"/>
      <c r="D302" s="295"/>
    </row>
    <row r="303" spans="2:4" ht="13">
      <c r="B303" s="294"/>
      <c r="C303" s="294"/>
      <c r="D303" s="295"/>
    </row>
    <row r="304" spans="2:4" ht="13">
      <c r="B304" s="294"/>
      <c r="C304" s="294"/>
      <c r="D304" s="295"/>
    </row>
    <row r="305" spans="2:4" ht="13">
      <c r="B305" s="294"/>
      <c r="C305" s="294"/>
      <c r="D305" s="295"/>
    </row>
    <row r="306" spans="2:4" ht="13">
      <c r="B306" s="294"/>
      <c r="C306" s="294"/>
      <c r="D306" s="295"/>
    </row>
    <row r="307" spans="2:4" ht="13">
      <c r="B307" s="294"/>
      <c r="C307" s="294"/>
      <c r="D307" s="295"/>
    </row>
    <row r="308" spans="2:4" ht="13">
      <c r="B308" s="294"/>
      <c r="C308" s="294"/>
      <c r="D308" s="295"/>
    </row>
    <row r="309" spans="2:4" ht="13">
      <c r="B309" s="294"/>
      <c r="C309" s="294"/>
      <c r="D309" s="295"/>
    </row>
    <row r="310" spans="2:4" ht="13">
      <c r="B310" s="294"/>
      <c r="C310" s="294"/>
      <c r="D310" s="295"/>
    </row>
    <row r="311" spans="2:4" ht="13">
      <c r="B311" s="294"/>
      <c r="C311" s="294"/>
      <c r="D311" s="295"/>
    </row>
    <row r="312" spans="2:4" ht="13">
      <c r="B312" s="294"/>
      <c r="C312" s="294"/>
      <c r="D312" s="295"/>
    </row>
    <row r="313" spans="2:4" ht="13">
      <c r="B313" s="294"/>
      <c r="C313" s="294"/>
      <c r="D313" s="295"/>
    </row>
    <row r="314" spans="2:4" ht="13">
      <c r="B314" s="294"/>
      <c r="C314" s="294"/>
      <c r="D314" s="295"/>
    </row>
    <row r="315" spans="2:4" ht="13">
      <c r="B315" s="294"/>
      <c r="C315" s="294"/>
      <c r="D315" s="295"/>
    </row>
    <row r="316" spans="2:4" ht="13">
      <c r="B316" s="294"/>
      <c r="C316" s="294"/>
      <c r="D316" s="295"/>
    </row>
    <row r="317" spans="2:4" ht="13">
      <c r="B317" s="294"/>
      <c r="C317" s="294"/>
      <c r="D317" s="295"/>
    </row>
    <row r="318" spans="2:4" ht="13">
      <c r="B318" s="294"/>
      <c r="C318" s="294"/>
      <c r="D318" s="295"/>
    </row>
    <row r="319" spans="2:4" ht="13">
      <c r="B319" s="294"/>
      <c r="C319" s="294"/>
      <c r="D319" s="295"/>
    </row>
    <row r="320" spans="2:4" ht="13">
      <c r="B320" s="294"/>
      <c r="C320" s="294"/>
      <c r="D320" s="295"/>
    </row>
    <row r="321" spans="2:4" ht="13">
      <c r="B321" s="294"/>
      <c r="C321" s="294"/>
      <c r="D321" s="295"/>
    </row>
    <row r="322" spans="2:4" ht="13">
      <c r="B322" s="294"/>
      <c r="C322" s="294"/>
      <c r="D322" s="295"/>
    </row>
    <row r="323" spans="2:4" ht="13">
      <c r="B323" s="294"/>
      <c r="C323" s="294"/>
      <c r="D323" s="295"/>
    </row>
    <row r="324" spans="2:4" ht="13">
      <c r="B324" s="294"/>
      <c r="C324" s="294"/>
      <c r="D324" s="295"/>
    </row>
    <row r="325" spans="2:4" ht="13">
      <c r="B325" s="294"/>
      <c r="C325" s="294"/>
      <c r="D325" s="295"/>
    </row>
    <row r="326" spans="2:4" ht="13">
      <c r="B326" s="294"/>
      <c r="C326" s="294"/>
      <c r="D326" s="295"/>
    </row>
    <row r="327" spans="2:4" ht="13">
      <c r="B327" s="294"/>
      <c r="C327" s="294"/>
      <c r="D327" s="295"/>
    </row>
    <row r="328" spans="2:4" ht="13">
      <c r="B328" s="294"/>
      <c r="C328" s="294"/>
      <c r="D328" s="295"/>
    </row>
    <row r="329" spans="2:4" ht="13">
      <c r="B329" s="294"/>
      <c r="C329" s="294"/>
      <c r="D329" s="295"/>
    </row>
    <row r="330" spans="2:4" ht="13">
      <c r="B330" s="294"/>
      <c r="C330" s="294"/>
      <c r="D330" s="295"/>
    </row>
    <row r="331" spans="2:4" ht="13">
      <c r="B331" s="294"/>
      <c r="C331" s="294"/>
      <c r="D331" s="295"/>
    </row>
    <row r="332" spans="2:4" ht="13">
      <c r="B332" s="294"/>
      <c r="C332" s="294"/>
      <c r="D332" s="295"/>
    </row>
    <row r="333" spans="2:4" ht="13">
      <c r="B333" s="294"/>
      <c r="C333" s="294"/>
      <c r="D333" s="295"/>
    </row>
    <row r="334" spans="2:4" ht="13">
      <c r="B334" s="294"/>
      <c r="C334" s="294"/>
      <c r="D334" s="295"/>
    </row>
    <row r="335" spans="2:4" ht="13">
      <c r="B335" s="294"/>
      <c r="C335" s="294"/>
      <c r="D335" s="295"/>
    </row>
    <row r="336" spans="2:4" ht="13">
      <c r="B336" s="294"/>
      <c r="C336" s="294"/>
      <c r="D336" s="295"/>
    </row>
    <row r="337" spans="2:4" ht="13">
      <c r="B337" s="294"/>
      <c r="C337" s="294"/>
      <c r="D337" s="295"/>
    </row>
    <row r="338" spans="2:4" ht="13">
      <c r="B338" s="294"/>
      <c r="C338" s="294"/>
      <c r="D338" s="295"/>
    </row>
    <row r="339" spans="2:4" ht="13">
      <c r="B339" s="294"/>
      <c r="C339" s="294"/>
      <c r="D339" s="295"/>
    </row>
    <row r="340" spans="2:4" ht="13">
      <c r="B340" s="294"/>
      <c r="C340" s="294"/>
      <c r="D340" s="295"/>
    </row>
    <row r="341" spans="2:4" ht="13">
      <c r="B341" s="294"/>
      <c r="C341" s="294"/>
      <c r="D341" s="295"/>
    </row>
    <row r="342" spans="2:4" ht="13">
      <c r="B342" s="294"/>
      <c r="C342" s="294"/>
      <c r="D342" s="295"/>
    </row>
    <row r="343" spans="2:4" ht="13">
      <c r="B343" s="294"/>
      <c r="C343" s="294"/>
      <c r="D343" s="295"/>
    </row>
    <row r="344" spans="2:4" ht="13">
      <c r="B344" s="294"/>
      <c r="C344" s="294"/>
      <c r="D344" s="295"/>
    </row>
    <row r="345" spans="2:4" ht="13">
      <c r="B345" s="294"/>
      <c r="C345" s="294"/>
      <c r="D345" s="295"/>
    </row>
    <row r="346" spans="2:4" ht="13">
      <c r="B346" s="294"/>
      <c r="C346" s="294"/>
      <c r="D346" s="295"/>
    </row>
    <row r="347" spans="2:4" ht="13">
      <c r="B347" s="294"/>
      <c r="C347" s="294"/>
      <c r="D347" s="295"/>
    </row>
    <row r="348" spans="2:4" ht="13">
      <c r="B348" s="294"/>
      <c r="C348" s="294"/>
      <c r="D348" s="295"/>
    </row>
    <row r="349" spans="2:4" ht="13">
      <c r="B349" s="294"/>
      <c r="C349" s="294"/>
      <c r="D349" s="295"/>
    </row>
    <row r="350" spans="2:4" ht="13">
      <c r="B350" s="294"/>
      <c r="C350" s="294"/>
      <c r="D350" s="295"/>
    </row>
    <row r="351" spans="2:4" ht="13">
      <c r="B351" s="294"/>
      <c r="C351" s="294"/>
      <c r="D351" s="295"/>
    </row>
    <row r="352" spans="2:4" ht="13">
      <c r="B352" s="294"/>
      <c r="C352" s="294"/>
      <c r="D352" s="295"/>
    </row>
    <row r="353" spans="2:4" ht="13">
      <c r="B353" s="294"/>
      <c r="C353" s="294"/>
      <c r="D353" s="295"/>
    </row>
    <row r="354" spans="2:4" ht="13">
      <c r="B354" s="294"/>
      <c r="C354" s="294"/>
      <c r="D354" s="295"/>
    </row>
    <row r="355" spans="2:4" ht="13">
      <c r="B355" s="294"/>
      <c r="C355" s="294"/>
      <c r="D355" s="295"/>
    </row>
    <row r="356" spans="2:4" ht="13">
      <c r="B356" s="294"/>
      <c r="C356" s="294"/>
      <c r="D356" s="295"/>
    </row>
    <row r="357" spans="2:4" ht="13">
      <c r="B357" s="294"/>
      <c r="C357" s="294"/>
      <c r="D357" s="295"/>
    </row>
    <row r="358" spans="2:4" ht="13">
      <c r="B358" s="294"/>
      <c r="C358" s="294"/>
      <c r="D358" s="295"/>
    </row>
    <row r="359" spans="2:4" ht="13">
      <c r="B359" s="294"/>
      <c r="C359" s="294"/>
      <c r="D359" s="295"/>
    </row>
    <row r="360" spans="2:4" ht="13">
      <c r="B360" s="294"/>
      <c r="C360" s="294"/>
      <c r="D360" s="295"/>
    </row>
    <row r="361" spans="2:4" ht="13">
      <c r="B361" s="294"/>
      <c r="C361" s="294"/>
      <c r="D361" s="295"/>
    </row>
    <row r="362" spans="2:4" ht="13">
      <c r="B362" s="294"/>
      <c r="C362" s="294"/>
      <c r="D362" s="295"/>
    </row>
    <row r="363" spans="2:4" ht="13">
      <c r="B363" s="294"/>
      <c r="C363" s="294"/>
      <c r="D363" s="295"/>
    </row>
    <row r="364" spans="2:4" ht="13">
      <c r="B364" s="294"/>
      <c r="C364" s="294"/>
      <c r="D364" s="295"/>
    </row>
    <row r="365" spans="2:4" ht="13">
      <c r="B365" s="294"/>
      <c r="C365" s="294"/>
      <c r="D365" s="295"/>
    </row>
    <row r="366" spans="2:4" ht="13">
      <c r="B366" s="294"/>
      <c r="C366" s="294"/>
      <c r="D366" s="295"/>
    </row>
    <row r="367" spans="2:4" ht="13">
      <c r="B367" s="294"/>
      <c r="C367" s="294"/>
      <c r="D367" s="295"/>
    </row>
    <row r="368" spans="2:4" ht="13">
      <c r="B368" s="294"/>
      <c r="C368" s="294"/>
      <c r="D368" s="295"/>
    </row>
    <row r="369" spans="2:4" ht="13">
      <c r="B369" s="294"/>
      <c r="C369" s="294"/>
      <c r="D369" s="295"/>
    </row>
    <row r="370" spans="2:4" ht="13">
      <c r="B370" s="294"/>
      <c r="C370" s="294"/>
      <c r="D370" s="295"/>
    </row>
    <row r="371" spans="2:4" ht="13">
      <c r="B371" s="294"/>
      <c r="C371" s="294"/>
      <c r="D371" s="295"/>
    </row>
    <row r="372" spans="2:4" ht="13">
      <c r="B372" s="294"/>
      <c r="C372" s="294"/>
      <c r="D372" s="295"/>
    </row>
    <row r="373" spans="2:4" ht="13">
      <c r="B373" s="294"/>
      <c r="C373" s="294"/>
      <c r="D373" s="295"/>
    </row>
    <row r="374" spans="2:4" ht="13">
      <c r="B374" s="294"/>
      <c r="C374" s="294"/>
      <c r="D374" s="295"/>
    </row>
    <row r="375" spans="2:4" ht="13">
      <c r="B375" s="294"/>
      <c r="C375" s="294"/>
      <c r="D375" s="295"/>
    </row>
    <row r="376" spans="2:4" ht="13">
      <c r="B376" s="294"/>
      <c r="C376" s="294"/>
      <c r="D376" s="295"/>
    </row>
    <row r="377" spans="2:4" ht="13">
      <c r="B377" s="294"/>
      <c r="C377" s="294"/>
      <c r="D377" s="295"/>
    </row>
    <row r="378" spans="2:4" ht="13">
      <c r="B378" s="294"/>
      <c r="C378" s="294"/>
      <c r="D378" s="295"/>
    </row>
    <row r="379" spans="2:4" ht="13">
      <c r="B379" s="294"/>
      <c r="C379" s="294"/>
      <c r="D379" s="295"/>
    </row>
    <row r="380" spans="2:4" ht="13">
      <c r="B380" s="294"/>
      <c r="C380" s="294"/>
      <c r="D380" s="295"/>
    </row>
    <row r="381" spans="2:4" ht="13">
      <c r="B381" s="294"/>
      <c r="C381" s="294"/>
      <c r="D381" s="295"/>
    </row>
    <row r="382" spans="2:4" ht="13">
      <c r="B382" s="294"/>
      <c r="C382" s="294"/>
      <c r="D382" s="295"/>
    </row>
    <row r="383" spans="2:4" ht="13">
      <c r="B383" s="294"/>
      <c r="C383" s="294"/>
      <c r="D383" s="295"/>
    </row>
    <row r="384" spans="2:4" ht="13">
      <c r="B384" s="294"/>
      <c r="C384" s="294"/>
      <c r="D384" s="295"/>
    </row>
    <row r="385" spans="2:4" ht="13">
      <c r="B385" s="294"/>
      <c r="C385" s="294"/>
      <c r="D385" s="295"/>
    </row>
    <row r="386" spans="2:4" ht="13">
      <c r="B386" s="294"/>
      <c r="C386" s="294"/>
      <c r="D386" s="295"/>
    </row>
    <row r="387" spans="2:4" ht="13">
      <c r="B387" s="294"/>
      <c r="C387" s="294"/>
      <c r="D387" s="295"/>
    </row>
    <row r="388" spans="2:4" ht="13">
      <c r="B388" s="294"/>
      <c r="C388" s="294"/>
      <c r="D388" s="295"/>
    </row>
    <row r="389" spans="2:4" ht="13">
      <c r="B389" s="294"/>
      <c r="C389" s="294"/>
      <c r="D389" s="295"/>
    </row>
    <row r="390" spans="2:4" ht="13">
      <c r="B390" s="294"/>
      <c r="C390" s="294"/>
      <c r="D390" s="295"/>
    </row>
    <row r="391" spans="2:4" ht="13">
      <c r="B391" s="294"/>
      <c r="C391" s="294"/>
      <c r="D391" s="295"/>
    </row>
    <row r="392" spans="2:4" ht="13">
      <c r="B392" s="294"/>
      <c r="C392" s="294"/>
      <c r="D392" s="295"/>
    </row>
    <row r="393" spans="2:4" ht="13">
      <c r="B393" s="294"/>
      <c r="C393" s="294"/>
      <c r="D393" s="295"/>
    </row>
    <row r="394" spans="2:4" ht="13">
      <c r="B394" s="294"/>
      <c r="C394" s="294"/>
      <c r="D394" s="295"/>
    </row>
    <row r="395" spans="2:4" ht="13">
      <c r="B395" s="294"/>
      <c r="C395" s="294"/>
      <c r="D395" s="295"/>
    </row>
    <row r="396" spans="2:4" ht="13">
      <c r="B396" s="294"/>
      <c r="C396" s="294"/>
      <c r="D396" s="295"/>
    </row>
    <row r="397" spans="2:4" ht="13">
      <c r="B397" s="294"/>
      <c r="C397" s="294"/>
      <c r="D397" s="295"/>
    </row>
    <row r="398" spans="2:4" ht="13">
      <c r="B398" s="294"/>
      <c r="C398" s="294"/>
      <c r="D398" s="295"/>
    </row>
    <row r="399" spans="2:4" ht="13">
      <c r="B399" s="294"/>
      <c r="C399" s="294"/>
      <c r="D399" s="295"/>
    </row>
    <row r="400" spans="2:4" ht="13">
      <c r="B400" s="294"/>
      <c r="C400" s="294"/>
      <c r="D400" s="295"/>
    </row>
    <row r="401" spans="2:4" ht="13">
      <c r="B401" s="294"/>
      <c r="C401" s="294"/>
      <c r="D401" s="295"/>
    </row>
    <row r="402" spans="2:4" ht="13">
      <c r="B402" s="294"/>
      <c r="C402" s="294"/>
      <c r="D402" s="295"/>
    </row>
    <row r="403" spans="2:4" ht="13">
      <c r="B403" s="294"/>
      <c r="C403" s="294"/>
      <c r="D403" s="295"/>
    </row>
    <row r="404" spans="2:4" ht="13">
      <c r="B404" s="294"/>
      <c r="C404" s="294"/>
      <c r="D404" s="295"/>
    </row>
    <row r="405" spans="2:4" ht="13">
      <c r="B405" s="294"/>
      <c r="C405" s="294"/>
      <c r="D405" s="295"/>
    </row>
    <row r="406" spans="2:4" ht="13">
      <c r="B406" s="294"/>
      <c r="C406" s="294"/>
      <c r="D406" s="295"/>
    </row>
    <row r="407" spans="2:4" ht="13">
      <c r="B407" s="294"/>
      <c r="C407" s="294"/>
      <c r="D407" s="295"/>
    </row>
    <row r="408" spans="2:4" ht="13">
      <c r="B408" s="294"/>
      <c r="C408" s="294"/>
      <c r="D408" s="295"/>
    </row>
    <row r="409" spans="2:4" ht="13">
      <c r="B409" s="294"/>
      <c r="C409" s="294"/>
      <c r="D409" s="295"/>
    </row>
    <row r="410" spans="2:4" ht="13">
      <c r="B410" s="294"/>
      <c r="C410" s="294"/>
      <c r="D410" s="295"/>
    </row>
    <row r="411" spans="2:4" ht="13">
      <c r="B411" s="294"/>
      <c r="C411" s="294"/>
      <c r="D411" s="295"/>
    </row>
    <row r="412" spans="2:4" ht="13">
      <c r="B412" s="294"/>
      <c r="C412" s="294"/>
      <c r="D412" s="295"/>
    </row>
    <row r="413" spans="2:4" ht="13">
      <c r="B413" s="294"/>
      <c r="C413" s="294"/>
      <c r="D413" s="295"/>
    </row>
    <row r="414" spans="2:4" ht="13">
      <c r="B414" s="294"/>
      <c r="C414" s="294"/>
      <c r="D414" s="295"/>
    </row>
    <row r="415" spans="2:4" ht="13">
      <c r="B415" s="294"/>
      <c r="C415" s="294"/>
      <c r="D415" s="295"/>
    </row>
    <row r="416" spans="2:4" ht="13">
      <c r="B416" s="294"/>
      <c r="C416" s="294"/>
      <c r="D416" s="295"/>
    </row>
    <row r="417" spans="2:4" ht="13">
      <c r="B417" s="294"/>
      <c r="C417" s="294"/>
      <c r="D417" s="295"/>
    </row>
    <row r="418" spans="2:4" ht="13">
      <c r="B418" s="294"/>
      <c r="C418" s="294"/>
      <c r="D418" s="295"/>
    </row>
    <row r="419" spans="2:4" ht="13">
      <c r="B419" s="294"/>
      <c r="C419" s="294"/>
      <c r="D419" s="295"/>
    </row>
    <row r="420" spans="2:4" ht="13">
      <c r="B420" s="294"/>
      <c r="C420" s="294"/>
      <c r="D420" s="295"/>
    </row>
    <row r="421" spans="2:4" ht="13">
      <c r="B421" s="294"/>
      <c r="C421" s="294"/>
      <c r="D421" s="295"/>
    </row>
    <row r="422" spans="2:4" ht="13">
      <c r="B422" s="294"/>
      <c r="C422" s="294"/>
      <c r="D422" s="295"/>
    </row>
    <row r="423" spans="2:4" ht="13">
      <c r="B423" s="294"/>
      <c r="C423" s="294"/>
      <c r="D423" s="295"/>
    </row>
    <row r="424" spans="2:4" ht="13">
      <c r="B424" s="294"/>
      <c r="C424" s="294"/>
      <c r="D424" s="295"/>
    </row>
    <row r="425" spans="2:4" ht="13">
      <c r="B425" s="294"/>
      <c r="C425" s="294"/>
      <c r="D425" s="295"/>
    </row>
    <row r="426" spans="2:4" ht="13">
      <c r="B426" s="294"/>
      <c r="C426" s="294"/>
      <c r="D426" s="295"/>
    </row>
    <row r="427" spans="2:4" ht="13">
      <c r="B427" s="294"/>
      <c r="C427" s="294"/>
      <c r="D427" s="295"/>
    </row>
    <row r="428" spans="2:4" ht="13">
      <c r="B428" s="294"/>
      <c r="C428" s="294"/>
      <c r="D428" s="295"/>
    </row>
    <row r="429" spans="2:4" ht="13">
      <c r="B429" s="294"/>
      <c r="C429" s="294"/>
      <c r="D429" s="295"/>
    </row>
    <row r="430" spans="2:4" ht="13">
      <c r="B430" s="294"/>
      <c r="C430" s="294"/>
      <c r="D430" s="295"/>
    </row>
    <row r="431" spans="2:4" ht="13">
      <c r="B431" s="294"/>
      <c r="C431" s="294"/>
      <c r="D431" s="295"/>
    </row>
    <row r="432" spans="2:4" ht="13">
      <c r="B432" s="294"/>
      <c r="C432" s="294"/>
      <c r="D432" s="295"/>
    </row>
    <row r="433" spans="2:4" ht="13">
      <c r="B433" s="294"/>
      <c r="C433" s="294"/>
      <c r="D433" s="295"/>
    </row>
    <row r="434" spans="2:4" ht="13">
      <c r="B434" s="294"/>
      <c r="C434" s="294"/>
      <c r="D434" s="295"/>
    </row>
    <row r="435" spans="2:4" ht="13">
      <c r="B435" s="294"/>
      <c r="C435" s="294"/>
      <c r="D435" s="295"/>
    </row>
    <row r="436" spans="2:4" ht="13">
      <c r="B436" s="294"/>
      <c r="C436" s="294"/>
      <c r="D436" s="295"/>
    </row>
    <row r="437" spans="2:4" ht="13">
      <c r="B437" s="294"/>
      <c r="C437" s="294"/>
      <c r="D437" s="295"/>
    </row>
    <row r="438" spans="2:4" ht="13">
      <c r="B438" s="294"/>
      <c r="C438" s="294"/>
      <c r="D438" s="295"/>
    </row>
    <row r="439" spans="2:4" ht="13">
      <c r="B439" s="294"/>
      <c r="C439" s="294"/>
      <c r="D439" s="295"/>
    </row>
    <row r="440" spans="2:4" ht="13">
      <c r="B440" s="294"/>
      <c r="C440" s="294"/>
      <c r="D440" s="295"/>
    </row>
    <row r="441" spans="2:4" ht="13">
      <c r="B441" s="294"/>
      <c r="C441" s="294"/>
      <c r="D441" s="295"/>
    </row>
    <row r="442" spans="2:4" ht="13">
      <c r="B442" s="294"/>
      <c r="C442" s="294"/>
      <c r="D442" s="295"/>
    </row>
    <row r="443" spans="2:4" ht="13">
      <c r="B443" s="294"/>
      <c r="C443" s="294"/>
      <c r="D443" s="295"/>
    </row>
    <row r="444" spans="2:4" ht="13">
      <c r="B444" s="294"/>
      <c r="C444" s="294"/>
      <c r="D444" s="295"/>
    </row>
    <row r="445" spans="2:4" ht="13">
      <c r="B445" s="294"/>
      <c r="C445" s="294"/>
      <c r="D445" s="295"/>
    </row>
    <row r="446" spans="2:4" ht="13">
      <c r="B446" s="294"/>
      <c r="C446" s="294"/>
      <c r="D446" s="295"/>
    </row>
    <row r="447" spans="2:4" ht="13">
      <c r="B447" s="294"/>
      <c r="C447" s="294"/>
      <c r="D447" s="295"/>
    </row>
    <row r="448" spans="2:4" ht="13">
      <c r="B448" s="294"/>
      <c r="C448" s="294"/>
      <c r="D448" s="295"/>
    </row>
    <row r="449" spans="2:4" ht="13">
      <c r="B449" s="294"/>
      <c r="C449" s="294"/>
      <c r="D449" s="295"/>
    </row>
    <row r="450" spans="2:4" ht="13">
      <c r="B450" s="294"/>
      <c r="C450" s="294"/>
      <c r="D450" s="295"/>
    </row>
    <row r="451" spans="2:4" ht="13">
      <c r="B451" s="294"/>
      <c r="C451" s="294"/>
      <c r="D451" s="295"/>
    </row>
    <row r="452" spans="2:4" ht="13">
      <c r="B452" s="294"/>
      <c r="C452" s="294"/>
      <c r="D452" s="295"/>
    </row>
    <row r="453" spans="2:4" ht="13">
      <c r="B453" s="294"/>
      <c r="C453" s="294"/>
      <c r="D453" s="295"/>
    </row>
    <row r="454" spans="2:4" ht="13">
      <c r="B454" s="294"/>
      <c r="C454" s="294"/>
      <c r="D454" s="295"/>
    </row>
    <row r="455" spans="2:4" ht="13">
      <c r="B455" s="294"/>
      <c r="C455" s="294"/>
      <c r="D455" s="295"/>
    </row>
    <row r="456" spans="2:4" ht="13">
      <c r="B456" s="294"/>
      <c r="C456" s="294"/>
      <c r="D456" s="295"/>
    </row>
    <row r="457" spans="2:4" ht="13">
      <c r="B457" s="294"/>
      <c r="C457" s="294"/>
      <c r="D457" s="295"/>
    </row>
    <row r="458" spans="2:4" ht="13">
      <c r="B458" s="294"/>
      <c r="C458" s="294"/>
      <c r="D458" s="295"/>
    </row>
    <row r="459" spans="2:4" ht="13">
      <c r="B459" s="294"/>
      <c r="C459" s="294"/>
      <c r="D459" s="295"/>
    </row>
    <row r="460" spans="2:4" ht="13">
      <c r="B460" s="294"/>
      <c r="C460" s="294"/>
      <c r="D460" s="295"/>
    </row>
    <row r="461" spans="2:4" ht="13">
      <c r="B461" s="294"/>
      <c r="C461" s="294"/>
      <c r="D461" s="295"/>
    </row>
    <row r="462" spans="2:4" ht="13">
      <c r="B462" s="294"/>
      <c r="C462" s="294"/>
      <c r="D462" s="295"/>
    </row>
    <row r="463" spans="2:4" ht="13">
      <c r="B463" s="294"/>
      <c r="C463" s="294"/>
      <c r="D463" s="295"/>
    </row>
    <row r="464" spans="2:4" ht="13">
      <c r="B464" s="294"/>
      <c r="C464" s="294"/>
      <c r="D464" s="295"/>
    </row>
    <row r="465" spans="2:4" ht="13">
      <c r="B465" s="294"/>
      <c r="C465" s="294"/>
      <c r="D465" s="295"/>
    </row>
    <row r="466" spans="2:4" ht="13">
      <c r="B466" s="294"/>
      <c r="C466" s="294"/>
      <c r="D466" s="295"/>
    </row>
    <row r="467" spans="2:4" ht="13">
      <c r="B467" s="294"/>
      <c r="C467" s="294"/>
      <c r="D467" s="295"/>
    </row>
    <row r="468" spans="2:4" ht="13">
      <c r="B468" s="294"/>
      <c r="C468" s="294"/>
      <c r="D468" s="295"/>
    </row>
    <row r="469" spans="2:4" ht="13">
      <c r="B469" s="294"/>
      <c r="C469" s="294"/>
      <c r="D469" s="295"/>
    </row>
    <row r="470" spans="2:4" ht="13">
      <c r="B470" s="294"/>
      <c r="C470" s="294"/>
      <c r="D470" s="295"/>
    </row>
    <row r="471" spans="2:4" ht="13">
      <c r="B471" s="294"/>
      <c r="C471" s="294"/>
      <c r="D471" s="295"/>
    </row>
    <row r="472" spans="2:4" ht="13">
      <c r="B472" s="294"/>
      <c r="C472" s="294"/>
      <c r="D472" s="295"/>
    </row>
    <row r="473" spans="2:4" ht="13">
      <c r="B473" s="294"/>
      <c r="C473" s="294"/>
      <c r="D473" s="295"/>
    </row>
    <row r="474" spans="2:4" ht="13">
      <c r="B474" s="294"/>
      <c r="C474" s="294"/>
      <c r="D474" s="295"/>
    </row>
    <row r="475" spans="2:4" ht="13">
      <c r="B475" s="294"/>
      <c r="C475" s="294"/>
      <c r="D475" s="295"/>
    </row>
    <row r="476" spans="2:4" ht="13">
      <c r="B476" s="294"/>
      <c r="C476" s="294"/>
      <c r="D476" s="295"/>
    </row>
    <row r="477" spans="2:4" ht="13">
      <c r="B477" s="294"/>
      <c r="C477" s="294"/>
      <c r="D477" s="295"/>
    </row>
    <row r="478" spans="2:4" ht="13">
      <c r="B478" s="294"/>
      <c r="C478" s="294"/>
      <c r="D478" s="295"/>
    </row>
    <row r="479" spans="2:4" ht="13">
      <c r="B479" s="294"/>
      <c r="C479" s="294"/>
      <c r="D479" s="295"/>
    </row>
    <row r="480" spans="2:4" ht="13">
      <c r="B480" s="294"/>
      <c r="C480" s="294"/>
      <c r="D480" s="295"/>
    </row>
    <row r="481" spans="2:4" ht="13">
      <c r="B481" s="294"/>
      <c r="C481" s="294"/>
      <c r="D481" s="295"/>
    </row>
    <row r="482" spans="2:4" ht="13">
      <c r="B482" s="294"/>
      <c r="C482" s="294"/>
      <c r="D482" s="295"/>
    </row>
    <row r="483" spans="2:4" ht="13">
      <c r="B483" s="294"/>
      <c r="C483" s="294"/>
      <c r="D483" s="295"/>
    </row>
    <row r="484" spans="2:4" ht="13">
      <c r="B484" s="294"/>
      <c r="C484" s="294"/>
      <c r="D484" s="295"/>
    </row>
    <row r="485" spans="2:4" ht="13">
      <c r="B485" s="294"/>
      <c r="C485" s="294"/>
      <c r="D485" s="295"/>
    </row>
    <row r="486" spans="2:4" ht="13">
      <c r="B486" s="294"/>
      <c r="C486" s="294"/>
      <c r="D486" s="295"/>
    </row>
    <row r="487" spans="2:4" ht="13">
      <c r="B487" s="294"/>
      <c r="C487" s="294"/>
      <c r="D487" s="295"/>
    </row>
    <row r="488" spans="2:4" ht="13">
      <c r="B488" s="294"/>
      <c r="C488" s="294"/>
      <c r="D488" s="295"/>
    </row>
    <row r="489" spans="2:4" ht="13">
      <c r="B489" s="294"/>
      <c r="C489" s="294"/>
      <c r="D489" s="295"/>
    </row>
    <row r="490" spans="2:4" ht="13">
      <c r="B490" s="294"/>
      <c r="C490" s="294"/>
      <c r="D490" s="295"/>
    </row>
    <row r="491" spans="2:4" ht="13">
      <c r="B491" s="294"/>
      <c r="C491" s="294"/>
      <c r="D491" s="295"/>
    </row>
    <row r="492" spans="2:4" ht="13">
      <c r="B492" s="294"/>
      <c r="C492" s="294"/>
      <c r="D492" s="295"/>
    </row>
    <row r="493" spans="2:4" ht="13">
      <c r="B493" s="294"/>
      <c r="C493" s="294"/>
      <c r="D493" s="295"/>
    </row>
    <row r="494" spans="2:4" ht="13">
      <c r="B494" s="294"/>
      <c r="C494" s="294"/>
      <c r="D494" s="295"/>
    </row>
    <row r="495" spans="2:4" ht="13">
      <c r="B495" s="294"/>
      <c r="C495" s="294"/>
      <c r="D495" s="295"/>
    </row>
    <row r="496" spans="2:4" ht="13">
      <c r="B496" s="294"/>
      <c r="C496" s="294"/>
      <c r="D496" s="295"/>
    </row>
    <row r="497" spans="2:4" ht="13">
      <c r="B497" s="294"/>
      <c r="C497" s="294"/>
      <c r="D497" s="295"/>
    </row>
    <row r="498" spans="2:4" ht="13">
      <c r="B498" s="294"/>
      <c r="C498" s="294"/>
      <c r="D498" s="295"/>
    </row>
    <row r="499" spans="2:4" ht="13">
      <c r="B499" s="294"/>
      <c r="C499" s="294"/>
      <c r="D499" s="295"/>
    </row>
    <row r="500" spans="2:4" ht="13">
      <c r="B500" s="294"/>
      <c r="C500" s="294"/>
      <c r="D500" s="295"/>
    </row>
    <row r="501" spans="2:4" ht="13">
      <c r="B501" s="294"/>
      <c r="C501" s="294"/>
      <c r="D501" s="295"/>
    </row>
    <row r="502" spans="2:4" ht="13">
      <c r="B502" s="294"/>
      <c r="C502" s="294"/>
      <c r="D502" s="295"/>
    </row>
    <row r="503" spans="2:4" ht="13">
      <c r="B503" s="294"/>
      <c r="C503" s="294"/>
      <c r="D503" s="295"/>
    </row>
    <row r="504" spans="2:4" ht="13">
      <c r="B504" s="294"/>
      <c r="C504" s="294"/>
      <c r="D504" s="295"/>
    </row>
    <row r="505" spans="2:4" ht="13">
      <c r="B505" s="294"/>
      <c r="C505" s="294"/>
      <c r="D505" s="295"/>
    </row>
    <row r="506" spans="2:4" ht="13">
      <c r="B506" s="294"/>
      <c r="C506" s="294"/>
      <c r="D506" s="295"/>
    </row>
    <row r="507" spans="2:4" ht="13">
      <c r="B507" s="294"/>
      <c r="C507" s="294"/>
      <c r="D507" s="295"/>
    </row>
    <row r="508" spans="2:4" ht="13">
      <c r="B508" s="294"/>
      <c r="C508" s="294"/>
      <c r="D508" s="295"/>
    </row>
    <row r="509" spans="2:4" ht="13">
      <c r="B509" s="294"/>
      <c r="C509" s="294"/>
      <c r="D509" s="295"/>
    </row>
    <row r="510" spans="2:4" ht="13">
      <c r="B510" s="294"/>
      <c r="C510" s="294"/>
      <c r="D510" s="295"/>
    </row>
    <row r="511" spans="2:4" ht="13">
      <c r="B511" s="294"/>
      <c r="C511" s="294"/>
      <c r="D511" s="295"/>
    </row>
    <row r="512" spans="2:4" ht="13">
      <c r="B512" s="294"/>
      <c r="C512" s="294"/>
      <c r="D512" s="295"/>
    </row>
    <row r="513" spans="2:4" ht="13">
      <c r="B513" s="294"/>
      <c r="C513" s="294"/>
      <c r="D513" s="295"/>
    </row>
    <row r="514" spans="2:4" ht="13">
      <c r="B514" s="294"/>
      <c r="C514" s="294"/>
      <c r="D514" s="295"/>
    </row>
    <row r="515" spans="2:4" ht="13">
      <c r="B515" s="294"/>
      <c r="C515" s="294"/>
      <c r="D515" s="295"/>
    </row>
    <row r="516" spans="2:4" ht="13">
      <c r="B516" s="294"/>
      <c r="C516" s="294"/>
      <c r="D516" s="295"/>
    </row>
    <row r="517" spans="2:4" ht="13">
      <c r="B517" s="294"/>
      <c r="C517" s="294"/>
      <c r="D517" s="295"/>
    </row>
    <row r="518" spans="2:4" ht="13">
      <c r="B518" s="294"/>
      <c r="C518" s="294"/>
      <c r="D518" s="295"/>
    </row>
    <row r="519" spans="2:4" ht="13">
      <c r="B519" s="294"/>
      <c r="C519" s="294"/>
      <c r="D519" s="295"/>
    </row>
    <row r="520" spans="2:4" ht="13">
      <c r="B520" s="294"/>
      <c r="C520" s="294"/>
      <c r="D520" s="295"/>
    </row>
    <row r="521" spans="2:4" ht="13">
      <c r="B521" s="294"/>
      <c r="C521" s="294"/>
      <c r="D521" s="295"/>
    </row>
    <row r="522" spans="2:4" ht="13">
      <c r="B522" s="294"/>
      <c r="C522" s="294"/>
      <c r="D522" s="295"/>
    </row>
    <row r="523" spans="2:4" ht="13">
      <c r="B523" s="294"/>
      <c r="C523" s="294"/>
      <c r="D523" s="295"/>
    </row>
    <row r="524" spans="2:4" ht="13">
      <c r="B524" s="294"/>
      <c r="C524" s="294"/>
      <c r="D524" s="295"/>
    </row>
    <row r="525" spans="2:4" ht="13">
      <c r="B525" s="294"/>
      <c r="C525" s="294"/>
      <c r="D525" s="295"/>
    </row>
    <row r="526" spans="2:4" ht="13">
      <c r="B526" s="294"/>
      <c r="C526" s="294"/>
      <c r="D526" s="295"/>
    </row>
    <row r="527" spans="2:4" ht="13">
      <c r="B527" s="294"/>
      <c r="C527" s="294"/>
      <c r="D527" s="295"/>
    </row>
    <row r="528" spans="2:4" ht="13">
      <c r="B528" s="294"/>
      <c r="C528" s="294"/>
      <c r="D528" s="295"/>
    </row>
    <row r="529" spans="2:4" ht="13">
      <c r="B529" s="294"/>
      <c r="C529" s="294"/>
      <c r="D529" s="295"/>
    </row>
    <row r="530" spans="2:4" ht="13">
      <c r="B530" s="294"/>
      <c r="C530" s="294"/>
      <c r="D530" s="295"/>
    </row>
    <row r="531" spans="2:4" ht="13">
      <c r="B531" s="294"/>
      <c r="C531" s="294"/>
      <c r="D531" s="295"/>
    </row>
    <row r="532" spans="2:4" ht="13">
      <c r="B532" s="294"/>
      <c r="C532" s="294"/>
      <c r="D532" s="295"/>
    </row>
    <row r="533" spans="2:4" ht="13">
      <c r="B533" s="294"/>
      <c r="C533" s="294"/>
      <c r="D533" s="295"/>
    </row>
    <row r="534" spans="2:4" ht="13">
      <c r="B534" s="294"/>
      <c r="C534" s="294"/>
      <c r="D534" s="295"/>
    </row>
    <row r="535" spans="2:4" ht="13">
      <c r="B535" s="294"/>
      <c r="C535" s="294"/>
      <c r="D535" s="295"/>
    </row>
    <row r="536" spans="2:4" ht="13">
      <c r="B536" s="294"/>
      <c r="C536" s="294"/>
      <c r="D536" s="295"/>
    </row>
    <row r="537" spans="2:4" ht="13">
      <c r="B537" s="294"/>
      <c r="C537" s="294"/>
      <c r="D537" s="295"/>
    </row>
    <row r="538" spans="2:4" ht="13">
      <c r="B538" s="294"/>
      <c r="C538" s="294"/>
      <c r="D538" s="295"/>
    </row>
    <row r="539" spans="2:4" ht="13">
      <c r="B539" s="294"/>
      <c r="C539" s="294"/>
      <c r="D539" s="295"/>
    </row>
    <row r="540" spans="2:4" ht="13">
      <c r="B540" s="294"/>
      <c r="C540" s="294"/>
      <c r="D540" s="295"/>
    </row>
    <row r="541" spans="2:4" ht="13">
      <c r="B541" s="294"/>
      <c r="C541" s="294"/>
      <c r="D541" s="295"/>
    </row>
    <row r="542" spans="2:4" ht="13">
      <c r="B542" s="294"/>
      <c r="C542" s="294"/>
      <c r="D542" s="295"/>
    </row>
    <row r="543" spans="2:4" ht="13">
      <c r="B543" s="294"/>
      <c r="C543" s="294"/>
      <c r="D543" s="295"/>
    </row>
    <row r="544" spans="2:4" ht="13">
      <c r="B544" s="294"/>
      <c r="C544" s="294"/>
      <c r="D544" s="295"/>
    </row>
    <row r="545" spans="2:4" ht="13">
      <c r="B545" s="294"/>
      <c r="C545" s="294"/>
      <c r="D545" s="295"/>
    </row>
    <row r="546" spans="2:4" ht="13">
      <c r="B546" s="294"/>
      <c r="C546" s="294"/>
      <c r="D546" s="295"/>
    </row>
    <row r="547" spans="2:4" ht="13">
      <c r="B547" s="294"/>
      <c r="C547" s="294"/>
      <c r="D547" s="295"/>
    </row>
    <row r="548" spans="2:4" ht="13">
      <c r="B548" s="294"/>
      <c r="C548" s="294"/>
      <c r="D548" s="295"/>
    </row>
    <row r="549" spans="2:4" ht="13">
      <c r="B549" s="294"/>
      <c r="C549" s="294"/>
      <c r="D549" s="295"/>
    </row>
    <row r="550" spans="2:4" ht="13">
      <c r="B550" s="294"/>
      <c r="C550" s="294"/>
      <c r="D550" s="295"/>
    </row>
    <row r="551" spans="2:4" ht="13">
      <c r="B551" s="294"/>
      <c r="C551" s="294"/>
      <c r="D551" s="295"/>
    </row>
    <row r="552" spans="2:4" ht="13">
      <c r="B552" s="294"/>
      <c r="C552" s="294"/>
      <c r="D552" s="295"/>
    </row>
    <row r="553" spans="2:4" ht="13">
      <c r="B553" s="294"/>
      <c r="C553" s="294"/>
      <c r="D553" s="295"/>
    </row>
    <row r="554" spans="2:4" ht="13">
      <c r="B554" s="294"/>
      <c r="C554" s="294"/>
      <c r="D554" s="295"/>
    </row>
    <row r="555" spans="2:4" ht="13">
      <c r="B555" s="294"/>
      <c r="C555" s="294"/>
      <c r="D555" s="295"/>
    </row>
    <row r="556" spans="2:4" ht="13">
      <c r="B556" s="294"/>
      <c r="C556" s="294"/>
      <c r="D556" s="295"/>
    </row>
    <row r="557" spans="2:4" ht="13">
      <c r="B557" s="294"/>
      <c r="C557" s="294"/>
      <c r="D557" s="295"/>
    </row>
    <row r="558" spans="2:4" ht="13">
      <c r="B558" s="294"/>
      <c r="C558" s="294"/>
      <c r="D558" s="295"/>
    </row>
    <row r="559" spans="2:4" ht="13">
      <c r="B559" s="294"/>
      <c r="C559" s="294"/>
      <c r="D559" s="295"/>
    </row>
    <row r="560" spans="2:4" ht="13">
      <c r="B560" s="294"/>
      <c r="C560" s="294"/>
      <c r="D560" s="295"/>
    </row>
    <row r="561" spans="2:4" ht="13">
      <c r="B561" s="294"/>
      <c r="C561" s="294"/>
      <c r="D561" s="295"/>
    </row>
    <row r="562" spans="2:4" ht="13">
      <c r="B562" s="294"/>
      <c r="C562" s="294"/>
      <c r="D562" s="295"/>
    </row>
    <row r="563" spans="2:4" ht="13">
      <c r="B563" s="294"/>
      <c r="C563" s="294"/>
      <c r="D563" s="295"/>
    </row>
    <row r="564" spans="2:4" ht="13">
      <c r="B564" s="294"/>
      <c r="C564" s="294"/>
      <c r="D564" s="295"/>
    </row>
    <row r="565" spans="2:4" ht="13">
      <c r="B565" s="294"/>
      <c r="C565" s="294"/>
      <c r="D565" s="295"/>
    </row>
    <row r="566" spans="2:4" ht="13">
      <c r="B566" s="294"/>
      <c r="C566" s="294"/>
      <c r="D566" s="295"/>
    </row>
    <row r="567" spans="2:4" ht="13">
      <c r="B567" s="294"/>
      <c r="C567" s="294"/>
      <c r="D567" s="295"/>
    </row>
    <row r="568" spans="2:4" ht="13">
      <c r="B568" s="294"/>
      <c r="C568" s="294"/>
      <c r="D568" s="295"/>
    </row>
    <row r="569" spans="2:4" ht="13">
      <c r="B569" s="294"/>
      <c r="C569" s="294"/>
      <c r="D569" s="295"/>
    </row>
    <row r="570" spans="2:4" ht="13">
      <c r="B570" s="294"/>
      <c r="C570" s="294"/>
      <c r="D570" s="295"/>
    </row>
    <row r="571" spans="2:4" ht="13">
      <c r="B571" s="294"/>
      <c r="C571" s="294"/>
      <c r="D571" s="295"/>
    </row>
    <row r="572" spans="2:4" ht="13">
      <c r="B572" s="294"/>
      <c r="C572" s="294"/>
      <c r="D572" s="295"/>
    </row>
    <row r="573" spans="2:4" ht="13">
      <c r="B573" s="294"/>
      <c r="C573" s="294"/>
      <c r="D573" s="295"/>
    </row>
    <row r="574" spans="2:4" ht="13">
      <c r="B574" s="294"/>
      <c r="C574" s="294"/>
      <c r="D574" s="295"/>
    </row>
    <row r="575" spans="2:4" ht="13">
      <c r="B575" s="294"/>
      <c r="C575" s="294"/>
      <c r="D575" s="295"/>
    </row>
    <row r="576" spans="2:4" ht="13">
      <c r="B576" s="294"/>
      <c r="C576" s="294"/>
      <c r="D576" s="295"/>
    </row>
    <row r="577" spans="2:4" ht="13">
      <c r="B577" s="294"/>
      <c r="C577" s="294"/>
      <c r="D577" s="295"/>
    </row>
    <row r="578" spans="2:4" ht="13">
      <c r="B578" s="294"/>
      <c r="C578" s="294"/>
      <c r="D578" s="295"/>
    </row>
    <row r="579" spans="2:4" ht="13">
      <c r="B579" s="294"/>
      <c r="C579" s="294"/>
      <c r="D579" s="295"/>
    </row>
    <row r="580" spans="2:4" ht="13">
      <c r="B580" s="294"/>
      <c r="C580" s="294"/>
      <c r="D580" s="295"/>
    </row>
    <row r="581" spans="2:4" ht="13">
      <c r="B581" s="294"/>
      <c r="C581" s="294"/>
      <c r="D581" s="295"/>
    </row>
    <row r="582" spans="2:4" ht="13">
      <c r="B582" s="294"/>
      <c r="C582" s="294"/>
      <c r="D582" s="295"/>
    </row>
    <row r="583" spans="2:4" ht="13">
      <c r="B583" s="294"/>
      <c r="C583" s="294"/>
      <c r="D583" s="295"/>
    </row>
    <row r="584" spans="2:4" ht="13">
      <c r="B584" s="294"/>
      <c r="C584" s="294"/>
      <c r="D584" s="295"/>
    </row>
    <row r="585" spans="2:4" ht="13">
      <c r="B585" s="294"/>
      <c r="C585" s="294"/>
      <c r="D585" s="295"/>
    </row>
    <row r="586" spans="2:4" ht="13">
      <c r="B586" s="294"/>
      <c r="C586" s="294"/>
      <c r="D586" s="295"/>
    </row>
    <row r="587" spans="2:4" ht="13">
      <c r="B587" s="294"/>
      <c r="C587" s="294"/>
      <c r="D587" s="295"/>
    </row>
    <row r="588" spans="2:4" ht="13">
      <c r="B588" s="294"/>
      <c r="C588" s="294"/>
      <c r="D588" s="295"/>
    </row>
    <row r="589" spans="2:4" ht="13">
      <c r="B589" s="294"/>
      <c r="C589" s="294"/>
      <c r="D589" s="295"/>
    </row>
    <row r="590" spans="2:4" ht="13">
      <c r="B590" s="294"/>
      <c r="C590" s="294"/>
      <c r="D590" s="295"/>
    </row>
    <row r="591" spans="2:4" ht="13">
      <c r="B591" s="294"/>
      <c r="C591" s="294"/>
      <c r="D591" s="295"/>
    </row>
    <row r="592" spans="2:4" ht="13">
      <c r="B592" s="294"/>
      <c r="C592" s="294"/>
      <c r="D592" s="295"/>
    </row>
    <row r="593" spans="2:4" ht="13">
      <c r="B593" s="294"/>
      <c r="C593" s="294"/>
      <c r="D593" s="295"/>
    </row>
    <row r="594" spans="2:4" ht="13">
      <c r="B594" s="294"/>
      <c r="C594" s="294"/>
      <c r="D594" s="295"/>
    </row>
    <row r="595" spans="2:4" ht="13">
      <c r="B595" s="294"/>
      <c r="C595" s="294"/>
      <c r="D595" s="295"/>
    </row>
    <row r="596" spans="2:4" ht="13">
      <c r="B596" s="294"/>
      <c r="C596" s="294"/>
      <c r="D596" s="295"/>
    </row>
    <row r="597" spans="2:4" ht="13">
      <c r="B597" s="294"/>
      <c r="C597" s="294"/>
      <c r="D597" s="295"/>
    </row>
    <row r="598" spans="2:4" ht="13">
      <c r="B598" s="294"/>
      <c r="C598" s="294"/>
      <c r="D598" s="295"/>
    </row>
    <row r="599" spans="2:4" ht="13">
      <c r="B599" s="294"/>
      <c r="C599" s="294"/>
      <c r="D599" s="295"/>
    </row>
    <row r="600" spans="2:4" ht="13">
      <c r="B600" s="294"/>
      <c r="C600" s="294"/>
      <c r="D600" s="295"/>
    </row>
    <row r="601" spans="2:4" ht="13">
      <c r="B601" s="294"/>
      <c r="C601" s="294"/>
      <c r="D601" s="295"/>
    </row>
    <row r="602" spans="2:4" ht="13">
      <c r="B602" s="294"/>
      <c r="C602" s="294"/>
      <c r="D602" s="295"/>
    </row>
    <row r="603" spans="2:4" ht="13">
      <c r="B603" s="294"/>
      <c r="C603" s="294"/>
      <c r="D603" s="295"/>
    </row>
    <row r="604" spans="2:4" ht="13">
      <c r="B604" s="294"/>
      <c r="C604" s="294"/>
      <c r="D604" s="295"/>
    </row>
    <row r="605" spans="2:4" ht="13">
      <c r="B605" s="294"/>
      <c r="C605" s="294"/>
      <c r="D605" s="295"/>
    </row>
    <row r="606" spans="2:4" ht="13">
      <c r="B606" s="294"/>
      <c r="C606" s="294"/>
      <c r="D606" s="295"/>
    </row>
    <row r="607" spans="2:4" ht="13">
      <c r="B607" s="294"/>
      <c r="C607" s="294"/>
      <c r="D607" s="295"/>
    </row>
    <row r="608" spans="2:4" ht="13">
      <c r="B608" s="294"/>
      <c r="C608" s="294"/>
      <c r="D608" s="295"/>
    </row>
    <row r="609" spans="2:4" ht="13">
      <c r="B609" s="294"/>
      <c r="C609" s="294"/>
      <c r="D609" s="295"/>
    </row>
    <row r="610" spans="2:4" ht="13">
      <c r="B610" s="294"/>
      <c r="C610" s="294"/>
      <c r="D610" s="295"/>
    </row>
    <row r="611" spans="2:4" ht="13">
      <c r="B611" s="294"/>
      <c r="C611" s="294"/>
      <c r="D611" s="295"/>
    </row>
    <row r="612" spans="2:4" ht="13">
      <c r="B612" s="294"/>
      <c r="C612" s="294"/>
      <c r="D612" s="295"/>
    </row>
    <row r="613" spans="2:4" ht="13">
      <c r="B613" s="294"/>
      <c r="C613" s="294"/>
      <c r="D613" s="295"/>
    </row>
    <row r="614" spans="2:4" ht="13">
      <c r="B614" s="294"/>
      <c r="C614" s="294"/>
      <c r="D614" s="295"/>
    </row>
    <row r="615" spans="2:4" ht="13">
      <c r="B615" s="294"/>
      <c r="C615" s="294"/>
      <c r="D615" s="295"/>
    </row>
    <row r="616" spans="2:4" ht="13">
      <c r="B616" s="294"/>
      <c r="C616" s="294"/>
      <c r="D616" s="295"/>
    </row>
    <row r="617" spans="2:4" ht="13">
      <c r="B617" s="294"/>
      <c r="C617" s="294"/>
      <c r="D617" s="295"/>
    </row>
    <row r="618" spans="2:4" ht="13">
      <c r="B618" s="294"/>
      <c r="C618" s="294"/>
      <c r="D618" s="295"/>
    </row>
    <row r="619" spans="2:4" ht="13">
      <c r="B619" s="294"/>
      <c r="C619" s="294"/>
      <c r="D619" s="295"/>
    </row>
    <row r="620" spans="2:4" ht="13">
      <c r="B620" s="294"/>
      <c r="C620" s="294"/>
      <c r="D620" s="295"/>
    </row>
    <row r="621" spans="2:4" ht="13">
      <c r="B621" s="294"/>
      <c r="C621" s="294"/>
      <c r="D621" s="295"/>
    </row>
    <row r="622" spans="2:4" ht="13">
      <c r="B622" s="294"/>
      <c r="C622" s="294"/>
      <c r="D622" s="295"/>
    </row>
    <row r="623" spans="2:4" ht="13">
      <c r="B623" s="294"/>
      <c r="C623" s="294"/>
      <c r="D623" s="295"/>
    </row>
    <row r="624" spans="2:4" ht="13">
      <c r="B624" s="294"/>
      <c r="C624" s="294"/>
      <c r="D624" s="295"/>
    </row>
    <row r="625" spans="2:4" ht="13">
      <c r="B625" s="294"/>
      <c r="C625" s="294"/>
      <c r="D625" s="295"/>
    </row>
    <row r="626" spans="2:4" ht="13">
      <c r="B626" s="294"/>
      <c r="C626" s="294"/>
      <c r="D626" s="295"/>
    </row>
    <row r="627" spans="2:4" ht="13">
      <c r="B627" s="294"/>
      <c r="C627" s="294"/>
      <c r="D627" s="295"/>
    </row>
    <row r="628" spans="2:4" ht="13">
      <c r="B628" s="294"/>
      <c r="C628" s="294"/>
      <c r="D628" s="295"/>
    </row>
    <row r="629" spans="2:4" ht="13">
      <c r="B629" s="294"/>
      <c r="C629" s="294"/>
      <c r="D629" s="295"/>
    </row>
    <row r="630" spans="2:4" ht="13">
      <c r="B630" s="294"/>
      <c r="C630" s="294"/>
      <c r="D630" s="295"/>
    </row>
    <row r="631" spans="2:4" ht="13">
      <c r="B631" s="294"/>
      <c r="C631" s="294"/>
      <c r="D631" s="295"/>
    </row>
    <row r="632" spans="2:4" ht="13">
      <c r="B632" s="294"/>
      <c r="C632" s="294"/>
      <c r="D632" s="295"/>
    </row>
    <row r="633" spans="2:4" ht="13">
      <c r="B633" s="294"/>
      <c r="C633" s="294"/>
      <c r="D633" s="295"/>
    </row>
    <row r="634" spans="2:4" ht="13">
      <c r="B634" s="294"/>
      <c r="C634" s="294"/>
      <c r="D634" s="295"/>
    </row>
    <row r="635" spans="2:4" ht="13">
      <c r="B635" s="294"/>
      <c r="C635" s="294"/>
      <c r="D635" s="295"/>
    </row>
    <row r="636" spans="2:4" ht="13">
      <c r="B636" s="294"/>
      <c r="C636" s="294"/>
      <c r="D636" s="295"/>
    </row>
    <row r="637" spans="2:4" ht="13">
      <c r="B637" s="294"/>
      <c r="C637" s="294"/>
      <c r="D637" s="295"/>
    </row>
    <row r="638" spans="2:4" ht="13">
      <c r="B638" s="294"/>
      <c r="C638" s="294"/>
      <c r="D638" s="295"/>
    </row>
    <row r="639" spans="2:4" ht="13">
      <c r="B639" s="294"/>
      <c r="C639" s="294"/>
      <c r="D639" s="295"/>
    </row>
    <row r="640" spans="2:4" ht="13">
      <c r="B640" s="294"/>
      <c r="C640" s="294"/>
      <c r="D640" s="295"/>
    </row>
    <row r="641" spans="2:4" ht="13">
      <c r="B641" s="294"/>
      <c r="C641" s="294"/>
      <c r="D641" s="295"/>
    </row>
    <row r="642" spans="2:4" ht="13">
      <c r="B642" s="294"/>
      <c r="C642" s="294"/>
      <c r="D642" s="295"/>
    </row>
    <row r="643" spans="2:4" ht="13">
      <c r="B643" s="294"/>
      <c r="C643" s="294"/>
      <c r="D643" s="295"/>
    </row>
    <row r="644" spans="2:4" ht="13">
      <c r="B644" s="294"/>
      <c r="C644" s="294"/>
      <c r="D644" s="295"/>
    </row>
    <row r="645" spans="2:4" ht="13">
      <c r="B645" s="294"/>
      <c r="C645" s="294"/>
      <c r="D645" s="295"/>
    </row>
    <row r="646" spans="2:4" ht="13">
      <c r="B646" s="294"/>
      <c r="C646" s="294"/>
      <c r="D646" s="295"/>
    </row>
    <row r="647" spans="2:4" ht="13">
      <c r="B647" s="294"/>
      <c r="C647" s="294"/>
      <c r="D647" s="295"/>
    </row>
    <row r="648" spans="2:4" ht="13">
      <c r="B648" s="294"/>
      <c r="C648" s="294"/>
      <c r="D648" s="295"/>
    </row>
    <row r="649" spans="2:4" ht="13">
      <c r="B649" s="294"/>
      <c r="C649" s="294"/>
      <c r="D649" s="295"/>
    </row>
    <row r="650" spans="2:4" ht="13">
      <c r="B650" s="294"/>
      <c r="C650" s="294"/>
      <c r="D650" s="295"/>
    </row>
    <row r="651" spans="2:4" ht="13">
      <c r="B651" s="294"/>
      <c r="C651" s="294"/>
      <c r="D651" s="295"/>
    </row>
    <row r="652" spans="2:4" ht="13">
      <c r="B652" s="294"/>
      <c r="C652" s="294"/>
      <c r="D652" s="295"/>
    </row>
    <row r="653" spans="2:4" ht="13">
      <c r="B653" s="294"/>
      <c r="C653" s="294"/>
      <c r="D653" s="295"/>
    </row>
    <row r="654" spans="2:4" ht="13">
      <c r="B654" s="294"/>
      <c r="C654" s="294"/>
      <c r="D654" s="295"/>
    </row>
    <row r="655" spans="2:4" ht="13">
      <c r="B655" s="294"/>
      <c r="C655" s="294"/>
      <c r="D655" s="295"/>
    </row>
    <row r="656" spans="2:4" ht="13">
      <c r="B656" s="294"/>
      <c r="C656" s="294"/>
      <c r="D656" s="295"/>
    </row>
    <row r="657" spans="2:4" ht="13">
      <c r="B657" s="294"/>
      <c r="C657" s="294"/>
      <c r="D657" s="295"/>
    </row>
    <row r="658" spans="2:4" ht="13">
      <c r="B658" s="294"/>
      <c r="C658" s="294"/>
      <c r="D658" s="295"/>
    </row>
    <row r="659" spans="2:4" ht="13">
      <c r="B659" s="294"/>
      <c r="C659" s="294"/>
      <c r="D659" s="295"/>
    </row>
    <row r="660" spans="2:4" ht="13">
      <c r="B660" s="294"/>
      <c r="C660" s="294"/>
      <c r="D660" s="295"/>
    </row>
    <row r="661" spans="2:4" ht="13">
      <c r="B661" s="294"/>
      <c r="C661" s="294"/>
      <c r="D661" s="295"/>
    </row>
    <row r="662" spans="2:4" ht="13">
      <c r="B662" s="294"/>
      <c r="C662" s="294"/>
      <c r="D662" s="295"/>
    </row>
    <row r="663" spans="2:4" ht="13">
      <c r="B663" s="294"/>
      <c r="C663" s="294"/>
      <c r="D663" s="295"/>
    </row>
    <row r="664" spans="2:4" ht="13">
      <c r="B664" s="294"/>
      <c r="C664" s="294"/>
      <c r="D664" s="295"/>
    </row>
    <row r="665" spans="2:4" ht="13">
      <c r="B665" s="294"/>
      <c r="C665" s="294"/>
      <c r="D665" s="295"/>
    </row>
    <row r="666" spans="2:4" ht="13">
      <c r="B666" s="294"/>
      <c r="C666" s="294"/>
      <c r="D666" s="295"/>
    </row>
    <row r="667" spans="2:4" ht="13">
      <c r="B667" s="294"/>
      <c r="C667" s="294"/>
      <c r="D667" s="295"/>
    </row>
    <row r="668" spans="2:4" ht="13">
      <c r="B668" s="294"/>
      <c r="C668" s="294"/>
      <c r="D668" s="295"/>
    </row>
    <row r="669" spans="2:4" ht="13">
      <c r="B669" s="294"/>
      <c r="C669" s="294"/>
      <c r="D669" s="295"/>
    </row>
    <row r="670" spans="2:4" ht="13">
      <c r="B670" s="294"/>
      <c r="C670" s="294"/>
      <c r="D670" s="295"/>
    </row>
    <row r="671" spans="2:4" ht="13">
      <c r="B671" s="294"/>
      <c r="C671" s="294"/>
      <c r="D671" s="295"/>
    </row>
    <row r="672" spans="2:4" ht="13">
      <c r="B672" s="294"/>
      <c r="C672" s="294"/>
      <c r="D672" s="295"/>
    </row>
    <row r="673" spans="2:4" ht="13">
      <c r="B673" s="294"/>
      <c r="C673" s="294"/>
      <c r="D673" s="295"/>
    </row>
    <row r="674" spans="2:4" ht="13">
      <c r="B674" s="294"/>
      <c r="C674" s="294"/>
      <c r="D674" s="295"/>
    </row>
    <row r="675" spans="2:4" ht="13">
      <c r="B675" s="294"/>
      <c r="C675" s="294"/>
      <c r="D675" s="295"/>
    </row>
    <row r="676" spans="2:4" ht="13">
      <c r="B676" s="294"/>
      <c r="C676" s="294"/>
      <c r="D676" s="295"/>
    </row>
    <row r="677" spans="2:4" ht="13">
      <c r="B677" s="294"/>
      <c r="C677" s="294"/>
      <c r="D677" s="295"/>
    </row>
    <row r="678" spans="2:4" ht="13">
      <c r="B678" s="294"/>
      <c r="C678" s="294"/>
      <c r="D678" s="295"/>
    </row>
    <row r="679" spans="2:4" ht="13">
      <c r="B679" s="294"/>
      <c r="C679" s="294"/>
      <c r="D679" s="295"/>
    </row>
    <row r="680" spans="2:4" ht="13">
      <c r="B680" s="294"/>
      <c r="C680" s="294"/>
      <c r="D680" s="295"/>
    </row>
    <row r="681" spans="2:4" ht="13">
      <c r="B681" s="294"/>
      <c r="C681" s="294"/>
      <c r="D681" s="295"/>
    </row>
    <row r="682" spans="2:4" ht="13">
      <c r="B682" s="294"/>
      <c r="C682" s="294"/>
      <c r="D682" s="295"/>
    </row>
    <row r="683" spans="2:4" ht="13">
      <c r="B683" s="294"/>
      <c r="C683" s="294"/>
      <c r="D683" s="295"/>
    </row>
    <row r="684" spans="2:4" ht="13">
      <c r="B684" s="294"/>
      <c r="C684" s="294"/>
      <c r="D684" s="295"/>
    </row>
    <row r="685" spans="2:4" ht="13">
      <c r="B685" s="294"/>
      <c r="C685" s="294"/>
      <c r="D685" s="295"/>
    </row>
    <row r="686" spans="2:4" ht="13">
      <c r="B686" s="294"/>
      <c r="C686" s="294"/>
      <c r="D686" s="295"/>
    </row>
    <row r="687" spans="2:4" ht="13">
      <c r="B687" s="294"/>
      <c r="C687" s="294"/>
      <c r="D687" s="295"/>
    </row>
    <row r="688" spans="2:4" ht="13">
      <c r="B688" s="294"/>
      <c r="C688" s="294"/>
      <c r="D688" s="295"/>
    </row>
    <row r="689" spans="2:4" ht="13">
      <c r="B689" s="294"/>
      <c r="C689" s="294"/>
      <c r="D689" s="295"/>
    </row>
    <row r="690" spans="2:4" ht="13">
      <c r="B690" s="294"/>
      <c r="C690" s="294"/>
      <c r="D690" s="295"/>
    </row>
    <row r="691" spans="2:4" ht="13">
      <c r="B691" s="294"/>
      <c r="C691" s="294"/>
      <c r="D691" s="295"/>
    </row>
    <row r="692" spans="2:4" ht="13">
      <c r="B692" s="294"/>
      <c r="C692" s="294"/>
      <c r="D692" s="295"/>
    </row>
    <row r="693" spans="2:4" ht="13">
      <c r="B693" s="294"/>
      <c r="C693" s="294"/>
      <c r="D693" s="295"/>
    </row>
    <row r="694" spans="2:4" ht="13">
      <c r="B694" s="294"/>
      <c r="C694" s="294"/>
      <c r="D694" s="295"/>
    </row>
    <row r="695" spans="2:4" ht="13">
      <c r="B695" s="294"/>
      <c r="C695" s="294"/>
      <c r="D695" s="295"/>
    </row>
    <row r="696" spans="2:4" ht="13">
      <c r="B696" s="294"/>
      <c r="C696" s="294"/>
      <c r="D696" s="295"/>
    </row>
    <row r="697" spans="2:4" ht="13">
      <c r="B697" s="294"/>
      <c r="C697" s="294"/>
      <c r="D697" s="295"/>
    </row>
    <row r="698" spans="2:4" ht="13">
      <c r="B698" s="294"/>
      <c r="C698" s="294"/>
      <c r="D698" s="295"/>
    </row>
    <row r="699" spans="2:4" ht="13">
      <c r="B699" s="294"/>
      <c r="C699" s="294"/>
      <c r="D699" s="295"/>
    </row>
    <row r="700" spans="2:4" ht="13">
      <c r="B700" s="294"/>
      <c r="C700" s="294"/>
      <c r="D700" s="295"/>
    </row>
    <row r="701" spans="2:4" ht="13">
      <c r="B701" s="294"/>
      <c r="C701" s="294"/>
      <c r="D701" s="295"/>
    </row>
    <row r="702" spans="2:4" ht="13">
      <c r="B702" s="294"/>
      <c r="C702" s="294"/>
      <c r="D702" s="295"/>
    </row>
    <row r="703" spans="2:4" ht="13">
      <c r="B703" s="294"/>
      <c r="C703" s="294"/>
      <c r="D703" s="295"/>
    </row>
    <row r="704" spans="2:4" ht="13">
      <c r="B704" s="294"/>
      <c r="C704" s="294"/>
      <c r="D704" s="295"/>
    </row>
    <row r="705" spans="2:4" ht="13">
      <c r="B705" s="294"/>
      <c r="C705" s="294"/>
      <c r="D705" s="295"/>
    </row>
    <row r="706" spans="2:4" ht="13">
      <c r="B706" s="294"/>
      <c r="C706" s="294"/>
      <c r="D706" s="295"/>
    </row>
    <row r="707" spans="2:4" ht="13">
      <c r="B707" s="294"/>
      <c r="C707" s="294"/>
      <c r="D707" s="295"/>
    </row>
    <row r="708" spans="2:4" ht="13">
      <c r="B708" s="294"/>
      <c r="C708" s="294"/>
      <c r="D708" s="295"/>
    </row>
    <row r="709" spans="2:4" ht="13">
      <c r="B709" s="294"/>
      <c r="C709" s="294"/>
      <c r="D709" s="295"/>
    </row>
    <row r="710" spans="2:4" ht="13">
      <c r="B710" s="294"/>
      <c r="C710" s="294"/>
      <c r="D710" s="295"/>
    </row>
    <row r="711" spans="2:4" ht="13">
      <c r="B711" s="294"/>
      <c r="C711" s="294"/>
      <c r="D711" s="295"/>
    </row>
    <row r="712" spans="2:4" ht="13">
      <c r="B712" s="294"/>
      <c r="C712" s="294"/>
      <c r="D712" s="295"/>
    </row>
    <row r="713" spans="2:4" ht="13">
      <c r="B713" s="294"/>
      <c r="C713" s="294"/>
      <c r="D713" s="295"/>
    </row>
    <row r="714" spans="2:4" ht="13">
      <c r="B714" s="294"/>
      <c r="C714" s="294"/>
      <c r="D714" s="295"/>
    </row>
    <row r="715" spans="2:4" ht="13">
      <c r="B715" s="294"/>
      <c r="C715" s="294"/>
      <c r="D715" s="295"/>
    </row>
    <row r="716" spans="2:4" ht="13">
      <c r="B716" s="294"/>
      <c r="C716" s="294"/>
      <c r="D716" s="295"/>
    </row>
    <row r="717" spans="2:4" ht="13">
      <c r="B717" s="294"/>
      <c r="C717" s="294"/>
      <c r="D717" s="295"/>
    </row>
    <row r="718" spans="2:4" ht="13">
      <c r="B718" s="294"/>
      <c r="C718" s="294"/>
      <c r="D718" s="295"/>
    </row>
    <row r="719" spans="2:4" ht="13">
      <c r="B719" s="294"/>
      <c r="C719" s="294"/>
      <c r="D719" s="295"/>
    </row>
    <row r="720" spans="2:4" ht="13">
      <c r="B720" s="294"/>
      <c r="C720" s="294"/>
      <c r="D720" s="295"/>
    </row>
    <row r="721" spans="2:4" ht="13">
      <c r="B721" s="294"/>
      <c r="C721" s="294"/>
      <c r="D721" s="295"/>
    </row>
    <row r="722" spans="2:4" ht="13">
      <c r="B722" s="294"/>
      <c r="C722" s="294"/>
      <c r="D722" s="295"/>
    </row>
    <row r="723" spans="2:4" ht="13">
      <c r="B723" s="294"/>
      <c r="C723" s="294"/>
      <c r="D723" s="295"/>
    </row>
    <row r="724" spans="2:4" ht="13">
      <c r="B724" s="294"/>
      <c r="C724" s="294"/>
      <c r="D724" s="295"/>
    </row>
    <row r="725" spans="2:4" ht="13">
      <c r="B725" s="294"/>
      <c r="C725" s="294"/>
      <c r="D725" s="295"/>
    </row>
    <row r="726" spans="2:4" ht="13">
      <c r="B726" s="294"/>
      <c r="C726" s="294"/>
      <c r="D726" s="295"/>
    </row>
    <row r="727" spans="2:4" ht="13">
      <c r="B727" s="294"/>
      <c r="C727" s="294"/>
      <c r="D727" s="295"/>
    </row>
    <row r="728" spans="2:4" ht="13">
      <c r="B728" s="294"/>
      <c r="C728" s="294"/>
      <c r="D728" s="295"/>
    </row>
    <row r="729" spans="2:4" ht="13">
      <c r="B729" s="294"/>
      <c r="C729" s="294"/>
      <c r="D729" s="295"/>
    </row>
    <row r="730" spans="2:4" ht="13">
      <c r="B730" s="294"/>
      <c r="C730" s="294"/>
      <c r="D730" s="295"/>
    </row>
    <row r="731" spans="2:4" ht="13">
      <c r="B731" s="294"/>
      <c r="C731" s="294"/>
      <c r="D731" s="295"/>
    </row>
    <row r="732" spans="2:4" ht="13">
      <c r="B732" s="294"/>
      <c r="C732" s="294"/>
      <c r="D732" s="295"/>
    </row>
    <row r="733" spans="2:4" ht="13">
      <c r="B733" s="294"/>
      <c r="C733" s="294"/>
      <c r="D733" s="295"/>
    </row>
    <row r="734" spans="2:4" ht="13">
      <c r="B734" s="294"/>
      <c r="C734" s="294"/>
      <c r="D734" s="295"/>
    </row>
    <row r="735" spans="2:4" ht="13">
      <c r="B735" s="294"/>
      <c r="C735" s="294"/>
      <c r="D735" s="295"/>
    </row>
    <row r="736" spans="2:4" ht="13">
      <c r="B736" s="294"/>
      <c r="C736" s="294"/>
      <c r="D736" s="295"/>
    </row>
    <row r="737" spans="2:4" ht="13">
      <c r="B737" s="294"/>
      <c r="C737" s="294"/>
      <c r="D737" s="295"/>
    </row>
    <row r="738" spans="2:4" ht="13">
      <c r="B738" s="294"/>
      <c r="C738" s="294"/>
      <c r="D738" s="295"/>
    </row>
    <row r="739" spans="2:4" ht="13">
      <c r="B739" s="294"/>
      <c r="C739" s="294"/>
      <c r="D739" s="295"/>
    </row>
    <row r="740" spans="2:4" ht="13">
      <c r="B740" s="294"/>
      <c r="C740" s="294"/>
      <c r="D740" s="295"/>
    </row>
    <row r="741" spans="2:4" ht="13">
      <c r="B741" s="294"/>
      <c r="C741" s="294"/>
      <c r="D741" s="295"/>
    </row>
    <row r="742" spans="2:4" ht="13">
      <c r="B742" s="294"/>
      <c r="C742" s="294"/>
      <c r="D742" s="295"/>
    </row>
    <row r="743" spans="2:4" ht="13">
      <c r="B743" s="294"/>
      <c r="C743" s="294"/>
      <c r="D743" s="295"/>
    </row>
    <row r="744" spans="2:4" ht="13">
      <c r="B744" s="294"/>
      <c r="C744" s="294"/>
      <c r="D744" s="295"/>
    </row>
    <row r="745" spans="2:4" ht="13">
      <c r="B745" s="294"/>
      <c r="C745" s="294"/>
      <c r="D745" s="295"/>
    </row>
    <row r="746" spans="2:4" ht="13">
      <c r="B746" s="294"/>
      <c r="C746" s="294"/>
      <c r="D746" s="295"/>
    </row>
    <row r="747" spans="2:4" ht="13">
      <c r="B747" s="294"/>
      <c r="C747" s="294"/>
      <c r="D747" s="295"/>
    </row>
    <row r="748" spans="2:4" ht="13">
      <c r="B748" s="294"/>
      <c r="C748" s="294"/>
      <c r="D748" s="295"/>
    </row>
    <row r="749" spans="2:4" ht="13">
      <c r="B749" s="294"/>
      <c r="C749" s="294"/>
      <c r="D749" s="295"/>
    </row>
    <row r="750" spans="2:4" ht="13">
      <c r="B750" s="294"/>
      <c r="C750" s="294"/>
      <c r="D750" s="295"/>
    </row>
    <row r="751" spans="2:4" ht="13">
      <c r="B751" s="294"/>
      <c r="C751" s="294"/>
      <c r="D751" s="295"/>
    </row>
    <row r="752" spans="2:4" ht="13">
      <c r="B752" s="294"/>
      <c r="C752" s="294"/>
      <c r="D752" s="295"/>
    </row>
    <row r="753" spans="2:4" ht="13">
      <c r="B753" s="294"/>
      <c r="C753" s="294"/>
      <c r="D753" s="295"/>
    </row>
    <row r="754" spans="2:4" ht="13">
      <c r="B754" s="294"/>
      <c r="C754" s="294"/>
      <c r="D754" s="295"/>
    </row>
    <row r="755" spans="2:4" ht="13">
      <c r="B755" s="294"/>
      <c r="C755" s="294"/>
      <c r="D755" s="295"/>
    </row>
    <row r="756" spans="2:4" ht="13">
      <c r="B756" s="294"/>
      <c r="C756" s="294"/>
      <c r="D756" s="295"/>
    </row>
    <row r="757" spans="2:4" ht="13">
      <c r="B757" s="294"/>
      <c r="C757" s="294"/>
      <c r="D757" s="295"/>
    </row>
    <row r="758" spans="2:4" ht="13">
      <c r="B758" s="294"/>
      <c r="C758" s="294"/>
      <c r="D758" s="295"/>
    </row>
    <row r="759" spans="2:4" ht="13">
      <c r="B759" s="294"/>
      <c r="C759" s="294"/>
      <c r="D759" s="295"/>
    </row>
    <row r="760" spans="2:4" ht="13">
      <c r="B760" s="294"/>
      <c r="C760" s="294"/>
      <c r="D760" s="295"/>
    </row>
    <row r="761" spans="2:4" ht="13">
      <c r="B761" s="294"/>
      <c r="C761" s="294"/>
      <c r="D761" s="295"/>
    </row>
    <row r="762" spans="2:4" ht="13">
      <c r="B762" s="294"/>
      <c r="C762" s="294"/>
      <c r="D762" s="295"/>
    </row>
    <row r="763" spans="2:4" ht="13">
      <c r="B763" s="294"/>
      <c r="C763" s="294"/>
      <c r="D763" s="295"/>
    </row>
    <row r="764" spans="2:4" ht="13">
      <c r="B764" s="294"/>
      <c r="C764" s="294"/>
      <c r="D764" s="295"/>
    </row>
    <row r="765" spans="2:4" ht="13">
      <c r="B765" s="294"/>
      <c r="C765" s="294"/>
      <c r="D765" s="295"/>
    </row>
    <row r="766" spans="2:4" ht="13">
      <c r="B766" s="294"/>
      <c r="C766" s="294"/>
      <c r="D766" s="295"/>
    </row>
    <row r="767" spans="2:4" ht="13">
      <c r="B767" s="294"/>
      <c r="C767" s="294"/>
      <c r="D767" s="295"/>
    </row>
    <row r="768" spans="2:4" ht="13">
      <c r="B768" s="294"/>
      <c r="C768" s="294"/>
      <c r="D768" s="295"/>
    </row>
    <row r="769" spans="2:4" ht="13">
      <c r="B769" s="294"/>
      <c r="C769" s="294"/>
      <c r="D769" s="295"/>
    </row>
    <row r="770" spans="2:4" ht="13">
      <c r="B770" s="294"/>
      <c r="C770" s="294"/>
      <c r="D770" s="295"/>
    </row>
    <row r="771" spans="2:4" ht="13">
      <c r="B771" s="294"/>
      <c r="C771" s="294"/>
      <c r="D771" s="295"/>
    </row>
    <row r="772" spans="2:4" ht="13">
      <c r="B772" s="294"/>
      <c r="C772" s="294"/>
      <c r="D772" s="295"/>
    </row>
    <row r="773" spans="2:4" ht="13">
      <c r="B773" s="294"/>
      <c r="C773" s="294"/>
      <c r="D773" s="295"/>
    </row>
    <row r="774" spans="2:4" ht="13">
      <c r="B774" s="294"/>
      <c r="C774" s="294"/>
      <c r="D774" s="295"/>
    </row>
    <row r="775" spans="2:4" ht="13">
      <c r="B775" s="294"/>
      <c r="C775" s="294"/>
      <c r="D775" s="295"/>
    </row>
    <row r="776" spans="2:4" ht="13">
      <c r="B776" s="294"/>
      <c r="C776" s="294"/>
      <c r="D776" s="295"/>
    </row>
    <row r="777" spans="2:4" ht="13">
      <c r="B777" s="294"/>
      <c r="C777" s="294"/>
      <c r="D777" s="295"/>
    </row>
    <row r="778" spans="2:4" ht="13">
      <c r="B778" s="294"/>
      <c r="C778" s="294"/>
      <c r="D778" s="295"/>
    </row>
    <row r="779" spans="2:4" ht="13">
      <c r="B779" s="294"/>
      <c r="C779" s="294"/>
      <c r="D779" s="295"/>
    </row>
    <row r="780" spans="2:4" ht="13">
      <c r="B780" s="294"/>
      <c r="C780" s="294"/>
      <c r="D780" s="295"/>
    </row>
    <row r="781" spans="2:4" ht="13">
      <c r="B781" s="294"/>
      <c r="C781" s="294"/>
      <c r="D781" s="295"/>
    </row>
    <row r="782" spans="2:4" ht="13">
      <c r="B782" s="294"/>
      <c r="C782" s="294"/>
      <c r="D782" s="295"/>
    </row>
    <row r="783" spans="2:4" ht="13">
      <c r="B783" s="294"/>
      <c r="C783" s="294"/>
      <c r="D783" s="295"/>
    </row>
    <row r="784" spans="2:4" ht="13">
      <c r="B784" s="294"/>
      <c r="C784" s="294"/>
      <c r="D784" s="295"/>
    </row>
    <row r="785" spans="2:4" ht="13">
      <c r="B785" s="294"/>
      <c r="C785" s="294"/>
      <c r="D785" s="295"/>
    </row>
    <row r="786" spans="2:4" ht="13">
      <c r="B786" s="294"/>
      <c r="C786" s="294"/>
      <c r="D786" s="295"/>
    </row>
    <row r="787" spans="2:4" ht="13">
      <c r="B787" s="294"/>
      <c r="C787" s="294"/>
      <c r="D787" s="295"/>
    </row>
    <row r="788" spans="2:4" ht="13">
      <c r="B788" s="294"/>
      <c r="C788" s="294"/>
      <c r="D788" s="295"/>
    </row>
    <row r="789" spans="2:4" ht="13">
      <c r="B789" s="294"/>
      <c r="C789" s="294"/>
      <c r="D789" s="295"/>
    </row>
    <row r="790" spans="2:4" ht="13">
      <c r="B790" s="294"/>
      <c r="C790" s="294"/>
      <c r="D790" s="295"/>
    </row>
    <row r="791" spans="2:4" ht="13">
      <c r="B791" s="294"/>
      <c r="C791" s="294"/>
      <c r="D791" s="295"/>
    </row>
    <row r="792" spans="2:4" ht="13">
      <c r="B792" s="294"/>
      <c r="C792" s="294"/>
      <c r="D792" s="295"/>
    </row>
    <row r="793" spans="2:4" ht="13">
      <c r="B793" s="294"/>
      <c r="C793" s="294"/>
      <c r="D793" s="295"/>
    </row>
    <row r="794" spans="2:4" ht="13">
      <c r="B794" s="294"/>
      <c r="C794" s="294"/>
      <c r="D794" s="295"/>
    </row>
    <row r="795" spans="2:4" ht="13">
      <c r="B795" s="294"/>
      <c r="C795" s="294"/>
      <c r="D795" s="295"/>
    </row>
    <row r="796" spans="2:4" ht="13">
      <c r="B796" s="294"/>
      <c r="C796" s="294"/>
      <c r="D796" s="295"/>
    </row>
    <row r="797" spans="2:4" ht="13">
      <c r="B797" s="294"/>
      <c r="C797" s="294"/>
      <c r="D797" s="295"/>
    </row>
    <row r="798" spans="2:4" ht="13">
      <c r="B798" s="294"/>
      <c r="C798" s="294"/>
      <c r="D798" s="295"/>
    </row>
    <row r="799" spans="2:4" ht="13">
      <c r="B799" s="294"/>
      <c r="C799" s="294"/>
      <c r="D799" s="295"/>
    </row>
    <row r="800" spans="2:4" ht="13">
      <c r="B800" s="294"/>
      <c r="C800" s="294"/>
      <c r="D800" s="295"/>
    </row>
    <row r="801" spans="2:4" ht="13">
      <c r="B801" s="294"/>
      <c r="C801" s="294"/>
      <c r="D801" s="295"/>
    </row>
    <row r="802" spans="2:4" ht="13">
      <c r="B802" s="294"/>
      <c r="C802" s="294"/>
      <c r="D802" s="295"/>
    </row>
    <row r="803" spans="2:4" ht="13">
      <c r="B803" s="294"/>
      <c r="C803" s="294"/>
      <c r="D803" s="295"/>
    </row>
    <row r="804" spans="2:4" ht="13">
      <c r="B804" s="294"/>
      <c r="C804" s="294"/>
      <c r="D804" s="295"/>
    </row>
    <row r="805" spans="2:4" ht="13">
      <c r="B805" s="294"/>
      <c r="C805" s="294"/>
      <c r="D805" s="295"/>
    </row>
    <row r="806" spans="2:4" ht="13">
      <c r="B806" s="294"/>
      <c r="C806" s="294"/>
      <c r="D806" s="295"/>
    </row>
    <row r="807" spans="2:4" ht="13">
      <c r="B807" s="294"/>
      <c r="C807" s="294"/>
      <c r="D807" s="295"/>
    </row>
    <row r="808" spans="2:4" ht="13">
      <c r="B808" s="294"/>
      <c r="C808" s="294"/>
      <c r="D808" s="295"/>
    </row>
    <row r="809" spans="2:4" ht="13">
      <c r="B809" s="294"/>
      <c r="C809" s="294"/>
      <c r="D809" s="295"/>
    </row>
    <row r="810" spans="2:4" ht="13">
      <c r="B810" s="294"/>
      <c r="C810" s="294"/>
      <c r="D810" s="295"/>
    </row>
    <row r="811" spans="2:4" ht="13">
      <c r="B811" s="294"/>
      <c r="C811" s="294"/>
      <c r="D811" s="295"/>
    </row>
    <row r="812" spans="2:4" ht="13">
      <c r="B812" s="294"/>
      <c r="C812" s="294"/>
      <c r="D812" s="295"/>
    </row>
    <row r="813" spans="2:4" ht="13">
      <c r="B813" s="294"/>
      <c r="C813" s="294"/>
      <c r="D813" s="295"/>
    </row>
    <row r="814" spans="2:4" ht="13">
      <c r="B814" s="294"/>
      <c r="C814" s="294"/>
      <c r="D814" s="295"/>
    </row>
    <row r="815" spans="2:4" ht="13">
      <c r="B815" s="294"/>
      <c r="C815" s="294"/>
      <c r="D815" s="295"/>
    </row>
    <row r="816" spans="2:4" ht="13">
      <c r="B816" s="294"/>
      <c r="C816" s="294"/>
      <c r="D816" s="295"/>
    </row>
    <row r="817" spans="2:4" ht="13">
      <c r="B817" s="294"/>
      <c r="C817" s="294"/>
      <c r="D817" s="295"/>
    </row>
    <row r="818" spans="2:4" ht="13">
      <c r="B818" s="294"/>
      <c r="C818" s="294"/>
      <c r="D818" s="295"/>
    </row>
    <row r="819" spans="2:4" ht="13">
      <c r="B819" s="294"/>
      <c r="C819" s="294"/>
      <c r="D819" s="295"/>
    </row>
    <row r="820" spans="2:4" ht="13">
      <c r="B820" s="294"/>
      <c r="C820" s="294"/>
      <c r="D820" s="295"/>
    </row>
    <row r="821" spans="2:4" ht="13">
      <c r="B821" s="294"/>
      <c r="C821" s="294"/>
      <c r="D821" s="295"/>
    </row>
    <row r="822" spans="2:4" ht="13">
      <c r="B822" s="294"/>
      <c r="C822" s="294"/>
      <c r="D822" s="295"/>
    </row>
    <row r="823" spans="2:4" ht="13">
      <c r="B823" s="294"/>
      <c r="C823" s="294"/>
      <c r="D823" s="295"/>
    </row>
    <row r="824" spans="2:4" ht="13">
      <c r="B824" s="294"/>
      <c r="C824" s="294"/>
      <c r="D824" s="295"/>
    </row>
    <row r="825" spans="2:4" ht="13">
      <c r="B825" s="294"/>
      <c r="C825" s="294"/>
      <c r="D825" s="295"/>
    </row>
    <row r="826" spans="2:4" ht="13">
      <c r="B826" s="294"/>
      <c r="C826" s="294"/>
      <c r="D826" s="295"/>
    </row>
    <row r="827" spans="2:4" ht="13">
      <c r="B827" s="294"/>
      <c r="C827" s="294"/>
      <c r="D827" s="295"/>
    </row>
    <row r="828" spans="2:4" ht="13">
      <c r="B828" s="294"/>
      <c r="C828" s="294"/>
      <c r="D828" s="295"/>
    </row>
    <row r="829" spans="2:4" ht="13">
      <c r="B829" s="294"/>
      <c r="C829" s="294"/>
      <c r="D829" s="295"/>
    </row>
    <row r="830" spans="2:4" ht="13">
      <c r="B830" s="294"/>
      <c r="C830" s="294"/>
      <c r="D830" s="295"/>
    </row>
    <row r="831" spans="2:4" ht="13">
      <c r="B831" s="294"/>
      <c r="C831" s="294"/>
      <c r="D831" s="295"/>
    </row>
    <row r="832" spans="2:4" ht="13">
      <c r="B832" s="294"/>
      <c r="C832" s="294"/>
      <c r="D832" s="295"/>
    </row>
    <row r="833" spans="2:4" ht="13">
      <c r="B833" s="294"/>
      <c r="C833" s="294"/>
      <c r="D833" s="295"/>
    </row>
    <row r="834" spans="2:4" ht="13">
      <c r="B834" s="294"/>
      <c r="C834" s="294"/>
      <c r="D834" s="295"/>
    </row>
    <row r="835" spans="2:4" ht="13">
      <c r="B835" s="294"/>
      <c r="C835" s="294"/>
      <c r="D835" s="295"/>
    </row>
    <row r="836" spans="2:4" ht="13">
      <c r="B836" s="294"/>
      <c r="C836" s="294"/>
      <c r="D836" s="295"/>
    </row>
    <row r="837" spans="2:4" ht="13">
      <c r="B837" s="294"/>
      <c r="C837" s="294"/>
      <c r="D837" s="295"/>
    </row>
    <row r="838" spans="2:4" ht="13">
      <c r="B838" s="294"/>
      <c r="C838" s="294"/>
      <c r="D838" s="295"/>
    </row>
    <row r="839" spans="2:4" ht="13">
      <c r="B839" s="294"/>
      <c r="C839" s="294"/>
      <c r="D839" s="295"/>
    </row>
    <row r="840" spans="2:4" ht="13">
      <c r="B840" s="294"/>
      <c r="C840" s="294"/>
      <c r="D840" s="295"/>
    </row>
    <row r="841" spans="2:4" ht="13">
      <c r="B841" s="294"/>
      <c r="C841" s="294"/>
      <c r="D841" s="295"/>
    </row>
    <row r="842" spans="2:4" ht="13">
      <c r="B842" s="294"/>
      <c r="C842" s="294"/>
      <c r="D842" s="295"/>
    </row>
    <row r="843" spans="2:4" ht="13">
      <c r="B843" s="294"/>
      <c r="C843" s="294"/>
      <c r="D843" s="295"/>
    </row>
    <row r="844" spans="2:4" ht="13">
      <c r="B844" s="294"/>
      <c r="C844" s="294"/>
      <c r="D844" s="295"/>
    </row>
    <row r="845" spans="2:4" ht="13">
      <c r="B845" s="294"/>
      <c r="C845" s="294"/>
      <c r="D845" s="295"/>
    </row>
    <row r="846" spans="2:4" ht="13">
      <c r="B846" s="294"/>
      <c r="C846" s="294"/>
      <c r="D846" s="295"/>
    </row>
    <row r="847" spans="2:4" ht="13">
      <c r="B847" s="294"/>
      <c r="C847" s="294"/>
      <c r="D847" s="295"/>
    </row>
    <row r="848" spans="2:4" ht="13">
      <c r="B848" s="294"/>
      <c r="C848" s="294"/>
      <c r="D848" s="295"/>
    </row>
    <row r="849" spans="2:4" ht="13">
      <c r="B849" s="294"/>
      <c r="C849" s="294"/>
      <c r="D849" s="295"/>
    </row>
    <row r="850" spans="2:4" ht="13">
      <c r="B850" s="294"/>
      <c r="C850" s="294"/>
      <c r="D850" s="295"/>
    </row>
    <row r="851" spans="2:4" ht="13">
      <c r="B851" s="294"/>
      <c r="C851" s="294"/>
      <c r="D851" s="295"/>
    </row>
    <row r="852" spans="2:4" ht="13">
      <c r="B852" s="294"/>
      <c r="C852" s="294"/>
      <c r="D852" s="295"/>
    </row>
    <row r="853" spans="2:4" ht="13">
      <c r="B853" s="294"/>
      <c r="C853" s="294"/>
      <c r="D853" s="295"/>
    </row>
    <row r="854" spans="2:4" ht="13">
      <c r="B854" s="294"/>
      <c r="C854" s="294"/>
      <c r="D854" s="295"/>
    </row>
    <row r="855" spans="2:4" ht="13">
      <c r="B855" s="294"/>
      <c r="C855" s="294"/>
      <c r="D855" s="295"/>
    </row>
    <row r="856" spans="2:4" ht="13">
      <c r="B856" s="294"/>
      <c r="C856" s="294"/>
      <c r="D856" s="295"/>
    </row>
    <row r="857" spans="2:4" ht="13">
      <c r="B857" s="294"/>
      <c r="C857" s="294"/>
      <c r="D857" s="295"/>
    </row>
    <row r="858" spans="2:4" ht="13">
      <c r="B858" s="294"/>
      <c r="C858" s="294"/>
      <c r="D858" s="295"/>
    </row>
    <row r="859" spans="2:4" ht="13">
      <c r="B859" s="294"/>
      <c r="C859" s="294"/>
      <c r="D859" s="295"/>
    </row>
    <row r="860" spans="2:4" ht="13">
      <c r="B860" s="294"/>
      <c r="C860" s="294"/>
      <c r="D860" s="295"/>
    </row>
    <row r="861" spans="2:4" ht="13">
      <c r="B861" s="294"/>
      <c r="C861" s="294"/>
      <c r="D861" s="295"/>
    </row>
    <row r="862" spans="2:4" ht="13">
      <c r="B862" s="294"/>
      <c r="C862" s="294"/>
      <c r="D862" s="295"/>
    </row>
    <row r="863" spans="2:4" ht="13">
      <c r="B863" s="294"/>
      <c r="C863" s="294"/>
      <c r="D863" s="295"/>
    </row>
    <row r="864" spans="2:4" ht="13">
      <c r="B864" s="294"/>
      <c r="C864" s="294"/>
      <c r="D864" s="295"/>
    </row>
    <row r="865" spans="2:4" ht="13">
      <c r="B865" s="294"/>
      <c r="C865" s="294"/>
      <c r="D865" s="295"/>
    </row>
    <row r="866" spans="2:4" ht="13">
      <c r="B866" s="294"/>
      <c r="C866" s="294"/>
      <c r="D866" s="295"/>
    </row>
    <row r="867" spans="2:4" ht="13">
      <c r="B867" s="294"/>
      <c r="C867" s="294"/>
      <c r="D867" s="295"/>
    </row>
    <row r="868" spans="2:4" ht="13">
      <c r="B868" s="294"/>
      <c r="C868" s="294"/>
      <c r="D868" s="295"/>
    </row>
    <row r="869" spans="2:4" ht="13">
      <c r="B869" s="294"/>
      <c r="C869" s="294"/>
      <c r="D869" s="295"/>
    </row>
    <row r="870" spans="2:4" ht="13">
      <c r="B870" s="294"/>
      <c r="C870" s="294"/>
      <c r="D870" s="295"/>
    </row>
    <row r="871" spans="2:4" ht="13">
      <c r="B871" s="294"/>
      <c r="C871" s="294"/>
      <c r="D871" s="295"/>
    </row>
    <row r="872" spans="2:4" ht="13">
      <c r="B872" s="294"/>
      <c r="C872" s="294"/>
      <c r="D872" s="295"/>
    </row>
    <row r="873" spans="2:4" ht="13">
      <c r="B873" s="294"/>
      <c r="C873" s="294"/>
      <c r="D873" s="295"/>
    </row>
    <row r="874" spans="2:4" ht="13">
      <c r="B874" s="294"/>
      <c r="C874" s="294"/>
      <c r="D874" s="295"/>
    </row>
    <row r="875" spans="2:4" ht="13">
      <c r="B875" s="294"/>
      <c r="C875" s="294"/>
      <c r="D875" s="295"/>
    </row>
    <row r="876" spans="2:4" ht="13">
      <c r="B876" s="294"/>
      <c r="C876" s="294"/>
      <c r="D876" s="295"/>
    </row>
    <row r="877" spans="2:4" ht="13">
      <c r="B877" s="294"/>
      <c r="C877" s="294"/>
      <c r="D877" s="295"/>
    </row>
    <row r="878" spans="2:4" ht="13">
      <c r="B878" s="294"/>
      <c r="C878" s="294"/>
      <c r="D878" s="295"/>
    </row>
    <row r="879" spans="2:4" ht="13">
      <c r="B879" s="294"/>
      <c r="C879" s="294"/>
      <c r="D879" s="295"/>
    </row>
    <row r="880" spans="2:4" ht="13">
      <c r="B880" s="294"/>
      <c r="C880" s="294"/>
      <c r="D880" s="295"/>
    </row>
    <row r="881" spans="2:4" ht="13">
      <c r="B881" s="294"/>
      <c r="C881" s="294"/>
      <c r="D881" s="295"/>
    </row>
    <row r="882" spans="2:4" ht="13">
      <c r="B882" s="294"/>
      <c r="C882" s="294"/>
      <c r="D882" s="295"/>
    </row>
    <row r="883" spans="2:4" ht="13">
      <c r="B883" s="294"/>
      <c r="C883" s="294"/>
      <c r="D883" s="295"/>
    </row>
    <row r="884" spans="2:4" ht="13">
      <c r="B884" s="294"/>
      <c r="C884" s="294"/>
      <c r="D884" s="295"/>
    </row>
    <row r="885" spans="2:4" ht="13">
      <c r="B885" s="294"/>
      <c r="C885" s="294"/>
      <c r="D885" s="295"/>
    </row>
    <row r="886" spans="2:4" ht="13">
      <c r="B886" s="294"/>
      <c r="C886" s="294"/>
      <c r="D886" s="295"/>
    </row>
    <row r="887" spans="2:4" ht="13">
      <c r="B887" s="294"/>
      <c r="C887" s="294"/>
      <c r="D887" s="295"/>
    </row>
    <row r="888" spans="2:4" ht="13">
      <c r="B888" s="294"/>
      <c r="C888" s="294"/>
      <c r="D888" s="295"/>
    </row>
    <row r="889" spans="2:4" ht="13">
      <c r="B889" s="294"/>
      <c r="C889" s="294"/>
      <c r="D889" s="295"/>
    </row>
    <row r="890" spans="2:4" ht="13">
      <c r="B890" s="294"/>
      <c r="C890" s="294"/>
      <c r="D890" s="295"/>
    </row>
    <row r="891" spans="2:4" ht="13">
      <c r="B891" s="294"/>
      <c r="C891" s="294"/>
      <c r="D891" s="295"/>
    </row>
    <row r="892" spans="2:4" ht="13">
      <c r="B892" s="294"/>
      <c r="C892" s="294"/>
      <c r="D892" s="295"/>
    </row>
    <row r="893" spans="2:4" ht="13">
      <c r="B893" s="294"/>
      <c r="C893" s="294"/>
      <c r="D893" s="295"/>
    </row>
    <row r="894" spans="2:4" ht="13">
      <c r="B894" s="294"/>
      <c r="C894" s="294"/>
      <c r="D894" s="295"/>
    </row>
    <row r="895" spans="2:4" ht="13">
      <c r="B895" s="294"/>
      <c r="C895" s="294"/>
      <c r="D895" s="295"/>
    </row>
    <row r="896" spans="2:4" ht="13">
      <c r="B896" s="294"/>
      <c r="C896" s="294"/>
      <c r="D896" s="295"/>
    </row>
    <row r="897" spans="2:4" ht="13">
      <c r="B897" s="294"/>
      <c r="C897" s="294"/>
      <c r="D897" s="295"/>
    </row>
    <row r="898" spans="2:4" ht="13">
      <c r="B898" s="294"/>
      <c r="C898" s="294"/>
      <c r="D898" s="295"/>
    </row>
    <row r="899" spans="2:4" ht="13">
      <c r="B899" s="294"/>
      <c r="C899" s="294"/>
      <c r="D899" s="295"/>
    </row>
    <row r="900" spans="2:4" ht="13">
      <c r="B900" s="294"/>
      <c r="C900" s="294"/>
      <c r="D900" s="295"/>
    </row>
    <row r="901" spans="2:4" ht="13">
      <c r="B901" s="294"/>
      <c r="C901" s="294"/>
      <c r="D901" s="295"/>
    </row>
    <row r="902" spans="2:4" ht="13">
      <c r="B902" s="294"/>
      <c r="C902" s="294"/>
      <c r="D902" s="295"/>
    </row>
    <row r="903" spans="2:4" ht="13">
      <c r="B903" s="294"/>
      <c r="C903" s="294"/>
      <c r="D903" s="295"/>
    </row>
    <row r="904" spans="2:4" ht="13">
      <c r="B904" s="294"/>
      <c r="C904" s="294"/>
      <c r="D904" s="295"/>
    </row>
    <row r="905" spans="2:4" ht="13">
      <c r="B905" s="294"/>
      <c r="C905" s="294"/>
      <c r="D905" s="295"/>
    </row>
    <row r="906" spans="2:4" ht="13">
      <c r="B906" s="294"/>
      <c r="C906" s="294"/>
      <c r="D906" s="295"/>
    </row>
    <row r="907" spans="2:4" ht="13">
      <c r="B907" s="294"/>
      <c r="C907" s="294"/>
      <c r="D907" s="295"/>
    </row>
    <row r="908" spans="2:4" ht="13">
      <c r="B908" s="294"/>
      <c r="C908" s="294"/>
      <c r="D908" s="295"/>
    </row>
    <row r="909" spans="2:4" ht="13">
      <c r="B909" s="294"/>
      <c r="C909" s="294"/>
      <c r="D909" s="295"/>
    </row>
    <row r="910" spans="2:4" ht="13">
      <c r="B910" s="294"/>
      <c r="C910" s="294"/>
      <c r="D910" s="295"/>
    </row>
    <row r="911" spans="2:4" ht="13">
      <c r="B911" s="294"/>
      <c r="C911" s="294"/>
      <c r="D911" s="295"/>
    </row>
    <row r="912" spans="2:4" ht="13">
      <c r="B912" s="294"/>
      <c r="C912" s="294"/>
      <c r="D912" s="295"/>
    </row>
    <row r="913" spans="2:4" ht="13">
      <c r="B913" s="294"/>
      <c r="C913" s="294"/>
      <c r="D913" s="295"/>
    </row>
    <row r="914" spans="2:4" ht="13">
      <c r="B914" s="294"/>
      <c r="C914" s="294"/>
      <c r="D914" s="295"/>
    </row>
    <row r="915" spans="2:4" ht="13">
      <c r="B915" s="294"/>
      <c r="C915" s="294"/>
      <c r="D915" s="295"/>
    </row>
    <row r="916" spans="2:4" ht="13">
      <c r="B916" s="294"/>
      <c r="C916" s="294"/>
      <c r="D916" s="295"/>
    </row>
    <row r="917" spans="2:4" ht="13">
      <c r="B917" s="294"/>
      <c r="C917" s="294"/>
      <c r="D917" s="295"/>
    </row>
    <row r="918" spans="2:4" ht="13">
      <c r="B918" s="294"/>
      <c r="C918" s="294"/>
      <c r="D918" s="295"/>
    </row>
    <row r="919" spans="2:4" ht="13">
      <c r="B919" s="294"/>
      <c r="C919" s="294"/>
      <c r="D919" s="295"/>
    </row>
    <row r="920" spans="2:4" ht="13">
      <c r="B920" s="294"/>
      <c r="C920" s="294"/>
      <c r="D920" s="295"/>
    </row>
    <row r="921" spans="2:4" ht="13">
      <c r="B921" s="294"/>
      <c r="C921" s="294"/>
      <c r="D921" s="295"/>
    </row>
    <row r="922" spans="2:4" ht="13">
      <c r="B922" s="294"/>
      <c r="C922" s="294"/>
      <c r="D922" s="295"/>
    </row>
    <row r="923" spans="2:4" ht="13">
      <c r="B923" s="294"/>
      <c r="C923" s="294"/>
      <c r="D923" s="295"/>
    </row>
    <row r="924" spans="2:4" ht="13">
      <c r="B924" s="294"/>
      <c r="C924" s="294"/>
      <c r="D924" s="295"/>
    </row>
    <row r="925" spans="2:4" ht="13">
      <c r="B925" s="294"/>
      <c r="C925" s="294"/>
      <c r="D925" s="295"/>
    </row>
    <row r="926" spans="2:4" ht="13">
      <c r="B926" s="294"/>
      <c r="C926" s="294"/>
      <c r="D926" s="295"/>
    </row>
    <row r="927" spans="2:4" ht="13">
      <c r="B927" s="294"/>
      <c r="C927" s="294"/>
      <c r="D927" s="295"/>
    </row>
    <row r="928" spans="2:4" ht="13">
      <c r="B928" s="294"/>
      <c r="C928" s="294"/>
      <c r="D928" s="295"/>
    </row>
    <row r="929" spans="2:4" ht="13">
      <c r="B929" s="294"/>
      <c r="C929" s="294"/>
      <c r="D929" s="295"/>
    </row>
    <row r="930" spans="2:4" ht="13">
      <c r="B930" s="294"/>
      <c r="C930" s="294"/>
      <c r="D930" s="295"/>
    </row>
    <row r="931" spans="2:4" ht="13">
      <c r="B931" s="294"/>
      <c r="C931" s="294"/>
      <c r="D931" s="295"/>
    </row>
    <row r="932" spans="2:4" ht="13">
      <c r="B932" s="294"/>
      <c r="C932" s="294"/>
      <c r="D932" s="295"/>
    </row>
    <row r="933" spans="2:4" ht="13">
      <c r="B933" s="294"/>
      <c r="C933" s="294"/>
      <c r="D933" s="295"/>
    </row>
    <row r="934" spans="2:4" ht="13">
      <c r="B934" s="294"/>
      <c r="C934" s="294"/>
      <c r="D934" s="295"/>
    </row>
    <row r="935" spans="2:4" ht="13">
      <c r="B935" s="294"/>
      <c r="C935" s="294"/>
      <c r="D935" s="295"/>
    </row>
    <row r="936" spans="2:4" ht="13">
      <c r="B936" s="294"/>
      <c r="C936" s="294"/>
      <c r="D936" s="295"/>
    </row>
    <row r="937" spans="2:4" ht="13">
      <c r="B937" s="294"/>
      <c r="C937" s="294"/>
      <c r="D937" s="295"/>
    </row>
    <row r="938" spans="2:4" ht="13">
      <c r="B938" s="294"/>
      <c r="C938" s="294"/>
      <c r="D938" s="295"/>
    </row>
    <row r="939" spans="2:4" ht="13">
      <c r="B939" s="294"/>
      <c r="C939" s="294"/>
      <c r="D939" s="295"/>
    </row>
    <row r="940" spans="2:4" ht="13">
      <c r="B940" s="294"/>
      <c r="C940" s="294"/>
      <c r="D940" s="295"/>
    </row>
    <row r="941" spans="2:4" ht="13">
      <c r="B941" s="294"/>
      <c r="C941" s="294"/>
      <c r="D941" s="295"/>
    </row>
    <row r="942" spans="2:4" ht="13">
      <c r="B942" s="294"/>
      <c r="C942" s="294"/>
      <c r="D942" s="295"/>
    </row>
    <row r="943" spans="2:4" ht="13">
      <c r="B943" s="294"/>
      <c r="C943" s="294"/>
      <c r="D943" s="295"/>
    </row>
    <row r="944" spans="2:4" ht="13">
      <c r="B944" s="294"/>
      <c r="C944" s="294"/>
      <c r="D944" s="295"/>
    </row>
    <row r="945" spans="2:4" ht="13">
      <c r="B945" s="294"/>
      <c r="C945" s="294"/>
      <c r="D945" s="295"/>
    </row>
    <row r="946" spans="2:4" ht="13">
      <c r="B946" s="294"/>
      <c r="C946" s="294"/>
      <c r="D946" s="295"/>
    </row>
    <row r="947" spans="2:4" ht="13">
      <c r="B947" s="294"/>
      <c r="C947" s="294"/>
      <c r="D947" s="295"/>
    </row>
    <row r="948" spans="2:4" ht="13">
      <c r="B948" s="294"/>
      <c r="C948" s="294"/>
      <c r="D948" s="295"/>
    </row>
    <row r="949" spans="2:4" ht="13">
      <c r="B949" s="294"/>
      <c r="C949" s="294"/>
      <c r="D949" s="295"/>
    </row>
    <row r="950" spans="2:4" ht="13">
      <c r="B950" s="294"/>
      <c r="C950" s="294"/>
      <c r="D950" s="295"/>
    </row>
    <row r="951" spans="2:4" ht="13">
      <c r="B951" s="294"/>
      <c r="C951" s="294"/>
      <c r="D951" s="295"/>
    </row>
    <row r="952" spans="2:4" ht="13">
      <c r="B952" s="294"/>
      <c r="C952" s="294"/>
      <c r="D952" s="295"/>
    </row>
    <row r="953" spans="2:4" ht="13">
      <c r="B953" s="294"/>
      <c r="C953" s="294"/>
      <c r="D953" s="295"/>
    </row>
    <row r="954" spans="2:4" ht="13">
      <c r="B954" s="294"/>
      <c r="C954" s="294"/>
      <c r="D954" s="295"/>
    </row>
    <row r="955" spans="2:4" ht="13">
      <c r="B955" s="294"/>
      <c r="C955" s="294"/>
      <c r="D955" s="295"/>
    </row>
    <row r="956" spans="2:4" ht="13">
      <c r="B956" s="294"/>
      <c r="C956" s="294"/>
      <c r="D956" s="295"/>
    </row>
    <row r="957" spans="2:4" ht="13">
      <c r="B957" s="294"/>
      <c r="C957" s="294"/>
      <c r="D957" s="295"/>
    </row>
    <row r="958" spans="2:4" ht="13">
      <c r="B958" s="294"/>
      <c r="C958" s="294"/>
      <c r="D958" s="295"/>
    </row>
    <row r="959" spans="2:4" ht="13">
      <c r="B959" s="294"/>
      <c r="C959" s="294"/>
      <c r="D959" s="295"/>
    </row>
    <row r="960" spans="2:4" ht="13">
      <c r="B960" s="294"/>
      <c r="C960" s="294"/>
      <c r="D960" s="295"/>
    </row>
    <row r="961" spans="2:4" ht="13">
      <c r="B961" s="294"/>
      <c r="C961" s="294"/>
      <c r="D961" s="295"/>
    </row>
    <row r="962" spans="2:4" ht="13">
      <c r="B962" s="294"/>
      <c r="C962" s="294"/>
      <c r="D962" s="295"/>
    </row>
    <row r="963" spans="2:4" ht="13">
      <c r="B963" s="294"/>
      <c r="C963" s="294"/>
      <c r="D963" s="295"/>
    </row>
    <row r="964" spans="2:4" ht="13">
      <c r="B964" s="294"/>
      <c r="C964" s="294"/>
      <c r="D964" s="295"/>
    </row>
    <row r="965" spans="2:4" ht="13">
      <c r="B965" s="294"/>
      <c r="C965" s="294"/>
      <c r="D965" s="295"/>
    </row>
    <row r="966" spans="2:4" ht="13">
      <c r="B966" s="294"/>
      <c r="C966" s="294"/>
      <c r="D966" s="295"/>
    </row>
    <row r="967" spans="2:4" ht="13">
      <c r="B967" s="294"/>
      <c r="C967" s="294"/>
      <c r="D967" s="295"/>
    </row>
    <row r="968" spans="2:4" ht="13">
      <c r="B968" s="294"/>
      <c r="C968" s="294"/>
      <c r="D968" s="295"/>
    </row>
    <row r="969" spans="2:4" ht="13">
      <c r="B969" s="294"/>
      <c r="C969" s="294"/>
      <c r="D969" s="295"/>
    </row>
    <row r="970" spans="2:4" ht="13">
      <c r="B970" s="294"/>
      <c r="C970" s="294"/>
      <c r="D970" s="295"/>
    </row>
    <row r="971" spans="2:4" ht="13">
      <c r="B971" s="294"/>
      <c r="C971" s="294"/>
      <c r="D971" s="295"/>
    </row>
    <row r="972" spans="2:4" ht="13">
      <c r="B972" s="294"/>
      <c r="C972" s="294"/>
      <c r="D972" s="295"/>
    </row>
    <row r="973" spans="2:4" ht="13">
      <c r="B973" s="294"/>
      <c r="C973" s="294"/>
      <c r="D973" s="295"/>
    </row>
    <row r="974" spans="2:4" ht="13">
      <c r="B974" s="294"/>
      <c r="C974" s="294"/>
      <c r="D974" s="295"/>
    </row>
    <row r="975" spans="2:4" ht="13">
      <c r="B975" s="294"/>
      <c r="C975" s="294"/>
      <c r="D975" s="295"/>
    </row>
    <row r="976" spans="2:4" ht="13">
      <c r="B976" s="294"/>
      <c r="C976" s="294"/>
      <c r="D976" s="295"/>
    </row>
    <row r="977" spans="2:4" ht="13">
      <c r="B977" s="294"/>
      <c r="C977" s="294"/>
      <c r="D977" s="295"/>
    </row>
    <row r="978" spans="2:4" ht="13">
      <c r="B978" s="294"/>
      <c r="C978" s="294"/>
      <c r="D978" s="295"/>
    </row>
    <row r="979" spans="2:4" ht="13">
      <c r="B979" s="294"/>
      <c r="C979" s="294"/>
      <c r="D979" s="295"/>
    </row>
    <row r="980" spans="2:4" ht="13">
      <c r="B980" s="294"/>
      <c r="C980" s="294"/>
      <c r="D980" s="295"/>
    </row>
    <row r="981" spans="2:4" ht="13">
      <c r="B981" s="294"/>
      <c r="C981" s="294"/>
      <c r="D981" s="295"/>
    </row>
    <row r="982" spans="2:4" ht="13">
      <c r="B982" s="294"/>
      <c r="C982" s="294"/>
      <c r="D982" s="295"/>
    </row>
    <row r="983" spans="2:4" ht="13">
      <c r="B983" s="294"/>
      <c r="C983" s="294"/>
      <c r="D983" s="295"/>
    </row>
    <row r="984" spans="2:4" ht="13">
      <c r="B984" s="294"/>
      <c r="C984" s="294"/>
      <c r="D984" s="295"/>
    </row>
    <row r="985" spans="2:4" ht="13">
      <c r="B985" s="294"/>
      <c r="C985" s="294"/>
      <c r="D985" s="295"/>
    </row>
    <row r="986" spans="2:4" ht="13">
      <c r="B986" s="294"/>
      <c r="C986" s="294"/>
      <c r="D986" s="295"/>
    </row>
    <row r="987" spans="2:4" ht="13">
      <c r="B987" s="294"/>
      <c r="C987" s="294"/>
      <c r="D987" s="295"/>
    </row>
    <row r="988" spans="2:4" ht="13">
      <c r="B988" s="294"/>
      <c r="C988" s="294"/>
      <c r="D988" s="295"/>
    </row>
    <row r="989" spans="2:4" ht="13">
      <c r="B989" s="294"/>
      <c r="C989" s="294"/>
      <c r="D989" s="295"/>
    </row>
    <row r="990" spans="2:4" ht="13">
      <c r="B990" s="294"/>
      <c r="C990" s="294"/>
      <c r="D990" s="295"/>
    </row>
    <row r="991" spans="2:4" ht="13">
      <c r="B991" s="294"/>
      <c r="C991" s="294"/>
      <c r="D991" s="295"/>
    </row>
    <row r="992" spans="2:4" ht="13">
      <c r="B992" s="294"/>
      <c r="C992" s="294"/>
      <c r="D992" s="295"/>
    </row>
    <row r="993" spans="2:4" ht="13">
      <c r="B993" s="294"/>
      <c r="C993" s="294"/>
      <c r="D993" s="295"/>
    </row>
    <row r="994" spans="2:4" ht="13">
      <c r="B994" s="294"/>
      <c r="C994" s="294"/>
      <c r="D994" s="295"/>
    </row>
    <row r="995" spans="2:4" ht="13">
      <c r="B995" s="294"/>
      <c r="C995" s="294"/>
      <c r="D995" s="295"/>
    </row>
    <row r="996" spans="2:4" ht="13">
      <c r="B996" s="294"/>
      <c r="C996" s="294"/>
      <c r="D996" s="295"/>
    </row>
    <row r="997" spans="2:4" ht="13">
      <c r="B997" s="294"/>
      <c r="C997" s="294"/>
      <c r="D997" s="295"/>
    </row>
    <row r="998" spans="2:4" ht="13">
      <c r="B998" s="294"/>
      <c r="C998" s="294"/>
      <c r="D998" s="295"/>
    </row>
    <row r="999" spans="2:4" ht="13">
      <c r="B999" s="294"/>
      <c r="C999" s="294"/>
      <c r="D999" s="295"/>
    </row>
    <row r="1000" spans="2:4" ht="13">
      <c r="B1000" s="294"/>
      <c r="C1000" s="294"/>
      <c r="D1000" s="295"/>
    </row>
  </sheetData>
  <conditionalFormatting sqref="B1:S1">
    <cfRule type="cellIs" dxfId="73" priority="5" operator="equal">
      <formula>"15%"</formula>
    </cfRule>
  </conditionalFormatting>
  <conditionalFormatting sqref="C1">
    <cfRule type="cellIs" dxfId="72" priority="2" operator="equal">
      <formula>"12%"</formula>
    </cfRule>
    <cfRule type="cellIs" dxfId="71" priority="3" operator="equal">
      <formula>"5%"</formula>
    </cfRule>
    <cfRule type="cellIs" dxfId="70" priority="4" operator="equal">
      <formula>"10%"</formula>
    </cfRule>
    <cfRule type="cellIs" dxfId="69" priority="6" operator="equal">
      <formula>"10%"</formula>
    </cfRule>
    <cfRule type="cellIs" dxfId="68" priority="8" operator="equal">
      <formula>"5%"</formula>
    </cfRule>
    <cfRule type="cellIs" dxfId="67" priority="9" operator="equal">
      <formula>"18%"</formula>
    </cfRule>
  </conditionalFormatting>
  <conditionalFormatting sqref="C1:C1000">
    <cfRule type="containsText" dxfId="66" priority="10" operator="containsText" text="10%">
      <formula>NOT(ISERROR(SEARCH(("10%"),(C1))))</formula>
    </cfRule>
    <cfRule type="containsText" dxfId="65" priority="11" operator="containsText" text="5%">
      <formula>NOT(ISERROR(SEARCH(("5%"),(C1))))</formula>
    </cfRule>
    <cfRule type="containsText" dxfId="64" priority="12" operator="containsText" text="15%">
      <formula>NOT(ISERROR(SEARCH(("15%"),(C1))))</formula>
    </cfRule>
  </conditionalFormatting>
  <conditionalFormatting sqref="E1">
    <cfRule type="containsText" dxfId="63" priority="1" operator="containsText" text="/">
      <formula>NOT(ISERROR(SEARCH(("/"),(E1))))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outlinePr summaryBelow="0" summaryRight="0"/>
    <pageSetUpPr fitToPage="1"/>
  </sheetPr>
  <dimension ref="A1:CA992"/>
  <sheetViews>
    <sheetView showGridLines="0" topLeftCell="B1" workbookViewId="0"/>
  </sheetViews>
  <sheetFormatPr baseColWidth="10" defaultColWidth="12.6640625" defaultRowHeight="15.75" customHeight="1"/>
  <cols>
    <col min="1" max="1" width="9.83203125" hidden="1" customWidth="1"/>
    <col min="2" max="5" width="6.33203125" customWidth="1"/>
    <col min="6" max="6" width="36.6640625" customWidth="1"/>
    <col min="7" max="7" width="11.1640625" hidden="1" customWidth="1"/>
    <col min="8" max="8" width="12.6640625" hidden="1"/>
    <col min="12" max="13" width="12.6640625" hidden="1"/>
    <col min="14" max="14" width="10.83203125" hidden="1" customWidth="1"/>
    <col min="15" max="15" width="12.6640625" hidden="1"/>
    <col min="17" max="17" width="12.6640625" hidden="1"/>
    <col min="19" max="20" width="12.6640625" hidden="1"/>
    <col min="21" max="21" width="10.6640625" hidden="1" customWidth="1"/>
    <col min="22" max="22" width="12.6640625" hidden="1"/>
    <col min="24" max="24" width="12.6640625" hidden="1"/>
    <col min="26" max="28" width="12.6640625" hidden="1"/>
    <col min="31" max="31" width="12.6640625" hidden="1"/>
    <col min="34" max="34" width="10.1640625" customWidth="1"/>
    <col min="35" max="35" width="12.6640625" hidden="1"/>
    <col min="39" max="39" width="12.6640625" hidden="1"/>
    <col min="43" max="43" width="12.6640625" hidden="1"/>
    <col min="62" max="79" width="12.6640625" hidden="1"/>
  </cols>
  <sheetData>
    <row r="1" spans="1:79" ht="28">
      <c r="A1" s="1367" t="s">
        <v>19</v>
      </c>
      <c r="B1" s="514" t="s">
        <v>20</v>
      </c>
      <c r="C1" s="514" t="s">
        <v>21</v>
      </c>
      <c r="D1" s="514" t="s">
        <v>22</v>
      </c>
      <c r="E1" s="1368" t="s">
        <v>23</v>
      </c>
      <c r="F1" s="1369" t="s">
        <v>24</v>
      </c>
      <c r="G1" s="1242">
        <v>45681</v>
      </c>
      <c r="H1" s="826" t="s">
        <v>989</v>
      </c>
      <c r="I1" s="78" t="s">
        <v>26</v>
      </c>
      <c r="J1" s="79" t="s">
        <v>27</v>
      </c>
      <c r="K1" s="518" t="s">
        <v>28</v>
      </c>
      <c r="L1" s="519" t="s">
        <v>29</v>
      </c>
      <c r="M1" s="520" t="s">
        <v>30</v>
      </c>
      <c r="N1" s="536">
        <v>45712</v>
      </c>
      <c r="O1" s="1370" t="s">
        <v>990</v>
      </c>
      <c r="P1" s="78" t="s">
        <v>26</v>
      </c>
      <c r="Q1" s="79" t="s">
        <v>27</v>
      </c>
      <c r="R1" s="518" t="s">
        <v>831</v>
      </c>
      <c r="S1" s="519" t="s">
        <v>29</v>
      </c>
      <c r="T1" s="520" t="s">
        <v>30</v>
      </c>
      <c r="U1" s="536">
        <v>45740</v>
      </c>
      <c r="V1" s="1370" t="s">
        <v>679</v>
      </c>
      <c r="W1" s="78" t="s">
        <v>26</v>
      </c>
      <c r="X1" s="79" t="s">
        <v>27</v>
      </c>
      <c r="Y1" s="518" t="s">
        <v>34</v>
      </c>
      <c r="Z1" s="519" t="s">
        <v>29</v>
      </c>
      <c r="AA1" s="520" t="s">
        <v>30</v>
      </c>
      <c r="AB1" s="1371" t="s">
        <v>35</v>
      </c>
      <c r="AC1" s="528" t="s">
        <v>36</v>
      </c>
      <c r="AD1" s="523" t="s">
        <v>26</v>
      </c>
      <c r="AE1" s="79" t="s">
        <v>27</v>
      </c>
      <c r="AF1" s="524" t="s">
        <v>41</v>
      </c>
      <c r="AG1" s="525" t="s">
        <v>29</v>
      </c>
      <c r="AH1" s="520" t="s">
        <v>30</v>
      </c>
      <c r="AI1" s="77">
        <v>45771</v>
      </c>
      <c r="AJ1" s="78" t="s">
        <v>26</v>
      </c>
      <c r="AK1" s="79" t="s">
        <v>27</v>
      </c>
      <c r="AL1" s="518" t="s">
        <v>38</v>
      </c>
      <c r="AM1" s="77">
        <v>45801</v>
      </c>
      <c r="AN1" s="78" t="s">
        <v>26</v>
      </c>
      <c r="AO1" s="79" t="s">
        <v>27</v>
      </c>
      <c r="AP1" s="518" t="s">
        <v>39</v>
      </c>
      <c r="AQ1" s="81">
        <v>45832</v>
      </c>
      <c r="AR1" s="82"/>
      <c r="AS1" s="82"/>
      <c r="AT1" s="82"/>
      <c r="AU1" s="1304" t="s">
        <v>250</v>
      </c>
      <c r="AV1" s="1304" t="s">
        <v>51</v>
      </c>
      <c r="AW1" s="1305" t="s">
        <v>52</v>
      </c>
      <c r="AX1" s="1305" t="s">
        <v>1125</v>
      </c>
      <c r="AY1" s="1305" t="s">
        <v>835</v>
      </c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</row>
    <row r="2" spans="1:79" ht="13">
      <c r="A2" s="463">
        <f t="shared" ref="A2:A33" si="0">VLOOKUP(F2,ROTELACARTERA,3,FALSE)</f>
        <v>112013682</v>
      </c>
      <c r="B2" s="501">
        <f t="shared" ref="B2:B33" si="1">VLOOKUP(F2,ROTELACARTERA,2,FALSE)</f>
        <v>28</v>
      </c>
      <c r="C2" s="699">
        <f t="shared" ref="C2:C33" si="2">IFERROR(VLOOKUP(B2,DES,2,FALSE),"")</f>
        <v>0.15</v>
      </c>
      <c r="D2" s="699">
        <f t="shared" ref="D2:D33" si="3">IFERROR(VLOOKUP(B2,DES,3,FALSE),"")</f>
        <v>0</v>
      </c>
      <c r="E2" s="699">
        <f t="shared" ref="E2:E33" si="4">IFERROR(VLOOKUP(B2,DES,4,FALSE),"")</f>
        <v>0</v>
      </c>
      <c r="F2" s="463" t="s">
        <v>1400</v>
      </c>
      <c r="G2" s="116">
        <f t="shared" ref="G2:G28" si="5">IFERROR(VLOOKUP(F2,tmkpechhhh24,3,FALSE),"")</f>
        <v>0</v>
      </c>
      <c r="H2" s="705">
        <v>3000000</v>
      </c>
      <c r="I2" s="113">
        <f t="shared" ref="I2:I118" si="6">K2-J2</f>
        <v>0</v>
      </c>
      <c r="J2" s="116" t="str">
        <f t="shared" ref="J2:J33" si="7">IFERROR(VLOOKUP(F2,ROTELALIM,3,FALSE),"0")</f>
        <v>0</v>
      </c>
      <c r="K2" s="117" t="str">
        <f t="shared" ref="K2:K33" si="8">IFERROR(VLOOKUP(F2,ROTEFC,3,FALSE),"0")</f>
        <v>0</v>
      </c>
      <c r="L2" s="123"/>
      <c r="M2" s="326"/>
      <c r="N2" s="326">
        <f t="shared" ref="N2:N28" si="9">IFERROR(VLOOKUP(F2,tmkpechhhh24,4,FALSE),"")</f>
        <v>0</v>
      </c>
      <c r="O2" s="332">
        <f t="shared" ref="O2:O3" si="10">(N2*1.7245)*1.05</f>
        <v>0</v>
      </c>
      <c r="P2" s="140">
        <f t="shared" ref="P2:P118" si="11">R2-Q2</f>
        <v>0</v>
      </c>
      <c r="Q2" s="326" t="str">
        <f t="shared" ref="Q2:Q33" si="12">IFERROR(VLOOKUP(F2,ROTELALIM,4,FALSE),"0")</f>
        <v>0</v>
      </c>
      <c r="R2" s="333" t="str">
        <f t="shared" ref="R2:R33" si="13">IFERROR(VLOOKUP(F2,ROTEFC,4,FALSE),"0")</f>
        <v>0</v>
      </c>
      <c r="S2" s="123"/>
      <c r="T2" s="326"/>
      <c r="U2" s="326">
        <f t="shared" ref="U2:U28" si="14">IFERROR(VLOOKUP(F2,tmkpechhhh24,5,FALSE),"")</f>
        <v>0</v>
      </c>
      <c r="V2" s="332">
        <v>3000000</v>
      </c>
      <c r="W2" s="140">
        <f t="shared" ref="W2:W118" si="15">Y2-X2</f>
        <v>0</v>
      </c>
      <c r="X2" s="326" t="str">
        <f t="shared" ref="X2:X33" si="16">IFERROR(VLOOKUP(F2,ROTELALIM,5,FALSE),"0")</f>
        <v>0</v>
      </c>
      <c r="Y2" s="333" t="str">
        <f t="shared" ref="Y2:Y33" si="17">IFERROR(VLOOKUP(F2,ROTEFC,5,FALSE),"0")</f>
        <v>0</v>
      </c>
      <c r="Z2" s="123"/>
      <c r="AA2" s="326"/>
      <c r="AB2" s="1257">
        <f t="shared" ref="AB2:AB32" si="18">H2+O2+V2</f>
        <v>6000000</v>
      </c>
      <c r="AC2" s="140">
        <f t="shared" ref="AC2:AC7" si="19">VLOOKUP(F2,trim2024,2,FALSE)</f>
        <v>11249694.93</v>
      </c>
      <c r="AD2" s="326">
        <f t="shared" ref="AD2:AF2" si="20">SUM(W2,P2,I2)</f>
        <v>0</v>
      </c>
      <c r="AE2" s="326">
        <f t="shared" si="20"/>
        <v>0</v>
      </c>
      <c r="AF2" s="326">
        <f t="shared" si="20"/>
        <v>0</v>
      </c>
      <c r="AG2" s="326">
        <f t="shared" ref="AG2:AG119" si="21">AF2-AC2</f>
        <v>-11249694.93</v>
      </c>
      <c r="AH2" s="98">
        <f t="shared" ref="AH2:AH7" si="22">AF2/AC2</f>
        <v>0</v>
      </c>
      <c r="AI2" s="125">
        <f t="shared" ref="AI2:AI28" si="23">IFERROR(VLOOKUP(F2,tmkpechhhh24,6,FALSE),"")</f>
        <v>0</v>
      </c>
      <c r="AJ2" s="140">
        <f t="shared" ref="AJ2:AJ118" si="24">AL2-AK2</f>
        <v>0</v>
      </c>
      <c r="AK2" s="123" t="str">
        <f t="shared" ref="AK2:AK33" si="25">IFERROR(VLOOKUP(F2,ROTELALIM,6,FALSE),"0")</f>
        <v>0</v>
      </c>
      <c r="AL2" s="148" t="str">
        <f t="shared" ref="AL2:AL33" si="26">IFERROR(VLOOKUP(F2,ROTEFC,6,FALSE),"0")</f>
        <v>0</v>
      </c>
      <c r="AM2" s="125">
        <f t="shared" ref="AM2:AM28" si="27">IFERROR(VLOOKUP(F2,tmkpechhhh24,7,FALSE),"")</f>
        <v>0</v>
      </c>
      <c r="AN2" s="140">
        <f t="shared" ref="AN2:AN118" si="28">AP2-AO2</f>
        <v>0</v>
      </c>
      <c r="AO2" s="326" t="str">
        <f>IFERROR(VLOOKUP(F2,ROTELALIM,7,FALSE),"0")</f>
        <v>0</v>
      </c>
      <c r="AP2" s="333" t="str">
        <f>IFERROR(VLOOKUP(F2,ROTEFC,7,FALSE),"0")</f>
        <v>0</v>
      </c>
      <c r="AQ2" s="296" t="str">
        <f t="shared" ref="AQ2:AQ33" si="29">IFERROR(VLOOKUP(F2,tmkpechhhh24,,FALSE),"")</f>
        <v/>
      </c>
      <c r="AU2" s="842"/>
      <c r="AV2" s="440"/>
      <c r="AW2" s="440"/>
      <c r="AX2" s="440"/>
      <c r="AY2" s="440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</row>
    <row r="3" spans="1:79" ht="13">
      <c r="A3" s="463">
        <f t="shared" si="0"/>
        <v>112013788</v>
      </c>
      <c r="B3" s="324">
        <f t="shared" si="1"/>
        <v>28</v>
      </c>
      <c r="C3" s="558">
        <f t="shared" si="2"/>
        <v>0.15</v>
      </c>
      <c r="D3" s="558">
        <f t="shared" si="3"/>
        <v>0</v>
      </c>
      <c r="E3" s="558">
        <f t="shared" si="4"/>
        <v>0</v>
      </c>
      <c r="F3" s="325" t="s">
        <v>1403</v>
      </c>
      <c r="G3" s="326">
        <f t="shared" si="5"/>
        <v>1657695.09</v>
      </c>
      <c r="H3" s="432">
        <v>3000000</v>
      </c>
      <c r="I3" s="113">
        <f t="shared" si="6"/>
        <v>6618838.6799999997</v>
      </c>
      <c r="J3" s="116" t="str">
        <f t="shared" si="7"/>
        <v>0</v>
      </c>
      <c r="K3" s="117">
        <f t="shared" si="8"/>
        <v>6618838.6799999997</v>
      </c>
      <c r="L3" s="123"/>
      <c r="M3" s="326"/>
      <c r="N3" s="326">
        <f t="shared" si="9"/>
        <v>1760478.65</v>
      </c>
      <c r="O3" s="332">
        <f t="shared" si="10"/>
        <v>3187742.7035212498</v>
      </c>
      <c r="P3" s="140">
        <f t="shared" si="11"/>
        <v>2924475.32</v>
      </c>
      <c r="Q3" s="326" t="str">
        <f t="shared" si="12"/>
        <v>0</v>
      </c>
      <c r="R3" s="333">
        <f t="shared" si="13"/>
        <v>2924475.32</v>
      </c>
      <c r="S3" s="123"/>
      <c r="T3" s="326"/>
      <c r="U3" s="326">
        <f t="shared" si="14"/>
        <v>2466139.21</v>
      </c>
      <c r="V3" s="332">
        <v>3000000</v>
      </c>
      <c r="W3" s="140">
        <f t="shared" si="15"/>
        <v>0</v>
      </c>
      <c r="X3" s="326" t="str">
        <f t="shared" si="16"/>
        <v>0</v>
      </c>
      <c r="Y3" s="333">
        <f t="shared" si="17"/>
        <v>0</v>
      </c>
      <c r="Z3" s="123"/>
      <c r="AA3" s="326"/>
      <c r="AB3" s="1257">
        <f t="shared" si="18"/>
        <v>9187742.7035212498</v>
      </c>
      <c r="AC3" s="140">
        <f t="shared" si="19"/>
        <v>18135126.309999999</v>
      </c>
      <c r="AD3" s="326">
        <f t="shared" ref="AD3:AF3" si="30">SUM(W3,P3,I3)</f>
        <v>9543314</v>
      </c>
      <c r="AE3" s="326">
        <f t="shared" si="30"/>
        <v>0</v>
      </c>
      <c r="AF3" s="326">
        <f t="shared" si="30"/>
        <v>9543314</v>
      </c>
      <c r="AG3" s="326">
        <f t="shared" si="21"/>
        <v>-8591812.3099999987</v>
      </c>
      <c r="AH3" s="98">
        <f t="shared" si="22"/>
        <v>0.52623366591815046</v>
      </c>
      <c r="AI3" s="125">
        <f t="shared" si="23"/>
        <v>4249116.5999999996</v>
      </c>
      <c r="AJ3" s="140">
        <f t="shared" si="24"/>
        <v>4832298.1500000004</v>
      </c>
      <c r="AK3" s="123" t="str">
        <f t="shared" si="25"/>
        <v>0</v>
      </c>
      <c r="AL3" s="148">
        <f t="shared" si="26"/>
        <v>4832298.1500000004</v>
      </c>
      <c r="AM3" s="125">
        <f t="shared" si="27"/>
        <v>936277.52</v>
      </c>
      <c r="AN3" s="140">
        <f t="shared" si="28"/>
        <v>2424762.7599999998</v>
      </c>
      <c r="AO3" s="326" t="str">
        <f>IFERROR(VLOOKUP(F3,ROTELALIM,7,FALSE),"0")</f>
        <v>0</v>
      </c>
      <c r="AP3" s="333">
        <v>2424762.7599999998</v>
      </c>
      <c r="AQ3" s="296" t="str">
        <f t="shared" si="29"/>
        <v/>
      </c>
      <c r="AU3" s="190">
        <v>0.15</v>
      </c>
      <c r="AV3" s="440"/>
      <c r="AW3" s="440">
        <v>24</v>
      </c>
      <c r="AX3" s="440">
        <v>21</v>
      </c>
      <c r="AY3" s="440">
        <v>21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</row>
    <row r="4" spans="1:79" ht="13">
      <c r="A4" s="463">
        <f t="shared" si="0"/>
        <v>112014479</v>
      </c>
      <c r="B4" s="324">
        <f t="shared" si="1"/>
        <v>14</v>
      </c>
      <c r="C4" s="558">
        <f t="shared" si="2"/>
        <v>0.15</v>
      </c>
      <c r="D4" s="558">
        <f t="shared" si="3"/>
        <v>0.2</v>
      </c>
      <c r="E4" s="558">
        <f t="shared" si="4"/>
        <v>0.23</v>
      </c>
      <c r="F4" s="325" t="s">
        <v>994</v>
      </c>
      <c r="G4" s="326">
        <f t="shared" si="5"/>
        <v>1135038.3500000001</v>
      </c>
      <c r="H4" s="432">
        <v>3000000</v>
      </c>
      <c r="I4" s="113">
        <f t="shared" si="6"/>
        <v>2243896.4700000002</v>
      </c>
      <c r="J4" s="116">
        <f t="shared" si="7"/>
        <v>313685.86</v>
      </c>
      <c r="K4" s="117">
        <f t="shared" si="8"/>
        <v>2557582.33</v>
      </c>
      <c r="L4" s="123"/>
      <c r="M4" s="326"/>
      <c r="N4" s="326">
        <f t="shared" si="9"/>
        <v>1313446.28</v>
      </c>
      <c r="O4" s="332">
        <v>3000000</v>
      </c>
      <c r="P4" s="140">
        <f t="shared" si="11"/>
        <v>1828592.6600000001</v>
      </c>
      <c r="Q4" s="326">
        <f t="shared" si="12"/>
        <v>135567.62</v>
      </c>
      <c r="R4" s="333">
        <f t="shared" si="13"/>
        <v>1964160.28</v>
      </c>
      <c r="S4" s="123"/>
      <c r="T4" s="326"/>
      <c r="U4" s="326">
        <f t="shared" si="14"/>
        <v>1777045.85</v>
      </c>
      <c r="V4" s="332">
        <v>3000000</v>
      </c>
      <c r="W4" s="140">
        <f t="shared" si="15"/>
        <v>2160060.6500000004</v>
      </c>
      <c r="X4" s="326">
        <f t="shared" si="16"/>
        <v>156881.57</v>
      </c>
      <c r="Y4" s="333">
        <f t="shared" si="17"/>
        <v>2316942.2200000002</v>
      </c>
      <c r="Z4" s="123"/>
      <c r="AA4" s="326"/>
      <c r="AB4" s="1257">
        <f t="shared" si="18"/>
        <v>9000000</v>
      </c>
      <c r="AC4" s="140">
        <f t="shared" si="19"/>
        <v>10716011.779999999</v>
      </c>
      <c r="AD4" s="326">
        <f t="shared" ref="AD4:AF4" si="31">SUM(W4,P4,I4)</f>
        <v>6232549.7800000012</v>
      </c>
      <c r="AE4" s="326">
        <f t="shared" si="31"/>
        <v>606135.05000000005</v>
      </c>
      <c r="AF4" s="326">
        <f t="shared" si="31"/>
        <v>6838684.8300000001</v>
      </c>
      <c r="AG4" s="326">
        <f t="shared" si="21"/>
        <v>-3877326.9499999993</v>
      </c>
      <c r="AH4" s="98">
        <f t="shared" si="22"/>
        <v>0.63817444123787637</v>
      </c>
      <c r="AI4" s="125">
        <f t="shared" si="23"/>
        <v>1902612.84</v>
      </c>
      <c r="AJ4" s="140">
        <f t="shared" si="24"/>
        <v>1810221.24</v>
      </c>
      <c r="AK4" s="123">
        <f t="shared" si="25"/>
        <v>623809.76</v>
      </c>
      <c r="AL4" s="148">
        <f t="shared" si="26"/>
        <v>2434031</v>
      </c>
      <c r="AM4" s="125">
        <f t="shared" si="27"/>
        <v>1732978.68</v>
      </c>
      <c r="AN4" s="140">
        <f t="shared" si="28"/>
        <v>1498381.02</v>
      </c>
      <c r="AO4" s="326">
        <v>590494.15</v>
      </c>
      <c r="AP4" s="333">
        <v>2088875.17</v>
      </c>
      <c r="AQ4" s="296" t="str">
        <f t="shared" si="29"/>
        <v/>
      </c>
      <c r="AU4" s="847">
        <v>0.12</v>
      </c>
      <c r="AV4" s="440"/>
      <c r="AW4" s="440">
        <v>3</v>
      </c>
      <c r="AX4" s="440">
        <v>0</v>
      </c>
      <c r="AY4" s="440">
        <v>0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</row>
    <row r="5" spans="1:79" ht="13">
      <c r="A5" s="463">
        <f t="shared" si="0"/>
        <v>112013143</v>
      </c>
      <c r="B5" s="324">
        <f t="shared" si="1"/>
        <v>12</v>
      </c>
      <c r="C5" s="558">
        <f t="shared" si="2"/>
        <v>0.15</v>
      </c>
      <c r="D5" s="558">
        <f t="shared" si="3"/>
        <v>0.09</v>
      </c>
      <c r="E5" s="558">
        <f t="shared" si="4"/>
        <v>0</v>
      </c>
      <c r="F5" s="325" t="s">
        <v>1532</v>
      </c>
      <c r="G5" s="326" t="str">
        <f t="shared" si="5"/>
        <v/>
      </c>
      <c r="H5" s="432">
        <v>3000000</v>
      </c>
      <c r="I5" s="113">
        <f t="shared" si="6"/>
        <v>4699117.16</v>
      </c>
      <c r="J5" s="116" t="str">
        <f t="shared" si="7"/>
        <v>0</v>
      </c>
      <c r="K5" s="117">
        <f t="shared" si="8"/>
        <v>4699117.16</v>
      </c>
      <c r="L5" s="123"/>
      <c r="M5" s="326"/>
      <c r="N5" s="326" t="str">
        <f t="shared" si="9"/>
        <v/>
      </c>
      <c r="O5" s="332">
        <v>3000000</v>
      </c>
      <c r="P5" s="140">
        <f t="shared" si="11"/>
        <v>2201563.67</v>
      </c>
      <c r="Q5" s="326" t="str">
        <f t="shared" si="12"/>
        <v>0</v>
      </c>
      <c r="R5" s="333">
        <f t="shared" si="13"/>
        <v>2201563.67</v>
      </c>
      <c r="S5" s="123"/>
      <c r="T5" s="326"/>
      <c r="U5" s="326" t="str">
        <f t="shared" si="14"/>
        <v/>
      </c>
      <c r="V5" s="332">
        <v>3000000</v>
      </c>
      <c r="W5" s="140">
        <f t="shared" si="15"/>
        <v>2265900.61</v>
      </c>
      <c r="X5" s="326" t="str">
        <f t="shared" si="16"/>
        <v>0</v>
      </c>
      <c r="Y5" s="333">
        <f t="shared" si="17"/>
        <v>2265900.61</v>
      </c>
      <c r="Z5" s="123"/>
      <c r="AA5" s="326"/>
      <c r="AB5" s="1257">
        <f t="shared" si="18"/>
        <v>9000000</v>
      </c>
      <c r="AC5" s="140">
        <f t="shared" si="19"/>
        <v>12921135.74</v>
      </c>
      <c r="AD5" s="326">
        <f t="shared" ref="AD5:AF5" si="32">SUM(W5,P5,I5)</f>
        <v>9166581.4399999995</v>
      </c>
      <c r="AE5" s="326">
        <f t="shared" si="32"/>
        <v>0</v>
      </c>
      <c r="AF5" s="326">
        <f t="shared" si="32"/>
        <v>9166581.4399999995</v>
      </c>
      <c r="AG5" s="326">
        <f t="shared" si="21"/>
        <v>-3754554.3000000007</v>
      </c>
      <c r="AH5" s="98">
        <f t="shared" si="22"/>
        <v>0.70942536511113219</v>
      </c>
      <c r="AI5" s="125" t="str">
        <f t="shared" si="23"/>
        <v/>
      </c>
      <c r="AJ5" s="140">
        <f t="shared" si="24"/>
        <v>2835429.08</v>
      </c>
      <c r="AK5" s="123" t="str">
        <f t="shared" si="25"/>
        <v>0</v>
      </c>
      <c r="AL5" s="148">
        <f t="shared" si="26"/>
        <v>2835429.08</v>
      </c>
      <c r="AM5" s="125" t="str">
        <f t="shared" si="27"/>
        <v/>
      </c>
      <c r="AN5" s="140">
        <f t="shared" si="28"/>
        <v>3291082.84</v>
      </c>
      <c r="AO5" s="326"/>
      <c r="AP5" s="333">
        <v>3291082.84</v>
      </c>
      <c r="AQ5" s="296" t="str">
        <f t="shared" si="29"/>
        <v/>
      </c>
      <c r="AU5" s="848">
        <v>0.1</v>
      </c>
      <c r="AV5" s="440"/>
      <c r="AW5" s="440">
        <v>66</v>
      </c>
      <c r="AX5" s="440">
        <v>66</v>
      </c>
      <c r="AY5" s="440">
        <v>65</v>
      </c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</row>
    <row r="6" spans="1:79" ht="13">
      <c r="A6" s="463">
        <f t="shared" si="0"/>
        <v>112013625</v>
      </c>
      <c r="B6" s="324">
        <f t="shared" si="1"/>
        <v>12</v>
      </c>
      <c r="C6" s="558">
        <f t="shared" si="2"/>
        <v>0.15</v>
      </c>
      <c r="D6" s="558">
        <f t="shared" si="3"/>
        <v>0.09</v>
      </c>
      <c r="E6" s="558">
        <f t="shared" si="4"/>
        <v>0</v>
      </c>
      <c r="F6" s="325" t="s">
        <v>1270</v>
      </c>
      <c r="G6" s="326">
        <f t="shared" si="5"/>
        <v>1351429.36</v>
      </c>
      <c r="H6" s="432">
        <v>3000000</v>
      </c>
      <c r="I6" s="113">
        <f t="shared" si="6"/>
        <v>2107565.0299999998</v>
      </c>
      <c r="J6" s="116" t="str">
        <f t="shared" si="7"/>
        <v>0</v>
      </c>
      <c r="K6" s="117">
        <f t="shared" si="8"/>
        <v>2107565.0299999998</v>
      </c>
      <c r="L6" s="123"/>
      <c r="M6" s="326"/>
      <c r="N6" s="326">
        <f t="shared" si="9"/>
        <v>1198973.2</v>
      </c>
      <c r="O6" s="332">
        <v>3000000</v>
      </c>
      <c r="P6" s="140">
        <f t="shared" si="11"/>
        <v>1384764.2</v>
      </c>
      <c r="Q6" s="326" t="str">
        <f t="shared" si="12"/>
        <v>0</v>
      </c>
      <c r="R6" s="333">
        <f t="shared" si="13"/>
        <v>1384764.2</v>
      </c>
      <c r="S6" s="123"/>
      <c r="T6" s="326"/>
      <c r="U6" s="326">
        <f t="shared" si="14"/>
        <v>876228.2</v>
      </c>
      <c r="V6" s="332">
        <v>3000000</v>
      </c>
      <c r="W6" s="140">
        <f t="shared" si="15"/>
        <v>2415251.2200000002</v>
      </c>
      <c r="X6" s="326" t="str">
        <f t="shared" si="16"/>
        <v>0</v>
      </c>
      <c r="Y6" s="333">
        <f t="shared" si="17"/>
        <v>2415251.2200000002</v>
      </c>
      <c r="Z6" s="123"/>
      <c r="AA6" s="326"/>
      <c r="AB6" s="1257">
        <f t="shared" si="18"/>
        <v>9000000</v>
      </c>
      <c r="AC6" s="140">
        <f t="shared" si="19"/>
        <v>5147028.79</v>
      </c>
      <c r="AD6" s="326">
        <f t="shared" ref="AD6:AF6" si="33">SUM(W6,P6,I6)</f>
        <v>5907580.4499999993</v>
      </c>
      <c r="AE6" s="326">
        <f t="shared" si="33"/>
        <v>0</v>
      </c>
      <c r="AF6" s="326">
        <f t="shared" si="33"/>
        <v>5907580.4499999993</v>
      </c>
      <c r="AG6" s="326">
        <f t="shared" si="21"/>
        <v>760551.65999999922</v>
      </c>
      <c r="AH6" s="98">
        <f t="shared" si="22"/>
        <v>1.147765184736804</v>
      </c>
      <c r="AI6" s="125">
        <f t="shared" si="23"/>
        <v>851643.76</v>
      </c>
      <c r="AJ6" s="140">
        <f t="shared" si="24"/>
        <v>1581873.12</v>
      </c>
      <c r="AK6" s="123" t="str">
        <f t="shared" si="25"/>
        <v>0</v>
      </c>
      <c r="AL6" s="148">
        <f t="shared" si="26"/>
        <v>1581873.12</v>
      </c>
      <c r="AM6" s="125">
        <f t="shared" si="27"/>
        <v>986193.32</v>
      </c>
      <c r="AN6" s="140">
        <f t="shared" si="28"/>
        <v>508973.67</v>
      </c>
      <c r="AO6" s="326"/>
      <c r="AP6" s="333">
        <v>508973.67</v>
      </c>
      <c r="AQ6" s="296" t="str">
        <f t="shared" si="29"/>
        <v/>
      </c>
      <c r="AU6" s="850">
        <v>0.05</v>
      </c>
      <c r="AV6" s="449"/>
      <c r="AW6" s="449">
        <v>8</v>
      </c>
      <c r="AX6" s="449">
        <v>8</v>
      </c>
      <c r="AY6" s="449">
        <v>8</v>
      </c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</row>
    <row r="7" spans="1:79" ht="13">
      <c r="A7" s="463">
        <f t="shared" si="0"/>
        <v>112013984</v>
      </c>
      <c r="B7" s="324">
        <f t="shared" si="1"/>
        <v>12</v>
      </c>
      <c r="C7" s="558">
        <f t="shared" si="2"/>
        <v>0.15</v>
      </c>
      <c r="D7" s="558">
        <f t="shared" si="3"/>
        <v>0.09</v>
      </c>
      <c r="E7" s="558">
        <f t="shared" si="4"/>
        <v>0</v>
      </c>
      <c r="F7" s="325" t="s">
        <v>1269</v>
      </c>
      <c r="G7" s="326">
        <f t="shared" si="5"/>
        <v>888425.24</v>
      </c>
      <c r="H7" s="432">
        <v>3000000</v>
      </c>
      <c r="I7" s="113">
        <f t="shared" si="6"/>
        <v>1184052.1299999999</v>
      </c>
      <c r="J7" s="116">
        <f t="shared" si="7"/>
        <v>469621.11</v>
      </c>
      <c r="K7" s="117">
        <f t="shared" si="8"/>
        <v>1653673.24</v>
      </c>
      <c r="L7" s="123"/>
      <c r="M7" s="326"/>
      <c r="N7" s="326">
        <f t="shared" si="9"/>
        <v>381117.19</v>
      </c>
      <c r="O7" s="332">
        <v>3000000</v>
      </c>
      <c r="P7" s="140">
        <f t="shared" si="11"/>
        <v>332249.58</v>
      </c>
      <c r="Q7" s="326">
        <f t="shared" si="12"/>
        <v>297129.21000000002</v>
      </c>
      <c r="R7" s="333">
        <f t="shared" si="13"/>
        <v>629378.79</v>
      </c>
      <c r="S7" s="123"/>
      <c r="T7" s="326"/>
      <c r="U7" s="326">
        <f t="shared" si="14"/>
        <v>598497.31999999995</v>
      </c>
      <c r="V7" s="332">
        <v>3000000</v>
      </c>
      <c r="W7" s="140">
        <f t="shared" si="15"/>
        <v>806199.22999999986</v>
      </c>
      <c r="X7" s="326">
        <f t="shared" si="16"/>
        <v>718893.9</v>
      </c>
      <c r="Y7" s="333">
        <f t="shared" si="17"/>
        <v>1525093.13</v>
      </c>
      <c r="Z7" s="123"/>
      <c r="AA7" s="326"/>
      <c r="AB7" s="1257">
        <f t="shared" si="18"/>
        <v>9000000</v>
      </c>
      <c r="AC7" s="140">
        <f t="shared" si="19"/>
        <v>5036311.5599999996</v>
      </c>
      <c r="AD7" s="326">
        <f t="shared" ref="AD7:AF7" si="34">SUM(W7,P7,I7)</f>
        <v>2322500.9399999995</v>
      </c>
      <c r="AE7" s="326">
        <f t="shared" si="34"/>
        <v>1485644.2200000002</v>
      </c>
      <c r="AF7" s="326">
        <f t="shared" si="34"/>
        <v>3808145.16</v>
      </c>
      <c r="AG7" s="326">
        <f t="shared" si="21"/>
        <v>-1228166.3999999994</v>
      </c>
      <c r="AH7" s="98">
        <f t="shared" si="22"/>
        <v>0.75613772393382284</v>
      </c>
      <c r="AI7" s="125">
        <f t="shared" si="23"/>
        <v>808790.68</v>
      </c>
      <c r="AJ7" s="140">
        <f t="shared" si="24"/>
        <v>1200752.7000000002</v>
      </c>
      <c r="AK7" s="123">
        <f t="shared" si="25"/>
        <v>759076.6</v>
      </c>
      <c r="AL7" s="148">
        <f t="shared" si="26"/>
        <v>1959829.3</v>
      </c>
      <c r="AM7" s="125">
        <f t="shared" si="27"/>
        <v>878912.38</v>
      </c>
      <c r="AN7" s="140">
        <f t="shared" si="28"/>
        <v>530414.5</v>
      </c>
      <c r="AO7" s="326">
        <v>457081.33</v>
      </c>
      <c r="AP7" s="333">
        <v>987495.83</v>
      </c>
      <c r="AQ7" s="296" t="str">
        <f t="shared" si="29"/>
        <v/>
      </c>
      <c r="AU7" s="852" t="s">
        <v>4</v>
      </c>
      <c r="AV7" s="449"/>
      <c r="AW7" s="449">
        <v>21</v>
      </c>
      <c r="AX7" s="449">
        <v>26</v>
      </c>
      <c r="AY7" s="449">
        <v>23</v>
      </c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</row>
    <row r="8" spans="1:79" ht="13">
      <c r="A8" s="463">
        <f t="shared" si="0"/>
        <v>112014534</v>
      </c>
      <c r="B8" s="324">
        <f t="shared" si="1"/>
        <v>12</v>
      </c>
      <c r="C8" s="558">
        <f t="shared" si="2"/>
        <v>0.15</v>
      </c>
      <c r="D8" s="558">
        <f t="shared" si="3"/>
        <v>0.09</v>
      </c>
      <c r="E8" s="558">
        <f t="shared" si="4"/>
        <v>0</v>
      </c>
      <c r="F8" s="325" t="s">
        <v>1398</v>
      </c>
      <c r="G8" s="326">
        <f t="shared" si="5"/>
        <v>0</v>
      </c>
      <c r="H8" s="432">
        <v>3000000</v>
      </c>
      <c r="I8" s="113">
        <f t="shared" si="6"/>
        <v>0</v>
      </c>
      <c r="J8" s="116" t="str">
        <f t="shared" si="7"/>
        <v>0</v>
      </c>
      <c r="K8" s="117" t="str">
        <f t="shared" si="8"/>
        <v>0</v>
      </c>
      <c r="L8" s="123"/>
      <c r="M8" s="326"/>
      <c r="N8" s="326">
        <f t="shared" si="9"/>
        <v>0</v>
      </c>
      <c r="O8" s="332">
        <v>3000000</v>
      </c>
      <c r="P8" s="140">
        <f t="shared" si="11"/>
        <v>0</v>
      </c>
      <c r="Q8" s="326" t="str">
        <f t="shared" si="12"/>
        <v>0</v>
      </c>
      <c r="R8" s="333" t="str">
        <f t="shared" si="13"/>
        <v>0</v>
      </c>
      <c r="S8" s="123"/>
      <c r="T8" s="326"/>
      <c r="U8" s="326">
        <f t="shared" si="14"/>
        <v>6207982.2000000002</v>
      </c>
      <c r="V8" s="332">
        <v>3000000</v>
      </c>
      <c r="W8" s="140">
        <f t="shared" si="15"/>
        <v>0</v>
      </c>
      <c r="X8" s="326" t="str">
        <f t="shared" si="16"/>
        <v>0</v>
      </c>
      <c r="Y8" s="333" t="str">
        <f t="shared" si="17"/>
        <v>0</v>
      </c>
      <c r="Z8" s="123"/>
      <c r="AA8" s="326"/>
      <c r="AB8" s="1257">
        <f t="shared" si="18"/>
        <v>9000000</v>
      </c>
      <c r="AC8" s="140" t="str">
        <f t="shared" ref="AC8:AC39" si="35">IFERROR(VLOOKUP(F8,trim2024,2,FALSE),"0")</f>
        <v>0</v>
      </c>
      <c r="AD8" s="326">
        <f t="shared" ref="AD8:AF8" si="36">SUM(W8,P8,I8)</f>
        <v>0</v>
      </c>
      <c r="AE8" s="326">
        <f t="shared" si="36"/>
        <v>0</v>
      </c>
      <c r="AF8" s="326">
        <f t="shared" si="36"/>
        <v>0</v>
      </c>
      <c r="AG8" s="326">
        <f t="shared" si="21"/>
        <v>0</v>
      </c>
      <c r="AH8" s="98" t="str">
        <f t="shared" ref="AH8:AH119" si="37">IFERROR(AF8/AC8,"")</f>
        <v/>
      </c>
      <c r="AI8" s="125">
        <f t="shared" si="23"/>
        <v>0</v>
      </c>
      <c r="AJ8" s="140">
        <f t="shared" si="24"/>
        <v>0</v>
      </c>
      <c r="AK8" s="123" t="str">
        <f t="shared" si="25"/>
        <v>0</v>
      </c>
      <c r="AL8" s="148" t="str">
        <f t="shared" si="26"/>
        <v>0</v>
      </c>
      <c r="AM8" s="125">
        <f t="shared" si="27"/>
        <v>0</v>
      </c>
      <c r="AN8" s="140">
        <f t="shared" si="28"/>
        <v>0</v>
      </c>
      <c r="AO8" s="326"/>
      <c r="AP8" s="333"/>
      <c r="AQ8" s="296" t="str">
        <f t="shared" si="29"/>
        <v/>
      </c>
      <c r="AU8" s="853" t="s">
        <v>17</v>
      </c>
      <c r="AV8" s="854">
        <f t="shared" ref="AV8:AY8" si="38">SUM(AV2:AV7)</f>
        <v>0</v>
      </c>
      <c r="AW8" s="854">
        <f t="shared" si="38"/>
        <v>122</v>
      </c>
      <c r="AX8" s="854">
        <f t="shared" si="38"/>
        <v>121</v>
      </c>
      <c r="AY8" s="854">
        <f t="shared" si="38"/>
        <v>117</v>
      </c>
      <c r="AZ8" s="455"/>
      <c r="BA8" s="455"/>
      <c r="BB8" s="455"/>
      <c r="BC8" s="455"/>
      <c r="BD8" s="455"/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  <c r="BR8" s="455"/>
      <c r="BS8" s="455"/>
      <c r="BT8" s="455"/>
      <c r="BU8" s="455"/>
      <c r="BV8" s="455"/>
      <c r="BW8" s="455"/>
      <c r="BX8" s="455"/>
      <c r="BY8" s="455"/>
      <c r="BZ8" s="455"/>
      <c r="CA8" s="455"/>
    </row>
    <row r="9" spans="1:79" ht="13">
      <c r="A9" s="463">
        <f t="shared" si="0"/>
        <v>112013648</v>
      </c>
      <c r="B9" s="324">
        <f t="shared" si="1"/>
        <v>12</v>
      </c>
      <c r="C9" s="558">
        <f t="shared" si="2"/>
        <v>0.15</v>
      </c>
      <c r="D9" s="558">
        <f t="shared" si="3"/>
        <v>0.09</v>
      </c>
      <c r="E9" s="558">
        <f t="shared" si="4"/>
        <v>0</v>
      </c>
      <c r="F9" s="325" t="s">
        <v>1337</v>
      </c>
      <c r="G9" s="326">
        <f t="shared" si="5"/>
        <v>523353.83</v>
      </c>
      <c r="H9" s="432">
        <v>3000000</v>
      </c>
      <c r="I9" s="113">
        <f t="shared" si="6"/>
        <v>2613545.9</v>
      </c>
      <c r="J9" s="116" t="str">
        <f t="shared" si="7"/>
        <v>0</v>
      </c>
      <c r="K9" s="117">
        <f t="shared" si="8"/>
        <v>2613545.9</v>
      </c>
      <c r="L9" s="123"/>
      <c r="M9" s="326"/>
      <c r="N9" s="326">
        <f t="shared" si="9"/>
        <v>1884928.85</v>
      </c>
      <c r="O9" s="332">
        <v>3000000</v>
      </c>
      <c r="P9" s="140">
        <f t="shared" si="11"/>
        <v>578850.03</v>
      </c>
      <c r="Q9" s="326" t="str">
        <f t="shared" si="12"/>
        <v>0</v>
      </c>
      <c r="R9" s="333">
        <f t="shared" si="13"/>
        <v>578850.03</v>
      </c>
      <c r="S9" s="123"/>
      <c r="T9" s="326"/>
      <c r="U9" s="326">
        <f t="shared" si="14"/>
        <v>641102.97</v>
      </c>
      <c r="V9" s="332">
        <f>(U9*1.5955)*1.05</f>
        <v>1074023.7780667499</v>
      </c>
      <c r="W9" s="140">
        <f t="shared" si="15"/>
        <v>1064270.3799999999</v>
      </c>
      <c r="X9" s="326" t="str">
        <f t="shared" si="16"/>
        <v>0</v>
      </c>
      <c r="Y9" s="333">
        <f t="shared" si="17"/>
        <v>1064270.3799999999</v>
      </c>
      <c r="Z9" s="123"/>
      <c r="AA9" s="326"/>
      <c r="AB9" s="1257">
        <f t="shared" si="18"/>
        <v>7074023.7780667497</v>
      </c>
      <c r="AC9" s="140">
        <f t="shared" si="35"/>
        <v>4466220.6100000003</v>
      </c>
      <c r="AD9" s="326">
        <f t="shared" ref="AD9:AF9" si="39">SUM(W9,P9,I9)</f>
        <v>4256666.3099999996</v>
      </c>
      <c r="AE9" s="326">
        <f t="shared" si="39"/>
        <v>0</v>
      </c>
      <c r="AF9" s="326">
        <f t="shared" si="39"/>
        <v>4256666.3099999996</v>
      </c>
      <c r="AG9" s="326">
        <f t="shared" si="21"/>
        <v>-209554.30000000075</v>
      </c>
      <c r="AH9" s="98">
        <f t="shared" si="37"/>
        <v>0.95308017263392619</v>
      </c>
      <c r="AI9" s="125">
        <f t="shared" si="23"/>
        <v>297270.63</v>
      </c>
      <c r="AJ9" s="140">
        <f t="shared" si="24"/>
        <v>609054.12</v>
      </c>
      <c r="AK9" s="123" t="str">
        <f t="shared" si="25"/>
        <v>0</v>
      </c>
      <c r="AL9" s="148">
        <f t="shared" si="26"/>
        <v>609054.12</v>
      </c>
      <c r="AM9" s="125">
        <f t="shared" si="27"/>
        <v>0</v>
      </c>
      <c r="AN9" s="140">
        <f t="shared" si="28"/>
        <v>790779.06</v>
      </c>
      <c r="AO9" s="326"/>
      <c r="AP9" s="333">
        <v>790779.06</v>
      </c>
      <c r="AQ9" s="296" t="str">
        <f t="shared" si="29"/>
        <v/>
      </c>
    </row>
    <row r="10" spans="1:79" ht="13">
      <c r="A10" s="463">
        <f t="shared" si="0"/>
        <v>112013323</v>
      </c>
      <c r="B10" s="324">
        <f t="shared" si="1"/>
        <v>12</v>
      </c>
      <c r="C10" s="558">
        <f t="shared" si="2"/>
        <v>0.15</v>
      </c>
      <c r="D10" s="558">
        <f t="shared" si="3"/>
        <v>0.09</v>
      </c>
      <c r="E10" s="558">
        <f t="shared" si="4"/>
        <v>0</v>
      </c>
      <c r="F10" s="325" t="s">
        <v>1340</v>
      </c>
      <c r="G10" s="326">
        <f t="shared" si="5"/>
        <v>3280289.2</v>
      </c>
      <c r="H10" s="332">
        <f>(G10*1.601)*1.05</f>
        <v>5514330.1596600004</v>
      </c>
      <c r="I10" s="113">
        <f t="shared" si="6"/>
        <v>0</v>
      </c>
      <c r="J10" s="116" t="str">
        <f t="shared" si="7"/>
        <v>0</v>
      </c>
      <c r="K10" s="117">
        <f t="shared" si="8"/>
        <v>0</v>
      </c>
      <c r="L10" s="123"/>
      <c r="M10" s="326"/>
      <c r="N10" s="326">
        <f t="shared" si="9"/>
        <v>5440848.5099999998</v>
      </c>
      <c r="O10" s="332">
        <v>3000000</v>
      </c>
      <c r="P10" s="140">
        <f t="shared" si="11"/>
        <v>0</v>
      </c>
      <c r="Q10" s="326" t="str">
        <f t="shared" si="12"/>
        <v>0</v>
      </c>
      <c r="R10" s="333">
        <f t="shared" si="13"/>
        <v>0</v>
      </c>
      <c r="S10" s="123"/>
      <c r="T10" s="326"/>
      <c r="U10" s="326">
        <f t="shared" si="14"/>
        <v>582888.5</v>
      </c>
      <c r="V10" s="332">
        <v>3000000</v>
      </c>
      <c r="W10" s="140">
        <f t="shared" si="15"/>
        <v>1519634.25</v>
      </c>
      <c r="X10" s="326" t="str">
        <f t="shared" si="16"/>
        <v>0</v>
      </c>
      <c r="Y10" s="333">
        <f t="shared" si="17"/>
        <v>1519634.25</v>
      </c>
      <c r="Z10" s="123"/>
      <c r="AA10" s="326"/>
      <c r="AB10" s="1257">
        <f t="shared" si="18"/>
        <v>11514330.15966</v>
      </c>
      <c r="AC10" s="140">
        <f t="shared" si="35"/>
        <v>1414075.01</v>
      </c>
      <c r="AD10" s="326">
        <f t="shared" ref="AD10:AF10" si="40">SUM(W10,P10,I10)</f>
        <v>1519634.25</v>
      </c>
      <c r="AE10" s="326">
        <f t="shared" si="40"/>
        <v>0</v>
      </c>
      <c r="AF10" s="326">
        <f t="shared" si="40"/>
        <v>1519634.25</v>
      </c>
      <c r="AG10" s="326">
        <f t="shared" si="21"/>
        <v>105559.23999999999</v>
      </c>
      <c r="AH10" s="98">
        <f t="shared" si="37"/>
        <v>1.0746489678790094</v>
      </c>
      <c r="AI10" s="125">
        <f t="shared" si="23"/>
        <v>0</v>
      </c>
      <c r="AJ10" s="140">
        <f t="shared" si="24"/>
        <v>41270.720000000001</v>
      </c>
      <c r="AK10" s="123" t="str">
        <f t="shared" si="25"/>
        <v>0</v>
      </c>
      <c r="AL10" s="148">
        <f t="shared" si="26"/>
        <v>41270.720000000001</v>
      </c>
      <c r="AM10" s="125">
        <f t="shared" si="27"/>
        <v>9719210.2899999991</v>
      </c>
      <c r="AN10" s="140">
        <f t="shared" si="28"/>
        <v>0</v>
      </c>
      <c r="AO10" s="326"/>
      <c r="AP10" s="333"/>
      <c r="AQ10" s="296" t="str">
        <f t="shared" si="29"/>
        <v/>
      </c>
      <c r="AU10" s="231" t="s">
        <v>78</v>
      </c>
      <c r="AV10" s="232"/>
      <c r="AW10" s="232"/>
    </row>
    <row r="11" spans="1:79" ht="13">
      <c r="A11" s="463">
        <f t="shared" si="0"/>
        <v>112011962</v>
      </c>
      <c r="B11" s="324">
        <f t="shared" si="1"/>
        <v>12</v>
      </c>
      <c r="C11" s="558">
        <f t="shared" si="2"/>
        <v>0.15</v>
      </c>
      <c r="D11" s="558">
        <f t="shared" si="3"/>
        <v>0.09</v>
      </c>
      <c r="E11" s="558">
        <f t="shared" si="4"/>
        <v>0</v>
      </c>
      <c r="F11" s="325" t="s">
        <v>1268</v>
      </c>
      <c r="G11" s="326">
        <f t="shared" si="5"/>
        <v>0</v>
      </c>
      <c r="H11" s="432">
        <v>3000000</v>
      </c>
      <c r="I11" s="113">
        <f t="shared" si="6"/>
        <v>287563.94</v>
      </c>
      <c r="J11" s="116" t="str">
        <f t="shared" si="7"/>
        <v>0</v>
      </c>
      <c r="K11" s="117">
        <f t="shared" si="8"/>
        <v>287563.94</v>
      </c>
      <c r="L11" s="123"/>
      <c r="M11" s="326"/>
      <c r="N11" s="326">
        <f t="shared" si="9"/>
        <v>1748668.12</v>
      </c>
      <c r="O11" s="332">
        <v>3000000</v>
      </c>
      <c r="P11" s="140">
        <f t="shared" si="11"/>
        <v>737565.03</v>
      </c>
      <c r="Q11" s="326" t="str">
        <f t="shared" si="12"/>
        <v>0</v>
      </c>
      <c r="R11" s="333">
        <f t="shared" si="13"/>
        <v>737565.03</v>
      </c>
      <c r="S11" s="123"/>
      <c r="T11" s="326"/>
      <c r="U11" s="326">
        <f t="shared" si="14"/>
        <v>385678.98</v>
      </c>
      <c r="V11" s="332">
        <v>3000000</v>
      </c>
      <c r="W11" s="140">
        <f t="shared" si="15"/>
        <v>735141.46</v>
      </c>
      <c r="X11" s="326" t="str">
        <f t="shared" si="16"/>
        <v>0</v>
      </c>
      <c r="Y11" s="333">
        <f t="shared" si="17"/>
        <v>735141.46</v>
      </c>
      <c r="Z11" s="123"/>
      <c r="AA11" s="326"/>
      <c r="AB11" s="1257">
        <f t="shared" si="18"/>
        <v>9000000</v>
      </c>
      <c r="AC11" s="140">
        <f t="shared" si="35"/>
        <v>2752914.46</v>
      </c>
      <c r="AD11" s="326">
        <f t="shared" ref="AD11:AF11" si="41">SUM(W11,P11,I11)</f>
        <v>1760270.43</v>
      </c>
      <c r="AE11" s="326">
        <f t="shared" si="41"/>
        <v>0</v>
      </c>
      <c r="AF11" s="326">
        <f t="shared" si="41"/>
        <v>1760270.43</v>
      </c>
      <c r="AG11" s="326">
        <f t="shared" si="21"/>
        <v>-992644.03</v>
      </c>
      <c r="AH11" s="98">
        <f t="shared" si="37"/>
        <v>0.63942067782229595</v>
      </c>
      <c r="AI11" s="125">
        <f t="shared" si="23"/>
        <v>0</v>
      </c>
      <c r="AJ11" s="140">
        <f t="shared" si="24"/>
        <v>1452990.29</v>
      </c>
      <c r="AK11" s="123" t="str">
        <f t="shared" si="25"/>
        <v>0</v>
      </c>
      <c r="AL11" s="148">
        <f t="shared" si="26"/>
        <v>1452990.29</v>
      </c>
      <c r="AM11" s="125">
        <f t="shared" si="27"/>
        <v>4364156.24</v>
      </c>
      <c r="AN11" s="140">
        <f t="shared" si="28"/>
        <v>0</v>
      </c>
      <c r="AO11" s="326"/>
      <c r="AP11" s="333"/>
      <c r="AQ11" s="296" t="str">
        <f t="shared" si="29"/>
        <v/>
      </c>
      <c r="AU11" s="231" t="s">
        <v>80</v>
      </c>
      <c r="AV11" s="232"/>
      <c r="AW11" s="232"/>
    </row>
    <row r="12" spans="1:79" ht="13">
      <c r="A12" s="463">
        <f t="shared" si="0"/>
        <v>112011216</v>
      </c>
      <c r="B12" s="324">
        <f t="shared" si="1"/>
        <v>12</v>
      </c>
      <c r="C12" s="558">
        <f t="shared" si="2"/>
        <v>0.15</v>
      </c>
      <c r="D12" s="558">
        <f t="shared" si="3"/>
        <v>0.09</v>
      </c>
      <c r="E12" s="558">
        <f t="shared" si="4"/>
        <v>0</v>
      </c>
      <c r="F12" s="325" t="s">
        <v>1401</v>
      </c>
      <c r="G12" s="326" t="str">
        <f t="shared" si="5"/>
        <v/>
      </c>
      <c r="H12" s="432">
        <v>3000000</v>
      </c>
      <c r="I12" s="113">
        <f t="shared" si="6"/>
        <v>0</v>
      </c>
      <c r="J12" s="116" t="str">
        <f t="shared" si="7"/>
        <v>0</v>
      </c>
      <c r="K12" s="117" t="str">
        <f t="shared" si="8"/>
        <v>0</v>
      </c>
      <c r="L12" s="123"/>
      <c r="M12" s="326"/>
      <c r="N12" s="326" t="str">
        <f t="shared" si="9"/>
        <v/>
      </c>
      <c r="O12" s="332">
        <v>3000000</v>
      </c>
      <c r="P12" s="140">
        <f t="shared" si="11"/>
        <v>0</v>
      </c>
      <c r="Q12" s="326" t="str">
        <f t="shared" si="12"/>
        <v>0</v>
      </c>
      <c r="R12" s="333" t="str">
        <f t="shared" si="13"/>
        <v>0</v>
      </c>
      <c r="S12" s="123"/>
      <c r="T12" s="326"/>
      <c r="U12" s="326" t="str">
        <f t="shared" si="14"/>
        <v/>
      </c>
      <c r="V12" s="332" t="e">
        <f>(U12*1.5955)*1.05</f>
        <v>#VALUE!</v>
      </c>
      <c r="W12" s="140">
        <f t="shared" si="15"/>
        <v>0</v>
      </c>
      <c r="X12" s="326" t="str">
        <f t="shared" si="16"/>
        <v>0</v>
      </c>
      <c r="Y12" s="333" t="str">
        <f t="shared" si="17"/>
        <v>0</v>
      </c>
      <c r="Z12" s="123"/>
      <c r="AA12" s="326"/>
      <c r="AB12" s="1257" t="e">
        <f t="shared" si="18"/>
        <v>#VALUE!</v>
      </c>
      <c r="AC12" s="140" t="str">
        <f t="shared" si="35"/>
        <v>0</v>
      </c>
      <c r="AD12" s="326">
        <f t="shared" ref="AD12:AF12" si="42">SUM(W12,P12,I12)</f>
        <v>0</v>
      </c>
      <c r="AE12" s="326">
        <f t="shared" si="42"/>
        <v>0</v>
      </c>
      <c r="AF12" s="326">
        <f t="shared" si="42"/>
        <v>0</v>
      </c>
      <c r="AG12" s="326">
        <f t="shared" si="21"/>
        <v>0</v>
      </c>
      <c r="AH12" s="98" t="str">
        <f t="shared" si="37"/>
        <v/>
      </c>
      <c r="AI12" s="125" t="str">
        <f t="shared" si="23"/>
        <v/>
      </c>
      <c r="AJ12" s="140">
        <f t="shared" si="24"/>
        <v>0</v>
      </c>
      <c r="AK12" s="123" t="str">
        <f t="shared" si="25"/>
        <v>0</v>
      </c>
      <c r="AL12" s="148" t="str">
        <f t="shared" si="26"/>
        <v>0</v>
      </c>
      <c r="AM12" s="125" t="str">
        <f t="shared" si="27"/>
        <v/>
      </c>
      <c r="AN12" s="140">
        <f t="shared" si="28"/>
        <v>0</v>
      </c>
      <c r="AO12" s="326"/>
      <c r="AP12" s="333"/>
      <c r="AQ12" s="296" t="str">
        <f t="shared" si="29"/>
        <v/>
      </c>
      <c r="AU12" s="231" t="s">
        <v>82</v>
      </c>
      <c r="AV12" s="232"/>
      <c r="AW12" s="232"/>
    </row>
    <row r="13" spans="1:79" ht="13">
      <c r="A13" s="463">
        <f t="shared" si="0"/>
        <v>112013144</v>
      </c>
      <c r="B13" s="324">
        <f t="shared" si="1"/>
        <v>12</v>
      </c>
      <c r="C13" s="558">
        <f t="shared" si="2"/>
        <v>0.15</v>
      </c>
      <c r="D13" s="558">
        <f t="shared" si="3"/>
        <v>0.09</v>
      </c>
      <c r="E13" s="558">
        <f t="shared" si="4"/>
        <v>0</v>
      </c>
      <c r="F13" s="325" t="s">
        <v>1402</v>
      </c>
      <c r="G13" s="326">
        <f t="shared" si="5"/>
        <v>0</v>
      </c>
      <c r="H13" s="432">
        <v>3000000</v>
      </c>
      <c r="I13" s="113">
        <f t="shared" si="6"/>
        <v>0</v>
      </c>
      <c r="J13" s="116" t="str">
        <f t="shared" si="7"/>
        <v>0</v>
      </c>
      <c r="K13" s="117" t="str">
        <f t="shared" si="8"/>
        <v>0</v>
      </c>
      <c r="L13" s="123"/>
      <c r="M13" s="326"/>
      <c r="N13" s="326">
        <f t="shared" si="9"/>
        <v>0</v>
      </c>
      <c r="O13" s="332">
        <f t="shared" ref="O13:O15" si="43">(N13*1.7245)*1.05</f>
        <v>0</v>
      </c>
      <c r="P13" s="140">
        <f t="shared" si="11"/>
        <v>0</v>
      </c>
      <c r="Q13" s="326" t="str">
        <f t="shared" si="12"/>
        <v>0</v>
      </c>
      <c r="R13" s="333" t="str">
        <f t="shared" si="13"/>
        <v>0</v>
      </c>
      <c r="S13" s="123"/>
      <c r="T13" s="326"/>
      <c r="U13" s="326">
        <f t="shared" si="14"/>
        <v>0</v>
      </c>
      <c r="V13" s="332">
        <v>3000000</v>
      </c>
      <c r="W13" s="140">
        <f t="shared" si="15"/>
        <v>0</v>
      </c>
      <c r="X13" s="326" t="str">
        <f t="shared" si="16"/>
        <v>0</v>
      </c>
      <c r="Y13" s="333" t="str">
        <f t="shared" si="17"/>
        <v>0</v>
      </c>
      <c r="Z13" s="123"/>
      <c r="AA13" s="326"/>
      <c r="AB13" s="1257">
        <f t="shared" si="18"/>
        <v>6000000</v>
      </c>
      <c r="AC13" s="140">
        <f t="shared" si="35"/>
        <v>322935.08</v>
      </c>
      <c r="AD13" s="326">
        <f t="shared" ref="AD13:AF13" si="44">SUM(W13,P13,I13)</f>
        <v>0</v>
      </c>
      <c r="AE13" s="326">
        <f t="shared" si="44"/>
        <v>0</v>
      </c>
      <c r="AF13" s="326">
        <f t="shared" si="44"/>
        <v>0</v>
      </c>
      <c r="AG13" s="326">
        <f t="shared" si="21"/>
        <v>-322935.08</v>
      </c>
      <c r="AH13" s="98">
        <f t="shared" si="37"/>
        <v>0</v>
      </c>
      <c r="AI13" s="125">
        <f t="shared" si="23"/>
        <v>0</v>
      </c>
      <c r="AJ13" s="140">
        <f t="shared" si="24"/>
        <v>0</v>
      </c>
      <c r="AK13" s="123" t="str">
        <f t="shared" si="25"/>
        <v>0</v>
      </c>
      <c r="AL13" s="148" t="str">
        <f t="shared" si="26"/>
        <v>0</v>
      </c>
      <c r="AM13" s="125">
        <f t="shared" si="27"/>
        <v>3570000</v>
      </c>
      <c r="AN13" s="140">
        <f t="shared" si="28"/>
        <v>0</v>
      </c>
      <c r="AO13" s="326"/>
      <c r="AP13" s="333"/>
      <c r="AQ13" s="296" t="str">
        <f t="shared" si="29"/>
        <v/>
      </c>
      <c r="AU13" s="245" t="s">
        <v>84</v>
      </c>
      <c r="AV13" s="484"/>
      <c r="AW13" s="484"/>
    </row>
    <row r="14" spans="1:79" ht="13">
      <c r="A14" s="463">
        <f t="shared" si="0"/>
        <v>112013525</v>
      </c>
      <c r="B14" s="324">
        <f t="shared" si="1"/>
        <v>12</v>
      </c>
      <c r="C14" s="558">
        <f t="shared" si="2"/>
        <v>0.15</v>
      </c>
      <c r="D14" s="558">
        <f t="shared" si="3"/>
        <v>0.09</v>
      </c>
      <c r="E14" s="558">
        <f t="shared" si="4"/>
        <v>0</v>
      </c>
      <c r="F14" s="325" t="s">
        <v>1286</v>
      </c>
      <c r="G14" s="326">
        <f t="shared" si="5"/>
        <v>2364812.21</v>
      </c>
      <c r="H14" s="332">
        <f>(G14*1.601)*1.05</f>
        <v>3975367.5656205001</v>
      </c>
      <c r="I14" s="113">
        <f t="shared" si="6"/>
        <v>3463607.23</v>
      </c>
      <c r="J14" s="116" t="str">
        <f t="shared" si="7"/>
        <v>0</v>
      </c>
      <c r="K14" s="117">
        <f t="shared" si="8"/>
        <v>3463607.23</v>
      </c>
      <c r="L14" s="123"/>
      <c r="M14" s="326"/>
      <c r="N14" s="326">
        <f t="shared" si="9"/>
        <v>485925.32</v>
      </c>
      <c r="O14" s="332">
        <f t="shared" si="43"/>
        <v>879877.12505699997</v>
      </c>
      <c r="P14" s="140">
        <f t="shared" si="11"/>
        <v>271012.96999999997</v>
      </c>
      <c r="Q14" s="326" t="str">
        <f t="shared" si="12"/>
        <v>0</v>
      </c>
      <c r="R14" s="333">
        <f t="shared" si="13"/>
        <v>271012.96999999997</v>
      </c>
      <c r="S14" s="123"/>
      <c r="T14" s="326"/>
      <c r="U14" s="326">
        <f t="shared" si="14"/>
        <v>1484554.82</v>
      </c>
      <c r="V14" s="332">
        <v>3000000</v>
      </c>
      <c r="W14" s="140">
        <f t="shared" si="15"/>
        <v>324331.57</v>
      </c>
      <c r="X14" s="326" t="str">
        <f t="shared" si="16"/>
        <v>0</v>
      </c>
      <c r="Y14" s="333">
        <f t="shared" si="17"/>
        <v>324331.57</v>
      </c>
      <c r="Z14" s="123"/>
      <c r="AA14" s="326"/>
      <c r="AB14" s="1257">
        <f t="shared" si="18"/>
        <v>7855244.6906775003</v>
      </c>
      <c r="AC14" s="140" t="str">
        <f t="shared" si="35"/>
        <v>0</v>
      </c>
      <c r="AD14" s="326">
        <f t="shared" ref="AD14:AF14" si="45">SUM(W14,P14,I14)</f>
        <v>4058951.77</v>
      </c>
      <c r="AE14" s="326">
        <f t="shared" si="45"/>
        <v>0</v>
      </c>
      <c r="AF14" s="326">
        <f t="shared" si="45"/>
        <v>4058951.77</v>
      </c>
      <c r="AG14" s="326">
        <f t="shared" si="21"/>
        <v>4058951.77</v>
      </c>
      <c r="AH14" s="98" t="str">
        <f t="shared" si="37"/>
        <v/>
      </c>
      <c r="AI14" s="125">
        <f t="shared" si="23"/>
        <v>225756.79999999999</v>
      </c>
      <c r="AJ14" s="140">
        <f t="shared" si="24"/>
        <v>0</v>
      </c>
      <c r="AK14" s="123" t="str">
        <f t="shared" si="25"/>
        <v>0</v>
      </c>
      <c r="AL14" s="148">
        <f t="shared" si="26"/>
        <v>0</v>
      </c>
      <c r="AM14" s="125">
        <f t="shared" si="27"/>
        <v>565367.98</v>
      </c>
      <c r="AN14" s="140">
        <f t="shared" si="28"/>
        <v>1110590.05</v>
      </c>
      <c r="AO14" s="326"/>
      <c r="AP14" s="333">
        <v>1110590.05</v>
      </c>
      <c r="AQ14" s="296" t="str">
        <f t="shared" si="29"/>
        <v/>
      </c>
    </row>
    <row r="15" spans="1:79" ht="13">
      <c r="A15" s="463">
        <f t="shared" si="0"/>
        <v>112014288</v>
      </c>
      <c r="B15" s="324">
        <f t="shared" si="1"/>
        <v>12</v>
      </c>
      <c r="C15" s="558">
        <f t="shared" si="2"/>
        <v>0.15</v>
      </c>
      <c r="D15" s="558">
        <f t="shared" si="3"/>
        <v>0.09</v>
      </c>
      <c r="E15" s="558">
        <f t="shared" si="4"/>
        <v>0</v>
      </c>
      <c r="F15" s="325" t="s">
        <v>997</v>
      </c>
      <c r="G15" s="326">
        <f t="shared" si="5"/>
        <v>340253.98</v>
      </c>
      <c r="H15" s="432">
        <v>3000000</v>
      </c>
      <c r="I15" s="113">
        <f t="shared" si="6"/>
        <v>2346101.2200000002</v>
      </c>
      <c r="J15" s="116" t="str">
        <f t="shared" si="7"/>
        <v>0</v>
      </c>
      <c r="K15" s="117">
        <f t="shared" si="8"/>
        <v>2346101.2200000002</v>
      </c>
      <c r="L15" s="123"/>
      <c r="M15" s="326"/>
      <c r="N15" s="326">
        <f t="shared" si="9"/>
        <v>81398.83</v>
      </c>
      <c r="O15" s="332">
        <f t="shared" si="43"/>
        <v>147390.89645175001</v>
      </c>
      <c r="P15" s="140">
        <f t="shared" si="11"/>
        <v>1077930.08</v>
      </c>
      <c r="Q15" s="326" t="str">
        <f t="shared" si="12"/>
        <v>0</v>
      </c>
      <c r="R15" s="333">
        <f t="shared" si="13"/>
        <v>1077930.08</v>
      </c>
      <c r="S15" s="123"/>
      <c r="T15" s="326"/>
      <c r="U15" s="326">
        <f t="shared" si="14"/>
        <v>0</v>
      </c>
      <c r="V15" s="332">
        <v>3000000</v>
      </c>
      <c r="W15" s="140">
        <f t="shared" si="15"/>
        <v>2662650.1</v>
      </c>
      <c r="X15" s="326" t="str">
        <f t="shared" si="16"/>
        <v>0</v>
      </c>
      <c r="Y15" s="333">
        <f t="shared" si="17"/>
        <v>2662650.1</v>
      </c>
      <c r="Z15" s="123"/>
      <c r="AA15" s="326"/>
      <c r="AB15" s="1257">
        <f t="shared" si="18"/>
        <v>6147390.8964517498</v>
      </c>
      <c r="AC15" s="140">
        <f t="shared" si="35"/>
        <v>4941404.04</v>
      </c>
      <c r="AD15" s="326">
        <f t="shared" ref="AD15:AF15" si="46">SUM(W15,P15,I15)</f>
        <v>6086681.4000000004</v>
      </c>
      <c r="AE15" s="326">
        <f t="shared" si="46"/>
        <v>0</v>
      </c>
      <c r="AF15" s="326">
        <f t="shared" si="46"/>
        <v>6086681.4000000004</v>
      </c>
      <c r="AG15" s="326">
        <f t="shared" si="21"/>
        <v>1145277.3600000003</v>
      </c>
      <c r="AH15" s="98">
        <f t="shared" si="37"/>
        <v>1.2317716484483225</v>
      </c>
      <c r="AI15" s="125">
        <f t="shared" si="23"/>
        <v>222329.94</v>
      </c>
      <c r="AJ15" s="140">
        <f t="shared" si="24"/>
        <v>1055671.7</v>
      </c>
      <c r="AK15" s="123" t="str">
        <f t="shared" si="25"/>
        <v>0</v>
      </c>
      <c r="AL15" s="148">
        <f t="shared" si="26"/>
        <v>1055671.7</v>
      </c>
      <c r="AM15" s="125">
        <f t="shared" si="27"/>
        <v>198359.31</v>
      </c>
      <c r="AN15" s="140">
        <f t="shared" si="28"/>
        <v>817884.43</v>
      </c>
      <c r="AO15" s="326"/>
      <c r="AP15" s="333">
        <v>817884.43</v>
      </c>
      <c r="AQ15" s="296" t="str">
        <f t="shared" si="29"/>
        <v/>
      </c>
    </row>
    <row r="16" spans="1:79" ht="13">
      <c r="A16" s="463">
        <f t="shared" si="0"/>
        <v>112012803</v>
      </c>
      <c r="B16" s="324">
        <f t="shared" si="1"/>
        <v>12</v>
      </c>
      <c r="C16" s="558">
        <f t="shared" si="2"/>
        <v>0.15</v>
      </c>
      <c r="D16" s="558">
        <f t="shared" si="3"/>
        <v>0.09</v>
      </c>
      <c r="E16" s="558">
        <f t="shared" si="4"/>
        <v>0</v>
      </c>
      <c r="F16" s="325" t="s">
        <v>1267</v>
      </c>
      <c r="G16" s="326">
        <f t="shared" si="5"/>
        <v>0</v>
      </c>
      <c r="H16" s="432">
        <v>3000000</v>
      </c>
      <c r="I16" s="113">
        <f t="shared" si="6"/>
        <v>555191.39</v>
      </c>
      <c r="J16" s="116" t="str">
        <f t="shared" si="7"/>
        <v>0</v>
      </c>
      <c r="K16" s="117">
        <f t="shared" si="8"/>
        <v>555191.39</v>
      </c>
      <c r="L16" s="123"/>
      <c r="M16" s="326"/>
      <c r="N16" s="326">
        <f t="shared" si="9"/>
        <v>758524.4</v>
      </c>
      <c r="O16" s="332">
        <v>3000000</v>
      </c>
      <c r="P16" s="140">
        <f t="shared" si="11"/>
        <v>875947.95</v>
      </c>
      <c r="Q16" s="326" t="str">
        <f t="shared" si="12"/>
        <v>0</v>
      </c>
      <c r="R16" s="333">
        <f t="shared" si="13"/>
        <v>875947.95</v>
      </c>
      <c r="S16" s="123"/>
      <c r="T16" s="326"/>
      <c r="U16" s="326">
        <f t="shared" si="14"/>
        <v>301485.51</v>
      </c>
      <c r="V16" s="332">
        <v>3000000</v>
      </c>
      <c r="W16" s="140">
        <f t="shared" si="15"/>
        <v>0</v>
      </c>
      <c r="X16" s="326" t="str">
        <f t="shared" si="16"/>
        <v>0</v>
      </c>
      <c r="Y16" s="333">
        <f t="shared" si="17"/>
        <v>0</v>
      </c>
      <c r="Z16" s="123"/>
      <c r="AA16" s="326"/>
      <c r="AB16" s="1257">
        <f t="shared" si="18"/>
        <v>9000000</v>
      </c>
      <c r="AC16" s="140" t="str">
        <f t="shared" si="35"/>
        <v>0</v>
      </c>
      <c r="AD16" s="326">
        <f t="shared" ref="AD16:AF16" si="47">SUM(W16,P16,I16)</f>
        <v>1431139.3399999999</v>
      </c>
      <c r="AE16" s="326">
        <f t="shared" si="47"/>
        <v>0</v>
      </c>
      <c r="AF16" s="326">
        <f t="shared" si="47"/>
        <v>1431139.3399999999</v>
      </c>
      <c r="AG16" s="326">
        <f t="shared" si="21"/>
        <v>1431139.3399999999</v>
      </c>
      <c r="AH16" s="98" t="str">
        <f t="shared" si="37"/>
        <v/>
      </c>
      <c r="AI16" s="125">
        <f t="shared" si="23"/>
        <v>0</v>
      </c>
      <c r="AJ16" s="140">
        <f t="shared" si="24"/>
        <v>0</v>
      </c>
      <c r="AK16" s="123" t="str">
        <f t="shared" si="25"/>
        <v>0</v>
      </c>
      <c r="AL16" s="148">
        <f t="shared" si="26"/>
        <v>0</v>
      </c>
      <c r="AM16" s="125">
        <f t="shared" si="27"/>
        <v>252956</v>
      </c>
      <c r="AN16" s="140">
        <f t="shared" si="28"/>
        <v>0</v>
      </c>
      <c r="AO16" s="326"/>
      <c r="AP16" s="333"/>
      <c r="AQ16" s="296" t="str">
        <f t="shared" si="29"/>
        <v/>
      </c>
    </row>
    <row r="17" spans="1:43" ht="13">
      <c r="A17" s="463">
        <f t="shared" si="0"/>
        <v>112014546</v>
      </c>
      <c r="B17" s="324">
        <f t="shared" si="1"/>
        <v>12</v>
      </c>
      <c r="C17" s="558">
        <f t="shared" si="2"/>
        <v>0.15</v>
      </c>
      <c r="D17" s="558">
        <f t="shared" si="3"/>
        <v>0.09</v>
      </c>
      <c r="E17" s="558">
        <f t="shared" si="4"/>
        <v>0</v>
      </c>
      <c r="F17" s="325" t="s">
        <v>1339</v>
      </c>
      <c r="G17" s="326">
        <f t="shared" si="5"/>
        <v>0</v>
      </c>
      <c r="H17" s="432">
        <v>3000000</v>
      </c>
      <c r="I17" s="113">
        <f t="shared" si="6"/>
        <v>658199.34</v>
      </c>
      <c r="J17" s="116" t="str">
        <f t="shared" si="7"/>
        <v>0</v>
      </c>
      <c r="K17" s="117">
        <f t="shared" si="8"/>
        <v>658199.34</v>
      </c>
      <c r="L17" s="123"/>
      <c r="M17" s="326"/>
      <c r="N17" s="326">
        <f t="shared" si="9"/>
        <v>0</v>
      </c>
      <c r="O17" s="332">
        <v>3000000</v>
      </c>
      <c r="P17" s="140">
        <f t="shared" si="11"/>
        <v>215258.4</v>
      </c>
      <c r="Q17" s="326" t="str">
        <f t="shared" si="12"/>
        <v>0</v>
      </c>
      <c r="R17" s="333">
        <f t="shared" si="13"/>
        <v>215258.4</v>
      </c>
      <c r="S17" s="123"/>
      <c r="T17" s="326"/>
      <c r="U17" s="326">
        <f t="shared" si="14"/>
        <v>0</v>
      </c>
      <c r="V17" s="332">
        <v>3000000</v>
      </c>
      <c r="W17" s="140">
        <f t="shared" si="15"/>
        <v>213894.37</v>
      </c>
      <c r="X17" s="326" t="str">
        <f t="shared" si="16"/>
        <v>0</v>
      </c>
      <c r="Y17" s="333">
        <f t="shared" si="17"/>
        <v>213894.37</v>
      </c>
      <c r="Z17" s="123"/>
      <c r="AA17" s="326"/>
      <c r="AB17" s="1257">
        <f t="shared" si="18"/>
        <v>9000000</v>
      </c>
      <c r="AC17" s="140" t="str">
        <f t="shared" si="35"/>
        <v>0</v>
      </c>
      <c r="AD17" s="326">
        <f t="shared" ref="AD17:AF17" si="48">SUM(W17,P17,I17)</f>
        <v>1087352.1099999999</v>
      </c>
      <c r="AE17" s="326">
        <f t="shared" si="48"/>
        <v>0</v>
      </c>
      <c r="AF17" s="326">
        <f t="shared" si="48"/>
        <v>1087352.1099999999</v>
      </c>
      <c r="AG17" s="326">
        <f t="shared" si="21"/>
        <v>1087352.1099999999</v>
      </c>
      <c r="AH17" s="98" t="str">
        <f t="shared" si="37"/>
        <v/>
      </c>
      <c r="AI17" s="125">
        <f t="shared" si="23"/>
        <v>0</v>
      </c>
      <c r="AJ17" s="140">
        <f t="shared" si="24"/>
        <v>0</v>
      </c>
      <c r="AK17" s="123" t="str">
        <f t="shared" si="25"/>
        <v>0</v>
      </c>
      <c r="AL17" s="148">
        <f t="shared" si="26"/>
        <v>0</v>
      </c>
      <c r="AM17" s="125">
        <f t="shared" si="27"/>
        <v>0</v>
      </c>
      <c r="AN17" s="140">
        <f t="shared" si="28"/>
        <v>0</v>
      </c>
      <c r="AO17" s="326"/>
      <c r="AP17" s="333"/>
      <c r="AQ17" s="296" t="str">
        <f t="shared" si="29"/>
        <v/>
      </c>
    </row>
    <row r="18" spans="1:43" ht="13">
      <c r="A18" s="463">
        <f t="shared" si="0"/>
        <v>112014400</v>
      </c>
      <c r="B18" s="324">
        <f t="shared" si="1"/>
        <v>11</v>
      </c>
      <c r="C18" s="558">
        <f t="shared" si="2"/>
        <v>0.15</v>
      </c>
      <c r="D18" s="558">
        <f t="shared" si="3"/>
        <v>0.2</v>
      </c>
      <c r="E18" s="558">
        <f t="shared" si="4"/>
        <v>0</v>
      </c>
      <c r="F18" s="325" t="s">
        <v>1332</v>
      </c>
      <c r="G18" s="326">
        <f t="shared" si="5"/>
        <v>1029363.33</v>
      </c>
      <c r="H18" s="432">
        <v>3000000</v>
      </c>
      <c r="I18" s="113">
        <f t="shared" si="6"/>
        <v>3719287.03</v>
      </c>
      <c r="J18" s="116" t="str">
        <f t="shared" si="7"/>
        <v>0</v>
      </c>
      <c r="K18" s="117">
        <f t="shared" si="8"/>
        <v>3719287.03</v>
      </c>
      <c r="L18" s="123"/>
      <c r="M18" s="326"/>
      <c r="N18" s="326">
        <f t="shared" si="9"/>
        <v>1264218.42</v>
      </c>
      <c r="O18" s="332">
        <v>3000000</v>
      </c>
      <c r="P18" s="140">
        <f t="shared" si="11"/>
        <v>1732122.71</v>
      </c>
      <c r="Q18" s="326" t="str">
        <f t="shared" si="12"/>
        <v>0</v>
      </c>
      <c r="R18" s="333">
        <f t="shared" si="13"/>
        <v>1732122.71</v>
      </c>
      <c r="S18" s="123"/>
      <c r="T18" s="326"/>
      <c r="U18" s="326">
        <f t="shared" si="14"/>
        <v>1357839.31</v>
      </c>
      <c r="V18" s="332">
        <v>3000000</v>
      </c>
      <c r="W18" s="140">
        <f t="shared" si="15"/>
        <v>1969414.32</v>
      </c>
      <c r="X18" s="326" t="str">
        <f t="shared" si="16"/>
        <v>0</v>
      </c>
      <c r="Y18" s="333">
        <f t="shared" si="17"/>
        <v>1969414.32</v>
      </c>
      <c r="Z18" s="123"/>
      <c r="AA18" s="326"/>
      <c r="AB18" s="1257">
        <f t="shared" si="18"/>
        <v>9000000</v>
      </c>
      <c r="AC18" s="140">
        <f t="shared" si="35"/>
        <v>7114373.5099999998</v>
      </c>
      <c r="AD18" s="326">
        <f t="shared" ref="AD18:AF18" si="49">SUM(W18,P18,I18)</f>
        <v>7420824.0600000005</v>
      </c>
      <c r="AE18" s="326">
        <f t="shared" si="49"/>
        <v>0</v>
      </c>
      <c r="AF18" s="326">
        <f t="shared" si="49"/>
        <v>7420824.0600000005</v>
      </c>
      <c r="AG18" s="326">
        <f t="shared" si="21"/>
        <v>306450.55000000075</v>
      </c>
      <c r="AH18" s="98">
        <f t="shared" si="37"/>
        <v>1.0430748469375768</v>
      </c>
      <c r="AI18" s="125">
        <f t="shared" si="23"/>
        <v>1289690.6499999999</v>
      </c>
      <c r="AJ18" s="140">
        <f t="shared" si="24"/>
        <v>0</v>
      </c>
      <c r="AK18" s="123" t="str">
        <f t="shared" si="25"/>
        <v>0</v>
      </c>
      <c r="AL18" s="148">
        <f t="shared" si="26"/>
        <v>0</v>
      </c>
      <c r="AM18" s="125">
        <f t="shared" si="27"/>
        <v>1614461.08</v>
      </c>
      <c r="AN18" s="140">
        <f t="shared" si="28"/>
        <v>850913.61</v>
      </c>
      <c r="AO18" s="326"/>
      <c r="AP18" s="333">
        <v>850913.61</v>
      </c>
      <c r="AQ18" s="296" t="str">
        <f t="shared" si="29"/>
        <v/>
      </c>
    </row>
    <row r="19" spans="1:43" ht="13">
      <c r="A19" s="463">
        <f t="shared" si="0"/>
        <v>112012334</v>
      </c>
      <c r="B19" s="324">
        <f t="shared" si="1"/>
        <v>11</v>
      </c>
      <c r="C19" s="558">
        <f t="shared" si="2"/>
        <v>0.15</v>
      </c>
      <c r="D19" s="558">
        <f t="shared" si="3"/>
        <v>0.2</v>
      </c>
      <c r="E19" s="558">
        <f t="shared" si="4"/>
        <v>0</v>
      </c>
      <c r="F19" s="325" t="s">
        <v>1399</v>
      </c>
      <c r="G19" s="326">
        <f t="shared" si="5"/>
        <v>0</v>
      </c>
      <c r="H19" s="432">
        <v>3000000</v>
      </c>
      <c r="I19" s="113">
        <f t="shared" si="6"/>
        <v>0</v>
      </c>
      <c r="J19" s="116" t="str">
        <f t="shared" si="7"/>
        <v>0</v>
      </c>
      <c r="K19" s="117" t="str">
        <f t="shared" si="8"/>
        <v>0</v>
      </c>
      <c r="L19" s="123"/>
      <c r="M19" s="326"/>
      <c r="N19" s="326">
        <f t="shared" si="9"/>
        <v>0</v>
      </c>
      <c r="O19" s="332">
        <v>3000000</v>
      </c>
      <c r="P19" s="140">
        <f t="shared" si="11"/>
        <v>0</v>
      </c>
      <c r="Q19" s="326" t="str">
        <f t="shared" si="12"/>
        <v>0</v>
      </c>
      <c r="R19" s="333" t="str">
        <f t="shared" si="13"/>
        <v>0</v>
      </c>
      <c r="S19" s="123"/>
      <c r="T19" s="326"/>
      <c r="U19" s="326">
        <f t="shared" si="14"/>
        <v>0</v>
      </c>
      <c r="V19" s="332">
        <v>3000000</v>
      </c>
      <c r="W19" s="140">
        <f t="shared" si="15"/>
        <v>0</v>
      </c>
      <c r="X19" s="326" t="str">
        <f t="shared" si="16"/>
        <v>0</v>
      </c>
      <c r="Y19" s="333" t="str">
        <f t="shared" si="17"/>
        <v>0</v>
      </c>
      <c r="Z19" s="123"/>
      <c r="AA19" s="326"/>
      <c r="AB19" s="1257">
        <f t="shared" si="18"/>
        <v>9000000</v>
      </c>
      <c r="AC19" s="140" t="str">
        <f t="shared" si="35"/>
        <v>0</v>
      </c>
      <c r="AD19" s="326">
        <f t="shared" ref="AD19:AF19" si="50">SUM(W19,P19,I19)</f>
        <v>0</v>
      </c>
      <c r="AE19" s="326">
        <f t="shared" si="50"/>
        <v>0</v>
      </c>
      <c r="AF19" s="326">
        <f t="shared" si="50"/>
        <v>0</v>
      </c>
      <c r="AG19" s="326">
        <f t="shared" si="21"/>
        <v>0</v>
      </c>
      <c r="AH19" s="98" t="str">
        <f t="shared" si="37"/>
        <v/>
      </c>
      <c r="AI19" s="125">
        <f t="shared" si="23"/>
        <v>0</v>
      </c>
      <c r="AJ19" s="140">
        <f t="shared" si="24"/>
        <v>0</v>
      </c>
      <c r="AK19" s="123" t="str">
        <f t="shared" si="25"/>
        <v>0</v>
      </c>
      <c r="AL19" s="148" t="str">
        <f t="shared" si="26"/>
        <v>0</v>
      </c>
      <c r="AM19" s="125">
        <f t="shared" si="27"/>
        <v>0</v>
      </c>
      <c r="AN19" s="140">
        <f t="shared" si="28"/>
        <v>0</v>
      </c>
      <c r="AO19" s="326"/>
      <c r="AP19" s="333"/>
      <c r="AQ19" s="296" t="str">
        <f t="shared" si="29"/>
        <v/>
      </c>
    </row>
    <row r="20" spans="1:43" ht="13">
      <c r="A20" s="463">
        <f t="shared" si="0"/>
        <v>112014254</v>
      </c>
      <c r="B20" s="324">
        <f t="shared" si="1"/>
        <v>10</v>
      </c>
      <c r="C20" s="558">
        <f t="shared" si="2"/>
        <v>0.15</v>
      </c>
      <c r="D20" s="558">
        <f t="shared" si="3"/>
        <v>0.23</v>
      </c>
      <c r="E20" s="558">
        <f t="shared" si="4"/>
        <v>0</v>
      </c>
      <c r="F20" s="325" t="s">
        <v>1330</v>
      </c>
      <c r="G20" s="326" t="str">
        <f t="shared" si="5"/>
        <v/>
      </c>
      <c r="H20" s="432">
        <v>3000000</v>
      </c>
      <c r="I20" s="113">
        <f t="shared" si="6"/>
        <v>1.9999999552965164E-2</v>
      </c>
      <c r="J20" s="116">
        <f t="shared" si="7"/>
        <v>5679640.4500000002</v>
      </c>
      <c r="K20" s="117">
        <f t="shared" si="8"/>
        <v>5679640.4699999997</v>
      </c>
      <c r="L20" s="123"/>
      <c r="M20" s="326"/>
      <c r="N20" s="326" t="str">
        <f t="shared" si="9"/>
        <v/>
      </c>
      <c r="O20" s="332">
        <v>3000000</v>
      </c>
      <c r="P20" s="140">
        <f t="shared" si="11"/>
        <v>0</v>
      </c>
      <c r="Q20" s="326">
        <f t="shared" si="12"/>
        <v>3273035.51</v>
      </c>
      <c r="R20" s="333">
        <f t="shared" si="13"/>
        <v>3273035.51</v>
      </c>
      <c r="S20" s="123"/>
      <c r="T20" s="326"/>
      <c r="U20" s="326" t="str">
        <f t="shared" si="14"/>
        <v/>
      </c>
      <c r="V20" s="332">
        <v>3000000</v>
      </c>
      <c r="W20" s="140">
        <f t="shared" si="15"/>
        <v>0</v>
      </c>
      <c r="X20" s="326">
        <f t="shared" si="16"/>
        <v>6933590.5199999996</v>
      </c>
      <c r="Y20" s="333">
        <f t="shared" si="17"/>
        <v>6933590.5199999996</v>
      </c>
      <c r="Z20" s="123"/>
      <c r="AA20" s="326"/>
      <c r="AB20" s="1257">
        <f t="shared" si="18"/>
        <v>9000000</v>
      </c>
      <c r="AC20" s="140">
        <f t="shared" si="35"/>
        <v>9280921.9800000004</v>
      </c>
      <c r="AD20" s="326">
        <f t="shared" ref="AD20:AF20" si="51">SUM(W20,P20,I20)</f>
        <v>1.9999999552965164E-2</v>
      </c>
      <c r="AE20" s="326">
        <f t="shared" si="51"/>
        <v>15886266.48</v>
      </c>
      <c r="AF20" s="326">
        <f t="shared" si="51"/>
        <v>15886266.5</v>
      </c>
      <c r="AG20" s="326">
        <f t="shared" si="21"/>
        <v>6605344.5199999996</v>
      </c>
      <c r="AH20" s="98">
        <f t="shared" si="37"/>
        <v>1.7117121051372095</v>
      </c>
      <c r="AI20" s="125" t="str">
        <f t="shared" si="23"/>
        <v/>
      </c>
      <c r="AJ20" s="140">
        <f t="shared" si="24"/>
        <v>0</v>
      </c>
      <c r="AK20" s="123">
        <f t="shared" si="25"/>
        <v>3398716.04</v>
      </c>
      <c r="AL20" s="148">
        <f t="shared" si="26"/>
        <v>3398716.04</v>
      </c>
      <c r="AM20" s="125" t="str">
        <f t="shared" si="27"/>
        <v/>
      </c>
      <c r="AN20" s="140">
        <f t="shared" si="28"/>
        <v>2.0000000018626451E-2</v>
      </c>
      <c r="AO20" s="326">
        <v>2836904.41</v>
      </c>
      <c r="AP20" s="333">
        <v>2836904.43</v>
      </c>
      <c r="AQ20" s="296" t="str">
        <f t="shared" si="29"/>
        <v/>
      </c>
    </row>
    <row r="21" spans="1:43" ht="13">
      <c r="A21" s="463">
        <f t="shared" si="0"/>
        <v>112013622</v>
      </c>
      <c r="B21" s="324">
        <f t="shared" si="1"/>
        <v>10</v>
      </c>
      <c r="C21" s="558">
        <f t="shared" si="2"/>
        <v>0.15</v>
      </c>
      <c r="D21" s="558">
        <f t="shared" si="3"/>
        <v>0.23</v>
      </c>
      <c r="E21" s="558">
        <f t="shared" si="4"/>
        <v>0</v>
      </c>
      <c r="F21" s="325" t="s">
        <v>1264</v>
      </c>
      <c r="G21" s="326">
        <f t="shared" si="5"/>
        <v>775044.1</v>
      </c>
      <c r="H21" s="432">
        <v>3000000</v>
      </c>
      <c r="I21" s="113">
        <f t="shared" si="6"/>
        <v>1440880.73</v>
      </c>
      <c r="J21" s="116">
        <f t="shared" si="7"/>
        <v>555837.18000000005</v>
      </c>
      <c r="K21" s="117">
        <f t="shared" si="8"/>
        <v>1996717.91</v>
      </c>
      <c r="L21" s="123"/>
      <c r="M21" s="326"/>
      <c r="N21" s="326">
        <f t="shared" si="9"/>
        <v>2391023.7999999998</v>
      </c>
      <c r="O21" s="332">
        <v>3000000</v>
      </c>
      <c r="P21" s="140">
        <f t="shared" si="11"/>
        <v>0</v>
      </c>
      <c r="Q21" s="326">
        <f t="shared" si="12"/>
        <v>737363.66</v>
      </c>
      <c r="R21" s="333">
        <f t="shared" si="13"/>
        <v>737363.66</v>
      </c>
      <c r="S21" s="123"/>
      <c r="T21" s="326"/>
      <c r="U21" s="326">
        <f t="shared" si="14"/>
        <v>541164.73</v>
      </c>
      <c r="V21" s="332">
        <v>3000000</v>
      </c>
      <c r="W21" s="140">
        <f t="shared" si="15"/>
        <v>782521.33000000007</v>
      </c>
      <c r="X21" s="326">
        <f t="shared" si="16"/>
        <v>1421208.37</v>
      </c>
      <c r="Y21" s="333">
        <f t="shared" si="17"/>
        <v>2203729.7000000002</v>
      </c>
      <c r="Z21" s="123"/>
      <c r="AA21" s="326"/>
      <c r="AB21" s="1257">
        <f t="shared" si="18"/>
        <v>9000000</v>
      </c>
      <c r="AC21" s="140">
        <f t="shared" si="35"/>
        <v>2783749.11</v>
      </c>
      <c r="AD21" s="326">
        <f t="shared" ref="AD21:AF21" si="52">SUM(W21,P21,I21)</f>
        <v>2223402.06</v>
      </c>
      <c r="AE21" s="326">
        <f t="shared" si="52"/>
        <v>2714409.2100000004</v>
      </c>
      <c r="AF21" s="326">
        <f t="shared" si="52"/>
        <v>4937811.2700000005</v>
      </c>
      <c r="AG21" s="326">
        <f t="shared" si="21"/>
        <v>2154062.1600000006</v>
      </c>
      <c r="AH21" s="98">
        <f t="shared" si="37"/>
        <v>1.7737989577659894</v>
      </c>
      <c r="AI21" s="125">
        <f t="shared" si="23"/>
        <v>469101.03</v>
      </c>
      <c r="AJ21" s="140">
        <f t="shared" si="24"/>
        <v>0</v>
      </c>
      <c r="AK21" s="123">
        <f t="shared" si="25"/>
        <v>328136.99</v>
      </c>
      <c r="AL21" s="148">
        <f t="shared" si="26"/>
        <v>328136.99</v>
      </c>
      <c r="AM21" s="125">
        <f t="shared" si="27"/>
        <v>1037557.36</v>
      </c>
      <c r="AN21" s="140">
        <f t="shared" si="28"/>
        <v>324514.43000000005</v>
      </c>
      <c r="AO21" s="326">
        <v>97429.1</v>
      </c>
      <c r="AP21" s="333">
        <v>421943.53</v>
      </c>
      <c r="AQ21" s="296" t="str">
        <f t="shared" si="29"/>
        <v/>
      </c>
    </row>
    <row r="22" spans="1:43" ht="13">
      <c r="A22" s="463">
        <f t="shared" si="0"/>
        <v>112014686</v>
      </c>
      <c r="B22" s="324">
        <f t="shared" si="1"/>
        <v>10</v>
      </c>
      <c r="C22" s="558">
        <f t="shared" si="2"/>
        <v>0.15</v>
      </c>
      <c r="D22" s="558">
        <f t="shared" si="3"/>
        <v>0.23</v>
      </c>
      <c r="E22" s="558">
        <f t="shared" si="4"/>
        <v>0</v>
      </c>
      <c r="F22" s="325" t="s">
        <v>1338</v>
      </c>
      <c r="G22" s="326">
        <f t="shared" si="5"/>
        <v>894537.16</v>
      </c>
      <c r="H22" s="432">
        <v>3000000</v>
      </c>
      <c r="I22" s="113">
        <f t="shared" si="6"/>
        <v>0</v>
      </c>
      <c r="J22" s="116">
        <f t="shared" si="7"/>
        <v>0</v>
      </c>
      <c r="K22" s="117">
        <f t="shared" si="8"/>
        <v>0</v>
      </c>
      <c r="L22" s="123"/>
      <c r="M22" s="326"/>
      <c r="N22" s="326">
        <f t="shared" si="9"/>
        <v>0</v>
      </c>
      <c r="O22" s="332">
        <v>3000000</v>
      </c>
      <c r="P22" s="140">
        <f t="shared" si="11"/>
        <v>0</v>
      </c>
      <c r="Q22" s="326">
        <f t="shared" si="12"/>
        <v>0</v>
      </c>
      <c r="R22" s="333">
        <f t="shared" si="13"/>
        <v>0</v>
      </c>
      <c r="S22" s="123"/>
      <c r="T22" s="326"/>
      <c r="U22" s="326">
        <f t="shared" si="14"/>
        <v>677277.54</v>
      </c>
      <c r="V22" s="332">
        <v>3000000</v>
      </c>
      <c r="W22" s="140">
        <f t="shared" si="15"/>
        <v>0</v>
      </c>
      <c r="X22" s="326">
        <f t="shared" si="16"/>
        <v>0</v>
      </c>
      <c r="Y22" s="333">
        <f t="shared" si="17"/>
        <v>0</v>
      </c>
      <c r="Z22" s="123"/>
      <c r="AA22" s="326"/>
      <c r="AB22" s="1257">
        <f t="shared" si="18"/>
        <v>9000000</v>
      </c>
      <c r="AC22" s="140">
        <f t="shared" si="35"/>
        <v>242878.6</v>
      </c>
      <c r="AD22" s="326">
        <f t="shared" ref="AD22:AF22" si="53">SUM(W22,P22,I22)</f>
        <v>0</v>
      </c>
      <c r="AE22" s="326">
        <f t="shared" si="53"/>
        <v>0</v>
      </c>
      <c r="AF22" s="326">
        <f t="shared" si="53"/>
        <v>0</v>
      </c>
      <c r="AG22" s="326">
        <f t="shared" si="21"/>
        <v>-242878.6</v>
      </c>
      <c r="AH22" s="98">
        <f t="shared" si="37"/>
        <v>0</v>
      </c>
      <c r="AI22" s="125">
        <f t="shared" si="23"/>
        <v>143941.28</v>
      </c>
      <c r="AJ22" s="140">
        <f t="shared" si="24"/>
        <v>654854.81000000006</v>
      </c>
      <c r="AK22" s="123">
        <f t="shared" si="25"/>
        <v>161447.32999999999</v>
      </c>
      <c r="AL22" s="148">
        <f t="shared" si="26"/>
        <v>816302.14</v>
      </c>
      <c r="AM22" s="125">
        <f t="shared" si="27"/>
        <v>496042.92</v>
      </c>
      <c r="AN22" s="140">
        <f t="shared" si="28"/>
        <v>0</v>
      </c>
      <c r="AO22" s="326"/>
      <c r="AP22" s="333"/>
      <c r="AQ22" s="296" t="str">
        <f t="shared" si="29"/>
        <v/>
      </c>
    </row>
    <row r="23" spans="1:43" ht="13">
      <c r="A23" s="463">
        <f t="shared" si="0"/>
        <v>112010407</v>
      </c>
      <c r="B23" s="324">
        <f t="shared" si="1"/>
        <v>7</v>
      </c>
      <c r="C23" s="558">
        <f t="shared" si="2"/>
        <v>0.1</v>
      </c>
      <c r="D23" s="558">
        <f t="shared" si="3"/>
        <v>0.2</v>
      </c>
      <c r="E23" s="558">
        <f t="shared" si="4"/>
        <v>0</v>
      </c>
      <c r="F23" s="325" t="s">
        <v>1282</v>
      </c>
      <c r="G23" s="326" t="str">
        <f t="shared" si="5"/>
        <v/>
      </c>
      <c r="H23" s="1372">
        <v>1800000</v>
      </c>
      <c r="I23" s="113">
        <f t="shared" si="6"/>
        <v>730141.63</v>
      </c>
      <c r="J23" s="116">
        <f t="shared" si="7"/>
        <v>0</v>
      </c>
      <c r="K23" s="117">
        <f t="shared" si="8"/>
        <v>730141.63</v>
      </c>
      <c r="L23" s="123"/>
      <c r="M23" s="326"/>
      <c r="N23" s="326" t="str">
        <f t="shared" si="9"/>
        <v/>
      </c>
      <c r="O23" s="332">
        <v>3000000</v>
      </c>
      <c r="P23" s="140">
        <f t="shared" si="11"/>
        <v>2328457.13</v>
      </c>
      <c r="Q23" s="326">
        <f t="shared" si="12"/>
        <v>76661.039999999994</v>
      </c>
      <c r="R23" s="333">
        <f t="shared" si="13"/>
        <v>2405118.17</v>
      </c>
      <c r="S23" s="123"/>
      <c r="T23" s="326"/>
      <c r="U23" s="326" t="str">
        <f t="shared" si="14"/>
        <v/>
      </c>
      <c r="V23" s="332">
        <v>3000000</v>
      </c>
      <c r="W23" s="140">
        <f t="shared" si="15"/>
        <v>700143.6</v>
      </c>
      <c r="X23" s="326">
        <f t="shared" si="16"/>
        <v>0</v>
      </c>
      <c r="Y23" s="333">
        <f t="shared" si="17"/>
        <v>700143.6</v>
      </c>
      <c r="Z23" s="123"/>
      <c r="AA23" s="326"/>
      <c r="AB23" s="1257">
        <f t="shared" si="18"/>
        <v>7800000</v>
      </c>
      <c r="AC23" s="140">
        <f t="shared" si="35"/>
        <v>6085691.7999999998</v>
      </c>
      <c r="AD23" s="326">
        <f t="shared" ref="AD23:AF23" si="54">SUM(W23,P23,I23)</f>
        <v>3758742.36</v>
      </c>
      <c r="AE23" s="326">
        <f t="shared" si="54"/>
        <v>76661.039999999994</v>
      </c>
      <c r="AF23" s="326">
        <f t="shared" si="54"/>
        <v>3835403.4</v>
      </c>
      <c r="AG23" s="326">
        <f t="shared" si="21"/>
        <v>-2250288.4</v>
      </c>
      <c r="AH23" s="98">
        <f t="shared" si="37"/>
        <v>0.63023293424093541</v>
      </c>
      <c r="AI23" s="125" t="str">
        <f t="shared" si="23"/>
        <v/>
      </c>
      <c r="AJ23" s="140">
        <f t="shared" si="24"/>
        <v>706910.26</v>
      </c>
      <c r="AK23" s="123">
        <f t="shared" si="25"/>
        <v>0</v>
      </c>
      <c r="AL23" s="148">
        <f t="shared" si="26"/>
        <v>706910.26</v>
      </c>
      <c r="AM23" s="125" t="str">
        <f t="shared" si="27"/>
        <v/>
      </c>
      <c r="AN23" s="140">
        <f t="shared" si="28"/>
        <v>882418.82</v>
      </c>
      <c r="AO23" s="326"/>
      <c r="AP23" s="333">
        <v>882418.82</v>
      </c>
      <c r="AQ23" s="296" t="str">
        <f t="shared" si="29"/>
        <v/>
      </c>
    </row>
    <row r="24" spans="1:43" ht="13">
      <c r="A24" s="463">
        <f t="shared" si="0"/>
        <v>112014425</v>
      </c>
      <c r="B24" s="324">
        <f t="shared" si="1"/>
        <v>7</v>
      </c>
      <c r="C24" s="558">
        <f t="shared" si="2"/>
        <v>0.1</v>
      </c>
      <c r="D24" s="558">
        <f t="shared" si="3"/>
        <v>0.2</v>
      </c>
      <c r="E24" s="558">
        <f t="shared" si="4"/>
        <v>0</v>
      </c>
      <c r="F24" s="325" t="s">
        <v>1423</v>
      </c>
      <c r="G24" s="326">
        <f t="shared" si="5"/>
        <v>128105.63</v>
      </c>
      <c r="H24" s="860">
        <v>2500000</v>
      </c>
      <c r="I24" s="113">
        <f t="shared" si="6"/>
        <v>0</v>
      </c>
      <c r="J24" s="116" t="str">
        <f t="shared" si="7"/>
        <v>0</v>
      </c>
      <c r="K24" s="117" t="str">
        <f t="shared" si="8"/>
        <v>0</v>
      </c>
      <c r="L24" s="123"/>
      <c r="M24" s="326"/>
      <c r="N24" s="326">
        <f t="shared" si="9"/>
        <v>0</v>
      </c>
      <c r="O24" s="332">
        <v>3000000</v>
      </c>
      <c r="P24" s="140">
        <f t="shared" si="11"/>
        <v>0</v>
      </c>
      <c r="Q24" s="326" t="str">
        <f t="shared" si="12"/>
        <v>0</v>
      </c>
      <c r="R24" s="333" t="str">
        <f t="shared" si="13"/>
        <v>0</v>
      </c>
      <c r="S24" s="123"/>
      <c r="T24" s="326"/>
      <c r="U24" s="326">
        <f t="shared" si="14"/>
        <v>2074498.98</v>
      </c>
      <c r="V24" s="332">
        <v>3000000</v>
      </c>
      <c r="W24" s="140">
        <f t="shared" si="15"/>
        <v>0</v>
      </c>
      <c r="X24" s="326" t="str">
        <f t="shared" si="16"/>
        <v>0</v>
      </c>
      <c r="Y24" s="333" t="str">
        <f t="shared" si="17"/>
        <v>0</v>
      </c>
      <c r="Z24" s="123"/>
      <c r="AA24" s="326"/>
      <c r="AB24" s="1257">
        <f t="shared" si="18"/>
        <v>8500000</v>
      </c>
      <c r="AC24" s="140" t="str">
        <f t="shared" si="35"/>
        <v>0</v>
      </c>
      <c r="AD24" s="326">
        <f t="shared" ref="AD24:AF24" si="55">SUM(W24,P24,I24)</f>
        <v>0</v>
      </c>
      <c r="AE24" s="326">
        <f t="shared" si="55"/>
        <v>0</v>
      </c>
      <c r="AF24" s="326">
        <f t="shared" si="55"/>
        <v>0</v>
      </c>
      <c r="AG24" s="326">
        <f t="shared" si="21"/>
        <v>0</v>
      </c>
      <c r="AH24" s="98" t="str">
        <f t="shared" si="37"/>
        <v/>
      </c>
      <c r="AI24" s="125">
        <f t="shared" si="23"/>
        <v>181152.92</v>
      </c>
      <c r="AJ24" s="140">
        <f t="shared" si="24"/>
        <v>0</v>
      </c>
      <c r="AK24" s="123" t="str">
        <f t="shared" si="25"/>
        <v>0</v>
      </c>
      <c r="AL24" s="148" t="str">
        <f t="shared" si="26"/>
        <v>0</v>
      </c>
      <c r="AM24" s="125">
        <f t="shared" si="27"/>
        <v>2047522.91</v>
      </c>
      <c r="AN24" s="140">
        <f t="shared" si="28"/>
        <v>0</v>
      </c>
      <c r="AO24" s="326"/>
      <c r="AP24" s="333"/>
      <c r="AQ24" s="296" t="str">
        <f t="shared" si="29"/>
        <v/>
      </c>
    </row>
    <row r="25" spans="1:43" ht="13">
      <c r="A25" s="463">
        <f t="shared" si="0"/>
        <v>112013786</v>
      </c>
      <c r="B25" s="324">
        <f t="shared" si="1"/>
        <v>7</v>
      </c>
      <c r="C25" s="558">
        <f t="shared" si="2"/>
        <v>0.1</v>
      </c>
      <c r="D25" s="558">
        <f t="shared" si="3"/>
        <v>0.2</v>
      </c>
      <c r="E25" s="558">
        <f t="shared" si="4"/>
        <v>0</v>
      </c>
      <c r="F25" s="325" t="s">
        <v>1021</v>
      </c>
      <c r="G25" s="326">
        <f t="shared" si="5"/>
        <v>1870211.82</v>
      </c>
      <c r="H25" s="332">
        <f>(G25*1.601)*1.05</f>
        <v>3143919.5800109999</v>
      </c>
      <c r="I25" s="113">
        <f t="shared" si="6"/>
        <v>268698.5</v>
      </c>
      <c r="J25" s="116">
        <f t="shared" si="7"/>
        <v>454289.37</v>
      </c>
      <c r="K25" s="117">
        <f t="shared" si="8"/>
        <v>722987.87</v>
      </c>
      <c r="L25" s="123"/>
      <c r="M25" s="326"/>
      <c r="N25" s="326">
        <f t="shared" si="9"/>
        <v>1201394.48</v>
      </c>
      <c r="O25" s="332">
        <f>(N25*1.7245)*1.05</f>
        <v>2175395.0197979999</v>
      </c>
      <c r="P25" s="140">
        <f t="shared" si="11"/>
        <v>543216.76</v>
      </c>
      <c r="Q25" s="326">
        <f t="shared" si="12"/>
        <v>469332.43</v>
      </c>
      <c r="R25" s="333">
        <f t="shared" si="13"/>
        <v>1012549.19</v>
      </c>
      <c r="S25" s="123"/>
      <c r="T25" s="326"/>
      <c r="U25" s="326">
        <f t="shared" si="14"/>
        <v>855407.98</v>
      </c>
      <c r="V25" s="332">
        <f t="shared" ref="V25:V26" si="56">(U25*1.5955)*1.05</f>
        <v>1433043.6036945002</v>
      </c>
      <c r="W25" s="140">
        <f t="shared" si="15"/>
        <v>647377.53</v>
      </c>
      <c r="X25" s="326">
        <f t="shared" si="16"/>
        <v>1147480.33</v>
      </c>
      <c r="Y25" s="333">
        <f t="shared" si="17"/>
        <v>1794857.86</v>
      </c>
      <c r="Z25" s="123"/>
      <c r="AA25" s="326"/>
      <c r="AB25" s="1257">
        <f t="shared" si="18"/>
        <v>6752358.2035035007</v>
      </c>
      <c r="AC25" s="140">
        <f t="shared" si="35"/>
        <v>4302018.66</v>
      </c>
      <c r="AD25" s="326">
        <f t="shared" ref="AD25:AF25" si="57">SUM(W25,P25,I25)</f>
        <v>1459292.79</v>
      </c>
      <c r="AE25" s="326">
        <f t="shared" si="57"/>
        <v>2071102.13</v>
      </c>
      <c r="AF25" s="326">
        <f t="shared" si="57"/>
        <v>3530394.92</v>
      </c>
      <c r="AG25" s="326">
        <f t="shared" si="21"/>
        <v>-771623.74000000022</v>
      </c>
      <c r="AH25" s="98">
        <f t="shared" si="37"/>
        <v>0.82063682169151719</v>
      </c>
      <c r="AI25" s="125">
        <f t="shared" si="23"/>
        <v>714462.6</v>
      </c>
      <c r="AJ25" s="140">
        <f t="shared" si="24"/>
        <v>259081.51000000013</v>
      </c>
      <c r="AK25" s="123">
        <f t="shared" si="25"/>
        <v>958344.33</v>
      </c>
      <c r="AL25" s="148">
        <f t="shared" si="26"/>
        <v>1217425.8400000001</v>
      </c>
      <c r="AM25" s="125">
        <f t="shared" si="27"/>
        <v>327657.28999999998</v>
      </c>
      <c r="AN25" s="140">
        <f t="shared" si="28"/>
        <v>257098.03000000003</v>
      </c>
      <c r="AO25" s="326">
        <v>396218.5</v>
      </c>
      <c r="AP25" s="333">
        <v>653316.53</v>
      </c>
      <c r="AQ25" s="296" t="str">
        <f t="shared" si="29"/>
        <v/>
      </c>
    </row>
    <row r="26" spans="1:43" ht="13">
      <c r="A26" s="463">
        <f t="shared" si="0"/>
        <v>112013331</v>
      </c>
      <c r="B26" s="324">
        <f t="shared" si="1"/>
        <v>7</v>
      </c>
      <c r="C26" s="558">
        <f t="shared" si="2"/>
        <v>0.1</v>
      </c>
      <c r="D26" s="558">
        <f t="shared" si="3"/>
        <v>0.2</v>
      </c>
      <c r="E26" s="558">
        <f t="shared" si="4"/>
        <v>0</v>
      </c>
      <c r="F26" s="325" t="s">
        <v>587</v>
      </c>
      <c r="G26" s="326">
        <f t="shared" si="5"/>
        <v>0</v>
      </c>
      <c r="H26" s="332">
        <v>2500000</v>
      </c>
      <c r="I26" s="113">
        <f t="shared" si="6"/>
        <v>0</v>
      </c>
      <c r="J26" s="116" t="str">
        <f t="shared" si="7"/>
        <v>0</v>
      </c>
      <c r="K26" s="117" t="str">
        <f t="shared" si="8"/>
        <v>0</v>
      </c>
      <c r="L26" s="123"/>
      <c r="M26" s="326"/>
      <c r="N26" s="326">
        <f t="shared" si="9"/>
        <v>0</v>
      </c>
      <c r="O26" s="332">
        <v>2500000</v>
      </c>
      <c r="P26" s="140">
        <f t="shared" si="11"/>
        <v>0</v>
      </c>
      <c r="Q26" s="326" t="str">
        <f t="shared" si="12"/>
        <v>0</v>
      </c>
      <c r="R26" s="333" t="str">
        <f t="shared" si="13"/>
        <v>0</v>
      </c>
      <c r="S26" s="123"/>
      <c r="T26" s="326"/>
      <c r="U26" s="326">
        <f t="shared" si="14"/>
        <v>0</v>
      </c>
      <c r="V26" s="332">
        <f t="shared" si="56"/>
        <v>0</v>
      </c>
      <c r="W26" s="140">
        <f t="shared" si="15"/>
        <v>0</v>
      </c>
      <c r="X26" s="326" t="str">
        <f t="shared" si="16"/>
        <v>0</v>
      </c>
      <c r="Y26" s="333" t="str">
        <f t="shared" si="17"/>
        <v>0</v>
      </c>
      <c r="Z26" s="123"/>
      <c r="AA26" s="326"/>
      <c r="AB26" s="1257">
        <f t="shared" si="18"/>
        <v>5000000</v>
      </c>
      <c r="AC26" s="140">
        <f t="shared" si="35"/>
        <v>136353.65</v>
      </c>
      <c r="AD26" s="326">
        <f t="shared" ref="AD26:AF26" si="58">SUM(W26,P26,I26)</f>
        <v>0</v>
      </c>
      <c r="AE26" s="326">
        <f t="shared" si="58"/>
        <v>0</v>
      </c>
      <c r="AF26" s="326">
        <f t="shared" si="58"/>
        <v>0</v>
      </c>
      <c r="AG26" s="326">
        <f t="shared" si="21"/>
        <v>-136353.65</v>
      </c>
      <c r="AH26" s="98">
        <f t="shared" si="37"/>
        <v>0</v>
      </c>
      <c r="AI26" s="125">
        <f t="shared" si="23"/>
        <v>0</v>
      </c>
      <c r="AJ26" s="140">
        <f t="shared" si="24"/>
        <v>0</v>
      </c>
      <c r="AK26" s="123" t="str">
        <f t="shared" si="25"/>
        <v>0</v>
      </c>
      <c r="AL26" s="148" t="str">
        <f t="shared" si="26"/>
        <v>0</v>
      </c>
      <c r="AM26" s="125">
        <f t="shared" si="27"/>
        <v>0</v>
      </c>
      <c r="AN26" s="140">
        <f t="shared" si="28"/>
        <v>0</v>
      </c>
      <c r="AO26" s="326"/>
      <c r="AP26" s="333"/>
      <c r="AQ26" s="296" t="str">
        <f t="shared" si="29"/>
        <v/>
      </c>
    </row>
    <row r="27" spans="1:43" ht="13">
      <c r="A27" s="463">
        <f t="shared" si="0"/>
        <v>112012353</v>
      </c>
      <c r="B27" s="324">
        <f t="shared" si="1"/>
        <v>7</v>
      </c>
      <c r="C27" s="558">
        <f t="shared" si="2"/>
        <v>0.1</v>
      </c>
      <c r="D27" s="558">
        <f t="shared" si="3"/>
        <v>0.2</v>
      </c>
      <c r="E27" s="558">
        <f t="shared" si="4"/>
        <v>0</v>
      </c>
      <c r="F27" s="325" t="s">
        <v>1281</v>
      </c>
      <c r="G27" s="326">
        <f t="shared" si="5"/>
        <v>419229.51</v>
      </c>
      <c r="H27" s="332">
        <f>(G27*1.601)*1.05</f>
        <v>704745.76778550004</v>
      </c>
      <c r="I27" s="113">
        <f t="shared" si="6"/>
        <v>974151.55999999994</v>
      </c>
      <c r="J27" s="116">
        <f t="shared" si="7"/>
        <v>167139.17000000001</v>
      </c>
      <c r="K27" s="117">
        <f t="shared" si="8"/>
        <v>1141290.73</v>
      </c>
      <c r="L27" s="123"/>
      <c r="M27" s="326"/>
      <c r="N27" s="326">
        <f t="shared" si="9"/>
        <v>703865.35</v>
      </c>
      <c r="O27" s="332">
        <v>2500000</v>
      </c>
      <c r="P27" s="140">
        <f t="shared" si="11"/>
        <v>1219329.8400000001</v>
      </c>
      <c r="Q27" s="326">
        <f t="shared" si="12"/>
        <v>229398.76</v>
      </c>
      <c r="R27" s="333">
        <f t="shared" si="13"/>
        <v>1448728.6</v>
      </c>
      <c r="S27" s="123"/>
      <c r="T27" s="326"/>
      <c r="U27" s="326">
        <f t="shared" si="14"/>
        <v>679068.59</v>
      </c>
      <c r="V27" s="332">
        <v>2500000</v>
      </c>
      <c r="W27" s="140">
        <f t="shared" si="15"/>
        <v>1396822.44</v>
      </c>
      <c r="X27" s="326">
        <f t="shared" si="16"/>
        <v>0</v>
      </c>
      <c r="Y27" s="333">
        <f t="shared" si="17"/>
        <v>1396822.44</v>
      </c>
      <c r="Z27" s="123"/>
      <c r="AA27" s="326"/>
      <c r="AB27" s="1257">
        <f t="shared" si="18"/>
        <v>5704745.7677854998</v>
      </c>
      <c r="AC27" s="140">
        <f t="shared" si="35"/>
        <v>3977696.07</v>
      </c>
      <c r="AD27" s="326">
        <f t="shared" ref="AD27:AF27" si="59">SUM(W27,P27,I27)</f>
        <v>3590303.8400000003</v>
      </c>
      <c r="AE27" s="326">
        <f t="shared" si="59"/>
        <v>396537.93000000005</v>
      </c>
      <c r="AF27" s="326">
        <f t="shared" si="59"/>
        <v>3986841.77</v>
      </c>
      <c r="AG27" s="326">
        <f t="shared" si="21"/>
        <v>9145.7000000001863</v>
      </c>
      <c r="AH27" s="98">
        <f t="shared" si="37"/>
        <v>1.0022992455529667</v>
      </c>
      <c r="AI27" s="125">
        <f t="shared" si="23"/>
        <v>0</v>
      </c>
      <c r="AJ27" s="140">
        <f t="shared" si="24"/>
        <v>1047625.41</v>
      </c>
      <c r="AK27" s="123">
        <f t="shared" si="25"/>
        <v>287494.63</v>
      </c>
      <c r="AL27" s="148">
        <f t="shared" si="26"/>
        <v>1335120.04</v>
      </c>
      <c r="AM27" s="125">
        <f t="shared" si="27"/>
        <v>1103780.3899999999</v>
      </c>
      <c r="AN27" s="140">
        <f t="shared" si="28"/>
        <v>624204.31000000006</v>
      </c>
      <c r="AO27" s="326"/>
      <c r="AP27" s="333">
        <v>624204.31000000006</v>
      </c>
      <c r="AQ27" s="296" t="str">
        <f t="shared" si="29"/>
        <v/>
      </c>
    </row>
    <row r="28" spans="1:43" ht="13">
      <c r="A28" s="463">
        <f t="shared" si="0"/>
        <v>112014501</v>
      </c>
      <c r="B28" s="324">
        <f t="shared" si="1"/>
        <v>7</v>
      </c>
      <c r="C28" s="558">
        <f t="shared" si="2"/>
        <v>0.1</v>
      </c>
      <c r="D28" s="558">
        <f t="shared" si="3"/>
        <v>0.2</v>
      </c>
      <c r="E28" s="558">
        <f t="shared" si="4"/>
        <v>0</v>
      </c>
      <c r="F28" s="325" t="s">
        <v>1422</v>
      </c>
      <c r="G28" s="326">
        <f t="shared" si="5"/>
        <v>0</v>
      </c>
      <c r="H28" s="332">
        <v>2500000</v>
      </c>
      <c r="I28" s="113">
        <f t="shared" si="6"/>
        <v>0</v>
      </c>
      <c r="J28" s="116" t="str">
        <f t="shared" si="7"/>
        <v>0</v>
      </c>
      <c r="K28" s="117">
        <f t="shared" si="8"/>
        <v>0</v>
      </c>
      <c r="L28" s="123"/>
      <c r="M28" s="326"/>
      <c r="N28" s="326">
        <f t="shared" si="9"/>
        <v>512543.68</v>
      </c>
      <c r="O28" s="332">
        <v>2500000</v>
      </c>
      <c r="P28" s="140">
        <f t="shared" si="11"/>
        <v>0</v>
      </c>
      <c r="Q28" s="326" t="str">
        <f t="shared" si="12"/>
        <v>0</v>
      </c>
      <c r="R28" s="333">
        <f t="shared" si="13"/>
        <v>0</v>
      </c>
      <c r="S28" s="123"/>
      <c r="T28" s="326"/>
      <c r="U28" s="326">
        <f t="shared" si="14"/>
        <v>0</v>
      </c>
      <c r="V28" s="332">
        <v>2500000</v>
      </c>
      <c r="W28" s="140">
        <f t="shared" si="15"/>
        <v>0</v>
      </c>
      <c r="X28" s="326" t="str">
        <f t="shared" si="16"/>
        <v>0</v>
      </c>
      <c r="Y28" s="333">
        <f t="shared" si="17"/>
        <v>0</v>
      </c>
      <c r="Z28" s="123"/>
      <c r="AA28" s="326"/>
      <c r="AB28" s="1257">
        <f t="shared" si="18"/>
        <v>7500000</v>
      </c>
      <c r="AC28" s="140" t="str">
        <f t="shared" si="35"/>
        <v>0</v>
      </c>
      <c r="AD28" s="326">
        <f t="shared" ref="AD28:AF28" si="60">SUM(W28,P28,I28)</f>
        <v>0</v>
      </c>
      <c r="AE28" s="326">
        <f t="shared" si="60"/>
        <v>0</v>
      </c>
      <c r="AF28" s="326">
        <f t="shared" si="60"/>
        <v>0</v>
      </c>
      <c r="AG28" s="326">
        <f t="shared" si="21"/>
        <v>0</v>
      </c>
      <c r="AH28" s="98" t="str">
        <f t="shared" si="37"/>
        <v/>
      </c>
      <c r="AI28" s="125">
        <f t="shared" si="23"/>
        <v>0</v>
      </c>
      <c r="AJ28" s="140">
        <f t="shared" si="24"/>
        <v>264428.82</v>
      </c>
      <c r="AK28" s="123" t="str">
        <f t="shared" si="25"/>
        <v>0</v>
      </c>
      <c r="AL28" s="148">
        <f t="shared" si="26"/>
        <v>264428.82</v>
      </c>
      <c r="AM28" s="125">
        <f t="shared" si="27"/>
        <v>0</v>
      </c>
      <c r="AN28" s="140">
        <f t="shared" si="28"/>
        <v>0</v>
      </c>
      <c r="AO28" s="326"/>
      <c r="AP28" s="333"/>
      <c r="AQ28" s="296" t="str">
        <f t="shared" si="29"/>
        <v/>
      </c>
    </row>
    <row r="29" spans="1:43" ht="13">
      <c r="A29" s="463">
        <f t="shared" si="0"/>
        <v>112013545</v>
      </c>
      <c r="B29" s="324">
        <f t="shared" si="1"/>
        <v>7</v>
      </c>
      <c r="C29" s="558">
        <f t="shared" si="2"/>
        <v>0.1</v>
      </c>
      <c r="D29" s="558">
        <f t="shared" si="3"/>
        <v>0.2</v>
      </c>
      <c r="E29" s="558">
        <f t="shared" si="4"/>
        <v>0</v>
      </c>
      <c r="F29" s="325" t="s">
        <v>1022</v>
      </c>
      <c r="G29" s="326">
        <f>IFERROR(VLOOKUP(F29,ROTELA,3,FALSE),"")</f>
        <v>0</v>
      </c>
      <c r="H29" s="1372">
        <v>1800000</v>
      </c>
      <c r="I29" s="113">
        <f t="shared" si="6"/>
        <v>2933648.79</v>
      </c>
      <c r="J29" s="116">
        <f t="shared" si="7"/>
        <v>481916.7</v>
      </c>
      <c r="K29" s="117">
        <f t="shared" si="8"/>
        <v>3415565.49</v>
      </c>
      <c r="L29" s="123"/>
      <c r="M29" s="326"/>
      <c r="N29" s="326">
        <f>IFERROR(VLOOKUP(F29,ROTELA,4,FALSE),"")</f>
        <v>0</v>
      </c>
      <c r="O29" s="332">
        <v>1800000</v>
      </c>
      <c r="P29" s="140">
        <f t="shared" si="11"/>
        <v>694399.26000000024</v>
      </c>
      <c r="Q29" s="326">
        <f t="shared" si="12"/>
        <v>2710153.88</v>
      </c>
      <c r="R29" s="333">
        <f t="shared" si="13"/>
        <v>3404553.14</v>
      </c>
      <c r="S29" s="123"/>
      <c r="T29" s="326"/>
      <c r="U29" s="326">
        <f>IFERROR(VLOOKUP(F29,ROTELA,5,FALSE),"")</f>
        <v>0</v>
      </c>
      <c r="V29" s="332">
        <v>1800000</v>
      </c>
      <c r="W29" s="140">
        <f t="shared" si="15"/>
        <v>0</v>
      </c>
      <c r="X29" s="326">
        <f t="shared" si="16"/>
        <v>-1899638.36</v>
      </c>
      <c r="Y29" s="333">
        <f t="shared" si="17"/>
        <v>-1899638.36</v>
      </c>
      <c r="Z29" s="123"/>
      <c r="AA29" s="326"/>
      <c r="AB29" s="1257">
        <f t="shared" si="18"/>
        <v>5400000</v>
      </c>
      <c r="AC29" s="140">
        <f t="shared" si="35"/>
        <v>8652880.9700000007</v>
      </c>
      <c r="AD29" s="326">
        <f t="shared" ref="AD29:AF29" si="61">SUM(W29,P29,I29)</f>
        <v>3628048.0500000003</v>
      </c>
      <c r="AE29" s="326">
        <f t="shared" si="61"/>
        <v>1292432.2199999997</v>
      </c>
      <c r="AF29" s="326">
        <f t="shared" si="61"/>
        <v>4920480.2700000005</v>
      </c>
      <c r="AG29" s="326">
        <f t="shared" si="21"/>
        <v>-3732400.7</v>
      </c>
      <c r="AH29" s="98">
        <f t="shared" si="37"/>
        <v>0.56865225432541688</v>
      </c>
      <c r="AI29" s="125">
        <f>IFERROR(VLOOKUP(F29,ROTELA,6,FALSE),"")</f>
        <v>0</v>
      </c>
      <c r="AJ29" s="140">
        <f t="shared" si="24"/>
        <v>0</v>
      </c>
      <c r="AK29" s="123">
        <f t="shared" si="25"/>
        <v>781169.3</v>
      </c>
      <c r="AL29" s="148">
        <f t="shared" si="26"/>
        <v>781169.3</v>
      </c>
      <c r="AM29" s="125">
        <f>IFERROR(VLOOKUP(F29,ROTELA,7,FALSE),"")</f>
        <v>0</v>
      </c>
      <c r="AN29" s="140">
        <f t="shared" si="28"/>
        <v>0</v>
      </c>
      <c r="AO29" s="326">
        <v>2674792.66</v>
      </c>
      <c r="AP29" s="333">
        <v>2674792.66</v>
      </c>
      <c r="AQ29" s="296" t="str">
        <f t="shared" si="29"/>
        <v/>
      </c>
    </row>
    <row r="30" spans="1:43" ht="13">
      <c r="A30" s="463">
        <f t="shared" si="0"/>
        <v>112013925</v>
      </c>
      <c r="B30" s="324">
        <f t="shared" si="1"/>
        <v>31</v>
      </c>
      <c r="C30" s="558">
        <f t="shared" si="2"/>
        <v>0.1</v>
      </c>
      <c r="D30" s="558">
        <f t="shared" si="3"/>
        <v>0.23</v>
      </c>
      <c r="E30" s="558">
        <f t="shared" si="4"/>
        <v>0</v>
      </c>
      <c r="F30" s="325" t="s">
        <v>1274</v>
      </c>
      <c r="G30" s="326">
        <f>IFERROR(VLOOKUP(F30,ROTELA,3,FALSE),"")</f>
        <v>0</v>
      </c>
      <c r="H30" s="1372">
        <v>1800000</v>
      </c>
      <c r="I30" s="113">
        <f t="shared" si="6"/>
        <v>0</v>
      </c>
      <c r="J30" s="116">
        <f t="shared" si="7"/>
        <v>0</v>
      </c>
      <c r="K30" s="117">
        <f t="shared" si="8"/>
        <v>0</v>
      </c>
      <c r="L30" s="123"/>
      <c r="M30" s="326"/>
      <c r="N30" s="326">
        <f>IFERROR(VLOOKUP(F30,ROTELA,4,FALSE),"")</f>
        <v>0</v>
      </c>
      <c r="O30" s="332">
        <v>1800000</v>
      </c>
      <c r="P30" s="140">
        <f t="shared" si="11"/>
        <v>0</v>
      </c>
      <c r="Q30" s="326">
        <f t="shared" si="12"/>
        <v>128920.52</v>
      </c>
      <c r="R30" s="333">
        <f t="shared" si="13"/>
        <v>128920.52</v>
      </c>
      <c r="S30" s="123"/>
      <c r="T30" s="326"/>
      <c r="U30" s="326">
        <f>IFERROR(VLOOKUP(F30,ROTELA,5,FALSE),"")</f>
        <v>0</v>
      </c>
      <c r="V30" s="332">
        <v>1800000</v>
      </c>
      <c r="W30" s="140">
        <f t="shared" si="15"/>
        <v>0</v>
      </c>
      <c r="X30" s="326">
        <f t="shared" si="16"/>
        <v>42333.98</v>
      </c>
      <c r="Y30" s="333">
        <f t="shared" si="17"/>
        <v>42333.98</v>
      </c>
      <c r="Z30" s="123"/>
      <c r="AA30" s="326"/>
      <c r="AB30" s="1257">
        <f t="shared" si="18"/>
        <v>5400000</v>
      </c>
      <c r="AC30" s="140">
        <f t="shared" si="35"/>
        <v>494701.34</v>
      </c>
      <c r="AD30" s="326">
        <f t="shared" ref="AD30:AF30" si="62">SUM(W30,P30,I30)</f>
        <v>0</v>
      </c>
      <c r="AE30" s="326">
        <f t="shared" si="62"/>
        <v>171254.5</v>
      </c>
      <c r="AF30" s="326">
        <f t="shared" si="62"/>
        <v>171254.5</v>
      </c>
      <c r="AG30" s="326">
        <f t="shared" si="21"/>
        <v>-323446.84000000003</v>
      </c>
      <c r="AH30" s="98">
        <f t="shared" si="37"/>
        <v>0.34617755431994585</v>
      </c>
      <c r="AI30" s="125">
        <f>IFERROR(VLOOKUP(F30,ROTELA,6,FALSE),"")</f>
        <v>0</v>
      </c>
      <c r="AJ30" s="140">
        <f t="shared" si="24"/>
        <v>0</v>
      </c>
      <c r="AK30" s="123">
        <f t="shared" si="25"/>
        <v>0</v>
      </c>
      <c r="AL30" s="148">
        <f t="shared" si="26"/>
        <v>0</v>
      </c>
      <c r="AM30" s="125">
        <f>IFERROR(VLOOKUP(F30,ROTELA,7,FALSE),"")</f>
        <v>0</v>
      </c>
      <c r="AN30" s="140">
        <f t="shared" si="28"/>
        <v>0</v>
      </c>
      <c r="AO30" s="326"/>
      <c r="AP30" s="333"/>
      <c r="AQ30" s="296" t="str">
        <f t="shared" si="29"/>
        <v/>
      </c>
    </row>
    <row r="31" spans="1:43" ht="13">
      <c r="A31" s="463">
        <f t="shared" si="0"/>
        <v>112014363</v>
      </c>
      <c r="B31" s="324">
        <f t="shared" si="1"/>
        <v>31</v>
      </c>
      <c r="C31" s="558">
        <f t="shared" si="2"/>
        <v>0.1</v>
      </c>
      <c r="D31" s="558">
        <f t="shared" si="3"/>
        <v>0.23</v>
      </c>
      <c r="E31" s="558">
        <f t="shared" si="4"/>
        <v>0</v>
      </c>
      <c r="F31" s="325" t="s">
        <v>1273</v>
      </c>
      <c r="G31" s="326" t="str">
        <f>IFERROR(VLOOKUP(F31,ROTELA,3,FALSE),"")</f>
        <v/>
      </c>
      <c r="H31" s="1372">
        <v>1800000</v>
      </c>
      <c r="I31" s="113">
        <f t="shared" si="6"/>
        <v>0</v>
      </c>
      <c r="J31" s="116">
        <f t="shared" si="7"/>
        <v>0</v>
      </c>
      <c r="K31" s="117">
        <f t="shared" si="8"/>
        <v>0</v>
      </c>
      <c r="L31" s="123"/>
      <c r="M31" s="326"/>
      <c r="N31" s="326" t="str">
        <f>IFERROR(VLOOKUP(F31,ROTELA,4,FALSE),"")</f>
        <v/>
      </c>
      <c r="O31" s="332" t="e">
        <f>(N31*1.7245)*1.05</f>
        <v>#VALUE!</v>
      </c>
      <c r="P31" s="140">
        <f t="shared" si="11"/>
        <v>0</v>
      </c>
      <c r="Q31" s="326">
        <f t="shared" si="12"/>
        <v>2307001.4700000002</v>
      </c>
      <c r="R31" s="333">
        <f t="shared" si="13"/>
        <v>2307001.4700000002</v>
      </c>
      <c r="S31" s="123"/>
      <c r="T31" s="326"/>
      <c r="U31" s="326" t="str">
        <f>IFERROR(VLOOKUP(F31,ROTELA,5,FALSE),"")</f>
        <v/>
      </c>
      <c r="V31" s="332">
        <v>1800000</v>
      </c>
      <c r="W31" s="140">
        <f t="shared" si="15"/>
        <v>0</v>
      </c>
      <c r="X31" s="326">
        <f t="shared" si="16"/>
        <v>0</v>
      </c>
      <c r="Y31" s="333">
        <f t="shared" si="17"/>
        <v>0</v>
      </c>
      <c r="Z31" s="123"/>
      <c r="AA31" s="326"/>
      <c r="AB31" s="1257" t="e">
        <f t="shared" si="18"/>
        <v>#VALUE!</v>
      </c>
      <c r="AC31" s="140" t="str">
        <f t="shared" si="35"/>
        <v>0</v>
      </c>
      <c r="AD31" s="326">
        <f t="shared" ref="AD31:AF31" si="63">SUM(W31,P31,I31)</f>
        <v>0</v>
      </c>
      <c r="AE31" s="326">
        <f t="shared" si="63"/>
        <v>2307001.4700000002</v>
      </c>
      <c r="AF31" s="326">
        <f t="shared" si="63"/>
        <v>2307001.4700000002</v>
      </c>
      <c r="AG31" s="326">
        <f t="shared" si="21"/>
        <v>2307001.4700000002</v>
      </c>
      <c r="AH31" s="98" t="str">
        <f t="shared" si="37"/>
        <v/>
      </c>
      <c r="AI31" s="125" t="str">
        <f>IFERROR(VLOOKUP(F31,ROTELA,6,FALSE),"")</f>
        <v/>
      </c>
      <c r="AJ31" s="140">
        <f t="shared" si="24"/>
        <v>0</v>
      </c>
      <c r="AK31" s="123">
        <f t="shared" si="25"/>
        <v>2690641.42</v>
      </c>
      <c r="AL31" s="148">
        <f t="shared" si="26"/>
        <v>2690641.42</v>
      </c>
      <c r="AM31" s="125" t="str">
        <f>IFERROR(VLOOKUP(F31,ROTELA,7,FALSE),"")</f>
        <v/>
      </c>
      <c r="AN31" s="140">
        <f t="shared" si="28"/>
        <v>0</v>
      </c>
      <c r="AO31" s="326">
        <v>3568458.96</v>
      </c>
      <c r="AP31" s="333">
        <v>3568458.96</v>
      </c>
      <c r="AQ31" s="296" t="str">
        <f t="shared" si="29"/>
        <v/>
      </c>
    </row>
    <row r="32" spans="1:43" ht="13">
      <c r="A32" s="463">
        <f t="shared" si="0"/>
        <v>112013516</v>
      </c>
      <c r="B32" s="324">
        <f t="shared" si="1"/>
        <v>22</v>
      </c>
      <c r="C32" s="558">
        <f t="shared" si="2"/>
        <v>0.1</v>
      </c>
      <c r="D32" s="558">
        <f t="shared" si="3"/>
        <v>0.09</v>
      </c>
      <c r="E32" s="558">
        <f t="shared" si="4"/>
        <v>0</v>
      </c>
      <c r="F32" s="325" t="s">
        <v>1056</v>
      </c>
      <c r="G32" s="326" t="str">
        <f>IFERROR(VLOOKUP(F32,tmkpechhhh24,3,FALSE),"")</f>
        <v/>
      </c>
      <c r="H32" s="1372">
        <v>1800000</v>
      </c>
      <c r="I32" s="113">
        <f t="shared" si="6"/>
        <v>0</v>
      </c>
      <c r="J32" s="116" t="str">
        <f t="shared" si="7"/>
        <v>0</v>
      </c>
      <c r="K32" s="117">
        <f t="shared" si="8"/>
        <v>0</v>
      </c>
      <c r="L32" s="123"/>
      <c r="M32" s="326"/>
      <c r="N32" s="326" t="str">
        <f>IFERROR(VLOOKUP(F32,tmkpechhhh24,4,FALSE),"")</f>
        <v/>
      </c>
      <c r="O32" s="332">
        <v>1800000</v>
      </c>
      <c r="P32" s="140">
        <f t="shared" si="11"/>
        <v>97381.19</v>
      </c>
      <c r="Q32" s="326" t="str">
        <f t="shared" si="12"/>
        <v>0</v>
      </c>
      <c r="R32" s="333">
        <f t="shared" si="13"/>
        <v>97381.19</v>
      </c>
      <c r="S32" s="123"/>
      <c r="T32" s="326"/>
      <c r="U32" s="326" t="str">
        <f>IFERROR(VLOOKUP(F32,tmkpechhhh24,5,FALSE),"")</f>
        <v/>
      </c>
      <c r="V32" s="332" t="e">
        <f>(U32*1.5955)*1.05</f>
        <v>#VALUE!</v>
      </c>
      <c r="W32" s="140">
        <f t="shared" si="15"/>
        <v>-97381.19</v>
      </c>
      <c r="X32" s="326" t="str">
        <f t="shared" si="16"/>
        <v>0</v>
      </c>
      <c r="Y32" s="333">
        <f t="shared" si="17"/>
        <v>-97381.19</v>
      </c>
      <c r="Z32" s="123"/>
      <c r="AA32" s="326"/>
      <c r="AB32" s="1257" t="e">
        <f t="shared" si="18"/>
        <v>#VALUE!</v>
      </c>
      <c r="AC32" s="140">
        <f t="shared" si="35"/>
        <v>982138.16</v>
      </c>
      <c r="AD32" s="326">
        <f t="shared" ref="AD32:AF32" si="64">SUM(W32,P32,I32)</f>
        <v>0</v>
      </c>
      <c r="AE32" s="326">
        <f t="shared" si="64"/>
        <v>0</v>
      </c>
      <c r="AF32" s="326">
        <f t="shared" si="64"/>
        <v>0</v>
      </c>
      <c r="AG32" s="326">
        <f t="shared" si="21"/>
        <v>-982138.16</v>
      </c>
      <c r="AH32" s="98">
        <f t="shared" si="37"/>
        <v>0</v>
      </c>
      <c r="AI32" s="125" t="str">
        <f>IFERROR(VLOOKUP(F32,tmkpechhhh24,6,FALSE),"")</f>
        <v/>
      </c>
      <c r="AJ32" s="140">
        <f t="shared" si="24"/>
        <v>0</v>
      </c>
      <c r="AK32" s="123" t="str">
        <f t="shared" si="25"/>
        <v>0</v>
      </c>
      <c r="AL32" s="148">
        <f t="shared" si="26"/>
        <v>0</v>
      </c>
      <c r="AM32" s="125" t="str">
        <f>IFERROR(VLOOKUP(F32,tmkpechhhh24,7,FALSE),"")</f>
        <v/>
      </c>
      <c r="AN32" s="140">
        <f t="shared" si="28"/>
        <v>0</v>
      </c>
      <c r="AO32" s="326"/>
      <c r="AP32" s="333"/>
      <c r="AQ32" s="296" t="str">
        <f t="shared" si="29"/>
        <v/>
      </c>
    </row>
    <row r="33" spans="1:43" ht="13">
      <c r="A33" s="463">
        <f t="shared" si="0"/>
        <v>112014524</v>
      </c>
      <c r="B33" s="324">
        <f t="shared" si="1"/>
        <v>22</v>
      </c>
      <c r="C33" s="558">
        <f t="shared" si="2"/>
        <v>0.1</v>
      </c>
      <c r="D33" s="558">
        <f t="shared" si="3"/>
        <v>0.09</v>
      </c>
      <c r="E33" s="558">
        <f t="shared" si="4"/>
        <v>0</v>
      </c>
      <c r="F33" s="325" t="s">
        <v>1321</v>
      </c>
      <c r="G33" s="326"/>
      <c r="H33" s="1372"/>
      <c r="I33" s="113">
        <f t="shared" si="6"/>
        <v>0</v>
      </c>
      <c r="J33" s="116" t="str">
        <f t="shared" si="7"/>
        <v>0</v>
      </c>
      <c r="K33" s="117">
        <f t="shared" si="8"/>
        <v>0</v>
      </c>
      <c r="L33" s="123"/>
      <c r="M33" s="326"/>
      <c r="N33" s="326"/>
      <c r="O33" s="332"/>
      <c r="P33" s="140">
        <f t="shared" si="11"/>
        <v>0</v>
      </c>
      <c r="Q33" s="326" t="str">
        <f t="shared" si="12"/>
        <v>0</v>
      </c>
      <c r="R33" s="333">
        <f t="shared" si="13"/>
        <v>0</v>
      </c>
      <c r="S33" s="123"/>
      <c r="T33" s="326"/>
      <c r="U33" s="326"/>
      <c r="V33" s="332"/>
      <c r="W33" s="140">
        <f t="shared" si="15"/>
        <v>0</v>
      </c>
      <c r="X33" s="326" t="str">
        <f t="shared" si="16"/>
        <v>0</v>
      </c>
      <c r="Y33" s="333">
        <f t="shared" si="17"/>
        <v>0</v>
      </c>
      <c r="Z33" s="123"/>
      <c r="AA33" s="326"/>
      <c r="AB33" s="1257"/>
      <c r="AC33" s="140" t="str">
        <f t="shared" si="35"/>
        <v>0</v>
      </c>
      <c r="AD33" s="326">
        <f t="shared" ref="AD33:AE33" si="65">SUM(W33,P33,I33)</f>
        <v>0</v>
      </c>
      <c r="AE33" s="326">
        <f t="shared" si="65"/>
        <v>0</v>
      </c>
      <c r="AF33" s="326"/>
      <c r="AG33" s="326">
        <f t="shared" si="21"/>
        <v>0</v>
      </c>
      <c r="AH33" s="98" t="str">
        <f t="shared" si="37"/>
        <v/>
      </c>
      <c r="AI33" s="125"/>
      <c r="AJ33" s="140">
        <f t="shared" si="24"/>
        <v>288533.67</v>
      </c>
      <c r="AK33" s="123" t="str">
        <f t="shared" si="25"/>
        <v>0</v>
      </c>
      <c r="AL33" s="148">
        <f t="shared" si="26"/>
        <v>288533.67</v>
      </c>
      <c r="AM33" s="125"/>
      <c r="AN33" s="140">
        <f t="shared" si="28"/>
        <v>545862.88</v>
      </c>
      <c r="AO33" s="326"/>
      <c r="AP33" s="333">
        <v>545862.88</v>
      </c>
      <c r="AQ33" s="296" t="str">
        <f t="shared" si="29"/>
        <v/>
      </c>
    </row>
    <row r="34" spans="1:43" ht="13">
      <c r="A34" s="463">
        <f t="shared" ref="A34:A65" si="66">VLOOKUP(F34,ROTELACARTERA,3,FALSE)</f>
        <v>112013809</v>
      </c>
      <c r="B34" s="324">
        <f t="shared" ref="B34:B65" si="67">VLOOKUP(F34,ROTELACARTERA,2,FALSE)</f>
        <v>7</v>
      </c>
      <c r="C34" s="558">
        <f t="shared" ref="C34:C65" si="68">IFERROR(VLOOKUP(B34,DES,2,FALSE),"")</f>
        <v>0.1</v>
      </c>
      <c r="D34" s="558">
        <f t="shared" ref="D34:D65" si="69">IFERROR(VLOOKUP(B34,DES,3,FALSE),"")</f>
        <v>0.2</v>
      </c>
      <c r="E34" s="558">
        <f t="shared" ref="E34:E65" si="70">IFERROR(VLOOKUP(B34,DES,4,FALSE),"")</f>
        <v>0</v>
      </c>
      <c r="F34" s="325" t="s">
        <v>1313</v>
      </c>
      <c r="G34" s="326" t="str">
        <f t="shared" ref="G34:G65" si="71">IFERROR(VLOOKUP(F34,tmkpechhhh24,3,FALSE),"")</f>
        <v/>
      </c>
      <c r="H34" s="1372">
        <v>1800000</v>
      </c>
      <c r="I34" s="113">
        <f t="shared" si="6"/>
        <v>3323173.53</v>
      </c>
      <c r="J34" s="116" t="str">
        <f t="shared" ref="J34:J65" si="72">IFERROR(VLOOKUP(F34,ROTELALIM,3,FALSE),"0")</f>
        <v>0</v>
      </c>
      <c r="K34" s="117">
        <f t="shared" ref="K34:K65" si="73">IFERROR(VLOOKUP(F34,ROTEFC,3,FALSE),"0")</f>
        <v>3323173.53</v>
      </c>
      <c r="L34" s="123"/>
      <c r="M34" s="326"/>
      <c r="N34" s="326" t="str">
        <f t="shared" ref="N34:N65" si="74">IFERROR(VLOOKUP(F34,tmkpechhhh24,4,FALSE),"")</f>
        <v/>
      </c>
      <c r="O34" s="332" t="e">
        <f>(N34*1.7245)*1.05</f>
        <v>#VALUE!</v>
      </c>
      <c r="P34" s="140">
        <f t="shared" si="11"/>
        <v>93167.93</v>
      </c>
      <c r="Q34" s="326" t="str">
        <f t="shared" ref="Q34:Q65" si="75">IFERROR(VLOOKUP(F34,ROTELALIM,4,FALSE),"0")</f>
        <v>0</v>
      </c>
      <c r="R34" s="333">
        <f t="shared" ref="R34:R65" si="76">IFERROR(VLOOKUP(F34,ROTEFC,4,FALSE),"0")</f>
        <v>93167.93</v>
      </c>
      <c r="S34" s="123"/>
      <c r="T34" s="326"/>
      <c r="U34" s="326" t="str">
        <f t="shared" ref="U34:U65" si="77">IFERROR(VLOOKUP(F34,tmkpechhhh24,5,FALSE),"")</f>
        <v/>
      </c>
      <c r="V34" s="332">
        <v>1800000</v>
      </c>
      <c r="W34" s="140">
        <f t="shared" si="15"/>
        <v>1323271.33</v>
      </c>
      <c r="X34" s="326" t="str">
        <f t="shared" ref="X34:X65" si="78">IFERROR(VLOOKUP(F34,ROTELALIM,5,FALSE),"0")</f>
        <v>0</v>
      </c>
      <c r="Y34" s="333">
        <f t="shared" ref="Y34:Y65" si="79">IFERROR(VLOOKUP(F34,ROTEFC,5,FALSE),"0")</f>
        <v>1323271.33</v>
      </c>
      <c r="Z34" s="123"/>
      <c r="AA34" s="326"/>
      <c r="AB34" s="1257" t="e">
        <f t="shared" ref="AB34:AB118" si="80">H34+O34+V34</f>
        <v>#VALUE!</v>
      </c>
      <c r="AC34" s="140">
        <f t="shared" si="35"/>
        <v>5538785.1600000001</v>
      </c>
      <c r="AD34" s="326">
        <f t="shared" ref="AD34:AF34" si="81">SUM(W34,P34,I34)</f>
        <v>4739612.79</v>
      </c>
      <c r="AE34" s="326">
        <f t="shared" si="81"/>
        <v>0</v>
      </c>
      <c r="AF34" s="326">
        <f t="shared" si="81"/>
        <v>4739612.79</v>
      </c>
      <c r="AG34" s="326">
        <f t="shared" si="21"/>
        <v>-799172.37000000011</v>
      </c>
      <c r="AH34" s="98">
        <f t="shared" si="37"/>
        <v>0.85571341965536718</v>
      </c>
      <c r="AI34" s="125" t="str">
        <f t="shared" ref="AI34:AI65" si="82">IFERROR(VLOOKUP(F34,tmkpechhhh24,6,FALSE),"")</f>
        <v/>
      </c>
      <c r="AJ34" s="140">
        <f t="shared" si="24"/>
        <v>599463.99</v>
      </c>
      <c r="AK34" s="123" t="str">
        <f t="shared" ref="AK34:AK65" si="83">IFERROR(VLOOKUP(F34,ROTELALIM,6,FALSE),"0")</f>
        <v>0</v>
      </c>
      <c r="AL34" s="148">
        <f t="shared" ref="AL34:AL65" si="84">IFERROR(VLOOKUP(F34,ROTEFC,6,FALSE),"0")</f>
        <v>599463.99</v>
      </c>
      <c r="AM34" s="125" t="str">
        <f t="shared" ref="AM34:AM65" si="85">IFERROR(VLOOKUP(F34,tmkpechhhh24,7,FALSE),"")</f>
        <v/>
      </c>
      <c r="AN34" s="140">
        <f t="shared" si="28"/>
        <v>540331.26</v>
      </c>
      <c r="AO34" s="326"/>
      <c r="AP34" s="333">
        <v>540331.26</v>
      </c>
      <c r="AQ34" s="296" t="str">
        <f t="shared" ref="AQ34:AQ65" si="86">IFERROR(VLOOKUP(F34,tmkpechhhh24,,FALSE),"")</f>
        <v/>
      </c>
    </row>
    <row r="35" spans="1:43" ht="13">
      <c r="A35" s="463">
        <f t="shared" si="66"/>
        <v>112014688</v>
      </c>
      <c r="B35" s="324">
        <f t="shared" si="67"/>
        <v>22</v>
      </c>
      <c r="C35" s="558">
        <f t="shared" si="68"/>
        <v>0.1</v>
      </c>
      <c r="D35" s="558">
        <f t="shared" si="69"/>
        <v>0.09</v>
      </c>
      <c r="E35" s="558">
        <f t="shared" si="70"/>
        <v>0</v>
      </c>
      <c r="F35" s="325" t="s">
        <v>1315</v>
      </c>
      <c r="G35" s="326" t="str">
        <f t="shared" si="71"/>
        <v/>
      </c>
      <c r="H35" s="1372">
        <v>1800000</v>
      </c>
      <c r="I35" s="113">
        <f t="shared" si="6"/>
        <v>0</v>
      </c>
      <c r="J35" s="116" t="str">
        <f t="shared" si="72"/>
        <v>0</v>
      </c>
      <c r="K35" s="117">
        <f t="shared" si="73"/>
        <v>0</v>
      </c>
      <c r="L35" s="123"/>
      <c r="M35" s="326"/>
      <c r="N35" s="326" t="str">
        <f t="shared" si="74"/>
        <v/>
      </c>
      <c r="O35" s="332">
        <v>1800000</v>
      </c>
      <c r="P35" s="140">
        <f t="shared" si="11"/>
        <v>0</v>
      </c>
      <c r="Q35" s="326" t="str">
        <f t="shared" si="75"/>
        <v>0</v>
      </c>
      <c r="R35" s="333">
        <f t="shared" si="76"/>
        <v>0</v>
      </c>
      <c r="S35" s="123"/>
      <c r="T35" s="326"/>
      <c r="U35" s="326" t="str">
        <f t="shared" si="77"/>
        <v/>
      </c>
      <c r="V35" s="332">
        <v>1800000</v>
      </c>
      <c r="W35" s="140">
        <f t="shared" si="15"/>
        <v>170244</v>
      </c>
      <c r="X35" s="326" t="str">
        <f t="shared" si="78"/>
        <v>0</v>
      </c>
      <c r="Y35" s="333">
        <f t="shared" si="79"/>
        <v>170244</v>
      </c>
      <c r="Z35" s="123"/>
      <c r="AA35" s="326"/>
      <c r="AB35" s="1257">
        <f t="shared" si="80"/>
        <v>5400000</v>
      </c>
      <c r="AC35" s="140">
        <f t="shared" si="35"/>
        <v>7791369.7599999998</v>
      </c>
      <c r="AD35" s="326">
        <f t="shared" ref="AD35:AF35" si="87">SUM(W35,P35,I35)</f>
        <v>170244</v>
      </c>
      <c r="AE35" s="326">
        <f t="shared" si="87"/>
        <v>0</v>
      </c>
      <c r="AF35" s="326">
        <f t="shared" si="87"/>
        <v>170244</v>
      </c>
      <c r="AG35" s="326">
        <f t="shared" si="21"/>
        <v>-7621125.7599999998</v>
      </c>
      <c r="AH35" s="98">
        <f t="shared" si="37"/>
        <v>2.18503299476317E-2</v>
      </c>
      <c r="AI35" s="125" t="str">
        <f t="shared" si="82"/>
        <v/>
      </c>
      <c r="AJ35" s="140">
        <f t="shared" si="24"/>
        <v>0</v>
      </c>
      <c r="AK35" s="123" t="str">
        <f t="shared" si="83"/>
        <v>0</v>
      </c>
      <c r="AL35" s="148">
        <f t="shared" si="84"/>
        <v>0</v>
      </c>
      <c r="AM35" s="125" t="str">
        <f t="shared" si="85"/>
        <v/>
      </c>
      <c r="AN35" s="140">
        <f t="shared" si="28"/>
        <v>518537.97</v>
      </c>
      <c r="AO35" s="326"/>
      <c r="AP35" s="333">
        <v>518537.97</v>
      </c>
      <c r="AQ35" s="296" t="str">
        <f t="shared" si="86"/>
        <v/>
      </c>
    </row>
    <row r="36" spans="1:43" ht="13">
      <c r="A36" s="463">
        <f t="shared" si="66"/>
        <v>112013765</v>
      </c>
      <c r="B36" s="324">
        <f t="shared" si="67"/>
        <v>22</v>
      </c>
      <c r="C36" s="558">
        <f t="shared" si="68"/>
        <v>0.1</v>
      </c>
      <c r="D36" s="558">
        <f t="shared" si="69"/>
        <v>0.09</v>
      </c>
      <c r="E36" s="558">
        <f t="shared" si="70"/>
        <v>0</v>
      </c>
      <c r="F36" s="325" t="s">
        <v>1440</v>
      </c>
      <c r="G36" s="326" t="str">
        <f t="shared" si="71"/>
        <v/>
      </c>
      <c r="H36" s="1372">
        <v>1800000</v>
      </c>
      <c r="I36" s="113">
        <f t="shared" si="6"/>
        <v>0</v>
      </c>
      <c r="J36" s="116" t="str">
        <f t="shared" si="72"/>
        <v>0</v>
      </c>
      <c r="K36" s="117">
        <f t="shared" si="73"/>
        <v>0</v>
      </c>
      <c r="L36" s="123"/>
      <c r="M36" s="326"/>
      <c r="N36" s="326" t="str">
        <f t="shared" si="74"/>
        <v/>
      </c>
      <c r="O36" s="332">
        <v>1800000</v>
      </c>
      <c r="P36" s="140">
        <f t="shared" si="11"/>
        <v>337973.43</v>
      </c>
      <c r="Q36" s="326" t="str">
        <f t="shared" si="75"/>
        <v>0</v>
      </c>
      <c r="R36" s="333">
        <f t="shared" si="76"/>
        <v>337973.43</v>
      </c>
      <c r="S36" s="123"/>
      <c r="T36" s="326"/>
      <c r="U36" s="326" t="str">
        <f t="shared" si="77"/>
        <v/>
      </c>
      <c r="V36" s="332">
        <v>1800000</v>
      </c>
      <c r="W36" s="140">
        <f t="shared" si="15"/>
        <v>243122.48</v>
      </c>
      <c r="X36" s="326" t="str">
        <f t="shared" si="78"/>
        <v>0</v>
      </c>
      <c r="Y36" s="333">
        <f t="shared" si="79"/>
        <v>243122.48</v>
      </c>
      <c r="Z36" s="123"/>
      <c r="AA36" s="326"/>
      <c r="AB36" s="1257">
        <f t="shared" si="80"/>
        <v>5400000</v>
      </c>
      <c r="AC36" s="140">
        <f t="shared" si="35"/>
        <v>280521.43</v>
      </c>
      <c r="AD36" s="326">
        <f t="shared" ref="AD36:AF36" si="88">SUM(W36,P36,I36)</f>
        <v>581095.91</v>
      </c>
      <c r="AE36" s="326">
        <f t="shared" si="88"/>
        <v>0</v>
      </c>
      <c r="AF36" s="326">
        <f t="shared" si="88"/>
        <v>581095.91</v>
      </c>
      <c r="AG36" s="326">
        <f t="shared" si="21"/>
        <v>300574.48000000004</v>
      </c>
      <c r="AH36" s="98">
        <f t="shared" si="37"/>
        <v>2.0714849129351722</v>
      </c>
      <c r="AI36" s="125" t="str">
        <f t="shared" si="82"/>
        <v/>
      </c>
      <c r="AJ36" s="140">
        <f t="shared" si="24"/>
        <v>0</v>
      </c>
      <c r="AK36" s="123" t="str">
        <f t="shared" si="83"/>
        <v>0</v>
      </c>
      <c r="AL36" s="148">
        <f t="shared" si="84"/>
        <v>0</v>
      </c>
      <c r="AM36" s="125" t="str">
        <f t="shared" si="85"/>
        <v/>
      </c>
      <c r="AN36" s="140">
        <f t="shared" si="28"/>
        <v>0</v>
      </c>
      <c r="AO36" s="326"/>
      <c r="AP36" s="333"/>
      <c r="AQ36" s="296" t="str">
        <f t="shared" si="86"/>
        <v/>
      </c>
    </row>
    <row r="37" spans="1:43" ht="13">
      <c r="A37" s="463">
        <f t="shared" si="66"/>
        <v>112014259</v>
      </c>
      <c r="B37" s="324">
        <f t="shared" si="67"/>
        <v>22</v>
      </c>
      <c r="C37" s="558">
        <f t="shared" si="68"/>
        <v>0.1</v>
      </c>
      <c r="D37" s="558">
        <f t="shared" si="69"/>
        <v>0.09</v>
      </c>
      <c r="E37" s="558">
        <f t="shared" si="70"/>
        <v>0</v>
      </c>
      <c r="F37" s="325" t="s">
        <v>1059</v>
      </c>
      <c r="G37" s="326" t="str">
        <f t="shared" si="71"/>
        <v/>
      </c>
      <c r="H37" s="1372">
        <v>1800000</v>
      </c>
      <c r="I37" s="113">
        <f t="shared" si="6"/>
        <v>234627.79</v>
      </c>
      <c r="J37" s="116" t="str">
        <f t="shared" si="72"/>
        <v>0</v>
      </c>
      <c r="K37" s="117">
        <f t="shared" si="73"/>
        <v>234627.79</v>
      </c>
      <c r="L37" s="123"/>
      <c r="M37" s="326"/>
      <c r="N37" s="326" t="str">
        <f t="shared" si="74"/>
        <v/>
      </c>
      <c r="O37" s="332">
        <v>1800000</v>
      </c>
      <c r="P37" s="140">
        <f t="shared" si="11"/>
        <v>0</v>
      </c>
      <c r="Q37" s="326" t="str">
        <f t="shared" si="75"/>
        <v>0</v>
      </c>
      <c r="R37" s="333">
        <f t="shared" si="76"/>
        <v>0</v>
      </c>
      <c r="S37" s="123"/>
      <c r="T37" s="326"/>
      <c r="U37" s="326" t="str">
        <f t="shared" si="77"/>
        <v/>
      </c>
      <c r="V37" s="332">
        <v>1800000</v>
      </c>
      <c r="W37" s="140">
        <f t="shared" si="15"/>
        <v>0</v>
      </c>
      <c r="X37" s="326" t="str">
        <f t="shared" si="78"/>
        <v>0</v>
      </c>
      <c r="Y37" s="333">
        <f t="shared" si="79"/>
        <v>0</v>
      </c>
      <c r="Z37" s="123"/>
      <c r="AA37" s="326"/>
      <c r="AB37" s="1257">
        <f t="shared" si="80"/>
        <v>5400000</v>
      </c>
      <c r="AC37" s="140">
        <f t="shared" si="35"/>
        <v>624281.26</v>
      </c>
      <c r="AD37" s="326">
        <f t="shared" ref="AD37:AF37" si="89">SUM(W37,P37,I37)</f>
        <v>234627.79</v>
      </c>
      <c r="AE37" s="326">
        <f t="shared" si="89"/>
        <v>0</v>
      </c>
      <c r="AF37" s="326">
        <f t="shared" si="89"/>
        <v>234627.79</v>
      </c>
      <c r="AG37" s="326">
        <f t="shared" si="21"/>
        <v>-389653.47</v>
      </c>
      <c r="AH37" s="98">
        <f t="shared" si="37"/>
        <v>0.37583667015729416</v>
      </c>
      <c r="AI37" s="125" t="str">
        <f t="shared" si="82"/>
        <v/>
      </c>
      <c r="AJ37" s="140">
        <f t="shared" si="24"/>
        <v>0</v>
      </c>
      <c r="AK37" s="123" t="str">
        <f t="shared" si="83"/>
        <v>0</v>
      </c>
      <c r="AL37" s="148">
        <f t="shared" si="84"/>
        <v>0</v>
      </c>
      <c r="AM37" s="125" t="str">
        <f t="shared" si="85"/>
        <v/>
      </c>
      <c r="AN37" s="140">
        <f t="shared" si="28"/>
        <v>0</v>
      </c>
      <c r="AO37" s="326"/>
      <c r="AP37" s="333"/>
      <c r="AQ37" s="296" t="str">
        <f t="shared" si="86"/>
        <v/>
      </c>
    </row>
    <row r="38" spans="1:43" ht="13">
      <c r="A38" s="463">
        <f t="shared" si="66"/>
        <v>112013948</v>
      </c>
      <c r="B38" s="324">
        <f t="shared" si="67"/>
        <v>22</v>
      </c>
      <c r="C38" s="558">
        <f t="shared" si="68"/>
        <v>0.1</v>
      </c>
      <c r="D38" s="558">
        <f t="shared" si="69"/>
        <v>0.09</v>
      </c>
      <c r="E38" s="558">
        <f t="shared" si="70"/>
        <v>0</v>
      </c>
      <c r="F38" s="325" t="s">
        <v>1320</v>
      </c>
      <c r="G38" s="326">
        <f t="shared" si="71"/>
        <v>990797.71</v>
      </c>
      <c r="H38" s="1372">
        <v>1800000</v>
      </c>
      <c r="I38" s="113">
        <f t="shared" si="6"/>
        <v>1061476.9400000002</v>
      </c>
      <c r="J38" s="116">
        <f t="shared" si="72"/>
        <v>80028.91</v>
      </c>
      <c r="K38" s="117">
        <f t="shared" si="73"/>
        <v>1141505.8500000001</v>
      </c>
      <c r="L38" s="123"/>
      <c r="M38" s="326"/>
      <c r="N38" s="326">
        <f t="shared" si="74"/>
        <v>307081.03999999998</v>
      </c>
      <c r="O38" s="332">
        <v>1800000</v>
      </c>
      <c r="P38" s="140">
        <f t="shared" si="11"/>
        <v>1126716.03</v>
      </c>
      <c r="Q38" s="326">
        <f t="shared" si="75"/>
        <v>304711.55</v>
      </c>
      <c r="R38" s="333">
        <f t="shared" si="76"/>
        <v>1431427.58</v>
      </c>
      <c r="S38" s="123"/>
      <c r="T38" s="326"/>
      <c r="U38" s="326">
        <f t="shared" si="77"/>
        <v>1275811.2</v>
      </c>
      <c r="V38" s="332">
        <v>1800000</v>
      </c>
      <c r="W38" s="140">
        <f t="shared" si="15"/>
        <v>1442590.91</v>
      </c>
      <c r="X38" s="326">
        <f t="shared" si="78"/>
        <v>217234.35</v>
      </c>
      <c r="Y38" s="333">
        <f t="shared" si="79"/>
        <v>1659825.26</v>
      </c>
      <c r="Z38" s="123"/>
      <c r="AA38" s="326"/>
      <c r="AB38" s="1257">
        <f t="shared" si="80"/>
        <v>5400000</v>
      </c>
      <c r="AC38" s="140">
        <f t="shared" si="35"/>
        <v>6250429.1799999997</v>
      </c>
      <c r="AD38" s="326">
        <f t="shared" ref="AD38:AF38" si="90">SUM(W38,P38,I38)</f>
        <v>3630783.88</v>
      </c>
      <c r="AE38" s="326">
        <f t="shared" si="90"/>
        <v>601974.81000000006</v>
      </c>
      <c r="AF38" s="326">
        <f t="shared" si="90"/>
        <v>4232758.6899999995</v>
      </c>
      <c r="AG38" s="326">
        <f t="shared" si="21"/>
        <v>-2017670.4900000002</v>
      </c>
      <c r="AH38" s="98">
        <f t="shared" si="37"/>
        <v>0.67719488823965834</v>
      </c>
      <c r="AI38" s="125">
        <f t="shared" si="82"/>
        <v>520982.39</v>
      </c>
      <c r="AJ38" s="140">
        <f t="shared" si="24"/>
        <v>599844.97</v>
      </c>
      <c r="AK38" s="123">
        <f t="shared" si="83"/>
        <v>0</v>
      </c>
      <c r="AL38" s="148">
        <f t="shared" si="84"/>
        <v>599844.97</v>
      </c>
      <c r="AM38" s="125">
        <f t="shared" si="85"/>
        <v>1673915.6</v>
      </c>
      <c r="AN38" s="140">
        <f t="shared" si="28"/>
        <v>996457.7</v>
      </c>
      <c r="AO38" s="326">
        <v>541853.93999999994</v>
      </c>
      <c r="AP38" s="333">
        <v>1538311.64</v>
      </c>
      <c r="AQ38" s="296" t="str">
        <f t="shared" si="86"/>
        <v/>
      </c>
    </row>
    <row r="39" spans="1:43" ht="13">
      <c r="A39" s="463">
        <f t="shared" si="66"/>
        <v>112013167</v>
      </c>
      <c r="B39" s="324">
        <f t="shared" si="67"/>
        <v>22</v>
      </c>
      <c r="C39" s="558">
        <f t="shared" si="68"/>
        <v>0.1</v>
      </c>
      <c r="D39" s="558">
        <f t="shared" si="69"/>
        <v>0.09</v>
      </c>
      <c r="E39" s="558">
        <f t="shared" si="70"/>
        <v>0</v>
      </c>
      <c r="F39" s="325" t="s">
        <v>1317</v>
      </c>
      <c r="G39" s="326">
        <f t="shared" si="71"/>
        <v>701382.19</v>
      </c>
      <c r="H39" s="1372">
        <v>1800000</v>
      </c>
      <c r="I39" s="113">
        <f t="shared" si="6"/>
        <v>2081927.99</v>
      </c>
      <c r="J39" s="116" t="str">
        <f t="shared" si="72"/>
        <v>0</v>
      </c>
      <c r="K39" s="117">
        <f t="shared" si="73"/>
        <v>2081927.99</v>
      </c>
      <c r="L39" s="123"/>
      <c r="M39" s="326"/>
      <c r="N39" s="326">
        <f t="shared" si="74"/>
        <v>1870126.72</v>
      </c>
      <c r="O39" s="332">
        <v>1800000</v>
      </c>
      <c r="P39" s="140">
        <f t="shared" si="11"/>
        <v>2001684.07</v>
      </c>
      <c r="Q39" s="326" t="str">
        <f t="shared" si="75"/>
        <v>0</v>
      </c>
      <c r="R39" s="333">
        <f t="shared" si="76"/>
        <v>2001684.07</v>
      </c>
      <c r="S39" s="123"/>
      <c r="T39" s="326"/>
      <c r="U39" s="326">
        <f t="shared" si="77"/>
        <v>634799.74</v>
      </c>
      <c r="V39" s="332">
        <v>1800000</v>
      </c>
      <c r="W39" s="140">
        <f t="shared" si="15"/>
        <v>607628.99</v>
      </c>
      <c r="X39" s="326" t="str">
        <f t="shared" si="78"/>
        <v>0</v>
      </c>
      <c r="Y39" s="333">
        <f t="shared" si="79"/>
        <v>607628.99</v>
      </c>
      <c r="Z39" s="123"/>
      <c r="AA39" s="326"/>
      <c r="AB39" s="1257">
        <f t="shared" si="80"/>
        <v>5400000</v>
      </c>
      <c r="AC39" s="140">
        <f t="shared" si="35"/>
        <v>4695995.75</v>
      </c>
      <c r="AD39" s="326">
        <f t="shared" ref="AD39:AF39" si="91">SUM(W39,P39,I39)</f>
        <v>4691241.05</v>
      </c>
      <c r="AE39" s="326">
        <f t="shared" si="91"/>
        <v>0</v>
      </c>
      <c r="AF39" s="326">
        <f t="shared" si="91"/>
        <v>4691241.05</v>
      </c>
      <c r="AG39" s="326">
        <f t="shared" si="21"/>
        <v>-4754.7000000001863</v>
      </c>
      <c r="AH39" s="98">
        <f t="shared" si="37"/>
        <v>0.9989874990836608</v>
      </c>
      <c r="AI39" s="125">
        <f t="shared" si="82"/>
        <v>471603.32</v>
      </c>
      <c r="AJ39" s="140">
        <f t="shared" si="24"/>
        <v>1858857.63</v>
      </c>
      <c r="AK39" s="123" t="str">
        <f t="shared" si="83"/>
        <v>0</v>
      </c>
      <c r="AL39" s="148">
        <f t="shared" si="84"/>
        <v>1858857.63</v>
      </c>
      <c r="AM39" s="125">
        <f t="shared" si="85"/>
        <v>2566230.4300000002</v>
      </c>
      <c r="AN39" s="140">
        <f t="shared" si="28"/>
        <v>2035217.82</v>
      </c>
      <c r="AO39" s="326"/>
      <c r="AP39" s="333">
        <v>2035217.82</v>
      </c>
      <c r="AQ39" s="296" t="str">
        <f t="shared" si="86"/>
        <v/>
      </c>
    </row>
    <row r="40" spans="1:43" ht="13">
      <c r="A40" s="463">
        <f t="shared" si="66"/>
        <v>112011749</v>
      </c>
      <c r="B40" s="324">
        <f t="shared" si="67"/>
        <v>22</v>
      </c>
      <c r="C40" s="558">
        <f t="shared" si="68"/>
        <v>0.1</v>
      </c>
      <c r="D40" s="558">
        <f t="shared" si="69"/>
        <v>0.09</v>
      </c>
      <c r="E40" s="558">
        <f t="shared" si="70"/>
        <v>0</v>
      </c>
      <c r="F40" s="325" t="s">
        <v>1450</v>
      </c>
      <c r="G40" s="326">
        <f t="shared" si="71"/>
        <v>136925.07</v>
      </c>
      <c r="H40" s="1372">
        <v>1800000</v>
      </c>
      <c r="I40" s="113">
        <f t="shared" si="6"/>
        <v>107309.33</v>
      </c>
      <c r="J40" s="116" t="str">
        <f t="shared" si="72"/>
        <v>0</v>
      </c>
      <c r="K40" s="117">
        <f t="shared" si="73"/>
        <v>107309.33</v>
      </c>
      <c r="L40" s="123"/>
      <c r="M40" s="326"/>
      <c r="N40" s="326">
        <f t="shared" si="74"/>
        <v>137406.04999999999</v>
      </c>
      <c r="O40" s="332">
        <v>1800000</v>
      </c>
      <c r="P40" s="140">
        <f t="shared" si="11"/>
        <v>0</v>
      </c>
      <c r="Q40" s="326" t="str">
        <f t="shared" si="75"/>
        <v>0</v>
      </c>
      <c r="R40" s="333">
        <f t="shared" si="76"/>
        <v>0</v>
      </c>
      <c r="S40" s="123"/>
      <c r="T40" s="326"/>
      <c r="U40" s="326">
        <f t="shared" si="77"/>
        <v>0</v>
      </c>
      <c r="V40" s="332">
        <v>1800000</v>
      </c>
      <c r="W40" s="140">
        <f t="shared" si="15"/>
        <v>415693.37</v>
      </c>
      <c r="X40" s="326" t="str">
        <f t="shared" si="78"/>
        <v>0</v>
      </c>
      <c r="Y40" s="333">
        <f t="shared" si="79"/>
        <v>415693.37</v>
      </c>
      <c r="Z40" s="123"/>
      <c r="AA40" s="326"/>
      <c r="AB40" s="1257">
        <f t="shared" si="80"/>
        <v>5400000</v>
      </c>
      <c r="AC40" s="140">
        <f t="shared" ref="AC40:AC71" si="92">IFERROR(VLOOKUP(F40,trim2024,2,FALSE),"0")</f>
        <v>464971.43</v>
      </c>
      <c r="AD40" s="326">
        <f t="shared" ref="AD40:AF40" si="93">SUM(W40,P40,I40)</f>
        <v>523002.7</v>
      </c>
      <c r="AE40" s="326">
        <f t="shared" si="93"/>
        <v>0</v>
      </c>
      <c r="AF40" s="326">
        <f t="shared" si="93"/>
        <v>523002.7</v>
      </c>
      <c r="AG40" s="326">
        <f t="shared" si="21"/>
        <v>58031.270000000019</v>
      </c>
      <c r="AH40" s="98">
        <f t="shared" si="37"/>
        <v>1.1248060983015666</v>
      </c>
      <c r="AI40" s="125">
        <f t="shared" si="82"/>
        <v>107698.05</v>
      </c>
      <c r="AJ40" s="140">
        <f t="shared" si="24"/>
        <v>177282.64</v>
      </c>
      <c r="AK40" s="123" t="str">
        <f t="shared" si="83"/>
        <v>0</v>
      </c>
      <c r="AL40" s="148">
        <f t="shared" si="84"/>
        <v>177282.64</v>
      </c>
      <c r="AM40" s="125">
        <f t="shared" si="85"/>
        <v>41112.74</v>
      </c>
      <c r="AN40" s="140">
        <f t="shared" si="28"/>
        <v>70168.34</v>
      </c>
      <c r="AO40" s="326"/>
      <c r="AP40" s="333">
        <v>70168.34</v>
      </c>
      <c r="AQ40" s="296" t="str">
        <f t="shared" si="86"/>
        <v/>
      </c>
    </row>
    <row r="41" spans="1:43" ht="13">
      <c r="A41" s="463">
        <f t="shared" si="66"/>
        <v>112013987</v>
      </c>
      <c r="B41" s="324">
        <f t="shared" si="67"/>
        <v>22</v>
      </c>
      <c r="C41" s="558">
        <f t="shared" si="68"/>
        <v>0.1</v>
      </c>
      <c r="D41" s="558">
        <f t="shared" si="69"/>
        <v>0.09</v>
      </c>
      <c r="E41" s="558">
        <f t="shared" si="70"/>
        <v>0</v>
      </c>
      <c r="F41" s="325" t="s">
        <v>1449</v>
      </c>
      <c r="G41" s="326" t="str">
        <f t="shared" si="71"/>
        <v/>
      </c>
      <c r="H41" s="1372">
        <v>1800000</v>
      </c>
      <c r="I41" s="113">
        <f t="shared" si="6"/>
        <v>0</v>
      </c>
      <c r="J41" s="116" t="str">
        <f t="shared" si="72"/>
        <v>0</v>
      </c>
      <c r="K41" s="117" t="str">
        <f t="shared" si="73"/>
        <v>0</v>
      </c>
      <c r="L41" s="123"/>
      <c r="M41" s="326"/>
      <c r="N41" s="326" t="str">
        <f t="shared" si="74"/>
        <v/>
      </c>
      <c r="O41" s="332">
        <v>1800000</v>
      </c>
      <c r="P41" s="140">
        <f t="shared" si="11"/>
        <v>0</v>
      </c>
      <c r="Q41" s="326" t="str">
        <f t="shared" si="75"/>
        <v>0</v>
      </c>
      <c r="R41" s="333" t="str">
        <f t="shared" si="76"/>
        <v>0</v>
      </c>
      <c r="S41" s="123"/>
      <c r="T41" s="326"/>
      <c r="U41" s="326" t="str">
        <f t="shared" si="77"/>
        <v/>
      </c>
      <c r="V41" s="332">
        <v>1800000</v>
      </c>
      <c r="W41" s="140">
        <f t="shared" si="15"/>
        <v>0</v>
      </c>
      <c r="X41" s="326" t="str">
        <f t="shared" si="78"/>
        <v>0</v>
      </c>
      <c r="Y41" s="333" t="str">
        <f t="shared" si="79"/>
        <v>0</v>
      </c>
      <c r="Z41" s="123"/>
      <c r="AA41" s="326"/>
      <c r="AB41" s="1257">
        <f t="shared" si="80"/>
        <v>5400000</v>
      </c>
      <c r="AC41" s="140" t="str">
        <f t="shared" si="92"/>
        <v>0</v>
      </c>
      <c r="AD41" s="326">
        <f t="shared" ref="AD41:AF41" si="94">SUM(W41,P41,I41)</f>
        <v>0</v>
      </c>
      <c r="AE41" s="326">
        <f t="shared" si="94"/>
        <v>0</v>
      </c>
      <c r="AF41" s="326">
        <f t="shared" si="94"/>
        <v>0</v>
      </c>
      <c r="AG41" s="326">
        <f t="shared" si="21"/>
        <v>0</v>
      </c>
      <c r="AH41" s="98" t="str">
        <f t="shared" si="37"/>
        <v/>
      </c>
      <c r="AI41" s="125" t="str">
        <f t="shared" si="82"/>
        <v/>
      </c>
      <c r="AJ41" s="140">
        <f t="shared" si="24"/>
        <v>0</v>
      </c>
      <c r="AK41" s="123" t="str">
        <f t="shared" si="83"/>
        <v>0</v>
      </c>
      <c r="AL41" s="148" t="str">
        <f t="shared" si="84"/>
        <v>0</v>
      </c>
      <c r="AM41" s="125" t="str">
        <f t="shared" si="85"/>
        <v/>
      </c>
      <c r="AN41" s="140">
        <f t="shared" si="28"/>
        <v>0</v>
      </c>
      <c r="AO41" s="326"/>
      <c r="AP41" s="333"/>
      <c r="AQ41" s="296" t="str">
        <f t="shared" si="86"/>
        <v/>
      </c>
    </row>
    <row r="42" spans="1:43" ht="13">
      <c r="A42" s="463">
        <f t="shared" si="66"/>
        <v>112013464</v>
      </c>
      <c r="B42" s="324">
        <f t="shared" si="67"/>
        <v>22</v>
      </c>
      <c r="C42" s="558">
        <f t="shared" si="68"/>
        <v>0.1</v>
      </c>
      <c r="D42" s="558">
        <f t="shared" si="69"/>
        <v>0.09</v>
      </c>
      <c r="E42" s="558">
        <f t="shared" si="70"/>
        <v>0</v>
      </c>
      <c r="F42" s="325" t="s">
        <v>1436</v>
      </c>
      <c r="G42" s="326">
        <f t="shared" si="71"/>
        <v>780135.13</v>
      </c>
      <c r="H42" s="1372">
        <v>1800000</v>
      </c>
      <c r="I42" s="113">
        <f t="shared" si="6"/>
        <v>344512.12</v>
      </c>
      <c r="J42" s="116" t="str">
        <f t="shared" si="72"/>
        <v>0</v>
      </c>
      <c r="K42" s="117">
        <f t="shared" si="73"/>
        <v>344512.12</v>
      </c>
      <c r="L42" s="123"/>
      <c r="M42" s="326"/>
      <c r="N42" s="326">
        <f t="shared" si="74"/>
        <v>590153.43000000005</v>
      </c>
      <c r="O42" s="332">
        <v>1800000</v>
      </c>
      <c r="P42" s="140">
        <f t="shared" si="11"/>
        <v>398425.22</v>
      </c>
      <c r="Q42" s="326" t="str">
        <f t="shared" si="75"/>
        <v>0</v>
      </c>
      <c r="R42" s="333">
        <f t="shared" si="76"/>
        <v>398425.22</v>
      </c>
      <c r="S42" s="123"/>
      <c r="T42" s="326"/>
      <c r="U42" s="326">
        <f t="shared" si="77"/>
        <v>1066891.69</v>
      </c>
      <c r="V42" s="332">
        <v>1800000</v>
      </c>
      <c r="W42" s="140">
        <f t="shared" si="15"/>
        <v>0</v>
      </c>
      <c r="X42" s="326" t="str">
        <f t="shared" si="78"/>
        <v>0</v>
      </c>
      <c r="Y42" s="333">
        <f t="shared" si="79"/>
        <v>0</v>
      </c>
      <c r="Z42" s="123"/>
      <c r="AA42" s="326"/>
      <c r="AB42" s="1257">
        <f t="shared" si="80"/>
        <v>5400000</v>
      </c>
      <c r="AC42" s="140">
        <f t="shared" si="92"/>
        <v>1765010.07</v>
      </c>
      <c r="AD42" s="326">
        <f t="shared" ref="AD42:AF42" si="95">SUM(W42,P42,I42)</f>
        <v>742937.34</v>
      </c>
      <c r="AE42" s="326">
        <f t="shared" si="95"/>
        <v>0</v>
      </c>
      <c r="AF42" s="326">
        <f t="shared" si="95"/>
        <v>742937.34</v>
      </c>
      <c r="AG42" s="326">
        <f t="shared" si="21"/>
        <v>-1022072.7300000001</v>
      </c>
      <c r="AH42" s="98">
        <f t="shared" si="37"/>
        <v>0.4209252698484604</v>
      </c>
      <c r="AI42" s="125">
        <f t="shared" si="82"/>
        <v>1765654.08</v>
      </c>
      <c r="AJ42" s="140">
        <f t="shared" si="24"/>
        <v>538644.32999999996</v>
      </c>
      <c r="AK42" s="123" t="str">
        <f t="shared" si="83"/>
        <v>0</v>
      </c>
      <c r="AL42" s="148">
        <f t="shared" si="84"/>
        <v>538644.32999999996</v>
      </c>
      <c r="AM42" s="125">
        <f t="shared" si="85"/>
        <v>0</v>
      </c>
      <c r="AN42" s="140">
        <f t="shared" si="28"/>
        <v>0</v>
      </c>
      <c r="AO42" s="326"/>
      <c r="AP42" s="333"/>
      <c r="AQ42" s="296" t="str">
        <f t="shared" si="86"/>
        <v/>
      </c>
    </row>
    <row r="43" spans="1:43" ht="13">
      <c r="A43" s="463">
        <f t="shared" si="66"/>
        <v>112014274</v>
      </c>
      <c r="B43" s="324">
        <f t="shared" si="67"/>
        <v>22</v>
      </c>
      <c r="C43" s="558">
        <f t="shared" si="68"/>
        <v>0.1</v>
      </c>
      <c r="D43" s="558">
        <f t="shared" si="69"/>
        <v>0.09</v>
      </c>
      <c r="E43" s="558">
        <f t="shared" si="70"/>
        <v>0</v>
      </c>
      <c r="F43" s="325" t="s">
        <v>1443</v>
      </c>
      <c r="G43" s="326">
        <f t="shared" si="71"/>
        <v>0</v>
      </c>
      <c r="H43" s="1372">
        <v>1800000</v>
      </c>
      <c r="I43" s="113">
        <f t="shared" si="6"/>
        <v>0</v>
      </c>
      <c r="J43" s="116" t="str">
        <f t="shared" si="72"/>
        <v>0</v>
      </c>
      <c r="K43" s="117" t="str">
        <f t="shared" si="73"/>
        <v>0</v>
      </c>
      <c r="L43" s="123"/>
      <c r="M43" s="326"/>
      <c r="N43" s="326">
        <f t="shared" si="74"/>
        <v>0</v>
      </c>
      <c r="O43" s="332">
        <v>1800000</v>
      </c>
      <c r="P43" s="140">
        <f t="shared" si="11"/>
        <v>0</v>
      </c>
      <c r="Q43" s="326" t="str">
        <f t="shared" si="75"/>
        <v>0</v>
      </c>
      <c r="R43" s="333" t="str">
        <f t="shared" si="76"/>
        <v>0</v>
      </c>
      <c r="S43" s="123"/>
      <c r="T43" s="326"/>
      <c r="U43" s="326">
        <f t="shared" si="77"/>
        <v>330348.61</v>
      </c>
      <c r="V43" s="332">
        <f>(U43*1.5955)*1.05</f>
        <v>553424.76761774987</v>
      </c>
      <c r="W43" s="140">
        <f t="shared" si="15"/>
        <v>0</v>
      </c>
      <c r="X43" s="326" t="str">
        <f t="shared" si="78"/>
        <v>0</v>
      </c>
      <c r="Y43" s="333" t="str">
        <f t="shared" si="79"/>
        <v>0</v>
      </c>
      <c r="Z43" s="123"/>
      <c r="AA43" s="326"/>
      <c r="AB43" s="1257">
        <f t="shared" si="80"/>
        <v>4153424.76761775</v>
      </c>
      <c r="AC43" s="140" t="str">
        <f t="shared" si="92"/>
        <v>0</v>
      </c>
      <c r="AD43" s="326">
        <f t="shared" ref="AD43:AF43" si="96">SUM(W43,P43,I43)</f>
        <v>0</v>
      </c>
      <c r="AE43" s="326">
        <f t="shared" si="96"/>
        <v>0</v>
      </c>
      <c r="AF43" s="326">
        <f t="shared" si="96"/>
        <v>0</v>
      </c>
      <c r="AG43" s="326">
        <f t="shared" si="21"/>
        <v>0</v>
      </c>
      <c r="AH43" s="98" t="str">
        <f t="shared" si="37"/>
        <v/>
      </c>
      <c r="AI43" s="125">
        <f t="shared" si="82"/>
        <v>120729.18</v>
      </c>
      <c r="AJ43" s="140">
        <f t="shared" si="24"/>
        <v>0</v>
      </c>
      <c r="AK43" s="123" t="str">
        <f t="shared" si="83"/>
        <v>0</v>
      </c>
      <c r="AL43" s="148" t="str">
        <f t="shared" si="84"/>
        <v>0</v>
      </c>
      <c r="AM43" s="125">
        <f t="shared" si="85"/>
        <v>0</v>
      </c>
      <c r="AN43" s="140">
        <f t="shared" si="28"/>
        <v>0</v>
      </c>
      <c r="AO43" s="326"/>
      <c r="AP43" s="333"/>
      <c r="AQ43" s="296" t="str">
        <f t="shared" si="86"/>
        <v/>
      </c>
    </row>
    <row r="44" spans="1:43" ht="13">
      <c r="A44" s="463">
        <f t="shared" si="66"/>
        <v>112013508</v>
      </c>
      <c r="B44" s="324">
        <f t="shared" si="67"/>
        <v>22</v>
      </c>
      <c r="C44" s="558">
        <f t="shared" si="68"/>
        <v>0.1</v>
      </c>
      <c r="D44" s="558">
        <f t="shared" si="69"/>
        <v>0.09</v>
      </c>
      <c r="E44" s="558">
        <f t="shared" si="70"/>
        <v>0</v>
      </c>
      <c r="F44" s="325" t="s">
        <v>1029</v>
      </c>
      <c r="G44" s="326">
        <f t="shared" si="71"/>
        <v>223953.88</v>
      </c>
      <c r="H44" s="1372">
        <v>1800000</v>
      </c>
      <c r="I44" s="113">
        <f t="shared" si="6"/>
        <v>1064624.97</v>
      </c>
      <c r="J44" s="116" t="str">
        <f t="shared" si="72"/>
        <v>0</v>
      </c>
      <c r="K44" s="117">
        <f t="shared" si="73"/>
        <v>1064624.97</v>
      </c>
      <c r="L44" s="123"/>
      <c r="M44" s="326"/>
      <c r="N44" s="326">
        <f t="shared" si="74"/>
        <v>0</v>
      </c>
      <c r="O44" s="332">
        <v>1800000</v>
      </c>
      <c r="P44" s="140">
        <f t="shared" si="11"/>
        <v>1019687.55</v>
      </c>
      <c r="Q44" s="326" t="str">
        <f t="shared" si="75"/>
        <v>0</v>
      </c>
      <c r="R44" s="333">
        <f t="shared" si="76"/>
        <v>1019687.55</v>
      </c>
      <c r="S44" s="123"/>
      <c r="T44" s="326"/>
      <c r="U44" s="326">
        <f t="shared" si="77"/>
        <v>683995.5</v>
      </c>
      <c r="V44" s="332">
        <v>1800000</v>
      </c>
      <c r="W44" s="140">
        <f t="shared" si="15"/>
        <v>-33965.22</v>
      </c>
      <c r="X44" s="326" t="str">
        <f t="shared" si="78"/>
        <v>0</v>
      </c>
      <c r="Y44" s="333">
        <f t="shared" si="79"/>
        <v>-33965.22</v>
      </c>
      <c r="Z44" s="123"/>
      <c r="AA44" s="326"/>
      <c r="AB44" s="1257">
        <f t="shared" si="80"/>
        <v>5400000</v>
      </c>
      <c r="AC44" s="140">
        <f t="shared" si="92"/>
        <v>1057445.74</v>
      </c>
      <c r="AD44" s="326">
        <f t="shared" ref="AD44:AF44" si="97">SUM(W44,P44,I44)</f>
        <v>2050347.3</v>
      </c>
      <c r="AE44" s="326">
        <f t="shared" si="97"/>
        <v>0</v>
      </c>
      <c r="AF44" s="326">
        <f t="shared" si="97"/>
        <v>2050347.3</v>
      </c>
      <c r="AG44" s="326">
        <f t="shared" si="21"/>
        <v>992901.56</v>
      </c>
      <c r="AH44" s="98">
        <f t="shared" si="37"/>
        <v>1.9389621825891512</v>
      </c>
      <c r="AI44" s="125">
        <f t="shared" si="82"/>
        <v>947707.21</v>
      </c>
      <c r="AJ44" s="140">
        <f t="shared" si="24"/>
        <v>1215672.9099999999</v>
      </c>
      <c r="AK44" s="123" t="str">
        <f t="shared" si="83"/>
        <v>0</v>
      </c>
      <c r="AL44" s="148">
        <f t="shared" si="84"/>
        <v>1215672.9099999999</v>
      </c>
      <c r="AM44" s="125">
        <f t="shared" si="85"/>
        <v>40662.25</v>
      </c>
      <c r="AN44" s="140">
        <f t="shared" si="28"/>
        <v>239560.56</v>
      </c>
      <c r="AO44" s="326"/>
      <c r="AP44" s="333">
        <v>239560.56</v>
      </c>
      <c r="AQ44" s="296" t="str">
        <f t="shared" si="86"/>
        <v/>
      </c>
    </row>
    <row r="45" spans="1:43" ht="13">
      <c r="A45" s="463">
        <f t="shared" si="66"/>
        <v>112014679</v>
      </c>
      <c r="B45" s="324">
        <f t="shared" si="67"/>
        <v>22</v>
      </c>
      <c r="C45" s="558">
        <f t="shared" si="68"/>
        <v>0.1</v>
      </c>
      <c r="D45" s="558">
        <f t="shared" si="69"/>
        <v>0.09</v>
      </c>
      <c r="E45" s="558">
        <f t="shared" si="70"/>
        <v>0</v>
      </c>
      <c r="F45" s="325" t="s">
        <v>1028</v>
      </c>
      <c r="G45" s="326">
        <f t="shared" si="71"/>
        <v>662127.12</v>
      </c>
      <c r="H45" s="332">
        <f>(G45*1.601)*1.05</f>
        <v>1113068.795076</v>
      </c>
      <c r="I45" s="113">
        <f t="shared" si="6"/>
        <v>1748946.33</v>
      </c>
      <c r="J45" s="116">
        <f t="shared" si="72"/>
        <v>0</v>
      </c>
      <c r="K45" s="117">
        <f t="shared" si="73"/>
        <v>1748946.33</v>
      </c>
      <c r="L45" s="123"/>
      <c r="M45" s="326"/>
      <c r="N45" s="326">
        <f t="shared" si="74"/>
        <v>284554.65999999997</v>
      </c>
      <c r="O45" s="332">
        <v>1800000</v>
      </c>
      <c r="P45" s="140">
        <f t="shared" si="11"/>
        <v>587106.36</v>
      </c>
      <c r="Q45" s="326">
        <f t="shared" si="75"/>
        <v>0</v>
      </c>
      <c r="R45" s="333">
        <f t="shared" si="76"/>
        <v>587106.36</v>
      </c>
      <c r="S45" s="123"/>
      <c r="T45" s="326"/>
      <c r="U45" s="326">
        <f t="shared" si="77"/>
        <v>902886.37</v>
      </c>
      <c r="V45" s="332">
        <v>1800000</v>
      </c>
      <c r="W45" s="140">
        <f t="shared" si="15"/>
        <v>425819.36</v>
      </c>
      <c r="X45" s="326">
        <f t="shared" si="78"/>
        <v>42415.32</v>
      </c>
      <c r="Y45" s="333">
        <f t="shared" si="79"/>
        <v>468234.68</v>
      </c>
      <c r="Z45" s="123"/>
      <c r="AA45" s="326"/>
      <c r="AB45" s="1257">
        <f t="shared" si="80"/>
        <v>4713068.7950759996</v>
      </c>
      <c r="AC45" s="140">
        <f t="shared" si="92"/>
        <v>2004931.12</v>
      </c>
      <c r="AD45" s="326">
        <f t="shared" ref="AD45:AF45" si="98">SUM(W45,P45,I45)</f>
        <v>2761872.05</v>
      </c>
      <c r="AE45" s="326">
        <f t="shared" si="98"/>
        <v>42415.32</v>
      </c>
      <c r="AF45" s="326">
        <f t="shared" si="98"/>
        <v>2804287.37</v>
      </c>
      <c r="AG45" s="326">
        <f t="shared" si="21"/>
        <v>799356.25</v>
      </c>
      <c r="AH45" s="98">
        <f t="shared" si="37"/>
        <v>1.3986951182642124</v>
      </c>
      <c r="AI45" s="125">
        <f t="shared" si="82"/>
        <v>491689.68</v>
      </c>
      <c r="AJ45" s="140">
        <f t="shared" si="24"/>
        <v>484281.45</v>
      </c>
      <c r="AK45" s="123">
        <f t="shared" si="83"/>
        <v>0</v>
      </c>
      <c r="AL45" s="148">
        <f t="shared" si="84"/>
        <v>484281.45</v>
      </c>
      <c r="AM45" s="125">
        <f t="shared" si="85"/>
        <v>652249.62</v>
      </c>
      <c r="AN45" s="140">
        <f t="shared" si="28"/>
        <v>640473.89</v>
      </c>
      <c r="AO45" s="326"/>
      <c r="AP45" s="333">
        <v>640473.89</v>
      </c>
      <c r="AQ45" s="296" t="str">
        <f t="shared" si="86"/>
        <v/>
      </c>
    </row>
    <row r="46" spans="1:43" ht="13">
      <c r="A46" s="463">
        <f t="shared" si="66"/>
        <v>112012493</v>
      </c>
      <c r="B46" s="324">
        <f t="shared" si="67"/>
        <v>22</v>
      </c>
      <c r="C46" s="558">
        <f t="shared" si="68"/>
        <v>0.1</v>
      </c>
      <c r="D46" s="558">
        <f t="shared" si="69"/>
        <v>0.09</v>
      </c>
      <c r="E46" s="558">
        <f t="shared" si="70"/>
        <v>0</v>
      </c>
      <c r="F46" s="325" t="s">
        <v>1019</v>
      </c>
      <c r="G46" s="326">
        <f t="shared" si="71"/>
        <v>431272.2</v>
      </c>
      <c r="H46" s="1372">
        <v>1800000</v>
      </c>
      <c r="I46" s="113">
        <f t="shared" si="6"/>
        <v>477875.94</v>
      </c>
      <c r="J46" s="116" t="str">
        <f t="shared" si="72"/>
        <v>0</v>
      </c>
      <c r="K46" s="117">
        <f t="shared" si="73"/>
        <v>477875.94</v>
      </c>
      <c r="L46" s="123"/>
      <c r="M46" s="326"/>
      <c r="N46" s="326">
        <f t="shared" si="74"/>
        <v>241417.66</v>
      </c>
      <c r="O46" s="332">
        <v>1800000</v>
      </c>
      <c r="P46" s="140">
        <f t="shared" si="11"/>
        <v>651572.88</v>
      </c>
      <c r="Q46" s="326" t="str">
        <f t="shared" si="75"/>
        <v>0</v>
      </c>
      <c r="R46" s="333">
        <f t="shared" si="76"/>
        <v>651572.88</v>
      </c>
      <c r="S46" s="123"/>
      <c r="T46" s="326"/>
      <c r="U46" s="326">
        <f t="shared" si="77"/>
        <v>0</v>
      </c>
      <c r="V46" s="332">
        <v>1800000</v>
      </c>
      <c r="W46" s="140">
        <f t="shared" si="15"/>
        <v>0</v>
      </c>
      <c r="X46" s="326" t="str">
        <f t="shared" si="78"/>
        <v>0</v>
      </c>
      <c r="Y46" s="333">
        <f t="shared" si="79"/>
        <v>0</v>
      </c>
      <c r="Z46" s="123"/>
      <c r="AA46" s="326"/>
      <c r="AB46" s="1257">
        <f t="shared" si="80"/>
        <v>5400000</v>
      </c>
      <c r="AC46" s="140">
        <f t="shared" si="92"/>
        <v>885111.34</v>
      </c>
      <c r="AD46" s="326">
        <f t="shared" ref="AD46:AF46" si="99">SUM(W46,P46,I46)</f>
        <v>1129448.82</v>
      </c>
      <c r="AE46" s="326">
        <f t="shared" si="99"/>
        <v>0</v>
      </c>
      <c r="AF46" s="326">
        <f t="shared" si="99"/>
        <v>1129448.82</v>
      </c>
      <c r="AG46" s="326">
        <f t="shared" si="21"/>
        <v>244337.4800000001</v>
      </c>
      <c r="AH46" s="98">
        <f t="shared" si="37"/>
        <v>1.2760528183945763</v>
      </c>
      <c r="AI46" s="125">
        <f t="shared" si="82"/>
        <v>0</v>
      </c>
      <c r="AJ46" s="140">
        <f t="shared" si="24"/>
        <v>265339.94</v>
      </c>
      <c r="AK46" s="123" t="str">
        <f t="shared" si="83"/>
        <v>0</v>
      </c>
      <c r="AL46" s="148">
        <f t="shared" si="84"/>
        <v>265339.94</v>
      </c>
      <c r="AM46" s="125">
        <f t="shared" si="85"/>
        <v>109748.63</v>
      </c>
      <c r="AN46" s="140">
        <f t="shared" si="28"/>
        <v>302587.3</v>
      </c>
      <c r="AO46" s="326"/>
      <c r="AP46" s="333">
        <v>302587.3</v>
      </c>
      <c r="AQ46" s="296" t="str">
        <f t="shared" si="86"/>
        <v/>
      </c>
    </row>
    <row r="47" spans="1:43" ht="13">
      <c r="A47" s="463">
        <f t="shared" si="66"/>
        <v>112013542</v>
      </c>
      <c r="B47" s="324">
        <f t="shared" si="67"/>
        <v>22</v>
      </c>
      <c r="C47" s="558">
        <f t="shared" si="68"/>
        <v>0.1</v>
      </c>
      <c r="D47" s="558">
        <f t="shared" si="69"/>
        <v>0.09</v>
      </c>
      <c r="E47" s="558">
        <f t="shared" si="70"/>
        <v>0</v>
      </c>
      <c r="F47" s="325" t="s">
        <v>1027</v>
      </c>
      <c r="G47" s="326">
        <f t="shared" si="71"/>
        <v>1072060.5</v>
      </c>
      <c r="H47" s="332">
        <f>(G47*1.601)*1.05</f>
        <v>1802187.3035250001</v>
      </c>
      <c r="I47" s="113">
        <f t="shared" si="6"/>
        <v>653374.24</v>
      </c>
      <c r="J47" s="116">
        <f t="shared" si="72"/>
        <v>9582.6299999999992</v>
      </c>
      <c r="K47" s="117">
        <f t="shared" si="73"/>
        <v>662956.87</v>
      </c>
      <c r="L47" s="123"/>
      <c r="M47" s="326"/>
      <c r="N47" s="326">
        <f t="shared" si="74"/>
        <v>609509.42000000004</v>
      </c>
      <c r="O47" s="332">
        <v>1800000</v>
      </c>
      <c r="P47" s="140">
        <f t="shared" si="11"/>
        <v>383017.52</v>
      </c>
      <c r="Q47" s="326">
        <f t="shared" si="75"/>
        <v>0</v>
      </c>
      <c r="R47" s="333">
        <f t="shared" si="76"/>
        <v>383017.52</v>
      </c>
      <c r="S47" s="123"/>
      <c r="T47" s="326"/>
      <c r="U47" s="326">
        <f t="shared" si="77"/>
        <v>1335533.24</v>
      </c>
      <c r="V47" s="332">
        <v>1800000</v>
      </c>
      <c r="W47" s="140">
        <f t="shared" si="15"/>
        <v>1140147.5</v>
      </c>
      <c r="X47" s="326">
        <f t="shared" si="78"/>
        <v>0</v>
      </c>
      <c r="Y47" s="333">
        <f t="shared" si="79"/>
        <v>1140147.5</v>
      </c>
      <c r="Z47" s="123"/>
      <c r="AA47" s="326"/>
      <c r="AB47" s="1257">
        <f t="shared" si="80"/>
        <v>5402187.3035249999</v>
      </c>
      <c r="AC47" s="140">
        <f t="shared" si="92"/>
        <v>8026597.7699999996</v>
      </c>
      <c r="AD47" s="326">
        <f t="shared" ref="AD47:AF47" si="100">SUM(W47,P47,I47)</f>
        <v>2176539.2599999998</v>
      </c>
      <c r="AE47" s="326">
        <f t="shared" si="100"/>
        <v>9582.6299999999992</v>
      </c>
      <c r="AF47" s="326">
        <f t="shared" si="100"/>
        <v>2186121.89</v>
      </c>
      <c r="AG47" s="326">
        <f t="shared" si="21"/>
        <v>-5840475.879999999</v>
      </c>
      <c r="AH47" s="98">
        <f t="shared" si="37"/>
        <v>0.27235971611419119</v>
      </c>
      <c r="AI47" s="125">
        <f t="shared" si="82"/>
        <v>510503.57</v>
      </c>
      <c r="AJ47" s="140">
        <f t="shared" si="24"/>
        <v>1019485.57</v>
      </c>
      <c r="AK47" s="123">
        <f t="shared" si="83"/>
        <v>0</v>
      </c>
      <c r="AL47" s="148">
        <f t="shared" si="84"/>
        <v>1019485.57</v>
      </c>
      <c r="AM47" s="125">
        <f t="shared" si="85"/>
        <v>418164.06</v>
      </c>
      <c r="AN47" s="140">
        <f t="shared" si="28"/>
        <v>176934.15</v>
      </c>
      <c r="AO47" s="326"/>
      <c r="AP47" s="333">
        <v>176934.15</v>
      </c>
      <c r="AQ47" s="296" t="str">
        <f t="shared" si="86"/>
        <v/>
      </c>
    </row>
    <row r="48" spans="1:43" ht="13">
      <c r="A48" s="463">
        <f t="shared" si="66"/>
        <v>112014189</v>
      </c>
      <c r="B48" s="324">
        <f t="shared" si="67"/>
        <v>22</v>
      </c>
      <c r="C48" s="558">
        <f t="shared" si="68"/>
        <v>0.1</v>
      </c>
      <c r="D48" s="558">
        <f t="shared" si="69"/>
        <v>0.09</v>
      </c>
      <c r="E48" s="558">
        <f t="shared" si="70"/>
        <v>0</v>
      </c>
      <c r="F48" s="325" t="s">
        <v>1312</v>
      </c>
      <c r="G48" s="326">
        <f t="shared" si="71"/>
        <v>842042.95</v>
      </c>
      <c r="H48" s="1372">
        <v>1800000</v>
      </c>
      <c r="I48" s="113">
        <f t="shared" si="6"/>
        <v>0</v>
      </c>
      <c r="J48" s="116" t="str">
        <f t="shared" si="72"/>
        <v>0</v>
      </c>
      <c r="K48" s="117">
        <f t="shared" si="73"/>
        <v>0</v>
      </c>
      <c r="L48" s="123"/>
      <c r="M48" s="326"/>
      <c r="N48" s="326">
        <f t="shared" si="74"/>
        <v>0</v>
      </c>
      <c r="O48" s="332">
        <f>(N48*1.7245)*1.05</f>
        <v>0</v>
      </c>
      <c r="P48" s="140">
        <f t="shared" si="11"/>
        <v>614131.77</v>
      </c>
      <c r="Q48" s="326" t="str">
        <f t="shared" si="75"/>
        <v>0</v>
      </c>
      <c r="R48" s="333">
        <f t="shared" si="76"/>
        <v>614131.77</v>
      </c>
      <c r="S48" s="123"/>
      <c r="T48" s="326"/>
      <c r="U48" s="326">
        <f t="shared" si="77"/>
        <v>0</v>
      </c>
      <c r="V48" s="332">
        <v>1800000</v>
      </c>
      <c r="W48" s="140">
        <f t="shared" si="15"/>
        <v>1069980.43</v>
      </c>
      <c r="X48" s="326" t="str">
        <f t="shared" si="78"/>
        <v>0</v>
      </c>
      <c r="Y48" s="333">
        <f t="shared" si="79"/>
        <v>1069980.43</v>
      </c>
      <c r="Z48" s="123"/>
      <c r="AA48" s="326"/>
      <c r="AB48" s="1257">
        <f t="shared" si="80"/>
        <v>3600000</v>
      </c>
      <c r="AC48" s="140" t="str">
        <f t="shared" si="92"/>
        <v>0</v>
      </c>
      <c r="AD48" s="326">
        <f t="shared" ref="AD48:AF48" si="101">SUM(W48,P48,I48)</f>
        <v>1684112.2</v>
      </c>
      <c r="AE48" s="326">
        <f t="shared" si="101"/>
        <v>0</v>
      </c>
      <c r="AF48" s="326">
        <f t="shared" si="101"/>
        <v>1684112.2</v>
      </c>
      <c r="AG48" s="326">
        <f t="shared" si="21"/>
        <v>1684112.2</v>
      </c>
      <c r="AH48" s="98" t="str">
        <f t="shared" si="37"/>
        <v/>
      </c>
      <c r="AI48" s="125">
        <f t="shared" si="82"/>
        <v>0</v>
      </c>
      <c r="AJ48" s="140">
        <f t="shared" si="24"/>
        <v>1247035.95</v>
      </c>
      <c r="AK48" s="123" t="str">
        <f t="shared" si="83"/>
        <v>0</v>
      </c>
      <c r="AL48" s="148">
        <f t="shared" si="84"/>
        <v>1247035.95</v>
      </c>
      <c r="AM48" s="125">
        <f t="shared" si="85"/>
        <v>0</v>
      </c>
      <c r="AN48" s="140">
        <f t="shared" si="28"/>
        <v>0</v>
      </c>
      <c r="AO48" s="326"/>
      <c r="AP48" s="333"/>
      <c r="AQ48" s="296" t="str">
        <f t="shared" si="86"/>
        <v/>
      </c>
    </row>
    <row r="49" spans="1:43" ht="13">
      <c r="A49" s="463">
        <f t="shared" si="66"/>
        <v>112011985</v>
      </c>
      <c r="B49" s="324">
        <f t="shared" si="67"/>
        <v>22</v>
      </c>
      <c r="C49" s="558">
        <f t="shared" si="68"/>
        <v>0.1</v>
      </c>
      <c r="D49" s="558">
        <f t="shared" si="69"/>
        <v>0.09</v>
      </c>
      <c r="E49" s="558">
        <f t="shared" si="70"/>
        <v>0</v>
      </c>
      <c r="F49" s="325" t="s">
        <v>1058</v>
      </c>
      <c r="G49" s="326">
        <f t="shared" si="71"/>
        <v>0</v>
      </c>
      <c r="H49" s="1372">
        <v>1800000</v>
      </c>
      <c r="I49" s="113">
        <f t="shared" si="6"/>
        <v>0</v>
      </c>
      <c r="J49" s="116" t="str">
        <f t="shared" si="72"/>
        <v>0</v>
      </c>
      <c r="K49" s="117" t="str">
        <f t="shared" si="73"/>
        <v>0</v>
      </c>
      <c r="L49" s="123"/>
      <c r="M49" s="326"/>
      <c r="N49" s="326">
        <f t="shared" si="74"/>
        <v>352890.99</v>
      </c>
      <c r="O49" s="332">
        <v>1800000</v>
      </c>
      <c r="P49" s="140">
        <f t="shared" si="11"/>
        <v>0</v>
      </c>
      <c r="Q49" s="326" t="str">
        <f t="shared" si="75"/>
        <v>0</v>
      </c>
      <c r="R49" s="333" t="str">
        <f t="shared" si="76"/>
        <v>0</v>
      </c>
      <c r="S49" s="123"/>
      <c r="T49" s="326"/>
      <c r="U49" s="326">
        <f t="shared" si="77"/>
        <v>307620.37</v>
      </c>
      <c r="V49" s="332">
        <v>1800000</v>
      </c>
      <c r="W49" s="140">
        <f t="shared" si="15"/>
        <v>0</v>
      </c>
      <c r="X49" s="326" t="str">
        <f t="shared" si="78"/>
        <v>0</v>
      </c>
      <c r="Y49" s="333" t="str">
        <f t="shared" si="79"/>
        <v>0</v>
      </c>
      <c r="Z49" s="123"/>
      <c r="AA49" s="326"/>
      <c r="AB49" s="1257">
        <f t="shared" si="80"/>
        <v>5400000</v>
      </c>
      <c r="AC49" s="140" t="str">
        <f t="shared" si="92"/>
        <v>0</v>
      </c>
      <c r="AD49" s="326">
        <f t="shared" ref="AD49:AF49" si="102">SUM(W49,P49,I49)</f>
        <v>0</v>
      </c>
      <c r="AE49" s="326">
        <f t="shared" si="102"/>
        <v>0</v>
      </c>
      <c r="AF49" s="326">
        <f t="shared" si="102"/>
        <v>0</v>
      </c>
      <c r="AG49" s="326">
        <f t="shared" si="21"/>
        <v>0</v>
      </c>
      <c r="AH49" s="98" t="str">
        <f t="shared" si="37"/>
        <v/>
      </c>
      <c r="AI49" s="125">
        <f t="shared" si="82"/>
        <v>175967.64</v>
      </c>
      <c r="AJ49" s="140">
        <f t="shared" si="24"/>
        <v>0</v>
      </c>
      <c r="AK49" s="123" t="str">
        <f t="shared" si="83"/>
        <v>0</v>
      </c>
      <c r="AL49" s="148" t="str">
        <f t="shared" si="84"/>
        <v>0</v>
      </c>
      <c r="AM49" s="125">
        <f t="shared" si="85"/>
        <v>0</v>
      </c>
      <c r="AN49" s="140">
        <f t="shared" si="28"/>
        <v>0</v>
      </c>
      <c r="AO49" s="326"/>
      <c r="AP49" s="333"/>
      <c r="AQ49" s="296" t="str">
        <f t="shared" si="86"/>
        <v/>
      </c>
    </row>
    <row r="50" spans="1:43" ht="13">
      <c r="A50" s="463">
        <f t="shared" si="66"/>
        <v>112014670</v>
      </c>
      <c r="B50" s="324">
        <f t="shared" si="67"/>
        <v>22</v>
      </c>
      <c r="C50" s="558">
        <f t="shared" si="68"/>
        <v>0.1</v>
      </c>
      <c r="D50" s="558">
        <f t="shared" si="69"/>
        <v>0.09</v>
      </c>
      <c r="E50" s="558">
        <f t="shared" si="70"/>
        <v>0</v>
      </c>
      <c r="F50" s="325" t="s">
        <v>1309</v>
      </c>
      <c r="G50" s="326">
        <f t="shared" si="71"/>
        <v>0</v>
      </c>
      <c r="H50" s="1372">
        <v>1800000</v>
      </c>
      <c r="I50" s="113">
        <f t="shared" si="6"/>
        <v>0</v>
      </c>
      <c r="J50" s="116" t="str">
        <f t="shared" si="72"/>
        <v>0</v>
      </c>
      <c r="K50" s="117" t="str">
        <f t="shared" si="73"/>
        <v>0</v>
      </c>
      <c r="L50" s="123"/>
      <c r="M50" s="326"/>
      <c r="N50" s="326">
        <f t="shared" si="74"/>
        <v>0</v>
      </c>
      <c r="O50" s="332">
        <v>1800000</v>
      </c>
      <c r="P50" s="140">
        <f t="shared" si="11"/>
        <v>0</v>
      </c>
      <c r="Q50" s="326" t="str">
        <f t="shared" si="75"/>
        <v>0</v>
      </c>
      <c r="R50" s="333" t="str">
        <f t="shared" si="76"/>
        <v>0</v>
      </c>
      <c r="S50" s="123"/>
      <c r="T50" s="326"/>
      <c r="U50" s="326">
        <f t="shared" si="77"/>
        <v>0</v>
      </c>
      <c r="V50" s="332">
        <f>(U50*1.5955)*1.05</f>
        <v>0</v>
      </c>
      <c r="W50" s="140">
        <f t="shared" si="15"/>
        <v>0</v>
      </c>
      <c r="X50" s="326" t="str">
        <f t="shared" si="78"/>
        <v>0</v>
      </c>
      <c r="Y50" s="333" t="str">
        <f t="shared" si="79"/>
        <v>0</v>
      </c>
      <c r="Z50" s="123"/>
      <c r="AA50" s="326"/>
      <c r="AB50" s="1257">
        <f t="shared" si="80"/>
        <v>3600000</v>
      </c>
      <c r="AC50" s="140" t="str">
        <f t="shared" si="92"/>
        <v>0</v>
      </c>
      <c r="AD50" s="326">
        <f t="shared" ref="AD50:AF50" si="103">SUM(W50,P50,I50)</f>
        <v>0</v>
      </c>
      <c r="AE50" s="326">
        <f t="shared" si="103"/>
        <v>0</v>
      </c>
      <c r="AF50" s="326">
        <f t="shared" si="103"/>
        <v>0</v>
      </c>
      <c r="AG50" s="326">
        <f t="shared" si="21"/>
        <v>0</v>
      </c>
      <c r="AH50" s="98" t="str">
        <f t="shared" si="37"/>
        <v/>
      </c>
      <c r="AI50" s="125">
        <f t="shared" si="82"/>
        <v>611689.75</v>
      </c>
      <c r="AJ50" s="140">
        <f t="shared" si="24"/>
        <v>0</v>
      </c>
      <c r="AK50" s="123" t="str">
        <f t="shared" si="83"/>
        <v>0</v>
      </c>
      <c r="AL50" s="148" t="str">
        <f t="shared" si="84"/>
        <v>0</v>
      </c>
      <c r="AM50" s="125">
        <f t="shared" si="85"/>
        <v>0</v>
      </c>
      <c r="AN50" s="140">
        <f t="shared" si="28"/>
        <v>0</v>
      </c>
      <c r="AO50" s="326"/>
      <c r="AP50" s="333"/>
      <c r="AQ50" s="296" t="str">
        <f t="shared" si="86"/>
        <v/>
      </c>
    </row>
    <row r="51" spans="1:43" ht="13">
      <c r="A51" s="463">
        <f t="shared" si="66"/>
        <v>112013617</v>
      </c>
      <c r="B51" s="324">
        <f t="shared" si="67"/>
        <v>22</v>
      </c>
      <c r="C51" s="558">
        <f t="shared" si="68"/>
        <v>0.1</v>
      </c>
      <c r="D51" s="558">
        <f t="shared" si="69"/>
        <v>0.09</v>
      </c>
      <c r="E51" s="558">
        <f t="shared" si="70"/>
        <v>0</v>
      </c>
      <c r="F51" s="325" t="s">
        <v>1311</v>
      </c>
      <c r="G51" s="326">
        <f t="shared" si="71"/>
        <v>0</v>
      </c>
      <c r="H51" s="1372">
        <v>1800000</v>
      </c>
      <c r="I51" s="113">
        <f t="shared" si="6"/>
        <v>1186584.94</v>
      </c>
      <c r="J51" s="116" t="str">
        <f t="shared" si="72"/>
        <v>0</v>
      </c>
      <c r="K51" s="117">
        <f t="shared" si="73"/>
        <v>1186584.94</v>
      </c>
      <c r="L51" s="123"/>
      <c r="M51" s="326"/>
      <c r="N51" s="326">
        <f t="shared" si="74"/>
        <v>0</v>
      </c>
      <c r="O51" s="332">
        <v>1800000</v>
      </c>
      <c r="P51" s="140">
        <f t="shared" si="11"/>
        <v>0</v>
      </c>
      <c r="Q51" s="326" t="str">
        <f t="shared" si="75"/>
        <v>0</v>
      </c>
      <c r="R51" s="333">
        <f t="shared" si="76"/>
        <v>0</v>
      </c>
      <c r="S51" s="123"/>
      <c r="T51" s="326"/>
      <c r="U51" s="326">
        <f t="shared" si="77"/>
        <v>0</v>
      </c>
      <c r="V51" s="332">
        <v>1800000</v>
      </c>
      <c r="W51" s="140">
        <f t="shared" si="15"/>
        <v>0</v>
      </c>
      <c r="X51" s="326" t="str">
        <f t="shared" si="78"/>
        <v>0</v>
      </c>
      <c r="Y51" s="333">
        <f t="shared" si="79"/>
        <v>0</v>
      </c>
      <c r="Z51" s="123"/>
      <c r="AA51" s="326"/>
      <c r="AB51" s="1257">
        <f t="shared" si="80"/>
        <v>5400000</v>
      </c>
      <c r="AC51" s="140">
        <f t="shared" si="92"/>
        <v>189294.07999999999</v>
      </c>
      <c r="AD51" s="326">
        <f t="shared" ref="AD51:AF51" si="104">SUM(W51,P51,I51)</f>
        <v>1186584.94</v>
      </c>
      <c r="AE51" s="326">
        <f t="shared" si="104"/>
        <v>0</v>
      </c>
      <c r="AF51" s="326">
        <f t="shared" si="104"/>
        <v>1186584.94</v>
      </c>
      <c r="AG51" s="326">
        <f t="shared" si="21"/>
        <v>997290.86</v>
      </c>
      <c r="AH51" s="98">
        <f t="shared" si="37"/>
        <v>6.2684735835373191</v>
      </c>
      <c r="AI51" s="125">
        <f t="shared" si="82"/>
        <v>0</v>
      </c>
      <c r="AJ51" s="140">
        <f t="shared" si="24"/>
        <v>0</v>
      </c>
      <c r="AK51" s="123" t="str">
        <f t="shared" si="83"/>
        <v>0</v>
      </c>
      <c r="AL51" s="148">
        <f t="shared" si="84"/>
        <v>0</v>
      </c>
      <c r="AM51" s="125">
        <f t="shared" si="85"/>
        <v>0</v>
      </c>
      <c r="AN51" s="140">
        <f t="shared" si="28"/>
        <v>246004.76</v>
      </c>
      <c r="AO51" s="326"/>
      <c r="AP51" s="333">
        <v>246004.76</v>
      </c>
      <c r="AQ51" s="296" t="str">
        <f t="shared" si="86"/>
        <v/>
      </c>
    </row>
    <row r="52" spans="1:43" ht="13">
      <c r="A52" s="463">
        <f t="shared" si="66"/>
        <v>112011732</v>
      </c>
      <c r="B52" s="324">
        <f t="shared" si="67"/>
        <v>22</v>
      </c>
      <c r="C52" s="558">
        <f t="shared" si="68"/>
        <v>0.1</v>
      </c>
      <c r="D52" s="558">
        <f t="shared" si="69"/>
        <v>0.09</v>
      </c>
      <c r="E52" s="558">
        <f t="shared" si="70"/>
        <v>0</v>
      </c>
      <c r="F52" s="325" t="s">
        <v>1319</v>
      </c>
      <c r="G52" s="326">
        <f t="shared" si="71"/>
        <v>1144761.8</v>
      </c>
      <c r="H52" s="332">
        <f>(G52*1.601)*1.05</f>
        <v>1924401.8238900001</v>
      </c>
      <c r="I52" s="113">
        <f t="shared" si="6"/>
        <v>1369825.3</v>
      </c>
      <c r="J52" s="116" t="str">
        <f t="shared" si="72"/>
        <v>0</v>
      </c>
      <c r="K52" s="117">
        <f t="shared" si="73"/>
        <v>1369825.3</v>
      </c>
      <c r="L52" s="123"/>
      <c r="M52" s="326"/>
      <c r="N52" s="326">
        <f t="shared" si="74"/>
        <v>1191999.6000000001</v>
      </c>
      <c r="O52" s="332">
        <v>1800000</v>
      </c>
      <c r="P52" s="140">
        <f t="shared" si="11"/>
        <v>1021898.06</v>
      </c>
      <c r="Q52" s="326" t="str">
        <f t="shared" si="75"/>
        <v>0</v>
      </c>
      <c r="R52" s="333">
        <f t="shared" si="76"/>
        <v>1021898.06</v>
      </c>
      <c r="S52" s="123"/>
      <c r="T52" s="326"/>
      <c r="U52" s="326">
        <f t="shared" si="77"/>
        <v>207902.46</v>
      </c>
      <c r="V52" s="332">
        <v>1800000</v>
      </c>
      <c r="W52" s="140">
        <f t="shared" si="15"/>
        <v>1186011.1599999999</v>
      </c>
      <c r="X52" s="326" t="str">
        <f t="shared" si="78"/>
        <v>0</v>
      </c>
      <c r="Y52" s="333">
        <f t="shared" si="79"/>
        <v>1186011.1599999999</v>
      </c>
      <c r="Z52" s="123"/>
      <c r="AA52" s="326"/>
      <c r="AB52" s="1257">
        <f t="shared" si="80"/>
        <v>5524401.8238900006</v>
      </c>
      <c r="AC52" s="140">
        <f t="shared" si="92"/>
        <v>3468201.76</v>
      </c>
      <c r="AD52" s="326">
        <f t="shared" ref="AD52:AF52" si="105">SUM(W52,P52,I52)</f>
        <v>3577734.5199999996</v>
      </c>
      <c r="AE52" s="326">
        <f t="shared" si="105"/>
        <v>0</v>
      </c>
      <c r="AF52" s="326">
        <f t="shared" si="105"/>
        <v>3577734.5199999996</v>
      </c>
      <c r="AG52" s="326">
        <f t="shared" si="21"/>
        <v>109532.75999999978</v>
      </c>
      <c r="AH52" s="98">
        <f t="shared" si="37"/>
        <v>1.0315820034645273</v>
      </c>
      <c r="AI52" s="125">
        <f t="shared" si="82"/>
        <v>986650.28</v>
      </c>
      <c r="AJ52" s="140">
        <f t="shared" si="24"/>
        <v>24082.2</v>
      </c>
      <c r="AK52" s="123" t="str">
        <f t="shared" si="83"/>
        <v>0</v>
      </c>
      <c r="AL52" s="148">
        <f t="shared" si="84"/>
        <v>24082.2</v>
      </c>
      <c r="AM52" s="125">
        <f t="shared" si="85"/>
        <v>1373471.86</v>
      </c>
      <c r="AN52" s="140">
        <f t="shared" si="28"/>
        <v>1508175.38</v>
      </c>
      <c r="AO52" s="326"/>
      <c r="AP52" s="333">
        <v>1508175.38</v>
      </c>
      <c r="AQ52" s="296" t="str">
        <f t="shared" si="86"/>
        <v/>
      </c>
    </row>
    <row r="53" spans="1:43" ht="13">
      <c r="A53" s="463">
        <f t="shared" si="66"/>
        <v>112013383</v>
      </c>
      <c r="B53" s="324">
        <f t="shared" si="67"/>
        <v>22</v>
      </c>
      <c r="C53" s="558">
        <f t="shared" si="68"/>
        <v>0.1</v>
      </c>
      <c r="D53" s="558">
        <f t="shared" si="69"/>
        <v>0.09</v>
      </c>
      <c r="E53" s="558">
        <f t="shared" si="70"/>
        <v>0</v>
      </c>
      <c r="F53" s="325" t="s">
        <v>1308</v>
      </c>
      <c r="G53" s="326">
        <f t="shared" si="71"/>
        <v>253445.48</v>
      </c>
      <c r="H53" s="1372">
        <v>1800000</v>
      </c>
      <c r="I53" s="113">
        <f t="shared" si="6"/>
        <v>369882.08</v>
      </c>
      <c r="J53" s="116" t="str">
        <f t="shared" si="72"/>
        <v>0</v>
      </c>
      <c r="K53" s="117">
        <f t="shared" si="73"/>
        <v>369882.08</v>
      </c>
      <c r="L53" s="123"/>
      <c r="M53" s="326"/>
      <c r="N53" s="326">
        <f t="shared" si="74"/>
        <v>327151.90000000002</v>
      </c>
      <c r="O53" s="332">
        <f>(N53*1.7245)*1.05</f>
        <v>592382.12412749999</v>
      </c>
      <c r="P53" s="140">
        <f t="shared" si="11"/>
        <v>383099.34</v>
      </c>
      <c r="Q53" s="326" t="str">
        <f t="shared" si="75"/>
        <v>0</v>
      </c>
      <c r="R53" s="333">
        <f t="shared" si="76"/>
        <v>383099.34</v>
      </c>
      <c r="S53" s="123"/>
      <c r="T53" s="326"/>
      <c r="U53" s="326">
        <f t="shared" si="77"/>
        <v>1808601.21</v>
      </c>
      <c r="V53" s="332">
        <v>1800000</v>
      </c>
      <c r="W53" s="140">
        <f t="shared" si="15"/>
        <v>553809.59</v>
      </c>
      <c r="X53" s="326" t="str">
        <f t="shared" si="78"/>
        <v>0</v>
      </c>
      <c r="Y53" s="333">
        <f t="shared" si="79"/>
        <v>553809.59</v>
      </c>
      <c r="Z53" s="123"/>
      <c r="AA53" s="326"/>
      <c r="AB53" s="1257">
        <f t="shared" si="80"/>
        <v>4192382.1241274998</v>
      </c>
      <c r="AC53" s="140">
        <f t="shared" si="92"/>
        <v>2390631.62</v>
      </c>
      <c r="AD53" s="326">
        <f t="shared" ref="AD53:AF53" si="106">SUM(W53,P53,I53)</f>
        <v>1306791.01</v>
      </c>
      <c r="AE53" s="326">
        <f t="shared" si="106"/>
        <v>0</v>
      </c>
      <c r="AF53" s="326">
        <f t="shared" si="106"/>
        <v>1306791.01</v>
      </c>
      <c r="AG53" s="326">
        <f t="shared" si="21"/>
        <v>-1083840.6100000001</v>
      </c>
      <c r="AH53" s="98">
        <f t="shared" si="37"/>
        <v>0.546630019894073</v>
      </c>
      <c r="AI53" s="125">
        <f t="shared" si="82"/>
        <v>272386.26</v>
      </c>
      <c r="AJ53" s="140">
        <f t="shared" si="24"/>
        <v>0</v>
      </c>
      <c r="AK53" s="123" t="str">
        <f t="shared" si="83"/>
        <v>0</v>
      </c>
      <c r="AL53" s="148">
        <f t="shared" si="84"/>
        <v>0</v>
      </c>
      <c r="AM53" s="125">
        <f t="shared" si="85"/>
        <v>74016.899999999994</v>
      </c>
      <c r="AN53" s="140">
        <f t="shared" si="28"/>
        <v>1218699.92</v>
      </c>
      <c r="AO53" s="326"/>
      <c r="AP53" s="333">
        <v>1218699.92</v>
      </c>
      <c r="AQ53" s="296" t="str">
        <f t="shared" si="86"/>
        <v/>
      </c>
    </row>
    <row r="54" spans="1:43" ht="13">
      <c r="A54" s="463">
        <f t="shared" si="66"/>
        <v>112014644</v>
      </c>
      <c r="B54" s="324">
        <f t="shared" si="67"/>
        <v>22</v>
      </c>
      <c r="C54" s="558">
        <f t="shared" si="68"/>
        <v>0.1</v>
      </c>
      <c r="D54" s="558">
        <f t="shared" si="69"/>
        <v>0.09</v>
      </c>
      <c r="E54" s="558">
        <f t="shared" si="70"/>
        <v>0</v>
      </c>
      <c r="F54" s="325" t="s">
        <v>1441</v>
      </c>
      <c r="G54" s="326">
        <f t="shared" si="71"/>
        <v>509782.98</v>
      </c>
      <c r="H54" s="1372">
        <v>1800000</v>
      </c>
      <c r="I54" s="113">
        <f t="shared" si="6"/>
        <v>777260.19</v>
      </c>
      <c r="J54" s="116" t="str">
        <f t="shared" si="72"/>
        <v>0</v>
      </c>
      <c r="K54" s="117">
        <f t="shared" si="73"/>
        <v>777260.19</v>
      </c>
      <c r="L54" s="123"/>
      <c r="M54" s="326"/>
      <c r="N54" s="326">
        <f t="shared" si="74"/>
        <v>440054.41</v>
      </c>
      <c r="O54" s="332">
        <v>1800000</v>
      </c>
      <c r="P54" s="140">
        <f t="shared" si="11"/>
        <v>270156.96000000002</v>
      </c>
      <c r="Q54" s="326" t="str">
        <f t="shared" si="75"/>
        <v>0</v>
      </c>
      <c r="R54" s="333">
        <f t="shared" si="76"/>
        <v>270156.96000000002</v>
      </c>
      <c r="S54" s="123"/>
      <c r="T54" s="326"/>
      <c r="U54" s="326">
        <f t="shared" si="77"/>
        <v>435189.59</v>
      </c>
      <c r="V54" s="332">
        <v>1800000</v>
      </c>
      <c r="W54" s="140">
        <f t="shared" si="15"/>
        <v>955722.81</v>
      </c>
      <c r="X54" s="326" t="str">
        <f t="shared" si="78"/>
        <v>0</v>
      </c>
      <c r="Y54" s="333">
        <f t="shared" si="79"/>
        <v>955722.81</v>
      </c>
      <c r="Z54" s="123"/>
      <c r="AA54" s="326"/>
      <c r="AB54" s="1257">
        <f t="shared" si="80"/>
        <v>5400000</v>
      </c>
      <c r="AC54" s="140">
        <f t="shared" si="92"/>
        <v>2899016.26</v>
      </c>
      <c r="AD54" s="326">
        <f t="shared" ref="AD54:AF54" si="107">SUM(W54,P54,I54)</f>
        <v>2003139.96</v>
      </c>
      <c r="AE54" s="326">
        <f t="shared" si="107"/>
        <v>0</v>
      </c>
      <c r="AF54" s="326">
        <f t="shared" si="107"/>
        <v>2003139.96</v>
      </c>
      <c r="AG54" s="326">
        <f t="shared" si="21"/>
        <v>-895876.29999999981</v>
      </c>
      <c r="AH54" s="98">
        <f t="shared" si="37"/>
        <v>0.6909723093446879</v>
      </c>
      <c r="AI54" s="125">
        <f t="shared" si="82"/>
        <v>833454.78</v>
      </c>
      <c r="AJ54" s="140">
        <f t="shared" si="24"/>
        <v>1084424.8799999999</v>
      </c>
      <c r="AK54" s="123" t="str">
        <f t="shared" si="83"/>
        <v>0</v>
      </c>
      <c r="AL54" s="148">
        <f t="shared" si="84"/>
        <v>1084424.8799999999</v>
      </c>
      <c r="AM54" s="125">
        <f t="shared" si="85"/>
        <v>843269.57</v>
      </c>
      <c r="AN54" s="140">
        <f t="shared" si="28"/>
        <v>392846.99</v>
      </c>
      <c r="AO54" s="326"/>
      <c r="AP54" s="333">
        <v>392846.99</v>
      </c>
      <c r="AQ54" s="296" t="str">
        <f t="shared" si="86"/>
        <v/>
      </c>
    </row>
    <row r="55" spans="1:43" ht="13">
      <c r="A55" s="463">
        <f t="shared" si="66"/>
        <v>112013962</v>
      </c>
      <c r="B55" s="324">
        <f t="shared" si="67"/>
        <v>22</v>
      </c>
      <c r="C55" s="558">
        <f t="shared" si="68"/>
        <v>0.1</v>
      </c>
      <c r="D55" s="558">
        <f t="shared" si="69"/>
        <v>0.09</v>
      </c>
      <c r="E55" s="558">
        <f t="shared" si="70"/>
        <v>0</v>
      </c>
      <c r="F55" s="325" t="s">
        <v>1057</v>
      </c>
      <c r="G55" s="326" t="str">
        <f t="shared" si="71"/>
        <v/>
      </c>
      <c r="H55" s="1372">
        <v>1800000</v>
      </c>
      <c r="I55" s="113">
        <f t="shared" si="6"/>
        <v>0</v>
      </c>
      <c r="J55" s="116" t="str">
        <f t="shared" si="72"/>
        <v>0</v>
      </c>
      <c r="K55" s="117" t="str">
        <f t="shared" si="73"/>
        <v>0</v>
      </c>
      <c r="L55" s="123"/>
      <c r="M55" s="326"/>
      <c r="N55" s="326" t="str">
        <f t="shared" si="74"/>
        <v/>
      </c>
      <c r="O55" s="332">
        <v>1800000</v>
      </c>
      <c r="P55" s="140">
        <f t="shared" si="11"/>
        <v>0</v>
      </c>
      <c r="Q55" s="326" t="str">
        <f t="shared" si="75"/>
        <v>0</v>
      </c>
      <c r="R55" s="333" t="str">
        <f t="shared" si="76"/>
        <v>0</v>
      </c>
      <c r="S55" s="123"/>
      <c r="T55" s="326"/>
      <c r="U55" s="326" t="str">
        <f t="shared" si="77"/>
        <v/>
      </c>
      <c r="V55" s="332">
        <v>1800000</v>
      </c>
      <c r="W55" s="140">
        <f t="shared" si="15"/>
        <v>0</v>
      </c>
      <c r="X55" s="326" t="str">
        <f t="shared" si="78"/>
        <v>0</v>
      </c>
      <c r="Y55" s="333" t="str">
        <f t="shared" si="79"/>
        <v>0</v>
      </c>
      <c r="Z55" s="123"/>
      <c r="AA55" s="326"/>
      <c r="AB55" s="1257">
        <f t="shared" si="80"/>
        <v>5400000</v>
      </c>
      <c r="AC55" s="140" t="str">
        <f t="shared" si="92"/>
        <v>0</v>
      </c>
      <c r="AD55" s="326">
        <f t="shared" ref="AD55:AF55" si="108">SUM(W55,P55,I55)</f>
        <v>0</v>
      </c>
      <c r="AE55" s="326">
        <f t="shared" si="108"/>
        <v>0</v>
      </c>
      <c r="AF55" s="326">
        <f t="shared" si="108"/>
        <v>0</v>
      </c>
      <c r="AG55" s="326">
        <f t="shared" si="21"/>
        <v>0</v>
      </c>
      <c r="AH55" s="98" t="str">
        <f t="shared" si="37"/>
        <v/>
      </c>
      <c r="AI55" s="125" t="str">
        <f t="shared" si="82"/>
        <v/>
      </c>
      <c r="AJ55" s="140">
        <f t="shared" si="24"/>
        <v>0</v>
      </c>
      <c r="AK55" s="123" t="str">
        <f t="shared" si="83"/>
        <v>0</v>
      </c>
      <c r="AL55" s="148" t="str">
        <f t="shared" si="84"/>
        <v>0</v>
      </c>
      <c r="AM55" s="125" t="str">
        <f t="shared" si="85"/>
        <v/>
      </c>
      <c r="AN55" s="140">
        <f t="shared" si="28"/>
        <v>0</v>
      </c>
      <c r="AO55" s="326"/>
      <c r="AP55" s="333"/>
      <c r="AQ55" s="296" t="str">
        <f t="shared" si="86"/>
        <v/>
      </c>
    </row>
    <row r="56" spans="1:43" ht="13">
      <c r="A56" s="463">
        <f t="shared" si="66"/>
        <v>112013478</v>
      </c>
      <c r="B56" s="324">
        <f t="shared" si="67"/>
        <v>22</v>
      </c>
      <c r="C56" s="558">
        <f t="shared" si="68"/>
        <v>0.1</v>
      </c>
      <c r="D56" s="558">
        <f t="shared" si="69"/>
        <v>0.09</v>
      </c>
      <c r="E56" s="558">
        <f t="shared" si="70"/>
        <v>0</v>
      </c>
      <c r="F56" s="325" t="s">
        <v>1052</v>
      </c>
      <c r="G56" s="326">
        <f t="shared" si="71"/>
        <v>0</v>
      </c>
      <c r="H56" s="1372">
        <v>1800000</v>
      </c>
      <c r="I56" s="113">
        <f t="shared" si="6"/>
        <v>0</v>
      </c>
      <c r="J56" s="116" t="str">
        <f t="shared" si="72"/>
        <v>0</v>
      </c>
      <c r="K56" s="117">
        <f t="shared" si="73"/>
        <v>0</v>
      </c>
      <c r="L56" s="123"/>
      <c r="M56" s="326"/>
      <c r="N56" s="326">
        <f t="shared" si="74"/>
        <v>1657262.17</v>
      </c>
      <c r="O56" s="332">
        <v>1800000</v>
      </c>
      <c r="P56" s="140">
        <f t="shared" si="11"/>
        <v>0</v>
      </c>
      <c r="Q56" s="326" t="str">
        <f t="shared" si="75"/>
        <v>0</v>
      </c>
      <c r="R56" s="333">
        <f t="shared" si="76"/>
        <v>0</v>
      </c>
      <c r="S56" s="123"/>
      <c r="T56" s="326"/>
      <c r="U56" s="326">
        <f t="shared" si="77"/>
        <v>92119.14</v>
      </c>
      <c r="V56" s="332">
        <v>1800000</v>
      </c>
      <c r="W56" s="140">
        <f t="shared" si="15"/>
        <v>0</v>
      </c>
      <c r="X56" s="326" t="str">
        <f t="shared" si="78"/>
        <v>0</v>
      </c>
      <c r="Y56" s="333">
        <f t="shared" si="79"/>
        <v>0</v>
      </c>
      <c r="Z56" s="123"/>
      <c r="AA56" s="326"/>
      <c r="AB56" s="1257">
        <f t="shared" si="80"/>
        <v>5400000</v>
      </c>
      <c r="AC56" s="140" t="str">
        <f t="shared" si="92"/>
        <v>0</v>
      </c>
      <c r="AD56" s="326">
        <f t="shared" ref="AD56:AF56" si="109">SUM(W56,P56,I56)</f>
        <v>0</v>
      </c>
      <c r="AE56" s="326">
        <f t="shared" si="109"/>
        <v>0</v>
      </c>
      <c r="AF56" s="326">
        <f t="shared" si="109"/>
        <v>0</v>
      </c>
      <c r="AG56" s="326">
        <f t="shared" si="21"/>
        <v>0</v>
      </c>
      <c r="AH56" s="98" t="str">
        <f t="shared" si="37"/>
        <v/>
      </c>
      <c r="AI56" s="125">
        <f t="shared" si="82"/>
        <v>0</v>
      </c>
      <c r="AJ56" s="140">
        <f t="shared" si="24"/>
        <v>1669648.95</v>
      </c>
      <c r="AK56" s="123" t="str">
        <f t="shared" si="83"/>
        <v>0</v>
      </c>
      <c r="AL56" s="148">
        <f t="shared" si="84"/>
        <v>1669648.95</v>
      </c>
      <c r="AM56" s="125">
        <f t="shared" si="85"/>
        <v>991075.7</v>
      </c>
      <c r="AN56" s="140">
        <f t="shared" si="28"/>
        <v>0</v>
      </c>
      <c r="AO56" s="326"/>
      <c r="AP56" s="333"/>
      <c r="AQ56" s="296" t="str">
        <f t="shared" si="86"/>
        <v/>
      </c>
    </row>
    <row r="57" spans="1:43" ht="13">
      <c r="A57" s="463">
        <f t="shared" si="66"/>
        <v>112014555</v>
      </c>
      <c r="B57" s="324">
        <f t="shared" si="67"/>
        <v>22</v>
      </c>
      <c r="C57" s="558">
        <f t="shared" si="68"/>
        <v>0.1</v>
      </c>
      <c r="D57" s="558">
        <f t="shared" si="69"/>
        <v>0.09</v>
      </c>
      <c r="E57" s="558">
        <f t="shared" si="70"/>
        <v>0</v>
      </c>
      <c r="F57" s="325" t="s">
        <v>1437</v>
      </c>
      <c r="G57" s="326">
        <f t="shared" si="71"/>
        <v>199959.01</v>
      </c>
      <c r="H57" s="1372">
        <v>1800000</v>
      </c>
      <c r="I57" s="113">
        <f t="shared" si="6"/>
        <v>948198.67</v>
      </c>
      <c r="J57" s="116" t="str">
        <f t="shared" si="72"/>
        <v>0</v>
      </c>
      <c r="K57" s="117">
        <f t="shared" si="73"/>
        <v>948198.67</v>
      </c>
      <c r="L57" s="123"/>
      <c r="M57" s="326"/>
      <c r="N57" s="326">
        <f t="shared" si="74"/>
        <v>603826.28</v>
      </c>
      <c r="O57" s="332">
        <v>1800000</v>
      </c>
      <c r="P57" s="140">
        <f t="shared" si="11"/>
        <v>449795.78</v>
      </c>
      <c r="Q57" s="326" t="str">
        <f t="shared" si="75"/>
        <v>0</v>
      </c>
      <c r="R57" s="333">
        <f t="shared" si="76"/>
        <v>449795.78</v>
      </c>
      <c r="S57" s="123"/>
      <c r="T57" s="326"/>
      <c r="U57" s="326">
        <f t="shared" si="77"/>
        <v>612242.68000000005</v>
      </c>
      <c r="V57" s="332">
        <v>1800000</v>
      </c>
      <c r="W57" s="140">
        <f t="shared" si="15"/>
        <v>0</v>
      </c>
      <c r="X57" s="326" t="str">
        <f t="shared" si="78"/>
        <v>0</v>
      </c>
      <c r="Y57" s="333">
        <f t="shared" si="79"/>
        <v>0</v>
      </c>
      <c r="Z57" s="123"/>
      <c r="AA57" s="326"/>
      <c r="AB57" s="1257">
        <f t="shared" si="80"/>
        <v>5400000</v>
      </c>
      <c r="AC57" s="140">
        <f t="shared" si="92"/>
        <v>1461097.47</v>
      </c>
      <c r="AD57" s="326">
        <f t="shared" ref="AD57:AF57" si="110">SUM(W57,P57,I57)</f>
        <v>1397994.4500000002</v>
      </c>
      <c r="AE57" s="326">
        <f t="shared" si="110"/>
        <v>0</v>
      </c>
      <c r="AF57" s="326">
        <f t="shared" si="110"/>
        <v>1397994.4500000002</v>
      </c>
      <c r="AG57" s="326">
        <f t="shared" si="21"/>
        <v>-63103.019999999786</v>
      </c>
      <c r="AH57" s="98">
        <f t="shared" si="37"/>
        <v>0.95681121807705283</v>
      </c>
      <c r="AI57" s="125">
        <f t="shared" si="82"/>
        <v>1607984.51</v>
      </c>
      <c r="AJ57" s="140">
        <f t="shared" si="24"/>
        <v>613528.03</v>
      </c>
      <c r="AK57" s="123" t="str">
        <f t="shared" si="83"/>
        <v>0</v>
      </c>
      <c r="AL57" s="148">
        <f t="shared" si="84"/>
        <v>613528.03</v>
      </c>
      <c r="AM57" s="125">
        <f t="shared" si="85"/>
        <v>211571.05</v>
      </c>
      <c r="AN57" s="140">
        <f t="shared" si="28"/>
        <v>0</v>
      </c>
      <c r="AO57" s="326"/>
      <c r="AP57" s="333"/>
      <c r="AQ57" s="296" t="str">
        <f t="shared" si="86"/>
        <v/>
      </c>
    </row>
    <row r="58" spans="1:43" ht="13">
      <c r="A58" s="463">
        <f t="shared" si="66"/>
        <v>112012985</v>
      </c>
      <c r="B58" s="324">
        <f t="shared" si="67"/>
        <v>22</v>
      </c>
      <c r="C58" s="558">
        <f t="shared" si="68"/>
        <v>0.1</v>
      </c>
      <c r="D58" s="558">
        <f t="shared" si="69"/>
        <v>0.09</v>
      </c>
      <c r="E58" s="558">
        <f t="shared" si="70"/>
        <v>0</v>
      </c>
      <c r="F58" s="325" t="s">
        <v>1055</v>
      </c>
      <c r="G58" s="326">
        <f t="shared" si="71"/>
        <v>172404.37</v>
      </c>
      <c r="H58" s="1372">
        <v>1800000</v>
      </c>
      <c r="I58" s="113">
        <f t="shared" si="6"/>
        <v>189797.63</v>
      </c>
      <c r="J58" s="116" t="str">
        <f t="shared" si="72"/>
        <v>0</v>
      </c>
      <c r="K58" s="117">
        <f t="shared" si="73"/>
        <v>189797.63</v>
      </c>
      <c r="L58" s="123"/>
      <c r="M58" s="326"/>
      <c r="N58" s="326">
        <f t="shared" si="74"/>
        <v>0</v>
      </c>
      <c r="O58" s="332">
        <v>1800000</v>
      </c>
      <c r="P58" s="140">
        <f t="shared" si="11"/>
        <v>0</v>
      </c>
      <c r="Q58" s="326" t="str">
        <f t="shared" si="75"/>
        <v>0</v>
      </c>
      <c r="R58" s="333">
        <f t="shared" si="76"/>
        <v>0</v>
      </c>
      <c r="S58" s="123"/>
      <c r="T58" s="326"/>
      <c r="U58" s="326">
        <f t="shared" si="77"/>
        <v>377524.35</v>
      </c>
      <c r="V58" s="332">
        <v>1800000</v>
      </c>
      <c r="W58" s="140">
        <f t="shared" si="15"/>
        <v>319567.93</v>
      </c>
      <c r="X58" s="326" t="str">
        <f t="shared" si="78"/>
        <v>0</v>
      </c>
      <c r="Y58" s="333">
        <f t="shared" si="79"/>
        <v>319567.93</v>
      </c>
      <c r="Z58" s="123"/>
      <c r="AA58" s="326"/>
      <c r="AB58" s="1257">
        <f t="shared" si="80"/>
        <v>5400000</v>
      </c>
      <c r="AC58" s="140">
        <f t="shared" si="92"/>
        <v>295188.55</v>
      </c>
      <c r="AD58" s="326">
        <f t="shared" ref="AD58:AF58" si="111">SUM(W58,P58,I58)</f>
        <v>509365.56</v>
      </c>
      <c r="AE58" s="326">
        <f t="shared" si="111"/>
        <v>0</v>
      </c>
      <c r="AF58" s="326">
        <f t="shared" si="111"/>
        <v>509365.56</v>
      </c>
      <c r="AG58" s="326">
        <f t="shared" si="21"/>
        <v>214177.01</v>
      </c>
      <c r="AH58" s="98">
        <f t="shared" si="37"/>
        <v>1.7255600191809608</v>
      </c>
      <c r="AI58" s="125">
        <f t="shared" si="82"/>
        <v>61496.55</v>
      </c>
      <c r="AJ58" s="140">
        <f t="shared" si="24"/>
        <v>305274.83</v>
      </c>
      <c r="AK58" s="123" t="str">
        <f t="shared" si="83"/>
        <v>0</v>
      </c>
      <c r="AL58" s="148">
        <f t="shared" si="84"/>
        <v>305274.83</v>
      </c>
      <c r="AM58" s="125">
        <f t="shared" si="85"/>
        <v>133664.41</v>
      </c>
      <c r="AN58" s="140">
        <f t="shared" si="28"/>
        <v>0</v>
      </c>
      <c r="AO58" s="326"/>
      <c r="AP58" s="333"/>
      <c r="AQ58" s="296" t="str">
        <f t="shared" si="86"/>
        <v/>
      </c>
    </row>
    <row r="59" spans="1:43" ht="13">
      <c r="A59" s="463">
        <f t="shared" si="66"/>
        <v>112014120</v>
      </c>
      <c r="B59" s="324">
        <f t="shared" si="67"/>
        <v>22</v>
      </c>
      <c r="C59" s="558">
        <f t="shared" si="68"/>
        <v>0.1</v>
      </c>
      <c r="D59" s="558">
        <f t="shared" si="69"/>
        <v>0.09</v>
      </c>
      <c r="E59" s="558">
        <f t="shared" si="70"/>
        <v>0</v>
      </c>
      <c r="F59" s="325" t="s">
        <v>1438</v>
      </c>
      <c r="G59" s="326">
        <f t="shared" si="71"/>
        <v>0</v>
      </c>
      <c r="H59" s="1372">
        <v>1800000</v>
      </c>
      <c r="I59" s="113">
        <f t="shared" si="6"/>
        <v>0</v>
      </c>
      <c r="J59" s="116" t="str">
        <f t="shared" si="72"/>
        <v>0</v>
      </c>
      <c r="K59" s="117" t="str">
        <f t="shared" si="73"/>
        <v>0</v>
      </c>
      <c r="L59" s="123"/>
      <c r="M59" s="326"/>
      <c r="N59" s="326">
        <f t="shared" si="74"/>
        <v>0</v>
      </c>
      <c r="O59" s="332">
        <v>1800000</v>
      </c>
      <c r="P59" s="140">
        <f t="shared" si="11"/>
        <v>0</v>
      </c>
      <c r="Q59" s="326" t="str">
        <f t="shared" si="75"/>
        <v>0</v>
      </c>
      <c r="R59" s="333" t="str">
        <f t="shared" si="76"/>
        <v>0</v>
      </c>
      <c r="S59" s="123"/>
      <c r="T59" s="326"/>
      <c r="U59" s="326">
        <f t="shared" si="77"/>
        <v>0</v>
      </c>
      <c r="V59" s="332">
        <v>1800000</v>
      </c>
      <c r="W59" s="140">
        <f t="shared" si="15"/>
        <v>0</v>
      </c>
      <c r="X59" s="326" t="str">
        <f t="shared" si="78"/>
        <v>0</v>
      </c>
      <c r="Y59" s="333" t="str">
        <f t="shared" si="79"/>
        <v>0</v>
      </c>
      <c r="Z59" s="123"/>
      <c r="AA59" s="326"/>
      <c r="AB59" s="1257">
        <f t="shared" si="80"/>
        <v>5400000</v>
      </c>
      <c r="AC59" s="140" t="str">
        <f t="shared" si="92"/>
        <v>0</v>
      </c>
      <c r="AD59" s="326">
        <f t="shared" ref="AD59:AF59" si="112">SUM(W59,P59,I59)</f>
        <v>0</v>
      </c>
      <c r="AE59" s="326">
        <f t="shared" si="112"/>
        <v>0</v>
      </c>
      <c r="AF59" s="326">
        <f t="shared" si="112"/>
        <v>0</v>
      </c>
      <c r="AG59" s="326">
        <f t="shared" si="21"/>
        <v>0</v>
      </c>
      <c r="AH59" s="98" t="str">
        <f t="shared" si="37"/>
        <v/>
      </c>
      <c r="AI59" s="125">
        <f t="shared" si="82"/>
        <v>1103724.32</v>
      </c>
      <c r="AJ59" s="140">
        <f t="shared" si="24"/>
        <v>0</v>
      </c>
      <c r="AK59" s="123" t="str">
        <f t="shared" si="83"/>
        <v>0</v>
      </c>
      <c r="AL59" s="148" t="str">
        <f t="shared" si="84"/>
        <v>0</v>
      </c>
      <c r="AM59" s="125">
        <f t="shared" si="85"/>
        <v>0</v>
      </c>
      <c r="AN59" s="140">
        <f t="shared" si="28"/>
        <v>0</v>
      </c>
      <c r="AO59" s="326"/>
      <c r="AP59" s="333"/>
      <c r="AQ59" s="296" t="str">
        <f t="shared" si="86"/>
        <v/>
      </c>
    </row>
    <row r="60" spans="1:43" ht="13">
      <c r="A60" s="463">
        <f t="shared" si="66"/>
        <v>112013210</v>
      </c>
      <c r="B60" s="324">
        <f t="shared" si="67"/>
        <v>22</v>
      </c>
      <c r="C60" s="558">
        <f t="shared" si="68"/>
        <v>0.1</v>
      </c>
      <c r="D60" s="558">
        <f t="shared" si="69"/>
        <v>0.09</v>
      </c>
      <c r="E60" s="558">
        <f t="shared" si="70"/>
        <v>0</v>
      </c>
      <c r="F60" s="325" t="s">
        <v>1323</v>
      </c>
      <c r="G60" s="326">
        <f t="shared" si="71"/>
        <v>144766.38</v>
      </c>
      <c r="H60" s="1372">
        <v>1800000</v>
      </c>
      <c r="I60" s="113">
        <f t="shared" si="6"/>
        <v>1108397.7</v>
      </c>
      <c r="J60" s="116" t="str">
        <f t="shared" si="72"/>
        <v>0</v>
      </c>
      <c r="K60" s="117">
        <f t="shared" si="73"/>
        <v>1108397.7</v>
      </c>
      <c r="L60" s="123"/>
      <c r="M60" s="326"/>
      <c r="N60" s="326">
        <f t="shared" si="74"/>
        <v>0</v>
      </c>
      <c r="O60" s="332">
        <v>1800000</v>
      </c>
      <c r="P60" s="140">
        <f t="shared" si="11"/>
        <v>585139.35</v>
      </c>
      <c r="Q60" s="326" t="str">
        <f t="shared" si="75"/>
        <v>0</v>
      </c>
      <c r="R60" s="333">
        <f t="shared" si="76"/>
        <v>585139.35</v>
      </c>
      <c r="S60" s="123"/>
      <c r="T60" s="326"/>
      <c r="U60" s="326">
        <f t="shared" si="77"/>
        <v>0</v>
      </c>
      <c r="V60" s="332">
        <v>1800000</v>
      </c>
      <c r="W60" s="140">
        <f t="shared" si="15"/>
        <v>418845.73</v>
      </c>
      <c r="X60" s="326" t="str">
        <f t="shared" si="78"/>
        <v>0</v>
      </c>
      <c r="Y60" s="333">
        <f t="shared" si="79"/>
        <v>418845.73</v>
      </c>
      <c r="Z60" s="123"/>
      <c r="AA60" s="326"/>
      <c r="AB60" s="1257">
        <f t="shared" si="80"/>
        <v>5400000</v>
      </c>
      <c r="AC60" s="140">
        <f t="shared" si="92"/>
        <v>1074616.1299999999</v>
      </c>
      <c r="AD60" s="326">
        <f t="shared" ref="AD60:AF60" si="113">SUM(W60,P60,I60)</f>
        <v>2112382.7799999998</v>
      </c>
      <c r="AE60" s="326">
        <f t="shared" si="113"/>
        <v>0</v>
      </c>
      <c r="AF60" s="326">
        <f t="shared" si="113"/>
        <v>2112382.7799999998</v>
      </c>
      <c r="AG60" s="326">
        <f t="shared" si="21"/>
        <v>1037766.6499999999</v>
      </c>
      <c r="AH60" s="98">
        <f t="shared" si="37"/>
        <v>1.9657091690965034</v>
      </c>
      <c r="AI60" s="125">
        <f t="shared" si="82"/>
        <v>282720.49</v>
      </c>
      <c r="AJ60" s="140">
        <f t="shared" si="24"/>
        <v>93519.5</v>
      </c>
      <c r="AK60" s="123" t="str">
        <f t="shared" si="83"/>
        <v>0</v>
      </c>
      <c r="AL60" s="148">
        <f t="shared" si="84"/>
        <v>93519.5</v>
      </c>
      <c r="AM60" s="125">
        <f t="shared" si="85"/>
        <v>234990.69</v>
      </c>
      <c r="AN60" s="140">
        <f t="shared" si="28"/>
        <v>525472.5</v>
      </c>
      <c r="AO60" s="326"/>
      <c r="AP60" s="333">
        <v>525472.5</v>
      </c>
      <c r="AQ60" s="296" t="str">
        <f t="shared" si="86"/>
        <v/>
      </c>
    </row>
    <row r="61" spans="1:43" ht="13">
      <c r="A61" s="463">
        <f t="shared" si="66"/>
        <v>112013507</v>
      </c>
      <c r="B61" s="324">
        <f t="shared" si="67"/>
        <v>22</v>
      </c>
      <c r="C61" s="558">
        <f t="shared" si="68"/>
        <v>0.1</v>
      </c>
      <c r="D61" s="558">
        <f t="shared" si="69"/>
        <v>0.09</v>
      </c>
      <c r="E61" s="558">
        <f t="shared" si="70"/>
        <v>0</v>
      </c>
      <c r="F61" s="325" t="s">
        <v>1439</v>
      </c>
      <c r="G61" s="326">
        <f t="shared" si="71"/>
        <v>0</v>
      </c>
      <c r="H61" s="1372">
        <v>1800000</v>
      </c>
      <c r="I61" s="113">
        <f t="shared" si="6"/>
        <v>285327.21999999997</v>
      </c>
      <c r="J61" s="116" t="str">
        <f t="shared" si="72"/>
        <v>0</v>
      </c>
      <c r="K61" s="117">
        <f t="shared" si="73"/>
        <v>285327.21999999997</v>
      </c>
      <c r="L61" s="123"/>
      <c r="M61" s="326"/>
      <c r="N61" s="326">
        <f t="shared" si="74"/>
        <v>205708.15</v>
      </c>
      <c r="O61" s="332">
        <v>1800000</v>
      </c>
      <c r="P61" s="140">
        <f t="shared" si="11"/>
        <v>284087.82</v>
      </c>
      <c r="Q61" s="326" t="str">
        <f t="shared" si="75"/>
        <v>0</v>
      </c>
      <c r="R61" s="333">
        <f t="shared" si="76"/>
        <v>284087.82</v>
      </c>
      <c r="S61" s="123"/>
      <c r="T61" s="326"/>
      <c r="U61" s="326">
        <f t="shared" si="77"/>
        <v>0</v>
      </c>
      <c r="V61" s="332">
        <v>1800000</v>
      </c>
      <c r="W61" s="140">
        <f t="shared" si="15"/>
        <v>0</v>
      </c>
      <c r="X61" s="326" t="str">
        <f t="shared" si="78"/>
        <v>0</v>
      </c>
      <c r="Y61" s="333">
        <f t="shared" si="79"/>
        <v>0</v>
      </c>
      <c r="Z61" s="123"/>
      <c r="AA61" s="326"/>
      <c r="AB61" s="1257">
        <f t="shared" si="80"/>
        <v>5400000</v>
      </c>
      <c r="AC61" s="140">
        <f t="shared" si="92"/>
        <v>343526.5</v>
      </c>
      <c r="AD61" s="326">
        <f t="shared" ref="AD61:AF61" si="114">SUM(W61,P61,I61)</f>
        <v>569415.04</v>
      </c>
      <c r="AE61" s="326">
        <f t="shared" si="114"/>
        <v>0</v>
      </c>
      <c r="AF61" s="326">
        <f t="shared" si="114"/>
        <v>569415.04</v>
      </c>
      <c r="AG61" s="326">
        <f t="shared" si="21"/>
        <v>225888.54000000004</v>
      </c>
      <c r="AH61" s="98">
        <f t="shared" si="37"/>
        <v>1.6575578303275003</v>
      </c>
      <c r="AI61" s="125">
        <f t="shared" si="82"/>
        <v>0</v>
      </c>
      <c r="AJ61" s="140">
        <f t="shared" si="24"/>
        <v>0</v>
      </c>
      <c r="AK61" s="123" t="str">
        <f t="shared" si="83"/>
        <v>0</v>
      </c>
      <c r="AL61" s="148">
        <f t="shared" si="84"/>
        <v>0</v>
      </c>
      <c r="AM61" s="125">
        <f t="shared" si="85"/>
        <v>0</v>
      </c>
      <c r="AN61" s="140">
        <f t="shared" si="28"/>
        <v>0</v>
      </c>
      <c r="AO61" s="326"/>
      <c r="AP61" s="333"/>
      <c r="AQ61" s="296" t="str">
        <f t="shared" si="86"/>
        <v/>
      </c>
    </row>
    <row r="62" spans="1:43" ht="13">
      <c r="A62" s="463">
        <f t="shared" si="66"/>
        <v>112014657</v>
      </c>
      <c r="B62" s="324">
        <f t="shared" si="67"/>
        <v>22</v>
      </c>
      <c r="C62" s="558">
        <f t="shared" si="68"/>
        <v>0.1</v>
      </c>
      <c r="D62" s="558">
        <f t="shared" si="69"/>
        <v>0.09</v>
      </c>
      <c r="E62" s="558">
        <f t="shared" si="70"/>
        <v>0</v>
      </c>
      <c r="F62" s="325" t="s">
        <v>1432</v>
      </c>
      <c r="G62" s="326">
        <f t="shared" si="71"/>
        <v>316319.65000000002</v>
      </c>
      <c r="H62" s="1372">
        <v>1800000</v>
      </c>
      <c r="I62" s="113">
        <f t="shared" si="6"/>
        <v>477836.16</v>
      </c>
      <c r="J62" s="116" t="str">
        <f t="shared" si="72"/>
        <v>0</v>
      </c>
      <c r="K62" s="117">
        <f t="shared" si="73"/>
        <v>477836.16</v>
      </c>
      <c r="L62" s="123"/>
      <c r="M62" s="326"/>
      <c r="N62" s="326">
        <f t="shared" si="74"/>
        <v>0</v>
      </c>
      <c r="O62" s="332">
        <v>1800000</v>
      </c>
      <c r="P62" s="140">
        <f t="shared" si="11"/>
        <v>0</v>
      </c>
      <c r="Q62" s="326" t="str">
        <f t="shared" si="75"/>
        <v>0</v>
      </c>
      <c r="R62" s="333">
        <f t="shared" si="76"/>
        <v>0</v>
      </c>
      <c r="S62" s="123"/>
      <c r="T62" s="326"/>
      <c r="U62" s="326">
        <f t="shared" si="77"/>
        <v>0</v>
      </c>
      <c r="V62" s="332">
        <v>1800000</v>
      </c>
      <c r="W62" s="140">
        <f t="shared" si="15"/>
        <v>344837.59</v>
      </c>
      <c r="X62" s="326" t="str">
        <f t="shared" si="78"/>
        <v>0</v>
      </c>
      <c r="Y62" s="333">
        <f t="shared" si="79"/>
        <v>344837.59</v>
      </c>
      <c r="Z62" s="123"/>
      <c r="AA62" s="326"/>
      <c r="AB62" s="1257">
        <f t="shared" si="80"/>
        <v>5400000</v>
      </c>
      <c r="AC62" s="140">
        <f t="shared" si="92"/>
        <v>593719.47</v>
      </c>
      <c r="AD62" s="326">
        <f t="shared" ref="AD62:AF62" si="115">SUM(W62,P62,I62)</f>
        <v>822673.75</v>
      </c>
      <c r="AE62" s="326">
        <f t="shared" si="115"/>
        <v>0</v>
      </c>
      <c r="AF62" s="326">
        <f t="shared" si="115"/>
        <v>822673.75</v>
      </c>
      <c r="AG62" s="326">
        <f t="shared" si="21"/>
        <v>228954.28000000003</v>
      </c>
      <c r="AH62" s="98">
        <f t="shared" si="37"/>
        <v>1.3856270369573698</v>
      </c>
      <c r="AI62" s="125">
        <f t="shared" si="82"/>
        <v>0</v>
      </c>
      <c r="AJ62" s="140">
        <f t="shared" si="24"/>
        <v>261833.78</v>
      </c>
      <c r="AK62" s="123" t="str">
        <f t="shared" si="83"/>
        <v>0</v>
      </c>
      <c r="AL62" s="148">
        <f t="shared" si="84"/>
        <v>261833.78</v>
      </c>
      <c r="AM62" s="125">
        <f t="shared" si="85"/>
        <v>0</v>
      </c>
      <c r="AN62" s="140">
        <f t="shared" si="28"/>
        <v>0</v>
      </c>
      <c r="AO62" s="326"/>
      <c r="AP62" s="333"/>
      <c r="AQ62" s="296" t="str">
        <f t="shared" si="86"/>
        <v/>
      </c>
    </row>
    <row r="63" spans="1:43" ht="13">
      <c r="A63" s="463">
        <f t="shared" si="66"/>
        <v>112013852</v>
      </c>
      <c r="B63" s="324">
        <f t="shared" si="67"/>
        <v>22</v>
      </c>
      <c r="C63" s="558">
        <f t="shared" si="68"/>
        <v>0.1</v>
      </c>
      <c r="D63" s="558">
        <f t="shared" si="69"/>
        <v>0.09</v>
      </c>
      <c r="E63" s="558">
        <f t="shared" si="70"/>
        <v>0</v>
      </c>
      <c r="F63" s="325" t="s">
        <v>1451</v>
      </c>
      <c r="G63" s="326">
        <f t="shared" si="71"/>
        <v>250976.54</v>
      </c>
      <c r="H63" s="1372">
        <v>1800000</v>
      </c>
      <c r="I63" s="113">
        <f t="shared" si="6"/>
        <v>0</v>
      </c>
      <c r="J63" s="116" t="str">
        <f t="shared" si="72"/>
        <v>0</v>
      </c>
      <c r="K63" s="117" t="str">
        <f t="shared" si="73"/>
        <v>0</v>
      </c>
      <c r="L63" s="123"/>
      <c r="M63" s="326"/>
      <c r="N63" s="326">
        <f t="shared" si="74"/>
        <v>0</v>
      </c>
      <c r="O63" s="332">
        <v>1800000</v>
      </c>
      <c r="P63" s="140">
        <f t="shared" si="11"/>
        <v>0</v>
      </c>
      <c r="Q63" s="326" t="str">
        <f t="shared" si="75"/>
        <v>0</v>
      </c>
      <c r="R63" s="333" t="str">
        <f t="shared" si="76"/>
        <v>0</v>
      </c>
      <c r="S63" s="123"/>
      <c r="T63" s="326"/>
      <c r="U63" s="326">
        <f t="shared" si="77"/>
        <v>0</v>
      </c>
      <c r="V63" s="332">
        <v>1800000</v>
      </c>
      <c r="W63" s="140">
        <f t="shared" si="15"/>
        <v>0</v>
      </c>
      <c r="X63" s="326" t="str">
        <f t="shared" si="78"/>
        <v>0</v>
      </c>
      <c r="Y63" s="333" t="str">
        <f t="shared" si="79"/>
        <v>0</v>
      </c>
      <c r="Z63" s="123"/>
      <c r="AA63" s="326"/>
      <c r="AB63" s="1257">
        <f t="shared" si="80"/>
        <v>5400000</v>
      </c>
      <c r="AC63" s="140">
        <f t="shared" si="92"/>
        <v>327780.47999999998</v>
      </c>
      <c r="AD63" s="326">
        <f t="shared" ref="AD63:AF63" si="116">SUM(W63,P63,I63)</f>
        <v>0</v>
      </c>
      <c r="AE63" s="326">
        <f t="shared" si="116"/>
        <v>0</v>
      </c>
      <c r="AF63" s="326">
        <f t="shared" si="116"/>
        <v>0</v>
      </c>
      <c r="AG63" s="326">
        <f t="shared" si="21"/>
        <v>-327780.47999999998</v>
      </c>
      <c r="AH63" s="98">
        <f t="shared" si="37"/>
        <v>0</v>
      </c>
      <c r="AI63" s="125">
        <f t="shared" si="82"/>
        <v>0</v>
      </c>
      <c r="AJ63" s="140">
        <f t="shared" si="24"/>
        <v>0</v>
      </c>
      <c r="AK63" s="123" t="str">
        <f t="shared" si="83"/>
        <v>0</v>
      </c>
      <c r="AL63" s="148" t="str">
        <f t="shared" si="84"/>
        <v>0</v>
      </c>
      <c r="AM63" s="125">
        <f t="shared" si="85"/>
        <v>0</v>
      </c>
      <c r="AN63" s="140">
        <f t="shared" si="28"/>
        <v>0</v>
      </c>
      <c r="AO63" s="326"/>
      <c r="AP63" s="333"/>
      <c r="AQ63" s="296" t="str">
        <f t="shared" si="86"/>
        <v/>
      </c>
    </row>
    <row r="64" spans="1:43" ht="13">
      <c r="A64" s="463">
        <f t="shared" si="66"/>
        <v>112013982</v>
      </c>
      <c r="B64" s="324">
        <f t="shared" si="67"/>
        <v>22</v>
      </c>
      <c r="C64" s="558">
        <f t="shared" si="68"/>
        <v>0.1</v>
      </c>
      <c r="D64" s="558">
        <f t="shared" si="69"/>
        <v>0.09</v>
      </c>
      <c r="E64" s="558">
        <f t="shared" si="70"/>
        <v>0</v>
      </c>
      <c r="F64" s="325" t="s">
        <v>1445</v>
      </c>
      <c r="G64" s="326">
        <f t="shared" si="71"/>
        <v>0</v>
      </c>
      <c r="H64" s="1372">
        <v>1800000</v>
      </c>
      <c r="I64" s="113">
        <f t="shared" si="6"/>
        <v>0</v>
      </c>
      <c r="J64" s="116" t="str">
        <f t="shared" si="72"/>
        <v>0</v>
      </c>
      <c r="K64" s="117" t="str">
        <f t="shared" si="73"/>
        <v>0</v>
      </c>
      <c r="L64" s="123"/>
      <c r="M64" s="326"/>
      <c r="N64" s="326">
        <f t="shared" si="74"/>
        <v>0</v>
      </c>
      <c r="O64" s="332">
        <v>1800000</v>
      </c>
      <c r="P64" s="140">
        <f t="shared" si="11"/>
        <v>0</v>
      </c>
      <c r="Q64" s="326" t="str">
        <f t="shared" si="75"/>
        <v>0</v>
      </c>
      <c r="R64" s="333" t="str">
        <f t="shared" si="76"/>
        <v>0</v>
      </c>
      <c r="S64" s="123"/>
      <c r="T64" s="326"/>
      <c r="U64" s="326">
        <f t="shared" si="77"/>
        <v>0</v>
      </c>
      <c r="V64" s="332">
        <v>1800000</v>
      </c>
      <c r="W64" s="140">
        <f t="shared" si="15"/>
        <v>0</v>
      </c>
      <c r="X64" s="326" t="str">
        <f t="shared" si="78"/>
        <v>0</v>
      </c>
      <c r="Y64" s="333" t="str">
        <f t="shared" si="79"/>
        <v>0</v>
      </c>
      <c r="Z64" s="123"/>
      <c r="AA64" s="326"/>
      <c r="AB64" s="1257">
        <f t="shared" si="80"/>
        <v>5400000</v>
      </c>
      <c r="AC64" s="140" t="str">
        <f t="shared" si="92"/>
        <v>0</v>
      </c>
      <c r="AD64" s="326">
        <f t="shared" ref="AD64:AF64" si="117">SUM(W64,P64,I64)</f>
        <v>0</v>
      </c>
      <c r="AE64" s="326">
        <f t="shared" si="117"/>
        <v>0</v>
      </c>
      <c r="AF64" s="326">
        <f t="shared" si="117"/>
        <v>0</v>
      </c>
      <c r="AG64" s="326">
        <f t="shared" si="21"/>
        <v>0</v>
      </c>
      <c r="AH64" s="98" t="str">
        <f t="shared" si="37"/>
        <v/>
      </c>
      <c r="AI64" s="125">
        <f t="shared" si="82"/>
        <v>0</v>
      </c>
      <c r="AJ64" s="140">
        <f t="shared" si="24"/>
        <v>0</v>
      </c>
      <c r="AK64" s="123" t="str">
        <f t="shared" si="83"/>
        <v>0</v>
      </c>
      <c r="AL64" s="148" t="str">
        <f t="shared" si="84"/>
        <v>0</v>
      </c>
      <c r="AM64" s="125">
        <f t="shared" si="85"/>
        <v>0</v>
      </c>
      <c r="AN64" s="140">
        <f t="shared" si="28"/>
        <v>0</v>
      </c>
      <c r="AO64" s="326"/>
      <c r="AP64" s="333"/>
      <c r="AQ64" s="296" t="str">
        <f t="shared" si="86"/>
        <v/>
      </c>
    </row>
    <row r="65" spans="1:43" ht="13">
      <c r="A65" s="463">
        <f t="shared" si="66"/>
        <v>112014342</v>
      </c>
      <c r="B65" s="324">
        <f t="shared" si="67"/>
        <v>22</v>
      </c>
      <c r="C65" s="558">
        <f t="shared" si="68"/>
        <v>0.1</v>
      </c>
      <c r="D65" s="558">
        <f t="shared" si="69"/>
        <v>0.09</v>
      </c>
      <c r="E65" s="558">
        <f t="shared" si="70"/>
        <v>0</v>
      </c>
      <c r="F65" s="325" t="s">
        <v>1446</v>
      </c>
      <c r="G65" s="326">
        <f t="shared" si="71"/>
        <v>335492.55</v>
      </c>
      <c r="H65" s="1372">
        <v>1800000</v>
      </c>
      <c r="I65" s="113">
        <f t="shared" si="6"/>
        <v>0</v>
      </c>
      <c r="J65" s="116" t="str">
        <f t="shared" si="72"/>
        <v>0</v>
      </c>
      <c r="K65" s="117" t="str">
        <f t="shared" si="73"/>
        <v>0</v>
      </c>
      <c r="L65" s="123"/>
      <c r="M65" s="326"/>
      <c r="N65" s="326">
        <f t="shared" si="74"/>
        <v>0</v>
      </c>
      <c r="O65" s="332">
        <v>1800000</v>
      </c>
      <c r="P65" s="140">
        <f t="shared" si="11"/>
        <v>0</v>
      </c>
      <c r="Q65" s="326" t="str">
        <f t="shared" si="75"/>
        <v>0</v>
      </c>
      <c r="R65" s="333" t="str">
        <f t="shared" si="76"/>
        <v>0</v>
      </c>
      <c r="S65" s="123"/>
      <c r="T65" s="326"/>
      <c r="U65" s="326">
        <f t="shared" si="77"/>
        <v>155553.70000000001</v>
      </c>
      <c r="V65" s="332">
        <v>1800000</v>
      </c>
      <c r="W65" s="140">
        <f t="shared" si="15"/>
        <v>0</v>
      </c>
      <c r="X65" s="326" t="str">
        <f t="shared" si="78"/>
        <v>0</v>
      </c>
      <c r="Y65" s="333" t="str">
        <f t="shared" si="79"/>
        <v>0</v>
      </c>
      <c r="Z65" s="123"/>
      <c r="AA65" s="326"/>
      <c r="AB65" s="1257">
        <f t="shared" si="80"/>
        <v>5400000</v>
      </c>
      <c r="AC65" s="140" t="str">
        <f t="shared" si="92"/>
        <v>0</v>
      </c>
      <c r="AD65" s="326">
        <f t="shared" ref="AD65:AF65" si="118">SUM(W65,P65,I65)</f>
        <v>0</v>
      </c>
      <c r="AE65" s="326">
        <f t="shared" si="118"/>
        <v>0</v>
      </c>
      <c r="AF65" s="326">
        <f t="shared" si="118"/>
        <v>0</v>
      </c>
      <c r="AG65" s="326">
        <f t="shared" si="21"/>
        <v>0</v>
      </c>
      <c r="AH65" s="98" t="str">
        <f t="shared" si="37"/>
        <v/>
      </c>
      <c r="AI65" s="125">
        <f t="shared" si="82"/>
        <v>0</v>
      </c>
      <c r="AJ65" s="140">
        <f t="shared" si="24"/>
        <v>0</v>
      </c>
      <c r="AK65" s="123" t="str">
        <f t="shared" si="83"/>
        <v>0</v>
      </c>
      <c r="AL65" s="148" t="str">
        <f t="shared" si="84"/>
        <v>0</v>
      </c>
      <c r="AM65" s="125">
        <f t="shared" si="85"/>
        <v>1500376.51</v>
      </c>
      <c r="AN65" s="140">
        <f t="shared" si="28"/>
        <v>0</v>
      </c>
      <c r="AO65" s="326"/>
      <c r="AP65" s="333"/>
      <c r="AQ65" s="296" t="str">
        <f t="shared" si="86"/>
        <v/>
      </c>
    </row>
    <row r="66" spans="1:43" ht="13">
      <c r="A66" s="463">
        <f t="shared" ref="A66:A97" si="119">VLOOKUP(F66,ROTELACARTERA,3,FALSE)</f>
        <v>112014357</v>
      </c>
      <c r="B66" s="324">
        <f t="shared" ref="B66:B97" si="120">VLOOKUP(F66,ROTELACARTERA,2,FALSE)</f>
        <v>22</v>
      </c>
      <c r="C66" s="558">
        <f t="shared" ref="C66:C97" si="121">IFERROR(VLOOKUP(B66,DES,2,FALSE),"")</f>
        <v>0.1</v>
      </c>
      <c r="D66" s="558">
        <f t="shared" ref="D66:D97" si="122">IFERROR(VLOOKUP(B66,DES,3,FALSE),"")</f>
        <v>0.09</v>
      </c>
      <c r="E66" s="558">
        <f t="shared" ref="E66:E97" si="123">IFERROR(VLOOKUP(B66,DES,4,FALSE),"")</f>
        <v>0</v>
      </c>
      <c r="F66" s="325" t="s">
        <v>1322</v>
      </c>
      <c r="G66" s="326">
        <f t="shared" ref="G66:G97" si="124">IFERROR(VLOOKUP(F66,tmkpechhhh24,3,FALSE),"")</f>
        <v>426597.09</v>
      </c>
      <c r="H66" s="1372">
        <v>1800000</v>
      </c>
      <c r="I66" s="113">
        <f t="shared" si="6"/>
        <v>924794.59</v>
      </c>
      <c r="J66" s="116">
        <f t="shared" ref="J66:J97" si="125">IFERROR(VLOOKUP(F66,ROTELALIM,3,FALSE),"0")</f>
        <v>0</v>
      </c>
      <c r="K66" s="117">
        <f t="shared" ref="K66:K97" si="126">IFERROR(VLOOKUP(F66,ROTEFC,3,FALSE),"0")</f>
        <v>924794.59</v>
      </c>
      <c r="L66" s="123"/>
      <c r="M66" s="326"/>
      <c r="N66" s="326">
        <f t="shared" ref="N66:N94" si="127">IFERROR(VLOOKUP(F66,tmkpechhhh24,4,FALSE),"")</f>
        <v>740662.06</v>
      </c>
      <c r="O66" s="332">
        <v>1800000</v>
      </c>
      <c r="P66" s="140">
        <f t="shared" si="11"/>
        <v>106620.33</v>
      </c>
      <c r="Q66" s="326">
        <f t="shared" ref="Q66:Q97" si="128">IFERROR(VLOOKUP(F66,ROTELALIM,4,FALSE),"0")</f>
        <v>40958.639999999999</v>
      </c>
      <c r="R66" s="333">
        <f t="shared" ref="R66:R97" si="129">IFERROR(VLOOKUP(F66,ROTEFC,4,FALSE),"0")</f>
        <v>147578.97</v>
      </c>
      <c r="S66" s="123"/>
      <c r="T66" s="326"/>
      <c r="U66" s="326">
        <f t="shared" ref="U66:U94" si="130">IFERROR(VLOOKUP(F66,tmkpechhhh24,5,FALSE),"")</f>
        <v>-20639.12</v>
      </c>
      <c r="V66" s="332">
        <v>1800000</v>
      </c>
      <c r="W66" s="140">
        <f t="shared" si="15"/>
        <v>0</v>
      </c>
      <c r="X66" s="326">
        <f t="shared" ref="X66:X97" si="131">IFERROR(VLOOKUP(F66,ROTELALIM,5,FALSE),"0")</f>
        <v>0</v>
      </c>
      <c r="Y66" s="333">
        <f t="shared" ref="Y66:Y97" si="132">IFERROR(VLOOKUP(F66,ROTEFC,5,FALSE),"0")</f>
        <v>0</v>
      </c>
      <c r="Z66" s="123"/>
      <c r="AA66" s="326"/>
      <c r="AB66" s="1257">
        <f t="shared" si="80"/>
        <v>5400000</v>
      </c>
      <c r="AC66" s="140">
        <f t="shared" si="92"/>
        <v>1383415.5</v>
      </c>
      <c r="AD66" s="326">
        <f t="shared" ref="AD66:AF66" si="133">SUM(W66,P66,I66)</f>
        <v>1031414.9199999999</v>
      </c>
      <c r="AE66" s="326">
        <f t="shared" si="133"/>
        <v>40958.639999999999</v>
      </c>
      <c r="AF66" s="326">
        <f t="shared" si="133"/>
        <v>1072373.56</v>
      </c>
      <c r="AG66" s="326">
        <f t="shared" si="21"/>
        <v>-311041.93999999994</v>
      </c>
      <c r="AH66" s="98">
        <f t="shared" si="37"/>
        <v>0.77516375955018579</v>
      </c>
      <c r="AI66" s="125">
        <f t="shared" ref="AI66:AI85" si="134">IFERROR(VLOOKUP(F66,tmkpechhhh24,6,FALSE),"")</f>
        <v>1267697.3999999999</v>
      </c>
      <c r="AJ66" s="140">
        <f t="shared" si="24"/>
        <v>0</v>
      </c>
      <c r="AK66" s="123">
        <f t="shared" ref="AK66:AK97" si="135">IFERROR(VLOOKUP(F66,ROTELALIM,6,FALSE),"0")</f>
        <v>0</v>
      </c>
      <c r="AL66" s="148">
        <f t="shared" ref="AL66:AL97" si="136">IFERROR(VLOOKUP(F66,ROTEFC,6,FALSE),"0")</f>
        <v>0</v>
      </c>
      <c r="AM66" s="125">
        <f t="shared" ref="AM66:AM85" si="137">IFERROR(VLOOKUP(F66,tmkpechhhh24,7,FALSE),"")</f>
        <v>0</v>
      </c>
      <c r="AN66" s="140">
        <f t="shared" si="28"/>
        <v>0</v>
      </c>
      <c r="AO66" s="326"/>
      <c r="AP66" s="333"/>
      <c r="AQ66" s="296" t="str">
        <f t="shared" ref="AQ66:AQ97" si="138">IFERROR(VLOOKUP(F66,tmkpechhhh24,,FALSE),"")</f>
        <v/>
      </c>
    </row>
    <row r="67" spans="1:43" ht="13">
      <c r="A67" s="463">
        <f t="shared" si="119"/>
        <v>112013388</v>
      </c>
      <c r="B67" s="324">
        <f t="shared" si="120"/>
        <v>22</v>
      </c>
      <c r="C67" s="558">
        <f t="shared" si="121"/>
        <v>0.1</v>
      </c>
      <c r="D67" s="558">
        <f t="shared" si="122"/>
        <v>0.09</v>
      </c>
      <c r="E67" s="558">
        <f t="shared" si="123"/>
        <v>0</v>
      </c>
      <c r="F67" s="325" t="s">
        <v>1473</v>
      </c>
      <c r="G67" s="326">
        <f t="shared" si="124"/>
        <v>0</v>
      </c>
      <c r="H67" s="1372">
        <v>1800000</v>
      </c>
      <c r="I67" s="113">
        <f t="shared" si="6"/>
        <v>405748.43</v>
      </c>
      <c r="J67" s="116" t="str">
        <f t="shared" si="125"/>
        <v>0</v>
      </c>
      <c r="K67" s="117">
        <f t="shared" si="126"/>
        <v>405748.43</v>
      </c>
      <c r="L67" s="123"/>
      <c r="M67" s="326"/>
      <c r="N67" s="326">
        <f t="shared" si="127"/>
        <v>206478</v>
      </c>
      <c r="O67" s="332">
        <v>1800000</v>
      </c>
      <c r="P67" s="140">
        <f t="shared" si="11"/>
        <v>290778</v>
      </c>
      <c r="Q67" s="326" t="str">
        <f t="shared" si="128"/>
        <v>0</v>
      </c>
      <c r="R67" s="333">
        <f t="shared" si="129"/>
        <v>290778</v>
      </c>
      <c r="S67" s="123"/>
      <c r="T67" s="326"/>
      <c r="U67" s="326">
        <f t="shared" si="130"/>
        <v>334075.28999999998</v>
      </c>
      <c r="V67" s="332">
        <v>1800000</v>
      </c>
      <c r="W67" s="140">
        <f t="shared" si="15"/>
        <v>0</v>
      </c>
      <c r="X67" s="326" t="str">
        <f t="shared" si="131"/>
        <v>0</v>
      </c>
      <c r="Y67" s="333">
        <f t="shared" si="132"/>
        <v>0</v>
      </c>
      <c r="Z67" s="123"/>
      <c r="AA67" s="326"/>
      <c r="AB67" s="1257">
        <f t="shared" si="80"/>
        <v>5400000</v>
      </c>
      <c r="AC67" s="140">
        <f t="shared" si="92"/>
        <v>615630.43000000005</v>
      </c>
      <c r="AD67" s="326">
        <f t="shared" ref="AD67:AF67" si="139">SUM(W67,P67,I67)</f>
        <v>696526.42999999993</v>
      </c>
      <c r="AE67" s="326">
        <f t="shared" si="139"/>
        <v>0</v>
      </c>
      <c r="AF67" s="326">
        <f t="shared" si="139"/>
        <v>696526.42999999993</v>
      </c>
      <c r="AG67" s="326">
        <f t="shared" si="21"/>
        <v>80895.999999999884</v>
      </c>
      <c r="AH67" s="98">
        <f t="shared" si="37"/>
        <v>1.1314035110317726</v>
      </c>
      <c r="AI67" s="125">
        <f t="shared" si="134"/>
        <v>198961.75</v>
      </c>
      <c r="AJ67" s="140">
        <f t="shared" si="24"/>
        <v>0</v>
      </c>
      <c r="AK67" s="123" t="str">
        <f t="shared" si="135"/>
        <v>0</v>
      </c>
      <c r="AL67" s="148">
        <f t="shared" si="136"/>
        <v>0</v>
      </c>
      <c r="AM67" s="125">
        <f t="shared" si="137"/>
        <v>421966.48</v>
      </c>
      <c r="AN67" s="140">
        <f t="shared" si="28"/>
        <v>158848.85999999999</v>
      </c>
      <c r="AO67" s="326"/>
      <c r="AP67" s="333">
        <v>158848.85999999999</v>
      </c>
      <c r="AQ67" s="296" t="str">
        <f t="shared" si="138"/>
        <v/>
      </c>
    </row>
    <row r="68" spans="1:43" ht="13">
      <c r="A68" s="463">
        <f t="shared" si="119"/>
        <v>112013486</v>
      </c>
      <c r="B68" s="324">
        <f t="shared" si="120"/>
        <v>22</v>
      </c>
      <c r="C68" s="558">
        <f t="shared" si="121"/>
        <v>0.1</v>
      </c>
      <c r="D68" s="558">
        <f t="shared" si="122"/>
        <v>0.09</v>
      </c>
      <c r="E68" s="558">
        <f t="shared" si="123"/>
        <v>0</v>
      </c>
      <c r="F68" s="325" t="s">
        <v>1314</v>
      </c>
      <c r="G68" s="326">
        <f t="shared" si="124"/>
        <v>248026.07</v>
      </c>
      <c r="H68" s="1372">
        <v>1800000</v>
      </c>
      <c r="I68" s="113">
        <f t="shared" si="6"/>
        <v>786872.24</v>
      </c>
      <c r="J68" s="116" t="str">
        <f t="shared" si="125"/>
        <v>0</v>
      </c>
      <c r="K68" s="117">
        <f t="shared" si="126"/>
        <v>786872.24</v>
      </c>
      <c r="L68" s="123"/>
      <c r="M68" s="326"/>
      <c r="N68" s="326">
        <f t="shared" si="127"/>
        <v>117254.54</v>
      </c>
      <c r="O68" s="332">
        <f>(N68*1.7245)*1.05</f>
        <v>212315.72694149998</v>
      </c>
      <c r="P68" s="140">
        <f t="shared" si="11"/>
        <v>449229.85</v>
      </c>
      <c r="Q68" s="326" t="str">
        <f t="shared" si="128"/>
        <v>0</v>
      </c>
      <c r="R68" s="333">
        <f t="shared" si="129"/>
        <v>449229.85</v>
      </c>
      <c r="S68" s="123"/>
      <c r="T68" s="326"/>
      <c r="U68" s="326">
        <f t="shared" si="130"/>
        <v>685981.06</v>
      </c>
      <c r="V68" s="332">
        <v>1800000</v>
      </c>
      <c r="W68" s="140">
        <f t="shared" si="15"/>
        <v>294458.67</v>
      </c>
      <c r="X68" s="326" t="str">
        <f t="shared" si="131"/>
        <v>0</v>
      </c>
      <c r="Y68" s="333">
        <f t="shared" si="132"/>
        <v>294458.67</v>
      </c>
      <c r="Z68" s="123"/>
      <c r="AA68" s="326"/>
      <c r="AB68" s="1257">
        <f t="shared" si="80"/>
        <v>3812315.7269414999</v>
      </c>
      <c r="AC68" s="140">
        <f t="shared" si="92"/>
        <v>1154065.28</v>
      </c>
      <c r="AD68" s="326">
        <f t="shared" ref="AD68:AF68" si="140">SUM(W68,P68,I68)</f>
        <v>1530560.76</v>
      </c>
      <c r="AE68" s="326">
        <f t="shared" si="140"/>
        <v>0</v>
      </c>
      <c r="AF68" s="326">
        <f t="shared" si="140"/>
        <v>1530560.76</v>
      </c>
      <c r="AG68" s="326">
        <f t="shared" si="21"/>
        <v>376495.48</v>
      </c>
      <c r="AH68" s="98">
        <f t="shared" si="37"/>
        <v>1.3262341277609531</v>
      </c>
      <c r="AI68" s="125">
        <f t="shared" si="134"/>
        <v>0</v>
      </c>
      <c r="AJ68" s="140">
        <f t="shared" si="24"/>
        <v>483596.36</v>
      </c>
      <c r="AK68" s="123" t="str">
        <f t="shared" si="135"/>
        <v>0</v>
      </c>
      <c r="AL68" s="148">
        <f t="shared" si="136"/>
        <v>483596.36</v>
      </c>
      <c r="AM68" s="125">
        <f t="shared" si="137"/>
        <v>530985.67000000004</v>
      </c>
      <c r="AN68" s="140">
        <f t="shared" si="28"/>
        <v>421612.96</v>
      </c>
      <c r="AO68" s="326"/>
      <c r="AP68" s="333">
        <v>421612.96</v>
      </c>
      <c r="AQ68" s="296" t="str">
        <f t="shared" si="138"/>
        <v/>
      </c>
    </row>
    <row r="69" spans="1:43" ht="13">
      <c r="A69" s="463">
        <f t="shared" si="119"/>
        <v>112013605</v>
      </c>
      <c r="B69" s="324">
        <f t="shared" si="120"/>
        <v>22</v>
      </c>
      <c r="C69" s="558">
        <f t="shared" si="121"/>
        <v>0.1</v>
      </c>
      <c r="D69" s="558">
        <f t="shared" si="122"/>
        <v>0.09</v>
      </c>
      <c r="E69" s="558">
        <f t="shared" si="123"/>
        <v>0</v>
      </c>
      <c r="F69" s="325" t="s">
        <v>1318</v>
      </c>
      <c r="G69" s="326">
        <f t="shared" si="124"/>
        <v>0</v>
      </c>
      <c r="H69" s="121">
        <v>2500000</v>
      </c>
      <c r="I69" s="113">
        <f t="shared" si="6"/>
        <v>130272.51</v>
      </c>
      <c r="J69" s="116" t="str">
        <f t="shared" si="125"/>
        <v>0</v>
      </c>
      <c r="K69" s="117">
        <f t="shared" si="126"/>
        <v>130272.51</v>
      </c>
      <c r="L69" s="123"/>
      <c r="M69" s="326"/>
      <c r="N69" s="326">
        <f t="shared" si="127"/>
        <v>0</v>
      </c>
      <c r="O69" s="332">
        <v>1800000</v>
      </c>
      <c r="P69" s="140">
        <f t="shared" si="11"/>
        <v>0</v>
      </c>
      <c r="Q69" s="326" t="str">
        <f t="shared" si="128"/>
        <v>0</v>
      </c>
      <c r="R69" s="333">
        <f t="shared" si="129"/>
        <v>0</v>
      </c>
      <c r="S69" s="123"/>
      <c r="T69" s="326"/>
      <c r="U69" s="326">
        <f t="shared" si="130"/>
        <v>0</v>
      </c>
      <c r="V69" s="332">
        <v>1800000</v>
      </c>
      <c r="W69" s="140">
        <f t="shared" si="15"/>
        <v>0</v>
      </c>
      <c r="X69" s="326" t="str">
        <f t="shared" si="131"/>
        <v>0</v>
      </c>
      <c r="Y69" s="333">
        <f t="shared" si="132"/>
        <v>0</v>
      </c>
      <c r="Z69" s="123"/>
      <c r="AA69" s="326"/>
      <c r="AB69" s="1257">
        <f t="shared" si="80"/>
        <v>6100000</v>
      </c>
      <c r="AC69" s="140" t="str">
        <f t="shared" si="92"/>
        <v>0</v>
      </c>
      <c r="AD69" s="326">
        <f t="shared" ref="AD69:AF69" si="141">SUM(W69,P69,I69)</f>
        <v>130272.51</v>
      </c>
      <c r="AE69" s="326">
        <f t="shared" si="141"/>
        <v>0</v>
      </c>
      <c r="AF69" s="326">
        <f t="shared" si="141"/>
        <v>130272.51</v>
      </c>
      <c r="AG69" s="326">
        <f t="shared" si="21"/>
        <v>130272.51</v>
      </c>
      <c r="AH69" s="98" t="str">
        <f t="shared" si="37"/>
        <v/>
      </c>
      <c r="AI69" s="125">
        <f t="shared" si="134"/>
        <v>0</v>
      </c>
      <c r="AJ69" s="140">
        <f t="shared" si="24"/>
        <v>0</v>
      </c>
      <c r="AK69" s="123" t="str">
        <f t="shared" si="135"/>
        <v>0</v>
      </c>
      <c r="AL69" s="148">
        <f t="shared" si="136"/>
        <v>0</v>
      </c>
      <c r="AM69" s="125">
        <f t="shared" si="137"/>
        <v>392650.84</v>
      </c>
      <c r="AN69" s="140">
        <f t="shared" si="28"/>
        <v>203863.86</v>
      </c>
      <c r="AO69" s="326"/>
      <c r="AP69" s="333">
        <v>203863.86</v>
      </c>
      <c r="AQ69" s="296" t="str">
        <f t="shared" si="138"/>
        <v/>
      </c>
    </row>
    <row r="70" spans="1:43" ht="13">
      <c r="A70" s="463">
        <f t="shared" si="119"/>
        <v>112013858</v>
      </c>
      <c r="B70" s="324">
        <f t="shared" si="120"/>
        <v>22</v>
      </c>
      <c r="C70" s="558">
        <f t="shared" si="121"/>
        <v>0.1</v>
      </c>
      <c r="D70" s="558">
        <f t="shared" si="122"/>
        <v>0.09</v>
      </c>
      <c r="E70" s="558">
        <f t="shared" si="123"/>
        <v>0</v>
      </c>
      <c r="F70" s="325" t="s">
        <v>1533</v>
      </c>
      <c r="G70" s="326">
        <f t="shared" si="124"/>
        <v>415443.88</v>
      </c>
      <c r="H70" s="1372">
        <v>1800000</v>
      </c>
      <c r="I70" s="113">
        <f t="shared" si="6"/>
        <v>0</v>
      </c>
      <c r="J70" s="116" t="str">
        <f t="shared" si="125"/>
        <v>0</v>
      </c>
      <c r="K70" s="117" t="str">
        <f t="shared" si="126"/>
        <v>0</v>
      </c>
      <c r="L70" s="123"/>
      <c r="M70" s="326"/>
      <c r="N70" s="326">
        <f t="shared" si="127"/>
        <v>0</v>
      </c>
      <c r="O70" s="332">
        <v>1800000</v>
      </c>
      <c r="P70" s="140">
        <f t="shared" si="11"/>
        <v>0</v>
      </c>
      <c r="Q70" s="326" t="str">
        <f t="shared" si="128"/>
        <v>0</v>
      </c>
      <c r="R70" s="333" t="str">
        <f t="shared" si="129"/>
        <v>0</v>
      </c>
      <c r="S70" s="123"/>
      <c r="T70" s="326"/>
      <c r="U70" s="326">
        <f t="shared" si="130"/>
        <v>0</v>
      </c>
      <c r="V70" s="332">
        <v>1800000</v>
      </c>
      <c r="W70" s="140">
        <f t="shared" si="15"/>
        <v>0</v>
      </c>
      <c r="X70" s="326" t="str">
        <f t="shared" si="131"/>
        <v>0</v>
      </c>
      <c r="Y70" s="333" t="str">
        <f t="shared" si="132"/>
        <v>0</v>
      </c>
      <c r="Z70" s="123"/>
      <c r="AA70" s="326"/>
      <c r="AB70" s="1257">
        <f t="shared" si="80"/>
        <v>5400000</v>
      </c>
      <c r="AC70" s="140" t="str">
        <f t="shared" si="92"/>
        <v>0</v>
      </c>
      <c r="AD70" s="326">
        <f t="shared" ref="AD70:AF70" si="142">SUM(W70,P70,I70)</f>
        <v>0</v>
      </c>
      <c r="AE70" s="326">
        <f t="shared" si="142"/>
        <v>0</v>
      </c>
      <c r="AF70" s="326">
        <f t="shared" si="142"/>
        <v>0</v>
      </c>
      <c r="AG70" s="326">
        <f t="shared" si="21"/>
        <v>0</v>
      </c>
      <c r="AH70" s="98" t="str">
        <f t="shared" si="37"/>
        <v/>
      </c>
      <c r="AI70" s="125">
        <f t="shared" si="134"/>
        <v>0</v>
      </c>
      <c r="AJ70" s="140">
        <f t="shared" si="24"/>
        <v>0</v>
      </c>
      <c r="AK70" s="123" t="str">
        <f t="shared" si="135"/>
        <v>0</v>
      </c>
      <c r="AL70" s="148" t="str">
        <f t="shared" si="136"/>
        <v>0</v>
      </c>
      <c r="AM70" s="125">
        <f t="shared" si="137"/>
        <v>0</v>
      </c>
      <c r="AN70" s="140">
        <f t="shared" si="28"/>
        <v>0</v>
      </c>
      <c r="AO70" s="326"/>
      <c r="AP70" s="333"/>
      <c r="AQ70" s="296" t="str">
        <f t="shared" si="138"/>
        <v/>
      </c>
    </row>
    <row r="71" spans="1:43" ht="13">
      <c r="A71" s="463">
        <f t="shared" si="119"/>
        <v>112014470</v>
      </c>
      <c r="B71" s="324">
        <f t="shared" si="120"/>
        <v>22</v>
      </c>
      <c r="C71" s="558">
        <f t="shared" si="121"/>
        <v>0.1</v>
      </c>
      <c r="D71" s="558">
        <f t="shared" si="122"/>
        <v>0.09</v>
      </c>
      <c r="E71" s="558">
        <f t="shared" si="123"/>
        <v>0</v>
      </c>
      <c r="F71" s="325" t="s">
        <v>1448</v>
      </c>
      <c r="G71" s="326">
        <f t="shared" si="124"/>
        <v>0</v>
      </c>
      <c r="H71" s="1372">
        <v>1800000</v>
      </c>
      <c r="I71" s="113">
        <f t="shared" si="6"/>
        <v>47781</v>
      </c>
      <c r="J71" s="116" t="str">
        <f t="shared" si="125"/>
        <v>0</v>
      </c>
      <c r="K71" s="117">
        <f t="shared" si="126"/>
        <v>47781</v>
      </c>
      <c r="L71" s="123"/>
      <c r="M71" s="326"/>
      <c r="N71" s="326">
        <f t="shared" si="127"/>
        <v>62801.36</v>
      </c>
      <c r="O71" s="332">
        <v>1800000</v>
      </c>
      <c r="P71" s="140">
        <f t="shared" si="11"/>
        <v>64526.41</v>
      </c>
      <c r="Q71" s="326" t="str">
        <f t="shared" si="128"/>
        <v>0</v>
      </c>
      <c r="R71" s="333">
        <f t="shared" si="129"/>
        <v>64526.41</v>
      </c>
      <c r="S71" s="123"/>
      <c r="T71" s="326"/>
      <c r="U71" s="326">
        <f t="shared" si="130"/>
        <v>7238.43</v>
      </c>
      <c r="V71" s="332">
        <v>1800000</v>
      </c>
      <c r="W71" s="140">
        <f t="shared" si="15"/>
        <v>101915.28</v>
      </c>
      <c r="X71" s="326" t="str">
        <f t="shared" si="131"/>
        <v>0</v>
      </c>
      <c r="Y71" s="333">
        <f t="shared" si="132"/>
        <v>101915.28</v>
      </c>
      <c r="Z71" s="123"/>
      <c r="AA71" s="326"/>
      <c r="AB71" s="1257">
        <f t="shared" si="80"/>
        <v>5400000</v>
      </c>
      <c r="AC71" s="140">
        <f t="shared" si="92"/>
        <v>258181.71</v>
      </c>
      <c r="AD71" s="326">
        <f t="shared" ref="AD71:AF71" si="143">SUM(W71,P71,I71)</f>
        <v>214222.69</v>
      </c>
      <c r="AE71" s="326">
        <f t="shared" si="143"/>
        <v>0</v>
      </c>
      <c r="AF71" s="326">
        <f t="shared" si="143"/>
        <v>214222.69</v>
      </c>
      <c r="AG71" s="326">
        <f t="shared" si="21"/>
        <v>-43959.01999999999</v>
      </c>
      <c r="AH71" s="98">
        <f t="shared" si="37"/>
        <v>0.82973611879788078</v>
      </c>
      <c r="AI71" s="125">
        <f t="shared" si="134"/>
        <v>173735.44</v>
      </c>
      <c r="AJ71" s="140">
        <f t="shared" si="24"/>
        <v>0</v>
      </c>
      <c r="AK71" s="123" t="str">
        <f t="shared" si="135"/>
        <v>0</v>
      </c>
      <c r="AL71" s="148">
        <f t="shared" si="136"/>
        <v>0</v>
      </c>
      <c r="AM71" s="125">
        <f t="shared" si="137"/>
        <v>0</v>
      </c>
      <c r="AN71" s="140">
        <f t="shared" si="28"/>
        <v>114782.28</v>
      </c>
      <c r="AO71" s="326"/>
      <c r="AP71" s="333">
        <v>114782.28</v>
      </c>
      <c r="AQ71" s="296" t="str">
        <f t="shared" si="138"/>
        <v/>
      </c>
    </row>
    <row r="72" spans="1:43" ht="13">
      <c r="A72" s="463">
        <f t="shared" si="119"/>
        <v>112012277</v>
      </c>
      <c r="B72" s="324">
        <f t="shared" si="120"/>
        <v>22</v>
      </c>
      <c r="C72" s="558">
        <f t="shared" si="121"/>
        <v>0.1</v>
      </c>
      <c r="D72" s="558">
        <f t="shared" si="122"/>
        <v>0.09</v>
      </c>
      <c r="E72" s="558">
        <f t="shared" si="123"/>
        <v>0</v>
      </c>
      <c r="F72" s="325" t="s">
        <v>1324</v>
      </c>
      <c r="G72" s="326">
        <f t="shared" si="124"/>
        <v>293131.62</v>
      </c>
      <c r="H72" s="1372">
        <v>1800000</v>
      </c>
      <c r="I72" s="113">
        <f t="shared" si="6"/>
        <v>0</v>
      </c>
      <c r="J72" s="116" t="str">
        <f t="shared" si="125"/>
        <v>0</v>
      </c>
      <c r="K72" s="117" t="str">
        <f t="shared" si="126"/>
        <v>0</v>
      </c>
      <c r="L72" s="123"/>
      <c r="M72" s="326"/>
      <c r="N72" s="326">
        <f t="shared" si="127"/>
        <v>0</v>
      </c>
      <c r="O72" s="332">
        <v>1800000</v>
      </c>
      <c r="P72" s="140">
        <f t="shared" si="11"/>
        <v>0</v>
      </c>
      <c r="Q72" s="326" t="str">
        <f t="shared" si="128"/>
        <v>0</v>
      </c>
      <c r="R72" s="333" t="str">
        <f t="shared" si="129"/>
        <v>0</v>
      </c>
      <c r="S72" s="123"/>
      <c r="T72" s="326"/>
      <c r="U72" s="326">
        <f t="shared" si="130"/>
        <v>0</v>
      </c>
      <c r="V72" s="332">
        <v>1800000</v>
      </c>
      <c r="W72" s="140">
        <f t="shared" si="15"/>
        <v>0</v>
      </c>
      <c r="X72" s="326" t="str">
        <f t="shared" si="131"/>
        <v>0</v>
      </c>
      <c r="Y72" s="333" t="str">
        <f t="shared" si="132"/>
        <v>0</v>
      </c>
      <c r="Z72" s="123"/>
      <c r="AA72" s="326"/>
      <c r="AB72" s="1257">
        <f t="shared" si="80"/>
        <v>5400000</v>
      </c>
      <c r="AC72" s="140">
        <f t="shared" ref="AC72:AC103" si="144">IFERROR(VLOOKUP(F72,trim2024,2,FALSE),"0")</f>
        <v>417500</v>
      </c>
      <c r="AD72" s="326">
        <f t="shared" ref="AD72:AF72" si="145">SUM(W72,P72,I72)</f>
        <v>0</v>
      </c>
      <c r="AE72" s="326">
        <f t="shared" si="145"/>
        <v>0</v>
      </c>
      <c r="AF72" s="326">
        <f t="shared" si="145"/>
        <v>0</v>
      </c>
      <c r="AG72" s="326">
        <f t="shared" si="21"/>
        <v>-417500</v>
      </c>
      <c r="AH72" s="98">
        <f t="shared" si="37"/>
        <v>0</v>
      </c>
      <c r="AI72" s="125">
        <f t="shared" si="134"/>
        <v>0</v>
      </c>
      <c r="AJ72" s="140">
        <f t="shared" si="24"/>
        <v>0</v>
      </c>
      <c r="AK72" s="123" t="str">
        <f t="shared" si="135"/>
        <v>0</v>
      </c>
      <c r="AL72" s="148" t="str">
        <f t="shared" si="136"/>
        <v>0</v>
      </c>
      <c r="AM72" s="125">
        <f t="shared" si="137"/>
        <v>0</v>
      </c>
      <c r="AN72" s="140">
        <f t="shared" si="28"/>
        <v>0</v>
      </c>
      <c r="AO72" s="326"/>
      <c r="AP72" s="333"/>
      <c r="AQ72" s="296" t="str">
        <f t="shared" si="138"/>
        <v/>
      </c>
    </row>
    <row r="73" spans="1:43" ht="13">
      <c r="A73" s="463">
        <f t="shared" si="119"/>
        <v>112013773</v>
      </c>
      <c r="B73" s="324">
        <f t="shared" si="120"/>
        <v>22</v>
      </c>
      <c r="C73" s="558">
        <f t="shared" si="121"/>
        <v>0.1</v>
      </c>
      <c r="D73" s="558">
        <f t="shared" si="122"/>
        <v>0.09</v>
      </c>
      <c r="E73" s="558">
        <f t="shared" si="123"/>
        <v>0</v>
      </c>
      <c r="F73" s="325" t="s">
        <v>1433</v>
      </c>
      <c r="G73" s="326">
        <f t="shared" si="124"/>
        <v>0</v>
      </c>
      <c r="H73" s="1372">
        <v>1800000</v>
      </c>
      <c r="I73" s="113">
        <f t="shared" si="6"/>
        <v>0</v>
      </c>
      <c r="J73" s="116" t="str">
        <f t="shared" si="125"/>
        <v>0</v>
      </c>
      <c r="K73" s="117" t="str">
        <f t="shared" si="126"/>
        <v>0</v>
      </c>
      <c r="L73" s="123"/>
      <c r="M73" s="326"/>
      <c r="N73" s="326">
        <f t="shared" si="127"/>
        <v>0</v>
      </c>
      <c r="O73" s="332">
        <v>1800000</v>
      </c>
      <c r="P73" s="140">
        <f t="shared" si="11"/>
        <v>0</v>
      </c>
      <c r="Q73" s="326" t="str">
        <f t="shared" si="128"/>
        <v>0</v>
      </c>
      <c r="R73" s="333" t="str">
        <f t="shared" si="129"/>
        <v>0</v>
      </c>
      <c r="S73" s="123"/>
      <c r="T73" s="326"/>
      <c r="U73" s="326">
        <f t="shared" si="130"/>
        <v>0</v>
      </c>
      <c r="V73" s="332">
        <v>1800000</v>
      </c>
      <c r="W73" s="140">
        <f t="shared" si="15"/>
        <v>0</v>
      </c>
      <c r="X73" s="326" t="str">
        <f t="shared" si="131"/>
        <v>0</v>
      </c>
      <c r="Y73" s="333" t="str">
        <f t="shared" si="132"/>
        <v>0</v>
      </c>
      <c r="Z73" s="123"/>
      <c r="AA73" s="326"/>
      <c r="AB73" s="1257">
        <f t="shared" si="80"/>
        <v>5400000</v>
      </c>
      <c r="AC73" s="140">
        <f t="shared" si="144"/>
        <v>1524563.73</v>
      </c>
      <c r="AD73" s="326">
        <f t="shared" ref="AD73:AF73" si="146">SUM(W73,P73,I73)</f>
        <v>0</v>
      </c>
      <c r="AE73" s="326">
        <f t="shared" si="146"/>
        <v>0</v>
      </c>
      <c r="AF73" s="326">
        <f t="shared" si="146"/>
        <v>0</v>
      </c>
      <c r="AG73" s="326">
        <f t="shared" si="21"/>
        <v>-1524563.73</v>
      </c>
      <c r="AH73" s="98">
        <f t="shared" si="37"/>
        <v>0</v>
      </c>
      <c r="AI73" s="125">
        <f t="shared" si="134"/>
        <v>732733.02</v>
      </c>
      <c r="AJ73" s="140">
        <f t="shared" si="24"/>
        <v>0</v>
      </c>
      <c r="AK73" s="123" t="str">
        <f t="shared" si="135"/>
        <v>0</v>
      </c>
      <c r="AL73" s="148" t="str">
        <f t="shared" si="136"/>
        <v>0</v>
      </c>
      <c r="AM73" s="125">
        <f t="shared" si="137"/>
        <v>238279.9</v>
      </c>
      <c r="AN73" s="140">
        <f t="shared" si="28"/>
        <v>0</v>
      </c>
      <c r="AO73" s="326"/>
      <c r="AP73" s="333"/>
      <c r="AQ73" s="296" t="str">
        <f t="shared" si="138"/>
        <v/>
      </c>
    </row>
    <row r="74" spans="1:43" ht="13">
      <c r="A74" s="463">
        <f t="shared" si="119"/>
        <v>112014228</v>
      </c>
      <c r="B74" s="324">
        <f t="shared" si="120"/>
        <v>22</v>
      </c>
      <c r="C74" s="558">
        <f t="shared" si="121"/>
        <v>0.1</v>
      </c>
      <c r="D74" s="558">
        <f t="shared" si="122"/>
        <v>0.09</v>
      </c>
      <c r="E74" s="558">
        <f t="shared" si="123"/>
        <v>0</v>
      </c>
      <c r="F74" s="325" t="s">
        <v>1442</v>
      </c>
      <c r="G74" s="326" t="str">
        <f t="shared" si="124"/>
        <v/>
      </c>
      <c r="H74" s="1372">
        <v>1800000</v>
      </c>
      <c r="I74" s="113">
        <f t="shared" si="6"/>
        <v>0</v>
      </c>
      <c r="J74" s="116" t="str">
        <f t="shared" si="125"/>
        <v>0</v>
      </c>
      <c r="K74" s="117" t="str">
        <f t="shared" si="126"/>
        <v>0</v>
      </c>
      <c r="L74" s="123"/>
      <c r="M74" s="326"/>
      <c r="N74" s="326" t="str">
        <f t="shared" si="127"/>
        <v/>
      </c>
      <c r="O74" s="332">
        <v>1800000</v>
      </c>
      <c r="P74" s="140">
        <f t="shared" si="11"/>
        <v>0</v>
      </c>
      <c r="Q74" s="326" t="str">
        <f t="shared" si="128"/>
        <v>0</v>
      </c>
      <c r="R74" s="333" t="str">
        <f t="shared" si="129"/>
        <v>0</v>
      </c>
      <c r="S74" s="123"/>
      <c r="T74" s="326"/>
      <c r="U74" s="326" t="str">
        <f t="shared" si="130"/>
        <v/>
      </c>
      <c r="V74" s="332">
        <v>1800000</v>
      </c>
      <c r="W74" s="140">
        <f t="shared" si="15"/>
        <v>0</v>
      </c>
      <c r="X74" s="326" t="str">
        <f t="shared" si="131"/>
        <v>0</v>
      </c>
      <c r="Y74" s="333" t="str">
        <f t="shared" si="132"/>
        <v>0</v>
      </c>
      <c r="Z74" s="123"/>
      <c r="AA74" s="326"/>
      <c r="AB74" s="1257">
        <f t="shared" si="80"/>
        <v>5400000</v>
      </c>
      <c r="AC74" s="140" t="str">
        <f t="shared" si="144"/>
        <v>0</v>
      </c>
      <c r="AD74" s="326">
        <f t="shared" ref="AD74:AF74" si="147">SUM(W74,P74,I74)</f>
        <v>0</v>
      </c>
      <c r="AE74" s="326">
        <f t="shared" si="147"/>
        <v>0</v>
      </c>
      <c r="AF74" s="326">
        <f t="shared" si="147"/>
        <v>0</v>
      </c>
      <c r="AG74" s="326">
        <f t="shared" si="21"/>
        <v>0</v>
      </c>
      <c r="AH74" s="98" t="str">
        <f t="shared" si="37"/>
        <v/>
      </c>
      <c r="AI74" s="125" t="str">
        <f t="shared" si="134"/>
        <v/>
      </c>
      <c r="AJ74" s="140">
        <f t="shared" si="24"/>
        <v>0</v>
      </c>
      <c r="AK74" s="123" t="str">
        <f t="shared" si="135"/>
        <v>0</v>
      </c>
      <c r="AL74" s="148" t="str">
        <f t="shared" si="136"/>
        <v>0</v>
      </c>
      <c r="AM74" s="125" t="str">
        <f t="shared" si="137"/>
        <v/>
      </c>
      <c r="AN74" s="140">
        <f t="shared" si="28"/>
        <v>0</v>
      </c>
      <c r="AO74" s="326"/>
      <c r="AP74" s="333"/>
      <c r="AQ74" s="296" t="str">
        <f t="shared" si="138"/>
        <v/>
      </c>
    </row>
    <row r="75" spans="1:43" ht="13">
      <c r="A75" s="463">
        <f t="shared" si="119"/>
        <v>112013706</v>
      </c>
      <c r="B75" s="324">
        <f t="shared" si="120"/>
        <v>22</v>
      </c>
      <c r="C75" s="558">
        <f t="shared" si="121"/>
        <v>0.1</v>
      </c>
      <c r="D75" s="558">
        <f t="shared" si="122"/>
        <v>0.09</v>
      </c>
      <c r="E75" s="558">
        <f t="shared" si="123"/>
        <v>0</v>
      </c>
      <c r="F75" s="325" t="s">
        <v>1434</v>
      </c>
      <c r="G75" s="326">
        <f t="shared" si="124"/>
        <v>170920.55</v>
      </c>
      <c r="H75" s="1372">
        <v>1800000</v>
      </c>
      <c r="I75" s="113">
        <f t="shared" si="6"/>
        <v>793265.11</v>
      </c>
      <c r="J75" s="116" t="str">
        <f t="shared" si="125"/>
        <v>0</v>
      </c>
      <c r="K75" s="117">
        <f t="shared" si="126"/>
        <v>793265.11</v>
      </c>
      <c r="L75" s="123"/>
      <c r="M75" s="326"/>
      <c r="N75" s="326">
        <f t="shared" si="127"/>
        <v>139402.88</v>
      </c>
      <c r="O75" s="332">
        <v>1800000</v>
      </c>
      <c r="P75" s="140">
        <f t="shared" si="11"/>
        <v>311338.09000000003</v>
      </c>
      <c r="Q75" s="326" t="str">
        <f t="shared" si="128"/>
        <v>0</v>
      </c>
      <c r="R75" s="333">
        <f t="shared" si="129"/>
        <v>311338.09000000003</v>
      </c>
      <c r="S75" s="123"/>
      <c r="T75" s="326"/>
      <c r="U75" s="326">
        <f t="shared" si="130"/>
        <v>0</v>
      </c>
      <c r="V75" s="332">
        <v>1800000</v>
      </c>
      <c r="W75" s="140">
        <f t="shared" si="15"/>
        <v>837279.92</v>
      </c>
      <c r="X75" s="326" t="str">
        <f t="shared" si="131"/>
        <v>0</v>
      </c>
      <c r="Y75" s="333">
        <f t="shared" si="132"/>
        <v>837279.92</v>
      </c>
      <c r="Z75" s="123"/>
      <c r="AA75" s="326"/>
      <c r="AB75" s="1257">
        <f t="shared" si="80"/>
        <v>5400000</v>
      </c>
      <c r="AC75" s="140">
        <f t="shared" si="144"/>
        <v>2146367.94</v>
      </c>
      <c r="AD75" s="326">
        <f t="shared" ref="AD75:AF75" si="148">SUM(W75,P75,I75)</f>
        <v>1941883.12</v>
      </c>
      <c r="AE75" s="326">
        <f t="shared" si="148"/>
        <v>0</v>
      </c>
      <c r="AF75" s="326">
        <f t="shared" si="148"/>
        <v>1941883.12</v>
      </c>
      <c r="AG75" s="326">
        <f t="shared" si="21"/>
        <v>-204484.81999999983</v>
      </c>
      <c r="AH75" s="98">
        <f t="shared" si="37"/>
        <v>0.90472983863148837</v>
      </c>
      <c r="AI75" s="125">
        <f t="shared" si="134"/>
        <v>475446.41</v>
      </c>
      <c r="AJ75" s="140">
        <f t="shared" si="24"/>
        <v>345276.7</v>
      </c>
      <c r="AK75" s="123" t="str">
        <f t="shared" si="135"/>
        <v>0</v>
      </c>
      <c r="AL75" s="148">
        <f t="shared" si="136"/>
        <v>345276.7</v>
      </c>
      <c r="AM75" s="125">
        <f t="shared" si="137"/>
        <v>530134.91</v>
      </c>
      <c r="AN75" s="140">
        <f t="shared" si="28"/>
        <v>375669.14</v>
      </c>
      <c r="AO75" s="326"/>
      <c r="AP75" s="333">
        <v>375669.14</v>
      </c>
      <c r="AQ75" s="296" t="str">
        <f t="shared" si="138"/>
        <v/>
      </c>
    </row>
    <row r="76" spans="1:43" ht="13">
      <c r="A76" s="463">
        <f t="shared" si="119"/>
        <v>112013698</v>
      </c>
      <c r="B76" s="324">
        <f t="shared" si="120"/>
        <v>22</v>
      </c>
      <c r="C76" s="558">
        <f t="shared" si="121"/>
        <v>0.1</v>
      </c>
      <c r="D76" s="558">
        <f t="shared" si="122"/>
        <v>0.09</v>
      </c>
      <c r="E76" s="558">
        <f t="shared" si="123"/>
        <v>0</v>
      </c>
      <c r="F76" s="325" t="s">
        <v>1444</v>
      </c>
      <c r="G76" s="326">
        <f t="shared" si="124"/>
        <v>370711.67</v>
      </c>
      <c r="H76" s="1372">
        <v>1800000</v>
      </c>
      <c r="I76" s="113">
        <f t="shared" si="6"/>
        <v>0</v>
      </c>
      <c r="J76" s="116" t="str">
        <f t="shared" si="125"/>
        <v>0</v>
      </c>
      <c r="K76" s="117" t="str">
        <f t="shared" si="126"/>
        <v>0</v>
      </c>
      <c r="L76" s="123"/>
      <c r="M76" s="326"/>
      <c r="N76" s="326">
        <f t="shared" si="127"/>
        <v>0</v>
      </c>
      <c r="O76" s="332">
        <v>1800000</v>
      </c>
      <c r="P76" s="140">
        <f t="shared" si="11"/>
        <v>0</v>
      </c>
      <c r="Q76" s="326" t="str">
        <f t="shared" si="128"/>
        <v>0</v>
      </c>
      <c r="R76" s="333" t="str">
        <f t="shared" si="129"/>
        <v>0</v>
      </c>
      <c r="S76" s="123"/>
      <c r="T76" s="326"/>
      <c r="U76" s="326">
        <f t="shared" si="130"/>
        <v>0</v>
      </c>
      <c r="V76" s="332">
        <v>1800000</v>
      </c>
      <c r="W76" s="140">
        <f t="shared" si="15"/>
        <v>0</v>
      </c>
      <c r="X76" s="326" t="str">
        <f t="shared" si="131"/>
        <v>0</v>
      </c>
      <c r="Y76" s="333" t="str">
        <f t="shared" si="132"/>
        <v>0</v>
      </c>
      <c r="Z76" s="123"/>
      <c r="AA76" s="326"/>
      <c r="AB76" s="1257">
        <f t="shared" si="80"/>
        <v>5400000</v>
      </c>
      <c r="AC76" s="140" t="str">
        <f t="shared" si="144"/>
        <v>0</v>
      </c>
      <c r="AD76" s="326">
        <f t="shared" ref="AD76:AF76" si="149">SUM(W76,P76,I76)</f>
        <v>0</v>
      </c>
      <c r="AE76" s="326">
        <f t="shared" si="149"/>
        <v>0</v>
      </c>
      <c r="AF76" s="326">
        <f t="shared" si="149"/>
        <v>0</v>
      </c>
      <c r="AG76" s="326">
        <f t="shared" si="21"/>
        <v>0</v>
      </c>
      <c r="AH76" s="98" t="str">
        <f t="shared" si="37"/>
        <v/>
      </c>
      <c r="AI76" s="125">
        <f t="shared" si="134"/>
        <v>0</v>
      </c>
      <c r="AJ76" s="140">
        <f t="shared" si="24"/>
        <v>0</v>
      </c>
      <c r="AK76" s="123" t="str">
        <f t="shared" si="135"/>
        <v>0</v>
      </c>
      <c r="AL76" s="148" t="str">
        <f t="shared" si="136"/>
        <v>0</v>
      </c>
      <c r="AM76" s="125">
        <f t="shared" si="137"/>
        <v>0</v>
      </c>
      <c r="AN76" s="140">
        <f t="shared" si="28"/>
        <v>0</v>
      </c>
      <c r="AO76" s="326"/>
      <c r="AP76" s="333"/>
      <c r="AQ76" s="296" t="str">
        <f t="shared" si="138"/>
        <v/>
      </c>
    </row>
    <row r="77" spans="1:43" ht="13">
      <c r="A77" s="463">
        <f t="shared" si="119"/>
        <v>112014637</v>
      </c>
      <c r="B77" s="324">
        <f t="shared" si="120"/>
        <v>22</v>
      </c>
      <c r="C77" s="558">
        <f t="shared" si="121"/>
        <v>0.1</v>
      </c>
      <c r="D77" s="558">
        <f t="shared" si="122"/>
        <v>0.09</v>
      </c>
      <c r="E77" s="558">
        <f t="shared" si="123"/>
        <v>0</v>
      </c>
      <c r="F77" s="325" t="s">
        <v>1431</v>
      </c>
      <c r="G77" s="326">
        <f t="shared" si="124"/>
        <v>0</v>
      </c>
      <c r="H77" s="1372">
        <v>1800000</v>
      </c>
      <c r="I77" s="113">
        <f t="shared" si="6"/>
        <v>108684</v>
      </c>
      <c r="J77" s="116" t="str">
        <f t="shared" si="125"/>
        <v>0</v>
      </c>
      <c r="K77" s="117">
        <f t="shared" si="126"/>
        <v>108684</v>
      </c>
      <c r="L77" s="123"/>
      <c r="M77" s="326"/>
      <c r="N77" s="326">
        <f t="shared" si="127"/>
        <v>0</v>
      </c>
      <c r="O77" s="332">
        <v>1800000</v>
      </c>
      <c r="P77" s="140">
        <f t="shared" si="11"/>
        <v>0</v>
      </c>
      <c r="Q77" s="326" t="str">
        <f t="shared" si="128"/>
        <v>0</v>
      </c>
      <c r="R77" s="333">
        <f t="shared" si="129"/>
        <v>0</v>
      </c>
      <c r="S77" s="123"/>
      <c r="T77" s="326"/>
      <c r="U77" s="326">
        <f t="shared" si="130"/>
        <v>150035.69</v>
      </c>
      <c r="V77" s="332">
        <v>1800000</v>
      </c>
      <c r="W77" s="140">
        <f t="shared" si="15"/>
        <v>0</v>
      </c>
      <c r="X77" s="326" t="str">
        <f t="shared" si="131"/>
        <v>0</v>
      </c>
      <c r="Y77" s="333">
        <f t="shared" si="132"/>
        <v>0</v>
      </c>
      <c r="Z77" s="123"/>
      <c r="AA77" s="326"/>
      <c r="AB77" s="1257">
        <f t="shared" si="80"/>
        <v>5400000</v>
      </c>
      <c r="AC77" s="140">
        <f t="shared" si="144"/>
        <v>668105.78</v>
      </c>
      <c r="AD77" s="326">
        <f t="shared" ref="AD77:AF77" si="150">SUM(W77,P77,I77)</f>
        <v>108684</v>
      </c>
      <c r="AE77" s="326">
        <f t="shared" si="150"/>
        <v>0</v>
      </c>
      <c r="AF77" s="326">
        <f t="shared" si="150"/>
        <v>108684</v>
      </c>
      <c r="AG77" s="326">
        <f t="shared" si="21"/>
        <v>-559421.78</v>
      </c>
      <c r="AH77" s="98">
        <f t="shared" si="37"/>
        <v>0.16267483870593066</v>
      </c>
      <c r="AI77" s="125">
        <f t="shared" si="134"/>
        <v>0</v>
      </c>
      <c r="AJ77" s="140">
        <f t="shared" si="24"/>
        <v>261423</v>
      </c>
      <c r="AK77" s="123" t="str">
        <f t="shared" si="135"/>
        <v>0</v>
      </c>
      <c r="AL77" s="148">
        <f t="shared" si="136"/>
        <v>261423</v>
      </c>
      <c r="AM77" s="125">
        <f t="shared" si="137"/>
        <v>82626.070000000007</v>
      </c>
      <c r="AN77" s="140">
        <f t="shared" si="28"/>
        <v>0</v>
      </c>
      <c r="AO77" s="326"/>
      <c r="AP77" s="333"/>
      <c r="AQ77" s="296" t="str">
        <f t="shared" si="138"/>
        <v/>
      </c>
    </row>
    <row r="78" spans="1:43" ht="13">
      <c r="A78" s="463">
        <f t="shared" si="119"/>
        <v>112013865</v>
      </c>
      <c r="B78" s="324">
        <f t="shared" si="120"/>
        <v>22</v>
      </c>
      <c r="C78" s="558">
        <f t="shared" si="121"/>
        <v>0.1</v>
      </c>
      <c r="D78" s="558">
        <f t="shared" si="122"/>
        <v>0.09</v>
      </c>
      <c r="E78" s="558">
        <f t="shared" si="123"/>
        <v>0</v>
      </c>
      <c r="F78" s="325" t="s">
        <v>1447</v>
      </c>
      <c r="G78" s="326">
        <f t="shared" si="124"/>
        <v>0</v>
      </c>
      <c r="H78" s="1372">
        <v>1800000</v>
      </c>
      <c r="I78" s="113">
        <f t="shared" si="6"/>
        <v>416384.21</v>
      </c>
      <c r="J78" s="116" t="str">
        <f t="shared" si="125"/>
        <v>0</v>
      </c>
      <c r="K78" s="117">
        <f t="shared" si="126"/>
        <v>416384.21</v>
      </c>
      <c r="L78" s="123"/>
      <c r="M78" s="326"/>
      <c r="N78" s="326">
        <f t="shared" si="127"/>
        <v>0</v>
      </c>
      <c r="O78" s="332">
        <v>1800000</v>
      </c>
      <c r="P78" s="140">
        <f t="shared" si="11"/>
        <v>504288.63</v>
      </c>
      <c r="Q78" s="326" t="str">
        <f t="shared" si="128"/>
        <v>0</v>
      </c>
      <c r="R78" s="333">
        <f t="shared" si="129"/>
        <v>504288.63</v>
      </c>
      <c r="S78" s="123"/>
      <c r="T78" s="326"/>
      <c r="U78" s="326">
        <f t="shared" si="130"/>
        <v>330605.74</v>
      </c>
      <c r="V78" s="332">
        <v>1800000</v>
      </c>
      <c r="W78" s="140">
        <f t="shared" si="15"/>
        <v>0</v>
      </c>
      <c r="X78" s="326" t="str">
        <f t="shared" si="131"/>
        <v>0</v>
      </c>
      <c r="Y78" s="333">
        <f t="shared" si="132"/>
        <v>0</v>
      </c>
      <c r="Z78" s="123"/>
      <c r="AA78" s="326"/>
      <c r="AB78" s="1257">
        <f t="shared" si="80"/>
        <v>5400000</v>
      </c>
      <c r="AC78" s="140">
        <f t="shared" si="144"/>
        <v>1832542.29</v>
      </c>
      <c r="AD78" s="326">
        <f t="shared" ref="AD78:AF78" si="151">SUM(W78,P78,I78)</f>
        <v>920672.84000000008</v>
      </c>
      <c r="AE78" s="326">
        <f t="shared" si="151"/>
        <v>0</v>
      </c>
      <c r="AF78" s="326">
        <f t="shared" si="151"/>
        <v>920672.84000000008</v>
      </c>
      <c r="AG78" s="326">
        <f t="shared" si="21"/>
        <v>-911869.45</v>
      </c>
      <c r="AH78" s="98">
        <f t="shared" si="37"/>
        <v>0.50240196093919343</v>
      </c>
      <c r="AI78" s="125">
        <f t="shared" si="134"/>
        <v>108384.17</v>
      </c>
      <c r="AJ78" s="140">
        <f t="shared" si="24"/>
        <v>0</v>
      </c>
      <c r="AK78" s="123" t="str">
        <f t="shared" si="135"/>
        <v>0</v>
      </c>
      <c r="AL78" s="148">
        <f t="shared" si="136"/>
        <v>0</v>
      </c>
      <c r="AM78" s="125">
        <f t="shared" si="137"/>
        <v>732516.7</v>
      </c>
      <c r="AN78" s="140">
        <f t="shared" si="28"/>
        <v>0</v>
      </c>
      <c r="AO78" s="326"/>
      <c r="AP78" s="333"/>
      <c r="AQ78" s="296" t="str">
        <f t="shared" si="138"/>
        <v/>
      </c>
    </row>
    <row r="79" spans="1:43" ht="13">
      <c r="A79" s="463">
        <f t="shared" si="119"/>
        <v>112013947</v>
      </c>
      <c r="B79" s="324">
        <f t="shared" si="120"/>
        <v>22</v>
      </c>
      <c r="C79" s="558">
        <f t="shared" si="121"/>
        <v>0.1</v>
      </c>
      <c r="D79" s="558">
        <f t="shared" si="122"/>
        <v>0.09</v>
      </c>
      <c r="E79" s="558">
        <f t="shared" si="123"/>
        <v>0</v>
      </c>
      <c r="F79" s="325" t="s">
        <v>1054</v>
      </c>
      <c r="G79" s="326">
        <f t="shared" si="124"/>
        <v>0</v>
      </c>
      <c r="H79" s="1372">
        <v>1800000</v>
      </c>
      <c r="I79" s="113">
        <f t="shared" si="6"/>
        <v>0</v>
      </c>
      <c r="J79" s="116" t="str">
        <f t="shared" si="125"/>
        <v>0</v>
      </c>
      <c r="K79" s="117" t="str">
        <f t="shared" si="126"/>
        <v>0</v>
      </c>
      <c r="L79" s="123"/>
      <c r="M79" s="326"/>
      <c r="N79" s="326">
        <f t="shared" si="127"/>
        <v>0</v>
      </c>
      <c r="O79" s="332">
        <v>1800000</v>
      </c>
      <c r="P79" s="140">
        <f t="shared" si="11"/>
        <v>0</v>
      </c>
      <c r="Q79" s="326" t="str">
        <f t="shared" si="128"/>
        <v>0</v>
      </c>
      <c r="R79" s="333" t="str">
        <f t="shared" si="129"/>
        <v>0</v>
      </c>
      <c r="S79" s="123"/>
      <c r="T79" s="326"/>
      <c r="U79" s="326">
        <f t="shared" si="130"/>
        <v>0</v>
      </c>
      <c r="V79" s="332">
        <v>1800000</v>
      </c>
      <c r="W79" s="140">
        <f t="shared" si="15"/>
        <v>0</v>
      </c>
      <c r="X79" s="326" t="str">
        <f t="shared" si="131"/>
        <v>0</v>
      </c>
      <c r="Y79" s="333" t="str">
        <f t="shared" si="132"/>
        <v>0</v>
      </c>
      <c r="Z79" s="123"/>
      <c r="AA79" s="326"/>
      <c r="AB79" s="1257">
        <f t="shared" si="80"/>
        <v>5400000</v>
      </c>
      <c r="AC79" s="140" t="str">
        <f t="shared" si="144"/>
        <v>0</v>
      </c>
      <c r="AD79" s="326">
        <f t="shared" ref="AD79:AF79" si="152">SUM(W79,P79,I79)</f>
        <v>0</v>
      </c>
      <c r="AE79" s="326">
        <f t="shared" si="152"/>
        <v>0</v>
      </c>
      <c r="AF79" s="326">
        <f t="shared" si="152"/>
        <v>0</v>
      </c>
      <c r="AG79" s="326">
        <f t="shared" si="21"/>
        <v>0</v>
      </c>
      <c r="AH79" s="98" t="str">
        <f t="shared" si="37"/>
        <v/>
      </c>
      <c r="AI79" s="125">
        <f t="shared" si="134"/>
        <v>0</v>
      </c>
      <c r="AJ79" s="140">
        <f t="shared" si="24"/>
        <v>0</v>
      </c>
      <c r="AK79" s="123" t="str">
        <f t="shared" si="135"/>
        <v>0</v>
      </c>
      <c r="AL79" s="148" t="str">
        <f t="shared" si="136"/>
        <v>0</v>
      </c>
      <c r="AM79" s="125">
        <f t="shared" si="137"/>
        <v>241388.54</v>
      </c>
      <c r="AN79" s="140">
        <f t="shared" si="28"/>
        <v>0</v>
      </c>
      <c r="AO79" s="326"/>
      <c r="AP79" s="333"/>
      <c r="AQ79" s="296" t="str">
        <f t="shared" si="138"/>
        <v/>
      </c>
    </row>
    <row r="80" spans="1:43" ht="13">
      <c r="A80" s="463">
        <f t="shared" si="119"/>
        <v>112014645</v>
      </c>
      <c r="B80" s="324">
        <f t="shared" si="120"/>
        <v>22</v>
      </c>
      <c r="C80" s="558">
        <f t="shared" si="121"/>
        <v>0.1</v>
      </c>
      <c r="D80" s="558">
        <f t="shared" si="122"/>
        <v>0.09</v>
      </c>
      <c r="E80" s="558">
        <f t="shared" si="123"/>
        <v>0</v>
      </c>
      <c r="F80" s="325" t="s">
        <v>1026</v>
      </c>
      <c r="G80" s="326">
        <f t="shared" si="124"/>
        <v>0</v>
      </c>
      <c r="H80" s="1372">
        <v>1800000</v>
      </c>
      <c r="I80" s="113">
        <f t="shared" si="6"/>
        <v>1869585.1300000001</v>
      </c>
      <c r="J80" s="116">
        <f t="shared" si="125"/>
        <v>47913.15</v>
      </c>
      <c r="K80" s="117">
        <f t="shared" si="126"/>
        <v>1917498.28</v>
      </c>
      <c r="L80" s="123"/>
      <c r="M80" s="326"/>
      <c r="N80" s="326">
        <f t="shared" si="127"/>
        <v>0</v>
      </c>
      <c r="O80" s="332">
        <v>1800000</v>
      </c>
      <c r="P80" s="140">
        <f t="shared" si="11"/>
        <v>1293963.8999999999</v>
      </c>
      <c r="Q80" s="326">
        <f t="shared" si="128"/>
        <v>35136.31</v>
      </c>
      <c r="R80" s="333">
        <f t="shared" si="129"/>
        <v>1329100.21</v>
      </c>
      <c r="S80" s="123"/>
      <c r="T80" s="326"/>
      <c r="U80" s="326">
        <f t="shared" si="130"/>
        <v>0</v>
      </c>
      <c r="V80" s="332">
        <v>1800000</v>
      </c>
      <c r="W80" s="140">
        <f t="shared" si="15"/>
        <v>989969.33</v>
      </c>
      <c r="X80" s="326">
        <f t="shared" si="131"/>
        <v>7919.52</v>
      </c>
      <c r="Y80" s="333">
        <f t="shared" si="132"/>
        <v>997888.85</v>
      </c>
      <c r="Z80" s="123"/>
      <c r="AA80" s="326"/>
      <c r="AB80" s="1257">
        <f t="shared" si="80"/>
        <v>5400000</v>
      </c>
      <c r="AC80" s="140">
        <f t="shared" si="144"/>
        <v>3497876.61</v>
      </c>
      <c r="AD80" s="326">
        <f t="shared" ref="AD80:AF80" si="153">SUM(W80,P80,I80)</f>
        <v>4153518.3600000003</v>
      </c>
      <c r="AE80" s="326">
        <f t="shared" si="153"/>
        <v>90968.98000000001</v>
      </c>
      <c r="AF80" s="326">
        <f t="shared" si="153"/>
        <v>4244487.34</v>
      </c>
      <c r="AG80" s="326">
        <f t="shared" si="21"/>
        <v>746610.73</v>
      </c>
      <c r="AH80" s="98">
        <f t="shared" si="37"/>
        <v>1.2134468459709331</v>
      </c>
      <c r="AI80" s="125">
        <f t="shared" si="134"/>
        <v>0</v>
      </c>
      <c r="AJ80" s="140">
        <f t="shared" si="24"/>
        <v>1539027.46</v>
      </c>
      <c r="AK80" s="123">
        <f t="shared" si="135"/>
        <v>38330.519999999997</v>
      </c>
      <c r="AL80" s="148">
        <f t="shared" si="136"/>
        <v>1577357.98</v>
      </c>
      <c r="AM80" s="125">
        <f t="shared" si="137"/>
        <v>0</v>
      </c>
      <c r="AN80" s="140">
        <f t="shared" si="28"/>
        <v>1049217.03</v>
      </c>
      <c r="AO80" s="326">
        <v>19165.259999999998</v>
      </c>
      <c r="AP80" s="333">
        <v>1068382.29</v>
      </c>
      <c r="AQ80" s="296" t="str">
        <f t="shared" si="138"/>
        <v/>
      </c>
    </row>
    <row r="81" spans="1:43" ht="13">
      <c r="A81" s="463">
        <f t="shared" si="119"/>
        <v>112014071</v>
      </c>
      <c r="B81" s="324">
        <f t="shared" si="120"/>
        <v>22</v>
      </c>
      <c r="C81" s="558">
        <f t="shared" si="121"/>
        <v>0.1</v>
      </c>
      <c r="D81" s="558">
        <f t="shared" si="122"/>
        <v>0.09</v>
      </c>
      <c r="E81" s="558">
        <f t="shared" si="123"/>
        <v>0</v>
      </c>
      <c r="F81" s="325" t="s">
        <v>1430</v>
      </c>
      <c r="G81" s="326">
        <f t="shared" si="124"/>
        <v>0</v>
      </c>
      <c r="H81" s="1372">
        <v>1800000</v>
      </c>
      <c r="I81" s="113">
        <f t="shared" si="6"/>
        <v>0</v>
      </c>
      <c r="J81" s="116" t="str">
        <f t="shared" si="125"/>
        <v>0</v>
      </c>
      <c r="K81" s="117" t="str">
        <f t="shared" si="126"/>
        <v>0</v>
      </c>
      <c r="L81" s="123"/>
      <c r="M81" s="326"/>
      <c r="N81" s="326">
        <f t="shared" si="127"/>
        <v>0</v>
      </c>
      <c r="O81" s="332">
        <v>1800000</v>
      </c>
      <c r="P81" s="140">
        <f t="shared" si="11"/>
        <v>0</v>
      </c>
      <c r="Q81" s="326" t="str">
        <f t="shared" si="128"/>
        <v>0</v>
      </c>
      <c r="R81" s="333" t="str">
        <f t="shared" si="129"/>
        <v>0</v>
      </c>
      <c r="S81" s="123"/>
      <c r="T81" s="326"/>
      <c r="U81" s="326">
        <f t="shared" si="130"/>
        <v>0</v>
      </c>
      <c r="V81" s="332">
        <v>1800000</v>
      </c>
      <c r="W81" s="140">
        <f t="shared" si="15"/>
        <v>0</v>
      </c>
      <c r="X81" s="326" t="str">
        <f t="shared" si="131"/>
        <v>0</v>
      </c>
      <c r="Y81" s="333" t="str">
        <f t="shared" si="132"/>
        <v>0</v>
      </c>
      <c r="Z81" s="123"/>
      <c r="AA81" s="326"/>
      <c r="AB81" s="1257">
        <f t="shared" si="80"/>
        <v>5400000</v>
      </c>
      <c r="AC81" s="140" t="str">
        <f t="shared" si="144"/>
        <v>0</v>
      </c>
      <c r="AD81" s="326">
        <f t="shared" ref="AD81:AF81" si="154">SUM(W81,P81,I81)</f>
        <v>0</v>
      </c>
      <c r="AE81" s="326">
        <f t="shared" si="154"/>
        <v>0</v>
      </c>
      <c r="AF81" s="326">
        <f t="shared" si="154"/>
        <v>0</v>
      </c>
      <c r="AG81" s="326">
        <f t="shared" si="21"/>
        <v>0</v>
      </c>
      <c r="AH81" s="98" t="str">
        <f t="shared" si="37"/>
        <v/>
      </c>
      <c r="AI81" s="125">
        <f t="shared" si="134"/>
        <v>0</v>
      </c>
      <c r="AJ81" s="140">
        <f t="shared" si="24"/>
        <v>0</v>
      </c>
      <c r="AK81" s="123" t="str">
        <f t="shared" si="135"/>
        <v>0</v>
      </c>
      <c r="AL81" s="148" t="str">
        <f t="shared" si="136"/>
        <v>0</v>
      </c>
      <c r="AM81" s="125">
        <f t="shared" si="137"/>
        <v>0</v>
      </c>
      <c r="AN81" s="140">
        <f t="shared" si="28"/>
        <v>0</v>
      </c>
      <c r="AO81" s="326"/>
      <c r="AP81" s="333"/>
      <c r="AQ81" s="296" t="str">
        <f t="shared" si="138"/>
        <v/>
      </c>
    </row>
    <row r="82" spans="1:43" ht="13">
      <c r="A82" s="463">
        <f t="shared" si="119"/>
        <v>112013469</v>
      </c>
      <c r="B82" s="324">
        <f t="shared" si="120"/>
        <v>22</v>
      </c>
      <c r="C82" s="558">
        <f t="shared" si="121"/>
        <v>0.1</v>
      </c>
      <c r="D82" s="558">
        <f t="shared" si="122"/>
        <v>0.09</v>
      </c>
      <c r="E82" s="558">
        <f t="shared" si="123"/>
        <v>0</v>
      </c>
      <c r="F82" s="325" t="s">
        <v>1024</v>
      </c>
      <c r="G82" s="326">
        <f t="shared" si="124"/>
        <v>0</v>
      </c>
      <c r="H82" s="1372">
        <v>1800000</v>
      </c>
      <c r="I82" s="113">
        <f t="shared" si="6"/>
        <v>318027.3</v>
      </c>
      <c r="J82" s="116">
        <f t="shared" si="125"/>
        <v>6600</v>
      </c>
      <c r="K82" s="117">
        <f t="shared" si="126"/>
        <v>324627.3</v>
      </c>
      <c r="L82" s="123"/>
      <c r="M82" s="326"/>
      <c r="N82" s="326">
        <f t="shared" si="127"/>
        <v>0</v>
      </c>
      <c r="O82" s="332">
        <v>1800000</v>
      </c>
      <c r="P82" s="140">
        <f t="shared" si="11"/>
        <v>687088.1</v>
      </c>
      <c r="Q82" s="326">
        <f t="shared" si="128"/>
        <v>0</v>
      </c>
      <c r="R82" s="333">
        <f t="shared" si="129"/>
        <v>687088.1</v>
      </c>
      <c r="S82" s="123"/>
      <c r="T82" s="326"/>
      <c r="U82" s="326">
        <f t="shared" si="130"/>
        <v>0</v>
      </c>
      <c r="V82" s="332">
        <v>1800000</v>
      </c>
      <c r="W82" s="140">
        <f t="shared" si="15"/>
        <v>339656.48</v>
      </c>
      <c r="X82" s="326">
        <f t="shared" si="131"/>
        <v>0</v>
      </c>
      <c r="Y82" s="333">
        <f t="shared" si="132"/>
        <v>339656.48</v>
      </c>
      <c r="Z82" s="123"/>
      <c r="AA82" s="326"/>
      <c r="AB82" s="1257">
        <f t="shared" si="80"/>
        <v>5400000</v>
      </c>
      <c r="AC82" s="140">
        <f t="shared" si="144"/>
        <v>1096151.75</v>
      </c>
      <c r="AD82" s="326">
        <f t="shared" ref="AD82:AF82" si="155">SUM(W82,P82,I82)</f>
        <v>1344771.88</v>
      </c>
      <c r="AE82" s="326">
        <f t="shared" si="155"/>
        <v>6600</v>
      </c>
      <c r="AF82" s="326">
        <f t="shared" si="155"/>
        <v>1351371.88</v>
      </c>
      <c r="AG82" s="326">
        <f t="shared" si="21"/>
        <v>255220.12999999989</v>
      </c>
      <c r="AH82" s="98">
        <f t="shared" si="37"/>
        <v>1.2328328445400007</v>
      </c>
      <c r="AI82" s="125">
        <f t="shared" si="134"/>
        <v>0</v>
      </c>
      <c r="AJ82" s="140">
        <f t="shared" si="24"/>
        <v>245748.2</v>
      </c>
      <c r="AK82" s="123">
        <f t="shared" si="135"/>
        <v>0</v>
      </c>
      <c r="AL82" s="148">
        <f t="shared" si="136"/>
        <v>245748.2</v>
      </c>
      <c r="AM82" s="125">
        <f t="shared" si="137"/>
        <v>0</v>
      </c>
      <c r="AN82" s="140">
        <f t="shared" si="28"/>
        <v>376985.01</v>
      </c>
      <c r="AO82" s="326"/>
      <c r="AP82" s="333">
        <v>376985.01</v>
      </c>
      <c r="AQ82" s="296" t="str">
        <f t="shared" si="138"/>
        <v/>
      </c>
    </row>
    <row r="83" spans="1:43" ht="13">
      <c r="A83" s="463">
        <f t="shared" si="119"/>
        <v>112013917</v>
      </c>
      <c r="B83" s="324">
        <f t="shared" si="120"/>
        <v>22</v>
      </c>
      <c r="C83" s="558">
        <f t="shared" si="121"/>
        <v>0.1</v>
      </c>
      <c r="D83" s="558">
        <f t="shared" si="122"/>
        <v>0.09</v>
      </c>
      <c r="E83" s="558">
        <f t="shared" si="123"/>
        <v>0</v>
      </c>
      <c r="F83" s="325" t="s">
        <v>1435</v>
      </c>
      <c r="G83" s="326">
        <f t="shared" si="124"/>
        <v>0</v>
      </c>
      <c r="H83" s="1372">
        <v>1800000</v>
      </c>
      <c r="I83" s="113">
        <f t="shared" si="6"/>
        <v>0</v>
      </c>
      <c r="J83" s="116" t="str">
        <f t="shared" si="125"/>
        <v>0</v>
      </c>
      <c r="K83" s="117" t="str">
        <f t="shared" si="126"/>
        <v>0</v>
      </c>
      <c r="L83" s="123"/>
      <c r="M83" s="326"/>
      <c r="N83" s="326">
        <f t="shared" si="127"/>
        <v>0</v>
      </c>
      <c r="O83" s="332">
        <v>1800000</v>
      </c>
      <c r="P83" s="140">
        <f t="shared" si="11"/>
        <v>0</v>
      </c>
      <c r="Q83" s="326" t="str">
        <f t="shared" si="128"/>
        <v>0</v>
      </c>
      <c r="R83" s="333" t="str">
        <f t="shared" si="129"/>
        <v>0</v>
      </c>
      <c r="S83" s="123"/>
      <c r="T83" s="326"/>
      <c r="U83" s="326">
        <f t="shared" si="130"/>
        <v>0</v>
      </c>
      <c r="V83" s="332">
        <v>1800000</v>
      </c>
      <c r="W83" s="140">
        <f t="shared" si="15"/>
        <v>0</v>
      </c>
      <c r="X83" s="326" t="str">
        <f t="shared" si="131"/>
        <v>0</v>
      </c>
      <c r="Y83" s="333" t="str">
        <f t="shared" si="132"/>
        <v>0</v>
      </c>
      <c r="Z83" s="123"/>
      <c r="AA83" s="326"/>
      <c r="AB83" s="1257">
        <f t="shared" si="80"/>
        <v>5400000</v>
      </c>
      <c r="AC83" s="140">
        <f t="shared" si="144"/>
        <v>818501.91</v>
      </c>
      <c r="AD83" s="326">
        <f t="shared" ref="AD83:AF83" si="156">SUM(W83,P83,I83)</f>
        <v>0</v>
      </c>
      <c r="AE83" s="326">
        <f t="shared" si="156"/>
        <v>0</v>
      </c>
      <c r="AF83" s="326">
        <f t="shared" si="156"/>
        <v>0</v>
      </c>
      <c r="AG83" s="326">
        <f t="shared" si="21"/>
        <v>-818501.91</v>
      </c>
      <c r="AH83" s="98">
        <f t="shared" si="37"/>
        <v>0</v>
      </c>
      <c r="AI83" s="125">
        <f t="shared" si="134"/>
        <v>0</v>
      </c>
      <c r="AJ83" s="140">
        <f t="shared" si="24"/>
        <v>0</v>
      </c>
      <c r="AK83" s="123" t="str">
        <f t="shared" si="135"/>
        <v>0</v>
      </c>
      <c r="AL83" s="148" t="str">
        <f t="shared" si="136"/>
        <v>0</v>
      </c>
      <c r="AM83" s="125">
        <f t="shared" si="137"/>
        <v>0</v>
      </c>
      <c r="AN83" s="140">
        <f t="shared" si="28"/>
        <v>0</v>
      </c>
      <c r="AO83" s="326"/>
      <c r="AP83" s="333"/>
      <c r="AQ83" s="296" t="str">
        <f t="shared" si="138"/>
        <v/>
      </c>
    </row>
    <row r="84" spans="1:43" ht="13">
      <c r="A84" s="463">
        <f t="shared" si="119"/>
        <v>112010568</v>
      </c>
      <c r="B84" s="324">
        <f t="shared" si="120"/>
        <v>22</v>
      </c>
      <c r="C84" s="558">
        <f t="shared" si="121"/>
        <v>0.1</v>
      </c>
      <c r="D84" s="558">
        <f t="shared" si="122"/>
        <v>0.09</v>
      </c>
      <c r="E84" s="558">
        <f t="shared" si="123"/>
        <v>0</v>
      </c>
      <c r="F84" s="325" t="s">
        <v>1023</v>
      </c>
      <c r="G84" s="326">
        <f t="shared" si="124"/>
        <v>0</v>
      </c>
      <c r="H84" s="1372">
        <v>1800000</v>
      </c>
      <c r="I84" s="113">
        <f t="shared" si="6"/>
        <v>2136919.38</v>
      </c>
      <c r="J84" s="116">
        <f t="shared" si="125"/>
        <v>34132.199999999997</v>
      </c>
      <c r="K84" s="117">
        <f t="shared" si="126"/>
        <v>2171051.58</v>
      </c>
      <c r="L84" s="123"/>
      <c r="M84" s="326"/>
      <c r="N84" s="326">
        <f t="shared" si="127"/>
        <v>0</v>
      </c>
      <c r="O84" s="332">
        <v>1800000</v>
      </c>
      <c r="P84" s="140">
        <f t="shared" si="11"/>
        <v>1543093.83</v>
      </c>
      <c r="Q84" s="326">
        <f t="shared" si="128"/>
        <v>0</v>
      </c>
      <c r="R84" s="333">
        <f t="shared" si="129"/>
        <v>1543093.83</v>
      </c>
      <c r="S84" s="123"/>
      <c r="T84" s="326"/>
      <c r="U84" s="326">
        <f t="shared" si="130"/>
        <v>0</v>
      </c>
      <c r="V84" s="332">
        <v>1800000</v>
      </c>
      <c r="W84" s="140">
        <f t="shared" si="15"/>
        <v>1244856.6599999999</v>
      </c>
      <c r="X84" s="326">
        <f t="shared" si="131"/>
        <v>0</v>
      </c>
      <c r="Y84" s="333">
        <f t="shared" si="132"/>
        <v>1244856.6599999999</v>
      </c>
      <c r="Z84" s="123"/>
      <c r="AA84" s="326"/>
      <c r="AB84" s="1257">
        <f t="shared" si="80"/>
        <v>5400000</v>
      </c>
      <c r="AC84" s="140">
        <f t="shared" si="144"/>
        <v>2621778.7599999998</v>
      </c>
      <c r="AD84" s="326">
        <f t="shared" ref="AD84:AF84" si="157">SUM(W84,P84,I84)</f>
        <v>4924869.87</v>
      </c>
      <c r="AE84" s="326">
        <f t="shared" si="157"/>
        <v>34132.199999999997</v>
      </c>
      <c r="AF84" s="326">
        <f t="shared" si="157"/>
        <v>4959002.07</v>
      </c>
      <c r="AG84" s="326">
        <f t="shared" si="21"/>
        <v>2337223.3100000005</v>
      </c>
      <c r="AH84" s="98">
        <f t="shared" si="37"/>
        <v>1.8914647359489634</v>
      </c>
      <c r="AI84" s="125">
        <f t="shared" si="134"/>
        <v>0</v>
      </c>
      <c r="AJ84" s="140">
        <f t="shared" si="24"/>
        <v>597563.94999999995</v>
      </c>
      <c r="AK84" s="123">
        <f t="shared" si="135"/>
        <v>0</v>
      </c>
      <c r="AL84" s="148">
        <f t="shared" si="136"/>
        <v>597563.94999999995</v>
      </c>
      <c r="AM84" s="125">
        <f t="shared" si="137"/>
        <v>0</v>
      </c>
      <c r="AN84" s="140">
        <f t="shared" si="28"/>
        <v>515359.38</v>
      </c>
      <c r="AO84" s="326"/>
      <c r="AP84" s="333">
        <v>515359.38</v>
      </c>
      <c r="AQ84" s="296" t="str">
        <f t="shared" si="138"/>
        <v/>
      </c>
    </row>
    <row r="85" spans="1:43" ht="13">
      <c r="A85" s="463">
        <f t="shared" si="119"/>
        <v>112013490</v>
      </c>
      <c r="B85" s="324">
        <f t="shared" si="120"/>
        <v>22</v>
      </c>
      <c r="C85" s="558">
        <f t="shared" si="121"/>
        <v>0.1</v>
      </c>
      <c r="D85" s="558">
        <f t="shared" si="122"/>
        <v>0.09</v>
      </c>
      <c r="E85" s="558">
        <f t="shared" si="123"/>
        <v>0</v>
      </c>
      <c r="F85" s="325" t="s">
        <v>1025</v>
      </c>
      <c r="G85" s="326" t="str">
        <f t="shared" si="124"/>
        <v/>
      </c>
      <c r="H85" s="1372">
        <v>1800000</v>
      </c>
      <c r="I85" s="113">
        <f t="shared" si="6"/>
        <v>35921.07</v>
      </c>
      <c r="J85" s="116" t="str">
        <f t="shared" si="125"/>
        <v>0</v>
      </c>
      <c r="K85" s="117">
        <f t="shared" si="126"/>
        <v>35921.07</v>
      </c>
      <c r="L85" s="123"/>
      <c r="M85" s="326"/>
      <c r="N85" s="326" t="str">
        <f t="shared" si="127"/>
        <v/>
      </c>
      <c r="O85" s="332">
        <v>1800000</v>
      </c>
      <c r="P85" s="140">
        <f t="shared" si="11"/>
        <v>0</v>
      </c>
      <c r="Q85" s="326" t="str">
        <f t="shared" si="128"/>
        <v>0</v>
      </c>
      <c r="R85" s="333">
        <f t="shared" si="129"/>
        <v>0</v>
      </c>
      <c r="S85" s="123"/>
      <c r="T85" s="326"/>
      <c r="U85" s="326" t="str">
        <f t="shared" si="130"/>
        <v/>
      </c>
      <c r="V85" s="332">
        <v>1800000</v>
      </c>
      <c r="W85" s="140">
        <f t="shared" si="15"/>
        <v>0</v>
      </c>
      <c r="X85" s="326" t="str">
        <f t="shared" si="131"/>
        <v>0</v>
      </c>
      <c r="Y85" s="333">
        <f t="shared" si="132"/>
        <v>0</v>
      </c>
      <c r="Z85" s="123"/>
      <c r="AA85" s="326"/>
      <c r="AB85" s="1257">
        <f t="shared" si="80"/>
        <v>5400000</v>
      </c>
      <c r="AC85" s="140" t="str">
        <f t="shared" si="144"/>
        <v>0</v>
      </c>
      <c r="AD85" s="326">
        <f t="shared" ref="AD85:AF85" si="158">SUM(W85,P85,I85)</f>
        <v>35921.07</v>
      </c>
      <c r="AE85" s="326">
        <f t="shared" si="158"/>
        <v>0</v>
      </c>
      <c r="AF85" s="326">
        <f t="shared" si="158"/>
        <v>35921.07</v>
      </c>
      <c r="AG85" s="326">
        <f t="shared" si="21"/>
        <v>35921.07</v>
      </c>
      <c r="AH85" s="98" t="str">
        <f t="shared" si="37"/>
        <v/>
      </c>
      <c r="AI85" s="125" t="str">
        <f t="shared" si="134"/>
        <v/>
      </c>
      <c r="AJ85" s="140">
        <f t="shared" si="24"/>
        <v>119834.51</v>
      </c>
      <c r="AK85" s="123" t="str">
        <f t="shared" si="135"/>
        <v>0</v>
      </c>
      <c r="AL85" s="148">
        <f t="shared" si="136"/>
        <v>119834.51</v>
      </c>
      <c r="AM85" s="125" t="str">
        <f t="shared" si="137"/>
        <v/>
      </c>
      <c r="AN85" s="140">
        <f t="shared" si="28"/>
        <v>0</v>
      </c>
      <c r="AO85" s="326"/>
      <c r="AP85" s="333"/>
      <c r="AQ85" s="296" t="str">
        <f t="shared" si="138"/>
        <v/>
      </c>
    </row>
    <row r="86" spans="1:43" ht="13">
      <c r="A86" s="463">
        <f t="shared" si="119"/>
        <v>112014128</v>
      </c>
      <c r="B86" s="324">
        <f t="shared" si="120"/>
        <v>22</v>
      </c>
      <c r="C86" s="558">
        <f t="shared" si="121"/>
        <v>0.1</v>
      </c>
      <c r="D86" s="558">
        <f t="shared" si="122"/>
        <v>0.09</v>
      </c>
      <c r="E86" s="558">
        <f t="shared" si="123"/>
        <v>0</v>
      </c>
      <c r="F86" s="325" t="s">
        <v>1053</v>
      </c>
      <c r="G86" s="326"/>
      <c r="H86" s="1372"/>
      <c r="I86" s="113">
        <f t="shared" si="6"/>
        <v>0</v>
      </c>
      <c r="J86" s="116" t="str">
        <f t="shared" si="125"/>
        <v>0</v>
      </c>
      <c r="K86" s="117">
        <f t="shared" si="126"/>
        <v>0</v>
      </c>
      <c r="L86" s="123"/>
      <c r="M86" s="326"/>
      <c r="N86" s="326" t="str">
        <f t="shared" si="127"/>
        <v/>
      </c>
      <c r="O86" s="332">
        <v>1800000</v>
      </c>
      <c r="P86" s="140">
        <f t="shared" si="11"/>
        <v>0</v>
      </c>
      <c r="Q86" s="326" t="str">
        <f t="shared" si="128"/>
        <v>0</v>
      </c>
      <c r="R86" s="333">
        <f t="shared" si="129"/>
        <v>0</v>
      </c>
      <c r="S86" s="123"/>
      <c r="T86" s="326"/>
      <c r="U86" s="326" t="str">
        <f t="shared" si="130"/>
        <v/>
      </c>
      <c r="V86" s="332">
        <v>1800000</v>
      </c>
      <c r="W86" s="140">
        <f t="shared" si="15"/>
        <v>0</v>
      </c>
      <c r="X86" s="326" t="str">
        <f t="shared" si="131"/>
        <v>0</v>
      </c>
      <c r="Y86" s="333">
        <f t="shared" si="132"/>
        <v>0</v>
      </c>
      <c r="Z86" s="123"/>
      <c r="AA86" s="326"/>
      <c r="AB86" s="1257">
        <f t="shared" si="80"/>
        <v>3600000</v>
      </c>
      <c r="AC86" s="140" t="str">
        <f t="shared" si="144"/>
        <v>0</v>
      </c>
      <c r="AD86" s="326">
        <f t="shared" ref="AD86:AF86" si="159">SUM(W86,P86,I86)</f>
        <v>0</v>
      </c>
      <c r="AE86" s="326">
        <f t="shared" si="159"/>
        <v>0</v>
      </c>
      <c r="AF86" s="326">
        <f t="shared" si="159"/>
        <v>0</v>
      </c>
      <c r="AG86" s="326">
        <f t="shared" si="21"/>
        <v>0</v>
      </c>
      <c r="AH86" s="98" t="str">
        <f t="shared" si="37"/>
        <v/>
      </c>
      <c r="AI86" s="125"/>
      <c r="AJ86" s="140">
        <f t="shared" si="24"/>
        <v>480163.43</v>
      </c>
      <c r="AK86" s="123" t="str">
        <f t="shared" si="135"/>
        <v>0</v>
      </c>
      <c r="AL86" s="148">
        <f t="shared" si="136"/>
        <v>480163.43</v>
      </c>
      <c r="AM86" s="125"/>
      <c r="AN86" s="140">
        <f t="shared" si="28"/>
        <v>62328.91</v>
      </c>
      <c r="AO86" s="326"/>
      <c r="AP86" s="333">
        <v>62328.91</v>
      </c>
      <c r="AQ86" s="296" t="str">
        <f t="shared" si="138"/>
        <v/>
      </c>
    </row>
    <row r="87" spans="1:43" ht="13">
      <c r="A87" s="463">
        <f t="shared" si="119"/>
        <v>112014387</v>
      </c>
      <c r="B87" s="324">
        <f t="shared" si="120"/>
        <v>22</v>
      </c>
      <c r="C87" s="558">
        <f t="shared" si="121"/>
        <v>0.1</v>
      </c>
      <c r="D87" s="558">
        <f t="shared" si="122"/>
        <v>0.09</v>
      </c>
      <c r="E87" s="558">
        <f t="shared" si="123"/>
        <v>0</v>
      </c>
      <c r="F87" s="325" t="s">
        <v>1310</v>
      </c>
      <c r="G87" s="326" t="str">
        <f t="shared" ref="G87:G94" si="160">IFERROR(VLOOKUP(F87,tmkpechhhh24,3,FALSE),"")</f>
        <v/>
      </c>
      <c r="H87" s="1372">
        <v>1800000</v>
      </c>
      <c r="I87" s="113">
        <f t="shared" si="6"/>
        <v>1234435.8799999999</v>
      </c>
      <c r="J87" s="116">
        <f t="shared" si="125"/>
        <v>19165.259999999998</v>
      </c>
      <c r="K87" s="117">
        <f t="shared" si="126"/>
        <v>1253601.1399999999</v>
      </c>
      <c r="L87" s="123"/>
      <c r="M87" s="326"/>
      <c r="N87" s="326" t="str">
        <f t="shared" si="127"/>
        <v/>
      </c>
      <c r="O87" s="332">
        <v>1800000</v>
      </c>
      <c r="P87" s="140">
        <f t="shared" si="11"/>
        <v>320207.53000000003</v>
      </c>
      <c r="Q87" s="326">
        <f t="shared" si="128"/>
        <v>0</v>
      </c>
      <c r="R87" s="333">
        <f t="shared" si="129"/>
        <v>320207.53000000003</v>
      </c>
      <c r="S87" s="123"/>
      <c r="T87" s="326"/>
      <c r="U87" s="326" t="str">
        <f t="shared" si="130"/>
        <v/>
      </c>
      <c r="V87" s="332">
        <v>1800000</v>
      </c>
      <c r="W87" s="140">
        <f t="shared" si="15"/>
        <v>471919.71</v>
      </c>
      <c r="X87" s="326">
        <f t="shared" si="131"/>
        <v>0</v>
      </c>
      <c r="Y87" s="333">
        <f t="shared" si="132"/>
        <v>471919.71</v>
      </c>
      <c r="Z87" s="123"/>
      <c r="AA87" s="326"/>
      <c r="AB87" s="1257">
        <f t="shared" si="80"/>
        <v>5400000</v>
      </c>
      <c r="AC87" s="140" t="str">
        <f t="shared" si="144"/>
        <v>0</v>
      </c>
      <c r="AD87" s="326">
        <f t="shared" ref="AD87:AF87" si="161">SUM(W87,P87,I87)</f>
        <v>2026563.1199999999</v>
      </c>
      <c r="AE87" s="326">
        <f t="shared" si="161"/>
        <v>19165.259999999998</v>
      </c>
      <c r="AF87" s="326">
        <f t="shared" si="161"/>
        <v>2045728.38</v>
      </c>
      <c r="AG87" s="326">
        <f t="shared" si="21"/>
        <v>2045728.38</v>
      </c>
      <c r="AH87" s="98" t="str">
        <f t="shared" si="37"/>
        <v/>
      </c>
      <c r="AI87" s="125" t="str">
        <f t="shared" ref="AI87:AI94" si="162">IFERROR(VLOOKUP(F87,tmkpechhhh24,6,FALSE),"")</f>
        <v/>
      </c>
      <c r="AJ87" s="140">
        <f t="shared" si="24"/>
        <v>255914.18</v>
      </c>
      <c r="AK87" s="123">
        <f t="shared" si="135"/>
        <v>0</v>
      </c>
      <c r="AL87" s="148">
        <f t="shared" si="136"/>
        <v>255914.18</v>
      </c>
      <c r="AM87" s="125" t="str">
        <f t="shared" ref="AM87:AM94" si="163">IFERROR(VLOOKUP(F87,tmkpechhhh24,7,FALSE),"")</f>
        <v/>
      </c>
      <c r="AN87" s="140">
        <f t="shared" si="28"/>
        <v>0</v>
      </c>
      <c r="AO87" s="326"/>
      <c r="AP87" s="333"/>
      <c r="AQ87" s="296" t="str">
        <f t="shared" si="138"/>
        <v/>
      </c>
    </row>
    <row r="88" spans="1:43" ht="13">
      <c r="A88" s="463">
        <f t="shared" si="119"/>
        <v>112013474</v>
      </c>
      <c r="B88" s="324">
        <f t="shared" si="120"/>
        <v>20</v>
      </c>
      <c r="C88" s="558">
        <f t="shared" si="121"/>
        <v>0.05</v>
      </c>
      <c r="D88" s="558">
        <f t="shared" si="122"/>
        <v>0.09</v>
      </c>
      <c r="E88" s="558">
        <f t="shared" si="123"/>
        <v>0</v>
      </c>
      <c r="F88" s="325" t="s">
        <v>1065</v>
      </c>
      <c r="G88" s="326">
        <f t="shared" si="160"/>
        <v>407412.44</v>
      </c>
      <c r="H88" s="461">
        <v>1500000</v>
      </c>
      <c r="I88" s="113">
        <f t="shared" si="6"/>
        <v>102358.05</v>
      </c>
      <c r="J88" s="116" t="str">
        <f t="shared" si="125"/>
        <v>0</v>
      </c>
      <c r="K88" s="117">
        <f t="shared" si="126"/>
        <v>102358.05</v>
      </c>
      <c r="L88" s="123"/>
      <c r="M88" s="326"/>
      <c r="N88" s="326">
        <f t="shared" si="127"/>
        <v>19613.400000000001</v>
      </c>
      <c r="O88" s="332">
        <v>1800000</v>
      </c>
      <c r="P88" s="140">
        <f t="shared" si="11"/>
        <v>0</v>
      </c>
      <c r="Q88" s="326" t="str">
        <f t="shared" si="128"/>
        <v>0</v>
      </c>
      <c r="R88" s="333">
        <f t="shared" si="129"/>
        <v>0</v>
      </c>
      <c r="S88" s="123"/>
      <c r="T88" s="326"/>
      <c r="U88" s="326">
        <f t="shared" si="130"/>
        <v>0</v>
      </c>
      <c r="V88" s="332">
        <v>1800000</v>
      </c>
      <c r="W88" s="140">
        <f t="shared" si="15"/>
        <v>0</v>
      </c>
      <c r="X88" s="326" t="str">
        <f t="shared" si="131"/>
        <v>0</v>
      </c>
      <c r="Y88" s="333">
        <f t="shared" si="132"/>
        <v>0</v>
      </c>
      <c r="Z88" s="123"/>
      <c r="AA88" s="326"/>
      <c r="AB88" s="1257">
        <f t="shared" si="80"/>
        <v>5100000</v>
      </c>
      <c r="AC88" s="140">
        <f t="shared" si="144"/>
        <v>508332.05</v>
      </c>
      <c r="AD88" s="326">
        <f t="shared" ref="AD88:AF88" si="164">SUM(W88,P88,I88)</f>
        <v>102358.05</v>
      </c>
      <c r="AE88" s="326">
        <f t="shared" si="164"/>
        <v>0</v>
      </c>
      <c r="AF88" s="326">
        <f t="shared" si="164"/>
        <v>102358.05</v>
      </c>
      <c r="AG88" s="326">
        <f t="shared" si="21"/>
        <v>-405974</v>
      </c>
      <c r="AH88" s="98">
        <f t="shared" si="37"/>
        <v>0.20136060671366285</v>
      </c>
      <c r="AI88" s="125">
        <f t="shared" si="162"/>
        <v>0</v>
      </c>
      <c r="AJ88" s="140">
        <f t="shared" si="24"/>
        <v>0</v>
      </c>
      <c r="AK88" s="123" t="str">
        <f t="shared" si="135"/>
        <v>0</v>
      </c>
      <c r="AL88" s="148">
        <f t="shared" si="136"/>
        <v>0</v>
      </c>
      <c r="AM88" s="125">
        <f t="shared" si="163"/>
        <v>0</v>
      </c>
      <c r="AN88" s="140">
        <f t="shared" si="28"/>
        <v>0</v>
      </c>
      <c r="AO88" s="326"/>
      <c r="AP88" s="333"/>
      <c r="AQ88" s="296" t="str">
        <f t="shared" si="138"/>
        <v/>
      </c>
    </row>
    <row r="89" spans="1:43" ht="13">
      <c r="A89" s="463">
        <f t="shared" si="119"/>
        <v>112013460</v>
      </c>
      <c r="B89" s="324">
        <f t="shared" si="120"/>
        <v>20</v>
      </c>
      <c r="C89" s="558">
        <f t="shared" si="121"/>
        <v>0.05</v>
      </c>
      <c r="D89" s="558">
        <f t="shared" si="122"/>
        <v>0.09</v>
      </c>
      <c r="E89" s="558">
        <f t="shared" si="123"/>
        <v>0</v>
      </c>
      <c r="F89" s="325" t="s">
        <v>886</v>
      </c>
      <c r="G89" s="326" t="str">
        <f t="shared" si="160"/>
        <v/>
      </c>
      <c r="H89" s="461">
        <v>1500000</v>
      </c>
      <c r="I89" s="113">
        <f t="shared" si="6"/>
        <v>0</v>
      </c>
      <c r="J89" s="116" t="str">
        <f t="shared" si="125"/>
        <v>0</v>
      </c>
      <c r="K89" s="117">
        <f t="shared" si="126"/>
        <v>0</v>
      </c>
      <c r="L89" s="123"/>
      <c r="M89" s="326"/>
      <c r="N89" s="326" t="str">
        <f t="shared" si="127"/>
        <v/>
      </c>
      <c r="O89" s="332">
        <v>1800000</v>
      </c>
      <c r="P89" s="140">
        <f t="shared" si="11"/>
        <v>65849.990000000005</v>
      </c>
      <c r="Q89" s="326" t="str">
        <f t="shared" si="128"/>
        <v>0</v>
      </c>
      <c r="R89" s="333">
        <f t="shared" si="129"/>
        <v>65849.990000000005</v>
      </c>
      <c r="S89" s="123"/>
      <c r="T89" s="326"/>
      <c r="U89" s="326" t="str">
        <f t="shared" si="130"/>
        <v/>
      </c>
      <c r="V89" s="332">
        <v>1800000</v>
      </c>
      <c r="W89" s="140">
        <f t="shared" si="15"/>
        <v>0</v>
      </c>
      <c r="X89" s="326" t="str">
        <f t="shared" si="131"/>
        <v>0</v>
      </c>
      <c r="Y89" s="333">
        <f t="shared" si="132"/>
        <v>0</v>
      </c>
      <c r="Z89" s="123"/>
      <c r="AA89" s="326"/>
      <c r="AB89" s="1257">
        <f t="shared" si="80"/>
        <v>5100000</v>
      </c>
      <c r="AC89" s="140" t="str">
        <f t="shared" si="144"/>
        <v>0</v>
      </c>
      <c r="AD89" s="326">
        <f t="shared" ref="AD89:AF89" si="165">SUM(W89,P89,I89)</f>
        <v>65849.990000000005</v>
      </c>
      <c r="AE89" s="326">
        <f t="shared" si="165"/>
        <v>0</v>
      </c>
      <c r="AF89" s="326">
        <f t="shared" si="165"/>
        <v>65849.990000000005</v>
      </c>
      <c r="AG89" s="326">
        <f t="shared" si="21"/>
        <v>65849.990000000005</v>
      </c>
      <c r="AH89" s="98" t="str">
        <f t="shared" si="37"/>
        <v/>
      </c>
      <c r="AI89" s="125" t="str">
        <f t="shared" si="162"/>
        <v/>
      </c>
      <c r="AJ89" s="140">
        <f t="shared" si="24"/>
        <v>44672.09</v>
      </c>
      <c r="AK89" s="123" t="str">
        <f t="shared" si="135"/>
        <v>0</v>
      </c>
      <c r="AL89" s="148">
        <f t="shared" si="136"/>
        <v>44672.09</v>
      </c>
      <c r="AM89" s="125" t="str">
        <f t="shared" si="163"/>
        <v/>
      </c>
      <c r="AN89" s="140">
        <f t="shared" si="28"/>
        <v>320775.55</v>
      </c>
      <c r="AO89" s="326"/>
      <c r="AP89" s="333">
        <v>320775.55</v>
      </c>
      <c r="AQ89" s="296" t="str">
        <f t="shared" si="138"/>
        <v/>
      </c>
    </row>
    <row r="90" spans="1:43" ht="13">
      <c r="A90" s="463">
        <f t="shared" si="119"/>
        <v>112013730</v>
      </c>
      <c r="B90" s="324">
        <f t="shared" si="120"/>
        <v>20</v>
      </c>
      <c r="C90" s="558">
        <f t="shared" si="121"/>
        <v>0.05</v>
      </c>
      <c r="D90" s="558">
        <f t="shared" si="122"/>
        <v>0.09</v>
      </c>
      <c r="E90" s="558">
        <f t="shared" si="123"/>
        <v>0</v>
      </c>
      <c r="F90" s="325" t="s">
        <v>1062</v>
      </c>
      <c r="G90" s="326">
        <f t="shared" si="160"/>
        <v>0</v>
      </c>
      <c r="H90" s="461">
        <v>1500000</v>
      </c>
      <c r="I90" s="113">
        <f t="shared" si="6"/>
        <v>128958.82</v>
      </c>
      <c r="J90" s="116" t="str">
        <f t="shared" si="125"/>
        <v>0</v>
      </c>
      <c r="K90" s="117">
        <f t="shared" si="126"/>
        <v>128958.82</v>
      </c>
      <c r="L90" s="123"/>
      <c r="M90" s="326"/>
      <c r="N90" s="326">
        <f t="shared" si="127"/>
        <v>0</v>
      </c>
      <c r="O90" s="332">
        <v>1800000</v>
      </c>
      <c r="P90" s="140">
        <f t="shared" si="11"/>
        <v>0</v>
      </c>
      <c r="Q90" s="326" t="str">
        <f t="shared" si="128"/>
        <v>0</v>
      </c>
      <c r="R90" s="333">
        <f t="shared" si="129"/>
        <v>0</v>
      </c>
      <c r="S90" s="123"/>
      <c r="T90" s="326"/>
      <c r="U90" s="326">
        <f t="shared" si="130"/>
        <v>81655.78</v>
      </c>
      <c r="V90" s="332">
        <v>1800000</v>
      </c>
      <c r="W90" s="140">
        <f t="shared" si="15"/>
        <v>247361.39</v>
      </c>
      <c r="X90" s="326" t="str">
        <f t="shared" si="131"/>
        <v>0</v>
      </c>
      <c r="Y90" s="333">
        <f t="shared" si="132"/>
        <v>247361.39</v>
      </c>
      <c r="Z90" s="123"/>
      <c r="AA90" s="326"/>
      <c r="AB90" s="1257">
        <f t="shared" si="80"/>
        <v>5100000</v>
      </c>
      <c r="AC90" s="140" t="str">
        <f t="shared" si="144"/>
        <v>0</v>
      </c>
      <c r="AD90" s="326">
        <f t="shared" ref="AD90:AF90" si="166">SUM(W90,P90,I90)</f>
        <v>376320.21</v>
      </c>
      <c r="AE90" s="326">
        <f t="shared" si="166"/>
        <v>0</v>
      </c>
      <c r="AF90" s="326">
        <f t="shared" si="166"/>
        <v>376320.21</v>
      </c>
      <c r="AG90" s="326">
        <f t="shared" si="21"/>
        <v>376320.21</v>
      </c>
      <c r="AH90" s="98" t="str">
        <f t="shared" si="37"/>
        <v/>
      </c>
      <c r="AI90" s="125">
        <f t="shared" si="162"/>
        <v>148654.5</v>
      </c>
      <c r="AJ90" s="140">
        <f t="shared" si="24"/>
        <v>0</v>
      </c>
      <c r="AK90" s="123" t="str">
        <f t="shared" si="135"/>
        <v>0</v>
      </c>
      <c r="AL90" s="148">
        <f t="shared" si="136"/>
        <v>0</v>
      </c>
      <c r="AM90" s="125">
        <f t="shared" si="163"/>
        <v>0</v>
      </c>
      <c r="AN90" s="140">
        <f t="shared" si="28"/>
        <v>0</v>
      </c>
      <c r="AO90" s="326"/>
      <c r="AP90" s="333"/>
      <c r="AQ90" s="296" t="str">
        <f t="shared" si="138"/>
        <v/>
      </c>
    </row>
    <row r="91" spans="1:43" ht="13">
      <c r="A91" s="463">
        <f t="shared" si="119"/>
        <v>112013551</v>
      </c>
      <c r="B91" s="324">
        <f t="shared" si="120"/>
        <v>20</v>
      </c>
      <c r="C91" s="558">
        <f t="shared" si="121"/>
        <v>0.05</v>
      </c>
      <c r="D91" s="558">
        <f t="shared" si="122"/>
        <v>0.09</v>
      </c>
      <c r="E91" s="558">
        <f t="shared" si="123"/>
        <v>0</v>
      </c>
      <c r="F91" s="325" t="s">
        <v>1063</v>
      </c>
      <c r="G91" s="326">
        <f t="shared" si="160"/>
        <v>344342.07</v>
      </c>
      <c r="H91" s="461">
        <v>1500000</v>
      </c>
      <c r="I91" s="113">
        <f t="shared" si="6"/>
        <v>0</v>
      </c>
      <c r="J91" s="116">
        <f t="shared" si="125"/>
        <v>0</v>
      </c>
      <c r="K91" s="117">
        <f t="shared" si="126"/>
        <v>0</v>
      </c>
      <c r="L91" s="123"/>
      <c r="M91" s="326"/>
      <c r="N91" s="326">
        <f t="shared" si="127"/>
        <v>747180.38</v>
      </c>
      <c r="O91" s="332">
        <v>1800000</v>
      </c>
      <c r="P91" s="140">
        <f t="shared" si="11"/>
        <v>0</v>
      </c>
      <c r="Q91" s="326">
        <f t="shared" si="128"/>
        <v>0</v>
      </c>
      <c r="R91" s="333">
        <f t="shared" si="129"/>
        <v>0</v>
      </c>
      <c r="S91" s="123"/>
      <c r="T91" s="326"/>
      <c r="U91" s="326">
        <f t="shared" si="130"/>
        <v>446217.57</v>
      </c>
      <c r="V91" s="332">
        <v>1800000</v>
      </c>
      <c r="W91" s="140">
        <f t="shared" si="15"/>
        <v>0</v>
      </c>
      <c r="X91" s="326">
        <f t="shared" si="131"/>
        <v>0</v>
      </c>
      <c r="Y91" s="333">
        <f t="shared" si="132"/>
        <v>0</v>
      </c>
      <c r="Z91" s="123"/>
      <c r="AA91" s="326"/>
      <c r="AB91" s="1257">
        <f t="shared" si="80"/>
        <v>5100000</v>
      </c>
      <c r="AC91" s="140" t="str">
        <f t="shared" si="144"/>
        <v>0</v>
      </c>
      <c r="AD91" s="326">
        <f t="shared" ref="AD91:AF91" si="167">SUM(W91,P91,I91)</f>
        <v>0</v>
      </c>
      <c r="AE91" s="326">
        <f t="shared" si="167"/>
        <v>0</v>
      </c>
      <c r="AF91" s="326">
        <f t="shared" si="167"/>
        <v>0</v>
      </c>
      <c r="AG91" s="326">
        <f t="shared" si="21"/>
        <v>0</v>
      </c>
      <c r="AH91" s="98" t="str">
        <f t="shared" si="37"/>
        <v/>
      </c>
      <c r="AI91" s="125">
        <f t="shared" si="162"/>
        <v>0</v>
      </c>
      <c r="AJ91" s="140">
        <f t="shared" si="24"/>
        <v>305825.74</v>
      </c>
      <c r="AK91" s="123">
        <f t="shared" si="135"/>
        <v>0</v>
      </c>
      <c r="AL91" s="148">
        <f t="shared" si="136"/>
        <v>305825.74</v>
      </c>
      <c r="AM91" s="125">
        <f t="shared" si="163"/>
        <v>1025454.03</v>
      </c>
      <c r="AN91" s="140">
        <f t="shared" si="28"/>
        <v>0</v>
      </c>
      <c r="AO91" s="326">
        <v>9582.6299999999992</v>
      </c>
      <c r="AP91" s="333">
        <v>9582.6299999999992</v>
      </c>
      <c r="AQ91" s="296" t="str">
        <f t="shared" si="138"/>
        <v/>
      </c>
    </row>
    <row r="92" spans="1:43" ht="13">
      <c r="A92" s="463">
        <f t="shared" si="119"/>
        <v>112013513</v>
      </c>
      <c r="B92" s="324">
        <f t="shared" si="120"/>
        <v>20</v>
      </c>
      <c r="C92" s="558">
        <f t="shared" si="121"/>
        <v>0.05</v>
      </c>
      <c r="D92" s="558">
        <f t="shared" si="122"/>
        <v>0.09</v>
      </c>
      <c r="E92" s="558">
        <f t="shared" si="123"/>
        <v>0</v>
      </c>
      <c r="F92" s="325" t="s">
        <v>948</v>
      </c>
      <c r="G92" s="326">
        <f t="shared" si="160"/>
        <v>50429.57</v>
      </c>
      <c r="H92" s="461">
        <v>1500000</v>
      </c>
      <c r="I92" s="113">
        <f t="shared" si="6"/>
        <v>0</v>
      </c>
      <c r="J92" s="116" t="str">
        <f t="shared" si="125"/>
        <v>0</v>
      </c>
      <c r="K92" s="117">
        <f t="shared" si="126"/>
        <v>0</v>
      </c>
      <c r="L92" s="123"/>
      <c r="M92" s="326"/>
      <c r="N92" s="326">
        <f t="shared" si="127"/>
        <v>0</v>
      </c>
      <c r="O92" s="332">
        <v>1800000</v>
      </c>
      <c r="P92" s="140">
        <f t="shared" si="11"/>
        <v>30824.65</v>
      </c>
      <c r="Q92" s="326" t="str">
        <f t="shared" si="128"/>
        <v>0</v>
      </c>
      <c r="R92" s="333">
        <f t="shared" si="129"/>
        <v>30824.65</v>
      </c>
      <c r="S92" s="123"/>
      <c r="T92" s="326"/>
      <c r="U92" s="326">
        <f t="shared" si="130"/>
        <v>0</v>
      </c>
      <c r="V92" s="332">
        <v>1800000</v>
      </c>
      <c r="W92" s="140">
        <f t="shared" si="15"/>
        <v>96865.07</v>
      </c>
      <c r="X92" s="326" t="str">
        <f t="shared" si="131"/>
        <v>0</v>
      </c>
      <c r="Y92" s="333">
        <f t="shared" si="132"/>
        <v>96865.07</v>
      </c>
      <c r="Z92" s="123"/>
      <c r="AA92" s="326"/>
      <c r="AB92" s="1257">
        <f t="shared" si="80"/>
        <v>5100000</v>
      </c>
      <c r="AC92" s="140">
        <f t="shared" si="144"/>
        <v>94599.5</v>
      </c>
      <c r="AD92" s="326">
        <f t="shared" ref="AD92:AF92" si="168">SUM(W92,P92,I92)</f>
        <v>127689.72</v>
      </c>
      <c r="AE92" s="326">
        <f t="shared" si="168"/>
        <v>0</v>
      </c>
      <c r="AF92" s="326">
        <f t="shared" si="168"/>
        <v>127689.72</v>
      </c>
      <c r="AG92" s="326">
        <f t="shared" si="21"/>
        <v>33090.22</v>
      </c>
      <c r="AH92" s="98">
        <f t="shared" si="37"/>
        <v>1.3497927578898408</v>
      </c>
      <c r="AI92" s="125">
        <f t="shared" si="162"/>
        <v>22510.69</v>
      </c>
      <c r="AJ92" s="140">
        <f t="shared" si="24"/>
        <v>0</v>
      </c>
      <c r="AK92" s="123" t="str">
        <f t="shared" si="135"/>
        <v>0</v>
      </c>
      <c r="AL92" s="148">
        <f t="shared" si="136"/>
        <v>0</v>
      </c>
      <c r="AM92" s="125">
        <f t="shared" si="163"/>
        <v>17739.86</v>
      </c>
      <c r="AN92" s="140">
        <f t="shared" si="28"/>
        <v>0</v>
      </c>
      <c r="AO92" s="326"/>
      <c r="AP92" s="333"/>
      <c r="AQ92" s="296" t="str">
        <f t="shared" si="138"/>
        <v/>
      </c>
    </row>
    <row r="93" spans="1:43" ht="13">
      <c r="A93" s="463">
        <f t="shared" si="119"/>
        <v>112013891</v>
      </c>
      <c r="B93" s="324">
        <f t="shared" si="120"/>
        <v>20</v>
      </c>
      <c r="C93" s="558">
        <f t="shared" si="121"/>
        <v>0.05</v>
      </c>
      <c r="D93" s="558">
        <f t="shared" si="122"/>
        <v>0.09</v>
      </c>
      <c r="E93" s="558">
        <f t="shared" si="123"/>
        <v>0</v>
      </c>
      <c r="F93" s="325" t="s">
        <v>1061</v>
      </c>
      <c r="G93" s="326">
        <f t="shared" si="160"/>
        <v>56979</v>
      </c>
      <c r="H93" s="461">
        <v>1500000</v>
      </c>
      <c r="I93" s="113">
        <f t="shared" si="6"/>
        <v>0</v>
      </c>
      <c r="J93" s="116" t="str">
        <f t="shared" si="125"/>
        <v>0</v>
      </c>
      <c r="K93" s="117" t="str">
        <f t="shared" si="126"/>
        <v>0</v>
      </c>
      <c r="L93" s="123"/>
      <c r="M93" s="326"/>
      <c r="N93" s="326">
        <f t="shared" si="127"/>
        <v>0</v>
      </c>
      <c r="O93" s="332">
        <v>1800000</v>
      </c>
      <c r="P93" s="140">
        <f t="shared" si="11"/>
        <v>0</v>
      </c>
      <c r="Q93" s="326" t="str">
        <f t="shared" si="128"/>
        <v>0</v>
      </c>
      <c r="R93" s="333" t="str">
        <f t="shared" si="129"/>
        <v>0</v>
      </c>
      <c r="S93" s="123"/>
      <c r="T93" s="326"/>
      <c r="U93" s="326">
        <f t="shared" si="130"/>
        <v>0</v>
      </c>
      <c r="V93" s="332">
        <v>1800000</v>
      </c>
      <c r="W93" s="140">
        <f t="shared" si="15"/>
        <v>0</v>
      </c>
      <c r="X93" s="326" t="str">
        <f t="shared" si="131"/>
        <v>0</v>
      </c>
      <c r="Y93" s="333" t="str">
        <f t="shared" si="132"/>
        <v>0</v>
      </c>
      <c r="Z93" s="123"/>
      <c r="AA93" s="326"/>
      <c r="AB93" s="1257">
        <f t="shared" si="80"/>
        <v>5100000</v>
      </c>
      <c r="AC93" s="140" t="str">
        <f t="shared" si="144"/>
        <v>0</v>
      </c>
      <c r="AD93" s="326">
        <f t="shared" ref="AD93:AF93" si="169">SUM(W93,P93,I93)</f>
        <v>0</v>
      </c>
      <c r="AE93" s="326">
        <f t="shared" si="169"/>
        <v>0</v>
      </c>
      <c r="AF93" s="326">
        <f t="shared" si="169"/>
        <v>0</v>
      </c>
      <c r="AG93" s="326">
        <f t="shared" si="21"/>
        <v>0</v>
      </c>
      <c r="AH93" s="98" t="str">
        <f t="shared" si="37"/>
        <v/>
      </c>
      <c r="AI93" s="125">
        <f t="shared" si="162"/>
        <v>0</v>
      </c>
      <c r="AJ93" s="140">
        <f t="shared" si="24"/>
        <v>0</v>
      </c>
      <c r="AK93" s="123" t="str">
        <f t="shared" si="135"/>
        <v>0</v>
      </c>
      <c r="AL93" s="148" t="str">
        <f t="shared" si="136"/>
        <v>0</v>
      </c>
      <c r="AM93" s="125">
        <f t="shared" si="163"/>
        <v>180499.91</v>
      </c>
      <c r="AN93" s="140">
        <f t="shared" si="28"/>
        <v>0</v>
      </c>
      <c r="AO93" s="326"/>
      <c r="AP93" s="333"/>
      <c r="AQ93" s="296" t="str">
        <f t="shared" si="138"/>
        <v/>
      </c>
    </row>
    <row r="94" spans="1:43" ht="13">
      <c r="A94" s="463">
        <f t="shared" si="119"/>
        <v>112011567</v>
      </c>
      <c r="B94" s="324">
        <f t="shared" si="120"/>
        <v>20</v>
      </c>
      <c r="C94" s="558">
        <f t="shared" si="121"/>
        <v>0.05</v>
      </c>
      <c r="D94" s="558">
        <f t="shared" si="122"/>
        <v>0.09</v>
      </c>
      <c r="E94" s="558">
        <f t="shared" si="123"/>
        <v>0</v>
      </c>
      <c r="F94" s="325" t="s">
        <v>1344</v>
      </c>
      <c r="G94" s="326">
        <f t="shared" si="160"/>
        <v>152569.82999999999</v>
      </c>
      <c r="H94" s="461">
        <v>1500000</v>
      </c>
      <c r="I94" s="113">
        <f t="shared" si="6"/>
        <v>293462.3</v>
      </c>
      <c r="J94" s="116" t="str">
        <f t="shared" si="125"/>
        <v>0</v>
      </c>
      <c r="K94" s="117">
        <f t="shared" si="126"/>
        <v>293462.3</v>
      </c>
      <c r="L94" s="1373"/>
      <c r="M94" s="1276"/>
      <c r="N94" s="1276">
        <f t="shared" si="127"/>
        <v>0</v>
      </c>
      <c r="O94" s="1374">
        <v>1800000</v>
      </c>
      <c r="P94" s="140">
        <f t="shared" si="11"/>
        <v>166660.19</v>
      </c>
      <c r="Q94" s="326" t="str">
        <f t="shared" si="128"/>
        <v>0</v>
      </c>
      <c r="R94" s="333">
        <f t="shared" si="129"/>
        <v>166660.19</v>
      </c>
      <c r="S94" s="123"/>
      <c r="T94" s="326"/>
      <c r="U94" s="326">
        <f t="shared" si="130"/>
        <v>239417.61</v>
      </c>
      <c r="V94" s="332">
        <v>1800000</v>
      </c>
      <c r="W94" s="140">
        <f t="shared" si="15"/>
        <v>335043.40000000002</v>
      </c>
      <c r="X94" s="326" t="str">
        <f t="shared" si="131"/>
        <v>0</v>
      </c>
      <c r="Y94" s="333">
        <f t="shared" si="132"/>
        <v>335043.40000000002</v>
      </c>
      <c r="Z94" s="123"/>
      <c r="AA94" s="326"/>
      <c r="AB94" s="1257">
        <f t="shared" si="80"/>
        <v>5100000</v>
      </c>
      <c r="AC94" s="140">
        <f t="shared" si="144"/>
        <v>197571.51</v>
      </c>
      <c r="AD94" s="326">
        <f t="shared" ref="AD94:AF94" si="170">SUM(W94,P94,I94)</f>
        <v>795165.89</v>
      </c>
      <c r="AE94" s="326">
        <f t="shared" si="170"/>
        <v>0</v>
      </c>
      <c r="AF94" s="326">
        <f t="shared" si="170"/>
        <v>795165.89</v>
      </c>
      <c r="AG94" s="326">
        <f t="shared" si="21"/>
        <v>597594.38</v>
      </c>
      <c r="AH94" s="98">
        <f t="shared" si="37"/>
        <v>4.0246991582946343</v>
      </c>
      <c r="AI94" s="125">
        <f t="shared" si="162"/>
        <v>0</v>
      </c>
      <c r="AJ94" s="140">
        <f t="shared" si="24"/>
        <v>0</v>
      </c>
      <c r="AK94" s="123" t="str">
        <f t="shared" si="135"/>
        <v>0</v>
      </c>
      <c r="AL94" s="148">
        <f t="shared" si="136"/>
        <v>0</v>
      </c>
      <c r="AM94" s="125">
        <f t="shared" si="163"/>
        <v>0</v>
      </c>
      <c r="AN94" s="140">
        <f t="shared" si="28"/>
        <v>429093.71</v>
      </c>
      <c r="AO94" s="326"/>
      <c r="AP94" s="333">
        <v>429093.71</v>
      </c>
      <c r="AQ94" s="296" t="str">
        <f t="shared" si="138"/>
        <v/>
      </c>
    </row>
    <row r="95" spans="1:43" ht="13">
      <c r="A95" s="463">
        <f t="shared" si="119"/>
        <v>112013512</v>
      </c>
      <c r="B95" s="324">
        <f t="shared" si="120"/>
        <v>20</v>
      </c>
      <c r="C95" s="699">
        <f t="shared" si="121"/>
        <v>0.05</v>
      </c>
      <c r="D95" s="699">
        <f t="shared" si="122"/>
        <v>0.09</v>
      </c>
      <c r="E95" s="699">
        <f t="shared" si="123"/>
        <v>0</v>
      </c>
      <c r="F95" s="463" t="s">
        <v>1472</v>
      </c>
      <c r="G95" s="116" t="str">
        <f>IFERROR(VLOOKUP(F95,ROTELA,3,FALSE),"")</f>
        <v/>
      </c>
      <c r="H95" s="461">
        <v>1500000</v>
      </c>
      <c r="I95" s="113">
        <f t="shared" si="6"/>
        <v>516045.17</v>
      </c>
      <c r="J95" s="116" t="str">
        <f t="shared" si="125"/>
        <v>0</v>
      </c>
      <c r="K95" s="117">
        <f t="shared" si="126"/>
        <v>516045.17</v>
      </c>
      <c r="L95" s="114"/>
      <c r="M95" s="116"/>
      <c r="N95" s="116" t="str">
        <f>IFERROR(VLOOKUP(F95,ROTELA,4,FALSE),"")</f>
        <v/>
      </c>
      <c r="O95" s="121">
        <v>1500000</v>
      </c>
      <c r="P95" s="140">
        <f t="shared" si="11"/>
        <v>0</v>
      </c>
      <c r="Q95" s="326" t="str">
        <f t="shared" si="128"/>
        <v>0</v>
      </c>
      <c r="R95" s="333">
        <f t="shared" si="129"/>
        <v>0</v>
      </c>
      <c r="S95" s="114"/>
      <c r="T95" s="116"/>
      <c r="U95" s="116" t="str">
        <f>IFERROR(VLOOKUP(F95,ROTELA,5,FALSE),"")</f>
        <v/>
      </c>
      <c r="V95" s="121">
        <v>1500000</v>
      </c>
      <c r="W95" s="140">
        <f t="shared" si="15"/>
        <v>452630</v>
      </c>
      <c r="X95" s="326" t="str">
        <f t="shared" si="131"/>
        <v>0</v>
      </c>
      <c r="Y95" s="333">
        <f t="shared" si="132"/>
        <v>452630</v>
      </c>
      <c r="Z95" s="114"/>
      <c r="AA95" s="116"/>
      <c r="AB95" s="1252">
        <f t="shared" si="80"/>
        <v>4500000</v>
      </c>
      <c r="AC95" s="140" t="str">
        <f t="shared" si="144"/>
        <v>0</v>
      </c>
      <c r="AD95" s="326">
        <f t="shared" ref="AD95:AF95" si="171">SUM(W95,P95,I95)</f>
        <v>968675.16999999993</v>
      </c>
      <c r="AE95" s="326">
        <f t="shared" si="171"/>
        <v>0</v>
      </c>
      <c r="AF95" s="326">
        <f t="shared" si="171"/>
        <v>968675.16999999993</v>
      </c>
      <c r="AG95" s="326">
        <f t="shared" si="21"/>
        <v>968675.16999999993</v>
      </c>
      <c r="AH95" s="98" t="str">
        <f t="shared" si="37"/>
        <v/>
      </c>
      <c r="AI95" s="125" t="str">
        <f>IFERROR(VLOOKUP(F95,ROTELA,6,FALSE),"")</f>
        <v/>
      </c>
      <c r="AJ95" s="140">
        <f t="shared" si="24"/>
        <v>310020.15000000002</v>
      </c>
      <c r="AK95" s="123" t="str">
        <f t="shared" si="135"/>
        <v>0</v>
      </c>
      <c r="AL95" s="148">
        <f t="shared" si="136"/>
        <v>310020.15000000002</v>
      </c>
      <c r="AM95" s="125" t="str">
        <f>IFERROR(VLOOKUP(F95,ROTELA,7,FALSE),"")</f>
        <v/>
      </c>
      <c r="AN95" s="140">
        <f t="shared" si="28"/>
        <v>0</v>
      </c>
      <c r="AO95" s="326"/>
      <c r="AP95" s="333"/>
      <c r="AQ95" s="296" t="str">
        <f t="shared" si="138"/>
        <v/>
      </c>
    </row>
    <row r="96" spans="1:43" ht="13">
      <c r="A96" s="463">
        <f t="shared" si="119"/>
        <v>112014045</v>
      </c>
      <c r="B96" s="324">
        <f t="shared" si="120"/>
        <v>4</v>
      </c>
      <c r="C96" s="558" t="str">
        <f t="shared" si="121"/>
        <v>Lista</v>
      </c>
      <c r="D96" s="558">
        <f t="shared" si="122"/>
        <v>0.2</v>
      </c>
      <c r="E96" s="558">
        <f t="shared" si="123"/>
        <v>0</v>
      </c>
      <c r="F96" s="325" t="s">
        <v>641</v>
      </c>
      <c r="G96" s="326">
        <f t="shared" ref="G96:G104" si="172">IFERROR(VLOOKUP(F96,tmkpechhhh24,3,FALSE),"")</f>
        <v>527819.42000000004</v>
      </c>
      <c r="H96" s="332">
        <f t="shared" ref="H96:H104" si="173">(G96*1.601)*1.05</f>
        <v>887290.83599100006</v>
      </c>
      <c r="I96" s="113">
        <f t="shared" si="6"/>
        <v>0</v>
      </c>
      <c r="J96" s="116">
        <f t="shared" si="125"/>
        <v>914122.8</v>
      </c>
      <c r="K96" s="117">
        <f t="shared" si="126"/>
        <v>914122.8</v>
      </c>
      <c r="L96" s="123"/>
      <c r="M96" s="326"/>
      <c r="N96" s="326">
        <f t="shared" ref="N96:N108" si="174">IFERROR(VLOOKUP(F96,tmkpechhhh24,4,FALSE),"")</f>
        <v>32982.480000000003</v>
      </c>
      <c r="O96" s="332">
        <v>1500000</v>
      </c>
      <c r="P96" s="140">
        <f t="shared" si="11"/>
        <v>0</v>
      </c>
      <c r="Q96" s="326">
        <f t="shared" si="128"/>
        <v>917570.58</v>
      </c>
      <c r="R96" s="333">
        <f t="shared" si="129"/>
        <v>917570.58</v>
      </c>
      <c r="S96" s="123"/>
      <c r="T96" s="326"/>
      <c r="U96" s="326">
        <f t="shared" ref="U96:U108" si="175">IFERROR(VLOOKUP(F96,tmkpechhhh24,5,FALSE),"")</f>
        <v>959725.42</v>
      </c>
      <c r="V96" s="332">
        <v>1500000</v>
      </c>
      <c r="W96" s="140">
        <f t="shared" si="15"/>
        <v>0</v>
      </c>
      <c r="X96" s="326">
        <f t="shared" si="131"/>
        <v>666030.46</v>
      </c>
      <c r="Y96" s="333">
        <f t="shared" si="132"/>
        <v>666030.46</v>
      </c>
      <c r="Z96" s="123"/>
      <c r="AA96" s="326"/>
      <c r="AB96" s="1257">
        <f t="shared" si="80"/>
        <v>3887290.8359909998</v>
      </c>
      <c r="AC96" s="140">
        <f t="shared" si="144"/>
        <v>2268237.7799999998</v>
      </c>
      <c r="AD96" s="326">
        <f t="shared" ref="AD96:AF96" si="176">SUM(W96,P96,I96)</f>
        <v>0</v>
      </c>
      <c r="AE96" s="326">
        <f t="shared" si="176"/>
        <v>2497723.84</v>
      </c>
      <c r="AF96" s="326">
        <f t="shared" si="176"/>
        <v>2497723.84</v>
      </c>
      <c r="AG96" s="326">
        <f t="shared" si="21"/>
        <v>229486.06000000006</v>
      </c>
      <c r="AH96" s="98">
        <f t="shared" si="37"/>
        <v>1.101173722624442</v>
      </c>
      <c r="AI96" s="125">
        <f t="shared" ref="AI96:AI108" si="177">IFERROR(VLOOKUP(F96,tmkpechhhh24,6,FALSE),"")</f>
        <v>1446449.14</v>
      </c>
      <c r="AJ96" s="140">
        <f t="shared" si="24"/>
        <v>0</v>
      </c>
      <c r="AK96" s="123">
        <f t="shared" si="135"/>
        <v>802186.78</v>
      </c>
      <c r="AL96" s="148">
        <f t="shared" si="136"/>
        <v>802186.78</v>
      </c>
      <c r="AM96" s="125">
        <f t="shared" ref="AM96:AM108" si="178">IFERROR(VLOOKUP(F96,tmkpechhhh24,7,FALSE),"")</f>
        <v>822950.18</v>
      </c>
      <c r="AN96" s="140">
        <f t="shared" si="28"/>
        <v>0</v>
      </c>
      <c r="AO96" s="326">
        <v>93585.7</v>
      </c>
      <c r="AP96" s="333">
        <v>93585.7</v>
      </c>
      <c r="AQ96" s="296" t="str">
        <f t="shared" si="138"/>
        <v/>
      </c>
    </row>
    <row r="97" spans="1:43" ht="13">
      <c r="A97" s="463">
        <f t="shared" si="119"/>
        <v>112012824</v>
      </c>
      <c r="B97" s="324">
        <f t="shared" si="120"/>
        <v>4</v>
      </c>
      <c r="C97" s="558" t="str">
        <f t="shared" si="121"/>
        <v>Lista</v>
      </c>
      <c r="D97" s="558">
        <f t="shared" si="122"/>
        <v>0.2</v>
      </c>
      <c r="E97" s="558">
        <f t="shared" si="123"/>
        <v>0</v>
      </c>
      <c r="F97" s="325" t="s">
        <v>1039</v>
      </c>
      <c r="G97" s="326" t="str">
        <f t="shared" si="172"/>
        <v/>
      </c>
      <c r="H97" s="332" t="e">
        <f t="shared" si="173"/>
        <v>#VALUE!</v>
      </c>
      <c r="I97" s="113">
        <f t="shared" si="6"/>
        <v>0</v>
      </c>
      <c r="J97" s="116">
        <f t="shared" si="125"/>
        <v>0</v>
      </c>
      <c r="K97" s="117">
        <f t="shared" si="126"/>
        <v>0</v>
      </c>
      <c r="L97" s="123"/>
      <c r="M97" s="326"/>
      <c r="N97" s="326" t="str">
        <f t="shared" si="174"/>
        <v/>
      </c>
      <c r="O97" s="332">
        <v>1500000</v>
      </c>
      <c r="P97" s="140">
        <f t="shared" si="11"/>
        <v>0</v>
      </c>
      <c r="Q97" s="326">
        <f t="shared" si="128"/>
        <v>0</v>
      </c>
      <c r="R97" s="333">
        <f t="shared" si="129"/>
        <v>0</v>
      </c>
      <c r="S97" s="123"/>
      <c r="T97" s="326"/>
      <c r="U97" s="326" t="str">
        <f t="shared" si="175"/>
        <v/>
      </c>
      <c r="V97" s="332">
        <v>1500000</v>
      </c>
      <c r="W97" s="140">
        <f t="shared" si="15"/>
        <v>0</v>
      </c>
      <c r="X97" s="326">
        <f t="shared" si="131"/>
        <v>3952379.29</v>
      </c>
      <c r="Y97" s="333">
        <f t="shared" si="132"/>
        <v>3952379.29</v>
      </c>
      <c r="Z97" s="123"/>
      <c r="AA97" s="326"/>
      <c r="AB97" s="1257" t="e">
        <f t="shared" si="80"/>
        <v>#VALUE!</v>
      </c>
      <c r="AC97" s="140" t="str">
        <f t="shared" si="144"/>
        <v>0</v>
      </c>
      <c r="AD97" s="326">
        <f t="shared" ref="AD97:AF97" si="179">SUM(W97,P97,I97)</f>
        <v>0</v>
      </c>
      <c r="AE97" s="326">
        <f t="shared" si="179"/>
        <v>3952379.29</v>
      </c>
      <c r="AF97" s="326">
        <f t="shared" si="179"/>
        <v>3952379.29</v>
      </c>
      <c r="AG97" s="326">
        <f t="shared" si="21"/>
        <v>3952379.29</v>
      </c>
      <c r="AH97" s="98" t="str">
        <f t="shared" si="37"/>
        <v/>
      </c>
      <c r="AI97" s="125" t="str">
        <f t="shared" si="177"/>
        <v/>
      </c>
      <c r="AJ97" s="140">
        <f t="shared" si="24"/>
        <v>108582.13000000012</v>
      </c>
      <c r="AK97" s="123">
        <f t="shared" si="135"/>
        <v>1083391.71</v>
      </c>
      <c r="AL97" s="148">
        <f t="shared" si="136"/>
        <v>1191973.8400000001</v>
      </c>
      <c r="AM97" s="125" t="str">
        <f t="shared" si="178"/>
        <v/>
      </c>
      <c r="AN97" s="140">
        <f t="shared" si="28"/>
        <v>0</v>
      </c>
      <c r="AO97" s="326">
        <v>2415724.37</v>
      </c>
      <c r="AP97" s="333">
        <v>2415724.37</v>
      </c>
      <c r="AQ97" s="296" t="str">
        <f t="shared" si="138"/>
        <v/>
      </c>
    </row>
    <row r="98" spans="1:43" ht="13">
      <c r="A98" s="463">
        <f t="shared" ref="A98:A118" si="180">VLOOKUP(F98,ROTELACARTERA,3,FALSE)</f>
        <v>112014556</v>
      </c>
      <c r="B98" s="324">
        <f t="shared" ref="B98:B118" si="181">VLOOKUP(F98,ROTELACARTERA,2,FALSE)</f>
        <v>1</v>
      </c>
      <c r="C98" s="558" t="str">
        <f t="shared" ref="C98:C129" si="182">IFERROR(VLOOKUP(B98,DES,2,FALSE),"")</f>
        <v>Lista</v>
      </c>
      <c r="D98" s="558">
        <f t="shared" ref="D98:D118" si="183">IFERROR(VLOOKUP(B98,DES,3,FALSE),"")</f>
        <v>0.09</v>
      </c>
      <c r="E98" s="558">
        <f t="shared" ref="E98:E118" si="184">IFERROR(VLOOKUP(B98,DES,4,FALSE),"")</f>
        <v>0</v>
      </c>
      <c r="F98" s="325" t="s">
        <v>1481</v>
      </c>
      <c r="G98" s="326" t="str">
        <f t="shared" si="172"/>
        <v/>
      </c>
      <c r="H98" s="332" t="e">
        <f t="shared" si="173"/>
        <v>#VALUE!</v>
      </c>
      <c r="I98" s="113">
        <f t="shared" si="6"/>
        <v>0</v>
      </c>
      <c r="J98" s="116" t="str">
        <f t="shared" ref="J98:J118" si="185">IFERROR(VLOOKUP(F98,ROTELALIM,3,FALSE),"0")</f>
        <v>0</v>
      </c>
      <c r="K98" s="117">
        <f t="shared" ref="K98:K118" si="186">IFERROR(VLOOKUP(F98,ROTEFC,3,FALSE),"0")</f>
        <v>0</v>
      </c>
      <c r="L98" s="123"/>
      <c r="M98" s="326"/>
      <c r="N98" s="326" t="str">
        <f t="shared" si="174"/>
        <v/>
      </c>
      <c r="O98" s="332">
        <v>1500000</v>
      </c>
      <c r="P98" s="140">
        <f t="shared" si="11"/>
        <v>0</v>
      </c>
      <c r="Q98" s="326" t="str">
        <f t="shared" ref="Q98:Q118" si="187">IFERROR(VLOOKUP(F98,ROTELALIM,4,FALSE),"0")</f>
        <v>0</v>
      </c>
      <c r="R98" s="333">
        <f t="shared" ref="R98:R118" si="188">IFERROR(VLOOKUP(F98,ROTEFC,4,FALSE),"0")</f>
        <v>0</v>
      </c>
      <c r="S98" s="123"/>
      <c r="T98" s="326"/>
      <c r="U98" s="326" t="str">
        <f t="shared" si="175"/>
        <v/>
      </c>
      <c r="V98" s="332">
        <v>1500000</v>
      </c>
      <c r="W98" s="140">
        <f t="shared" si="15"/>
        <v>52718.239999999998</v>
      </c>
      <c r="X98" s="326" t="str">
        <f t="shared" ref="X98:X118" si="189">IFERROR(VLOOKUP(F98,ROTELALIM,5,FALSE),"0")</f>
        <v>0</v>
      </c>
      <c r="Y98" s="333">
        <f t="shared" ref="Y98:Y118" si="190">IFERROR(VLOOKUP(F98,ROTEFC,5,FALSE),"0")</f>
        <v>52718.239999999998</v>
      </c>
      <c r="Z98" s="123"/>
      <c r="AA98" s="326"/>
      <c r="AB98" s="1257" t="e">
        <f t="shared" si="80"/>
        <v>#VALUE!</v>
      </c>
      <c r="AC98" s="140" t="str">
        <f t="shared" si="144"/>
        <v>0</v>
      </c>
      <c r="AD98" s="326">
        <f t="shared" ref="AD98:AF98" si="191">SUM(W98,P98,I98)</f>
        <v>52718.239999999998</v>
      </c>
      <c r="AE98" s="326">
        <f t="shared" si="191"/>
        <v>0</v>
      </c>
      <c r="AF98" s="326">
        <f t="shared" si="191"/>
        <v>52718.239999999998</v>
      </c>
      <c r="AG98" s="326">
        <f t="shared" si="21"/>
        <v>52718.239999999998</v>
      </c>
      <c r="AH98" s="98" t="str">
        <f t="shared" si="37"/>
        <v/>
      </c>
      <c r="AI98" s="125" t="str">
        <f t="shared" si="177"/>
        <v/>
      </c>
      <c r="AJ98" s="140">
        <f t="shared" si="24"/>
        <v>0</v>
      </c>
      <c r="AK98" s="123" t="str">
        <f t="shared" ref="AK98:AK118" si="192">IFERROR(VLOOKUP(F98,ROTELALIM,6,FALSE),"0")</f>
        <v>0</v>
      </c>
      <c r="AL98" s="148">
        <f t="shared" ref="AL98:AL118" si="193">IFERROR(VLOOKUP(F98,ROTEFC,6,FALSE),"0")</f>
        <v>0</v>
      </c>
      <c r="AM98" s="125" t="str">
        <f t="shared" si="178"/>
        <v/>
      </c>
      <c r="AN98" s="140">
        <f t="shared" si="28"/>
        <v>0</v>
      </c>
      <c r="AO98" s="326" t="str">
        <f t="shared" ref="AO98:AO118" si="194">IFERROR(VLOOKUP(F98,ROTELALIM,7,FALSE),"0")</f>
        <v>0</v>
      </c>
      <c r="AP98" s="333"/>
      <c r="AQ98" s="296" t="str">
        <f t="shared" ref="AQ98:AQ118" si="195">IFERROR(VLOOKUP(F98,tmkpechhhh24,,FALSE),"")</f>
        <v/>
      </c>
    </row>
    <row r="99" spans="1:43" ht="13">
      <c r="A99" s="463">
        <f t="shared" si="180"/>
        <v>112013714</v>
      </c>
      <c r="B99" s="324">
        <f t="shared" si="181"/>
        <v>0</v>
      </c>
      <c r="C99" s="558" t="str">
        <f t="shared" si="182"/>
        <v/>
      </c>
      <c r="D99" s="558" t="str">
        <f t="shared" si="183"/>
        <v/>
      </c>
      <c r="E99" s="558" t="str">
        <f t="shared" si="184"/>
        <v/>
      </c>
      <c r="F99" s="325" t="s">
        <v>1529</v>
      </c>
      <c r="G99" s="326" t="str">
        <f t="shared" si="172"/>
        <v/>
      </c>
      <c r="H99" s="332" t="e">
        <f t="shared" si="173"/>
        <v>#VALUE!</v>
      </c>
      <c r="I99" s="113">
        <f t="shared" si="6"/>
        <v>0</v>
      </c>
      <c r="J99" s="116">
        <f t="shared" si="185"/>
        <v>0</v>
      </c>
      <c r="K99" s="117">
        <f t="shared" si="186"/>
        <v>0</v>
      </c>
      <c r="L99" s="123"/>
      <c r="M99" s="326"/>
      <c r="N99" s="326" t="str">
        <f t="shared" si="174"/>
        <v/>
      </c>
      <c r="O99" s="332">
        <v>1500000</v>
      </c>
      <c r="P99" s="140">
        <f t="shared" si="11"/>
        <v>0</v>
      </c>
      <c r="Q99" s="326">
        <f t="shared" si="187"/>
        <v>0</v>
      </c>
      <c r="R99" s="333">
        <f t="shared" si="188"/>
        <v>0</v>
      </c>
      <c r="S99" s="123"/>
      <c r="T99" s="326"/>
      <c r="U99" s="326" t="str">
        <f t="shared" si="175"/>
        <v/>
      </c>
      <c r="V99" s="332">
        <v>1500000</v>
      </c>
      <c r="W99" s="140">
        <f t="shared" si="15"/>
        <v>0</v>
      </c>
      <c r="X99" s="326">
        <f t="shared" si="189"/>
        <v>0</v>
      </c>
      <c r="Y99" s="333">
        <f t="shared" si="190"/>
        <v>0</v>
      </c>
      <c r="Z99" s="123"/>
      <c r="AA99" s="326"/>
      <c r="AB99" s="1257" t="e">
        <f t="shared" si="80"/>
        <v>#VALUE!</v>
      </c>
      <c r="AC99" s="140">
        <f t="shared" si="144"/>
        <v>83475.88</v>
      </c>
      <c r="AD99" s="326">
        <f t="shared" ref="AD99:AF99" si="196">SUM(W99,P99,I99)</f>
        <v>0</v>
      </c>
      <c r="AE99" s="326">
        <f t="shared" si="196"/>
        <v>0</v>
      </c>
      <c r="AF99" s="326">
        <f t="shared" si="196"/>
        <v>0</v>
      </c>
      <c r="AG99" s="326">
        <f t="shared" si="21"/>
        <v>-83475.88</v>
      </c>
      <c r="AH99" s="98">
        <f t="shared" si="37"/>
        <v>0</v>
      </c>
      <c r="AI99" s="125" t="str">
        <f t="shared" si="177"/>
        <v/>
      </c>
      <c r="AJ99" s="140">
        <f t="shared" si="24"/>
        <v>64704.85</v>
      </c>
      <c r="AK99" s="123">
        <f t="shared" si="192"/>
        <v>27224.9</v>
      </c>
      <c r="AL99" s="148">
        <f t="shared" si="193"/>
        <v>91929.75</v>
      </c>
      <c r="AM99" s="125" t="str">
        <f t="shared" si="178"/>
        <v/>
      </c>
      <c r="AN99" s="140">
        <f t="shared" si="28"/>
        <v>0</v>
      </c>
      <c r="AO99" s="326">
        <f t="shared" si="194"/>
        <v>0</v>
      </c>
      <c r="AP99" s="333"/>
      <c r="AQ99" s="296" t="str">
        <f t="shared" si="195"/>
        <v/>
      </c>
    </row>
    <row r="100" spans="1:43" ht="13">
      <c r="A100" s="463">
        <f t="shared" si="180"/>
        <v>112010784</v>
      </c>
      <c r="B100" s="324">
        <f t="shared" si="181"/>
        <v>1</v>
      </c>
      <c r="C100" s="558" t="str">
        <f t="shared" si="182"/>
        <v>Lista</v>
      </c>
      <c r="D100" s="558">
        <f t="shared" si="183"/>
        <v>0.09</v>
      </c>
      <c r="E100" s="558">
        <f t="shared" si="184"/>
        <v>0</v>
      </c>
      <c r="F100" s="325" t="s">
        <v>1513</v>
      </c>
      <c r="G100" s="326">
        <f t="shared" si="172"/>
        <v>51787.88</v>
      </c>
      <c r="H100" s="332">
        <f t="shared" si="173"/>
        <v>87058.015673999995</v>
      </c>
      <c r="I100" s="113">
        <f t="shared" si="6"/>
        <v>97485.91</v>
      </c>
      <c r="J100" s="116" t="str">
        <f t="shared" si="185"/>
        <v>0</v>
      </c>
      <c r="K100" s="117">
        <f t="shared" si="186"/>
        <v>97485.91</v>
      </c>
      <c r="L100" s="123"/>
      <c r="M100" s="326"/>
      <c r="N100" s="326">
        <f t="shared" si="174"/>
        <v>-4760.25</v>
      </c>
      <c r="O100" s="332">
        <v>1500000</v>
      </c>
      <c r="P100" s="140">
        <f t="shared" si="11"/>
        <v>0</v>
      </c>
      <c r="Q100" s="326" t="str">
        <f t="shared" si="187"/>
        <v>0</v>
      </c>
      <c r="R100" s="333">
        <f t="shared" si="188"/>
        <v>0</v>
      </c>
      <c r="S100" s="123"/>
      <c r="T100" s="326"/>
      <c r="U100" s="326">
        <f t="shared" si="175"/>
        <v>0</v>
      </c>
      <c r="V100" s="332">
        <v>1500000</v>
      </c>
      <c r="W100" s="140">
        <f t="shared" si="15"/>
        <v>0</v>
      </c>
      <c r="X100" s="326" t="str">
        <f t="shared" si="189"/>
        <v>0</v>
      </c>
      <c r="Y100" s="333">
        <f t="shared" si="190"/>
        <v>0</v>
      </c>
      <c r="Z100" s="123"/>
      <c r="AA100" s="326"/>
      <c r="AB100" s="1257">
        <f t="shared" si="80"/>
        <v>3087058.0156739997</v>
      </c>
      <c r="AC100" s="140" t="str">
        <f t="shared" si="144"/>
        <v>0</v>
      </c>
      <c r="AD100" s="326">
        <f t="shared" ref="AD100:AF100" si="197">SUM(W100,P100,I100)</f>
        <v>97485.91</v>
      </c>
      <c r="AE100" s="326">
        <f t="shared" si="197"/>
        <v>0</v>
      </c>
      <c r="AF100" s="326">
        <f t="shared" si="197"/>
        <v>97485.91</v>
      </c>
      <c r="AG100" s="326">
        <f t="shared" si="21"/>
        <v>97485.91</v>
      </c>
      <c r="AH100" s="98" t="str">
        <f t="shared" si="37"/>
        <v/>
      </c>
      <c r="AI100" s="125">
        <f t="shared" si="177"/>
        <v>0</v>
      </c>
      <c r="AJ100" s="140">
        <f t="shared" si="24"/>
        <v>0</v>
      </c>
      <c r="AK100" s="123" t="str">
        <f t="shared" si="192"/>
        <v>0</v>
      </c>
      <c r="AL100" s="148">
        <f t="shared" si="193"/>
        <v>0</v>
      </c>
      <c r="AM100" s="125">
        <f t="shared" si="178"/>
        <v>90029.92</v>
      </c>
      <c r="AN100" s="140">
        <f t="shared" si="28"/>
        <v>0</v>
      </c>
      <c r="AO100" s="326" t="str">
        <f t="shared" si="194"/>
        <v>0</v>
      </c>
      <c r="AP100" s="333"/>
      <c r="AQ100" s="296" t="str">
        <f t="shared" si="195"/>
        <v/>
      </c>
    </row>
    <row r="101" spans="1:43" ht="13">
      <c r="A101" s="463">
        <f t="shared" si="180"/>
        <v>112013897</v>
      </c>
      <c r="B101" s="324">
        <f t="shared" si="181"/>
        <v>1</v>
      </c>
      <c r="C101" s="558" t="str">
        <f t="shared" si="182"/>
        <v>Lista</v>
      </c>
      <c r="D101" s="558">
        <f t="shared" si="183"/>
        <v>0.09</v>
      </c>
      <c r="E101" s="558">
        <f t="shared" si="184"/>
        <v>0</v>
      </c>
      <c r="F101" s="325" t="s">
        <v>1534</v>
      </c>
      <c r="G101" s="326">
        <f t="shared" si="172"/>
        <v>0</v>
      </c>
      <c r="H101" s="332">
        <f t="shared" si="173"/>
        <v>0</v>
      </c>
      <c r="I101" s="113">
        <f t="shared" si="6"/>
        <v>0</v>
      </c>
      <c r="J101" s="116" t="str">
        <f t="shared" si="185"/>
        <v>0</v>
      </c>
      <c r="K101" s="117">
        <f t="shared" si="186"/>
        <v>0</v>
      </c>
      <c r="L101" s="123"/>
      <c r="M101" s="326"/>
      <c r="N101" s="326">
        <f t="shared" si="174"/>
        <v>0</v>
      </c>
      <c r="O101" s="332">
        <v>1500000</v>
      </c>
      <c r="P101" s="140">
        <f t="shared" si="11"/>
        <v>0</v>
      </c>
      <c r="Q101" s="326" t="str">
        <f t="shared" si="187"/>
        <v>0</v>
      </c>
      <c r="R101" s="333">
        <f t="shared" si="188"/>
        <v>0</v>
      </c>
      <c r="S101" s="123"/>
      <c r="T101" s="326"/>
      <c r="U101" s="326">
        <f t="shared" si="175"/>
        <v>0</v>
      </c>
      <c r="V101" s="332">
        <v>1500000</v>
      </c>
      <c r="W101" s="140">
        <f t="shared" si="15"/>
        <v>187517.5</v>
      </c>
      <c r="X101" s="326" t="str">
        <f t="shared" si="189"/>
        <v>0</v>
      </c>
      <c r="Y101" s="333">
        <f t="shared" si="190"/>
        <v>187517.5</v>
      </c>
      <c r="Z101" s="123"/>
      <c r="AA101" s="326"/>
      <c r="AB101" s="1257">
        <f t="shared" si="80"/>
        <v>3000000</v>
      </c>
      <c r="AC101" s="140" t="str">
        <f t="shared" si="144"/>
        <v>0</v>
      </c>
      <c r="AD101" s="326">
        <f t="shared" ref="AD101:AF101" si="198">SUM(W101,P101,I101)</f>
        <v>187517.5</v>
      </c>
      <c r="AE101" s="326">
        <f t="shared" si="198"/>
        <v>0</v>
      </c>
      <c r="AF101" s="326">
        <f t="shared" si="198"/>
        <v>187517.5</v>
      </c>
      <c r="AG101" s="326">
        <f t="shared" si="21"/>
        <v>187517.5</v>
      </c>
      <c r="AH101" s="98" t="str">
        <f t="shared" si="37"/>
        <v/>
      </c>
      <c r="AI101" s="125">
        <f t="shared" si="177"/>
        <v>0</v>
      </c>
      <c r="AJ101" s="140">
        <f t="shared" si="24"/>
        <v>0</v>
      </c>
      <c r="AK101" s="123" t="str">
        <f t="shared" si="192"/>
        <v>0</v>
      </c>
      <c r="AL101" s="148">
        <f t="shared" si="193"/>
        <v>0</v>
      </c>
      <c r="AM101" s="125">
        <f t="shared" si="178"/>
        <v>0</v>
      </c>
      <c r="AN101" s="140">
        <f t="shared" si="28"/>
        <v>0</v>
      </c>
      <c r="AO101" s="326" t="str">
        <f t="shared" si="194"/>
        <v>0</v>
      </c>
      <c r="AP101" s="333"/>
      <c r="AQ101" s="296" t="str">
        <f t="shared" si="195"/>
        <v/>
      </c>
    </row>
    <row r="102" spans="1:43" ht="13">
      <c r="A102" s="463">
        <f t="shared" si="180"/>
        <v>112014035</v>
      </c>
      <c r="B102" s="324">
        <f t="shared" si="181"/>
        <v>1</v>
      </c>
      <c r="C102" s="558" t="str">
        <f t="shared" si="182"/>
        <v>Lista</v>
      </c>
      <c r="D102" s="558">
        <f t="shared" si="183"/>
        <v>0.09</v>
      </c>
      <c r="E102" s="558">
        <f t="shared" si="184"/>
        <v>0</v>
      </c>
      <c r="F102" s="325" t="s">
        <v>1405</v>
      </c>
      <c r="G102" s="326">
        <f t="shared" si="172"/>
        <v>1688766.3</v>
      </c>
      <c r="H102" s="332">
        <f t="shared" si="173"/>
        <v>2838900.5886149998</v>
      </c>
      <c r="I102" s="113">
        <f t="shared" si="6"/>
        <v>810667.9</v>
      </c>
      <c r="J102" s="116" t="str">
        <f t="shared" si="185"/>
        <v>0</v>
      </c>
      <c r="K102" s="117">
        <f t="shared" si="186"/>
        <v>810667.9</v>
      </c>
      <c r="L102" s="1283"/>
      <c r="M102" s="1281"/>
      <c r="N102" s="1281">
        <f t="shared" si="174"/>
        <v>0</v>
      </c>
      <c r="O102" s="1282">
        <v>1500000</v>
      </c>
      <c r="P102" s="140">
        <f t="shared" si="11"/>
        <v>395096.25</v>
      </c>
      <c r="Q102" s="326" t="str">
        <f t="shared" si="187"/>
        <v>0</v>
      </c>
      <c r="R102" s="333">
        <f t="shared" si="188"/>
        <v>395096.25</v>
      </c>
      <c r="S102" s="123"/>
      <c r="T102" s="326"/>
      <c r="U102" s="326">
        <f t="shared" si="175"/>
        <v>813648</v>
      </c>
      <c r="V102" s="332">
        <v>1500000</v>
      </c>
      <c r="W102" s="140">
        <f t="shared" si="15"/>
        <v>959528.95</v>
      </c>
      <c r="X102" s="326" t="str">
        <f t="shared" si="189"/>
        <v>0</v>
      </c>
      <c r="Y102" s="333">
        <f t="shared" si="190"/>
        <v>959528.95</v>
      </c>
      <c r="Z102" s="123"/>
      <c r="AA102" s="326"/>
      <c r="AB102" s="1257">
        <f t="shared" si="80"/>
        <v>5838900.5886150002</v>
      </c>
      <c r="AC102" s="140">
        <f t="shared" si="144"/>
        <v>2260451.9</v>
      </c>
      <c r="AD102" s="326">
        <f t="shared" ref="AD102:AF102" si="199">SUM(W102,P102,I102)</f>
        <v>2165293.1</v>
      </c>
      <c r="AE102" s="326">
        <f t="shared" si="199"/>
        <v>0</v>
      </c>
      <c r="AF102" s="326">
        <f t="shared" si="199"/>
        <v>2165293.1</v>
      </c>
      <c r="AG102" s="326">
        <f t="shared" si="21"/>
        <v>-95158.799999999814</v>
      </c>
      <c r="AH102" s="98">
        <f t="shared" si="37"/>
        <v>0.95790275386970203</v>
      </c>
      <c r="AI102" s="125">
        <f t="shared" si="177"/>
        <v>1224608.3</v>
      </c>
      <c r="AJ102" s="140">
        <f t="shared" si="24"/>
        <v>936360.65</v>
      </c>
      <c r="AK102" s="123" t="str">
        <f t="shared" si="192"/>
        <v>0</v>
      </c>
      <c r="AL102" s="148">
        <f t="shared" si="193"/>
        <v>936360.65</v>
      </c>
      <c r="AM102" s="125">
        <f t="shared" si="178"/>
        <v>663088.5</v>
      </c>
      <c r="AN102" s="140">
        <f t="shared" si="28"/>
        <v>1288117.45</v>
      </c>
      <c r="AO102" s="326" t="str">
        <f t="shared" si="194"/>
        <v>0</v>
      </c>
      <c r="AP102" s="333">
        <v>1288117.45</v>
      </c>
      <c r="AQ102" s="296" t="str">
        <f t="shared" si="195"/>
        <v/>
      </c>
    </row>
    <row r="103" spans="1:43" ht="13">
      <c r="A103" s="463">
        <f t="shared" si="180"/>
        <v>112014647</v>
      </c>
      <c r="B103" s="324">
        <f t="shared" si="181"/>
        <v>1</v>
      </c>
      <c r="C103" s="558" t="str">
        <f t="shared" si="182"/>
        <v>Lista</v>
      </c>
      <c r="D103" s="558">
        <f t="shared" si="183"/>
        <v>0.09</v>
      </c>
      <c r="E103" s="558">
        <f t="shared" si="184"/>
        <v>0</v>
      </c>
      <c r="F103" s="325" t="s">
        <v>1475</v>
      </c>
      <c r="G103" s="326" t="str">
        <f t="shared" si="172"/>
        <v/>
      </c>
      <c r="H103" s="332" t="e">
        <f t="shared" si="173"/>
        <v>#VALUE!</v>
      </c>
      <c r="I103" s="113">
        <f t="shared" si="6"/>
        <v>0</v>
      </c>
      <c r="J103" s="116" t="str">
        <f t="shared" si="185"/>
        <v>0</v>
      </c>
      <c r="K103" s="117" t="str">
        <f t="shared" si="186"/>
        <v>0</v>
      </c>
      <c r="L103" s="114"/>
      <c r="M103" s="116"/>
      <c r="N103" s="116" t="str">
        <f t="shared" si="174"/>
        <v/>
      </c>
      <c r="O103" s="121" t="e">
        <f t="shared" ref="O103:O118" si="200">(N103*1.7245)*1.05</f>
        <v>#VALUE!</v>
      </c>
      <c r="P103" s="140">
        <f t="shared" si="11"/>
        <v>0</v>
      </c>
      <c r="Q103" s="326" t="str">
        <f t="shared" si="187"/>
        <v>0</v>
      </c>
      <c r="R103" s="333" t="str">
        <f t="shared" si="188"/>
        <v>0</v>
      </c>
      <c r="S103" s="114"/>
      <c r="T103" s="116"/>
      <c r="U103" s="116" t="str">
        <f t="shared" si="175"/>
        <v/>
      </c>
      <c r="V103" s="121" t="e">
        <f t="shared" ref="V103:V118" si="201">(U103*1.5955)*1.05</f>
        <v>#VALUE!</v>
      </c>
      <c r="W103" s="140">
        <f t="shared" si="15"/>
        <v>0</v>
      </c>
      <c r="X103" s="326" t="str">
        <f t="shared" si="189"/>
        <v>0</v>
      </c>
      <c r="Y103" s="333" t="str">
        <f t="shared" si="190"/>
        <v>0</v>
      </c>
      <c r="Z103" s="114"/>
      <c r="AA103" s="116"/>
      <c r="AB103" s="1252" t="e">
        <f t="shared" si="80"/>
        <v>#VALUE!</v>
      </c>
      <c r="AC103" s="140" t="str">
        <f t="shared" si="144"/>
        <v>0</v>
      </c>
      <c r="AD103" s="326">
        <f t="shared" ref="AD103:AF103" si="202">SUM(W103,P103,I103)</f>
        <v>0</v>
      </c>
      <c r="AE103" s="326">
        <f t="shared" si="202"/>
        <v>0</v>
      </c>
      <c r="AF103" s="326">
        <f t="shared" si="202"/>
        <v>0</v>
      </c>
      <c r="AG103" s="326">
        <f t="shared" si="21"/>
        <v>0</v>
      </c>
      <c r="AH103" s="98" t="str">
        <f t="shared" si="37"/>
        <v/>
      </c>
      <c r="AI103" s="125" t="str">
        <f t="shared" si="177"/>
        <v/>
      </c>
      <c r="AJ103" s="140">
        <f t="shared" si="24"/>
        <v>0</v>
      </c>
      <c r="AK103" s="123" t="str">
        <f t="shared" si="192"/>
        <v>0</v>
      </c>
      <c r="AL103" s="148" t="str">
        <f t="shared" si="193"/>
        <v>0</v>
      </c>
      <c r="AM103" s="125" t="str">
        <f t="shared" si="178"/>
        <v/>
      </c>
      <c r="AN103" s="140">
        <f t="shared" si="28"/>
        <v>0</v>
      </c>
      <c r="AO103" s="326" t="str">
        <f t="shared" si="194"/>
        <v>0</v>
      </c>
      <c r="AP103" s="333"/>
      <c r="AQ103" s="296" t="str">
        <f t="shared" si="195"/>
        <v/>
      </c>
    </row>
    <row r="104" spans="1:43" ht="13">
      <c r="A104" s="463">
        <f t="shared" si="180"/>
        <v>112014627</v>
      </c>
      <c r="B104" s="324">
        <f t="shared" si="181"/>
        <v>1</v>
      </c>
      <c r="C104" s="558" t="str">
        <f t="shared" si="182"/>
        <v>Lista</v>
      </c>
      <c r="D104" s="558">
        <f t="shared" si="183"/>
        <v>0.09</v>
      </c>
      <c r="E104" s="558">
        <f t="shared" si="184"/>
        <v>0</v>
      </c>
      <c r="F104" s="325" t="s">
        <v>1477</v>
      </c>
      <c r="G104" s="326">
        <f t="shared" si="172"/>
        <v>0</v>
      </c>
      <c r="H104" s="332">
        <f t="shared" si="173"/>
        <v>0</v>
      </c>
      <c r="I104" s="113">
        <f t="shared" si="6"/>
        <v>0</v>
      </c>
      <c r="J104" s="116" t="str">
        <f t="shared" si="185"/>
        <v>0</v>
      </c>
      <c r="K104" s="117" t="str">
        <f t="shared" si="186"/>
        <v>0</v>
      </c>
      <c r="L104" s="123"/>
      <c r="M104" s="326"/>
      <c r="N104" s="326">
        <f t="shared" si="174"/>
        <v>576648.4</v>
      </c>
      <c r="O104" s="332">
        <f t="shared" si="200"/>
        <v>1044151.67409</v>
      </c>
      <c r="P104" s="140">
        <f t="shared" si="11"/>
        <v>0</v>
      </c>
      <c r="Q104" s="326" t="str">
        <f t="shared" si="187"/>
        <v>0</v>
      </c>
      <c r="R104" s="333" t="str">
        <f t="shared" si="188"/>
        <v>0</v>
      </c>
      <c r="S104" s="123"/>
      <c r="T104" s="326"/>
      <c r="U104" s="326">
        <f t="shared" si="175"/>
        <v>-22853.61</v>
      </c>
      <c r="V104" s="332">
        <f t="shared" si="201"/>
        <v>-38286.081492750003</v>
      </c>
      <c r="W104" s="140">
        <f t="shared" si="15"/>
        <v>0</v>
      </c>
      <c r="X104" s="326" t="str">
        <f t="shared" si="189"/>
        <v>0</v>
      </c>
      <c r="Y104" s="333" t="str">
        <f t="shared" si="190"/>
        <v>0</v>
      </c>
      <c r="Z104" s="123"/>
      <c r="AA104" s="326"/>
      <c r="AB104" s="1257">
        <f t="shared" si="80"/>
        <v>1005865.59259725</v>
      </c>
      <c r="AC104" s="140">
        <f t="shared" ref="AC104:AC118" si="203">IFERROR(VLOOKUP(F104,trim2024,2,FALSE),"0")</f>
        <v>434052.83</v>
      </c>
      <c r="AD104" s="326">
        <f t="shared" ref="AD104:AF104" si="204">SUM(W104,P104,I104)</f>
        <v>0</v>
      </c>
      <c r="AE104" s="326">
        <f t="shared" si="204"/>
        <v>0</v>
      </c>
      <c r="AF104" s="326">
        <f t="shared" si="204"/>
        <v>0</v>
      </c>
      <c r="AG104" s="326">
        <f t="shared" si="21"/>
        <v>-434052.83</v>
      </c>
      <c r="AH104" s="98">
        <f t="shared" si="37"/>
        <v>0</v>
      </c>
      <c r="AI104" s="125">
        <f t="shared" si="177"/>
        <v>0</v>
      </c>
      <c r="AJ104" s="140">
        <f t="shared" si="24"/>
        <v>0</v>
      </c>
      <c r="AK104" s="123" t="str">
        <f t="shared" si="192"/>
        <v>0</v>
      </c>
      <c r="AL104" s="148" t="str">
        <f t="shared" si="193"/>
        <v>0</v>
      </c>
      <c r="AM104" s="125">
        <f t="shared" si="178"/>
        <v>0</v>
      </c>
      <c r="AN104" s="140">
        <f t="shared" si="28"/>
        <v>0</v>
      </c>
      <c r="AO104" s="326" t="str">
        <f t="shared" si="194"/>
        <v>0</v>
      </c>
      <c r="AP104" s="333"/>
      <c r="AQ104" s="296" t="str">
        <f t="shared" si="195"/>
        <v/>
      </c>
    </row>
    <row r="105" spans="1:43" ht="13">
      <c r="A105" s="463">
        <f t="shared" si="180"/>
        <v>112013493</v>
      </c>
      <c r="B105" s="324">
        <f t="shared" si="181"/>
        <v>0</v>
      </c>
      <c r="C105" s="558" t="str">
        <f t="shared" si="182"/>
        <v/>
      </c>
      <c r="D105" s="558" t="str">
        <f t="shared" si="183"/>
        <v/>
      </c>
      <c r="E105" s="558" t="str">
        <f t="shared" si="184"/>
        <v/>
      </c>
      <c r="F105" s="325" t="s">
        <v>1378</v>
      </c>
      <c r="G105" s="326"/>
      <c r="H105" s="332"/>
      <c r="I105" s="113">
        <f t="shared" si="6"/>
        <v>0</v>
      </c>
      <c r="J105" s="116" t="str">
        <f t="shared" si="185"/>
        <v>0</v>
      </c>
      <c r="K105" s="117" t="str">
        <f t="shared" si="186"/>
        <v>0</v>
      </c>
      <c r="L105" s="123"/>
      <c r="M105" s="326"/>
      <c r="N105" s="326" t="str">
        <f t="shared" si="174"/>
        <v/>
      </c>
      <c r="O105" s="332" t="e">
        <f t="shared" si="200"/>
        <v>#VALUE!</v>
      </c>
      <c r="P105" s="140">
        <f t="shared" si="11"/>
        <v>0</v>
      </c>
      <c r="Q105" s="326" t="str">
        <f t="shared" si="187"/>
        <v>0</v>
      </c>
      <c r="R105" s="333" t="str">
        <f t="shared" si="188"/>
        <v>0</v>
      </c>
      <c r="S105" s="123"/>
      <c r="T105" s="326"/>
      <c r="U105" s="326" t="str">
        <f t="shared" si="175"/>
        <v/>
      </c>
      <c r="V105" s="332" t="e">
        <f t="shared" si="201"/>
        <v>#VALUE!</v>
      </c>
      <c r="W105" s="140">
        <f t="shared" si="15"/>
        <v>0</v>
      </c>
      <c r="X105" s="326" t="str">
        <f t="shared" si="189"/>
        <v>0</v>
      </c>
      <c r="Y105" s="333" t="str">
        <f t="shared" si="190"/>
        <v>0</v>
      </c>
      <c r="Z105" s="123"/>
      <c r="AA105" s="326"/>
      <c r="AB105" s="1257" t="e">
        <f t="shared" si="80"/>
        <v>#VALUE!</v>
      </c>
      <c r="AC105" s="140" t="str">
        <f t="shared" si="203"/>
        <v>0</v>
      </c>
      <c r="AD105" s="326">
        <f t="shared" ref="AD105:AF105" si="205">SUM(W105,P105,I105)</f>
        <v>0</v>
      </c>
      <c r="AE105" s="326">
        <f t="shared" si="205"/>
        <v>0</v>
      </c>
      <c r="AF105" s="326">
        <f t="shared" si="205"/>
        <v>0</v>
      </c>
      <c r="AG105" s="326">
        <f t="shared" si="21"/>
        <v>0</v>
      </c>
      <c r="AH105" s="98" t="str">
        <f t="shared" si="37"/>
        <v/>
      </c>
      <c r="AI105" s="125" t="str">
        <f t="shared" si="177"/>
        <v/>
      </c>
      <c r="AJ105" s="140">
        <f t="shared" si="24"/>
        <v>0</v>
      </c>
      <c r="AK105" s="123" t="str">
        <f t="shared" si="192"/>
        <v>0</v>
      </c>
      <c r="AL105" s="148" t="str">
        <f t="shared" si="193"/>
        <v>0</v>
      </c>
      <c r="AM105" s="125" t="str">
        <f t="shared" si="178"/>
        <v/>
      </c>
      <c r="AN105" s="140">
        <f t="shared" si="28"/>
        <v>0</v>
      </c>
      <c r="AO105" s="326" t="str">
        <f t="shared" si="194"/>
        <v>0</v>
      </c>
      <c r="AP105" s="333"/>
      <c r="AQ105" s="296" t="str">
        <f t="shared" si="195"/>
        <v/>
      </c>
    </row>
    <row r="106" spans="1:43" ht="13">
      <c r="A106" s="463">
        <f t="shared" si="180"/>
        <v>112013901</v>
      </c>
      <c r="B106" s="324">
        <f t="shared" si="181"/>
        <v>0</v>
      </c>
      <c r="C106" s="558" t="str">
        <f t="shared" si="182"/>
        <v/>
      </c>
      <c r="D106" s="558" t="str">
        <f t="shared" si="183"/>
        <v/>
      </c>
      <c r="E106" s="558" t="str">
        <f t="shared" si="184"/>
        <v/>
      </c>
      <c r="F106" s="325" t="s">
        <v>1495</v>
      </c>
      <c r="G106" s="326">
        <f>IFERROR(VLOOKUP(F106,tmkpechhhh24,3,FALSE),"")</f>
        <v>0</v>
      </c>
      <c r="H106" s="332">
        <f t="shared" ref="H106:H118" si="206">(G106*1.601)*1.05</f>
        <v>0</v>
      </c>
      <c r="I106" s="113">
        <f t="shared" si="6"/>
        <v>591826.44999999995</v>
      </c>
      <c r="J106" s="116" t="str">
        <f t="shared" si="185"/>
        <v>0</v>
      </c>
      <c r="K106" s="117">
        <f t="shared" si="186"/>
        <v>591826.44999999995</v>
      </c>
      <c r="L106" s="123"/>
      <c r="M106" s="326"/>
      <c r="N106" s="326">
        <f t="shared" si="174"/>
        <v>357426.45</v>
      </c>
      <c r="O106" s="332">
        <f t="shared" si="200"/>
        <v>647201.00867625</v>
      </c>
      <c r="P106" s="140">
        <f t="shared" si="11"/>
        <v>0</v>
      </c>
      <c r="Q106" s="326" t="str">
        <f t="shared" si="187"/>
        <v>0</v>
      </c>
      <c r="R106" s="333">
        <f t="shared" si="188"/>
        <v>0</v>
      </c>
      <c r="S106" s="123"/>
      <c r="T106" s="326"/>
      <c r="U106" s="326">
        <f t="shared" si="175"/>
        <v>0</v>
      </c>
      <c r="V106" s="332">
        <f t="shared" si="201"/>
        <v>0</v>
      </c>
      <c r="W106" s="140">
        <f t="shared" si="15"/>
        <v>0</v>
      </c>
      <c r="X106" s="326" t="str">
        <f t="shared" si="189"/>
        <v>0</v>
      </c>
      <c r="Y106" s="333">
        <f t="shared" si="190"/>
        <v>0</v>
      </c>
      <c r="Z106" s="123"/>
      <c r="AA106" s="326"/>
      <c r="AB106" s="1257">
        <f t="shared" si="80"/>
        <v>647201.00867625</v>
      </c>
      <c r="AC106" s="140">
        <f t="shared" si="203"/>
        <v>659355.37</v>
      </c>
      <c r="AD106" s="326">
        <f t="shared" ref="AD106:AF106" si="207">SUM(W106,P106,I106)</f>
        <v>591826.44999999995</v>
      </c>
      <c r="AE106" s="326">
        <f t="shared" si="207"/>
        <v>0</v>
      </c>
      <c r="AF106" s="326">
        <f t="shared" si="207"/>
        <v>591826.44999999995</v>
      </c>
      <c r="AG106" s="326">
        <f t="shared" si="21"/>
        <v>-67528.920000000042</v>
      </c>
      <c r="AH106" s="98">
        <f t="shared" si="37"/>
        <v>0.89758342303331806</v>
      </c>
      <c r="AI106" s="125">
        <f t="shared" si="177"/>
        <v>721710.74</v>
      </c>
      <c r="AJ106" s="140">
        <f t="shared" si="24"/>
        <v>0</v>
      </c>
      <c r="AK106" s="123" t="str">
        <f t="shared" si="192"/>
        <v>0</v>
      </c>
      <c r="AL106" s="148">
        <f t="shared" si="193"/>
        <v>0</v>
      </c>
      <c r="AM106" s="125">
        <f t="shared" si="178"/>
        <v>0</v>
      </c>
      <c r="AN106" s="140">
        <f t="shared" si="28"/>
        <v>0</v>
      </c>
      <c r="AO106" s="326" t="str">
        <f t="shared" si="194"/>
        <v>0</v>
      </c>
      <c r="AP106" s="333"/>
      <c r="AQ106" s="296" t="str">
        <f t="shared" si="195"/>
        <v/>
      </c>
    </row>
    <row r="107" spans="1:43" ht="13">
      <c r="A107" s="463">
        <f t="shared" si="180"/>
        <v>112010365</v>
      </c>
      <c r="B107" s="324">
        <f t="shared" si="181"/>
        <v>0</v>
      </c>
      <c r="C107" s="558" t="str">
        <f t="shared" si="182"/>
        <v/>
      </c>
      <c r="D107" s="558" t="str">
        <f t="shared" si="183"/>
        <v/>
      </c>
      <c r="E107" s="558" t="str">
        <f t="shared" si="184"/>
        <v/>
      </c>
      <c r="F107" s="325" t="s">
        <v>1501</v>
      </c>
      <c r="G107" s="326">
        <f>IFERROR(VLOOKUP(F107,tmkpechhhh24,3,FALSE),"")</f>
        <v>0</v>
      </c>
      <c r="H107" s="332">
        <f t="shared" si="206"/>
        <v>0</v>
      </c>
      <c r="I107" s="113">
        <f t="shared" si="6"/>
        <v>0</v>
      </c>
      <c r="J107" s="116" t="str">
        <f t="shared" si="185"/>
        <v>0</v>
      </c>
      <c r="K107" s="117" t="str">
        <f t="shared" si="186"/>
        <v>0</v>
      </c>
      <c r="L107" s="123"/>
      <c r="M107" s="326"/>
      <c r="N107" s="326">
        <f t="shared" si="174"/>
        <v>0</v>
      </c>
      <c r="O107" s="332">
        <f t="shared" si="200"/>
        <v>0</v>
      </c>
      <c r="P107" s="140">
        <f t="shared" si="11"/>
        <v>0</v>
      </c>
      <c r="Q107" s="326" t="str">
        <f t="shared" si="187"/>
        <v>0</v>
      </c>
      <c r="R107" s="333" t="str">
        <f t="shared" si="188"/>
        <v>0</v>
      </c>
      <c r="S107" s="123"/>
      <c r="T107" s="326"/>
      <c r="U107" s="326">
        <f t="shared" si="175"/>
        <v>0</v>
      </c>
      <c r="V107" s="332">
        <f t="shared" si="201"/>
        <v>0</v>
      </c>
      <c r="W107" s="140">
        <f t="shared" si="15"/>
        <v>0</v>
      </c>
      <c r="X107" s="326" t="str">
        <f t="shared" si="189"/>
        <v>0</v>
      </c>
      <c r="Y107" s="333" t="str">
        <f t="shared" si="190"/>
        <v>0</v>
      </c>
      <c r="Z107" s="123"/>
      <c r="AA107" s="326"/>
      <c r="AB107" s="1257">
        <f t="shared" si="80"/>
        <v>0</v>
      </c>
      <c r="AC107" s="140" t="str">
        <f t="shared" si="203"/>
        <v>0</v>
      </c>
      <c r="AD107" s="326">
        <f t="shared" ref="AD107:AF107" si="208">SUM(W107,P107,I107)</f>
        <v>0</v>
      </c>
      <c r="AE107" s="326">
        <f t="shared" si="208"/>
        <v>0</v>
      </c>
      <c r="AF107" s="326">
        <f t="shared" si="208"/>
        <v>0</v>
      </c>
      <c r="AG107" s="326">
        <f t="shared" si="21"/>
        <v>0</v>
      </c>
      <c r="AH107" s="98" t="str">
        <f t="shared" si="37"/>
        <v/>
      </c>
      <c r="AI107" s="125">
        <f t="shared" si="177"/>
        <v>0</v>
      </c>
      <c r="AJ107" s="140">
        <f t="shared" si="24"/>
        <v>0</v>
      </c>
      <c r="AK107" s="123" t="str">
        <f t="shared" si="192"/>
        <v>0</v>
      </c>
      <c r="AL107" s="148" t="str">
        <f t="shared" si="193"/>
        <v>0</v>
      </c>
      <c r="AM107" s="125">
        <f t="shared" si="178"/>
        <v>0</v>
      </c>
      <c r="AN107" s="140">
        <f t="shared" si="28"/>
        <v>0</v>
      </c>
      <c r="AO107" s="326" t="str">
        <f t="shared" si="194"/>
        <v>0</v>
      </c>
      <c r="AP107" s="333"/>
      <c r="AQ107" s="296" t="str">
        <f t="shared" si="195"/>
        <v/>
      </c>
    </row>
    <row r="108" spans="1:43" ht="13">
      <c r="A108" s="463">
        <f t="shared" si="180"/>
        <v>112013964</v>
      </c>
      <c r="B108" s="324">
        <f t="shared" si="181"/>
        <v>0</v>
      </c>
      <c r="C108" s="558" t="str">
        <f t="shared" si="182"/>
        <v/>
      </c>
      <c r="D108" s="558" t="str">
        <f t="shared" si="183"/>
        <v/>
      </c>
      <c r="E108" s="558" t="str">
        <f t="shared" si="184"/>
        <v/>
      </c>
      <c r="F108" s="325" t="s">
        <v>1492</v>
      </c>
      <c r="G108" s="326">
        <f>IFERROR(VLOOKUP(F108,tmkpechhhh24,3,FALSE),"")</f>
        <v>0</v>
      </c>
      <c r="H108" s="332">
        <f t="shared" si="206"/>
        <v>0</v>
      </c>
      <c r="I108" s="113">
        <f t="shared" si="6"/>
        <v>0</v>
      </c>
      <c r="J108" s="116" t="str">
        <f t="shared" si="185"/>
        <v>0</v>
      </c>
      <c r="K108" s="117" t="str">
        <f t="shared" si="186"/>
        <v>0</v>
      </c>
      <c r="L108" s="123"/>
      <c r="M108" s="326"/>
      <c r="N108" s="326">
        <f t="shared" si="174"/>
        <v>0</v>
      </c>
      <c r="O108" s="332">
        <f t="shared" si="200"/>
        <v>0</v>
      </c>
      <c r="P108" s="140">
        <f t="shared" si="11"/>
        <v>0</v>
      </c>
      <c r="Q108" s="326" t="str">
        <f t="shared" si="187"/>
        <v>0</v>
      </c>
      <c r="R108" s="333" t="str">
        <f t="shared" si="188"/>
        <v>0</v>
      </c>
      <c r="S108" s="123"/>
      <c r="T108" s="326"/>
      <c r="U108" s="326">
        <f t="shared" si="175"/>
        <v>0</v>
      </c>
      <c r="V108" s="332">
        <f t="shared" si="201"/>
        <v>0</v>
      </c>
      <c r="W108" s="140">
        <f t="shared" si="15"/>
        <v>0</v>
      </c>
      <c r="X108" s="326" t="str">
        <f t="shared" si="189"/>
        <v>0</v>
      </c>
      <c r="Y108" s="333" t="str">
        <f t="shared" si="190"/>
        <v>0</v>
      </c>
      <c r="Z108" s="123"/>
      <c r="AA108" s="326"/>
      <c r="AB108" s="1257">
        <f t="shared" si="80"/>
        <v>0</v>
      </c>
      <c r="AC108" s="140">
        <f t="shared" si="203"/>
        <v>6204545.4500000002</v>
      </c>
      <c r="AD108" s="326">
        <f t="shared" ref="AD108:AF108" si="209">SUM(W108,P108,I108)</f>
        <v>0</v>
      </c>
      <c r="AE108" s="326">
        <f t="shared" si="209"/>
        <v>0</v>
      </c>
      <c r="AF108" s="326">
        <f t="shared" si="209"/>
        <v>0</v>
      </c>
      <c r="AG108" s="326">
        <f t="shared" si="21"/>
        <v>-6204545.4500000002</v>
      </c>
      <c r="AH108" s="98">
        <f t="shared" si="37"/>
        <v>0</v>
      </c>
      <c r="AI108" s="125">
        <f t="shared" si="177"/>
        <v>0</v>
      </c>
      <c r="AJ108" s="140">
        <f t="shared" si="24"/>
        <v>0</v>
      </c>
      <c r="AK108" s="123" t="str">
        <f t="shared" si="192"/>
        <v>0</v>
      </c>
      <c r="AL108" s="148" t="str">
        <f t="shared" si="193"/>
        <v>0</v>
      </c>
      <c r="AM108" s="125">
        <f t="shared" si="178"/>
        <v>0</v>
      </c>
      <c r="AN108" s="140">
        <f t="shared" si="28"/>
        <v>0</v>
      </c>
      <c r="AO108" s="326" t="str">
        <f t="shared" si="194"/>
        <v>0</v>
      </c>
      <c r="AP108" s="333"/>
      <c r="AQ108" s="296" t="str">
        <f t="shared" si="195"/>
        <v/>
      </c>
    </row>
    <row r="109" spans="1:43" ht="13">
      <c r="A109" s="463">
        <f t="shared" si="180"/>
        <v>112011824</v>
      </c>
      <c r="B109" s="324">
        <f t="shared" si="181"/>
        <v>0</v>
      </c>
      <c r="C109" s="558" t="str">
        <f t="shared" si="182"/>
        <v/>
      </c>
      <c r="D109" s="558" t="str">
        <f t="shared" si="183"/>
        <v/>
      </c>
      <c r="E109" s="558" t="str">
        <f t="shared" si="184"/>
        <v/>
      </c>
      <c r="F109" s="325" t="s">
        <v>1499</v>
      </c>
      <c r="G109" s="326">
        <f>IFERROR(VLOOKUP(F109,ROTELA,3,FALSE),"")</f>
        <v>0</v>
      </c>
      <c r="H109" s="332">
        <f t="shared" si="206"/>
        <v>0</v>
      </c>
      <c r="I109" s="113">
        <f t="shared" si="6"/>
        <v>0</v>
      </c>
      <c r="J109" s="116" t="str">
        <f t="shared" si="185"/>
        <v>0</v>
      </c>
      <c r="K109" s="117" t="str">
        <f t="shared" si="186"/>
        <v>0</v>
      </c>
      <c r="L109" s="123"/>
      <c r="M109" s="326"/>
      <c r="N109" s="326">
        <f>IFERROR(VLOOKUP(F109,ROTELA,4,FALSE),"")</f>
        <v>0</v>
      </c>
      <c r="O109" s="332">
        <f t="shared" si="200"/>
        <v>0</v>
      </c>
      <c r="P109" s="140">
        <f t="shared" si="11"/>
        <v>0</v>
      </c>
      <c r="Q109" s="326" t="str">
        <f t="shared" si="187"/>
        <v>0</v>
      </c>
      <c r="R109" s="333" t="str">
        <f t="shared" si="188"/>
        <v>0</v>
      </c>
      <c r="S109" s="123"/>
      <c r="T109" s="326"/>
      <c r="U109" s="326">
        <f>IFERROR(VLOOKUP(F109,ROTELA,5,FALSE),"")</f>
        <v>0</v>
      </c>
      <c r="V109" s="332">
        <f t="shared" si="201"/>
        <v>0</v>
      </c>
      <c r="W109" s="140">
        <f t="shared" si="15"/>
        <v>0</v>
      </c>
      <c r="X109" s="326" t="str">
        <f t="shared" si="189"/>
        <v>0</v>
      </c>
      <c r="Y109" s="333" t="str">
        <f t="shared" si="190"/>
        <v>0</v>
      </c>
      <c r="Z109" s="123"/>
      <c r="AA109" s="326"/>
      <c r="AB109" s="1257">
        <f t="shared" si="80"/>
        <v>0</v>
      </c>
      <c r="AC109" s="140">
        <f t="shared" si="203"/>
        <v>228727.27</v>
      </c>
      <c r="AD109" s="326">
        <f t="shared" ref="AD109:AF109" si="210">SUM(W109,P109,I109)</f>
        <v>0</v>
      </c>
      <c r="AE109" s="326">
        <f t="shared" si="210"/>
        <v>0</v>
      </c>
      <c r="AF109" s="326">
        <f t="shared" si="210"/>
        <v>0</v>
      </c>
      <c r="AG109" s="326">
        <f t="shared" si="21"/>
        <v>-228727.27</v>
      </c>
      <c r="AH109" s="98">
        <f t="shared" si="37"/>
        <v>0</v>
      </c>
      <c r="AI109" s="125">
        <f>IFERROR(VLOOKUP(F109,ROTELA,6,FALSE),"")</f>
        <v>0</v>
      </c>
      <c r="AJ109" s="140">
        <f t="shared" si="24"/>
        <v>0</v>
      </c>
      <c r="AK109" s="123" t="str">
        <f t="shared" si="192"/>
        <v>0</v>
      </c>
      <c r="AL109" s="148" t="str">
        <f t="shared" si="193"/>
        <v>0</v>
      </c>
      <c r="AM109" s="125">
        <f>IFERROR(VLOOKUP(F109,ROTELA,7,FALSE),"")</f>
        <v>885462.81</v>
      </c>
      <c r="AN109" s="140">
        <f t="shared" si="28"/>
        <v>0</v>
      </c>
      <c r="AO109" s="326" t="str">
        <f t="shared" si="194"/>
        <v>0</v>
      </c>
      <c r="AP109" s="333"/>
      <c r="AQ109" s="296" t="str">
        <f t="shared" si="195"/>
        <v/>
      </c>
    </row>
    <row r="110" spans="1:43" ht="13">
      <c r="A110" s="463">
        <f t="shared" si="180"/>
        <v>112013455</v>
      </c>
      <c r="B110" s="324">
        <f t="shared" si="181"/>
        <v>0</v>
      </c>
      <c r="C110" s="558" t="str">
        <f t="shared" si="182"/>
        <v/>
      </c>
      <c r="D110" s="558" t="str">
        <f t="shared" si="183"/>
        <v/>
      </c>
      <c r="E110" s="558" t="str">
        <f t="shared" si="184"/>
        <v/>
      </c>
      <c r="F110" s="325" t="s">
        <v>1493</v>
      </c>
      <c r="G110" s="326" t="str">
        <f t="shared" ref="G110:G118" si="211">IFERROR(VLOOKUP(F110,tmkpechhhh24,3,FALSE),"")</f>
        <v/>
      </c>
      <c r="H110" s="332" t="e">
        <f t="shared" si="206"/>
        <v>#VALUE!</v>
      </c>
      <c r="I110" s="113">
        <f t="shared" si="6"/>
        <v>0</v>
      </c>
      <c r="J110" s="116" t="str">
        <f t="shared" si="185"/>
        <v>0</v>
      </c>
      <c r="K110" s="117" t="str">
        <f t="shared" si="186"/>
        <v>0</v>
      </c>
      <c r="L110" s="123"/>
      <c r="M110" s="326"/>
      <c r="N110" s="326" t="str">
        <f t="shared" ref="N110:N118" si="212">IFERROR(VLOOKUP(F110,tmkpechhhh24,4,FALSE),"")</f>
        <v/>
      </c>
      <c r="O110" s="332" t="e">
        <f t="shared" si="200"/>
        <v>#VALUE!</v>
      </c>
      <c r="P110" s="140">
        <f t="shared" si="11"/>
        <v>0</v>
      </c>
      <c r="Q110" s="326" t="str">
        <f t="shared" si="187"/>
        <v>0</v>
      </c>
      <c r="R110" s="333" t="str">
        <f t="shared" si="188"/>
        <v>0</v>
      </c>
      <c r="S110" s="123"/>
      <c r="T110" s="326"/>
      <c r="U110" s="326" t="str">
        <f t="shared" ref="U110:U118" si="213">IFERROR(VLOOKUP(F110,tmkpechhhh24,5,FALSE),"")</f>
        <v/>
      </c>
      <c r="V110" s="332" t="e">
        <f t="shared" si="201"/>
        <v>#VALUE!</v>
      </c>
      <c r="W110" s="140">
        <f t="shared" si="15"/>
        <v>0</v>
      </c>
      <c r="X110" s="326" t="str">
        <f t="shared" si="189"/>
        <v>0</v>
      </c>
      <c r="Y110" s="333" t="str">
        <f t="shared" si="190"/>
        <v>0</v>
      </c>
      <c r="Z110" s="123"/>
      <c r="AA110" s="326"/>
      <c r="AB110" s="1257" t="e">
        <f t="shared" si="80"/>
        <v>#VALUE!</v>
      </c>
      <c r="AC110" s="140" t="str">
        <f t="shared" si="203"/>
        <v>0</v>
      </c>
      <c r="AD110" s="326">
        <f t="shared" ref="AD110:AF110" si="214">SUM(W110,P110,I110)</f>
        <v>0</v>
      </c>
      <c r="AE110" s="326">
        <f t="shared" si="214"/>
        <v>0</v>
      </c>
      <c r="AF110" s="326">
        <f t="shared" si="214"/>
        <v>0</v>
      </c>
      <c r="AG110" s="326">
        <f t="shared" si="21"/>
        <v>0</v>
      </c>
      <c r="AH110" s="98" t="str">
        <f t="shared" si="37"/>
        <v/>
      </c>
      <c r="AI110" s="125" t="str">
        <f t="shared" ref="AI110:AI118" si="215">IFERROR(VLOOKUP(F110,tmkpechhhh24,6,FALSE),"")</f>
        <v/>
      </c>
      <c r="AJ110" s="140">
        <f t="shared" si="24"/>
        <v>0</v>
      </c>
      <c r="AK110" s="123" t="str">
        <f t="shared" si="192"/>
        <v>0</v>
      </c>
      <c r="AL110" s="148" t="str">
        <f t="shared" si="193"/>
        <v>0</v>
      </c>
      <c r="AM110" s="125" t="str">
        <f t="shared" ref="AM110:AM118" si="216">IFERROR(VLOOKUP(F110,tmkpechhhh24,7,FALSE),"")</f>
        <v/>
      </c>
      <c r="AN110" s="140">
        <f t="shared" si="28"/>
        <v>0</v>
      </c>
      <c r="AO110" s="326" t="str">
        <f t="shared" si="194"/>
        <v>0</v>
      </c>
      <c r="AP110" s="333"/>
      <c r="AQ110" s="296" t="str">
        <f t="shared" si="195"/>
        <v/>
      </c>
    </row>
    <row r="111" spans="1:43" ht="13">
      <c r="A111" s="463">
        <f t="shared" si="180"/>
        <v>112012864</v>
      </c>
      <c r="B111" s="324">
        <f t="shared" si="181"/>
        <v>0</v>
      </c>
      <c r="C111" s="558" t="str">
        <f t="shared" si="182"/>
        <v/>
      </c>
      <c r="D111" s="558" t="str">
        <f t="shared" si="183"/>
        <v/>
      </c>
      <c r="E111" s="558" t="str">
        <f t="shared" si="184"/>
        <v/>
      </c>
      <c r="F111" s="325" t="s">
        <v>661</v>
      </c>
      <c r="G111" s="326" t="str">
        <f t="shared" si="211"/>
        <v/>
      </c>
      <c r="H111" s="332" t="e">
        <f t="shared" si="206"/>
        <v>#VALUE!</v>
      </c>
      <c r="I111" s="113">
        <f t="shared" si="6"/>
        <v>0</v>
      </c>
      <c r="J111" s="116" t="str">
        <f t="shared" si="185"/>
        <v>0</v>
      </c>
      <c r="K111" s="117" t="str">
        <f t="shared" si="186"/>
        <v>0</v>
      </c>
      <c r="L111" s="123"/>
      <c r="M111" s="326"/>
      <c r="N111" s="326" t="str">
        <f t="shared" si="212"/>
        <v/>
      </c>
      <c r="O111" s="332" t="e">
        <f t="shared" si="200"/>
        <v>#VALUE!</v>
      </c>
      <c r="P111" s="140">
        <f t="shared" si="11"/>
        <v>0</v>
      </c>
      <c r="Q111" s="326" t="str">
        <f t="shared" si="187"/>
        <v>0</v>
      </c>
      <c r="R111" s="333" t="str">
        <f t="shared" si="188"/>
        <v>0</v>
      </c>
      <c r="S111" s="123"/>
      <c r="T111" s="326"/>
      <c r="U111" s="326" t="str">
        <f t="shared" si="213"/>
        <v/>
      </c>
      <c r="V111" s="332" t="e">
        <f t="shared" si="201"/>
        <v>#VALUE!</v>
      </c>
      <c r="W111" s="140">
        <f t="shared" si="15"/>
        <v>0</v>
      </c>
      <c r="X111" s="326" t="str">
        <f t="shared" si="189"/>
        <v>0</v>
      </c>
      <c r="Y111" s="333" t="str">
        <f t="shared" si="190"/>
        <v>0</v>
      </c>
      <c r="Z111" s="123"/>
      <c r="AA111" s="326"/>
      <c r="AB111" s="1257" t="e">
        <f t="shared" si="80"/>
        <v>#VALUE!</v>
      </c>
      <c r="AC111" s="140" t="str">
        <f t="shared" si="203"/>
        <v>0</v>
      </c>
      <c r="AD111" s="326">
        <f t="shared" ref="AD111:AF111" si="217">SUM(W111,P111,I111)</f>
        <v>0</v>
      </c>
      <c r="AE111" s="326">
        <f t="shared" si="217"/>
        <v>0</v>
      </c>
      <c r="AF111" s="326">
        <f t="shared" si="217"/>
        <v>0</v>
      </c>
      <c r="AG111" s="326">
        <f t="shared" si="21"/>
        <v>0</v>
      </c>
      <c r="AH111" s="98" t="str">
        <f t="shared" si="37"/>
        <v/>
      </c>
      <c r="AI111" s="125" t="str">
        <f t="shared" si="215"/>
        <v/>
      </c>
      <c r="AJ111" s="140">
        <f t="shared" si="24"/>
        <v>0</v>
      </c>
      <c r="AK111" s="123" t="str">
        <f t="shared" si="192"/>
        <v>0</v>
      </c>
      <c r="AL111" s="148" t="str">
        <f t="shared" si="193"/>
        <v>0</v>
      </c>
      <c r="AM111" s="125" t="str">
        <f t="shared" si="216"/>
        <v/>
      </c>
      <c r="AN111" s="140">
        <f t="shared" si="28"/>
        <v>0</v>
      </c>
      <c r="AO111" s="326" t="str">
        <f t="shared" si="194"/>
        <v>0</v>
      </c>
      <c r="AP111" s="333"/>
      <c r="AQ111" s="296" t="str">
        <f t="shared" si="195"/>
        <v/>
      </c>
    </row>
    <row r="112" spans="1:43" ht="13">
      <c r="A112" s="463">
        <f t="shared" si="180"/>
        <v>112013451</v>
      </c>
      <c r="B112" s="324">
        <f t="shared" si="181"/>
        <v>0</v>
      </c>
      <c r="C112" s="558" t="str">
        <f t="shared" si="182"/>
        <v/>
      </c>
      <c r="D112" s="558" t="str">
        <f t="shared" si="183"/>
        <v/>
      </c>
      <c r="E112" s="558" t="str">
        <f t="shared" si="184"/>
        <v/>
      </c>
      <c r="F112" s="325" t="s">
        <v>1377</v>
      </c>
      <c r="G112" s="326" t="str">
        <f t="shared" si="211"/>
        <v/>
      </c>
      <c r="H112" s="332" t="e">
        <f t="shared" si="206"/>
        <v>#VALUE!</v>
      </c>
      <c r="I112" s="113">
        <f t="shared" si="6"/>
        <v>0</v>
      </c>
      <c r="J112" s="116" t="str">
        <f t="shared" si="185"/>
        <v>0</v>
      </c>
      <c r="K112" s="117" t="str">
        <f t="shared" si="186"/>
        <v>0</v>
      </c>
      <c r="L112" s="123"/>
      <c r="M112" s="326"/>
      <c r="N112" s="326" t="str">
        <f t="shared" si="212"/>
        <v/>
      </c>
      <c r="O112" s="332" t="e">
        <f t="shared" si="200"/>
        <v>#VALUE!</v>
      </c>
      <c r="P112" s="140">
        <f t="shared" si="11"/>
        <v>0</v>
      </c>
      <c r="Q112" s="326" t="str">
        <f t="shared" si="187"/>
        <v>0</v>
      </c>
      <c r="R112" s="333" t="str">
        <f t="shared" si="188"/>
        <v>0</v>
      </c>
      <c r="S112" s="123"/>
      <c r="T112" s="326"/>
      <c r="U112" s="326" t="str">
        <f t="shared" si="213"/>
        <v/>
      </c>
      <c r="V112" s="332" t="e">
        <f t="shared" si="201"/>
        <v>#VALUE!</v>
      </c>
      <c r="W112" s="140">
        <f t="shared" si="15"/>
        <v>0</v>
      </c>
      <c r="X112" s="326" t="str">
        <f t="shared" si="189"/>
        <v>0</v>
      </c>
      <c r="Y112" s="333" t="str">
        <f t="shared" si="190"/>
        <v>0</v>
      </c>
      <c r="Z112" s="123"/>
      <c r="AA112" s="326"/>
      <c r="AB112" s="1257" t="e">
        <f t="shared" si="80"/>
        <v>#VALUE!</v>
      </c>
      <c r="AC112" s="140" t="str">
        <f t="shared" si="203"/>
        <v>0</v>
      </c>
      <c r="AD112" s="326">
        <f t="shared" ref="AD112:AF112" si="218">SUM(W112,P112,I112)</f>
        <v>0</v>
      </c>
      <c r="AE112" s="326">
        <f t="shared" si="218"/>
        <v>0</v>
      </c>
      <c r="AF112" s="326">
        <f t="shared" si="218"/>
        <v>0</v>
      </c>
      <c r="AG112" s="326">
        <f t="shared" si="21"/>
        <v>0</v>
      </c>
      <c r="AH112" s="98" t="str">
        <f t="shared" si="37"/>
        <v/>
      </c>
      <c r="AI112" s="125" t="str">
        <f t="shared" si="215"/>
        <v/>
      </c>
      <c r="AJ112" s="140">
        <f t="shared" si="24"/>
        <v>0</v>
      </c>
      <c r="AK112" s="123" t="str">
        <f t="shared" si="192"/>
        <v>0</v>
      </c>
      <c r="AL112" s="148" t="str">
        <f t="shared" si="193"/>
        <v>0</v>
      </c>
      <c r="AM112" s="125" t="str">
        <f t="shared" si="216"/>
        <v/>
      </c>
      <c r="AN112" s="140">
        <f t="shared" si="28"/>
        <v>0</v>
      </c>
      <c r="AO112" s="326" t="str">
        <f t="shared" si="194"/>
        <v>0</v>
      </c>
      <c r="AP112" s="333"/>
      <c r="AQ112" s="296" t="str">
        <f t="shared" si="195"/>
        <v/>
      </c>
    </row>
    <row r="113" spans="1:79" ht="13">
      <c r="A113" s="463">
        <f t="shared" si="180"/>
        <v>112013882</v>
      </c>
      <c r="B113" s="324">
        <f t="shared" si="181"/>
        <v>0</v>
      </c>
      <c r="C113" s="558" t="str">
        <f t="shared" si="182"/>
        <v/>
      </c>
      <c r="D113" s="558" t="str">
        <f t="shared" si="183"/>
        <v/>
      </c>
      <c r="E113" s="558" t="str">
        <f t="shared" si="184"/>
        <v/>
      </c>
      <c r="F113" s="325" t="s">
        <v>1535</v>
      </c>
      <c r="G113" s="326" t="str">
        <f t="shared" si="211"/>
        <v/>
      </c>
      <c r="H113" s="332" t="e">
        <f t="shared" si="206"/>
        <v>#VALUE!</v>
      </c>
      <c r="I113" s="113">
        <f t="shared" si="6"/>
        <v>0</v>
      </c>
      <c r="J113" s="116" t="str">
        <f t="shared" si="185"/>
        <v>0</v>
      </c>
      <c r="K113" s="117" t="str">
        <f t="shared" si="186"/>
        <v>0</v>
      </c>
      <c r="L113" s="123"/>
      <c r="M113" s="326"/>
      <c r="N113" s="326" t="str">
        <f t="shared" si="212"/>
        <v/>
      </c>
      <c r="O113" s="332" t="e">
        <f t="shared" si="200"/>
        <v>#VALUE!</v>
      </c>
      <c r="P113" s="140">
        <f t="shared" si="11"/>
        <v>0</v>
      </c>
      <c r="Q113" s="326" t="str">
        <f t="shared" si="187"/>
        <v>0</v>
      </c>
      <c r="R113" s="333" t="str">
        <f t="shared" si="188"/>
        <v>0</v>
      </c>
      <c r="S113" s="123"/>
      <c r="T113" s="326"/>
      <c r="U113" s="326" t="str">
        <f t="shared" si="213"/>
        <v/>
      </c>
      <c r="V113" s="332" t="e">
        <f t="shared" si="201"/>
        <v>#VALUE!</v>
      </c>
      <c r="W113" s="140">
        <f t="shared" si="15"/>
        <v>0</v>
      </c>
      <c r="X113" s="326" t="str">
        <f t="shared" si="189"/>
        <v>0</v>
      </c>
      <c r="Y113" s="333" t="str">
        <f t="shared" si="190"/>
        <v>0</v>
      </c>
      <c r="Z113" s="123"/>
      <c r="AA113" s="326"/>
      <c r="AB113" s="1257" t="e">
        <f t="shared" si="80"/>
        <v>#VALUE!</v>
      </c>
      <c r="AC113" s="140" t="str">
        <f t="shared" si="203"/>
        <v>0</v>
      </c>
      <c r="AD113" s="326">
        <f t="shared" ref="AD113:AF113" si="219">SUM(W113,P113,I113)</f>
        <v>0</v>
      </c>
      <c r="AE113" s="326">
        <f t="shared" si="219"/>
        <v>0</v>
      </c>
      <c r="AF113" s="326">
        <f t="shared" si="219"/>
        <v>0</v>
      </c>
      <c r="AG113" s="326">
        <f t="shared" si="21"/>
        <v>0</v>
      </c>
      <c r="AH113" s="98" t="str">
        <f t="shared" si="37"/>
        <v/>
      </c>
      <c r="AI113" s="125" t="str">
        <f t="shared" si="215"/>
        <v/>
      </c>
      <c r="AJ113" s="140">
        <f t="shared" si="24"/>
        <v>0</v>
      </c>
      <c r="AK113" s="123" t="str">
        <f t="shared" si="192"/>
        <v>0</v>
      </c>
      <c r="AL113" s="148" t="str">
        <f t="shared" si="193"/>
        <v>0</v>
      </c>
      <c r="AM113" s="125" t="str">
        <f t="shared" si="216"/>
        <v/>
      </c>
      <c r="AN113" s="140">
        <f t="shared" si="28"/>
        <v>0</v>
      </c>
      <c r="AO113" s="326" t="str">
        <f t="shared" si="194"/>
        <v>0</v>
      </c>
      <c r="AP113" s="333"/>
      <c r="AQ113" s="296" t="str">
        <f t="shared" si="195"/>
        <v/>
      </c>
    </row>
    <row r="114" spans="1:79" ht="13">
      <c r="A114" s="463">
        <f t="shared" si="180"/>
        <v>112014076</v>
      </c>
      <c r="B114" s="324">
        <f t="shared" si="181"/>
        <v>0</v>
      </c>
      <c r="C114" s="558" t="str">
        <f t="shared" si="182"/>
        <v/>
      </c>
      <c r="D114" s="558" t="str">
        <f t="shared" si="183"/>
        <v/>
      </c>
      <c r="E114" s="558" t="str">
        <f t="shared" si="184"/>
        <v/>
      </c>
      <c r="F114" s="325" t="s">
        <v>1498</v>
      </c>
      <c r="G114" s="326">
        <f t="shared" si="211"/>
        <v>0</v>
      </c>
      <c r="H114" s="332">
        <f t="shared" si="206"/>
        <v>0</v>
      </c>
      <c r="I114" s="113">
        <f t="shared" si="6"/>
        <v>0</v>
      </c>
      <c r="J114" s="116" t="str">
        <f t="shared" si="185"/>
        <v>0</v>
      </c>
      <c r="K114" s="117">
        <f t="shared" si="186"/>
        <v>0</v>
      </c>
      <c r="L114" s="123"/>
      <c r="M114" s="326"/>
      <c r="N114" s="326">
        <f t="shared" si="212"/>
        <v>45756.2</v>
      </c>
      <c r="O114" s="332">
        <f t="shared" si="200"/>
        <v>82851.895244999992</v>
      </c>
      <c r="P114" s="140">
        <f t="shared" si="11"/>
        <v>154691.74</v>
      </c>
      <c r="Q114" s="326" t="str">
        <f t="shared" si="187"/>
        <v>0</v>
      </c>
      <c r="R114" s="333">
        <f t="shared" si="188"/>
        <v>154691.74</v>
      </c>
      <c r="S114" s="123"/>
      <c r="T114" s="326"/>
      <c r="U114" s="326">
        <f t="shared" si="213"/>
        <v>0</v>
      </c>
      <c r="V114" s="332">
        <f t="shared" si="201"/>
        <v>0</v>
      </c>
      <c r="W114" s="140">
        <f t="shared" si="15"/>
        <v>0</v>
      </c>
      <c r="X114" s="326" t="str">
        <f t="shared" si="189"/>
        <v>0</v>
      </c>
      <c r="Y114" s="333">
        <f t="shared" si="190"/>
        <v>0</v>
      </c>
      <c r="Z114" s="123"/>
      <c r="AA114" s="326"/>
      <c r="AB114" s="1257">
        <f t="shared" si="80"/>
        <v>82851.895244999992</v>
      </c>
      <c r="AC114" s="140">
        <f t="shared" si="203"/>
        <v>502443.8</v>
      </c>
      <c r="AD114" s="326">
        <f t="shared" ref="AD114:AF114" si="220">SUM(W114,P114,I114)</f>
        <v>154691.74</v>
      </c>
      <c r="AE114" s="326">
        <f t="shared" si="220"/>
        <v>0</v>
      </c>
      <c r="AF114" s="326">
        <f t="shared" si="220"/>
        <v>154691.74</v>
      </c>
      <c r="AG114" s="326">
        <f t="shared" si="21"/>
        <v>-347752.06</v>
      </c>
      <c r="AH114" s="98">
        <f t="shared" si="37"/>
        <v>0.30787869210447016</v>
      </c>
      <c r="AI114" s="125">
        <f t="shared" si="215"/>
        <v>116314.88</v>
      </c>
      <c r="AJ114" s="140">
        <f t="shared" si="24"/>
        <v>387461.16</v>
      </c>
      <c r="AK114" s="123" t="str">
        <f t="shared" si="192"/>
        <v>0</v>
      </c>
      <c r="AL114" s="148">
        <f t="shared" si="193"/>
        <v>387461.16</v>
      </c>
      <c r="AM114" s="125">
        <f t="shared" si="216"/>
        <v>0</v>
      </c>
      <c r="AN114" s="140">
        <f t="shared" si="28"/>
        <v>0</v>
      </c>
      <c r="AO114" s="326" t="str">
        <f t="shared" si="194"/>
        <v>0</v>
      </c>
      <c r="AP114" s="333"/>
      <c r="AQ114" s="296" t="str">
        <f t="shared" si="195"/>
        <v/>
      </c>
    </row>
    <row r="115" spans="1:79" ht="13">
      <c r="A115" s="463">
        <f t="shared" si="180"/>
        <v>112012527</v>
      </c>
      <c r="B115" s="324">
        <f t="shared" si="181"/>
        <v>0</v>
      </c>
      <c r="C115" s="558" t="str">
        <f t="shared" si="182"/>
        <v/>
      </c>
      <c r="D115" s="558" t="str">
        <f t="shared" si="183"/>
        <v/>
      </c>
      <c r="E115" s="558" t="str">
        <f t="shared" si="184"/>
        <v/>
      </c>
      <c r="F115" s="325" t="s">
        <v>1491</v>
      </c>
      <c r="G115" s="326" t="str">
        <f t="shared" si="211"/>
        <v/>
      </c>
      <c r="H115" s="332" t="e">
        <f t="shared" si="206"/>
        <v>#VALUE!</v>
      </c>
      <c r="I115" s="113">
        <f t="shared" si="6"/>
        <v>0</v>
      </c>
      <c r="J115" s="116" t="str">
        <f t="shared" si="185"/>
        <v>0</v>
      </c>
      <c r="K115" s="117" t="str">
        <f t="shared" si="186"/>
        <v>0</v>
      </c>
      <c r="L115" s="123"/>
      <c r="M115" s="326"/>
      <c r="N115" s="326" t="str">
        <f t="shared" si="212"/>
        <v/>
      </c>
      <c r="O115" s="332" t="e">
        <f t="shared" si="200"/>
        <v>#VALUE!</v>
      </c>
      <c r="P115" s="140">
        <f t="shared" si="11"/>
        <v>0</v>
      </c>
      <c r="Q115" s="326" t="str">
        <f t="shared" si="187"/>
        <v>0</v>
      </c>
      <c r="R115" s="333" t="str">
        <f t="shared" si="188"/>
        <v>0</v>
      </c>
      <c r="S115" s="123"/>
      <c r="T115" s="326"/>
      <c r="U115" s="326" t="str">
        <f t="shared" si="213"/>
        <v/>
      </c>
      <c r="V115" s="332" t="e">
        <f t="shared" si="201"/>
        <v>#VALUE!</v>
      </c>
      <c r="W115" s="140">
        <f t="shared" si="15"/>
        <v>0</v>
      </c>
      <c r="X115" s="326" t="str">
        <f t="shared" si="189"/>
        <v>0</v>
      </c>
      <c r="Y115" s="333" t="str">
        <f t="shared" si="190"/>
        <v>0</v>
      </c>
      <c r="Z115" s="123"/>
      <c r="AA115" s="326"/>
      <c r="AB115" s="1257" t="e">
        <f t="shared" si="80"/>
        <v>#VALUE!</v>
      </c>
      <c r="AC115" s="140" t="str">
        <f t="shared" si="203"/>
        <v>0</v>
      </c>
      <c r="AD115" s="326">
        <f t="shared" ref="AD115:AF115" si="221">SUM(W115,P115,I115)</f>
        <v>0</v>
      </c>
      <c r="AE115" s="326">
        <f t="shared" si="221"/>
        <v>0</v>
      </c>
      <c r="AF115" s="326">
        <f t="shared" si="221"/>
        <v>0</v>
      </c>
      <c r="AG115" s="326">
        <f t="shared" si="21"/>
        <v>0</v>
      </c>
      <c r="AH115" s="98" t="str">
        <f t="shared" si="37"/>
        <v/>
      </c>
      <c r="AI115" s="125" t="str">
        <f t="shared" si="215"/>
        <v/>
      </c>
      <c r="AJ115" s="140">
        <f t="shared" si="24"/>
        <v>0</v>
      </c>
      <c r="AK115" s="123" t="str">
        <f t="shared" si="192"/>
        <v>0</v>
      </c>
      <c r="AL115" s="148" t="str">
        <f t="shared" si="193"/>
        <v>0</v>
      </c>
      <c r="AM115" s="125" t="str">
        <f t="shared" si="216"/>
        <v/>
      </c>
      <c r="AN115" s="140">
        <f t="shared" si="28"/>
        <v>0</v>
      </c>
      <c r="AO115" s="326" t="str">
        <f t="shared" si="194"/>
        <v>0</v>
      </c>
      <c r="AP115" s="333"/>
      <c r="AQ115" s="296" t="str">
        <f t="shared" si="195"/>
        <v/>
      </c>
    </row>
    <row r="116" spans="1:79" ht="13">
      <c r="A116" s="463">
        <f t="shared" si="180"/>
        <v>112013199</v>
      </c>
      <c r="B116" s="324">
        <f t="shared" si="181"/>
        <v>0</v>
      </c>
      <c r="C116" s="558" t="str">
        <f t="shared" si="182"/>
        <v/>
      </c>
      <c r="D116" s="558" t="str">
        <f t="shared" si="183"/>
        <v/>
      </c>
      <c r="E116" s="558" t="str">
        <f t="shared" si="184"/>
        <v/>
      </c>
      <c r="F116" s="325" t="s">
        <v>1494</v>
      </c>
      <c r="G116" s="326">
        <f t="shared" si="211"/>
        <v>0</v>
      </c>
      <c r="H116" s="332">
        <f t="shared" si="206"/>
        <v>0</v>
      </c>
      <c r="I116" s="113">
        <f t="shared" si="6"/>
        <v>0</v>
      </c>
      <c r="J116" s="116" t="str">
        <f t="shared" si="185"/>
        <v>0</v>
      </c>
      <c r="K116" s="117" t="str">
        <f t="shared" si="186"/>
        <v>0</v>
      </c>
      <c r="L116" s="123"/>
      <c r="M116" s="326"/>
      <c r="N116" s="326">
        <f t="shared" si="212"/>
        <v>0</v>
      </c>
      <c r="O116" s="332">
        <f t="shared" si="200"/>
        <v>0</v>
      </c>
      <c r="P116" s="140">
        <f t="shared" si="11"/>
        <v>0</v>
      </c>
      <c r="Q116" s="326" t="str">
        <f t="shared" si="187"/>
        <v>0</v>
      </c>
      <c r="R116" s="333" t="str">
        <f t="shared" si="188"/>
        <v>0</v>
      </c>
      <c r="S116" s="123"/>
      <c r="T116" s="326"/>
      <c r="U116" s="326">
        <f t="shared" si="213"/>
        <v>0</v>
      </c>
      <c r="V116" s="332">
        <f t="shared" si="201"/>
        <v>0</v>
      </c>
      <c r="W116" s="140">
        <f t="shared" si="15"/>
        <v>0</v>
      </c>
      <c r="X116" s="326" t="str">
        <f t="shared" si="189"/>
        <v>0</v>
      </c>
      <c r="Y116" s="333" t="str">
        <f t="shared" si="190"/>
        <v>0</v>
      </c>
      <c r="Z116" s="123"/>
      <c r="AA116" s="326"/>
      <c r="AB116" s="1257">
        <f t="shared" si="80"/>
        <v>0</v>
      </c>
      <c r="AC116" s="140">
        <f t="shared" si="203"/>
        <v>422966.12</v>
      </c>
      <c r="AD116" s="326">
        <f t="shared" ref="AD116:AF116" si="222">SUM(W116,P116,I116)</f>
        <v>0</v>
      </c>
      <c r="AE116" s="326">
        <f t="shared" si="222"/>
        <v>0</v>
      </c>
      <c r="AF116" s="326">
        <f t="shared" si="222"/>
        <v>0</v>
      </c>
      <c r="AG116" s="326">
        <f t="shared" si="21"/>
        <v>-422966.12</v>
      </c>
      <c r="AH116" s="98">
        <f t="shared" si="37"/>
        <v>0</v>
      </c>
      <c r="AI116" s="125">
        <f t="shared" si="215"/>
        <v>0</v>
      </c>
      <c r="AJ116" s="140">
        <f t="shared" si="24"/>
        <v>0</v>
      </c>
      <c r="AK116" s="123" t="str">
        <f t="shared" si="192"/>
        <v>0</v>
      </c>
      <c r="AL116" s="148" t="str">
        <f t="shared" si="193"/>
        <v>0</v>
      </c>
      <c r="AM116" s="125">
        <f t="shared" si="216"/>
        <v>0</v>
      </c>
      <c r="AN116" s="140">
        <f t="shared" si="28"/>
        <v>0</v>
      </c>
      <c r="AO116" s="326" t="str">
        <f t="shared" si="194"/>
        <v>0</v>
      </c>
      <c r="AP116" s="333"/>
      <c r="AQ116" s="296" t="str">
        <f t="shared" si="195"/>
        <v/>
      </c>
    </row>
    <row r="117" spans="1:79" ht="13">
      <c r="A117" s="463">
        <f t="shared" si="180"/>
        <v>112013723</v>
      </c>
      <c r="B117" s="324">
        <f t="shared" si="181"/>
        <v>0</v>
      </c>
      <c r="C117" s="558" t="str">
        <f t="shared" si="182"/>
        <v/>
      </c>
      <c r="D117" s="558" t="str">
        <f t="shared" si="183"/>
        <v/>
      </c>
      <c r="E117" s="558" t="str">
        <f t="shared" si="184"/>
        <v/>
      </c>
      <c r="F117" s="325" t="s">
        <v>1500</v>
      </c>
      <c r="G117" s="326" t="str">
        <f t="shared" si="211"/>
        <v/>
      </c>
      <c r="H117" s="332" t="e">
        <f t="shared" si="206"/>
        <v>#VALUE!</v>
      </c>
      <c r="I117" s="113">
        <f t="shared" si="6"/>
        <v>0</v>
      </c>
      <c r="J117" s="116" t="str">
        <f t="shared" si="185"/>
        <v>0</v>
      </c>
      <c r="K117" s="117" t="str">
        <f t="shared" si="186"/>
        <v>0</v>
      </c>
      <c r="L117" s="123"/>
      <c r="M117" s="326"/>
      <c r="N117" s="326" t="str">
        <f t="shared" si="212"/>
        <v/>
      </c>
      <c r="O117" s="332" t="e">
        <f t="shared" si="200"/>
        <v>#VALUE!</v>
      </c>
      <c r="P117" s="140">
        <f t="shared" si="11"/>
        <v>0</v>
      </c>
      <c r="Q117" s="326" t="str">
        <f t="shared" si="187"/>
        <v>0</v>
      </c>
      <c r="R117" s="333" t="str">
        <f t="shared" si="188"/>
        <v>0</v>
      </c>
      <c r="S117" s="123"/>
      <c r="T117" s="326"/>
      <c r="U117" s="326" t="str">
        <f t="shared" si="213"/>
        <v/>
      </c>
      <c r="V117" s="332" t="e">
        <f t="shared" si="201"/>
        <v>#VALUE!</v>
      </c>
      <c r="W117" s="140">
        <f t="shared" si="15"/>
        <v>0</v>
      </c>
      <c r="X117" s="326" t="str">
        <f t="shared" si="189"/>
        <v>0</v>
      </c>
      <c r="Y117" s="333" t="str">
        <f t="shared" si="190"/>
        <v>0</v>
      </c>
      <c r="Z117" s="123"/>
      <c r="AA117" s="326"/>
      <c r="AB117" s="1257" t="e">
        <f t="shared" si="80"/>
        <v>#VALUE!</v>
      </c>
      <c r="AC117" s="140" t="str">
        <f t="shared" si="203"/>
        <v>0</v>
      </c>
      <c r="AD117" s="326">
        <f t="shared" ref="AD117:AF117" si="223">SUM(W117,P117,I117)</f>
        <v>0</v>
      </c>
      <c r="AE117" s="326">
        <f t="shared" si="223"/>
        <v>0</v>
      </c>
      <c r="AF117" s="326">
        <f t="shared" si="223"/>
        <v>0</v>
      </c>
      <c r="AG117" s="326">
        <f t="shared" si="21"/>
        <v>0</v>
      </c>
      <c r="AH117" s="98" t="str">
        <f t="shared" si="37"/>
        <v/>
      </c>
      <c r="AI117" s="125" t="str">
        <f t="shared" si="215"/>
        <v/>
      </c>
      <c r="AJ117" s="140">
        <f t="shared" si="24"/>
        <v>0</v>
      </c>
      <c r="AK117" s="123" t="str">
        <f t="shared" si="192"/>
        <v>0</v>
      </c>
      <c r="AL117" s="148" t="str">
        <f t="shared" si="193"/>
        <v>0</v>
      </c>
      <c r="AM117" s="125" t="str">
        <f t="shared" si="216"/>
        <v/>
      </c>
      <c r="AN117" s="140">
        <f t="shared" si="28"/>
        <v>0</v>
      </c>
      <c r="AO117" s="326" t="str">
        <f t="shared" si="194"/>
        <v>0</v>
      </c>
      <c r="AP117" s="333"/>
      <c r="AQ117" s="296" t="str">
        <f t="shared" si="195"/>
        <v/>
      </c>
    </row>
    <row r="118" spans="1:79" ht="13">
      <c r="A118" s="1375">
        <f t="shared" si="180"/>
        <v>112014593</v>
      </c>
      <c r="B118" s="574">
        <f t="shared" si="181"/>
        <v>0</v>
      </c>
      <c r="C118" s="743" t="str">
        <f t="shared" si="182"/>
        <v/>
      </c>
      <c r="D118" s="743" t="str">
        <f t="shared" si="183"/>
        <v/>
      </c>
      <c r="E118" s="743" t="str">
        <f t="shared" si="184"/>
        <v/>
      </c>
      <c r="F118" s="925" t="s">
        <v>1497</v>
      </c>
      <c r="G118" s="471" t="str">
        <f t="shared" si="211"/>
        <v/>
      </c>
      <c r="H118" s="467" t="e">
        <f t="shared" si="206"/>
        <v>#VALUE!</v>
      </c>
      <c r="I118" s="752">
        <f t="shared" si="6"/>
        <v>0</v>
      </c>
      <c r="J118" s="267" t="str">
        <f t="shared" si="185"/>
        <v>0</v>
      </c>
      <c r="K118" s="753">
        <f t="shared" si="186"/>
        <v>0</v>
      </c>
      <c r="L118" s="274"/>
      <c r="M118" s="471"/>
      <c r="N118" s="471" t="str">
        <f t="shared" si="212"/>
        <v/>
      </c>
      <c r="O118" s="467" t="e">
        <f t="shared" si="200"/>
        <v>#VALUE!</v>
      </c>
      <c r="P118" s="164">
        <f t="shared" si="11"/>
        <v>3869000</v>
      </c>
      <c r="Q118" s="471" t="str">
        <f t="shared" si="187"/>
        <v>0</v>
      </c>
      <c r="R118" s="472">
        <f t="shared" si="188"/>
        <v>3869000</v>
      </c>
      <c r="S118" s="274"/>
      <c r="T118" s="471"/>
      <c r="U118" s="471" t="str">
        <f t="shared" si="213"/>
        <v/>
      </c>
      <c r="V118" s="467" t="e">
        <f t="shared" si="201"/>
        <v>#VALUE!</v>
      </c>
      <c r="W118" s="164">
        <f t="shared" si="15"/>
        <v>0</v>
      </c>
      <c r="X118" s="471" t="str">
        <f t="shared" si="189"/>
        <v>0</v>
      </c>
      <c r="Y118" s="472">
        <f t="shared" si="190"/>
        <v>0</v>
      </c>
      <c r="Z118" s="274"/>
      <c r="AA118" s="471"/>
      <c r="AB118" s="1285" t="e">
        <f t="shared" si="80"/>
        <v>#VALUE!</v>
      </c>
      <c r="AC118" s="164" t="str">
        <f t="shared" si="203"/>
        <v>0</v>
      </c>
      <c r="AD118" s="471">
        <f t="shared" ref="AD118:AF118" si="224">SUM(W118,P118,I118)</f>
        <v>3869000</v>
      </c>
      <c r="AE118" s="471">
        <f t="shared" si="224"/>
        <v>0</v>
      </c>
      <c r="AF118" s="471">
        <f t="shared" si="224"/>
        <v>3869000</v>
      </c>
      <c r="AG118" s="471">
        <f t="shared" si="21"/>
        <v>3869000</v>
      </c>
      <c r="AH118" s="608" t="str">
        <f t="shared" si="37"/>
        <v/>
      </c>
      <c r="AI118" s="271" t="str">
        <f t="shared" si="215"/>
        <v/>
      </c>
      <c r="AJ118" s="164">
        <f t="shared" si="24"/>
        <v>0</v>
      </c>
      <c r="AK118" s="274" t="str">
        <f t="shared" si="192"/>
        <v>0</v>
      </c>
      <c r="AL118" s="610">
        <f t="shared" si="193"/>
        <v>0</v>
      </c>
      <c r="AM118" s="271" t="str">
        <f t="shared" si="216"/>
        <v/>
      </c>
      <c r="AN118" s="164">
        <f t="shared" si="28"/>
        <v>7738000</v>
      </c>
      <c r="AO118" s="471" t="str">
        <f t="shared" si="194"/>
        <v>0</v>
      </c>
      <c r="AP118" s="472">
        <v>7738000</v>
      </c>
      <c r="AQ118" s="296" t="str">
        <f t="shared" si="195"/>
        <v/>
      </c>
    </row>
    <row r="119" spans="1:79" ht="13">
      <c r="A119" s="912"/>
      <c r="B119" s="1376"/>
      <c r="C119" s="771"/>
      <c r="D119" s="771"/>
      <c r="E119" s="771"/>
      <c r="F119" s="1377" t="s">
        <v>813</v>
      </c>
      <c r="G119" s="771">
        <f t="shared" ref="G119:AF119" si="225">SUM(G2:G118)</f>
        <v>31031331.710000008</v>
      </c>
      <c r="H119" s="768" t="e">
        <f t="shared" si="225"/>
        <v>#VALUE!</v>
      </c>
      <c r="I119" s="1346">
        <f t="shared" si="225"/>
        <v>66404941.269999988</v>
      </c>
      <c r="J119" s="1346">
        <f t="shared" si="225"/>
        <v>9233674.790000001</v>
      </c>
      <c r="K119" s="1346">
        <f t="shared" si="225"/>
        <v>75638616.059999958</v>
      </c>
      <c r="L119" s="1346">
        <f t="shared" si="225"/>
        <v>0</v>
      </c>
      <c r="M119" s="1346">
        <f t="shared" si="225"/>
        <v>0</v>
      </c>
      <c r="N119" s="1346">
        <f t="shared" si="225"/>
        <v>32987943.459999993</v>
      </c>
      <c r="O119" s="1346" t="e">
        <f t="shared" si="225"/>
        <v>#VALUE!</v>
      </c>
      <c r="P119" s="1346">
        <f t="shared" si="225"/>
        <v>39504034.340000004</v>
      </c>
      <c r="Q119" s="1346">
        <f t="shared" si="225"/>
        <v>11662941.180000002</v>
      </c>
      <c r="R119" s="1346">
        <f t="shared" si="225"/>
        <v>51166975.520000018</v>
      </c>
      <c r="S119" s="1346">
        <f t="shared" si="225"/>
        <v>0</v>
      </c>
      <c r="T119" s="1346">
        <f t="shared" si="225"/>
        <v>0</v>
      </c>
      <c r="U119" s="1346">
        <f t="shared" si="225"/>
        <v>35738988.399999999</v>
      </c>
      <c r="V119" s="1346" t="e">
        <f t="shared" si="225"/>
        <v>#VALUE!</v>
      </c>
      <c r="W119" s="1346">
        <f t="shared" si="225"/>
        <v>36761280.430000007</v>
      </c>
      <c r="X119" s="1346">
        <f t="shared" si="225"/>
        <v>13406729.25</v>
      </c>
      <c r="Y119" s="1346">
        <f t="shared" si="225"/>
        <v>50168009.680000007</v>
      </c>
      <c r="Z119" s="1346">
        <f t="shared" si="225"/>
        <v>0</v>
      </c>
      <c r="AA119" s="1346">
        <f t="shared" si="225"/>
        <v>0</v>
      </c>
      <c r="AB119" s="768" t="e">
        <f t="shared" si="225"/>
        <v>#VALUE!</v>
      </c>
      <c r="AC119" s="920">
        <f t="shared" si="225"/>
        <v>205484225.64000005</v>
      </c>
      <c r="AD119" s="1346">
        <f t="shared" si="225"/>
        <v>142670256.03999999</v>
      </c>
      <c r="AE119" s="1346">
        <f t="shared" si="225"/>
        <v>34303345.219999999</v>
      </c>
      <c r="AF119" s="1346">
        <f t="shared" si="225"/>
        <v>176973601.25999996</v>
      </c>
      <c r="AG119" s="913">
        <f t="shared" si="21"/>
        <v>-28510624.380000085</v>
      </c>
      <c r="AH119" s="764">
        <f t="shared" si="37"/>
        <v>0.86125151801214395</v>
      </c>
      <c r="AI119" s="1347">
        <f t="shared" ref="AI119:AQ119" si="226">SUM(AI2:AI118)</f>
        <v>28865718.230000004</v>
      </c>
      <c r="AJ119" s="1346">
        <f t="shared" si="226"/>
        <v>37185391.710000001</v>
      </c>
      <c r="AK119" s="1346">
        <f t="shared" si="226"/>
        <v>11939970.310000001</v>
      </c>
      <c r="AL119" s="1346">
        <f t="shared" si="226"/>
        <v>49125362.020000011</v>
      </c>
      <c r="AM119" s="1346">
        <f t="shared" si="226"/>
        <v>47551728.009999998</v>
      </c>
      <c r="AN119" s="920">
        <f t="shared" si="226"/>
        <v>36924003.109999999</v>
      </c>
      <c r="AO119" s="1346">
        <f t="shared" si="226"/>
        <v>13701291.009999998</v>
      </c>
      <c r="AP119" s="1346">
        <f t="shared" si="226"/>
        <v>50625294.120000005</v>
      </c>
      <c r="AQ119" s="1378">
        <f t="shared" si="226"/>
        <v>0</v>
      </c>
      <c r="AR119" s="293"/>
      <c r="AS119" s="293"/>
      <c r="AT119" s="293"/>
      <c r="AU119" s="293"/>
      <c r="AV119" s="293"/>
      <c r="AW119" s="293"/>
      <c r="AX119" s="293"/>
      <c r="AY119" s="293"/>
      <c r="AZ119" s="293"/>
      <c r="BA119" s="293"/>
      <c r="BB119" s="293"/>
      <c r="BC119" s="293"/>
      <c r="BD119" s="293"/>
      <c r="BE119" s="293"/>
      <c r="BF119" s="293"/>
      <c r="BG119" s="293"/>
      <c r="BH119" s="293"/>
      <c r="BI119" s="293"/>
      <c r="BJ119" s="293"/>
      <c r="BK119" s="293"/>
      <c r="BL119" s="293"/>
      <c r="BM119" s="293"/>
      <c r="BN119" s="293"/>
      <c r="BO119" s="293"/>
      <c r="BP119" s="293"/>
      <c r="BQ119" s="293"/>
      <c r="BR119" s="293"/>
      <c r="BS119" s="293"/>
      <c r="BT119" s="293"/>
      <c r="BU119" s="293"/>
      <c r="BV119" s="293"/>
      <c r="BW119" s="293"/>
      <c r="BX119" s="293"/>
      <c r="BY119" s="293"/>
      <c r="BZ119" s="293"/>
      <c r="CA119" s="293"/>
    </row>
    <row r="120" spans="1:79" ht="13">
      <c r="B120" s="294"/>
      <c r="K120" s="296"/>
      <c r="AB120" s="188"/>
      <c r="AC120" s="188"/>
      <c r="AD120" s="188"/>
      <c r="AE120" s="188"/>
      <c r="AF120" s="188"/>
      <c r="AG120" s="188"/>
      <c r="AH120" s="299"/>
      <c r="AJ120" s="296"/>
      <c r="AK120" s="296"/>
      <c r="AL120" s="296"/>
      <c r="AM120" s="296"/>
      <c r="AN120" s="296"/>
      <c r="AO120" s="296"/>
      <c r="AP120" s="296"/>
    </row>
    <row r="121" spans="1:79" ht="13">
      <c r="B121" s="294"/>
      <c r="K121" s="296"/>
      <c r="AB121" s="188"/>
      <c r="AC121" s="188"/>
      <c r="AD121" s="188"/>
      <c r="AE121" s="188"/>
      <c r="AF121" s="188"/>
      <c r="AG121" s="188"/>
      <c r="AH121" s="299"/>
      <c r="AJ121" s="296"/>
      <c r="AK121" s="296"/>
      <c r="AL121" s="296"/>
      <c r="AM121" s="296"/>
      <c r="AN121" s="296"/>
      <c r="AO121" s="296"/>
      <c r="AP121" s="296"/>
    </row>
    <row r="122" spans="1:79" ht="13" hidden="1">
      <c r="A122" s="463" t="e">
        <f>VLOOKUP(F122,ROTELACARTERA,3,FALSE)</f>
        <v>#N/A</v>
      </c>
      <c r="B122" s="501" t="e">
        <f>VLOOKUP(F122,ROTELACARTERA,2,FALSE)</f>
        <v>#N/A</v>
      </c>
      <c r="C122" s="699" t="str">
        <f>IFERROR(VLOOKUP(B122,DES,2,FALSE),"")</f>
        <v/>
      </c>
      <c r="D122" s="699" t="str">
        <f>IFERROR(VLOOKUP(B122,DES,3,FALSE),"")</f>
        <v/>
      </c>
      <c r="E122" s="699" t="str">
        <f>IFERROR(VLOOKUP(B122,DES,4,FALSE),"")</f>
        <v/>
      </c>
      <c r="F122" s="463" t="s">
        <v>1536</v>
      </c>
      <c r="G122" s="116">
        <f>IFERROR(VLOOKUP(F122,tmkpechhhh24,3,FALSE),"")</f>
        <v>0</v>
      </c>
      <c r="H122" s="1379">
        <v>1800000</v>
      </c>
      <c r="I122" s="113">
        <f t="shared" ref="I122:I126" si="227">K122-J122</f>
        <v>0</v>
      </c>
      <c r="J122" s="116" t="str">
        <f>IFERROR(VLOOKUP(F122,ROTELALIM,3,FALSE),"0")</f>
        <v>0</v>
      </c>
      <c r="K122" s="117" t="str">
        <f>IFERROR(VLOOKUP(F122,ROTEFC,3,FALSE),"0")</f>
        <v>0</v>
      </c>
      <c r="L122" s="114"/>
      <c r="M122" s="116"/>
      <c r="N122" s="116">
        <f>IFERROR(VLOOKUP(F122,tmkpechhhh24,4,FALSE),"")</f>
        <v>178608.3</v>
      </c>
      <c r="O122" s="121">
        <v>1800000</v>
      </c>
      <c r="P122" s="113"/>
      <c r="Q122" s="116" t="str">
        <f>IFERROR(VLOOKUP(F122,ROTELALIM,4,FALSE),"0")</f>
        <v>0</v>
      </c>
      <c r="R122" s="117" t="str">
        <f>IFERROR(VLOOKUP(F122,ROTEFC,4,FALSE),"0")</f>
        <v>0</v>
      </c>
      <c r="S122" s="114"/>
      <c r="T122" s="116"/>
      <c r="U122" s="116">
        <f>IFERROR(VLOOKUP(F122,tmkpechhhh24,5,FALSE),"")</f>
        <v>102000.98</v>
      </c>
      <c r="V122" s="121">
        <v>1800000</v>
      </c>
      <c r="W122" s="113">
        <f t="shared" ref="W122:W126" si="228">Y122-X122</f>
        <v>0</v>
      </c>
      <c r="X122" s="116" t="str">
        <f>IFERROR(VLOOKUP(F122,ROTELALIM,5,FALSE),"0")</f>
        <v>0</v>
      </c>
      <c r="Y122" s="117" t="str">
        <f>IFERROR(VLOOKUP(F122,ROTEFC,5,FALSE),"0")</f>
        <v>0</v>
      </c>
      <c r="Z122" s="114"/>
      <c r="AA122" s="116"/>
      <c r="AB122" s="1252">
        <f t="shared" ref="AB122:AB126" si="229">H122+O122+V122</f>
        <v>5400000</v>
      </c>
      <c r="AC122" s="113" t="str">
        <f>IFERROR(VLOOKUP(F122,trim2024,2,FALSE),"0")</f>
        <v>0</v>
      </c>
      <c r="AD122" s="116">
        <f t="shared" ref="AD122:AF122" si="230">SUM(W122,P122,I122)</f>
        <v>0</v>
      </c>
      <c r="AE122" s="116">
        <f t="shared" si="230"/>
        <v>0</v>
      </c>
      <c r="AF122" s="116">
        <f t="shared" si="230"/>
        <v>0</v>
      </c>
      <c r="AG122" s="116">
        <f t="shared" ref="AG122:AG126" si="231">AF122-AC122</f>
        <v>0</v>
      </c>
      <c r="AH122" s="413" t="str">
        <f t="shared" ref="AH122:AH126" si="232">IFERROR(AF122/AC122,"")</f>
        <v/>
      </c>
      <c r="AI122" s="114">
        <f>IFERROR(VLOOKUP(F122,tmkpechhhh24,6,FALSE),"")</f>
        <v>0</v>
      </c>
      <c r="AJ122" s="752">
        <f t="shared" ref="AJ122:AJ126" si="233">AL122-AK122</f>
        <v>0</v>
      </c>
      <c r="AK122" s="269" t="str">
        <f>IFERROR(VLOOKUP(F122,ROTELALIM,6,FALSE),"0")</f>
        <v>0</v>
      </c>
      <c r="AL122" s="270" t="str">
        <f>IFERROR(VLOOKUP(F122,ROTEFC,6,FALSE),"0")</f>
        <v>0</v>
      </c>
      <c r="AM122" s="114">
        <f>IFERROR(VLOOKUP(F122,tmkpechhhh24,7,FALSE),"")</f>
        <v>0</v>
      </c>
      <c r="AN122" s="116">
        <f t="shared" ref="AN122:AN126" si="234">AP122-AO122</f>
        <v>0</v>
      </c>
      <c r="AO122" s="116" t="str">
        <f>IFERROR(VLOOKUP(F122,ROTELALIM,7,FALSE),"0")</f>
        <v>0</v>
      </c>
      <c r="AP122" s="116" t="str">
        <f>IFERROR(VLOOKUP(F122,ROTEFC,7,FALSE),"0")</f>
        <v>0</v>
      </c>
      <c r="AQ122" s="296"/>
    </row>
    <row r="123" spans="1:79" ht="13" hidden="1">
      <c r="A123" s="463" t="e">
        <f>VLOOKUP(F123,ROTELACARTERA,3,FALSE)</f>
        <v>#N/A</v>
      </c>
      <c r="B123" s="324" t="e">
        <f>VLOOKUP(F123,ROTELACARTERA,2,FALSE)</f>
        <v>#N/A</v>
      </c>
      <c r="C123" s="558" t="str">
        <f>IFERROR(VLOOKUP(B123,DES,2,FALSE),"")</f>
        <v/>
      </c>
      <c r="D123" s="558" t="str">
        <f>IFERROR(VLOOKUP(B123,DES,3,FALSE),"")</f>
        <v/>
      </c>
      <c r="E123" s="558" t="str">
        <f>IFERROR(VLOOKUP(B123,DES,4,FALSE),"")</f>
        <v/>
      </c>
      <c r="F123" s="325" t="s">
        <v>1537</v>
      </c>
      <c r="G123" s="326">
        <f>IFERROR(VLOOKUP(F123,tmkpechhhh24,3,FALSE),"")</f>
        <v>1293030</v>
      </c>
      <c r="H123" s="332">
        <f t="shared" ref="H123:H126" si="235">(G123*1.601)*1.05</f>
        <v>2173648.0815000003</v>
      </c>
      <c r="I123" s="113">
        <f t="shared" si="227"/>
        <v>0</v>
      </c>
      <c r="J123" s="116" t="str">
        <f>IFERROR(VLOOKUP(F123,ROTELALIM,3,FALSE),"0")</f>
        <v>0</v>
      </c>
      <c r="K123" s="117" t="str">
        <f>IFERROR(VLOOKUP(F123,ROTEFC,3,FALSE),"0")</f>
        <v>0</v>
      </c>
      <c r="L123" s="123"/>
      <c r="M123" s="326"/>
      <c r="N123" s="326">
        <f>IFERROR(VLOOKUP(F123,tmkpechhhh24,4,FALSE),"")</f>
        <v>231758.92</v>
      </c>
      <c r="O123" s="332">
        <f t="shared" ref="O123:O126" si="236">(N123*1.7245)*1.05</f>
        <v>419651.67041700002</v>
      </c>
      <c r="P123" s="140"/>
      <c r="Q123" s="326" t="str">
        <f>IFERROR(VLOOKUP(F123,ROTELALIM,4,FALSE),"0")</f>
        <v>0</v>
      </c>
      <c r="R123" s="333" t="str">
        <f>IFERROR(VLOOKUP(F123,ROTEFC,4,FALSE),"0")</f>
        <v>0</v>
      </c>
      <c r="S123" s="123"/>
      <c r="T123" s="326"/>
      <c r="U123" s="326">
        <f>IFERROR(VLOOKUP(F123,tmkpechhhh24,5,FALSE),"")</f>
        <v>0</v>
      </c>
      <c r="V123" s="332">
        <f t="shared" ref="V123:V126" si="237">(U123*1.5955)*1.05</f>
        <v>0</v>
      </c>
      <c r="W123" s="140">
        <f t="shared" si="228"/>
        <v>0</v>
      </c>
      <c r="X123" s="326" t="str">
        <f>IFERROR(VLOOKUP(F123,ROTELALIM,5,FALSE),"0")</f>
        <v>0</v>
      </c>
      <c r="Y123" s="333" t="str">
        <f>IFERROR(VLOOKUP(F123,ROTEFC,5,FALSE),"0")</f>
        <v>0</v>
      </c>
      <c r="Z123" s="123"/>
      <c r="AA123" s="326"/>
      <c r="AB123" s="1257">
        <f t="shared" si="229"/>
        <v>2593299.7519170004</v>
      </c>
      <c r="AC123" s="140" t="str">
        <f>IFERROR(VLOOKUP(F123,trim2024,2,FALSE),"0")</f>
        <v>0</v>
      </c>
      <c r="AD123" s="326">
        <f t="shared" ref="AD123:AF123" si="238">SUM(W123,P123,I123)</f>
        <v>0</v>
      </c>
      <c r="AE123" s="326">
        <f t="shared" si="238"/>
        <v>0</v>
      </c>
      <c r="AF123" s="326">
        <f t="shared" si="238"/>
        <v>0</v>
      </c>
      <c r="AG123" s="326">
        <f t="shared" si="231"/>
        <v>0</v>
      </c>
      <c r="AH123" s="98" t="str">
        <f t="shared" si="232"/>
        <v/>
      </c>
      <c r="AI123" s="123">
        <f>IFERROR(VLOOKUP(F123,tmkpechhhh24,6,FALSE),"")</f>
        <v>0</v>
      </c>
      <c r="AJ123" s="164">
        <f t="shared" si="233"/>
        <v>0</v>
      </c>
      <c r="AK123" s="274" t="str">
        <f>IFERROR(VLOOKUP(F123,ROTELALIM,6,FALSE),"0")</f>
        <v>0</v>
      </c>
      <c r="AL123" s="610" t="str">
        <f>IFERROR(VLOOKUP(F123,ROTEFC,6,FALSE),"0")</f>
        <v>0</v>
      </c>
      <c r="AM123" s="123">
        <f>IFERROR(VLOOKUP(F123,tmkpechhhh24,7,FALSE),"")</f>
        <v>0</v>
      </c>
      <c r="AN123" s="326">
        <f t="shared" si="234"/>
        <v>0</v>
      </c>
      <c r="AO123" s="326" t="str">
        <f>IFERROR(VLOOKUP(F123,ROTELALIM,7,FALSE),"0")</f>
        <v>0</v>
      </c>
      <c r="AP123" s="326" t="str">
        <f>IFERROR(VLOOKUP(F123,ROTEFC,7,FALSE),"0")</f>
        <v>0</v>
      </c>
      <c r="AQ123" s="296"/>
    </row>
    <row r="124" spans="1:79" ht="13" hidden="1">
      <c r="A124" s="463" t="e">
        <f>VLOOKUP(F124,ROTELACARTERA,3,FALSE)</f>
        <v>#N/A</v>
      </c>
      <c r="B124" s="324" t="e">
        <f>VLOOKUP(F124,ROTELACARTERA,2,FALSE)</f>
        <v>#N/A</v>
      </c>
      <c r="C124" s="558" t="str">
        <f>IFERROR(VLOOKUP(B124,DES,2,FALSE),"")</f>
        <v/>
      </c>
      <c r="D124" s="558" t="str">
        <f>IFERROR(VLOOKUP(B124,DES,3,FALSE),"")</f>
        <v/>
      </c>
      <c r="E124" s="558" t="str">
        <f>IFERROR(VLOOKUP(B124,DES,4,FALSE),"")</f>
        <v/>
      </c>
      <c r="F124" s="325" t="s">
        <v>1538</v>
      </c>
      <c r="G124" s="326" t="str">
        <f>IFERROR(VLOOKUP(F124,tmkpechhhh24,3,FALSE),"")</f>
        <v/>
      </c>
      <c r="H124" s="332" t="e">
        <f t="shared" si="235"/>
        <v>#VALUE!</v>
      </c>
      <c r="I124" s="113">
        <f t="shared" si="227"/>
        <v>0</v>
      </c>
      <c r="J124" s="116" t="str">
        <f>IFERROR(VLOOKUP(F124,ROTELALIM,3,FALSE),"0")</f>
        <v>0</v>
      </c>
      <c r="K124" s="117" t="str">
        <f>IFERROR(VLOOKUP(F124,ROTEFC,3,FALSE),"0")</f>
        <v>0</v>
      </c>
      <c r="L124" s="123"/>
      <c r="M124" s="326"/>
      <c r="N124" s="326" t="str">
        <f>IFERROR(VLOOKUP(F124,tmkpechhhh24,4,FALSE),"")</f>
        <v/>
      </c>
      <c r="O124" s="332" t="e">
        <f t="shared" si="236"/>
        <v>#VALUE!</v>
      </c>
      <c r="P124" s="140"/>
      <c r="Q124" s="326" t="str">
        <f>IFERROR(VLOOKUP(F124,ROTELALIM,4,FALSE),"0")</f>
        <v>0</v>
      </c>
      <c r="R124" s="333" t="str">
        <f>IFERROR(VLOOKUP(F124,ROTEFC,4,FALSE),"0")</f>
        <v>0</v>
      </c>
      <c r="S124" s="123"/>
      <c r="T124" s="326"/>
      <c r="U124" s="326" t="str">
        <f>IFERROR(VLOOKUP(F124,tmkpechhhh24,5,FALSE),"")</f>
        <v/>
      </c>
      <c r="V124" s="332" t="e">
        <f t="shared" si="237"/>
        <v>#VALUE!</v>
      </c>
      <c r="W124" s="140">
        <f t="shared" si="228"/>
        <v>0</v>
      </c>
      <c r="X124" s="326" t="str">
        <f>IFERROR(VLOOKUP(F124,ROTELALIM,5,FALSE),"0")</f>
        <v>0</v>
      </c>
      <c r="Y124" s="333" t="str">
        <f>IFERROR(VLOOKUP(F124,ROTEFC,5,FALSE),"0")</f>
        <v>0</v>
      </c>
      <c r="Z124" s="123"/>
      <c r="AA124" s="326"/>
      <c r="AB124" s="1257" t="e">
        <f t="shared" si="229"/>
        <v>#VALUE!</v>
      </c>
      <c r="AC124" s="140" t="str">
        <f>IFERROR(VLOOKUP(F124,trim2024,2,FALSE),"0")</f>
        <v>0</v>
      </c>
      <c r="AD124" s="326">
        <f t="shared" ref="AD124:AF124" si="239">SUM(W124,P124,I124)</f>
        <v>0</v>
      </c>
      <c r="AE124" s="326">
        <f t="shared" si="239"/>
        <v>0</v>
      </c>
      <c r="AF124" s="326">
        <f t="shared" si="239"/>
        <v>0</v>
      </c>
      <c r="AG124" s="326">
        <f t="shared" si="231"/>
        <v>0</v>
      </c>
      <c r="AH124" s="98" t="str">
        <f t="shared" si="232"/>
        <v/>
      </c>
      <c r="AI124" s="123" t="str">
        <f>IFERROR(VLOOKUP(F124,tmkpechhhh24,6,FALSE),"")</f>
        <v/>
      </c>
      <c r="AJ124" s="164">
        <f t="shared" si="233"/>
        <v>0</v>
      </c>
      <c r="AK124" s="274" t="str">
        <f>IFERROR(VLOOKUP(F124,ROTELALIM,6,FALSE),"0")</f>
        <v>0</v>
      </c>
      <c r="AL124" s="610" t="str">
        <f>IFERROR(VLOOKUP(F124,ROTEFC,6,FALSE),"0")</f>
        <v>0</v>
      </c>
      <c r="AM124" s="123" t="str">
        <f>IFERROR(VLOOKUP(F124,tmkpechhhh24,7,FALSE),"")</f>
        <v/>
      </c>
      <c r="AN124" s="326">
        <f t="shared" si="234"/>
        <v>0</v>
      </c>
      <c r="AO124" s="326" t="str">
        <f>IFERROR(VLOOKUP(F124,ROTELALIM,7,FALSE),"0")</f>
        <v>0</v>
      </c>
      <c r="AP124" s="326" t="str">
        <f>IFERROR(VLOOKUP(F124,ROTEFC,7,FALSE),"0")</f>
        <v>0</v>
      </c>
      <c r="AQ124" s="296"/>
    </row>
    <row r="125" spans="1:79" ht="13" hidden="1">
      <c r="A125" s="463" t="e">
        <f>VLOOKUP(F125,ROTELACARTERA,3,FALSE)</f>
        <v>#N/A</v>
      </c>
      <c r="B125" s="324" t="e">
        <f>VLOOKUP(F125,ROTELACARTERA,2,FALSE)</f>
        <v>#N/A</v>
      </c>
      <c r="C125" s="558" t="str">
        <f>IFERROR(VLOOKUP(B125,DES,2,FALSE),"")</f>
        <v/>
      </c>
      <c r="D125" s="558" t="str">
        <f>IFERROR(VLOOKUP(B125,DES,3,FALSE),"")</f>
        <v/>
      </c>
      <c r="E125" s="558" t="str">
        <f>IFERROR(VLOOKUP(B125,DES,4,FALSE),"")</f>
        <v/>
      </c>
      <c r="F125" s="325" t="s">
        <v>1539</v>
      </c>
      <c r="G125" s="326" t="str">
        <f>IFERROR(VLOOKUP(F125,tmkpechhhh24,3,FALSE),"")</f>
        <v/>
      </c>
      <c r="H125" s="332" t="e">
        <f t="shared" si="235"/>
        <v>#VALUE!</v>
      </c>
      <c r="I125" s="113">
        <f t="shared" si="227"/>
        <v>0</v>
      </c>
      <c r="J125" s="116" t="str">
        <f>IFERROR(VLOOKUP(F125,ROTELALIM,3,FALSE),"0")</f>
        <v>0</v>
      </c>
      <c r="K125" s="117" t="str">
        <f>IFERROR(VLOOKUP(F125,ROTEFC,3,FALSE),"0")</f>
        <v>0</v>
      </c>
      <c r="L125" s="123"/>
      <c r="M125" s="326"/>
      <c r="N125" s="326" t="str">
        <f>IFERROR(VLOOKUP(F125,tmkpechhhh24,4,FALSE),"")</f>
        <v/>
      </c>
      <c r="O125" s="332" t="e">
        <f t="shared" si="236"/>
        <v>#VALUE!</v>
      </c>
      <c r="P125" s="140"/>
      <c r="Q125" s="326" t="str">
        <f>IFERROR(VLOOKUP(F125,ROTELALIM,4,FALSE),"0")</f>
        <v>0</v>
      </c>
      <c r="R125" s="333" t="str">
        <f>IFERROR(VLOOKUP(F125,ROTEFC,4,FALSE),"0")</f>
        <v>0</v>
      </c>
      <c r="S125" s="123"/>
      <c r="T125" s="326"/>
      <c r="U125" s="326" t="str">
        <f>IFERROR(VLOOKUP(F125,tmkpechhhh24,5,FALSE),"")</f>
        <v/>
      </c>
      <c r="V125" s="332" t="e">
        <f t="shared" si="237"/>
        <v>#VALUE!</v>
      </c>
      <c r="W125" s="140">
        <f t="shared" si="228"/>
        <v>0</v>
      </c>
      <c r="X125" s="326" t="str">
        <f>IFERROR(VLOOKUP(F125,ROTELALIM,5,FALSE),"0")</f>
        <v>0</v>
      </c>
      <c r="Y125" s="333" t="str">
        <f>IFERROR(VLOOKUP(F125,ROTEFC,5,FALSE),"0")</f>
        <v>0</v>
      </c>
      <c r="Z125" s="123"/>
      <c r="AA125" s="326"/>
      <c r="AB125" s="1257" t="e">
        <f t="shared" si="229"/>
        <v>#VALUE!</v>
      </c>
      <c r="AC125" s="140" t="str">
        <f>IFERROR(VLOOKUP(F125,trim2024,2,FALSE),"0")</f>
        <v>0</v>
      </c>
      <c r="AD125" s="326">
        <f t="shared" ref="AD125:AF125" si="240">SUM(W125,P125,I125)</f>
        <v>0</v>
      </c>
      <c r="AE125" s="326">
        <f t="shared" si="240"/>
        <v>0</v>
      </c>
      <c r="AF125" s="326">
        <f t="shared" si="240"/>
        <v>0</v>
      </c>
      <c r="AG125" s="326">
        <f t="shared" si="231"/>
        <v>0</v>
      </c>
      <c r="AH125" s="98" t="str">
        <f t="shared" si="232"/>
        <v/>
      </c>
      <c r="AI125" s="123" t="str">
        <f>IFERROR(VLOOKUP(F125,tmkpechhhh24,6,FALSE),"")</f>
        <v/>
      </c>
      <c r="AJ125" s="164">
        <f t="shared" si="233"/>
        <v>0</v>
      </c>
      <c r="AK125" s="274" t="str">
        <f>IFERROR(VLOOKUP(F125,ROTELALIM,6,FALSE),"0")</f>
        <v>0</v>
      </c>
      <c r="AL125" s="610" t="str">
        <f>IFERROR(VLOOKUP(F125,ROTEFC,6,FALSE),"0")</f>
        <v>0</v>
      </c>
      <c r="AM125" s="123" t="str">
        <f>IFERROR(VLOOKUP(F125,tmkpechhhh24,7,FALSE),"")</f>
        <v/>
      </c>
      <c r="AN125" s="326">
        <f t="shared" si="234"/>
        <v>0</v>
      </c>
      <c r="AO125" s="326" t="str">
        <f>IFERROR(VLOOKUP(F125,ROTELALIM,7,FALSE),"0")</f>
        <v>0</v>
      </c>
      <c r="AP125" s="326" t="str">
        <f>IFERROR(VLOOKUP(F125,ROTEFC,7,FALSE),"0")</f>
        <v>0</v>
      </c>
      <c r="AQ125" s="296"/>
    </row>
    <row r="126" spans="1:79" ht="13" hidden="1">
      <c r="A126" s="463" t="e">
        <f>VLOOKUP(F126,ROTELACARTERA,3,FALSE)</f>
        <v>#N/A</v>
      </c>
      <c r="B126" s="324" t="e">
        <f>VLOOKUP(F126,ROTELACARTERA,2,FALSE)</f>
        <v>#N/A</v>
      </c>
      <c r="C126" s="558" t="str">
        <f>IFERROR(VLOOKUP(B126,DES,2,FALSE),"")</f>
        <v/>
      </c>
      <c r="D126" s="558" t="str">
        <f>IFERROR(VLOOKUP(B126,DES,3,FALSE),"")</f>
        <v/>
      </c>
      <c r="E126" s="558" t="str">
        <f>IFERROR(VLOOKUP(B126,DES,4,FALSE),"")</f>
        <v/>
      </c>
      <c r="F126" s="325" t="s">
        <v>1540</v>
      </c>
      <c r="G126" s="326" t="str">
        <f>IFERROR(VLOOKUP(F126,tmkpechhhh24,3,FALSE),"")</f>
        <v/>
      </c>
      <c r="H126" s="332" t="e">
        <f t="shared" si="235"/>
        <v>#VALUE!</v>
      </c>
      <c r="I126" s="113">
        <f t="shared" si="227"/>
        <v>0</v>
      </c>
      <c r="J126" s="116" t="str">
        <f>IFERROR(VLOOKUP(F126,ROTELALIM,3,FALSE),"0")</f>
        <v>0</v>
      </c>
      <c r="K126" s="117" t="str">
        <f>IFERROR(VLOOKUP(F126,ROTEFC,3,FALSE),"0")</f>
        <v>0</v>
      </c>
      <c r="L126" s="123"/>
      <c r="M126" s="326"/>
      <c r="N126" s="326" t="str">
        <f>IFERROR(VLOOKUP(F126,tmkpechhhh24,4,FALSE),"")</f>
        <v/>
      </c>
      <c r="O126" s="332" t="e">
        <f t="shared" si="236"/>
        <v>#VALUE!</v>
      </c>
      <c r="P126" s="140"/>
      <c r="Q126" s="326" t="str">
        <f>IFERROR(VLOOKUP(F126,ROTELALIM,4,FALSE),"0")</f>
        <v>0</v>
      </c>
      <c r="R126" s="333" t="str">
        <f>IFERROR(VLOOKUP(F126,ROTEFC,4,FALSE),"0")</f>
        <v>0</v>
      </c>
      <c r="S126" s="123"/>
      <c r="T126" s="326"/>
      <c r="U126" s="326" t="str">
        <f>IFERROR(VLOOKUP(F126,tmkpechhhh24,5,FALSE),"")</f>
        <v/>
      </c>
      <c r="V126" s="332" t="e">
        <f t="shared" si="237"/>
        <v>#VALUE!</v>
      </c>
      <c r="W126" s="140">
        <f t="shared" si="228"/>
        <v>0</v>
      </c>
      <c r="X126" s="326" t="str">
        <f>IFERROR(VLOOKUP(F126,ROTELALIM,5,FALSE),"0")</f>
        <v>0</v>
      </c>
      <c r="Y126" s="333" t="str">
        <f>IFERROR(VLOOKUP(F126,ROTEFC,5,FALSE),"0")</f>
        <v>0</v>
      </c>
      <c r="Z126" s="123"/>
      <c r="AA126" s="326"/>
      <c r="AB126" s="1257" t="e">
        <f t="shared" si="229"/>
        <v>#VALUE!</v>
      </c>
      <c r="AC126" s="140" t="str">
        <f>IFERROR(VLOOKUP(F126,trim2024,2,FALSE),"0")</f>
        <v>0</v>
      </c>
      <c r="AD126" s="326">
        <f t="shared" ref="AD126:AF126" si="241">SUM(W126,P126,I126)</f>
        <v>0</v>
      </c>
      <c r="AE126" s="326">
        <f t="shared" si="241"/>
        <v>0</v>
      </c>
      <c r="AF126" s="326">
        <f t="shared" si="241"/>
        <v>0</v>
      </c>
      <c r="AG126" s="326">
        <f t="shared" si="231"/>
        <v>0</v>
      </c>
      <c r="AH126" s="98" t="str">
        <f t="shared" si="232"/>
        <v/>
      </c>
      <c r="AI126" s="123" t="str">
        <f>IFERROR(VLOOKUP(F126,tmkpechhhh24,6,FALSE),"")</f>
        <v/>
      </c>
      <c r="AJ126" s="164">
        <f t="shared" si="233"/>
        <v>0</v>
      </c>
      <c r="AK126" s="274" t="str">
        <f>IFERROR(VLOOKUP(F126,ROTELALIM,6,FALSE),"0")</f>
        <v>0</v>
      </c>
      <c r="AL126" s="610" t="str">
        <f>IFERROR(VLOOKUP(F126,ROTEFC,6,FALSE),"0")</f>
        <v>0</v>
      </c>
      <c r="AM126" s="123" t="str">
        <f>IFERROR(VLOOKUP(F126,tmkpechhhh24,7,FALSE),"")</f>
        <v/>
      </c>
      <c r="AN126" s="326">
        <f t="shared" si="234"/>
        <v>0</v>
      </c>
      <c r="AO126" s="326" t="str">
        <f>IFERROR(VLOOKUP(F126,ROTELALIM,7,FALSE),"0")</f>
        <v>0</v>
      </c>
      <c r="AP126" s="326" t="str">
        <f>IFERROR(VLOOKUP(F126,ROTEFC,7,FALSE),"0")</f>
        <v>0</v>
      </c>
      <c r="AQ126" s="296"/>
    </row>
    <row r="127" spans="1:79" ht="13">
      <c r="B127" s="294"/>
      <c r="K127" s="296"/>
      <c r="AB127" s="188"/>
      <c r="AC127" s="188"/>
      <c r="AD127" s="188"/>
      <c r="AE127" s="188"/>
      <c r="AF127" s="188"/>
      <c r="AG127" s="188"/>
      <c r="AH127" s="299"/>
    </row>
    <row r="128" spans="1:79" ht="13">
      <c r="B128" s="294"/>
      <c r="K128" s="296"/>
      <c r="AB128" s="188"/>
      <c r="AC128" s="188"/>
      <c r="AD128" s="188"/>
      <c r="AE128" s="188"/>
      <c r="AF128" s="188"/>
      <c r="AG128" s="188"/>
      <c r="AH128" s="299"/>
    </row>
    <row r="129" spans="2:34" ht="13">
      <c r="B129" s="294"/>
      <c r="K129" s="296"/>
      <c r="AB129" s="188"/>
      <c r="AC129" s="188"/>
      <c r="AD129" s="188"/>
      <c r="AE129" s="188"/>
      <c r="AF129" s="188"/>
      <c r="AG129" s="188"/>
      <c r="AH129" s="299"/>
    </row>
    <row r="130" spans="2:34" ht="13">
      <c r="B130" s="294"/>
      <c r="K130" s="296"/>
      <c r="AB130" s="188"/>
      <c r="AC130" s="188"/>
      <c r="AD130" s="188"/>
      <c r="AE130" s="188"/>
      <c r="AF130" s="188"/>
      <c r="AG130" s="188"/>
      <c r="AH130" s="299"/>
    </row>
    <row r="131" spans="2:34" ht="13">
      <c r="B131" s="294"/>
      <c r="K131" s="296"/>
      <c r="AB131" s="188"/>
      <c r="AC131" s="188"/>
      <c r="AD131" s="188"/>
      <c r="AE131" s="188"/>
      <c r="AF131" s="188"/>
      <c r="AG131" s="188"/>
      <c r="AH131" s="299"/>
    </row>
    <row r="132" spans="2:34" ht="13">
      <c r="B132" s="294"/>
      <c r="K132" s="296"/>
      <c r="AB132" s="188"/>
      <c r="AC132" s="188"/>
      <c r="AD132" s="188"/>
      <c r="AE132" s="188"/>
      <c r="AF132" s="188"/>
      <c r="AG132" s="188"/>
      <c r="AH132" s="299"/>
    </row>
    <row r="133" spans="2:34" ht="13">
      <c r="B133" s="294"/>
      <c r="K133" s="296"/>
      <c r="AB133" s="188"/>
      <c r="AC133" s="188"/>
      <c r="AD133" s="188"/>
      <c r="AE133" s="188"/>
      <c r="AF133" s="188"/>
      <c r="AG133" s="188"/>
      <c r="AH133" s="299"/>
    </row>
    <row r="134" spans="2:34" ht="13">
      <c r="B134" s="294"/>
      <c r="K134" s="296"/>
      <c r="AB134" s="188"/>
      <c r="AC134" s="188"/>
      <c r="AD134" s="188"/>
      <c r="AE134" s="188"/>
      <c r="AF134" s="188"/>
      <c r="AG134" s="188"/>
      <c r="AH134" s="299"/>
    </row>
    <row r="135" spans="2:34" ht="13">
      <c r="B135" s="294"/>
      <c r="K135" s="296"/>
      <c r="AB135" s="188"/>
      <c r="AC135" s="188"/>
      <c r="AD135" s="188"/>
      <c r="AE135" s="188"/>
      <c r="AF135" s="188"/>
      <c r="AG135" s="188"/>
      <c r="AH135" s="299"/>
    </row>
    <row r="136" spans="2:34" ht="13">
      <c r="B136" s="294"/>
      <c r="K136" s="296"/>
      <c r="AB136" s="188"/>
      <c r="AC136" s="188"/>
      <c r="AD136" s="188"/>
      <c r="AE136" s="188"/>
      <c r="AF136" s="188"/>
      <c r="AG136" s="188"/>
      <c r="AH136" s="299"/>
    </row>
    <row r="137" spans="2:34" ht="13">
      <c r="B137" s="294"/>
      <c r="K137" s="296"/>
      <c r="AB137" s="188"/>
      <c r="AC137" s="188"/>
      <c r="AD137" s="188"/>
      <c r="AE137" s="188"/>
      <c r="AF137" s="188"/>
      <c r="AG137" s="188"/>
      <c r="AH137" s="299"/>
    </row>
    <row r="138" spans="2:34" ht="13">
      <c r="B138" s="294"/>
      <c r="K138" s="296"/>
      <c r="AB138" s="188"/>
      <c r="AC138" s="188"/>
      <c r="AD138" s="188"/>
      <c r="AE138" s="188"/>
      <c r="AF138" s="188"/>
      <c r="AG138" s="188"/>
      <c r="AH138" s="299"/>
    </row>
    <row r="139" spans="2:34" ht="13">
      <c r="B139" s="294"/>
      <c r="K139" s="296"/>
      <c r="AB139" s="188"/>
      <c r="AC139" s="188"/>
      <c r="AD139" s="188"/>
      <c r="AE139" s="188"/>
      <c r="AF139" s="188"/>
      <c r="AG139" s="188"/>
      <c r="AH139" s="299"/>
    </row>
    <row r="140" spans="2:34" ht="13">
      <c r="B140" s="294"/>
      <c r="K140" s="296"/>
      <c r="AB140" s="188"/>
      <c r="AC140" s="188"/>
      <c r="AD140" s="188"/>
      <c r="AE140" s="188"/>
      <c r="AF140" s="188"/>
      <c r="AG140" s="188"/>
      <c r="AH140" s="299"/>
    </row>
    <row r="141" spans="2:34" ht="13">
      <c r="B141" s="294"/>
      <c r="K141" s="296"/>
      <c r="AB141" s="188"/>
      <c r="AC141" s="188"/>
      <c r="AD141" s="188"/>
      <c r="AE141" s="188"/>
      <c r="AF141" s="188"/>
      <c r="AG141" s="188"/>
      <c r="AH141" s="299"/>
    </row>
    <row r="142" spans="2:34" ht="13">
      <c r="B142" s="294"/>
      <c r="K142" s="296"/>
      <c r="AB142" s="188"/>
      <c r="AC142" s="188"/>
      <c r="AD142" s="188"/>
      <c r="AE142" s="188"/>
      <c r="AF142" s="188"/>
      <c r="AG142" s="188"/>
      <c r="AH142" s="299"/>
    </row>
    <row r="143" spans="2:34" ht="13">
      <c r="B143" s="294"/>
      <c r="K143" s="296"/>
      <c r="AB143" s="188"/>
      <c r="AC143" s="188"/>
      <c r="AD143" s="188"/>
      <c r="AE143" s="188"/>
      <c r="AF143" s="188"/>
      <c r="AG143" s="188"/>
      <c r="AH143" s="299"/>
    </row>
    <row r="144" spans="2:34" ht="13">
      <c r="B144" s="294"/>
      <c r="K144" s="296"/>
      <c r="AB144" s="188"/>
      <c r="AC144" s="188"/>
      <c r="AD144" s="188"/>
      <c r="AE144" s="188"/>
      <c r="AF144" s="188"/>
      <c r="AG144" s="188"/>
      <c r="AH144" s="299"/>
    </row>
    <row r="145" spans="2:79" ht="13">
      <c r="B145" s="294"/>
      <c r="K145" s="296"/>
      <c r="AB145" s="188"/>
      <c r="AC145" s="188"/>
      <c r="AD145" s="188"/>
      <c r="AE145" s="188"/>
      <c r="AF145" s="188"/>
      <c r="AG145" s="188"/>
      <c r="AH145" s="299"/>
    </row>
    <row r="146" spans="2:79" ht="13">
      <c r="B146" s="294"/>
      <c r="K146" s="296"/>
      <c r="AB146" s="188"/>
      <c r="AC146" s="188"/>
      <c r="AD146" s="188"/>
      <c r="AE146" s="188"/>
      <c r="AF146" s="188"/>
      <c r="AG146" s="188"/>
      <c r="AH146" s="299"/>
    </row>
    <row r="147" spans="2:79" ht="13">
      <c r="B147" s="294"/>
      <c r="K147" s="296"/>
      <c r="AB147" s="188"/>
      <c r="AC147" s="188"/>
      <c r="AD147" s="188"/>
      <c r="AE147" s="188"/>
      <c r="AF147" s="188"/>
      <c r="AG147" s="188"/>
      <c r="AH147" s="299"/>
    </row>
    <row r="148" spans="2:79" ht="13">
      <c r="B148" s="294"/>
      <c r="K148" s="296"/>
      <c r="AB148" s="188"/>
      <c r="AC148" s="188"/>
      <c r="AD148" s="188"/>
      <c r="AE148" s="188"/>
      <c r="AF148" s="188"/>
      <c r="AG148" s="188"/>
      <c r="AH148" s="299"/>
    </row>
    <row r="149" spans="2:79" ht="13">
      <c r="B149" s="294"/>
      <c r="K149" s="296"/>
      <c r="AB149" s="188"/>
      <c r="AC149" s="188"/>
      <c r="AD149" s="188"/>
      <c r="AE149" s="188"/>
      <c r="AF149" s="188"/>
      <c r="AG149" s="188"/>
      <c r="AH149" s="299"/>
      <c r="BN149" s="352">
        <f>BN153-K119</f>
        <v>-9.9999606609344482E-3</v>
      </c>
      <c r="BO149" s="352">
        <f>BO153-R119</f>
        <v>0</v>
      </c>
      <c r="BP149" s="352">
        <f>BP153-Y119</f>
        <v>9.9999904632568359E-3</v>
      </c>
      <c r="BQ149" s="352">
        <f>BQ153-AL119</f>
        <v>-3.0000008642673492E-2</v>
      </c>
      <c r="BR149" s="352">
        <f>BR153-AP119</f>
        <v>-19176527.640000004</v>
      </c>
    </row>
    <row r="150" spans="2:79" ht="13">
      <c r="B150" s="294"/>
      <c r="K150" s="296"/>
      <c r="AB150" s="188"/>
      <c r="AC150" s="188"/>
      <c r="AD150" s="188"/>
      <c r="AE150" s="188"/>
      <c r="AF150" s="188"/>
      <c r="AG150" s="188"/>
      <c r="AH150" s="299"/>
      <c r="BK150" s="509">
        <v>0</v>
      </c>
      <c r="BL150" s="354">
        <v>1</v>
      </c>
      <c r="BM150" s="354">
        <v>2</v>
      </c>
      <c r="BN150" s="354">
        <v>3</v>
      </c>
      <c r="BO150" s="354">
        <v>4</v>
      </c>
      <c r="BP150" s="354">
        <v>5</v>
      </c>
      <c r="BQ150" s="354">
        <v>6</v>
      </c>
      <c r="BR150" s="354">
        <v>7</v>
      </c>
      <c r="BS150" s="354">
        <v>8</v>
      </c>
      <c r="BT150" s="354">
        <v>9</v>
      </c>
      <c r="BU150" s="354">
        <v>10</v>
      </c>
      <c r="BV150" s="354">
        <v>11</v>
      </c>
      <c r="BW150" s="354">
        <v>12</v>
      </c>
      <c r="BX150" s="354">
        <v>13</v>
      </c>
      <c r="BY150" s="354">
        <v>14</v>
      </c>
      <c r="BZ150" s="354">
        <v>15</v>
      </c>
      <c r="CA150" s="355">
        <v>16</v>
      </c>
    </row>
    <row r="151" spans="2:79" ht="13">
      <c r="B151" s="294"/>
      <c r="K151" s="296"/>
      <c r="AB151" s="188"/>
      <c r="AC151" s="188"/>
      <c r="AD151" s="188"/>
      <c r="AE151" s="188"/>
      <c r="AF151" s="188"/>
      <c r="AG151" s="188"/>
      <c r="AH151" s="299"/>
      <c r="BK151" s="510"/>
      <c r="BN151" s="357">
        <v>45658</v>
      </c>
      <c r="BO151" s="357">
        <v>45689</v>
      </c>
      <c r="BP151" s="357">
        <v>45717</v>
      </c>
      <c r="BQ151" s="357">
        <v>45748</v>
      </c>
      <c r="BR151" s="357">
        <v>45778</v>
      </c>
      <c r="BS151" s="357">
        <v>45809</v>
      </c>
      <c r="BT151" s="357">
        <v>45839</v>
      </c>
      <c r="BU151" s="357">
        <v>45870</v>
      </c>
      <c r="BV151" s="357">
        <v>45901</v>
      </c>
      <c r="BW151" s="357">
        <v>45931</v>
      </c>
      <c r="BX151" s="357">
        <v>45962</v>
      </c>
      <c r="BY151" s="357">
        <v>45992</v>
      </c>
      <c r="BZ151" s="357"/>
      <c r="CA151" s="358"/>
    </row>
    <row r="152" spans="2:79" ht="13">
      <c r="B152" s="294"/>
      <c r="K152" s="296"/>
      <c r="AB152" s="188"/>
      <c r="AC152" s="188"/>
      <c r="AD152" s="188"/>
      <c r="AE152" s="188"/>
      <c r="AF152" s="188"/>
      <c r="AG152" s="188"/>
      <c r="AH152" s="299"/>
      <c r="BK152" s="510"/>
      <c r="BL152" s="511"/>
      <c r="BM152" s="377" t="s">
        <v>241</v>
      </c>
      <c r="BN152" s="360">
        <v>45658</v>
      </c>
      <c r="BO152" s="360">
        <v>45689</v>
      </c>
      <c r="BP152" s="360">
        <v>45717</v>
      </c>
      <c r="BQ152" s="360">
        <v>45748</v>
      </c>
      <c r="BR152" s="360">
        <v>45778</v>
      </c>
      <c r="BS152" s="360">
        <v>45809</v>
      </c>
      <c r="BT152" s="360"/>
      <c r="BU152" s="360"/>
      <c r="BV152" s="360"/>
      <c r="BW152" s="360"/>
      <c r="BX152" s="360"/>
      <c r="BY152" s="360"/>
      <c r="BZ152" s="357"/>
      <c r="CA152" s="358"/>
    </row>
    <row r="153" spans="2:79" ht="13">
      <c r="B153" s="294"/>
      <c r="K153" s="296"/>
      <c r="AB153" s="188"/>
      <c r="AC153" s="188"/>
      <c r="AD153" s="188"/>
      <c r="AE153" s="188"/>
      <c r="AF153" s="188"/>
      <c r="AG153" s="188"/>
      <c r="AH153" s="299"/>
      <c r="BK153" s="510"/>
      <c r="BL153" s="359" t="s">
        <v>241</v>
      </c>
      <c r="BM153" s="361">
        <v>257547729.72999999</v>
      </c>
      <c r="BN153" s="361">
        <v>75638616.049999997</v>
      </c>
      <c r="BO153" s="361">
        <v>51166975.520000003</v>
      </c>
      <c r="BP153" s="361">
        <v>50168009.689999998</v>
      </c>
      <c r="BQ153" s="361">
        <v>49125361.990000002</v>
      </c>
      <c r="BR153" s="361">
        <v>31448766.48</v>
      </c>
      <c r="BS153" s="361">
        <v>0</v>
      </c>
      <c r="BT153" s="361"/>
      <c r="BU153" s="361"/>
      <c r="BV153" s="361"/>
      <c r="BW153" s="361"/>
      <c r="BX153" s="361"/>
      <c r="BY153" s="361"/>
      <c r="BZ153" s="361"/>
      <c r="CA153" s="362"/>
    </row>
    <row r="154" spans="2:79" ht="13">
      <c r="B154" s="294"/>
      <c r="K154" s="296"/>
      <c r="AB154" s="188"/>
      <c r="AC154" s="188"/>
      <c r="AD154" s="188"/>
      <c r="AE154" s="188"/>
      <c r="AF154" s="188"/>
      <c r="AG154" s="188"/>
      <c r="AH154" s="299"/>
      <c r="BJ154" s="302">
        <f t="shared" ref="BJ154:BJ185" si="242">VLOOKUP(BL154,ROTELACARTERA,3,FALSE)</f>
        <v>112014254</v>
      </c>
      <c r="BK154" s="510">
        <v>1</v>
      </c>
      <c r="BL154" s="359" t="s">
        <v>1330</v>
      </c>
      <c r="BM154" s="361">
        <v>19246130.559999999</v>
      </c>
      <c r="BN154" s="361">
        <v>5679640.4699999997</v>
      </c>
      <c r="BO154" s="361">
        <v>3273035.51</v>
      </c>
      <c r="BP154" s="361">
        <v>6933590.5199999996</v>
      </c>
      <c r="BQ154" s="361">
        <v>3398716.04</v>
      </c>
      <c r="BR154" s="361">
        <v>-38851.980000000003</v>
      </c>
      <c r="BS154" s="361">
        <v>0</v>
      </c>
      <c r="BT154" s="361"/>
      <c r="BU154" s="361"/>
      <c r="BV154" s="361"/>
      <c r="BW154" s="361"/>
      <c r="BX154" s="361"/>
      <c r="BY154" s="361"/>
      <c r="BZ154" s="361"/>
      <c r="CA154" s="362"/>
    </row>
    <row r="155" spans="2:79" ht="13">
      <c r="B155" s="294"/>
      <c r="K155" s="296"/>
      <c r="AB155" s="188"/>
      <c r="AC155" s="188"/>
      <c r="AD155" s="188"/>
      <c r="AE155" s="188"/>
      <c r="AF155" s="188"/>
      <c r="AG155" s="188"/>
      <c r="AH155" s="299"/>
      <c r="BJ155" s="302">
        <f t="shared" si="242"/>
        <v>112013788</v>
      </c>
      <c r="BK155" s="510">
        <v>2</v>
      </c>
      <c r="BL155" s="359" t="s">
        <v>1403</v>
      </c>
      <c r="BM155" s="361">
        <v>16800374.91</v>
      </c>
      <c r="BN155" s="361">
        <v>6618838.6799999997</v>
      </c>
      <c r="BO155" s="361">
        <v>2924475.32</v>
      </c>
      <c r="BP155" s="361">
        <v>0</v>
      </c>
      <c r="BQ155" s="361">
        <v>4832298.1500000004</v>
      </c>
      <c r="BR155" s="361">
        <v>2424762.7599999998</v>
      </c>
      <c r="BS155" s="361">
        <v>0</v>
      </c>
      <c r="BT155" s="361"/>
      <c r="BU155" s="361"/>
      <c r="BV155" s="361"/>
      <c r="BW155" s="361"/>
      <c r="BX155" s="361"/>
      <c r="BY155" s="361"/>
      <c r="BZ155" s="361"/>
      <c r="CA155" s="362"/>
    </row>
    <row r="156" spans="2:79" ht="13">
      <c r="B156" s="294"/>
      <c r="K156" s="296"/>
      <c r="AB156" s="188"/>
      <c r="AC156" s="188"/>
      <c r="AD156" s="188"/>
      <c r="AE156" s="188"/>
      <c r="AF156" s="188"/>
      <c r="AG156" s="188"/>
      <c r="AH156" s="299"/>
      <c r="BJ156" s="302">
        <f t="shared" si="242"/>
        <v>112013143</v>
      </c>
      <c r="BK156" s="510">
        <v>3</v>
      </c>
      <c r="BL156" s="325" t="s">
        <v>1532</v>
      </c>
      <c r="BM156" s="361">
        <v>15293093.359999999</v>
      </c>
      <c r="BN156" s="361">
        <v>4699117.16</v>
      </c>
      <c r="BO156" s="361">
        <v>2201563.67</v>
      </c>
      <c r="BP156" s="361">
        <v>2265900.61</v>
      </c>
      <c r="BQ156" s="361">
        <v>2835429.08</v>
      </c>
      <c r="BR156" s="361">
        <v>3291082.84</v>
      </c>
      <c r="BS156" s="361">
        <v>0</v>
      </c>
      <c r="BT156" s="361"/>
      <c r="BU156" s="361"/>
      <c r="BV156" s="361"/>
      <c r="BW156" s="361"/>
      <c r="BX156" s="361"/>
      <c r="BY156" s="361"/>
      <c r="BZ156" s="361"/>
      <c r="CA156" s="362"/>
    </row>
    <row r="157" spans="2:79" ht="13">
      <c r="B157" s="294"/>
      <c r="K157" s="296"/>
      <c r="AB157" s="188"/>
      <c r="AC157" s="188"/>
      <c r="AD157" s="188"/>
      <c r="AE157" s="188"/>
      <c r="AF157" s="188"/>
      <c r="AG157" s="188"/>
      <c r="AH157" s="299"/>
      <c r="BJ157" s="302">
        <f t="shared" si="242"/>
        <v>112014593</v>
      </c>
      <c r="BK157" s="510">
        <v>4</v>
      </c>
      <c r="BL157" s="359" t="s">
        <v>1497</v>
      </c>
      <c r="BM157" s="361">
        <v>11607000</v>
      </c>
      <c r="BN157" s="361">
        <v>0</v>
      </c>
      <c r="BO157" s="361">
        <v>3869000</v>
      </c>
      <c r="BP157" s="361">
        <v>0</v>
      </c>
      <c r="BQ157" s="361">
        <v>0</v>
      </c>
      <c r="BR157" s="361">
        <v>7738000</v>
      </c>
      <c r="BS157" s="361">
        <v>0</v>
      </c>
      <c r="BT157" s="361"/>
      <c r="BU157" s="361"/>
      <c r="BV157" s="361"/>
      <c r="BW157" s="361"/>
      <c r="BX157" s="361"/>
      <c r="BY157" s="361"/>
      <c r="BZ157" s="361"/>
      <c r="CA157" s="362"/>
    </row>
    <row r="158" spans="2:79" ht="13">
      <c r="B158" s="294"/>
      <c r="K158" s="296"/>
      <c r="AB158" s="188"/>
      <c r="AC158" s="188"/>
      <c r="AD158" s="188"/>
      <c r="AE158" s="188"/>
      <c r="AF158" s="188"/>
      <c r="AG158" s="188"/>
      <c r="AH158" s="299"/>
      <c r="BJ158" s="302">
        <f t="shared" si="242"/>
        <v>112014479</v>
      </c>
      <c r="BK158" s="510">
        <v>5</v>
      </c>
      <c r="BL158" s="359" t="s">
        <v>994</v>
      </c>
      <c r="BM158" s="361">
        <v>11373569.35</v>
      </c>
      <c r="BN158" s="361">
        <v>2557582.33</v>
      </c>
      <c r="BO158" s="361">
        <v>1964160.28</v>
      </c>
      <c r="BP158" s="361">
        <v>2316942.2200000002</v>
      </c>
      <c r="BQ158" s="361">
        <v>2434031</v>
      </c>
      <c r="BR158" s="361">
        <v>2100853.5099999998</v>
      </c>
      <c r="BS158" s="361">
        <v>0</v>
      </c>
      <c r="BT158" s="361"/>
      <c r="BU158" s="361"/>
      <c r="BV158" s="361"/>
      <c r="BW158" s="361"/>
      <c r="BX158" s="361"/>
      <c r="BY158" s="361"/>
      <c r="BZ158" s="361"/>
      <c r="CA158" s="362"/>
    </row>
    <row r="159" spans="2:79" ht="13">
      <c r="B159" s="294"/>
      <c r="K159" s="296"/>
      <c r="AB159" s="188"/>
      <c r="AC159" s="188"/>
      <c r="AD159" s="188"/>
      <c r="AE159" s="188"/>
      <c r="AF159" s="188"/>
      <c r="AG159" s="188"/>
      <c r="AH159" s="299"/>
      <c r="BJ159" s="302">
        <f t="shared" si="242"/>
        <v>112013167</v>
      </c>
      <c r="BK159" s="510">
        <v>6</v>
      </c>
      <c r="BL159" s="359" t="s">
        <v>1317</v>
      </c>
      <c r="BM159" s="361">
        <v>8348477.3700000001</v>
      </c>
      <c r="BN159" s="361">
        <v>2081927.99</v>
      </c>
      <c r="BO159" s="361">
        <v>2001684.07</v>
      </c>
      <c r="BP159" s="361">
        <v>607628.99</v>
      </c>
      <c r="BQ159" s="361">
        <v>1858857.63</v>
      </c>
      <c r="BR159" s="361">
        <v>1798378.69</v>
      </c>
      <c r="BS159" s="361">
        <v>0</v>
      </c>
      <c r="BT159" s="361"/>
      <c r="BU159" s="361"/>
      <c r="BV159" s="361"/>
      <c r="BW159" s="361"/>
      <c r="BX159" s="361"/>
      <c r="BY159" s="361"/>
      <c r="BZ159" s="361"/>
      <c r="CA159" s="362"/>
    </row>
    <row r="160" spans="2:79" ht="13">
      <c r="B160" s="294"/>
      <c r="K160" s="296"/>
      <c r="AB160" s="188"/>
      <c r="AC160" s="188"/>
      <c r="AD160" s="188"/>
      <c r="AE160" s="188"/>
      <c r="AF160" s="188"/>
      <c r="AG160" s="188"/>
      <c r="AH160" s="299"/>
      <c r="BJ160" s="302">
        <f t="shared" si="242"/>
        <v>112013545</v>
      </c>
      <c r="BK160" s="510">
        <v>7</v>
      </c>
      <c r="BL160" s="359" t="s">
        <v>1022</v>
      </c>
      <c r="BM160" s="361">
        <v>7810121.5300000003</v>
      </c>
      <c r="BN160" s="361">
        <v>3415565.49</v>
      </c>
      <c r="BO160" s="361">
        <v>3404553.14</v>
      </c>
      <c r="BP160" s="361">
        <v>-1899638.36</v>
      </c>
      <c r="BQ160" s="361">
        <v>781169.3</v>
      </c>
      <c r="BR160" s="361">
        <v>2108471.9700000002</v>
      </c>
      <c r="BS160" s="361">
        <v>0</v>
      </c>
      <c r="BT160" s="361"/>
      <c r="BU160" s="361"/>
      <c r="BV160" s="361"/>
      <c r="BW160" s="361"/>
      <c r="BX160" s="361"/>
      <c r="BY160" s="361"/>
      <c r="BZ160" s="361"/>
      <c r="CA160" s="362"/>
    </row>
    <row r="161" spans="2:79" ht="13">
      <c r="B161" s="294"/>
      <c r="K161" s="296"/>
      <c r="AB161" s="188"/>
      <c r="AC161" s="188"/>
      <c r="AD161" s="188"/>
      <c r="AE161" s="188"/>
      <c r="AF161" s="188"/>
      <c r="AG161" s="188"/>
      <c r="AH161" s="299"/>
      <c r="BJ161" s="302">
        <f t="shared" si="242"/>
        <v>112014288</v>
      </c>
      <c r="BK161" s="510">
        <v>8</v>
      </c>
      <c r="BL161" s="359" t="s">
        <v>997</v>
      </c>
      <c r="BM161" s="361">
        <v>7511424.4100000001</v>
      </c>
      <c r="BN161" s="361">
        <v>2346101.2200000002</v>
      </c>
      <c r="BO161" s="361">
        <v>1077930.08</v>
      </c>
      <c r="BP161" s="361">
        <v>2662650.1</v>
      </c>
      <c r="BQ161" s="361">
        <v>1055671.7</v>
      </c>
      <c r="BR161" s="361">
        <v>369071.31</v>
      </c>
      <c r="BS161" s="361">
        <v>0</v>
      </c>
      <c r="BT161" s="361"/>
      <c r="BU161" s="361"/>
      <c r="BV161" s="361"/>
      <c r="BW161" s="361"/>
      <c r="BX161" s="361"/>
      <c r="BY161" s="361"/>
      <c r="BZ161" s="361"/>
      <c r="CA161" s="362"/>
    </row>
    <row r="162" spans="2:79" ht="13">
      <c r="B162" s="294"/>
      <c r="K162" s="296"/>
      <c r="AB162" s="188"/>
      <c r="AC162" s="188"/>
      <c r="AD162" s="188"/>
      <c r="AE162" s="188"/>
      <c r="AF162" s="188"/>
      <c r="AG162" s="188"/>
      <c r="AH162" s="299"/>
      <c r="BJ162" s="302">
        <f t="shared" si="242"/>
        <v>112013625</v>
      </c>
      <c r="BK162" s="510">
        <v>9</v>
      </c>
      <c r="BL162" s="359" t="s">
        <v>1270</v>
      </c>
      <c r="BM162" s="361">
        <v>7489453.5700000003</v>
      </c>
      <c r="BN162" s="361">
        <v>2107565.0299999998</v>
      </c>
      <c r="BO162" s="361">
        <v>1384764.2</v>
      </c>
      <c r="BP162" s="361">
        <v>2415251.2200000002</v>
      </c>
      <c r="BQ162" s="361">
        <v>1581873.12</v>
      </c>
      <c r="BR162" s="361">
        <v>0</v>
      </c>
      <c r="BS162" s="361">
        <v>0</v>
      </c>
      <c r="BT162" s="361"/>
      <c r="BU162" s="361"/>
      <c r="BV162" s="361"/>
      <c r="BW162" s="361"/>
      <c r="BX162" s="361"/>
      <c r="BY162" s="361"/>
      <c r="BZ162" s="361"/>
      <c r="CA162" s="362"/>
    </row>
    <row r="163" spans="2:79" ht="13">
      <c r="B163" s="294"/>
      <c r="K163" s="296"/>
      <c r="AB163" s="188"/>
      <c r="AC163" s="188"/>
      <c r="AD163" s="188"/>
      <c r="AE163" s="188"/>
      <c r="AF163" s="188"/>
      <c r="AG163" s="188"/>
      <c r="AH163" s="299"/>
      <c r="BJ163" s="302">
        <f t="shared" si="242"/>
        <v>112014400</v>
      </c>
      <c r="BK163" s="510">
        <v>10</v>
      </c>
      <c r="BL163" s="359" t="s">
        <v>1332</v>
      </c>
      <c r="BM163" s="361">
        <v>7420824.0599999996</v>
      </c>
      <c r="BN163" s="361">
        <v>3719287.03</v>
      </c>
      <c r="BO163" s="361">
        <v>1732122.71</v>
      </c>
      <c r="BP163" s="361">
        <v>1969414.32</v>
      </c>
      <c r="BQ163" s="361">
        <v>0</v>
      </c>
      <c r="BR163" s="361">
        <v>0</v>
      </c>
      <c r="BS163" s="361">
        <v>0</v>
      </c>
      <c r="BT163" s="361"/>
      <c r="BU163" s="361"/>
      <c r="BV163" s="361"/>
      <c r="BW163" s="361"/>
      <c r="BX163" s="361"/>
      <c r="BY163" s="361"/>
      <c r="BZ163" s="361"/>
      <c r="CA163" s="362"/>
    </row>
    <row r="164" spans="2:79" ht="13">
      <c r="B164" s="294"/>
      <c r="K164" s="296"/>
      <c r="AB164" s="188"/>
      <c r="AC164" s="188"/>
      <c r="AD164" s="188"/>
      <c r="AE164" s="188"/>
      <c r="AF164" s="188"/>
      <c r="AG164" s="188"/>
      <c r="AH164" s="299"/>
      <c r="BJ164" s="302">
        <f t="shared" si="242"/>
        <v>112012824</v>
      </c>
      <c r="BK164" s="510">
        <v>11</v>
      </c>
      <c r="BL164" s="359" t="s">
        <v>1039</v>
      </c>
      <c r="BM164" s="361">
        <v>7057676.9199999999</v>
      </c>
      <c r="BN164" s="361">
        <v>0</v>
      </c>
      <c r="BO164" s="361">
        <v>0</v>
      </c>
      <c r="BP164" s="361">
        <v>3952379.29</v>
      </c>
      <c r="BQ164" s="361">
        <v>1191973.8400000001</v>
      </c>
      <c r="BR164" s="361">
        <v>1913323.8</v>
      </c>
      <c r="BS164" s="361">
        <v>0</v>
      </c>
      <c r="BT164" s="361"/>
      <c r="BU164" s="361"/>
      <c r="BV164" s="361"/>
      <c r="BW164" s="361"/>
      <c r="BX164" s="361"/>
      <c r="BY164" s="361"/>
      <c r="BZ164" s="361"/>
      <c r="CA164" s="362"/>
    </row>
    <row r="165" spans="2:79" ht="13">
      <c r="B165" s="294"/>
      <c r="K165" s="296"/>
      <c r="AB165" s="188"/>
      <c r="AC165" s="188"/>
      <c r="AD165" s="188"/>
      <c r="AE165" s="188"/>
      <c r="AF165" s="188"/>
      <c r="AG165" s="188"/>
      <c r="AH165" s="299"/>
      <c r="BJ165" s="302">
        <f t="shared" si="242"/>
        <v>112013984</v>
      </c>
      <c r="BK165" s="510">
        <v>12</v>
      </c>
      <c r="BL165" s="359" t="s">
        <v>1269</v>
      </c>
      <c r="BM165" s="361">
        <v>6755470.2999999998</v>
      </c>
      <c r="BN165" s="361">
        <v>1653673.24</v>
      </c>
      <c r="BO165" s="361">
        <v>629378.79</v>
      </c>
      <c r="BP165" s="361">
        <v>1525093.13</v>
      </c>
      <c r="BQ165" s="361">
        <v>1959829.3</v>
      </c>
      <c r="BR165" s="361">
        <v>987495.83</v>
      </c>
      <c r="BS165" s="361">
        <v>0</v>
      </c>
      <c r="BT165" s="361"/>
      <c r="BU165" s="361"/>
      <c r="BV165" s="361"/>
      <c r="BW165" s="361"/>
      <c r="BX165" s="361"/>
      <c r="BY165" s="361"/>
      <c r="BZ165" s="361"/>
      <c r="CA165" s="362"/>
    </row>
    <row r="166" spans="2:79" ht="13">
      <c r="B166" s="294"/>
      <c r="K166" s="296"/>
      <c r="AB166" s="188"/>
      <c r="AC166" s="188"/>
      <c r="AD166" s="188"/>
      <c r="AE166" s="188"/>
      <c r="AF166" s="188"/>
      <c r="AG166" s="188"/>
      <c r="AH166" s="299"/>
      <c r="BJ166" s="302">
        <f t="shared" si="242"/>
        <v>112014363</v>
      </c>
      <c r="BK166" s="510">
        <v>13</v>
      </c>
      <c r="BL166" s="325" t="s">
        <v>1273</v>
      </c>
      <c r="BM166" s="361">
        <v>6680017.2599999998</v>
      </c>
      <c r="BN166" s="361">
        <v>0</v>
      </c>
      <c r="BO166" s="361">
        <v>2307001.4700000002</v>
      </c>
      <c r="BP166" s="361">
        <v>0</v>
      </c>
      <c r="BQ166" s="361">
        <v>2690641.42</v>
      </c>
      <c r="BR166" s="361">
        <v>1682374.38</v>
      </c>
      <c r="BS166" s="361">
        <v>0</v>
      </c>
      <c r="BT166" s="361"/>
      <c r="BU166" s="361"/>
      <c r="BV166" s="361"/>
      <c r="BW166" s="361"/>
      <c r="BX166" s="361"/>
      <c r="BY166" s="361"/>
      <c r="BZ166" s="361"/>
      <c r="CA166" s="362"/>
    </row>
    <row r="167" spans="2:79" ht="13">
      <c r="B167" s="294"/>
      <c r="K167" s="296"/>
      <c r="AB167" s="188"/>
      <c r="AC167" s="188"/>
      <c r="AD167" s="188"/>
      <c r="AE167" s="188"/>
      <c r="AF167" s="188"/>
      <c r="AG167" s="188"/>
      <c r="AH167" s="299"/>
      <c r="BJ167" s="302">
        <f t="shared" si="242"/>
        <v>112014645</v>
      </c>
      <c r="BK167" s="510">
        <v>14</v>
      </c>
      <c r="BL167" s="359" t="s">
        <v>1026</v>
      </c>
      <c r="BM167" s="361">
        <v>6461048.8899999997</v>
      </c>
      <c r="BN167" s="361">
        <v>1917498.28</v>
      </c>
      <c r="BO167" s="361">
        <v>1329100.21</v>
      </c>
      <c r="BP167" s="361">
        <v>997888.85</v>
      </c>
      <c r="BQ167" s="361">
        <v>1577357.98</v>
      </c>
      <c r="BR167" s="361">
        <v>639203.57999999996</v>
      </c>
      <c r="BS167" s="361">
        <v>0</v>
      </c>
      <c r="BT167" s="361"/>
      <c r="BU167" s="361"/>
      <c r="BV167" s="361"/>
      <c r="BW167" s="361"/>
      <c r="BX167" s="361"/>
      <c r="BY167" s="361"/>
      <c r="BZ167" s="361"/>
      <c r="CA167" s="362"/>
    </row>
    <row r="168" spans="2:79" ht="13">
      <c r="B168" s="294"/>
      <c r="K168" s="296"/>
      <c r="AB168" s="188"/>
      <c r="AC168" s="188"/>
      <c r="AD168" s="188"/>
      <c r="AE168" s="188"/>
      <c r="AF168" s="188"/>
      <c r="AG168" s="188"/>
      <c r="AH168" s="299"/>
      <c r="BJ168" s="302">
        <f t="shared" si="242"/>
        <v>112010568</v>
      </c>
      <c r="BK168" s="510">
        <v>15</v>
      </c>
      <c r="BL168" s="359" t="s">
        <v>1023</v>
      </c>
      <c r="BM168" s="361">
        <v>6071925.3899999997</v>
      </c>
      <c r="BN168" s="361">
        <v>2171051.58</v>
      </c>
      <c r="BO168" s="361">
        <v>1543093.83</v>
      </c>
      <c r="BP168" s="361">
        <v>1244856.6599999999</v>
      </c>
      <c r="BQ168" s="361">
        <v>597563.94999999995</v>
      </c>
      <c r="BR168" s="361">
        <v>515359.38</v>
      </c>
      <c r="BS168" s="365">
        <v>0</v>
      </c>
      <c r="BT168" s="365"/>
      <c r="BU168" s="365"/>
      <c r="BV168" s="365"/>
      <c r="BW168" s="365"/>
      <c r="BX168" s="365"/>
      <c r="BY168" s="365"/>
      <c r="BZ168" s="365"/>
      <c r="CA168" s="366"/>
    </row>
    <row r="169" spans="2:79" ht="13">
      <c r="B169" s="294"/>
      <c r="K169" s="296"/>
      <c r="AB169" s="188"/>
      <c r="AC169" s="188"/>
      <c r="AD169" s="188"/>
      <c r="AE169" s="188"/>
      <c r="AF169" s="188"/>
      <c r="AG169" s="188"/>
      <c r="AH169" s="299"/>
      <c r="BJ169" s="302">
        <f t="shared" si="242"/>
        <v>112013948</v>
      </c>
      <c r="BK169" s="510">
        <v>16</v>
      </c>
      <c r="BL169" s="359" t="s">
        <v>1320</v>
      </c>
      <c r="BM169" s="361">
        <v>6025251.3899999997</v>
      </c>
      <c r="BN169" s="361">
        <v>1141505.8500000001</v>
      </c>
      <c r="BO169" s="361">
        <v>1431427.58</v>
      </c>
      <c r="BP169" s="361">
        <v>1659825.26</v>
      </c>
      <c r="BQ169" s="361">
        <v>599844.97</v>
      </c>
      <c r="BR169" s="361">
        <v>1192647.73</v>
      </c>
      <c r="BS169" s="361">
        <v>0</v>
      </c>
      <c r="BT169" s="361"/>
      <c r="BU169" s="361"/>
      <c r="BV169" s="361"/>
      <c r="BW169" s="361"/>
      <c r="BX169" s="361"/>
      <c r="BY169" s="361"/>
      <c r="BZ169" s="361"/>
      <c r="CA169" s="362"/>
    </row>
    <row r="170" spans="2:79" ht="13">
      <c r="B170" s="294"/>
      <c r="K170" s="296"/>
      <c r="AB170" s="188"/>
      <c r="AC170" s="188"/>
      <c r="AD170" s="188"/>
      <c r="AE170" s="188"/>
      <c r="AF170" s="188"/>
      <c r="AG170" s="188"/>
      <c r="AH170" s="299"/>
      <c r="BJ170" s="302">
        <f t="shared" si="242"/>
        <v>112013622</v>
      </c>
      <c r="BK170" s="510">
        <v>17</v>
      </c>
      <c r="BL170" s="359" t="s">
        <v>1264</v>
      </c>
      <c r="BM170" s="361">
        <v>5628793.21</v>
      </c>
      <c r="BN170" s="361">
        <v>1996717.91</v>
      </c>
      <c r="BO170" s="361">
        <v>737363.66</v>
      </c>
      <c r="BP170" s="361">
        <v>2203729.7000000002</v>
      </c>
      <c r="BQ170" s="361">
        <v>328136.99</v>
      </c>
      <c r="BR170" s="361">
        <v>362844.95</v>
      </c>
      <c r="BS170" s="361">
        <v>0</v>
      </c>
      <c r="BT170" s="361"/>
      <c r="BU170" s="361"/>
      <c r="BV170" s="361"/>
      <c r="BW170" s="361"/>
      <c r="BX170" s="361"/>
      <c r="BY170" s="361"/>
      <c r="BZ170" s="361"/>
      <c r="CA170" s="362"/>
    </row>
    <row r="171" spans="2:79" ht="13">
      <c r="B171" s="294"/>
      <c r="K171" s="296"/>
      <c r="AB171" s="188"/>
      <c r="AC171" s="188"/>
      <c r="AD171" s="188"/>
      <c r="AE171" s="188"/>
      <c r="AF171" s="188"/>
      <c r="AG171" s="188"/>
      <c r="AH171" s="299"/>
      <c r="BJ171" s="302">
        <f t="shared" si="242"/>
        <v>112012353</v>
      </c>
      <c r="BK171" s="510">
        <v>18</v>
      </c>
      <c r="BL171" s="359" t="s">
        <v>1281</v>
      </c>
      <c r="BM171" s="361">
        <v>5482061.2300000004</v>
      </c>
      <c r="BN171" s="361">
        <v>1141290.73</v>
      </c>
      <c r="BO171" s="361">
        <v>1448728.6</v>
      </c>
      <c r="BP171" s="361">
        <v>1396822.44</v>
      </c>
      <c r="BQ171" s="361">
        <v>1335120.04</v>
      </c>
      <c r="BR171" s="361">
        <v>160099.43</v>
      </c>
      <c r="BS171" s="361">
        <v>0</v>
      </c>
      <c r="BT171" s="361"/>
      <c r="BU171" s="361"/>
      <c r="BV171" s="361"/>
      <c r="BW171" s="361"/>
      <c r="BX171" s="361"/>
      <c r="BY171" s="361"/>
      <c r="BZ171" s="361"/>
      <c r="CA171" s="362"/>
    </row>
    <row r="172" spans="2:79" ht="13">
      <c r="B172" s="294"/>
      <c r="K172" s="296"/>
      <c r="AB172" s="188"/>
      <c r="AC172" s="188"/>
      <c r="AD172" s="188"/>
      <c r="AE172" s="188"/>
      <c r="AF172" s="188"/>
      <c r="AG172" s="188"/>
      <c r="AH172" s="299"/>
      <c r="BJ172" s="302">
        <f t="shared" si="242"/>
        <v>112010407</v>
      </c>
      <c r="BK172" s="510">
        <v>19</v>
      </c>
      <c r="BL172" s="359" t="s">
        <v>1282</v>
      </c>
      <c r="BM172" s="361">
        <v>5424732.4699999997</v>
      </c>
      <c r="BN172" s="361">
        <v>730141.63</v>
      </c>
      <c r="BO172" s="361">
        <v>2405118.17</v>
      </c>
      <c r="BP172" s="361">
        <v>700143.6</v>
      </c>
      <c r="BQ172" s="361">
        <v>706910.26</v>
      </c>
      <c r="BR172" s="361">
        <v>882418.79</v>
      </c>
      <c r="BS172" s="361">
        <v>0</v>
      </c>
      <c r="BT172" s="361"/>
      <c r="BU172" s="361"/>
      <c r="BV172" s="361"/>
      <c r="BW172" s="361"/>
      <c r="BX172" s="361"/>
      <c r="BY172" s="361"/>
      <c r="BZ172" s="361"/>
      <c r="CA172" s="362"/>
    </row>
    <row r="173" spans="2:79" ht="13">
      <c r="B173" s="294"/>
      <c r="K173" s="296"/>
      <c r="AB173" s="188"/>
      <c r="AC173" s="188"/>
      <c r="AD173" s="188"/>
      <c r="AE173" s="188"/>
      <c r="AF173" s="188"/>
      <c r="AG173" s="188"/>
      <c r="AH173" s="299"/>
      <c r="BJ173" s="302">
        <f t="shared" si="242"/>
        <v>112013648</v>
      </c>
      <c r="BK173" s="510">
        <v>20</v>
      </c>
      <c r="BL173" s="359" t="s">
        <v>1337</v>
      </c>
      <c r="BM173" s="361">
        <v>5408063.9000000004</v>
      </c>
      <c r="BN173" s="361">
        <v>2613545.9</v>
      </c>
      <c r="BO173" s="361">
        <v>578850.03</v>
      </c>
      <c r="BP173" s="361">
        <v>1064270.3799999999</v>
      </c>
      <c r="BQ173" s="361">
        <v>609054.12</v>
      </c>
      <c r="BR173" s="361">
        <v>542343.48</v>
      </c>
      <c r="BS173" s="361">
        <v>0</v>
      </c>
      <c r="BT173" s="361"/>
      <c r="BU173" s="361"/>
      <c r="BV173" s="361"/>
      <c r="BW173" s="361"/>
      <c r="BX173" s="361"/>
      <c r="BY173" s="361"/>
      <c r="BZ173" s="361"/>
      <c r="CA173" s="362"/>
    </row>
    <row r="174" spans="2:79" ht="13">
      <c r="B174" s="294"/>
      <c r="K174" s="296"/>
      <c r="AB174" s="188"/>
      <c r="AC174" s="188"/>
      <c r="AD174" s="188"/>
      <c r="AE174" s="188"/>
      <c r="AF174" s="188"/>
      <c r="AG174" s="188"/>
      <c r="AH174" s="299"/>
      <c r="BJ174" s="302">
        <f t="shared" si="242"/>
        <v>112013809</v>
      </c>
      <c r="BK174" s="510">
        <v>21</v>
      </c>
      <c r="BL174" s="359" t="s">
        <v>1313</v>
      </c>
      <c r="BM174" s="361">
        <v>5339076.78</v>
      </c>
      <c r="BN174" s="361">
        <v>3323173.53</v>
      </c>
      <c r="BO174" s="361">
        <v>93167.93</v>
      </c>
      <c r="BP174" s="361">
        <v>1323271.33</v>
      </c>
      <c r="BQ174" s="361">
        <v>599463.99</v>
      </c>
      <c r="BR174" s="361">
        <v>0</v>
      </c>
      <c r="BS174" s="361">
        <v>0</v>
      </c>
      <c r="BT174" s="361"/>
      <c r="BU174" s="361"/>
      <c r="BV174" s="361"/>
      <c r="BW174" s="361"/>
      <c r="BX174" s="361"/>
      <c r="BY174" s="361"/>
      <c r="BZ174" s="361"/>
      <c r="CA174" s="362"/>
    </row>
    <row r="175" spans="2:79" ht="13">
      <c r="B175" s="294"/>
      <c r="K175" s="296"/>
      <c r="AB175" s="188"/>
      <c r="AC175" s="188"/>
      <c r="AD175" s="188"/>
      <c r="AE175" s="188"/>
      <c r="AF175" s="188"/>
      <c r="AG175" s="188"/>
      <c r="AH175" s="299"/>
      <c r="BJ175" s="302">
        <f t="shared" si="242"/>
        <v>112013786</v>
      </c>
      <c r="BK175" s="510">
        <v>22</v>
      </c>
      <c r="BL175" s="359" t="s">
        <v>1021</v>
      </c>
      <c r="BM175" s="361">
        <v>4747820.76</v>
      </c>
      <c r="BN175" s="361">
        <v>722987.87</v>
      </c>
      <c r="BO175" s="361">
        <v>1012549.19</v>
      </c>
      <c r="BP175" s="361">
        <v>1794857.86</v>
      </c>
      <c r="BQ175" s="361">
        <v>1217425.8400000001</v>
      </c>
      <c r="BR175" s="361">
        <v>0</v>
      </c>
      <c r="BS175" s="361">
        <v>0</v>
      </c>
      <c r="BT175" s="361"/>
      <c r="BU175" s="361"/>
      <c r="BV175" s="361"/>
      <c r="BW175" s="361"/>
      <c r="BX175" s="361"/>
      <c r="BY175" s="361"/>
      <c r="BZ175" s="361"/>
      <c r="CA175" s="362"/>
    </row>
    <row r="176" spans="2:79" ht="13">
      <c r="B176" s="294"/>
      <c r="K176" s="296"/>
      <c r="AB176" s="188"/>
      <c r="AC176" s="188"/>
      <c r="AD176" s="188"/>
      <c r="AE176" s="188"/>
      <c r="AF176" s="188"/>
      <c r="AG176" s="188"/>
      <c r="AH176" s="299"/>
      <c r="BJ176" s="302">
        <f t="shared" si="242"/>
        <v>112013525</v>
      </c>
      <c r="BK176" s="510">
        <v>23</v>
      </c>
      <c r="BL176" s="325" t="s">
        <v>1286</v>
      </c>
      <c r="BM176" s="361">
        <v>4058951.78</v>
      </c>
      <c r="BN176" s="361">
        <v>3463607.23</v>
      </c>
      <c r="BO176" s="361">
        <v>271012.96999999997</v>
      </c>
      <c r="BP176" s="361">
        <v>324331.57</v>
      </c>
      <c r="BQ176" s="361">
        <v>0</v>
      </c>
      <c r="BR176" s="361">
        <v>0</v>
      </c>
      <c r="BS176" s="361">
        <v>0</v>
      </c>
      <c r="BT176" s="361"/>
      <c r="BU176" s="361"/>
      <c r="BV176" s="361"/>
      <c r="BW176" s="361"/>
      <c r="BX176" s="361"/>
      <c r="BY176" s="361"/>
      <c r="BZ176" s="361"/>
      <c r="CA176" s="362"/>
    </row>
    <row r="177" spans="2:79" ht="13">
      <c r="B177" s="294"/>
      <c r="K177" s="296"/>
      <c r="AB177" s="188"/>
      <c r="AC177" s="188"/>
      <c r="AD177" s="188"/>
      <c r="AE177" s="188"/>
      <c r="AF177" s="188"/>
      <c r="AG177" s="188"/>
      <c r="AH177" s="299"/>
      <c r="BJ177" s="302">
        <f t="shared" si="242"/>
        <v>112014679</v>
      </c>
      <c r="BK177" s="510">
        <v>24</v>
      </c>
      <c r="BL177" s="359" t="s">
        <v>1028</v>
      </c>
      <c r="BM177" s="361">
        <v>3929042.71</v>
      </c>
      <c r="BN177" s="361">
        <v>1748946.33</v>
      </c>
      <c r="BO177" s="361">
        <v>587106.36</v>
      </c>
      <c r="BP177" s="361">
        <v>468234.68</v>
      </c>
      <c r="BQ177" s="361">
        <v>484281.45</v>
      </c>
      <c r="BR177" s="361">
        <v>640473.89</v>
      </c>
      <c r="BS177" s="361">
        <v>0</v>
      </c>
      <c r="BT177" s="361"/>
      <c r="BU177" s="361"/>
      <c r="BV177" s="361"/>
      <c r="BW177" s="361"/>
      <c r="BX177" s="361"/>
      <c r="BY177" s="361"/>
      <c r="BZ177" s="361"/>
      <c r="CA177" s="362"/>
    </row>
    <row r="178" spans="2:79" ht="13">
      <c r="B178" s="294"/>
      <c r="K178" s="296"/>
      <c r="AB178" s="188"/>
      <c r="AC178" s="188"/>
      <c r="AD178" s="188"/>
      <c r="AE178" s="188"/>
      <c r="AF178" s="188"/>
      <c r="AG178" s="188"/>
      <c r="AH178" s="299"/>
      <c r="BJ178" s="302">
        <f t="shared" si="242"/>
        <v>112011732</v>
      </c>
      <c r="BK178" s="510">
        <v>25</v>
      </c>
      <c r="BL178" s="359" t="s">
        <v>1319</v>
      </c>
      <c r="BM178" s="361">
        <v>3601816.72</v>
      </c>
      <c r="BN178" s="361">
        <v>1369825.3</v>
      </c>
      <c r="BO178" s="361">
        <v>1021898.06</v>
      </c>
      <c r="BP178" s="361">
        <v>1186011.1599999999</v>
      </c>
      <c r="BQ178" s="361">
        <v>24082.2</v>
      </c>
      <c r="BR178" s="365">
        <v>0</v>
      </c>
      <c r="BS178" s="365">
        <v>0</v>
      </c>
      <c r="BT178" s="365"/>
      <c r="BU178" s="365"/>
      <c r="BV178" s="365"/>
      <c r="BW178" s="365"/>
      <c r="BX178" s="365"/>
      <c r="BY178" s="365"/>
      <c r="BZ178" s="365"/>
      <c r="CA178" s="366"/>
    </row>
    <row r="179" spans="2:79" ht="13">
      <c r="B179" s="294"/>
      <c r="K179" s="296"/>
      <c r="AB179" s="188"/>
      <c r="AC179" s="188"/>
      <c r="AD179" s="188"/>
      <c r="AE179" s="188"/>
      <c r="AF179" s="188"/>
      <c r="AG179" s="188"/>
      <c r="AH179" s="299"/>
      <c r="BJ179" s="302">
        <f t="shared" si="242"/>
        <v>112014045</v>
      </c>
      <c r="BK179" s="510">
        <v>26</v>
      </c>
      <c r="BL179" s="359" t="s">
        <v>641</v>
      </c>
      <c r="BM179" s="361">
        <v>3393496.3</v>
      </c>
      <c r="BN179" s="361">
        <v>914122.8</v>
      </c>
      <c r="BO179" s="361">
        <v>917570.58</v>
      </c>
      <c r="BP179" s="361">
        <v>666030.46</v>
      </c>
      <c r="BQ179" s="361">
        <v>802186.78</v>
      </c>
      <c r="BR179" s="361">
        <v>93585.7</v>
      </c>
      <c r="BS179" s="361">
        <v>0</v>
      </c>
      <c r="BT179" s="361"/>
      <c r="BU179" s="361"/>
      <c r="BV179" s="361"/>
      <c r="BW179" s="361"/>
      <c r="BX179" s="361"/>
      <c r="BY179" s="361"/>
      <c r="BZ179" s="361"/>
      <c r="CA179" s="362"/>
    </row>
    <row r="180" spans="2:79" ht="13">
      <c r="B180" s="294"/>
      <c r="K180" s="296"/>
      <c r="AB180" s="188"/>
      <c r="AC180" s="188"/>
      <c r="AD180" s="188"/>
      <c r="AE180" s="188"/>
      <c r="AF180" s="188"/>
      <c r="AG180" s="188"/>
      <c r="AH180" s="299"/>
      <c r="BJ180" s="302">
        <f t="shared" si="242"/>
        <v>112013508</v>
      </c>
      <c r="BK180" s="510">
        <v>27</v>
      </c>
      <c r="BL180" s="359" t="s">
        <v>1029</v>
      </c>
      <c r="BM180" s="361">
        <v>3276491.72</v>
      </c>
      <c r="BN180" s="361">
        <v>1064624.97</v>
      </c>
      <c r="BO180" s="361">
        <v>1019687.55</v>
      </c>
      <c r="BP180" s="361">
        <v>-33965.22</v>
      </c>
      <c r="BQ180" s="361">
        <v>1215672.9099999999</v>
      </c>
      <c r="BR180" s="361">
        <v>10471.5</v>
      </c>
      <c r="BS180" s="361">
        <v>0</v>
      </c>
      <c r="BT180" s="361"/>
      <c r="BU180" s="361"/>
      <c r="BV180" s="361"/>
      <c r="BW180" s="361"/>
      <c r="BX180" s="361"/>
      <c r="BY180" s="361"/>
      <c r="BZ180" s="361"/>
      <c r="CA180" s="362"/>
    </row>
    <row r="181" spans="2:79" ht="13">
      <c r="B181" s="294"/>
      <c r="K181" s="296"/>
      <c r="AB181" s="188"/>
      <c r="AC181" s="188"/>
      <c r="AD181" s="188"/>
      <c r="AE181" s="188"/>
      <c r="AF181" s="188"/>
      <c r="AG181" s="188"/>
      <c r="AH181" s="299"/>
      <c r="BJ181" s="302">
        <f t="shared" si="242"/>
        <v>112011962</v>
      </c>
      <c r="BK181" s="510">
        <v>28</v>
      </c>
      <c r="BL181" s="359" t="s">
        <v>1268</v>
      </c>
      <c r="BM181" s="361">
        <v>3213260.71</v>
      </c>
      <c r="BN181" s="361">
        <v>287563.94</v>
      </c>
      <c r="BO181" s="361">
        <v>737565.03</v>
      </c>
      <c r="BP181" s="361">
        <v>735141.46</v>
      </c>
      <c r="BQ181" s="361">
        <v>1452990.29</v>
      </c>
      <c r="BR181" s="361">
        <v>0</v>
      </c>
      <c r="BS181" s="361">
        <v>0</v>
      </c>
      <c r="BT181" s="361"/>
      <c r="BU181" s="361"/>
      <c r="BV181" s="361"/>
      <c r="BW181" s="361"/>
      <c r="BX181" s="361"/>
      <c r="BY181" s="361"/>
      <c r="BZ181" s="361"/>
      <c r="CA181" s="362"/>
    </row>
    <row r="182" spans="2:79" ht="13">
      <c r="B182" s="294"/>
      <c r="K182" s="296"/>
      <c r="AB182" s="188"/>
      <c r="AC182" s="188"/>
      <c r="AD182" s="188"/>
      <c r="AE182" s="188"/>
      <c r="AF182" s="188"/>
      <c r="AG182" s="188"/>
      <c r="AH182" s="299"/>
      <c r="BJ182" s="302">
        <f t="shared" si="242"/>
        <v>112013542</v>
      </c>
      <c r="BK182" s="510">
        <v>29</v>
      </c>
      <c r="BL182" s="359" t="s">
        <v>1027</v>
      </c>
      <c r="BM182" s="361">
        <v>3205607.46</v>
      </c>
      <c r="BN182" s="361">
        <v>662956.87</v>
      </c>
      <c r="BO182" s="361">
        <v>383017.52</v>
      </c>
      <c r="BP182" s="361">
        <v>1140147.5</v>
      </c>
      <c r="BQ182" s="361">
        <v>1019485.57</v>
      </c>
      <c r="BR182" s="361">
        <v>0</v>
      </c>
      <c r="BS182" s="365">
        <v>0</v>
      </c>
      <c r="BT182" s="365"/>
      <c r="BU182" s="365"/>
      <c r="BV182" s="365"/>
      <c r="BW182" s="365"/>
      <c r="BX182" s="365"/>
      <c r="BY182" s="365"/>
      <c r="BZ182" s="365"/>
      <c r="CA182" s="366"/>
    </row>
    <row r="183" spans="2:79" ht="13">
      <c r="B183" s="294"/>
      <c r="K183" s="296"/>
      <c r="AB183" s="188"/>
      <c r="AC183" s="188"/>
      <c r="AD183" s="188"/>
      <c r="AE183" s="188"/>
      <c r="AF183" s="188"/>
      <c r="AG183" s="188"/>
      <c r="AH183" s="299"/>
      <c r="BJ183" s="302">
        <f t="shared" si="242"/>
        <v>112014035</v>
      </c>
      <c r="BK183" s="510">
        <v>30</v>
      </c>
      <c r="BL183" s="359" t="s">
        <v>1405</v>
      </c>
      <c r="BM183" s="361">
        <v>3101653.75</v>
      </c>
      <c r="BN183" s="361">
        <v>810667.9</v>
      </c>
      <c r="BO183" s="361">
        <v>395096.25</v>
      </c>
      <c r="BP183" s="361">
        <v>959528.95</v>
      </c>
      <c r="BQ183" s="361">
        <v>936360.65</v>
      </c>
      <c r="BR183" s="361">
        <v>0</v>
      </c>
      <c r="BS183" s="361">
        <v>0</v>
      </c>
      <c r="BT183" s="361"/>
      <c r="BU183" s="361"/>
      <c r="BV183" s="361"/>
      <c r="BW183" s="361"/>
      <c r="BX183" s="361"/>
      <c r="BY183" s="361"/>
      <c r="BZ183" s="361"/>
      <c r="CA183" s="362"/>
    </row>
    <row r="184" spans="2:79" ht="13">
      <c r="B184" s="294"/>
      <c r="K184" s="296"/>
      <c r="AB184" s="188"/>
      <c r="AC184" s="188"/>
      <c r="AD184" s="188"/>
      <c r="AE184" s="188"/>
      <c r="AF184" s="188"/>
      <c r="AG184" s="188"/>
      <c r="AH184" s="299"/>
      <c r="BJ184" s="302">
        <f t="shared" si="242"/>
        <v>112014644</v>
      </c>
      <c r="BK184" s="510">
        <v>31</v>
      </c>
      <c r="BL184" s="359" t="s">
        <v>1441</v>
      </c>
      <c r="BM184" s="361">
        <v>3087564.84</v>
      </c>
      <c r="BN184" s="361">
        <v>777260.19</v>
      </c>
      <c r="BO184" s="361">
        <v>270156.96000000002</v>
      </c>
      <c r="BP184" s="361">
        <v>955722.81</v>
      </c>
      <c r="BQ184" s="361">
        <v>1084424.8799999999</v>
      </c>
      <c r="BR184" s="361">
        <v>0</v>
      </c>
      <c r="BS184" s="361">
        <v>0</v>
      </c>
      <c r="BT184" s="361"/>
      <c r="BU184" s="361"/>
      <c r="BV184" s="361"/>
      <c r="BW184" s="361"/>
      <c r="BX184" s="361"/>
      <c r="BY184" s="361"/>
      <c r="BZ184" s="361"/>
      <c r="CA184" s="362"/>
    </row>
    <row r="185" spans="2:79" ht="13">
      <c r="B185" s="294"/>
      <c r="K185" s="296"/>
      <c r="AB185" s="188"/>
      <c r="AC185" s="188"/>
      <c r="AD185" s="188"/>
      <c r="AE185" s="188"/>
      <c r="AF185" s="188"/>
      <c r="AG185" s="188"/>
      <c r="AH185" s="299"/>
      <c r="BJ185" s="302">
        <f t="shared" si="242"/>
        <v>112014189</v>
      </c>
      <c r="BK185" s="510">
        <v>32</v>
      </c>
      <c r="BL185" s="359" t="s">
        <v>1312</v>
      </c>
      <c r="BM185" s="361">
        <v>2931148.15</v>
      </c>
      <c r="BN185" s="361">
        <v>0</v>
      </c>
      <c r="BO185" s="361">
        <v>614131.77</v>
      </c>
      <c r="BP185" s="361">
        <v>1069980.43</v>
      </c>
      <c r="BQ185" s="361">
        <v>1247035.95</v>
      </c>
      <c r="BR185" s="361">
        <v>0</v>
      </c>
      <c r="BS185" s="361">
        <v>0</v>
      </c>
      <c r="BT185" s="361"/>
      <c r="BU185" s="361"/>
      <c r="BV185" s="361"/>
      <c r="BW185" s="361"/>
      <c r="BX185" s="361"/>
      <c r="BY185" s="361"/>
      <c r="BZ185" s="361"/>
      <c r="CA185" s="362"/>
    </row>
    <row r="186" spans="2:79" ht="13">
      <c r="B186" s="294"/>
      <c r="K186" s="296"/>
      <c r="AB186" s="188"/>
      <c r="AC186" s="188"/>
      <c r="AD186" s="188"/>
      <c r="AE186" s="188"/>
      <c r="AF186" s="188"/>
      <c r="AG186" s="188"/>
      <c r="AH186" s="299"/>
      <c r="BJ186" s="302">
        <f t="shared" ref="BJ186:BJ217" si="243">VLOOKUP(BL186,ROTELACARTERA,3,FALSE)</f>
        <v>112013706</v>
      </c>
      <c r="BK186" s="510">
        <v>33</v>
      </c>
      <c r="BL186" s="359" t="s">
        <v>1434</v>
      </c>
      <c r="BM186" s="361">
        <v>2662828.96</v>
      </c>
      <c r="BN186" s="361">
        <v>793265.11</v>
      </c>
      <c r="BO186" s="361">
        <v>311338.09000000003</v>
      </c>
      <c r="BP186" s="361">
        <v>837279.92</v>
      </c>
      <c r="BQ186" s="361">
        <v>345276.7</v>
      </c>
      <c r="BR186" s="361">
        <v>375669.14</v>
      </c>
      <c r="BS186" s="365">
        <v>0</v>
      </c>
      <c r="BT186" s="365"/>
      <c r="BU186" s="365"/>
      <c r="BV186" s="365"/>
      <c r="BW186" s="365"/>
      <c r="BX186" s="365"/>
      <c r="BY186" s="365"/>
      <c r="BZ186" s="365"/>
      <c r="CA186" s="366"/>
    </row>
    <row r="187" spans="2:79" ht="13">
      <c r="B187" s="294"/>
      <c r="K187" s="296"/>
      <c r="AB187" s="188"/>
      <c r="AC187" s="188"/>
      <c r="AD187" s="188"/>
      <c r="AE187" s="188"/>
      <c r="AF187" s="188"/>
      <c r="AG187" s="188"/>
      <c r="AH187" s="299"/>
      <c r="BJ187" s="302">
        <f t="shared" si="243"/>
        <v>112013486</v>
      </c>
      <c r="BK187" s="510">
        <v>34</v>
      </c>
      <c r="BL187" s="359" t="s">
        <v>1314</v>
      </c>
      <c r="BM187" s="361">
        <v>2435770.09</v>
      </c>
      <c r="BN187" s="361">
        <v>786872.24</v>
      </c>
      <c r="BO187" s="361">
        <v>449229.85</v>
      </c>
      <c r="BP187" s="361">
        <v>294458.67</v>
      </c>
      <c r="BQ187" s="361">
        <v>483596.36</v>
      </c>
      <c r="BR187" s="361">
        <v>421612.96</v>
      </c>
      <c r="BS187" s="361">
        <v>0</v>
      </c>
      <c r="BT187" s="361"/>
      <c r="BU187" s="361"/>
      <c r="BV187" s="361"/>
      <c r="BW187" s="361"/>
      <c r="BX187" s="361"/>
      <c r="BY187" s="361"/>
      <c r="BZ187" s="361"/>
      <c r="CA187" s="362"/>
    </row>
    <row r="188" spans="2:79" ht="13">
      <c r="B188" s="294"/>
      <c r="K188" s="296"/>
      <c r="AB188" s="188"/>
      <c r="AC188" s="188"/>
      <c r="AD188" s="188"/>
      <c r="AE188" s="188"/>
      <c r="AF188" s="188"/>
      <c r="AG188" s="188"/>
      <c r="AH188" s="299"/>
      <c r="BJ188" s="302">
        <f t="shared" si="243"/>
        <v>112014387</v>
      </c>
      <c r="BK188" s="510">
        <v>35</v>
      </c>
      <c r="BL188" s="359" t="s">
        <v>1310</v>
      </c>
      <c r="BM188" s="361">
        <v>2301642.56</v>
      </c>
      <c r="BN188" s="361">
        <v>1253601.1399999999</v>
      </c>
      <c r="BO188" s="361">
        <v>320207.53000000003</v>
      </c>
      <c r="BP188" s="361">
        <v>471919.71</v>
      </c>
      <c r="BQ188" s="361">
        <v>255914.18</v>
      </c>
      <c r="BR188" s="361">
        <v>0</v>
      </c>
      <c r="BS188" s="361">
        <v>0</v>
      </c>
      <c r="BT188" s="361"/>
      <c r="BU188" s="361"/>
      <c r="BV188" s="361"/>
      <c r="BW188" s="361"/>
      <c r="BX188" s="361"/>
      <c r="BY188" s="361"/>
      <c r="BZ188" s="361"/>
      <c r="CA188" s="362"/>
    </row>
    <row r="189" spans="2:79" ht="13">
      <c r="B189" s="294"/>
      <c r="K189" s="296"/>
      <c r="AB189" s="188"/>
      <c r="AC189" s="188"/>
      <c r="AD189" s="188"/>
      <c r="AE189" s="188"/>
      <c r="AF189" s="188"/>
      <c r="AG189" s="188"/>
      <c r="AH189" s="299"/>
      <c r="BJ189" s="302">
        <f t="shared" si="243"/>
        <v>112013210</v>
      </c>
      <c r="BK189" s="510">
        <v>36</v>
      </c>
      <c r="BL189" s="359" t="s">
        <v>1323</v>
      </c>
      <c r="BM189" s="361">
        <v>2205902.2799999998</v>
      </c>
      <c r="BN189" s="361">
        <v>1108397.7</v>
      </c>
      <c r="BO189" s="361">
        <v>585139.35</v>
      </c>
      <c r="BP189" s="361">
        <v>418845.73</v>
      </c>
      <c r="BQ189" s="361">
        <v>93519.5</v>
      </c>
      <c r="BR189" s="361">
        <v>0</v>
      </c>
      <c r="BS189" s="361">
        <v>0</v>
      </c>
      <c r="BT189" s="361"/>
      <c r="BU189" s="361"/>
      <c r="BV189" s="361"/>
      <c r="BW189" s="361"/>
      <c r="BX189" s="361"/>
      <c r="BY189" s="361"/>
      <c r="BZ189" s="361"/>
      <c r="CA189" s="362"/>
    </row>
    <row r="190" spans="2:79" ht="13">
      <c r="B190" s="294"/>
      <c r="K190" s="296"/>
      <c r="AB190" s="188"/>
      <c r="AC190" s="188"/>
      <c r="AD190" s="188"/>
      <c r="AE190" s="188"/>
      <c r="AF190" s="188"/>
      <c r="AG190" s="188"/>
      <c r="AH190" s="299"/>
      <c r="BJ190" s="302">
        <f t="shared" si="243"/>
        <v>112014555</v>
      </c>
      <c r="BK190" s="510">
        <v>37</v>
      </c>
      <c r="BL190" s="359" t="s">
        <v>1437</v>
      </c>
      <c r="BM190" s="361">
        <v>2011522.48</v>
      </c>
      <c r="BN190" s="361">
        <v>948198.67</v>
      </c>
      <c r="BO190" s="361">
        <v>449795.78</v>
      </c>
      <c r="BP190" s="361">
        <v>0</v>
      </c>
      <c r="BQ190" s="361">
        <v>613528.03</v>
      </c>
      <c r="BR190" s="361">
        <v>0</v>
      </c>
      <c r="BS190" s="361">
        <v>0</v>
      </c>
      <c r="BT190" s="361"/>
      <c r="BU190" s="361"/>
      <c r="BV190" s="361"/>
      <c r="BW190" s="361"/>
      <c r="BX190" s="361"/>
      <c r="BY190" s="361"/>
      <c r="BZ190" s="361"/>
      <c r="CA190" s="362"/>
    </row>
    <row r="191" spans="2:79" ht="13">
      <c r="B191" s="294"/>
      <c r="K191" s="296"/>
      <c r="AB191" s="188"/>
      <c r="AC191" s="188"/>
      <c r="AD191" s="188"/>
      <c r="AE191" s="188"/>
      <c r="AF191" s="188"/>
      <c r="AG191" s="188"/>
      <c r="AH191" s="299"/>
      <c r="BJ191" s="302">
        <f t="shared" si="243"/>
        <v>112013469</v>
      </c>
      <c r="BK191" s="510">
        <v>38</v>
      </c>
      <c r="BL191" s="359" t="s">
        <v>1024</v>
      </c>
      <c r="BM191" s="361">
        <v>1820424.32</v>
      </c>
      <c r="BN191" s="361">
        <v>324627.3</v>
      </c>
      <c r="BO191" s="361">
        <v>687088.1</v>
      </c>
      <c r="BP191" s="361">
        <v>339656.48</v>
      </c>
      <c r="BQ191" s="361">
        <v>245748.2</v>
      </c>
      <c r="BR191" s="361">
        <v>223304.24</v>
      </c>
      <c r="BS191" s="361">
        <v>0</v>
      </c>
      <c r="BT191" s="361"/>
      <c r="BU191" s="361"/>
      <c r="BV191" s="361"/>
      <c r="BW191" s="361"/>
      <c r="BX191" s="361"/>
      <c r="BY191" s="361"/>
      <c r="BZ191" s="361"/>
      <c r="CA191" s="362"/>
    </row>
    <row r="192" spans="2:79" ht="13">
      <c r="B192" s="294"/>
      <c r="K192" s="296"/>
      <c r="AB192" s="188"/>
      <c r="AC192" s="188"/>
      <c r="AD192" s="188"/>
      <c r="AE192" s="188"/>
      <c r="AF192" s="188"/>
      <c r="AG192" s="188"/>
      <c r="AH192" s="299"/>
      <c r="BJ192" s="302">
        <f t="shared" si="243"/>
        <v>112013478</v>
      </c>
      <c r="BK192" s="510">
        <v>39</v>
      </c>
      <c r="BL192" s="359" t="s">
        <v>1052</v>
      </c>
      <c r="BM192" s="361">
        <v>1669648.95</v>
      </c>
      <c r="BN192" s="361">
        <v>0</v>
      </c>
      <c r="BO192" s="361">
        <v>0</v>
      </c>
      <c r="BP192" s="361">
        <v>0</v>
      </c>
      <c r="BQ192" s="361">
        <v>1669648.95</v>
      </c>
      <c r="BR192" s="361">
        <v>0</v>
      </c>
      <c r="BS192" s="361">
        <v>0</v>
      </c>
      <c r="BT192" s="361"/>
      <c r="BU192" s="361"/>
      <c r="BV192" s="361"/>
      <c r="BW192" s="361"/>
      <c r="BX192" s="361"/>
      <c r="BY192" s="361"/>
      <c r="BZ192" s="361"/>
      <c r="CA192" s="362"/>
    </row>
    <row r="193" spans="2:79" ht="13">
      <c r="B193" s="294"/>
      <c r="K193" s="296"/>
      <c r="AB193" s="188"/>
      <c r="AC193" s="188"/>
      <c r="AD193" s="188"/>
      <c r="AE193" s="188"/>
      <c r="AF193" s="188"/>
      <c r="AG193" s="188"/>
      <c r="AH193" s="299"/>
      <c r="BJ193" s="302">
        <f t="shared" si="243"/>
        <v>112013323</v>
      </c>
      <c r="BK193" s="510">
        <v>40</v>
      </c>
      <c r="BL193" s="359" t="s">
        <v>1340</v>
      </c>
      <c r="BM193" s="361">
        <v>1560904.97</v>
      </c>
      <c r="BN193" s="361">
        <v>0</v>
      </c>
      <c r="BO193" s="361">
        <v>0</v>
      </c>
      <c r="BP193" s="361">
        <v>1519634.25</v>
      </c>
      <c r="BQ193" s="361">
        <v>41270.720000000001</v>
      </c>
      <c r="BR193" s="361">
        <v>0</v>
      </c>
      <c r="BS193" s="361">
        <v>0</v>
      </c>
      <c r="BT193" s="361"/>
      <c r="BU193" s="361"/>
      <c r="BV193" s="361"/>
      <c r="BW193" s="361"/>
      <c r="BX193" s="361"/>
      <c r="BY193" s="361"/>
      <c r="BZ193" s="361"/>
      <c r="CA193" s="362"/>
    </row>
    <row r="194" spans="2:79" ht="13">
      <c r="B194" s="294"/>
      <c r="K194" s="296"/>
      <c r="AB194" s="188"/>
      <c r="AC194" s="188"/>
      <c r="AD194" s="188"/>
      <c r="AE194" s="188"/>
      <c r="AF194" s="188"/>
      <c r="AG194" s="188"/>
      <c r="AH194" s="299"/>
      <c r="BJ194" s="302">
        <f t="shared" si="243"/>
        <v>112012803</v>
      </c>
      <c r="BK194" s="510">
        <v>41</v>
      </c>
      <c r="BL194" s="325" t="s">
        <v>1267</v>
      </c>
      <c r="BM194" s="361">
        <v>1431139.34</v>
      </c>
      <c r="BN194" s="361">
        <v>555191.39</v>
      </c>
      <c r="BO194" s="361">
        <v>875947.95</v>
      </c>
      <c r="BP194" s="361">
        <v>0</v>
      </c>
      <c r="BQ194" s="361">
        <v>0</v>
      </c>
      <c r="BR194" s="361">
        <v>0</v>
      </c>
      <c r="BS194" s="361">
        <v>0</v>
      </c>
      <c r="BT194" s="361"/>
      <c r="BU194" s="361"/>
      <c r="BV194" s="361"/>
      <c r="BW194" s="361"/>
      <c r="BX194" s="361"/>
      <c r="BY194" s="361"/>
      <c r="BZ194" s="361"/>
      <c r="CA194" s="362"/>
    </row>
    <row r="195" spans="2:79" ht="13">
      <c r="B195" s="294"/>
      <c r="K195" s="296"/>
      <c r="AB195" s="188"/>
      <c r="AC195" s="188"/>
      <c r="AD195" s="188"/>
      <c r="AE195" s="188"/>
      <c r="AF195" s="188"/>
      <c r="AG195" s="188"/>
      <c r="AH195" s="299"/>
      <c r="BJ195" s="302">
        <f t="shared" si="243"/>
        <v>112012493</v>
      </c>
      <c r="BK195" s="510">
        <v>42</v>
      </c>
      <c r="BL195" s="325" t="s">
        <v>1019</v>
      </c>
      <c r="BM195" s="361">
        <v>1394788.76</v>
      </c>
      <c r="BN195" s="361">
        <v>477875.94</v>
      </c>
      <c r="BO195" s="361">
        <v>651572.88</v>
      </c>
      <c r="BP195" s="361">
        <v>0</v>
      </c>
      <c r="BQ195" s="361">
        <v>265339.94</v>
      </c>
      <c r="BR195" s="361">
        <v>0</v>
      </c>
      <c r="BS195" s="361">
        <v>0</v>
      </c>
      <c r="BT195" s="361"/>
      <c r="BU195" s="361"/>
      <c r="BV195" s="361"/>
      <c r="BW195" s="361"/>
      <c r="BX195" s="361"/>
      <c r="BY195" s="361"/>
      <c r="BZ195" s="361"/>
      <c r="CA195" s="362"/>
    </row>
    <row r="196" spans="2:79" ht="13">
      <c r="B196" s="294"/>
      <c r="K196" s="296"/>
      <c r="AB196" s="188"/>
      <c r="AC196" s="188"/>
      <c r="AD196" s="188"/>
      <c r="AE196" s="188"/>
      <c r="AF196" s="188"/>
      <c r="AG196" s="188"/>
      <c r="AH196" s="299"/>
      <c r="BJ196" s="302">
        <f t="shared" si="243"/>
        <v>112013383</v>
      </c>
      <c r="BK196" s="510">
        <v>43</v>
      </c>
      <c r="BL196" s="325" t="s">
        <v>1308</v>
      </c>
      <c r="BM196" s="361">
        <v>1306791.01</v>
      </c>
      <c r="BN196" s="361">
        <v>369882.08</v>
      </c>
      <c r="BO196" s="361">
        <v>383099.34</v>
      </c>
      <c r="BP196" s="361">
        <v>553809.59</v>
      </c>
      <c r="BQ196" s="361">
        <v>0</v>
      </c>
      <c r="BR196" s="365">
        <v>0</v>
      </c>
      <c r="BS196" s="365">
        <v>0</v>
      </c>
      <c r="BT196" s="365"/>
      <c r="BU196" s="365"/>
      <c r="BV196" s="365"/>
      <c r="BW196" s="365"/>
      <c r="BX196" s="365"/>
      <c r="BY196" s="365"/>
      <c r="BZ196" s="365"/>
      <c r="CA196" s="366"/>
    </row>
    <row r="197" spans="2:79" ht="13">
      <c r="B197" s="294"/>
      <c r="K197" s="296"/>
      <c r="AB197" s="188"/>
      <c r="AC197" s="188"/>
      <c r="AD197" s="188"/>
      <c r="AE197" s="188"/>
      <c r="AF197" s="188"/>
      <c r="AG197" s="188"/>
      <c r="AH197" s="299"/>
      <c r="BJ197" s="302">
        <f t="shared" si="243"/>
        <v>112013464</v>
      </c>
      <c r="BK197" s="510">
        <v>44</v>
      </c>
      <c r="BL197" s="359" t="s">
        <v>1436</v>
      </c>
      <c r="BM197" s="361">
        <v>1281581.67</v>
      </c>
      <c r="BN197" s="361">
        <v>344512.12</v>
      </c>
      <c r="BO197" s="361">
        <v>398425.22</v>
      </c>
      <c r="BP197" s="361">
        <v>0</v>
      </c>
      <c r="BQ197" s="361">
        <v>538644.32999999996</v>
      </c>
      <c r="BR197" s="361">
        <v>0</v>
      </c>
      <c r="BS197" s="361">
        <v>0</v>
      </c>
      <c r="BT197" s="361"/>
      <c r="BU197" s="361"/>
      <c r="BV197" s="361"/>
      <c r="BW197" s="361"/>
      <c r="BX197" s="361"/>
      <c r="BY197" s="361"/>
      <c r="BZ197" s="361"/>
      <c r="CA197" s="362"/>
    </row>
    <row r="198" spans="2:79" ht="13">
      <c r="B198" s="294"/>
      <c r="K198" s="296"/>
      <c r="AB198" s="188"/>
      <c r="AC198" s="188"/>
      <c r="AD198" s="188"/>
      <c r="AE198" s="188"/>
      <c r="AF198" s="188"/>
      <c r="AG198" s="188"/>
      <c r="AH198" s="299"/>
      <c r="BJ198" s="302">
        <f t="shared" si="243"/>
        <v>112013512</v>
      </c>
      <c r="BK198" s="510">
        <v>45</v>
      </c>
      <c r="BL198" s="359" t="s">
        <v>1472</v>
      </c>
      <c r="BM198" s="361">
        <v>1278695.32</v>
      </c>
      <c r="BN198" s="361">
        <v>516045.17</v>
      </c>
      <c r="BO198" s="361">
        <v>0</v>
      </c>
      <c r="BP198" s="361">
        <v>452630</v>
      </c>
      <c r="BQ198" s="361">
        <v>310020.15000000002</v>
      </c>
      <c r="BR198" s="361">
        <v>0</v>
      </c>
      <c r="BS198" s="365">
        <v>0</v>
      </c>
      <c r="BT198" s="365"/>
      <c r="BU198" s="365"/>
      <c r="BV198" s="365"/>
      <c r="BW198" s="365"/>
      <c r="BX198" s="365"/>
      <c r="BY198" s="365"/>
      <c r="BZ198" s="365"/>
      <c r="CA198" s="366"/>
    </row>
    <row r="199" spans="2:79" ht="13">
      <c r="B199" s="294"/>
      <c r="K199" s="296"/>
      <c r="AB199" s="188"/>
      <c r="AC199" s="188"/>
      <c r="AD199" s="188"/>
      <c r="AE199" s="188"/>
      <c r="AF199" s="188"/>
      <c r="AG199" s="188"/>
      <c r="AH199" s="299"/>
      <c r="BJ199" s="302">
        <f t="shared" si="243"/>
        <v>112013617</v>
      </c>
      <c r="BK199" s="510">
        <v>46</v>
      </c>
      <c r="BL199" s="359" t="s">
        <v>1311</v>
      </c>
      <c r="BM199" s="361">
        <v>1186584.94</v>
      </c>
      <c r="BN199" s="361">
        <v>1186584.94</v>
      </c>
      <c r="BO199" s="361">
        <v>0</v>
      </c>
      <c r="BP199" s="361">
        <v>0</v>
      </c>
      <c r="BQ199" s="361">
        <v>0</v>
      </c>
      <c r="BR199" s="361">
        <v>0</v>
      </c>
      <c r="BS199" s="361">
        <v>0</v>
      </c>
      <c r="BT199" s="361"/>
      <c r="BU199" s="361"/>
      <c r="BV199" s="361"/>
      <c r="BW199" s="361"/>
      <c r="BX199" s="361"/>
      <c r="BY199" s="361"/>
      <c r="BZ199" s="361"/>
      <c r="CA199" s="362"/>
    </row>
    <row r="200" spans="2:79" ht="13">
      <c r="B200" s="294"/>
      <c r="K200" s="296"/>
      <c r="AB200" s="188"/>
      <c r="AC200" s="188"/>
      <c r="AD200" s="188"/>
      <c r="AE200" s="188"/>
      <c r="AF200" s="188"/>
      <c r="AG200" s="188"/>
      <c r="AH200" s="299"/>
      <c r="BJ200" s="302">
        <f t="shared" si="243"/>
        <v>112014546</v>
      </c>
      <c r="BK200" s="510">
        <v>47</v>
      </c>
      <c r="BL200" s="325" t="s">
        <v>1541</v>
      </c>
      <c r="BM200" s="361">
        <v>1087352.1100000001</v>
      </c>
      <c r="BN200" s="361">
        <v>658199.34</v>
      </c>
      <c r="BO200" s="361">
        <v>215258.4</v>
      </c>
      <c r="BP200" s="361">
        <v>213894.37</v>
      </c>
      <c r="BQ200" s="361">
        <v>0</v>
      </c>
      <c r="BR200" s="361">
        <v>0</v>
      </c>
      <c r="BS200" s="361">
        <v>0</v>
      </c>
      <c r="BT200" s="361"/>
      <c r="BU200" s="361"/>
      <c r="BV200" s="361"/>
      <c r="BW200" s="361"/>
      <c r="BX200" s="361"/>
      <c r="BY200" s="361"/>
      <c r="BZ200" s="361"/>
      <c r="CA200" s="362"/>
    </row>
    <row r="201" spans="2:79" ht="13">
      <c r="B201" s="294"/>
      <c r="K201" s="296"/>
      <c r="AB201" s="188"/>
      <c r="AC201" s="188"/>
      <c r="AD201" s="188"/>
      <c r="AE201" s="188"/>
      <c r="AF201" s="188"/>
      <c r="AG201" s="188"/>
      <c r="AH201" s="299"/>
      <c r="BJ201" s="302">
        <f t="shared" si="243"/>
        <v>112014657</v>
      </c>
      <c r="BK201" s="510">
        <v>48</v>
      </c>
      <c r="BL201" s="359" t="s">
        <v>1432</v>
      </c>
      <c r="BM201" s="361">
        <v>1084507.53</v>
      </c>
      <c r="BN201" s="361">
        <v>477836.16</v>
      </c>
      <c r="BO201" s="361">
        <v>0</v>
      </c>
      <c r="BP201" s="361">
        <v>344837.59</v>
      </c>
      <c r="BQ201" s="361">
        <v>261833.78</v>
      </c>
      <c r="BR201" s="361">
        <v>0</v>
      </c>
      <c r="BS201" s="361">
        <v>0</v>
      </c>
      <c r="BT201" s="361"/>
      <c r="BU201" s="361"/>
      <c r="BV201" s="361"/>
      <c r="BW201" s="361"/>
      <c r="BX201" s="361"/>
      <c r="BY201" s="361"/>
      <c r="BZ201" s="361"/>
      <c r="CA201" s="362"/>
    </row>
    <row r="202" spans="2:79" ht="13">
      <c r="B202" s="294"/>
      <c r="K202" s="296"/>
      <c r="AB202" s="188"/>
      <c r="AC202" s="188"/>
      <c r="AD202" s="188"/>
      <c r="AE202" s="188"/>
      <c r="AF202" s="188"/>
      <c r="AG202" s="188"/>
      <c r="AH202" s="299"/>
      <c r="BJ202" s="302">
        <f t="shared" si="243"/>
        <v>112014357</v>
      </c>
      <c r="BK202" s="510">
        <v>49</v>
      </c>
      <c r="BL202" s="359" t="s">
        <v>1322</v>
      </c>
      <c r="BM202" s="361">
        <v>1072373.56</v>
      </c>
      <c r="BN202" s="361">
        <v>924794.59</v>
      </c>
      <c r="BO202" s="361">
        <v>147578.97</v>
      </c>
      <c r="BP202" s="361">
        <v>0</v>
      </c>
      <c r="BQ202" s="361">
        <v>0</v>
      </c>
      <c r="BR202" s="361">
        <v>0</v>
      </c>
      <c r="BS202" s="361">
        <v>0</v>
      </c>
      <c r="BT202" s="361"/>
      <c r="BU202" s="361"/>
      <c r="BV202" s="361"/>
      <c r="BW202" s="361"/>
      <c r="BX202" s="361"/>
      <c r="BY202" s="361"/>
      <c r="BZ202" s="361"/>
      <c r="CA202" s="362"/>
    </row>
    <row r="203" spans="2:79" ht="13">
      <c r="B203" s="294"/>
      <c r="K203" s="296"/>
      <c r="AB203" s="188"/>
      <c r="AC203" s="188"/>
      <c r="AD203" s="188"/>
      <c r="AE203" s="188"/>
      <c r="AF203" s="188"/>
      <c r="AG203" s="188"/>
      <c r="AH203" s="299"/>
      <c r="BJ203" s="302">
        <f t="shared" si="243"/>
        <v>112013865</v>
      </c>
      <c r="BK203" s="510">
        <v>50</v>
      </c>
      <c r="BL203" s="359" t="s">
        <v>1447</v>
      </c>
      <c r="BM203" s="361">
        <v>920672.84</v>
      </c>
      <c r="BN203" s="361">
        <v>416384.21</v>
      </c>
      <c r="BO203" s="361">
        <v>504288.63</v>
      </c>
      <c r="BP203" s="361">
        <v>0</v>
      </c>
      <c r="BQ203" s="361">
        <v>0</v>
      </c>
      <c r="BR203" s="361">
        <v>0</v>
      </c>
      <c r="BS203" s="361">
        <v>0</v>
      </c>
      <c r="BT203" s="361"/>
      <c r="BU203" s="361"/>
      <c r="BV203" s="361"/>
      <c r="BW203" s="361"/>
      <c r="BX203" s="361"/>
      <c r="BY203" s="361"/>
      <c r="BZ203" s="361"/>
      <c r="CA203" s="362"/>
    </row>
    <row r="204" spans="2:79" ht="13">
      <c r="B204" s="294"/>
      <c r="K204" s="296"/>
      <c r="AB204" s="188"/>
      <c r="AC204" s="188"/>
      <c r="AD204" s="188"/>
      <c r="AE204" s="188"/>
      <c r="AF204" s="188"/>
      <c r="AG204" s="188"/>
      <c r="AH204" s="299"/>
      <c r="BJ204" s="302">
        <f t="shared" si="243"/>
        <v>112013388</v>
      </c>
      <c r="BK204" s="510">
        <v>51</v>
      </c>
      <c r="BL204" s="359" t="s">
        <v>1473</v>
      </c>
      <c r="BM204" s="361">
        <v>855375.29</v>
      </c>
      <c r="BN204" s="361">
        <v>405748.43</v>
      </c>
      <c r="BO204" s="361">
        <v>290778</v>
      </c>
      <c r="BP204" s="365">
        <v>0</v>
      </c>
      <c r="BQ204" s="361">
        <v>0</v>
      </c>
      <c r="BR204" s="361">
        <v>158848.85999999999</v>
      </c>
      <c r="BS204" s="365">
        <v>0</v>
      </c>
      <c r="BT204" s="365"/>
      <c r="BU204" s="365"/>
      <c r="BV204" s="365"/>
      <c r="BW204" s="365"/>
      <c r="BX204" s="365"/>
      <c r="BY204" s="365"/>
      <c r="BZ204" s="365"/>
      <c r="CA204" s="366"/>
    </row>
    <row r="205" spans="2:79" ht="13">
      <c r="B205" s="294"/>
      <c r="K205" s="296"/>
      <c r="AB205" s="188"/>
      <c r="AC205" s="188"/>
      <c r="AD205" s="188"/>
      <c r="AE205" s="188"/>
      <c r="AF205" s="188"/>
      <c r="AG205" s="188"/>
      <c r="AH205" s="299"/>
      <c r="BJ205" s="302">
        <f t="shared" si="243"/>
        <v>112014524</v>
      </c>
      <c r="BK205" s="510">
        <v>52</v>
      </c>
      <c r="BL205" s="359" t="s">
        <v>1321</v>
      </c>
      <c r="BM205" s="361">
        <v>834396.55</v>
      </c>
      <c r="BN205" s="361">
        <v>0</v>
      </c>
      <c r="BO205" s="361">
        <v>0</v>
      </c>
      <c r="BP205" s="361">
        <v>0</v>
      </c>
      <c r="BQ205" s="361">
        <v>288533.67</v>
      </c>
      <c r="BR205" s="361">
        <v>545862.88</v>
      </c>
      <c r="BS205" s="361">
        <v>0</v>
      </c>
      <c r="BT205" s="361"/>
      <c r="BU205" s="361"/>
      <c r="BV205" s="361"/>
      <c r="BW205" s="361"/>
      <c r="BX205" s="361"/>
      <c r="BY205" s="361"/>
      <c r="BZ205" s="361"/>
      <c r="CA205" s="362"/>
    </row>
    <row r="206" spans="2:79" ht="13">
      <c r="B206" s="294"/>
      <c r="K206" s="296"/>
      <c r="AB206" s="188"/>
      <c r="AC206" s="188"/>
      <c r="AD206" s="188"/>
      <c r="AE206" s="188"/>
      <c r="AF206" s="188"/>
      <c r="AG206" s="188"/>
      <c r="AH206" s="299"/>
      <c r="BJ206" s="302">
        <f t="shared" si="243"/>
        <v>112014686</v>
      </c>
      <c r="BK206" s="510">
        <v>53</v>
      </c>
      <c r="BL206" s="359" t="s">
        <v>1338</v>
      </c>
      <c r="BM206" s="361">
        <v>816302.14</v>
      </c>
      <c r="BN206" s="361">
        <v>0</v>
      </c>
      <c r="BO206" s="361">
        <v>0</v>
      </c>
      <c r="BP206" s="361">
        <v>0</v>
      </c>
      <c r="BQ206" s="361">
        <v>816302.14</v>
      </c>
      <c r="BR206" s="361">
        <v>0</v>
      </c>
      <c r="BS206" s="361">
        <v>0</v>
      </c>
      <c r="BT206" s="361"/>
      <c r="BU206" s="361"/>
      <c r="BV206" s="361"/>
      <c r="BW206" s="361"/>
      <c r="BX206" s="361"/>
      <c r="BY206" s="361"/>
      <c r="BZ206" s="361"/>
      <c r="CA206" s="362"/>
    </row>
    <row r="207" spans="2:79" ht="13">
      <c r="B207" s="294"/>
      <c r="K207" s="296"/>
      <c r="AB207" s="188"/>
      <c r="AC207" s="188"/>
      <c r="AD207" s="188"/>
      <c r="AE207" s="188"/>
      <c r="AF207" s="188"/>
      <c r="AG207" s="188"/>
      <c r="AH207" s="299"/>
      <c r="BJ207" s="302">
        <f t="shared" si="243"/>
        <v>112012985</v>
      </c>
      <c r="BK207" s="510">
        <v>54</v>
      </c>
      <c r="BL207" s="359" t="s">
        <v>1055</v>
      </c>
      <c r="BM207" s="361">
        <v>814640.39</v>
      </c>
      <c r="BN207" s="361">
        <v>189797.63</v>
      </c>
      <c r="BO207" s="361">
        <v>0</v>
      </c>
      <c r="BP207" s="361">
        <v>319567.93</v>
      </c>
      <c r="BQ207" s="361">
        <v>305274.83</v>
      </c>
      <c r="BR207" s="361">
        <v>0</v>
      </c>
      <c r="BS207" s="361">
        <v>0</v>
      </c>
      <c r="BT207" s="361"/>
      <c r="BU207" s="361"/>
      <c r="BV207" s="361"/>
      <c r="BW207" s="361"/>
      <c r="BX207" s="361"/>
      <c r="BY207" s="361"/>
      <c r="BZ207" s="361"/>
      <c r="CA207" s="362"/>
    </row>
    <row r="208" spans="2:79" ht="13">
      <c r="B208" s="294"/>
      <c r="K208" s="296"/>
      <c r="AB208" s="188"/>
      <c r="AC208" s="188"/>
      <c r="AD208" s="188"/>
      <c r="AE208" s="188"/>
      <c r="AF208" s="188"/>
      <c r="AG208" s="188"/>
      <c r="AH208" s="299"/>
      <c r="BJ208" s="302">
        <f t="shared" si="243"/>
        <v>112011567</v>
      </c>
      <c r="BK208" s="510">
        <v>55</v>
      </c>
      <c r="BL208" s="359" t="s">
        <v>1344</v>
      </c>
      <c r="BM208" s="361">
        <v>795165.89</v>
      </c>
      <c r="BN208" s="361">
        <v>293462.3</v>
      </c>
      <c r="BO208" s="361">
        <v>166660.19</v>
      </c>
      <c r="BP208" s="361">
        <v>335043.40000000002</v>
      </c>
      <c r="BQ208" s="361">
        <v>0</v>
      </c>
      <c r="BR208" s="361">
        <v>0</v>
      </c>
      <c r="BS208" s="365">
        <v>0</v>
      </c>
      <c r="BT208" s="365"/>
      <c r="BU208" s="365"/>
      <c r="BV208" s="365"/>
      <c r="BW208" s="365"/>
      <c r="BX208" s="365"/>
      <c r="BY208" s="365"/>
      <c r="BZ208" s="365"/>
      <c r="CA208" s="366"/>
    </row>
    <row r="209" spans="2:79" ht="13">
      <c r="B209" s="294"/>
      <c r="K209" s="296"/>
      <c r="AB209" s="188"/>
      <c r="AC209" s="188"/>
      <c r="AD209" s="188"/>
      <c r="AE209" s="188"/>
      <c r="AF209" s="188"/>
      <c r="AG209" s="188"/>
      <c r="AH209" s="299"/>
      <c r="BJ209" s="302">
        <f t="shared" si="243"/>
        <v>112011749</v>
      </c>
      <c r="BK209" s="510">
        <v>56</v>
      </c>
      <c r="BL209" s="359" t="s">
        <v>1450</v>
      </c>
      <c r="BM209" s="361">
        <v>700285.34</v>
      </c>
      <c r="BN209" s="361">
        <v>107309.33</v>
      </c>
      <c r="BO209" s="365">
        <v>0</v>
      </c>
      <c r="BP209" s="361">
        <v>415693.37</v>
      </c>
      <c r="BQ209" s="361">
        <v>177282.64</v>
      </c>
      <c r="BR209" s="365">
        <v>0</v>
      </c>
      <c r="BS209" s="365">
        <v>0</v>
      </c>
      <c r="BT209" s="365"/>
      <c r="BU209" s="365"/>
      <c r="BV209" s="365"/>
      <c r="BW209" s="365"/>
      <c r="BX209" s="365"/>
      <c r="BY209" s="365"/>
      <c r="BZ209" s="365"/>
      <c r="CA209" s="366"/>
    </row>
    <row r="210" spans="2:79" ht="13">
      <c r="B210" s="294"/>
      <c r="K210" s="296"/>
      <c r="AB210" s="188"/>
      <c r="AC210" s="188"/>
      <c r="AD210" s="188"/>
      <c r="AE210" s="188"/>
      <c r="AF210" s="188"/>
      <c r="AG210" s="188"/>
      <c r="AH210" s="299"/>
      <c r="BJ210" s="302">
        <f t="shared" si="243"/>
        <v>112013901</v>
      </c>
      <c r="BK210" s="510">
        <v>57</v>
      </c>
      <c r="BL210" s="359" t="s">
        <v>1495</v>
      </c>
      <c r="BM210" s="361">
        <v>591826.44999999995</v>
      </c>
      <c r="BN210" s="361">
        <v>591826.44999999995</v>
      </c>
      <c r="BO210" s="361">
        <v>0</v>
      </c>
      <c r="BP210" s="361">
        <v>0</v>
      </c>
      <c r="BQ210" s="361">
        <v>0</v>
      </c>
      <c r="BR210" s="361">
        <v>0</v>
      </c>
      <c r="BS210" s="361">
        <v>0</v>
      </c>
      <c r="BT210" s="361"/>
      <c r="BU210" s="361"/>
      <c r="BV210" s="361"/>
      <c r="BW210" s="361"/>
      <c r="BX210" s="361"/>
      <c r="BY210" s="361"/>
      <c r="BZ210" s="361"/>
      <c r="CA210" s="362"/>
    </row>
    <row r="211" spans="2:79" ht="13">
      <c r="B211" s="294"/>
      <c r="K211" s="296"/>
      <c r="AB211" s="188"/>
      <c r="AC211" s="188"/>
      <c r="AD211" s="188"/>
      <c r="AE211" s="188"/>
      <c r="AF211" s="188"/>
      <c r="AG211" s="188"/>
      <c r="AH211" s="299"/>
      <c r="BJ211" s="302">
        <f t="shared" si="243"/>
        <v>112013765</v>
      </c>
      <c r="BK211" s="510">
        <v>58</v>
      </c>
      <c r="BL211" s="359" t="s">
        <v>1440</v>
      </c>
      <c r="BM211" s="361">
        <v>581095.91</v>
      </c>
      <c r="BN211" s="361">
        <v>0</v>
      </c>
      <c r="BO211" s="361">
        <v>337973.43</v>
      </c>
      <c r="BP211" s="361">
        <v>243122.48</v>
      </c>
      <c r="BQ211" s="361">
        <v>0</v>
      </c>
      <c r="BR211" s="361">
        <v>0</v>
      </c>
      <c r="BS211" s="361">
        <v>0</v>
      </c>
      <c r="BT211" s="361"/>
      <c r="BU211" s="361"/>
      <c r="BV211" s="361"/>
      <c r="BW211" s="361"/>
      <c r="BX211" s="361"/>
      <c r="BY211" s="361"/>
      <c r="BZ211" s="361"/>
      <c r="CA211" s="362"/>
    </row>
    <row r="212" spans="2:79" ht="13">
      <c r="B212" s="294"/>
      <c r="K212" s="296"/>
      <c r="AB212" s="188"/>
      <c r="AC212" s="188"/>
      <c r="AD212" s="188"/>
      <c r="AE212" s="188"/>
      <c r="AF212" s="188"/>
      <c r="AG212" s="188"/>
      <c r="AH212" s="299"/>
      <c r="BJ212" s="302">
        <f t="shared" si="243"/>
        <v>112013507</v>
      </c>
      <c r="BK212" s="510">
        <v>59</v>
      </c>
      <c r="BL212" s="359" t="s">
        <v>1439</v>
      </c>
      <c r="BM212" s="361">
        <v>569415.04</v>
      </c>
      <c r="BN212" s="361">
        <v>285327.21999999997</v>
      </c>
      <c r="BO212" s="361">
        <v>284087.82</v>
      </c>
      <c r="BP212" s="361">
        <v>0</v>
      </c>
      <c r="BQ212" s="361">
        <v>0</v>
      </c>
      <c r="BR212" s="361">
        <v>0</v>
      </c>
      <c r="BS212" s="361">
        <v>0</v>
      </c>
      <c r="BT212" s="361"/>
      <c r="BU212" s="361"/>
      <c r="BV212" s="361"/>
      <c r="BW212" s="361"/>
      <c r="BX212" s="361"/>
      <c r="BY212" s="361"/>
      <c r="BZ212" s="361"/>
      <c r="CA212" s="362"/>
    </row>
    <row r="213" spans="2:79" ht="13">
      <c r="B213" s="294"/>
      <c r="K213" s="296"/>
      <c r="AB213" s="188"/>
      <c r="AC213" s="188"/>
      <c r="AD213" s="188"/>
      <c r="AE213" s="188"/>
      <c r="AF213" s="188"/>
      <c r="AG213" s="188"/>
      <c r="AH213" s="299"/>
      <c r="BJ213" s="302">
        <f t="shared" si="243"/>
        <v>112014128</v>
      </c>
      <c r="BK213" s="510">
        <v>60</v>
      </c>
      <c r="BL213" s="359" t="s">
        <v>1053</v>
      </c>
      <c r="BM213" s="361">
        <v>542492.32999999996</v>
      </c>
      <c r="BN213" s="361">
        <v>0</v>
      </c>
      <c r="BO213" s="361">
        <v>0</v>
      </c>
      <c r="BP213" s="361">
        <v>0</v>
      </c>
      <c r="BQ213" s="361">
        <v>480163.43</v>
      </c>
      <c r="BR213" s="361">
        <v>62328.91</v>
      </c>
      <c r="BS213" s="361">
        <v>0</v>
      </c>
      <c r="BT213" s="361"/>
      <c r="BU213" s="361"/>
      <c r="BV213" s="361"/>
      <c r="BW213" s="361"/>
      <c r="BX213" s="361"/>
      <c r="BY213" s="361"/>
      <c r="BZ213" s="361"/>
      <c r="CA213" s="362"/>
    </row>
    <row r="214" spans="2:79" ht="13">
      <c r="B214" s="294"/>
      <c r="K214" s="296"/>
      <c r="AB214" s="188"/>
      <c r="AC214" s="188"/>
      <c r="AD214" s="188"/>
      <c r="AE214" s="188"/>
      <c r="AF214" s="188"/>
      <c r="AG214" s="188"/>
      <c r="AH214" s="299"/>
      <c r="BJ214" s="302">
        <f t="shared" si="243"/>
        <v>112014076</v>
      </c>
      <c r="BK214" s="510">
        <v>61</v>
      </c>
      <c r="BL214" s="359" t="s">
        <v>1498</v>
      </c>
      <c r="BM214" s="361">
        <v>542152.89</v>
      </c>
      <c r="BN214" s="361">
        <v>0</v>
      </c>
      <c r="BO214" s="361">
        <v>154691.74</v>
      </c>
      <c r="BP214" s="361">
        <v>0</v>
      </c>
      <c r="BQ214" s="361">
        <v>387461.16</v>
      </c>
      <c r="BR214" s="361">
        <v>0</v>
      </c>
      <c r="BS214" s="361">
        <v>0</v>
      </c>
      <c r="BT214" s="361"/>
      <c r="BU214" s="361"/>
      <c r="BV214" s="361"/>
      <c r="BW214" s="361"/>
      <c r="BX214" s="361"/>
      <c r="BY214" s="361"/>
      <c r="BZ214" s="361"/>
      <c r="CA214" s="362"/>
    </row>
    <row r="215" spans="2:79" ht="13">
      <c r="B215" s="294"/>
      <c r="K215" s="296"/>
      <c r="AB215" s="188"/>
      <c r="AC215" s="188"/>
      <c r="AD215" s="188"/>
      <c r="AE215" s="188"/>
      <c r="AF215" s="188"/>
      <c r="AG215" s="188"/>
      <c r="AH215" s="299"/>
      <c r="BJ215" s="302">
        <f t="shared" si="243"/>
        <v>112013730</v>
      </c>
      <c r="BK215" s="510">
        <v>62</v>
      </c>
      <c r="BL215" s="359" t="s">
        <v>1062</v>
      </c>
      <c r="BM215" s="361">
        <v>376320.21</v>
      </c>
      <c r="BN215" s="361">
        <v>128958.82</v>
      </c>
      <c r="BO215" s="361">
        <v>0</v>
      </c>
      <c r="BP215" s="361">
        <v>247361.39</v>
      </c>
      <c r="BQ215" s="361">
        <v>0</v>
      </c>
      <c r="BR215" s="361">
        <v>0</v>
      </c>
      <c r="BS215" s="361">
        <v>0</v>
      </c>
      <c r="BT215" s="361"/>
      <c r="BU215" s="361"/>
      <c r="BV215" s="361"/>
      <c r="BW215" s="361"/>
      <c r="BX215" s="361"/>
      <c r="BY215" s="361"/>
      <c r="BZ215" s="361"/>
      <c r="CA215" s="362"/>
    </row>
    <row r="216" spans="2:79" ht="13">
      <c r="B216" s="294"/>
      <c r="K216" s="296"/>
      <c r="AB216" s="188"/>
      <c r="AC216" s="188"/>
      <c r="AD216" s="188"/>
      <c r="AE216" s="188"/>
      <c r="AF216" s="188"/>
      <c r="AG216" s="188"/>
      <c r="AH216" s="299"/>
      <c r="BJ216" s="302">
        <f t="shared" si="243"/>
        <v>112014637</v>
      </c>
      <c r="BK216" s="510">
        <v>63</v>
      </c>
      <c r="BL216" s="359" t="s">
        <v>1431</v>
      </c>
      <c r="BM216" s="361">
        <v>370107</v>
      </c>
      <c r="BN216" s="361">
        <v>108684</v>
      </c>
      <c r="BO216" s="361">
        <v>0</v>
      </c>
      <c r="BP216" s="361">
        <v>0</v>
      </c>
      <c r="BQ216" s="361">
        <v>261423</v>
      </c>
      <c r="BR216" s="361">
        <v>0</v>
      </c>
      <c r="BS216" s="361">
        <v>0</v>
      </c>
      <c r="BT216" s="361"/>
      <c r="BU216" s="361"/>
      <c r="BV216" s="361"/>
      <c r="BW216" s="361"/>
      <c r="BX216" s="361"/>
      <c r="BY216" s="361"/>
      <c r="BZ216" s="361"/>
      <c r="CA216" s="362"/>
    </row>
    <row r="217" spans="2:79" ht="13">
      <c r="B217" s="294"/>
      <c r="K217" s="296"/>
      <c r="AB217" s="188"/>
      <c r="AC217" s="188"/>
      <c r="AD217" s="188"/>
      <c r="AE217" s="188"/>
      <c r="AF217" s="188"/>
      <c r="AG217" s="188"/>
      <c r="AH217" s="299"/>
      <c r="BJ217" s="302">
        <f t="shared" si="243"/>
        <v>112014470</v>
      </c>
      <c r="BK217" s="510">
        <v>64</v>
      </c>
      <c r="BL217" s="359" t="s">
        <v>1448</v>
      </c>
      <c r="BM217" s="361">
        <v>329004.96999999997</v>
      </c>
      <c r="BN217" s="361">
        <v>47781</v>
      </c>
      <c r="BO217" s="361">
        <v>64526.41</v>
      </c>
      <c r="BP217" s="361">
        <v>101915.28</v>
      </c>
      <c r="BQ217" s="361">
        <v>0</v>
      </c>
      <c r="BR217" s="361">
        <v>114782.28</v>
      </c>
      <c r="BS217" s="365">
        <v>0</v>
      </c>
      <c r="BT217" s="365"/>
      <c r="BU217" s="365"/>
      <c r="BV217" s="365"/>
      <c r="BW217" s="365"/>
      <c r="BX217" s="365"/>
      <c r="BY217" s="365"/>
      <c r="BZ217" s="365"/>
      <c r="CA217" s="366"/>
    </row>
    <row r="218" spans="2:79" ht="13">
      <c r="B218" s="294"/>
      <c r="K218" s="296"/>
      <c r="AB218" s="188"/>
      <c r="AC218" s="188"/>
      <c r="AD218" s="188"/>
      <c r="AE218" s="188"/>
      <c r="AF218" s="188"/>
      <c r="AG218" s="188"/>
      <c r="AH218" s="299"/>
      <c r="BJ218" s="302">
        <f t="shared" ref="BJ218:BJ239" si="244">VLOOKUP(BL218,ROTELACARTERA,3,FALSE)</f>
        <v>112013551</v>
      </c>
      <c r="BK218" s="510">
        <v>65</v>
      </c>
      <c r="BL218" s="359" t="s">
        <v>1063</v>
      </c>
      <c r="BM218" s="361">
        <v>315408.37</v>
      </c>
      <c r="BN218" s="361">
        <v>0</v>
      </c>
      <c r="BO218" s="361">
        <v>0</v>
      </c>
      <c r="BP218" s="361">
        <v>0</v>
      </c>
      <c r="BQ218" s="361">
        <v>305825.74</v>
      </c>
      <c r="BR218" s="361">
        <v>9582.6299999999992</v>
      </c>
      <c r="BS218" s="361">
        <v>0</v>
      </c>
      <c r="BT218" s="361"/>
      <c r="BU218" s="361"/>
      <c r="BV218" s="361"/>
      <c r="BW218" s="361"/>
      <c r="BX218" s="361"/>
      <c r="BY218" s="361"/>
      <c r="BZ218" s="361"/>
      <c r="CA218" s="362"/>
    </row>
    <row r="219" spans="2:79" ht="13">
      <c r="B219" s="294"/>
      <c r="K219" s="296"/>
      <c r="AB219" s="188"/>
      <c r="AC219" s="188"/>
      <c r="AD219" s="188"/>
      <c r="AE219" s="188"/>
      <c r="AF219" s="188"/>
      <c r="AG219" s="188"/>
      <c r="AH219" s="299"/>
      <c r="BJ219" s="302">
        <f t="shared" si="244"/>
        <v>112014501</v>
      </c>
      <c r="BK219" s="510">
        <v>66</v>
      </c>
      <c r="BL219" s="359" t="s">
        <v>1422</v>
      </c>
      <c r="BM219" s="361">
        <v>264428.82</v>
      </c>
      <c r="BN219" s="361">
        <v>0</v>
      </c>
      <c r="BO219" s="361">
        <v>0</v>
      </c>
      <c r="BP219" s="361">
        <v>0</v>
      </c>
      <c r="BQ219" s="361">
        <v>264428.82</v>
      </c>
      <c r="BR219" s="361">
        <v>0</v>
      </c>
      <c r="BS219" s="361">
        <v>0</v>
      </c>
      <c r="BT219" s="361"/>
      <c r="BU219" s="361"/>
      <c r="BV219" s="361"/>
      <c r="BW219" s="361"/>
      <c r="BX219" s="361"/>
      <c r="BY219" s="361"/>
      <c r="BZ219" s="361"/>
      <c r="CA219" s="362"/>
    </row>
    <row r="220" spans="2:79" ht="13">
      <c r="B220" s="294"/>
      <c r="K220" s="296"/>
      <c r="AB220" s="188"/>
      <c r="AC220" s="188"/>
      <c r="AD220" s="188"/>
      <c r="AE220" s="188"/>
      <c r="AF220" s="188"/>
      <c r="AG220" s="188"/>
      <c r="AH220" s="299"/>
      <c r="BJ220" s="302">
        <f t="shared" si="244"/>
        <v>112014259</v>
      </c>
      <c r="BK220" s="510">
        <v>67</v>
      </c>
      <c r="BL220" s="359" t="s">
        <v>1059</v>
      </c>
      <c r="BM220" s="361">
        <v>234627.79</v>
      </c>
      <c r="BN220" s="361">
        <v>234627.79</v>
      </c>
      <c r="BO220" s="361">
        <v>0</v>
      </c>
      <c r="BP220" s="361">
        <v>0</v>
      </c>
      <c r="BQ220" s="361">
        <v>0</v>
      </c>
      <c r="BR220" s="361">
        <v>0</v>
      </c>
      <c r="BS220" s="361">
        <v>0</v>
      </c>
      <c r="BT220" s="361"/>
      <c r="BU220" s="361"/>
      <c r="BV220" s="361"/>
      <c r="BW220" s="361"/>
      <c r="BX220" s="361"/>
      <c r="BY220" s="361"/>
      <c r="BZ220" s="361"/>
      <c r="CA220" s="362"/>
    </row>
    <row r="221" spans="2:79" ht="13">
      <c r="B221" s="294"/>
      <c r="K221" s="296"/>
      <c r="AB221" s="188"/>
      <c r="AC221" s="188"/>
      <c r="AD221" s="188"/>
      <c r="AE221" s="188"/>
      <c r="AF221" s="188"/>
      <c r="AG221" s="188"/>
      <c r="AH221" s="299"/>
      <c r="BJ221" s="302">
        <f t="shared" si="244"/>
        <v>112013460</v>
      </c>
      <c r="BK221" s="510">
        <v>68</v>
      </c>
      <c r="BL221" s="359" t="s">
        <v>886</v>
      </c>
      <c r="BM221" s="361">
        <v>232885.14</v>
      </c>
      <c r="BN221" s="361">
        <v>0</v>
      </c>
      <c r="BO221" s="361">
        <v>65849.990000000005</v>
      </c>
      <c r="BP221" s="361">
        <v>0</v>
      </c>
      <c r="BQ221" s="361">
        <v>44672.09</v>
      </c>
      <c r="BR221" s="361">
        <v>122363.06</v>
      </c>
      <c r="BS221" s="365">
        <v>0</v>
      </c>
      <c r="BT221" s="365"/>
      <c r="BU221" s="365"/>
      <c r="BV221" s="365"/>
      <c r="BW221" s="365"/>
      <c r="BX221" s="365"/>
      <c r="BY221" s="365"/>
      <c r="BZ221" s="365"/>
      <c r="CA221" s="366"/>
    </row>
    <row r="222" spans="2:79" ht="13">
      <c r="B222" s="294"/>
      <c r="K222" s="296"/>
      <c r="AB222" s="188"/>
      <c r="AC222" s="188"/>
      <c r="AD222" s="188"/>
      <c r="AE222" s="188"/>
      <c r="AF222" s="188"/>
      <c r="AG222" s="188"/>
      <c r="AH222" s="299"/>
      <c r="BJ222" s="302">
        <f t="shared" si="244"/>
        <v>112013897</v>
      </c>
      <c r="BK222" s="510">
        <v>69</v>
      </c>
      <c r="BL222" s="359" t="s">
        <v>1534</v>
      </c>
      <c r="BM222" s="361">
        <v>187517.5</v>
      </c>
      <c r="BN222" s="361">
        <v>0</v>
      </c>
      <c r="BO222" s="361">
        <v>0</v>
      </c>
      <c r="BP222" s="361">
        <v>187517.5</v>
      </c>
      <c r="BQ222" s="361">
        <v>0</v>
      </c>
      <c r="BR222" s="361">
        <v>0</v>
      </c>
      <c r="BS222" s="361">
        <v>0</v>
      </c>
      <c r="BT222" s="361"/>
      <c r="BU222" s="361"/>
      <c r="BV222" s="361"/>
      <c r="BW222" s="361"/>
      <c r="BX222" s="361"/>
      <c r="BY222" s="361"/>
      <c r="BZ222" s="361"/>
      <c r="CA222" s="362"/>
    </row>
    <row r="223" spans="2:79" ht="13">
      <c r="B223" s="294"/>
      <c r="K223" s="296"/>
      <c r="AB223" s="188"/>
      <c r="AC223" s="188"/>
      <c r="AD223" s="188"/>
      <c r="AE223" s="188"/>
      <c r="AF223" s="188"/>
      <c r="AG223" s="188"/>
      <c r="AH223" s="299"/>
      <c r="BJ223" s="302">
        <f t="shared" si="244"/>
        <v>112013925</v>
      </c>
      <c r="BK223" s="510">
        <v>70</v>
      </c>
      <c r="BL223" s="359" t="s">
        <v>1274</v>
      </c>
      <c r="BM223" s="361">
        <v>171254.51</v>
      </c>
      <c r="BN223" s="361">
        <v>0</v>
      </c>
      <c r="BO223" s="361">
        <v>128920.52</v>
      </c>
      <c r="BP223" s="361">
        <v>42333.98</v>
      </c>
      <c r="BQ223" s="361">
        <v>0</v>
      </c>
      <c r="BR223" s="361">
        <v>0</v>
      </c>
      <c r="BS223" s="361">
        <v>0</v>
      </c>
      <c r="BT223" s="361"/>
      <c r="BU223" s="361"/>
      <c r="BV223" s="361"/>
      <c r="BW223" s="361"/>
      <c r="BX223" s="361"/>
      <c r="BY223" s="361"/>
      <c r="BZ223" s="361"/>
      <c r="CA223" s="362"/>
    </row>
    <row r="224" spans="2:79" ht="13">
      <c r="B224" s="294"/>
      <c r="K224" s="296"/>
      <c r="AB224" s="188"/>
      <c r="AC224" s="188"/>
      <c r="AD224" s="188"/>
      <c r="AE224" s="188"/>
      <c r="AF224" s="188"/>
      <c r="AG224" s="188"/>
      <c r="AH224" s="299"/>
      <c r="BJ224" s="302">
        <f t="shared" si="244"/>
        <v>112014688</v>
      </c>
      <c r="BK224" s="510">
        <v>71</v>
      </c>
      <c r="BL224" s="325" t="s">
        <v>1315</v>
      </c>
      <c r="BM224" s="361">
        <v>170244</v>
      </c>
      <c r="BN224" s="361">
        <v>0</v>
      </c>
      <c r="BO224" s="361">
        <v>0</v>
      </c>
      <c r="BP224" s="361">
        <v>170244</v>
      </c>
      <c r="BQ224" s="361">
        <v>0</v>
      </c>
      <c r="BR224" s="361">
        <v>0</v>
      </c>
      <c r="BS224" s="361">
        <v>0</v>
      </c>
      <c r="BT224" s="361"/>
      <c r="BU224" s="361"/>
      <c r="BV224" s="361"/>
      <c r="BW224" s="361"/>
      <c r="BX224" s="361"/>
      <c r="BY224" s="361"/>
      <c r="BZ224" s="361"/>
      <c r="CA224" s="362"/>
    </row>
    <row r="225" spans="2:79" ht="13">
      <c r="B225" s="294"/>
      <c r="K225" s="296"/>
      <c r="AB225" s="188"/>
      <c r="AC225" s="188"/>
      <c r="AD225" s="188"/>
      <c r="AE225" s="188"/>
      <c r="AF225" s="188"/>
      <c r="AG225" s="188"/>
      <c r="AH225" s="299"/>
      <c r="BJ225" s="302">
        <f t="shared" si="244"/>
        <v>112013490</v>
      </c>
      <c r="BK225" s="510">
        <v>72</v>
      </c>
      <c r="BL225" s="359" t="s">
        <v>1025</v>
      </c>
      <c r="BM225" s="361">
        <v>155755.57999999999</v>
      </c>
      <c r="BN225" s="361">
        <v>35921.07</v>
      </c>
      <c r="BO225" s="361">
        <v>0</v>
      </c>
      <c r="BP225" s="361">
        <v>0</v>
      </c>
      <c r="BQ225" s="361">
        <v>119834.51</v>
      </c>
      <c r="BR225" s="361">
        <v>0</v>
      </c>
      <c r="BS225" s="361">
        <v>0</v>
      </c>
      <c r="BT225" s="361"/>
      <c r="BU225" s="361"/>
      <c r="BV225" s="361"/>
      <c r="BW225" s="361"/>
      <c r="BX225" s="361"/>
      <c r="BY225" s="361"/>
      <c r="BZ225" s="361"/>
      <c r="CA225" s="362"/>
    </row>
    <row r="226" spans="2:79" ht="13">
      <c r="B226" s="294"/>
      <c r="K226" s="296"/>
      <c r="AB226" s="188"/>
      <c r="AC226" s="188"/>
      <c r="AD226" s="188"/>
      <c r="AE226" s="188"/>
      <c r="AF226" s="188"/>
      <c r="AG226" s="188"/>
      <c r="AH226" s="299"/>
      <c r="BJ226" s="302">
        <f t="shared" si="244"/>
        <v>112013605</v>
      </c>
      <c r="BK226" s="510">
        <v>73</v>
      </c>
      <c r="BL226" s="359" t="s">
        <v>1318</v>
      </c>
      <c r="BM226" s="361">
        <v>130272.51</v>
      </c>
      <c r="BN226" s="361">
        <v>130272.51</v>
      </c>
      <c r="BO226" s="361">
        <v>0</v>
      </c>
      <c r="BP226" s="361">
        <v>0</v>
      </c>
      <c r="BQ226" s="361">
        <v>0</v>
      </c>
      <c r="BR226" s="361">
        <v>0</v>
      </c>
      <c r="BS226" s="361">
        <v>0</v>
      </c>
      <c r="BT226" s="361"/>
      <c r="BU226" s="361"/>
      <c r="BV226" s="361"/>
      <c r="BW226" s="361"/>
      <c r="BX226" s="361"/>
      <c r="BY226" s="361"/>
      <c r="BZ226" s="361"/>
      <c r="CA226" s="362"/>
    </row>
    <row r="227" spans="2:79" ht="13">
      <c r="B227" s="294"/>
      <c r="K227" s="296"/>
      <c r="AB227" s="188"/>
      <c r="AC227" s="188"/>
      <c r="AD227" s="188"/>
      <c r="AE227" s="188"/>
      <c r="AF227" s="188"/>
      <c r="AG227" s="188"/>
      <c r="AH227" s="299"/>
      <c r="BJ227" s="302">
        <f t="shared" si="244"/>
        <v>112013513</v>
      </c>
      <c r="BK227" s="510">
        <v>74</v>
      </c>
      <c r="BL227" s="359" t="s">
        <v>948</v>
      </c>
      <c r="BM227" s="361">
        <v>127689.72</v>
      </c>
      <c r="BN227" s="361">
        <v>0</v>
      </c>
      <c r="BO227" s="361">
        <v>30824.65</v>
      </c>
      <c r="BP227" s="361">
        <v>96865.07</v>
      </c>
      <c r="BQ227" s="361">
        <v>0</v>
      </c>
      <c r="BR227" s="365">
        <v>0</v>
      </c>
      <c r="BS227" s="365">
        <v>0</v>
      </c>
      <c r="BT227" s="365"/>
      <c r="BU227" s="365"/>
      <c r="BV227" s="365"/>
      <c r="BW227" s="365"/>
      <c r="BX227" s="365"/>
      <c r="BY227" s="365"/>
      <c r="BZ227" s="365"/>
      <c r="CA227" s="366"/>
    </row>
    <row r="228" spans="2:79" ht="13">
      <c r="B228" s="294"/>
      <c r="K228" s="296"/>
      <c r="AB228" s="188"/>
      <c r="AC228" s="188"/>
      <c r="AD228" s="188"/>
      <c r="AE228" s="188"/>
      <c r="AF228" s="188"/>
      <c r="AG228" s="188"/>
      <c r="AH228" s="299"/>
      <c r="BJ228" s="302">
        <f t="shared" si="244"/>
        <v>112013474</v>
      </c>
      <c r="BK228" s="510">
        <v>75</v>
      </c>
      <c r="BL228" s="359" t="s">
        <v>1065</v>
      </c>
      <c r="BM228" s="361">
        <v>102358.05</v>
      </c>
      <c r="BN228" s="361">
        <v>102358.05</v>
      </c>
      <c r="BO228" s="361">
        <v>0</v>
      </c>
      <c r="BP228" s="361">
        <v>0</v>
      </c>
      <c r="BQ228" s="361">
        <v>0</v>
      </c>
      <c r="BR228" s="361">
        <v>0</v>
      </c>
      <c r="BS228" s="361">
        <v>0</v>
      </c>
      <c r="BT228" s="361"/>
      <c r="BU228" s="361"/>
      <c r="BV228" s="361"/>
      <c r="BW228" s="361"/>
      <c r="BX228" s="361"/>
      <c r="BY228" s="361"/>
      <c r="BZ228" s="361"/>
      <c r="CA228" s="362"/>
    </row>
    <row r="229" spans="2:79" ht="13">
      <c r="B229" s="294"/>
      <c r="K229" s="296"/>
      <c r="AB229" s="188"/>
      <c r="AC229" s="188"/>
      <c r="AD229" s="188"/>
      <c r="AE229" s="188"/>
      <c r="AF229" s="188"/>
      <c r="AG229" s="188"/>
      <c r="AH229" s="299"/>
      <c r="BJ229" s="302">
        <f t="shared" si="244"/>
        <v>112010784</v>
      </c>
      <c r="BK229" s="510">
        <v>76</v>
      </c>
      <c r="BL229" s="359" t="s">
        <v>1513</v>
      </c>
      <c r="BM229" s="361">
        <v>97485.91</v>
      </c>
      <c r="BN229" s="361">
        <v>97485.91</v>
      </c>
      <c r="BO229" s="361">
        <v>0</v>
      </c>
      <c r="BP229" s="361">
        <v>0</v>
      </c>
      <c r="BQ229" s="361">
        <v>0</v>
      </c>
      <c r="BR229" s="361">
        <v>0</v>
      </c>
      <c r="BS229" s="361">
        <v>0</v>
      </c>
      <c r="BT229" s="361"/>
      <c r="BU229" s="361"/>
      <c r="BV229" s="361"/>
      <c r="BW229" s="361"/>
      <c r="BX229" s="361"/>
      <c r="BY229" s="361"/>
      <c r="BZ229" s="361"/>
      <c r="CA229" s="362"/>
    </row>
    <row r="230" spans="2:79" ht="13">
      <c r="B230" s="294"/>
      <c r="K230" s="296"/>
      <c r="AB230" s="188"/>
      <c r="AC230" s="188"/>
      <c r="AD230" s="188"/>
      <c r="AE230" s="188"/>
      <c r="AF230" s="188"/>
      <c r="AG230" s="188"/>
      <c r="AH230" s="299"/>
      <c r="BJ230" s="302">
        <f t="shared" si="244"/>
        <v>112013714</v>
      </c>
      <c r="BK230" s="510">
        <v>77</v>
      </c>
      <c r="BL230" s="359" t="s">
        <v>1529</v>
      </c>
      <c r="BM230" s="361">
        <v>91929.75</v>
      </c>
      <c r="BN230" s="361">
        <v>0</v>
      </c>
      <c r="BO230" s="361">
        <v>0</v>
      </c>
      <c r="BP230" s="361">
        <v>0</v>
      </c>
      <c r="BQ230" s="361">
        <v>91929.75</v>
      </c>
      <c r="BR230" s="361">
        <v>0</v>
      </c>
      <c r="BS230" s="361">
        <v>0</v>
      </c>
      <c r="BT230" s="361"/>
      <c r="BU230" s="361"/>
      <c r="BV230" s="361"/>
      <c r="BW230" s="361"/>
      <c r="BX230" s="361"/>
      <c r="BY230" s="361"/>
      <c r="BZ230" s="361"/>
      <c r="CA230" s="362"/>
    </row>
    <row r="231" spans="2:79" ht="13">
      <c r="B231" s="294"/>
      <c r="K231" s="296"/>
      <c r="AB231" s="188"/>
      <c r="AC231" s="188"/>
      <c r="AD231" s="188"/>
      <c r="AE231" s="188"/>
      <c r="AF231" s="188"/>
      <c r="AG231" s="188"/>
      <c r="AH231" s="299"/>
      <c r="BJ231" s="302">
        <f t="shared" si="244"/>
        <v>112014556</v>
      </c>
      <c r="BK231" s="510">
        <v>78</v>
      </c>
      <c r="BL231" s="359" t="s">
        <v>1481</v>
      </c>
      <c r="BM231" s="361">
        <v>52718.239999999998</v>
      </c>
      <c r="BN231" s="361">
        <v>0</v>
      </c>
      <c r="BO231" s="361">
        <v>0</v>
      </c>
      <c r="BP231" s="361">
        <v>52718.239999999998</v>
      </c>
      <c r="BQ231" s="361">
        <v>0</v>
      </c>
      <c r="BR231" s="361">
        <v>0</v>
      </c>
      <c r="BS231" s="361">
        <v>0</v>
      </c>
      <c r="BT231" s="361"/>
      <c r="BU231" s="361"/>
      <c r="BV231" s="361"/>
      <c r="BW231" s="361"/>
      <c r="BX231" s="361"/>
      <c r="BY231" s="361"/>
      <c r="BZ231" s="361"/>
      <c r="CA231" s="362"/>
    </row>
    <row r="232" spans="2:79" ht="13">
      <c r="B232" s="294"/>
      <c r="K232" s="296"/>
      <c r="AB232" s="188"/>
      <c r="AC232" s="188"/>
      <c r="AD232" s="188"/>
      <c r="AE232" s="188"/>
      <c r="AF232" s="188"/>
      <c r="AG232" s="188"/>
      <c r="AH232" s="299"/>
      <c r="BJ232" s="302">
        <f t="shared" si="244"/>
        <v>112013516</v>
      </c>
      <c r="BK232" s="510">
        <v>79</v>
      </c>
      <c r="BL232" s="359" t="s">
        <v>1056</v>
      </c>
      <c r="BM232" s="361">
        <v>0</v>
      </c>
      <c r="BN232" s="361">
        <v>0</v>
      </c>
      <c r="BO232" s="361">
        <v>97381.19</v>
      </c>
      <c r="BP232" s="361">
        <v>-97381.19</v>
      </c>
      <c r="BQ232" s="361">
        <v>0</v>
      </c>
      <c r="BR232" s="365">
        <v>0</v>
      </c>
      <c r="BS232" s="365">
        <v>0</v>
      </c>
      <c r="BT232" s="365"/>
      <c r="BU232" s="365"/>
      <c r="BV232" s="365"/>
      <c r="BW232" s="365"/>
      <c r="BX232" s="365"/>
      <c r="BY232" s="365"/>
      <c r="BZ232" s="365"/>
      <c r="CA232" s="366"/>
    </row>
    <row r="233" spans="2:79" ht="13">
      <c r="B233" s="294"/>
      <c r="K233" s="296"/>
      <c r="AB233" s="188"/>
      <c r="AC233" s="188"/>
      <c r="AD233" s="188"/>
      <c r="AE233" s="188"/>
      <c r="AF233" s="188"/>
      <c r="AG233" s="188"/>
      <c r="AH233" s="299"/>
      <c r="BJ233" s="302" t="e">
        <f t="shared" si="244"/>
        <v>#N/A</v>
      </c>
      <c r="BK233" s="510">
        <v>80</v>
      </c>
      <c r="BL233" s="359"/>
      <c r="BM233" s="361"/>
      <c r="BN233" s="361"/>
      <c r="BO233" s="361"/>
      <c r="BP233" s="361"/>
      <c r="BQ233" s="361"/>
      <c r="BR233" s="361"/>
      <c r="BS233" s="361"/>
      <c r="BT233" s="361"/>
      <c r="BU233" s="361"/>
      <c r="BV233" s="361"/>
      <c r="BW233" s="361"/>
      <c r="BX233" s="361"/>
      <c r="BY233" s="361"/>
      <c r="BZ233" s="361"/>
      <c r="CA233" s="362"/>
    </row>
    <row r="234" spans="2:79" ht="13">
      <c r="B234" s="294"/>
      <c r="K234" s="296"/>
      <c r="AB234" s="188"/>
      <c r="AC234" s="188"/>
      <c r="AD234" s="188"/>
      <c r="AE234" s="188"/>
      <c r="AF234" s="188"/>
      <c r="AG234" s="188"/>
      <c r="AH234" s="299"/>
      <c r="BJ234" s="302" t="e">
        <f t="shared" si="244"/>
        <v>#N/A</v>
      </c>
      <c r="BK234" s="510">
        <v>81</v>
      </c>
      <c r="BL234" s="359"/>
      <c r="BM234" s="361"/>
      <c r="BN234" s="361"/>
      <c r="BO234" s="361"/>
      <c r="BP234" s="361"/>
      <c r="BQ234" s="361"/>
      <c r="BR234" s="361"/>
      <c r="BS234" s="361"/>
      <c r="BT234" s="361"/>
      <c r="BU234" s="361"/>
      <c r="BV234" s="361"/>
      <c r="BW234" s="361"/>
      <c r="BX234" s="361"/>
      <c r="BY234" s="361"/>
      <c r="BZ234" s="361"/>
      <c r="CA234" s="362"/>
    </row>
    <row r="235" spans="2:79" ht="13">
      <c r="B235" s="294"/>
      <c r="K235" s="296"/>
      <c r="AB235" s="188"/>
      <c r="AC235" s="188"/>
      <c r="AD235" s="188"/>
      <c r="AE235" s="188"/>
      <c r="AF235" s="188"/>
      <c r="AG235" s="188"/>
      <c r="AH235" s="299"/>
      <c r="BJ235" s="302" t="e">
        <f t="shared" si="244"/>
        <v>#N/A</v>
      </c>
      <c r="BK235" s="510">
        <v>82</v>
      </c>
      <c r="BL235" s="359"/>
      <c r="BM235" s="361"/>
      <c r="BN235" s="361"/>
      <c r="BO235" s="365"/>
      <c r="BP235" s="365"/>
      <c r="BQ235" s="365"/>
      <c r="BR235" s="365"/>
      <c r="BS235" s="365"/>
      <c r="BT235" s="365"/>
      <c r="BU235" s="365"/>
      <c r="BV235" s="365"/>
      <c r="BW235" s="365"/>
      <c r="BX235" s="365"/>
      <c r="BY235" s="365"/>
      <c r="BZ235" s="365"/>
      <c r="CA235" s="366"/>
    </row>
    <row r="236" spans="2:79" ht="13">
      <c r="B236" s="294"/>
      <c r="K236" s="296"/>
      <c r="AB236" s="188"/>
      <c r="AC236" s="188"/>
      <c r="AD236" s="188"/>
      <c r="AE236" s="188"/>
      <c r="AF236" s="188"/>
      <c r="AG236" s="188"/>
      <c r="AH236" s="299"/>
      <c r="BJ236" s="302" t="e">
        <f t="shared" si="244"/>
        <v>#N/A</v>
      </c>
      <c r="BK236" s="510">
        <v>83</v>
      </c>
      <c r="BL236" s="359"/>
      <c r="BM236" s="361"/>
      <c r="BN236" s="361"/>
      <c r="BO236" s="361"/>
      <c r="BP236" s="361"/>
      <c r="BQ236" s="361"/>
      <c r="BR236" s="361"/>
      <c r="BS236" s="361"/>
      <c r="BT236" s="361"/>
      <c r="BU236" s="361"/>
      <c r="BV236" s="361"/>
      <c r="BW236" s="361"/>
      <c r="BX236" s="361"/>
      <c r="BY236" s="361"/>
      <c r="BZ236" s="361"/>
      <c r="CA236" s="362"/>
    </row>
    <row r="237" spans="2:79" ht="13">
      <c r="B237" s="294"/>
      <c r="K237" s="296"/>
      <c r="AB237" s="188"/>
      <c r="AC237" s="188"/>
      <c r="AD237" s="188"/>
      <c r="AE237" s="188"/>
      <c r="AF237" s="188"/>
      <c r="AG237" s="188"/>
      <c r="AH237" s="299"/>
      <c r="BJ237" s="302" t="e">
        <f t="shared" si="244"/>
        <v>#N/A</v>
      </c>
      <c r="BK237" s="510">
        <v>84</v>
      </c>
      <c r="BL237" s="359"/>
      <c r="BM237" s="361"/>
      <c r="BN237" s="361"/>
      <c r="BO237" s="365"/>
      <c r="BP237" s="365"/>
      <c r="BQ237" s="365"/>
      <c r="BR237" s="365"/>
      <c r="BS237" s="365"/>
      <c r="BT237" s="365"/>
      <c r="BU237" s="365"/>
      <c r="BV237" s="365"/>
      <c r="BW237" s="365"/>
      <c r="BX237" s="365"/>
      <c r="BY237" s="365"/>
      <c r="BZ237" s="365"/>
      <c r="CA237" s="366"/>
    </row>
    <row r="238" spans="2:79" ht="13">
      <c r="B238" s="294"/>
      <c r="K238" s="296"/>
      <c r="AB238" s="188"/>
      <c r="AC238" s="188"/>
      <c r="AD238" s="188"/>
      <c r="AE238" s="188"/>
      <c r="AF238" s="188"/>
      <c r="AG238" s="188"/>
      <c r="AH238" s="299"/>
      <c r="BJ238" s="302" t="e">
        <f t="shared" si="244"/>
        <v>#N/A</v>
      </c>
      <c r="BK238" s="510">
        <v>85</v>
      </c>
      <c r="BL238" s="359"/>
      <c r="BM238" s="361"/>
      <c r="BN238" s="361"/>
      <c r="BO238" s="365"/>
      <c r="BP238" s="365"/>
      <c r="BQ238" s="365"/>
      <c r="BR238" s="365"/>
      <c r="BS238" s="365"/>
      <c r="BT238" s="365"/>
      <c r="BU238" s="365"/>
      <c r="BV238" s="365"/>
      <c r="BW238" s="365"/>
      <c r="BX238" s="365"/>
      <c r="BY238" s="365"/>
      <c r="BZ238" s="365"/>
      <c r="CA238" s="366"/>
    </row>
    <row r="239" spans="2:79" ht="13">
      <c r="B239" s="294"/>
      <c r="K239" s="296"/>
      <c r="AB239" s="188"/>
      <c r="AC239" s="188"/>
      <c r="AD239" s="188"/>
      <c r="AE239" s="188"/>
      <c r="AF239" s="188"/>
      <c r="AG239" s="188"/>
      <c r="AH239" s="299"/>
      <c r="BJ239" s="302" t="e">
        <f t="shared" si="244"/>
        <v>#N/A</v>
      </c>
      <c r="BK239" s="510">
        <v>86</v>
      </c>
      <c r="BL239" s="359"/>
      <c r="BM239" s="361"/>
      <c r="BN239" s="361"/>
      <c r="BO239" s="365"/>
      <c r="BP239" s="365"/>
      <c r="BQ239" s="365"/>
      <c r="BR239" s="365"/>
      <c r="BS239" s="365"/>
      <c r="BT239" s="365"/>
      <c r="BU239" s="365"/>
      <c r="BV239" s="365"/>
      <c r="BW239" s="365"/>
      <c r="BX239" s="365"/>
      <c r="BY239" s="365"/>
      <c r="BZ239" s="365"/>
      <c r="CA239" s="366"/>
    </row>
    <row r="240" spans="2:79" ht="13">
      <c r="B240" s="294"/>
      <c r="K240" s="296"/>
      <c r="AB240" s="188"/>
      <c r="AC240" s="188"/>
      <c r="AD240" s="188"/>
      <c r="AE240" s="188"/>
      <c r="AF240" s="188"/>
      <c r="AG240" s="188"/>
      <c r="AH240" s="299"/>
      <c r="BK240" s="510">
        <v>87</v>
      </c>
      <c r="BL240" s="359"/>
      <c r="BM240" s="361"/>
      <c r="BN240" s="361"/>
      <c r="BO240" s="365"/>
      <c r="BP240" s="365"/>
      <c r="BQ240" s="365"/>
      <c r="BR240" s="365"/>
      <c r="BS240" s="365"/>
      <c r="BT240" s="365"/>
      <c r="BU240" s="365"/>
      <c r="BV240" s="365"/>
      <c r="BW240" s="365"/>
      <c r="BX240" s="365"/>
      <c r="BY240" s="365"/>
      <c r="BZ240" s="365"/>
      <c r="CA240" s="366"/>
    </row>
    <row r="241" spans="2:79" ht="13">
      <c r="B241" s="294"/>
      <c r="K241" s="296"/>
      <c r="AB241" s="188"/>
      <c r="AC241" s="188"/>
      <c r="AD241" s="188"/>
      <c r="AE241" s="188"/>
      <c r="AF241" s="188"/>
      <c r="AG241" s="188"/>
      <c r="AH241" s="299"/>
      <c r="BK241" s="510">
        <v>88</v>
      </c>
      <c r="BL241" s="359"/>
      <c r="BM241" s="361"/>
      <c r="BN241" s="365"/>
      <c r="BO241" s="361"/>
      <c r="BP241" s="361"/>
      <c r="BQ241" s="361"/>
      <c r="BR241" s="361"/>
      <c r="BS241" s="361"/>
      <c r="BT241" s="361"/>
      <c r="BU241" s="361"/>
      <c r="BV241" s="361"/>
      <c r="BW241" s="361"/>
      <c r="BX241" s="361"/>
      <c r="BY241" s="361"/>
      <c r="BZ241" s="361"/>
      <c r="CA241" s="362"/>
    </row>
    <row r="242" spans="2:79" ht="13">
      <c r="B242" s="294"/>
      <c r="K242" s="296"/>
      <c r="AB242" s="188"/>
      <c r="AC242" s="188"/>
      <c r="AD242" s="188"/>
      <c r="AE242" s="188"/>
      <c r="AF242" s="188"/>
      <c r="AG242" s="188"/>
      <c r="AH242" s="299"/>
      <c r="BK242" s="510">
        <v>89</v>
      </c>
      <c r="CA242" s="367"/>
    </row>
    <row r="243" spans="2:79" ht="13">
      <c r="B243" s="294"/>
      <c r="K243" s="296"/>
      <c r="AB243" s="188"/>
      <c r="AC243" s="188"/>
      <c r="AD243" s="188"/>
      <c r="AE243" s="188"/>
      <c r="AF243" s="188"/>
      <c r="AG243" s="188"/>
      <c r="AH243" s="299"/>
      <c r="BK243" s="510">
        <v>90</v>
      </c>
      <c r="CA243" s="367"/>
    </row>
    <row r="244" spans="2:79" ht="13">
      <c r="B244" s="294"/>
      <c r="K244" s="296"/>
      <c r="AB244" s="188"/>
      <c r="AC244" s="188"/>
      <c r="AD244" s="188"/>
      <c r="AE244" s="188"/>
      <c r="AF244" s="188"/>
      <c r="AG244" s="188"/>
      <c r="AH244" s="299"/>
      <c r="BK244" s="510">
        <v>91</v>
      </c>
      <c r="CA244" s="367"/>
    </row>
    <row r="245" spans="2:79" ht="13">
      <c r="B245" s="294"/>
      <c r="K245" s="296"/>
      <c r="AB245" s="188"/>
      <c r="AC245" s="188"/>
      <c r="AD245" s="188"/>
      <c r="AE245" s="188"/>
      <c r="AF245" s="188"/>
      <c r="AG245" s="188"/>
      <c r="AH245" s="299"/>
      <c r="BK245" s="510">
        <v>92</v>
      </c>
      <c r="CA245" s="367"/>
    </row>
    <row r="246" spans="2:79" ht="13">
      <c r="B246" s="294"/>
      <c r="K246" s="296"/>
      <c r="AB246" s="188"/>
      <c r="AC246" s="188"/>
      <c r="AD246" s="188"/>
      <c r="AE246" s="188"/>
      <c r="AF246" s="188"/>
      <c r="AG246" s="188"/>
      <c r="AH246" s="299"/>
      <c r="BK246" s="510">
        <v>93</v>
      </c>
      <c r="CA246" s="367"/>
    </row>
    <row r="247" spans="2:79" ht="13">
      <c r="B247" s="294"/>
      <c r="K247" s="296"/>
      <c r="AB247" s="188"/>
      <c r="AC247" s="188"/>
      <c r="AD247" s="188"/>
      <c r="AE247" s="188"/>
      <c r="AF247" s="188"/>
      <c r="AG247" s="188"/>
      <c r="AH247" s="299"/>
      <c r="BK247" s="510">
        <v>94</v>
      </c>
      <c r="CA247" s="367"/>
    </row>
    <row r="248" spans="2:79" ht="13">
      <c r="B248" s="294"/>
      <c r="K248" s="296"/>
      <c r="AB248" s="188"/>
      <c r="AC248" s="188"/>
      <c r="AD248" s="188"/>
      <c r="AE248" s="188"/>
      <c r="AF248" s="188"/>
      <c r="AG248" s="188"/>
      <c r="AH248" s="299"/>
      <c r="BK248" s="510">
        <v>95</v>
      </c>
      <c r="CA248" s="367"/>
    </row>
    <row r="249" spans="2:79" ht="13">
      <c r="B249" s="294"/>
      <c r="K249" s="296"/>
      <c r="AB249" s="188"/>
      <c r="AC249" s="188"/>
      <c r="AD249" s="188"/>
      <c r="AE249" s="188"/>
      <c r="AF249" s="188"/>
      <c r="AG249" s="188"/>
      <c r="AH249" s="299"/>
      <c r="BK249" s="510">
        <v>96</v>
      </c>
      <c r="CA249" s="367"/>
    </row>
    <row r="250" spans="2:79" ht="13">
      <c r="B250" s="294"/>
      <c r="K250" s="296"/>
      <c r="AB250" s="188"/>
      <c r="AC250" s="188"/>
      <c r="AD250" s="188"/>
      <c r="AE250" s="188"/>
      <c r="AF250" s="188"/>
      <c r="AG250" s="188"/>
      <c r="AH250" s="299"/>
      <c r="BK250" s="510">
        <v>97</v>
      </c>
      <c r="CA250" s="367"/>
    </row>
    <row r="251" spans="2:79" ht="13">
      <c r="B251" s="294"/>
      <c r="K251" s="296"/>
      <c r="AB251" s="188"/>
      <c r="AC251" s="188"/>
      <c r="AD251" s="188"/>
      <c r="AE251" s="188"/>
      <c r="AF251" s="188"/>
      <c r="AG251" s="188"/>
      <c r="AH251" s="299"/>
      <c r="BK251" s="510">
        <v>98</v>
      </c>
      <c r="CA251" s="367"/>
    </row>
    <row r="252" spans="2:79" ht="13">
      <c r="B252" s="294"/>
      <c r="K252" s="296"/>
      <c r="AB252" s="188"/>
      <c r="AC252" s="188"/>
      <c r="AD252" s="188"/>
      <c r="AE252" s="188"/>
      <c r="AF252" s="188"/>
      <c r="AG252" s="188"/>
      <c r="AH252" s="299"/>
      <c r="BK252" s="510">
        <v>99</v>
      </c>
      <c r="CA252" s="367"/>
    </row>
    <row r="253" spans="2:79" ht="13">
      <c r="B253" s="294"/>
      <c r="K253" s="296"/>
      <c r="AB253" s="188"/>
      <c r="AC253" s="188"/>
      <c r="AD253" s="188"/>
      <c r="AE253" s="188"/>
      <c r="AF253" s="188"/>
      <c r="AG253" s="188"/>
      <c r="AH253" s="299"/>
      <c r="BK253" s="510">
        <v>100</v>
      </c>
      <c r="CA253" s="367"/>
    </row>
    <row r="254" spans="2:79" ht="13">
      <c r="B254" s="294"/>
      <c r="K254" s="296"/>
      <c r="AB254" s="188"/>
      <c r="AC254" s="188"/>
      <c r="AD254" s="188"/>
      <c r="AE254" s="188"/>
      <c r="AF254" s="188"/>
      <c r="AG254" s="188"/>
      <c r="AH254" s="299"/>
      <c r="BK254" s="510">
        <v>101</v>
      </c>
      <c r="CA254" s="367"/>
    </row>
    <row r="255" spans="2:79" ht="13">
      <c r="B255" s="294"/>
      <c r="K255" s="296"/>
      <c r="AB255" s="188"/>
      <c r="AC255" s="188"/>
      <c r="AD255" s="188"/>
      <c r="AE255" s="188"/>
      <c r="AF255" s="188"/>
      <c r="AG255" s="188"/>
      <c r="AH255" s="299"/>
      <c r="BK255" s="510">
        <v>102</v>
      </c>
      <c r="CA255" s="367"/>
    </row>
    <row r="256" spans="2:79" ht="13">
      <c r="B256" s="294"/>
      <c r="K256" s="296"/>
      <c r="AB256" s="188"/>
      <c r="AC256" s="188"/>
      <c r="AD256" s="188"/>
      <c r="AE256" s="188"/>
      <c r="AF256" s="188"/>
      <c r="AG256" s="188"/>
      <c r="AH256" s="299"/>
      <c r="BK256" s="510">
        <v>103</v>
      </c>
      <c r="CA256" s="367"/>
    </row>
    <row r="257" spans="2:79" ht="13">
      <c r="B257" s="294"/>
      <c r="K257" s="296"/>
      <c r="AB257" s="188"/>
      <c r="AC257" s="188"/>
      <c r="AD257" s="188"/>
      <c r="AE257" s="188"/>
      <c r="AF257" s="188"/>
      <c r="AG257" s="188"/>
      <c r="AH257" s="299"/>
      <c r="BK257" s="510">
        <v>104</v>
      </c>
      <c r="CA257" s="367"/>
    </row>
    <row r="258" spans="2:79" ht="13">
      <c r="B258" s="294"/>
      <c r="K258" s="296"/>
      <c r="AB258" s="188"/>
      <c r="AC258" s="188"/>
      <c r="AD258" s="188"/>
      <c r="AE258" s="188"/>
      <c r="AF258" s="188"/>
      <c r="AG258" s="188"/>
      <c r="AH258" s="299"/>
      <c r="BK258" s="510">
        <v>105</v>
      </c>
      <c r="CA258" s="367"/>
    </row>
    <row r="259" spans="2:79" ht="13">
      <c r="B259" s="294"/>
      <c r="K259" s="296"/>
      <c r="AB259" s="188"/>
      <c r="AC259" s="188"/>
      <c r="AD259" s="188"/>
      <c r="AE259" s="188"/>
      <c r="AF259" s="188"/>
      <c r="AG259" s="188"/>
      <c r="AH259" s="299"/>
      <c r="BK259" s="510">
        <v>106</v>
      </c>
      <c r="CA259" s="367"/>
    </row>
    <row r="260" spans="2:79" ht="13">
      <c r="B260" s="294"/>
      <c r="K260" s="296"/>
      <c r="AB260" s="188"/>
      <c r="AC260" s="188"/>
      <c r="AD260" s="188"/>
      <c r="AE260" s="188"/>
      <c r="AF260" s="188"/>
      <c r="AG260" s="188"/>
      <c r="AH260" s="299"/>
      <c r="BK260" s="510">
        <v>107</v>
      </c>
      <c r="CA260" s="367"/>
    </row>
    <row r="261" spans="2:79" ht="13">
      <c r="B261" s="294"/>
      <c r="K261" s="296"/>
      <c r="AB261" s="188"/>
      <c r="AC261" s="188"/>
      <c r="AD261" s="188"/>
      <c r="AE261" s="188"/>
      <c r="AF261" s="188"/>
      <c r="AG261" s="188"/>
      <c r="AH261" s="299"/>
      <c r="BK261" s="510">
        <v>108</v>
      </c>
      <c r="CA261" s="367"/>
    </row>
    <row r="262" spans="2:79" ht="13">
      <c r="B262" s="294"/>
      <c r="K262" s="296"/>
      <c r="AB262" s="188"/>
      <c r="AC262" s="188"/>
      <c r="AD262" s="188"/>
      <c r="AE262" s="188"/>
      <c r="AF262" s="188"/>
      <c r="AG262" s="188"/>
      <c r="AH262" s="299"/>
      <c r="BK262" s="510">
        <v>109</v>
      </c>
      <c r="CA262" s="367"/>
    </row>
    <row r="263" spans="2:79" ht="13">
      <c r="B263" s="294"/>
      <c r="K263" s="296"/>
      <c r="AB263" s="188"/>
      <c r="AC263" s="188"/>
      <c r="AD263" s="188"/>
      <c r="AE263" s="188"/>
      <c r="AF263" s="188"/>
      <c r="AG263" s="188"/>
      <c r="AH263" s="299"/>
      <c r="BK263" s="510">
        <v>110</v>
      </c>
      <c r="CA263" s="367"/>
    </row>
    <row r="264" spans="2:79" ht="13">
      <c r="B264" s="294"/>
      <c r="K264" s="296"/>
      <c r="AB264" s="188"/>
      <c r="AC264" s="188"/>
      <c r="AD264" s="188"/>
      <c r="AE264" s="188"/>
      <c r="AF264" s="188"/>
      <c r="AG264" s="188"/>
      <c r="AH264" s="299"/>
      <c r="BK264" s="510">
        <v>111</v>
      </c>
      <c r="CA264" s="367"/>
    </row>
    <row r="265" spans="2:79" ht="13">
      <c r="B265" s="294"/>
      <c r="K265" s="296"/>
      <c r="AB265" s="188"/>
      <c r="AC265" s="188"/>
      <c r="AD265" s="188"/>
      <c r="AE265" s="188"/>
      <c r="AF265" s="188"/>
      <c r="AG265" s="188"/>
      <c r="AH265" s="299"/>
      <c r="BK265" s="510">
        <v>112</v>
      </c>
      <c r="CA265" s="367"/>
    </row>
    <row r="266" spans="2:79" ht="13">
      <c r="B266" s="294"/>
      <c r="K266" s="296"/>
      <c r="AB266" s="188"/>
      <c r="AC266" s="188"/>
      <c r="AD266" s="188"/>
      <c r="AE266" s="188"/>
      <c r="AF266" s="188"/>
      <c r="AG266" s="188"/>
      <c r="AH266" s="299"/>
      <c r="BK266" s="510">
        <v>113</v>
      </c>
      <c r="CA266" s="367"/>
    </row>
    <row r="267" spans="2:79" ht="13">
      <c r="B267" s="294"/>
      <c r="K267" s="296"/>
      <c r="AB267" s="188"/>
      <c r="AC267" s="188"/>
      <c r="AD267" s="188"/>
      <c r="AE267" s="188"/>
      <c r="AF267" s="188"/>
      <c r="AG267" s="188"/>
      <c r="AH267" s="299"/>
      <c r="BK267" s="510">
        <v>114</v>
      </c>
      <c r="CA267" s="367"/>
    </row>
    <row r="268" spans="2:79" ht="13">
      <c r="B268" s="294"/>
      <c r="K268" s="296"/>
      <c r="AB268" s="188"/>
      <c r="AC268" s="188"/>
      <c r="AD268" s="188"/>
      <c r="AE268" s="188"/>
      <c r="AF268" s="188"/>
      <c r="AG268" s="188"/>
      <c r="AH268" s="299"/>
      <c r="BK268" s="510">
        <v>115</v>
      </c>
      <c r="CA268" s="367"/>
    </row>
    <row r="269" spans="2:79" ht="13">
      <c r="B269" s="294"/>
      <c r="K269" s="296"/>
      <c r="AB269" s="188"/>
      <c r="AC269" s="188"/>
      <c r="AD269" s="188"/>
      <c r="AE269" s="188"/>
      <c r="AF269" s="188"/>
      <c r="AG269" s="188"/>
      <c r="AH269" s="299"/>
      <c r="BK269" s="510">
        <v>116</v>
      </c>
      <c r="CA269" s="367"/>
    </row>
    <row r="270" spans="2:79" ht="13">
      <c r="B270" s="294"/>
      <c r="K270" s="296"/>
      <c r="AB270" s="188"/>
      <c r="AC270" s="188"/>
      <c r="AD270" s="188"/>
      <c r="AE270" s="188"/>
      <c r="AF270" s="188"/>
      <c r="AG270" s="188"/>
      <c r="AH270" s="299"/>
      <c r="BK270" s="510">
        <v>117</v>
      </c>
      <c r="CA270" s="367"/>
    </row>
    <row r="271" spans="2:79" ht="13">
      <c r="B271" s="294"/>
      <c r="K271" s="296"/>
      <c r="AB271" s="188"/>
      <c r="AC271" s="188"/>
      <c r="AD271" s="188"/>
      <c r="AE271" s="188"/>
      <c r="AF271" s="188"/>
      <c r="AG271" s="188"/>
      <c r="AH271" s="299"/>
      <c r="BK271" s="510">
        <v>118</v>
      </c>
      <c r="CA271" s="367"/>
    </row>
    <row r="272" spans="2:79" ht="13">
      <c r="B272" s="294"/>
      <c r="K272" s="296"/>
      <c r="AB272" s="188"/>
      <c r="AC272" s="188"/>
      <c r="AD272" s="188"/>
      <c r="AE272" s="188"/>
      <c r="AF272" s="188"/>
      <c r="AG272" s="188"/>
      <c r="AH272" s="299"/>
      <c r="BK272" s="510">
        <v>119</v>
      </c>
      <c r="CA272" s="367"/>
    </row>
    <row r="273" spans="2:79" ht="13">
      <c r="B273" s="294"/>
      <c r="K273" s="296"/>
      <c r="AB273" s="188"/>
      <c r="AC273" s="188"/>
      <c r="AD273" s="188"/>
      <c r="AE273" s="188"/>
      <c r="AF273" s="188"/>
      <c r="AG273" s="188"/>
      <c r="AH273" s="299"/>
      <c r="BK273" s="510">
        <v>120</v>
      </c>
      <c r="CA273" s="367"/>
    </row>
    <row r="274" spans="2:79" ht="13">
      <c r="B274" s="294"/>
      <c r="K274" s="296"/>
      <c r="AB274" s="188"/>
      <c r="AC274" s="188"/>
      <c r="AD274" s="188"/>
      <c r="AE274" s="188"/>
      <c r="AF274" s="188"/>
      <c r="AG274" s="188"/>
      <c r="AH274" s="299"/>
      <c r="BK274" s="510">
        <v>121</v>
      </c>
      <c r="CA274" s="367"/>
    </row>
    <row r="275" spans="2:79" ht="13">
      <c r="B275" s="294"/>
      <c r="K275" s="296"/>
      <c r="AB275" s="188"/>
      <c r="AC275" s="188"/>
      <c r="AD275" s="188"/>
      <c r="AE275" s="188"/>
      <c r="AF275" s="188"/>
      <c r="AG275" s="188"/>
      <c r="AH275" s="299"/>
      <c r="BK275" s="510">
        <v>122</v>
      </c>
      <c r="CA275" s="367"/>
    </row>
    <row r="276" spans="2:79" ht="13">
      <c r="B276" s="294"/>
      <c r="K276" s="296"/>
      <c r="AB276" s="188"/>
      <c r="AC276" s="188"/>
      <c r="AD276" s="188"/>
      <c r="AE276" s="188"/>
      <c r="AF276" s="188"/>
      <c r="AG276" s="188"/>
      <c r="AH276" s="299"/>
      <c r="BK276" s="510">
        <v>123</v>
      </c>
      <c r="CA276" s="367"/>
    </row>
    <row r="277" spans="2:79" ht="13">
      <c r="B277" s="294"/>
      <c r="K277" s="296"/>
      <c r="AB277" s="188"/>
      <c r="AC277" s="188"/>
      <c r="AD277" s="188"/>
      <c r="AE277" s="188"/>
      <c r="AF277" s="188"/>
      <c r="AG277" s="188"/>
      <c r="AH277" s="299"/>
      <c r="BK277" s="510">
        <v>124</v>
      </c>
      <c r="CA277" s="367"/>
    </row>
    <row r="278" spans="2:79" ht="13">
      <c r="B278" s="294"/>
      <c r="K278" s="296"/>
      <c r="AB278" s="188"/>
      <c r="AC278" s="188"/>
      <c r="AD278" s="188"/>
      <c r="AE278" s="188"/>
      <c r="AF278" s="188"/>
      <c r="AG278" s="188"/>
      <c r="AH278" s="299"/>
      <c r="BK278" s="510">
        <v>125</v>
      </c>
      <c r="CA278" s="367"/>
    </row>
    <row r="279" spans="2:79" ht="13">
      <c r="B279" s="294"/>
      <c r="K279" s="296"/>
      <c r="AB279" s="188"/>
      <c r="AC279" s="188"/>
      <c r="AD279" s="188"/>
      <c r="AE279" s="188"/>
      <c r="AF279" s="188"/>
      <c r="AG279" s="188"/>
      <c r="AH279" s="299"/>
      <c r="BK279" s="510">
        <v>126</v>
      </c>
      <c r="CA279" s="367"/>
    </row>
    <row r="280" spans="2:79" ht="13">
      <c r="B280" s="294"/>
      <c r="K280" s="296"/>
      <c r="AB280" s="188"/>
      <c r="AC280" s="188"/>
      <c r="AD280" s="188"/>
      <c r="AE280" s="188"/>
      <c r="AF280" s="188"/>
      <c r="AG280" s="188"/>
      <c r="AH280" s="299"/>
      <c r="BK280" s="510">
        <v>127</v>
      </c>
      <c r="CA280" s="367"/>
    </row>
    <row r="281" spans="2:79" ht="13">
      <c r="B281" s="294"/>
      <c r="K281" s="296"/>
      <c r="AB281" s="188"/>
      <c r="AC281" s="188"/>
      <c r="AD281" s="188"/>
      <c r="AE281" s="188"/>
      <c r="AF281" s="188"/>
      <c r="AG281" s="188"/>
      <c r="AH281" s="299"/>
      <c r="BK281" s="510">
        <v>128</v>
      </c>
      <c r="CA281" s="367"/>
    </row>
    <row r="282" spans="2:79" ht="13">
      <c r="B282" s="294"/>
      <c r="K282" s="296"/>
      <c r="AB282" s="188"/>
      <c r="AC282" s="188"/>
      <c r="AD282" s="188"/>
      <c r="AE282" s="188"/>
      <c r="AF282" s="188"/>
      <c r="AG282" s="188"/>
      <c r="AH282" s="299"/>
      <c r="BK282" s="510">
        <v>129</v>
      </c>
      <c r="CA282" s="367"/>
    </row>
    <row r="283" spans="2:79" ht="13">
      <c r="B283" s="294"/>
      <c r="K283" s="296"/>
      <c r="AB283" s="188"/>
      <c r="AC283" s="188"/>
      <c r="AD283" s="188"/>
      <c r="AE283" s="188"/>
      <c r="AF283" s="188"/>
      <c r="AG283" s="188"/>
      <c r="AH283" s="299"/>
      <c r="BK283" s="510">
        <v>130</v>
      </c>
      <c r="CA283" s="367"/>
    </row>
    <row r="284" spans="2:79" ht="13">
      <c r="B284" s="294"/>
      <c r="K284" s="296"/>
      <c r="AB284" s="188"/>
      <c r="AC284" s="188"/>
      <c r="AD284" s="188"/>
      <c r="AE284" s="188"/>
      <c r="AF284" s="188"/>
      <c r="AG284" s="188"/>
      <c r="AH284" s="299"/>
      <c r="BK284" s="510">
        <v>131</v>
      </c>
      <c r="CA284" s="367"/>
    </row>
    <row r="285" spans="2:79" ht="13">
      <c r="B285" s="294"/>
      <c r="K285" s="296"/>
      <c r="AB285" s="188"/>
      <c r="AC285" s="188"/>
      <c r="AD285" s="188"/>
      <c r="AE285" s="188"/>
      <c r="AF285" s="188"/>
      <c r="AG285" s="188"/>
      <c r="AH285" s="299"/>
      <c r="BK285" s="510">
        <v>132</v>
      </c>
      <c r="CA285" s="367"/>
    </row>
    <row r="286" spans="2:79" ht="13">
      <c r="B286" s="294"/>
      <c r="K286" s="296"/>
      <c r="AB286" s="188"/>
      <c r="AC286" s="188"/>
      <c r="AD286" s="188"/>
      <c r="AE286" s="188"/>
      <c r="AF286" s="188"/>
      <c r="AG286" s="188"/>
      <c r="AH286" s="299"/>
      <c r="BK286" s="510">
        <v>133</v>
      </c>
      <c r="CA286" s="367"/>
    </row>
    <row r="287" spans="2:79" ht="13">
      <c r="B287" s="294"/>
      <c r="K287" s="296"/>
      <c r="AB287" s="188"/>
      <c r="AC287" s="188"/>
      <c r="AD287" s="188"/>
      <c r="AE287" s="188"/>
      <c r="AF287" s="188"/>
      <c r="AG287" s="188"/>
      <c r="AH287" s="299"/>
      <c r="BK287" s="510">
        <v>134</v>
      </c>
      <c r="CA287" s="367"/>
    </row>
    <row r="288" spans="2:79" ht="13">
      <c r="B288" s="294"/>
      <c r="K288" s="296"/>
      <c r="AB288" s="188"/>
      <c r="AC288" s="188"/>
      <c r="AD288" s="188"/>
      <c r="AE288" s="188"/>
      <c r="AF288" s="188"/>
      <c r="AG288" s="188"/>
      <c r="AH288" s="299"/>
      <c r="BK288" s="510">
        <v>135</v>
      </c>
      <c r="CA288" s="367"/>
    </row>
    <row r="289" spans="2:79" ht="13">
      <c r="B289" s="294"/>
      <c r="K289" s="296"/>
      <c r="AB289" s="188"/>
      <c r="AC289" s="188"/>
      <c r="AD289" s="188"/>
      <c r="AE289" s="188"/>
      <c r="AF289" s="188"/>
      <c r="AG289" s="188"/>
      <c r="AH289" s="299"/>
      <c r="BK289" s="510">
        <v>136</v>
      </c>
      <c r="CA289" s="367"/>
    </row>
    <row r="290" spans="2:79" ht="13">
      <c r="B290" s="294"/>
      <c r="K290" s="296"/>
      <c r="AB290" s="188"/>
      <c r="AC290" s="188"/>
      <c r="AD290" s="188"/>
      <c r="AE290" s="188"/>
      <c r="AF290" s="188"/>
      <c r="AG290" s="188"/>
      <c r="AH290" s="299"/>
      <c r="BK290" s="510">
        <v>137</v>
      </c>
      <c r="CA290" s="367"/>
    </row>
    <row r="291" spans="2:79" ht="13">
      <c r="B291" s="294"/>
      <c r="K291" s="296"/>
      <c r="AB291" s="188"/>
      <c r="AC291" s="188"/>
      <c r="AD291" s="188"/>
      <c r="AE291" s="188"/>
      <c r="AF291" s="188"/>
      <c r="AG291" s="188"/>
      <c r="AH291" s="299"/>
      <c r="BK291" s="510">
        <v>138</v>
      </c>
      <c r="CA291" s="367"/>
    </row>
    <row r="292" spans="2:79" ht="13">
      <c r="B292" s="294"/>
      <c r="K292" s="296"/>
      <c r="AB292" s="188"/>
      <c r="AC292" s="188"/>
      <c r="AD292" s="188"/>
      <c r="AE292" s="188"/>
      <c r="AF292" s="188"/>
      <c r="AG292" s="188"/>
      <c r="AH292" s="299"/>
      <c r="BK292" s="510">
        <v>139</v>
      </c>
      <c r="CA292" s="367"/>
    </row>
    <row r="293" spans="2:79" ht="13">
      <c r="B293" s="294"/>
      <c r="K293" s="296"/>
      <c r="AB293" s="188"/>
      <c r="AC293" s="188"/>
      <c r="AD293" s="188"/>
      <c r="AE293" s="188"/>
      <c r="AF293" s="188"/>
      <c r="AG293" s="188"/>
      <c r="AH293" s="299"/>
      <c r="BK293" s="510">
        <v>140</v>
      </c>
      <c r="CA293" s="367"/>
    </row>
    <row r="294" spans="2:79" ht="13">
      <c r="B294" s="294"/>
      <c r="K294" s="296"/>
      <c r="AB294" s="188"/>
      <c r="AC294" s="188"/>
      <c r="AD294" s="188"/>
      <c r="AE294" s="188"/>
      <c r="AF294" s="188"/>
      <c r="AG294" s="188"/>
      <c r="AH294" s="299"/>
      <c r="BK294" s="512">
        <v>141</v>
      </c>
      <c r="BL294" s="369"/>
      <c r="BM294" s="369"/>
      <c r="BN294" s="369"/>
      <c r="BO294" s="369"/>
      <c r="BP294" s="369"/>
      <c r="BQ294" s="369"/>
      <c r="BR294" s="369"/>
      <c r="BS294" s="369"/>
      <c r="BT294" s="369"/>
      <c r="BU294" s="369"/>
      <c r="BV294" s="369"/>
      <c r="BW294" s="369"/>
      <c r="BX294" s="369"/>
      <c r="BY294" s="369"/>
      <c r="BZ294" s="369"/>
      <c r="CA294" s="370"/>
    </row>
    <row r="295" spans="2:79" ht="13">
      <c r="B295" s="294"/>
      <c r="K295" s="296"/>
      <c r="AB295" s="188"/>
      <c r="AC295" s="188"/>
      <c r="AD295" s="188"/>
      <c r="AE295" s="188"/>
      <c r="AF295" s="188"/>
      <c r="AG295" s="188"/>
      <c r="AH295" s="299"/>
    </row>
    <row r="296" spans="2:79" ht="13">
      <c r="B296" s="294"/>
      <c r="K296" s="296"/>
      <c r="AB296" s="188"/>
      <c r="AC296" s="188"/>
      <c r="AD296" s="188"/>
      <c r="AE296" s="188"/>
      <c r="AF296" s="188"/>
      <c r="AG296" s="188"/>
      <c r="AH296" s="299"/>
      <c r="BO296" s="352">
        <f>BO300-Q119</f>
        <v>-1.0000001639127731E-2</v>
      </c>
    </row>
    <row r="297" spans="2:79" ht="13">
      <c r="B297" s="294"/>
      <c r="K297" s="296"/>
      <c r="AB297" s="188"/>
      <c r="AC297" s="188"/>
      <c r="AD297" s="188"/>
      <c r="AE297" s="188"/>
      <c r="AF297" s="188"/>
      <c r="AG297" s="188"/>
      <c r="AH297" s="299"/>
      <c r="BK297" s="371"/>
      <c r="BL297" s="372">
        <v>1</v>
      </c>
      <c r="BM297" s="372">
        <v>2</v>
      </c>
      <c r="BN297" s="372">
        <v>3</v>
      </c>
      <c r="BO297" s="372">
        <v>4</v>
      </c>
      <c r="BP297" s="372">
        <v>5</v>
      </c>
      <c r="BQ297" s="372">
        <v>6</v>
      </c>
      <c r="BR297" s="372">
        <v>7</v>
      </c>
      <c r="BS297" s="372">
        <v>8</v>
      </c>
      <c r="BT297" s="372">
        <v>9</v>
      </c>
      <c r="BU297" s="372">
        <v>10</v>
      </c>
      <c r="BV297" s="372">
        <v>11</v>
      </c>
      <c r="BW297" s="372">
        <v>12</v>
      </c>
      <c r="BX297" s="372">
        <v>13</v>
      </c>
      <c r="BY297" s="372">
        <v>14</v>
      </c>
      <c r="BZ297" s="372">
        <v>15</v>
      </c>
      <c r="CA297" s="373">
        <v>16</v>
      </c>
    </row>
    <row r="298" spans="2:79" ht="13">
      <c r="B298" s="294"/>
      <c r="K298" s="296"/>
      <c r="AB298" s="188"/>
      <c r="AC298" s="188"/>
      <c r="AD298" s="188"/>
      <c r="AE298" s="188"/>
      <c r="AF298" s="188"/>
      <c r="AG298" s="188"/>
      <c r="AH298" s="299"/>
      <c r="BK298" s="374"/>
      <c r="BN298" s="357">
        <v>45658</v>
      </c>
      <c r="BO298" s="357">
        <v>45689</v>
      </c>
      <c r="BP298" s="357">
        <v>45717</v>
      </c>
      <c r="BQ298" s="357">
        <v>45748</v>
      </c>
      <c r="BR298" s="357">
        <v>45778</v>
      </c>
      <c r="BS298" s="357">
        <v>45809</v>
      </c>
      <c r="BT298" s="357">
        <v>45839</v>
      </c>
      <c r="BU298" s="357">
        <v>45870</v>
      </c>
      <c r="BV298" s="357">
        <v>45901</v>
      </c>
      <c r="BW298" s="357">
        <v>45931</v>
      </c>
      <c r="BX298" s="357">
        <v>45962</v>
      </c>
      <c r="BY298" s="357">
        <v>45992</v>
      </c>
      <c r="BZ298" s="357"/>
      <c r="CA298" s="375"/>
    </row>
    <row r="299" spans="2:79" ht="13">
      <c r="B299" s="294"/>
      <c r="K299" s="296"/>
      <c r="AB299" s="188"/>
      <c r="AC299" s="188"/>
      <c r="AD299" s="188"/>
      <c r="AE299" s="188"/>
      <c r="AF299" s="188"/>
      <c r="AG299" s="188"/>
      <c r="AH299" s="299"/>
      <c r="BK299" s="374"/>
      <c r="BL299" s="376"/>
      <c r="BM299" s="377" t="s">
        <v>241</v>
      </c>
      <c r="BN299" s="360">
        <v>45658</v>
      </c>
      <c r="BO299" s="360">
        <v>45689</v>
      </c>
      <c r="BP299" s="360">
        <v>45717</v>
      </c>
      <c r="BQ299" s="360">
        <v>45748</v>
      </c>
      <c r="BR299" s="360">
        <v>45778</v>
      </c>
      <c r="BS299" s="360"/>
      <c r="BT299" s="360"/>
      <c r="BU299" s="360"/>
      <c r="BV299" s="360"/>
      <c r="BW299" s="360"/>
      <c r="BX299" s="360"/>
      <c r="BY299" s="360"/>
      <c r="BZ299" s="357"/>
      <c r="CA299" s="375"/>
    </row>
    <row r="300" spans="2:79" ht="13">
      <c r="B300" s="294"/>
      <c r="K300" s="296"/>
      <c r="AB300" s="188"/>
      <c r="AC300" s="188"/>
      <c r="AD300" s="188"/>
      <c r="AE300" s="188"/>
      <c r="AF300" s="188"/>
      <c r="AG300" s="188"/>
      <c r="AH300" s="299"/>
      <c r="BK300" s="374"/>
      <c r="BL300" s="359" t="s">
        <v>241</v>
      </c>
      <c r="BM300" s="361">
        <v>53658727.18</v>
      </c>
      <c r="BN300" s="361">
        <v>9233674.7699999996</v>
      </c>
      <c r="BO300" s="361">
        <v>11662941.17</v>
      </c>
      <c r="BP300" s="361">
        <v>13406729.24</v>
      </c>
      <c r="BQ300" s="361">
        <v>11939970.310000001</v>
      </c>
      <c r="BR300" s="361">
        <v>7415411.6900000004</v>
      </c>
      <c r="BS300" s="361"/>
      <c r="BT300" s="361"/>
      <c r="BU300" s="361"/>
      <c r="BV300" s="361"/>
      <c r="BW300" s="361"/>
      <c r="BX300" s="361"/>
      <c r="BY300" s="361"/>
      <c r="BZ300" s="361"/>
      <c r="CA300" s="378"/>
    </row>
    <row r="301" spans="2:79" ht="13">
      <c r="B301" s="294"/>
      <c r="K301" s="296"/>
      <c r="AB301" s="188"/>
      <c r="AC301" s="188"/>
      <c r="AD301" s="188"/>
      <c r="AE301" s="188"/>
      <c r="AF301" s="188"/>
      <c r="AG301" s="188"/>
      <c r="AH301" s="299"/>
      <c r="BJ301" s="302">
        <f t="shared" ref="BJ301:BJ323" si="245">VLOOKUP(BL301,ROTELACARTERA,3,FALSE)</f>
        <v>112014254</v>
      </c>
      <c r="BK301" s="374">
        <v>1</v>
      </c>
      <c r="BL301" s="359" t="s">
        <v>1330</v>
      </c>
      <c r="BM301" s="361">
        <v>19246130.530000001</v>
      </c>
      <c r="BN301" s="361">
        <v>5679640.4500000002</v>
      </c>
      <c r="BO301" s="361">
        <v>3273035.51</v>
      </c>
      <c r="BP301" s="361">
        <v>6933590.5199999996</v>
      </c>
      <c r="BQ301" s="361">
        <v>3398716.04</v>
      </c>
      <c r="BR301" s="361">
        <v>-38851.980000000003</v>
      </c>
      <c r="BS301" s="361"/>
      <c r="BT301" s="361"/>
      <c r="BU301" s="361"/>
      <c r="BV301" s="361"/>
      <c r="BW301" s="361"/>
      <c r="BX301" s="361"/>
      <c r="BY301" s="361"/>
      <c r="BZ301" s="361"/>
      <c r="CA301" s="378"/>
    </row>
    <row r="302" spans="2:79" ht="13">
      <c r="B302" s="294"/>
      <c r="K302" s="296"/>
      <c r="AB302" s="188"/>
      <c r="AC302" s="188"/>
      <c r="AD302" s="188"/>
      <c r="AE302" s="188"/>
      <c r="AF302" s="188"/>
      <c r="AG302" s="188"/>
      <c r="AH302" s="299"/>
      <c r="BJ302" s="302">
        <f t="shared" si="245"/>
        <v>112012824</v>
      </c>
      <c r="BK302" s="374">
        <v>2</v>
      </c>
      <c r="BL302" s="359" t="s">
        <v>1039</v>
      </c>
      <c r="BM302" s="361">
        <v>6949094.7999999998</v>
      </c>
      <c r="BN302" s="361">
        <v>0</v>
      </c>
      <c r="BO302" s="361">
        <v>0</v>
      </c>
      <c r="BP302" s="361">
        <v>3952379.29</v>
      </c>
      <c r="BQ302" s="361">
        <v>1083391.71</v>
      </c>
      <c r="BR302" s="361">
        <v>1913323.8</v>
      </c>
      <c r="BS302" s="361"/>
      <c r="BT302" s="361"/>
      <c r="BU302" s="361"/>
      <c r="BV302" s="361"/>
      <c r="BW302" s="361"/>
      <c r="BX302" s="361"/>
      <c r="BY302" s="361"/>
      <c r="BZ302" s="361"/>
      <c r="CA302" s="378"/>
    </row>
    <row r="303" spans="2:79" ht="13">
      <c r="B303" s="294"/>
      <c r="K303" s="296"/>
      <c r="AB303" s="188"/>
      <c r="AC303" s="188"/>
      <c r="AD303" s="188"/>
      <c r="AE303" s="188"/>
      <c r="AF303" s="188"/>
      <c r="AG303" s="188"/>
      <c r="AH303" s="299"/>
      <c r="BJ303" s="302">
        <f t="shared" si="245"/>
        <v>112014363</v>
      </c>
      <c r="BK303" s="374">
        <v>3</v>
      </c>
      <c r="BL303" s="359" t="s">
        <v>1273</v>
      </c>
      <c r="BM303" s="361">
        <v>6680017.2599999998</v>
      </c>
      <c r="BN303" s="361">
        <v>0</v>
      </c>
      <c r="BO303" s="361">
        <v>2307001.4700000002</v>
      </c>
      <c r="BP303" s="361">
        <v>0</v>
      </c>
      <c r="BQ303" s="361">
        <v>2690641.42</v>
      </c>
      <c r="BR303" s="361">
        <v>1682374.38</v>
      </c>
      <c r="BS303" s="361"/>
      <c r="BT303" s="361"/>
      <c r="BU303" s="361"/>
      <c r="BV303" s="361"/>
      <c r="BW303" s="361"/>
      <c r="BX303" s="361"/>
      <c r="BY303" s="361"/>
      <c r="BZ303" s="361"/>
      <c r="CA303" s="378"/>
    </row>
    <row r="304" spans="2:79" ht="13">
      <c r="B304" s="294"/>
      <c r="K304" s="296"/>
      <c r="AB304" s="188"/>
      <c r="AC304" s="188"/>
      <c r="AD304" s="188"/>
      <c r="AE304" s="188"/>
      <c r="AF304" s="188"/>
      <c r="AG304" s="188"/>
      <c r="AH304" s="299"/>
      <c r="BJ304" s="302">
        <f t="shared" si="245"/>
        <v>112013545</v>
      </c>
      <c r="BK304" s="374">
        <v>4</v>
      </c>
      <c r="BL304" s="359" t="s">
        <v>1022</v>
      </c>
      <c r="BM304" s="361">
        <v>4182073.48</v>
      </c>
      <c r="BN304" s="361">
        <v>481916.7</v>
      </c>
      <c r="BO304" s="361">
        <v>2710153.88</v>
      </c>
      <c r="BP304" s="361">
        <v>-1899638.36</v>
      </c>
      <c r="BQ304" s="361">
        <v>781169.3</v>
      </c>
      <c r="BR304" s="361">
        <v>2108471.9700000002</v>
      </c>
      <c r="BS304" s="361"/>
      <c r="BT304" s="361"/>
      <c r="BU304" s="361"/>
      <c r="BV304" s="361"/>
      <c r="BW304" s="361"/>
      <c r="BX304" s="361"/>
      <c r="BY304" s="361"/>
      <c r="BZ304" s="361"/>
      <c r="CA304" s="378"/>
    </row>
    <row r="305" spans="2:79" ht="13">
      <c r="B305" s="294"/>
      <c r="K305" s="296"/>
      <c r="AB305" s="188"/>
      <c r="AC305" s="188"/>
      <c r="AD305" s="188"/>
      <c r="AE305" s="188"/>
      <c r="AF305" s="188"/>
      <c r="AG305" s="188"/>
      <c r="AH305" s="299"/>
      <c r="BJ305" s="302">
        <f t="shared" si="245"/>
        <v>112014045</v>
      </c>
      <c r="BK305" s="374">
        <v>5</v>
      </c>
      <c r="BL305" s="359" t="s">
        <v>641</v>
      </c>
      <c r="BM305" s="361">
        <v>3393496.3</v>
      </c>
      <c r="BN305" s="361">
        <v>914122.8</v>
      </c>
      <c r="BO305" s="361">
        <v>917570.58</v>
      </c>
      <c r="BP305" s="361">
        <v>666030.46</v>
      </c>
      <c r="BQ305" s="361">
        <v>802186.78</v>
      </c>
      <c r="BR305" s="361">
        <v>93585.7</v>
      </c>
      <c r="BS305" s="361"/>
      <c r="BT305" s="361"/>
      <c r="BU305" s="361"/>
      <c r="BV305" s="361"/>
      <c r="BW305" s="361"/>
      <c r="BX305" s="361"/>
      <c r="BY305" s="361"/>
      <c r="BZ305" s="361"/>
      <c r="CA305" s="378"/>
    </row>
    <row r="306" spans="2:79" ht="13">
      <c r="B306" s="294"/>
      <c r="K306" s="296"/>
      <c r="AB306" s="188"/>
      <c r="AC306" s="188"/>
      <c r="AD306" s="188"/>
      <c r="AE306" s="188"/>
      <c r="AF306" s="188"/>
      <c r="AG306" s="188"/>
      <c r="AH306" s="299"/>
      <c r="BJ306" s="302">
        <f t="shared" si="245"/>
        <v>112013622</v>
      </c>
      <c r="BK306" s="374">
        <v>6</v>
      </c>
      <c r="BL306" s="359" t="s">
        <v>1264</v>
      </c>
      <c r="BM306" s="361">
        <v>3080876.72</v>
      </c>
      <c r="BN306" s="361">
        <v>555837.18000000005</v>
      </c>
      <c r="BO306" s="361">
        <v>737363.66</v>
      </c>
      <c r="BP306" s="361">
        <v>1421208.37</v>
      </c>
      <c r="BQ306" s="361">
        <v>328136.99</v>
      </c>
      <c r="BR306" s="361">
        <v>38330.519999999997</v>
      </c>
      <c r="BS306" s="361"/>
      <c r="BT306" s="361"/>
      <c r="BU306" s="361"/>
      <c r="BV306" s="361"/>
      <c r="BW306" s="361"/>
      <c r="BX306" s="361"/>
      <c r="BY306" s="361"/>
      <c r="BZ306" s="361"/>
      <c r="CA306" s="378"/>
    </row>
    <row r="307" spans="2:79" ht="13">
      <c r="B307" s="294"/>
      <c r="K307" s="296"/>
      <c r="AB307" s="188"/>
      <c r="AC307" s="188"/>
      <c r="AD307" s="188"/>
      <c r="AE307" s="188"/>
      <c r="AF307" s="188"/>
      <c r="AG307" s="188"/>
      <c r="AH307" s="299"/>
      <c r="BJ307" s="302">
        <f t="shared" si="245"/>
        <v>112013786</v>
      </c>
      <c r="BK307" s="374">
        <v>7</v>
      </c>
      <c r="BL307" s="359" t="s">
        <v>1021</v>
      </c>
      <c r="BM307" s="361">
        <v>3029446.46</v>
      </c>
      <c r="BN307" s="361">
        <v>454289.37</v>
      </c>
      <c r="BO307" s="361">
        <v>469332.43</v>
      </c>
      <c r="BP307" s="361">
        <v>1147480.33</v>
      </c>
      <c r="BQ307" s="361">
        <v>958344.33</v>
      </c>
      <c r="BR307" s="361">
        <v>0</v>
      </c>
      <c r="BS307" s="361"/>
      <c r="BT307" s="361"/>
      <c r="BU307" s="361"/>
      <c r="BV307" s="361"/>
      <c r="BW307" s="361"/>
      <c r="BX307" s="361"/>
      <c r="BY307" s="361"/>
      <c r="BZ307" s="361"/>
      <c r="CA307" s="378"/>
    </row>
    <row r="308" spans="2:79" ht="13">
      <c r="B308" s="294"/>
      <c r="K308" s="296"/>
      <c r="AB308" s="188"/>
      <c r="AC308" s="188"/>
      <c r="AD308" s="188"/>
      <c r="AE308" s="188"/>
      <c r="AF308" s="188"/>
      <c r="AG308" s="188"/>
      <c r="AH308" s="299"/>
      <c r="BJ308" s="302">
        <f t="shared" si="245"/>
        <v>112013984</v>
      </c>
      <c r="BK308" s="374">
        <v>8</v>
      </c>
      <c r="BL308" s="359" t="s">
        <v>1269</v>
      </c>
      <c r="BM308" s="361">
        <v>2701802.15</v>
      </c>
      <c r="BN308" s="361">
        <v>469621.11</v>
      </c>
      <c r="BO308" s="361">
        <v>297129.21000000002</v>
      </c>
      <c r="BP308" s="361">
        <v>718893.9</v>
      </c>
      <c r="BQ308" s="361">
        <v>759076.6</v>
      </c>
      <c r="BR308" s="361">
        <v>457081.33</v>
      </c>
      <c r="BS308" s="361"/>
      <c r="BT308" s="361"/>
      <c r="BU308" s="361"/>
      <c r="BV308" s="361"/>
      <c r="BW308" s="361"/>
      <c r="BX308" s="361"/>
      <c r="BY308" s="361"/>
      <c r="BZ308" s="361"/>
      <c r="CA308" s="378"/>
    </row>
    <row r="309" spans="2:79" ht="13">
      <c r="B309" s="294"/>
      <c r="K309" s="296"/>
      <c r="AB309" s="188"/>
      <c r="AC309" s="188"/>
      <c r="AD309" s="188"/>
      <c r="AE309" s="188"/>
      <c r="AF309" s="188"/>
      <c r="AG309" s="188"/>
      <c r="AH309" s="299"/>
      <c r="BJ309" s="302">
        <f t="shared" si="245"/>
        <v>112014479</v>
      </c>
      <c r="BK309" s="374">
        <v>9</v>
      </c>
      <c r="BL309" s="359" t="s">
        <v>994</v>
      </c>
      <c r="BM309" s="361">
        <v>1820438.95</v>
      </c>
      <c r="BN309" s="361">
        <v>313685.86</v>
      </c>
      <c r="BO309" s="361">
        <v>135567.62</v>
      </c>
      <c r="BP309" s="361">
        <v>156881.57</v>
      </c>
      <c r="BQ309" s="361">
        <v>623809.76</v>
      </c>
      <c r="BR309" s="361">
        <v>590494.15</v>
      </c>
      <c r="BS309" s="361"/>
      <c r="BT309" s="361"/>
      <c r="BU309" s="361"/>
      <c r="BV309" s="361"/>
      <c r="BW309" s="361"/>
      <c r="BX309" s="361"/>
      <c r="BY309" s="361"/>
      <c r="BZ309" s="361"/>
      <c r="CA309" s="378"/>
    </row>
    <row r="310" spans="2:79" ht="13">
      <c r="B310" s="294"/>
      <c r="K310" s="296"/>
      <c r="AB310" s="188"/>
      <c r="AC310" s="188"/>
      <c r="AD310" s="188"/>
      <c r="AE310" s="188"/>
      <c r="AF310" s="188"/>
      <c r="AG310" s="188"/>
      <c r="AH310" s="299"/>
      <c r="BJ310" s="302">
        <f t="shared" si="245"/>
        <v>112013948</v>
      </c>
      <c r="BK310" s="374">
        <v>10</v>
      </c>
      <c r="BL310" s="359" t="s">
        <v>1320</v>
      </c>
      <c r="BM310" s="361">
        <v>1143828.75</v>
      </c>
      <c r="BN310" s="361">
        <v>80028.91</v>
      </c>
      <c r="BO310" s="361">
        <v>304711.55</v>
      </c>
      <c r="BP310" s="361">
        <v>217234.35</v>
      </c>
      <c r="BQ310" s="361">
        <v>0</v>
      </c>
      <c r="BR310" s="361">
        <v>541853.93999999994</v>
      </c>
      <c r="BS310" s="361"/>
      <c r="BT310" s="361"/>
      <c r="BU310" s="361"/>
      <c r="BV310" s="361"/>
      <c r="BW310" s="361"/>
      <c r="BX310" s="361"/>
      <c r="BY310" s="361"/>
      <c r="BZ310" s="361"/>
      <c r="CA310" s="378"/>
    </row>
    <row r="311" spans="2:79" ht="13">
      <c r="B311" s="294"/>
      <c r="K311" s="296"/>
      <c r="AB311" s="188"/>
      <c r="AC311" s="188"/>
      <c r="AD311" s="188"/>
      <c r="AE311" s="188"/>
      <c r="AF311" s="188"/>
      <c r="AG311" s="188"/>
      <c r="AH311" s="299"/>
      <c r="BJ311" s="302">
        <f t="shared" si="245"/>
        <v>112012353</v>
      </c>
      <c r="BK311" s="374">
        <v>11</v>
      </c>
      <c r="BL311" s="359" t="s">
        <v>1281</v>
      </c>
      <c r="BM311" s="361">
        <v>684032.56</v>
      </c>
      <c r="BN311" s="361">
        <v>167139.17000000001</v>
      </c>
      <c r="BO311" s="361">
        <v>229398.76</v>
      </c>
      <c r="BP311" s="361">
        <v>0</v>
      </c>
      <c r="BQ311" s="361">
        <v>287494.63</v>
      </c>
      <c r="BR311" s="361">
        <v>0</v>
      </c>
      <c r="BS311" s="361"/>
      <c r="BT311" s="361"/>
      <c r="BU311" s="361"/>
      <c r="BV311" s="361"/>
      <c r="BW311" s="361"/>
      <c r="BX311" s="361"/>
      <c r="BY311" s="361"/>
      <c r="BZ311" s="361"/>
      <c r="CA311" s="378"/>
    </row>
    <row r="312" spans="2:79" ht="13">
      <c r="B312" s="294"/>
      <c r="K312" s="296"/>
      <c r="AB312" s="188"/>
      <c r="AC312" s="188"/>
      <c r="AD312" s="188"/>
      <c r="AE312" s="188"/>
      <c r="AF312" s="188"/>
      <c r="AG312" s="188"/>
      <c r="AH312" s="299"/>
      <c r="BJ312" s="302">
        <f t="shared" si="245"/>
        <v>112013925</v>
      </c>
      <c r="BK312" s="374">
        <v>12</v>
      </c>
      <c r="BL312" s="359" t="s">
        <v>1274</v>
      </c>
      <c r="BM312" s="361">
        <v>171254.51</v>
      </c>
      <c r="BN312" s="361">
        <v>0</v>
      </c>
      <c r="BO312" s="361">
        <v>128920.52</v>
      </c>
      <c r="BP312" s="361">
        <v>42333.98</v>
      </c>
      <c r="BQ312" s="361">
        <v>0</v>
      </c>
      <c r="BR312" s="361">
        <v>0</v>
      </c>
      <c r="BS312" s="361"/>
      <c r="BT312" s="361"/>
      <c r="BU312" s="361"/>
      <c r="BV312" s="361"/>
      <c r="BW312" s="361"/>
      <c r="BX312" s="361"/>
      <c r="BY312" s="361"/>
      <c r="BZ312" s="361"/>
      <c r="CA312" s="378"/>
    </row>
    <row r="313" spans="2:79" ht="13">
      <c r="B313" s="294"/>
      <c r="K313" s="296"/>
      <c r="AB313" s="188"/>
      <c r="AC313" s="188"/>
      <c r="AD313" s="188"/>
      <c r="AE313" s="188"/>
      <c r="AF313" s="188"/>
      <c r="AG313" s="188"/>
      <c r="AH313" s="299"/>
      <c r="BJ313" s="302">
        <f t="shared" si="245"/>
        <v>112014686</v>
      </c>
      <c r="BK313" s="374">
        <v>13</v>
      </c>
      <c r="BL313" s="359" t="s">
        <v>1338</v>
      </c>
      <c r="BM313" s="361">
        <v>161447.32999999999</v>
      </c>
      <c r="BN313" s="361">
        <v>0</v>
      </c>
      <c r="BO313" s="361">
        <v>0</v>
      </c>
      <c r="BP313" s="361">
        <v>0</v>
      </c>
      <c r="BQ313" s="361">
        <v>161447.32999999999</v>
      </c>
      <c r="BR313" s="361">
        <v>0</v>
      </c>
      <c r="BS313" s="361"/>
      <c r="BT313" s="361"/>
      <c r="BU313" s="361"/>
      <c r="BV313" s="361"/>
      <c r="BW313" s="361"/>
      <c r="BX313" s="361"/>
      <c r="BY313" s="361"/>
      <c r="BZ313" s="361"/>
      <c r="CA313" s="378"/>
    </row>
    <row r="314" spans="2:79" ht="13">
      <c r="B314" s="294"/>
      <c r="K314" s="296"/>
      <c r="AB314" s="188"/>
      <c r="AC314" s="188"/>
      <c r="AD314" s="188"/>
      <c r="AE314" s="188"/>
      <c r="AF314" s="188"/>
      <c r="AG314" s="188"/>
      <c r="AH314" s="299"/>
      <c r="BJ314" s="302">
        <f t="shared" si="245"/>
        <v>112014645</v>
      </c>
      <c r="BK314" s="374">
        <v>14</v>
      </c>
      <c r="BL314" s="359" t="s">
        <v>1026</v>
      </c>
      <c r="BM314" s="361">
        <v>148464.76</v>
      </c>
      <c r="BN314" s="361">
        <v>47913.15</v>
      </c>
      <c r="BO314" s="361">
        <v>35136.31</v>
      </c>
      <c r="BP314" s="361">
        <v>7919.52</v>
      </c>
      <c r="BQ314" s="361">
        <v>38330.519999999997</v>
      </c>
      <c r="BR314" s="361">
        <v>19165.259999999998</v>
      </c>
      <c r="BS314" s="361"/>
      <c r="BT314" s="361"/>
      <c r="BU314" s="361"/>
      <c r="BV314" s="361"/>
      <c r="BW314" s="361"/>
      <c r="BX314" s="361"/>
      <c r="BY314" s="361"/>
      <c r="BZ314" s="361"/>
      <c r="CA314" s="378"/>
    </row>
    <row r="315" spans="2:79" ht="13">
      <c r="B315" s="294"/>
      <c r="K315" s="296"/>
      <c r="AB315" s="188"/>
      <c r="AC315" s="188"/>
      <c r="AD315" s="188"/>
      <c r="AE315" s="188"/>
      <c r="AF315" s="188"/>
      <c r="AG315" s="188"/>
      <c r="AH315" s="299"/>
      <c r="BJ315" s="302">
        <f t="shared" si="245"/>
        <v>112010407</v>
      </c>
      <c r="BK315" s="374">
        <v>15</v>
      </c>
      <c r="BL315" s="359" t="s">
        <v>1282</v>
      </c>
      <c r="BM315" s="361">
        <v>76661.039999999994</v>
      </c>
      <c r="BN315" s="361">
        <v>0</v>
      </c>
      <c r="BO315" s="361">
        <v>76661.039999999994</v>
      </c>
      <c r="BP315" s="361">
        <v>0</v>
      </c>
      <c r="BQ315" s="365">
        <v>0</v>
      </c>
      <c r="BR315" s="365">
        <v>0</v>
      </c>
      <c r="BS315" s="365"/>
      <c r="BT315" s="365"/>
      <c r="BU315" s="365"/>
      <c r="BV315" s="365"/>
      <c r="BW315" s="365"/>
      <c r="BX315" s="365"/>
      <c r="BY315" s="365"/>
      <c r="BZ315" s="365"/>
      <c r="CA315" s="379"/>
    </row>
    <row r="316" spans="2:79" ht="13">
      <c r="B316" s="294"/>
      <c r="K316" s="296"/>
      <c r="AB316" s="188"/>
      <c r="AC316" s="188"/>
      <c r="AD316" s="188"/>
      <c r="AE316" s="188"/>
      <c r="AF316" s="188"/>
      <c r="AG316" s="188"/>
      <c r="AH316" s="299"/>
      <c r="BJ316" s="302">
        <f t="shared" si="245"/>
        <v>112014679</v>
      </c>
      <c r="BK316" s="374">
        <v>16</v>
      </c>
      <c r="BL316" s="359" t="s">
        <v>1028</v>
      </c>
      <c r="BM316" s="361">
        <v>42415.32</v>
      </c>
      <c r="BN316" s="361">
        <v>0</v>
      </c>
      <c r="BO316" s="361">
        <v>0</v>
      </c>
      <c r="BP316" s="361">
        <v>42415.32</v>
      </c>
      <c r="BQ316" s="361">
        <v>0</v>
      </c>
      <c r="BR316" s="361">
        <v>0</v>
      </c>
      <c r="BS316" s="361"/>
      <c r="BT316" s="361"/>
      <c r="BU316" s="361"/>
      <c r="BV316" s="361"/>
      <c r="BW316" s="361"/>
      <c r="BX316" s="361"/>
      <c r="BY316" s="361"/>
      <c r="BZ316" s="361"/>
      <c r="CA316" s="378"/>
    </row>
    <row r="317" spans="2:79" ht="13">
      <c r="B317" s="294"/>
      <c r="K317" s="296"/>
      <c r="AB317" s="188"/>
      <c r="AC317" s="188"/>
      <c r="AD317" s="188"/>
      <c r="AE317" s="188"/>
      <c r="AF317" s="188"/>
      <c r="AG317" s="188"/>
      <c r="AH317" s="299"/>
      <c r="BJ317" s="302">
        <f t="shared" si="245"/>
        <v>112014357</v>
      </c>
      <c r="BK317" s="374">
        <v>17</v>
      </c>
      <c r="BL317" s="359" t="s">
        <v>1322</v>
      </c>
      <c r="BM317" s="361">
        <v>40958.639999999999</v>
      </c>
      <c r="BN317" s="361">
        <v>0</v>
      </c>
      <c r="BO317" s="361">
        <v>40958.639999999999</v>
      </c>
      <c r="BP317" s="361">
        <v>0</v>
      </c>
      <c r="BQ317" s="361">
        <v>0</v>
      </c>
      <c r="BR317" s="361">
        <v>0</v>
      </c>
      <c r="BS317" s="361"/>
      <c r="BT317" s="361"/>
      <c r="BU317" s="361"/>
      <c r="BV317" s="361"/>
      <c r="BW317" s="361"/>
      <c r="BX317" s="361"/>
      <c r="BY317" s="361"/>
      <c r="BZ317" s="361"/>
      <c r="CA317" s="378"/>
    </row>
    <row r="318" spans="2:79" ht="13">
      <c r="B318" s="294"/>
      <c r="K318" s="296"/>
      <c r="AB318" s="188"/>
      <c r="AC318" s="188"/>
      <c r="AD318" s="188"/>
      <c r="AE318" s="188"/>
      <c r="AF318" s="188"/>
      <c r="AG318" s="188"/>
      <c r="AH318" s="299"/>
      <c r="BJ318" s="302">
        <f t="shared" si="245"/>
        <v>112010568</v>
      </c>
      <c r="BK318" s="374">
        <v>18</v>
      </c>
      <c r="BL318" s="359" t="s">
        <v>1023</v>
      </c>
      <c r="BM318" s="361">
        <v>34132.199999999997</v>
      </c>
      <c r="BN318" s="361">
        <v>34132.199999999997</v>
      </c>
      <c r="BO318" s="361">
        <v>0</v>
      </c>
      <c r="BP318" s="361">
        <v>0</v>
      </c>
      <c r="BQ318" s="361">
        <v>0</v>
      </c>
      <c r="BR318" s="361">
        <v>0</v>
      </c>
      <c r="BS318" s="361"/>
      <c r="BT318" s="361"/>
      <c r="BU318" s="361"/>
      <c r="BV318" s="361"/>
      <c r="BW318" s="361"/>
      <c r="BX318" s="361"/>
      <c r="BY318" s="361"/>
      <c r="BZ318" s="361"/>
      <c r="CA318" s="378"/>
    </row>
    <row r="319" spans="2:79" ht="13">
      <c r="B319" s="294"/>
      <c r="K319" s="296"/>
      <c r="AB319" s="188"/>
      <c r="AC319" s="188"/>
      <c r="AD319" s="188"/>
      <c r="AE319" s="188"/>
      <c r="AF319" s="188"/>
      <c r="AG319" s="188"/>
      <c r="AH319" s="299"/>
      <c r="BJ319" s="302">
        <f t="shared" si="245"/>
        <v>112013714</v>
      </c>
      <c r="BK319" s="374">
        <v>19</v>
      </c>
      <c r="BL319" s="359" t="s">
        <v>1529</v>
      </c>
      <c r="BM319" s="361">
        <v>27224.9</v>
      </c>
      <c r="BN319" s="361">
        <v>0</v>
      </c>
      <c r="BO319" s="361">
        <v>0</v>
      </c>
      <c r="BP319" s="361">
        <v>0</v>
      </c>
      <c r="BQ319" s="361">
        <v>27224.9</v>
      </c>
      <c r="BR319" s="361">
        <v>0</v>
      </c>
      <c r="BS319" s="361"/>
      <c r="BT319" s="361"/>
      <c r="BU319" s="361"/>
      <c r="BV319" s="361"/>
      <c r="BW319" s="361"/>
      <c r="BX319" s="361"/>
      <c r="BY319" s="361"/>
      <c r="BZ319" s="361"/>
      <c r="CA319" s="378"/>
    </row>
    <row r="320" spans="2:79" ht="13">
      <c r="B320" s="294"/>
      <c r="K320" s="296"/>
      <c r="AB320" s="188"/>
      <c r="AC320" s="188"/>
      <c r="AD320" s="188"/>
      <c r="AE320" s="188"/>
      <c r="AF320" s="188"/>
      <c r="AG320" s="188"/>
      <c r="AH320" s="299"/>
      <c r="BJ320" s="302">
        <f t="shared" si="245"/>
        <v>112014387</v>
      </c>
      <c r="BK320" s="374">
        <v>20</v>
      </c>
      <c r="BL320" s="359" t="s">
        <v>1310</v>
      </c>
      <c r="BM320" s="361">
        <v>19165.259999999998</v>
      </c>
      <c r="BN320" s="361">
        <v>19165.259999999998</v>
      </c>
      <c r="BO320" s="361">
        <v>0</v>
      </c>
      <c r="BP320" s="361">
        <v>0</v>
      </c>
      <c r="BQ320" s="361">
        <v>0</v>
      </c>
      <c r="BR320" s="361">
        <v>0</v>
      </c>
      <c r="BS320" s="361"/>
      <c r="BT320" s="361"/>
      <c r="BU320" s="361"/>
      <c r="BV320" s="361"/>
      <c r="BW320" s="361"/>
      <c r="BX320" s="361"/>
      <c r="BY320" s="361"/>
      <c r="BZ320" s="361"/>
      <c r="CA320" s="378"/>
    </row>
    <row r="321" spans="2:79" ht="13">
      <c r="B321" s="294"/>
      <c r="K321" s="296"/>
      <c r="AB321" s="188"/>
      <c r="AC321" s="188"/>
      <c r="AD321" s="188"/>
      <c r="AE321" s="188"/>
      <c r="AF321" s="188"/>
      <c r="AG321" s="188"/>
      <c r="AH321" s="299"/>
      <c r="BJ321" s="302">
        <f t="shared" si="245"/>
        <v>112013551</v>
      </c>
      <c r="BK321" s="374">
        <v>21</v>
      </c>
      <c r="BL321" s="359" t="s">
        <v>1063</v>
      </c>
      <c r="BM321" s="361">
        <v>9582.6299999999992</v>
      </c>
      <c r="BN321" s="361">
        <v>0</v>
      </c>
      <c r="BO321" s="361">
        <v>0</v>
      </c>
      <c r="BP321" s="361">
        <v>0</v>
      </c>
      <c r="BQ321" s="361">
        <v>0</v>
      </c>
      <c r="BR321" s="361">
        <v>9582.6299999999992</v>
      </c>
      <c r="BS321" s="361"/>
      <c r="BT321" s="361"/>
      <c r="BU321" s="361"/>
      <c r="BV321" s="361"/>
      <c r="BW321" s="361"/>
      <c r="BX321" s="361"/>
      <c r="BY321" s="361"/>
      <c r="BZ321" s="361"/>
      <c r="CA321" s="378"/>
    </row>
    <row r="322" spans="2:79" ht="13">
      <c r="B322" s="294"/>
      <c r="K322" s="296"/>
      <c r="AB322" s="188"/>
      <c r="AC322" s="188"/>
      <c r="AD322" s="188"/>
      <c r="AE322" s="188"/>
      <c r="AF322" s="188"/>
      <c r="AG322" s="188"/>
      <c r="AH322" s="299"/>
      <c r="BJ322" s="302">
        <f t="shared" si="245"/>
        <v>112013542</v>
      </c>
      <c r="BK322" s="374">
        <v>22</v>
      </c>
      <c r="BL322" s="359" t="s">
        <v>1027</v>
      </c>
      <c r="BM322" s="361">
        <v>9582.6299999999992</v>
      </c>
      <c r="BN322" s="361">
        <v>9582.6299999999992</v>
      </c>
      <c r="BO322" s="361">
        <v>0</v>
      </c>
      <c r="BP322" s="361">
        <v>0</v>
      </c>
      <c r="BQ322" s="361">
        <v>0</v>
      </c>
      <c r="BR322" s="361">
        <v>0</v>
      </c>
      <c r="BS322" s="361"/>
      <c r="BT322" s="361"/>
      <c r="BU322" s="361"/>
      <c r="BV322" s="361"/>
      <c r="BW322" s="361"/>
      <c r="BX322" s="361"/>
      <c r="BY322" s="361"/>
      <c r="BZ322" s="361"/>
      <c r="CA322" s="378"/>
    </row>
    <row r="323" spans="2:79" ht="13">
      <c r="B323" s="294"/>
      <c r="K323" s="296"/>
      <c r="AB323" s="188"/>
      <c r="AC323" s="188"/>
      <c r="AD323" s="188"/>
      <c r="AE323" s="188"/>
      <c r="AF323" s="188"/>
      <c r="AG323" s="188"/>
      <c r="AH323" s="299"/>
      <c r="BJ323" s="302">
        <f t="shared" si="245"/>
        <v>112013469</v>
      </c>
      <c r="BK323" s="374">
        <v>23</v>
      </c>
      <c r="BL323" s="359" t="s">
        <v>1024</v>
      </c>
      <c r="BM323" s="361">
        <v>6600</v>
      </c>
      <c r="BN323" s="361">
        <v>6600</v>
      </c>
      <c r="BO323" s="361">
        <v>0</v>
      </c>
      <c r="BP323" s="361">
        <v>0</v>
      </c>
      <c r="BQ323" s="361">
        <v>0</v>
      </c>
      <c r="BR323" s="361">
        <v>0</v>
      </c>
      <c r="BS323" s="361"/>
      <c r="BT323" s="361"/>
      <c r="BU323" s="361"/>
      <c r="BV323" s="361"/>
      <c r="BW323" s="361"/>
      <c r="BX323" s="361"/>
      <c r="BY323" s="361"/>
      <c r="BZ323" s="361"/>
      <c r="CA323" s="378"/>
    </row>
    <row r="324" spans="2:79" ht="13">
      <c r="B324" s="294"/>
      <c r="K324" s="296"/>
      <c r="AB324" s="188"/>
      <c r="AC324" s="188"/>
      <c r="AD324" s="188"/>
      <c r="AE324" s="188"/>
      <c r="AF324" s="188"/>
      <c r="AG324" s="188"/>
      <c r="AH324" s="299"/>
      <c r="BK324" s="374">
        <v>24</v>
      </c>
      <c r="BL324" s="359"/>
      <c r="BM324" s="361"/>
      <c r="BN324" s="361"/>
      <c r="BO324" s="361"/>
      <c r="BP324" s="361"/>
      <c r="BQ324" s="361"/>
      <c r="BR324" s="361"/>
      <c r="BS324" s="361"/>
      <c r="BT324" s="361"/>
      <c r="BU324" s="361"/>
      <c r="BV324" s="361"/>
      <c r="BW324" s="361"/>
      <c r="BX324" s="361"/>
      <c r="BY324" s="361"/>
      <c r="BZ324" s="361"/>
      <c r="CA324" s="378"/>
    </row>
    <row r="325" spans="2:79" ht="13">
      <c r="B325" s="294"/>
      <c r="K325" s="296"/>
      <c r="AB325" s="188"/>
      <c r="AC325" s="188"/>
      <c r="AD325" s="188"/>
      <c r="AE325" s="188"/>
      <c r="AF325" s="188"/>
      <c r="AG325" s="188"/>
      <c r="AH325" s="299"/>
      <c r="BK325" s="374">
        <v>25</v>
      </c>
      <c r="BL325" s="359"/>
      <c r="BM325" s="361"/>
      <c r="BN325" s="361"/>
      <c r="BO325" s="361"/>
      <c r="BP325" s="365"/>
      <c r="BQ325" s="365"/>
      <c r="BR325" s="365"/>
      <c r="BS325" s="365"/>
      <c r="BT325" s="365"/>
      <c r="BU325" s="365"/>
      <c r="BV325" s="365"/>
      <c r="BW325" s="365"/>
      <c r="BX325" s="365"/>
      <c r="BY325" s="365"/>
      <c r="BZ325" s="365"/>
      <c r="CA325" s="379"/>
    </row>
    <row r="326" spans="2:79" ht="13">
      <c r="B326" s="294"/>
      <c r="K326" s="296"/>
      <c r="AB326" s="188"/>
      <c r="AC326" s="188"/>
      <c r="AD326" s="188"/>
      <c r="AE326" s="188"/>
      <c r="AF326" s="188"/>
      <c r="AG326" s="188"/>
      <c r="AH326" s="299"/>
      <c r="BK326" s="374">
        <v>26</v>
      </c>
      <c r="BL326" s="359"/>
      <c r="BM326" s="361"/>
      <c r="BN326" s="361"/>
      <c r="BO326" s="361"/>
      <c r="BP326" s="361"/>
      <c r="BQ326" s="361"/>
      <c r="BR326" s="361"/>
      <c r="BS326" s="361"/>
      <c r="BT326" s="361"/>
      <c r="BU326" s="361"/>
      <c r="BV326" s="361"/>
      <c r="BW326" s="361"/>
      <c r="BX326" s="361"/>
      <c r="BY326" s="361"/>
      <c r="BZ326" s="361"/>
      <c r="CA326" s="378"/>
    </row>
    <row r="327" spans="2:79" ht="13">
      <c r="B327" s="294"/>
      <c r="K327" s="296"/>
      <c r="AB327" s="188"/>
      <c r="AC327" s="188"/>
      <c r="AD327" s="188"/>
      <c r="AE327" s="188"/>
      <c r="AF327" s="188"/>
      <c r="AG327" s="188"/>
      <c r="AH327" s="299"/>
      <c r="BK327" s="374">
        <v>27</v>
      </c>
      <c r="BL327" s="359"/>
      <c r="BM327" s="361"/>
      <c r="BN327" s="361"/>
      <c r="BO327" s="361"/>
      <c r="BP327" s="361"/>
      <c r="BQ327" s="361"/>
      <c r="BR327" s="361"/>
      <c r="BS327" s="361"/>
      <c r="BT327" s="361"/>
      <c r="BU327" s="361"/>
      <c r="BV327" s="361"/>
      <c r="BW327" s="361"/>
      <c r="BX327" s="361"/>
      <c r="BY327" s="361"/>
      <c r="BZ327" s="361"/>
      <c r="CA327" s="378"/>
    </row>
    <row r="328" spans="2:79" ht="13">
      <c r="B328" s="294"/>
      <c r="K328" s="296"/>
      <c r="AB328" s="188"/>
      <c r="AC328" s="188"/>
      <c r="AD328" s="188"/>
      <c r="AE328" s="188"/>
      <c r="AF328" s="188"/>
      <c r="AG328" s="188"/>
      <c r="AH328" s="299"/>
      <c r="BK328" s="374">
        <v>28</v>
      </c>
      <c r="BL328" s="359"/>
      <c r="BM328" s="361"/>
      <c r="BN328" s="361"/>
      <c r="BO328" s="361"/>
      <c r="BP328" s="361"/>
      <c r="BQ328" s="361"/>
      <c r="BR328" s="361"/>
      <c r="BS328" s="361"/>
      <c r="BT328" s="361"/>
      <c r="BU328" s="361"/>
      <c r="BV328" s="361"/>
      <c r="BW328" s="361"/>
      <c r="BX328" s="361"/>
      <c r="BY328" s="361"/>
      <c r="BZ328" s="361"/>
      <c r="CA328" s="378"/>
    </row>
    <row r="329" spans="2:79" ht="13">
      <c r="B329" s="294"/>
      <c r="K329" s="296"/>
      <c r="AB329" s="188"/>
      <c r="AC329" s="188"/>
      <c r="AD329" s="188"/>
      <c r="AE329" s="188"/>
      <c r="AF329" s="188"/>
      <c r="AG329" s="188"/>
      <c r="AH329" s="299"/>
      <c r="BK329" s="374">
        <v>29</v>
      </c>
      <c r="BL329" s="359"/>
      <c r="BM329" s="361"/>
      <c r="BN329" s="361"/>
      <c r="BO329" s="361"/>
      <c r="BP329" s="365"/>
      <c r="BQ329" s="365"/>
      <c r="BR329" s="365"/>
      <c r="BS329" s="365"/>
      <c r="BT329" s="365"/>
      <c r="BU329" s="365"/>
      <c r="BV329" s="365"/>
      <c r="BW329" s="365"/>
      <c r="BX329" s="365"/>
      <c r="BY329" s="365"/>
      <c r="BZ329" s="365"/>
      <c r="CA329" s="379"/>
    </row>
    <row r="330" spans="2:79" ht="13">
      <c r="B330" s="294"/>
      <c r="K330" s="296"/>
      <c r="AB330" s="188"/>
      <c r="AC330" s="188"/>
      <c r="AD330" s="188"/>
      <c r="AE330" s="188"/>
      <c r="AF330" s="188"/>
      <c r="AG330" s="188"/>
      <c r="AH330" s="299"/>
      <c r="BK330" s="374">
        <v>30</v>
      </c>
      <c r="BL330" s="359"/>
      <c r="BM330" s="361"/>
      <c r="BN330" s="361"/>
      <c r="BO330" s="361"/>
      <c r="BP330" s="361"/>
      <c r="BQ330" s="361"/>
      <c r="BR330" s="361"/>
      <c r="BS330" s="361"/>
      <c r="BT330" s="361"/>
      <c r="BU330" s="361"/>
      <c r="BV330" s="361"/>
      <c r="BW330" s="361"/>
      <c r="BX330" s="361"/>
      <c r="BY330" s="361"/>
      <c r="BZ330" s="361"/>
      <c r="CA330" s="378"/>
    </row>
    <row r="331" spans="2:79" ht="13">
      <c r="B331" s="294"/>
      <c r="K331" s="296"/>
      <c r="AB331" s="188"/>
      <c r="AC331" s="188"/>
      <c r="AD331" s="188"/>
      <c r="AE331" s="188"/>
      <c r="AF331" s="188"/>
      <c r="AG331" s="188"/>
      <c r="AH331" s="299"/>
      <c r="BK331" s="374">
        <v>31</v>
      </c>
      <c r="BL331" s="359"/>
      <c r="BM331" s="361"/>
      <c r="BN331" s="361"/>
      <c r="BO331" s="361"/>
      <c r="BP331" s="361"/>
      <c r="BQ331" s="361"/>
      <c r="BR331" s="361"/>
      <c r="BS331" s="361"/>
      <c r="BT331" s="361"/>
      <c r="BU331" s="361"/>
      <c r="BV331" s="361"/>
      <c r="BW331" s="361"/>
      <c r="BX331" s="361"/>
      <c r="BY331" s="361"/>
      <c r="BZ331" s="361"/>
      <c r="CA331" s="378"/>
    </row>
    <row r="332" spans="2:79" ht="13">
      <c r="B332" s="294"/>
      <c r="K332" s="296"/>
      <c r="AB332" s="188"/>
      <c r="AC332" s="188"/>
      <c r="AD332" s="188"/>
      <c r="AE332" s="188"/>
      <c r="AF332" s="188"/>
      <c r="AG332" s="188"/>
      <c r="AH332" s="299"/>
      <c r="BK332" s="374">
        <v>32</v>
      </c>
      <c r="BL332" s="359"/>
      <c r="BM332" s="361"/>
      <c r="BN332" s="361"/>
      <c r="BO332" s="361"/>
      <c r="BP332" s="361"/>
      <c r="BQ332" s="361"/>
      <c r="BR332" s="361"/>
      <c r="BS332" s="361"/>
      <c r="BT332" s="361"/>
      <c r="BU332" s="361"/>
      <c r="BV332" s="361"/>
      <c r="BW332" s="361"/>
      <c r="BX332" s="361"/>
      <c r="BY332" s="361"/>
      <c r="BZ332" s="361"/>
      <c r="CA332" s="378"/>
    </row>
    <row r="333" spans="2:79" ht="13">
      <c r="B333" s="294"/>
      <c r="K333" s="296"/>
      <c r="AB333" s="188"/>
      <c r="AC333" s="188"/>
      <c r="AD333" s="188"/>
      <c r="AE333" s="188"/>
      <c r="AF333" s="188"/>
      <c r="AG333" s="188"/>
      <c r="AH333" s="299"/>
      <c r="BK333" s="374">
        <v>33</v>
      </c>
      <c r="BL333" s="359"/>
      <c r="BM333" s="361"/>
      <c r="BN333" s="361"/>
      <c r="BO333" s="361"/>
      <c r="BP333" s="365"/>
      <c r="BQ333" s="365"/>
      <c r="BR333" s="365"/>
      <c r="BS333" s="365"/>
      <c r="BT333" s="365"/>
      <c r="BU333" s="365"/>
      <c r="BV333" s="365"/>
      <c r="BW333" s="365"/>
      <c r="BX333" s="365"/>
      <c r="BY333" s="365"/>
      <c r="BZ333" s="365"/>
      <c r="CA333" s="379"/>
    </row>
    <row r="334" spans="2:79" ht="13">
      <c r="B334" s="294"/>
      <c r="K334" s="296"/>
      <c r="AB334" s="188"/>
      <c r="AC334" s="188"/>
      <c r="AD334" s="188"/>
      <c r="AE334" s="188"/>
      <c r="AF334" s="188"/>
      <c r="AG334" s="188"/>
      <c r="AH334" s="299"/>
      <c r="BK334" s="374">
        <v>34</v>
      </c>
      <c r="BL334" s="359"/>
      <c r="BM334" s="361"/>
      <c r="BN334" s="361"/>
      <c r="BO334" s="361"/>
      <c r="BP334" s="361"/>
      <c r="BQ334" s="361"/>
      <c r="BR334" s="361"/>
      <c r="BS334" s="361"/>
      <c r="BT334" s="361"/>
      <c r="BU334" s="361"/>
      <c r="BV334" s="361"/>
      <c r="BW334" s="361"/>
      <c r="BX334" s="361"/>
      <c r="BY334" s="361"/>
      <c r="BZ334" s="361"/>
      <c r="CA334" s="378"/>
    </row>
    <row r="335" spans="2:79" ht="13">
      <c r="B335" s="294"/>
      <c r="K335" s="296"/>
      <c r="AB335" s="188"/>
      <c r="AC335" s="188"/>
      <c r="AD335" s="188"/>
      <c r="AE335" s="188"/>
      <c r="AF335" s="188"/>
      <c r="AG335" s="188"/>
      <c r="AH335" s="299"/>
      <c r="BK335" s="374">
        <v>35</v>
      </c>
      <c r="BL335" s="359"/>
      <c r="BM335" s="361"/>
      <c r="BN335" s="361"/>
      <c r="BO335" s="361"/>
      <c r="BP335" s="361"/>
      <c r="BQ335" s="361"/>
      <c r="BR335" s="361"/>
      <c r="BS335" s="361"/>
      <c r="BT335" s="361"/>
      <c r="BU335" s="361"/>
      <c r="BV335" s="361"/>
      <c r="BW335" s="361"/>
      <c r="BX335" s="361"/>
      <c r="BY335" s="361"/>
      <c r="BZ335" s="361"/>
      <c r="CA335" s="378"/>
    </row>
    <row r="336" spans="2:79" ht="13">
      <c r="B336" s="294"/>
      <c r="K336" s="296"/>
      <c r="AB336" s="188"/>
      <c r="AC336" s="188"/>
      <c r="AD336" s="188"/>
      <c r="AE336" s="188"/>
      <c r="AF336" s="188"/>
      <c r="AG336" s="188"/>
      <c r="AH336" s="299"/>
      <c r="BK336" s="374">
        <v>36</v>
      </c>
      <c r="BL336" s="359"/>
      <c r="BM336" s="361"/>
      <c r="BN336" s="361"/>
      <c r="BO336" s="361"/>
      <c r="BP336" s="361"/>
      <c r="BQ336" s="361"/>
      <c r="BR336" s="361"/>
      <c r="BS336" s="361"/>
      <c r="BT336" s="361"/>
      <c r="BU336" s="361"/>
      <c r="BV336" s="361"/>
      <c r="BW336" s="361"/>
      <c r="BX336" s="361"/>
      <c r="BY336" s="361"/>
      <c r="BZ336" s="361"/>
      <c r="CA336" s="378"/>
    </row>
    <row r="337" spans="2:79" ht="13">
      <c r="B337" s="294"/>
      <c r="K337" s="296"/>
      <c r="AB337" s="188"/>
      <c r="AC337" s="188"/>
      <c r="AD337" s="188"/>
      <c r="AE337" s="188"/>
      <c r="AF337" s="188"/>
      <c r="AG337" s="188"/>
      <c r="AH337" s="299"/>
      <c r="BK337" s="374">
        <v>37</v>
      </c>
      <c r="BL337" s="359"/>
      <c r="BM337" s="361"/>
      <c r="BN337" s="361"/>
      <c r="BO337" s="361"/>
      <c r="BP337" s="361"/>
      <c r="BQ337" s="361"/>
      <c r="BR337" s="361"/>
      <c r="BS337" s="361"/>
      <c r="BT337" s="361"/>
      <c r="BU337" s="361"/>
      <c r="BV337" s="361"/>
      <c r="BW337" s="361"/>
      <c r="BX337" s="361"/>
      <c r="BY337" s="361"/>
      <c r="BZ337" s="361"/>
      <c r="CA337" s="378"/>
    </row>
    <row r="338" spans="2:79" ht="13">
      <c r="B338" s="294"/>
      <c r="K338" s="296"/>
      <c r="AB338" s="188"/>
      <c r="AC338" s="188"/>
      <c r="AD338" s="188"/>
      <c r="AE338" s="188"/>
      <c r="AF338" s="188"/>
      <c r="AG338" s="188"/>
      <c r="AH338" s="299"/>
      <c r="BK338" s="374">
        <v>38</v>
      </c>
      <c r="BL338" s="359"/>
      <c r="BM338" s="361"/>
      <c r="BN338" s="361"/>
      <c r="BO338" s="361"/>
      <c r="BP338" s="361"/>
      <c r="BQ338" s="361"/>
      <c r="BR338" s="361"/>
      <c r="BS338" s="361"/>
      <c r="BT338" s="361"/>
      <c r="BU338" s="361"/>
      <c r="BV338" s="361"/>
      <c r="BW338" s="361"/>
      <c r="BX338" s="361"/>
      <c r="BY338" s="361"/>
      <c r="BZ338" s="361"/>
      <c r="CA338" s="378"/>
    </row>
    <row r="339" spans="2:79" ht="13">
      <c r="B339" s="294"/>
      <c r="K339" s="296"/>
      <c r="AB339" s="188"/>
      <c r="AC339" s="188"/>
      <c r="AD339" s="188"/>
      <c r="AE339" s="188"/>
      <c r="AF339" s="188"/>
      <c r="AG339" s="188"/>
      <c r="AH339" s="299"/>
      <c r="BK339" s="374">
        <v>39</v>
      </c>
      <c r="BL339" s="359"/>
      <c r="BM339" s="361"/>
      <c r="BN339" s="361"/>
      <c r="BO339" s="361"/>
      <c r="BP339" s="361"/>
      <c r="BQ339" s="361"/>
      <c r="BR339" s="361"/>
      <c r="BS339" s="361"/>
      <c r="BT339" s="361"/>
      <c r="BU339" s="361"/>
      <c r="BV339" s="361"/>
      <c r="BW339" s="361"/>
      <c r="BX339" s="361"/>
      <c r="BY339" s="361"/>
      <c r="BZ339" s="361"/>
      <c r="CA339" s="378"/>
    </row>
    <row r="340" spans="2:79" ht="13">
      <c r="B340" s="294"/>
      <c r="K340" s="296"/>
      <c r="AB340" s="188"/>
      <c r="AC340" s="188"/>
      <c r="AD340" s="188"/>
      <c r="AE340" s="188"/>
      <c r="AF340" s="188"/>
      <c r="AG340" s="188"/>
      <c r="AH340" s="299"/>
      <c r="BK340" s="374">
        <v>40</v>
      </c>
      <c r="BL340" s="359"/>
      <c r="BM340" s="361"/>
      <c r="BN340" s="361"/>
      <c r="BO340" s="361"/>
      <c r="BP340" s="361"/>
      <c r="BQ340" s="361"/>
      <c r="BR340" s="361"/>
      <c r="BS340" s="361"/>
      <c r="BT340" s="361"/>
      <c r="BU340" s="361"/>
      <c r="BV340" s="361"/>
      <c r="BW340" s="361"/>
      <c r="BX340" s="361"/>
      <c r="BY340" s="361"/>
      <c r="BZ340" s="361"/>
      <c r="CA340" s="378"/>
    </row>
    <row r="341" spans="2:79" ht="13">
      <c r="B341" s="294"/>
      <c r="K341" s="296"/>
      <c r="AB341" s="188"/>
      <c r="AC341" s="188"/>
      <c r="AD341" s="188"/>
      <c r="AE341" s="188"/>
      <c r="AF341" s="188"/>
      <c r="AG341" s="188"/>
      <c r="AH341" s="299"/>
      <c r="BK341" s="374">
        <v>41</v>
      </c>
      <c r="BL341" s="359"/>
      <c r="BM341" s="361"/>
      <c r="BN341" s="361"/>
      <c r="BO341" s="361"/>
      <c r="BP341" s="361"/>
      <c r="BQ341" s="361"/>
      <c r="BR341" s="361"/>
      <c r="BS341" s="361"/>
      <c r="BT341" s="361"/>
      <c r="BU341" s="361"/>
      <c r="BV341" s="361"/>
      <c r="BW341" s="361"/>
      <c r="BX341" s="361"/>
      <c r="BY341" s="361"/>
      <c r="BZ341" s="361"/>
      <c r="CA341" s="378"/>
    </row>
    <row r="342" spans="2:79" ht="13">
      <c r="B342" s="294"/>
      <c r="K342" s="296"/>
      <c r="AB342" s="188"/>
      <c r="AC342" s="188"/>
      <c r="AD342" s="188"/>
      <c r="AE342" s="188"/>
      <c r="AF342" s="188"/>
      <c r="AG342" s="188"/>
      <c r="AH342" s="299"/>
      <c r="BK342" s="374">
        <v>42</v>
      </c>
      <c r="BL342" s="359"/>
      <c r="BM342" s="361"/>
      <c r="BN342" s="361"/>
      <c r="BO342" s="361"/>
      <c r="BP342" s="361"/>
      <c r="BQ342" s="361"/>
      <c r="BR342" s="361"/>
      <c r="BS342" s="361"/>
      <c r="BT342" s="361"/>
      <c r="BU342" s="361"/>
      <c r="BV342" s="361"/>
      <c r="BW342" s="361"/>
      <c r="BX342" s="361"/>
      <c r="BY342" s="361"/>
      <c r="BZ342" s="361"/>
      <c r="CA342" s="378"/>
    </row>
    <row r="343" spans="2:79" ht="13">
      <c r="B343" s="294"/>
      <c r="K343" s="296"/>
      <c r="AB343" s="188"/>
      <c r="AC343" s="188"/>
      <c r="AD343" s="188"/>
      <c r="AE343" s="188"/>
      <c r="AF343" s="188"/>
      <c r="AG343" s="188"/>
      <c r="AH343" s="299"/>
      <c r="BK343" s="374">
        <v>43</v>
      </c>
      <c r="BL343" s="359"/>
      <c r="BM343" s="361"/>
      <c r="BN343" s="361"/>
      <c r="BO343" s="361"/>
      <c r="BP343" s="365"/>
      <c r="BQ343" s="365"/>
      <c r="BR343" s="365"/>
      <c r="BS343" s="365"/>
      <c r="BT343" s="365"/>
      <c r="BU343" s="365"/>
      <c r="BV343" s="365"/>
      <c r="BW343" s="365"/>
      <c r="BX343" s="365"/>
      <c r="BY343" s="365"/>
      <c r="BZ343" s="365"/>
      <c r="CA343" s="379"/>
    </row>
    <row r="344" spans="2:79" ht="13">
      <c r="B344" s="294"/>
      <c r="K344" s="296"/>
      <c r="AB344" s="188"/>
      <c r="AC344" s="188"/>
      <c r="AD344" s="188"/>
      <c r="AE344" s="188"/>
      <c r="AF344" s="188"/>
      <c r="AG344" s="188"/>
      <c r="AH344" s="299"/>
      <c r="BK344" s="374">
        <v>44</v>
      </c>
      <c r="BL344" s="359"/>
      <c r="BM344" s="361"/>
      <c r="BN344" s="361"/>
      <c r="BO344" s="361"/>
      <c r="BP344" s="361"/>
      <c r="BQ344" s="361"/>
      <c r="BR344" s="361"/>
      <c r="BS344" s="361"/>
      <c r="BT344" s="361"/>
      <c r="BU344" s="361"/>
      <c r="BV344" s="361"/>
      <c r="BW344" s="361"/>
      <c r="BX344" s="361"/>
      <c r="BY344" s="361"/>
      <c r="BZ344" s="361"/>
      <c r="CA344" s="378"/>
    </row>
    <row r="345" spans="2:79" ht="13">
      <c r="B345" s="294"/>
      <c r="K345" s="296"/>
      <c r="AB345" s="188"/>
      <c r="AC345" s="188"/>
      <c r="AD345" s="188"/>
      <c r="AE345" s="188"/>
      <c r="AF345" s="188"/>
      <c r="AG345" s="188"/>
      <c r="AH345" s="299"/>
      <c r="BK345" s="374">
        <v>45</v>
      </c>
      <c r="BL345" s="359"/>
      <c r="BM345" s="361"/>
      <c r="BN345" s="361"/>
      <c r="BO345" s="361"/>
      <c r="BP345" s="365"/>
      <c r="BQ345" s="365"/>
      <c r="BR345" s="365"/>
      <c r="BS345" s="365"/>
      <c r="BT345" s="365"/>
      <c r="BU345" s="365"/>
      <c r="BV345" s="365"/>
      <c r="BW345" s="365"/>
      <c r="BX345" s="365"/>
      <c r="BY345" s="365"/>
      <c r="BZ345" s="365"/>
      <c r="CA345" s="379"/>
    </row>
    <row r="346" spans="2:79" ht="13">
      <c r="B346" s="294"/>
      <c r="K346" s="296"/>
      <c r="AB346" s="188"/>
      <c r="AC346" s="188"/>
      <c r="AD346" s="188"/>
      <c r="AE346" s="188"/>
      <c r="AF346" s="188"/>
      <c r="AG346" s="188"/>
      <c r="AH346" s="299"/>
      <c r="BK346" s="374">
        <v>46</v>
      </c>
      <c r="BL346" s="359"/>
      <c r="BM346" s="361"/>
      <c r="BN346" s="361"/>
      <c r="BO346" s="361"/>
      <c r="BP346" s="361"/>
      <c r="BQ346" s="361"/>
      <c r="BR346" s="361"/>
      <c r="BS346" s="361"/>
      <c r="BT346" s="361"/>
      <c r="BU346" s="361"/>
      <c r="BV346" s="361"/>
      <c r="BW346" s="361"/>
      <c r="BX346" s="361"/>
      <c r="BY346" s="361"/>
      <c r="BZ346" s="361"/>
      <c r="CA346" s="378"/>
    </row>
    <row r="347" spans="2:79" ht="13">
      <c r="B347" s="294"/>
      <c r="K347" s="296"/>
      <c r="AB347" s="188"/>
      <c r="AC347" s="188"/>
      <c r="AD347" s="188"/>
      <c r="AE347" s="188"/>
      <c r="AF347" s="188"/>
      <c r="AG347" s="188"/>
      <c r="AH347" s="299"/>
      <c r="BK347" s="374">
        <v>47</v>
      </c>
      <c r="BL347" s="359"/>
      <c r="BM347" s="361"/>
      <c r="BN347" s="361"/>
      <c r="BO347" s="361"/>
      <c r="BP347" s="361"/>
      <c r="BQ347" s="361"/>
      <c r="BR347" s="361"/>
      <c r="BS347" s="361"/>
      <c r="BT347" s="361"/>
      <c r="BU347" s="361"/>
      <c r="BV347" s="361"/>
      <c r="BW347" s="361"/>
      <c r="BX347" s="361"/>
      <c r="BY347" s="361"/>
      <c r="BZ347" s="361"/>
      <c r="CA347" s="378"/>
    </row>
    <row r="348" spans="2:79" ht="13">
      <c r="B348" s="294"/>
      <c r="K348" s="296"/>
      <c r="AB348" s="188"/>
      <c r="AC348" s="188"/>
      <c r="AD348" s="188"/>
      <c r="AE348" s="188"/>
      <c r="AF348" s="188"/>
      <c r="AG348" s="188"/>
      <c r="AH348" s="299"/>
      <c r="BK348" s="374">
        <v>48</v>
      </c>
      <c r="BL348" s="359"/>
      <c r="BM348" s="361"/>
      <c r="BN348" s="361"/>
      <c r="BO348" s="361"/>
      <c r="BP348" s="361"/>
      <c r="BQ348" s="361"/>
      <c r="BR348" s="361"/>
      <c r="BS348" s="361"/>
      <c r="BT348" s="361"/>
      <c r="BU348" s="361"/>
      <c r="BV348" s="361"/>
      <c r="BW348" s="361"/>
      <c r="BX348" s="361"/>
      <c r="BY348" s="361"/>
      <c r="BZ348" s="361"/>
      <c r="CA348" s="378"/>
    </row>
    <row r="349" spans="2:79" ht="13">
      <c r="B349" s="294"/>
      <c r="K349" s="296"/>
      <c r="AB349" s="188"/>
      <c r="AC349" s="188"/>
      <c r="AD349" s="188"/>
      <c r="AE349" s="188"/>
      <c r="AF349" s="188"/>
      <c r="AG349" s="188"/>
      <c r="AH349" s="299"/>
      <c r="BK349" s="374">
        <v>49</v>
      </c>
      <c r="BL349" s="359"/>
      <c r="BM349" s="361"/>
      <c r="BN349" s="361"/>
      <c r="BO349" s="361"/>
      <c r="BP349" s="361"/>
      <c r="BQ349" s="361"/>
      <c r="BR349" s="361"/>
      <c r="BS349" s="361"/>
      <c r="BT349" s="361"/>
      <c r="BU349" s="361"/>
      <c r="BV349" s="361"/>
      <c r="BW349" s="361"/>
      <c r="BX349" s="361"/>
      <c r="BY349" s="361"/>
      <c r="BZ349" s="361"/>
      <c r="CA349" s="378"/>
    </row>
    <row r="350" spans="2:79" ht="13">
      <c r="B350" s="294"/>
      <c r="K350" s="296"/>
      <c r="AB350" s="188"/>
      <c r="AC350" s="188"/>
      <c r="AD350" s="188"/>
      <c r="AE350" s="188"/>
      <c r="AF350" s="188"/>
      <c r="AG350" s="188"/>
      <c r="AH350" s="299"/>
      <c r="BK350" s="374">
        <v>50</v>
      </c>
      <c r="BL350" s="359"/>
      <c r="BM350" s="361"/>
      <c r="BN350" s="361"/>
      <c r="BO350" s="361"/>
      <c r="BP350" s="361"/>
      <c r="BQ350" s="361"/>
      <c r="BR350" s="361"/>
      <c r="BS350" s="361"/>
      <c r="BT350" s="361"/>
      <c r="BU350" s="361"/>
      <c r="BV350" s="361"/>
      <c r="BW350" s="361"/>
      <c r="BX350" s="361"/>
      <c r="BY350" s="361"/>
      <c r="BZ350" s="361"/>
      <c r="CA350" s="378"/>
    </row>
    <row r="351" spans="2:79" ht="13">
      <c r="B351" s="294"/>
      <c r="K351" s="296"/>
      <c r="AB351" s="188"/>
      <c r="AC351" s="188"/>
      <c r="AD351" s="188"/>
      <c r="AE351" s="188"/>
      <c r="AF351" s="188"/>
      <c r="AG351" s="188"/>
      <c r="AH351" s="299"/>
      <c r="BK351" s="374">
        <v>51</v>
      </c>
      <c r="BL351" s="359"/>
      <c r="BM351" s="361"/>
      <c r="BN351" s="361"/>
      <c r="BO351" s="361"/>
      <c r="BP351" s="365"/>
      <c r="BQ351" s="365"/>
      <c r="BR351" s="365"/>
      <c r="BS351" s="365"/>
      <c r="BT351" s="365"/>
      <c r="BU351" s="365"/>
      <c r="BV351" s="365"/>
      <c r="BW351" s="365"/>
      <c r="BX351" s="365"/>
      <c r="BY351" s="365"/>
      <c r="BZ351" s="365"/>
      <c r="CA351" s="379"/>
    </row>
    <row r="352" spans="2:79" ht="13">
      <c r="B352" s="294"/>
      <c r="K352" s="296"/>
      <c r="AB352" s="188"/>
      <c r="AC352" s="188"/>
      <c r="AD352" s="188"/>
      <c r="AE352" s="188"/>
      <c r="AF352" s="188"/>
      <c r="AG352" s="188"/>
      <c r="AH352" s="299"/>
      <c r="BK352" s="374">
        <v>52</v>
      </c>
      <c r="BL352" s="359"/>
      <c r="BM352" s="361"/>
      <c r="BN352" s="361"/>
      <c r="BO352" s="361"/>
      <c r="BP352" s="361"/>
      <c r="BQ352" s="361"/>
      <c r="BR352" s="361"/>
      <c r="BS352" s="361"/>
      <c r="BT352" s="361"/>
      <c r="BU352" s="361"/>
      <c r="BV352" s="361"/>
      <c r="BW352" s="361"/>
      <c r="BX352" s="361"/>
      <c r="BY352" s="361"/>
      <c r="BZ352" s="361"/>
      <c r="CA352" s="378"/>
    </row>
    <row r="353" spans="2:79" ht="13">
      <c r="B353" s="294"/>
      <c r="K353" s="296"/>
      <c r="AB353" s="188"/>
      <c r="AC353" s="188"/>
      <c r="AD353" s="188"/>
      <c r="AE353" s="188"/>
      <c r="AF353" s="188"/>
      <c r="AG353" s="188"/>
      <c r="AH353" s="299"/>
      <c r="BK353" s="374">
        <v>53</v>
      </c>
      <c r="BL353" s="359"/>
      <c r="BM353" s="361"/>
      <c r="BN353" s="361"/>
      <c r="BO353" s="361"/>
      <c r="BP353" s="361"/>
      <c r="BQ353" s="361"/>
      <c r="BR353" s="361"/>
      <c r="BS353" s="361"/>
      <c r="BT353" s="361"/>
      <c r="BU353" s="361"/>
      <c r="BV353" s="361"/>
      <c r="BW353" s="361"/>
      <c r="BX353" s="361"/>
      <c r="BY353" s="361"/>
      <c r="BZ353" s="361"/>
      <c r="CA353" s="378"/>
    </row>
    <row r="354" spans="2:79" ht="13">
      <c r="B354" s="294"/>
      <c r="K354" s="296"/>
      <c r="AB354" s="188"/>
      <c r="AC354" s="188"/>
      <c r="AD354" s="188"/>
      <c r="AE354" s="188"/>
      <c r="AF354" s="188"/>
      <c r="AG354" s="188"/>
      <c r="AH354" s="299"/>
      <c r="BK354" s="374">
        <v>54</v>
      </c>
      <c r="BL354" s="359"/>
      <c r="BM354" s="361"/>
      <c r="BN354" s="361"/>
      <c r="BO354" s="361"/>
      <c r="BP354" s="361"/>
      <c r="BQ354" s="361"/>
      <c r="BR354" s="361"/>
      <c r="BS354" s="361"/>
      <c r="BT354" s="361"/>
      <c r="BU354" s="361"/>
      <c r="BV354" s="361"/>
      <c r="BW354" s="361"/>
      <c r="BX354" s="361"/>
      <c r="BY354" s="361"/>
      <c r="BZ354" s="361"/>
      <c r="CA354" s="378"/>
    </row>
    <row r="355" spans="2:79" ht="13">
      <c r="B355" s="294"/>
      <c r="K355" s="296"/>
      <c r="AB355" s="188"/>
      <c r="AC355" s="188"/>
      <c r="AD355" s="188"/>
      <c r="AE355" s="188"/>
      <c r="AF355" s="188"/>
      <c r="AG355" s="188"/>
      <c r="AH355" s="299"/>
      <c r="BK355" s="374">
        <v>55</v>
      </c>
      <c r="BL355" s="359"/>
      <c r="BM355" s="361"/>
      <c r="BN355" s="361"/>
      <c r="BO355" s="361"/>
      <c r="BP355" s="365"/>
      <c r="BQ355" s="365"/>
      <c r="BR355" s="365"/>
      <c r="BS355" s="365"/>
      <c r="BT355" s="365"/>
      <c r="BU355" s="365"/>
      <c r="BV355" s="365"/>
      <c r="BW355" s="365"/>
      <c r="BX355" s="365"/>
      <c r="BY355" s="365"/>
      <c r="BZ355" s="365"/>
      <c r="CA355" s="379"/>
    </row>
    <row r="356" spans="2:79" ht="13">
      <c r="B356" s="294"/>
      <c r="K356" s="296"/>
      <c r="AB356" s="188"/>
      <c r="AC356" s="188"/>
      <c r="AD356" s="188"/>
      <c r="AE356" s="188"/>
      <c r="AF356" s="188"/>
      <c r="AG356" s="188"/>
      <c r="AH356" s="299"/>
      <c r="BK356" s="374">
        <v>56</v>
      </c>
      <c r="BL356" s="359"/>
      <c r="BM356" s="361"/>
      <c r="BN356" s="361"/>
      <c r="BO356" s="361"/>
      <c r="BP356" s="365"/>
      <c r="BQ356" s="365"/>
      <c r="BR356" s="365"/>
      <c r="BS356" s="365"/>
      <c r="BT356" s="365"/>
      <c r="BU356" s="365"/>
      <c r="BV356" s="365"/>
      <c r="BW356" s="365"/>
      <c r="BX356" s="365"/>
      <c r="BY356" s="365"/>
      <c r="BZ356" s="365"/>
      <c r="CA356" s="379"/>
    </row>
    <row r="357" spans="2:79" ht="13">
      <c r="B357" s="294"/>
      <c r="K357" s="296"/>
      <c r="AB357" s="188"/>
      <c r="AC357" s="188"/>
      <c r="AD357" s="188"/>
      <c r="AE357" s="188"/>
      <c r="AF357" s="188"/>
      <c r="AG357" s="188"/>
      <c r="AH357" s="299"/>
      <c r="BK357" s="374">
        <v>57</v>
      </c>
      <c r="BL357" s="359"/>
      <c r="BM357" s="361"/>
      <c r="BN357" s="361"/>
      <c r="BO357" s="361"/>
      <c r="BP357" s="361"/>
      <c r="BQ357" s="361"/>
      <c r="BR357" s="361"/>
      <c r="BS357" s="361"/>
      <c r="BT357" s="361"/>
      <c r="BU357" s="361"/>
      <c r="BV357" s="361"/>
      <c r="BW357" s="361"/>
      <c r="BX357" s="361"/>
      <c r="BY357" s="361"/>
      <c r="BZ357" s="361"/>
      <c r="CA357" s="378"/>
    </row>
    <row r="358" spans="2:79" ht="13">
      <c r="B358" s="294"/>
      <c r="K358" s="296"/>
      <c r="AB358" s="188"/>
      <c r="AC358" s="188"/>
      <c r="AD358" s="188"/>
      <c r="AE358" s="188"/>
      <c r="AF358" s="188"/>
      <c r="AG358" s="188"/>
      <c r="AH358" s="299"/>
      <c r="BK358" s="374">
        <v>58</v>
      </c>
      <c r="BL358" s="359"/>
      <c r="BM358" s="361"/>
      <c r="BN358" s="361"/>
      <c r="BO358" s="361"/>
      <c r="BP358" s="361"/>
      <c r="BQ358" s="361"/>
      <c r="BR358" s="361"/>
      <c r="BS358" s="361"/>
      <c r="BT358" s="361"/>
      <c r="BU358" s="361"/>
      <c r="BV358" s="361"/>
      <c r="BW358" s="361"/>
      <c r="BX358" s="361"/>
      <c r="BY358" s="361"/>
      <c r="BZ358" s="361"/>
      <c r="CA358" s="378"/>
    </row>
    <row r="359" spans="2:79" ht="13">
      <c r="B359" s="294"/>
      <c r="K359" s="296"/>
      <c r="AB359" s="188"/>
      <c r="AC359" s="188"/>
      <c r="AD359" s="188"/>
      <c r="AE359" s="188"/>
      <c r="AF359" s="188"/>
      <c r="AG359" s="188"/>
      <c r="AH359" s="299"/>
      <c r="BK359" s="374">
        <v>59</v>
      </c>
      <c r="BL359" s="359"/>
      <c r="BM359" s="361"/>
      <c r="BN359" s="361"/>
      <c r="BO359" s="361"/>
      <c r="BP359" s="361"/>
      <c r="BQ359" s="361"/>
      <c r="BR359" s="361"/>
      <c r="BS359" s="361"/>
      <c r="BT359" s="361"/>
      <c r="BU359" s="361"/>
      <c r="BV359" s="361"/>
      <c r="BW359" s="361"/>
      <c r="BX359" s="361"/>
      <c r="BY359" s="361"/>
      <c r="BZ359" s="361"/>
      <c r="CA359" s="378"/>
    </row>
    <row r="360" spans="2:79" ht="13">
      <c r="B360" s="294"/>
      <c r="K360" s="296"/>
      <c r="AB360" s="188"/>
      <c r="AC360" s="188"/>
      <c r="AD360" s="188"/>
      <c r="AE360" s="188"/>
      <c r="AF360" s="188"/>
      <c r="AG360" s="188"/>
      <c r="AH360" s="299"/>
      <c r="BK360" s="374">
        <v>60</v>
      </c>
      <c r="BL360" s="359"/>
      <c r="BM360" s="361"/>
      <c r="BN360" s="361"/>
      <c r="BO360" s="361"/>
      <c r="BP360" s="361"/>
      <c r="BQ360" s="361"/>
      <c r="BR360" s="361"/>
      <c r="BS360" s="361"/>
      <c r="BT360" s="361"/>
      <c r="BU360" s="361"/>
      <c r="BV360" s="361"/>
      <c r="BW360" s="361"/>
      <c r="BX360" s="361"/>
      <c r="BY360" s="361"/>
      <c r="BZ360" s="361"/>
      <c r="CA360" s="378"/>
    </row>
    <row r="361" spans="2:79" ht="13">
      <c r="B361" s="294"/>
      <c r="K361" s="296"/>
      <c r="AB361" s="188"/>
      <c r="AC361" s="188"/>
      <c r="AD361" s="188"/>
      <c r="AE361" s="188"/>
      <c r="AF361" s="188"/>
      <c r="AG361" s="188"/>
      <c r="AH361" s="299"/>
      <c r="BK361" s="374">
        <v>61</v>
      </c>
      <c r="BL361" s="359"/>
      <c r="BM361" s="361"/>
      <c r="BN361" s="361"/>
      <c r="BO361" s="361"/>
      <c r="BP361" s="361"/>
      <c r="BQ361" s="361"/>
      <c r="BR361" s="361"/>
      <c r="BS361" s="361"/>
      <c r="BT361" s="361"/>
      <c r="BU361" s="361"/>
      <c r="BV361" s="361"/>
      <c r="BW361" s="361"/>
      <c r="BX361" s="361"/>
      <c r="BY361" s="361"/>
      <c r="BZ361" s="361"/>
      <c r="CA361" s="378"/>
    </row>
    <row r="362" spans="2:79" ht="13">
      <c r="B362" s="294"/>
      <c r="K362" s="296"/>
      <c r="AB362" s="188"/>
      <c r="AC362" s="188"/>
      <c r="AD362" s="188"/>
      <c r="AE362" s="188"/>
      <c r="AF362" s="188"/>
      <c r="AG362" s="188"/>
      <c r="AH362" s="299"/>
      <c r="BK362" s="374">
        <v>62</v>
      </c>
      <c r="BL362" s="359"/>
      <c r="BM362" s="361"/>
      <c r="BN362" s="361"/>
      <c r="BO362" s="361"/>
      <c r="BP362" s="361"/>
      <c r="BQ362" s="361"/>
      <c r="BR362" s="361"/>
      <c r="BS362" s="361"/>
      <c r="BT362" s="361"/>
      <c r="BU362" s="361"/>
      <c r="BV362" s="361"/>
      <c r="BW362" s="361"/>
      <c r="BX362" s="361"/>
      <c r="BY362" s="361"/>
      <c r="BZ362" s="361"/>
      <c r="CA362" s="378"/>
    </row>
    <row r="363" spans="2:79" ht="13">
      <c r="B363" s="294"/>
      <c r="K363" s="296"/>
      <c r="AB363" s="188"/>
      <c r="AC363" s="188"/>
      <c r="AD363" s="188"/>
      <c r="AE363" s="188"/>
      <c r="AF363" s="188"/>
      <c r="AG363" s="188"/>
      <c r="AH363" s="299"/>
      <c r="BK363" s="374">
        <v>63</v>
      </c>
      <c r="BL363" s="359"/>
      <c r="BM363" s="361"/>
      <c r="BN363" s="361"/>
      <c r="BO363" s="361"/>
      <c r="BP363" s="361"/>
      <c r="BQ363" s="361"/>
      <c r="BR363" s="361"/>
      <c r="BS363" s="361"/>
      <c r="BT363" s="361"/>
      <c r="BU363" s="361"/>
      <c r="BV363" s="361"/>
      <c r="BW363" s="361"/>
      <c r="BX363" s="361"/>
      <c r="BY363" s="361"/>
      <c r="BZ363" s="361"/>
      <c r="CA363" s="378"/>
    </row>
    <row r="364" spans="2:79" ht="13">
      <c r="B364" s="294"/>
      <c r="K364" s="296"/>
      <c r="AB364" s="188"/>
      <c r="AC364" s="188"/>
      <c r="AD364" s="188"/>
      <c r="AE364" s="188"/>
      <c r="AF364" s="188"/>
      <c r="AG364" s="188"/>
      <c r="AH364" s="299"/>
      <c r="BK364" s="374">
        <v>64</v>
      </c>
      <c r="BL364" s="359"/>
      <c r="BM364" s="361"/>
      <c r="BN364" s="361"/>
      <c r="BO364" s="365"/>
      <c r="BP364" s="365"/>
      <c r="BQ364" s="365"/>
      <c r="BR364" s="365"/>
      <c r="BS364" s="365"/>
      <c r="BT364" s="365"/>
      <c r="BU364" s="365"/>
      <c r="BV364" s="365"/>
      <c r="BW364" s="365"/>
      <c r="BX364" s="365"/>
      <c r="BY364" s="365"/>
      <c r="BZ364" s="365"/>
      <c r="CA364" s="379"/>
    </row>
    <row r="365" spans="2:79" ht="13">
      <c r="B365" s="294"/>
      <c r="K365" s="296"/>
      <c r="AB365" s="188"/>
      <c r="AC365" s="188"/>
      <c r="AD365" s="188"/>
      <c r="AE365" s="188"/>
      <c r="AF365" s="188"/>
      <c r="AG365" s="188"/>
      <c r="AH365" s="299"/>
      <c r="BK365" s="374">
        <v>65</v>
      </c>
      <c r="BL365" s="359"/>
      <c r="BM365" s="361"/>
      <c r="BN365" s="361"/>
      <c r="BO365" s="361"/>
      <c r="BP365" s="361"/>
      <c r="BQ365" s="361"/>
      <c r="BR365" s="361"/>
      <c r="BS365" s="361"/>
      <c r="BT365" s="361"/>
      <c r="BU365" s="361"/>
      <c r="BV365" s="361"/>
      <c r="BW365" s="361"/>
      <c r="BX365" s="361"/>
      <c r="BY365" s="361"/>
      <c r="BZ365" s="361"/>
      <c r="CA365" s="378"/>
    </row>
    <row r="366" spans="2:79" ht="13">
      <c r="B366" s="294"/>
      <c r="K366" s="296"/>
      <c r="AB366" s="188"/>
      <c r="AC366" s="188"/>
      <c r="AD366" s="188"/>
      <c r="AE366" s="188"/>
      <c r="AF366" s="188"/>
      <c r="AG366" s="188"/>
      <c r="AH366" s="299"/>
      <c r="BK366" s="374">
        <v>66</v>
      </c>
      <c r="BL366" s="359"/>
      <c r="BM366" s="361"/>
      <c r="BN366" s="361"/>
      <c r="BO366" s="361"/>
      <c r="BP366" s="361"/>
      <c r="BQ366" s="361"/>
      <c r="BR366" s="361"/>
      <c r="BS366" s="361"/>
      <c r="BT366" s="361"/>
      <c r="BU366" s="361"/>
      <c r="BV366" s="361"/>
      <c r="BW366" s="361"/>
      <c r="BX366" s="361"/>
      <c r="BY366" s="361"/>
      <c r="BZ366" s="361"/>
      <c r="CA366" s="378"/>
    </row>
    <row r="367" spans="2:79" ht="13">
      <c r="B367" s="294"/>
      <c r="K367" s="296"/>
      <c r="AB367" s="188"/>
      <c r="AC367" s="188"/>
      <c r="AD367" s="188"/>
      <c r="AE367" s="188"/>
      <c r="AF367" s="188"/>
      <c r="AG367" s="188"/>
      <c r="AH367" s="299"/>
      <c r="BK367" s="374">
        <v>67</v>
      </c>
      <c r="BL367" s="359"/>
      <c r="BM367" s="361"/>
      <c r="BN367" s="361"/>
      <c r="BO367" s="361"/>
      <c r="BP367" s="361"/>
      <c r="BQ367" s="361"/>
      <c r="BR367" s="361"/>
      <c r="BS367" s="361"/>
      <c r="BT367" s="361"/>
      <c r="BU367" s="361"/>
      <c r="BV367" s="361"/>
      <c r="BW367" s="361"/>
      <c r="BX367" s="361"/>
      <c r="BY367" s="361"/>
      <c r="BZ367" s="361"/>
      <c r="CA367" s="378"/>
    </row>
    <row r="368" spans="2:79" ht="13">
      <c r="B368" s="294"/>
      <c r="K368" s="296"/>
      <c r="AB368" s="188"/>
      <c r="AC368" s="188"/>
      <c r="AD368" s="188"/>
      <c r="AE368" s="188"/>
      <c r="AF368" s="188"/>
      <c r="AG368" s="188"/>
      <c r="AH368" s="299"/>
      <c r="BK368" s="374">
        <v>68</v>
      </c>
      <c r="BL368" s="359"/>
      <c r="BM368" s="361"/>
      <c r="BN368" s="361"/>
      <c r="BO368" s="361"/>
      <c r="BP368" s="365"/>
      <c r="BQ368" s="365"/>
      <c r="BR368" s="365"/>
      <c r="BS368" s="365"/>
      <c r="BT368" s="365"/>
      <c r="BU368" s="365"/>
      <c r="BV368" s="365"/>
      <c r="BW368" s="365"/>
      <c r="BX368" s="365"/>
      <c r="BY368" s="365"/>
      <c r="BZ368" s="365"/>
      <c r="CA368" s="379"/>
    </row>
    <row r="369" spans="2:79" ht="13">
      <c r="B369" s="294"/>
      <c r="K369" s="296"/>
      <c r="AB369" s="188"/>
      <c r="AC369" s="188"/>
      <c r="AD369" s="188"/>
      <c r="AE369" s="188"/>
      <c r="AF369" s="188"/>
      <c r="AG369" s="188"/>
      <c r="AH369" s="299"/>
      <c r="BK369" s="374">
        <v>69</v>
      </c>
      <c r="BL369" s="359"/>
      <c r="BM369" s="361"/>
      <c r="BN369" s="361"/>
      <c r="BO369" s="361"/>
      <c r="BP369" s="361"/>
      <c r="BQ369" s="361"/>
      <c r="BR369" s="361"/>
      <c r="BS369" s="361"/>
      <c r="BT369" s="361"/>
      <c r="BU369" s="361"/>
      <c r="BV369" s="361"/>
      <c r="BW369" s="361"/>
      <c r="BX369" s="361"/>
      <c r="BY369" s="361"/>
      <c r="BZ369" s="361"/>
      <c r="CA369" s="378"/>
    </row>
    <row r="370" spans="2:79" ht="13">
      <c r="B370" s="294"/>
      <c r="K370" s="296"/>
      <c r="AB370" s="188"/>
      <c r="AC370" s="188"/>
      <c r="AD370" s="188"/>
      <c r="AE370" s="188"/>
      <c r="AF370" s="188"/>
      <c r="AG370" s="188"/>
      <c r="AH370" s="299"/>
      <c r="BK370" s="374">
        <v>70</v>
      </c>
      <c r="BL370" s="359"/>
      <c r="BM370" s="361"/>
      <c r="BN370" s="361"/>
      <c r="BO370" s="361"/>
      <c r="BP370" s="361"/>
      <c r="BQ370" s="361"/>
      <c r="BR370" s="361"/>
      <c r="BS370" s="361"/>
      <c r="BT370" s="361"/>
      <c r="BU370" s="361"/>
      <c r="BV370" s="361"/>
      <c r="BW370" s="361"/>
      <c r="BX370" s="361"/>
      <c r="BY370" s="361"/>
      <c r="BZ370" s="361"/>
      <c r="CA370" s="378"/>
    </row>
    <row r="371" spans="2:79" ht="13">
      <c r="B371" s="294"/>
      <c r="K371" s="296"/>
      <c r="AB371" s="188"/>
      <c r="AC371" s="188"/>
      <c r="AD371" s="188"/>
      <c r="AE371" s="188"/>
      <c r="AF371" s="188"/>
      <c r="AG371" s="188"/>
      <c r="AH371" s="299"/>
      <c r="BK371" s="374">
        <v>71</v>
      </c>
      <c r="BL371" s="359"/>
      <c r="BM371" s="361"/>
      <c r="BN371" s="365"/>
      <c r="BO371" s="361"/>
      <c r="BP371" s="361"/>
      <c r="BQ371" s="361"/>
      <c r="BR371" s="361"/>
      <c r="BS371" s="361"/>
      <c r="BT371" s="361"/>
      <c r="BU371" s="361"/>
      <c r="BV371" s="361"/>
      <c r="BW371" s="361"/>
      <c r="BX371" s="361"/>
      <c r="BY371" s="361"/>
      <c r="BZ371" s="361"/>
      <c r="CA371" s="378"/>
    </row>
    <row r="372" spans="2:79" ht="13">
      <c r="B372" s="294"/>
      <c r="K372" s="296"/>
      <c r="AB372" s="188"/>
      <c r="AC372" s="188"/>
      <c r="AD372" s="188"/>
      <c r="AE372" s="188"/>
      <c r="AF372" s="188"/>
      <c r="AG372" s="188"/>
      <c r="AH372" s="299"/>
      <c r="BK372" s="374">
        <v>72</v>
      </c>
      <c r="BL372" s="359"/>
      <c r="BM372" s="361"/>
      <c r="BN372" s="361"/>
      <c r="BO372" s="361"/>
      <c r="BP372" s="361"/>
      <c r="BQ372" s="361"/>
      <c r="BR372" s="361"/>
      <c r="BS372" s="361"/>
      <c r="BT372" s="361"/>
      <c r="BU372" s="361"/>
      <c r="BV372" s="361"/>
      <c r="BW372" s="361"/>
      <c r="BX372" s="361"/>
      <c r="BY372" s="361"/>
      <c r="BZ372" s="361"/>
      <c r="CA372" s="378"/>
    </row>
    <row r="373" spans="2:79" ht="13">
      <c r="B373" s="294"/>
      <c r="K373" s="296"/>
      <c r="AB373" s="188"/>
      <c r="AC373" s="188"/>
      <c r="AD373" s="188"/>
      <c r="AE373" s="188"/>
      <c r="AF373" s="188"/>
      <c r="AG373" s="188"/>
      <c r="AH373" s="299"/>
      <c r="BK373" s="374">
        <v>73</v>
      </c>
      <c r="BL373" s="359"/>
      <c r="BM373" s="361"/>
      <c r="BN373" s="361"/>
      <c r="BO373" s="361"/>
      <c r="BP373" s="361"/>
      <c r="BQ373" s="361"/>
      <c r="BR373" s="361"/>
      <c r="BS373" s="361"/>
      <c r="BT373" s="361"/>
      <c r="BU373" s="361"/>
      <c r="BV373" s="361"/>
      <c r="BW373" s="361"/>
      <c r="BX373" s="361"/>
      <c r="BY373" s="361"/>
      <c r="BZ373" s="361"/>
      <c r="CA373" s="378"/>
    </row>
    <row r="374" spans="2:79" ht="13">
      <c r="B374" s="294"/>
      <c r="K374" s="296"/>
      <c r="AB374" s="188"/>
      <c r="AC374" s="188"/>
      <c r="AD374" s="188"/>
      <c r="AE374" s="188"/>
      <c r="AF374" s="188"/>
      <c r="AG374" s="188"/>
      <c r="AH374" s="299"/>
      <c r="BK374" s="374">
        <v>74</v>
      </c>
      <c r="BL374" s="359"/>
      <c r="BM374" s="361"/>
      <c r="BN374" s="361"/>
      <c r="BO374" s="361"/>
      <c r="BP374" s="365"/>
      <c r="BQ374" s="365"/>
      <c r="BR374" s="365"/>
      <c r="BS374" s="365"/>
      <c r="BT374" s="365"/>
      <c r="BU374" s="365"/>
      <c r="BV374" s="365"/>
      <c r="BW374" s="365"/>
      <c r="BX374" s="365"/>
      <c r="BY374" s="365"/>
      <c r="BZ374" s="365"/>
      <c r="CA374" s="379"/>
    </row>
    <row r="375" spans="2:79" ht="13">
      <c r="B375" s="294"/>
      <c r="K375" s="296"/>
      <c r="AB375" s="188"/>
      <c r="AC375" s="188"/>
      <c r="AD375" s="188"/>
      <c r="AE375" s="188"/>
      <c r="AF375" s="188"/>
      <c r="AG375" s="188"/>
      <c r="AH375" s="299"/>
      <c r="BK375" s="374">
        <v>75</v>
      </c>
      <c r="BL375" s="359"/>
      <c r="BM375" s="361"/>
      <c r="BN375" s="361"/>
      <c r="BO375" s="361"/>
      <c r="BP375" s="361"/>
      <c r="BQ375" s="361"/>
      <c r="BR375" s="361"/>
      <c r="BS375" s="361"/>
      <c r="BT375" s="361"/>
      <c r="BU375" s="361"/>
      <c r="BV375" s="361"/>
      <c r="BW375" s="361"/>
      <c r="BX375" s="361"/>
      <c r="BY375" s="361"/>
      <c r="BZ375" s="361"/>
      <c r="CA375" s="378"/>
    </row>
    <row r="376" spans="2:79" ht="13">
      <c r="B376" s="294"/>
      <c r="K376" s="296"/>
      <c r="AB376" s="188"/>
      <c r="AC376" s="188"/>
      <c r="AD376" s="188"/>
      <c r="AE376" s="188"/>
      <c r="AF376" s="188"/>
      <c r="AG376" s="188"/>
      <c r="AH376" s="299"/>
      <c r="BK376" s="374">
        <v>76</v>
      </c>
      <c r="BL376" s="359"/>
      <c r="BM376" s="361"/>
      <c r="BN376" s="361"/>
      <c r="BO376" s="361"/>
      <c r="BP376" s="361"/>
      <c r="BQ376" s="361"/>
      <c r="BR376" s="361"/>
      <c r="BS376" s="361"/>
      <c r="BT376" s="361"/>
      <c r="BU376" s="361"/>
      <c r="BV376" s="361"/>
      <c r="BW376" s="361"/>
      <c r="BX376" s="361"/>
      <c r="BY376" s="361"/>
      <c r="BZ376" s="361"/>
      <c r="CA376" s="378"/>
    </row>
    <row r="377" spans="2:79" ht="13">
      <c r="B377" s="294"/>
      <c r="K377" s="296"/>
      <c r="AB377" s="188"/>
      <c r="AC377" s="188"/>
      <c r="AD377" s="188"/>
      <c r="AE377" s="188"/>
      <c r="AF377" s="188"/>
      <c r="AG377" s="188"/>
      <c r="AH377" s="299"/>
      <c r="BK377" s="374">
        <v>77</v>
      </c>
      <c r="BL377" s="359"/>
      <c r="BM377" s="361"/>
      <c r="BN377" s="361"/>
      <c r="BO377" s="361"/>
      <c r="BP377" s="361"/>
      <c r="BQ377" s="361"/>
      <c r="BR377" s="361"/>
      <c r="BS377" s="361"/>
      <c r="BT377" s="361"/>
      <c r="BU377" s="361"/>
      <c r="BV377" s="361"/>
      <c r="BW377" s="361"/>
      <c r="BX377" s="361"/>
      <c r="BY377" s="361"/>
      <c r="BZ377" s="361"/>
      <c r="CA377" s="378"/>
    </row>
    <row r="378" spans="2:79" ht="13">
      <c r="B378" s="294"/>
      <c r="K378" s="296"/>
      <c r="AB378" s="188"/>
      <c r="AC378" s="188"/>
      <c r="AD378" s="188"/>
      <c r="AE378" s="188"/>
      <c r="AF378" s="188"/>
      <c r="AG378" s="188"/>
      <c r="AH378" s="299"/>
      <c r="BK378" s="374">
        <v>78</v>
      </c>
      <c r="BL378" s="359"/>
      <c r="BM378" s="361"/>
      <c r="BN378" s="361"/>
      <c r="BO378" s="361"/>
      <c r="BP378" s="361"/>
      <c r="BQ378" s="361"/>
      <c r="BR378" s="361"/>
      <c r="BS378" s="361"/>
      <c r="BT378" s="361"/>
      <c r="BU378" s="361"/>
      <c r="BV378" s="361"/>
      <c r="BW378" s="361"/>
      <c r="BX378" s="361"/>
      <c r="BY378" s="361"/>
      <c r="BZ378" s="361"/>
      <c r="CA378" s="378"/>
    </row>
    <row r="379" spans="2:79" ht="13">
      <c r="B379" s="294"/>
      <c r="K379" s="296"/>
      <c r="AB379" s="188"/>
      <c r="AC379" s="188"/>
      <c r="AD379" s="188"/>
      <c r="AE379" s="188"/>
      <c r="AF379" s="188"/>
      <c r="AG379" s="188"/>
      <c r="AH379" s="299"/>
      <c r="BK379" s="374">
        <v>79</v>
      </c>
      <c r="BL379" s="359"/>
      <c r="BM379" s="361"/>
      <c r="BN379" s="361"/>
      <c r="BO379" s="365"/>
      <c r="BP379" s="365"/>
      <c r="BQ379" s="365"/>
      <c r="BR379" s="365"/>
      <c r="BS379" s="365"/>
      <c r="BT379" s="365"/>
      <c r="BU379" s="365"/>
      <c r="BV379" s="365"/>
      <c r="BW379" s="365"/>
      <c r="BX379" s="365"/>
      <c r="BY379" s="365"/>
      <c r="BZ379" s="365"/>
      <c r="CA379" s="379"/>
    </row>
    <row r="380" spans="2:79" ht="13">
      <c r="B380" s="294"/>
      <c r="K380" s="296"/>
      <c r="AB380" s="188"/>
      <c r="AC380" s="188"/>
      <c r="AD380" s="188"/>
      <c r="AE380" s="188"/>
      <c r="AF380" s="188"/>
      <c r="AG380" s="188"/>
      <c r="AH380" s="299"/>
      <c r="BK380" s="374">
        <v>80</v>
      </c>
      <c r="BL380" s="359"/>
      <c r="BM380" s="361"/>
      <c r="BN380" s="361"/>
      <c r="BO380" s="361"/>
      <c r="BP380" s="361"/>
      <c r="BQ380" s="361"/>
      <c r="BR380" s="361"/>
      <c r="BS380" s="361"/>
      <c r="BT380" s="361"/>
      <c r="BU380" s="361"/>
      <c r="BV380" s="361"/>
      <c r="BW380" s="361"/>
      <c r="BX380" s="361"/>
      <c r="BY380" s="361"/>
      <c r="BZ380" s="361"/>
      <c r="CA380" s="378"/>
    </row>
    <row r="381" spans="2:79" ht="13">
      <c r="B381" s="294"/>
      <c r="K381" s="296"/>
      <c r="AB381" s="188"/>
      <c r="AC381" s="188"/>
      <c r="AD381" s="188"/>
      <c r="AE381" s="188"/>
      <c r="AF381" s="188"/>
      <c r="AG381" s="188"/>
      <c r="AH381" s="299"/>
      <c r="BK381" s="374">
        <v>81</v>
      </c>
      <c r="BL381" s="359"/>
      <c r="BM381" s="361"/>
      <c r="BN381" s="361"/>
      <c r="BO381" s="361"/>
      <c r="BP381" s="361"/>
      <c r="BQ381" s="361"/>
      <c r="BR381" s="361"/>
      <c r="BS381" s="361"/>
      <c r="BT381" s="361"/>
      <c r="BU381" s="361"/>
      <c r="BV381" s="361"/>
      <c r="BW381" s="361"/>
      <c r="BX381" s="361"/>
      <c r="BY381" s="361"/>
      <c r="BZ381" s="361"/>
      <c r="CA381" s="378"/>
    </row>
    <row r="382" spans="2:79" ht="13">
      <c r="B382" s="294"/>
      <c r="K382" s="296"/>
      <c r="AB382" s="188"/>
      <c r="AC382" s="188"/>
      <c r="AD382" s="188"/>
      <c r="AE382" s="188"/>
      <c r="AF382" s="188"/>
      <c r="AG382" s="188"/>
      <c r="AH382" s="299"/>
      <c r="BK382" s="374">
        <v>82</v>
      </c>
      <c r="BL382" s="359"/>
      <c r="BM382" s="361"/>
      <c r="BN382" s="361"/>
      <c r="BO382" s="365"/>
      <c r="BP382" s="365"/>
      <c r="BQ382" s="365"/>
      <c r="BR382" s="365"/>
      <c r="BS382" s="365"/>
      <c r="BT382" s="365"/>
      <c r="BU382" s="365"/>
      <c r="BV382" s="365"/>
      <c r="BW382" s="365"/>
      <c r="BX382" s="365"/>
      <c r="BY382" s="365"/>
      <c r="BZ382" s="365"/>
      <c r="CA382" s="379"/>
    </row>
    <row r="383" spans="2:79" ht="13">
      <c r="B383" s="294"/>
      <c r="K383" s="296"/>
      <c r="AB383" s="188"/>
      <c r="AC383" s="188"/>
      <c r="AD383" s="188"/>
      <c r="AE383" s="188"/>
      <c r="AF383" s="188"/>
      <c r="AG383" s="188"/>
      <c r="AH383" s="299"/>
      <c r="BK383" s="374">
        <v>83</v>
      </c>
      <c r="BL383" s="359"/>
      <c r="BM383" s="361"/>
      <c r="BN383" s="361"/>
      <c r="BO383" s="361"/>
      <c r="BP383" s="361"/>
      <c r="BQ383" s="361"/>
      <c r="BR383" s="361"/>
      <c r="BS383" s="361"/>
      <c r="BT383" s="361"/>
      <c r="BU383" s="361"/>
      <c r="BV383" s="361"/>
      <c r="BW383" s="361"/>
      <c r="BX383" s="361"/>
      <c r="BY383" s="361"/>
      <c r="BZ383" s="361"/>
      <c r="CA383" s="378"/>
    </row>
    <row r="384" spans="2:79" ht="13">
      <c r="B384" s="294"/>
      <c r="K384" s="296"/>
      <c r="AB384" s="188"/>
      <c r="AC384" s="188"/>
      <c r="AD384" s="188"/>
      <c r="AE384" s="188"/>
      <c r="AF384" s="188"/>
      <c r="AG384" s="188"/>
      <c r="AH384" s="299"/>
      <c r="BK384" s="374">
        <v>84</v>
      </c>
      <c r="BL384" s="359"/>
      <c r="BM384" s="361"/>
      <c r="BN384" s="361"/>
      <c r="BO384" s="361"/>
      <c r="BP384" s="365"/>
      <c r="BQ384" s="365"/>
      <c r="BR384" s="365"/>
      <c r="BS384" s="365"/>
      <c r="BT384" s="365"/>
      <c r="BU384" s="365"/>
      <c r="BV384" s="365"/>
      <c r="BW384" s="365"/>
      <c r="BX384" s="365"/>
      <c r="BY384" s="365"/>
      <c r="BZ384" s="365"/>
      <c r="CA384" s="379"/>
    </row>
    <row r="385" spans="2:79" ht="13">
      <c r="B385" s="294"/>
      <c r="K385" s="296"/>
      <c r="AB385" s="188"/>
      <c r="AC385" s="188"/>
      <c r="AD385" s="188"/>
      <c r="AE385" s="188"/>
      <c r="AF385" s="188"/>
      <c r="AG385" s="188"/>
      <c r="AH385" s="299"/>
      <c r="BK385" s="374">
        <v>85</v>
      </c>
      <c r="BL385" s="359"/>
      <c r="BM385" s="361"/>
      <c r="BN385" s="361"/>
      <c r="BO385" s="365"/>
      <c r="BP385" s="365"/>
      <c r="BQ385" s="365"/>
      <c r="BR385" s="365"/>
      <c r="BS385" s="365"/>
      <c r="BT385" s="365"/>
      <c r="BU385" s="365"/>
      <c r="BV385" s="365"/>
      <c r="BW385" s="365"/>
      <c r="BX385" s="365"/>
      <c r="BY385" s="365"/>
      <c r="BZ385" s="365"/>
      <c r="CA385" s="379"/>
    </row>
    <row r="386" spans="2:79" ht="13">
      <c r="B386" s="294"/>
      <c r="K386" s="296"/>
      <c r="AB386" s="188"/>
      <c r="AC386" s="188"/>
      <c r="AD386" s="188"/>
      <c r="AE386" s="188"/>
      <c r="AF386" s="188"/>
      <c r="AG386" s="188"/>
      <c r="AH386" s="299"/>
      <c r="BK386" s="374">
        <v>86</v>
      </c>
      <c r="BL386" s="359"/>
      <c r="BM386" s="361"/>
      <c r="BN386" s="361"/>
      <c r="BO386" s="365"/>
      <c r="BP386" s="365"/>
      <c r="BQ386" s="365"/>
      <c r="BR386" s="365"/>
      <c r="BS386" s="365"/>
      <c r="BT386" s="365"/>
      <c r="BU386" s="365"/>
      <c r="BV386" s="365"/>
      <c r="BW386" s="365"/>
      <c r="BX386" s="365"/>
      <c r="BY386" s="365"/>
      <c r="BZ386" s="365"/>
      <c r="CA386" s="379"/>
    </row>
    <row r="387" spans="2:79" ht="13">
      <c r="B387" s="294"/>
      <c r="K387" s="296"/>
      <c r="AB387" s="188"/>
      <c r="AC387" s="188"/>
      <c r="AD387" s="188"/>
      <c r="AE387" s="188"/>
      <c r="AF387" s="188"/>
      <c r="AG387" s="188"/>
      <c r="AH387" s="299"/>
      <c r="BK387" s="374">
        <v>87</v>
      </c>
      <c r="BL387" s="359"/>
      <c r="BM387" s="361"/>
      <c r="BN387" s="361"/>
      <c r="BO387" s="365"/>
      <c r="BP387" s="365"/>
      <c r="BQ387" s="365"/>
      <c r="BR387" s="365"/>
      <c r="BS387" s="365"/>
      <c r="BT387" s="365"/>
      <c r="BU387" s="365"/>
      <c r="BV387" s="365"/>
      <c r="BW387" s="365"/>
      <c r="BX387" s="365"/>
      <c r="BY387" s="365"/>
      <c r="BZ387" s="365"/>
      <c r="CA387" s="379"/>
    </row>
    <row r="388" spans="2:79" ht="13">
      <c r="B388" s="294"/>
      <c r="K388" s="296"/>
      <c r="AB388" s="188"/>
      <c r="AC388" s="188"/>
      <c r="AD388" s="188"/>
      <c r="AE388" s="188"/>
      <c r="AF388" s="188"/>
      <c r="AG388" s="188"/>
      <c r="AH388" s="299"/>
      <c r="BK388" s="374">
        <v>88</v>
      </c>
      <c r="BL388" s="359"/>
      <c r="BM388" s="361"/>
      <c r="BN388" s="365"/>
      <c r="BO388" s="361"/>
      <c r="BP388" s="361"/>
      <c r="BQ388" s="361"/>
      <c r="BR388" s="361"/>
      <c r="BS388" s="361"/>
      <c r="BT388" s="361"/>
      <c r="BU388" s="361"/>
      <c r="BV388" s="361"/>
      <c r="BW388" s="361"/>
      <c r="BX388" s="361"/>
      <c r="BY388" s="361"/>
      <c r="BZ388" s="361"/>
      <c r="CA388" s="378"/>
    </row>
    <row r="389" spans="2:79" ht="13">
      <c r="B389" s="294"/>
      <c r="K389" s="296"/>
      <c r="AB389" s="188"/>
      <c r="AC389" s="188"/>
      <c r="AD389" s="188"/>
      <c r="AE389" s="188"/>
      <c r="AF389" s="188"/>
      <c r="AG389" s="188"/>
      <c r="AH389" s="299"/>
      <c r="BK389" s="374">
        <v>89</v>
      </c>
      <c r="CA389" s="380"/>
    </row>
    <row r="390" spans="2:79" ht="13">
      <c r="B390" s="294"/>
      <c r="K390" s="296"/>
      <c r="AB390" s="188"/>
      <c r="AC390" s="188"/>
      <c r="AD390" s="188"/>
      <c r="AE390" s="188"/>
      <c r="AF390" s="188"/>
      <c r="AG390" s="188"/>
      <c r="AH390" s="299"/>
      <c r="BK390" s="374">
        <v>90</v>
      </c>
      <c r="CA390" s="380"/>
    </row>
    <row r="391" spans="2:79" ht="13">
      <c r="B391" s="294"/>
      <c r="K391" s="296"/>
      <c r="AB391" s="188"/>
      <c r="AC391" s="188"/>
      <c r="AD391" s="188"/>
      <c r="AE391" s="188"/>
      <c r="AF391" s="188"/>
      <c r="AG391" s="188"/>
      <c r="AH391" s="299"/>
      <c r="BK391" s="374">
        <v>91</v>
      </c>
      <c r="CA391" s="380"/>
    </row>
    <row r="392" spans="2:79" ht="13">
      <c r="B392" s="294"/>
      <c r="K392" s="296"/>
      <c r="AB392" s="188"/>
      <c r="AC392" s="188"/>
      <c r="AD392" s="188"/>
      <c r="AE392" s="188"/>
      <c r="AF392" s="188"/>
      <c r="AG392" s="188"/>
      <c r="AH392" s="299"/>
      <c r="BK392" s="374">
        <v>92</v>
      </c>
      <c r="CA392" s="380"/>
    </row>
    <row r="393" spans="2:79" ht="13">
      <c r="B393" s="294"/>
      <c r="K393" s="296"/>
      <c r="AB393" s="188"/>
      <c r="AC393" s="188"/>
      <c r="AD393" s="188"/>
      <c r="AE393" s="188"/>
      <c r="AF393" s="188"/>
      <c r="AG393" s="188"/>
      <c r="AH393" s="299"/>
      <c r="BK393" s="374">
        <v>93</v>
      </c>
      <c r="CA393" s="380"/>
    </row>
    <row r="394" spans="2:79" ht="13">
      <c r="B394" s="294"/>
      <c r="K394" s="296"/>
      <c r="AB394" s="188"/>
      <c r="AC394" s="188"/>
      <c r="AD394" s="188"/>
      <c r="AE394" s="188"/>
      <c r="AF394" s="188"/>
      <c r="AG394" s="188"/>
      <c r="AH394" s="299"/>
      <c r="BK394" s="374">
        <v>94</v>
      </c>
      <c r="CA394" s="380"/>
    </row>
    <row r="395" spans="2:79" ht="13">
      <c r="B395" s="294"/>
      <c r="K395" s="296"/>
      <c r="AB395" s="188"/>
      <c r="AC395" s="188"/>
      <c r="AD395" s="188"/>
      <c r="AE395" s="188"/>
      <c r="AF395" s="188"/>
      <c r="AG395" s="188"/>
      <c r="AH395" s="299"/>
      <c r="BK395" s="374">
        <v>95</v>
      </c>
      <c r="CA395" s="380"/>
    </row>
    <row r="396" spans="2:79" ht="13">
      <c r="B396" s="294"/>
      <c r="K396" s="296"/>
      <c r="AB396" s="188"/>
      <c r="AC396" s="188"/>
      <c r="AD396" s="188"/>
      <c r="AE396" s="188"/>
      <c r="AF396" s="188"/>
      <c r="AG396" s="188"/>
      <c r="AH396" s="299"/>
      <c r="BK396" s="374">
        <v>96</v>
      </c>
      <c r="CA396" s="380"/>
    </row>
    <row r="397" spans="2:79" ht="13">
      <c r="B397" s="294"/>
      <c r="K397" s="296"/>
      <c r="AB397" s="188"/>
      <c r="AC397" s="188"/>
      <c r="AD397" s="188"/>
      <c r="AE397" s="188"/>
      <c r="AF397" s="188"/>
      <c r="AG397" s="188"/>
      <c r="AH397" s="299"/>
      <c r="BK397" s="374">
        <v>97</v>
      </c>
      <c r="CA397" s="380"/>
    </row>
    <row r="398" spans="2:79" ht="13">
      <c r="B398" s="294"/>
      <c r="K398" s="296"/>
      <c r="AB398" s="188"/>
      <c r="AC398" s="188"/>
      <c r="AD398" s="188"/>
      <c r="AE398" s="188"/>
      <c r="AF398" s="188"/>
      <c r="AG398" s="188"/>
      <c r="AH398" s="299"/>
      <c r="BK398" s="374">
        <v>98</v>
      </c>
      <c r="CA398" s="380"/>
    </row>
    <row r="399" spans="2:79" ht="13">
      <c r="B399" s="294"/>
      <c r="K399" s="296"/>
      <c r="AB399" s="188"/>
      <c r="AC399" s="188"/>
      <c r="AD399" s="188"/>
      <c r="AE399" s="188"/>
      <c r="AF399" s="188"/>
      <c r="AG399" s="188"/>
      <c r="AH399" s="299"/>
      <c r="BK399" s="374">
        <v>99</v>
      </c>
      <c r="CA399" s="380"/>
    </row>
    <row r="400" spans="2:79" ht="13">
      <c r="B400" s="294"/>
      <c r="K400" s="296"/>
      <c r="AB400" s="188"/>
      <c r="AC400" s="188"/>
      <c r="AD400" s="188"/>
      <c r="AE400" s="188"/>
      <c r="AF400" s="188"/>
      <c r="AG400" s="188"/>
      <c r="AH400" s="299"/>
      <c r="BK400" s="374">
        <v>100</v>
      </c>
      <c r="CA400" s="380"/>
    </row>
    <row r="401" spans="2:79" ht="13">
      <c r="B401" s="294"/>
      <c r="K401" s="296"/>
      <c r="AB401" s="188"/>
      <c r="AC401" s="188"/>
      <c r="AD401" s="188"/>
      <c r="AE401" s="188"/>
      <c r="AF401" s="188"/>
      <c r="AG401" s="188"/>
      <c r="AH401" s="299"/>
      <c r="BK401" s="374">
        <v>101</v>
      </c>
      <c r="CA401" s="380"/>
    </row>
    <row r="402" spans="2:79" ht="13">
      <c r="B402" s="294"/>
      <c r="K402" s="296"/>
      <c r="AB402" s="188"/>
      <c r="AC402" s="188"/>
      <c r="AD402" s="188"/>
      <c r="AE402" s="188"/>
      <c r="AF402" s="188"/>
      <c r="AG402" s="188"/>
      <c r="AH402" s="299"/>
      <c r="BK402" s="374">
        <v>102</v>
      </c>
      <c r="CA402" s="380"/>
    </row>
    <row r="403" spans="2:79" ht="13">
      <c r="B403" s="294"/>
      <c r="K403" s="296"/>
      <c r="AB403" s="188"/>
      <c r="AC403" s="188"/>
      <c r="AD403" s="188"/>
      <c r="AE403" s="188"/>
      <c r="AF403" s="188"/>
      <c r="AG403" s="188"/>
      <c r="AH403" s="299"/>
      <c r="BK403" s="374">
        <v>103</v>
      </c>
      <c r="CA403" s="380"/>
    </row>
    <row r="404" spans="2:79" ht="13">
      <c r="B404" s="294"/>
      <c r="K404" s="296"/>
      <c r="AB404" s="188"/>
      <c r="AC404" s="188"/>
      <c r="AD404" s="188"/>
      <c r="AE404" s="188"/>
      <c r="AF404" s="188"/>
      <c r="AG404" s="188"/>
      <c r="AH404" s="299"/>
      <c r="BK404" s="374">
        <v>104</v>
      </c>
      <c r="CA404" s="380"/>
    </row>
    <row r="405" spans="2:79" ht="13">
      <c r="B405" s="294"/>
      <c r="K405" s="296"/>
      <c r="AB405" s="188"/>
      <c r="AC405" s="188"/>
      <c r="AD405" s="188"/>
      <c r="AE405" s="188"/>
      <c r="AF405" s="188"/>
      <c r="AG405" s="188"/>
      <c r="AH405" s="299"/>
      <c r="BK405" s="374">
        <v>105</v>
      </c>
      <c r="CA405" s="380"/>
    </row>
    <row r="406" spans="2:79" ht="13">
      <c r="B406" s="294"/>
      <c r="K406" s="296"/>
      <c r="AB406" s="188"/>
      <c r="AC406" s="188"/>
      <c r="AD406" s="188"/>
      <c r="AE406" s="188"/>
      <c r="AF406" s="188"/>
      <c r="AG406" s="188"/>
      <c r="AH406" s="299"/>
      <c r="BK406" s="374">
        <v>106</v>
      </c>
      <c r="CA406" s="380"/>
    </row>
    <row r="407" spans="2:79" ht="13">
      <c r="B407" s="294"/>
      <c r="K407" s="296"/>
      <c r="AB407" s="188"/>
      <c r="AC407" s="188"/>
      <c r="AD407" s="188"/>
      <c r="AE407" s="188"/>
      <c r="AF407" s="188"/>
      <c r="AG407" s="188"/>
      <c r="AH407" s="299"/>
      <c r="BK407" s="374">
        <v>107</v>
      </c>
      <c r="CA407" s="380"/>
    </row>
    <row r="408" spans="2:79" ht="13">
      <c r="B408" s="294"/>
      <c r="K408" s="296"/>
      <c r="AB408" s="188"/>
      <c r="AC408" s="188"/>
      <c r="AD408" s="188"/>
      <c r="AE408" s="188"/>
      <c r="AF408" s="188"/>
      <c r="AG408" s="188"/>
      <c r="AH408" s="299"/>
      <c r="BK408" s="374">
        <v>108</v>
      </c>
      <c r="CA408" s="380"/>
    </row>
    <row r="409" spans="2:79" ht="13">
      <c r="B409" s="294"/>
      <c r="K409" s="296"/>
      <c r="AB409" s="188"/>
      <c r="AC409" s="188"/>
      <c r="AD409" s="188"/>
      <c r="AE409" s="188"/>
      <c r="AF409" s="188"/>
      <c r="AG409" s="188"/>
      <c r="AH409" s="299"/>
      <c r="BK409" s="374">
        <v>109</v>
      </c>
      <c r="CA409" s="380"/>
    </row>
    <row r="410" spans="2:79" ht="13">
      <c r="B410" s="294"/>
      <c r="K410" s="296"/>
      <c r="AB410" s="188"/>
      <c r="AC410" s="188"/>
      <c r="AD410" s="188"/>
      <c r="AE410" s="188"/>
      <c r="AF410" s="188"/>
      <c r="AG410" s="188"/>
      <c r="AH410" s="299"/>
      <c r="BK410" s="374">
        <v>110</v>
      </c>
      <c r="CA410" s="380"/>
    </row>
    <row r="411" spans="2:79" ht="13">
      <c r="B411" s="294"/>
      <c r="K411" s="296"/>
      <c r="AB411" s="188"/>
      <c r="AC411" s="188"/>
      <c r="AD411" s="188"/>
      <c r="AE411" s="188"/>
      <c r="AF411" s="188"/>
      <c r="AG411" s="188"/>
      <c r="AH411" s="299"/>
      <c r="BK411" s="374">
        <v>111</v>
      </c>
      <c r="CA411" s="380"/>
    </row>
    <row r="412" spans="2:79" ht="13">
      <c r="B412" s="294"/>
      <c r="K412" s="296"/>
      <c r="AB412" s="188"/>
      <c r="AC412" s="188"/>
      <c r="AD412" s="188"/>
      <c r="AE412" s="188"/>
      <c r="AF412" s="188"/>
      <c r="AG412" s="188"/>
      <c r="AH412" s="299"/>
      <c r="BK412" s="374">
        <v>112</v>
      </c>
      <c r="CA412" s="380"/>
    </row>
    <row r="413" spans="2:79" ht="13">
      <c r="B413" s="294"/>
      <c r="K413" s="296"/>
      <c r="AB413" s="188"/>
      <c r="AC413" s="188"/>
      <c r="AD413" s="188"/>
      <c r="AE413" s="188"/>
      <c r="AF413" s="188"/>
      <c r="AG413" s="188"/>
      <c r="AH413" s="299"/>
      <c r="BK413" s="374">
        <v>113</v>
      </c>
      <c r="CA413" s="380"/>
    </row>
    <row r="414" spans="2:79" ht="13">
      <c r="B414" s="294"/>
      <c r="K414" s="296"/>
      <c r="AB414" s="188"/>
      <c r="AC414" s="188"/>
      <c r="AD414" s="188"/>
      <c r="AE414" s="188"/>
      <c r="AF414" s="188"/>
      <c r="AG414" s="188"/>
      <c r="AH414" s="299"/>
      <c r="BK414" s="374">
        <v>114</v>
      </c>
      <c r="CA414" s="380"/>
    </row>
    <row r="415" spans="2:79" ht="13">
      <c r="B415" s="294"/>
      <c r="K415" s="296"/>
      <c r="AB415" s="188"/>
      <c r="AC415" s="188"/>
      <c r="AD415" s="188"/>
      <c r="AE415" s="188"/>
      <c r="AF415" s="188"/>
      <c r="AG415" s="188"/>
      <c r="AH415" s="299"/>
      <c r="BK415" s="374">
        <v>115</v>
      </c>
      <c r="CA415" s="380"/>
    </row>
    <row r="416" spans="2:79" ht="13">
      <c r="B416" s="294"/>
      <c r="K416" s="296"/>
      <c r="AB416" s="188"/>
      <c r="AC416" s="188"/>
      <c r="AD416" s="188"/>
      <c r="AE416" s="188"/>
      <c r="AF416" s="188"/>
      <c r="AG416" s="188"/>
      <c r="AH416" s="299"/>
      <c r="BK416" s="374">
        <v>116</v>
      </c>
      <c r="CA416" s="380"/>
    </row>
    <row r="417" spans="2:79" ht="13">
      <c r="B417" s="294"/>
      <c r="K417" s="296"/>
      <c r="AB417" s="188"/>
      <c r="AC417" s="188"/>
      <c r="AD417" s="188"/>
      <c r="AE417" s="188"/>
      <c r="AF417" s="188"/>
      <c r="AG417" s="188"/>
      <c r="AH417" s="299"/>
      <c r="BK417" s="374">
        <v>117</v>
      </c>
      <c r="CA417" s="380"/>
    </row>
    <row r="418" spans="2:79" ht="13">
      <c r="B418" s="294"/>
      <c r="K418" s="296"/>
      <c r="AB418" s="188"/>
      <c r="AC418" s="188"/>
      <c r="AD418" s="188"/>
      <c r="AE418" s="188"/>
      <c r="AF418" s="188"/>
      <c r="AG418" s="188"/>
      <c r="AH418" s="299"/>
      <c r="BK418" s="374">
        <v>118</v>
      </c>
      <c r="CA418" s="380"/>
    </row>
    <row r="419" spans="2:79" ht="13">
      <c r="B419" s="294"/>
      <c r="K419" s="296"/>
      <c r="AB419" s="188"/>
      <c r="AC419" s="188"/>
      <c r="AD419" s="188"/>
      <c r="AE419" s="188"/>
      <c r="AF419" s="188"/>
      <c r="AG419" s="188"/>
      <c r="AH419" s="299"/>
      <c r="BK419" s="374">
        <v>119</v>
      </c>
      <c r="CA419" s="380"/>
    </row>
    <row r="420" spans="2:79" ht="13">
      <c r="B420" s="294"/>
      <c r="K420" s="296"/>
      <c r="AB420" s="188"/>
      <c r="AC420" s="188"/>
      <c r="AD420" s="188"/>
      <c r="AE420" s="188"/>
      <c r="AF420" s="188"/>
      <c r="AG420" s="188"/>
      <c r="AH420" s="299"/>
      <c r="BK420" s="374">
        <v>120</v>
      </c>
      <c r="CA420" s="380"/>
    </row>
    <row r="421" spans="2:79" ht="13">
      <c r="B421" s="294"/>
      <c r="K421" s="296"/>
      <c r="AB421" s="188"/>
      <c r="AC421" s="188"/>
      <c r="AD421" s="188"/>
      <c r="AE421" s="188"/>
      <c r="AF421" s="188"/>
      <c r="AG421" s="188"/>
      <c r="AH421" s="299"/>
      <c r="BK421" s="374">
        <v>121</v>
      </c>
      <c r="CA421" s="380"/>
    </row>
    <row r="422" spans="2:79" ht="13">
      <c r="B422" s="294"/>
      <c r="K422" s="296"/>
      <c r="AB422" s="188"/>
      <c r="AC422" s="188"/>
      <c r="AD422" s="188"/>
      <c r="AE422" s="188"/>
      <c r="AF422" s="188"/>
      <c r="AG422" s="188"/>
      <c r="AH422" s="299"/>
      <c r="BK422" s="374">
        <v>122</v>
      </c>
      <c r="CA422" s="380"/>
    </row>
    <row r="423" spans="2:79" ht="13">
      <c r="B423" s="294"/>
      <c r="K423" s="296"/>
      <c r="AB423" s="188"/>
      <c r="AC423" s="188"/>
      <c r="AD423" s="188"/>
      <c r="AE423" s="188"/>
      <c r="AF423" s="188"/>
      <c r="AG423" s="188"/>
      <c r="AH423" s="299"/>
      <c r="BK423" s="374">
        <v>123</v>
      </c>
      <c r="CA423" s="380"/>
    </row>
    <row r="424" spans="2:79" ht="13">
      <c r="B424" s="294"/>
      <c r="K424" s="296"/>
      <c r="AB424" s="188"/>
      <c r="AC424" s="188"/>
      <c r="AD424" s="188"/>
      <c r="AE424" s="188"/>
      <c r="AF424" s="188"/>
      <c r="AG424" s="188"/>
      <c r="AH424" s="299"/>
      <c r="BK424" s="374">
        <v>124</v>
      </c>
      <c r="CA424" s="380"/>
    </row>
    <row r="425" spans="2:79" ht="13">
      <c r="B425" s="294"/>
      <c r="K425" s="296"/>
      <c r="AB425" s="188"/>
      <c r="AC425" s="188"/>
      <c r="AD425" s="188"/>
      <c r="AE425" s="188"/>
      <c r="AF425" s="188"/>
      <c r="AG425" s="188"/>
      <c r="AH425" s="299"/>
      <c r="BK425" s="374">
        <v>125</v>
      </c>
      <c r="CA425" s="380"/>
    </row>
    <row r="426" spans="2:79" ht="13">
      <c r="B426" s="294"/>
      <c r="K426" s="296"/>
      <c r="AB426" s="188"/>
      <c r="AC426" s="188"/>
      <c r="AD426" s="188"/>
      <c r="AE426" s="188"/>
      <c r="AF426" s="188"/>
      <c r="AG426" s="188"/>
      <c r="AH426" s="299"/>
      <c r="BK426" s="374">
        <v>126</v>
      </c>
      <c r="CA426" s="380"/>
    </row>
    <row r="427" spans="2:79" ht="13">
      <c r="B427" s="294"/>
      <c r="K427" s="296"/>
      <c r="AB427" s="188"/>
      <c r="AC427" s="188"/>
      <c r="AD427" s="188"/>
      <c r="AE427" s="188"/>
      <c r="AF427" s="188"/>
      <c r="AG427" s="188"/>
      <c r="AH427" s="299"/>
      <c r="BK427" s="374">
        <v>127</v>
      </c>
      <c r="CA427" s="380"/>
    </row>
    <row r="428" spans="2:79" ht="13">
      <c r="B428" s="294"/>
      <c r="K428" s="296"/>
      <c r="AB428" s="188"/>
      <c r="AC428" s="188"/>
      <c r="AD428" s="188"/>
      <c r="AE428" s="188"/>
      <c r="AF428" s="188"/>
      <c r="AG428" s="188"/>
      <c r="AH428" s="299"/>
      <c r="BK428" s="374">
        <v>128</v>
      </c>
      <c r="CA428" s="380"/>
    </row>
    <row r="429" spans="2:79" ht="13">
      <c r="B429" s="294"/>
      <c r="K429" s="296"/>
      <c r="AB429" s="188"/>
      <c r="AC429" s="188"/>
      <c r="AD429" s="188"/>
      <c r="AE429" s="188"/>
      <c r="AF429" s="188"/>
      <c r="AG429" s="188"/>
      <c r="AH429" s="299"/>
      <c r="BK429" s="374">
        <v>129</v>
      </c>
      <c r="CA429" s="380"/>
    </row>
    <row r="430" spans="2:79" ht="13">
      <c r="B430" s="294"/>
      <c r="K430" s="296"/>
      <c r="AB430" s="188"/>
      <c r="AC430" s="188"/>
      <c r="AD430" s="188"/>
      <c r="AE430" s="188"/>
      <c r="AF430" s="188"/>
      <c r="AG430" s="188"/>
      <c r="AH430" s="299"/>
      <c r="BK430" s="374">
        <v>130</v>
      </c>
      <c r="CA430" s="380"/>
    </row>
    <row r="431" spans="2:79" ht="13">
      <c r="B431" s="294"/>
      <c r="K431" s="296"/>
      <c r="AB431" s="188"/>
      <c r="AC431" s="188"/>
      <c r="AD431" s="188"/>
      <c r="AE431" s="188"/>
      <c r="AF431" s="188"/>
      <c r="AG431" s="188"/>
      <c r="AH431" s="299"/>
      <c r="BK431" s="374">
        <v>131</v>
      </c>
      <c r="CA431" s="380"/>
    </row>
    <row r="432" spans="2:79" ht="13">
      <c r="B432" s="294"/>
      <c r="K432" s="296"/>
      <c r="AB432" s="188"/>
      <c r="AC432" s="188"/>
      <c r="AD432" s="188"/>
      <c r="AE432" s="188"/>
      <c r="AF432" s="188"/>
      <c r="AG432" s="188"/>
      <c r="AH432" s="299"/>
      <c r="BK432" s="374">
        <v>132</v>
      </c>
      <c r="CA432" s="380"/>
    </row>
    <row r="433" spans="2:79" ht="13">
      <c r="B433" s="294"/>
      <c r="K433" s="296"/>
      <c r="AB433" s="188"/>
      <c r="AC433" s="188"/>
      <c r="AD433" s="188"/>
      <c r="AE433" s="188"/>
      <c r="AF433" s="188"/>
      <c r="AG433" s="188"/>
      <c r="AH433" s="299"/>
      <c r="BK433" s="374">
        <v>133</v>
      </c>
      <c r="CA433" s="380"/>
    </row>
    <row r="434" spans="2:79" ht="13">
      <c r="B434" s="294"/>
      <c r="K434" s="296"/>
      <c r="AB434" s="188"/>
      <c r="AC434" s="188"/>
      <c r="AD434" s="188"/>
      <c r="AE434" s="188"/>
      <c r="AF434" s="188"/>
      <c r="AG434" s="188"/>
      <c r="AH434" s="299"/>
      <c r="BK434" s="374">
        <v>134</v>
      </c>
      <c r="CA434" s="380"/>
    </row>
    <row r="435" spans="2:79" ht="13">
      <c r="B435" s="294"/>
      <c r="K435" s="296"/>
      <c r="AB435" s="188"/>
      <c r="AC435" s="188"/>
      <c r="AD435" s="188"/>
      <c r="AE435" s="188"/>
      <c r="AF435" s="188"/>
      <c r="AG435" s="188"/>
      <c r="AH435" s="299"/>
      <c r="BK435" s="374">
        <v>135</v>
      </c>
      <c r="CA435" s="380"/>
    </row>
    <row r="436" spans="2:79" ht="13">
      <c r="B436" s="294"/>
      <c r="K436" s="296"/>
      <c r="AB436" s="188"/>
      <c r="AC436" s="188"/>
      <c r="AD436" s="188"/>
      <c r="AE436" s="188"/>
      <c r="AF436" s="188"/>
      <c r="AG436" s="188"/>
      <c r="AH436" s="299"/>
      <c r="BK436" s="374">
        <v>136</v>
      </c>
      <c r="CA436" s="380"/>
    </row>
    <row r="437" spans="2:79" ht="13">
      <c r="B437" s="294"/>
      <c r="K437" s="296"/>
      <c r="AB437" s="188"/>
      <c r="AC437" s="188"/>
      <c r="AD437" s="188"/>
      <c r="AE437" s="188"/>
      <c r="AF437" s="188"/>
      <c r="AG437" s="188"/>
      <c r="AH437" s="299"/>
      <c r="BK437" s="374">
        <v>137</v>
      </c>
      <c r="CA437" s="380"/>
    </row>
    <row r="438" spans="2:79" ht="13">
      <c r="B438" s="294"/>
      <c r="K438" s="296"/>
      <c r="AB438" s="188"/>
      <c r="AC438" s="188"/>
      <c r="AD438" s="188"/>
      <c r="AE438" s="188"/>
      <c r="AF438" s="188"/>
      <c r="AG438" s="188"/>
      <c r="AH438" s="299"/>
      <c r="BK438" s="374">
        <v>138</v>
      </c>
      <c r="CA438" s="380"/>
    </row>
    <row r="439" spans="2:79" ht="13">
      <c r="B439" s="294"/>
      <c r="K439" s="296"/>
      <c r="AB439" s="188"/>
      <c r="AC439" s="188"/>
      <c r="AD439" s="188"/>
      <c r="AE439" s="188"/>
      <c r="AF439" s="188"/>
      <c r="AG439" s="188"/>
      <c r="AH439" s="299"/>
      <c r="BK439" s="374">
        <v>139</v>
      </c>
      <c r="CA439" s="380"/>
    </row>
    <row r="440" spans="2:79" ht="13">
      <c r="B440" s="294"/>
      <c r="K440" s="296"/>
      <c r="AB440" s="188"/>
      <c r="AC440" s="188"/>
      <c r="AD440" s="188"/>
      <c r="AE440" s="188"/>
      <c r="AF440" s="188"/>
      <c r="AG440" s="188"/>
      <c r="AH440" s="299"/>
      <c r="BK440" s="381">
        <v>140</v>
      </c>
      <c r="BL440" s="382"/>
      <c r="BM440" s="382"/>
      <c r="BN440" s="382"/>
      <c r="BO440" s="382"/>
      <c r="BP440" s="382"/>
      <c r="BQ440" s="382"/>
      <c r="BR440" s="382"/>
      <c r="BS440" s="382"/>
      <c r="BT440" s="382"/>
      <c r="BU440" s="382"/>
      <c r="BV440" s="382"/>
      <c r="BW440" s="382"/>
      <c r="BX440" s="382"/>
      <c r="BY440" s="382"/>
      <c r="BZ440" s="382"/>
      <c r="CA440" s="383"/>
    </row>
    <row r="441" spans="2:79" ht="13">
      <c r="B441" s="294"/>
      <c r="K441" s="296"/>
      <c r="AB441" s="188"/>
      <c r="AC441" s="188"/>
      <c r="AD441" s="188"/>
      <c r="AE441" s="188"/>
      <c r="AF441" s="188"/>
      <c r="AG441" s="188"/>
      <c r="AH441" s="299"/>
    </row>
    <row r="442" spans="2:79" ht="13">
      <c r="B442" s="294"/>
      <c r="K442" s="296"/>
      <c r="AB442" s="188"/>
      <c r="AC442" s="188"/>
      <c r="AD442" s="188"/>
      <c r="AE442" s="188"/>
      <c r="AF442" s="188"/>
      <c r="AG442" s="188"/>
      <c r="AH442" s="299"/>
    </row>
    <row r="443" spans="2:79" ht="13">
      <c r="B443" s="294"/>
      <c r="K443" s="296"/>
      <c r="AB443" s="188"/>
      <c r="AC443" s="188"/>
      <c r="AD443" s="188"/>
      <c r="AE443" s="188"/>
      <c r="AF443" s="188"/>
      <c r="AG443" s="188"/>
      <c r="AH443" s="299"/>
    </row>
    <row r="444" spans="2:79" ht="13">
      <c r="B444" s="294"/>
      <c r="K444" s="296"/>
      <c r="AB444" s="188"/>
      <c r="AC444" s="188"/>
      <c r="AD444" s="188"/>
      <c r="AE444" s="188"/>
      <c r="AF444" s="188"/>
      <c r="AG444" s="188"/>
      <c r="AH444" s="299"/>
    </row>
    <row r="445" spans="2:79" ht="13">
      <c r="B445" s="294"/>
      <c r="K445" s="296"/>
      <c r="AB445" s="188"/>
      <c r="AC445" s="188"/>
      <c r="AD445" s="188"/>
      <c r="AE445" s="188"/>
      <c r="AF445" s="188"/>
      <c r="AG445" s="188"/>
      <c r="AH445" s="299"/>
    </row>
    <row r="446" spans="2:79" ht="13">
      <c r="B446" s="294"/>
      <c r="K446" s="296"/>
      <c r="AB446" s="188"/>
      <c r="AC446" s="188"/>
      <c r="AD446" s="188"/>
      <c r="AE446" s="188"/>
      <c r="AF446" s="188"/>
      <c r="AG446" s="188"/>
      <c r="AH446" s="299"/>
    </row>
    <row r="447" spans="2:79" ht="13">
      <c r="B447" s="294"/>
      <c r="K447" s="296"/>
      <c r="AB447" s="188"/>
      <c r="AC447" s="188"/>
      <c r="AD447" s="188"/>
      <c r="AE447" s="188"/>
      <c r="AF447" s="188"/>
      <c r="AG447" s="188"/>
      <c r="AH447" s="299"/>
    </row>
    <row r="448" spans="2:79" ht="13">
      <c r="B448" s="294"/>
      <c r="K448" s="296"/>
      <c r="AB448" s="188"/>
      <c r="AC448" s="188"/>
      <c r="AD448" s="188"/>
      <c r="AE448" s="188"/>
      <c r="AF448" s="188"/>
      <c r="AG448" s="188"/>
      <c r="AH448" s="299"/>
    </row>
    <row r="449" spans="2:34" ht="13">
      <c r="B449" s="294"/>
      <c r="K449" s="296"/>
      <c r="AB449" s="188"/>
      <c r="AC449" s="188"/>
      <c r="AD449" s="188"/>
      <c r="AE449" s="188"/>
      <c r="AF449" s="188"/>
      <c r="AG449" s="188"/>
      <c r="AH449" s="299"/>
    </row>
    <row r="450" spans="2:34" ht="13">
      <c r="B450" s="294"/>
      <c r="K450" s="296"/>
      <c r="AB450" s="188"/>
      <c r="AC450" s="188"/>
      <c r="AD450" s="188"/>
      <c r="AE450" s="188"/>
      <c r="AF450" s="188"/>
      <c r="AG450" s="188"/>
      <c r="AH450" s="299"/>
    </row>
    <row r="451" spans="2:34" ht="13">
      <c r="B451" s="294"/>
      <c r="K451" s="296"/>
      <c r="AB451" s="188"/>
      <c r="AC451" s="188"/>
      <c r="AD451" s="188"/>
      <c r="AE451" s="188"/>
      <c r="AF451" s="188"/>
      <c r="AG451" s="188"/>
      <c r="AH451" s="299"/>
    </row>
    <row r="452" spans="2:34" ht="13">
      <c r="B452" s="294"/>
      <c r="K452" s="296"/>
      <c r="AB452" s="188"/>
      <c r="AC452" s="188"/>
      <c r="AD452" s="188"/>
      <c r="AE452" s="188"/>
      <c r="AF452" s="188"/>
      <c r="AG452" s="188"/>
      <c r="AH452" s="299"/>
    </row>
    <row r="453" spans="2:34" ht="13">
      <c r="B453" s="294"/>
      <c r="K453" s="296"/>
      <c r="AB453" s="188"/>
      <c r="AC453" s="188"/>
      <c r="AD453" s="188"/>
      <c r="AE453" s="188"/>
      <c r="AF453" s="188"/>
      <c r="AG453" s="188"/>
      <c r="AH453" s="299"/>
    </row>
    <row r="454" spans="2:34" ht="13">
      <c r="B454" s="294"/>
      <c r="K454" s="296"/>
      <c r="AB454" s="188"/>
      <c r="AC454" s="188"/>
      <c r="AD454" s="188"/>
      <c r="AE454" s="188"/>
      <c r="AF454" s="188"/>
      <c r="AG454" s="188"/>
      <c r="AH454" s="299"/>
    </row>
    <row r="455" spans="2:34" ht="13">
      <c r="B455" s="294"/>
      <c r="K455" s="296"/>
      <c r="AB455" s="188"/>
      <c r="AC455" s="188"/>
      <c r="AD455" s="188"/>
      <c r="AE455" s="188"/>
      <c r="AF455" s="188"/>
      <c r="AG455" s="188"/>
      <c r="AH455" s="299"/>
    </row>
    <row r="456" spans="2:34" ht="13">
      <c r="B456" s="294"/>
      <c r="K456" s="296"/>
      <c r="AB456" s="188"/>
      <c r="AC456" s="188"/>
      <c r="AD456" s="188"/>
      <c r="AE456" s="188"/>
      <c r="AF456" s="188"/>
      <c r="AG456" s="188"/>
      <c r="AH456" s="299"/>
    </row>
    <row r="457" spans="2:34" ht="13">
      <c r="B457" s="294"/>
      <c r="K457" s="296"/>
      <c r="AB457" s="188"/>
      <c r="AC457" s="188"/>
      <c r="AD457" s="188"/>
      <c r="AE457" s="188"/>
      <c r="AF457" s="188"/>
      <c r="AG457" s="188"/>
      <c r="AH457" s="299"/>
    </row>
    <row r="458" spans="2:34" ht="13">
      <c r="B458" s="294"/>
      <c r="K458" s="296"/>
      <c r="AB458" s="188"/>
      <c r="AC458" s="188"/>
      <c r="AD458" s="188"/>
      <c r="AE458" s="188"/>
      <c r="AF458" s="188"/>
      <c r="AG458" s="188"/>
      <c r="AH458" s="299"/>
    </row>
    <row r="459" spans="2:34" ht="13">
      <c r="B459" s="294"/>
      <c r="K459" s="296"/>
      <c r="AB459" s="188"/>
      <c r="AC459" s="188"/>
      <c r="AD459" s="188"/>
      <c r="AE459" s="188"/>
      <c r="AF459" s="188"/>
      <c r="AG459" s="188"/>
      <c r="AH459" s="299"/>
    </row>
    <row r="460" spans="2:34" ht="13">
      <c r="B460" s="294"/>
      <c r="K460" s="296"/>
      <c r="AB460" s="188"/>
      <c r="AC460" s="188"/>
      <c r="AD460" s="188"/>
      <c r="AE460" s="188"/>
      <c r="AF460" s="188"/>
      <c r="AG460" s="188"/>
      <c r="AH460" s="299"/>
    </row>
    <row r="461" spans="2:34" ht="13">
      <c r="B461" s="294"/>
      <c r="K461" s="296"/>
      <c r="AB461" s="188"/>
      <c r="AC461" s="188"/>
      <c r="AD461" s="188"/>
      <c r="AE461" s="188"/>
      <c r="AF461" s="188"/>
      <c r="AG461" s="188"/>
      <c r="AH461" s="299"/>
    </row>
    <row r="462" spans="2:34" ht="13">
      <c r="B462" s="294"/>
      <c r="K462" s="296"/>
      <c r="AB462" s="188"/>
      <c r="AC462" s="188"/>
      <c r="AD462" s="188"/>
      <c r="AE462" s="188"/>
      <c r="AF462" s="188"/>
      <c r="AG462" s="188"/>
      <c r="AH462" s="299"/>
    </row>
    <row r="463" spans="2:34" ht="13">
      <c r="B463" s="294"/>
      <c r="K463" s="296"/>
      <c r="AB463" s="188"/>
      <c r="AC463" s="188"/>
      <c r="AD463" s="188"/>
      <c r="AE463" s="188"/>
      <c r="AF463" s="188"/>
      <c r="AG463" s="188"/>
      <c r="AH463" s="299"/>
    </row>
    <row r="464" spans="2:34" ht="13">
      <c r="B464" s="294"/>
      <c r="K464" s="296"/>
      <c r="AB464" s="188"/>
      <c r="AC464" s="188"/>
      <c r="AD464" s="188"/>
      <c r="AE464" s="188"/>
      <c r="AF464" s="188"/>
      <c r="AG464" s="188"/>
      <c r="AH464" s="299"/>
    </row>
    <row r="465" spans="2:34" ht="13">
      <c r="B465" s="294"/>
      <c r="K465" s="296"/>
      <c r="AB465" s="188"/>
      <c r="AC465" s="188"/>
      <c r="AD465" s="188"/>
      <c r="AE465" s="188"/>
      <c r="AF465" s="188"/>
      <c r="AG465" s="188"/>
      <c r="AH465" s="299"/>
    </row>
    <row r="466" spans="2:34" ht="13">
      <c r="B466" s="294"/>
      <c r="K466" s="296"/>
      <c r="AB466" s="188"/>
      <c r="AC466" s="188"/>
      <c r="AD466" s="188"/>
      <c r="AE466" s="188"/>
      <c r="AF466" s="188"/>
      <c r="AG466" s="188"/>
      <c r="AH466" s="299"/>
    </row>
    <row r="467" spans="2:34" ht="13">
      <c r="B467" s="294"/>
      <c r="K467" s="296"/>
      <c r="AB467" s="188"/>
      <c r="AC467" s="188"/>
      <c r="AD467" s="188"/>
      <c r="AE467" s="188"/>
      <c r="AF467" s="188"/>
      <c r="AG467" s="188"/>
      <c r="AH467" s="299"/>
    </row>
    <row r="468" spans="2:34" ht="13">
      <c r="B468" s="294"/>
      <c r="K468" s="296"/>
      <c r="AB468" s="188"/>
      <c r="AC468" s="188"/>
      <c r="AD468" s="188"/>
      <c r="AE468" s="188"/>
      <c r="AF468" s="188"/>
      <c r="AG468" s="188"/>
      <c r="AH468" s="299"/>
    </row>
    <row r="469" spans="2:34" ht="13">
      <c r="B469" s="294"/>
      <c r="K469" s="296"/>
      <c r="AB469" s="188"/>
      <c r="AC469" s="188"/>
      <c r="AD469" s="188"/>
      <c r="AE469" s="188"/>
      <c r="AF469" s="188"/>
      <c r="AG469" s="188"/>
      <c r="AH469" s="299"/>
    </row>
    <row r="470" spans="2:34" ht="13">
      <c r="B470" s="294"/>
      <c r="K470" s="296"/>
      <c r="AB470" s="188"/>
      <c r="AC470" s="188"/>
      <c r="AD470" s="188"/>
      <c r="AE470" s="188"/>
      <c r="AF470" s="188"/>
      <c r="AG470" s="188"/>
      <c r="AH470" s="299"/>
    </row>
    <row r="471" spans="2:34" ht="13">
      <c r="B471" s="294"/>
      <c r="K471" s="296"/>
      <c r="AB471" s="188"/>
      <c r="AC471" s="188"/>
      <c r="AD471" s="188"/>
      <c r="AE471" s="188"/>
      <c r="AF471" s="188"/>
      <c r="AG471" s="188"/>
      <c r="AH471" s="299"/>
    </row>
    <row r="472" spans="2:34" ht="13">
      <c r="B472" s="294"/>
      <c r="K472" s="296"/>
      <c r="AB472" s="188"/>
      <c r="AC472" s="188"/>
      <c r="AD472" s="188"/>
      <c r="AE472" s="188"/>
      <c r="AF472" s="188"/>
      <c r="AG472" s="188"/>
      <c r="AH472" s="299"/>
    </row>
    <row r="473" spans="2:34" ht="13">
      <c r="B473" s="294"/>
      <c r="K473" s="296"/>
      <c r="AB473" s="188"/>
      <c r="AC473" s="188"/>
      <c r="AD473" s="188"/>
      <c r="AE473" s="188"/>
      <c r="AF473" s="188"/>
      <c r="AG473" s="188"/>
      <c r="AH473" s="299"/>
    </row>
    <row r="474" spans="2:34" ht="13">
      <c r="B474" s="294"/>
      <c r="K474" s="296"/>
      <c r="AB474" s="188"/>
      <c r="AC474" s="188"/>
      <c r="AD474" s="188"/>
      <c r="AE474" s="188"/>
      <c r="AF474" s="188"/>
      <c r="AG474" s="188"/>
      <c r="AH474" s="299"/>
    </row>
    <row r="475" spans="2:34" ht="13">
      <c r="B475" s="294"/>
      <c r="K475" s="296"/>
      <c r="AB475" s="188"/>
      <c r="AC475" s="188"/>
      <c r="AD475" s="188"/>
      <c r="AE475" s="188"/>
      <c r="AF475" s="188"/>
      <c r="AG475" s="188"/>
      <c r="AH475" s="299"/>
    </row>
    <row r="476" spans="2:34" ht="13">
      <c r="B476" s="294"/>
      <c r="K476" s="296"/>
      <c r="AB476" s="188"/>
      <c r="AC476" s="188"/>
      <c r="AD476" s="188"/>
      <c r="AE476" s="188"/>
      <c r="AF476" s="188"/>
      <c r="AG476" s="188"/>
      <c r="AH476" s="299"/>
    </row>
    <row r="477" spans="2:34" ht="13">
      <c r="B477" s="294"/>
      <c r="K477" s="296"/>
      <c r="AB477" s="188"/>
      <c r="AC477" s="188"/>
      <c r="AD477" s="188"/>
      <c r="AE477" s="188"/>
      <c r="AF477" s="188"/>
      <c r="AG477" s="188"/>
      <c r="AH477" s="299"/>
    </row>
    <row r="478" spans="2:34" ht="13">
      <c r="B478" s="294"/>
      <c r="K478" s="296"/>
      <c r="AB478" s="188"/>
      <c r="AC478" s="188"/>
      <c r="AD478" s="188"/>
      <c r="AE478" s="188"/>
      <c r="AF478" s="188"/>
      <c r="AG478" s="188"/>
      <c r="AH478" s="299"/>
    </row>
    <row r="479" spans="2:34" ht="13">
      <c r="B479" s="294"/>
      <c r="K479" s="296"/>
      <c r="AB479" s="188"/>
      <c r="AC479" s="188"/>
      <c r="AD479" s="188"/>
      <c r="AE479" s="188"/>
      <c r="AF479" s="188"/>
      <c r="AG479" s="188"/>
      <c r="AH479" s="299"/>
    </row>
    <row r="480" spans="2:34" ht="13">
      <c r="B480" s="294"/>
      <c r="K480" s="296"/>
      <c r="AB480" s="188"/>
      <c r="AC480" s="188"/>
      <c r="AD480" s="188"/>
      <c r="AE480" s="188"/>
      <c r="AF480" s="188"/>
      <c r="AG480" s="188"/>
      <c r="AH480" s="299"/>
    </row>
    <row r="481" spans="2:34" ht="13">
      <c r="B481" s="294"/>
      <c r="K481" s="296"/>
      <c r="AB481" s="188"/>
      <c r="AC481" s="188"/>
      <c r="AD481" s="188"/>
      <c r="AE481" s="188"/>
      <c r="AF481" s="188"/>
      <c r="AG481" s="188"/>
      <c r="AH481" s="299"/>
    </row>
    <row r="482" spans="2:34" ht="13">
      <c r="B482" s="294"/>
      <c r="K482" s="296"/>
      <c r="AB482" s="188"/>
      <c r="AC482" s="188"/>
      <c r="AD482" s="188"/>
      <c r="AE482" s="188"/>
      <c r="AF482" s="188"/>
      <c r="AG482" s="188"/>
      <c r="AH482" s="299"/>
    </row>
    <row r="483" spans="2:34" ht="13">
      <c r="B483" s="294"/>
      <c r="K483" s="296"/>
      <c r="AB483" s="188"/>
      <c r="AC483" s="188"/>
      <c r="AD483" s="188"/>
      <c r="AE483" s="188"/>
      <c r="AF483" s="188"/>
      <c r="AG483" s="188"/>
      <c r="AH483" s="299"/>
    </row>
    <row r="484" spans="2:34" ht="13">
      <c r="B484" s="294"/>
      <c r="K484" s="296"/>
      <c r="AB484" s="188"/>
      <c r="AC484" s="188"/>
      <c r="AD484" s="188"/>
      <c r="AE484" s="188"/>
      <c r="AF484" s="188"/>
      <c r="AG484" s="188"/>
      <c r="AH484" s="299"/>
    </row>
    <row r="485" spans="2:34" ht="13">
      <c r="B485" s="294"/>
      <c r="K485" s="296"/>
      <c r="AB485" s="188"/>
      <c r="AC485" s="188"/>
      <c r="AD485" s="188"/>
      <c r="AE485" s="188"/>
      <c r="AF485" s="188"/>
      <c r="AG485" s="188"/>
      <c r="AH485" s="299"/>
    </row>
    <row r="486" spans="2:34" ht="13">
      <c r="B486" s="294"/>
      <c r="K486" s="296"/>
      <c r="AB486" s="188"/>
      <c r="AC486" s="188"/>
      <c r="AD486" s="188"/>
      <c r="AE486" s="188"/>
      <c r="AF486" s="188"/>
      <c r="AG486" s="188"/>
      <c r="AH486" s="299"/>
    </row>
    <row r="487" spans="2:34" ht="13">
      <c r="B487" s="294"/>
      <c r="K487" s="296"/>
      <c r="AB487" s="188"/>
      <c r="AC487" s="188"/>
      <c r="AD487" s="188"/>
      <c r="AE487" s="188"/>
      <c r="AF487" s="188"/>
      <c r="AG487" s="188"/>
      <c r="AH487" s="299"/>
    </row>
    <row r="488" spans="2:34" ht="13">
      <c r="B488" s="294"/>
      <c r="K488" s="296"/>
      <c r="AB488" s="188"/>
      <c r="AC488" s="188"/>
      <c r="AD488" s="188"/>
      <c r="AE488" s="188"/>
      <c r="AF488" s="188"/>
      <c r="AG488" s="188"/>
      <c r="AH488" s="299"/>
    </row>
    <row r="489" spans="2:34" ht="13">
      <c r="B489" s="294"/>
      <c r="K489" s="296"/>
      <c r="AB489" s="188"/>
      <c r="AC489" s="188"/>
      <c r="AD489" s="188"/>
      <c r="AE489" s="188"/>
      <c r="AF489" s="188"/>
      <c r="AG489" s="188"/>
      <c r="AH489" s="299"/>
    </row>
    <row r="490" spans="2:34" ht="13">
      <c r="B490" s="294"/>
      <c r="K490" s="296"/>
      <c r="AB490" s="188"/>
      <c r="AC490" s="188"/>
      <c r="AD490" s="188"/>
      <c r="AE490" s="188"/>
      <c r="AF490" s="188"/>
      <c r="AG490" s="188"/>
      <c r="AH490" s="299"/>
    </row>
    <row r="491" spans="2:34" ht="13">
      <c r="B491" s="294"/>
      <c r="K491" s="296"/>
      <c r="AB491" s="188"/>
      <c r="AC491" s="188"/>
      <c r="AD491" s="188"/>
      <c r="AE491" s="188"/>
      <c r="AF491" s="188"/>
      <c r="AG491" s="188"/>
      <c r="AH491" s="299"/>
    </row>
    <row r="492" spans="2:34" ht="13">
      <c r="B492" s="294"/>
      <c r="K492" s="296"/>
      <c r="AB492" s="188"/>
      <c r="AC492" s="188"/>
      <c r="AD492" s="188"/>
      <c r="AE492" s="188"/>
      <c r="AF492" s="188"/>
      <c r="AG492" s="188"/>
      <c r="AH492" s="299"/>
    </row>
    <row r="493" spans="2:34" ht="13">
      <c r="B493" s="294"/>
      <c r="K493" s="296"/>
      <c r="AB493" s="188"/>
      <c r="AC493" s="188"/>
      <c r="AD493" s="188"/>
      <c r="AE493" s="188"/>
      <c r="AF493" s="188"/>
      <c r="AG493" s="188"/>
      <c r="AH493" s="299"/>
    </row>
    <row r="494" spans="2:34" ht="13">
      <c r="B494" s="294"/>
      <c r="K494" s="296"/>
      <c r="AB494" s="188"/>
      <c r="AC494" s="188"/>
      <c r="AD494" s="188"/>
      <c r="AE494" s="188"/>
      <c r="AF494" s="188"/>
      <c r="AG494" s="188"/>
      <c r="AH494" s="299"/>
    </row>
    <row r="495" spans="2:34" ht="13">
      <c r="B495" s="294"/>
      <c r="K495" s="296"/>
      <c r="AB495" s="188"/>
      <c r="AC495" s="188"/>
      <c r="AD495" s="188"/>
      <c r="AE495" s="188"/>
      <c r="AF495" s="188"/>
      <c r="AG495" s="188"/>
      <c r="AH495" s="299"/>
    </row>
    <row r="496" spans="2:34" ht="13">
      <c r="B496" s="294"/>
      <c r="K496" s="296"/>
      <c r="AB496" s="188"/>
      <c r="AC496" s="188"/>
      <c r="AD496" s="188"/>
      <c r="AE496" s="188"/>
      <c r="AF496" s="188"/>
      <c r="AG496" s="188"/>
      <c r="AH496" s="299"/>
    </row>
    <row r="497" spans="2:34" ht="13">
      <c r="B497" s="294"/>
      <c r="K497" s="296"/>
      <c r="AB497" s="188"/>
      <c r="AC497" s="188"/>
      <c r="AD497" s="188"/>
      <c r="AE497" s="188"/>
      <c r="AF497" s="188"/>
      <c r="AG497" s="188"/>
      <c r="AH497" s="299"/>
    </row>
    <row r="498" spans="2:34" ht="13">
      <c r="B498" s="294"/>
      <c r="K498" s="296"/>
      <c r="AB498" s="188"/>
      <c r="AC498" s="188"/>
      <c r="AD498" s="188"/>
      <c r="AE498" s="188"/>
      <c r="AF498" s="188"/>
      <c r="AG498" s="188"/>
      <c r="AH498" s="299"/>
    </row>
    <row r="499" spans="2:34" ht="13">
      <c r="B499" s="294"/>
      <c r="K499" s="296"/>
      <c r="AB499" s="188"/>
      <c r="AC499" s="188"/>
      <c r="AD499" s="188"/>
      <c r="AE499" s="188"/>
      <c r="AF499" s="188"/>
      <c r="AG499" s="188"/>
      <c r="AH499" s="299"/>
    </row>
    <row r="500" spans="2:34" ht="13">
      <c r="B500" s="294"/>
      <c r="K500" s="296"/>
      <c r="AB500" s="188"/>
      <c r="AC500" s="188"/>
      <c r="AD500" s="188"/>
      <c r="AE500" s="188"/>
      <c r="AF500" s="188"/>
      <c r="AG500" s="188"/>
      <c r="AH500" s="299"/>
    </row>
    <row r="501" spans="2:34" ht="13">
      <c r="B501" s="294"/>
      <c r="K501" s="296"/>
      <c r="AB501" s="188"/>
      <c r="AC501" s="188"/>
      <c r="AD501" s="188"/>
      <c r="AE501" s="188"/>
      <c r="AF501" s="188"/>
      <c r="AG501" s="188"/>
      <c r="AH501" s="299"/>
    </row>
    <row r="502" spans="2:34" ht="13">
      <c r="B502" s="294"/>
      <c r="K502" s="296"/>
      <c r="AB502" s="188"/>
      <c r="AC502" s="188"/>
      <c r="AD502" s="188"/>
      <c r="AE502" s="188"/>
      <c r="AF502" s="188"/>
      <c r="AG502" s="188"/>
      <c r="AH502" s="299"/>
    </row>
    <row r="503" spans="2:34" ht="13">
      <c r="B503" s="294"/>
      <c r="K503" s="296"/>
      <c r="AB503" s="188"/>
      <c r="AC503" s="188"/>
      <c r="AD503" s="188"/>
      <c r="AE503" s="188"/>
      <c r="AF503" s="188"/>
      <c r="AG503" s="188"/>
      <c r="AH503" s="299"/>
    </row>
    <row r="504" spans="2:34" ht="13">
      <c r="B504" s="294"/>
      <c r="K504" s="296"/>
      <c r="AB504" s="188"/>
      <c r="AC504" s="188"/>
      <c r="AD504" s="188"/>
      <c r="AE504" s="188"/>
      <c r="AF504" s="188"/>
      <c r="AG504" s="188"/>
      <c r="AH504" s="299"/>
    </row>
    <row r="505" spans="2:34" ht="13">
      <c r="B505" s="294"/>
      <c r="K505" s="296"/>
      <c r="AB505" s="188"/>
      <c r="AC505" s="188"/>
      <c r="AD505" s="188"/>
      <c r="AE505" s="188"/>
      <c r="AF505" s="188"/>
      <c r="AG505" s="188"/>
      <c r="AH505" s="299"/>
    </row>
    <row r="506" spans="2:34" ht="13">
      <c r="B506" s="294"/>
      <c r="K506" s="296"/>
      <c r="AB506" s="188"/>
      <c r="AC506" s="188"/>
      <c r="AD506" s="188"/>
      <c r="AE506" s="188"/>
      <c r="AF506" s="188"/>
      <c r="AG506" s="188"/>
      <c r="AH506" s="299"/>
    </row>
    <row r="507" spans="2:34" ht="13">
      <c r="B507" s="294"/>
      <c r="K507" s="296"/>
      <c r="AB507" s="188"/>
      <c r="AC507" s="188"/>
      <c r="AD507" s="188"/>
      <c r="AE507" s="188"/>
      <c r="AF507" s="188"/>
      <c r="AG507" s="188"/>
      <c r="AH507" s="299"/>
    </row>
    <row r="508" spans="2:34" ht="13">
      <c r="B508" s="294"/>
      <c r="K508" s="296"/>
      <c r="AB508" s="188"/>
      <c r="AC508" s="188"/>
      <c r="AD508" s="188"/>
      <c r="AE508" s="188"/>
      <c r="AF508" s="188"/>
      <c r="AG508" s="188"/>
      <c r="AH508" s="299"/>
    </row>
    <row r="509" spans="2:34" ht="13">
      <c r="B509" s="294"/>
      <c r="K509" s="296"/>
      <c r="AB509" s="188"/>
      <c r="AC509" s="188"/>
      <c r="AD509" s="188"/>
      <c r="AE509" s="188"/>
      <c r="AF509" s="188"/>
      <c r="AG509" s="188"/>
      <c r="AH509" s="299"/>
    </row>
    <row r="510" spans="2:34" ht="13">
      <c r="B510" s="294"/>
      <c r="K510" s="296"/>
      <c r="AB510" s="188"/>
      <c r="AC510" s="188"/>
      <c r="AD510" s="188"/>
      <c r="AE510" s="188"/>
      <c r="AF510" s="188"/>
      <c r="AG510" s="188"/>
      <c r="AH510" s="299"/>
    </row>
    <row r="511" spans="2:34" ht="13">
      <c r="B511" s="294"/>
      <c r="K511" s="296"/>
      <c r="AB511" s="188"/>
      <c r="AC511" s="188"/>
      <c r="AD511" s="188"/>
      <c r="AE511" s="188"/>
      <c r="AF511" s="188"/>
      <c r="AG511" s="188"/>
      <c r="AH511" s="299"/>
    </row>
    <row r="512" spans="2:34" ht="13">
      <c r="B512" s="294"/>
      <c r="K512" s="296"/>
      <c r="AB512" s="188"/>
      <c r="AC512" s="188"/>
      <c r="AD512" s="188"/>
      <c r="AE512" s="188"/>
      <c r="AF512" s="188"/>
      <c r="AG512" s="188"/>
      <c r="AH512" s="299"/>
    </row>
    <row r="513" spans="2:34" ht="13">
      <c r="B513" s="294"/>
      <c r="K513" s="296"/>
      <c r="AB513" s="188"/>
      <c r="AC513" s="188"/>
      <c r="AD513" s="188"/>
      <c r="AE513" s="188"/>
      <c r="AF513" s="188"/>
      <c r="AG513" s="188"/>
      <c r="AH513" s="299"/>
    </row>
    <row r="514" spans="2:34" ht="13">
      <c r="B514" s="294"/>
      <c r="K514" s="296"/>
      <c r="AB514" s="188"/>
      <c r="AC514" s="188"/>
      <c r="AD514" s="188"/>
      <c r="AE514" s="188"/>
      <c r="AF514" s="188"/>
      <c r="AG514" s="188"/>
      <c r="AH514" s="299"/>
    </row>
    <row r="515" spans="2:34" ht="13">
      <c r="B515" s="294"/>
      <c r="K515" s="296"/>
      <c r="AB515" s="188"/>
      <c r="AC515" s="188"/>
      <c r="AD515" s="188"/>
      <c r="AE515" s="188"/>
      <c r="AF515" s="188"/>
      <c r="AG515" s="188"/>
      <c r="AH515" s="299"/>
    </row>
    <row r="516" spans="2:34" ht="13">
      <c r="B516" s="294"/>
      <c r="K516" s="296"/>
      <c r="AB516" s="188"/>
      <c r="AC516" s="188"/>
      <c r="AD516" s="188"/>
      <c r="AE516" s="188"/>
      <c r="AF516" s="188"/>
      <c r="AG516" s="188"/>
      <c r="AH516" s="299"/>
    </row>
    <row r="517" spans="2:34" ht="13">
      <c r="B517" s="294"/>
      <c r="K517" s="296"/>
      <c r="AB517" s="188"/>
      <c r="AC517" s="188"/>
      <c r="AD517" s="188"/>
      <c r="AE517" s="188"/>
      <c r="AF517" s="188"/>
      <c r="AG517" s="188"/>
      <c r="AH517" s="299"/>
    </row>
    <row r="518" spans="2:34" ht="13">
      <c r="B518" s="294"/>
      <c r="K518" s="296"/>
      <c r="AB518" s="188"/>
      <c r="AC518" s="188"/>
      <c r="AD518" s="188"/>
      <c r="AE518" s="188"/>
      <c r="AF518" s="188"/>
      <c r="AG518" s="188"/>
      <c r="AH518" s="299"/>
    </row>
    <row r="519" spans="2:34" ht="13">
      <c r="B519" s="294"/>
      <c r="K519" s="296"/>
      <c r="AB519" s="188"/>
      <c r="AC519" s="188"/>
      <c r="AD519" s="188"/>
      <c r="AE519" s="188"/>
      <c r="AF519" s="188"/>
      <c r="AG519" s="188"/>
      <c r="AH519" s="299"/>
    </row>
    <row r="520" spans="2:34" ht="13">
      <c r="B520" s="294"/>
      <c r="K520" s="296"/>
      <c r="AB520" s="188"/>
      <c r="AC520" s="188"/>
      <c r="AD520" s="188"/>
      <c r="AE520" s="188"/>
      <c r="AF520" s="188"/>
      <c r="AG520" s="188"/>
      <c r="AH520" s="299"/>
    </row>
    <row r="521" spans="2:34" ht="13">
      <c r="B521" s="294"/>
      <c r="K521" s="296"/>
      <c r="AB521" s="188"/>
      <c r="AC521" s="188"/>
      <c r="AD521" s="188"/>
      <c r="AE521" s="188"/>
      <c r="AF521" s="188"/>
      <c r="AG521" s="188"/>
      <c r="AH521" s="299"/>
    </row>
    <row r="522" spans="2:34" ht="13">
      <c r="B522" s="294"/>
      <c r="K522" s="296"/>
      <c r="AB522" s="188"/>
      <c r="AC522" s="188"/>
      <c r="AD522" s="188"/>
      <c r="AE522" s="188"/>
      <c r="AF522" s="188"/>
      <c r="AG522" s="188"/>
      <c r="AH522" s="299"/>
    </row>
    <row r="523" spans="2:34" ht="13">
      <c r="B523" s="294"/>
      <c r="K523" s="296"/>
      <c r="AB523" s="188"/>
      <c r="AC523" s="188"/>
      <c r="AD523" s="188"/>
      <c r="AE523" s="188"/>
      <c r="AF523" s="188"/>
      <c r="AG523" s="188"/>
      <c r="AH523" s="299"/>
    </row>
    <row r="524" spans="2:34" ht="13">
      <c r="B524" s="294"/>
      <c r="K524" s="296"/>
      <c r="AB524" s="188"/>
      <c r="AC524" s="188"/>
      <c r="AD524" s="188"/>
      <c r="AE524" s="188"/>
      <c r="AF524" s="188"/>
      <c r="AG524" s="188"/>
      <c r="AH524" s="299"/>
    </row>
    <row r="525" spans="2:34" ht="13">
      <c r="B525" s="294"/>
      <c r="K525" s="296"/>
      <c r="AB525" s="188"/>
      <c r="AC525" s="188"/>
      <c r="AD525" s="188"/>
      <c r="AE525" s="188"/>
      <c r="AF525" s="188"/>
      <c r="AG525" s="188"/>
      <c r="AH525" s="299"/>
    </row>
    <row r="526" spans="2:34" ht="13">
      <c r="B526" s="294"/>
      <c r="K526" s="296"/>
      <c r="AB526" s="188"/>
      <c r="AC526" s="188"/>
      <c r="AD526" s="188"/>
      <c r="AE526" s="188"/>
      <c r="AF526" s="188"/>
      <c r="AG526" s="188"/>
      <c r="AH526" s="299"/>
    </row>
    <row r="527" spans="2:34" ht="13">
      <c r="B527" s="294"/>
      <c r="K527" s="296"/>
      <c r="AB527" s="188"/>
      <c r="AC527" s="188"/>
      <c r="AD527" s="188"/>
      <c r="AE527" s="188"/>
      <c r="AF527" s="188"/>
      <c r="AG527" s="188"/>
      <c r="AH527" s="299"/>
    </row>
    <row r="528" spans="2:34" ht="13">
      <c r="B528" s="294"/>
      <c r="K528" s="296"/>
      <c r="AB528" s="188"/>
      <c r="AC528" s="188"/>
      <c r="AD528" s="188"/>
      <c r="AE528" s="188"/>
      <c r="AF528" s="188"/>
      <c r="AG528" s="188"/>
      <c r="AH528" s="299"/>
    </row>
    <row r="529" spans="2:34" ht="13">
      <c r="B529" s="294"/>
      <c r="K529" s="296"/>
      <c r="AB529" s="188"/>
      <c r="AC529" s="188"/>
      <c r="AD529" s="188"/>
      <c r="AE529" s="188"/>
      <c r="AF529" s="188"/>
      <c r="AG529" s="188"/>
      <c r="AH529" s="299"/>
    </row>
    <row r="530" spans="2:34" ht="13">
      <c r="B530" s="294"/>
      <c r="K530" s="296"/>
      <c r="AB530" s="188"/>
      <c r="AC530" s="188"/>
      <c r="AD530" s="188"/>
      <c r="AE530" s="188"/>
      <c r="AF530" s="188"/>
      <c r="AG530" s="188"/>
      <c r="AH530" s="299"/>
    </row>
    <row r="531" spans="2:34" ht="13">
      <c r="B531" s="294"/>
      <c r="K531" s="296"/>
      <c r="AB531" s="188"/>
      <c r="AC531" s="188"/>
      <c r="AD531" s="188"/>
      <c r="AE531" s="188"/>
      <c r="AF531" s="188"/>
      <c r="AG531" s="188"/>
      <c r="AH531" s="299"/>
    </row>
    <row r="532" spans="2:34" ht="13">
      <c r="B532" s="294"/>
      <c r="K532" s="296"/>
      <c r="AB532" s="188"/>
      <c r="AC532" s="188"/>
      <c r="AD532" s="188"/>
      <c r="AE532" s="188"/>
      <c r="AF532" s="188"/>
      <c r="AG532" s="188"/>
      <c r="AH532" s="299"/>
    </row>
    <row r="533" spans="2:34" ht="13">
      <c r="B533" s="294"/>
      <c r="K533" s="296"/>
      <c r="AB533" s="188"/>
      <c r="AC533" s="188"/>
      <c r="AD533" s="188"/>
      <c r="AE533" s="188"/>
      <c r="AF533" s="188"/>
      <c r="AG533" s="188"/>
      <c r="AH533" s="299"/>
    </row>
    <row r="534" spans="2:34" ht="13">
      <c r="B534" s="294"/>
      <c r="K534" s="296"/>
      <c r="AB534" s="188"/>
      <c r="AC534" s="188"/>
      <c r="AD534" s="188"/>
      <c r="AE534" s="188"/>
      <c r="AF534" s="188"/>
      <c r="AG534" s="188"/>
      <c r="AH534" s="299"/>
    </row>
    <row r="535" spans="2:34" ht="13">
      <c r="B535" s="294"/>
      <c r="K535" s="296"/>
      <c r="AB535" s="188"/>
      <c r="AC535" s="188"/>
      <c r="AD535" s="188"/>
      <c r="AE535" s="188"/>
      <c r="AF535" s="188"/>
      <c r="AG535" s="188"/>
      <c r="AH535" s="299"/>
    </row>
    <row r="536" spans="2:34" ht="13">
      <c r="B536" s="294"/>
      <c r="K536" s="296"/>
      <c r="AB536" s="188"/>
      <c r="AC536" s="188"/>
      <c r="AD536" s="188"/>
      <c r="AE536" s="188"/>
      <c r="AF536" s="188"/>
      <c r="AG536" s="188"/>
      <c r="AH536" s="299"/>
    </row>
    <row r="537" spans="2:34" ht="13">
      <c r="B537" s="294"/>
      <c r="K537" s="296"/>
      <c r="AB537" s="188"/>
      <c r="AC537" s="188"/>
      <c r="AD537" s="188"/>
      <c r="AE537" s="188"/>
      <c r="AF537" s="188"/>
      <c r="AG537" s="188"/>
      <c r="AH537" s="299"/>
    </row>
    <row r="538" spans="2:34" ht="13">
      <c r="B538" s="294"/>
      <c r="K538" s="296"/>
      <c r="AB538" s="188"/>
      <c r="AC538" s="188"/>
      <c r="AD538" s="188"/>
      <c r="AE538" s="188"/>
      <c r="AF538" s="188"/>
      <c r="AG538" s="188"/>
      <c r="AH538" s="299"/>
    </row>
    <row r="539" spans="2:34" ht="13">
      <c r="B539" s="294"/>
      <c r="K539" s="296"/>
      <c r="AB539" s="188"/>
      <c r="AC539" s="188"/>
      <c r="AD539" s="188"/>
      <c r="AE539" s="188"/>
      <c r="AF539" s="188"/>
      <c r="AG539" s="188"/>
      <c r="AH539" s="299"/>
    </row>
    <row r="540" spans="2:34" ht="13">
      <c r="B540" s="294"/>
      <c r="K540" s="296"/>
      <c r="AB540" s="188"/>
      <c r="AC540" s="188"/>
      <c r="AD540" s="188"/>
      <c r="AE540" s="188"/>
      <c r="AF540" s="188"/>
      <c r="AG540" s="188"/>
      <c r="AH540" s="299"/>
    </row>
    <row r="541" spans="2:34" ht="13">
      <c r="B541" s="294"/>
      <c r="K541" s="296"/>
      <c r="AB541" s="188"/>
      <c r="AC541" s="188"/>
      <c r="AD541" s="188"/>
      <c r="AE541" s="188"/>
      <c r="AF541" s="188"/>
      <c r="AG541" s="188"/>
      <c r="AH541" s="299"/>
    </row>
    <row r="542" spans="2:34" ht="13">
      <c r="B542" s="294"/>
      <c r="K542" s="296"/>
      <c r="AB542" s="188"/>
      <c r="AC542" s="188"/>
      <c r="AD542" s="188"/>
      <c r="AE542" s="188"/>
      <c r="AF542" s="188"/>
      <c r="AG542" s="188"/>
      <c r="AH542" s="299"/>
    </row>
    <row r="543" spans="2:34" ht="13">
      <c r="B543" s="294"/>
      <c r="K543" s="296"/>
      <c r="AB543" s="188"/>
      <c r="AC543" s="188"/>
      <c r="AD543" s="188"/>
      <c r="AE543" s="188"/>
      <c r="AF543" s="188"/>
      <c r="AG543" s="188"/>
      <c r="AH543" s="299"/>
    </row>
    <row r="544" spans="2:34" ht="13">
      <c r="B544" s="294"/>
      <c r="K544" s="296"/>
      <c r="AB544" s="188"/>
      <c r="AC544" s="188"/>
      <c r="AD544" s="188"/>
      <c r="AE544" s="188"/>
      <c r="AF544" s="188"/>
      <c r="AG544" s="188"/>
      <c r="AH544" s="299"/>
    </row>
    <row r="545" spans="2:34" ht="13">
      <c r="B545" s="294"/>
      <c r="K545" s="296"/>
      <c r="AB545" s="188"/>
      <c r="AC545" s="188"/>
      <c r="AD545" s="188"/>
      <c r="AE545" s="188"/>
      <c r="AF545" s="188"/>
      <c r="AG545" s="188"/>
      <c r="AH545" s="299"/>
    </row>
    <row r="546" spans="2:34" ht="13">
      <c r="B546" s="294"/>
      <c r="K546" s="296"/>
      <c r="AB546" s="188"/>
      <c r="AC546" s="188"/>
      <c r="AD546" s="188"/>
      <c r="AE546" s="188"/>
      <c r="AF546" s="188"/>
      <c r="AG546" s="188"/>
      <c r="AH546" s="299"/>
    </row>
    <row r="547" spans="2:34" ht="13">
      <c r="B547" s="294"/>
      <c r="K547" s="296"/>
      <c r="AB547" s="188"/>
      <c r="AC547" s="188"/>
      <c r="AD547" s="188"/>
      <c r="AE547" s="188"/>
      <c r="AF547" s="188"/>
      <c r="AG547" s="188"/>
      <c r="AH547" s="299"/>
    </row>
    <row r="548" spans="2:34" ht="13">
      <c r="B548" s="294"/>
      <c r="K548" s="296"/>
      <c r="AB548" s="188"/>
      <c r="AC548" s="188"/>
      <c r="AD548" s="188"/>
      <c r="AE548" s="188"/>
      <c r="AF548" s="188"/>
      <c r="AG548" s="188"/>
      <c r="AH548" s="299"/>
    </row>
    <row r="549" spans="2:34" ht="13">
      <c r="B549" s="294"/>
      <c r="K549" s="296"/>
      <c r="AB549" s="188"/>
      <c r="AC549" s="188"/>
      <c r="AD549" s="188"/>
      <c r="AE549" s="188"/>
      <c r="AF549" s="188"/>
      <c r="AG549" s="188"/>
      <c r="AH549" s="299"/>
    </row>
    <row r="550" spans="2:34" ht="13">
      <c r="B550" s="294"/>
      <c r="K550" s="296"/>
      <c r="AB550" s="188"/>
      <c r="AC550" s="188"/>
      <c r="AD550" s="188"/>
      <c r="AE550" s="188"/>
      <c r="AF550" s="188"/>
      <c r="AG550" s="188"/>
      <c r="AH550" s="299"/>
    </row>
    <row r="551" spans="2:34" ht="13">
      <c r="B551" s="294"/>
      <c r="K551" s="296"/>
      <c r="AB551" s="188"/>
      <c r="AC551" s="188"/>
      <c r="AD551" s="188"/>
      <c r="AE551" s="188"/>
      <c r="AF551" s="188"/>
      <c r="AG551" s="188"/>
      <c r="AH551" s="299"/>
    </row>
    <row r="552" spans="2:34" ht="13">
      <c r="B552" s="294"/>
      <c r="K552" s="296"/>
      <c r="AB552" s="188"/>
      <c r="AC552" s="188"/>
      <c r="AD552" s="188"/>
      <c r="AE552" s="188"/>
      <c r="AF552" s="188"/>
      <c r="AG552" s="188"/>
      <c r="AH552" s="299"/>
    </row>
    <row r="553" spans="2:34" ht="13">
      <c r="B553" s="294"/>
      <c r="K553" s="296"/>
      <c r="AB553" s="188"/>
      <c r="AC553" s="188"/>
      <c r="AD553" s="188"/>
      <c r="AE553" s="188"/>
      <c r="AF553" s="188"/>
      <c r="AG553" s="188"/>
      <c r="AH553" s="299"/>
    </row>
    <row r="554" spans="2:34" ht="13">
      <c r="B554" s="294"/>
      <c r="K554" s="296"/>
      <c r="AB554" s="188"/>
      <c r="AC554" s="188"/>
      <c r="AD554" s="188"/>
      <c r="AE554" s="188"/>
      <c r="AF554" s="188"/>
      <c r="AG554" s="188"/>
      <c r="AH554" s="299"/>
    </row>
    <row r="555" spans="2:34" ht="13">
      <c r="B555" s="294"/>
      <c r="K555" s="296"/>
      <c r="AB555" s="188"/>
      <c r="AC555" s="188"/>
      <c r="AD555" s="188"/>
      <c r="AE555" s="188"/>
      <c r="AF555" s="188"/>
      <c r="AG555" s="188"/>
      <c r="AH555" s="299"/>
    </row>
    <row r="556" spans="2:34" ht="13">
      <c r="B556" s="294"/>
      <c r="K556" s="296"/>
      <c r="AB556" s="188"/>
      <c r="AC556" s="188"/>
      <c r="AD556" s="188"/>
      <c r="AE556" s="188"/>
      <c r="AF556" s="188"/>
      <c r="AG556" s="188"/>
      <c r="AH556" s="299"/>
    </row>
    <row r="557" spans="2:34" ht="13">
      <c r="B557" s="294"/>
      <c r="K557" s="296"/>
      <c r="AB557" s="188"/>
      <c r="AC557" s="188"/>
      <c r="AD557" s="188"/>
      <c r="AE557" s="188"/>
      <c r="AF557" s="188"/>
      <c r="AG557" s="188"/>
      <c r="AH557" s="299"/>
    </row>
    <row r="558" spans="2:34" ht="13">
      <c r="B558" s="294"/>
      <c r="K558" s="296"/>
      <c r="AB558" s="188"/>
      <c r="AC558" s="188"/>
      <c r="AD558" s="188"/>
      <c r="AE558" s="188"/>
      <c r="AF558" s="188"/>
      <c r="AG558" s="188"/>
      <c r="AH558" s="299"/>
    </row>
    <row r="559" spans="2:34" ht="13">
      <c r="B559" s="294"/>
      <c r="K559" s="296"/>
      <c r="AB559" s="188"/>
      <c r="AC559" s="188"/>
      <c r="AD559" s="188"/>
      <c r="AE559" s="188"/>
      <c r="AF559" s="188"/>
      <c r="AG559" s="188"/>
      <c r="AH559" s="299"/>
    </row>
    <row r="560" spans="2:34" ht="13">
      <c r="B560" s="294"/>
      <c r="K560" s="296"/>
      <c r="AB560" s="188"/>
      <c r="AC560" s="188"/>
      <c r="AD560" s="188"/>
      <c r="AE560" s="188"/>
      <c r="AF560" s="188"/>
      <c r="AG560" s="188"/>
      <c r="AH560" s="299"/>
    </row>
    <row r="561" spans="2:34" ht="13">
      <c r="B561" s="294"/>
      <c r="K561" s="296"/>
      <c r="AB561" s="188"/>
      <c r="AC561" s="188"/>
      <c r="AD561" s="188"/>
      <c r="AE561" s="188"/>
      <c r="AF561" s="188"/>
      <c r="AG561" s="188"/>
      <c r="AH561" s="299"/>
    </row>
    <row r="562" spans="2:34" ht="13">
      <c r="B562" s="294"/>
      <c r="K562" s="296"/>
      <c r="AB562" s="188"/>
      <c r="AC562" s="188"/>
      <c r="AD562" s="188"/>
      <c r="AE562" s="188"/>
      <c r="AF562" s="188"/>
      <c r="AG562" s="188"/>
      <c r="AH562" s="299"/>
    </row>
    <row r="563" spans="2:34" ht="13">
      <c r="B563" s="294"/>
      <c r="K563" s="296"/>
      <c r="AB563" s="188"/>
      <c r="AC563" s="188"/>
      <c r="AD563" s="188"/>
      <c r="AE563" s="188"/>
      <c r="AF563" s="188"/>
      <c r="AG563" s="188"/>
      <c r="AH563" s="299"/>
    </row>
    <row r="564" spans="2:34" ht="13">
      <c r="B564" s="294"/>
      <c r="K564" s="296"/>
      <c r="AB564" s="188"/>
      <c r="AC564" s="188"/>
      <c r="AD564" s="188"/>
      <c r="AE564" s="188"/>
      <c r="AF564" s="188"/>
      <c r="AG564" s="188"/>
      <c r="AH564" s="299"/>
    </row>
    <row r="565" spans="2:34" ht="13">
      <c r="B565" s="294"/>
      <c r="K565" s="296"/>
      <c r="AB565" s="188"/>
      <c r="AC565" s="188"/>
      <c r="AD565" s="188"/>
      <c r="AE565" s="188"/>
      <c r="AF565" s="188"/>
      <c r="AG565" s="188"/>
      <c r="AH565" s="299"/>
    </row>
    <row r="566" spans="2:34" ht="13">
      <c r="B566" s="294"/>
      <c r="K566" s="296"/>
      <c r="AB566" s="188"/>
      <c r="AC566" s="188"/>
      <c r="AD566" s="188"/>
      <c r="AE566" s="188"/>
      <c r="AF566" s="188"/>
      <c r="AG566" s="188"/>
      <c r="AH566" s="299"/>
    </row>
    <row r="567" spans="2:34" ht="13">
      <c r="B567" s="294"/>
      <c r="K567" s="296"/>
      <c r="AB567" s="188"/>
      <c r="AC567" s="188"/>
      <c r="AD567" s="188"/>
      <c r="AE567" s="188"/>
      <c r="AF567" s="188"/>
      <c r="AG567" s="188"/>
      <c r="AH567" s="299"/>
    </row>
    <row r="568" spans="2:34" ht="13">
      <c r="B568" s="294"/>
      <c r="K568" s="296"/>
      <c r="AB568" s="188"/>
      <c r="AC568" s="188"/>
      <c r="AD568" s="188"/>
      <c r="AE568" s="188"/>
      <c r="AF568" s="188"/>
      <c r="AG568" s="188"/>
      <c r="AH568" s="299"/>
    </row>
    <row r="569" spans="2:34" ht="13">
      <c r="B569" s="294"/>
      <c r="K569" s="296"/>
      <c r="AB569" s="188"/>
      <c r="AC569" s="188"/>
      <c r="AD569" s="188"/>
      <c r="AE569" s="188"/>
      <c r="AF569" s="188"/>
      <c r="AG569" s="188"/>
      <c r="AH569" s="299"/>
    </row>
    <row r="570" spans="2:34" ht="13">
      <c r="B570" s="294"/>
      <c r="K570" s="296"/>
      <c r="AB570" s="188"/>
      <c r="AC570" s="188"/>
      <c r="AD570" s="188"/>
      <c r="AE570" s="188"/>
      <c r="AF570" s="188"/>
      <c r="AG570" s="188"/>
      <c r="AH570" s="299"/>
    </row>
    <row r="571" spans="2:34" ht="13">
      <c r="B571" s="294"/>
      <c r="K571" s="296"/>
      <c r="AB571" s="188"/>
      <c r="AC571" s="188"/>
      <c r="AD571" s="188"/>
      <c r="AE571" s="188"/>
      <c r="AF571" s="188"/>
      <c r="AG571" s="188"/>
      <c r="AH571" s="299"/>
    </row>
    <row r="572" spans="2:34" ht="13">
      <c r="B572" s="294"/>
      <c r="K572" s="296"/>
      <c r="AB572" s="188"/>
      <c r="AC572" s="188"/>
      <c r="AD572" s="188"/>
      <c r="AE572" s="188"/>
      <c r="AF572" s="188"/>
      <c r="AG572" s="188"/>
      <c r="AH572" s="299"/>
    </row>
    <row r="573" spans="2:34" ht="13">
      <c r="B573" s="294"/>
      <c r="K573" s="296"/>
      <c r="AB573" s="188"/>
      <c r="AC573" s="188"/>
      <c r="AD573" s="188"/>
      <c r="AE573" s="188"/>
      <c r="AF573" s="188"/>
      <c r="AG573" s="188"/>
      <c r="AH573" s="299"/>
    </row>
    <row r="574" spans="2:34" ht="13">
      <c r="B574" s="294"/>
      <c r="K574" s="296"/>
      <c r="AB574" s="188"/>
      <c r="AC574" s="188"/>
      <c r="AD574" s="188"/>
      <c r="AE574" s="188"/>
      <c r="AF574" s="188"/>
      <c r="AG574" s="188"/>
      <c r="AH574" s="299"/>
    </row>
    <row r="575" spans="2:34" ht="13">
      <c r="B575" s="294"/>
      <c r="K575" s="296"/>
      <c r="AB575" s="188"/>
      <c r="AC575" s="188"/>
      <c r="AD575" s="188"/>
      <c r="AE575" s="188"/>
      <c r="AF575" s="188"/>
      <c r="AG575" s="188"/>
      <c r="AH575" s="299"/>
    </row>
    <row r="576" spans="2:34" ht="13">
      <c r="B576" s="294"/>
      <c r="K576" s="296"/>
      <c r="AB576" s="188"/>
      <c r="AC576" s="188"/>
      <c r="AD576" s="188"/>
      <c r="AE576" s="188"/>
      <c r="AF576" s="188"/>
      <c r="AG576" s="188"/>
      <c r="AH576" s="299"/>
    </row>
    <row r="577" spans="2:34" ht="13">
      <c r="B577" s="294"/>
      <c r="K577" s="296"/>
      <c r="AB577" s="188"/>
      <c r="AC577" s="188"/>
      <c r="AD577" s="188"/>
      <c r="AE577" s="188"/>
      <c r="AF577" s="188"/>
      <c r="AG577" s="188"/>
      <c r="AH577" s="299"/>
    </row>
    <row r="578" spans="2:34" ht="13">
      <c r="B578" s="294"/>
      <c r="K578" s="296"/>
      <c r="AB578" s="188"/>
      <c r="AC578" s="188"/>
      <c r="AD578" s="188"/>
      <c r="AE578" s="188"/>
      <c r="AF578" s="188"/>
      <c r="AG578" s="188"/>
      <c r="AH578" s="299"/>
    </row>
    <row r="579" spans="2:34" ht="13">
      <c r="B579" s="294"/>
      <c r="K579" s="296"/>
      <c r="AB579" s="188"/>
      <c r="AC579" s="188"/>
      <c r="AD579" s="188"/>
      <c r="AE579" s="188"/>
      <c r="AF579" s="188"/>
      <c r="AG579" s="188"/>
      <c r="AH579" s="299"/>
    </row>
    <row r="580" spans="2:34" ht="13">
      <c r="B580" s="294"/>
      <c r="K580" s="296"/>
      <c r="AB580" s="188"/>
      <c r="AC580" s="188"/>
      <c r="AD580" s="188"/>
      <c r="AE580" s="188"/>
      <c r="AF580" s="188"/>
      <c r="AG580" s="188"/>
      <c r="AH580" s="299"/>
    </row>
    <row r="581" spans="2:34" ht="13">
      <c r="B581" s="294"/>
      <c r="K581" s="296"/>
      <c r="AB581" s="188"/>
      <c r="AC581" s="188"/>
      <c r="AD581" s="188"/>
      <c r="AE581" s="188"/>
      <c r="AF581" s="188"/>
      <c r="AG581" s="188"/>
      <c r="AH581" s="299"/>
    </row>
    <row r="582" spans="2:34" ht="13">
      <c r="B582" s="294"/>
      <c r="K582" s="296"/>
      <c r="AB582" s="188"/>
      <c r="AC582" s="188"/>
      <c r="AD582" s="188"/>
      <c r="AE582" s="188"/>
      <c r="AF582" s="188"/>
      <c r="AG582" s="188"/>
      <c r="AH582" s="299"/>
    </row>
    <row r="583" spans="2:34" ht="13">
      <c r="B583" s="294"/>
      <c r="K583" s="296"/>
      <c r="AB583" s="188"/>
      <c r="AC583" s="188"/>
      <c r="AD583" s="188"/>
      <c r="AE583" s="188"/>
      <c r="AF583" s="188"/>
      <c r="AG583" s="188"/>
      <c r="AH583" s="299"/>
    </row>
    <row r="584" spans="2:34" ht="13">
      <c r="B584" s="294"/>
      <c r="K584" s="296"/>
      <c r="AB584" s="188"/>
      <c r="AC584" s="188"/>
      <c r="AD584" s="188"/>
      <c r="AE584" s="188"/>
      <c r="AF584" s="188"/>
      <c r="AG584" s="188"/>
      <c r="AH584" s="299"/>
    </row>
    <row r="585" spans="2:34" ht="13">
      <c r="B585" s="294"/>
      <c r="K585" s="296"/>
      <c r="AB585" s="188"/>
      <c r="AC585" s="188"/>
      <c r="AD585" s="188"/>
      <c r="AE585" s="188"/>
      <c r="AF585" s="188"/>
      <c r="AG585" s="188"/>
      <c r="AH585" s="299"/>
    </row>
    <row r="586" spans="2:34" ht="13">
      <c r="B586" s="294"/>
      <c r="K586" s="296"/>
      <c r="AB586" s="188"/>
      <c r="AC586" s="188"/>
      <c r="AD586" s="188"/>
      <c r="AE586" s="188"/>
      <c r="AF586" s="188"/>
      <c r="AG586" s="188"/>
      <c r="AH586" s="299"/>
    </row>
    <row r="587" spans="2:34" ht="13">
      <c r="B587" s="294"/>
      <c r="K587" s="296"/>
      <c r="AB587" s="188"/>
      <c r="AC587" s="188"/>
      <c r="AD587" s="188"/>
      <c r="AE587" s="188"/>
      <c r="AF587" s="188"/>
      <c r="AG587" s="188"/>
      <c r="AH587" s="299"/>
    </row>
    <row r="588" spans="2:34" ht="13">
      <c r="B588" s="294"/>
      <c r="K588" s="296"/>
      <c r="AB588" s="188"/>
      <c r="AC588" s="188"/>
      <c r="AD588" s="188"/>
      <c r="AE588" s="188"/>
      <c r="AF588" s="188"/>
      <c r="AG588" s="188"/>
      <c r="AH588" s="299"/>
    </row>
    <row r="589" spans="2:34" ht="13">
      <c r="B589" s="294"/>
      <c r="K589" s="296"/>
      <c r="AB589" s="188"/>
      <c r="AC589" s="188"/>
      <c r="AD589" s="188"/>
      <c r="AE589" s="188"/>
      <c r="AF589" s="188"/>
      <c r="AG589" s="188"/>
      <c r="AH589" s="299"/>
    </row>
    <row r="590" spans="2:34" ht="13">
      <c r="B590" s="294"/>
      <c r="K590" s="296"/>
      <c r="AB590" s="188"/>
      <c r="AC590" s="188"/>
      <c r="AD590" s="188"/>
      <c r="AE590" s="188"/>
      <c r="AF590" s="188"/>
      <c r="AG590" s="188"/>
      <c r="AH590" s="299"/>
    </row>
    <row r="591" spans="2:34" ht="13">
      <c r="B591" s="294"/>
      <c r="K591" s="296"/>
      <c r="AB591" s="188"/>
      <c r="AC591" s="188"/>
      <c r="AD591" s="188"/>
      <c r="AE591" s="188"/>
      <c r="AF591" s="188"/>
      <c r="AG591" s="188"/>
      <c r="AH591" s="299"/>
    </row>
    <row r="592" spans="2:34" ht="13">
      <c r="B592" s="294"/>
      <c r="K592" s="296"/>
      <c r="AB592" s="188"/>
      <c r="AC592" s="188"/>
      <c r="AD592" s="188"/>
      <c r="AE592" s="188"/>
      <c r="AF592" s="188"/>
      <c r="AG592" s="188"/>
      <c r="AH592" s="299"/>
    </row>
    <row r="593" spans="2:34" ht="13">
      <c r="B593" s="294"/>
      <c r="K593" s="296"/>
      <c r="AB593" s="188"/>
      <c r="AC593" s="188"/>
      <c r="AD593" s="188"/>
      <c r="AE593" s="188"/>
      <c r="AF593" s="188"/>
      <c r="AG593" s="188"/>
      <c r="AH593" s="299"/>
    </row>
    <row r="594" spans="2:34" ht="13">
      <c r="B594" s="294"/>
      <c r="K594" s="296"/>
      <c r="AB594" s="188"/>
      <c r="AC594" s="188"/>
      <c r="AD594" s="188"/>
      <c r="AE594" s="188"/>
      <c r="AF594" s="188"/>
      <c r="AG594" s="188"/>
      <c r="AH594" s="299"/>
    </row>
    <row r="595" spans="2:34" ht="13">
      <c r="B595" s="294"/>
      <c r="K595" s="296"/>
      <c r="AB595" s="188"/>
      <c r="AC595" s="188"/>
      <c r="AD595" s="188"/>
      <c r="AE595" s="188"/>
      <c r="AF595" s="188"/>
      <c r="AG595" s="188"/>
      <c r="AH595" s="299"/>
    </row>
    <row r="596" spans="2:34" ht="13">
      <c r="B596" s="294"/>
      <c r="K596" s="296"/>
      <c r="AB596" s="188"/>
      <c r="AC596" s="188"/>
      <c r="AD596" s="188"/>
      <c r="AE596" s="188"/>
      <c r="AF596" s="188"/>
      <c r="AG596" s="188"/>
      <c r="AH596" s="299"/>
    </row>
    <row r="597" spans="2:34" ht="13">
      <c r="B597" s="294"/>
      <c r="K597" s="296"/>
      <c r="AB597" s="188"/>
      <c r="AC597" s="188"/>
      <c r="AD597" s="188"/>
      <c r="AE597" s="188"/>
      <c r="AF597" s="188"/>
      <c r="AG597" s="188"/>
      <c r="AH597" s="299"/>
    </row>
    <row r="598" spans="2:34" ht="13">
      <c r="B598" s="294"/>
      <c r="K598" s="296"/>
      <c r="AB598" s="188"/>
      <c r="AC598" s="188"/>
      <c r="AD598" s="188"/>
      <c r="AE598" s="188"/>
      <c r="AF598" s="188"/>
      <c r="AG598" s="188"/>
      <c r="AH598" s="299"/>
    </row>
    <row r="599" spans="2:34" ht="13">
      <c r="B599" s="294"/>
      <c r="K599" s="296"/>
      <c r="AB599" s="188"/>
      <c r="AC599" s="188"/>
      <c r="AD599" s="188"/>
      <c r="AE599" s="188"/>
      <c r="AF599" s="188"/>
      <c r="AG599" s="188"/>
      <c r="AH599" s="299"/>
    </row>
    <row r="600" spans="2:34" ht="13">
      <c r="B600" s="294"/>
      <c r="K600" s="296"/>
      <c r="AB600" s="188"/>
      <c r="AC600" s="188"/>
      <c r="AD600" s="188"/>
      <c r="AE600" s="188"/>
      <c r="AF600" s="188"/>
      <c r="AG600" s="188"/>
      <c r="AH600" s="299"/>
    </row>
    <row r="601" spans="2:34" ht="13">
      <c r="B601" s="294"/>
      <c r="K601" s="296"/>
      <c r="AB601" s="188"/>
      <c r="AC601" s="188"/>
      <c r="AD601" s="188"/>
      <c r="AE601" s="188"/>
      <c r="AF601" s="188"/>
      <c r="AG601" s="188"/>
      <c r="AH601" s="299"/>
    </row>
    <row r="602" spans="2:34" ht="13">
      <c r="B602" s="294"/>
      <c r="K602" s="296"/>
      <c r="AB602" s="188"/>
      <c r="AC602" s="188"/>
      <c r="AD602" s="188"/>
      <c r="AE602" s="188"/>
      <c r="AF602" s="188"/>
      <c r="AG602" s="188"/>
      <c r="AH602" s="299"/>
    </row>
    <row r="603" spans="2:34" ht="13">
      <c r="B603" s="294"/>
      <c r="K603" s="296"/>
      <c r="AB603" s="188"/>
      <c r="AC603" s="188"/>
      <c r="AD603" s="188"/>
      <c r="AE603" s="188"/>
      <c r="AF603" s="188"/>
      <c r="AG603" s="188"/>
      <c r="AH603" s="299"/>
    </row>
    <row r="604" spans="2:34" ht="13">
      <c r="B604" s="294"/>
      <c r="K604" s="296"/>
      <c r="AB604" s="188"/>
      <c r="AC604" s="188"/>
      <c r="AD604" s="188"/>
      <c r="AE604" s="188"/>
      <c r="AF604" s="188"/>
      <c r="AG604" s="188"/>
      <c r="AH604" s="299"/>
    </row>
    <row r="605" spans="2:34" ht="13">
      <c r="B605" s="294"/>
      <c r="K605" s="296"/>
      <c r="AB605" s="188"/>
      <c r="AC605" s="188"/>
      <c r="AD605" s="188"/>
      <c r="AE605" s="188"/>
      <c r="AF605" s="188"/>
      <c r="AG605" s="188"/>
      <c r="AH605" s="299"/>
    </row>
    <row r="606" spans="2:34" ht="13">
      <c r="B606" s="294"/>
      <c r="K606" s="296"/>
      <c r="AB606" s="188"/>
      <c r="AC606" s="188"/>
      <c r="AD606" s="188"/>
      <c r="AE606" s="188"/>
      <c r="AF606" s="188"/>
      <c r="AG606" s="188"/>
      <c r="AH606" s="299"/>
    </row>
    <row r="607" spans="2:34" ht="13">
      <c r="B607" s="294"/>
      <c r="K607" s="296"/>
      <c r="AB607" s="188"/>
      <c r="AC607" s="188"/>
      <c r="AD607" s="188"/>
      <c r="AE607" s="188"/>
      <c r="AF607" s="188"/>
      <c r="AG607" s="188"/>
      <c r="AH607" s="299"/>
    </row>
    <row r="608" spans="2:34" ht="13">
      <c r="B608" s="294"/>
      <c r="K608" s="296"/>
      <c r="AB608" s="188"/>
      <c r="AC608" s="188"/>
      <c r="AD608" s="188"/>
      <c r="AE608" s="188"/>
      <c r="AF608" s="188"/>
      <c r="AG608" s="188"/>
      <c r="AH608" s="299"/>
    </row>
    <row r="609" spans="2:34" ht="13">
      <c r="B609" s="294"/>
      <c r="K609" s="296"/>
      <c r="AB609" s="188"/>
      <c r="AC609" s="188"/>
      <c r="AD609" s="188"/>
      <c r="AE609" s="188"/>
      <c r="AF609" s="188"/>
      <c r="AG609" s="188"/>
      <c r="AH609" s="299"/>
    </row>
    <row r="610" spans="2:34" ht="13">
      <c r="B610" s="294"/>
      <c r="K610" s="296"/>
      <c r="AB610" s="188"/>
      <c r="AC610" s="188"/>
      <c r="AD610" s="188"/>
      <c r="AE610" s="188"/>
      <c r="AF610" s="188"/>
      <c r="AG610" s="188"/>
      <c r="AH610" s="299"/>
    </row>
    <row r="611" spans="2:34" ht="13">
      <c r="B611" s="294"/>
      <c r="K611" s="296"/>
      <c r="AB611" s="188"/>
      <c r="AC611" s="188"/>
      <c r="AD611" s="188"/>
      <c r="AE611" s="188"/>
      <c r="AF611" s="188"/>
      <c r="AG611" s="188"/>
      <c r="AH611" s="299"/>
    </row>
    <row r="612" spans="2:34" ht="13">
      <c r="B612" s="294"/>
      <c r="K612" s="296"/>
      <c r="AB612" s="188"/>
      <c r="AC612" s="188"/>
      <c r="AD612" s="188"/>
      <c r="AE612" s="188"/>
      <c r="AF612" s="188"/>
      <c r="AG612" s="188"/>
      <c r="AH612" s="299"/>
    </row>
    <row r="613" spans="2:34" ht="13">
      <c r="B613" s="294"/>
      <c r="K613" s="296"/>
      <c r="AB613" s="188"/>
      <c r="AC613" s="188"/>
      <c r="AD613" s="188"/>
      <c r="AE613" s="188"/>
      <c r="AF613" s="188"/>
      <c r="AG613" s="188"/>
      <c r="AH613" s="299"/>
    </row>
    <row r="614" spans="2:34" ht="13">
      <c r="B614" s="294"/>
      <c r="K614" s="296"/>
      <c r="AB614" s="188"/>
      <c r="AC614" s="188"/>
      <c r="AD614" s="188"/>
      <c r="AE614" s="188"/>
      <c r="AF614" s="188"/>
      <c r="AG614" s="188"/>
      <c r="AH614" s="299"/>
    </row>
    <row r="615" spans="2:34" ht="13">
      <c r="B615" s="294"/>
      <c r="K615" s="296"/>
      <c r="AB615" s="188"/>
      <c r="AC615" s="188"/>
      <c r="AD615" s="188"/>
      <c r="AE615" s="188"/>
      <c r="AF615" s="188"/>
      <c r="AG615" s="188"/>
      <c r="AH615" s="299"/>
    </row>
    <row r="616" spans="2:34" ht="13">
      <c r="B616" s="294"/>
      <c r="K616" s="296"/>
      <c r="AB616" s="188"/>
      <c r="AC616" s="188"/>
      <c r="AD616" s="188"/>
      <c r="AE616" s="188"/>
      <c r="AF616" s="188"/>
      <c r="AG616" s="188"/>
      <c r="AH616" s="299"/>
    </row>
    <row r="617" spans="2:34" ht="13">
      <c r="B617" s="294"/>
      <c r="K617" s="296"/>
      <c r="AB617" s="188"/>
      <c r="AC617" s="188"/>
      <c r="AD617" s="188"/>
      <c r="AE617" s="188"/>
      <c r="AF617" s="188"/>
      <c r="AG617" s="188"/>
      <c r="AH617" s="299"/>
    </row>
    <row r="618" spans="2:34" ht="13">
      <c r="B618" s="294"/>
      <c r="K618" s="296"/>
      <c r="AB618" s="188"/>
      <c r="AC618" s="188"/>
      <c r="AD618" s="188"/>
      <c r="AE618" s="188"/>
      <c r="AF618" s="188"/>
      <c r="AG618" s="188"/>
      <c r="AH618" s="299"/>
    </row>
    <row r="619" spans="2:34" ht="13">
      <c r="B619" s="294"/>
      <c r="K619" s="296"/>
      <c r="AB619" s="188"/>
      <c r="AC619" s="188"/>
      <c r="AD619" s="188"/>
      <c r="AE619" s="188"/>
      <c r="AF619" s="188"/>
      <c r="AG619" s="188"/>
      <c r="AH619" s="299"/>
    </row>
    <row r="620" spans="2:34" ht="13">
      <c r="B620" s="294"/>
      <c r="K620" s="296"/>
      <c r="AB620" s="188"/>
      <c r="AC620" s="188"/>
      <c r="AD620" s="188"/>
      <c r="AE620" s="188"/>
      <c r="AF620" s="188"/>
      <c r="AG620" s="188"/>
      <c r="AH620" s="299"/>
    </row>
    <row r="621" spans="2:34" ht="13">
      <c r="B621" s="294"/>
      <c r="K621" s="296"/>
      <c r="AB621" s="188"/>
      <c r="AC621" s="188"/>
      <c r="AD621" s="188"/>
      <c r="AE621" s="188"/>
      <c r="AF621" s="188"/>
      <c r="AG621" s="188"/>
      <c r="AH621" s="299"/>
    </row>
    <row r="622" spans="2:34" ht="13">
      <c r="B622" s="294"/>
      <c r="K622" s="296"/>
      <c r="AB622" s="188"/>
      <c r="AC622" s="188"/>
      <c r="AD622" s="188"/>
      <c r="AE622" s="188"/>
      <c r="AF622" s="188"/>
      <c r="AG622" s="188"/>
      <c r="AH622" s="299"/>
    </row>
    <row r="623" spans="2:34" ht="13">
      <c r="B623" s="294"/>
      <c r="K623" s="296"/>
      <c r="AB623" s="188"/>
      <c r="AC623" s="188"/>
      <c r="AD623" s="188"/>
      <c r="AE623" s="188"/>
      <c r="AF623" s="188"/>
      <c r="AG623" s="188"/>
      <c r="AH623" s="299"/>
    </row>
    <row r="624" spans="2:34" ht="13">
      <c r="B624" s="294"/>
      <c r="K624" s="296"/>
      <c r="AB624" s="188"/>
      <c r="AC624" s="188"/>
      <c r="AD624" s="188"/>
      <c r="AE624" s="188"/>
      <c r="AF624" s="188"/>
      <c r="AG624" s="188"/>
      <c r="AH624" s="299"/>
    </row>
    <row r="625" spans="2:34" ht="13">
      <c r="B625" s="294"/>
      <c r="K625" s="296"/>
      <c r="AB625" s="188"/>
      <c r="AC625" s="188"/>
      <c r="AD625" s="188"/>
      <c r="AE625" s="188"/>
      <c r="AF625" s="188"/>
      <c r="AG625" s="188"/>
      <c r="AH625" s="299"/>
    </row>
    <row r="626" spans="2:34" ht="13">
      <c r="B626" s="294"/>
      <c r="K626" s="296"/>
      <c r="AB626" s="188"/>
      <c r="AC626" s="188"/>
      <c r="AD626" s="188"/>
      <c r="AE626" s="188"/>
      <c r="AF626" s="188"/>
      <c r="AG626" s="188"/>
      <c r="AH626" s="299"/>
    </row>
    <row r="627" spans="2:34" ht="13">
      <c r="B627" s="294"/>
      <c r="K627" s="296"/>
      <c r="AB627" s="188"/>
      <c r="AC627" s="188"/>
      <c r="AD627" s="188"/>
      <c r="AE627" s="188"/>
      <c r="AF627" s="188"/>
      <c r="AG627" s="188"/>
      <c r="AH627" s="299"/>
    </row>
    <row r="628" spans="2:34" ht="13">
      <c r="B628" s="294"/>
      <c r="K628" s="296"/>
      <c r="AB628" s="188"/>
      <c r="AC628" s="188"/>
      <c r="AD628" s="188"/>
      <c r="AE628" s="188"/>
      <c r="AF628" s="188"/>
      <c r="AG628" s="188"/>
      <c r="AH628" s="299"/>
    </row>
    <row r="629" spans="2:34" ht="13">
      <c r="B629" s="294"/>
      <c r="K629" s="296"/>
      <c r="AB629" s="188"/>
      <c r="AC629" s="188"/>
      <c r="AD629" s="188"/>
      <c r="AE629" s="188"/>
      <c r="AF629" s="188"/>
      <c r="AG629" s="188"/>
      <c r="AH629" s="299"/>
    </row>
    <row r="630" spans="2:34" ht="13">
      <c r="B630" s="294"/>
      <c r="K630" s="296"/>
      <c r="AB630" s="188"/>
      <c r="AC630" s="188"/>
      <c r="AD630" s="188"/>
      <c r="AE630" s="188"/>
      <c r="AF630" s="188"/>
      <c r="AG630" s="188"/>
      <c r="AH630" s="299"/>
    </row>
    <row r="631" spans="2:34" ht="13">
      <c r="B631" s="294"/>
      <c r="K631" s="296"/>
      <c r="AB631" s="188"/>
      <c r="AC631" s="188"/>
      <c r="AD631" s="188"/>
      <c r="AE631" s="188"/>
      <c r="AF631" s="188"/>
      <c r="AG631" s="188"/>
      <c r="AH631" s="299"/>
    </row>
    <row r="632" spans="2:34" ht="13">
      <c r="B632" s="294"/>
      <c r="K632" s="296"/>
      <c r="AB632" s="188"/>
      <c r="AC632" s="188"/>
      <c r="AD632" s="188"/>
      <c r="AE632" s="188"/>
      <c r="AF632" s="188"/>
      <c r="AG632" s="188"/>
      <c r="AH632" s="299"/>
    </row>
    <row r="633" spans="2:34" ht="13">
      <c r="B633" s="294"/>
      <c r="K633" s="296"/>
      <c r="AB633" s="188"/>
      <c r="AC633" s="188"/>
      <c r="AD633" s="188"/>
      <c r="AE633" s="188"/>
      <c r="AF633" s="188"/>
      <c r="AG633" s="188"/>
      <c r="AH633" s="299"/>
    </row>
    <row r="634" spans="2:34" ht="13">
      <c r="B634" s="294"/>
      <c r="K634" s="296"/>
      <c r="AB634" s="188"/>
      <c r="AC634" s="188"/>
      <c r="AD634" s="188"/>
      <c r="AE634" s="188"/>
      <c r="AF634" s="188"/>
      <c r="AG634" s="188"/>
      <c r="AH634" s="299"/>
    </row>
    <row r="635" spans="2:34" ht="13">
      <c r="B635" s="294"/>
      <c r="K635" s="296"/>
      <c r="AB635" s="188"/>
      <c r="AC635" s="188"/>
      <c r="AD635" s="188"/>
      <c r="AE635" s="188"/>
      <c r="AF635" s="188"/>
      <c r="AG635" s="188"/>
      <c r="AH635" s="299"/>
    </row>
    <row r="636" spans="2:34" ht="13">
      <c r="B636" s="294"/>
      <c r="K636" s="296"/>
      <c r="AB636" s="188"/>
      <c r="AC636" s="188"/>
      <c r="AD636" s="188"/>
      <c r="AE636" s="188"/>
      <c r="AF636" s="188"/>
      <c r="AG636" s="188"/>
      <c r="AH636" s="299"/>
    </row>
    <row r="637" spans="2:34" ht="13">
      <c r="B637" s="294"/>
      <c r="K637" s="296"/>
      <c r="AB637" s="188"/>
      <c r="AC637" s="188"/>
      <c r="AD637" s="188"/>
      <c r="AE637" s="188"/>
      <c r="AF637" s="188"/>
      <c r="AG637" s="188"/>
      <c r="AH637" s="299"/>
    </row>
    <row r="638" spans="2:34" ht="13">
      <c r="B638" s="294"/>
      <c r="K638" s="296"/>
      <c r="AB638" s="188"/>
      <c r="AC638" s="188"/>
      <c r="AD638" s="188"/>
      <c r="AE638" s="188"/>
      <c r="AF638" s="188"/>
      <c r="AG638" s="188"/>
      <c r="AH638" s="299"/>
    </row>
    <row r="639" spans="2:34" ht="13">
      <c r="B639" s="294"/>
      <c r="K639" s="296"/>
      <c r="AB639" s="188"/>
      <c r="AC639" s="188"/>
      <c r="AD639" s="188"/>
      <c r="AE639" s="188"/>
      <c r="AF639" s="188"/>
      <c r="AG639" s="188"/>
      <c r="AH639" s="299"/>
    </row>
    <row r="640" spans="2:34" ht="13">
      <c r="B640" s="294"/>
      <c r="K640" s="296"/>
      <c r="AB640" s="188"/>
      <c r="AC640" s="188"/>
      <c r="AD640" s="188"/>
      <c r="AE640" s="188"/>
      <c r="AF640" s="188"/>
      <c r="AG640" s="188"/>
      <c r="AH640" s="299"/>
    </row>
    <row r="641" spans="2:34" ht="13">
      <c r="B641" s="294"/>
      <c r="K641" s="296"/>
      <c r="AB641" s="188"/>
      <c r="AC641" s="188"/>
      <c r="AD641" s="188"/>
      <c r="AE641" s="188"/>
      <c r="AF641" s="188"/>
      <c r="AG641" s="188"/>
      <c r="AH641" s="299"/>
    </row>
    <row r="642" spans="2:34" ht="13">
      <c r="B642" s="294"/>
      <c r="K642" s="296"/>
      <c r="AB642" s="188"/>
      <c r="AC642" s="188"/>
      <c r="AD642" s="188"/>
      <c r="AE642" s="188"/>
      <c r="AF642" s="188"/>
      <c r="AG642" s="188"/>
      <c r="AH642" s="299"/>
    </row>
    <row r="643" spans="2:34" ht="13">
      <c r="B643" s="294"/>
      <c r="K643" s="296"/>
      <c r="AB643" s="188"/>
      <c r="AC643" s="188"/>
      <c r="AD643" s="188"/>
      <c r="AE643" s="188"/>
      <c r="AF643" s="188"/>
      <c r="AG643" s="188"/>
      <c r="AH643" s="299"/>
    </row>
    <row r="644" spans="2:34" ht="13">
      <c r="B644" s="294"/>
      <c r="K644" s="296"/>
      <c r="AB644" s="188"/>
      <c r="AC644" s="188"/>
      <c r="AD644" s="188"/>
      <c r="AE644" s="188"/>
      <c r="AF644" s="188"/>
      <c r="AG644" s="188"/>
      <c r="AH644" s="299"/>
    </row>
    <row r="645" spans="2:34" ht="13">
      <c r="B645" s="294"/>
      <c r="K645" s="296"/>
      <c r="AB645" s="188"/>
      <c r="AC645" s="188"/>
      <c r="AD645" s="188"/>
      <c r="AE645" s="188"/>
      <c r="AF645" s="188"/>
      <c r="AG645" s="188"/>
      <c r="AH645" s="299"/>
    </row>
    <row r="646" spans="2:34" ht="13">
      <c r="B646" s="294"/>
      <c r="K646" s="296"/>
      <c r="AB646" s="188"/>
      <c r="AC646" s="188"/>
      <c r="AD646" s="188"/>
      <c r="AE646" s="188"/>
      <c r="AF646" s="188"/>
      <c r="AG646" s="188"/>
      <c r="AH646" s="299"/>
    </row>
    <row r="647" spans="2:34" ht="13">
      <c r="B647" s="294"/>
      <c r="K647" s="296"/>
      <c r="AB647" s="188"/>
      <c r="AC647" s="188"/>
      <c r="AD647" s="188"/>
      <c r="AE647" s="188"/>
      <c r="AF647" s="188"/>
      <c r="AG647" s="188"/>
      <c r="AH647" s="299"/>
    </row>
    <row r="648" spans="2:34" ht="13">
      <c r="B648" s="294"/>
      <c r="K648" s="296"/>
      <c r="AB648" s="188"/>
      <c r="AC648" s="188"/>
      <c r="AD648" s="188"/>
      <c r="AE648" s="188"/>
      <c r="AF648" s="188"/>
      <c r="AG648" s="188"/>
      <c r="AH648" s="299"/>
    </row>
    <row r="649" spans="2:34" ht="13">
      <c r="B649" s="294"/>
      <c r="K649" s="296"/>
      <c r="AB649" s="188"/>
      <c r="AC649" s="188"/>
      <c r="AD649" s="188"/>
      <c r="AE649" s="188"/>
      <c r="AF649" s="188"/>
      <c r="AG649" s="188"/>
      <c r="AH649" s="299"/>
    </row>
    <row r="650" spans="2:34" ht="13">
      <c r="B650" s="294"/>
      <c r="K650" s="296"/>
      <c r="AB650" s="188"/>
      <c r="AC650" s="188"/>
      <c r="AD650" s="188"/>
      <c r="AE650" s="188"/>
      <c r="AF650" s="188"/>
      <c r="AG650" s="188"/>
      <c r="AH650" s="299"/>
    </row>
    <row r="651" spans="2:34" ht="13">
      <c r="B651" s="294"/>
      <c r="K651" s="296"/>
      <c r="AB651" s="188"/>
      <c r="AC651" s="188"/>
      <c r="AD651" s="188"/>
      <c r="AE651" s="188"/>
      <c r="AF651" s="188"/>
      <c r="AG651" s="188"/>
      <c r="AH651" s="299"/>
    </row>
    <row r="652" spans="2:34" ht="13">
      <c r="B652" s="294"/>
      <c r="K652" s="296"/>
      <c r="AB652" s="188"/>
      <c r="AC652" s="188"/>
      <c r="AD652" s="188"/>
      <c r="AE652" s="188"/>
      <c r="AF652" s="188"/>
      <c r="AG652" s="188"/>
      <c r="AH652" s="299"/>
    </row>
    <row r="653" spans="2:34" ht="13">
      <c r="B653" s="294"/>
      <c r="K653" s="296"/>
      <c r="AB653" s="188"/>
      <c r="AC653" s="188"/>
      <c r="AD653" s="188"/>
      <c r="AE653" s="188"/>
      <c r="AF653" s="188"/>
      <c r="AG653" s="188"/>
      <c r="AH653" s="299"/>
    </row>
    <row r="654" spans="2:34" ht="13">
      <c r="B654" s="294"/>
      <c r="K654" s="296"/>
      <c r="AB654" s="188"/>
      <c r="AC654" s="188"/>
      <c r="AD654" s="188"/>
      <c r="AE654" s="188"/>
      <c r="AF654" s="188"/>
      <c r="AG654" s="188"/>
      <c r="AH654" s="299"/>
    </row>
    <row r="655" spans="2:34" ht="13">
      <c r="B655" s="294"/>
      <c r="K655" s="296"/>
      <c r="AB655" s="188"/>
      <c r="AC655" s="188"/>
      <c r="AD655" s="188"/>
      <c r="AE655" s="188"/>
      <c r="AF655" s="188"/>
      <c r="AG655" s="188"/>
      <c r="AH655" s="299"/>
    </row>
    <row r="656" spans="2:34" ht="13">
      <c r="B656" s="294"/>
      <c r="K656" s="296"/>
      <c r="AB656" s="188"/>
      <c r="AC656" s="188"/>
      <c r="AD656" s="188"/>
      <c r="AE656" s="188"/>
      <c r="AF656" s="188"/>
      <c r="AG656" s="188"/>
      <c r="AH656" s="299"/>
    </row>
    <row r="657" spans="2:34" ht="13">
      <c r="B657" s="294"/>
      <c r="K657" s="296"/>
      <c r="AB657" s="188"/>
      <c r="AC657" s="188"/>
      <c r="AD657" s="188"/>
      <c r="AE657" s="188"/>
      <c r="AF657" s="188"/>
      <c r="AG657" s="188"/>
      <c r="AH657" s="299"/>
    </row>
    <row r="658" spans="2:34" ht="13">
      <c r="B658" s="294"/>
      <c r="K658" s="296"/>
      <c r="AB658" s="188"/>
      <c r="AC658" s="188"/>
      <c r="AD658" s="188"/>
      <c r="AE658" s="188"/>
      <c r="AF658" s="188"/>
      <c r="AG658" s="188"/>
      <c r="AH658" s="299"/>
    </row>
    <row r="659" spans="2:34" ht="13">
      <c r="B659" s="294"/>
      <c r="K659" s="296"/>
      <c r="AB659" s="188"/>
      <c r="AC659" s="188"/>
      <c r="AD659" s="188"/>
      <c r="AE659" s="188"/>
      <c r="AF659" s="188"/>
      <c r="AG659" s="188"/>
      <c r="AH659" s="299"/>
    </row>
    <row r="660" spans="2:34" ht="13">
      <c r="B660" s="294"/>
      <c r="K660" s="296"/>
      <c r="AB660" s="188"/>
      <c r="AC660" s="188"/>
      <c r="AD660" s="188"/>
      <c r="AE660" s="188"/>
      <c r="AF660" s="188"/>
      <c r="AG660" s="188"/>
      <c r="AH660" s="299"/>
    </row>
    <row r="661" spans="2:34" ht="13">
      <c r="B661" s="294"/>
      <c r="K661" s="296"/>
      <c r="AB661" s="188"/>
      <c r="AC661" s="188"/>
      <c r="AD661" s="188"/>
      <c r="AE661" s="188"/>
      <c r="AF661" s="188"/>
      <c r="AG661" s="188"/>
      <c r="AH661" s="299"/>
    </row>
    <row r="662" spans="2:34" ht="13">
      <c r="B662" s="294"/>
      <c r="K662" s="296"/>
      <c r="AB662" s="188"/>
      <c r="AC662" s="188"/>
      <c r="AD662" s="188"/>
      <c r="AE662" s="188"/>
      <c r="AF662" s="188"/>
      <c r="AG662" s="188"/>
      <c r="AH662" s="299"/>
    </row>
    <row r="663" spans="2:34" ht="13">
      <c r="B663" s="294"/>
      <c r="K663" s="296"/>
      <c r="AB663" s="188"/>
      <c r="AC663" s="188"/>
      <c r="AD663" s="188"/>
      <c r="AE663" s="188"/>
      <c r="AF663" s="188"/>
      <c r="AG663" s="188"/>
      <c r="AH663" s="299"/>
    </row>
    <row r="664" spans="2:34" ht="13">
      <c r="B664" s="294"/>
      <c r="K664" s="296"/>
      <c r="AB664" s="188"/>
      <c r="AC664" s="188"/>
      <c r="AD664" s="188"/>
      <c r="AE664" s="188"/>
      <c r="AF664" s="188"/>
      <c r="AG664" s="188"/>
      <c r="AH664" s="299"/>
    </row>
    <row r="665" spans="2:34" ht="13">
      <c r="B665" s="294"/>
      <c r="K665" s="296"/>
      <c r="AB665" s="188"/>
      <c r="AC665" s="188"/>
      <c r="AD665" s="188"/>
      <c r="AE665" s="188"/>
      <c r="AF665" s="188"/>
      <c r="AG665" s="188"/>
      <c r="AH665" s="299"/>
    </row>
    <row r="666" spans="2:34" ht="13">
      <c r="B666" s="294"/>
      <c r="K666" s="296"/>
      <c r="AB666" s="188"/>
      <c r="AC666" s="188"/>
      <c r="AD666" s="188"/>
      <c r="AE666" s="188"/>
      <c r="AF666" s="188"/>
      <c r="AG666" s="188"/>
      <c r="AH666" s="299"/>
    </row>
    <row r="667" spans="2:34" ht="13">
      <c r="B667" s="294"/>
      <c r="K667" s="296"/>
      <c r="AB667" s="188"/>
      <c r="AC667" s="188"/>
      <c r="AD667" s="188"/>
      <c r="AE667" s="188"/>
      <c r="AF667" s="188"/>
      <c r="AG667" s="188"/>
      <c r="AH667" s="299"/>
    </row>
    <row r="668" spans="2:34" ht="13">
      <c r="B668" s="294"/>
      <c r="K668" s="296"/>
      <c r="AB668" s="188"/>
      <c r="AC668" s="188"/>
      <c r="AD668" s="188"/>
      <c r="AE668" s="188"/>
      <c r="AF668" s="188"/>
      <c r="AG668" s="188"/>
      <c r="AH668" s="299"/>
    </row>
    <row r="669" spans="2:34" ht="13">
      <c r="B669" s="294"/>
      <c r="K669" s="296"/>
      <c r="AB669" s="188"/>
      <c r="AC669" s="188"/>
      <c r="AD669" s="188"/>
      <c r="AE669" s="188"/>
      <c r="AF669" s="188"/>
      <c r="AG669" s="188"/>
      <c r="AH669" s="299"/>
    </row>
    <row r="670" spans="2:34" ht="13">
      <c r="B670" s="294"/>
      <c r="K670" s="296"/>
      <c r="AB670" s="188"/>
      <c r="AC670" s="188"/>
      <c r="AD670" s="188"/>
      <c r="AE670" s="188"/>
      <c r="AF670" s="188"/>
      <c r="AG670" s="188"/>
      <c r="AH670" s="299"/>
    </row>
    <row r="671" spans="2:34" ht="13">
      <c r="B671" s="294"/>
      <c r="K671" s="296"/>
      <c r="AB671" s="188"/>
      <c r="AC671" s="188"/>
      <c r="AD671" s="188"/>
      <c r="AE671" s="188"/>
      <c r="AF671" s="188"/>
      <c r="AG671" s="188"/>
      <c r="AH671" s="299"/>
    </row>
    <row r="672" spans="2:34" ht="13">
      <c r="B672" s="294"/>
      <c r="K672" s="296"/>
      <c r="AB672" s="188"/>
      <c r="AC672" s="188"/>
      <c r="AD672" s="188"/>
      <c r="AE672" s="188"/>
      <c r="AF672" s="188"/>
      <c r="AG672" s="188"/>
      <c r="AH672" s="299"/>
    </row>
    <row r="673" spans="2:34" ht="13">
      <c r="B673" s="294"/>
      <c r="K673" s="296"/>
      <c r="AB673" s="188"/>
      <c r="AC673" s="188"/>
      <c r="AD673" s="188"/>
      <c r="AE673" s="188"/>
      <c r="AF673" s="188"/>
      <c r="AG673" s="188"/>
      <c r="AH673" s="299"/>
    </row>
    <row r="674" spans="2:34" ht="13">
      <c r="B674" s="294"/>
      <c r="K674" s="296"/>
      <c r="AB674" s="188"/>
      <c r="AC674" s="188"/>
      <c r="AD674" s="188"/>
      <c r="AE674" s="188"/>
      <c r="AF674" s="188"/>
      <c r="AG674" s="188"/>
      <c r="AH674" s="299"/>
    </row>
    <row r="675" spans="2:34" ht="13">
      <c r="B675" s="294"/>
      <c r="K675" s="296"/>
      <c r="AB675" s="188"/>
      <c r="AC675" s="188"/>
      <c r="AD675" s="188"/>
      <c r="AE675" s="188"/>
      <c r="AF675" s="188"/>
      <c r="AG675" s="188"/>
      <c r="AH675" s="299"/>
    </row>
    <row r="676" spans="2:34" ht="13">
      <c r="B676" s="294"/>
      <c r="K676" s="296"/>
      <c r="AB676" s="188"/>
      <c r="AC676" s="188"/>
      <c r="AD676" s="188"/>
      <c r="AE676" s="188"/>
      <c r="AF676" s="188"/>
      <c r="AG676" s="188"/>
      <c r="AH676" s="299"/>
    </row>
    <row r="677" spans="2:34" ht="13">
      <c r="B677" s="294"/>
      <c r="K677" s="296"/>
      <c r="AB677" s="188"/>
      <c r="AC677" s="188"/>
      <c r="AD677" s="188"/>
      <c r="AE677" s="188"/>
      <c r="AF677" s="188"/>
      <c r="AG677" s="188"/>
      <c r="AH677" s="299"/>
    </row>
    <row r="678" spans="2:34" ht="13">
      <c r="B678" s="294"/>
      <c r="K678" s="296"/>
      <c r="AB678" s="188"/>
      <c r="AC678" s="188"/>
      <c r="AD678" s="188"/>
      <c r="AE678" s="188"/>
      <c r="AF678" s="188"/>
      <c r="AG678" s="188"/>
      <c r="AH678" s="299"/>
    </row>
    <row r="679" spans="2:34" ht="13">
      <c r="B679" s="294"/>
      <c r="K679" s="296"/>
      <c r="AB679" s="188"/>
      <c r="AC679" s="188"/>
      <c r="AD679" s="188"/>
      <c r="AE679" s="188"/>
      <c r="AF679" s="188"/>
      <c r="AG679" s="188"/>
      <c r="AH679" s="299"/>
    </row>
    <row r="680" spans="2:34" ht="13">
      <c r="B680" s="294"/>
      <c r="K680" s="296"/>
      <c r="AB680" s="188"/>
      <c r="AC680" s="188"/>
      <c r="AD680" s="188"/>
      <c r="AE680" s="188"/>
      <c r="AF680" s="188"/>
      <c r="AG680" s="188"/>
      <c r="AH680" s="299"/>
    </row>
    <row r="681" spans="2:34" ht="13">
      <c r="B681" s="294"/>
      <c r="K681" s="296"/>
      <c r="AB681" s="188"/>
      <c r="AC681" s="188"/>
      <c r="AD681" s="188"/>
      <c r="AE681" s="188"/>
      <c r="AF681" s="188"/>
      <c r="AG681" s="188"/>
      <c r="AH681" s="299"/>
    </row>
    <row r="682" spans="2:34" ht="13">
      <c r="B682" s="294"/>
      <c r="K682" s="296"/>
      <c r="AB682" s="188"/>
      <c r="AC682" s="188"/>
      <c r="AD682" s="188"/>
      <c r="AE682" s="188"/>
      <c r="AF682" s="188"/>
      <c r="AG682" s="188"/>
      <c r="AH682" s="299"/>
    </row>
    <row r="683" spans="2:34" ht="13">
      <c r="B683" s="294"/>
      <c r="K683" s="296"/>
      <c r="AB683" s="188"/>
      <c r="AC683" s="188"/>
      <c r="AD683" s="188"/>
      <c r="AE683" s="188"/>
      <c r="AF683" s="188"/>
      <c r="AG683" s="188"/>
      <c r="AH683" s="299"/>
    </row>
    <row r="684" spans="2:34" ht="13">
      <c r="B684" s="294"/>
      <c r="K684" s="296"/>
      <c r="AB684" s="188"/>
      <c r="AC684" s="188"/>
      <c r="AD684" s="188"/>
      <c r="AE684" s="188"/>
      <c r="AF684" s="188"/>
      <c r="AG684" s="188"/>
      <c r="AH684" s="299"/>
    </row>
    <row r="685" spans="2:34" ht="13">
      <c r="B685" s="294"/>
      <c r="K685" s="296"/>
      <c r="AB685" s="188"/>
      <c r="AC685" s="188"/>
      <c r="AD685" s="188"/>
      <c r="AE685" s="188"/>
      <c r="AF685" s="188"/>
      <c r="AG685" s="188"/>
      <c r="AH685" s="299"/>
    </row>
    <row r="686" spans="2:34" ht="13">
      <c r="B686" s="294"/>
      <c r="K686" s="296"/>
      <c r="AB686" s="188"/>
      <c r="AC686" s="188"/>
      <c r="AD686" s="188"/>
      <c r="AE686" s="188"/>
      <c r="AF686" s="188"/>
      <c r="AG686" s="188"/>
      <c r="AH686" s="299"/>
    </row>
    <row r="687" spans="2:34" ht="13">
      <c r="B687" s="294"/>
      <c r="K687" s="296"/>
      <c r="AB687" s="188"/>
      <c r="AC687" s="188"/>
      <c r="AD687" s="188"/>
      <c r="AE687" s="188"/>
      <c r="AF687" s="188"/>
      <c r="AG687" s="188"/>
      <c r="AH687" s="299"/>
    </row>
    <row r="688" spans="2:34" ht="13">
      <c r="B688" s="294"/>
      <c r="K688" s="296"/>
      <c r="AB688" s="188"/>
      <c r="AC688" s="188"/>
      <c r="AD688" s="188"/>
      <c r="AE688" s="188"/>
      <c r="AF688" s="188"/>
      <c r="AG688" s="188"/>
      <c r="AH688" s="299"/>
    </row>
    <row r="689" spans="2:34" ht="13">
      <c r="B689" s="294"/>
      <c r="K689" s="296"/>
      <c r="AB689" s="188"/>
      <c r="AC689" s="188"/>
      <c r="AD689" s="188"/>
      <c r="AE689" s="188"/>
      <c r="AF689" s="188"/>
      <c r="AG689" s="188"/>
      <c r="AH689" s="299"/>
    </row>
    <row r="690" spans="2:34" ht="13">
      <c r="B690" s="294"/>
      <c r="K690" s="296"/>
      <c r="AB690" s="188"/>
      <c r="AC690" s="188"/>
      <c r="AD690" s="188"/>
      <c r="AE690" s="188"/>
      <c r="AF690" s="188"/>
      <c r="AG690" s="188"/>
      <c r="AH690" s="299"/>
    </row>
    <row r="691" spans="2:34" ht="13">
      <c r="B691" s="294"/>
      <c r="K691" s="296"/>
      <c r="AB691" s="188"/>
      <c r="AC691" s="188"/>
      <c r="AD691" s="188"/>
      <c r="AE691" s="188"/>
      <c r="AF691" s="188"/>
      <c r="AG691" s="188"/>
      <c r="AH691" s="299"/>
    </row>
    <row r="692" spans="2:34" ht="13">
      <c r="B692" s="294"/>
      <c r="K692" s="296"/>
      <c r="AB692" s="188"/>
      <c r="AC692" s="188"/>
      <c r="AD692" s="188"/>
      <c r="AE692" s="188"/>
      <c r="AF692" s="188"/>
      <c r="AG692" s="188"/>
      <c r="AH692" s="299"/>
    </row>
    <row r="693" spans="2:34" ht="13">
      <c r="B693" s="294"/>
      <c r="K693" s="296"/>
      <c r="AB693" s="188"/>
      <c r="AC693" s="188"/>
      <c r="AD693" s="188"/>
      <c r="AE693" s="188"/>
      <c r="AF693" s="188"/>
      <c r="AG693" s="188"/>
      <c r="AH693" s="299"/>
    </row>
    <row r="694" spans="2:34" ht="13">
      <c r="B694" s="294"/>
      <c r="K694" s="296"/>
      <c r="AB694" s="188"/>
      <c r="AC694" s="188"/>
      <c r="AD694" s="188"/>
      <c r="AE694" s="188"/>
      <c r="AF694" s="188"/>
      <c r="AG694" s="188"/>
      <c r="AH694" s="299"/>
    </row>
    <row r="695" spans="2:34" ht="13">
      <c r="B695" s="294"/>
      <c r="K695" s="296"/>
      <c r="AB695" s="188"/>
      <c r="AC695" s="188"/>
      <c r="AD695" s="188"/>
      <c r="AE695" s="188"/>
      <c r="AF695" s="188"/>
      <c r="AG695" s="188"/>
      <c r="AH695" s="299"/>
    </row>
    <row r="696" spans="2:34" ht="13">
      <c r="B696" s="294"/>
      <c r="K696" s="296"/>
      <c r="AB696" s="188"/>
      <c r="AC696" s="188"/>
      <c r="AD696" s="188"/>
      <c r="AE696" s="188"/>
      <c r="AF696" s="188"/>
      <c r="AG696" s="188"/>
      <c r="AH696" s="299"/>
    </row>
    <row r="697" spans="2:34" ht="13">
      <c r="B697" s="294"/>
      <c r="K697" s="296"/>
      <c r="AB697" s="188"/>
      <c r="AC697" s="188"/>
      <c r="AD697" s="188"/>
      <c r="AE697" s="188"/>
      <c r="AF697" s="188"/>
      <c r="AG697" s="188"/>
      <c r="AH697" s="299"/>
    </row>
    <row r="698" spans="2:34" ht="13">
      <c r="B698" s="294"/>
      <c r="K698" s="296"/>
      <c r="AB698" s="188"/>
      <c r="AC698" s="188"/>
      <c r="AD698" s="188"/>
      <c r="AE698" s="188"/>
      <c r="AF698" s="188"/>
      <c r="AG698" s="188"/>
      <c r="AH698" s="299"/>
    </row>
    <row r="699" spans="2:34" ht="13">
      <c r="B699" s="294"/>
      <c r="K699" s="296"/>
      <c r="AB699" s="188"/>
      <c r="AC699" s="188"/>
      <c r="AD699" s="188"/>
      <c r="AE699" s="188"/>
      <c r="AF699" s="188"/>
      <c r="AG699" s="188"/>
      <c r="AH699" s="299"/>
    </row>
    <row r="700" spans="2:34" ht="13">
      <c r="B700" s="294"/>
      <c r="K700" s="296"/>
      <c r="AB700" s="188"/>
      <c r="AC700" s="188"/>
      <c r="AD700" s="188"/>
      <c r="AE700" s="188"/>
      <c r="AF700" s="188"/>
      <c r="AG700" s="188"/>
      <c r="AH700" s="299"/>
    </row>
    <row r="701" spans="2:34" ht="13">
      <c r="B701" s="294"/>
      <c r="K701" s="296"/>
      <c r="AB701" s="188"/>
      <c r="AC701" s="188"/>
      <c r="AD701" s="188"/>
      <c r="AE701" s="188"/>
      <c r="AF701" s="188"/>
      <c r="AG701" s="188"/>
      <c r="AH701" s="299"/>
    </row>
    <row r="702" spans="2:34" ht="13">
      <c r="B702" s="294"/>
      <c r="K702" s="296"/>
      <c r="AB702" s="188"/>
      <c r="AC702" s="188"/>
      <c r="AD702" s="188"/>
      <c r="AE702" s="188"/>
      <c r="AF702" s="188"/>
      <c r="AG702" s="188"/>
      <c r="AH702" s="299"/>
    </row>
    <row r="703" spans="2:34" ht="13">
      <c r="B703" s="294"/>
      <c r="K703" s="296"/>
      <c r="AB703" s="188"/>
      <c r="AC703" s="188"/>
      <c r="AD703" s="188"/>
      <c r="AE703" s="188"/>
      <c r="AF703" s="188"/>
      <c r="AG703" s="188"/>
      <c r="AH703" s="299"/>
    </row>
    <row r="704" spans="2:34" ht="13">
      <c r="B704" s="294"/>
      <c r="K704" s="296"/>
      <c r="AB704" s="188"/>
      <c r="AC704" s="188"/>
      <c r="AD704" s="188"/>
      <c r="AE704" s="188"/>
      <c r="AF704" s="188"/>
      <c r="AG704" s="188"/>
      <c r="AH704" s="299"/>
    </row>
    <row r="705" spans="2:34" ht="13">
      <c r="B705" s="294"/>
      <c r="K705" s="296"/>
      <c r="AB705" s="188"/>
      <c r="AC705" s="188"/>
      <c r="AD705" s="188"/>
      <c r="AE705" s="188"/>
      <c r="AF705" s="188"/>
      <c r="AG705" s="188"/>
      <c r="AH705" s="299"/>
    </row>
    <row r="706" spans="2:34" ht="13">
      <c r="B706" s="294"/>
      <c r="K706" s="296"/>
      <c r="AB706" s="188"/>
      <c r="AC706" s="188"/>
      <c r="AD706" s="188"/>
      <c r="AE706" s="188"/>
      <c r="AF706" s="188"/>
      <c r="AG706" s="188"/>
      <c r="AH706" s="299"/>
    </row>
    <row r="707" spans="2:34" ht="13">
      <c r="B707" s="294"/>
      <c r="K707" s="296"/>
      <c r="AB707" s="188"/>
      <c r="AC707" s="188"/>
      <c r="AD707" s="188"/>
      <c r="AE707" s="188"/>
      <c r="AF707" s="188"/>
      <c r="AG707" s="188"/>
      <c r="AH707" s="299"/>
    </row>
    <row r="708" spans="2:34" ht="13">
      <c r="B708" s="294"/>
      <c r="K708" s="296"/>
      <c r="AB708" s="188"/>
      <c r="AC708" s="188"/>
      <c r="AD708" s="188"/>
      <c r="AE708" s="188"/>
      <c r="AF708" s="188"/>
      <c r="AG708" s="188"/>
      <c r="AH708" s="299"/>
    </row>
    <row r="709" spans="2:34" ht="13">
      <c r="B709" s="294"/>
      <c r="K709" s="296"/>
      <c r="AB709" s="188"/>
      <c r="AC709" s="188"/>
      <c r="AD709" s="188"/>
      <c r="AE709" s="188"/>
      <c r="AF709" s="188"/>
      <c r="AG709" s="188"/>
      <c r="AH709" s="299"/>
    </row>
    <row r="710" spans="2:34" ht="13">
      <c r="B710" s="294"/>
      <c r="K710" s="296"/>
      <c r="AB710" s="188"/>
      <c r="AC710" s="188"/>
      <c r="AD710" s="188"/>
      <c r="AE710" s="188"/>
      <c r="AF710" s="188"/>
      <c r="AG710" s="188"/>
      <c r="AH710" s="299"/>
    </row>
    <row r="711" spans="2:34" ht="13">
      <c r="B711" s="294"/>
      <c r="K711" s="296"/>
      <c r="AB711" s="188"/>
      <c r="AC711" s="188"/>
      <c r="AD711" s="188"/>
      <c r="AE711" s="188"/>
      <c r="AF711" s="188"/>
      <c r="AG711" s="188"/>
      <c r="AH711" s="299"/>
    </row>
    <row r="712" spans="2:34" ht="13">
      <c r="B712" s="294"/>
      <c r="K712" s="296"/>
      <c r="AB712" s="188"/>
      <c r="AC712" s="188"/>
      <c r="AD712" s="188"/>
      <c r="AE712" s="188"/>
      <c r="AF712" s="188"/>
      <c r="AG712" s="188"/>
      <c r="AH712" s="299"/>
    </row>
    <row r="713" spans="2:34" ht="13">
      <c r="B713" s="294"/>
      <c r="K713" s="296"/>
      <c r="AB713" s="188"/>
      <c r="AC713" s="188"/>
      <c r="AD713" s="188"/>
      <c r="AE713" s="188"/>
      <c r="AF713" s="188"/>
      <c r="AG713" s="188"/>
      <c r="AH713" s="299"/>
    </row>
    <row r="714" spans="2:34" ht="13">
      <c r="B714" s="294"/>
      <c r="K714" s="296"/>
      <c r="AB714" s="188"/>
      <c r="AC714" s="188"/>
      <c r="AD714" s="188"/>
      <c r="AE714" s="188"/>
      <c r="AF714" s="188"/>
      <c r="AG714" s="188"/>
      <c r="AH714" s="299"/>
    </row>
    <row r="715" spans="2:34" ht="13">
      <c r="B715" s="294"/>
      <c r="K715" s="296"/>
      <c r="AB715" s="188"/>
      <c r="AC715" s="188"/>
      <c r="AD715" s="188"/>
      <c r="AE715" s="188"/>
      <c r="AF715" s="188"/>
      <c r="AG715" s="188"/>
      <c r="AH715" s="299"/>
    </row>
    <row r="716" spans="2:34" ht="13">
      <c r="B716" s="294"/>
      <c r="K716" s="296"/>
      <c r="AB716" s="188"/>
      <c r="AC716" s="188"/>
      <c r="AD716" s="188"/>
      <c r="AE716" s="188"/>
      <c r="AF716" s="188"/>
      <c r="AG716" s="188"/>
      <c r="AH716" s="299"/>
    </row>
    <row r="717" spans="2:34" ht="13">
      <c r="B717" s="294"/>
      <c r="K717" s="296"/>
      <c r="AB717" s="188"/>
      <c r="AC717" s="188"/>
      <c r="AD717" s="188"/>
      <c r="AE717" s="188"/>
      <c r="AF717" s="188"/>
      <c r="AG717" s="188"/>
      <c r="AH717" s="299"/>
    </row>
    <row r="718" spans="2:34" ht="13">
      <c r="B718" s="294"/>
      <c r="K718" s="296"/>
      <c r="AB718" s="188"/>
      <c r="AC718" s="188"/>
      <c r="AD718" s="188"/>
      <c r="AE718" s="188"/>
      <c r="AF718" s="188"/>
      <c r="AG718" s="188"/>
      <c r="AH718" s="299"/>
    </row>
    <row r="719" spans="2:34" ht="13">
      <c r="B719" s="294"/>
      <c r="K719" s="296"/>
      <c r="AB719" s="188"/>
      <c r="AC719" s="188"/>
      <c r="AD719" s="188"/>
      <c r="AE719" s="188"/>
      <c r="AF719" s="188"/>
      <c r="AG719" s="188"/>
      <c r="AH719" s="299"/>
    </row>
    <row r="720" spans="2:34" ht="13">
      <c r="B720" s="294"/>
      <c r="K720" s="296"/>
      <c r="AB720" s="188"/>
      <c r="AC720" s="188"/>
      <c r="AD720" s="188"/>
      <c r="AE720" s="188"/>
      <c r="AF720" s="188"/>
      <c r="AG720" s="188"/>
      <c r="AH720" s="299"/>
    </row>
    <row r="721" spans="2:34" ht="13">
      <c r="B721" s="294"/>
      <c r="K721" s="296"/>
      <c r="AB721" s="188"/>
      <c r="AC721" s="188"/>
      <c r="AD721" s="188"/>
      <c r="AE721" s="188"/>
      <c r="AF721" s="188"/>
      <c r="AG721" s="188"/>
      <c r="AH721" s="299"/>
    </row>
    <row r="722" spans="2:34" ht="13">
      <c r="B722" s="294"/>
      <c r="K722" s="296"/>
      <c r="AB722" s="188"/>
      <c r="AC722" s="188"/>
      <c r="AD722" s="188"/>
      <c r="AE722" s="188"/>
      <c r="AF722" s="188"/>
      <c r="AG722" s="188"/>
      <c r="AH722" s="299"/>
    </row>
    <row r="723" spans="2:34" ht="13">
      <c r="B723" s="294"/>
      <c r="K723" s="296"/>
      <c r="AB723" s="188"/>
      <c r="AC723" s="188"/>
      <c r="AD723" s="188"/>
      <c r="AE723" s="188"/>
      <c r="AF723" s="188"/>
      <c r="AG723" s="188"/>
      <c r="AH723" s="299"/>
    </row>
    <row r="724" spans="2:34" ht="13">
      <c r="B724" s="294"/>
      <c r="K724" s="296"/>
      <c r="AB724" s="188"/>
      <c r="AC724" s="188"/>
      <c r="AD724" s="188"/>
      <c r="AE724" s="188"/>
      <c r="AF724" s="188"/>
      <c r="AG724" s="188"/>
      <c r="AH724" s="299"/>
    </row>
    <row r="725" spans="2:34" ht="13">
      <c r="B725" s="294"/>
      <c r="K725" s="296"/>
      <c r="AB725" s="188"/>
      <c r="AC725" s="188"/>
      <c r="AD725" s="188"/>
      <c r="AE725" s="188"/>
      <c r="AF725" s="188"/>
      <c r="AG725" s="188"/>
      <c r="AH725" s="299"/>
    </row>
    <row r="726" spans="2:34" ht="13">
      <c r="B726" s="294"/>
      <c r="K726" s="296"/>
      <c r="AB726" s="188"/>
      <c r="AC726" s="188"/>
      <c r="AD726" s="188"/>
      <c r="AE726" s="188"/>
      <c r="AF726" s="188"/>
      <c r="AG726" s="188"/>
      <c r="AH726" s="299"/>
    </row>
    <row r="727" spans="2:34" ht="13">
      <c r="B727" s="294"/>
      <c r="K727" s="296"/>
      <c r="AB727" s="188"/>
      <c r="AC727" s="188"/>
      <c r="AD727" s="188"/>
      <c r="AE727" s="188"/>
      <c r="AF727" s="188"/>
      <c r="AG727" s="188"/>
      <c r="AH727" s="299"/>
    </row>
    <row r="728" spans="2:34" ht="13">
      <c r="B728" s="294"/>
      <c r="K728" s="296"/>
      <c r="AB728" s="188"/>
      <c r="AC728" s="188"/>
      <c r="AD728" s="188"/>
      <c r="AE728" s="188"/>
      <c r="AF728" s="188"/>
      <c r="AG728" s="188"/>
      <c r="AH728" s="299"/>
    </row>
    <row r="729" spans="2:34" ht="13">
      <c r="B729" s="294"/>
      <c r="K729" s="296"/>
      <c r="AB729" s="188"/>
      <c r="AC729" s="188"/>
      <c r="AD729" s="188"/>
      <c r="AE729" s="188"/>
      <c r="AF729" s="188"/>
      <c r="AG729" s="188"/>
      <c r="AH729" s="299"/>
    </row>
    <row r="730" spans="2:34" ht="13">
      <c r="B730" s="294"/>
      <c r="K730" s="296"/>
      <c r="AB730" s="188"/>
      <c r="AC730" s="188"/>
      <c r="AD730" s="188"/>
      <c r="AE730" s="188"/>
      <c r="AF730" s="188"/>
      <c r="AG730" s="188"/>
      <c r="AH730" s="299"/>
    </row>
    <row r="731" spans="2:34" ht="13">
      <c r="B731" s="294"/>
      <c r="K731" s="296"/>
      <c r="AB731" s="188"/>
      <c r="AC731" s="188"/>
      <c r="AD731" s="188"/>
      <c r="AE731" s="188"/>
      <c r="AF731" s="188"/>
      <c r="AG731" s="188"/>
      <c r="AH731" s="299"/>
    </row>
    <row r="732" spans="2:34" ht="13">
      <c r="B732" s="294"/>
      <c r="K732" s="296"/>
      <c r="AB732" s="188"/>
      <c r="AC732" s="188"/>
      <c r="AD732" s="188"/>
      <c r="AE732" s="188"/>
      <c r="AF732" s="188"/>
      <c r="AG732" s="188"/>
      <c r="AH732" s="299"/>
    </row>
    <row r="733" spans="2:34" ht="13">
      <c r="B733" s="294"/>
      <c r="K733" s="296"/>
      <c r="AB733" s="188"/>
      <c r="AC733" s="188"/>
      <c r="AD733" s="188"/>
      <c r="AE733" s="188"/>
      <c r="AF733" s="188"/>
      <c r="AG733" s="188"/>
      <c r="AH733" s="299"/>
    </row>
    <row r="734" spans="2:34" ht="13">
      <c r="B734" s="294"/>
      <c r="K734" s="296"/>
      <c r="AB734" s="188"/>
      <c r="AC734" s="188"/>
      <c r="AD734" s="188"/>
      <c r="AE734" s="188"/>
      <c r="AF734" s="188"/>
      <c r="AG734" s="188"/>
      <c r="AH734" s="299"/>
    </row>
    <row r="735" spans="2:34" ht="13">
      <c r="B735" s="294"/>
      <c r="K735" s="296"/>
      <c r="AB735" s="188"/>
      <c r="AC735" s="188"/>
      <c r="AD735" s="188"/>
      <c r="AE735" s="188"/>
      <c r="AF735" s="188"/>
      <c r="AG735" s="188"/>
      <c r="AH735" s="299"/>
    </row>
    <row r="736" spans="2:34" ht="13">
      <c r="B736" s="294"/>
      <c r="K736" s="296"/>
      <c r="AB736" s="188"/>
      <c r="AC736" s="188"/>
      <c r="AD736" s="188"/>
      <c r="AE736" s="188"/>
      <c r="AF736" s="188"/>
      <c r="AG736" s="188"/>
      <c r="AH736" s="299"/>
    </row>
    <row r="737" spans="2:34" ht="13">
      <c r="B737" s="294"/>
      <c r="K737" s="296"/>
      <c r="AB737" s="188"/>
      <c r="AC737" s="188"/>
      <c r="AD737" s="188"/>
      <c r="AE737" s="188"/>
      <c r="AF737" s="188"/>
      <c r="AG737" s="188"/>
      <c r="AH737" s="299"/>
    </row>
    <row r="738" spans="2:34" ht="13">
      <c r="B738" s="294"/>
      <c r="K738" s="296"/>
      <c r="AB738" s="188"/>
      <c r="AC738" s="188"/>
      <c r="AD738" s="188"/>
      <c r="AE738" s="188"/>
      <c r="AF738" s="188"/>
      <c r="AG738" s="188"/>
      <c r="AH738" s="299"/>
    </row>
    <row r="739" spans="2:34" ht="13">
      <c r="B739" s="294"/>
      <c r="K739" s="296"/>
      <c r="AB739" s="188"/>
      <c r="AC739" s="188"/>
      <c r="AD739" s="188"/>
      <c r="AE739" s="188"/>
      <c r="AF739" s="188"/>
      <c r="AG739" s="188"/>
      <c r="AH739" s="299"/>
    </row>
    <row r="740" spans="2:34" ht="13">
      <c r="B740" s="294"/>
      <c r="K740" s="296"/>
      <c r="AB740" s="188"/>
      <c r="AC740" s="188"/>
      <c r="AD740" s="188"/>
      <c r="AE740" s="188"/>
      <c r="AF740" s="188"/>
      <c r="AG740" s="188"/>
      <c r="AH740" s="299"/>
    </row>
    <row r="741" spans="2:34" ht="13">
      <c r="B741" s="294"/>
      <c r="K741" s="296"/>
      <c r="AB741" s="188"/>
      <c r="AC741" s="188"/>
      <c r="AD741" s="188"/>
      <c r="AE741" s="188"/>
      <c r="AF741" s="188"/>
      <c r="AG741" s="188"/>
      <c r="AH741" s="299"/>
    </row>
    <row r="742" spans="2:34" ht="13">
      <c r="B742" s="294"/>
      <c r="K742" s="296"/>
      <c r="AB742" s="188"/>
      <c r="AC742" s="188"/>
      <c r="AD742" s="188"/>
      <c r="AE742" s="188"/>
      <c r="AF742" s="188"/>
      <c r="AG742" s="188"/>
      <c r="AH742" s="299"/>
    </row>
    <row r="743" spans="2:34" ht="13">
      <c r="B743" s="294"/>
      <c r="K743" s="296"/>
      <c r="AB743" s="188"/>
      <c r="AC743" s="188"/>
      <c r="AD743" s="188"/>
      <c r="AE743" s="188"/>
      <c r="AF743" s="188"/>
      <c r="AG743" s="188"/>
      <c r="AH743" s="299"/>
    </row>
    <row r="744" spans="2:34" ht="13">
      <c r="B744" s="294"/>
      <c r="K744" s="296"/>
      <c r="AB744" s="188"/>
      <c r="AC744" s="188"/>
      <c r="AD744" s="188"/>
      <c r="AE744" s="188"/>
      <c r="AF744" s="188"/>
      <c r="AG744" s="188"/>
      <c r="AH744" s="299"/>
    </row>
    <row r="745" spans="2:34" ht="13">
      <c r="B745" s="294"/>
      <c r="K745" s="296"/>
      <c r="AB745" s="188"/>
      <c r="AC745" s="188"/>
      <c r="AD745" s="188"/>
      <c r="AE745" s="188"/>
      <c r="AF745" s="188"/>
      <c r="AG745" s="188"/>
      <c r="AH745" s="299"/>
    </row>
    <row r="746" spans="2:34" ht="13">
      <c r="B746" s="294"/>
      <c r="K746" s="296"/>
      <c r="AB746" s="188"/>
      <c r="AC746" s="188"/>
      <c r="AD746" s="188"/>
      <c r="AE746" s="188"/>
      <c r="AF746" s="188"/>
      <c r="AG746" s="188"/>
      <c r="AH746" s="299"/>
    </row>
    <row r="747" spans="2:34" ht="13">
      <c r="B747" s="294"/>
      <c r="K747" s="296"/>
      <c r="AB747" s="188"/>
      <c r="AC747" s="188"/>
      <c r="AD747" s="188"/>
      <c r="AE747" s="188"/>
      <c r="AF747" s="188"/>
      <c r="AG747" s="188"/>
      <c r="AH747" s="299"/>
    </row>
    <row r="748" spans="2:34" ht="13">
      <c r="B748" s="294"/>
      <c r="K748" s="296"/>
      <c r="AB748" s="188"/>
      <c r="AC748" s="188"/>
      <c r="AD748" s="188"/>
      <c r="AE748" s="188"/>
      <c r="AF748" s="188"/>
      <c r="AG748" s="188"/>
      <c r="AH748" s="299"/>
    </row>
    <row r="749" spans="2:34" ht="13">
      <c r="B749" s="294"/>
      <c r="K749" s="296"/>
      <c r="AB749" s="188"/>
      <c r="AC749" s="188"/>
      <c r="AD749" s="188"/>
      <c r="AE749" s="188"/>
      <c r="AF749" s="188"/>
      <c r="AG749" s="188"/>
      <c r="AH749" s="299"/>
    </row>
    <row r="750" spans="2:34" ht="13">
      <c r="B750" s="294"/>
      <c r="K750" s="296"/>
      <c r="AB750" s="188"/>
      <c r="AC750" s="188"/>
      <c r="AD750" s="188"/>
      <c r="AE750" s="188"/>
      <c r="AF750" s="188"/>
      <c r="AG750" s="188"/>
      <c r="AH750" s="299"/>
    </row>
    <row r="751" spans="2:34" ht="13">
      <c r="B751" s="294"/>
      <c r="K751" s="296"/>
      <c r="AB751" s="188"/>
      <c r="AC751" s="188"/>
      <c r="AD751" s="188"/>
      <c r="AE751" s="188"/>
      <c r="AF751" s="188"/>
      <c r="AG751" s="188"/>
      <c r="AH751" s="299"/>
    </row>
    <row r="752" spans="2:34" ht="13">
      <c r="B752" s="294"/>
      <c r="K752" s="296"/>
      <c r="AB752" s="188"/>
      <c r="AC752" s="188"/>
      <c r="AD752" s="188"/>
      <c r="AE752" s="188"/>
      <c r="AF752" s="188"/>
      <c r="AG752" s="188"/>
      <c r="AH752" s="299"/>
    </row>
    <row r="753" spans="2:34" ht="13">
      <c r="B753" s="294"/>
      <c r="K753" s="296"/>
      <c r="AB753" s="188"/>
      <c r="AC753" s="188"/>
      <c r="AD753" s="188"/>
      <c r="AE753" s="188"/>
      <c r="AF753" s="188"/>
      <c r="AG753" s="188"/>
      <c r="AH753" s="299"/>
    </row>
    <row r="754" spans="2:34" ht="13">
      <c r="B754" s="294"/>
      <c r="K754" s="296"/>
      <c r="AB754" s="188"/>
      <c r="AC754" s="188"/>
      <c r="AD754" s="188"/>
      <c r="AE754" s="188"/>
      <c r="AF754" s="188"/>
      <c r="AG754" s="188"/>
      <c r="AH754" s="299"/>
    </row>
    <row r="755" spans="2:34" ht="13">
      <c r="B755" s="294"/>
      <c r="K755" s="296"/>
      <c r="AB755" s="188"/>
      <c r="AC755" s="188"/>
      <c r="AD755" s="188"/>
      <c r="AE755" s="188"/>
      <c r="AF755" s="188"/>
      <c r="AG755" s="188"/>
      <c r="AH755" s="299"/>
    </row>
    <row r="756" spans="2:34" ht="13">
      <c r="B756" s="294"/>
      <c r="K756" s="296"/>
      <c r="AB756" s="188"/>
      <c r="AC756" s="188"/>
      <c r="AD756" s="188"/>
      <c r="AE756" s="188"/>
      <c r="AF756" s="188"/>
      <c r="AG756" s="188"/>
      <c r="AH756" s="299"/>
    </row>
    <row r="757" spans="2:34" ht="13">
      <c r="B757" s="294"/>
      <c r="K757" s="296"/>
      <c r="AB757" s="188"/>
      <c r="AC757" s="188"/>
      <c r="AD757" s="188"/>
      <c r="AE757" s="188"/>
      <c r="AF757" s="188"/>
      <c r="AG757" s="188"/>
      <c r="AH757" s="299"/>
    </row>
    <row r="758" spans="2:34" ht="13">
      <c r="B758" s="294"/>
      <c r="K758" s="296"/>
      <c r="AB758" s="188"/>
      <c r="AC758" s="188"/>
      <c r="AD758" s="188"/>
      <c r="AE758" s="188"/>
      <c r="AF758" s="188"/>
      <c r="AG758" s="188"/>
      <c r="AH758" s="299"/>
    </row>
    <row r="759" spans="2:34" ht="13">
      <c r="B759" s="294"/>
      <c r="K759" s="296"/>
      <c r="AB759" s="188"/>
      <c r="AC759" s="188"/>
      <c r="AD759" s="188"/>
      <c r="AE759" s="188"/>
      <c r="AF759" s="188"/>
      <c r="AG759" s="188"/>
      <c r="AH759" s="299"/>
    </row>
    <row r="760" spans="2:34" ht="13">
      <c r="B760" s="294"/>
      <c r="K760" s="296"/>
      <c r="AB760" s="188"/>
      <c r="AC760" s="188"/>
      <c r="AD760" s="188"/>
      <c r="AE760" s="188"/>
      <c r="AF760" s="188"/>
      <c r="AG760" s="188"/>
      <c r="AH760" s="299"/>
    </row>
    <row r="761" spans="2:34" ht="13">
      <c r="B761" s="294"/>
      <c r="K761" s="296"/>
      <c r="AB761" s="188"/>
      <c r="AC761" s="188"/>
      <c r="AD761" s="188"/>
      <c r="AE761" s="188"/>
      <c r="AF761" s="188"/>
      <c r="AG761" s="188"/>
      <c r="AH761" s="299"/>
    </row>
    <row r="762" spans="2:34" ht="13">
      <c r="B762" s="294"/>
      <c r="K762" s="296"/>
      <c r="AB762" s="188"/>
      <c r="AC762" s="188"/>
      <c r="AD762" s="188"/>
      <c r="AE762" s="188"/>
      <c r="AF762" s="188"/>
      <c r="AG762" s="188"/>
      <c r="AH762" s="299"/>
    </row>
    <row r="763" spans="2:34" ht="13">
      <c r="B763" s="294"/>
      <c r="K763" s="296"/>
      <c r="AB763" s="188"/>
      <c r="AC763" s="188"/>
      <c r="AD763" s="188"/>
      <c r="AE763" s="188"/>
      <c r="AF763" s="188"/>
      <c r="AG763" s="188"/>
      <c r="AH763" s="299"/>
    </row>
    <row r="764" spans="2:34" ht="13">
      <c r="B764" s="294"/>
      <c r="K764" s="296"/>
      <c r="AB764" s="188"/>
      <c r="AC764" s="188"/>
      <c r="AD764" s="188"/>
      <c r="AE764" s="188"/>
      <c r="AF764" s="188"/>
      <c r="AG764" s="188"/>
      <c r="AH764" s="299"/>
    </row>
    <row r="765" spans="2:34" ht="13">
      <c r="B765" s="294"/>
      <c r="K765" s="296"/>
      <c r="AB765" s="188"/>
      <c r="AC765" s="188"/>
      <c r="AD765" s="188"/>
      <c r="AE765" s="188"/>
      <c r="AF765" s="188"/>
      <c r="AG765" s="188"/>
      <c r="AH765" s="299"/>
    </row>
    <row r="766" spans="2:34" ht="13">
      <c r="B766" s="294"/>
      <c r="K766" s="296"/>
      <c r="AB766" s="188"/>
      <c r="AC766" s="188"/>
      <c r="AD766" s="188"/>
      <c r="AE766" s="188"/>
      <c r="AF766" s="188"/>
      <c r="AG766" s="188"/>
      <c r="AH766" s="299"/>
    </row>
    <row r="767" spans="2:34" ht="13">
      <c r="B767" s="294"/>
      <c r="K767" s="296"/>
      <c r="AB767" s="188"/>
      <c r="AC767" s="188"/>
      <c r="AD767" s="188"/>
      <c r="AE767" s="188"/>
      <c r="AF767" s="188"/>
      <c r="AG767" s="188"/>
      <c r="AH767" s="299"/>
    </row>
    <row r="768" spans="2:34" ht="13">
      <c r="B768" s="294"/>
      <c r="K768" s="296"/>
      <c r="AB768" s="188"/>
      <c r="AC768" s="188"/>
      <c r="AD768" s="188"/>
      <c r="AE768" s="188"/>
      <c r="AF768" s="188"/>
      <c r="AG768" s="188"/>
      <c r="AH768" s="299"/>
    </row>
    <row r="769" spans="2:34" ht="13">
      <c r="B769" s="294"/>
      <c r="K769" s="296"/>
      <c r="AB769" s="188"/>
      <c r="AC769" s="188"/>
      <c r="AD769" s="188"/>
      <c r="AE769" s="188"/>
      <c r="AF769" s="188"/>
      <c r="AG769" s="188"/>
      <c r="AH769" s="299"/>
    </row>
    <row r="770" spans="2:34" ht="13">
      <c r="B770" s="294"/>
      <c r="K770" s="296"/>
      <c r="AB770" s="188"/>
      <c r="AC770" s="188"/>
      <c r="AD770" s="188"/>
      <c r="AE770" s="188"/>
      <c r="AF770" s="188"/>
      <c r="AG770" s="188"/>
      <c r="AH770" s="299"/>
    </row>
    <row r="771" spans="2:34" ht="13">
      <c r="B771" s="294"/>
      <c r="K771" s="296"/>
      <c r="AB771" s="188"/>
      <c r="AC771" s="188"/>
      <c r="AD771" s="188"/>
      <c r="AE771" s="188"/>
      <c r="AF771" s="188"/>
      <c r="AG771" s="188"/>
      <c r="AH771" s="299"/>
    </row>
    <row r="772" spans="2:34" ht="13">
      <c r="B772" s="294"/>
      <c r="K772" s="296"/>
      <c r="AB772" s="188"/>
      <c r="AC772" s="188"/>
      <c r="AD772" s="188"/>
      <c r="AE772" s="188"/>
      <c r="AF772" s="188"/>
      <c r="AG772" s="188"/>
      <c r="AH772" s="299"/>
    </row>
    <row r="773" spans="2:34" ht="13">
      <c r="B773" s="294"/>
      <c r="K773" s="296"/>
      <c r="AB773" s="188"/>
      <c r="AC773" s="188"/>
      <c r="AD773" s="188"/>
      <c r="AE773" s="188"/>
      <c r="AF773" s="188"/>
      <c r="AG773" s="188"/>
      <c r="AH773" s="299"/>
    </row>
    <row r="774" spans="2:34" ht="13">
      <c r="B774" s="294"/>
      <c r="K774" s="296"/>
      <c r="AB774" s="188"/>
      <c r="AC774" s="188"/>
      <c r="AD774" s="188"/>
      <c r="AE774" s="188"/>
      <c r="AF774" s="188"/>
      <c r="AG774" s="188"/>
      <c r="AH774" s="299"/>
    </row>
    <row r="775" spans="2:34" ht="13">
      <c r="B775" s="294"/>
      <c r="K775" s="296"/>
      <c r="AB775" s="188"/>
      <c r="AC775" s="188"/>
      <c r="AD775" s="188"/>
      <c r="AE775" s="188"/>
      <c r="AF775" s="188"/>
      <c r="AG775" s="188"/>
      <c r="AH775" s="299"/>
    </row>
    <row r="776" spans="2:34" ht="13">
      <c r="B776" s="294"/>
      <c r="K776" s="296"/>
      <c r="AB776" s="188"/>
      <c r="AC776" s="188"/>
      <c r="AD776" s="188"/>
      <c r="AE776" s="188"/>
      <c r="AF776" s="188"/>
      <c r="AG776" s="188"/>
      <c r="AH776" s="299"/>
    </row>
    <row r="777" spans="2:34" ht="13">
      <c r="B777" s="294"/>
      <c r="K777" s="296"/>
      <c r="AB777" s="188"/>
      <c r="AC777" s="188"/>
      <c r="AD777" s="188"/>
      <c r="AE777" s="188"/>
      <c r="AF777" s="188"/>
      <c r="AG777" s="188"/>
      <c r="AH777" s="299"/>
    </row>
    <row r="778" spans="2:34" ht="13">
      <c r="B778" s="294"/>
      <c r="K778" s="296"/>
      <c r="AB778" s="188"/>
      <c r="AC778" s="188"/>
      <c r="AD778" s="188"/>
      <c r="AE778" s="188"/>
      <c r="AF778" s="188"/>
      <c r="AG778" s="188"/>
      <c r="AH778" s="299"/>
    </row>
    <row r="779" spans="2:34" ht="13">
      <c r="B779" s="294"/>
      <c r="K779" s="296"/>
      <c r="AB779" s="188"/>
      <c r="AC779" s="188"/>
      <c r="AD779" s="188"/>
      <c r="AE779" s="188"/>
      <c r="AF779" s="188"/>
      <c r="AG779" s="188"/>
      <c r="AH779" s="299"/>
    </row>
    <row r="780" spans="2:34" ht="13">
      <c r="B780" s="294"/>
      <c r="K780" s="296"/>
      <c r="AB780" s="188"/>
      <c r="AC780" s="188"/>
      <c r="AD780" s="188"/>
      <c r="AE780" s="188"/>
      <c r="AF780" s="188"/>
      <c r="AG780" s="188"/>
      <c r="AH780" s="299"/>
    </row>
    <row r="781" spans="2:34" ht="13">
      <c r="B781" s="294"/>
      <c r="K781" s="296"/>
      <c r="AB781" s="188"/>
      <c r="AC781" s="188"/>
      <c r="AD781" s="188"/>
      <c r="AE781" s="188"/>
      <c r="AF781" s="188"/>
      <c r="AG781" s="188"/>
      <c r="AH781" s="299"/>
    </row>
    <row r="782" spans="2:34" ht="13">
      <c r="B782" s="294"/>
      <c r="K782" s="296"/>
      <c r="AB782" s="188"/>
      <c r="AC782" s="188"/>
      <c r="AD782" s="188"/>
      <c r="AE782" s="188"/>
      <c r="AF782" s="188"/>
      <c r="AG782" s="188"/>
      <c r="AH782" s="299"/>
    </row>
    <row r="783" spans="2:34" ht="13">
      <c r="B783" s="294"/>
      <c r="K783" s="296"/>
      <c r="AB783" s="188"/>
      <c r="AC783" s="188"/>
      <c r="AD783" s="188"/>
      <c r="AE783" s="188"/>
      <c r="AF783" s="188"/>
      <c r="AG783" s="188"/>
      <c r="AH783" s="299"/>
    </row>
    <row r="784" spans="2:34" ht="13">
      <c r="B784" s="294"/>
      <c r="K784" s="296"/>
      <c r="AB784" s="188"/>
      <c r="AC784" s="188"/>
      <c r="AD784" s="188"/>
      <c r="AE784" s="188"/>
      <c r="AF784" s="188"/>
      <c r="AG784" s="188"/>
      <c r="AH784" s="299"/>
    </row>
    <row r="785" spans="2:34" ht="13">
      <c r="B785" s="294"/>
      <c r="K785" s="296"/>
      <c r="AB785" s="188"/>
      <c r="AC785" s="188"/>
      <c r="AD785" s="188"/>
      <c r="AE785" s="188"/>
      <c r="AF785" s="188"/>
      <c r="AG785" s="188"/>
      <c r="AH785" s="299"/>
    </row>
    <row r="786" spans="2:34" ht="13">
      <c r="B786" s="294"/>
      <c r="K786" s="296"/>
      <c r="AB786" s="188"/>
      <c r="AC786" s="188"/>
      <c r="AD786" s="188"/>
      <c r="AE786" s="188"/>
      <c r="AF786" s="188"/>
      <c r="AG786" s="188"/>
      <c r="AH786" s="299"/>
    </row>
    <row r="787" spans="2:34" ht="13">
      <c r="B787" s="294"/>
      <c r="K787" s="296"/>
      <c r="AB787" s="188"/>
      <c r="AC787" s="188"/>
      <c r="AD787" s="188"/>
      <c r="AE787" s="188"/>
      <c r="AF787" s="188"/>
      <c r="AG787" s="188"/>
      <c r="AH787" s="299"/>
    </row>
    <row r="788" spans="2:34" ht="13">
      <c r="B788" s="294"/>
      <c r="K788" s="296"/>
      <c r="AB788" s="188"/>
      <c r="AC788" s="188"/>
      <c r="AD788" s="188"/>
      <c r="AE788" s="188"/>
      <c r="AF788" s="188"/>
      <c r="AG788" s="188"/>
      <c r="AH788" s="299"/>
    </row>
    <row r="789" spans="2:34" ht="13">
      <c r="B789" s="294"/>
      <c r="K789" s="296"/>
      <c r="AB789" s="188"/>
      <c r="AC789" s="188"/>
      <c r="AD789" s="188"/>
      <c r="AE789" s="188"/>
      <c r="AF789" s="188"/>
      <c r="AG789" s="188"/>
      <c r="AH789" s="299"/>
    </row>
    <row r="790" spans="2:34" ht="13">
      <c r="B790" s="294"/>
      <c r="K790" s="296"/>
      <c r="AB790" s="188"/>
      <c r="AC790" s="188"/>
      <c r="AD790" s="188"/>
      <c r="AE790" s="188"/>
      <c r="AF790" s="188"/>
      <c r="AG790" s="188"/>
      <c r="AH790" s="299"/>
    </row>
    <row r="791" spans="2:34" ht="13">
      <c r="B791" s="294"/>
      <c r="K791" s="296"/>
      <c r="AB791" s="188"/>
      <c r="AC791" s="188"/>
      <c r="AD791" s="188"/>
      <c r="AE791" s="188"/>
      <c r="AF791" s="188"/>
      <c r="AG791" s="188"/>
      <c r="AH791" s="299"/>
    </row>
    <row r="792" spans="2:34" ht="13">
      <c r="B792" s="294"/>
      <c r="K792" s="296"/>
      <c r="AB792" s="188"/>
      <c r="AC792" s="188"/>
      <c r="AD792" s="188"/>
      <c r="AE792" s="188"/>
      <c r="AF792" s="188"/>
      <c r="AG792" s="188"/>
      <c r="AH792" s="299"/>
    </row>
    <row r="793" spans="2:34" ht="13">
      <c r="B793" s="294"/>
      <c r="K793" s="296"/>
      <c r="AB793" s="188"/>
      <c r="AC793" s="188"/>
      <c r="AD793" s="188"/>
      <c r="AE793" s="188"/>
      <c r="AF793" s="188"/>
      <c r="AG793" s="188"/>
      <c r="AH793" s="299"/>
    </row>
    <row r="794" spans="2:34" ht="13">
      <c r="B794" s="294"/>
      <c r="K794" s="296"/>
      <c r="AB794" s="188"/>
      <c r="AC794" s="188"/>
      <c r="AD794" s="188"/>
      <c r="AE794" s="188"/>
      <c r="AF794" s="188"/>
      <c r="AG794" s="188"/>
      <c r="AH794" s="299"/>
    </row>
    <row r="795" spans="2:34" ht="13">
      <c r="B795" s="294"/>
      <c r="K795" s="296"/>
      <c r="AB795" s="188"/>
      <c r="AC795" s="188"/>
      <c r="AD795" s="188"/>
      <c r="AE795" s="188"/>
      <c r="AF795" s="188"/>
      <c r="AG795" s="188"/>
      <c r="AH795" s="299"/>
    </row>
    <row r="796" spans="2:34" ht="13">
      <c r="B796" s="294"/>
      <c r="K796" s="296"/>
      <c r="AB796" s="188"/>
      <c r="AC796" s="188"/>
      <c r="AD796" s="188"/>
      <c r="AE796" s="188"/>
      <c r="AF796" s="188"/>
      <c r="AG796" s="188"/>
      <c r="AH796" s="299"/>
    </row>
    <row r="797" spans="2:34" ht="13">
      <c r="B797" s="294"/>
      <c r="K797" s="296"/>
      <c r="AB797" s="188"/>
      <c r="AC797" s="188"/>
      <c r="AD797" s="188"/>
      <c r="AE797" s="188"/>
      <c r="AF797" s="188"/>
      <c r="AG797" s="188"/>
      <c r="AH797" s="299"/>
    </row>
    <row r="798" spans="2:34" ht="13">
      <c r="B798" s="294"/>
      <c r="K798" s="296"/>
      <c r="AB798" s="188"/>
      <c r="AC798" s="188"/>
      <c r="AD798" s="188"/>
      <c r="AE798" s="188"/>
      <c r="AF798" s="188"/>
      <c r="AG798" s="188"/>
      <c r="AH798" s="299"/>
    </row>
    <row r="799" spans="2:34" ht="13">
      <c r="B799" s="294"/>
      <c r="K799" s="296"/>
      <c r="AB799" s="188"/>
      <c r="AC799" s="188"/>
      <c r="AD799" s="188"/>
      <c r="AE799" s="188"/>
      <c r="AF799" s="188"/>
      <c r="AG799" s="188"/>
      <c r="AH799" s="299"/>
    </row>
    <row r="800" spans="2:34" ht="13">
      <c r="B800" s="294"/>
      <c r="K800" s="296"/>
      <c r="AB800" s="188"/>
      <c r="AC800" s="188"/>
      <c r="AD800" s="188"/>
      <c r="AE800" s="188"/>
      <c r="AF800" s="188"/>
      <c r="AG800" s="188"/>
      <c r="AH800" s="299"/>
    </row>
    <row r="801" spans="2:34" ht="13">
      <c r="B801" s="294"/>
      <c r="K801" s="296"/>
      <c r="AB801" s="188"/>
      <c r="AC801" s="188"/>
      <c r="AD801" s="188"/>
      <c r="AE801" s="188"/>
      <c r="AF801" s="188"/>
      <c r="AG801" s="188"/>
      <c r="AH801" s="299"/>
    </row>
    <row r="802" spans="2:34" ht="13">
      <c r="B802" s="294"/>
      <c r="K802" s="296"/>
      <c r="AB802" s="188"/>
      <c r="AC802" s="188"/>
      <c r="AD802" s="188"/>
      <c r="AE802" s="188"/>
      <c r="AF802" s="188"/>
      <c r="AG802" s="188"/>
      <c r="AH802" s="299"/>
    </row>
    <row r="803" spans="2:34" ht="13">
      <c r="B803" s="294"/>
      <c r="K803" s="296"/>
      <c r="AB803" s="188"/>
      <c r="AC803" s="188"/>
      <c r="AD803" s="188"/>
      <c r="AE803" s="188"/>
      <c r="AF803" s="188"/>
      <c r="AG803" s="188"/>
      <c r="AH803" s="299"/>
    </row>
    <row r="804" spans="2:34" ht="13">
      <c r="B804" s="294"/>
      <c r="K804" s="296"/>
      <c r="AB804" s="188"/>
      <c r="AC804" s="188"/>
      <c r="AD804" s="188"/>
      <c r="AE804" s="188"/>
      <c r="AF804" s="188"/>
      <c r="AG804" s="188"/>
      <c r="AH804" s="299"/>
    </row>
    <row r="805" spans="2:34" ht="13">
      <c r="B805" s="294"/>
      <c r="K805" s="296"/>
      <c r="AB805" s="188"/>
      <c r="AC805" s="188"/>
      <c r="AD805" s="188"/>
      <c r="AE805" s="188"/>
      <c r="AF805" s="188"/>
      <c r="AG805" s="188"/>
      <c r="AH805" s="299"/>
    </row>
    <row r="806" spans="2:34" ht="13">
      <c r="B806" s="294"/>
      <c r="K806" s="296"/>
      <c r="AB806" s="188"/>
      <c r="AC806" s="188"/>
      <c r="AD806" s="188"/>
      <c r="AE806" s="188"/>
      <c r="AF806" s="188"/>
      <c r="AG806" s="188"/>
      <c r="AH806" s="299"/>
    </row>
    <row r="807" spans="2:34" ht="13">
      <c r="B807" s="294"/>
      <c r="K807" s="296"/>
      <c r="AB807" s="188"/>
      <c r="AC807" s="188"/>
      <c r="AD807" s="188"/>
      <c r="AE807" s="188"/>
      <c r="AF807" s="188"/>
      <c r="AG807" s="188"/>
      <c r="AH807" s="299"/>
    </row>
    <row r="808" spans="2:34" ht="13">
      <c r="B808" s="294"/>
      <c r="K808" s="296"/>
      <c r="AB808" s="188"/>
      <c r="AC808" s="188"/>
      <c r="AD808" s="188"/>
      <c r="AE808" s="188"/>
      <c r="AF808" s="188"/>
      <c r="AG808" s="188"/>
      <c r="AH808" s="299"/>
    </row>
    <row r="809" spans="2:34" ht="13">
      <c r="B809" s="294"/>
      <c r="K809" s="296"/>
      <c r="AB809" s="188"/>
      <c r="AC809" s="188"/>
      <c r="AD809" s="188"/>
      <c r="AE809" s="188"/>
      <c r="AF809" s="188"/>
      <c r="AG809" s="188"/>
      <c r="AH809" s="299"/>
    </row>
    <row r="810" spans="2:34" ht="13">
      <c r="B810" s="294"/>
      <c r="K810" s="296"/>
      <c r="AB810" s="188"/>
      <c r="AC810" s="188"/>
      <c r="AD810" s="188"/>
      <c r="AE810" s="188"/>
      <c r="AF810" s="188"/>
      <c r="AG810" s="188"/>
      <c r="AH810" s="299"/>
    </row>
    <row r="811" spans="2:34" ht="13">
      <c r="B811" s="294"/>
      <c r="K811" s="296"/>
      <c r="AB811" s="188"/>
      <c r="AC811" s="188"/>
      <c r="AD811" s="188"/>
      <c r="AE811" s="188"/>
      <c r="AF811" s="188"/>
      <c r="AG811" s="188"/>
      <c r="AH811" s="299"/>
    </row>
    <row r="812" spans="2:34" ht="13">
      <c r="B812" s="294"/>
      <c r="K812" s="296"/>
      <c r="AB812" s="188"/>
      <c r="AC812" s="188"/>
      <c r="AD812" s="188"/>
      <c r="AE812" s="188"/>
      <c r="AF812" s="188"/>
      <c r="AG812" s="188"/>
      <c r="AH812" s="299"/>
    </row>
    <row r="813" spans="2:34" ht="13">
      <c r="B813" s="294"/>
      <c r="K813" s="296"/>
      <c r="AB813" s="188"/>
      <c r="AC813" s="188"/>
      <c r="AD813" s="188"/>
      <c r="AE813" s="188"/>
      <c r="AF813" s="188"/>
      <c r="AG813" s="188"/>
      <c r="AH813" s="299"/>
    </row>
    <row r="814" spans="2:34" ht="13">
      <c r="B814" s="294"/>
      <c r="K814" s="296"/>
      <c r="AB814" s="188"/>
      <c r="AC814" s="188"/>
      <c r="AD814" s="188"/>
      <c r="AE814" s="188"/>
      <c r="AF814" s="188"/>
      <c r="AG814" s="188"/>
      <c r="AH814" s="299"/>
    </row>
    <row r="815" spans="2:34" ht="13">
      <c r="B815" s="294"/>
      <c r="K815" s="296"/>
      <c r="AB815" s="188"/>
      <c r="AC815" s="188"/>
      <c r="AD815" s="188"/>
      <c r="AE815" s="188"/>
      <c r="AF815" s="188"/>
      <c r="AG815" s="188"/>
      <c r="AH815" s="299"/>
    </row>
    <row r="816" spans="2:34" ht="13">
      <c r="B816" s="294"/>
      <c r="K816" s="296"/>
      <c r="AB816" s="188"/>
      <c r="AC816" s="188"/>
      <c r="AD816" s="188"/>
      <c r="AE816" s="188"/>
      <c r="AF816" s="188"/>
      <c r="AG816" s="188"/>
      <c r="AH816" s="299"/>
    </row>
    <row r="817" spans="2:34" ht="13">
      <c r="B817" s="294"/>
      <c r="K817" s="296"/>
      <c r="AB817" s="188"/>
      <c r="AC817" s="188"/>
      <c r="AD817" s="188"/>
      <c r="AE817" s="188"/>
      <c r="AF817" s="188"/>
      <c r="AG817" s="188"/>
      <c r="AH817" s="299"/>
    </row>
    <row r="818" spans="2:34" ht="13">
      <c r="B818" s="294"/>
      <c r="K818" s="296"/>
      <c r="AB818" s="188"/>
      <c r="AC818" s="188"/>
      <c r="AD818" s="188"/>
      <c r="AE818" s="188"/>
      <c r="AF818" s="188"/>
      <c r="AG818" s="188"/>
      <c r="AH818" s="299"/>
    </row>
    <row r="819" spans="2:34" ht="13">
      <c r="B819" s="294"/>
      <c r="K819" s="296"/>
      <c r="AB819" s="188"/>
      <c r="AC819" s="188"/>
      <c r="AD819" s="188"/>
      <c r="AE819" s="188"/>
      <c r="AF819" s="188"/>
      <c r="AG819" s="188"/>
      <c r="AH819" s="299"/>
    </row>
    <row r="820" spans="2:34" ht="13">
      <c r="B820" s="294"/>
      <c r="K820" s="296"/>
      <c r="AB820" s="188"/>
      <c r="AC820" s="188"/>
      <c r="AD820" s="188"/>
      <c r="AE820" s="188"/>
      <c r="AF820" s="188"/>
      <c r="AG820" s="188"/>
      <c r="AH820" s="299"/>
    </row>
    <row r="821" spans="2:34" ht="13">
      <c r="B821" s="294"/>
      <c r="K821" s="296"/>
      <c r="AB821" s="188"/>
      <c r="AC821" s="188"/>
      <c r="AD821" s="188"/>
      <c r="AE821" s="188"/>
      <c r="AF821" s="188"/>
      <c r="AG821" s="188"/>
      <c r="AH821" s="299"/>
    </row>
    <row r="822" spans="2:34" ht="13">
      <c r="B822" s="294"/>
      <c r="K822" s="296"/>
      <c r="AB822" s="188"/>
      <c r="AC822" s="188"/>
      <c r="AD822" s="188"/>
      <c r="AE822" s="188"/>
      <c r="AF822" s="188"/>
      <c r="AG822" s="188"/>
      <c r="AH822" s="299"/>
    </row>
    <row r="823" spans="2:34" ht="13">
      <c r="B823" s="294"/>
      <c r="K823" s="296"/>
      <c r="AB823" s="188"/>
      <c r="AC823" s="188"/>
      <c r="AD823" s="188"/>
      <c r="AE823" s="188"/>
      <c r="AF823" s="188"/>
      <c r="AG823" s="188"/>
      <c r="AH823" s="299"/>
    </row>
    <row r="824" spans="2:34" ht="13">
      <c r="B824" s="294"/>
      <c r="K824" s="296"/>
      <c r="AB824" s="188"/>
      <c r="AC824" s="188"/>
      <c r="AD824" s="188"/>
      <c r="AE824" s="188"/>
      <c r="AF824" s="188"/>
      <c r="AG824" s="188"/>
      <c r="AH824" s="299"/>
    </row>
    <row r="825" spans="2:34" ht="13">
      <c r="B825" s="294"/>
      <c r="K825" s="296"/>
      <c r="AB825" s="188"/>
      <c r="AC825" s="188"/>
      <c r="AD825" s="188"/>
      <c r="AE825" s="188"/>
      <c r="AF825" s="188"/>
      <c r="AG825" s="188"/>
      <c r="AH825" s="299"/>
    </row>
    <row r="826" spans="2:34" ht="13">
      <c r="B826" s="294"/>
      <c r="K826" s="296"/>
      <c r="AB826" s="188"/>
      <c r="AC826" s="188"/>
      <c r="AD826" s="188"/>
      <c r="AE826" s="188"/>
      <c r="AF826" s="188"/>
      <c r="AG826" s="188"/>
      <c r="AH826" s="299"/>
    </row>
    <row r="827" spans="2:34" ht="13">
      <c r="B827" s="294"/>
      <c r="K827" s="296"/>
      <c r="AB827" s="188"/>
      <c r="AC827" s="188"/>
      <c r="AD827" s="188"/>
      <c r="AE827" s="188"/>
      <c r="AF827" s="188"/>
      <c r="AG827" s="188"/>
      <c r="AH827" s="299"/>
    </row>
    <row r="828" spans="2:34" ht="13">
      <c r="B828" s="294"/>
      <c r="K828" s="296"/>
      <c r="AB828" s="188"/>
      <c r="AC828" s="188"/>
      <c r="AD828" s="188"/>
      <c r="AE828" s="188"/>
      <c r="AF828" s="188"/>
      <c r="AG828" s="188"/>
      <c r="AH828" s="299"/>
    </row>
    <row r="829" spans="2:34" ht="13">
      <c r="B829" s="294"/>
      <c r="K829" s="296"/>
      <c r="AB829" s="188"/>
      <c r="AC829" s="188"/>
      <c r="AD829" s="188"/>
      <c r="AE829" s="188"/>
      <c r="AF829" s="188"/>
      <c r="AG829" s="188"/>
      <c r="AH829" s="299"/>
    </row>
    <row r="830" spans="2:34" ht="13">
      <c r="B830" s="294"/>
      <c r="K830" s="296"/>
      <c r="AB830" s="188"/>
      <c r="AC830" s="188"/>
      <c r="AD830" s="188"/>
      <c r="AE830" s="188"/>
      <c r="AF830" s="188"/>
      <c r="AG830" s="188"/>
      <c r="AH830" s="299"/>
    </row>
    <row r="831" spans="2:34" ht="13">
      <c r="B831" s="294"/>
      <c r="K831" s="296"/>
      <c r="AB831" s="188"/>
      <c r="AC831" s="188"/>
      <c r="AD831" s="188"/>
      <c r="AE831" s="188"/>
      <c r="AF831" s="188"/>
      <c r="AG831" s="188"/>
      <c r="AH831" s="299"/>
    </row>
    <row r="832" spans="2:34" ht="13">
      <c r="B832" s="294"/>
      <c r="K832" s="296"/>
      <c r="AB832" s="188"/>
      <c r="AC832" s="188"/>
      <c r="AD832" s="188"/>
      <c r="AE832" s="188"/>
      <c r="AF832" s="188"/>
      <c r="AG832" s="188"/>
      <c r="AH832" s="299"/>
    </row>
    <row r="833" spans="2:34" ht="13">
      <c r="B833" s="294"/>
      <c r="K833" s="296"/>
      <c r="AB833" s="188"/>
      <c r="AC833" s="188"/>
      <c r="AD833" s="188"/>
      <c r="AE833" s="188"/>
      <c r="AF833" s="188"/>
      <c r="AG833" s="188"/>
      <c r="AH833" s="299"/>
    </row>
    <row r="834" spans="2:34" ht="13">
      <c r="B834" s="294"/>
      <c r="K834" s="296"/>
      <c r="AB834" s="188"/>
      <c r="AC834" s="188"/>
      <c r="AD834" s="188"/>
      <c r="AE834" s="188"/>
      <c r="AF834" s="188"/>
      <c r="AG834" s="188"/>
      <c r="AH834" s="299"/>
    </row>
    <row r="835" spans="2:34" ht="13">
      <c r="B835" s="294"/>
      <c r="K835" s="296"/>
      <c r="AB835" s="188"/>
      <c r="AC835" s="188"/>
      <c r="AD835" s="188"/>
      <c r="AE835" s="188"/>
      <c r="AF835" s="188"/>
      <c r="AG835" s="188"/>
      <c r="AH835" s="299"/>
    </row>
    <row r="836" spans="2:34" ht="13">
      <c r="B836" s="294"/>
      <c r="K836" s="296"/>
      <c r="AB836" s="188"/>
      <c r="AC836" s="188"/>
      <c r="AD836" s="188"/>
      <c r="AE836" s="188"/>
      <c r="AF836" s="188"/>
      <c r="AG836" s="188"/>
      <c r="AH836" s="299"/>
    </row>
    <row r="837" spans="2:34" ht="13">
      <c r="B837" s="294"/>
      <c r="K837" s="296"/>
      <c r="AB837" s="188"/>
      <c r="AC837" s="188"/>
      <c r="AD837" s="188"/>
      <c r="AE837" s="188"/>
      <c r="AF837" s="188"/>
      <c r="AG837" s="188"/>
      <c r="AH837" s="299"/>
    </row>
    <row r="838" spans="2:34" ht="13">
      <c r="B838" s="294"/>
      <c r="K838" s="296"/>
      <c r="AB838" s="188"/>
      <c r="AC838" s="188"/>
      <c r="AD838" s="188"/>
      <c r="AE838" s="188"/>
      <c r="AF838" s="188"/>
      <c r="AG838" s="188"/>
      <c r="AH838" s="299"/>
    </row>
    <row r="839" spans="2:34" ht="13">
      <c r="B839" s="294"/>
      <c r="K839" s="296"/>
      <c r="AB839" s="188"/>
      <c r="AC839" s="188"/>
      <c r="AD839" s="188"/>
      <c r="AE839" s="188"/>
      <c r="AF839" s="188"/>
      <c r="AG839" s="188"/>
      <c r="AH839" s="299"/>
    </row>
    <row r="840" spans="2:34" ht="13">
      <c r="B840" s="294"/>
      <c r="K840" s="296"/>
      <c r="AB840" s="188"/>
      <c r="AC840" s="188"/>
      <c r="AD840" s="188"/>
      <c r="AE840" s="188"/>
      <c r="AF840" s="188"/>
      <c r="AG840" s="188"/>
      <c r="AH840" s="299"/>
    </row>
    <row r="841" spans="2:34" ht="13">
      <c r="B841" s="294"/>
      <c r="K841" s="296"/>
      <c r="AB841" s="188"/>
      <c r="AC841" s="188"/>
      <c r="AD841" s="188"/>
      <c r="AE841" s="188"/>
      <c r="AF841" s="188"/>
      <c r="AG841" s="188"/>
      <c r="AH841" s="299"/>
    </row>
    <row r="842" spans="2:34" ht="13">
      <c r="B842" s="294"/>
      <c r="K842" s="296"/>
      <c r="AB842" s="188"/>
      <c r="AC842" s="188"/>
      <c r="AD842" s="188"/>
      <c r="AE842" s="188"/>
      <c r="AF842" s="188"/>
      <c r="AG842" s="188"/>
      <c r="AH842" s="299"/>
    </row>
    <row r="843" spans="2:34" ht="13">
      <c r="B843" s="294"/>
      <c r="K843" s="296"/>
      <c r="AB843" s="188"/>
      <c r="AC843" s="188"/>
      <c r="AD843" s="188"/>
      <c r="AE843" s="188"/>
      <c r="AF843" s="188"/>
      <c r="AG843" s="188"/>
      <c r="AH843" s="299"/>
    </row>
    <row r="844" spans="2:34" ht="13">
      <c r="B844" s="294"/>
      <c r="K844" s="296"/>
      <c r="AB844" s="188"/>
      <c r="AC844" s="188"/>
      <c r="AD844" s="188"/>
      <c r="AE844" s="188"/>
      <c r="AF844" s="188"/>
      <c r="AG844" s="188"/>
      <c r="AH844" s="299"/>
    </row>
    <row r="845" spans="2:34" ht="13">
      <c r="B845" s="294"/>
      <c r="K845" s="296"/>
      <c r="AB845" s="188"/>
      <c r="AC845" s="188"/>
      <c r="AD845" s="188"/>
      <c r="AE845" s="188"/>
      <c r="AF845" s="188"/>
      <c r="AG845" s="188"/>
      <c r="AH845" s="299"/>
    </row>
    <row r="846" spans="2:34" ht="13">
      <c r="B846" s="294"/>
      <c r="K846" s="296"/>
      <c r="AB846" s="188"/>
      <c r="AC846" s="188"/>
      <c r="AD846" s="188"/>
      <c r="AE846" s="188"/>
      <c r="AF846" s="188"/>
      <c r="AG846" s="188"/>
      <c r="AH846" s="299"/>
    </row>
    <row r="847" spans="2:34" ht="13">
      <c r="B847" s="294"/>
      <c r="K847" s="296"/>
      <c r="AB847" s="188"/>
      <c r="AC847" s="188"/>
      <c r="AD847" s="188"/>
      <c r="AE847" s="188"/>
      <c r="AF847" s="188"/>
      <c r="AG847" s="188"/>
      <c r="AH847" s="299"/>
    </row>
    <row r="848" spans="2:34" ht="13">
      <c r="B848" s="294"/>
      <c r="K848" s="296"/>
      <c r="AB848" s="188"/>
      <c r="AC848" s="188"/>
      <c r="AD848" s="188"/>
      <c r="AE848" s="188"/>
      <c r="AF848" s="188"/>
      <c r="AG848" s="188"/>
      <c r="AH848" s="299"/>
    </row>
    <row r="849" spans="2:34" ht="13">
      <c r="B849" s="294"/>
      <c r="K849" s="296"/>
      <c r="AB849" s="188"/>
      <c r="AC849" s="188"/>
      <c r="AD849" s="188"/>
      <c r="AE849" s="188"/>
      <c r="AF849" s="188"/>
      <c r="AG849" s="188"/>
      <c r="AH849" s="299"/>
    </row>
    <row r="850" spans="2:34" ht="13">
      <c r="B850" s="294"/>
      <c r="K850" s="296"/>
      <c r="AB850" s="188"/>
      <c r="AC850" s="188"/>
      <c r="AD850" s="188"/>
      <c r="AE850" s="188"/>
      <c r="AF850" s="188"/>
      <c r="AG850" s="188"/>
      <c r="AH850" s="299"/>
    </row>
    <row r="851" spans="2:34" ht="13">
      <c r="B851" s="294"/>
      <c r="K851" s="296"/>
      <c r="AB851" s="188"/>
      <c r="AC851" s="188"/>
      <c r="AD851" s="188"/>
      <c r="AE851" s="188"/>
      <c r="AF851" s="188"/>
      <c r="AG851" s="188"/>
      <c r="AH851" s="299"/>
    </row>
    <row r="852" spans="2:34" ht="13">
      <c r="B852" s="294"/>
      <c r="K852" s="296"/>
      <c r="AB852" s="188"/>
      <c r="AC852" s="188"/>
      <c r="AD852" s="188"/>
      <c r="AE852" s="188"/>
      <c r="AF852" s="188"/>
      <c r="AG852" s="188"/>
      <c r="AH852" s="299"/>
    </row>
    <row r="853" spans="2:34" ht="13">
      <c r="B853" s="294"/>
      <c r="K853" s="296"/>
      <c r="AB853" s="188"/>
      <c r="AC853" s="188"/>
      <c r="AD853" s="188"/>
      <c r="AE853" s="188"/>
      <c r="AF853" s="188"/>
      <c r="AG853" s="188"/>
      <c r="AH853" s="299"/>
    </row>
    <row r="854" spans="2:34" ht="13">
      <c r="B854" s="294"/>
      <c r="K854" s="296"/>
      <c r="AB854" s="188"/>
      <c r="AC854" s="188"/>
      <c r="AD854" s="188"/>
      <c r="AE854" s="188"/>
      <c r="AF854" s="188"/>
      <c r="AG854" s="188"/>
      <c r="AH854" s="299"/>
    </row>
    <row r="855" spans="2:34" ht="13">
      <c r="B855" s="294"/>
      <c r="K855" s="296"/>
      <c r="AB855" s="188"/>
      <c r="AC855" s="188"/>
      <c r="AD855" s="188"/>
      <c r="AE855" s="188"/>
      <c r="AF855" s="188"/>
      <c r="AG855" s="188"/>
      <c r="AH855" s="299"/>
    </row>
    <row r="856" spans="2:34" ht="13">
      <c r="B856" s="294"/>
      <c r="K856" s="296"/>
      <c r="AB856" s="188"/>
      <c r="AC856" s="188"/>
      <c r="AD856" s="188"/>
      <c r="AE856" s="188"/>
      <c r="AF856" s="188"/>
      <c r="AG856" s="188"/>
      <c r="AH856" s="299"/>
    </row>
    <row r="857" spans="2:34" ht="13">
      <c r="B857" s="294"/>
      <c r="K857" s="296"/>
      <c r="AB857" s="188"/>
      <c r="AC857" s="188"/>
      <c r="AD857" s="188"/>
      <c r="AE857" s="188"/>
      <c r="AF857" s="188"/>
      <c r="AG857" s="188"/>
      <c r="AH857" s="299"/>
    </row>
    <row r="858" spans="2:34" ht="13">
      <c r="B858" s="294"/>
      <c r="K858" s="296"/>
      <c r="AB858" s="188"/>
      <c r="AC858" s="188"/>
      <c r="AD858" s="188"/>
      <c r="AE858" s="188"/>
      <c r="AF858" s="188"/>
      <c r="AG858" s="188"/>
      <c r="AH858" s="299"/>
    </row>
    <row r="859" spans="2:34" ht="13">
      <c r="B859" s="294"/>
      <c r="K859" s="296"/>
      <c r="AB859" s="188"/>
      <c r="AC859" s="188"/>
      <c r="AD859" s="188"/>
      <c r="AE859" s="188"/>
      <c r="AF859" s="188"/>
      <c r="AG859" s="188"/>
      <c r="AH859" s="299"/>
    </row>
    <row r="860" spans="2:34" ht="13">
      <c r="B860" s="294"/>
      <c r="K860" s="296"/>
      <c r="AB860" s="188"/>
      <c r="AC860" s="188"/>
      <c r="AD860" s="188"/>
      <c r="AE860" s="188"/>
      <c r="AF860" s="188"/>
      <c r="AG860" s="188"/>
      <c r="AH860" s="299"/>
    </row>
    <row r="861" spans="2:34" ht="13">
      <c r="B861" s="294"/>
      <c r="K861" s="296"/>
      <c r="AB861" s="188"/>
      <c r="AC861" s="188"/>
      <c r="AD861" s="188"/>
      <c r="AE861" s="188"/>
      <c r="AF861" s="188"/>
      <c r="AG861" s="188"/>
      <c r="AH861" s="299"/>
    </row>
    <row r="862" spans="2:34" ht="13">
      <c r="B862" s="294"/>
      <c r="K862" s="296"/>
      <c r="AB862" s="188"/>
      <c r="AC862" s="188"/>
      <c r="AD862" s="188"/>
      <c r="AE862" s="188"/>
      <c r="AF862" s="188"/>
      <c r="AG862" s="188"/>
      <c r="AH862" s="299"/>
    </row>
    <row r="863" spans="2:34" ht="13">
      <c r="B863" s="294"/>
      <c r="K863" s="296"/>
      <c r="AB863" s="188"/>
      <c r="AC863" s="188"/>
      <c r="AD863" s="188"/>
      <c r="AE863" s="188"/>
      <c r="AF863" s="188"/>
      <c r="AG863" s="188"/>
      <c r="AH863" s="299"/>
    </row>
    <row r="864" spans="2:34" ht="13">
      <c r="B864" s="294"/>
      <c r="K864" s="296"/>
      <c r="AB864" s="188"/>
      <c r="AC864" s="188"/>
      <c r="AD864" s="188"/>
      <c r="AE864" s="188"/>
      <c r="AF864" s="188"/>
      <c r="AG864" s="188"/>
      <c r="AH864" s="299"/>
    </row>
    <row r="865" spans="2:34" ht="13">
      <c r="B865" s="294"/>
      <c r="K865" s="296"/>
      <c r="AB865" s="188"/>
      <c r="AC865" s="188"/>
      <c r="AD865" s="188"/>
      <c r="AE865" s="188"/>
      <c r="AF865" s="188"/>
      <c r="AG865" s="188"/>
      <c r="AH865" s="299"/>
    </row>
    <row r="866" spans="2:34" ht="13">
      <c r="B866" s="294"/>
      <c r="K866" s="296"/>
      <c r="AB866" s="188"/>
      <c r="AC866" s="188"/>
      <c r="AD866" s="188"/>
      <c r="AE866" s="188"/>
      <c r="AF866" s="188"/>
      <c r="AG866" s="188"/>
      <c r="AH866" s="299"/>
    </row>
    <row r="867" spans="2:34" ht="13">
      <c r="B867" s="294"/>
      <c r="K867" s="296"/>
      <c r="AB867" s="188"/>
      <c r="AC867" s="188"/>
      <c r="AD867" s="188"/>
      <c r="AE867" s="188"/>
      <c r="AF867" s="188"/>
      <c r="AG867" s="188"/>
      <c r="AH867" s="299"/>
    </row>
    <row r="868" spans="2:34" ht="13">
      <c r="B868" s="294"/>
      <c r="K868" s="296"/>
      <c r="AB868" s="188"/>
      <c r="AC868" s="188"/>
      <c r="AD868" s="188"/>
      <c r="AE868" s="188"/>
      <c r="AF868" s="188"/>
      <c r="AG868" s="188"/>
      <c r="AH868" s="299"/>
    </row>
    <row r="869" spans="2:34" ht="13">
      <c r="B869" s="294"/>
      <c r="K869" s="296"/>
      <c r="AB869" s="188"/>
      <c r="AC869" s="188"/>
      <c r="AD869" s="188"/>
      <c r="AE869" s="188"/>
      <c r="AF869" s="188"/>
      <c r="AG869" s="188"/>
      <c r="AH869" s="299"/>
    </row>
    <row r="870" spans="2:34" ht="13">
      <c r="B870" s="294"/>
      <c r="K870" s="296"/>
      <c r="AB870" s="188"/>
      <c r="AC870" s="188"/>
      <c r="AD870" s="188"/>
      <c r="AE870" s="188"/>
      <c r="AF870" s="188"/>
      <c r="AG870" s="188"/>
      <c r="AH870" s="299"/>
    </row>
    <row r="871" spans="2:34" ht="13">
      <c r="B871" s="294"/>
      <c r="K871" s="296"/>
      <c r="AB871" s="188"/>
      <c r="AC871" s="188"/>
      <c r="AD871" s="188"/>
      <c r="AE871" s="188"/>
      <c r="AF871" s="188"/>
      <c r="AG871" s="188"/>
      <c r="AH871" s="299"/>
    </row>
    <row r="872" spans="2:34" ht="13">
      <c r="B872" s="294"/>
      <c r="K872" s="296"/>
      <c r="AB872" s="188"/>
      <c r="AC872" s="188"/>
      <c r="AD872" s="188"/>
      <c r="AE872" s="188"/>
      <c r="AF872" s="188"/>
      <c r="AG872" s="188"/>
      <c r="AH872" s="299"/>
    </row>
    <row r="873" spans="2:34" ht="13">
      <c r="B873" s="294"/>
      <c r="K873" s="296"/>
      <c r="AB873" s="188"/>
      <c r="AC873" s="188"/>
      <c r="AD873" s="188"/>
      <c r="AE873" s="188"/>
      <c r="AF873" s="188"/>
      <c r="AG873" s="188"/>
      <c r="AH873" s="299"/>
    </row>
    <row r="874" spans="2:34" ht="13">
      <c r="B874" s="294"/>
      <c r="K874" s="296"/>
      <c r="AB874" s="188"/>
      <c r="AC874" s="188"/>
      <c r="AD874" s="188"/>
      <c r="AE874" s="188"/>
      <c r="AF874" s="188"/>
      <c r="AG874" s="188"/>
      <c r="AH874" s="299"/>
    </row>
    <row r="875" spans="2:34" ht="13">
      <c r="B875" s="294"/>
      <c r="K875" s="296"/>
      <c r="AB875" s="188"/>
      <c r="AC875" s="188"/>
      <c r="AD875" s="188"/>
      <c r="AE875" s="188"/>
      <c r="AF875" s="188"/>
      <c r="AG875" s="188"/>
      <c r="AH875" s="299"/>
    </row>
    <row r="876" spans="2:34" ht="13">
      <c r="B876" s="294"/>
      <c r="K876" s="296"/>
      <c r="AB876" s="188"/>
      <c r="AC876" s="188"/>
      <c r="AD876" s="188"/>
      <c r="AE876" s="188"/>
      <c r="AF876" s="188"/>
      <c r="AG876" s="188"/>
      <c r="AH876" s="299"/>
    </row>
    <row r="877" spans="2:34" ht="13">
      <c r="B877" s="294"/>
      <c r="K877" s="296"/>
      <c r="AB877" s="188"/>
      <c r="AC877" s="188"/>
      <c r="AD877" s="188"/>
      <c r="AE877" s="188"/>
      <c r="AF877" s="188"/>
      <c r="AG877" s="188"/>
      <c r="AH877" s="299"/>
    </row>
    <row r="878" spans="2:34" ht="13">
      <c r="B878" s="294"/>
      <c r="K878" s="296"/>
      <c r="AB878" s="188"/>
      <c r="AC878" s="188"/>
      <c r="AD878" s="188"/>
      <c r="AE878" s="188"/>
      <c r="AF878" s="188"/>
      <c r="AG878" s="188"/>
      <c r="AH878" s="299"/>
    </row>
    <row r="879" spans="2:34" ht="13">
      <c r="B879" s="294"/>
      <c r="K879" s="296"/>
      <c r="AB879" s="188"/>
      <c r="AC879" s="188"/>
      <c r="AD879" s="188"/>
      <c r="AE879" s="188"/>
      <c r="AF879" s="188"/>
      <c r="AG879" s="188"/>
      <c r="AH879" s="299"/>
    </row>
    <row r="880" spans="2:34" ht="13">
      <c r="B880" s="294"/>
      <c r="K880" s="296"/>
      <c r="AB880" s="188"/>
      <c r="AC880" s="188"/>
      <c r="AD880" s="188"/>
      <c r="AE880" s="188"/>
      <c r="AF880" s="188"/>
      <c r="AG880" s="188"/>
      <c r="AH880" s="299"/>
    </row>
    <row r="881" spans="2:34" ht="13">
      <c r="B881" s="294"/>
      <c r="K881" s="296"/>
      <c r="AB881" s="188"/>
      <c r="AC881" s="188"/>
      <c r="AD881" s="188"/>
      <c r="AE881" s="188"/>
      <c r="AF881" s="188"/>
      <c r="AG881" s="188"/>
      <c r="AH881" s="299"/>
    </row>
    <row r="882" spans="2:34" ht="13">
      <c r="B882" s="294"/>
      <c r="K882" s="296"/>
      <c r="AB882" s="188"/>
      <c r="AC882" s="188"/>
      <c r="AD882" s="188"/>
      <c r="AE882" s="188"/>
      <c r="AF882" s="188"/>
      <c r="AG882" s="188"/>
      <c r="AH882" s="299"/>
    </row>
    <row r="883" spans="2:34" ht="13">
      <c r="B883" s="294"/>
      <c r="K883" s="296"/>
      <c r="AB883" s="188"/>
      <c r="AC883" s="188"/>
      <c r="AD883" s="188"/>
      <c r="AE883" s="188"/>
      <c r="AF883" s="188"/>
      <c r="AG883" s="188"/>
      <c r="AH883" s="299"/>
    </row>
    <row r="884" spans="2:34" ht="13">
      <c r="B884" s="294"/>
      <c r="K884" s="296"/>
      <c r="AB884" s="188"/>
      <c r="AC884" s="188"/>
      <c r="AD884" s="188"/>
      <c r="AE884" s="188"/>
      <c r="AF884" s="188"/>
      <c r="AG884" s="188"/>
      <c r="AH884" s="299"/>
    </row>
    <row r="885" spans="2:34" ht="13">
      <c r="B885" s="294"/>
      <c r="K885" s="296"/>
      <c r="AB885" s="188"/>
      <c r="AC885" s="188"/>
      <c r="AD885" s="188"/>
      <c r="AE885" s="188"/>
      <c r="AF885" s="188"/>
      <c r="AG885" s="188"/>
      <c r="AH885" s="299"/>
    </row>
    <row r="886" spans="2:34" ht="13">
      <c r="B886" s="294"/>
      <c r="K886" s="296"/>
      <c r="AB886" s="188"/>
      <c r="AC886" s="188"/>
      <c r="AD886" s="188"/>
      <c r="AE886" s="188"/>
      <c r="AF886" s="188"/>
      <c r="AG886" s="188"/>
      <c r="AH886" s="299"/>
    </row>
    <row r="887" spans="2:34" ht="13">
      <c r="B887" s="294"/>
      <c r="K887" s="296"/>
      <c r="AB887" s="188"/>
      <c r="AC887" s="188"/>
      <c r="AD887" s="188"/>
      <c r="AE887" s="188"/>
      <c r="AF887" s="188"/>
      <c r="AG887" s="188"/>
      <c r="AH887" s="299"/>
    </row>
    <row r="888" spans="2:34" ht="13">
      <c r="B888" s="294"/>
      <c r="K888" s="296"/>
      <c r="AB888" s="188"/>
      <c r="AC888" s="188"/>
      <c r="AD888" s="188"/>
      <c r="AE888" s="188"/>
      <c r="AF888" s="188"/>
      <c r="AG888" s="188"/>
      <c r="AH888" s="299"/>
    </row>
    <row r="889" spans="2:34" ht="13">
      <c r="B889" s="294"/>
      <c r="K889" s="296"/>
      <c r="AB889" s="188"/>
      <c r="AC889" s="188"/>
      <c r="AD889" s="188"/>
      <c r="AE889" s="188"/>
      <c r="AF889" s="188"/>
      <c r="AG889" s="188"/>
      <c r="AH889" s="299"/>
    </row>
    <row r="890" spans="2:34" ht="13">
      <c r="B890" s="294"/>
      <c r="K890" s="296"/>
      <c r="AB890" s="188"/>
      <c r="AC890" s="188"/>
      <c r="AD890" s="188"/>
      <c r="AE890" s="188"/>
      <c r="AF890" s="188"/>
      <c r="AG890" s="188"/>
      <c r="AH890" s="299"/>
    </row>
    <row r="891" spans="2:34" ht="13">
      <c r="B891" s="294"/>
      <c r="K891" s="296"/>
      <c r="AB891" s="188"/>
      <c r="AC891" s="188"/>
      <c r="AD891" s="188"/>
      <c r="AE891" s="188"/>
      <c r="AF891" s="188"/>
      <c r="AG891" s="188"/>
      <c r="AH891" s="299"/>
    </row>
    <row r="892" spans="2:34" ht="13">
      <c r="B892" s="294"/>
      <c r="K892" s="296"/>
      <c r="AB892" s="188"/>
      <c r="AC892" s="188"/>
      <c r="AD892" s="188"/>
      <c r="AE892" s="188"/>
      <c r="AF892" s="188"/>
      <c r="AG892" s="188"/>
      <c r="AH892" s="299"/>
    </row>
    <row r="893" spans="2:34" ht="13">
      <c r="B893" s="294"/>
      <c r="K893" s="296"/>
      <c r="AB893" s="188"/>
      <c r="AC893" s="188"/>
      <c r="AD893" s="188"/>
      <c r="AE893" s="188"/>
      <c r="AF893" s="188"/>
      <c r="AG893" s="188"/>
      <c r="AH893" s="299"/>
    </row>
    <row r="894" spans="2:34" ht="13">
      <c r="B894" s="294"/>
      <c r="K894" s="296"/>
      <c r="AB894" s="188"/>
      <c r="AC894" s="188"/>
      <c r="AD894" s="188"/>
      <c r="AE894" s="188"/>
      <c r="AF894" s="188"/>
      <c r="AG894" s="188"/>
      <c r="AH894" s="299"/>
    </row>
    <row r="895" spans="2:34" ht="13">
      <c r="B895" s="294"/>
      <c r="K895" s="296"/>
      <c r="AB895" s="188"/>
      <c r="AC895" s="188"/>
      <c r="AD895" s="188"/>
      <c r="AE895" s="188"/>
      <c r="AF895" s="188"/>
      <c r="AG895" s="188"/>
      <c r="AH895" s="299"/>
    </row>
    <row r="896" spans="2:34" ht="13">
      <c r="B896" s="294"/>
      <c r="K896" s="296"/>
      <c r="AB896" s="188"/>
      <c r="AC896" s="188"/>
      <c r="AD896" s="188"/>
      <c r="AE896" s="188"/>
      <c r="AF896" s="188"/>
      <c r="AG896" s="188"/>
      <c r="AH896" s="299"/>
    </row>
    <row r="897" spans="2:34" ht="13">
      <c r="B897" s="294"/>
      <c r="K897" s="296"/>
      <c r="AB897" s="188"/>
      <c r="AC897" s="188"/>
      <c r="AD897" s="188"/>
      <c r="AE897" s="188"/>
      <c r="AF897" s="188"/>
      <c r="AG897" s="188"/>
      <c r="AH897" s="299"/>
    </row>
    <row r="898" spans="2:34" ht="13">
      <c r="B898" s="294"/>
      <c r="K898" s="296"/>
      <c r="AB898" s="188"/>
      <c r="AC898" s="188"/>
      <c r="AD898" s="188"/>
      <c r="AE898" s="188"/>
      <c r="AF898" s="188"/>
      <c r="AG898" s="188"/>
      <c r="AH898" s="299"/>
    </row>
    <row r="899" spans="2:34" ht="13">
      <c r="B899" s="294"/>
      <c r="K899" s="296"/>
      <c r="AB899" s="188"/>
      <c r="AC899" s="188"/>
      <c r="AD899" s="188"/>
      <c r="AE899" s="188"/>
      <c r="AF899" s="188"/>
      <c r="AG899" s="188"/>
      <c r="AH899" s="299"/>
    </row>
    <row r="900" spans="2:34" ht="13">
      <c r="B900" s="294"/>
      <c r="K900" s="296"/>
      <c r="AB900" s="188"/>
      <c r="AC900" s="188"/>
      <c r="AD900" s="188"/>
      <c r="AE900" s="188"/>
      <c r="AF900" s="188"/>
      <c r="AG900" s="188"/>
      <c r="AH900" s="299"/>
    </row>
    <row r="901" spans="2:34" ht="13">
      <c r="B901" s="294"/>
      <c r="K901" s="296"/>
      <c r="AB901" s="188"/>
      <c r="AC901" s="188"/>
      <c r="AD901" s="188"/>
      <c r="AE901" s="188"/>
      <c r="AF901" s="188"/>
      <c r="AG901" s="188"/>
      <c r="AH901" s="299"/>
    </row>
    <row r="902" spans="2:34" ht="13">
      <c r="B902" s="294"/>
      <c r="K902" s="296"/>
      <c r="AB902" s="188"/>
      <c r="AC902" s="188"/>
      <c r="AD902" s="188"/>
      <c r="AE902" s="188"/>
      <c r="AF902" s="188"/>
      <c r="AG902" s="188"/>
      <c r="AH902" s="299"/>
    </row>
    <row r="903" spans="2:34" ht="13">
      <c r="B903" s="294"/>
      <c r="K903" s="296"/>
      <c r="AB903" s="188"/>
      <c r="AC903" s="188"/>
      <c r="AD903" s="188"/>
      <c r="AE903" s="188"/>
      <c r="AF903" s="188"/>
      <c r="AG903" s="188"/>
      <c r="AH903" s="299"/>
    </row>
    <row r="904" spans="2:34" ht="13">
      <c r="B904" s="294"/>
      <c r="K904" s="296"/>
      <c r="AB904" s="188"/>
      <c r="AC904" s="188"/>
      <c r="AD904" s="188"/>
      <c r="AE904" s="188"/>
      <c r="AF904" s="188"/>
      <c r="AG904" s="188"/>
      <c r="AH904" s="299"/>
    </row>
    <row r="905" spans="2:34" ht="13">
      <c r="B905" s="294"/>
      <c r="K905" s="296"/>
      <c r="AB905" s="188"/>
      <c r="AC905" s="188"/>
      <c r="AD905" s="188"/>
      <c r="AE905" s="188"/>
      <c r="AF905" s="188"/>
      <c r="AG905" s="188"/>
      <c r="AH905" s="299"/>
    </row>
    <row r="906" spans="2:34" ht="13">
      <c r="B906" s="294"/>
      <c r="K906" s="296"/>
      <c r="AB906" s="188"/>
      <c r="AC906" s="188"/>
      <c r="AD906" s="188"/>
      <c r="AE906" s="188"/>
      <c r="AF906" s="188"/>
      <c r="AG906" s="188"/>
      <c r="AH906" s="299"/>
    </row>
    <row r="907" spans="2:34" ht="13">
      <c r="B907" s="294"/>
      <c r="K907" s="296"/>
      <c r="AB907" s="188"/>
      <c r="AC907" s="188"/>
      <c r="AD907" s="188"/>
      <c r="AE907" s="188"/>
      <c r="AF907" s="188"/>
      <c r="AG907" s="188"/>
      <c r="AH907" s="299"/>
    </row>
    <row r="908" spans="2:34" ht="13">
      <c r="B908" s="294"/>
      <c r="K908" s="296"/>
      <c r="AB908" s="188"/>
      <c r="AC908" s="188"/>
      <c r="AD908" s="188"/>
      <c r="AE908" s="188"/>
      <c r="AF908" s="188"/>
      <c r="AG908" s="188"/>
      <c r="AH908" s="299"/>
    </row>
    <row r="909" spans="2:34" ht="13">
      <c r="B909" s="294"/>
      <c r="K909" s="296"/>
      <c r="AB909" s="188"/>
      <c r="AC909" s="188"/>
      <c r="AD909" s="188"/>
      <c r="AE909" s="188"/>
      <c r="AF909" s="188"/>
      <c r="AG909" s="188"/>
      <c r="AH909" s="299"/>
    </row>
    <row r="910" spans="2:34" ht="13">
      <c r="B910" s="294"/>
      <c r="K910" s="296"/>
      <c r="AB910" s="188"/>
      <c r="AC910" s="188"/>
      <c r="AD910" s="188"/>
      <c r="AE910" s="188"/>
      <c r="AF910" s="188"/>
      <c r="AG910" s="188"/>
      <c r="AH910" s="299"/>
    </row>
    <row r="911" spans="2:34" ht="13">
      <c r="B911" s="294"/>
      <c r="K911" s="296"/>
      <c r="AB911" s="188"/>
      <c r="AC911" s="188"/>
      <c r="AD911" s="188"/>
      <c r="AE911" s="188"/>
      <c r="AF911" s="188"/>
      <c r="AG911" s="188"/>
      <c r="AH911" s="299"/>
    </row>
    <row r="912" spans="2:34" ht="13">
      <c r="B912" s="294"/>
      <c r="K912" s="296"/>
      <c r="AB912" s="188"/>
      <c r="AC912" s="188"/>
      <c r="AD912" s="188"/>
      <c r="AE912" s="188"/>
      <c r="AF912" s="188"/>
      <c r="AG912" s="188"/>
      <c r="AH912" s="299"/>
    </row>
    <row r="913" spans="2:34" ht="13">
      <c r="B913" s="294"/>
      <c r="K913" s="296"/>
      <c r="AB913" s="188"/>
      <c r="AC913" s="188"/>
      <c r="AD913" s="188"/>
      <c r="AE913" s="188"/>
      <c r="AF913" s="188"/>
      <c r="AG913" s="188"/>
      <c r="AH913" s="299"/>
    </row>
    <row r="914" spans="2:34" ht="13">
      <c r="B914" s="294"/>
      <c r="K914" s="296"/>
      <c r="AB914" s="188"/>
      <c r="AC914" s="188"/>
      <c r="AD914" s="188"/>
      <c r="AE914" s="188"/>
      <c r="AF914" s="188"/>
      <c r="AG914" s="188"/>
      <c r="AH914" s="299"/>
    </row>
    <row r="915" spans="2:34" ht="13">
      <c r="B915" s="294"/>
      <c r="K915" s="296"/>
      <c r="AB915" s="188"/>
      <c r="AC915" s="188"/>
      <c r="AD915" s="188"/>
      <c r="AE915" s="188"/>
      <c r="AF915" s="188"/>
      <c r="AG915" s="188"/>
      <c r="AH915" s="299"/>
    </row>
    <row r="916" spans="2:34" ht="13">
      <c r="B916" s="294"/>
      <c r="K916" s="296"/>
      <c r="AB916" s="188"/>
      <c r="AC916" s="188"/>
      <c r="AD916" s="188"/>
      <c r="AE916" s="188"/>
      <c r="AF916" s="188"/>
      <c r="AG916" s="188"/>
      <c r="AH916" s="299"/>
    </row>
    <row r="917" spans="2:34" ht="13">
      <c r="B917" s="294"/>
      <c r="K917" s="296"/>
      <c r="AB917" s="188"/>
      <c r="AC917" s="188"/>
      <c r="AD917" s="188"/>
      <c r="AE917" s="188"/>
      <c r="AF917" s="188"/>
      <c r="AG917" s="188"/>
      <c r="AH917" s="299"/>
    </row>
    <row r="918" spans="2:34" ht="13">
      <c r="B918" s="294"/>
      <c r="K918" s="296"/>
      <c r="AB918" s="188"/>
      <c r="AC918" s="188"/>
      <c r="AD918" s="188"/>
      <c r="AE918" s="188"/>
      <c r="AF918" s="188"/>
      <c r="AG918" s="188"/>
      <c r="AH918" s="299"/>
    </row>
    <row r="919" spans="2:34" ht="13">
      <c r="B919" s="294"/>
      <c r="K919" s="296"/>
      <c r="AB919" s="188"/>
      <c r="AC919" s="188"/>
      <c r="AD919" s="188"/>
      <c r="AE919" s="188"/>
      <c r="AF919" s="188"/>
      <c r="AG919" s="188"/>
      <c r="AH919" s="299"/>
    </row>
    <row r="920" spans="2:34" ht="13">
      <c r="B920" s="294"/>
      <c r="K920" s="296"/>
      <c r="AB920" s="188"/>
      <c r="AC920" s="188"/>
      <c r="AD920" s="188"/>
      <c r="AE920" s="188"/>
      <c r="AF920" s="188"/>
      <c r="AG920" s="188"/>
      <c r="AH920" s="299"/>
    </row>
    <row r="921" spans="2:34" ht="13">
      <c r="B921" s="294"/>
      <c r="K921" s="296"/>
      <c r="AB921" s="188"/>
      <c r="AC921" s="188"/>
      <c r="AD921" s="188"/>
      <c r="AE921" s="188"/>
      <c r="AF921" s="188"/>
      <c r="AG921" s="188"/>
      <c r="AH921" s="299"/>
    </row>
    <row r="922" spans="2:34" ht="13">
      <c r="B922" s="294"/>
      <c r="K922" s="296"/>
      <c r="AB922" s="188"/>
      <c r="AC922" s="188"/>
      <c r="AD922" s="188"/>
      <c r="AE922" s="188"/>
      <c r="AF922" s="188"/>
      <c r="AG922" s="188"/>
      <c r="AH922" s="299"/>
    </row>
    <row r="923" spans="2:34" ht="13">
      <c r="B923" s="294"/>
      <c r="K923" s="296"/>
      <c r="AB923" s="188"/>
      <c r="AC923" s="188"/>
      <c r="AD923" s="188"/>
      <c r="AE923" s="188"/>
      <c r="AF923" s="188"/>
      <c r="AG923" s="188"/>
      <c r="AH923" s="299"/>
    </row>
    <row r="924" spans="2:34" ht="13">
      <c r="B924" s="294"/>
      <c r="K924" s="296"/>
      <c r="AB924" s="188"/>
      <c r="AC924" s="188"/>
      <c r="AD924" s="188"/>
      <c r="AE924" s="188"/>
      <c r="AF924" s="188"/>
      <c r="AG924" s="188"/>
      <c r="AH924" s="299"/>
    </row>
    <row r="925" spans="2:34" ht="13">
      <c r="B925" s="294"/>
      <c r="K925" s="296"/>
      <c r="AB925" s="188"/>
      <c r="AC925" s="188"/>
      <c r="AD925" s="188"/>
      <c r="AE925" s="188"/>
      <c r="AF925" s="188"/>
      <c r="AG925" s="188"/>
      <c r="AH925" s="299"/>
    </row>
    <row r="926" spans="2:34" ht="13">
      <c r="B926" s="294"/>
      <c r="K926" s="296"/>
      <c r="AB926" s="188"/>
      <c r="AC926" s="188"/>
      <c r="AD926" s="188"/>
      <c r="AE926" s="188"/>
      <c r="AF926" s="188"/>
      <c r="AG926" s="188"/>
      <c r="AH926" s="299"/>
    </row>
    <row r="927" spans="2:34" ht="13">
      <c r="B927" s="294"/>
      <c r="K927" s="296"/>
      <c r="AB927" s="188"/>
      <c r="AC927" s="188"/>
      <c r="AD927" s="188"/>
      <c r="AE927" s="188"/>
      <c r="AF927" s="188"/>
      <c r="AG927" s="188"/>
      <c r="AH927" s="299"/>
    </row>
    <row r="928" spans="2:34" ht="13">
      <c r="B928" s="294"/>
      <c r="K928" s="296"/>
      <c r="AB928" s="188"/>
      <c r="AC928" s="188"/>
      <c r="AD928" s="188"/>
      <c r="AE928" s="188"/>
      <c r="AF928" s="188"/>
      <c r="AG928" s="188"/>
      <c r="AH928" s="299"/>
    </row>
    <row r="929" spans="2:34" ht="13">
      <c r="B929" s="294"/>
      <c r="K929" s="296"/>
      <c r="AB929" s="188"/>
      <c r="AC929" s="188"/>
      <c r="AD929" s="188"/>
      <c r="AE929" s="188"/>
      <c r="AF929" s="188"/>
      <c r="AG929" s="188"/>
      <c r="AH929" s="299"/>
    </row>
    <row r="930" spans="2:34" ht="13">
      <c r="B930" s="294"/>
      <c r="K930" s="296"/>
      <c r="AB930" s="188"/>
      <c r="AC930" s="188"/>
      <c r="AD930" s="188"/>
      <c r="AE930" s="188"/>
      <c r="AF930" s="188"/>
      <c r="AG930" s="188"/>
      <c r="AH930" s="299"/>
    </row>
    <row r="931" spans="2:34" ht="13">
      <c r="B931" s="294"/>
      <c r="K931" s="296"/>
      <c r="AB931" s="188"/>
      <c r="AC931" s="188"/>
      <c r="AD931" s="188"/>
      <c r="AE931" s="188"/>
      <c r="AF931" s="188"/>
      <c r="AG931" s="188"/>
      <c r="AH931" s="299"/>
    </row>
    <row r="932" spans="2:34" ht="13">
      <c r="B932" s="294"/>
      <c r="K932" s="296"/>
      <c r="AB932" s="188"/>
      <c r="AC932" s="188"/>
      <c r="AD932" s="188"/>
      <c r="AE932" s="188"/>
      <c r="AF932" s="188"/>
      <c r="AG932" s="188"/>
      <c r="AH932" s="299"/>
    </row>
    <row r="933" spans="2:34" ht="13">
      <c r="B933" s="294"/>
      <c r="K933" s="296"/>
      <c r="AB933" s="188"/>
      <c r="AC933" s="188"/>
      <c r="AD933" s="188"/>
      <c r="AE933" s="188"/>
      <c r="AF933" s="188"/>
      <c r="AG933" s="188"/>
      <c r="AH933" s="299"/>
    </row>
    <row r="934" spans="2:34" ht="13">
      <c r="B934" s="294"/>
      <c r="K934" s="296"/>
      <c r="AB934" s="188"/>
      <c r="AC934" s="188"/>
      <c r="AD934" s="188"/>
      <c r="AE934" s="188"/>
      <c r="AF934" s="188"/>
      <c r="AG934" s="188"/>
      <c r="AH934" s="299"/>
    </row>
    <row r="935" spans="2:34" ht="13">
      <c r="B935" s="294"/>
      <c r="K935" s="296"/>
      <c r="AB935" s="188"/>
      <c r="AC935" s="188"/>
      <c r="AD935" s="188"/>
      <c r="AE935" s="188"/>
      <c r="AF935" s="188"/>
      <c r="AG935" s="188"/>
      <c r="AH935" s="299"/>
    </row>
    <row r="936" spans="2:34" ht="13">
      <c r="B936" s="294"/>
      <c r="K936" s="296"/>
      <c r="AB936" s="188"/>
      <c r="AC936" s="188"/>
      <c r="AD936" s="188"/>
      <c r="AE936" s="188"/>
      <c r="AF936" s="188"/>
      <c r="AG936" s="188"/>
      <c r="AH936" s="299"/>
    </row>
    <row r="937" spans="2:34" ht="13">
      <c r="B937" s="294"/>
      <c r="K937" s="296"/>
      <c r="AB937" s="188"/>
      <c r="AC937" s="188"/>
      <c r="AD937" s="188"/>
      <c r="AE937" s="188"/>
      <c r="AF937" s="188"/>
      <c r="AG937" s="188"/>
      <c r="AH937" s="299"/>
    </row>
    <row r="938" spans="2:34" ht="13">
      <c r="B938" s="294"/>
      <c r="K938" s="296"/>
      <c r="AB938" s="188"/>
      <c r="AC938" s="188"/>
      <c r="AD938" s="188"/>
      <c r="AE938" s="188"/>
      <c r="AF938" s="188"/>
      <c r="AG938" s="188"/>
      <c r="AH938" s="299"/>
    </row>
    <row r="939" spans="2:34" ht="13">
      <c r="B939" s="294"/>
      <c r="K939" s="296"/>
      <c r="AB939" s="188"/>
      <c r="AC939" s="188"/>
      <c r="AD939" s="188"/>
      <c r="AE939" s="188"/>
      <c r="AF939" s="188"/>
      <c r="AG939" s="188"/>
      <c r="AH939" s="299"/>
    </row>
    <row r="940" spans="2:34" ht="13">
      <c r="B940" s="294"/>
      <c r="K940" s="296"/>
      <c r="AB940" s="188"/>
      <c r="AC940" s="188"/>
      <c r="AD940" s="188"/>
      <c r="AE940" s="188"/>
      <c r="AF940" s="188"/>
      <c r="AG940" s="188"/>
      <c r="AH940" s="299"/>
    </row>
    <row r="941" spans="2:34" ht="13">
      <c r="B941" s="294"/>
      <c r="K941" s="296"/>
      <c r="AB941" s="188"/>
      <c r="AC941" s="188"/>
      <c r="AD941" s="188"/>
      <c r="AE941" s="188"/>
      <c r="AF941" s="188"/>
      <c r="AG941" s="188"/>
      <c r="AH941" s="299"/>
    </row>
    <row r="942" spans="2:34" ht="13">
      <c r="B942" s="294"/>
      <c r="K942" s="296"/>
      <c r="AB942" s="188"/>
      <c r="AC942" s="188"/>
      <c r="AD942" s="188"/>
      <c r="AE942" s="188"/>
      <c r="AF942" s="188"/>
      <c r="AG942" s="188"/>
      <c r="AH942" s="299"/>
    </row>
    <row r="943" spans="2:34" ht="13">
      <c r="B943" s="294"/>
      <c r="K943" s="296"/>
      <c r="AB943" s="188"/>
      <c r="AC943" s="188"/>
      <c r="AD943" s="188"/>
      <c r="AE943" s="188"/>
      <c r="AF943" s="188"/>
      <c r="AG943" s="188"/>
      <c r="AH943" s="299"/>
    </row>
    <row r="944" spans="2:34" ht="13">
      <c r="B944" s="294"/>
      <c r="K944" s="296"/>
      <c r="AB944" s="188"/>
      <c r="AC944" s="188"/>
      <c r="AD944" s="188"/>
      <c r="AE944" s="188"/>
      <c r="AF944" s="188"/>
      <c r="AG944" s="188"/>
      <c r="AH944" s="299"/>
    </row>
    <row r="945" spans="2:34" ht="13">
      <c r="B945" s="294"/>
      <c r="K945" s="296"/>
      <c r="AB945" s="188"/>
      <c r="AC945" s="188"/>
      <c r="AD945" s="188"/>
      <c r="AE945" s="188"/>
      <c r="AF945" s="188"/>
      <c r="AG945" s="188"/>
      <c r="AH945" s="299"/>
    </row>
    <row r="946" spans="2:34" ht="13">
      <c r="B946" s="294"/>
      <c r="K946" s="296"/>
      <c r="AB946" s="188"/>
      <c r="AC946" s="188"/>
      <c r="AD946" s="188"/>
      <c r="AE946" s="188"/>
      <c r="AF946" s="188"/>
      <c r="AG946" s="188"/>
      <c r="AH946" s="299"/>
    </row>
    <row r="947" spans="2:34" ht="13">
      <c r="B947" s="294"/>
      <c r="K947" s="296"/>
      <c r="AB947" s="188"/>
      <c r="AC947" s="188"/>
      <c r="AD947" s="188"/>
      <c r="AE947" s="188"/>
      <c r="AF947" s="188"/>
      <c r="AG947" s="188"/>
      <c r="AH947" s="299"/>
    </row>
    <row r="948" spans="2:34" ht="13">
      <c r="B948" s="294"/>
      <c r="K948" s="296"/>
      <c r="AB948" s="188"/>
      <c r="AC948" s="188"/>
      <c r="AD948" s="188"/>
      <c r="AE948" s="188"/>
      <c r="AF948" s="188"/>
      <c r="AG948" s="188"/>
      <c r="AH948" s="299"/>
    </row>
    <row r="949" spans="2:34" ht="13">
      <c r="B949" s="294"/>
      <c r="K949" s="296"/>
      <c r="AB949" s="188"/>
      <c r="AC949" s="188"/>
      <c r="AD949" s="188"/>
      <c r="AE949" s="188"/>
      <c r="AF949" s="188"/>
      <c r="AG949" s="188"/>
      <c r="AH949" s="299"/>
    </row>
    <row r="950" spans="2:34" ht="13">
      <c r="B950" s="294"/>
      <c r="K950" s="296"/>
      <c r="AB950" s="188"/>
      <c r="AC950" s="188"/>
      <c r="AD950" s="188"/>
      <c r="AE950" s="188"/>
      <c r="AF950" s="188"/>
      <c r="AG950" s="188"/>
      <c r="AH950" s="299"/>
    </row>
    <row r="951" spans="2:34" ht="13">
      <c r="B951" s="294"/>
      <c r="K951" s="296"/>
      <c r="AB951" s="188"/>
      <c r="AC951" s="188"/>
      <c r="AD951" s="188"/>
      <c r="AE951" s="188"/>
      <c r="AF951" s="188"/>
      <c r="AG951" s="188"/>
      <c r="AH951" s="299"/>
    </row>
    <row r="952" spans="2:34" ht="13">
      <c r="B952" s="294"/>
      <c r="K952" s="296"/>
      <c r="AB952" s="188"/>
      <c r="AC952" s="188"/>
      <c r="AD952" s="188"/>
      <c r="AE952" s="188"/>
      <c r="AF952" s="188"/>
      <c r="AG952" s="188"/>
      <c r="AH952" s="299"/>
    </row>
    <row r="953" spans="2:34" ht="13">
      <c r="B953" s="294"/>
      <c r="K953" s="296"/>
      <c r="AB953" s="188"/>
      <c r="AC953" s="188"/>
      <c r="AD953" s="188"/>
      <c r="AE953" s="188"/>
      <c r="AF953" s="188"/>
      <c r="AG953" s="188"/>
      <c r="AH953" s="299"/>
    </row>
    <row r="954" spans="2:34" ht="13">
      <c r="B954" s="294"/>
      <c r="K954" s="296"/>
      <c r="AB954" s="188"/>
      <c r="AC954" s="188"/>
      <c r="AD954" s="188"/>
      <c r="AE954" s="188"/>
      <c r="AF954" s="188"/>
      <c r="AG954" s="188"/>
      <c r="AH954" s="299"/>
    </row>
    <row r="955" spans="2:34" ht="13">
      <c r="B955" s="294"/>
      <c r="K955" s="296"/>
      <c r="AB955" s="188"/>
      <c r="AC955" s="188"/>
      <c r="AD955" s="188"/>
      <c r="AE955" s="188"/>
      <c r="AF955" s="188"/>
      <c r="AG955" s="188"/>
      <c r="AH955" s="299"/>
    </row>
    <row r="956" spans="2:34" ht="13">
      <c r="B956" s="294"/>
      <c r="K956" s="296"/>
      <c r="AB956" s="188"/>
      <c r="AC956" s="188"/>
      <c r="AD956" s="188"/>
      <c r="AE956" s="188"/>
      <c r="AF956" s="188"/>
      <c r="AG956" s="188"/>
      <c r="AH956" s="299"/>
    </row>
    <row r="957" spans="2:34" ht="13">
      <c r="B957" s="294"/>
      <c r="K957" s="296"/>
      <c r="AB957" s="188"/>
      <c r="AC957" s="188"/>
      <c r="AD957" s="188"/>
      <c r="AE957" s="188"/>
      <c r="AF957" s="188"/>
      <c r="AG957" s="188"/>
      <c r="AH957" s="299"/>
    </row>
    <row r="958" spans="2:34" ht="13">
      <c r="B958" s="294"/>
      <c r="K958" s="296"/>
      <c r="AB958" s="188"/>
      <c r="AC958" s="188"/>
      <c r="AD958" s="188"/>
      <c r="AE958" s="188"/>
      <c r="AF958" s="188"/>
      <c r="AG958" s="188"/>
      <c r="AH958" s="299"/>
    </row>
    <row r="959" spans="2:34" ht="13">
      <c r="B959" s="294"/>
      <c r="K959" s="296"/>
      <c r="AB959" s="188"/>
      <c r="AC959" s="188"/>
      <c r="AD959" s="188"/>
      <c r="AE959" s="188"/>
      <c r="AF959" s="188"/>
      <c r="AG959" s="188"/>
      <c r="AH959" s="299"/>
    </row>
    <row r="960" spans="2:34" ht="13">
      <c r="B960" s="294"/>
      <c r="K960" s="296"/>
      <c r="AB960" s="188"/>
      <c r="AC960" s="188"/>
      <c r="AD960" s="188"/>
      <c r="AE960" s="188"/>
      <c r="AF960" s="188"/>
      <c r="AG960" s="188"/>
      <c r="AH960" s="299"/>
    </row>
    <row r="961" spans="2:34" ht="13">
      <c r="B961" s="294"/>
      <c r="K961" s="296"/>
      <c r="AB961" s="188"/>
      <c r="AC961" s="188"/>
      <c r="AD961" s="188"/>
      <c r="AE961" s="188"/>
      <c r="AF961" s="188"/>
      <c r="AG961" s="188"/>
      <c r="AH961" s="299"/>
    </row>
    <row r="962" spans="2:34" ht="13">
      <c r="B962" s="294"/>
      <c r="K962" s="296"/>
      <c r="AB962" s="188"/>
      <c r="AC962" s="188"/>
      <c r="AD962" s="188"/>
      <c r="AE962" s="188"/>
      <c r="AF962" s="188"/>
      <c r="AG962" s="188"/>
      <c r="AH962" s="299"/>
    </row>
    <row r="963" spans="2:34" ht="13">
      <c r="B963" s="294"/>
      <c r="K963" s="296"/>
      <c r="AB963" s="188"/>
      <c r="AC963" s="188"/>
      <c r="AD963" s="188"/>
      <c r="AE963" s="188"/>
      <c r="AF963" s="188"/>
      <c r="AG963" s="188"/>
      <c r="AH963" s="299"/>
    </row>
    <row r="964" spans="2:34" ht="13">
      <c r="B964" s="294"/>
      <c r="K964" s="296"/>
      <c r="AB964" s="188"/>
      <c r="AC964" s="188"/>
      <c r="AD964" s="188"/>
      <c r="AE964" s="188"/>
      <c r="AF964" s="188"/>
      <c r="AG964" s="188"/>
      <c r="AH964" s="299"/>
    </row>
    <row r="965" spans="2:34" ht="13">
      <c r="B965" s="294"/>
      <c r="K965" s="296"/>
      <c r="AB965" s="188"/>
      <c r="AC965" s="188"/>
      <c r="AD965" s="188"/>
      <c r="AE965" s="188"/>
      <c r="AF965" s="188"/>
      <c r="AG965" s="188"/>
      <c r="AH965" s="299"/>
    </row>
    <row r="966" spans="2:34" ht="13">
      <c r="B966" s="294"/>
      <c r="K966" s="296"/>
      <c r="AB966" s="188"/>
      <c r="AC966" s="188"/>
      <c r="AD966" s="188"/>
      <c r="AE966" s="188"/>
      <c r="AF966" s="188"/>
      <c r="AG966" s="188"/>
      <c r="AH966" s="299"/>
    </row>
    <row r="967" spans="2:34" ht="13">
      <c r="B967" s="294"/>
      <c r="K967" s="296"/>
      <c r="AB967" s="188"/>
      <c r="AC967" s="188"/>
      <c r="AD967" s="188"/>
      <c r="AE967" s="188"/>
      <c r="AF967" s="188"/>
      <c r="AG967" s="188"/>
      <c r="AH967" s="299"/>
    </row>
    <row r="968" spans="2:34" ht="13">
      <c r="B968" s="294"/>
      <c r="K968" s="296"/>
      <c r="AB968" s="188"/>
      <c r="AC968" s="188"/>
      <c r="AD968" s="188"/>
      <c r="AE968" s="188"/>
      <c r="AF968" s="188"/>
      <c r="AG968" s="188"/>
      <c r="AH968" s="299"/>
    </row>
    <row r="969" spans="2:34" ht="13">
      <c r="B969" s="294"/>
      <c r="K969" s="296"/>
      <c r="AB969" s="188"/>
      <c r="AC969" s="188"/>
      <c r="AD969" s="188"/>
      <c r="AE969" s="188"/>
      <c r="AF969" s="188"/>
      <c r="AG969" s="188"/>
      <c r="AH969" s="299"/>
    </row>
    <row r="970" spans="2:34" ht="13">
      <c r="B970" s="294"/>
      <c r="K970" s="296"/>
      <c r="AB970" s="188"/>
      <c r="AC970" s="188"/>
      <c r="AD970" s="188"/>
      <c r="AE970" s="188"/>
      <c r="AF970" s="188"/>
      <c r="AG970" s="188"/>
      <c r="AH970" s="299"/>
    </row>
    <row r="971" spans="2:34" ht="13">
      <c r="B971" s="294"/>
      <c r="K971" s="296"/>
      <c r="AB971" s="188"/>
      <c r="AC971" s="188"/>
      <c r="AD971" s="188"/>
      <c r="AE971" s="188"/>
      <c r="AF971" s="188"/>
      <c r="AG971" s="188"/>
      <c r="AH971" s="299"/>
    </row>
    <row r="972" spans="2:34" ht="13">
      <c r="B972" s="294"/>
      <c r="K972" s="296"/>
      <c r="AB972" s="188"/>
      <c r="AC972" s="188"/>
      <c r="AD972" s="188"/>
      <c r="AE972" s="188"/>
      <c r="AF972" s="188"/>
      <c r="AG972" s="188"/>
      <c r="AH972" s="299"/>
    </row>
    <row r="973" spans="2:34" ht="13">
      <c r="B973" s="294"/>
      <c r="K973" s="296"/>
      <c r="AB973" s="188"/>
      <c r="AC973" s="188"/>
      <c r="AD973" s="188"/>
      <c r="AE973" s="188"/>
      <c r="AF973" s="188"/>
      <c r="AG973" s="188"/>
      <c r="AH973" s="299"/>
    </row>
    <row r="974" spans="2:34" ht="13">
      <c r="B974" s="294"/>
      <c r="K974" s="296"/>
      <c r="AB974" s="188"/>
      <c r="AC974" s="188"/>
      <c r="AD974" s="188"/>
      <c r="AE974" s="188"/>
      <c r="AF974" s="188"/>
      <c r="AG974" s="188"/>
      <c r="AH974" s="299"/>
    </row>
    <row r="975" spans="2:34" ht="13">
      <c r="B975" s="294"/>
      <c r="K975" s="296"/>
      <c r="AB975" s="188"/>
      <c r="AC975" s="188"/>
      <c r="AD975" s="188"/>
      <c r="AE975" s="188"/>
      <c r="AF975" s="188"/>
      <c r="AG975" s="188"/>
      <c r="AH975" s="299"/>
    </row>
    <row r="976" spans="2:34" ht="13">
      <c r="B976" s="294"/>
      <c r="K976" s="296"/>
      <c r="AB976" s="188"/>
      <c r="AC976" s="188"/>
      <c r="AD976" s="188"/>
      <c r="AE976" s="188"/>
      <c r="AF976" s="188"/>
      <c r="AG976" s="188"/>
      <c r="AH976" s="299"/>
    </row>
    <row r="977" spans="2:34" ht="13">
      <c r="B977" s="294"/>
      <c r="K977" s="296"/>
      <c r="AB977" s="188"/>
      <c r="AC977" s="188"/>
      <c r="AD977" s="188"/>
      <c r="AE977" s="188"/>
      <c r="AF977" s="188"/>
      <c r="AG977" s="188"/>
      <c r="AH977" s="299"/>
    </row>
    <row r="978" spans="2:34" ht="13">
      <c r="B978" s="294"/>
      <c r="K978" s="296"/>
      <c r="AB978" s="188"/>
      <c r="AC978" s="188"/>
      <c r="AD978" s="188"/>
      <c r="AE978" s="188"/>
      <c r="AF978" s="188"/>
      <c r="AG978" s="188"/>
      <c r="AH978" s="299"/>
    </row>
    <row r="979" spans="2:34" ht="13">
      <c r="B979" s="294"/>
      <c r="K979" s="296"/>
      <c r="AB979" s="188"/>
      <c r="AC979" s="188"/>
      <c r="AD979" s="188"/>
      <c r="AE979" s="188"/>
      <c r="AF979" s="188"/>
      <c r="AG979" s="188"/>
      <c r="AH979" s="299"/>
    </row>
    <row r="980" spans="2:34" ht="13">
      <c r="B980" s="294"/>
      <c r="K980" s="296"/>
      <c r="AB980" s="188"/>
      <c r="AC980" s="188"/>
      <c r="AD980" s="188"/>
      <c r="AE980" s="188"/>
      <c r="AF980" s="188"/>
      <c r="AG980" s="188"/>
      <c r="AH980" s="299"/>
    </row>
    <row r="981" spans="2:34" ht="13">
      <c r="B981" s="294"/>
      <c r="K981" s="296"/>
      <c r="AB981" s="188"/>
      <c r="AC981" s="188"/>
      <c r="AD981" s="188"/>
      <c r="AE981" s="188"/>
      <c r="AF981" s="188"/>
      <c r="AG981" s="188"/>
      <c r="AH981" s="299"/>
    </row>
    <row r="982" spans="2:34" ht="13">
      <c r="B982" s="294"/>
      <c r="K982" s="296"/>
      <c r="AB982" s="188"/>
      <c r="AC982" s="188"/>
      <c r="AD982" s="188"/>
      <c r="AE982" s="188"/>
      <c r="AF982" s="188"/>
      <c r="AG982" s="188"/>
      <c r="AH982" s="299"/>
    </row>
    <row r="983" spans="2:34" ht="13">
      <c r="B983" s="294"/>
      <c r="K983" s="296"/>
      <c r="AB983" s="188"/>
      <c r="AC983" s="188"/>
      <c r="AD983" s="188"/>
      <c r="AE983" s="188"/>
      <c r="AF983" s="188"/>
      <c r="AG983" s="188"/>
      <c r="AH983" s="299"/>
    </row>
    <row r="984" spans="2:34" ht="13">
      <c r="B984" s="294"/>
      <c r="K984" s="296"/>
      <c r="AB984" s="188"/>
      <c r="AC984" s="188"/>
      <c r="AD984" s="188"/>
      <c r="AE984" s="188"/>
      <c r="AF984" s="188"/>
      <c r="AG984" s="188"/>
      <c r="AH984" s="299"/>
    </row>
    <row r="985" spans="2:34" ht="13">
      <c r="B985" s="294"/>
      <c r="K985" s="296"/>
      <c r="AB985" s="188"/>
      <c r="AC985" s="188"/>
      <c r="AD985" s="188"/>
      <c r="AE985" s="188"/>
      <c r="AF985" s="188"/>
      <c r="AG985" s="188"/>
      <c r="AH985" s="299"/>
    </row>
    <row r="986" spans="2:34" ht="13">
      <c r="B986" s="294"/>
      <c r="K986" s="296"/>
      <c r="AB986" s="188"/>
      <c r="AC986" s="188"/>
      <c r="AD986" s="188"/>
      <c r="AE986" s="188"/>
      <c r="AF986" s="188"/>
      <c r="AG986" s="188"/>
      <c r="AH986" s="299"/>
    </row>
    <row r="987" spans="2:34" ht="13">
      <c r="B987" s="294"/>
      <c r="K987" s="296"/>
      <c r="AB987" s="188"/>
      <c r="AC987" s="188"/>
      <c r="AD987" s="188"/>
      <c r="AE987" s="188"/>
      <c r="AF987" s="188"/>
      <c r="AG987" s="188"/>
      <c r="AH987" s="299"/>
    </row>
    <row r="988" spans="2:34" ht="13">
      <c r="B988" s="294"/>
      <c r="K988" s="296"/>
      <c r="AB988" s="188"/>
      <c r="AC988" s="188"/>
      <c r="AD988" s="188"/>
      <c r="AE988" s="188"/>
      <c r="AF988" s="188"/>
      <c r="AG988" s="188"/>
      <c r="AH988" s="299"/>
    </row>
    <row r="989" spans="2:34" ht="13">
      <c r="B989" s="294"/>
      <c r="K989" s="296"/>
      <c r="AB989" s="188"/>
      <c r="AC989" s="188"/>
      <c r="AD989" s="188"/>
      <c r="AE989" s="188"/>
      <c r="AF989" s="188"/>
      <c r="AG989" s="188"/>
      <c r="AH989" s="299"/>
    </row>
    <row r="990" spans="2:34" ht="13">
      <c r="B990" s="294"/>
      <c r="K990" s="296"/>
      <c r="AB990" s="188"/>
      <c r="AC990" s="188"/>
      <c r="AD990" s="188"/>
      <c r="AE990" s="188"/>
      <c r="AF990" s="188"/>
      <c r="AG990" s="188"/>
      <c r="AH990" s="299"/>
    </row>
    <row r="991" spans="2:34" ht="13">
      <c r="B991" s="294"/>
      <c r="K991" s="296"/>
      <c r="AB991" s="188"/>
      <c r="AC991" s="188"/>
      <c r="AD991" s="188"/>
      <c r="AE991" s="188"/>
      <c r="AF991" s="188"/>
      <c r="AG991" s="188"/>
      <c r="AH991" s="299"/>
    </row>
    <row r="992" spans="2:34" ht="13">
      <c r="B992" s="294"/>
      <c r="K992" s="296"/>
      <c r="AB992" s="188"/>
      <c r="AC992" s="188"/>
      <c r="AD992" s="188"/>
      <c r="AE992" s="188"/>
      <c r="AF992" s="188"/>
      <c r="AG992" s="188"/>
      <c r="AH992" s="299"/>
    </row>
  </sheetData>
  <conditionalFormatting sqref="C1:C118 C122:C126">
    <cfRule type="cellIs" dxfId="62" priority="1" operator="equal">
      <formula>"18%"</formula>
    </cfRule>
    <cfRule type="cellIs" dxfId="61" priority="2" operator="equal">
      <formula>"15%"</formula>
    </cfRule>
    <cfRule type="cellIs" dxfId="60" priority="3" operator="equal">
      <formula>"12%"</formula>
    </cfRule>
    <cfRule type="cellIs" dxfId="59" priority="4" operator="equal">
      <formula>"5%"</formula>
    </cfRule>
    <cfRule type="cellIs" dxfId="58" priority="5" operator="equal">
      <formula>"10%"</formula>
    </cfRule>
  </conditionalFormatting>
  <conditionalFormatting sqref="F1:F104 F106:F992 BL156 BL176 BL194 BL196">
    <cfRule type="containsText" dxfId="57" priority="6" operator="containsText" text="/">
      <formula>NOT(ISERROR(SEARCH(("/"),(F1))))</formula>
    </cfRule>
  </conditionalFormatting>
  <conditionalFormatting sqref="H24 H26:H28 L26:O28 S26:V28 Z26:AA28 H69">
    <cfRule type="cellIs" dxfId="56" priority="7" operator="lessThanOrEqual">
      <formula>2500000</formula>
    </cfRule>
  </conditionalFormatting>
  <conditionalFormatting sqref="L95:O102 S95:V102 Z95:AA102">
    <cfRule type="cellIs" dxfId="55" priority="8" operator="lessThanOrEqual">
      <formula>1500000</formula>
    </cfRule>
  </conditionalFormatting>
  <conditionalFormatting sqref="AG1:AG992">
    <cfRule type="cellIs" dxfId="54" priority="9" operator="lessThan">
      <formula>0</formula>
    </cfRule>
  </conditionalFormatting>
  <conditionalFormatting sqref="AH1:AH992">
    <cfRule type="cellIs" dxfId="53" priority="10" operator="greaterThanOrEqual">
      <formula>"100%"</formula>
    </cfRule>
    <cfRule type="cellIs" dxfId="52" priority="11" operator="lessThan">
      <formula>"90%"</formula>
    </cfRule>
    <cfRule type="cellIs" dxfId="51" priority="12" operator="lessThan">
      <formula>"100%"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O1014"/>
  <sheetViews>
    <sheetView workbookViewId="0">
      <pane ySplit="1" topLeftCell="A168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9.33203125" customWidth="1"/>
    <col min="2" max="2" width="6.5" customWidth="1"/>
    <col min="3" max="3" width="10.6640625" customWidth="1"/>
    <col min="4" max="4" width="10.1640625" customWidth="1"/>
    <col min="5" max="6" width="7" customWidth="1"/>
    <col min="7" max="7" width="35.6640625" customWidth="1"/>
    <col min="8" max="8" width="7.1640625" customWidth="1"/>
    <col min="9" max="9" width="10.6640625" customWidth="1"/>
    <col min="10" max="10" width="10.1640625" customWidth="1"/>
    <col min="11" max="11" width="8.83203125" customWidth="1"/>
    <col min="12" max="12" width="6.1640625" customWidth="1"/>
    <col min="13" max="13" width="35.1640625" customWidth="1"/>
    <col min="14" max="14" width="7.1640625" customWidth="1"/>
    <col min="15" max="15" width="11.1640625" customWidth="1"/>
    <col min="16" max="16" width="12.6640625" customWidth="1"/>
    <col min="17" max="17" width="7.1640625" customWidth="1"/>
    <col min="18" max="18" width="35.5" customWidth="1"/>
    <col min="19" max="19" width="7" customWidth="1"/>
    <col min="20" max="20" width="10.1640625" customWidth="1"/>
    <col min="21" max="21" width="8" customWidth="1"/>
    <col min="22" max="22" width="6.5" customWidth="1"/>
    <col min="23" max="23" width="28.6640625" customWidth="1"/>
    <col min="24" max="24" width="7.6640625" customWidth="1"/>
    <col min="26" max="26" width="6.6640625" customWidth="1"/>
    <col min="27" max="27" width="6.1640625" customWidth="1"/>
    <col min="28" max="28" width="31.33203125" customWidth="1"/>
    <col min="29" max="29" width="7.1640625" customWidth="1"/>
    <col min="31" max="31" width="7" customWidth="1"/>
    <col min="32" max="32" width="6" customWidth="1"/>
    <col min="33" max="33" width="35.6640625" customWidth="1"/>
    <col min="34" max="34" width="7.1640625" customWidth="1"/>
    <col min="35" max="35" width="11" customWidth="1"/>
    <col min="36" max="36" width="9.5" customWidth="1"/>
    <col min="37" max="37" width="7.83203125" customWidth="1"/>
    <col min="38" max="38" width="34.33203125" customWidth="1"/>
    <col min="39" max="39" width="6.6640625" customWidth="1"/>
    <col min="40" max="40" width="11.1640625" customWidth="1"/>
    <col min="41" max="41" width="9.5" customWidth="1"/>
    <col min="42" max="42" width="7.33203125" customWidth="1"/>
    <col min="43" max="43" width="33.6640625" customWidth="1"/>
    <col min="44" max="44" width="7.1640625" customWidth="1"/>
    <col min="46" max="46" width="8.5" customWidth="1"/>
    <col min="47" max="47" width="5.5" customWidth="1"/>
    <col min="49" max="49" width="32.6640625" customWidth="1"/>
    <col min="50" max="50" width="6.83203125" customWidth="1"/>
    <col min="53" max="53" width="12.6640625" hidden="1"/>
    <col min="54" max="54" width="29.6640625" hidden="1" customWidth="1"/>
    <col min="55" max="55" width="7.1640625" hidden="1" customWidth="1"/>
    <col min="56" max="57" width="12.6640625" hidden="1"/>
    <col min="59" max="59" width="30.83203125" customWidth="1"/>
    <col min="60" max="60" width="7.1640625" customWidth="1"/>
    <col min="64" max="64" width="35.1640625" customWidth="1"/>
    <col min="65" max="65" width="7.1640625" customWidth="1"/>
  </cols>
  <sheetData>
    <row r="1" spans="1:67" ht="13">
      <c r="A1" s="1380" t="s">
        <v>1542</v>
      </c>
      <c r="B1" s="1381"/>
      <c r="C1" s="1381"/>
      <c r="D1" s="1382"/>
      <c r="G1" s="1383" t="s">
        <v>1543</v>
      </c>
      <c r="H1" s="491"/>
      <c r="I1" s="491"/>
      <c r="J1" s="1384"/>
      <c r="M1" s="1380" t="s">
        <v>1544</v>
      </c>
      <c r="N1" s="1385"/>
      <c r="O1" s="1381"/>
      <c r="P1" s="1382"/>
      <c r="R1" s="1380" t="s">
        <v>1545</v>
      </c>
      <c r="S1" s="1385"/>
      <c r="T1" s="1381"/>
      <c r="U1" s="1382"/>
      <c r="W1" s="1380" t="s">
        <v>1546</v>
      </c>
      <c r="X1" s="1385"/>
      <c r="Y1" s="1381"/>
      <c r="Z1" s="1382"/>
      <c r="AB1" s="1380" t="s">
        <v>1547</v>
      </c>
      <c r="AC1" s="1381"/>
      <c r="AD1" s="1381"/>
      <c r="AE1" s="1382"/>
      <c r="AG1" s="1386" t="s">
        <v>1548</v>
      </c>
      <c r="AH1" s="325"/>
      <c r="AI1" s="325"/>
      <c r="AJ1" s="325"/>
      <c r="AL1" s="1383" t="s">
        <v>1549</v>
      </c>
      <c r="AM1" s="491"/>
      <c r="AN1" s="491"/>
      <c r="AO1" s="1387"/>
      <c r="AQ1" s="1388" t="s">
        <v>1550</v>
      </c>
      <c r="AR1" s="1389"/>
      <c r="AS1" s="1389"/>
      <c r="AT1" s="1390"/>
      <c r="AW1" s="1380" t="s">
        <v>1551</v>
      </c>
      <c r="AX1" s="1381"/>
      <c r="AY1" s="1381"/>
      <c r="AZ1" s="1382"/>
      <c r="BB1" s="1391" t="s">
        <v>1552</v>
      </c>
      <c r="BC1" s="1381"/>
      <c r="BD1" s="1381"/>
      <c r="BE1" s="1382"/>
      <c r="BF1" s="618"/>
      <c r="BG1" s="553"/>
      <c r="BH1" s="294"/>
      <c r="BI1" s="618"/>
      <c r="BJ1" s="618"/>
      <c r="BK1" s="618"/>
      <c r="BL1" s="553"/>
      <c r="BM1" s="618"/>
      <c r="BN1" s="618"/>
      <c r="BO1" s="618"/>
    </row>
    <row r="2" spans="1:67" ht="13" hidden="1">
      <c r="A2" s="664" t="s">
        <v>697</v>
      </c>
      <c r="B2" s="325">
        <v>9</v>
      </c>
      <c r="C2" s="325">
        <v>112013826</v>
      </c>
      <c r="D2" s="1392">
        <f t="shared" ref="D2:D33" si="0">VLOOKUP(C2,buelafin,10,FALSE)</f>
        <v>57</v>
      </c>
      <c r="G2" s="323" t="s">
        <v>125</v>
      </c>
      <c r="H2" s="325">
        <v>20</v>
      </c>
      <c r="I2" s="325">
        <v>112012286</v>
      </c>
      <c r="J2" s="1393">
        <f t="shared" ref="J2:J33" si="1">VLOOKUP(I2,bassfin,10,FALSE)</f>
        <v>71</v>
      </c>
      <c r="M2" s="664" t="s">
        <v>516</v>
      </c>
      <c r="N2" s="324">
        <v>8</v>
      </c>
      <c r="O2" s="325">
        <v>112014074</v>
      </c>
      <c r="P2" s="1392">
        <f t="shared" ref="P2:P33" si="2">VLOOKUP(O2,LAGEFIN,10,FALSE)</f>
        <v>61</v>
      </c>
      <c r="R2" s="664" t="s">
        <v>288</v>
      </c>
      <c r="S2" s="324">
        <v>20</v>
      </c>
      <c r="T2" s="325">
        <v>112010671</v>
      </c>
      <c r="U2" s="1392">
        <f t="shared" ref="U2:U33" si="3">VLOOKUP(T2,calofin,6,FALSE)</f>
        <v>67</v>
      </c>
      <c r="W2" s="664" t="s">
        <v>475</v>
      </c>
      <c r="X2" s="324">
        <v>1</v>
      </c>
      <c r="Y2" s="325">
        <v>112013560</v>
      </c>
      <c r="Z2" s="1392">
        <f t="shared" ref="Z2:Z33" si="4">VLOOKUP(Y2,RETAMFIN,6,FALSE)</f>
        <v>71</v>
      </c>
      <c r="AB2" s="664" t="s">
        <v>958</v>
      </c>
      <c r="AC2" s="325">
        <v>4</v>
      </c>
      <c r="AD2" s="325">
        <v>112013656</v>
      </c>
      <c r="AE2" s="1392" t="e">
        <f t="shared" ref="AE2:AE33" si="5">VLOOKUP(AD2,VARGASFIN,6,FALSE)</f>
        <v>#N/A</v>
      </c>
      <c r="AF2" s="302"/>
      <c r="AG2" s="325" t="s">
        <v>1342</v>
      </c>
      <c r="AH2" s="325">
        <v>22</v>
      </c>
      <c r="AI2" s="325">
        <v>112014362</v>
      </c>
      <c r="AJ2" s="799">
        <f t="shared" ref="AJ2:AJ33" si="6">VLOOKUP(AI2,MONTENEFIN,6,FALSE)</f>
        <v>71</v>
      </c>
      <c r="AL2" s="323" t="s">
        <v>841</v>
      </c>
      <c r="AM2" s="325">
        <v>14</v>
      </c>
      <c r="AN2" s="325">
        <v>112012385</v>
      </c>
      <c r="AO2" s="1394" t="e">
        <f t="shared" ref="AO2:AO33" si="7">VLOOKUP(AN2,MARUCAFIN,6,FALSE)</f>
        <v>#N/A</v>
      </c>
      <c r="AQ2" s="1395" t="s">
        <v>1039</v>
      </c>
      <c r="AR2" s="325">
        <v>4</v>
      </c>
      <c r="AS2" s="325">
        <v>112014670</v>
      </c>
      <c r="AT2" s="1396">
        <f t="shared" ref="AT2:AT33" si="8">VLOOKUP(AS2,ARRIOLFIN,6,FALSE)</f>
        <v>4</v>
      </c>
      <c r="AU2" s="302"/>
      <c r="AV2" s="302"/>
      <c r="AW2" s="664" t="s">
        <v>1496</v>
      </c>
      <c r="AX2" s="325"/>
      <c r="AY2" s="325">
        <v>112013330</v>
      </c>
      <c r="AZ2" s="1392">
        <f t="shared" ref="AZ2:AZ33" si="9">VLOOKUP(AY2,LAVENIAFIN,6,FALSE)</f>
        <v>0</v>
      </c>
      <c r="BA2" s="302"/>
      <c r="BB2" s="664" t="s">
        <v>1039</v>
      </c>
      <c r="BC2" s="325">
        <v>4</v>
      </c>
      <c r="BD2" s="325">
        <v>112012824</v>
      </c>
      <c r="BE2" s="1392" t="str">
        <f t="shared" ref="BE2:BE33" si="10">VLOOKUP(BD2,rotelafin,6,FALSE)</f>
        <v>ABRAHIM RAFAAT DANIEL</v>
      </c>
      <c r="BF2" s="618"/>
      <c r="BG2" s="553"/>
      <c r="BH2" s="294"/>
      <c r="BI2" s="618"/>
      <c r="BJ2" s="618"/>
      <c r="BK2" s="618"/>
      <c r="BL2" s="553"/>
      <c r="BM2" s="618"/>
      <c r="BN2" s="618"/>
      <c r="BO2" s="618"/>
    </row>
    <row r="3" spans="1:67" ht="13" hidden="1">
      <c r="A3" s="664" t="s">
        <v>765</v>
      </c>
      <c r="B3" s="325">
        <v>1</v>
      </c>
      <c r="C3" s="325">
        <v>112011588</v>
      </c>
      <c r="D3" s="1392">
        <f t="shared" si="0"/>
        <v>71</v>
      </c>
      <c r="G3" s="323" t="s">
        <v>73</v>
      </c>
      <c r="H3" s="325">
        <v>12</v>
      </c>
      <c r="I3" s="325">
        <v>112012311</v>
      </c>
      <c r="J3" s="1393">
        <f t="shared" si="1"/>
        <v>55</v>
      </c>
      <c r="M3" s="664" t="s">
        <v>636</v>
      </c>
      <c r="N3" s="324">
        <v>4</v>
      </c>
      <c r="O3" s="325">
        <v>112014118</v>
      </c>
      <c r="P3" s="1392">
        <f t="shared" si="2"/>
        <v>70</v>
      </c>
      <c r="R3" s="664" t="s">
        <v>310</v>
      </c>
      <c r="S3" s="324">
        <v>1</v>
      </c>
      <c r="T3" s="325">
        <v>112012734</v>
      </c>
      <c r="U3" s="1392">
        <f t="shared" si="3"/>
        <v>71</v>
      </c>
      <c r="W3" s="664" t="s">
        <v>445</v>
      </c>
      <c r="X3" s="324">
        <v>31</v>
      </c>
      <c r="Y3" s="325">
        <v>112014734</v>
      </c>
      <c r="Z3" s="1392">
        <f t="shared" si="4"/>
        <v>61</v>
      </c>
      <c r="AB3" s="664" t="s">
        <v>954</v>
      </c>
      <c r="AC3" s="325">
        <v>4</v>
      </c>
      <c r="AD3" s="325">
        <v>112010437</v>
      </c>
      <c r="AE3" s="1392" t="e">
        <f t="shared" si="5"/>
        <v>#N/A</v>
      </c>
      <c r="AF3" s="302"/>
      <c r="AG3" s="325" t="s">
        <v>1380</v>
      </c>
      <c r="AH3" s="325"/>
      <c r="AI3" s="325">
        <v>112011822</v>
      </c>
      <c r="AJ3" s="799">
        <f t="shared" si="6"/>
        <v>0</v>
      </c>
      <c r="AL3" s="323" t="s">
        <v>1193</v>
      </c>
      <c r="AM3" s="325">
        <v>1</v>
      </c>
      <c r="AN3" s="325">
        <v>112014698</v>
      </c>
      <c r="AO3" s="1394" t="e">
        <f t="shared" si="7"/>
        <v>#N/A</v>
      </c>
      <c r="AQ3" s="1395" t="s">
        <v>887</v>
      </c>
      <c r="AR3" s="325">
        <v>6</v>
      </c>
      <c r="AS3" s="325">
        <v>112013108</v>
      </c>
      <c r="AT3" s="1397" t="e">
        <f t="shared" si="8"/>
        <v>#N/A</v>
      </c>
      <c r="AU3" s="302"/>
      <c r="AV3" s="302"/>
      <c r="AW3" s="664" t="s">
        <v>1467</v>
      </c>
      <c r="AX3" s="325">
        <v>22</v>
      </c>
      <c r="AY3" s="325">
        <v>112014650</v>
      </c>
      <c r="AZ3" s="1392">
        <f t="shared" si="9"/>
        <v>22</v>
      </c>
      <c r="BA3" s="302"/>
      <c r="BB3" s="664" t="s">
        <v>1497</v>
      </c>
      <c r="BC3" s="325"/>
      <c r="BD3" s="325">
        <v>112014593</v>
      </c>
      <c r="BE3" s="1392" t="str">
        <f t="shared" si="10"/>
        <v>AGROPECUARIA LOS GROBITOS S A S. A.</v>
      </c>
      <c r="BF3" s="618"/>
      <c r="BG3" s="553"/>
      <c r="BH3" s="294"/>
      <c r="BI3" s="618"/>
      <c r="BJ3" s="618"/>
      <c r="BK3" s="618"/>
      <c r="BL3" s="553"/>
      <c r="BM3" s="618"/>
      <c r="BN3" s="618"/>
      <c r="BO3" s="618"/>
    </row>
    <row r="4" spans="1:67" ht="13" hidden="1">
      <c r="A4" s="664" t="s">
        <v>766</v>
      </c>
      <c r="B4" s="325">
        <v>1</v>
      </c>
      <c r="C4" s="325">
        <v>112012133</v>
      </c>
      <c r="D4" s="1392">
        <f t="shared" si="0"/>
        <v>71</v>
      </c>
      <c r="G4" s="323" t="s">
        <v>72</v>
      </c>
      <c r="H4" s="325">
        <v>12</v>
      </c>
      <c r="I4" s="325">
        <v>112012842</v>
      </c>
      <c r="J4" s="1393" t="e">
        <f t="shared" si="1"/>
        <v>#N/A</v>
      </c>
      <c r="M4" s="664" t="s">
        <v>609</v>
      </c>
      <c r="N4" s="324">
        <v>22</v>
      </c>
      <c r="O4" s="325">
        <v>112012441</v>
      </c>
      <c r="P4" s="1392">
        <f t="shared" si="2"/>
        <v>71</v>
      </c>
      <c r="R4" s="664" t="s">
        <v>304</v>
      </c>
      <c r="S4" s="324">
        <v>6</v>
      </c>
      <c r="T4" s="325">
        <v>112014163</v>
      </c>
      <c r="U4" s="1392">
        <f t="shared" si="3"/>
        <v>70</v>
      </c>
      <c r="W4" s="664" t="s">
        <v>488</v>
      </c>
      <c r="X4" s="324">
        <v>1</v>
      </c>
      <c r="Y4" s="325">
        <v>112014378</v>
      </c>
      <c r="Z4" s="1392" t="e">
        <f t="shared" si="4"/>
        <v>#N/A</v>
      </c>
      <c r="AB4" s="664" t="s">
        <v>865</v>
      </c>
      <c r="AC4" s="325">
        <v>22</v>
      </c>
      <c r="AD4" s="325">
        <v>112014067</v>
      </c>
      <c r="AE4" s="1398">
        <f t="shared" si="5"/>
        <v>22</v>
      </c>
      <c r="AF4" s="302"/>
      <c r="AG4" s="325" t="s">
        <v>1377</v>
      </c>
      <c r="AH4" s="325"/>
      <c r="AI4" s="325">
        <v>112013388</v>
      </c>
      <c r="AJ4" s="799">
        <f t="shared" si="6"/>
        <v>0</v>
      </c>
      <c r="AL4" s="323" t="s">
        <v>1198</v>
      </c>
      <c r="AM4" s="325">
        <v>4</v>
      </c>
      <c r="AN4" s="325">
        <v>112014681</v>
      </c>
      <c r="AO4" s="1394" t="e">
        <f t="shared" si="7"/>
        <v>#N/A</v>
      </c>
      <c r="AQ4" s="1395" t="s">
        <v>1083</v>
      </c>
      <c r="AR4" s="325">
        <v>1</v>
      </c>
      <c r="AS4" s="325">
        <v>112013787</v>
      </c>
      <c r="AT4" s="1396">
        <f t="shared" si="8"/>
        <v>1</v>
      </c>
      <c r="AU4" s="302"/>
      <c r="AV4" s="302"/>
      <c r="AW4" s="664" t="s">
        <v>1397</v>
      </c>
      <c r="AX4" s="325">
        <v>12</v>
      </c>
      <c r="AY4" s="325">
        <v>112014482</v>
      </c>
      <c r="AZ4" s="1392">
        <f t="shared" si="9"/>
        <v>12</v>
      </c>
      <c r="BA4" s="302"/>
      <c r="BB4" s="664" t="s">
        <v>1377</v>
      </c>
      <c r="BC4" s="325"/>
      <c r="BD4" s="325">
        <v>112013451</v>
      </c>
      <c r="BE4" s="1392" t="str">
        <f t="shared" si="10"/>
        <v>ALDAZ LAURA MARCELA</v>
      </c>
      <c r="BF4" s="618"/>
      <c r="BG4" s="553"/>
      <c r="BH4" s="294"/>
      <c r="BI4" s="618"/>
      <c r="BJ4" s="618"/>
      <c r="BK4" s="618"/>
      <c r="BL4" s="553"/>
      <c r="BM4" s="618"/>
      <c r="BN4" s="618"/>
      <c r="BO4" s="618"/>
    </row>
    <row r="5" spans="1:67" ht="13" hidden="1">
      <c r="A5" s="664" t="s">
        <v>713</v>
      </c>
      <c r="B5" s="325">
        <v>21</v>
      </c>
      <c r="C5" s="325">
        <v>112012876</v>
      </c>
      <c r="D5" s="1392">
        <f t="shared" si="0"/>
        <v>21</v>
      </c>
      <c r="G5" s="323" t="s">
        <v>170</v>
      </c>
      <c r="H5" s="325">
        <v>1</v>
      </c>
      <c r="I5" s="325">
        <v>112011692</v>
      </c>
      <c r="J5" s="1393">
        <f t="shared" si="1"/>
        <v>71</v>
      </c>
      <c r="M5" s="664" t="s">
        <v>663</v>
      </c>
      <c r="N5" s="324"/>
      <c r="O5" s="325">
        <v>112014376</v>
      </c>
      <c r="P5" s="1392">
        <f t="shared" si="2"/>
        <v>0</v>
      </c>
      <c r="R5" s="664" t="s">
        <v>263</v>
      </c>
      <c r="S5" s="324">
        <v>11</v>
      </c>
      <c r="T5" s="325">
        <v>112014193</v>
      </c>
      <c r="U5" s="1392">
        <f t="shared" si="3"/>
        <v>54</v>
      </c>
      <c r="W5" s="664" t="s">
        <v>484</v>
      </c>
      <c r="X5" s="324"/>
      <c r="Y5" s="325">
        <v>112014230</v>
      </c>
      <c r="Z5" s="1392">
        <f t="shared" si="4"/>
        <v>0</v>
      </c>
      <c r="AB5" s="664" t="s">
        <v>970</v>
      </c>
      <c r="AC5" s="325">
        <v>1</v>
      </c>
      <c r="AD5" s="325">
        <v>112014607</v>
      </c>
      <c r="AE5" s="1392" t="e">
        <f t="shared" si="5"/>
        <v>#N/A</v>
      </c>
      <c r="AF5" s="302"/>
      <c r="AG5" s="325" t="s">
        <v>1288</v>
      </c>
      <c r="AH5" s="325">
        <v>22</v>
      </c>
      <c r="AI5" s="325">
        <v>112014348</v>
      </c>
      <c r="AJ5" s="799">
        <f t="shared" si="6"/>
        <v>63</v>
      </c>
      <c r="AL5" s="323" t="s">
        <v>1194</v>
      </c>
      <c r="AM5" s="325">
        <v>1</v>
      </c>
      <c r="AN5" s="325">
        <v>112012599</v>
      </c>
      <c r="AO5" s="1394" t="e">
        <f t="shared" si="7"/>
        <v>#N/A</v>
      </c>
      <c r="AQ5" s="1395" t="s">
        <v>1008</v>
      </c>
      <c r="AR5" s="325">
        <v>7</v>
      </c>
      <c r="AS5" s="325">
        <v>112010582</v>
      </c>
      <c r="AT5" s="1396">
        <f t="shared" si="8"/>
        <v>7</v>
      </c>
      <c r="AU5" s="302"/>
      <c r="AV5" s="302"/>
      <c r="AW5" s="664" t="s">
        <v>1487</v>
      </c>
      <c r="AX5" s="325">
        <v>1</v>
      </c>
      <c r="AY5" s="325">
        <v>112014697</v>
      </c>
      <c r="AZ5" s="1392">
        <f t="shared" si="9"/>
        <v>1</v>
      </c>
      <c r="BA5" s="302"/>
      <c r="BB5" s="664" t="s">
        <v>1430</v>
      </c>
      <c r="BC5" s="325">
        <v>22</v>
      </c>
      <c r="BD5" s="325">
        <v>112014071</v>
      </c>
      <c r="BE5" s="1392" t="str">
        <f t="shared" si="10"/>
        <v>ALMADA CINTIA VICTORIA</v>
      </c>
      <c r="BF5" s="618"/>
      <c r="BG5" s="553"/>
      <c r="BH5" s="294"/>
      <c r="BI5" s="618"/>
      <c r="BJ5" s="618"/>
      <c r="BK5" s="618"/>
      <c r="BL5" s="553"/>
      <c r="BM5" s="618"/>
      <c r="BN5" s="618"/>
      <c r="BO5" s="618"/>
    </row>
    <row r="6" spans="1:67" ht="13" hidden="1">
      <c r="A6" s="664" t="s">
        <v>724</v>
      </c>
      <c r="B6" s="325">
        <v>31</v>
      </c>
      <c r="C6" s="325">
        <v>112013868</v>
      </c>
      <c r="D6" s="1392">
        <f t="shared" si="0"/>
        <v>69</v>
      </c>
      <c r="G6" s="323" t="s">
        <v>79</v>
      </c>
      <c r="H6" s="325">
        <v>7</v>
      </c>
      <c r="I6" s="325">
        <v>112012345</v>
      </c>
      <c r="J6" s="1393">
        <f t="shared" si="1"/>
        <v>62</v>
      </c>
      <c r="M6" s="664" t="s">
        <v>523</v>
      </c>
      <c r="N6" s="324">
        <v>7</v>
      </c>
      <c r="O6" s="325">
        <v>112013220</v>
      </c>
      <c r="P6" s="1392">
        <f t="shared" si="2"/>
        <v>62</v>
      </c>
      <c r="R6" s="664" t="s">
        <v>308</v>
      </c>
      <c r="S6" s="324">
        <v>1</v>
      </c>
      <c r="T6" s="325">
        <v>112014393</v>
      </c>
      <c r="U6" s="1392">
        <f t="shared" si="3"/>
        <v>71</v>
      </c>
      <c r="W6" s="664" t="s">
        <v>481</v>
      </c>
      <c r="X6" s="324"/>
      <c r="Y6" s="325">
        <v>112013420</v>
      </c>
      <c r="Z6" s="1392">
        <f t="shared" si="4"/>
        <v>0</v>
      </c>
      <c r="AB6" s="664" t="s">
        <v>848</v>
      </c>
      <c r="AC6" s="325">
        <v>7</v>
      </c>
      <c r="AD6" s="325">
        <v>112014244</v>
      </c>
      <c r="AE6" s="1398">
        <f t="shared" si="5"/>
        <v>7</v>
      </c>
      <c r="AF6" s="302"/>
      <c r="AG6" s="325" t="s">
        <v>1331</v>
      </c>
      <c r="AH6" s="325">
        <v>31</v>
      </c>
      <c r="AI6" s="325">
        <v>112014458</v>
      </c>
      <c r="AJ6" s="799">
        <f t="shared" si="6"/>
        <v>69</v>
      </c>
      <c r="AL6" s="323" t="s">
        <v>1199</v>
      </c>
      <c r="AM6" s="325">
        <v>4</v>
      </c>
      <c r="AN6" s="325">
        <v>112012202</v>
      </c>
      <c r="AO6" s="1394" t="e">
        <f t="shared" si="7"/>
        <v>#N/A</v>
      </c>
      <c r="AQ6" s="1395" t="s">
        <v>1068</v>
      </c>
      <c r="AR6" s="325">
        <v>1</v>
      </c>
      <c r="AS6" s="325">
        <v>112010443</v>
      </c>
      <c r="AT6" s="1396">
        <f t="shared" si="8"/>
        <v>1</v>
      </c>
      <c r="AU6" s="302"/>
      <c r="AV6" s="302"/>
      <c r="AW6" s="664" t="s">
        <v>1497</v>
      </c>
      <c r="AX6" s="325"/>
      <c r="AY6" s="325">
        <v>112014657</v>
      </c>
      <c r="AZ6" s="1392">
        <f t="shared" si="9"/>
        <v>0</v>
      </c>
      <c r="BA6" s="302"/>
      <c r="BB6" s="664" t="s">
        <v>1431</v>
      </c>
      <c r="BC6" s="325">
        <v>22</v>
      </c>
      <c r="BD6" s="325">
        <v>112014637</v>
      </c>
      <c r="BE6" s="1392" t="str">
        <f t="shared" si="10"/>
        <v>ALVAREZ BURATTI VIVIANA</v>
      </c>
      <c r="BF6" s="618"/>
      <c r="BG6" s="553"/>
      <c r="BH6" s="294"/>
      <c r="BI6" s="618"/>
      <c r="BJ6" s="618"/>
      <c r="BK6" s="618"/>
      <c r="BL6" s="553"/>
      <c r="BM6" s="618"/>
      <c r="BN6" s="618"/>
      <c r="BO6" s="618"/>
    </row>
    <row r="7" spans="1:67" ht="13" hidden="1">
      <c r="A7" s="664" t="s">
        <v>767</v>
      </c>
      <c r="B7" s="325">
        <v>1</v>
      </c>
      <c r="C7" s="325">
        <v>112013989</v>
      </c>
      <c r="D7" s="1392">
        <f t="shared" si="0"/>
        <v>71</v>
      </c>
      <c r="G7" s="323" t="s">
        <v>127</v>
      </c>
      <c r="H7" s="325">
        <v>18</v>
      </c>
      <c r="I7" s="325">
        <v>112014377</v>
      </c>
      <c r="J7" s="1393">
        <f t="shared" si="1"/>
        <v>69</v>
      </c>
      <c r="M7" s="664" t="s">
        <v>555</v>
      </c>
      <c r="N7" s="324">
        <v>31</v>
      </c>
      <c r="O7" s="325">
        <v>112012718</v>
      </c>
      <c r="P7" s="1392">
        <f t="shared" si="2"/>
        <v>68</v>
      </c>
      <c r="R7" s="664" t="s">
        <v>283</v>
      </c>
      <c r="S7" s="324">
        <v>29</v>
      </c>
      <c r="T7" s="325">
        <v>112014237</v>
      </c>
      <c r="U7" s="1392">
        <f t="shared" si="3"/>
        <v>66</v>
      </c>
      <c r="W7" s="664" t="s">
        <v>418</v>
      </c>
      <c r="X7" s="324">
        <v>22</v>
      </c>
      <c r="Y7" s="325">
        <v>112014388</v>
      </c>
      <c r="Z7" s="1392">
        <f t="shared" si="4"/>
        <v>63</v>
      </c>
      <c r="AB7" s="664" t="s">
        <v>960</v>
      </c>
      <c r="AC7" s="325">
        <v>4</v>
      </c>
      <c r="AD7" s="325">
        <v>112012809</v>
      </c>
      <c r="AE7" s="1392" t="e">
        <f t="shared" si="5"/>
        <v>#N/A</v>
      </c>
      <c r="AF7" s="302"/>
      <c r="AG7" s="325" t="s">
        <v>1275</v>
      </c>
      <c r="AH7" s="325">
        <v>7</v>
      </c>
      <c r="AI7" s="325">
        <v>112014022</v>
      </c>
      <c r="AJ7" s="799" t="e">
        <f t="shared" si="6"/>
        <v>#N/A</v>
      </c>
      <c r="AL7" s="323" t="s">
        <v>1174</v>
      </c>
      <c r="AM7" s="325">
        <v>1</v>
      </c>
      <c r="AN7" s="325">
        <v>112012889</v>
      </c>
      <c r="AO7" s="1394" t="e">
        <f t="shared" si="7"/>
        <v>#N/A</v>
      </c>
      <c r="AQ7" s="1395" t="s">
        <v>1042</v>
      </c>
      <c r="AR7" s="325">
        <v>6</v>
      </c>
      <c r="AS7" s="325">
        <v>112012293</v>
      </c>
      <c r="AT7" s="1396">
        <f t="shared" si="8"/>
        <v>6</v>
      </c>
      <c r="AU7" s="302"/>
      <c r="AV7" s="302"/>
      <c r="AW7" s="664" t="s">
        <v>1430</v>
      </c>
      <c r="AX7" s="325">
        <v>22</v>
      </c>
      <c r="AY7" s="325">
        <v>112014479</v>
      </c>
      <c r="AZ7" s="1392">
        <f t="shared" si="9"/>
        <v>22</v>
      </c>
      <c r="BA7" s="302"/>
      <c r="BB7" s="664" t="s">
        <v>1405</v>
      </c>
      <c r="BC7" s="325">
        <v>1</v>
      </c>
      <c r="BD7" s="325">
        <v>112014035</v>
      </c>
      <c r="BE7" s="1392" t="str">
        <f t="shared" si="10"/>
        <v>ANGELINO CRISTIAN</v>
      </c>
      <c r="BF7" s="618"/>
      <c r="BG7" s="553"/>
      <c r="BH7" s="294"/>
      <c r="BI7" s="618"/>
      <c r="BJ7" s="618"/>
      <c r="BK7" s="618"/>
      <c r="BL7" s="553"/>
      <c r="BM7" s="618"/>
      <c r="BN7" s="618"/>
      <c r="BO7" s="618"/>
    </row>
    <row r="8" spans="1:67" ht="13" hidden="1">
      <c r="A8" s="664" t="s">
        <v>714</v>
      </c>
      <c r="B8" s="325">
        <v>31</v>
      </c>
      <c r="C8" s="325">
        <v>112014723</v>
      </c>
      <c r="D8" s="1392">
        <f t="shared" si="0"/>
        <v>61</v>
      </c>
      <c r="G8" s="323" t="s">
        <v>137</v>
      </c>
      <c r="H8" s="325">
        <v>4</v>
      </c>
      <c r="I8" s="325">
        <v>112014178</v>
      </c>
      <c r="J8" s="1393">
        <f t="shared" si="1"/>
        <v>70</v>
      </c>
      <c r="M8" s="664" t="s">
        <v>620</v>
      </c>
      <c r="N8" s="324">
        <v>22</v>
      </c>
      <c r="O8" s="325">
        <v>112010441</v>
      </c>
      <c r="P8" s="1392">
        <f t="shared" si="2"/>
        <v>71</v>
      </c>
      <c r="R8" s="664" t="s">
        <v>296</v>
      </c>
      <c r="S8" s="324">
        <v>4</v>
      </c>
      <c r="T8" s="325">
        <v>112011860</v>
      </c>
      <c r="U8" s="1392">
        <f t="shared" si="3"/>
        <v>70</v>
      </c>
      <c r="W8" s="664" t="s">
        <v>401</v>
      </c>
      <c r="X8" s="324">
        <v>7</v>
      </c>
      <c r="Y8" s="325">
        <v>112013192</v>
      </c>
      <c r="Z8" s="1392">
        <f t="shared" si="4"/>
        <v>62</v>
      </c>
      <c r="AB8" s="664" t="s">
        <v>984</v>
      </c>
      <c r="AC8" s="325"/>
      <c r="AD8" s="325">
        <v>112010442</v>
      </c>
      <c r="AE8" s="1392" t="e">
        <f t="shared" si="5"/>
        <v>#N/A</v>
      </c>
      <c r="AF8" s="302"/>
      <c r="AG8" s="325" t="s">
        <v>1308</v>
      </c>
      <c r="AH8" s="325">
        <v>22</v>
      </c>
      <c r="AI8" s="325">
        <v>112013617</v>
      </c>
      <c r="AJ8" s="799">
        <f t="shared" si="6"/>
        <v>63</v>
      </c>
      <c r="AL8" s="323" t="s">
        <v>1553</v>
      </c>
      <c r="AM8" s="325">
        <v>22</v>
      </c>
      <c r="AN8" s="325">
        <v>112014713</v>
      </c>
      <c r="AO8" s="1394" t="e">
        <f t="shared" si="7"/>
        <v>#N/A</v>
      </c>
      <c r="AQ8" s="1395" t="s">
        <v>1021</v>
      </c>
      <c r="AR8" s="325">
        <v>7</v>
      </c>
      <c r="AS8" s="325">
        <v>112013516</v>
      </c>
      <c r="AT8" s="1396">
        <f t="shared" si="8"/>
        <v>7</v>
      </c>
      <c r="AU8" s="302"/>
      <c r="AV8" s="302"/>
      <c r="AW8" s="664" t="s">
        <v>1431</v>
      </c>
      <c r="AX8" s="325">
        <v>22</v>
      </c>
      <c r="AY8" s="325">
        <v>112014387</v>
      </c>
      <c r="AZ8" s="1392">
        <f t="shared" si="9"/>
        <v>22</v>
      </c>
      <c r="BA8" s="302"/>
      <c r="BB8" s="664" t="s">
        <v>1308</v>
      </c>
      <c r="BC8" s="325">
        <v>22</v>
      </c>
      <c r="BD8" s="325">
        <v>112013383</v>
      </c>
      <c r="BE8" s="1392" t="str">
        <f t="shared" si="10"/>
        <v>ARANA GASTON ANGEL</v>
      </c>
      <c r="BF8" s="618"/>
      <c r="BG8" s="553"/>
      <c r="BH8" s="294"/>
      <c r="BI8" s="618"/>
      <c r="BJ8" s="618"/>
      <c r="BK8" s="618"/>
      <c r="BL8" s="553"/>
      <c r="BM8" s="618"/>
      <c r="BN8" s="618"/>
      <c r="BO8" s="618"/>
    </row>
    <row r="9" spans="1:67" ht="13" hidden="1">
      <c r="A9" s="664" t="s">
        <v>768</v>
      </c>
      <c r="B9" s="325">
        <v>1</v>
      </c>
      <c r="C9" s="325">
        <v>112010910</v>
      </c>
      <c r="D9" s="1392">
        <f t="shared" si="0"/>
        <v>71</v>
      </c>
      <c r="G9" s="323" t="s">
        <v>238</v>
      </c>
      <c r="H9" s="325">
        <v>31</v>
      </c>
      <c r="I9" s="325">
        <v>112013120</v>
      </c>
      <c r="J9" s="1393" t="e">
        <f t="shared" si="1"/>
        <v>#N/A</v>
      </c>
      <c r="M9" s="664" t="s">
        <v>570</v>
      </c>
      <c r="N9" s="324">
        <v>7</v>
      </c>
      <c r="O9" s="325">
        <v>112014368</v>
      </c>
      <c r="P9" s="1392">
        <f t="shared" si="2"/>
        <v>70</v>
      </c>
      <c r="R9" s="664" t="s">
        <v>289</v>
      </c>
      <c r="S9" s="324">
        <v>20</v>
      </c>
      <c r="T9" s="325">
        <v>112010719</v>
      </c>
      <c r="U9" s="1392">
        <f t="shared" si="3"/>
        <v>67</v>
      </c>
      <c r="W9" s="664" t="s">
        <v>373</v>
      </c>
      <c r="X9" s="324">
        <v>38</v>
      </c>
      <c r="Y9" s="325">
        <v>112013768</v>
      </c>
      <c r="Z9" s="1392">
        <f t="shared" si="4"/>
        <v>60</v>
      </c>
      <c r="AB9" s="664" t="s">
        <v>915</v>
      </c>
      <c r="AC9" s="325">
        <v>1</v>
      </c>
      <c r="AD9" s="325">
        <v>112013126</v>
      </c>
      <c r="AE9" s="1392" t="e">
        <f t="shared" si="5"/>
        <v>#N/A</v>
      </c>
      <c r="AF9" s="302"/>
      <c r="AG9" s="325" t="s">
        <v>1345</v>
      </c>
      <c r="AH9" s="325">
        <v>20</v>
      </c>
      <c r="AI9" s="325">
        <v>112013731</v>
      </c>
      <c r="AJ9" s="799">
        <f t="shared" si="6"/>
        <v>71</v>
      </c>
      <c r="AL9" s="323" t="s">
        <v>1200</v>
      </c>
      <c r="AM9" s="325">
        <v>4</v>
      </c>
      <c r="AN9" s="325">
        <v>112014529</v>
      </c>
      <c r="AO9" s="1394" t="e">
        <f t="shared" si="7"/>
        <v>#N/A</v>
      </c>
      <c r="AQ9" s="1395" t="s">
        <v>1067</v>
      </c>
      <c r="AR9" s="325">
        <v>1</v>
      </c>
      <c r="AS9" s="325">
        <v>112014129</v>
      </c>
      <c r="AT9" s="1396">
        <f t="shared" si="8"/>
        <v>1</v>
      </c>
      <c r="AU9" s="302"/>
      <c r="AV9" s="302"/>
      <c r="AW9" s="664" t="s">
        <v>1405</v>
      </c>
      <c r="AX9" s="325">
        <v>12</v>
      </c>
      <c r="AY9" s="325">
        <v>112013143</v>
      </c>
      <c r="AZ9" s="1392">
        <f t="shared" si="9"/>
        <v>12</v>
      </c>
      <c r="BA9" s="302"/>
      <c r="BB9" s="664" t="s">
        <v>1398</v>
      </c>
      <c r="BC9" s="325">
        <v>12</v>
      </c>
      <c r="BD9" s="325">
        <v>112014534</v>
      </c>
      <c r="BE9" s="1392" t="str">
        <f t="shared" si="10"/>
        <v>ARBOLES S.R.L.</v>
      </c>
      <c r="BF9" s="618"/>
      <c r="BG9" s="553"/>
      <c r="BH9" s="294"/>
      <c r="BI9" s="618"/>
      <c r="BJ9" s="618"/>
      <c r="BK9" s="618"/>
      <c r="BL9" s="553"/>
      <c r="BM9" s="618"/>
      <c r="BN9" s="618"/>
      <c r="BO9" s="618"/>
    </row>
    <row r="10" spans="1:67" ht="13" hidden="1">
      <c r="A10" s="664" t="s">
        <v>769</v>
      </c>
      <c r="B10" s="325">
        <v>1</v>
      </c>
      <c r="C10" s="325">
        <v>112013104</v>
      </c>
      <c r="D10" s="1392">
        <f t="shared" si="0"/>
        <v>71</v>
      </c>
      <c r="G10" s="323" t="s">
        <v>138</v>
      </c>
      <c r="H10" s="325">
        <v>4</v>
      </c>
      <c r="I10" s="325">
        <v>112014336</v>
      </c>
      <c r="J10" s="1393">
        <f t="shared" si="1"/>
        <v>70</v>
      </c>
      <c r="M10" s="664" t="s">
        <v>634</v>
      </c>
      <c r="N10" s="324">
        <v>4</v>
      </c>
      <c r="O10" s="325">
        <v>112013870</v>
      </c>
      <c r="P10" s="1392">
        <f t="shared" si="2"/>
        <v>70</v>
      </c>
      <c r="R10" s="664" t="s">
        <v>269</v>
      </c>
      <c r="S10" s="324">
        <v>22</v>
      </c>
      <c r="T10" s="325">
        <v>112014606</v>
      </c>
      <c r="U10" s="1392">
        <f t="shared" si="3"/>
        <v>63</v>
      </c>
      <c r="W10" s="664" t="s">
        <v>403</v>
      </c>
      <c r="X10" s="324">
        <v>40</v>
      </c>
      <c r="Y10" s="325">
        <v>112013252</v>
      </c>
      <c r="Z10" s="1392">
        <f t="shared" si="4"/>
        <v>60</v>
      </c>
      <c r="AB10" s="664" t="s">
        <v>881</v>
      </c>
      <c r="AC10" s="325">
        <v>22</v>
      </c>
      <c r="AD10" s="325">
        <v>112012525</v>
      </c>
      <c r="AE10" s="1398">
        <f t="shared" si="5"/>
        <v>1</v>
      </c>
      <c r="AF10" s="302"/>
      <c r="AG10" s="325" t="s">
        <v>1276</v>
      </c>
      <c r="AH10" s="325">
        <v>7</v>
      </c>
      <c r="AI10" s="325">
        <v>112014174</v>
      </c>
      <c r="AJ10" s="799">
        <f t="shared" si="6"/>
        <v>62</v>
      </c>
      <c r="AL10" s="323" t="s">
        <v>1121</v>
      </c>
      <c r="AM10" s="325">
        <v>22</v>
      </c>
      <c r="AN10" s="325">
        <v>112014554</v>
      </c>
      <c r="AO10" s="1394" t="e">
        <f t="shared" si="7"/>
        <v>#N/A</v>
      </c>
      <c r="AQ10" s="1395" t="s">
        <v>1009</v>
      </c>
      <c r="AR10" s="325">
        <v>7</v>
      </c>
      <c r="AS10" s="325">
        <v>112013217</v>
      </c>
      <c r="AT10" s="1396">
        <f t="shared" si="8"/>
        <v>7</v>
      </c>
      <c r="AU10" s="302"/>
      <c r="AV10" s="302"/>
      <c r="AW10" s="664" t="s">
        <v>1398</v>
      </c>
      <c r="AX10" s="325">
        <v>12</v>
      </c>
      <c r="AY10" s="325">
        <v>112012985</v>
      </c>
      <c r="AZ10" s="1392">
        <f t="shared" si="9"/>
        <v>12</v>
      </c>
      <c r="BA10" s="302"/>
      <c r="BB10" s="664" t="s">
        <v>1021</v>
      </c>
      <c r="BC10" s="325">
        <v>7</v>
      </c>
      <c r="BD10" s="325">
        <v>112013786</v>
      </c>
      <c r="BE10" s="1392" t="str">
        <f t="shared" si="10"/>
        <v>BAGUNAC S.A.</v>
      </c>
      <c r="BF10" s="618"/>
      <c r="BG10" s="553"/>
      <c r="BH10" s="294"/>
      <c r="BI10" s="618"/>
      <c r="BJ10" s="618"/>
      <c r="BK10" s="618"/>
      <c r="BL10" s="553"/>
      <c r="BM10" s="618"/>
      <c r="BN10" s="618"/>
      <c r="BO10" s="618"/>
    </row>
    <row r="11" spans="1:67" ht="13" hidden="1">
      <c r="A11" s="664" t="s">
        <v>688</v>
      </c>
      <c r="B11" s="325">
        <v>12</v>
      </c>
      <c r="C11" s="325">
        <v>112013562</v>
      </c>
      <c r="D11" s="1392">
        <f t="shared" si="0"/>
        <v>55</v>
      </c>
      <c r="G11" s="323" t="s">
        <v>171</v>
      </c>
      <c r="H11" s="325">
        <v>1</v>
      </c>
      <c r="I11" s="325">
        <v>112012274</v>
      </c>
      <c r="J11" s="1393">
        <f t="shared" si="1"/>
        <v>71</v>
      </c>
      <c r="M11" s="664" t="s">
        <v>506</v>
      </c>
      <c r="N11" s="324">
        <v>10</v>
      </c>
      <c r="O11" s="325">
        <v>112014413</v>
      </c>
      <c r="P11" s="1392">
        <f t="shared" si="2"/>
        <v>53</v>
      </c>
      <c r="R11" s="664" t="s">
        <v>256</v>
      </c>
      <c r="S11" s="324">
        <v>38</v>
      </c>
      <c r="T11" s="325">
        <v>112013280</v>
      </c>
      <c r="U11" s="1392">
        <f t="shared" si="3"/>
        <v>52</v>
      </c>
      <c r="W11" s="664" t="s">
        <v>458</v>
      </c>
      <c r="X11" s="324">
        <v>1</v>
      </c>
      <c r="Y11" s="325">
        <v>112010763</v>
      </c>
      <c r="Z11" s="1392">
        <f t="shared" si="4"/>
        <v>71</v>
      </c>
      <c r="AB11" s="664" t="s">
        <v>976</v>
      </c>
      <c r="AC11" s="325">
        <v>1</v>
      </c>
      <c r="AD11" s="325">
        <v>112014108</v>
      </c>
      <c r="AE11" s="1392" t="e">
        <f t="shared" si="5"/>
        <v>#N/A</v>
      </c>
      <c r="AF11" s="302"/>
      <c r="AG11" s="325" t="s">
        <v>1309</v>
      </c>
      <c r="AH11" s="325">
        <v>22</v>
      </c>
      <c r="AI11" s="325">
        <v>112013508</v>
      </c>
      <c r="AJ11" s="799">
        <f t="shared" si="6"/>
        <v>63</v>
      </c>
      <c r="AL11" s="323" t="s">
        <v>1134</v>
      </c>
      <c r="AM11" s="325">
        <v>40</v>
      </c>
      <c r="AN11" s="325">
        <v>112012408</v>
      </c>
      <c r="AO11" s="1399">
        <f t="shared" si="7"/>
        <v>40</v>
      </c>
      <c r="AQ11" s="1395" t="s">
        <v>1078</v>
      </c>
      <c r="AR11" s="325">
        <v>1</v>
      </c>
      <c r="AS11" s="325">
        <v>112012638</v>
      </c>
      <c r="AT11" s="1396">
        <f t="shared" si="8"/>
        <v>1</v>
      </c>
      <c r="AU11" s="302"/>
      <c r="AV11" s="302"/>
      <c r="AW11" s="664" t="s">
        <v>1425</v>
      </c>
      <c r="AX11" s="325">
        <v>22</v>
      </c>
      <c r="AY11" s="325">
        <v>112013303</v>
      </c>
      <c r="AZ11" s="1392">
        <f t="shared" si="9"/>
        <v>22</v>
      </c>
      <c r="BA11" s="302"/>
      <c r="BB11" s="664" t="s">
        <v>1481</v>
      </c>
      <c r="BC11" s="325">
        <v>1</v>
      </c>
      <c r="BD11" s="325">
        <v>112014556</v>
      </c>
      <c r="BE11" s="1392" t="str">
        <f t="shared" si="10"/>
        <v>BASSI RICARD/SERRA ALEJANDRA</v>
      </c>
      <c r="BF11" s="618"/>
      <c r="BG11" s="553"/>
      <c r="BH11" s="294"/>
      <c r="BI11" s="618"/>
      <c r="BJ11" s="618"/>
      <c r="BK11" s="618"/>
      <c r="BL11" s="553"/>
      <c r="BM11" s="618"/>
      <c r="BN11" s="618"/>
      <c r="BO11" s="618"/>
    </row>
    <row r="12" spans="1:67" ht="13" hidden="1">
      <c r="A12" s="664" t="s">
        <v>699</v>
      </c>
      <c r="B12" s="325">
        <v>31</v>
      </c>
      <c r="C12" s="325">
        <v>112013321</v>
      </c>
      <c r="D12" s="1392">
        <f t="shared" si="0"/>
        <v>61</v>
      </c>
      <c r="G12" s="323" t="s">
        <v>139</v>
      </c>
      <c r="H12" s="325">
        <v>4</v>
      </c>
      <c r="I12" s="325">
        <v>112013230</v>
      </c>
      <c r="J12" s="1393">
        <f t="shared" si="1"/>
        <v>70</v>
      </c>
      <c r="M12" s="664" t="s">
        <v>648</v>
      </c>
      <c r="N12" s="324">
        <v>1</v>
      </c>
      <c r="O12" s="325">
        <v>112013200</v>
      </c>
      <c r="P12" s="1392">
        <f t="shared" si="2"/>
        <v>71</v>
      </c>
      <c r="R12" s="664" t="s">
        <v>257</v>
      </c>
      <c r="S12" s="324">
        <v>10</v>
      </c>
      <c r="T12" s="325">
        <v>112013670</v>
      </c>
      <c r="U12" s="1392">
        <f t="shared" si="3"/>
        <v>52</v>
      </c>
      <c r="W12" s="664" t="s">
        <v>419</v>
      </c>
      <c r="X12" s="324">
        <v>22</v>
      </c>
      <c r="Y12" s="325">
        <v>112013487</v>
      </c>
      <c r="Z12" s="1392">
        <f t="shared" si="4"/>
        <v>63</v>
      </c>
      <c r="AB12" s="664" t="s">
        <v>978</v>
      </c>
      <c r="AC12" s="325">
        <v>1</v>
      </c>
      <c r="AD12" s="325">
        <v>112013890</v>
      </c>
      <c r="AE12" s="1392" t="e">
        <f t="shared" si="5"/>
        <v>#N/A</v>
      </c>
      <c r="AF12" s="302"/>
      <c r="AG12" s="325" t="s">
        <v>1381</v>
      </c>
      <c r="AH12" s="325"/>
      <c r="AI12" s="325">
        <v>112013840</v>
      </c>
      <c r="AJ12" s="799">
        <f t="shared" si="6"/>
        <v>0</v>
      </c>
      <c r="AL12" s="323" t="s">
        <v>1201</v>
      </c>
      <c r="AM12" s="325">
        <v>4</v>
      </c>
      <c r="AN12" s="325">
        <v>112014571</v>
      </c>
      <c r="AO12" s="1394" t="e">
        <f t="shared" si="7"/>
        <v>#N/A</v>
      </c>
      <c r="AQ12" s="1395" t="s">
        <v>1013</v>
      </c>
      <c r="AR12" s="325">
        <v>22</v>
      </c>
      <c r="AS12" s="325">
        <v>112010740</v>
      </c>
      <c r="AT12" s="1396">
        <f t="shared" si="8"/>
        <v>22</v>
      </c>
      <c r="AU12" s="302"/>
      <c r="AV12" s="302"/>
      <c r="AW12" s="664" t="s">
        <v>1416</v>
      </c>
      <c r="AX12" s="325">
        <v>7</v>
      </c>
      <c r="AY12" s="325">
        <v>112014635</v>
      </c>
      <c r="AZ12" s="1392">
        <f t="shared" si="9"/>
        <v>7</v>
      </c>
      <c r="BA12" s="302"/>
      <c r="BB12" s="664" t="s">
        <v>1309</v>
      </c>
      <c r="BC12" s="325">
        <v>22</v>
      </c>
      <c r="BD12" s="325">
        <v>112014670</v>
      </c>
      <c r="BE12" s="1392" t="str">
        <f t="shared" si="10"/>
        <v>BAUER SANTIAGO</v>
      </c>
      <c r="BF12" s="618"/>
      <c r="BG12" s="553"/>
      <c r="BH12" s="294"/>
      <c r="BI12" s="618"/>
      <c r="BJ12" s="618"/>
      <c r="BK12" s="618"/>
      <c r="BL12" s="553"/>
      <c r="BM12" s="618"/>
      <c r="BN12" s="618"/>
      <c r="BO12" s="618"/>
    </row>
    <row r="13" spans="1:67" ht="13" hidden="1">
      <c r="A13" s="664" t="s">
        <v>770</v>
      </c>
      <c r="B13" s="325">
        <v>1</v>
      </c>
      <c r="C13" s="325">
        <v>112014102</v>
      </c>
      <c r="D13" s="1392">
        <f t="shared" si="0"/>
        <v>71</v>
      </c>
      <c r="G13" s="323" t="s">
        <v>172</v>
      </c>
      <c r="H13" s="325">
        <v>1</v>
      </c>
      <c r="I13" s="325">
        <v>112011745</v>
      </c>
      <c r="J13" s="1393">
        <f t="shared" si="1"/>
        <v>71</v>
      </c>
      <c r="M13" s="664" t="s">
        <v>621</v>
      </c>
      <c r="N13" s="324">
        <v>29</v>
      </c>
      <c r="O13" s="325">
        <v>112014152</v>
      </c>
      <c r="P13" s="1392">
        <f t="shared" si="2"/>
        <v>70</v>
      </c>
      <c r="R13" s="664" t="s">
        <v>258</v>
      </c>
      <c r="S13" s="324">
        <v>10</v>
      </c>
      <c r="T13" s="325">
        <v>112013671</v>
      </c>
      <c r="U13" s="1392">
        <f t="shared" si="3"/>
        <v>52</v>
      </c>
      <c r="W13" s="664" t="s">
        <v>375</v>
      </c>
      <c r="X13" s="324">
        <v>10</v>
      </c>
      <c r="Y13" s="325">
        <v>112014383</v>
      </c>
      <c r="Z13" s="1392" t="e">
        <f t="shared" si="4"/>
        <v>#N/A</v>
      </c>
      <c r="AB13" s="664" t="s">
        <v>979</v>
      </c>
      <c r="AC13" s="325">
        <v>1</v>
      </c>
      <c r="AD13" s="325">
        <v>112013713</v>
      </c>
      <c r="AE13" s="1392" t="e">
        <f t="shared" si="5"/>
        <v>#N/A</v>
      </c>
      <c r="AF13" s="302"/>
      <c r="AG13" s="325" t="s">
        <v>1289</v>
      </c>
      <c r="AH13" s="325">
        <v>22</v>
      </c>
      <c r="AI13" s="325">
        <v>112013740</v>
      </c>
      <c r="AJ13" s="799">
        <f t="shared" si="6"/>
        <v>63</v>
      </c>
      <c r="AL13" s="323" t="s">
        <v>1202</v>
      </c>
      <c r="AM13" s="325">
        <v>4</v>
      </c>
      <c r="AN13" s="325">
        <v>112014302</v>
      </c>
      <c r="AO13" s="1394" t="e">
        <f t="shared" si="7"/>
        <v>#N/A</v>
      </c>
      <c r="AQ13" s="1395" t="s">
        <v>998</v>
      </c>
      <c r="AR13" s="325">
        <v>12</v>
      </c>
      <c r="AS13" s="325">
        <v>112013506</v>
      </c>
      <c r="AT13" s="1396">
        <f t="shared" si="8"/>
        <v>12</v>
      </c>
      <c r="AU13" s="302"/>
      <c r="AV13" s="302"/>
      <c r="AW13" s="664" t="s">
        <v>1464</v>
      </c>
      <c r="AX13" s="325">
        <v>22</v>
      </c>
      <c r="AY13" s="325">
        <v>112012873</v>
      </c>
      <c r="AZ13" s="1392">
        <f t="shared" si="9"/>
        <v>22</v>
      </c>
      <c r="BA13" s="302"/>
      <c r="BB13" s="664" t="s">
        <v>1432</v>
      </c>
      <c r="BC13" s="325">
        <v>22</v>
      </c>
      <c r="BD13" s="325">
        <v>112014657</v>
      </c>
      <c r="BE13" s="1392" t="str">
        <f t="shared" si="10"/>
        <v>BEDOYA ALEJANDRO LUCIANO</v>
      </c>
      <c r="BF13" s="618"/>
      <c r="BG13" s="553"/>
      <c r="BH13" s="294"/>
      <c r="BI13" s="618"/>
      <c r="BJ13" s="618"/>
      <c r="BK13" s="618"/>
      <c r="BL13" s="553"/>
      <c r="BM13" s="618"/>
      <c r="BN13" s="618"/>
      <c r="BO13" s="618"/>
    </row>
    <row r="14" spans="1:67" ht="13" hidden="1">
      <c r="A14" s="664" t="s">
        <v>744</v>
      </c>
      <c r="B14" s="325">
        <v>4</v>
      </c>
      <c r="C14" s="325">
        <v>112013296</v>
      </c>
      <c r="D14" s="1392">
        <f t="shared" si="0"/>
        <v>70</v>
      </c>
      <c r="G14" s="323" t="s">
        <v>173</v>
      </c>
      <c r="H14" s="325">
        <v>1</v>
      </c>
      <c r="I14" s="325">
        <v>112012779</v>
      </c>
      <c r="J14" s="1393" t="e">
        <f t="shared" si="1"/>
        <v>#N/A</v>
      </c>
      <c r="M14" s="664" t="s">
        <v>543</v>
      </c>
      <c r="N14" s="324">
        <v>22</v>
      </c>
      <c r="O14" s="325">
        <v>112010446</v>
      </c>
      <c r="P14" s="1392">
        <f t="shared" si="2"/>
        <v>63</v>
      </c>
      <c r="R14" s="664" t="s">
        <v>293</v>
      </c>
      <c r="S14" s="324">
        <v>4</v>
      </c>
      <c r="T14" s="325">
        <v>112011814</v>
      </c>
      <c r="U14" s="1392">
        <f t="shared" si="3"/>
        <v>70</v>
      </c>
      <c r="W14" s="664" t="s">
        <v>479</v>
      </c>
      <c r="X14" s="324"/>
      <c r="Y14" s="325">
        <v>112011943</v>
      </c>
      <c r="Z14" s="1392">
        <f t="shared" si="4"/>
        <v>0</v>
      </c>
      <c r="AB14" s="664" t="s">
        <v>986</v>
      </c>
      <c r="AC14" s="325"/>
      <c r="AD14" s="325">
        <v>112014114</v>
      </c>
      <c r="AE14" s="1392" t="e">
        <f t="shared" si="5"/>
        <v>#N/A</v>
      </c>
      <c r="AF14" s="302"/>
      <c r="AG14" s="325" t="s">
        <v>1354</v>
      </c>
      <c r="AH14" s="325">
        <v>1</v>
      </c>
      <c r="AI14" s="325">
        <v>112011665</v>
      </c>
      <c r="AJ14" s="799">
        <f t="shared" si="6"/>
        <v>71</v>
      </c>
      <c r="AL14" s="323" t="s">
        <v>854</v>
      </c>
      <c r="AM14" s="325">
        <v>22</v>
      </c>
      <c r="AN14" s="325">
        <v>112012381</v>
      </c>
      <c r="AO14" s="1394" t="e">
        <f t="shared" si="7"/>
        <v>#N/A</v>
      </c>
      <c r="AQ14" s="1395" t="s">
        <v>994</v>
      </c>
      <c r="AR14" s="325">
        <v>14</v>
      </c>
      <c r="AS14" s="325">
        <v>112013493</v>
      </c>
      <c r="AT14" s="1396">
        <f t="shared" si="8"/>
        <v>14</v>
      </c>
      <c r="AU14" s="302"/>
      <c r="AV14" s="302"/>
      <c r="AW14" s="664" t="s">
        <v>1481</v>
      </c>
      <c r="AX14" s="325">
        <v>1</v>
      </c>
      <c r="AY14" s="325">
        <v>112012824</v>
      </c>
      <c r="AZ14" s="1392" t="e">
        <f t="shared" si="9"/>
        <v>#N/A</v>
      </c>
      <c r="BA14" s="302"/>
      <c r="BB14" s="664" t="s">
        <v>1473</v>
      </c>
      <c r="BC14" s="325">
        <v>22</v>
      </c>
      <c r="BD14" s="325">
        <v>112013388</v>
      </c>
      <c r="BE14" s="1392" t="str">
        <f t="shared" si="10"/>
        <v>BORDON AUGUSTO IMANOL</v>
      </c>
      <c r="BF14" s="618"/>
      <c r="BG14" s="553"/>
      <c r="BH14" s="294"/>
      <c r="BI14" s="618"/>
      <c r="BJ14" s="618"/>
      <c r="BK14" s="618"/>
      <c r="BL14" s="553"/>
      <c r="BM14" s="618"/>
      <c r="BN14" s="618"/>
      <c r="BO14" s="618"/>
    </row>
    <row r="15" spans="1:67" ht="13" hidden="1">
      <c r="A15" s="664" t="s">
        <v>745</v>
      </c>
      <c r="B15" s="325">
        <v>4</v>
      </c>
      <c r="C15" s="325">
        <v>112013825</v>
      </c>
      <c r="D15" s="1392">
        <f t="shared" si="0"/>
        <v>70</v>
      </c>
      <c r="G15" s="323" t="s">
        <v>236</v>
      </c>
      <c r="H15" s="325">
        <v>31</v>
      </c>
      <c r="I15" s="325">
        <v>112014304</v>
      </c>
      <c r="J15" s="1393" t="e">
        <f t="shared" si="1"/>
        <v>#N/A</v>
      </c>
      <c r="M15" s="664" t="s">
        <v>556</v>
      </c>
      <c r="N15" s="324">
        <v>31</v>
      </c>
      <c r="O15" s="325">
        <v>112014732</v>
      </c>
      <c r="P15" s="1392">
        <f t="shared" si="2"/>
        <v>69</v>
      </c>
      <c r="R15" s="664" t="s">
        <v>311</v>
      </c>
      <c r="S15" s="324">
        <v>1</v>
      </c>
      <c r="T15" s="325">
        <v>112014391</v>
      </c>
      <c r="U15" s="1392">
        <f t="shared" si="3"/>
        <v>71</v>
      </c>
      <c r="W15" s="664" t="s">
        <v>393</v>
      </c>
      <c r="X15" s="324">
        <v>31</v>
      </c>
      <c r="Y15" s="325">
        <v>112013849</v>
      </c>
      <c r="Z15" s="1392">
        <f t="shared" si="4"/>
        <v>61</v>
      </c>
      <c r="AB15" s="664" t="s">
        <v>896</v>
      </c>
      <c r="AC15" s="325">
        <v>1</v>
      </c>
      <c r="AD15" s="325">
        <v>112012203</v>
      </c>
      <c r="AE15" s="1398">
        <f t="shared" si="5"/>
        <v>1</v>
      </c>
      <c r="AF15" s="302"/>
      <c r="AG15" s="325" t="s">
        <v>1554</v>
      </c>
      <c r="AH15" s="325">
        <v>22</v>
      </c>
      <c r="AI15" s="325">
        <v>112014219</v>
      </c>
      <c r="AJ15" s="799">
        <f t="shared" si="6"/>
        <v>63</v>
      </c>
      <c r="AL15" s="323" t="s">
        <v>1203</v>
      </c>
      <c r="AM15" s="325">
        <v>4</v>
      </c>
      <c r="AN15" s="325">
        <v>112014351</v>
      </c>
      <c r="AO15" s="1394" t="e">
        <f t="shared" si="7"/>
        <v>#N/A</v>
      </c>
      <c r="AQ15" s="1395" t="s">
        <v>1046</v>
      </c>
      <c r="AR15" s="325">
        <v>12</v>
      </c>
      <c r="AS15" s="325">
        <v>112014497</v>
      </c>
      <c r="AT15" s="1396">
        <f t="shared" si="8"/>
        <v>1</v>
      </c>
      <c r="AU15" s="302"/>
      <c r="AV15" s="302"/>
      <c r="AW15" s="664" t="s">
        <v>1432</v>
      </c>
      <c r="AX15" s="325">
        <v>22</v>
      </c>
      <c r="AY15" s="325">
        <v>112013773</v>
      </c>
      <c r="AZ15" s="1392">
        <f t="shared" si="9"/>
        <v>22</v>
      </c>
      <c r="BA15" s="302"/>
      <c r="BB15" s="664" t="s">
        <v>994</v>
      </c>
      <c r="BC15" s="325">
        <v>14</v>
      </c>
      <c r="BD15" s="325">
        <v>112014479</v>
      </c>
      <c r="BE15" s="1392" t="str">
        <f t="shared" si="10"/>
        <v>BOSCHETTI LEONARDO y LAZARTE RICARDO DANIEL</v>
      </c>
      <c r="BF15" s="618"/>
      <c r="BG15" s="553"/>
      <c r="BH15" s="294"/>
      <c r="BI15" s="618"/>
      <c r="BJ15" s="618"/>
      <c r="BK15" s="618"/>
      <c r="BL15" s="553"/>
      <c r="BM15" s="618"/>
      <c r="BN15" s="618"/>
      <c r="BO15" s="618"/>
    </row>
    <row r="16" spans="1:67" ht="13" hidden="1">
      <c r="A16" s="664" t="s">
        <v>771</v>
      </c>
      <c r="B16" s="325">
        <v>1</v>
      </c>
      <c r="C16" s="325">
        <v>112014590</v>
      </c>
      <c r="D16" s="1392">
        <f t="shared" si="0"/>
        <v>71</v>
      </c>
      <c r="G16" s="323" t="s">
        <v>174</v>
      </c>
      <c r="H16" s="325">
        <v>1</v>
      </c>
      <c r="I16" s="325">
        <v>112013458</v>
      </c>
      <c r="J16" s="1393">
        <f t="shared" si="1"/>
        <v>71</v>
      </c>
      <c r="M16" s="664" t="s">
        <v>571</v>
      </c>
      <c r="N16" s="324">
        <v>7</v>
      </c>
      <c r="O16" s="325">
        <v>112014588</v>
      </c>
      <c r="P16" s="1392">
        <f t="shared" si="2"/>
        <v>70</v>
      </c>
      <c r="R16" s="664" t="s">
        <v>312</v>
      </c>
      <c r="S16" s="324">
        <v>1</v>
      </c>
      <c r="T16" s="325">
        <v>112012159</v>
      </c>
      <c r="U16" s="1392">
        <f t="shared" si="3"/>
        <v>71</v>
      </c>
      <c r="W16" s="664" t="s">
        <v>421</v>
      </c>
      <c r="X16" s="324">
        <v>22</v>
      </c>
      <c r="Y16" s="325">
        <v>112010743</v>
      </c>
      <c r="Z16" s="1392">
        <f t="shared" si="4"/>
        <v>63</v>
      </c>
      <c r="AB16" s="664" t="s">
        <v>951</v>
      </c>
      <c r="AC16" s="325">
        <v>29</v>
      </c>
      <c r="AD16" s="325">
        <v>112014097</v>
      </c>
      <c r="AE16" s="1392" t="e">
        <f t="shared" si="5"/>
        <v>#N/A</v>
      </c>
      <c r="AF16" s="302"/>
      <c r="AG16" s="325" t="s">
        <v>1310</v>
      </c>
      <c r="AH16" s="325">
        <v>22</v>
      </c>
      <c r="AI16" s="325">
        <v>112014647</v>
      </c>
      <c r="AJ16" s="799">
        <f t="shared" si="6"/>
        <v>63</v>
      </c>
      <c r="AL16" s="323" t="s">
        <v>1176</v>
      </c>
      <c r="AM16" s="325">
        <v>1</v>
      </c>
      <c r="AN16" s="325">
        <v>112013306</v>
      </c>
      <c r="AO16" s="1394" t="e">
        <f t="shared" si="7"/>
        <v>#N/A</v>
      </c>
      <c r="AQ16" s="1395" t="s">
        <v>1093</v>
      </c>
      <c r="AR16" s="325">
        <v>22</v>
      </c>
      <c r="AS16" s="325">
        <v>112012366</v>
      </c>
      <c r="AT16" s="1397" t="e">
        <f t="shared" si="8"/>
        <v>#N/A</v>
      </c>
      <c r="AU16" s="302"/>
      <c r="AV16" s="302"/>
      <c r="AW16" s="664" t="s">
        <v>362</v>
      </c>
      <c r="AX16" s="325"/>
      <c r="AY16" s="325">
        <v>112014560</v>
      </c>
      <c r="AZ16" s="1392">
        <f t="shared" si="9"/>
        <v>0</v>
      </c>
      <c r="BA16" s="302"/>
      <c r="BB16" s="664" t="s">
        <v>1310</v>
      </c>
      <c r="BC16" s="325">
        <v>22</v>
      </c>
      <c r="BD16" s="325">
        <v>112014387</v>
      </c>
      <c r="BE16" s="1392" t="str">
        <f t="shared" si="10"/>
        <v>BRACCO VIVIANA BEATRIZ</v>
      </c>
      <c r="BF16" s="618"/>
      <c r="BG16" s="553"/>
      <c r="BH16" s="294"/>
      <c r="BI16" s="618"/>
      <c r="BJ16" s="618"/>
      <c r="BK16" s="618"/>
      <c r="BL16" s="553"/>
      <c r="BM16" s="618"/>
      <c r="BN16" s="618"/>
      <c r="BO16" s="618"/>
    </row>
    <row r="17" spans="1:67" ht="13" hidden="1">
      <c r="A17" s="664" t="s">
        <v>746</v>
      </c>
      <c r="B17" s="325">
        <v>18</v>
      </c>
      <c r="C17" s="325">
        <v>112014510</v>
      </c>
      <c r="D17" s="1392">
        <f t="shared" si="0"/>
        <v>69</v>
      </c>
      <c r="G17" s="323" t="s">
        <v>81</v>
      </c>
      <c r="H17" s="325">
        <v>7</v>
      </c>
      <c r="I17" s="325">
        <v>112014704</v>
      </c>
      <c r="J17" s="1393">
        <f t="shared" si="1"/>
        <v>62</v>
      </c>
      <c r="M17" s="664" t="s">
        <v>572</v>
      </c>
      <c r="N17" s="324">
        <v>7</v>
      </c>
      <c r="O17" s="325">
        <v>112014397</v>
      </c>
      <c r="P17" s="1392">
        <f t="shared" si="2"/>
        <v>70</v>
      </c>
      <c r="R17" s="664" t="s">
        <v>313</v>
      </c>
      <c r="S17" s="324">
        <v>1</v>
      </c>
      <c r="T17" s="325">
        <v>112012865</v>
      </c>
      <c r="U17" s="1392">
        <f t="shared" si="3"/>
        <v>71</v>
      </c>
      <c r="W17" s="664" t="s">
        <v>472</v>
      </c>
      <c r="X17" s="324">
        <v>1</v>
      </c>
      <c r="Y17" s="325">
        <v>112013052</v>
      </c>
      <c r="Z17" s="1392">
        <f t="shared" si="4"/>
        <v>71</v>
      </c>
      <c r="AB17" s="664" t="s">
        <v>923</v>
      </c>
      <c r="AC17" s="325">
        <v>4</v>
      </c>
      <c r="AD17" s="325">
        <v>112012310</v>
      </c>
      <c r="AE17" s="1392" t="e">
        <f t="shared" si="5"/>
        <v>#N/A</v>
      </c>
      <c r="AF17" s="302"/>
      <c r="AG17" s="325" t="s">
        <v>1388</v>
      </c>
      <c r="AH17" s="325">
        <v>22</v>
      </c>
      <c r="AI17" s="325">
        <v>112013571</v>
      </c>
      <c r="AJ17" s="799" t="e">
        <f t="shared" si="6"/>
        <v>#N/A</v>
      </c>
      <c r="AL17" s="323" t="s">
        <v>1238</v>
      </c>
      <c r="AM17" s="325">
        <v>31</v>
      </c>
      <c r="AN17" s="325">
        <v>112014715</v>
      </c>
      <c r="AO17" s="1394" t="e">
        <f t="shared" si="7"/>
        <v>#N/A</v>
      </c>
      <c r="AQ17" s="1395" t="s">
        <v>1081</v>
      </c>
      <c r="AR17" s="325">
        <v>1</v>
      </c>
      <c r="AS17" s="325">
        <v>112013162</v>
      </c>
      <c r="AT17" s="1396">
        <f t="shared" si="8"/>
        <v>1</v>
      </c>
      <c r="AU17" s="302"/>
      <c r="AV17" s="302"/>
      <c r="AW17" s="664" t="s">
        <v>1488</v>
      </c>
      <c r="AX17" s="325"/>
      <c r="AY17" s="325">
        <v>112014444</v>
      </c>
      <c r="AZ17" s="1392">
        <f t="shared" si="9"/>
        <v>0</v>
      </c>
      <c r="BA17" s="302"/>
      <c r="BB17" s="664" t="s">
        <v>1532</v>
      </c>
      <c r="BC17" s="325">
        <v>12</v>
      </c>
      <c r="BD17" s="325">
        <v>112013143</v>
      </c>
      <c r="BE17" s="1392" t="str">
        <f t="shared" si="10"/>
        <v>CALDENTEY TOMAS/CALDENTEY Y CAPOZUCCA/CAPOZZUCA FRANCO</v>
      </c>
      <c r="BF17" s="618"/>
      <c r="BG17" s="553"/>
      <c r="BH17" s="294"/>
      <c r="BI17" s="618"/>
      <c r="BJ17" s="618"/>
      <c r="BK17" s="618"/>
      <c r="BL17" s="553"/>
      <c r="BM17" s="618"/>
      <c r="BN17" s="618"/>
      <c r="BO17" s="618"/>
    </row>
    <row r="18" spans="1:67" ht="13" hidden="1">
      <c r="A18" s="664" t="s">
        <v>747</v>
      </c>
      <c r="B18" s="325">
        <v>4</v>
      </c>
      <c r="C18" s="325">
        <v>112014375</v>
      </c>
      <c r="D18" s="1392">
        <f t="shared" si="0"/>
        <v>70</v>
      </c>
      <c r="G18" s="323" t="s">
        <v>175</v>
      </c>
      <c r="H18" s="325">
        <v>1</v>
      </c>
      <c r="I18" s="325">
        <v>112014642</v>
      </c>
      <c r="J18" s="1393">
        <f t="shared" si="1"/>
        <v>71</v>
      </c>
      <c r="M18" s="664" t="s">
        <v>635</v>
      </c>
      <c r="N18" s="324">
        <v>4</v>
      </c>
      <c r="O18" s="325">
        <v>112014064</v>
      </c>
      <c r="P18" s="1392">
        <f t="shared" si="2"/>
        <v>70</v>
      </c>
      <c r="R18" s="664" t="s">
        <v>346</v>
      </c>
      <c r="S18" s="324"/>
      <c r="T18" s="325">
        <v>112013893</v>
      </c>
      <c r="U18" s="1392">
        <f t="shared" si="3"/>
        <v>0</v>
      </c>
      <c r="W18" s="664" t="s">
        <v>405</v>
      </c>
      <c r="X18" s="324">
        <v>7</v>
      </c>
      <c r="Y18" s="325">
        <v>112010701</v>
      </c>
      <c r="Z18" s="1392">
        <f t="shared" si="4"/>
        <v>62</v>
      </c>
      <c r="AB18" s="664" t="s">
        <v>944</v>
      </c>
      <c r="AC18" s="325">
        <v>7</v>
      </c>
      <c r="AD18" s="325">
        <v>112014671</v>
      </c>
      <c r="AE18" s="1392" t="e">
        <f t="shared" si="5"/>
        <v>#N/A</v>
      </c>
      <c r="AF18" s="302"/>
      <c r="AG18" s="325" t="s">
        <v>1355</v>
      </c>
      <c r="AH18" s="325">
        <v>1</v>
      </c>
      <c r="AI18" s="325">
        <v>112012415</v>
      </c>
      <c r="AJ18" s="799">
        <f t="shared" si="6"/>
        <v>71</v>
      </c>
      <c r="AL18" s="323" t="s">
        <v>1230</v>
      </c>
      <c r="AM18" s="325">
        <v>20</v>
      </c>
      <c r="AN18" s="325">
        <v>112012501</v>
      </c>
      <c r="AO18" s="1394" t="e">
        <f t="shared" si="7"/>
        <v>#N/A</v>
      </c>
      <c r="AQ18" s="1395" t="s">
        <v>1020</v>
      </c>
      <c r="AR18" s="325">
        <v>22</v>
      </c>
      <c r="AS18" s="325">
        <v>112014709</v>
      </c>
      <c r="AT18" s="1396">
        <f t="shared" si="8"/>
        <v>7</v>
      </c>
      <c r="AU18" s="302"/>
      <c r="AV18" s="302"/>
      <c r="AW18" s="664" t="s">
        <v>1473</v>
      </c>
      <c r="AX18" s="325">
        <v>22</v>
      </c>
      <c r="AY18" s="325">
        <v>112013891</v>
      </c>
      <c r="AZ18" s="1392">
        <f t="shared" si="9"/>
        <v>1</v>
      </c>
      <c r="BA18" s="302"/>
      <c r="BB18" s="664" t="s">
        <v>1311</v>
      </c>
      <c r="BC18" s="325">
        <v>22</v>
      </c>
      <c r="BD18" s="325">
        <v>112013617</v>
      </c>
      <c r="BE18" s="1392" t="str">
        <f t="shared" si="10"/>
        <v>CAMACHO MARIA CANDELA</v>
      </c>
      <c r="BF18" s="618"/>
      <c r="BG18" s="553"/>
      <c r="BH18" s="294"/>
      <c r="BI18" s="618"/>
      <c r="BJ18" s="618"/>
      <c r="BK18" s="618"/>
      <c r="BL18" s="553"/>
      <c r="BM18" s="618"/>
      <c r="BN18" s="618"/>
      <c r="BO18" s="618"/>
    </row>
    <row r="19" spans="1:67" ht="13" hidden="1">
      <c r="A19" s="664" t="s">
        <v>772</v>
      </c>
      <c r="B19" s="325">
        <v>1</v>
      </c>
      <c r="C19" s="325">
        <v>112012921</v>
      </c>
      <c r="D19" s="1392">
        <f t="shared" si="0"/>
        <v>71</v>
      </c>
      <c r="G19" s="323" t="s">
        <v>176</v>
      </c>
      <c r="H19" s="325">
        <v>1</v>
      </c>
      <c r="I19" s="325">
        <v>112011726</v>
      </c>
      <c r="J19" s="1393">
        <f t="shared" si="1"/>
        <v>71</v>
      </c>
      <c r="M19" s="664" t="s">
        <v>658</v>
      </c>
      <c r="N19" s="324"/>
      <c r="O19" s="325">
        <v>112013822</v>
      </c>
      <c r="P19" s="1392">
        <f t="shared" si="2"/>
        <v>0</v>
      </c>
      <c r="R19" s="664" t="s">
        <v>314</v>
      </c>
      <c r="S19" s="324">
        <v>1</v>
      </c>
      <c r="T19" s="325">
        <v>112012285</v>
      </c>
      <c r="U19" s="1392">
        <f t="shared" si="3"/>
        <v>71</v>
      </c>
      <c r="W19" s="664" t="s">
        <v>423</v>
      </c>
      <c r="X19" s="324">
        <v>22</v>
      </c>
      <c r="Y19" s="325">
        <v>112012319</v>
      </c>
      <c r="Z19" s="1392" t="e">
        <f t="shared" si="4"/>
        <v>#N/A</v>
      </c>
      <c r="AB19" s="664" t="s">
        <v>973</v>
      </c>
      <c r="AC19" s="325">
        <v>1</v>
      </c>
      <c r="AD19" s="325">
        <v>112014098</v>
      </c>
      <c r="AE19" s="1392" t="e">
        <f t="shared" si="5"/>
        <v>#N/A</v>
      </c>
      <c r="AF19" s="302"/>
      <c r="AG19" s="325" t="s">
        <v>1341</v>
      </c>
      <c r="AH19" s="325">
        <v>22</v>
      </c>
      <c r="AI19" s="325">
        <v>112013975</v>
      </c>
      <c r="AJ19" s="799">
        <f t="shared" si="6"/>
        <v>71</v>
      </c>
      <c r="AL19" s="323" t="s">
        <v>1142</v>
      </c>
      <c r="AM19" s="325">
        <v>20</v>
      </c>
      <c r="AN19" s="325">
        <v>112011647</v>
      </c>
      <c r="AO19" s="1399">
        <f t="shared" si="7"/>
        <v>20</v>
      </c>
      <c r="AQ19" s="1395" t="s">
        <v>1055</v>
      </c>
      <c r="AR19" s="325">
        <v>22</v>
      </c>
      <c r="AS19" s="325">
        <v>112013706</v>
      </c>
      <c r="AT19" s="1396">
        <f t="shared" si="8"/>
        <v>1</v>
      </c>
      <c r="AU19" s="302"/>
      <c r="AV19" s="302"/>
      <c r="AW19" s="664" t="s">
        <v>1490</v>
      </c>
      <c r="AX19" s="325"/>
      <c r="AY19" s="325">
        <v>112014736</v>
      </c>
      <c r="AZ19" s="1392">
        <f t="shared" si="9"/>
        <v>0</v>
      </c>
      <c r="BA19" s="302"/>
      <c r="BB19" s="664" t="s">
        <v>1055</v>
      </c>
      <c r="BC19" s="325">
        <v>22</v>
      </c>
      <c r="BD19" s="325">
        <v>112012985</v>
      </c>
      <c r="BE19" s="1392" t="str">
        <f t="shared" si="10"/>
        <v>CARRERA MARIA FLORENCIA</v>
      </c>
      <c r="BF19" s="618"/>
      <c r="BG19" s="553"/>
      <c r="BH19" s="294"/>
      <c r="BI19" s="618"/>
      <c r="BJ19" s="618"/>
      <c r="BK19" s="618"/>
      <c r="BL19" s="553"/>
      <c r="BM19" s="618"/>
      <c r="BN19" s="618"/>
      <c r="BO19" s="618"/>
    </row>
    <row r="20" spans="1:67" ht="13" hidden="1">
      <c r="A20" s="664" t="s">
        <v>725</v>
      </c>
      <c r="B20" s="325">
        <v>7</v>
      </c>
      <c r="C20" s="325">
        <v>112013294</v>
      </c>
      <c r="D20" s="1392">
        <f t="shared" si="0"/>
        <v>70</v>
      </c>
      <c r="G20" s="323" t="s">
        <v>140</v>
      </c>
      <c r="H20" s="325">
        <v>4</v>
      </c>
      <c r="I20" s="325">
        <v>112013434</v>
      </c>
      <c r="J20" s="1393" t="e">
        <f t="shared" si="1"/>
        <v>#N/A</v>
      </c>
      <c r="M20" s="664" t="s">
        <v>557</v>
      </c>
      <c r="N20" s="324">
        <v>31</v>
      </c>
      <c r="O20" s="325">
        <v>112014506</v>
      </c>
      <c r="P20" s="1392">
        <f t="shared" si="2"/>
        <v>69</v>
      </c>
      <c r="R20" s="664" t="s">
        <v>259</v>
      </c>
      <c r="S20" s="324">
        <v>38</v>
      </c>
      <c r="T20" s="325">
        <v>112013700</v>
      </c>
      <c r="U20" s="1392" t="e">
        <f t="shared" si="3"/>
        <v>#N/A</v>
      </c>
      <c r="W20" s="664" t="s">
        <v>471</v>
      </c>
      <c r="X20" s="324">
        <v>1</v>
      </c>
      <c r="Y20" s="325">
        <v>112012968</v>
      </c>
      <c r="Z20" s="1392">
        <f t="shared" si="4"/>
        <v>71</v>
      </c>
      <c r="AB20" s="664" t="s">
        <v>853</v>
      </c>
      <c r="AC20" s="325">
        <v>7</v>
      </c>
      <c r="AD20" s="325">
        <v>112014714</v>
      </c>
      <c r="AE20" s="1398">
        <f t="shared" si="5"/>
        <v>7</v>
      </c>
      <c r="AF20" s="302"/>
      <c r="AG20" s="325" t="s">
        <v>1356</v>
      </c>
      <c r="AH20" s="325">
        <v>1</v>
      </c>
      <c r="AI20" s="325">
        <v>112013098</v>
      </c>
      <c r="AJ20" s="799">
        <f t="shared" si="6"/>
        <v>71</v>
      </c>
      <c r="AL20" s="323" t="s">
        <v>1177</v>
      </c>
      <c r="AM20" s="325">
        <v>1</v>
      </c>
      <c r="AN20" s="325">
        <v>112013390</v>
      </c>
      <c r="AO20" s="1394" t="e">
        <f t="shared" si="7"/>
        <v>#N/A</v>
      </c>
      <c r="AQ20" s="1395" t="s">
        <v>1056</v>
      </c>
      <c r="AR20" s="325">
        <v>22</v>
      </c>
      <c r="AS20" s="325">
        <v>112013451</v>
      </c>
      <c r="AT20" s="1397" t="e">
        <f t="shared" si="8"/>
        <v>#N/A</v>
      </c>
      <c r="AU20" s="302"/>
      <c r="AV20" s="302"/>
      <c r="AW20" s="664" t="s">
        <v>1426</v>
      </c>
      <c r="AX20" s="325">
        <v>22</v>
      </c>
      <c r="AY20" s="325">
        <v>112013392</v>
      </c>
      <c r="AZ20" s="1392">
        <f t="shared" si="9"/>
        <v>22</v>
      </c>
      <c r="BA20" s="302"/>
      <c r="BB20" s="664" t="s">
        <v>1056</v>
      </c>
      <c r="BC20" s="325">
        <v>22</v>
      </c>
      <c r="BD20" s="325">
        <v>112013516</v>
      </c>
      <c r="BE20" s="1392" t="str">
        <f t="shared" si="10"/>
        <v>CARRICA MARIANO/LA REYERTA</v>
      </c>
      <c r="BF20" s="618"/>
      <c r="BG20" s="553"/>
      <c r="BH20" s="294"/>
      <c r="BI20" s="618"/>
      <c r="BJ20" s="618"/>
      <c r="BK20" s="618"/>
      <c r="BL20" s="553"/>
      <c r="BM20" s="618"/>
      <c r="BN20" s="618"/>
      <c r="BO20" s="618"/>
    </row>
    <row r="21" spans="1:67" ht="15" hidden="1" customHeight="1">
      <c r="A21" s="664" t="s">
        <v>735</v>
      </c>
      <c r="B21" s="325">
        <v>22</v>
      </c>
      <c r="C21" s="325">
        <v>112011891</v>
      </c>
      <c r="D21" s="1392">
        <f t="shared" si="0"/>
        <v>71</v>
      </c>
      <c r="G21" s="323" t="s">
        <v>116</v>
      </c>
      <c r="H21" s="325">
        <v>7</v>
      </c>
      <c r="I21" s="325">
        <v>112014269</v>
      </c>
      <c r="J21" s="1393">
        <f t="shared" si="1"/>
        <v>70</v>
      </c>
      <c r="M21" s="664" t="s">
        <v>573</v>
      </c>
      <c r="N21" s="324">
        <v>7</v>
      </c>
      <c r="O21" s="325">
        <v>112014398</v>
      </c>
      <c r="P21" s="1392">
        <f t="shared" si="2"/>
        <v>70</v>
      </c>
      <c r="R21" s="664" t="s">
        <v>315</v>
      </c>
      <c r="S21" s="324">
        <v>1</v>
      </c>
      <c r="T21" s="325">
        <v>112011737</v>
      </c>
      <c r="U21" s="1392">
        <f t="shared" si="3"/>
        <v>71</v>
      </c>
      <c r="W21" s="664" t="s">
        <v>448</v>
      </c>
      <c r="X21" s="324">
        <v>20</v>
      </c>
      <c r="Y21" s="325">
        <v>112013030</v>
      </c>
      <c r="Z21" s="1392">
        <f t="shared" si="4"/>
        <v>67</v>
      </c>
      <c r="AB21" s="664" t="s">
        <v>953</v>
      </c>
      <c r="AC21" s="325">
        <v>20</v>
      </c>
      <c r="AD21" s="325">
        <v>112014052</v>
      </c>
      <c r="AE21" s="1392" t="e">
        <f t="shared" si="5"/>
        <v>#N/A</v>
      </c>
      <c r="AF21" s="302"/>
      <c r="AG21" s="325" t="s">
        <v>1291</v>
      </c>
      <c r="AH21" s="325">
        <v>22</v>
      </c>
      <c r="AI21" s="325">
        <v>112013986</v>
      </c>
      <c r="AJ21" s="799">
        <f t="shared" si="6"/>
        <v>63</v>
      </c>
      <c r="AL21" s="323" t="s">
        <v>1204</v>
      </c>
      <c r="AM21" s="325">
        <v>4</v>
      </c>
      <c r="AN21" s="325">
        <v>112012446</v>
      </c>
      <c r="AO21" s="1394" t="e">
        <f t="shared" si="7"/>
        <v>#N/A</v>
      </c>
      <c r="AQ21" s="1395" t="s">
        <v>1049</v>
      </c>
      <c r="AR21" s="325">
        <v>22</v>
      </c>
      <c r="AS21" s="325">
        <v>112013829</v>
      </c>
      <c r="AT21" s="1396">
        <f t="shared" si="8"/>
        <v>1</v>
      </c>
      <c r="AU21" s="302"/>
      <c r="AV21" s="302"/>
      <c r="AW21" s="664" t="s">
        <v>1508</v>
      </c>
      <c r="AX21" s="325">
        <v>22</v>
      </c>
      <c r="AY21" s="325">
        <v>112013169</v>
      </c>
      <c r="AZ21" s="1392" t="e">
        <f t="shared" si="9"/>
        <v>#N/A</v>
      </c>
      <c r="BA21" s="302"/>
      <c r="BB21" s="664" t="s">
        <v>1029</v>
      </c>
      <c r="BC21" s="325">
        <v>22</v>
      </c>
      <c r="BD21" s="325">
        <v>112013508</v>
      </c>
      <c r="BE21" s="1392" t="str">
        <f t="shared" si="10"/>
        <v>CENTRO MEDICO VETERINARIO</v>
      </c>
      <c r="BF21" s="618"/>
      <c r="BG21" s="553"/>
      <c r="BH21" s="294"/>
      <c r="BI21" s="618"/>
      <c r="BJ21" s="618"/>
      <c r="BK21" s="618"/>
      <c r="BL21" s="553"/>
      <c r="BM21" s="618"/>
      <c r="BN21" s="618"/>
      <c r="BO21" s="618"/>
    </row>
    <row r="22" spans="1:67" ht="13" hidden="1">
      <c r="A22" s="664" t="s">
        <v>685</v>
      </c>
      <c r="B22" s="325">
        <v>14</v>
      </c>
      <c r="C22" s="325">
        <v>112014640</v>
      </c>
      <c r="D22" s="1392" t="e">
        <f t="shared" si="0"/>
        <v>#N/A</v>
      </c>
      <c r="G22" s="323" t="s">
        <v>142</v>
      </c>
      <c r="H22" s="325">
        <v>4</v>
      </c>
      <c r="I22" s="325">
        <v>112014735</v>
      </c>
      <c r="J22" s="1393">
        <f t="shared" si="1"/>
        <v>70</v>
      </c>
      <c r="M22" s="664" t="s">
        <v>524</v>
      </c>
      <c r="N22" s="324">
        <v>7</v>
      </c>
      <c r="O22" s="325">
        <v>112014223</v>
      </c>
      <c r="P22" s="1392">
        <f t="shared" si="2"/>
        <v>62</v>
      </c>
      <c r="R22" s="664" t="s">
        <v>270</v>
      </c>
      <c r="S22" s="324">
        <v>22</v>
      </c>
      <c r="T22" s="325">
        <v>112014184</v>
      </c>
      <c r="U22" s="1392">
        <f t="shared" si="3"/>
        <v>63</v>
      </c>
      <c r="W22" s="664" t="s">
        <v>424</v>
      </c>
      <c r="X22" s="324">
        <v>22</v>
      </c>
      <c r="Y22" s="325">
        <v>112010796</v>
      </c>
      <c r="Z22" s="1392">
        <f t="shared" si="4"/>
        <v>63</v>
      </c>
      <c r="AB22" s="664" t="s">
        <v>894</v>
      </c>
      <c r="AC22" s="325">
        <v>1</v>
      </c>
      <c r="AD22" s="325">
        <v>112011642</v>
      </c>
      <c r="AE22" s="1398">
        <f t="shared" si="5"/>
        <v>1</v>
      </c>
      <c r="AF22" s="302"/>
      <c r="AG22" s="325" t="s">
        <v>1266</v>
      </c>
      <c r="AH22" s="325">
        <v>12</v>
      </c>
      <c r="AI22" s="325">
        <v>112013711</v>
      </c>
      <c r="AJ22" s="799">
        <f t="shared" si="6"/>
        <v>55</v>
      </c>
      <c r="AL22" s="323" t="s">
        <v>1178</v>
      </c>
      <c r="AM22" s="325">
        <v>4</v>
      </c>
      <c r="AN22" s="325">
        <v>112013558</v>
      </c>
      <c r="AO22" s="1394" t="e">
        <f t="shared" si="7"/>
        <v>#N/A</v>
      </c>
      <c r="AQ22" s="1395" t="s">
        <v>1069</v>
      </c>
      <c r="AR22" s="325">
        <v>1</v>
      </c>
      <c r="AS22" s="325">
        <v>112010811</v>
      </c>
      <c r="AT22" s="1396">
        <f t="shared" si="8"/>
        <v>1</v>
      </c>
      <c r="AU22" s="302"/>
      <c r="AV22" s="302"/>
      <c r="AW22" s="664" t="s">
        <v>1433</v>
      </c>
      <c r="AX22" s="325">
        <v>22</v>
      </c>
      <c r="AY22" s="325">
        <v>112014189</v>
      </c>
      <c r="AZ22" s="1392">
        <f t="shared" si="9"/>
        <v>22</v>
      </c>
      <c r="BA22" s="302"/>
      <c r="BB22" s="664" t="s">
        <v>1433</v>
      </c>
      <c r="BC22" s="325">
        <v>22</v>
      </c>
      <c r="BD22" s="325">
        <v>112013773</v>
      </c>
      <c r="BE22" s="1392" t="str">
        <f t="shared" si="10"/>
        <v>CHAVES JUAN PABLO</v>
      </c>
      <c r="BF22" s="618"/>
      <c r="BG22" s="553"/>
      <c r="BH22" s="294"/>
      <c r="BI22" s="618"/>
      <c r="BJ22" s="618"/>
      <c r="BK22" s="618"/>
      <c r="BL22" s="553"/>
      <c r="BM22" s="618"/>
      <c r="BN22" s="618"/>
      <c r="BO22" s="618"/>
    </row>
    <row r="23" spans="1:67" ht="13" hidden="1">
      <c r="A23" s="664" t="s">
        <v>716</v>
      </c>
      <c r="B23" s="325">
        <v>14</v>
      </c>
      <c r="C23" s="325">
        <v>112013102</v>
      </c>
      <c r="D23" s="1392">
        <f t="shared" si="0"/>
        <v>70</v>
      </c>
      <c r="G23" s="323" t="s">
        <v>141</v>
      </c>
      <c r="H23" s="325">
        <v>4</v>
      </c>
      <c r="I23" s="325">
        <v>112011628</v>
      </c>
      <c r="J23" s="1393" t="e">
        <f t="shared" si="1"/>
        <v>#N/A</v>
      </c>
      <c r="M23" s="664" t="s">
        <v>651</v>
      </c>
      <c r="N23" s="324">
        <v>1</v>
      </c>
      <c r="O23" s="325">
        <v>112014255</v>
      </c>
      <c r="P23" s="1392">
        <f t="shared" si="2"/>
        <v>71</v>
      </c>
      <c r="R23" s="664" t="s">
        <v>348</v>
      </c>
      <c r="S23" s="324"/>
      <c r="T23" s="325">
        <v>112014294</v>
      </c>
      <c r="U23" s="1392">
        <f t="shared" si="3"/>
        <v>0</v>
      </c>
      <c r="W23" s="664" t="s">
        <v>406</v>
      </c>
      <c r="X23" s="324">
        <v>7</v>
      </c>
      <c r="Y23" s="325">
        <v>112013002</v>
      </c>
      <c r="Z23" s="1392">
        <f t="shared" si="4"/>
        <v>62</v>
      </c>
      <c r="AB23" s="664" t="s">
        <v>974</v>
      </c>
      <c r="AC23" s="325">
        <v>1</v>
      </c>
      <c r="AD23" s="325">
        <v>112014099</v>
      </c>
      <c r="AE23" s="1392" t="e">
        <f t="shared" si="5"/>
        <v>#N/A</v>
      </c>
      <c r="AF23" s="302"/>
      <c r="AG23" s="325" t="s">
        <v>1311</v>
      </c>
      <c r="AH23" s="325">
        <v>22</v>
      </c>
      <c r="AI23" s="325">
        <v>112013525</v>
      </c>
      <c r="AJ23" s="799">
        <f t="shared" si="6"/>
        <v>63</v>
      </c>
      <c r="AL23" s="323" t="s">
        <v>1205</v>
      </c>
      <c r="AM23" s="325">
        <v>4</v>
      </c>
      <c r="AN23" s="325">
        <v>112012473</v>
      </c>
      <c r="AO23" s="1394" t="e">
        <f t="shared" si="7"/>
        <v>#N/A</v>
      </c>
      <c r="AQ23" s="1395" t="s">
        <v>1050</v>
      </c>
      <c r="AR23" s="325">
        <v>22</v>
      </c>
      <c r="AS23" s="325">
        <v>112013842</v>
      </c>
      <c r="AT23" s="1396">
        <f t="shared" si="8"/>
        <v>1</v>
      </c>
      <c r="AU23" s="302"/>
      <c r="AV23" s="302"/>
      <c r="AW23" s="664" t="s">
        <v>1427</v>
      </c>
      <c r="AX23" s="325">
        <v>22</v>
      </c>
      <c r="AY23" s="325">
        <v>112013194</v>
      </c>
      <c r="AZ23" s="1392">
        <f t="shared" si="9"/>
        <v>22</v>
      </c>
      <c r="BA23" s="302"/>
      <c r="BB23" s="664" t="s">
        <v>1061</v>
      </c>
      <c r="BC23" s="325">
        <v>20</v>
      </c>
      <c r="BD23" s="325">
        <v>112013891</v>
      </c>
      <c r="BE23" s="1392" t="str">
        <f t="shared" si="10"/>
        <v>CHOMICKI CHRISTIAN DANIEL</v>
      </c>
      <c r="BF23" s="618"/>
      <c r="BG23" s="553"/>
      <c r="BH23" s="294"/>
      <c r="BI23" s="618"/>
      <c r="BJ23" s="618"/>
      <c r="BK23" s="618"/>
      <c r="BL23" s="553"/>
      <c r="BM23" s="618"/>
      <c r="BN23" s="618"/>
      <c r="BO23" s="618"/>
    </row>
    <row r="24" spans="1:67" ht="13" hidden="1">
      <c r="A24" s="664" t="s">
        <v>686</v>
      </c>
      <c r="B24" s="325">
        <v>38</v>
      </c>
      <c r="C24" s="325">
        <v>112013225</v>
      </c>
      <c r="D24" s="1392">
        <f t="shared" si="0"/>
        <v>52</v>
      </c>
      <c r="G24" s="323" t="s">
        <v>218</v>
      </c>
      <c r="H24" s="325"/>
      <c r="I24" s="325">
        <v>112013085</v>
      </c>
      <c r="J24" s="1393">
        <f t="shared" si="1"/>
        <v>0</v>
      </c>
      <c r="M24" s="664" t="s">
        <v>551</v>
      </c>
      <c r="N24" s="324">
        <v>8</v>
      </c>
      <c r="O24" s="325">
        <v>112013215</v>
      </c>
      <c r="P24" s="1392">
        <f t="shared" si="2"/>
        <v>70</v>
      </c>
      <c r="R24" s="664" t="s">
        <v>297</v>
      </c>
      <c r="S24" s="324">
        <v>4</v>
      </c>
      <c r="T24" s="325">
        <v>112014262</v>
      </c>
      <c r="U24" s="1392">
        <f t="shared" si="3"/>
        <v>70</v>
      </c>
      <c r="W24" s="664" t="s">
        <v>407</v>
      </c>
      <c r="X24" s="324">
        <v>7</v>
      </c>
      <c r="Y24" s="325">
        <v>112014473</v>
      </c>
      <c r="Z24" s="1392">
        <f t="shared" si="4"/>
        <v>62</v>
      </c>
      <c r="AB24" s="664" t="s">
        <v>852</v>
      </c>
      <c r="AC24" s="325">
        <v>7</v>
      </c>
      <c r="AD24" s="325">
        <v>112014048</v>
      </c>
      <c r="AE24" s="1398">
        <f t="shared" si="5"/>
        <v>7</v>
      </c>
      <c r="AF24" s="302"/>
      <c r="AG24" s="325" t="s">
        <v>1346</v>
      </c>
      <c r="AH24" s="325">
        <v>20</v>
      </c>
      <c r="AI24" s="325">
        <v>112012918</v>
      </c>
      <c r="AJ24" s="799">
        <f t="shared" si="6"/>
        <v>71</v>
      </c>
      <c r="AL24" s="323" t="s">
        <v>1145</v>
      </c>
      <c r="AM24" s="325">
        <v>4</v>
      </c>
      <c r="AN24" s="325">
        <v>112012504</v>
      </c>
      <c r="AO24" s="1399">
        <f t="shared" si="7"/>
        <v>4</v>
      </c>
      <c r="AQ24" s="1395" t="s">
        <v>1029</v>
      </c>
      <c r="AR24" s="325">
        <v>22</v>
      </c>
      <c r="AS24" s="325">
        <v>112013460</v>
      </c>
      <c r="AT24" s="1396">
        <f t="shared" si="8"/>
        <v>22</v>
      </c>
      <c r="AU24" s="302"/>
      <c r="AV24" s="302"/>
      <c r="AW24" s="664" t="s">
        <v>1475</v>
      </c>
      <c r="AX24" s="325">
        <v>1</v>
      </c>
      <c r="AY24" s="325">
        <v>112013917</v>
      </c>
      <c r="AZ24" s="1392">
        <f t="shared" si="9"/>
        <v>1</v>
      </c>
      <c r="BA24" s="302"/>
      <c r="BB24" s="664" t="s">
        <v>1378</v>
      </c>
      <c r="BC24" s="325"/>
      <c r="BD24" s="325">
        <v>112013493</v>
      </c>
      <c r="BE24" s="1392" t="str">
        <f t="shared" si="10"/>
        <v>CONEXPOR SOCIEDAD ANONIMA S. A.</v>
      </c>
      <c r="BF24" s="618"/>
      <c r="BG24" s="553"/>
      <c r="BH24" s="294"/>
      <c r="BI24" s="618"/>
      <c r="BJ24" s="618"/>
      <c r="BK24" s="618"/>
      <c r="BL24" s="553"/>
      <c r="BM24" s="618"/>
      <c r="BN24" s="618"/>
      <c r="BO24" s="618"/>
    </row>
    <row r="25" spans="1:67" ht="13" hidden="1">
      <c r="A25" s="664" t="s">
        <v>718</v>
      </c>
      <c r="B25" s="325">
        <v>31</v>
      </c>
      <c r="C25" s="325">
        <v>112014633</v>
      </c>
      <c r="D25" s="1392">
        <f t="shared" si="0"/>
        <v>69</v>
      </c>
      <c r="G25" s="323" t="s">
        <v>117</v>
      </c>
      <c r="H25" s="325">
        <v>7</v>
      </c>
      <c r="I25" s="325">
        <v>112012099</v>
      </c>
      <c r="J25" s="1393">
        <f t="shared" si="1"/>
        <v>70</v>
      </c>
      <c r="M25" s="664" t="s">
        <v>517</v>
      </c>
      <c r="N25" s="324">
        <v>8</v>
      </c>
      <c r="O25" s="325">
        <v>112014211</v>
      </c>
      <c r="P25" s="1392">
        <f t="shared" si="2"/>
        <v>62</v>
      </c>
      <c r="R25" s="664" t="s">
        <v>298</v>
      </c>
      <c r="S25" s="324">
        <v>4</v>
      </c>
      <c r="T25" s="325">
        <v>112014297</v>
      </c>
      <c r="U25" s="1392">
        <f t="shared" si="3"/>
        <v>70</v>
      </c>
      <c r="W25" s="664" t="s">
        <v>425</v>
      </c>
      <c r="X25" s="324">
        <v>22</v>
      </c>
      <c r="Y25" s="325">
        <v>112012259</v>
      </c>
      <c r="Z25" s="1392">
        <f t="shared" si="4"/>
        <v>63</v>
      </c>
      <c r="AB25" s="664" t="s">
        <v>935</v>
      </c>
      <c r="AC25" s="325">
        <v>7</v>
      </c>
      <c r="AD25" s="325">
        <v>112011654</v>
      </c>
      <c r="AE25" s="1392" t="e">
        <f t="shared" si="5"/>
        <v>#N/A</v>
      </c>
      <c r="AF25" s="302"/>
      <c r="AG25" s="325" t="s">
        <v>1329</v>
      </c>
      <c r="AH25" s="325">
        <v>10</v>
      </c>
      <c r="AI25" s="325">
        <v>112013754</v>
      </c>
      <c r="AJ25" s="799">
        <f t="shared" si="6"/>
        <v>69</v>
      </c>
      <c r="AL25" s="323" t="s">
        <v>1192</v>
      </c>
      <c r="AM25" s="325">
        <v>1</v>
      </c>
      <c r="AN25" s="325">
        <v>112014696</v>
      </c>
      <c r="AO25" s="1394" t="e">
        <f t="shared" si="7"/>
        <v>#N/A</v>
      </c>
      <c r="AQ25" s="1395" t="s">
        <v>1077</v>
      </c>
      <c r="AR25" s="325">
        <v>1</v>
      </c>
      <c r="AS25" s="325">
        <v>112012463</v>
      </c>
      <c r="AT25" s="1396">
        <f t="shared" si="8"/>
        <v>1</v>
      </c>
      <c r="AU25" s="302"/>
      <c r="AV25" s="302"/>
      <c r="AW25" s="664" t="s">
        <v>1434</v>
      </c>
      <c r="AX25" s="325">
        <v>22</v>
      </c>
      <c r="AY25" s="325">
        <v>112014288</v>
      </c>
      <c r="AZ25" s="1392">
        <f t="shared" si="9"/>
        <v>22</v>
      </c>
      <c r="BA25" s="302"/>
      <c r="BB25" s="664" t="s">
        <v>1475</v>
      </c>
      <c r="BC25" s="325">
        <v>1</v>
      </c>
      <c r="BD25" s="325">
        <v>112014647</v>
      </c>
      <c r="BE25" s="1392" t="str">
        <f t="shared" si="10"/>
        <v>CONSEJO NACIONAL DE INVESTIGACIONES CIENTIFICAS Y TECNICAS CONICET</v>
      </c>
      <c r="BF25" s="618"/>
      <c r="BG25" s="553"/>
      <c r="BH25" s="294"/>
      <c r="BI25" s="618"/>
      <c r="BJ25" s="618"/>
      <c r="BK25" s="618"/>
      <c r="BL25" s="553"/>
      <c r="BM25" s="618"/>
      <c r="BN25" s="618"/>
      <c r="BO25" s="618"/>
    </row>
    <row r="26" spans="1:67" ht="13" hidden="1">
      <c r="A26" s="664" t="s">
        <v>773</v>
      </c>
      <c r="B26" s="325">
        <v>1</v>
      </c>
      <c r="C26" s="325">
        <v>112012086</v>
      </c>
      <c r="D26" s="1392">
        <f t="shared" si="0"/>
        <v>71</v>
      </c>
      <c r="G26" s="323" t="s">
        <v>143</v>
      </c>
      <c r="H26" s="325">
        <v>4</v>
      </c>
      <c r="I26" s="325">
        <v>112012199</v>
      </c>
      <c r="J26" s="1393">
        <f t="shared" si="1"/>
        <v>70</v>
      </c>
      <c r="M26" s="664" t="s">
        <v>558</v>
      </c>
      <c r="N26" s="324">
        <v>31</v>
      </c>
      <c r="O26" s="325">
        <v>112013338</v>
      </c>
      <c r="P26" s="1392">
        <f t="shared" si="2"/>
        <v>69</v>
      </c>
      <c r="R26" s="664" t="s">
        <v>316</v>
      </c>
      <c r="S26" s="324">
        <v>1</v>
      </c>
      <c r="T26" s="325">
        <v>112013256</v>
      </c>
      <c r="U26" s="1392">
        <f t="shared" si="3"/>
        <v>71</v>
      </c>
      <c r="W26" s="664" t="s">
        <v>476</v>
      </c>
      <c r="X26" s="324">
        <v>1</v>
      </c>
      <c r="Y26" s="325">
        <v>112014238</v>
      </c>
      <c r="Z26" s="1392">
        <f t="shared" si="4"/>
        <v>71</v>
      </c>
      <c r="AB26" s="664" t="s">
        <v>886</v>
      </c>
      <c r="AC26" s="325">
        <v>20</v>
      </c>
      <c r="AD26" s="325">
        <v>112012803</v>
      </c>
      <c r="AE26" s="1398">
        <f t="shared" si="5"/>
        <v>1</v>
      </c>
      <c r="AF26" s="302"/>
      <c r="AG26" s="325" t="s">
        <v>1347</v>
      </c>
      <c r="AH26" s="325">
        <v>20</v>
      </c>
      <c r="AI26" s="325">
        <v>112011806</v>
      </c>
      <c r="AJ26" s="799">
        <f t="shared" si="6"/>
        <v>71</v>
      </c>
      <c r="AL26" s="323" t="s">
        <v>899</v>
      </c>
      <c r="AM26" s="325">
        <v>7</v>
      </c>
      <c r="AN26" s="325">
        <v>112013498</v>
      </c>
      <c r="AO26" s="1399">
        <f t="shared" si="7"/>
        <v>4</v>
      </c>
      <c r="AQ26" s="1395" t="s">
        <v>1061</v>
      </c>
      <c r="AR26" s="325">
        <v>20</v>
      </c>
      <c r="AS26" s="325">
        <v>112013809</v>
      </c>
      <c r="AT26" s="1396">
        <f t="shared" si="8"/>
        <v>1</v>
      </c>
      <c r="AU26" s="302"/>
      <c r="AV26" s="302"/>
      <c r="AW26" s="664" t="s">
        <v>1428</v>
      </c>
      <c r="AX26" s="325">
        <v>22</v>
      </c>
      <c r="AY26" s="325">
        <v>112013212</v>
      </c>
      <c r="AZ26" s="1392">
        <f t="shared" si="9"/>
        <v>22</v>
      </c>
      <c r="BA26" s="302"/>
      <c r="BB26" s="664" t="s">
        <v>1286</v>
      </c>
      <c r="BC26" s="325">
        <v>12</v>
      </c>
      <c r="BD26" s="325">
        <v>112013525</v>
      </c>
      <c r="BE26" s="1392" t="str">
        <f t="shared" si="10"/>
        <v>COOPERATIVA AGROPECUARIA E INDUSTRIAL DE RAUCH LIMITADA</v>
      </c>
      <c r="BF26" s="618"/>
      <c r="BG26" s="553"/>
      <c r="BH26" s="294"/>
      <c r="BI26" s="618"/>
      <c r="BJ26" s="618"/>
      <c r="BK26" s="618"/>
      <c r="BL26" s="553"/>
      <c r="BM26" s="618"/>
      <c r="BN26" s="618"/>
      <c r="BO26" s="618"/>
    </row>
    <row r="27" spans="1:67" ht="13" hidden="1">
      <c r="A27" s="664" t="s">
        <v>722</v>
      </c>
      <c r="B27" s="325">
        <v>8</v>
      </c>
      <c r="C27" s="325">
        <v>112012912</v>
      </c>
      <c r="D27" s="1392">
        <f t="shared" si="0"/>
        <v>70</v>
      </c>
      <c r="G27" s="323" t="s">
        <v>129</v>
      </c>
      <c r="H27" s="325">
        <v>18</v>
      </c>
      <c r="I27" s="325">
        <v>112012963</v>
      </c>
      <c r="J27" s="1393">
        <f t="shared" si="1"/>
        <v>69</v>
      </c>
      <c r="M27" s="664" t="s">
        <v>649</v>
      </c>
      <c r="N27" s="324">
        <v>1</v>
      </c>
      <c r="O27" s="325">
        <v>112014031</v>
      </c>
      <c r="P27" s="1392">
        <f t="shared" si="2"/>
        <v>71</v>
      </c>
      <c r="R27" s="664" t="s">
        <v>317</v>
      </c>
      <c r="S27" s="324">
        <v>1</v>
      </c>
      <c r="T27" s="325">
        <v>112010937</v>
      </c>
      <c r="U27" s="1392">
        <f t="shared" si="3"/>
        <v>71</v>
      </c>
      <c r="W27" s="664" t="s">
        <v>376</v>
      </c>
      <c r="X27" s="324">
        <v>38</v>
      </c>
      <c r="Y27" s="325">
        <v>112013553</v>
      </c>
      <c r="Z27" s="1392">
        <f t="shared" si="4"/>
        <v>52</v>
      </c>
      <c r="AB27" s="664" t="s">
        <v>955</v>
      </c>
      <c r="AC27" s="325">
        <v>4</v>
      </c>
      <c r="AD27" s="325">
        <v>112011492</v>
      </c>
      <c r="AE27" s="1392" t="e">
        <f t="shared" si="5"/>
        <v>#N/A</v>
      </c>
      <c r="AF27" s="302"/>
      <c r="AG27" s="325" t="s">
        <v>1357</v>
      </c>
      <c r="AH27" s="325">
        <v>1</v>
      </c>
      <c r="AI27" s="325">
        <v>112012775</v>
      </c>
      <c r="AJ27" s="799">
        <f t="shared" si="6"/>
        <v>71</v>
      </c>
      <c r="AL27" s="323" t="s">
        <v>1222</v>
      </c>
      <c r="AM27" s="325">
        <v>22</v>
      </c>
      <c r="AN27" s="325">
        <v>112013151</v>
      </c>
      <c r="AO27" s="1394" t="e">
        <f t="shared" si="7"/>
        <v>#N/A</v>
      </c>
      <c r="AQ27" s="1395" t="s">
        <v>1111</v>
      </c>
      <c r="AR27" s="325">
        <v>22</v>
      </c>
      <c r="AS27" s="325">
        <v>112011976</v>
      </c>
      <c r="AT27" s="1397" t="e">
        <f t="shared" si="8"/>
        <v>#N/A</v>
      </c>
      <c r="AU27" s="302"/>
      <c r="AV27" s="302"/>
      <c r="AW27" s="664" t="s">
        <v>1507</v>
      </c>
      <c r="AX27" s="325">
        <v>22</v>
      </c>
      <c r="AY27" s="325">
        <v>112014589</v>
      </c>
      <c r="AZ27" s="1392">
        <f t="shared" si="9"/>
        <v>22</v>
      </c>
      <c r="BA27" s="302"/>
      <c r="BB27" s="664" t="s">
        <v>1434</v>
      </c>
      <c r="BC27" s="325">
        <v>22</v>
      </c>
      <c r="BD27" s="325">
        <v>112013706</v>
      </c>
      <c r="BE27" s="1392" t="str">
        <f t="shared" si="10"/>
        <v>CORTI GONZALO IVAN</v>
      </c>
      <c r="BF27" s="618"/>
      <c r="BG27" s="553"/>
      <c r="BH27" s="294"/>
      <c r="BI27" s="618"/>
      <c r="BJ27" s="618"/>
      <c r="BK27" s="618"/>
      <c r="BL27" s="553"/>
      <c r="BM27" s="618"/>
      <c r="BN27" s="618"/>
      <c r="BO27" s="618"/>
    </row>
    <row r="28" spans="1:67" ht="13" hidden="1">
      <c r="A28" s="664" t="s">
        <v>774</v>
      </c>
      <c r="B28" s="325">
        <v>1</v>
      </c>
      <c r="C28" s="325">
        <v>112013227</v>
      </c>
      <c r="D28" s="1392">
        <f t="shared" si="0"/>
        <v>71</v>
      </c>
      <c r="G28" s="323" t="s">
        <v>219</v>
      </c>
      <c r="H28" s="325"/>
      <c r="I28" s="325">
        <v>112013761</v>
      </c>
      <c r="J28" s="1393">
        <f t="shared" si="1"/>
        <v>0</v>
      </c>
      <c r="M28" s="664" t="s">
        <v>575</v>
      </c>
      <c r="N28" s="324">
        <v>7</v>
      </c>
      <c r="O28" s="325">
        <v>112014711</v>
      </c>
      <c r="P28" s="1392">
        <f t="shared" si="2"/>
        <v>70</v>
      </c>
      <c r="R28" s="664" t="s">
        <v>318</v>
      </c>
      <c r="S28" s="324">
        <v>1</v>
      </c>
      <c r="T28" s="325">
        <v>112012218</v>
      </c>
      <c r="U28" s="1392">
        <f t="shared" si="3"/>
        <v>71</v>
      </c>
      <c r="W28" s="664" t="s">
        <v>378</v>
      </c>
      <c r="X28" s="324">
        <v>10</v>
      </c>
      <c r="Y28" s="325">
        <v>112013045</v>
      </c>
      <c r="Z28" s="1392">
        <f t="shared" si="4"/>
        <v>53</v>
      </c>
      <c r="AB28" s="664" t="s">
        <v>961</v>
      </c>
      <c r="AC28" s="325">
        <v>4</v>
      </c>
      <c r="AD28" s="325">
        <v>112013049</v>
      </c>
      <c r="AE28" s="1392" t="e">
        <f t="shared" si="5"/>
        <v>#N/A</v>
      </c>
      <c r="AF28" s="302"/>
      <c r="AG28" s="325" t="s">
        <v>1292</v>
      </c>
      <c r="AH28" s="325">
        <v>22</v>
      </c>
      <c r="AI28" s="325">
        <v>112013988</v>
      </c>
      <c r="AJ28" s="799">
        <f t="shared" si="6"/>
        <v>63</v>
      </c>
      <c r="AL28" s="323" t="s">
        <v>875</v>
      </c>
      <c r="AM28" s="325">
        <v>18</v>
      </c>
      <c r="AN28" s="325">
        <v>112012617</v>
      </c>
      <c r="AO28" s="1394" t="e">
        <f t="shared" si="7"/>
        <v>#N/A</v>
      </c>
      <c r="AQ28" s="1395" t="s">
        <v>1088</v>
      </c>
      <c r="AR28" s="325">
        <v>1</v>
      </c>
      <c r="AS28" s="325">
        <v>112014402</v>
      </c>
      <c r="AT28" s="1396">
        <f t="shared" si="8"/>
        <v>1</v>
      </c>
      <c r="AU28" s="302"/>
      <c r="AV28" s="302"/>
      <c r="AW28" s="664" t="s">
        <v>1417</v>
      </c>
      <c r="AX28" s="325">
        <v>7</v>
      </c>
      <c r="AY28" s="325">
        <v>112013950</v>
      </c>
      <c r="AZ28" s="1392">
        <f t="shared" si="9"/>
        <v>7</v>
      </c>
      <c r="BA28" s="302"/>
      <c r="BB28" s="664" t="s">
        <v>886</v>
      </c>
      <c r="BC28" s="325">
        <v>20</v>
      </c>
      <c r="BD28" s="325">
        <v>112013460</v>
      </c>
      <c r="BE28" s="1392" t="str">
        <f t="shared" si="10"/>
        <v>CORVALAN ARIEL PEDRO</v>
      </c>
      <c r="BF28" s="618"/>
      <c r="BG28" s="553"/>
      <c r="BH28" s="294"/>
      <c r="BI28" s="618"/>
      <c r="BJ28" s="618"/>
      <c r="BK28" s="618"/>
      <c r="BL28" s="553"/>
      <c r="BM28" s="618"/>
      <c r="BN28" s="618"/>
      <c r="BO28" s="618"/>
    </row>
    <row r="29" spans="1:67" ht="13" hidden="1">
      <c r="A29" s="664" t="s">
        <v>742</v>
      </c>
      <c r="B29" s="325">
        <v>20</v>
      </c>
      <c r="C29" s="325">
        <v>112010927</v>
      </c>
      <c r="D29" s="1392">
        <f t="shared" si="0"/>
        <v>71</v>
      </c>
      <c r="G29" s="323" t="s">
        <v>130</v>
      </c>
      <c r="H29" s="325">
        <v>18</v>
      </c>
      <c r="I29" s="325">
        <v>112014569</v>
      </c>
      <c r="J29" s="1393">
        <f t="shared" si="1"/>
        <v>69</v>
      </c>
      <c r="M29" s="664" t="s">
        <v>627</v>
      </c>
      <c r="N29" s="324">
        <v>4</v>
      </c>
      <c r="O29" s="325">
        <v>112014206</v>
      </c>
      <c r="P29" s="1392">
        <f t="shared" si="2"/>
        <v>70</v>
      </c>
      <c r="R29" s="664" t="s">
        <v>264</v>
      </c>
      <c r="S29" s="324">
        <v>12</v>
      </c>
      <c r="T29" s="325">
        <v>112012511</v>
      </c>
      <c r="U29" s="1392">
        <f t="shared" si="3"/>
        <v>55</v>
      </c>
      <c r="W29" s="664" t="s">
        <v>473</v>
      </c>
      <c r="X29" s="324">
        <v>1</v>
      </c>
      <c r="Y29" s="325">
        <v>112013135</v>
      </c>
      <c r="Z29" s="1392">
        <f t="shared" si="4"/>
        <v>71</v>
      </c>
      <c r="AB29" s="664" t="s">
        <v>910</v>
      </c>
      <c r="AC29" s="325">
        <v>1</v>
      </c>
      <c r="AD29" s="325">
        <v>112014161</v>
      </c>
      <c r="AE29" s="1392" t="e">
        <f t="shared" si="5"/>
        <v>#N/A</v>
      </c>
      <c r="AF29" s="302"/>
      <c r="AG29" s="325" t="s">
        <v>1358</v>
      </c>
      <c r="AH29" s="325">
        <v>1</v>
      </c>
      <c r="AI29" s="325">
        <v>112011920</v>
      </c>
      <c r="AJ29" s="799">
        <f t="shared" si="6"/>
        <v>71</v>
      </c>
      <c r="AL29" s="323" t="s">
        <v>1234</v>
      </c>
      <c r="AM29" s="325">
        <v>4</v>
      </c>
      <c r="AN29" s="325">
        <v>112013070</v>
      </c>
      <c r="AO29" s="1394" t="e">
        <f t="shared" si="7"/>
        <v>#N/A</v>
      </c>
      <c r="AQ29" s="1395" t="s">
        <v>995</v>
      </c>
      <c r="AR29" s="325">
        <v>11</v>
      </c>
      <c r="AS29" s="325">
        <v>112010077</v>
      </c>
      <c r="AT29" s="1396">
        <f t="shared" si="8"/>
        <v>11</v>
      </c>
      <c r="AU29" s="302"/>
      <c r="AV29" s="302"/>
      <c r="AW29" s="664" t="s">
        <v>1435</v>
      </c>
      <c r="AX29" s="325">
        <v>22</v>
      </c>
      <c r="AY29" s="325">
        <v>112014555</v>
      </c>
      <c r="AZ29" s="1392">
        <f t="shared" si="9"/>
        <v>22</v>
      </c>
      <c r="BA29" s="302"/>
      <c r="BB29" s="664" t="s">
        <v>1312</v>
      </c>
      <c r="BC29" s="325">
        <v>22</v>
      </c>
      <c r="BD29" s="325">
        <v>112014189</v>
      </c>
      <c r="BE29" s="1392" t="str">
        <f t="shared" si="10"/>
        <v>COUYOUPETROU NESTOR MAXIMILIANO</v>
      </c>
      <c r="BF29" s="618"/>
      <c r="BG29" s="553"/>
      <c r="BH29" s="294"/>
      <c r="BI29" s="618"/>
      <c r="BJ29" s="618"/>
      <c r="BK29" s="618"/>
      <c r="BL29" s="553"/>
      <c r="BM29" s="618"/>
      <c r="BN29" s="618"/>
      <c r="BO29" s="618"/>
    </row>
    <row r="30" spans="1:67" ht="13" hidden="1">
      <c r="A30" s="664" t="s">
        <v>775</v>
      </c>
      <c r="B30" s="325">
        <v>1</v>
      </c>
      <c r="C30" s="325">
        <v>112013322</v>
      </c>
      <c r="D30" s="1392">
        <f t="shared" si="0"/>
        <v>71</v>
      </c>
      <c r="G30" s="323" t="s">
        <v>144</v>
      </c>
      <c r="H30" s="325">
        <v>4</v>
      </c>
      <c r="I30" s="325">
        <v>112012974</v>
      </c>
      <c r="J30" s="1393" t="e">
        <f t="shared" si="1"/>
        <v>#N/A</v>
      </c>
      <c r="M30" s="664" t="s">
        <v>629</v>
      </c>
      <c r="N30" s="324">
        <v>4</v>
      </c>
      <c r="O30" s="325">
        <v>112013228</v>
      </c>
      <c r="P30" s="1392">
        <f t="shared" si="2"/>
        <v>70</v>
      </c>
      <c r="R30" s="664" t="s">
        <v>319</v>
      </c>
      <c r="S30" s="324">
        <v>1</v>
      </c>
      <c r="T30" s="325">
        <v>112011931</v>
      </c>
      <c r="U30" s="1392">
        <f t="shared" si="3"/>
        <v>71</v>
      </c>
      <c r="W30" s="664" t="s">
        <v>387</v>
      </c>
      <c r="X30" s="324">
        <v>12</v>
      </c>
      <c r="Y30" s="325">
        <v>112013179</v>
      </c>
      <c r="Z30" s="1392">
        <f t="shared" si="4"/>
        <v>55</v>
      </c>
      <c r="AB30" s="664" t="s">
        <v>890</v>
      </c>
      <c r="AC30" s="325">
        <v>4</v>
      </c>
      <c r="AD30" s="325">
        <v>112013646</v>
      </c>
      <c r="AE30" s="1398">
        <f t="shared" si="5"/>
        <v>1</v>
      </c>
      <c r="AF30" s="302"/>
      <c r="AG30" s="325" t="s">
        <v>1386</v>
      </c>
      <c r="AH30" s="325"/>
      <c r="AI30" s="325">
        <v>112013667</v>
      </c>
      <c r="AJ30" s="799" t="e">
        <f t="shared" si="6"/>
        <v>#N/A</v>
      </c>
      <c r="AL30" s="323" t="s">
        <v>1218</v>
      </c>
      <c r="AM30" s="325">
        <v>7</v>
      </c>
      <c r="AN30" s="325">
        <v>112012435</v>
      </c>
      <c r="AO30" s="1394" t="e">
        <f t="shared" si="7"/>
        <v>#N/A</v>
      </c>
      <c r="AQ30" s="1395" t="s">
        <v>860</v>
      </c>
      <c r="AR30" s="325">
        <v>22</v>
      </c>
      <c r="AS30" s="325">
        <v>112012374</v>
      </c>
      <c r="AT30" s="1397" t="e">
        <f t="shared" si="8"/>
        <v>#N/A</v>
      </c>
      <c r="AU30" s="302"/>
      <c r="AV30" s="302"/>
      <c r="AW30" s="664" t="s">
        <v>1429</v>
      </c>
      <c r="AX30" s="325">
        <v>22</v>
      </c>
      <c r="AY30" s="325">
        <v>112014574</v>
      </c>
      <c r="AZ30" s="1392">
        <f t="shared" si="9"/>
        <v>22</v>
      </c>
      <c r="BA30" s="302"/>
      <c r="BB30" s="664" t="s">
        <v>1313</v>
      </c>
      <c r="BC30" s="325">
        <v>7</v>
      </c>
      <c r="BD30" s="325">
        <v>112013809</v>
      </c>
      <c r="BE30" s="1392" t="str">
        <f t="shared" si="10"/>
        <v>CRESPI ANDREA/SALGADO WALTER</v>
      </c>
      <c r="BF30" s="618"/>
      <c r="BG30" s="553"/>
      <c r="BH30" s="294"/>
      <c r="BI30" s="618"/>
      <c r="BJ30" s="618"/>
      <c r="BK30" s="618"/>
      <c r="BL30" s="553"/>
      <c r="BM30" s="618"/>
      <c r="BN30" s="618"/>
      <c r="BO30" s="618"/>
    </row>
    <row r="31" spans="1:67" ht="13" hidden="1">
      <c r="A31" s="664" t="s">
        <v>748</v>
      </c>
      <c r="B31" s="325">
        <v>4</v>
      </c>
      <c r="C31" s="325">
        <v>112013320</v>
      </c>
      <c r="D31" s="1392">
        <f t="shared" si="0"/>
        <v>70</v>
      </c>
      <c r="G31" s="323" t="s">
        <v>145</v>
      </c>
      <c r="H31" s="325">
        <v>4</v>
      </c>
      <c r="I31" s="325">
        <v>112014610</v>
      </c>
      <c r="J31" s="1393">
        <f t="shared" si="1"/>
        <v>70</v>
      </c>
      <c r="M31" s="664" t="s">
        <v>526</v>
      </c>
      <c r="N31" s="324">
        <v>7</v>
      </c>
      <c r="O31" s="325">
        <v>112014707</v>
      </c>
      <c r="P31" s="1392">
        <f t="shared" si="2"/>
        <v>62</v>
      </c>
      <c r="R31" s="664" t="s">
        <v>320</v>
      </c>
      <c r="S31" s="324">
        <v>1</v>
      </c>
      <c r="T31" s="325">
        <v>112012657</v>
      </c>
      <c r="U31" s="1392">
        <f t="shared" si="3"/>
        <v>71</v>
      </c>
      <c r="W31" s="664" t="s">
        <v>394</v>
      </c>
      <c r="X31" s="324">
        <v>31</v>
      </c>
      <c r="Y31" s="325">
        <v>112013032</v>
      </c>
      <c r="Z31" s="1392">
        <f t="shared" si="4"/>
        <v>61</v>
      </c>
      <c r="AB31" s="664" t="s">
        <v>966</v>
      </c>
      <c r="AC31" s="325">
        <v>1</v>
      </c>
      <c r="AD31" s="325">
        <v>112014147</v>
      </c>
      <c r="AE31" s="1392" t="e">
        <f t="shared" si="5"/>
        <v>#N/A</v>
      </c>
      <c r="AF31" s="302"/>
      <c r="AG31" s="325" t="s">
        <v>1348</v>
      </c>
      <c r="AH31" s="325">
        <v>20</v>
      </c>
      <c r="AI31" s="325">
        <v>112011267</v>
      </c>
      <c r="AJ31" s="799">
        <f t="shared" si="6"/>
        <v>71</v>
      </c>
      <c r="AL31" s="323" t="s">
        <v>1229</v>
      </c>
      <c r="AM31" s="325">
        <v>20</v>
      </c>
      <c r="AN31" s="325">
        <v>112014463</v>
      </c>
      <c r="AO31" s="1394" t="e">
        <f t="shared" si="7"/>
        <v>#N/A</v>
      </c>
      <c r="AQ31" s="1395" t="s">
        <v>1028</v>
      </c>
      <c r="AR31" s="325">
        <v>22</v>
      </c>
      <c r="AS31" s="325">
        <v>112013464</v>
      </c>
      <c r="AT31" s="1396">
        <f t="shared" si="8"/>
        <v>22</v>
      </c>
      <c r="AU31" s="302"/>
      <c r="AV31" s="302"/>
      <c r="AW31" s="664" t="s">
        <v>1436</v>
      </c>
      <c r="AX31" s="325">
        <v>22</v>
      </c>
      <c r="AY31" s="325">
        <v>112012334</v>
      </c>
      <c r="AZ31" s="1392">
        <f t="shared" si="9"/>
        <v>22</v>
      </c>
      <c r="BA31" s="302"/>
      <c r="BB31" s="664" t="s">
        <v>1028</v>
      </c>
      <c r="BC31" s="325">
        <v>22</v>
      </c>
      <c r="BD31" s="325">
        <v>112014679</v>
      </c>
      <c r="BE31" s="1392" t="str">
        <f t="shared" si="10"/>
        <v>CROVETTO ALBERTO JULIO</v>
      </c>
      <c r="BF31" s="618"/>
      <c r="BG31" s="553"/>
      <c r="BH31" s="294"/>
      <c r="BI31" s="618"/>
      <c r="BJ31" s="618"/>
      <c r="BK31" s="618"/>
      <c r="BL31" s="553"/>
      <c r="BM31" s="618"/>
      <c r="BN31" s="618"/>
      <c r="BO31" s="618"/>
    </row>
    <row r="32" spans="1:67" ht="13" hidden="1">
      <c r="A32" s="664" t="s">
        <v>700</v>
      </c>
      <c r="B32" s="325">
        <v>7</v>
      </c>
      <c r="C32" s="325">
        <v>112013206</v>
      </c>
      <c r="D32" s="1392">
        <f t="shared" si="0"/>
        <v>62</v>
      </c>
      <c r="G32" s="323" t="s">
        <v>177</v>
      </c>
      <c r="H32" s="325">
        <v>1</v>
      </c>
      <c r="I32" s="325">
        <v>112013886</v>
      </c>
      <c r="J32" s="1393">
        <f t="shared" si="1"/>
        <v>71</v>
      </c>
      <c r="M32" s="664" t="s">
        <v>574</v>
      </c>
      <c r="N32" s="324">
        <v>7</v>
      </c>
      <c r="O32" s="325">
        <v>112014468</v>
      </c>
      <c r="P32" s="1392">
        <f t="shared" si="2"/>
        <v>70</v>
      </c>
      <c r="R32" s="664" t="s">
        <v>299</v>
      </c>
      <c r="S32" s="324">
        <v>4</v>
      </c>
      <c r="T32" s="325">
        <v>112012245</v>
      </c>
      <c r="U32" s="1392">
        <f t="shared" si="3"/>
        <v>70</v>
      </c>
      <c r="W32" s="664" t="s">
        <v>496</v>
      </c>
      <c r="X32" s="324">
        <v>22</v>
      </c>
      <c r="Y32" s="325">
        <v>112012211</v>
      </c>
      <c r="Z32" s="1392" t="e">
        <f t="shared" si="4"/>
        <v>#N/A</v>
      </c>
      <c r="AB32" s="664" t="s">
        <v>882</v>
      </c>
      <c r="AC32" s="325">
        <v>22</v>
      </c>
      <c r="AD32" s="325">
        <v>112013064</v>
      </c>
      <c r="AE32" s="1398">
        <f t="shared" si="5"/>
        <v>1</v>
      </c>
      <c r="AF32" s="302"/>
      <c r="AG32" s="325" t="s">
        <v>1293</v>
      </c>
      <c r="AH32" s="325">
        <v>22</v>
      </c>
      <c r="AI32" s="325">
        <v>112014521</v>
      </c>
      <c r="AJ32" s="799">
        <f t="shared" si="6"/>
        <v>63</v>
      </c>
      <c r="AL32" s="323" t="s">
        <v>1235</v>
      </c>
      <c r="AM32" s="325">
        <v>4</v>
      </c>
      <c r="AN32" s="325">
        <v>112012289</v>
      </c>
      <c r="AO32" s="1394" t="e">
        <f t="shared" si="7"/>
        <v>#N/A</v>
      </c>
      <c r="AQ32" s="1395" t="s">
        <v>1006</v>
      </c>
      <c r="AR32" s="325">
        <v>7</v>
      </c>
      <c r="AS32" s="325">
        <v>112013709</v>
      </c>
      <c r="AT32" s="1397" t="e">
        <f t="shared" si="8"/>
        <v>#N/A</v>
      </c>
      <c r="AU32" s="302"/>
      <c r="AV32" s="302"/>
      <c r="AW32" s="664" t="s">
        <v>1437</v>
      </c>
      <c r="AX32" s="325">
        <v>22</v>
      </c>
      <c r="AY32" s="325">
        <v>112013682</v>
      </c>
      <c r="AZ32" s="1392">
        <f t="shared" si="9"/>
        <v>22</v>
      </c>
      <c r="BA32" s="302"/>
      <c r="BB32" s="664" t="s">
        <v>1435</v>
      </c>
      <c r="BC32" s="325">
        <v>22</v>
      </c>
      <c r="BD32" s="325">
        <v>112013917</v>
      </c>
      <c r="BE32" s="1392" t="str">
        <f t="shared" si="10"/>
        <v>DAIANA GISELE VELLAZ BARBIERI</v>
      </c>
      <c r="BF32" s="618"/>
      <c r="BG32" s="553"/>
      <c r="BH32" s="294"/>
      <c r="BI32" s="618"/>
      <c r="BJ32" s="618"/>
      <c r="BK32" s="618"/>
      <c r="BL32" s="553"/>
      <c r="BM32" s="618"/>
      <c r="BN32" s="618"/>
      <c r="BO32" s="618"/>
    </row>
    <row r="33" spans="1:67" ht="13" hidden="1">
      <c r="A33" s="664" t="s">
        <v>776</v>
      </c>
      <c r="B33" s="325">
        <v>1</v>
      </c>
      <c r="C33" s="325">
        <v>112013782</v>
      </c>
      <c r="D33" s="1392">
        <f t="shared" si="0"/>
        <v>71</v>
      </c>
      <c r="G33" s="323" t="s">
        <v>83</v>
      </c>
      <c r="H33" s="325">
        <v>7</v>
      </c>
      <c r="I33" s="325">
        <v>112013552</v>
      </c>
      <c r="J33" s="1393">
        <f t="shared" si="1"/>
        <v>62</v>
      </c>
      <c r="M33" s="664" t="s">
        <v>518</v>
      </c>
      <c r="N33" s="324">
        <v>8</v>
      </c>
      <c r="O33" s="325">
        <v>112013247</v>
      </c>
      <c r="P33" s="1392">
        <f t="shared" si="2"/>
        <v>62</v>
      </c>
      <c r="R33" s="664" t="s">
        <v>291</v>
      </c>
      <c r="S33" s="324">
        <v>18</v>
      </c>
      <c r="T33" s="325">
        <v>112012462</v>
      </c>
      <c r="U33" s="1392">
        <f t="shared" si="3"/>
        <v>68</v>
      </c>
      <c r="W33" s="664" t="s">
        <v>426</v>
      </c>
      <c r="X33" s="324">
        <v>22</v>
      </c>
      <c r="Y33" s="325">
        <v>112010786</v>
      </c>
      <c r="Z33" s="1392">
        <f t="shared" si="4"/>
        <v>63</v>
      </c>
      <c r="AB33" s="664" t="s">
        <v>898</v>
      </c>
      <c r="AC33" s="325"/>
      <c r="AD33" s="325">
        <v>112014059</v>
      </c>
      <c r="AE33" s="1398">
        <f t="shared" si="5"/>
        <v>0</v>
      </c>
      <c r="AF33" s="302"/>
      <c r="AG33" s="325" t="s">
        <v>1359</v>
      </c>
      <c r="AH33" s="325">
        <v>1</v>
      </c>
      <c r="AI33" s="325">
        <v>112014275</v>
      </c>
      <c r="AJ33" s="799">
        <f t="shared" si="6"/>
        <v>71</v>
      </c>
      <c r="AL33" s="323" t="s">
        <v>1239</v>
      </c>
      <c r="AM33" s="325">
        <v>4</v>
      </c>
      <c r="AN33" s="325">
        <v>112014266</v>
      </c>
      <c r="AO33" s="1394" t="e">
        <f t="shared" si="7"/>
        <v>#N/A</v>
      </c>
      <c r="AQ33" s="1395" t="s">
        <v>1037</v>
      </c>
      <c r="AR33" s="325">
        <v>4</v>
      </c>
      <c r="AS33" s="325">
        <v>112013841</v>
      </c>
      <c r="AT33" s="1396">
        <f t="shared" si="8"/>
        <v>4</v>
      </c>
      <c r="AU33" s="302"/>
      <c r="AV33" s="302"/>
      <c r="AW33" s="664" t="s">
        <v>1509</v>
      </c>
      <c r="AX33" s="325">
        <v>22</v>
      </c>
      <c r="AY33" s="325">
        <v>112014508</v>
      </c>
      <c r="AZ33" s="1392" t="e">
        <f t="shared" si="9"/>
        <v>#N/A</v>
      </c>
      <c r="BA33" s="302"/>
      <c r="BB33" s="664" t="s">
        <v>1063</v>
      </c>
      <c r="BC33" s="325">
        <v>20</v>
      </c>
      <c r="BD33" s="325">
        <v>112013551</v>
      </c>
      <c r="BE33" s="1392" t="str">
        <f t="shared" si="10"/>
        <v>DEL RABAL BRANDAN JUAN EZEQUIEL</v>
      </c>
      <c r="BF33" s="618"/>
      <c r="BG33" s="553"/>
      <c r="BH33" s="294"/>
      <c r="BI33" s="618"/>
      <c r="BJ33" s="618"/>
      <c r="BK33" s="618"/>
      <c r="BL33" s="553"/>
      <c r="BM33" s="618"/>
      <c r="BN33" s="618"/>
      <c r="BO33" s="618"/>
    </row>
    <row r="34" spans="1:67" ht="13" hidden="1">
      <c r="A34" s="664" t="s">
        <v>1555</v>
      </c>
      <c r="B34" s="325">
        <v>11</v>
      </c>
      <c r="C34" s="325">
        <v>112011130</v>
      </c>
      <c r="D34" s="1392">
        <f t="shared" ref="D34:D65" si="11">VLOOKUP(C34,buelafin,10,FALSE)</f>
        <v>58</v>
      </c>
      <c r="G34" s="323" t="s">
        <v>146</v>
      </c>
      <c r="H34" s="325">
        <v>4</v>
      </c>
      <c r="I34" s="325">
        <v>112014408</v>
      </c>
      <c r="J34" s="1393">
        <f t="shared" ref="J34:J65" si="12">VLOOKUP(I34,bassfin,10,FALSE)</f>
        <v>70</v>
      </c>
      <c r="M34" s="664" t="s">
        <v>507</v>
      </c>
      <c r="N34" s="324">
        <v>10</v>
      </c>
      <c r="O34" s="325">
        <v>112014179</v>
      </c>
      <c r="P34" s="1392">
        <f t="shared" ref="P34:P65" si="13">VLOOKUP(O34,LAGEFIN,10,FALSE)</f>
        <v>52</v>
      </c>
      <c r="R34" s="664" t="s">
        <v>260</v>
      </c>
      <c r="S34" s="324">
        <v>10</v>
      </c>
      <c r="T34" s="325">
        <v>112013905</v>
      </c>
      <c r="U34" s="1392">
        <f t="shared" ref="U34:U65" si="14">VLOOKUP(T34,calofin,6,FALSE)</f>
        <v>52</v>
      </c>
      <c r="W34" s="664" t="s">
        <v>427</v>
      </c>
      <c r="X34" s="324">
        <v>22</v>
      </c>
      <c r="Y34" s="325">
        <v>112014675</v>
      </c>
      <c r="Z34" s="1392">
        <f t="shared" ref="Z34:Z65" si="15">VLOOKUP(Y34,RETAMFIN,6,FALSE)</f>
        <v>63</v>
      </c>
      <c r="AB34" s="664" t="s">
        <v>859</v>
      </c>
      <c r="AC34" s="325">
        <v>22</v>
      </c>
      <c r="AD34" s="325">
        <v>112010020</v>
      </c>
      <c r="AE34" s="1398">
        <f t="shared" ref="AE34:AE65" si="16">VLOOKUP(AD34,VARGASFIN,6,FALSE)</f>
        <v>22</v>
      </c>
      <c r="AF34" s="302"/>
      <c r="AG34" s="325" t="s">
        <v>1378</v>
      </c>
      <c r="AH34" s="325"/>
      <c r="AI34" s="325">
        <v>112014679</v>
      </c>
      <c r="AJ34" s="799">
        <f t="shared" ref="AJ34:AJ65" si="17">VLOOKUP(AI34,MONTENEFIN,6,FALSE)</f>
        <v>0</v>
      </c>
      <c r="AL34" s="323" t="s">
        <v>1147</v>
      </c>
      <c r="AM34" s="325">
        <v>4</v>
      </c>
      <c r="AN34" s="325">
        <v>112013702</v>
      </c>
      <c r="AO34" s="1399">
        <f t="shared" ref="AO34:AO65" si="18">VLOOKUP(AN34,MARUCAFIN,6,FALSE)</f>
        <v>4</v>
      </c>
      <c r="AQ34" s="1395" t="s">
        <v>1063</v>
      </c>
      <c r="AR34" s="325">
        <v>20</v>
      </c>
      <c r="AS34" s="325">
        <v>112013542</v>
      </c>
      <c r="AT34" s="1396">
        <f t="shared" ref="AT34:AT65" si="19">VLOOKUP(AS34,ARRIOLFIN,6,FALSE)</f>
        <v>1</v>
      </c>
      <c r="AU34" s="302"/>
      <c r="AV34" s="302"/>
      <c r="AW34" s="664" t="s">
        <v>1506</v>
      </c>
      <c r="AX34" s="325">
        <v>22</v>
      </c>
      <c r="AY34" s="325">
        <v>112014617</v>
      </c>
      <c r="AZ34" s="1392" t="e">
        <f t="shared" ref="AZ34:AZ65" si="20">VLOOKUP(AY34,LAVENIAFIN,6,FALSE)</f>
        <v>#N/A</v>
      </c>
      <c r="BA34" s="302"/>
      <c r="BB34" s="664" t="s">
        <v>997</v>
      </c>
      <c r="BC34" s="325">
        <v>12</v>
      </c>
      <c r="BD34" s="325">
        <v>112014288</v>
      </c>
      <c r="BE34" s="1392" t="str">
        <f t="shared" ref="BE34:BE65" si="21">VLOOKUP(BD34,rotelafin,6,FALSE)</f>
        <v>DELL OSO MARTIN</v>
      </c>
      <c r="BF34" s="618"/>
      <c r="BG34" s="553"/>
      <c r="BH34" s="294"/>
      <c r="BI34" s="618"/>
      <c r="BJ34" s="618"/>
      <c r="BK34" s="618"/>
      <c r="BL34" s="553"/>
      <c r="BM34" s="618"/>
      <c r="BN34" s="618"/>
      <c r="BO34" s="618"/>
    </row>
    <row r="35" spans="1:67" ht="13" hidden="1">
      <c r="A35" s="664" t="s">
        <v>726</v>
      </c>
      <c r="B35" s="325">
        <v>7</v>
      </c>
      <c r="C35" s="325">
        <v>112013900</v>
      </c>
      <c r="D35" s="1392">
        <f t="shared" si="11"/>
        <v>70</v>
      </c>
      <c r="G35" s="323" t="s">
        <v>147</v>
      </c>
      <c r="H35" s="325">
        <v>4</v>
      </c>
      <c r="I35" s="325">
        <v>112014528</v>
      </c>
      <c r="J35" s="1393">
        <f t="shared" si="12"/>
        <v>70</v>
      </c>
      <c r="M35" s="664" t="s">
        <v>576</v>
      </c>
      <c r="N35" s="324">
        <v>7</v>
      </c>
      <c r="O35" s="325">
        <v>112014455</v>
      </c>
      <c r="P35" s="1392">
        <f t="shared" si="13"/>
        <v>70</v>
      </c>
      <c r="R35" s="664" t="s">
        <v>261</v>
      </c>
      <c r="S35" s="324">
        <v>10</v>
      </c>
      <c r="T35" s="325">
        <v>112014066</v>
      </c>
      <c r="U35" s="1392">
        <f t="shared" si="14"/>
        <v>52</v>
      </c>
      <c r="W35" s="664" t="s">
        <v>449</v>
      </c>
      <c r="X35" s="324">
        <v>20</v>
      </c>
      <c r="Y35" s="325">
        <v>112010863</v>
      </c>
      <c r="Z35" s="1392">
        <f t="shared" si="15"/>
        <v>67</v>
      </c>
      <c r="AB35" s="664" t="s">
        <v>937</v>
      </c>
      <c r="AC35" s="325">
        <v>7</v>
      </c>
      <c r="AD35" s="325">
        <v>112014070</v>
      </c>
      <c r="AE35" s="1392" t="e">
        <f t="shared" si="16"/>
        <v>#N/A</v>
      </c>
      <c r="AF35" s="302"/>
      <c r="AG35" s="325" t="s">
        <v>1286</v>
      </c>
      <c r="AH35" s="325">
        <v>12</v>
      </c>
      <c r="AI35" s="325">
        <v>112013551</v>
      </c>
      <c r="AJ35" s="799">
        <f t="shared" si="17"/>
        <v>63</v>
      </c>
      <c r="AL35" s="323" t="s">
        <v>1223</v>
      </c>
      <c r="AM35" s="325">
        <v>22</v>
      </c>
      <c r="AN35" s="325">
        <v>112012078</v>
      </c>
      <c r="AO35" s="1394" t="e">
        <f t="shared" si="18"/>
        <v>#N/A</v>
      </c>
      <c r="AQ35" s="1395" t="s">
        <v>1064</v>
      </c>
      <c r="AR35" s="325">
        <v>20</v>
      </c>
      <c r="AS35" s="325">
        <v>112011623</v>
      </c>
      <c r="AT35" s="1396">
        <f t="shared" si="19"/>
        <v>1</v>
      </c>
      <c r="AU35" s="302"/>
      <c r="AV35" s="302"/>
      <c r="AW35" s="664" t="s">
        <v>360</v>
      </c>
      <c r="AX35" s="325">
        <v>1</v>
      </c>
      <c r="AY35" s="325">
        <v>112012513</v>
      </c>
      <c r="AZ35" s="1392" t="e">
        <f t="shared" si="20"/>
        <v>#N/A</v>
      </c>
      <c r="BA35" s="302"/>
      <c r="BB35" s="664" t="s">
        <v>1267</v>
      </c>
      <c r="BC35" s="325">
        <v>12</v>
      </c>
      <c r="BD35" s="325">
        <v>112012803</v>
      </c>
      <c r="BE35" s="1392" t="str">
        <f t="shared" si="21"/>
        <v>DESTEFANO JOSE HERNAN Y BIDEGAIN GUSTAVO MIGUEL S.H</v>
      </c>
      <c r="BF35" s="618"/>
      <c r="BG35" s="553"/>
      <c r="BH35" s="294"/>
      <c r="BI35" s="618"/>
      <c r="BJ35" s="618"/>
      <c r="BK35" s="618"/>
      <c r="BL35" s="553"/>
      <c r="BM35" s="618"/>
      <c r="BN35" s="618"/>
      <c r="BO35" s="618"/>
    </row>
    <row r="36" spans="1:67" ht="13" hidden="1">
      <c r="A36" s="664" t="s">
        <v>719</v>
      </c>
      <c r="B36" s="325">
        <v>31</v>
      </c>
      <c r="C36" s="325">
        <v>112013705</v>
      </c>
      <c r="D36" s="1392" t="e">
        <f t="shared" si="11"/>
        <v>#N/A</v>
      </c>
      <c r="G36" s="323" t="s">
        <v>220</v>
      </c>
      <c r="H36" s="325"/>
      <c r="I36" s="325">
        <v>112012560</v>
      </c>
      <c r="J36" s="1393">
        <f t="shared" si="12"/>
        <v>0</v>
      </c>
      <c r="M36" s="664" t="s">
        <v>645</v>
      </c>
      <c r="N36" s="324">
        <v>1</v>
      </c>
      <c r="O36" s="325">
        <v>112011303</v>
      </c>
      <c r="P36" s="1392">
        <f t="shared" si="13"/>
        <v>71</v>
      </c>
      <c r="R36" s="664" t="s">
        <v>349</v>
      </c>
      <c r="S36" s="324"/>
      <c r="T36" s="325">
        <v>112014346</v>
      </c>
      <c r="U36" s="1392">
        <f t="shared" si="14"/>
        <v>0</v>
      </c>
      <c r="W36" s="664" t="s">
        <v>381</v>
      </c>
      <c r="X36" s="324">
        <v>11</v>
      </c>
      <c r="Y36" s="325">
        <v>112012590</v>
      </c>
      <c r="Z36" s="1392">
        <f t="shared" si="15"/>
        <v>54</v>
      </c>
      <c r="AB36" s="664" t="s">
        <v>936</v>
      </c>
      <c r="AC36" s="325">
        <v>7</v>
      </c>
      <c r="AD36" s="325">
        <v>112014063</v>
      </c>
      <c r="AE36" s="1392" t="e">
        <f t="shared" si="16"/>
        <v>#N/A</v>
      </c>
      <c r="AF36" s="302"/>
      <c r="AG36" s="325" t="s">
        <v>1312</v>
      </c>
      <c r="AH36" s="325">
        <v>22</v>
      </c>
      <c r="AI36" s="325">
        <v>112013486</v>
      </c>
      <c r="AJ36" s="799">
        <f t="shared" si="17"/>
        <v>63</v>
      </c>
      <c r="AL36" s="323" t="s">
        <v>1231</v>
      </c>
      <c r="AM36" s="325">
        <v>20</v>
      </c>
      <c r="AN36" s="325">
        <v>112012664</v>
      </c>
      <c r="AO36" s="1394" t="e">
        <f t="shared" si="18"/>
        <v>#N/A</v>
      </c>
      <c r="AQ36" s="1395" t="s">
        <v>997</v>
      </c>
      <c r="AR36" s="325">
        <v>12</v>
      </c>
      <c r="AS36" s="325">
        <v>112014254</v>
      </c>
      <c r="AT36" s="1396">
        <f t="shared" si="19"/>
        <v>12</v>
      </c>
      <c r="AU36" s="302"/>
      <c r="AV36" s="302"/>
      <c r="AW36" s="664" t="s">
        <v>1399</v>
      </c>
      <c r="AX36" s="325">
        <v>11</v>
      </c>
      <c r="AY36" s="325">
        <v>112014120</v>
      </c>
      <c r="AZ36" s="1392">
        <f t="shared" si="20"/>
        <v>11</v>
      </c>
      <c r="BA36" s="302"/>
      <c r="BB36" s="664" t="s">
        <v>1314</v>
      </c>
      <c r="BC36" s="325">
        <v>22</v>
      </c>
      <c r="BD36" s="325">
        <v>112013486</v>
      </c>
      <c r="BE36" s="1392" t="str">
        <f t="shared" si="21"/>
        <v>DETTANO YANINA MARIANELA</v>
      </c>
      <c r="BF36" s="618"/>
      <c r="BG36" s="553"/>
      <c r="BH36" s="294"/>
      <c r="BI36" s="618"/>
      <c r="BJ36" s="618"/>
      <c r="BK36" s="618"/>
      <c r="BL36" s="553"/>
      <c r="BM36" s="618"/>
      <c r="BN36" s="618"/>
      <c r="BO36" s="618"/>
    </row>
    <row r="37" spans="1:67" ht="13" hidden="1">
      <c r="A37" s="664" t="s">
        <v>749</v>
      </c>
      <c r="B37" s="325">
        <v>4</v>
      </c>
      <c r="C37" s="325">
        <v>112013448</v>
      </c>
      <c r="D37" s="1392">
        <f t="shared" si="11"/>
        <v>70</v>
      </c>
      <c r="G37" s="323" t="s">
        <v>221</v>
      </c>
      <c r="H37" s="325"/>
      <c r="I37" s="325">
        <v>112014216</v>
      </c>
      <c r="J37" s="1393">
        <f t="shared" si="12"/>
        <v>0</v>
      </c>
      <c r="M37" s="664" t="s">
        <v>577</v>
      </c>
      <c r="N37" s="324">
        <v>7</v>
      </c>
      <c r="O37" s="325">
        <v>112013205</v>
      </c>
      <c r="P37" s="1392">
        <f t="shared" si="13"/>
        <v>70</v>
      </c>
      <c r="R37" s="664" t="s">
        <v>307</v>
      </c>
      <c r="S37" s="324">
        <v>6</v>
      </c>
      <c r="T37" s="325">
        <v>112014708</v>
      </c>
      <c r="U37" s="1392">
        <f t="shared" si="14"/>
        <v>70</v>
      </c>
      <c r="W37" s="664" t="s">
        <v>469</v>
      </c>
      <c r="X37" s="324">
        <v>1</v>
      </c>
      <c r="Y37" s="325">
        <v>112012555</v>
      </c>
      <c r="Z37" s="1392">
        <f t="shared" si="15"/>
        <v>71</v>
      </c>
      <c r="AB37" s="664" t="s">
        <v>908</v>
      </c>
      <c r="AC37" s="325">
        <v>4</v>
      </c>
      <c r="AD37" s="325">
        <v>112014516</v>
      </c>
      <c r="AE37" s="1392" t="e">
        <f t="shared" si="16"/>
        <v>#N/A</v>
      </c>
      <c r="AF37" s="302"/>
      <c r="AG37" s="325" t="s">
        <v>1313</v>
      </c>
      <c r="AH37" s="325">
        <v>7</v>
      </c>
      <c r="AI37" s="325">
        <v>112014071</v>
      </c>
      <c r="AJ37" s="799">
        <f t="shared" si="17"/>
        <v>63</v>
      </c>
      <c r="AL37" s="323" t="s">
        <v>1191</v>
      </c>
      <c r="AM37" s="325">
        <v>4</v>
      </c>
      <c r="AN37" s="325">
        <v>112014695</v>
      </c>
      <c r="AO37" s="1394" t="e">
        <f t="shared" si="18"/>
        <v>#N/A</v>
      </c>
      <c r="AQ37" s="1395" t="s">
        <v>1074</v>
      </c>
      <c r="AR37" s="325">
        <v>1</v>
      </c>
      <c r="AS37" s="325">
        <v>112012161</v>
      </c>
      <c r="AT37" s="1396">
        <f t="shared" si="19"/>
        <v>1</v>
      </c>
      <c r="AU37" s="302"/>
      <c r="AV37" s="302"/>
      <c r="AW37" s="664" t="s">
        <v>1400</v>
      </c>
      <c r="AX37" s="325">
        <v>28</v>
      </c>
      <c r="AY37" s="325">
        <v>112012493</v>
      </c>
      <c r="AZ37" s="1392">
        <f t="shared" si="20"/>
        <v>28</v>
      </c>
      <c r="BA37" s="302"/>
      <c r="BB37" s="664" t="s">
        <v>1436</v>
      </c>
      <c r="BC37" s="325">
        <v>22</v>
      </c>
      <c r="BD37" s="325">
        <v>112013464</v>
      </c>
      <c r="BE37" s="1392" t="str">
        <f t="shared" si="21"/>
        <v>DI CROCE FABIO ALEJANDRO</v>
      </c>
      <c r="BF37" s="618"/>
      <c r="BG37" s="553"/>
      <c r="BH37" s="294"/>
      <c r="BI37" s="618"/>
      <c r="BJ37" s="618"/>
      <c r="BK37" s="618"/>
      <c r="BL37" s="553"/>
      <c r="BM37" s="618"/>
      <c r="BN37" s="618"/>
      <c r="BO37" s="618"/>
    </row>
    <row r="38" spans="1:67" ht="13" hidden="1">
      <c r="A38" s="664" t="s">
        <v>693</v>
      </c>
      <c r="B38" s="325">
        <v>9</v>
      </c>
      <c r="C38" s="325">
        <v>112013693</v>
      </c>
      <c r="D38" s="1392">
        <f t="shared" si="11"/>
        <v>53</v>
      </c>
      <c r="G38" s="323" t="s">
        <v>131</v>
      </c>
      <c r="H38" s="325">
        <v>18</v>
      </c>
      <c r="I38" s="325">
        <v>112012198</v>
      </c>
      <c r="J38" s="1393">
        <f t="shared" si="12"/>
        <v>69</v>
      </c>
      <c r="M38" s="664" t="s">
        <v>508</v>
      </c>
      <c r="N38" s="324">
        <v>10</v>
      </c>
      <c r="O38" s="325">
        <v>112014328</v>
      </c>
      <c r="P38" s="1392">
        <f t="shared" si="13"/>
        <v>53</v>
      </c>
      <c r="R38" s="664" t="s">
        <v>286</v>
      </c>
      <c r="S38" s="324">
        <v>29</v>
      </c>
      <c r="T38" s="325">
        <v>112014491</v>
      </c>
      <c r="U38" s="1392">
        <f t="shared" si="14"/>
        <v>66</v>
      </c>
      <c r="W38" s="664" t="s">
        <v>428</v>
      </c>
      <c r="X38" s="324">
        <v>22</v>
      </c>
      <c r="Y38" s="325">
        <v>112013122</v>
      </c>
      <c r="Z38" s="1392">
        <f t="shared" si="15"/>
        <v>63</v>
      </c>
      <c r="AB38" s="664" t="s">
        <v>939</v>
      </c>
      <c r="AC38" s="325">
        <v>7</v>
      </c>
      <c r="AD38" s="325">
        <v>112014699</v>
      </c>
      <c r="AE38" s="1392" t="e">
        <f t="shared" si="16"/>
        <v>#N/A</v>
      </c>
      <c r="AF38" s="302"/>
      <c r="AG38" s="325" t="s">
        <v>1334</v>
      </c>
      <c r="AH38" s="325">
        <v>4</v>
      </c>
      <c r="AI38" s="325">
        <v>112012891</v>
      </c>
      <c r="AJ38" s="799">
        <f t="shared" si="17"/>
        <v>70</v>
      </c>
      <c r="AL38" s="323" t="s">
        <v>1224</v>
      </c>
      <c r="AM38" s="325">
        <v>22</v>
      </c>
      <c r="AN38" s="325">
        <v>112012680</v>
      </c>
      <c r="AO38" s="1394" t="e">
        <f t="shared" si="18"/>
        <v>#N/A</v>
      </c>
      <c r="AQ38" s="1395" t="s">
        <v>1094</v>
      </c>
      <c r="AR38" s="325">
        <v>20</v>
      </c>
      <c r="AS38" s="325">
        <v>112012428</v>
      </c>
      <c r="AT38" s="1397" t="e">
        <f t="shared" si="19"/>
        <v>#N/A</v>
      </c>
      <c r="AU38" s="302"/>
      <c r="AV38" s="302"/>
      <c r="AW38" s="664" t="s">
        <v>1413</v>
      </c>
      <c r="AX38" s="325">
        <v>31</v>
      </c>
      <c r="AY38" s="325">
        <v>112014314</v>
      </c>
      <c r="AZ38" s="1392">
        <f t="shared" si="20"/>
        <v>31</v>
      </c>
      <c r="BA38" s="302"/>
      <c r="BB38" s="664" t="s">
        <v>1437</v>
      </c>
      <c r="BC38" s="325">
        <v>22</v>
      </c>
      <c r="BD38" s="325">
        <v>112014555</v>
      </c>
      <c r="BE38" s="1392" t="str">
        <f t="shared" si="21"/>
        <v>DI FRANCESCO BRUNO ANDRES</v>
      </c>
      <c r="BF38" s="618"/>
      <c r="BG38" s="553"/>
      <c r="BH38" s="294"/>
      <c r="BI38" s="618"/>
      <c r="BJ38" s="618"/>
      <c r="BK38" s="618"/>
      <c r="BL38" s="553"/>
      <c r="BM38" s="618"/>
      <c r="BN38" s="618"/>
      <c r="BO38" s="618"/>
    </row>
    <row r="39" spans="1:67" ht="13" hidden="1">
      <c r="A39" s="664" t="s">
        <v>777</v>
      </c>
      <c r="B39" s="325">
        <v>1</v>
      </c>
      <c r="C39" s="325">
        <v>112012497</v>
      </c>
      <c r="D39" s="1392">
        <f t="shared" si="11"/>
        <v>71</v>
      </c>
      <c r="G39" s="323" t="s">
        <v>85</v>
      </c>
      <c r="H39" s="325">
        <v>8</v>
      </c>
      <c r="I39" s="325">
        <v>112012515</v>
      </c>
      <c r="J39" s="1393" t="e">
        <f t="shared" si="12"/>
        <v>#N/A</v>
      </c>
      <c r="M39" s="664" t="s">
        <v>578</v>
      </c>
      <c r="N39" s="324">
        <v>7</v>
      </c>
      <c r="O39" s="325">
        <v>112014278</v>
      </c>
      <c r="P39" s="1392">
        <f t="shared" si="13"/>
        <v>70</v>
      </c>
      <c r="R39" s="664" t="s">
        <v>358</v>
      </c>
      <c r="S39" s="324">
        <v>1</v>
      </c>
      <c r="T39" s="325">
        <v>112013555</v>
      </c>
      <c r="U39" s="1392" t="e">
        <f t="shared" si="14"/>
        <v>#N/A</v>
      </c>
      <c r="W39" s="664" t="s">
        <v>429</v>
      </c>
      <c r="X39" s="324">
        <v>22</v>
      </c>
      <c r="Y39" s="325">
        <v>112010616</v>
      </c>
      <c r="Z39" s="1392">
        <f t="shared" si="15"/>
        <v>63</v>
      </c>
      <c r="AB39" s="664" t="s">
        <v>964</v>
      </c>
      <c r="AC39" s="325">
        <v>4</v>
      </c>
      <c r="AD39" s="325">
        <v>112014308</v>
      </c>
      <c r="AE39" s="1392" t="e">
        <f t="shared" si="16"/>
        <v>#N/A</v>
      </c>
      <c r="AF39" s="302"/>
      <c r="AG39" s="325" t="s">
        <v>1267</v>
      </c>
      <c r="AH39" s="325">
        <v>12</v>
      </c>
      <c r="AI39" s="325">
        <v>112014363</v>
      </c>
      <c r="AJ39" s="799">
        <f t="shared" si="17"/>
        <v>55</v>
      </c>
      <c r="AL39" s="323" t="s">
        <v>1556</v>
      </c>
      <c r="AM39" s="325">
        <v>22</v>
      </c>
      <c r="AN39" s="325">
        <v>112013081</v>
      </c>
      <c r="AO39" s="1394" t="e">
        <f t="shared" si="18"/>
        <v>#N/A</v>
      </c>
      <c r="AQ39" s="1395" t="s">
        <v>1016</v>
      </c>
      <c r="AR39" s="325">
        <v>22</v>
      </c>
      <c r="AS39" s="325">
        <v>112012273</v>
      </c>
      <c r="AT39" s="1396">
        <f t="shared" si="19"/>
        <v>22</v>
      </c>
      <c r="AU39" s="302"/>
      <c r="AV39" s="302"/>
      <c r="AW39" s="664" t="s">
        <v>1452</v>
      </c>
      <c r="AX39" s="325">
        <v>22</v>
      </c>
      <c r="AY39" s="325">
        <v>112014381</v>
      </c>
      <c r="AZ39" s="1392">
        <f t="shared" si="20"/>
        <v>22</v>
      </c>
      <c r="BA39" s="302"/>
      <c r="BB39" s="664" t="s">
        <v>1027</v>
      </c>
      <c r="BC39" s="325">
        <v>22</v>
      </c>
      <c r="BD39" s="325">
        <v>112013542</v>
      </c>
      <c r="BE39" s="1392" t="str">
        <f t="shared" si="21"/>
        <v>DIAZ MARIA DOLORES</v>
      </c>
      <c r="BF39" s="618"/>
      <c r="BG39" s="553"/>
      <c r="BH39" s="294"/>
      <c r="BI39" s="618"/>
      <c r="BJ39" s="618"/>
      <c r="BK39" s="618"/>
      <c r="BL39" s="553"/>
      <c r="BM39" s="618"/>
      <c r="BN39" s="618"/>
      <c r="BO39" s="618"/>
    </row>
    <row r="40" spans="1:67" ht="13" hidden="1">
      <c r="A40" s="664" t="s">
        <v>778</v>
      </c>
      <c r="B40" s="325">
        <v>1</v>
      </c>
      <c r="C40" s="325">
        <v>112013566</v>
      </c>
      <c r="D40" s="1392">
        <f t="shared" si="11"/>
        <v>71</v>
      </c>
      <c r="G40" s="323" t="s">
        <v>178</v>
      </c>
      <c r="H40" s="325">
        <v>1</v>
      </c>
      <c r="I40" s="325">
        <v>112011337</v>
      </c>
      <c r="J40" s="1393">
        <f t="shared" si="12"/>
        <v>71</v>
      </c>
      <c r="M40" s="664" t="s">
        <v>579</v>
      </c>
      <c r="N40" s="324">
        <v>7</v>
      </c>
      <c r="O40" s="325">
        <v>112014684</v>
      </c>
      <c r="P40" s="1392">
        <f t="shared" si="13"/>
        <v>70</v>
      </c>
      <c r="R40" s="664" t="s">
        <v>271</v>
      </c>
      <c r="S40" s="324">
        <v>22</v>
      </c>
      <c r="T40" s="325">
        <v>112012906</v>
      </c>
      <c r="U40" s="1392">
        <f t="shared" si="14"/>
        <v>63</v>
      </c>
      <c r="W40" s="664" t="s">
        <v>482</v>
      </c>
      <c r="X40" s="324"/>
      <c r="Y40" s="325">
        <v>112014239</v>
      </c>
      <c r="Z40" s="1392">
        <f t="shared" si="15"/>
        <v>0</v>
      </c>
      <c r="AB40" s="664" t="s">
        <v>933</v>
      </c>
      <c r="AC40" s="325">
        <v>20</v>
      </c>
      <c r="AD40" s="325">
        <v>112012863</v>
      </c>
      <c r="AE40" s="1392" t="e">
        <f t="shared" si="16"/>
        <v>#N/A</v>
      </c>
      <c r="AF40" s="302"/>
      <c r="AG40" s="325" t="s">
        <v>1314</v>
      </c>
      <c r="AH40" s="325">
        <v>22</v>
      </c>
      <c r="AI40" s="325">
        <v>112013897</v>
      </c>
      <c r="AJ40" s="799">
        <f t="shared" si="17"/>
        <v>63</v>
      </c>
      <c r="AL40" s="323" t="s">
        <v>1240</v>
      </c>
      <c r="AM40" s="325">
        <v>4</v>
      </c>
      <c r="AN40" s="325">
        <v>112012465</v>
      </c>
      <c r="AO40" s="1394" t="e">
        <f t="shared" si="18"/>
        <v>#N/A</v>
      </c>
      <c r="AQ40" s="1395" t="s">
        <v>1110</v>
      </c>
      <c r="AR40" s="325">
        <v>22</v>
      </c>
      <c r="AS40" s="325">
        <v>112010650</v>
      </c>
      <c r="AT40" s="1397" t="e">
        <f t="shared" si="19"/>
        <v>#N/A</v>
      </c>
      <c r="AU40" s="302"/>
      <c r="AV40" s="302"/>
      <c r="AW40" s="664" t="s">
        <v>1515</v>
      </c>
      <c r="AX40" s="325">
        <v>1</v>
      </c>
      <c r="AY40" s="325">
        <v>112012554</v>
      </c>
      <c r="AZ40" s="1392">
        <f t="shared" si="20"/>
        <v>0</v>
      </c>
      <c r="BA40" s="302"/>
      <c r="BB40" s="664" t="s">
        <v>1330</v>
      </c>
      <c r="BC40" s="325">
        <v>10</v>
      </c>
      <c r="BD40" s="325">
        <v>112014254</v>
      </c>
      <c r="BE40" s="1392" t="str">
        <f t="shared" si="21"/>
        <v>DISTRIB DM PETS/SALDIVIA NICOLAS</v>
      </c>
      <c r="BF40" s="618"/>
      <c r="BG40" s="553"/>
      <c r="BH40" s="294"/>
      <c r="BI40" s="618"/>
      <c r="BJ40" s="618"/>
      <c r="BK40" s="618"/>
      <c r="BL40" s="553"/>
      <c r="BM40" s="618"/>
      <c r="BN40" s="618"/>
      <c r="BO40" s="618"/>
    </row>
    <row r="41" spans="1:67" ht="13" hidden="1">
      <c r="A41" s="664" t="s">
        <v>689</v>
      </c>
      <c r="B41" s="325">
        <v>10</v>
      </c>
      <c r="C41" s="325">
        <v>112014705</v>
      </c>
      <c r="D41" s="1392">
        <f t="shared" si="11"/>
        <v>53</v>
      </c>
      <c r="G41" s="323" t="s">
        <v>87</v>
      </c>
      <c r="H41" s="325">
        <v>7</v>
      </c>
      <c r="I41" s="325">
        <v>112012542</v>
      </c>
      <c r="J41" s="1393">
        <f t="shared" si="12"/>
        <v>62</v>
      </c>
      <c r="M41" s="664" t="s">
        <v>559</v>
      </c>
      <c r="N41" s="324">
        <v>31</v>
      </c>
      <c r="O41" s="325">
        <v>112014471</v>
      </c>
      <c r="P41" s="1392">
        <f t="shared" si="13"/>
        <v>69</v>
      </c>
      <c r="R41" s="664" t="s">
        <v>321</v>
      </c>
      <c r="S41" s="324">
        <v>1</v>
      </c>
      <c r="T41" s="325">
        <v>112013214</v>
      </c>
      <c r="U41" s="1392">
        <f t="shared" si="14"/>
        <v>71</v>
      </c>
      <c r="W41" s="664" t="s">
        <v>463</v>
      </c>
      <c r="X41" s="324">
        <v>1</v>
      </c>
      <c r="Y41" s="325">
        <v>112011522</v>
      </c>
      <c r="Z41" s="1392">
        <f t="shared" si="15"/>
        <v>71</v>
      </c>
      <c r="AB41" s="664" t="s">
        <v>940</v>
      </c>
      <c r="AC41" s="325">
        <v>7</v>
      </c>
      <c r="AD41" s="325">
        <v>112014599</v>
      </c>
      <c r="AE41" s="1392" t="e">
        <f t="shared" si="16"/>
        <v>#N/A</v>
      </c>
      <c r="AF41" s="302"/>
      <c r="AG41" s="325" t="s">
        <v>1330</v>
      </c>
      <c r="AH41" s="325">
        <v>10</v>
      </c>
      <c r="AI41" s="325">
        <v>112014637</v>
      </c>
      <c r="AJ41" s="799" t="e">
        <f t="shared" si="17"/>
        <v>#N/A</v>
      </c>
      <c r="AL41" s="323" t="s">
        <v>1245</v>
      </c>
      <c r="AM41" s="325">
        <v>4</v>
      </c>
      <c r="AN41" s="325">
        <v>112013255</v>
      </c>
      <c r="AO41" s="1394" t="e">
        <f t="shared" si="18"/>
        <v>#N/A</v>
      </c>
      <c r="AQ41" s="1395" t="s">
        <v>1027</v>
      </c>
      <c r="AR41" s="325">
        <v>22</v>
      </c>
      <c r="AS41" s="325">
        <v>112013478</v>
      </c>
      <c r="AT41" s="1396">
        <f t="shared" si="19"/>
        <v>22</v>
      </c>
      <c r="AU41" s="302"/>
      <c r="AV41" s="302"/>
      <c r="AW41" s="664" t="s">
        <v>1438</v>
      </c>
      <c r="AX41" s="325">
        <v>22</v>
      </c>
      <c r="AY41" s="325">
        <v>112013714</v>
      </c>
      <c r="AZ41" s="1392">
        <f t="shared" si="20"/>
        <v>22</v>
      </c>
      <c r="BA41" s="302"/>
      <c r="BB41" s="664" t="s">
        <v>1273</v>
      </c>
      <c r="BC41" s="325">
        <v>31</v>
      </c>
      <c r="BD41" s="325">
        <v>112014363</v>
      </c>
      <c r="BE41" s="1392" t="str">
        <f t="shared" si="21"/>
        <v>DISTRIBUIDORA DE BALANCEADOS MERLO</v>
      </c>
      <c r="BF41" s="618"/>
      <c r="BG41" s="553"/>
      <c r="BH41" s="294"/>
      <c r="BI41" s="618"/>
      <c r="BJ41" s="618"/>
      <c r="BK41" s="618"/>
      <c r="BL41" s="553"/>
      <c r="BM41" s="618"/>
      <c r="BN41" s="618"/>
      <c r="BO41" s="618"/>
    </row>
    <row r="42" spans="1:67" ht="13" hidden="1">
      <c r="A42" s="664" t="s">
        <v>779</v>
      </c>
      <c r="B42" s="325">
        <v>1</v>
      </c>
      <c r="C42" s="325">
        <v>112011416</v>
      </c>
      <c r="D42" s="1392">
        <f t="shared" si="11"/>
        <v>71</v>
      </c>
      <c r="G42" s="323" t="s">
        <v>179</v>
      </c>
      <c r="H42" s="325">
        <v>1</v>
      </c>
      <c r="I42" s="325">
        <v>112012848</v>
      </c>
      <c r="J42" s="1393">
        <f t="shared" si="12"/>
        <v>71</v>
      </c>
      <c r="M42" s="664" t="s">
        <v>626</v>
      </c>
      <c r="N42" s="324">
        <v>4</v>
      </c>
      <c r="O42" s="325">
        <v>112013219</v>
      </c>
      <c r="P42" s="1392">
        <f t="shared" si="13"/>
        <v>70</v>
      </c>
      <c r="R42" s="664" t="s">
        <v>322</v>
      </c>
      <c r="S42" s="324">
        <v>1</v>
      </c>
      <c r="T42" s="325">
        <v>112011662</v>
      </c>
      <c r="U42" s="1392">
        <f t="shared" si="14"/>
        <v>71</v>
      </c>
      <c r="W42" s="664" t="s">
        <v>461</v>
      </c>
      <c r="X42" s="324">
        <v>1</v>
      </c>
      <c r="Y42" s="325">
        <v>112011204</v>
      </c>
      <c r="Z42" s="1392">
        <f t="shared" si="15"/>
        <v>71</v>
      </c>
      <c r="AB42" s="664" t="s">
        <v>962</v>
      </c>
      <c r="AC42" s="325">
        <v>4</v>
      </c>
      <c r="AD42" s="325">
        <v>112014040</v>
      </c>
      <c r="AE42" s="1392" t="e">
        <f t="shared" si="16"/>
        <v>#N/A</v>
      </c>
      <c r="AF42" s="302"/>
      <c r="AG42" s="325" t="s">
        <v>1273</v>
      </c>
      <c r="AH42" s="325">
        <v>31</v>
      </c>
      <c r="AI42" s="325">
        <v>112014128</v>
      </c>
      <c r="AJ42" s="799">
        <f t="shared" si="17"/>
        <v>60</v>
      </c>
      <c r="AL42" s="323" t="s">
        <v>1232</v>
      </c>
      <c r="AM42" s="325">
        <v>20</v>
      </c>
      <c r="AN42" s="325">
        <v>112014724</v>
      </c>
      <c r="AO42" s="1394" t="e">
        <f t="shared" si="18"/>
        <v>#N/A</v>
      </c>
      <c r="AQ42" s="1395" t="s">
        <v>1087</v>
      </c>
      <c r="AR42" s="325">
        <v>1</v>
      </c>
      <c r="AS42" s="325">
        <v>112014312</v>
      </c>
      <c r="AT42" s="1396">
        <f t="shared" si="19"/>
        <v>1</v>
      </c>
      <c r="AU42" s="302"/>
      <c r="AV42" s="302"/>
      <c r="AW42" s="664" t="s">
        <v>1482</v>
      </c>
      <c r="AX42" s="325">
        <v>1</v>
      </c>
      <c r="AY42" s="325">
        <v>112013332</v>
      </c>
      <c r="AZ42" s="1392">
        <f t="shared" si="20"/>
        <v>1</v>
      </c>
      <c r="BA42" s="302"/>
      <c r="BB42" s="664" t="s">
        <v>1534</v>
      </c>
      <c r="BC42" s="325">
        <v>1</v>
      </c>
      <c r="BD42" s="325">
        <v>112013897</v>
      </c>
      <c r="BE42" s="1392" t="str">
        <f t="shared" si="21"/>
        <v>DONADIO NATACHA</v>
      </c>
      <c r="BF42" s="618"/>
      <c r="BG42" s="553"/>
      <c r="BH42" s="294"/>
      <c r="BI42" s="618"/>
      <c r="BJ42" s="618"/>
      <c r="BK42" s="618"/>
      <c r="BL42" s="553"/>
      <c r="BM42" s="618"/>
      <c r="BN42" s="618"/>
      <c r="BO42" s="618"/>
    </row>
    <row r="43" spans="1:67" ht="13" hidden="1">
      <c r="A43" s="664" t="s">
        <v>801</v>
      </c>
      <c r="B43" s="325"/>
      <c r="C43" s="325">
        <v>112014405</v>
      </c>
      <c r="D43" s="1392">
        <f t="shared" si="11"/>
        <v>0</v>
      </c>
      <c r="G43" s="323" t="s">
        <v>180</v>
      </c>
      <c r="H43" s="325">
        <v>1</v>
      </c>
      <c r="I43" s="325">
        <v>112012326</v>
      </c>
      <c r="J43" s="1393">
        <f t="shared" si="12"/>
        <v>71</v>
      </c>
      <c r="M43" s="664" t="s">
        <v>630</v>
      </c>
      <c r="N43" s="324">
        <v>4</v>
      </c>
      <c r="O43" s="325">
        <v>112013232</v>
      </c>
      <c r="P43" s="1392">
        <f t="shared" si="13"/>
        <v>70</v>
      </c>
      <c r="R43" s="664" t="s">
        <v>323</v>
      </c>
      <c r="S43" s="324">
        <v>1</v>
      </c>
      <c r="T43" s="325">
        <v>112013692</v>
      </c>
      <c r="U43" s="1392">
        <f t="shared" si="14"/>
        <v>71</v>
      </c>
      <c r="W43" s="664" t="s">
        <v>478</v>
      </c>
      <c r="X43" s="324"/>
      <c r="Y43" s="325">
        <v>112011877</v>
      </c>
      <c r="Z43" s="1392">
        <f t="shared" si="15"/>
        <v>0</v>
      </c>
      <c r="AB43" s="664" t="s">
        <v>840</v>
      </c>
      <c r="AC43" s="325">
        <v>22</v>
      </c>
      <c r="AD43" s="325">
        <v>112013480</v>
      </c>
      <c r="AE43" s="1398">
        <f t="shared" si="16"/>
        <v>22</v>
      </c>
      <c r="AF43" s="302"/>
      <c r="AG43" s="325" t="s">
        <v>1263</v>
      </c>
      <c r="AH43" s="325">
        <v>10</v>
      </c>
      <c r="AI43" s="325">
        <v>112014014</v>
      </c>
      <c r="AJ43" s="799">
        <f t="shared" si="17"/>
        <v>52</v>
      </c>
      <c r="AL43" s="323" t="s">
        <v>1139</v>
      </c>
      <c r="AM43" s="325">
        <v>7</v>
      </c>
      <c r="AN43" s="325">
        <v>112014389</v>
      </c>
      <c r="AO43" s="1394" t="e">
        <f t="shared" si="18"/>
        <v>#N/A</v>
      </c>
      <c r="AQ43" s="1395" t="s">
        <v>1080</v>
      </c>
      <c r="AR43" s="325">
        <v>1</v>
      </c>
      <c r="AS43" s="325">
        <v>112012827</v>
      </c>
      <c r="AT43" s="1396">
        <f t="shared" si="19"/>
        <v>1</v>
      </c>
      <c r="AU43" s="302"/>
      <c r="AV43" s="302"/>
      <c r="AW43" s="664" t="s">
        <v>1510</v>
      </c>
      <c r="AX43" s="325">
        <v>22</v>
      </c>
      <c r="AY43" s="325">
        <v>112012036</v>
      </c>
      <c r="AZ43" s="1392" t="e">
        <f t="shared" si="20"/>
        <v>#N/A</v>
      </c>
      <c r="BA43" s="302"/>
      <c r="BB43" s="664" t="s">
        <v>1399</v>
      </c>
      <c r="BC43" s="325">
        <v>11</v>
      </c>
      <c r="BD43" s="325">
        <v>112012334</v>
      </c>
      <c r="BE43" s="1392" t="str">
        <f t="shared" si="21"/>
        <v>DROGUERIA MEDICAM SRL</v>
      </c>
      <c r="BF43" s="618"/>
      <c r="BG43" s="553"/>
      <c r="BH43" s="294"/>
      <c r="BI43" s="618"/>
      <c r="BJ43" s="618"/>
      <c r="BK43" s="618"/>
      <c r="BL43" s="553"/>
      <c r="BM43" s="618"/>
      <c r="BN43" s="618"/>
      <c r="BO43" s="618"/>
    </row>
    <row r="44" spans="1:67" ht="13" hidden="1">
      <c r="A44" s="664" t="s">
        <v>780</v>
      </c>
      <c r="B44" s="325">
        <v>1</v>
      </c>
      <c r="C44" s="325">
        <v>112013942</v>
      </c>
      <c r="D44" s="1392">
        <f t="shared" si="11"/>
        <v>71</v>
      </c>
      <c r="G44" s="323" t="s">
        <v>181</v>
      </c>
      <c r="H44" s="325">
        <v>1</v>
      </c>
      <c r="I44" s="325">
        <v>112011720</v>
      </c>
      <c r="J44" s="1393">
        <f t="shared" si="12"/>
        <v>71</v>
      </c>
      <c r="M44" s="664" t="s">
        <v>580</v>
      </c>
      <c r="N44" s="324">
        <v>7</v>
      </c>
      <c r="O44" s="325">
        <v>112014678</v>
      </c>
      <c r="P44" s="1392">
        <f t="shared" si="13"/>
        <v>70</v>
      </c>
      <c r="R44" s="664" t="s">
        <v>294</v>
      </c>
      <c r="S44" s="324">
        <v>4</v>
      </c>
      <c r="T44" s="325">
        <v>112014441</v>
      </c>
      <c r="U44" s="1392">
        <f t="shared" si="14"/>
        <v>70</v>
      </c>
      <c r="W44" s="664" t="s">
        <v>462</v>
      </c>
      <c r="X44" s="324">
        <v>1</v>
      </c>
      <c r="Y44" s="325">
        <v>112011398</v>
      </c>
      <c r="Z44" s="1392">
        <f t="shared" si="15"/>
        <v>71</v>
      </c>
      <c r="AB44" s="664" t="s">
        <v>925</v>
      </c>
      <c r="AC44" s="325">
        <v>10</v>
      </c>
      <c r="AD44" s="325">
        <v>112014205</v>
      </c>
      <c r="AE44" s="1392" t="e">
        <f t="shared" si="16"/>
        <v>#N/A</v>
      </c>
      <c r="AF44" s="302"/>
      <c r="AG44" s="325" t="s">
        <v>1277</v>
      </c>
      <c r="AH44" s="325">
        <v>7</v>
      </c>
      <c r="AI44" s="325">
        <v>112014053</v>
      </c>
      <c r="AJ44" s="799">
        <f t="shared" si="17"/>
        <v>62</v>
      </c>
      <c r="AL44" s="323" t="s">
        <v>1211</v>
      </c>
      <c r="AM44" s="325">
        <v>29</v>
      </c>
      <c r="AN44" s="325">
        <v>112012520</v>
      </c>
      <c r="AO44" s="1394" t="e">
        <f t="shared" si="18"/>
        <v>#N/A</v>
      </c>
      <c r="AQ44" s="1395" t="s">
        <v>1004</v>
      </c>
      <c r="AR44" s="325">
        <v>22</v>
      </c>
      <c r="AS44" s="325">
        <v>112014453</v>
      </c>
      <c r="AT44" s="1396">
        <f t="shared" si="19"/>
        <v>22</v>
      </c>
      <c r="AU44" s="302"/>
      <c r="AV44" s="302"/>
      <c r="AW44" s="664" t="s">
        <v>1410</v>
      </c>
      <c r="AX44" s="325">
        <v>31</v>
      </c>
      <c r="AY44" s="325">
        <v>112014440</v>
      </c>
      <c r="AZ44" s="1392">
        <f t="shared" si="20"/>
        <v>31</v>
      </c>
      <c r="BA44" s="302"/>
      <c r="BB44" s="664" t="s">
        <v>1400</v>
      </c>
      <c r="BC44" s="325">
        <v>28</v>
      </c>
      <c r="BD44" s="325">
        <v>112013682</v>
      </c>
      <c r="BE44" s="1392" t="str">
        <f t="shared" si="21"/>
        <v>DUPUY CARLOS RAUL FERNANDO</v>
      </c>
      <c r="BF44" s="618"/>
      <c r="BG44" s="553"/>
      <c r="BH44" s="294"/>
      <c r="BI44" s="618"/>
      <c r="BJ44" s="618"/>
      <c r="BK44" s="618"/>
      <c r="BL44" s="553"/>
      <c r="BM44" s="618"/>
      <c r="BN44" s="618"/>
      <c r="BO44" s="618"/>
    </row>
    <row r="45" spans="1:67" ht="13" hidden="1">
      <c r="A45" s="664" t="s">
        <v>802</v>
      </c>
      <c r="B45" s="325"/>
      <c r="C45" s="325">
        <v>11201394201</v>
      </c>
      <c r="D45" s="1392">
        <f t="shared" si="11"/>
        <v>0</v>
      </c>
      <c r="G45" s="323" t="s">
        <v>182</v>
      </c>
      <c r="H45" s="325">
        <v>1</v>
      </c>
      <c r="I45" s="325">
        <v>112012829</v>
      </c>
      <c r="J45" s="1393" t="e">
        <f t="shared" si="12"/>
        <v>#N/A</v>
      </c>
      <c r="M45" s="664" t="s">
        <v>540</v>
      </c>
      <c r="N45" s="324">
        <v>22</v>
      </c>
      <c r="O45" s="325">
        <v>112012470</v>
      </c>
      <c r="P45" s="1392">
        <f t="shared" si="13"/>
        <v>63</v>
      </c>
      <c r="R45" s="664" t="s">
        <v>267</v>
      </c>
      <c r="S45" s="324">
        <v>31</v>
      </c>
      <c r="T45" s="325">
        <v>112014379</v>
      </c>
      <c r="U45" s="1392">
        <f t="shared" si="14"/>
        <v>61</v>
      </c>
      <c r="W45" s="664" t="s">
        <v>395</v>
      </c>
      <c r="X45" s="324">
        <v>40</v>
      </c>
      <c r="Y45" s="325">
        <v>112013907</v>
      </c>
      <c r="Z45" s="1392" t="e">
        <f t="shared" si="15"/>
        <v>#N/A</v>
      </c>
      <c r="AB45" s="664" t="s">
        <v>858</v>
      </c>
      <c r="AC45" s="325">
        <v>7</v>
      </c>
      <c r="AD45" s="325">
        <v>112010010</v>
      </c>
      <c r="AE45" s="1398">
        <f t="shared" si="16"/>
        <v>7</v>
      </c>
      <c r="AF45" s="302"/>
      <c r="AG45" s="325" t="s">
        <v>1262</v>
      </c>
      <c r="AH45" s="325">
        <v>10</v>
      </c>
      <c r="AI45" s="325">
        <v>112014416</v>
      </c>
      <c r="AJ45" s="799">
        <f t="shared" si="17"/>
        <v>53</v>
      </c>
      <c r="AL45" s="323" t="s">
        <v>888</v>
      </c>
      <c r="AM45" s="325">
        <v>4</v>
      </c>
      <c r="AN45" s="325">
        <v>112013415</v>
      </c>
      <c r="AO45" s="1394" t="e">
        <f t="shared" si="18"/>
        <v>#N/A</v>
      </c>
      <c r="AQ45" s="1395" t="s">
        <v>1075</v>
      </c>
      <c r="AR45" s="325">
        <v>1</v>
      </c>
      <c r="AS45" s="325">
        <v>112012304</v>
      </c>
      <c r="AT45" s="1396">
        <f t="shared" si="19"/>
        <v>1</v>
      </c>
      <c r="AU45" s="302"/>
      <c r="AV45" s="302"/>
      <c r="AW45" s="664" t="s">
        <v>1414</v>
      </c>
      <c r="AX45" s="325">
        <v>31</v>
      </c>
      <c r="AY45" s="325">
        <v>112013941</v>
      </c>
      <c r="AZ45" s="1392">
        <f t="shared" si="20"/>
        <v>31</v>
      </c>
      <c r="BA45" s="302"/>
      <c r="BB45" s="664" t="s">
        <v>1052</v>
      </c>
      <c r="BC45" s="325">
        <v>22</v>
      </c>
      <c r="BD45" s="325">
        <v>112013478</v>
      </c>
      <c r="BE45" s="1392" t="str">
        <f t="shared" si="21"/>
        <v>ESTANCIAS EL PORVENIR S.A.</v>
      </c>
      <c r="BF45" s="618"/>
      <c r="BG45" s="553"/>
      <c r="BH45" s="294"/>
      <c r="BI45" s="618"/>
      <c r="BJ45" s="618"/>
      <c r="BK45" s="618"/>
      <c r="BL45" s="553"/>
      <c r="BM45" s="618"/>
      <c r="BN45" s="618"/>
      <c r="BO45" s="618"/>
    </row>
    <row r="46" spans="1:67" ht="13" hidden="1">
      <c r="A46" s="664" t="s">
        <v>751</v>
      </c>
      <c r="B46" s="325">
        <v>4</v>
      </c>
      <c r="C46" s="325">
        <v>112014474</v>
      </c>
      <c r="D46" s="1392">
        <f t="shared" si="11"/>
        <v>70</v>
      </c>
      <c r="G46" s="323" t="s">
        <v>148</v>
      </c>
      <c r="H46" s="325">
        <v>4</v>
      </c>
      <c r="I46" s="325">
        <v>112012294</v>
      </c>
      <c r="J46" s="1393">
        <f t="shared" si="12"/>
        <v>70</v>
      </c>
      <c r="M46" s="664" t="s">
        <v>527</v>
      </c>
      <c r="N46" s="324">
        <v>7</v>
      </c>
      <c r="O46" s="325">
        <v>112014210</v>
      </c>
      <c r="P46" s="1392">
        <f t="shared" si="13"/>
        <v>62</v>
      </c>
      <c r="R46" s="664" t="s">
        <v>287</v>
      </c>
      <c r="S46" s="324">
        <v>20</v>
      </c>
      <c r="T46" s="325">
        <v>112014149</v>
      </c>
      <c r="U46" s="1392">
        <f t="shared" si="14"/>
        <v>67</v>
      </c>
      <c r="W46" s="664" t="s">
        <v>444</v>
      </c>
      <c r="X46" s="324">
        <v>31</v>
      </c>
      <c r="Y46" s="325">
        <v>112014721</v>
      </c>
      <c r="Z46" s="1392">
        <f t="shared" si="15"/>
        <v>61</v>
      </c>
      <c r="AB46" s="664" t="s">
        <v>982</v>
      </c>
      <c r="AC46" s="325"/>
      <c r="AD46" s="325">
        <v>112012164</v>
      </c>
      <c r="AE46" s="1392" t="e">
        <f t="shared" si="16"/>
        <v>#N/A</v>
      </c>
      <c r="AF46" s="302"/>
      <c r="AG46" s="325" t="s">
        <v>1265</v>
      </c>
      <c r="AH46" s="325">
        <v>12</v>
      </c>
      <c r="AI46" s="325">
        <v>112013028</v>
      </c>
      <c r="AJ46" s="799">
        <f t="shared" si="17"/>
        <v>54</v>
      </c>
      <c r="AL46" s="323" t="s">
        <v>1118</v>
      </c>
      <c r="AM46" s="325">
        <v>4</v>
      </c>
      <c r="AN46" s="325">
        <v>112014651</v>
      </c>
      <c r="AO46" s="1394" t="e">
        <f t="shared" si="18"/>
        <v>#N/A</v>
      </c>
      <c r="AQ46" s="1395" t="s">
        <v>1072</v>
      </c>
      <c r="AR46" s="325">
        <v>1</v>
      </c>
      <c r="AS46" s="325">
        <v>112011681</v>
      </c>
      <c r="AT46" s="1396">
        <f t="shared" si="19"/>
        <v>1</v>
      </c>
      <c r="AU46" s="302"/>
      <c r="AV46" s="302"/>
      <c r="AW46" s="664" t="s">
        <v>1316</v>
      </c>
      <c r="AX46" s="325">
        <v>22</v>
      </c>
      <c r="AY46" s="325">
        <v>112011934</v>
      </c>
      <c r="AZ46" s="1392" t="e">
        <f t="shared" si="20"/>
        <v>#N/A</v>
      </c>
      <c r="BA46" s="302"/>
      <c r="BB46" s="664" t="s">
        <v>1053</v>
      </c>
      <c r="BC46" s="325">
        <v>22</v>
      </c>
      <c r="BD46" s="325">
        <v>112014128</v>
      </c>
      <c r="BE46" s="1392" t="str">
        <f t="shared" si="21"/>
        <v>FARACO MATIAS</v>
      </c>
      <c r="BF46" s="618"/>
      <c r="BG46" s="553"/>
      <c r="BH46" s="294"/>
      <c r="BI46" s="618"/>
      <c r="BJ46" s="618"/>
      <c r="BK46" s="618"/>
      <c r="BL46" s="553"/>
      <c r="BM46" s="618"/>
      <c r="BN46" s="618"/>
      <c r="BO46" s="618"/>
    </row>
    <row r="47" spans="1:67" ht="13" hidden="1">
      <c r="A47" s="664" t="s">
        <v>727</v>
      </c>
      <c r="B47" s="325">
        <v>31</v>
      </c>
      <c r="C47" s="325">
        <v>112013377</v>
      </c>
      <c r="D47" s="1392">
        <f t="shared" si="11"/>
        <v>69</v>
      </c>
      <c r="G47" s="323" t="s">
        <v>149</v>
      </c>
      <c r="H47" s="325">
        <v>4</v>
      </c>
      <c r="I47" s="325">
        <v>112012308</v>
      </c>
      <c r="J47" s="1393">
        <f t="shared" si="12"/>
        <v>70</v>
      </c>
      <c r="M47" s="664" t="s">
        <v>560</v>
      </c>
      <c r="N47" s="324">
        <v>31</v>
      </c>
      <c r="O47" s="325">
        <v>112014472</v>
      </c>
      <c r="P47" s="1392">
        <f t="shared" si="13"/>
        <v>69</v>
      </c>
      <c r="R47" s="664" t="s">
        <v>324</v>
      </c>
      <c r="S47" s="324">
        <v>1</v>
      </c>
      <c r="T47" s="325">
        <v>112010675</v>
      </c>
      <c r="U47" s="1392">
        <f t="shared" si="14"/>
        <v>71</v>
      </c>
      <c r="W47" s="664" t="s">
        <v>430</v>
      </c>
      <c r="X47" s="324">
        <v>22</v>
      </c>
      <c r="Y47" s="325">
        <v>112011796</v>
      </c>
      <c r="Z47" s="1392">
        <f t="shared" si="15"/>
        <v>63</v>
      </c>
      <c r="AB47" s="664" t="s">
        <v>855</v>
      </c>
      <c r="AC47" s="325">
        <v>31</v>
      </c>
      <c r="AD47" s="325">
        <v>112014196</v>
      </c>
      <c r="AE47" s="1392" t="e">
        <f t="shared" si="16"/>
        <v>#N/A</v>
      </c>
      <c r="AF47" s="302"/>
      <c r="AG47" s="325" t="s">
        <v>1349</v>
      </c>
      <c r="AH47" s="325">
        <v>20</v>
      </c>
      <c r="AI47" s="325">
        <v>112012020</v>
      </c>
      <c r="AJ47" s="799">
        <f t="shared" si="17"/>
        <v>71</v>
      </c>
      <c r="AL47" s="323" t="s">
        <v>1241</v>
      </c>
      <c r="AM47" s="325">
        <v>4</v>
      </c>
      <c r="AN47" s="325">
        <v>112014096</v>
      </c>
      <c r="AO47" s="1394" t="e">
        <f t="shared" si="18"/>
        <v>#N/A</v>
      </c>
      <c r="AQ47" s="1395" t="s">
        <v>1052</v>
      </c>
      <c r="AR47" s="325">
        <v>22</v>
      </c>
      <c r="AS47" s="325">
        <v>112013648</v>
      </c>
      <c r="AT47" s="1396">
        <f t="shared" si="19"/>
        <v>1</v>
      </c>
      <c r="AU47" s="302"/>
      <c r="AV47" s="302"/>
      <c r="AW47" s="664" t="s">
        <v>1411</v>
      </c>
      <c r="AX47" s="325">
        <v>31</v>
      </c>
      <c r="AY47" s="325">
        <v>112011899</v>
      </c>
      <c r="AZ47" s="1392">
        <f t="shared" si="20"/>
        <v>31</v>
      </c>
      <c r="BA47" s="302"/>
      <c r="BB47" s="664" t="s">
        <v>1268</v>
      </c>
      <c r="BC47" s="325">
        <v>12</v>
      </c>
      <c r="BD47" s="325">
        <v>112011962</v>
      </c>
      <c r="BE47" s="1392" t="str">
        <f t="shared" si="21"/>
        <v>FEDERICO JOSE MARIA</v>
      </c>
      <c r="BF47" s="618"/>
      <c r="BG47" s="553"/>
      <c r="BH47" s="294"/>
      <c r="BI47" s="618"/>
      <c r="BJ47" s="618"/>
      <c r="BK47" s="618"/>
      <c r="BL47" s="553"/>
      <c r="BM47" s="618"/>
      <c r="BN47" s="618"/>
      <c r="BO47" s="618"/>
    </row>
    <row r="48" spans="1:67" ht="13" hidden="1">
      <c r="A48" s="664" t="s">
        <v>738</v>
      </c>
      <c r="B48" s="325">
        <v>22</v>
      </c>
      <c r="C48" s="325">
        <v>112013046</v>
      </c>
      <c r="D48" s="1392">
        <f t="shared" si="11"/>
        <v>71</v>
      </c>
      <c r="G48" s="323" t="s">
        <v>150</v>
      </c>
      <c r="H48" s="325">
        <v>4</v>
      </c>
      <c r="I48" s="325">
        <v>112012535</v>
      </c>
      <c r="J48" s="1393">
        <f t="shared" si="12"/>
        <v>70</v>
      </c>
      <c r="M48" s="664" t="s">
        <v>665</v>
      </c>
      <c r="N48" s="324"/>
      <c r="O48" s="325">
        <v>112011938</v>
      </c>
      <c r="P48" s="1392">
        <f t="shared" si="13"/>
        <v>0</v>
      </c>
      <c r="R48" s="664" t="s">
        <v>300</v>
      </c>
      <c r="S48" s="324">
        <v>4</v>
      </c>
      <c r="T48" s="325">
        <v>112013422</v>
      </c>
      <c r="U48" s="1392">
        <f t="shared" si="14"/>
        <v>70</v>
      </c>
      <c r="W48" s="664" t="s">
        <v>408</v>
      </c>
      <c r="X48" s="324">
        <v>7</v>
      </c>
      <c r="Y48" s="325">
        <v>112014103</v>
      </c>
      <c r="Z48" s="1392">
        <f t="shared" si="15"/>
        <v>62</v>
      </c>
      <c r="AB48" s="664" t="s">
        <v>867</v>
      </c>
      <c r="AC48" s="325">
        <v>7</v>
      </c>
      <c r="AD48" s="325">
        <v>112014706</v>
      </c>
      <c r="AE48" s="1398">
        <f t="shared" si="16"/>
        <v>7</v>
      </c>
      <c r="AF48" s="302"/>
      <c r="AG48" s="325" t="s">
        <v>1389</v>
      </c>
      <c r="AH48" s="325">
        <v>1</v>
      </c>
      <c r="AI48" s="325">
        <v>112013337</v>
      </c>
      <c r="AJ48" s="799" t="e">
        <f t="shared" si="17"/>
        <v>#N/A</v>
      </c>
      <c r="AL48" s="323" t="s">
        <v>1212</v>
      </c>
      <c r="AM48" s="325">
        <v>22</v>
      </c>
      <c r="AN48" s="325">
        <v>112012484</v>
      </c>
      <c r="AO48" s="1394" t="e">
        <f t="shared" si="18"/>
        <v>#N/A</v>
      </c>
      <c r="AQ48" s="1395" t="s">
        <v>1053</v>
      </c>
      <c r="AR48" s="325">
        <v>22</v>
      </c>
      <c r="AS48" s="325">
        <v>112014688</v>
      </c>
      <c r="AT48" s="1396">
        <f t="shared" si="19"/>
        <v>1</v>
      </c>
      <c r="AU48" s="302"/>
      <c r="AV48" s="302"/>
      <c r="AW48" s="664" t="s">
        <v>1439</v>
      </c>
      <c r="AX48" s="325">
        <v>22</v>
      </c>
      <c r="AY48" s="325">
        <v>112013765</v>
      </c>
      <c r="AZ48" s="1392">
        <f t="shared" si="20"/>
        <v>22</v>
      </c>
      <c r="BA48" s="302"/>
      <c r="BB48" s="664" t="s">
        <v>1438</v>
      </c>
      <c r="BC48" s="325">
        <v>22</v>
      </c>
      <c r="BD48" s="325">
        <v>112014120</v>
      </c>
      <c r="BE48" s="1392" t="str">
        <f t="shared" si="21"/>
        <v>FERREYRA ALEJANDRO NESTOR</v>
      </c>
      <c r="BF48" s="618"/>
      <c r="BG48" s="553"/>
      <c r="BH48" s="294"/>
      <c r="BI48" s="618"/>
      <c r="BJ48" s="618"/>
      <c r="BK48" s="618"/>
      <c r="BL48" s="553"/>
      <c r="BM48" s="618"/>
      <c r="BN48" s="618"/>
      <c r="BO48" s="618"/>
    </row>
    <row r="49" spans="1:67" ht="13" hidden="1">
      <c r="A49" s="664" t="s">
        <v>702</v>
      </c>
      <c r="B49" s="325">
        <v>7</v>
      </c>
      <c r="C49" s="325">
        <v>112013734</v>
      </c>
      <c r="D49" s="1392">
        <f t="shared" si="11"/>
        <v>62</v>
      </c>
      <c r="G49" s="323" t="s">
        <v>151</v>
      </c>
      <c r="H49" s="325">
        <v>4</v>
      </c>
      <c r="I49" s="325">
        <v>112012536</v>
      </c>
      <c r="J49" s="1393">
        <f t="shared" si="12"/>
        <v>70</v>
      </c>
      <c r="M49" s="664" t="s">
        <v>541</v>
      </c>
      <c r="N49" s="324">
        <v>22</v>
      </c>
      <c r="O49" s="325">
        <v>112012514</v>
      </c>
      <c r="P49" s="1392">
        <f t="shared" si="13"/>
        <v>63</v>
      </c>
      <c r="R49" s="664" t="s">
        <v>272</v>
      </c>
      <c r="S49" s="324">
        <v>22</v>
      </c>
      <c r="T49" s="325">
        <v>112013274</v>
      </c>
      <c r="U49" s="1392">
        <f t="shared" si="14"/>
        <v>63</v>
      </c>
      <c r="W49" s="664" t="s">
        <v>391</v>
      </c>
      <c r="X49" s="324">
        <v>25</v>
      </c>
      <c r="Y49" s="325">
        <v>112013105</v>
      </c>
      <c r="Z49" s="1392">
        <f t="shared" si="15"/>
        <v>58</v>
      </c>
      <c r="AB49" s="664" t="s">
        <v>897</v>
      </c>
      <c r="AC49" s="325"/>
      <c r="AD49" s="325">
        <v>112014049</v>
      </c>
      <c r="AE49" s="1398">
        <f t="shared" si="16"/>
        <v>0</v>
      </c>
      <c r="AF49" s="302"/>
      <c r="AG49" s="325" t="s">
        <v>1268</v>
      </c>
      <c r="AH49" s="325">
        <v>12</v>
      </c>
      <c r="AI49" s="325">
        <v>112013507</v>
      </c>
      <c r="AJ49" s="799">
        <f t="shared" si="17"/>
        <v>55</v>
      </c>
      <c r="AL49" s="323" t="s">
        <v>866</v>
      </c>
      <c r="AM49" s="325">
        <v>22</v>
      </c>
      <c r="AN49" s="325">
        <v>112012301</v>
      </c>
      <c r="AO49" s="1394" t="e">
        <f t="shared" si="18"/>
        <v>#N/A</v>
      </c>
      <c r="AQ49" s="1395" t="s">
        <v>1011</v>
      </c>
      <c r="AR49" s="325">
        <v>30</v>
      </c>
      <c r="AS49" s="325">
        <v>112012450</v>
      </c>
      <c r="AT49" s="1396">
        <f t="shared" si="19"/>
        <v>30</v>
      </c>
      <c r="AU49" s="302"/>
      <c r="AV49" s="302"/>
      <c r="AW49" s="664" t="s">
        <v>1516</v>
      </c>
      <c r="AX49" s="325">
        <v>1</v>
      </c>
      <c r="AY49" s="325">
        <v>112013326</v>
      </c>
      <c r="AZ49" s="1392" t="e">
        <f t="shared" si="20"/>
        <v>#N/A</v>
      </c>
      <c r="BA49" s="302"/>
      <c r="BB49" s="664" t="s">
        <v>1019</v>
      </c>
      <c r="BC49" s="325">
        <v>22</v>
      </c>
      <c r="BD49" s="325">
        <v>112012493</v>
      </c>
      <c r="BE49" s="1392" t="str">
        <f t="shared" si="21"/>
        <v>GASALI GONZALEZ AGUSTINA MERCEDES</v>
      </c>
      <c r="BF49" s="618"/>
      <c r="BG49" s="553"/>
      <c r="BH49" s="294"/>
      <c r="BI49" s="618"/>
      <c r="BJ49" s="618"/>
      <c r="BK49" s="618"/>
      <c r="BL49" s="553"/>
      <c r="BM49" s="618"/>
      <c r="BN49" s="618"/>
      <c r="BO49" s="618"/>
    </row>
    <row r="50" spans="1:67" ht="13" hidden="1">
      <c r="A50" s="664" t="s">
        <v>695</v>
      </c>
      <c r="B50" s="325">
        <v>27</v>
      </c>
      <c r="C50" s="325">
        <v>112013341</v>
      </c>
      <c r="D50" s="1392">
        <f t="shared" si="11"/>
        <v>57</v>
      </c>
      <c r="G50" s="323" t="s">
        <v>70</v>
      </c>
      <c r="H50" s="325">
        <v>12</v>
      </c>
      <c r="I50" s="325">
        <v>112013867</v>
      </c>
      <c r="J50" s="1393">
        <f t="shared" si="12"/>
        <v>55</v>
      </c>
      <c r="M50" s="664" t="s">
        <v>528</v>
      </c>
      <c r="N50" s="324">
        <v>7</v>
      </c>
      <c r="O50" s="325">
        <v>112014341</v>
      </c>
      <c r="P50" s="1392">
        <f t="shared" si="13"/>
        <v>62</v>
      </c>
      <c r="R50" s="664" t="s">
        <v>363</v>
      </c>
      <c r="S50" s="324">
        <v>6</v>
      </c>
      <c r="T50" s="325">
        <v>112014662</v>
      </c>
      <c r="U50" s="1392" t="e">
        <f t="shared" si="14"/>
        <v>#N/A</v>
      </c>
      <c r="W50" s="664" t="s">
        <v>380</v>
      </c>
      <c r="X50" s="324">
        <v>10</v>
      </c>
      <c r="Y50" s="325">
        <v>112012965</v>
      </c>
      <c r="Z50" s="1392">
        <f t="shared" si="15"/>
        <v>53</v>
      </c>
      <c r="AB50" s="664" t="s">
        <v>838</v>
      </c>
      <c r="AC50" s="325">
        <v>10</v>
      </c>
      <c r="AD50" s="325">
        <v>11201231501</v>
      </c>
      <c r="AE50" s="1398">
        <f t="shared" si="16"/>
        <v>10</v>
      </c>
      <c r="AF50" s="302"/>
      <c r="AG50" s="325" t="s">
        <v>1294</v>
      </c>
      <c r="AH50" s="325">
        <v>22</v>
      </c>
      <c r="AI50" s="325">
        <v>112014013</v>
      </c>
      <c r="AJ50" s="799">
        <f t="shared" si="17"/>
        <v>63</v>
      </c>
      <c r="AL50" s="323" t="s">
        <v>1137</v>
      </c>
      <c r="AM50" s="325">
        <v>22</v>
      </c>
      <c r="AN50" s="325">
        <v>112012187</v>
      </c>
      <c r="AO50" s="1399">
        <f t="shared" si="18"/>
        <v>22</v>
      </c>
      <c r="AQ50" s="1395" t="s">
        <v>1084</v>
      </c>
      <c r="AR50" s="325">
        <v>1</v>
      </c>
      <c r="AS50" s="325">
        <v>112013791</v>
      </c>
      <c r="AT50" s="1396">
        <f t="shared" si="19"/>
        <v>1</v>
      </c>
      <c r="AU50" s="302"/>
      <c r="AV50" s="302"/>
      <c r="AW50" s="664" t="s">
        <v>1453</v>
      </c>
      <c r="AX50" s="325">
        <v>22</v>
      </c>
      <c r="AY50" s="325">
        <v>112013586</v>
      </c>
      <c r="AZ50" s="1392">
        <f t="shared" si="20"/>
        <v>22</v>
      </c>
      <c r="BA50" s="302"/>
      <c r="BB50" s="664" t="s">
        <v>1337</v>
      </c>
      <c r="BC50" s="325">
        <v>12</v>
      </c>
      <c r="BD50" s="325">
        <v>112013648</v>
      </c>
      <c r="BE50" s="1392" t="str">
        <f t="shared" si="21"/>
        <v>GOIN MARTIN EMILIO</v>
      </c>
      <c r="BF50" s="618"/>
      <c r="BG50" s="553"/>
      <c r="BH50" s="294"/>
      <c r="BI50" s="618"/>
      <c r="BJ50" s="618"/>
      <c r="BK50" s="618"/>
      <c r="BL50" s="553"/>
      <c r="BM50" s="618"/>
      <c r="BN50" s="618"/>
      <c r="BO50" s="618"/>
    </row>
    <row r="51" spans="1:67" ht="13" hidden="1">
      <c r="A51" s="664" t="s">
        <v>753</v>
      </c>
      <c r="B51" s="325">
        <v>4</v>
      </c>
      <c r="C51" s="325">
        <v>112014131</v>
      </c>
      <c r="D51" s="1392" t="e">
        <f t="shared" si="11"/>
        <v>#N/A</v>
      </c>
      <c r="G51" s="323" t="s">
        <v>183</v>
      </c>
      <c r="H51" s="325">
        <v>1</v>
      </c>
      <c r="I51" s="325">
        <v>112012563</v>
      </c>
      <c r="J51" s="1393">
        <f t="shared" si="12"/>
        <v>71</v>
      </c>
      <c r="M51" s="664" t="s">
        <v>610</v>
      </c>
      <c r="N51" s="324">
        <v>22</v>
      </c>
      <c r="O51" s="325">
        <v>112013568</v>
      </c>
      <c r="P51" s="1392">
        <f t="shared" si="13"/>
        <v>71</v>
      </c>
      <c r="R51" s="664" t="s">
        <v>282</v>
      </c>
      <c r="S51" s="324">
        <v>22</v>
      </c>
      <c r="T51" s="325">
        <v>112014701</v>
      </c>
      <c r="U51" s="1392">
        <f t="shared" si="14"/>
        <v>63</v>
      </c>
      <c r="W51" s="664" t="s">
        <v>409</v>
      </c>
      <c r="X51" s="324">
        <v>7</v>
      </c>
      <c r="Y51" s="325">
        <v>112014364</v>
      </c>
      <c r="Z51" s="1392">
        <f t="shared" si="15"/>
        <v>62</v>
      </c>
      <c r="AB51" s="664" t="s">
        <v>945</v>
      </c>
      <c r="AC51" s="325">
        <v>7</v>
      </c>
      <c r="AD51" s="325">
        <v>112014691</v>
      </c>
      <c r="AE51" s="1392" t="e">
        <f t="shared" si="16"/>
        <v>#N/A</v>
      </c>
      <c r="AF51" s="302"/>
      <c r="AG51" s="325" t="s">
        <v>1557</v>
      </c>
      <c r="AH51" s="325">
        <v>1</v>
      </c>
      <c r="AI51" s="325">
        <v>112014130</v>
      </c>
      <c r="AJ51" s="799">
        <f t="shared" si="17"/>
        <v>71</v>
      </c>
      <c r="AL51" s="323" t="s">
        <v>1242</v>
      </c>
      <c r="AM51" s="325">
        <v>4</v>
      </c>
      <c r="AN51" s="325">
        <v>112014212</v>
      </c>
      <c r="AO51" s="1394" t="e">
        <f t="shared" si="18"/>
        <v>#N/A</v>
      </c>
      <c r="AQ51" s="1395" t="s">
        <v>999</v>
      </c>
      <c r="AR51" s="325">
        <v>12</v>
      </c>
      <c r="AS51" s="325">
        <v>112014480</v>
      </c>
      <c r="AT51" s="1396">
        <f t="shared" si="19"/>
        <v>12</v>
      </c>
      <c r="AU51" s="302"/>
      <c r="AV51" s="302"/>
      <c r="AW51" s="664" t="s">
        <v>1529</v>
      </c>
      <c r="AX51" s="325">
        <v>1</v>
      </c>
      <c r="AY51" s="325">
        <v>112010676</v>
      </c>
      <c r="AZ51" s="1392" t="e">
        <f t="shared" si="20"/>
        <v>#N/A</v>
      </c>
      <c r="BA51" s="302"/>
      <c r="BB51" s="664" t="s">
        <v>1315</v>
      </c>
      <c r="BC51" s="325">
        <v>22</v>
      </c>
      <c r="BD51" s="325">
        <v>112014688</v>
      </c>
      <c r="BE51" s="1392" t="str">
        <f t="shared" si="21"/>
        <v>GOMEZ JAVIER/NICOSIA CLAUDIO</v>
      </c>
      <c r="BF51" s="618"/>
      <c r="BG51" s="553"/>
      <c r="BH51" s="294"/>
      <c r="BI51" s="618"/>
      <c r="BJ51" s="618"/>
      <c r="BK51" s="618"/>
      <c r="BL51" s="553"/>
      <c r="BM51" s="618"/>
      <c r="BN51" s="618"/>
      <c r="BO51" s="618"/>
    </row>
    <row r="52" spans="1:67" ht="13" hidden="1">
      <c r="A52" s="664" t="s">
        <v>756</v>
      </c>
      <c r="B52" s="325">
        <v>18</v>
      </c>
      <c r="C52" s="325">
        <v>112013297</v>
      </c>
      <c r="D52" s="1392">
        <f t="shared" si="11"/>
        <v>69</v>
      </c>
      <c r="G52" s="323" t="s">
        <v>169</v>
      </c>
      <c r="H52" s="325">
        <v>6</v>
      </c>
      <c r="I52" s="325">
        <v>112012474</v>
      </c>
      <c r="J52" s="1393">
        <f t="shared" si="12"/>
        <v>70</v>
      </c>
      <c r="M52" s="664" t="s">
        <v>611</v>
      </c>
      <c r="N52" s="324">
        <v>22</v>
      </c>
      <c r="O52" s="325">
        <v>112013887</v>
      </c>
      <c r="P52" s="1392">
        <f t="shared" si="13"/>
        <v>71</v>
      </c>
      <c r="R52" s="664" t="s">
        <v>325</v>
      </c>
      <c r="S52" s="324">
        <v>1</v>
      </c>
      <c r="T52" s="325">
        <v>112011827</v>
      </c>
      <c r="U52" s="1392">
        <f t="shared" si="14"/>
        <v>71</v>
      </c>
      <c r="W52" s="664" t="s">
        <v>389</v>
      </c>
      <c r="X52" s="324">
        <v>9</v>
      </c>
      <c r="Y52" s="325">
        <v>112014548</v>
      </c>
      <c r="Z52" s="1392">
        <f t="shared" si="15"/>
        <v>57</v>
      </c>
      <c r="AB52" s="664" t="s">
        <v>919</v>
      </c>
      <c r="AC52" s="325">
        <v>4</v>
      </c>
      <c r="AD52" s="325">
        <v>112014401</v>
      </c>
      <c r="AE52" s="1392" t="e">
        <f t="shared" si="16"/>
        <v>#N/A</v>
      </c>
      <c r="AF52" s="302"/>
      <c r="AG52" s="325" t="s">
        <v>1360</v>
      </c>
      <c r="AH52" s="325">
        <v>1</v>
      </c>
      <c r="AI52" s="325">
        <v>112013055</v>
      </c>
      <c r="AJ52" s="799">
        <f t="shared" si="17"/>
        <v>71</v>
      </c>
      <c r="AL52" s="323" t="s">
        <v>1132</v>
      </c>
      <c r="AM52" s="325">
        <v>14</v>
      </c>
      <c r="AN52" s="325">
        <v>112013647</v>
      </c>
      <c r="AO52" s="1399">
        <f t="shared" si="18"/>
        <v>14</v>
      </c>
      <c r="AQ52" s="1395" t="s">
        <v>1010</v>
      </c>
      <c r="AR52" s="325">
        <v>30</v>
      </c>
      <c r="AS52" s="325">
        <v>112012633</v>
      </c>
      <c r="AT52" s="1397" t="e">
        <f t="shared" si="19"/>
        <v>#N/A</v>
      </c>
      <c r="AU52" s="302"/>
      <c r="AV52" s="302"/>
      <c r="AW52" s="664" t="s">
        <v>1408</v>
      </c>
      <c r="AX52" s="325">
        <v>24</v>
      </c>
      <c r="AY52" s="325">
        <v>112013226</v>
      </c>
      <c r="AZ52" s="1392">
        <f t="shared" si="20"/>
        <v>7</v>
      </c>
      <c r="BA52" s="302"/>
      <c r="BB52" s="664" t="s">
        <v>1439</v>
      </c>
      <c r="BC52" s="325">
        <v>22</v>
      </c>
      <c r="BD52" s="325">
        <v>112013507</v>
      </c>
      <c r="BE52" s="1392" t="str">
        <f t="shared" si="21"/>
        <v>GONZALEZ MAURICIO DAMIAN</v>
      </c>
      <c r="BF52" s="618"/>
      <c r="BG52" s="553"/>
      <c r="BH52" s="294"/>
      <c r="BI52" s="618"/>
      <c r="BJ52" s="618"/>
      <c r="BK52" s="618"/>
      <c r="BL52" s="553"/>
      <c r="BM52" s="618"/>
      <c r="BN52" s="618"/>
      <c r="BO52" s="618"/>
    </row>
    <row r="53" spans="1:67" ht="13" hidden="1">
      <c r="A53" s="664" t="s">
        <v>781</v>
      </c>
      <c r="B53" s="325">
        <v>1</v>
      </c>
      <c r="C53" s="325">
        <v>112010867</v>
      </c>
      <c r="D53" s="1392">
        <f t="shared" si="11"/>
        <v>71</v>
      </c>
      <c r="G53" s="323" t="s">
        <v>76</v>
      </c>
      <c r="H53" s="325">
        <v>10</v>
      </c>
      <c r="I53" s="325">
        <v>112014270</v>
      </c>
      <c r="J53" s="1393">
        <f t="shared" si="12"/>
        <v>61</v>
      </c>
      <c r="M53" s="664" t="s">
        <v>624</v>
      </c>
      <c r="N53" s="324">
        <v>18</v>
      </c>
      <c r="O53" s="325">
        <v>112014573</v>
      </c>
      <c r="P53" s="1392">
        <f t="shared" si="13"/>
        <v>69</v>
      </c>
      <c r="R53" s="664" t="s">
        <v>326</v>
      </c>
      <c r="S53" s="324">
        <v>1</v>
      </c>
      <c r="T53" s="325">
        <v>112012077</v>
      </c>
      <c r="U53" s="1392">
        <f t="shared" si="14"/>
        <v>71</v>
      </c>
      <c r="W53" s="664" t="s">
        <v>459</v>
      </c>
      <c r="X53" s="324">
        <v>1</v>
      </c>
      <c r="Y53" s="325">
        <v>112010914</v>
      </c>
      <c r="Z53" s="1392">
        <f t="shared" si="15"/>
        <v>71</v>
      </c>
      <c r="AB53" s="664" t="s">
        <v>906</v>
      </c>
      <c r="AC53" s="325">
        <v>22</v>
      </c>
      <c r="AD53" s="325">
        <v>112010260</v>
      </c>
      <c r="AE53" s="1392" t="e">
        <f t="shared" si="16"/>
        <v>#N/A</v>
      </c>
      <c r="AF53" s="302"/>
      <c r="AG53" s="325" t="s">
        <v>1295</v>
      </c>
      <c r="AH53" s="325">
        <v>22</v>
      </c>
      <c r="AI53" s="325">
        <v>112011689</v>
      </c>
      <c r="AJ53" s="799">
        <f t="shared" si="17"/>
        <v>63</v>
      </c>
      <c r="AL53" s="323" t="s">
        <v>1233</v>
      </c>
      <c r="AM53" s="325">
        <v>20</v>
      </c>
      <c r="AN53" s="325">
        <v>112012606</v>
      </c>
      <c r="AO53" s="1394" t="e">
        <f t="shared" si="18"/>
        <v>#N/A</v>
      </c>
      <c r="AQ53" s="1395" t="s">
        <v>1007</v>
      </c>
      <c r="AR53" s="325">
        <v>7</v>
      </c>
      <c r="AS53" s="325">
        <v>112014461</v>
      </c>
      <c r="AT53" s="1396">
        <f t="shared" si="19"/>
        <v>7</v>
      </c>
      <c r="AU53" s="302"/>
      <c r="AV53" s="302"/>
      <c r="AW53" s="664" t="s">
        <v>1454</v>
      </c>
      <c r="AX53" s="325">
        <v>22</v>
      </c>
      <c r="AY53" s="325">
        <v>112014567</v>
      </c>
      <c r="AZ53" s="1392">
        <f t="shared" si="20"/>
        <v>22</v>
      </c>
      <c r="BA53" s="302"/>
      <c r="BB53" s="664" t="s">
        <v>1529</v>
      </c>
      <c r="BC53" s="325"/>
      <c r="BD53" s="325">
        <v>112013714</v>
      </c>
      <c r="BE53" s="1392" t="str">
        <f t="shared" si="21"/>
        <v>GRUPO UNLP</v>
      </c>
      <c r="BF53" s="618"/>
      <c r="BG53" s="553"/>
      <c r="BH53" s="294"/>
      <c r="BI53" s="618"/>
      <c r="BJ53" s="618"/>
      <c r="BK53" s="618"/>
      <c r="BL53" s="553"/>
      <c r="BM53" s="618"/>
      <c r="BN53" s="618"/>
      <c r="BO53" s="618"/>
    </row>
    <row r="54" spans="1:67" ht="13" hidden="1">
      <c r="A54" s="664" t="s">
        <v>782</v>
      </c>
      <c r="B54" s="325">
        <v>1</v>
      </c>
      <c r="C54" s="325">
        <v>112013438</v>
      </c>
      <c r="D54" s="1392">
        <f t="shared" si="11"/>
        <v>71</v>
      </c>
      <c r="G54" s="323" t="s">
        <v>152</v>
      </c>
      <c r="H54" s="325">
        <v>4</v>
      </c>
      <c r="I54" s="325">
        <v>112014553</v>
      </c>
      <c r="J54" s="1393">
        <f t="shared" si="12"/>
        <v>70</v>
      </c>
      <c r="M54" s="664" t="s">
        <v>561</v>
      </c>
      <c r="N54" s="324">
        <v>31</v>
      </c>
      <c r="O54" s="325">
        <v>112014136</v>
      </c>
      <c r="P54" s="1392">
        <f t="shared" si="13"/>
        <v>69</v>
      </c>
      <c r="R54" s="664" t="s">
        <v>301</v>
      </c>
      <c r="S54" s="324">
        <v>4</v>
      </c>
      <c r="T54" s="325">
        <v>112013107</v>
      </c>
      <c r="U54" s="1392">
        <f t="shared" si="14"/>
        <v>70</v>
      </c>
      <c r="W54" s="664" t="s">
        <v>431</v>
      </c>
      <c r="X54" s="324">
        <v>22</v>
      </c>
      <c r="Y54" s="325">
        <v>112011724</v>
      </c>
      <c r="Z54" s="1392">
        <f t="shared" si="15"/>
        <v>63</v>
      </c>
      <c r="AB54" s="664" t="s">
        <v>849</v>
      </c>
      <c r="AC54" s="325">
        <v>7</v>
      </c>
      <c r="AD54" s="325">
        <v>112013166</v>
      </c>
      <c r="AE54" s="1398">
        <f t="shared" si="16"/>
        <v>7</v>
      </c>
      <c r="AF54" s="302"/>
      <c r="AG54" s="325" t="s">
        <v>1361</v>
      </c>
      <c r="AH54" s="325">
        <v>1</v>
      </c>
      <c r="AI54" s="325">
        <v>112011563</v>
      </c>
      <c r="AJ54" s="799">
        <f t="shared" si="17"/>
        <v>71</v>
      </c>
      <c r="AL54" s="323" t="s">
        <v>1148</v>
      </c>
      <c r="AM54" s="325">
        <v>4</v>
      </c>
      <c r="AN54" s="325">
        <v>112014197</v>
      </c>
      <c r="AO54" s="1399">
        <f t="shared" si="18"/>
        <v>4</v>
      </c>
      <c r="AQ54" s="1395" t="s">
        <v>842</v>
      </c>
      <c r="AR54" s="325">
        <v>10</v>
      </c>
      <c r="AS54" s="325">
        <v>112013957</v>
      </c>
      <c r="AT54" s="1397" t="e">
        <f t="shared" si="19"/>
        <v>#N/A</v>
      </c>
      <c r="AU54" s="302"/>
      <c r="AV54" s="302"/>
      <c r="AW54" s="664" t="s">
        <v>1440</v>
      </c>
      <c r="AX54" s="325">
        <v>22</v>
      </c>
      <c r="AY54" s="325">
        <v>112014534</v>
      </c>
      <c r="AZ54" s="1392">
        <f t="shared" si="20"/>
        <v>22</v>
      </c>
      <c r="BA54" s="302"/>
      <c r="BB54" s="664" t="s">
        <v>1065</v>
      </c>
      <c r="BC54" s="325">
        <v>20</v>
      </c>
      <c r="BD54" s="325">
        <v>112013474</v>
      </c>
      <c r="BE54" s="1392" t="str">
        <f t="shared" si="21"/>
        <v>GUERRA LUIS SANDRO SANTOS</v>
      </c>
      <c r="BF54" s="618"/>
      <c r="BG54" s="553"/>
      <c r="BH54" s="294"/>
      <c r="BI54" s="618"/>
      <c r="BJ54" s="618"/>
      <c r="BK54" s="618"/>
      <c r="BL54" s="553"/>
      <c r="BM54" s="618"/>
      <c r="BN54" s="618"/>
      <c r="BO54" s="618"/>
    </row>
    <row r="55" spans="1:67" ht="13" hidden="1">
      <c r="A55" s="664" t="s">
        <v>669</v>
      </c>
      <c r="B55" s="325">
        <v>22</v>
      </c>
      <c r="C55" s="325">
        <v>112011888</v>
      </c>
      <c r="D55" s="1392" t="e">
        <f t="shared" si="11"/>
        <v>#N/A</v>
      </c>
      <c r="G55" s="323" t="s">
        <v>118</v>
      </c>
      <c r="H55" s="325">
        <v>8</v>
      </c>
      <c r="I55" s="325">
        <v>112014654</v>
      </c>
      <c r="J55" s="1393">
        <f t="shared" si="12"/>
        <v>70</v>
      </c>
      <c r="M55" s="664" t="s">
        <v>581</v>
      </c>
      <c r="N55" s="324">
        <v>7</v>
      </c>
      <c r="O55" s="325">
        <v>112014373</v>
      </c>
      <c r="P55" s="1392">
        <f t="shared" si="13"/>
        <v>70</v>
      </c>
      <c r="R55" s="664" t="s">
        <v>309</v>
      </c>
      <c r="S55" s="324">
        <v>1</v>
      </c>
      <c r="T55" s="325">
        <v>112014435</v>
      </c>
      <c r="U55" s="1392">
        <f t="shared" si="14"/>
        <v>71</v>
      </c>
      <c r="W55" s="664" t="s">
        <v>410</v>
      </c>
      <c r="X55" s="324">
        <v>7</v>
      </c>
      <c r="Y55" s="325">
        <v>112011890</v>
      </c>
      <c r="Z55" s="1392">
        <f t="shared" si="15"/>
        <v>62</v>
      </c>
      <c r="AB55" s="664" t="s">
        <v>950</v>
      </c>
      <c r="AC55" s="325">
        <v>29</v>
      </c>
      <c r="AD55" s="325">
        <v>112014078</v>
      </c>
      <c r="AE55" s="1392" t="e">
        <f t="shared" si="16"/>
        <v>#N/A</v>
      </c>
      <c r="AF55" s="302"/>
      <c r="AG55" s="325" t="s">
        <v>1337</v>
      </c>
      <c r="AH55" s="325">
        <v>12</v>
      </c>
      <c r="AI55" s="325">
        <v>112013167</v>
      </c>
      <c r="AJ55" s="799">
        <f t="shared" si="17"/>
        <v>71</v>
      </c>
      <c r="AL55" s="323" t="s">
        <v>1160</v>
      </c>
      <c r="AM55" s="325">
        <v>4</v>
      </c>
      <c r="AN55" s="325">
        <v>112012600</v>
      </c>
      <c r="AO55" s="1394" t="e">
        <f t="shared" si="18"/>
        <v>#N/A</v>
      </c>
      <c r="AQ55" s="1395" t="s">
        <v>843</v>
      </c>
      <c r="AR55" s="325">
        <v>10</v>
      </c>
      <c r="AS55" s="325">
        <v>112014403</v>
      </c>
      <c r="AT55" s="1397" t="e">
        <f t="shared" si="19"/>
        <v>#N/A</v>
      </c>
      <c r="AU55" s="302"/>
      <c r="AV55" s="302"/>
      <c r="AW55" s="664" t="s">
        <v>1401</v>
      </c>
      <c r="AX55" s="325">
        <v>12</v>
      </c>
      <c r="AY55" s="325">
        <v>112013512</v>
      </c>
      <c r="AZ55" s="1392">
        <f t="shared" si="20"/>
        <v>12</v>
      </c>
      <c r="BA55" s="302"/>
      <c r="BB55" s="664" t="s">
        <v>1317</v>
      </c>
      <c r="BC55" s="325">
        <v>22</v>
      </c>
      <c r="BD55" s="325">
        <v>112013167</v>
      </c>
      <c r="BE55" s="1392" t="str">
        <f t="shared" si="21"/>
        <v>GUILINO ABEL ALCIDES</v>
      </c>
      <c r="BF55" s="618"/>
      <c r="BG55" s="553"/>
      <c r="BH55" s="294"/>
      <c r="BI55" s="618"/>
      <c r="BJ55" s="618"/>
      <c r="BK55" s="618"/>
      <c r="BL55" s="553"/>
      <c r="BM55" s="618"/>
      <c r="BN55" s="618"/>
      <c r="BO55" s="618"/>
    </row>
    <row r="56" spans="1:67" ht="13" hidden="1">
      <c r="A56" s="664" t="s">
        <v>783</v>
      </c>
      <c r="B56" s="325">
        <v>1</v>
      </c>
      <c r="C56" s="325">
        <v>112013823</v>
      </c>
      <c r="D56" s="1392">
        <f t="shared" si="11"/>
        <v>71</v>
      </c>
      <c r="G56" s="323" t="s">
        <v>184</v>
      </c>
      <c r="H56" s="325">
        <v>1</v>
      </c>
      <c r="I56" s="325">
        <v>112014467</v>
      </c>
      <c r="J56" s="1393">
        <f t="shared" si="12"/>
        <v>71</v>
      </c>
      <c r="M56" s="664" t="s">
        <v>515</v>
      </c>
      <c r="N56" s="324">
        <v>10</v>
      </c>
      <c r="O56" s="325">
        <v>112014583</v>
      </c>
      <c r="P56" s="1392">
        <f t="shared" si="13"/>
        <v>52</v>
      </c>
      <c r="R56" s="664" t="s">
        <v>284</v>
      </c>
      <c r="S56" s="324">
        <v>29</v>
      </c>
      <c r="T56" s="325">
        <v>112014421</v>
      </c>
      <c r="U56" s="1392">
        <f t="shared" si="14"/>
        <v>66</v>
      </c>
      <c r="W56" s="664" t="s">
        <v>432</v>
      </c>
      <c r="X56" s="324">
        <v>22</v>
      </c>
      <c r="Y56" s="325">
        <v>112012457</v>
      </c>
      <c r="Z56" s="1392">
        <f t="shared" si="15"/>
        <v>63</v>
      </c>
      <c r="AB56" s="664" t="s">
        <v>968</v>
      </c>
      <c r="AC56" s="325">
        <v>4</v>
      </c>
      <c r="AD56" s="325">
        <v>112014625</v>
      </c>
      <c r="AE56" s="1392" t="e">
        <f t="shared" si="16"/>
        <v>#N/A</v>
      </c>
      <c r="AF56" s="302"/>
      <c r="AG56" s="325" t="s">
        <v>1315</v>
      </c>
      <c r="AH56" s="325">
        <v>22</v>
      </c>
      <c r="AI56" s="325">
        <v>112014487</v>
      </c>
      <c r="AJ56" s="799" t="e">
        <f t="shared" si="17"/>
        <v>#N/A</v>
      </c>
      <c r="AL56" s="323" t="s">
        <v>1558</v>
      </c>
      <c r="AM56" s="325">
        <v>4</v>
      </c>
      <c r="AN56" s="325">
        <v>112014611</v>
      </c>
      <c r="AO56" s="1394" t="e">
        <f t="shared" si="18"/>
        <v>#N/A</v>
      </c>
      <c r="AQ56" s="1395" t="s">
        <v>1019</v>
      </c>
      <c r="AR56" s="325">
        <v>22</v>
      </c>
      <c r="AS56" s="325">
        <v>112013474</v>
      </c>
      <c r="AT56" s="1396">
        <f t="shared" si="19"/>
        <v>22</v>
      </c>
      <c r="AU56" s="302"/>
      <c r="AV56" s="302"/>
      <c r="AW56" s="664" t="s">
        <v>1424</v>
      </c>
      <c r="AX56" s="325">
        <v>22</v>
      </c>
      <c r="AY56" s="325">
        <v>112014493</v>
      </c>
      <c r="AZ56" s="1392">
        <f t="shared" si="20"/>
        <v>22</v>
      </c>
      <c r="BA56" s="302"/>
      <c r="BB56" s="664" t="s">
        <v>1440</v>
      </c>
      <c r="BC56" s="325">
        <v>22</v>
      </c>
      <c r="BD56" s="325">
        <v>112013765</v>
      </c>
      <c r="BE56" s="1392" t="str">
        <f t="shared" si="21"/>
        <v>HERRERA GLORIA S/SUC2</v>
      </c>
      <c r="BF56" s="618"/>
      <c r="BG56" s="553"/>
      <c r="BH56" s="294"/>
      <c r="BI56" s="618"/>
      <c r="BJ56" s="618"/>
      <c r="BK56" s="618"/>
      <c r="BL56" s="553"/>
      <c r="BM56" s="618"/>
      <c r="BN56" s="618"/>
      <c r="BO56" s="618"/>
    </row>
    <row r="57" spans="1:67" ht="13" hidden="1">
      <c r="A57" s="664" t="s">
        <v>728</v>
      </c>
      <c r="B57" s="325">
        <v>7</v>
      </c>
      <c r="C57" s="325">
        <v>112014603</v>
      </c>
      <c r="D57" s="1392">
        <f t="shared" si="11"/>
        <v>70</v>
      </c>
      <c r="G57" s="323" t="s">
        <v>185</v>
      </c>
      <c r="H57" s="325">
        <v>1</v>
      </c>
      <c r="I57" s="325">
        <v>112013880</v>
      </c>
      <c r="J57" s="1393">
        <f t="shared" si="12"/>
        <v>71</v>
      </c>
      <c r="M57" s="664" t="s">
        <v>664</v>
      </c>
      <c r="N57" s="324"/>
      <c r="O57" s="325">
        <v>112010841</v>
      </c>
      <c r="P57" s="1392">
        <f t="shared" si="13"/>
        <v>0</v>
      </c>
      <c r="R57" s="664" t="s">
        <v>327</v>
      </c>
      <c r="S57" s="324">
        <v>1</v>
      </c>
      <c r="T57" s="325">
        <v>112013109</v>
      </c>
      <c r="U57" s="1392">
        <f t="shared" si="14"/>
        <v>71</v>
      </c>
      <c r="W57" s="664" t="s">
        <v>453</v>
      </c>
      <c r="X57" s="324">
        <v>6</v>
      </c>
      <c r="Y57" s="325">
        <v>112012567</v>
      </c>
      <c r="Z57" s="1392">
        <f t="shared" si="15"/>
        <v>70</v>
      </c>
      <c r="AB57" s="664" t="s">
        <v>892</v>
      </c>
      <c r="AC57" s="325">
        <v>4</v>
      </c>
      <c r="AD57" s="325">
        <v>112014475</v>
      </c>
      <c r="AE57" s="1398">
        <f t="shared" si="16"/>
        <v>4</v>
      </c>
      <c r="AF57" s="302"/>
      <c r="AG57" s="325" t="s">
        <v>1296</v>
      </c>
      <c r="AH57" s="325">
        <v>22</v>
      </c>
      <c r="AI57" s="325">
        <v>112013403</v>
      </c>
      <c r="AJ57" s="799">
        <f t="shared" si="17"/>
        <v>63</v>
      </c>
      <c r="AL57" s="323" t="s">
        <v>1149</v>
      </c>
      <c r="AM57" s="325">
        <v>4</v>
      </c>
      <c r="AN57" s="325">
        <v>112014214</v>
      </c>
      <c r="AO57" s="1399">
        <f t="shared" si="18"/>
        <v>4</v>
      </c>
      <c r="AQ57" s="1395" t="s">
        <v>996</v>
      </c>
      <c r="AR57" s="325">
        <v>11</v>
      </c>
      <c r="AS57" s="325">
        <v>112010082</v>
      </c>
      <c r="AT57" s="1396">
        <f t="shared" si="19"/>
        <v>11</v>
      </c>
      <c r="AU57" s="302"/>
      <c r="AV57" s="302"/>
      <c r="AW57" s="664" t="s">
        <v>1455</v>
      </c>
      <c r="AX57" s="325">
        <v>22</v>
      </c>
      <c r="AY57" s="325">
        <v>112014636</v>
      </c>
      <c r="AZ57" s="1392">
        <f t="shared" si="20"/>
        <v>22</v>
      </c>
      <c r="BA57" s="302"/>
      <c r="BB57" s="664" t="s">
        <v>1344</v>
      </c>
      <c r="BC57" s="325">
        <v>20</v>
      </c>
      <c r="BD57" s="325">
        <v>112011567</v>
      </c>
      <c r="BE57" s="1392" t="str">
        <f t="shared" si="21"/>
        <v>HUSEBY MARIA LUJAN</v>
      </c>
      <c r="BF57" s="618"/>
      <c r="BG57" s="553"/>
      <c r="BH57" s="294"/>
      <c r="BI57" s="618"/>
      <c r="BJ57" s="618"/>
      <c r="BK57" s="618"/>
      <c r="BL57" s="553"/>
      <c r="BM57" s="618"/>
      <c r="BN57" s="618"/>
      <c r="BO57" s="618"/>
    </row>
    <row r="58" spans="1:67" ht="13" hidden="1">
      <c r="A58" s="664" t="s">
        <v>691</v>
      </c>
      <c r="B58" s="325">
        <v>11</v>
      </c>
      <c r="C58" s="325">
        <v>112014465</v>
      </c>
      <c r="D58" s="1392">
        <f t="shared" si="11"/>
        <v>54</v>
      </c>
      <c r="G58" s="323" t="s">
        <v>115</v>
      </c>
      <c r="H58" s="325">
        <v>7</v>
      </c>
      <c r="I58" s="325">
        <v>112014727</v>
      </c>
      <c r="J58" s="1393">
        <f t="shared" si="12"/>
        <v>70</v>
      </c>
      <c r="M58" s="664" t="s">
        <v>638</v>
      </c>
      <c r="N58" s="324">
        <v>4</v>
      </c>
      <c r="O58" s="325">
        <v>112014245</v>
      </c>
      <c r="P58" s="1392">
        <f t="shared" si="13"/>
        <v>70</v>
      </c>
      <c r="R58" s="664" t="s">
        <v>302</v>
      </c>
      <c r="S58" s="324">
        <v>4</v>
      </c>
      <c r="T58" s="325">
        <v>112013559</v>
      </c>
      <c r="U58" s="1392">
        <f t="shared" si="14"/>
        <v>70</v>
      </c>
      <c r="W58" s="664" t="s">
        <v>433</v>
      </c>
      <c r="X58" s="324">
        <v>22</v>
      </c>
      <c r="Y58" s="325">
        <v>112013610</v>
      </c>
      <c r="Z58" s="1392">
        <f t="shared" si="15"/>
        <v>63</v>
      </c>
      <c r="AB58" s="664" t="s">
        <v>856</v>
      </c>
      <c r="AC58" s="325">
        <v>31</v>
      </c>
      <c r="AD58" s="325">
        <v>112014600</v>
      </c>
      <c r="AE58" s="1398">
        <f t="shared" si="16"/>
        <v>31</v>
      </c>
      <c r="AF58" s="302"/>
      <c r="AG58" s="325" t="s">
        <v>1317</v>
      </c>
      <c r="AH58" s="325">
        <v>22</v>
      </c>
      <c r="AI58" s="325">
        <v>112011216</v>
      </c>
      <c r="AJ58" s="799">
        <f t="shared" si="17"/>
        <v>63</v>
      </c>
      <c r="AL58" s="323" t="s">
        <v>1206</v>
      </c>
      <c r="AM58" s="325">
        <v>20</v>
      </c>
      <c r="AN58" s="325">
        <v>112013639</v>
      </c>
      <c r="AO58" s="1394" t="e">
        <f t="shared" si="18"/>
        <v>#N/A</v>
      </c>
      <c r="AQ58" s="1395" t="s">
        <v>868</v>
      </c>
      <c r="AR58" s="325">
        <v>22</v>
      </c>
      <c r="AS58" s="325">
        <v>112011508</v>
      </c>
      <c r="AT58" s="1397" t="e">
        <f t="shared" si="19"/>
        <v>#N/A</v>
      </c>
      <c r="AU58" s="302"/>
      <c r="AV58" s="302"/>
      <c r="AW58" s="664" t="s">
        <v>1412</v>
      </c>
      <c r="AX58" s="325">
        <v>31</v>
      </c>
      <c r="AY58" s="325">
        <v>112014450</v>
      </c>
      <c r="AZ58" s="1392">
        <f t="shared" si="20"/>
        <v>31</v>
      </c>
      <c r="BA58" s="302"/>
      <c r="BB58" s="664" t="s">
        <v>1401</v>
      </c>
      <c r="BC58" s="325">
        <v>12</v>
      </c>
      <c r="BD58" s="325">
        <v>112011216</v>
      </c>
      <c r="BE58" s="1392" t="str">
        <f t="shared" si="21"/>
        <v>IRAZOQUI JUAN CARLOS</v>
      </c>
      <c r="BF58" s="618"/>
      <c r="BG58" s="553"/>
      <c r="BH58" s="294"/>
      <c r="BI58" s="618"/>
      <c r="BJ58" s="618"/>
      <c r="BK58" s="618"/>
      <c r="BL58" s="553"/>
      <c r="BM58" s="618"/>
      <c r="BN58" s="618"/>
      <c r="BO58" s="618"/>
    </row>
    <row r="59" spans="1:67" ht="13" hidden="1">
      <c r="A59" s="664" t="s">
        <v>804</v>
      </c>
      <c r="B59" s="325"/>
      <c r="C59" s="325">
        <v>112013335</v>
      </c>
      <c r="D59" s="1392">
        <f t="shared" si="11"/>
        <v>0</v>
      </c>
      <c r="G59" s="323" t="s">
        <v>124</v>
      </c>
      <c r="H59" s="325">
        <v>20</v>
      </c>
      <c r="I59" s="325">
        <v>112011491</v>
      </c>
      <c r="J59" s="1393">
        <f t="shared" si="12"/>
        <v>71</v>
      </c>
      <c r="M59" s="664" t="s">
        <v>529</v>
      </c>
      <c r="N59" s="324">
        <v>7</v>
      </c>
      <c r="O59" s="325">
        <v>112014169</v>
      </c>
      <c r="P59" s="1392">
        <f t="shared" si="13"/>
        <v>62</v>
      </c>
      <c r="R59" s="664" t="s">
        <v>273</v>
      </c>
      <c r="S59" s="324">
        <v>22</v>
      </c>
      <c r="T59" s="325">
        <v>112012351</v>
      </c>
      <c r="U59" s="1392">
        <f t="shared" si="14"/>
        <v>63</v>
      </c>
      <c r="W59" s="664" t="s">
        <v>434</v>
      </c>
      <c r="X59" s="324">
        <v>22</v>
      </c>
      <c r="Y59" s="325">
        <v>112010428</v>
      </c>
      <c r="Z59" s="1392">
        <f t="shared" si="15"/>
        <v>63</v>
      </c>
      <c r="AB59" s="664" t="s">
        <v>965</v>
      </c>
      <c r="AC59" s="325">
        <v>4</v>
      </c>
      <c r="AD59" s="325">
        <v>112014552</v>
      </c>
      <c r="AE59" s="1392" t="e">
        <f t="shared" si="16"/>
        <v>#N/A</v>
      </c>
      <c r="AF59" s="302"/>
      <c r="AG59" s="325" t="s">
        <v>1392</v>
      </c>
      <c r="AH59" s="325">
        <v>22</v>
      </c>
      <c r="AI59" s="325">
        <v>112012092</v>
      </c>
      <c r="AJ59" s="799" t="e">
        <f t="shared" si="17"/>
        <v>#N/A</v>
      </c>
      <c r="AL59" s="323" t="s">
        <v>1219</v>
      </c>
      <c r="AM59" s="325">
        <v>7</v>
      </c>
      <c r="AN59" s="325">
        <v>112013855</v>
      </c>
      <c r="AO59" s="1394" t="e">
        <f t="shared" si="18"/>
        <v>#N/A</v>
      </c>
      <c r="AQ59" s="1395" t="s">
        <v>1105</v>
      </c>
      <c r="AR59" s="325">
        <v>4</v>
      </c>
      <c r="AS59" s="325">
        <v>112010461</v>
      </c>
      <c r="AT59" s="1397" t="e">
        <f t="shared" si="19"/>
        <v>#N/A</v>
      </c>
      <c r="AU59" s="302"/>
      <c r="AV59" s="302"/>
      <c r="AW59" s="664" t="s">
        <v>1418</v>
      </c>
      <c r="AX59" s="325">
        <v>7</v>
      </c>
      <c r="AY59" s="325">
        <v>112014566</v>
      </c>
      <c r="AZ59" s="1392">
        <f t="shared" si="20"/>
        <v>7</v>
      </c>
      <c r="BA59" s="302"/>
      <c r="BB59" s="664" t="s">
        <v>1054</v>
      </c>
      <c r="BC59" s="325">
        <v>22</v>
      </c>
      <c r="BD59" s="325">
        <v>112013947</v>
      </c>
      <c r="BE59" s="1392" t="str">
        <f t="shared" si="21"/>
        <v>JESICA LORENA ACOSTA</v>
      </c>
      <c r="BF59" s="618"/>
      <c r="BG59" s="553"/>
      <c r="BH59" s="294"/>
      <c r="BI59" s="618"/>
      <c r="BJ59" s="618"/>
      <c r="BK59" s="618"/>
      <c r="BL59" s="553"/>
      <c r="BM59" s="618"/>
      <c r="BN59" s="618"/>
      <c r="BO59" s="618"/>
    </row>
    <row r="60" spans="1:67" ht="13" hidden="1">
      <c r="A60" s="664" t="s">
        <v>819</v>
      </c>
      <c r="B60" s="325">
        <v>1</v>
      </c>
      <c r="C60" s="325">
        <v>112014246</v>
      </c>
      <c r="D60" s="1392" t="e">
        <f t="shared" si="11"/>
        <v>#N/A</v>
      </c>
      <c r="G60" s="323" t="s">
        <v>89</v>
      </c>
      <c r="H60" s="325">
        <v>7</v>
      </c>
      <c r="I60" s="325">
        <v>112014512</v>
      </c>
      <c r="J60" s="1393">
        <f t="shared" si="12"/>
        <v>62</v>
      </c>
      <c r="M60" s="664" t="s">
        <v>549</v>
      </c>
      <c r="N60" s="324">
        <v>10</v>
      </c>
      <c r="O60" s="325">
        <v>112014665</v>
      </c>
      <c r="P60" s="1392">
        <f t="shared" si="13"/>
        <v>69</v>
      </c>
      <c r="R60" s="664" t="s">
        <v>285</v>
      </c>
      <c r="S60" s="324">
        <v>29</v>
      </c>
      <c r="T60" s="325">
        <v>112011467</v>
      </c>
      <c r="U60" s="1392">
        <f t="shared" si="14"/>
        <v>66</v>
      </c>
      <c r="W60" s="664" t="s">
        <v>397</v>
      </c>
      <c r="X60" s="324">
        <v>31</v>
      </c>
      <c r="Y60" s="325">
        <v>112014451</v>
      </c>
      <c r="Z60" s="1392">
        <f t="shared" si="15"/>
        <v>61</v>
      </c>
      <c r="AB60" s="664" t="s">
        <v>938</v>
      </c>
      <c r="AC60" s="325">
        <v>7</v>
      </c>
      <c r="AD60" s="325">
        <v>112012316</v>
      </c>
      <c r="AE60" s="1392" t="e">
        <f t="shared" si="16"/>
        <v>#N/A</v>
      </c>
      <c r="AF60" s="302"/>
      <c r="AG60" s="325" t="s">
        <v>1393</v>
      </c>
      <c r="AH60" s="325">
        <v>22</v>
      </c>
      <c r="AI60" s="325">
        <v>112013233</v>
      </c>
      <c r="AJ60" s="799">
        <f t="shared" si="17"/>
        <v>63</v>
      </c>
      <c r="AL60" s="323" t="s">
        <v>1165</v>
      </c>
      <c r="AM60" s="325">
        <v>4</v>
      </c>
      <c r="AN60" s="325">
        <v>112013433</v>
      </c>
      <c r="AO60" s="1394" t="e">
        <f t="shared" si="18"/>
        <v>#N/A</v>
      </c>
      <c r="AQ60" s="1395" t="s">
        <v>1085</v>
      </c>
      <c r="AR60" s="325">
        <v>1</v>
      </c>
      <c r="AS60" s="325">
        <v>112013843</v>
      </c>
      <c r="AT60" s="1396">
        <f t="shared" si="19"/>
        <v>1</v>
      </c>
      <c r="AU60" s="302"/>
      <c r="AV60" s="302"/>
      <c r="AW60" s="664" t="s">
        <v>1472</v>
      </c>
      <c r="AX60" s="325">
        <v>20</v>
      </c>
      <c r="AY60" s="325">
        <v>112014644</v>
      </c>
      <c r="AZ60" s="1392">
        <f t="shared" si="20"/>
        <v>20</v>
      </c>
      <c r="BA60" s="302"/>
      <c r="BB60" s="664" t="s">
        <v>1472</v>
      </c>
      <c r="BC60" s="325">
        <v>20</v>
      </c>
      <c r="BD60" s="325">
        <v>112013512</v>
      </c>
      <c r="BE60" s="1392" t="str">
        <f t="shared" si="21"/>
        <v>KARINA TOME</v>
      </c>
      <c r="BF60" s="618"/>
      <c r="BG60" s="553"/>
      <c r="BH60" s="294"/>
      <c r="BI60" s="618"/>
      <c r="BJ60" s="618"/>
      <c r="BK60" s="618"/>
      <c r="BL60" s="553"/>
      <c r="BM60" s="618"/>
      <c r="BN60" s="618"/>
      <c r="BO60" s="618"/>
    </row>
    <row r="61" spans="1:67" ht="13" hidden="1">
      <c r="A61" s="664" t="s">
        <v>729</v>
      </c>
      <c r="B61" s="325">
        <v>7</v>
      </c>
      <c r="C61" s="325">
        <v>112014495</v>
      </c>
      <c r="D61" s="1392">
        <f t="shared" si="11"/>
        <v>70</v>
      </c>
      <c r="G61" s="323" t="s">
        <v>186</v>
      </c>
      <c r="H61" s="325">
        <v>1</v>
      </c>
      <c r="I61" s="325">
        <v>112012226</v>
      </c>
      <c r="J61" s="1393">
        <f t="shared" si="12"/>
        <v>71</v>
      </c>
      <c r="M61" s="664" t="s">
        <v>552</v>
      </c>
      <c r="N61" s="324">
        <v>8</v>
      </c>
      <c r="O61" s="325">
        <v>112014036</v>
      </c>
      <c r="P61" s="1392">
        <f t="shared" si="13"/>
        <v>70</v>
      </c>
      <c r="R61" s="664" t="s">
        <v>350</v>
      </c>
      <c r="S61" s="324"/>
      <c r="T61" s="325">
        <v>112013404</v>
      </c>
      <c r="U61" s="1392">
        <f t="shared" si="14"/>
        <v>0</v>
      </c>
      <c r="W61" s="664" t="s">
        <v>460</v>
      </c>
      <c r="X61" s="324">
        <v>1</v>
      </c>
      <c r="Y61" s="325">
        <v>112010931</v>
      </c>
      <c r="Z61" s="1392">
        <f t="shared" si="15"/>
        <v>71</v>
      </c>
      <c r="AB61" s="664" t="s">
        <v>963</v>
      </c>
      <c r="AC61" s="325">
        <v>4</v>
      </c>
      <c r="AD61" s="325">
        <v>112014201</v>
      </c>
      <c r="AE61" s="1392" t="e">
        <f t="shared" si="16"/>
        <v>#N/A</v>
      </c>
      <c r="AF61" s="302"/>
      <c r="AG61" s="325" t="s">
        <v>1344</v>
      </c>
      <c r="AH61" s="325">
        <v>20</v>
      </c>
      <c r="AI61" s="325">
        <v>112013947</v>
      </c>
      <c r="AJ61" s="799">
        <f t="shared" si="17"/>
        <v>71</v>
      </c>
      <c r="AL61" s="323" t="s">
        <v>1179</v>
      </c>
      <c r="AM61" s="325">
        <v>1</v>
      </c>
      <c r="AN61" s="325">
        <v>112013642</v>
      </c>
      <c r="AO61" s="1394" t="e">
        <f t="shared" si="18"/>
        <v>#N/A</v>
      </c>
      <c r="AQ61" s="1395" t="s">
        <v>1073</v>
      </c>
      <c r="AR61" s="325">
        <v>1</v>
      </c>
      <c r="AS61" s="325">
        <v>112011971</v>
      </c>
      <c r="AT61" s="1396">
        <f t="shared" si="19"/>
        <v>1</v>
      </c>
      <c r="AU61" s="302"/>
      <c r="AV61" s="302"/>
      <c r="AW61" s="664" t="s">
        <v>1423</v>
      </c>
      <c r="AX61" s="325">
        <v>7</v>
      </c>
      <c r="AY61" s="325">
        <v>112013331</v>
      </c>
      <c r="AZ61" s="1392">
        <f t="shared" si="20"/>
        <v>7</v>
      </c>
      <c r="BA61" s="302"/>
      <c r="BB61" s="664" t="s">
        <v>1423</v>
      </c>
      <c r="BC61" s="325">
        <v>7</v>
      </c>
      <c r="BD61" s="325">
        <v>112014425</v>
      </c>
      <c r="BE61" s="1392" t="str">
        <f t="shared" si="21"/>
        <v>KENNY RUPERTO ENRIQUE</v>
      </c>
      <c r="BF61" s="618"/>
      <c r="BG61" s="553"/>
      <c r="BH61" s="294"/>
      <c r="BI61" s="618"/>
      <c r="BJ61" s="618"/>
      <c r="BK61" s="618"/>
      <c r="BL61" s="553"/>
      <c r="BM61" s="618"/>
      <c r="BN61" s="618"/>
      <c r="BO61" s="618"/>
    </row>
    <row r="62" spans="1:67" ht="13" hidden="1">
      <c r="A62" s="664" t="s">
        <v>757</v>
      </c>
      <c r="B62" s="325">
        <v>4</v>
      </c>
      <c r="C62" s="325">
        <v>112013885</v>
      </c>
      <c r="D62" s="1392">
        <f t="shared" si="11"/>
        <v>70</v>
      </c>
      <c r="G62" s="323" t="s">
        <v>153</v>
      </c>
      <c r="H62" s="325">
        <v>4</v>
      </c>
      <c r="I62" s="325">
        <v>112014426</v>
      </c>
      <c r="J62" s="1393">
        <f t="shared" si="12"/>
        <v>70</v>
      </c>
      <c r="M62" s="664" t="s">
        <v>625</v>
      </c>
      <c r="N62" s="324">
        <v>4</v>
      </c>
      <c r="O62" s="325">
        <v>112013208</v>
      </c>
      <c r="P62" s="1392">
        <f t="shared" si="13"/>
        <v>70</v>
      </c>
      <c r="R62" s="664" t="s">
        <v>328</v>
      </c>
      <c r="S62" s="324">
        <v>1</v>
      </c>
      <c r="T62" s="325">
        <v>112014616</v>
      </c>
      <c r="U62" s="1392">
        <f t="shared" si="14"/>
        <v>71</v>
      </c>
      <c r="W62" s="664" t="s">
        <v>494</v>
      </c>
      <c r="X62" s="324">
        <v>11</v>
      </c>
      <c r="Y62" s="325">
        <v>112011195</v>
      </c>
      <c r="Z62" s="1392" t="e">
        <f t="shared" si="15"/>
        <v>#N/A</v>
      </c>
      <c r="AB62" s="664" t="s">
        <v>967</v>
      </c>
      <c r="AC62" s="325">
        <v>4</v>
      </c>
      <c r="AD62" s="325">
        <v>112014596</v>
      </c>
      <c r="AE62" s="1392" t="e">
        <f t="shared" si="16"/>
        <v>#N/A</v>
      </c>
      <c r="AF62" s="302"/>
      <c r="AG62" s="325" t="s">
        <v>1362</v>
      </c>
      <c r="AH62" s="325">
        <v>1</v>
      </c>
      <c r="AI62" s="325">
        <v>112012704</v>
      </c>
      <c r="AJ62" s="799">
        <f t="shared" si="17"/>
        <v>71</v>
      </c>
      <c r="AL62" s="323" t="s">
        <v>1166</v>
      </c>
      <c r="AM62" s="325">
        <v>4</v>
      </c>
      <c r="AN62" s="325">
        <v>112013146</v>
      </c>
      <c r="AO62" s="1394" t="e">
        <f t="shared" si="18"/>
        <v>#N/A</v>
      </c>
      <c r="AQ62" s="1395" t="s">
        <v>1040</v>
      </c>
      <c r="AR62" s="325">
        <v>30</v>
      </c>
      <c r="AS62" s="325">
        <v>112011404</v>
      </c>
      <c r="AT62" s="1396">
        <f t="shared" si="19"/>
        <v>6</v>
      </c>
      <c r="AU62" s="302"/>
      <c r="AV62" s="302"/>
      <c r="AW62" s="664" t="s">
        <v>1486</v>
      </c>
      <c r="AX62" s="325">
        <v>1</v>
      </c>
      <c r="AY62" s="325">
        <v>112014586</v>
      </c>
      <c r="AZ62" s="1392">
        <f t="shared" si="20"/>
        <v>1</v>
      </c>
      <c r="BA62" s="302"/>
      <c r="BB62" s="664" t="s">
        <v>1441</v>
      </c>
      <c r="BC62" s="325">
        <v>22</v>
      </c>
      <c r="BD62" s="325">
        <v>112014644</v>
      </c>
      <c r="BE62" s="1392" t="str">
        <f t="shared" si="21"/>
        <v>LA NUEVA MERCED S.R.L.</v>
      </c>
      <c r="BF62" s="618"/>
      <c r="BG62" s="553"/>
      <c r="BH62" s="294"/>
      <c r="BI62" s="618"/>
      <c r="BJ62" s="618"/>
      <c r="BK62" s="618"/>
      <c r="BL62" s="553"/>
      <c r="BM62" s="618"/>
      <c r="BN62" s="618"/>
      <c r="BO62" s="618"/>
    </row>
    <row r="63" spans="1:67" ht="13" hidden="1">
      <c r="A63" s="664" t="s">
        <v>703</v>
      </c>
      <c r="B63" s="325">
        <v>7</v>
      </c>
      <c r="C63" s="325">
        <v>112014488</v>
      </c>
      <c r="D63" s="1392">
        <f t="shared" si="11"/>
        <v>62</v>
      </c>
      <c r="G63" s="323" t="s">
        <v>77</v>
      </c>
      <c r="H63" s="325">
        <v>31</v>
      </c>
      <c r="I63" s="325">
        <v>112014629</v>
      </c>
      <c r="J63" s="1393" t="e">
        <f t="shared" si="12"/>
        <v>#N/A</v>
      </c>
      <c r="M63" s="664" t="s">
        <v>582</v>
      </c>
      <c r="N63" s="324">
        <v>7</v>
      </c>
      <c r="O63" s="325">
        <v>112014396</v>
      </c>
      <c r="P63" s="1392">
        <f t="shared" si="13"/>
        <v>70</v>
      </c>
      <c r="R63" s="664" t="s">
        <v>292</v>
      </c>
      <c r="S63" s="324">
        <v>18</v>
      </c>
      <c r="T63" s="325">
        <v>112014630</v>
      </c>
      <c r="U63" s="1392">
        <f t="shared" si="14"/>
        <v>69</v>
      </c>
      <c r="W63" s="664" t="s">
        <v>454</v>
      </c>
      <c r="X63" s="324">
        <v>1</v>
      </c>
      <c r="Y63" s="325">
        <v>112010429</v>
      </c>
      <c r="Z63" s="1392">
        <f t="shared" si="15"/>
        <v>71</v>
      </c>
      <c r="AB63" s="664" t="s">
        <v>929</v>
      </c>
      <c r="AC63" s="325">
        <v>22</v>
      </c>
      <c r="AD63" s="325">
        <v>112014582</v>
      </c>
      <c r="AE63" s="1392" t="e">
        <f t="shared" si="16"/>
        <v>#N/A</v>
      </c>
      <c r="AF63" s="302"/>
      <c r="AG63" s="325" t="s">
        <v>1390</v>
      </c>
      <c r="AH63" s="325">
        <v>1</v>
      </c>
      <c r="AI63" s="325">
        <v>112012225</v>
      </c>
      <c r="AJ63" s="799" t="e">
        <f t="shared" si="17"/>
        <v>#N/A</v>
      </c>
      <c r="AL63" s="323" t="s">
        <v>1220</v>
      </c>
      <c r="AM63" s="325">
        <v>7</v>
      </c>
      <c r="AN63" s="325">
        <v>112013717</v>
      </c>
      <c r="AO63" s="1394" t="e">
        <f t="shared" si="18"/>
        <v>#N/A</v>
      </c>
      <c r="AQ63" s="1395" t="s">
        <v>1065</v>
      </c>
      <c r="AR63" s="325">
        <v>20</v>
      </c>
      <c r="AS63" s="325">
        <v>112011567</v>
      </c>
      <c r="AT63" s="1396">
        <f t="shared" si="19"/>
        <v>1</v>
      </c>
      <c r="AU63" s="302"/>
      <c r="AV63" s="302"/>
      <c r="AW63" s="664" t="s">
        <v>1441</v>
      </c>
      <c r="AX63" s="325">
        <v>22</v>
      </c>
      <c r="AY63" s="325">
        <v>112013622</v>
      </c>
      <c r="AZ63" s="1392">
        <f t="shared" si="20"/>
        <v>22</v>
      </c>
      <c r="BA63" s="302"/>
      <c r="BB63" s="664" t="s">
        <v>587</v>
      </c>
      <c r="BC63" s="325">
        <v>7</v>
      </c>
      <c r="BD63" s="325">
        <v>112013331</v>
      </c>
      <c r="BE63" s="1392" t="str">
        <f t="shared" si="21"/>
        <v>LAGOS SEBASTIAN AGUSTIN</v>
      </c>
      <c r="BF63" s="618"/>
      <c r="BG63" s="553"/>
      <c r="BH63" s="294"/>
      <c r="BI63" s="618"/>
      <c r="BJ63" s="618"/>
      <c r="BK63" s="618"/>
      <c r="BL63" s="553"/>
      <c r="BM63" s="618"/>
      <c r="BN63" s="618"/>
      <c r="BO63" s="618"/>
    </row>
    <row r="64" spans="1:67" ht="13" hidden="1">
      <c r="A64" s="664" t="s">
        <v>784</v>
      </c>
      <c r="B64" s="325">
        <v>1</v>
      </c>
      <c r="C64" s="325">
        <v>112011935</v>
      </c>
      <c r="D64" s="1392">
        <f t="shared" si="11"/>
        <v>71</v>
      </c>
      <c r="G64" s="323" t="s">
        <v>91</v>
      </c>
      <c r="H64" s="325">
        <v>7</v>
      </c>
      <c r="I64" s="325">
        <v>112012200</v>
      </c>
      <c r="J64" s="1393">
        <f t="shared" si="12"/>
        <v>62</v>
      </c>
      <c r="M64" s="664" t="s">
        <v>612</v>
      </c>
      <c r="N64" s="324">
        <v>22</v>
      </c>
      <c r="O64" s="325">
        <v>112014281</v>
      </c>
      <c r="P64" s="1392">
        <f t="shared" si="13"/>
        <v>71</v>
      </c>
      <c r="R64" s="664" t="s">
        <v>265</v>
      </c>
      <c r="S64" s="324">
        <v>30</v>
      </c>
      <c r="T64" s="325">
        <v>112014664</v>
      </c>
      <c r="U64" s="1392">
        <f t="shared" si="14"/>
        <v>62</v>
      </c>
      <c r="W64" s="664" t="s">
        <v>465</v>
      </c>
      <c r="X64" s="324">
        <v>1</v>
      </c>
      <c r="Y64" s="325">
        <v>112011673</v>
      </c>
      <c r="Z64" s="1392">
        <f t="shared" si="15"/>
        <v>71</v>
      </c>
      <c r="AB64" s="664" t="s">
        <v>934</v>
      </c>
      <c r="AC64" s="325">
        <v>7</v>
      </c>
      <c r="AD64" s="325">
        <v>112014125</v>
      </c>
      <c r="AE64" s="1392" t="e">
        <f t="shared" si="16"/>
        <v>#N/A</v>
      </c>
      <c r="AF64" s="302"/>
      <c r="AG64" s="325" t="s">
        <v>1297</v>
      </c>
      <c r="AH64" s="325">
        <v>22</v>
      </c>
      <c r="AI64" s="325">
        <v>112011764</v>
      </c>
      <c r="AJ64" s="799">
        <f t="shared" si="17"/>
        <v>63</v>
      </c>
      <c r="AL64" s="323" t="s">
        <v>1167</v>
      </c>
      <c r="AM64" s="325">
        <v>4</v>
      </c>
      <c r="AN64" s="325">
        <v>112014655</v>
      </c>
      <c r="AO64" s="1394" t="e">
        <f t="shared" si="18"/>
        <v>#N/A</v>
      </c>
      <c r="AQ64" s="1395" t="s">
        <v>1103</v>
      </c>
      <c r="AR64" s="325">
        <v>29</v>
      </c>
      <c r="AS64" s="325">
        <v>112011658</v>
      </c>
      <c r="AT64" s="1397" t="e">
        <f t="shared" si="19"/>
        <v>#N/A</v>
      </c>
      <c r="AU64" s="302"/>
      <c r="AV64" s="302"/>
      <c r="AW64" s="664" t="s">
        <v>1504</v>
      </c>
      <c r="AX64" s="325"/>
      <c r="AY64" s="325">
        <v>112014624</v>
      </c>
      <c r="AZ64" s="1392">
        <f t="shared" si="20"/>
        <v>0</v>
      </c>
      <c r="BA64" s="302"/>
      <c r="BB64" s="664" t="s">
        <v>1264</v>
      </c>
      <c r="BC64" s="325">
        <v>10</v>
      </c>
      <c r="BD64" s="325">
        <v>112013622</v>
      </c>
      <c r="BE64" s="1392" t="str">
        <f t="shared" si="21"/>
        <v>LARREA HERNAN PABLO</v>
      </c>
      <c r="BF64" s="618"/>
      <c r="BG64" s="553"/>
      <c r="BH64" s="294"/>
      <c r="BI64" s="618"/>
      <c r="BJ64" s="618"/>
      <c r="BK64" s="618"/>
      <c r="BL64" s="553"/>
      <c r="BM64" s="618"/>
      <c r="BN64" s="618"/>
      <c r="BO64" s="618"/>
    </row>
    <row r="65" spans="1:67" ht="13" hidden="1">
      <c r="A65" s="664" t="s">
        <v>730</v>
      </c>
      <c r="B65" s="325">
        <v>7</v>
      </c>
      <c r="C65" s="325">
        <v>112013896</v>
      </c>
      <c r="D65" s="1392">
        <f t="shared" si="11"/>
        <v>70</v>
      </c>
      <c r="G65" s="323" t="s">
        <v>93</v>
      </c>
      <c r="H65" s="325">
        <v>7</v>
      </c>
      <c r="I65" s="325">
        <v>112013044</v>
      </c>
      <c r="J65" s="1393">
        <f t="shared" si="12"/>
        <v>62</v>
      </c>
      <c r="M65" s="664" t="s">
        <v>613</v>
      </c>
      <c r="N65" s="324">
        <v>22</v>
      </c>
      <c r="O65" s="325">
        <v>112013889</v>
      </c>
      <c r="P65" s="1392">
        <f t="shared" si="13"/>
        <v>71</v>
      </c>
      <c r="R65" s="664" t="s">
        <v>274</v>
      </c>
      <c r="S65" s="324">
        <v>22</v>
      </c>
      <c r="T65" s="325">
        <v>112012897</v>
      </c>
      <c r="U65" s="1392">
        <f t="shared" si="14"/>
        <v>63</v>
      </c>
      <c r="W65" s="664" t="s">
        <v>446</v>
      </c>
      <c r="X65" s="324">
        <v>29</v>
      </c>
      <c r="Y65" s="325">
        <v>112014105</v>
      </c>
      <c r="Z65" s="1392">
        <f t="shared" si="15"/>
        <v>66</v>
      </c>
      <c r="AB65" s="664" t="s">
        <v>969</v>
      </c>
      <c r="AC65" s="325">
        <v>1</v>
      </c>
      <c r="AD65" s="325">
        <v>112014568</v>
      </c>
      <c r="AE65" s="1392" t="e">
        <f t="shared" si="16"/>
        <v>#N/A</v>
      </c>
      <c r="AF65" s="302"/>
      <c r="AG65" s="325" t="s">
        <v>1391</v>
      </c>
      <c r="AH65" s="325">
        <v>1</v>
      </c>
      <c r="AI65" s="325">
        <v>112012622</v>
      </c>
      <c r="AJ65" s="799" t="e">
        <f t="shared" si="17"/>
        <v>#N/A</v>
      </c>
      <c r="AL65" s="323" t="s">
        <v>1170</v>
      </c>
      <c r="AM65" s="325">
        <v>4</v>
      </c>
      <c r="AN65" s="325">
        <v>112013266</v>
      </c>
      <c r="AO65" s="1394" t="e">
        <f t="shared" si="18"/>
        <v>#N/A</v>
      </c>
      <c r="AQ65" s="1395" t="s">
        <v>1096</v>
      </c>
      <c r="AR65" s="325">
        <v>1</v>
      </c>
      <c r="AS65" s="325">
        <v>112012041</v>
      </c>
      <c r="AT65" s="1397" t="e">
        <f t="shared" si="19"/>
        <v>#N/A</v>
      </c>
      <c r="AU65" s="302"/>
      <c r="AV65" s="302"/>
      <c r="AW65" s="664" t="s">
        <v>1456</v>
      </c>
      <c r="AX65" s="325">
        <v>22</v>
      </c>
      <c r="AY65" s="325">
        <v>112013198</v>
      </c>
      <c r="AZ65" s="1392">
        <f t="shared" si="20"/>
        <v>22</v>
      </c>
      <c r="BA65" s="302"/>
      <c r="BB65" s="664" t="s">
        <v>1318</v>
      </c>
      <c r="BC65" s="325">
        <v>22</v>
      </c>
      <c r="BD65" s="325">
        <v>112013605</v>
      </c>
      <c r="BE65" s="1392" t="str">
        <f t="shared" si="21"/>
        <v>LAS PRADERAS DE PETREIGNE JORGE HORACIO ATELA OMAR SEBASTIAN Y COSTANTINO JAVIER</v>
      </c>
      <c r="BF65" s="618"/>
      <c r="BG65" s="553"/>
      <c r="BH65" s="294"/>
      <c r="BI65" s="618"/>
      <c r="BJ65" s="618"/>
      <c r="BK65" s="618"/>
      <c r="BL65" s="553"/>
      <c r="BM65" s="618"/>
      <c r="BN65" s="618"/>
      <c r="BO65" s="618"/>
    </row>
    <row r="66" spans="1:67" ht="13" hidden="1">
      <c r="A66" s="664" t="s">
        <v>743</v>
      </c>
      <c r="B66" s="325">
        <v>18</v>
      </c>
      <c r="C66" s="325">
        <v>112014236</v>
      </c>
      <c r="D66" s="1392">
        <f t="shared" ref="D66:D97" si="22">VLOOKUP(C66,buelafin,10,FALSE)</f>
        <v>69</v>
      </c>
      <c r="G66" s="323" t="s">
        <v>105</v>
      </c>
      <c r="H66" s="325">
        <v>22</v>
      </c>
      <c r="I66" s="325">
        <v>112010764</v>
      </c>
      <c r="J66" s="1393">
        <f t="shared" ref="J66:J97" si="23">VLOOKUP(I66,bassfin,10,FALSE)</f>
        <v>63</v>
      </c>
      <c r="M66" s="664" t="s">
        <v>583</v>
      </c>
      <c r="N66" s="324">
        <v>7</v>
      </c>
      <c r="O66" s="325">
        <v>112013756</v>
      </c>
      <c r="P66" s="1392">
        <f t="shared" ref="P66:P97" si="24">VLOOKUP(O66,LAGEFIN,10,FALSE)</f>
        <v>70</v>
      </c>
      <c r="R66" s="664" t="s">
        <v>262</v>
      </c>
      <c r="S66" s="324">
        <v>38</v>
      </c>
      <c r="T66" s="325">
        <v>112014295</v>
      </c>
      <c r="U66" s="1392">
        <f t="shared" ref="U66:U97" si="25">VLOOKUP(T66,calofin,6,FALSE)</f>
        <v>52</v>
      </c>
      <c r="W66" s="664" t="s">
        <v>451</v>
      </c>
      <c r="X66" s="324">
        <v>20</v>
      </c>
      <c r="Y66" s="325">
        <v>112011697</v>
      </c>
      <c r="Z66" s="1392">
        <f t="shared" ref="Z66:Z97" si="26">VLOOKUP(Y66,RETAMFIN,6,FALSE)</f>
        <v>67</v>
      </c>
      <c r="AB66" s="664" t="s">
        <v>874</v>
      </c>
      <c r="AC66" s="325">
        <v>38</v>
      </c>
      <c r="AD66" s="325">
        <v>112014484</v>
      </c>
      <c r="AE66" s="1398">
        <f t="shared" ref="AE66:AE97" si="27">VLOOKUP(AD66,VARGASFIN,6,FALSE)</f>
        <v>42</v>
      </c>
      <c r="AF66" s="302"/>
      <c r="AG66" s="325" t="s">
        <v>1287</v>
      </c>
      <c r="AH66" s="325">
        <v>22</v>
      </c>
      <c r="AI66" s="325">
        <v>112014146</v>
      </c>
      <c r="AJ66" s="799">
        <f t="shared" ref="AJ66:AJ97" si="28">VLOOKUP(AI66,MONTENEFIN,6,FALSE)</f>
        <v>63</v>
      </c>
      <c r="AL66" s="323" t="s">
        <v>1143</v>
      </c>
      <c r="AM66" s="325">
        <v>29</v>
      </c>
      <c r="AN66" s="325">
        <v>112014017</v>
      </c>
      <c r="AO66" s="1399">
        <f t="shared" ref="AO66:AO97" si="29">VLOOKUP(AN66,MARUCAFIN,6,FALSE)</f>
        <v>29</v>
      </c>
      <c r="AQ66" s="1395" t="s">
        <v>1054</v>
      </c>
      <c r="AR66" s="325">
        <v>22</v>
      </c>
      <c r="AS66" s="325">
        <v>112014425</v>
      </c>
      <c r="AT66" s="1396">
        <f t="shared" ref="AT66:AT97" si="30">VLOOKUP(AS66,ARRIOLFIN,6,FALSE)</f>
        <v>1</v>
      </c>
      <c r="AU66" s="302"/>
      <c r="AV66" s="302"/>
      <c r="AW66" s="664" t="s">
        <v>1415</v>
      </c>
      <c r="AX66" s="325">
        <v>7</v>
      </c>
      <c r="AY66" s="325">
        <v>112011201</v>
      </c>
      <c r="AZ66" s="1392">
        <f t="shared" ref="AZ66:AZ97" si="31">VLOOKUP(AY66,LAVENIAFIN,6,FALSE)</f>
        <v>7</v>
      </c>
      <c r="BA66" s="302"/>
      <c r="BB66" s="664" t="s">
        <v>1319</v>
      </c>
      <c r="BC66" s="325">
        <v>22</v>
      </c>
      <c r="BD66" s="325">
        <v>112011732</v>
      </c>
      <c r="BE66" s="1392" t="str">
        <f t="shared" ref="BE66:BE97" si="32">VLOOKUP(BD66,rotelafin,6,FALSE)</f>
        <v>LOPEZ DE ARMENTIA FACUNDO</v>
      </c>
      <c r="BF66" s="618"/>
      <c r="BG66" s="553"/>
      <c r="BH66" s="294"/>
      <c r="BI66" s="618"/>
      <c r="BJ66" s="618"/>
      <c r="BK66" s="618"/>
      <c r="BL66" s="553"/>
      <c r="BM66" s="618"/>
      <c r="BN66" s="618"/>
      <c r="BO66" s="618"/>
    </row>
    <row r="67" spans="1:67" ht="13" hidden="1">
      <c r="A67" s="664" t="s">
        <v>708</v>
      </c>
      <c r="B67" s="325">
        <v>22</v>
      </c>
      <c r="C67" s="325">
        <v>112014542</v>
      </c>
      <c r="D67" s="1392">
        <f t="shared" si="22"/>
        <v>63</v>
      </c>
      <c r="G67" s="323" t="s">
        <v>69</v>
      </c>
      <c r="H67" s="325">
        <v>10</v>
      </c>
      <c r="I67" s="325">
        <v>112014605</v>
      </c>
      <c r="J67" s="1393">
        <f t="shared" si="23"/>
        <v>53</v>
      </c>
      <c r="M67" s="664" t="s">
        <v>509</v>
      </c>
      <c r="N67" s="324">
        <v>10</v>
      </c>
      <c r="O67" s="325">
        <v>112014505</v>
      </c>
      <c r="P67" s="1392">
        <f t="shared" si="24"/>
        <v>53</v>
      </c>
      <c r="R67" s="664" t="s">
        <v>329</v>
      </c>
      <c r="S67" s="324">
        <v>1</v>
      </c>
      <c r="T67" s="325">
        <v>112014320</v>
      </c>
      <c r="U67" s="1392">
        <f t="shared" si="25"/>
        <v>71</v>
      </c>
      <c r="W67" s="664" t="s">
        <v>435</v>
      </c>
      <c r="X67" s="324">
        <v>22</v>
      </c>
      <c r="Y67" s="325">
        <v>112010953</v>
      </c>
      <c r="Z67" s="1392">
        <f t="shared" si="26"/>
        <v>63</v>
      </c>
      <c r="AB67" s="664" t="s">
        <v>975</v>
      </c>
      <c r="AC67" s="325">
        <v>1</v>
      </c>
      <c r="AD67" s="325">
        <v>112014100</v>
      </c>
      <c r="AE67" s="1392" t="e">
        <f t="shared" si="27"/>
        <v>#N/A</v>
      </c>
      <c r="AF67" s="302"/>
      <c r="AG67" s="325" t="s">
        <v>1271</v>
      </c>
      <c r="AH67" s="325">
        <v>12</v>
      </c>
      <c r="AI67" s="325">
        <v>112013457</v>
      </c>
      <c r="AJ67" s="799">
        <f t="shared" si="28"/>
        <v>59</v>
      </c>
      <c r="AL67" s="323" t="s">
        <v>1228</v>
      </c>
      <c r="AM67" s="325">
        <v>20</v>
      </c>
      <c r="AN67" s="325">
        <v>112013784</v>
      </c>
      <c r="AO67" s="1394" t="e">
        <f t="shared" si="29"/>
        <v>#N/A</v>
      </c>
      <c r="AQ67" s="1395" t="s">
        <v>1030</v>
      </c>
      <c r="AR67" s="325">
        <v>22</v>
      </c>
      <c r="AS67" s="325">
        <v>112011426</v>
      </c>
      <c r="AT67" s="1397" t="e">
        <f t="shared" si="30"/>
        <v>#N/A</v>
      </c>
      <c r="AU67" s="302"/>
      <c r="AV67" s="302"/>
      <c r="AW67" s="664" t="s">
        <v>1406</v>
      </c>
      <c r="AX67" s="325">
        <v>31</v>
      </c>
      <c r="AY67" s="325">
        <v>112014646</v>
      </c>
      <c r="AZ67" s="1392">
        <f t="shared" si="31"/>
        <v>10</v>
      </c>
      <c r="BA67" s="302"/>
      <c r="BB67" s="664" t="s">
        <v>1320</v>
      </c>
      <c r="BC67" s="325">
        <v>22</v>
      </c>
      <c r="BD67" s="325">
        <v>112013948</v>
      </c>
      <c r="BE67" s="1392" t="str">
        <f t="shared" si="32"/>
        <v>MALANDRA JORGE ARIEL</v>
      </c>
      <c r="BF67" s="618"/>
      <c r="BG67" s="553"/>
      <c r="BH67" s="294"/>
      <c r="BI67" s="618"/>
      <c r="BJ67" s="618"/>
      <c r="BK67" s="618"/>
      <c r="BL67" s="553"/>
      <c r="BM67" s="618"/>
      <c r="BN67" s="618"/>
      <c r="BO67" s="618"/>
    </row>
    <row r="68" spans="1:67" ht="13" hidden="1">
      <c r="A68" s="664" t="s">
        <v>785</v>
      </c>
      <c r="B68" s="325">
        <v>1</v>
      </c>
      <c r="C68" s="325">
        <v>112014507</v>
      </c>
      <c r="D68" s="1392">
        <f t="shared" si="22"/>
        <v>71</v>
      </c>
      <c r="G68" s="323" t="s">
        <v>187</v>
      </c>
      <c r="H68" s="325">
        <v>1</v>
      </c>
      <c r="I68" s="325">
        <v>112011350</v>
      </c>
      <c r="J68" s="1393">
        <f t="shared" si="23"/>
        <v>71</v>
      </c>
      <c r="M68" s="664" t="s">
        <v>584</v>
      </c>
      <c r="N68" s="324">
        <v>7</v>
      </c>
      <c r="O68" s="325">
        <v>112014144</v>
      </c>
      <c r="P68" s="1392">
        <f t="shared" si="24"/>
        <v>70</v>
      </c>
      <c r="R68" s="664" t="s">
        <v>330</v>
      </c>
      <c r="S68" s="324">
        <v>1</v>
      </c>
      <c r="T68" s="325">
        <v>112013171</v>
      </c>
      <c r="U68" s="1392">
        <f t="shared" si="25"/>
        <v>71</v>
      </c>
      <c r="W68" s="664" t="s">
        <v>436</v>
      </c>
      <c r="X68" s="324">
        <v>22</v>
      </c>
      <c r="Y68" s="325">
        <v>112013057</v>
      </c>
      <c r="Z68" s="1392">
        <f t="shared" si="26"/>
        <v>63</v>
      </c>
      <c r="AB68" s="664" t="s">
        <v>930</v>
      </c>
      <c r="AC68" s="325">
        <v>22</v>
      </c>
      <c r="AD68" s="325">
        <v>112014677</v>
      </c>
      <c r="AE68" s="1392" t="e">
        <f t="shared" si="27"/>
        <v>#N/A</v>
      </c>
      <c r="AF68" s="302"/>
      <c r="AG68" s="325" t="s">
        <v>1382</v>
      </c>
      <c r="AH68" s="325"/>
      <c r="AI68" s="325">
        <v>112014135</v>
      </c>
      <c r="AJ68" s="799">
        <f t="shared" si="28"/>
        <v>0</v>
      </c>
      <c r="AL68" s="323" t="s">
        <v>1168</v>
      </c>
      <c r="AM68" s="325">
        <v>4</v>
      </c>
      <c r="AN68" s="325">
        <v>112014669</v>
      </c>
      <c r="AO68" s="1394" t="e">
        <f t="shared" si="29"/>
        <v>#N/A</v>
      </c>
      <c r="AQ68" s="1395" t="s">
        <v>1106</v>
      </c>
      <c r="AR68" s="325">
        <v>30</v>
      </c>
      <c r="AS68" s="325">
        <v>112014420</v>
      </c>
      <c r="AT68" s="1397" t="e">
        <f t="shared" si="30"/>
        <v>#N/A</v>
      </c>
      <c r="AU68" s="302"/>
      <c r="AV68" s="302"/>
      <c r="AW68" s="664" t="s">
        <v>1457</v>
      </c>
      <c r="AX68" s="325">
        <v>22</v>
      </c>
      <c r="AY68" s="325">
        <v>112013978</v>
      </c>
      <c r="AZ68" s="1392">
        <f t="shared" si="31"/>
        <v>22</v>
      </c>
      <c r="BA68" s="302"/>
      <c r="BB68" s="664" t="s">
        <v>1022</v>
      </c>
      <c r="BC68" s="325">
        <v>7</v>
      </c>
      <c r="BD68" s="325">
        <v>112013545</v>
      </c>
      <c r="BE68" s="1392" t="str">
        <f t="shared" si="32"/>
        <v>MARIANA LEILA ABRAHIM</v>
      </c>
      <c r="BF68" s="618"/>
      <c r="BG68" s="553"/>
      <c r="BH68" s="294"/>
      <c r="BI68" s="618"/>
      <c r="BJ68" s="618"/>
      <c r="BK68" s="618"/>
      <c r="BL68" s="553"/>
      <c r="BM68" s="618"/>
      <c r="BN68" s="618"/>
      <c r="BO68" s="618"/>
    </row>
    <row r="69" spans="1:67" ht="13" hidden="1">
      <c r="A69" s="664" t="s">
        <v>786</v>
      </c>
      <c r="B69" s="325">
        <v>1</v>
      </c>
      <c r="C69" s="325">
        <v>112014579</v>
      </c>
      <c r="D69" s="1392">
        <f t="shared" si="22"/>
        <v>71</v>
      </c>
      <c r="G69" s="323" t="s">
        <v>154</v>
      </c>
      <c r="H69" s="325">
        <v>4</v>
      </c>
      <c r="I69" s="325">
        <v>112012948</v>
      </c>
      <c r="J69" s="1393">
        <f t="shared" si="23"/>
        <v>70</v>
      </c>
      <c r="M69" s="664" t="s">
        <v>614</v>
      </c>
      <c r="N69" s="324">
        <v>22</v>
      </c>
      <c r="O69" s="325">
        <v>112014025</v>
      </c>
      <c r="P69" s="1392">
        <f t="shared" si="24"/>
        <v>71</v>
      </c>
      <c r="R69" s="664" t="s">
        <v>331</v>
      </c>
      <c r="S69" s="324">
        <v>1</v>
      </c>
      <c r="T69" s="325">
        <v>112012433</v>
      </c>
      <c r="U69" s="1392">
        <f t="shared" si="25"/>
        <v>71</v>
      </c>
      <c r="W69" s="664" t="s">
        <v>437</v>
      </c>
      <c r="X69" s="324">
        <v>22</v>
      </c>
      <c r="Y69" s="325">
        <v>112010430</v>
      </c>
      <c r="Z69" s="1392">
        <f t="shared" si="26"/>
        <v>63</v>
      </c>
      <c r="AB69" s="664" t="s">
        <v>947</v>
      </c>
      <c r="AC69" s="325">
        <v>7</v>
      </c>
      <c r="AD69" s="325">
        <v>112012424</v>
      </c>
      <c r="AE69" s="1392" t="e">
        <f t="shared" si="27"/>
        <v>#N/A</v>
      </c>
      <c r="AF69" s="302"/>
      <c r="AG69" s="325" t="s">
        <v>1264</v>
      </c>
      <c r="AH69" s="325">
        <v>10</v>
      </c>
      <c r="AI69" s="325">
        <v>112011732</v>
      </c>
      <c r="AJ69" s="799">
        <f t="shared" si="28"/>
        <v>53</v>
      </c>
      <c r="AL69" s="323" t="s">
        <v>1138</v>
      </c>
      <c r="AM69" s="325">
        <v>22</v>
      </c>
      <c r="AN69" s="325">
        <v>112014564</v>
      </c>
      <c r="AO69" s="1399">
        <f t="shared" si="29"/>
        <v>22</v>
      </c>
      <c r="AQ69" s="1395" t="s">
        <v>1047</v>
      </c>
      <c r="AR69" s="325">
        <v>22</v>
      </c>
      <c r="AS69" s="325">
        <v>112011685</v>
      </c>
      <c r="AT69" s="1396">
        <f t="shared" si="30"/>
        <v>1</v>
      </c>
      <c r="AU69" s="302"/>
      <c r="AV69" s="302"/>
      <c r="AW69" s="664" t="s">
        <v>1489</v>
      </c>
      <c r="AX69" s="325"/>
      <c r="AY69" s="325">
        <v>112014737</v>
      </c>
      <c r="AZ69" s="1392">
        <f t="shared" si="31"/>
        <v>0</v>
      </c>
      <c r="BA69" s="302"/>
      <c r="BB69" s="664" t="s">
        <v>1023</v>
      </c>
      <c r="BC69" s="325">
        <v>22</v>
      </c>
      <c r="BD69" s="325">
        <v>112010568</v>
      </c>
      <c r="BE69" s="1392" t="str">
        <f t="shared" si="32"/>
        <v>MARINA LOPEZ</v>
      </c>
      <c r="BF69" s="618"/>
      <c r="BG69" s="553"/>
      <c r="BH69" s="294"/>
      <c r="BI69" s="618"/>
      <c r="BJ69" s="618"/>
      <c r="BK69" s="618"/>
      <c r="BL69" s="553"/>
      <c r="BM69" s="618"/>
      <c r="BN69" s="618"/>
      <c r="BO69" s="618"/>
    </row>
    <row r="70" spans="1:67" ht="13" hidden="1">
      <c r="A70" s="664" t="s">
        <v>696</v>
      </c>
      <c r="B70" s="325">
        <v>24</v>
      </c>
      <c r="C70" s="325">
        <v>112012722</v>
      </c>
      <c r="D70" s="1392">
        <f t="shared" si="22"/>
        <v>59</v>
      </c>
      <c r="G70" s="323" t="s">
        <v>188</v>
      </c>
      <c r="H70" s="325">
        <v>1</v>
      </c>
      <c r="I70" s="325">
        <v>112012228</v>
      </c>
      <c r="J70" s="1393" t="e">
        <f t="shared" si="23"/>
        <v>#N/A</v>
      </c>
      <c r="M70" s="664" t="s">
        <v>531</v>
      </c>
      <c r="N70" s="324">
        <v>7</v>
      </c>
      <c r="O70" s="325">
        <v>112014380</v>
      </c>
      <c r="P70" s="1392">
        <f t="shared" si="24"/>
        <v>62</v>
      </c>
      <c r="R70" s="664" t="s">
        <v>332</v>
      </c>
      <c r="S70" s="324">
        <v>1</v>
      </c>
      <c r="T70" s="325">
        <v>112014676</v>
      </c>
      <c r="U70" s="1392">
        <f t="shared" si="25"/>
        <v>71</v>
      </c>
      <c r="W70" s="664" t="s">
        <v>385</v>
      </c>
      <c r="X70" s="324">
        <v>38</v>
      </c>
      <c r="Y70" s="325">
        <v>112014733</v>
      </c>
      <c r="Z70" s="1392">
        <f t="shared" si="26"/>
        <v>52</v>
      </c>
      <c r="AB70" s="664" t="s">
        <v>846</v>
      </c>
      <c r="AC70" s="325">
        <v>22</v>
      </c>
      <c r="AD70" s="325">
        <v>112010002</v>
      </c>
      <c r="AE70" s="1398">
        <f t="shared" si="27"/>
        <v>22</v>
      </c>
      <c r="AF70" s="302"/>
      <c r="AG70" s="325" t="s">
        <v>1318</v>
      </c>
      <c r="AH70" s="325">
        <v>22</v>
      </c>
      <c r="AI70" s="325">
        <v>112013948</v>
      </c>
      <c r="AJ70" s="799">
        <f t="shared" si="28"/>
        <v>63</v>
      </c>
      <c r="AL70" s="323" t="s">
        <v>872</v>
      </c>
      <c r="AM70" s="325">
        <v>22</v>
      </c>
      <c r="AN70" s="325">
        <v>112012510</v>
      </c>
      <c r="AO70" s="1394" t="e">
        <f t="shared" si="29"/>
        <v>#N/A</v>
      </c>
      <c r="AQ70" s="1395" t="s">
        <v>1060</v>
      </c>
      <c r="AR70" s="325">
        <v>22</v>
      </c>
      <c r="AS70" s="325">
        <v>112014591</v>
      </c>
      <c r="AT70" s="1396">
        <f t="shared" si="30"/>
        <v>1</v>
      </c>
      <c r="AU70" s="302"/>
      <c r="AV70" s="302"/>
      <c r="AW70" s="664" t="s">
        <v>1158</v>
      </c>
      <c r="AX70" s="325">
        <v>20</v>
      </c>
      <c r="AY70" s="325">
        <v>112011875</v>
      </c>
      <c r="AZ70" s="1392">
        <f t="shared" si="31"/>
        <v>20</v>
      </c>
      <c r="BA70" s="302"/>
      <c r="BB70" s="664" t="s">
        <v>1321</v>
      </c>
      <c r="BC70" s="325">
        <v>22</v>
      </c>
      <c r="BD70" s="325">
        <v>112014524</v>
      </c>
      <c r="BE70" s="1392" t="str">
        <f t="shared" si="32"/>
        <v>MARQUEZ JENNIFER ESTEFANIA</v>
      </c>
      <c r="BF70" s="618"/>
      <c r="BG70" s="553"/>
      <c r="BH70" s="294"/>
      <c r="BI70" s="618"/>
      <c r="BJ70" s="618"/>
      <c r="BK70" s="618"/>
      <c r="BL70" s="553"/>
      <c r="BM70" s="618"/>
      <c r="BN70" s="618"/>
      <c r="BO70" s="618"/>
    </row>
    <row r="71" spans="1:67" ht="13" hidden="1">
      <c r="A71" s="664" t="s">
        <v>758</v>
      </c>
      <c r="B71" s="325">
        <v>4</v>
      </c>
      <c r="C71" s="325">
        <v>112013277</v>
      </c>
      <c r="D71" s="1392">
        <f t="shared" si="22"/>
        <v>70</v>
      </c>
      <c r="G71" s="323" t="s">
        <v>189</v>
      </c>
      <c r="H71" s="325">
        <v>1</v>
      </c>
      <c r="I71" s="325">
        <v>112013881</v>
      </c>
      <c r="J71" s="1393">
        <f t="shared" si="23"/>
        <v>71</v>
      </c>
      <c r="M71" s="664" t="s">
        <v>532</v>
      </c>
      <c r="N71" s="324">
        <v>7</v>
      </c>
      <c r="O71" s="325">
        <v>112014109</v>
      </c>
      <c r="P71" s="1392">
        <f t="shared" si="24"/>
        <v>62</v>
      </c>
      <c r="R71" s="664" t="s">
        <v>333</v>
      </c>
      <c r="S71" s="324">
        <v>1</v>
      </c>
      <c r="T71" s="325">
        <v>112012828</v>
      </c>
      <c r="U71" s="1392">
        <f t="shared" si="25"/>
        <v>71</v>
      </c>
      <c r="W71" s="664" t="s">
        <v>483</v>
      </c>
      <c r="X71" s="324"/>
      <c r="Y71" s="325">
        <v>112014095</v>
      </c>
      <c r="Z71" s="1392">
        <f t="shared" si="26"/>
        <v>0</v>
      </c>
      <c r="AB71" s="664" t="s">
        <v>877</v>
      </c>
      <c r="AC71" s="325">
        <v>7</v>
      </c>
      <c r="AD71" s="325">
        <v>112011865</v>
      </c>
      <c r="AE71" s="1398">
        <f t="shared" si="27"/>
        <v>1</v>
      </c>
      <c r="AF71" s="302"/>
      <c r="AG71" s="325" t="s">
        <v>1298</v>
      </c>
      <c r="AH71" s="325">
        <v>22</v>
      </c>
      <c r="AI71" s="325">
        <v>112014399</v>
      </c>
      <c r="AJ71" s="799">
        <f t="shared" si="28"/>
        <v>63</v>
      </c>
      <c r="AL71" s="323" t="s">
        <v>1207</v>
      </c>
      <c r="AM71" s="325">
        <v>20</v>
      </c>
      <c r="AN71" s="325">
        <v>112012595</v>
      </c>
      <c r="AO71" s="1394" t="e">
        <f t="shared" si="29"/>
        <v>#N/A</v>
      </c>
      <c r="AQ71" s="1395" t="s">
        <v>1082</v>
      </c>
      <c r="AR71" s="325">
        <v>1</v>
      </c>
      <c r="AS71" s="325">
        <v>112013725</v>
      </c>
      <c r="AT71" s="1396">
        <f t="shared" si="30"/>
        <v>1</v>
      </c>
      <c r="AU71" s="302"/>
      <c r="AV71" s="302"/>
      <c r="AW71" s="664" t="s">
        <v>1458</v>
      </c>
      <c r="AX71" s="325">
        <v>22</v>
      </c>
      <c r="AY71" s="325">
        <v>112014623</v>
      </c>
      <c r="AZ71" s="1392">
        <f t="shared" si="31"/>
        <v>22</v>
      </c>
      <c r="BA71" s="302"/>
      <c r="BB71" s="664" t="s">
        <v>1477</v>
      </c>
      <c r="BC71" s="325">
        <v>1</v>
      </c>
      <c r="BD71" s="325">
        <v>112014627</v>
      </c>
      <c r="BE71" s="1392" t="str">
        <f t="shared" si="32"/>
        <v>MAZZA MATEO AGUSTIN</v>
      </c>
      <c r="BF71" s="618"/>
      <c r="BG71" s="553"/>
      <c r="BH71" s="294"/>
      <c r="BI71" s="618"/>
      <c r="BJ71" s="618"/>
      <c r="BK71" s="618"/>
      <c r="BL71" s="553"/>
      <c r="BM71" s="618"/>
      <c r="BN71" s="618"/>
      <c r="BO71" s="618"/>
    </row>
    <row r="72" spans="1:67" ht="13" hidden="1">
      <c r="A72" s="664" t="s">
        <v>731</v>
      </c>
      <c r="B72" s="325">
        <v>7</v>
      </c>
      <c r="C72" s="325">
        <v>112013859</v>
      </c>
      <c r="D72" s="1392">
        <f t="shared" si="22"/>
        <v>70</v>
      </c>
      <c r="G72" s="323" t="s">
        <v>95</v>
      </c>
      <c r="H72" s="325">
        <v>7</v>
      </c>
      <c r="I72" s="325">
        <v>112012744</v>
      </c>
      <c r="J72" s="1393">
        <f t="shared" si="23"/>
        <v>62</v>
      </c>
      <c r="M72" s="664" t="s">
        <v>585</v>
      </c>
      <c r="N72" s="324">
        <v>7</v>
      </c>
      <c r="O72" s="325">
        <v>112014333</v>
      </c>
      <c r="P72" s="1392">
        <f t="shared" si="24"/>
        <v>70</v>
      </c>
      <c r="R72" s="664" t="s">
        <v>334</v>
      </c>
      <c r="S72" s="324">
        <v>1</v>
      </c>
      <c r="T72" s="325">
        <v>112010142</v>
      </c>
      <c r="U72" s="1392">
        <f t="shared" si="25"/>
        <v>71</v>
      </c>
      <c r="W72" s="664" t="s">
        <v>470</v>
      </c>
      <c r="X72" s="324">
        <v>1</v>
      </c>
      <c r="Y72" s="325">
        <v>112012565</v>
      </c>
      <c r="Z72" s="1392">
        <f t="shared" si="26"/>
        <v>71</v>
      </c>
      <c r="AB72" s="664" t="s">
        <v>850</v>
      </c>
      <c r="AC72" s="325">
        <v>7</v>
      </c>
      <c r="AD72" s="325">
        <v>112013796</v>
      </c>
      <c r="AE72" s="1398">
        <f t="shared" si="27"/>
        <v>7</v>
      </c>
      <c r="AF72" s="302"/>
      <c r="AG72" s="325" t="s">
        <v>1299</v>
      </c>
      <c r="AH72" s="325">
        <v>22</v>
      </c>
      <c r="AI72" s="325">
        <v>112014309</v>
      </c>
      <c r="AJ72" s="799">
        <f t="shared" si="28"/>
        <v>63</v>
      </c>
      <c r="AL72" s="323" t="s">
        <v>1169</v>
      </c>
      <c r="AM72" s="325">
        <v>1</v>
      </c>
      <c r="AN72" s="325">
        <v>112014673</v>
      </c>
      <c r="AO72" s="1394" t="e">
        <f t="shared" si="29"/>
        <v>#N/A</v>
      </c>
      <c r="AQ72" s="1395" t="s">
        <v>869</v>
      </c>
      <c r="AR72" s="325">
        <v>22</v>
      </c>
      <c r="AS72" s="325">
        <v>112011730</v>
      </c>
      <c r="AT72" s="1397" t="e">
        <f t="shared" si="30"/>
        <v>#N/A</v>
      </c>
      <c r="AU72" s="302"/>
      <c r="AV72" s="302"/>
      <c r="AW72" s="664" t="s">
        <v>1485</v>
      </c>
      <c r="AX72" s="325">
        <v>1</v>
      </c>
      <c r="AY72" s="325">
        <v>112014414</v>
      </c>
      <c r="AZ72" s="1392">
        <f t="shared" si="31"/>
        <v>1</v>
      </c>
      <c r="BA72" s="302"/>
      <c r="BB72" s="664" t="s">
        <v>1338</v>
      </c>
      <c r="BC72" s="325">
        <v>10</v>
      </c>
      <c r="BD72" s="325">
        <v>112014686</v>
      </c>
      <c r="BE72" s="1392" t="str">
        <f t="shared" si="32"/>
        <v>MIROGLIO ANTONELA MAILEN</v>
      </c>
      <c r="BF72" s="618"/>
      <c r="BG72" s="553"/>
      <c r="BH72" s="294"/>
      <c r="BI72" s="618"/>
      <c r="BJ72" s="618"/>
      <c r="BK72" s="618"/>
      <c r="BL72" s="553"/>
      <c r="BM72" s="618"/>
      <c r="BN72" s="618"/>
      <c r="BO72" s="618"/>
    </row>
    <row r="73" spans="1:67" ht="13" hidden="1">
      <c r="A73" s="664" t="s">
        <v>759</v>
      </c>
      <c r="B73" s="325">
        <v>4</v>
      </c>
      <c r="C73" s="325">
        <v>112013918</v>
      </c>
      <c r="D73" s="1392">
        <f t="shared" si="22"/>
        <v>70</v>
      </c>
      <c r="G73" s="323" t="s">
        <v>190</v>
      </c>
      <c r="H73" s="325">
        <v>1</v>
      </c>
      <c r="I73" s="325">
        <v>112012220</v>
      </c>
      <c r="J73" s="1393">
        <f t="shared" si="23"/>
        <v>71</v>
      </c>
      <c r="M73" s="664" t="s">
        <v>586</v>
      </c>
      <c r="N73" s="324">
        <v>7</v>
      </c>
      <c r="O73" s="325">
        <v>112014523</v>
      </c>
      <c r="P73" s="1392">
        <f t="shared" si="24"/>
        <v>70</v>
      </c>
      <c r="R73" s="664" t="s">
        <v>268</v>
      </c>
      <c r="S73" s="324">
        <v>8</v>
      </c>
      <c r="T73" s="325">
        <v>112013803</v>
      </c>
      <c r="U73" s="1392">
        <f t="shared" si="25"/>
        <v>62</v>
      </c>
      <c r="W73" s="664" t="s">
        <v>489</v>
      </c>
      <c r="X73" s="324">
        <v>22</v>
      </c>
      <c r="Y73" s="325">
        <v>112010795</v>
      </c>
      <c r="Z73" s="1392" t="e">
        <f t="shared" si="26"/>
        <v>#N/A</v>
      </c>
      <c r="AB73" s="664" t="s">
        <v>844</v>
      </c>
      <c r="AC73" s="325">
        <v>24</v>
      </c>
      <c r="AD73" s="325">
        <v>112011785</v>
      </c>
      <c r="AE73" s="1398">
        <f t="shared" si="27"/>
        <v>22</v>
      </c>
      <c r="AF73" s="302"/>
      <c r="AG73" s="325" t="s">
        <v>1336</v>
      </c>
      <c r="AH73" s="325">
        <v>12</v>
      </c>
      <c r="AI73" s="325">
        <v>112012626</v>
      </c>
      <c r="AJ73" s="799">
        <f t="shared" si="28"/>
        <v>71</v>
      </c>
      <c r="AL73" s="323" t="s">
        <v>1133</v>
      </c>
      <c r="AM73" s="325">
        <v>22</v>
      </c>
      <c r="AN73" s="325">
        <v>112014268</v>
      </c>
      <c r="AO73" s="1399">
        <f t="shared" si="29"/>
        <v>22</v>
      </c>
      <c r="AQ73" s="1395" t="s">
        <v>1101</v>
      </c>
      <c r="AR73" s="325">
        <v>7</v>
      </c>
      <c r="AS73" s="325">
        <v>112014666</v>
      </c>
      <c r="AT73" s="1397" t="e">
        <f t="shared" si="30"/>
        <v>#N/A</v>
      </c>
      <c r="AU73" s="302"/>
      <c r="AV73" s="302"/>
      <c r="AW73" s="664" t="s">
        <v>1474</v>
      </c>
      <c r="AX73" s="325">
        <v>4</v>
      </c>
      <c r="AY73" s="325">
        <v>112014006</v>
      </c>
      <c r="AZ73" s="1392">
        <f t="shared" si="31"/>
        <v>4</v>
      </c>
      <c r="BA73" s="302"/>
      <c r="BB73" s="664" t="s">
        <v>1322</v>
      </c>
      <c r="BC73" s="325">
        <v>22</v>
      </c>
      <c r="BD73" s="325">
        <v>112014357</v>
      </c>
      <c r="BE73" s="1392" t="str">
        <f t="shared" si="32"/>
        <v>MORENO FRANCISCO</v>
      </c>
      <c r="BF73" s="618"/>
      <c r="BG73" s="553"/>
      <c r="BH73" s="294"/>
      <c r="BI73" s="618"/>
      <c r="BJ73" s="618"/>
      <c r="BK73" s="618"/>
      <c r="BL73" s="553"/>
      <c r="BM73" s="618"/>
      <c r="BN73" s="618"/>
      <c r="BO73" s="618"/>
    </row>
    <row r="74" spans="1:67" ht="13" hidden="1">
      <c r="A74" s="664" t="s">
        <v>805</v>
      </c>
      <c r="B74" s="325"/>
      <c r="C74" s="325">
        <v>112012669</v>
      </c>
      <c r="D74" s="1392">
        <f t="shared" si="22"/>
        <v>0</v>
      </c>
      <c r="G74" s="323" t="s">
        <v>191</v>
      </c>
      <c r="H74" s="325">
        <v>1</v>
      </c>
      <c r="I74" s="325">
        <v>112014358</v>
      </c>
      <c r="J74" s="1393">
        <f t="shared" si="23"/>
        <v>71</v>
      </c>
      <c r="M74" s="664" t="s">
        <v>533</v>
      </c>
      <c r="N74" s="324">
        <v>7</v>
      </c>
      <c r="O74" s="325">
        <v>112014517</v>
      </c>
      <c r="P74" s="1392">
        <f t="shared" si="24"/>
        <v>62</v>
      </c>
      <c r="R74" s="664" t="s">
        <v>305</v>
      </c>
      <c r="S74" s="324">
        <v>6</v>
      </c>
      <c r="T74" s="325">
        <v>112012926</v>
      </c>
      <c r="U74" s="1392">
        <f t="shared" si="25"/>
        <v>70</v>
      </c>
      <c r="W74" s="664" t="s">
        <v>398</v>
      </c>
      <c r="X74" s="324">
        <v>31</v>
      </c>
      <c r="Y74" s="325">
        <v>112012358</v>
      </c>
      <c r="Z74" s="1392">
        <f t="shared" si="26"/>
        <v>61</v>
      </c>
      <c r="AB74" s="664" t="s">
        <v>928</v>
      </c>
      <c r="AC74" s="325">
        <v>7</v>
      </c>
      <c r="AD74" s="325">
        <v>112014140</v>
      </c>
      <c r="AE74" s="1392" t="e">
        <f t="shared" si="27"/>
        <v>#N/A</v>
      </c>
      <c r="AF74" s="302"/>
      <c r="AG74" s="325" t="s">
        <v>1319</v>
      </c>
      <c r="AH74" s="325">
        <v>22</v>
      </c>
      <c r="AI74" s="325">
        <v>112013545</v>
      </c>
      <c r="AJ74" s="799">
        <f t="shared" si="28"/>
        <v>63</v>
      </c>
      <c r="AL74" s="323" t="s">
        <v>878</v>
      </c>
      <c r="AM74" s="325">
        <v>4</v>
      </c>
      <c r="AN74" s="325">
        <v>112014284</v>
      </c>
      <c r="AO74" s="1394" t="e">
        <f t="shared" si="29"/>
        <v>#N/A</v>
      </c>
      <c r="AQ74" s="1395" t="s">
        <v>1089</v>
      </c>
      <c r="AR74" s="325">
        <v>1</v>
      </c>
      <c r="AS74" s="325">
        <v>112014500</v>
      </c>
      <c r="AT74" s="1396">
        <f t="shared" si="30"/>
        <v>1</v>
      </c>
      <c r="AU74" s="302"/>
      <c r="AV74" s="302"/>
      <c r="AW74" s="664" t="s">
        <v>1459</v>
      </c>
      <c r="AX74" s="325">
        <v>22</v>
      </c>
      <c r="AY74" s="325">
        <v>112014622</v>
      </c>
      <c r="AZ74" s="1392">
        <f t="shared" si="31"/>
        <v>22</v>
      </c>
      <c r="BA74" s="302"/>
      <c r="BB74" s="664" t="s">
        <v>1274</v>
      </c>
      <c r="BC74" s="325">
        <v>31</v>
      </c>
      <c r="BD74" s="325">
        <v>112013925</v>
      </c>
      <c r="BE74" s="1392" t="str">
        <f t="shared" si="32"/>
        <v>MOSCA CLAUDIO JOSE</v>
      </c>
      <c r="BF74" s="618"/>
      <c r="BG74" s="553"/>
      <c r="BH74" s="294"/>
      <c r="BI74" s="618"/>
      <c r="BJ74" s="618"/>
      <c r="BK74" s="618"/>
      <c r="BL74" s="553"/>
      <c r="BM74" s="618"/>
      <c r="BN74" s="618"/>
      <c r="BO74" s="618"/>
    </row>
    <row r="75" spans="1:67" ht="13" hidden="1">
      <c r="A75" s="664" t="s">
        <v>760</v>
      </c>
      <c r="B75" s="325">
        <v>18</v>
      </c>
      <c r="C75" s="325">
        <v>112013584</v>
      </c>
      <c r="D75" s="1392">
        <f t="shared" si="22"/>
        <v>69</v>
      </c>
      <c r="G75" s="323" t="s">
        <v>155</v>
      </c>
      <c r="H75" s="325">
        <v>4</v>
      </c>
      <c r="I75" s="325">
        <v>112014720</v>
      </c>
      <c r="J75" s="1393">
        <f t="shared" si="23"/>
        <v>70</v>
      </c>
      <c r="M75" s="664" t="s">
        <v>660</v>
      </c>
      <c r="N75" s="324"/>
      <c r="O75" s="325">
        <v>112014674</v>
      </c>
      <c r="P75" s="1392">
        <f t="shared" si="24"/>
        <v>0</v>
      </c>
      <c r="R75" s="664" t="s">
        <v>335</v>
      </c>
      <c r="S75" s="324">
        <v>1</v>
      </c>
      <c r="T75" s="325">
        <v>112011956</v>
      </c>
      <c r="U75" s="1392">
        <f t="shared" si="25"/>
        <v>71</v>
      </c>
      <c r="W75" s="664" t="s">
        <v>466</v>
      </c>
      <c r="X75" s="324">
        <v>1</v>
      </c>
      <c r="Y75" s="325">
        <v>112011855</v>
      </c>
      <c r="Z75" s="1392">
        <f t="shared" si="26"/>
        <v>71</v>
      </c>
      <c r="AB75" s="664" t="s">
        <v>977</v>
      </c>
      <c r="AC75" s="325">
        <v>1</v>
      </c>
      <c r="AD75" s="325">
        <v>112014689</v>
      </c>
      <c r="AE75" s="1392" t="e">
        <f t="shared" si="27"/>
        <v>#N/A</v>
      </c>
      <c r="AF75" s="302"/>
      <c r="AG75" s="325" t="s">
        <v>1363</v>
      </c>
      <c r="AH75" s="325">
        <v>1</v>
      </c>
      <c r="AI75" s="325">
        <v>112012290</v>
      </c>
      <c r="AJ75" s="799">
        <f t="shared" si="28"/>
        <v>71</v>
      </c>
      <c r="AL75" s="323" t="s">
        <v>1180</v>
      </c>
      <c r="AM75" s="325">
        <v>1</v>
      </c>
      <c r="AN75" s="325">
        <v>112012186</v>
      </c>
      <c r="AO75" s="1394" t="e">
        <f t="shared" si="29"/>
        <v>#N/A</v>
      </c>
      <c r="AQ75" s="1395" t="s">
        <v>870</v>
      </c>
      <c r="AR75" s="325">
        <v>22</v>
      </c>
      <c r="AS75" s="325">
        <v>112010450</v>
      </c>
      <c r="AT75" s="1397" t="e">
        <f t="shared" si="30"/>
        <v>#N/A</v>
      </c>
      <c r="AU75" s="302"/>
      <c r="AV75" s="302"/>
      <c r="AW75" s="664" t="s">
        <v>1477</v>
      </c>
      <c r="AX75" s="325">
        <v>1</v>
      </c>
      <c r="AY75" s="325">
        <v>112014357</v>
      </c>
      <c r="AZ75" s="1392">
        <f t="shared" si="31"/>
        <v>1</v>
      </c>
      <c r="BA75" s="302"/>
      <c r="BB75" s="664" t="s">
        <v>1535</v>
      </c>
      <c r="BC75" s="325"/>
      <c r="BD75" s="325">
        <v>112013882</v>
      </c>
      <c r="BE75" s="1392" t="str">
        <f t="shared" si="32"/>
        <v>MUDROVCIC JUAN ALBERTO</v>
      </c>
      <c r="BF75" s="618"/>
      <c r="BG75" s="553"/>
      <c r="BH75" s="294"/>
      <c r="BI75" s="618"/>
      <c r="BJ75" s="618"/>
      <c r="BK75" s="618"/>
      <c r="BL75" s="553"/>
      <c r="BM75" s="618"/>
      <c r="BN75" s="618"/>
      <c r="BO75" s="618"/>
    </row>
    <row r="76" spans="1:67" ht="13" hidden="1">
      <c r="A76" s="664" t="s">
        <v>787</v>
      </c>
      <c r="B76" s="325">
        <v>1</v>
      </c>
      <c r="C76" s="325">
        <v>112013054</v>
      </c>
      <c r="D76" s="1392">
        <f t="shared" si="22"/>
        <v>71</v>
      </c>
      <c r="G76" s="323" t="s">
        <v>192</v>
      </c>
      <c r="H76" s="325">
        <v>1</v>
      </c>
      <c r="I76" s="325">
        <v>112013603</v>
      </c>
      <c r="J76" s="1393">
        <f t="shared" si="23"/>
        <v>71</v>
      </c>
      <c r="M76" s="664" t="s">
        <v>587</v>
      </c>
      <c r="N76" s="324">
        <v>7</v>
      </c>
      <c r="O76" s="325">
        <v>112013605</v>
      </c>
      <c r="P76" s="1392">
        <f t="shared" si="24"/>
        <v>70</v>
      </c>
      <c r="R76" s="664" t="s">
        <v>336</v>
      </c>
      <c r="S76" s="324">
        <v>1</v>
      </c>
      <c r="T76" s="325">
        <v>112011442</v>
      </c>
      <c r="U76" s="1392">
        <f t="shared" si="25"/>
        <v>71</v>
      </c>
      <c r="W76" s="664" t="s">
        <v>474</v>
      </c>
      <c r="X76" s="324">
        <v>1</v>
      </c>
      <c r="Y76" s="325">
        <v>112013204</v>
      </c>
      <c r="Z76" s="1392">
        <f t="shared" si="26"/>
        <v>71</v>
      </c>
      <c r="AB76" s="664" t="s">
        <v>927</v>
      </c>
      <c r="AC76" s="325">
        <v>7</v>
      </c>
      <c r="AD76" s="325">
        <v>112014090</v>
      </c>
      <c r="AE76" s="1392" t="e">
        <f t="shared" si="27"/>
        <v>#N/A</v>
      </c>
      <c r="AF76" s="302"/>
      <c r="AG76" s="325" t="s">
        <v>1320</v>
      </c>
      <c r="AH76" s="325">
        <v>22</v>
      </c>
      <c r="AI76" s="325">
        <v>112010568</v>
      </c>
      <c r="AJ76" s="799">
        <f t="shared" si="28"/>
        <v>63</v>
      </c>
      <c r="AL76" s="323" t="s">
        <v>1208</v>
      </c>
      <c r="AM76" s="325">
        <v>20</v>
      </c>
      <c r="AN76" s="325">
        <v>112011846</v>
      </c>
      <c r="AO76" s="1394" t="e">
        <f t="shared" si="29"/>
        <v>#N/A</v>
      </c>
      <c r="AQ76" s="1395" t="s">
        <v>1022</v>
      </c>
      <c r="AR76" s="325">
        <v>7</v>
      </c>
      <c r="AS76" s="325">
        <v>112014524</v>
      </c>
      <c r="AT76" s="1396">
        <f t="shared" si="30"/>
        <v>7</v>
      </c>
      <c r="AU76" s="302"/>
      <c r="AV76" s="302"/>
      <c r="AW76" s="664" t="s">
        <v>1404</v>
      </c>
      <c r="AX76" s="325">
        <v>12</v>
      </c>
      <c r="AY76" s="325">
        <v>112013168</v>
      </c>
      <c r="AZ76" s="1392">
        <f t="shared" si="31"/>
        <v>12</v>
      </c>
      <c r="BA76" s="302"/>
      <c r="BB76" s="664" t="s">
        <v>1492</v>
      </c>
      <c r="BC76" s="325"/>
      <c r="BD76" s="325">
        <v>112013964</v>
      </c>
      <c r="BE76" s="1392" t="str">
        <f t="shared" si="32"/>
        <v>MUNICIPALIDAD DE ALMIRANTE BROWN</v>
      </c>
      <c r="BF76" s="618"/>
      <c r="BG76" s="553"/>
      <c r="BH76" s="294"/>
      <c r="BI76" s="618"/>
      <c r="BJ76" s="618"/>
      <c r="BK76" s="618"/>
      <c r="BL76" s="553"/>
      <c r="BM76" s="618"/>
      <c r="BN76" s="618"/>
      <c r="BO76" s="618"/>
    </row>
    <row r="77" spans="1:67" ht="13" hidden="1">
      <c r="A77" s="664" t="s">
        <v>761</v>
      </c>
      <c r="B77" s="325">
        <v>4</v>
      </c>
      <c r="C77" s="325">
        <v>112014046</v>
      </c>
      <c r="D77" s="1392">
        <f t="shared" si="22"/>
        <v>70</v>
      </c>
      <c r="G77" s="323" t="s">
        <v>119</v>
      </c>
      <c r="H77" s="325">
        <v>7</v>
      </c>
      <c r="I77" s="325">
        <v>112012192</v>
      </c>
      <c r="J77" s="1393">
        <f t="shared" si="23"/>
        <v>70</v>
      </c>
      <c r="M77" s="664" t="s">
        <v>534</v>
      </c>
      <c r="N77" s="324">
        <v>7</v>
      </c>
      <c r="O77" s="325">
        <v>112014315</v>
      </c>
      <c r="P77" s="1392">
        <f t="shared" si="24"/>
        <v>62</v>
      </c>
      <c r="R77" s="664" t="s">
        <v>351</v>
      </c>
      <c r="S77" s="324"/>
      <c r="T77" s="325">
        <v>112012618</v>
      </c>
      <c r="U77" s="1392">
        <f t="shared" si="25"/>
        <v>0</v>
      </c>
      <c r="W77" s="664" t="s">
        <v>438</v>
      </c>
      <c r="X77" s="324">
        <v>22</v>
      </c>
      <c r="Y77" s="325">
        <v>112013877</v>
      </c>
      <c r="Z77" s="1392">
        <f t="shared" si="26"/>
        <v>63</v>
      </c>
      <c r="AB77" s="664" t="s">
        <v>946</v>
      </c>
      <c r="AC77" s="325">
        <v>7</v>
      </c>
      <c r="AD77" s="325">
        <v>112014148</v>
      </c>
      <c r="AE77" s="1392" t="e">
        <f t="shared" si="27"/>
        <v>#N/A</v>
      </c>
      <c r="AF77" s="302"/>
      <c r="AG77" s="325" t="s">
        <v>1364</v>
      </c>
      <c r="AH77" s="325">
        <v>1</v>
      </c>
      <c r="AI77" s="325">
        <v>112014551</v>
      </c>
      <c r="AJ77" s="799">
        <f t="shared" si="28"/>
        <v>71</v>
      </c>
      <c r="AL77" s="323" t="s">
        <v>1150</v>
      </c>
      <c r="AM77" s="325">
        <v>4</v>
      </c>
      <c r="AN77" s="325">
        <v>112014243</v>
      </c>
      <c r="AO77" s="1399">
        <f t="shared" si="29"/>
        <v>4</v>
      </c>
      <c r="AQ77" s="1395" t="s">
        <v>1051</v>
      </c>
      <c r="AR77" s="325">
        <v>22</v>
      </c>
      <c r="AS77" s="325">
        <v>112014511</v>
      </c>
      <c r="AT77" s="1396">
        <f t="shared" si="30"/>
        <v>1</v>
      </c>
      <c r="AU77" s="302"/>
      <c r="AV77" s="302"/>
      <c r="AW77" s="664" t="s">
        <v>668</v>
      </c>
      <c r="AX77" s="325">
        <v>22</v>
      </c>
      <c r="AY77" s="325">
        <v>112013606</v>
      </c>
      <c r="AZ77" s="1392">
        <f t="shared" si="31"/>
        <v>22</v>
      </c>
      <c r="BA77" s="302"/>
      <c r="BB77" s="664" t="s">
        <v>1493</v>
      </c>
      <c r="BC77" s="325"/>
      <c r="BD77" s="325">
        <v>112013455</v>
      </c>
      <c r="BE77" s="1392" t="str">
        <f t="shared" si="32"/>
        <v>MUNICIPALIDAD DE BERAZATEGUI</v>
      </c>
      <c r="BF77" s="618"/>
      <c r="BG77" s="553"/>
      <c r="BH77" s="294"/>
      <c r="BI77" s="618"/>
      <c r="BJ77" s="618"/>
      <c r="BK77" s="618"/>
      <c r="BL77" s="553"/>
      <c r="BM77" s="618"/>
      <c r="BN77" s="618"/>
      <c r="BO77" s="618"/>
    </row>
    <row r="78" spans="1:67" ht="13" hidden="1">
      <c r="A78" s="664" t="s">
        <v>715</v>
      </c>
      <c r="B78" s="325">
        <v>20</v>
      </c>
      <c r="C78" s="325">
        <v>112011463</v>
      </c>
      <c r="D78" s="1392">
        <f t="shared" si="22"/>
        <v>67</v>
      </c>
      <c r="G78" s="323" t="s">
        <v>1559</v>
      </c>
      <c r="H78" s="325">
        <v>4</v>
      </c>
      <c r="I78" s="325">
        <v>112013939</v>
      </c>
      <c r="J78" s="1393">
        <f t="shared" si="23"/>
        <v>70</v>
      </c>
      <c r="M78" s="664" t="s">
        <v>535</v>
      </c>
      <c r="N78" s="324">
        <v>7</v>
      </c>
      <c r="O78" s="325">
        <v>112014738</v>
      </c>
      <c r="P78" s="1392">
        <f t="shared" si="24"/>
        <v>62</v>
      </c>
      <c r="R78" s="664" t="s">
        <v>347</v>
      </c>
      <c r="S78" s="324"/>
      <c r="T78" s="325">
        <v>112014150</v>
      </c>
      <c r="U78" s="1392">
        <f t="shared" si="25"/>
        <v>0</v>
      </c>
      <c r="W78" s="664" t="s">
        <v>383</v>
      </c>
      <c r="X78" s="324">
        <v>14</v>
      </c>
      <c r="Y78" s="325">
        <v>112013812</v>
      </c>
      <c r="Z78" s="1392">
        <f t="shared" si="26"/>
        <v>54</v>
      </c>
      <c r="AB78" s="664" t="s">
        <v>983</v>
      </c>
      <c r="AC78" s="325"/>
      <c r="AD78" s="325">
        <v>112014728</v>
      </c>
      <c r="AE78" s="1392" t="e">
        <f t="shared" si="27"/>
        <v>#N/A</v>
      </c>
      <c r="AF78" s="302"/>
      <c r="AG78" s="325" t="s">
        <v>1300</v>
      </c>
      <c r="AH78" s="325">
        <v>22</v>
      </c>
      <c r="AI78" s="325">
        <v>112013273</v>
      </c>
      <c r="AJ78" s="799">
        <f t="shared" si="28"/>
        <v>63</v>
      </c>
      <c r="AL78" s="323" t="s">
        <v>1187</v>
      </c>
      <c r="AM78" s="325"/>
      <c r="AN78" s="325">
        <v>112012517</v>
      </c>
      <c r="AO78" s="1394" t="e">
        <f t="shared" si="29"/>
        <v>#N/A</v>
      </c>
      <c r="AQ78" s="1395" t="s">
        <v>1023</v>
      </c>
      <c r="AR78" s="325">
        <v>22</v>
      </c>
      <c r="AS78" s="325">
        <v>112014627</v>
      </c>
      <c r="AT78" s="1396">
        <f t="shared" si="30"/>
        <v>22</v>
      </c>
      <c r="AU78" s="302"/>
      <c r="AV78" s="302"/>
      <c r="AW78" s="664" t="s">
        <v>1468</v>
      </c>
      <c r="AX78" s="325">
        <v>22</v>
      </c>
      <c r="AY78" s="325">
        <v>112014718</v>
      </c>
      <c r="AZ78" s="1392">
        <f t="shared" si="31"/>
        <v>22</v>
      </c>
      <c r="BA78" s="302"/>
      <c r="BB78" s="664" t="s">
        <v>1491</v>
      </c>
      <c r="BC78" s="325"/>
      <c r="BD78" s="325">
        <v>112012527</v>
      </c>
      <c r="BE78" s="1392" t="str">
        <f t="shared" si="32"/>
        <v>MUNICIPALIDAD DE GENERAL LAS HERAS</v>
      </c>
      <c r="BF78" s="618"/>
      <c r="BG78" s="553"/>
      <c r="BH78" s="294"/>
      <c r="BI78" s="618"/>
      <c r="BJ78" s="618"/>
      <c r="BK78" s="618"/>
      <c r="BL78" s="553"/>
      <c r="BM78" s="618"/>
      <c r="BN78" s="618"/>
      <c r="BO78" s="618"/>
    </row>
    <row r="79" spans="1:67" ht="13" hidden="1">
      <c r="A79" s="664" t="s">
        <v>799</v>
      </c>
      <c r="B79" s="325"/>
      <c r="C79" s="325">
        <v>112013400</v>
      </c>
      <c r="D79" s="1392">
        <f t="shared" si="22"/>
        <v>0</v>
      </c>
      <c r="G79" s="323" t="s">
        <v>193</v>
      </c>
      <c r="H79" s="325">
        <v>1</v>
      </c>
      <c r="I79" s="325">
        <v>112011804</v>
      </c>
      <c r="J79" s="1393">
        <f t="shared" si="23"/>
        <v>71</v>
      </c>
      <c r="M79" s="664" t="s">
        <v>637</v>
      </c>
      <c r="N79" s="324">
        <v>4</v>
      </c>
      <c r="O79" s="325">
        <v>112014240</v>
      </c>
      <c r="P79" s="1392">
        <f t="shared" si="24"/>
        <v>70</v>
      </c>
      <c r="R79" s="664" t="s">
        <v>337</v>
      </c>
      <c r="S79" s="324">
        <v>1</v>
      </c>
      <c r="T79" s="325">
        <v>112011733</v>
      </c>
      <c r="U79" s="1392">
        <f t="shared" si="25"/>
        <v>71</v>
      </c>
      <c r="W79" s="664" t="s">
        <v>412</v>
      </c>
      <c r="X79" s="324">
        <v>7</v>
      </c>
      <c r="Y79" s="325">
        <v>112013224</v>
      </c>
      <c r="Z79" s="1392">
        <f t="shared" si="26"/>
        <v>62</v>
      </c>
      <c r="AB79" s="664" t="s">
        <v>862</v>
      </c>
      <c r="AC79" s="325">
        <v>22</v>
      </c>
      <c r="AD79" s="325">
        <v>112013316</v>
      </c>
      <c r="AE79" s="1398">
        <f t="shared" si="27"/>
        <v>22</v>
      </c>
      <c r="AF79" s="302"/>
      <c r="AG79" s="325" t="s">
        <v>1321</v>
      </c>
      <c r="AH79" s="325">
        <v>22</v>
      </c>
      <c r="AI79" s="325">
        <v>112014686</v>
      </c>
      <c r="AJ79" s="799">
        <f t="shared" si="28"/>
        <v>63</v>
      </c>
      <c r="AL79" s="323" t="s">
        <v>1151</v>
      </c>
      <c r="AM79" s="325">
        <v>4</v>
      </c>
      <c r="AN79" s="325">
        <v>112012629</v>
      </c>
      <c r="AO79" s="1399">
        <f t="shared" si="29"/>
        <v>4</v>
      </c>
      <c r="AQ79" s="1395" t="s">
        <v>1098</v>
      </c>
      <c r="AR79" s="325">
        <v>31</v>
      </c>
      <c r="AS79" s="325">
        <v>112014251</v>
      </c>
      <c r="AT79" s="1397" t="e">
        <f t="shared" si="30"/>
        <v>#N/A</v>
      </c>
      <c r="AU79" s="302"/>
      <c r="AV79" s="302"/>
      <c r="AW79" s="664" t="s">
        <v>1471</v>
      </c>
      <c r="AX79" s="325">
        <v>22</v>
      </c>
      <c r="AY79" s="325">
        <v>112012550</v>
      </c>
      <c r="AZ79" s="1392">
        <f t="shared" si="31"/>
        <v>20</v>
      </c>
      <c r="BA79" s="302"/>
      <c r="BB79" s="664" t="s">
        <v>1494</v>
      </c>
      <c r="BC79" s="325"/>
      <c r="BD79" s="325">
        <v>112013199</v>
      </c>
      <c r="BE79" s="1392" t="str">
        <f t="shared" si="32"/>
        <v>MUNICIPALIDAD DE LAPRIDA</v>
      </c>
      <c r="BF79" s="618"/>
      <c r="BG79" s="553"/>
      <c r="BH79" s="294"/>
      <c r="BI79" s="618"/>
      <c r="BJ79" s="618"/>
      <c r="BK79" s="618"/>
      <c r="BL79" s="553"/>
      <c r="BM79" s="618"/>
      <c r="BN79" s="618"/>
      <c r="BO79" s="618"/>
    </row>
    <row r="80" spans="1:67" ht="13" hidden="1">
      <c r="A80" s="664" t="s">
        <v>806</v>
      </c>
      <c r="B80" s="325"/>
      <c r="C80" s="325">
        <v>112012899</v>
      </c>
      <c r="D80" s="1392">
        <f t="shared" si="22"/>
        <v>0</v>
      </c>
      <c r="G80" s="323" t="s">
        <v>194</v>
      </c>
      <c r="H80" s="325">
        <v>1</v>
      </c>
      <c r="I80" s="325">
        <v>112013735</v>
      </c>
      <c r="J80" s="1393">
        <f t="shared" si="23"/>
        <v>71</v>
      </c>
      <c r="M80" s="664" t="s">
        <v>588</v>
      </c>
      <c r="N80" s="324">
        <v>31</v>
      </c>
      <c r="O80" s="325">
        <v>112014395</v>
      </c>
      <c r="P80" s="1392">
        <f t="shared" si="24"/>
        <v>69</v>
      </c>
      <c r="R80" s="664" t="s">
        <v>338</v>
      </c>
      <c r="S80" s="324">
        <v>1</v>
      </c>
      <c r="T80" s="325">
        <v>112010542</v>
      </c>
      <c r="U80" s="1392">
        <f t="shared" si="25"/>
        <v>71</v>
      </c>
      <c r="W80" s="664" t="s">
        <v>414</v>
      </c>
      <c r="X80" s="324">
        <v>7</v>
      </c>
      <c r="Y80" s="325">
        <v>112013295</v>
      </c>
      <c r="Z80" s="1392">
        <f t="shared" si="26"/>
        <v>62</v>
      </c>
      <c r="AB80" s="664" t="s">
        <v>847</v>
      </c>
      <c r="AC80" s="325">
        <v>7</v>
      </c>
      <c r="AD80" s="325">
        <v>112012774</v>
      </c>
      <c r="AE80" s="1398">
        <f t="shared" si="27"/>
        <v>7</v>
      </c>
      <c r="AF80" s="302"/>
      <c r="AG80" s="325" t="s">
        <v>1365</v>
      </c>
      <c r="AH80" s="325">
        <v>1</v>
      </c>
      <c r="AI80" s="325">
        <v>112014285</v>
      </c>
      <c r="AJ80" s="799">
        <f t="shared" si="28"/>
        <v>71</v>
      </c>
      <c r="AL80" s="323" t="s">
        <v>1181</v>
      </c>
      <c r="AM80" s="325">
        <v>1</v>
      </c>
      <c r="AN80" s="325">
        <v>112013366</v>
      </c>
      <c r="AO80" s="1394" t="e">
        <f t="shared" si="29"/>
        <v>#N/A</v>
      </c>
      <c r="AQ80" s="1395" t="s">
        <v>1002</v>
      </c>
      <c r="AR80" s="325">
        <v>12</v>
      </c>
      <c r="AS80" s="325">
        <v>112014449</v>
      </c>
      <c r="AT80" s="1396">
        <f t="shared" si="30"/>
        <v>22</v>
      </c>
      <c r="AU80" s="302"/>
      <c r="AV80" s="302"/>
      <c r="AW80" s="664" t="s">
        <v>1492</v>
      </c>
      <c r="AX80" s="325"/>
      <c r="AY80" s="325">
        <v>112012527</v>
      </c>
      <c r="AZ80" s="1392">
        <f t="shared" si="31"/>
        <v>0</v>
      </c>
      <c r="BA80" s="302"/>
      <c r="BB80" s="664" t="s">
        <v>1495</v>
      </c>
      <c r="BC80" s="325"/>
      <c r="BD80" s="325">
        <v>112013901</v>
      </c>
      <c r="BE80" s="1392" t="str">
        <f t="shared" si="32"/>
        <v>MUNICIPALIDAD DE LOBOS</v>
      </c>
      <c r="BF80" s="618"/>
      <c r="BG80" s="553"/>
      <c r="BH80" s="294"/>
      <c r="BI80" s="618"/>
      <c r="BJ80" s="618"/>
      <c r="BK80" s="618"/>
      <c r="BL80" s="553"/>
      <c r="BM80" s="618"/>
      <c r="BN80" s="618"/>
      <c r="BO80" s="618"/>
    </row>
    <row r="81" spans="1:67" ht="13" hidden="1">
      <c r="A81" s="664" t="s">
        <v>807</v>
      </c>
      <c r="B81" s="325"/>
      <c r="C81" s="325">
        <v>112014386</v>
      </c>
      <c r="D81" s="1392">
        <f t="shared" si="22"/>
        <v>0</v>
      </c>
      <c r="G81" s="323" t="s">
        <v>195</v>
      </c>
      <c r="H81" s="325">
        <v>1</v>
      </c>
      <c r="I81" s="325">
        <v>112014354</v>
      </c>
      <c r="J81" s="1393">
        <f t="shared" si="23"/>
        <v>71</v>
      </c>
      <c r="M81" s="664" t="s">
        <v>646</v>
      </c>
      <c r="N81" s="324">
        <v>1</v>
      </c>
      <c r="O81" s="325">
        <v>112011741</v>
      </c>
      <c r="P81" s="1392">
        <f t="shared" si="24"/>
        <v>71</v>
      </c>
      <c r="R81" s="664" t="s">
        <v>280</v>
      </c>
      <c r="S81" s="324">
        <v>22</v>
      </c>
      <c r="T81" s="325">
        <v>112012087</v>
      </c>
      <c r="U81" s="1392">
        <f t="shared" si="25"/>
        <v>63</v>
      </c>
      <c r="W81" s="664" t="s">
        <v>439</v>
      </c>
      <c r="X81" s="324">
        <v>22</v>
      </c>
      <c r="Y81" s="325">
        <v>112011275</v>
      </c>
      <c r="Z81" s="1392">
        <f t="shared" si="26"/>
        <v>63</v>
      </c>
      <c r="AB81" s="664" t="s">
        <v>942</v>
      </c>
      <c r="AC81" s="325">
        <v>22</v>
      </c>
      <c r="AD81" s="325">
        <v>112012132</v>
      </c>
      <c r="AE81" s="1392" t="e">
        <f t="shared" si="27"/>
        <v>#N/A</v>
      </c>
      <c r="AF81" s="302"/>
      <c r="AG81" s="325" t="s">
        <v>1366</v>
      </c>
      <c r="AH81" s="325">
        <v>1</v>
      </c>
      <c r="AI81" s="325">
        <v>112014614</v>
      </c>
      <c r="AJ81" s="799">
        <f t="shared" si="28"/>
        <v>71</v>
      </c>
      <c r="AL81" s="323" t="s">
        <v>1217</v>
      </c>
      <c r="AM81" s="325">
        <v>4</v>
      </c>
      <c r="AN81" s="325">
        <v>112011445</v>
      </c>
      <c r="AO81" s="1394" t="e">
        <f t="shared" si="29"/>
        <v>#N/A</v>
      </c>
      <c r="AQ81" s="1395" t="s">
        <v>1071</v>
      </c>
      <c r="AR81" s="325">
        <v>1</v>
      </c>
      <c r="AS81" s="325">
        <v>112011594</v>
      </c>
      <c r="AT81" s="1396">
        <f t="shared" si="30"/>
        <v>1</v>
      </c>
      <c r="AU81" s="302"/>
      <c r="AV81" s="302"/>
      <c r="AW81" s="664" t="s">
        <v>1493</v>
      </c>
      <c r="AX81" s="325"/>
      <c r="AY81" s="325">
        <v>112013199</v>
      </c>
      <c r="AZ81" s="1392">
        <f t="shared" si="31"/>
        <v>0</v>
      </c>
      <c r="BA81" s="302"/>
      <c r="BB81" s="664" t="s">
        <v>1498</v>
      </c>
      <c r="BC81" s="325"/>
      <c r="BD81" s="325">
        <v>112014076</v>
      </c>
      <c r="BE81" s="1392" t="str">
        <f t="shared" si="32"/>
        <v>MUNICIPALIDAD DE MONTE</v>
      </c>
      <c r="BF81" s="618"/>
      <c r="BG81" s="553"/>
      <c r="BH81" s="294"/>
      <c r="BI81" s="618"/>
      <c r="BJ81" s="618"/>
      <c r="BK81" s="618"/>
      <c r="BL81" s="553"/>
      <c r="BM81" s="618"/>
      <c r="BN81" s="618"/>
      <c r="BO81" s="618"/>
    </row>
    <row r="82" spans="1:67" ht="13" hidden="1">
      <c r="A82" s="664" t="s">
        <v>704</v>
      </c>
      <c r="B82" s="325">
        <v>7</v>
      </c>
      <c r="C82" s="325">
        <v>112014576</v>
      </c>
      <c r="D82" s="1392">
        <f t="shared" si="22"/>
        <v>62</v>
      </c>
      <c r="G82" s="323" t="s">
        <v>68</v>
      </c>
      <c r="H82" s="325">
        <v>10</v>
      </c>
      <c r="I82" s="325">
        <v>112012275</v>
      </c>
      <c r="J82" s="1393">
        <f t="shared" si="23"/>
        <v>53</v>
      </c>
      <c r="M82" s="664" t="s">
        <v>589</v>
      </c>
      <c r="N82" s="324">
        <v>7</v>
      </c>
      <c r="O82" s="325">
        <v>112014609</v>
      </c>
      <c r="P82" s="1392">
        <f t="shared" si="24"/>
        <v>70</v>
      </c>
      <c r="R82" s="664" t="s">
        <v>275</v>
      </c>
      <c r="S82" s="324">
        <v>22</v>
      </c>
      <c r="T82" s="325">
        <v>112014355</v>
      </c>
      <c r="U82" s="1392" t="e">
        <f t="shared" si="25"/>
        <v>#N/A</v>
      </c>
      <c r="W82" s="664" t="s">
        <v>400</v>
      </c>
      <c r="X82" s="324">
        <v>31</v>
      </c>
      <c r="Y82" s="325">
        <v>112013973</v>
      </c>
      <c r="Z82" s="1392">
        <f t="shared" si="26"/>
        <v>61</v>
      </c>
      <c r="AB82" s="664" t="s">
        <v>884</v>
      </c>
      <c r="AC82" s="325">
        <v>22</v>
      </c>
      <c r="AD82" s="325">
        <v>112014672</v>
      </c>
      <c r="AE82" s="1398">
        <f t="shared" si="27"/>
        <v>1</v>
      </c>
      <c r="AF82" s="302"/>
      <c r="AG82" s="325" t="s">
        <v>1272</v>
      </c>
      <c r="AH82" s="325">
        <v>31</v>
      </c>
      <c r="AI82" s="325">
        <v>112012832</v>
      </c>
      <c r="AJ82" s="799">
        <f t="shared" si="28"/>
        <v>61</v>
      </c>
      <c r="AL82" s="323" t="s">
        <v>1159</v>
      </c>
      <c r="AM82" s="325">
        <v>4</v>
      </c>
      <c r="AN82" s="325">
        <v>112012576</v>
      </c>
      <c r="AO82" s="1394" t="e">
        <f t="shared" si="29"/>
        <v>#N/A</v>
      </c>
      <c r="AQ82" s="1395" t="s">
        <v>1017</v>
      </c>
      <c r="AR82" s="325">
        <v>22</v>
      </c>
      <c r="AS82" s="325">
        <v>112013484</v>
      </c>
      <c r="AT82" s="1396">
        <f t="shared" si="30"/>
        <v>22</v>
      </c>
      <c r="AU82" s="302"/>
      <c r="AV82" s="302"/>
      <c r="AW82" s="664" t="s">
        <v>1484</v>
      </c>
      <c r="AX82" s="325">
        <v>1</v>
      </c>
      <c r="AY82" s="325">
        <v>112013990</v>
      </c>
      <c r="AZ82" s="1392">
        <f t="shared" si="31"/>
        <v>1</v>
      </c>
      <c r="BA82" s="302"/>
      <c r="BB82" s="664" t="s">
        <v>1499</v>
      </c>
      <c r="BC82" s="325"/>
      <c r="BD82" s="325">
        <v>112011824</v>
      </c>
      <c r="BE82" s="1392" t="str">
        <f t="shared" si="32"/>
        <v>MUNICIPALIDAD DE PRESIDENTE PERON</v>
      </c>
      <c r="BF82" s="618"/>
      <c r="BG82" s="553"/>
      <c r="BH82" s="294"/>
      <c r="BI82" s="618"/>
      <c r="BJ82" s="618"/>
      <c r="BK82" s="618"/>
      <c r="BL82" s="553"/>
      <c r="BM82" s="618"/>
      <c r="BN82" s="618"/>
      <c r="BO82" s="618"/>
    </row>
    <row r="83" spans="1:67" ht="13" hidden="1">
      <c r="A83" s="664" t="s">
        <v>808</v>
      </c>
      <c r="B83" s="325"/>
      <c r="C83" s="325">
        <v>112012846</v>
      </c>
      <c r="D83" s="1392">
        <f t="shared" si="22"/>
        <v>0</v>
      </c>
      <c r="G83" s="323" t="s">
        <v>113</v>
      </c>
      <c r="H83" s="325">
        <v>31</v>
      </c>
      <c r="I83" s="325">
        <v>112014411</v>
      </c>
      <c r="J83" s="1393">
        <f t="shared" si="23"/>
        <v>69</v>
      </c>
      <c r="M83" s="664" t="s">
        <v>590</v>
      </c>
      <c r="N83" s="324">
        <v>7</v>
      </c>
      <c r="O83" s="325">
        <v>112014680</v>
      </c>
      <c r="P83" s="1392">
        <f t="shared" si="24"/>
        <v>70</v>
      </c>
      <c r="R83" s="664" t="s">
        <v>266</v>
      </c>
      <c r="S83" s="324">
        <v>22</v>
      </c>
      <c r="T83" s="325">
        <v>112012489</v>
      </c>
      <c r="U83" s="1392">
        <f t="shared" si="25"/>
        <v>63</v>
      </c>
      <c r="W83" s="664" t="s">
        <v>447</v>
      </c>
      <c r="X83" s="324">
        <v>29</v>
      </c>
      <c r="Y83" s="325">
        <v>112010434</v>
      </c>
      <c r="Z83" s="1392">
        <f t="shared" si="26"/>
        <v>66</v>
      </c>
      <c r="AB83" s="664" t="s">
        <v>948</v>
      </c>
      <c r="AC83" s="325">
        <v>20</v>
      </c>
      <c r="AD83" s="325">
        <v>112013698</v>
      </c>
      <c r="AE83" s="1392" t="e">
        <f t="shared" si="27"/>
        <v>#N/A</v>
      </c>
      <c r="AF83" s="302"/>
      <c r="AG83" s="325" t="s">
        <v>1383</v>
      </c>
      <c r="AH83" s="325"/>
      <c r="AI83" s="325">
        <v>112014601</v>
      </c>
      <c r="AJ83" s="799">
        <f t="shared" si="28"/>
        <v>0</v>
      </c>
      <c r="AL83" s="323" t="s">
        <v>1162</v>
      </c>
      <c r="AM83" s="325">
        <v>4</v>
      </c>
      <c r="AN83" s="325">
        <v>112014544</v>
      </c>
      <c r="AO83" s="1394" t="e">
        <f t="shared" si="29"/>
        <v>#N/A</v>
      </c>
      <c r="AQ83" s="1395" t="s">
        <v>873</v>
      </c>
      <c r="AR83" s="325">
        <v>22</v>
      </c>
      <c r="AS83" s="325">
        <v>112010673</v>
      </c>
      <c r="AT83" s="1397" t="e">
        <f t="shared" si="30"/>
        <v>#N/A</v>
      </c>
      <c r="AU83" s="302"/>
      <c r="AV83" s="302"/>
      <c r="AW83" s="664" t="s">
        <v>1117</v>
      </c>
      <c r="AX83" s="325">
        <v>1</v>
      </c>
      <c r="AY83" s="325">
        <v>112013669</v>
      </c>
      <c r="AZ83" s="1392">
        <f t="shared" si="31"/>
        <v>1</v>
      </c>
      <c r="BA83" s="302"/>
      <c r="BB83" s="664" t="s">
        <v>1500</v>
      </c>
      <c r="BC83" s="325"/>
      <c r="BD83" s="325">
        <v>112013723</v>
      </c>
      <c r="BE83" s="1392" t="str">
        <f t="shared" si="32"/>
        <v>MUNICIPIO DE TOLHUIN</v>
      </c>
      <c r="BF83" s="618"/>
      <c r="BG83" s="553"/>
      <c r="BH83" s="294"/>
      <c r="BI83" s="618"/>
      <c r="BJ83" s="618"/>
      <c r="BK83" s="618"/>
      <c r="BL83" s="553"/>
      <c r="BM83" s="618"/>
      <c r="BN83" s="618"/>
      <c r="BO83" s="618"/>
    </row>
    <row r="84" spans="1:67" ht="13" hidden="1">
      <c r="A84" s="664" t="s">
        <v>732</v>
      </c>
      <c r="B84" s="325">
        <v>7</v>
      </c>
      <c r="C84" s="325">
        <v>112013242</v>
      </c>
      <c r="D84" s="1392">
        <f t="shared" si="22"/>
        <v>70</v>
      </c>
      <c r="G84" s="323" t="s">
        <v>222</v>
      </c>
      <c r="H84" s="325"/>
      <c r="I84" s="325">
        <v>112010753</v>
      </c>
      <c r="J84" s="1393">
        <f t="shared" si="23"/>
        <v>0</v>
      </c>
      <c r="M84" s="664" t="s">
        <v>510</v>
      </c>
      <c r="N84" s="324">
        <v>10</v>
      </c>
      <c r="O84" s="325">
        <v>112013271</v>
      </c>
      <c r="P84" s="1392">
        <f t="shared" si="24"/>
        <v>53</v>
      </c>
      <c r="R84" s="664" t="s">
        <v>352</v>
      </c>
      <c r="S84" s="324"/>
      <c r="T84" s="325">
        <v>112013258</v>
      </c>
      <c r="U84" s="1392">
        <f t="shared" si="25"/>
        <v>0</v>
      </c>
      <c r="W84" s="664" t="s">
        <v>450</v>
      </c>
      <c r="X84" s="324">
        <v>20</v>
      </c>
      <c r="Y84" s="325">
        <v>112014101</v>
      </c>
      <c r="Z84" s="1392">
        <f t="shared" si="26"/>
        <v>67</v>
      </c>
      <c r="AB84" s="664" t="s">
        <v>891</v>
      </c>
      <c r="AC84" s="325">
        <v>4</v>
      </c>
      <c r="AD84" s="325">
        <v>112014191</v>
      </c>
      <c r="AE84" s="1398">
        <f t="shared" si="27"/>
        <v>4</v>
      </c>
      <c r="AF84" s="302"/>
      <c r="AG84" s="325" t="s">
        <v>1338</v>
      </c>
      <c r="AH84" s="325">
        <v>10</v>
      </c>
      <c r="AI84" s="325">
        <v>112013925</v>
      </c>
      <c r="AJ84" s="799">
        <f t="shared" si="28"/>
        <v>71</v>
      </c>
      <c r="AL84" s="323" t="s">
        <v>1225</v>
      </c>
      <c r="AM84" s="325">
        <v>22</v>
      </c>
      <c r="AN84" s="325">
        <v>112013965</v>
      </c>
      <c r="AO84" s="1394" t="e">
        <f t="shared" si="29"/>
        <v>#N/A</v>
      </c>
      <c r="AQ84" s="1395" t="s">
        <v>1104</v>
      </c>
      <c r="AR84" s="325">
        <v>29</v>
      </c>
      <c r="AS84" s="325">
        <v>112012176</v>
      </c>
      <c r="AT84" s="1397" t="e">
        <f t="shared" si="30"/>
        <v>#N/A</v>
      </c>
      <c r="AU84" s="302"/>
      <c r="AV84" s="302"/>
      <c r="AW84" s="664" t="s">
        <v>1491</v>
      </c>
      <c r="AX84" s="325"/>
      <c r="AY84" s="325">
        <v>112013901</v>
      </c>
      <c r="AZ84" s="1392">
        <f t="shared" si="31"/>
        <v>0</v>
      </c>
      <c r="BA84" s="302"/>
      <c r="BB84" s="664" t="s">
        <v>661</v>
      </c>
      <c r="BC84" s="325"/>
      <c r="BD84" s="325">
        <v>112012864</v>
      </c>
      <c r="BE84" s="1392" t="str">
        <f t="shared" si="32"/>
        <v>MUÑOZ JORGE SANTIAGO</v>
      </c>
      <c r="BF84" s="618"/>
      <c r="BG84" s="553"/>
      <c r="BH84" s="294"/>
      <c r="BI84" s="618"/>
      <c r="BJ84" s="618"/>
      <c r="BK84" s="618"/>
      <c r="BL84" s="553"/>
      <c r="BM84" s="618"/>
      <c r="BN84" s="618"/>
      <c r="BO84" s="618"/>
    </row>
    <row r="85" spans="1:67" ht="13" hidden="1">
      <c r="A85" s="664" t="s">
        <v>788</v>
      </c>
      <c r="B85" s="325">
        <v>1</v>
      </c>
      <c r="C85" s="325">
        <v>112012050</v>
      </c>
      <c r="D85" s="1392">
        <f t="shared" si="22"/>
        <v>71</v>
      </c>
      <c r="G85" s="323" t="s">
        <v>196</v>
      </c>
      <c r="H85" s="325">
        <v>1</v>
      </c>
      <c r="I85" s="325">
        <v>112013878</v>
      </c>
      <c r="J85" s="1393">
        <f t="shared" si="23"/>
        <v>71</v>
      </c>
      <c r="M85" s="664" t="s">
        <v>631</v>
      </c>
      <c r="N85" s="324">
        <v>4</v>
      </c>
      <c r="O85" s="325">
        <v>112013315</v>
      </c>
      <c r="P85" s="1392">
        <f t="shared" si="24"/>
        <v>70</v>
      </c>
      <c r="R85" s="664" t="s">
        <v>339</v>
      </c>
      <c r="S85" s="324">
        <v>1</v>
      </c>
      <c r="T85" s="325">
        <v>112012258</v>
      </c>
      <c r="U85" s="1392">
        <f t="shared" si="25"/>
        <v>71</v>
      </c>
      <c r="W85" s="664" t="s">
        <v>443</v>
      </c>
      <c r="X85" s="324">
        <v>22</v>
      </c>
      <c r="Y85" s="325">
        <v>112014717</v>
      </c>
      <c r="Z85" s="1392">
        <f t="shared" si="26"/>
        <v>63</v>
      </c>
      <c r="AB85" s="664" t="s">
        <v>839</v>
      </c>
      <c r="AC85" s="325">
        <v>10</v>
      </c>
      <c r="AD85" s="325">
        <v>112014058</v>
      </c>
      <c r="AE85" s="1398">
        <f t="shared" si="27"/>
        <v>10</v>
      </c>
      <c r="AF85" s="302"/>
      <c r="AG85" s="325" t="s">
        <v>1367</v>
      </c>
      <c r="AH85" s="325">
        <v>1</v>
      </c>
      <c r="AI85" s="325">
        <v>112013861</v>
      </c>
      <c r="AJ85" s="799">
        <f t="shared" si="28"/>
        <v>71</v>
      </c>
      <c r="AL85" s="323" t="s">
        <v>1164</v>
      </c>
      <c r="AM85" s="325">
        <v>4</v>
      </c>
      <c r="AN85" s="325">
        <v>112013037</v>
      </c>
      <c r="AO85" s="1394" t="e">
        <f t="shared" si="29"/>
        <v>#N/A</v>
      </c>
      <c r="AQ85" s="1395" t="s">
        <v>1062</v>
      </c>
      <c r="AR85" s="325">
        <v>20</v>
      </c>
      <c r="AS85" s="325">
        <v>112013469</v>
      </c>
      <c r="AT85" s="1396">
        <f t="shared" si="30"/>
        <v>1</v>
      </c>
      <c r="AU85" s="302"/>
      <c r="AV85" s="302"/>
      <c r="AW85" s="664" t="s">
        <v>1494</v>
      </c>
      <c r="AX85" s="325"/>
      <c r="AY85" s="325">
        <v>112014076</v>
      </c>
      <c r="AZ85" s="1392">
        <f t="shared" si="31"/>
        <v>0</v>
      </c>
      <c r="BA85" s="302"/>
      <c r="BB85" s="664" t="s">
        <v>1442</v>
      </c>
      <c r="BC85" s="325">
        <v>22</v>
      </c>
      <c r="BD85" s="325">
        <v>112014228</v>
      </c>
      <c r="BE85" s="1392" t="str">
        <f t="shared" si="32"/>
        <v>NIEFERGOL MARCO ANTONIO</v>
      </c>
      <c r="BF85" s="618"/>
      <c r="BG85" s="553"/>
      <c r="BH85" s="294"/>
      <c r="BI85" s="618"/>
      <c r="BJ85" s="618"/>
      <c r="BK85" s="618"/>
      <c r="BL85" s="553"/>
      <c r="BM85" s="618"/>
      <c r="BN85" s="618"/>
      <c r="BO85" s="618"/>
    </row>
    <row r="86" spans="1:67" ht="13" hidden="1">
      <c r="A86" s="664" t="s">
        <v>684</v>
      </c>
      <c r="B86" s="325">
        <v>51</v>
      </c>
      <c r="C86" s="325">
        <v>112012528</v>
      </c>
      <c r="D86" s="1392">
        <f t="shared" si="22"/>
        <v>51</v>
      </c>
      <c r="G86" s="323" t="s">
        <v>157</v>
      </c>
      <c r="H86" s="325">
        <v>4</v>
      </c>
      <c r="I86" s="325">
        <v>112014668</v>
      </c>
      <c r="J86" s="1393">
        <f t="shared" si="23"/>
        <v>70</v>
      </c>
      <c r="M86" s="664" t="s">
        <v>562</v>
      </c>
      <c r="N86" s="324">
        <v>31</v>
      </c>
      <c r="O86" s="325">
        <v>112014643</v>
      </c>
      <c r="P86" s="1392">
        <f t="shared" si="24"/>
        <v>69</v>
      </c>
      <c r="R86" s="664" t="s">
        <v>340</v>
      </c>
      <c r="S86" s="324">
        <v>6</v>
      </c>
      <c r="T86" s="325">
        <v>112013733</v>
      </c>
      <c r="U86" s="1392">
        <f t="shared" si="25"/>
        <v>70</v>
      </c>
      <c r="W86" s="664" t="s">
        <v>480</v>
      </c>
      <c r="X86" s="324"/>
      <c r="Y86" s="325">
        <v>112013134</v>
      </c>
      <c r="Z86" s="1392">
        <f t="shared" si="26"/>
        <v>0</v>
      </c>
      <c r="AB86" s="664" t="s">
        <v>904</v>
      </c>
      <c r="AC86" s="325"/>
      <c r="AD86" s="325">
        <v>112014088</v>
      </c>
      <c r="AE86" s="1392" t="e">
        <f t="shared" si="27"/>
        <v>#N/A</v>
      </c>
      <c r="AF86" s="302"/>
      <c r="AG86" s="325" t="s">
        <v>1322</v>
      </c>
      <c r="AH86" s="325">
        <v>22</v>
      </c>
      <c r="AI86" s="325">
        <v>112013882</v>
      </c>
      <c r="AJ86" s="799">
        <f t="shared" si="28"/>
        <v>63</v>
      </c>
      <c r="AL86" s="323" t="s">
        <v>1560</v>
      </c>
      <c r="AM86" s="325">
        <v>4</v>
      </c>
      <c r="AN86" s="325">
        <v>112014618</v>
      </c>
      <c r="AO86" s="1394" t="e">
        <f t="shared" si="29"/>
        <v>#N/A</v>
      </c>
      <c r="AQ86" s="1395" t="s">
        <v>1014</v>
      </c>
      <c r="AR86" s="325">
        <v>22</v>
      </c>
      <c r="AS86" s="325">
        <v>112011970</v>
      </c>
      <c r="AT86" s="1396">
        <f t="shared" si="30"/>
        <v>22</v>
      </c>
      <c r="AU86" s="302"/>
      <c r="AV86" s="302"/>
      <c r="AW86" s="664" t="s">
        <v>1495</v>
      </c>
      <c r="AX86" s="325"/>
      <c r="AY86" s="325">
        <v>112011824</v>
      </c>
      <c r="AZ86" s="1392">
        <f t="shared" si="31"/>
        <v>0</v>
      </c>
      <c r="BA86" s="302"/>
      <c r="BB86" s="664" t="s">
        <v>1323</v>
      </c>
      <c r="BC86" s="325">
        <v>22</v>
      </c>
      <c r="BD86" s="325">
        <v>112013210</v>
      </c>
      <c r="BE86" s="1392" t="str">
        <f t="shared" si="32"/>
        <v>NOCETTI FACUNDO</v>
      </c>
      <c r="BF86" s="618"/>
      <c r="BG86" s="553"/>
      <c r="BH86" s="294"/>
      <c r="BI86" s="618"/>
      <c r="BJ86" s="618"/>
      <c r="BK86" s="618"/>
      <c r="BL86" s="553"/>
      <c r="BM86" s="618"/>
      <c r="BN86" s="618"/>
      <c r="BO86" s="618"/>
    </row>
    <row r="87" spans="1:67" ht="13" hidden="1">
      <c r="A87" s="664" t="s">
        <v>789</v>
      </c>
      <c r="B87" s="325">
        <v>1</v>
      </c>
      <c r="C87" s="325">
        <v>112012840</v>
      </c>
      <c r="D87" s="1392">
        <f t="shared" si="22"/>
        <v>71</v>
      </c>
      <c r="G87" s="323" t="s">
        <v>235</v>
      </c>
      <c r="H87" s="325">
        <v>7</v>
      </c>
      <c r="I87" s="325">
        <v>112014703</v>
      </c>
      <c r="J87" s="1393" t="e">
        <f t="shared" si="23"/>
        <v>#N/A</v>
      </c>
      <c r="M87" s="664" t="s">
        <v>647</v>
      </c>
      <c r="N87" s="324">
        <v>1</v>
      </c>
      <c r="O87" s="325">
        <v>112011763</v>
      </c>
      <c r="P87" s="1392">
        <f t="shared" si="24"/>
        <v>71</v>
      </c>
      <c r="R87" s="664" t="s">
        <v>353</v>
      </c>
      <c r="S87" s="324"/>
      <c r="T87" s="325">
        <v>112013358</v>
      </c>
      <c r="U87" s="1392">
        <f t="shared" si="25"/>
        <v>0</v>
      </c>
      <c r="W87" s="664" t="s">
        <v>492</v>
      </c>
      <c r="X87" s="324">
        <v>7</v>
      </c>
      <c r="Y87" s="325">
        <v>112012714</v>
      </c>
      <c r="Z87" s="1392" t="e">
        <f t="shared" si="26"/>
        <v>#N/A</v>
      </c>
      <c r="AB87" s="664" t="s">
        <v>893</v>
      </c>
      <c r="AC87" s="325">
        <v>1</v>
      </c>
      <c r="AD87" s="325">
        <v>112010041</v>
      </c>
      <c r="AE87" s="1398">
        <f t="shared" si="27"/>
        <v>1</v>
      </c>
      <c r="AF87" s="302"/>
      <c r="AG87" s="325" t="s">
        <v>1274</v>
      </c>
      <c r="AH87" s="325">
        <v>31</v>
      </c>
      <c r="AI87" s="325">
        <v>112013964</v>
      </c>
      <c r="AJ87" s="799">
        <f t="shared" si="28"/>
        <v>61</v>
      </c>
      <c r="AL87" s="323" t="s">
        <v>1236</v>
      </c>
      <c r="AM87" s="325">
        <v>22</v>
      </c>
      <c r="AN87" s="325">
        <v>112010479</v>
      </c>
      <c r="AO87" s="1394" t="e">
        <f t="shared" si="29"/>
        <v>#N/A</v>
      </c>
      <c r="AQ87" s="1395" t="s">
        <v>1024</v>
      </c>
      <c r="AR87" s="325">
        <v>22</v>
      </c>
      <c r="AS87" s="325">
        <v>112014501</v>
      </c>
      <c r="AT87" s="1396">
        <f t="shared" si="30"/>
        <v>22</v>
      </c>
      <c r="AU87" s="302"/>
      <c r="AV87" s="302"/>
      <c r="AW87" s="664" t="s">
        <v>1498</v>
      </c>
      <c r="AX87" s="325"/>
      <c r="AY87" s="325">
        <v>112013723</v>
      </c>
      <c r="AZ87" s="1392">
        <f t="shared" si="31"/>
        <v>0</v>
      </c>
      <c r="BA87" s="302"/>
      <c r="BB87" s="664" t="s">
        <v>1443</v>
      </c>
      <c r="BC87" s="325">
        <v>22</v>
      </c>
      <c r="BD87" s="325">
        <v>112014274</v>
      </c>
      <c r="BE87" s="1392" t="str">
        <f t="shared" si="32"/>
        <v>NORO MARIA MARTA</v>
      </c>
      <c r="BF87" s="618"/>
      <c r="BG87" s="553"/>
      <c r="BH87" s="294"/>
      <c r="BI87" s="618"/>
      <c r="BJ87" s="618"/>
      <c r="BK87" s="618"/>
      <c r="BL87" s="553"/>
      <c r="BM87" s="618"/>
      <c r="BN87" s="618"/>
      <c r="BO87" s="618"/>
    </row>
    <row r="88" spans="1:67" ht="13" hidden="1">
      <c r="A88" s="664" t="s">
        <v>720</v>
      </c>
      <c r="B88" s="325">
        <v>31</v>
      </c>
      <c r="C88" s="325">
        <v>112013819</v>
      </c>
      <c r="D88" s="1392">
        <f t="shared" si="22"/>
        <v>69</v>
      </c>
      <c r="G88" s="323" t="s">
        <v>110</v>
      </c>
      <c r="H88" s="325">
        <v>1</v>
      </c>
      <c r="I88" s="325">
        <v>112013668</v>
      </c>
      <c r="J88" s="1393" t="e">
        <f t="shared" si="23"/>
        <v>#N/A</v>
      </c>
      <c r="M88" s="664" t="s">
        <v>632</v>
      </c>
      <c r="N88" s="324">
        <v>4</v>
      </c>
      <c r="O88" s="325">
        <v>112013449</v>
      </c>
      <c r="P88" s="1392">
        <f t="shared" si="24"/>
        <v>70</v>
      </c>
      <c r="R88" s="664" t="s">
        <v>341</v>
      </c>
      <c r="S88" s="324">
        <v>1</v>
      </c>
      <c r="T88" s="325">
        <v>112011542</v>
      </c>
      <c r="U88" s="1392">
        <f t="shared" si="25"/>
        <v>71</v>
      </c>
      <c r="W88" s="664" t="s">
        <v>455</v>
      </c>
      <c r="X88" s="324">
        <v>1</v>
      </c>
      <c r="Y88" s="325">
        <v>112010619</v>
      </c>
      <c r="Z88" s="1392">
        <f t="shared" si="26"/>
        <v>71</v>
      </c>
      <c r="AB88" s="664" t="s">
        <v>949</v>
      </c>
      <c r="AC88" s="325">
        <v>29</v>
      </c>
      <c r="AD88" s="325">
        <v>112011810</v>
      </c>
      <c r="AE88" s="1392" t="e">
        <f t="shared" si="27"/>
        <v>#N/A</v>
      </c>
      <c r="AF88" s="302"/>
      <c r="AG88" s="325" t="s">
        <v>1379</v>
      </c>
      <c r="AH88" s="325"/>
      <c r="AI88" s="325">
        <v>112014710</v>
      </c>
      <c r="AJ88" s="799">
        <f t="shared" si="28"/>
        <v>0</v>
      </c>
      <c r="AL88" s="323" t="s">
        <v>1182</v>
      </c>
      <c r="AM88" s="325">
        <v>1</v>
      </c>
      <c r="AN88" s="325">
        <v>112013436</v>
      </c>
      <c r="AO88" s="1394" t="e">
        <f t="shared" si="29"/>
        <v>#N/A</v>
      </c>
      <c r="AQ88" s="1395" t="s">
        <v>1031</v>
      </c>
      <c r="AR88" s="325">
        <v>22</v>
      </c>
      <c r="AS88" s="325">
        <v>112013794</v>
      </c>
      <c r="AT88" s="1397" t="e">
        <f t="shared" si="30"/>
        <v>#N/A</v>
      </c>
      <c r="AU88" s="302"/>
      <c r="AV88" s="302"/>
      <c r="AW88" s="664" t="s">
        <v>1499</v>
      </c>
      <c r="AX88" s="325"/>
      <c r="AY88" s="325">
        <v>112012864</v>
      </c>
      <c r="AZ88" s="1392">
        <f t="shared" si="31"/>
        <v>0</v>
      </c>
      <c r="BA88" s="302"/>
      <c r="BB88" s="664" t="s">
        <v>1062</v>
      </c>
      <c r="BC88" s="325">
        <v>20</v>
      </c>
      <c r="BD88" s="325">
        <v>112013730</v>
      </c>
      <c r="BE88" s="1392" t="str">
        <f t="shared" si="32"/>
        <v>NOYA PABLO HORACIO</v>
      </c>
      <c r="BF88" s="618"/>
      <c r="BG88" s="553"/>
      <c r="BH88" s="294"/>
      <c r="BI88" s="618"/>
      <c r="BJ88" s="618"/>
      <c r="BK88" s="618"/>
      <c r="BL88" s="553"/>
      <c r="BM88" s="618"/>
      <c r="BN88" s="618"/>
      <c r="BO88" s="618"/>
    </row>
    <row r="89" spans="1:67" ht="13" hidden="1">
      <c r="A89" s="664" t="s">
        <v>710</v>
      </c>
      <c r="B89" s="325">
        <v>22</v>
      </c>
      <c r="C89" s="325">
        <v>112014592</v>
      </c>
      <c r="D89" s="1392">
        <f t="shared" si="22"/>
        <v>63</v>
      </c>
      <c r="G89" s="323" t="s">
        <v>197</v>
      </c>
      <c r="H89" s="325">
        <v>1</v>
      </c>
      <c r="I89" s="325">
        <v>112013913</v>
      </c>
      <c r="J89" s="1393">
        <f t="shared" si="23"/>
        <v>71</v>
      </c>
      <c r="M89" s="664" t="s">
        <v>591</v>
      </c>
      <c r="N89" s="324">
        <v>7</v>
      </c>
      <c r="O89" s="325">
        <v>112014394</v>
      </c>
      <c r="P89" s="1392">
        <f t="shared" si="24"/>
        <v>70</v>
      </c>
      <c r="R89" s="664" t="s">
        <v>276</v>
      </c>
      <c r="S89" s="324">
        <v>22</v>
      </c>
      <c r="T89" s="325">
        <v>112012598</v>
      </c>
      <c r="U89" s="1392">
        <f t="shared" si="25"/>
        <v>63</v>
      </c>
      <c r="W89" s="664" t="s">
        <v>464</v>
      </c>
      <c r="X89" s="324">
        <v>1</v>
      </c>
      <c r="Y89" s="325">
        <v>112011552</v>
      </c>
      <c r="Z89" s="1392">
        <f t="shared" si="26"/>
        <v>71</v>
      </c>
      <c r="AB89" s="664" t="s">
        <v>985</v>
      </c>
      <c r="AC89" s="325"/>
      <c r="AD89" s="325">
        <v>112012418</v>
      </c>
      <c r="AE89" s="1392" t="e">
        <f t="shared" si="27"/>
        <v>#N/A</v>
      </c>
      <c r="AF89" s="302"/>
      <c r="AG89" s="325" t="s">
        <v>1335</v>
      </c>
      <c r="AH89" s="325">
        <v>4</v>
      </c>
      <c r="AI89" s="325">
        <v>112014218</v>
      </c>
      <c r="AJ89" s="799">
        <f t="shared" si="28"/>
        <v>70</v>
      </c>
      <c r="AL89" s="323" t="s">
        <v>1226</v>
      </c>
      <c r="AM89" s="325">
        <v>22</v>
      </c>
      <c r="AN89" s="325">
        <v>112013940</v>
      </c>
      <c r="AO89" s="1394" t="e">
        <f t="shared" si="29"/>
        <v>#N/A</v>
      </c>
      <c r="AQ89" s="1395" t="s">
        <v>1099</v>
      </c>
      <c r="AR89" s="325">
        <v>7</v>
      </c>
      <c r="AS89" s="325">
        <v>112012452</v>
      </c>
      <c r="AT89" s="1397" t="e">
        <f t="shared" si="30"/>
        <v>#N/A</v>
      </c>
      <c r="AU89" s="302"/>
      <c r="AV89" s="302"/>
      <c r="AW89" s="664" t="s">
        <v>1502</v>
      </c>
      <c r="AX89" s="325"/>
      <c r="AY89" s="325">
        <v>112012403</v>
      </c>
      <c r="AZ89" s="1392">
        <f t="shared" si="31"/>
        <v>0</v>
      </c>
      <c r="BA89" s="302"/>
      <c r="BB89" s="664" t="s">
        <v>1402</v>
      </c>
      <c r="BC89" s="325">
        <v>12</v>
      </c>
      <c r="BD89" s="325">
        <v>112013144</v>
      </c>
      <c r="BE89" s="1392" t="str">
        <f t="shared" si="32"/>
        <v>NUÑEZ PEÑALOZA EDUARDO JAVIER</v>
      </c>
      <c r="BF89" s="618"/>
      <c r="BG89" s="553"/>
      <c r="BH89" s="294"/>
      <c r="BI89" s="618"/>
      <c r="BJ89" s="618"/>
      <c r="BK89" s="618"/>
      <c r="BL89" s="553"/>
      <c r="BM89" s="618"/>
      <c r="BN89" s="618"/>
      <c r="BO89" s="618"/>
    </row>
    <row r="90" spans="1:67" ht="13" hidden="1">
      <c r="A90" s="664" t="s">
        <v>762</v>
      </c>
      <c r="B90" s="325">
        <v>4</v>
      </c>
      <c r="C90" s="325">
        <v>112013268</v>
      </c>
      <c r="D90" s="1392">
        <f t="shared" si="22"/>
        <v>70</v>
      </c>
      <c r="G90" s="323" t="s">
        <v>233</v>
      </c>
      <c r="H90" s="325">
        <v>18</v>
      </c>
      <c r="I90" s="325">
        <v>112012260</v>
      </c>
      <c r="J90" s="1393" t="e">
        <f t="shared" si="23"/>
        <v>#N/A</v>
      </c>
      <c r="M90" s="664" t="s">
        <v>563</v>
      </c>
      <c r="N90" s="324">
        <v>31</v>
      </c>
      <c r="O90" s="325">
        <v>112014327</v>
      </c>
      <c r="P90" s="1392">
        <f t="shared" si="24"/>
        <v>69</v>
      </c>
      <c r="R90" s="664" t="s">
        <v>306</v>
      </c>
      <c r="S90" s="324">
        <v>6</v>
      </c>
      <c r="T90" s="325">
        <v>112014291</v>
      </c>
      <c r="U90" s="1392">
        <f t="shared" si="25"/>
        <v>70</v>
      </c>
      <c r="W90" s="664" t="s">
        <v>240</v>
      </c>
      <c r="X90" s="324">
        <v>1</v>
      </c>
      <c r="Y90" s="325">
        <v>112014384</v>
      </c>
      <c r="Z90" s="1392">
        <f t="shared" si="26"/>
        <v>71</v>
      </c>
      <c r="AB90" s="664" t="s">
        <v>926</v>
      </c>
      <c r="AC90" s="325">
        <v>7</v>
      </c>
      <c r="AD90" s="325">
        <v>112014079</v>
      </c>
      <c r="AE90" s="1392" t="e">
        <f t="shared" si="27"/>
        <v>#N/A</v>
      </c>
      <c r="AF90" s="302"/>
      <c r="AG90" s="325" t="s">
        <v>1278</v>
      </c>
      <c r="AH90" s="325">
        <v>7</v>
      </c>
      <c r="AI90" s="325">
        <v>112013946</v>
      </c>
      <c r="AJ90" s="799">
        <f t="shared" si="28"/>
        <v>62</v>
      </c>
      <c r="AL90" s="323" t="s">
        <v>1216</v>
      </c>
      <c r="AM90" s="325">
        <v>4</v>
      </c>
      <c r="AN90" s="325">
        <v>112014464</v>
      </c>
      <c r="AO90" s="1394" t="e">
        <f t="shared" si="29"/>
        <v>#N/A</v>
      </c>
      <c r="AQ90" s="1395" t="s">
        <v>1070</v>
      </c>
      <c r="AR90" s="325">
        <v>1</v>
      </c>
      <c r="AS90" s="325">
        <v>112011474</v>
      </c>
      <c r="AT90" s="1396">
        <f t="shared" si="30"/>
        <v>1</v>
      </c>
      <c r="AU90" s="302"/>
      <c r="AV90" s="302"/>
      <c r="AW90" s="664" t="s">
        <v>1114</v>
      </c>
      <c r="AX90" s="325">
        <v>1</v>
      </c>
      <c r="AY90" s="325">
        <v>112012451</v>
      </c>
      <c r="AZ90" s="1392">
        <f t="shared" si="31"/>
        <v>1</v>
      </c>
      <c r="BA90" s="302"/>
      <c r="BB90" s="664" t="s">
        <v>1024</v>
      </c>
      <c r="BC90" s="325">
        <v>22</v>
      </c>
      <c r="BD90" s="325">
        <v>112013469</v>
      </c>
      <c r="BE90" s="1392" t="str">
        <f t="shared" si="32"/>
        <v>OLIVERA MARIA PIA</v>
      </c>
      <c r="BF90" s="618"/>
      <c r="BG90" s="553"/>
      <c r="BH90" s="294"/>
      <c r="BI90" s="618"/>
      <c r="BJ90" s="618"/>
      <c r="BK90" s="618"/>
      <c r="BL90" s="553"/>
      <c r="BM90" s="618"/>
      <c r="BN90" s="618"/>
      <c r="BO90" s="618"/>
    </row>
    <row r="91" spans="1:67" ht="13" hidden="1">
      <c r="A91" s="664" t="s">
        <v>790</v>
      </c>
      <c r="B91" s="325">
        <v>1</v>
      </c>
      <c r="C91" s="325">
        <v>112013196</v>
      </c>
      <c r="D91" s="1392">
        <f t="shared" si="22"/>
        <v>71</v>
      </c>
      <c r="G91" s="323" t="s">
        <v>132</v>
      </c>
      <c r="H91" s="325">
        <v>18</v>
      </c>
      <c r="I91" s="325">
        <v>112014612</v>
      </c>
      <c r="J91" s="1393">
        <f t="shared" si="23"/>
        <v>69</v>
      </c>
      <c r="M91" s="664" t="s">
        <v>536</v>
      </c>
      <c r="N91" s="324">
        <v>7</v>
      </c>
      <c r="O91" s="325">
        <v>112014077</v>
      </c>
      <c r="P91" s="1392">
        <f t="shared" si="24"/>
        <v>62</v>
      </c>
      <c r="R91" s="664" t="s">
        <v>342</v>
      </c>
      <c r="S91" s="324">
        <v>1</v>
      </c>
      <c r="T91" s="325">
        <v>112012936</v>
      </c>
      <c r="U91" s="1392">
        <f t="shared" si="25"/>
        <v>71</v>
      </c>
      <c r="W91" s="664" t="s">
        <v>487</v>
      </c>
      <c r="X91" s="324">
        <v>1</v>
      </c>
      <c r="Y91" s="325">
        <v>112013042</v>
      </c>
      <c r="Z91" s="1392" t="e">
        <f t="shared" si="26"/>
        <v>#N/A</v>
      </c>
      <c r="AB91" s="664" t="s">
        <v>952</v>
      </c>
      <c r="AC91" s="325">
        <v>20</v>
      </c>
      <c r="AD91" s="325">
        <v>112013395</v>
      </c>
      <c r="AE91" s="1392" t="e">
        <f t="shared" si="27"/>
        <v>#N/A</v>
      </c>
      <c r="AF91" s="302"/>
      <c r="AG91" s="325" t="s">
        <v>1323</v>
      </c>
      <c r="AH91" s="325">
        <v>22</v>
      </c>
      <c r="AI91" s="325">
        <v>112013730</v>
      </c>
      <c r="AJ91" s="799">
        <f t="shared" si="28"/>
        <v>63</v>
      </c>
      <c r="AL91" s="323" t="s">
        <v>1197</v>
      </c>
      <c r="AM91" s="325">
        <v>4</v>
      </c>
      <c r="AN91" s="325">
        <v>112012486</v>
      </c>
      <c r="AO91" s="1394" t="e">
        <f t="shared" si="29"/>
        <v>#N/A</v>
      </c>
      <c r="AQ91" s="1395" t="s">
        <v>1018</v>
      </c>
      <c r="AR91" s="325">
        <v>22</v>
      </c>
      <c r="AS91" s="325">
        <v>112013501</v>
      </c>
      <c r="AT91" s="1396">
        <f t="shared" si="30"/>
        <v>22</v>
      </c>
      <c r="AU91" s="302"/>
      <c r="AV91" s="302"/>
      <c r="AW91" s="664" t="s">
        <v>1503</v>
      </c>
      <c r="AX91" s="325"/>
      <c r="AY91" s="325">
        <v>112014595</v>
      </c>
      <c r="AZ91" s="1392">
        <f t="shared" si="31"/>
        <v>0</v>
      </c>
      <c r="BA91" s="302"/>
      <c r="BB91" s="664" t="s">
        <v>948</v>
      </c>
      <c r="BC91" s="325">
        <v>20</v>
      </c>
      <c r="BD91" s="325">
        <v>112013513</v>
      </c>
      <c r="BE91" s="1392" t="str">
        <f t="shared" si="32"/>
        <v>OSELLA OSCAR EUGENIO 2</v>
      </c>
      <c r="BF91" s="618"/>
      <c r="BG91" s="553"/>
      <c r="BH91" s="294"/>
      <c r="BI91" s="618"/>
      <c r="BJ91" s="618"/>
      <c r="BK91" s="618"/>
      <c r="BL91" s="553"/>
      <c r="BM91" s="618"/>
      <c r="BN91" s="618"/>
      <c r="BO91" s="618"/>
    </row>
    <row r="92" spans="1:67" ht="13" hidden="1">
      <c r="A92" s="664" t="s">
        <v>791</v>
      </c>
      <c r="B92" s="325">
        <v>1</v>
      </c>
      <c r="C92" s="325">
        <v>112012875</v>
      </c>
      <c r="D92" s="1392">
        <f t="shared" si="22"/>
        <v>71</v>
      </c>
      <c r="G92" s="323" t="s">
        <v>133</v>
      </c>
      <c r="H92" s="325">
        <v>18</v>
      </c>
      <c r="I92" s="325">
        <v>112012402</v>
      </c>
      <c r="J92" s="1393">
        <f t="shared" si="23"/>
        <v>69</v>
      </c>
      <c r="M92" s="664" t="s">
        <v>542</v>
      </c>
      <c r="N92" s="324">
        <v>22</v>
      </c>
      <c r="O92" s="325">
        <v>112012487</v>
      </c>
      <c r="P92" s="1392">
        <f t="shared" si="24"/>
        <v>63</v>
      </c>
      <c r="R92" s="664" t="s">
        <v>277</v>
      </c>
      <c r="S92" s="324">
        <v>22</v>
      </c>
      <c r="T92" s="325">
        <v>112013997</v>
      </c>
      <c r="U92" s="1392" t="e">
        <f t="shared" si="25"/>
        <v>#N/A</v>
      </c>
      <c r="W92" s="664" t="s">
        <v>467</v>
      </c>
      <c r="X92" s="324">
        <v>1</v>
      </c>
      <c r="Y92" s="325">
        <v>112012343</v>
      </c>
      <c r="Z92" s="1392">
        <f t="shared" si="26"/>
        <v>71</v>
      </c>
      <c r="AB92" s="664" t="s">
        <v>941</v>
      </c>
      <c r="AC92" s="325">
        <v>22</v>
      </c>
      <c r="AD92" s="325">
        <v>112011927</v>
      </c>
      <c r="AE92" s="1392" t="e">
        <f t="shared" si="27"/>
        <v>#N/A</v>
      </c>
      <c r="AF92" s="302"/>
      <c r="AG92" s="325" t="s">
        <v>1301</v>
      </c>
      <c r="AH92" s="325">
        <v>22</v>
      </c>
      <c r="AI92" s="325">
        <v>112014454</v>
      </c>
      <c r="AJ92" s="799">
        <f t="shared" si="28"/>
        <v>63</v>
      </c>
      <c r="AL92" s="323" t="s">
        <v>1227</v>
      </c>
      <c r="AM92" s="325">
        <v>22</v>
      </c>
      <c r="AN92" s="325">
        <v>112010481</v>
      </c>
      <c r="AO92" s="1394" t="e">
        <f t="shared" si="29"/>
        <v>#N/A</v>
      </c>
      <c r="AQ92" s="1395" t="s">
        <v>1079</v>
      </c>
      <c r="AR92" s="325">
        <v>1</v>
      </c>
      <c r="AS92" s="325">
        <v>112012717</v>
      </c>
      <c r="AT92" s="1396">
        <f t="shared" si="30"/>
        <v>1</v>
      </c>
      <c r="AU92" s="302"/>
      <c r="AV92" s="302"/>
      <c r="AW92" s="664" t="s">
        <v>1500</v>
      </c>
      <c r="AX92" s="325"/>
      <c r="AY92" s="325">
        <v>112014228</v>
      </c>
      <c r="AZ92" s="1392">
        <f t="shared" si="31"/>
        <v>0</v>
      </c>
      <c r="BA92" s="302"/>
      <c r="BB92" s="664" t="s">
        <v>1422</v>
      </c>
      <c r="BC92" s="325">
        <v>7</v>
      </c>
      <c r="BD92" s="325">
        <v>112014501</v>
      </c>
      <c r="BE92" s="1392" t="str">
        <f t="shared" si="32"/>
        <v>OSVALDO DANIEL GARCIA MAZZOLA</v>
      </c>
      <c r="BF92" s="618"/>
      <c r="BG92" s="553"/>
      <c r="BH92" s="294"/>
      <c r="BI92" s="618"/>
      <c r="BJ92" s="618"/>
      <c r="BK92" s="618"/>
      <c r="BL92" s="553"/>
      <c r="BM92" s="618"/>
      <c r="BN92" s="618"/>
      <c r="BO92" s="618"/>
    </row>
    <row r="93" spans="1:67" ht="13" hidden="1">
      <c r="A93" s="664" t="s">
        <v>792</v>
      </c>
      <c r="B93" s="325">
        <v>1</v>
      </c>
      <c r="C93" s="325">
        <v>112012083</v>
      </c>
      <c r="D93" s="1392">
        <f t="shared" si="22"/>
        <v>71</v>
      </c>
      <c r="G93" s="323" t="s">
        <v>198</v>
      </c>
      <c r="H93" s="325">
        <v>1</v>
      </c>
      <c r="I93" s="325">
        <v>112010909</v>
      </c>
      <c r="J93" s="1393">
        <f t="shared" si="23"/>
        <v>71</v>
      </c>
      <c r="M93" s="664" t="s">
        <v>615</v>
      </c>
      <c r="N93" s="324">
        <v>22</v>
      </c>
      <c r="O93" s="325">
        <v>112013376</v>
      </c>
      <c r="P93" s="1392">
        <f t="shared" si="24"/>
        <v>71</v>
      </c>
      <c r="R93" s="664" t="s">
        <v>290</v>
      </c>
      <c r="S93" s="324">
        <v>20</v>
      </c>
      <c r="T93" s="325">
        <v>112011454</v>
      </c>
      <c r="U93" s="1392">
        <f t="shared" si="25"/>
        <v>67</v>
      </c>
      <c r="W93" s="664" t="s">
        <v>468</v>
      </c>
      <c r="X93" s="324">
        <v>1</v>
      </c>
      <c r="Y93" s="325">
        <v>112012346</v>
      </c>
      <c r="Z93" s="1392">
        <f t="shared" si="26"/>
        <v>71</v>
      </c>
      <c r="AB93" s="664" t="s">
        <v>959</v>
      </c>
      <c r="AC93" s="325">
        <v>4</v>
      </c>
      <c r="AD93" s="325">
        <v>112014690</v>
      </c>
      <c r="AE93" s="1392" t="e">
        <f t="shared" si="27"/>
        <v>#N/A</v>
      </c>
      <c r="AF93" s="302"/>
      <c r="AG93" s="325" t="s">
        <v>1302</v>
      </c>
      <c r="AH93" s="325">
        <v>22</v>
      </c>
      <c r="AI93" s="325">
        <v>112012506</v>
      </c>
      <c r="AJ93" s="799">
        <f t="shared" si="28"/>
        <v>63</v>
      </c>
      <c r="AL93" s="323" t="s">
        <v>1172</v>
      </c>
      <c r="AM93" s="325">
        <v>4</v>
      </c>
      <c r="AN93" s="325">
        <v>112010482</v>
      </c>
      <c r="AO93" s="1394" t="e">
        <f t="shared" si="29"/>
        <v>#N/A</v>
      </c>
      <c r="AQ93" s="1395" t="s">
        <v>1100</v>
      </c>
      <c r="AR93" s="325">
        <v>7</v>
      </c>
      <c r="AS93" s="325">
        <v>112014694</v>
      </c>
      <c r="AT93" s="1397" t="e">
        <f t="shared" si="30"/>
        <v>#N/A</v>
      </c>
      <c r="AU93" s="302"/>
      <c r="AV93" s="302"/>
      <c r="AW93" s="664" t="s">
        <v>1442</v>
      </c>
      <c r="AX93" s="325">
        <v>22</v>
      </c>
      <c r="AY93" s="325">
        <v>112014274</v>
      </c>
      <c r="AZ93" s="1392">
        <f t="shared" si="31"/>
        <v>22</v>
      </c>
      <c r="BA93" s="302"/>
      <c r="BB93" s="664" t="s">
        <v>1444</v>
      </c>
      <c r="BC93" s="325">
        <v>22</v>
      </c>
      <c r="BD93" s="325">
        <v>112013698</v>
      </c>
      <c r="BE93" s="1392" t="str">
        <f t="shared" si="32"/>
        <v>PARDO JOSE MARIA</v>
      </c>
      <c r="BF93" s="618"/>
      <c r="BG93" s="553"/>
      <c r="BH93" s="294"/>
      <c r="BI93" s="618"/>
      <c r="BJ93" s="618"/>
      <c r="BK93" s="618"/>
      <c r="BL93" s="553"/>
      <c r="BM93" s="618"/>
      <c r="BN93" s="618"/>
      <c r="BO93" s="618"/>
    </row>
    <row r="94" spans="1:67" ht="13" hidden="1">
      <c r="A94" s="664" t="s">
        <v>687</v>
      </c>
      <c r="B94" s="325">
        <v>10</v>
      </c>
      <c r="C94" s="325">
        <v>112014652</v>
      </c>
      <c r="D94" s="1392" t="e">
        <f t="shared" si="22"/>
        <v>#N/A</v>
      </c>
      <c r="G94" s="323" t="s">
        <v>106</v>
      </c>
      <c r="H94" s="325">
        <v>22</v>
      </c>
      <c r="I94" s="325">
        <v>112014462</v>
      </c>
      <c r="J94" s="1393">
        <f t="shared" si="23"/>
        <v>63</v>
      </c>
      <c r="M94" s="664" t="s">
        <v>592</v>
      </c>
      <c r="N94" s="324">
        <v>7</v>
      </c>
      <c r="O94" s="325">
        <v>112014702</v>
      </c>
      <c r="P94" s="1392">
        <f t="shared" si="24"/>
        <v>70</v>
      </c>
      <c r="R94" s="664" t="s">
        <v>303</v>
      </c>
      <c r="S94" s="324">
        <v>4</v>
      </c>
      <c r="T94" s="325">
        <v>112014725</v>
      </c>
      <c r="U94" s="1392">
        <f t="shared" si="25"/>
        <v>70</v>
      </c>
      <c r="W94" s="664" t="s">
        <v>440</v>
      </c>
      <c r="X94" s="324">
        <v>22</v>
      </c>
      <c r="Y94" s="325">
        <v>112013497</v>
      </c>
      <c r="Z94" s="1392">
        <f t="shared" si="26"/>
        <v>63</v>
      </c>
      <c r="AB94" s="664" t="s">
        <v>972</v>
      </c>
      <c r="AC94" s="325">
        <v>1</v>
      </c>
      <c r="AD94" s="325">
        <v>112012953</v>
      </c>
      <c r="AE94" s="1392" t="e">
        <f t="shared" si="27"/>
        <v>#N/A</v>
      </c>
      <c r="AF94" s="302"/>
      <c r="AG94" s="325" t="s">
        <v>1303</v>
      </c>
      <c r="AH94" s="325">
        <v>22</v>
      </c>
      <c r="AI94" s="325">
        <v>112011830</v>
      </c>
      <c r="AJ94" s="799">
        <f t="shared" si="28"/>
        <v>63</v>
      </c>
      <c r="AL94" s="323" t="s">
        <v>1173</v>
      </c>
      <c r="AM94" s="325">
        <v>4</v>
      </c>
      <c r="AN94" s="325">
        <v>112013993</v>
      </c>
      <c r="AO94" s="1394" t="e">
        <f t="shared" si="29"/>
        <v>#N/A</v>
      </c>
      <c r="AQ94" s="1395" t="s">
        <v>1005</v>
      </c>
      <c r="AR94" s="325">
        <v>31</v>
      </c>
      <c r="AS94" s="325">
        <v>112010400</v>
      </c>
      <c r="AT94" s="1396">
        <f t="shared" si="30"/>
        <v>31</v>
      </c>
      <c r="AU94" s="302"/>
      <c r="AV94" s="302"/>
      <c r="AW94" s="664" t="s">
        <v>1443</v>
      </c>
      <c r="AX94" s="325">
        <v>22</v>
      </c>
      <c r="AY94" s="325">
        <v>112013144</v>
      </c>
      <c r="AZ94" s="1392">
        <f t="shared" si="31"/>
        <v>22</v>
      </c>
      <c r="BA94" s="302"/>
      <c r="BB94" s="664" t="s">
        <v>1445</v>
      </c>
      <c r="BC94" s="325">
        <v>22</v>
      </c>
      <c r="BD94" s="325">
        <v>112013982</v>
      </c>
      <c r="BE94" s="1392" t="str">
        <f t="shared" si="32"/>
        <v>PEREZ RAMIRO ESTEBAN</v>
      </c>
      <c r="BF94" s="618"/>
      <c r="BG94" s="553"/>
      <c r="BH94" s="294"/>
      <c r="BI94" s="618"/>
      <c r="BJ94" s="618"/>
      <c r="BK94" s="618"/>
      <c r="BL94" s="553"/>
      <c r="BM94" s="618"/>
      <c r="BN94" s="618"/>
      <c r="BO94" s="618"/>
    </row>
    <row r="95" spans="1:67" ht="13" hidden="1">
      <c r="A95" s="664" t="s">
        <v>809</v>
      </c>
      <c r="B95" s="325"/>
      <c r="C95" s="325">
        <v>112013317</v>
      </c>
      <c r="D95" s="1392">
        <f t="shared" si="22"/>
        <v>0</v>
      </c>
      <c r="F95" s="302" t="s">
        <v>1561</v>
      </c>
      <c r="G95" s="323" t="s">
        <v>215</v>
      </c>
      <c r="H95" s="325">
        <v>1</v>
      </c>
      <c r="I95" s="325">
        <v>112014660</v>
      </c>
      <c r="J95" s="1393">
        <f t="shared" si="23"/>
        <v>71</v>
      </c>
      <c r="M95" s="664" t="s">
        <v>661</v>
      </c>
      <c r="N95" s="324"/>
      <c r="O95" s="325">
        <v>112013210</v>
      </c>
      <c r="P95" s="1392">
        <f t="shared" si="24"/>
        <v>0</v>
      </c>
      <c r="R95" s="664" t="s">
        <v>343</v>
      </c>
      <c r="S95" s="324">
        <v>1</v>
      </c>
      <c r="T95" s="325">
        <v>112012283</v>
      </c>
      <c r="U95" s="1392">
        <f t="shared" si="25"/>
        <v>71</v>
      </c>
      <c r="W95" s="664" t="s">
        <v>415</v>
      </c>
      <c r="X95" s="324">
        <v>7</v>
      </c>
      <c r="Y95" s="325">
        <v>112011977</v>
      </c>
      <c r="Z95" s="1392">
        <f t="shared" si="26"/>
        <v>62</v>
      </c>
      <c r="AB95" s="664" t="s">
        <v>864</v>
      </c>
      <c r="AC95" s="325">
        <v>22</v>
      </c>
      <c r="AD95" s="325">
        <v>112013328</v>
      </c>
      <c r="AE95" s="1398">
        <f t="shared" si="27"/>
        <v>22</v>
      </c>
      <c r="AF95" s="302"/>
      <c r="AG95" s="325" t="s">
        <v>1350</v>
      </c>
      <c r="AH95" s="325">
        <v>20</v>
      </c>
      <c r="AI95" s="325">
        <v>112014410</v>
      </c>
      <c r="AJ95" s="799">
        <f t="shared" si="28"/>
        <v>71</v>
      </c>
      <c r="AL95" s="323" t="s">
        <v>1135</v>
      </c>
      <c r="AM95" s="325">
        <v>7</v>
      </c>
      <c r="AN95" s="325">
        <v>112014653</v>
      </c>
      <c r="AO95" s="1394" t="e">
        <f t="shared" si="29"/>
        <v>#N/A</v>
      </c>
      <c r="AQ95" s="1395" t="s">
        <v>1043</v>
      </c>
      <c r="AR95" s="325">
        <v>6</v>
      </c>
      <c r="AS95" s="325">
        <v>112013097</v>
      </c>
      <c r="AT95" s="1396">
        <f t="shared" si="30"/>
        <v>6</v>
      </c>
      <c r="AU95" s="302"/>
      <c r="AV95" s="302"/>
      <c r="AW95" s="664" t="s">
        <v>1402</v>
      </c>
      <c r="AX95" s="325">
        <v>12</v>
      </c>
      <c r="AY95" s="325">
        <v>112013513</v>
      </c>
      <c r="AZ95" s="1392">
        <f t="shared" si="31"/>
        <v>12</v>
      </c>
      <c r="BA95" s="302"/>
      <c r="BB95" s="664" t="s">
        <v>1446</v>
      </c>
      <c r="BC95" s="325">
        <v>22</v>
      </c>
      <c r="BD95" s="325">
        <v>112014342</v>
      </c>
      <c r="BE95" s="1392" t="str">
        <f t="shared" si="32"/>
        <v>PICOLINI MARCELO GERONIMO</v>
      </c>
      <c r="BF95" s="618"/>
      <c r="BG95" s="553"/>
      <c r="BH95" s="294"/>
      <c r="BI95" s="618"/>
      <c r="BJ95" s="618"/>
      <c r="BK95" s="618"/>
      <c r="BL95" s="553"/>
      <c r="BM95" s="618"/>
      <c r="BN95" s="618"/>
      <c r="BO95" s="618"/>
    </row>
    <row r="96" spans="1:67" ht="13" hidden="1">
      <c r="A96" s="664" t="s">
        <v>721</v>
      </c>
      <c r="B96" s="325">
        <v>31</v>
      </c>
      <c r="C96" s="325">
        <v>112013270</v>
      </c>
      <c r="D96" s="1392">
        <f t="shared" si="22"/>
        <v>69</v>
      </c>
      <c r="G96" s="323" t="s">
        <v>97</v>
      </c>
      <c r="H96" s="325">
        <v>7</v>
      </c>
      <c r="I96" s="325">
        <v>112014541</v>
      </c>
      <c r="J96" s="1393">
        <f t="shared" si="23"/>
        <v>62</v>
      </c>
      <c r="M96" s="664" t="s">
        <v>593</v>
      </c>
      <c r="N96" s="324">
        <v>7</v>
      </c>
      <c r="O96" s="325">
        <v>112014367</v>
      </c>
      <c r="P96" s="1392">
        <f t="shared" si="24"/>
        <v>70</v>
      </c>
      <c r="R96" s="664" t="s">
        <v>281</v>
      </c>
      <c r="S96" s="324">
        <v>22</v>
      </c>
      <c r="T96" s="325">
        <v>112013447</v>
      </c>
      <c r="U96" s="1392">
        <f t="shared" si="25"/>
        <v>63</v>
      </c>
      <c r="W96" s="664" t="s">
        <v>477</v>
      </c>
      <c r="X96" s="324"/>
      <c r="Y96" s="325">
        <v>112011841</v>
      </c>
      <c r="Z96" s="1392">
        <f t="shared" si="26"/>
        <v>0</v>
      </c>
      <c r="AB96" s="664" t="s">
        <v>957</v>
      </c>
      <c r="AC96" s="325">
        <v>4</v>
      </c>
      <c r="AD96" s="325">
        <v>112012303</v>
      </c>
      <c r="AE96" s="1392" t="e">
        <f t="shared" si="27"/>
        <v>#N/A</v>
      </c>
      <c r="AF96" s="302"/>
      <c r="AG96" s="325" t="s">
        <v>1368</v>
      </c>
      <c r="AH96" s="325">
        <v>1</v>
      </c>
      <c r="AI96" s="325">
        <v>112012692</v>
      </c>
      <c r="AJ96" s="799">
        <f t="shared" si="28"/>
        <v>71</v>
      </c>
      <c r="AL96" s="323" t="s">
        <v>1209</v>
      </c>
      <c r="AM96" s="325">
        <v>20</v>
      </c>
      <c r="AN96" s="325">
        <v>112012178</v>
      </c>
      <c r="AO96" s="1394" t="e">
        <f t="shared" si="29"/>
        <v>#N/A</v>
      </c>
      <c r="AQ96" s="1395" t="s">
        <v>1086</v>
      </c>
      <c r="AR96" s="325">
        <v>1</v>
      </c>
      <c r="AS96" s="325">
        <v>112014021</v>
      </c>
      <c r="AT96" s="1396">
        <f t="shared" si="30"/>
        <v>1</v>
      </c>
      <c r="AU96" s="302"/>
      <c r="AV96" s="302"/>
      <c r="AW96" s="664" t="s">
        <v>1422</v>
      </c>
      <c r="AX96" s="325">
        <v>7</v>
      </c>
      <c r="AY96" s="325">
        <v>112013982</v>
      </c>
      <c r="AZ96" s="1392">
        <f t="shared" si="31"/>
        <v>7</v>
      </c>
      <c r="BA96" s="302"/>
      <c r="BB96" s="664" t="s">
        <v>1533</v>
      </c>
      <c r="BC96" s="325">
        <v>22</v>
      </c>
      <c r="BD96" s="325">
        <v>112013858</v>
      </c>
      <c r="BE96" s="1392" t="str">
        <f t="shared" si="32"/>
        <v>PIGUEIRAS DIEGO FERNANDO</v>
      </c>
      <c r="BF96" s="618"/>
      <c r="BG96" s="553"/>
      <c r="BH96" s="294"/>
      <c r="BI96" s="618"/>
      <c r="BJ96" s="618"/>
      <c r="BK96" s="618"/>
      <c r="BL96" s="553"/>
      <c r="BM96" s="618"/>
      <c r="BN96" s="618"/>
      <c r="BO96" s="618"/>
    </row>
    <row r="97" spans="1:67" ht="13" hidden="1">
      <c r="A97" s="664" t="s">
        <v>793</v>
      </c>
      <c r="B97" s="325">
        <v>1</v>
      </c>
      <c r="C97" s="325">
        <v>112011473</v>
      </c>
      <c r="D97" s="1392">
        <f t="shared" si="22"/>
        <v>71</v>
      </c>
      <c r="G97" s="323" t="s">
        <v>126</v>
      </c>
      <c r="H97" s="325">
        <v>4</v>
      </c>
      <c r="I97" s="325">
        <v>112014632</v>
      </c>
      <c r="J97" s="1393">
        <f t="shared" si="23"/>
        <v>70</v>
      </c>
      <c r="M97" s="664" t="s">
        <v>519</v>
      </c>
      <c r="N97" s="324">
        <v>8</v>
      </c>
      <c r="O97" s="325">
        <v>112014104</v>
      </c>
      <c r="P97" s="1392">
        <f t="shared" si="24"/>
        <v>62</v>
      </c>
      <c r="R97" s="664" t="s">
        <v>344</v>
      </c>
      <c r="S97" s="324">
        <v>1</v>
      </c>
      <c r="T97" s="325">
        <v>112012051</v>
      </c>
      <c r="U97" s="1392">
        <f t="shared" si="25"/>
        <v>71</v>
      </c>
      <c r="W97" s="664" t="s">
        <v>441</v>
      </c>
      <c r="X97" s="324">
        <v>22</v>
      </c>
      <c r="Y97" s="325">
        <v>112013742</v>
      </c>
      <c r="Z97" s="1392">
        <f t="shared" si="26"/>
        <v>63</v>
      </c>
      <c r="AB97" s="664" t="s">
        <v>851</v>
      </c>
      <c r="AC97" s="325">
        <v>7</v>
      </c>
      <c r="AD97" s="325">
        <v>112014033</v>
      </c>
      <c r="AE97" s="1398">
        <f t="shared" si="27"/>
        <v>7</v>
      </c>
      <c r="AF97" s="302"/>
      <c r="AG97" s="325" t="s">
        <v>1280</v>
      </c>
      <c r="AH97" s="325">
        <v>7</v>
      </c>
      <c r="AI97" s="325">
        <v>112013308</v>
      </c>
      <c r="AJ97" s="799">
        <f t="shared" si="28"/>
        <v>62</v>
      </c>
      <c r="AL97" s="323" t="s">
        <v>1221</v>
      </c>
      <c r="AM97" s="325">
        <v>22</v>
      </c>
      <c r="AN97" s="325">
        <v>112014667</v>
      </c>
      <c r="AO97" s="1394" t="e">
        <f t="shared" si="29"/>
        <v>#N/A</v>
      </c>
      <c r="AQ97" s="1395" t="s">
        <v>1015</v>
      </c>
      <c r="AR97" s="325">
        <v>22</v>
      </c>
      <c r="AS97" s="325">
        <v>112012021</v>
      </c>
      <c r="AT97" s="1396">
        <f t="shared" si="30"/>
        <v>22</v>
      </c>
      <c r="AU97" s="302"/>
      <c r="AV97" s="302"/>
      <c r="AW97" s="664" t="s">
        <v>1511</v>
      </c>
      <c r="AX97" s="325">
        <v>22</v>
      </c>
      <c r="AY97" s="325">
        <v>112010564</v>
      </c>
      <c r="AZ97" s="1392" t="e">
        <f t="shared" si="31"/>
        <v>#N/A</v>
      </c>
      <c r="BA97" s="302"/>
      <c r="BB97" s="664" t="s">
        <v>1447</v>
      </c>
      <c r="BC97" s="325">
        <v>22</v>
      </c>
      <c r="BD97" s="325">
        <v>112013865</v>
      </c>
      <c r="BE97" s="1392" t="str">
        <f t="shared" si="32"/>
        <v>PINEDO SABRINA</v>
      </c>
      <c r="BF97" s="618"/>
      <c r="BG97" s="553"/>
      <c r="BH97" s="294"/>
      <c r="BI97" s="618"/>
      <c r="BJ97" s="618"/>
      <c r="BK97" s="618"/>
      <c r="BL97" s="553"/>
      <c r="BM97" s="618"/>
      <c r="BN97" s="618"/>
      <c r="BO97" s="618"/>
    </row>
    <row r="98" spans="1:67" ht="13" hidden="1">
      <c r="A98" s="664" t="s">
        <v>698</v>
      </c>
      <c r="B98" s="325">
        <v>22</v>
      </c>
      <c r="C98" s="325">
        <v>112013272</v>
      </c>
      <c r="D98" s="1392">
        <f t="shared" ref="D98:D129" si="33">VLOOKUP(C98,buelafin,10,FALSE)</f>
        <v>57</v>
      </c>
      <c r="G98" s="323" t="s">
        <v>120</v>
      </c>
      <c r="H98" s="325">
        <v>7</v>
      </c>
      <c r="I98" s="325">
        <v>112014700</v>
      </c>
      <c r="J98" s="1393">
        <f t="shared" ref="J98:J129" si="34">VLOOKUP(I98,bassfin,10,FALSE)</f>
        <v>70</v>
      </c>
      <c r="M98" s="664" t="s">
        <v>639</v>
      </c>
      <c r="N98" s="324">
        <v>4</v>
      </c>
      <c r="O98" s="325">
        <v>112014608</v>
      </c>
      <c r="P98" s="1392">
        <f t="shared" ref="P98:P129" si="35">VLOOKUP(O98,LAGEFIN,10,FALSE)</f>
        <v>70</v>
      </c>
      <c r="R98" s="664" t="s">
        <v>278</v>
      </c>
      <c r="S98" s="324">
        <v>22</v>
      </c>
      <c r="T98" s="325">
        <v>112014061</v>
      </c>
      <c r="U98" s="1392">
        <f t="shared" ref="U98:U129" si="36">VLOOKUP(T98,calofin,6,FALSE)</f>
        <v>63</v>
      </c>
      <c r="W98" s="664" t="s">
        <v>490</v>
      </c>
      <c r="X98" s="324">
        <v>31</v>
      </c>
      <c r="Y98" s="325">
        <v>112011297</v>
      </c>
      <c r="Z98" s="1392" t="e">
        <f t="shared" ref="Z98:Z129" si="37">VLOOKUP(Y98,RETAMFIN,6,FALSE)</f>
        <v>#N/A</v>
      </c>
      <c r="AB98" s="664" t="s">
        <v>912</v>
      </c>
      <c r="AC98" s="325">
        <v>4</v>
      </c>
      <c r="AD98" s="325">
        <v>112014084</v>
      </c>
      <c r="AE98" s="1392" t="e">
        <f t="shared" ref="AE98:AE129" si="38">VLOOKUP(AD98,VARGASFIN,6,FALSE)</f>
        <v>#N/A</v>
      </c>
      <c r="AF98" s="302"/>
      <c r="AG98" s="325" t="s">
        <v>1261</v>
      </c>
      <c r="AH98" s="325">
        <v>10</v>
      </c>
      <c r="AI98" s="325">
        <v>112014350</v>
      </c>
      <c r="AJ98" s="799">
        <f t="shared" ref="AJ98:AJ129" si="39">VLOOKUP(AI98,MONTENEFIN,6,FALSE)</f>
        <v>53</v>
      </c>
      <c r="AL98" s="323" t="s">
        <v>1116</v>
      </c>
      <c r="AM98" s="325">
        <v>1</v>
      </c>
      <c r="AN98" s="325">
        <v>112014038</v>
      </c>
      <c r="AO98" s="1394" t="e">
        <f t="shared" ref="AO98:AO129" si="40">VLOOKUP(AN98,MARUCAFIN,6,FALSE)</f>
        <v>#N/A</v>
      </c>
      <c r="AQ98" s="1395" t="s">
        <v>1108</v>
      </c>
      <c r="AR98" s="325">
        <v>7</v>
      </c>
      <c r="AS98" s="325">
        <v>112013257</v>
      </c>
      <c r="AT98" s="1397" t="e">
        <f t="shared" ref="AT98:AT129" si="41">VLOOKUP(AS98,ARRIOLFIN,6,FALSE)</f>
        <v>#N/A</v>
      </c>
      <c r="AU98" s="302"/>
      <c r="AV98" s="302"/>
      <c r="AW98" s="664" t="s">
        <v>1460</v>
      </c>
      <c r="AX98" s="325">
        <v>22</v>
      </c>
      <c r="AY98" s="325">
        <v>112014478</v>
      </c>
      <c r="AZ98" s="1392">
        <f t="shared" ref="AZ98:AZ129" si="42">VLOOKUP(AY98,LAVENIAFIN,6,FALSE)</f>
        <v>22</v>
      </c>
      <c r="BA98" s="302"/>
      <c r="BB98" s="664" t="s">
        <v>1269</v>
      </c>
      <c r="BC98" s="325">
        <v>12</v>
      </c>
      <c r="BD98" s="325">
        <v>112013984</v>
      </c>
      <c r="BE98" s="1392" t="str">
        <f t="shared" ref="BE98:BE129" si="43">VLOOKUP(BD98,rotelafin,6,FALSE)</f>
        <v>PLAZIBAT MARIA LAURA</v>
      </c>
      <c r="BF98" s="618"/>
      <c r="BG98" s="553"/>
      <c r="BH98" s="294"/>
      <c r="BI98" s="618"/>
      <c r="BJ98" s="618"/>
      <c r="BK98" s="618"/>
      <c r="BL98" s="553"/>
      <c r="BM98" s="618"/>
      <c r="BN98" s="618"/>
      <c r="BO98" s="618"/>
    </row>
    <row r="99" spans="1:67" ht="13" hidden="1">
      <c r="A99" s="664" t="s">
        <v>736</v>
      </c>
      <c r="B99" s="325">
        <v>22</v>
      </c>
      <c r="C99" s="325">
        <v>112011754</v>
      </c>
      <c r="D99" s="1392">
        <f t="shared" si="33"/>
        <v>71</v>
      </c>
      <c r="G99" s="323" t="s">
        <v>1562</v>
      </c>
      <c r="H99" s="325">
        <v>4</v>
      </c>
      <c r="I99" s="325">
        <v>112013933</v>
      </c>
      <c r="J99" s="1393">
        <f t="shared" si="34"/>
        <v>70</v>
      </c>
      <c r="M99" s="664" t="s">
        <v>564</v>
      </c>
      <c r="N99" s="324">
        <v>31</v>
      </c>
      <c r="O99" s="325">
        <v>112014419</v>
      </c>
      <c r="P99" s="1392">
        <f t="shared" si="35"/>
        <v>69</v>
      </c>
      <c r="R99" s="664" t="s">
        <v>279</v>
      </c>
      <c r="S99" s="324">
        <v>22</v>
      </c>
      <c r="T99" s="325">
        <v>112014187</v>
      </c>
      <c r="U99" s="1392">
        <f t="shared" si="36"/>
        <v>63</v>
      </c>
      <c r="W99" s="664" t="s">
        <v>442</v>
      </c>
      <c r="X99" s="324">
        <v>22</v>
      </c>
      <c r="Y99" s="325">
        <v>112012623</v>
      </c>
      <c r="Z99" s="1392">
        <f t="shared" si="37"/>
        <v>63</v>
      </c>
      <c r="AB99" s="664" t="s">
        <v>971</v>
      </c>
      <c r="AC99" s="325">
        <v>1</v>
      </c>
      <c r="AD99" s="325">
        <v>112014072</v>
      </c>
      <c r="AE99" s="1392" t="e">
        <f t="shared" si="38"/>
        <v>#N/A</v>
      </c>
      <c r="AF99" s="302"/>
      <c r="AG99" s="325" t="s">
        <v>1351</v>
      </c>
      <c r="AH99" s="325">
        <v>20</v>
      </c>
      <c r="AI99" s="325">
        <v>112013188</v>
      </c>
      <c r="AJ99" s="799">
        <f t="shared" si="39"/>
        <v>71</v>
      </c>
      <c r="AL99" s="323" t="s">
        <v>1136</v>
      </c>
      <c r="AM99" s="325">
        <v>7</v>
      </c>
      <c r="AN99" s="325">
        <v>112012477</v>
      </c>
      <c r="AO99" s="1399">
        <f t="shared" si="40"/>
        <v>7</v>
      </c>
      <c r="AQ99" s="1395" t="s">
        <v>1057</v>
      </c>
      <c r="AR99" s="325">
        <v>22</v>
      </c>
      <c r="AS99" s="325">
        <v>112013625</v>
      </c>
      <c r="AT99" s="1396">
        <f t="shared" si="41"/>
        <v>1</v>
      </c>
      <c r="AU99" s="302"/>
      <c r="AV99" s="302"/>
      <c r="AW99" s="664" t="s">
        <v>1461</v>
      </c>
      <c r="AX99" s="325">
        <v>22</v>
      </c>
      <c r="AY99" s="325">
        <v>112011902</v>
      </c>
      <c r="AZ99" s="1392">
        <f t="shared" si="42"/>
        <v>22</v>
      </c>
      <c r="BA99" s="302"/>
      <c r="BB99" s="664" t="s">
        <v>1332</v>
      </c>
      <c r="BC99" s="325">
        <v>11</v>
      </c>
      <c r="BD99" s="325">
        <v>112014400</v>
      </c>
      <c r="BE99" s="1392" t="str">
        <f t="shared" si="43"/>
        <v>POINTIS DANIEL ROLANDO</v>
      </c>
      <c r="BF99" s="618"/>
      <c r="BG99" s="553"/>
      <c r="BH99" s="294"/>
      <c r="BI99" s="618"/>
      <c r="BJ99" s="618"/>
      <c r="BK99" s="618"/>
      <c r="BL99" s="553"/>
      <c r="BM99" s="618"/>
      <c r="BN99" s="618"/>
      <c r="BO99" s="618"/>
    </row>
    <row r="100" spans="1:67" ht="13" hidden="1">
      <c r="A100" s="664" t="s">
        <v>763</v>
      </c>
      <c r="B100" s="325">
        <v>4</v>
      </c>
      <c r="C100" s="325">
        <v>112014353</v>
      </c>
      <c r="D100" s="1392">
        <f t="shared" si="33"/>
        <v>70</v>
      </c>
      <c r="G100" s="323" t="s">
        <v>223</v>
      </c>
      <c r="H100" s="325"/>
      <c r="I100" s="325">
        <v>112012444</v>
      </c>
      <c r="J100" s="1393">
        <f t="shared" si="34"/>
        <v>0</v>
      </c>
      <c r="M100" s="664" t="s">
        <v>594</v>
      </c>
      <c r="N100" s="324">
        <v>7</v>
      </c>
      <c r="O100" s="325">
        <v>112014685</v>
      </c>
      <c r="P100" s="1392">
        <f t="shared" si="35"/>
        <v>70</v>
      </c>
      <c r="R100" s="664" t="s">
        <v>295</v>
      </c>
      <c r="S100" s="324">
        <v>4</v>
      </c>
      <c r="T100" s="325">
        <v>112014634</v>
      </c>
      <c r="U100" s="1392">
        <f t="shared" si="36"/>
        <v>70</v>
      </c>
      <c r="W100" s="664" t="s">
        <v>457</v>
      </c>
      <c r="X100" s="324">
        <v>1</v>
      </c>
      <c r="Y100" s="325">
        <v>112010691</v>
      </c>
      <c r="Z100" s="1392">
        <f t="shared" si="37"/>
        <v>71</v>
      </c>
      <c r="AB100" s="664" t="s">
        <v>857</v>
      </c>
      <c r="AC100" s="325">
        <v>22</v>
      </c>
      <c r="AD100" s="325">
        <v>112012392</v>
      </c>
      <c r="AE100" s="1392" t="e">
        <f t="shared" si="38"/>
        <v>#N/A</v>
      </c>
      <c r="AF100" s="302"/>
      <c r="AG100" s="325" t="s">
        <v>1269</v>
      </c>
      <c r="AH100" s="325">
        <v>12</v>
      </c>
      <c r="AI100" s="325">
        <v>112012353</v>
      </c>
      <c r="AJ100" s="799">
        <f t="shared" si="39"/>
        <v>55</v>
      </c>
      <c r="AL100" s="323" t="s">
        <v>1188</v>
      </c>
      <c r="AM100" s="325">
        <v>4</v>
      </c>
      <c r="AN100" s="325">
        <v>112013924</v>
      </c>
      <c r="AO100" s="1394" t="e">
        <f t="shared" si="40"/>
        <v>#N/A</v>
      </c>
      <c r="AQ100" s="1395" t="s">
        <v>1066</v>
      </c>
      <c r="AR100" s="325">
        <v>20</v>
      </c>
      <c r="AS100" s="325">
        <v>112013651</v>
      </c>
      <c r="AT100" s="1396">
        <f t="shared" si="41"/>
        <v>1</v>
      </c>
      <c r="AU100" s="302"/>
      <c r="AV100" s="302"/>
      <c r="AW100" s="664" t="s">
        <v>1444</v>
      </c>
      <c r="AX100" s="325">
        <v>22</v>
      </c>
      <c r="AY100" s="325">
        <v>112014342</v>
      </c>
      <c r="AZ100" s="1392">
        <f t="shared" si="42"/>
        <v>22</v>
      </c>
      <c r="BA100" s="302"/>
      <c r="BB100" s="664" t="s">
        <v>1281</v>
      </c>
      <c r="BC100" s="325">
        <v>7</v>
      </c>
      <c r="BD100" s="325">
        <v>112012353</v>
      </c>
      <c r="BE100" s="1392" t="str">
        <f t="shared" si="43"/>
        <v>PONZO SILVIA ESTEFANIA</v>
      </c>
      <c r="BF100" s="618"/>
      <c r="BG100" s="553"/>
      <c r="BH100" s="294"/>
      <c r="BI100" s="618"/>
      <c r="BJ100" s="618"/>
      <c r="BK100" s="618"/>
      <c r="BL100" s="553"/>
      <c r="BM100" s="618"/>
      <c r="BN100" s="618"/>
      <c r="BO100" s="618"/>
    </row>
    <row r="101" spans="1:67" ht="13" hidden="1">
      <c r="A101" s="664" t="s">
        <v>810</v>
      </c>
      <c r="B101" s="325"/>
      <c r="C101" s="325">
        <v>112011823</v>
      </c>
      <c r="D101" s="1392">
        <f t="shared" si="33"/>
        <v>0</v>
      </c>
      <c r="G101" s="323" t="s">
        <v>199</v>
      </c>
      <c r="H101" s="325">
        <v>1</v>
      </c>
      <c r="I101" s="325">
        <v>112013883</v>
      </c>
      <c r="J101" s="1393">
        <f t="shared" si="34"/>
        <v>71</v>
      </c>
      <c r="M101" s="664" t="s">
        <v>616</v>
      </c>
      <c r="N101" s="324">
        <v>22</v>
      </c>
      <c r="O101" s="325">
        <v>112014263</v>
      </c>
      <c r="P101" s="1392">
        <f t="shared" si="35"/>
        <v>71</v>
      </c>
      <c r="R101" s="664" t="s">
        <v>345</v>
      </c>
      <c r="S101" s="324">
        <v>1</v>
      </c>
      <c r="T101" s="325">
        <v>112013645</v>
      </c>
      <c r="U101" s="1392">
        <f t="shared" si="36"/>
        <v>71</v>
      </c>
      <c r="W101" s="664" t="s">
        <v>452</v>
      </c>
      <c r="X101" s="324">
        <v>20</v>
      </c>
      <c r="Y101" s="325">
        <v>112013116</v>
      </c>
      <c r="Z101" s="1392">
        <f t="shared" si="37"/>
        <v>67</v>
      </c>
      <c r="AB101" s="664" t="s">
        <v>845</v>
      </c>
      <c r="AC101" s="325">
        <v>9</v>
      </c>
      <c r="AD101" s="325">
        <v>112014412</v>
      </c>
      <c r="AE101" s="1398">
        <f t="shared" si="38"/>
        <v>31</v>
      </c>
      <c r="AF101" s="302"/>
      <c r="AG101" s="325" t="s">
        <v>1332</v>
      </c>
      <c r="AH101" s="325">
        <v>11</v>
      </c>
      <c r="AI101" s="325">
        <v>112010407</v>
      </c>
      <c r="AJ101" s="799">
        <f t="shared" si="39"/>
        <v>70</v>
      </c>
      <c r="AL101" s="323" t="s">
        <v>1183</v>
      </c>
      <c r="AM101" s="325">
        <v>1</v>
      </c>
      <c r="AN101" s="325">
        <v>112013088</v>
      </c>
      <c r="AO101" s="1394" t="e">
        <f t="shared" si="40"/>
        <v>#N/A</v>
      </c>
      <c r="AQ101" s="1395" t="s">
        <v>1041</v>
      </c>
      <c r="AR101" s="325">
        <v>6</v>
      </c>
      <c r="AS101" s="325">
        <v>112012196</v>
      </c>
      <c r="AT101" s="1396">
        <f t="shared" si="41"/>
        <v>6</v>
      </c>
      <c r="AU101" s="302"/>
      <c r="AV101" s="302"/>
      <c r="AW101" s="664" t="s">
        <v>1445</v>
      </c>
      <c r="AX101" s="325">
        <v>22</v>
      </c>
      <c r="AY101" s="325">
        <v>112013858</v>
      </c>
      <c r="AZ101" s="1392">
        <f t="shared" si="42"/>
        <v>22</v>
      </c>
      <c r="BA101" s="302"/>
      <c r="BB101" s="664" t="s">
        <v>1282</v>
      </c>
      <c r="BC101" s="325">
        <v>7</v>
      </c>
      <c r="BD101" s="325">
        <v>112010407</v>
      </c>
      <c r="BE101" s="1392" t="str">
        <f t="shared" si="43"/>
        <v>PUIG JOSÉ ALBERTO/JULIETA AGUSTINA</v>
      </c>
      <c r="BF101" s="618"/>
      <c r="BG101" s="553"/>
      <c r="BH101" s="294"/>
      <c r="BI101" s="618"/>
      <c r="BJ101" s="618"/>
      <c r="BK101" s="618"/>
      <c r="BL101" s="553"/>
      <c r="BM101" s="618"/>
      <c r="BN101" s="618"/>
      <c r="BO101" s="618"/>
    </row>
    <row r="102" spans="1:67" ht="13" hidden="1">
      <c r="A102" s="664" t="s">
        <v>811</v>
      </c>
      <c r="B102" s="325"/>
      <c r="C102" s="325">
        <v>112013416</v>
      </c>
      <c r="D102" s="1392">
        <f t="shared" si="33"/>
        <v>0</v>
      </c>
      <c r="G102" s="323" t="s">
        <v>159</v>
      </c>
      <c r="H102" s="325">
        <v>4</v>
      </c>
      <c r="I102" s="325">
        <v>112013164</v>
      </c>
      <c r="J102" s="1393">
        <f t="shared" si="34"/>
        <v>70</v>
      </c>
      <c r="M102" s="664" t="s">
        <v>656</v>
      </c>
      <c r="N102" s="324">
        <v>1</v>
      </c>
      <c r="O102" s="325">
        <v>112013930</v>
      </c>
      <c r="P102" s="1392">
        <f t="shared" si="35"/>
        <v>71</v>
      </c>
      <c r="R102" s="664"/>
      <c r="S102" s="324"/>
      <c r="T102" s="325"/>
      <c r="U102" s="1392" t="e">
        <f t="shared" si="36"/>
        <v>#N/A</v>
      </c>
      <c r="W102" s="664" t="s">
        <v>416</v>
      </c>
      <c r="X102" s="324">
        <v>8</v>
      </c>
      <c r="Y102" s="325">
        <v>112014578</v>
      </c>
      <c r="Z102" s="1392">
        <f t="shared" si="37"/>
        <v>62</v>
      </c>
      <c r="AB102" s="1400" t="s">
        <v>980</v>
      </c>
      <c r="AC102" s="925">
        <v>1</v>
      </c>
      <c r="AD102" s="925">
        <v>112012399</v>
      </c>
      <c r="AE102" s="1401" t="e">
        <f t="shared" si="38"/>
        <v>#N/A</v>
      </c>
      <c r="AF102" s="302"/>
      <c r="AG102" s="325" t="s">
        <v>1343</v>
      </c>
      <c r="AH102" s="325">
        <v>22</v>
      </c>
      <c r="AI102" s="325">
        <v>112014456</v>
      </c>
      <c r="AJ102" s="799">
        <f t="shared" si="39"/>
        <v>71</v>
      </c>
      <c r="AL102" s="1321" t="s">
        <v>1237</v>
      </c>
      <c r="AM102" s="325">
        <v>22</v>
      </c>
      <c r="AN102" s="325">
        <v>112012802</v>
      </c>
      <c r="AO102" s="1402" t="e">
        <f t="shared" si="40"/>
        <v>#N/A</v>
      </c>
      <c r="AQ102" s="1395" t="s">
        <v>1113</v>
      </c>
      <c r="AR102" s="325">
        <v>10</v>
      </c>
      <c r="AS102" s="325">
        <v>112012420</v>
      </c>
      <c r="AT102" s="1397" t="e">
        <f t="shared" si="41"/>
        <v>#N/A</v>
      </c>
      <c r="AU102" s="302"/>
      <c r="AV102" s="302"/>
      <c r="AW102" s="664" t="s">
        <v>1409</v>
      </c>
      <c r="AX102" s="325">
        <v>31</v>
      </c>
      <c r="AY102" s="325">
        <v>112014712</v>
      </c>
      <c r="AZ102" s="1392">
        <f t="shared" si="42"/>
        <v>31</v>
      </c>
      <c r="BA102" s="302"/>
      <c r="BB102" s="664" t="s">
        <v>1403</v>
      </c>
      <c r="BC102" s="325">
        <v>28</v>
      </c>
      <c r="BD102" s="325">
        <v>112013788</v>
      </c>
      <c r="BE102" s="1392" t="str">
        <f t="shared" si="43"/>
        <v>QUINTANA MARIANELA</v>
      </c>
      <c r="BF102" s="618"/>
      <c r="BG102" s="553"/>
      <c r="BH102" s="294"/>
      <c r="BI102" s="618"/>
      <c r="BJ102" s="618"/>
      <c r="BK102" s="618"/>
      <c r="BL102" s="553"/>
      <c r="BM102" s="618"/>
      <c r="BN102" s="618"/>
      <c r="BO102" s="618"/>
    </row>
    <row r="103" spans="1:67" ht="13" hidden="1">
      <c r="A103" s="664" t="s">
        <v>812</v>
      </c>
      <c r="B103" s="325"/>
      <c r="C103" s="325">
        <v>112014159</v>
      </c>
      <c r="D103" s="1392">
        <f t="shared" si="33"/>
        <v>0</v>
      </c>
      <c r="G103" s="323" t="s">
        <v>114</v>
      </c>
      <c r="H103" s="325">
        <v>31</v>
      </c>
      <c r="I103" s="325">
        <v>112014682</v>
      </c>
      <c r="J103" s="1393">
        <f t="shared" si="34"/>
        <v>69</v>
      </c>
      <c r="M103" s="664" t="s">
        <v>521</v>
      </c>
      <c r="N103" s="324">
        <v>31</v>
      </c>
      <c r="O103" s="325">
        <v>112013279</v>
      </c>
      <c r="P103" s="1392">
        <f t="shared" si="35"/>
        <v>61</v>
      </c>
      <c r="R103" s="1403"/>
      <c r="S103" s="1404"/>
      <c r="T103" s="1405"/>
      <c r="U103" s="1392" t="e">
        <f t="shared" si="36"/>
        <v>#N/A</v>
      </c>
      <c r="W103" s="664" t="s">
        <v>493</v>
      </c>
      <c r="X103" s="324">
        <v>29</v>
      </c>
      <c r="Y103" s="325">
        <v>112012738</v>
      </c>
      <c r="Z103" s="1392" t="e">
        <f t="shared" si="37"/>
        <v>#N/A</v>
      </c>
      <c r="AB103" s="325" t="s">
        <v>956</v>
      </c>
      <c r="AC103" s="325">
        <v>4</v>
      </c>
      <c r="AD103" s="325">
        <v>112010856</v>
      </c>
      <c r="AE103" s="799" t="e">
        <f t="shared" si="38"/>
        <v>#N/A</v>
      </c>
      <c r="AF103" s="302"/>
      <c r="AG103" s="325" t="s">
        <v>1281</v>
      </c>
      <c r="AH103" s="325">
        <v>7</v>
      </c>
      <c r="AI103" s="325">
        <v>112013788</v>
      </c>
      <c r="AJ103" s="799">
        <f t="shared" si="39"/>
        <v>62</v>
      </c>
      <c r="AL103" s="1321" t="s">
        <v>1154</v>
      </c>
      <c r="AM103" s="325">
        <v>4</v>
      </c>
      <c r="AN103" s="325">
        <v>112012217</v>
      </c>
      <c r="AO103" s="1406">
        <f t="shared" si="40"/>
        <v>4</v>
      </c>
      <c r="AQ103" s="1395" t="s">
        <v>871</v>
      </c>
      <c r="AR103" s="325">
        <v>22</v>
      </c>
      <c r="AS103" s="325">
        <v>112010488</v>
      </c>
      <c r="AT103" s="1397" t="e">
        <f t="shared" si="41"/>
        <v>#N/A</v>
      </c>
      <c r="AU103" s="302"/>
      <c r="AV103" s="302"/>
      <c r="AW103" s="664" t="s">
        <v>1446</v>
      </c>
      <c r="AX103" s="325">
        <v>22</v>
      </c>
      <c r="AY103" s="325">
        <v>112013865</v>
      </c>
      <c r="AZ103" s="1392">
        <f t="shared" si="42"/>
        <v>22</v>
      </c>
      <c r="BA103" s="302"/>
      <c r="BB103" s="664" t="s">
        <v>1057</v>
      </c>
      <c r="BC103" s="325">
        <v>22</v>
      </c>
      <c r="BD103" s="325">
        <v>112013962</v>
      </c>
      <c r="BE103" s="1392" t="str">
        <f t="shared" si="43"/>
        <v>RIPOLL FERMIN</v>
      </c>
      <c r="BF103" s="618"/>
      <c r="BG103" s="553"/>
      <c r="BH103" s="294"/>
      <c r="BI103" s="618"/>
      <c r="BJ103" s="618"/>
      <c r="BK103" s="618"/>
      <c r="BL103" s="553"/>
      <c r="BM103" s="618"/>
      <c r="BN103" s="618"/>
      <c r="BO103" s="618"/>
    </row>
    <row r="104" spans="1:67" ht="13" hidden="1">
      <c r="A104" s="664" t="s">
        <v>717</v>
      </c>
      <c r="B104" s="325">
        <v>9</v>
      </c>
      <c r="C104" s="325">
        <v>112014069</v>
      </c>
      <c r="D104" s="1392">
        <f t="shared" si="33"/>
        <v>69</v>
      </c>
      <c r="G104" s="323" t="s">
        <v>200</v>
      </c>
      <c r="H104" s="325">
        <v>1</v>
      </c>
      <c r="I104" s="325">
        <v>112012238</v>
      </c>
      <c r="J104" s="1393">
        <f t="shared" si="34"/>
        <v>71</v>
      </c>
      <c r="M104" s="664" t="s">
        <v>595</v>
      </c>
      <c r="N104" s="324">
        <v>7</v>
      </c>
      <c r="O104" s="325">
        <v>112014469</v>
      </c>
      <c r="P104" s="1392">
        <f t="shared" si="35"/>
        <v>70</v>
      </c>
      <c r="S104" s="294"/>
      <c r="U104" s="618"/>
      <c r="W104" s="664"/>
      <c r="X104" s="324"/>
      <c r="Y104" s="325"/>
      <c r="Z104" s="1392" t="e">
        <f t="shared" si="37"/>
        <v>#N/A</v>
      </c>
      <c r="AB104" s="325" t="s">
        <v>889</v>
      </c>
      <c r="AC104" s="325">
        <v>4</v>
      </c>
      <c r="AD104" s="325">
        <v>112012309</v>
      </c>
      <c r="AE104" s="716">
        <f t="shared" si="38"/>
        <v>4</v>
      </c>
      <c r="AF104" s="302"/>
      <c r="AG104" s="325" t="s">
        <v>1282</v>
      </c>
      <c r="AH104" s="325">
        <v>7</v>
      </c>
      <c r="AI104" s="325">
        <v>112013786</v>
      </c>
      <c r="AJ104" s="799" t="e">
        <f t="shared" si="39"/>
        <v>#N/A</v>
      </c>
      <c r="AL104" s="1321" t="s">
        <v>1184</v>
      </c>
      <c r="AM104" s="325">
        <v>1</v>
      </c>
      <c r="AN104" s="325">
        <v>112011571</v>
      </c>
      <c r="AO104" s="1402" t="e">
        <f t="shared" si="40"/>
        <v>#N/A</v>
      </c>
      <c r="AQ104" s="1395" t="s">
        <v>1038</v>
      </c>
      <c r="AR104" s="325">
        <v>4</v>
      </c>
      <c r="AS104" s="325">
        <v>112014533</v>
      </c>
      <c r="AT104" s="1396">
        <f t="shared" si="41"/>
        <v>4</v>
      </c>
      <c r="AU104" s="302"/>
      <c r="AV104" s="302"/>
      <c r="AW104" s="664" t="s">
        <v>1447</v>
      </c>
      <c r="AX104" s="325">
        <v>22</v>
      </c>
      <c r="AY104" s="325">
        <v>112014400</v>
      </c>
      <c r="AZ104" s="1392">
        <f t="shared" si="42"/>
        <v>22</v>
      </c>
      <c r="BA104" s="302"/>
      <c r="BB104" s="664" t="s">
        <v>1270</v>
      </c>
      <c r="BC104" s="325">
        <v>12</v>
      </c>
      <c r="BD104" s="325">
        <v>112013625</v>
      </c>
      <c r="BE104" s="1392" t="str">
        <f t="shared" si="43"/>
        <v>ROSATO PABLO LUIS</v>
      </c>
      <c r="BF104" s="618"/>
      <c r="BG104" s="553"/>
      <c r="BH104" s="294"/>
      <c r="BI104" s="618"/>
      <c r="BJ104" s="618"/>
      <c r="BK104" s="618"/>
      <c r="BL104" s="553"/>
      <c r="BM104" s="618"/>
      <c r="BN104" s="618"/>
      <c r="BO104" s="618"/>
    </row>
    <row r="105" spans="1:67" ht="13" hidden="1">
      <c r="A105" s="664" t="s">
        <v>794</v>
      </c>
      <c r="B105" s="325">
        <v>1</v>
      </c>
      <c r="C105" s="325">
        <v>112010547</v>
      </c>
      <c r="D105" s="1392">
        <f t="shared" si="33"/>
        <v>71</v>
      </c>
      <c r="G105" s="323" t="s">
        <v>122</v>
      </c>
      <c r="H105" s="325">
        <v>22</v>
      </c>
      <c r="I105" s="325">
        <v>112014293</v>
      </c>
      <c r="J105" s="1393" t="e">
        <f t="shared" si="34"/>
        <v>#N/A</v>
      </c>
      <c r="M105" s="664" t="s">
        <v>548</v>
      </c>
      <c r="N105" s="324">
        <v>29</v>
      </c>
      <c r="O105" s="325">
        <v>112014504</v>
      </c>
      <c r="P105" s="1392">
        <f t="shared" si="35"/>
        <v>66</v>
      </c>
      <c r="S105" s="294"/>
      <c r="U105" s="618"/>
      <c r="W105" s="1403"/>
      <c r="X105" s="1404"/>
      <c r="Y105" s="1405"/>
      <c r="Z105" s="1392" t="e">
        <f t="shared" si="37"/>
        <v>#N/A</v>
      </c>
      <c r="AB105" s="325" t="s">
        <v>943</v>
      </c>
      <c r="AC105" s="325">
        <v>22</v>
      </c>
      <c r="AD105" s="325">
        <v>112013139</v>
      </c>
      <c r="AE105" s="799" t="e">
        <f t="shared" si="38"/>
        <v>#N/A</v>
      </c>
      <c r="AF105" s="302"/>
      <c r="AG105" s="325" t="s">
        <v>1333</v>
      </c>
      <c r="AH105" s="325">
        <v>4</v>
      </c>
      <c r="AI105" s="325">
        <v>112014145</v>
      </c>
      <c r="AJ105" s="799" t="e">
        <f t="shared" si="39"/>
        <v>#N/A</v>
      </c>
      <c r="AL105" s="1321" t="s">
        <v>1189</v>
      </c>
      <c r="AM105" s="325">
        <v>4</v>
      </c>
      <c r="AN105" s="325">
        <v>112012795</v>
      </c>
      <c r="AO105" s="1402" t="e">
        <f t="shared" si="40"/>
        <v>#N/A</v>
      </c>
      <c r="AQ105" s="1395" t="s">
        <v>1109</v>
      </c>
      <c r="AR105" s="325">
        <v>22</v>
      </c>
      <c r="AS105" s="325">
        <v>112010497</v>
      </c>
      <c r="AT105" s="1397" t="e">
        <f t="shared" si="41"/>
        <v>#N/A</v>
      </c>
      <c r="AU105" s="302"/>
      <c r="AV105" s="302"/>
      <c r="AW105" s="664" t="s">
        <v>1403</v>
      </c>
      <c r="AX105" s="325">
        <v>28</v>
      </c>
      <c r="AY105" s="325">
        <v>112013962</v>
      </c>
      <c r="AZ105" s="1392">
        <f t="shared" si="42"/>
        <v>28</v>
      </c>
      <c r="BA105" s="302"/>
      <c r="BB105" s="664" t="s">
        <v>1501</v>
      </c>
      <c r="BC105" s="325"/>
      <c r="BD105" s="325">
        <v>112010365</v>
      </c>
      <c r="BE105" s="1392" t="str">
        <f t="shared" si="43"/>
        <v>RUPP GUILLERMO NAZARENO</v>
      </c>
      <c r="BF105" s="618"/>
      <c r="BG105" s="553"/>
      <c r="BH105" s="294"/>
      <c r="BI105" s="618"/>
      <c r="BJ105" s="618"/>
      <c r="BK105" s="618"/>
      <c r="BL105" s="553"/>
      <c r="BM105" s="618"/>
      <c r="BN105" s="618"/>
      <c r="BO105" s="618"/>
    </row>
    <row r="106" spans="1:67" ht="13" hidden="1">
      <c r="A106" s="664" t="s">
        <v>739</v>
      </c>
      <c r="B106" s="325">
        <v>22</v>
      </c>
      <c r="C106" s="325">
        <v>112013133</v>
      </c>
      <c r="D106" s="1392">
        <f t="shared" si="33"/>
        <v>71</v>
      </c>
      <c r="G106" s="323" t="s">
        <v>224</v>
      </c>
      <c r="H106" s="325"/>
      <c r="I106" s="325">
        <v>112012614</v>
      </c>
      <c r="J106" s="1393">
        <f t="shared" si="34"/>
        <v>0</v>
      </c>
      <c r="M106" s="664" t="s">
        <v>511</v>
      </c>
      <c r="N106" s="324">
        <v>10</v>
      </c>
      <c r="O106" s="325">
        <v>112013770</v>
      </c>
      <c r="P106" s="1392">
        <f t="shared" si="35"/>
        <v>53</v>
      </c>
      <c r="S106" s="294"/>
      <c r="U106" s="618"/>
      <c r="X106" s="294"/>
      <c r="Z106" s="618"/>
      <c r="AB106" s="325" t="s">
        <v>879</v>
      </c>
      <c r="AC106" s="325">
        <v>7</v>
      </c>
      <c r="AD106" s="325">
        <v>112014692</v>
      </c>
      <c r="AE106" s="716">
        <f t="shared" si="38"/>
        <v>1</v>
      </c>
      <c r="AG106" s="325" t="s">
        <v>1327</v>
      </c>
      <c r="AH106" s="325">
        <v>22</v>
      </c>
      <c r="AI106" s="325">
        <v>112010112</v>
      </c>
      <c r="AJ106" s="799">
        <f t="shared" si="39"/>
        <v>63</v>
      </c>
      <c r="AL106" s="1321" t="s">
        <v>1213</v>
      </c>
      <c r="AM106" s="325">
        <v>29</v>
      </c>
      <c r="AN106" s="325">
        <v>112012375</v>
      </c>
      <c r="AO106" s="1402" t="e">
        <f t="shared" si="40"/>
        <v>#N/A</v>
      </c>
      <c r="AQ106" s="1395" t="s">
        <v>1035</v>
      </c>
      <c r="AR106" s="325">
        <v>10</v>
      </c>
      <c r="AS106" s="325">
        <v>112014404</v>
      </c>
      <c r="AT106" s="1396">
        <f t="shared" si="41"/>
        <v>18</v>
      </c>
      <c r="AU106" s="302"/>
      <c r="AV106" s="302"/>
      <c r="AW106" s="664" t="s">
        <v>1407</v>
      </c>
      <c r="AX106" s="325">
        <v>9</v>
      </c>
      <c r="AY106" s="325">
        <v>112013246</v>
      </c>
      <c r="AZ106" s="1392">
        <f t="shared" si="42"/>
        <v>9</v>
      </c>
      <c r="BA106" s="302"/>
      <c r="BB106" s="664" t="s">
        <v>1058</v>
      </c>
      <c r="BC106" s="325">
        <v>22</v>
      </c>
      <c r="BD106" s="325">
        <v>112011985</v>
      </c>
      <c r="BE106" s="1392" t="str">
        <f t="shared" si="43"/>
        <v>SAPPIA DANIEL HUMBERTO</v>
      </c>
      <c r="BF106" s="618"/>
      <c r="BG106" s="553"/>
      <c r="BH106" s="294"/>
      <c r="BI106" s="618"/>
      <c r="BJ106" s="618"/>
      <c r="BK106" s="618"/>
      <c r="BL106" s="553"/>
      <c r="BM106" s="618"/>
      <c r="BN106" s="618"/>
      <c r="BO106" s="618"/>
    </row>
    <row r="107" spans="1:67" ht="13" hidden="1">
      <c r="A107" s="664" t="s">
        <v>795</v>
      </c>
      <c r="B107" s="325">
        <v>1</v>
      </c>
      <c r="C107" s="325">
        <v>112013526</v>
      </c>
      <c r="D107" s="1392">
        <f t="shared" si="33"/>
        <v>71</v>
      </c>
      <c r="G107" s="323" t="s">
        <v>201</v>
      </c>
      <c r="H107" s="325">
        <v>1</v>
      </c>
      <c r="I107" s="325">
        <v>112012197</v>
      </c>
      <c r="J107" s="1393">
        <f t="shared" si="34"/>
        <v>71</v>
      </c>
      <c r="M107" s="664" t="s">
        <v>650</v>
      </c>
      <c r="N107" s="324">
        <v>1</v>
      </c>
      <c r="O107" s="325">
        <v>112014165</v>
      </c>
      <c r="P107" s="1392">
        <f t="shared" si="35"/>
        <v>71</v>
      </c>
      <c r="S107" s="294"/>
      <c r="U107" s="618"/>
      <c r="X107" s="294"/>
      <c r="Z107" s="618"/>
      <c r="AB107" s="325" t="s">
        <v>885</v>
      </c>
      <c r="AC107" s="325">
        <v>21</v>
      </c>
      <c r="AD107" s="325">
        <v>112014080</v>
      </c>
      <c r="AE107" s="716">
        <f t="shared" si="38"/>
        <v>1</v>
      </c>
      <c r="AG107" s="325" t="s">
        <v>1369</v>
      </c>
      <c r="AH107" s="325">
        <v>1</v>
      </c>
      <c r="AI107" s="325">
        <v>112012782</v>
      </c>
      <c r="AJ107" s="799">
        <f t="shared" si="39"/>
        <v>71</v>
      </c>
      <c r="AL107" s="1321" t="s">
        <v>1156</v>
      </c>
      <c r="AM107" s="325">
        <v>18</v>
      </c>
      <c r="AN107" s="325">
        <v>112014726</v>
      </c>
      <c r="AO107" s="1406">
        <f t="shared" si="40"/>
        <v>18</v>
      </c>
      <c r="AQ107" s="1395" t="s">
        <v>1095</v>
      </c>
      <c r="AR107" s="325">
        <v>1</v>
      </c>
      <c r="AS107" s="325">
        <v>112014249</v>
      </c>
      <c r="AT107" s="1397" t="e">
        <f t="shared" si="41"/>
        <v>#N/A</v>
      </c>
      <c r="AU107" s="302"/>
      <c r="AV107" s="302"/>
      <c r="AW107" s="664" t="s">
        <v>1501</v>
      </c>
      <c r="AX107" s="325"/>
      <c r="AY107" s="325">
        <v>112011985</v>
      </c>
      <c r="AZ107" s="1392">
        <f t="shared" si="42"/>
        <v>0</v>
      </c>
      <c r="BA107" s="302"/>
      <c r="BB107" s="664" t="s">
        <v>1025</v>
      </c>
      <c r="BC107" s="325">
        <v>22</v>
      </c>
      <c r="BD107" s="325">
        <v>112013490</v>
      </c>
      <c r="BE107" s="1392" t="str">
        <f t="shared" si="43"/>
        <v>SILVIA MARIEL CABRERA</v>
      </c>
      <c r="BF107" s="618"/>
      <c r="BG107" s="553"/>
      <c r="BH107" s="294"/>
      <c r="BI107" s="618"/>
      <c r="BJ107" s="618"/>
      <c r="BK107" s="618"/>
      <c r="BL107" s="553"/>
      <c r="BM107" s="618"/>
      <c r="BN107" s="618"/>
      <c r="BO107" s="618"/>
    </row>
    <row r="108" spans="1:67" ht="13" hidden="1">
      <c r="A108" s="664" t="s">
        <v>796</v>
      </c>
      <c r="B108" s="325">
        <v>1</v>
      </c>
      <c r="C108" s="325">
        <v>112013290</v>
      </c>
      <c r="D108" s="1392">
        <f t="shared" si="33"/>
        <v>71</v>
      </c>
      <c r="G108" s="323" t="s">
        <v>160</v>
      </c>
      <c r="H108" s="325">
        <v>4</v>
      </c>
      <c r="I108" s="325">
        <v>112012229</v>
      </c>
      <c r="J108" s="1393">
        <f t="shared" si="34"/>
        <v>70</v>
      </c>
      <c r="M108" s="664" t="s">
        <v>659</v>
      </c>
      <c r="N108" s="324"/>
      <c r="O108" s="325">
        <v>112013314</v>
      </c>
      <c r="P108" s="1392">
        <f t="shared" si="35"/>
        <v>0</v>
      </c>
      <c r="S108" s="294"/>
      <c r="U108" s="618"/>
      <c r="X108" s="294"/>
      <c r="Z108" s="618"/>
      <c r="AE108" s="618"/>
      <c r="AG108" s="325" t="s">
        <v>1352</v>
      </c>
      <c r="AH108" s="325">
        <v>1</v>
      </c>
      <c r="AI108" s="325">
        <v>112014683</v>
      </c>
      <c r="AJ108" s="799">
        <f t="shared" si="39"/>
        <v>71</v>
      </c>
      <c r="AL108" s="1321" t="s">
        <v>1185</v>
      </c>
      <c r="AM108" s="325">
        <v>1</v>
      </c>
      <c r="AN108" s="325">
        <v>112013873</v>
      </c>
      <c r="AO108" s="1407" t="e">
        <f t="shared" si="40"/>
        <v>#N/A</v>
      </c>
      <c r="AQ108" s="1395" t="s">
        <v>1048</v>
      </c>
      <c r="AR108" s="325">
        <v>22</v>
      </c>
      <c r="AS108" s="325">
        <v>112012154</v>
      </c>
      <c r="AT108" s="1396">
        <f t="shared" si="41"/>
        <v>1</v>
      </c>
      <c r="AU108" s="302"/>
      <c r="AV108" s="302"/>
      <c r="AW108" s="664" t="s">
        <v>1419</v>
      </c>
      <c r="AX108" s="325">
        <v>7</v>
      </c>
      <c r="AY108" s="325">
        <v>112014011</v>
      </c>
      <c r="AZ108" s="1392">
        <f t="shared" si="42"/>
        <v>7</v>
      </c>
      <c r="BA108" s="302"/>
      <c r="BB108" s="664" t="s">
        <v>1026</v>
      </c>
      <c r="BC108" s="325">
        <v>22</v>
      </c>
      <c r="BD108" s="325">
        <v>112014645</v>
      </c>
      <c r="BE108" s="1392" t="str">
        <f t="shared" si="43"/>
        <v>SILVINA BOCCA</v>
      </c>
      <c r="BF108" s="618"/>
      <c r="BG108" s="553"/>
      <c r="BH108" s="294"/>
      <c r="BI108" s="618"/>
      <c r="BJ108" s="618"/>
      <c r="BK108" s="618"/>
      <c r="BL108" s="553"/>
      <c r="BM108" s="618"/>
      <c r="BN108" s="618"/>
      <c r="BO108" s="618"/>
    </row>
    <row r="109" spans="1:67" ht="13" hidden="1">
      <c r="A109" s="664" t="s">
        <v>705</v>
      </c>
      <c r="B109" s="325">
        <v>7</v>
      </c>
      <c r="C109" s="325">
        <v>112013132</v>
      </c>
      <c r="D109" s="1392">
        <f t="shared" si="33"/>
        <v>62</v>
      </c>
      <c r="G109" s="323" t="s">
        <v>67</v>
      </c>
      <c r="H109" s="325">
        <v>38</v>
      </c>
      <c r="I109" s="325">
        <v>112012859</v>
      </c>
      <c r="J109" s="1393" t="e">
        <f t="shared" si="34"/>
        <v>#N/A</v>
      </c>
      <c r="M109" s="664" t="s">
        <v>617</v>
      </c>
      <c r="N109" s="324">
        <v>22</v>
      </c>
      <c r="O109" s="325">
        <v>112014133</v>
      </c>
      <c r="P109" s="1392">
        <f t="shared" si="35"/>
        <v>71</v>
      </c>
      <c r="S109" s="294"/>
      <c r="U109" s="618"/>
      <c r="X109" s="294"/>
      <c r="Z109" s="618"/>
      <c r="AE109" s="618"/>
      <c r="AG109" s="325" t="s">
        <v>1270</v>
      </c>
      <c r="AH109" s="325">
        <v>12</v>
      </c>
      <c r="AI109" s="325">
        <v>112010365</v>
      </c>
      <c r="AJ109" s="799">
        <f t="shared" si="39"/>
        <v>55</v>
      </c>
      <c r="AL109" s="1321" t="s">
        <v>1195</v>
      </c>
      <c r="AM109" s="325">
        <v>4</v>
      </c>
      <c r="AN109" s="325">
        <v>112014186</v>
      </c>
      <c r="AO109" s="1407" t="e">
        <f t="shared" si="40"/>
        <v>#N/A</v>
      </c>
      <c r="AQ109" s="1395" t="s">
        <v>1107</v>
      </c>
      <c r="AR109" s="325">
        <v>22</v>
      </c>
      <c r="AS109" s="325">
        <v>112010797</v>
      </c>
      <c r="AT109" s="1397" t="e">
        <f t="shared" si="41"/>
        <v>#N/A</v>
      </c>
      <c r="AU109" s="302"/>
      <c r="AV109" s="302"/>
      <c r="AW109" s="664" t="s">
        <v>1462</v>
      </c>
      <c r="AX109" s="325">
        <v>22</v>
      </c>
      <c r="AY109" s="325">
        <v>112013231</v>
      </c>
      <c r="AZ109" s="1392">
        <f t="shared" si="42"/>
        <v>22</v>
      </c>
      <c r="BA109" s="302"/>
      <c r="BB109" s="664" t="s">
        <v>1448</v>
      </c>
      <c r="BC109" s="325">
        <v>22</v>
      </c>
      <c r="BD109" s="325">
        <v>112014470</v>
      </c>
      <c r="BE109" s="1392" t="str">
        <f t="shared" si="43"/>
        <v>SOFIA BELEN SENA</v>
      </c>
      <c r="BF109" s="618"/>
      <c r="BG109" s="553"/>
      <c r="BH109" s="294"/>
      <c r="BI109" s="618"/>
      <c r="BJ109" s="618"/>
      <c r="BK109" s="618"/>
      <c r="BL109" s="553"/>
      <c r="BM109" s="618"/>
      <c r="BN109" s="618"/>
      <c r="BO109" s="618"/>
    </row>
    <row r="110" spans="1:67" ht="13" hidden="1">
      <c r="A110" s="664" t="s">
        <v>764</v>
      </c>
      <c r="B110" s="325">
        <v>4</v>
      </c>
      <c r="C110" s="325">
        <v>112013251</v>
      </c>
      <c r="D110" s="1392">
        <f t="shared" si="33"/>
        <v>70</v>
      </c>
      <c r="G110" s="323" t="s">
        <v>74</v>
      </c>
      <c r="H110" s="325">
        <v>10</v>
      </c>
      <c r="I110" s="325">
        <v>112014719</v>
      </c>
      <c r="J110" s="1393">
        <f t="shared" si="34"/>
        <v>53</v>
      </c>
      <c r="M110" s="664" t="s">
        <v>522</v>
      </c>
      <c r="N110" s="324">
        <v>31</v>
      </c>
      <c r="O110" s="325">
        <v>112014477</v>
      </c>
      <c r="P110" s="1392">
        <f t="shared" si="35"/>
        <v>61</v>
      </c>
      <c r="S110" s="294"/>
      <c r="U110" s="618"/>
      <c r="X110" s="294"/>
      <c r="Z110" s="618"/>
      <c r="AE110" s="618"/>
      <c r="AG110" s="325" t="s">
        <v>1279</v>
      </c>
      <c r="AH110" s="325">
        <v>7</v>
      </c>
      <c r="AI110" s="325">
        <v>112014180</v>
      </c>
      <c r="AJ110" s="799">
        <f t="shared" si="39"/>
        <v>62</v>
      </c>
      <c r="AL110" s="1321" t="s">
        <v>1196</v>
      </c>
      <c r="AM110" s="325">
        <v>4</v>
      </c>
      <c r="AN110" s="325">
        <v>112014192</v>
      </c>
      <c r="AO110" s="1407" t="e">
        <f t="shared" si="40"/>
        <v>#N/A</v>
      </c>
      <c r="AQ110" s="1395" t="s">
        <v>1097</v>
      </c>
      <c r="AR110" s="325">
        <v>1</v>
      </c>
      <c r="AS110" s="325">
        <v>112012069</v>
      </c>
      <c r="AT110" s="1397" t="e">
        <f t="shared" si="41"/>
        <v>#N/A</v>
      </c>
      <c r="AU110" s="302"/>
      <c r="AV110" s="302"/>
      <c r="AW110" s="664" t="s">
        <v>1463</v>
      </c>
      <c r="AX110" s="325">
        <v>22</v>
      </c>
      <c r="AY110" s="325">
        <v>112014526</v>
      </c>
      <c r="AZ110" s="1392">
        <f t="shared" si="42"/>
        <v>22</v>
      </c>
      <c r="BA110" s="302"/>
      <c r="BB110" s="664" t="s">
        <v>1449</v>
      </c>
      <c r="BC110" s="325">
        <v>22</v>
      </c>
      <c r="BD110" s="325">
        <v>112013987</v>
      </c>
      <c r="BE110" s="1392" t="str">
        <f t="shared" si="43"/>
        <v>SOLARI MARIA VERONICA</v>
      </c>
      <c r="BF110" s="618"/>
      <c r="BG110" s="553"/>
      <c r="BH110" s="294"/>
      <c r="BI110" s="618"/>
      <c r="BJ110" s="618"/>
      <c r="BK110" s="618"/>
      <c r="BL110" s="553"/>
      <c r="BM110" s="618"/>
      <c r="BN110" s="618"/>
      <c r="BO110" s="618"/>
    </row>
    <row r="111" spans="1:67" ht="13" hidden="1">
      <c r="A111" s="664" t="s">
        <v>737</v>
      </c>
      <c r="B111" s="325">
        <v>22</v>
      </c>
      <c r="C111" s="325">
        <v>112013922</v>
      </c>
      <c r="D111" s="1392">
        <f t="shared" si="33"/>
        <v>71</v>
      </c>
      <c r="G111" s="323" t="s">
        <v>161</v>
      </c>
      <c r="H111" s="325">
        <v>4</v>
      </c>
      <c r="I111" s="325">
        <v>112014369</v>
      </c>
      <c r="J111" s="1393">
        <f t="shared" si="34"/>
        <v>70</v>
      </c>
      <c r="M111" s="664" t="s">
        <v>596</v>
      </c>
      <c r="N111" s="324">
        <v>7</v>
      </c>
      <c r="O111" s="325">
        <v>112014649</v>
      </c>
      <c r="P111" s="1392">
        <f t="shared" si="35"/>
        <v>70</v>
      </c>
      <c r="S111" s="294"/>
      <c r="U111" s="618"/>
      <c r="X111" s="294"/>
      <c r="Z111" s="618"/>
      <c r="AE111" s="618"/>
      <c r="AG111" s="325" t="s">
        <v>1305</v>
      </c>
      <c r="AH111" s="325">
        <v>22</v>
      </c>
      <c r="AI111" s="325">
        <v>112012449</v>
      </c>
      <c r="AJ111" s="799">
        <f t="shared" si="39"/>
        <v>63</v>
      </c>
      <c r="AL111" s="1321" t="s">
        <v>1210</v>
      </c>
      <c r="AM111" s="325">
        <v>20</v>
      </c>
      <c r="AN111" s="325">
        <v>112011525</v>
      </c>
      <c r="AO111" s="1407" t="e">
        <f t="shared" si="40"/>
        <v>#N/A</v>
      </c>
      <c r="AQ111" s="1395" t="s">
        <v>1058</v>
      </c>
      <c r="AR111" s="325">
        <v>22</v>
      </c>
      <c r="AS111" s="325">
        <v>112013490</v>
      </c>
      <c r="AT111" s="1396">
        <f t="shared" si="41"/>
        <v>1</v>
      </c>
      <c r="AU111" s="302"/>
      <c r="AV111" s="302"/>
      <c r="AW111" s="1400" t="s">
        <v>1120</v>
      </c>
      <c r="AX111" s="925"/>
      <c r="AY111" s="925">
        <v>112013421</v>
      </c>
      <c r="AZ111" s="1401">
        <f t="shared" si="42"/>
        <v>0</v>
      </c>
      <c r="BA111" s="302"/>
      <c r="BB111" s="664" t="s">
        <v>1324</v>
      </c>
      <c r="BC111" s="325">
        <v>22</v>
      </c>
      <c r="BD111" s="325">
        <v>112012277</v>
      </c>
      <c r="BE111" s="1392" t="str">
        <f t="shared" si="43"/>
        <v>SOLER PATRICIA ADOLFINA</v>
      </c>
      <c r="BF111" s="618"/>
      <c r="BG111" s="553"/>
      <c r="BH111" s="294"/>
      <c r="BI111" s="618"/>
      <c r="BJ111" s="618"/>
      <c r="BK111" s="618"/>
      <c r="BL111" s="553"/>
      <c r="BM111" s="618"/>
      <c r="BN111" s="618"/>
      <c r="BO111" s="618"/>
    </row>
    <row r="112" spans="1:67" ht="13" hidden="1">
      <c r="A112" s="664" t="s">
        <v>711</v>
      </c>
      <c r="B112" s="325">
        <v>22</v>
      </c>
      <c r="C112" s="325">
        <v>112012839</v>
      </c>
      <c r="D112" s="1392">
        <f t="shared" si="33"/>
        <v>63</v>
      </c>
      <c r="G112" s="323" t="s">
        <v>162</v>
      </c>
      <c r="H112" s="325">
        <v>4</v>
      </c>
      <c r="I112" s="325">
        <v>112013607</v>
      </c>
      <c r="J112" s="1393">
        <f t="shared" si="34"/>
        <v>70</v>
      </c>
      <c r="M112" s="664" t="s">
        <v>514</v>
      </c>
      <c r="N112" s="324">
        <v>14</v>
      </c>
      <c r="O112" s="325">
        <v>112010484</v>
      </c>
      <c r="P112" s="1392">
        <f t="shared" si="35"/>
        <v>54</v>
      </c>
      <c r="S112" s="294"/>
      <c r="U112" s="618"/>
      <c r="X112" s="294"/>
      <c r="Z112" s="618"/>
      <c r="AE112" s="618"/>
      <c r="AG112" s="325" t="s">
        <v>1370</v>
      </c>
      <c r="AH112" s="325">
        <v>1</v>
      </c>
      <c r="AI112" s="325">
        <v>112011834</v>
      </c>
      <c r="AJ112" s="799">
        <f t="shared" si="39"/>
        <v>71</v>
      </c>
      <c r="AL112" s="1321" t="s">
        <v>1155</v>
      </c>
      <c r="AM112" s="325">
        <v>4</v>
      </c>
      <c r="AN112" s="325">
        <v>112013674</v>
      </c>
      <c r="AO112" s="1408">
        <f t="shared" si="40"/>
        <v>4</v>
      </c>
      <c r="AQ112" s="1395" t="s">
        <v>1025</v>
      </c>
      <c r="AR112" s="325">
        <v>22</v>
      </c>
      <c r="AS112" s="325">
        <v>112014645</v>
      </c>
      <c r="AT112" s="1396">
        <f t="shared" si="41"/>
        <v>22</v>
      </c>
      <c r="AU112" s="302"/>
      <c r="AV112" s="302"/>
      <c r="AW112" s="664" t="s">
        <v>1448</v>
      </c>
      <c r="AX112" s="325">
        <v>22</v>
      </c>
      <c r="AY112" s="325">
        <v>112013987</v>
      </c>
      <c r="AZ112" s="1392">
        <f t="shared" si="42"/>
        <v>22</v>
      </c>
      <c r="BA112" s="302"/>
      <c r="BB112" s="664" t="s">
        <v>641</v>
      </c>
      <c r="BC112" s="325">
        <v>4</v>
      </c>
      <c r="BD112" s="325">
        <v>112014045</v>
      </c>
      <c r="BE112" s="1392" t="str">
        <f t="shared" si="43"/>
        <v>SPACAN SRL</v>
      </c>
      <c r="BF112" s="618"/>
      <c r="BG112" s="553"/>
      <c r="BH112" s="294"/>
      <c r="BI112" s="618"/>
      <c r="BJ112" s="618"/>
      <c r="BK112" s="618"/>
      <c r="BL112" s="553"/>
      <c r="BM112" s="618"/>
      <c r="BN112" s="618"/>
      <c r="BO112" s="618"/>
    </row>
    <row r="113" spans="1:67" ht="13" hidden="1">
      <c r="A113" s="664" t="s">
        <v>797</v>
      </c>
      <c r="B113" s="325">
        <v>1</v>
      </c>
      <c r="C113" s="325">
        <v>112014385</v>
      </c>
      <c r="D113" s="1392">
        <f t="shared" si="33"/>
        <v>71</v>
      </c>
      <c r="G113" s="323" t="s">
        <v>164</v>
      </c>
      <c r="H113" s="325">
        <v>4</v>
      </c>
      <c r="I113" s="325">
        <v>112013814</v>
      </c>
      <c r="J113" s="1393">
        <f t="shared" si="34"/>
        <v>69</v>
      </c>
      <c r="M113" s="664" t="s">
        <v>618</v>
      </c>
      <c r="N113" s="324">
        <v>22</v>
      </c>
      <c r="O113" s="325">
        <v>112014227</v>
      </c>
      <c r="P113" s="1392">
        <f t="shared" si="35"/>
        <v>71</v>
      </c>
      <c r="S113" s="294"/>
      <c r="U113" s="618"/>
      <c r="X113" s="294"/>
      <c r="Z113" s="618"/>
      <c r="AE113" s="618"/>
      <c r="AG113" s="325" t="s">
        <v>1371</v>
      </c>
      <c r="AH113" s="325">
        <v>1</v>
      </c>
      <c r="AI113" s="325">
        <v>112013577</v>
      </c>
      <c r="AJ113" s="799">
        <f t="shared" si="39"/>
        <v>71</v>
      </c>
      <c r="AL113" s="1321" t="s">
        <v>1144</v>
      </c>
      <c r="AM113" s="325">
        <v>21</v>
      </c>
      <c r="AN113" s="325">
        <v>112012448</v>
      </c>
      <c r="AO113" s="1408">
        <f t="shared" si="40"/>
        <v>1</v>
      </c>
      <c r="AQ113" s="1395" t="s">
        <v>1026</v>
      </c>
      <c r="AR113" s="325">
        <v>22</v>
      </c>
      <c r="AS113" s="325">
        <v>112014470</v>
      </c>
      <c r="AT113" s="1396">
        <f t="shared" si="41"/>
        <v>22</v>
      </c>
      <c r="AV113" s="302"/>
      <c r="AW113" s="664" t="s">
        <v>1449</v>
      </c>
      <c r="AX113" s="325">
        <v>22</v>
      </c>
      <c r="AY113" s="325">
        <v>112012277</v>
      </c>
      <c r="AZ113" s="1392">
        <f t="shared" si="42"/>
        <v>22</v>
      </c>
      <c r="BA113" s="302"/>
      <c r="BB113" s="664" t="s">
        <v>1059</v>
      </c>
      <c r="BC113" s="325">
        <v>22</v>
      </c>
      <c r="BD113" s="325">
        <v>112014259</v>
      </c>
      <c r="BE113" s="1392" t="str">
        <f t="shared" si="43"/>
        <v>SUAREZ MARIBEL/MELO MELISA</v>
      </c>
      <c r="BF113" s="618"/>
      <c r="BG113" s="553"/>
      <c r="BH113" s="294"/>
      <c r="BI113" s="618"/>
      <c r="BJ113" s="618"/>
      <c r="BK113" s="618"/>
      <c r="BL113" s="553"/>
      <c r="BM113" s="618"/>
      <c r="BN113" s="618"/>
      <c r="BO113" s="618"/>
    </row>
    <row r="114" spans="1:67" ht="13" hidden="1">
      <c r="A114" s="664" t="s">
        <v>723</v>
      </c>
      <c r="B114" s="325">
        <v>8</v>
      </c>
      <c r="C114" s="325">
        <v>112013432</v>
      </c>
      <c r="D114" s="1392">
        <f t="shared" si="33"/>
        <v>70</v>
      </c>
      <c r="G114" s="323" t="s">
        <v>121</v>
      </c>
      <c r="H114" s="325">
        <v>7</v>
      </c>
      <c r="I114" s="325">
        <v>112012613</v>
      </c>
      <c r="J114" s="1393">
        <f t="shared" si="34"/>
        <v>70</v>
      </c>
      <c r="M114" s="664" t="s">
        <v>597</v>
      </c>
      <c r="N114" s="324">
        <v>7</v>
      </c>
      <c r="O114" s="325">
        <v>112014337</v>
      </c>
      <c r="P114" s="1392">
        <f t="shared" si="35"/>
        <v>70</v>
      </c>
      <c r="S114" s="294"/>
      <c r="U114" s="618"/>
      <c r="X114" s="294"/>
      <c r="Z114" s="618"/>
      <c r="AE114" s="618"/>
      <c r="AG114" s="325" t="s">
        <v>1324</v>
      </c>
      <c r="AH114" s="325">
        <v>22</v>
      </c>
      <c r="AI114" s="325">
        <v>112014045</v>
      </c>
      <c r="AJ114" s="799">
        <f t="shared" si="39"/>
        <v>63</v>
      </c>
      <c r="AL114" s="1409" t="s">
        <v>880</v>
      </c>
      <c r="AM114" s="925">
        <v>4</v>
      </c>
      <c r="AN114" s="925">
        <v>112012373</v>
      </c>
      <c r="AO114" s="1410" t="e">
        <f t="shared" si="40"/>
        <v>#N/A</v>
      </c>
      <c r="AQ114" s="1395" t="s">
        <v>1112</v>
      </c>
      <c r="AR114" s="325">
        <v>12</v>
      </c>
      <c r="AS114" s="325">
        <v>112011304</v>
      </c>
      <c r="AT114" s="1397" t="e">
        <f t="shared" si="41"/>
        <v>#N/A</v>
      </c>
      <c r="AV114" s="302"/>
      <c r="AW114" s="664" t="s">
        <v>1469</v>
      </c>
      <c r="AX114" s="325">
        <v>22</v>
      </c>
      <c r="AY114" s="325">
        <v>112014248</v>
      </c>
      <c r="AZ114" s="1392">
        <f t="shared" si="42"/>
        <v>22</v>
      </c>
      <c r="BA114" s="302"/>
      <c r="BB114" s="664" t="s">
        <v>1513</v>
      </c>
      <c r="BC114" s="325">
        <v>1</v>
      </c>
      <c r="BD114" s="325">
        <v>112010784</v>
      </c>
      <c r="BE114" s="1392" t="str">
        <f t="shared" si="43"/>
        <v>TORRES MARCOS FABIAN</v>
      </c>
      <c r="BF114" s="618"/>
      <c r="BG114" s="553"/>
      <c r="BH114" s="294"/>
      <c r="BI114" s="618"/>
      <c r="BJ114" s="618"/>
      <c r="BK114" s="618"/>
      <c r="BL114" s="553"/>
      <c r="BM114" s="618"/>
      <c r="BN114" s="618"/>
      <c r="BO114" s="618"/>
    </row>
    <row r="115" spans="1:67" ht="13" hidden="1">
      <c r="A115" s="664" t="s">
        <v>798</v>
      </c>
      <c r="B115" s="325">
        <v>1</v>
      </c>
      <c r="C115" s="325">
        <v>112013834</v>
      </c>
      <c r="D115" s="1392">
        <f t="shared" si="33"/>
        <v>71</v>
      </c>
      <c r="G115" s="323" t="s">
        <v>107</v>
      </c>
      <c r="H115" s="325">
        <v>22</v>
      </c>
      <c r="I115" s="325">
        <v>112013141</v>
      </c>
      <c r="J115" s="1393">
        <f t="shared" si="34"/>
        <v>63</v>
      </c>
      <c r="M115" s="664" t="s">
        <v>547</v>
      </c>
      <c r="N115" s="324"/>
      <c r="O115" s="325">
        <v>112014434</v>
      </c>
      <c r="P115" s="1392">
        <f t="shared" si="35"/>
        <v>21</v>
      </c>
      <c r="S115" s="294"/>
      <c r="U115" s="618"/>
      <c r="X115" s="294"/>
      <c r="Z115" s="618"/>
      <c r="AE115" s="618"/>
      <c r="AG115" s="325" t="s">
        <v>1304</v>
      </c>
      <c r="AH115" s="325">
        <v>22</v>
      </c>
      <c r="AI115" s="325">
        <v>112013935</v>
      </c>
      <c r="AJ115" s="799" t="e">
        <f t="shared" si="39"/>
        <v>#N/A</v>
      </c>
      <c r="AL115" s="1411" t="s">
        <v>1214</v>
      </c>
      <c r="AM115" s="1412">
        <v>29</v>
      </c>
      <c r="AN115" s="1412">
        <v>112014204</v>
      </c>
      <c r="AO115" s="1413" t="e">
        <f t="shared" si="40"/>
        <v>#N/A</v>
      </c>
      <c r="AQ115" s="1395" t="s">
        <v>1012</v>
      </c>
      <c r="AR115" s="325">
        <v>22</v>
      </c>
      <c r="AS115" s="325">
        <v>112014283</v>
      </c>
      <c r="AT115" s="1396">
        <f t="shared" si="41"/>
        <v>22</v>
      </c>
      <c r="AV115" s="302"/>
      <c r="AW115" s="664" t="s">
        <v>1517</v>
      </c>
      <c r="AX115" s="325">
        <v>1</v>
      </c>
      <c r="AY115" s="325">
        <v>112013926</v>
      </c>
      <c r="AZ115" s="1392" t="e">
        <f t="shared" si="42"/>
        <v>#N/A</v>
      </c>
      <c r="BA115" s="302"/>
      <c r="BB115" s="664" t="s">
        <v>1339</v>
      </c>
      <c r="BC115" s="325">
        <v>12</v>
      </c>
      <c r="BD115" s="325">
        <v>112014546</v>
      </c>
      <c r="BE115" s="1392" t="str">
        <f t="shared" si="43"/>
        <v>VETERINARIA CENTRO SOCIEDAD DE RESPONSABILIDAD LIMITAD</v>
      </c>
      <c r="BF115" s="618"/>
      <c r="BG115" s="553"/>
      <c r="BH115" s="294"/>
      <c r="BI115" s="618"/>
      <c r="BJ115" s="618"/>
      <c r="BK115" s="618"/>
      <c r="BL115" s="553"/>
      <c r="BM115" s="618"/>
      <c r="BN115" s="618"/>
      <c r="BO115" s="618"/>
    </row>
    <row r="116" spans="1:67" ht="13" hidden="1">
      <c r="A116" s="664" t="s">
        <v>741</v>
      </c>
      <c r="B116" s="325">
        <v>22</v>
      </c>
      <c r="C116" s="325">
        <v>112012879</v>
      </c>
      <c r="D116" s="1392">
        <f t="shared" si="33"/>
        <v>71</v>
      </c>
      <c r="G116" s="323" t="s">
        <v>99</v>
      </c>
      <c r="H116" s="325">
        <v>7</v>
      </c>
      <c r="I116" s="325">
        <v>112014641</v>
      </c>
      <c r="J116" s="1393" t="e">
        <f t="shared" si="34"/>
        <v>#N/A</v>
      </c>
      <c r="M116" s="664" t="s">
        <v>657</v>
      </c>
      <c r="N116" s="324">
        <v>1</v>
      </c>
      <c r="O116" s="325">
        <v>112011001</v>
      </c>
      <c r="P116" s="1392">
        <f t="shared" si="35"/>
        <v>71</v>
      </c>
      <c r="S116" s="294"/>
      <c r="U116" s="618"/>
      <c r="X116" s="294"/>
      <c r="Z116" s="618"/>
      <c r="AE116" s="618"/>
      <c r="AG116" s="325" t="s">
        <v>1372</v>
      </c>
      <c r="AH116" s="325">
        <v>1</v>
      </c>
      <c r="AI116" s="325">
        <v>112014417</v>
      </c>
      <c r="AJ116" s="799">
        <f t="shared" si="39"/>
        <v>71</v>
      </c>
      <c r="AL116" s="1411" t="s">
        <v>1157</v>
      </c>
      <c r="AM116" s="1412">
        <v>4</v>
      </c>
      <c r="AN116" s="1412">
        <v>112013643</v>
      </c>
      <c r="AO116" s="1414">
        <f t="shared" si="40"/>
        <v>4</v>
      </c>
      <c r="AQ116" s="1395" t="s">
        <v>1000</v>
      </c>
      <c r="AR116" s="325">
        <v>12</v>
      </c>
      <c r="AS116" s="325">
        <v>112013137</v>
      </c>
      <c r="AT116" s="1396">
        <f t="shared" si="41"/>
        <v>22</v>
      </c>
      <c r="AV116" s="302"/>
      <c r="AW116" s="664" t="s">
        <v>1483</v>
      </c>
      <c r="AX116" s="325">
        <v>1</v>
      </c>
      <c r="AY116" s="325">
        <v>112013744</v>
      </c>
      <c r="AZ116" s="1392">
        <f t="shared" si="42"/>
        <v>1</v>
      </c>
      <c r="BA116" s="302"/>
      <c r="BB116" s="664" t="s">
        <v>1450</v>
      </c>
      <c r="BC116" s="325">
        <v>22</v>
      </c>
      <c r="BD116" s="325">
        <v>112011749</v>
      </c>
      <c r="BE116" s="1392" t="str">
        <f t="shared" si="43"/>
        <v>VIALE LUIS EDUARDO</v>
      </c>
      <c r="BF116" s="618"/>
      <c r="BG116" s="553"/>
      <c r="BH116" s="294"/>
      <c r="BI116" s="618"/>
      <c r="BJ116" s="618"/>
      <c r="BK116" s="618"/>
      <c r="BL116" s="553"/>
      <c r="BM116" s="618"/>
      <c r="BN116" s="618"/>
      <c r="BO116" s="618"/>
    </row>
    <row r="117" spans="1:67" ht="13" hidden="1">
      <c r="A117" s="664" t="s">
        <v>712</v>
      </c>
      <c r="B117" s="325">
        <v>22</v>
      </c>
      <c r="C117" s="325">
        <v>112010514</v>
      </c>
      <c r="D117" s="1392">
        <f t="shared" si="33"/>
        <v>63</v>
      </c>
      <c r="G117" s="323" t="s">
        <v>165</v>
      </c>
      <c r="H117" s="325">
        <v>4</v>
      </c>
      <c r="I117" s="325">
        <v>112014535</v>
      </c>
      <c r="J117" s="1393">
        <f t="shared" si="34"/>
        <v>70</v>
      </c>
      <c r="M117" s="664" t="s">
        <v>622</v>
      </c>
      <c r="N117" s="324">
        <v>20</v>
      </c>
      <c r="O117" s="325">
        <v>112011776</v>
      </c>
      <c r="P117" s="1392">
        <f t="shared" si="35"/>
        <v>71</v>
      </c>
      <c r="S117" s="294"/>
      <c r="U117" s="618"/>
      <c r="X117" s="294"/>
      <c r="Z117" s="618"/>
      <c r="AE117" s="618"/>
      <c r="AG117" s="325" t="s">
        <v>1306</v>
      </c>
      <c r="AH117" s="325">
        <v>22</v>
      </c>
      <c r="AI117" s="325">
        <v>112014300</v>
      </c>
      <c r="AJ117" s="799">
        <f t="shared" si="39"/>
        <v>63</v>
      </c>
      <c r="AL117" s="1411" t="s">
        <v>1119</v>
      </c>
      <c r="AM117" s="1412">
        <v>1</v>
      </c>
      <c r="AN117" s="1412">
        <v>112014306</v>
      </c>
      <c r="AO117" s="1413" t="e">
        <f t="shared" si="40"/>
        <v>#N/A</v>
      </c>
      <c r="AQ117" s="1395" t="s">
        <v>1059</v>
      </c>
      <c r="AR117" s="325">
        <v>22</v>
      </c>
      <c r="AS117" s="325">
        <v>112014556</v>
      </c>
      <c r="AT117" s="1396">
        <f t="shared" si="41"/>
        <v>1</v>
      </c>
      <c r="AV117" s="302"/>
      <c r="AW117" s="664" t="s">
        <v>1420</v>
      </c>
      <c r="AX117" s="325">
        <v>7</v>
      </c>
      <c r="AY117" s="325">
        <v>112014577</v>
      </c>
      <c r="AZ117" s="1392">
        <f t="shared" si="42"/>
        <v>7</v>
      </c>
      <c r="BA117" s="302"/>
      <c r="BB117" s="664" t="s">
        <v>1451</v>
      </c>
      <c r="BC117" s="325">
        <v>22</v>
      </c>
      <c r="BD117" s="325">
        <v>112013852</v>
      </c>
      <c r="BE117" s="1392" t="str">
        <f t="shared" si="43"/>
        <v>VIDOSEVICH EVANGELINA</v>
      </c>
      <c r="BF117" s="618"/>
      <c r="BG117" s="553"/>
      <c r="BH117" s="294"/>
      <c r="BI117" s="618"/>
      <c r="BJ117" s="618"/>
      <c r="BK117" s="618"/>
      <c r="BL117" s="553"/>
      <c r="BM117" s="618"/>
      <c r="BN117" s="618"/>
      <c r="BO117" s="618"/>
    </row>
    <row r="118" spans="1:67" ht="13" hidden="1">
      <c r="A118" s="664" t="s">
        <v>733</v>
      </c>
      <c r="B118" s="325">
        <v>7</v>
      </c>
      <c r="C118" s="325">
        <v>112010639</v>
      </c>
      <c r="D118" s="1392">
        <f t="shared" si="33"/>
        <v>70</v>
      </c>
      <c r="G118" s="323" t="s">
        <v>202</v>
      </c>
      <c r="H118" s="325">
        <v>1</v>
      </c>
      <c r="I118" s="325">
        <v>112012193</v>
      </c>
      <c r="J118" s="1393">
        <f t="shared" si="34"/>
        <v>71</v>
      </c>
      <c r="M118" s="664" t="s">
        <v>537</v>
      </c>
      <c r="N118" s="324">
        <v>7</v>
      </c>
      <c r="O118" s="325">
        <v>112012893</v>
      </c>
      <c r="P118" s="1392">
        <f t="shared" si="35"/>
        <v>62</v>
      </c>
      <c r="S118" s="294"/>
      <c r="U118" s="618"/>
      <c r="X118" s="294"/>
      <c r="Z118" s="618"/>
      <c r="AE118" s="618"/>
      <c r="AG118" s="325" t="s">
        <v>1387</v>
      </c>
      <c r="AH118" s="325">
        <v>1</v>
      </c>
      <c r="AI118" s="325">
        <v>112012973</v>
      </c>
      <c r="AJ118" s="799" t="e">
        <f t="shared" si="39"/>
        <v>#N/A</v>
      </c>
      <c r="AL118" s="1415" t="s">
        <v>1215</v>
      </c>
      <c r="AM118" s="1416">
        <v>29</v>
      </c>
      <c r="AN118" s="1416">
        <v>112013235</v>
      </c>
      <c r="AO118" s="1417" t="e">
        <f t="shared" si="40"/>
        <v>#N/A</v>
      </c>
      <c r="AQ118" s="1395" t="s">
        <v>1102</v>
      </c>
      <c r="AR118" s="325">
        <v>29</v>
      </c>
      <c r="AS118" s="325">
        <v>112010098</v>
      </c>
      <c r="AT118" s="1397" t="e">
        <f t="shared" si="41"/>
        <v>#N/A</v>
      </c>
      <c r="AV118" s="302"/>
      <c r="AW118" s="664" t="s">
        <v>1513</v>
      </c>
      <c r="AX118" s="325">
        <v>1</v>
      </c>
      <c r="AY118" s="325">
        <v>112010784</v>
      </c>
      <c r="AZ118" s="1392" t="e">
        <f t="shared" si="42"/>
        <v>#N/A</v>
      </c>
      <c r="BA118" s="302"/>
      <c r="BB118" s="664" t="s">
        <v>1340</v>
      </c>
      <c r="BC118" s="325">
        <v>12</v>
      </c>
      <c r="BD118" s="325">
        <v>112013323</v>
      </c>
      <c r="BE118" s="1392" t="str">
        <f t="shared" si="43"/>
        <v>ZUNINO MATIAS AGUSTIN</v>
      </c>
      <c r="BF118" s="618"/>
      <c r="BG118" s="553"/>
      <c r="BH118" s="294"/>
      <c r="BI118" s="618"/>
      <c r="BJ118" s="618"/>
      <c r="BK118" s="618"/>
      <c r="BL118" s="553"/>
      <c r="BM118" s="618"/>
      <c r="BN118" s="618"/>
      <c r="BO118" s="618"/>
    </row>
    <row r="119" spans="1:67" ht="13" hidden="1">
      <c r="A119" s="664" t="s">
        <v>740</v>
      </c>
      <c r="B119" s="325">
        <v>22</v>
      </c>
      <c r="C119" s="325">
        <v>112014687</v>
      </c>
      <c r="D119" s="1392">
        <f t="shared" si="33"/>
        <v>71</v>
      </c>
      <c r="G119" s="323" t="s">
        <v>66</v>
      </c>
      <c r="H119" s="325">
        <v>38</v>
      </c>
      <c r="I119" s="325">
        <v>112014158</v>
      </c>
      <c r="J119" s="1393" t="e">
        <f t="shared" si="34"/>
        <v>#N/A</v>
      </c>
      <c r="M119" s="664" t="s">
        <v>598</v>
      </c>
      <c r="N119" s="324">
        <v>7</v>
      </c>
      <c r="O119" s="325">
        <v>112014126</v>
      </c>
      <c r="P119" s="1392">
        <f t="shared" si="35"/>
        <v>70</v>
      </c>
      <c r="S119" s="294"/>
      <c r="U119" s="618"/>
      <c r="X119" s="294"/>
      <c r="Z119" s="618"/>
      <c r="AE119" s="618"/>
      <c r="AG119" s="325" t="s">
        <v>1563</v>
      </c>
      <c r="AH119" s="325">
        <v>1</v>
      </c>
      <c r="AI119" s="325">
        <v>112012747</v>
      </c>
      <c r="AJ119" s="799" t="e">
        <f t="shared" si="39"/>
        <v>#N/A</v>
      </c>
      <c r="AL119" s="302" t="s">
        <v>1190</v>
      </c>
      <c r="AM119" s="302">
        <v>4</v>
      </c>
      <c r="AN119" s="302">
        <v>112012430</v>
      </c>
      <c r="AO119" s="1417" t="e">
        <f t="shared" si="40"/>
        <v>#N/A</v>
      </c>
      <c r="AQ119" s="1395" t="s">
        <v>1076</v>
      </c>
      <c r="AR119" s="325">
        <v>1</v>
      </c>
      <c r="AS119" s="325">
        <v>112012342</v>
      </c>
      <c r="AT119" s="1396">
        <f t="shared" si="41"/>
        <v>1</v>
      </c>
      <c r="AV119" s="302"/>
      <c r="AW119" s="664" t="s">
        <v>1450</v>
      </c>
      <c r="AX119" s="325">
        <v>22</v>
      </c>
      <c r="AY119" s="325">
        <v>112011749</v>
      </c>
      <c r="AZ119" s="1392">
        <f t="shared" si="42"/>
        <v>22</v>
      </c>
      <c r="BA119" s="302"/>
      <c r="BB119" s="664"/>
      <c r="BC119" s="325"/>
      <c r="BD119" s="325"/>
      <c r="BE119" s="1392" t="e">
        <f t="shared" si="43"/>
        <v>#N/A</v>
      </c>
      <c r="BF119" s="618"/>
      <c r="BG119" s="553"/>
      <c r="BH119" s="294"/>
      <c r="BI119" s="618"/>
      <c r="BJ119" s="618"/>
      <c r="BK119" s="618"/>
      <c r="BL119" s="553"/>
      <c r="BM119" s="618"/>
      <c r="BN119" s="618"/>
      <c r="BO119" s="618"/>
    </row>
    <row r="120" spans="1:67" ht="13" hidden="1">
      <c r="A120" s="664" t="s">
        <v>734</v>
      </c>
      <c r="B120" s="325">
        <v>7</v>
      </c>
      <c r="C120" s="325">
        <v>112012929</v>
      </c>
      <c r="D120" s="1392">
        <f t="shared" si="33"/>
        <v>70</v>
      </c>
      <c r="G120" s="323" t="s">
        <v>102</v>
      </c>
      <c r="H120" s="325">
        <v>7</v>
      </c>
      <c r="I120" s="325">
        <v>112013915</v>
      </c>
      <c r="J120" s="1393">
        <f t="shared" si="34"/>
        <v>62</v>
      </c>
      <c r="M120" s="664" t="s">
        <v>512</v>
      </c>
      <c r="N120" s="324">
        <v>10</v>
      </c>
      <c r="O120" s="325">
        <v>112014087</v>
      </c>
      <c r="P120" s="1392">
        <f t="shared" si="35"/>
        <v>52</v>
      </c>
      <c r="S120" s="294"/>
      <c r="U120" s="618"/>
      <c r="X120" s="294"/>
      <c r="Z120" s="618"/>
      <c r="AE120" s="618"/>
      <c r="AG120" s="325" t="s">
        <v>1385</v>
      </c>
      <c r="AH120" s="325">
        <v>1</v>
      </c>
      <c r="AI120" s="325">
        <v>112012748</v>
      </c>
      <c r="AJ120" s="799">
        <f t="shared" si="39"/>
        <v>71</v>
      </c>
      <c r="AO120" s="618"/>
      <c r="AQ120" s="1395" t="s">
        <v>1044</v>
      </c>
      <c r="AR120" s="325">
        <v>12</v>
      </c>
      <c r="AS120" s="325">
        <v>112010149</v>
      </c>
      <c r="AT120" s="1396">
        <f t="shared" si="41"/>
        <v>1</v>
      </c>
      <c r="AV120" s="302"/>
      <c r="AW120" s="1418" t="s">
        <v>1451</v>
      </c>
      <c r="AX120" s="506">
        <v>22</v>
      </c>
      <c r="AY120" s="506">
        <v>112013852</v>
      </c>
      <c r="AZ120" s="1419">
        <f t="shared" si="42"/>
        <v>22</v>
      </c>
      <c r="BA120" s="302"/>
      <c r="BB120" s="664"/>
      <c r="BC120" s="325"/>
      <c r="BD120" s="325"/>
      <c r="BE120" s="1392" t="e">
        <f t="shared" si="43"/>
        <v>#N/A</v>
      </c>
      <c r="BF120" s="618"/>
      <c r="BG120" s="553"/>
      <c r="BH120" s="294"/>
      <c r="BI120" s="618"/>
      <c r="BJ120" s="618"/>
      <c r="BK120" s="618"/>
      <c r="BL120" s="553"/>
      <c r="BM120" s="618"/>
      <c r="BN120" s="618"/>
      <c r="BO120" s="618"/>
    </row>
    <row r="121" spans="1:67" ht="13" hidden="1">
      <c r="A121" s="664" t="s">
        <v>706</v>
      </c>
      <c r="B121" s="325">
        <v>7</v>
      </c>
      <c r="C121" s="325">
        <v>112014731</v>
      </c>
      <c r="D121" s="1392">
        <f t="shared" si="33"/>
        <v>62</v>
      </c>
      <c r="G121" s="323" t="s">
        <v>103</v>
      </c>
      <c r="H121" s="325">
        <v>7</v>
      </c>
      <c r="I121" s="325">
        <v>112012950</v>
      </c>
      <c r="J121" s="1393">
        <f t="shared" si="34"/>
        <v>61</v>
      </c>
      <c r="M121" s="664" t="s">
        <v>520</v>
      </c>
      <c r="N121" s="324">
        <v>8</v>
      </c>
      <c r="O121" s="325">
        <v>112014202</v>
      </c>
      <c r="P121" s="1392">
        <f t="shared" si="35"/>
        <v>62</v>
      </c>
      <c r="S121" s="294"/>
      <c r="U121" s="618"/>
      <c r="X121" s="294"/>
      <c r="Z121" s="618"/>
      <c r="AE121" s="618"/>
      <c r="AG121" s="325" t="s">
        <v>1374</v>
      </c>
      <c r="AH121" s="325">
        <v>1</v>
      </c>
      <c r="AI121" s="325">
        <v>112012852</v>
      </c>
      <c r="AJ121" s="799">
        <f t="shared" si="39"/>
        <v>71</v>
      </c>
      <c r="AO121" s="618"/>
      <c r="AQ121" s="1395" t="s">
        <v>1092</v>
      </c>
      <c r="AR121" s="325">
        <v>12</v>
      </c>
      <c r="AS121" s="325">
        <v>112011430</v>
      </c>
      <c r="AT121" s="1397" t="e">
        <f t="shared" si="41"/>
        <v>#N/A</v>
      </c>
      <c r="AZ121" s="618"/>
      <c r="BB121" s="664"/>
      <c r="BC121" s="325"/>
      <c r="BD121" s="325"/>
      <c r="BE121" s="1392" t="e">
        <f t="shared" si="43"/>
        <v>#N/A</v>
      </c>
      <c r="BF121" s="618"/>
      <c r="BG121" s="553"/>
      <c r="BH121" s="294"/>
      <c r="BI121" s="618"/>
      <c r="BJ121" s="618"/>
      <c r="BK121" s="618"/>
      <c r="BL121" s="553"/>
      <c r="BM121" s="618"/>
      <c r="BN121" s="618"/>
      <c r="BO121" s="618"/>
    </row>
    <row r="122" spans="1:67" ht="13" hidden="1">
      <c r="A122" s="664"/>
      <c r="B122" s="325"/>
      <c r="C122" s="325"/>
      <c r="D122" s="1392" t="e">
        <f t="shared" si="33"/>
        <v>#N/A</v>
      </c>
      <c r="G122" s="323" t="s">
        <v>203</v>
      </c>
      <c r="H122" s="325">
        <v>1</v>
      </c>
      <c r="I122" s="325">
        <v>112013748</v>
      </c>
      <c r="J122" s="1393">
        <f t="shared" si="34"/>
        <v>71</v>
      </c>
      <c r="M122" s="664" t="s">
        <v>599</v>
      </c>
      <c r="N122" s="324">
        <v>7</v>
      </c>
      <c r="O122" s="325">
        <v>112014313</v>
      </c>
      <c r="P122" s="1392">
        <f t="shared" si="35"/>
        <v>70</v>
      </c>
      <c r="S122" s="294"/>
      <c r="U122" s="618"/>
      <c r="X122" s="294"/>
      <c r="Z122" s="618"/>
      <c r="AE122" s="618"/>
      <c r="AG122" s="325" t="s">
        <v>1307</v>
      </c>
      <c r="AH122" s="325">
        <v>22</v>
      </c>
      <c r="AI122" s="325">
        <v>112012568</v>
      </c>
      <c r="AJ122" s="799">
        <f t="shared" si="39"/>
        <v>63</v>
      </c>
      <c r="AO122" s="618"/>
      <c r="AQ122" s="1420" t="s">
        <v>1001</v>
      </c>
      <c r="AR122" s="925">
        <v>12</v>
      </c>
      <c r="AS122" s="925">
        <v>112013300</v>
      </c>
      <c r="AT122" s="1421">
        <f t="shared" si="41"/>
        <v>22</v>
      </c>
      <c r="AZ122" s="618"/>
      <c r="BB122" s="1403"/>
      <c r="BC122" s="1405"/>
      <c r="BD122" s="1405"/>
      <c r="BE122" s="1422" t="e">
        <f t="shared" si="43"/>
        <v>#N/A</v>
      </c>
      <c r="BF122" s="618"/>
      <c r="BG122" s="553"/>
      <c r="BH122" s="294"/>
      <c r="BI122" s="618"/>
      <c r="BJ122" s="618"/>
      <c r="BK122" s="618"/>
      <c r="BL122" s="553"/>
      <c r="BM122" s="618"/>
      <c r="BN122" s="618"/>
      <c r="BO122" s="618"/>
    </row>
    <row r="123" spans="1:67" ht="13" hidden="1">
      <c r="A123" s="664"/>
      <c r="B123" s="325"/>
      <c r="C123" s="325"/>
      <c r="D123" s="1392" t="e">
        <f t="shared" si="33"/>
        <v>#N/A</v>
      </c>
      <c r="G123" s="323" t="s">
        <v>65</v>
      </c>
      <c r="H123" s="325">
        <v>11</v>
      </c>
      <c r="I123" s="325">
        <v>112010681</v>
      </c>
      <c r="J123" s="1393">
        <f t="shared" si="34"/>
        <v>54</v>
      </c>
      <c r="M123" s="664" t="s">
        <v>538</v>
      </c>
      <c r="N123" s="324">
        <v>7</v>
      </c>
      <c r="O123" s="325">
        <v>112014739</v>
      </c>
      <c r="P123" s="1392">
        <f t="shared" si="35"/>
        <v>62</v>
      </c>
      <c r="S123" s="294"/>
      <c r="U123" s="618"/>
      <c r="X123" s="294"/>
      <c r="Z123" s="618"/>
      <c r="AE123" s="618"/>
      <c r="AG123" s="325" t="s">
        <v>1285</v>
      </c>
      <c r="AH123" s="325">
        <v>12</v>
      </c>
      <c r="AI123" s="325">
        <v>112011735</v>
      </c>
      <c r="AJ123" s="799">
        <f t="shared" si="39"/>
        <v>63</v>
      </c>
      <c r="AO123" s="618"/>
      <c r="AQ123" s="1423" t="s">
        <v>1045</v>
      </c>
      <c r="AR123" s="1412">
        <v>12</v>
      </c>
      <c r="AS123" s="1412">
        <v>112014371</v>
      </c>
      <c r="AT123" s="1424">
        <f t="shared" si="41"/>
        <v>1</v>
      </c>
      <c r="AZ123" s="618"/>
      <c r="BE123" s="618"/>
      <c r="BF123" s="618"/>
      <c r="BG123" s="553"/>
      <c r="BH123" s="294"/>
      <c r="BI123" s="618"/>
      <c r="BJ123" s="618"/>
      <c r="BK123" s="618"/>
      <c r="BL123" s="553"/>
      <c r="BM123" s="618"/>
      <c r="BN123" s="618"/>
      <c r="BO123" s="618"/>
    </row>
    <row r="124" spans="1:67" ht="13" hidden="1">
      <c r="A124" s="664"/>
      <c r="B124" s="325"/>
      <c r="C124" s="325"/>
      <c r="D124" s="1392" t="e">
        <f t="shared" si="33"/>
        <v>#N/A</v>
      </c>
      <c r="G124" s="323" t="s">
        <v>128</v>
      </c>
      <c r="H124" s="325">
        <v>18</v>
      </c>
      <c r="I124" s="325">
        <v>112012975</v>
      </c>
      <c r="J124" s="1393">
        <f t="shared" si="34"/>
        <v>69</v>
      </c>
      <c r="M124" s="664" t="s">
        <v>640</v>
      </c>
      <c r="N124" s="324">
        <v>4</v>
      </c>
      <c r="O124" s="325">
        <v>112014638</v>
      </c>
      <c r="P124" s="1392">
        <f t="shared" si="35"/>
        <v>70</v>
      </c>
      <c r="S124" s="294"/>
      <c r="U124" s="618"/>
      <c r="X124" s="294"/>
      <c r="Z124" s="618"/>
      <c r="AE124" s="618"/>
      <c r="AG124" s="325" t="s">
        <v>1339</v>
      </c>
      <c r="AH124" s="325">
        <v>12</v>
      </c>
      <c r="AI124" s="325">
        <v>112014546</v>
      </c>
      <c r="AJ124" s="799">
        <f t="shared" si="39"/>
        <v>71</v>
      </c>
      <c r="AO124" s="618"/>
      <c r="AQ124" s="1423" t="s">
        <v>1036</v>
      </c>
      <c r="AR124" s="1412">
        <v>4</v>
      </c>
      <c r="AS124" s="1412">
        <v>112012698</v>
      </c>
      <c r="AT124" s="1424">
        <f t="shared" si="41"/>
        <v>4</v>
      </c>
      <c r="AZ124" s="618"/>
      <c r="BE124" s="618"/>
      <c r="BF124" s="618"/>
      <c r="BG124" s="553"/>
      <c r="BH124" s="294"/>
      <c r="BI124" s="618"/>
      <c r="BJ124" s="618"/>
      <c r="BK124" s="618"/>
      <c r="BL124" s="553"/>
      <c r="BM124" s="618"/>
      <c r="BN124" s="618"/>
      <c r="BO124" s="618"/>
    </row>
    <row r="125" spans="1:67" ht="13" hidden="1">
      <c r="A125" s="664"/>
      <c r="B125" s="325"/>
      <c r="C125" s="325"/>
      <c r="D125" s="1392" t="e">
        <f t="shared" si="33"/>
        <v>#N/A</v>
      </c>
      <c r="G125" s="323" t="s">
        <v>112</v>
      </c>
      <c r="H125" s="325">
        <v>24</v>
      </c>
      <c r="I125" s="325">
        <v>112014138</v>
      </c>
      <c r="J125" s="1393">
        <f t="shared" si="34"/>
        <v>71</v>
      </c>
      <c r="M125" s="664" t="s">
        <v>655</v>
      </c>
      <c r="N125" s="324">
        <v>1</v>
      </c>
      <c r="O125" s="325">
        <v>112014082</v>
      </c>
      <c r="P125" s="1392">
        <f t="shared" si="35"/>
        <v>71</v>
      </c>
      <c r="S125" s="294"/>
      <c r="U125" s="618"/>
      <c r="X125" s="294"/>
      <c r="Z125" s="618"/>
      <c r="AE125" s="618"/>
      <c r="AG125" s="325" t="s">
        <v>1284</v>
      </c>
      <c r="AH125" s="325">
        <v>7</v>
      </c>
      <c r="AI125" s="325">
        <v>112014172</v>
      </c>
      <c r="AJ125" s="799">
        <f t="shared" si="39"/>
        <v>62</v>
      </c>
      <c r="AO125" s="618"/>
      <c r="AQ125" s="1423" t="s">
        <v>1003</v>
      </c>
      <c r="AR125" s="1412">
        <v>7</v>
      </c>
      <c r="AS125" s="1412">
        <v>112013818</v>
      </c>
      <c r="AT125" s="1396">
        <f t="shared" si="41"/>
        <v>7</v>
      </c>
      <c r="AZ125" s="618"/>
      <c r="BE125" s="618"/>
      <c r="BF125" s="618"/>
      <c r="BG125" s="553"/>
      <c r="BH125" s="294"/>
      <c r="BI125" s="618"/>
      <c r="BJ125" s="618"/>
      <c r="BK125" s="618"/>
      <c r="BL125" s="553"/>
      <c r="BM125" s="618"/>
      <c r="BN125" s="618"/>
      <c r="BO125" s="618"/>
    </row>
    <row r="126" spans="1:67" ht="13" hidden="1">
      <c r="A126" s="664"/>
      <c r="B126" s="325"/>
      <c r="C126" s="325"/>
      <c r="D126" s="1392" t="e">
        <f t="shared" si="33"/>
        <v>#N/A</v>
      </c>
      <c r="G126" s="323" t="s">
        <v>204</v>
      </c>
      <c r="H126" s="325">
        <v>1</v>
      </c>
      <c r="I126" s="325">
        <v>112012870</v>
      </c>
      <c r="J126" s="1393">
        <f t="shared" si="34"/>
        <v>71</v>
      </c>
      <c r="M126" s="664" t="s">
        <v>676</v>
      </c>
      <c r="N126" s="324">
        <v>22</v>
      </c>
      <c r="O126" s="325">
        <v>112014030</v>
      </c>
      <c r="P126" s="1392" t="e">
        <f t="shared" si="35"/>
        <v>#N/A</v>
      </c>
      <c r="S126" s="294"/>
      <c r="U126" s="618"/>
      <c r="X126" s="294"/>
      <c r="Z126" s="618"/>
      <c r="AE126" s="618"/>
      <c r="AG126" s="325" t="s">
        <v>1325</v>
      </c>
      <c r="AH126" s="325">
        <v>22</v>
      </c>
      <c r="AI126" s="325">
        <v>112013992</v>
      </c>
      <c r="AJ126" s="799">
        <f t="shared" si="39"/>
        <v>63</v>
      </c>
      <c r="AO126" s="618"/>
      <c r="AQ126" s="1425"/>
      <c r="AR126" s="1426"/>
      <c r="AS126" s="1426"/>
      <c r="AT126" s="1427" t="e">
        <f t="shared" si="41"/>
        <v>#N/A</v>
      </c>
      <c r="AZ126" s="618"/>
      <c r="BE126" s="618"/>
      <c r="BF126" s="618"/>
      <c r="BG126" s="553"/>
      <c r="BH126" s="294"/>
      <c r="BI126" s="618"/>
      <c r="BJ126" s="618"/>
      <c r="BK126" s="618"/>
      <c r="BL126" s="553"/>
      <c r="BM126" s="618"/>
      <c r="BN126" s="618"/>
      <c r="BO126" s="618"/>
    </row>
    <row r="127" spans="1:67" ht="13" hidden="1">
      <c r="A127" s="664"/>
      <c r="B127" s="325"/>
      <c r="C127" s="325"/>
      <c r="D127" s="1392" t="e">
        <f t="shared" si="33"/>
        <v>#N/A</v>
      </c>
      <c r="G127" s="323" t="s">
        <v>108</v>
      </c>
      <c r="H127" s="325">
        <v>22</v>
      </c>
      <c r="I127" s="325">
        <v>112012844</v>
      </c>
      <c r="J127" s="1393">
        <f t="shared" si="34"/>
        <v>63</v>
      </c>
      <c r="M127" s="664" t="s">
        <v>600</v>
      </c>
      <c r="N127" s="324">
        <v>7</v>
      </c>
      <c r="O127" s="325">
        <v>112014392</v>
      </c>
      <c r="P127" s="1392">
        <f t="shared" si="35"/>
        <v>70</v>
      </c>
      <c r="S127" s="294"/>
      <c r="U127" s="618"/>
      <c r="X127" s="294"/>
      <c r="Z127" s="618"/>
      <c r="AE127" s="618"/>
      <c r="AG127" s="325" t="s">
        <v>1326</v>
      </c>
      <c r="AH127" s="325">
        <v>22</v>
      </c>
      <c r="AI127" s="325">
        <v>112012507</v>
      </c>
      <c r="AJ127" s="799">
        <f t="shared" si="39"/>
        <v>63</v>
      </c>
      <c r="AO127" s="618"/>
      <c r="AT127" s="618"/>
      <c r="AZ127" s="618"/>
      <c r="BE127" s="618"/>
      <c r="BF127" s="618"/>
      <c r="BG127" s="553"/>
      <c r="BH127" s="294"/>
      <c r="BI127" s="618"/>
      <c r="BJ127" s="618"/>
      <c r="BK127" s="618"/>
      <c r="BL127" s="553"/>
      <c r="BM127" s="618"/>
      <c r="BN127" s="618"/>
      <c r="BO127" s="618"/>
    </row>
    <row r="128" spans="1:67" ht="13" hidden="1">
      <c r="A128" s="664"/>
      <c r="B128" s="325"/>
      <c r="C128" s="325"/>
      <c r="D128" s="1392" t="e">
        <f>VLOOKUP(C128,buelafin,6,FALSE)</f>
        <v>#N/A</v>
      </c>
      <c r="G128" s="323" t="s">
        <v>205</v>
      </c>
      <c r="H128" s="325">
        <v>1</v>
      </c>
      <c r="I128" s="325">
        <v>112011100</v>
      </c>
      <c r="J128" s="1393">
        <f t="shared" si="34"/>
        <v>71</v>
      </c>
      <c r="M128" s="664" t="s">
        <v>565</v>
      </c>
      <c r="N128" s="324">
        <v>31</v>
      </c>
      <c r="O128" s="325">
        <v>112014436</v>
      </c>
      <c r="P128" s="1392">
        <f t="shared" si="35"/>
        <v>69</v>
      </c>
      <c r="S128" s="294"/>
      <c r="U128" s="618"/>
      <c r="X128" s="294"/>
      <c r="Z128" s="618"/>
      <c r="AE128" s="618"/>
      <c r="AG128" s="325" t="s">
        <v>1375</v>
      </c>
      <c r="AH128" s="325">
        <v>1</v>
      </c>
      <c r="AI128" s="325">
        <v>112014039</v>
      </c>
      <c r="AJ128" s="799">
        <f t="shared" si="39"/>
        <v>71</v>
      </c>
      <c r="AO128" s="618"/>
      <c r="AT128" s="618"/>
      <c r="AZ128" s="618"/>
      <c r="BE128" s="618"/>
      <c r="BF128" s="618"/>
      <c r="BG128" s="553"/>
      <c r="BH128" s="294"/>
      <c r="BI128" s="618"/>
      <c r="BJ128" s="618"/>
      <c r="BK128" s="618"/>
      <c r="BL128" s="553"/>
      <c r="BM128" s="618"/>
      <c r="BN128" s="618"/>
      <c r="BO128" s="618"/>
    </row>
    <row r="129" spans="1:67" ht="13" hidden="1">
      <c r="A129" s="664"/>
      <c r="B129" s="325"/>
      <c r="C129" s="325"/>
      <c r="D129" s="1392" t="e">
        <f>VLOOKUP(C129,buelafin,6,FALSE)</f>
        <v>#N/A</v>
      </c>
      <c r="G129" s="323" t="s">
        <v>166</v>
      </c>
      <c r="H129" s="325">
        <v>4</v>
      </c>
      <c r="I129" s="325">
        <v>112013197</v>
      </c>
      <c r="J129" s="1393">
        <f t="shared" si="34"/>
        <v>70</v>
      </c>
      <c r="M129" s="664" t="s">
        <v>662</v>
      </c>
      <c r="N129" s="324"/>
      <c r="O129" s="325">
        <v>112011327</v>
      </c>
      <c r="P129" s="1392">
        <f t="shared" si="35"/>
        <v>0</v>
      </c>
      <c r="S129" s="294"/>
      <c r="U129" s="618"/>
      <c r="X129" s="294"/>
      <c r="Z129" s="618"/>
      <c r="AE129" s="618"/>
      <c r="AG129" s="325" t="s">
        <v>1340</v>
      </c>
      <c r="AH129" s="325">
        <v>12</v>
      </c>
      <c r="AI129" s="325">
        <v>112013323</v>
      </c>
      <c r="AJ129" s="799">
        <f t="shared" si="39"/>
        <v>71</v>
      </c>
      <c r="AO129" s="618"/>
      <c r="AT129" s="618"/>
      <c r="AZ129" s="618"/>
      <c r="BE129" s="618"/>
      <c r="BF129" s="618"/>
      <c r="BG129" s="553"/>
      <c r="BH129" s="294"/>
      <c r="BI129" s="618"/>
      <c r="BJ129" s="618"/>
      <c r="BK129" s="618"/>
      <c r="BL129" s="553"/>
      <c r="BM129" s="618"/>
      <c r="BN129" s="618"/>
      <c r="BO129" s="618"/>
    </row>
    <row r="130" spans="1:67" ht="13" hidden="1">
      <c r="A130" s="1403"/>
      <c r="B130" s="1405"/>
      <c r="C130" s="1405"/>
      <c r="D130" s="1422" t="e">
        <f>VLOOKUP(C130,buelafin,6,FALSE)</f>
        <v>#N/A</v>
      </c>
      <c r="G130" s="323" t="s">
        <v>64</v>
      </c>
      <c r="H130" s="325">
        <v>10</v>
      </c>
      <c r="I130" s="325">
        <v>112014519</v>
      </c>
      <c r="J130" s="1393">
        <f t="shared" ref="J130:J161" si="44">VLOOKUP(I130,bassfin,10,FALSE)</f>
        <v>52</v>
      </c>
      <c r="M130" s="664" t="s">
        <v>623</v>
      </c>
      <c r="N130" s="324">
        <v>3</v>
      </c>
      <c r="O130" s="325">
        <v>112014156</v>
      </c>
      <c r="P130" s="1392">
        <f t="shared" ref="P130:P161" si="45">VLOOKUP(O130,LAGEFIN,10,FALSE)</f>
        <v>70</v>
      </c>
      <c r="S130" s="294"/>
      <c r="U130" s="618"/>
      <c r="X130" s="294"/>
      <c r="Z130" s="618"/>
      <c r="AE130" s="618"/>
      <c r="AG130" s="325"/>
      <c r="AH130" s="325"/>
      <c r="AI130" s="325"/>
      <c r="AJ130" s="799" t="e">
        <f t="shared" ref="AJ130:AJ161" si="46">VLOOKUP(AI130,MONTENEFIN,6,FALSE)</f>
        <v>#N/A</v>
      </c>
      <c r="AO130" s="618"/>
      <c r="AT130" s="618"/>
      <c r="AZ130" s="618"/>
      <c r="BE130" s="618"/>
      <c r="BF130" s="618"/>
      <c r="BG130" s="553"/>
      <c r="BH130" s="294"/>
      <c r="BI130" s="618"/>
      <c r="BJ130" s="618"/>
      <c r="BK130" s="618"/>
      <c r="BL130" s="553"/>
      <c r="BM130" s="618"/>
      <c r="BN130" s="618"/>
      <c r="BO130" s="618"/>
    </row>
    <row r="131" spans="1:67" ht="13" hidden="1">
      <c r="D131" s="618"/>
      <c r="G131" s="323" t="s">
        <v>206</v>
      </c>
      <c r="H131" s="325">
        <v>1</v>
      </c>
      <c r="I131" s="325">
        <v>112012709</v>
      </c>
      <c r="J131" s="1393">
        <f t="shared" si="44"/>
        <v>71</v>
      </c>
      <c r="M131" s="664" t="s">
        <v>641</v>
      </c>
      <c r="N131" s="324">
        <v>4</v>
      </c>
      <c r="O131" s="325">
        <v>112014259</v>
      </c>
      <c r="P131" s="1392">
        <f t="shared" si="45"/>
        <v>70</v>
      </c>
      <c r="S131" s="294"/>
      <c r="U131" s="618"/>
      <c r="X131" s="294"/>
      <c r="Z131" s="618"/>
      <c r="AE131" s="618"/>
      <c r="AO131" s="618"/>
      <c r="AT131" s="618"/>
      <c r="AY131" s="302" t="s">
        <v>1564</v>
      </c>
      <c r="AZ131" s="618"/>
      <c r="BE131" s="618"/>
      <c r="BF131" s="618"/>
      <c r="BG131" s="553"/>
      <c r="BH131" s="294"/>
      <c r="BI131" s="618"/>
      <c r="BJ131" s="618"/>
      <c r="BK131" s="618"/>
      <c r="BL131" s="553"/>
      <c r="BM131" s="618"/>
      <c r="BN131" s="618"/>
      <c r="BO131" s="618"/>
    </row>
    <row r="132" spans="1:67" ht="13" hidden="1">
      <c r="D132" s="618"/>
      <c r="G132" s="323" t="s">
        <v>225</v>
      </c>
      <c r="H132" s="325"/>
      <c r="I132" s="325">
        <v>112013850</v>
      </c>
      <c r="J132" s="1393">
        <f t="shared" si="44"/>
        <v>0</v>
      </c>
      <c r="M132" s="664" t="s">
        <v>601</v>
      </c>
      <c r="N132" s="324">
        <v>7</v>
      </c>
      <c r="O132" s="325">
        <v>112014406</v>
      </c>
      <c r="P132" s="1392">
        <f t="shared" si="45"/>
        <v>70</v>
      </c>
      <c r="S132" s="294"/>
      <c r="U132" s="618"/>
      <c r="X132" s="294"/>
      <c r="Z132" s="618"/>
      <c r="AE132" s="618"/>
      <c r="AO132" s="618"/>
      <c r="AT132" s="618"/>
      <c r="AZ132" s="618"/>
      <c r="BE132" s="618"/>
      <c r="BF132" s="618"/>
      <c r="BG132" s="553"/>
      <c r="BH132" s="294"/>
      <c r="BI132" s="618"/>
      <c r="BJ132" s="618"/>
      <c r="BK132" s="618"/>
      <c r="BL132" s="553"/>
      <c r="BM132" s="618"/>
      <c r="BN132" s="618"/>
      <c r="BO132" s="618"/>
    </row>
    <row r="133" spans="1:67" ht="13" hidden="1">
      <c r="D133" s="618"/>
      <c r="G133" s="323" t="s">
        <v>207</v>
      </c>
      <c r="H133" s="325">
        <v>1</v>
      </c>
      <c r="I133" s="325">
        <v>112014273</v>
      </c>
      <c r="J133" s="1393">
        <f t="shared" si="44"/>
        <v>71</v>
      </c>
      <c r="M133" s="664" t="s">
        <v>566</v>
      </c>
      <c r="N133" s="324">
        <v>31</v>
      </c>
      <c r="O133" s="325">
        <v>112014459</v>
      </c>
      <c r="P133" s="1392">
        <f t="shared" si="45"/>
        <v>69</v>
      </c>
      <c r="S133" s="294"/>
      <c r="U133" s="618"/>
      <c r="X133" s="294"/>
      <c r="Z133" s="618"/>
      <c r="AE133" s="618"/>
      <c r="AO133" s="618"/>
      <c r="AT133" s="618"/>
      <c r="AZ133" s="618"/>
      <c r="BE133" s="618"/>
      <c r="BF133" s="618"/>
      <c r="BG133" s="553"/>
      <c r="BH133" s="294"/>
      <c r="BI133" s="618"/>
      <c r="BJ133" s="618"/>
      <c r="BK133" s="618"/>
      <c r="BL133" s="553"/>
      <c r="BM133" s="618"/>
      <c r="BN133" s="618"/>
      <c r="BO133" s="618"/>
    </row>
    <row r="134" spans="1:67" ht="13" hidden="1">
      <c r="D134" s="618"/>
      <c r="G134" s="323" t="s">
        <v>135</v>
      </c>
      <c r="H134" s="325">
        <v>18</v>
      </c>
      <c r="I134" s="325">
        <v>112014639</v>
      </c>
      <c r="J134" s="1393" t="e">
        <f t="shared" si="44"/>
        <v>#N/A</v>
      </c>
      <c r="M134" s="664" t="s">
        <v>602</v>
      </c>
      <c r="N134" s="324">
        <v>7</v>
      </c>
      <c r="O134" s="325">
        <v>112014065</v>
      </c>
      <c r="P134" s="1392">
        <f t="shared" si="45"/>
        <v>70</v>
      </c>
      <c r="S134" s="294"/>
      <c r="U134" s="618"/>
      <c r="X134" s="294"/>
      <c r="Z134" s="618"/>
      <c r="AE134" s="618"/>
      <c r="AO134" s="618"/>
      <c r="AT134" s="618"/>
      <c r="AZ134" s="618"/>
      <c r="BE134" s="618"/>
      <c r="BF134" s="618"/>
      <c r="BG134" s="553"/>
      <c r="BH134" s="294"/>
      <c r="BI134" s="618"/>
      <c r="BJ134" s="618"/>
      <c r="BK134" s="618"/>
      <c r="BL134" s="553"/>
      <c r="BM134" s="618"/>
      <c r="BN134" s="618"/>
      <c r="BO134" s="618"/>
    </row>
    <row r="135" spans="1:67" ht="13" hidden="1">
      <c r="D135" s="618"/>
      <c r="G135" s="323" t="s">
        <v>211</v>
      </c>
      <c r="H135" s="325">
        <v>1</v>
      </c>
      <c r="I135" s="325">
        <v>112013944</v>
      </c>
      <c r="J135" s="1393">
        <f t="shared" si="44"/>
        <v>71</v>
      </c>
      <c r="M135" s="664" t="s">
        <v>513</v>
      </c>
      <c r="N135" s="324">
        <v>10</v>
      </c>
      <c r="O135" s="325">
        <v>112014170</v>
      </c>
      <c r="P135" s="1392">
        <f t="shared" si="45"/>
        <v>52</v>
      </c>
      <c r="S135" s="294"/>
      <c r="U135" s="618"/>
      <c r="X135" s="294"/>
      <c r="Z135" s="618"/>
      <c r="AE135" s="618"/>
      <c r="AO135" s="618"/>
      <c r="AT135" s="618"/>
      <c r="AZ135" s="618"/>
      <c r="BE135" s="618"/>
      <c r="BF135" s="618"/>
      <c r="BG135" s="553"/>
      <c r="BH135" s="294"/>
      <c r="BI135" s="618"/>
      <c r="BJ135" s="618"/>
      <c r="BK135" s="618"/>
      <c r="BL135" s="553"/>
      <c r="BM135" s="618"/>
      <c r="BN135" s="618"/>
      <c r="BO135" s="618"/>
    </row>
    <row r="136" spans="1:67" ht="13" hidden="1">
      <c r="D136" s="618"/>
      <c r="G136" s="323" t="s">
        <v>109</v>
      </c>
      <c r="H136" s="325">
        <v>22</v>
      </c>
      <c r="I136" s="325">
        <v>112013040</v>
      </c>
      <c r="J136" s="1393">
        <f t="shared" si="44"/>
        <v>63</v>
      </c>
      <c r="M136" s="664" t="s">
        <v>628</v>
      </c>
      <c r="N136" s="324">
        <v>4</v>
      </c>
      <c r="O136" s="325">
        <v>112013222</v>
      </c>
      <c r="P136" s="1392">
        <f t="shared" si="45"/>
        <v>70</v>
      </c>
      <c r="S136" s="294"/>
      <c r="U136" s="618"/>
      <c r="X136" s="294"/>
      <c r="Z136" s="618"/>
      <c r="AE136" s="618"/>
      <c r="AO136" s="618"/>
      <c r="AT136" s="618"/>
      <c r="AZ136" s="618"/>
      <c r="BE136" s="618"/>
      <c r="BF136" s="618"/>
      <c r="BG136" s="553"/>
      <c r="BH136" s="294"/>
      <c r="BI136" s="618"/>
      <c r="BJ136" s="618"/>
      <c r="BK136" s="618"/>
      <c r="BL136" s="553"/>
      <c r="BM136" s="618"/>
      <c r="BN136" s="618"/>
      <c r="BO136" s="618"/>
    </row>
    <row r="137" spans="1:67" ht="13" hidden="1">
      <c r="D137" s="618"/>
      <c r="G137" s="323" t="s">
        <v>111</v>
      </c>
      <c r="H137" s="325">
        <v>20</v>
      </c>
      <c r="I137" s="325">
        <v>112013125</v>
      </c>
      <c r="J137" s="1393" t="e">
        <f t="shared" si="44"/>
        <v>#N/A</v>
      </c>
      <c r="M137" s="664" t="s">
        <v>567</v>
      </c>
      <c r="N137" s="324">
        <v>31</v>
      </c>
      <c r="O137" s="325">
        <v>112014502</v>
      </c>
      <c r="P137" s="1392">
        <f t="shared" si="45"/>
        <v>69</v>
      </c>
      <c r="S137" s="294"/>
      <c r="U137" s="618"/>
      <c r="X137" s="294"/>
      <c r="Z137" s="618"/>
      <c r="AE137" s="618"/>
      <c r="AO137" s="618"/>
      <c r="AT137" s="618"/>
      <c r="AZ137" s="618"/>
      <c r="BE137" s="618"/>
      <c r="BF137" s="618"/>
      <c r="BG137" s="553"/>
      <c r="BH137" s="294"/>
      <c r="BI137" s="618"/>
      <c r="BJ137" s="618"/>
      <c r="BK137" s="618"/>
      <c r="BL137" s="553"/>
      <c r="BM137" s="618"/>
      <c r="BN137" s="618"/>
      <c r="BO137" s="618"/>
    </row>
    <row r="138" spans="1:67" ht="13" hidden="1">
      <c r="D138" s="618"/>
      <c r="G138" s="323" t="s">
        <v>212</v>
      </c>
      <c r="H138" s="325">
        <v>1</v>
      </c>
      <c r="I138" s="325">
        <v>112011349</v>
      </c>
      <c r="J138" s="1393">
        <f t="shared" si="44"/>
        <v>71</v>
      </c>
      <c r="M138" s="664" t="s">
        <v>652</v>
      </c>
      <c r="N138" s="324">
        <v>1</v>
      </c>
      <c r="O138" s="325">
        <v>112011118</v>
      </c>
      <c r="P138" s="1392">
        <f t="shared" si="45"/>
        <v>71</v>
      </c>
      <c r="S138" s="294"/>
      <c r="U138" s="618"/>
      <c r="X138" s="294"/>
      <c r="Z138" s="618"/>
      <c r="AE138" s="618"/>
      <c r="AO138" s="618"/>
      <c r="AT138" s="618"/>
      <c r="AZ138" s="618"/>
      <c r="BE138" s="618"/>
      <c r="BF138" s="618"/>
      <c r="BG138" s="553"/>
      <c r="BH138" s="294"/>
      <c r="BI138" s="618"/>
      <c r="BJ138" s="618"/>
      <c r="BK138" s="618"/>
      <c r="BL138" s="553"/>
      <c r="BM138" s="618"/>
      <c r="BN138" s="618"/>
      <c r="BO138" s="618"/>
    </row>
    <row r="139" spans="1:67" ht="13" hidden="1">
      <c r="D139" s="618"/>
      <c r="G139" s="323" t="s">
        <v>123</v>
      </c>
      <c r="H139" s="325">
        <v>22</v>
      </c>
      <c r="I139" s="325">
        <v>112013981</v>
      </c>
      <c r="J139" s="1393">
        <f t="shared" si="44"/>
        <v>71</v>
      </c>
      <c r="M139" s="664" t="s">
        <v>603</v>
      </c>
      <c r="N139" s="324">
        <v>7</v>
      </c>
      <c r="O139" s="325">
        <v>112014171</v>
      </c>
      <c r="P139" s="1392">
        <f t="shared" si="45"/>
        <v>70</v>
      </c>
      <c r="S139" s="294"/>
      <c r="U139" s="618"/>
      <c r="X139" s="294"/>
      <c r="Z139" s="618"/>
      <c r="AE139" s="618"/>
      <c r="AO139" s="618"/>
      <c r="AT139" s="618"/>
      <c r="AZ139" s="618"/>
      <c r="BE139" s="618"/>
      <c r="BF139" s="618"/>
      <c r="BG139" s="553"/>
      <c r="BH139" s="294"/>
      <c r="BI139" s="618"/>
      <c r="BJ139" s="618"/>
      <c r="BK139" s="618"/>
      <c r="BL139" s="553"/>
      <c r="BM139" s="618"/>
      <c r="BN139" s="618"/>
      <c r="BO139" s="618"/>
    </row>
    <row r="140" spans="1:67" ht="13" hidden="1">
      <c r="D140" s="618"/>
      <c r="G140" s="323" t="s">
        <v>104</v>
      </c>
      <c r="H140" s="325">
        <v>7</v>
      </c>
      <c r="I140" s="325">
        <v>112014659</v>
      </c>
      <c r="J140" s="1393">
        <f t="shared" si="44"/>
        <v>62</v>
      </c>
      <c r="M140" s="664" t="s">
        <v>604</v>
      </c>
      <c r="N140" s="324">
        <v>7</v>
      </c>
      <c r="O140" s="325">
        <v>112010947</v>
      </c>
      <c r="P140" s="1392">
        <f t="shared" si="45"/>
        <v>70</v>
      </c>
      <c r="S140" s="294"/>
      <c r="U140" s="618"/>
      <c r="X140" s="294"/>
      <c r="Z140" s="618"/>
      <c r="AE140" s="618"/>
      <c r="AO140" s="618"/>
      <c r="AT140" s="618"/>
      <c r="AZ140" s="618"/>
      <c r="BE140" s="618"/>
      <c r="BF140" s="618"/>
      <c r="BG140" s="553"/>
      <c r="BH140" s="294"/>
      <c r="BI140" s="618"/>
      <c r="BJ140" s="618"/>
      <c r="BK140" s="618"/>
      <c r="BL140" s="553"/>
      <c r="BM140" s="618"/>
      <c r="BN140" s="618"/>
      <c r="BO140" s="618"/>
    </row>
    <row r="141" spans="1:67" ht="13" hidden="1">
      <c r="D141" s="618"/>
      <c r="G141" s="323" t="s">
        <v>213</v>
      </c>
      <c r="H141" s="325">
        <v>1</v>
      </c>
      <c r="I141" s="325">
        <v>112012223</v>
      </c>
      <c r="J141" s="1393">
        <f t="shared" si="44"/>
        <v>71</v>
      </c>
      <c r="M141" s="664" t="s">
        <v>653</v>
      </c>
      <c r="N141" s="324">
        <v>1</v>
      </c>
      <c r="O141" s="325">
        <v>112013758</v>
      </c>
      <c r="P141" s="1392">
        <f t="shared" si="45"/>
        <v>71</v>
      </c>
      <c r="S141" s="294"/>
      <c r="U141" s="618"/>
      <c r="X141" s="294"/>
      <c r="Z141" s="618"/>
      <c r="AE141" s="618"/>
      <c r="AO141" s="618"/>
      <c r="AT141" s="618"/>
      <c r="AZ141" s="618"/>
      <c r="BE141" s="618"/>
      <c r="BF141" s="618"/>
      <c r="BG141" s="553"/>
      <c r="BH141" s="294"/>
      <c r="BI141" s="618"/>
      <c r="BJ141" s="618"/>
      <c r="BK141" s="618"/>
      <c r="BL141" s="553"/>
      <c r="BM141" s="618"/>
      <c r="BN141" s="618"/>
      <c r="BO141" s="618"/>
    </row>
    <row r="142" spans="1:67" ht="13" hidden="1">
      <c r="D142" s="618"/>
      <c r="G142" s="325" t="s">
        <v>214</v>
      </c>
      <c r="H142" s="325">
        <v>1</v>
      </c>
      <c r="I142" s="325">
        <v>112013263</v>
      </c>
      <c r="J142" s="1393">
        <f t="shared" si="44"/>
        <v>71</v>
      </c>
      <c r="M142" s="664" t="s">
        <v>654</v>
      </c>
      <c r="N142" s="324">
        <v>1</v>
      </c>
      <c r="O142" s="325">
        <v>112012868</v>
      </c>
      <c r="P142" s="1392">
        <f t="shared" si="45"/>
        <v>71</v>
      </c>
      <c r="S142" s="294"/>
      <c r="U142" s="618"/>
      <c r="X142" s="294"/>
      <c r="Z142" s="618"/>
      <c r="AE142" s="618"/>
      <c r="AO142" s="618"/>
      <c r="AT142" s="618"/>
      <c r="AZ142" s="618"/>
      <c r="BE142" s="618"/>
      <c r="BF142" s="618"/>
      <c r="BG142" s="553"/>
      <c r="BH142" s="294"/>
      <c r="BI142" s="618"/>
      <c r="BJ142" s="618"/>
      <c r="BK142" s="618"/>
      <c r="BL142" s="553"/>
      <c r="BM142" s="618"/>
      <c r="BN142" s="618"/>
      <c r="BO142" s="618"/>
    </row>
    <row r="143" spans="1:67" ht="13" hidden="1">
      <c r="D143" s="618"/>
      <c r="G143" s="325" t="s">
        <v>167</v>
      </c>
      <c r="H143" s="325">
        <v>4</v>
      </c>
      <c r="I143" s="325">
        <v>112014073</v>
      </c>
      <c r="J143" s="1393">
        <f t="shared" si="44"/>
        <v>70</v>
      </c>
      <c r="M143" s="664" t="s">
        <v>568</v>
      </c>
      <c r="N143" s="324">
        <v>31</v>
      </c>
      <c r="O143" s="325">
        <v>112014515</v>
      </c>
      <c r="P143" s="1392">
        <f t="shared" si="45"/>
        <v>69</v>
      </c>
      <c r="S143" s="294"/>
      <c r="U143" s="618"/>
      <c r="X143" s="294"/>
      <c r="Z143" s="618"/>
      <c r="AE143" s="618"/>
      <c r="AO143" s="618"/>
      <c r="AT143" s="618"/>
      <c r="AZ143" s="618"/>
      <c r="BE143" s="618"/>
      <c r="BF143" s="618"/>
      <c r="BG143" s="553"/>
      <c r="BH143" s="294"/>
      <c r="BI143" s="618"/>
      <c r="BJ143" s="618"/>
      <c r="BK143" s="618"/>
      <c r="BL143" s="553"/>
      <c r="BM143" s="618"/>
      <c r="BN143" s="618"/>
      <c r="BO143" s="618"/>
    </row>
    <row r="144" spans="1:67" ht="13" hidden="1">
      <c r="D144" s="618"/>
      <c r="G144" s="325" t="s">
        <v>168</v>
      </c>
      <c r="H144" s="325">
        <v>4</v>
      </c>
      <c r="I144" s="325">
        <v>112014137</v>
      </c>
      <c r="J144" s="1393">
        <f t="shared" si="44"/>
        <v>70</v>
      </c>
      <c r="M144" s="664" t="s">
        <v>605</v>
      </c>
      <c r="N144" s="324">
        <v>7</v>
      </c>
      <c r="O144" s="325">
        <v>112014407</v>
      </c>
      <c r="P144" s="1392">
        <f t="shared" si="45"/>
        <v>70</v>
      </c>
      <c r="S144" s="294"/>
      <c r="U144" s="618"/>
      <c r="X144" s="294"/>
      <c r="Z144" s="618"/>
      <c r="AE144" s="618"/>
      <c r="AO144" s="618"/>
      <c r="AT144" s="618"/>
      <c r="AZ144" s="618"/>
      <c r="BE144" s="618"/>
      <c r="BF144" s="618"/>
      <c r="BG144" s="553"/>
      <c r="BH144" s="294"/>
      <c r="BI144" s="618"/>
      <c r="BJ144" s="618"/>
      <c r="BK144" s="618"/>
      <c r="BL144" s="553"/>
      <c r="BM144" s="618"/>
      <c r="BN144" s="618"/>
      <c r="BO144" s="618"/>
    </row>
    <row r="145" spans="4:67" ht="13" hidden="1">
      <c r="D145" s="618"/>
      <c r="G145" s="325" t="s">
        <v>226</v>
      </c>
      <c r="H145" s="325"/>
      <c r="I145" s="325">
        <v>112013927</v>
      </c>
      <c r="J145" s="1393">
        <f t="shared" si="44"/>
        <v>0</v>
      </c>
      <c r="M145" s="664" t="s">
        <v>553</v>
      </c>
      <c r="N145" s="324">
        <v>8</v>
      </c>
      <c r="O145" s="325">
        <v>112014329</v>
      </c>
      <c r="P145" s="1392">
        <f t="shared" si="45"/>
        <v>70</v>
      </c>
      <c r="S145" s="294"/>
      <c r="U145" s="618"/>
      <c r="X145" s="294"/>
      <c r="Z145" s="618"/>
      <c r="AE145" s="618"/>
      <c r="AO145" s="618"/>
      <c r="AT145" s="618"/>
      <c r="AZ145" s="618"/>
      <c r="BE145" s="618"/>
      <c r="BF145" s="618"/>
      <c r="BG145" s="553"/>
      <c r="BH145" s="294"/>
      <c r="BI145" s="618"/>
      <c r="BJ145" s="618"/>
      <c r="BK145" s="618"/>
      <c r="BL145" s="553"/>
      <c r="BM145" s="618"/>
      <c r="BN145" s="618"/>
      <c r="BO145" s="618"/>
    </row>
    <row r="146" spans="4:67" ht="13" hidden="1">
      <c r="D146" s="618"/>
      <c r="J146" s="1393" t="e">
        <f t="shared" si="44"/>
        <v>#N/A</v>
      </c>
      <c r="M146" s="664" t="s">
        <v>569</v>
      </c>
      <c r="N146" s="324">
        <v>31</v>
      </c>
      <c r="O146" s="325">
        <v>112014489</v>
      </c>
      <c r="P146" s="1392">
        <f t="shared" si="45"/>
        <v>69</v>
      </c>
      <c r="S146" s="294"/>
      <c r="U146" s="618"/>
      <c r="X146" s="294"/>
      <c r="Z146" s="618"/>
      <c r="AE146" s="618"/>
      <c r="AO146" s="618"/>
      <c r="AT146" s="618"/>
      <c r="AZ146" s="618"/>
      <c r="BE146" s="618"/>
      <c r="BF146" s="618"/>
      <c r="BG146" s="553"/>
      <c r="BH146" s="294"/>
      <c r="BI146" s="618"/>
      <c r="BJ146" s="618"/>
      <c r="BK146" s="618"/>
      <c r="BL146" s="553"/>
      <c r="BM146" s="618"/>
      <c r="BN146" s="618"/>
      <c r="BO146" s="618"/>
    </row>
    <row r="147" spans="4:67" ht="13" hidden="1">
      <c r="D147" s="618"/>
      <c r="J147" s="1393" t="e">
        <f t="shared" si="44"/>
        <v>#N/A</v>
      </c>
      <c r="M147" s="664" t="s">
        <v>606</v>
      </c>
      <c r="N147" s="324">
        <v>7</v>
      </c>
      <c r="O147" s="325">
        <v>112014485</v>
      </c>
      <c r="P147" s="1392">
        <f t="shared" si="45"/>
        <v>70</v>
      </c>
      <c r="S147" s="294"/>
      <c r="U147" s="618"/>
      <c r="X147" s="294"/>
      <c r="Z147" s="618"/>
      <c r="AE147" s="618"/>
      <c r="AO147" s="618"/>
      <c r="AT147" s="618"/>
      <c r="AZ147" s="618"/>
      <c r="BE147" s="618"/>
      <c r="BF147" s="618"/>
      <c r="BG147" s="553"/>
      <c r="BH147" s="294"/>
      <c r="BI147" s="618"/>
      <c r="BJ147" s="618"/>
      <c r="BK147" s="618"/>
      <c r="BL147" s="553"/>
      <c r="BM147" s="618"/>
      <c r="BN147" s="618"/>
      <c r="BO147" s="618"/>
    </row>
    <row r="148" spans="4:67" ht="13" hidden="1">
      <c r="D148" s="618"/>
      <c r="J148" s="1393" t="e">
        <f t="shared" si="44"/>
        <v>#N/A</v>
      </c>
      <c r="M148" s="325" t="s">
        <v>633</v>
      </c>
      <c r="N148" s="324">
        <v>4</v>
      </c>
      <c r="O148" s="325">
        <v>112013673</v>
      </c>
      <c r="P148" s="1392">
        <f t="shared" si="45"/>
        <v>70</v>
      </c>
      <c r="S148" s="294"/>
      <c r="U148" s="618"/>
      <c r="X148" s="294"/>
      <c r="Z148" s="618"/>
      <c r="AE148" s="618"/>
      <c r="AO148" s="618"/>
      <c r="AT148" s="618"/>
      <c r="AZ148" s="618"/>
      <c r="BE148" s="618"/>
      <c r="BF148" s="618"/>
      <c r="BG148" s="553"/>
      <c r="BH148" s="294"/>
      <c r="BI148" s="618"/>
      <c r="BJ148" s="618"/>
      <c r="BK148" s="618"/>
      <c r="BL148" s="553"/>
      <c r="BM148" s="618"/>
      <c r="BN148" s="618"/>
      <c r="BO148" s="618"/>
    </row>
    <row r="149" spans="4:67" ht="13" hidden="1">
      <c r="D149" s="618"/>
      <c r="J149" s="1393" t="e">
        <f t="shared" si="44"/>
        <v>#N/A</v>
      </c>
      <c r="M149" s="325" t="s">
        <v>607</v>
      </c>
      <c r="N149" s="324">
        <v>7</v>
      </c>
      <c r="O149" s="325">
        <v>112014409</v>
      </c>
      <c r="P149" s="1392">
        <f t="shared" si="45"/>
        <v>70</v>
      </c>
      <c r="S149" s="294"/>
      <c r="U149" s="618"/>
      <c r="X149" s="294"/>
      <c r="Z149" s="618"/>
      <c r="AE149" s="618"/>
      <c r="AO149" s="618"/>
      <c r="AT149" s="618"/>
      <c r="AZ149" s="618"/>
      <c r="BE149" s="618"/>
      <c r="BF149" s="618"/>
      <c r="BG149" s="553"/>
      <c r="BH149" s="294"/>
      <c r="BI149" s="618"/>
      <c r="BJ149" s="618"/>
      <c r="BK149" s="618"/>
      <c r="BL149" s="553"/>
      <c r="BM149" s="618"/>
      <c r="BN149" s="618"/>
      <c r="BO149" s="618"/>
    </row>
    <row r="150" spans="4:67" ht="13" hidden="1">
      <c r="D150" s="618"/>
      <c r="J150" s="1393" t="e">
        <f t="shared" si="44"/>
        <v>#N/A</v>
      </c>
      <c r="M150" s="325" t="s">
        <v>554</v>
      </c>
      <c r="N150" s="324">
        <v>8</v>
      </c>
      <c r="O150" s="325">
        <v>112014330</v>
      </c>
      <c r="P150" s="1392">
        <f t="shared" si="45"/>
        <v>70</v>
      </c>
      <c r="S150" s="294"/>
      <c r="U150" s="618"/>
      <c r="X150" s="294"/>
      <c r="Z150" s="618"/>
      <c r="AE150" s="618"/>
      <c r="AO150" s="618"/>
      <c r="AT150" s="618"/>
      <c r="AZ150" s="618"/>
      <c r="BE150" s="618"/>
      <c r="BF150" s="618"/>
      <c r="BG150" s="553"/>
      <c r="BH150" s="294"/>
      <c r="BI150" s="618"/>
      <c r="BJ150" s="618"/>
      <c r="BK150" s="618"/>
      <c r="BL150" s="553"/>
      <c r="BM150" s="618"/>
      <c r="BN150" s="618"/>
      <c r="BO150" s="618"/>
    </row>
    <row r="151" spans="4:67" ht="13" hidden="1">
      <c r="D151" s="618"/>
      <c r="J151" s="1393" t="e">
        <f t="shared" si="44"/>
        <v>#N/A</v>
      </c>
      <c r="M151" s="325" t="s">
        <v>619</v>
      </c>
      <c r="N151" s="324">
        <v>22</v>
      </c>
      <c r="O151" s="325">
        <v>112013254</v>
      </c>
      <c r="P151" s="1392">
        <f t="shared" si="45"/>
        <v>71</v>
      </c>
      <c r="S151" s="294"/>
      <c r="U151" s="618"/>
      <c r="X151" s="294"/>
      <c r="Z151" s="618"/>
      <c r="AE151" s="618"/>
      <c r="AO151" s="618"/>
      <c r="AT151" s="618"/>
      <c r="AZ151" s="618"/>
      <c r="BE151" s="618"/>
      <c r="BF151" s="618"/>
      <c r="BG151" s="553"/>
      <c r="BH151" s="294"/>
      <c r="BI151" s="618"/>
      <c r="BJ151" s="618"/>
      <c r="BK151" s="618"/>
      <c r="BL151" s="553"/>
      <c r="BM151" s="618"/>
      <c r="BN151" s="618"/>
      <c r="BO151" s="618"/>
    </row>
    <row r="152" spans="4:67" ht="13" hidden="1">
      <c r="D152" s="618"/>
      <c r="J152" s="1393" t="e">
        <f t="shared" si="44"/>
        <v>#N/A</v>
      </c>
      <c r="M152" s="325" t="s">
        <v>608</v>
      </c>
      <c r="N152" s="324">
        <v>7</v>
      </c>
      <c r="O152" s="325">
        <v>112014424</v>
      </c>
      <c r="P152" s="1392">
        <f t="shared" si="45"/>
        <v>70</v>
      </c>
      <c r="S152" s="294"/>
      <c r="U152" s="618"/>
      <c r="X152" s="294"/>
      <c r="Z152" s="618"/>
      <c r="AE152" s="618"/>
      <c r="AO152" s="618"/>
      <c r="AT152" s="618"/>
      <c r="AZ152" s="618"/>
      <c r="BE152" s="618"/>
      <c r="BF152" s="618"/>
      <c r="BG152" s="553"/>
      <c r="BH152" s="294"/>
      <c r="BI152" s="618"/>
      <c r="BJ152" s="618"/>
      <c r="BK152" s="618"/>
      <c r="BL152" s="553"/>
      <c r="BM152" s="618"/>
      <c r="BN152" s="618"/>
      <c r="BO152" s="618"/>
    </row>
    <row r="153" spans="4:67" ht="13" hidden="1">
      <c r="D153" s="618"/>
      <c r="J153" s="1393" t="e">
        <f t="shared" si="44"/>
        <v>#N/A</v>
      </c>
      <c r="M153" s="325" t="s">
        <v>550</v>
      </c>
      <c r="N153" s="324">
        <v>12</v>
      </c>
      <c r="O153" s="325">
        <v>112013903</v>
      </c>
      <c r="P153" s="1392">
        <f t="shared" si="45"/>
        <v>71</v>
      </c>
      <c r="S153" s="294"/>
      <c r="U153" s="618"/>
      <c r="X153" s="294"/>
      <c r="Z153" s="618"/>
      <c r="AE153" s="618"/>
      <c r="AO153" s="618"/>
      <c r="AT153" s="618"/>
      <c r="AZ153" s="618"/>
      <c r="BE153" s="618"/>
      <c r="BF153" s="618"/>
      <c r="BG153" s="553"/>
      <c r="BH153" s="294"/>
      <c r="BI153" s="618"/>
      <c r="BJ153" s="618"/>
      <c r="BK153" s="618"/>
      <c r="BL153" s="553"/>
      <c r="BM153" s="618"/>
      <c r="BN153" s="618"/>
      <c r="BO153" s="618"/>
    </row>
    <row r="154" spans="4:67" ht="13" hidden="1">
      <c r="D154" s="618"/>
      <c r="J154" s="1428"/>
      <c r="N154" s="294"/>
      <c r="P154" s="1392" t="e">
        <f t="shared" si="45"/>
        <v>#N/A</v>
      </c>
      <c r="S154" s="294"/>
      <c r="U154" s="618"/>
      <c r="X154" s="294"/>
      <c r="Z154" s="618"/>
      <c r="AE154" s="618"/>
      <c r="AO154" s="618"/>
      <c r="AT154" s="618"/>
      <c r="AZ154" s="618"/>
      <c r="BE154" s="618"/>
      <c r="BF154" s="618"/>
      <c r="BG154" s="553"/>
      <c r="BH154" s="294"/>
      <c r="BI154" s="618"/>
      <c r="BJ154" s="618"/>
      <c r="BK154" s="618"/>
      <c r="BL154" s="553"/>
      <c r="BM154" s="618"/>
      <c r="BN154" s="618"/>
      <c r="BO154" s="618"/>
    </row>
    <row r="155" spans="4:67" ht="13" hidden="1">
      <c r="D155" s="618"/>
      <c r="J155" s="1428"/>
      <c r="N155" s="294"/>
      <c r="P155" s="618"/>
      <c r="S155" s="294"/>
      <c r="U155" s="618"/>
      <c r="X155" s="294"/>
      <c r="Z155" s="618"/>
      <c r="AE155" s="618"/>
      <c r="AO155" s="618"/>
      <c r="AT155" s="618"/>
      <c r="AZ155" s="618"/>
      <c r="BE155" s="618"/>
      <c r="BF155" s="618"/>
      <c r="BG155" s="553"/>
      <c r="BH155" s="294"/>
      <c r="BI155" s="618"/>
      <c r="BJ155" s="618"/>
      <c r="BK155" s="618"/>
      <c r="BL155" s="553"/>
      <c r="BM155" s="618"/>
      <c r="BN155" s="618"/>
      <c r="BO155" s="618"/>
    </row>
    <row r="156" spans="4:67" ht="13" hidden="1">
      <c r="D156" s="618"/>
      <c r="J156" s="1428"/>
      <c r="N156" s="294"/>
      <c r="P156" s="618"/>
      <c r="S156" s="294"/>
      <c r="U156" s="618"/>
      <c r="X156" s="294"/>
      <c r="Z156" s="618"/>
      <c r="AE156" s="618"/>
      <c r="AO156" s="618"/>
      <c r="AT156" s="618"/>
      <c r="AZ156" s="618"/>
      <c r="BE156" s="618"/>
      <c r="BF156" s="618"/>
      <c r="BG156" s="553"/>
      <c r="BH156" s="294"/>
      <c r="BI156" s="618"/>
      <c r="BJ156" s="618"/>
      <c r="BK156" s="618"/>
      <c r="BL156" s="553"/>
      <c r="BM156" s="618"/>
      <c r="BN156" s="618"/>
      <c r="BO156" s="618"/>
    </row>
    <row r="157" spans="4:67" ht="13" hidden="1">
      <c r="D157" s="618"/>
      <c r="J157" s="1428"/>
      <c r="N157" s="294"/>
      <c r="P157" s="618"/>
      <c r="S157" s="294"/>
      <c r="U157" s="618"/>
      <c r="X157" s="294"/>
      <c r="Z157" s="618"/>
      <c r="AE157" s="618"/>
      <c r="AO157" s="618"/>
      <c r="AT157" s="618"/>
      <c r="AZ157" s="618"/>
      <c r="BE157" s="618"/>
      <c r="BF157" s="618"/>
      <c r="BG157" s="553"/>
      <c r="BH157" s="294"/>
      <c r="BI157" s="618"/>
      <c r="BJ157" s="618"/>
      <c r="BK157" s="618"/>
      <c r="BL157" s="553"/>
      <c r="BM157" s="618"/>
      <c r="BN157" s="618"/>
      <c r="BO157" s="618"/>
    </row>
    <row r="158" spans="4:67" ht="13" hidden="1">
      <c r="D158" s="618"/>
      <c r="J158" s="1428"/>
      <c r="N158" s="294"/>
      <c r="P158" s="618"/>
      <c r="S158" s="294"/>
      <c r="U158" s="618"/>
      <c r="X158" s="294"/>
      <c r="Z158" s="618"/>
      <c r="AE158" s="618"/>
      <c r="AO158" s="618"/>
      <c r="AT158" s="618"/>
      <c r="AZ158" s="618"/>
      <c r="BE158" s="618"/>
      <c r="BF158" s="618"/>
      <c r="BG158" s="553"/>
      <c r="BH158" s="294"/>
      <c r="BI158" s="618"/>
      <c r="BJ158" s="618"/>
      <c r="BK158" s="618"/>
      <c r="BL158" s="553"/>
      <c r="BM158" s="618"/>
      <c r="BN158" s="618"/>
      <c r="BO158" s="618"/>
    </row>
    <row r="159" spans="4:67" ht="13" hidden="1">
      <c r="D159" s="618"/>
      <c r="J159" s="1428"/>
      <c r="N159" s="294"/>
      <c r="P159" s="618"/>
      <c r="S159" s="294"/>
      <c r="U159" s="618"/>
      <c r="X159" s="294"/>
      <c r="Z159" s="618"/>
      <c r="AE159" s="618"/>
      <c r="AO159" s="618"/>
      <c r="AT159" s="618"/>
      <c r="AZ159" s="618"/>
      <c r="BE159" s="618"/>
      <c r="BF159" s="618"/>
      <c r="BG159" s="553"/>
      <c r="BH159" s="294"/>
      <c r="BI159" s="618"/>
      <c r="BJ159" s="618"/>
      <c r="BK159" s="618"/>
      <c r="BL159" s="553"/>
      <c r="BM159" s="618"/>
      <c r="BN159" s="618"/>
      <c r="BO159" s="618"/>
    </row>
    <row r="160" spans="4:67" ht="13" hidden="1">
      <c r="D160" s="618"/>
      <c r="J160" s="1428"/>
      <c r="N160" s="294"/>
      <c r="P160" s="618"/>
      <c r="S160" s="294"/>
      <c r="U160" s="618"/>
      <c r="X160" s="294"/>
      <c r="Z160" s="618"/>
      <c r="AE160" s="618"/>
      <c r="AO160" s="618"/>
      <c r="AT160" s="618"/>
      <c r="AZ160" s="618"/>
      <c r="BE160" s="618"/>
      <c r="BF160" s="618"/>
      <c r="BG160" s="553"/>
      <c r="BH160" s="294"/>
      <c r="BI160" s="618"/>
      <c r="BJ160" s="618"/>
      <c r="BK160" s="618"/>
      <c r="BL160" s="553"/>
      <c r="BM160" s="618"/>
      <c r="BN160" s="618"/>
      <c r="BO160" s="618"/>
    </row>
    <row r="161" spans="1:67" ht="13" hidden="1">
      <c r="D161" s="618"/>
      <c r="J161" s="1428"/>
      <c r="N161" s="294"/>
      <c r="P161" s="618"/>
      <c r="S161" s="294"/>
      <c r="U161" s="618"/>
      <c r="X161" s="294"/>
      <c r="Z161" s="618"/>
      <c r="AE161" s="618"/>
      <c r="AO161" s="618"/>
      <c r="AT161" s="618"/>
      <c r="AZ161" s="618"/>
      <c r="BE161" s="618"/>
      <c r="BF161" s="618"/>
      <c r="BG161" s="553"/>
      <c r="BH161" s="294"/>
      <c r="BI161" s="618"/>
      <c r="BJ161" s="618"/>
      <c r="BK161" s="618"/>
      <c r="BL161" s="553"/>
      <c r="BM161" s="618"/>
      <c r="BN161" s="618"/>
      <c r="BO161" s="618"/>
    </row>
    <row r="162" spans="1:67" ht="13" hidden="1">
      <c r="D162" s="618"/>
      <c r="J162" s="1428"/>
      <c r="N162" s="294"/>
      <c r="P162" s="618"/>
      <c r="S162" s="294"/>
      <c r="U162" s="618"/>
      <c r="X162" s="294"/>
      <c r="Z162" s="618"/>
      <c r="AE162" s="618"/>
      <c r="AO162" s="618"/>
      <c r="AT162" s="618"/>
      <c r="AZ162" s="618"/>
      <c r="BE162" s="618"/>
      <c r="BF162" s="618"/>
      <c r="BG162" s="553"/>
      <c r="BH162" s="294"/>
      <c r="BI162" s="618"/>
      <c r="BJ162" s="618"/>
      <c r="BK162" s="618"/>
      <c r="BL162" s="553"/>
      <c r="BM162" s="618"/>
      <c r="BN162" s="618"/>
      <c r="BO162" s="618"/>
    </row>
    <row r="163" spans="1:67" ht="13" hidden="1">
      <c r="D163" s="618"/>
      <c r="J163" s="1428"/>
      <c r="N163" s="294"/>
      <c r="P163" s="618"/>
      <c r="S163" s="294"/>
      <c r="U163" s="618"/>
      <c r="X163" s="294"/>
      <c r="Z163" s="618"/>
      <c r="AE163" s="618"/>
      <c r="AO163" s="618"/>
      <c r="AT163" s="618"/>
      <c r="AZ163" s="618"/>
      <c r="BE163" s="618"/>
      <c r="BF163" s="618"/>
      <c r="BG163" s="553"/>
      <c r="BH163" s="294"/>
      <c r="BI163" s="618"/>
      <c r="BJ163" s="618"/>
      <c r="BK163" s="618"/>
      <c r="BL163" s="553"/>
      <c r="BM163" s="618"/>
      <c r="BN163" s="618"/>
      <c r="BO163" s="618"/>
    </row>
    <row r="164" spans="1:67" ht="13" hidden="1">
      <c r="D164" s="618"/>
      <c r="J164" s="1428"/>
      <c r="N164" s="294"/>
      <c r="P164" s="618"/>
      <c r="S164" s="294"/>
      <c r="U164" s="618"/>
      <c r="X164" s="294"/>
      <c r="Z164" s="618"/>
      <c r="AE164" s="618"/>
      <c r="AO164" s="618"/>
      <c r="AT164" s="618"/>
      <c r="AZ164" s="618"/>
      <c r="BE164" s="618"/>
      <c r="BF164" s="618"/>
      <c r="BG164" s="553"/>
      <c r="BH164" s="294"/>
      <c r="BI164" s="618"/>
      <c r="BJ164" s="618"/>
      <c r="BK164" s="618"/>
      <c r="BL164" s="553"/>
      <c r="BM164" s="618"/>
      <c r="BN164" s="618"/>
      <c r="BO164" s="618"/>
    </row>
    <row r="165" spans="1:67" ht="13" hidden="1">
      <c r="D165" s="618"/>
      <c r="J165" s="1428"/>
      <c r="N165" s="294"/>
      <c r="P165" s="618"/>
      <c r="S165" s="294"/>
      <c r="U165" s="618"/>
      <c r="X165" s="294"/>
      <c r="Z165" s="618"/>
      <c r="AE165" s="618"/>
      <c r="AO165" s="618"/>
      <c r="AT165" s="618"/>
      <c r="AZ165" s="618"/>
      <c r="BE165" s="618"/>
      <c r="BF165" s="618"/>
      <c r="BG165" s="553"/>
      <c r="BH165" s="294"/>
      <c r="BI165" s="618"/>
      <c r="BJ165" s="618"/>
      <c r="BK165" s="618"/>
      <c r="BL165" s="553"/>
      <c r="BM165" s="618"/>
      <c r="BN165" s="618"/>
      <c r="BO165" s="618"/>
    </row>
    <row r="166" spans="1:67" ht="13" hidden="1">
      <c r="D166" s="618"/>
      <c r="J166" s="1428"/>
      <c r="N166" s="294"/>
      <c r="P166" s="618"/>
      <c r="S166" s="294"/>
      <c r="U166" s="618"/>
      <c r="X166" s="294"/>
      <c r="Z166" s="618"/>
      <c r="AE166" s="618"/>
      <c r="AO166" s="618"/>
      <c r="AT166" s="618"/>
      <c r="AZ166" s="618"/>
      <c r="BE166" s="618"/>
      <c r="BF166" s="618"/>
      <c r="BG166" s="553"/>
      <c r="BH166" s="294"/>
      <c r="BI166" s="618"/>
      <c r="BJ166" s="618"/>
      <c r="BK166" s="618"/>
      <c r="BL166" s="553"/>
      <c r="BM166" s="618"/>
      <c r="BN166" s="618"/>
      <c r="BO166" s="618"/>
    </row>
    <row r="167" spans="1:67" ht="13" hidden="1">
      <c r="D167" s="618"/>
      <c r="J167" s="1428"/>
      <c r="N167" s="294"/>
      <c r="P167" s="618"/>
      <c r="S167" s="294"/>
      <c r="U167" s="618"/>
      <c r="X167" s="294"/>
      <c r="Z167" s="618"/>
      <c r="AE167" s="618"/>
      <c r="AO167" s="618"/>
      <c r="AT167" s="618"/>
      <c r="AZ167" s="618"/>
      <c r="BE167" s="618"/>
      <c r="BF167" s="618"/>
      <c r="BG167" s="553"/>
      <c r="BH167" s="294"/>
      <c r="BI167" s="618"/>
      <c r="BJ167" s="618"/>
      <c r="BK167" s="618"/>
      <c r="BL167" s="553"/>
      <c r="BM167" s="618"/>
      <c r="BN167" s="618"/>
      <c r="BO167" s="618"/>
    </row>
    <row r="168" spans="1:67" ht="13">
      <c r="D168" s="618"/>
      <c r="J168" s="1428"/>
      <c r="N168" s="294"/>
      <c r="P168" s="618"/>
      <c r="S168" s="294"/>
      <c r="U168" s="618"/>
      <c r="X168" s="294"/>
      <c r="Z168" s="618"/>
      <c r="AE168" s="618"/>
      <c r="AO168" s="618"/>
      <c r="AT168" s="618"/>
      <c r="AZ168" s="618"/>
      <c r="BE168" s="618"/>
      <c r="BF168" s="618"/>
      <c r="BG168" s="553"/>
      <c r="BH168" s="294"/>
      <c r="BI168" s="618"/>
      <c r="BJ168" s="618"/>
      <c r="BK168" s="618"/>
      <c r="BL168" s="553"/>
      <c r="BM168" s="618"/>
      <c r="BN168" s="618"/>
      <c r="BO168" s="618"/>
    </row>
    <row r="169" spans="1:67" ht="13">
      <c r="D169" s="618"/>
      <c r="J169" s="1428"/>
      <c r="N169" s="294"/>
      <c r="P169" s="618"/>
      <c r="S169" s="294"/>
      <c r="U169" s="618"/>
      <c r="X169" s="294"/>
      <c r="Z169" s="618"/>
      <c r="AE169" s="618"/>
      <c r="AO169" s="618"/>
      <c r="AT169" s="618"/>
      <c r="AZ169" s="618"/>
      <c r="BE169" s="618"/>
      <c r="BF169" s="618"/>
      <c r="BG169" s="553"/>
      <c r="BH169" s="294"/>
      <c r="BI169" s="618"/>
      <c r="BJ169" s="618"/>
      <c r="BK169" s="618"/>
      <c r="BL169" s="553"/>
      <c r="BM169" s="618"/>
      <c r="BN169" s="618"/>
      <c r="BO169" s="618"/>
    </row>
    <row r="170" spans="1:67" ht="13" hidden="1">
      <c r="A170" s="1429"/>
      <c r="B170" s="1429"/>
      <c r="C170" s="1429"/>
      <c r="D170" s="1430"/>
      <c r="E170" s="1429"/>
      <c r="F170" s="1429"/>
      <c r="G170" s="1429"/>
      <c r="H170" s="1429"/>
      <c r="I170" s="1429"/>
      <c r="J170" s="1431"/>
      <c r="K170" s="1429"/>
      <c r="L170" s="1429"/>
      <c r="M170" s="1429"/>
      <c r="N170" s="1432"/>
      <c r="O170" s="1429"/>
      <c r="P170" s="1430"/>
      <c r="Q170" s="1429"/>
      <c r="R170" s="1429"/>
      <c r="S170" s="1432"/>
      <c r="T170" s="1429"/>
      <c r="U170" s="1430"/>
      <c r="V170" s="1429"/>
      <c r="W170" s="1429"/>
      <c r="X170" s="1432"/>
      <c r="Y170" s="1429"/>
      <c r="Z170" s="1430"/>
      <c r="AA170" s="1429"/>
      <c r="AB170" s="1429"/>
      <c r="AC170" s="1429"/>
      <c r="AD170" s="1429"/>
      <c r="AE170" s="1430"/>
      <c r="AF170" s="1429"/>
      <c r="AG170" s="1429"/>
      <c r="AH170" s="1429"/>
      <c r="AI170" s="1429"/>
      <c r="AJ170" s="1429"/>
      <c r="AK170" s="1429"/>
      <c r="AL170" s="1429"/>
      <c r="AM170" s="1429"/>
      <c r="AN170" s="1429"/>
      <c r="AO170" s="1430"/>
      <c r="AP170" s="1429"/>
      <c r="AQ170" s="1429"/>
      <c r="AR170" s="1429"/>
      <c r="AS170" s="1429"/>
      <c r="AT170" s="1430"/>
      <c r="AU170" s="1429"/>
      <c r="AV170" s="1429"/>
      <c r="AW170" s="1429"/>
      <c r="AX170" s="1429"/>
      <c r="AY170" s="1429"/>
      <c r="AZ170" s="1430"/>
      <c r="BA170" s="1429"/>
      <c r="BB170" s="1429"/>
      <c r="BC170" s="1429"/>
      <c r="BD170" s="1429"/>
      <c r="BE170" s="1430"/>
      <c r="BF170" s="1430"/>
      <c r="BG170" s="1433"/>
      <c r="BH170" s="1432"/>
      <c r="BI170" s="1430"/>
      <c r="BJ170" s="1430"/>
      <c r="BK170" s="1430"/>
      <c r="BL170" s="1433"/>
      <c r="BM170" s="1430"/>
      <c r="BN170" s="1430"/>
      <c r="BO170" s="1430"/>
    </row>
    <row r="171" spans="1:67" ht="13" hidden="1">
      <c r="D171" s="618"/>
      <c r="J171" s="1428"/>
      <c r="N171" s="294"/>
      <c r="P171" s="618"/>
      <c r="S171" s="294"/>
      <c r="U171" s="618"/>
      <c r="X171" s="294"/>
      <c r="Z171" s="618"/>
      <c r="AE171" s="618"/>
      <c r="AO171" s="618"/>
      <c r="AT171" s="618"/>
      <c r="AZ171" s="618"/>
      <c r="BE171" s="618"/>
      <c r="BF171" s="618"/>
      <c r="BG171" s="553"/>
      <c r="BH171" s="294"/>
      <c r="BI171" s="618"/>
      <c r="BJ171" s="618"/>
      <c r="BK171" s="618"/>
      <c r="BL171" s="553"/>
      <c r="BM171" s="618"/>
      <c r="BN171" s="618"/>
      <c r="BO171" s="618"/>
    </row>
    <row r="172" spans="1:67" ht="13" hidden="1">
      <c r="A172" s="1391" t="s">
        <v>1542</v>
      </c>
      <c r="B172" s="1381"/>
      <c r="C172" s="1381"/>
      <c r="D172" s="1382"/>
      <c r="G172" s="1434" t="s">
        <v>1543</v>
      </c>
      <c r="H172" s="491"/>
      <c r="I172" s="491"/>
      <c r="J172" s="1384"/>
      <c r="M172" s="1391" t="s">
        <v>1544</v>
      </c>
      <c r="N172" s="1385"/>
      <c r="O172" s="1381"/>
      <c r="P172" s="1382"/>
      <c r="R172" s="1391" t="s">
        <v>1545</v>
      </c>
      <c r="S172" s="1385"/>
      <c r="T172" s="1381"/>
      <c r="U172" s="1382"/>
      <c r="W172" s="1391" t="s">
        <v>1546</v>
      </c>
      <c r="X172" s="1385"/>
      <c r="Y172" s="1381"/>
      <c r="Z172" s="1382"/>
      <c r="AB172" s="1391" t="s">
        <v>1547</v>
      </c>
      <c r="AC172" s="1381"/>
      <c r="AD172" s="1381"/>
      <c r="AE172" s="1382"/>
      <c r="AG172" s="1435" t="s">
        <v>1548</v>
      </c>
      <c r="AH172" s="325"/>
      <c r="AI172" s="325"/>
      <c r="AJ172" s="325"/>
      <c r="AL172" s="1434" t="s">
        <v>1549</v>
      </c>
      <c r="AM172" s="491"/>
      <c r="AN172" s="491"/>
      <c r="AO172" s="1387"/>
      <c r="AQ172" s="1436" t="s">
        <v>1550</v>
      </c>
      <c r="AR172" s="1389"/>
      <c r="AS172" s="1389"/>
      <c r="AT172" s="1390"/>
      <c r="AW172" s="1380" t="s">
        <v>1551</v>
      </c>
      <c r="AX172" s="1381"/>
      <c r="AY172" s="1381"/>
      <c r="AZ172" s="1382"/>
      <c r="BB172" s="1391" t="s">
        <v>1552</v>
      </c>
      <c r="BC172" s="1381"/>
      <c r="BD172" s="1381"/>
      <c r="BE172" s="1382"/>
      <c r="BF172" s="618"/>
      <c r="BG172" s="553"/>
      <c r="BH172" s="294"/>
      <c r="BI172" s="618"/>
      <c r="BJ172" s="618"/>
      <c r="BK172" s="618"/>
      <c r="BL172" s="553"/>
      <c r="BM172" s="618"/>
      <c r="BN172" s="618"/>
      <c r="BO172" s="618"/>
    </row>
    <row r="173" spans="1:67" ht="13" hidden="1">
      <c r="A173" s="664" t="s">
        <v>697</v>
      </c>
      <c r="B173" s="325">
        <v>9</v>
      </c>
      <c r="C173" s="325">
        <v>112013826</v>
      </c>
      <c r="D173" s="1392" t="str">
        <f t="shared" ref="D173:D204" si="47">VLOOKUP(C173,buelafin,13,FALSE)</f>
        <v>A CARA DE PERRO FELIZ SRL</v>
      </c>
      <c r="G173" s="325" t="s">
        <v>125</v>
      </c>
      <c r="H173" s="325">
        <v>1</v>
      </c>
      <c r="I173" s="325">
        <v>112012286</v>
      </c>
      <c r="J173" s="1393" t="str">
        <f t="shared" ref="J173:J204" si="48">VLOOKUP(I173,bassfin,13,FALSE)</f>
        <v>ACOSTA MARIO HECTOR Y LOIZA NESTOR OMAR S.H.</v>
      </c>
      <c r="M173" s="664" t="s">
        <v>516</v>
      </c>
      <c r="N173" s="324">
        <v>8</v>
      </c>
      <c r="O173" s="325">
        <v>112014074</v>
      </c>
      <c r="P173" s="1392" t="str">
        <f t="shared" ref="P173:P204" si="49">VLOOKUP(O173,LAGEFIN,13,FALSE)</f>
        <v>1836 MASCOTAS S.A.</v>
      </c>
      <c r="R173" s="664" t="s">
        <v>288</v>
      </c>
      <c r="S173" s="324">
        <v>20</v>
      </c>
      <c r="T173" s="325">
        <v>112010671</v>
      </c>
      <c r="U173" s="1392" t="str">
        <f t="shared" ref="U173:U204" si="50">VLOOKUP(T173,calofin,9,FALSE)</f>
        <v>ABDALA MARIANO DAVID</v>
      </c>
      <c r="W173" s="664" t="s">
        <v>475</v>
      </c>
      <c r="X173" s="324">
        <v>1</v>
      </c>
      <c r="Y173" s="325">
        <v>112013560</v>
      </c>
      <c r="Z173" s="1392" t="str">
        <f t="shared" ref="Z173:Z204" si="51">VLOOKUP(Y173,RETAMFIN,9,FALSE)</f>
        <v>ABREGO NOELIA GISELLE</v>
      </c>
      <c r="AB173" s="664" t="s">
        <v>958</v>
      </c>
      <c r="AC173" s="325">
        <v>1</v>
      </c>
      <c r="AD173" s="325">
        <v>112013656</v>
      </c>
      <c r="AE173" s="1392" t="e">
        <f t="shared" ref="AE173:AE204" si="52">VLOOKUP(AD173,VARGASFIN,13,FALSE)</f>
        <v>#N/A</v>
      </c>
      <c r="AF173" s="302"/>
      <c r="AG173" s="325" t="s">
        <v>1342</v>
      </c>
      <c r="AH173" s="325">
        <v>1</v>
      </c>
      <c r="AI173" s="325">
        <v>112014362</v>
      </c>
      <c r="AJ173" s="799" t="str">
        <f t="shared" ref="AJ173:AJ204" si="53">VLOOKUP(AI173,MONTENEFIN,9,FALSE)</f>
        <v>1 DE ABRIL S.A</v>
      </c>
      <c r="AL173" s="323" t="s">
        <v>841</v>
      </c>
      <c r="AM173" s="325">
        <v>14</v>
      </c>
      <c r="AN173" s="325">
        <v>112012385</v>
      </c>
      <c r="AO173" s="1394" t="e">
        <f t="shared" ref="AO173:AO204" si="54">VLOOKUP(AN173,MARUCAFIN,13,FALSE)</f>
        <v>#N/A</v>
      </c>
      <c r="AQ173" s="1395" t="s">
        <v>1039</v>
      </c>
      <c r="AR173" s="325">
        <v>4</v>
      </c>
      <c r="AS173" s="325">
        <v>112014670</v>
      </c>
      <c r="AT173" s="1397" t="str">
        <f t="shared" ref="AT173:AT204" si="55">VLOOKUP(AS173,ARRIOLFIN,13,FALSE)</f>
        <v>ABRAHIM RAFAAT DANIEL</v>
      </c>
      <c r="AU173" s="302"/>
      <c r="AV173" s="302"/>
      <c r="AW173" s="664" t="s">
        <v>1496</v>
      </c>
      <c r="AX173" s="325"/>
      <c r="AY173" s="325">
        <v>112013330</v>
      </c>
      <c r="AZ173" s="1392" t="str">
        <f t="shared" ref="AZ173:AZ204" si="56">VLOOKUP(AY173,LAVENIAFIN,13,FALSE)</f>
        <v>ACUÑA GIAMBRUNO JOAQUIN</v>
      </c>
      <c r="BA173" s="302"/>
      <c r="BB173" s="664" t="s">
        <v>1039</v>
      </c>
      <c r="BC173" s="325">
        <v>4</v>
      </c>
      <c r="BD173" s="325">
        <v>112012824</v>
      </c>
      <c r="BE173" s="1392" t="str">
        <f t="shared" ref="BE173:BE204" si="57">VLOOKUP(BD173,rotelafin,6,FALSE)</f>
        <v>ABRAHIM RAFAAT DANIEL</v>
      </c>
      <c r="BF173" s="618"/>
      <c r="BG173" s="553"/>
      <c r="BH173" s="294"/>
      <c r="BI173" s="618"/>
      <c r="BJ173" s="618"/>
      <c r="BK173" s="618"/>
      <c r="BL173" s="553"/>
      <c r="BM173" s="618"/>
      <c r="BN173" s="618"/>
      <c r="BO173" s="618"/>
    </row>
    <row r="174" spans="1:67" ht="13" hidden="1">
      <c r="A174" s="664" t="s">
        <v>690</v>
      </c>
      <c r="B174" s="325">
        <v>10</v>
      </c>
      <c r="C174" s="325">
        <v>112014766</v>
      </c>
      <c r="D174" s="1392" t="str">
        <f t="shared" si="47"/>
        <v>ACOSTA JOEL DAVID</v>
      </c>
      <c r="G174" s="325" t="s">
        <v>73</v>
      </c>
      <c r="H174" s="325">
        <v>12</v>
      </c>
      <c r="I174" s="325">
        <v>112012311</v>
      </c>
      <c r="J174" s="1393" t="str">
        <f t="shared" si="48"/>
        <v>ADROGUE JOSE/PEREYRA STELLA</v>
      </c>
      <c r="M174" s="664" t="s">
        <v>636</v>
      </c>
      <c r="N174" s="324">
        <v>4</v>
      </c>
      <c r="O174" s="325">
        <v>112014118</v>
      </c>
      <c r="P174" s="1392" t="str">
        <f t="shared" si="49"/>
        <v>ACCONCIA ERICA SABRINA</v>
      </c>
      <c r="R174" s="664" t="s">
        <v>310</v>
      </c>
      <c r="S174" s="324">
        <v>1</v>
      </c>
      <c r="T174" s="325">
        <v>112012734</v>
      </c>
      <c r="U174" s="1392" t="str">
        <f t="shared" si="50"/>
        <v>ABRAHAN ISMAEL GABRIEL</v>
      </c>
      <c r="W174" s="664" t="s">
        <v>445</v>
      </c>
      <c r="X174" s="324">
        <v>31</v>
      </c>
      <c r="Y174" s="325">
        <v>112014734</v>
      </c>
      <c r="Z174" s="1392" t="str">
        <f t="shared" si="51"/>
        <v>ACHA PABLO DAVID</v>
      </c>
      <c r="AB174" s="664" t="s">
        <v>954</v>
      </c>
      <c r="AC174" s="325">
        <v>1</v>
      </c>
      <c r="AD174" s="325">
        <v>112010437</v>
      </c>
      <c r="AE174" s="1392" t="e">
        <f t="shared" si="52"/>
        <v>#N/A</v>
      </c>
      <c r="AF174" s="302"/>
      <c r="AG174" s="325" t="s">
        <v>1380</v>
      </c>
      <c r="AH174" s="325"/>
      <c r="AI174" s="325">
        <v>112011822</v>
      </c>
      <c r="AJ174" s="799" t="str">
        <f t="shared" si="53"/>
        <v>AICARDI LEANDRO</v>
      </c>
      <c r="AL174" s="323" t="s">
        <v>899</v>
      </c>
      <c r="AM174" s="325">
        <v>4</v>
      </c>
      <c r="AN174" s="325">
        <v>112013498</v>
      </c>
      <c r="AO174" s="1394" t="str">
        <f t="shared" si="54"/>
        <v>CASTRO JUAN MANUEL M</v>
      </c>
      <c r="AQ174" s="1395" t="s">
        <v>887</v>
      </c>
      <c r="AR174" s="325">
        <v>6</v>
      </c>
      <c r="AS174" s="325">
        <v>112013108</v>
      </c>
      <c r="AT174" s="1397" t="e">
        <f t="shared" si="55"/>
        <v>#N/A</v>
      </c>
      <c r="AU174" s="302"/>
      <c r="AV174" s="302"/>
      <c r="AW174" s="664" t="s">
        <v>1467</v>
      </c>
      <c r="AX174" s="325">
        <v>22</v>
      </c>
      <c r="AY174" s="325">
        <v>112014650</v>
      </c>
      <c r="AZ174" s="1392" t="str">
        <f t="shared" si="56"/>
        <v>ADRIAN JESUS SOTO</v>
      </c>
      <c r="BA174" s="302"/>
      <c r="BB174" s="664" t="s">
        <v>1497</v>
      </c>
      <c r="BC174" s="325"/>
      <c r="BD174" s="325">
        <v>112014593</v>
      </c>
      <c r="BE174" s="1392" t="str">
        <f t="shared" si="57"/>
        <v>AGROPECUARIA LOS GROBITOS S A S. A.</v>
      </c>
      <c r="BF174" s="618"/>
      <c r="BG174" s="553"/>
      <c r="BH174" s="294"/>
      <c r="BI174" s="618"/>
      <c r="BJ174" s="618"/>
      <c r="BK174" s="618"/>
      <c r="BL174" s="553"/>
      <c r="BM174" s="618"/>
      <c r="BN174" s="618"/>
      <c r="BO174" s="618"/>
    </row>
    <row r="175" spans="1:67" ht="13" hidden="1">
      <c r="A175" s="664" t="s">
        <v>765</v>
      </c>
      <c r="B175" s="325">
        <v>1</v>
      </c>
      <c r="C175" s="325">
        <v>112011588</v>
      </c>
      <c r="D175" s="1392" t="str">
        <f t="shared" si="47"/>
        <v>ACUÑA MAURO JAVIER</v>
      </c>
      <c r="G175" s="325" t="s">
        <v>72</v>
      </c>
      <c r="H175" s="325">
        <v>12</v>
      </c>
      <c r="I175" s="325">
        <v>112012842</v>
      </c>
      <c r="J175" s="1393" t="e">
        <f t="shared" si="48"/>
        <v>#N/A</v>
      </c>
      <c r="M175" s="664" t="s">
        <v>609</v>
      </c>
      <c r="N175" s="324">
        <v>1</v>
      </c>
      <c r="O175" s="325">
        <v>112012441</v>
      </c>
      <c r="P175" s="1392" t="str">
        <f t="shared" si="49"/>
        <v>AGNELLO GUILLERMO JAVIER</v>
      </c>
      <c r="R175" s="664" t="s">
        <v>304</v>
      </c>
      <c r="S175" s="324">
        <v>6</v>
      </c>
      <c r="T175" s="325">
        <v>112014163</v>
      </c>
      <c r="U175" s="1392" t="str">
        <f t="shared" si="50"/>
        <v>ACUÑA EDUARDO DAMIAN</v>
      </c>
      <c r="W175" s="664" t="s">
        <v>488</v>
      </c>
      <c r="X175" s="324">
        <v>1</v>
      </c>
      <c r="Y175" s="325">
        <v>112014378</v>
      </c>
      <c r="Z175" s="1392" t="e">
        <f t="shared" si="51"/>
        <v>#N/A</v>
      </c>
      <c r="AB175" s="664" t="s">
        <v>865</v>
      </c>
      <c r="AC175" s="325">
        <v>22</v>
      </c>
      <c r="AD175" s="325">
        <v>112014067</v>
      </c>
      <c r="AE175" s="1392" t="str">
        <f t="shared" si="52"/>
        <v>ACUÑA CINTIA SOLEDAD</v>
      </c>
      <c r="AF175" s="302"/>
      <c r="AG175" s="325" t="s">
        <v>1377</v>
      </c>
      <c r="AH175" s="325"/>
      <c r="AI175" s="325">
        <v>112013388</v>
      </c>
      <c r="AJ175" s="799" t="str">
        <f t="shared" si="53"/>
        <v>ALDAZ LAURA MARCELA</v>
      </c>
      <c r="AL175" s="323" t="s">
        <v>1161</v>
      </c>
      <c r="AM175" s="325">
        <v>4</v>
      </c>
      <c r="AN175" s="325">
        <v>112014759</v>
      </c>
      <c r="AO175" s="1394" t="e">
        <f t="shared" si="54"/>
        <v>#N/A</v>
      </c>
      <c r="AQ175" s="1395" t="s">
        <v>1083</v>
      </c>
      <c r="AR175" s="325">
        <v>1</v>
      </c>
      <c r="AS175" s="325">
        <v>112013787</v>
      </c>
      <c r="AT175" s="1397" t="str">
        <f t="shared" si="55"/>
        <v>ALLAMPRESE AGATA LORENA</v>
      </c>
      <c r="AU175" s="302"/>
      <c r="AV175" s="302"/>
      <c r="AW175" s="664" t="s">
        <v>1397</v>
      </c>
      <c r="AX175" s="325">
        <v>12</v>
      </c>
      <c r="AY175" s="325">
        <v>112014482</v>
      </c>
      <c r="AZ175" s="1392" t="str">
        <f t="shared" si="56"/>
        <v>AGRO VETERINARIA NUTRISAN S. CAP I SECC IV</v>
      </c>
      <c r="BA175" s="302"/>
      <c r="BB175" s="664" t="s">
        <v>1377</v>
      </c>
      <c r="BC175" s="325"/>
      <c r="BD175" s="325">
        <v>112013451</v>
      </c>
      <c r="BE175" s="1392" t="str">
        <f t="shared" si="57"/>
        <v>ALDAZ LAURA MARCELA</v>
      </c>
      <c r="BF175" s="618"/>
      <c r="BG175" s="553"/>
      <c r="BH175" s="294"/>
      <c r="BI175" s="618"/>
      <c r="BJ175" s="618"/>
      <c r="BK175" s="618"/>
      <c r="BL175" s="553"/>
      <c r="BM175" s="618"/>
      <c r="BN175" s="618"/>
      <c r="BO175" s="618"/>
    </row>
    <row r="176" spans="1:67" ht="13" hidden="1">
      <c r="A176" s="664" t="s">
        <v>766</v>
      </c>
      <c r="B176" s="325">
        <v>1</v>
      </c>
      <c r="C176" s="325">
        <v>112012133</v>
      </c>
      <c r="D176" s="1392" t="str">
        <f t="shared" si="47"/>
        <v>AGRO BRUNOS S.R.L.</v>
      </c>
      <c r="G176" s="325" t="s">
        <v>170</v>
      </c>
      <c r="H176" s="325">
        <v>1</v>
      </c>
      <c r="I176" s="325">
        <v>112011692</v>
      </c>
      <c r="J176" s="1393" t="str">
        <f t="shared" si="48"/>
        <v>AGUIRRE MONICA SILVIA</v>
      </c>
      <c r="M176" s="664" t="s">
        <v>663</v>
      </c>
      <c r="N176" s="324"/>
      <c r="O176" s="325">
        <v>112014376</v>
      </c>
      <c r="P176" s="1392" t="str">
        <f t="shared" si="49"/>
        <v>AGUILAR HERRERO LORENA CLARA NATACHA</v>
      </c>
      <c r="R176" s="664" t="s">
        <v>263</v>
      </c>
      <c r="S176" s="324">
        <v>11</v>
      </c>
      <c r="T176" s="325">
        <v>112014422</v>
      </c>
      <c r="U176" s="1392" t="e">
        <f t="shared" si="50"/>
        <v>#N/A</v>
      </c>
      <c r="W176" s="664" t="s">
        <v>484</v>
      </c>
      <c r="X176" s="324"/>
      <c r="Y176" s="325">
        <v>112014230</v>
      </c>
      <c r="Z176" s="1392" t="str">
        <f t="shared" si="51"/>
        <v>AIMAR MARIELA</v>
      </c>
      <c r="AB176" s="664" t="s">
        <v>970</v>
      </c>
      <c r="AC176" s="325">
        <v>1</v>
      </c>
      <c r="AD176" s="325">
        <v>112014607</v>
      </c>
      <c r="AE176" s="1392" t="e">
        <f t="shared" si="52"/>
        <v>#N/A</v>
      </c>
      <c r="AF176" s="302"/>
      <c r="AG176" s="325" t="s">
        <v>1288</v>
      </c>
      <c r="AH176" s="325">
        <v>22</v>
      </c>
      <c r="AI176" s="325">
        <v>112014348</v>
      </c>
      <c r="AJ176" s="799" t="str">
        <f t="shared" si="53"/>
        <v>ALLEGRONI JULIO FEDERICO</v>
      </c>
      <c r="AL176" s="323" t="s">
        <v>1140</v>
      </c>
      <c r="AM176" s="325">
        <v>22</v>
      </c>
      <c r="AN176" s="325">
        <v>112013081</v>
      </c>
      <c r="AO176" s="1394" t="e">
        <f t="shared" si="54"/>
        <v>#N/A</v>
      </c>
      <c r="AQ176" s="1395" t="s">
        <v>1008</v>
      </c>
      <c r="AR176" s="325">
        <v>7</v>
      </c>
      <c r="AS176" s="325">
        <v>112010582</v>
      </c>
      <c r="AT176" s="1397" t="str">
        <f t="shared" si="55"/>
        <v>ANDRADE ROBERTO HIPOLITO</v>
      </c>
      <c r="AU176" s="302"/>
      <c r="AV176" s="302"/>
      <c r="AW176" s="664" t="s">
        <v>1487</v>
      </c>
      <c r="AX176" s="325">
        <v>1</v>
      </c>
      <c r="AY176" s="325">
        <v>112014697</v>
      </c>
      <c r="AZ176" s="1392" t="str">
        <f t="shared" si="56"/>
        <v>AGROINSUMOS S. A.</v>
      </c>
      <c r="BA176" s="302"/>
      <c r="BB176" s="664" t="s">
        <v>1430</v>
      </c>
      <c r="BC176" s="325">
        <v>22</v>
      </c>
      <c r="BD176" s="325">
        <v>112014071</v>
      </c>
      <c r="BE176" s="1392" t="str">
        <f t="shared" si="57"/>
        <v>ALMADA CINTIA VICTORIA</v>
      </c>
      <c r="BF176" s="618"/>
      <c r="BG176" s="553"/>
      <c r="BH176" s="294"/>
      <c r="BI176" s="618"/>
      <c r="BJ176" s="618"/>
      <c r="BK176" s="618"/>
      <c r="BL176" s="553"/>
      <c r="BM176" s="618"/>
      <c r="BN176" s="618"/>
      <c r="BO176" s="618"/>
    </row>
    <row r="177" spans="1:67" ht="13" hidden="1">
      <c r="A177" s="664" t="s">
        <v>713</v>
      </c>
      <c r="B177" s="325">
        <v>21</v>
      </c>
      <c r="C177" s="325">
        <v>112012876</v>
      </c>
      <c r="D177" s="1392" t="str">
        <f t="shared" si="47"/>
        <v>AICARDO FABIAN MARCELO</v>
      </c>
      <c r="G177" s="325" t="s">
        <v>79</v>
      </c>
      <c r="H177" s="325">
        <v>7</v>
      </c>
      <c r="I177" s="325">
        <v>112012345</v>
      </c>
      <c r="J177" s="1393" t="str">
        <f t="shared" si="48"/>
        <v>ALLUE ALEJANDRA MARIANA</v>
      </c>
      <c r="M177" s="664" t="s">
        <v>523</v>
      </c>
      <c r="N177" s="324">
        <v>7</v>
      </c>
      <c r="O177" s="325">
        <v>112013220</v>
      </c>
      <c r="P177" s="1392" t="str">
        <f t="shared" si="49"/>
        <v>AGUILERA JAVIER ROBERTO</v>
      </c>
      <c r="R177" s="664" t="s">
        <v>308</v>
      </c>
      <c r="S177" s="324">
        <v>1</v>
      </c>
      <c r="T177" s="325">
        <v>112014393</v>
      </c>
      <c r="U177" s="1392" t="str">
        <f t="shared" si="50"/>
        <v>ALZA SILVANA EDITH</v>
      </c>
      <c r="W177" s="664" t="s">
        <v>481</v>
      </c>
      <c r="X177" s="324"/>
      <c r="Y177" s="325">
        <v>112013420</v>
      </c>
      <c r="Z177" s="1392" t="str">
        <f t="shared" si="51"/>
        <v>ALBERTO CARMEN MARCELA</v>
      </c>
      <c r="AB177" s="664" t="s">
        <v>848</v>
      </c>
      <c r="AC177" s="325">
        <v>7</v>
      </c>
      <c r="AD177" s="325">
        <v>112014244</v>
      </c>
      <c r="AE177" s="1392" t="str">
        <f t="shared" si="52"/>
        <v>ARAUCAN SERVICIOS VETERINARIOS S.A</v>
      </c>
      <c r="AF177" s="302"/>
      <c r="AG177" s="325" t="s">
        <v>1331</v>
      </c>
      <c r="AH177" s="325">
        <v>18</v>
      </c>
      <c r="AI177" s="325">
        <v>112014458</v>
      </c>
      <c r="AJ177" s="799" t="str">
        <f t="shared" si="53"/>
        <v>ALMANG RUBEN DARIO</v>
      </c>
      <c r="AL177" s="323" t="s">
        <v>1139</v>
      </c>
      <c r="AM177" s="325">
        <v>4</v>
      </c>
      <c r="AN177" s="325">
        <v>112014389</v>
      </c>
      <c r="AO177" s="1394" t="e">
        <f t="shared" si="54"/>
        <v>#N/A</v>
      </c>
      <c r="AQ177" s="1395" t="s">
        <v>1068</v>
      </c>
      <c r="AR177" s="325">
        <v>1</v>
      </c>
      <c r="AS177" s="325">
        <v>112010443</v>
      </c>
      <c r="AT177" s="1397" t="str">
        <f t="shared" si="55"/>
        <v>ARREGUI DANIEL ALBERTO</v>
      </c>
      <c r="AU177" s="302"/>
      <c r="AV177" s="302"/>
      <c r="AW177" s="664" t="s">
        <v>1497</v>
      </c>
      <c r="AX177" s="325"/>
      <c r="AY177" s="325">
        <v>112014657</v>
      </c>
      <c r="AZ177" s="1392" t="str">
        <f t="shared" si="56"/>
        <v>AGROPECUARIA LOS GROBITOS S A S. A.</v>
      </c>
      <c r="BA177" s="302"/>
      <c r="BB177" s="664" t="s">
        <v>1431</v>
      </c>
      <c r="BC177" s="325">
        <v>22</v>
      </c>
      <c r="BD177" s="325">
        <v>112014637</v>
      </c>
      <c r="BE177" s="1392" t="str">
        <f t="shared" si="57"/>
        <v>ALVAREZ BURATTI VIVIANA</v>
      </c>
      <c r="BF177" s="618"/>
      <c r="BG177" s="553"/>
      <c r="BH177" s="294"/>
      <c r="BI177" s="618"/>
      <c r="BJ177" s="618"/>
      <c r="BK177" s="618"/>
      <c r="BL177" s="553"/>
      <c r="BM177" s="618"/>
      <c r="BN177" s="618"/>
      <c r="BO177" s="618"/>
    </row>
    <row r="178" spans="1:67" ht="13" hidden="1">
      <c r="A178" s="664" t="s">
        <v>724</v>
      </c>
      <c r="B178" s="325">
        <v>18</v>
      </c>
      <c r="C178" s="325">
        <v>112013868</v>
      </c>
      <c r="D178" s="1392" t="str">
        <f t="shared" si="47"/>
        <v>ALI ROMERO NAZARENO</v>
      </c>
      <c r="G178" s="325" t="s">
        <v>127</v>
      </c>
      <c r="H178" s="325">
        <v>18</v>
      </c>
      <c r="I178" s="325">
        <v>112014377</v>
      </c>
      <c r="J178" s="1393" t="str">
        <f t="shared" si="48"/>
        <v>ALMARAZ NAHUEL HERNAN</v>
      </c>
      <c r="M178" s="664" t="s">
        <v>555</v>
      </c>
      <c r="N178" s="324">
        <v>18</v>
      </c>
      <c r="O178" s="325">
        <v>112012718</v>
      </c>
      <c r="P178" s="1392" t="str">
        <f t="shared" si="49"/>
        <v>ANIMALADAS YA/SCALA MARIA/DE LUCA NORA</v>
      </c>
      <c r="R178" s="664" t="s">
        <v>283</v>
      </c>
      <c r="S178" s="324">
        <v>29</v>
      </c>
      <c r="T178" s="325">
        <v>112014237</v>
      </c>
      <c r="U178" s="1392" t="str">
        <f t="shared" si="50"/>
        <v>AMICARELLI CAR/ARROYO SILVIO</v>
      </c>
      <c r="W178" s="664" t="s">
        <v>418</v>
      </c>
      <c r="X178" s="324">
        <v>22</v>
      </c>
      <c r="Y178" s="325">
        <v>112014388</v>
      </c>
      <c r="Z178" s="1392" t="str">
        <f t="shared" si="51"/>
        <v>AMELIA ELIZABETH BOLLA</v>
      </c>
      <c r="AB178" s="664" t="s">
        <v>960</v>
      </c>
      <c r="AC178" s="325">
        <v>4</v>
      </c>
      <c r="AD178" s="325">
        <v>112012809</v>
      </c>
      <c r="AE178" s="1392" t="e">
        <f t="shared" si="52"/>
        <v>#N/A</v>
      </c>
      <c r="AF178" s="302"/>
      <c r="AG178" s="325" t="s">
        <v>1275</v>
      </c>
      <c r="AH178" s="325">
        <v>7</v>
      </c>
      <c r="AI178" s="325">
        <v>112014008</v>
      </c>
      <c r="AJ178" s="799" t="str">
        <f t="shared" si="53"/>
        <v>ALMEIDA FLAVIA/GUILLEN ALAN</v>
      </c>
      <c r="AL178" s="323" t="s">
        <v>1132</v>
      </c>
      <c r="AM178" s="325">
        <v>14</v>
      </c>
      <c r="AN178" s="325">
        <v>112013647</v>
      </c>
      <c r="AO178" s="1394" t="str">
        <f t="shared" si="54"/>
        <v>GONZALES J.GABRIEL/CARRIQUIRIBORDE</v>
      </c>
      <c r="AQ178" s="1395" t="s">
        <v>1042</v>
      </c>
      <c r="AR178" s="325">
        <v>6</v>
      </c>
      <c r="AS178" s="325">
        <v>112012293</v>
      </c>
      <c r="AT178" s="1397" t="str">
        <f t="shared" si="55"/>
        <v>ARROYO GLADYS KARINA</v>
      </c>
      <c r="AU178" s="302"/>
      <c r="AV178" s="302"/>
      <c r="AW178" s="664" t="s">
        <v>1430</v>
      </c>
      <c r="AX178" s="325">
        <v>22</v>
      </c>
      <c r="AY178" s="325">
        <v>112014479</v>
      </c>
      <c r="AZ178" s="1392" t="str">
        <f t="shared" si="56"/>
        <v>ALMADA CINTIA VICTORIA</v>
      </c>
      <c r="BA178" s="302"/>
      <c r="BB178" s="664" t="s">
        <v>1405</v>
      </c>
      <c r="BC178" s="325">
        <v>1</v>
      </c>
      <c r="BD178" s="325">
        <v>112014035</v>
      </c>
      <c r="BE178" s="1392" t="str">
        <f t="shared" si="57"/>
        <v>ANGELINO CRISTIAN</v>
      </c>
      <c r="BF178" s="618"/>
      <c r="BG178" s="553"/>
      <c r="BH178" s="294"/>
      <c r="BI178" s="618"/>
      <c r="BJ178" s="618"/>
      <c r="BK178" s="618"/>
      <c r="BL178" s="553"/>
      <c r="BM178" s="618"/>
      <c r="BN178" s="618"/>
      <c r="BO178" s="618"/>
    </row>
    <row r="179" spans="1:67" ht="13" hidden="1">
      <c r="A179" s="664" t="s">
        <v>767</v>
      </c>
      <c r="B179" s="325">
        <v>1</v>
      </c>
      <c r="C179" s="325">
        <v>112013989</v>
      </c>
      <c r="D179" s="1392" t="str">
        <f t="shared" si="47"/>
        <v>ALVAREZ GAMBINI MONICA BEATRIZ</v>
      </c>
      <c r="G179" s="325" t="s">
        <v>137</v>
      </c>
      <c r="H179" s="325">
        <v>4</v>
      </c>
      <c r="I179" s="325">
        <v>112014183</v>
      </c>
      <c r="J179" s="1393" t="e">
        <f t="shared" si="48"/>
        <v>#N/A</v>
      </c>
      <c r="M179" s="664" t="s">
        <v>620</v>
      </c>
      <c r="N179" s="324">
        <v>1</v>
      </c>
      <c r="O179" s="325">
        <v>112010441</v>
      </c>
      <c r="P179" s="1392" t="str">
        <f t="shared" si="49"/>
        <v>ARDOHAIN JUAN ESTEBAN</v>
      </c>
      <c r="R179" s="664" t="s">
        <v>296</v>
      </c>
      <c r="S179" s="324">
        <v>4</v>
      </c>
      <c r="T179" s="325">
        <v>112011860</v>
      </c>
      <c r="U179" s="1392" t="str">
        <f t="shared" si="50"/>
        <v>ANTONCICH MARTIN IVAN</v>
      </c>
      <c r="W179" s="664" t="s">
        <v>401</v>
      </c>
      <c r="X179" s="324">
        <v>7</v>
      </c>
      <c r="Y179" s="325">
        <v>112013192</v>
      </c>
      <c r="Z179" s="1392" t="str">
        <f t="shared" si="51"/>
        <v>BAIGORRIA NATALIA</v>
      </c>
      <c r="AB179" s="664" t="s">
        <v>984</v>
      </c>
      <c r="AC179" s="325"/>
      <c r="AD179" s="325">
        <v>112010442</v>
      </c>
      <c r="AE179" s="1392" t="e">
        <f t="shared" si="52"/>
        <v>#N/A</v>
      </c>
      <c r="AF179" s="302"/>
      <c r="AG179" s="325" t="s">
        <v>1308</v>
      </c>
      <c r="AH179" s="325">
        <v>22</v>
      </c>
      <c r="AI179" s="325">
        <v>112013617</v>
      </c>
      <c r="AJ179" s="799" t="str">
        <f t="shared" si="53"/>
        <v>ARANA GASTON ANGEL</v>
      </c>
      <c r="AL179" s="323" t="s">
        <v>878</v>
      </c>
      <c r="AM179" s="325">
        <v>4</v>
      </c>
      <c r="AN179" s="325">
        <v>112013751</v>
      </c>
      <c r="AO179" s="1394" t="e">
        <f t="shared" si="54"/>
        <v>#N/A</v>
      </c>
      <c r="AQ179" s="1395" t="s">
        <v>1021</v>
      </c>
      <c r="AR179" s="325">
        <v>7</v>
      </c>
      <c r="AS179" s="325">
        <v>112013516</v>
      </c>
      <c r="AT179" s="1397" t="str">
        <f t="shared" si="55"/>
        <v>BAGUNAC S.A.</v>
      </c>
      <c r="AU179" s="302"/>
      <c r="AV179" s="302"/>
      <c r="AW179" s="664" t="s">
        <v>1431</v>
      </c>
      <c r="AX179" s="325">
        <v>22</v>
      </c>
      <c r="AY179" s="325">
        <v>112014387</v>
      </c>
      <c r="AZ179" s="1392" t="str">
        <f t="shared" si="56"/>
        <v>ALVAREZ BURATTI VIVIANA</v>
      </c>
      <c r="BA179" s="302"/>
      <c r="BB179" s="664" t="s">
        <v>1308</v>
      </c>
      <c r="BC179" s="325">
        <v>22</v>
      </c>
      <c r="BD179" s="325">
        <v>112013383</v>
      </c>
      <c r="BE179" s="1392" t="str">
        <f t="shared" si="57"/>
        <v>ARANA GASTON ANGEL</v>
      </c>
      <c r="BF179" s="618"/>
      <c r="BG179" s="553"/>
      <c r="BH179" s="294"/>
      <c r="BI179" s="618"/>
      <c r="BJ179" s="618"/>
      <c r="BK179" s="618"/>
      <c r="BL179" s="553"/>
      <c r="BM179" s="618"/>
      <c r="BN179" s="618"/>
      <c r="BO179" s="618"/>
    </row>
    <row r="180" spans="1:67" ht="13" hidden="1">
      <c r="A180" s="664" t="s">
        <v>714</v>
      </c>
      <c r="B180" s="325">
        <v>31</v>
      </c>
      <c r="C180" s="325">
        <v>112014723</v>
      </c>
      <c r="D180" s="1392" t="str">
        <f t="shared" si="47"/>
        <v>ARRIETA FACUNDO NAHUEL</v>
      </c>
      <c r="G180" s="325" t="s">
        <v>238</v>
      </c>
      <c r="H180" s="325">
        <v>31</v>
      </c>
      <c r="I180" s="325">
        <v>112013120</v>
      </c>
      <c r="J180" s="1393" t="e">
        <f t="shared" si="48"/>
        <v>#N/A</v>
      </c>
      <c r="M180" s="664" t="s">
        <v>570</v>
      </c>
      <c r="N180" s="324">
        <v>4</v>
      </c>
      <c r="O180" s="325">
        <v>112014368</v>
      </c>
      <c r="P180" s="1392" t="str">
        <f t="shared" si="49"/>
        <v>ARIAS DELIA MERCEDES</v>
      </c>
      <c r="R180" s="664" t="s">
        <v>289</v>
      </c>
      <c r="S180" s="324">
        <v>20</v>
      </c>
      <c r="T180" s="325">
        <v>112010719</v>
      </c>
      <c r="U180" s="1392" t="str">
        <f t="shared" si="50"/>
        <v>APAOLAZA GUSTAVO JAVIER</v>
      </c>
      <c r="W180" s="664" t="s">
        <v>373</v>
      </c>
      <c r="X180" s="324">
        <v>40</v>
      </c>
      <c r="Y180" s="325">
        <v>112013768</v>
      </c>
      <c r="Z180" s="1392" t="str">
        <f t="shared" si="51"/>
        <v>BALANCEADOS CANNING S.R.L</v>
      </c>
      <c r="AB180" s="664" t="s">
        <v>915</v>
      </c>
      <c r="AC180" s="325">
        <v>1</v>
      </c>
      <c r="AD180" s="325">
        <v>112013126</v>
      </c>
      <c r="AE180" s="1392" t="e">
        <f t="shared" si="52"/>
        <v>#N/A</v>
      </c>
      <c r="AF180" s="302"/>
      <c r="AG180" s="325" t="s">
        <v>1345</v>
      </c>
      <c r="AH180" s="325">
        <v>1</v>
      </c>
      <c r="AI180" s="325">
        <v>112013731</v>
      </c>
      <c r="AJ180" s="799" t="str">
        <f t="shared" si="53"/>
        <v>ARANA PEDRO FABIAN</v>
      </c>
      <c r="AL180" s="323" t="s">
        <v>1171</v>
      </c>
      <c r="AM180" s="325">
        <v>4</v>
      </c>
      <c r="AN180" s="325">
        <v>112014618</v>
      </c>
      <c r="AO180" s="1394" t="e">
        <f t="shared" si="54"/>
        <v>#N/A</v>
      </c>
      <c r="AQ180" s="1395" t="s">
        <v>1067</v>
      </c>
      <c r="AR180" s="325">
        <v>1</v>
      </c>
      <c r="AS180" s="325">
        <v>112014129</v>
      </c>
      <c r="AT180" s="1397" t="str">
        <f t="shared" si="55"/>
        <v>BARON ANTONE/LUCIANA MUJICA</v>
      </c>
      <c r="AU180" s="302"/>
      <c r="AV180" s="302"/>
      <c r="AW180" s="664" t="s">
        <v>1405</v>
      </c>
      <c r="AX180" s="325">
        <v>12</v>
      </c>
      <c r="AY180" s="325">
        <v>112013143</v>
      </c>
      <c r="AZ180" s="1392" t="str">
        <f t="shared" si="56"/>
        <v>ANGELINO CRISTIAN</v>
      </c>
      <c r="BA180" s="302"/>
      <c r="BB180" s="664" t="s">
        <v>1398</v>
      </c>
      <c r="BC180" s="325">
        <v>12</v>
      </c>
      <c r="BD180" s="325">
        <v>112014534</v>
      </c>
      <c r="BE180" s="1392" t="str">
        <f t="shared" si="57"/>
        <v>ARBOLES S.R.L.</v>
      </c>
      <c r="BF180" s="618"/>
      <c r="BG180" s="553"/>
      <c r="BH180" s="294"/>
      <c r="BI180" s="618"/>
      <c r="BJ180" s="618"/>
      <c r="BK180" s="618"/>
      <c r="BL180" s="553"/>
      <c r="BM180" s="618"/>
      <c r="BN180" s="618"/>
      <c r="BO180" s="618"/>
    </row>
    <row r="181" spans="1:67" ht="13" hidden="1">
      <c r="A181" s="664" t="s">
        <v>768</v>
      </c>
      <c r="B181" s="325">
        <v>1</v>
      </c>
      <c r="C181" s="325">
        <v>112010910</v>
      </c>
      <c r="D181" s="1392" t="str">
        <f t="shared" si="47"/>
        <v>ASPREA MARCELO OSVALDO/GARRAHAN</v>
      </c>
      <c r="G181" s="325" t="s">
        <v>138</v>
      </c>
      <c r="H181" s="325">
        <v>4</v>
      </c>
      <c r="I181" s="325">
        <v>112014301</v>
      </c>
      <c r="J181" s="1393" t="e">
        <f t="shared" si="48"/>
        <v>#N/A</v>
      </c>
      <c r="M181" s="664" t="s">
        <v>634</v>
      </c>
      <c r="N181" s="324">
        <v>4</v>
      </c>
      <c r="O181" s="325">
        <v>112013870</v>
      </c>
      <c r="P181" s="1392" t="str">
        <f t="shared" si="49"/>
        <v>ARROCERA DEL SUR SA</v>
      </c>
      <c r="R181" s="664" t="s">
        <v>269</v>
      </c>
      <c r="S181" s="324">
        <v>22</v>
      </c>
      <c r="T181" s="325">
        <v>112014606</v>
      </c>
      <c r="U181" s="1392" t="str">
        <f t="shared" si="50"/>
        <v>ARAYA NORA VIVIANA</v>
      </c>
      <c r="W181" s="664" t="s">
        <v>403</v>
      </c>
      <c r="X181" s="324">
        <v>40</v>
      </c>
      <c r="Y181" s="325">
        <v>112013252</v>
      </c>
      <c r="Z181" s="1392" t="str">
        <f t="shared" si="51"/>
        <v>BALENZANO JULIO HORACIO</v>
      </c>
      <c r="AB181" s="664" t="s">
        <v>881</v>
      </c>
      <c r="AC181" s="325">
        <v>1</v>
      </c>
      <c r="AD181" s="325">
        <v>112012525</v>
      </c>
      <c r="AE181" s="1392" t="str">
        <f t="shared" si="52"/>
        <v>BIDONDO AGUSTIN</v>
      </c>
      <c r="AF181" s="302"/>
      <c r="AG181" s="325" t="s">
        <v>1276</v>
      </c>
      <c r="AH181" s="325">
        <v>7</v>
      </c>
      <c r="AI181" s="325">
        <v>112014174</v>
      </c>
      <c r="AJ181" s="799" t="str">
        <f t="shared" si="53"/>
        <v>BARIDON GUSTAVO RAFAEL</v>
      </c>
      <c r="AL181" s="323" t="s">
        <v>1216</v>
      </c>
      <c r="AM181" s="325">
        <v>4</v>
      </c>
      <c r="AN181" s="325">
        <v>112014464</v>
      </c>
      <c r="AO181" s="1394" t="e">
        <f t="shared" si="54"/>
        <v>#N/A</v>
      </c>
      <c r="AQ181" s="1395" t="s">
        <v>1009</v>
      </c>
      <c r="AR181" s="325">
        <v>7</v>
      </c>
      <c r="AS181" s="325">
        <v>112013217</v>
      </c>
      <c r="AT181" s="1397" t="str">
        <f t="shared" si="55"/>
        <v>BARRERE BERNARDO</v>
      </c>
      <c r="AU181" s="302"/>
      <c r="AV181" s="302"/>
      <c r="AW181" s="664" t="s">
        <v>1398</v>
      </c>
      <c r="AX181" s="325">
        <v>12</v>
      </c>
      <c r="AY181" s="325">
        <v>112012985</v>
      </c>
      <c r="AZ181" s="1392" t="str">
        <f t="shared" si="56"/>
        <v>ARBOLES S.R.L.</v>
      </c>
      <c r="BA181" s="302"/>
      <c r="BB181" s="664" t="s">
        <v>1021</v>
      </c>
      <c r="BC181" s="325">
        <v>7</v>
      </c>
      <c r="BD181" s="325">
        <v>112013786</v>
      </c>
      <c r="BE181" s="1392" t="str">
        <f t="shared" si="57"/>
        <v>BAGUNAC S.A.</v>
      </c>
      <c r="BF181" s="618"/>
      <c r="BG181" s="553"/>
      <c r="BH181" s="294"/>
      <c r="BI181" s="618"/>
      <c r="BJ181" s="618"/>
      <c r="BK181" s="618"/>
      <c r="BL181" s="553"/>
      <c r="BM181" s="618"/>
      <c r="BN181" s="618"/>
      <c r="BO181" s="618"/>
    </row>
    <row r="182" spans="1:67" ht="13" hidden="1">
      <c r="A182" s="664" t="s">
        <v>769</v>
      </c>
      <c r="B182" s="325">
        <v>1</v>
      </c>
      <c r="C182" s="325">
        <v>112013104</v>
      </c>
      <c r="D182" s="1392" t="str">
        <f t="shared" si="47"/>
        <v>BANCO PROVINCIA</v>
      </c>
      <c r="G182" s="325" t="s">
        <v>171</v>
      </c>
      <c r="H182" s="325">
        <v>1</v>
      </c>
      <c r="I182" s="325">
        <v>112012274</v>
      </c>
      <c r="J182" s="1393" t="str">
        <f t="shared" si="48"/>
        <v>ANDREOLI FABIAN RODOLFO</v>
      </c>
      <c r="M182" s="664" t="s">
        <v>506</v>
      </c>
      <c r="N182" s="324">
        <v>10</v>
      </c>
      <c r="O182" s="325">
        <v>112014413</v>
      </c>
      <c r="P182" s="1392" t="str">
        <f t="shared" si="49"/>
        <v>ASTUR VEL S. A.</v>
      </c>
      <c r="R182" s="664" t="s">
        <v>256</v>
      </c>
      <c r="S182" s="324">
        <v>38</v>
      </c>
      <c r="T182" s="325">
        <v>112013280</v>
      </c>
      <c r="U182" s="1392" t="str">
        <f t="shared" si="50"/>
        <v>AYALA ALEJANDRO JORGE</v>
      </c>
      <c r="W182" s="664" t="s">
        <v>458</v>
      </c>
      <c r="X182" s="324">
        <v>1</v>
      </c>
      <c r="Y182" s="325">
        <v>112010763</v>
      </c>
      <c r="Z182" s="1392" t="str">
        <f t="shared" si="51"/>
        <v>BANACH DIANA</v>
      </c>
      <c r="AB182" s="664" t="s">
        <v>976</v>
      </c>
      <c r="AC182" s="325">
        <v>1</v>
      </c>
      <c r="AD182" s="325">
        <v>112014108</v>
      </c>
      <c r="AE182" s="1392" t="e">
        <f t="shared" si="52"/>
        <v>#N/A</v>
      </c>
      <c r="AF182" s="302"/>
      <c r="AG182" s="325" t="s">
        <v>1309</v>
      </c>
      <c r="AH182" s="325">
        <v>22</v>
      </c>
      <c r="AI182" s="325">
        <v>112013508</v>
      </c>
      <c r="AJ182" s="799" t="str">
        <f t="shared" si="53"/>
        <v>BAUER SANTIAGO</v>
      </c>
      <c r="AL182" s="323" t="s">
        <v>1135</v>
      </c>
      <c r="AM182" s="325">
        <v>7</v>
      </c>
      <c r="AN182" s="325">
        <v>112014653</v>
      </c>
      <c r="AO182" s="1394" t="e">
        <f t="shared" si="54"/>
        <v>#N/A</v>
      </c>
      <c r="AQ182" s="1395" t="s">
        <v>1078</v>
      </c>
      <c r="AR182" s="325">
        <v>1</v>
      </c>
      <c r="AS182" s="325">
        <v>112012638</v>
      </c>
      <c r="AT182" s="1397" t="str">
        <f t="shared" si="55"/>
        <v>BAUTISTA GASPAR</v>
      </c>
      <c r="AU182" s="302"/>
      <c r="AV182" s="302"/>
      <c r="AW182" s="664" t="s">
        <v>1425</v>
      </c>
      <c r="AX182" s="325">
        <v>22</v>
      </c>
      <c r="AY182" s="325">
        <v>112013303</v>
      </c>
      <c r="AZ182" s="1392" t="str">
        <f t="shared" si="56"/>
        <v>ARISTI CARLOS EDUARDO</v>
      </c>
      <c r="BA182" s="302"/>
      <c r="BB182" s="664" t="s">
        <v>1481</v>
      </c>
      <c r="BC182" s="325">
        <v>1</v>
      </c>
      <c r="BD182" s="325">
        <v>112014556</v>
      </c>
      <c r="BE182" s="1392" t="str">
        <f t="shared" si="57"/>
        <v>BASSI RICARD/SERRA ALEJANDRA</v>
      </c>
      <c r="BF182" s="618"/>
      <c r="BG182" s="553"/>
      <c r="BH182" s="294"/>
      <c r="BI182" s="618"/>
      <c r="BJ182" s="618"/>
      <c r="BK182" s="618"/>
      <c r="BL182" s="553"/>
      <c r="BM182" s="618"/>
      <c r="BN182" s="618"/>
      <c r="BO182" s="618"/>
    </row>
    <row r="183" spans="1:67" ht="13" hidden="1">
      <c r="A183" s="664" t="s">
        <v>688</v>
      </c>
      <c r="B183" s="325">
        <v>12</v>
      </c>
      <c r="C183" s="325">
        <v>112013562</v>
      </c>
      <c r="D183" s="1392" t="str">
        <f t="shared" si="47"/>
        <v>BARRETO LUIS ALBERTO</v>
      </c>
      <c r="G183" s="325" t="s">
        <v>139</v>
      </c>
      <c r="H183" s="325">
        <v>4</v>
      </c>
      <c r="I183" s="325">
        <v>112013230</v>
      </c>
      <c r="J183" s="1393" t="str">
        <f t="shared" si="48"/>
        <v>ARANDA LUCIANO DAMIAN</v>
      </c>
      <c r="M183" s="664" t="s">
        <v>648</v>
      </c>
      <c r="N183" s="324">
        <v>1</v>
      </c>
      <c r="O183" s="325">
        <v>112013200</v>
      </c>
      <c r="P183" s="1392" t="str">
        <f t="shared" si="49"/>
        <v>BANEGAS MARIA CELESTE</v>
      </c>
      <c r="R183" s="664" t="s">
        <v>257</v>
      </c>
      <c r="S183" s="324">
        <v>38</v>
      </c>
      <c r="T183" s="325">
        <v>112013670</v>
      </c>
      <c r="U183" s="1392" t="str">
        <f t="shared" si="50"/>
        <v>AYALA RODOLFO DANIEL (ACE2)</v>
      </c>
      <c r="W183" s="664" t="s">
        <v>419</v>
      </c>
      <c r="X183" s="324">
        <v>22</v>
      </c>
      <c r="Y183" s="325">
        <v>112013487</v>
      </c>
      <c r="Z183" s="1392" t="str">
        <f t="shared" si="51"/>
        <v>BARABANI RUBEN OSVALDO</v>
      </c>
      <c r="AB183" s="664" t="s">
        <v>978</v>
      </c>
      <c r="AC183" s="325">
        <v>1</v>
      </c>
      <c r="AD183" s="325">
        <v>112013890</v>
      </c>
      <c r="AE183" s="1392" t="e">
        <f t="shared" si="52"/>
        <v>#N/A</v>
      </c>
      <c r="AF183" s="302"/>
      <c r="AG183" s="325" t="s">
        <v>1381</v>
      </c>
      <c r="AH183" s="325"/>
      <c r="AI183" s="325">
        <v>112013840</v>
      </c>
      <c r="AJ183" s="799" t="str">
        <f t="shared" si="53"/>
        <v>BICHO`S DEL SUR SRL</v>
      </c>
      <c r="AL183" s="323" t="s">
        <v>1236</v>
      </c>
      <c r="AM183" s="325">
        <v>22</v>
      </c>
      <c r="AN183" s="325">
        <v>112010479</v>
      </c>
      <c r="AO183" s="1394" t="e">
        <f t="shared" si="54"/>
        <v>#N/A</v>
      </c>
      <c r="AQ183" s="1395" t="s">
        <v>1013</v>
      </c>
      <c r="AR183" s="325">
        <v>22</v>
      </c>
      <c r="AS183" s="325">
        <v>112010740</v>
      </c>
      <c r="AT183" s="1397" t="str">
        <f t="shared" si="55"/>
        <v>BENIGNI JUAN CARLOS</v>
      </c>
      <c r="AU183" s="302"/>
      <c r="AV183" s="302"/>
      <c r="AW183" s="664" t="s">
        <v>1416</v>
      </c>
      <c r="AX183" s="325">
        <v>7</v>
      </c>
      <c r="AY183" s="325">
        <v>112014635</v>
      </c>
      <c r="AZ183" s="1392" t="str">
        <f t="shared" si="56"/>
        <v>AVENI FERNANDO JOEL</v>
      </c>
      <c r="BA183" s="302"/>
      <c r="BB183" s="664" t="s">
        <v>1309</v>
      </c>
      <c r="BC183" s="325">
        <v>22</v>
      </c>
      <c r="BD183" s="325">
        <v>112014670</v>
      </c>
      <c r="BE183" s="1392" t="str">
        <f t="shared" si="57"/>
        <v>BAUER SANTIAGO</v>
      </c>
      <c r="BF183" s="618"/>
      <c r="BG183" s="553"/>
      <c r="BH183" s="294"/>
      <c r="BI183" s="618"/>
      <c r="BJ183" s="618"/>
      <c r="BK183" s="618"/>
      <c r="BL183" s="553"/>
      <c r="BM183" s="618"/>
      <c r="BN183" s="618"/>
      <c r="BO183" s="618"/>
    </row>
    <row r="184" spans="1:67" ht="13" hidden="1">
      <c r="A184" s="664" t="s">
        <v>699</v>
      </c>
      <c r="B184" s="325">
        <v>31</v>
      </c>
      <c r="C184" s="325">
        <v>112013321</v>
      </c>
      <c r="D184" s="1392" t="str">
        <f t="shared" si="47"/>
        <v>BERNARDEZ MIGUEL ANGEL ANTONIO</v>
      </c>
      <c r="G184" s="325" t="s">
        <v>172</v>
      </c>
      <c r="H184" s="325">
        <v>1</v>
      </c>
      <c r="I184" s="325">
        <v>112011745</v>
      </c>
      <c r="J184" s="1393" t="str">
        <f t="shared" si="48"/>
        <v>ARES SUSANA MONICA</v>
      </c>
      <c r="M184" s="664" t="s">
        <v>621</v>
      </c>
      <c r="N184" s="324">
        <v>4</v>
      </c>
      <c r="O184" s="325">
        <v>112014152</v>
      </c>
      <c r="P184" s="1392" t="str">
        <f t="shared" si="49"/>
        <v>BASADRE GILDA</v>
      </c>
      <c r="R184" s="664" t="s">
        <v>258</v>
      </c>
      <c r="S184" s="324">
        <v>38</v>
      </c>
      <c r="T184" s="325">
        <v>112013671</v>
      </c>
      <c r="U184" s="1392" t="str">
        <f t="shared" si="50"/>
        <v>AYALA RODOLFO DANIEL (RODAL)</v>
      </c>
      <c r="W184" s="664" t="s">
        <v>375</v>
      </c>
      <c r="X184" s="324">
        <v>10</v>
      </c>
      <c r="Y184" s="325">
        <v>112014382</v>
      </c>
      <c r="Z184" s="1392" t="str">
        <f t="shared" si="51"/>
        <v>BARBADORI /RAMOS</v>
      </c>
      <c r="AB184" s="664" t="s">
        <v>979</v>
      </c>
      <c r="AC184" s="325">
        <v>1</v>
      </c>
      <c r="AD184" s="325">
        <v>112013713</v>
      </c>
      <c r="AE184" s="1392" t="e">
        <f t="shared" si="52"/>
        <v>#N/A</v>
      </c>
      <c r="AF184" s="302"/>
      <c r="AG184" s="325" t="s">
        <v>1289</v>
      </c>
      <c r="AH184" s="325">
        <v>22</v>
      </c>
      <c r="AI184" s="325">
        <v>112013740</v>
      </c>
      <c r="AJ184" s="799" t="str">
        <f t="shared" si="53"/>
        <v>BISCHOFF RUBEN ALEJANDRO</v>
      </c>
      <c r="AL184" s="323" t="s">
        <v>1227</v>
      </c>
      <c r="AM184" s="325">
        <v>1</v>
      </c>
      <c r="AN184" s="325">
        <v>112010481</v>
      </c>
      <c r="AO184" s="1394" t="e">
        <f t="shared" si="54"/>
        <v>#N/A</v>
      </c>
      <c r="AQ184" s="1395" t="s">
        <v>998</v>
      </c>
      <c r="AR184" s="325">
        <v>12</v>
      </c>
      <c r="AS184" s="325">
        <v>112013506</v>
      </c>
      <c r="AT184" s="1397" t="str">
        <f t="shared" si="55"/>
        <v>BENIGNI LUIS ALBERTO LUJAN Y INSAUGARAT JUAN RAMON SOCIEDAD SIMPE</v>
      </c>
      <c r="AU184" s="302"/>
      <c r="AV184" s="302"/>
      <c r="AW184" s="664" t="s">
        <v>1464</v>
      </c>
      <c r="AX184" s="325">
        <v>22</v>
      </c>
      <c r="AY184" s="325">
        <v>112012873</v>
      </c>
      <c r="AZ184" s="1392" t="str">
        <f t="shared" si="56"/>
        <v>BALANCEADOS DEL NORTE SRL</v>
      </c>
      <c r="BA184" s="302"/>
      <c r="BB184" s="664" t="s">
        <v>1432</v>
      </c>
      <c r="BC184" s="325">
        <v>22</v>
      </c>
      <c r="BD184" s="325">
        <v>112014657</v>
      </c>
      <c r="BE184" s="1392" t="str">
        <f t="shared" si="57"/>
        <v>BEDOYA ALEJANDRO LUCIANO</v>
      </c>
      <c r="BF184" s="618"/>
      <c r="BG184" s="553"/>
      <c r="BH184" s="294"/>
      <c r="BI184" s="618"/>
      <c r="BJ184" s="618"/>
      <c r="BK184" s="618"/>
      <c r="BL184" s="553"/>
      <c r="BM184" s="618"/>
      <c r="BN184" s="618"/>
      <c r="BO184" s="618"/>
    </row>
    <row r="185" spans="1:67" ht="13" hidden="1">
      <c r="A185" s="664" t="s">
        <v>770</v>
      </c>
      <c r="B185" s="325">
        <v>1</v>
      </c>
      <c r="C185" s="325">
        <v>112014102</v>
      </c>
      <c r="D185" s="1392" t="str">
        <f t="shared" si="47"/>
        <v>BERROTARAN GABRIELA</v>
      </c>
      <c r="G185" s="325" t="s">
        <v>173</v>
      </c>
      <c r="H185" s="325">
        <v>1</v>
      </c>
      <c r="I185" s="325">
        <v>112012719</v>
      </c>
      <c r="J185" s="1393" t="str">
        <f t="shared" si="48"/>
        <v>ARIAS MONICA/BAINOTTI DANIEL</v>
      </c>
      <c r="M185" s="664" t="s">
        <v>543</v>
      </c>
      <c r="N185" s="324">
        <v>22</v>
      </c>
      <c r="O185" s="325">
        <v>112010446</v>
      </c>
      <c r="P185" s="1392" t="str">
        <f t="shared" si="49"/>
        <v>BASILE FEDERICO CARLOS</v>
      </c>
      <c r="R185" s="664" t="s">
        <v>293</v>
      </c>
      <c r="S185" s="324">
        <v>4</v>
      </c>
      <c r="T185" s="325">
        <v>112011814</v>
      </c>
      <c r="U185" s="1392" t="str">
        <f t="shared" si="50"/>
        <v>BASSI JORGE MATIAS</v>
      </c>
      <c r="W185" s="664" t="s">
        <v>479</v>
      </c>
      <c r="X185" s="324"/>
      <c r="Y185" s="325">
        <v>112011943</v>
      </c>
      <c r="Z185" s="1392" t="str">
        <f t="shared" si="51"/>
        <v>BARBIERI MAURICIO ANTONIO</v>
      </c>
      <c r="AB185" s="664" t="s">
        <v>986</v>
      </c>
      <c r="AC185" s="325"/>
      <c r="AD185" s="325">
        <v>112014114</v>
      </c>
      <c r="AE185" s="1392" t="e">
        <f t="shared" si="52"/>
        <v>#N/A</v>
      </c>
      <c r="AF185" s="302"/>
      <c r="AG185" s="325" t="s">
        <v>1354</v>
      </c>
      <c r="AH185" s="325">
        <v>1</v>
      </c>
      <c r="AI185" s="325">
        <v>112011665</v>
      </c>
      <c r="AJ185" s="799" t="str">
        <f t="shared" si="53"/>
        <v>BOGADO CARMEN</v>
      </c>
      <c r="AL185" s="323" t="s">
        <v>1172</v>
      </c>
      <c r="AM185" s="325">
        <v>4</v>
      </c>
      <c r="AN185" s="325">
        <v>112010482</v>
      </c>
      <c r="AO185" s="1394" t="e">
        <f t="shared" si="54"/>
        <v>#N/A</v>
      </c>
      <c r="AQ185" s="1395" t="s">
        <v>994</v>
      </c>
      <c r="AR185" s="325">
        <v>14</v>
      </c>
      <c r="AS185" s="325">
        <v>112013493</v>
      </c>
      <c r="AT185" s="1397" t="str">
        <f t="shared" si="55"/>
        <v>BOSCHETTI LEONARDO y LAZARTE RICARDO DANIEL</v>
      </c>
      <c r="AU185" s="302"/>
      <c r="AV185" s="302"/>
      <c r="AW185" s="664" t="s">
        <v>1481</v>
      </c>
      <c r="AX185" s="325">
        <v>1</v>
      </c>
      <c r="AY185" s="325">
        <v>112010231</v>
      </c>
      <c r="AZ185" s="1392" t="str">
        <f t="shared" si="56"/>
        <v>BASSI RICARD/SERRA ALEJANDRA</v>
      </c>
      <c r="BA185" s="302"/>
      <c r="BB185" s="664" t="s">
        <v>1473</v>
      </c>
      <c r="BC185" s="325">
        <v>22</v>
      </c>
      <c r="BD185" s="325">
        <v>112013388</v>
      </c>
      <c r="BE185" s="1392" t="str">
        <f t="shared" si="57"/>
        <v>BORDON AUGUSTO IMANOL</v>
      </c>
      <c r="BF185" s="618"/>
      <c r="BG185" s="553"/>
      <c r="BH185" s="294"/>
      <c r="BI185" s="618"/>
      <c r="BJ185" s="618"/>
      <c r="BK185" s="618"/>
      <c r="BL185" s="553"/>
      <c r="BM185" s="618"/>
      <c r="BN185" s="618"/>
      <c r="BO185" s="618"/>
    </row>
    <row r="186" spans="1:67" ht="13" hidden="1">
      <c r="A186" s="664" t="s">
        <v>744</v>
      </c>
      <c r="B186" s="325">
        <v>4</v>
      </c>
      <c r="C186" s="325">
        <v>112013296</v>
      </c>
      <c r="D186" s="1392" t="str">
        <f t="shared" si="47"/>
        <v>BOVEDA ANDREA FABIANA</v>
      </c>
      <c r="G186" s="325" t="s">
        <v>236</v>
      </c>
      <c r="H186" s="325">
        <v>18</v>
      </c>
      <c r="I186" s="325">
        <v>112013344</v>
      </c>
      <c r="J186" s="1393" t="e">
        <f t="shared" si="48"/>
        <v>#N/A</v>
      </c>
      <c r="M186" s="664" t="s">
        <v>556</v>
      </c>
      <c r="N186" s="324">
        <v>18</v>
      </c>
      <c r="O186" s="325">
        <v>112014732</v>
      </c>
      <c r="P186" s="1392" t="str">
        <f t="shared" si="49"/>
        <v>BEORLEGUI GUILLERMO FABIAN</v>
      </c>
      <c r="R186" s="664" t="s">
        <v>311</v>
      </c>
      <c r="S186" s="324">
        <v>1</v>
      </c>
      <c r="T186" s="325">
        <v>112014391</v>
      </c>
      <c r="U186" s="1392" t="str">
        <f t="shared" si="50"/>
        <v>BASUALDO TAMARA SOLEDAD</v>
      </c>
      <c r="W186" s="664" t="s">
        <v>393</v>
      </c>
      <c r="X186" s="324">
        <v>31</v>
      </c>
      <c r="Y186" s="325">
        <v>112013849</v>
      </c>
      <c r="Z186" s="1392" t="str">
        <f t="shared" si="51"/>
        <v>BARBOSA HUGO MIGUEL</v>
      </c>
      <c r="AB186" s="664" t="s">
        <v>896</v>
      </c>
      <c r="AC186" s="325">
        <v>1</v>
      </c>
      <c r="AD186" s="325">
        <v>112012203</v>
      </c>
      <c r="AE186" s="1392" t="str">
        <f t="shared" si="52"/>
        <v>BONINO MARIANO</v>
      </c>
      <c r="AF186" s="302"/>
      <c r="AG186" s="325" t="s">
        <v>1290</v>
      </c>
      <c r="AH186" s="325">
        <v>22</v>
      </c>
      <c r="AI186" s="325">
        <v>112014219</v>
      </c>
      <c r="AJ186" s="799" t="str">
        <f t="shared" si="53"/>
        <v>BOHNKE ARTICULOS/HALLIER EUGENIA</v>
      </c>
      <c r="AL186" s="323" t="s">
        <v>1217</v>
      </c>
      <c r="AM186" s="325">
        <v>4</v>
      </c>
      <c r="AN186" s="325">
        <v>112011445</v>
      </c>
      <c r="AO186" s="1394" t="e">
        <f t="shared" si="54"/>
        <v>#N/A</v>
      </c>
      <c r="AQ186" s="1395" t="s">
        <v>1033</v>
      </c>
      <c r="AR186" s="325">
        <v>1</v>
      </c>
      <c r="AS186" s="325">
        <v>112014770</v>
      </c>
      <c r="AT186" s="1397" t="str">
        <f t="shared" si="55"/>
        <v>BRU DIANA ROSA</v>
      </c>
      <c r="AU186" s="302"/>
      <c r="AV186" s="302"/>
      <c r="AW186" s="664" t="s">
        <v>1432</v>
      </c>
      <c r="AX186" s="325">
        <v>22</v>
      </c>
      <c r="AY186" s="325">
        <v>112013773</v>
      </c>
      <c r="AZ186" s="1392" t="str">
        <f t="shared" si="56"/>
        <v>BEDOYA ALEJANDRO LUCIANO</v>
      </c>
      <c r="BA186" s="302"/>
      <c r="BB186" s="664" t="s">
        <v>994</v>
      </c>
      <c r="BC186" s="325">
        <v>14</v>
      </c>
      <c r="BD186" s="325">
        <v>112014479</v>
      </c>
      <c r="BE186" s="1392" t="str">
        <f t="shared" si="57"/>
        <v>BOSCHETTI LEONARDO y LAZARTE RICARDO DANIEL</v>
      </c>
      <c r="BF186" s="618"/>
      <c r="BG186" s="553"/>
      <c r="BH186" s="294"/>
      <c r="BI186" s="618"/>
      <c r="BJ186" s="618"/>
      <c r="BK186" s="618"/>
      <c r="BL186" s="553"/>
      <c r="BM186" s="618"/>
      <c r="BN186" s="618"/>
      <c r="BO186" s="618"/>
    </row>
    <row r="187" spans="1:67" ht="13" hidden="1">
      <c r="A187" s="664" t="s">
        <v>745</v>
      </c>
      <c r="B187" s="325">
        <v>4</v>
      </c>
      <c r="C187" s="325">
        <v>112013825</v>
      </c>
      <c r="D187" s="1392" t="str">
        <f t="shared" si="47"/>
        <v>BUGUEYRO DANIEL HORACIO</v>
      </c>
      <c r="G187" s="325" t="s">
        <v>174</v>
      </c>
      <c r="H187" s="325">
        <v>1</v>
      </c>
      <c r="I187" s="325">
        <v>112013458</v>
      </c>
      <c r="J187" s="1393" t="str">
        <f t="shared" si="48"/>
        <v>ARREGUI ANDREA CELESTE</v>
      </c>
      <c r="M187" s="664" t="s">
        <v>571</v>
      </c>
      <c r="N187" s="324">
        <v>4</v>
      </c>
      <c r="O187" s="325">
        <v>112014588</v>
      </c>
      <c r="P187" s="1392" t="str">
        <f t="shared" si="49"/>
        <v>BERTUZZI FEDERICO JAVIER</v>
      </c>
      <c r="R187" s="664" t="s">
        <v>312</v>
      </c>
      <c r="S187" s="324">
        <v>1</v>
      </c>
      <c r="T187" s="325">
        <v>112012159</v>
      </c>
      <c r="U187" s="1392" t="str">
        <f t="shared" si="50"/>
        <v>BECHELLI ALEJANDRO GUSTAVO</v>
      </c>
      <c r="W187" s="664" t="s">
        <v>421</v>
      </c>
      <c r="X187" s="324">
        <v>22</v>
      </c>
      <c r="Y187" s="325">
        <v>112010743</v>
      </c>
      <c r="Z187" s="1392" t="str">
        <f t="shared" si="51"/>
        <v>BATISTA OSCAR HORACIO</v>
      </c>
      <c r="AB187" s="664" t="s">
        <v>951</v>
      </c>
      <c r="AC187" s="325">
        <v>4</v>
      </c>
      <c r="AD187" s="325">
        <v>112014097</v>
      </c>
      <c r="AE187" s="1392" t="e">
        <f t="shared" si="52"/>
        <v>#N/A</v>
      </c>
      <c r="AF187" s="302"/>
      <c r="AG187" s="325" t="s">
        <v>1310</v>
      </c>
      <c r="AH187" s="325">
        <v>22</v>
      </c>
      <c r="AI187" s="325">
        <v>112014647</v>
      </c>
      <c r="AJ187" s="799" t="str">
        <f t="shared" si="53"/>
        <v>BRACCO VIVIANA BEATRIZ</v>
      </c>
      <c r="AL187" s="323" t="s">
        <v>1210</v>
      </c>
      <c r="AM187" s="325">
        <v>1</v>
      </c>
      <c r="AN187" s="325">
        <v>112011525</v>
      </c>
      <c r="AO187" s="1394" t="e">
        <f t="shared" si="54"/>
        <v>#N/A</v>
      </c>
      <c r="AQ187" s="1395" t="s">
        <v>1046</v>
      </c>
      <c r="AR187" s="325">
        <v>1</v>
      </c>
      <c r="AS187" s="325">
        <v>112014497</v>
      </c>
      <c r="AT187" s="1397" t="str">
        <f t="shared" si="55"/>
        <v>BRUNO SERVAT BERNARDO ANGEL</v>
      </c>
      <c r="AU187" s="302"/>
      <c r="AV187" s="302"/>
      <c r="AW187" s="664" t="s">
        <v>362</v>
      </c>
      <c r="AX187" s="325"/>
      <c r="AY187" s="325">
        <v>112014560</v>
      </c>
      <c r="AZ187" s="1392" t="str">
        <f t="shared" si="56"/>
        <v>BERTOLAZZI VIVIANA NOEMI</v>
      </c>
      <c r="BA187" s="302"/>
      <c r="BB187" s="664" t="s">
        <v>1310</v>
      </c>
      <c r="BC187" s="325">
        <v>22</v>
      </c>
      <c r="BD187" s="325">
        <v>112014387</v>
      </c>
      <c r="BE187" s="1392" t="str">
        <f t="shared" si="57"/>
        <v>BRACCO VIVIANA BEATRIZ</v>
      </c>
      <c r="BF187" s="618"/>
      <c r="BG187" s="553"/>
      <c r="BH187" s="294"/>
      <c r="BI187" s="618"/>
      <c r="BJ187" s="618"/>
      <c r="BK187" s="618"/>
      <c r="BL187" s="553"/>
      <c r="BM187" s="618"/>
      <c r="BN187" s="618"/>
      <c r="BO187" s="618"/>
    </row>
    <row r="188" spans="1:67" ht="13" hidden="1">
      <c r="A188" s="664" t="s">
        <v>771</v>
      </c>
      <c r="B188" s="325">
        <v>1</v>
      </c>
      <c r="C188" s="325">
        <v>112014590</v>
      </c>
      <c r="D188" s="1392" t="str">
        <f t="shared" si="47"/>
        <v>BURGOS ROBERTO ARIEL</v>
      </c>
      <c r="G188" s="325" t="s">
        <v>81</v>
      </c>
      <c r="H188" s="325">
        <v>7</v>
      </c>
      <c r="I188" s="325">
        <v>112014704</v>
      </c>
      <c r="J188" s="1393" t="str">
        <f t="shared" si="48"/>
        <v>ASOCIACION PROTECTORA DE ANIMALES SAN FRANCISCO DE ASIS DE LOMAS DE ZAMORA</v>
      </c>
      <c r="M188" s="664" t="s">
        <v>572</v>
      </c>
      <c r="N188" s="324">
        <v>4</v>
      </c>
      <c r="O188" s="325">
        <v>112014397</v>
      </c>
      <c r="P188" s="1392" t="str">
        <f t="shared" si="49"/>
        <v>BESASSO MAURO PEDRO</v>
      </c>
      <c r="R188" s="664" t="s">
        <v>313</v>
      </c>
      <c r="S188" s="324">
        <v>1</v>
      </c>
      <c r="T188" s="325">
        <v>112012865</v>
      </c>
      <c r="U188" s="1392" t="str">
        <f t="shared" si="50"/>
        <v>BEL MARIA TERESA</v>
      </c>
      <c r="W188" s="664" t="s">
        <v>472</v>
      </c>
      <c r="X188" s="324">
        <v>1</v>
      </c>
      <c r="Y188" s="325">
        <v>112013052</v>
      </c>
      <c r="Z188" s="1392" t="str">
        <f t="shared" si="51"/>
        <v>BELOQUI JOSE ANTONIO</v>
      </c>
      <c r="AB188" s="664" t="s">
        <v>923</v>
      </c>
      <c r="AC188" s="325">
        <v>1</v>
      </c>
      <c r="AD188" s="325">
        <v>112012310</v>
      </c>
      <c r="AE188" s="1392" t="e">
        <f t="shared" si="52"/>
        <v>#N/A</v>
      </c>
      <c r="AF188" s="302"/>
      <c r="AG188" s="325" t="s">
        <v>1388</v>
      </c>
      <c r="AH188" s="325">
        <v>22</v>
      </c>
      <c r="AI188" s="325">
        <v>112013570</v>
      </c>
      <c r="AJ188" s="799" t="e">
        <f t="shared" si="53"/>
        <v>#N/A</v>
      </c>
      <c r="AL188" s="323" t="s">
        <v>1184</v>
      </c>
      <c r="AM188" s="325">
        <v>1</v>
      </c>
      <c r="AN188" s="325">
        <v>112011571</v>
      </c>
      <c r="AO188" s="1394" t="e">
        <f t="shared" si="54"/>
        <v>#N/A</v>
      </c>
      <c r="AQ188" s="1395" t="s">
        <v>1093</v>
      </c>
      <c r="AR188" s="325">
        <v>1</v>
      </c>
      <c r="AS188" s="325">
        <v>112012366</v>
      </c>
      <c r="AT188" s="1397" t="e">
        <f t="shared" si="55"/>
        <v>#N/A</v>
      </c>
      <c r="AU188" s="302"/>
      <c r="AV188" s="302"/>
      <c r="AW188" s="664" t="s">
        <v>1488</v>
      </c>
      <c r="AX188" s="325"/>
      <c r="AY188" s="325">
        <v>112014444</v>
      </c>
      <c r="AZ188" s="1392" t="str">
        <f t="shared" si="56"/>
        <v>BLESA MARTINELLI LEANDRO FRANCISCO FEDERICO</v>
      </c>
      <c r="BA188" s="302"/>
      <c r="BB188" s="664" t="s">
        <v>1532</v>
      </c>
      <c r="BC188" s="325">
        <v>12</v>
      </c>
      <c r="BD188" s="325">
        <v>112013143</v>
      </c>
      <c r="BE188" s="1392" t="str">
        <f t="shared" si="57"/>
        <v>CALDENTEY TOMAS/CALDENTEY Y CAPOZUCCA/CAPOZZUCA FRANCO</v>
      </c>
      <c r="BF188" s="618"/>
      <c r="BG188" s="553"/>
      <c r="BH188" s="294"/>
      <c r="BI188" s="618"/>
      <c r="BJ188" s="618"/>
      <c r="BK188" s="618"/>
      <c r="BL188" s="553"/>
      <c r="BM188" s="618"/>
      <c r="BN188" s="618"/>
      <c r="BO188" s="618"/>
    </row>
    <row r="189" spans="1:67" ht="13" hidden="1">
      <c r="A189" s="664" t="s">
        <v>746</v>
      </c>
      <c r="B189" s="325">
        <v>18</v>
      </c>
      <c r="C189" s="325">
        <v>112014510</v>
      </c>
      <c r="D189" s="1392" t="str">
        <f t="shared" si="47"/>
        <v>CABALLERO GABRIEL ALEJANDRO</v>
      </c>
      <c r="G189" s="325" t="s">
        <v>175</v>
      </c>
      <c r="H189" s="325">
        <v>1</v>
      </c>
      <c r="I189" s="325">
        <v>112014642</v>
      </c>
      <c r="J189" s="1393" t="str">
        <f t="shared" si="48"/>
        <v>ASOCIACION REFUGIO VASCOS ANIMALISTAS V G</v>
      </c>
      <c r="M189" s="664" t="s">
        <v>644</v>
      </c>
      <c r="N189" s="324">
        <v>3</v>
      </c>
      <c r="O189" s="325">
        <v>112014748</v>
      </c>
      <c r="P189" s="1392" t="str">
        <f t="shared" si="49"/>
        <v>BIAFORE CARLOS ALBERTO</v>
      </c>
      <c r="R189" s="664" t="s">
        <v>346</v>
      </c>
      <c r="S189" s="324"/>
      <c r="T189" s="325">
        <v>112013893</v>
      </c>
      <c r="U189" s="1392" t="str">
        <f t="shared" si="50"/>
        <v>BIANCHI SAMANTA PAULA</v>
      </c>
      <c r="W189" s="664" t="s">
        <v>456</v>
      </c>
      <c r="X189" s="324">
        <v>1</v>
      </c>
      <c r="Y189" s="325">
        <v>112014768</v>
      </c>
      <c r="Z189" s="1392" t="str">
        <f t="shared" si="51"/>
        <v>BENITEZ ROCIO TAMARA</v>
      </c>
      <c r="AB189" s="664" t="s">
        <v>944</v>
      </c>
      <c r="AC189" s="325">
        <v>4</v>
      </c>
      <c r="AD189" s="325">
        <v>112014671</v>
      </c>
      <c r="AE189" s="1392" t="e">
        <f t="shared" si="52"/>
        <v>#N/A</v>
      </c>
      <c r="AF189" s="302"/>
      <c r="AG189" s="325" t="s">
        <v>1355</v>
      </c>
      <c r="AH189" s="325">
        <v>1</v>
      </c>
      <c r="AI189" s="325">
        <v>112012415</v>
      </c>
      <c r="AJ189" s="799" t="str">
        <f t="shared" si="53"/>
        <v>BUJNIEWICZ SABRINA CARLA</v>
      </c>
      <c r="AL189" s="323" t="s">
        <v>1142</v>
      </c>
      <c r="AM189" s="325">
        <v>20</v>
      </c>
      <c r="AN189" s="325">
        <v>112011647</v>
      </c>
      <c r="AO189" s="1394" t="str">
        <f t="shared" si="54"/>
        <v>CALZADA JESUS MARIA</v>
      </c>
      <c r="AQ189" s="1395" t="s">
        <v>1081</v>
      </c>
      <c r="AR189" s="325">
        <v>1</v>
      </c>
      <c r="AS189" s="325">
        <v>112013162</v>
      </c>
      <c r="AT189" s="1397" t="str">
        <f t="shared" si="55"/>
        <v>CAEIRO ESTEBAN MIGUEL</v>
      </c>
      <c r="AU189" s="302"/>
      <c r="AV189" s="302"/>
      <c r="AW189" s="664" t="s">
        <v>1473</v>
      </c>
      <c r="AX189" s="325">
        <v>1</v>
      </c>
      <c r="AY189" s="325">
        <v>112013891</v>
      </c>
      <c r="AZ189" s="1392" t="str">
        <f t="shared" si="56"/>
        <v>BORDON AUGUSTO IMANOL</v>
      </c>
      <c r="BA189" s="302"/>
      <c r="BB189" s="664" t="s">
        <v>1311</v>
      </c>
      <c r="BC189" s="325">
        <v>22</v>
      </c>
      <c r="BD189" s="325">
        <v>112013617</v>
      </c>
      <c r="BE189" s="1392" t="str">
        <f t="shared" si="57"/>
        <v>CAMACHO MARIA CANDELA</v>
      </c>
      <c r="BF189" s="618"/>
      <c r="BG189" s="553"/>
      <c r="BH189" s="294"/>
      <c r="BI189" s="618"/>
      <c r="BJ189" s="618"/>
      <c r="BK189" s="618"/>
      <c r="BL189" s="553"/>
      <c r="BM189" s="618"/>
      <c r="BN189" s="618"/>
      <c r="BO189" s="618"/>
    </row>
    <row r="190" spans="1:67" ht="13" hidden="1">
      <c r="A190" s="664" t="s">
        <v>747</v>
      </c>
      <c r="B190" s="325">
        <v>4</v>
      </c>
      <c r="C190" s="325">
        <v>112014375</v>
      </c>
      <c r="D190" s="1392" t="str">
        <f t="shared" si="47"/>
        <v>CABRERA NATALIA ROMINA/ Y FONTENLA</v>
      </c>
      <c r="G190" s="325" t="s">
        <v>176</v>
      </c>
      <c r="H190" s="325">
        <v>1</v>
      </c>
      <c r="I190" s="325">
        <v>112011726</v>
      </c>
      <c r="J190" s="1393" t="str">
        <f t="shared" si="48"/>
        <v>AVILA EMILSE VICTORIA</v>
      </c>
      <c r="M190" s="664" t="s">
        <v>635</v>
      </c>
      <c r="N190" s="324">
        <v>4</v>
      </c>
      <c r="O190" s="325">
        <v>112014064</v>
      </c>
      <c r="P190" s="1392" t="str">
        <f t="shared" si="49"/>
        <v>BIAFORE RICARDO DANIEL</v>
      </c>
      <c r="R190" s="664" t="s">
        <v>314</v>
      </c>
      <c r="S190" s="324">
        <v>1</v>
      </c>
      <c r="T190" s="325">
        <v>112012285</v>
      </c>
      <c r="U190" s="1392" t="str">
        <f t="shared" si="50"/>
        <v>BIANCHI TARQUINO JESUS FEDERICO</v>
      </c>
      <c r="W190" s="664" t="s">
        <v>405</v>
      </c>
      <c r="X190" s="324">
        <v>7</v>
      </c>
      <c r="Y190" s="325">
        <v>112010701</v>
      </c>
      <c r="Z190" s="1392" t="str">
        <f t="shared" si="51"/>
        <v>BOUZOUT ALEJANDRO HORACIO</v>
      </c>
      <c r="AB190" s="664" t="s">
        <v>973</v>
      </c>
      <c r="AC190" s="325">
        <v>1</v>
      </c>
      <c r="AD190" s="325">
        <v>112014098</v>
      </c>
      <c r="AE190" s="1392" t="e">
        <f t="shared" si="52"/>
        <v>#N/A</v>
      </c>
      <c r="AF190" s="302"/>
      <c r="AG190" s="325" t="s">
        <v>1341</v>
      </c>
      <c r="AH190" s="325">
        <v>1</v>
      </c>
      <c r="AI190" s="325">
        <v>112013975</v>
      </c>
      <c r="AJ190" s="799" t="str">
        <f t="shared" si="53"/>
        <v>BURON RICARDO/ ALFANO MARIA</v>
      </c>
      <c r="AL190" s="323" t="s">
        <v>1208</v>
      </c>
      <c r="AM190" s="325">
        <v>1</v>
      </c>
      <c r="AN190" s="325">
        <v>112011846</v>
      </c>
      <c r="AO190" s="1394" t="e">
        <f t="shared" si="54"/>
        <v>#N/A</v>
      </c>
      <c r="AQ190" s="1395" t="s">
        <v>1020</v>
      </c>
      <c r="AR190" s="325">
        <v>7</v>
      </c>
      <c r="AS190" s="325">
        <v>112014709</v>
      </c>
      <c r="AT190" s="1397" t="str">
        <f t="shared" si="55"/>
        <v>CARLOS PEDRO CEFERINO MORA</v>
      </c>
      <c r="AU190" s="302"/>
      <c r="AV190" s="302"/>
      <c r="AW190" s="664" t="s">
        <v>1490</v>
      </c>
      <c r="AX190" s="325"/>
      <c r="AY190" s="325">
        <v>112014736</v>
      </c>
      <c r="AZ190" s="1392" t="str">
        <f t="shared" si="56"/>
        <v>CARDOZO LIDIA ESTHER</v>
      </c>
      <c r="BA190" s="302"/>
      <c r="BB190" s="664" t="s">
        <v>1055</v>
      </c>
      <c r="BC190" s="325">
        <v>22</v>
      </c>
      <c r="BD190" s="325">
        <v>112012985</v>
      </c>
      <c r="BE190" s="1392" t="str">
        <f t="shared" si="57"/>
        <v>CARRERA MARIA FLORENCIA</v>
      </c>
      <c r="BF190" s="618"/>
      <c r="BG190" s="553"/>
      <c r="BH190" s="294"/>
      <c r="BI190" s="618"/>
      <c r="BJ190" s="618"/>
      <c r="BK190" s="618"/>
      <c r="BL190" s="553"/>
      <c r="BM190" s="618"/>
      <c r="BN190" s="618"/>
      <c r="BO190" s="618"/>
    </row>
    <row r="191" spans="1:67" ht="13" hidden="1">
      <c r="A191" s="664" t="s">
        <v>772</v>
      </c>
      <c r="B191" s="325">
        <v>1</v>
      </c>
      <c r="C191" s="325">
        <v>112012921</v>
      </c>
      <c r="D191" s="1392" t="str">
        <f t="shared" si="47"/>
        <v>CAMINITO FABIAN OSCAR</v>
      </c>
      <c r="G191" s="325" t="s">
        <v>140</v>
      </c>
      <c r="H191" s="325">
        <v>4</v>
      </c>
      <c r="I191" s="325">
        <v>112013434</v>
      </c>
      <c r="J191" s="1393" t="e">
        <f t="shared" si="48"/>
        <v>#N/A</v>
      </c>
      <c r="M191" s="664" t="s">
        <v>658</v>
      </c>
      <c r="N191" s="324"/>
      <c r="O191" s="325">
        <v>112013822</v>
      </c>
      <c r="P191" s="1392" t="str">
        <f t="shared" si="49"/>
        <v>BIOGÉNESIS BAGÓ S.A.</v>
      </c>
      <c r="R191" s="664" t="s">
        <v>259</v>
      </c>
      <c r="S191" s="324">
        <v>38</v>
      </c>
      <c r="T191" s="325">
        <v>11201268801</v>
      </c>
      <c r="U191" s="1392" t="str">
        <f t="shared" si="50"/>
        <v>BRACUTO PABLO/PEREZ MARIANA 2</v>
      </c>
      <c r="W191" s="664" t="s">
        <v>423</v>
      </c>
      <c r="X191" s="324">
        <v>22</v>
      </c>
      <c r="Y191" s="325">
        <v>112013684</v>
      </c>
      <c r="Z191" s="1392" t="str">
        <f t="shared" si="51"/>
        <v>BROWN / PIÑEYRO</v>
      </c>
      <c r="AB191" s="664" t="s">
        <v>931</v>
      </c>
      <c r="AC191" s="325">
        <v>22</v>
      </c>
      <c r="AD191" s="325">
        <v>112014746</v>
      </c>
      <c r="AE191" s="1392" t="e">
        <f t="shared" si="52"/>
        <v>#N/A</v>
      </c>
      <c r="AF191" s="302"/>
      <c r="AG191" s="325" t="s">
        <v>1356</v>
      </c>
      <c r="AH191" s="325">
        <v>1</v>
      </c>
      <c r="AI191" s="325">
        <v>112013098</v>
      </c>
      <c r="AJ191" s="799" t="str">
        <f t="shared" si="53"/>
        <v>BUSS BRAUN PAMELA DAIANA</v>
      </c>
      <c r="AL191" s="323" t="s">
        <v>1223</v>
      </c>
      <c r="AM191" s="325">
        <v>1</v>
      </c>
      <c r="AN191" s="325">
        <v>112012078</v>
      </c>
      <c r="AO191" s="1394" t="e">
        <f t="shared" si="54"/>
        <v>#N/A</v>
      </c>
      <c r="AQ191" s="1395" t="s">
        <v>1055</v>
      </c>
      <c r="AR191" s="325">
        <v>1</v>
      </c>
      <c r="AS191" s="325">
        <v>112013706</v>
      </c>
      <c r="AT191" s="1397" t="str">
        <f t="shared" si="55"/>
        <v>CARRERA MARIA FLORENCIA</v>
      </c>
      <c r="AU191" s="302"/>
      <c r="AV191" s="302"/>
      <c r="AW191" s="664" t="s">
        <v>1426</v>
      </c>
      <c r="AX191" s="325">
        <v>22</v>
      </c>
      <c r="AY191" s="325">
        <v>112013392</v>
      </c>
      <c r="AZ191" s="1392" t="str">
        <f t="shared" si="56"/>
        <v>CARLI VICTOR CAMILO</v>
      </c>
      <c r="BA191" s="302"/>
      <c r="BB191" s="664" t="s">
        <v>1056</v>
      </c>
      <c r="BC191" s="325">
        <v>22</v>
      </c>
      <c r="BD191" s="325">
        <v>112013516</v>
      </c>
      <c r="BE191" s="1392" t="str">
        <f t="shared" si="57"/>
        <v>CARRICA MARIANO/LA REYERTA</v>
      </c>
      <c r="BF191" s="618"/>
      <c r="BG191" s="553"/>
      <c r="BH191" s="294"/>
      <c r="BI191" s="618"/>
      <c r="BJ191" s="618"/>
      <c r="BK191" s="618"/>
      <c r="BL191" s="553"/>
      <c r="BM191" s="618"/>
      <c r="BN191" s="618"/>
      <c r="BO191" s="618"/>
    </row>
    <row r="192" spans="1:67" ht="13" hidden="1">
      <c r="A192" s="664" t="s">
        <v>725</v>
      </c>
      <c r="B192" s="325">
        <v>4</v>
      </c>
      <c r="C192" s="325">
        <v>112013294</v>
      </c>
      <c r="D192" s="1392" t="str">
        <f t="shared" si="47"/>
        <v>CANOSA JESICA LUCIA</v>
      </c>
      <c r="G192" s="325" t="s">
        <v>116</v>
      </c>
      <c r="H192" s="325">
        <v>4</v>
      </c>
      <c r="I192" s="325">
        <v>112014269</v>
      </c>
      <c r="J192" s="1393" t="str">
        <f t="shared" si="48"/>
        <v>BEDOYA CAROLINA</v>
      </c>
      <c r="M192" s="664" t="s">
        <v>557</v>
      </c>
      <c r="N192" s="324">
        <v>18</v>
      </c>
      <c r="O192" s="325">
        <v>112014506</v>
      </c>
      <c r="P192" s="1392" t="str">
        <f t="shared" si="49"/>
        <v>BOHDAN MYASNIKOV</v>
      </c>
      <c r="R192" s="664" t="s">
        <v>315</v>
      </c>
      <c r="S192" s="324">
        <v>1</v>
      </c>
      <c r="T192" s="325">
        <v>112011737</v>
      </c>
      <c r="U192" s="1392" t="str">
        <f t="shared" si="50"/>
        <v>BUET LAURA PAOLA</v>
      </c>
      <c r="W192" s="664" t="s">
        <v>471</v>
      </c>
      <c r="X192" s="324">
        <v>1</v>
      </c>
      <c r="Y192" s="325">
        <v>112012968</v>
      </c>
      <c r="Z192" s="1392" t="str">
        <f t="shared" si="51"/>
        <v>BUET CARLA ESTEFANIA</v>
      </c>
      <c r="AB192" s="664" t="s">
        <v>853</v>
      </c>
      <c r="AC192" s="325">
        <v>7</v>
      </c>
      <c r="AD192" s="325">
        <v>112014714</v>
      </c>
      <c r="AE192" s="1392" t="str">
        <f t="shared" si="52"/>
        <v>CARDINALI MATIAS DANIEL</v>
      </c>
      <c r="AF192" s="302"/>
      <c r="AG192" s="325" t="s">
        <v>1291</v>
      </c>
      <c r="AH192" s="325">
        <v>22</v>
      </c>
      <c r="AI192" s="325">
        <v>112013986</v>
      </c>
      <c r="AJ192" s="799" t="str">
        <f t="shared" si="53"/>
        <v>CABALLERO COMERCIAL Y AGROPECUARIA SA</v>
      </c>
      <c r="AL192" s="323" t="s">
        <v>1209</v>
      </c>
      <c r="AM192" s="325">
        <v>1</v>
      </c>
      <c r="AN192" s="325">
        <v>112012178</v>
      </c>
      <c r="AO192" s="1394" t="e">
        <f t="shared" si="54"/>
        <v>#N/A</v>
      </c>
      <c r="AQ192" s="1395" t="s">
        <v>1056</v>
      </c>
      <c r="AR192" s="325">
        <v>1</v>
      </c>
      <c r="AS192" s="325">
        <v>112013451</v>
      </c>
      <c r="AT192" s="1397" t="e">
        <f t="shared" si="55"/>
        <v>#N/A</v>
      </c>
      <c r="AU192" s="302"/>
      <c r="AV192" s="302"/>
      <c r="AW192" s="664" t="s">
        <v>1433</v>
      </c>
      <c r="AX192" s="325">
        <v>22</v>
      </c>
      <c r="AY192" s="325">
        <v>112014189</v>
      </c>
      <c r="AZ192" s="1392" t="str">
        <f t="shared" si="56"/>
        <v>CHAVES JUAN PABLO</v>
      </c>
      <c r="BA192" s="302"/>
      <c r="BB192" s="664" t="s">
        <v>1029</v>
      </c>
      <c r="BC192" s="325">
        <v>22</v>
      </c>
      <c r="BD192" s="325">
        <v>112013508</v>
      </c>
      <c r="BE192" s="1392" t="str">
        <f t="shared" si="57"/>
        <v>CENTRO MEDICO VETERINARIO</v>
      </c>
      <c r="BF192" s="618"/>
      <c r="BG192" s="553"/>
      <c r="BH192" s="294"/>
      <c r="BI192" s="618"/>
      <c r="BJ192" s="618"/>
      <c r="BK192" s="618"/>
      <c r="BL192" s="553"/>
      <c r="BM192" s="618"/>
      <c r="BN192" s="618"/>
      <c r="BO192" s="618"/>
    </row>
    <row r="193" spans="1:67" ht="13" hidden="1">
      <c r="A193" s="664" t="s">
        <v>735</v>
      </c>
      <c r="B193" s="325">
        <v>1</v>
      </c>
      <c r="C193" s="325">
        <v>112011891</v>
      </c>
      <c r="D193" s="1392" t="str">
        <f t="shared" si="47"/>
        <v>CANSECO LILIANA MABEL</v>
      </c>
      <c r="G193" s="325" t="s">
        <v>142</v>
      </c>
      <c r="H193" s="325">
        <v>4</v>
      </c>
      <c r="I193" s="325">
        <v>112014735</v>
      </c>
      <c r="J193" s="1393" t="str">
        <f t="shared" si="48"/>
        <v>BERMUDEZ EDGAR ROBERTO</v>
      </c>
      <c r="M193" s="664" t="s">
        <v>573</v>
      </c>
      <c r="N193" s="324">
        <v>4</v>
      </c>
      <c r="O193" s="325">
        <v>112014398</v>
      </c>
      <c r="P193" s="1392" t="str">
        <f t="shared" si="49"/>
        <v>BOYER DIEGO DANIEL</v>
      </c>
      <c r="R193" s="664" t="s">
        <v>270</v>
      </c>
      <c r="S193" s="324">
        <v>22</v>
      </c>
      <c r="T193" s="325">
        <v>112014184</v>
      </c>
      <c r="U193" s="1392" t="str">
        <f t="shared" si="50"/>
        <v>CABRIL YANINA SOLEDAD</v>
      </c>
      <c r="W193" s="664" t="s">
        <v>448</v>
      </c>
      <c r="X193" s="324">
        <v>20</v>
      </c>
      <c r="Y193" s="325">
        <v>112013030</v>
      </c>
      <c r="Z193" s="1392" t="str">
        <f t="shared" si="51"/>
        <v>CALVO CARLOS JOSE</v>
      </c>
      <c r="AB193" s="664" t="s">
        <v>953</v>
      </c>
      <c r="AC193" s="325">
        <v>1</v>
      </c>
      <c r="AD193" s="325">
        <v>112014052</v>
      </c>
      <c r="AE193" s="1392" t="e">
        <f t="shared" si="52"/>
        <v>#N/A</v>
      </c>
      <c r="AF193" s="302"/>
      <c r="AG193" s="325" t="s">
        <v>1266</v>
      </c>
      <c r="AH193" s="325">
        <v>12</v>
      </c>
      <c r="AI193" s="325">
        <v>112013711</v>
      </c>
      <c r="AJ193" s="799" t="str">
        <f t="shared" si="53"/>
        <v>CALDENTEY TOMAS/CALDENTEY Y CAPOZUCCA/CAPOZUCCA FRANCO</v>
      </c>
      <c r="AL193" s="323" t="s">
        <v>1180</v>
      </c>
      <c r="AM193" s="325">
        <v>1</v>
      </c>
      <c r="AN193" s="325">
        <v>112012186</v>
      </c>
      <c r="AO193" s="1394" t="e">
        <f t="shared" si="54"/>
        <v>#N/A</v>
      </c>
      <c r="AQ193" s="1395" t="s">
        <v>1049</v>
      </c>
      <c r="AR193" s="325">
        <v>1</v>
      </c>
      <c r="AS193" s="325">
        <v>112013829</v>
      </c>
      <c r="AT193" s="1397" t="str">
        <f t="shared" si="55"/>
        <v>CARUSO ANTONELA</v>
      </c>
      <c r="AU193" s="302"/>
      <c r="AV193" s="302"/>
      <c r="AW193" s="664" t="s">
        <v>1427</v>
      </c>
      <c r="AX193" s="325">
        <v>22</v>
      </c>
      <c r="AY193" s="325">
        <v>112013194</v>
      </c>
      <c r="AZ193" s="1392" t="str">
        <f t="shared" si="56"/>
        <v>CHIARAVALLE MARTIN AMBROSIO</v>
      </c>
      <c r="BA193" s="302"/>
      <c r="BB193" s="664" t="s">
        <v>1433</v>
      </c>
      <c r="BC193" s="325">
        <v>22</v>
      </c>
      <c r="BD193" s="325">
        <v>112013773</v>
      </c>
      <c r="BE193" s="1392" t="str">
        <f t="shared" si="57"/>
        <v>CHAVES JUAN PABLO</v>
      </c>
      <c r="BF193" s="618"/>
      <c r="BG193" s="553"/>
      <c r="BH193" s="294"/>
      <c r="BI193" s="618"/>
      <c r="BJ193" s="618"/>
      <c r="BK193" s="618"/>
      <c r="BL193" s="553"/>
      <c r="BM193" s="618"/>
      <c r="BN193" s="618"/>
      <c r="BO193" s="618"/>
    </row>
    <row r="194" spans="1:67" ht="13" hidden="1">
      <c r="A194" s="664" t="s">
        <v>685</v>
      </c>
      <c r="B194" s="325">
        <v>14</v>
      </c>
      <c r="C194" s="325">
        <v>112014486</v>
      </c>
      <c r="D194" s="1392" t="e">
        <f t="shared" si="47"/>
        <v>#N/A</v>
      </c>
      <c r="G194" s="325" t="s">
        <v>141</v>
      </c>
      <c r="H194" s="325">
        <v>4</v>
      </c>
      <c r="I194" s="325">
        <v>112012636</v>
      </c>
      <c r="J194" s="1393" t="str">
        <f t="shared" si="48"/>
        <v>BERMUDEZ JAVIER/CABIROL GERMAN</v>
      </c>
      <c r="M194" s="664" t="s">
        <v>524</v>
      </c>
      <c r="N194" s="324">
        <v>7</v>
      </c>
      <c r="O194" s="325">
        <v>112014223</v>
      </c>
      <c r="P194" s="1392" t="str">
        <f t="shared" si="49"/>
        <v>BRUNACCI PABLO ALEJANDRO</v>
      </c>
      <c r="R194" s="664" t="s">
        <v>348</v>
      </c>
      <c r="S194" s="324"/>
      <c r="T194" s="325">
        <v>112014294</v>
      </c>
      <c r="U194" s="1392" t="str">
        <f t="shared" si="50"/>
        <v>CARO EMILIANO</v>
      </c>
      <c r="W194" s="664" t="s">
        <v>424</v>
      </c>
      <c r="X194" s="324">
        <v>22</v>
      </c>
      <c r="Y194" s="325">
        <v>112010796</v>
      </c>
      <c r="Z194" s="1392" t="str">
        <f t="shared" si="51"/>
        <v>CARINO CLAUDIO ANGEL</v>
      </c>
      <c r="AB194" s="664" t="s">
        <v>894</v>
      </c>
      <c r="AC194" s="325">
        <v>1</v>
      </c>
      <c r="AD194" s="325">
        <v>112011642</v>
      </c>
      <c r="AE194" s="1392" t="str">
        <f t="shared" si="52"/>
        <v>CARNEVALI MARIA EUGENIA</v>
      </c>
      <c r="AF194" s="302"/>
      <c r="AG194" s="325" t="s">
        <v>1311</v>
      </c>
      <c r="AH194" s="325">
        <v>22</v>
      </c>
      <c r="AI194" s="325">
        <v>112013525</v>
      </c>
      <c r="AJ194" s="799" t="str">
        <f t="shared" si="53"/>
        <v>CAMACHO MARIA CANDELA</v>
      </c>
      <c r="AL194" s="323" t="s">
        <v>1137</v>
      </c>
      <c r="AM194" s="325">
        <v>22</v>
      </c>
      <c r="AN194" s="325">
        <v>112012187</v>
      </c>
      <c r="AO194" s="1394" t="str">
        <f t="shared" si="54"/>
        <v>GATTI CARINA</v>
      </c>
      <c r="AQ194" s="1395" t="s">
        <v>1069</v>
      </c>
      <c r="AR194" s="325">
        <v>1</v>
      </c>
      <c r="AS194" s="325">
        <v>112010811</v>
      </c>
      <c r="AT194" s="1397" t="str">
        <f t="shared" si="55"/>
        <v>CASTEX GERVASIO LUIS</v>
      </c>
      <c r="AU194" s="302"/>
      <c r="AV194" s="302"/>
      <c r="AW194" s="664" t="s">
        <v>1475</v>
      </c>
      <c r="AX194" s="325">
        <v>1</v>
      </c>
      <c r="AY194" s="325">
        <v>112013917</v>
      </c>
      <c r="AZ194" s="1392" t="str">
        <f t="shared" si="56"/>
        <v>CONSEJO NACIONAL DE INVESTIGACIONES CIENTIFICAS Y TECNICAS CONICET</v>
      </c>
      <c r="BA194" s="302"/>
      <c r="BB194" s="664" t="s">
        <v>1061</v>
      </c>
      <c r="BC194" s="325">
        <v>20</v>
      </c>
      <c r="BD194" s="325">
        <v>112013891</v>
      </c>
      <c r="BE194" s="1392" t="str">
        <f t="shared" si="57"/>
        <v>CHOMICKI CHRISTIAN DANIEL</v>
      </c>
      <c r="BF194" s="618"/>
      <c r="BG194" s="553"/>
      <c r="BH194" s="294"/>
      <c r="BI194" s="618"/>
      <c r="BJ194" s="618"/>
      <c r="BK194" s="618"/>
      <c r="BL194" s="553"/>
      <c r="BM194" s="618"/>
      <c r="BN194" s="618"/>
      <c r="BO194" s="618"/>
    </row>
    <row r="195" spans="1:67" ht="13" hidden="1">
      <c r="A195" s="664" t="s">
        <v>716</v>
      </c>
      <c r="B195" s="325">
        <v>3</v>
      </c>
      <c r="C195" s="325">
        <v>112013102</v>
      </c>
      <c r="D195" s="1392" t="str">
        <f t="shared" si="47"/>
        <v>CARBALLO GARCIA ROXANA VANESA</v>
      </c>
      <c r="G195" s="325" t="s">
        <v>218</v>
      </c>
      <c r="H195" s="325"/>
      <c r="I195" s="325">
        <v>112013085</v>
      </c>
      <c r="J195" s="1393" t="str">
        <f t="shared" si="48"/>
        <v>BIDAL DANIELA SILVANA</v>
      </c>
      <c r="M195" s="664" t="s">
        <v>651</v>
      </c>
      <c r="N195" s="324">
        <v>1</v>
      </c>
      <c r="O195" s="325">
        <v>112014255</v>
      </c>
      <c r="P195" s="1392" t="str">
        <f t="shared" si="49"/>
        <v>BRUUN ERIKA VALERIA</v>
      </c>
      <c r="R195" s="664" t="s">
        <v>297</v>
      </c>
      <c r="S195" s="324">
        <v>4</v>
      </c>
      <c r="T195" s="325">
        <v>112014262</v>
      </c>
      <c r="U195" s="1392" t="str">
        <f t="shared" si="50"/>
        <v>CASTRO J MANUEL C</v>
      </c>
      <c r="W195" s="664" t="s">
        <v>406</v>
      </c>
      <c r="X195" s="324">
        <v>7</v>
      </c>
      <c r="Y195" s="325">
        <v>112013002</v>
      </c>
      <c r="Z195" s="1392" t="str">
        <f t="shared" si="51"/>
        <v>CARUSO FABIAN CARLOS</v>
      </c>
      <c r="AB195" s="664" t="s">
        <v>974</v>
      </c>
      <c r="AC195" s="325">
        <v>1</v>
      </c>
      <c r="AD195" s="325">
        <v>112014099</v>
      </c>
      <c r="AE195" s="1392" t="e">
        <f t="shared" si="52"/>
        <v>#N/A</v>
      </c>
      <c r="AF195" s="302"/>
      <c r="AG195" s="325" t="s">
        <v>1346</v>
      </c>
      <c r="AH195" s="325">
        <v>1</v>
      </c>
      <c r="AI195" s="325">
        <v>112012918</v>
      </c>
      <c r="AJ195" s="799" t="str">
        <f t="shared" si="53"/>
        <v>CAMPOSTRINI JAVIER ALEJANDRO</v>
      </c>
      <c r="AL195" s="323" t="s">
        <v>1199</v>
      </c>
      <c r="AM195" s="325">
        <v>4</v>
      </c>
      <c r="AN195" s="325">
        <v>112012202</v>
      </c>
      <c r="AO195" s="1394" t="e">
        <f t="shared" si="54"/>
        <v>#N/A</v>
      </c>
      <c r="AQ195" s="1395" t="s">
        <v>1050</v>
      </c>
      <c r="AR195" s="325">
        <v>1</v>
      </c>
      <c r="AS195" s="325">
        <v>112013842</v>
      </c>
      <c r="AT195" s="1397" t="str">
        <f t="shared" si="55"/>
        <v>CASTRO NESTOR ANDRES</v>
      </c>
      <c r="AU195" s="302"/>
      <c r="AV195" s="302"/>
      <c r="AW195" s="664" t="s">
        <v>1434</v>
      </c>
      <c r="AX195" s="325">
        <v>22</v>
      </c>
      <c r="AY195" s="325">
        <v>112014288</v>
      </c>
      <c r="AZ195" s="1392" t="str">
        <f t="shared" si="56"/>
        <v>CORTI GONZALO IVAN</v>
      </c>
      <c r="BA195" s="302"/>
      <c r="BB195" s="664" t="s">
        <v>1378</v>
      </c>
      <c r="BC195" s="325"/>
      <c r="BD195" s="325">
        <v>112013493</v>
      </c>
      <c r="BE195" s="1392" t="str">
        <f t="shared" si="57"/>
        <v>CONEXPOR SOCIEDAD ANONIMA S. A.</v>
      </c>
      <c r="BF195" s="618"/>
      <c r="BG195" s="553"/>
      <c r="BH195" s="294"/>
      <c r="BI195" s="618"/>
      <c r="BJ195" s="618"/>
      <c r="BK195" s="618"/>
      <c r="BL195" s="553"/>
      <c r="BM195" s="618"/>
      <c r="BN195" s="618"/>
      <c r="BO195" s="618"/>
    </row>
    <row r="196" spans="1:67" ht="13" hidden="1">
      <c r="A196" s="664" t="s">
        <v>686</v>
      </c>
      <c r="B196" s="325">
        <v>38</v>
      </c>
      <c r="C196" s="325">
        <v>112013225</v>
      </c>
      <c r="D196" s="1392" t="str">
        <f t="shared" si="47"/>
        <v>CARERI LEANDRO GASTON</v>
      </c>
      <c r="G196" s="325" t="s">
        <v>117</v>
      </c>
      <c r="H196" s="325">
        <v>4</v>
      </c>
      <c r="I196" s="325">
        <v>112012099</v>
      </c>
      <c r="J196" s="1393" t="str">
        <f t="shared" si="48"/>
        <v>BLANCO MARINA GRACIELA</v>
      </c>
      <c r="M196" s="664" t="s">
        <v>551</v>
      </c>
      <c r="N196" s="324">
        <v>3</v>
      </c>
      <c r="O196" s="325">
        <v>112013215</v>
      </c>
      <c r="P196" s="1392" t="str">
        <f t="shared" si="49"/>
        <v>BUSCAGLIA PABLO</v>
      </c>
      <c r="R196" s="664" t="s">
        <v>298</v>
      </c>
      <c r="S196" s="324">
        <v>4</v>
      </c>
      <c r="T196" s="325">
        <v>112014297</v>
      </c>
      <c r="U196" s="1392" t="str">
        <f t="shared" si="50"/>
        <v>CAZENEUVE GUSTAVO ANDRES</v>
      </c>
      <c r="W196" s="664" t="s">
        <v>407</v>
      </c>
      <c r="X196" s="324">
        <v>7</v>
      </c>
      <c r="Y196" s="325">
        <v>112014473</v>
      </c>
      <c r="Z196" s="1392" t="str">
        <f t="shared" si="51"/>
        <v>CESAR LEANDRO DOMINGUEZ</v>
      </c>
      <c r="AB196" s="664" t="s">
        <v>852</v>
      </c>
      <c r="AC196" s="325">
        <v>7</v>
      </c>
      <c r="AD196" s="325">
        <v>112014048</v>
      </c>
      <c r="AE196" s="1392" t="str">
        <f t="shared" si="52"/>
        <v>CHOCOBAR SANDRA EVANGELINA</v>
      </c>
      <c r="AF196" s="302"/>
      <c r="AG196" s="325" t="s">
        <v>1329</v>
      </c>
      <c r="AH196" s="325">
        <v>18</v>
      </c>
      <c r="AI196" s="325">
        <v>112013754</v>
      </c>
      <c r="AJ196" s="799" t="str">
        <f t="shared" si="53"/>
        <v>CARDOZO CARLOS MARIA</v>
      </c>
      <c r="AL196" s="323" t="s">
        <v>1154</v>
      </c>
      <c r="AM196" s="325">
        <v>4</v>
      </c>
      <c r="AN196" s="325">
        <v>112012217</v>
      </c>
      <c r="AO196" s="1394" t="str">
        <f t="shared" si="54"/>
        <v>ROSAS FACUNDO MATIAS</v>
      </c>
      <c r="AQ196" s="1395" t="s">
        <v>1029</v>
      </c>
      <c r="AR196" s="325">
        <v>22</v>
      </c>
      <c r="AS196" s="325">
        <v>112013460</v>
      </c>
      <c r="AT196" s="1397" t="str">
        <f t="shared" si="55"/>
        <v>CENTRO MEDICO VETERINARIO</v>
      </c>
      <c r="AU196" s="302"/>
      <c r="AV196" s="302"/>
      <c r="AW196" s="664" t="s">
        <v>1428</v>
      </c>
      <c r="AX196" s="325">
        <v>22</v>
      </c>
      <c r="AY196" s="325">
        <v>112013212</v>
      </c>
      <c r="AZ196" s="1392" t="str">
        <f t="shared" si="56"/>
        <v>CRISCUELI PAULA AYELEN</v>
      </c>
      <c r="BA196" s="302"/>
      <c r="BB196" s="664" t="s">
        <v>1475</v>
      </c>
      <c r="BC196" s="325">
        <v>1</v>
      </c>
      <c r="BD196" s="325">
        <v>112014647</v>
      </c>
      <c r="BE196" s="1392" t="str">
        <f t="shared" si="57"/>
        <v>CONSEJO NACIONAL DE INVESTIGACIONES CIENTIFICAS Y TECNICAS CONICET</v>
      </c>
      <c r="BF196" s="618"/>
      <c r="BG196" s="553"/>
      <c r="BH196" s="294"/>
      <c r="BI196" s="618"/>
      <c r="BJ196" s="618"/>
      <c r="BK196" s="618"/>
      <c r="BL196" s="553"/>
      <c r="BM196" s="618"/>
      <c r="BN196" s="618"/>
      <c r="BO196" s="618"/>
    </row>
    <row r="197" spans="1:67" ht="13" hidden="1">
      <c r="A197" s="664" t="s">
        <v>718</v>
      </c>
      <c r="B197" s="325">
        <v>18</v>
      </c>
      <c r="C197" s="325">
        <v>112014633</v>
      </c>
      <c r="D197" s="1392" t="str">
        <f t="shared" si="47"/>
        <v>CARLOS COLANTONI/MANERA GISELA</v>
      </c>
      <c r="G197" s="325" t="s">
        <v>143</v>
      </c>
      <c r="H197" s="325">
        <v>4</v>
      </c>
      <c r="I197" s="325">
        <v>112012199</v>
      </c>
      <c r="J197" s="1393" t="str">
        <f t="shared" si="48"/>
        <v>BUONOPANE ANGEL EZEQUIEL</v>
      </c>
      <c r="M197" s="664" t="s">
        <v>517</v>
      </c>
      <c r="N197" s="324">
        <v>8</v>
      </c>
      <c r="O197" s="325">
        <v>112014211</v>
      </c>
      <c r="P197" s="1392" t="str">
        <f t="shared" si="49"/>
        <v>CABRERA JESICA GABRIELA</v>
      </c>
      <c r="R197" s="664" t="s">
        <v>316</v>
      </c>
      <c r="S197" s="324">
        <v>1</v>
      </c>
      <c r="T197" s="325">
        <v>112013256</v>
      </c>
      <c r="U197" s="1392" t="str">
        <f t="shared" si="50"/>
        <v>CENTRO DE DERIVACIONES E INTERNACION VETERINARIA BERNAL SRL</v>
      </c>
      <c r="W197" s="664" t="s">
        <v>425</v>
      </c>
      <c r="X197" s="324">
        <v>22</v>
      </c>
      <c r="Y197" s="325">
        <v>112012259</v>
      </c>
      <c r="Z197" s="1392" t="str">
        <f t="shared" si="51"/>
        <v>CHAVANNE MARIA</v>
      </c>
      <c r="AB197" s="664" t="s">
        <v>935</v>
      </c>
      <c r="AC197" s="325">
        <v>4</v>
      </c>
      <c r="AD197" s="325">
        <v>112011654</v>
      </c>
      <c r="AE197" s="1392" t="e">
        <f t="shared" si="52"/>
        <v>#N/A</v>
      </c>
      <c r="AF197" s="302"/>
      <c r="AG197" s="325" t="s">
        <v>1347</v>
      </c>
      <c r="AH197" s="325">
        <v>1</v>
      </c>
      <c r="AI197" s="325">
        <v>112011806</v>
      </c>
      <c r="AJ197" s="799" t="str">
        <f t="shared" si="53"/>
        <v>CARMELINI DANIEL GERMAN</v>
      </c>
      <c r="AL197" s="323" t="s">
        <v>1235</v>
      </c>
      <c r="AM197" s="325">
        <v>4</v>
      </c>
      <c r="AN197" s="325">
        <v>112012289</v>
      </c>
      <c r="AO197" s="1394" t="e">
        <f t="shared" si="54"/>
        <v>#N/A</v>
      </c>
      <c r="AQ197" s="1395" t="s">
        <v>1077</v>
      </c>
      <c r="AR197" s="325">
        <v>1</v>
      </c>
      <c r="AS197" s="325">
        <v>112012463</v>
      </c>
      <c r="AT197" s="1397" t="str">
        <f t="shared" si="55"/>
        <v>CHIRAMBERRO VIVIANA BEATRIZ</v>
      </c>
      <c r="AU197" s="302"/>
      <c r="AV197" s="302"/>
      <c r="AW197" s="664" t="s">
        <v>1417</v>
      </c>
      <c r="AX197" s="325">
        <v>7</v>
      </c>
      <c r="AY197" s="325">
        <v>112013950</v>
      </c>
      <c r="AZ197" s="1392" t="str">
        <f t="shared" si="56"/>
        <v>CUBICINO FRANCO GONZALO</v>
      </c>
      <c r="BA197" s="302"/>
      <c r="BB197" s="664" t="s">
        <v>1286</v>
      </c>
      <c r="BC197" s="325">
        <v>12</v>
      </c>
      <c r="BD197" s="325">
        <v>112013525</v>
      </c>
      <c r="BE197" s="1392" t="str">
        <f t="shared" si="57"/>
        <v>COOPERATIVA AGROPECUARIA E INDUSTRIAL DE RAUCH LIMITADA</v>
      </c>
      <c r="BF197" s="618"/>
      <c r="BG197" s="553"/>
      <c r="BH197" s="294"/>
      <c r="BI197" s="618"/>
      <c r="BJ197" s="618"/>
      <c r="BK197" s="618"/>
      <c r="BL197" s="553"/>
      <c r="BM197" s="618"/>
      <c r="BN197" s="618"/>
      <c r="BO197" s="618"/>
    </row>
    <row r="198" spans="1:67" ht="13" hidden="1">
      <c r="A198" s="664" t="s">
        <v>773</v>
      </c>
      <c r="B198" s="325">
        <v>1</v>
      </c>
      <c r="C198" s="325">
        <v>112012086</v>
      </c>
      <c r="D198" s="1392" t="str">
        <f t="shared" si="47"/>
        <v>CARRICA GASTON EZEQUIEL</v>
      </c>
      <c r="G198" s="325" t="s">
        <v>129</v>
      </c>
      <c r="H198" s="325">
        <v>18</v>
      </c>
      <c r="I198" s="325">
        <v>112012963</v>
      </c>
      <c r="J198" s="1393" t="str">
        <f t="shared" si="48"/>
        <v>CAMPI BRIAN NICOLAS</v>
      </c>
      <c r="M198" s="664" t="s">
        <v>558</v>
      </c>
      <c r="N198" s="324">
        <v>18</v>
      </c>
      <c r="O198" s="325">
        <v>112013338</v>
      </c>
      <c r="P198" s="1392" t="str">
        <f t="shared" si="49"/>
        <v>CALLEGARI LEANDRO ARIEL</v>
      </c>
      <c r="R198" s="664" t="s">
        <v>317</v>
      </c>
      <c r="S198" s="324">
        <v>1</v>
      </c>
      <c r="T198" s="325">
        <v>112010937</v>
      </c>
      <c r="U198" s="1392" t="str">
        <f t="shared" si="50"/>
        <v>CIANI ANIBAL ANDRES</v>
      </c>
      <c r="W198" s="664" t="s">
        <v>476</v>
      </c>
      <c r="X198" s="324">
        <v>1</v>
      </c>
      <c r="Y198" s="325">
        <v>112014238</v>
      </c>
      <c r="Z198" s="1392" t="str">
        <f t="shared" si="51"/>
        <v>CODEGONI ROMINA VICTORIA</v>
      </c>
      <c r="AB198" s="664" t="s">
        <v>886</v>
      </c>
      <c r="AC198" s="325">
        <v>1</v>
      </c>
      <c r="AD198" s="325">
        <v>112012803</v>
      </c>
      <c r="AE198" s="1392" t="str">
        <f t="shared" si="52"/>
        <v>CORVALAN ARIEL PEDRO</v>
      </c>
      <c r="AF198" s="302"/>
      <c r="AG198" s="325" t="s">
        <v>1357</v>
      </c>
      <c r="AH198" s="325">
        <v>1</v>
      </c>
      <c r="AI198" s="325">
        <v>112012775</v>
      </c>
      <c r="AJ198" s="799" t="str">
        <f t="shared" si="53"/>
        <v>CEBRAL JULIA MAGDALENA</v>
      </c>
      <c r="AL198" s="323" t="s">
        <v>866</v>
      </c>
      <c r="AM198" s="325">
        <v>22</v>
      </c>
      <c r="AN198" s="325">
        <v>112012301</v>
      </c>
      <c r="AO198" s="1394" t="e">
        <f t="shared" si="54"/>
        <v>#N/A</v>
      </c>
      <c r="AQ198" s="1395" t="s">
        <v>1061</v>
      </c>
      <c r="AR198" s="325">
        <v>1</v>
      </c>
      <c r="AS198" s="325">
        <v>112013809</v>
      </c>
      <c r="AT198" s="1397" t="str">
        <f t="shared" si="55"/>
        <v>CHOMICKI CHRISTIAN DANIEL</v>
      </c>
      <c r="AU198" s="302"/>
      <c r="AV198" s="302"/>
      <c r="AW198" s="664" t="s">
        <v>1435</v>
      </c>
      <c r="AX198" s="325">
        <v>22</v>
      </c>
      <c r="AY198" s="325">
        <v>112014555</v>
      </c>
      <c r="AZ198" s="1392" t="str">
        <f t="shared" si="56"/>
        <v>DAIANA GISELE VELLAZ BARBIERI</v>
      </c>
      <c r="BA198" s="302"/>
      <c r="BB198" s="664" t="s">
        <v>1434</v>
      </c>
      <c r="BC198" s="325">
        <v>22</v>
      </c>
      <c r="BD198" s="325">
        <v>112013706</v>
      </c>
      <c r="BE198" s="1392" t="str">
        <f t="shared" si="57"/>
        <v>CORTI GONZALO IVAN</v>
      </c>
      <c r="BF198" s="618"/>
      <c r="BG198" s="553"/>
      <c r="BH198" s="294"/>
      <c r="BI198" s="618"/>
      <c r="BJ198" s="618"/>
      <c r="BK198" s="618"/>
      <c r="BL198" s="553"/>
      <c r="BM198" s="618"/>
      <c r="BN198" s="618"/>
      <c r="BO198" s="618"/>
    </row>
    <row r="199" spans="1:67" ht="13" hidden="1">
      <c r="A199" s="664" t="s">
        <v>722</v>
      </c>
      <c r="B199" s="325">
        <v>3</v>
      </c>
      <c r="C199" s="325">
        <v>112012912</v>
      </c>
      <c r="D199" s="1392" t="str">
        <f t="shared" si="47"/>
        <v>CENTRO 1 VET TRUSONI S.R.L./TRUSONI 2</v>
      </c>
      <c r="G199" s="325" t="s">
        <v>219</v>
      </c>
      <c r="H199" s="325"/>
      <c r="I199" s="325">
        <v>112013761</v>
      </c>
      <c r="J199" s="1393" t="str">
        <f t="shared" si="48"/>
        <v>CAMPOS PATRICIA LORENA</v>
      </c>
      <c r="M199" s="664" t="s">
        <v>649</v>
      </c>
      <c r="N199" s="324">
        <v>1</v>
      </c>
      <c r="O199" s="325">
        <v>112014031</v>
      </c>
      <c r="P199" s="1392" t="str">
        <f t="shared" si="49"/>
        <v>CALVO RUBEN OSCAR</v>
      </c>
      <c r="R199" s="664" t="s">
        <v>318</v>
      </c>
      <c r="S199" s="324">
        <v>1</v>
      </c>
      <c r="T199" s="325">
        <v>112012218</v>
      </c>
      <c r="U199" s="1392" t="str">
        <f t="shared" si="50"/>
        <v>COLLA NORBERTO OSCAR</v>
      </c>
      <c r="W199" s="664" t="s">
        <v>376</v>
      </c>
      <c r="X199" s="324">
        <v>38</v>
      </c>
      <c r="Y199" s="325">
        <v>112014716</v>
      </c>
      <c r="Z199" s="1392" t="e">
        <f t="shared" si="51"/>
        <v>#N/A</v>
      </c>
      <c r="AB199" s="664" t="s">
        <v>955</v>
      </c>
      <c r="AC199" s="325">
        <v>1</v>
      </c>
      <c r="AD199" s="325">
        <v>112011492</v>
      </c>
      <c r="AE199" s="1392" t="e">
        <f t="shared" si="52"/>
        <v>#N/A</v>
      </c>
      <c r="AF199" s="302"/>
      <c r="AG199" s="325" t="s">
        <v>1292</v>
      </c>
      <c r="AH199" s="325">
        <v>22</v>
      </c>
      <c r="AI199" s="325">
        <v>112013988</v>
      </c>
      <c r="AJ199" s="799" t="str">
        <f t="shared" si="53"/>
        <v>CENTRO PET ARGENTINA S.R.L.</v>
      </c>
      <c r="AL199" s="323" t="s">
        <v>880</v>
      </c>
      <c r="AM199" s="325">
        <v>4</v>
      </c>
      <c r="AN199" s="325">
        <v>112012373</v>
      </c>
      <c r="AO199" s="1394" t="e">
        <f t="shared" si="54"/>
        <v>#N/A</v>
      </c>
      <c r="AQ199" s="1395" t="s">
        <v>1111</v>
      </c>
      <c r="AR199" s="325">
        <v>22</v>
      </c>
      <c r="AS199" s="325">
        <v>112011976</v>
      </c>
      <c r="AT199" s="1397" t="e">
        <f t="shared" si="55"/>
        <v>#N/A</v>
      </c>
      <c r="AU199" s="302"/>
      <c r="AV199" s="302"/>
      <c r="AW199" s="664" t="s">
        <v>1429</v>
      </c>
      <c r="AX199" s="325">
        <v>22</v>
      </c>
      <c r="AY199" s="325">
        <v>112014574</v>
      </c>
      <c r="AZ199" s="1392" t="str">
        <f t="shared" si="56"/>
        <v>DANIELA ALEJANDRA ORDOÑEZ BONILLA</v>
      </c>
      <c r="BA199" s="302"/>
      <c r="BB199" s="664" t="s">
        <v>886</v>
      </c>
      <c r="BC199" s="325">
        <v>20</v>
      </c>
      <c r="BD199" s="325">
        <v>112013460</v>
      </c>
      <c r="BE199" s="1392" t="str">
        <f t="shared" si="57"/>
        <v>CORVALAN ARIEL PEDRO</v>
      </c>
      <c r="BF199" s="618"/>
      <c r="BG199" s="553"/>
      <c r="BH199" s="294"/>
      <c r="BI199" s="618"/>
      <c r="BJ199" s="618"/>
      <c r="BK199" s="618"/>
      <c r="BL199" s="553"/>
      <c r="BM199" s="618"/>
      <c r="BN199" s="618"/>
      <c r="BO199" s="618"/>
    </row>
    <row r="200" spans="1:67" ht="13" hidden="1">
      <c r="A200" s="664" t="s">
        <v>774</v>
      </c>
      <c r="B200" s="325">
        <v>1</v>
      </c>
      <c r="C200" s="325">
        <v>112013227</v>
      </c>
      <c r="D200" s="1392" t="str">
        <f t="shared" si="47"/>
        <v>CHOCOBAR ALDO GERMAN</v>
      </c>
      <c r="G200" s="325" t="s">
        <v>130</v>
      </c>
      <c r="H200" s="325">
        <v>18</v>
      </c>
      <c r="I200" s="325">
        <v>112014569</v>
      </c>
      <c r="J200" s="1393" t="str">
        <f t="shared" si="48"/>
        <v>CANDIDO PABLO SEBASTIAN</v>
      </c>
      <c r="M200" s="664" t="s">
        <v>575</v>
      </c>
      <c r="N200" s="324">
        <v>4</v>
      </c>
      <c r="O200" s="325">
        <v>112014711</v>
      </c>
      <c r="P200" s="1392" t="str">
        <f t="shared" si="49"/>
        <v>CAMARILLO HERNANDEZ ISABEL CRISTINA</v>
      </c>
      <c r="R200" s="664" t="s">
        <v>264</v>
      </c>
      <c r="S200" s="324">
        <v>12</v>
      </c>
      <c r="T200" s="325">
        <v>112012511</v>
      </c>
      <c r="U200" s="1392" t="str">
        <f t="shared" si="50"/>
        <v>CORRAL ABEL HOGO</v>
      </c>
      <c r="W200" s="664" t="s">
        <v>378</v>
      </c>
      <c r="X200" s="324">
        <v>10</v>
      </c>
      <c r="Y200" s="325">
        <v>112013045</v>
      </c>
      <c r="Z200" s="1392" t="str">
        <f t="shared" si="51"/>
        <v>COTTI DE LA LASTRA FEDERICO EDUARDO</v>
      </c>
      <c r="AB200" s="664" t="s">
        <v>961</v>
      </c>
      <c r="AC200" s="325">
        <v>1</v>
      </c>
      <c r="AD200" s="325">
        <v>112013049</v>
      </c>
      <c r="AE200" s="1392" t="e">
        <f t="shared" si="52"/>
        <v>#N/A</v>
      </c>
      <c r="AF200" s="302"/>
      <c r="AG200" s="325" t="s">
        <v>1358</v>
      </c>
      <c r="AH200" s="325">
        <v>1</v>
      </c>
      <c r="AI200" s="325">
        <v>112011920</v>
      </c>
      <c r="AJ200" s="799" t="str">
        <f t="shared" si="53"/>
        <v>CHAAR GUILLERMO ANICETO</v>
      </c>
      <c r="AL200" s="323" t="s">
        <v>1213</v>
      </c>
      <c r="AM200" s="325">
        <v>4</v>
      </c>
      <c r="AN200" s="325">
        <v>112012375</v>
      </c>
      <c r="AO200" s="1394" t="e">
        <f t="shared" si="54"/>
        <v>#N/A</v>
      </c>
      <c r="AQ200" s="1395" t="s">
        <v>1088</v>
      </c>
      <c r="AR200" s="325">
        <v>1</v>
      </c>
      <c r="AS200" s="325">
        <v>112014402</v>
      </c>
      <c r="AT200" s="1397" t="str">
        <f t="shared" si="55"/>
        <v>CONSTANTINO MARIA FLORENCIA</v>
      </c>
      <c r="AU200" s="302"/>
      <c r="AV200" s="302"/>
      <c r="AW200" s="664" t="s">
        <v>1436</v>
      </c>
      <c r="AX200" s="325">
        <v>22</v>
      </c>
      <c r="AY200" s="325">
        <v>112012334</v>
      </c>
      <c r="AZ200" s="1392" t="str">
        <f t="shared" si="56"/>
        <v>DI CROCE FABIO ALEJANDRO</v>
      </c>
      <c r="BA200" s="302"/>
      <c r="BB200" s="664" t="s">
        <v>1312</v>
      </c>
      <c r="BC200" s="325">
        <v>22</v>
      </c>
      <c r="BD200" s="325">
        <v>112014189</v>
      </c>
      <c r="BE200" s="1392" t="str">
        <f t="shared" si="57"/>
        <v>COUYOUPETROU NESTOR MAXIMILIANO</v>
      </c>
      <c r="BF200" s="618"/>
      <c r="BG200" s="553"/>
      <c r="BH200" s="294"/>
      <c r="BI200" s="618"/>
      <c r="BJ200" s="618"/>
      <c r="BK200" s="618"/>
      <c r="BL200" s="553"/>
      <c r="BM200" s="618"/>
      <c r="BN200" s="618"/>
      <c r="BO200" s="618"/>
    </row>
    <row r="201" spans="1:67" ht="13" hidden="1">
      <c r="A201" s="664" t="s">
        <v>742</v>
      </c>
      <c r="B201" s="325">
        <v>1</v>
      </c>
      <c r="C201" s="325">
        <v>112010927</v>
      </c>
      <c r="D201" s="1392" t="str">
        <f t="shared" si="47"/>
        <v>CID MARIA ROSA</v>
      </c>
      <c r="G201" s="325" t="s">
        <v>144</v>
      </c>
      <c r="H201" s="325">
        <v>4</v>
      </c>
      <c r="I201" s="325">
        <v>112012974</v>
      </c>
      <c r="J201" s="1393" t="e">
        <f t="shared" si="48"/>
        <v>#N/A</v>
      </c>
      <c r="M201" s="664" t="s">
        <v>627</v>
      </c>
      <c r="N201" s="324">
        <v>4</v>
      </c>
      <c r="O201" s="325">
        <v>112014206</v>
      </c>
      <c r="P201" s="1392" t="str">
        <f t="shared" si="49"/>
        <v>CAMPAÑA CLAUDIA FABIANA</v>
      </c>
      <c r="R201" s="664" t="s">
        <v>319</v>
      </c>
      <c r="S201" s="324">
        <v>1</v>
      </c>
      <c r="T201" s="325">
        <v>112011931</v>
      </c>
      <c r="U201" s="1392" t="str">
        <f t="shared" si="50"/>
        <v>CRESPO MERCEDITAS</v>
      </c>
      <c r="W201" s="664" t="s">
        <v>473</v>
      </c>
      <c r="X201" s="324">
        <v>1</v>
      </c>
      <c r="Y201" s="325">
        <v>112013135</v>
      </c>
      <c r="Z201" s="1392" t="str">
        <f t="shared" si="51"/>
        <v>CRIADO ANIBAL</v>
      </c>
      <c r="AB201" s="664" t="s">
        <v>890</v>
      </c>
      <c r="AC201" s="325">
        <v>1</v>
      </c>
      <c r="AD201" s="325">
        <v>112013646</v>
      </c>
      <c r="AE201" s="1392" t="str">
        <f t="shared" si="52"/>
        <v>DIMENNA SANTIAGO DOMINGO JOSE</v>
      </c>
      <c r="AF201" s="302"/>
      <c r="AG201" s="325" t="s">
        <v>1386</v>
      </c>
      <c r="AH201" s="325"/>
      <c r="AI201" s="325">
        <v>112013667</v>
      </c>
      <c r="AJ201" s="799" t="e">
        <f t="shared" si="53"/>
        <v>#N/A</v>
      </c>
      <c r="AL201" s="323" t="s">
        <v>854</v>
      </c>
      <c r="AM201" s="325">
        <v>22</v>
      </c>
      <c r="AN201" s="325">
        <v>112012381</v>
      </c>
      <c r="AO201" s="1394" t="e">
        <f t="shared" si="54"/>
        <v>#N/A</v>
      </c>
      <c r="AQ201" s="1395" t="s">
        <v>995</v>
      </c>
      <c r="AR201" s="325">
        <v>11</v>
      </c>
      <c r="AS201" s="325">
        <v>112010077</v>
      </c>
      <c r="AT201" s="1397" t="str">
        <f t="shared" si="55"/>
        <v>COOPERATIVA AGRARIA LIMITADA DE OLAVARRIA</v>
      </c>
      <c r="AU201" s="302"/>
      <c r="AV201" s="302"/>
      <c r="AW201" s="664" t="s">
        <v>1437</v>
      </c>
      <c r="AX201" s="325">
        <v>22</v>
      </c>
      <c r="AY201" s="325">
        <v>112013682</v>
      </c>
      <c r="AZ201" s="1392" t="str">
        <f t="shared" si="56"/>
        <v>DI FRANCESCO BRUNO ANDRES</v>
      </c>
      <c r="BA201" s="302"/>
      <c r="BB201" s="664" t="s">
        <v>1313</v>
      </c>
      <c r="BC201" s="325">
        <v>7</v>
      </c>
      <c r="BD201" s="325">
        <v>112013809</v>
      </c>
      <c r="BE201" s="1392" t="str">
        <f t="shared" si="57"/>
        <v>CRESPI ANDREA/SALGADO WALTER</v>
      </c>
      <c r="BF201" s="618"/>
      <c r="BG201" s="553"/>
      <c r="BH201" s="294"/>
      <c r="BI201" s="618"/>
      <c r="BJ201" s="618"/>
      <c r="BK201" s="618"/>
      <c r="BL201" s="553"/>
      <c r="BM201" s="618"/>
      <c r="BN201" s="618"/>
      <c r="BO201" s="618"/>
    </row>
    <row r="202" spans="1:67" ht="13" hidden="1">
      <c r="A202" s="664" t="s">
        <v>775</v>
      </c>
      <c r="B202" s="325">
        <v>1</v>
      </c>
      <c r="C202" s="325">
        <v>112013322</v>
      </c>
      <c r="D202" s="1392" t="str">
        <f t="shared" si="47"/>
        <v>CLAVERO SILVIA MIRTA</v>
      </c>
      <c r="G202" s="325" t="s">
        <v>145</v>
      </c>
      <c r="H202" s="325">
        <v>4</v>
      </c>
      <c r="I202" s="325">
        <v>112014610</v>
      </c>
      <c r="J202" s="1393" t="str">
        <f t="shared" si="48"/>
        <v>CARLA FABIANA FRIAS</v>
      </c>
      <c r="M202" s="664" t="s">
        <v>629</v>
      </c>
      <c r="N202" s="324">
        <v>4</v>
      </c>
      <c r="O202" s="325">
        <v>112013228</v>
      </c>
      <c r="P202" s="1392" t="str">
        <f t="shared" si="49"/>
        <v>CAMPILLO LUIS RICARDO</v>
      </c>
      <c r="R202" s="664" t="s">
        <v>320</v>
      </c>
      <c r="S202" s="324">
        <v>1</v>
      </c>
      <c r="T202" s="325">
        <v>112012657</v>
      </c>
      <c r="U202" s="1392" t="str">
        <f t="shared" si="50"/>
        <v>D ORTO PEDRO DOMINGO</v>
      </c>
      <c r="W202" s="664" t="s">
        <v>387</v>
      </c>
      <c r="X202" s="324">
        <v>12</v>
      </c>
      <c r="Y202" s="325">
        <v>112013179</v>
      </c>
      <c r="Z202" s="1392" t="str">
        <f t="shared" si="51"/>
        <v>D AQUINO NICOLAS NAHUEL MONTEGRANDE</v>
      </c>
      <c r="AB202" s="664" t="s">
        <v>966</v>
      </c>
      <c r="AC202" s="325">
        <v>1</v>
      </c>
      <c r="AD202" s="325">
        <v>112014147</v>
      </c>
      <c r="AE202" s="1392" t="e">
        <f t="shared" si="52"/>
        <v>#N/A</v>
      </c>
      <c r="AF202" s="302"/>
      <c r="AG202" s="325" t="s">
        <v>1348</v>
      </c>
      <c r="AH202" s="325">
        <v>1</v>
      </c>
      <c r="AI202" s="325">
        <v>112011267</v>
      </c>
      <c r="AJ202" s="799" t="str">
        <f t="shared" si="53"/>
        <v>CHIMENTO SERGIO ANDRES</v>
      </c>
      <c r="AL202" s="323" t="s">
        <v>1134</v>
      </c>
      <c r="AM202" s="325">
        <v>40</v>
      </c>
      <c r="AN202" s="325">
        <v>112012408</v>
      </c>
      <c r="AO202" s="1394" t="str">
        <f t="shared" si="54"/>
        <v>ATARAMA ALVAN RAFAEL HECTOR</v>
      </c>
      <c r="AQ202" s="1395" t="s">
        <v>860</v>
      </c>
      <c r="AR202" s="325">
        <v>22</v>
      </c>
      <c r="AS202" s="325">
        <v>112012374</v>
      </c>
      <c r="AT202" s="1397" t="e">
        <f t="shared" si="55"/>
        <v>#N/A</v>
      </c>
      <c r="AU202" s="302"/>
      <c r="AV202" s="302"/>
      <c r="AW202" s="664" t="s">
        <v>360</v>
      </c>
      <c r="AX202" s="325">
        <v>1</v>
      </c>
      <c r="AY202" s="325">
        <v>112012513</v>
      </c>
      <c r="AZ202" s="1392" t="e">
        <f t="shared" si="56"/>
        <v>#N/A</v>
      </c>
      <c r="BA202" s="302"/>
      <c r="BB202" s="664" t="s">
        <v>1028</v>
      </c>
      <c r="BC202" s="325">
        <v>22</v>
      </c>
      <c r="BD202" s="325">
        <v>112014679</v>
      </c>
      <c r="BE202" s="1392" t="str">
        <f t="shared" si="57"/>
        <v>CROVETTO ALBERTO JULIO</v>
      </c>
      <c r="BF202" s="618"/>
      <c r="BG202" s="553"/>
      <c r="BH202" s="294"/>
      <c r="BI202" s="618"/>
      <c r="BJ202" s="618"/>
      <c r="BK202" s="618"/>
      <c r="BL202" s="553"/>
      <c r="BM202" s="618"/>
      <c r="BN202" s="618"/>
      <c r="BO202" s="618"/>
    </row>
    <row r="203" spans="1:67" ht="13" hidden="1">
      <c r="A203" s="664" t="s">
        <v>803</v>
      </c>
      <c r="B203" s="325"/>
      <c r="C203" s="325">
        <v>112014166</v>
      </c>
      <c r="D203" s="1392" t="str">
        <f t="shared" si="47"/>
        <v>CONFORTI DELFINA</v>
      </c>
      <c r="G203" s="325" t="s">
        <v>177</v>
      </c>
      <c r="H203" s="325">
        <v>1</v>
      </c>
      <c r="I203" s="325">
        <v>112013886</v>
      </c>
      <c r="J203" s="1393" t="str">
        <f t="shared" si="48"/>
        <v>CARLINO SILVINA BEATRIZ</v>
      </c>
      <c r="M203" s="664" t="s">
        <v>526</v>
      </c>
      <c r="N203" s="324">
        <v>7</v>
      </c>
      <c r="O203" s="325">
        <v>112014707</v>
      </c>
      <c r="P203" s="1392" t="str">
        <f t="shared" si="49"/>
        <v>CARLOS ALBERTO BORDON</v>
      </c>
      <c r="R203" s="664" t="s">
        <v>299</v>
      </c>
      <c r="S203" s="324">
        <v>4</v>
      </c>
      <c r="T203" s="325">
        <v>112012245</v>
      </c>
      <c r="U203" s="1392" t="str">
        <f t="shared" si="50"/>
        <v>DI RENZO GONZALO AGUSTIN RODOLFO</v>
      </c>
      <c r="W203" s="664" t="s">
        <v>394</v>
      </c>
      <c r="X203" s="324">
        <v>31</v>
      </c>
      <c r="Y203" s="325">
        <v>112013032</v>
      </c>
      <c r="Z203" s="1392" t="str">
        <f t="shared" si="51"/>
        <v>DIRECCION NACIONAL DEL SERVICIO PENITENCIARIO FEDERAL</v>
      </c>
      <c r="AB203" s="664" t="s">
        <v>882</v>
      </c>
      <c r="AC203" s="325">
        <v>1</v>
      </c>
      <c r="AD203" s="325">
        <v>112013064</v>
      </c>
      <c r="AE203" s="1392" t="str">
        <f t="shared" si="52"/>
        <v>DURAN RODRIGO RICARDO</v>
      </c>
      <c r="AF203" s="302"/>
      <c r="AG203" s="325" t="s">
        <v>1293</v>
      </c>
      <c r="AH203" s="325">
        <v>22</v>
      </c>
      <c r="AI203" s="325">
        <v>112014521</v>
      </c>
      <c r="AJ203" s="799" t="str">
        <f t="shared" si="53"/>
        <v>CIEUTAT PAOLA MARIA</v>
      </c>
      <c r="AL203" s="323" t="s">
        <v>1190</v>
      </c>
      <c r="AM203" s="325">
        <v>4</v>
      </c>
      <c r="AN203" s="325">
        <v>112012430</v>
      </c>
      <c r="AO203" s="1394" t="e">
        <f t="shared" si="54"/>
        <v>#N/A</v>
      </c>
      <c r="AQ203" s="1395" t="s">
        <v>1028</v>
      </c>
      <c r="AR203" s="325">
        <v>22</v>
      </c>
      <c r="AS203" s="325">
        <v>112013464</v>
      </c>
      <c r="AT203" s="1397" t="str">
        <f t="shared" si="55"/>
        <v>CROVETTO ALBERTO JULIO</v>
      </c>
      <c r="AU203" s="302"/>
      <c r="AV203" s="302"/>
      <c r="AW203" s="664" t="s">
        <v>1399</v>
      </c>
      <c r="AX203" s="325">
        <v>11</v>
      </c>
      <c r="AY203" s="325">
        <v>112014120</v>
      </c>
      <c r="AZ203" s="1392" t="str">
        <f t="shared" si="56"/>
        <v>DROGUERIA MEDICAM SRL</v>
      </c>
      <c r="BA203" s="302"/>
      <c r="BB203" s="664" t="s">
        <v>1435</v>
      </c>
      <c r="BC203" s="325">
        <v>22</v>
      </c>
      <c r="BD203" s="325">
        <v>112013917</v>
      </c>
      <c r="BE203" s="1392" t="str">
        <f t="shared" si="57"/>
        <v>DAIANA GISELE VELLAZ BARBIERI</v>
      </c>
      <c r="BF203" s="618"/>
      <c r="BG203" s="553"/>
      <c r="BH203" s="294"/>
      <c r="BI203" s="618"/>
      <c r="BJ203" s="618"/>
      <c r="BK203" s="618"/>
      <c r="BL203" s="553"/>
      <c r="BM203" s="618"/>
      <c r="BN203" s="618"/>
      <c r="BO203" s="618"/>
    </row>
    <row r="204" spans="1:67" ht="13" hidden="1">
      <c r="A204" s="664" t="s">
        <v>748</v>
      </c>
      <c r="B204" s="325">
        <v>4</v>
      </c>
      <c r="C204" s="325">
        <v>112013320</v>
      </c>
      <c r="D204" s="1392" t="str">
        <f t="shared" si="47"/>
        <v>COSENTINO CLAUDIA GLADYS</v>
      </c>
      <c r="G204" s="325" t="s">
        <v>83</v>
      </c>
      <c r="H204" s="325">
        <v>7</v>
      </c>
      <c r="I204" s="325">
        <v>112013552</v>
      </c>
      <c r="J204" s="1393" t="str">
        <f t="shared" si="48"/>
        <v>CASCO FEDERICO/BASSI MARIA</v>
      </c>
      <c r="M204" s="664" t="s">
        <v>574</v>
      </c>
      <c r="N204" s="324">
        <v>4</v>
      </c>
      <c r="O204" s="325">
        <v>112014468</v>
      </c>
      <c r="P204" s="1392" t="str">
        <f t="shared" si="49"/>
        <v>CATRI MARCOS RUBEN</v>
      </c>
      <c r="R204" s="664" t="s">
        <v>291</v>
      </c>
      <c r="S204" s="324">
        <v>18</v>
      </c>
      <c r="T204" s="325">
        <v>112012462</v>
      </c>
      <c r="U204" s="1392" t="str">
        <f t="shared" si="50"/>
        <v>DISTRIMASCOTA S.R.L.</v>
      </c>
      <c r="W204" s="664" t="s">
        <v>496</v>
      </c>
      <c r="X204" s="324">
        <v>22</v>
      </c>
      <c r="Y204" s="325">
        <v>112012211</v>
      </c>
      <c r="Z204" s="1392" t="e">
        <f t="shared" si="51"/>
        <v>#N/A</v>
      </c>
      <c r="AB204" s="664" t="s">
        <v>898</v>
      </c>
      <c r="AC204" s="325"/>
      <c r="AD204" s="325">
        <v>112014059</v>
      </c>
      <c r="AE204" s="1392" t="str">
        <f t="shared" si="52"/>
        <v>ERIKA CALVI</v>
      </c>
      <c r="AF204" s="302"/>
      <c r="AG204" s="325" t="s">
        <v>1359</v>
      </c>
      <c r="AH204" s="325">
        <v>1</v>
      </c>
      <c r="AI204" s="325">
        <v>112014275</v>
      </c>
      <c r="AJ204" s="799" t="str">
        <f t="shared" si="53"/>
        <v>CLAVARINO MARIANA</v>
      </c>
      <c r="AL204" s="323" t="s">
        <v>1218</v>
      </c>
      <c r="AM204" s="325">
        <v>4</v>
      </c>
      <c r="AN204" s="325">
        <v>112012435</v>
      </c>
      <c r="AO204" s="1394" t="e">
        <f t="shared" si="54"/>
        <v>#N/A</v>
      </c>
      <c r="AQ204" s="1395" t="s">
        <v>1006</v>
      </c>
      <c r="AR204" s="325">
        <v>7</v>
      </c>
      <c r="AS204" s="325">
        <v>112013709</v>
      </c>
      <c r="AT204" s="1397" t="e">
        <f t="shared" si="55"/>
        <v>#N/A</v>
      </c>
      <c r="AU204" s="302"/>
      <c r="AV204" s="302"/>
      <c r="AW204" s="664" t="s">
        <v>1400</v>
      </c>
      <c r="AX204" s="325">
        <v>28</v>
      </c>
      <c r="AY204" s="325">
        <v>112012493</v>
      </c>
      <c r="AZ204" s="1392" t="str">
        <f t="shared" si="56"/>
        <v>DUPUY CARLOS RAUL FERNANDO</v>
      </c>
      <c r="BA204" s="302"/>
      <c r="BB204" s="664" t="s">
        <v>1063</v>
      </c>
      <c r="BC204" s="325">
        <v>20</v>
      </c>
      <c r="BD204" s="325">
        <v>112013551</v>
      </c>
      <c r="BE204" s="1392" t="str">
        <f t="shared" si="57"/>
        <v>DEL RABAL BRANDAN JUAN EZEQUIEL</v>
      </c>
      <c r="BF204" s="618"/>
      <c r="BG204" s="553"/>
      <c r="BH204" s="294"/>
      <c r="BI204" s="618"/>
      <c r="BJ204" s="618"/>
      <c r="BK204" s="618"/>
      <c r="BL204" s="553"/>
      <c r="BM204" s="618"/>
      <c r="BN204" s="618"/>
      <c r="BO204" s="618"/>
    </row>
    <row r="205" spans="1:67" ht="13" hidden="1">
      <c r="A205" s="664" t="s">
        <v>700</v>
      </c>
      <c r="B205" s="325">
        <v>7</v>
      </c>
      <c r="C205" s="325">
        <v>112013206</v>
      </c>
      <c r="D205" s="1392" t="str">
        <f t="shared" ref="D205:D236" si="58">VLOOKUP(C205,buelafin,13,FALSE)</f>
        <v>COSTILLA JOSE IGNACIO</v>
      </c>
      <c r="G205" s="325" t="s">
        <v>146</v>
      </c>
      <c r="H205" s="325">
        <v>4</v>
      </c>
      <c r="I205" s="325">
        <v>112014408</v>
      </c>
      <c r="J205" s="1393" t="str">
        <f t="shared" ref="J205:J236" si="59">VLOOKUP(I205,bassfin,13,FALSE)</f>
        <v>CASTRO FERNANDO ARIEL</v>
      </c>
      <c r="M205" s="664" t="s">
        <v>518</v>
      </c>
      <c r="N205" s="324">
        <v>8</v>
      </c>
      <c r="O205" s="325">
        <v>112013247</v>
      </c>
      <c r="P205" s="1392" t="str">
        <f t="shared" ref="P205:P236" si="60">VLOOKUP(O205,LAGEFIN,13,FALSE)</f>
        <v>CESA DUBOR BRUNO</v>
      </c>
      <c r="R205" s="664" t="s">
        <v>260</v>
      </c>
      <c r="S205" s="324">
        <v>10</v>
      </c>
      <c r="T205" s="325">
        <v>112013905</v>
      </c>
      <c r="U205" s="1392" t="str">
        <f t="shared" ref="U205:U236" si="61">VLOOKUP(T205,calofin,9,FALSE)</f>
        <v>DONATO SERGIO HERNAN</v>
      </c>
      <c r="W205" s="664" t="s">
        <v>426</v>
      </c>
      <c r="X205" s="324">
        <v>22</v>
      </c>
      <c r="Y205" s="325">
        <v>112010786</v>
      </c>
      <c r="Z205" s="1392" t="str">
        <f t="shared" ref="Z205:Z236" si="62">VLOOKUP(Y205,RETAMFIN,9,FALSE)</f>
        <v>FACCINI DIEGO ALDO</v>
      </c>
      <c r="AB205" s="664" t="s">
        <v>859</v>
      </c>
      <c r="AC205" s="325">
        <v>22</v>
      </c>
      <c r="AD205" s="325">
        <v>112010020</v>
      </c>
      <c r="AE205" s="1392" t="str">
        <f t="shared" ref="AE205:AE236" si="63">VLOOKUP(AD205,VARGASFIN,13,FALSE)</f>
        <v>ESCAPIL JUAN RICARDO</v>
      </c>
      <c r="AF205" s="302"/>
      <c r="AG205" s="325" t="s">
        <v>1378</v>
      </c>
      <c r="AH205" s="325"/>
      <c r="AI205" s="325">
        <v>112014679</v>
      </c>
      <c r="AJ205" s="799" t="str">
        <f t="shared" ref="AJ205:AJ236" si="64">VLOOKUP(AI205,MONTENEFIN,9,FALSE)</f>
        <v>CONEXPOR SOCIEDAD ANONIMA S. A.</v>
      </c>
      <c r="AL205" s="323" t="s">
        <v>1204</v>
      </c>
      <c r="AM205" s="325">
        <v>4</v>
      </c>
      <c r="AN205" s="325">
        <v>112012446</v>
      </c>
      <c r="AO205" s="1394" t="e">
        <f t="shared" ref="AO205:AO236" si="65">VLOOKUP(AN205,MARUCAFIN,13,FALSE)</f>
        <v>#N/A</v>
      </c>
      <c r="AQ205" s="1395" t="s">
        <v>1037</v>
      </c>
      <c r="AR205" s="325">
        <v>4</v>
      </c>
      <c r="AS205" s="325">
        <v>112013841</v>
      </c>
      <c r="AT205" s="1397" t="str">
        <f t="shared" ref="AT205:AT236" si="66">VLOOKUP(AS205,ARRIOLFIN,13,FALSE)</f>
        <v>DE ARZAVE JULIO CESAR</v>
      </c>
      <c r="AU205" s="302"/>
      <c r="AV205" s="302"/>
      <c r="AW205" s="664" t="s">
        <v>1413</v>
      </c>
      <c r="AX205" s="325">
        <v>31</v>
      </c>
      <c r="AY205" s="325">
        <v>112014314</v>
      </c>
      <c r="AZ205" s="1392" t="str">
        <f t="shared" ref="AZ205:AZ236" si="67">VLOOKUP(AY205,LAVENIAFIN,13,FALSE)</f>
        <v>FERNANDEZ LARA JULIANA</v>
      </c>
      <c r="BA205" s="302"/>
      <c r="BB205" s="664" t="s">
        <v>997</v>
      </c>
      <c r="BC205" s="325">
        <v>12</v>
      </c>
      <c r="BD205" s="325">
        <v>112014288</v>
      </c>
      <c r="BE205" s="1392" t="str">
        <f t="shared" ref="BE205:BE236" si="68">VLOOKUP(BD205,rotelafin,6,FALSE)</f>
        <v>DELL OSO MARTIN</v>
      </c>
      <c r="BF205" s="618"/>
      <c r="BG205" s="553"/>
      <c r="BH205" s="294"/>
      <c r="BI205" s="618"/>
      <c r="BJ205" s="618"/>
      <c r="BK205" s="618"/>
      <c r="BL205" s="553"/>
      <c r="BM205" s="618"/>
      <c r="BN205" s="618"/>
      <c r="BO205" s="618"/>
    </row>
    <row r="206" spans="1:67" ht="13" hidden="1">
      <c r="A206" s="664" t="s">
        <v>776</v>
      </c>
      <c r="B206" s="325">
        <v>1</v>
      </c>
      <c r="C206" s="325">
        <v>112013782</v>
      </c>
      <c r="D206" s="1392" t="str">
        <f t="shared" si="58"/>
        <v>CRUZ MORENO CYNTHIA VERONICA</v>
      </c>
      <c r="G206" s="325" t="s">
        <v>147</v>
      </c>
      <c r="H206" s="325">
        <v>4</v>
      </c>
      <c r="I206" s="325">
        <v>112014528</v>
      </c>
      <c r="J206" s="1393" t="str">
        <f t="shared" si="59"/>
        <v>CASTRO FERNANDO ARIEL SUC 2</v>
      </c>
      <c r="M206" s="664" t="s">
        <v>507</v>
      </c>
      <c r="N206" s="324">
        <v>10</v>
      </c>
      <c r="O206" s="325">
        <v>112014179</v>
      </c>
      <c r="P206" s="1392" t="str">
        <f t="shared" si="60"/>
        <v>CESTARO GUSTAVO DANIEL</v>
      </c>
      <c r="R206" s="664" t="s">
        <v>261</v>
      </c>
      <c r="S206" s="324">
        <v>10</v>
      </c>
      <c r="T206" s="325">
        <v>112014066</v>
      </c>
      <c r="U206" s="1392" t="str">
        <f t="shared" si="61"/>
        <v>EL FORRAJE DEL ABUELO S.A</v>
      </c>
      <c r="W206" s="664" t="s">
        <v>427</v>
      </c>
      <c r="X206" s="324">
        <v>22</v>
      </c>
      <c r="Y206" s="325">
        <v>112014675</v>
      </c>
      <c r="Z206" s="1392" t="str">
        <f t="shared" si="62"/>
        <v>FEDERICO GARAVAGLIA</v>
      </c>
      <c r="AB206" s="664" t="s">
        <v>937</v>
      </c>
      <c r="AC206" s="325">
        <v>4</v>
      </c>
      <c r="AD206" s="325">
        <v>112014070</v>
      </c>
      <c r="AE206" s="1392" t="e">
        <f t="shared" si="63"/>
        <v>#N/A</v>
      </c>
      <c r="AF206" s="302"/>
      <c r="AG206" s="325" t="s">
        <v>1286</v>
      </c>
      <c r="AH206" s="325">
        <v>22</v>
      </c>
      <c r="AI206" s="325">
        <v>112013551</v>
      </c>
      <c r="AJ206" s="799" t="str">
        <f t="shared" si="64"/>
        <v>COOPERATIVA AGROPECUARIA E INDUSTRIAL DE RAUCH LIMITADA</v>
      </c>
      <c r="AL206" s="323" t="s">
        <v>1144</v>
      </c>
      <c r="AM206" s="325">
        <v>1</v>
      </c>
      <c r="AN206" s="325">
        <v>112012448</v>
      </c>
      <c r="AO206" s="1394" t="str">
        <f t="shared" si="65"/>
        <v>STORNELLI MARIA CECILIA</v>
      </c>
      <c r="AQ206" s="1395" t="s">
        <v>1063</v>
      </c>
      <c r="AR206" s="325">
        <v>1</v>
      </c>
      <c r="AS206" s="325">
        <v>112013542</v>
      </c>
      <c r="AT206" s="1397" t="str">
        <f t="shared" si="66"/>
        <v>DEL RABAL BRANDAN JUAN EZEQUIEL</v>
      </c>
      <c r="AU206" s="302"/>
      <c r="AV206" s="302"/>
      <c r="AW206" s="664" t="s">
        <v>1452</v>
      </c>
      <c r="AX206" s="325">
        <v>22</v>
      </c>
      <c r="AY206" s="325">
        <v>112014381</v>
      </c>
      <c r="AZ206" s="1392" t="str">
        <f t="shared" si="67"/>
        <v>FERRARI BONOFIGLIO PABLO DANIEL</v>
      </c>
      <c r="BA206" s="302"/>
      <c r="BB206" s="664" t="s">
        <v>1267</v>
      </c>
      <c r="BC206" s="325">
        <v>12</v>
      </c>
      <c r="BD206" s="325">
        <v>112012803</v>
      </c>
      <c r="BE206" s="1392" t="str">
        <f t="shared" si="68"/>
        <v>DESTEFANO JOSE HERNAN Y BIDEGAIN GUSTAVO MIGUEL S.H</v>
      </c>
      <c r="BF206" s="618"/>
      <c r="BG206" s="553"/>
      <c r="BH206" s="294"/>
      <c r="BI206" s="618"/>
      <c r="BJ206" s="618"/>
      <c r="BK206" s="618"/>
      <c r="BL206" s="553"/>
      <c r="BM206" s="618"/>
      <c r="BN206" s="618"/>
      <c r="BO206" s="618"/>
    </row>
    <row r="207" spans="1:67" ht="13" hidden="1">
      <c r="A207" s="664" t="s">
        <v>726</v>
      </c>
      <c r="B207" s="325">
        <v>4</v>
      </c>
      <c r="C207" s="325">
        <v>112013900</v>
      </c>
      <c r="D207" s="1392" t="str">
        <f t="shared" si="58"/>
        <v>D AURIA JAVIER ALEJANDRO</v>
      </c>
      <c r="G207" s="325" t="s">
        <v>220</v>
      </c>
      <c r="H207" s="325"/>
      <c r="I207" s="325">
        <v>112012560</v>
      </c>
      <c r="J207" s="1393" t="str">
        <f t="shared" si="59"/>
        <v>CILLERUELO PATRICIA LAURA</v>
      </c>
      <c r="M207" s="664" t="s">
        <v>576</v>
      </c>
      <c r="N207" s="324">
        <v>4</v>
      </c>
      <c r="O207" s="325">
        <v>112014455</v>
      </c>
      <c r="P207" s="1392" t="str">
        <f t="shared" si="60"/>
        <v>CILAP HOSPITAL VETERINARIO</v>
      </c>
      <c r="R207" s="664" t="s">
        <v>349</v>
      </c>
      <c r="S207" s="324"/>
      <c r="T207" s="325">
        <v>112014346</v>
      </c>
      <c r="U207" s="1392" t="str">
        <f t="shared" si="61"/>
        <v>ETCHEMENDY VERONICA</v>
      </c>
      <c r="W207" s="664" t="s">
        <v>449</v>
      </c>
      <c r="X207" s="324">
        <v>20</v>
      </c>
      <c r="Y207" s="325">
        <v>112010863</v>
      </c>
      <c r="Z207" s="1392" t="str">
        <f t="shared" si="62"/>
        <v>FEINMANN LAURA PATRICIA</v>
      </c>
      <c r="AB207" s="664" t="s">
        <v>936</v>
      </c>
      <c r="AC207" s="325">
        <v>4</v>
      </c>
      <c r="AD207" s="325">
        <v>112014063</v>
      </c>
      <c r="AE207" s="1392" t="e">
        <f t="shared" si="63"/>
        <v>#N/A</v>
      </c>
      <c r="AF207" s="302"/>
      <c r="AG207" s="325" t="s">
        <v>1312</v>
      </c>
      <c r="AH207" s="325">
        <v>22</v>
      </c>
      <c r="AI207" s="325">
        <v>112013486</v>
      </c>
      <c r="AJ207" s="799" t="str">
        <f t="shared" si="64"/>
        <v>COUYOUPETROU NESTOR MAXIMILIANO</v>
      </c>
      <c r="AL207" s="323" t="s">
        <v>1240</v>
      </c>
      <c r="AM207" s="325">
        <v>4</v>
      </c>
      <c r="AN207" s="325">
        <v>112012465</v>
      </c>
      <c r="AO207" s="1394" t="e">
        <f t="shared" si="65"/>
        <v>#N/A</v>
      </c>
      <c r="AQ207" s="1395" t="s">
        <v>1064</v>
      </c>
      <c r="AR207" s="325">
        <v>1</v>
      </c>
      <c r="AS207" s="325">
        <v>112011623</v>
      </c>
      <c r="AT207" s="1397" t="str">
        <f t="shared" si="66"/>
        <v>DELIA MONICA LILIANA</v>
      </c>
      <c r="AU207" s="302"/>
      <c r="AV207" s="302"/>
      <c r="AW207" s="664" t="s">
        <v>1515</v>
      </c>
      <c r="AX207" s="325">
        <v>21</v>
      </c>
      <c r="AY207" s="325">
        <v>112012554</v>
      </c>
      <c r="AZ207" s="1392" t="str">
        <f t="shared" si="67"/>
        <v>FERREIRA MARIANO</v>
      </c>
      <c r="BA207" s="302"/>
      <c r="BB207" s="664" t="s">
        <v>1314</v>
      </c>
      <c r="BC207" s="325">
        <v>22</v>
      </c>
      <c r="BD207" s="325">
        <v>112013486</v>
      </c>
      <c r="BE207" s="1392" t="str">
        <f t="shared" si="68"/>
        <v>DETTANO YANINA MARIANELA</v>
      </c>
      <c r="BF207" s="618"/>
      <c r="BG207" s="553"/>
      <c r="BH207" s="294"/>
      <c r="BI207" s="618"/>
      <c r="BJ207" s="618"/>
      <c r="BK207" s="618"/>
      <c r="BL207" s="553"/>
      <c r="BM207" s="618"/>
      <c r="BN207" s="618"/>
      <c r="BO207" s="618"/>
    </row>
    <row r="208" spans="1:67" ht="13" hidden="1">
      <c r="A208" s="664" t="s">
        <v>719</v>
      </c>
      <c r="B208" s="325">
        <v>18</v>
      </c>
      <c r="C208" s="325">
        <v>112013705</v>
      </c>
      <c r="D208" s="1392" t="e">
        <f t="shared" si="58"/>
        <v>#N/A</v>
      </c>
      <c r="G208" s="325" t="s">
        <v>221</v>
      </c>
      <c r="H208" s="325"/>
      <c r="I208" s="325">
        <v>112014216</v>
      </c>
      <c r="J208" s="1393" t="str">
        <f t="shared" si="59"/>
        <v>CROCI LAURA BEATRIZ</v>
      </c>
      <c r="M208" s="664" t="s">
        <v>645</v>
      </c>
      <c r="N208" s="324">
        <v>1</v>
      </c>
      <c r="O208" s="325">
        <v>112011303</v>
      </c>
      <c r="P208" s="1392" t="str">
        <f t="shared" si="60"/>
        <v>CORONEL MARIA LUZ DEL CARMEN</v>
      </c>
      <c r="R208" s="664" t="s">
        <v>307</v>
      </c>
      <c r="S208" s="324">
        <v>6</v>
      </c>
      <c r="T208" s="325">
        <v>112014708</v>
      </c>
      <c r="U208" s="1392" t="str">
        <f t="shared" si="61"/>
        <v>FEDERICO EZEQUIEL PANIAGUA</v>
      </c>
      <c r="W208" s="664" t="s">
        <v>381</v>
      </c>
      <c r="X208" s="324">
        <v>11</v>
      </c>
      <c r="Y208" s="325">
        <v>112012590</v>
      </c>
      <c r="Z208" s="1392" t="str">
        <f t="shared" si="62"/>
        <v>FINUCCI JORGE EDUARDO</v>
      </c>
      <c r="AB208" s="664" t="s">
        <v>939</v>
      </c>
      <c r="AC208" s="325">
        <v>4</v>
      </c>
      <c r="AD208" s="325">
        <v>112014699</v>
      </c>
      <c r="AE208" s="1392" t="e">
        <f t="shared" si="63"/>
        <v>#N/A</v>
      </c>
      <c r="AF208" s="302"/>
      <c r="AG208" s="325" t="s">
        <v>1313</v>
      </c>
      <c r="AH208" s="325">
        <v>22</v>
      </c>
      <c r="AI208" s="325">
        <v>112014071</v>
      </c>
      <c r="AJ208" s="799" t="str">
        <f t="shared" si="64"/>
        <v>CRESPI ANDREA/SALGADO WALTER</v>
      </c>
      <c r="AL208" s="323" t="s">
        <v>1205</v>
      </c>
      <c r="AM208" s="325">
        <v>4</v>
      </c>
      <c r="AN208" s="325">
        <v>112012473</v>
      </c>
      <c r="AO208" s="1394" t="e">
        <f t="shared" si="65"/>
        <v>#N/A</v>
      </c>
      <c r="AQ208" s="1395" t="s">
        <v>997</v>
      </c>
      <c r="AR208" s="325">
        <v>12</v>
      </c>
      <c r="AS208" s="325">
        <v>112014254</v>
      </c>
      <c r="AT208" s="1397" t="str">
        <f t="shared" si="66"/>
        <v>DELL OSO MARTIN</v>
      </c>
      <c r="AU208" s="302"/>
      <c r="AV208" s="302"/>
      <c r="AW208" s="664" t="s">
        <v>1438</v>
      </c>
      <c r="AX208" s="325">
        <v>22</v>
      </c>
      <c r="AY208" s="325">
        <v>112013714</v>
      </c>
      <c r="AZ208" s="1392" t="str">
        <f t="shared" si="67"/>
        <v>FERREYRA ALEJANDRO NESTOR</v>
      </c>
      <c r="BA208" s="302"/>
      <c r="BB208" s="664" t="s">
        <v>1436</v>
      </c>
      <c r="BC208" s="325">
        <v>22</v>
      </c>
      <c r="BD208" s="325">
        <v>112013464</v>
      </c>
      <c r="BE208" s="1392" t="str">
        <f t="shared" si="68"/>
        <v>DI CROCE FABIO ALEJANDRO</v>
      </c>
      <c r="BF208" s="618"/>
      <c r="BG208" s="553"/>
      <c r="BH208" s="294"/>
      <c r="BI208" s="618"/>
      <c r="BJ208" s="618"/>
      <c r="BK208" s="618"/>
      <c r="BL208" s="553"/>
      <c r="BM208" s="618"/>
      <c r="BN208" s="618"/>
      <c r="BO208" s="618"/>
    </row>
    <row r="209" spans="1:67" ht="13" hidden="1">
      <c r="A209" s="664" t="s">
        <v>749</v>
      </c>
      <c r="B209" s="325">
        <v>4</v>
      </c>
      <c r="C209" s="325">
        <v>112013448</v>
      </c>
      <c r="D209" s="1392" t="str">
        <f t="shared" si="58"/>
        <v>DEPEDRI AUGUSTO RUBEN</v>
      </c>
      <c r="G209" s="325" t="s">
        <v>131</v>
      </c>
      <c r="H209" s="325">
        <v>18</v>
      </c>
      <c r="I209" s="325">
        <v>112012198</v>
      </c>
      <c r="J209" s="1393" t="str">
        <f t="shared" si="59"/>
        <v>CUEVAS VICTORIA</v>
      </c>
      <c r="M209" s="664" t="s">
        <v>577</v>
      </c>
      <c r="N209" s="324">
        <v>4</v>
      </c>
      <c r="O209" s="325">
        <v>112013205</v>
      </c>
      <c r="P209" s="1392" t="str">
        <f t="shared" si="60"/>
        <v>COVA PATRICIA LEONOR</v>
      </c>
      <c r="R209" s="664" t="s">
        <v>286</v>
      </c>
      <c r="S209" s="324">
        <v>29</v>
      </c>
      <c r="T209" s="325">
        <v>112014491</v>
      </c>
      <c r="U209" s="1392" t="str">
        <f t="shared" si="61"/>
        <v>FONTANARROSA MARIA FLORENCIA</v>
      </c>
      <c r="W209" s="664" t="s">
        <v>469</v>
      </c>
      <c r="X209" s="324">
        <v>1</v>
      </c>
      <c r="Y209" s="325">
        <v>112012555</v>
      </c>
      <c r="Z209" s="1392" t="str">
        <f t="shared" si="62"/>
        <v>FIORETTI CESAR</v>
      </c>
      <c r="AB209" s="664" t="s">
        <v>964</v>
      </c>
      <c r="AC209" s="325">
        <v>4</v>
      </c>
      <c r="AD209" s="325">
        <v>112014308</v>
      </c>
      <c r="AE209" s="1392" t="e">
        <f t="shared" si="63"/>
        <v>#N/A</v>
      </c>
      <c r="AF209" s="302"/>
      <c r="AG209" s="325" t="s">
        <v>1334</v>
      </c>
      <c r="AH209" s="325">
        <v>4</v>
      </c>
      <c r="AI209" s="325">
        <v>112012891</v>
      </c>
      <c r="AJ209" s="799" t="str">
        <f t="shared" si="64"/>
        <v>DARIO LUIS ALTI</v>
      </c>
      <c r="AL209" s="323" t="s">
        <v>1136</v>
      </c>
      <c r="AM209" s="325">
        <v>7</v>
      </c>
      <c r="AN209" s="325">
        <v>112012477</v>
      </c>
      <c r="AO209" s="1394" t="str">
        <f t="shared" si="65"/>
        <v>RICCI ROSANA MARIEL</v>
      </c>
      <c r="AQ209" s="1395" t="s">
        <v>1074</v>
      </c>
      <c r="AR209" s="325">
        <v>1</v>
      </c>
      <c r="AS209" s="325">
        <v>112012161</v>
      </c>
      <c r="AT209" s="1397" t="str">
        <f t="shared" si="66"/>
        <v>DI CLAUDIO SERGIO VICENTE</v>
      </c>
      <c r="AU209" s="302"/>
      <c r="AV209" s="302"/>
      <c r="AW209" s="664" t="s">
        <v>1482</v>
      </c>
      <c r="AX209" s="325">
        <v>1</v>
      </c>
      <c r="AY209" s="325">
        <v>112013332</v>
      </c>
      <c r="AZ209" s="1392" t="str">
        <f t="shared" si="67"/>
        <v>FINAMORE ENRIQUE GABRIEL</v>
      </c>
      <c r="BA209" s="302"/>
      <c r="BB209" s="664" t="s">
        <v>1437</v>
      </c>
      <c r="BC209" s="325">
        <v>22</v>
      </c>
      <c r="BD209" s="325">
        <v>112014555</v>
      </c>
      <c r="BE209" s="1392" t="str">
        <f t="shared" si="68"/>
        <v>DI FRANCESCO BRUNO ANDRES</v>
      </c>
      <c r="BF209" s="618"/>
      <c r="BG209" s="553"/>
      <c r="BH209" s="294"/>
      <c r="BI209" s="618"/>
      <c r="BJ209" s="618"/>
      <c r="BK209" s="618"/>
      <c r="BL209" s="553"/>
      <c r="BM209" s="618"/>
      <c r="BN209" s="618"/>
      <c r="BO209" s="618"/>
    </row>
    <row r="210" spans="1:67" ht="13" hidden="1">
      <c r="A210" s="664" t="s">
        <v>693</v>
      </c>
      <c r="B210" s="325">
        <v>9</v>
      </c>
      <c r="C210" s="325">
        <v>112013693</v>
      </c>
      <c r="D210" s="1392" t="str">
        <f t="shared" si="58"/>
        <v>DEVY LUCAS NICOLAS</v>
      </c>
      <c r="G210" s="325" t="s">
        <v>85</v>
      </c>
      <c r="H210" s="325">
        <v>8</v>
      </c>
      <c r="I210" s="325">
        <v>112014613</v>
      </c>
      <c r="J210" s="1393" t="e">
        <f t="shared" si="59"/>
        <v>#N/A</v>
      </c>
      <c r="M210" s="664" t="s">
        <v>508</v>
      </c>
      <c r="N210" s="324">
        <v>10</v>
      </c>
      <c r="O210" s="325">
        <v>112014328</v>
      </c>
      <c r="P210" s="1392" t="str">
        <f t="shared" si="60"/>
        <v>D ALMEIDA ANDREA ELEONORA</v>
      </c>
      <c r="R210" s="664" t="s">
        <v>271</v>
      </c>
      <c r="S210" s="324">
        <v>22</v>
      </c>
      <c r="T210" s="325">
        <v>112012906</v>
      </c>
      <c r="U210" s="1392" t="str">
        <f t="shared" si="61"/>
        <v>GADDI HECTOR MARCELO GABRIEL</v>
      </c>
      <c r="W210" s="664" t="s">
        <v>428</v>
      </c>
      <c r="X210" s="324">
        <v>22</v>
      </c>
      <c r="Y210" s="325">
        <v>112013122</v>
      </c>
      <c r="Z210" s="1392" t="str">
        <f t="shared" si="62"/>
        <v>FRATTINI CAROLINA</v>
      </c>
      <c r="AB210" s="664" t="s">
        <v>933</v>
      </c>
      <c r="AC210" s="325">
        <v>20</v>
      </c>
      <c r="AD210" s="325">
        <v>112012863</v>
      </c>
      <c r="AE210" s="1392" t="e">
        <f t="shared" si="63"/>
        <v>#N/A</v>
      </c>
      <c r="AF210" s="302"/>
      <c r="AG210" s="325" t="s">
        <v>1267</v>
      </c>
      <c r="AH210" s="325">
        <v>12</v>
      </c>
      <c r="AI210" s="325">
        <v>112014363</v>
      </c>
      <c r="AJ210" s="799" t="str">
        <f t="shared" si="64"/>
        <v>DESTEFANO JOSE HERNAN Y BIDEGAIN GUSTAVO MIGUEL S.H</v>
      </c>
      <c r="AL210" s="323" t="s">
        <v>1212</v>
      </c>
      <c r="AM210" s="325">
        <v>22</v>
      </c>
      <c r="AN210" s="325">
        <v>112012484</v>
      </c>
      <c r="AO210" s="1394" t="e">
        <f t="shared" si="65"/>
        <v>#N/A</v>
      </c>
      <c r="AQ210" s="1395" t="s">
        <v>1094</v>
      </c>
      <c r="AR210" s="325">
        <v>1</v>
      </c>
      <c r="AS210" s="325">
        <v>112012428</v>
      </c>
      <c r="AT210" s="1397" t="e">
        <f t="shared" si="66"/>
        <v>#N/A</v>
      </c>
      <c r="AU210" s="302"/>
      <c r="AV210" s="302"/>
      <c r="AW210" s="664" t="s">
        <v>1466</v>
      </c>
      <c r="AX210" s="325">
        <v>22</v>
      </c>
      <c r="AY210" s="325">
        <v>112014589</v>
      </c>
      <c r="AZ210" s="1392" t="str">
        <f t="shared" si="67"/>
        <v>FUENTES CRISTIAN MATIAS</v>
      </c>
      <c r="BA210" s="302"/>
      <c r="BB210" s="664" t="s">
        <v>1027</v>
      </c>
      <c r="BC210" s="325">
        <v>22</v>
      </c>
      <c r="BD210" s="325">
        <v>112013542</v>
      </c>
      <c r="BE210" s="1392" t="str">
        <f t="shared" si="68"/>
        <v>DIAZ MARIA DOLORES</v>
      </c>
      <c r="BF210" s="618"/>
      <c r="BG210" s="553"/>
      <c r="BH210" s="294"/>
      <c r="BI210" s="618"/>
      <c r="BJ210" s="618"/>
      <c r="BK210" s="618"/>
      <c r="BL210" s="553"/>
      <c r="BM210" s="618"/>
      <c r="BN210" s="618"/>
      <c r="BO210" s="618"/>
    </row>
    <row r="211" spans="1:67" ht="13" hidden="1">
      <c r="A211" s="664" t="s">
        <v>777</v>
      </c>
      <c r="B211" s="325">
        <v>1</v>
      </c>
      <c r="C211" s="325">
        <v>112012497</v>
      </c>
      <c r="D211" s="1392" t="str">
        <f t="shared" si="58"/>
        <v>DIAGNOSTICOS VETERINARIOS HOSPIVET SRL</v>
      </c>
      <c r="G211" s="325" t="s">
        <v>178</v>
      </c>
      <c r="H211" s="325">
        <v>1</v>
      </c>
      <c r="I211" s="325">
        <v>112011337</v>
      </c>
      <c r="J211" s="1393" t="str">
        <f t="shared" si="59"/>
        <v>DI SALVO EDGARDO JULIO</v>
      </c>
      <c r="M211" s="664" t="s">
        <v>578</v>
      </c>
      <c r="N211" s="324">
        <v>4</v>
      </c>
      <c r="O211" s="325">
        <v>112014278</v>
      </c>
      <c r="P211" s="1392" t="str">
        <f t="shared" si="60"/>
        <v>D AMARIO ALEJO NICOLAS</v>
      </c>
      <c r="R211" s="664" t="s">
        <v>321</v>
      </c>
      <c r="S211" s="324">
        <v>1</v>
      </c>
      <c r="T211" s="325">
        <v>112013214</v>
      </c>
      <c r="U211" s="1392" t="str">
        <f t="shared" si="61"/>
        <v>GARCIA ANDREA INES</v>
      </c>
      <c r="W211" s="664" t="s">
        <v>429</v>
      </c>
      <c r="X211" s="324">
        <v>22</v>
      </c>
      <c r="Y211" s="325">
        <v>112010616</v>
      </c>
      <c r="Z211" s="1392" t="str">
        <f t="shared" si="62"/>
        <v>FREGOTTE NESTOR DARIO</v>
      </c>
      <c r="AB211" s="664" t="s">
        <v>940</v>
      </c>
      <c r="AC211" s="325">
        <v>4</v>
      </c>
      <c r="AD211" s="325">
        <v>112014599</v>
      </c>
      <c r="AE211" s="1392" t="e">
        <f t="shared" si="63"/>
        <v>#N/A</v>
      </c>
      <c r="AF211" s="302"/>
      <c r="AG211" s="325" t="s">
        <v>1314</v>
      </c>
      <c r="AH211" s="325">
        <v>22</v>
      </c>
      <c r="AI211" s="325">
        <v>112013897</v>
      </c>
      <c r="AJ211" s="799" t="str">
        <f t="shared" si="64"/>
        <v>DETTANO YANINA MARIANELA</v>
      </c>
      <c r="AL211" s="323" t="s">
        <v>1197</v>
      </c>
      <c r="AM211" s="325">
        <v>4</v>
      </c>
      <c r="AN211" s="325">
        <v>112012486</v>
      </c>
      <c r="AO211" s="1394" t="e">
        <f t="shared" si="65"/>
        <v>#N/A</v>
      </c>
      <c r="AQ211" s="1395" t="s">
        <v>1016</v>
      </c>
      <c r="AR211" s="325">
        <v>22</v>
      </c>
      <c r="AS211" s="325">
        <v>112012273</v>
      </c>
      <c r="AT211" s="1397" t="str">
        <f t="shared" si="66"/>
        <v>DI SPALATRO GUSTAVO JULIO</v>
      </c>
      <c r="AU211" s="302"/>
      <c r="AV211" s="302"/>
      <c r="AW211" s="664" t="s">
        <v>1410</v>
      </c>
      <c r="AX211" s="325">
        <v>31</v>
      </c>
      <c r="AY211" s="325">
        <v>112014440</v>
      </c>
      <c r="AZ211" s="1392" t="str">
        <f t="shared" si="67"/>
        <v>FUSERO CLAUDIO OSCAR</v>
      </c>
      <c r="BA211" s="302"/>
      <c r="BB211" s="664" t="s">
        <v>1330</v>
      </c>
      <c r="BC211" s="325">
        <v>10</v>
      </c>
      <c r="BD211" s="325">
        <v>112014254</v>
      </c>
      <c r="BE211" s="1392" t="str">
        <f t="shared" si="68"/>
        <v>DISTRIB DM PETS/SALDIVIA NICOLAS</v>
      </c>
      <c r="BF211" s="618"/>
      <c r="BG211" s="553"/>
      <c r="BH211" s="294"/>
      <c r="BI211" s="618"/>
      <c r="BJ211" s="618"/>
      <c r="BK211" s="618"/>
      <c r="BL211" s="553"/>
      <c r="BM211" s="618"/>
      <c r="BN211" s="618"/>
      <c r="BO211" s="618"/>
    </row>
    <row r="212" spans="1:67" ht="13" hidden="1">
      <c r="A212" s="664" t="s">
        <v>778</v>
      </c>
      <c r="B212" s="325">
        <v>1</v>
      </c>
      <c r="C212" s="325">
        <v>112013566</v>
      </c>
      <c r="D212" s="1392" t="str">
        <f t="shared" si="58"/>
        <v>DIAZ COLELA MARINGELES SOLEDAD</v>
      </c>
      <c r="G212" s="325" t="s">
        <v>87</v>
      </c>
      <c r="H212" s="325">
        <v>7</v>
      </c>
      <c r="I212" s="325">
        <v>112012542</v>
      </c>
      <c r="J212" s="1393" t="str">
        <f t="shared" si="59"/>
        <v>DIAZ EDUARDO RAUL</v>
      </c>
      <c r="M212" s="664" t="s">
        <v>579</v>
      </c>
      <c r="N212" s="324">
        <v>4</v>
      </c>
      <c r="O212" s="325">
        <v>112014684</v>
      </c>
      <c r="P212" s="1392" t="str">
        <f t="shared" si="60"/>
        <v>DAIANA MAGALI CAÑELLAS</v>
      </c>
      <c r="R212" s="664" t="s">
        <v>322</v>
      </c>
      <c r="S212" s="324">
        <v>1</v>
      </c>
      <c r="T212" s="325">
        <v>112011662</v>
      </c>
      <c r="U212" s="1392" t="str">
        <f t="shared" si="61"/>
        <v>GARCIA CASAMAYOR SH</v>
      </c>
      <c r="W212" s="664" t="s">
        <v>482</v>
      </c>
      <c r="X212" s="324"/>
      <c r="Y212" s="325">
        <v>112014239</v>
      </c>
      <c r="Z212" s="1392" t="str">
        <f t="shared" si="62"/>
        <v>FUNDACION UNIVERSIDAD DE CIENCIAS EMPRESARIALES Y SOCIALES</v>
      </c>
      <c r="AB212" s="664" t="s">
        <v>962</v>
      </c>
      <c r="AC212" s="325">
        <v>4</v>
      </c>
      <c r="AD212" s="325">
        <v>112014040</v>
      </c>
      <c r="AE212" s="1392" t="e">
        <f t="shared" si="63"/>
        <v>#N/A</v>
      </c>
      <c r="AF212" s="302"/>
      <c r="AG212" s="325" t="s">
        <v>1330</v>
      </c>
      <c r="AH212" s="325">
        <v>18</v>
      </c>
      <c r="AI212" s="325">
        <v>112013473</v>
      </c>
      <c r="AJ212" s="799" t="str">
        <f t="shared" si="64"/>
        <v>DISTRIB DM PETS/SALDIVIA NICOLAS</v>
      </c>
      <c r="AL212" s="323" t="s">
        <v>1230</v>
      </c>
      <c r="AM212" s="325">
        <v>1</v>
      </c>
      <c r="AN212" s="325">
        <v>112012501</v>
      </c>
      <c r="AO212" s="1394" t="e">
        <f t="shared" si="65"/>
        <v>#N/A</v>
      </c>
      <c r="AQ212" s="1395" t="s">
        <v>1110</v>
      </c>
      <c r="AR212" s="325">
        <v>22</v>
      </c>
      <c r="AS212" s="325">
        <v>112010650</v>
      </c>
      <c r="AT212" s="1397" t="e">
        <f t="shared" si="66"/>
        <v>#N/A</v>
      </c>
      <c r="AU212" s="302"/>
      <c r="AV212" s="302"/>
      <c r="AW212" s="664" t="s">
        <v>1414</v>
      </c>
      <c r="AX212" s="325">
        <v>31</v>
      </c>
      <c r="AY212" s="325">
        <v>112013941</v>
      </c>
      <c r="AZ212" s="1392" t="str">
        <f t="shared" si="67"/>
        <v>GALISE VICTORIO ANDRES</v>
      </c>
      <c r="BA212" s="302"/>
      <c r="BB212" s="664" t="s">
        <v>1273</v>
      </c>
      <c r="BC212" s="325">
        <v>31</v>
      </c>
      <c r="BD212" s="325">
        <v>112014363</v>
      </c>
      <c r="BE212" s="1392" t="str">
        <f t="shared" si="68"/>
        <v>DISTRIBUIDORA DE BALANCEADOS MERLO</v>
      </c>
      <c r="BF212" s="618"/>
      <c r="BG212" s="553"/>
      <c r="BH212" s="294"/>
      <c r="BI212" s="618"/>
      <c r="BJ212" s="618"/>
      <c r="BK212" s="618"/>
      <c r="BL212" s="553"/>
      <c r="BM212" s="618"/>
      <c r="BN212" s="618"/>
      <c r="BO212" s="618"/>
    </row>
    <row r="213" spans="1:67" ht="13" hidden="1">
      <c r="A213" s="664" t="s">
        <v>689</v>
      </c>
      <c r="B213" s="325">
        <v>10</v>
      </c>
      <c r="C213" s="325">
        <v>112014705</v>
      </c>
      <c r="D213" s="1392" t="str">
        <f t="shared" si="58"/>
        <v>DIEGO MARTIN CURCHO</v>
      </c>
      <c r="G213" s="325" t="s">
        <v>179</v>
      </c>
      <c r="H213" s="325">
        <v>1</v>
      </c>
      <c r="I213" s="325">
        <v>112012848</v>
      </c>
      <c r="J213" s="1393" t="str">
        <f t="shared" si="59"/>
        <v>DISLOSUR HERMANOS S.R.L.</v>
      </c>
      <c r="M213" s="664" t="s">
        <v>559</v>
      </c>
      <c r="N213" s="324">
        <v>18</v>
      </c>
      <c r="O213" s="325">
        <v>112014471</v>
      </c>
      <c r="P213" s="1392" t="str">
        <f t="shared" si="60"/>
        <v>DANIELA PINCHETTI</v>
      </c>
      <c r="R213" s="664" t="s">
        <v>323</v>
      </c>
      <c r="S213" s="324">
        <v>1</v>
      </c>
      <c r="T213" s="325">
        <v>112010878</v>
      </c>
      <c r="U213" s="1392" t="e">
        <f t="shared" si="61"/>
        <v>#N/A</v>
      </c>
      <c r="W213" s="664" t="s">
        <v>463</v>
      </c>
      <c r="X213" s="324">
        <v>1</v>
      </c>
      <c r="Y213" s="325">
        <v>112011522</v>
      </c>
      <c r="Z213" s="1392" t="str">
        <f t="shared" si="62"/>
        <v>GALVAN WALTER RUBEN</v>
      </c>
      <c r="AB213" s="664" t="s">
        <v>840</v>
      </c>
      <c r="AC213" s="325">
        <v>22</v>
      </c>
      <c r="AD213" s="325">
        <v>112013480</v>
      </c>
      <c r="AE213" s="1392" t="str">
        <f t="shared" si="63"/>
        <v>G E N GANADERA</v>
      </c>
      <c r="AF213" s="302"/>
      <c r="AG213" s="325" t="s">
        <v>1273</v>
      </c>
      <c r="AH213" s="325">
        <v>31</v>
      </c>
      <c r="AI213" s="325">
        <v>112014128</v>
      </c>
      <c r="AJ213" s="799" t="str">
        <f t="shared" si="64"/>
        <v>DISTRIBUIDORA DE BALANCEADOS MERLO</v>
      </c>
      <c r="AL213" s="323" t="s">
        <v>1145</v>
      </c>
      <c r="AM213" s="325">
        <v>4</v>
      </c>
      <c r="AN213" s="325">
        <v>112012504</v>
      </c>
      <c r="AO213" s="1394" t="str">
        <f t="shared" si="65"/>
        <v>CASALE LUCIA LAURA</v>
      </c>
      <c r="AQ213" s="1395" t="s">
        <v>1027</v>
      </c>
      <c r="AR213" s="325">
        <v>22</v>
      </c>
      <c r="AS213" s="325">
        <v>112013478</v>
      </c>
      <c r="AT213" s="1397" t="str">
        <f t="shared" si="66"/>
        <v>DIAZ MARIA DOLORES</v>
      </c>
      <c r="AU213" s="302"/>
      <c r="AV213" s="302"/>
      <c r="AW213" s="664" t="s">
        <v>1411</v>
      </c>
      <c r="AX213" s="325">
        <v>31</v>
      </c>
      <c r="AY213" s="325">
        <v>112011899</v>
      </c>
      <c r="AZ213" s="1392" t="str">
        <f t="shared" si="67"/>
        <v>GONZALEZ ANALIA ADRIANA</v>
      </c>
      <c r="BA213" s="302"/>
      <c r="BB213" s="664" t="s">
        <v>1534</v>
      </c>
      <c r="BC213" s="325">
        <v>1</v>
      </c>
      <c r="BD213" s="325">
        <v>112013897</v>
      </c>
      <c r="BE213" s="1392" t="str">
        <f t="shared" si="68"/>
        <v>DONADIO NATACHA</v>
      </c>
      <c r="BF213" s="618"/>
      <c r="BG213" s="553"/>
      <c r="BH213" s="294"/>
      <c r="BI213" s="618"/>
      <c r="BJ213" s="618"/>
      <c r="BK213" s="618"/>
      <c r="BL213" s="553"/>
      <c r="BM213" s="618"/>
      <c r="BN213" s="618"/>
      <c r="BO213" s="618"/>
    </row>
    <row r="214" spans="1:67" ht="13" hidden="1">
      <c r="A214" s="664" t="s">
        <v>779</v>
      </c>
      <c r="B214" s="325">
        <v>1</v>
      </c>
      <c r="C214" s="325">
        <v>112011416</v>
      </c>
      <c r="D214" s="1392" t="str">
        <f t="shared" si="58"/>
        <v>EL COMAHUE S.R.L.</v>
      </c>
      <c r="G214" s="325" t="s">
        <v>180</v>
      </c>
      <c r="H214" s="325">
        <v>1</v>
      </c>
      <c r="I214" s="325">
        <v>112012326</v>
      </c>
      <c r="J214" s="1393" t="str">
        <f t="shared" si="59"/>
        <v>DOMINGUEZ MARIANA ANDREA</v>
      </c>
      <c r="M214" s="664" t="s">
        <v>626</v>
      </c>
      <c r="N214" s="324">
        <v>4</v>
      </c>
      <c r="O214" s="325">
        <v>112013219</v>
      </c>
      <c r="P214" s="1392" t="str">
        <f t="shared" si="60"/>
        <v>DARRE ANDREA FABIANA</v>
      </c>
      <c r="R214" s="664" t="s">
        <v>294</v>
      </c>
      <c r="S214" s="324">
        <v>4</v>
      </c>
      <c r="T214" s="325">
        <v>112014441</v>
      </c>
      <c r="U214" s="1392" t="str">
        <f t="shared" si="61"/>
        <v>GENAVES SA</v>
      </c>
      <c r="W214" s="664" t="s">
        <v>461</v>
      </c>
      <c r="X214" s="324">
        <v>1</v>
      </c>
      <c r="Y214" s="325">
        <v>112011204</v>
      </c>
      <c r="Z214" s="1392" t="str">
        <f t="shared" si="62"/>
        <v>GARAVAGLIA VICTOR ESTEBAN</v>
      </c>
      <c r="AB214" s="664" t="s">
        <v>925</v>
      </c>
      <c r="AC214" s="325">
        <v>31</v>
      </c>
      <c r="AD214" s="325">
        <v>112014205</v>
      </c>
      <c r="AE214" s="1392" t="e">
        <f t="shared" si="63"/>
        <v>#N/A</v>
      </c>
      <c r="AF214" s="302"/>
      <c r="AG214" s="325" t="s">
        <v>1263</v>
      </c>
      <c r="AH214" s="325">
        <v>10</v>
      </c>
      <c r="AI214" s="325">
        <v>112014014</v>
      </c>
      <c r="AJ214" s="799" t="str">
        <f t="shared" si="64"/>
        <v>DONATO CARLOS</v>
      </c>
      <c r="AL214" s="323" t="s">
        <v>872</v>
      </c>
      <c r="AM214" s="325">
        <v>22</v>
      </c>
      <c r="AN214" s="325">
        <v>112012510</v>
      </c>
      <c r="AO214" s="1394" t="e">
        <f t="shared" si="65"/>
        <v>#N/A</v>
      </c>
      <c r="AQ214" s="1395" t="s">
        <v>1087</v>
      </c>
      <c r="AR214" s="325">
        <v>1</v>
      </c>
      <c r="AS214" s="325">
        <v>112014312</v>
      </c>
      <c r="AT214" s="1397" t="str">
        <f t="shared" si="66"/>
        <v>DIEGUEZ JORGE ALBERTO</v>
      </c>
      <c r="AU214" s="302"/>
      <c r="AV214" s="302"/>
      <c r="AW214" s="664" t="s">
        <v>1439</v>
      </c>
      <c r="AX214" s="325">
        <v>22</v>
      </c>
      <c r="AY214" s="325">
        <v>112013765</v>
      </c>
      <c r="AZ214" s="1392" t="str">
        <f t="shared" si="67"/>
        <v>GONZALEZ MAURICIO DAMIAN</v>
      </c>
      <c r="BA214" s="302"/>
      <c r="BB214" s="664" t="s">
        <v>1399</v>
      </c>
      <c r="BC214" s="325">
        <v>11</v>
      </c>
      <c r="BD214" s="325">
        <v>112012334</v>
      </c>
      <c r="BE214" s="1392" t="str">
        <f t="shared" si="68"/>
        <v>DROGUERIA MEDICAM SRL</v>
      </c>
      <c r="BF214" s="618"/>
      <c r="BG214" s="553"/>
      <c r="BH214" s="294"/>
      <c r="BI214" s="618"/>
      <c r="BJ214" s="618"/>
      <c r="BK214" s="618"/>
      <c r="BL214" s="553"/>
      <c r="BM214" s="618"/>
      <c r="BN214" s="618"/>
      <c r="BO214" s="618"/>
    </row>
    <row r="215" spans="1:67" ht="13" hidden="1">
      <c r="A215" s="664" t="s">
        <v>801</v>
      </c>
      <c r="B215" s="325"/>
      <c r="C215" s="325">
        <v>112014405</v>
      </c>
      <c r="D215" s="1392" t="str">
        <f t="shared" si="58"/>
        <v>ELICABE TOHA PATRICIA LUISA</v>
      </c>
      <c r="G215" s="325" t="s">
        <v>181</v>
      </c>
      <c r="H215" s="325">
        <v>1</v>
      </c>
      <c r="I215" s="325">
        <v>112011720</v>
      </c>
      <c r="J215" s="1393" t="str">
        <f t="shared" si="59"/>
        <v>DRISDALE GRISELDA BEATRIZ</v>
      </c>
      <c r="M215" s="664" t="s">
        <v>630</v>
      </c>
      <c r="N215" s="324">
        <v>4</v>
      </c>
      <c r="O215" s="325">
        <v>112013232</v>
      </c>
      <c r="P215" s="1392" t="str">
        <f t="shared" si="60"/>
        <v>DE FARIA OTILIA SOLEDAD</v>
      </c>
      <c r="R215" s="664" t="s">
        <v>267</v>
      </c>
      <c r="S215" s="324">
        <v>31</v>
      </c>
      <c r="T215" s="325">
        <v>112014379</v>
      </c>
      <c r="U215" s="1392" t="str">
        <f t="shared" si="61"/>
        <v>GEROSA FEDERICO</v>
      </c>
      <c r="W215" s="664" t="s">
        <v>478</v>
      </c>
      <c r="X215" s="324"/>
      <c r="Y215" s="325">
        <v>112011877</v>
      </c>
      <c r="Z215" s="1392" t="str">
        <f t="shared" si="62"/>
        <v>GARCIA GUTIERREZ FACUNDO</v>
      </c>
      <c r="AB215" s="664" t="s">
        <v>858</v>
      </c>
      <c r="AC215" s="325">
        <v>7</v>
      </c>
      <c r="AD215" s="325">
        <v>112010010</v>
      </c>
      <c r="AE215" s="1392" t="str">
        <f t="shared" si="63"/>
        <v>GATTI JORGE EDUARDO</v>
      </c>
      <c r="AF215" s="302"/>
      <c r="AG215" s="325" t="s">
        <v>1277</v>
      </c>
      <c r="AH215" s="325">
        <v>7</v>
      </c>
      <c r="AI215" s="325">
        <v>112014053</v>
      </c>
      <c r="AJ215" s="799" t="str">
        <f t="shared" si="64"/>
        <v>ENRIQUE MARTIN AGUILERA</v>
      </c>
      <c r="AL215" s="323" t="s">
        <v>1187</v>
      </c>
      <c r="AM215" s="325"/>
      <c r="AN215" s="325">
        <v>112012517</v>
      </c>
      <c r="AO215" s="1394" t="e">
        <f t="shared" si="65"/>
        <v>#N/A</v>
      </c>
      <c r="AQ215" s="1395" t="s">
        <v>1080</v>
      </c>
      <c r="AR215" s="325">
        <v>1</v>
      </c>
      <c r="AS215" s="325">
        <v>112012827</v>
      </c>
      <c r="AT215" s="1397" t="str">
        <f t="shared" si="66"/>
        <v>DIMASI CRISTIAN HERNAN</v>
      </c>
      <c r="AU215" s="302"/>
      <c r="AV215" s="302"/>
      <c r="AW215" s="664" t="s">
        <v>1453</v>
      </c>
      <c r="AX215" s="325">
        <v>22</v>
      </c>
      <c r="AY215" s="325">
        <v>112013586</v>
      </c>
      <c r="AZ215" s="1392" t="str">
        <f t="shared" si="67"/>
        <v>GRANERO AGUERO JESICA MARTINA</v>
      </c>
      <c r="BA215" s="302"/>
      <c r="BB215" s="664" t="s">
        <v>1400</v>
      </c>
      <c r="BC215" s="325">
        <v>28</v>
      </c>
      <c r="BD215" s="325">
        <v>112013682</v>
      </c>
      <c r="BE215" s="1392" t="str">
        <f t="shared" si="68"/>
        <v>DUPUY CARLOS RAUL FERNANDO</v>
      </c>
      <c r="BF215" s="618"/>
      <c r="BG215" s="553"/>
      <c r="BH215" s="294"/>
      <c r="BI215" s="618"/>
      <c r="BJ215" s="618"/>
      <c r="BK215" s="618"/>
      <c r="BL215" s="553"/>
      <c r="BM215" s="618"/>
      <c r="BN215" s="618"/>
      <c r="BO215" s="618"/>
    </row>
    <row r="216" spans="1:67" ht="13" hidden="1">
      <c r="A216" s="664" t="s">
        <v>780</v>
      </c>
      <c r="B216" s="325">
        <v>1</v>
      </c>
      <c r="C216" s="325">
        <v>112013942</v>
      </c>
      <c r="D216" s="1392" t="str">
        <f t="shared" si="58"/>
        <v>ERRO AZUL SOFIA</v>
      </c>
      <c r="G216" s="325" t="s">
        <v>182</v>
      </c>
      <c r="H216" s="325">
        <v>1</v>
      </c>
      <c r="I216" s="325">
        <v>112013956</v>
      </c>
      <c r="J216" s="1393" t="str">
        <f t="shared" si="59"/>
        <v>DUARTE IGNACIO/BRIZUELA BATISTA</v>
      </c>
      <c r="M216" s="664" t="s">
        <v>580</v>
      </c>
      <c r="N216" s="324">
        <v>4</v>
      </c>
      <c r="O216" s="325">
        <v>112014678</v>
      </c>
      <c r="P216" s="1392" t="str">
        <f t="shared" si="60"/>
        <v>DIAZ CYNTHIA SILVANA</v>
      </c>
      <c r="R216" s="664" t="s">
        <v>287</v>
      </c>
      <c r="S216" s="324">
        <v>20</v>
      </c>
      <c r="T216" s="325">
        <v>112014149</v>
      </c>
      <c r="U216" s="1392" t="str">
        <f t="shared" si="61"/>
        <v>GHERSINICH FERNANDO EZEQUIEL</v>
      </c>
      <c r="W216" s="664" t="s">
        <v>462</v>
      </c>
      <c r="X216" s="324">
        <v>1</v>
      </c>
      <c r="Y216" s="325">
        <v>112011398</v>
      </c>
      <c r="Z216" s="1392" t="str">
        <f t="shared" si="62"/>
        <v>GARCIA LUIS FERNANDO CTA 2</v>
      </c>
      <c r="AB216" s="664" t="s">
        <v>982</v>
      </c>
      <c r="AC216" s="325"/>
      <c r="AD216" s="325">
        <v>112012164</v>
      </c>
      <c r="AE216" s="1392" t="e">
        <f t="shared" si="63"/>
        <v>#N/A</v>
      </c>
      <c r="AF216" s="302"/>
      <c r="AG216" s="325" t="s">
        <v>1262</v>
      </c>
      <c r="AH216" s="325">
        <v>10</v>
      </c>
      <c r="AI216" s="325">
        <v>112014416</v>
      </c>
      <c r="AJ216" s="799" t="str">
        <f t="shared" si="64"/>
        <v>ERCOLI SERGIO NESTOR</v>
      </c>
      <c r="AL216" s="323" t="s">
        <v>1211</v>
      </c>
      <c r="AM216" s="325">
        <v>4</v>
      </c>
      <c r="AN216" s="325">
        <v>112012520</v>
      </c>
      <c r="AO216" s="1394" t="e">
        <f t="shared" si="65"/>
        <v>#N/A</v>
      </c>
      <c r="AQ216" s="1395" t="s">
        <v>1004</v>
      </c>
      <c r="AR216" s="325">
        <v>22</v>
      </c>
      <c r="AS216" s="325">
        <v>112014453</v>
      </c>
      <c r="AT216" s="1397" t="str">
        <f t="shared" si="66"/>
        <v>EL PALENQUE S. CAP I SECC IV</v>
      </c>
      <c r="AU216" s="302"/>
      <c r="AV216" s="302"/>
      <c r="AW216" s="664" t="s">
        <v>1529</v>
      </c>
      <c r="AX216" s="325"/>
      <c r="AY216" s="325">
        <v>112014225</v>
      </c>
      <c r="AZ216" s="1392" t="e">
        <f t="shared" si="67"/>
        <v>#N/A</v>
      </c>
      <c r="BA216" s="302"/>
      <c r="BB216" s="664" t="s">
        <v>1052</v>
      </c>
      <c r="BC216" s="325">
        <v>22</v>
      </c>
      <c r="BD216" s="325">
        <v>112013478</v>
      </c>
      <c r="BE216" s="1392" t="str">
        <f t="shared" si="68"/>
        <v>ESTANCIAS EL PORVENIR S.A.</v>
      </c>
      <c r="BF216" s="618"/>
      <c r="BG216" s="553"/>
      <c r="BH216" s="294"/>
      <c r="BI216" s="618"/>
      <c r="BJ216" s="618"/>
      <c r="BK216" s="618"/>
      <c r="BL216" s="553"/>
      <c r="BM216" s="618"/>
      <c r="BN216" s="618"/>
      <c r="BO216" s="618"/>
    </row>
    <row r="217" spans="1:67" ht="13" hidden="1">
      <c r="A217" s="664" t="s">
        <v>802</v>
      </c>
      <c r="B217" s="325"/>
      <c r="C217" s="325">
        <v>11201394201</v>
      </c>
      <c r="D217" s="1392" t="str">
        <f t="shared" si="58"/>
        <v>ERRO AZUL SOFIA QUILMES</v>
      </c>
      <c r="G217" s="325" t="s">
        <v>148</v>
      </c>
      <c r="H217" s="325">
        <v>4</v>
      </c>
      <c r="I217" s="325">
        <v>112012294</v>
      </c>
      <c r="J217" s="1393" t="str">
        <f t="shared" si="59"/>
        <v>DUARTE MANUEL GUSTAVO</v>
      </c>
      <c r="M217" s="664" t="s">
        <v>540</v>
      </c>
      <c r="N217" s="324">
        <v>22</v>
      </c>
      <c r="O217" s="325">
        <v>112012470</v>
      </c>
      <c r="P217" s="1392" t="str">
        <f t="shared" si="60"/>
        <v>DOBLER JAVIER ALEJANDRO</v>
      </c>
      <c r="R217" s="664" t="s">
        <v>324</v>
      </c>
      <c r="S217" s="324">
        <v>1</v>
      </c>
      <c r="T217" s="325">
        <v>112010675</v>
      </c>
      <c r="U217" s="1392" t="str">
        <f t="shared" si="61"/>
        <v>GHIGLIAZZA GUSTAVO</v>
      </c>
      <c r="W217" s="664" t="s">
        <v>395</v>
      </c>
      <c r="X217" s="324">
        <v>40</v>
      </c>
      <c r="Y217" s="325">
        <v>112013907</v>
      </c>
      <c r="Z217" s="1392" t="e">
        <f t="shared" si="62"/>
        <v>#N/A</v>
      </c>
      <c r="AB217" s="664" t="s">
        <v>855</v>
      </c>
      <c r="AC217" s="325">
        <v>31</v>
      </c>
      <c r="AD217" s="325">
        <v>112014196</v>
      </c>
      <c r="AE217" s="1392" t="e">
        <f t="shared" si="63"/>
        <v>#N/A</v>
      </c>
      <c r="AF217" s="302"/>
      <c r="AG217" s="325" t="s">
        <v>1265</v>
      </c>
      <c r="AH217" s="325">
        <v>12</v>
      </c>
      <c r="AI217" s="325">
        <v>112013028</v>
      </c>
      <c r="AJ217" s="799" t="str">
        <f t="shared" si="64"/>
        <v>ESPINOSA MARIA INES</v>
      </c>
      <c r="AL217" s="323" t="s">
        <v>1159</v>
      </c>
      <c r="AM217" s="325">
        <v>4</v>
      </c>
      <c r="AN217" s="325">
        <v>112012576</v>
      </c>
      <c r="AO217" s="1394" t="e">
        <f t="shared" si="65"/>
        <v>#N/A</v>
      </c>
      <c r="AQ217" s="1395" t="s">
        <v>1075</v>
      </c>
      <c r="AR217" s="325">
        <v>1</v>
      </c>
      <c r="AS217" s="325">
        <v>112012304</v>
      </c>
      <c r="AT217" s="1397" t="str">
        <f t="shared" si="66"/>
        <v>ELGUE LUCIA</v>
      </c>
      <c r="AU217" s="302"/>
      <c r="AV217" s="302"/>
      <c r="AW217" s="664" t="s">
        <v>1408</v>
      </c>
      <c r="AX217" s="325">
        <v>7</v>
      </c>
      <c r="AY217" s="325">
        <v>112013226</v>
      </c>
      <c r="AZ217" s="1392" t="str">
        <f t="shared" si="67"/>
        <v>GUERRA ANDREA</v>
      </c>
      <c r="BA217" s="302"/>
      <c r="BB217" s="664" t="s">
        <v>1053</v>
      </c>
      <c r="BC217" s="325">
        <v>22</v>
      </c>
      <c r="BD217" s="325">
        <v>112014128</v>
      </c>
      <c r="BE217" s="1392" t="str">
        <f t="shared" si="68"/>
        <v>FARACO MATIAS</v>
      </c>
      <c r="BF217" s="618"/>
      <c r="BG217" s="553"/>
      <c r="BH217" s="294"/>
      <c r="BI217" s="618"/>
      <c r="BJ217" s="618"/>
      <c r="BK217" s="618"/>
      <c r="BL217" s="553"/>
      <c r="BM217" s="618"/>
      <c r="BN217" s="618"/>
      <c r="BO217" s="618"/>
    </row>
    <row r="218" spans="1:67" ht="13" hidden="1">
      <c r="A218" s="664" t="s">
        <v>750</v>
      </c>
      <c r="B218" s="325">
        <v>4</v>
      </c>
      <c r="C218" s="325">
        <v>112014752</v>
      </c>
      <c r="D218" s="1392" t="str">
        <f t="shared" si="58"/>
        <v>ESCOBAR RIVERA ELSSY YERALDIN</v>
      </c>
      <c r="G218" s="325" t="s">
        <v>149</v>
      </c>
      <c r="H218" s="325">
        <v>4</v>
      </c>
      <c r="I218" s="325">
        <v>112012308</v>
      </c>
      <c r="J218" s="1393" t="str">
        <f t="shared" si="59"/>
        <v>DULCE IRMA CRISTINA</v>
      </c>
      <c r="M218" s="664" t="s">
        <v>527</v>
      </c>
      <c r="N218" s="324">
        <v>7</v>
      </c>
      <c r="O218" s="325">
        <v>112014210</v>
      </c>
      <c r="P218" s="1392" t="str">
        <f t="shared" si="60"/>
        <v>DOMINGUEZ NATALIA ROMINA</v>
      </c>
      <c r="R218" s="664" t="s">
        <v>300</v>
      </c>
      <c r="S218" s="324">
        <v>4</v>
      </c>
      <c r="T218" s="325">
        <v>112013422</v>
      </c>
      <c r="U218" s="1392" t="str">
        <f t="shared" si="61"/>
        <v>GONZALEZ JOSE ROBERTO</v>
      </c>
      <c r="W218" s="664" t="s">
        <v>444</v>
      </c>
      <c r="X218" s="324">
        <v>31</v>
      </c>
      <c r="Y218" s="325">
        <v>112014721</v>
      </c>
      <c r="Z218" s="1392" t="str">
        <f t="shared" si="62"/>
        <v>GIMENEZ MARIA MILAGROS</v>
      </c>
      <c r="AB218" s="664" t="s">
        <v>867</v>
      </c>
      <c r="AC218" s="325">
        <v>7</v>
      </c>
      <c r="AD218" s="325">
        <v>112014706</v>
      </c>
      <c r="AE218" s="1392" t="str">
        <f t="shared" si="63"/>
        <v>GRACIELA MATILDE VACCARO</v>
      </c>
      <c r="AF218" s="302"/>
      <c r="AG218" s="325" t="s">
        <v>1349</v>
      </c>
      <c r="AH218" s="325">
        <v>1</v>
      </c>
      <c r="AI218" s="325">
        <v>112012020</v>
      </c>
      <c r="AJ218" s="799" t="str">
        <f t="shared" si="64"/>
        <v>ETCHEVARNE DIEGO SEBASTIAN</v>
      </c>
      <c r="AL218" s="323" t="s">
        <v>1207</v>
      </c>
      <c r="AM218" s="325">
        <v>1</v>
      </c>
      <c r="AN218" s="325">
        <v>112012595</v>
      </c>
      <c r="AO218" s="1394" t="e">
        <f t="shared" si="65"/>
        <v>#N/A</v>
      </c>
      <c r="AQ218" s="1395" t="s">
        <v>1072</v>
      </c>
      <c r="AR218" s="325">
        <v>1</v>
      </c>
      <c r="AS218" s="325">
        <v>112011681</v>
      </c>
      <c r="AT218" s="1397" t="str">
        <f t="shared" si="66"/>
        <v>ESCUDUN JUAN JOSE</v>
      </c>
      <c r="AU218" s="302"/>
      <c r="AV218" s="302"/>
      <c r="AW218" s="664" t="s">
        <v>1454</v>
      </c>
      <c r="AX218" s="325">
        <v>22</v>
      </c>
      <c r="AY218" s="325">
        <v>112014567</v>
      </c>
      <c r="AZ218" s="1392" t="str">
        <f t="shared" si="67"/>
        <v>HENNIG MILTON HUGO</v>
      </c>
      <c r="BA218" s="302"/>
      <c r="BB218" s="664" t="s">
        <v>1268</v>
      </c>
      <c r="BC218" s="325">
        <v>12</v>
      </c>
      <c r="BD218" s="325">
        <v>112011962</v>
      </c>
      <c r="BE218" s="1392" t="str">
        <f t="shared" si="68"/>
        <v>FEDERICO JOSE MARIA</v>
      </c>
      <c r="BF218" s="618"/>
      <c r="BG218" s="553"/>
      <c r="BH218" s="294"/>
      <c r="BI218" s="618"/>
      <c r="BJ218" s="618"/>
      <c r="BK218" s="618"/>
      <c r="BL218" s="553"/>
      <c r="BM218" s="618"/>
      <c r="BN218" s="618"/>
      <c r="BO218" s="618"/>
    </row>
    <row r="219" spans="1:67" ht="13" hidden="1">
      <c r="A219" s="664" t="s">
        <v>751</v>
      </c>
      <c r="B219" s="325">
        <v>4</v>
      </c>
      <c r="C219" s="325">
        <v>112014474</v>
      </c>
      <c r="D219" s="1392" t="str">
        <f t="shared" si="58"/>
        <v>ESTEFANIA JULIETA SANCHEZ</v>
      </c>
      <c r="G219" s="325" t="s">
        <v>150</v>
      </c>
      <c r="H219" s="325">
        <v>4</v>
      </c>
      <c r="I219" s="325">
        <v>112012535</v>
      </c>
      <c r="J219" s="1393" t="str">
        <f t="shared" si="59"/>
        <v>DURAN MARCELO JAVIER</v>
      </c>
      <c r="M219" s="664" t="s">
        <v>560</v>
      </c>
      <c r="N219" s="324">
        <v>18</v>
      </c>
      <c r="O219" s="325">
        <v>112014472</v>
      </c>
      <c r="P219" s="1392" t="str">
        <f t="shared" si="60"/>
        <v>DONADIO JUAN PABLO</v>
      </c>
      <c r="R219" s="664" t="s">
        <v>272</v>
      </c>
      <c r="S219" s="324">
        <v>22</v>
      </c>
      <c r="T219" s="325">
        <v>112013274</v>
      </c>
      <c r="U219" s="1392" t="str">
        <f t="shared" si="61"/>
        <v>GUIDO ADALBERTO HORACIO</v>
      </c>
      <c r="W219" s="664" t="s">
        <v>430</v>
      </c>
      <c r="X219" s="324">
        <v>22</v>
      </c>
      <c r="Y219" s="325">
        <v>112011796</v>
      </c>
      <c r="Z219" s="1392" t="str">
        <f t="shared" si="62"/>
        <v>GOMEZ CARLOS FABIAN</v>
      </c>
      <c r="AB219" s="664" t="s">
        <v>897</v>
      </c>
      <c r="AC219" s="325"/>
      <c r="AD219" s="325">
        <v>112014049</v>
      </c>
      <c r="AE219" s="1392" t="str">
        <f t="shared" si="63"/>
        <v>GROBA HORACIO ROSENDO</v>
      </c>
      <c r="AF219" s="302"/>
      <c r="AG219" s="325" t="s">
        <v>1389</v>
      </c>
      <c r="AH219" s="325">
        <v>1</v>
      </c>
      <c r="AI219" s="325">
        <v>112013337</v>
      </c>
      <c r="AJ219" s="799" t="e">
        <f t="shared" si="64"/>
        <v>#N/A</v>
      </c>
      <c r="AL219" s="323" t="s">
        <v>1194</v>
      </c>
      <c r="AM219" s="325">
        <v>1</v>
      </c>
      <c r="AN219" s="325">
        <v>112012599</v>
      </c>
      <c r="AO219" s="1394" t="e">
        <f t="shared" si="65"/>
        <v>#N/A</v>
      </c>
      <c r="AQ219" s="1395" t="s">
        <v>1052</v>
      </c>
      <c r="AR219" s="325">
        <v>1</v>
      </c>
      <c r="AS219" s="325">
        <v>112013648</v>
      </c>
      <c r="AT219" s="1397" t="str">
        <f t="shared" si="66"/>
        <v>ESTANCIAS EL PORVENIR S.A.</v>
      </c>
      <c r="AU219" s="302"/>
      <c r="AV219" s="302"/>
      <c r="AW219" s="664" t="s">
        <v>1440</v>
      </c>
      <c r="AX219" s="325">
        <v>22</v>
      </c>
      <c r="AY219" s="325">
        <v>112013343</v>
      </c>
      <c r="AZ219" s="1392" t="e">
        <f t="shared" si="67"/>
        <v>#N/A</v>
      </c>
      <c r="BA219" s="302"/>
      <c r="BB219" s="664" t="s">
        <v>1438</v>
      </c>
      <c r="BC219" s="325">
        <v>22</v>
      </c>
      <c r="BD219" s="325">
        <v>112014120</v>
      </c>
      <c r="BE219" s="1392" t="str">
        <f t="shared" si="68"/>
        <v>FERREYRA ALEJANDRO NESTOR</v>
      </c>
      <c r="BF219" s="618"/>
      <c r="BG219" s="553"/>
      <c r="BH219" s="294"/>
      <c r="BI219" s="618"/>
      <c r="BJ219" s="618"/>
      <c r="BK219" s="618"/>
      <c r="BL219" s="553"/>
      <c r="BM219" s="618"/>
      <c r="BN219" s="618"/>
      <c r="BO219" s="618"/>
    </row>
    <row r="220" spans="1:67" ht="13" hidden="1">
      <c r="A220" s="664" t="s">
        <v>752</v>
      </c>
      <c r="B220" s="325">
        <v>4</v>
      </c>
      <c r="C220" s="325">
        <v>112013839</v>
      </c>
      <c r="D220" s="1392" t="str">
        <f t="shared" si="58"/>
        <v>ESTEVEZ LEONARDO JAVIER</v>
      </c>
      <c r="G220" s="325" t="s">
        <v>151</v>
      </c>
      <c r="H220" s="325">
        <v>4</v>
      </c>
      <c r="I220" s="325">
        <v>112012536</v>
      </c>
      <c r="J220" s="1393" t="str">
        <f t="shared" si="59"/>
        <v>DURAN OSCAR ALBERTO</v>
      </c>
      <c r="M220" s="664" t="s">
        <v>665</v>
      </c>
      <c r="N220" s="324"/>
      <c r="O220" s="325">
        <v>112011938</v>
      </c>
      <c r="P220" s="1392" t="str">
        <f t="shared" si="60"/>
        <v>ELSO CARLOS JAVIER</v>
      </c>
      <c r="R220" s="664" t="s">
        <v>363</v>
      </c>
      <c r="S220" s="324">
        <v>6</v>
      </c>
      <c r="T220" s="325">
        <v>112014662</v>
      </c>
      <c r="U220" s="1392" t="e">
        <f t="shared" si="61"/>
        <v>#N/A</v>
      </c>
      <c r="W220" s="664" t="s">
        <v>408</v>
      </c>
      <c r="X220" s="324">
        <v>7</v>
      </c>
      <c r="Y220" s="325">
        <v>112014103</v>
      </c>
      <c r="Z220" s="1392" t="str">
        <f t="shared" si="62"/>
        <v>GOROSITO ADELINA GAUDENCIA</v>
      </c>
      <c r="AB220" s="664" t="s">
        <v>838</v>
      </c>
      <c r="AC220" s="325">
        <v>10</v>
      </c>
      <c r="AD220" s="325">
        <v>11201231501</v>
      </c>
      <c r="AE220" s="1392" t="str">
        <f t="shared" si="63"/>
        <v>GRUPO BAGUAL/BORREGO HERNAN</v>
      </c>
      <c r="AF220" s="302"/>
      <c r="AG220" s="325" t="s">
        <v>1268</v>
      </c>
      <c r="AH220" s="325">
        <v>12</v>
      </c>
      <c r="AI220" s="325">
        <v>112013507</v>
      </c>
      <c r="AJ220" s="799" t="str">
        <f t="shared" si="64"/>
        <v>FEDERICO JOSE MARIA</v>
      </c>
      <c r="AL220" s="323" t="s">
        <v>1160</v>
      </c>
      <c r="AM220" s="325">
        <v>4</v>
      </c>
      <c r="AN220" s="325">
        <v>112012600</v>
      </c>
      <c r="AO220" s="1394" t="e">
        <f t="shared" si="65"/>
        <v>#N/A</v>
      </c>
      <c r="AQ220" s="1395" t="s">
        <v>1053</v>
      </c>
      <c r="AR220" s="325">
        <v>1</v>
      </c>
      <c r="AS220" s="325">
        <v>112014688</v>
      </c>
      <c r="AT220" s="1397" t="str">
        <f t="shared" si="66"/>
        <v>FARACO MATIAS</v>
      </c>
      <c r="AU220" s="302"/>
      <c r="AV220" s="302"/>
      <c r="AW220" s="664" t="s">
        <v>1401</v>
      </c>
      <c r="AX220" s="325">
        <v>12</v>
      </c>
      <c r="AY220" s="325">
        <v>112013512</v>
      </c>
      <c r="AZ220" s="1392" t="str">
        <f t="shared" si="67"/>
        <v>IRAZOQUI JUAN CARLOS</v>
      </c>
      <c r="BA220" s="302"/>
      <c r="BB220" s="664" t="s">
        <v>1019</v>
      </c>
      <c r="BC220" s="325">
        <v>22</v>
      </c>
      <c r="BD220" s="325">
        <v>112012493</v>
      </c>
      <c r="BE220" s="1392" t="str">
        <f t="shared" si="68"/>
        <v>GASALI GONZALEZ AGUSTINA MERCEDES</v>
      </c>
      <c r="BF220" s="618"/>
      <c r="BG220" s="553"/>
      <c r="BH220" s="294"/>
      <c r="BI220" s="618"/>
      <c r="BJ220" s="618"/>
      <c r="BK220" s="618"/>
      <c r="BL220" s="553"/>
      <c r="BM220" s="618"/>
      <c r="BN220" s="618"/>
      <c r="BO220" s="618"/>
    </row>
    <row r="221" spans="1:67" ht="13" hidden="1">
      <c r="A221" s="664" t="s">
        <v>727</v>
      </c>
      <c r="B221" s="325">
        <v>18</v>
      </c>
      <c r="C221" s="325">
        <v>112013377</v>
      </c>
      <c r="D221" s="1392" t="str">
        <f t="shared" si="58"/>
        <v>ETCHART GLADYS MABEL</v>
      </c>
      <c r="G221" s="325" t="s">
        <v>70</v>
      </c>
      <c r="H221" s="325">
        <v>12</v>
      </c>
      <c r="I221" s="325">
        <v>112013867</v>
      </c>
      <c r="J221" s="1393" t="str">
        <f t="shared" si="59"/>
        <v>DURAN SERGIO DANIEL</v>
      </c>
      <c r="M221" s="664" t="s">
        <v>541</v>
      </c>
      <c r="N221" s="324">
        <v>22</v>
      </c>
      <c r="O221" s="325">
        <v>112012514</v>
      </c>
      <c r="P221" s="1392" t="str">
        <f t="shared" si="60"/>
        <v>ELSO JOSE GONZALO</v>
      </c>
      <c r="R221" s="664" t="s">
        <v>282</v>
      </c>
      <c r="S221" s="324">
        <v>22</v>
      </c>
      <c r="T221" s="325">
        <v>112014701</v>
      </c>
      <c r="U221" s="1392" t="str">
        <f t="shared" si="61"/>
        <v>GUTIERREZ ELASKAR FRANCISCP/MARIA EMILIA</v>
      </c>
      <c r="W221" s="664" t="s">
        <v>391</v>
      </c>
      <c r="X221" s="324">
        <v>25</v>
      </c>
      <c r="Y221" s="325">
        <v>112013105</v>
      </c>
      <c r="Z221" s="1392" t="str">
        <f t="shared" si="62"/>
        <v>GRUPO R &amp; R SAS</v>
      </c>
      <c r="AB221" s="664" t="s">
        <v>945</v>
      </c>
      <c r="AC221" s="325">
        <v>1</v>
      </c>
      <c r="AD221" s="325">
        <v>112014691</v>
      </c>
      <c r="AE221" s="1392" t="e">
        <f t="shared" si="63"/>
        <v>#N/A</v>
      </c>
      <c r="AF221" s="302"/>
      <c r="AG221" s="325" t="s">
        <v>1294</v>
      </c>
      <c r="AH221" s="325">
        <v>22</v>
      </c>
      <c r="AI221" s="325">
        <v>112014013</v>
      </c>
      <c r="AJ221" s="799" t="str">
        <f t="shared" si="64"/>
        <v>FLORES FEDERICO MIGUEL</v>
      </c>
      <c r="AL221" s="323" t="s">
        <v>1233</v>
      </c>
      <c r="AM221" s="325">
        <v>1</v>
      </c>
      <c r="AN221" s="325">
        <v>112012606</v>
      </c>
      <c r="AO221" s="1394" t="e">
        <f t="shared" si="65"/>
        <v>#N/A</v>
      </c>
      <c r="AQ221" s="1395" t="s">
        <v>1011</v>
      </c>
      <c r="AR221" s="325">
        <v>30</v>
      </c>
      <c r="AS221" s="325">
        <v>112012450</v>
      </c>
      <c r="AT221" s="1397" t="str">
        <f t="shared" si="66"/>
        <v>FERNANDEZ SILVANA MARINA</v>
      </c>
      <c r="AU221" s="302"/>
      <c r="AV221" s="302"/>
      <c r="AW221" s="664" t="s">
        <v>1424</v>
      </c>
      <c r="AX221" s="325">
        <v>22</v>
      </c>
      <c r="AY221" s="325">
        <v>112014493</v>
      </c>
      <c r="AZ221" s="1392" t="str">
        <f t="shared" si="67"/>
        <v>JESUS DAMIAN TURSI</v>
      </c>
      <c r="BA221" s="302"/>
      <c r="BB221" s="664" t="s">
        <v>1337</v>
      </c>
      <c r="BC221" s="325">
        <v>12</v>
      </c>
      <c r="BD221" s="325">
        <v>112013648</v>
      </c>
      <c r="BE221" s="1392" t="str">
        <f t="shared" si="68"/>
        <v>GOIN MARTIN EMILIO</v>
      </c>
      <c r="BF221" s="618"/>
      <c r="BG221" s="553"/>
      <c r="BH221" s="294"/>
      <c r="BI221" s="618"/>
      <c r="BJ221" s="618"/>
      <c r="BK221" s="618"/>
      <c r="BL221" s="553"/>
      <c r="BM221" s="618"/>
      <c r="BN221" s="618"/>
      <c r="BO221" s="618"/>
    </row>
    <row r="222" spans="1:67" ht="13" hidden="1">
      <c r="A222" s="664" t="s">
        <v>738</v>
      </c>
      <c r="B222" s="325">
        <v>1</v>
      </c>
      <c r="C222" s="325">
        <v>112013046</v>
      </c>
      <c r="D222" s="1392" t="str">
        <f t="shared" si="58"/>
        <v>FERNANDEZ MARIO AGUSTIN</v>
      </c>
      <c r="G222" s="325" t="s">
        <v>183</v>
      </c>
      <c r="H222" s="325">
        <v>1</v>
      </c>
      <c r="I222" s="325">
        <v>112012563</v>
      </c>
      <c r="J222" s="1393" t="str">
        <f t="shared" si="59"/>
        <v>DUVAL YAMILA LORENA</v>
      </c>
      <c r="M222" s="664" t="s">
        <v>528</v>
      </c>
      <c r="N222" s="324">
        <v>7</v>
      </c>
      <c r="O222" s="325">
        <v>112014341</v>
      </c>
      <c r="P222" s="1392" t="str">
        <f t="shared" si="60"/>
        <v>ENTRE MASCOTAS</v>
      </c>
      <c r="R222" s="664" t="s">
        <v>325</v>
      </c>
      <c r="S222" s="324">
        <v>1</v>
      </c>
      <c r="T222" s="325">
        <v>112011827</v>
      </c>
      <c r="U222" s="1392" t="str">
        <f t="shared" si="61"/>
        <v>IBARGUENGOITIA GERMAN</v>
      </c>
      <c r="W222" s="664" t="s">
        <v>380</v>
      </c>
      <c r="X222" s="324">
        <v>10</v>
      </c>
      <c r="Y222" s="325">
        <v>112012965</v>
      </c>
      <c r="Z222" s="1392" t="str">
        <f t="shared" si="62"/>
        <v>GUARINIELLO CRISTIAN GASTON</v>
      </c>
      <c r="AB222" s="664" t="s">
        <v>849</v>
      </c>
      <c r="AC222" s="325">
        <v>7</v>
      </c>
      <c r="AD222" s="325">
        <v>112013166</v>
      </c>
      <c r="AE222" s="1392" t="str">
        <f t="shared" si="63"/>
        <v>IÑIGUEZ DIEGO RUBEN/SPOSETTI TORGUET</v>
      </c>
      <c r="AF222" s="302"/>
      <c r="AG222" s="325" t="s">
        <v>1353</v>
      </c>
      <c r="AH222" s="325">
        <v>1</v>
      </c>
      <c r="AI222" s="325">
        <v>112014130</v>
      </c>
      <c r="AJ222" s="799" t="str">
        <f t="shared" si="64"/>
        <v>FORTASSINI LUC/MENDOZA  MARCE</v>
      </c>
      <c r="AL222" s="323" t="s">
        <v>875</v>
      </c>
      <c r="AM222" s="325">
        <v>18</v>
      </c>
      <c r="AN222" s="325">
        <v>112012617</v>
      </c>
      <c r="AO222" s="1394" t="e">
        <f t="shared" si="65"/>
        <v>#N/A</v>
      </c>
      <c r="AQ222" s="1395" t="s">
        <v>1084</v>
      </c>
      <c r="AR222" s="325">
        <v>1</v>
      </c>
      <c r="AS222" s="325">
        <v>112013791</v>
      </c>
      <c r="AT222" s="1397" t="str">
        <f t="shared" si="66"/>
        <v>FRANCINI JUAN GASTON</v>
      </c>
      <c r="AU222" s="302"/>
      <c r="AV222" s="302"/>
      <c r="AW222" s="664" t="s">
        <v>1455</v>
      </c>
      <c r="AX222" s="325">
        <v>22</v>
      </c>
      <c r="AY222" s="325">
        <v>112014636</v>
      </c>
      <c r="AZ222" s="1392" t="str">
        <f t="shared" si="67"/>
        <v>JONES CAMILA GERALDINE</v>
      </c>
      <c r="BA222" s="302"/>
      <c r="BB222" s="664" t="s">
        <v>1315</v>
      </c>
      <c r="BC222" s="325">
        <v>22</v>
      </c>
      <c r="BD222" s="325">
        <v>112014688</v>
      </c>
      <c r="BE222" s="1392" t="str">
        <f t="shared" si="68"/>
        <v>GOMEZ JAVIER/NICOSIA CLAUDIO</v>
      </c>
      <c r="BF222" s="618"/>
      <c r="BG222" s="553"/>
      <c r="BH222" s="294"/>
      <c r="BI222" s="618"/>
      <c r="BJ222" s="618"/>
      <c r="BK222" s="618"/>
      <c r="BL222" s="553"/>
      <c r="BM222" s="618"/>
      <c r="BN222" s="618"/>
      <c r="BO222" s="618"/>
    </row>
    <row r="223" spans="1:67" ht="13" hidden="1">
      <c r="A223" s="664" t="s">
        <v>755</v>
      </c>
      <c r="B223" s="325">
        <v>4</v>
      </c>
      <c r="C223" s="325">
        <v>112014751</v>
      </c>
      <c r="D223" s="1392" t="str">
        <f t="shared" si="58"/>
        <v>FERNANDEZ SILVIA ALEJANDRA</v>
      </c>
      <c r="G223" s="325" t="s">
        <v>169</v>
      </c>
      <c r="H223" s="325">
        <v>6</v>
      </c>
      <c r="I223" s="325">
        <v>112012474</v>
      </c>
      <c r="J223" s="1393" t="str">
        <f t="shared" si="59"/>
        <v>EL ESCALAR PET FOOD S.R.L</v>
      </c>
      <c r="M223" s="664" t="s">
        <v>610</v>
      </c>
      <c r="N223" s="324">
        <v>1</v>
      </c>
      <c r="O223" s="325">
        <v>112013568</v>
      </c>
      <c r="P223" s="1392" t="str">
        <f t="shared" si="60"/>
        <v>ESTEVEZ MARIA DOLORES</v>
      </c>
      <c r="R223" s="664" t="s">
        <v>326</v>
      </c>
      <c r="S223" s="324">
        <v>1</v>
      </c>
      <c r="T223" s="325">
        <v>112012077</v>
      </c>
      <c r="U223" s="1392" t="str">
        <f t="shared" si="61"/>
        <v>INOSTROZA ANDRES RAMON</v>
      </c>
      <c r="W223" s="664" t="s">
        <v>409</v>
      </c>
      <c r="X223" s="324">
        <v>7</v>
      </c>
      <c r="Y223" s="325">
        <v>112014364</v>
      </c>
      <c r="Z223" s="1392" t="str">
        <f t="shared" si="62"/>
        <v>GUTIERREZ MARIA DEL PILAR</v>
      </c>
      <c r="AB223" s="664" t="s">
        <v>895</v>
      </c>
      <c r="AC223" s="325">
        <v>1</v>
      </c>
      <c r="AD223" s="325">
        <v>112010028</v>
      </c>
      <c r="AE223" s="1392" t="str">
        <f t="shared" si="63"/>
        <v>IRIARTE CARLOS MANUEL</v>
      </c>
      <c r="AF223" s="302"/>
      <c r="AG223" s="325" t="s">
        <v>1360</v>
      </c>
      <c r="AH223" s="325">
        <v>1</v>
      </c>
      <c r="AI223" s="325">
        <v>112013055</v>
      </c>
      <c r="AJ223" s="799" t="str">
        <f t="shared" si="64"/>
        <v>FRANCO HECTOR HUGO Y FRANCO DAVID HERNAN SOC. DE HECHO</v>
      </c>
      <c r="AL223" s="323" t="s">
        <v>1151</v>
      </c>
      <c r="AM223" s="325">
        <v>4</v>
      </c>
      <c r="AN223" s="325">
        <v>112012629</v>
      </c>
      <c r="AO223" s="1394" t="str">
        <f t="shared" si="65"/>
        <v>ONDICOL JUAN MANUEL</v>
      </c>
      <c r="AQ223" s="1395" t="s">
        <v>999</v>
      </c>
      <c r="AR223" s="325">
        <v>12</v>
      </c>
      <c r="AS223" s="325">
        <v>112014480</v>
      </c>
      <c r="AT223" s="1397" t="str">
        <f t="shared" si="66"/>
        <v>GARCES HERMANOS S. CAP I</v>
      </c>
      <c r="AU223" s="302"/>
      <c r="AV223" s="302"/>
      <c r="AW223" s="664" t="s">
        <v>1412</v>
      </c>
      <c r="AX223" s="325">
        <v>31</v>
      </c>
      <c r="AY223" s="325">
        <v>112014450</v>
      </c>
      <c r="AZ223" s="1392" t="str">
        <f t="shared" si="67"/>
        <v>JULIA ISABEL MARTINEZ TARRAGO</v>
      </c>
      <c r="BA223" s="302"/>
      <c r="BB223" s="664" t="s">
        <v>1439</v>
      </c>
      <c r="BC223" s="325">
        <v>22</v>
      </c>
      <c r="BD223" s="325">
        <v>112013507</v>
      </c>
      <c r="BE223" s="1392" t="str">
        <f t="shared" si="68"/>
        <v>GONZALEZ MAURICIO DAMIAN</v>
      </c>
      <c r="BF223" s="618"/>
      <c r="BG223" s="553"/>
      <c r="BH223" s="294"/>
      <c r="BI223" s="618"/>
      <c r="BJ223" s="618"/>
      <c r="BK223" s="618"/>
      <c r="BL223" s="553"/>
      <c r="BM223" s="618"/>
      <c r="BN223" s="618"/>
      <c r="BO223" s="618"/>
    </row>
    <row r="224" spans="1:67" ht="13" hidden="1">
      <c r="A224" s="664" t="s">
        <v>702</v>
      </c>
      <c r="B224" s="325">
        <v>7</v>
      </c>
      <c r="C224" s="325">
        <v>112013734</v>
      </c>
      <c r="D224" s="1392" t="str">
        <f t="shared" si="58"/>
        <v>FOOD MASCOTAS LANUS S. R. L.</v>
      </c>
      <c r="G224" s="325" t="s">
        <v>76</v>
      </c>
      <c r="H224" s="325">
        <v>31</v>
      </c>
      <c r="I224" s="325">
        <v>112014286</v>
      </c>
      <c r="J224" s="1393" t="e">
        <f t="shared" si="59"/>
        <v>#N/A</v>
      </c>
      <c r="M224" s="664" t="s">
        <v>611</v>
      </c>
      <c r="N224" s="324">
        <v>1</v>
      </c>
      <c r="O224" s="325">
        <v>112013887</v>
      </c>
      <c r="P224" s="1392" t="str">
        <f t="shared" si="60"/>
        <v>ESTOL SOLANA</v>
      </c>
      <c r="R224" s="664" t="s">
        <v>301</v>
      </c>
      <c r="S224" s="324">
        <v>4</v>
      </c>
      <c r="T224" s="325">
        <v>112013107</v>
      </c>
      <c r="U224" s="1392" t="str">
        <f t="shared" si="61"/>
        <v>JARA JUAN EDUARDO</v>
      </c>
      <c r="W224" s="664" t="s">
        <v>389</v>
      </c>
      <c r="X224" s="324">
        <v>9</v>
      </c>
      <c r="Y224" s="325">
        <v>112014548</v>
      </c>
      <c r="Z224" s="1392" t="str">
        <f t="shared" si="62"/>
        <v>HERNAN DARIO MEDIN</v>
      </c>
      <c r="AB224" s="664" t="s">
        <v>950</v>
      </c>
      <c r="AC224" s="325">
        <v>4</v>
      </c>
      <c r="AD224" s="325">
        <v>112014078</v>
      </c>
      <c r="AE224" s="1392" t="e">
        <f t="shared" si="63"/>
        <v>#N/A</v>
      </c>
      <c r="AF224" s="302"/>
      <c r="AG224" s="325" t="s">
        <v>1295</v>
      </c>
      <c r="AH224" s="325">
        <v>22</v>
      </c>
      <c r="AI224" s="325">
        <v>112011689</v>
      </c>
      <c r="AJ224" s="799" t="str">
        <f t="shared" si="64"/>
        <v>FRONZA CLAUDIO MARCELO</v>
      </c>
      <c r="AL224" s="323" t="s">
        <v>1231</v>
      </c>
      <c r="AM224" s="325">
        <v>1</v>
      </c>
      <c r="AN224" s="325">
        <v>112012664</v>
      </c>
      <c r="AO224" s="1394" t="e">
        <f t="shared" si="65"/>
        <v>#N/A</v>
      </c>
      <c r="AQ224" s="1395" t="s">
        <v>1010</v>
      </c>
      <c r="AR224" s="325">
        <v>30</v>
      </c>
      <c r="AS224" s="325">
        <v>112012633</v>
      </c>
      <c r="AT224" s="1397" t="e">
        <f t="shared" si="66"/>
        <v>#N/A</v>
      </c>
      <c r="AU224" s="302"/>
      <c r="AV224" s="302"/>
      <c r="AW224" s="664" t="s">
        <v>1418</v>
      </c>
      <c r="AX224" s="325">
        <v>7</v>
      </c>
      <c r="AY224" s="325">
        <v>112014566</v>
      </c>
      <c r="AZ224" s="1392" t="str">
        <f t="shared" si="67"/>
        <v>JULIETA RODRIGUEZ</v>
      </c>
      <c r="BA224" s="302"/>
      <c r="BB224" s="664" t="s">
        <v>1529</v>
      </c>
      <c r="BC224" s="325"/>
      <c r="BD224" s="325">
        <v>112013714</v>
      </c>
      <c r="BE224" s="1392" t="str">
        <f t="shared" si="68"/>
        <v>GRUPO UNLP</v>
      </c>
      <c r="BF224" s="618"/>
      <c r="BG224" s="553"/>
      <c r="BH224" s="294"/>
      <c r="BI224" s="618"/>
      <c r="BJ224" s="618"/>
      <c r="BK224" s="618"/>
      <c r="BL224" s="553"/>
      <c r="BM224" s="618"/>
      <c r="BN224" s="618"/>
      <c r="BO224" s="618"/>
    </row>
    <row r="225" spans="1:67" ht="13" hidden="1">
      <c r="A225" s="664" t="s">
        <v>695</v>
      </c>
      <c r="B225" s="325">
        <v>27</v>
      </c>
      <c r="C225" s="325">
        <v>112014134</v>
      </c>
      <c r="D225" s="1392" t="e">
        <f t="shared" si="58"/>
        <v>#N/A</v>
      </c>
      <c r="G225" s="325" t="s">
        <v>152</v>
      </c>
      <c r="H225" s="325">
        <v>4</v>
      </c>
      <c r="I225" s="325">
        <v>112014553</v>
      </c>
      <c r="J225" s="1393" t="str">
        <f t="shared" si="59"/>
        <v>ENRIQUE MARCELO PASQUINELLI</v>
      </c>
      <c r="M225" s="664" t="s">
        <v>624</v>
      </c>
      <c r="N225" s="324">
        <v>18</v>
      </c>
      <c r="O225" s="325">
        <v>112014573</v>
      </c>
      <c r="P225" s="1392" t="str">
        <f t="shared" si="60"/>
        <v>FAMILIA PETS S.R.L.</v>
      </c>
      <c r="R225" s="664" t="s">
        <v>309</v>
      </c>
      <c r="S225" s="324">
        <v>1</v>
      </c>
      <c r="T225" s="325">
        <v>112014435</v>
      </c>
      <c r="U225" s="1392" t="str">
        <f t="shared" si="61"/>
        <v>JOSE MARIA SHINZATO</v>
      </c>
      <c r="W225" s="664" t="s">
        <v>459</v>
      </c>
      <c r="X225" s="324">
        <v>1</v>
      </c>
      <c r="Y225" s="325">
        <v>112010914</v>
      </c>
      <c r="Z225" s="1392" t="str">
        <f t="shared" si="62"/>
        <v>IZQUIERDO JULIA MARTA</v>
      </c>
      <c r="AB225" s="664" t="s">
        <v>968</v>
      </c>
      <c r="AC225" s="325">
        <v>4</v>
      </c>
      <c r="AD225" s="325">
        <v>112014625</v>
      </c>
      <c r="AE225" s="1392" t="e">
        <f t="shared" si="63"/>
        <v>#N/A</v>
      </c>
      <c r="AF225" s="302"/>
      <c r="AG225" s="325" t="s">
        <v>1361</v>
      </c>
      <c r="AH225" s="325">
        <v>1</v>
      </c>
      <c r="AI225" s="325">
        <v>112011563</v>
      </c>
      <c r="AJ225" s="799" t="str">
        <f t="shared" si="64"/>
        <v>GARCIA ALEJANDRO RAUL</v>
      </c>
      <c r="AL225" s="323" t="s">
        <v>1224</v>
      </c>
      <c r="AM225" s="325">
        <v>1</v>
      </c>
      <c r="AN225" s="325">
        <v>112012680</v>
      </c>
      <c r="AO225" s="1394" t="e">
        <f t="shared" si="65"/>
        <v>#N/A</v>
      </c>
      <c r="AQ225" s="1395" t="s">
        <v>1007</v>
      </c>
      <c r="AR225" s="325">
        <v>7</v>
      </c>
      <c r="AS225" s="325">
        <v>112014461</v>
      </c>
      <c r="AT225" s="1397" t="str">
        <f t="shared" si="66"/>
        <v>GARCÍA NIC/ AGUILAR MARIA</v>
      </c>
      <c r="AU225" s="302"/>
      <c r="AV225" s="302"/>
      <c r="AW225" s="664" t="s">
        <v>1472</v>
      </c>
      <c r="AX225" s="325">
        <v>20</v>
      </c>
      <c r="AY225" s="325">
        <v>112014644</v>
      </c>
      <c r="AZ225" s="1392" t="str">
        <f t="shared" si="67"/>
        <v>KARINA TOME</v>
      </c>
      <c r="BA225" s="302"/>
      <c r="BB225" s="664" t="s">
        <v>1065</v>
      </c>
      <c r="BC225" s="325">
        <v>20</v>
      </c>
      <c r="BD225" s="325">
        <v>112013474</v>
      </c>
      <c r="BE225" s="1392" t="str">
        <f t="shared" si="68"/>
        <v>GUERRA LUIS SANDRO SANTOS</v>
      </c>
      <c r="BF225" s="618"/>
      <c r="BG225" s="553"/>
      <c r="BH225" s="294"/>
      <c r="BI225" s="618"/>
      <c r="BJ225" s="618"/>
      <c r="BK225" s="618"/>
      <c r="BL225" s="553"/>
      <c r="BM225" s="618"/>
      <c r="BN225" s="618"/>
      <c r="BO225" s="618"/>
    </row>
    <row r="226" spans="1:67" ht="13" hidden="1">
      <c r="A226" s="664" t="s">
        <v>753</v>
      </c>
      <c r="B226" s="325">
        <v>4</v>
      </c>
      <c r="C226" s="325">
        <v>112014131</v>
      </c>
      <c r="D226" s="1392" t="e">
        <f t="shared" si="58"/>
        <v>#N/A</v>
      </c>
      <c r="G226" s="325" t="s">
        <v>118</v>
      </c>
      <c r="H226" s="325">
        <v>3</v>
      </c>
      <c r="I226" s="325">
        <v>112014654</v>
      </c>
      <c r="J226" s="1393" t="str">
        <f t="shared" si="59"/>
        <v>FEDERICO EZEQUIEL CESARANO</v>
      </c>
      <c r="M226" s="664" t="s">
        <v>561</v>
      </c>
      <c r="N226" s="324">
        <v>18</v>
      </c>
      <c r="O226" s="325">
        <v>112014136</v>
      </c>
      <c r="P226" s="1392" t="str">
        <f t="shared" si="60"/>
        <v>FARIA ANTONIO</v>
      </c>
      <c r="R226" s="664" t="s">
        <v>284</v>
      </c>
      <c r="S226" s="324">
        <v>29</v>
      </c>
      <c r="T226" s="325">
        <v>112014421</v>
      </c>
      <c r="U226" s="1392" t="str">
        <f t="shared" si="61"/>
        <v>JULIETA VALERIA SALDUNGARAY</v>
      </c>
      <c r="W226" s="664" t="s">
        <v>431</v>
      </c>
      <c r="X226" s="324">
        <v>22</v>
      </c>
      <c r="Y226" s="325">
        <v>112011833</v>
      </c>
      <c r="Z226" s="1392" t="e">
        <f t="shared" si="62"/>
        <v>#N/A</v>
      </c>
      <c r="AB226" s="664" t="s">
        <v>892</v>
      </c>
      <c r="AC226" s="325">
        <v>4</v>
      </c>
      <c r="AD226" s="325">
        <v>112014475</v>
      </c>
      <c r="AE226" s="1392" t="str">
        <f t="shared" si="63"/>
        <v>JUAN BAUTISTA DIAZ</v>
      </c>
      <c r="AF226" s="302"/>
      <c r="AG226" s="325" t="s">
        <v>1337</v>
      </c>
      <c r="AH226" s="325">
        <v>1</v>
      </c>
      <c r="AI226" s="325">
        <v>112013167</v>
      </c>
      <c r="AJ226" s="799" t="str">
        <f t="shared" si="64"/>
        <v>GOIN MARTIN EMILIO</v>
      </c>
      <c r="AL226" s="323" t="s">
        <v>1175</v>
      </c>
      <c r="AM226" s="325"/>
      <c r="AN226" s="325">
        <v>112012757</v>
      </c>
      <c r="AO226" s="1394" t="e">
        <f t="shared" si="65"/>
        <v>#N/A</v>
      </c>
      <c r="AQ226" s="1395" t="s">
        <v>842</v>
      </c>
      <c r="AR226" s="325">
        <v>10</v>
      </c>
      <c r="AS226" s="325">
        <v>112013957</v>
      </c>
      <c r="AT226" s="1397" t="e">
        <f t="shared" si="66"/>
        <v>#N/A</v>
      </c>
      <c r="AU226" s="302"/>
      <c r="AV226" s="302"/>
      <c r="AW226" s="664" t="s">
        <v>1423</v>
      </c>
      <c r="AX226" s="325">
        <v>7</v>
      </c>
      <c r="AY226" s="325">
        <v>112013331</v>
      </c>
      <c r="AZ226" s="1392" t="str">
        <f t="shared" si="67"/>
        <v>KENNY RUPERTO ENRIQUE</v>
      </c>
      <c r="BA226" s="302"/>
      <c r="BB226" s="664" t="s">
        <v>1317</v>
      </c>
      <c r="BC226" s="325">
        <v>22</v>
      </c>
      <c r="BD226" s="325">
        <v>112013167</v>
      </c>
      <c r="BE226" s="1392" t="str">
        <f t="shared" si="68"/>
        <v>GUILINO ABEL ALCIDES</v>
      </c>
      <c r="BF226" s="618"/>
      <c r="BG226" s="553"/>
      <c r="BH226" s="294"/>
      <c r="BI226" s="618"/>
      <c r="BJ226" s="618"/>
      <c r="BK226" s="618"/>
      <c r="BL226" s="553"/>
      <c r="BM226" s="618"/>
      <c r="BN226" s="618"/>
      <c r="BO226" s="618"/>
    </row>
    <row r="227" spans="1:67" ht="13" hidden="1">
      <c r="A227" s="664" t="s">
        <v>756</v>
      </c>
      <c r="B227" s="325">
        <v>18</v>
      </c>
      <c r="C227" s="325">
        <v>112013297</v>
      </c>
      <c r="D227" s="1392" t="str">
        <f t="shared" si="58"/>
        <v>GOMEZ JOSE ANTONIO</v>
      </c>
      <c r="G227" s="325" t="s">
        <v>184</v>
      </c>
      <c r="H227" s="325">
        <v>1</v>
      </c>
      <c r="I227" s="325">
        <v>112014467</v>
      </c>
      <c r="J227" s="1393" t="str">
        <f t="shared" si="59"/>
        <v>FELIS CONCOLOR / GOMEZ SILVANA</v>
      </c>
      <c r="M227" s="664" t="s">
        <v>581</v>
      </c>
      <c r="N227" s="324">
        <v>4</v>
      </c>
      <c r="O227" s="325">
        <v>112014373</v>
      </c>
      <c r="P227" s="1392" t="str">
        <f t="shared" si="60"/>
        <v>FARMACIA SANTA CATALINA SRL</v>
      </c>
      <c r="R227" s="664" t="s">
        <v>327</v>
      </c>
      <c r="S227" s="324">
        <v>1</v>
      </c>
      <c r="T227" s="325">
        <v>112013109</v>
      </c>
      <c r="U227" s="1392" t="str">
        <f t="shared" si="61"/>
        <v>LANUS EDUARDO MARIA</v>
      </c>
      <c r="W227" s="664" t="s">
        <v>410</v>
      </c>
      <c r="X227" s="324">
        <v>7</v>
      </c>
      <c r="Y227" s="325">
        <v>112011890</v>
      </c>
      <c r="Z227" s="1392" t="str">
        <f t="shared" si="62"/>
        <v>LAGOSTENA CAROLINA</v>
      </c>
      <c r="AB227" s="664" t="s">
        <v>856</v>
      </c>
      <c r="AC227" s="325">
        <v>31</v>
      </c>
      <c r="AD227" s="325">
        <v>112014600</v>
      </c>
      <c r="AE227" s="1392" t="str">
        <f t="shared" si="63"/>
        <v>JUAN PABLO RIVAROLA</v>
      </c>
      <c r="AF227" s="302"/>
      <c r="AG227" s="325" t="s">
        <v>1316</v>
      </c>
      <c r="AH227" s="325">
        <v>22</v>
      </c>
      <c r="AI227" s="325">
        <v>112011934</v>
      </c>
      <c r="AJ227" s="799" t="str">
        <f t="shared" si="64"/>
        <v>GOMEZ GUSTAVO ALBERTO</v>
      </c>
      <c r="AL227" s="323" t="s">
        <v>1189</v>
      </c>
      <c r="AM227" s="325">
        <v>4</v>
      </c>
      <c r="AN227" s="325">
        <v>112012795</v>
      </c>
      <c r="AO227" s="1394" t="e">
        <f t="shared" si="65"/>
        <v>#N/A</v>
      </c>
      <c r="AQ227" s="1395" t="s">
        <v>843</v>
      </c>
      <c r="AR227" s="325">
        <v>10</v>
      </c>
      <c r="AS227" s="325">
        <v>112014403</v>
      </c>
      <c r="AT227" s="1397" t="e">
        <f t="shared" si="66"/>
        <v>#N/A</v>
      </c>
      <c r="AU227" s="302"/>
      <c r="AV227" s="302"/>
      <c r="AW227" s="664" t="s">
        <v>1486</v>
      </c>
      <c r="AX227" s="325">
        <v>1</v>
      </c>
      <c r="AY227" s="325">
        <v>112014586</v>
      </c>
      <c r="AZ227" s="1392" t="str">
        <f t="shared" si="67"/>
        <v>LA CAUTIVA SOCIEDAD LEY 19550 CAP. I SECC. IV</v>
      </c>
      <c r="BA227" s="302"/>
      <c r="BB227" s="664" t="s">
        <v>1440</v>
      </c>
      <c r="BC227" s="325">
        <v>22</v>
      </c>
      <c r="BD227" s="325">
        <v>112013765</v>
      </c>
      <c r="BE227" s="1392" t="str">
        <f t="shared" si="68"/>
        <v>HERRERA GLORIA S/SUC2</v>
      </c>
      <c r="BF227" s="618"/>
      <c r="BG227" s="553"/>
      <c r="BH227" s="294"/>
      <c r="BI227" s="618"/>
      <c r="BJ227" s="618"/>
      <c r="BK227" s="618"/>
      <c r="BL227" s="553"/>
      <c r="BM227" s="618"/>
      <c r="BN227" s="618"/>
      <c r="BO227" s="618"/>
    </row>
    <row r="228" spans="1:67" ht="13" hidden="1">
      <c r="A228" s="664" t="s">
        <v>781</v>
      </c>
      <c r="B228" s="325">
        <v>1</v>
      </c>
      <c r="C228" s="325">
        <v>112010867</v>
      </c>
      <c r="D228" s="1392" t="str">
        <f t="shared" si="58"/>
        <v>GROSSANO ANDREA NOEMI</v>
      </c>
      <c r="G228" s="325" t="s">
        <v>185</v>
      </c>
      <c r="H228" s="325">
        <v>1</v>
      </c>
      <c r="I228" s="325">
        <v>112013880</v>
      </c>
      <c r="J228" s="1393" t="str">
        <f t="shared" si="59"/>
        <v>FERNANDEZ MARTIN</v>
      </c>
      <c r="M228" s="664" t="s">
        <v>515</v>
      </c>
      <c r="N228" s="324">
        <v>10</v>
      </c>
      <c r="O228" s="325">
        <v>112014583</v>
      </c>
      <c r="P228" s="1392" t="str">
        <f t="shared" si="60"/>
        <v>FERRARO MARRON HECTOR PEDRO</v>
      </c>
      <c r="R228" s="664" t="s">
        <v>302</v>
      </c>
      <c r="S228" s="324">
        <v>4</v>
      </c>
      <c r="T228" s="325">
        <v>112013559</v>
      </c>
      <c r="U228" s="1392" t="str">
        <f t="shared" si="61"/>
        <v>LANUS IGNACIO</v>
      </c>
      <c r="W228" s="664" t="s">
        <v>432</v>
      </c>
      <c r="X228" s="324">
        <v>22</v>
      </c>
      <c r="Y228" s="325">
        <v>112012457</v>
      </c>
      <c r="Z228" s="1392" t="str">
        <f t="shared" si="62"/>
        <v>LARA CARLOS TOMAS</v>
      </c>
      <c r="AB228" s="664" t="s">
        <v>965</v>
      </c>
      <c r="AC228" s="325">
        <v>1</v>
      </c>
      <c r="AD228" s="325">
        <v>112014552</v>
      </c>
      <c r="AE228" s="1392" t="e">
        <f t="shared" si="63"/>
        <v>#N/A</v>
      </c>
      <c r="AF228" s="302"/>
      <c r="AG228" s="325" t="s">
        <v>1315</v>
      </c>
      <c r="AH228" s="325">
        <v>22</v>
      </c>
      <c r="AI228" s="325">
        <v>112014035</v>
      </c>
      <c r="AJ228" s="799" t="str">
        <f t="shared" si="64"/>
        <v>GOMEZ JAVIER/NICOSIA CLAUDIO</v>
      </c>
      <c r="AL228" s="323" t="s">
        <v>1237</v>
      </c>
      <c r="AM228" s="325">
        <v>22</v>
      </c>
      <c r="AN228" s="325">
        <v>112012802</v>
      </c>
      <c r="AO228" s="1394" t="e">
        <f t="shared" si="65"/>
        <v>#N/A</v>
      </c>
      <c r="AQ228" s="1395" t="s">
        <v>1019</v>
      </c>
      <c r="AR228" s="325">
        <v>22</v>
      </c>
      <c r="AS228" s="325">
        <v>112013474</v>
      </c>
      <c r="AT228" s="1397" t="str">
        <f t="shared" si="66"/>
        <v>GASALI GONZALEZ AGUSTINA MERCEDES</v>
      </c>
      <c r="AU228" s="302"/>
      <c r="AV228" s="302"/>
      <c r="AW228" s="664" t="s">
        <v>1441</v>
      </c>
      <c r="AX228" s="325">
        <v>22</v>
      </c>
      <c r="AY228" s="325">
        <v>112013622</v>
      </c>
      <c r="AZ228" s="1392" t="str">
        <f t="shared" si="67"/>
        <v>LA NUEVA MERCED S.R.L.</v>
      </c>
      <c r="BA228" s="302"/>
      <c r="BB228" s="664" t="s">
        <v>1344</v>
      </c>
      <c r="BC228" s="325">
        <v>20</v>
      </c>
      <c r="BD228" s="325">
        <v>112011567</v>
      </c>
      <c r="BE228" s="1392" t="str">
        <f t="shared" si="68"/>
        <v>HUSEBY MARIA LUJAN</v>
      </c>
      <c r="BF228" s="618"/>
      <c r="BG228" s="553"/>
      <c r="BH228" s="294"/>
      <c r="BI228" s="618"/>
      <c r="BJ228" s="618"/>
      <c r="BK228" s="618"/>
      <c r="BL228" s="553"/>
      <c r="BM228" s="618"/>
      <c r="BN228" s="618"/>
      <c r="BO228" s="618"/>
    </row>
    <row r="229" spans="1:67" ht="13" hidden="1">
      <c r="A229" s="664" t="s">
        <v>782</v>
      </c>
      <c r="B229" s="325">
        <v>1</v>
      </c>
      <c r="C229" s="325">
        <v>112013438</v>
      </c>
      <c r="D229" s="1392" t="str">
        <f t="shared" si="58"/>
        <v>GUTIERREZ DANIEL EDUARDO</v>
      </c>
      <c r="G229" s="325" t="s">
        <v>115</v>
      </c>
      <c r="H229" s="325">
        <v>4</v>
      </c>
      <c r="I229" s="325">
        <v>112014727</v>
      </c>
      <c r="J229" s="1393" t="str">
        <f t="shared" si="59"/>
        <v>FERNANDEZ OROMENDIA PABLO ADRIAN</v>
      </c>
      <c r="M229" s="664" t="s">
        <v>664</v>
      </c>
      <c r="N229" s="324"/>
      <c r="O229" s="325">
        <v>112010841</v>
      </c>
      <c r="P229" s="1392" t="str">
        <f t="shared" si="60"/>
        <v>FLEMATTI CARLOS ALBERTO</v>
      </c>
      <c r="R229" s="664" t="s">
        <v>273</v>
      </c>
      <c r="S229" s="324">
        <v>22</v>
      </c>
      <c r="T229" s="325">
        <v>112012351</v>
      </c>
      <c r="U229" s="1392" t="str">
        <f t="shared" si="61"/>
        <v>LOMAZO SERG/ WEPPLER ELOISA</v>
      </c>
      <c r="W229" s="664" t="s">
        <v>453</v>
      </c>
      <c r="X229" s="324">
        <v>6</v>
      </c>
      <c r="Y229" s="325">
        <v>112012567</v>
      </c>
      <c r="Z229" s="1392" t="str">
        <f t="shared" si="62"/>
        <v>LARICE SEBASTIAN PABLO</v>
      </c>
      <c r="AB229" s="664" t="s">
        <v>938</v>
      </c>
      <c r="AC229" s="325">
        <v>4</v>
      </c>
      <c r="AD229" s="325">
        <v>112012316</v>
      </c>
      <c r="AE229" s="1392" t="e">
        <f t="shared" si="63"/>
        <v>#N/A</v>
      </c>
      <c r="AF229" s="302"/>
      <c r="AG229" s="325" t="s">
        <v>1296</v>
      </c>
      <c r="AH229" s="325">
        <v>22</v>
      </c>
      <c r="AI229" s="325">
        <v>112013403</v>
      </c>
      <c r="AJ229" s="799" t="str">
        <f t="shared" si="64"/>
        <v>GONZALEZ NOELIA LUCIA</v>
      </c>
      <c r="AL229" s="323" t="s">
        <v>1174</v>
      </c>
      <c r="AM229" s="325">
        <v>1</v>
      </c>
      <c r="AN229" s="325">
        <v>112012889</v>
      </c>
      <c r="AO229" s="1394" t="e">
        <f t="shared" si="65"/>
        <v>#N/A</v>
      </c>
      <c r="AQ229" s="1395" t="s">
        <v>996</v>
      </c>
      <c r="AR229" s="325">
        <v>11</v>
      </c>
      <c r="AS229" s="325">
        <v>112010082</v>
      </c>
      <c r="AT229" s="1397" t="str">
        <f t="shared" si="66"/>
        <v>GIAMBRONI EMILCE BEATRIZ</v>
      </c>
      <c r="AU229" s="302"/>
      <c r="AV229" s="302"/>
      <c r="AW229" s="664" t="s">
        <v>1504</v>
      </c>
      <c r="AX229" s="325"/>
      <c r="AY229" s="325">
        <v>112014624</v>
      </c>
      <c r="AZ229" s="1392" t="str">
        <f t="shared" si="67"/>
        <v>LAVITOLA JOSEFINA</v>
      </c>
      <c r="BA229" s="302"/>
      <c r="BB229" s="664" t="s">
        <v>1401</v>
      </c>
      <c r="BC229" s="325">
        <v>12</v>
      </c>
      <c r="BD229" s="325">
        <v>112011216</v>
      </c>
      <c r="BE229" s="1392" t="str">
        <f t="shared" si="68"/>
        <v>IRAZOQUI JUAN CARLOS</v>
      </c>
      <c r="BF229" s="618"/>
      <c r="BG229" s="553"/>
      <c r="BH229" s="294"/>
      <c r="BI229" s="618"/>
      <c r="BJ229" s="618"/>
      <c r="BK229" s="618"/>
      <c r="BL229" s="553"/>
      <c r="BM229" s="618"/>
      <c r="BN229" s="618"/>
      <c r="BO229" s="618"/>
    </row>
    <row r="230" spans="1:67" ht="13" hidden="1">
      <c r="A230" s="664" t="s">
        <v>669</v>
      </c>
      <c r="B230" s="325">
        <v>22</v>
      </c>
      <c r="C230" s="325">
        <v>112013626</v>
      </c>
      <c r="D230" s="1392" t="str">
        <f t="shared" si="58"/>
        <v>GUTIERREZ RICARDO/ADRIANA GONZALES</v>
      </c>
      <c r="G230" s="325" t="s">
        <v>124</v>
      </c>
      <c r="H230" s="325">
        <v>1</v>
      </c>
      <c r="I230" s="325">
        <v>112011491</v>
      </c>
      <c r="J230" s="1393" t="str">
        <f t="shared" si="59"/>
        <v>FERNANDEZ PAULA VALERIA</v>
      </c>
      <c r="M230" s="664" t="s">
        <v>638</v>
      </c>
      <c r="N230" s="324">
        <v>4</v>
      </c>
      <c r="O230" s="325">
        <v>112014245</v>
      </c>
      <c r="P230" s="1392" t="str">
        <f t="shared" si="60"/>
        <v>FLORES VIOLETA AYELEN</v>
      </c>
      <c r="R230" s="664" t="s">
        <v>285</v>
      </c>
      <c r="S230" s="324">
        <v>29</v>
      </c>
      <c r="T230" s="325">
        <v>112011467</v>
      </c>
      <c r="U230" s="1392" t="str">
        <f t="shared" si="61"/>
        <v>LOPEZ MATIAS DANIEL</v>
      </c>
      <c r="W230" s="664" t="s">
        <v>433</v>
      </c>
      <c r="X230" s="324">
        <v>22</v>
      </c>
      <c r="Y230" s="325">
        <v>112013610</v>
      </c>
      <c r="Z230" s="1392" t="str">
        <f t="shared" si="62"/>
        <v>LAZARO JUAN SEGUNDO</v>
      </c>
      <c r="AB230" s="664" t="s">
        <v>963</v>
      </c>
      <c r="AC230" s="325">
        <v>4</v>
      </c>
      <c r="AD230" s="325">
        <v>112014201</v>
      </c>
      <c r="AE230" s="1392" t="e">
        <f t="shared" si="63"/>
        <v>#N/A</v>
      </c>
      <c r="AF230" s="302"/>
      <c r="AG230" s="325" t="s">
        <v>1317</v>
      </c>
      <c r="AH230" s="325">
        <v>22</v>
      </c>
      <c r="AI230" s="325">
        <v>112011216</v>
      </c>
      <c r="AJ230" s="799" t="str">
        <f t="shared" si="64"/>
        <v>GUILINO ABEL ALCIDES</v>
      </c>
      <c r="AL230" s="323" t="s">
        <v>1164</v>
      </c>
      <c r="AM230" s="325">
        <v>4</v>
      </c>
      <c r="AN230" s="325">
        <v>112013037</v>
      </c>
      <c r="AO230" s="1394" t="e">
        <f t="shared" si="65"/>
        <v>#N/A</v>
      </c>
      <c r="AQ230" s="1395" t="s">
        <v>868</v>
      </c>
      <c r="AR230" s="325">
        <v>22</v>
      </c>
      <c r="AS230" s="325">
        <v>112011508</v>
      </c>
      <c r="AT230" s="1397" t="e">
        <f t="shared" si="66"/>
        <v>#N/A</v>
      </c>
      <c r="AU230" s="302"/>
      <c r="AV230" s="302"/>
      <c r="AW230" s="664" t="s">
        <v>1456</v>
      </c>
      <c r="AX230" s="325">
        <v>22</v>
      </c>
      <c r="AY230" s="325">
        <v>112013198</v>
      </c>
      <c r="AZ230" s="1392" t="str">
        <f t="shared" si="67"/>
        <v>LEMOS SOLANGE</v>
      </c>
      <c r="BA230" s="302"/>
      <c r="BB230" s="664" t="s">
        <v>1054</v>
      </c>
      <c r="BC230" s="325">
        <v>22</v>
      </c>
      <c r="BD230" s="325">
        <v>112013947</v>
      </c>
      <c r="BE230" s="1392" t="str">
        <f t="shared" si="68"/>
        <v>JESICA LORENA ACOSTA</v>
      </c>
      <c r="BF230" s="618"/>
      <c r="BG230" s="553"/>
      <c r="BH230" s="294"/>
      <c r="BI230" s="618"/>
      <c r="BJ230" s="618"/>
      <c r="BK230" s="618"/>
      <c r="BL230" s="553"/>
      <c r="BM230" s="618"/>
      <c r="BN230" s="618"/>
      <c r="BO230" s="618"/>
    </row>
    <row r="231" spans="1:67" ht="13" hidden="1">
      <c r="A231" s="664" t="s">
        <v>783</v>
      </c>
      <c r="B231" s="325">
        <v>1</v>
      </c>
      <c r="C231" s="325">
        <v>112013823</v>
      </c>
      <c r="D231" s="1392" t="str">
        <f t="shared" si="58"/>
        <v>HENDLER PATRICIA BERTA</v>
      </c>
      <c r="G231" s="325" t="s">
        <v>89</v>
      </c>
      <c r="H231" s="325">
        <v>7</v>
      </c>
      <c r="I231" s="325">
        <v>112014512</v>
      </c>
      <c r="J231" s="1393" t="str">
        <f t="shared" si="59"/>
        <v>FERNANDO FABIAN CASALONGUE</v>
      </c>
      <c r="M231" s="664" t="s">
        <v>529</v>
      </c>
      <c r="N231" s="324">
        <v>7</v>
      </c>
      <c r="O231" s="325">
        <v>112014169</v>
      </c>
      <c r="P231" s="1392" t="str">
        <f t="shared" si="60"/>
        <v>FONSECA JUAN CARLOS</v>
      </c>
      <c r="R231" s="664" t="s">
        <v>350</v>
      </c>
      <c r="S231" s="324"/>
      <c r="T231" s="325">
        <v>112013404</v>
      </c>
      <c r="U231" s="1392" t="str">
        <f t="shared" si="61"/>
        <v>LOPEZ SABRINA JACINTA</v>
      </c>
      <c r="W231" s="664" t="s">
        <v>434</v>
      </c>
      <c r="X231" s="324">
        <v>22</v>
      </c>
      <c r="Y231" s="325">
        <v>112010428</v>
      </c>
      <c r="Z231" s="1392" t="str">
        <f t="shared" si="62"/>
        <v>LESPADA JOSE CARLOS</v>
      </c>
      <c r="AB231" s="664" t="s">
        <v>967</v>
      </c>
      <c r="AC231" s="325">
        <v>4</v>
      </c>
      <c r="AD231" s="325">
        <v>112014596</v>
      </c>
      <c r="AE231" s="1392" t="e">
        <f t="shared" si="63"/>
        <v>#N/A</v>
      </c>
      <c r="AF231" s="302"/>
      <c r="AG231" s="325" t="s">
        <v>1344</v>
      </c>
      <c r="AH231" s="325">
        <v>1</v>
      </c>
      <c r="AI231" s="325">
        <v>112013947</v>
      </c>
      <c r="AJ231" s="799" t="str">
        <f t="shared" si="64"/>
        <v>HUSEBY MARIA LUJAN</v>
      </c>
      <c r="AL231" s="323" t="s">
        <v>1234</v>
      </c>
      <c r="AM231" s="325">
        <v>4</v>
      </c>
      <c r="AN231" s="325">
        <v>112013070</v>
      </c>
      <c r="AO231" s="1394" t="e">
        <f t="shared" si="65"/>
        <v>#N/A</v>
      </c>
      <c r="AQ231" s="1395" t="s">
        <v>1105</v>
      </c>
      <c r="AR231" s="325">
        <v>4</v>
      </c>
      <c r="AS231" s="325">
        <v>112010461</v>
      </c>
      <c r="AT231" s="1397" t="e">
        <f t="shared" si="66"/>
        <v>#N/A</v>
      </c>
      <c r="AU231" s="302"/>
      <c r="AV231" s="302"/>
      <c r="AW231" s="664" t="s">
        <v>1415</v>
      </c>
      <c r="AX231" s="325">
        <v>7</v>
      </c>
      <c r="AY231" s="325">
        <v>112011201</v>
      </c>
      <c r="AZ231" s="1392" t="str">
        <f t="shared" si="67"/>
        <v>LOPEZ VIVIANA VERONICA</v>
      </c>
      <c r="BA231" s="302"/>
      <c r="BB231" s="664" t="s">
        <v>1472</v>
      </c>
      <c r="BC231" s="325">
        <v>20</v>
      </c>
      <c r="BD231" s="325">
        <v>112013512</v>
      </c>
      <c r="BE231" s="1392" t="str">
        <f t="shared" si="68"/>
        <v>KARINA TOME</v>
      </c>
      <c r="BF231" s="618"/>
      <c r="BG231" s="553"/>
      <c r="BH231" s="294"/>
      <c r="BI231" s="618"/>
      <c r="BJ231" s="618"/>
      <c r="BK231" s="618"/>
      <c r="BL231" s="553"/>
      <c r="BM231" s="618"/>
      <c r="BN231" s="618"/>
      <c r="BO231" s="618"/>
    </row>
    <row r="232" spans="1:67" ht="13" hidden="1">
      <c r="A232" s="664" t="s">
        <v>728</v>
      </c>
      <c r="B232" s="325">
        <v>4</v>
      </c>
      <c r="C232" s="325">
        <v>112014603</v>
      </c>
      <c r="D232" s="1392" t="str">
        <f t="shared" si="58"/>
        <v>INSAURRALDE EDGARDO MAXIMILIANO</v>
      </c>
      <c r="G232" s="325" t="s">
        <v>186</v>
      </c>
      <c r="H232" s="325">
        <v>1</v>
      </c>
      <c r="I232" s="325">
        <v>112012226</v>
      </c>
      <c r="J232" s="1393" t="str">
        <f t="shared" si="59"/>
        <v>FERRARAZZO MARIA LAURA</v>
      </c>
      <c r="M232" s="664" t="s">
        <v>549</v>
      </c>
      <c r="N232" s="324">
        <v>18</v>
      </c>
      <c r="O232" s="325">
        <v>112014665</v>
      </c>
      <c r="P232" s="1392" t="str">
        <f t="shared" si="60"/>
        <v>FRANCO MARIO LASAGNI VITAR</v>
      </c>
      <c r="R232" s="664" t="s">
        <v>328</v>
      </c>
      <c r="S232" s="324">
        <v>1</v>
      </c>
      <c r="T232" s="325">
        <v>112014616</v>
      </c>
      <c r="U232" s="1392" t="str">
        <f t="shared" si="61"/>
        <v>LORENA ALEJANDRA DE FELICE</v>
      </c>
      <c r="W232" s="664" t="s">
        <v>397</v>
      </c>
      <c r="X232" s="324">
        <v>31</v>
      </c>
      <c r="Y232" s="325">
        <v>112014451</v>
      </c>
      <c r="Z232" s="1392" t="str">
        <f t="shared" si="62"/>
        <v>LICENZIATO JAVIER EDUARDO</v>
      </c>
      <c r="AB232" s="664" t="s">
        <v>929</v>
      </c>
      <c r="AC232" s="325">
        <v>22</v>
      </c>
      <c r="AD232" s="325">
        <v>112014582</v>
      </c>
      <c r="AE232" s="1392" t="e">
        <f t="shared" si="63"/>
        <v>#N/A</v>
      </c>
      <c r="AF232" s="302"/>
      <c r="AG232" s="325" t="s">
        <v>1362</v>
      </c>
      <c r="AH232" s="325">
        <v>1</v>
      </c>
      <c r="AI232" s="325">
        <v>112012704</v>
      </c>
      <c r="AJ232" s="799" t="str">
        <f t="shared" si="64"/>
        <v>INCORONATO PAULA LILIAN</v>
      </c>
      <c r="AL232" s="323" t="s">
        <v>1183</v>
      </c>
      <c r="AM232" s="325">
        <v>1</v>
      </c>
      <c r="AN232" s="325">
        <v>112013088</v>
      </c>
      <c r="AO232" s="1394" t="e">
        <f t="shared" si="65"/>
        <v>#N/A</v>
      </c>
      <c r="AQ232" s="1395" t="s">
        <v>1085</v>
      </c>
      <c r="AR232" s="325">
        <v>1</v>
      </c>
      <c r="AS232" s="325">
        <v>112013843</v>
      </c>
      <c r="AT232" s="1397" t="str">
        <f t="shared" si="66"/>
        <v>GOMBA RODRIGO</v>
      </c>
      <c r="AU232" s="302"/>
      <c r="AV232" s="302"/>
      <c r="AW232" s="664" t="s">
        <v>1406</v>
      </c>
      <c r="AX232" s="325">
        <v>10</v>
      </c>
      <c r="AY232" s="325">
        <v>112014646</v>
      </c>
      <c r="AZ232" s="1392" t="str">
        <f t="shared" si="67"/>
        <v>LORENA ANAHI PASQUALE</v>
      </c>
      <c r="BA232" s="302"/>
      <c r="BB232" s="664" t="s">
        <v>1423</v>
      </c>
      <c r="BC232" s="325">
        <v>7</v>
      </c>
      <c r="BD232" s="325">
        <v>112014425</v>
      </c>
      <c r="BE232" s="1392" t="str">
        <f t="shared" si="68"/>
        <v>KENNY RUPERTO ENRIQUE</v>
      </c>
      <c r="BF232" s="618"/>
      <c r="BG232" s="553"/>
      <c r="BH232" s="294"/>
      <c r="BI232" s="618"/>
      <c r="BJ232" s="618"/>
      <c r="BK232" s="618"/>
      <c r="BL232" s="553"/>
      <c r="BM232" s="618"/>
      <c r="BN232" s="618"/>
      <c r="BO232" s="618"/>
    </row>
    <row r="233" spans="1:67" ht="13" hidden="1">
      <c r="A233" s="664" t="s">
        <v>691</v>
      </c>
      <c r="B233" s="325">
        <v>11</v>
      </c>
      <c r="C233" s="325">
        <v>112014465</v>
      </c>
      <c r="D233" s="1392" t="str">
        <f t="shared" si="58"/>
        <v>JOEL CESPEDES FERNANDEZ</v>
      </c>
      <c r="G233" s="325" t="s">
        <v>153</v>
      </c>
      <c r="H233" s="325">
        <v>4</v>
      </c>
      <c r="I233" s="325">
        <v>112014426</v>
      </c>
      <c r="J233" s="1393" t="str">
        <f t="shared" si="59"/>
        <v>FILIPPONI MARGARITA JUANA</v>
      </c>
      <c r="M233" s="664" t="s">
        <v>552</v>
      </c>
      <c r="N233" s="324">
        <v>3</v>
      </c>
      <c r="O233" s="325">
        <v>112014036</v>
      </c>
      <c r="P233" s="1392" t="str">
        <f t="shared" si="60"/>
        <v>FREIRE BEATRIZ SUSANA</v>
      </c>
      <c r="R233" s="664" t="s">
        <v>292</v>
      </c>
      <c r="S233" s="324">
        <v>18</v>
      </c>
      <c r="T233" s="325">
        <v>112014630</v>
      </c>
      <c r="U233" s="1392" t="str">
        <f t="shared" si="61"/>
        <v>LPH MERCOSUR SA</v>
      </c>
      <c r="W233" s="664" t="s">
        <v>460</v>
      </c>
      <c r="X233" s="324">
        <v>1</v>
      </c>
      <c r="Y233" s="325">
        <v>112010931</v>
      </c>
      <c r="Z233" s="1392" t="str">
        <f t="shared" si="62"/>
        <v>LOTITO DOMINGO JUAN</v>
      </c>
      <c r="AB233" s="664" t="s">
        <v>981</v>
      </c>
      <c r="AC233" s="325">
        <v>1</v>
      </c>
      <c r="AD233" s="325">
        <v>112014756</v>
      </c>
      <c r="AE233" s="1392" t="e">
        <f t="shared" si="63"/>
        <v>#N/A</v>
      </c>
      <c r="AF233" s="302"/>
      <c r="AG233" s="325" t="s">
        <v>1390</v>
      </c>
      <c r="AH233" s="325">
        <v>1</v>
      </c>
      <c r="AI233" s="325">
        <v>112012225</v>
      </c>
      <c r="AJ233" s="799" t="e">
        <f t="shared" si="64"/>
        <v>#N/A</v>
      </c>
      <c r="AL233" s="323" t="s">
        <v>1166</v>
      </c>
      <c r="AM233" s="325">
        <v>4</v>
      </c>
      <c r="AN233" s="325">
        <v>112013146</v>
      </c>
      <c r="AO233" s="1394" t="e">
        <f t="shared" si="65"/>
        <v>#N/A</v>
      </c>
      <c r="AQ233" s="1395" t="s">
        <v>1073</v>
      </c>
      <c r="AR233" s="325">
        <v>1</v>
      </c>
      <c r="AS233" s="325">
        <v>112011971</v>
      </c>
      <c r="AT233" s="1397" t="str">
        <f t="shared" si="66"/>
        <v>GONZALEZ JUAN MARIA</v>
      </c>
      <c r="AU233" s="302"/>
      <c r="AV233" s="302"/>
      <c r="AW233" s="664" t="s">
        <v>1457</v>
      </c>
      <c r="AX233" s="325">
        <v>22</v>
      </c>
      <c r="AY233" s="325">
        <v>112013978</v>
      </c>
      <c r="AZ233" s="1392" t="str">
        <f t="shared" si="67"/>
        <v>MACIAS MARIA DE LOS ANGELES</v>
      </c>
      <c r="BA233" s="302"/>
      <c r="BB233" s="664" t="s">
        <v>1441</v>
      </c>
      <c r="BC233" s="325">
        <v>22</v>
      </c>
      <c r="BD233" s="325">
        <v>112014644</v>
      </c>
      <c r="BE233" s="1392" t="str">
        <f t="shared" si="68"/>
        <v>LA NUEVA MERCED S.R.L.</v>
      </c>
      <c r="BF233" s="618"/>
      <c r="BG233" s="553"/>
      <c r="BH233" s="294"/>
      <c r="BI233" s="618"/>
      <c r="BJ233" s="618"/>
      <c r="BK233" s="618"/>
      <c r="BL233" s="553"/>
      <c r="BM233" s="618"/>
      <c r="BN233" s="618"/>
      <c r="BO233" s="618"/>
    </row>
    <row r="234" spans="1:67" ht="13" hidden="1">
      <c r="A234" s="664" t="s">
        <v>804</v>
      </c>
      <c r="B234" s="325"/>
      <c r="C234" s="325">
        <v>112013335</v>
      </c>
      <c r="D234" s="1392" t="str">
        <f t="shared" si="58"/>
        <v>JOSIPOVIC MONICA GRACIELA</v>
      </c>
      <c r="G234" s="325" t="s">
        <v>77</v>
      </c>
      <c r="H234" s="325">
        <v>31</v>
      </c>
      <c r="I234" s="325">
        <v>112014629</v>
      </c>
      <c r="J234" s="1393" t="e">
        <f t="shared" si="59"/>
        <v>#N/A</v>
      </c>
      <c r="M234" s="664" t="s">
        <v>625</v>
      </c>
      <c r="N234" s="324">
        <v>4</v>
      </c>
      <c r="O234" s="325">
        <v>112013208</v>
      </c>
      <c r="P234" s="1392" t="str">
        <f t="shared" si="60"/>
        <v>GALANTE ERICA LAURA</v>
      </c>
      <c r="R234" s="664" t="s">
        <v>265</v>
      </c>
      <c r="S234" s="324">
        <v>30</v>
      </c>
      <c r="T234" s="325">
        <v>112014664</v>
      </c>
      <c r="U234" s="1392" t="str">
        <f t="shared" si="61"/>
        <v>LUIS DAVID VILARDI</v>
      </c>
      <c r="W234" s="664" t="s">
        <v>494</v>
      </c>
      <c r="X234" s="324">
        <v>11</v>
      </c>
      <c r="Y234" s="325">
        <v>112011195</v>
      </c>
      <c r="Z234" s="1392" t="e">
        <f t="shared" si="62"/>
        <v>#N/A</v>
      </c>
      <c r="AB234" s="664" t="s">
        <v>934</v>
      </c>
      <c r="AC234" s="325">
        <v>1</v>
      </c>
      <c r="AD234" s="325">
        <v>112014125</v>
      </c>
      <c r="AE234" s="1392" t="e">
        <f t="shared" si="63"/>
        <v>#N/A</v>
      </c>
      <c r="AF234" s="302"/>
      <c r="AG234" s="325" t="s">
        <v>1297</v>
      </c>
      <c r="AH234" s="325">
        <v>22</v>
      </c>
      <c r="AI234" s="325">
        <v>112011764</v>
      </c>
      <c r="AJ234" s="799" t="str">
        <f t="shared" si="64"/>
        <v>IRIARTE MONICA</v>
      </c>
      <c r="AL234" s="323" t="s">
        <v>1222</v>
      </c>
      <c r="AM234" s="325">
        <v>1</v>
      </c>
      <c r="AN234" s="325">
        <v>112013151</v>
      </c>
      <c r="AO234" s="1394" t="e">
        <f t="shared" si="65"/>
        <v>#N/A</v>
      </c>
      <c r="AQ234" s="1395" t="s">
        <v>1040</v>
      </c>
      <c r="AR234" s="325">
        <v>6</v>
      </c>
      <c r="AS234" s="325">
        <v>112011404</v>
      </c>
      <c r="AT234" s="1397" t="str">
        <f t="shared" si="66"/>
        <v>GONZALEZ MONICA NOEMI</v>
      </c>
      <c r="AU234" s="302"/>
      <c r="AV234" s="302"/>
      <c r="AW234" s="664" t="s">
        <v>1489</v>
      </c>
      <c r="AX234" s="325"/>
      <c r="AY234" s="325">
        <v>112014737</v>
      </c>
      <c r="AZ234" s="1392" t="str">
        <f t="shared" si="67"/>
        <v>MARAGGI CELESTINI MARCOS</v>
      </c>
      <c r="BA234" s="302"/>
      <c r="BB234" s="664" t="s">
        <v>587</v>
      </c>
      <c r="BC234" s="325">
        <v>7</v>
      </c>
      <c r="BD234" s="325">
        <v>112013331</v>
      </c>
      <c r="BE234" s="1392" t="str">
        <f t="shared" si="68"/>
        <v>LAGOS SEBASTIAN AGUSTIN</v>
      </c>
      <c r="BF234" s="618"/>
      <c r="BG234" s="553"/>
      <c r="BH234" s="294"/>
      <c r="BI234" s="618"/>
      <c r="BJ234" s="618"/>
      <c r="BK234" s="618"/>
      <c r="BL234" s="553"/>
      <c r="BM234" s="618"/>
      <c r="BN234" s="618"/>
      <c r="BO234" s="618"/>
    </row>
    <row r="235" spans="1:67" ht="13" hidden="1">
      <c r="A235" s="664" t="s">
        <v>819</v>
      </c>
      <c r="B235" s="325">
        <v>1</v>
      </c>
      <c r="C235" s="325">
        <v>112014246</v>
      </c>
      <c r="D235" s="1392" t="e">
        <f t="shared" si="58"/>
        <v>#N/A</v>
      </c>
      <c r="G235" s="325" t="s">
        <v>91</v>
      </c>
      <c r="H235" s="325">
        <v>7</v>
      </c>
      <c r="I235" s="325">
        <v>112012200</v>
      </c>
      <c r="J235" s="1393" t="str">
        <f t="shared" si="59"/>
        <v>FLORENTIN JUAN CARLOS</v>
      </c>
      <c r="M235" s="664" t="s">
        <v>642</v>
      </c>
      <c r="N235" s="324">
        <v>4</v>
      </c>
      <c r="O235" s="325">
        <v>112014750</v>
      </c>
      <c r="P235" s="1392" t="str">
        <f t="shared" si="60"/>
        <v>GALARZA CARLOS ALBERTO</v>
      </c>
      <c r="R235" s="664" t="s">
        <v>274</v>
      </c>
      <c r="S235" s="324">
        <v>22</v>
      </c>
      <c r="T235" s="325">
        <v>112012897</v>
      </c>
      <c r="U235" s="1392" t="str">
        <f t="shared" si="61"/>
        <v>MAESTU JAVIER HORACIO</v>
      </c>
      <c r="W235" s="664" t="s">
        <v>454</v>
      </c>
      <c r="X235" s="324">
        <v>1</v>
      </c>
      <c r="Y235" s="325">
        <v>112010429</v>
      </c>
      <c r="Z235" s="1392" t="str">
        <f t="shared" si="62"/>
        <v>MARTINEZ CARLOS ADRIAN</v>
      </c>
      <c r="AB235" s="664" t="s">
        <v>969</v>
      </c>
      <c r="AC235" s="325">
        <v>1</v>
      </c>
      <c r="AD235" s="325">
        <v>112014568</v>
      </c>
      <c r="AE235" s="1392" t="e">
        <f t="shared" si="63"/>
        <v>#N/A</v>
      </c>
      <c r="AF235" s="302"/>
      <c r="AG235" s="325" t="s">
        <v>1391</v>
      </c>
      <c r="AH235" s="325">
        <v>1</v>
      </c>
      <c r="AI235" s="325">
        <v>112012622</v>
      </c>
      <c r="AJ235" s="799" t="e">
        <f t="shared" si="64"/>
        <v>#N/A</v>
      </c>
      <c r="AL235" s="323" t="s">
        <v>1215</v>
      </c>
      <c r="AM235" s="325">
        <v>4</v>
      </c>
      <c r="AN235" s="325">
        <v>112013235</v>
      </c>
      <c r="AO235" s="1394" t="e">
        <f t="shared" si="65"/>
        <v>#N/A</v>
      </c>
      <c r="AQ235" s="1395" t="s">
        <v>1065</v>
      </c>
      <c r="AR235" s="325">
        <v>1</v>
      </c>
      <c r="AS235" s="325">
        <v>112011567</v>
      </c>
      <c r="AT235" s="1397" t="str">
        <f t="shared" si="66"/>
        <v>GUERRA LUIS SANDRO SANTOS</v>
      </c>
      <c r="AU235" s="302"/>
      <c r="AV235" s="302"/>
      <c r="AW235" s="664" t="s">
        <v>1158</v>
      </c>
      <c r="AX235" s="325">
        <v>20</v>
      </c>
      <c r="AY235" s="325">
        <v>112011875</v>
      </c>
      <c r="AZ235" s="1392" t="str">
        <f t="shared" si="67"/>
        <v>MARCOS SANTIAGO FURLAN</v>
      </c>
      <c r="BA235" s="302"/>
      <c r="BB235" s="664" t="s">
        <v>1264</v>
      </c>
      <c r="BC235" s="325">
        <v>10</v>
      </c>
      <c r="BD235" s="325">
        <v>112013622</v>
      </c>
      <c r="BE235" s="1392" t="str">
        <f t="shared" si="68"/>
        <v>LARREA HERNAN PABLO</v>
      </c>
      <c r="BF235" s="618"/>
      <c r="BG235" s="553"/>
      <c r="BH235" s="294"/>
      <c r="BI235" s="618"/>
      <c r="BJ235" s="618"/>
      <c r="BK235" s="618"/>
      <c r="BL235" s="553"/>
      <c r="BM235" s="618"/>
      <c r="BN235" s="618"/>
      <c r="BO235" s="618"/>
    </row>
    <row r="236" spans="1:67" ht="13" hidden="1">
      <c r="A236" s="664" t="s">
        <v>729</v>
      </c>
      <c r="B236" s="325">
        <v>4</v>
      </c>
      <c r="C236" s="325">
        <v>112014495</v>
      </c>
      <c r="D236" s="1392" t="str">
        <f t="shared" si="58"/>
        <v>KRAPP EDUARDO CLEMENTE</v>
      </c>
      <c r="G236" s="325" t="s">
        <v>93</v>
      </c>
      <c r="H236" s="325">
        <v>7</v>
      </c>
      <c r="I236" s="325">
        <v>112013044</v>
      </c>
      <c r="J236" s="1393" t="str">
        <f t="shared" si="59"/>
        <v>FOGONVET S.R.L.</v>
      </c>
      <c r="M236" s="664" t="s">
        <v>582</v>
      </c>
      <c r="N236" s="324">
        <v>4</v>
      </c>
      <c r="O236" s="325">
        <v>112014396</v>
      </c>
      <c r="P236" s="1392" t="str">
        <f t="shared" si="60"/>
        <v>GARGIULO PABLO DAVID</v>
      </c>
      <c r="R236" s="664" t="s">
        <v>262</v>
      </c>
      <c r="S236" s="324">
        <v>38</v>
      </c>
      <c r="T236" s="325">
        <v>112012762</v>
      </c>
      <c r="U236" s="1392" t="e">
        <f t="shared" si="61"/>
        <v>#N/A</v>
      </c>
      <c r="W236" s="664" t="s">
        <v>465</v>
      </c>
      <c r="X236" s="324">
        <v>1</v>
      </c>
      <c r="Y236" s="325">
        <v>112011673</v>
      </c>
      <c r="Z236" s="1392" t="str">
        <f t="shared" si="62"/>
        <v>MARTINEZ CLAUDIA KARINA</v>
      </c>
      <c r="AB236" s="664" t="s">
        <v>874</v>
      </c>
      <c r="AC236" s="325">
        <v>42</v>
      </c>
      <c r="AD236" s="325">
        <v>112014484</v>
      </c>
      <c r="AE236" s="1392" t="str">
        <f t="shared" si="63"/>
        <v>MARIA LAURA RICCI PARIS</v>
      </c>
      <c r="AF236" s="302"/>
      <c r="AG236" s="325" t="s">
        <v>1287</v>
      </c>
      <c r="AH236" s="325">
        <v>22</v>
      </c>
      <c r="AI236" s="325">
        <v>112014146</v>
      </c>
      <c r="AJ236" s="799" t="str">
        <f t="shared" si="64"/>
        <v>IRIGOYEN ROBERTO/ITURRALDE JUAN</v>
      </c>
      <c r="AL236" s="323" t="s">
        <v>1170</v>
      </c>
      <c r="AM236" s="325">
        <v>4</v>
      </c>
      <c r="AN236" s="325">
        <v>112013266</v>
      </c>
      <c r="AO236" s="1394" t="e">
        <f t="shared" si="65"/>
        <v>#N/A</v>
      </c>
      <c r="AQ236" s="1395" t="s">
        <v>1103</v>
      </c>
      <c r="AR236" s="325">
        <v>4</v>
      </c>
      <c r="AS236" s="325">
        <v>112011658</v>
      </c>
      <c r="AT236" s="1397" t="e">
        <f t="shared" si="66"/>
        <v>#N/A</v>
      </c>
      <c r="AU236" s="302"/>
      <c r="AV236" s="302"/>
      <c r="AW236" s="664" t="s">
        <v>1458</v>
      </c>
      <c r="AX236" s="325">
        <v>22</v>
      </c>
      <c r="AY236" s="325">
        <v>112014623</v>
      </c>
      <c r="AZ236" s="1392" t="str">
        <f t="shared" si="67"/>
        <v>MARCZAK SILVYA PAOLA</v>
      </c>
      <c r="BA236" s="302"/>
      <c r="BB236" s="664" t="s">
        <v>1318</v>
      </c>
      <c r="BC236" s="325">
        <v>22</v>
      </c>
      <c r="BD236" s="325">
        <v>112013605</v>
      </c>
      <c r="BE236" s="1392" t="str">
        <f t="shared" si="68"/>
        <v>LAS PRADERAS DE PETREIGNE JORGE HORACIO ATELA OMAR SEBASTIAN Y COSTANTINO JAVIER</v>
      </c>
      <c r="BF236" s="618"/>
      <c r="BG236" s="553"/>
      <c r="BH236" s="294"/>
      <c r="BI236" s="618"/>
      <c r="BJ236" s="618"/>
      <c r="BK236" s="618"/>
      <c r="BL236" s="553"/>
      <c r="BM236" s="618"/>
      <c r="BN236" s="618"/>
      <c r="BO236" s="618"/>
    </row>
    <row r="237" spans="1:67" ht="13" hidden="1">
      <c r="A237" s="664" t="s">
        <v>757</v>
      </c>
      <c r="B237" s="325">
        <v>4</v>
      </c>
      <c r="C237" s="325">
        <v>112013885</v>
      </c>
      <c r="D237" s="1392" t="str">
        <f t="shared" ref="D237:D268" si="69">VLOOKUP(C237,buelafin,13,FALSE)</f>
        <v>LA LUZ HERNAN ARIEL</v>
      </c>
      <c r="G237" s="325" t="s">
        <v>105</v>
      </c>
      <c r="H237" s="325">
        <v>22</v>
      </c>
      <c r="I237" s="325">
        <v>112010764</v>
      </c>
      <c r="J237" s="1393" t="str">
        <f t="shared" ref="J237:J268" si="70">VLOOKUP(I237,bassfin,13,FALSE)</f>
        <v>FONTAN NESTOR ALDO</v>
      </c>
      <c r="M237" s="664" t="s">
        <v>612</v>
      </c>
      <c r="N237" s="324">
        <v>1</v>
      </c>
      <c r="O237" s="325">
        <v>112014281</v>
      </c>
      <c r="P237" s="1392" t="str">
        <f t="shared" ref="P237:P268" si="71">VLOOKUP(O237,LAGEFIN,13,FALSE)</f>
        <v>GONZALEZ HECTOR RUBEN</v>
      </c>
      <c r="R237" s="664" t="s">
        <v>329</v>
      </c>
      <c r="S237" s="324">
        <v>1</v>
      </c>
      <c r="T237" s="325">
        <v>112014320</v>
      </c>
      <c r="U237" s="1392" t="str">
        <f t="shared" ref="U237:U268" si="72">VLOOKUP(T237,calofin,9,FALSE)</f>
        <v>MARQUEZ ISMAEL FERNANDO GABR</v>
      </c>
      <c r="W237" s="664" t="s">
        <v>446</v>
      </c>
      <c r="X237" s="324">
        <v>29</v>
      </c>
      <c r="Y237" s="325">
        <v>112014105</v>
      </c>
      <c r="Z237" s="1392" t="str">
        <f t="shared" ref="Z237:Z268" si="73">VLOOKUP(Y237,RETAMFIN,9,FALSE)</f>
        <v>MASSARO ANTONIO GUILLERMO</v>
      </c>
      <c r="AB237" s="664" t="s">
        <v>975</v>
      </c>
      <c r="AC237" s="325">
        <v>1</v>
      </c>
      <c r="AD237" s="325">
        <v>112014100</v>
      </c>
      <c r="AE237" s="1392" t="e">
        <f t="shared" ref="AE237:AE268" si="74">VLOOKUP(AD237,VARGASFIN,13,FALSE)</f>
        <v>#N/A</v>
      </c>
      <c r="AF237" s="302"/>
      <c r="AG237" s="325" t="s">
        <v>1271</v>
      </c>
      <c r="AH237" s="325">
        <v>24</v>
      </c>
      <c r="AI237" s="325">
        <v>112013457</v>
      </c>
      <c r="AJ237" s="799" t="str">
        <f t="shared" ref="AJ237:AJ268" si="75">VLOOKUP(AI237,MONTENEFIN,9,FALSE)</f>
        <v>KILISET SA</v>
      </c>
      <c r="AL237" s="323" t="s">
        <v>1176</v>
      </c>
      <c r="AM237" s="325">
        <v>1</v>
      </c>
      <c r="AN237" s="325">
        <v>112013306</v>
      </c>
      <c r="AO237" s="1394" t="e">
        <f t="shared" ref="AO237:AO268" si="76">VLOOKUP(AN237,MARUCAFIN,13,FALSE)</f>
        <v>#N/A</v>
      </c>
      <c r="AQ237" s="1395" t="s">
        <v>1096</v>
      </c>
      <c r="AR237" s="325">
        <v>1</v>
      </c>
      <c r="AS237" s="325">
        <v>112012041</v>
      </c>
      <c r="AT237" s="1397" t="e">
        <f t="shared" ref="AT237:AT268" si="77">VLOOKUP(AS237,ARRIOLFIN,13,FALSE)</f>
        <v>#N/A</v>
      </c>
      <c r="AU237" s="302"/>
      <c r="AV237" s="302"/>
      <c r="AW237" s="664" t="s">
        <v>1485</v>
      </c>
      <c r="AX237" s="325">
        <v>1</v>
      </c>
      <c r="AY237" s="325">
        <v>112014414</v>
      </c>
      <c r="AZ237" s="1392" t="str">
        <f t="shared" ref="AZ237:AZ268" si="78">VLOOKUP(AY237,LAVENIAFIN,13,FALSE)</f>
        <v>MARIA CAROLINA LEONE</v>
      </c>
      <c r="BA237" s="302"/>
      <c r="BB237" s="664" t="s">
        <v>1319</v>
      </c>
      <c r="BC237" s="325">
        <v>22</v>
      </c>
      <c r="BD237" s="325">
        <v>112011732</v>
      </c>
      <c r="BE237" s="1392" t="str">
        <f t="shared" ref="BE237:BE268" si="79">VLOOKUP(BD237,rotelafin,6,FALSE)</f>
        <v>LOPEZ DE ARMENTIA FACUNDO</v>
      </c>
      <c r="BF237" s="618"/>
      <c r="BG237" s="553"/>
      <c r="BH237" s="294"/>
      <c r="BI237" s="618"/>
      <c r="BJ237" s="618"/>
      <c r="BK237" s="618"/>
      <c r="BL237" s="553"/>
      <c r="BM237" s="618"/>
      <c r="BN237" s="618"/>
      <c r="BO237" s="618"/>
    </row>
    <row r="238" spans="1:67" ht="13" hidden="1">
      <c r="A238" s="664" t="s">
        <v>703</v>
      </c>
      <c r="B238" s="325">
        <v>7</v>
      </c>
      <c r="C238" s="325">
        <v>112014488</v>
      </c>
      <c r="D238" s="1392" t="str">
        <f t="shared" si="69"/>
        <v>LAUTARO ENRIQUEZ</v>
      </c>
      <c r="G238" s="325" t="s">
        <v>69</v>
      </c>
      <c r="H238" s="325">
        <v>10</v>
      </c>
      <c r="I238" s="325">
        <v>112014605</v>
      </c>
      <c r="J238" s="1393" t="str">
        <f t="shared" si="70"/>
        <v>FORTUNATO EMILIANO ANGEL</v>
      </c>
      <c r="M238" s="664" t="s">
        <v>613</v>
      </c>
      <c r="N238" s="324">
        <v>1</v>
      </c>
      <c r="O238" s="325">
        <v>112013889</v>
      </c>
      <c r="P238" s="1392" t="str">
        <f t="shared" si="71"/>
        <v>GORRITI PAULA</v>
      </c>
      <c r="R238" s="664" t="s">
        <v>330</v>
      </c>
      <c r="S238" s="324">
        <v>1</v>
      </c>
      <c r="T238" s="325">
        <v>112013171</v>
      </c>
      <c r="U238" s="1392" t="str">
        <f t="shared" si="72"/>
        <v>MARQUEZ JULIANA MICHELLE</v>
      </c>
      <c r="W238" s="664" t="s">
        <v>451</v>
      </c>
      <c r="X238" s="324">
        <v>20</v>
      </c>
      <c r="Y238" s="325">
        <v>112011697</v>
      </c>
      <c r="Z238" s="1392" t="str">
        <f t="shared" si="73"/>
        <v>MATHIEU MARIA LUCRECIA</v>
      </c>
      <c r="AB238" s="664" t="s">
        <v>930</v>
      </c>
      <c r="AC238" s="325">
        <v>22</v>
      </c>
      <c r="AD238" s="325">
        <v>112014677</v>
      </c>
      <c r="AE238" s="1392" t="e">
        <f t="shared" si="74"/>
        <v>#N/A</v>
      </c>
      <c r="AF238" s="302"/>
      <c r="AG238" s="325" t="s">
        <v>1382</v>
      </c>
      <c r="AH238" s="325"/>
      <c r="AI238" s="325">
        <v>112014135</v>
      </c>
      <c r="AJ238" s="799" t="str">
        <f t="shared" si="75"/>
        <v>LAMAS GABRIELA ALEJANDRA</v>
      </c>
      <c r="AL238" s="323" t="s">
        <v>1181</v>
      </c>
      <c r="AM238" s="325">
        <v>1</v>
      </c>
      <c r="AN238" s="325">
        <v>112013366</v>
      </c>
      <c r="AO238" s="1394" t="e">
        <f t="shared" si="76"/>
        <v>#N/A</v>
      </c>
      <c r="AQ238" s="1395" t="s">
        <v>1054</v>
      </c>
      <c r="AR238" s="325">
        <v>1</v>
      </c>
      <c r="AS238" s="325">
        <v>112014425</v>
      </c>
      <c r="AT238" s="1397" t="str">
        <f t="shared" si="77"/>
        <v>JESICA LORENA ACOSTA</v>
      </c>
      <c r="AU238" s="302"/>
      <c r="AV238" s="302"/>
      <c r="AW238" s="664" t="s">
        <v>1474</v>
      </c>
      <c r="AX238" s="325">
        <v>4</v>
      </c>
      <c r="AY238" s="325">
        <v>112014006</v>
      </c>
      <c r="AZ238" s="1392" t="str">
        <f t="shared" si="78"/>
        <v>MARTIN SILVIA GRACIELA</v>
      </c>
      <c r="BA238" s="302"/>
      <c r="BB238" s="664" t="s">
        <v>1320</v>
      </c>
      <c r="BC238" s="325">
        <v>22</v>
      </c>
      <c r="BD238" s="325">
        <v>112013948</v>
      </c>
      <c r="BE238" s="1392" t="str">
        <f t="shared" si="79"/>
        <v>MALANDRA JORGE ARIEL</v>
      </c>
      <c r="BF238" s="618"/>
      <c r="BG238" s="553"/>
      <c r="BH238" s="294"/>
      <c r="BI238" s="618"/>
      <c r="BJ238" s="618"/>
      <c r="BK238" s="618"/>
      <c r="BL238" s="553"/>
      <c r="BM238" s="618"/>
      <c r="BN238" s="618"/>
      <c r="BO238" s="618"/>
    </row>
    <row r="239" spans="1:67" ht="13" hidden="1">
      <c r="A239" s="664" t="s">
        <v>784</v>
      </c>
      <c r="B239" s="325">
        <v>1</v>
      </c>
      <c r="C239" s="325">
        <v>112011935</v>
      </c>
      <c r="D239" s="1392" t="str">
        <f t="shared" si="69"/>
        <v>LEDESMA GUSTAVO ANDRES</v>
      </c>
      <c r="G239" s="325" t="s">
        <v>187</v>
      </c>
      <c r="H239" s="325">
        <v>1</v>
      </c>
      <c r="I239" s="325">
        <v>112011350</v>
      </c>
      <c r="J239" s="1393" t="str">
        <f t="shared" si="70"/>
        <v>GALARZA RODOLFO</v>
      </c>
      <c r="M239" s="664" t="s">
        <v>583</v>
      </c>
      <c r="N239" s="324">
        <v>4</v>
      </c>
      <c r="O239" s="325">
        <v>112013756</v>
      </c>
      <c r="P239" s="1392" t="str">
        <f t="shared" si="71"/>
        <v>GRAVANAGO MARIO CESAR</v>
      </c>
      <c r="R239" s="664" t="s">
        <v>331</v>
      </c>
      <c r="S239" s="324">
        <v>1</v>
      </c>
      <c r="T239" s="325">
        <v>112012433</v>
      </c>
      <c r="U239" s="1392" t="str">
        <f t="shared" si="72"/>
        <v>MAYOL SAMANTA</v>
      </c>
      <c r="W239" s="664" t="s">
        <v>435</v>
      </c>
      <c r="X239" s="324">
        <v>22</v>
      </c>
      <c r="Y239" s="325">
        <v>112010953</v>
      </c>
      <c r="Z239" s="1392" t="str">
        <f t="shared" si="73"/>
        <v>MENDY MARIA GABRIELA</v>
      </c>
      <c r="AB239" s="664" t="s">
        <v>947</v>
      </c>
      <c r="AC239" s="325">
        <v>4</v>
      </c>
      <c r="AD239" s="325">
        <v>112012424</v>
      </c>
      <c r="AE239" s="1392" t="e">
        <f t="shared" si="74"/>
        <v>#N/A</v>
      </c>
      <c r="AF239" s="302"/>
      <c r="AG239" s="325" t="s">
        <v>1264</v>
      </c>
      <c r="AH239" s="325">
        <v>10</v>
      </c>
      <c r="AI239" s="325">
        <v>112011732</v>
      </c>
      <c r="AJ239" s="799" t="str">
        <f t="shared" si="75"/>
        <v>LARREA HERNAN PABLO</v>
      </c>
      <c r="AL239" s="323" t="s">
        <v>1177</v>
      </c>
      <c r="AM239" s="325">
        <v>1</v>
      </c>
      <c r="AN239" s="325">
        <v>112013390</v>
      </c>
      <c r="AO239" s="1394" t="e">
        <f t="shared" si="76"/>
        <v>#N/A</v>
      </c>
      <c r="AQ239" s="1395" t="s">
        <v>1030</v>
      </c>
      <c r="AR239" s="325">
        <v>1</v>
      </c>
      <c r="AS239" s="325">
        <v>112011426</v>
      </c>
      <c r="AT239" s="1397" t="e">
        <f t="shared" si="77"/>
        <v>#N/A</v>
      </c>
      <c r="AU239" s="302"/>
      <c r="AV239" s="302"/>
      <c r="AW239" s="664" t="s">
        <v>1459</v>
      </c>
      <c r="AX239" s="325">
        <v>22</v>
      </c>
      <c r="AY239" s="325">
        <v>112014622</v>
      </c>
      <c r="AZ239" s="1392" t="str">
        <f t="shared" si="78"/>
        <v>MARTINOLICH CARLOS OCTAVIO</v>
      </c>
      <c r="BA239" s="302"/>
      <c r="BB239" s="664" t="s">
        <v>1022</v>
      </c>
      <c r="BC239" s="325">
        <v>7</v>
      </c>
      <c r="BD239" s="325">
        <v>112013545</v>
      </c>
      <c r="BE239" s="1392" t="str">
        <f t="shared" si="79"/>
        <v>MARIANA LEILA ABRAHIM</v>
      </c>
      <c r="BF239" s="618"/>
      <c r="BG239" s="553"/>
      <c r="BH239" s="294"/>
      <c r="BI239" s="618"/>
      <c r="BJ239" s="618"/>
      <c r="BK239" s="618"/>
      <c r="BL239" s="553"/>
      <c r="BM239" s="618"/>
      <c r="BN239" s="618"/>
      <c r="BO239" s="618"/>
    </row>
    <row r="240" spans="1:67" ht="13" hidden="1">
      <c r="A240" s="664" t="s">
        <v>730</v>
      </c>
      <c r="B240" s="325">
        <v>4</v>
      </c>
      <c r="C240" s="325">
        <v>112013896</v>
      </c>
      <c r="D240" s="1392" t="str">
        <f t="shared" si="69"/>
        <v>LEPERE NICOLAS</v>
      </c>
      <c r="G240" s="325" t="s">
        <v>154</v>
      </c>
      <c r="H240" s="325">
        <v>4</v>
      </c>
      <c r="I240" s="325">
        <v>112012948</v>
      </c>
      <c r="J240" s="1393" t="str">
        <f t="shared" si="70"/>
        <v>GARAY LUCAS MAXIMILIANO</v>
      </c>
      <c r="M240" s="664" t="s">
        <v>509</v>
      </c>
      <c r="N240" s="324">
        <v>10</v>
      </c>
      <c r="O240" s="325">
        <v>112014730</v>
      </c>
      <c r="P240" s="1392" t="e">
        <f t="shared" si="71"/>
        <v>#N/A</v>
      </c>
      <c r="R240" s="664" t="s">
        <v>332</v>
      </c>
      <c r="S240" s="324">
        <v>1</v>
      </c>
      <c r="T240" s="325">
        <v>112014676</v>
      </c>
      <c r="U240" s="1392" t="str">
        <f t="shared" si="72"/>
        <v>MILANESI CARLOS JORGE</v>
      </c>
      <c r="W240" s="664" t="s">
        <v>436</v>
      </c>
      <c r="X240" s="324">
        <v>22</v>
      </c>
      <c r="Y240" s="325">
        <v>112013057</v>
      </c>
      <c r="Z240" s="1392" t="str">
        <f t="shared" si="73"/>
        <v>MORGANTE HERNAN</v>
      </c>
      <c r="AB240" s="664" t="s">
        <v>846</v>
      </c>
      <c r="AC240" s="325">
        <v>22</v>
      </c>
      <c r="AD240" s="325">
        <v>112010002</v>
      </c>
      <c r="AE240" s="1392" t="str">
        <f t="shared" si="74"/>
        <v>MAURICIO CORDOBA</v>
      </c>
      <c r="AF240" s="302"/>
      <c r="AG240" s="325" t="s">
        <v>1318</v>
      </c>
      <c r="AH240" s="325">
        <v>22</v>
      </c>
      <c r="AI240" s="325">
        <v>112013948</v>
      </c>
      <c r="AJ240" s="799" t="str">
        <f t="shared" si="75"/>
        <v>LAS PRADERAS DE PETREIGNE JORGE HORACIO ATELA OMAR SEBASTIAN Y COSTANTINO JAVIER</v>
      </c>
      <c r="AL240" s="323" t="s">
        <v>888</v>
      </c>
      <c r="AM240" s="325">
        <v>4</v>
      </c>
      <c r="AN240" s="325">
        <v>112013415</v>
      </c>
      <c r="AO240" s="1394" t="e">
        <f t="shared" si="76"/>
        <v>#N/A</v>
      </c>
      <c r="AQ240" s="1395" t="s">
        <v>1106</v>
      </c>
      <c r="AR240" s="325">
        <v>6</v>
      </c>
      <c r="AS240" s="325">
        <v>112014420</v>
      </c>
      <c r="AT240" s="1397" t="e">
        <f t="shared" si="77"/>
        <v>#N/A</v>
      </c>
      <c r="AU240" s="302"/>
      <c r="AV240" s="302"/>
      <c r="AW240" s="664" t="s">
        <v>1477</v>
      </c>
      <c r="AX240" s="325">
        <v>1</v>
      </c>
      <c r="AY240" s="325">
        <v>112014357</v>
      </c>
      <c r="AZ240" s="1392" t="str">
        <f t="shared" si="78"/>
        <v>MAZZA MATEO AGUSTIN</v>
      </c>
      <c r="BA240" s="302"/>
      <c r="BB240" s="664" t="s">
        <v>1023</v>
      </c>
      <c r="BC240" s="325">
        <v>22</v>
      </c>
      <c r="BD240" s="325">
        <v>112010568</v>
      </c>
      <c r="BE240" s="1392" t="str">
        <f t="shared" si="79"/>
        <v>MARINA LOPEZ</v>
      </c>
      <c r="BF240" s="618"/>
      <c r="BG240" s="553"/>
      <c r="BH240" s="294"/>
      <c r="BI240" s="618"/>
      <c r="BJ240" s="618"/>
      <c r="BK240" s="618"/>
      <c r="BL240" s="553"/>
      <c r="BM240" s="618"/>
      <c r="BN240" s="618"/>
      <c r="BO240" s="618"/>
    </row>
    <row r="241" spans="1:67" ht="13" hidden="1">
      <c r="A241" s="664" t="s">
        <v>743</v>
      </c>
      <c r="B241" s="325">
        <v>18</v>
      </c>
      <c r="C241" s="325">
        <v>112014236</v>
      </c>
      <c r="D241" s="1392" t="str">
        <f t="shared" si="69"/>
        <v>LUPINI CATAFFO MARTIN EMILIANO</v>
      </c>
      <c r="G241" s="325" t="s">
        <v>188</v>
      </c>
      <c r="H241" s="325">
        <v>1</v>
      </c>
      <c r="I241" s="325">
        <v>112012228</v>
      </c>
      <c r="J241" s="1393" t="e">
        <f t="shared" si="70"/>
        <v>#N/A</v>
      </c>
      <c r="M241" s="664" t="s">
        <v>584</v>
      </c>
      <c r="N241" s="324">
        <v>4</v>
      </c>
      <c r="O241" s="325">
        <v>112014144</v>
      </c>
      <c r="P241" s="1392" t="str">
        <f t="shared" si="71"/>
        <v>HLLEDE PAOLA ANDREA</v>
      </c>
      <c r="R241" s="664" t="s">
        <v>333</v>
      </c>
      <c r="S241" s="324">
        <v>1</v>
      </c>
      <c r="T241" s="325">
        <v>112012828</v>
      </c>
      <c r="U241" s="1392" t="str">
        <f t="shared" si="72"/>
        <v>MUNICIPALIDAD DE CHASCOMUS</v>
      </c>
      <c r="W241" s="664" t="s">
        <v>437</v>
      </c>
      <c r="X241" s="324">
        <v>22</v>
      </c>
      <c r="Y241" s="325">
        <v>112010430</v>
      </c>
      <c r="Z241" s="1392" t="str">
        <f t="shared" si="73"/>
        <v>MOZOTEGUI GABRIEL HORACIO</v>
      </c>
      <c r="AB241" s="664" t="s">
        <v>877</v>
      </c>
      <c r="AC241" s="325">
        <v>1</v>
      </c>
      <c r="AD241" s="325">
        <v>112011865</v>
      </c>
      <c r="AE241" s="1392" t="str">
        <f t="shared" si="74"/>
        <v>MAYAN SABRINA LAURA</v>
      </c>
      <c r="AF241" s="302"/>
      <c r="AG241" s="325" t="s">
        <v>1298</v>
      </c>
      <c r="AH241" s="325">
        <v>22</v>
      </c>
      <c r="AI241" s="325">
        <v>112014399</v>
      </c>
      <c r="AJ241" s="799" t="str">
        <f t="shared" si="75"/>
        <v>LEONARDIS HERNAN HECTOR</v>
      </c>
      <c r="AL241" s="323" t="s">
        <v>1165</v>
      </c>
      <c r="AM241" s="325">
        <v>4</v>
      </c>
      <c r="AN241" s="325">
        <v>112013433</v>
      </c>
      <c r="AO241" s="1394" t="e">
        <f t="shared" si="76"/>
        <v>#N/A</v>
      </c>
      <c r="AQ241" s="1395" t="s">
        <v>1047</v>
      </c>
      <c r="AR241" s="325">
        <v>1</v>
      </c>
      <c r="AS241" s="325">
        <v>112010532</v>
      </c>
      <c r="AT241" s="1397" t="e">
        <f t="shared" si="77"/>
        <v>#N/A</v>
      </c>
      <c r="AU241" s="302"/>
      <c r="AV241" s="302"/>
      <c r="AW241" s="664" t="s">
        <v>1404</v>
      </c>
      <c r="AX241" s="325">
        <v>12</v>
      </c>
      <c r="AY241" s="325">
        <v>112013168</v>
      </c>
      <c r="AZ241" s="1392" t="str">
        <f t="shared" si="78"/>
        <v>MC DERMOTT ELBERT VICTOR</v>
      </c>
      <c r="BA241" s="302"/>
      <c r="BB241" s="664" t="s">
        <v>1321</v>
      </c>
      <c r="BC241" s="325">
        <v>22</v>
      </c>
      <c r="BD241" s="325">
        <v>112014524</v>
      </c>
      <c r="BE241" s="1392" t="str">
        <f t="shared" si="79"/>
        <v>MARQUEZ JENNIFER ESTEFANIA</v>
      </c>
      <c r="BF241" s="618"/>
      <c r="BG241" s="553"/>
      <c r="BH241" s="294"/>
      <c r="BI241" s="618"/>
      <c r="BJ241" s="618"/>
      <c r="BK241" s="618"/>
      <c r="BL241" s="553"/>
      <c r="BM241" s="618"/>
      <c r="BN241" s="618"/>
      <c r="BO241" s="618"/>
    </row>
    <row r="242" spans="1:67" ht="13" hidden="1">
      <c r="A242" s="664" t="s">
        <v>708</v>
      </c>
      <c r="B242" s="325">
        <v>22</v>
      </c>
      <c r="C242" s="325">
        <v>112014542</v>
      </c>
      <c r="D242" s="1392" t="str">
        <f t="shared" si="69"/>
        <v>MARCHIONI SERGIO/VERONICA GOMEZ</v>
      </c>
      <c r="G242" s="325" t="s">
        <v>189</v>
      </c>
      <c r="H242" s="325">
        <v>1</v>
      </c>
      <c r="I242" s="325">
        <v>112013881</v>
      </c>
      <c r="J242" s="1393" t="str">
        <f t="shared" si="70"/>
        <v>GAZZOLA JULIANA INES</v>
      </c>
      <c r="M242" s="664" t="s">
        <v>614</v>
      </c>
      <c r="N242" s="324">
        <v>1</v>
      </c>
      <c r="O242" s="325">
        <v>112014025</v>
      </c>
      <c r="P242" s="1392" t="str">
        <f t="shared" si="71"/>
        <v>HOULGRAVE BARBARA</v>
      </c>
      <c r="R242" s="664" t="s">
        <v>334</v>
      </c>
      <c r="S242" s="324">
        <v>1</v>
      </c>
      <c r="T242" s="325">
        <v>112010142</v>
      </c>
      <c r="U242" s="1392" t="str">
        <f t="shared" si="72"/>
        <v>ORGANIZACION AGROPECUARIA SOCIEDAD DE HECHO</v>
      </c>
      <c r="W242" s="664" t="s">
        <v>385</v>
      </c>
      <c r="X242" s="324">
        <v>38</v>
      </c>
      <c r="Y242" s="325">
        <v>112014733</v>
      </c>
      <c r="Z242" s="1392" t="str">
        <f t="shared" si="73"/>
        <v>MULTIMARC BALANCEADOS SRL</v>
      </c>
      <c r="AB242" s="664" t="s">
        <v>850</v>
      </c>
      <c r="AC242" s="325">
        <v>7</v>
      </c>
      <c r="AD242" s="325">
        <v>112013796</v>
      </c>
      <c r="AE242" s="1392" t="str">
        <f t="shared" si="74"/>
        <v>MC CARGO GISELA CAROLINA</v>
      </c>
      <c r="AF242" s="302"/>
      <c r="AG242" s="325" t="s">
        <v>1299</v>
      </c>
      <c r="AH242" s="325">
        <v>22</v>
      </c>
      <c r="AI242" s="325">
        <v>112014309</v>
      </c>
      <c r="AJ242" s="799" t="str">
        <f t="shared" si="75"/>
        <v>LLARENA MARTINEZ FLORENCIA ITATI</v>
      </c>
      <c r="AL242" s="323" t="s">
        <v>1182</v>
      </c>
      <c r="AM242" s="325">
        <v>1</v>
      </c>
      <c r="AN242" s="325">
        <v>112013436</v>
      </c>
      <c r="AO242" s="1394" t="e">
        <f t="shared" si="76"/>
        <v>#N/A</v>
      </c>
      <c r="AQ242" s="1395" t="s">
        <v>1060</v>
      </c>
      <c r="AR242" s="325">
        <v>1</v>
      </c>
      <c r="AS242" s="325">
        <v>112014591</v>
      </c>
      <c r="AT242" s="1397" t="str">
        <f t="shared" si="77"/>
        <v>LUCIANA YAMILA MANGUDO</v>
      </c>
      <c r="AU242" s="302"/>
      <c r="AV242" s="302"/>
      <c r="AW242" s="664" t="s">
        <v>668</v>
      </c>
      <c r="AX242" s="325">
        <v>22</v>
      </c>
      <c r="AY242" s="325">
        <v>112013606</v>
      </c>
      <c r="AZ242" s="1392" t="str">
        <f t="shared" si="78"/>
        <v>MOSCOSO GOMEZ CLAUDIA LORENA</v>
      </c>
      <c r="BA242" s="302"/>
      <c r="BB242" s="664" t="s">
        <v>1477</v>
      </c>
      <c r="BC242" s="325">
        <v>1</v>
      </c>
      <c r="BD242" s="325">
        <v>112014627</v>
      </c>
      <c r="BE242" s="1392" t="str">
        <f t="shared" si="79"/>
        <v>MAZZA MATEO AGUSTIN</v>
      </c>
      <c r="BF242" s="618"/>
      <c r="BG242" s="553"/>
      <c r="BH242" s="294"/>
      <c r="BI242" s="618"/>
      <c r="BJ242" s="618"/>
      <c r="BK242" s="618"/>
      <c r="BL242" s="553"/>
      <c r="BM242" s="618"/>
      <c r="BN242" s="618"/>
      <c r="BO242" s="618"/>
    </row>
    <row r="243" spans="1:67" ht="13" hidden="1">
      <c r="A243" s="664" t="s">
        <v>785</v>
      </c>
      <c r="B243" s="325">
        <v>1</v>
      </c>
      <c r="C243" s="325">
        <v>112014507</v>
      </c>
      <c r="D243" s="1392" t="str">
        <f t="shared" si="69"/>
        <v>MARIA AGOSTINA DELLA BELLA</v>
      </c>
      <c r="G243" s="325" t="s">
        <v>95</v>
      </c>
      <c r="H243" s="325">
        <v>7</v>
      </c>
      <c r="I243" s="325">
        <v>112012744</v>
      </c>
      <c r="J243" s="1393" t="str">
        <f t="shared" si="70"/>
        <v>GIACHINO LAURA</v>
      </c>
      <c r="M243" s="664" t="s">
        <v>531</v>
      </c>
      <c r="N243" s="324">
        <v>7</v>
      </c>
      <c r="O243" s="325">
        <v>112014380</v>
      </c>
      <c r="P243" s="1392" t="str">
        <f t="shared" si="71"/>
        <v>IAFRATE ANA ANTONIA</v>
      </c>
      <c r="R243" s="664" t="s">
        <v>268</v>
      </c>
      <c r="S243" s="324">
        <v>8</v>
      </c>
      <c r="T243" s="325">
        <v>112013803</v>
      </c>
      <c r="U243" s="1392" t="str">
        <f t="shared" si="72"/>
        <v>PAGANO MELODY AZUL</v>
      </c>
      <c r="W243" s="664" t="s">
        <v>483</v>
      </c>
      <c r="X243" s="324"/>
      <c r="Y243" s="325">
        <v>112014095</v>
      </c>
      <c r="Z243" s="1392" t="str">
        <f t="shared" si="73"/>
        <v>MUNICIPALIDAD DE EZEIZA</v>
      </c>
      <c r="AB243" s="664" t="s">
        <v>844</v>
      </c>
      <c r="AC243" s="325">
        <v>22</v>
      </c>
      <c r="AD243" s="325">
        <v>112011785</v>
      </c>
      <c r="AE243" s="1392" t="str">
        <f t="shared" si="74"/>
        <v>MI PONCHO S.R.L.</v>
      </c>
      <c r="AF243" s="302"/>
      <c r="AG243" s="325" t="s">
        <v>1336</v>
      </c>
      <c r="AH243" s="325">
        <v>1</v>
      </c>
      <c r="AI243" s="325">
        <v>112012626</v>
      </c>
      <c r="AJ243" s="799" t="str">
        <f t="shared" si="75"/>
        <v>LOBBOTT S A</v>
      </c>
      <c r="AL243" s="323" t="s">
        <v>1178</v>
      </c>
      <c r="AM243" s="325">
        <v>4</v>
      </c>
      <c r="AN243" s="325">
        <v>112013558</v>
      </c>
      <c r="AO243" s="1394" t="e">
        <f t="shared" si="76"/>
        <v>#N/A</v>
      </c>
      <c r="AQ243" s="1395" t="s">
        <v>1082</v>
      </c>
      <c r="AR243" s="325">
        <v>1</v>
      </c>
      <c r="AS243" s="325">
        <v>112013725</v>
      </c>
      <c r="AT243" s="1397" t="str">
        <f t="shared" si="77"/>
        <v>LUNA MATIAS</v>
      </c>
      <c r="AU243" s="302"/>
      <c r="AV243" s="302"/>
      <c r="AW243" s="664" t="s">
        <v>1468</v>
      </c>
      <c r="AX243" s="325">
        <v>22</v>
      </c>
      <c r="AY243" s="325">
        <v>112014718</v>
      </c>
      <c r="AZ243" s="1392" t="str">
        <f t="shared" si="78"/>
        <v>MOTTA LUCAS GABRIEL</v>
      </c>
      <c r="BA243" s="302"/>
      <c r="BB243" s="664" t="s">
        <v>1338</v>
      </c>
      <c r="BC243" s="325">
        <v>10</v>
      </c>
      <c r="BD243" s="325">
        <v>112014686</v>
      </c>
      <c r="BE243" s="1392" t="str">
        <f t="shared" si="79"/>
        <v>MIROGLIO ANTONELA MAILEN</v>
      </c>
      <c r="BF243" s="618"/>
      <c r="BG243" s="553"/>
      <c r="BH243" s="294"/>
      <c r="BI243" s="618"/>
      <c r="BJ243" s="618"/>
      <c r="BK243" s="618"/>
      <c r="BL243" s="553"/>
      <c r="BM243" s="618"/>
      <c r="BN243" s="618"/>
      <c r="BO243" s="618"/>
    </row>
    <row r="244" spans="1:67" ht="13" hidden="1">
      <c r="A244" s="664" t="s">
        <v>786</v>
      </c>
      <c r="B244" s="325">
        <v>1</v>
      </c>
      <c r="C244" s="325">
        <v>112014579</v>
      </c>
      <c r="D244" s="1392" t="str">
        <f t="shared" si="69"/>
        <v>MARIA GABRIELA ANA SCHEINSOHN</v>
      </c>
      <c r="G244" s="325" t="s">
        <v>190</v>
      </c>
      <c r="H244" s="325">
        <v>1</v>
      </c>
      <c r="I244" s="325">
        <v>112012220</v>
      </c>
      <c r="J244" s="1393" t="str">
        <f t="shared" si="70"/>
        <v>GODOY GUSTAVO/ELIANA/JIMENEZ</v>
      </c>
      <c r="M244" s="664" t="s">
        <v>532</v>
      </c>
      <c r="N244" s="324">
        <v>7</v>
      </c>
      <c r="O244" s="325">
        <v>112014109</v>
      </c>
      <c r="P244" s="1392" t="str">
        <f t="shared" si="71"/>
        <v>ITURRIA MARISA EDITH</v>
      </c>
      <c r="R244" s="664" t="s">
        <v>305</v>
      </c>
      <c r="S244" s="324">
        <v>6</v>
      </c>
      <c r="T244" s="325">
        <v>112012926</v>
      </c>
      <c r="U244" s="1392" t="str">
        <f t="shared" si="72"/>
        <v>PAULONI POGGI LUCAS ESTEBAN</v>
      </c>
      <c r="W244" s="664" t="s">
        <v>470</v>
      </c>
      <c r="X244" s="324">
        <v>1</v>
      </c>
      <c r="Y244" s="325">
        <v>112012565</v>
      </c>
      <c r="Z244" s="1392" t="str">
        <f t="shared" si="73"/>
        <v>MUNICIPALIDAD DE MARCOS PAZ</v>
      </c>
      <c r="AB244" s="664" t="s">
        <v>928</v>
      </c>
      <c r="AC244" s="325">
        <v>7</v>
      </c>
      <c r="AD244" s="325">
        <v>112014140</v>
      </c>
      <c r="AE244" s="1392" t="e">
        <f t="shared" si="74"/>
        <v>#N/A</v>
      </c>
      <c r="AF244" s="302"/>
      <c r="AG244" s="325" t="s">
        <v>1319</v>
      </c>
      <c r="AH244" s="325">
        <v>22</v>
      </c>
      <c r="AI244" s="325">
        <v>112013545</v>
      </c>
      <c r="AJ244" s="799" t="str">
        <f t="shared" si="75"/>
        <v>LOPEZ DE ARMENTIA FACUNDO</v>
      </c>
      <c r="AL244" s="323" t="s">
        <v>1206</v>
      </c>
      <c r="AM244" s="325">
        <v>1</v>
      </c>
      <c r="AN244" s="325">
        <v>112013639</v>
      </c>
      <c r="AO244" s="1394" t="e">
        <f t="shared" si="76"/>
        <v>#N/A</v>
      </c>
      <c r="AQ244" s="1395" t="s">
        <v>869</v>
      </c>
      <c r="AR244" s="325">
        <v>1</v>
      </c>
      <c r="AS244" s="325">
        <v>112011730</v>
      </c>
      <c r="AT244" s="1397" t="e">
        <f t="shared" si="77"/>
        <v>#N/A</v>
      </c>
      <c r="AU244" s="302"/>
      <c r="AV244" s="302"/>
      <c r="AW244" s="664" t="s">
        <v>1471</v>
      </c>
      <c r="AX244" s="325">
        <v>20</v>
      </c>
      <c r="AY244" s="325">
        <v>112012550</v>
      </c>
      <c r="AZ244" s="1392" t="str">
        <f t="shared" si="78"/>
        <v>MUNDO MARINO S A</v>
      </c>
      <c r="BA244" s="302"/>
      <c r="BB244" s="664" t="s">
        <v>1322</v>
      </c>
      <c r="BC244" s="325">
        <v>22</v>
      </c>
      <c r="BD244" s="325">
        <v>112014357</v>
      </c>
      <c r="BE244" s="1392" t="str">
        <f t="shared" si="79"/>
        <v>MORENO FRANCISCO</v>
      </c>
      <c r="BF244" s="618"/>
      <c r="BG244" s="553"/>
      <c r="BH244" s="294"/>
      <c r="BI244" s="618"/>
      <c r="BJ244" s="618"/>
      <c r="BK244" s="618"/>
      <c r="BL244" s="553"/>
      <c r="BM244" s="618"/>
      <c r="BN244" s="618"/>
      <c r="BO244" s="618"/>
    </row>
    <row r="245" spans="1:67" ht="13" hidden="1">
      <c r="A245" s="664" t="s">
        <v>694</v>
      </c>
      <c r="B245" s="325">
        <v>25</v>
      </c>
      <c r="C245" s="325">
        <v>112011130</v>
      </c>
      <c r="D245" s="1392" t="str">
        <f t="shared" si="69"/>
        <v>MARIO CUEVA</v>
      </c>
      <c r="G245" s="325" t="s">
        <v>191</v>
      </c>
      <c r="H245" s="325">
        <v>1</v>
      </c>
      <c r="I245" s="325">
        <v>112014358</v>
      </c>
      <c r="J245" s="1393" t="str">
        <f t="shared" si="70"/>
        <v>GOMEZ ARIAS MARBELLA ALICIA</v>
      </c>
      <c r="M245" s="664" t="s">
        <v>585</v>
      </c>
      <c r="N245" s="324">
        <v>4</v>
      </c>
      <c r="O245" s="325">
        <v>112014333</v>
      </c>
      <c r="P245" s="1392" t="str">
        <f t="shared" si="71"/>
        <v>IZUMI MARIA VICTORIA</v>
      </c>
      <c r="R245" s="664" t="s">
        <v>335</v>
      </c>
      <c r="S245" s="324">
        <v>1</v>
      </c>
      <c r="T245" s="325">
        <v>112011956</v>
      </c>
      <c r="U245" s="1392" t="str">
        <f t="shared" si="72"/>
        <v>PEDICINO LIZA VERONICA</v>
      </c>
      <c r="W245" s="664" t="s">
        <v>489</v>
      </c>
      <c r="X245" s="324">
        <v>7</v>
      </c>
      <c r="Y245" s="325">
        <v>112010795</v>
      </c>
      <c r="Z245" s="1392" t="e">
        <f t="shared" si="73"/>
        <v>#N/A</v>
      </c>
      <c r="AB245" s="664" t="s">
        <v>977</v>
      </c>
      <c r="AC245" s="325">
        <v>1</v>
      </c>
      <c r="AD245" s="325">
        <v>112014689</v>
      </c>
      <c r="AE245" s="1392" t="e">
        <f t="shared" si="74"/>
        <v>#N/A</v>
      </c>
      <c r="AF245" s="302"/>
      <c r="AG245" s="325" t="s">
        <v>1363</v>
      </c>
      <c r="AH245" s="325">
        <v>1</v>
      </c>
      <c r="AI245" s="325">
        <v>112012290</v>
      </c>
      <c r="AJ245" s="799" t="str">
        <f t="shared" si="75"/>
        <v>MAIER PATRICIA NOEMI</v>
      </c>
      <c r="AL245" s="323" t="s">
        <v>1179</v>
      </c>
      <c r="AM245" s="325">
        <v>1</v>
      </c>
      <c r="AN245" s="325">
        <v>112013642</v>
      </c>
      <c r="AO245" s="1394" t="e">
        <f t="shared" si="76"/>
        <v>#N/A</v>
      </c>
      <c r="AQ245" s="1395" t="s">
        <v>1101</v>
      </c>
      <c r="AR245" s="325">
        <v>4</v>
      </c>
      <c r="AS245" s="325">
        <v>112014666</v>
      </c>
      <c r="AT245" s="1397" t="e">
        <f t="shared" si="77"/>
        <v>#N/A</v>
      </c>
      <c r="AU245" s="302"/>
      <c r="AV245" s="302"/>
      <c r="AW245" s="664" t="s">
        <v>1492</v>
      </c>
      <c r="AX245" s="325"/>
      <c r="AY245" s="325">
        <v>112012527</v>
      </c>
      <c r="AZ245" s="1392" t="str">
        <f t="shared" si="78"/>
        <v>MUNICIPALIDAD DE ALMIRANTE BROWN</v>
      </c>
      <c r="BA245" s="302"/>
      <c r="BB245" s="664" t="s">
        <v>1274</v>
      </c>
      <c r="BC245" s="325">
        <v>31</v>
      </c>
      <c r="BD245" s="325">
        <v>112013925</v>
      </c>
      <c r="BE245" s="1392" t="str">
        <f t="shared" si="79"/>
        <v>MOSCA CLAUDIO JOSE</v>
      </c>
      <c r="BF245" s="618"/>
      <c r="BG245" s="553"/>
      <c r="BH245" s="294"/>
      <c r="BI245" s="618"/>
      <c r="BJ245" s="618"/>
      <c r="BK245" s="618"/>
      <c r="BL245" s="553"/>
      <c r="BM245" s="618"/>
      <c r="BN245" s="618"/>
      <c r="BO245" s="618"/>
    </row>
    <row r="246" spans="1:67" ht="13" hidden="1">
      <c r="A246" s="664" t="s">
        <v>696</v>
      </c>
      <c r="B246" s="325">
        <v>24</v>
      </c>
      <c r="C246" s="325">
        <v>112012722</v>
      </c>
      <c r="D246" s="1392" t="str">
        <f t="shared" si="69"/>
        <v>MARTINEZ MARIA ANGELES</v>
      </c>
      <c r="G246" s="325" t="s">
        <v>155</v>
      </c>
      <c r="H246" s="325">
        <v>4</v>
      </c>
      <c r="I246" s="325">
        <v>112014720</v>
      </c>
      <c r="J246" s="1393" t="str">
        <f t="shared" si="70"/>
        <v>GONZALEZ ROCH MARIA MICAELA</v>
      </c>
      <c r="M246" s="664" t="s">
        <v>586</v>
      </c>
      <c r="N246" s="324">
        <v>4</v>
      </c>
      <c r="O246" s="325">
        <v>112014523</v>
      </c>
      <c r="P246" s="1392" t="str">
        <f t="shared" si="71"/>
        <v>JORGE ESPARRAGO OCAMPO</v>
      </c>
      <c r="R246" s="664" t="s">
        <v>336</v>
      </c>
      <c r="S246" s="324">
        <v>1</v>
      </c>
      <c r="T246" s="325">
        <v>112011442</v>
      </c>
      <c r="U246" s="1392" t="str">
        <f t="shared" si="72"/>
        <v>PERALTA SOFIA</v>
      </c>
      <c r="W246" s="664" t="s">
        <v>398</v>
      </c>
      <c r="X246" s="324">
        <v>31</v>
      </c>
      <c r="Y246" s="325">
        <v>112012358</v>
      </c>
      <c r="Z246" s="1392" t="str">
        <f t="shared" si="73"/>
        <v>PABLO DAVID DI PRINZIO Y RODRIGO EMMANUEL CARINO SOCIEDAD DE HECHO</v>
      </c>
      <c r="AB246" s="664" t="s">
        <v>927</v>
      </c>
      <c r="AC246" s="325">
        <v>7</v>
      </c>
      <c r="AD246" s="325">
        <v>112014090</v>
      </c>
      <c r="AE246" s="1392" t="e">
        <f t="shared" si="74"/>
        <v>#N/A</v>
      </c>
      <c r="AF246" s="302"/>
      <c r="AG246" s="325" t="s">
        <v>1320</v>
      </c>
      <c r="AH246" s="325">
        <v>22</v>
      </c>
      <c r="AI246" s="325">
        <v>112010568</v>
      </c>
      <c r="AJ246" s="799" t="str">
        <f t="shared" si="75"/>
        <v>MALANDRA JORGE ARIEL</v>
      </c>
      <c r="AL246" s="323" t="s">
        <v>1157</v>
      </c>
      <c r="AM246" s="325">
        <v>4</v>
      </c>
      <c r="AN246" s="325">
        <v>112013643</v>
      </c>
      <c r="AO246" s="1394" t="str">
        <f t="shared" si="76"/>
        <v>ZAPPACOSTA NORA INES</v>
      </c>
      <c r="AQ246" s="1395" t="s">
        <v>1089</v>
      </c>
      <c r="AR246" s="325">
        <v>1</v>
      </c>
      <c r="AS246" s="325">
        <v>112014500</v>
      </c>
      <c r="AT246" s="1397" t="str">
        <f t="shared" si="77"/>
        <v>MARIA CECILIA TORRA</v>
      </c>
      <c r="AU246" s="302"/>
      <c r="AV246" s="302"/>
      <c r="AW246" s="664" t="s">
        <v>1493</v>
      </c>
      <c r="AX246" s="325"/>
      <c r="AY246" s="325">
        <v>112013199</v>
      </c>
      <c r="AZ246" s="1392" t="str">
        <f t="shared" si="78"/>
        <v>MUNICIPALIDAD DE BERAZATEGUI</v>
      </c>
      <c r="BA246" s="302"/>
      <c r="BB246" s="664" t="s">
        <v>1535</v>
      </c>
      <c r="BC246" s="325"/>
      <c r="BD246" s="325">
        <v>112013882</v>
      </c>
      <c r="BE246" s="1392" t="str">
        <f t="shared" si="79"/>
        <v>MUDROVCIC JUAN ALBERTO</v>
      </c>
      <c r="BF246" s="618"/>
      <c r="BG246" s="553"/>
      <c r="BH246" s="294"/>
      <c r="BI246" s="618"/>
      <c r="BJ246" s="618"/>
      <c r="BK246" s="618"/>
      <c r="BL246" s="553"/>
      <c r="BM246" s="618"/>
      <c r="BN246" s="618"/>
      <c r="BO246" s="618"/>
    </row>
    <row r="247" spans="1:67" ht="13" hidden="1">
      <c r="A247" s="664" t="s">
        <v>758</v>
      </c>
      <c r="B247" s="325">
        <v>4</v>
      </c>
      <c r="C247" s="325">
        <v>112013277</v>
      </c>
      <c r="D247" s="1392" t="str">
        <f t="shared" si="69"/>
        <v>MAUMUS CARLA IRENE</v>
      </c>
      <c r="G247" s="325" t="s">
        <v>192</v>
      </c>
      <c r="H247" s="325">
        <v>1</v>
      </c>
      <c r="I247" s="325">
        <v>112013603</v>
      </c>
      <c r="J247" s="1393" t="str">
        <f t="shared" si="70"/>
        <v>GONZALEZ ROSANA</v>
      </c>
      <c r="M247" s="664" t="s">
        <v>533</v>
      </c>
      <c r="N247" s="324">
        <v>7</v>
      </c>
      <c r="O247" s="325">
        <v>112014517</v>
      </c>
      <c r="P247" s="1392" t="str">
        <f t="shared" si="71"/>
        <v>JOSELO FERNANDO OROÑISKY</v>
      </c>
      <c r="R247" s="664" t="s">
        <v>351</v>
      </c>
      <c r="S247" s="324"/>
      <c r="T247" s="325">
        <v>112012618</v>
      </c>
      <c r="U247" s="1392" t="str">
        <f t="shared" si="72"/>
        <v>PEREIRA CORREIA CARLOS ALBERTO</v>
      </c>
      <c r="W247" s="664" t="s">
        <v>466</v>
      </c>
      <c r="X247" s="324">
        <v>1</v>
      </c>
      <c r="Y247" s="325">
        <v>112011855</v>
      </c>
      <c r="Z247" s="1392" t="str">
        <f t="shared" si="73"/>
        <v>PAREDES CLAUDIA CECILIA</v>
      </c>
      <c r="AB247" s="664" t="s">
        <v>946</v>
      </c>
      <c r="AC247" s="325">
        <v>4</v>
      </c>
      <c r="AD247" s="325">
        <v>112014148</v>
      </c>
      <c r="AE247" s="1392" t="e">
        <f t="shared" si="74"/>
        <v>#N/A</v>
      </c>
      <c r="AF247" s="302"/>
      <c r="AG247" s="325" t="s">
        <v>1364</v>
      </c>
      <c r="AH247" s="325">
        <v>1</v>
      </c>
      <c r="AI247" s="325">
        <v>112014551</v>
      </c>
      <c r="AJ247" s="799" t="str">
        <f t="shared" si="75"/>
        <v>MARCELO RAUL ROQUES</v>
      </c>
      <c r="AL247" s="323" t="s">
        <v>1155</v>
      </c>
      <c r="AM247" s="325">
        <v>4</v>
      </c>
      <c r="AN247" s="325">
        <v>112013674</v>
      </c>
      <c r="AO247" s="1394" t="str">
        <f t="shared" si="76"/>
        <v>SPADONI JORGE ALBERTO</v>
      </c>
      <c r="AQ247" s="1395" t="s">
        <v>870</v>
      </c>
      <c r="AR247" s="325">
        <v>22</v>
      </c>
      <c r="AS247" s="325">
        <v>112010450</v>
      </c>
      <c r="AT247" s="1397" t="e">
        <f t="shared" si="77"/>
        <v>#N/A</v>
      </c>
      <c r="AU247" s="302"/>
      <c r="AV247" s="302"/>
      <c r="AW247" s="664" t="s">
        <v>1484</v>
      </c>
      <c r="AX247" s="325">
        <v>1</v>
      </c>
      <c r="AY247" s="325">
        <v>112013990</v>
      </c>
      <c r="AZ247" s="1392" t="str">
        <f t="shared" si="78"/>
        <v>MUNICIPALIDAD DE BRAGADO</v>
      </c>
      <c r="BA247" s="302"/>
      <c r="BB247" s="664" t="s">
        <v>1492</v>
      </c>
      <c r="BC247" s="325"/>
      <c r="BD247" s="325">
        <v>112013964</v>
      </c>
      <c r="BE247" s="1392" t="str">
        <f t="shared" si="79"/>
        <v>MUNICIPALIDAD DE ALMIRANTE BROWN</v>
      </c>
      <c r="BF247" s="618"/>
      <c r="BG247" s="553"/>
      <c r="BH247" s="294"/>
      <c r="BI247" s="618"/>
      <c r="BJ247" s="618"/>
      <c r="BK247" s="618"/>
      <c r="BL247" s="553"/>
      <c r="BM247" s="618"/>
      <c r="BN247" s="618"/>
      <c r="BO247" s="618"/>
    </row>
    <row r="248" spans="1:67" ht="13" hidden="1">
      <c r="A248" s="664" t="s">
        <v>731</v>
      </c>
      <c r="B248" s="325">
        <v>4</v>
      </c>
      <c r="C248" s="325">
        <v>112013859</v>
      </c>
      <c r="D248" s="1392" t="str">
        <f t="shared" si="69"/>
        <v>MEJIAS JUAN MARCELO</v>
      </c>
      <c r="G248" s="325" t="s">
        <v>119</v>
      </c>
      <c r="H248" s="325">
        <v>4</v>
      </c>
      <c r="I248" s="325">
        <v>112012192</v>
      </c>
      <c r="J248" s="1393" t="str">
        <f t="shared" si="70"/>
        <v>GONZALEZ TELMO ANA JULIA</v>
      </c>
      <c r="M248" s="664" t="s">
        <v>660</v>
      </c>
      <c r="N248" s="324"/>
      <c r="O248" s="325">
        <v>112014674</v>
      </c>
      <c r="P248" s="1392" t="str">
        <f t="shared" si="71"/>
        <v>JUAN PABLO SEBASTIAN VALENZUELA</v>
      </c>
      <c r="R248" s="664" t="s">
        <v>347</v>
      </c>
      <c r="S248" s="324"/>
      <c r="T248" s="325">
        <v>112014150</v>
      </c>
      <c r="U248" s="1392" t="str">
        <f t="shared" si="72"/>
        <v>PEREZ SERGIO ANDRES</v>
      </c>
      <c r="W248" s="664" t="s">
        <v>474</v>
      </c>
      <c r="X248" s="324">
        <v>1</v>
      </c>
      <c r="Y248" s="325">
        <v>112013204</v>
      </c>
      <c r="Z248" s="1392" t="str">
        <f t="shared" si="73"/>
        <v>PROVOSTE ADRIAN FERNANDO</v>
      </c>
      <c r="AB248" s="664" t="s">
        <v>983</v>
      </c>
      <c r="AC248" s="325"/>
      <c r="AD248" s="325">
        <v>112014728</v>
      </c>
      <c r="AE248" s="1392" t="e">
        <f t="shared" si="74"/>
        <v>#N/A</v>
      </c>
      <c r="AF248" s="302"/>
      <c r="AG248" s="325" t="s">
        <v>1300</v>
      </c>
      <c r="AH248" s="325">
        <v>22</v>
      </c>
      <c r="AI248" s="325">
        <v>112013273</v>
      </c>
      <c r="AJ248" s="799" t="str">
        <f t="shared" si="75"/>
        <v>MARIÑO VIRGINIA</v>
      </c>
      <c r="AL248" s="323" t="s">
        <v>1147</v>
      </c>
      <c r="AM248" s="325">
        <v>4</v>
      </c>
      <c r="AN248" s="325">
        <v>112013702</v>
      </c>
      <c r="AO248" s="1394" t="str">
        <f t="shared" si="76"/>
        <v>CUENCA GASTON ADRIAN</v>
      </c>
      <c r="AQ248" s="1395" t="s">
        <v>1022</v>
      </c>
      <c r="AR248" s="325">
        <v>7</v>
      </c>
      <c r="AS248" s="325">
        <v>112014524</v>
      </c>
      <c r="AT248" s="1397" t="str">
        <f t="shared" si="77"/>
        <v>MARIANA LEILA ABRAHIM</v>
      </c>
      <c r="AU248" s="302"/>
      <c r="AV248" s="302"/>
      <c r="AW248" s="664" t="s">
        <v>1117</v>
      </c>
      <c r="AX248" s="325">
        <v>1</v>
      </c>
      <c r="AY248" s="325">
        <v>112013669</v>
      </c>
      <c r="AZ248" s="1392" t="str">
        <f t="shared" si="78"/>
        <v>MUNICIPALIDAD DE GENERAL ALVEAR</v>
      </c>
      <c r="BA248" s="302"/>
      <c r="BB248" s="664" t="s">
        <v>1493</v>
      </c>
      <c r="BC248" s="325"/>
      <c r="BD248" s="325">
        <v>112013455</v>
      </c>
      <c r="BE248" s="1392" t="str">
        <f t="shared" si="79"/>
        <v>MUNICIPALIDAD DE BERAZATEGUI</v>
      </c>
      <c r="BF248" s="618"/>
      <c r="BG248" s="553"/>
      <c r="BH248" s="294"/>
      <c r="BI248" s="618"/>
      <c r="BJ248" s="618"/>
      <c r="BK248" s="618"/>
      <c r="BL248" s="553"/>
      <c r="BM248" s="618"/>
      <c r="BN248" s="618"/>
      <c r="BO248" s="618"/>
    </row>
    <row r="249" spans="1:67" ht="13" hidden="1">
      <c r="A249" s="664" t="s">
        <v>759</v>
      </c>
      <c r="B249" s="325">
        <v>4</v>
      </c>
      <c r="C249" s="325">
        <v>112013918</v>
      </c>
      <c r="D249" s="1392" t="str">
        <f t="shared" si="69"/>
        <v>MERCADO NELIDA ROSA</v>
      </c>
      <c r="G249" s="325" t="s">
        <v>156</v>
      </c>
      <c r="H249" s="325">
        <v>4</v>
      </c>
      <c r="I249" s="325">
        <v>112013939</v>
      </c>
      <c r="J249" s="1393" t="str">
        <f t="shared" si="70"/>
        <v>GREGORUTTI MARCELO GASTON</v>
      </c>
      <c r="M249" s="664" t="s">
        <v>587</v>
      </c>
      <c r="N249" s="324">
        <v>4</v>
      </c>
      <c r="O249" s="325">
        <v>112013605</v>
      </c>
      <c r="P249" s="1392" t="str">
        <f t="shared" si="71"/>
        <v>LAGOS SEBASTIAN AGUSTIN</v>
      </c>
      <c r="R249" s="664" t="s">
        <v>337</v>
      </c>
      <c r="S249" s="324">
        <v>1</v>
      </c>
      <c r="T249" s="325">
        <v>112011733</v>
      </c>
      <c r="U249" s="1392" t="str">
        <f t="shared" si="72"/>
        <v>PORTELA ANA ROCIO</v>
      </c>
      <c r="W249" s="664" t="s">
        <v>438</v>
      </c>
      <c r="X249" s="324">
        <v>22</v>
      </c>
      <c r="Y249" s="325">
        <v>112013877</v>
      </c>
      <c r="Z249" s="1392" t="str">
        <f t="shared" si="73"/>
        <v>RAMIREZ PAMELA SILVANA</v>
      </c>
      <c r="AB249" s="664" t="s">
        <v>862</v>
      </c>
      <c r="AC249" s="325">
        <v>22</v>
      </c>
      <c r="AD249" s="325">
        <v>112013316</v>
      </c>
      <c r="AE249" s="1392" t="str">
        <f t="shared" si="74"/>
        <v>MUTIO JOSE ABEL</v>
      </c>
      <c r="AF249" s="302"/>
      <c r="AG249" s="325" t="s">
        <v>1321</v>
      </c>
      <c r="AH249" s="325">
        <v>22</v>
      </c>
      <c r="AI249" s="325">
        <v>112014686</v>
      </c>
      <c r="AJ249" s="799" t="str">
        <f t="shared" si="75"/>
        <v>MARQUEZ JENNIFER ESTEFANIA</v>
      </c>
      <c r="AL249" s="323" t="s">
        <v>1220</v>
      </c>
      <c r="AM249" s="325">
        <v>4</v>
      </c>
      <c r="AN249" s="325">
        <v>112013717</v>
      </c>
      <c r="AO249" s="1394" t="e">
        <f t="shared" si="76"/>
        <v>#N/A</v>
      </c>
      <c r="AQ249" s="1395" t="s">
        <v>1051</v>
      </c>
      <c r="AR249" s="325">
        <v>1</v>
      </c>
      <c r="AS249" s="325">
        <v>112014511</v>
      </c>
      <c r="AT249" s="1397" t="str">
        <f t="shared" si="77"/>
        <v>MARILE NEGRI</v>
      </c>
      <c r="AU249" s="302"/>
      <c r="AV249" s="302"/>
      <c r="AW249" s="664" t="s">
        <v>1491</v>
      </c>
      <c r="AX249" s="325"/>
      <c r="AY249" s="325">
        <v>112013901</v>
      </c>
      <c r="AZ249" s="1392" t="str">
        <f t="shared" si="78"/>
        <v>MUNICIPALIDAD DE GENERAL LAS HERAS</v>
      </c>
      <c r="BA249" s="302"/>
      <c r="BB249" s="664" t="s">
        <v>1491</v>
      </c>
      <c r="BC249" s="325"/>
      <c r="BD249" s="325">
        <v>112012527</v>
      </c>
      <c r="BE249" s="1392" t="str">
        <f t="shared" si="79"/>
        <v>MUNICIPALIDAD DE GENERAL LAS HERAS</v>
      </c>
      <c r="BF249" s="618"/>
      <c r="BG249" s="553"/>
      <c r="BH249" s="294"/>
      <c r="BI249" s="618"/>
      <c r="BJ249" s="618"/>
      <c r="BK249" s="618"/>
      <c r="BL249" s="553"/>
      <c r="BM249" s="618"/>
      <c r="BN249" s="618"/>
      <c r="BO249" s="618"/>
    </row>
    <row r="250" spans="1:67" ht="13" hidden="1">
      <c r="A250" s="664" t="s">
        <v>805</v>
      </c>
      <c r="B250" s="325"/>
      <c r="C250" s="325">
        <v>112012669</v>
      </c>
      <c r="D250" s="1392" t="str">
        <f t="shared" si="69"/>
        <v>MILITO NATALIA PAOLA</v>
      </c>
      <c r="G250" s="325" t="s">
        <v>193</v>
      </c>
      <c r="H250" s="325">
        <v>1</v>
      </c>
      <c r="I250" s="325">
        <v>112011804</v>
      </c>
      <c r="J250" s="1393" t="str">
        <f t="shared" si="70"/>
        <v>GRIATZKY CRISTINA</v>
      </c>
      <c r="M250" s="664" t="s">
        <v>534</v>
      </c>
      <c r="N250" s="324">
        <v>7</v>
      </c>
      <c r="O250" s="325">
        <v>112014315</v>
      </c>
      <c r="P250" s="1392" t="str">
        <f t="shared" si="71"/>
        <v>LAURIAQUE ROSSANA BEATRIZ</v>
      </c>
      <c r="R250" s="664" t="s">
        <v>338</v>
      </c>
      <c r="S250" s="324">
        <v>1</v>
      </c>
      <c r="T250" s="325">
        <v>112010542</v>
      </c>
      <c r="U250" s="1392" t="str">
        <f t="shared" si="72"/>
        <v>RAJOY RUBEN DANIEL</v>
      </c>
      <c r="W250" s="664" t="s">
        <v>383</v>
      </c>
      <c r="X250" s="324">
        <v>14</v>
      </c>
      <c r="Y250" s="325">
        <v>112013812</v>
      </c>
      <c r="Z250" s="1392" t="str">
        <f t="shared" si="73"/>
        <v>RAMIRO DUFFARD</v>
      </c>
      <c r="AB250" s="664" t="s">
        <v>847</v>
      </c>
      <c r="AC250" s="325">
        <v>7</v>
      </c>
      <c r="AD250" s="325">
        <v>112012774</v>
      </c>
      <c r="AE250" s="1392" t="str">
        <f t="shared" si="74"/>
        <v>NAVARRO LUCAS</v>
      </c>
      <c r="AF250" s="302"/>
      <c r="AG250" s="325" t="s">
        <v>1365</v>
      </c>
      <c r="AH250" s="325">
        <v>1</v>
      </c>
      <c r="AI250" s="325">
        <v>112014285</v>
      </c>
      <c r="AJ250" s="799" t="str">
        <f t="shared" si="75"/>
        <v>MARTIN FEDERICO JOSE</v>
      </c>
      <c r="AL250" s="323" t="s">
        <v>1228</v>
      </c>
      <c r="AM250" s="325">
        <v>1</v>
      </c>
      <c r="AN250" s="325">
        <v>112013784</v>
      </c>
      <c r="AO250" s="1394" t="e">
        <f t="shared" si="76"/>
        <v>#N/A</v>
      </c>
      <c r="AQ250" s="1395" t="s">
        <v>1023</v>
      </c>
      <c r="AR250" s="325">
        <v>22</v>
      </c>
      <c r="AS250" s="325">
        <v>112014627</v>
      </c>
      <c r="AT250" s="1397" t="str">
        <f t="shared" si="77"/>
        <v>MARINA LOPEZ</v>
      </c>
      <c r="AU250" s="302"/>
      <c r="AV250" s="302"/>
      <c r="AW250" s="664" t="s">
        <v>1494</v>
      </c>
      <c r="AX250" s="325"/>
      <c r="AY250" s="325">
        <v>112014076</v>
      </c>
      <c r="AZ250" s="1392" t="str">
        <f t="shared" si="78"/>
        <v>MUNICIPALIDAD DE LAPRIDA</v>
      </c>
      <c r="BA250" s="302"/>
      <c r="BB250" s="664" t="s">
        <v>1494</v>
      </c>
      <c r="BC250" s="325"/>
      <c r="BD250" s="325">
        <v>112013199</v>
      </c>
      <c r="BE250" s="1392" t="str">
        <f t="shared" si="79"/>
        <v>MUNICIPALIDAD DE LAPRIDA</v>
      </c>
      <c r="BF250" s="618"/>
      <c r="BG250" s="553"/>
      <c r="BH250" s="294"/>
      <c r="BI250" s="618"/>
      <c r="BJ250" s="618"/>
      <c r="BK250" s="618"/>
      <c r="BL250" s="553"/>
      <c r="BM250" s="618"/>
      <c r="BN250" s="618"/>
      <c r="BO250" s="618"/>
    </row>
    <row r="251" spans="1:67" ht="13" hidden="1">
      <c r="A251" s="664" t="s">
        <v>760</v>
      </c>
      <c r="B251" s="325">
        <v>18</v>
      </c>
      <c r="C251" s="325">
        <v>112013584</v>
      </c>
      <c r="D251" s="1392" t="str">
        <f t="shared" si="69"/>
        <v>MILONE ALBERTO</v>
      </c>
      <c r="G251" s="325" t="s">
        <v>194</v>
      </c>
      <c r="H251" s="325">
        <v>1</v>
      </c>
      <c r="I251" s="325">
        <v>112013735</v>
      </c>
      <c r="J251" s="1393" t="str">
        <f t="shared" si="70"/>
        <v>GUZZETTI JAVIER EDUARDO</v>
      </c>
      <c r="M251" s="664" t="s">
        <v>535</v>
      </c>
      <c r="N251" s="324">
        <v>7</v>
      </c>
      <c r="O251" s="325">
        <v>112014738</v>
      </c>
      <c r="P251" s="1392" t="str">
        <f t="shared" si="71"/>
        <v>LAVANDEYRA JOSE MANUEL</v>
      </c>
      <c r="R251" s="664" t="s">
        <v>280</v>
      </c>
      <c r="S251" s="324">
        <v>22</v>
      </c>
      <c r="T251" s="325">
        <v>112012087</v>
      </c>
      <c r="U251" s="1392" t="str">
        <f t="shared" si="72"/>
        <v>RETONTALI MARIO ANDRES</v>
      </c>
      <c r="W251" s="664" t="s">
        <v>412</v>
      </c>
      <c r="X251" s="324">
        <v>7</v>
      </c>
      <c r="Y251" s="325">
        <v>112013224</v>
      </c>
      <c r="Z251" s="1392" t="str">
        <f t="shared" si="73"/>
        <v>RAMOS BRIAN NAHUEL</v>
      </c>
      <c r="AB251" s="664" t="s">
        <v>942</v>
      </c>
      <c r="AC251" s="325">
        <v>1</v>
      </c>
      <c r="AD251" s="325">
        <v>112012132</v>
      </c>
      <c r="AE251" s="1392" t="e">
        <f t="shared" si="74"/>
        <v>#N/A</v>
      </c>
      <c r="AF251" s="302"/>
      <c r="AG251" s="325" t="s">
        <v>1366</v>
      </c>
      <c r="AH251" s="325">
        <v>1</v>
      </c>
      <c r="AI251" s="325">
        <v>112014614</v>
      </c>
      <c r="AJ251" s="799" t="str">
        <f t="shared" si="75"/>
        <v>MARTIN GASTON FERNANDEZ CHAPARRO</v>
      </c>
      <c r="AL251" s="323" t="s">
        <v>1219</v>
      </c>
      <c r="AM251" s="325">
        <v>4</v>
      </c>
      <c r="AN251" s="325">
        <v>112013855</v>
      </c>
      <c r="AO251" s="1394" t="e">
        <f t="shared" si="76"/>
        <v>#N/A</v>
      </c>
      <c r="AQ251" s="1395" t="s">
        <v>1098</v>
      </c>
      <c r="AR251" s="325">
        <v>18</v>
      </c>
      <c r="AS251" s="325">
        <v>112014251</v>
      </c>
      <c r="AT251" s="1397" t="e">
        <f t="shared" si="77"/>
        <v>#N/A</v>
      </c>
      <c r="AU251" s="302"/>
      <c r="AV251" s="302"/>
      <c r="AW251" s="664" t="s">
        <v>1495</v>
      </c>
      <c r="AX251" s="325"/>
      <c r="AY251" s="325">
        <v>112011824</v>
      </c>
      <c r="AZ251" s="1392" t="str">
        <f t="shared" si="78"/>
        <v>MUNICIPALIDAD DE LOBOS</v>
      </c>
      <c r="BA251" s="302"/>
      <c r="BB251" s="664" t="s">
        <v>1495</v>
      </c>
      <c r="BC251" s="325"/>
      <c r="BD251" s="325">
        <v>112013901</v>
      </c>
      <c r="BE251" s="1392" t="str">
        <f t="shared" si="79"/>
        <v>MUNICIPALIDAD DE LOBOS</v>
      </c>
      <c r="BF251" s="618"/>
      <c r="BG251" s="553"/>
      <c r="BH251" s="294"/>
      <c r="BI251" s="618"/>
      <c r="BJ251" s="618"/>
      <c r="BK251" s="618"/>
      <c r="BL251" s="553"/>
      <c r="BM251" s="618"/>
      <c r="BN251" s="618"/>
      <c r="BO251" s="618"/>
    </row>
    <row r="252" spans="1:67" ht="13" hidden="1">
      <c r="A252" s="664" t="s">
        <v>787</v>
      </c>
      <c r="B252" s="325">
        <v>1</v>
      </c>
      <c r="C252" s="325">
        <v>112013054</v>
      </c>
      <c r="D252" s="1392" t="str">
        <f t="shared" si="69"/>
        <v>MOLDES SILVINA RUTH</v>
      </c>
      <c r="G252" s="325" t="s">
        <v>195</v>
      </c>
      <c r="H252" s="325">
        <v>1</v>
      </c>
      <c r="I252" s="325">
        <v>112014354</v>
      </c>
      <c r="J252" s="1393" t="str">
        <f t="shared" si="70"/>
        <v>HAAS FABIANA MARCELA</v>
      </c>
      <c r="M252" s="664" t="s">
        <v>637</v>
      </c>
      <c r="N252" s="324">
        <v>4</v>
      </c>
      <c r="O252" s="325">
        <v>112014240</v>
      </c>
      <c r="P252" s="1392" t="str">
        <f t="shared" si="71"/>
        <v>LEMA ARIEL GUSTAVO</v>
      </c>
      <c r="R252" s="664" t="s">
        <v>275</v>
      </c>
      <c r="S252" s="324">
        <v>22</v>
      </c>
      <c r="T252" s="325">
        <v>112011438</v>
      </c>
      <c r="U252" s="1392" t="str">
        <f t="shared" si="72"/>
        <v>RICUPERO CARLOS/ AUGE ELIZABETH</v>
      </c>
      <c r="W252" s="664" t="s">
        <v>414</v>
      </c>
      <c r="X252" s="324">
        <v>7</v>
      </c>
      <c r="Y252" s="325">
        <v>112013295</v>
      </c>
      <c r="Z252" s="1392" t="str">
        <f t="shared" si="73"/>
        <v>RAMOS EZEQUIEL OSCAR</v>
      </c>
      <c r="AB252" s="664" t="s">
        <v>884</v>
      </c>
      <c r="AC252" s="325">
        <v>1</v>
      </c>
      <c r="AD252" s="325">
        <v>112014672</v>
      </c>
      <c r="AE252" s="1392" t="str">
        <f t="shared" si="74"/>
        <v>OMAR LEONARDO SOSA</v>
      </c>
      <c r="AF252" s="302"/>
      <c r="AG252" s="325" t="s">
        <v>1272</v>
      </c>
      <c r="AH252" s="325">
        <v>31</v>
      </c>
      <c r="AI252" s="325">
        <v>112012832</v>
      </c>
      <c r="AJ252" s="799" t="str">
        <f t="shared" si="75"/>
        <v>MASTRANGELO EZEQUIEL</v>
      </c>
      <c r="AL252" s="323" t="s">
        <v>1185</v>
      </c>
      <c r="AM252" s="325">
        <v>1</v>
      </c>
      <c r="AN252" s="325">
        <v>112013873</v>
      </c>
      <c r="AO252" s="1394" t="e">
        <f t="shared" si="76"/>
        <v>#N/A</v>
      </c>
      <c r="AQ252" s="1395" t="s">
        <v>1002</v>
      </c>
      <c r="AR252" s="325">
        <v>22</v>
      </c>
      <c r="AS252" s="325">
        <v>112014449</v>
      </c>
      <c r="AT252" s="1397" t="str">
        <f t="shared" si="77"/>
        <v>MASSON EDGARDO HERNAN</v>
      </c>
      <c r="AU252" s="302"/>
      <c r="AV252" s="302"/>
      <c r="AW252" s="664" t="s">
        <v>1498</v>
      </c>
      <c r="AX252" s="325"/>
      <c r="AY252" s="325">
        <v>112013723</v>
      </c>
      <c r="AZ252" s="1392" t="str">
        <f t="shared" si="78"/>
        <v>MUNICIPALIDAD DE MONTE</v>
      </c>
      <c r="BA252" s="302"/>
      <c r="BB252" s="664" t="s">
        <v>1498</v>
      </c>
      <c r="BC252" s="325"/>
      <c r="BD252" s="325">
        <v>112014076</v>
      </c>
      <c r="BE252" s="1392" t="str">
        <f t="shared" si="79"/>
        <v>MUNICIPALIDAD DE MONTE</v>
      </c>
      <c r="BF252" s="618"/>
      <c r="BG252" s="553"/>
      <c r="BH252" s="294"/>
      <c r="BI252" s="618"/>
      <c r="BJ252" s="618"/>
      <c r="BK252" s="618"/>
      <c r="BL252" s="553"/>
      <c r="BM252" s="618"/>
      <c r="BN252" s="618"/>
      <c r="BO252" s="618"/>
    </row>
    <row r="253" spans="1:67" ht="13" hidden="1">
      <c r="A253" s="664" t="s">
        <v>761</v>
      </c>
      <c r="B253" s="325">
        <v>4</v>
      </c>
      <c r="C253" s="325">
        <v>112014046</v>
      </c>
      <c r="D253" s="1392" t="str">
        <f t="shared" si="69"/>
        <v>MOLINARI ALEJANDRA ROMINA</v>
      </c>
      <c r="G253" s="325" t="s">
        <v>68</v>
      </c>
      <c r="H253" s="325">
        <v>10</v>
      </c>
      <c r="I253" s="325">
        <v>112012275</v>
      </c>
      <c r="J253" s="1393" t="str">
        <f t="shared" si="70"/>
        <v>HAKUNA MATATA/SUC 2</v>
      </c>
      <c r="M253" s="664" t="s">
        <v>588</v>
      </c>
      <c r="N253" s="324">
        <v>18</v>
      </c>
      <c r="O253" s="325">
        <v>112014395</v>
      </c>
      <c r="P253" s="1392" t="str">
        <f t="shared" si="71"/>
        <v>LIBONATTI WALTER MARTIN</v>
      </c>
      <c r="R253" s="664" t="s">
        <v>266</v>
      </c>
      <c r="S253" s="324">
        <v>22</v>
      </c>
      <c r="T253" s="325">
        <v>112012489</v>
      </c>
      <c r="U253" s="1392" t="str">
        <f t="shared" si="72"/>
        <v>RODRIGUEZ CARLOS EDUARDO</v>
      </c>
      <c r="W253" s="664" t="s">
        <v>439</v>
      </c>
      <c r="X253" s="324">
        <v>22</v>
      </c>
      <c r="Y253" s="325">
        <v>112011275</v>
      </c>
      <c r="Z253" s="1392" t="str">
        <f t="shared" si="73"/>
        <v>REYNA MARTA INES</v>
      </c>
      <c r="AB253" s="664" t="s">
        <v>948</v>
      </c>
      <c r="AC253" s="325">
        <v>1</v>
      </c>
      <c r="AD253" s="325">
        <v>112013698</v>
      </c>
      <c r="AE253" s="1392" t="e">
        <f t="shared" si="74"/>
        <v>#N/A</v>
      </c>
      <c r="AF253" s="302"/>
      <c r="AG253" s="325" t="s">
        <v>1383</v>
      </c>
      <c r="AH253" s="325"/>
      <c r="AI253" s="325">
        <v>112014601</v>
      </c>
      <c r="AJ253" s="799" t="str">
        <f t="shared" si="75"/>
        <v>MAURICIO PABLO CEFERINO ARIAS</v>
      </c>
      <c r="AL253" s="323" t="s">
        <v>1226</v>
      </c>
      <c r="AM253" s="325">
        <v>1</v>
      </c>
      <c r="AN253" s="325">
        <v>112013940</v>
      </c>
      <c r="AO253" s="1394" t="e">
        <f t="shared" si="76"/>
        <v>#N/A</v>
      </c>
      <c r="AQ253" s="1395" t="s">
        <v>1071</v>
      </c>
      <c r="AR253" s="325">
        <v>1</v>
      </c>
      <c r="AS253" s="325">
        <v>112011594</v>
      </c>
      <c r="AT253" s="1397" t="str">
        <f t="shared" si="77"/>
        <v>MINOLI MARIANO</v>
      </c>
      <c r="AU253" s="302"/>
      <c r="AV253" s="302"/>
      <c r="AW253" s="664" t="s">
        <v>1499</v>
      </c>
      <c r="AX253" s="325"/>
      <c r="AY253" s="325">
        <v>112012864</v>
      </c>
      <c r="AZ253" s="1392" t="str">
        <f t="shared" si="78"/>
        <v>MUNICIPALIDAD DE PRESIDENTE PERON</v>
      </c>
      <c r="BA253" s="302"/>
      <c r="BB253" s="664" t="s">
        <v>1499</v>
      </c>
      <c r="BC253" s="325"/>
      <c r="BD253" s="325">
        <v>112011824</v>
      </c>
      <c r="BE253" s="1392" t="str">
        <f t="shared" si="79"/>
        <v>MUNICIPALIDAD DE PRESIDENTE PERON</v>
      </c>
      <c r="BF253" s="618"/>
      <c r="BG253" s="553"/>
      <c r="BH253" s="294"/>
      <c r="BI253" s="618"/>
      <c r="BJ253" s="618"/>
      <c r="BK253" s="618"/>
      <c r="BL253" s="553"/>
      <c r="BM253" s="618"/>
      <c r="BN253" s="618"/>
      <c r="BO253" s="618"/>
    </row>
    <row r="254" spans="1:67" ht="13" hidden="1">
      <c r="A254" s="664" t="s">
        <v>715</v>
      </c>
      <c r="B254" s="325">
        <v>20</v>
      </c>
      <c r="C254" s="325">
        <v>112011463</v>
      </c>
      <c r="D254" s="1392" t="str">
        <f t="shared" si="69"/>
        <v>MONTENEGRO CLAUDIO ALBERTO</v>
      </c>
      <c r="G254" s="325" t="s">
        <v>113</v>
      </c>
      <c r="H254" s="325">
        <v>18</v>
      </c>
      <c r="I254" s="325">
        <v>112014411</v>
      </c>
      <c r="J254" s="1393" t="str">
        <f t="shared" si="70"/>
        <v>HERMIDA ALEJANDRO</v>
      </c>
      <c r="M254" s="664" t="s">
        <v>646</v>
      </c>
      <c r="N254" s="324">
        <v>1</v>
      </c>
      <c r="O254" s="325">
        <v>112011741</v>
      </c>
      <c r="P254" s="1392" t="str">
        <f t="shared" si="71"/>
        <v>LLANEZA FRANCISCO ALBERTO</v>
      </c>
      <c r="R254" s="664" t="s">
        <v>352</v>
      </c>
      <c r="S254" s="324"/>
      <c r="T254" s="325">
        <v>112013258</v>
      </c>
      <c r="U254" s="1392" t="str">
        <f t="shared" si="72"/>
        <v>RODRIGUEZ HORACIO MARCELINO</v>
      </c>
      <c r="W254" s="664" t="s">
        <v>400</v>
      </c>
      <c r="X254" s="324">
        <v>31</v>
      </c>
      <c r="Y254" s="325">
        <v>112013973</v>
      </c>
      <c r="Z254" s="1392" t="str">
        <f t="shared" si="73"/>
        <v>ROLON SANDRA PAOLA</v>
      </c>
      <c r="AB254" s="664" t="s">
        <v>891</v>
      </c>
      <c r="AC254" s="325">
        <v>4</v>
      </c>
      <c r="AD254" s="325">
        <v>112014191</v>
      </c>
      <c r="AE254" s="1392" t="str">
        <f t="shared" si="74"/>
        <v>PALADINI WALTER VICENTE</v>
      </c>
      <c r="AF254" s="302"/>
      <c r="AG254" s="325" t="s">
        <v>1338</v>
      </c>
      <c r="AH254" s="325">
        <v>1</v>
      </c>
      <c r="AI254" s="325">
        <v>112013925</v>
      </c>
      <c r="AJ254" s="799" t="str">
        <f t="shared" si="75"/>
        <v>MIROGLIO ANTONELA MAILEN</v>
      </c>
      <c r="AL254" s="323" t="s">
        <v>1225</v>
      </c>
      <c r="AM254" s="325">
        <v>1</v>
      </c>
      <c r="AN254" s="325">
        <v>112013965</v>
      </c>
      <c r="AO254" s="1394" t="e">
        <f t="shared" si="76"/>
        <v>#N/A</v>
      </c>
      <c r="AQ254" s="1395" t="s">
        <v>1017</v>
      </c>
      <c r="AR254" s="325">
        <v>22</v>
      </c>
      <c r="AS254" s="325">
        <v>112013484</v>
      </c>
      <c r="AT254" s="1397" t="str">
        <f t="shared" si="77"/>
        <v>MOLINA MOLA MARIANA GISELE</v>
      </c>
      <c r="AU254" s="302"/>
      <c r="AV254" s="302"/>
      <c r="AW254" s="664" t="s">
        <v>1502</v>
      </c>
      <c r="AX254" s="325"/>
      <c r="AY254" s="325">
        <v>112012403</v>
      </c>
      <c r="AZ254" s="1392" t="str">
        <f t="shared" si="78"/>
        <v>MUNICIPALIDAD DE SUIPACHA</v>
      </c>
      <c r="BA254" s="302"/>
      <c r="BB254" s="664" t="s">
        <v>1500</v>
      </c>
      <c r="BC254" s="325"/>
      <c r="BD254" s="325">
        <v>112013723</v>
      </c>
      <c r="BE254" s="1392" t="str">
        <f t="shared" si="79"/>
        <v>MUNICIPIO DE TOLHUIN</v>
      </c>
      <c r="BF254" s="618"/>
      <c r="BG254" s="553"/>
      <c r="BH254" s="294"/>
      <c r="BI254" s="618"/>
      <c r="BJ254" s="618"/>
      <c r="BK254" s="618"/>
      <c r="BL254" s="553"/>
      <c r="BM254" s="618"/>
      <c r="BN254" s="618"/>
      <c r="BO254" s="618"/>
    </row>
    <row r="255" spans="1:67" ht="13" hidden="1">
      <c r="A255" s="664" t="s">
        <v>799</v>
      </c>
      <c r="B255" s="325"/>
      <c r="C255" s="325">
        <v>112013400</v>
      </c>
      <c r="D255" s="1392" t="str">
        <f t="shared" si="69"/>
        <v>MORRA CRISTINA MARIANA</v>
      </c>
      <c r="G255" s="325" t="s">
        <v>222</v>
      </c>
      <c r="H255" s="325"/>
      <c r="I255" s="325">
        <v>112010753</v>
      </c>
      <c r="J255" s="1393" t="str">
        <f t="shared" si="70"/>
        <v>HERMIDA RICARDO PABLO</v>
      </c>
      <c r="M255" s="664" t="s">
        <v>589</v>
      </c>
      <c r="N255" s="324">
        <v>4</v>
      </c>
      <c r="O255" s="325">
        <v>112014609</v>
      </c>
      <c r="P255" s="1392" t="str">
        <f t="shared" si="71"/>
        <v>MALDONADO VANINA ELIZABETH</v>
      </c>
      <c r="R255" s="664" t="s">
        <v>339</v>
      </c>
      <c r="S255" s="324">
        <v>1</v>
      </c>
      <c r="T255" s="325">
        <v>112012258</v>
      </c>
      <c r="U255" s="1392" t="str">
        <f t="shared" si="72"/>
        <v>ROMERO JUAN FACUNDO</v>
      </c>
      <c r="W255" s="664" t="s">
        <v>447</v>
      </c>
      <c r="X255" s="324">
        <v>29</v>
      </c>
      <c r="Y255" s="325">
        <v>112010434</v>
      </c>
      <c r="Z255" s="1392" t="str">
        <f t="shared" si="73"/>
        <v>ROMAN GABRIELA MABEL</v>
      </c>
      <c r="AB255" s="664" t="s">
        <v>839</v>
      </c>
      <c r="AC255" s="325">
        <v>10</v>
      </c>
      <c r="AD255" s="325">
        <v>112014058</v>
      </c>
      <c r="AE255" s="1392" t="str">
        <f t="shared" si="74"/>
        <v>PEREZ LUIS GABRIEL</v>
      </c>
      <c r="AF255" s="302"/>
      <c r="AG255" s="325" t="s">
        <v>1367</v>
      </c>
      <c r="AH255" s="325">
        <v>1</v>
      </c>
      <c r="AI255" s="325">
        <v>112013861</v>
      </c>
      <c r="AJ255" s="799" t="str">
        <f t="shared" si="75"/>
        <v>MONTENEGRO IBAÑEZ ANA MONICA</v>
      </c>
      <c r="AL255" s="323" t="s">
        <v>1173</v>
      </c>
      <c r="AM255" s="325">
        <v>4</v>
      </c>
      <c r="AN255" s="325">
        <v>112013993</v>
      </c>
      <c r="AO255" s="1394" t="e">
        <f t="shared" si="76"/>
        <v>#N/A</v>
      </c>
      <c r="AQ255" s="1395" t="s">
        <v>873</v>
      </c>
      <c r="AR255" s="325">
        <v>22</v>
      </c>
      <c r="AS255" s="325">
        <v>112010673</v>
      </c>
      <c r="AT255" s="1397" t="e">
        <f t="shared" si="77"/>
        <v>#N/A</v>
      </c>
      <c r="AU255" s="302"/>
      <c r="AV255" s="302"/>
      <c r="AW255" s="664" t="s">
        <v>1114</v>
      </c>
      <c r="AX255" s="325">
        <v>1</v>
      </c>
      <c r="AY255" s="325">
        <v>112012451</v>
      </c>
      <c r="AZ255" s="1392" t="str">
        <f t="shared" si="78"/>
        <v>MUNICIPALIDAD DE TAPALQUE</v>
      </c>
      <c r="BA255" s="302"/>
      <c r="BB255" s="664" t="s">
        <v>661</v>
      </c>
      <c r="BC255" s="325"/>
      <c r="BD255" s="325">
        <v>112012864</v>
      </c>
      <c r="BE255" s="1392" t="str">
        <f t="shared" si="79"/>
        <v>MUÑOZ JORGE SANTIAGO</v>
      </c>
      <c r="BF255" s="618"/>
      <c r="BG255" s="553"/>
      <c r="BH255" s="294"/>
      <c r="BI255" s="618"/>
      <c r="BJ255" s="618"/>
      <c r="BK255" s="618"/>
      <c r="BL255" s="553"/>
      <c r="BM255" s="618"/>
      <c r="BN255" s="618"/>
      <c r="BO255" s="618"/>
    </row>
    <row r="256" spans="1:67" ht="13" hidden="1">
      <c r="A256" s="664" t="s">
        <v>806</v>
      </c>
      <c r="B256" s="325"/>
      <c r="C256" s="325">
        <v>112012899</v>
      </c>
      <c r="D256" s="1392" t="str">
        <f t="shared" si="69"/>
        <v>MUNICIPALIDAD DE NAVARRO</v>
      </c>
      <c r="G256" s="325" t="s">
        <v>196</v>
      </c>
      <c r="H256" s="325">
        <v>1</v>
      </c>
      <c r="I256" s="325">
        <v>112013878</v>
      </c>
      <c r="J256" s="1393" t="str">
        <f t="shared" si="70"/>
        <v>HOWLIN ELIANA PAULA</v>
      </c>
      <c r="M256" s="664" t="s">
        <v>590</v>
      </c>
      <c r="N256" s="324">
        <v>4</v>
      </c>
      <c r="O256" s="325">
        <v>112014680</v>
      </c>
      <c r="P256" s="1392" t="str">
        <f t="shared" si="71"/>
        <v>MARCELO NICOLAS PALERMO</v>
      </c>
      <c r="R256" s="664" t="s">
        <v>340</v>
      </c>
      <c r="S256" s="324">
        <v>6</v>
      </c>
      <c r="T256" s="325">
        <v>112013733</v>
      </c>
      <c r="U256" s="1392" t="str">
        <f t="shared" si="72"/>
        <v>SANCHEZ ROBERTO GABRIEL</v>
      </c>
      <c r="W256" s="664" t="s">
        <v>450</v>
      </c>
      <c r="X256" s="324">
        <v>20</v>
      </c>
      <c r="Y256" s="325">
        <v>112014101</v>
      </c>
      <c r="Z256" s="1392" t="str">
        <f t="shared" si="73"/>
        <v>SALA MARIA VICTORIA</v>
      </c>
      <c r="AB256" s="664" t="s">
        <v>893</v>
      </c>
      <c r="AC256" s="325">
        <v>1</v>
      </c>
      <c r="AD256" s="325">
        <v>112010041</v>
      </c>
      <c r="AE256" s="1392" t="str">
        <f t="shared" si="74"/>
        <v>PETERSEN MARCELO ORLANDO</v>
      </c>
      <c r="AF256" s="302"/>
      <c r="AG256" s="325" t="s">
        <v>1322</v>
      </c>
      <c r="AH256" s="325">
        <v>22</v>
      </c>
      <c r="AI256" s="325">
        <v>112013882</v>
      </c>
      <c r="AJ256" s="799" t="str">
        <f t="shared" si="75"/>
        <v>MORENO FRANCISCO</v>
      </c>
      <c r="AL256" s="323" t="s">
        <v>1143</v>
      </c>
      <c r="AM256" s="325">
        <v>29</v>
      </c>
      <c r="AN256" s="325">
        <v>112014017</v>
      </c>
      <c r="AO256" s="1394" t="str">
        <f t="shared" si="76"/>
        <v>MANDOZI CRISTIAN FABIAN</v>
      </c>
      <c r="AQ256" s="1395" t="s">
        <v>1104</v>
      </c>
      <c r="AR256" s="325">
        <v>4</v>
      </c>
      <c r="AS256" s="325">
        <v>112012176</v>
      </c>
      <c r="AT256" s="1397" t="e">
        <f t="shared" si="77"/>
        <v>#N/A</v>
      </c>
      <c r="AU256" s="302"/>
      <c r="AV256" s="302"/>
      <c r="AW256" s="664" t="s">
        <v>1503</v>
      </c>
      <c r="AX256" s="325"/>
      <c r="AY256" s="325">
        <v>112014595</v>
      </c>
      <c r="AZ256" s="1392" t="str">
        <f t="shared" si="78"/>
        <v>MUNICIPALIDAD DE VEINTICINCO DE MAYO</v>
      </c>
      <c r="BA256" s="302"/>
      <c r="BB256" s="664" t="s">
        <v>1442</v>
      </c>
      <c r="BC256" s="325">
        <v>22</v>
      </c>
      <c r="BD256" s="325">
        <v>112014228</v>
      </c>
      <c r="BE256" s="1392" t="str">
        <f t="shared" si="79"/>
        <v>NIEFERGOL MARCO ANTONIO</v>
      </c>
      <c r="BF256" s="618"/>
      <c r="BG256" s="553"/>
      <c r="BH256" s="294"/>
      <c r="BI256" s="618"/>
      <c r="BJ256" s="618"/>
      <c r="BK256" s="618"/>
      <c r="BL256" s="553"/>
      <c r="BM256" s="618"/>
      <c r="BN256" s="618"/>
      <c r="BO256" s="618"/>
    </row>
    <row r="257" spans="1:67" ht="13" hidden="1">
      <c r="A257" s="664" t="s">
        <v>807</v>
      </c>
      <c r="B257" s="325"/>
      <c r="C257" s="325">
        <v>112014386</v>
      </c>
      <c r="D257" s="1392" t="str">
        <f t="shared" si="69"/>
        <v>MUNICIPALIDAD DE ROQUE PEREZ</v>
      </c>
      <c r="G257" s="325" t="s">
        <v>157</v>
      </c>
      <c r="H257" s="325">
        <v>4</v>
      </c>
      <c r="I257" s="325">
        <v>112014668</v>
      </c>
      <c r="J257" s="1393" t="str">
        <f t="shared" si="70"/>
        <v>HUELLITAS DEL SUR S. CAP I SECC IV</v>
      </c>
      <c r="M257" s="664" t="s">
        <v>643</v>
      </c>
      <c r="N257" s="324">
        <v>4</v>
      </c>
      <c r="O257" s="325">
        <v>112014755</v>
      </c>
      <c r="P257" s="1392" t="str">
        <f t="shared" si="71"/>
        <v>MARCOS MATIAS MOYANO</v>
      </c>
      <c r="R257" s="664" t="s">
        <v>353</v>
      </c>
      <c r="S257" s="324"/>
      <c r="T257" s="325">
        <v>112013358</v>
      </c>
      <c r="U257" s="1392" t="str">
        <f t="shared" si="72"/>
        <v>SANSOT GISELE MARIEL</v>
      </c>
      <c r="W257" s="664" t="s">
        <v>443</v>
      </c>
      <c r="X257" s="324">
        <v>22</v>
      </c>
      <c r="Y257" s="325">
        <v>112014717</v>
      </c>
      <c r="Z257" s="1392" t="str">
        <f t="shared" si="73"/>
        <v>SALGADO GONZALO EZEQUIEL</v>
      </c>
      <c r="AB257" s="664" t="s">
        <v>949</v>
      </c>
      <c r="AC257" s="325">
        <v>4</v>
      </c>
      <c r="AD257" s="325">
        <v>112011810</v>
      </c>
      <c r="AE257" s="1392" t="e">
        <f t="shared" si="74"/>
        <v>#N/A</v>
      </c>
      <c r="AF257" s="302"/>
      <c r="AG257" s="325" t="s">
        <v>1274</v>
      </c>
      <c r="AH257" s="325">
        <v>31</v>
      </c>
      <c r="AI257" s="325">
        <v>112013964</v>
      </c>
      <c r="AJ257" s="799" t="str">
        <f t="shared" si="75"/>
        <v>MOSCA CLAUDIO JOSE</v>
      </c>
      <c r="AL257" s="323" t="s">
        <v>1116</v>
      </c>
      <c r="AM257" s="325">
        <v>1</v>
      </c>
      <c r="AN257" s="325">
        <v>112014038</v>
      </c>
      <c r="AO257" s="1394" t="e">
        <f t="shared" si="76"/>
        <v>#N/A</v>
      </c>
      <c r="AQ257" s="1395" t="s">
        <v>1062</v>
      </c>
      <c r="AR257" s="325">
        <v>1</v>
      </c>
      <c r="AS257" s="325">
        <v>112013469</v>
      </c>
      <c r="AT257" s="1397" t="str">
        <f t="shared" si="77"/>
        <v>NOYA PABLO HORACIO</v>
      </c>
      <c r="AU257" s="302"/>
      <c r="AV257" s="302"/>
      <c r="AW257" s="664" t="s">
        <v>1500</v>
      </c>
      <c r="AX257" s="325"/>
      <c r="AY257" s="325">
        <v>112014228</v>
      </c>
      <c r="AZ257" s="1392" t="str">
        <f t="shared" si="78"/>
        <v>MUNICIPIO DE TOLHUIN</v>
      </c>
      <c r="BA257" s="302"/>
      <c r="BB257" s="664" t="s">
        <v>1323</v>
      </c>
      <c r="BC257" s="325">
        <v>22</v>
      </c>
      <c r="BD257" s="325">
        <v>112013210</v>
      </c>
      <c r="BE257" s="1392" t="str">
        <f t="shared" si="79"/>
        <v>NOCETTI FACUNDO</v>
      </c>
      <c r="BF257" s="618"/>
      <c r="BG257" s="553"/>
      <c r="BH257" s="294"/>
      <c r="BI257" s="618"/>
      <c r="BJ257" s="618"/>
      <c r="BK257" s="618"/>
      <c r="BL257" s="553"/>
      <c r="BM257" s="618"/>
      <c r="BN257" s="618"/>
      <c r="BO257" s="618"/>
    </row>
    <row r="258" spans="1:67" ht="13" hidden="1">
      <c r="A258" s="664" t="s">
        <v>704</v>
      </c>
      <c r="B258" s="325">
        <v>7</v>
      </c>
      <c r="C258" s="325">
        <v>112014576</v>
      </c>
      <c r="D258" s="1392" t="str">
        <f t="shared" si="69"/>
        <v>NICOLAS BERNARDINO LA MASTRA</v>
      </c>
      <c r="G258" s="325" t="s">
        <v>235</v>
      </c>
      <c r="H258" s="325">
        <v>4</v>
      </c>
      <c r="I258" s="325">
        <v>112014703</v>
      </c>
      <c r="J258" s="1393" t="e">
        <f t="shared" si="70"/>
        <v>#N/A</v>
      </c>
      <c r="M258" s="664" t="s">
        <v>510</v>
      </c>
      <c r="N258" s="324">
        <v>10</v>
      </c>
      <c r="O258" s="325">
        <v>112013271</v>
      </c>
      <c r="P258" s="1392" t="str">
        <f t="shared" si="71"/>
        <v>MARCOS RUBEN FRANCISCO</v>
      </c>
      <c r="R258" s="664" t="s">
        <v>341</v>
      </c>
      <c r="S258" s="324">
        <v>1</v>
      </c>
      <c r="T258" s="325">
        <v>112011542</v>
      </c>
      <c r="U258" s="1392" t="str">
        <f t="shared" si="72"/>
        <v>SANTIAGO MARCELA ALEJANDRA</v>
      </c>
      <c r="W258" s="664" t="s">
        <v>480</v>
      </c>
      <c r="X258" s="324"/>
      <c r="Y258" s="325">
        <v>112013134</v>
      </c>
      <c r="Z258" s="1392" t="str">
        <f t="shared" si="73"/>
        <v>SALOCHA JORGE HERNAN</v>
      </c>
      <c r="AB258" s="664" t="s">
        <v>985</v>
      </c>
      <c r="AC258" s="325"/>
      <c r="AD258" s="325">
        <v>112012418</v>
      </c>
      <c r="AE258" s="1392" t="e">
        <f t="shared" si="74"/>
        <v>#N/A</v>
      </c>
      <c r="AF258" s="302"/>
      <c r="AG258" s="325" t="s">
        <v>1379</v>
      </c>
      <c r="AH258" s="325"/>
      <c r="AI258" s="325">
        <v>112014710</v>
      </c>
      <c r="AJ258" s="799" t="str">
        <f t="shared" si="75"/>
        <v>MUNICIPALIDAD DE GENERAL LAVALLE</v>
      </c>
      <c r="AL258" s="323" t="s">
        <v>1241</v>
      </c>
      <c r="AM258" s="325">
        <v>4</v>
      </c>
      <c r="AN258" s="325">
        <v>112014096</v>
      </c>
      <c r="AO258" s="1394" t="e">
        <f t="shared" si="76"/>
        <v>#N/A</v>
      </c>
      <c r="AQ258" s="1395" t="s">
        <v>1014</v>
      </c>
      <c r="AR258" s="325">
        <v>22</v>
      </c>
      <c r="AS258" s="325">
        <v>112011970</v>
      </c>
      <c r="AT258" s="1397" t="str">
        <f t="shared" si="77"/>
        <v>NUÑEZ DIEGO ANDRES</v>
      </c>
      <c r="AU258" s="302"/>
      <c r="AV258" s="302"/>
      <c r="AW258" s="664" t="s">
        <v>1442</v>
      </c>
      <c r="AX258" s="325">
        <v>22</v>
      </c>
      <c r="AY258" s="325">
        <v>112014274</v>
      </c>
      <c r="AZ258" s="1392" t="str">
        <f t="shared" si="78"/>
        <v>NIEFERGOL MARCO ANTONIO</v>
      </c>
      <c r="BA258" s="302"/>
      <c r="BB258" s="664" t="s">
        <v>1443</v>
      </c>
      <c r="BC258" s="325">
        <v>22</v>
      </c>
      <c r="BD258" s="325">
        <v>112014274</v>
      </c>
      <c r="BE258" s="1392" t="str">
        <f t="shared" si="79"/>
        <v>NORO MARIA MARTA</v>
      </c>
      <c r="BF258" s="618"/>
      <c r="BG258" s="553"/>
      <c r="BH258" s="294"/>
      <c r="BI258" s="618"/>
      <c r="BJ258" s="618"/>
      <c r="BK258" s="618"/>
      <c r="BL258" s="553"/>
      <c r="BM258" s="618"/>
      <c r="BN258" s="618"/>
      <c r="BO258" s="618"/>
    </row>
    <row r="259" spans="1:67" ht="13" hidden="1">
      <c r="A259" s="664" t="s">
        <v>808</v>
      </c>
      <c r="B259" s="325"/>
      <c r="C259" s="325">
        <v>112012846</v>
      </c>
      <c r="D259" s="1392" t="str">
        <f t="shared" si="69"/>
        <v>NICOLO MARCELO FABIAN</v>
      </c>
      <c r="G259" s="325" t="s">
        <v>215</v>
      </c>
      <c r="H259" s="325">
        <v>1</v>
      </c>
      <c r="I259" s="325">
        <v>112014660</v>
      </c>
      <c r="J259" s="1393" t="str">
        <f t="shared" si="70"/>
        <v>JUAN TEYSSEIRE/ ALVAREZ MANUEL/ LA COLORADA</v>
      </c>
      <c r="M259" s="664" t="s">
        <v>544</v>
      </c>
      <c r="N259" s="324">
        <v>31</v>
      </c>
      <c r="O259" s="325">
        <v>112014763</v>
      </c>
      <c r="P259" s="1392" t="str">
        <f t="shared" si="71"/>
        <v>MAROLLA EZEQUIEL DANIEL</v>
      </c>
      <c r="R259" s="664" t="s">
        <v>276</v>
      </c>
      <c r="S259" s="324">
        <v>22</v>
      </c>
      <c r="T259" s="325">
        <v>112012598</v>
      </c>
      <c r="U259" s="1392" t="str">
        <f t="shared" si="72"/>
        <v>SETTE GABRIELA ALEJANDRA</v>
      </c>
      <c r="W259" s="664" t="s">
        <v>492</v>
      </c>
      <c r="X259" s="324">
        <v>7</v>
      </c>
      <c r="Y259" s="325">
        <v>112012714</v>
      </c>
      <c r="Z259" s="1392" t="e">
        <f t="shared" si="73"/>
        <v>#N/A</v>
      </c>
      <c r="AB259" s="664" t="s">
        <v>926</v>
      </c>
      <c r="AC259" s="325">
        <v>7</v>
      </c>
      <c r="AD259" s="325">
        <v>112014231</v>
      </c>
      <c r="AE259" s="1392" t="e">
        <f t="shared" si="74"/>
        <v>#N/A</v>
      </c>
      <c r="AF259" s="302"/>
      <c r="AG259" s="325" t="s">
        <v>1335</v>
      </c>
      <c r="AH259" s="325">
        <v>4</v>
      </c>
      <c r="AI259" s="325">
        <v>112014218</v>
      </c>
      <c r="AJ259" s="799" t="str">
        <f t="shared" si="75"/>
        <v>MUSTIOLA RIVERA MIYENYS COROMOTO</v>
      </c>
      <c r="AL259" s="323" t="s">
        <v>1195</v>
      </c>
      <c r="AM259" s="325">
        <v>4</v>
      </c>
      <c r="AN259" s="325">
        <v>112014186</v>
      </c>
      <c r="AO259" s="1394" t="e">
        <f t="shared" si="76"/>
        <v>#N/A</v>
      </c>
      <c r="AQ259" s="1395" t="s">
        <v>1024</v>
      </c>
      <c r="AR259" s="325">
        <v>22</v>
      </c>
      <c r="AS259" s="325">
        <v>112014501</v>
      </c>
      <c r="AT259" s="1397" t="str">
        <f t="shared" si="77"/>
        <v>OLIVERA MARIA PIA</v>
      </c>
      <c r="AU259" s="302"/>
      <c r="AV259" s="302"/>
      <c r="AW259" s="664" t="s">
        <v>1443</v>
      </c>
      <c r="AX259" s="325">
        <v>22</v>
      </c>
      <c r="AY259" s="325">
        <v>112013144</v>
      </c>
      <c r="AZ259" s="1392" t="str">
        <f t="shared" si="78"/>
        <v>NORO MARIA MARTA</v>
      </c>
      <c r="BA259" s="302"/>
      <c r="BB259" s="664" t="s">
        <v>1062</v>
      </c>
      <c r="BC259" s="325">
        <v>20</v>
      </c>
      <c r="BD259" s="325">
        <v>112013730</v>
      </c>
      <c r="BE259" s="1392" t="str">
        <f t="shared" si="79"/>
        <v>NOYA PABLO HORACIO</v>
      </c>
      <c r="BF259" s="618"/>
      <c r="BG259" s="553"/>
      <c r="BH259" s="294"/>
      <c r="BI259" s="618"/>
      <c r="BJ259" s="618"/>
      <c r="BK259" s="618"/>
      <c r="BL259" s="553"/>
      <c r="BM259" s="618"/>
      <c r="BN259" s="618"/>
      <c r="BO259" s="618"/>
    </row>
    <row r="260" spans="1:67" ht="13" hidden="1">
      <c r="A260" s="664" t="s">
        <v>732</v>
      </c>
      <c r="B260" s="325">
        <v>4</v>
      </c>
      <c r="C260" s="325">
        <v>112013242</v>
      </c>
      <c r="D260" s="1392" t="str">
        <f t="shared" si="69"/>
        <v>OCHIODORO DIEGO LUIS</v>
      </c>
      <c r="G260" s="325" t="s">
        <v>110</v>
      </c>
      <c r="H260" s="325">
        <v>22</v>
      </c>
      <c r="I260" s="325">
        <v>112013668</v>
      </c>
      <c r="J260" s="1393" t="e">
        <f t="shared" si="70"/>
        <v>#N/A</v>
      </c>
      <c r="M260" s="664" t="s">
        <v>631</v>
      </c>
      <c r="N260" s="324">
        <v>4</v>
      </c>
      <c r="O260" s="325">
        <v>112013315</v>
      </c>
      <c r="P260" s="1392" t="str">
        <f t="shared" si="71"/>
        <v>MARTINEZ MARIANO DANIEL</v>
      </c>
      <c r="R260" s="664" t="s">
        <v>306</v>
      </c>
      <c r="S260" s="324">
        <v>6</v>
      </c>
      <c r="T260" s="325">
        <v>112014291</v>
      </c>
      <c r="U260" s="1392" t="str">
        <f t="shared" si="72"/>
        <v>SHCHERBYNA TAMARA</v>
      </c>
      <c r="W260" s="664" t="s">
        <v>455</v>
      </c>
      <c r="X260" s="324">
        <v>1</v>
      </c>
      <c r="Y260" s="325">
        <v>112010619</v>
      </c>
      <c r="Z260" s="1392" t="str">
        <f t="shared" si="73"/>
        <v>SANTANA CARLOS GUILLERMO</v>
      </c>
      <c r="AB260" s="664" t="s">
        <v>952</v>
      </c>
      <c r="AC260" s="325">
        <v>1</v>
      </c>
      <c r="AD260" s="325">
        <v>112013395</v>
      </c>
      <c r="AE260" s="1392" t="e">
        <f t="shared" si="74"/>
        <v>#N/A</v>
      </c>
      <c r="AF260" s="302"/>
      <c r="AG260" s="325" t="s">
        <v>1278</v>
      </c>
      <c r="AH260" s="325">
        <v>7</v>
      </c>
      <c r="AI260" s="325">
        <v>112013946</v>
      </c>
      <c r="AJ260" s="799" t="str">
        <f t="shared" si="75"/>
        <v>NIGRO NATALIA SOLEDAD</v>
      </c>
      <c r="AL260" s="323" t="s">
        <v>1196</v>
      </c>
      <c r="AM260" s="325">
        <v>4</v>
      </c>
      <c r="AN260" s="325">
        <v>112014192</v>
      </c>
      <c r="AO260" s="1394" t="e">
        <f t="shared" si="76"/>
        <v>#N/A</v>
      </c>
      <c r="AQ260" s="1395" t="s">
        <v>1031</v>
      </c>
      <c r="AR260" s="325">
        <v>22</v>
      </c>
      <c r="AS260" s="325">
        <v>112013794</v>
      </c>
      <c r="AT260" s="1397" t="e">
        <f t="shared" si="77"/>
        <v>#N/A</v>
      </c>
      <c r="AU260" s="302"/>
      <c r="AV260" s="302"/>
      <c r="AW260" s="664" t="s">
        <v>1402</v>
      </c>
      <c r="AX260" s="325">
        <v>12</v>
      </c>
      <c r="AY260" s="325">
        <v>112013513</v>
      </c>
      <c r="AZ260" s="1392" t="str">
        <f t="shared" si="78"/>
        <v>NUÑEZ PEÑALOZA EDUARDO JAVIER</v>
      </c>
      <c r="BA260" s="302"/>
      <c r="BB260" s="664" t="s">
        <v>1402</v>
      </c>
      <c r="BC260" s="325">
        <v>12</v>
      </c>
      <c r="BD260" s="325">
        <v>112013144</v>
      </c>
      <c r="BE260" s="1392" t="str">
        <f t="shared" si="79"/>
        <v>NUÑEZ PEÑALOZA EDUARDO JAVIER</v>
      </c>
      <c r="BF260" s="618"/>
      <c r="BG260" s="553"/>
      <c r="BH260" s="294"/>
      <c r="BI260" s="618"/>
      <c r="BJ260" s="618"/>
      <c r="BK260" s="618"/>
      <c r="BL260" s="553"/>
      <c r="BM260" s="618"/>
      <c r="BN260" s="618"/>
      <c r="BO260" s="618"/>
    </row>
    <row r="261" spans="1:67" ht="13" hidden="1">
      <c r="A261" s="664" t="s">
        <v>788</v>
      </c>
      <c r="B261" s="325">
        <v>1</v>
      </c>
      <c r="C261" s="325">
        <v>112012050</v>
      </c>
      <c r="D261" s="1392" t="str">
        <f t="shared" si="69"/>
        <v>ORCAJADA MACARENA MARIA SOLEDAD</v>
      </c>
      <c r="G261" s="325" t="s">
        <v>197</v>
      </c>
      <c r="H261" s="325">
        <v>1</v>
      </c>
      <c r="I261" s="325">
        <v>112013913</v>
      </c>
      <c r="J261" s="1393" t="str">
        <f t="shared" si="70"/>
        <v>LOPEZ EUGENIA</v>
      </c>
      <c r="M261" s="664" t="s">
        <v>545</v>
      </c>
      <c r="N261" s="324">
        <v>31</v>
      </c>
      <c r="O261" s="325">
        <v>112014767</v>
      </c>
      <c r="P261" s="1392" t="str">
        <f t="shared" si="71"/>
        <v>MARTINEZ SUSANA BEATRIZ</v>
      </c>
      <c r="R261" s="664" t="s">
        <v>342</v>
      </c>
      <c r="S261" s="324">
        <v>1</v>
      </c>
      <c r="T261" s="325">
        <v>112012936</v>
      </c>
      <c r="U261" s="1392" t="str">
        <f t="shared" si="72"/>
        <v>SILVA NAZARENA BELEN</v>
      </c>
      <c r="W261" s="664" t="s">
        <v>464</v>
      </c>
      <c r="X261" s="324">
        <v>1</v>
      </c>
      <c r="Y261" s="325">
        <v>112011552</v>
      </c>
      <c r="Z261" s="1392" t="str">
        <f t="shared" si="73"/>
        <v>SAYAL DIEGO (CANNING)</v>
      </c>
      <c r="AB261" s="664" t="s">
        <v>941</v>
      </c>
      <c r="AC261" s="325">
        <v>1</v>
      </c>
      <c r="AD261" s="325">
        <v>112011927</v>
      </c>
      <c r="AE261" s="1392" t="e">
        <f t="shared" si="74"/>
        <v>#N/A</v>
      </c>
      <c r="AF261" s="302"/>
      <c r="AG261" s="325" t="s">
        <v>1323</v>
      </c>
      <c r="AH261" s="325">
        <v>22</v>
      </c>
      <c r="AI261" s="325">
        <v>112013730</v>
      </c>
      <c r="AJ261" s="799" t="str">
        <f t="shared" si="75"/>
        <v>NOCETTI FACUNDO</v>
      </c>
      <c r="AL261" s="323" t="s">
        <v>1148</v>
      </c>
      <c r="AM261" s="325">
        <v>4</v>
      </c>
      <c r="AN261" s="325">
        <v>112014197</v>
      </c>
      <c r="AO261" s="1394" t="str">
        <f t="shared" si="76"/>
        <v>GONZALEZ KARINA ALEJANDRA</v>
      </c>
      <c r="AQ261" s="1395" t="s">
        <v>1099</v>
      </c>
      <c r="AR261" s="325">
        <v>4</v>
      </c>
      <c r="AS261" s="325">
        <v>112012452</v>
      </c>
      <c r="AT261" s="1397" t="e">
        <f t="shared" si="77"/>
        <v>#N/A</v>
      </c>
      <c r="AU261" s="302"/>
      <c r="AV261" s="302"/>
      <c r="AW261" s="664" t="s">
        <v>1422</v>
      </c>
      <c r="AX261" s="325">
        <v>7</v>
      </c>
      <c r="AY261" s="325">
        <v>112013982</v>
      </c>
      <c r="AZ261" s="1392" t="str">
        <f t="shared" si="78"/>
        <v>OSVALDO DANIEL GARCIA MAZZOLA</v>
      </c>
      <c r="BA261" s="302"/>
      <c r="BB261" s="664" t="s">
        <v>1024</v>
      </c>
      <c r="BC261" s="325">
        <v>22</v>
      </c>
      <c r="BD261" s="325">
        <v>112013469</v>
      </c>
      <c r="BE261" s="1392" t="str">
        <f t="shared" si="79"/>
        <v>OLIVERA MARIA PIA</v>
      </c>
      <c r="BF261" s="618"/>
      <c r="BG261" s="553"/>
      <c r="BH261" s="294"/>
      <c r="BI261" s="618"/>
      <c r="BJ261" s="618"/>
      <c r="BK261" s="618"/>
      <c r="BL261" s="553"/>
      <c r="BM261" s="618"/>
      <c r="BN261" s="618"/>
      <c r="BO261" s="618"/>
    </row>
    <row r="262" spans="1:67" ht="13" hidden="1">
      <c r="A262" s="664" t="s">
        <v>684</v>
      </c>
      <c r="B262" s="325">
        <v>51</v>
      </c>
      <c r="C262" s="325">
        <v>112012528</v>
      </c>
      <c r="D262" s="1392" t="str">
        <f t="shared" si="69"/>
        <v>ORTIZ JOAQUIN</v>
      </c>
      <c r="G262" s="325" t="s">
        <v>233</v>
      </c>
      <c r="H262" s="325">
        <v>18</v>
      </c>
      <c r="I262" s="325">
        <v>112012260</v>
      </c>
      <c r="J262" s="1393" t="e">
        <f t="shared" si="70"/>
        <v>#N/A</v>
      </c>
      <c r="M262" s="664" t="s">
        <v>562</v>
      </c>
      <c r="N262" s="324">
        <v>18</v>
      </c>
      <c r="O262" s="325">
        <v>112014643</v>
      </c>
      <c r="P262" s="1392" t="str">
        <f t="shared" si="71"/>
        <v>MASCOPET SRL</v>
      </c>
      <c r="R262" s="664" t="s">
        <v>277</v>
      </c>
      <c r="S262" s="324">
        <v>22</v>
      </c>
      <c r="T262" s="325">
        <v>112013997</v>
      </c>
      <c r="U262" s="1392" t="e">
        <f t="shared" si="72"/>
        <v>#N/A</v>
      </c>
      <c r="W262" s="664" t="s">
        <v>240</v>
      </c>
      <c r="X262" s="324">
        <v>1</v>
      </c>
      <c r="Y262" s="325">
        <v>112014384</v>
      </c>
      <c r="Z262" s="1392" t="str">
        <f t="shared" si="73"/>
        <v>SCIPIONI HUGO LUIS</v>
      </c>
      <c r="AB262" s="664" t="s">
        <v>959</v>
      </c>
      <c r="AC262" s="325">
        <v>1</v>
      </c>
      <c r="AD262" s="325">
        <v>112014690</v>
      </c>
      <c r="AE262" s="1392" t="e">
        <f t="shared" si="74"/>
        <v>#N/A</v>
      </c>
      <c r="AF262" s="302"/>
      <c r="AG262" s="325" t="s">
        <v>1301</v>
      </c>
      <c r="AH262" s="325">
        <v>22</v>
      </c>
      <c r="AI262" s="325">
        <v>112014454</v>
      </c>
      <c r="AJ262" s="799" t="str">
        <f t="shared" si="75"/>
        <v>NUTRIJO AGROSERVICIOS S. R. L.</v>
      </c>
      <c r="AL262" s="323" t="s">
        <v>1214</v>
      </c>
      <c r="AM262" s="325">
        <v>4</v>
      </c>
      <c r="AN262" s="325">
        <v>112014204</v>
      </c>
      <c r="AO262" s="1394" t="e">
        <f t="shared" si="76"/>
        <v>#N/A</v>
      </c>
      <c r="AQ262" s="1395" t="s">
        <v>1070</v>
      </c>
      <c r="AR262" s="325">
        <v>1</v>
      </c>
      <c r="AS262" s="325">
        <v>112011474</v>
      </c>
      <c r="AT262" s="1397" t="str">
        <f t="shared" si="77"/>
        <v>PAGANO NANCY MABEL</v>
      </c>
      <c r="AU262" s="302"/>
      <c r="AV262" s="302"/>
      <c r="AW262" s="664" t="s">
        <v>1460</v>
      </c>
      <c r="AX262" s="325">
        <v>22</v>
      </c>
      <c r="AY262" s="325">
        <v>112014478</v>
      </c>
      <c r="AZ262" s="1392" t="str">
        <f t="shared" si="78"/>
        <v>PACZKO E HIJOS S.R.L</v>
      </c>
      <c r="BA262" s="302"/>
      <c r="BB262" s="664" t="s">
        <v>948</v>
      </c>
      <c r="BC262" s="325">
        <v>20</v>
      </c>
      <c r="BD262" s="325">
        <v>112013513</v>
      </c>
      <c r="BE262" s="1392" t="str">
        <f t="shared" si="79"/>
        <v>OSELLA OSCAR EUGENIO 2</v>
      </c>
      <c r="BF262" s="618"/>
      <c r="BG262" s="553"/>
      <c r="BH262" s="294"/>
      <c r="BI262" s="618"/>
      <c r="BJ262" s="618"/>
      <c r="BK262" s="618"/>
      <c r="BL262" s="553"/>
      <c r="BM262" s="618"/>
      <c r="BN262" s="618"/>
      <c r="BO262" s="618"/>
    </row>
    <row r="263" spans="1:67" ht="13" hidden="1">
      <c r="A263" s="664" t="s">
        <v>789</v>
      </c>
      <c r="B263" s="325">
        <v>1</v>
      </c>
      <c r="C263" s="325">
        <v>112012840</v>
      </c>
      <c r="D263" s="1392" t="str">
        <f t="shared" si="69"/>
        <v>PAWELEK MARCELO OSCAR</v>
      </c>
      <c r="G263" s="325" t="s">
        <v>132</v>
      </c>
      <c r="H263" s="325">
        <v>18</v>
      </c>
      <c r="I263" s="325">
        <v>112014612</v>
      </c>
      <c r="J263" s="1393" t="str">
        <f t="shared" si="70"/>
        <v>LUGANO VALERIA LUGANO</v>
      </c>
      <c r="M263" s="664" t="s">
        <v>647</v>
      </c>
      <c r="N263" s="324">
        <v>1</v>
      </c>
      <c r="O263" s="325">
        <v>112011763</v>
      </c>
      <c r="P263" s="1392" t="str">
        <f t="shared" si="71"/>
        <v>MEDIAVILLA SERGIO FABIAN</v>
      </c>
      <c r="R263" s="664" t="s">
        <v>290</v>
      </c>
      <c r="S263" s="324">
        <v>20</v>
      </c>
      <c r="T263" s="325">
        <v>112011454</v>
      </c>
      <c r="U263" s="1392" t="str">
        <f t="shared" si="72"/>
        <v>SOTO MIRTA SUSANA</v>
      </c>
      <c r="W263" s="664" t="s">
        <v>487</v>
      </c>
      <c r="X263" s="324">
        <v>1</v>
      </c>
      <c r="Y263" s="325">
        <v>112013042</v>
      </c>
      <c r="Z263" s="1392" t="e">
        <f t="shared" si="73"/>
        <v>#N/A</v>
      </c>
      <c r="AB263" s="664" t="s">
        <v>972</v>
      </c>
      <c r="AC263" s="325">
        <v>1</v>
      </c>
      <c r="AD263" s="325">
        <v>112012953</v>
      </c>
      <c r="AE263" s="1392" t="e">
        <f t="shared" si="74"/>
        <v>#N/A</v>
      </c>
      <c r="AF263" s="302"/>
      <c r="AG263" s="325" t="s">
        <v>1302</v>
      </c>
      <c r="AH263" s="325">
        <v>22</v>
      </c>
      <c r="AI263" s="325">
        <v>112012506</v>
      </c>
      <c r="AJ263" s="799" t="str">
        <f t="shared" si="75"/>
        <v>OCAMPO NICOLAS RUFINO</v>
      </c>
      <c r="AL263" s="323" t="s">
        <v>1242</v>
      </c>
      <c r="AM263" s="325">
        <v>4</v>
      </c>
      <c r="AN263" s="325">
        <v>112014212</v>
      </c>
      <c r="AO263" s="1394" t="e">
        <f t="shared" si="76"/>
        <v>#N/A</v>
      </c>
      <c r="AQ263" s="1395" t="s">
        <v>1018</v>
      </c>
      <c r="AR263" s="325">
        <v>22</v>
      </c>
      <c r="AS263" s="325">
        <v>112013501</v>
      </c>
      <c r="AT263" s="1397" t="str">
        <f t="shared" si="77"/>
        <v>PALAZZOLO JAVIER OMAR</v>
      </c>
      <c r="AU263" s="302"/>
      <c r="AV263" s="302"/>
      <c r="AW263" s="664" t="s">
        <v>1476</v>
      </c>
      <c r="AX263" s="325">
        <v>1</v>
      </c>
      <c r="AY263" s="325">
        <v>112013920</v>
      </c>
      <c r="AZ263" s="1392" t="str">
        <f t="shared" si="78"/>
        <v>PAPALEO GISELA</v>
      </c>
      <c r="BA263" s="302"/>
      <c r="BB263" s="664" t="s">
        <v>1422</v>
      </c>
      <c r="BC263" s="325">
        <v>7</v>
      </c>
      <c r="BD263" s="325">
        <v>112014501</v>
      </c>
      <c r="BE263" s="1392" t="str">
        <f t="shared" si="79"/>
        <v>OSVALDO DANIEL GARCIA MAZZOLA</v>
      </c>
      <c r="BF263" s="618"/>
      <c r="BG263" s="553"/>
      <c r="BH263" s="294"/>
      <c r="BI263" s="618"/>
      <c r="BJ263" s="618"/>
      <c r="BK263" s="618"/>
      <c r="BL263" s="553"/>
      <c r="BM263" s="618"/>
      <c r="BN263" s="618"/>
      <c r="BO263" s="618"/>
    </row>
    <row r="264" spans="1:67" ht="13" hidden="1">
      <c r="A264" s="664" t="s">
        <v>720</v>
      </c>
      <c r="B264" s="325">
        <v>18</v>
      </c>
      <c r="C264" s="325">
        <v>112013819</v>
      </c>
      <c r="D264" s="1392" t="str">
        <f t="shared" si="69"/>
        <v>PETS FOOD</v>
      </c>
      <c r="G264" s="325" t="s">
        <v>133</v>
      </c>
      <c r="H264" s="325">
        <v>18</v>
      </c>
      <c r="I264" s="325">
        <v>112012402</v>
      </c>
      <c r="J264" s="1393" t="str">
        <f t="shared" si="70"/>
        <v>MALDONADO EDUARDO OSCAR</v>
      </c>
      <c r="M264" s="664" t="s">
        <v>632</v>
      </c>
      <c r="N264" s="324">
        <v>4</v>
      </c>
      <c r="O264" s="325">
        <v>112013449</v>
      </c>
      <c r="P264" s="1392" t="str">
        <f t="shared" si="71"/>
        <v>MELIENDRES JUAN CRUZ</v>
      </c>
      <c r="R264" s="664" t="s">
        <v>303</v>
      </c>
      <c r="S264" s="324">
        <v>4</v>
      </c>
      <c r="T264" s="325">
        <v>112014725</v>
      </c>
      <c r="U264" s="1392" t="str">
        <f t="shared" si="72"/>
        <v>STIER ALAN ROMAN</v>
      </c>
      <c r="W264" s="664" t="s">
        <v>467</v>
      </c>
      <c r="X264" s="324">
        <v>1</v>
      </c>
      <c r="Y264" s="325">
        <v>112012343</v>
      </c>
      <c r="Z264" s="1392" t="str">
        <f t="shared" si="73"/>
        <v>SILVESTRI MARCELA INES</v>
      </c>
      <c r="AB264" s="664" t="s">
        <v>864</v>
      </c>
      <c r="AC264" s="325">
        <v>22</v>
      </c>
      <c r="AD264" s="325">
        <v>112013328</v>
      </c>
      <c r="AE264" s="1392" t="str">
        <f t="shared" si="74"/>
        <v>SANDRA MARCOS MARTIN</v>
      </c>
      <c r="AF264" s="302"/>
      <c r="AG264" s="325" t="s">
        <v>1303</v>
      </c>
      <c r="AH264" s="325">
        <v>22</v>
      </c>
      <c r="AI264" s="325">
        <v>112011830</v>
      </c>
      <c r="AJ264" s="799" t="str">
        <f t="shared" si="75"/>
        <v>ORTEGA JULIO CESAR</v>
      </c>
      <c r="AL264" s="323" t="s">
        <v>1149</v>
      </c>
      <c r="AM264" s="325">
        <v>4</v>
      </c>
      <c r="AN264" s="325">
        <v>112014214</v>
      </c>
      <c r="AO264" s="1394" t="str">
        <f t="shared" si="76"/>
        <v>IBAÑEZ GASTON LEONARDO</v>
      </c>
      <c r="AQ264" s="1395" t="s">
        <v>1079</v>
      </c>
      <c r="AR264" s="325">
        <v>1</v>
      </c>
      <c r="AS264" s="325">
        <v>112012717</v>
      </c>
      <c r="AT264" s="1397" t="str">
        <f t="shared" si="77"/>
        <v>PARDO CARLOS ESTEBAN</v>
      </c>
      <c r="AU264" s="302"/>
      <c r="AV264" s="302"/>
      <c r="AW264" s="664" t="s">
        <v>1461</v>
      </c>
      <c r="AX264" s="325">
        <v>22</v>
      </c>
      <c r="AY264" s="325">
        <v>112011902</v>
      </c>
      <c r="AZ264" s="1392" t="str">
        <f t="shared" si="78"/>
        <v>PARADA MARIA VIRGINIA</v>
      </c>
      <c r="BA264" s="302"/>
      <c r="BB264" s="664" t="s">
        <v>1444</v>
      </c>
      <c r="BC264" s="325">
        <v>22</v>
      </c>
      <c r="BD264" s="325">
        <v>112013698</v>
      </c>
      <c r="BE264" s="1392" t="str">
        <f t="shared" si="79"/>
        <v>PARDO JOSE MARIA</v>
      </c>
      <c r="BF264" s="618"/>
      <c r="BG264" s="553"/>
      <c r="BH264" s="294"/>
      <c r="BI264" s="618"/>
      <c r="BJ264" s="618"/>
      <c r="BK264" s="618"/>
      <c r="BL264" s="553"/>
      <c r="BM264" s="618"/>
      <c r="BN264" s="618"/>
      <c r="BO264" s="618"/>
    </row>
    <row r="265" spans="1:67" ht="13" hidden="1">
      <c r="A265" s="664" t="s">
        <v>710</v>
      </c>
      <c r="B265" s="325">
        <v>22</v>
      </c>
      <c r="C265" s="325">
        <v>112014592</v>
      </c>
      <c r="D265" s="1392" t="str">
        <f t="shared" si="69"/>
        <v>PILAT LIONEL MAXIMILIANO</v>
      </c>
      <c r="G265" s="325" t="s">
        <v>198</v>
      </c>
      <c r="H265" s="325">
        <v>1</v>
      </c>
      <c r="I265" s="325">
        <v>112010909</v>
      </c>
      <c r="J265" s="1393" t="str">
        <f t="shared" si="70"/>
        <v>MALM GREEN GUILLERMO</v>
      </c>
      <c r="M265" s="664" t="s">
        <v>591</v>
      </c>
      <c r="N265" s="324">
        <v>4</v>
      </c>
      <c r="O265" s="325">
        <v>112014394</v>
      </c>
      <c r="P265" s="1392" t="str">
        <f t="shared" si="71"/>
        <v>MENDEZ LORENA FRANCISCA SAMANTA</v>
      </c>
      <c r="R265" s="664" t="s">
        <v>343</v>
      </c>
      <c r="S265" s="324">
        <v>1</v>
      </c>
      <c r="T265" s="325">
        <v>112012283</v>
      </c>
      <c r="U265" s="1392" t="str">
        <f t="shared" si="72"/>
        <v>TIRADO SILVINA MABEL</v>
      </c>
      <c r="W265" s="664" t="s">
        <v>468</v>
      </c>
      <c r="X265" s="324">
        <v>1</v>
      </c>
      <c r="Y265" s="325">
        <v>112012346</v>
      </c>
      <c r="Z265" s="1392" t="str">
        <f t="shared" si="73"/>
        <v>SOCIEDAD RURAL CAÑUELAS</v>
      </c>
      <c r="AB265" s="664" t="s">
        <v>957</v>
      </c>
      <c r="AC265" s="325">
        <v>4</v>
      </c>
      <c r="AD265" s="325">
        <v>112012303</v>
      </c>
      <c r="AE265" s="1392" t="e">
        <f t="shared" si="74"/>
        <v>#N/A</v>
      </c>
      <c r="AF265" s="302"/>
      <c r="AG265" s="325" t="s">
        <v>1350</v>
      </c>
      <c r="AH265" s="325">
        <v>1</v>
      </c>
      <c r="AI265" s="325">
        <v>112014410</v>
      </c>
      <c r="AJ265" s="799" t="str">
        <f t="shared" si="75"/>
        <v>ORTELLADO GUILLERMO NURI</v>
      </c>
      <c r="AL265" s="323" t="s">
        <v>1150</v>
      </c>
      <c r="AM265" s="325">
        <v>4</v>
      </c>
      <c r="AN265" s="325">
        <v>112014243</v>
      </c>
      <c r="AO265" s="1394" t="str">
        <f t="shared" si="76"/>
        <v>NAINSZTEIN VANINA</v>
      </c>
      <c r="AQ265" s="1395" t="s">
        <v>1100</v>
      </c>
      <c r="AR265" s="325">
        <v>4</v>
      </c>
      <c r="AS265" s="325">
        <v>112014694</v>
      </c>
      <c r="AT265" s="1397" t="e">
        <f t="shared" si="77"/>
        <v>#N/A</v>
      </c>
      <c r="AU265" s="302"/>
      <c r="AV265" s="302"/>
      <c r="AW265" s="664" t="s">
        <v>1444</v>
      </c>
      <c r="AX265" s="325">
        <v>22</v>
      </c>
      <c r="AY265" s="325">
        <v>112014342</v>
      </c>
      <c r="AZ265" s="1392" t="str">
        <f t="shared" si="78"/>
        <v>PARDO JOSE MARIA</v>
      </c>
      <c r="BA265" s="302"/>
      <c r="BB265" s="664" t="s">
        <v>1445</v>
      </c>
      <c r="BC265" s="325">
        <v>22</v>
      </c>
      <c r="BD265" s="325">
        <v>112013982</v>
      </c>
      <c r="BE265" s="1392" t="str">
        <f t="shared" si="79"/>
        <v>PEREZ RAMIRO ESTEBAN</v>
      </c>
      <c r="BF265" s="618"/>
      <c r="BG265" s="553"/>
      <c r="BH265" s="294"/>
      <c r="BI265" s="618"/>
      <c r="BJ265" s="618"/>
      <c r="BK265" s="618"/>
      <c r="BL265" s="553"/>
      <c r="BM265" s="618"/>
      <c r="BN265" s="618"/>
      <c r="BO265" s="618"/>
    </row>
    <row r="266" spans="1:67" ht="13" hidden="1">
      <c r="A266" s="664" t="s">
        <v>762</v>
      </c>
      <c r="B266" s="325">
        <v>4</v>
      </c>
      <c r="C266" s="325">
        <v>112013268</v>
      </c>
      <c r="D266" s="1392" t="str">
        <f t="shared" si="69"/>
        <v>PIPITO RUBEN/ PIPITO CTA 2</v>
      </c>
      <c r="G266" s="325" t="s">
        <v>106</v>
      </c>
      <c r="H266" s="325">
        <v>22</v>
      </c>
      <c r="I266" s="325">
        <v>112014462</v>
      </c>
      <c r="J266" s="1393" t="str">
        <f t="shared" si="70"/>
        <v>MAMANI NADIA LUCIANA</v>
      </c>
      <c r="M266" s="664" t="s">
        <v>563</v>
      </c>
      <c r="N266" s="324">
        <v>18</v>
      </c>
      <c r="O266" s="325">
        <v>112014327</v>
      </c>
      <c r="P266" s="1392" t="str">
        <f t="shared" si="71"/>
        <v>MERCADO MARTIN ARIEL</v>
      </c>
      <c r="R266" s="664" t="s">
        <v>281</v>
      </c>
      <c r="S266" s="324">
        <v>22</v>
      </c>
      <c r="T266" s="325">
        <v>112013447</v>
      </c>
      <c r="U266" s="1392" t="str">
        <f t="shared" si="72"/>
        <v>TROBIA LAURA CECILIA</v>
      </c>
      <c r="W266" s="664" t="s">
        <v>440</v>
      </c>
      <c r="X266" s="324">
        <v>22</v>
      </c>
      <c r="Y266" s="325">
        <v>112013497</v>
      </c>
      <c r="Z266" s="1392" t="str">
        <f t="shared" si="73"/>
        <v>TOZZI FLORENCIA PAOLA</v>
      </c>
      <c r="AB266" s="664" t="s">
        <v>851</v>
      </c>
      <c r="AC266" s="325">
        <v>7</v>
      </c>
      <c r="AD266" s="325">
        <v>112014033</v>
      </c>
      <c r="AE266" s="1392" t="str">
        <f t="shared" si="74"/>
        <v>SCASSO NOELIA SOLEDAD</v>
      </c>
      <c r="AF266" s="302"/>
      <c r="AG266" s="325" t="s">
        <v>1368</v>
      </c>
      <c r="AH266" s="325">
        <v>1</v>
      </c>
      <c r="AI266" s="325">
        <v>112012692</v>
      </c>
      <c r="AJ266" s="799" t="str">
        <f t="shared" si="75"/>
        <v>ORTIZ TORRES LIZ GRISELDA</v>
      </c>
      <c r="AL266" s="323" t="s">
        <v>1239</v>
      </c>
      <c r="AM266" s="325">
        <v>4</v>
      </c>
      <c r="AN266" s="325">
        <v>112014266</v>
      </c>
      <c r="AO266" s="1394" t="e">
        <f t="shared" si="76"/>
        <v>#N/A</v>
      </c>
      <c r="AQ266" s="1395" t="s">
        <v>1005</v>
      </c>
      <c r="AR266" s="325">
        <v>31</v>
      </c>
      <c r="AS266" s="325">
        <v>112010400</v>
      </c>
      <c r="AT266" s="1397" t="str">
        <f t="shared" si="77"/>
        <v>PICHIRILO CARLOS DAVID</v>
      </c>
      <c r="AU266" s="302"/>
      <c r="AV266" s="302"/>
      <c r="AW266" s="664" t="s">
        <v>1445</v>
      </c>
      <c r="AX266" s="325">
        <v>22</v>
      </c>
      <c r="AY266" s="325">
        <v>112013858</v>
      </c>
      <c r="AZ266" s="1392" t="str">
        <f t="shared" si="78"/>
        <v>PEREZ RAMIRO ESTEBAN</v>
      </c>
      <c r="BA266" s="302"/>
      <c r="BB266" s="664" t="s">
        <v>1446</v>
      </c>
      <c r="BC266" s="325">
        <v>22</v>
      </c>
      <c r="BD266" s="325">
        <v>112014342</v>
      </c>
      <c r="BE266" s="1392" t="str">
        <f t="shared" si="79"/>
        <v>PICOLINI MARCELO GERONIMO</v>
      </c>
      <c r="BF266" s="618"/>
      <c r="BG266" s="553"/>
      <c r="BH266" s="294"/>
      <c r="BI266" s="618"/>
      <c r="BJ266" s="618"/>
      <c r="BK266" s="618"/>
      <c r="BL266" s="553"/>
      <c r="BM266" s="618"/>
      <c r="BN266" s="618"/>
      <c r="BO266" s="618"/>
    </row>
    <row r="267" spans="1:67" ht="13" hidden="1">
      <c r="A267" s="664" t="s">
        <v>790</v>
      </c>
      <c r="B267" s="325">
        <v>1</v>
      </c>
      <c r="C267" s="325">
        <v>112013196</v>
      </c>
      <c r="D267" s="1392" t="str">
        <f t="shared" si="69"/>
        <v>PODESTA CELINA</v>
      </c>
      <c r="G267" s="325" t="s">
        <v>97</v>
      </c>
      <c r="H267" s="325">
        <v>7</v>
      </c>
      <c r="I267" s="325">
        <v>112014541</v>
      </c>
      <c r="J267" s="1393" t="str">
        <f t="shared" si="70"/>
        <v>MARIA CECILIA SALUZZO</v>
      </c>
      <c r="M267" s="664" t="s">
        <v>536</v>
      </c>
      <c r="N267" s="324">
        <v>7</v>
      </c>
      <c r="O267" s="325">
        <v>112014077</v>
      </c>
      <c r="P267" s="1392" t="str">
        <f t="shared" si="71"/>
        <v>MOLINARI GISELA VANINA</v>
      </c>
      <c r="R267" s="664" t="s">
        <v>344</v>
      </c>
      <c r="S267" s="324">
        <v>1</v>
      </c>
      <c r="T267" s="325">
        <v>112012051</v>
      </c>
      <c r="U267" s="1392" t="str">
        <f t="shared" si="72"/>
        <v>TUOZZO GUILLERMO RICARDO</v>
      </c>
      <c r="W267" s="664" t="s">
        <v>415</v>
      </c>
      <c r="X267" s="324">
        <v>7</v>
      </c>
      <c r="Y267" s="325">
        <v>112011977</v>
      </c>
      <c r="Z267" s="1392" t="str">
        <f t="shared" si="73"/>
        <v>TRUSZKOWSKI GUILLERMO</v>
      </c>
      <c r="AB267" s="664" t="s">
        <v>971</v>
      </c>
      <c r="AC267" s="325">
        <v>1</v>
      </c>
      <c r="AD267" s="325">
        <v>112014072</v>
      </c>
      <c r="AE267" s="1392" t="e">
        <f t="shared" si="74"/>
        <v>#N/A</v>
      </c>
      <c r="AF267" s="302"/>
      <c r="AG267" s="325" t="s">
        <v>1280</v>
      </c>
      <c r="AH267" s="325">
        <v>7</v>
      </c>
      <c r="AI267" s="325">
        <v>112013308</v>
      </c>
      <c r="AJ267" s="799" t="str">
        <f t="shared" si="75"/>
        <v>PANDA PAMPA S.A.</v>
      </c>
      <c r="AL267" s="323" t="s">
        <v>1133</v>
      </c>
      <c r="AM267" s="325">
        <v>22</v>
      </c>
      <c r="AN267" s="325">
        <v>112014268</v>
      </c>
      <c r="AO267" s="1394" t="str">
        <f t="shared" si="76"/>
        <v>MENDEZ AGUSTINA</v>
      </c>
      <c r="AQ267" s="1395" t="s">
        <v>1043</v>
      </c>
      <c r="AR267" s="325">
        <v>6</v>
      </c>
      <c r="AS267" s="325">
        <v>112013097</v>
      </c>
      <c r="AT267" s="1397" t="str">
        <f t="shared" si="77"/>
        <v>PORTILLO ANGEL GERARDO</v>
      </c>
      <c r="AU267" s="302"/>
      <c r="AV267" s="302"/>
      <c r="AW267" s="664" t="s">
        <v>1409</v>
      </c>
      <c r="AX267" s="325">
        <v>31</v>
      </c>
      <c r="AY267" s="325">
        <v>112014712</v>
      </c>
      <c r="AZ267" s="1392" t="str">
        <f t="shared" si="78"/>
        <v>PERON MELINA</v>
      </c>
      <c r="BA267" s="302"/>
      <c r="BB267" s="664" t="s">
        <v>1533</v>
      </c>
      <c r="BC267" s="325">
        <v>22</v>
      </c>
      <c r="BD267" s="325">
        <v>112013858</v>
      </c>
      <c r="BE267" s="1392" t="str">
        <f t="shared" si="79"/>
        <v>PIGUEIRAS DIEGO FERNANDO</v>
      </c>
      <c r="BF267" s="618"/>
      <c r="BG267" s="553"/>
      <c r="BH267" s="294"/>
      <c r="BI267" s="618"/>
      <c r="BJ267" s="618"/>
      <c r="BK267" s="618"/>
      <c r="BL267" s="553"/>
      <c r="BM267" s="618"/>
      <c r="BN267" s="618"/>
      <c r="BO267" s="618"/>
    </row>
    <row r="268" spans="1:67" ht="13" hidden="1">
      <c r="A268" s="664" t="s">
        <v>791</v>
      </c>
      <c r="B268" s="325">
        <v>1</v>
      </c>
      <c r="C268" s="325">
        <v>112012875</v>
      </c>
      <c r="D268" s="1392" t="str">
        <f t="shared" si="69"/>
        <v>PORTINARI EDUARDO DANIEL</v>
      </c>
      <c r="G268" s="325" t="s">
        <v>126</v>
      </c>
      <c r="H268" s="325">
        <v>4</v>
      </c>
      <c r="I268" s="325">
        <v>112014632</v>
      </c>
      <c r="J268" s="1393" t="str">
        <f t="shared" si="70"/>
        <v>MARIA FLORENCIA PEREZ</v>
      </c>
      <c r="M268" s="664" t="s">
        <v>542</v>
      </c>
      <c r="N268" s="324">
        <v>22</v>
      </c>
      <c r="O268" s="325">
        <v>112012487</v>
      </c>
      <c r="P268" s="1392" t="str">
        <f t="shared" si="71"/>
        <v>MONJES MAURO JESUS</v>
      </c>
      <c r="R268" s="664" t="s">
        <v>278</v>
      </c>
      <c r="S268" s="324">
        <v>22</v>
      </c>
      <c r="T268" s="325">
        <v>112014271</v>
      </c>
      <c r="U268" s="1392" t="e">
        <f t="shared" si="72"/>
        <v>#N/A</v>
      </c>
      <c r="W268" s="664" t="s">
        <v>477</v>
      </c>
      <c r="X268" s="324"/>
      <c r="Y268" s="325">
        <v>112011841</v>
      </c>
      <c r="Z268" s="1392" t="str">
        <f t="shared" si="73"/>
        <v>VERGARA MARCOS AUGUSTO</v>
      </c>
      <c r="AB268" s="664" t="s">
        <v>857</v>
      </c>
      <c r="AC268" s="325">
        <v>22</v>
      </c>
      <c r="AD268" s="325">
        <v>112012392</v>
      </c>
      <c r="AE268" s="1392" t="e">
        <f t="shared" si="74"/>
        <v>#N/A</v>
      </c>
      <c r="AF268" s="302"/>
      <c r="AG268" s="325" t="s">
        <v>1261</v>
      </c>
      <c r="AH268" s="325">
        <v>10</v>
      </c>
      <c r="AI268" s="325">
        <v>112014350</v>
      </c>
      <c r="AJ268" s="799" t="str">
        <f t="shared" si="75"/>
        <v>PHANTIMON S.A</v>
      </c>
      <c r="AL268" s="323" t="s">
        <v>1202</v>
      </c>
      <c r="AM268" s="325">
        <v>4</v>
      </c>
      <c r="AN268" s="325">
        <v>112014302</v>
      </c>
      <c r="AO268" s="1394" t="e">
        <f t="shared" si="76"/>
        <v>#N/A</v>
      </c>
      <c r="AQ268" s="1395" t="s">
        <v>1032</v>
      </c>
      <c r="AR268" s="325">
        <v>1</v>
      </c>
      <c r="AS268" s="325">
        <v>112014747</v>
      </c>
      <c r="AT268" s="1397" t="str">
        <f t="shared" si="77"/>
        <v>PRADO TREJO MILAGROS ANAHI</v>
      </c>
      <c r="AU268" s="302"/>
      <c r="AV268" s="302"/>
      <c r="AW268" s="664" t="s">
        <v>1446</v>
      </c>
      <c r="AX268" s="325">
        <v>22</v>
      </c>
      <c r="AY268" s="325">
        <v>112013865</v>
      </c>
      <c r="AZ268" s="1392" t="str">
        <f t="shared" si="78"/>
        <v>PICOLINI MARCELO GERONIMO</v>
      </c>
      <c r="BA268" s="302"/>
      <c r="BB268" s="664" t="s">
        <v>1447</v>
      </c>
      <c r="BC268" s="325">
        <v>22</v>
      </c>
      <c r="BD268" s="325">
        <v>112013865</v>
      </c>
      <c r="BE268" s="1392" t="str">
        <f t="shared" si="79"/>
        <v>PINEDO SABRINA</v>
      </c>
      <c r="BF268" s="618"/>
      <c r="BG268" s="553"/>
      <c r="BH268" s="294"/>
      <c r="BI268" s="618"/>
      <c r="BJ268" s="618"/>
      <c r="BK268" s="618"/>
      <c r="BL268" s="553"/>
      <c r="BM268" s="618"/>
      <c r="BN268" s="618"/>
      <c r="BO268" s="618"/>
    </row>
    <row r="269" spans="1:67" ht="13" hidden="1">
      <c r="A269" s="664" t="s">
        <v>792</v>
      </c>
      <c r="B269" s="325">
        <v>1</v>
      </c>
      <c r="C269" s="325">
        <v>112012083</v>
      </c>
      <c r="D269" s="1392" t="str">
        <f t="shared" ref="D269:D300" si="80">VLOOKUP(C269,buelafin,13,FALSE)</f>
        <v>QUIMICA A.P.M. S.A.</v>
      </c>
      <c r="G269" s="325" t="s">
        <v>120</v>
      </c>
      <c r="H269" s="325">
        <v>4</v>
      </c>
      <c r="I269" s="325">
        <v>112014700</v>
      </c>
      <c r="J269" s="1393" t="str">
        <f t="shared" ref="J269:J300" si="81">VLOOKUP(I269,bassfin,13,FALSE)</f>
        <v>MARISOL GUADALUPE RUIZ/CTA2</v>
      </c>
      <c r="M269" s="664" t="s">
        <v>539</v>
      </c>
      <c r="N269" s="324">
        <v>7</v>
      </c>
      <c r="O269" s="325">
        <v>112014744</v>
      </c>
      <c r="P269" s="1392" t="str">
        <f t="shared" ref="P269:P300" si="82">VLOOKUP(O269,LAGEFIN,13,FALSE)</f>
        <v>MORENO SANDRA MARCELA</v>
      </c>
      <c r="R269" s="664" t="s">
        <v>279</v>
      </c>
      <c r="S269" s="324">
        <v>22</v>
      </c>
      <c r="T269" s="325">
        <v>112014187</v>
      </c>
      <c r="U269" s="1392" t="str">
        <f t="shared" ref="U269:U300" si="83">VLOOKUP(T269,calofin,9,FALSE)</f>
        <v>VETERINARIA SAN NARCISO SRL</v>
      </c>
      <c r="W269" s="664" t="s">
        <v>441</v>
      </c>
      <c r="X269" s="324">
        <v>22</v>
      </c>
      <c r="Y269" s="325">
        <v>112013742</v>
      </c>
      <c r="Z269" s="1392" t="str">
        <f t="shared" ref="Z269:Z300" si="84">VLOOKUP(Y269,RETAMFIN,9,FALSE)</f>
        <v>VETERINARIA MV</v>
      </c>
      <c r="AB269" s="664" t="s">
        <v>845</v>
      </c>
      <c r="AC269" s="325">
        <v>31</v>
      </c>
      <c r="AD269" s="325">
        <v>112011677</v>
      </c>
      <c r="AE269" s="1392" t="e">
        <f t="shared" ref="AE269:AE300" si="85">VLOOKUP(AD269,VARGASFIN,13,FALSE)</f>
        <v>#N/A</v>
      </c>
      <c r="AF269" s="302"/>
      <c r="AG269" s="325" t="s">
        <v>1351</v>
      </c>
      <c r="AH269" s="325">
        <v>1</v>
      </c>
      <c r="AI269" s="325">
        <v>112013188</v>
      </c>
      <c r="AJ269" s="799" t="str">
        <f t="shared" ref="AJ269:AJ300" si="86">VLOOKUP(AI269,MONTENEFIN,9,FALSE)</f>
        <v>PISERA PABLO MIGUEL</v>
      </c>
      <c r="AL269" s="323" t="s">
        <v>1119</v>
      </c>
      <c r="AM269" s="325">
        <v>1</v>
      </c>
      <c r="AN269" s="325">
        <v>112014306</v>
      </c>
      <c r="AO269" s="1394" t="e">
        <f t="shared" ref="AO269:AO300" si="87">VLOOKUP(AN269,MARUCAFIN,13,FALSE)</f>
        <v>#N/A</v>
      </c>
      <c r="AQ269" s="1395" t="s">
        <v>1086</v>
      </c>
      <c r="AR269" s="325">
        <v>1</v>
      </c>
      <c r="AS269" s="325">
        <v>112014021</v>
      </c>
      <c r="AT269" s="1397" t="str">
        <f t="shared" ref="AT269:AT300" si="88">VLOOKUP(AS269,ARRIOLFIN,13,FALSE)</f>
        <v>RABAZZANO FERNANDO JAVIER</v>
      </c>
      <c r="AU269" s="302"/>
      <c r="AV269" s="302"/>
      <c r="AW269" s="664" t="s">
        <v>1447</v>
      </c>
      <c r="AX269" s="325">
        <v>22</v>
      </c>
      <c r="AY269" s="325">
        <v>112014400</v>
      </c>
      <c r="AZ269" s="1392" t="str">
        <f t="shared" ref="AZ269:AZ300" si="89">VLOOKUP(AY269,LAVENIAFIN,13,FALSE)</f>
        <v>PINEDO SABRINA</v>
      </c>
      <c r="BA269" s="302"/>
      <c r="BB269" s="664" t="s">
        <v>1269</v>
      </c>
      <c r="BC269" s="325">
        <v>12</v>
      </c>
      <c r="BD269" s="325">
        <v>112013984</v>
      </c>
      <c r="BE269" s="1392" t="str">
        <f t="shared" ref="BE269:BE300" si="90">VLOOKUP(BD269,rotelafin,6,FALSE)</f>
        <v>PLAZIBAT MARIA LAURA</v>
      </c>
      <c r="BF269" s="618"/>
      <c r="BG269" s="553"/>
      <c r="BH269" s="294"/>
      <c r="BI269" s="618"/>
      <c r="BJ269" s="618"/>
      <c r="BK269" s="618"/>
      <c r="BL269" s="553"/>
      <c r="BM269" s="618"/>
      <c r="BN269" s="618"/>
      <c r="BO269" s="618"/>
    </row>
    <row r="270" spans="1:67" ht="13" hidden="1">
      <c r="A270" s="664" t="s">
        <v>687</v>
      </c>
      <c r="B270" s="325">
        <v>10</v>
      </c>
      <c r="C270" s="325">
        <v>112013581</v>
      </c>
      <c r="D270" s="1392" t="str">
        <f t="shared" si="80"/>
        <v>QUINTAS ALB/FIRUMICH</v>
      </c>
      <c r="G270" s="325" t="s">
        <v>1562</v>
      </c>
      <c r="H270" s="325">
        <v>4</v>
      </c>
      <c r="I270" s="325">
        <v>112013933</v>
      </c>
      <c r="J270" s="1393" t="str">
        <f t="shared" si="81"/>
        <v>TOBIO PABLO JAVIER</v>
      </c>
      <c r="M270" s="664" t="s">
        <v>615</v>
      </c>
      <c r="N270" s="324">
        <v>1</v>
      </c>
      <c r="O270" s="325">
        <v>112013376</v>
      </c>
      <c r="P270" s="1392" t="str">
        <f t="shared" si="82"/>
        <v>MORRA MARIANA</v>
      </c>
      <c r="R270" s="664" t="s">
        <v>295</v>
      </c>
      <c r="S270" s="324">
        <v>4</v>
      </c>
      <c r="T270" s="325">
        <v>112014634</v>
      </c>
      <c r="U270" s="1392" t="str">
        <f t="shared" si="83"/>
        <v>VOUILLOUD ARIEL ALBERTO</v>
      </c>
      <c r="W270" s="664" t="s">
        <v>490</v>
      </c>
      <c r="X270" s="324">
        <v>31</v>
      </c>
      <c r="Y270" s="325">
        <v>112011297</v>
      </c>
      <c r="Z270" s="1392" t="e">
        <f t="shared" si="84"/>
        <v>#N/A</v>
      </c>
      <c r="AB270" s="664" t="s">
        <v>980</v>
      </c>
      <c r="AC270" s="325">
        <v>1</v>
      </c>
      <c r="AD270" s="325">
        <v>112012399</v>
      </c>
      <c r="AE270" s="1392" t="e">
        <f t="shared" si="85"/>
        <v>#N/A</v>
      </c>
      <c r="AF270" s="302"/>
      <c r="AG270" s="325" t="s">
        <v>1269</v>
      </c>
      <c r="AH270" s="325">
        <v>12</v>
      </c>
      <c r="AI270" s="325">
        <v>112012353</v>
      </c>
      <c r="AJ270" s="799" t="str">
        <f t="shared" si="86"/>
        <v>PLAZIBAT MARIA LAURA</v>
      </c>
      <c r="AL270" s="323" t="s">
        <v>1203</v>
      </c>
      <c r="AM270" s="325">
        <v>4</v>
      </c>
      <c r="AN270" s="325">
        <v>112014351</v>
      </c>
      <c r="AO270" s="1394" t="e">
        <f t="shared" si="87"/>
        <v>#N/A</v>
      </c>
      <c r="AQ270" s="1395" t="s">
        <v>1015</v>
      </c>
      <c r="AR270" s="325">
        <v>22</v>
      </c>
      <c r="AS270" s="325">
        <v>112012021</v>
      </c>
      <c r="AT270" s="1397" t="str">
        <f t="shared" si="88"/>
        <v>RAFECA VANESA ANAHI</v>
      </c>
      <c r="AU270" s="302"/>
      <c r="AV270" s="302"/>
      <c r="AW270" s="664" t="s">
        <v>1403</v>
      </c>
      <c r="AX270" s="325">
        <v>28</v>
      </c>
      <c r="AY270" s="325">
        <v>112013962</v>
      </c>
      <c r="AZ270" s="1392" t="str">
        <f t="shared" si="89"/>
        <v>QUINTANA MARIANELA</v>
      </c>
      <c r="BA270" s="302"/>
      <c r="BB270" s="664" t="s">
        <v>1332</v>
      </c>
      <c r="BC270" s="325">
        <v>11</v>
      </c>
      <c r="BD270" s="325">
        <v>112014400</v>
      </c>
      <c r="BE270" s="1392" t="str">
        <f t="shared" si="90"/>
        <v>POINTIS DANIEL ROLANDO</v>
      </c>
      <c r="BF270" s="618"/>
      <c r="BG270" s="553"/>
      <c r="BH270" s="294"/>
      <c r="BI270" s="618"/>
      <c r="BJ270" s="618"/>
      <c r="BK270" s="618"/>
      <c r="BL270" s="553"/>
      <c r="BM270" s="618"/>
      <c r="BN270" s="618"/>
      <c r="BO270" s="618"/>
    </row>
    <row r="271" spans="1:67" ht="13" hidden="1">
      <c r="A271" s="664" t="s">
        <v>809</v>
      </c>
      <c r="B271" s="325"/>
      <c r="C271" s="325">
        <v>112013317</v>
      </c>
      <c r="D271" s="1392" t="str">
        <f t="shared" si="80"/>
        <v>QUIROS DIEGO ALEJANDRO</v>
      </c>
      <c r="G271" s="325" t="s">
        <v>223</v>
      </c>
      <c r="H271" s="325"/>
      <c r="I271" s="325">
        <v>112012444</v>
      </c>
      <c r="J271" s="1393" t="str">
        <f t="shared" si="81"/>
        <v>MENDEZ GRACIELA NOEMI</v>
      </c>
      <c r="M271" s="664" t="s">
        <v>592</v>
      </c>
      <c r="N271" s="324">
        <v>4</v>
      </c>
      <c r="O271" s="325">
        <v>112014702</v>
      </c>
      <c r="P271" s="1392" t="str">
        <f t="shared" si="82"/>
        <v>MOYANO MAGALI CARLA</v>
      </c>
      <c r="R271" s="664" t="s">
        <v>345</v>
      </c>
      <c r="S271" s="324">
        <v>1</v>
      </c>
      <c r="T271" s="325">
        <v>112013645</v>
      </c>
      <c r="U271" s="1392" t="str">
        <f t="shared" si="83"/>
        <v>ZANETTI MARIANO CARLOS</v>
      </c>
      <c r="W271" s="664" t="s">
        <v>442</v>
      </c>
      <c r="X271" s="324">
        <v>22</v>
      </c>
      <c r="Y271" s="325">
        <v>112012623</v>
      </c>
      <c r="Z271" s="1392" t="str">
        <f t="shared" si="84"/>
        <v>VETERINARIA VERGARA SRL</v>
      </c>
      <c r="AB271" s="664" t="s">
        <v>956</v>
      </c>
      <c r="AC271" s="325">
        <v>4</v>
      </c>
      <c r="AD271" s="325">
        <v>112010856</v>
      </c>
      <c r="AE271" s="1392" t="e">
        <f t="shared" si="85"/>
        <v>#N/A</v>
      </c>
      <c r="AF271" s="302"/>
      <c r="AG271" s="325" t="s">
        <v>1332</v>
      </c>
      <c r="AH271" s="325">
        <v>4</v>
      </c>
      <c r="AI271" s="325">
        <v>112010407</v>
      </c>
      <c r="AJ271" s="799" t="str">
        <f t="shared" si="86"/>
        <v>POINTIS DANIEL ROLANDO</v>
      </c>
      <c r="AL271" s="323" t="s">
        <v>1229</v>
      </c>
      <c r="AM271" s="325">
        <v>1</v>
      </c>
      <c r="AN271" s="325">
        <v>112014463</v>
      </c>
      <c r="AO271" s="1394" t="e">
        <f t="shared" si="87"/>
        <v>#N/A</v>
      </c>
      <c r="AQ271" s="1395" t="s">
        <v>1108</v>
      </c>
      <c r="AR271" s="325">
        <v>7</v>
      </c>
      <c r="AS271" s="325">
        <v>112013257</v>
      </c>
      <c r="AT271" s="1397" t="e">
        <f t="shared" si="88"/>
        <v>#N/A</v>
      </c>
      <c r="AU271" s="302"/>
      <c r="AV271" s="302"/>
      <c r="AW271" s="664" t="s">
        <v>1407</v>
      </c>
      <c r="AX271" s="325">
        <v>9</v>
      </c>
      <c r="AY271" s="325">
        <v>112013246</v>
      </c>
      <c r="AZ271" s="1392" t="str">
        <f t="shared" si="89"/>
        <v>ROMERO MARIA EMILIA</v>
      </c>
      <c r="BA271" s="302"/>
      <c r="BB271" s="664" t="s">
        <v>1281</v>
      </c>
      <c r="BC271" s="325">
        <v>7</v>
      </c>
      <c r="BD271" s="325">
        <v>112012353</v>
      </c>
      <c r="BE271" s="1392" t="str">
        <f t="shared" si="90"/>
        <v>PONZO SILVIA ESTEFANIA</v>
      </c>
      <c r="BF271" s="618"/>
      <c r="BG271" s="553"/>
      <c r="BH271" s="294"/>
      <c r="BI271" s="618"/>
      <c r="BJ271" s="618"/>
      <c r="BK271" s="618"/>
      <c r="BL271" s="553"/>
      <c r="BM271" s="618"/>
      <c r="BN271" s="618"/>
      <c r="BO271" s="618"/>
    </row>
    <row r="272" spans="1:67" ht="13" hidden="1">
      <c r="A272" s="664" t="s">
        <v>721</v>
      </c>
      <c r="B272" s="325">
        <v>18</v>
      </c>
      <c r="C272" s="325">
        <v>112013270</v>
      </c>
      <c r="D272" s="1392" t="str">
        <f t="shared" si="80"/>
        <v>RIEDEL MARIANO LEONEL</v>
      </c>
      <c r="G272" s="325" t="s">
        <v>199</v>
      </c>
      <c r="H272" s="325">
        <v>1</v>
      </c>
      <c r="I272" s="325">
        <v>112013883</v>
      </c>
      <c r="J272" s="1393" t="str">
        <f t="shared" si="81"/>
        <v>MENDOZA SERGIO ERNESTO</v>
      </c>
      <c r="M272" s="664" t="s">
        <v>661</v>
      </c>
      <c r="N272" s="324"/>
      <c r="O272" s="325">
        <v>112013210</v>
      </c>
      <c r="P272" s="1392" t="str">
        <f t="shared" si="82"/>
        <v>MUÑOZ JORGE SANTIAGO</v>
      </c>
      <c r="R272" s="664"/>
      <c r="S272" s="324"/>
      <c r="T272" s="325"/>
      <c r="U272" s="1392" t="e">
        <f t="shared" si="83"/>
        <v>#N/A</v>
      </c>
      <c r="W272" s="664" t="s">
        <v>457</v>
      </c>
      <c r="X272" s="324">
        <v>1</v>
      </c>
      <c r="Y272" s="325">
        <v>112010691</v>
      </c>
      <c r="Z272" s="1392" t="str">
        <f t="shared" si="84"/>
        <v>VIDAL VANINA GERALDINA</v>
      </c>
      <c r="AB272" s="664" t="s">
        <v>889</v>
      </c>
      <c r="AC272" s="325">
        <v>4</v>
      </c>
      <c r="AD272" s="325">
        <v>112012309</v>
      </c>
      <c r="AE272" s="1392" t="str">
        <f t="shared" si="85"/>
        <v>TRIBERIG SA</v>
      </c>
      <c r="AF272" s="302"/>
      <c r="AG272" s="325" t="s">
        <v>1343</v>
      </c>
      <c r="AH272" s="325">
        <v>1</v>
      </c>
      <c r="AI272" s="325">
        <v>112014456</v>
      </c>
      <c r="AJ272" s="799" t="str">
        <f t="shared" si="86"/>
        <v>POLLERO ROSANA MARIA LEONOR</v>
      </c>
      <c r="AL272" s="323" t="s">
        <v>1200</v>
      </c>
      <c r="AM272" s="325">
        <v>4</v>
      </c>
      <c r="AN272" s="325">
        <v>112014529</v>
      </c>
      <c r="AO272" s="1394" t="e">
        <f t="shared" si="87"/>
        <v>#N/A</v>
      </c>
      <c r="AQ272" s="1395" t="s">
        <v>1057</v>
      </c>
      <c r="AR272" s="325">
        <v>1</v>
      </c>
      <c r="AS272" s="325">
        <v>112013625</v>
      </c>
      <c r="AT272" s="1397" t="str">
        <f t="shared" si="88"/>
        <v>RIPOLL FERMIN</v>
      </c>
      <c r="AU272" s="302"/>
      <c r="AV272" s="302"/>
      <c r="AW272" s="664" t="s">
        <v>1501</v>
      </c>
      <c r="AX272" s="325"/>
      <c r="AY272" s="325">
        <v>112011985</v>
      </c>
      <c r="AZ272" s="1392" t="str">
        <f t="shared" si="89"/>
        <v>RUPP GUILLERMO NAZARENO</v>
      </c>
      <c r="BA272" s="302"/>
      <c r="BB272" s="664" t="s">
        <v>1282</v>
      </c>
      <c r="BC272" s="325">
        <v>7</v>
      </c>
      <c r="BD272" s="325">
        <v>112010407</v>
      </c>
      <c r="BE272" s="1392" t="str">
        <f t="shared" si="90"/>
        <v>PUIG JOSÉ ALBERTO/JULIETA AGUSTINA</v>
      </c>
      <c r="BF272" s="618"/>
      <c r="BG272" s="553"/>
      <c r="BH272" s="294"/>
      <c r="BI272" s="618"/>
      <c r="BJ272" s="618"/>
      <c r="BK272" s="618"/>
      <c r="BL272" s="553"/>
      <c r="BM272" s="618"/>
      <c r="BN272" s="618"/>
      <c r="BO272" s="618"/>
    </row>
    <row r="273" spans="1:67" ht="13" hidden="1">
      <c r="A273" s="664" t="s">
        <v>793</v>
      </c>
      <c r="B273" s="325">
        <v>1</v>
      </c>
      <c r="C273" s="325">
        <v>112011473</v>
      </c>
      <c r="D273" s="1392" t="str">
        <f t="shared" si="80"/>
        <v>RIGONE SILVANA MARIEL</v>
      </c>
      <c r="G273" s="325" t="s">
        <v>159</v>
      </c>
      <c r="H273" s="325">
        <v>4</v>
      </c>
      <c r="I273" s="325">
        <v>112013164</v>
      </c>
      <c r="J273" s="1393" t="str">
        <f t="shared" si="81"/>
        <v>MEREP LEONARDO DAVID</v>
      </c>
      <c r="M273" s="664" t="s">
        <v>593</v>
      </c>
      <c r="N273" s="324">
        <v>4</v>
      </c>
      <c r="O273" s="325">
        <v>112014367</v>
      </c>
      <c r="P273" s="1392" t="str">
        <f t="shared" si="82"/>
        <v>MUSITANI PABLO MARTIN</v>
      </c>
      <c r="R273" s="664"/>
      <c r="S273" s="324"/>
      <c r="T273" s="325"/>
      <c r="U273" s="1392" t="e">
        <f t="shared" si="83"/>
        <v>#N/A</v>
      </c>
      <c r="W273" s="664" t="s">
        <v>452</v>
      </c>
      <c r="X273" s="324">
        <v>20</v>
      </c>
      <c r="Y273" s="325">
        <v>112013116</v>
      </c>
      <c r="Z273" s="1392" t="str">
        <f t="shared" si="84"/>
        <v>WARINET ANA MARIA</v>
      </c>
      <c r="AB273" s="1400" t="s">
        <v>943</v>
      </c>
      <c r="AC273" s="925">
        <v>1</v>
      </c>
      <c r="AD273" s="925">
        <v>112013139</v>
      </c>
      <c r="AE273" s="1392" t="e">
        <f t="shared" si="85"/>
        <v>#N/A</v>
      </c>
      <c r="AF273" s="302"/>
      <c r="AG273" s="325" t="s">
        <v>1281</v>
      </c>
      <c r="AH273" s="325">
        <v>7</v>
      </c>
      <c r="AI273" s="325">
        <v>112013788</v>
      </c>
      <c r="AJ273" s="799" t="str">
        <f t="shared" si="86"/>
        <v>PONZO SILVIA ESTEFANIA</v>
      </c>
      <c r="AL273" s="1321" t="s">
        <v>1162</v>
      </c>
      <c r="AM273" s="325">
        <v>4</v>
      </c>
      <c r="AN273" s="325">
        <v>112014544</v>
      </c>
      <c r="AO273" s="1394" t="e">
        <f t="shared" si="87"/>
        <v>#N/A</v>
      </c>
      <c r="AQ273" s="1395" t="s">
        <v>1066</v>
      </c>
      <c r="AR273" s="325">
        <v>1</v>
      </c>
      <c r="AS273" s="325">
        <v>112013651</v>
      </c>
      <c r="AT273" s="1397" t="str">
        <f t="shared" si="88"/>
        <v>ROMERO AGUSTIN ALBERTO</v>
      </c>
      <c r="AU273" s="302"/>
      <c r="AV273" s="302"/>
      <c r="AW273" s="664" t="s">
        <v>1419</v>
      </c>
      <c r="AX273" s="325">
        <v>7</v>
      </c>
      <c r="AY273" s="325">
        <v>112014011</v>
      </c>
      <c r="AZ273" s="1392" t="str">
        <f t="shared" si="89"/>
        <v>SARACHU MARIA BERTA MABEL</v>
      </c>
      <c r="BA273" s="302"/>
      <c r="BB273" s="664" t="s">
        <v>1403</v>
      </c>
      <c r="BC273" s="325">
        <v>28</v>
      </c>
      <c r="BD273" s="325">
        <v>112013788</v>
      </c>
      <c r="BE273" s="1392" t="str">
        <f t="shared" si="90"/>
        <v>QUINTANA MARIANELA</v>
      </c>
      <c r="BF273" s="618"/>
      <c r="BG273" s="553"/>
      <c r="BH273" s="294"/>
      <c r="BI273" s="618"/>
      <c r="BJ273" s="618"/>
      <c r="BK273" s="618"/>
      <c r="BL273" s="553"/>
      <c r="BM273" s="618"/>
      <c r="BN273" s="618"/>
      <c r="BO273" s="618"/>
    </row>
    <row r="274" spans="1:67" ht="13" hidden="1">
      <c r="A274" s="664" t="s">
        <v>698</v>
      </c>
      <c r="B274" s="325">
        <v>9</v>
      </c>
      <c r="C274" s="325">
        <v>112013272</v>
      </c>
      <c r="D274" s="1392" t="str">
        <f t="shared" si="80"/>
        <v>RINALDI HORACIO/ANZOATEGUI RICARDO</v>
      </c>
      <c r="G274" s="325" t="s">
        <v>114</v>
      </c>
      <c r="H274" s="325">
        <v>18</v>
      </c>
      <c r="I274" s="325">
        <v>112014682</v>
      </c>
      <c r="J274" s="1393" t="str">
        <f t="shared" si="81"/>
        <v>MICAELA FERNANDA MEDINA</v>
      </c>
      <c r="M274" s="664" t="s">
        <v>519</v>
      </c>
      <c r="N274" s="324">
        <v>8</v>
      </c>
      <c r="O274" s="325">
        <v>112014104</v>
      </c>
      <c r="P274" s="1392" t="str">
        <f t="shared" si="82"/>
        <v>MYSZKOWSKI AGUSTIN EZEQUIEL</v>
      </c>
      <c r="R274" s="1403"/>
      <c r="S274" s="1404"/>
      <c r="T274" s="1405"/>
      <c r="U274" s="1392" t="e">
        <f t="shared" si="83"/>
        <v>#N/A</v>
      </c>
      <c r="W274" s="664" t="s">
        <v>416</v>
      </c>
      <c r="X274" s="324">
        <v>8</v>
      </c>
      <c r="Y274" s="325">
        <v>112014578</v>
      </c>
      <c r="Z274" s="1392" t="str">
        <f t="shared" si="84"/>
        <v>YAMILA AYELEN MONTEROS</v>
      </c>
      <c r="AB274" s="325" t="s">
        <v>879</v>
      </c>
      <c r="AC274" s="325">
        <v>1</v>
      </c>
      <c r="AD274" s="325">
        <v>112014692</v>
      </c>
      <c r="AE274" s="1392" t="str">
        <f t="shared" si="85"/>
        <v>VAZQUEZ MELISA INES</v>
      </c>
      <c r="AF274" s="302"/>
      <c r="AG274" s="325" t="s">
        <v>1282</v>
      </c>
      <c r="AH274" s="325">
        <v>7</v>
      </c>
      <c r="AI274" s="325">
        <v>112013514</v>
      </c>
      <c r="AJ274" s="799" t="str">
        <f t="shared" si="86"/>
        <v>PUIG JOSÉ ALBERTO/JULIETA AGUSTINA</v>
      </c>
      <c r="AL274" s="1321" t="s">
        <v>1121</v>
      </c>
      <c r="AM274" s="325">
        <v>22</v>
      </c>
      <c r="AN274" s="325">
        <v>112014554</v>
      </c>
      <c r="AO274" s="1394" t="e">
        <f t="shared" si="87"/>
        <v>#N/A</v>
      </c>
      <c r="AQ274" s="1395" t="s">
        <v>1041</v>
      </c>
      <c r="AR274" s="325">
        <v>6</v>
      </c>
      <c r="AS274" s="325">
        <v>112012196</v>
      </c>
      <c r="AT274" s="1397" t="str">
        <f t="shared" si="88"/>
        <v>ROSSA MAGALI YAEL</v>
      </c>
      <c r="AU274" s="302"/>
      <c r="AV274" s="302"/>
      <c r="AW274" s="664" t="s">
        <v>1462</v>
      </c>
      <c r="AX274" s="325">
        <v>22</v>
      </c>
      <c r="AY274" s="325">
        <v>112013231</v>
      </c>
      <c r="AZ274" s="1392" t="str">
        <f t="shared" si="89"/>
        <v>SCARANO NICOLAS ANIBAL</v>
      </c>
      <c r="BA274" s="302"/>
      <c r="BB274" s="664" t="s">
        <v>1057</v>
      </c>
      <c r="BC274" s="325">
        <v>22</v>
      </c>
      <c r="BD274" s="325">
        <v>112013962</v>
      </c>
      <c r="BE274" s="1392" t="str">
        <f t="shared" si="90"/>
        <v>RIPOLL FERMIN</v>
      </c>
      <c r="BF274" s="618"/>
      <c r="BG274" s="553"/>
      <c r="BH274" s="294"/>
      <c r="BI274" s="618"/>
      <c r="BJ274" s="618"/>
      <c r="BK274" s="618"/>
      <c r="BL274" s="553"/>
      <c r="BM274" s="618"/>
      <c r="BN274" s="618"/>
      <c r="BO274" s="618"/>
    </row>
    <row r="275" spans="1:67" ht="13" hidden="1">
      <c r="A275" s="664" t="s">
        <v>736</v>
      </c>
      <c r="B275" s="325">
        <v>1</v>
      </c>
      <c r="C275" s="325">
        <v>112011754</v>
      </c>
      <c r="D275" s="1392" t="str">
        <f t="shared" si="80"/>
        <v>RINALDIS DANIEL JORGE</v>
      </c>
      <c r="G275" s="325" t="s">
        <v>200</v>
      </c>
      <c r="H275" s="325">
        <v>1</v>
      </c>
      <c r="I275" s="325">
        <v>112012238</v>
      </c>
      <c r="J275" s="1393" t="str">
        <f t="shared" si="81"/>
        <v>MICHELIN FERNANDO SERGIO</v>
      </c>
      <c r="M275" s="664" t="s">
        <v>639</v>
      </c>
      <c r="N275" s="324">
        <v>4</v>
      </c>
      <c r="O275" s="325">
        <v>112014608</v>
      </c>
      <c r="P275" s="1392" t="str">
        <f t="shared" si="82"/>
        <v>NOAILLES CECILIA MONICA</v>
      </c>
      <c r="S275" s="294"/>
      <c r="U275" s="618"/>
      <c r="W275" s="664" t="s">
        <v>493</v>
      </c>
      <c r="X275" s="324">
        <v>29</v>
      </c>
      <c r="Y275" s="325">
        <v>112012738</v>
      </c>
      <c r="Z275" s="1392" t="e">
        <f t="shared" si="84"/>
        <v>#N/A</v>
      </c>
      <c r="AB275" s="325" t="s">
        <v>885</v>
      </c>
      <c r="AC275" s="325">
        <v>1</v>
      </c>
      <c r="AD275" s="325">
        <v>112014080</v>
      </c>
      <c r="AE275" s="1392" t="str">
        <f t="shared" si="85"/>
        <v>YBARRA JUAN MANUEL</v>
      </c>
      <c r="AF275" s="302"/>
      <c r="AG275" s="325" t="s">
        <v>1333</v>
      </c>
      <c r="AH275" s="325">
        <v>4</v>
      </c>
      <c r="AI275" s="325">
        <v>112014215</v>
      </c>
      <c r="AJ275" s="799" t="str">
        <f t="shared" si="86"/>
        <v>RESTAINO ADRIAN/ FERREIRA ISABELLE</v>
      </c>
      <c r="AL275" s="1321" t="s">
        <v>1138</v>
      </c>
      <c r="AM275" s="325">
        <v>22</v>
      </c>
      <c r="AN275" s="325">
        <v>112014564</v>
      </c>
      <c r="AO275" s="1394" t="str">
        <f t="shared" si="87"/>
        <v>MARTIN FARABELLO</v>
      </c>
      <c r="AQ275" s="1395" t="s">
        <v>1113</v>
      </c>
      <c r="AR275" s="325">
        <v>10</v>
      </c>
      <c r="AS275" s="325">
        <v>112012420</v>
      </c>
      <c r="AT275" s="1397" t="e">
        <f t="shared" si="88"/>
        <v>#N/A</v>
      </c>
      <c r="AU275" s="302"/>
      <c r="AV275" s="302"/>
      <c r="AW275" s="664" t="s">
        <v>1463</v>
      </c>
      <c r="AX275" s="325">
        <v>22</v>
      </c>
      <c r="AY275" s="325">
        <v>112014526</v>
      </c>
      <c r="AZ275" s="1392" t="str">
        <f t="shared" si="89"/>
        <v>SHORT JUAN MARTIN</v>
      </c>
      <c r="BA275" s="302"/>
      <c r="BB275" s="664" t="s">
        <v>1270</v>
      </c>
      <c r="BC275" s="325">
        <v>12</v>
      </c>
      <c r="BD275" s="325">
        <v>112013625</v>
      </c>
      <c r="BE275" s="1392" t="str">
        <f t="shared" si="90"/>
        <v>ROSATO PABLO LUIS</v>
      </c>
      <c r="BF275" s="618"/>
      <c r="BG275" s="553"/>
      <c r="BH275" s="294"/>
      <c r="BI275" s="618"/>
      <c r="BJ275" s="618"/>
      <c r="BK275" s="618"/>
      <c r="BL275" s="553"/>
      <c r="BM275" s="618"/>
      <c r="BN275" s="618"/>
      <c r="BO275" s="618"/>
    </row>
    <row r="276" spans="1:67" ht="13" hidden="1">
      <c r="A276" s="664" t="s">
        <v>763</v>
      </c>
      <c r="B276" s="325">
        <v>4</v>
      </c>
      <c r="C276" s="325">
        <v>112014353</v>
      </c>
      <c r="D276" s="1392" t="str">
        <f t="shared" si="80"/>
        <v>RODRIGUEZ DE LUCA POLO BAUTISTA</v>
      </c>
      <c r="G276" s="325" t="s">
        <v>122</v>
      </c>
      <c r="H276" s="325">
        <v>1</v>
      </c>
      <c r="I276" s="325">
        <v>112014293</v>
      </c>
      <c r="J276" s="1393" t="e">
        <f t="shared" si="81"/>
        <v>#N/A</v>
      </c>
      <c r="M276" s="664" t="s">
        <v>564</v>
      </c>
      <c r="N276" s="324">
        <v>18</v>
      </c>
      <c r="O276" s="325">
        <v>112014419</v>
      </c>
      <c r="P276" s="1392" t="str">
        <f t="shared" si="82"/>
        <v>OLVEIRA DARIO FERNANDO</v>
      </c>
      <c r="S276" s="294"/>
      <c r="U276" s="618"/>
      <c r="W276" s="1403"/>
      <c r="X276" s="1404"/>
      <c r="Y276" s="1405"/>
      <c r="Z276" s="1392" t="e">
        <f t="shared" si="84"/>
        <v>#N/A</v>
      </c>
      <c r="AB276" s="325"/>
      <c r="AC276" s="325"/>
      <c r="AD276" s="325"/>
      <c r="AE276" s="1392" t="e">
        <f t="shared" si="85"/>
        <v>#N/A</v>
      </c>
      <c r="AF276" s="302"/>
      <c r="AG276" s="325" t="s">
        <v>1327</v>
      </c>
      <c r="AH276" s="325">
        <v>22</v>
      </c>
      <c r="AI276" s="325">
        <v>112010112</v>
      </c>
      <c r="AJ276" s="799" t="str">
        <f t="shared" si="86"/>
        <v>REVORA EDUARDO JOSE</v>
      </c>
      <c r="AL276" s="1321" t="s">
        <v>1201</v>
      </c>
      <c r="AM276" s="325">
        <v>4</v>
      </c>
      <c r="AN276" s="325">
        <v>112014571</v>
      </c>
      <c r="AO276" s="1394" t="e">
        <f t="shared" si="87"/>
        <v>#N/A</v>
      </c>
      <c r="AQ276" s="1395" t="s">
        <v>871</v>
      </c>
      <c r="AR276" s="325">
        <v>22</v>
      </c>
      <c r="AS276" s="325">
        <v>112010488</v>
      </c>
      <c r="AT276" s="1397" t="e">
        <f t="shared" si="88"/>
        <v>#N/A</v>
      </c>
      <c r="AU276" s="302"/>
      <c r="AV276" s="302"/>
      <c r="AW276" s="664" t="s">
        <v>1120</v>
      </c>
      <c r="AX276" s="325"/>
      <c r="AY276" s="325">
        <v>112013421</v>
      </c>
      <c r="AZ276" s="1392" t="str">
        <f t="shared" si="89"/>
        <v>SIERRA MARIA EUGENIA</v>
      </c>
      <c r="BA276" s="302"/>
      <c r="BB276" s="664" t="s">
        <v>1501</v>
      </c>
      <c r="BC276" s="325"/>
      <c r="BD276" s="325">
        <v>112010365</v>
      </c>
      <c r="BE276" s="1392" t="str">
        <f t="shared" si="90"/>
        <v>RUPP GUILLERMO NAZARENO</v>
      </c>
      <c r="BF276" s="618"/>
      <c r="BG276" s="553"/>
      <c r="BH276" s="294"/>
      <c r="BI276" s="618"/>
      <c r="BJ276" s="618"/>
      <c r="BK276" s="618"/>
      <c r="BL276" s="553"/>
      <c r="BM276" s="618"/>
      <c r="BN276" s="618"/>
      <c r="BO276" s="618"/>
    </row>
    <row r="277" spans="1:67" ht="13" hidden="1">
      <c r="A277" s="664" t="s">
        <v>810</v>
      </c>
      <c r="B277" s="325"/>
      <c r="C277" s="325">
        <v>112011823</v>
      </c>
      <c r="D277" s="1392" t="str">
        <f t="shared" si="80"/>
        <v>SABELLI JUAN IGNACIO</v>
      </c>
      <c r="G277" s="325" t="s">
        <v>224</v>
      </c>
      <c r="H277" s="325"/>
      <c r="I277" s="325">
        <v>112012614</v>
      </c>
      <c r="J277" s="1393" t="str">
        <f t="shared" si="81"/>
        <v>MUNICIPALIDAD DE LOMAS DE ZAMORA</v>
      </c>
      <c r="M277" s="664" t="s">
        <v>594</v>
      </c>
      <c r="N277" s="324">
        <v>4</v>
      </c>
      <c r="O277" s="325">
        <v>112014685</v>
      </c>
      <c r="P277" s="1392" t="str">
        <f t="shared" si="82"/>
        <v>PABLO SEBASTIAN PACHINO</v>
      </c>
      <c r="S277" s="294"/>
      <c r="U277" s="618"/>
      <c r="X277" s="294"/>
      <c r="Z277" s="618"/>
      <c r="AB277" s="325"/>
      <c r="AC277" s="325"/>
      <c r="AD277" s="325"/>
      <c r="AE277" s="1392" t="e">
        <f t="shared" si="85"/>
        <v>#N/A</v>
      </c>
      <c r="AG277" s="325" t="s">
        <v>1369</v>
      </c>
      <c r="AH277" s="325">
        <v>1</v>
      </c>
      <c r="AI277" s="325">
        <v>112012782</v>
      </c>
      <c r="AJ277" s="799" t="str">
        <f t="shared" si="86"/>
        <v>RIEGLER EDUARDO HORACIO</v>
      </c>
      <c r="AL277" s="1321" t="s">
        <v>1118</v>
      </c>
      <c r="AM277" s="325">
        <v>4</v>
      </c>
      <c r="AN277" s="325">
        <v>112014651</v>
      </c>
      <c r="AO277" s="1394" t="e">
        <f t="shared" si="87"/>
        <v>#N/A</v>
      </c>
      <c r="AQ277" s="1395" t="s">
        <v>1038</v>
      </c>
      <c r="AR277" s="325">
        <v>4</v>
      </c>
      <c r="AS277" s="325">
        <v>112014533</v>
      </c>
      <c r="AT277" s="1397" t="str">
        <f t="shared" si="88"/>
        <v>RUI CARLOS FACUNDO</v>
      </c>
      <c r="AU277" s="302"/>
      <c r="AV277" s="302"/>
      <c r="AW277" s="664" t="s">
        <v>1448</v>
      </c>
      <c r="AX277" s="325">
        <v>22</v>
      </c>
      <c r="AY277" s="325">
        <v>112013987</v>
      </c>
      <c r="AZ277" s="1392" t="str">
        <f t="shared" si="89"/>
        <v>SOFIA BELEN SENA</v>
      </c>
      <c r="BA277" s="302"/>
      <c r="BB277" s="664" t="s">
        <v>1058</v>
      </c>
      <c r="BC277" s="325">
        <v>22</v>
      </c>
      <c r="BD277" s="325">
        <v>112011985</v>
      </c>
      <c r="BE277" s="1392" t="str">
        <f t="shared" si="90"/>
        <v>SAPPIA DANIEL HUMBERTO</v>
      </c>
      <c r="BF277" s="618"/>
      <c r="BG277" s="553"/>
      <c r="BH277" s="294"/>
      <c r="BI277" s="618"/>
      <c r="BJ277" s="618"/>
      <c r="BK277" s="618"/>
      <c r="BL277" s="553"/>
      <c r="BM277" s="618"/>
      <c r="BN277" s="618"/>
      <c r="BO277" s="618"/>
    </row>
    <row r="278" spans="1:67" ht="13" hidden="1">
      <c r="A278" s="664" t="s">
        <v>811</v>
      </c>
      <c r="B278" s="325"/>
      <c r="C278" s="325">
        <v>112013416</v>
      </c>
      <c r="D278" s="1392" t="str">
        <f t="shared" si="80"/>
        <v>SALINAS LILIANA NOEMI</v>
      </c>
      <c r="G278" s="325" t="s">
        <v>201</v>
      </c>
      <c r="H278" s="325">
        <v>1</v>
      </c>
      <c r="I278" s="325">
        <v>112012197</v>
      </c>
      <c r="J278" s="1393" t="str">
        <f t="shared" si="81"/>
        <v>MUZIO JUAN PABLO</v>
      </c>
      <c r="M278" s="664" t="s">
        <v>616</v>
      </c>
      <c r="N278" s="324">
        <v>1</v>
      </c>
      <c r="O278" s="325">
        <v>112014263</v>
      </c>
      <c r="P278" s="1392" t="str">
        <f t="shared" si="82"/>
        <v>PABLO TOUZON</v>
      </c>
      <c r="S278" s="294"/>
      <c r="U278" s="618"/>
      <c r="X278" s="294"/>
      <c r="Z278" s="618"/>
      <c r="AB278" s="325"/>
      <c r="AC278" s="325"/>
      <c r="AD278" s="325"/>
      <c r="AE278" s="1392" t="e">
        <f t="shared" si="85"/>
        <v>#N/A</v>
      </c>
      <c r="AG278" s="325" t="s">
        <v>1352</v>
      </c>
      <c r="AH278" s="325">
        <v>1</v>
      </c>
      <c r="AI278" s="325">
        <v>112014683</v>
      </c>
      <c r="AJ278" s="799" t="str">
        <f t="shared" si="86"/>
        <v>ROMINA ACUÑA</v>
      </c>
      <c r="AL278" s="1321" t="s">
        <v>1167</v>
      </c>
      <c r="AM278" s="325">
        <v>4</v>
      </c>
      <c r="AN278" s="325">
        <v>112014655</v>
      </c>
      <c r="AO278" s="1394" t="e">
        <f t="shared" si="87"/>
        <v>#N/A</v>
      </c>
      <c r="AQ278" s="1395" t="s">
        <v>1109</v>
      </c>
      <c r="AR278" s="325">
        <v>22</v>
      </c>
      <c r="AS278" s="325">
        <v>112010497</v>
      </c>
      <c r="AT278" s="1397" t="e">
        <f t="shared" si="88"/>
        <v>#N/A</v>
      </c>
      <c r="AU278" s="302"/>
      <c r="AV278" s="302"/>
      <c r="AW278" s="664" t="s">
        <v>1449</v>
      </c>
      <c r="AX278" s="325">
        <v>22</v>
      </c>
      <c r="AY278" s="325">
        <v>112012277</v>
      </c>
      <c r="AZ278" s="1392" t="str">
        <f t="shared" si="89"/>
        <v>SOLARI MARIA VERONICA</v>
      </c>
      <c r="BA278" s="302"/>
      <c r="BB278" s="664" t="s">
        <v>1025</v>
      </c>
      <c r="BC278" s="325">
        <v>22</v>
      </c>
      <c r="BD278" s="325">
        <v>112013490</v>
      </c>
      <c r="BE278" s="1392" t="str">
        <f t="shared" si="90"/>
        <v>SILVIA MARIEL CABRERA</v>
      </c>
      <c r="BF278" s="618"/>
      <c r="BG278" s="553"/>
      <c r="BH278" s="294"/>
      <c r="BI278" s="618"/>
      <c r="BJ278" s="618"/>
      <c r="BK278" s="618"/>
      <c r="BL278" s="553"/>
      <c r="BM278" s="618"/>
      <c r="BN278" s="618"/>
      <c r="BO278" s="618"/>
    </row>
    <row r="279" spans="1:67" ht="13" hidden="1">
      <c r="A279" s="664" t="s">
        <v>754</v>
      </c>
      <c r="B279" s="325">
        <v>4</v>
      </c>
      <c r="C279" s="325">
        <v>112014758</v>
      </c>
      <c r="D279" s="1392" t="str">
        <f t="shared" si="80"/>
        <v>SAPIO SEBASTIAN EZEQUIEL</v>
      </c>
      <c r="G279" s="325" t="s">
        <v>160</v>
      </c>
      <c r="H279" s="325">
        <v>4</v>
      </c>
      <c r="I279" s="325">
        <v>112012229</v>
      </c>
      <c r="J279" s="1393" t="str">
        <f t="shared" si="81"/>
        <v>NARVARTE ERIC</v>
      </c>
      <c r="M279" s="664" t="s">
        <v>546</v>
      </c>
      <c r="N279" s="324">
        <v>31</v>
      </c>
      <c r="O279" s="325">
        <v>112014741</v>
      </c>
      <c r="P279" s="1392" t="str">
        <f t="shared" si="82"/>
        <v>PAMELA ESTEFANIA BARRIONUEVO</v>
      </c>
      <c r="S279" s="294"/>
      <c r="U279" s="618"/>
      <c r="X279" s="294"/>
      <c r="Z279" s="618"/>
      <c r="AB279" s="325"/>
      <c r="AC279" s="325"/>
      <c r="AD279" s="325"/>
      <c r="AE279" s="1392" t="e">
        <f t="shared" si="85"/>
        <v>#N/A</v>
      </c>
      <c r="AG279" s="325" t="s">
        <v>1270</v>
      </c>
      <c r="AH279" s="325">
        <v>12</v>
      </c>
      <c r="AI279" s="325">
        <v>112010365</v>
      </c>
      <c r="AJ279" s="799" t="str">
        <f t="shared" si="86"/>
        <v>ROSATO PABLO LUIS</v>
      </c>
      <c r="AL279" s="1321" t="s">
        <v>1221</v>
      </c>
      <c r="AM279" s="325">
        <v>1</v>
      </c>
      <c r="AN279" s="325">
        <v>112014667</v>
      </c>
      <c r="AO279" s="1394" t="e">
        <f t="shared" si="87"/>
        <v>#N/A</v>
      </c>
      <c r="AQ279" s="1395" t="s">
        <v>1035</v>
      </c>
      <c r="AR279" s="325">
        <v>18</v>
      </c>
      <c r="AS279" s="325">
        <v>112014404</v>
      </c>
      <c r="AT279" s="1397" t="str">
        <f t="shared" si="88"/>
        <v>SAAVEDRA JORGELINA ANDREA</v>
      </c>
      <c r="AU279" s="302"/>
      <c r="AV279" s="302"/>
      <c r="AW279" s="664" t="s">
        <v>1469</v>
      </c>
      <c r="AX279" s="325">
        <v>22</v>
      </c>
      <c r="AY279" s="325">
        <v>112014248</v>
      </c>
      <c r="AZ279" s="1392" t="str">
        <f t="shared" si="89"/>
        <v>SUAREZ MARIA VITALINA DE LOURDES</v>
      </c>
      <c r="BA279" s="302"/>
      <c r="BB279" s="664" t="s">
        <v>1026</v>
      </c>
      <c r="BC279" s="325">
        <v>22</v>
      </c>
      <c r="BD279" s="325">
        <v>112014645</v>
      </c>
      <c r="BE279" s="1392" t="str">
        <f t="shared" si="90"/>
        <v>SILVINA BOCCA</v>
      </c>
      <c r="BF279" s="618"/>
      <c r="BG279" s="553"/>
      <c r="BH279" s="294"/>
      <c r="BI279" s="618"/>
      <c r="BJ279" s="618"/>
      <c r="BK279" s="618"/>
      <c r="BL279" s="553"/>
      <c r="BM279" s="618"/>
      <c r="BN279" s="618"/>
      <c r="BO279" s="618"/>
    </row>
    <row r="280" spans="1:67" ht="13" hidden="1">
      <c r="A280" s="664" t="s">
        <v>812</v>
      </c>
      <c r="B280" s="325"/>
      <c r="C280" s="325">
        <v>112014159</v>
      </c>
      <c r="D280" s="1392" t="str">
        <f t="shared" si="80"/>
        <v>SBERNA MANUELA</v>
      </c>
      <c r="G280" s="325" t="s">
        <v>67</v>
      </c>
      <c r="H280" s="325">
        <v>38</v>
      </c>
      <c r="I280" s="325">
        <v>112012859</v>
      </c>
      <c r="J280" s="1393" t="e">
        <f t="shared" si="81"/>
        <v>#N/A</v>
      </c>
      <c r="M280" s="664" t="s">
        <v>656</v>
      </c>
      <c r="N280" s="324">
        <v>1</v>
      </c>
      <c r="O280" s="325">
        <v>112013930</v>
      </c>
      <c r="P280" s="1392" t="str">
        <f t="shared" si="82"/>
        <v>PANOZZO JULIANA BELEN</v>
      </c>
      <c r="S280" s="294"/>
      <c r="U280" s="618"/>
      <c r="X280" s="294"/>
      <c r="Z280" s="618"/>
      <c r="AB280" s="325"/>
      <c r="AC280" s="325"/>
      <c r="AD280" s="325"/>
      <c r="AE280" s="799" t="e">
        <f>VLOOKUP(AD280,VARGASFIN,6,FALSE)</f>
        <v>#N/A</v>
      </c>
      <c r="AG280" s="325" t="s">
        <v>1279</v>
      </c>
      <c r="AH280" s="325">
        <v>7</v>
      </c>
      <c r="AI280" s="325">
        <v>112014180</v>
      </c>
      <c r="AJ280" s="799" t="str">
        <f t="shared" si="86"/>
        <v>SAEZ CLAUDIO ALBERTO</v>
      </c>
      <c r="AL280" s="1321" t="s">
        <v>1168</v>
      </c>
      <c r="AM280" s="325">
        <v>4</v>
      </c>
      <c r="AN280" s="325">
        <v>112014669</v>
      </c>
      <c r="AO280" s="1394" t="e">
        <f t="shared" si="87"/>
        <v>#N/A</v>
      </c>
      <c r="AQ280" s="1395" t="s">
        <v>1095</v>
      </c>
      <c r="AR280" s="325">
        <v>1</v>
      </c>
      <c r="AS280" s="325">
        <v>112013707</v>
      </c>
      <c r="AT280" s="1397" t="e">
        <f t="shared" si="88"/>
        <v>#N/A</v>
      </c>
      <c r="AU280" s="302"/>
      <c r="AV280" s="302"/>
      <c r="AW280" s="664" t="s">
        <v>1483</v>
      </c>
      <c r="AX280" s="325">
        <v>1</v>
      </c>
      <c r="AY280" s="325">
        <v>112013744</v>
      </c>
      <c r="AZ280" s="1392" t="str">
        <f t="shared" si="89"/>
        <v>TINTA VENEROS ROLANDO</v>
      </c>
      <c r="BA280" s="302"/>
      <c r="BB280" s="664" t="s">
        <v>1448</v>
      </c>
      <c r="BC280" s="325">
        <v>22</v>
      </c>
      <c r="BD280" s="325">
        <v>112014470</v>
      </c>
      <c r="BE280" s="1392" t="str">
        <f t="shared" si="90"/>
        <v>SOFIA BELEN SENA</v>
      </c>
      <c r="BF280" s="618"/>
      <c r="BG280" s="553"/>
      <c r="BH280" s="294"/>
      <c r="BI280" s="618"/>
      <c r="BJ280" s="618"/>
      <c r="BK280" s="618"/>
      <c r="BL280" s="553"/>
      <c r="BM280" s="618"/>
      <c r="BN280" s="618"/>
      <c r="BO280" s="618"/>
    </row>
    <row r="281" spans="1:67" ht="13" hidden="1">
      <c r="A281" s="664" t="s">
        <v>717</v>
      </c>
      <c r="B281" s="325">
        <v>18</v>
      </c>
      <c r="C281" s="325">
        <v>112012741</v>
      </c>
      <c r="D281" s="1392" t="e">
        <f t="shared" si="80"/>
        <v>#N/A</v>
      </c>
      <c r="G281" s="325" t="s">
        <v>163</v>
      </c>
      <c r="H281" s="325">
        <v>4</v>
      </c>
      <c r="I281" s="325">
        <v>112014745</v>
      </c>
      <c r="J281" s="1393" t="str">
        <f t="shared" si="81"/>
        <v>OLAVE ALEXANDRA BRENDA</v>
      </c>
      <c r="M281" s="664" t="s">
        <v>521</v>
      </c>
      <c r="N281" s="324">
        <v>31</v>
      </c>
      <c r="O281" s="325">
        <v>112013279</v>
      </c>
      <c r="P281" s="1392" t="str">
        <f t="shared" si="82"/>
        <v>PAOLI FACUNDO EZEQUIEL</v>
      </c>
      <c r="S281" s="294"/>
      <c r="U281" s="618"/>
      <c r="X281" s="294"/>
      <c r="Z281" s="618"/>
      <c r="AC281" s="463"/>
      <c r="AE281" s="1437"/>
      <c r="AG281" s="325" t="s">
        <v>1305</v>
      </c>
      <c r="AH281" s="325">
        <v>22</v>
      </c>
      <c r="AI281" s="325">
        <v>112012449</v>
      </c>
      <c r="AJ281" s="799" t="str">
        <f t="shared" si="86"/>
        <v>SEGURADO RUBEN HORACIO</v>
      </c>
      <c r="AL281" s="1321" t="s">
        <v>1169</v>
      </c>
      <c r="AM281" s="325">
        <v>1</v>
      </c>
      <c r="AN281" s="325">
        <v>112014673</v>
      </c>
      <c r="AO281" s="1394" t="e">
        <f t="shared" si="87"/>
        <v>#N/A</v>
      </c>
      <c r="AQ281" s="1395" t="s">
        <v>1048</v>
      </c>
      <c r="AR281" s="325">
        <v>1</v>
      </c>
      <c r="AS281" s="325">
        <v>112012154</v>
      </c>
      <c r="AT281" s="1397" t="str">
        <f t="shared" si="88"/>
        <v>SADABA SEBASTIAN ANDRES</v>
      </c>
      <c r="AU281" s="302"/>
      <c r="AV281" s="302"/>
      <c r="AW281" s="664" t="s">
        <v>1420</v>
      </c>
      <c r="AX281" s="325">
        <v>7</v>
      </c>
      <c r="AY281" s="325">
        <v>112014577</v>
      </c>
      <c r="AZ281" s="1392" t="str">
        <f t="shared" si="89"/>
        <v>TOMAS VILLAVICENCIO</v>
      </c>
      <c r="BA281" s="302"/>
      <c r="BB281" s="664" t="s">
        <v>1449</v>
      </c>
      <c r="BC281" s="325">
        <v>22</v>
      </c>
      <c r="BD281" s="325">
        <v>112013987</v>
      </c>
      <c r="BE281" s="1392" t="str">
        <f t="shared" si="90"/>
        <v>SOLARI MARIA VERONICA</v>
      </c>
      <c r="BF281" s="618"/>
      <c r="BG281" s="553"/>
      <c r="BH281" s="294"/>
      <c r="BI281" s="618"/>
      <c r="BJ281" s="618"/>
      <c r="BK281" s="618"/>
      <c r="BL281" s="553"/>
      <c r="BM281" s="618"/>
      <c r="BN281" s="618"/>
      <c r="BO281" s="618"/>
    </row>
    <row r="282" spans="1:67" ht="13" hidden="1">
      <c r="A282" s="664" t="s">
        <v>794</v>
      </c>
      <c r="B282" s="325">
        <v>1</v>
      </c>
      <c r="C282" s="325">
        <v>112010547</v>
      </c>
      <c r="D282" s="1392" t="str">
        <f t="shared" si="80"/>
        <v>SCHINONI MARIO ALFREDO</v>
      </c>
      <c r="G282" s="325" t="s">
        <v>74</v>
      </c>
      <c r="H282" s="325">
        <v>10</v>
      </c>
      <c r="I282" s="325">
        <v>112014719</v>
      </c>
      <c r="J282" s="1393" t="str">
        <f t="shared" si="81"/>
        <v>OLIVERI JORGE LUIS</v>
      </c>
      <c r="M282" s="664" t="s">
        <v>595</v>
      </c>
      <c r="N282" s="324">
        <v>4</v>
      </c>
      <c r="O282" s="325">
        <v>112014469</v>
      </c>
      <c r="P282" s="1392" t="str">
        <f t="shared" si="82"/>
        <v>PAOLILLO JORGE ALBERTO</v>
      </c>
      <c r="S282" s="294"/>
      <c r="U282" s="618"/>
      <c r="X282" s="294"/>
      <c r="Z282" s="618"/>
      <c r="AE282" s="618"/>
      <c r="AG282" s="325" t="s">
        <v>1370</v>
      </c>
      <c r="AH282" s="325">
        <v>1</v>
      </c>
      <c r="AI282" s="325">
        <v>112011834</v>
      </c>
      <c r="AJ282" s="799" t="str">
        <f t="shared" si="86"/>
        <v>SFORZINI YANINA GABRIELA</v>
      </c>
      <c r="AL282" s="1321" t="s">
        <v>1198</v>
      </c>
      <c r="AM282" s="325">
        <v>4</v>
      </c>
      <c r="AN282" s="325">
        <v>112014681</v>
      </c>
      <c r="AO282" s="1394" t="e">
        <f t="shared" si="87"/>
        <v>#N/A</v>
      </c>
      <c r="AQ282" s="1395" t="s">
        <v>1107</v>
      </c>
      <c r="AR282" s="325">
        <v>22</v>
      </c>
      <c r="AS282" s="325">
        <v>112013898</v>
      </c>
      <c r="AT282" s="1397" t="e">
        <f t="shared" si="88"/>
        <v>#N/A</v>
      </c>
      <c r="AU282" s="302"/>
      <c r="AV282" s="302"/>
      <c r="AW282" s="1400" t="s">
        <v>1513</v>
      </c>
      <c r="AX282" s="925">
        <v>1</v>
      </c>
      <c r="AY282" s="925">
        <v>112010784</v>
      </c>
      <c r="AZ282" s="1392" t="e">
        <f t="shared" si="89"/>
        <v>#N/A</v>
      </c>
      <c r="BA282" s="302"/>
      <c r="BB282" s="664" t="s">
        <v>1324</v>
      </c>
      <c r="BC282" s="325">
        <v>22</v>
      </c>
      <c r="BD282" s="325">
        <v>112012277</v>
      </c>
      <c r="BE282" s="1392" t="str">
        <f t="shared" si="90"/>
        <v>SOLER PATRICIA ADOLFINA</v>
      </c>
      <c r="BF282" s="618"/>
      <c r="BG282" s="553"/>
      <c r="BH282" s="294"/>
      <c r="BI282" s="618"/>
      <c r="BJ282" s="618"/>
      <c r="BK282" s="618"/>
      <c r="BL282" s="553"/>
      <c r="BM282" s="618"/>
      <c r="BN282" s="618"/>
      <c r="BO282" s="618"/>
    </row>
    <row r="283" spans="1:67" ht="13" hidden="1">
      <c r="A283" s="664" t="s">
        <v>739</v>
      </c>
      <c r="B283" s="325">
        <v>1</v>
      </c>
      <c r="C283" s="325">
        <v>112013133</v>
      </c>
      <c r="D283" s="1392" t="str">
        <f t="shared" si="80"/>
        <v>SCIALABBA PAOLA</v>
      </c>
      <c r="G283" s="325" t="s">
        <v>161</v>
      </c>
      <c r="H283" s="325">
        <v>4</v>
      </c>
      <c r="I283" s="325">
        <v>112014369</v>
      </c>
      <c r="J283" s="1393" t="str">
        <f t="shared" si="81"/>
        <v>OMAR LEANDRO MATIAS</v>
      </c>
      <c r="M283" s="664" t="s">
        <v>548</v>
      </c>
      <c r="N283" s="324">
        <v>29</v>
      </c>
      <c r="O283" s="325">
        <v>112014504</v>
      </c>
      <c r="P283" s="1392" t="str">
        <f t="shared" si="82"/>
        <v>PAULA DIAZ REXACH</v>
      </c>
      <c r="S283" s="294"/>
      <c r="U283" s="618"/>
      <c r="X283" s="294"/>
      <c r="Z283" s="618"/>
      <c r="AE283" s="618"/>
      <c r="AG283" s="325" t="s">
        <v>1371</v>
      </c>
      <c r="AH283" s="325">
        <v>1</v>
      </c>
      <c r="AI283" s="325">
        <v>112013577</v>
      </c>
      <c r="AJ283" s="799" t="str">
        <f t="shared" si="86"/>
        <v>SILVA JUAN LUIS</v>
      </c>
      <c r="AL283" s="1321" t="s">
        <v>1191</v>
      </c>
      <c r="AM283" s="325">
        <v>4</v>
      </c>
      <c r="AN283" s="325">
        <v>112014695</v>
      </c>
      <c r="AO283" s="1394" t="e">
        <f t="shared" si="87"/>
        <v>#N/A</v>
      </c>
      <c r="AQ283" s="1395" t="s">
        <v>1097</v>
      </c>
      <c r="AR283" s="325">
        <v>1</v>
      </c>
      <c r="AS283" s="325">
        <v>112012069</v>
      </c>
      <c r="AT283" s="1397" t="e">
        <f t="shared" si="88"/>
        <v>#N/A</v>
      </c>
      <c r="AU283" s="302"/>
      <c r="AV283" s="302"/>
      <c r="AW283" s="664" t="s">
        <v>1450</v>
      </c>
      <c r="AX283" s="325">
        <v>22</v>
      </c>
      <c r="AY283" s="325">
        <v>112011749</v>
      </c>
      <c r="AZ283" s="1392" t="str">
        <f t="shared" si="89"/>
        <v>VIALE LUIS EDUARDO</v>
      </c>
      <c r="BA283" s="302"/>
      <c r="BB283" s="664" t="s">
        <v>641</v>
      </c>
      <c r="BC283" s="325">
        <v>4</v>
      </c>
      <c r="BD283" s="325">
        <v>112014045</v>
      </c>
      <c r="BE283" s="1392" t="str">
        <f t="shared" si="90"/>
        <v>SPACAN SRL</v>
      </c>
      <c r="BF283" s="618"/>
      <c r="BG283" s="553"/>
      <c r="BH283" s="294"/>
      <c r="BI283" s="618"/>
      <c r="BJ283" s="618"/>
      <c r="BK283" s="618"/>
      <c r="BL283" s="553"/>
      <c r="BM283" s="618"/>
      <c r="BN283" s="618"/>
      <c r="BO283" s="618"/>
    </row>
    <row r="284" spans="1:67" ht="13" hidden="1">
      <c r="A284" s="664" t="s">
        <v>795</v>
      </c>
      <c r="B284" s="325">
        <v>1</v>
      </c>
      <c r="C284" s="325">
        <v>112013526</v>
      </c>
      <c r="D284" s="1392" t="str">
        <f t="shared" si="80"/>
        <v>SETTEMBRINI JAVIER ERNESTO</v>
      </c>
      <c r="G284" s="325" t="s">
        <v>162</v>
      </c>
      <c r="H284" s="325">
        <v>4</v>
      </c>
      <c r="I284" s="325">
        <v>112013607</v>
      </c>
      <c r="J284" s="1393" t="str">
        <f t="shared" si="81"/>
        <v>ORTIZ CESAR RENE</v>
      </c>
      <c r="M284" s="664" t="s">
        <v>511</v>
      </c>
      <c r="N284" s="324">
        <v>10</v>
      </c>
      <c r="O284" s="325">
        <v>112013770</v>
      </c>
      <c r="P284" s="1392" t="str">
        <f t="shared" si="82"/>
        <v>PEREZ BERNARDO</v>
      </c>
      <c r="S284" s="294"/>
      <c r="U284" s="618"/>
      <c r="X284" s="294"/>
      <c r="Z284" s="618"/>
      <c r="AE284" s="618"/>
      <c r="AG284" s="325" t="s">
        <v>1324</v>
      </c>
      <c r="AH284" s="325">
        <v>22</v>
      </c>
      <c r="AI284" s="325">
        <v>112014045</v>
      </c>
      <c r="AJ284" s="799" t="str">
        <f t="shared" si="86"/>
        <v>SOLER PATRICIA ADOLFINA</v>
      </c>
      <c r="AL284" s="1321" t="s">
        <v>1192</v>
      </c>
      <c r="AM284" s="325">
        <v>1</v>
      </c>
      <c r="AN284" s="325">
        <v>112014696</v>
      </c>
      <c r="AO284" s="1394" t="e">
        <f t="shared" si="87"/>
        <v>#N/A</v>
      </c>
      <c r="AQ284" s="1395" t="s">
        <v>1058</v>
      </c>
      <c r="AR284" s="325">
        <v>1</v>
      </c>
      <c r="AS284" s="325">
        <v>112013490</v>
      </c>
      <c r="AT284" s="1397" t="str">
        <f t="shared" si="88"/>
        <v>SAPPIA DANIEL HUMBERTO</v>
      </c>
      <c r="AV284" s="302"/>
      <c r="AW284" s="664" t="s">
        <v>1451</v>
      </c>
      <c r="AX284" s="325">
        <v>22</v>
      </c>
      <c r="AY284" s="325">
        <v>112013852</v>
      </c>
      <c r="AZ284" s="1392" t="str">
        <f t="shared" si="89"/>
        <v>VIDOSEVICH EVANGELINA</v>
      </c>
      <c r="BA284" s="302"/>
      <c r="BB284" s="664" t="s">
        <v>1059</v>
      </c>
      <c r="BC284" s="325">
        <v>22</v>
      </c>
      <c r="BD284" s="325">
        <v>112014259</v>
      </c>
      <c r="BE284" s="1392" t="str">
        <f t="shared" si="90"/>
        <v>SUAREZ MARIBEL/MELO MELISA</v>
      </c>
      <c r="BF284" s="618"/>
      <c r="BG284" s="553"/>
      <c r="BH284" s="294"/>
      <c r="BI284" s="618"/>
      <c r="BJ284" s="618"/>
      <c r="BK284" s="618"/>
      <c r="BL284" s="553"/>
      <c r="BM284" s="618"/>
      <c r="BN284" s="618"/>
      <c r="BO284" s="618"/>
    </row>
    <row r="285" spans="1:67" ht="13" hidden="1">
      <c r="A285" s="664" t="s">
        <v>796</v>
      </c>
      <c r="B285" s="325">
        <v>1</v>
      </c>
      <c r="C285" s="325">
        <v>112013290</v>
      </c>
      <c r="D285" s="1392" t="str">
        <f t="shared" si="80"/>
        <v>SOTOMAYOR JOSE LUIS</v>
      </c>
      <c r="G285" s="325" t="s">
        <v>164</v>
      </c>
      <c r="H285" s="325">
        <v>18</v>
      </c>
      <c r="I285" s="325">
        <v>112013814</v>
      </c>
      <c r="J285" s="1393" t="str">
        <f t="shared" si="81"/>
        <v>PAEZ IGNACIO GERMAN</v>
      </c>
      <c r="M285" s="664" t="s">
        <v>650</v>
      </c>
      <c r="N285" s="324">
        <v>1</v>
      </c>
      <c r="O285" s="325">
        <v>112014165</v>
      </c>
      <c r="P285" s="1392" t="str">
        <f t="shared" si="82"/>
        <v>PETRONE MARCELO D Y SASSO DANIEL J</v>
      </c>
      <c r="S285" s="294"/>
      <c r="U285" s="618"/>
      <c r="X285" s="294"/>
      <c r="Z285" s="618"/>
      <c r="AE285" s="618"/>
      <c r="AG285" s="325" t="s">
        <v>1304</v>
      </c>
      <c r="AH285" s="325">
        <v>22</v>
      </c>
      <c r="AI285" s="325">
        <v>112013233</v>
      </c>
      <c r="AJ285" s="799" t="str">
        <f t="shared" si="86"/>
        <v>SORENSEN JOHN/HERRERO YAMILA</v>
      </c>
      <c r="AL285" s="1409" t="s">
        <v>1193</v>
      </c>
      <c r="AM285" s="925">
        <v>1</v>
      </c>
      <c r="AN285" s="925">
        <v>112014698</v>
      </c>
      <c r="AO285" s="1394" t="e">
        <f t="shared" si="87"/>
        <v>#N/A</v>
      </c>
      <c r="AQ285" s="1395" t="s">
        <v>1025</v>
      </c>
      <c r="AR285" s="325">
        <v>22</v>
      </c>
      <c r="AS285" s="325">
        <v>112014645</v>
      </c>
      <c r="AT285" s="1397" t="str">
        <f t="shared" si="88"/>
        <v>SILVIA MARIEL CABRERA</v>
      </c>
      <c r="AV285" s="302"/>
      <c r="AW285" s="664"/>
      <c r="AX285" s="325"/>
      <c r="AY285" s="325"/>
      <c r="AZ285" s="1392" t="e">
        <f t="shared" si="89"/>
        <v>#N/A</v>
      </c>
      <c r="BA285" s="302"/>
      <c r="BB285" s="664" t="s">
        <v>1513</v>
      </c>
      <c r="BC285" s="325">
        <v>1</v>
      </c>
      <c r="BD285" s="325">
        <v>112010784</v>
      </c>
      <c r="BE285" s="1392" t="str">
        <f t="shared" si="90"/>
        <v>TORRES MARCOS FABIAN</v>
      </c>
      <c r="BF285" s="618"/>
      <c r="BG285" s="553"/>
      <c r="BH285" s="294"/>
      <c r="BI285" s="618"/>
      <c r="BJ285" s="618"/>
      <c r="BK285" s="618"/>
      <c r="BL285" s="553"/>
      <c r="BM285" s="618"/>
      <c r="BN285" s="618"/>
      <c r="BO285" s="618"/>
    </row>
    <row r="286" spans="1:67" ht="13" hidden="1">
      <c r="A286" s="664" t="s">
        <v>705</v>
      </c>
      <c r="B286" s="325">
        <v>7</v>
      </c>
      <c r="C286" s="325">
        <v>112013132</v>
      </c>
      <c r="D286" s="1392" t="str">
        <f t="shared" si="80"/>
        <v>SPINELLI DIEGO RICARDO</v>
      </c>
      <c r="G286" s="325" t="s">
        <v>121</v>
      </c>
      <c r="H286" s="325">
        <v>4</v>
      </c>
      <c r="I286" s="325">
        <v>112012613</v>
      </c>
      <c r="J286" s="1393" t="str">
        <f t="shared" si="81"/>
        <v>PECORA MARIA EUGENIA</v>
      </c>
      <c r="M286" s="664" t="s">
        <v>659</v>
      </c>
      <c r="N286" s="324"/>
      <c r="O286" s="325">
        <v>112013314</v>
      </c>
      <c r="P286" s="1392" t="str">
        <f t="shared" si="82"/>
        <v>PICCOLO VANESA INES</v>
      </c>
      <c r="S286" s="294"/>
      <c r="U286" s="618"/>
      <c r="X286" s="294"/>
      <c r="Z286" s="618"/>
      <c r="AE286" s="618"/>
      <c r="AG286" s="325" t="s">
        <v>1372</v>
      </c>
      <c r="AH286" s="325">
        <v>1</v>
      </c>
      <c r="AI286" s="325">
        <v>112014417</v>
      </c>
      <c r="AJ286" s="799" t="str">
        <f t="shared" si="86"/>
        <v>SUCESION DE MARZULLO CESAR ABEL</v>
      </c>
      <c r="AL286" s="1411" t="s">
        <v>1238</v>
      </c>
      <c r="AM286" s="1412">
        <v>31</v>
      </c>
      <c r="AN286" s="1412">
        <v>112014715</v>
      </c>
      <c r="AO286" s="1394" t="e">
        <f t="shared" si="87"/>
        <v>#N/A</v>
      </c>
      <c r="AQ286" s="1395" t="s">
        <v>1026</v>
      </c>
      <c r="AR286" s="325">
        <v>22</v>
      </c>
      <c r="AS286" s="325">
        <v>112014470</v>
      </c>
      <c r="AT286" s="1397" t="str">
        <f t="shared" si="88"/>
        <v>SILVINA BOCCA</v>
      </c>
      <c r="AV286" s="302"/>
      <c r="AW286" s="664"/>
      <c r="AX286" s="325"/>
      <c r="AY286" s="325"/>
      <c r="AZ286" s="1392" t="e">
        <f t="shared" si="89"/>
        <v>#N/A</v>
      </c>
      <c r="BA286" s="302"/>
      <c r="BB286" s="664" t="s">
        <v>1339</v>
      </c>
      <c r="BC286" s="325">
        <v>12</v>
      </c>
      <c r="BD286" s="325">
        <v>112014546</v>
      </c>
      <c r="BE286" s="1392" t="str">
        <f t="shared" si="90"/>
        <v>VETERINARIA CENTRO SOCIEDAD DE RESPONSABILIDAD LIMITAD</v>
      </c>
      <c r="BF286" s="618"/>
      <c r="BG286" s="553"/>
      <c r="BH286" s="294"/>
      <c r="BI286" s="618"/>
      <c r="BJ286" s="618"/>
      <c r="BK286" s="618"/>
      <c r="BL286" s="553"/>
      <c r="BM286" s="618"/>
      <c r="BN286" s="618"/>
      <c r="BO286" s="618"/>
    </row>
    <row r="287" spans="1:67" ht="13" hidden="1">
      <c r="A287" s="664" t="s">
        <v>701</v>
      </c>
      <c r="B287" s="325">
        <v>7</v>
      </c>
      <c r="C287" s="325">
        <v>112014742</v>
      </c>
      <c r="D287" s="1392" t="str">
        <f t="shared" si="80"/>
        <v>STRAMBI MARIA JOSE</v>
      </c>
      <c r="G287" s="325" t="s">
        <v>107</v>
      </c>
      <c r="H287" s="325">
        <v>22</v>
      </c>
      <c r="I287" s="325">
        <v>112013141</v>
      </c>
      <c r="J287" s="1393" t="str">
        <f t="shared" si="81"/>
        <v>PEÑA PAMELA GRACIELA</v>
      </c>
      <c r="M287" s="664" t="s">
        <v>617</v>
      </c>
      <c r="N287" s="324">
        <v>1</v>
      </c>
      <c r="O287" s="325">
        <v>112014133</v>
      </c>
      <c r="P287" s="1392" t="str">
        <f t="shared" si="82"/>
        <v>PORCELLI CLAUDIO</v>
      </c>
      <c r="S287" s="294"/>
      <c r="U287" s="618"/>
      <c r="X287" s="294"/>
      <c r="Z287" s="618"/>
      <c r="AE287" s="618"/>
      <c r="AG287" s="325" t="s">
        <v>1306</v>
      </c>
      <c r="AH287" s="325">
        <v>22</v>
      </c>
      <c r="AI287" s="325">
        <v>112014300</v>
      </c>
      <c r="AJ287" s="799" t="str">
        <f t="shared" si="86"/>
        <v>URGA GUSTAVO DANIEL</v>
      </c>
      <c r="AL287" s="1411" t="s">
        <v>1232</v>
      </c>
      <c r="AM287" s="1412">
        <v>1</v>
      </c>
      <c r="AN287" s="1412">
        <v>112014724</v>
      </c>
      <c r="AO287" s="1394" t="e">
        <f t="shared" si="87"/>
        <v>#N/A</v>
      </c>
      <c r="AQ287" s="1395" t="s">
        <v>1112</v>
      </c>
      <c r="AR287" s="325">
        <v>12</v>
      </c>
      <c r="AS287" s="325">
        <v>112011304</v>
      </c>
      <c r="AT287" s="1397" t="e">
        <f t="shared" si="88"/>
        <v>#N/A</v>
      </c>
      <c r="AV287" s="302"/>
      <c r="AW287" s="664"/>
      <c r="AX287" s="325"/>
      <c r="AY287" s="325"/>
      <c r="AZ287" s="1392" t="e">
        <f t="shared" si="89"/>
        <v>#N/A</v>
      </c>
      <c r="BA287" s="302"/>
      <c r="BB287" s="664" t="s">
        <v>1450</v>
      </c>
      <c r="BC287" s="325">
        <v>22</v>
      </c>
      <c r="BD287" s="325">
        <v>112011749</v>
      </c>
      <c r="BE287" s="1392" t="str">
        <f t="shared" si="90"/>
        <v>VIALE LUIS EDUARDO</v>
      </c>
      <c r="BF287" s="618"/>
      <c r="BG287" s="553"/>
      <c r="BH287" s="294"/>
      <c r="BI287" s="618"/>
      <c r="BJ287" s="618"/>
      <c r="BK287" s="618"/>
      <c r="BL287" s="553"/>
      <c r="BM287" s="618"/>
      <c r="BN287" s="618"/>
      <c r="BO287" s="618"/>
    </row>
    <row r="288" spans="1:67" ht="13" hidden="1">
      <c r="A288" s="664" t="s">
        <v>764</v>
      </c>
      <c r="B288" s="325">
        <v>4</v>
      </c>
      <c r="C288" s="325">
        <v>112013251</v>
      </c>
      <c r="D288" s="1392" t="str">
        <f t="shared" si="80"/>
        <v>TARSIA EDUARDO PASCUAL</v>
      </c>
      <c r="G288" s="325" t="s">
        <v>99</v>
      </c>
      <c r="H288" s="325">
        <v>7</v>
      </c>
      <c r="I288" s="325">
        <v>112013916</v>
      </c>
      <c r="J288" s="1393" t="str">
        <f t="shared" si="81"/>
        <v>PERALTA MATIAS/REYNOSO NICOLAS</v>
      </c>
      <c r="M288" s="664" t="s">
        <v>522</v>
      </c>
      <c r="N288" s="324">
        <v>31</v>
      </c>
      <c r="O288" s="325">
        <v>112014477</v>
      </c>
      <c r="P288" s="1392" t="str">
        <f t="shared" si="82"/>
        <v>PROFARVET SA</v>
      </c>
      <c r="S288" s="294"/>
      <c r="U288" s="618"/>
      <c r="X288" s="294"/>
      <c r="Z288" s="618"/>
      <c r="AE288" s="618"/>
      <c r="AG288" s="325" t="s">
        <v>1387</v>
      </c>
      <c r="AH288" s="325">
        <v>1</v>
      </c>
      <c r="AI288" s="325">
        <v>112012973</v>
      </c>
      <c r="AJ288" s="799" t="e">
        <f t="shared" si="86"/>
        <v>#N/A</v>
      </c>
      <c r="AL288" s="1411" t="s">
        <v>1156</v>
      </c>
      <c r="AM288" s="1412">
        <v>18</v>
      </c>
      <c r="AN288" s="1412">
        <v>112014726</v>
      </c>
      <c r="AO288" s="1394" t="str">
        <f t="shared" si="87"/>
        <v>SBERNA ROCIO ANDREA</v>
      </c>
      <c r="AQ288" s="1395" t="s">
        <v>1012</v>
      </c>
      <c r="AR288" s="325">
        <v>22</v>
      </c>
      <c r="AS288" s="325">
        <v>112014283</v>
      </c>
      <c r="AT288" s="1397" t="str">
        <f t="shared" si="88"/>
        <v>SOSA MARIA/LIBRANDI LUIS</v>
      </c>
      <c r="AV288" s="302"/>
      <c r="AW288" s="664"/>
      <c r="AX288" s="325"/>
      <c r="AY288" s="325"/>
      <c r="AZ288" s="1392" t="e">
        <f t="shared" si="89"/>
        <v>#N/A</v>
      </c>
      <c r="BA288" s="302"/>
      <c r="BB288" s="664" t="s">
        <v>1451</v>
      </c>
      <c r="BC288" s="325">
        <v>22</v>
      </c>
      <c r="BD288" s="325">
        <v>112013852</v>
      </c>
      <c r="BE288" s="1392" t="str">
        <f t="shared" si="90"/>
        <v>VIDOSEVICH EVANGELINA</v>
      </c>
      <c r="BF288" s="618"/>
      <c r="BG288" s="553"/>
      <c r="BH288" s="294"/>
      <c r="BI288" s="618"/>
      <c r="BJ288" s="618"/>
      <c r="BK288" s="618"/>
      <c r="BL288" s="553"/>
      <c r="BM288" s="618"/>
      <c r="BN288" s="618"/>
      <c r="BO288" s="618"/>
    </row>
    <row r="289" spans="1:67" ht="13" hidden="1">
      <c r="A289" s="664" t="s">
        <v>737</v>
      </c>
      <c r="B289" s="325">
        <v>1</v>
      </c>
      <c r="C289" s="325">
        <v>112013922</v>
      </c>
      <c r="D289" s="1392" t="str">
        <f t="shared" si="80"/>
        <v>TERRILE JORGE LUIS</v>
      </c>
      <c r="G289" s="325" t="s">
        <v>165</v>
      </c>
      <c r="H289" s="325">
        <v>4</v>
      </c>
      <c r="I289" s="325">
        <v>112014535</v>
      </c>
      <c r="J289" s="1393" t="str">
        <f t="shared" si="81"/>
        <v>PEREZ RODRIGO NICOLAS</v>
      </c>
      <c r="M289" s="664" t="s">
        <v>596</v>
      </c>
      <c r="N289" s="324">
        <v>4</v>
      </c>
      <c r="O289" s="325">
        <v>112014649</v>
      </c>
      <c r="P289" s="1392" t="str">
        <f t="shared" si="82"/>
        <v>PROMESTI PATRICIA JOSEFINA</v>
      </c>
      <c r="S289" s="294"/>
      <c r="U289" s="618"/>
      <c r="X289" s="294"/>
      <c r="Z289" s="618"/>
      <c r="AE289" s="618"/>
      <c r="AG289" s="325" t="s">
        <v>1373</v>
      </c>
      <c r="AH289" s="325">
        <v>1</v>
      </c>
      <c r="AI289" s="325">
        <v>112012748</v>
      </c>
      <c r="AJ289" s="799" t="str">
        <f t="shared" si="86"/>
        <v>VALARINO EDUARDO/VALARINO RAMIRO</v>
      </c>
      <c r="AL289" s="1415" t="s">
        <v>1152</v>
      </c>
      <c r="AM289" s="1416">
        <v>4</v>
      </c>
      <c r="AN289" s="1416">
        <v>112014757</v>
      </c>
      <c r="AO289" s="1394" t="str">
        <f t="shared" si="87"/>
        <v>GUZMAN CARLOS ALBERTO</v>
      </c>
      <c r="AQ289" s="1395" t="s">
        <v>1000</v>
      </c>
      <c r="AR289" s="325">
        <v>22</v>
      </c>
      <c r="AS289" s="325">
        <v>112013137</v>
      </c>
      <c r="AT289" s="1397" t="str">
        <f t="shared" si="88"/>
        <v>STABILE JOSE CARLOS</v>
      </c>
      <c r="AV289" s="302"/>
      <c r="AW289" s="664"/>
      <c r="AX289" s="325"/>
      <c r="AY289" s="325"/>
      <c r="AZ289" s="1392" t="e">
        <f t="shared" si="89"/>
        <v>#N/A</v>
      </c>
      <c r="BA289" s="302"/>
      <c r="BB289" s="664" t="s">
        <v>1340</v>
      </c>
      <c r="BC289" s="325">
        <v>12</v>
      </c>
      <c r="BD289" s="325">
        <v>112013323</v>
      </c>
      <c r="BE289" s="1392" t="str">
        <f t="shared" si="90"/>
        <v>ZUNINO MATIAS AGUSTIN</v>
      </c>
      <c r="BF289" s="618"/>
      <c r="BG289" s="553"/>
      <c r="BH289" s="294"/>
      <c r="BI289" s="618"/>
      <c r="BJ289" s="618"/>
      <c r="BK289" s="618"/>
      <c r="BL289" s="553"/>
      <c r="BM289" s="618"/>
      <c r="BN289" s="618"/>
      <c r="BO289" s="618"/>
    </row>
    <row r="290" spans="1:67" ht="13" hidden="1">
      <c r="A290" s="664" t="s">
        <v>711</v>
      </c>
      <c r="B290" s="325">
        <v>22</v>
      </c>
      <c r="C290" s="325">
        <v>112012839</v>
      </c>
      <c r="D290" s="1392" t="str">
        <f t="shared" si="80"/>
        <v>TORRES RIOS MANUEL RICARDO</v>
      </c>
      <c r="G290" s="325" t="s">
        <v>202</v>
      </c>
      <c r="H290" s="325">
        <v>1</v>
      </c>
      <c r="I290" s="325">
        <v>112012193</v>
      </c>
      <c r="J290" s="1393" t="str">
        <f t="shared" si="81"/>
        <v>PETRELLI ROBERTO ALEJANDRO</v>
      </c>
      <c r="M290" s="664" t="s">
        <v>514</v>
      </c>
      <c r="N290" s="324">
        <v>14</v>
      </c>
      <c r="O290" s="325">
        <v>112010484</v>
      </c>
      <c r="P290" s="1392" t="str">
        <f t="shared" si="82"/>
        <v>QUILICI CARLOS ANIBAL</v>
      </c>
      <c r="S290" s="294"/>
      <c r="U290" s="618"/>
      <c r="X290" s="294"/>
      <c r="Z290" s="618"/>
      <c r="AE290" s="618"/>
      <c r="AG290" s="325" t="s">
        <v>1374</v>
      </c>
      <c r="AH290" s="325">
        <v>1</v>
      </c>
      <c r="AI290" s="325">
        <v>112012852</v>
      </c>
      <c r="AJ290" s="799" t="str">
        <f t="shared" si="86"/>
        <v>VARZE KARINA</v>
      </c>
      <c r="AL290" s="302" t="s">
        <v>1163</v>
      </c>
      <c r="AM290" s="302">
        <v>4</v>
      </c>
      <c r="AN290" s="302">
        <v>112014761</v>
      </c>
      <c r="AO290" s="1394" t="e">
        <f t="shared" si="87"/>
        <v>#N/A</v>
      </c>
      <c r="AQ290" s="1395" t="s">
        <v>1059</v>
      </c>
      <c r="AR290" s="325">
        <v>1</v>
      </c>
      <c r="AS290" s="325">
        <v>112014557</v>
      </c>
      <c r="AT290" s="1397" t="e">
        <f t="shared" si="88"/>
        <v>#N/A</v>
      </c>
      <c r="AV290" s="302"/>
      <c r="AW290" s="664"/>
      <c r="AX290" s="325"/>
      <c r="AY290" s="325"/>
      <c r="AZ290" s="1392" t="e">
        <f t="shared" si="89"/>
        <v>#N/A</v>
      </c>
      <c r="BA290" s="302"/>
      <c r="BB290" s="664"/>
      <c r="BC290" s="325"/>
      <c r="BD290" s="325"/>
      <c r="BE290" s="1392" t="e">
        <f t="shared" si="90"/>
        <v>#N/A</v>
      </c>
      <c r="BF290" s="618"/>
      <c r="BG290" s="553"/>
      <c r="BH290" s="294"/>
      <c r="BI290" s="618"/>
      <c r="BJ290" s="618"/>
      <c r="BK290" s="618"/>
      <c r="BL290" s="553"/>
      <c r="BM290" s="618"/>
      <c r="BN290" s="618"/>
      <c r="BO290" s="618"/>
    </row>
    <row r="291" spans="1:67" ht="13" hidden="1">
      <c r="A291" s="664" t="s">
        <v>797</v>
      </c>
      <c r="B291" s="325">
        <v>1</v>
      </c>
      <c r="C291" s="325">
        <v>112014385</v>
      </c>
      <c r="D291" s="1392" t="str">
        <f t="shared" si="80"/>
        <v>TRAVERSA SILVINA ELIZABETH</v>
      </c>
      <c r="G291" s="325" t="s">
        <v>66</v>
      </c>
      <c r="H291" s="325">
        <v>38</v>
      </c>
      <c r="I291" s="325">
        <v>112014158</v>
      </c>
      <c r="J291" s="1393" t="e">
        <f t="shared" si="81"/>
        <v>#N/A</v>
      </c>
      <c r="M291" s="664" t="s">
        <v>618</v>
      </c>
      <c r="N291" s="324">
        <v>1</v>
      </c>
      <c r="O291" s="325">
        <v>112014227</v>
      </c>
      <c r="P291" s="1392" t="str">
        <f t="shared" si="82"/>
        <v>QUILICI TATIANA SOLANGE</v>
      </c>
      <c r="S291" s="294"/>
      <c r="U291" s="618"/>
      <c r="X291" s="294"/>
      <c r="Z291" s="618"/>
      <c r="AE291" s="618"/>
      <c r="AG291" s="325" t="s">
        <v>1307</v>
      </c>
      <c r="AH291" s="325">
        <v>22</v>
      </c>
      <c r="AI291" s="325">
        <v>112012568</v>
      </c>
      <c r="AJ291" s="799" t="str">
        <f t="shared" si="86"/>
        <v>VELEZ CARLOS FERNANDO</v>
      </c>
      <c r="AL291" s="302" t="s">
        <v>1153</v>
      </c>
      <c r="AM291" s="302">
        <v>4</v>
      </c>
      <c r="AN291" s="302">
        <v>112014769</v>
      </c>
      <c r="AO291" s="1394" t="str">
        <f t="shared" si="87"/>
        <v>LIZARAZU TORRICO GERMAN ROGER</v>
      </c>
      <c r="AQ291" s="1395" t="s">
        <v>1102</v>
      </c>
      <c r="AR291" s="325">
        <v>4</v>
      </c>
      <c r="AS291" s="325">
        <v>112010098</v>
      </c>
      <c r="AT291" s="1397" t="e">
        <f t="shared" si="88"/>
        <v>#N/A</v>
      </c>
      <c r="AV291" s="302"/>
      <c r="AW291" s="1418"/>
      <c r="AX291" s="506"/>
      <c r="AY291" s="506"/>
      <c r="AZ291" s="1419"/>
      <c r="BA291" s="302"/>
      <c r="BB291" s="664"/>
      <c r="BC291" s="325"/>
      <c r="BD291" s="325"/>
      <c r="BE291" s="1392" t="e">
        <f t="shared" si="90"/>
        <v>#N/A</v>
      </c>
      <c r="BF291" s="618"/>
      <c r="BG291" s="553"/>
      <c r="BH291" s="294"/>
      <c r="BI291" s="618"/>
      <c r="BJ291" s="618"/>
      <c r="BK291" s="618"/>
      <c r="BL291" s="553"/>
      <c r="BM291" s="618"/>
      <c r="BN291" s="618"/>
      <c r="BO291" s="618"/>
    </row>
    <row r="292" spans="1:67" ht="13" hidden="1">
      <c r="A292" s="664" t="s">
        <v>723</v>
      </c>
      <c r="B292" s="325">
        <v>3</v>
      </c>
      <c r="C292" s="325">
        <v>112013432</v>
      </c>
      <c r="D292" s="1392" t="str">
        <f t="shared" si="80"/>
        <v>TRUSONI LUCIANO</v>
      </c>
      <c r="G292" s="325" t="s">
        <v>102</v>
      </c>
      <c r="H292" s="325">
        <v>7</v>
      </c>
      <c r="I292" s="325">
        <v>112013915</v>
      </c>
      <c r="J292" s="1393" t="str">
        <f t="shared" si="81"/>
        <v>QUARLERI FRANCISCO EDGARDO</v>
      </c>
      <c r="M292" s="664" t="s">
        <v>597</v>
      </c>
      <c r="N292" s="324">
        <v>4</v>
      </c>
      <c r="O292" s="325">
        <v>112014337</v>
      </c>
      <c r="P292" s="1392" t="str">
        <f t="shared" si="82"/>
        <v>QUINTANA YANINA NOEMI</v>
      </c>
      <c r="S292" s="294"/>
      <c r="U292" s="618"/>
      <c r="X292" s="294"/>
      <c r="Z292" s="618"/>
      <c r="AE292" s="618"/>
      <c r="AG292" s="325" t="s">
        <v>1285</v>
      </c>
      <c r="AH292" s="325">
        <v>22</v>
      </c>
      <c r="AI292" s="325">
        <v>112011735</v>
      </c>
      <c r="AJ292" s="799" t="str">
        <f t="shared" si="86"/>
        <v>VERONA PABLO MATIAS</v>
      </c>
      <c r="AO292" s="1394" t="e">
        <f t="shared" si="87"/>
        <v>#N/A</v>
      </c>
      <c r="AQ292" s="1395" t="s">
        <v>1076</v>
      </c>
      <c r="AR292" s="325">
        <v>1</v>
      </c>
      <c r="AS292" s="325">
        <v>112012342</v>
      </c>
      <c r="AT292" s="1397" t="str">
        <f t="shared" si="88"/>
        <v>TOMAS ALEJANDRO GERMAN</v>
      </c>
      <c r="AZ292" s="618"/>
      <c r="BB292" s="664"/>
      <c r="BC292" s="325"/>
      <c r="BD292" s="325"/>
      <c r="BE292" s="1392" t="e">
        <f t="shared" si="90"/>
        <v>#N/A</v>
      </c>
      <c r="BF292" s="618"/>
      <c r="BG292" s="553"/>
      <c r="BH292" s="294"/>
      <c r="BI292" s="618"/>
      <c r="BJ292" s="618"/>
      <c r="BK292" s="618"/>
      <c r="BL292" s="553"/>
      <c r="BM292" s="618"/>
      <c r="BN292" s="618"/>
      <c r="BO292" s="618"/>
    </row>
    <row r="293" spans="1:67" ht="13" hidden="1">
      <c r="A293" s="664" t="s">
        <v>798</v>
      </c>
      <c r="B293" s="325">
        <v>1</v>
      </c>
      <c r="C293" s="325">
        <v>112013834</v>
      </c>
      <c r="D293" s="1392" t="str">
        <f t="shared" si="80"/>
        <v>TURRISI SILVIA SUSANA</v>
      </c>
      <c r="G293" s="325" t="s">
        <v>103</v>
      </c>
      <c r="H293" s="325">
        <v>31</v>
      </c>
      <c r="I293" s="325">
        <v>112012950</v>
      </c>
      <c r="J293" s="1393" t="str">
        <f t="shared" si="81"/>
        <v>ROBERTO ANIBAL PAVON</v>
      </c>
      <c r="M293" s="664" t="s">
        <v>547</v>
      </c>
      <c r="N293" s="324"/>
      <c r="O293" s="325">
        <v>112014434</v>
      </c>
      <c r="P293" s="1392" t="str">
        <f t="shared" si="82"/>
        <v>RAMASCO PADILLA LORENZO ALBERTO DANI</v>
      </c>
      <c r="S293" s="294"/>
      <c r="U293" s="618"/>
      <c r="X293" s="294"/>
      <c r="Z293" s="618"/>
      <c r="AE293" s="618"/>
      <c r="AG293" s="325" t="s">
        <v>1339</v>
      </c>
      <c r="AH293" s="325">
        <v>1</v>
      </c>
      <c r="AI293" s="325">
        <v>112014546</v>
      </c>
      <c r="AJ293" s="799" t="str">
        <f t="shared" si="86"/>
        <v>VETERINARIA CENTRO SOCIEDAD DE RESPONSABILIDAD LIMITAD</v>
      </c>
      <c r="AO293" s="1394" t="e">
        <f t="shared" si="87"/>
        <v>#N/A</v>
      </c>
      <c r="AQ293" s="1420" t="s">
        <v>1044</v>
      </c>
      <c r="AR293" s="925">
        <v>1</v>
      </c>
      <c r="AS293" s="925">
        <v>112010149</v>
      </c>
      <c r="AT293" s="1397" t="str">
        <f t="shared" si="88"/>
        <v>TRAVASCIO CARLOS ALBERTO</v>
      </c>
      <c r="AZ293" s="618"/>
      <c r="BB293" s="1403"/>
      <c r="BC293" s="1405"/>
      <c r="BD293" s="1405"/>
      <c r="BE293" s="1422" t="e">
        <f t="shared" si="90"/>
        <v>#N/A</v>
      </c>
      <c r="BF293" s="618"/>
      <c r="BG293" s="553"/>
      <c r="BH293" s="294"/>
      <c r="BI293" s="618"/>
      <c r="BJ293" s="618"/>
      <c r="BK293" s="618"/>
      <c r="BL293" s="553"/>
      <c r="BM293" s="618"/>
      <c r="BN293" s="618"/>
      <c r="BO293" s="618"/>
    </row>
    <row r="294" spans="1:67" ht="13" hidden="1">
      <c r="A294" s="664" t="s">
        <v>741</v>
      </c>
      <c r="B294" s="325">
        <v>1</v>
      </c>
      <c r="C294" s="325">
        <v>112012879</v>
      </c>
      <c r="D294" s="1392" t="str">
        <f t="shared" si="80"/>
        <v>VELURTAS SERGIO ALEJANDRO</v>
      </c>
      <c r="G294" s="325" t="s">
        <v>134</v>
      </c>
      <c r="H294" s="325">
        <v>18</v>
      </c>
      <c r="I294" s="325">
        <v>112014762</v>
      </c>
      <c r="J294" s="1393" t="str">
        <f t="shared" si="81"/>
        <v>RODRIGUEZ MARCELO FABIAN</v>
      </c>
      <c r="M294" s="664" t="s">
        <v>657</v>
      </c>
      <c r="N294" s="324">
        <v>1</v>
      </c>
      <c r="O294" s="325">
        <v>112011001</v>
      </c>
      <c r="P294" s="1392" t="str">
        <f t="shared" si="82"/>
        <v>RAPISARDI ADRIAN NORBERTO(Lanus)</v>
      </c>
      <c r="S294" s="294"/>
      <c r="U294" s="618"/>
      <c r="X294" s="294"/>
      <c r="Z294" s="618"/>
      <c r="AE294" s="618"/>
      <c r="AG294" s="325" t="s">
        <v>1284</v>
      </c>
      <c r="AH294" s="325">
        <v>7</v>
      </c>
      <c r="AI294" s="325">
        <v>112014172</v>
      </c>
      <c r="AJ294" s="799" t="str">
        <f t="shared" si="86"/>
        <v>VETERINARIA SEBASTIAN S.R.L</v>
      </c>
      <c r="AO294" s="618"/>
      <c r="AQ294" s="1423" t="s">
        <v>1092</v>
      </c>
      <c r="AR294" s="1412">
        <v>22</v>
      </c>
      <c r="AS294" s="1412">
        <v>112011430</v>
      </c>
      <c r="AT294" s="1397" t="e">
        <f t="shared" si="88"/>
        <v>#N/A</v>
      </c>
      <c r="AZ294" s="618"/>
      <c r="BE294" s="618"/>
      <c r="BF294" s="618"/>
      <c r="BG294" s="553"/>
      <c r="BH294" s="294"/>
      <c r="BI294" s="618"/>
      <c r="BJ294" s="618"/>
      <c r="BK294" s="618"/>
      <c r="BL294" s="553"/>
      <c r="BM294" s="618"/>
      <c r="BN294" s="618"/>
      <c r="BO294" s="618"/>
    </row>
    <row r="295" spans="1:67" ht="13" hidden="1">
      <c r="A295" s="664" t="s">
        <v>712</v>
      </c>
      <c r="B295" s="325">
        <v>22</v>
      </c>
      <c r="C295" s="325">
        <v>112010514</v>
      </c>
      <c r="D295" s="1392" t="str">
        <f t="shared" si="80"/>
        <v>VET DE MARCO SOCIEDAD SIMPLE DE CORREA ALEJO Y DE MARCO MARIELA</v>
      </c>
      <c r="G295" s="325" t="s">
        <v>136</v>
      </c>
      <c r="H295" s="325">
        <v>18</v>
      </c>
      <c r="I295" s="325">
        <v>112014743</v>
      </c>
      <c r="J295" s="1393" t="str">
        <f t="shared" si="81"/>
        <v>ROMAC GUSTAVO GABRIEL</v>
      </c>
      <c r="M295" s="664" t="s">
        <v>622</v>
      </c>
      <c r="N295" s="324">
        <v>1</v>
      </c>
      <c r="O295" s="325">
        <v>112011776</v>
      </c>
      <c r="P295" s="1392" t="str">
        <f t="shared" si="82"/>
        <v>RODRIGUEZ FLORES SABRINA GIDELA</v>
      </c>
      <c r="S295" s="294"/>
      <c r="U295" s="618"/>
      <c r="X295" s="294"/>
      <c r="Z295" s="618"/>
      <c r="AE295" s="618"/>
      <c r="AG295" s="325" t="s">
        <v>1325</v>
      </c>
      <c r="AH295" s="325">
        <v>22</v>
      </c>
      <c r="AI295" s="325">
        <v>112013992</v>
      </c>
      <c r="AJ295" s="799" t="str">
        <f t="shared" si="86"/>
        <v>VOORAF WORDEN S.R.L.</v>
      </c>
      <c r="AO295" s="618"/>
      <c r="AQ295" s="1423" t="s">
        <v>1001</v>
      </c>
      <c r="AR295" s="1412">
        <v>22</v>
      </c>
      <c r="AS295" s="1412">
        <v>112013300</v>
      </c>
      <c r="AT295" s="1397" t="str">
        <f t="shared" si="88"/>
        <v>VETERINARIA DEL PUEBLO SRL</v>
      </c>
      <c r="AZ295" s="618"/>
      <c r="BE295" s="618"/>
      <c r="BF295" s="618"/>
      <c r="BG295" s="553"/>
      <c r="BH295" s="294"/>
      <c r="BI295" s="618"/>
      <c r="BJ295" s="618"/>
      <c r="BK295" s="618"/>
      <c r="BL295" s="553"/>
      <c r="BM295" s="618"/>
      <c r="BN295" s="618"/>
      <c r="BO295" s="618"/>
    </row>
    <row r="296" spans="1:67" ht="13" hidden="1">
      <c r="A296" s="664" t="s">
        <v>733</v>
      </c>
      <c r="B296" s="325">
        <v>4</v>
      </c>
      <c r="C296" s="325">
        <v>112010639</v>
      </c>
      <c r="D296" s="1392" t="str">
        <f t="shared" si="80"/>
        <v>VOLPATTI MARCELA MONICA</v>
      </c>
      <c r="G296" s="325" t="s">
        <v>203</v>
      </c>
      <c r="H296" s="325">
        <v>1</v>
      </c>
      <c r="I296" s="325">
        <v>112013748</v>
      </c>
      <c r="J296" s="1393" t="str">
        <f t="shared" si="81"/>
        <v>ROMANO MARIANA</v>
      </c>
      <c r="M296" s="664" t="s">
        <v>537</v>
      </c>
      <c r="N296" s="324">
        <v>7</v>
      </c>
      <c r="O296" s="325">
        <v>112012893</v>
      </c>
      <c r="P296" s="1392" t="str">
        <f t="shared" si="82"/>
        <v>RODRIGUEZ JORGE OMAR</v>
      </c>
      <c r="S296" s="294"/>
      <c r="U296" s="618"/>
      <c r="X296" s="294"/>
      <c r="Z296" s="618"/>
      <c r="AE296" s="618"/>
      <c r="AG296" s="325" t="s">
        <v>1326</v>
      </c>
      <c r="AH296" s="325">
        <v>22</v>
      </c>
      <c r="AI296" s="325">
        <v>112012507</v>
      </c>
      <c r="AJ296" s="799" t="str">
        <f t="shared" si="86"/>
        <v>WOLCOFF MARIANA LORENA</v>
      </c>
      <c r="AO296" s="618"/>
      <c r="AQ296" s="1438" t="s">
        <v>1045</v>
      </c>
      <c r="AR296" s="1439">
        <v>1</v>
      </c>
      <c r="AS296" s="1439">
        <v>112014371</v>
      </c>
      <c r="AT296" s="1397" t="str">
        <f t="shared" si="88"/>
        <v>VETERINARIA LA MULITA DE AZUL S. R. L</v>
      </c>
      <c r="AZ296" s="618"/>
      <c r="BE296" s="618"/>
      <c r="BF296" s="618"/>
      <c r="BG296" s="553"/>
      <c r="BH296" s="294"/>
      <c r="BI296" s="618"/>
      <c r="BJ296" s="618"/>
      <c r="BK296" s="618"/>
      <c r="BL296" s="553"/>
      <c r="BM296" s="618"/>
      <c r="BN296" s="618"/>
      <c r="BO296" s="618"/>
    </row>
    <row r="297" spans="1:67" ht="13" hidden="1">
      <c r="A297" s="664" t="s">
        <v>740</v>
      </c>
      <c r="B297" s="325">
        <v>1</v>
      </c>
      <c r="C297" s="325">
        <v>112014687</v>
      </c>
      <c r="D297" s="1392" t="str">
        <f t="shared" si="80"/>
        <v>WILLIAM-VET S. CAP I SECC IV</v>
      </c>
      <c r="G297" s="325" t="s">
        <v>65</v>
      </c>
      <c r="H297" s="325">
        <v>11</v>
      </c>
      <c r="I297" s="325">
        <v>112010681</v>
      </c>
      <c r="J297" s="1393" t="str">
        <f t="shared" si="81"/>
        <v>ROMANO OSVALDO RUBEN</v>
      </c>
      <c r="M297" s="664" t="s">
        <v>598</v>
      </c>
      <c r="N297" s="324">
        <v>4</v>
      </c>
      <c r="O297" s="325">
        <v>112014126</v>
      </c>
      <c r="P297" s="1392" t="str">
        <f t="shared" si="82"/>
        <v>RODRIGUEZ NANCY MARINA</v>
      </c>
      <c r="S297" s="294"/>
      <c r="U297" s="618"/>
      <c r="X297" s="294"/>
      <c r="Z297" s="618"/>
      <c r="AE297" s="618"/>
      <c r="AG297" s="325" t="s">
        <v>1375</v>
      </c>
      <c r="AH297" s="325">
        <v>1</v>
      </c>
      <c r="AI297" s="325">
        <v>112014039</v>
      </c>
      <c r="AJ297" s="799" t="str">
        <f t="shared" si="86"/>
        <v>YANNACE AYELEN</v>
      </c>
      <c r="AO297" s="618"/>
      <c r="AQ297" s="325" t="s">
        <v>1036</v>
      </c>
      <c r="AR297" s="325">
        <v>4</v>
      </c>
      <c r="AS297" s="325">
        <v>112012698</v>
      </c>
      <c r="AT297" s="1397" t="str">
        <f t="shared" si="88"/>
        <v>YURNO OSCAR ALFREDO</v>
      </c>
      <c r="AZ297" s="618"/>
      <c r="BE297" s="618"/>
      <c r="BF297" s="618"/>
      <c r="BG297" s="553"/>
      <c r="BH297" s="294"/>
      <c r="BI297" s="618"/>
      <c r="BJ297" s="618"/>
      <c r="BK297" s="618"/>
      <c r="BL297" s="553"/>
      <c r="BM297" s="618"/>
      <c r="BN297" s="618"/>
      <c r="BO297" s="618"/>
    </row>
    <row r="298" spans="1:67" ht="13" hidden="1">
      <c r="A298" s="664" t="s">
        <v>734</v>
      </c>
      <c r="B298" s="325">
        <v>4</v>
      </c>
      <c r="C298" s="325">
        <v>112012929</v>
      </c>
      <c r="D298" s="1392" t="str">
        <f t="shared" si="80"/>
        <v>WINIRONE S.A.</v>
      </c>
      <c r="G298" s="325" t="s">
        <v>128</v>
      </c>
      <c r="H298" s="325">
        <v>18</v>
      </c>
      <c r="I298" s="325">
        <v>112012975</v>
      </c>
      <c r="J298" s="1393" t="str">
        <f t="shared" si="81"/>
        <v>ROMERO CLAUDIO OMAR</v>
      </c>
      <c r="M298" s="664" t="s">
        <v>512</v>
      </c>
      <c r="N298" s="324">
        <v>10</v>
      </c>
      <c r="O298" s="325">
        <v>112014087</v>
      </c>
      <c r="P298" s="1392" t="str">
        <f t="shared" si="82"/>
        <v>RODRIGUEZ TROMBA HECTOR ANDRES</v>
      </c>
      <c r="S298" s="294"/>
      <c r="U298" s="618"/>
      <c r="X298" s="294"/>
      <c r="Z298" s="618"/>
      <c r="AE298" s="618"/>
      <c r="AG298" s="325" t="s">
        <v>1340</v>
      </c>
      <c r="AH298" s="325">
        <v>1</v>
      </c>
      <c r="AI298" s="325">
        <v>112013323</v>
      </c>
      <c r="AJ298" s="799" t="str">
        <f t="shared" si="86"/>
        <v>ZUNINO MATIAS AGUSTIN</v>
      </c>
      <c r="AO298" s="618"/>
      <c r="AQ298" s="325" t="s">
        <v>1003</v>
      </c>
      <c r="AR298" s="325">
        <v>7</v>
      </c>
      <c r="AS298" s="325">
        <v>112013818</v>
      </c>
      <c r="AT298" s="1397" t="str">
        <f t="shared" si="88"/>
        <v>ZAFFARANO JOSE MARIA</v>
      </c>
      <c r="AZ298" s="618"/>
      <c r="BE298" s="618"/>
      <c r="BF298" s="618"/>
      <c r="BG298" s="553"/>
      <c r="BH298" s="294"/>
      <c r="BI298" s="618"/>
      <c r="BJ298" s="618"/>
      <c r="BK298" s="618"/>
      <c r="BL298" s="553"/>
      <c r="BM298" s="618"/>
      <c r="BN298" s="618"/>
      <c r="BO298" s="618"/>
    </row>
    <row r="299" spans="1:67" ht="13" hidden="1">
      <c r="A299" s="664" t="s">
        <v>706</v>
      </c>
      <c r="B299" s="325">
        <v>7</v>
      </c>
      <c r="C299" s="325">
        <v>112014731</v>
      </c>
      <c r="D299" s="1392" t="str">
        <f t="shared" si="80"/>
        <v>ZARATE NOELIA VANESA</v>
      </c>
      <c r="G299" s="325" t="s">
        <v>112</v>
      </c>
      <c r="H299" s="325">
        <v>1</v>
      </c>
      <c r="I299" s="325">
        <v>112014138</v>
      </c>
      <c r="J299" s="1393" t="str">
        <f t="shared" si="81"/>
        <v>SANZO JOSE MARCELO</v>
      </c>
      <c r="M299" s="664" t="s">
        <v>520</v>
      </c>
      <c r="N299" s="324">
        <v>8</v>
      </c>
      <c r="O299" s="325">
        <v>112014202</v>
      </c>
      <c r="P299" s="1392" t="str">
        <f t="shared" si="82"/>
        <v>ROMERO SANDRA INES</v>
      </c>
      <c r="S299" s="294"/>
      <c r="U299" s="618"/>
      <c r="X299" s="294"/>
      <c r="Z299" s="618"/>
      <c r="AE299" s="618"/>
      <c r="AG299" s="325"/>
      <c r="AH299" s="325"/>
      <c r="AI299" s="325"/>
      <c r="AJ299" s="799" t="e">
        <f t="shared" si="86"/>
        <v>#N/A</v>
      </c>
      <c r="AO299" s="618"/>
      <c r="AT299" s="618"/>
      <c r="AZ299" s="618"/>
      <c r="BE299" s="618"/>
      <c r="BF299" s="618"/>
      <c r="BG299" s="553"/>
      <c r="BH299" s="294"/>
      <c r="BI299" s="618"/>
      <c r="BJ299" s="618"/>
      <c r="BK299" s="618"/>
      <c r="BL299" s="553"/>
      <c r="BM299" s="618"/>
      <c r="BN299" s="618"/>
      <c r="BO299" s="618"/>
    </row>
    <row r="300" spans="1:67" ht="13" hidden="1">
      <c r="A300" s="664"/>
      <c r="B300" s="325"/>
      <c r="C300" s="325"/>
      <c r="D300" s="1392" t="e">
        <f t="shared" si="80"/>
        <v>#N/A</v>
      </c>
      <c r="G300" s="325" t="s">
        <v>204</v>
      </c>
      <c r="H300" s="325">
        <v>1</v>
      </c>
      <c r="I300" s="325">
        <v>112012870</v>
      </c>
      <c r="J300" s="1393" t="str">
        <f t="shared" si="81"/>
        <v>SCARPONE ORIEL ALFREDO</v>
      </c>
      <c r="M300" s="664" t="s">
        <v>599</v>
      </c>
      <c r="N300" s="324">
        <v>4</v>
      </c>
      <c r="O300" s="325">
        <v>112014313</v>
      </c>
      <c r="P300" s="1392" t="str">
        <f t="shared" si="82"/>
        <v>ROSA JUAN MARTIN</v>
      </c>
      <c r="S300" s="294"/>
      <c r="U300" s="618"/>
      <c r="X300" s="294"/>
      <c r="Z300" s="618"/>
      <c r="AE300" s="618"/>
      <c r="AG300" s="325"/>
      <c r="AH300" s="325"/>
      <c r="AI300" s="325"/>
      <c r="AJ300" s="799" t="e">
        <f t="shared" si="86"/>
        <v>#N/A</v>
      </c>
      <c r="AO300" s="618"/>
      <c r="AT300" s="618"/>
      <c r="AZ300" s="618"/>
      <c r="BE300" s="618"/>
      <c r="BF300" s="618"/>
      <c r="BG300" s="553"/>
      <c r="BH300" s="294"/>
      <c r="BI300" s="618"/>
      <c r="BJ300" s="618"/>
      <c r="BK300" s="618"/>
      <c r="BL300" s="553"/>
      <c r="BM300" s="618"/>
      <c r="BN300" s="618"/>
      <c r="BO300" s="618"/>
    </row>
    <row r="301" spans="1:67" ht="13" hidden="1">
      <c r="A301" s="1403"/>
      <c r="B301" s="1405"/>
      <c r="C301" s="1405"/>
      <c r="D301" s="1392" t="e">
        <f t="shared" ref="D301:D332" si="91">VLOOKUP(C301,buelafin,13,FALSE)</f>
        <v>#N/A</v>
      </c>
      <c r="G301" s="325" t="s">
        <v>108</v>
      </c>
      <c r="H301" s="325">
        <v>22</v>
      </c>
      <c r="I301" s="325">
        <v>112012844</v>
      </c>
      <c r="J301" s="1393" t="str">
        <f t="shared" ref="J301:J332" si="92">VLOOKUP(I301,bassfin,13,FALSE)</f>
        <v>SCHIUMA RUBEN ALBERTO</v>
      </c>
      <c r="M301" s="664" t="s">
        <v>538</v>
      </c>
      <c r="N301" s="324">
        <v>7</v>
      </c>
      <c r="O301" s="325">
        <v>112014739</v>
      </c>
      <c r="P301" s="1392" t="str">
        <f t="shared" ref="P301:P332" si="93">VLOOKUP(O301,LAGEFIN,13,FALSE)</f>
        <v>RUIZ MARIANA LAURA</v>
      </c>
      <c r="S301" s="294"/>
      <c r="U301" s="618"/>
      <c r="X301" s="294"/>
      <c r="Z301" s="618"/>
      <c r="AE301" s="618"/>
      <c r="AG301" s="325"/>
      <c r="AH301" s="325"/>
      <c r="AI301" s="325"/>
      <c r="AJ301" s="799" t="e">
        <f>VLOOKUP(AI301,MONTENEFIN,6,FALSE)</f>
        <v>#N/A</v>
      </c>
      <c r="AO301" s="618"/>
      <c r="AT301" s="618"/>
      <c r="AZ301" s="618"/>
      <c r="BE301" s="618"/>
      <c r="BF301" s="618"/>
      <c r="BG301" s="553"/>
      <c r="BH301" s="294"/>
      <c r="BI301" s="618"/>
      <c r="BJ301" s="618"/>
      <c r="BK301" s="618"/>
      <c r="BL301" s="553"/>
      <c r="BM301" s="618"/>
      <c r="BN301" s="618"/>
      <c r="BO301" s="618"/>
    </row>
    <row r="302" spans="1:67" ht="13" hidden="1">
      <c r="D302" s="1392" t="e">
        <f t="shared" ref="D302:D308" si="94">VLOOKUP(C302,buelafin,10,FALSE)</f>
        <v>#N/A</v>
      </c>
      <c r="G302" s="325" t="s">
        <v>205</v>
      </c>
      <c r="H302" s="325">
        <v>1</v>
      </c>
      <c r="I302" s="325">
        <v>112011100</v>
      </c>
      <c r="J302" s="1393" t="str">
        <f t="shared" si="92"/>
        <v>SOMOZA ALVARO</v>
      </c>
      <c r="M302" s="664" t="s">
        <v>640</v>
      </c>
      <c r="N302" s="324">
        <v>4</v>
      </c>
      <c r="O302" s="325">
        <v>112014638</v>
      </c>
      <c r="P302" s="1392" t="str">
        <f t="shared" si="93"/>
        <v>SAN MILLAN MATIAS ALBERTO</v>
      </c>
      <c r="S302" s="294"/>
      <c r="U302" s="618"/>
      <c r="X302" s="294"/>
      <c r="Z302" s="618"/>
      <c r="AE302" s="618"/>
      <c r="AO302" s="618"/>
      <c r="AT302" s="618"/>
      <c r="AY302" s="302" t="s">
        <v>1564</v>
      </c>
      <c r="AZ302" s="618"/>
      <c r="BE302" s="618"/>
      <c r="BF302" s="618"/>
      <c r="BG302" s="553"/>
      <c r="BH302" s="294"/>
      <c r="BI302" s="618"/>
      <c r="BJ302" s="618"/>
      <c r="BK302" s="618"/>
      <c r="BL302" s="553"/>
      <c r="BM302" s="618"/>
      <c r="BN302" s="618"/>
      <c r="BO302" s="618"/>
    </row>
    <row r="303" spans="1:67" ht="13" hidden="1">
      <c r="D303" s="1392" t="e">
        <f t="shared" si="94"/>
        <v>#N/A</v>
      </c>
      <c r="G303" s="325" t="s">
        <v>166</v>
      </c>
      <c r="H303" s="325">
        <v>4</v>
      </c>
      <c r="I303" s="325">
        <v>112013197</v>
      </c>
      <c r="J303" s="1393" t="str">
        <f t="shared" si="92"/>
        <v>SPADARO FLAVIA</v>
      </c>
      <c r="M303" s="664" t="s">
        <v>655</v>
      </c>
      <c r="N303" s="324">
        <v>1</v>
      </c>
      <c r="O303" s="325">
        <v>112014082</v>
      </c>
      <c r="P303" s="1392" t="str">
        <f t="shared" si="93"/>
        <v>SANCHEZ ADRIANA LORENA</v>
      </c>
      <c r="S303" s="294"/>
      <c r="U303" s="618"/>
      <c r="X303" s="294"/>
      <c r="Z303" s="618"/>
      <c r="AE303" s="618"/>
      <c r="AO303" s="618"/>
      <c r="AT303" s="618"/>
      <c r="AZ303" s="618"/>
      <c r="BE303" s="618"/>
      <c r="BF303" s="618"/>
      <c r="BG303" s="553"/>
      <c r="BH303" s="294"/>
      <c r="BI303" s="618"/>
      <c r="BJ303" s="618"/>
      <c r="BK303" s="618"/>
      <c r="BL303" s="553"/>
      <c r="BM303" s="618"/>
      <c r="BN303" s="618"/>
      <c r="BO303" s="618"/>
    </row>
    <row r="304" spans="1:67" ht="13" hidden="1">
      <c r="D304" s="1392" t="e">
        <f t="shared" si="94"/>
        <v>#N/A</v>
      </c>
      <c r="G304" s="325" t="s">
        <v>64</v>
      </c>
      <c r="H304" s="325">
        <v>38</v>
      </c>
      <c r="I304" s="325">
        <v>112014519</v>
      </c>
      <c r="J304" s="1393" t="str">
        <f t="shared" si="92"/>
        <v>STRANGIS ADRIAN</v>
      </c>
      <c r="M304" s="664" t="s">
        <v>676</v>
      </c>
      <c r="N304" s="324">
        <v>1</v>
      </c>
      <c r="O304" s="325">
        <v>112014030</v>
      </c>
      <c r="P304" s="1392" t="e">
        <f t="shared" si="93"/>
        <v>#N/A</v>
      </c>
      <c r="S304" s="294"/>
      <c r="U304" s="618"/>
      <c r="X304" s="294"/>
      <c r="Z304" s="618"/>
      <c r="AE304" s="618"/>
      <c r="AO304" s="618"/>
      <c r="AT304" s="618"/>
      <c r="AZ304" s="618"/>
      <c r="BE304" s="618"/>
      <c r="BF304" s="618"/>
      <c r="BG304" s="553"/>
      <c r="BH304" s="294"/>
      <c r="BI304" s="618"/>
      <c r="BJ304" s="618"/>
      <c r="BK304" s="618"/>
      <c r="BL304" s="553"/>
      <c r="BM304" s="618"/>
      <c r="BN304" s="618"/>
      <c r="BO304" s="618"/>
    </row>
    <row r="305" spans="4:67" ht="13" hidden="1">
      <c r="D305" s="1392" t="e">
        <f t="shared" si="94"/>
        <v>#N/A</v>
      </c>
      <c r="G305" s="325" t="s">
        <v>206</v>
      </c>
      <c r="H305" s="325">
        <v>1</v>
      </c>
      <c r="I305" s="325">
        <v>112012709</v>
      </c>
      <c r="J305" s="1393" t="str">
        <f t="shared" si="92"/>
        <v>SUAREZ ANABELA FLORENCIA</v>
      </c>
      <c r="M305" s="664" t="s">
        <v>600</v>
      </c>
      <c r="N305" s="324">
        <v>4</v>
      </c>
      <c r="O305" s="325">
        <v>112014392</v>
      </c>
      <c r="P305" s="1392" t="str">
        <f t="shared" si="93"/>
        <v>SCARDAMAGLIA GUILLERMO CARLOS LEANDRO</v>
      </c>
      <c r="S305" s="294"/>
      <c r="U305" s="618"/>
      <c r="X305" s="294"/>
      <c r="Z305" s="618"/>
      <c r="AE305" s="618"/>
      <c r="AO305" s="618"/>
      <c r="AT305" s="618"/>
      <c r="AZ305" s="618"/>
      <c r="BE305" s="618"/>
      <c r="BF305" s="618"/>
      <c r="BG305" s="553"/>
      <c r="BH305" s="294"/>
      <c r="BI305" s="618"/>
      <c r="BJ305" s="618"/>
      <c r="BK305" s="618"/>
      <c r="BL305" s="553"/>
      <c r="BM305" s="618"/>
      <c r="BN305" s="618"/>
      <c r="BO305" s="618"/>
    </row>
    <row r="306" spans="4:67" ht="13" hidden="1">
      <c r="D306" s="1392" t="e">
        <f t="shared" si="94"/>
        <v>#N/A</v>
      </c>
      <c r="G306" s="325" t="s">
        <v>225</v>
      </c>
      <c r="H306" s="325"/>
      <c r="I306" s="325">
        <v>112013850</v>
      </c>
      <c r="J306" s="1393" t="str">
        <f t="shared" si="92"/>
        <v>SUAREZ SILVIA ELENA</v>
      </c>
      <c r="M306" s="664" t="s">
        <v>565</v>
      </c>
      <c r="N306" s="324">
        <v>18</v>
      </c>
      <c r="O306" s="325">
        <v>112014436</v>
      </c>
      <c r="P306" s="1392" t="str">
        <f t="shared" si="93"/>
        <v>SEBASTIAN ARIEL RINALDI</v>
      </c>
      <c r="S306" s="294"/>
      <c r="U306" s="618"/>
      <c r="X306" s="294"/>
      <c r="Z306" s="618"/>
      <c r="AE306" s="618"/>
      <c r="AO306" s="618"/>
      <c r="AT306" s="618"/>
      <c r="AZ306" s="618"/>
      <c r="BE306" s="618"/>
      <c r="BF306" s="618"/>
      <c r="BG306" s="553"/>
      <c r="BH306" s="294"/>
      <c r="BI306" s="618"/>
      <c r="BJ306" s="618"/>
      <c r="BK306" s="618"/>
      <c r="BL306" s="553"/>
      <c r="BM306" s="618"/>
      <c r="BN306" s="618"/>
      <c r="BO306" s="618"/>
    </row>
    <row r="307" spans="4:67" ht="13" hidden="1">
      <c r="D307" s="1392" t="e">
        <f t="shared" si="94"/>
        <v>#N/A</v>
      </c>
      <c r="G307" s="325" t="s">
        <v>207</v>
      </c>
      <c r="H307" s="325">
        <v>1</v>
      </c>
      <c r="I307" s="325">
        <v>112014273</v>
      </c>
      <c r="J307" s="1393" t="str">
        <f t="shared" si="92"/>
        <v>SZPIRO NOELIA BETIANA</v>
      </c>
      <c r="M307" s="664" t="s">
        <v>662</v>
      </c>
      <c r="N307" s="324"/>
      <c r="O307" s="325">
        <v>112011327</v>
      </c>
      <c r="P307" s="1392" t="str">
        <f t="shared" si="93"/>
        <v>SERVIDDIO ROBERTO CECILIO</v>
      </c>
      <c r="S307" s="294"/>
      <c r="U307" s="618"/>
      <c r="X307" s="294"/>
      <c r="Z307" s="618"/>
      <c r="AE307" s="618"/>
      <c r="AO307" s="618"/>
      <c r="AT307" s="618"/>
      <c r="AZ307" s="618"/>
      <c r="BE307" s="618"/>
      <c r="BF307" s="618"/>
      <c r="BG307" s="553"/>
      <c r="BH307" s="294"/>
      <c r="BI307" s="618"/>
      <c r="BJ307" s="618"/>
      <c r="BK307" s="618"/>
      <c r="BL307" s="553"/>
      <c r="BM307" s="618"/>
      <c r="BN307" s="618"/>
      <c r="BO307" s="618"/>
    </row>
    <row r="308" spans="4:67" ht="13" hidden="1">
      <c r="D308" s="1392" t="e">
        <f t="shared" si="94"/>
        <v>#N/A</v>
      </c>
      <c r="G308" s="325" t="s">
        <v>135</v>
      </c>
      <c r="H308" s="325">
        <v>18</v>
      </c>
      <c r="I308" s="325">
        <v>112014390</v>
      </c>
      <c r="J308" s="1393" t="str">
        <f t="shared" si="92"/>
        <v>TAYAR ALEJANDRO/FLORES JUAN</v>
      </c>
      <c r="M308" s="664" t="s">
        <v>623</v>
      </c>
      <c r="N308" s="324">
        <v>3</v>
      </c>
      <c r="O308" s="325">
        <v>112014156</v>
      </c>
      <c r="P308" s="1392" t="str">
        <f t="shared" si="93"/>
        <v>SOSA GARCIA ANGELICA</v>
      </c>
      <c r="S308" s="294"/>
      <c r="U308" s="618"/>
      <c r="X308" s="294"/>
      <c r="Z308" s="618"/>
      <c r="AE308" s="618"/>
      <c r="AO308" s="618"/>
      <c r="AT308" s="618"/>
      <c r="AZ308" s="618"/>
      <c r="BE308" s="618"/>
      <c r="BF308" s="618"/>
      <c r="BG308" s="553"/>
      <c r="BH308" s="294"/>
      <c r="BI308" s="618"/>
      <c r="BJ308" s="618"/>
      <c r="BK308" s="618"/>
      <c r="BL308" s="553"/>
      <c r="BM308" s="618"/>
      <c r="BN308" s="618"/>
      <c r="BO308" s="618"/>
    </row>
    <row r="309" spans="4:67" ht="13" hidden="1">
      <c r="D309" s="618"/>
      <c r="G309" s="325" t="s">
        <v>211</v>
      </c>
      <c r="H309" s="325">
        <v>1</v>
      </c>
      <c r="I309" s="325">
        <v>112013944</v>
      </c>
      <c r="J309" s="1393" t="str">
        <f t="shared" si="92"/>
        <v>TOGNOLA LUIS AUGUSTO</v>
      </c>
      <c r="M309" s="664" t="s">
        <v>641</v>
      </c>
      <c r="N309" s="324">
        <v>4</v>
      </c>
      <c r="O309" s="325">
        <v>112014259</v>
      </c>
      <c r="P309" s="1392" t="str">
        <f t="shared" si="93"/>
        <v>SPACAN SRL</v>
      </c>
      <c r="S309" s="294"/>
      <c r="U309" s="618"/>
      <c r="X309" s="294"/>
      <c r="Z309" s="618"/>
      <c r="AE309" s="618"/>
      <c r="AO309" s="618"/>
      <c r="AT309" s="618"/>
      <c r="AZ309" s="618"/>
      <c r="BE309" s="618"/>
      <c r="BF309" s="618"/>
      <c r="BG309" s="553"/>
      <c r="BH309" s="294"/>
      <c r="BI309" s="618"/>
      <c r="BJ309" s="618"/>
      <c r="BK309" s="618"/>
      <c r="BL309" s="553"/>
      <c r="BM309" s="618"/>
      <c r="BN309" s="618"/>
      <c r="BO309" s="618"/>
    </row>
    <row r="310" spans="4:67" ht="13" hidden="1">
      <c r="D310" s="618"/>
      <c r="G310" s="325" t="s">
        <v>109</v>
      </c>
      <c r="H310" s="325">
        <v>22</v>
      </c>
      <c r="I310" s="325">
        <v>112013040</v>
      </c>
      <c r="J310" s="1393" t="str">
        <f t="shared" si="92"/>
        <v>TORRES LORENA SILVIA</v>
      </c>
      <c r="M310" s="664" t="s">
        <v>601</v>
      </c>
      <c r="N310" s="324">
        <v>4</v>
      </c>
      <c r="O310" s="325">
        <v>112014406</v>
      </c>
      <c r="P310" s="1392" t="str">
        <f t="shared" si="93"/>
        <v>SPINELLI NOELIA ALEJANDRA</v>
      </c>
      <c r="S310" s="294"/>
      <c r="U310" s="618"/>
      <c r="X310" s="294"/>
      <c r="Z310" s="618"/>
      <c r="AE310" s="618"/>
      <c r="AO310" s="618"/>
      <c r="AT310" s="618"/>
      <c r="AZ310" s="618"/>
      <c r="BE310" s="618"/>
      <c r="BF310" s="618"/>
      <c r="BG310" s="553"/>
      <c r="BH310" s="294"/>
      <c r="BI310" s="618"/>
      <c r="BJ310" s="618"/>
      <c r="BK310" s="618"/>
      <c r="BL310" s="553"/>
      <c r="BM310" s="618"/>
      <c r="BN310" s="618"/>
      <c r="BO310" s="618"/>
    </row>
    <row r="311" spans="4:67" ht="13" hidden="1">
      <c r="D311" s="618"/>
      <c r="G311" s="325" t="s">
        <v>209</v>
      </c>
      <c r="H311" s="325">
        <v>1</v>
      </c>
      <c r="I311" s="325">
        <v>112014760</v>
      </c>
      <c r="J311" s="1393" t="str">
        <f t="shared" si="92"/>
        <v>TOSONIERI QUAGLIA JULIETA ALEJANDRA</v>
      </c>
      <c r="M311" s="664" t="s">
        <v>566</v>
      </c>
      <c r="N311" s="324">
        <v>18</v>
      </c>
      <c r="O311" s="325">
        <v>112014459</v>
      </c>
      <c r="P311" s="1392" t="str">
        <f t="shared" si="93"/>
        <v>STEMPHELET JAVIER ALEJANDRO</v>
      </c>
      <c r="S311" s="294"/>
      <c r="U311" s="618"/>
      <c r="X311" s="294"/>
      <c r="Z311" s="618"/>
      <c r="AE311" s="618"/>
      <c r="AO311" s="618"/>
      <c r="AT311" s="618"/>
      <c r="AZ311" s="618"/>
      <c r="BE311" s="618"/>
      <c r="BF311" s="618"/>
      <c r="BG311" s="553"/>
      <c r="BH311" s="294"/>
      <c r="BI311" s="618"/>
      <c r="BJ311" s="618"/>
      <c r="BK311" s="618"/>
      <c r="BL311" s="553"/>
      <c r="BM311" s="618"/>
      <c r="BN311" s="618"/>
      <c r="BO311" s="618"/>
    </row>
    <row r="312" spans="4:67" ht="13" hidden="1">
      <c r="D312" s="618"/>
      <c r="G312" s="325" t="s">
        <v>111</v>
      </c>
      <c r="H312" s="325">
        <v>20</v>
      </c>
      <c r="I312" s="325">
        <v>112013125</v>
      </c>
      <c r="J312" s="1393" t="e">
        <f t="shared" si="92"/>
        <v>#N/A</v>
      </c>
      <c r="M312" s="664" t="s">
        <v>602</v>
      </c>
      <c r="N312" s="324">
        <v>4</v>
      </c>
      <c r="O312" s="325">
        <v>112014065</v>
      </c>
      <c r="P312" s="1392" t="str">
        <f t="shared" si="93"/>
        <v>SUAREZ PATRICIA NOEMI</v>
      </c>
      <c r="S312" s="294"/>
      <c r="U312" s="618"/>
      <c r="X312" s="294"/>
      <c r="Z312" s="618"/>
      <c r="AE312" s="618"/>
      <c r="AO312" s="618"/>
      <c r="AT312" s="618"/>
      <c r="AZ312" s="618"/>
      <c r="BE312" s="618"/>
      <c r="BF312" s="618"/>
      <c r="BG312" s="553"/>
      <c r="BH312" s="294"/>
      <c r="BI312" s="618"/>
      <c r="BJ312" s="618"/>
      <c r="BK312" s="618"/>
      <c r="BL312" s="553"/>
      <c r="BM312" s="618"/>
      <c r="BN312" s="618"/>
      <c r="BO312" s="618"/>
    </row>
    <row r="313" spans="4:67" ht="13" hidden="1">
      <c r="D313" s="618"/>
      <c r="G313" s="325" t="s">
        <v>212</v>
      </c>
      <c r="H313" s="325">
        <v>1</v>
      </c>
      <c r="I313" s="325">
        <v>112011349</v>
      </c>
      <c r="J313" s="1393" t="str">
        <f t="shared" si="92"/>
        <v>VAZQUEZ ALEJANDRO</v>
      </c>
      <c r="M313" s="664" t="s">
        <v>513</v>
      </c>
      <c r="N313" s="324">
        <v>10</v>
      </c>
      <c r="O313" s="325">
        <v>112014170</v>
      </c>
      <c r="P313" s="1392" t="str">
        <f t="shared" si="93"/>
        <v>SUNNY ALIMENTOS BALANCEADOS S.R.L</v>
      </c>
      <c r="S313" s="294"/>
      <c r="U313" s="618"/>
      <c r="X313" s="294"/>
      <c r="Z313" s="618"/>
      <c r="AE313" s="618"/>
      <c r="AO313" s="618"/>
      <c r="AT313" s="618"/>
      <c r="AZ313" s="618"/>
      <c r="BE313" s="618"/>
      <c r="BF313" s="618"/>
      <c r="BG313" s="553"/>
      <c r="BH313" s="294"/>
      <c r="BI313" s="618"/>
      <c r="BJ313" s="618"/>
      <c r="BK313" s="618"/>
      <c r="BL313" s="553"/>
      <c r="BM313" s="618"/>
      <c r="BN313" s="618"/>
      <c r="BO313" s="618"/>
    </row>
    <row r="314" spans="4:67" ht="13" hidden="1">
      <c r="D314" s="618"/>
      <c r="G314" s="325" t="s">
        <v>123</v>
      </c>
      <c r="H314" s="325">
        <v>1</v>
      </c>
      <c r="I314" s="325">
        <v>112013981</v>
      </c>
      <c r="J314" s="1393" t="str">
        <f t="shared" si="92"/>
        <v>VEGA GRISELDA ANAHI</v>
      </c>
      <c r="M314" s="664" t="s">
        <v>628</v>
      </c>
      <c r="N314" s="324">
        <v>4</v>
      </c>
      <c r="O314" s="325">
        <v>112013222</v>
      </c>
      <c r="P314" s="1392" t="str">
        <f t="shared" si="93"/>
        <v>TAMBEYRO ERICA VALERIA</v>
      </c>
      <c r="S314" s="294"/>
      <c r="U314" s="618"/>
      <c r="X314" s="294"/>
      <c r="Z314" s="618"/>
      <c r="AE314" s="618"/>
      <c r="AO314" s="618"/>
      <c r="AT314" s="618"/>
      <c r="AZ314" s="618"/>
      <c r="BE314" s="618"/>
      <c r="BF314" s="618"/>
      <c r="BG314" s="553"/>
      <c r="BH314" s="294"/>
      <c r="BI314" s="618"/>
      <c r="BJ314" s="618"/>
      <c r="BK314" s="618"/>
      <c r="BL314" s="553"/>
      <c r="BM314" s="618"/>
      <c r="BN314" s="618"/>
      <c r="BO314" s="618"/>
    </row>
    <row r="315" spans="4:67" ht="13" hidden="1">
      <c r="D315" s="618"/>
      <c r="G315" s="325" t="s">
        <v>104</v>
      </c>
      <c r="H315" s="325">
        <v>7</v>
      </c>
      <c r="I315" s="325">
        <v>112014659</v>
      </c>
      <c r="J315" s="1393" t="str">
        <f t="shared" si="92"/>
        <v>VELIZ ACUÑA EDSON GONZALO</v>
      </c>
      <c r="M315" s="664" t="s">
        <v>567</v>
      </c>
      <c r="N315" s="324">
        <v>18</v>
      </c>
      <c r="O315" s="325">
        <v>112014502</v>
      </c>
      <c r="P315" s="1392" t="str">
        <f t="shared" si="93"/>
        <v>TORIBROS</v>
      </c>
      <c r="S315" s="294"/>
      <c r="U315" s="618"/>
      <c r="X315" s="294"/>
      <c r="Z315" s="618"/>
      <c r="AE315" s="618"/>
      <c r="AO315" s="618"/>
      <c r="AT315" s="618"/>
      <c r="AZ315" s="618"/>
      <c r="BE315" s="618"/>
      <c r="BF315" s="618"/>
      <c r="BG315" s="553"/>
      <c r="BH315" s="294"/>
      <c r="BI315" s="618"/>
      <c r="BJ315" s="618"/>
      <c r="BK315" s="618"/>
      <c r="BL315" s="553"/>
      <c r="BM315" s="618"/>
      <c r="BN315" s="618"/>
      <c r="BO315" s="618"/>
    </row>
    <row r="316" spans="4:67" ht="13" hidden="1">
      <c r="D316" s="618"/>
      <c r="G316" s="325" t="s">
        <v>213</v>
      </c>
      <c r="H316" s="325">
        <v>1</v>
      </c>
      <c r="I316" s="325">
        <v>112012223</v>
      </c>
      <c r="J316" s="1393" t="str">
        <f t="shared" si="92"/>
        <v>VETERINARIA BAVIO SOLANO S.A</v>
      </c>
      <c r="M316" s="664" t="s">
        <v>652</v>
      </c>
      <c r="N316" s="324">
        <v>1</v>
      </c>
      <c r="O316" s="325">
        <v>112011118</v>
      </c>
      <c r="P316" s="1392" t="str">
        <f t="shared" si="93"/>
        <v>TORREIRO MARIANO ANDRES</v>
      </c>
      <c r="S316" s="294"/>
      <c r="U316" s="618"/>
      <c r="X316" s="294"/>
      <c r="Z316" s="618"/>
      <c r="AE316" s="618"/>
      <c r="AO316" s="618"/>
      <c r="AT316" s="618"/>
      <c r="AZ316" s="618"/>
      <c r="BE316" s="618"/>
      <c r="BF316" s="618"/>
      <c r="BG316" s="553"/>
      <c r="BH316" s="294"/>
      <c r="BI316" s="618"/>
      <c r="BJ316" s="618"/>
      <c r="BK316" s="618"/>
      <c r="BL316" s="553"/>
      <c r="BM316" s="618"/>
      <c r="BN316" s="618"/>
      <c r="BO316" s="618"/>
    </row>
    <row r="317" spans="4:67" ht="13" hidden="1">
      <c r="D317" s="618"/>
      <c r="G317" s="325" t="s">
        <v>214</v>
      </c>
      <c r="H317" s="325">
        <v>1</v>
      </c>
      <c r="I317" s="325">
        <v>112013263</v>
      </c>
      <c r="J317" s="1393" t="str">
        <f t="shared" si="92"/>
        <v>VETERINARIA MARTINA</v>
      </c>
      <c r="M317" s="664" t="s">
        <v>603</v>
      </c>
      <c r="N317" s="324">
        <v>4</v>
      </c>
      <c r="O317" s="325">
        <v>112014171</v>
      </c>
      <c r="P317" s="1392" t="str">
        <f t="shared" si="93"/>
        <v>TORRES PERALTA DALMA ARIANA</v>
      </c>
      <c r="S317" s="294"/>
      <c r="U317" s="618"/>
      <c r="X317" s="294"/>
      <c r="Z317" s="618"/>
      <c r="AE317" s="618"/>
      <c r="AO317" s="618"/>
      <c r="AT317" s="618"/>
      <c r="AZ317" s="618"/>
      <c r="BE317" s="618"/>
      <c r="BF317" s="618"/>
      <c r="BG317" s="553"/>
      <c r="BH317" s="294"/>
      <c r="BI317" s="618"/>
      <c r="BJ317" s="618"/>
      <c r="BK317" s="618"/>
      <c r="BL317" s="553"/>
      <c r="BM317" s="618"/>
      <c r="BN317" s="618"/>
      <c r="BO317" s="618"/>
    </row>
    <row r="318" spans="4:67" ht="13" hidden="1">
      <c r="D318" s="618"/>
      <c r="G318" s="325" t="s">
        <v>71</v>
      </c>
      <c r="H318" s="325">
        <v>10</v>
      </c>
      <c r="I318" s="325">
        <v>112014558</v>
      </c>
      <c r="J318" s="1393" t="str">
        <f t="shared" si="92"/>
        <v>VETERINARIA SAN MARTIN SA</v>
      </c>
      <c r="M318" s="664" t="s">
        <v>604</v>
      </c>
      <c r="N318" s="324">
        <v>4</v>
      </c>
      <c r="O318" s="325">
        <v>112010947</v>
      </c>
      <c r="P318" s="1392" t="str">
        <f t="shared" si="93"/>
        <v>VALENZANO RODOLFO</v>
      </c>
      <c r="S318" s="294"/>
      <c r="U318" s="618"/>
      <c r="X318" s="294"/>
      <c r="Z318" s="618"/>
      <c r="AE318" s="618"/>
      <c r="AO318" s="618"/>
      <c r="AT318" s="618"/>
      <c r="AZ318" s="618"/>
      <c r="BE318" s="618"/>
      <c r="BF318" s="618"/>
      <c r="BG318" s="553"/>
      <c r="BH318" s="294"/>
      <c r="BI318" s="618"/>
      <c r="BJ318" s="618"/>
      <c r="BK318" s="618"/>
      <c r="BL318" s="553"/>
      <c r="BM318" s="618"/>
      <c r="BN318" s="618"/>
      <c r="BO318" s="618"/>
    </row>
    <row r="319" spans="4:67" ht="13" hidden="1">
      <c r="D319" s="618"/>
      <c r="G319" s="325" t="s">
        <v>167</v>
      </c>
      <c r="H319" s="325">
        <v>4</v>
      </c>
      <c r="I319" s="325">
        <v>112014073</v>
      </c>
      <c r="J319" s="1393" t="str">
        <f t="shared" si="92"/>
        <v>VIDELA LEONARDO GABRIEL</v>
      </c>
      <c r="M319" s="325" t="s">
        <v>653</v>
      </c>
      <c r="N319" s="324">
        <v>1</v>
      </c>
      <c r="O319" s="325">
        <v>112013758</v>
      </c>
      <c r="P319" s="1392" t="str">
        <f t="shared" si="93"/>
        <v>VALIENTE JUAN PABLO</v>
      </c>
      <c r="S319" s="294"/>
      <c r="U319" s="618"/>
      <c r="X319" s="294"/>
      <c r="Z319" s="618"/>
      <c r="AE319" s="618"/>
      <c r="AO319" s="618"/>
      <c r="AT319" s="618"/>
      <c r="AZ319" s="618"/>
      <c r="BE319" s="618"/>
      <c r="BF319" s="618"/>
      <c r="BG319" s="553"/>
      <c r="BH319" s="294"/>
      <c r="BI319" s="618"/>
      <c r="BJ319" s="618"/>
      <c r="BK319" s="618"/>
      <c r="BL319" s="553"/>
      <c r="BM319" s="618"/>
      <c r="BN319" s="618"/>
      <c r="BO319" s="618"/>
    </row>
    <row r="320" spans="4:67" ht="13" hidden="1">
      <c r="D320" s="618"/>
      <c r="G320" s="325" t="s">
        <v>168</v>
      </c>
      <c r="H320" s="325">
        <v>4</v>
      </c>
      <c r="I320" s="325">
        <v>112014137</v>
      </c>
      <c r="J320" s="1393" t="str">
        <f t="shared" si="92"/>
        <v>VIEGAS MELRO SERGIO GABRIEL</v>
      </c>
      <c r="M320" s="325" t="s">
        <v>654</v>
      </c>
      <c r="N320" s="324">
        <v>1</v>
      </c>
      <c r="O320" s="325">
        <v>112012868</v>
      </c>
      <c r="P320" s="1392" t="str">
        <f t="shared" si="93"/>
        <v>VANONI JORGE ALBERTO</v>
      </c>
      <c r="R320" s="302" t="s">
        <v>1564</v>
      </c>
      <c r="S320" s="294"/>
      <c r="U320" s="618"/>
      <c r="X320" s="294"/>
      <c r="Z320" s="618"/>
      <c r="AE320" s="618"/>
      <c r="AO320" s="618"/>
      <c r="AT320" s="618"/>
      <c r="AZ320" s="618"/>
      <c r="BE320" s="618"/>
      <c r="BF320" s="618"/>
      <c r="BG320" s="553"/>
      <c r="BH320" s="294"/>
      <c r="BI320" s="618"/>
      <c r="BJ320" s="618"/>
      <c r="BK320" s="618"/>
      <c r="BL320" s="553"/>
      <c r="BM320" s="618"/>
      <c r="BN320" s="618"/>
      <c r="BO320" s="618"/>
    </row>
    <row r="321" spans="1:67" ht="13" hidden="1">
      <c r="D321" s="618"/>
      <c r="G321" s="325" t="s">
        <v>226</v>
      </c>
      <c r="H321" s="325"/>
      <c r="I321" s="325">
        <v>112013927</v>
      </c>
      <c r="J321" s="1393" t="str">
        <f t="shared" si="92"/>
        <v>ZANDONADI CARLOS GASTON</v>
      </c>
      <c r="M321" s="325" t="s">
        <v>568</v>
      </c>
      <c r="N321" s="324">
        <v>18</v>
      </c>
      <c r="O321" s="325">
        <v>112014515</v>
      </c>
      <c r="P321" s="1392" t="str">
        <f t="shared" si="93"/>
        <v>VAZQUEZ MARTIN DANIEL</v>
      </c>
      <c r="S321" s="294"/>
      <c r="U321" s="618"/>
      <c r="X321" s="294"/>
      <c r="Z321" s="618"/>
      <c r="AE321" s="618"/>
      <c r="AO321" s="618"/>
      <c r="AT321" s="618"/>
      <c r="AZ321" s="618"/>
      <c r="BE321" s="618"/>
      <c r="BF321" s="618"/>
      <c r="BG321" s="553"/>
      <c r="BH321" s="294"/>
      <c r="BI321" s="618"/>
      <c r="BJ321" s="618"/>
      <c r="BK321" s="618"/>
      <c r="BL321" s="553"/>
      <c r="BM321" s="618"/>
      <c r="BN321" s="618"/>
      <c r="BO321" s="618"/>
    </row>
    <row r="322" spans="1:67" ht="13" hidden="1">
      <c r="D322" s="618"/>
      <c r="J322" s="1393" t="e">
        <f t="shared" si="92"/>
        <v>#N/A</v>
      </c>
      <c r="M322" s="325" t="s">
        <v>605</v>
      </c>
      <c r="N322" s="324">
        <v>4</v>
      </c>
      <c r="O322" s="325">
        <v>112014407</v>
      </c>
      <c r="P322" s="1392" t="str">
        <f t="shared" si="93"/>
        <v>VELAZQUEZ LUIS MARIANO</v>
      </c>
      <c r="S322" s="294"/>
      <c r="U322" s="618"/>
      <c r="X322" s="294"/>
      <c r="Z322" s="618"/>
      <c r="AE322" s="618"/>
      <c r="AO322" s="618"/>
      <c r="AT322" s="618"/>
      <c r="AZ322" s="618"/>
      <c r="BE322" s="618"/>
      <c r="BF322" s="618"/>
      <c r="BG322" s="553"/>
      <c r="BH322" s="294"/>
      <c r="BI322" s="618"/>
      <c r="BJ322" s="618"/>
      <c r="BK322" s="618"/>
      <c r="BL322" s="553"/>
      <c r="BM322" s="618"/>
      <c r="BN322" s="618"/>
      <c r="BO322" s="618"/>
    </row>
    <row r="323" spans="1:67" ht="13" hidden="1">
      <c r="D323" s="618"/>
      <c r="J323" s="1393" t="e">
        <f t="shared" si="92"/>
        <v>#N/A</v>
      </c>
      <c r="M323" s="325" t="s">
        <v>553</v>
      </c>
      <c r="N323" s="324">
        <v>3</v>
      </c>
      <c r="O323" s="325">
        <v>112014329</v>
      </c>
      <c r="P323" s="1392" t="str">
        <f t="shared" si="93"/>
        <v>VERA MAXIMILIANO DANIEL</v>
      </c>
      <c r="S323" s="294"/>
      <c r="U323" s="618"/>
      <c r="X323" s="294"/>
      <c r="Z323" s="618"/>
      <c r="AE323" s="618"/>
      <c r="AO323" s="618"/>
      <c r="AT323" s="618"/>
      <c r="AZ323" s="618"/>
      <c r="BE323" s="618"/>
      <c r="BF323" s="618"/>
      <c r="BG323" s="553"/>
      <c r="BH323" s="294"/>
      <c r="BI323" s="618"/>
      <c r="BJ323" s="618"/>
      <c r="BK323" s="618"/>
      <c r="BL323" s="553"/>
      <c r="BM323" s="618"/>
      <c r="BN323" s="618"/>
      <c r="BO323" s="618"/>
    </row>
    <row r="324" spans="1:67" ht="13" hidden="1">
      <c r="D324" s="618"/>
      <c r="J324" s="1393" t="e">
        <f t="shared" si="92"/>
        <v>#N/A</v>
      </c>
      <c r="M324" s="325" t="s">
        <v>569</v>
      </c>
      <c r="N324" s="324">
        <v>18</v>
      </c>
      <c r="O324" s="325">
        <v>112014489</v>
      </c>
      <c r="P324" s="1392" t="str">
        <f t="shared" si="93"/>
        <v>VETERINARIA AMULEN</v>
      </c>
      <c r="S324" s="294"/>
      <c r="U324" s="618"/>
      <c r="X324" s="294"/>
      <c r="Z324" s="618"/>
      <c r="AE324" s="618"/>
      <c r="AO324" s="618"/>
      <c r="AT324" s="618"/>
      <c r="AZ324" s="618"/>
      <c r="BE324" s="618"/>
      <c r="BF324" s="618"/>
      <c r="BG324" s="553"/>
      <c r="BH324" s="294"/>
      <c r="BI324" s="618"/>
      <c r="BJ324" s="618"/>
      <c r="BK324" s="618"/>
      <c r="BL324" s="553"/>
      <c r="BM324" s="618"/>
      <c r="BN324" s="618"/>
      <c r="BO324" s="618"/>
    </row>
    <row r="325" spans="1:67" ht="13" hidden="1">
      <c r="D325" s="618"/>
      <c r="J325" s="1428"/>
      <c r="M325" s="325" t="s">
        <v>606</v>
      </c>
      <c r="N325" s="324">
        <v>4</v>
      </c>
      <c r="O325" s="325">
        <v>112014485</v>
      </c>
      <c r="P325" s="1392" t="str">
        <f t="shared" si="93"/>
        <v>VETERINARIA AZARA SRL</v>
      </c>
      <c r="S325" s="294"/>
      <c r="U325" s="618"/>
      <c r="X325" s="294"/>
      <c r="Z325" s="618"/>
      <c r="AE325" s="618"/>
      <c r="AO325" s="618"/>
      <c r="AT325" s="618"/>
      <c r="AZ325" s="618"/>
      <c r="BE325" s="618"/>
      <c r="BF325" s="618"/>
      <c r="BG325" s="553"/>
      <c r="BH325" s="294"/>
      <c r="BI325" s="618"/>
      <c r="BJ325" s="618"/>
      <c r="BK325" s="618"/>
      <c r="BL325" s="553"/>
      <c r="BM325" s="618"/>
      <c r="BN325" s="618"/>
      <c r="BO325" s="618"/>
    </row>
    <row r="326" spans="1:67" ht="13" hidden="1">
      <c r="D326" s="618"/>
      <c r="J326" s="1428"/>
      <c r="M326" s="325" t="s">
        <v>633</v>
      </c>
      <c r="N326" s="324">
        <v>4</v>
      </c>
      <c r="O326" s="325">
        <v>112013673</v>
      </c>
      <c r="P326" s="1392" t="str">
        <f t="shared" si="93"/>
        <v>VETERINARIA LOMA DEL SUR SRL</v>
      </c>
      <c r="S326" s="294"/>
      <c r="U326" s="618"/>
      <c r="X326" s="294"/>
      <c r="Z326" s="618"/>
      <c r="AE326" s="618"/>
      <c r="AO326" s="618"/>
      <c r="AT326" s="618"/>
      <c r="AZ326" s="618"/>
      <c r="BE326" s="618"/>
      <c r="BF326" s="618"/>
      <c r="BG326" s="553"/>
      <c r="BH326" s="294"/>
      <c r="BI326" s="618"/>
      <c r="BJ326" s="618"/>
      <c r="BK326" s="618"/>
      <c r="BL326" s="553"/>
      <c r="BM326" s="618"/>
      <c r="BN326" s="618"/>
      <c r="BO326" s="618"/>
    </row>
    <row r="327" spans="1:67" ht="13" hidden="1">
      <c r="D327" s="618"/>
      <c r="J327" s="1428"/>
      <c r="M327" s="325" t="s">
        <v>607</v>
      </c>
      <c r="N327" s="324">
        <v>4</v>
      </c>
      <c r="O327" s="325">
        <v>112014409</v>
      </c>
      <c r="P327" s="1392" t="str">
        <f t="shared" si="93"/>
        <v>VIDELA JESICA NATALI</v>
      </c>
      <c r="S327" s="294"/>
      <c r="U327" s="618"/>
      <c r="X327" s="294"/>
      <c r="Z327" s="618"/>
      <c r="AE327" s="618"/>
      <c r="AO327" s="618"/>
      <c r="AT327" s="618"/>
      <c r="AZ327" s="618"/>
      <c r="BE327" s="618"/>
      <c r="BF327" s="618"/>
      <c r="BG327" s="553"/>
      <c r="BH327" s="294"/>
      <c r="BI327" s="618"/>
      <c r="BJ327" s="618"/>
      <c r="BK327" s="618"/>
      <c r="BL327" s="553"/>
      <c r="BM327" s="618"/>
      <c r="BN327" s="618"/>
      <c r="BO327" s="618"/>
    </row>
    <row r="328" spans="1:67" ht="13" hidden="1">
      <c r="D328" s="618"/>
      <c r="J328" s="1428"/>
      <c r="M328" s="325" t="s">
        <v>554</v>
      </c>
      <c r="N328" s="324">
        <v>3</v>
      </c>
      <c r="O328" s="325">
        <v>112014330</v>
      </c>
      <c r="P328" s="1392" t="str">
        <f t="shared" si="93"/>
        <v>WALDAR SRL</v>
      </c>
      <c r="S328" s="294"/>
      <c r="U328" s="618"/>
      <c r="X328" s="294"/>
      <c r="Z328" s="618"/>
      <c r="AE328" s="618"/>
      <c r="AO328" s="618"/>
      <c r="AT328" s="618"/>
      <c r="AZ328" s="618"/>
      <c r="BE328" s="618"/>
      <c r="BF328" s="618"/>
      <c r="BG328" s="553"/>
      <c r="BH328" s="294"/>
      <c r="BI328" s="618"/>
      <c r="BJ328" s="618"/>
      <c r="BK328" s="618"/>
      <c r="BL328" s="553"/>
      <c r="BM328" s="618"/>
      <c r="BN328" s="618"/>
      <c r="BO328" s="618"/>
    </row>
    <row r="329" spans="1:67" ht="13" hidden="1">
      <c r="D329" s="618"/>
      <c r="J329" s="1428"/>
      <c r="M329" s="325" t="s">
        <v>619</v>
      </c>
      <c r="N329" s="324">
        <v>1</v>
      </c>
      <c r="O329" s="325">
        <v>112013254</v>
      </c>
      <c r="P329" s="1392" t="str">
        <f t="shared" si="93"/>
        <v>WALLINGER CECILIA RAQUEL</v>
      </c>
      <c r="S329" s="294"/>
      <c r="U329" s="618"/>
      <c r="X329" s="294"/>
      <c r="Z329" s="618"/>
      <c r="AE329" s="618"/>
      <c r="AO329" s="618"/>
      <c r="AT329" s="618"/>
      <c r="AZ329" s="618"/>
      <c r="BE329" s="618"/>
      <c r="BF329" s="618"/>
      <c r="BG329" s="553"/>
      <c r="BH329" s="294"/>
      <c r="BI329" s="618"/>
      <c r="BJ329" s="618"/>
      <c r="BK329" s="618"/>
      <c r="BL329" s="553"/>
      <c r="BM329" s="618"/>
      <c r="BN329" s="618"/>
      <c r="BO329" s="618"/>
    </row>
    <row r="330" spans="1:67" ht="13" hidden="1">
      <c r="D330" s="618"/>
      <c r="J330" s="1428"/>
      <c r="M330" s="325" t="s">
        <v>608</v>
      </c>
      <c r="N330" s="324">
        <v>4</v>
      </c>
      <c r="O330" s="325">
        <v>112014424</v>
      </c>
      <c r="P330" s="1392" t="str">
        <f t="shared" si="93"/>
        <v>WALTER EDUARDO PEREZ</v>
      </c>
      <c r="S330" s="294"/>
      <c r="U330" s="618"/>
      <c r="X330" s="294"/>
      <c r="Z330" s="618"/>
      <c r="AE330" s="618"/>
      <c r="AO330" s="618"/>
      <c r="AT330" s="618"/>
      <c r="AZ330" s="618"/>
      <c r="BE330" s="618"/>
      <c r="BF330" s="618"/>
      <c r="BG330" s="553"/>
      <c r="BH330" s="294"/>
      <c r="BI330" s="618"/>
      <c r="BJ330" s="618"/>
      <c r="BK330" s="618"/>
      <c r="BL330" s="553"/>
      <c r="BM330" s="618"/>
      <c r="BN330" s="618"/>
      <c r="BO330" s="618"/>
    </row>
    <row r="331" spans="1:67" ht="13" hidden="1">
      <c r="D331" s="618"/>
      <c r="J331" s="1428"/>
      <c r="M331" s="325" t="s">
        <v>550</v>
      </c>
      <c r="N331" s="324">
        <v>1</v>
      </c>
      <c r="O331" s="325">
        <v>112013903</v>
      </c>
      <c r="P331" s="1392" t="str">
        <f t="shared" si="93"/>
        <v>ZACCAGNINO ALEJANDRO DANIEL</v>
      </c>
      <c r="S331" s="294"/>
      <c r="U331" s="618"/>
      <c r="X331" s="294"/>
      <c r="Z331" s="618"/>
      <c r="AE331" s="618"/>
      <c r="AO331" s="618"/>
      <c r="AT331" s="618"/>
      <c r="AZ331" s="618"/>
      <c r="BE331" s="618"/>
      <c r="BF331" s="618"/>
      <c r="BG331" s="553"/>
      <c r="BH331" s="294"/>
      <c r="BI331" s="618"/>
      <c r="BJ331" s="618"/>
      <c r="BK331" s="618"/>
      <c r="BL331" s="553"/>
      <c r="BM331" s="618"/>
      <c r="BN331" s="618"/>
      <c r="BO331" s="618"/>
    </row>
    <row r="332" spans="1:67" ht="13" hidden="1">
      <c r="D332" s="618"/>
      <c r="J332" s="1428"/>
      <c r="N332" s="294"/>
      <c r="P332" s="618"/>
      <c r="S332" s="294"/>
      <c r="U332" s="618"/>
      <c r="X332" s="294"/>
      <c r="Z332" s="618"/>
      <c r="AE332" s="618"/>
      <c r="AO332" s="618"/>
      <c r="AT332" s="618"/>
      <c r="AZ332" s="618"/>
      <c r="BE332" s="618"/>
      <c r="BF332" s="618"/>
      <c r="BG332" s="553"/>
      <c r="BH332" s="294"/>
      <c r="BI332" s="618"/>
      <c r="BJ332" s="618"/>
      <c r="BK332" s="618"/>
      <c r="BL332" s="553"/>
      <c r="BM332" s="618"/>
      <c r="BN332" s="618"/>
      <c r="BO332" s="618"/>
    </row>
    <row r="333" spans="1:67" ht="13" hidden="1">
      <c r="A333" s="1440">
        <v>45957</v>
      </c>
      <c r="B333" s="1441" t="s">
        <v>1565</v>
      </c>
      <c r="C333" s="1442"/>
      <c r="D333" s="1443"/>
      <c r="E333" s="1444"/>
      <c r="F333" s="1444"/>
      <c r="G333" s="1444"/>
      <c r="H333" s="1444"/>
      <c r="I333" s="1444"/>
      <c r="J333" s="1445"/>
      <c r="K333" s="1444"/>
      <c r="L333" s="1444"/>
      <c r="M333" s="1444"/>
      <c r="N333" s="1446"/>
      <c r="O333" s="1444"/>
      <c r="P333" s="1443"/>
      <c r="Q333" s="1444"/>
      <c r="R333" s="1444"/>
      <c r="S333" s="1446"/>
      <c r="T333" s="1444"/>
      <c r="U333" s="1443"/>
      <c r="V333" s="1444"/>
      <c r="W333" s="1444"/>
      <c r="X333" s="1446"/>
      <c r="Y333" s="1444"/>
      <c r="Z333" s="1443"/>
      <c r="AA333" s="1444"/>
      <c r="AB333" s="1444"/>
      <c r="AC333" s="1444"/>
      <c r="AD333" s="1444"/>
      <c r="AE333" s="1443"/>
      <c r="AF333" s="1444"/>
      <c r="AG333" s="1444"/>
      <c r="AH333" s="1444"/>
      <c r="AI333" s="1444"/>
      <c r="AJ333" s="1444"/>
      <c r="AK333" s="1444"/>
      <c r="AL333" s="1444"/>
      <c r="AM333" s="1444"/>
      <c r="AN333" s="1444"/>
      <c r="AO333" s="1443"/>
      <c r="AP333" s="1444"/>
      <c r="AQ333" s="1444"/>
      <c r="AR333" s="1444"/>
      <c r="AS333" s="1444"/>
      <c r="AT333" s="1443"/>
      <c r="AU333" s="1444"/>
      <c r="AV333" s="1444"/>
      <c r="AW333" s="1444"/>
      <c r="AX333" s="1444"/>
      <c r="AY333" s="1444"/>
      <c r="AZ333" s="1443"/>
      <c r="BA333" s="1444"/>
      <c r="BB333" s="1444"/>
      <c r="BC333" s="1444"/>
      <c r="BD333" s="1444"/>
      <c r="BE333" s="1443"/>
      <c r="BF333" s="1443"/>
      <c r="BG333" s="1447"/>
      <c r="BH333" s="1446"/>
      <c r="BI333" s="1443"/>
      <c r="BJ333" s="1443"/>
      <c r="BK333" s="1443"/>
      <c r="BL333" s="1447"/>
      <c r="BM333" s="1443"/>
      <c r="BN333" s="1443"/>
      <c r="BO333" s="1443"/>
    </row>
    <row r="334" spans="1:67" ht="13" hidden="1">
      <c r="D334" s="618"/>
      <c r="J334" s="1428"/>
      <c r="N334" s="294"/>
      <c r="P334" s="618"/>
      <c r="S334" s="294"/>
      <c r="U334" s="618"/>
      <c r="X334" s="294"/>
      <c r="Z334" s="618"/>
      <c r="AE334" s="618"/>
      <c r="AO334" s="618"/>
      <c r="AT334" s="618"/>
      <c r="AZ334" s="618"/>
      <c r="BE334" s="618"/>
      <c r="BF334" s="618"/>
      <c r="BG334" s="553"/>
      <c r="BH334" s="294"/>
      <c r="BI334" s="618"/>
      <c r="BJ334" s="618"/>
      <c r="BK334" s="618"/>
      <c r="BL334" s="553"/>
      <c r="BM334" s="618"/>
      <c r="BN334" s="618"/>
      <c r="BO334" s="618"/>
    </row>
    <row r="335" spans="1:67" ht="13" hidden="1">
      <c r="D335" s="618"/>
      <c r="J335" s="1428"/>
      <c r="N335" s="294"/>
      <c r="P335" s="618"/>
      <c r="S335" s="294"/>
      <c r="U335" s="618"/>
      <c r="X335" s="294"/>
      <c r="Z335" s="618"/>
      <c r="AE335" s="618"/>
      <c r="AO335" s="618"/>
      <c r="AT335" s="618"/>
      <c r="AZ335" s="618"/>
      <c r="BE335" s="618"/>
      <c r="BF335" s="618"/>
      <c r="BG335" s="553"/>
      <c r="BH335" s="294"/>
      <c r="BI335" s="618"/>
      <c r="BJ335" s="618"/>
      <c r="BK335" s="618"/>
      <c r="BL335" s="553"/>
      <c r="BM335" s="618"/>
      <c r="BN335" s="618"/>
      <c r="BO335" s="618"/>
    </row>
    <row r="336" spans="1:67" ht="13" hidden="1">
      <c r="D336" s="618"/>
      <c r="J336" s="1428"/>
      <c r="N336" s="294"/>
      <c r="P336" s="618"/>
      <c r="S336" s="294"/>
      <c r="U336" s="618"/>
      <c r="X336" s="294"/>
      <c r="Z336" s="618"/>
      <c r="AE336" s="618"/>
      <c r="AO336" s="618"/>
      <c r="AT336" s="618"/>
      <c r="AZ336" s="618"/>
      <c r="BE336" s="618"/>
      <c r="BF336" s="618"/>
      <c r="BG336" s="553"/>
      <c r="BH336" s="294"/>
      <c r="BI336" s="618"/>
      <c r="BJ336" s="618"/>
      <c r="BK336" s="618"/>
      <c r="BL336" s="553"/>
      <c r="BM336" s="618"/>
      <c r="BN336" s="618"/>
      <c r="BO336" s="618"/>
    </row>
    <row r="337" spans="1:58" ht="13" hidden="1">
      <c r="A337" s="1448" t="s">
        <v>1542</v>
      </c>
      <c r="B337" s="325"/>
      <c r="C337" s="325"/>
      <c r="D337" s="799"/>
      <c r="G337" s="1434" t="s">
        <v>1543</v>
      </c>
      <c r="H337" s="491"/>
      <c r="I337" s="491"/>
      <c r="J337" s="1384"/>
      <c r="M337" s="1434" t="s">
        <v>1544</v>
      </c>
      <c r="N337" s="309"/>
      <c r="O337" s="491"/>
      <c r="P337" s="1449"/>
      <c r="R337" s="1450" t="s">
        <v>1545</v>
      </c>
      <c r="S337" s="1451"/>
      <c r="T337" s="1452"/>
      <c r="U337" s="1453"/>
      <c r="W337" s="1434" t="s">
        <v>1546</v>
      </c>
      <c r="X337" s="309"/>
      <c r="Y337" s="491"/>
      <c r="Z337" s="1449"/>
      <c r="AB337" s="1391" t="s">
        <v>1547</v>
      </c>
      <c r="AC337" s="1381"/>
      <c r="AD337" s="1381"/>
      <c r="AE337" s="1382"/>
      <c r="AG337" s="1454" t="s">
        <v>1548</v>
      </c>
      <c r="AH337" s="491"/>
      <c r="AI337" s="491"/>
      <c r="AJ337" s="1353"/>
      <c r="AL337" s="1448" t="s">
        <v>1549</v>
      </c>
      <c r="AM337" s="325"/>
      <c r="AN337" s="325"/>
      <c r="AO337" s="799"/>
      <c r="AQ337" s="1448" t="s">
        <v>1550</v>
      </c>
      <c r="AR337" s="325"/>
      <c r="AS337" s="325"/>
      <c r="AT337" s="799"/>
      <c r="AW337" s="1448" t="s">
        <v>1551</v>
      </c>
      <c r="AX337" s="325"/>
      <c r="AY337" s="325"/>
      <c r="AZ337" s="799"/>
      <c r="BB337" s="1391" t="s">
        <v>1552</v>
      </c>
      <c r="BC337" s="1381"/>
      <c r="BD337" s="1381"/>
      <c r="BE337" s="1382"/>
      <c r="BF337" s="618"/>
    </row>
    <row r="338" spans="1:58" ht="13" hidden="1">
      <c r="A338" s="325" t="s">
        <v>697</v>
      </c>
      <c r="B338" s="325">
        <v>57</v>
      </c>
      <c r="C338" s="325">
        <v>112013826</v>
      </c>
      <c r="D338" s="799" t="str">
        <f t="shared" ref="D338:D369" si="95">VLOOKUP(C338,buelafin,13,FALSE)</f>
        <v>A CARA DE PERRO FELIZ SRL</v>
      </c>
      <c r="G338" s="323" t="s">
        <v>125</v>
      </c>
      <c r="H338" s="325">
        <v>71</v>
      </c>
      <c r="I338" s="325">
        <v>112012311</v>
      </c>
      <c r="J338" s="1393" t="str">
        <f t="shared" ref="J338:J369" si="96">VLOOKUP(I338,bassfin,13,FALSE)</f>
        <v>ADROGUE JOSE/PEREYRA STELLA</v>
      </c>
      <c r="M338" s="323" t="s">
        <v>516</v>
      </c>
      <c r="N338" s="324">
        <v>61</v>
      </c>
      <c r="O338" s="325">
        <v>112014074</v>
      </c>
      <c r="P338" s="1455" t="str">
        <f t="shared" ref="P338:P369" si="97">VLOOKUP(O338,LAGEFIN,13,FALSE)</f>
        <v>1836 MASCOTAS S.A.</v>
      </c>
      <c r="R338" s="1228" t="s">
        <v>288</v>
      </c>
      <c r="S338" s="501">
        <v>67</v>
      </c>
      <c r="T338" s="463">
        <v>112010671</v>
      </c>
      <c r="U338" s="1456" t="str">
        <f t="shared" ref="U338:U369" si="98">VLOOKUP(T338,calofin,9,FALSE)</f>
        <v>ABDALA MARIANO DAVID</v>
      </c>
      <c r="W338" s="323" t="s">
        <v>475</v>
      </c>
      <c r="X338" s="324">
        <v>71</v>
      </c>
      <c r="Y338" s="325">
        <v>112013560</v>
      </c>
      <c r="Z338" s="1455" t="str">
        <f t="shared" ref="Z338:Z369" si="99">VLOOKUP(Y338,RETAMFIN,9,FALSE)</f>
        <v>ABREGO NOELIA GISELLE</v>
      </c>
      <c r="AB338" s="325" t="s">
        <v>958</v>
      </c>
      <c r="AC338" s="325">
        <v>71</v>
      </c>
      <c r="AD338" s="325">
        <v>112013656</v>
      </c>
      <c r="AE338" s="799" t="e">
        <f t="shared" ref="AE338:AE369" si="100">VLOOKUP(AD338,VARGASFIN,13,FALSE)</f>
        <v>#N/A</v>
      </c>
      <c r="AG338" s="323" t="s">
        <v>1342</v>
      </c>
      <c r="AH338" s="325">
        <v>71</v>
      </c>
      <c r="AI338" s="325">
        <v>112014362</v>
      </c>
      <c r="AJ338" s="424" t="str">
        <f t="shared" ref="AJ338:AJ369" si="101">VLOOKUP(AI338,MONTENEFIN,9,FALSE)</f>
        <v>1 DE ABRIL S.A</v>
      </c>
      <c r="AL338" s="325" t="s">
        <v>841</v>
      </c>
      <c r="AM338" s="325">
        <v>54</v>
      </c>
      <c r="AN338" s="325">
        <v>112012385</v>
      </c>
      <c r="AO338" s="799" t="e">
        <f t="shared" ref="AO338:AO369" si="102">VLOOKUP(AN338,MARUCAFIN,13,FALSE)</f>
        <v>#N/A</v>
      </c>
      <c r="AQ338" s="325" t="s">
        <v>1039</v>
      </c>
      <c r="AR338" s="325">
        <v>70</v>
      </c>
      <c r="AS338" s="325">
        <v>112014670</v>
      </c>
      <c r="AT338" s="799" t="str">
        <f t="shared" ref="AT338:AT369" si="103">VLOOKUP(AS338,ARRIOLFIN,13,FALSE)</f>
        <v>ABRAHIM RAFAAT DANIEL</v>
      </c>
      <c r="AW338" s="325" t="s">
        <v>1496</v>
      </c>
      <c r="AX338" s="325"/>
      <c r="AY338" s="325">
        <v>112013330</v>
      </c>
      <c r="AZ338" s="799" t="str">
        <f t="shared" ref="AZ338:AZ369" si="104">VLOOKUP(AY338,LAVENIAFIN,13,FALSE)</f>
        <v>ACUÑA GIAMBRUNO JOAQUIN</v>
      </c>
      <c r="BE338" s="618"/>
      <c r="BF338" s="618"/>
    </row>
    <row r="339" spans="1:58" ht="13" hidden="1">
      <c r="A339" s="325" t="s">
        <v>690</v>
      </c>
      <c r="B339" s="325">
        <v>53</v>
      </c>
      <c r="C339" s="325">
        <v>112014766</v>
      </c>
      <c r="D339" s="799" t="str">
        <f t="shared" si="95"/>
        <v>ACOSTA JOEL DAVID</v>
      </c>
      <c r="G339" s="323" t="s">
        <v>73</v>
      </c>
      <c r="H339" s="325">
        <v>55</v>
      </c>
      <c r="I339" s="325">
        <v>112012843</v>
      </c>
      <c r="J339" s="1393" t="str">
        <f t="shared" si="96"/>
        <v>AGROMERCADO CENTRAL/BALANCEAD DEL MERC</v>
      </c>
      <c r="M339" s="323" t="s">
        <v>555</v>
      </c>
      <c r="N339" s="324">
        <v>69</v>
      </c>
      <c r="O339" s="325">
        <v>112012718</v>
      </c>
      <c r="P339" s="1455" t="str">
        <f t="shared" si="97"/>
        <v>ANIMALADAS YA/SCALA MARIA/DE LUCA NORA</v>
      </c>
      <c r="R339" s="323" t="s">
        <v>310</v>
      </c>
      <c r="S339" s="324">
        <v>71</v>
      </c>
      <c r="T339" s="325">
        <v>112012734</v>
      </c>
      <c r="U339" s="1455" t="str">
        <f t="shared" si="98"/>
        <v>ABRAHAN ISMAEL GABRIEL</v>
      </c>
      <c r="W339" s="323" t="s">
        <v>445</v>
      </c>
      <c r="X339" s="324">
        <v>61</v>
      </c>
      <c r="Y339" s="325">
        <v>112014734</v>
      </c>
      <c r="Z339" s="1455" t="str">
        <f t="shared" si="99"/>
        <v>ACHA PABLO DAVID</v>
      </c>
      <c r="AB339" s="325" t="s">
        <v>954</v>
      </c>
      <c r="AC339" s="325">
        <v>71</v>
      </c>
      <c r="AD339" s="325">
        <v>112010437</v>
      </c>
      <c r="AE339" s="799" t="e">
        <f t="shared" si="100"/>
        <v>#N/A</v>
      </c>
      <c r="AG339" s="323" t="s">
        <v>1380</v>
      </c>
      <c r="AH339" s="325"/>
      <c r="AI339" s="325">
        <v>112011822</v>
      </c>
      <c r="AJ339" s="424" t="str">
        <f t="shared" si="101"/>
        <v>AICARDI LEANDRO</v>
      </c>
      <c r="AL339" s="325" t="s">
        <v>1193</v>
      </c>
      <c r="AM339" s="325">
        <v>71</v>
      </c>
      <c r="AN339" s="325">
        <v>112014698</v>
      </c>
      <c r="AO339" s="799" t="e">
        <f t="shared" si="102"/>
        <v>#N/A</v>
      </c>
      <c r="AQ339" s="325" t="s">
        <v>887</v>
      </c>
      <c r="AR339" s="325">
        <v>70</v>
      </c>
      <c r="AS339" s="325">
        <v>112013108</v>
      </c>
      <c r="AT339" s="799" t="e">
        <f t="shared" si="103"/>
        <v>#N/A</v>
      </c>
      <c r="AW339" s="325" t="s">
        <v>1467</v>
      </c>
      <c r="AX339" s="325">
        <v>63</v>
      </c>
      <c r="AY339" s="325">
        <v>112014650</v>
      </c>
      <c r="AZ339" s="799" t="str">
        <f t="shared" si="104"/>
        <v>ADRIAN JESUS SOTO</v>
      </c>
      <c r="BE339" s="618"/>
      <c r="BF339" s="618"/>
    </row>
    <row r="340" spans="1:58" ht="13" hidden="1">
      <c r="A340" s="325" t="s">
        <v>765</v>
      </c>
      <c r="B340" s="325">
        <v>71</v>
      </c>
      <c r="C340" s="325">
        <v>112011588</v>
      </c>
      <c r="D340" s="799" t="str">
        <f t="shared" si="95"/>
        <v>ACUÑA MAURO JAVIER</v>
      </c>
      <c r="G340" s="323" t="s">
        <v>72</v>
      </c>
      <c r="H340" s="325">
        <v>55</v>
      </c>
      <c r="I340" s="325">
        <v>112014178</v>
      </c>
      <c r="J340" s="1393" t="str">
        <f t="shared" si="96"/>
        <v>ALMIRON GENARO/ASOC PROAYUDA/GUGLIELMINI</v>
      </c>
      <c r="M340" s="323" t="s">
        <v>528</v>
      </c>
      <c r="N340" s="324">
        <v>62</v>
      </c>
      <c r="O340" s="325">
        <v>112014341</v>
      </c>
      <c r="P340" s="1455" t="str">
        <f t="shared" si="97"/>
        <v>ENTRE MASCOTAS</v>
      </c>
      <c r="R340" s="323" t="s">
        <v>304</v>
      </c>
      <c r="S340" s="324">
        <v>70</v>
      </c>
      <c r="T340" s="325">
        <v>112014163</v>
      </c>
      <c r="U340" s="1455" t="str">
        <f t="shared" si="98"/>
        <v>ACUÑA EDUARDO DAMIAN</v>
      </c>
      <c r="W340" s="323" t="s">
        <v>488</v>
      </c>
      <c r="X340" s="324">
        <v>71</v>
      </c>
      <c r="Y340" s="325">
        <v>112014378</v>
      </c>
      <c r="Z340" s="1455" t="e">
        <f t="shared" si="99"/>
        <v>#N/A</v>
      </c>
      <c r="AB340" s="325" t="s">
        <v>865</v>
      </c>
      <c r="AC340" s="325">
        <v>63</v>
      </c>
      <c r="AD340" s="325">
        <v>112014067</v>
      </c>
      <c r="AE340" s="799" t="str">
        <f t="shared" si="100"/>
        <v>ACUÑA CINTIA SOLEDAD</v>
      </c>
      <c r="AG340" s="323" t="s">
        <v>1377</v>
      </c>
      <c r="AH340" s="325"/>
      <c r="AI340" s="325">
        <v>112013388</v>
      </c>
      <c r="AJ340" s="424" t="str">
        <f t="shared" si="101"/>
        <v>ALDAZ LAURA MARCELA</v>
      </c>
      <c r="AL340" s="325" t="s">
        <v>1198</v>
      </c>
      <c r="AM340" s="325">
        <v>70</v>
      </c>
      <c r="AN340" s="325">
        <v>112014681</v>
      </c>
      <c r="AO340" s="799" t="e">
        <f t="shared" si="102"/>
        <v>#N/A</v>
      </c>
      <c r="AQ340" s="325" t="s">
        <v>1083</v>
      </c>
      <c r="AR340" s="325">
        <v>71</v>
      </c>
      <c r="AS340" s="325">
        <v>112013787</v>
      </c>
      <c r="AT340" s="799" t="str">
        <f t="shared" si="103"/>
        <v>ALLAMPRESE AGATA LORENA</v>
      </c>
      <c r="AW340" s="325" t="s">
        <v>1397</v>
      </c>
      <c r="AX340" s="325">
        <v>55</v>
      </c>
      <c r="AY340" s="325">
        <v>112014482</v>
      </c>
      <c r="AZ340" s="799" t="str">
        <f t="shared" si="104"/>
        <v>AGRO VETERINARIA NUTRISAN S. CAP I SECC IV</v>
      </c>
      <c r="BE340" s="618"/>
      <c r="BF340" s="618"/>
    </row>
    <row r="341" spans="1:58" ht="13" hidden="1">
      <c r="A341" s="325" t="s">
        <v>766</v>
      </c>
      <c r="B341" s="325">
        <v>71</v>
      </c>
      <c r="C341" s="325">
        <v>112012133</v>
      </c>
      <c r="D341" s="799" t="str">
        <f t="shared" si="95"/>
        <v>AGRO BRUNOS S.R.L.</v>
      </c>
      <c r="G341" s="323" t="s">
        <v>216</v>
      </c>
      <c r="H341" s="325">
        <v>70</v>
      </c>
      <c r="I341" s="325">
        <v>112013120</v>
      </c>
      <c r="J341" s="1393" t="e">
        <f t="shared" si="96"/>
        <v>#N/A</v>
      </c>
      <c r="M341" s="323" t="s">
        <v>509</v>
      </c>
      <c r="N341" s="324">
        <v>53</v>
      </c>
      <c r="O341" s="325">
        <v>112014730</v>
      </c>
      <c r="P341" s="1455" t="e">
        <f t="shared" si="97"/>
        <v>#N/A</v>
      </c>
      <c r="R341" s="323" t="s">
        <v>263</v>
      </c>
      <c r="S341" s="324">
        <v>54</v>
      </c>
      <c r="T341" s="325">
        <v>112014193</v>
      </c>
      <c r="U341" s="1455" t="str">
        <f t="shared" si="98"/>
        <v>AGROGAN LOS ABUELOS/ GONZA FEDE / H.V.</v>
      </c>
      <c r="W341" s="323" t="s">
        <v>484</v>
      </c>
      <c r="X341" s="324"/>
      <c r="Y341" s="325">
        <v>112014230</v>
      </c>
      <c r="Z341" s="1455" t="str">
        <f t="shared" si="99"/>
        <v>AIMAR MARIELA</v>
      </c>
      <c r="AB341" s="325" t="s">
        <v>970</v>
      </c>
      <c r="AC341" s="325">
        <v>71</v>
      </c>
      <c r="AD341" s="325">
        <v>112014607</v>
      </c>
      <c r="AE341" s="799" t="e">
        <f t="shared" si="100"/>
        <v>#N/A</v>
      </c>
      <c r="AG341" s="323" t="s">
        <v>1288</v>
      </c>
      <c r="AH341" s="325">
        <v>63</v>
      </c>
      <c r="AI341" s="325">
        <v>112014348</v>
      </c>
      <c r="AJ341" s="424" t="str">
        <f t="shared" si="101"/>
        <v>ALLEGRONI JULIO FEDERICO</v>
      </c>
      <c r="AL341" s="325" t="s">
        <v>1194</v>
      </c>
      <c r="AM341" s="325">
        <v>71</v>
      </c>
      <c r="AN341" s="325">
        <v>112012599</v>
      </c>
      <c r="AO341" s="799" t="e">
        <f t="shared" si="102"/>
        <v>#N/A</v>
      </c>
      <c r="AQ341" s="325" t="s">
        <v>1008</v>
      </c>
      <c r="AR341" s="325">
        <v>62</v>
      </c>
      <c r="AS341" s="325">
        <v>112010582</v>
      </c>
      <c r="AT341" s="799" t="str">
        <f t="shared" si="103"/>
        <v>ANDRADE ROBERTO HIPOLITO</v>
      </c>
      <c r="AW341" s="325" t="s">
        <v>1487</v>
      </c>
      <c r="AX341" s="325">
        <v>71</v>
      </c>
      <c r="AY341" s="325">
        <v>112014697</v>
      </c>
      <c r="AZ341" s="799" t="str">
        <f t="shared" si="104"/>
        <v>AGROINSUMOS S. A.</v>
      </c>
      <c r="BE341" s="618"/>
      <c r="BF341" s="618"/>
    </row>
    <row r="342" spans="1:58" ht="13" hidden="1">
      <c r="A342" s="325" t="s">
        <v>800</v>
      </c>
      <c r="B342" s="325"/>
      <c r="C342" s="325">
        <v>112012966</v>
      </c>
      <c r="D342" s="799" t="str">
        <f t="shared" si="95"/>
        <v>AGUIRRE PATRICIA KARINA</v>
      </c>
      <c r="G342" s="323" t="s">
        <v>170</v>
      </c>
      <c r="H342" s="325">
        <v>71</v>
      </c>
      <c r="I342" s="325">
        <v>112014301</v>
      </c>
      <c r="J342" s="1393" t="e">
        <f t="shared" si="96"/>
        <v>#N/A</v>
      </c>
      <c r="M342" s="323" t="s">
        <v>636</v>
      </c>
      <c r="N342" s="324">
        <v>70</v>
      </c>
      <c r="O342" s="325">
        <v>112014118</v>
      </c>
      <c r="P342" s="1455" t="str">
        <f t="shared" si="97"/>
        <v>ACCONCIA ERICA SABRINA</v>
      </c>
      <c r="R342" s="323" t="s">
        <v>308</v>
      </c>
      <c r="S342" s="324">
        <v>71</v>
      </c>
      <c r="T342" s="325">
        <v>112014393</v>
      </c>
      <c r="U342" s="1455" t="str">
        <f t="shared" si="98"/>
        <v>ALZA SILVANA EDITH</v>
      </c>
      <c r="W342" s="323" t="s">
        <v>481</v>
      </c>
      <c r="X342" s="324"/>
      <c r="Y342" s="325">
        <v>112013420</v>
      </c>
      <c r="Z342" s="1455" t="str">
        <f t="shared" si="99"/>
        <v>ALBERTO CARMEN MARCELA</v>
      </c>
      <c r="AB342" s="325" t="s">
        <v>907</v>
      </c>
      <c r="AC342" s="325">
        <v>70</v>
      </c>
      <c r="AD342" s="325">
        <v>112014207</v>
      </c>
      <c r="AE342" s="799" t="e">
        <f t="shared" si="100"/>
        <v>#N/A</v>
      </c>
      <c r="AG342" s="323" t="s">
        <v>1331</v>
      </c>
      <c r="AH342" s="325">
        <v>69</v>
      </c>
      <c r="AI342" s="325">
        <v>112014458</v>
      </c>
      <c r="AJ342" s="424" t="str">
        <f t="shared" si="101"/>
        <v>ALMANG RUBEN DARIO</v>
      </c>
      <c r="AL342" s="325" t="s">
        <v>1199</v>
      </c>
      <c r="AM342" s="325">
        <v>70</v>
      </c>
      <c r="AN342" s="325">
        <v>112012202</v>
      </c>
      <c r="AO342" s="799" t="e">
        <f t="shared" si="102"/>
        <v>#N/A</v>
      </c>
      <c r="AQ342" s="325" t="s">
        <v>1068</v>
      </c>
      <c r="AR342" s="325">
        <v>71</v>
      </c>
      <c r="AS342" s="325">
        <v>112010443</v>
      </c>
      <c r="AT342" s="799" t="str">
        <f t="shared" si="103"/>
        <v>ARREGUI DANIEL ALBERTO</v>
      </c>
      <c r="AW342" s="325" t="s">
        <v>1497</v>
      </c>
      <c r="AX342" s="325"/>
      <c r="AY342" s="325">
        <v>112014657</v>
      </c>
      <c r="AZ342" s="799" t="str">
        <f t="shared" si="104"/>
        <v>AGROPECUARIA LOS GROBITOS S A S. A.</v>
      </c>
      <c r="BE342" s="618"/>
      <c r="BF342" s="618"/>
    </row>
    <row r="343" spans="1:58" ht="13" hidden="1">
      <c r="A343" s="325" t="s">
        <v>713</v>
      </c>
      <c r="B343" s="325">
        <v>21</v>
      </c>
      <c r="C343" s="325">
        <v>112012876</v>
      </c>
      <c r="D343" s="799" t="str">
        <f t="shared" si="95"/>
        <v>AICARDO FABIAN MARCELO</v>
      </c>
      <c r="G343" s="323" t="s">
        <v>79</v>
      </c>
      <c r="H343" s="325">
        <v>62</v>
      </c>
      <c r="I343" s="325">
        <v>112012779</v>
      </c>
      <c r="J343" s="1393" t="e">
        <f t="shared" si="96"/>
        <v>#N/A</v>
      </c>
      <c r="M343" s="323" t="s">
        <v>609</v>
      </c>
      <c r="N343" s="324">
        <v>71</v>
      </c>
      <c r="O343" s="325">
        <v>112012441</v>
      </c>
      <c r="P343" s="1455" t="str">
        <f t="shared" si="97"/>
        <v>AGNELLO GUILLERMO JAVIER</v>
      </c>
      <c r="R343" s="323" t="s">
        <v>283</v>
      </c>
      <c r="S343" s="324">
        <v>66</v>
      </c>
      <c r="T343" s="325">
        <v>112014237</v>
      </c>
      <c r="U343" s="1455" t="str">
        <f t="shared" si="98"/>
        <v>AMICARELLI CAR/ARROYO SILVIO</v>
      </c>
      <c r="W343" s="323" t="s">
        <v>418</v>
      </c>
      <c r="X343" s="324">
        <v>63</v>
      </c>
      <c r="Y343" s="325">
        <v>112014388</v>
      </c>
      <c r="Z343" s="1455" t="str">
        <f t="shared" si="99"/>
        <v>AMELIA ELIZABETH BOLLA</v>
      </c>
      <c r="AB343" s="325" t="s">
        <v>848</v>
      </c>
      <c r="AC343" s="325">
        <v>62</v>
      </c>
      <c r="AD343" s="325">
        <v>112014244</v>
      </c>
      <c r="AE343" s="799" t="str">
        <f t="shared" si="100"/>
        <v>ARAUCAN SERVICIOS VETERINARIOS S.A</v>
      </c>
      <c r="AG343" s="323" t="s">
        <v>1275</v>
      </c>
      <c r="AH343" s="325">
        <v>62</v>
      </c>
      <c r="AI343" s="325">
        <v>112014008</v>
      </c>
      <c r="AJ343" s="424" t="str">
        <f t="shared" si="101"/>
        <v>ALMEIDA FLAVIA/GUILLEN ALAN</v>
      </c>
      <c r="AL343" s="325" t="s">
        <v>1174</v>
      </c>
      <c r="AM343" s="325">
        <v>71</v>
      </c>
      <c r="AN343" s="325">
        <v>112012889</v>
      </c>
      <c r="AO343" s="799" t="e">
        <f t="shared" si="102"/>
        <v>#N/A</v>
      </c>
      <c r="AQ343" s="325" t="s">
        <v>1042</v>
      </c>
      <c r="AR343" s="325">
        <v>70</v>
      </c>
      <c r="AS343" s="325">
        <v>112012293</v>
      </c>
      <c r="AT343" s="799" t="str">
        <f t="shared" si="103"/>
        <v>ARROYO GLADYS KARINA</v>
      </c>
      <c r="AW343" s="325" t="s">
        <v>1430</v>
      </c>
      <c r="AX343" s="325">
        <v>63</v>
      </c>
      <c r="AY343" s="325">
        <v>112014479</v>
      </c>
      <c r="AZ343" s="799" t="str">
        <f t="shared" si="104"/>
        <v>ALMADA CINTIA VICTORIA</v>
      </c>
      <c r="BE343" s="618"/>
      <c r="BF343" s="618"/>
    </row>
    <row r="344" spans="1:58" ht="13" hidden="1">
      <c r="A344" s="325" t="s">
        <v>724</v>
      </c>
      <c r="B344" s="325">
        <v>69</v>
      </c>
      <c r="C344" s="325">
        <v>112013868</v>
      </c>
      <c r="D344" s="799" t="str">
        <f t="shared" si="95"/>
        <v>ALI ROMERO NAZARENO</v>
      </c>
      <c r="G344" s="323" t="s">
        <v>127</v>
      </c>
      <c r="H344" s="325">
        <v>69</v>
      </c>
      <c r="I344" s="325">
        <v>112013344</v>
      </c>
      <c r="J344" s="1393" t="e">
        <f t="shared" si="96"/>
        <v>#N/A</v>
      </c>
      <c r="M344" s="323" t="s">
        <v>663</v>
      </c>
      <c r="N344" s="324"/>
      <c r="O344" s="325">
        <v>112014376</v>
      </c>
      <c r="P344" s="1455" t="str">
        <f t="shared" si="97"/>
        <v>AGUILAR HERRERO LORENA CLARA NATACHA</v>
      </c>
      <c r="R344" s="323" t="s">
        <v>296</v>
      </c>
      <c r="S344" s="324">
        <v>70</v>
      </c>
      <c r="T344" s="325">
        <v>112011860</v>
      </c>
      <c r="U344" s="1455" t="str">
        <f t="shared" si="98"/>
        <v>ANTONCICH MARTIN IVAN</v>
      </c>
      <c r="W344" s="323" t="s">
        <v>401</v>
      </c>
      <c r="X344" s="324">
        <v>62</v>
      </c>
      <c r="Y344" s="325">
        <v>112013192</v>
      </c>
      <c r="Z344" s="1455" t="str">
        <f t="shared" si="99"/>
        <v>BAIGORRIA NATALIA</v>
      </c>
      <c r="AB344" s="325" t="s">
        <v>960</v>
      </c>
      <c r="AC344" s="325">
        <v>70</v>
      </c>
      <c r="AD344" s="325">
        <v>112012809</v>
      </c>
      <c r="AE344" s="799" t="e">
        <f t="shared" si="100"/>
        <v>#N/A</v>
      </c>
      <c r="AG344" s="323" t="s">
        <v>1308</v>
      </c>
      <c r="AH344" s="325">
        <v>63</v>
      </c>
      <c r="AI344" s="325">
        <v>112013617</v>
      </c>
      <c r="AJ344" s="424" t="str">
        <f t="shared" si="101"/>
        <v>ARANA GASTON ANGEL</v>
      </c>
      <c r="AL344" s="325" t="s">
        <v>1200</v>
      </c>
      <c r="AM344" s="325">
        <v>70</v>
      </c>
      <c r="AN344" s="325">
        <v>112014529</v>
      </c>
      <c r="AO344" s="799" t="e">
        <f t="shared" si="102"/>
        <v>#N/A</v>
      </c>
      <c r="AQ344" s="325" t="s">
        <v>1021</v>
      </c>
      <c r="AR344" s="325">
        <v>62</v>
      </c>
      <c r="AS344" s="325">
        <v>112013516</v>
      </c>
      <c r="AT344" s="799" t="str">
        <f t="shared" si="103"/>
        <v>BAGUNAC S.A.</v>
      </c>
      <c r="AW344" s="325" t="s">
        <v>1431</v>
      </c>
      <c r="AX344" s="325">
        <v>63</v>
      </c>
      <c r="AY344" s="325">
        <v>112014387</v>
      </c>
      <c r="AZ344" s="799" t="str">
        <f t="shared" si="104"/>
        <v>ALVAREZ BURATTI VIVIANA</v>
      </c>
      <c r="BE344" s="618"/>
      <c r="BF344" s="618"/>
    </row>
    <row r="345" spans="1:58" ht="13" hidden="1">
      <c r="A345" s="325" t="s">
        <v>767</v>
      </c>
      <c r="B345" s="325">
        <v>71</v>
      </c>
      <c r="C345" s="325">
        <v>112013989</v>
      </c>
      <c r="D345" s="799" t="str">
        <f t="shared" si="95"/>
        <v>ALVAREZ GAMBINI MONICA BEATRIZ</v>
      </c>
      <c r="G345" s="323" t="s">
        <v>137</v>
      </c>
      <c r="H345" s="325">
        <v>70</v>
      </c>
      <c r="I345" s="325">
        <v>112014155</v>
      </c>
      <c r="J345" s="1393" t="str">
        <f t="shared" si="96"/>
        <v>BARRETO ALEJ/FERREYRA MYRIAN</v>
      </c>
      <c r="M345" s="323" t="s">
        <v>523</v>
      </c>
      <c r="N345" s="324">
        <v>62</v>
      </c>
      <c r="O345" s="325">
        <v>112013220</v>
      </c>
      <c r="P345" s="1455" t="str">
        <f t="shared" si="97"/>
        <v>AGUILERA JAVIER ROBERTO</v>
      </c>
      <c r="R345" s="323" t="s">
        <v>289</v>
      </c>
      <c r="S345" s="324">
        <v>67</v>
      </c>
      <c r="T345" s="325">
        <v>112010719</v>
      </c>
      <c r="U345" s="1455" t="str">
        <f t="shared" si="98"/>
        <v>APAOLAZA GUSTAVO JAVIER</v>
      </c>
      <c r="W345" s="323" t="s">
        <v>373</v>
      </c>
      <c r="X345" s="324">
        <v>60</v>
      </c>
      <c r="Y345" s="325">
        <v>112013768</v>
      </c>
      <c r="Z345" s="1455" t="str">
        <f t="shared" si="99"/>
        <v>BALANCEADOS CANNING S.R.L</v>
      </c>
      <c r="AB345" s="325" t="s">
        <v>984</v>
      </c>
      <c r="AC345" s="325"/>
      <c r="AD345" s="325">
        <v>112010442</v>
      </c>
      <c r="AE345" s="799" t="e">
        <f t="shared" si="100"/>
        <v>#N/A</v>
      </c>
      <c r="AG345" s="323" t="s">
        <v>1345</v>
      </c>
      <c r="AH345" s="325">
        <v>71</v>
      </c>
      <c r="AI345" s="325">
        <v>112013731</v>
      </c>
      <c r="AJ345" s="424" t="str">
        <f t="shared" si="101"/>
        <v>ARANA PEDRO FABIAN</v>
      </c>
      <c r="AL345" s="325" t="s">
        <v>1121</v>
      </c>
      <c r="AM345" s="325">
        <v>63</v>
      </c>
      <c r="AN345" s="325">
        <v>112014554</v>
      </c>
      <c r="AO345" s="799" t="e">
        <f t="shared" si="102"/>
        <v>#N/A</v>
      </c>
      <c r="AQ345" s="325" t="s">
        <v>1067</v>
      </c>
      <c r="AR345" s="325">
        <v>71</v>
      </c>
      <c r="AS345" s="325">
        <v>112014129</v>
      </c>
      <c r="AT345" s="799" t="str">
        <f t="shared" si="103"/>
        <v>BARON ANTONE/LUCIANA MUJICA</v>
      </c>
      <c r="AW345" s="325" t="s">
        <v>1405</v>
      </c>
      <c r="AX345" s="325">
        <v>55</v>
      </c>
      <c r="AY345" s="325">
        <v>112013143</v>
      </c>
      <c r="AZ345" s="799" t="str">
        <f t="shared" si="104"/>
        <v>ANGELINO CRISTIAN</v>
      </c>
      <c r="BE345" s="618"/>
      <c r="BF345" s="618"/>
    </row>
    <row r="346" spans="1:58" ht="13" hidden="1">
      <c r="A346" s="325" t="s">
        <v>714</v>
      </c>
      <c r="B346" s="325">
        <v>61</v>
      </c>
      <c r="C346" s="325">
        <v>112014723</v>
      </c>
      <c r="D346" s="799" t="str">
        <f t="shared" si="95"/>
        <v>ARRIETA FACUNDO NAHUEL</v>
      </c>
      <c r="G346" s="323" t="s">
        <v>238</v>
      </c>
      <c r="H346" s="325">
        <v>72</v>
      </c>
      <c r="I346" s="325">
        <v>112011628</v>
      </c>
      <c r="J346" s="1393" t="e">
        <f t="shared" si="96"/>
        <v>#N/A</v>
      </c>
      <c r="M346" s="323" t="s">
        <v>620</v>
      </c>
      <c r="N346" s="324">
        <v>71</v>
      </c>
      <c r="O346" s="325">
        <v>112010441</v>
      </c>
      <c r="P346" s="1455" t="str">
        <f t="shared" si="97"/>
        <v>ARDOHAIN JUAN ESTEBAN</v>
      </c>
      <c r="R346" s="323" t="s">
        <v>269</v>
      </c>
      <c r="S346" s="324">
        <v>63</v>
      </c>
      <c r="T346" s="325">
        <v>112014606</v>
      </c>
      <c r="U346" s="1455" t="str">
        <f t="shared" si="98"/>
        <v>ARAYA NORA VIVIANA</v>
      </c>
      <c r="W346" s="323" t="s">
        <v>403</v>
      </c>
      <c r="X346" s="324">
        <v>60</v>
      </c>
      <c r="Y346" s="325">
        <v>112013252</v>
      </c>
      <c r="Z346" s="1455" t="str">
        <f t="shared" si="99"/>
        <v>BALENZANO JULIO HORACIO</v>
      </c>
      <c r="AB346" s="325" t="s">
        <v>876</v>
      </c>
      <c r="AC346" s="325">
        <v>71</v>
      </c>
      <c r="AD346" s="325">
        <v>112014777</v>
      </c>
      <c r="AE346" s="799" t="str">
        <f t="shared" si="100"/>
        <v>BALIÑA MARIA FERNANDA</v>
      </c>
      <c r="AG346" s="323" t="s">
        <v>1276</v>
      </c>
      <c r="AH346" s="325">
        <v>62</v>
      </c>
      <c r="AI346" s="325">
        <v>112014174</v>
      </c>
      <c r="AJ346" s="424" t="str">
        <f t="shared" si="101"/>
        <v>BARIDON GUSTAVO RAFAEL</v>
      </c>
      <c r="AL346" s="325" t="s">
        <v>1134</v>
      </c>
      <c r="AM346" s="325">
        <v>60</v>
      </c>
      <c r="AN346" s="325">
        <v>112012408</v>
      </c>
      <c r="AO346" s="799" t="str">
        <f t="shared" si="102"/>
        <v>ATARAMA ALVAN RAFAEL HECTOR</v>
      </c>
      <c r="AQ346" s="325" t="s">
        <v>1009</v>
      </c>
      <c r="AR346" s="325">
        <v>62</v>
      </c>
      <c r="AS346" s="325">
        <v>112013217</v>
      </c>
      <c r="AT346" s="799" t="str">
        <f t="shared" si="103"/>
        <v>BARRERE BERNARDO</v>
      </c>
      <c r="AW346" s="325" t="s">
        <v>1398</v>
      </c>
      <c r="AX346" s="325">
        <v>55</v>
      </c>
      <c r="AY346" s="325">
        <v>112012985</v>
      </c>
      <c r="AZ346" s="799" t="str">
        <f t="shared" si="104"/>
        <v>ARBOLES S.R.L.</v>
      </c>
      <c r="BE346" s="618"/>
      <c r="BF346" s="618"/>
    </row>
    <row r="347" spans="1:58" ht="13" hidden="1">
      <c r="A347" s="325" t="s">
        <v>768</v>
      </c>
      <c r="B347" s="325">
        <v>71</v>
      </c>
      <c r="C347" s="325">
        <v>112010910</v>
      </c>
      <c r="D347" s="799" t="str">
        <f t="shared" si="95"/>
        <v>ASPREA MARCELO OSVALDO/GARRAHAN</v>
      </c>
      <c r="G347" s="323" t="s">
        <v>138</v>
      </c>
      <c r="H347" s="325">
        <v>70</v>
      </c>
      <c r="I347" s="325">
        <v>112012974</v>
      </c>
      <c r="J347" s="1393" t="e">
        <f t="shared" si="96"/>
        <v>#N/A</v>
      </c>
      <c r="M347" s="323" t="s">
        <v>570</v>
      </c>
      <c r="N347" s="324">
        <v>70</v>
      </c>
      <c r="O347" s="325">
        <v>112014368</v>
      </c>
      <c r="P347" s="1455" t="str">
        <f t="shared" si="97"/>
        <v>ARIAS DELIA MERCEDES</v>
      </c>
      <c r="R347" s="323" t="s">
        <v>256</v>
      </c>
      <c r="S347" s="324">
        <v>52</v>
      </c>
      <c r="T347" s="325">
        <v>112013280</v>
      </c>
      <c r="U347" s="1455" t="str">
        <f t="shared" si="98"/>
        <v>AYALA ALEJANDRO JORGE</v>
      </c>
      <c r="W347" s="323" t="s">
        <v>458</v>
      </c>
      <c r="X347" s="324">
        <v>71</v>
      </c>
      <c r="Y347" s="325">
        <v>112010763</v>
      </c>
      <c r="Z347" s="1455" t="str">
        <f t="shared" si="99"/>
        <v>BANACH DIANA</v>
      </c>
      <c r="AB347" s="325" t="s">
        <v>915</v>
      </c>
      <c r="AC347" s="325">
        <v>71</v>
      </c>
      <c r="AD347" s="325">
        <v>112013126</v>
      </c>
      <c r="AE347" s="799" t="e">
        <f t="shared" si="100"/>
        <v>#N/A</v>
      </c>
      <c r="AG347" s="323" t="s">
        <v>1309</v>
      </c>
      <c r="AH347" s="325">
        <v>63</v>
      </c>
      <c r="AI347" s="325">
        <v>112013508</v>
      </c>
      <c r="AJ347" s="424" t="str">
        <f t="shared" si="101"/>
        <v>BAUER SANTIAGO</v>
      </c>
      <c r="AL347" s="325" t="s">
        <v>1201</v>
      </c>
      <c r="AM347" s="325">
        <v>70</v>
      </c>
      <c r="AN347" s="325">
        <v>112014571</v>
      </c>
      <c r="AO347" s="799" t="e">
        <f t="shared" si="102"/>
        <v>#N/A</v>
      </c>
      <c r="AQ347" s="325" t="s">
        <v>1078</v>
      </c>
      <c r="AR347" s="325">
        <v>71</v>
      </c>
      <c r="AS347" s="325">
        <v>112012638</v>
      </c>
      <c r="AT347" s="799" t="str">
        <f t="shared" si="103"/>
        <v>BAUTISTA GASPAR</v>
      </c>
      <c r="AW347" s="325" t="s">
        <v>1425</v>
      </c>
      <c r="AX347" s="325">
        <v>63</v>
      </c>
      <c r="AY347" s="325">
        <v>112013303</v>
      </c>
      <c r="AZ347" s="799" t="str">
        <f t="shared" si="104"/>
        <v>ARISTI CARLOS EDUARDO</v>
      </c>
      <c r="BE347" s="618"/>
      <c r="BF347" s="618"/>
    </row>
    <row r="348" spans="1:58" ht="13" hidden="1">
      <c r="A348" s="325" t="s">
        <v>769</v>
      </c>
      <c r="B348" s="325">
        <v>71</v>
      </c>
      <c r="C348" s="325">
        <v>112013104</v>
      </c>
      <c r="D348" s="799" t="str">
        <f t="shared" si="95"/>
        <v>BANCO PROVINCIA</v>
      </c>
      <c r="G348" s="323" t="s">
        <v>171</v>
      </c>
      <c r="H348" s="325">
        <v>71</v>
      </c>
      <c r="I348" s="325">
        <v>112013552</v>
      </c>
      <c r="J348" s="1393" t="str">
        <f t="shared" si="96"/>
        <v>CASCO FEDERICO/BASSI MARIA</v>
      </c>
      <c r="M348" s="323" t="s">
        <v>634</v>
      </c>
      <c r="N348" s="324">
        <v>70</v>
      </c>
      <c r="O348" s="325">
        <v>112013870</v>
      </c>
      <c r="P348" s="1455" t="str">
        <f t="shared" si="97"/>
        <v>ARROCERA DEL SUR SA</v>
      </c>
      <c r="R348" s="323" t="s">
        <v>257</v>
      </c>
      <c r="S348" s="324">
        <v>52</v>
      </c>
      <c r="T348" s="325">
        <v>112013670</v>
      </c>
      <c r="U348" s="1455" t="str">
        <f t="shared" si="98"/>
        <v>AYALA RODOLFO DANIEL (ACE2)</v>
      </c>
      <c r="W348" s="323" t="s">
        <v>419</v>
      </c>
      <c r="X348" s="324">
        <v>63</v>
      </c>
      <c r="Y348" s="325">
        <v>112013487</v>
      </c>
      <c r="Z348" s="1455" t="str">
        <f t="shared" si="99"/>
        <v>BARABANI RUBEN OSVALDO</v>
      </c>
      <c r="AB348" s="325" t="s">
        <v>881</v>
      </c>
      <c r="AC348" s="325">
        <v>71</v>
      </c>
      <c r="AD348" s="325">
        <v>112012525</v>
      </c>
      <c r="AE348" s="799" t="str">
        <f t="shared" si="100"/>
        <v>BIDONDO AGUSTIN</v>
      </c>
      <c r="AG348" s="323" t="s">
        <v>1381</v>
      </c>
      <c r="AH348" s="325"/>
      <c r="AI348" s="325">
        <v>112013840</v>
      </c>
      <c r="AJ348" s="424" t="str">
        <f t="shared" si="101"/>
        <v>BICHO`S DEL SUR SRL</v>
      </c>
      <c r="AL348" s="325" t="s">
        <v>1202</v>
      </c>
      <c r="AM348" s="325">
        <v>70</v>
      </c>
      <c r="AN348" s="325">
        <v>112014302</v>
      </c>
      <c r="AO348" s="799" t="e">
        <f t="shared" si="102"/>
        <v>#N/A</v>
      </c>
      <c r="AQ348" s="325" t="s">
        <v>1013</v>
      </c>
      <c r="AR348" s="325">
        <v>63</v>
      </c>
      <c r="AS348" s="325">
        <v>112010740</v>
      </c>
      <c r="AT348" s="799" t="str">
        <f t="shared" si="103"/>
        <v>BENIGNI JUAN CARLOS</v>
      </c>
      <c r="AW348" s="325" t="s">
        <v>1416</v>
      </c>
      <c r="AX348" s="325">
        <v>62</v>
      </c>
      <c r="AY348" s="325">
        <v>112014635</v>
      </c>
      <c r="AZ348" s="799" t="str">
        <f t="shared" si="104"/>
        <v>AVENI FERNANDO JOEL</v>
      </c>
      <c r="BE348" s="618"/>
      <c r="BF348" s="618"/>
    </row>
    <row r="349" spans="1:58" ht="13" hidden="1">
      <c r="A349" s="325" t="s">
        <v>688</v>
      </c>
      <c r="B349" s="325">
        <v>55</v>
      </c>
      <c r="C349" s="325">
        <v>112013562</v>
      </c>
      <c r="D349" s="799" t="str">
        <f t="shared" si="95"/>
        <v>BARRETO LUIS ALBERTO</v>
      </c>
      <c r="G349" s="323" t="s">
        <v>139</v>
      </c>
      <c r="H349" s="325">
        <v>70</v>
      </c>
      <c r="I349" s="325">
        <v>112012249</v>
      </c>
      <c r="J349" s="1393" t="str">
        <f t="shared" si="96"/>
        <v>DARIO GERA Y LEONARDO/ GERA DARIO G</v>
      </c>
      <c r="M349" s="323" t="s">
        <v>506</v>
      </c>
      <c r="N349" s="324">
        <v>53</v>
      </c>
      <c r="O349" s="325">
        <v>112014413</v>
      </c>
      <c r="P349" s="1455" t="str">
        <f t="shared" si="97"/>
        <v>ASTUR VEL S. A.</v>
      </c>
      <c r="R349" s="323" t="s">
        <v>258</v>
      </c>
      <c r="S349" s="324">
        <v>52</v>
      </c>
      <c r="T349" s="325">
        <v>112013671</v>
      </c>
      <c r="U349" s="1455" t="str">
        <f t="shared" si="98"/>
        <v>AYALA RODOLFO DANIEL (RODAL)</v>
      </c>
      <c r="W349" s="323" t="s">
        <v>375</v>
      </c>
      <c r="X349" s="324">
        <v>53</v>
      </c>
      <c r="Y349" s="325">
        <v>112014382</v>
      </c>
      <c r="Z349" s="1455" t="str">
        <f t="shared" si="99"/>
        <v>BARBADORI /RAMOS</v>
      </c>
      <c r="AB349" s="325" t="s">
        <v>976</v>
      </c>
      <c r="AC349" s="325">
        <v>71</v>
      </c>
      <c r="AD349" s="325">
        <v>112014108</v>
      </c>
      <c r="AE349" s="799" t="e">
        <f t="shared" si="100"/>
        <v>#N/A</v>
      </c>
      <c r="AG349" s="323" t="s">
        <v>1289</v>
      </c>
      <c r="AH349" s="325">
        <v>63</v>
      </c>
      <c r="AI349" s="325">
        <v>112013740</v>
      </c>
      <c r="AJ349" s="424" t="str">
        <f t="shared" si="101"/>
        <v>BISCHOFF RUBEN ALEJANDRO</v>
      </c>
      <c r="AL349" s="325" t="s">
        <v>854</v>
      </c>
      <c r="AM349" s="325">
        <v>63</v>
      </c>
      <c r="AN349" s="325">
        <v>112012381</v>
      </c>
      <c r="AO349" s="799" t="e">
        <f t="shared" si="102"/>
        <v>#N/A</v>
      </c>
      <c r="AQ349" s="325" t="s">
        <v>998</v>
      </c>
      <c r="AR349" s="325">
        <v>55</v>
      </c>
      <c r="AS349" s="325">
        <v>112013506</v>
      </c>
      <c r="AT349" s="799" t="str">
        <f t="shared" si="103"/>
        <v>BENIGNI LUIS ALBERTO LUJAN Y INSAUGARAT JUAN RAMON SOCIEDAD SIMPE</v>
      </c>
      <c r="AW349" s="325" t="s">
        <v>1464</v>
      </c>
      <c r="AX349" s="325">
        <v>63</v>
      </c>
      <c r="AY349" s="325">
        <v>112012873</v>
      </c>
      <c r="AZ349" s="799" t="str">
        <f t="shared" si="104"/>
        <v>BALANCEADOS DEL NORTE SRL</v>
      </c>
      <c r="BE349" s="618"/>
      <c r="BF349" s="618"/>
    </row>
    <row r="350" spans="1:58" ht="13" hidden="1">
      <c r="A350" s="325" t="s">
        <v>699</v>
      </c>
      <c r="B350" s="325">
        <v>61</v>
      </c>
      <c r="C350" s="325">
        <v>112013321</v>
      </c>
      <c r="D350" s="799" t="str">
        <f t="shared" si="95"/>
        <v>BERNARDEZ MIGUEL ANGEL ANTONIO</v>
      </c>
      <c r="G350" s="323" t="s">
        <v>172</v>
      </c>
      <c r="H350" s="325">
        <v>71</v>
      </c>
      <c r="I350" s="325">
        <v>112013956</v>
      </c>
      <c r="J350" s="1393" t="str">
        <f t="shared" si="96"/>
        <v>DUARTE IGNACIO/BRIZUELA BATISTA</v>
      </c>
      <c r="M350" s="323" t="s">
        <v>648</v>
      </c>
      <c r="N350" s="324">
        <v>71</v>
      </c>
      <c r="O350" s="325">
        <v>112013200</v>
      </c>
      <c r="P350" s="1455" t="str">
        <f t="shared" si="97"/>
        <v>BANEGAS MARIA CELESTE</v>
      </c>
      <c r="R350" s="323" t="s">
        <v>293</v>
      </c>
      <c r="S350" s="324">
        <v>70</v>
      </c>
      <c r="T350" s="325">
        <v>112011814</v>
      </c>
      <c r="U350" s="1455" t="str">
        <f t="shared" si="98"/>
        <v>BASSI JORGE MATIAS</v>
      </c>
      <c r="W350" s="323" t="s">
        <v>479</v>
      </c>
      <c r="X350" s="324"/>
      <c r="Y350" s="325">
        <v>112011943</v>
      </c>
      <c r="Z350" s="1455" t="str">
        <f t="shared" si="99"/>
        <v>BARBIERI MAURICIO ANTONIO</v>
      </c>
      <c r="AB350" s="325" t="s">
        <v>978</v>
      </c>
      <c r="AC350" s="325">
        <v>71</v>
      </c>
      <c r="AD350" s="325">
        <v>112013890</v>
      </c>
      <c r="AE350" s="799" t="e">
        <f t="shared" si="100"/>
        <v>#N/A</v>
      </c>
      <c r="AG350" s="323" t="s">
        <v>1354</v>
      </c>
      <c r="AH350" s="325">
        <v>71</v>
      </c>
      <c r="AI350" s="325">
        <v>112011665</v>
      </c>
      <c r="AJ350" s="424" t="str">
        <f t="shared" si="101"/>
        <v>BOGADO CARMEN</v>
      </c>
      <c r="AL350" s="325" t="s">
        <v>1203</v>
      </c>
      <c r="AM350" s="325">
        <v>70</v>
      </c>
      <c r="AN350" s="325">
        <v>112014351</v>
      </c>
      <c r="AO350" s="799" t="e">
        <f t="shared" si="102"/>
        <v>#N/A</v>
      </c>
      <c r="AQ350" s="325" t="s">
        <v>994</v>
      </c>
      <c r="AR350" s="325">
        <v>54</v>
      </c>
      <c r="AS350" s="325">
        <v>112013493</v>
      </c>
      <c r="AT350" s="799" t="str">
        <f t="shared" si="103"/>
        <v>BOSCHETTI LEONARDO y LAZARTE RICARDO DANIEL</v>
      </c>
      <c r="AW350" s="325" t="s">
        <v>1421</v>
      </c>
      <c r="AX350" s="325">
        <v>21</v>
      </c>
      <c r="AY350" s="325">
        <v>112014780</v>
      </c>
      <c r="AZ350" s="799" t="str">
        <f t="shared" si="104"/>
        <v>BARBONA GABRIELA ALEJANDRA</v>
      </c>
      <c r="BE350" s="618"/>
      <c r="BF350" s="618"/>
    </row>
    <row r="351" spans="1:58" ht="13" hidden="1">
      <c r="A351" s="325" t="s">
        <v>770</v>
      </c>
      <c r="B351" s="325">
        <v>71</v>
      </c>
      <c r="C351" s="325">
        <v>112014102</v>
      </c>
      <c r="D351" s="799" t="str">
        <f t="shared" si="95"/>
        <v>BERROTARAN GABRIELA</v>
      </c>
      <c r="G351" s="323" t="s">
        <v>173</v>
      </c>
      <c r="H351" s="325">
        <v>71</v>
      </c>
      <c r="I351" s="325">
        <v>112014270</v>
      </c>
      <c r="J351" s="1393" t="str">
        <f t="shared" si="96"/>
        <v>EL GRAN CHEF/MAZZANTI/UNSWORTH/ LALOTTA</v>
      </c>
      <c r="M351" s="323" t="s">
        <v>621</v>
      </c>
      <c r="N351" s="324">
        <v>70</v>
      </c>
      <c r="O351" s="325">
        <v>112014152</v>
      </c>
      <c r="P351" s="1455" t="str">
        <f t="shared" si="97"/>
        <v>BASADRE GILDA</v>
      </c>
      <c r="R351" s="323" t="s">
        <v>311</v>
      </c>
      <c r="S351" s="324">
        <v>71</v>
      </c>
      <c r="T351" s="325">
        <v>112014391</v>
      </c>
      <c r="U351" s="1455" t="str">
        <f t="shared" si="98"/>
        <v>BASUALDO TAMARA SOLEDAD</v>
      </c>
      <c r="W351" s="323" t="s">
        <v>393</v>
      </c>
      <c r="X351" s="324">
        <v>61</v>
      </c>
      <c r="Y351" s="325">
        <v>112013849</v>
      </c>
      <c r="Z351" s="1455" t="str">
        <f t="shared" si="99"/>
        <v>BARBOSA HUGO MIGUEL</v>
      </c>
      <c r="AB351" s="325" t="s">
        <v>979</v>
      </c>
      <c r="AC351" s="325">
        <v>71</v>
      </c>
      <c r="AD351" s="325">
        <v>112013713</v>
      </c>
      <c r="AE351" s="799" t="e">
        <f t="shared" si="100"/>
        <v>#N/A</v>
      </c>
      <c r="AG351" s="323" t="s">
        <v>1290</v>
      </c>
      <c r="AH351" s="325">
        <v>63</v>
      </c>
      <c r="AI351" s="325">
        <v>112014219</v>
      </c>
      <c r="AJ351" s="424" t="str">
        <f t="shared" si="101"/>
        <v>BOHNKE ARTICULOS/HALLIER EUGENIA</v>
      </c>
      <c r="AL351" s="325" t="s">
        <v>1176</v>
      </c>
      <c r="AM351" s="325">
        <v>71</v>
      </c>
      <c r="AN351" s="325">
        <v>112013306</v>
      </c>
      <c r="AO351" s="799" t="e">
        <f t="shared" si="102"/>
        <v>#N/A</v>
      </c>
      <c r="AQ351" s="325" t="s">
        <v>1033</v>
      </c>
      <c r="AR351" s="325">
        <v>71</v>
      </c>
      <c r="AS351" s="325">
        <v>112014770</v>
      </c>
      <c r="AT351" s="799" t="str">
        <f t="shared" si="103"/>
        <v>BRU DIANA ROSA</v>
      </c>
      <c r="AW351" s="325" t="s">
        <v>1481</v>
      </c>
      <c r="AX351" s="325">
        <v>71</v>
      </c>
      <c r="AY351" s="325">
        <v>112010231</v>
      </c>
      <c r="AZ351" s="799" t="str">
        <f t="shared" si="104"/>
        <v>BASSI RICARD/SERRA ALEJANDRA</v>
      </c>
      <c r="BE351" s="618"/>
      <c r="BF351" s="618"/>
    </row>
    <row r="352" spans="1:58" ht="13" hidden="1">
      <c r="A352" s="325" t="s">
        <v>744</v>
      </c>
      <c r="B352" s="325">
        <v>70</v>
      </c>
      <c r="C352" s="325">
        <v>112013296</v>
      </c>
      <c r="D352" s="799" t="str">
        <f t="shared" si="95"/>
        <v>BOVEDA ANDREA FABIANA</v>
      </c>
      <c r="G352" s="323" t="s">
        <v>236</v>
      </c>
      <c r="H352" s="325">
        <v>61</v>
      </c>
      <c r="I352" s="325">
        <v>112014467</v>
      </c>
      <c r="J352" s="1393" t="str">
        <f t="shared" si="96"/>
        <v>FELIS CONCOLOR / GOMEZ SILVANA</v>
      </c>
      <c r="M352" s="323" t="s">
        <v>543</v>
      </c>
      <c r="N352" s="324">
        <v>63</v>
      </c>
      <c r="O352" s="325">
        <v>112010446</v>
      </c>
      <c r="P352" s="1455" t="str">
        <f t="shared" si="97"/>
        <v>BASILE FEDERICO CARLOS</v>
      </c>
      <c r="R352" s="323" t="s">
        <v>312</v>
      </c>
      <c r="S352" s="324">
        <v>71</v>
      </c>
      <c r="T352" s="325">
        <v>112012159</v>
      </c>
      <c r="U352" s="1455" t="str">
        <f t="shared" si="98"/>
        <v>BECHELLI ALEJANDRO GUSTAVO</v>
      </c>
      <c r="W352" s="323" t="s">
        <v>421</v>
      </c>
      <c r="X352" s="324">
        <v>63</v>
      </c>
      <c r="Y352" s="325">
        <v>112010743</v>
      </c>
      <c r="Z352" s="1455" t="str">
        <f t="shared" si="99"/>
        <v>BATISTA OSCAR HORACIO</v>
      </c>
      <c r="AB352" s="325" t="s">
        <v>986</v>
      </c>
      <c r="AC352" s="325"/>
      <c r="AD352" s="325">
        <v>112014114</v>
      </c>
      <c r="AE352" s="799" t="e">
        <f t="shared" si="100"/>
        <v>#N/A</v>
      </c>
      <c r="AG352" s="323" t="s">
        <v>1310</v>
      </c>
      <c r="AH352" s="325">
        <v>63</v>
      </c>
      <c r="AI352" s="325">
        <v>112014647</v>
      </c>
      <c r="AJ352" s="424" t="str">
        <f t="shared" si="101"/>
        <v>BRACCO VIVIANA BEATRIZ</v>
      </c>
      <c r="AL352" s="325" t="s">
        <v>1238</v>
      </c>
      <c r="AM352" s="325">
        <v>61</v>
      </c>
      <c r="AN352" s="325">
        <v>112014715</v>
      </c>
      <c r="AO352" s="799" t="e">
        <f t="shared" si="102"/>
        <v>#N/A</v>
      </c>
      <c r="AQ352" s="325" t="s">
        <v>1046</v>
      </c>
      <c r="AR352" s="325">
        <v>71</v>
      </c>
      <c r="AS352" s="325">
        <v>112014497</v>
      </c>
      <c r="AT352" s="799" t="str">
        <f t="shared" si="103"/>
        <v>BRUNO SERVAT BERNARDO ANGEL</v>
      </c>
      <c r="AW352" s="325" t="s">
        <v>1432</v>
      </c>
      <c r="AX352" s="325">
        <v>63</v>
      </c>
      <c r="AY352" s="325">
        <v>112013773</v>
      </c>
      <c r="AZ352" s="799" t="str">
        <f t="shared" si="104"/>
        <v>BEDOYA ALEJANDRO LUCIANO</v>
      </c>
      <c r="BE352" s="618"/>
      <c r="BF352" s="618"/>
    </row>
    <row r="353" spans="1:58" ht="13" hidden="1">
      <c r="A353" s="325" t="s">
        <v>745</v>
      </c>
      <c r="B353" s="325">
        <v>70</v>
      </c>
      <c r="C353" s="325">
        <v>112013825</v>
      </c>
      <c r="D353" s="799" t="str">
        <f t="shared" si="95"/>
        <v>BUGUEYRO DANIEL HORACIO</v>
      </c>
      <c r="G353" s="323" t="s">
        <v>174</v>
      </c>
      <c r="H353" s="325">
        <v>71</v>
      </c>
      <c r="I353" s="325">
        <v>112014628</v>
      </c>
      <c r="J353" s="1393" t="str">
        <f t="shared" si="96"/>
        <v>FLORENCIA BEHRENS/EMILIANO QUINTEROS</v>
      </c>
      <c r="M353" s="323" t="s">
        <v>556</v>
      </c>
      <c r="N353" s="324">
        <v>69</v>
      </c>
      <c r="O353" s="325">
        <v>112014732</v>
      </c>
      <c r="P353" s="1455" t="str">
        <f t="shared" si="97"/>
        <v>BEORLEGUI GUILLERMO FABIAN</v>
      </c>
      <c r="R353" s="323" t="s">
        <v>313</v>
      </c>
      <c r="S353" s="324">
        <v>71</v>
      </c>
      <c r="T353" s="325">
        <v>112012865</v>
      </c>
      <c r="U353" s="1455" t="str">
        <f t="shared" si="98"/>
        <v>BEL MARIA TERESA</v>
      </c>
      <c r="W353" s="323" t="s">
        <v>472</v>
      </c>
      <c r="X353" s="324">
        <v>71</v>
      </c>
      <c r="Y353" s="325">
        <v>112013052</v>
      </c>
      <c r="Z353" s="1455" t="str">
        <f t="shared" si="99"/>
        <v>BELOQUI JOSE ANTONIO</v>
      </c>
      <c r="AB353" s="325" t="s">
        <v>896</v>
      </c>
      <c r="AC353" s="325">
        <v>71</v>
      </c>
      <c r="AD353" s="325">
        <v>112012203</v>
      </c>
      <c r="AE353" s="799" t="str">
        <f t="shared" si="100"/>
        <v>BONINO MARIANO</v>
      </c>
      <c r="AG353" s="323" t="s">
        <v>1388</v>
      </c>
      <c r="AH353" s="325">
        <v>63</v>
      </c>
      <c r="AI353" s="325">
        <v>112013570</v>
      </c>
      <c r="AJ353" s="424" t="e">
        <f t="shared" si="101"/>
        <v>#N/A</v>
      </c>
      <c r="AL353" s="325" t="s">
        <v>1230</v>
      </c>
      <c r="AM353" s="325">
        <v>71</v>
      </c>
      <c r="AN353" s="325">
        <v>112012501</v>
      </c>
      <c r="AO353" s="799" t="e">
        <f t="shared" si="102"/>
        <v>#N/A</v>
      </c>
      <c r="AQ353" s="325" t="s">
        <v>1093</v>
      </c>
      <c r="AR353" s="325">
        <v>71</v>
      </c>
      <c r="AS353" s="325">
        <v>112012366</v>
      </c>
      <c r="AT353" s="799" t="e">
        <f t="shared" si="103"/>
        <v>#N/A</v>
      </c>
      <c r="AW353" s="325" t="s">
        <v>362</v>
      </c>
      <c r="AX353" s="325"/>
      <c r="AY353" s="325">
        <v>112014560</v>
      </c>
      <c r="AZ353" s="799" t="str">
        <f t="shared" si="104"/>
        <v>BERTOLAZZI VIVIANA NOEMI</v>
      </c>
      <c r="BE353" s="618"/>
      <c r="BF353" s="618"/>
    </row>
    <row r="354" spans="1:58" ht="13" hidden="1">
      <c r="A354" s="325" t="s">
        <v>771</v>
      </c>
      <c r="B354" s="325">
        <v>71</v>
      </c>
      <c r="C354" s="325">
        <v>112014590</v>
      </c>
      <c r="D354" s="799" t="str">
        <f t="shared" si="95"/>
        <v>BURGOS ROBERTO ARIEL</v>
      </c>
      <c r="G354" s="323" t="s">
        <v>81</v>
      </c>
      <c r="H354" s="325">
        <v>62</v>
      </c>
      <c r="I354" s="325">
        <v>112013792</v>
      </c>
      <c r="J354" s="1393" t="str">
        <f t="shared" si="96"/>
        <v>GARCIA MARCELO/MONTERO GRACI</v>
      </c>
      <c r="M354" s="323" t="s">
        <v>571</v>
      </c>
      <c r="N354" s="324">
        <v>70</v>
      </c>
      <c r="O354" s="325">
        <v>112014588</v>
      </c>
      <c r="P354" s="1455" t="str">
        <f t="shared" si="97"/>
        <v>BERTUZZI FEDERICO JAVIER</v>
      </c>
      <c r="R354" s="323" t="s">
        <v>346</v>
      </c>
      <c r="S354" s="324"/>
      <c r="T354" s="325">
        <v>112013893</v>
      </c>
      <c r="U354" s="1455" t="str">
        <f t="shared" si="98"/>
        <v>BIANCHI SAMANTA PAULA</v>
      </c>
      <c r="W354" s="323" t="s">
        <v>456</v>
      </c>
      <c r="X354" s="324">
        <v>71</v>
      </c>
      <c r="Y354" s="325">
        <v>112014768</v>
      </c>
      <c r="Z354" s="1455" t="str">
        <f t="shared" si="99"/>
        <v>BENITEZ ROCIO TAMARA</v>
      </c>
      <c r="AB354" s="325" t="s">
        <v>951</v>
      </c>
      <c r="AC354" s="325">
        <v>70</v>
      </c>
      <c r="AD354" s="325">
        <v>112014097</v>
      </c>
      <c r="AE354" s="799" t="e">
        <f t="shared" si="100"/>
        <v>#N/A</v>
      </c>
      <c r="AG354" s="323" t="s">
        <v>1355</v>
      </c>
      <c r="AH354" s="325">
        <v>71</v>
      </c>
      <c r="AI354" s="325">
        <v>112012415</v>
      </c>
      <c r="AJ354" s="424" t="str">
        <f t="shared" si="101"/>
        <v>BUJNIEWICZ SABRINA CARLA</v>
      </c>
      <c r="AL354" s="325" t="s">
        <v>1142</v>
      </c>
      <c r="AM354" s="325">
        <v>67</v>
      </c>
      <c r="AN354" s="325">
        <v>112011647</v>
      </c>
      <c r="AO354" s="799" t="str">
        <f t="shared" si="102"/>
        <v>CALZADA JESUS MARIA</v>
      </c>
      <c r="AQ354" s="325" t="s">
        <v>1081</v>
      </c>
      <c r="AR354" s="325">
        <v>71</v>
      </c>
      <c r="AS354" s="325">
        <v>112013162</v>
      </c>
      <c r="AT354" s="799" t="str">
        <f t="shared" si="103"/>
        <v>CAEIRO ESTEBAN MIGUEL</v>
      </c>
      <c r="AW354" s="325" t="s">
        <v>1488</v>
      </c>
      <c r="AX354" s="325"/>
      <c r="AY354" s="325">
        <v>112014444</v>
      </c>
      <c r="AZ354" s="799" t="str">
        <f t="shared" si="104"/>
        <v>BLESA MARTINELLI LEANDRO FRANCISCO FEDERICO</v>
      </c>
      <c r="BE354" s="618"/>
      <c r="BF354" s="618"/>
    </row>
    <row r="355" spans="1:58" ht="13" hidden="1">
      <c r="A355" s="325" t="s">
        <v>746</v>
      </c>
      <c r="B355" s="325">
        <v>69</v>
      </c>
      <c r="C355" s="325">
        <v>112014510</v>
      </c>
      <c r="D355" s="799" t="str">
        <f t="shared" si="95"/>
        <v>CABALLERO GABRIEL ALEJANDRO</v>
      </c>
      <c r="G355" s="323" t="s">
        <v>175</v>
      </c>
      <c r="H355" s="325">
        <v>71</v>
      </c>
      <c r="I355" s="325">
        <v>112012220</v>
      </c>
      <c r="J355" s="1393" t="str">
        <f t="shared" si="96"/>
        <v>GODOY GUSTAVO/ELIANA/JIMENEZ</v>
      </c>
      <c r="M355" s="323" t="s">
        <v>572</v>
      </c>
      <c r="N355" s="324">
        <v>70</v>
      </c>
      <c r="O355" s="325">
        <v>112014397</v>
      </c>
      <c r="P355" s="1455" t="str">
        <f t="shared" si="97"/>
        <v>BESASSO MAURO PEDRO</v>
      </c>
      <c r="R355" s="323" t="s">
        <v>314</v>
      </c>
      <c r="S355" s="324">
        <v>71</v>
      </c>
      <c r="T355" s="325">
        <v>112012285</v>
      </c>
      <c r="U355" s="1455" t="str">
        <f t="shared" si="98"/>
        <v>BIANCHI TARQUINO JESUS FEDERICO</v>
      </c>
      <c r="W355" s="323" t="s">
        <v>405</v>
      </c>
      <c r="X355" s="324">
        <v>62</v>
      </c>
      <c r="Y355" s="325">
        <v>112010701</v>
      </c>
      <c r="Z355" s="1455" t="str">
        <f t="shared" si="99"/>
        <v>BOUZOUT ALEJANDRO HORACIO</v>
      </c>
      <c r="AB355" s="325" t="s">
        <v>923</v>
      </c>
      <c r="AC355" s="325">
        <v>71</v>
      </c>
      <c r="AD355" s="325">
        <v>112012310</v>
      </c>
      <c r="AE355" s="799" t="e">
        <f t="shared" si="100"/>
        <v>#N/A</v>
      </c>
      <c r="AG355" s="323" t="s">
        <v>1341</v>
      </c>
      <c r="AH355" s="325">
        <v>71</v>
      </c>
      <c r="AI355" s="325">
        <v>112013975</v>
      </c>
      <c r="AJ355" s="424" t="str">
        <f t="shared" si="101"/>
        <v>BURON RICARDO/ ALFANO MARIA</v>
      </c>
      <c r="AL355" s="325" t="s">
        <v>1177</v>
      </c>
      <c r="AM355" s="325">
        <v>71</v>
      </c>
      <c r="AN355" s="325">
        <v>112013390</v>
      </c>
      <c r="AO355" s="799" t="e">
        <f t="shared" si="102"/>
        <v>#N/A</v>
      </c>
      <c r="AQ355" s="325" t="s">
        <v>1020</v>
      </c>
      <c r="AR355" s="325">
        <v>62</v>
      </c>
      <c r="AS355" s="325">
        <v>112014709</v>
      </c>
      <c r="AT355" s="799" t="str">
        <f t="shared" si="103"/>
        <v>CARLOS PEDRO CEFERINO MORA</v>
      </c>
      <c r="AW355" s="325" t="s">
        <v>1473</v>
      </c>
      <c r="AX355" s="325">
        <v>71</v>
      </c>
      <c r="AY355" s="325">
        <v>112013891</v>
      </c>
      <c r="AZ355" s="799" t="str">
        <f t="shared" si="104"/>
        <v>BORDON AUGUSTO IMANOL</v>
      </c>
      <c r="BE355" s="618"/>
      <c r="BF355" s="618"/>
    </row>
    <row r="356" spans="1:58" ht="13" hidden="1">
      <c r="A356" s="325" t="s">
        <v>747</v>
      </c>
      <c r="B356" s="325">
        <v>70</v>
      </c>
      <c r="C356" s="325">
        <v>112014375</v>
      </c>
      <c r="D356" s="799" t="str">
        <f t="shared" si="95"/>
        <v>CABRERA NATALIA ROMINA/ Y FONTENLA</v>
      </c>
      <c r="G356" s="323" t="s">
        <v>176</v>
      </c>
      <c r="H356" s="325">
        <v>71</v>
      </c>
      <c r="I356" s="325">
        <v>112012275</v>
      </c>
      <c r="J356" s="1393" t="str">
        <f t="shared" si="96"/>
        <v>HAKUNA MATATA/SUC 2</v>
      </c>
      <c r="M356" s="323" t="s">
        <v>644</v>
      </c>
      <c r="N356" s="324">
        <v>70</v>
      </c>
      <c r="O356" s="325">
        <v>112014748</v>
      </c>
      <c r="P356" s="1455" t="str">
        <f t="shared" si="97"/>
        <v>BIAFORE CARLOS ALBERTO</v>
      </c>
      <c r="R356" s="323" t="s">
        <v>259</v>
      </c>
      <c r="S356" s="324">
        <v>52</v>
      </c>
      <c r="T356" s="325">
        <v>11201268801</v>
      </c>
      <c r="U356" s="1455" t="str">
        <f t="shared" si="98"/>
        <v>BRACUTO PABLO/PEREZ MARIANA 2</v>
      </c>
      <c r="W356" s="323" t="s">
        <v>423</v>
      </c>
      <c r="X356" s="324">
        <v>63</v>
      </c>
      <c r="Y356" s="325">
        <v>112013684</v>
      </c>
      <c r="Z356" s="1455" t="str">
        <f t="shared" si="99"/>
        <v>BROWN / PIÑEYRO</v>
      </c>
      <c r="AB356" s="325" t="s">
        <v>944</v>
      </c>
      <c r="AC356" s="325">
        <v>70</v>
      </c>
      <c r="AD356" s="325">
        <v>112014671</v>
      </c>
      <c r="AE356" s="799" t="e">
        <f t="shared" si="100"/>
        <v>#N/A</v>
      </c>
      <c r="AG356" s="323" t="s">
        <v>1356</v>
      </c>
      <c r="AH356" s="325">
        <v>71</v>
      </c>
      <c r="AI356" s="325">
        <v>112013098</v>
      </c>
      <c r="AJ356" s="424" t="str">
        <f t="shared" si="101"/>
        <v>BUSS BRAUN PAMELA DAIANA</v>
      </c>
      <c r="AL356" s="325" t="s">
        <v>1204</v>
      </c>
      <c r="AM356" s="325">
        <v>70</v>
      </c>
      <c r="AN356" s="325">
        <v>112012446</v>
      </c>
      <c r="AO356" s="799" t="e">
        <f t="shared" si="102"/>
        <v>#N/A</v>
      </c>
      <c r="AQ356" s="325" t="s">
        <v>1055</v>
      </c>
      <c r="AR356" s="325">
        <v>71</v>
      </c>
      <c r="AS356" s="325">
        <v>112013706</v>
      </c>
      <c r="AT356" s="799" t="str">
        <f t="shared" si="103"/>
        <v>CARRERA MARIA FLORENCIA</v>
      </c>
      <c r="AW356" s="325" t="s">
        <v>1470</v>
      </c>
      <c r="AX356" s="325">
        <v>21</v>
      </c>
      <c r="AY356" s="325">
        <v>112014779</v>
      </c>
      <c r="AZ356" s="799" t="str">
        <f t="shared" si="104"/>
        <v>CAMINO BELEN</v>
      </c>
      <c r="BE356" s="618"/>
      <c r="BF356" s="618"/>
    </row>
    <row r="357" spans="1:58" ht="13" hidden="1">
      <c r="A357" s="325" t="s">
        <v>772</v>
      </c>
      <c r="B357" s="325">
        <v>71</v>
      </c>
      <c r="C357" s="325">
        <v>112012921</v>
      </c>
      <c r="D357" s="799" t="str">
        <f t="shared" si="95"/>
        <v>CAMINITO FABIAN OSCAR</v>
      </c>
      <c r="G357" s="323" t="s">
        <v>140</v>
      </c>
      <c r="H357" s="325">
        <v>70</v>
      </c>
      <c r="I357" s="325">
        <v>112014660</v>
      </c>
      <c r="J357" s="1393" t="str">
        <f t="shared" si="96"/>
        <v>JUAN TEYSSEIRE/ ALVAREZ MANUEL/ LA COLORADA</v>
      </c>
      <c r="M357" s="323" t="s">
        <v>635</v>
      </c>
      <c r="N357" s="324">
        <v>70</v>
      </c>
      <c r="O357" s="325">
        <v>112014064</v>
      </c>
      <c r="P357" s="1455" t="str">
        <f t="shared" si="97"/>
        <v>BIAFORE RICARDO DANIEL</v>
      </c>
      <c r="R357" s="323" t="s">
        <v>315</v>
      </c>
      <c r="S357" s="324">
        <v>71</v>
      </c>
      <c r="T357" s="325">
        <v>112011737</v>
      </c>
      <c r="U357" s="1455" t="str">
        <f t="shared" si="98"/>
        <v>BUET LAURA PAOLA</v>
      </c>
      <c r="W357" s="323" t="s">
        <v>471</v>
      </c>
      <c r="X357" s="324">
        <v>71</v>
      </c>
      <c r="Y357" s="325">
        <v>112012968</v>
      </c>
      <c r="Z357" s="1455" t="str">
        <f t="shared" si="99"/>
        <v>BUET CARLA ESTEFANIA</v>
      </c>
      <c r="AB357" s="325" t="s">
        <v>973</v>
      </c>
      <c r="AC357" s="325">
        <v>71</v>
      </c>
      <c r="AD357" s="325">
        <v>112014098</v>
      </c>
      <c r="AE357" s="799" t="e">
        <f t="shared" si="100"/>
        <v>#N/A</v>
      </c>
      <c r="AG357" s="323" t="s">
        <v>1291</v>
      </c>
      <c r="AH357" s="325">
        <v>63</v>
      </c>
      <c r="AI357" s="325">
        <v>112013986</v>
      </c>
      <c r="AJ357" s="424" t="str">
        <f t="shared" si="101"/>
        <v>CABALLERO COMERCIAL Y AGROPECUARIA SA</v>
      </c>
      <c r="AL357" s="325" t="s">
        <v>1178</v>
      </c>
      <c r="AM357" s="325">
        <v>70</v>
      </c>
      <c r="AN357" s="325">
        <v>112013558</v>
      </c>
      <c r="AO357" s="799" t="e">
        <f t="shared" si="102"/>
        <v>#N/A</v>
      </c>
      <c r="AQ357" s="325" t="s">
        <v>1056</v>
      </c>
      <c r="AR357" s="325">
        <v>71</v>
      </c>
      <c r="AS357" s="325">
        <v>112013450</v>
      </c>
      <c r="AT357" s="799" t="str">
        <f t="shared" si="103"/>
        <v>CARRICA MARIANO/LA REYERTA</v>
      </c>
      <c r="AW357" s="325" t="s">
        <v>1490</v>
      </c>
      <c r="AX357" s="325"/>
      <c r="AY357" s="325">
        <v>112014736</v>
      </c>
      <c r="AZ357" s="799" t="str">
        <f t="shared" si="104"/>
        <v>CARDOZO LIDIA ESTHER</v>
      </c>
      <c r="BE357" s="618"/>
      <c r="BF357" s="618"/>
    </row>
    <row r="358" spans="1:58" ht="13" hidden="1">
      <c r="A358" s="325" t="s">
        <v>725</v>
      </c>
      <c r="B358" s="325">
        <v>70</v>
      </c>
      <c r="C358" s="325">
        <v>112013294</v>
      </c>
      <c r="D358" s="799" t="str">
        <f t="shared" si="95"/>
        <v>CANOSA JESICA LUCIA</v>
      </c>
      <c r="G358" s="323" t="s">
        <v>116</v>
      </c>
      <c r="H358" s="325">
        <v>70</v>
      </c>
      <c r="I358" s="325">
        <v>112012231</v>
      </c>
      <c r="J358" s="1393" t="str">
        <f t="shared" si="96"/>
        <v>LIER AMELIA/ROMUALDO CESAR</v>
      </c>
      <c r="M358" s="323" t="s">
        <v>658</v>
      </c>
      <c r="N358" s="324"/>
      <c r="O358" s="325">
        <v>112013822</v>
      </c>
      <c r="P358" s="1455" t="str">
        <f t="shared" si="97"/>
        <v>BIOGÉNESIS BAGÓ S.A.</v>
      </c>
      <c r="R358" s="323" t="s">
        <v>270</v>
      </c>
      <c r="S358" s="324">
        <v>63</v>
      </c>
      <c r="T358" s="325">
        <v>112014184</v>
      </c>
      <c r="U358" s="1455" t="str">
        <f t="shared" si="98"/>
        <v>CABRIL YANINA SOLEDAD</v>
      </c>
      <c r="W358" s="323" t="s">
        <v>448</v>
      </c>
      <c r="X358" s="324">
        <v>67</v>
      </c>
      <c r="Y358" s="325">
        <v>112013030</v>
      </c>
      <c r="Z358" s="1455" t="str">
        <f t="shared" si="99"/>
        <v>CALVO CARLOS JOSE</v>
      </c>
      <c r="AB358" s="325" t="s">
        <v>931</v>
      </c>
      <c r="AC358" s="325">
        <v>63</v>
      </c>
      <c r="AD358" s="325">
        <v>112014746</v>
      </c>
      <c r="AE358" s="799" t="e">
        <f t="shared" si="100"/>
        <v>#N/A</v>
      </c>
      <c r="AG358" s="323" t="s">
        <v>1266</v>
      </c>
      <c r="AH358" s="325">
        <v>55</v>
      </c>
      <c r="AI358" s="325">
        <v>112013711</v>
      </c>
      <c r="AJ358" s="424" t="str">
        <f t="shared" si="101"/>
        <v>CALDENTEY TOMAS/CALDENTEY Y CAPOZUCCA/CAPOZUCCA FRANCO</v>
      </c>
      <c r="AL358" s="325" t="s">
        <v>1205</v>
      </c>
      <c r="AM358" s="325">
        <v>70</v>
      </c>
      <c r="AN358" s="325">
        <v>112012473</v>
      </c>
      <c r="AO358" s="799" t="e">
        <f t="shared" si="102"/>
        <v>#N/A</v>
      </c>
      <c r="AQ358" s="325" t="s">
        <v>1049</v>
      </c>
      <c r="AR358" s="325">
        <v>71</v>
      </c>
      <c r="AS358" s="325">
        <v>112013829</v>
      </c>
      <c r="AT358" s="799" t="str">
        <f t="shared" si="103"/>
        <v>CARUSO ANTONELA</v>
      </c>
      <c r="AW358" s="325" t="s">
        <v>1426</v>
      </c>
      <c r="AX358" s="325">
        <v>63</v>
      </c>
      <c r="AY358" s="325">
        <v>112013392</v>
      </c>
      <c r="AZ358" s="799" t="str">
        <f t="shared" si="104"/>
        <v>CARLI VICTOR CAMILO</v>
      </c>
      <c r="BE358" s="618"/>
      <c r="BF358" s="618"/>
    </row>
    <row r="359" spans="1:58" ht="13" hidden="1">
      <c r="A359" s="325" t="s">
        <v>735</v>
      </c>
      <c r="B359" s="325">
        <v>71</v>
      </c>
      <c r="C359" s="325">
        <v>112011891</v>
      </c>
      <c r="D359" s="799" t="str">
        <f t="shared" si="95"/>
        <v>CANSECO LILIANA MABEL</v>
      </c>
      <c r="G359" s="323" t="s">
        <v>142</v>
      </c>
      <c r="H359" s="325">
        <v>70</v>
      </c>
      <c r="I359" s="325">
        <v>112014700</v>
      </c>
      <c r="J359" s="1393" t="str">
        <f t="shared" si="96"/>
        <v>MARISOL GUADALUPE RUIZ/CTA2</v>
      </c>
      <c r="M359" s="323" t="s">
        <v>557</v>
      </c>
      <c r="N359" s="324">
        <v>69</v>
      </c>
      <c r="O359" s="325">
        <v>112014506</v>
      </c>
      <c r="P359" s="1455" t="str">
        <f t="shared" si="97"/>
        <v>BOHDAN MYASNIKOV</v>
      </c>
      <c r="R359" s="323" t="s">
        <v>348</v>
      </c>
      <c r="S359" s="324"/>
      <c r="T359" s="325">
        <v>112014294</v>
      </c>
      <c r="U359" s="1455" t="str">
        <f t="shared" si="98"/>
        <v>CARO EMILIANO</v>
      </c>
      <c r="W359" s="323" t="s">
        <v>424</v>
      </c>
      <c r="X359" s="324">
        <v>63</v>
      </c>
      <c r="Y359" s="325">
        <v>112010796</v>
      </c>
      <c r="Z359" s="1455" t="str">
        <f t="shared" si="99"/>
        <v>CARINO CLAUDIO ANGEL</v>
      </c>
      <c r="AB359" s="325" t="s">
        <v>853</v>
      </c>
      <c r="AC359" s="325">
        <v>62</v>
      </c>
      <c r="AD359" s="325">
        <v>112014714</v>
      </c>
      <c r="AE359" s="799" t="str">
        <f t="shared" si="100"/>
        <v>CARDINALI MATIAS DANIEL</v>
      </c>
      <c r="AG359" s="323" t="s">
        <v>1311</v>
      </c>
      <c r="AH359" s="325">
        <v>63</v>
      </c>
      <c r="AI359" s="325">
        <v>112013525</v>
      </c>
      <c r="AJ359" s="424" t="str">
        <f t="shared" si="101"/>
        <v>CAMACHO MARIA CANDELA</v>
      </c>
      <c r="AL359" s="325" t="s">
        <v>1145</v>
      </c>
      <c r="AM359" s="325">
        <v>70</v>
      </c>
      <c r="AN359" s="325">
        <v>112012504</v>
      </c>
      <c r="AO359" s="799" t="str">
        <f t="shared" si="102"/>
        <v>CASALE LUCIA LAURA</v>
      </c>
      <c r="AQ359" s="325" t="s">
        <v>1069</v>
      </c>
      <c r="AR359" s="325">
        <v>71</v>
      </c>
      <c r="AS359" s="325">
        <v>112010811</v>
      </c>
      <c r="AT359" s="799" t="str">
        <f t="shared" si="103"/>
        <v>CASTEX GERVASIO LUIS</v>
      </c>
      <c r="AW359" s="325" t="s">
        <v>1433</v>
      </c>
      <c r="AX359" s="325">
        <v>63</v>
      </c>
      <c r="AY359" s="325">
        <v>112014189</v>
      </c>
      <c r="AZ359" s="799" t="str">
        <f t="shared" si="104"/>
        <v>CHAVES JUAN PABLO</v>
      </c>
      <c r="BE359" s="618"/>
      <c r="BF359" s="618"/>
    </row>
    <row r="360" spans="1:58" ht="13" hidden="1">
      <c r="A360" s="325" t="s">
        <v>685</v>
      </c>
      <c r="B360" s="325">
        <v>54</v>
      </c>
      <c r="C360" s="325">
        <v>112013276</v>
      </c>
      <c r="D360" s="799" t="str">
        <f t="shared" si="95"/>
        <v>CANTERO / DI LORENZO</v>
      </c>
      <c r="G360" s="323" t="s">
        <v>141</v>
      </c>
      <c r="H360" s="325">
        <v>70</v>
      </c>
      <c r="I360" s="325">
        <v>112014257</v>
      </c>
      <c r="J360" s="1393" t="str">
        <f t="shared" si="96"/>
        <v>MILEO LEONARDO/PIÑEIRO DANIEL</v>
      </c>
      <c r="M360" s="323" t="s">
        <v>573</v>
      </c>
      <c r="N360" s="324">
        <v>70</v>
      </c>
      <c r="O360" s="325">
        <v>112014398</v>
      </c>
      <c r="P360" s="1455" t="str">
        <f t="shared" si="97"/>
        <v>BOYER DIEGO DANIEL</v>
      </c>
      <c r="R360" s="323" t="s">
        <v>297</v>
      </c>
      <c r="S360" s="324">
        <v>70</v>
      </c>
      <c r="T360" s="325">
        <v>112014262</v>
      </c>
      <c r="U360" s="1455" t="str">
        <f t="shared" si="98"/>
        <v>CASTRO J MANUEL C</v>
      </c>
      <c r="W360" s="323" t="s">
        <v>406</v>
      </c>
      <c r="X360" s="324">
        <v>62</v>
      </c>
      <c r="Y360" s="325">
        <v>112013002</v>
      </c>
      <c r="Z360" s="1455" t="str">
        <f t="shared" si="99"/>
        <v>CARUSO FABIAN CARLOS</v>
      </c>
      <c r="AB360" s="325" t="s">
        <v>953</v>
      </c>
      <c r="AC360" s="325">
        <v>71</v>
      </c>
      <c r="AD360" s="325">
        <v>112014052</v>
      </c>
      <c r="AE360" s="799" t="e">
        <f t="shared" si="100"/>
        <v>#N/A</v>
      </c>
      <c r="AG360" s="323" t="s">
        <v>1346</v>
      </c>
      <c r="AH360" s="325">
        <v>71</v>
      </c>
      <c r="AI360" s="325">
        <v>112012918</v>
      </c>
      <c r="AJ360" s="424" t="str">
        <f t="shared" si="101"/>
        <v>CAMPOSTRINI JAVIER ALEJANDRO</v>
      </c>
      <c r="AL360" s="325" t="s">
        <v>1192</v>
      </c>
      <c r="AM360" s="325">
        <v>71</v>
      </c>
      <c r="AN360" s="325">
        <v>112014696</v>
      </c>
      <c r="AO360" s="799" t="e">
        <f t="shared" si="102"/>
        <v>#N/A</v>
      </c>
      <c r="AQ360" s="325" t="s">
        <v>1050</v>
      </c>
      <c r="AR360" s="325">
        <v>71</v>
      </c>
      <c r="AS360" s="325">
        <v>112013842</v>
      </c>
      <c r="AT360" s="799" t="str">
        <f t="shared" si="103"/>
        <v>CASTRO NESTOR ANDRES</v>
      </c>
      <c r="AW360" s="325" t="s">
        <v>1427</v>
      </c>
      <c r="AX360" s="325">
        <v>63</v>
      </c>
      <c r="AY360" s="325">
        <v>112013194</v>
      </c>
      <c r="AZ360" s="799" t="str">
        <f t="shared" si="104"/>
        <v>CHIARAVALLE MARTIN AMBROSIO</v>
      </c>
      <c r="BE360" s="618"/>
      <c r="BF360" s="618"/>
    </row>
    <row r="361" spans="1:58" ht="13" hidden="1">
      <c r="A361" s="325" t="s">
        <v>716</v>
      </c>
      <c r="B361" s="325">
        <v>70</v>
      </c>
      <c r="C361" s="325">
        <v>112013102</v>
      </c>
      <c r="D361" s="799" t="str">
        <f t="shared" si="95"/>
        <v>CARBALLO GARCIA ROXANA VANESA</v>
      </c>
      <c r="G361" s="323" t="s">
        <v>218</v>
      </c>
      <c r="H361" s="325"/>
      <c r="I361" s="325">
        <v>112014235</v>
      </c>
      <c r="J361" s="1393" t="str">
        <f t="shared" si="96"/>
        <v>NUTRIVALENT/ NUTRIVALENT SUC2/ VERGARA</v>
      </c>
      <c r="M361" s="323" t="s">
        <v>524</v>
      </c>
      <c r="N361" s="324">
        <v>62</v>
      </c>
      <c r="O361" s="325">
        <v>112014223</v>
      </c>
      <c r="P361" s="1455" t="str">
        <f t="shared" si="97"/>
        <v>BRUNACCI PABLO ALEJANDRO</v>
      </c>
      <c r="R361" s="323" t="s">
        <v>298</v>
      </c>
      <c r="S361" s="324">
        <v>70</v>
      </c>
      <c r="T361" s="325">
        <v>112014297</v>
      </c>
      <c r="U361" s="1455" t="str">
        <f t="shared" si="98"/>
        <v>CAZENEUVE GUSTAVO ANDRES</v>
      </c>
      <c r="W361" s="323" t="s">
        <v>407</v>
      </c>
      <c r="X361" s="324">
        <v>62</v>
      </c>
      <c r="Y361" s="325">
        <v>112014473</v>
      </c>
      <c r="Z361" s="1455" t="str">
        <f t="shared" si="99"/>
        <v>CESAR LEANDRO DOMINGUEZ</v>
      </c>
      <c r="AB361" s="325" t="s">
        <v>894</v>
      </c>
      <c r="AC361" s="325">
        <v>71</v>
      </c>
      <c r="AD361" s="325">
        <v>112011642</v>
      </c>
      <c r="AE361" s="799" t="str">
        <f t="shared" si="100"/>
        <v>CARNEVALI MARIA EUGENIA</v>
      </c>
      <c r="AG361" s="323" t="s">
        <v>1329</v>
      </c>
      <c r="AH361" s="325">
        <v>69</v>
      </c>
      <c r="AI361" s="325">
        <v>112013754</v>
      </c>
      <c r="AJ361" s="424" t="str">
        <f t="shared" si="101"/>
        <v>CARDOZO CARLOS MARIA</v>
      </c>
      <c r="AL361" s="325" t="s">
        <v>899</v>
      </c>
      <c r="AM361" s="325">
        <v>70</v>
      </c>
      <c r="AN361" s="325">
        <v>112013498</v>
      </c>
      <c r="AO361" s="799" t="str">
        <f t="shared" si="102"/>
        <v>CASTRO JUAN MANUEL M</v>
      </c>
      <c r="AQ361" s="325" t="s">
        <v>1029</v>
      </c>
      <c r="AR361" s="325">
        <v>63</v>
      </c>
      <c r="AS361" s="325">
        <v>112013460</v>
      </c>
      <c r="AT361" s="799" t="str">
        <f t="shared" si="103"/>
        <v>CENTRO MEDICO VETERINARIO</v>
      </c>
      <c r="AW361" s="325" t="s">
        <v>1475</v>
      </c>
      <c r="AX361" s="325">
        <v>71</v>
      </c>
      <c r="AY361" s="325">
        <v>112013917</v>
      </c>
      <c r="AZ361" s="799" t="str">
        <f t="shared" si="104"/>
        <v>CONSEJO NACIONAL DE INVESTIGACIONES CIENTIFICAS Y TECNICAS CONICET</v>
      </c>
      <c r="BE361" s="618"/>
      <c r="BF361" s="618"/>
    </row>
    <row r="362" spans="1:58" ht="13" hidden="1">
      <c r="A362" s="325" t="s">
        <v>686</v>
      </c>
      <c r="B362" s="325">
        <v>52</v>
      </c>
      <c r="C362" s="325">
        <v>112013225</v>
      </c>
      <c r="D362" s="799" t="str">
        <f t="shared" si="95"/>
        <v>CARERI LEANDRO GASTON</v>
      </c>
      <c r="G362" s="323" t="s">
        <v>117</v>
      </c>
      <c r="H362" s="325">
        <v>70</v>
      </c>
      <c r="I362" s="325">
        <v>112013916</v>
      </c>
      <c r="J362" s="1393" t="str">
        <f t="shared" si="96"/>
        <v>PERALTA MATIAS/REYNOSO NICOLAS</v>
      </c>
      <c r="M362" s="323" t="s">
        <v>651</v>
      </c>
      <c r="N362" s="324">
        <v>71</v>
      </c>
      <c r="O362" s="325">
        <v>112014255</v>
      </c>
      <c r="P362" s="1455" t="str">
        <f t="shared" si="97"/>
        <v>BRUUN ERIKA VALERIA</v>
      </c>
      <c r="R362" s="323" t="s">
        <v>316</v>
      </c>
      <c r="S362" s="324">
        <v>71</v>
      </c>
      <c r="T362" s="325">
        <v>112013256</v>
      </c>
      <c r="U362" s="1455" t="str">
        <f t="shared" si="98"/>
        <v>CENTRO DE DERIVACIONES E INTERNACION VETERINARIA BERNAL SRL</v>
      </c>
      <c r="W362" s="323" t="s">
        <v>425</v>
      </c>
      <c r="X362" s="324">
        <v>63</v>
      </c>
      <c r="Y362" s="325">
        <v>112012259</v>
      </c>
      <c r="Z362" s="1455" t="str">
        <f t="shared" si="99"/>
        <v>CHAVANNE MARIA</v>
      </c>
      <c r="AB362" s="325" t="s">
        <v>974</v>
      </c>
      <c r="AC362" s="325">
        <v>71</v>
      </c>
      <c r="AD362" s="325">
        <v>112014099</v>
      </c>
      <c r="AE362" s="799" t="e">
        <f t="shared" si="100"/>
        <v>#N/A</v>
      </c>
      <c r="AG362" s="323" t="s">
        <v>1347</v>
      </c>
      <c r="AH362" s="325">
        <v>71</v>
      </c>
      <c r="AI362" s="325">
        <v>112011806</v>
      </c>
      <c r="AJ362" s="424" t="str">
        <f t="shared" si="101"/>
        <v>CARMELINI DANIEL GERMAN</v>
      </c>
      <c r="AL362" s="325" t="s">
        <v>1222</v>
      </c>
      <c r="AM362" s="325">
        <v>71</v>
      </c>
      <c r="AN362" s="325">
        <v>112013151</v>
      </c>
      <c r="AO362" s="799" t="e">
        <f t="shared" si="102"/>
        <v>#N/A</v>
      </c>
      <c r="AQ362" s="325" t="s">
        <v>1077</v>
      </c>
      <c r="AR362" s="325">
        <v>71</v>
      </c>
      <c r="AS362" s="325">
        <v>112012463</v>
      </c>
      <c r="AT362" s="799" t="str">
        <f t="shared" si="103"/>
        <v>CHIRAMBERRO VIVIANA BEATRIZ</v>
      </c>
      <c r="AW362" s="325" t="s">
        <v>1434</v>
      </c>
      <c r="AX362" s="325">
        <v>63</v>
      </c>
      <c r="AY362" s="325">
        <v>112014288</v>
      </c>
      <c r="AZ362" s="799" t="str">
        <f t="shared" si="104"/>
        <v>CORTI GONZALO IVAN</v>
      </c>
      <c r="BE362" s="618"/>
      <c r="BF362" s="618"/>
    </row>
    <row r="363" spans="1:58" ht="13" hidden="1">
      <c r="A363" s="325" t="s">
        <v>718</v>
      </c>
      <c r="B363" s="325">
        <v>69</v>
      </c>
      <c r="C363" s="325">
        <v>112014633</v>
      </c>
      <c r="D363" s="799" t="str">
        <f t="shared" si="95"/>
        <v>CARLOS COLANTONI/MANERA GISELA</v>
      </c>
      <c r="G363" s="323" t="s">
        <v>143</v>
      </c>
      <c r="H363" s="325">
        <v>70</v>
      </c>
      <c r="I363" s="325">
        <v>112014520</v>
      </c>
      <c r="J363" s="1393" t="str">
        <f t="shared" si="96"/>
        <v>PIEDROZZI MARCOS/HIGA</v>
      </c>
      <c r="M363" s="323" t="s">
        <v>551</v>
      </c>
      <c r="N363" s="324">
        <v>70</v>
      </c>
      <c r="O363" s="325">
        <v>112013215</v>
      </c>
      <c r="P363" s="1455" t="str">
        <f t="shared" si="97"/>
        <v>BUSCAGLIA PABLO</v>
      </c>
      <c r="R363" s="323" t="s">
        <v>317</v>
      </c>
      <c r="S363" s="324">
        <v>71</v>
      </c>
      <c r="T363" s="325">
        <v>112010937</v>
      </c>
      <c r="U363" s="1455" t="str">
        <f t="shared" si="98"/>
        <v>CIANI ANIBAL ANDRES</v>
      </c>
      <c r="W363" s="323" t="s">
        <v>476</v>
      </c>
      <c r="X363" s="324">
        <v>71</v>
      </c>
      <c r="Y363" s="325">
        <v>112014238</v>
      </c>
      <c r="Z363" s="1455" t="str">
        <f t="shared" si="99"/>
        <v>CODEGONI ROMINA VICTORIA</v>
      </c>
      <c r="AB363" s="325" t="s">
        <v>852</v>
      </c>
      <c r="AC363" s="325">
        <v>62</v>
      </c>
      <c r="AD363" s="325">
        <v>112014048</v>
      </c>
      <c r="AE363" s="799" t="str">
        <f t="shared" si="100"/>
        <v>CHOCOBAR SANDRA EVANGELINA</v>
      </c>
      <c r="AG363" s="323" t="s">
        <v>1357</v>
      </c>
      <c r="AH363" s="325">
        <v>71</v>
      </c>
      <c r="AI363" s="325">
        <v>112012775</v>
      </c>
      <c r="AJ363" s="424" t="str">
        <f t="shared" si="101"/>
        <v>CEBRAL JULIA MAGDALENA</v>
      </c>
      <c r="AL363" s="325" t="s">
        <v>875</v>
      </c>
      <c r="AM363" s="325">
        <v>69</v>
      </c>
      <c r="AN363" s="325">
        <v>112012617</v>
      </c>
      <c r="AO363" s="799" t="e">
        <f t="shared" si="102"/>
        <v>#N/A</v>
      </c>
      <c r="AQ363" s="325" t="s">
        <v>1061</v>
      </c>
      <c r="AR363" s="325">
        <v>71</v>
      </c>
      <c r="AS363" s="325">
        <v>112013809</v>
      </c>
      <c r="AT363" s="799" t="str">
        <f t="shared" si="103"/>
        <v>CHOMICKI CHRISTIAN DANIEL</v>
      </c>
      <c r="AW363" s="325" t="s">
        <v>1428</v>
      </c>
      <c r="AX363" s="325">
        <v>63</v>
      </c>
      <c r="AY363" s="325">
        <v>112013212</v>
      </c>
      <c r="AZ363" s="799" t="str">
        <f t="shared" si="104"/>
        <v>CRISCUELI PAULA AYELEN</v>
      </c>
      <c r="BE363" s="618"/>
      <c r="BF363" s="618"/>
    </row>
    <row r="364" spans="1:58" ht="13" hidden="1">
      <c r="A364" s="325" t="s">
        <v>773</v>
      </c>
      <c r="B364" s="325">
        <v>71</v>
      </c>
      <c r="C364" s="325">
        <v>112012086</v>
      </c>
      <c r="D364" s="799" t="str">
        <f t="shared" si="95"/>
        <v>CARRICA GASTON EZEQUIEL</v>
      </c>
      <c r="G364" s="323" t="s">
        <v>129</v>
      </c>
      <c r="H364" s="325">
        <v>69</v>
      </c>
      <c r="I364" s="325">
        <v>112014390</v>
      </c>
      <c r="J364" s="1393" t="str">
        <f t="shared" si="96"/>
        <v>TAYAR ALEJANDRO/FLORES JUAN</v>
      </c>
      <c r="M364" s="323" t="s">
        <v>517</v>
      </c>
      <c r="N364" s="324">
        <v>62</v>
      </c>
      <c r="O364" s="325">
        <v>112014211</v>
      </c>
      <c r="P364" s="1455" t="str">
        <f t="shared" si="97"/>
        <v>CABRERA JESICA GABRIELA</v>
      </c>
      <c r="R364" s="323" t="s">
        <v>318</v>
      </c>
      <c r="S364" s="324">
        <v>71</v>
      </c>
      <c r="T364" s="325">
        <v>112012218</v>
      </c>
      <c r="U364" s="1455" t="str">
        <f t="shared" si="98"/>
        <v>COLLA NORBERTO OSCAR</v>
      </c>
      <c r="W364" s="323" t="s">
        <v>376</v>
      </c>
      <c r="X364" s="324">
        <v>52</v>
      </c>
      <c r="Y364" s="325">
        <v>112013553</v>
      </c>
      <c r="Z364" s="1455" t="str">
        <f t="shared" si="99"/>
        <v>COPPOTELLI CARLOS/MUÑOZ MICAELA</v>
      </c>
      <c r="AB364" s="325" t="s">
        <v>935</v>
      </c>
      <c r="AC364" s="325">
        <v>70</v>
      </c>
      <c r="AD364" s="325">
        <v>112011654</v>
      </c>
      <c r="AE364" s="799" t="e">
        <f t="shared" si="100"/>
        <v>#N/A</v>
      </c>
      <c r="AG364" s="323" t="s">
        <v>1292</v>
      </c>
      <c r="AH364" s="325">
        <v>63</v>
      </c>
      <c r="AI364" s="325">
        <v>112013988</v>
      </c>
      <c r="AJ364" s="424" t="str">
        <f t="shared" si="101"/>
        <v>CENTRO PET ARGENTINA S.R.L.</v>
      </c>
      <c r="AL364" s="325" t="s">
        <v>1234</v>
      </c>
      <c r="AM364" s="325">
        <v>70</v>
      </c>
      <c r="AN364" s="325">
        <v>112013070</v>
      </c>
      <c r="AO364" s="799" t="e">
        <f t="shared" si="102"/>
        <v>#N/A</v>
      </c>
      <c r="AQ364" s="325" t="s">
        <v>1111</v>
      </c>
      <c r="AR364" s="325">
        <v>63</v>
      </c>
      <c r="AS364" s="325">
        <v>112011976</v>
      </c>
      <c r="AT364" s="799" t="e">
        <f t="shared" si="103"/>
        <v>#N/A</v>
      </c>
      <c r="AW364" s="325" t="s">
        <v>1417</v>
      </c>
      <c r="AX364" s="325">
        <v>62</v>
      </c>
      <c r="AY364" s="325">
        <v>112013950</v>
      </c>
      <c r="AZ364" s="799" t="str">
        <f t="shared" si="104"/>
        <v>CUBICINO FRANCO GONZALO</v>
      </c>
      <c r="BE364" s="618"/>
      <c r="BF364" s="618"/>
    </row>
    <row r="365" spans="1:58" ht="13" hidden="1">
      <c r="A365" s="325" t="s">
        <v>722</v>
      </c>
      <c r="B365" s="325">
        <v>70</v>
      </c>
      <c r="C365" s="325">
        <v>112012912</v>
      </c>
      <c r="D365" s="799" t="str">
        <f t="shared" si="95"/>
        <v>CENTRO 1 VET TRUSONI S.R.L./TRUSONI 2</v>
      </c>
      <c r="G365" s="323" t="s">
        <v>219</v>
      </c>
      <c r="H365" s="325"/>
      <c r="I365" s="325">
        <v>112013944</v>
      </c>
      <c r="J365" s="1393" t="str">
        <f t="shared" si="96"/>
        <v>TOGNOLA LUIS AUGUSTO</v>
      </c>
      <c r="M365" s="323" t="s">
        <v>558</v>
      </c>
      <c r="N365" s="324">
        <v>69</v>
      </c>
      <c r="O365" s="325">
        <v>112013338</v>
      </c>
      <c r="P365" s="1455" t="str">
        <f t="shared" si="97"/>
        <v>CALLEGARI LEANDRO ARIEL</v>
      </c>
      <c r="R365" s="323" t="s">
        <v>264</v>
      </c>
      <c r="S365" s="324">
        <v>55</v>
      </c>
      <c r="T365" s="325">
        <v>112012511</v>
      </c>
      <c r="U365" s="1455" t="str">
        <f t="shared" si="98"/>
        <v>CORRAL ABEL HOGO</v>
      </c>
      <c r="W365" s="323" t="s">
        <v>378</v>
      </c>
      <c r="X365" s="324">
        <v>53</v>
      </c>
      <c r="Y365" s="325">
        <v>112013045</v>
      </c>
      <c r="Z365" s="1455" t="str">
        <f t="shared" si="99"/>
        <v>COTTI DE LA LASTRA FEDERICO EDUARDO</v>
      </c>
      <c r="AB365" s="325" t="s">
        <v>886</v>
      </c>
      <c r="AC365" s="325">
        <v>71</v>
      </c>
      <c r="AD365" s="325">
        <v>112012803</v>
      </c>
      <c r="AE365" s="799" t="str">
        <f t="shared" si="100"/>
        <v>CORVALAN ARIEL PEDRO</v>
      </c>
      <c r="AG365" s="323" t="s">
        <v>1358</v>
      </c>
      <c r="AH365" s="325">
        <v>71</v>
      </c>
      <c r="AI365" s="325">
        <v>112011920</v>
      </c>
      <c r="AJ365" s="424" t="str">
        <f t="shared" si="101"/>
        <v>CHAAR GUILLERMO ANICETO</v>
      </c>
      <c r="AL365" s="325" t="s">
        <v>1218</v>
      </c>
      <c r="AM365" s="325">
        <v>70</v>
      </c>
      <c r="AN365" s="325">
        <v>112012435</v>
      </c>
      <c r="AO365" s="799" t="e">
        <f t="shared" si="102"/>
        <v>#N/A</v>
      </c>
      <c r="AQ365" s="325" t="s">
        <v>1088</v>
      </c>
      <c r="AR365" s="325">
        <v>71</v>
      </c>
      <c r="AS365" s="325">
        <v>112014402</v>
      </c>
      <c r="AT365" s="799" t="str">
        <f t="shared" si="103"/>
        <v>CONSTANTINO MARIA FLORENCIA</v>
      </c>
      <c r="AW365" s="325" t="s">
        <v>1435</v>
      </c>
      <c r="AX365" s="325">
        <v>63</v>
      </c>
      <c r="AY365" s="325">
        <v>112014555</v>
      </c>
      <c r="AZ365" s="799" t="str">
        <f t="shared" si="104"/>
        <v>DAIANA GISELE VELLAZ BARBIERI</v>
      </c>
      <c r="BE365" s="618"/>
      <c r="BF365" s="618"/>
    </row>
    <row r="366" spans="1:58" ht="13" hidden="1">
      <c r="A366" s="325" t="s">
        <v>774</v>
      </c>
      <c r="B366" s="325">
        <v>71</v>
      </c>
      <c r="C366" s="325">
        <v>112013227</v>
      </c>
      <c r="D366" s="799" t="str">
        <f t="shared" si="95"/>
        <v>CHOCOBAR ALDO GERMAN</v>
      </c>
      <c r="G366" s="323" t="s">
        <v>130</v>
      </c>
      <c r="H366" s="325">
        <v>69</v>
      </c>
      <c r="I366" s="325">
        <v>112013125</v>
      </c>
      <c r="J366" s="1393" t="e">
        <f t="shared" si="96"/>
        <v>#N/A</v>
      </c>
      <c r="M366" s="323" t="s">
        <v>649</v>
      </c>
      <c r="N366" s="324">
        <v>71</v>
      </c>
      <c r="O366" s="325">
        <v>112014031</v>
      </c>
      <c r="P366" s="1455" t="str">
        <f t="shared" si="97"/>
        <v>CALVO RUBEN OSCAR</v>
      </c>
      <c r="R366" s="323" t="s">
        <v>319</v>
      </c>
      <c r="S366" s="324">
        <v>71</v>
      </c>
      <c r="T366" s="325">
        <v>112011931</v>
      </c>
      <c r="U366" s="1455" t="str">
        <f t="shared" si="98"/>
        <v>CRESPO MERCEDITAS</v>
      </c>
      <c r="W366" s="323" t="s">
        <v>473</v>
      </c>
      <c r="X366" s="324">
        <v>71</v>
      </c>
      <c r="Y366" s="325">
        <v>112013135</v>
      </c>
      <c r="Z366" s="1455" t="str">
        <f t="shared" si="99"/>
        <v>CRIADO ANIBAL</v>
      </c>
      <c r="AB366" s="325" t="s">
        <v>955</v>
      </c>
      <c r="AC366" s="325">
        <v>71</v>
      </c>
      <c r="AD366" s="325">
        <v>112011492</v>
      </c>
      <c r="AE366" s="799" t="e">
        <f t="shared" si="100"/>
        <v>#N/A</v>
      </c>
      <c r="AG366" s="323" t="s">
        <v>1386</v>
      </c>
      <c r="AH366" s="325"/>
      <c r="AI366" s="325">
        <v>112013667</v>
      </c>
      <c r="AJ366" s="424" t="e">
        <f t="shared" si="101"/>
        <v>#N/A</v>
      </c>
      <c r="AL366" s="325" t="s">
        <v>1229</v>
      </c>
      <c r="AM366" s="325">
        <v>71</v>
      </c>
      <c r="AN366" s="325">
        <v>112014463</v>
      </c>
      <c r="AO366" s="799" t="e">
        <f t="shared" si="102"/>
        <v>#N/A</v>
      </c>
      <c r="AQ366" s="325" t="s">
        <v>995</v>
      </c>
      <c r="AR366" s="325">
        <v>54</v>
      </c>
      <c r="AS366" s="325">
        <v>112010077</v>
      </c>
      <c r="AT366" s="799" t="str">
        <f t="shared" si="103"/>
        <v>COOPERATIVA AGRARIA LIMITADA DE OLAVARRIA</v>
      </c>
      <c r="AW366" s="325" t="s">
        <v>1429</v>
      </c>
      <c r="AX366" s="325">
        <v>63</v>
      </c>
      <c r="AY366" s="325">
        <v>112014574</v>
      </c>
      <c r="AZ366" s="799" t="str">
        <f t="shared" si="104"/>
        <v>DANIELA ALEJANDRA ORDOÑEZ BONILLA</v>
      </c>
      <c r="BE366" s="618"/>
      <c r="BF366" s="618"/>
    </row>
    <row r="367" spans="1:58" ht="13" hidden="1">
      <c r="A367" s="325" t="s">
        <v>742</v>
      </c>
      <c r="B367" s="325">
        <v>71</v>
      </c>
      <c r="C367" s="325">
        <v>112010927</v>
      </c>
      <c r="D367" s="799" t="str">
        <f t="shared" si="95"/>
        <v>CID MARIA ROSA</v>
      </c>
      <c r="G367" s="323" t="s">
        <v>144</v>
      </c>
      <c r="H367" s="325">
        <v>70</v>
      </c>
      <c r="I367" s="325">
        <v>112010681</v>
      </c>
      <c r="J367" s="1393" t="str">
        <f t="shared" si="96"/>
        <v>ROMANO OSVALDO RUBEN</v>
      </c>
      <c r="M367" s="323" t="s">
        <v>575</v>
      </c>
      <c r="N367" s="324">
        <v>70</v>
      </c>
      <c r="O367" s="325">
        <v>112014711</v>
      </c>
      <c r="P367" s="1455" t="str">
        <f t="shared" si="97"/>
        <v>CAMARILLO HERNANDEZ ISABEL CRISTINA</v>
      </c>
      <c r="R367" s="323" t="s">
        <v>320</v>
      </c>
      <c r="S367" s="324">
        <v>71</v>
      </c>
      <c r="T367" s="325">
        <v>112012657</v>
      </c>
      <c r="U367" s="1455" t="str">
        <f t="shared" si="98"/>
        <v>D ORTO PEDRO DOMINGO</v>
      </c>
      <c r="W367" s="323" t="s">
        <v>387</v>
      </c>
      <c r="X367" s="324">
        <v>55</v>
      </c>
      <c r="Y367" s="325">
        <v>112013179</v>
      </c>
      <c r="Z367" s="1455" t="str">
        <f t="shared" si="99"/>
        <v>D AQUINO NICOLAS NAHUEL MONTEGRANDE</v>
      </c>
      <c r="AB367" s="325" t="s">
        <v>961</v>
      </c>
      <c r="AC367" s="325">
        <v>71</v>
      </c>
      <c r="AD367" s="325">
        <v>112013049</v>
      </c>
      <c r="AE367" s="799" t="e">
        <f t="shared" si="100"/>
        <v>#N/A</v>
      </c>
      <c r="AG367" s="323" t="s">
        <v>1348</v>
      </c>
      <c r="AH367" s="325">
        <v>71</v>
      </c>
      <c r="AI367" s="325">
        <v>112011267</v>
      </c>
      <c r="AJ367" s="424" t="str">
        <f t="shared" si="101"/>
        <v>CHIMENTO SERGIO ANDRES</v>
      </c>
      <c r="AL367" s="325" t="s">
        <v>1235</v>
      </c>
      <c r="AM367" s="325">
        <v>70</v>
      </c>
      <c r="AN367" s="325">
        <v>112012289</v>
      </c>
      <c r="AO367" s="799" t="e">
        <f t="shared" si="102"/>
        <v>#N/A</v>
      </c>
      <c r="AQ367" s="325" t="s">
        <v>860</v>
      </c>
      <c r="AR367" s="325">
        <v>63</v>
      </c>
      <c r="AS367" s="325">
        <v>112012374</v>
      </c>
      <c r="AT367" s="799" t="e">
        <f t="shared" si="103"/>
        <v>#N/A</v>
      </c>
      <c r="AW367" s="325" t="s">
        <v>1436</v>
      </c>
      <c r="AX367" s="325">
        <v>63</v>
      </c>
      <c r="AY367" s="325">
        <v>112012334</v>
      </c>
      <c r="AZ367" s="799" t="str">
        <f t="shared" si="104"/>
        <v>DI CROCE FABIO ALEJANDRO</v>
      </c>
      <c r="BE367" s="618"/>
      <c r="BF367" s="618"/>
    </row>
    <row r="368" spans="1:58" ht="13" hidden="1">
      <c r="A368" s="325" t="s">
        <v>775</v>
      </c>
      <c r="B368" s="325">
        <v>71</v>
      </c>
      <c r="C368" s="325">
        <v>112013322</v>
      </c>
      <c r="D368" s="799" t="str">
        <f t="shared" si="95"/>
        <v>CLAVERO SILVIA MIRTA</v>
      </c>
      <c r="G368" s="323" t="s">
        <v>145</v>
      </c>
      <c r="H368" s="325">
        <v>70</v>
      </c>
      <c r="I368" s="325">
        <v>112010753</v>
      </c>
      <c r="J368" s="1393" t="str">
        <f t="shared" si="96"/>
        <v>HERMIDA RICARDO PABLO</v>
      </c>
      <c r="M368" s="323" t="s">
        <v>627</v>
      </c>
      <c r="N368" s="324">
        <v>70</v>
      </c>
      <c r="O368" s="325">
        <v>112014206</v>
      </c>
      <c r="P368" s="1455" t="str">
        <f t="shared" si="97"/>
        <v>CAMPAÑA CLAUDIA FABIANA</v>
      </c>
      <c r="R368" s="323" t="s">
        <v>299</v>
      </c>
      <c r="S368" s="324">
        <v>70</v>
      </c>
      <c r="T368" s="325">
        <v>112012245</v>
      </c>
      <c r="U368" s="1455" t="str">
        <f t="shared" si="98"/>
        <v>DI RENZO GONZALO AGUSTIN RODOLFO</v>
      </c>
      <c r="W368" s="323" t="s">
        <v>394</v>
      </c>
      <c r="X368" s="324">
        <v>61</v>
      </c>
      <c r="Y368" s="325">
        <v>112013032</v>
      </c>
      <c r="Z368" s="1455" t="str">
        <f t="shared" si="99"/>
        <v>DIRECCION NACIONAL DEL SERVICIO PENITENCIARIO FEDERAL</v>
      </c>
      <c r="AB368" s="325" t="s">
        <v>890</v>
      </c>
      <c r="AC368" s="325">
        <v>71</v>
      </c>
      <c r="AD368" s="325">
        <v>112013646</v>
      </c>
      <c r="AE368" s="799" t="str">
        <f t="shared" si="100"/>
        <v>DIMENNA SANTIAGO DOMINGO JOSE</v>
      </c>
      <c r="AG368" s="323" t="s">
        <v>1293</v>
      </c>
      <c r="AH368" s="325">
        <v>63</v>
      </c>
      <c r="AI368" s="325">
        <v>112014521</v>
      </c>
      <c r="AJ368" s="424" t="str">
        <f t="shared" si="101"/>
        <v>CIEUTAT PAOLA MARIA</v>
      </c>
      <c r="AL368" s="325" t="s">
        <v>1239</v>
      </c>
      <c r="AM368" s="325">
        <v>70</v>
      </c>
      <c r="AN368" s="325">
        <v>112014266</v>
      </c>
      <c r="AO368" s="799" t="e">
        <f t="shared" si="102"/>
        <v>#N/A</v>
      </c>
      <c r="AQ368" s="325" t="s">
        <v>1028</v>
      </c>
      <c r="AR368" s="325">
        <v>63</v>
      </c>
      <c r="AS368" s="325">
        <v>112013464</v>
      </c>
      <c r="AT368" s="799" t="str">
        <f t="shared" si="103"/>
        <v>CROVETTO ALBERTO JULIO</v>
      </c>
      <c r="AW368" s="325" t="s">
        <v>1437</v>
      </c>
      <c r="AX368" s="325">
        <v>63</v>
      </c>
      <c r="AY368" s="325">
        <v>112013682</v>
      </c>
      <c r="AZ368" s="799" t="str">
        <f t="shared" si="104"/>
        <v>DI FRANCESCO BRUNO ANDRES</v>
      </c>
      <c r="BE368" s="618"/>
      <c r="BF368" s="618"/>
    </row>
    <row r="369" spans="1:58" ht="13" hidden="1">
      <c r="A369" s="325" t="s">
        <v>803</v>
      </c>
      <c r="B369" s="325"/>
      <c r="C369" s="325">
        <v>112014166</v>
      </c>
      <c r="D369" s="799" t="str">
        <f t="shared" si="95"/>
        <v>CONFORTI DELFINA</v>
      </c>
      <c r="G369" s="323" t="s">
        <v>177</v>
      </c>
      <c r="H369" s="325">
        <v>71</v>
      </c>
      <c r="I369" s="325">
        <v>112010764</v>
      </c>
      <c r="J369" s="1393" t="str">
        <f t="shared" si="96"/>
        <v>FONTAN NESTOR ALDO</v>
      </c>
      <c r="M369" s="323" t="s">
        <v>629</v>
      </c>
      <c r="N369" s="324">
        <v>70</v>
      </c>
      <c r="O369" s="325">
        <v>112013228</v>
      </c>
      <c r="P369" s="1455" t="str">
        <f t="shared" si="97"/>
        <v>CAMPILLO LUIS RICARDO</v>
      </c>
      <c r="R369" s="323" t="s">
        <v>291</v>
      </c>
      <c r="S369" s="324">
        <v>68</v>
      </c>
      <c r="T369" s="325">
        <v>112012462</v>
      </c>
      <c r="U369" s="1455" t="str">
        <f t="shared" si="98"/>
        <v>DISTRIMASCOTA S.R.L.</v>
      </c>
      <c r="W369" s="323" t="s">
        <v>496</v>
      </c>
      <c r="X369" s="324">
        <v>63</v>
      </c>
      <c r="Y369" s="325">
        <v>112012211</v>
      </c>
      <c r="Z369" s="1455" t="e">
        <f t="shared" si="99"/>
        <v>#N/A</v>
      </c>
      <c r="AB369" s="325" t="s">
        <v>966</v>
      </c>
      <c r="AC369" s="325">
        <v>71</v>
      </c>
      <c r="AD369" s="325">
        <v>112014147</v>
      </c>
      <c r="AE369" s="799" t="e">
        <f t="shared" si="100"/>
        <v>#N/A</v>
      </c>
      <c r="AG369" s="323" t="s">
        <v>1359</v>
      </c>
      <c r="AH369" s="325">
        <v>71</v>
      </c>
      <c r="AI369" s="325">
        <v>112014275</v>
      </c>
      <c r="AJ369" s="424" t="str">
        <f t="shared" si="101"/>
        <v>CLAVARINO MARIANA</v>
      </c>
      <c r="AL369" s="325" t="s">
        <v>1147</v>
      </c>
      <c r="AM369" s="325">
        <v>70</v>
      </c>
      <c r="AN369" s="325">
        <v>112013702</v>
      </c>
      <c r="AO369" s="799" t="str">
        <f t="shared" si="102"/>
        <v>CUENCA GASTON ADRIAN</v>
      </c>
      <c r="AQ369" s="325" t="s">
        <v>1006</v>
      </c>
      <c r="AR369" s="325">
        <v>62</v>
      </c>
      <c r="AS369" s="325">
        <v>112014518</v>
      </c>
      <c r="AT369" s="799" t="str">
        <f t="shared" si="103"/>
        <v>CURLEICH MARTIN/ANABEL OLARTICOECHEA</v>
      </c>
      <c r="AW369" s="325" t="s">
        <v>360</v>
      </c>
      <c r="AX369" s="325">
        <v>71</v>
      </c>
      <c r="AY369" s="325">
        <v>112012513</v>
      </c>
      <c r="AZ369" s="799" t="e">
        <f t="shared" si="104"/>
        <v>#N/A</v>
      </c>
      <c r="BE369" s="618"/>
      <c r="BF369" s="618"/>
    </row>
    <row r="370" spans="1:58" ht="13" hidden="1">
      <c r="A370" s="325" t="s">
        <v>748</v>
      </c>
      <c r="B370" s="325">
        <v>70</v>
      </c>
      <c r="C370" s="325">
        <v>112013320</v>
      </c>
      <c r="D370" s="799" t="str">
        <f t="shared" ref="D370:D401" si="105">VLOOKUP(C370,buelafin,13,FALSE)</f>
        <v>COSENTINO CLAUDIA GLADYS</v>
      </c>
      <c r="G370" s="323" t="s">
        <v>83</v>
      </c>
      <c r="H370" s="325">
        <v>62</v>
      </c>
      <c r="I370" s="325">
        <v>112010909</v>
      </c>
      <c r="J370" s="1393" t="str">
        <f t="shared" ref="J370:J401" si="106">VLOOKUP(I370,bassfin,13,FALSE)</f>
        <v>MALM GREEN GUILLERMO</v>
      </c>
      <c r="M370" s="323" t="s">
        <v>526</v>
      </c>
      <c r="N370" s="324">
        <v>62</v>
      </c>
      <c r="O370" s="325">
        <v>112014707</v>
      </c>
      <c r="P370" s="1455" t="str">
        <f t="shared" ref="P370:P401" si="107">VLOOKUP(O370,LAGEFIN,13,FALSE)</f>
        <v>CARLOS ALBERTO BORDON</v>
      </c>
      <c r="R370" s="323" t="s">
        <v>260</v>
      </c>
      <c r="S370" s="324">
        <v>52</v>
      </c>
      <c r="T370" s="325">
        <v>112013905</v>
      </c>
      <c r="U370" s="1455" t="str">
        <f t="shared" ref="U370:U401" si="108">VLOOKUP(T370,calofin,9,FALSE)</f>
        <v>DONATO SERGIO HERNAN</v>
      </c>
      <c r="W370" s="323" t="s">
        <v>426</v>
      </c>
      <c r="X370" s="324">
        <v>63</v>
      </c>
      <c r="Y370" s="325">
        <v>112010786</v>
      </c>
      <c r="Z370" s="1455" t="str">
        <f t="shared" ref="Z370:Z401" si="109">VLOOKUP(Y370,RETAMFIN,9,FALSE)</f>
        <v>FACCINI DIEGO ALDO</v>
      </c>
      <c r="AB370" s="325" t="s">
        <v>882</v>
      </c>
      <c r="AC370" s="325">
        <v>71</v>
      </c>
      <c r="AD370" s="325">
        <v>112013064</v>
      </c>
      <c r="AE370" s="799" t="str">
        <f t="shared" ref="AE370:AE401" si="110">VLOOKUP(AD370,VARGASFIN,13,FALSE)</f>
        <v>DURAN RODRIGO RICARDO</v>
      </c>
      <c r="AG370" s="323" t="s">
        <v>1378</v>
      </c>
      <c r="AH370" s="325"/>
      <c r="AI370" s="325">
        <v>112014679</v>
      </c>
      <c r="AJ370" s="424" t="str">
        <f t="shared" ref="AJ370:AJ401" si="111">VLOOKUP(AI370,MONTENEFIN,9,FALSE)</f>
        <v>CONEXPOR SOCIEDAD ANONIMA S. A.</v>
      </c>
      <c r="AL370" s="325" t="s">
        <v>1223</v>
      </c>
      <c r="AM370" s="325">
        <v>71</v>
      </c>
      <c r="AN370" s="325">
        <v>112012078</v>
      </c>
      <c r="AO370" s="799" t="e">
        <f t="shared" ref="AO370:AO401" si="112">VLOOKUP(AN370,MARUCAFIN,13,FALSE)</f>
        <v>#N/A</v>
      </c>
      <c r="AQ370" s="325" t="s">
        <v>1037</v>
      </c>
      <c r="AR370" s="325">
        <v>70</v>
      </c>
      <c r="AS370" s="325">
        <v>112013841</v>
      </c>
      <c r="AT370" s="799" t="str">
        <f t="shared" ref="AT370:AT401" si="113">VLOOKUP(AS370,ARRIOLFIN,13,FALSE)</f>
        <v>DE ARZAVE JULIO CESAR</v>
      </c>
      <c r="AW370" s="325" t="s">
        <v>1399</v>
      </c>
      <c r="AX370" s="325">
        <v>54</v>
      </c>
      <c r="AY370" s="325">
        <v>112014120</v>
      </c>
      <c r="AZ370" s="799" t="str">
        <f t="shared" ref="AZ370:AZ401" si="114">VLOOKUP(AY370,LAVENIAFIN,13,FALSE)</f>
        <v>DROGUERIA MEDICAM SRL</v>
      </c>
      <c r="BE370" s="618"/>
      <c r="BF370" s="618"/>
    </row>
    <row r="371" spans="1:58" ht="13" hidden="1">
      <c r="A371" s="325" t="s">
        <v>700</v>
      </c>
      <c r="B371" s="325">
        <v>62</v>
      </c>
      <c r="C371" s="325">
        <v>112013206</v>
      </c>
      <c r="D371" s="799" t="str">
        <f t="shared" si="105"/>
        <v>COSTILLA JOSE IGNACIO</v>
      </c>
      <c r="G371" s="323" t="s">
        <v>146</v>
      </c>
      <c r="H371" s="325">
        <v>70</v>
      </c>
      <c r="I371" s="325">
        <v>112011100</v>
      </c>
      <c r="J371" s="1393" t="str">
        <f t="shared" si="106"/>
        <v>SOMOZA ALVARO</v>
      </c>
      <c r="M371" s="323" t="s">
        <v>574</v>
      </c>
      <c r="N371" s="324">
        <v>70</v>
      </c>
      <c r="O371" s="325">
        <v>112014468</v>
      </c>
      <c r="P371" s="1455" t="str">
        <f t="shared" si="107"/>
        <v>CATRI MARCOS RUBEN</v>
      </c>
      <c r="R371" s="323" t="s">
        <v>261</v>
      </c>
      <c r="S371" s="324">
        <v>52</v>
      </c>
      <c r="T371" s="325">
        <v>112014066</v>
      </c>
      <c r="U371" s="1455" t="str">
        <f t="shared" si="108"/>
        <v>EL FORRAJE DEL ABUELO S.A</v>
      </c>
      <c r="W371" s="323" t="s">
        <v>427</v>
      </c>
      <c r="X371" s="324">
        <v>63</v>
      </c>
      <c r="Y371" s="325">
        <v>112014675</v>
      </c>
      <c r="Z371" s="1455" t="str">
        <f t="shared" si="109"/>
        <v>FEDERICO GARAVAGLIA</v>
      </c>
      <c r="AB371" s="325" t="s">
        <v>898</v>
      </c>
      <c r="AC371" s="325"/>
      <c r="AD371" s="325">
        <v>112014059</v>
      </c>
      <c r="AE371" s="799" t="str">
        <f t="shared" si="110"/>
        <v>ERIKA CALVI</v>
      </c>
      <c r="AG371" s="323" t="s">
        <v>1286</v>
      </c>
      <c r="AH371" s="325">
        <v>63</v>
      </c>
      <c r="AI371" s="325">
        <v>112013551</v>
      </c>
      <c r="AJ371" s="424" t="str">
        <f t="shared" si="111"/>
        <v>COOPERATIVA AGROPECUARIA E INDUSTRIAL DE RAUCH LIMITADA</v>
      </c>
      <c r="AL371" s="325" t="s">
        <v>1231</v>
      </c>
      <c r="AM371" s="325">
        <v>71</v>
      </c>
      <c r="AN371" s="325">
        <v>112012664</v>
      </c>
      <c r="AO371" s="799" t="e">
        <f t="shared" si="112"/>
        <v>#N/A</v>
      </c>
      <c r="AQ371" s="325" t="s">
        <v>1063</v>
      </c>
      <c r="AR371" s="325">
        <v>71</v>
      </c>
      <c r="AS371" s="325">
        <v>112013542</v>
      </c>
      <c r="AT371" s="799" t="str">
        <f t="shared" si="113"/>
        <v>DEL RABAL BRANDAN JUAN EZEQUIEL</v>
      </c>
      <c r="AW371" s="325" t="s">
        <v>1400</v>
      </c>
      <c r="AX371" s="325">
        <v>28</v>
      </c>
      <c r="AY371" s="325">
        <v>112012493</v>
      </c>
      <c r="AZ371" s="799" t="str">
        <f t="shared" si="114"/>
        <v>DUPUY CARLOS RAUL FERNANDO</v>
      </c>
      <c r="BE371" s="618"/>
      <c r="BF371" s="618"/>
    </row>
    <row r="372" spans="1:58" ht="13" hidden="1">
      <c r="A372" s="325" t="s">
        <v>776</v>
      </c>
      <c r="B372" s="325">
        <v>71</v>
      </c>
      <c r="C372" s="325">
        <v>112013782</v>
      </c>
      <c r="D372" s="799" t="str">
        <f t="shared" si="105"/>
        <v>CRUZ MORENO CYNTHIA VERONICA</v>
      </c>
      <c r="G372" s="323" t="s">
        <v>147</v>
      </c>
      <c r="H372" s="325">
        <v>70</v>
      </c>
      <c r="I372" s="325">
        <v>112011337</v>
      </c>
      <c r="J372" s="1393" t="str">
        <f t="shared" si="106"/>
        <v>DI SALVO EDGARDO JULIO</v>
      </c>
      <c r="M372" s="323" t="s">
        <v>518</v>
      </c>
      <c r="N372" s="324">
        <v>62</v>
      </c>
      <c r="O372" s="325">
        <v>112013247</v>
      </c>
      <c r="P372" s="1455" t="str">
        <f t="shared" si="107"/>
        <v>CESA DUBOR BRUNO</v>
      </c>
      <c r="R372" s="323" t="s">
        <v>349</v>
      </c>
      <c r="S372" s="324"/>
      <c r="T372" s="325">
        <v>112014346</v>
      </c>
      <c r="U372" s="1455" t="str">
        <f t="shared" si="108"/>
        <v>ETCHEMENDY VERONICA</v>
      </c>
      <c r="W372" s="323" t="s">
        <v>449</v>
      </c>
      <c r="X372" s="324">
        <v>67</v>
      </c>
      <c r="Y372" s="325">
        <v>112010863</v>
      </c>
      <c r="Z372" s="1455" t="str">
        <f t="shared" si="109"/>
        <v>FEINMANN LAURA PATRICIA</v>
      </c>
      <c r="AB372" s="325" t="s">
        <v>859</v>
      </c>
      <c r="AC372" s="325">
        <v>63</v>
      </c>
      <c r="AD372" s="325">
        <v>112010020</v>
      </c>
      <c r="AE372" s="799" t="str">
        <f t="shared" si="110"/>
        <v>ESCAPIL JUAN RICARDO</v>
      </c>
      <c r="AG372" s="323" t="s">
        <v>1312</v>
      </c>
      <c r="AH372" s="325">
        <v>63</v>
      </c>
      <c r="AI372" s="325">
        <v>112013486</v>
      </c>
      <c r="AJ372" s="424" t="str">
        <f t="shared" si="111"/>
        <v>COUYOUPETROU NESTOR MAXIMILIANO</v>
      </c>
      <c r="AL372" s="325" t="s">
        <v>1191</v>
      </c>
      <c r="AM372" s="325">
        <v>70</v>
      </c>
      <c r="AN372" s="325">
        <v>112014695</v>
      </c>
      <c r="AO372" s="799" t="e">
        <f t="shared" si="112"/>
        <v>#N/A</v>
      </c>
      <c r="AQ372" s="325" t="s">
        <v>1064</v>
      </c>
      <c r="AR372" s="325">
        <v>71</v>
      </c>
      <c r="AS372" s="325">
        <v>112011623</v>
      </c>
      <c r="AT372" s="799" t="str">
        <f t="shared" si="113"/>
        <v>DELIA MONICA LILIANA</v>
      </c>
      <c r="AW372" s="325" t="s">
        <v>1413</v>
      </c>
      <c r="AX372" s="325">
        <v>61</v>
      </c>
      <c r="AY372" s="325">
        <v>112014314</v>
      </c>
      <c r="AZ372" s="799" t="str">
        <f t="shared" si="114"/>
        <v>FERNANDEZ LARA JULIANA</v>
      </c>
      <c r="BE372" s="618"/>
      <c r="BF372" s="618"/>
    </row>
    <row r="373" spans="1:58" ht="13" hidden="1">
      <c r="A373" s="325" t="s">
        <v>726</v>
      </c>
      <c r="B373" s="325">
        <v>70</v>
      </c>
      <c r="C373" s="325">
        <v>112013900</v>
      </c>
      <c r="D373" s="799" t="str">
        <f t="shared" si="105"/>
        <v>D AURIA JAVIER ALEJANDRO</v>
      </c>
      <c r="G373" s="323" t="s">
        <v>220</v>
      </c>
      <c r="H373" s="325"/>
      <c r="I373" s="325">
        <v>112011349</v>
      </c>
      <c r="J373" s="1393" t="str">
        <f t="shared" si="106"/>
        <v>VAZQUEZ ALEJANDRO</v>
      </c>
      <c r="M373" s="323" t="s">
        <v>507</v>
      </c>
      <c r="N373" s="324">
        <v>53</v>
      </c>
      <c r="O373" s="325">
        <v>112014179</v>
      </c>
      <c r="P373" s="1455" t="str">
        <f t="shared" si="107"/>
        <v>CESTARO GUSTAVO DANIEL</v>
      </c>
      <c r="R373" s="323" t="s">
        <v>307</v>
      </c>
      <c r="S373" s="324">
        <v>70</v>
      </c>
      <c r="T373" s="325">
        <v>112014708</v>
      </c>
      <c r="U373" s="1455" t="str">
        <f t="shared" si="108"/>
        <v>FEDERICO EZEQUIEL PANIAGUA</v>
      </c>
      <c r="W373" s="323" t="s">
        <v>381</v>
      </c>
      <c r="X373" s="324">
        <v>54</v>
      </c>
      <c r="Y373" s="325">
        <v>112012590</v>
      </c>
      <c r="Z373" s="1455" t="str">
        <f t="shared" si="109"/>
        <v>FINUCCI JORGE EDUARDO</v>
      </c>
      <c r="AB373" s="325" t="s">
        <v>937</v>
      </c>
      <c r="AC373" s="325">
        <v>70</v>
      </c>
      <c r="AD373" s="325">
        <v>112014070</v>
      </c>
      <c r="AE373" s="799" t="e">
        <f t="shared" si="110"/>
        <v>#N/A</v>
      </c>
      <c r="AG373" s="323" t="s">
        <v>1313</v>
      </c>
      <c r="AH373" s="325">
        <v>63</v>
      </c>
      <c r="AI373" s="325">
        <v>112014071</v>
      </c>
      <c r="AJ373" s="424" t="str">
        <f t="shared" si="111"/>
        <v>CRESPI ANDREA/SALGADO WALTER</v>
      </c>
      <c r="AL373" s="325" t="s">
        <v>1224</v>
      </c>
      <c r="AM373" s="325">
        <v>71</v>
      </c>
      <c r="AN373" s="325">
        <v>112012680</v>
      </c>
      <c r="AO373" s="799" t="e">
        <f t="shared" si="112"/>
        <v>#N/A</v>
      </c>
      <c r="AQ373" s="325" t="s">
        <v>997</v>
      </c>
      <c r="AR373" s="325">
        <v>55</v>
      </c>
      <c r="AS373" s="325">
        <v>112014254</v>
      </c>
      <c r="AT373" s="799" t="str">
        <f t="shared" si="113"/>
        <v>DELL OSO MARTIN</v>
      </c>
      <c r="AW373" s="325" t="s">
        <v>1452</v>
      </c>
      <c r="AX373" s="325">
        <v>63</v>
      </c>
      <c r="AY373" s="325">
        <v>112014381</v>
      </c>
      <c r="AZ373" s="799" t="str">
        <f t="shared" si="114"/>
        <v>FERRARI BONOFIGLIO PABLO DANIEL</v>
      </c>
      <c r="BE373" s="618"/>
      <c r="BF373" s="618"/>
    </row>
    <row r="374" spans="1:58" ht="13" hidden="1">
      <c r="A374" s="325" t="s">
        <v>719</v>
      </c>
      <c r="B374" s="325">
        <v>69</v>
      </c>
      <c r="C374" s="325">
        <v>112013704</v>
      </c>
      <c r="D374" s="799" t="str">
        <f t="shared" si="105"/>
        <v>DE PAULA WALDO SUC1/SUC2</v>
      </c>
      <c r="G374" s="323" t="s">
        <v>221</v>
      </c>
      <c r="H374" s="325"/>
      <c r="I374" s="325">
        <v>112011350</v>
      </c>
      <c r="J374" s="1393" t="str">
        <f t="shared" si="106"/>
        <v>GALARZA RODOLFO</v>
      </c>
      <c r="M374" s="323" t="s">
        <v>576</v>
      </c>
      <c r="N374" s="324">
        <v>70</v>
      </c>
      <c r="O374" s="325">
        <v>112014455</v>
      </c>
      <c r="P374" s="1455" t="str">
        <f t="shared" si="107"/>
        <v>CILAP HOSPITAL VETERINARIO</v>
      </c>
      <c r="R374" s="323" t="s">
        <v>286</v>
      </c>
      <c r="S374" s="324">
        <v>66</v>
      </c>
      <c r="T374" s="325">
        <v>112014491</v>
      </c>
      <c r="U374" s="1455" t="str">
        <f t="shared" si="108"/>
        <v>FONTANARROSA MARIA FLORENCIA</v>
      </c>
      <c r="W374" s="323" t="s">
        <v>469</v>
      </c>
      <c r="X374" s="324">
        <v>71</v>
      </c>
      <c r="Y374" s="325">
        <v>112012555</v>
      </c>
      <c r="Z374" s="1455" t="str">
        <f t="shared" si="109"/>
        <v>FIORETTI CESAR</v>
      </c>
      <c r="AB374" s="325" t="s">
        <v>936</v>
      </c>
      <c r="AC374" s="325">
        <v>70</v>
      </c>
      <c r="AD374" s="325">
        <v>112014063</v>
      </c>
      <c r="AE374" s="799" t="e">
        <f t="shared" si="110"/>
        <v>#N/A</v>
      </c>
      <c r="AG374" s="323" t="s">
        <v>1334</v>
      </c>
      <c r="AH374" s="325">
        <v>70</v>
      </c>
      <c r="AI374" s="325">
        <v>112012891</v>
      </c>
      <c r="AJ374" s="424" t="str">
        <f t="shared" si="111"/>
        <v>DARIO LUIS ALTI</v>
      </c>
      <c r="AL374" s="325" t="s">
        <v>1161</v>
      </c>
      <c r="AM374" s="325">
        <v>70</v>
      </c>
      <c r="AN374" s="325">
        <v>112014759</v>
      </c>
      <c r="AO374" s="799" t="e">
        <f t="shared" si="112"/>
        <v>#N/A</v>
      </c>
      <c r="AQ374" s="325" t="s">
        <v>1074</v>
      </c>
      <c r="AR374" s="325">
        <v>71</v>
      </c>
      <c r="AS374" s="325">
        <v>112012161</v>
      </c>
      <c r="AT374" s="799" t="str">
        <f t="shared" si="113"/>
        <v>DI CLAUDIO SERGIO VICENTE</v>
      </c>
      <c r="AW374" s="325" t="s">
        <v>1515</v>
      </c>
      <c r="AX374" s="325">
        <v>21</v>
      </c>
      <c r="AY374" s="325">
        <v>112012554</v>
      </c>
      <c r="AZ374" s="799" t="str">
        <f t="shared" si="114"/>
        <v>FERREIRA MARIANO</v>
      </c>
      <c r="BE374" s="618"/>
      <c r="BF374" s="618"/>
    </row>
    <row r="375" spans="1:58" ht="13" hidden="1">
      <c r="A375" s="325" t="s">
        <v>749</v>
      </c>
      <c r="B375" s="325">
        <v>70</v>
      </c>
      <c r="C375" s="325">
        <v>112013448</v>
      </c>
      <c r="D375" s="799" t="str">
        <f t="shared" si="105"/>
        <v>DEPEDRI AUGUSTO RUBEN</v>
      </c>
      <c r="G375" s="323" t="s">
        <v>131</v>
      </c>
      <c r="H375" s="325">
        <v>69</v>
      </c>
      <c r="I375" s="325">
        <v>112011491</v>
      </c>
      <c r="J375" s="1393" t="str">
        <f t="shared" si="106"/>
        <v>FERNANDEZ PAULA VALERIA</v>
      </c>
      <c r="M375" s="323" t="s">
        <v>645</v>
      </c>
      <c r="N375" s="324">
        <v>71</v>
      </c>
      <c r="O375" s="325">
        <v>112011303</v>
      </c>
      <c r="P375" s="1455" t="str">
        <f t="shared" si="107"/>
        <v>CORONEL MARIA LUZ DEL CARMEN</v>
      </c>
      <c r="R375" s="323" t="s">
        <v>271</v>
      </c>
      <c r="S375" s="324">
        <v>63</v>
      </c>
      <c r="T375" s="325">
        <v>112012906</v>
      </c>
      <c r="U375" s="1455" t="str">
        <f t="shared" si="108"/>
        <v>GADDI HECTOR MARCELO GABRIEL</v>
      </c>
      <c r="W375" s="323" t="s">
        <v>428</v>
      </c>
      <c r="X375" s="324">
        <v>63</v>
      </c>
      <c r="Y375" s="325">
        <v>112013122</v>
      </c>
      <c r="Z375" s="1455" t="str">
        <f t="shared" si="109"/>
        <v>FRATTINI CAROLINA</v>
      </c>
      <c r="AB375" s="325" t="s">
        <v>939</v>
      </c>
      <c r="AC375" s="325">
        <v>70</v>
      </c>
      <c r="AD375" s="325">
        <v>112014699</v>
      </c>
      <c r="AE375" s="799" t="e">
        <f t="shared" si="110"/>
        <v>#N/A</v>
      </c>
      <c r="AG375" s="323" t="s">
        <v>1267</v>
      </c>
      <c r="AH375" s="325">
        <v>55</v>
      </c>
      <c r="AI375" s="325">
        <v>112014363</v>
      </c>
      <c r="AJ375" s="424" t="str">
        <f t="shared" si="111"/>
        <v>DESTEFANO JOSE HERNAN Y BIDEGAIN GUSTAVO MIGUEL S.H</v>
      </c>
      <c r="AL375" s="325" t="s">
        <v>1140</v>
      </c>
      <c r="AM375" s="325">
        <v>63</v>
      </c>
      <c r="AN375" s="325">
        <v>112012257</v>
      </c>
      <c r="AO375" s="799" t="str">
        <f t="shared" si="112"/>
        <v>EL VERANO/APAOLAZA MARIA/APAOLAZA PEDRO</v>
      </c>
      <c r="AQ375" s="325" t="s">
        <v>1094</v>
      </c>
      <c r="AR375" s="325">
        <v>71</v>
      </c>
      <c r="AS375" s="325">
        <v>112012428</v>
      </c>
      <c r="AT375" s="799" t="e">
        <f t="shared" si="113"/>
        <v>#N/A</v>
      </c>
      <c r="AW375" s="325" t="s">
        <v>1438</v>
      </c>
      <c r="AX375" s="325">
        <v>63</v>
      </c>
      <c r="AY375" s="325">
        <v>112013714</v>
      </c>
      <c r="AZ375" s="799" t="str">
        <f t="shared" si="114"/>
        <v>FERREYRA ALEJANDRO NESTOR</v>
      </c>
      <c r="BE375" s="618"/>
      <c r="BF375" s="618"/>
    </row>
    <row r="376" spans="1:58" ht="13" hidden="1">
      <c r="A376" s="325" t="s">
        <v>693</v>
      </c>
      <c r="B376" s="325">
        <v>53</v>
      </c>
      <c r="C376" s="325">
        <v>112013693</v>
      </c>
      <c r="D376" s="799" t="str">
        <f t="shared" si="105"/>
        <v>DEVY LUCAS NICOLAS</v>
      </c>
      <c r="G376" s="323" t="s">
        <v>85</v>
      </c>
      <c r="H376" s="325">
        <v>62</v>
      </c>
      <c r="I376" s="325">
        <v>112011692</v>
      </c>
      <c r="J376" s="1393" t="str">
        <f t="shared" si="106"/>
        <v>AGUIRRE MONICA SILVIA</v>
      </c>
      <c r="M376" s="323" t="s">
        <v>577</v>
      </c>
      <c r="N376" s="324">
        <v>70</v>
      </c>
      <c r="O376" s="325">
        <v>112013205</v>
      </c>
      <c r="P376" s="1455" t="str">
        <f t="shared" si="107"/>
        <v>COVA PATRICIA LEONOR</v>
      </c>
      <c r="R376" s="323" t="s">
        <v>321</v>
      </c>
      <c r="S376" s="324">
        <v>71</v>
      </c>
      <c r="T376" s="325">
        <v>112013214</v>
      </c>
      <c r="U376" s="1455" t="str">
        <f t="shared" si="108"/>
        <v>GARCIA ANDREA INES</v>
      </c>
      <c r="W376" s="323" t="s">
        <v>429</v>
      </c>
      <c r="X376" s="324">
        <v>63</v>
      </c>
      <c r="Y376" s="325">
        <v>112010616</v>
      </c>
      <c r="Z376" s="1455" t="str">
        <f t="shared" si="109"/>
        <v>FREGOTTE NESTOR DARIO</v>
      </c>
      <c r="AB376" s="325" t="s">
        <v>964</v>
      </c>
      <c r="AC376" s="325">
        <v>70</v>
      </c>
      <c r="AD376" s="325">
        <v>112014308</v>
      </c>
      <c r="AE376" s="799" t="e">
        <f t="shared" si="110"/>
        <v>#N/A</v>
      </c>
      <c r="AG376" s="323" t="s">
        <v>1314</v>
      </c>
      <c r="AH376" s="325">
        <v>63</v>
      </c>
      <c r="AI376" s="325">
        <v>112013897</v>
      </c>
      <c r="AJ376" s="424" t="str">
        <f t="shared" si="111"/>
        <v>DETTANO YANINA MARIANELA</v>
      </c>
      <c r="AL376" s="325" t="s">
        <v>1240</v>
      </c>
      <c r="AM376" s="325">
        <v>70</v>
      </c>
      <c r="AN376" s="325">
        <v>112012465</v>
      </c>
      <c r="AO376" s="799" t="e">
        <f t="shared" si="112"/>
        <v>#N/A</v>
      </c>
      <c r="AQ376" s="325" t="s">
        <v>1016</v>
      </c>
      <c r="AR376" s="325">
        <v>63</v>
      </c>
      <c r="AS376" s="325">
        <v>112012273</v>
      </c>
      <c r="AT376" s="799" t="str">
        <f t="shared" si="113"/>
        <v>DI SPALATRO GUSTAVO JULIO</v>
      </c>
      <c r="AW376" s="325" t="s">
        <v>1482</v>
      </c>
      <c r="AX376" s="325">
        <v>71</v>
      </c>
      <c r="AY376" s="325">
        <v>112013332</v>
      </c>
      <c r="AZ376" s="799" t="str">
        <f t="shared" si="114"/>
        <v>FINAMORE ENRIQUE GABRIEL</v>
      </c>
      <c r="BE376" s="618"/>
      <c r="BF376" s="618"/>
    </row>
    <row r="377" spans="1:58" ht="13" hidden="1">
      <c r="A377" s="325" t="s">
        <v>777</v>
      </c>
      <c r="B377" s="325">
        <v>71</v>
      </c>
      <c r="C377" s="325">
        <v>112012497</v>
      </c>
      <c r="D377" s="799" t="str">
        <f t="shared" si="105"/>
        <v>DIAGNOSTICOS VETERINARIOS HOSPIVET SRL</v>
      </c>
      <c r="G377" s="323" t="s">
        <v>178</v>
      </c>
      <c r="H377" s="325">
        <v>71</v>
      </c>
      <c r="I377" s="325">
        <v>112011720</v>
      </c>
      <c r="J377" s="1393" t="str">
        <f t="shared" si="106"/>
        <v>DRISDALE GRISELDA BEATRIZ</v>
      </c>
      <c r="M377" s="323" t="s">
        <v>508</v>
      </c>
      <c r="N377" s="324">
        <v>53</v>
      </c>
      <c r="O377" s="325">
        <v>112014328</v>
      </c>
      <c r="P377" s="1455" t="str">
        <f t="shared" si="107"/>
        <v>D ALMEIDA ANDREA ELEONORA</v>
      </c>
      <c r="R377" s="323" t="s">
        <v>322</v>
      </c>
      <c r="S377" s="324">
        <v>71</v>
      </c>
      <c r="T377" s="325">
        <v>112011662</v>
      </c>
      <c r="U377" s="1455" t="str">
        <f t="shared" si="108"/>
        <v>GARCIA CASAMAYOR SH</v>
      </c>
      <c r="W377" s="323" t="s">
        <v>482</v>
      </c>
      <c r="X377" s="324"/>
      <c r="Y377" s="325">
        <v>112014239</v>
      </c>
      <c r="Z377" s="1455" t="str">
        <f t="shared" si="109"/>
        <v>FUNDACION UNIVERSIDAD DE CIENCIAS EMPRESARIALES Y SOCIALES</v>
      </c>
      <c r="AB377" s="325" t="s">
        <v>933</v>
      </c>
      <c r="AC377" s="325">
        <v>67</v>
      </c>
      <c r="AD377" s="325">
        <v>112012863</v>
      </c>
      <c r="AE377" s="799" t="e">
        <f t="shared" si="110"/>
        <v>#N/A</v>
      </c>
      <c r="AG377" s="323" t="s">
        <v>1330</v>
      </c>
      <c r="AH377" s="325">
        <v>69</v>
      </c>
      <c r="AI377" s="325">
        <v>112013473</v>
      </c>
      <c r="AJ377" s="424" t="str">
        <f t="shared" si="111"/>
        <v>DISTRIB DM PETS/SALDIVIA NICOLAS</v>
      </c>
      <c r="AL377" s="325" t="s">
        <v>1232</v>
      </c>
      <c r="AM377" s="325">
        <v>71</v>
      </c>
      <c r="AN377" s="325">
        <v>112014724</v>
      </c>
      <c r="AO377" s="799" t="e">
        <f t="shared" si="112"/>
        <v>#N/A</v>
      </c>
      <c r="AQ377" s="325" t="s">
        <v>1110</v>
      </c>
      <c r="AR377" s="325">
        <v>63</v>
      </c>
      <c r="AS377" s="325">
        <v>112010650</v>
      </c>
      <c r="AT377" s="799" t="e">
        <f t="shared" si="113"/>
        <v>#N/A</v>
      </c>
      <c r="AW377" s="325" t="s">
        <v>1466</v>
      </c>
      <c r="AX377" s="325">
        <v>63</v>
      </c>
      <c r="AY377" s="325">
        <v>112014589</v>
      </c>
      <c r="AZ377" s="799" t="str">
        <f t="shared" si="114"/>
        <v>FUENTES CRISTIAN MATIAS</v>
      </c>
      <c r="BE377" s="618"/>
      <c r="BF377" s="618"/>
    </row>
    <row r="378" spans="1:58" ht="13" hidden="1">
      <c r="A378" s="325" t="s">
        <v>778</v>
      </c>
      <c r="B378" s="325">
        <v>71</v>
      </c>
      <c r="C378" s="325">
        <v>112013566</v>
      </c>
      <c r="D378" s="799" t="str">
        <f t="shared" si="105"/>
        <v>DIAZ COLELA MARINGELES SOLEDAD</v>
      </c>
      <c r="G378" s="323" t="s">
        <v>87</v>
      </c>
      <c r="H378" s="325">
        <v>62</v>
      </c>
      <c r="I378" s="325">
        <v>112011726</v>
      </c>
      <c r="J378" s="1393" t="str">
        <f t="shared" si="106"/>
        <v>AVILA EMILSE VICTORIA</v>
      </c>
      <c r="M378" s="323" t="s">
        <v>578</v>
      </c>
      <c r="N378" s="324">
        <v>70</v>
      </c>
      <c r="O378" s="325">
        <v>112014278</v>
      </c>
      <c r="P378" s="1455" t="str">
        <f t="shared" si="107"/>
        <v>D AMARIO ALEJO NICOLAS</v>
      </c>
      <c r="R378" s="323" t="s">
        <v>323</v>
      </c>
      <c r="S378" s="324">
        <v>71</v>
      </c>
      <c r="T378" s="325">
        <v>112010878</v>
      </c>
      <c r="U378" s="1455" t="e">
        <f t="shared" si="108"/>
        <v>#N/A</v>
      </c>
      <c r="W378" s="323" t="s">
        <v>463</v>
      </c>
      <c r="X378" s="324">
        <v>71</v>
      </c>
      <c r="Y378" s="325">
        <v>112011522</v>
      </c>
      <c r="Z378" s="1455" t="str">
        <f t="shared" si="109"/>
        <v>GALVAN WALTER RUBEN</v>
      </c>
      <c r="AB378" s="325" t="s">
        <v>940</v>
      </c>
      <c r="AC378" s="325">
        <v>70</v>
      </c>
      <c r="AD378" s="325">
        <v>112014599</v>
      </c>
      <c r="AE378" s="799" t="e">
        <f t="shared" si="110"/>
        <v>#N/A</v>
      </c>
      <c r="AG378" s="323" t="s">
        <v>1273</v>
      </c>
      <c r="AH378" s="325">
        <v>61</v>
      </c>
      <c r="AI378" s="325">
        <v>112014128</v>
      </c>
      <c r="AJ378" s="424" t="str">
        <f t="shared" si="111"/>
        <v>DISTRIBUIDORA DE BALANCEADOS MERLO</v>
      </c>
      <c r="AL378" s="325" t="s">
        <v>1139</v>
      </c>
      <c r="AM378" s="325">
        <v>70</v>
      </c>
      <c r="AN378" s="325">
        <v>112012425</v>
      </c>
      <c r="AO378" s="799" t="str">
        <f t="shared" si="112"/>
        <v>FERNANDEZ DEL CASTILLO/IAROSKY</v>
      </c>
      <c r="AQ378" s="325" t="s">
        <v>1027</v>
      </c>
      <c r="AR378" s="325">
        <v>63</v>
      </c>
      <c r="AS378" s="325">
        <v>112013478</v>
      </c>
      <c r="AT378" s="799" t="str">
        <f t="shared" si="113"/>
        <v>DIAZ MARIA DOLORES</v>
      </c>
      <c r="AW378" s="325" t="s">
        <v>1410</v>
      </c>
      <c r="AX378" s="325">
        <v>61</v>
      </c>
      <c r="AY378" s="325">
        <v>112014440</v>
      </c>
      <c r="AZ378" s="799" t="str">
        <f t="shared" si="114"/>
        <v>FUSERO CLAUDIO OSCAR</v>
      </c>
      <c r="BE378" s="618"/>
      <c r="BF378" s="618"/>
    </row>
    <row r="379" spans="1:58" ht="13" hidden="1">
      <c r="A379" s="325" t="s">
        <v>689</v>
      </c>
      <c r="B379" s="325">
        <v>53</v>
      </c>
      <c r="C379" s="325">
        <v>112014705</v>
      </c>
      <c r="D379" s="799" t="str">
        <f t="shared" si="105"/>
        <v>DIEGO MARTIN CURCHO</v>
      </c>
      <c r="G379" s="323" t="s">
        <v>179</v>
      </c>
      <c r="H379" s="325">
        <v>71</v>
      </c>
      <c r="I379" s="325">
        <v>112011745</v>
      </c>
      <c r="J379" s="1393" t="str">
        <f t="shared" si="106"/>
        <v>ARES SUSANA MONICA</v>
      </c>
      <c r="M379" s="323" t="s">
        <v>579</v>
      </c>
      <c r="N379" s="324">
        <v>70</v>
      </c>
      <c r="O379" s="325">
        <v>112014684</v>
      </c>
      <c r="P379" s="1455" t="str">
        <f t="shared" si="107"/>
        <v>DAIANA MAGALI CAÑELLAS</v>
      </c>
      <c r="R379" s="323" t="s">
        <v>294</v>
      </c>
      <c r="S379" s="324">
        <v>70</v>
      </c>
      <c r="T379" s="325">
        <v>112014441</v>
      </c>
      <c r="U379" s="1455" t="str">
        <f t="shared" si="108"/>
        <v>GENAVES SA</v>
      </c>
      <c r="W379" s="323" t="s">
        <v>461</v>
      </c>
      <c r="X379" s="324">
        <v>71</v>
      </c>
      <c r="Y379" s="325">
        <v>112011204</v>
      </c>
      <c r="Z379" s="1455" t="str">
        <f t="shared" si="109"/>
        <v>GARAVAGLIA VICTOR ESTEBAN</v>
      </c>
      <c r="AB379" s="325" t="s">
        <v>962</v>
      </c>
      <c r="AC379" s="325">
        <v>70</v>
      </c>
      <c r="AD379" s="325">
        <v>112014040</v>
      </c>
      <c r="AE379" s="799" t="e">
        <f t="shared" si="110"/>
        <v>#N/A</v>
      </c>
      <c r="AG379" s="323" t="s">
        <v>1263</v>
      </c>
      <c r="AH379" s="325">
        <v>53</v>
      </c>
      <c r="AI379" s="325">
        <v>112014014</v>
      </c>
      <c r="AJ379" s="424" t="str">
        <f t="shared" si="111"/>
        <v>DONATO CARLOS</v>
      </c>
      <c r="AL379" s="325" t="s">
        <v>1211</v>
      </c>
      <c r="AM379" s="325">
        <v>70</v>
      </c>
      <c r="AN379" s="325">
        <v>112012520</v>
      </c>
      <c r="AO379" s="799" t="e">
        <f t="shared" si="112"/>
        <v>#N/A</v>
      </c>
      <c r="AQ379" s="325" t="s">
        <v>1087</v>
      </c>
      <c r="AR379" s="325">
        <v>71</v>
      </c>
      <c r="AS379" s="325">
        <v>112014312</v>
      </c>
      <c r="AT379" s="799" t="str">
        <f t="shared" si="113"/>
        <v>DIEGUEZ JORGE ALBERTO</v>
      </c>
      <c r="AW379" s="325" t="s">
        <v>1414</v>
      </c>
      <c r="AX379" s="325">
        <v>61</v>
      </c>
      <c r="AY379" s="325">
        <v>112013941</v>
      </c>
      <c r="AZ379" s="799" t="str">
        <f t="shared" si="114"/>
        <v>GALISE VICTORIO ANDRES</v>
      </c>
      <c r="BE379" s="618"/>
      <c r="BF379" s="618"/>
    </row>
    <row r="380" spans="1:58" ht="13" hidden="1">
      <c r="A380" s="325" t="s">
        <v>779</v>
      </c>
      <c r="B380" s="325">
        <v>71</v>
      </c>
      <c r="C380" s="325">
        <v>112011416</v>
      </c>
      <c r="D380" s="799" t="str">
        <f t="shared" si="105"/>
        <v>EL COMAHUE S.R.L.</v>
      </c>
      <c r="G380" s="323" t="s">
        <v>180</v>
      </c>
      <c r="H380" s="325">
        <v>71</v>
      </c>
      <c r="I380" s="325">
        <v>112011804</v>
      </c>
      <c r="J380" s="1393" t="str">
        <f t="shared" si="106"/>
        <v>GRIATZKY CRISTINA</v>
      </c>
      <c r="M380" s="323" t="s">
        <v>559</v>
      </c>
      <c r="N380" s="324">
        <v>69</v>
      </c>
      <c r="O380" s="325">
        <v>112014471</v>
      </c>
      <c r="P380" s="1455" t="str">
        <f t="shared" si="107"/>
        <v>DANIELA PINCHETTI</v>
      </c>
      <c r="R380" s="323" t="s">
        <v>267</v>
      </c>
      <c r="S380" s="324">
        <v>61</v>
      </c>
      <c r="T380" s="325">
        <v>112014379</v>
      </c>
      <c r="U380" s="1455" t="str">
        <f t="shared" si="108"/>
        <v>GEROSA FEDERICO</v>
      </c>
      <c r="W380" s="323" t="s">
        <v>478</v>
      </c>
      <c r="X380" s="324"/>
      <c r="Y380" s="325">
        <v>112011877</v>
      </c>
      <c r="Z380" s="1455" t="str">
        <f t="shared" si="109"/>
        <v>GARCIA GUTIERREZ FACUNDO</v>
      </c>
      <c r="AB380" s="325" t="s">
        <v>840</v>
      </c>
      <c r="AC380" s="325">
        <v>55</v>
      </c>
      <c r="AD380" s="325">
        <v>112013480</v>
      </c>
      <c r="AE380" s="799" t="str">
        <f t="shared" si="110"/>
        <v>G E N GANADERA</v>
      </c>
      <c r="AG380" s="323" t="s">
        <v>1277</v>
      </c>
      <c r="AH380" s="325">
        <v>62</v>
      </c>
      <c r="AI380" s="325">
        <v>112014053</v>
      </c>
      <c r="AJ380" s="424" t="str">
        <f t="shared" si="111"/>
        <v>ENRIQUE MARTIN AGUILERA</v>
      </c>
      <c r="AL380" s="325" t="s">
        <v>888</v>
      </c>
      <c r="AM380" s="325">
        <v>70</v>
      </c>
      <c r="AN380" s="325">
        <v>112013415</v>
      </c>
      <c r="AO380" s="799" t="e">
        <f t="shared" si="112"/>
        <v>#N/A</v>
      </c>
      <c r="AQ380" s="325" t="s">
        <v>1080</v>
      </c>
      <c r="AR380" s="325">
        <v>71</v>
      </c>
      <c r="AS380" s="325">
        <v>112012827</v>
      </c>
      <c r="AT380" s="799" t="str">
        <f t="shared" si="113"/>
        <v>DIMASI CRISTIAN HERNAN</v>
      </c>
      <c r="AW380" s="325" t="s">
        <v>1411</v>
      </c>
      <c r="AX380" s="325">
        <v>61</v>
      </c>
      <c r="AY380" s="325">
        <v>112011899</v>
      </c>
      <c r="AZ380" s="799" t="str">
        <f t="shared" si="114"/>
        <v>GONZALEZ ANALIA ADRIANA</v>
      </c>
      <c r="BE380" s="618"/>
      <c r="BF380" s="618"/>
    </row>
    <row r="381" spans="1:58" ht="13" hidden="1">
      <c r="A381" s="325" t="s">
        <v>801</v>
      </c>
      <c r="B381" s="325"/>
      <c r="C381" s="325">
        <v>112014405</v>
      </c>
      <c r="D381" s="799" t="str">
        <f t="shared" si="105"/>
        <v>ELICABE TOHA PATRICIA LUISA</v>
      </c>
      <c r="G381" s="323" t="s">
        <v>181</v>
      </c>
      <c r="H381" s="325">
        <v>71</v>
      </c>
      <c r="I381" s="325">
        <v>112012099</v>
      </c>
      <c r="J381" s="1393" t="str">
        <f t="shared" si="106"/>
        <v>BLANCO MARINA GRACIELA</v>
      </c>
      <c r="M381" s="323" t="s">
        <v>626</v>
      </c>
      <c r="N381" s="324">
        <v>70</v>
      </c>
      <c r="O381" s="325">
        <v>112013219</v>
      </c>
      <c r="P381" s="1455" t="str">
        <f t="shared" si="107"/>
        <v>DARRE ANDREA FABIANA</v>
      </c>
      <c r="R381" s="323" t="s">
        <v>287</v>
      </c>
      <c r="S381" s="324">
        <v>67</v>
      </c>
      <c r="T381" s="325">
        <v>112014149</v>
      </c>
      <c r="U381" s="1455" t="str">
        <f t="shared" si="108"/>
        <v>GHERSINICH FERNANDO EZEQUIEL</v>
      </c>
      <c r="W381" s="323" t="s">
        <v>462</v>
      </c>
      <c r="X381" s="324">
        <v>71</v>
      </c>
      <c r="Y381" s="325">
        <v>112011398</v>
      </c>
      <c r="Z381" s="1455" t="str">
        <f t="shared" si="109"/>
        <v>GARCIA LUIS FERNANDO CTA 2</v>
      </c>
      <c r="AB381" s="325" t="s">
        <v>925</v>
      </c>
      <c r="AC381" s="325">
        <v>61</v>
      </c>
      <c r="AD381" s="325">
        <v>112014205</v>
      </c>
      <c r="AE381" s="799" t="e">
        <f t="shared" si="110"/>
        <v>#N/A</v>
      </c>
      <c r="AG381" s="323" t="s">
        <v>1262</v>
      </c>
      <c r="AH381" s="325">
        <v>53</v>
      </c>
      <c r="AI381" s="325">
        <v>112014416</v>
      </c>
      <c r="AJ381" s="424" t="str">
        <f t="shared" si="111"/>
        <v>ERCOLI SERGIO NESTOR</v>
      </c>
      <c r="AL381" s="325" t="s">
        <v>1118</v>
      </c>
      <c r="AM381" s="325">
        <v>70</v>
      </c>
      <c r="AN381" s="325">
        <v>112014651</v>
      </c>
      <c r="AO381" s="799" t="e">
        <f t="shared" si="112"/>
        <v>#N/A</v>
      </c>
      <c r="AQ381" s="325" t="s">
        <v>1004</v>
      </c>
      <c r="AR381" s="325">
        <v>63</v>
      </c>
      <c r="AS381" s="325">
        <v>112014453</v>
      </c>
      <c r="AT381" s="799" t="str">
        <f t="shared" si="113"/>
        <v>EL PALENQUE S. CAP I SECC IV</v>
      </c>
      <c r="AW381" s="325" t="s">
        <v>1439</v>
      </c>
      <c r="AX381" s="325">
        <v>63</v>
      </c>
      <c r="AY381" s="325">
        <v>112013765</v>
      </c>
      <c r="AZ381" s="799" t="str">
        <f t="shared" si="114"/>
        <v>GONZALEZ MAURICIO DAMIAN</v>
      </c>
      <c r="BE381" s="618"/>
      <c r="BF381" s="618"/>
    </row>
    <row r="382" spans="1:58" ht="13" hidden="1">
      <c r="A382" s="325" t="s">
        <v>780</v>
      </c>
      <c r="B382" s="325">
        <v>71</v>
      </c>
      <c r="C382" s="325">
        <v>112013942</v>
      </c>
      <c r="D382" s="799" t="str">
        <f t="shared" si="105"/>
        <v>ERRO AZUL SOFIA</v>
      </c>
      <c r="G382" s="323" t="s">
        <v>182</v>
      </c>
      <c r="H382" s="325">
        <v>71</v>
      </c>
      <c r="I382" s="325">
        <v>112012192</v>
      </c>
      <c r="J382" s="1393" t="str">
        <f t="shared" si="106"/>
        <v>GONZALEZ TELMO ANA JULIA</v>
      </c>
      <c r="M382" s="323" t="s">
        <v>630</v>
      </c>
      <c r="N382" s="324">
        <v>70</v>
      </c>
      <c r="O382" s="325">
        <v>112013232</v>
      </c>
      <c r="P382" s="1455" t="str">
        <f t="shared" si="107"/>
        <v>DE FARIA OTILIA SOLEDAD</v>
      </c>
      <c r="R382" s="323" t="s">
        <v>324</v>
      </c>
      <c r="S382" s="324">
        <v>71</v>
      </c>
      <c r="T382" s="325">
        <v>112010675</v>
      </c>
      <c r="U382" s="1455" t="str">
        <f t="shared" si="108"/>
        <v>GHIGLIAZZA GUSTAVO</v>
      </c>
      <c r="W382" s="323" t="s">
        <v>395</v>
      </c>
      <c r="X382" s="324">
        <v>60</v>
      </c>
      <c r="Y382" s="325">
        <v>112013907</v>
      </c>
      <c r="Z382" s="1455" t="e">
        <f t="shared" si="109"/>
        <v>#N/A</v>
      </c>
      <c r="AB382" s="325" t="s">
        <v>858</v>
      </c>
      <c r="AC382" s="325">
        <v>62</v>
      </c>
      <c r="AD382" s="325">
        <v>112010010</v>
      </c>
      <c r="AE382" s="799" t="str">
        <f t="shared" si="110"/>
        <v>GATTI JORGE EDUARDO</v>
      </c>
      <c r="AG382" s="323" t="s">
        <v>1265</v>
      </c>
      <c r="AH382" s="325">
        <v>54</v>
      </c>
      <c r="AI382" s="325">
        <v>112013028</v>
      </c>
      <c r="AJ382" s="424" t="str">
        <f t="shared" si="111"/>
        <v>ESPINOSA MARIA INES</v>
      </c>
      <c r="AL382" s="325" t="s">
        <v>1241</v>
      </c>
      <c r="AM382" s="325">
        <v>70</v>
      </c>
      <c r="AN382" s="325">
        <v>112014096</v>
      </c>
      <c r="AO382" s="799" t="e">
        <f t="shared" si="112"/>
        <v>#N/A</v>
      </c>
      <c r="AQ382" s="325" t="s">
        <v>1075</v>
      </c>
      <c r="AR382" s="325">
        <v>71</v>
      </c>
      <c r="AS382" s="325">
        <v>112012304</v>
      </c>
      <c r="AT382" s="799" t="str">
        <f t="shared" si="113"/>
        <v>ELGUE LUCIA</v>
      </c>
      <c r="AW382" s="325" t="s">
        <v>1453</v>
      </c>
      <c r="AX382" s="325">
        <v>63</v>
      </c>
      <c r="AY382" s="325">
        <v>112013586</v>
      </c>
      <c r="AZ382" s="799" t="str">
        <f t="shared" si="114"/>
        <v>GRANERO AGUERO JESICA MARTINA</v>
      </c>
      <c r="BE382" s="618"/>
      <c r="BF382" s="618"/>
    </row>
    <row r="383" spans="1:58" ht="13" hidden="1">
      <c r="A383" s="325" t="s">
        <v>802</v>
      </c>
      <c r="B383" s="325"/>
      <c r="C383" s="325">
        <v>11201394201</v>
      </c>
      <c r="D383" s="799" t="str">
        <f t="shared" si="105"/>
        <v>ERRO AZUL SOFIA QUILMES</v>
      </c>
      <c r="G383" s="323" t="s">
        <v>148</v>
      </c>
      <c r="H383" s="325">
        <v>70</v>
      </c>
      <c r="I383" s="325">
        <v>112012193</v>
      </c>
      <c r="J383" s="1393" t="str">
        <f t="shared" si="106"/>
        <v>PETRELLI ROBERTO ALEJANDRO</v>
      </c>
      <c r="M383" s="323" t="s">
        <v>580</v>
      </c>
      <c r="N383" s="324">
        <v>70</v>
      </c>
      <c r="O383" s="325">
        <v>112014678</v>
      </c>
      <c r="P383" s="1455" t="str">
        <f t="shared" si="107"/>
        <v>DIAZ CYNTHIA SILVANA</v>
      </c>
      <c r="R383" s="323" t="s">
        <v>300</v>
      </c>
      <c r="S383" s="324">
        <v>70</v>
      </c>
      <c r="T383" s="325">
        <v>112013422</v>
      </c>
      <c r="U383" s="1455" t="str">
        <f t="shared" si="108"/>
        <v>GONZALEZ JOSE ROBERTO</v>
      </c>
      <c r="W383" s="323" t="s">
        <v>444</v>
      </c>
      <c r="X383" s="324">
        <v>61</v>
      </c>
      <c r="Y383" s="325">
        <v>112014721</v>
      </c>
      <c r="Z383" s="1455" t="str">
        <f t="shared" si="109"/>
        <v>GIMENEZ MARIA MILAGROS</v>
      </c>
      <c r="AB383" s="325" t="s">
        <v>982</v>
      </c>
      <c r="AC383" s="325"/>
      <c r="AD383" s="325">
        <v>112012164</v>
      </c>
      <c r="AE383" s="799" t="e">
        <f t="shared" si="110"/>
        <v>#N/A</v>
      </c>
      <c r="AG383" s="323" t="s">
        <v>1349</v>
      </c>
      <c r="AH383" s="325">
        <v>71</v>
      </c>
      <c r="AI383" s="325">
        <v>112012020</v>
      </c>
      <c r="AJ383" s="424" t="str">
        <f t="shared" si="111"/>
        <v>ETCHEVARNE DIEGO SEBASTIAN</v>
      </c>
      <c r="AL383" s="325" t="s">
        <v>1212</v>
      </c>
      <c r="AM383" s="325">
        <v>63</v>
      </c>
      <c r="AN383" s="325">
        <v>112012484</v>
      </c>
      <c r="AO383" s="799" t="e">
        <f t="shared" si="112"/>
        <v>#N/A</v>
      </c>
      <c r="AQ383" s="325" t="s">
        <v>1072</v>
      </c>
      <c r="AR383" s="325">
        <v>71</v>
      </c>
      <c r="AS383" s="325">
        <v>112011681</v>
      </c>
      <c r="AT383" s="799" t="str">
        <f t="shared" si="113"/>
        <v>ESCUDUN JUAN JOSE</v>
      </c>
      <c r="AW383" s="325" t="s">
        <v>1529</v>
      </c>
      <c r="AX383" s="325"/>
      <c r="AY383" s="325">
        <v>112014225</v>
      </c>
      <c r="AZ383" s="799" t="e">
        <f t="shared" si="114"/>
        <v>#N/A</v>
      </c>
      <c r="BE383" s="618"/>
      <c r="BF383" s="618"/>
    </row>
    <row r="384" spans="1:58" ht="13" hidden="1">
      <c r="A384" s="325" t="s">
        <v>750</v>
      </c>
      <c r="B384" s="325">
        <v>70</v>
      </c>
      <c r="C384" s="325">
        <v>112014752</v>
      </c>
      <c r="D384" s="799" t="str">
        <f t="shared" si="105"/>
        <v>ESCOBAR RIVERA ELSSY YERALDIN</v>
      </c>
      <c r="G384" s="323" t="s">
        <v>149</v>
      </c>
      <c r="H384" s="325">
        <v>70</v>
      </c>
      <c r="I384" s="325">
        <v>112012197</v>
      </c>
      <c r="J384" s="1393" t="str">
        <f t="shared" si="106"/>
        <v>MUZIO JUAN PABLO</v>
      </c>
      <c r="M384" s="323" t="s">
        <v>540</v>
      </c>
      <c r="N384" s="324">
        <v>63</v>
      </c>
      <c r="O384" s="325">
        <v>112012470</v>
      </c>
      <c r="P384" s="1455" t="str">
        <f t="shared" si="107"/>
        <v>DOBLER JAVIER ALEJANDRO</v>
      </c>
      <c r="R384" s="323" t="s">
        <v>272</v>
      </c>
      <c r="S384" s="324">
        <v>63</v>
      </c>
      <c r="T384" s="325">
        <v>112013274</v>
      </c>
      <c r="U384" s="1455" t="str">
        <f t="shared" si="108"/>
        <v>GUIDO ADALBERTO HORACIO</v>
      </c>
      <c r="W384" s="323" t="s">
        <v>430</v>
      </c>
      <c r="X384" s="324">
        <v>63</v>
      </c>
      <c r="Y384" s="325">
        <v>112011796</v>
      </c>
      <c r="Z384" s="1455" t="str">
        <f t="shared" si="109"/>
        <v>GOMEZ CARLOS FABIAN</v>
      </c>
      <c r="AB384" s="325" t="s">
        <v>855</v>
      </c>
      <c r="AC384" s="325">
        <v>61</v>
      </c>
      <c r="AD384" s="325">
        <v>112014081</v>
      </c>
      <c r="AE384" s="799" t="str">
        <f t="shared" si="110"/>
        <v>GOMEZ DAMIAN / GOMEZ TOMAS</v>
      </c>
      <c r="AG384" s="323" t="s">
        <v>1389</v>
      </c>
      <c r="AH384" s="325">
        <v>71</v>
      </c>
      <c r="AI384" s="325">
        <v>112013337</v>
      </c>
      <c r="AJ384" s="424" t="e">
        <f t="shared" si="111"/>
        <v>#N/A</v>
      </c>
      <c r="AL384" s="325" t="s">
        <v>866</v>
      </c>
      <c r="AM384" s="325">
        <v>63</v>
      </c>
      <c r="AN384" s="325">
        <v>112012301</v>
      </c>
      <c r="AO384" s="799" t="e">
        <f t="shared" si="112"/>
        <v>#N/A</v>
      </c>
      <c r="AQ384" s="325" t="s">
        <v>1052</v>
      </c>
      <c r="AR384" s="325">
        <v>71</v>
      </c>
      <c r="AS384" s="325">
        <v>112013648</v>
      </c>
      <c r="AT384" s="799" t="str">
        <f t="shared" si="113"/>
        <v>ESTANCIAS EL PORVENIR S.A.</v>
      </c>
      <c r="AW384" s="325" t="s">
        <v>1408</v>
      </c>
      <c r="AX384" s="325">
        <v>62</v>
      </c>
      <c r="AY384" s="325">
        <v>112013226</v>
      </c>
      <c r="AZ384" s="799" t="str">
        <f t="shared" si="114"/>
        <v>GUERRA ANDREA</v>
      </c>
      <c r="BE384" s="618"/>
      <c r="BF384" s="618"/>
    </row>
    <row r="385" spans="1:58" ht="13" hidden="1">
      <c r="A385" s="325" t="s">
        <v>751</v>
      </c>
      <c r="B385" s="325">
        <v>70</v>
      </c>
      <c r="C385" s="325">
        <v>112014474</v>
      </c>
      <c r="D385" s="799" t="str">
        <f t="shared" si="105"/>
        <v>ESTEFANIA JULIETA SANCHEZ</v>
      </c>
      <c r="G385" s="323" t="s">
        <v>150</v>
      </c>
      <c r="H385" s="325">
        <v>70</v>
      </c>
      <c r="I385" s="325">
        <v>112012198</v>
      </c>
      <c r="J385" s="1393" t="str">
        <f t="shared" si="106"/>
        <v>CUEVAS VICTORIA</v>
      </c>
      <c r="M385" s="323" t="s">
        <v>527</v>
      </c>
      <c r="N385" s="324">
        <v>62</v>
      </c>
      <c r="O385" s="325">
        <v>112014210</v>
      </c>
      <c r="P385" s="1455" t="str">
        <f t="shared" si="107"/>
        <v>DOMINGUEZ NATALIA ROMINA</v>
      </c>
      <c r="R385" s="323" t="s">
        <v>363</v>
      </c>
      <c r="S385" s="324">
        <v>70</v>
      </c>
      <c r="T385" s="325">
        <v>112014662</v>
      </c>
      <c r="U385" s="1455" t="e">
        <f t="shared" si="108"/>
        <v>#N/A</v>
      </c>
      <c r="W385" s="323" t="s">
        <v>408</v>
      </c>
      <c r="X385" s="324">
        <v>62</v>
      </c>
      <c r="Y385" s="325">
        <v>112014103</v>
      </c>
      <c r="Z385" s="1455" t="str">
        <f t="shared" si="109"/>
        <v>GOROSITO ADELINA GAUDENCIA</v>
      </c>
      <c r="AB385" s="325" t="s">
        <v>867</v>
      </c>
      <c r="AC385" s="325">
        <v>62</v>
      </c>
      <c r="AD385" s="325">
        <v>112014706</v>
      </c>
      <c r="AE385" s="799" t="str">
        <f t="shared" si="110"/>
        <v>GRACIELA MATILDE VACCARO</v>
      </c>
      <c r="AG385" s="323" t="s">
        <v>1268</v>
      </c>
      <c r="AH385" s="325">
        <v>55</v>
      </c>
      <c r="AI385" s="325">
        <v>112013507</v>
      </c>
      <c r="AJ385" s="424" t="str">
        <f t="shared" si="111"/>
        <v>FEDERICO JOSE MARIA</v>
      </c>
      <c r="AL385" s="325" t="s">
        <v>1137</v>
      </c>
      <c r="AM385" s="325">
        <v>63</v>
      </c>
      <c r="AN385" s="325">
        <v>112012187</v>
      </c>
      <c r="AO385" s="799" t="str">
        <f t="shared" si="112"/>
        <v>GATTI CARINA</v>
      </c>
      <c r="AQ385" s="325" t="s">
        <v>1053</v>
      </c>
      <c r="AR385" s="325">
        <v>71</v>
      </c>
      <c r="AS385" s="325">
        <v>112014688</v>
      </c>
      <c r="AT385" s="799" t="str">
        <f t="shared" si="113"/>
        <v>FARACO MATIAS</v>
      </c>
      <c r="AW385" s="325" t="s">
        <v>1454</v>
      </c>
      <c r="AX385" s="325">
        <v>63</v>
      </c>
      <c r="AY385" s="325">
        <v>112014567</v>
      </c>
      <c r="AZ385" s="799" t="str">
        <f t="shared" si="114"/>
        <v>HENNIG MILTON HUGO</v>
      </c>
      <c r="BE385" s="618"/>
      <c r="BF385" s="618"/>
    </row>
    <row r="386" spans="1:58" ht="13" hidden="1">
      <c r="A386" s="325" t="s">
        <v>752</v>
      </c>
      <c r="B386" s="325">
        <v>70</v>
      </c>
      <c r="C386" s="325">
        <v>112013839</v>
      </c>
      <c r="D386" s="799" t="str">
        <f t="shared" si="105"/>
        <v>ESTEVEZ LEONARDO JAVIER</v>
      </c>
      <c r="G386" s="323" t="s">
        <v>151</v>
      </c>
      <c r="H386" s="325">
        <v>70</v>
      </c>
      <c r="I386" s="325">
        <v>112012199</v>
      </c>
      <c r="J386" s="1393" t="str">
        <f t="shared" si="106"/>
        <v>BUONOPANE ANGEL EZEQUIEL</v>
      </c>
      <c r="M386" s="323" t="s">
        <v>560</v>
      </c>
      <c r="N386" s="324">
        <v>69</v>
      </c>
      <c r="O386" s="325">
        <v>112014472</v>
      </c>
      <c r="P386" s="1455" t="str">
        <f t="shared" si="107"/>
        <v>DONADIO JUAN PABLO</v>
      </c>
      <c r="R386" s="323" t="s">
        <v>282</v>
      </c>
      <c r="S386" s="324">
        <v>63</v>
      </c>
      <c r="T386" s="325">
        <v>112014701</v>
      </c>
      <c r="U386" s="1455" t="str">
        <f t="shared" si="108"/>
        <v>GUTIERREZ ELASKAR FRANCISCP/MARIA EMILIA</v>
      </c>
      <c r="W386" s="323" t="s">
        <v>391</v>
      </c>
      <c r="X386" s="324">
        <v>58</v>
      </c>
      <c r="Y386" s="325">
        <v>112013105</v>
      </c>
      <c r="Z386" s="1455" t="str">
        <f t="shared" si="109"/>
        <v>GRUPO R &amp; R SAS</v>
      </c>
      <c r="AB386" s="325" t="s">
        <v>897</v>
      </c>
      <c r="AC386" s="325"/>
      <c r="AD386" s="325">
        <v>112014049</v>
      </c>
      <c r="AE386" s="799" t="str">
        <f t="shared" si="110"/>
        <v>GROBA HORACIO ROSENDO</v>
      </c>
      <c r="AG386" s="323" t="s">
        <v>1294</v>
      </c>
      <c r="AH386" s="325">
        <v>63</v>
      </c>
      <c r="AI386" s="325">
        <v>112014013</v>
      </c>
      <c r="AJ386" s="424" t="str">
        <f t="shared" si="111"/>
        <v>FLORES FEDERICO MIGUEL</v>
      </c>
      <c r="AL386" s="325" t="s">
        <v>1242</v>
      </c>
      <c r="AM386" s="325">
        <v>70</v>
      </c>
      <c r="AN386" s="325">
        <v>112014212</v>
      </c>
      <c r="AO386" s="799" t="e">
        <f t="shared" si="112"/>
        <v>#N/A</v>
      </c>
      <c r="AQ386" s="325" t="s">
        <v>1011</v>
      </c>
      <c r="AR386" s="325">
        <v>62</v>
      </c>
      <c r="AS386" s="325">
        <v>112012450</v>
      </c>
      <c r="AT386" s="799" t="str">
        <f t="shared" si="113"/>
        <v>FERNANDEZ SILVANA MARINA</v>
      </c>
      <c r="AW386" s="325" t="s">
        <v>1440</v>
      </c>
      <c r="AX386" s="325">
        <v>63</v>
      </c>
      <c r="AY386" s="325">
        <v>112013343</v>
      </c>
      <c r="AZ386" s="799" t="e">
        <f t="shared" si="114"/>
        <v>#N/A</v>
      </c>
      <c r="BE386" s="618"/>
      <c r="BF386" s="618"/>
    </row>
    <row r="387" spans="1:58" ht="13" hidden="1">
      <c r="A387" s="325" t="s">
        <v>727</v>
      </c>
      <c r="B387" s="325">
        <v>69</v>
      </c>
      <c r="C387" s="325">
        <v>112013377</v>
      </c>
      <c r="D387" s="799" t="str">
        <f t="shared" si="105"/>
        <v>ETCHART GLADYS MABEL</v>
      </c>
      <c r="G387" s="323" t="s">
        <v>70</v>
      </c>
      <c r="H387" s="325">
        <v>55</v>
      </c>
      <c r="I387" s="325">
        <v>112012200</v>
      </c>
      <c r="J387" s="1393" t="str">
        <f t="shared" si="106"/>
        <v>FLORENTIN JUAN CARLOS</v>
      </c>
      <c r="M387" s="323" t="s">
        <v>665</v>
      </c>
      <c r="N387" s="324"/>
      <c r="O387" s="325">
        <v>112011938</v>
      </c>
      <c r="P387" s="1455" t="str">
        <f t="shared" si="107"/>
        <v>ELSO CARLOS JAVIER</v>
      </c>
      <c r="R387" s="323" t="s">
        <v>325</v>
      </c>
      <c r="S387" s="324">
        <v>71</v>
      </c>
      <c r="T387" s="325">
        <v>112011827</v>
      </c>
      <c r="U387" s="1455" t="str">
        <f t="shared" si="108"/>
        <v>IBARGUENGOITIA GERMAN</v>
      </c>
      <c r="W387" s="323" t="s">
        <v>380</v>
      </c>
      <c r="X387" s="324">
        <v>53</v>
      </c>
      <c r="Y387" s="325">
        <v>112012965</v>
      </c>
      <c r="Z387" s="1455" t="str">
        <f t="shared" si="109"/>
        <v>GUARINIELLO CRISTIAN GASTON</v>
      </c>
      <c r="AB387" s="325" t="s">
        <v>838</v>
      </c>
      <c r="AC387" s="325">
        <v>53</v>
      </c>
      <c r="AD387" s="325">
        <v>11201231501</v>
      </c>
      <c r="AE387" s="799" t="str">
        <f t="shared" si="110"/>
        <v>GRUPO BAGUAL/BORREGO HERNAN</v>
      </c>
      <c r="AG387" s="323" t="s">
        <v>1353</v>
      </c>
      <c r="AH387" s="325">
        <v>71</v>
      </c>
      <c r="AI387" s="325">
        <v>112014130</v>
      </c>
      <c r="AJ387" s="424" t="str">
        <f t="shared" si="111"/>
        <v>FORTASSINI LUC/MENDOZA  MARCE</v>
      </c>
      <c r="AL387" s="325" t="s">
        <v>1132</v>
      </c>
      <c r="AM387" s="325">
        <v>54</v>
      </c>
      <c r="AN387" s="325">
        <v>112013647</v>
      </c>
      <c r="AO387" s="799" t="str">
        <f t="shared" si="112"/>
        <v>GONZALES J.GABRIEL/CARRIQUIRIBORDE</v>
      </c>
      <c r="AQ387" s="325" t="s">
        <v>1084</v>
      </c>
      <c r="AR387" s="325">
        <v>71</v>
      </c>
      <c r="AS387" s="325">
        <v>112013791</v>
      </c>
      <c r="AT387" s="799" t="str">
        <f t="shared" si="113"/>
        <v>FRANCINI JUAN GASTON</v>
      </c>
      <c r="AW387" s="325" t="s">
        <v>1401</v>
      </c>
      <c r="AX387" s="325">
        <v>55</v>
      </c>
      <c r="AY387" s="325">
        <v>112013512</v>
      </c>
      <c r="AZ387" s="799" t="str">
        <f t="shared" si="114"/>
        <v>IRAZOQUI JUAN CARLOS</v>
      </c>
      <c r="BE387" s="618"/>
      <c r="BF387" s="618"/>
    </row>
    <row r="388" spans="1:58" ht="13" hidden="1">
      <c r="A388" s="325" t="s">
        <v>738</v>
      </c>
      <c r="B388" s="325">
        <v>71</v>
      </c>
      <c r="C388" s="325">
        <v>112013046</v>
      </c>
      <c r="D388" s="799" t="str">
        <f t="shared" si="105"/>
        <v>FERNANDEZ MARIO AGUSTIN</v>
      </c>
      <c r="G388" s="323" t="s">
        <v>183</v>
      </c>
      <c r="H388" s="325">
        <v>71</v>
      </c>
      <c r="I388" s="325">
        <v>112012223</v>
      </c>
      <c r="J388" s="1393" t="str">
        <f t="shared" si="106"/>
        <v>VETERINARIA BAVIO SOLANO S.A</v>
      </c>
      <c r="M388" s="323" t="s">
        <v>541</v>
      </c>
      <c r="N388" s="324">
        <v>63</v>
      </c>
      <c r="O388" s="325">
        <v>112012514</v>
      </c>
      <c r="P388" s="1455" t="str">
        <f t="shared" si="107"/>
        <v>ELSO JOSE GONZALO</v>
      </c>
      <c r="R388" s="323" t="s">
        <v>326</v>
      </c>
      <c r="S388" s="324">
        <v>71</v>
      </c>
      <c r="T388" s="325">
        <v>112012077</v>
      </c>
      <c r="U388" s="1455" t="str">
        <f t="shared" si="108"/>
        <v>INOSTROZA ANDRES RAMON</v>
      </c>
      <c r="W388" s="323" t="s">
        <v>409</v>
      </c>
      <c r="X388" s="324">
        <v>62</v>
      </c>
      <c r="Y388" s="325">
        <v>112014364</v>
      </c>
      <c r="Z388" s="1455" t="str">
        <f t="shared" si="109"/>
        <v>GUTIERREZ MARIA DEL PILAR</v>
      </c>
      <c r="AB388" s="325" t="s">
        <v>945</v>
      </c>
      <c r="AC388" s="325">
        <v>71</v>
      </c>
      <c r="AD388" s="325">
        <v>112014691</v>
      </c>
      <c r="AE388" s="799" t="e">
        <f t="shared" si="110"/>
        <v>#N/A</v>
      </c>
      <c r="AG388" s="323" t="s">
        <v>1360</v>
      </c>
      <c r="AH388" s="325">
        <v>71</v>
      </c>
      <c r="AI388" s="325">
        <v>112013055</v>
      </c>
      <c r="AJ388" s="424" t="str">
        <f t="shared" si="111"/>
        <v>FRANCO HECTOR HUGO Y FRANCO DAVID HERNAN SOC. DE HECHO</v>
      </c>
      <c r="AL388" s="325" t="s">
        <v>1233</v>
      </c>
      <c r="AM388" s="325">
        <v>71</v>
      </c>
      <c r="AN388" s="325">
        <v>112012606</v>
      </c>
      <c r="AO388" s="799" t="e">
        <f t="shared" si="112"/>
        <v>#N/A</v>
      </c>
      <c r="AQ388" s="325" t="s">
        <v>999</v>
      </c>
      <c r="AR388" s="325">
        <v>55</v>
      </c>
      <c r="AS388" s="325">
        <v>112014480</v>
      </c>
      <c r="AT388" s="799" t="str">
        <f t="shared" si="113"/>
        <v>GARCES HERMANOS S. CAP I</v>
      </c>
      <c r="AW388" s="325" t="s">
        <v>1424</v>
      </c>
      <c r="AX388" s="325">
        <v>63</v>
      </c>
      <c r="AY388" s="325">
        <v>112014493</v>
      </c>
      <c r="AZ388" s="799" t="str">
        <f t="shared" si="114"/>
        <v>JESUS DAMIAN TURSI</v>
      </c>
      <c r="BE388" s="618"/>
      <c r="BF388" s="618"/>
    </row>
    <row r="389" spans="1:58" ht="13" hidden="1">
      <c r="A389" s="325" t="s">
        <v>755</v>
      </c>
      <c r="B389" s="325">
        <v>70</v>
      </c>
      <c r="C389" s="325">
        <v>112014751</v>
      </c>
      <c r="D389" s="799" t="str">
        <f t="shared" si="105"/>
        <v>FERNANDEZ SILVIA ALEJANDRA</v>
      </c>
      <c r="G389" s="323" t="s">
        <v>169</v>
      </c>
      <c r="H389" s="325">
        <v>70</v>
      </c>
      <c r="I389" s="325">
        <v>112012226</v>
      </c>
      <c r="J389" s="1393" t="str">
        <f t="shared" si="106"/>
        <v>FERRARAZZO MARIA LAURA</v>
      </c>
      <c r="M389" s="323" t="s">
        <v>610</v>
      </c>
      <c r="N389" s="324">
        <v>71</v>
      </c>
      <c r="O389" s="325">
        <v>112013568</v>
      </c>
      <c r="P389" s="1455" t="str">
        <f t="shared" si="107"/>
        <v>ESTEVEZ MARIA DOLORES</v>
      </c>
      <c r="R389" s="323" t="s">
        <v>301</v>
      </c>
      <c r="S389" s="324">
        <v>70</v>
      </c>
      <c r="T389" s="325">
        <v>112013107</v>
      </c>
      <c r="U389" s="1455" t="str">
        <f t="shared" si="108"/>
        <v>JARA JUAN EDUARDO</v>
      </c>
      <c r="W389" s="323" t="s">
        <v>389</v>
      </c>
      <c r="X389" s="324">
        <v>57</v>
      </c>
      <c r="Y389" s="325">
        <v>112014548</v>
      </c>
      <c r="Z389" s="1455" t="str">
        <f t="shared" si="109"/>
        <v>HERNAN DARIO MEDIN</v>
      </c>
      <c r="AB389" s="325" t="s">
        <v>849</v>
      </c>
      <c r="AC389" s="325">
        <v>62</v>
      </c>
      <c r="AD389" s="325">
        <v>112013166</v>
      </c>
      <c r="AE389" s="799" t="str">
        <f t="shared" si="110"/>
        <v>IÑIGUEZ DIEGO RUBEN/SPOSETTI TORGUET</v>
      </c>
      <c r="AG389" s="323" t="s">
        <v>1295</v>
      </c>
      <c r="AH389" s="325">
        <v>63</v>
      </c>
      <c r="AI389" s="325">
        <v>112011689</v>
      </c>
      <c r="AJ389" s="424" t="str">
        <f t="shared" si="111"/>
        <v>FRONZA CLAUDIO MARCELO</v>
      </c>
      <c r="AL389" s="325" t="s">
        <v>1148</v>
      </c>
      <c r="AM389" s="325">
        <v>70</v>
      </c>
      <c r="AN389" s="325">
        <v>112014197</v>
      </c>
      <c r="AO389" s="799" t="str">
        <f t="shared" si="112"/>
        <v>GONZALEZ KARINA ALEJANDRA</v>
      </c>
      <c r="AQ389" s="325" t="s">
        <v>1010</v>
      </c>
      <c r="AR389" s="325">
        <v>62</v>
      </c>
      <c r="AS389" s="325">
        <v>112012574</v>
      </c>
      <c r="AT389" s="799" t="str">
        <f t="shared" si="113"/>
        <v>GARCIA ELIZ/SANCHEZ MARIA CECILIA</v>
      </c>
      <c r="AW389" s="325" t="s">
        <v>1455</v>
      </c>
      <c r="AX389" s="325">
        <v>63</v>
      </c>
      <c r="AY389" s="325">
        <v>112014636</v>
      </c>
      <c r="AZ389" s="799" t="str">
        <f t="shared" si="114"/>
        <v>JONES CAMILA GERALDINE</v>
      </c>
      <c r="BE389" s="618"/>
      <c r="BF389" s="618"/>
    </row>
    <row r="390" spans="1:58" ht="13" hidden="1">
      <c r="A390" s="325" t="s">
        <v>702</v>
      </c>
      <c r="B390" s="325">
        <v>62</v>
      </c>
      <c r="C390" s="325">
        <v>112013734</v>
      </c>
      <c r="D390" s="799" t="str">
        <f t="shared" si="105"/>
        <v>FOOD MASCOTAS LANUS S. R. L.</v>
      </c>
      <c r="G390" s="323" t="s">
        <v>76</v>
      </c>
      <c r="H390" s="325">
        <v>61</v>
      </c>
      <c r="I390" s="325">
        <v>112012229</v>
      </c>
      <c r="J390" s="1393" t="str">
        <f t="shared" si="106"/>
        <v>NARVARTE ERIC</v>
      </c>
      <c r="M390" s="323" t="s">
        <v>611</v>
      </c>
      <c r="N390" s="324">
        <v>71</v>
      </c>
      <c r="O390" s="325">
        <v>112013887</v>
      </c>
      <c r="P390" s="1455" t="str">
        <f t="shared" si="107"/>
        <v>ESTOL SOLANA</v>
      </c>
      <c r="R390" s="323" t="s">
        <v>309</v>
      </c>
      <c r="S390" s="324">
        <v>71</v>
      </c>
      <c r="T390" s="325">
        <v>112014435</v>
      </c>
      <c r="U390" s="1455" t="str">
        <f t="shared" si="108"/>
        <v>JOSE MARIA SHINZATO</v>
      </c>
      <c r="W390" s="323" t="s">
        <v>459</v>
      </c>
      <c r="X390" s="324">
        <v>71</v>
      </c>
      <c r="Y390" s="325">
        <v>112010914</v>
      </c>
      <c r="Z390" s="1455" t="str">
        <f t="shared" si="109"/>
        <v>IZQUIERDO JULIA MARTA</v>
      </c>
      <c r="AB390" s="325" t="s">
        <v>895</v>
      </c>
      <c r="AC390" s="325">
        <v>71</v>
      </c>
      <c r="AD390" s="325">
        <v>112010028</v>
      </c>
      <c r="AE390" s="799" t="str">
        <f t="shared" si="110"/>
        <v>IRIARTE CARLOS MANUEL</v>
      </c>
      <c r="AG390" s="323" t="s">
        <v>1361</v>
      </c>
      <c r="AH390" s="325">
        <v>71</v>
      </c>
      <c r="AI390" s="325">
        <v>112011563</v>
      </c>
      <c r="AJ390" s="424" t="str">
        <f t="shared" si="111"/>
        <v>GARCIA ALEJANDRO RAUL</v>
      </c>
      <c r="AL390" s="325" t="s">
        <v>1160</v>
      </c>
      <c r="AM390" s="325">
        <v>70</v>
      </c>
      <c r="AN390" s="325">
        <v>112012600</v>
      </c>
      <c r="AO390" s="799" t="e">
        <f t="shared" si="112"/>
        <v>#N/A</v>
      </c>
      <c r="AQ390" s="325" t="s">
        <v>1007</v>
      </c>
      <c r="AR390" s="325">
        <v>62</v>
      </c>
      <c r="AS390" s="325">
        <v>112014461</v>
      </c>
      <c r="AT390" s="799" t="str">
        <f t="shared" si="113"/>
        <v>GARCÍA NIC/ AGUILAR MARIA</v>
      </c>
      <c r="AW390" s="325" t="s">
        <v>1412</v>
      </c>
      <c r="AX390" s="325">
        <v>61</v>
      </c>
      <c r="AY390" s="325">
        <v>112014450</v>
      </c>
      <c r="AZ390" s="799" t="str">
        <f t="shared" si="114"/>
        <v>JULIA ISABEL MARTINEZ TARRAGO</v>
      </c>
      <c r="BE390" s="618"/>
      <c r="BF390" s="618"/>
    </row>
    <row r="391" spans="1:58" ht="13" hidden="1">
      <c r="A391" s="325" t="s">
        <v>695</v>
      </c>
      <c r="B391" s="325">
        <v>57</v>
      </c>
      <c r="C391" s="325">
        <v>112014134</v>
      </c>
      <c r="D391" s="799" t="e">
        <f t="shared" si="105"/>
        <v>#N/A</v>
      </c>
      <c r="G391" s="323" t="s">
        <v>152</v>
      </c>
      <c r="H391" s="325">
        <v>70</v>
      </c>
      <c r="I391" s="325">
        <v>112012238</v>
      </c>
      <c r="J391" s="1393" t="str">
        <f t="shared" si="106"/>
        <v>MICHELIN FERNANDO SERGIO</v>
      </c>
      <c r="M391" s="323" t="s">
        <v>624</v>
      </c>
      <c r="N391" s="324">
        <v>69</v>
      </c>
      <c r="O391" s="325">
        <v>112014573</v>
      </c>
      <c r="P391" s="1455" t="str">
        <f t="shared" si="107"/>
        <v>FAMILIA PETS S.R.L.</v>
      </c>
      <c r="R391" s="323" t="s">
        <v>284</v>
      </c>
      <c r="S391" s="324">
        <v>66</v>
      </c>
      <c r="T391" s="325">
        <v>112014421</v>
      </c>
      <c r="U391" s="1455" t="str">
        <f t="shared" si="108"/>
        <v>JULIETA VALERIA SALDUNGARAY</v>
      </c>
      <c r="W391" s="323" t="s">
        <v>431</v>
      </c>
      <c r="X391" s="324">
        <v>63</v>
      </c>
      <c r="Y391" s="325">
        <v>112011833</v>
      </c>
      <c r="Z391" s="1455" t="e">
        <f t="shared" si="109"/>
        <v>#N/A</v>
      </c>
      <c r="AB391" s="325" t="s">
        <v>950</v>
      </c>
      <c r="AC391" s="325">
        <v>70</v>
      </c>
      <c r="AD391" s="325">
        <v>112014078</v>
      </c>
      <c r="AE391" s="799" t="e">
        <f t="shared" si="110"/>
        <v>#N/A</v>
      </c>
      <c r="AG391" s="323" t="s">
        <v>1337</v>
      </c>
      <c r="AH391" s="325">
        <v>71</v>
      </c>
      <c r="AI391" s="325">
        <v>112013167</v>
      </c>
      <c r="AJ391" s="424" t="str">
        <f t="shared" si="111"/>
        <v>GOIN MARTIN EMILIO</v>
      </c>
      <c r="AL391" s="325" t="s">
        <v>1152</v>
      </c>
      <c r="AM391" s="325">
        <v>70</v>
      </c>
      <c r="AN391" s="325">
        <v>112014757</v>
      </c>
      <c r="AO391" s="799" t="str">
        <f t="shared" si="112"/>
        <v>GUZMAN CARLOS ALBERTO</v>
      </c>
      <c r="AQ391" s="325" t="s">
        <v>842</v>
      </c>
      <c r="AR391" s="325">
        <v>53</v>
      </c>
      <c r="AS391" s="325">
        <v>112013957</v>
      </c>
      <c r="AT391" s="799" t="e">
        <f t="shared" si="113"/>
        <v>#N/A</v>
      </c>
      <c r="AW391" s="325" t="s">
        <v>1418</v>
      </c>
      <c r="AX391" s="325">
        <v>62</v>
      </c>
      <c r="AY391" s="325">
        <v>112014566</v>
      </c>
      <c r="AZ391" s="799" t="str">
        <f t="shared" si="114"/>
        <v>JULIETA RODRIGUEZ</v>
      </c>
      <c r="BE391" s="618"/>
      <c r="BF391" s="618"/>
    </row>
    <row r="392" spans="1:58" ht="13" hidden="1">
      <c r="A392" s="325" t="s">
        <v>753</v>
      </c>
      <c r="B392" s="325">
        <v>70</v>
      </c>
      <c r="C392" s="325">
        <v>112013630</v>
      </c>
      <c r="D392" s="799" t="str">
        <f t="shared" si="105"/>
        <v>GIORDANO MARTINEZ/ GIORDANO TOBIAS</v>
      </c>
      <c r="G392" s="323" t="s">
        <v>118</v>
      </c>
      <c r="H392" s="325">
        <v>70</v>
      </c>
      <c r="I392" s="325">
        <v>112012260</v>
      </c>
      <c r="J392" s="1393" t="e">
        <f t="shared" si="106"/>
        <v>#N/A</v>
      </c>
      <c r="M392" s="323" t="s">
        <v>561</v>
      </c>
      <c r="N392" s="324">
        <v>69</v>
      </c>
      <c r="O392" s="325">
        <v>112014136</v>
      </c>
      <c r="P392" s="1455" t="str">
        <f t="shared" si="107"/>
        <v>FARIA ANTONIO</v>
      </c>
      <c r="R392" s="323" t="s">
        <v>327</v>
      </c>
      <c r="S392" s="324">
        <v>71</v>
      </c>
      <c r="T392" s="325">
        <v>112013109</v>
      </c>
      <c r="U392" s="1455" t="str">
        <f t="shared" si="108"/>
        <v>LANUS EDUARDO MARIA</v>
      </c>
      <c r="W392" s="323" t="s">
        <v>410</v>
      </c>
      <c r="X392" s="324">
        <v>62</v>
      </c>
      <c r="Y392" s="325">
        <v>112011890</v>
      </c>
      <c r="Z392" s="1455" t="str">
        <f t="shared" si="109"/>
        <v>LAGOSTENA CAROLINA</v>
      </c>
      <c r="AB392" s="325" t="s">
        <v>968</v>
      </c>
      <c r="AC392" s="325">
        <v>70</v>
      </c>
      <c r="AD392" s="325">
        <v>112014625</v>
      </c>
      <c r="AE392" s="799" t="e">
        <f t="shared" si="110"/>
        <v>#N/A</v>
      </c>
      <c r="AG392" s="323" t="s">
        <v>1316</v>
      </c>
      <c r="AH392" s="325">
        <v>63</v>
      </c>
      <c r="AI392" s="325">
        <v>112011934</v>
      </c>
      <c r="AJ392" s="424" t="str">
        <f t="shared" si="111"/>
        <v>GOMEZ GUSTAVO ALBERTO</v>
      </c>
      <c r="AL392" s="325" t="s">
        <v>1149</v>
      </c>
      <c r="AM392" s="325">
        <v>70</v>
      </c>
      <c r="AN392" s="325">
        <v>112014214</v>
      </c>
      <c r="AO392" s="799" t="str">
        <f t="shared" si="112"/>
        <v>IBAÑEZ GASTON LEONARDO</v>
      </c>
      <c r="AQ392" s="325" t="s">
        <v>843</v>
      </c>
      <c r="AR392" s="325">
        <v>53</v>
      </c>
      <c r="AS392" s="325">
        <v>112014403</v>
      </c>
      <c r="AT392" s="799" t="e">
        <f t="shared" si="113"/>
        <v>#N/A</v>
      </c>
      <c r="AW392" s="325" t="s">
        <v>1472</v>
      </c>
      <c r="AX392" s="325">
        <v>67</v>
      </c>
      <c r="AY392" s="325">
        <v>112014644</v>
      </c>
      <c r="AZ392" s="799" t="str">
        <f t="shared" si="114"/>
        <v>KARINA TOME</v>
      </c>
      <c r="BE392" s="618"/>
      <c r="BF392" s="618"/>
    </row>
    <row r="393" spans="1:58" ht="13" hidden="1">
      <c r="A393" s="325" t="s">
        <v>756</v>
      </c>
      <c r="B393" s="325">
        <v>69</v>
      </c>
      <c r="C393" s="325">
        <v>112013297</v>
      </c>
      <c r="D393" s="799" t="str">
        <f t="shared" si="105"/>
        <v>GOMEZ JOSE ANTONIO</v>
      </c>
      <c r="G393" s="323" t="s">
        <v>184</v>
      </c>
      <c r="H393" s="325">
        <v>71</v>
      </c>
      <c r="I393" s="325">
        <v>112012274</v>
      </c>
      <c r="J393" s="1393" t="str">
        <f t="shared" si="106"/>
        <v>ANDREOLI FABIAN RODOLFO</v>
      </c>
      <c r="M393" s="323" t="s">
        <v>581</v>
      </c>
      <c r="N393" s="324">
        <v>70</v>
      </c>
      <c r="O393" s="325">
        <v>112014373</v>
      </c>
      <c r="P393" s="1455" t="str">
        <f t="shared" si="107"/>
        <v>FARMACIA SANTA CATALINA SRL</v>
      </c>
      <c r="R393" s="323" t="s">
        <v>302</v>
      </c>
      <c r="S393" s="324">
        <v>70</v>
      </c>
      <c r="T393" s="325">
        <v>112013559</v>
      </c>
      <c r="U393" s="1455" t="str">
        <f t="shared" si="108"/>
        <v>LANUS IGNACIO</v>
      </c>
      <c r="W393" s="323" t="s">
        <v>432</v>
      </c>
      <c r="X393" s="324">
        <v>63</v>
      </c>
      <c r="Y393" s="325">
        <v>112012457</v>
      </c>
      <c r="Z393" s="1455" t="str">
        <f t="shared" si="109"/>
        <v>LARA CARLOS TOMAS</v>
      </c>
      <c r="AB393" s="325" t="s">
        <v>892</v>
      </c>
      <c r="AC393" s="325">
        <v>70</v>
      </c>
      <c r="AD393" s="325">
        <v>112014475</v>
      </c>
      <c r="AE393" s="799" t="str">
        <f t="shared" si="110"/>
        <v>JUAN BAUTISTA DIAZ</v>
      </c>
      <c r="AG393" s="323" t="s">
        <v>1315</v>
      </c>
      <c r="AH393" s="325">
        <v>63</v>
      </c>
      <c r="AI393" s="325">
        <v>112014035</v>
      </c>
      <c r="AJ393" s="424" t="str">
        <f t="shared" si="111"/>
        <v>GOMEZ JAVIER/NICOSIA CLAUDIO</v>
      </c>
      <c r="AL393" s="325" t="s">
        <v>1206</v>
      </c>
      <c r="AM393" s="325">
        <v>71</v>
      </c>
      <c r="AN393" s="325">
        <v>112013639</v>
      </c>
      <c r="AO393" s="799" t="e">
        <f t="shared" si="112"/>
        <v>#N/A</v>
      </c>
      <c r="AQ393" s="325" t="s">
        <v>1019</v>
      </c>
      <c r="AR393" s="325">
        <v>63</v>
      </c>
      <c r="AS393" s="325">
        <v>112013474</v>
      </c>
      <c r="AT393" s="799" t="str">
        <f t="shared" si="113"/>
        <v>GASALI GONZALEZ AGUSTINA MERCEDES</v>
      </c>
      <c r="AW393" s="325" t="s">
        <v>1423</v>
      </c>
      <c r="AX393" s="325">
        <v>62</v>
      </c>
      <c r="AY393" s="325">
        <v>112013331</v>
      </c>
      <c r="AZ393" s="799" t="str">
        <f t="shared" si="114"/>
        <v>KENNY RUPERTO ENRIQUE</v>
      </c>
      <c r="BE393" s="618"/>
      <c r="BF393" s="618"/>
    </row>
    <row r="394" spans="1:58" ht="13" hidden="1">
      <c r="A394" s="325" t="s">
        <v>781</v>
      </c>
      <c r="B394" s="325">
        <v>71</v>
      </c>
      <c r="C394" s="325">
        <v>112010867</v>
      </c>
      <c r="D394" s="799" t="str">
        <f t="shared" si="105"/>
        <v>GROSSANO ANDREA NOEMI</v>
      </c>
      <c r="G394" s="323" t="s">
        <v>185</v>
      </c>
      <c r="H394" s="325">
        <v>71</v>
      </c>
      <c r="I394" s="325">
        <v>112012286</v>
      </c>
      <c r="J394" s="1393" t="str">
        <f t="shared" si="106"/>
        <v>ACOSTA MARIO HECTOR Y LOIZA NESTOR OMAR S.H.</v>
      </c>
      <c r="M394" s="323" t="s">
        <v>515</v>
      </c>
      <c r="N394" s="324">
        <v>53</v>
      </c>
      <c r="O394" s="325">
        <v>112014583</v>
      </c>
      <c r="P394" s="1455" t="str">
        <f t="shared" si="107"/>
        <v>FERRARO MARRON HECTOR PEDRO</v>
      </c>
      <c r="R394" s="323" t="s">
        <v>273</v>
      </c>
      <c r="S394" s="324">
        <v>63</v>
      </c>
      <c r="T394" s="325">
        <v>112012351</v>
      </c>
      <c r="U394" s="1455" t="str">
        <f t="shared" si="108"/>
        <v>LOMAZO SERG/ WEPPLER ELOISA</v>
      </c>
      <c r="W394" s="323" t="s">
        <v>453</v>
      </c>
      <c r="X394" s="324">
        <v>70</v>
      </c>
      <c r="Y394" s="325">
        <v>112012567</v>
      </c>
      <c r="Z394" s="1455" t="str">
        <f t="shared" si="109"/>
        <v>LARICE SEBASTIAN PABLO</v>
      </c>
      <c r="AB394" s="325" t="s">
        <v>856</v>
      </c>
      <c r="AC394" s="325">
        <v>61</v>
      </c>
      <c r="AD394" s="325">
        <v>112014600</v>
      </c>
      <c r="AE394" s="799" t="str">
        <f t="shared" si="110"/>
        <v>JUAN PABLO RIVAROLA</v>
      </c>
      <c r="AG394" s="323" t="s">
        <v>1296</v>
      </c>
      <c r="AH394" s="325">
        <v>63</v>
      </c>
      <c r="AI394" s="325">
        <v>112013403</v>
      </c>
      <c r="AJ394" s="424" t="str">
        <f t="shared" si="111"/>
        <v>GONZALEZ NOELIA LUCIA</v>
      </c>
      <c r="AL394" s="325" t="s">
        <v>1219</v>
      </c>
      <c r="AM394" s="325">
        <v>70</v>
      </c>
      <c r="AN394" s="325">
        <v>112013855</v>
      </c>
      <c r="AO394" s="799" t="e">
        <f t="shared" si="112"/>
        <v>#N/A</v>
      </c>
      <c r="AQ394" s="325" t="s">
        <v>996</v>
      </c>
      <c r="AR394" s="325">
        <v>54</v>
      </c>
      <c r="AS394" s="325">
        <v>112010082</v>
      </c>
      <c r="AT394" s="799" t="str">
        <f t="shared" si="113"/>
        <v>GIAMBRONI EMILCE BEATRIZ</v>
      </c>
      <c r="AW394" s="325" t="s">
        <v>1486</v>
      </c>
      <c r="AX394" s="325">
        <v>71</v>
      </c>
      <c r="AY394" s="325">
        <v>112014586</v>
      </c>
      <c r="AZ394" s="799" t="str">
        <f t="shared" si="114"/>
        <v>LA CAUTIVA SOCIEDAD LEY 19550 CAP. I SECC. IV</v>
      </c>
      <c r="BE394" s="618"/>
      <c r="BF394" s="618"/>
    </row>
    <row r="395" spans="1:58" ht="13" hidden="1">
      <c r="A395" s="325" t="s">
        <v>782</v>
      </c>
      <c r="B395" s="325">
        <v>71</v>
      </c>
      <c r="C395" s="325">
        <v>112013438</v>
      </c>
      <c r="D395" s="799" t="str">
        <f t="shared" si="105"/>
        <v>GUTIERREZ DANIEL EDUARDO</v>
      </c>
      <c r="G395" s="323" t="s">
        <v>115</v>
      </c>
      <c r="H395" s="325">
        <v>70</v>
      </c>
      <c r="I395" s="325">
        <v>112012294</v>
      </c>
      <c r="J395" s="1393" t="str">
        <f t="shared" si="106"/>
        <v>DUARTE MANUEL GUSTAVO</v>
      </c>
      <c r="M395" s="323" t="s">
        <v>664</v>
      </c>
      <c r="N395" s="324"/>
      <c r="O395" s="325">
        <v>112010841</v>
      </c>
      <c r="P395" s="1455" t="str">
        <f t="shared" si="107"/>
        <v>FLEMATTI CARLOS ALBERTO</v>
      </c>
      <c r="R395" s="323" t="s">
        <v>285</v>
      </c>
      <c r="S395" s="324">
        <v>66</v>
      </c>
      <c r="T395" s="325">
        <v>112011467</v>
      </c>
      <c r="U395" s="1455" t="str">
        <f t="shared" si="108"/>
        <v>LOPEZ MATIAS DANIEL</v>
      </c>
      <c r="W395" s="323" t="s">
        <v>433</v>
      </c>
      <c r="X395" s="324">
        <v>63</v>
      </c>
      <c r="Y395" s="325">
        <v>112013610</v>
      </c>
      <c r="Z395" s="1455" t="str">
        <f t="shared" si="109"/>
        <v>LAZARO JUAN SEGUNDO</v>
      </c>
      <c r="AB395" s="325" t="s">
        <v>965</v>
      </c>
      <c r="AC395" s="325">
        <v>71</v>
      </c>
      <c r="AD395" s="325">
        <v>112014552</v>
      </c>
      <c r="AE395" s="799" t="e">
        <f t="shared" si="110"/>
        <v>#N/A</v>
      </c>
      <c r="AG395" s="323" t="s">
        <v>1317</v>
      </c>
      <c r="AH395" s="325">
        <v>63</v>
      </c>
      <c r="AI395" s="325">
        <v>112011216</v>
      </c>
      <c r="AJ395" s="424" t="str">
        <f t="shared" si="111"/>
        <v>GUILINO ABEL ALCIDES</v>
      </c>
      <c r="AL395" s="325" t="s">
        <v>1165</v>
      </c>
      <c r="AM395" s="325">
        <v>70</v>
      </c>
      <c r="AN395" s="325">
        <v>112013433</v>
      </c>
      <c r="AO395" s="799" t="e">
        <f t="shared" si="112"/>
        <v>#N/A</v>
      </c>
      <c r="AQ395" s="325" t="s">
        <v>868</v>
      </c>
      <c r="AR395" s="325">
        <v>63</v>
      </c>
      <c r="AS395" s="325">
        <v>112011508</v>
      </c>
      <c r="AT395" s="799" t="e">
        <f t="shared" si="113"/>
        <v>#N/A</v>
      </c>
      <c r="AW395" s="325" t="s">
        <v>1441</v>
      </c>
      <c r="AX395" s="325">
        <v>63</v>
      </c>
      <c r="AY395" s="325">
        <v>112013622</v>
      </c>
      <c r="AZ395" s="799" t="str">
        <f t="shared" si="114"/>
        <v>LA NUEVA MERCED S.R.L.</v>
      </c>
      <c r="BE395" s="618"/>
      <c r="BF395" s="618"/>
    </row>
    <row r="396" spans="1:58" ht="13" hidden="1">
      <c r="A396" s="325" t="s">
        <v>669</v>
      </c>
      <c r="B396" s="325">
        <v>63</v>
      </c>
      <c r="C396" s="325">
        <v>112013626</v>
      </c>
      <c r="D396" s="799" t="str">
        <f t="shared" si="105"/>
        <v>GUTIERREZ RICARDO/ADRIANA GONZALES</v>
      </c>
      <c r="G396" s="323" t="s">
        <v>124</v>
      </c>
      <c r="H396" s="325">
        <v>71</v>
      </c>
      <c r="I396" s="325">
        <v>112012308</v>
      </c>
      <c r="J396" s="1393" t="str">
        <f t="shared" si="106"/>
        <v>DULCE IRMA CRISTINA</v>
      </c>
      <c r="M396" s="323" t="s">
        <v>638</v>
      </c>
      <c r="N396" s="324">
        <v>70</v>
      </c>
      <c r="O396" s="325">
        <v>112014245</v>
      </c>
      <c r="P396" s="1455" t="str">
        <f t="shared" si="107"/>
        <v>FLORES VIOLETA AYELEN</v>
      </c>
      <c r="R396" s="323" t="s">
        <v>350</v>
      </c>
      <c r="S396" s="324"/>
      <c r="T396" s="325">
        <v>112013404</v>
      </c>
      <c r="U396" s="1455" t="str">
        <f t="shared" si="108"/>
        <v>LOPEZ SABRINA JACINTA</v>
      </c>
      <c r="W396" s="323" t="s">
        <v>434</v>
      </c>
      <c r="X396" s="324">
        <v>63</v>
      </c>
      <c r="Y396" s="325">
        <v>112010428</v>
      </c>
      <c r="Z396" s="1455" t="str">
        <f t="shared" si="109"/>
        <v>LESPADA JOSE CARLOS</v>
      </c>
      <c r="AB396" s="325" t="s">
        <v>938</v>
      </c>
      <c r="AC396" s="325">
        <v>70</v>
      </c>
      <c r="AD396" s="325">
        <v>112012316</v>
      </c>
      <c r="AE396" s="799" t="e">
        <f t="shared" si="110"/>
        <v>#N/A</v>
      </c>
      <c r="AG396" s="323" t="s">
        <v>1344</v>
      </c>
      <c r="AH396" s="325">
        <v>71</v>
      </c>
      <c r="AI396" s="325">
        <v>112013947</v>
      </c>
      <c r="AJ396" s="424" t="str">
        <f t="shared" si="111"/>
        <v>HUSEBY MARIA LUJAN</v>
      </c>
      <c r="AL396" s="325" t="s">
        <v>1179</v>
      </c>
      <c r="AM396" s="325">
        <v>71</v>
      </c>
      <c r="AN396" s="325">
        <v>112013642</v>
      </c>
      <c r="AO396" s="799" t="e">
        <f t="shared" si="112"/>
        <v>#N/A</v>
      </c>
      <c r="AQ396" s="325" t="s">
        <v>1105</v>
      </c>
      <c r="AR396" s="325">
        <v>70</v>
      </c>
      <c r="AS396" s="325">
        <v>112010461</v>
      </c>
      <c r="AT396" s="799" t="e">
        <f t="shared" si="113"/>
        <v>#N/A</v>
      </c>
      <c r="AW396" s="325" t="s">
        <v>1504</v>
      </c>
      <c r="AX396" s="325"/>
      <c r="AY396" s="325">
        <v>112014624</v>
      </c>
      <c r="AZ396" s="799" t="str">
        <f t="shared" si="114"/>
        <v>LAVITOLA JOSEFINA</v>
      </c>
      <c r="BE396" s="618"/>
      <c r="BF396" s="618"/>
    </row>
    <row r="397" spans="1:58" ht="13" hidden="1">
      <c r="A397" s="325" t="s">
        <v>783</v>
      </c>
      <c r="B397" s="325">
        <v>71</v>
      </c>
      <c r="C397" s="325">
        <v>112013823</v>
      </c>
      <c r="D397" s="799" t="str">
        <f t="shared" si="105"/>
        <v>HENDLER PATRICIA BERTA</v>
      </c>
      <c r="G397" s="323" t="s">
        <v>89</v>
      </c>
      <c r="H397" s="325">
        <v>62</v>
      </c>
      <c r="I397" s="325">
        <v>112012326</v>
      </c>
      <c r="J397" s="1393" t="str">
        <f t="shared" si="106"/>
        <v>DOMINGUEZ MARIANA ANDREA</v>
      </c>
      <c r="M397" s="323" t="s">
        <v>529</v>
      </c>
      <c r="N397" s="324">
        <v>62</v>
      </c>
      <c r="O397" s="325">
        <v>112014169</v>
      </c>
      <c r="P397" s="1455" t="str">
        <f t="shared" si="107"/>
        <v>FONSECA JUAN CARLOS</v>
      </c>
      <c r="R397" s="323" t="s">
        <v>328</v>
      </c>
      <c r="S397" s="324">
        <v>71</v>
      </c>
      <c r="T397" s="325">
        <v>112014616</v>
      </c>
      <c r="U397" s="1455" t="str">
        <f t="shared" si="108"/>
        <v>LORENA ALEJANDRA DE FELICE</v>
      </c>
      <c r="W397" s="323" t="s">
        <v>397</v>
      </c>
      <c r="X397" s="324">
        <v>61</v>
      </c>
      <c r="Y397" s="325">
        <v>112014451</v>
      </c>
      <c r="Z397" s="1455" t="str">
        <f t="shared" si="109"/>
        <v>LICENZIATO JAVIER EDUARDO</v>
      </c>
      <c r="AB397" s="325" t="s">
        <v>963</v>
      </c>
      <c r="AC397" s="325">
        <v>70</v>
      </c>
      <c r="AD397" s="325">
        <v>112014201</v>
      </c>
      <c r="AE397" s="799" t="e">
        <f t="shared" si="110"/>
        <v>#N/A</v>
      </c>
      <c r="AG397" s="323" t="s">
        <v>1362</v>
      </c>
      <c r="AH397" s="325">
        <v>71</v>
      </c>
      <c r="AI397" s="325">
        <v>112012704</v>
      </c>
      <c r="AJ397" s="424" t="str">
        <f t="shared" si="111"/>
        <v>INCORONATO PAULA LILIAN</v>
      </c>
      <c r="AL397" s="325" t="s">
        <v>1166</v>
      </c>
      <c r="AM397" s="325">
        <v>70</v>
      </c>
      <c r="AN397" s="325">
        <v>112013146</v>
      </c>
      <c r="AO397" s="799" t="e">
        <f t="shared" si="112"/>
        <v>#N/A</v>
      </c>
      <c r="AQ397" s="325" t="s">
        <v>1085</v>
      </c>
      <c r="AR397" s="325">
        <v>71</v>
      </c>
      <c r="AS397" s="325">
        <v>112013843</v>
      </c>
      <c r="AT397" s="799" t="str">
        <f t="shared" si="113"/>
        <v>GOMBA RODRIGO</v>
      </c>
      <c r="AW397" s="325" t="s">
        <v>1456</v>
      </c>
      <c r="AX397" s="325">
        <v>63</v>
      </c>
      <c r="AY397" s="325">
        <v>112013198</v>
      </c>
      <c r="AZ397" s="799" t="str">
        <f t="shared" si="114"/>
        <v>LEMOS SOLANGE</v>
      </c>
      <c r="BE397" s="618"/>
      <c r="BF397" s="618"/>
    </row>
    <row r="398" spans="1:58" ht="13" hidden="1">
      <c r="A398" s="325" t="s">
        <v>728</v>
      </c>
      <c r="B398" s="325">
        <v>70</v>
      </c>
      <c r="C398" s="325">
        <v>112014603</v>
      </c>
      <c r="D398" s="799" t="str">
        <f t="shared" si="105"/>
        <v>INSAURRALDE EDGARDO MAXIMILIANO</v>
      </c>
      <c r="G398" s="323" t="s">
        <v>186</v>
      </c>
      <c r="H398" s="325">
        <v>71</v>
      </c>
      <c r="I398" s="325">
        <v>112012345</v>
      </c>
      <c r="J398" s="1393" t="str">
        <f t="shared" si="106"/>
        <v>ALLUE ALEJANDRA MARIANA</v>
      </c>
      <c r="M398" s="323" t="s">
        <v>549</v>
      </c>
      <c r="N398" s="324">
        <v>69</v>
      </c>
      <c r="O398" s="325">
        <v>112014665</v>
      </c>
      <c r="P398" s="1455" t="str">
        <f t="shared" si="107"/>
        <v>FRANCO MARIO LASAGNI VITAR</v>
      </c>
      <c r="R398" s="323" t="s">
        <v>292</v>
      </c>
      <c r="S398" s="324">
        <v>69</v>
      </c>
      <c r="T398" s="325">
        <v>112014630</v>
      </c>
      <c r="U398" s="1455" t="str">
        <f t="shared" si="108"/>
        <v>LPH MERCOSUR SA</v>
      </c>
      <c r="W398" s="323" t="s">
        <v>460</v>
      </c>
      <c r="X398" s="324">
        <v>71</v>
      </c>
      <c r="Y398" s="325">
        <v>112010931</v>
      </c>
      <c r="Z398" s="1455" t="str">
        <f t="shared" si="109"/>
        <v>LOTITO DOMINGO JUAN</v>
      </c>
      <c r="AB398" s="325" t="s">
        <v>967</v>
      </c>
      <c r="AC398" s="325">
        <v>70</v>
      </c>
      <c r="AD398" s="325">
        <v>112014596</v>
      </c>
      <c r="AE398" s="799" t="e">
        <f t="shared" si="110"/>
        <v>#N/A</v>
      </c>
      <c r="AG398" s="323" t="s">
        <v>1390</v>
      </c>
      <c r="AH398" s="325">
        <v>71</v>
      </c>
      <c r="AI398" s="325">
        <v>112012225</v>
      </c>
      <c r="AJ398" s="424" t="e">
        <f t="shared" si="111"/>
        <v>#N/A</v>
      </c>
      <c r="AL398" s="325" t="s">
        <v>1153</v>
      </c>
      <c r="AM398" s="325">
        <v>70</v>
      </c>
      <c r="AN398" s="325">
        <v>112014769</v>
      </c>
      <c r="AO398" s="799" t="str">
        <f t="shared" si="112"/>
        <v>LIZARAZU TORRICO GERMAN ROGER</v>
      </c>
      <c r="AQ398" s="325" t="s">
        <v>1073</v>
      </c>
      <c r="AR398" s="325">
        <v>71</v>
      </c>
      <c r="AS398" s="325">
        <v>112011971</v>
      </c>
      <c r="AT398" s="799" t="str">
        <f t="shared" si="113"/>
        <v>GONZALEZ JUAN MARIA</v>
      </c>
      <c r="AW398" s="325" t="s">
        <v>1415</v>
      </c>
      <c r="AX398" s="325">
        <v>62</v>
      </c>
      <c r="AY398" s="325">
        <v>112011201</v>
      </c>
      <c r="AZ398" s="799" t="str">
        <f t="shared" si="114"/>
        <v>LOPEZ VIVIANA VERONICA</v>
      </c>
      <c r="BE398" s="618"/>
      <c r="BF398" s="618"/>
    </row>
    <row r="399" spans="1:58" ht="13" hidden="1">
      <c r="A399" s="325" t="s">
        <v>691</v>
      </c>
      <c r="B399" s="325">
        <v>54</v>
      </c>
      <c r="C399" s="325">
        <v>112014465</v>
      </c>
      <c r="D399" s="799" t="str">
        <f t="shared" si="105"/>
        <v>JOEL CESPEDES FERNANDEZ</v>
      </c>
      <c r="G399" s="323" t="s">
        <v>153</v>
      </c>
      <c r="H399" s="325">
        <v>70</v>
      </c>
      <c r="I399" s="325">
        <v>112012402</v>
      </c>
      <c r="J399" s="1393" t="str">
        <f t="shared" si="106"/>
        <v>MALDONADO EDUARDO OSCAR</v>
      </c>
      <c r="M399" s="323" t="s">
        <v>552</v>
      </c>
      <c r="N399" s="324">
        <v>70</v>
      </c>
      <c r="O399" s="325">
        <v>112014036</v>
      </c>
      <c r="P399" s="1455" t="str">
        <f t="shared" si="107"/>
        <v>FREIRE BEATRIZ SUSANA</v>
      </c>
      <c r="R399" s="323" t="s">
        <v>265</v>
      </c>
      <c r="S399" s="324">
        <v>62</v>
      </c>
      <c r="T399" s="325">
        <v>112014664</v>
      </c>
      <c r="U399" s="1455" t="str">
        <f t="shared" si="108"/>
        <v>LUIS DAVID VILARDI</v>
      </c>
      <c r="W399" s="323" t="s">
        <v>494</v>
      </c>
      <c r="X399" s="324">
        <v>54</v>
      </c>
      <c r="Y399" s="325">
        <v>112011195</v>
      </c>
      <c r="Z399" s="1455" t="e">
        <f t="shared" si="109"/>
        <v>#N/A</v>
      </c>
      <c r="AB399" s="325" t="s">
        <v>929</v>
      </c>
      <c r="AC399" s="325">
        <v>63</v>
      </c>
      <c r="AD399" s="325">
        <v>112014582</v>
      </c>
      <c r="AE399" s="799" t="e">
        <f t="shared" si="110"/>
        <v>#N/A</v>
      </c>
      <c r="AG399" s="323" t="s">
        <v>1297</v>
      </c>
      <c r="AH399" s="325">
        <v>63</v>
      </c>
      <c r="AI399" s="325">
        <v>112011764</v>
      </c>
      <c r="AJ399" s="424" t="str">
        <f t="shared" si="111"/>
        <v>IRIARTE MONICA</v>
      </c>
      <c r="AL399" s="325" t="s">
        <v>1220</v>
      </c>
      <c r="AM399" s="325">
        <v>70</v>
      </c>
      <c r="AN399" s="325">
        <v>112013717</v>
      </c>
      <c r="AO399" s="799" t="e">
        <f t="shared" si="112"/>
        <v>#N/A</v>
      </c>
      <c r="AQ399" s="325" t="s">
        <v>1040</v>
      </c>
      <c r="AR399" s="325">
        <v>70</v>
      </c>
      <c r="AS399" s="325">
        <v>112011404</v>
      </c>
      <c r="AT399" s="799" t="str">
        <f t="shared" si="113"/>
        <v>GONZALEZ MONICA NOEMI</v>
      </c>
      <c r="AW399" s="325" t="s">
        <v>1406</v>
      </c>
      <c r="AX399" s="325">
        <v>53</v>
      </c>
      <c r="AY399" s="325">
        <v>112014646</v>
      </c>
      <c r="AZ399" s="799" t="str">
        <f t="shared" si="114"/>
        <v>LORENA ANAHI PASQUALE</v>
      </c>
      <c r="BE399" s="618"/>
      <c r="BF399" s="618"/>
    </row>
    <row r="400" spans="1:58" ht="13" hidden="1">
      <c r="A400" s="325" t="s">
        <v>804</v>
      </c>
      <c r="B400" s="325"/>
      <c r="C400" s="325">
        <v>112013335</v>
      </c>
      <c r="D400" s="799" t="str">
        <f t="shared" si="105"/>
        <v>JOSIPOVIC MONICA GRACIELA</v>
      </c>
      <c r="G400" s="323" t="s">
        <v>77</v>
      </c>
      <c r="H400" s="325">
        <v>61</v>
      </c>
      <c r="I400" s="325">
        <v>112012444</v>
      </c>
      <c r="J400" s="1393" t="str">
        <f t="shared" si="106"/>
        <v>MENDEZ GRACIELA NOEMI</v>
      </c>
      <c r="M400" s="323" t="s">
        <v>625</v>
      </c>
      <c r="N400" s="324">
        <v>70</v>
      </c>
      <c r="O400" s="325">
        <v>112013208</v>
      </c>
      <c r="P400" s="1455" t="str">
        <f t="shared" si="107"/>
        <v>GALANTE ERICA LAURA</v>
      </c>
      <c r="R400" s="323" t="s">
        <v>274</v>
      </c>
      <c r="S400" s="324">
        <v>63</v>
      </c>
      <c r="T400" s="325">
        <v>112012897</v>
      </c>
      <c r="U400" s="1455" t="str">
        <f t="shared" si="108"/>
        <v>MAESTU JAVIER HORACIO</v>
      </c>
      <c r="W400" s="323" t="s">
        <v>454</v>
      </c>
      <c r="X400" s="324">
        <v>71</v>
      </c>
      <c r="Y400" s="325">
        <v>112010429</v>
      </c>
      <c r="Z400" s="1455" t="str">
        <f t="shared" si="109"/>
        <v>MARTINEZ CARLOS ADRIAN</v>
      </c>
      <c r="AB400" s="325" t="s">
        <v>981</v>
      </c>
      <c r="AC400" s="325">
        <v>71</v>
      </c>
      <c r="AD400" s="325">
        <v>112014756</v>
      </c>
      <c r="AE400" s="799" t="e">
        <f t="shared" si="110"/>
        <v>#N/A</v>
      </c>
      <c r="AG400" s="323" t="s">
        <v>1391</v>
      </c>
      <c r="AH400" s="325">
        <v>71</v>
      </c>
      <c r="AI400" s="325">
        <v>112012622</v>
      </c>
      <c r="AJ400" s="424" t="e">
        <f t="shared" si="111"/>
        <v>#N/A</v>
      </c>
      <c r="AL400" s="325" t="s">
        <v>1167</v>
      </c>
      <c r="AM400" s="325">
        <v>70</v>
      </c>
      <c r="AN400" s="325">
        <v>112014655</v>
      </c>
      <c r="AO400" s="799" t="e">
        <f t="shared" si="112"/>
        <v>#N/A</v>
      </c>
      <c r="AQ400" s="325" t="s">
        <v>1065</v>
      </c>
      <c r="AR400" s="325">
        <v>71</v>
      </c>
      <c r="AS400" s="325">
        <v>112011567</v>
      </c>
      <c r="AT400" s="799" t="str">
        <f t="shared" si="113"/>
        <v>GUERRA LUIS SANDRO SANTOS</v>
      </c>
      <c r="AW400" s="325" t="s">
        <v>1457</v>
      </c>
      <c r="AX400" s="325">
        <v>63</v>
      </c>
      <c r="AY400" s="325">
        <v>112013978</v>
      </c>
      <c r="AZ400" s="799" t="str">
        <f t="shared" si="114"/>
        <v>MACIAS MARIA DE LOS ANGELES</v>
      </c>
      <c r="BE400" s="618"/>
      <c r="BF400" s="618"/>
    </row>
    <row r="401" spans="1:58" ht="13" hidden="1">
      <c r="A401" s="325" t="s">
        <v>729</v>
      </c>
      <c r="B401" s="325">
        <v>70</v>
      </c>
      <c r="C401" s="325">
        <v>112014495</v>
      </c>
      <c r="D401" s="799" t="str">
        <f t="shared" si="105"/>
        <v>KRAPP EDUARDO CLEMENTE</v>
      </c>
      <c r="G401" s="323" t="s">
        <v>91</v>
      </c>
      <c r="H401" s="325">
        <v>62</v>
      </c>
      <c r="I401" s="325">
        <v>112012474</v>
      </c>
      <c r="J401" s="1393" t="str">
        <f t="shared" si="106"/>
        <v>EL ESCALAR PET FOOD S.R.L</v>
      </c>
      <c r="M401" s="323" t="s">
        <v>642</v>
      </c>
      <c r="N401" s="324">
        <v>70</v>
      </c>
      <c r="O401" s="325">
        <v>112014750</v>
      </c>
      <c r="P401" s="1455" t="str">
        <f t="shared" si="107"/>
        <v>GALARZA CARLOS ALBERTO</v>
      </c>
      <c r="R401" s="323" t="s">
        <v>262</v>
      </c>
      <c r="S401" s="324">
        <v>52</v>
      </c>
      <c r="T401" s="325">
        <v>112014295</v>
      </c>
      <c r="U401" s="1455" t="str">
        <f t="shared" si="108"/>
        <v>MAGALLANES/SPADANO</v>
      </c>
      <c r="W401" s="323" t="s">
        <v>465</v>
      </c>
      <c r="X401" s="324">
        <v>71</v>
      </c>
      <c r="Y401" s="325">
        <v>112011673</v>
      </c>
      <c r="Z401" s="1455" t="str">
        <f t="shared" si="109"/>
        <v>MARTINEZ CLAUDIA KARINA</v>
      </c>
      <c r="AB401" s="325" t="s">
        <v>934</v>
      </c>
      <c r="AC401" s="325">
        <v>71</v>
      </c>
      <c r="AD401" s="325">
        <v>112014319</v>
      </c>
      <c r="AE401" s="799" t="e">
        <f t="shared" si="110"/>
        <v>#N/A</v>
      </c>
      <c r="AG401" s="323" t="s">
        <v>1287</v>
      </c>
      <c r="AH401" s="325">
        <v>63</v>
      </c>
      <c r="AI401" s="325">
        <v>112014146</v>
      </c>
      <c r="AJ401" s="424" t="str">
        <f t="shared" si="111"/>
        <v>IRIGOYEN ROBERTO/ITURRALDE JUAN</v>
      </c>
      <c r="AL401" s="325" t="s">
        <v>1170</v>
      </c>
      <c r="AM401" s="325">
        <v>70</v>
      </c>
      <c r="AN401" s="325">
        <v>112013266</v>
      </c>
      <c r="AO401" s="799" t="e">
        <f t="shared" si="112"/>
        <v>#N/A</v>
      </c>
      <c r="AQ401" s="325" t="s">
        <v>1103</v>
      </c>
      <c r="AR401" s="325">
        <v>70</v>
      </c>
      <c r="AS401" s="325">
        <v>112011658</v>
      </c>
      <c r="AT401" s="799" t="e">
        <f t="shared" si="113"/>
        <v>#N/A</v>
      </c>
      <c r="AW401" s="325" t="s">
        <v>1489</v>
      </c>
      <c r="AX401" s="325"/>
      <c r="AY401" s="325">
        <v>112014737</v>
      </c>
      <c r="AZ401" s="799" t="str">
        <f t="shared" si="114"/>
        <v>MARAGGI CELESTINI MARCOS</v>
      </c>
      <c r="BE401" s="618"/>
      <c r="BF401" s="618"/>
    </row>
    <row r="402" spans="1:58" ht="13" hidden="1">
      <c r="A402" s="325" t="s">
        <v>757</v>
      </c>
      <c r="B402" s="325">
        <v>70</v>
      </c>
      <c r="C402" s="325">
        <v>112013885</v>
      </c>
      <c r="D402" s="799" t="str">
        <f t="shared" ref="D402:D433" si="115">VLOOKUP(C402,buelafin,13,FALSE)</f>
        <v>LA LUZ HERNAN ARIEL</v>
      </c>
      <c r="G402" s="323" t="s">
        <v>93</v>
      </c>
      <c r="H402" s="325">
        <v>62</v>
      </c>
      <c r="I402" s="325">
        <v>112012535</v>
      </c>
      <c r="J402" s="1393" t="str">
        <f t="shared" ref="J402:J433" si="116">VLOOKUP(I402,bassfin,13,FALSE)</f>
        <v>DURAN MARCELO JAVIER</v>
      </c>
      <c r="M402" s="323" t="s">
        <v>582</v>
      </c>
      <c r="N402" s="324">
        <v>70</v>
      </c>
      <c r="O402" s="325">
        <v>112014396</v>
      </c>
      <c r="P402" s="1455" t="str">
        <f t="shared" ref="P402:P433" si="117">VLOOKUP(O402,LAGEFIN,13,FALSE)</f>
        <v>GARGIULO PABLO DAVID</v>
      </c>
      <c r="R402" s="323" t="s">
        <v>329</v>
      </c>
      <c r="S402" s="324">
        <v>71</v>
      </c>
      <c r="T402" s="325">
        <v>112014320</v>
      </c>
      <c r="U402" s="1455" t="str">
        <f t="shared" ref="U402:U433" si="118">VLOOKUP(T402,calofin,9,FALSE)</f>
        <v>MARQUEZ ISMAEL FERNANDO GABR</v>
      </c>
      <c r="W402" s="323" t="s">
        <v>446</v>
      </c>
      <c r="X402" s="324">
        <v>66</v>
      </c>
      <c r="Y402" s="325">
        <v>112014105</v>
      </c>
      <c r="Z402" s="1455" t="str">
        <f t="shared" ref="Z402:Z433" si="119">VLOOKUP(Y402,RETAMFIN,9,FALSE)</f>
        <v>MASSARO ANTONIO GUILLERMO</v>
      </c>
      <c r="AB402" s="325" t="s">
        <v>969</v>
      </c>
      <c r="AC402" s="325">
        <v>71</v>
      </c>
      <c r="AD402" s="325">
        <v>112014568</v>
      </c>
      <c r="AE402" s="799" t="e">
        <f t="shared" ref="AE402:AE433" si="120">VLOOKUP(AD402,VARGASFIN,13,FALSE)</f>
        <v>#N/A</v>
      </c>
      <c r="AG402" s="323" t="s">
        <v>1271</v>
      </c>
      <c r="AH402" s="325">
        <v>59</v>
      </c>
      <c r="AI402" s="325">
        <v>112013457</v>
      </c>
      <c r="AJ402" s="424" t="str">
        <f t="shared" ref="AJ402:AJ433" si="121">VLOOKUP(AI402,MONTENEFIN,9,FALSE)</f>
        <v>KILISET SA</v>
      </c>
      <c r="AL402" s="325" t="s">
        <v>1143</v>
      </c>
      <c r="AM402" s="325">
        <v>66</v>
      </c>
      <c r="AN402" s="325">
        <v>112014017</v>
      </c>
      <c r="AO402" s="799" t="str">
        <f t="shared" ref="AO402:AO433" si="122">VLOOKUP(AN402,MARUCAFIN,13,FALSE)</f>
        <v>MANDOZI CRISTIAN FABIAN</v>
      </c>
      <c r="AQ402" s="325" t="s">
        <v>1096</v>
      </c>
      <c r="AR402" s="325">
        <v>71</v>
      </c>
      <c r="AS402" s="325">
        <v>112012041</v>
      </c>
      <c r="AT402" s="799" t="e">
        <f t="shared" ref="AT402:AT433" si="123">VLOOKUP(AS402,ARRIOLFIN,13,FALSE)</f>
        <v>#N/A</v>
      </c>
      <c r="AW402" s="325" t="s">
        <v>1158</v>
      </c>
      <c r="AX402" s="325">
        <v>67</v>
      </c>
      <c r="AY402" s="325">
        <v>112011875</v>
      </c>
      <c r="AZ402" s="799" t="str">
        <f t="shared" ref="AZ402:AZ433" si="124">VLOOKUP(AY402,LAVENIAFIN,13,FALSE)</f>
        <v>MARCOS SANTIAGO FURLAN</v>
      </c>
      <c r="BE402" s="618"/>
      <c r="BF402" s="618"/>
    </row>
    <row r="403" spans="1:58" ht="13" hidden="1">
      <c r="A403" s="325" t="s">
        <v>707</v>
      </c>
      <c r="B403" s="325">
        <v>62</v>
      </c>
      <c r="C403" s="325">
        <v>112014772</v>
      </c>
      <c r="D403" s="799" t="str">
        <f t="shared" si="115"/>
        <v>LAMASTRA LUCIANO EZEQUIEL</v>
      </c>
      <c r="G403" s="323" t="s">
        <v>105</v>
      </c>
      <c r="H403" s="325">
        <v>63</v>
      </c>
      <c r="I403" s="325">
        <v>112012536</v>
      </c>
      <c r="J403" s="1393" t="str">
        <f t="shared" si="116"/>
        <v>DURAN OSCAR ALBERTO</v>
      </c>
      <c r="M403" s="323" t="s">
        <v>530</v>
      </c>
      <c r="N403" s="324">
        <v>62</v>
      </c>
      <c r="O403" s="325">
        <v>112014773</v>
      </c>
      <c r="P403" s="1455" t="str">
        <f t="shared" si="117"/>
        <v>GONZALEZ BRENDA JUANA</v>
      </c>
      <c r="R403" s="323" t="s">
        <v>330</v>
      </c>
      <c r="S403" s="324">
        <v>71</v>
      </c>
      <c r="T403" s="325">
        <v>112013171</v>
      </c>
      <c r="U403" s="1455" t="str">
        <f t="shared" si="118"/>
        <v>MARQUEZ JULIANA MICHELLE</v>
      </c>
      <c r="W403" s="323" t="s">
        <v>451</v>
      </c>
      <c r="X403" s="324">
        <v>67</v>
      </c>
      <c r="Y403" s="325">
        <v>112011697</v>
      </c>
      <c r="Z403" s="1455" t="str">
        <f t="shared" si="119"/>
        <v>MATHIEU MARIA LUCRECIA</v>
      </c>
      <c r="AB403" s="325" t="s">
        <v>874</v>
      </c>
      <c r="AC403" s="325">
        <v>68</v>
      </c>
      <c r="AD403" s="325">
        <v>112014484</v>
      </c>
      <c r="AE403" s="799" t="str">
        <f t="shared" si="120"/>
        <v>MARIA LAURA RICCI PARIS</v>
      </c>
      <c r="AG403" s="323" t="s">
        <v>1382</v>
      </c>
      <c r="AH403" s="325"/>
      <c r="AI403" s="325">
        <v>112014135</v>
      </c>
      <c r="AJ403" s="424" t="str">
        <f t="shared" si="121"/>
        <v>LAMAS GABRIELA ALEJANDRA</v>
      </c>
      <c r="AL403" s="325" t="s">
        <v>1228</v>
      </c>
      <c r="AM403" s="325">
        <v>71</v>
      </c>
      <c r="AN403" s="325">
        <v>112013784</v>
      </c>
      <c r="AO403" s="799" t="e">
        <f t="shared" si="122"/>
        <v>#N/A</v>
      </c>
      <c r="AQ403" s="325" t="s">
        <v>1054</v>
      </c>
      <c r="AR403" s="325">
        <v>71</v>
      </c>
      <c r="AS403" s="325">
        <v>112014425</v>
      </c>
      <c r="AT403" s="799" t="str">
        <f t="shared" si="123"/>
        <v>JESICA LORENA ACOSTA</v>
      </c>
      <c r="AW403" s="325" t="s">
        <v>1458</v>
      </c>
      <c r="AX403" s="325">
        <v>63</v>
      </c>
      <c r="AY403" s="325">
        <v>112014623</v>
      </c>
      <c r="AZ403" s="799" t="str">
        <f t="shared" si="124"/>
        <v>MARCZAK SILVYA PAOLA</v>
      </c>
      <c r="BE403" s="618"/>
      <c r="BF403" s="618"/>
    </row>
    <row r="404" spans="1:58" ht="13" hidden="1">
      <c r="A404" s="325" t="s">
        <v>703</v>
      </c>
      <c r="B404" s="325">
        <v>62</v>
      </c>
      <c r="C404" s="325">
        <v>112014488</v>
      </c>
      <c r="D404" s="799" t="str">
        <f t="shared" si="115"/>
        <v>LAUTARO ENRIQUEZ</v>
      </c>
      <c r="G404" s="323" t="s">
        <v>69</v>
      </c>
      <c r="H404" s="325">
        <v>53</v>
      </c>
      <c r="I404" s="325">
        <v>112012542</v>
      </c>
      <c r="J404" s="1393" t="str">
        <f t="shared" si="116"/>
        <v>DIAZ EDUARDO RAUL</v>
      </c>
      <c r="M404" s="323" t="s">
        <v>612</v>
      </c>
      <c r="N404" s="324">
        <v>71</v>
      </c>
      <c r="O404" s="325">
        <v>112014281</v>
      </c>
      <c r="P404" s="1455" t="str">
        <f t="shared" si="117"/>
        <v>GONZALEZ HECTOR RUBEN</v>
      </c>
      <c r="R404" s="323" t="s">
        <v>331</v>
      </c>
      <c r="S404" s="324">
        <v>71</v>
      </c>
      <c r="T404" s="325">
        <v>112012433</v>
      </c>
      <c r="U404" s="1455" t="str">
        <f t="shared" si="118"/>
        <v>MAYOL SAMANTA</v>
      </c>
      <c r="W404" s="323" t="s">
        <v>435</v>
      </c>
      <c r="X404" s="324">
        <v>63</v>
      </c>
      <c r="Y404" s="325">
        <v>112010953</v>
      </c>
      <c r="Z404" s="1455" t="str">
        <f t="shared" si="119"/>
        <v>MENDY MARIA GABRIELA</v>
      </c>
      <c r="AB404" s="325" t="s">
        <v>975</v>
      </c>
      <c r="AC404" s="325">
        <v>71</v>
      </c>
      <c r="AD404" s="325">
        <v>112014100</v>
      </c>
      <c r="AE404" s="799" t="e">
        <f t="shared" si="120"/>
        <v>#N/A</v>
      </c>
      <c r="AG404" s="323" t="s">
        <v>1264</v>
      </c>
      <c r="AH404" s="325">
        <v>53</v>
      </c>
      <c r="AI404" s="325">
        <v>112011732</v>
      </c>
      <c r="AJ404" s="424" t="str">
        <f t="shared" si="121"/>
        <v>LARREA HERNAN PABLO</v>
      </c>
      <c r="AL404" s="325" t="s">
        <v>1168</v>
      </c>
      <c r="AM404" s="325">
        <v>70</v>
      </c>
      <c r="AN404" s="325">
        <v>112014669</v>
      </c>
      <c r="AO404" s="799" t="e">
        <f t="shared" si="122"/>
        <v>#N/A</v>
      </c>
      <c r="AQ404" s="325" t="s">
        <v>1030</v>
      </c>
      <c r="AR404" s="325">
        <v>63</v>
      </c>
      <c r="AS404" s="325">
        <v>112011317</v>
      </c>
      <c r="AT404" s="799" t="str">
        <f t="shared" si="123"/>
        <v>LIVIO ROBERTO/FOUQUET</v>
      </c>
      <c r="AW404" s="325" t="s">
        <v>1485</v>
      </c>
      <c r="AX404" s="325">
        <v>71</v>
      </c>
      <c r="AY404" s="325">
        <v>112014414</v>
      </c>
      <c r="AZ404" s="799" t="str">
        <f t="shared" si="124"/>
        <v>MARIA CAROLINA LEONE</v>
      </c>
      <c r="BE404" s="618"/>
      <c r="BF404" s="618"/>
    </row>
    <row r="405" spans="1:58" ht="13" hidden="1">
      <c r="A405" s="325" t="s">
        <v>784</v>
      </c>
      <c r="B405" s="325">
        <v>71</v>
      </c>
      <c r="C405" s="325">
        <v>112011935</v>
      </c>
      <c r="D405" s="799" t="str">
        <f t="shared" si="115"/>
        <v>LEDESMA GUSTAVO ANDRES</v>
      </c>
      <c r="G405" s="323" t="s">
        <v>187</v>
      </c>
      <c r="H405" s="325">
        <v>71</v>
      </c>
      <c r="I405" s="325">
        <v>112012560</v>
      </c>
      <c r="J405" s="1393" t="str">
        <f t="shared" si="116"/>
        <v>CILLERUELO PATRICIA LAURA</v>
      </c>
      <c r="M405" s="323" t="s">
        <v>613</v>
      </c>
      <c r="N405" s="324">
        <v>71</v>
      </c>
      <c r="O405" s="325">
        <v>112013889</v>
      </c>
      <c r="P405" s="1455" t="str">
        <f t="shared" si="117"/>
        <v>GORRITI PAULA</v>
      </c>
      <c r="R405" s="323" t="s">
        <v>332</v>
      </c>
      <c r="S405" s="324">
        <v>71</v>
      </c>
      <c r="T405" s="325">
        <v>112014676</v>
      </c>
      <c r="U405" s="1455" t="str">
        <f t="shared" si="118"/>
        <v>MILANESI CARLOS JORGE</v>
      </c>
      <c r="W405" s="323" t="s">
        <v>436</v>
      </c>
      <c r="X405" s="324">
        <v>63</v>
      </c>
      <c r="Y405" s="325">
        <v>112013057</v>
      </c>
      <c r="Z405" s="1455" t="str">
        <f t="shared" si="119"/>
        <v>MORGANTE HERNAN</v>
      </c>
      <c r="AB405" s="325" t="s">
        <v>930</v>
      </c>
      <c r="AC405" s="325">
        <v>63</v>
      </c>
      <c r="AD405" s="325">
        <v>112014677</v>
      </c>
      <c r="AE405" s="799" t="e">
        <f t="shared" si="120"/>
        <v>#N/A</v>
      </c>
      <c r="AG405" s="323" t="s">
        <v>1318</v>
      </c>
      <c r="AH405" s="325">
        <v>63</v>
      </c>
      <c r="AI405" s="325">
        <v>112013948</v>
      </c>
      <c r="AJ405" s="424" t="str">
        <f t="shared" si="121"/>
        <v>LAS PRADERAS DE PETREIGNE JORGE HORACIO ATELA OMAR SEBASTIAN Y COSTANTINO JAVIER</v>
      </c>
      <c r="AL405" s="325" t="s">
        <v>1138</v>
      </c>
      <c r="AM405" s="325">
        <v>63</v>
      </c>
      <c r="AN405" s="325">
        <v>112014564</v>
      </c>
      <c r="AO405" s="799" t="str">
        <f t="shared" si="122"/>
        <v>MARTIN FARABELLO</v>
      </c>
      <c r="AQ405" s="325" t="s">
        <v>1106</v>
      </c>
      <c r="AR405" s="325">
        <v>70</v>
      </c>
      <c r="AS405" s="325">
        <v>112014420</v>
      </c>
      <c r="AT405" s="799" t="e">
        <f t="shared" si="123"/>
        <v>#N/A</v>
      </c>
      <c r="AW405" s="325" t="s">
        <v>1474</v>
      </c>
      <c r="AX405" s="325">
        <v>70</v>
      </c>
      <c r="AY405" s="325">
        <v>112014006</v>
      </c>
      <c r="AZ405" s="799" t="str">
        <f t="shared" si="124"/>
        <v>MARTIN SILVIA GRACIELA</v>
      </c>
      <c r="BE405" s="618"/>
      <c r="BF405" s="618"/>
    </row>
    <row r="406" spans="1:58" ht="13" hidden="1">
      <c r="A406" s="325" t="s">
        <v>730</v>
      </c>
      <c r="B406" s="325">
        <v>70</v>
      </c>
      <c r="C406" s="325">
        <v>112013896</v>
      </c>
      <c r="D406" s="799" t="str">
        <f t="shared" si="115"/>
        <v>LEPERE NICOLAS</v>
      </c>
      <c r="G406" s="323" t="s">
        <v>154</v>
      </c>
      <c r="H406" s="325">
        <v>70</v>
      </c>
      <c r="I406" s="325">
        <v>112012563</v>
      </c>
      <c r="J406" s="1393" t="str">
        <f t="shared" si="116"/>
        <v>DUVAL YAMILA LORENA</v>
      </c>
      <c r="M406" s="323" t="s">
        <v>583</v>
      </c>
      <c r="N406" s="324">
        <v>70</v>
      </c>
      <c r="O406" s="325">
        <v>112013756</v>
      </c>
      <c r="P406" s="1455" t="str">
        <f t="shared" si="117"/>
        <v>GRAVANAGO MARIO CESAR</v>
      </c>
      <c r="R406" s="323" t="s">
        <v>333</v>
      </c>
      <c r="S406" s="324">
        <v>71</v>
      </c>
      <c r="T406" s="325">
        <v>112012828</v>
      </c>
      <c r="U406" s="1455" t="str">
        <f t="shared" si="118"/>
        <v>MUNICIPALIDAD DE CHASCOMUS</v>
      </c>
      <c r="W406" s="323" t="s">
        <v>437</v>
      </c>
      <c r="X406" s="324">
        <v>63</v>
      </c>
      <c r="Y406" s="325">
        <v>112010430</v>
      </c>
      <c r="Z406" s="1455" t="str">
        <f t="shared" si="119"/>
        <v>MOZOTEGUI GABRIEL HORACIO</v>
      </c>
      <c r="AB406" s="325" t="s">
        <v>947</v>
      </c>
      <c r="AC406" s="325">
        <v>70</v>
      </c>
      <c r="AD406" s="325">
        <v>112012424</v>
      </c>
      <c r="AE406" s="799" t="e">
        <f t="shared" si="120"/>
        <v>#N/A</v>
      </c>
      <c r="AG406" s="323" t="s">
        <v>1298</v>
      </c>
      <c r="AH406" s="325">
        <v>63</v>
      </c>
      <c r="AI406" s="325">
        <v>112014399</v>
      </c>
      <c r="AJ406" s="424" t="str">
        <f t="shared" si="121"/>
        <v>LEONARDIS HERNAN HECTOR</v>
      </c>
      <c r="AL406" s="325" t="s">
        <v>872</v>
      </c>
      <c r="AM406" s="325">
        <v>63</v>
      </c>
      <c r="AN406" s="325">
        <v>112012510</v>
      </c>
      <c r="AO406" s="799" t="e">
        <f t="shared" si="122"/>
        <v>#N/A</v>
      </c>
      <c r="AQ406" s="325" t="s">
        <v>1047</v>
      </c>
      <c r="AR406" s="325">
        <v>71</v>
      </c>
      <c r="AS406" s="325">
        <v>112011685</v>
      </c>
      <c r="AT406" s="799" t="str">
        <f t="shared" si="123"/>
        <v>LOVISO L/MARIA C BENAVIDEZ</v>
      </c>
      <c r="AW406" s="325" t="s">
        <v>1459</v>
      </c>
      <c r="AX406" s="325">
        <v>63</v>
      </c>
      <c r="AY406" s="325">
        <v>112014622</v>
      </c>
      <c r="AZ406" s="799" t="str">
        <f t="shared" si="124"/>
        <v>MARTINOLICH CARLOS OCTAVIO</v>
      </c>
      <c r="BE406" s="618"/>
      <c r="BF406" s="618"/>
    </row>
    <row r="407" spans="1:58" ht="13" hidden="1">
      <c r="A407" s="325" t="s">
        <v>743</v>
      </c>
      <c r="B407" s="325">
        <v>69</v>
      </c>
      <c r="C407" s="325">
        <v>112014236</v>
      </c>
      <c r="D407" s="799" t="str">
        <f t="shared" si="115"/>
        <v>LUPINI CATAFFO MARTIN EMILIANO</v>
      </c>
      <c r="G407" s="323" t="s">
        <v>188</v>
      </c>
      <c r="H407" s="325">
        <v>71</v>
      </c>
      <c r="I407" s="325">
        <v>112012613</v>
      </c>
      <c r="J407" s="1393" t="str">
        <f t="shared" si="116"/>
        <v>PECORA MARIA EUGENIA</v>
      </c>
      <c r="M407" s="323" t="s">
        <v>584</v>
      </c>
      <c r="N407" s="324">
        <v>70</v>
      </c>
      <c r="O407" s="325">
        <v>112014144</v>
      </c>
      <c r="P407" s="1455" t="str">
        <f t="shared" si="117"/>
        <v>HLLEDE PAOLA ANDREA</v>
      </c>
      <c r="R407" s="323" t="s">
        <v>334</v>
      </c>
      <c r="S407" s="324">
        <v>71</v>
      </c>
      <c r="T407" s="325">
        <v>112010142</v>
      </c>
      <c r="U407" s="1455" t="str">
        <f t="shared" si="118"/>
        <v>ORGANIZACION AGROPECUARIA SOCIEDAD DE HECHO</v>
      </c>
      <c r="W407" s="323" t="s">
        <v>385</v>
      </c>
      <c r="X407" s="324">
        <v>52</v>
      </c>
      <c r="Y407" s="325">
        <v>112014733</v>
      </c>
      <c r="Z407" s="1455" t="str">
        <f t="shared" si="119"/>
        <v>MULTIMARC BALANCEADOS SRL</v>
      </c>
      <c r="AB407" s="325" t="s">
        <v>846</v>
      </c>
      <c r="AC407" s="325">
        <v>63</v>
      </c>
      <c r="AD407" s="325">
        <v>112010002</v>
      </c>
      <c r="AE407" s="799" t="str">
        <f t="shared" si="120"/>
        <v>MAURICIO CORDOBA</v>
      </c>
      <c r="AG407" s="323" t="s">
        <v>1299</v>
      </c>
      <c r="AH407" s="325">
        <v>63</v>
      </c>
      <c r="AI407" s="325">
        <v>112014309</v>
      </c>
      <c r="AJ407" s="424" t="str">
        <f t="shared" si="121"/>
        <v>LLARENA MARTINEZ FLORENCIA ITATI</v>
      </c>
      <c r="AL407" s="325" t="s">
        <v>1207</v>
      </c>
      <c r="AM407" s="325">
        <v>71</v>
      </c>
      <c r="AN407" s="325">
        <v>112012595</v>
      </c>
      <c r="AO407" s="799" t="e">
        <f t="shared" si="122"/>
        <v>#N/A</v>
      </c>
      <c r="AQ407" s="325" t="s">
        <v>1060</v>
      </c>
      <c r="AR407" s="325">
        <v>71</v>
      </c>
      <c r="AS407" s="325">
        <v>112014591</v>
      </c>
      <c r="AT407" s="799" t="str">
        <f t="shared" si="123"/>
        <v>LUCIANA YAMILA MANGUDO</v>
      </c>
      <c r="AW407" s="325" t="s">
        <v>1477</v>
      </c>
      <c r="AX407" s="325">
        <v>71</v>
      </c>
      <c r="AY407" s="325">
        <v>112014357</v>
      </c>
      <c r="AZ407" s="799" t="str">
        <f t="shared" si="124"/>
        <v>MAZZA MATEO AGUSTIN</v>
      </c>
      <c r="BE407" s="618"/>
      <c r="BF407" s="618"/>
    </row>
    <row r="408" spans="1:58" ht="13" hidden="1">
      <c r="A408" s="325" t="s">
        <v>708</v>
      </c>
      <c r="B408" s="325">
        <v>63</v>
      </c>
      <c r="C408" s="325">
        <v>112014542</v>
      </c>
      <c r="D408" s="799" t="str">
        <f t="shared" si="115"/>
        <v>MARCHIONI SERGIO/VERONICA GOMEZ</v>
      </c>
      <c r="G408" s="323" t="s">
        <v>189</v>
      </c>
      <c r="H408" s="325">
        <v>71</v>
      </c>
      <c r="I408" s="325">
        <v>112012614</v>
      </c>
      <c r="J408" s="1393" t="str">
        <f t="shared" si="116"/>
        <v>MUNICIPALIDAD DE LOMAS DE ZAMORA</v>
      </c>
      <c r="M408" s="323" t="s">
        <v>614</v>
      </c>
      <c r="N408" s="324">
        <v>71</v>
      </c>
      <c r="O408" s="325">
        <v>112014025</v>
      </c>
      <c r="P408" s="1455" t="str">
        <f t="shared" si="117"/>
        <v>HOULGRAVE BARBARA</v>
      </c>
      <c r="R408" s="323" t="s">
        <v>268</v>
      </c>
      <c r="S408" s="324">
        <v>62</v>
      </c>
      <c r="T408" s="325">
        <v>112013803</v>
      </c>
      <c r="U408" s="1455" t="str">
        <f t="shared" si="118"/>
        <v>PAGANO MELODY AZUL</v>
      </c>
      <c r="W408" s="323" t="s">
        <v>483</v>
      </c>
      <c r="X408" s="324"/>
      <c r="Y408" s="325">
        <v>112014095</v>
      </c>
      <c r="Z408" s="1455" t="str">
        <f t="shared" si="119"/>
        <v>MUNICIPALIDAD DE EZEIZA</v>
      </c>
      <c r="AB408" s="325" t="s">
        <v>877</v>
      </c>
      <c r="AC408" s="325">
        <v>71</v>
      </c>
      <c r="AD408" s="325">
        <v>112011865</v>
      </c>
      <c r="AE408" s="799" t="str">
        <f t="shared" si="120"/>
        <v>MAYAN SABRINA LAURA</v>
      </c>
      <c r="AG408" s="323" t="s">
        <v>1336</v>
      </c>
      <c r="AH408" s="325">
        <v>71</v>
      </c>
      <c r="AI408" s="325">
        <v>112012626</v>
      </c>
      <c r="AJ408" s="424" t="str">
        <f t="shared" si="121"/>
        <v>LOBBOTT S A</v>
      </c>
      <c r="AL408" s="325" t="s">
        <v>1169</v>
      </c>
      <c r="AM408" s="325">
        <v>71</v>
      </c>
      <c r="AN408" s="325">
        <v>112014673</v>
      </c>
      <c r="AO408" s="799" t="e">
        <f t="shared" si="122"/>
        <v>#N/A</v>
      </c>
      <c r="AQ408" s="325" t="s">
        <v>1082</v>
      </c>
      <c r="AR408" s="325">
        <v>71</v>
      </c>
      <c r="AS408" s="325">
        <v>112013725</v>
      </c>
      <c r="AT408" s="799" t="str">
        <f t="shared" si="123"/>
        <v>LUNA MATIAS</v>
      </c>
      <c r="AW408" s="325" t="s">
        <v>1404</v>
      </c>
      <c r="AX408" s="325">
        <v>55</v>
      </c>
      <c r="AY408" s="325">
        <v>112013168</v>
      </c>
      <c r="AZ408" s="799" t="str">
        <f t="shared" si="124"/>
        <v>MC DERMOTT ELBERT VICTOR</v>
      </c>
      <c r="BE408" s="618"/>
      <c r="BF408" s="618"/>
    </row>
    <row r="409" spans="1:58" ht="13" hidden="1">
      <c r="A409" s="325" t="s">
        <v>785</v>
      </c>
      <c r="B409" s="325">
        <v>71</v>
      </c>
      <c r="C409" s="325">
        <v>112014507</v>
      </c>
      <c r="D409" s="799" t="str">
        <f t="shared" si="115"/>
        <v>MARIA AGOSTINA DELLA BELLA</v>
      </c>
      <c r="G409" s="323" t="s">
        <v>95</v>
      </c>
      <c r="H409" s="325">
        <v>62</v>
      </c>
      <c r="I409" s="325">
        <v>112012709</v>
      </c>
      <c r="J409" s="1393" t="str">
        <f t="shared" si="116"/>
        <v>SUAREZ ANABELA FLORENCIA</v>
      </c>
      <c r="M409" s="323" t="s">
        <v>531</v>
      </c>
      <c r="N409" s="324">
        <v>62</v>
      </c>
      <c r="O409" s="325">
        <v>112014380</v>
      </c>
      <c r="P409" s="1455" t="str">
        <f t="shared" si="117"/>
        <v>IAFRATE ANA ANTONIA</v>
      </c>
      <c r="R409" s="323" t="s">
        <v>305</v>
      </c>
      <c r="S409" s="324">
        <v>70</v>
      </c>
      <c r="T409" s="325">
        <v>112012926</v>
      </c>
      <c r="U409" s="1455" t="str">
        <f t="shared" si="118"/>
        <v>PAULONI POGGI LUCAS ESTEBAN</v>
      </c>
      <c r="W409" s="323" t="s">
        <v>470</v>
      </c>
      <c r="X409" s="324">
        <v>71</v>
      </c>
      <c r="Y409" s="325">
        <v>112012565</v>
      </c>
      <c r="Z409" s="1455" t="str">
        <f t="shared" si="119"/>
        <v>MUNICIPALIDAD DE MARCOS PAZ</v>
      </c>
      <c r="AB409" s="325" t="s">
        <v>850</v>
      </c>
      <c r="AC409" s="325">
        <v>62</v>
      </c>
      <c r="AD409" s="325">
        <v>112013796</v>
      </c>
      <c r="AE409" s="799" t="str">
        <f t="shared" si="120"/>
        <v>MC CARGO GISELA CAROLINA</v>
      </c>
      <c r="AG409" s="323" t="s">
        <v>1319</v>
      </c>
      <c r="AH409" s="325">
        <v>63</v>
      </c>
      <c r="AI409" s="325">
        <v>112013545</v>
      </c>
      <c r="AJ409" s="424" t="str">
        <f t="shared" si="121"/>
        <v>LOPEZ DE ARMENTIA FACUNDO</v>
      </c>
      <c r="AL409" s="325" t="s">
        <v>1133</v>
      </c>
      <c r="AM409" s="325">
        <v>63</v>
      </c>
      <c r="AN409" s="325">
        <v>112014268</v>
      </c>
      <c r="AO409" s="799" t="str">
        <f t="shared" si="122"/>
        <v>MENDEZ AGUSTINA</v>
      </c>
      <c r="AQ409" s="325" t="s">
        <v>869</v>
      </c>
      <c r="AR409" s="325">
        <v>71</v>
      </c>
      <c r="AS409" s="325">
        <v>112011730</v>
      </c>
      <c r="AT409" s="799" t="e">
        <f t="shared" si="123"/>
        <v>#N/A</v>
      </c>
      <c r="AW409" s="325" t="s">
        <v>668</v>
      </c>
      <c r="AX409" s="325">
        <v>63</v>
      </c>
      <c r="AY409" s="325">
        <v>112013606</v>
      </c>
      <c r="AZ409" s="799" t="str">
        <f t="shared" si="124"/>
        <v>MOSCOSO GOMEZ CLAUDIA LORENA</v>
      </c>
      <c r="BE409" s="618"/>
      <c r="BF409" s="618"/>
    </row>
    <row r="410" spans="1:58" ht="13" hidden="1">
      <c r="A410" s="325" t="s">
        <v>786</v>
      </c>
      <c r="B410" s="325">
        <v>71</v>
      </c>
      <c r="C410" s="325">
        <v>112014579</v>
      </c>
      <c r="D410" s="799" t="str">
        <f t="shared" si="115"/>
        <v>MARIA GABRIELA ANA SCHEINSOHN</v>
      </c>
      <c r="G410" s="323" t="s">
        <v>190</v>
      </c>
      <c r="H410" s="325">
        <v>71</v>
      </c>
      <c r="I410" s="325">
        <v>112012744</v>
      </c>
      <c r="J410" s="1393" t="str">
        <f t="shared" si="116"/>
        <v>GIACHINO LAURA</v>
      </c>
      <c r="M410" s="323" t="s">
        <v>532</v>
      </c>
      <c r="N410" s="324">
        <v>62</v>
      </c>
      <c r="O410" s="325">
        <v>112014109</v>
      </c>
      <c r="P410" s="1455" t="str">
        <f t="shared" si="117"/>
        <v>ITURRIA MARISA EDITH</v>
      </c>
      <c r="R410" s="323" t="s">
        <v>335</v>
      </c>
      <c r="S410" s="324">
        <v>71</v>
      </c>
      <c r="T410" s="325">
        <v>112011956</v>
      </c>
      <c r="U410" s="1455" t="str">
        <f t="shared" si="118"/>
        <v>PEDICINO LIZA VERONICA</v>
      </c>
      <c r="W410" s="323" t="s">
        <v>489</v>
      </c>
      <c r="X410" s="324">
        <v>62</v>
      </c>
      <c r="Y410" s="325">
        <v>112010795</v>
      </c>
      <c r="Z410" s="1455" t="e">
        <f t="shared" si="119"/>
        <v>#N/A</v>
      </c>
      <c r="AB410" s="325" t="s">
        <v>844</v>
      </c>
      <c r="AC410" s="325">
        <v>63</v>
      </c>
      <c r="AD410" s="325">
        <v>112011785</v>
      </c>
      <c r="AE410" s="799" t="str">
        <f t="shared" si="120"/>
        <v>MI PONCHO S.R.L.</v>
      </c>
      <c r="AG410" s="323" t="s">
        <v>1363</v>
      </c>
      <c r="AH410" s="325">
        <v>71</v>
      </c>
      <c r="AI410" s="325">
        <v>112012290</v>
      </c>
      <c r="AJ410" s="424" t="str">
        <f t="shared" si="121"/>
        <v>MAIER PATRICIA NOEMI</v>
      </c>
      <c r="AL410" s="325" t="s">
        <v>878</v>
      </c>
      <c r="AM410" s="325">
        <v>70</v>
      </c>
      <c r="AN410" s="325">
        <v>112013751</v>
      </c>
      <c r="AO410" s="799" t="e">
        <f t="shared" si="122"/>
        <v>#N/A</v>
      </c>
      <c r="AQ410" s="325" t="s">
        <v>1101</v>
      </c>
      <c r="AR410" s="325">
        <v>70</v>
      </c>
      <c r="AS410" s="325">
        <v>112014666</v>
      </c>
      <c r="AT410" s="799" t="e">
        <f t="shared" si="123"/>
        <v>#N/A</v>
      </c>
      <c r="AW410" s="325" t="s">
        <v>1468</v>
      </c>
      <c r="AX410" s="325">
        <v>63</v>
      </c>
      <c r="AY410" s="325">
        <v>112014718</v>
      </c>
      <c r="AZ410" s="799" t="str">
        <f t="shared" si="124"/>
        <v>MOTTA LUCAS GABRIEL</v>
      </c>
      <c r="BE410" s="618"/>
      <c r="BF410" s="618"/>
    </row>
    <row r="411" spans="1:58" ht="13" hidden="1">
      <c r="A411" s="325" t="s">
        <v>694</v>
      </c>
      <c r="B411" s="325">
        <v>58</v>
      </c>
      <c r="C411" s="325">
        <v>112011130</v>
      </c>
      <c r="D411" s="799" t="str">
        <f t="shared" si="115"/>
        <v>MARIO CUEVA</v>
      </c>
      <c r="G411" s="323" t="s">
        <v>191</v>
      </c>
      <c r="H411" s="325">
        <v>71</v>
      </c>
      <c r="I411" s="325">
        <v>112012844</v>
      </c>
      <c r="J411" s="1393" t="str">
        <f t="shared" si="116"/>
        <v>SCHIUMA RUBEN ALBERTO</v>
      </c>
      <c r="M411" s="323" t="s">
        <v>585</v>
      </c>
      <c r="N411" s="324">
        <v>70</v>
      </c>
      <c r="O411" s="325">
        <v>112014333</v>
      </c>
      <c r="P411" s="1455" t="str">
        <f t="shared" si="117"/>
        <v>IZUMI MARIA VICTORIA</v>
      </c>
      <c r="R411" s="323" t="s">
        <v>336</v>
      </c>
      <c r="S411" s="324">
        <v>71</v>
      </c>
      <c r="T411" s="325">
        <v>112011442</v>
      </c>
      <c r="U411" s="1455" t="str">
        <f t="shared" si="118"/>
        <v>PERALTA SOFIA</v>
      </c>
      <c r="W411" s="323" t="s">
        <v>398</v>
      </c>
      <c r="X411" s="324">
        <v>61</v>
      </c>
      <c r="Y411" s="325">
        <v>112012358</v>
      </c>
      <c r="Z411" s="1455" t="str">
        <f t="shared" si="119"/>
        <v>PABLO DAVID DI PRINZIO Y RODRIGO EMMANUEL CARINO SOCIEDAD DE HECHO</v>
      </c>
      <c r="AB411" s="325" t="s">
        <v>928</v>
      </c>
      <c r="AC411" s="325">
        <v>62</v>
      </c>
      <c r="AD411" s="325">
        <v>112014140</v>
      </c>
      <c r="AE411" s="799" t="e">
        <f t="shared" si="120"/>
        <v>#N/A</v>
      </c>
      <c r="AG411" s="323" t="s">
        <v>1320</v>
      </c>
      <c r="AH411" s="325">
        <v>63</v>
      </c>
      <c r="AI411" s="325">
        <v>112010568</v>
      </c>
      <c r="AJ411" s="424" t="str">
        <f t="shared" si="121"/>
        <v>MALANDRA JORGE ARIEL</v>
      </c>
      <c r="AL411" s="325" t="s">
        <v>1180</v>
      </c>
      <c r="AM411" s="325">
        <v>71</v>
      </c>
      <c r="AN411" s="325">
        <v>112012186</v>
      </c>
      <c r="AO411" s="799" t="e">
        <f t="shared" si="122"/>
        <v>#N/A</v>
      </c>
      <c r="AQ411" s="325" t="s">
        <v>1089</v>
      </c>
      <c r="AR411" s="325">
        <v>71</v>
      </c>
      <c r="AS411" s="325">
        <v>112014500</v>
      </c>
      <c r="AT411" s="799" t="str">
        <f t="shared" si="123"/>
        <v>MARIA CECILIA TORRA</v>
      </c>
      <c r="AW411" s="325" t="s">
        <v>1471</v>
      </c>
      <c r="AX411" s="325">
        <v>67</v>
      </c>
      <c r="AY411" s="325">
        <v>112012550</v>
      </c>
      <c r="AZ411" s="799" t="str">
        <f t="shared" si="124"/>
        <v>MUNDO MARINO S A</v>
      </c>
      <c r="BE411" s="618"/>
      <c r="BF411" s="618"/>
    </row>
    <row r="412" spans="1:58" ht="13" hidden="1">
      <c r="A412" s="325" t="s">
        <v>696</v>
      </c>
      <c r="B412" s="325">
        <v>59</v>
      </c>
      <c r="C412" s="325">
        <v>112012722</v>
      </c>
      <c r="D412" s="799" t="str">
        <f t="shared" si="115"/>
        <v>MARTINEZ MARIA ANGELES</v>
      </c>
      <c r="G412" s="323" t="s">
        <v>155</v>
      </c>
      <c r="H412" s="325">
        <v>70</v>
      </c>
      <c r="I412" s="325">
        <v>112012848</v>
      </c>
      <c r="J412" s="1393" t="str">
        <f t="shared" si="116"/>
        <v>DISLOSUR HERMANOS S.R.L.</v>
      </c>
      <c r="M412" s="323" t="s">
        <v>586</v>
      </c>
      <c r="N412" s="324">
        <v>70</v>
      </c>
      <c r="O412" s="325">
        <v>112014523</v>
      </c>
      <c r="P412" s="1455" t="str">
        <f t="shared" si="117"/>
        <v>JORGE ESPARRAGO OCAMPO</v>
      </c>
      <c r="R412" s="323" t="s">
        <v>351</v>
      </c>
      <c r="S412" s="324"/>
      <c r="T412" s="325">
        <v>112012618</v>
      </c>
      <c r="U412" s="1455" t="str">
        <f t="shared" si="118"/>
        <v>PEREIRA CORREIA CARLOS ALBERTO</v>
      </c>
      <c r="W412" s="323" t="s">
        <v>466</v>
      </c>
      <c r="X412" s="324">
        <v>71</v>
      </c>
      <c r="Y412" s="325">
        <v>112011855</v>
      </c>
      <c r="Z412" s="1455" t="str">
        <f t="shared" si="119"/>
        <v>PAREDES CLAUDIA CECILIA</v>
      </c>
      <c r="AB412" s="325" t="s">
        <v>977</v>
      </c>
      <c r="AC412" s="325">
        <v>71</v>
      </c>
      <c r="AD412" s="325">
        <v>112014689</v>
      </c>
      <c r="AE412" s="799" t="e">
        <f t="shared" si="120"/>
        <v>#N/A</v>
      </c>
      <c r="AG412" s="323" t="s">
        <v>1364</v>
      </c>
      <c r="AH412" s="325">
        <v>71</v>
      </c>
      <c r="AI412" s="325">
        <v>112014551</v>
      </c>
      <c r="AJ412" s="424" t="str">
        <f t="shared" si="121"/>
        <v>MARCELO RAUL ROQUES</v>
      </c>
      <c r="AL412" s="325" t="s">
        <v>1208</v>
      </c>
      <c r="AM412" s="325">
        <v>71</v>
      </c>
      <c r="AN412" s="325">
        <v>112011846</v>
      </c>
      <c r="AO412" s="799" t="e">
        <f t="shared" si="122"/>
        <v>#N/A</v>
      </c>
      <c r="AQ412" s="325" t="s">
        <v>870</v>
      </c>
      <c r="AR412" s="325">
        <v>63</v>
      </c>
      <c r="AS412" s="325">
        <v>112010450</v>
      </c>
      <c r="AT412" s="799" t="e">
        <f t="shared" si="123"/>
        <v>#N/A</v>
      </c>
      <c r="AW412" s="325" t="s">
        <v>1492</v>
      </c>
      <c r="AX412" s="325"/>
      <c r="AY412" s="325">
        <v>112012527</v>
      </c>
      <c r="AZ412" s="799" t="str">
        <f t="shared" si="124"/>
        <v>MUNICIPALIDAD DE ALMIRANTE BROWN</v>
      </c>
      <c r="BE412" s="618"/>
      <c r="BF412" s="618"/>
    </row>
    <row r="413" spans="1:58" ht="13" hidden="1">
      <c r="A413" s="325" t="s">
        <v>758</v>
      </c>
      <c r="B413" s="325">
        <v>70</v>
      </c>
      <c r="C413" s="325">
        <v>112013277</v>
      </c>
      <c r="D413" s="799" t="str">
        <f t="shared" si="115"/>
        <v>MAUMUS CARLA IRENE</v>
      </c>
      <c r="G413" s="323" t="s">
        <v>192</v>
      </c>
      <c r="H413" s="325">
        <v>71</v>
      </c>
      <c r="I413" s="325">
        <v>112012870</v>
      </c>
      <c r="J413" s="1393" t="str">
        <f t="shared" si="116"/>
        <v>SCARPONE ORIEL ALFREDO</v>
      </c>
      <c r="M413" s="323" t="s">
        <v>533</v>
      </c>
      <c r="N413" s="324">
        <v>62</v>
      </c>
      <c r="O413" s="325">
        <v>112014517</v>
      </c>
      <c r="P413" s="1455" t="str">
        <f t="shared" si="117"/>
        <v>JOSELO FERNANDO OROÑISKY</v>
      </c>
      <c r="R413" s="323" t="s">
        <v>347</v>
      </c>
      <c r="S413" s="324"/>
      <c r="T413" s="325">
        <v>112014150</v>
      </c>
      <c r="U413" s="1455" t="str">
        <f t="shared" si="118"/>
        <v>PEREZ SERGIO ANDRES</v>
      </c>
      <c r="W413" s="323" t="s">
        <v>474</v>
      </c>
      <c r="X413" s="324">
        <v>71</v>
      </c>
      <c r="Y413" s="325">
        <v>112013204</v>
      </c>
      <c r="Z413" s="1455" t="str">
        <f t="shared" si="119"/>
        <v>PROVOSTE ADRIAN FERNANDO</v>
      </c>
      <c r="AB413" s="325" t="s">
        <v>927</v>
      </c>
      <c r="AC413" s="325">
        <v>62</v>
      </c>
      <c r="AD413" s="325">
        <v>112014090</v>
      </c>
      <c r="AE413" s="799" t="e">
        <f t="shared" si="120"/>
        <v>#N/A</v>
      </c>
      <c r="AG413" s="323" t="s">
        <v>1300</v>
      </c>
      <c r="AH413" s="325">
        <v>63</v>
      </c>
      <c r="AI413" s="325">
        <v>112013273</v>
      </c>
      <c r="AJ413" s="424" t="str">
        <f t="shared" si="121"/>
        <v>MARIÑO VIRGINIA</v>
      </c>
      <c r="AL413" s="325" t="s">
        <v>1150</v>
      </c>
      <c r="AM413" s="325">
        <v>70</v>
      </c>
      <c r="AN413" s="325">
        <v>112014243</v>
      </c>
      <c r="AO413" s="799" t="str">
        <f t="shared" si="122"/>
        <v>NAINSZTEIN VANINA</v>
      </c>
      <c r="AQ413" s="325" t="s">
        <v>1022</v>
      </c>
      <c r="AR413" s="325">
        <v>62</v>
      </c>
      <c r="AS413" s="325">
        <v>112014524</v>
      </c>
      <c r="AT413" s="799" t="str">
        <f t="shared" si="123"/>
        <v>MARIANA LEILA ABRAHIM</v>
      </c>
      <c r="AW413" s="325" t="s">
        <v>1493</v>
      </c>
      <c r="AX413" s="325"/>
      <c r="AY413" s="325">
        <v>112013199</v>
      </c>
      <c r="AZ413" s="799" t="str">
        <f t="shared" si="124"/>
        <v>MUNICIPALIDAD DE BERAZATEGUI</v>
      </c>
      <c r="BE413" s="618"/>
      <c r="BF413" s="618"/>
    </row>
    <row r="414" spans="1:58" ht="13" hidden="1">
      <c r="A414" s="325" t="s">
        <v>692</v>
      </c>
      <c r="B414" s="325">
        <v>53</v>
      </c>
      <c r="C414" s="325">
        <v>112014776</v>
      </c>
      <c r="D414" s="799" t="str">
        <f t="shared" si="115"/>
        <v>MAZZA GUILLERMO HECTOR</v>
      </c>
      <c r="G414" s="323" t="s">
        <v>119</v>
      </c>
      <c r="H414" s="325">
        <v>70</v>
      </c>
      <c r="I414" s="325">
        <v>112012948</v>
      </c>
      <c r="J414" s="1393" t="str">
        <f t="shared" si="116"/>
        <v>GARAY LUCAS MAXIMILIANO</v>
      </c>
      <c r="M414" s="323" t="s">
        <v>660</v>
      </c>
      <c r="N414" s="324"/>
      <c r="O414" s="325">
        <v>112014674</v>
      </c>
      <c r="P414" s="1455" t="str">
        <f t="shared" si="117"/>
        <v>JUAN PABLO SEBASTIAN VALENZUELA</v>
      </c>
      <c r="R414" s="323" t="s">
        <v>337</v>
      </c>
      <c r="S414" s="324">
        <v>71</v>
      </c>
      <c r="T414" s="325">
        <v>112011733</v>
      </c>
      <c r="U414" s="1455" t="str">
        <f t="shared" si="118"/>
        <v>PORTELA ANA ROCIO</v>
      </c>
      <c r="W414" s="323" t="s">
        <v>438</v>
      </c>
      <c r="X414" s="324">
        <v>63</v>
      </c>
      <c r="Y414" s="325">
        <v>112013877</v>
      </c>
      <c r="Z414" s="1455" t="str">
        <f t="shared" si="119"/>
        <v>RAMIREZ PAMELA SILVANA</v>
      </c>
      <c r="AB414" s="325" t="s">
        <v>946</v>
      </c>
      <c r="AC414" s="325">
        <v>70</v>
      </c>
      <c r="AD414" s="325">
        <v>112014148</v>
      </c>
      <c r="AE414" s="799" t="e">
        <f t="shared" si="120"/>
        <v>#N/A</v>
      </c>
      <c r="AG414" s="323" t="s">
        <v>1321</v>
      </c>
      <c r="AH414" s="325">
        <v>63</v>
      </c>
      <c r="AI414" s="325">
        <v>112014686</v>
      </c>
      <c r="AJ414" s="424" t="str">
        <f t="shared" si="121"/>
        <v>MARQUEZ JENNIFER ESTEFANIA</v>
      </c>
      <c r="AL414" s="325" t="s">
        <v>1187</v>
      </c>
      <c r="AM414" s="325"/>
      <c r="AN414" s="325">
        <v>112012517</v>
      </c>
      <c r="AO414" s="799" t="e">
        <f t="shared" si="122"/>
        <v>#N/A</v>
      </c>
      <c r="AQ414" s="325" t="s">
        <v>1051</v>
      </c>
      <c r="AR414" s="325">
        <v>71</v>
      </c>
      <c r="AS414" s="325">
        <v>112014511</v>
      </c>
      <c r="AT414" s="799" t="str">
        <f t="shared" si="123"/>
        <v>MARILE NEGRI</v>
      </c>
      <c r="AW414" s="325" t="s">
        <v>1484</v>
      </c>
      <c r="AX414" s="325">
        <v>71</v>
      </c>
      <c r="AY414" s="325">
        <v>112013990</v>
      </c>
      <c r="AZ414" s="799" t="str">
        <f t="shared" si="124"/>
        <v>MUNICIPALIDAD DE BRAGADO</v>
      </c>
      <c r="BE414" s="618"/>
      <c r="BF414" s="618"/>
    </row>
    <row r="415" spans="1:58" ht="13" hidden="1">
      <c r="A415" s="325" t="s">
        <v>731</v>
      </c>
      <c r="B415" s="325">
        <v>70</v>
      </c>
      <c r="C415" s="325">
        <v>112013859</v>
      </c>
      <c r="D415" s="799" t="str">
        <f t="shared" si="115"/>
        <v>MEJIAS JUAN MARCELO</v>
      </c>
      <c r="G415" s="323" t="s">
        <v>156</v>
      </c>
      <c r="H415" s="325">
        <v>70</v>
      </c>
      <c r="I415" s="325">
        <v>112012950</v>
      </c>
      <c r="J415" s="1393" t="str">
        <f t="shared" si="116"/>
        <v>ROBERTO ANIBAL PAVON</v>
      </c>
      <c r="M415" s="323" t="s">
        <v>587</v>
      </c>
      <c r="N415" s="324">
        <v>70</v>
      </c>
      <c r="O415" s="325">
        <v>112013605</v>
      </c>
      <c r="P415" s="1455" t="str">
        <f t="shared" si="117"/>
        <v>LAGOS SEBASTIAN AGUSTIN</v>
      </c>
      <c r="R415" s="323" t="s">
        <v>338</v>
      </c>
      <c r="S415" s="324">
        <v>71</v>
      </c>
      <c r="T415" s="325">
        <v>112010542</v>
      </c>
      <c r="U415" s="1455" t="str">
        <f t="shared" si="118"/>
        <v>RAJOY RUBEN DANIEL</v>
      </c>
      <c r="W415" s="323" t="s">
        <v>383</v>
      </c>
      <c r="X415" s="324">
        <v>54</v>
      </c>
      <c r="Y415" s="325">
        <v>112013812</v>
      </c>
      <c r="Z415" s="1455" t="str">
        <f t="shared" si="119"/>
        <v>RAMIRO DUFFARD</v>
      </c>
      <c r="AB415" s="325" t="s">
        <v>983</v>
      </c>
      <c r="AC415" s="325"/>
      <c r="AD415" s="325">
        <v>112014728</v>
      </c>
      <c r="AE415" s="799" t="e">
        <f t="shared" si="120"/>
        <v>#N/A</v>
      </c>
      <c r="AG415" s="323" t="s">
        <v>1365</v>
      </c>
      <c r="AH415" s="325">
        <v>71</v>
      </c>
      <c r="AI415" s="325">
        <v>112014285</v>
      </c>
      <c r="AJ415" s="424" t="str">
        <f t="shared" si="121"/>
        <v>MARTIN FEDERICO JOSE</v>
      </c>
      <c r="AL415" s="325" t="s">
        <v>1151</v>
      </c>
      <c r="AM415" s="325">
        <v>70</v>
      </c>
      <c r="AN415" s="325">
        <v>112012629</v>
      </c>
      <c r="AO415" s="799" t="str">
        <f t="shared" si="122"/>
        <v>ONDICOL JUAN MANUEL</v>
      </c>
      <c r="AQ415" s="325" t="s">
        <v>1023</v>
      </c>
      <c r="AR415" s="325">
        <v>63</v>
      </c>
      <c r="AS415" s="325">
        <v>112014627</v>
      </c>
      <c r="AT415" s="799" t="str">
        <f t="shared" si="123"/>
        <v>MARINA LOPEZ</v>
      </c>
      <c r="AW415" s="325" t="s">
        <v>1117</v>
      </c>
      <c r="AX415" s="325">
        <v>71</v>
      </c>
      <c r="AY415" s="325">
        <v>112013669</v>
      </c>
      <c r="AZ415" s="799" t="str">
        <f t="shared" si="124"/>
        <v>MUNICIPALIDAD DE GENERAL ALVEAR</v>
      </c>
      <c r="BE415" s="618"/>
      <c r="BF415" s="618"/>
    </row>
    <row r="416" spans="1:58" ht="13" hidden="1">
      <c r="A416" s="325" t="s">
        <v>759</v>
      </c>
      <c r="B416" s="325">
        <v>70</v>
      </c>
      <c r="C416" s="325">
        <v>112013918</v>
      </c>
      <c r="D416" s="799" t="str">
        <f t="shared" si="115"/>
        <v>MERCADO NELIDA ROSA</v>
      </c>
      <c r="G416" s="323" t="s">
        <v>193</v>
      </c>
      <c r="H416" s="325">
        <v>71</v>
      </c>
      <c r="I416" s="325">
        <v>112012963</v>
      </c>
      <c r="J416" s="1393" t="str">
        <f t="shared" si="116"/>
        <v>CAMPI BRIAN NICOLAS</v>
      </c>
      <c r="M416" s="323" t="s">
        <v>534</v>
      </c>
      <c r="N416" s="324">
        <v>62</v>
      </c>
      <c r="O416" s="325">
        <v>112014315</v>
      </c>
      <c r="P416" s="1455" t="str">
        <f t="shared" si="117"/>
        <v>LAURIAQUE ROSSANA BEATRIZ</v>
      </c>
      <c r="R416" s="323" t="s">
        <v>280</v>
      </c>
      <c r="S416" s="324">
        <v>63</v>
      </c>
      <c r="T416" s="325">
        <v>112012087</v>
      </c>
      <c r="U416" s="1455" t="str">
        <f t="shared" si="118"/>
        <v>RETONTALI MARIO ANDRES</v>
      </c>
      <c r="W416" s="323" t="s">
        <v>412</v>
      </c>
      <c r="X416" s="324">
        <v>62</v>
      </c>
      <c r="Y416" s="325">
        <v>112013224</v>
      </c>
      <c r="Z416" s="1455" t="str">
        <f t="shared" si="119"/>
        <v>RAMOS BRIAN NAHUEL</v>
      </c>
      <c r="AB416" s="325" t="s">
        <v>862</v>
      </c>
      <c r="AC416" s="325">
        <v>63</v>
      </c>
      <c r="AD416" s="325">
        <v>112013316</v>
      </c>
      <c r="AE416" s="799" t="str">
        <f t="shared" si="120"/>
        <v>MUTIO JOSE ABEL</v>
      </c>
      <c r="AG416" s="323" t="s">
        <v>1366</v>
      </c>
      <c r="AH416" s="325">
        <v>71</v>
      </c>
      <c r="AI416" s="325">
        <v>112014614</v>
      </c>
      <c r="AJ416" s="424" t="str">
        <f t="shared" si="121"/>
        <v>MARTIN GASTON FERNANDEZ CHAPARRO</v>
      </c>
      <c r="AL416" s="325" t="s">
        <v>1181</v>
      </c>
      <c r="AM416" s="325">
        <v>71</v>
      </c>
      <c r="AN416" s="325">
        <v>112013366</v>
      </c>
      <c r="AO416" s="799" t="e">
        <f t="shared" si="122"/>
        <v>#N/A</v>
      </c>
      <c r="AQ416" s="325" t="s">
        <v>1098</v>
      </c>
      <c r="AR416" s="325">
        <v>69</v>
      </c>
      <c r="AS416" s="325">
        <v>112014251</v>
      </c>
      <c r="AT416" s="799" t="e">
        <f t="shared" si="123"/>
        <v>#N/A</v>
      </c>
      <c r="AW416" s="325" t="s">
        <v>1491</v>
      </c>
      <c r="AX416" s="325"/>
      <c r="AY416" s="325">
        <v>112013901</v>
      </c>
      <c r="AZ416" s="799" t="str">
        <f t="shared" si="124"/>
        <v>MUNICIPALIDAD DE GENERAL LAS HERAS</v>
      </c>
      <c r="BE416" s="618"/>
      <c r="BF416" s="618"/>
    </row>
    <row r="417" spans="1:58" ht="13" hidden="1">
      <c r="A417" s="325" t="s">
        <v>805</v>
      </c>
      <c r="B417" s="325"/>
      <c r="C417" s="325">
        <v>112012669</v>
      </c>
      <c r="D417" s="799" t="str">
        <f t="shared" si="115"/>
        <v>MILITO NATALIA PAOLA</v>
      </c>
      <c r="G417" s="323" t="s">
        <v>194</v>
      </c>
      <c r="H417" s="325">
        <v>71</v>
      </c>
      <c r="I417" s="325">
        <v>112012975</v>
      </c>
      <c r="J417" s="1393" t="str">
        <f t="shared" si="116"/>
        <v>ROMERO CLAUDIO OMAR</v>
      </c>
      <c r="M417" s="323" t="s">
        <v>535</v>
      </c>
      <c r="N417" s="324">
        <v>62</v>
      </c>
      <c r="O417" s="325">
        <v>112014738</v>
      </c>
      <c r="P417" s="1455" t="str">
        <f t="shared" si="117"/>
        <v>LAVANDEYRA JOSE MANUEL</v>
      </c>
      <c r="R417" s="323" t="s">
        <v>275</v>
      </c>
      <c r="S417" s="324">
        <v>63</v>
      </c>
      <c r="T417" s="325">
        <v>112011438</v>
      </c>
      <c r="U417" s="1455" t="str">
        <f t="shared" si="118"/>
        <v>RICUPERO CARLOS/ AUGE ELIZABETH</v>
      </c>
      <c r="W417" s="323" t="s">
        <v>414</v>
      </c>
      <c r="X417" s="324">
        <v>62</v>
      </c>
      <c r="Y417" s="325">
        <v>112013295</v>
      </c>
      <c r="Z417" s="1455" t="str">
        <f t="shared" si="119"/>
        <v>RAMOS EZEQUIEL OSCAR</v>
      </c>
      <c r="AB417" s="325" t="s">
        <v>847</v>
      </c>
      <c r="AC417" s="325">
        <v>62</v>
      </c>
      <c r="AD417" s="325">
        <v>112012774</v>
      </c>
      <c r="AE417" s="799" t="str">
        <f t="shared" si="120"/>
        <v>NAVARRO LUCAS</v>
      </c>
      <c r="AG417" s="323" t="s">
        <v>1272</v>
      </c>
      <c r="AH417" s="325">
        <v>61</v>
      </c>
      <c r="AI417" s="325">
        <v>112012832</v>
      </c>
      <c r="AJ417" s="424" t="str">
        <f t="shared" si="121"/>
        <v>MASTRANGELO EZEQUIEL</v>
      </c>
      <c r="AL417" s="325" t="s">
        <v>1217</v>
      </c>
      <c r="AM417" s="325">
        <v>70</v>
      </c>
      <c r="AN417" s="325">
        <v>112011445</v>
      </c>
      <c r="AO417" s="799" t="e">
        <f t="shared" si="122"/>
        <v>#N/A</v>
      </c>
      <c r="AQ417" s="325" t="s">
        <v>1002</v>
      </c>
      <c r="AR417" s="325">
        <v>63</v>
      </c>
      <c r="AS417" s="325">
        <v>112014449</v>
      </c>
      <c r="AT417" s="799" t="str">
        <f t="shared" si="123"/>
        <v>MASSON EDGARDO HERNAN</v>
      </c>
      <c r="AW417" s="325" t="s">
        <v>1494</v>
      </c>
      <c r="AX417" s="325"/>
      <c r="AY417" s="325">
        <v>112014076</v>
      </c>
      <c r="AZ417" s="799" t="str">
        <f t="shared" si="124"/>
        <v>MUNICIPALIDAD DE LAPRIDA</v>
      </c>
      <c r="BE417" s="618"/>
      <c r="BF417" s="618"/>
    </row>
    <row r="418" spans="1:58" ht="13" hidden="1">
      <c r="A418" s="325" t="s">
        <v>760</v>
      </c>
      <c r="B418" s="325">
        <v>69</v>
      </c>
      <c r="C418" s="325">
        <v>112013584</v>
      </c>
      <c r="D418" s="799" t="str">
        <f t="shared" si="115"/>
        <v>MILONE ALBERTO</v>
      </c>
      <c r="G418" s="323" t="s">
        <v>195</v>
      </c>
      <c r="H418" s="325">
        <v>71</v>
      </c>
      <c r="I418" s="325">
        <v>112013040</v>
      </c>
      <c r="J418" s="1393" t="str">
        <f t="shared" si="116"/>
        <v>TORRES LORENA SILVIA</v>
      </c>
      <c r="M418" s="323" t="s">
        <v>637</v>
      </c>
      <c r="N418" s="324">
        <v>70</v>
      </c>
      <c r="O418" s="325">
        <v>112014240</v>
      </c>
      <c r="P418" s="1455" t="str">
        <f t="shared" si="117"/>
        <v>LEMA ARIEL GUSTAVO</v>
      </c>
      <c r="R418" s="323" t="s">
        <v>266</v>
      </c>
      <c r="S418" s="324">
        <v>63</v>
      </c>
      <c r="T418" s="325">
        <v>112012489</v>
      </c>
      <c r="U418" s="1455" t="str">
        <f t="shared" si="118"/>
        <v>RODRIGUEZ CARLOS EDUARDO</v>
      </c>
      <c r="W418" s="323" t="s">
        <v>439</v>
      </c>
      <c r="X418" s="324">
        <v>63</v>
      </c>
      <c r="Y418" s="325">
        <v>112011275</v>
      </c>
      <c r="Z418" s="1455" t="str">
        <f t="shared" si="119"/>
        <v>REYNA MARTA INES</v>
      </c>
      <c r="AB418" s="325" t="s">
        <v>942</v>
      </c>
      <c r="AC418" s="325">
        <v>71</v>
      </c>
      <c r="AD418" s="325">
        <v>112012132</v>
      </c>
      <c r="AE418" s="799" t="e">
        <f t="shared" si="120"/>
        <v>#N/A</v>
      </c>
      <c r="AG418" s="323" t="s">
        <v>1383</v>
      </c>
      <c r="AH418" s="325"/>
      <c r="AI418" s="325">
        <v>112014601</v>
      </c>
      <c r="AJ418" s="424" t="str">
        <f t="shared" si="121"/>
        <v>MAURICIO PABLO CEFERINO ARIAS</v>
      </c>
      <c r="AL418" s="325" t="s">
        <v>1159</v>
      </c>
      <c r="AM418" s="325">
        <v>70</v>
      </c>
      <c r="AN418" s="325">
        <v>112012576</v>
      </c>
      <c r="AO418" s="799" t="e">
        <f t="shared" si="122"/>
        <v>#N/A</v>
      </c>
      <c r="AQ418" s="325" t="s">
        <v>1071</v>
      </c>
      <c r="AR418" s="325">
        <v>71</v>
      </c>
      <c r="AS418" s="325">
        <v>112011594</v>
      </c>
      <c r="AT418" s="799" t="str">
        <f t="shared" si="123"/>
        <v>MINOLI MARIANO</v>
      </c>
      <c r="AW418" s="325" t="s">
        <v>1495</v>
      </c>
      <c r="AX418" s="325"/>
      <c r="AY418" s="325">
        <v>112011824</v>
      </c>
      <c r="AZ418" s="799" t="str">
        <f t="shared" si="124"/>
        <v>MUNICIPALIDAD DE LOBOS</v>
      </c>
      <c r="BE418" s="618"/>
      <c r="BF418" s="618"/>
    </row>
    <row r="419" spans="1:58" ht="13" hidden="1">
      <c r="A419" s="325" t="s">
        <v>787</v>
      </c>
      <c r="B419" s="325">
        <v>71</v>
      </c>
      <c r="C419" s="325">
        <v>112013054</v>
      </c>
      <c r="D419" s="799" t="str">
        <f t="shared" si="115"/>
        <v>MOLDES SILVINA RUTH</v>
      </c>
      <c r="G419" s="323" t="s">
        <v>68</v>
      </c>
      <c r="H419" s="325">
        <v>53</v>
      </c>
      <c r="I419" s="325">
        <v>112013044</v>
      </c>
      <c r="J419" s="1393" t="str">
        <f t="shared" si="116"/>
        <v>FOGONVET S.R.L.</v>
      </c>
      <c r="M419" s="323" t="s">
        <v>588</v>
      </c>
      <c r="N419" s="324">
        <v>69</v>
      </c>
      <c r="O419" s="325">
        <v>112014395</v>
      </c>
      <c r="P419" s="1455" t="str">
        <f t="shared" si="117"/>
        <v>LIBONATTI WALTER MARTIN</v>
      </c>
      <c r="R419" s="323" t="s">
        <v>352</v>
      </c>
      <c r="S419" s="324"/>
      <c r="T419" s="325">
        <v>112013258</v>
      </c>
      <c r="U419" s="1455" t="str">
        <f t="shared" si="118"/>
        <v>RODRIGUEZ HORACIO MARCELINO</v>
      </c>
      <c r="W419" s="323" t="s">
        <v>400</v>
      </c>
      <c r="X419" s="324">
        <v>61</v>
      </c>
      <c r="Y419" s="325">
        <v>112013973</v>
      </c>
      <c r="Z419" s="1455" t="str">
        <f t="shared" si="119"/>
        <v>ROLON SANDRA PAOLA</v>
      </c>
      <c r="AB419" s="325" t="s">
        <v>884</v>
      </c>
      <c r="AC419" s="325">
        <v>71</v>
      </c>
      <c r="AD419" s="325">
        <v>112014672</v>
      </c>
      <c r="AE419" s="799" t="str">
        <f t="shared" si="120"/>
        <v>OMAR LEONARDO SOSA</v>
      </c>
      <c r="AG419" s="323" t="s">
        <v>1338</v>
      </c>
      <c r="AH419" s="325">
        <v>71</v>
      </c>
      <c r="AI419" s="325">
        <v>112013925</v>
      </c>
      <c r="AJ419" s="424" t="str">
        <f t="shared" si="121"/>
        <v>MIROGLIO ANTONELA MAILEN</v>
      </c>
      <c r="AL419" s="325" t="s">
        <v>1162</v>
      </c>
      <c r="AM419" s="325">
        <v>70</v>
      </c>
      <c r="AN419" s="325">
        <v>112014544</v>
      </c>
      <c r="AO419" s="799" t="e">
        <f t="shared" si="122"/>
        <v>#N/A</v>
      </c>
      <c r="AQ419" s="325" t="s">
        <v>1017</v>
      </c>
      <c r="AR419" s="325">
        <v>63</v>
      </c>
      <c r="AS419" s="325">
        <v>112013484</v>
      </c>
      <c r="AT419" s="799" t="str">
        <f t="shared" si="123"/>
        <v>MOLINA MOLA MARIANA GISELE</v>
      </c>
      <c r="AW419" s="325" t="s">
        <v>1498</v>
      </c>
      <c r="AX419" s="325"/>
      <c r="AY419" s="325">
        <v>112013723</v>
      </c>
      <c r="AZ419" s="799" t="str">
        <f t="shared" si="124"/>
        <v>MUNICIPALIDAD DE MONTE</v>
      </c>
      <c r="BE419" s="618"/>
      <c r="BF419" s="618"/>
    </row>
    <row r="420" spans="1:58" ht="13" hidden="1">
      <c r="A420" s="325" t="s">
        <v>761</v>
      </c>
      <c r="B420" s="325">
        <v>70</v>
      </c>
      <c r="C420" s="325">
        <v>112014046</v>
      </c>
      <c r="D420" s="799" t="str">
        <f t="shared" si="115"/>
        <v>MOLINARI ALEJANDRA ROMINA</v>
      </c>
      <c r="G420" s="323" t="s">
        <v>113</v>
      </c>
      <c r="H420" s="325">
        <v>69</v>
      </c>
      <c r="I420" s="325">
        <v>112013085</v>
      </c>
      <c r="J420" s="1393" t="str">
        <f t="shared" si="116"/>
        <v>BIDAL DANIELA SILVANA</v>
      </c>
      <c r="M420" s="323" t="s">
        <v>646</v>
      </c>
      <c r="N420" s="324">
        <v>71</v>
      </c>
      <c r="O420" s="325">
        <v>112011741</v>
      </c>
      <c r="P420" s="1455" t="str">
        <f t="shared" si="117"/>
        <v>LLANEZA FRANCISCO ALBERTO</v>
      </c>
      <c r="R420" s="323" t="s">
        <v>339</v>
      </c>
      <c r="S420" s="324">
        <v>71</v>
      </c>
      <c r="T420" s="325">
        <v>112012258</v>
      </c>
      <c r="U420" s="1455" t="str">
        <f t="shared" si="118"/>
        <v>ROMERO JUAN FACUNDO</v>
      </c>
      <c r="W420" s="323" t="s">
        <v>447</v>
      </c>
      <c r="X420" s="324">
        <v>66</v>
      </c>
      <c r="Y420" s="325">
        <v>112010434</v>
      </c>
      <c r="Z420" s="1455" t="str">
        <f t="shared" si="119"/>
        <v>ROMAN GABRIELA MABEL</v>
      </c>
      <c r="AB420" s="325" t="s">
        <v>948</v>
      </c>
      <c r="AC420" s="325">
        <v>71</v>
      </c>
      <c r="AD420" s="325">
        <v>112013698</v>
      </c>
      <c r="AE420" s="799" t="e">
        <f t="shared" si="120"/>
        <v>#N/A</v>
      </c>
      <c r="AG420" s="323" t="s">
        <v>1367</v>
      </c>
      <c r="AH420" s="325">
        <v>71</v>
      </c>
      <c r="AI420" s="325">
        <v>112013861</v>
      </c>
      <c r="AJ420" s="424" t="str">
        <f t="shared" si="121"/>
        <v>MONTENEGRO IBAÑEZ ANA MONICA</v>
      </c>
      <c r="AL420" s="325" t="s">
        <v>1225</v>
      </c>
      <c r="AM420" s="325">
        <v>71</v>
      </c>
      <c r="AN420" s="325">
        <v>112013965</v>
      </c>
      <c r="AO420" s="799" t="e">
        <f t="shared" si="122"/>
        <v>#N/A</v>
      </c>
      <c r="AQ420" s="325" t="s">
        <v>873</v>
      </c>
      <c r="AR420" s="325">
        <v>63</v>
      </c>
      <c r="AS420" s="325">
        <v>112010673</v>
      </c>
      <c r="AT420" s="799" t="e">
        <f t="shared" si="123"/>
        <v>#N/A</v>
      </c>
      <c r="AW420" s="325" t="s">
        <v>1499</v>
      </c>
      <c r="AX420" s="325"/>
      <c r="AY420" s="325">
        <v>112012864</v>
      </c>
      <c r="AZ420" s="799" t="str">
        <f t="shared" si="124"/>
        <v>MUNICIPALIDAD DE PRESIDENTE PERON</v>
      </c>
      <c r="BE420" s="618"/>
      <c r="BF420" s="618"/>
    </row>
    <row r="421" spans="1:58" ht="13" hidden="1">
      <c r="A421" s="325" t="s">
        <v>715</v>
      </c>
      <c r="B421" s="325">
        <v>67</v>
      </c>
      <c r="C421" s="325">
        <v>112011463</v>
      </c>
      <c r="D421" s="799" t="str">
        <f t="shared" si="115"/>
        <v>MONTENEGRO CLAUDIO ALBERTO</v>
      </c>
      <c r="G421" s="323" t="s">
        <v>222</v>
      </c>
      <c r="H421" s="325"/>
      <c r="I421" s="325">
        <v>112013141</v>
      </c>
      <c r="J421" s="1393" t="str">
        <f t="shared" si="116"/>
        <v>PEÑA PAMELA GRACIELA</v>
      </c>
      <c r="M421" s="323" t="s">
        <v>589</v>
      </c>
      <c r="N421" s="324">
        <v>70</v>
      </c>
      <c r="O421" s="325">
        <v>112014609</v>
      </c>
      <c r="P421" s="1455" t="str">
        <f t="shared" si="117"/>
        <v>MALDONADO VANINA ELIZABETH</v>
      </c>
      <c r="R421" s="323" t="s">
        <v>340</v>
      </c>
      <c r="S421" s="324">
        <v>70</v>
      </c>
      <c r="T421" s="325">
        <v>112013733</v>
      </c>
      <c r="U421" s="1455" t="str">
        <f t="shared" si="118"/>
        <v>SANCHEZ ROBERTO GABRIEL</v>
      </c>
      <c r="W421" s="323" t="s">
        <v>450</v>
      </c>
      <c r="X421" s="324">
        <v>67</v>
      </c>
      <c r="Y421" s="325">
        <v>112014101</v>
      </c>
      <c r="Z421" s="1455" t="str">
        <f t="shared" si="119"/>
        <v>SALA MARIA VICTORIA</v>
      </c>
      <c r="AB421" s="325" t="s">
        <v>891</v>
      </c>
      <c r="AC421" s="325">
        <v>70</v>
      </c>
      <c r="AD421" s="325">
        <v>112014191</v>
      </c>
      <c r="AE421" s="799" t="str">
        <f t="shared" si="120"/>
        <v>PALADINI WALTER VICENTE</v>
      </c>
      <c r="AG421" s="323" t="s">
        <v>1322</v>
      </c>
      <c r="AH421" s="325">
        <v>63</v>
      </c>
      <c r="AI421" s="325">
        <v>112013882</v>
      </c>
      <c r="AJ421" s="424" t="str">
        <f t="shared" si="121"/>
        <v>MORENO FRANCISCO</v>
      </c>
      <c r="AL421" s="325" t="s">
        <v>1164</v>
      </c>
      <c r="AM421" s="325">
        <v>70</v>
      </c>
      <c r="AN421" s="325">
        <v>112013037</v>
      </c>
      <c r="AO421" s="799" t="e">
        <f t="shared" si="122"/>
        <v>#N/A</v>
      </c>
      <c r="AQ421" s="325" t="s">
        <v>1104</v>
      </c>
      <c r="AR421" s="325">
        <v>70</v>
      </c>
      <c r="AS421" s="325">
        <v>112012176</v>
      </c>
      <c r="AT421" s="799" t="e">
        <f t="shared" si="123"/>
        <v>#N/A</v>
      </c>
      <c r="AW421" s="325" t="s">
        <v>1502</v>
      </c>
      <c r="AX421" s="325"/>
      <c r="AY421" s="325">
        <v>112012403</v>
      </c>
      <c r="AZ421" s="799" t="str">
        <f t="shared" si="124"/>
        <v>MUNICIPALIDAD DE SUIPACHA</v>
      </c>
      <c r="BE421" s="618"/>
      <c r="BF421" s="618"/>
    </row>
    <row r="422" spans="1:58" ht="13" hidden="1">
      <c r="A422" s="325" t="s">
        <v>799</v>
      </c>
      <c r="B422" s="325"/>
      <c r="C422" s="325">
        <v>112013400</v>
      </c>
      <c r="D422" s="799" t="str">
        <f t="shared" si="115"/>
        <v>MORRA CRISTINA MARIANA</v>
      </c>
      <c r="G422" s="323" t="s">
        <v>196</v>
      </c>
      <c r="H422" s="325">
        <v>71</v>
      </c>
      <c r="I422" s="325">
        <v>112013164</v>
      </c>
      <c r="J422" s="1393" t="str">
        <f t="shared" si="116"/>
        <v>MEREP LEONARDO DAVID</v>
      </c>
      <c r="M422" s="323" t="s">
        <v>590</v>
      </c>
      <c r="N422" s="324">
        <v>70</v>
      </c>
      <c r="O422" s="325">
        <v>112014680</v>
      </c>
      <c r="P422" s="1455" t="str">
        <f t="shared" si="117"/>
        <v>MARCELO NICOLAS PALERMO</v>
      </c>
      <c r="R422" s="323" t="s">
        <v>353</v>
      </c>
      <c r="S422" s="324"/>
      <c r="T422" s="325">
        <v>112013358</v>
      </c>
      <c r="U422" s="1455" t="str">
        <f t="shared" si="118"/>
        <v>SANSOT GISELE MARIEL</v>
      </c>
      <c r="W422" s="323" t="s">
        <v>443</v>
      </c>
      <c r="X422" s="324">
        <v>63</v>
      </c>
      <c r="Y422" s="325">
        <v>112014717</v>
      </c>
      <c r="Z422" s="1455" t="str">
        <f t="shared" si="119"/>
        <v>SALGADO GONZALO EZEQUIEL</v>
      </c>
      <c r="AB422" s="325" t="s">
        <v>839</v>
      </c>
      <c r="AC422" s="325">
        <v>53</v>
      </c>
      <c r="AD422" s="325">
        <v>112014058</v>
      </c>
      <c r="AE422" s="799" t="str">
        <f t="shared" si="120"/>
        <v>PEREZ LUIS GABRIEL</v>
      </c>
      <c r="AG422" s="323" t="s">
        <v>1274</v>
      </c>
      <c r="AH422" s="325">
        <v>61</v>
      </c>
      <c r="AI422" s="325">
        <v>112013964</v>
      </c>
      <c r="AJ422" s="424" t="str">
        <f t="shared" si="121"/>
        <v>MOSCA CLAUDIO JOSE</v>
      </c>
      <c r="AL422" s="325" t="s">
        <v>1171</v>
      </c>
      <c r="AM422" s="325">
        <v>70</v>
      </c>
      <c r="AN422" s="325">
        <v>112014618</v>
      </c>
      <c r="AO422" s="799" t="e">
        <f t="shared" si="122"/>
        <v>#N/A</v>
      </c>
      <c r="AQ422" s="325" t="s">
        <v>1062</v>
      </c>
      <c r="AR422" s="325">
        <v>71</v>
      </c>
      <c r="AS422" s="325">
        <v>112013469</v>
      </c>
      <c r="AT422" s="799" t="str">
        <f t="shared" si="123"/>
        <v>NOYA PABLO HORACIO</v>
      </c>
      <c r="AW422" s="325" t="s">
        <v>1114</v>
      </c>
      <c r="AX422" s="325">
        <v>71</v>
      </c>
      <c r="AY422" s="325">
        <v>112012451</v>
      </c>
      <c r="AZ422" s="799" t="str">
        <f t="shared" si="124"/>
        <v>MUNICIPALIDAD DE TAPALQUE</v>
      </c>
      <c r="BE422" s="618"/>
      <c r="BF422" s="618"/>
    </row>
    <row r="423" spans="1:58" ht="13" hidden="1">
      <c r="A423" s="325" t="s">
        <v>806</v>
      </c>
      <c r="B423" s="325"/>
      <c r="C423" s="325">
        <v>112012899</v>
      </c>
      <c r="D423" s="799" t="str">
        <f t="shared" si="115"/>
        <v>MUNICIPALIDAD DE NAVARRO</v>
      </c>
      <c r="G423" s="323" t="s">
        <v>157</v>
      </c>
      <c r="H423" s="325">
        <v>70</v>
      </c>
      <c r="I423" s="325">
        <v>112013197</v>
      </c>
      <c r="J423" s="1393" t="str">
        <f t="shared" si="116"/>
        <v>SPADARO FLAVIA</v>
      </c>
      <c r="M423" s="323" t="s">
        <v>643</v>
      </c>
      <c r="N423" s="324">
        <v>70</v>
      </c>
      <c r="O423" s="325">
        <v>112014755</v>
      </c>
      <c r="P423" s="1455" t="str">
        <f t="shared" si="117"/>
        <v>MARCOS MATIAS MOYANO</v>
      </c>
      <c r="R423" s="323" t="s">
        <v>341</v>
      </c>
      <c r="S423" s="324">
        <v>71</v>
      </c>
      <c r="T423" s="325">
        <v>112011542</v>
      </c>
      <c r="U423" s="1455" t="str">
        <f t="shared" si="118"/>
        <v>SANTIAGO MARCELA ALEJANDRA</v>
      </c>
      <c r="W423" s="323" t="s">
        <v>480</v>
      </c>
      <c r="X423" s="324"/>
      <c r="Y423" s="325">
        <v>112013134</v>
      </c>
      <c r="Z423" s="1455" t="str">
        <f t="shared" si="119"/>
        <v>SALOCHA JORGE HERNAN</v>
      </c>
      <c r="AB423" s="325" t="s">
        <v>893</v>
      </c>
      <c r="AC423" s="325">
        <v>71</v>
      </c>
      <c r="AD423" s="325">
        <v>112010041</v>
      </c>
      <c r="AE423" s="799" t="str">
        <f t="shared" si="120"/>
        <v>PETERSEN MARCELO ORLANDO</v>
      </c>
      <c r="AG423" s="323" t="s">
        <v>1379</v>
      </c>
      <c r="AH423" s="325"/>
      <c r="AI423" s="325">
        <v>112014710</v>
      </c>
      <c r="AJ423" s="424" t="str">
        <f t="shared" si="121"/>
        <v>MUNICIPALIDAD DE GENERAL LAVALLE</v>
      </c>
      <c r="AL423" s="325" t="s">
        <v>1236</v>
      </c>
      <c r="AM423" s="325">
        <v>63</v>
      </c>
      <c r="AN423" s="325">
        <v>112010479</v>
      </c>
      <c r="AO423" s="799" t="e">
        <f t="shared" si="122"/>
        <v>#N/A</v>
      </c>
      <c r="AQ423" s="325" t="s">
        <v>1014</v>
      </c>
      <c r="AR423" s="325">
        <v>63</v>
      </c>
      <c r="AS423" s="325">
        <v>112011970</v>
      </c>
      <c r="AT423" s="799" t="str">
        <f t="shared" si="123"/>
        <v>NUÑEZ DIEGO ANDRES</v>
      </c>
      <c r="AW423" s="325" t="s">
        <v>1503</v>
      </c>
      <c r="AX423" s="325"/>
      <c r="AY423" s="325">
        <v>112014595</v>
      </c>
      <c r="AZ423" s="799" t="str">
        <f t="shared" si="124"/>
        <v>MUNICIPALIDAD DE VEINTICINCO DE MAYO</v>
      </c>
      <c r="BE423" s="618"/>
      <c r="BF423" s="618"/>
    </row>
    <row r="424" spans="1:58" ht="13" hidden="1">
      <c r="A424" s="325" t="s">
        <v>807</v>
      </c>
      <c r="B424" s="325"/>
      <c r="C424" s="325">
        <v>112014386</v>
      </c>
      <c r="D424" s="799" t="str">
        <f t="shared" si="115"/>
        <v>MUNICIPALIDAD DE ROQUE PEREZ</v>
      </c>
      <c r="G424" s="323" t="s">
        <v>235</v>
      </c>
      <c r="H424" s="325">
        <v>70</v>
      </c>
      <c r="I424" s="325">
        <v>112013230</v>
      </c>
      <c r="J424" s="1393" t="str">
        <f t="shared" si="116"/>
        <v>ARANDA LUCIANO DAMIAN</v>
      </c>
      <c r="M424" s="323" t="s">
        <v>510</v>
      </c>
      <c r="N424" s="324">
        <v>53</v>
      </c>
      <c r="O424" s="325">
        <v>112013271</v>
      </c>
      <c r="P424" s="1455" t="str">
        <f t="shared" si="117"/>
        <v>MARCOS RUBEN FRANCISCO</v>
      </c>
      <c r="R424" s="323" t="s">
        <v>276</v>
      </c>
      <c r="S424" s="324">
        <v>63</v>
      </c>
      <c r="T424" s="325">
        <v>112012598</v>
      </c>
      <c r="U424" s="1455" t="str">
        <f t="shared" si="118"/>
        <v>SETTE GABRIELA ALEJANDRA</v>
      </c>
      <c r="W424" s="323" t="s">
        <v>492</v>
      </c>
      <c r="X424" s="324">
        <v>62</v>
      </c>
      <c r="Y424" s="325">
        <v>112012714</v>
      </c>
      <c r="Z424" s="1455" t="e">
        <f t="shared" si="119"/>
        <v>#N/A</v>
      </c>
      <c r="AB424" s="325" t="s">
        <v>949</v>
      </c>
      <c r="AC424" s="325">
        <v>70</v>
      </c>
      <c r="AD424" s="325">
        <v>112011810</v>
      </c>
      <c r="AE424" s="799" t="e">
        <f t="shared" si="120"/>
        <v>#N/A</v>
      </c>
      <c r="AG424" s="323" t="s">
        <v>1335</v>
      </c>
      <c r="AH424" s="325">
        <v>70</v>
      </c>
      <c r="AI424" s="325">
        <v>112014218</v>
      </c>
      <c r="AJ424" s="424" t="str">
        <f t="shared" si="121"/>
        <v>MUSTIOLA RIVERA MIYENYS COROMOTO</v>
      </c>
      <c r="AL424" s="325" t="s">
        <v>1182</v>
      </c>
      <c r="AM424" s="325">
        <v>71</v>
      </c>
      <c r="AN424" s="325">
        <v>112013436</v>
      </c>
      <c r="AO424" s="799" t="e">
        <f t="shared" si="122"/>
        <v>#N/A</v>
      </c>
      <c r="AQ424" s="325" t="s">
        <v>1024</v>
      </c>
      <c r="AR424" s="325">
        <v>63</v>
      </c>
      <c r="AS424" s="325">
        <v>112014501</v>
      </c>
      <c r="AT424" s="799" t="str">
        <f t="shared" si="123"/>
        <v>OLIVERA MARIA PIA</v>
      </c>
      <c r="AW424" s="325" t="s">
        <v>1500</v>
      </c>
      <c r="AX424" s="325"/>
      <c r="AY424" s="325">
        <v>112014228</v>
      </c>
      <c r="AZ424" s="799" t="str">
        <f t="shared" si="124"/>
        <v>MUNICIPIO DE TOLHUIN</v>
      </c>
      <c r="BE424" s="618"/>
      <c r="BF424" s="618"/>
    </row>
    <row r="425" spans="1:58" ht="13" hidden="1">
      <c r="A425" s="325" t="s">
        <v>704</v>
      </c>
      <c r="B425" s="325">
        <v>62</v>
      </c>
      <c r="C425" s="325">
        <v>112014576</v>
      </c>
      <c r="D425" s="799" t="str">
        <f t="shared" si="115"/>
        <v>NICOLAS BERNARDINO LA MASTRA</v>
      </c>
      <c r="G425" s="323" t="s">
        <v>215</v>
      </c>
      <c r="H425" s="325">
        <v>71</v>
      </c>
      <c r="I425" s="325">
        <v>112013263</v>
      </c>
      <c r="J425" s="1393" t="str">
        <f t="shared" si="116"/>
        <v>VETERINARIA MARTINA</v>
      </c>
      <c r="M425" s="323" t="s">
        <v>544</v>
      </c>
      <c r="N425" s="324">
        <v>61</v>
      </c>
      <c r="O425" s="325">
        <v>112014763</v>
      </c>
      <c r="P425" s="1455" t="str">
        <f t="shared" si="117"/>
        <v>MAROLLA EZEQUIEL DANIEL</v>
      </c>
      <c r="R425" s="323" t="s">
        <v>306</v>
      </c>
      <c r="S425" s="324">
        <v>70</v>
      </c>
      <c r="T425" s="325">
        <v>112014291</v>
      </c>
      <c r="U425" s="1455" t="str">
        <f t="shared" si="118"/>
        <v>SHCHERBYNA TAMARA</v>
      </c>
      <c r="W425" s="323" t="s">
        <v>455</v>
      </c>
      <c r="X425" s="324">
        <v>71</v>
      </c>
      <c r="Y425" s="325">
        <v>112010619</v>
      </c>
      <c r="Z425" s="1455" t="str">
        <f t="shared" si="119"/>
        <v>SANTANA CARLOS GUILLERMO</v>
      </c>
      <c r="AB425" s="325" t="s">
        <v>985</v>
      </c>
      <c r="AC425" s="325"/>
      <c r="AD425" s="325">
        <v>112012418</v>
      </c>
      <c r="AE425" s="799" t="e">
        <f t="shared" si="120"/>
        <v>#N/A</v>
      </c>
      <c r="AG425" s="323" t="s">
        <v>1278</v>
      </c>
      <c r="AH425" s="325">
        <v>62</v>
      </c>
      <c r="AI425" s="325">
        <v>112013946</v>
      </c>
      <c r="AJ425" s="424" t="str">
        <f t="shared" si="121"/>
        <v>NIGRO NATALIA SOLEDAD</v>
      </c>
      <c r="AL425" s="325" t="s">
        <v>1226</v>
      </c>
      <c r="AM425" s="325">
        <v>71</v>
      </c>
      <c r="AN425" s="325">
        <v>112013940</v>
      </c>
      <c r="AO425" s="799" t="e">
        <f t="shared" si="122"/>
        <v>#N/A</v>
      </c>
      <c r="AQ425" s="325" t="s">
        <v>1031</v>
      </c>
      <c r="AR425" s="325">
        <v>63</v>
      </c>
      <c r="AS425" s="325">
        <v>112013794</v>
      </c>
      <c r="AT425" s="799" t="e">
        <f t="shared" si="123"/>
        <v>#N/A</v>
      </c>
      <c r="AW425" s="325" t="s">
        <v>1442</v>
      </c>
      <c r="AX425" s="325">
        <v>63</v>
      </c>
      <c r="AY425" s="325">
        <v>112014274</v>
      </c>
      <c r="AZ425" s="799" t="str">
        <f t="shared" si="124"/>
        <v>NIEFERGOL MARCO ANTONIO</v>
      </c>
      <c r="BE425" s="618"/>
      <c r="BF425" s="618"/>
    </row>
    <row r="426" spans="1:58" ht="13" hidden="1">
      <c r="A426" s="325" t="s">
        <v>808</v>
      </c>
      <c r="B426" s="325"/>
      <c r="C426" s="325">
        <v>112012846</v>
      </c>
      <c r="D426" s="799" t="str">
        <f t="shared" si="115"/>
        <v>NICOLO MARCELO FABIAN</v>
      </c>
      <c r="G426" s="323" t="s">
        <v>110</v>
      </c>
      <c r="H426" s="325">
        <v>63</v>
      </c>
      <c r="I426" s="325">
        <v>112013458</v>
      </c>
      <c r="J426" s="1393" t="str">
        <f t="shared" si="116"/>
        <v>ARREGUI ANDREA CELESTE</v>
      </c>
      <c r="M426" s="323" t="s">
        <v>631</v>
      </c>
      <c r="N426" s="324">
        <v>70</v>
      </c>
      <c r="O426" s="325">
        <v>112013315</v>
      </c>
      <c r="P426" s="1455" t="str">
        <f t="shared" si="117"/>
        <v>MARTINEZ MARIANO DANIEL</v>
      </c>
      <c r="R426" s="323" t="s">
        <v>342</v>
      </c>
      <c r="S426" s="324">
        <v>71</v>
      </c>
      <c r="T426" s="325">
        <v>112012936</v>
      </c>
      <c r="U426" s="1455" t="str">
        <f t="shared" si="118"/>
        <v>SILVA NAZARENA BELEN</v>
      </c>
      <c r="W426" s="323" t="s">
        <v>464</v>
      </c>
      <c r="X426" s="324">
        <v>71</v>
      </c>
      <c r="Y426" s="325">
        <v>112011552</v>
      </c>
      <c r="Z426" s="1455" t="str">
        <f t="shared" si="119"/>
        <v>SAYAL DIEGO (CANNING)</v>
      </c>
      <c r="AB426" s="325" t="s">
        <v>926</v>
      </c>
      <c r="AC426" s="325">
        <v>62</v>
      </c>
      <c r="AD426" s="325">
        <v>112014079</v>
      </c>
      <c r="AE426" s="799" t="e">
        <f t="shared" si="120"/>
        <v>#N/A</v>
      </c>
      <c r="AG426" s="323" t="s">
        <v>1323</v>
      </c>
      <c r="AH426" s="325">
        <v>63</v>
      </c>
      <c r="AI426" s="325">
        <v>112013730</v>
      </c>
      <c r="AJ426" s="424" t="str">
        <f t="shared" si="121"/>
        <v>NOCETTI FACUNDO</v>
      </c>
      <c r="AL426" s="325" t="s">
        <v>1216</v>
      </c>
      <c r="AM426" s="325">
        <v>70</v>
      </c>
      <c r="AN426" s="325">
        <v>112014490</v>
      </c>
      <c r="AO426" s="799" t="e">
        <f t="shared" si="122"/>
        <v>#N/A</v>
      </c>
      <c r="AQ426" s="325" t="s">
        <v>1099</v>
      </c>
      <c r="AR426" s="325">
        <v>70</v>
      </c>
      <c r="AS426" s="325">
        <v>112012452</v>
      </c>
      <c r="AT426" s="799" t="e">
        <f t="shared" si="123"/>
        <v>#N/A</v>
      </c>
      <c r="AW426" s="325" t="s">
        <v>1443</v>
      </c>
      <c r="AX426" s="325">
        <v>63</v>
      </c>
      <c r="AY426" s="325">
        <v>112013144</v>
      </c>
      <c r="AZ426" s="799" t="str">
        <f t="shared" si="124"/>
        <v>NORO MARIA MARTA</v>
      </c>
      <c r="BE426" s="618"/>
      <c r="BF426" s="618"/>
    </row>
    <row r="427" spans="1:58" ht="13" hidden="1">
      <c r="A427" s="325" t="s">
        <v>732</v>
      </c>
      <c r="B427" s="325">
        <v>70</v>
      </c>
      <c r="C427" s="325">
        <v>112013242</v>
      </c>
      <c r="D427" s="799" t="str">
        <f t="shared" si="115"/>
        <v>OCHIODORO DIEGO LUIS</v>
      </c>
      <c r="G427" s="323" t="s">
        <v>197</v>
      </c>
      <c r="H427" s="325">
        <v>71</v>
      </c>
      <c r="I427" s="325">
        <v>112013603</v>
      </c>
      <c r="J427" s="1393" t="str">
        <f t="shared" si="116"/>
        <v>GONZALEZ ROSANA</v>
      </c>
      <c r="M427" s="323" t="s">
        <v>545</v>
      </c>
      <c r="N427" s="324">
        <v>61</v>
      </c>
      <c r="O427" s="325">
        <v>112014767</v>
      </c>
      <c r="P427" s="1455" t="str">
        <f t="shared" si="117"/>
        <v>MARTINEZ SUSANA BEATRIZ</v>
      </c>
      <c r="R427" s="323" t="s">
        <v>277</v>
      </c>
      <c r="S427" s="324">
        <v>63</v>
      </c>
      <c r="T427" s="325">
        <v>112014563</v>
      </c>
      <c r="U427" s="1455" t="str">
        <f t="shared" si="118"/>
        <v>SISTI ALE/NANCY GIRA</v>
      </c>
      <c r="W427" s="323" t="s">
        <v>240</v>
      </c>
      <c r="X427" s="324">
        <v>71</v>
      </c>
      <c r="Y427" s="325">
        <v>112014384</v>
      </c>
      <c r="Z427" s="1455" t="str">
        <f t="shared" si="119"/>
        <v>SCIPIONI HUGO LUIS</v>
      </c>
      <c r="AB427" s="325" t="s">
        <v>952</v>
      </c>
      <c r="AC427" s="325">
        <v>71</v>
      </c>
      <c r="AD427" s="325">
        <v>112013395</v>
      </c>
      <c r="AE427" s="799" t="e">
        <f t="shared" si="120"/>
        <v>#N/A</v>
      </c>
      <c r="AG427" s="323" t="s">
        <v>1301</v>
      </c>
      <c r="AH427" s="325">
        <v>63</v>
      </c>
      <c r="AI427" s="325">
        <v>112014454</v>
      </c>
      <c r="AJ427" s="424" t="str">
        <f t="shared" si="121"/>
        <v>NUTRIJO AGROSERVICIOS S. R. L.</v>
      </c>
      <c r="AL427" s="325" t="s">
        <v>1197</v>
      </c>
      <c r="AM427" s="325">
        <v>70</v>
      </c>
      <c r="AN427" s="325">
        <v>112012486</v>
      </c>
      <c r="AO427" s="799" t="e">
        <f t="shared" si="122"/>
        <v>#N/A</v>
      </c>
      <c r="AQ427" s="325" t="s">
        <v>1070</v>
      </c>
      <c r="AR427" s="325">
        <v>71</v>
      </c>
      <c r="AS427" s="325">
        <v>112011474</v>
      </c>
      <c r="AT427" s="799" t="str">
        <f t="shared" si="123"/>
        <v>PAGANO NANCY MABEL</v>
      </c>
      <c r="AW427" s="325" t="s">
        <v>1402</v>
      </c>
      <c r="AX427" s="325">
        <v>55</v>
      </c>
      <c r="AY427" s="325">
        <v>112013513</v>
      </c>
      <c r="AZ427" s="799" t="str">
        <f t="shared" si="124"/>
        <v>NUÑEZ PEÑALOZA EDUARDO JAVIER</v>
      </c>
      <c r="BE427" s="618"/>
      <c r="BF427" s="618"/>
    </row>
    <row r="428" spans="1:58" ht="13" hidden="1">
      <c r="A428" s="325" t="s">
        <v>788</v>
      </c>
      <c r="B428" s="325">
        <v>71</v>
      </c>
      <c r="C428" s="325">
        <v>112012050</v>
      </c>
      <c r="D428" s="799" t="str">
        <f t="shared" si="115"/>
        <v>ORCAJADA MACARENA MARIA SOLEDAD</v>
      </c>
      <c r="G428" s="323" t="s">
        <v>233</v>
      </c>
      <c r="H428" s="325">
        <v>69</v>
      </c>
      <c r="I428" s="325">
        <v>112013607</v>
      </c>
      <c r="J428" s="1393" t="str">
        <f t="shared" si="116"/>
        <v>ORTIZ CESAR RENE</v>
      </c>
      <c r="M428" s="323" t="s">
        <v>562</v>
      </c>
      <c r="N428" s="324">
        <v>69</v>
      </c>
      <c r="O428" s="325">
        <v>112014643</v>
      </c>
      <c r="P428" s="1455" t="str">
        <f t="shared" si="117"/>
        <v>MASCOPET SRL</v>
      </c>
      <c r="R428" s="323" t="s">
        <v>290</v>
      </c>
      <c r="S428" s="324">
        <v>67</v>
      </c>
      <c r="T428" s="325">
        <v>112011454</v>
      </c>
      <c r="U428" s="1455" t="str">
        <f t="shared" si="118"/>
        <v>SOTO MIRTA SUSANA</v>
      </c>
      <c r="W428" s="323" t="s">
        <v>467</v>
      </c>
      <c r="X428" s="324">
        <v>71</v>
      </c>
      <c r="Y428" s="325">
        <v>112012343</v>
      </c>
      <c r="Z428" s="1455" t="str">
        <f t="shared" si="119"/>
        <v>SILVESTRI MARCELA INES</v>
      </c>
      <c r="AB428" s="325" t="s">
        <v>941</v>
      </c>
      <c r="AC428" s="325">
        <v>71</v>
      </c>
      <c r="AD428" s="325">
        <v>112011927</v>
      </c>
      <c r="AE428" s="799" t="e">
        <f t="shared" si="120"/>
        <v>#N/A</v>
      </c>
      <c r="AG428" s="323" t="s">
        <v>1302</v>
      </c>
      <c r="AH428" s="325">
        <v>63</v>
      </c>
      <c r="AI428" s="325">
        <v>112012506</v>
      </c>
      <c r="AJ428" s="424" t="str">
        <f t="shared" si="121"/>
        <v>OCAMPO NICOLAS RUFINO</v>
      </c>
      <c r="AL428" s="325" t="s">
        <v>1227</v>
      </c>
      <c r="AM428" s="325">
        <v>71</v>
      </c>
      <c r="AN428" s="325">
        <v>112010481</v>
      </c>
      <c r="AO428" s="799" t="e">
        <f t="shared" si="122"/>
        <v>#N/A</v>
      </c>
      <c r="AQ428" s="325" t="s">
        <v>1018</v>
      </c>
      <c r="AR428" s="325">
        <v>63</v>
      </c>
      <c r="AS428" s="325">
        <v>112013501</v>
      </c>
      <c r="AT428" s="799" t="str">
        <f t="shared" si="123"/>
        <v>PALAZZOLO JAVIER OMAR</v>
      </c>
      <c r="AW428" s="325" t="s">
        <v>1422</v>
      </c>
      <c r="AX428" s="325">
        <v>62</v>
      </c>
      <c r="AY428" s="325">
        <v>112013982</v>
      </c>
      <c r="AZ428" s="799" t="str">
        <f t="shared" si="124"/>
        <v>OSVALDO DANIEL GARCIA MAZZOLA</v>
      </c>
      <c r="BE428" s="618"/>
      <c r="BF428" s="618"/>
    </row>
    <row r="429" spans="1:58" ht="13" hidden="1">
      <c r="A429" s="325" t="s">
        <v>684</v>
      </c>
      <c r="B429" s="325">
        <v>51</v>
      </c>
      <c r="C429" s="325">
        <v>112012528</v>
      </c>
      <c r="D429" s="799" t="str">
        <f t="shared" si="115"/>
        <v>ORTIZ JOAQUIN</v>
      </c>
      <c r="G429" s="323" t="s">
        <v>132</v>
      </c>
      <c r="H429" s="325">
        <v>69</v>
      </c>
      <c r="I429" s="325">
        <v>112013735</v>
      </c>
      <c r="J429" s="1393" t="str">
        <f t="shared" si="116"/>
        <v>GUZZETTI JAVIER EDUARDO</v>
      </c>
      <c r="M429" s="323" t="s">
        <v>647</v>
      </c>
      <c r="N429" s="324">
        <v>71</v>
      </c>
      <c r="O429" s="325">
        <v>112011763</v>
      </c>
      <c r="P429" s="1455" t="str">
        <f t="shared" si="117"/>
        <v>MEDIAVILLA SERGIO FABIAN</v>
      </c>
      <c r="R429" s="323" t="s">
        <v>303</v>
      </c>
      <c r="S429" s="324">
        <v>70</v>
      </c>
      <c r="T429" s="325">
        <v>112014725</v>
      </c>
      <c r="U429" s="1455" t="str">
        <f t="shared" si="118"/>
        <v>STIER ALAN ROMAN</v>
      </c>
      <c r="W429" s="323" t="s">
        <v>468</v>
      </c>
      <c r="X429" s="324">
        <v>71</v>
      </c>
      <c r="Y429" s="325">
        <v>112012346</v>
      </c>
      <c r="Z429" s="1455" t="str">
        <f t="shared" si="119"/>
        <v>SOCIEDAD RURAL CAÑUELAS</v>
      </c>
      <c r="AB429" s="325" t="s">
        <v>959</v>
      </c>
      <c r="AC429" s="325">
        <v>71</v>
      </c>
      <c r="AD429" s="325">
        <v>112014690</v>
      </c>
      <c r="AE429" s="799" t="e">
        <f t="shared" si="120"/>
        <v>#N/A</v>
      </c>
      <c r="AG429" s="323" t="s">
        <v>1303</v>
      </c>
      <c r="AH429" s="325">
        <v>63</v>
      </c>
      <c r="AI429" s="325">
        <v>112011830</v>
      </c>
      <c r="AJ429" s="424" t="str">
        <f t="shared" si="121"/>
        <v>ORTEGA JULIO CESAR</v>
      </c>
      <c r="AL429" s="325" t="s">
        <v>1172</v>
      </c>
      <c r="AM429" s="325">
        <v>70</v>
      </c>
      <c r="AN429" s="325">
        <v>112010482</v>
      </c>
      <c r="AO429" s="799" t="e">
        <f t="shared" si="122"/>
        <v>#N/A</v>
      </c>
      <c r="AQ429" s="325" t="s">
        <v>1079</v>
      </c>
      <c r="AR429" s="325">
        <v>71</v>
      </c>
      <c r="AS429" s="325">
        <v>112012717</v>
      </c>
      <c r="AT429" s="799" t="str">
        <f t="shared" si="123"/>
        <v>PARDO CARLOS ESTEBAN</v>
      </c>
      <c r="AW429" s="325" t="s">
        <v>1460</v>
      </c>
      <c r="AX429" s="325">
        <v>63</v>
      </c>
      <c r="AY429" s="325">
        <v>112014478</v>
      </c>
      <c r="AZ429" s="799" t="str">
        <f t="shared" si="124"/>
        <v>PACZKO E HIJOS S.R.L</v>
      </c>
      <c r="BE429" s="618"/>
      <c r="BF429" s="618"/>
    </row>
    <row r="430" spans="1:58" ht="13" hidden="1">
      <c r="A430" s="325" t="s">
        <v>789</v>
      </c>
      <c r="B430" s="325">
        <v>71</v>
      </c>
      <c r="C430" s="325">
        <v>112012840</v>
      </c>
      <c r="D430" s="799" t="str">
        <f t="shared" si="115"/>
        <v>PAWELEK MARCELO OSCAR</v>
      </c>
      <c r="G430" s="323" t="s">
        <v>133</v>
      </c>
      <c r="H430" s="325">
        <v>69</v>
      </c>
      <c r="I430" s="325">
        <v>112013748</v>
      </c>
      <c r="J430" s="1393" t="str">
        <f t="shared" si="116"/>
        <v>ROMANO MARIANA</v>
      </c>
      <c r="M430" s="323" t="s">
        <v>632</v>
      </c>
      <c r="N430" s="324">
        <v>70</v>
      </c>
      <c r="O430" s="325">
        <v>112013449</v>
      </c>
      <c r="P430" s="1455" t="str">
        <f t="shared" si="117"/>
        <v>MELIENDRES JUAN CRUZ</v>
      </c>
      <c r="R430" s="323" t="s">
        <v>343</v>
      </c>
      <c r="S430" s="324">
        <v>71</v>
      </c>
      <c r="T430" s="325">
        <v>112012283</v>
      </c>
      <c r="U430" s="1455" t="str">
        <f t="shared" si="118"/>
        <v>TIRADO SILVINA MABEL</v>
      </c>
      <c r="W430" s="323" t="s">
        <v>440</v>
      </c>
      <c r="X430" s="324">
        <v>63</v>
      </c>
      <c r="Y430" s="325">
        <v>112013497</v>
      </c>
      <c r="Z430" s="1455" t="str">
        <f t="shared" si="119"/>
        <v>TOZZI FLORENCIA PAOLA</v>
      </c>
      <c r="AB430" s="325" t="s">
        <v>972</v>
      </c>
      <c r="AC430" s="325">
        <v>71</v>
      </c>
      <c r="AD430" s="325">
        <v>112012953</v>
      </c>
      <c r="AE430" s="799" t="e">
        <f t="shared" si="120"/>
        <v>#N/A</v>
      </c>
      <c r="AG430" s="323" t="s">
        <v>1350</v>
      </c>
      <c r="AH430" s="325">
        <v>71</v>
      </c>
      <c r="AI430" s="325">
        <v>112014410</v>
      </c>
      <c r="AJ430" s="424" t="str">
        <f t="shared" si="121"/>
        <v>ORTELLADO GUILLERMO NURI</v>
      </c>
      <c r="AL430" s="325" t="s">
        <v>1173</v>
      </c>
      <c r="AM430" s="325">
        <v>70</v>
      </c>
      <c r="AN430" s="325">
        <v>112013993</v>
      </c>
      <c r="AO430" s="799" t="e">
        <f t="shared" si="122"/>
        <v>#N/A</v>
      </c>
      <c r="AQ430" s="325" t="s">
        <v>1100</v>
      </c>
      <c r="AR430" s="325">
        <v>70</v>
      </c>
      <c r="AS430" s="325">
        <v>112014694</v>
      </c>
      <c r="AT430" s="799" t="e">
        <f t="shared" si="123"/>
        <v>#N/A</v>
      </c>
      <c r="AW430" s="325" t="s">
        <v>1476</v>
      </c>
      <c r="AX430" s="325">
        <v>71</v>
      </c>
      <c r="AY430" s="325">
        <v>112013920</v>
      </c>
      <c r="AZ430" s="799" t="str">
        <f t="shared" si="124"/>
        <v>PAPALEO GISELA</v>
      </c>
      <c r="BE430" s="618"/>
      <c r="BF430" s="618"/>
    </row>
    <row r="431" spans="1:58" ht="13" hidden="1">
      <c r="A431" s="325" t="s">
        <v>720</v>
      </c>
      <c r="B431" s="325">
        <v>69</v>
      </c>
      <c r="C431" s="325">
        <v>112013819</v>
      </c>
      <c r="D431" s="799" t="str">
        <f t="shared" si="115"/>
        <v>PETS FOOD</v>
      </c>
      <c r="G431" s="323" t="s">
        <v>198</v>
      </c>
      <c r="H431" s="325">
        <v>71</v>
      </c>
      <c r="I431" s="325">
        <v>112013761</v>
      </c>
      <c r="J431" s="1393" t="str">
        <f t="shared" si="116"/>
        <v>CAMPOS PATRICIA LORENA</v>
      </c>
      <c r="M431" s="323" t="s">
        <v>591</v>
      </c>
      <c r="N431" s="324">
        <v>70</v>
      </c>
      <c r="O431" s="325">
        <v>112014394</v>
      </c>
      <c r="P431" s="1455" t="str">
        <f t="shared" si="117"/>
        <v>MENDEZ LORENA FRANCISCA SAMANTA</v>
      </c>
      <c r="R431" s="323" t="s">
        <v>281</v>
      </c>
      <c r="S431" s="324">
        <v>63</v>
      </c>
      <c r="T431" s="325">
        <v>112013447</v>
      </c>
      <c r="U431" s="1455" t="str">
        <f t="shared" si="118"/>
        <v>TROBIA LAURA CECILIA</v>
      </c>
      <c r="W431" s="323" t="s">
        <v>415</v>
      </c>
      <c r="X431" s="324">
        <v>62</v>
      </c>
      <c r="Y431" s="325">
        <v>112011977</v>
      </c>
      <c r="Z431" s="1455" t="str">
        <f t="shared" si="119"/>
        <v>TRUSZKOWSKI GUILLERMO</v>
      </c>
      <c r="AB431" s="325" t="s">
        <v>864</v>
      </c>
      <c r="AC431" s="325">
        <v>63</v>
      </c>
      <c r="AD431" s="325">
        <v>112013328</v>
      </c>
      <c r="AE431" s="799" t="str">
        <f t="shared" si="120"/>
        <v>SANDRA MARCOS MARTIN</v>
      </c>
      <c r="AG431" s="323" t="s">
        <v>1368</v>
      </c>
      <c r="AH431" s="325">
        <v>71</v>
      </c>
      <c r="AI431" s="325">
        <v>112012692</v>
      </c>
      <c r="AJ431" s="424" t="str">
        <f t="shared" si="121"/>
        <v>ORTIZ TORRES LIZ GRISELDA</v>
      </c>
      <c r="AL431" s="325" t="s">
        <v>1135</v>
      </c>
      <c r="AM431" s="325">
        <v>62</v>
      </c>
      <c r="AN431" s="325">
        <v>112013293</v>
      </c>
      <c r="AO431" s="799" t="str">
        <f t="shared" si="122"/>
        <v>QUINTEROS NOELIA/KLIMA LILIANA</v>
      </c>
      <c r="AQ431" s="325" t="s">
        <v>1005</v>
      </c>
      <c r="AR431" s="325">
        <v>61</v>
      </c>
      <c r="AS431" s="325">
        <v>112010400</v>
      </c>
      <c r="AT431" s="799" t="str">
        <f t="shared" si="123"/>
        <v>PICHIRILO CARLOS DAVID</v>
      </c>
      <c r="AW431" s="325" t="s">
        <v>1461</v>
      </c>
      <c r="AX431" s="325">
        <v>63</v>
      </c>
      <c r="AY431" s="325">
        <v>112011902</v>
      </c>
      <c r="AZ431" s="799" t="str">
        <f t="shared" si="124"/>
        <v>PARADA MARIA VIRGINIA</v>
      </c>
      <c r="BE431" s="618"/>
      <c r="BF431" s="618"/>
    </row>
    <row r="432" spans="1:58" ht="13" hidden="1">
      <c r="A432" s="325" t="s">
        <v>710</v>
      </c>
      <c r="B432" s="325">
        <v>63</v>
      </c>
      <c r="C432" s="325">
        <v>112014592</v>
      </c>
      <c r="D432" s="799" t="str">
        <f t="shared" si="115"/>
        <v>PILAT LIONEL MAXIMILIANO</v>
      </c>
      <c r="G432" s="323" t="s">
        <v>106</v>
      </c>
      <c r="H432" s="325">
        <v>63</v>
      </c>
      <c r="I432" s="325">
        <v>112013814</v>
      </c>
      <c r="J432" s="1393" t="str">
        <f t="shared" si="116"/>
        <v>PAEZ IGNACIO GERMAN</v>
      </c>
      <c r="M432" s="323" t="s">
        <v>563</v>
      </c>
      <c r="N432" s="324">
        <v>69</v>
      </c>
      <c r="O432" s="325">
        <v>112014327</v>
      </c>
      <c r="P432" s="1455" t="str">
        <f t="shared" si="117"/>
        <v>MERCADO MARTIN ARIEL</v>
      </c>
      <c r="R432" s="323" t="s">
        <v>344</v>
      </c>
      <c r="S432" s="324">
        <v>71</v>
      </c>
      <c r="T432" s="325">
        <v>112012051</v>
      </c>
      <c r="U432" s="1455" t="str">
        <f t="shared" si="118"/>
        <v>TUOZZO GUILLERMO RICARDO</v>
      </c>
      <c r="W432" s="323" t="s">
        <v>477</v>
      </c>
      <c r="X432" s="324"/>
      <c r="Y432" s="325">
        <v>112011841</v>
      </c>
      <c r="Z432" s="1455" t="str">
        <f t="shared" si="119"/>
        <v>VERGARA MARCOS AUGUSTO</v>
      </c>
      <c r="AB432" s="325" t="s">
        <v>957</v>
      </c>
      <c r="AC432" s="325">
        <v>70</v>
      </c>
      <c r="AD432" s="325">
        <v>112012303</v>
      </c>
      <c r="AE432" s="799" t="e">
        <f t="shared" si="120"/>
        <v>#N/A</v>
      </c>
      <c r="AG432" s="323" t="s">
        <v>1280</v>
      </c>
      <c r="AH432" s="325">
        <v>62</v>
      </c>
      <c r="AI432" s="325">
        <v>112013308</v>
      </c>
      <c r="AJ432" s="424" t="str">
        <f t="shared" si="121"/>
        <v>PANDA PAMPA S.A.</v>
      </c>
      <c r="AL432" s="325" t="s">
        <v>1209</v>
      </c>
      <c r="AM432" s="325">
        <v>71</v>
      </c>
      <c r="AN432" s="325">
        <v>112012178</v>
      </c>
      <c r="AO432" s="799" t="e">
        <f t="shared" si="122"/>
        <v>#N/A</v>
      </c>
      <c r="AQ432" s="325" t="s">
        <v>1043</v>
      </c>
      <c r="AR432" s="325">
        <v>70</v>
      </c>
      <c r="AS432" s="325">
        <v>112013097</v>
      </c>
      <c r="AT432" s="799" t="str">
        <f t="shared" si="123"/>
        <v>PORTILLO ANGEL GERARDO</v>
      </c>
      <c r="AW432" s="325" t="s">
        <v>1444</v>
      </c>
      <c r="AX432" s="325">
        <v>63</v>
      </c>
      <c r="AY432" s="325">
        <v>112014342</v>
      </c>
      <c r="AZ432" s="799" t="str">
        <f t="shared" si="124"/>
        <v>PARDO JOSE MARIA</v>
      </c>
      <c r="BE432" s="618"/>
      <c r="BF432" s="618"/>
    </row>
    <row r="433" spans="1:67" ht="13" hidden="1">
      <c r="A433" s="325" t="s">
        <v>762</v>
      </c>
      <c r="B433" s="325">
        <v>70</v>
      </c>
      <c r="C433" s="325">
        <v>112013268</v>
      </c>
      <c r="D433" s="799" t="str">
        <f t="shared" si="115"/>
        <v>PIPITO RUBEN/ PIPITO CTA 2</v>
      </c>
      <c r="G433" s="323" t="s">
        <v>75</v>
      </c>
      <c r="H433" s="325">
        <v>62</v>
      </c>
      <c r="I433" s="325">
        <v>112013850</v>
      </c>
      <c r="J433" s="1393" t="str">
        <f t="shared" si="116"/>
        <v>SUAREZ SILVIA ELENA</v>
      </c>
      <c r="M433" s="323" t="s">
        <v>536</v>
      </c>
      <c r="N433" s="324">
        <v>62</v>
      </c>
      <c r="O433" s="325">
        <v>112014077</v>
      </c>
      <c r="P433" s="1455" t="str">
        <f t="shared" si="117"/>
        <v>MOLINARI GISELA VANINA</v>
      </c>
      <c r="R433" s="323" t="s">
        <v>278</v>
      </c>
      <c r="S433" s="324">
        <v>63</v>
      </c>
      <c r="T433" s="325">
        <v>112014061</v>
      </c>
      <c r="U433" s="1455" t="str">
        <f t="shared" si="118"/>
        <v>VERGE PABLO/DIEGO VERGE</v>
      </c>
      <c r="W433" s="323" t="s">
        <v>441</v>
      </c>
      <c r="X433" s="324">
        <v>63</v>
      </c>
      <c r="Y433" s="325">
        <v>112013742</v>
      </c>
      <c r="Z433" s="1455" t="str">
        <f t="shared" si="119"/>
        <v>VETERINARIA MV</v>
      </c>
      <c r="AB433" s="325" t="s">
        <v>851</v>
      </c>
      <c r="AC433" s="325">
        <v>62</v>
      </c>
      <c r="AD433" s="325">
        <v>112014033</v>
      </c>
      <c r="AE433" s="799" t="str">
        <f t="shared" si="120"/>
        <v>SCASSO NOELIA SOLEDAD</v>
      </c>
      <c r="AG433" s="323" t="s">
        <v>1261</v>
      </c>
      <c r="AH433" s="325">
        <v>53</v>
      </c>
      <c r="AI433" s="325">
        <v>112014350</v>
      </c>
      <c r="AJ433" s="424" t="str">
        <f t="shared" si="121"/>
        <v>PHANTIMON S.A</v>
      </c>
      <c r="AL433" s="325" t="s">
        <v>1221</v>
      </c>
      <c r="AM433" s="325">
        <v>71</v>
      </c>
      <c r="AN433" s="325">
        <v>112014667</v>
      </c>
      <c r="AO433" s="799" t="e">
        <f t="shared" si="122"/>
        <v>#N/A</v>
      </c>
      <c r="AQ433" s="325" t="s">
        <v>1032</v>
      </c>
      <c r="AR433" s="325">
        <v>71</v>
      </c>
      <c r="AS433" s="325">
        <v>112014747</v>
      </c>
      <c r="AT433" s="799" t="str">
        <f t="shared" si="123"/>
        <v>PRADO TREJO MILAGROS ANAHI</v>
      </c>
      <c r="AW433" s="325" t="s">
        <v>1445</v>
      </c>
      <c r="AX433" s="325">
        <v>63</v>
      </c>
      <c r="AY433" s="325">
        <v>112013858</v>
      </c>
      <c r="AZ433" s="799" t="str">
        <f t="shared" si="124"/>
        <v>PEREZ RAMIRO ESTEBAN</v>
      </c>
      <c r="BE433" s="618"/>
      <c r="BF433" s="618"/>
    </row>
    <row r="434" spans="1:67" ht="13" hidden="1">
      <c r="A434" s="325" t="s">
        <v>790</v>
      </c>
      <c r="B434" s="325">
        <v>71</v>
      </c>
      <c r="C434" s="325">
        <v>112013196</v>
      </c>
      <c r="D434" s="799" t="str">
        <f t="shared" ref="D434:D465" si="125">VLOOKUP(C434,buelafin,13,FALSE)</f>
        <v>PODESTA CELINA</v>
      </c>
      <c r="G434" s="323" t="s">
        <v>97</v>
      </c>
      <c r="H434" s="325">
        <v>62</v>
      </c>
      <c r="I434" s="325">
        <v>112013867</v>
      </c>
      <c r="J434" s="1393" t="str">
        <f t="shared" ref="J434:J465" si="126">VLOOKUP(I434,bassfin,13,FALSE)</f>
        <v>DURAN SERGIO DANIEL</v>
      </c>
      <c r="M434" s="323" t="s">
        <v>542</v>
      </c>
      <c r="N434" s="324">
        <v>63</v>
      </c>
      <c r="O434" s="325">
        <v>112012487</v>
      </c>
      <c r="P434" s="1455" t="str">
        <f t="shared" ref="P434:P465" si="127">VLOOKUP(O434,LAGEFIN,13,FALSE)</f>
        <v>MONJES MAURO JESUS</v>
      </c>
      <c r="R434" s="323" t="s">
        <v>279</v>
      </c>
      <c r="S434" s="324">
        <v>63</v>
      </c>
      <c r="T434" s="325">
        <v>112014187</v>
      </c>
      <c r="U434" s="1455" t="str">
        <f t="shared" ref="U434:U465" si="128">VLOOKUP(T434,calofin,9,FALSE)</f>
        <v>VETERINARIA SAN NARCISO SRL</v>
      </c>
      <c r="W434" s="323" t="s">
        <v>490</v>
      </c>
      <c r="X434" s="324">
        <v>61</v>
      </c>
      <c r="Y434" s="325">
        <v>112011297</v>
      </c>
      <c r="Z434" s="1455" t="e">
        <f t="shared" ref="Z434:Z465" si="129">VLOOKUP(Y434,RETAMFIN,9,FALSE)</f>
        <v>#N/A</v>
      </c>
      <c r="AB434" s="325" t="s">
        <v>971</v>
      </c>
      <c r="AC434" s="325">
        <v>71</v>
      </c>
      <c r="AD434" s="325">
        <v>112014072</v>
      </c>
      <c r="AE434" s="799" t="e">
        <f t="shared" ref="AE434:AE465" si="130">VLOOKUP(AD434,VARGASFIN,13,FALSE)</f>
        <v>#N/A</v>
      </c>
      <c r="AG434" s="323" t="s">
        <v>1351</v>
      </c>
      <c r="AH434" s="325">
        <v>71</v>
      </c>
      <c r="AI434" s="325">
        <v>112013188</v>
      </c>
      <c r="AJ434" s="424" t="str">
        <f t="shared" ref="AJ434:AJ465" si="131">VLOOKUP(AI434,MONTENEFIN,9,FALSE)</f>
        <v>PISERA PABLO MIGUEL</v>
      </c>
      <c r="AL434" s="325" t="s">
        <v>1116</v>
      </c>
      <c r="AM434" s="325">
        <v>71</v>
      </c>
      <c r="AN434" s="325">
        <v>112014038</v>
      </c>
      <c r="AO434" s="799" t="e">
        <f t="shared" ref="AO434:AO465" si="132">VLOOKUP(AN434,MARUCAFIN,13,FALSE)</f>
        <v>#N/A</v>
      </c>
      <c r="AQ434" s="325" t="s">
        <v>1086</v>
      </c>
      <c r="AR434" s="325">
        <v>71</v>
      </c>
      <c r="AS434" s="325">
        <v>112014021</v>
      </c>
      <c r="AT434" s="799" t="str">
        <f t="shared" ref="AT434:AT465" si="133">VLOOKUP(AS434,ARRIOLFIN,13,FALSE)</f>
        <v>RABAZZANO FERNANDO JAVIER</v>
      </c>
      <c r="AW434" s="325" t="s">
        <v>1409</v>
      </c>
      <c r="AX434" s="325">
        <v>61</v>
      </c>
      <c r="AY434" s="325">
        <v>112014712</v>
      </c>
      <c r="AZ434" s="799" t="str">
        <f t="shared" ref="AZ434:AZ465" si="134">VLOOKUP(AY434,LAVENIAFIN,13,FALSE)</f>
        <v>PERON MELINA</v>
      </c>
      <c r="BE434" s="618"/>
      <c r="BF434" s="618"/>
    </row>
    <row r="435" spans="1:67" ht="13" hidden="1">
      <c r="A435" s="325" t="s">
        <v>791</v>
      </c>
      <c r="B435" s="325">
        <v>71</v>
      </c>
      <c r="C435" s="325">
        <v>112012875</v>
      </c>
      <c r="D435" s="799" t="str">
        <f t="shared" si="125"/>
        <v>PORTINARI EDUARDO DANIEL</v>
      </c>
      <c r="G435" s="323" t="s">
        <v>126</v>
      </c>
      <c r="H435" s="325">
        <v>70</v>
      </c>
      <c r="I435" s="325">
        <v>112013878</v>
      </c>
      <c r="J435" s="1393" t="str">
        <f t="shared" si="126"/>
        <v>HOWLIN ELIANA PAULA</v>
      </c>
      <c r="M435" s="323" t="s">
        <v>539</v>
      </c>
      <c r="N435" s="324">
        <v>62</v>
      </c>
      <c r="O435" s="325">
        <v>112014744</v>
      </c>
      <c r="P435" s="1455" t="str">
        <f t="shared" si="127"/>
        <v>MORENO SANDRA MARCELA</v>
      </c>
      <c r="R435" s="323" t="s">
        <v>295</v>
      </c>
      <c r="S435" s="324">
        <v>70</v>
      </c>
      <c r="T435" s="325">
        <v>112014634</v>
      </c>
      <c r="U435" s="1455" t="str">
        <f t="shared" si="128"/>
        <v>VOUILLOUD ARIEL ALBERTO</v>
      </c>
      <c r="W435" s="323" t="s">
        <v>442</v>
      </c>
      <c r="X435" s="324">
        <v>63</v>
      </c>
      <c r="Y435" s="325">
        <v>112012623</v>
      </c>
      <c r="Z435" s="1455" t="str">
        <f t="shared" si="129"/>
        <v>VETERINARIA VERGARA SRL</v>
      </c>
      <c r="AB435" s="325" t="s">
        <v>857</v>
      </c>
      <c r="AC435" s="325">
        <v>63</v>
      </c>
      <c r="AD435" s="325">
        <v>112012392</v>
      </c>
      <c r="AE435" s="799" t="e">
        <f t="shared" si="130"/>
        <v>#N/A</v>
      </c>
      <c r="AG435" s="323" t="s">
        <v>1269</v>
      </c>
      <c r="AH435" s="325">
        <v>55</v>
      </c>
      <c r="AI435" s="325">
        <v>112012353</v>
      </c>
      <c r="AJ435" s="424" t="str">
        <f t="shared" si="131"/>
        <v>PLAZIBAT MARIA LAURA</v>
      </c>
      <c r="AL435" s="325" t="s">
        <v>1136</v>
      </c>
      <c r="AM435" s="325">
        <v>62</v>
      </c>
      <c r="AN435" s="325">
        <v>112012477</v>
      </c>
      <c r="AO435" s="799" t="str">
        <f t="shared" si="132"/>
        <v>RICCI ROSANA MARIEL</v>
      </c>
      <c r="AQ435" s="325" t="s">
        <v>1015</v>
      </c>
      <c r="AR435" s="325">
        <v>63</v>
      </c>
      <c r="AS435" s="325">
        <v>112012021</v>
      </c>
      <c r="AT435" s="799" t="str">
        <f t="shared" si="133"/>
        <v>RAFECA VANESA ANAHI</v>
      </c>
      <c r="AW435" s="325" t="s">
        <v>1446</v>
      </c>
      <c r="AX435" s="325">
        <v>63</v>
      </c>
      <c r="AY435" s="325">
        <v>112013865</v>
      </c>
      <c r="AZ435" s="799" t="str">
        <f t="shared" si="134"/>
        <v>PICOLINI MARCELO GERONIMO</v>
      </c>
      <c r="BE435" s="618"/>
      <c r="BF435" s="618"/>
    </row>
    <row r="436" spans="1:67" ht="13" hidden="1">
      <c r="A436" s="325" t="s">
        <v>792</v>
      </c>
      <c r="B436" s="325">
        <v>71</v>
      </c>
      <c r="C436" s="325">
        <v>112012083</v>
      </c>
      <c r="D436" s="799" t="str">
        <f t="shared" si="125"/>
        <v>QUIMICA A.P.M. S.A.</v>
      </c>
      <c r="G436" s="323" t="s">
        <v>120</v>
      </c>
      <c r="H436" s="325">
        <v>70</v>
      </c>
      <c r="I436" s="325">
        <v>112013880</v>
      </c>
      <c r="J436" s="1393" t="str">
        <f t="shared" si="126"/>
        <v>FERNANDEZ MARTIN</v>
      </c>
      <c r="M436" s="323" t="s">
        <v>615</v>
      </c>
      <c r="N436" s="324">
        <v>71</v>
      </c>
      <c r="O436" s="325">
        <v>112013376</v>
      </c>
      <c r="P436" s="1455" t="str">
        <f t="shared" si="127"/>
        <v>MORRA MARIANA</v>
      </c>
      <c r="R436" s="323" t="s">
        <v>345</v>
      </c>
      <c r="S436" s="324">
        <v>71</v>
      </c>
      <c r="T436" s="325">
        <v>112013645</v>
      </c>
      <c r="U436" s="1455" t="str">
        <f t="shared" si="128"/>
        <v>ZANETTI MARIANO CARLOS</v>
      </c>
      <c r="W436" s="323" t="s">
        <v>457</v>
      </c>
      <c r="X436" s="324">
        <v>71</v>
      </c>
      <c r="Y436" s="325">
        <v>112010691</v>
      </c>
      <c r="Z436" s="1455" t="str">
        <f t="shared" si="129"/>
        <v>VIDAL VANINA GERALDINA</v>
      </c>
      <c r="AB436" s="325" t="s">
        <v>845</v>
      </c>
      <c r="AC436" s="325">
        <v>61</v>
      </c>
      <c r="AD436" s="325">
        <v>112011677</v>
      </c>
      <c r="AE436" s="799" t="e">
        <f t="shared" si="130"/>
        <v>#N/A</v>
      </c>
      <c r="AG436" s="323" t="s">
        <v>1332</v>
      </c>
      <c r="AH436" s="325">
        <v>70</v>
      </c>
      <c r="AI436" s="325">
        <v>112010407</v>
      </c>
      <c r="AJ436" s="424" t="str">
        <f t="shared" si="131"/>
        <v>POINTIS DANIEL ROLANDO</v>
      </c>
      <c r="AL436" s="325" t="s">
        <v>1183</v>
      </c>
      <c r="AM436" s="325">
        <v>71</v>
      </c>
      <c r="AN436" s="325">
        <v>112013088</v>
      </c>
      <c r="AO436" s="799" t="e">
        <f t="shared" si="132"/>
        <v>#N/A</v>
      </c>
      <c r="AQ436" s="325" t="s">
        <v>1108</v>
      </c>
      <c r="AR436" s="325">
        <v>62</v>
      </c>
      <c r="AS436" s="325">
        <v>112013257</v>
      </c>
      <c r="AT436" s="799" t="e">
        <f t="shared" si="133"/>
        <v>#N/A</v>
      </c>
      <c r="AW436" s="325" t="s">
        <v>1447</v>
      </c>
      <c r="AX436" s="325">
        <v>63</v>
      </c>
      <c r="AY436" s="325">
        <v>112014400</v>
      </c>
      <c r="AZ436" s="799" t="str">
        <f t="shared" si="134"/>
        <v>PINEDO SABRINA</v>
      </c>
      <c r="BE436" s="618"/>
      <c r="BF436" s="618"/>
    </row>
    <row r="437" spans="1:67" ht="13" hidden="1">
      <c r="A437" s="325" t="s">
        <v>687</v>
      </c>
      <c r="B437" s="325">
        <v>53</v>
      </c>
      <c r="C437" s="325">
        <v>112013581</v>
      </c>
      <c r="D437" s="799" t="str">
        <f t="shared" si="125"/>
        <v>QUINTAS ALB/FIRUMICH</v>
      </c>
      <c r="G437" s="323" t="s">
        <v>223</v>
      </c>
      <c r="H437" s="325"/>
      <c r="I437" s="325">
        <v>112013881</v>
      </c>
      <c r="J437" s="1393" t="str">
        <f t="shared" si="126"/>
        <v>GAZZOLA JULIANA INES</v>
      </c>
      <c r="M437" s="323" t="s">
        <v>592</v>
      </c>
      <c r="N437" s="324">
        <v>70</v>
      </c>
      <c r="O437" s="325">
        <v>112014702</v>
      </c>
      <c r="P437" s="1455" t="str">
        <f t="shared" si="127"/>
        <v>MOYANO MAGALI CARLA</v>
      </c>
      <c r="R437" s="323"/>
      <c r="S437" s="324"/>
      <c r="T437" s="325"/>
      <c r="U437" s="1455"/>
      <c r="W437" s="323" t="s">
        <v>452</v>
      </c>
      <c r="X437" s="324">
        <v>67</v>
      </c>
      <c r="Y437" s="325">
        <v>112013116</v>
      </c>
      <c r="Z437" s="1455" t="str">
        <f t="shared" si="129"/>
        <v>WARINET ANA MARIA</v>
      </c>
      <c r="AB437" s="325" t="s">
        <v>980</v>
      </c>
      <c r="AC437" s="325">
        <v>71</v>
      </c>
      <c r="AD437" s="325">
        <v>112012399</v>
      </c>
      <c r="AE437" s="799" t="e">
        <f t="shared" si="130"/>
        <v>#N/A</v>
      </c>
      <c r="AG437" s="323" t="s">
        <v>1343</v>
      </c>
      <c r="AH437" s="325">
        <v>71</v>
      </c>
      <c r="AI437" s="325">
        <v>112014456</v>
      </c>
      <c r="AJ437" s="424" t="str">
        <f t="shared" si="131"/>
        <v>POLLERO ROSANA MARIA LEONOR</v>
      </c>
      <c r="AL437" s="325" t="s">
        <v>1175</v>
      </c>
      <c r="AM437" s="325"/>
      <c r="AN437" s="325">
        <v>112012757</v>
      </c>
      <c r="AO437" s="799" t="e">
        <f t="shared" si="132"/>
        <v>#N/A</v>
      </c>
      <c r="AQ437" s="325" t="s">
        <v>1057</v>
      </c>
      <c r="AR437" s="325">
        <v>71</v>
      </c>
      <c r="AS437" s="325">
        <v>112013625</v>
      </c>
      <c r="AT437" s="799" t="str">
        <f t="shared" si="133"/>
        <v>RIPOLL FERMIN</v>
      </c>
      <c r="AW437" s="325" t="s">
        <v>1403</v>
      </c>
      <c r="AX437" s="325">
        <v>28</v>
      </c>
      <c r="AY437" s="325">
        <v>112013962</v>
      </c>
      <c r="AZ437" s="799" t="str">
        <f t="shared" si="134"/>
        <v>QUINTANA MARIANELA</v>
      </c>
      <c r="BE437" s="618"/>
      <c r="BF437" s="618"/>
    </row>
    <row r="438" spans="1:67" ht="13" hidden="1">
      <c r="A438" s="325" t="s">
        <v>809</v>
      </c>
      <c r="B438" s="325"/>
      <c r="C438" s="325">
        <v>112013317</v>
      </c>
      <c r="D438" s="799" t="str">
        <f t="shared" si="125"/>
        <v>QUIROS DIEGO ALEJANDRO</v>
      </c>
      <c r="G438" s="323" t="s">
        <v>199</v>
      </c>
      <c r="H438" s="325">
        <v>71</v>
      </c>
      <c r="I438" s="325">
        <v>112013883</v>
      </c>
      <c r="J438" s="1393" t="str">
        <f t="shared" si="126"/>
        <v>MENDOZA SERGIO ERNESTO</v>
      </c>
      <c r="M438" s="323" t="s">
        <v>661</v>
      </c>
      <c r="N438" s="324"/>
      <c r="O438" s="325">
        <v>112013210</v>
      </c>
      <c r="P438" s="1455" t="str">
        <f t="shared" si="127"/>
        <v>MUÑOZ JORGE SANTIAGO</v>
      </c>
      <c r="R438" s="323"/>
      <c r="S438" s="324"/>
      <c r="T438" s="325"/>
      <c r="U438" s="1455"/>
      <c r="W438" s="323" t="s">
        <v>416</v>
      </c>
      <c r="X438" s="324">
        <v>62</v>
      </c>
      <c r="Y438" s="325">
        <v>112014578</v>
      </c>
      <c r="Z438" s="1455" t="str">
        <f t="shared" si="129"/>
        <v>YAMILA AYELEN MONTEROS</v>
      </c>
      <c r="AB438" s="325" t="s">
        <v>956</v>
      </c>
      <c r="AC438" s="325">
        <v>70</v>
      </c>
      <c r="AD438" s="325">
        <v>112010856</v>
      </c>
      <c r="AE438" s="799" t="e">
        <f t="shared" si="130"/>
        <v>#N/A</v>
      </c>
      <c r="AG438" s="323" t="s">
        <v>1281</v>
      </c>
      <c r="AH438" s="325">
        <v>62</v>
      </c>
      <c r="AI438" s="325">
        <v>112013788</v>
      </c>
      <c r="AJ438" s="424" t="str">
        <f t="shared" si="131"/>
        <v>PONZO SILVIA ESTEFANIA</v>
      </c>
      <c r="AL438" s="325" t="s">
        <v>1237</v>
      </c>
      <c r="AM438" s="325">
        <v>63</v>
      </c>
      <c r="AN438" s="325">
        <v>112012802</v>
      </c>
      <c r="AO438" s="799" t="e">
        <f t="shared" si="132"/>
        <v>#N/A</v>
      </c>
      <c r="AQ438" s="325" t="s">
        <v>1066</v>
      </c>
      <c r="AR438" s="325">
        <v>71</v>
      </c>
      <c r="AS438" s="325">
        <v>112013651</v>
      </c>
      <c r="AT438" s="799" t="str">
        <f t="shared" si="133"/>
        <v>ROMERO AGUSTIN ALBERTO</v>
      </c>
      <c r="AW438" s="325" t="s">
        <v>1407</v>
      </c>
      <c r="AX438" s="325">
        <v>57</v>
      </c>
      <c r="AY438" s="325">
        <v>112013246</v>
      </c>
      <c r="AZ438" s="799" t="str">
        <f t="shared" si="134"/>
        <v>ROMERO MARIA EMILIA</v>
      </c>
      <c r="BE438" s="618"/>
      <c r="BF438" s="618"/>
    </row>
    <row r="439" spans="1:67" ht="13" hidden="1">
      <c r="A439" s="325" t="s">
        <v>721</v>
      </c>
      <c r="B439" s="325">
        <v>69</v>
      </c>
      <c r="C439" s="325">
        <v>112013270</v>
      </c>
      <c r="D439" s="799" t="str">
        <f t="shared" si="125"/>
        <v>RIEDEL MARIANO LEONEL</v>
      </c>
      <c r="G439" s="323" t="s">
        <v>159</v>
      </c>
      <c r="H439" s="325">
        <v>70</v>
      </c>
      <c r="I439" s="325">
        <v>112013886</v>
      </c>
      <c r="J439" s="1393" t="str">
        <f t="shared" si="126"/>
        <v>CARLINO SILVINA BEATRIZ</v>
      </c>
      <c r="M439" s="323" t="s">
        <v>593</v>
      </c>
      <c r="N439" s="324">
        <v>70</v>
      </c>
      <c r="O439" s="325">
        <v>112014367</v>
      </c>
      <c r="P439" s="1455" t="str">
        <f t="shared" si="127"/>
        <v>MUSITANI PABLO MARTIN</v>
      </c>
      <c r="R439" s="336"/>
      <c r="S439" s="337"/>
      <c r="T439" s="506"/>
      <c r="U439" s="1457"/>
      <c r="W439" s="323" t="s">
        <v>493</v>
      </c>
      <c r="X439" s="324">
        <v>66</v>
      </c>
      <c r="Y439" s="325">
        <v>112012738</v>
      </c>
      <c r="Z439" s="1455" t="e">
        <f t="shared" si="129"/>
        <v>#N/A</v>
      </c>
      <c r="AB439" s="325" t="s">
        <v>932</v>
      </c>
      <c r="AC439" s="325">
        <v>63</v>
      </c>
      <c r="AD439" s="325">
        <v>112012640</v>
      </c>
      <c r="AE439" s="799" t="e">
        <f t="shared" si="130"/>
        <v>#N/A</v>
      </c>
      <c r="AG439" s="323" t="s">
        <v>1282</v>
      </c>
      <c r="AH439" s="325">
        <v>62</v>
      </c>
      <c r="AI439" s="325">
        <v>112013514</v>
      </c>
      <c r="AJ439" s="424" t="str">
        <f t="shared" si="131"/>
        <v>PUIG JOSÉ ALBERTO/JULIETA AGUSTINA</v>
      </c>
      <c r="AL439" s="325" t="s">
        <v>1154</v>
      </c>
      <c r="AM439" s="325">
        <v>70</v>
      </c>
      <c r="AN439" s="325">
        <v>112012217</v>
      </c>
      <c r="AO439" s="799" t="str">
        <f t="shared" si="132"/>
        <v>ROSAS FACUNDO MATIAS</v>
      </c>
      <c r="AQ439" s="325" t="s">
        <v>1041</v>
      </c>
      <c r="AR439" s="325">
        <v>70</v>
      </c>
      <c r="AS439" s="325">
        <v>112012196</v>
      </c>
      <c r="AT439" s="799" t="str">
        <f t="shared" si="133"/>
        <v>ROSSA MAGALI YAEL</v>
      </c>
      <c r="AW439" s="325" t="s">
        <v>1501</v>
      </c>
      <c r="AX439" s="325"/>
      <c r="AY439" s="325">
        <v>112011985</v>
      </c>
      <c r="AZ439" s="799" t="str">
        <f t="shared" si="134"/>
        <v>RUPP GUILLERMO NAZARENO</v>
      </c>
      <c r="BE439" s="618"/>
      <c r="BF439" s="618"/>
    </row>
    <row r="440" spans="1:67" ht="13" hidden="1">
      <c r="A440" s="325" t="s">
        <v>793</v>
      </c>
      <c r="B440" s="325">
        <v>71</v>
      </c>
      <c r="C440" s="325">
        <v>112011473</v>
      </c>
      <c r="D440" s="799" t="str">
        <f t="shared" si="125"/>
        <v>RIGONE SILVANA MARIEL</v>
      </c>
      <c r="G440" s="323" t="s">
        <v>114</v>
      </c>
      <c r="H440" s="325">
        <v>69</v>
      </c>
      <c r="I440" s="325">
        <v>112013913</v>
      </c>
      <c r="J440" s="1393" t="str">
        <f t="shared" si="126"/>
        <v>LOPEZ EUGENIA</v>
      </c>
      <c r="M440" s="323" t="s">
        <v>519</v>
      </c>
      <c r="N440" s="324">
        <v>62</v>
      </c>
      <c r="O440" s="325">
        <v>112014104</v>
      </c>
      <c r="P440" s="1455" t="str">
        <f t="shared" si="127"/>
        <v>MYSZKOWSKI AGUSTIN EZEQUIEL</v>
      </c>
      <c r="S440" s="294"/>
      <c r="U440" s="618"/>
      <c r="W440" s="323"/>
      <c r="X440" s="324"/>
      <c r="Y440" s="325"/>
      <c r="Z440" s="1455"/>
      <c r="AB440" s="325" t="s">
        <v>889</v>
      </c>
      <c r="AC440" s="325">
        <v>70</v>
      </c>
      <c r="AD440" s="325">
        <v>112012309</v>
      </c>
      <c r="AE440" s="799" t="str">
        <f t="shared" si="130"/>
        <v>TRIBERIG SA</v>
      </c>
      <c r="AG440" s="323" t="s">
        <v>1333</v>
      </c>
      <c r="AH440" s="325">
        <v>70</v>
      </c>
      <c r="AI440" s="325">
        <v>112014215</v>
      </c>
      <c r="AJ440" s="424" t="str">
        <f t="shared" si="131"/>
        <v>RESTAINO ADRIAN/ FERREIRA ISABELLE</v>
      </c>
      <c r="AL440" s="325" t="s">
        <v>1184</v>
      </c>
      <c r="AM440" s="325">
        <v>71</v>
      </c>
      <c r="AN440" s="325">
        <v>112011571</v>
      </c>
      <c r="AO440" s="799" t="e">
        <f t="shared" si="132"/>
        <v>#N/A</v>
      </c>
      <c r="AQ440" s="325" t="s">
        <v>1113</v>
      </c>
      <c r="AR440" s="325">
        <v>53</v>
      </c>
      <c r="AS440" s="325">
        <v>112012420</v>
      </c>
      <c r="AT440" s="799" t="e">
        <f t="shared" si="133"/>
        <v>#N/A</v>
      </c>
      <c r="AW440" s="325" t="s">
        <v>1419</v>
      </c>
      <c r="AX440" s="325">
        <v>62</v>
      </c>
      <c r="AY440" s="325">
        <v>112014011</v>
      </c>
      <c r="AZ440" s="799" t="str">
        <f t="shared" si="134"/>
        <v>SARACHU MARIA BERTA MABEL</v>
      </c>
      <c r="BE440" s="618"/>
      <c r="BF440" s="618"/>
    </row>
    <row r="441" spans="1:67" ht="13" hidden="1">
      <c r="A441" s="325" t="s">
        <v>698</v>
      </c>
      <c r="B441" s="325">
        <v>57</v>
      </c>
      <c r="C441" s="325">
        <v>112013299</v>
      </c>
      <c r="D441" s="799" t="e">
        <f t="shared" si="125"/>
        <v>#N/A</v>
      </c>
      <c r="G441" s="323" t="s">
        <v>200</v>
      </c>
      <c r="H441" s="325">
        <v>71</v>
      </c>
      <c r="I441" s="325">
        <v>112013915</v>
      </c>
      <c r="J441" s="1393" t="str">
        <f t="shared" si="126"/>
        <v>QUARLERI FRANCISCO EDGARDO</v>
      </c>
      <c r="M441" s="323" t="s">
        <v>639</v>
      </c>
      <c r="N441" s="324">
        <v>70</v>
      </c>
      <c r="O441" s="325">
        <v>112014608</v>
      </c>
      <c r="P441" s="1455" t="str">
        <f t="shared" si="127"/>
        <v>NOAILLES CECILIA MONICA</v>
      </c>
      <c r="S441" s="294"/>
      <c r="U441" s="618"/>
      <c r="W441" s="323"/>
      <c r="X441" s="324"/>
      <c r="Y441" s="325"/>
      <c r="Z441" s="1455"/>
      <c r="AB441" s="325" t="s">
        <v>943</v>
      </c>
      <c r="AC441" s="325">
        <v>71</v>
      </c>
      <c r="AD441" s="325">
        <v>112013139</v>
      </c>
      <c r="AE441" s="799" t="e">
        <f t="shared" si="130"/>
        <v>#N/A</v>
      </c>
      <c r="AG441" s="323" t="s">
        <v>1327</v>
      </c>
      <c r="AH441" s="325">
        <v>63</v>
      </c>
      <c r="AI441" s="325">
        <v>112010112</v>
      </c>
      <c r="AJ441" s="424" t="str">
        <f t="shared" si="131"/>
        <v>REVORA EDUARDO JOSE</v>
      </c>
      <c r="AL441" s="325" t="s">
        <v>1189</v>
      </c>
      <c r="AM441" s="325">
        <v>70</v>
      </c>
      <c r="AN441" s="325">
        <v>112012795</v>
      </c>
      <c r="AO441" s="799" t="e">
        <f t="shared" si="132"/>
        <v>#N/A</v>
      </c>
      <c r="AQ441" s="325" t="s">
        <v>871</v>
      </c>
      <c r="AR441" s="325">
        <v>63</v>
      </c>
      <c r="AS441" s="325">
        <v>112010488</v>
      </c>
      <c r="AT441" s="799" t="e">
        <f t="shared" si="133"/>
        <v>#N/A</v>
      </c>
      <c r="AW441" s="325" t="s">
        <v>1462</v>
      </c>
      <c r="AX441" s="325">
        <v>63</v>
      </c>
      <c r="AY441" s="325">
        <v>112013231</v>
      </c>
      <c r="AZ441" s="799" t="str">
        <f t="shared" si="134"/>
        <v>SCARANO NICOLAS ANIBAL</v>
      </c>
      <c r="BE441" s="618"/>
      <c r="BF441" s="618"/>
    </row>
    <row r="442" spans="1:67" ht="13" hidden="1">
      <c r="A442" s="325" t="s">
        <v>736</v>
      </c>
      <c r="B442" s="325">
        <v>71</v>
      </c>
      <c r="C442" s="325">
        <v>112011754</v>
      </c>
      <c r="D442" s="799" t="str">
        <f t="shared" si="125"/>
        <v>RINALDIS DANIEL JORGE</v>
      </c>
      <c r="G442" s="323" t="s">
        <v>122</v>
      </c>
      <c r="H442" s="325">
        <v>71</v>
      </c>
      <c r="I442" s="325">
        <v>112013927</v>
      </c>
      <c r="J442" s="1393" t="str">
        <f t="shared" si="126"/>
        <v>ZANDONADI CARLOS GASTON</v>
      </c>
      <c r="M442" s="323" t="s">
        <v>564</v>
      </c>
      <c r="N442" s="324">
        <v>69</v>
      </c>
      <c r="O442" s="325">
        <v>112014419</v>
      </c>
      <c r="P442" s="1455" t="str">
        <f t="shared" si="127"/>
        <v>OLVEIRA DARIO FERNANDO</v>
      </c>
      <c r="S442" s="294"/>
      <c r="U442" s="618"/>
      <c r="W442" s="336"/>
      <c r="X442" s="337"/>
      <c r="Y442" s="506"/>
      <c r="Z442" s="1457"/>
      <c r="AB442" s="325" t="s">
        <v>879</v>
      </c>
      <c r="AC442" s="325">
        <v>71</v>
      </c>
      <c r="AD442" s="325">
        <v>112014692</v>
      </c>
      <c r="AE442" s="799" t="str">
        <f t="shared" si="130"/>
        <v>VAZQUEZ MELISA INES</v>
      </c>
      <c r="AG442" s="323" t="s">
        <v>1369</v>
      </c>
      <c r="AH442" s="325">
        <v>71</v>
      </c>
      <c r="AI442" s="325">
        <v>112012782</v>
      </c>
      <c r="AJ442" s="424" t="str">
        <f t="shared" si="131"/>
        <v>RIEGLER EDUARDO HORACIO</v>
      </c>
      <c r="AL442" s="325" t="s">
        <v>1213</v>
      </c>
      <c r="AM442" s="325">
        <v>70</v>
      </c>
      <c r="AN442" s="325">
        <v>112012375</v>
      </c>
      <c r="AO442" s="799" t="e">
        <f t="shared" si="132"/>
        <v>#N/A</v>
      </c>
      <c r="AQ442" s="325" t="s">
        <v>1038</v>
      </c>
      <c r="AR442" s="325">
        <v>70</v>
      </c>
      <c r="AS442" s="325">
        <v>112014533</v>
      </c>
      <c r="AT442" s="799" t="str">
        <f t="shared" si="133"/>
        <v>RUI CARLOS FACUNDO</v>
      </c>
      <c r="AW442" s="325" t="s">
        <v>487</v>
      </c>
      <c r="AX442" s="325">
        <v>63</v>
      </c>
      <c r="AY442" s="325">
        <v>112013042</v>
      </c>
      <c r="AZ442" s="799" t="str">
        <f t="shared" si="134"/>
        <v>SERRANO ALEJANDRA CAROLINA</v>
      </c>
      <c r="BE442" s="618"/>
      <c r="BF442" s="618"/>
    </row>
    <row r="443" spans="1:67" ht="13" hidden="1">
      <c r="A443" s="325" t="s">
        <v>763</v>
      </c>
      <c r="B443" s="325">
        <v>70</v>
      </c>
      <c r="C443" s="325">
        <v>112014353</v>
      </c>
      <c r="D443" s="799" t="str">
        <f t="shared" si="125"/>
        <v>RODRIGUEZ DE LUCA POLO BAUTISTA</v>
      </c>
      <c r="G443" s="323" t="s">
        <v>224</v>
      </c>
      <c r="H443" s="325"/>
      <c r="I443" s="325">
        <v>112013933</v>
      </c>
      <c r="J443" s="1393" t="str">
        <f t="shared" si="126"/>
        <v>TOBIO PABLO JAVIER</v>
      </c>
      <c r="M443" s="323" t="s">
        <v>594</v>
      </c>
      <c r="N443" s="324">
        <v>70</v>
      </c>
      <c r="O443" s="325">
        <v>112014685</v>
      </c>
      <c r="P443" s="1455" t="str">
        <f t="shared" si="127"/>
        <v>PABLO SEBASTIAN PACHINO</v>
      </c>
      <c r="S443" s="294"/>
      <c r="U443" s="618"/>
      <c r="X443" s="294"/>
      <c r="Z443" s="618"/>
      <c r="AB443" s="325" t="s">
        <v>885</v>
      </c>
      <c r="AC443" s="325">
        <v>71</v>
      </c>
      <c r="AD443" s="325">
        <v>112014080</v>
      </c>
      <c r="AE443" s="799" t="str">
        <f t="shared" si="130"/>
        <v>YBARRA JUAN MANUEL</v>
      </c>
      <c r="AG443" s="323" t="s">
        <v>1352</v>
      </c>
      <c r="AH443" s="325">
        <v>71</v>
      </c>
      <c r="AI443" s="325">
        <v>112014683</v>
      </c>
      <c r="AJ443" s="424" t="str">
        <f t="shared" si="131"/>
        <v>ROMINA ACUÑA</v>
      </c>
      <c r="AL443" s="325" t="s">
        <v>1156</v>
      </c>
      <c r="AM443" s="325">
        <v>69</v>
      </c>
      <c r="AN443" s="325">
        <v>112014726</v>
      </c>
      <c r="AO443" s="799" t="str">
        <f t="shared" si="132"/>
        <v>SBERNA ROCIO ANDREA</v>
      </c>
      <c r="AQ443" s="325" t="s">
        <v>1109</v>
      </c>
      <c r="AR443" s="325">
        <v>63</v>
      </c>
      <c r="AS443" s="325">
        <v>112010497</v>
      </c>
      <c r="AT443" s="799" t="e">
        <f t="shared" si="133"/>
        <v>#N/A</v>
      </c>
      <c r="AW443" s="325" t="s">
        <v>1463</v>
      </c>
      <c r="AX443" s="325">
        <v>63</v>
      </c>
      <c r="AY443" s="325">
        <v>112014526</v>
      </c>
      <c r="AZ443" s="799" t="str">
        <f t="shared" si="134"/>
        <v>SHORT JUAN MARTIN</v>
      </c>
      <c r="BE443" s="618"/>
      <c r="BF443" s="618"/>
    </row>
    <row r="444" spans="1:67" ht="13" hidden="1">
      <c r="A444" s="325" t="s">
        <v>810</v>
      </c>
      <c r="B444" s="325"/>
      <c r="C444" s="325">
        <v>112011823</v>
      </c>
      <c r="D444" s="799" t="str">
        <f t="shared" si="125"/>
        <v>SABELLI JUAN IGNACIO</v>
      </c>
      <c r="G444" s="323" t="s">
        <v>201</v>
      </c>
      <c r="H444" s="325">
        <v>71</v>
      </c>
      <c r="I444" s="325">
        <v>112013939</v>
      </c>
      <c r="J444" s="1393" t="str">
        <f t="shared" si="126"/>
        <v>GREGORUTTI MARCELO GASTON</v>
      </c>
      <c r="M444" s="323" t="s">
        <v>616</v>
      </c>
      <c r="N444" s="324">
        <v>71</v>
      </c>
      <c r="O444" s="325">
        <v>112014263</v>
      </c>
      <c r="P444" s="1455" t="str">
        <f t="shared" si="127"/>
        <v>PABLO TOUZON</v>
      </c>
      <c r="S444" s="294"/>
      <c r="U444" s="618"/>
      <c r="X444" s="294"/>
      <c r="Z444" s="618"/>
      <c r="AB444" s="325"/>
      <c r="AC444" s="325"/>
      <c r="AD444" s="325"/>
      <c r="AE444" s="799"/>
      <c r="AG444" s="323" t="s">
        <v>1270</v>
      </c>
      <c r="AH444" s="325">
        <v>55</v>
      </c>
      <c r="AI444" s="325">
        <v>112010365</v>
      </c>
      <c r="AJ444" s="424" t="str">
        <f t="shared" si="131"/>
        <v>ROSATO PABLO LUIS</v>
      </c>
      <c r="AL444" s="325" t="s">
        <v>1185</v>
      </c>
      <c r="AM444" s="325">
        <v>71</v>
      </c>
      <c r="AN444" s="325">
        <v>112013873</v>
      </c>
      <c r="AO444" s="799" t="e">
        <f t="shared" si="132"/>
        <v>#N/A</v>
      </c>
      <c r="AQ444" s="325" t="s">
        <v>1035</v>
      </c>
      <c r="AR444" s="325">
        <v>69</v>
      </c>
      <c r="AS444" s="325">
        <v>112014404</v>
      </c>
      <c r="AT444" s="799" t="str">
        <f t="shared" si="133"/>
        <v>SAAVEDRA JORGELINA ANDREA</v>
      </c>
      <c r="AW444" s="325" t="s">
        <v>1120</v>
      </c>
      <c r="AX444" s="325"/>
      <c r="AY444" s="325">
        <v>112013421</v>
      </c>
      <c r="AZ444" s="799" t="str">
        <f t="shared" si="134"/>
        <v>SIERRA MARIA EUGENIA</v>
      </c>
      <c r="BE444" s="618"/>
      <c r="BF444" s="618"/>
      <c r="BG444" s="553"/>
      <c r="BH444" s="294"/>
      <c r="BI444" s="618"/>
      <c r="BJ444" s="618"/>
      <c r="BK444" s="618"/>
      <c r="BL444" s="553"/>
      <c r="BM444" s="618"/>
      <c r="BN444" s="618"/>
      <c r="BO444" s="618"/>
    </row>
    <row r="445" spans="1:67" ht="13" hidden="1">
      <c r="A445" s="325" t="s">
        <v>811</v>
      </c>
      <c r="B445" s="325"/>
      <c r="C445" s="325">
        <v>112013416</v>
      </c>
      <c r="D445" s="799" t="str">
        <f t="shared" si="125"/>
        <v>SALINAS LILIANA NOEMI</v>
      </c>
      <c r="G445" s="323" t="s">
        <v>160</v>
      </c>
      <c r="H445" s="325">
        <v>70</v>
      </c>
      <c r="I445" s="325">
        <v>112013981</v>
      </c>
      <c r="J445" s="1393" t="str">
        <f t="shared" si="126"/>
        <v>VEGA GRISELDA ANAHI</v>
      </c>
      <c r="M445" s="323" t="s">
        <v>546</v>
      </c>
      <c r="N445" s="324">
        <v>61</v>
      </c>
      <c r="O445" s="325">
        <v>112014741</v>
      </c>
      <c r="P445" s="1455" t="str">
        <f t="shared" si="127"/>
        <v>PAMELA ESTEFANIA BARRIONUEVO</v>
      </c>
      <c r="S445" s="294"/>
      <c r="U445" s="618"/>
      <c r="X445" s="294"/>
      <c r="Z445" s="618"/>
      <c r="AB445" s="325"/>
      <c r="AC445" s="325"/>
      <c r="AD445" s="325"/>
      <c r="AE445" s="799"/>
      <c r="AG445" s="323" t="s">
        <v>1279</v>
      </c>
      <c r="AH445" s="325">
        <v>62</v>
      </c>
      <c r="AI445" s="325">
        <v>112014180</v>
      </c>
      <c r="AJ445" s="424" t="str">
        <f t="shared" si="131"/>
        <v>SAEZ CLAUDIO ALBERTO</v>
      </c>
      <c r="AL445" s="325" t="s">
        <v>1195</v>
      </c>
      <c r="AM445" s="325">
        <v>70</v>
      </c>
      <c r="AN445" s="325">
        <v>112014186</v>
      </c>
      <c r="AO445" s="799" t="e">
        <f t="shared" si="132"/>
        <v>#N/A</v>
      </c>
      <c r="AQ445" s="325" t="s">
        <v>1095</v>
      </c>
      <c r="AR445" s="325">
        <v>71</v>
      </c>
      <c r="AS445" s="325">
        <v>112013707</v>
      </c>
      <c r="AT445" s="799" t="e">
        <f t="shared" si="133"/>
        <v>#N/A</v>
      </c>
      <c r="AW445" s="325" t="s">
        <v>1448</v>
      </c>
      <c r="AX445" s="325">
        <v>63</v>
      </c>
      <c r="AY445" s="325">
        <v>112013987</v>
      </c>
      <c r="AZ445" s="799" t="str">
        <f t="shared" si="134"/>
        <v>SOFIA BELEN SENA</v>
      </c>
      <c r="BE445" s="618"/>
      <c r="BF445" s="618"/>
      <c r="BG445" s="553"/>
      <c r="BH445" s="294"/>
      <c r="BI445" s="618"/>
      <c r="BJ445" s="618"/>
      <c r="BK445" s="618"/>
      <c r="BL445" s="553"/>
      <c r="BM445" s="618"/>
      <c r="BN445" s="618"/>
      <c r="BO445" s="618"/>
    </row>
    <row r="446" spans="1:67" ht="13" hidden="1">
      <c r="A446" s="325" t="s">
        <v>754</v>
      </c>
      <c r="B446" s="325">
        <v>70</v>
      </c>
      <c r="C446" s="325">
        <v>112014758</v>
      </c>
      <c r="D446" s="799" t="str">
        <f t="shared" si="125"/>
        <v>SAPIO SEBASTIAN EZEQUIEL</v>
      </c>
      <c r="G446" s="323" t="s">
        <v>67</v>
      </c>
      <c r="H446" s="325">
        <v>52</v>
      </c>
      <c r="I446" s="325">
        <v>112014073</v>
      </c>
      <c r="J446" s="1393" t="str">
        <f t="shared" si="126"/>
        <v>VIDELA LEONARDO GABRIEL</v>
      </c>
      <c r="M446" s="323" t="s">
        <v>656</v>
      </c>
      <c r="N446" s="324">
        <v>71</v>
      </c>
      <c r="O446" s="325">
        <v>112013930</v>
      </c>
      <c r="P446" s="1455" t="str">
        <f t="shared" si="127"/>
        <v>PANOZZO JULIANA BELEN</v>
      </c>
      <c r="S446" s="294"/>
      <c r="U446" s="618"/>
      <c r="X446" s="294"/>
      <c r="Z446" s="618"/>
      <c r="AB446" s="325"/>
      <c r="AC446" s="325"/>
      <c r="AD446" s="325"/>
      <c r="AE446" s="799"/>
      <c r="AG446" s="323" t="s">
        <v>1305</v>
      </c>
      <c r="AH446" s="325">
        <v>63</v>
      </c>
      <c r="AI446" s="325">
        <v>112012449</v>
      </c>
      <c r="AJ446" s="424" t="str">
        <f t="shared" si="131"/>
        <v>SEGURADO RUBEN HORACIO</v>
      </c>
      <c r="AL446" s="325" t="s">
        <v>1196</v>
      </c>
      <c r="AM446" s="325">
        <v>70</v>
      </c>
      <c r="AN446" s="325">
        <v>112014192</v>
      </c>
      <c r="AO446" s="799" t="e">
        <f t="shared" si="132"/>
        <v>#N/A</v>
      </c>
      <c r="AQ446" s="325" t="s">
        <v>1048</v>
      </c>
      <c r="AR446" s="325">
        <v>71</v>
      </c>
      <c r="AS446" s="325">
        <v>112012154</v>
      </c>
      <c r="AT446" s="799" t="str">
        <f t="shared" si="133"/>
        <v>SADABA SEBASTIAN ANDRES</v>
      </c>
      <c r="AW446" s="325" t="s">
        <v>1449</v>
      </c>
      <c r="AX446" s="325">
        <v>63</v>
      </c>
      <c r="AY446" s="325">
        <v>112012277</v>
      </c>
      <c r="AZ446" s="799" t="str">
        <f t="shared" si="134"/>
        <v>SOLARI MARIA VERONICA</v>
      </c>
      <c r="BE446" s="618"/>
      <c r="BF446" s="618"/>
      <c r="BG446" s="553"/>
      <c r="BH446" s="294"/>
      <c r="BI446" s="618"/>
      <c r="BJ446" s="618"/>
      <c r="BK446" s="618"/>
      <c r="BL446" s="553"/>
      <c r="BM446" s="618"/>
      <c r="BN446" s="618"/>
      <c r="BO446" s="618"/>
    </row>
    <row r="447" spans="1:67" ht="13" hidden="1">
      <c r="A447" s="325" t="s">
        <v>812</v>
      </c>
      <c r="B447" s="325"/>
      <c r="C447" s="325">
        <v>112014159</v>
      </c>
      <c r="D447" s="799" t="str">
        <f t="shared" si="125"/>
        <v>SBERNA MANUELA</v>
      </c>
      <c r="G447" s="323" t="s">
        <v>163</v>
      </c>
      <c r="H447" s="325">
        <v>70</v>
      </c>
      <c r="I447" s="325">
        <v>112014137</v>
      </c>
      <c r="J447" s="1393" t="str">
        <f t="shared" si="126"/>
        <v>VIEGAS MELRO SERGIO GABRIEL</v>
      </c>
      <c r="M447" s="323" t="s">
        <v>521</v>
      </c>
      <c r="N447" s="324">
        <v>61</v>
      </c>
      <c r="O447" s="325">
        <v>112013279</v>
      </c>
      <c r="P447" s="1455" t="str">
        <f t="shared" si="127"/>
        <v>PAOLI FACUNDO EZEQUIEL</v>
      </c>
      <c r="S447" s="294"/>
      <c r="U447" s="618"/>
      <c r="X447" s="294"/>
      <c r="Z447" s="618"/>
      <c r="AE447" s="618"/>
      <c r="AG447" s="323" t="s">
        <v>1370</v>
      </c>
      <c r="AH447" s="325">
        <v>71</v>
      </c>
      <c r="AI447" s="325">
        <v>112011834</v>
      </c>
      <c r="AJ447" s="424" t="str">
        <f t="shared" si="131"/>
        <v>SFORZINI YANINA GABRIELA</v>
      </c>
      <c r="AL447" s="325" t="s">
        <v>1210</v>
      </c>
      <c r="AM447" s="325">
        <v>70</v>
      </c>
      <c r="AN447" s="325">
        <v>112011525</v>
      </c>
      <c r="AO447" s="799" t="e">
        <f t="shared" si="132"/>
        <v>#N/A</v>
      </c>
      <c r="AQ447" s="325" t="s">
        <v>1107</v>
      </c>
      <c r="AR447" s="325">
        <v>63</v>
      </c>
      <c r="AS447" s="325">
        <v>112013898</v>
      </c>
      <c r="AT447" s="799" t="e">
        <f t="shared" si="133"/>
        <v>#N/A</v>
      </c>
      <c r="AW447" s="325" t="s">
        <v>1469</v>
      </c>
      <c r="AX447" s="325">
        <v>63</v>
      </c>
      <c r="AY447" s="325">
        <v>112014248</v>
      </c>
      <c r="AZ447" s="799" t="str">
        <f t="shared" si="134"/>
        <v>SUAREZ MARIA VITALINA DE LOURDES</v>
      </c>
      <c r="BE447" s="618"/>
      <c r="BF447" s="618"/>
      <c r="BG447" s="553"/>
      <c r="BH447" s="294"/>
      <c r="BI447" s="618"/>
      <c r="BJ447" s="618"/>
      <c r="BK447" s="618"/>
      <c r="BL447" s="553"/>
      <c r="BM447" s="618"/>
      <c r="BN447" s="618"/>
      <c r="BO447" s="618"/>
    </row>
    <row r="448" spans="1:67" ht="13" hidden="1">
      <c r="A448" s="325" t="s">
        <v>717</v>
      </c>
      <c r="B448" s="325">
        <v>69</v>
      </c>
      <c r="C448" s="325">
        <v>112012741</v>
      </c>
      <c r="D448" s="799" t="e">
        <f t="shared" si="125"/>
        <v>#N/A</v>
      </c>
      <c r="G448" s="323" t="s">
        <v>74</v>
      </c>
      <c r="H448" s="325">
        <v>53</v>
      </c>
      <c r="I448" s="325">
        <v>112014138</v>
      </c>
      <c r="J448" s="1393" t="str">
        <f t="shared" si="126"/>
        <v>SANZO JOSE MARCELO</v>
      </c>
      <c r="M448" s="323" t="s">
        <v>595</v>
      </c>
      <c r="N448" s="324">
        <v>70</v>
      </c>
      <c r="O448" s="325">
        <v>112014469</v>
      </c>
      <c r="P448" s="1455" t="str">
        <f t="shared" si="127"/>
        <v>PAOLILLO JORGE ALBERTO</v>
      </c>
      <c r="S448" s="294"/>
      <c r="U448" s="618"/>
      <c r="X448" s="294"/>
      <c r="Z448" s="618"/>
      <c r="AE448" s="618"/>
      <c r="AG448" s="323" t="s">
        <v>1371</v>
      </c>
      <c r="AH448" s="325">
        <v>71</v>
      </c>
      <c r="AI448" s="325">
        <v>112013577</v>
      </c>
      <c r="AJ448" s="424" t="str">
        <f t="shared" si="131"/>
        <v>SILVA JUAN LUIS</v>
      </c>
      <c r="AL448" s="325" t="s">
        <v>1155</v>
      </c>
      <c r="AM448" s="325">
        <v>70</v>
      </c>
      <c r="AN448" s="325">
        <v>112013674</v>
      </c>
      <c r="AO448" s="799" t="str">
        <f t="shared" si="132"/>
        <v>SPADONI JORGE ALBERTO</v>
      </c>
      <c r="AQ448" s="325" t="s">
        <v>1097</v>
      </c>
      <c r="AR448" s="325">
        <v>71</v>
      </c>
      <c r="AS448" s="325">
        <v>112012069</v>
      </c>
      <c r="AT448" s="799" t="e">
        <f t="shared" si="133"/>
        <v>#N/A</v>
      </c>
      <c r="AW448" s="325" t="s">
        <v>1483</v>
      </c>
      <c r="AX448" s="325">
        <v>71</v>
      </c>
      <c r="AY448" s="325">
        <v>112013744</v>
      </c>
      <c r="AZ448" s="799" t="str">
        <f t="shared" si="134"/>
        <v>TINTA VENEROS ROLANDO</v>
      </c>
      <c r="BE448" s="618"/>
      <c r="BF448" s="618"/>
      <c r="BG448" s="553"/>
      <c r="BH448" s="294"/>
      <c r="BI448" s="618"/>
      <c r="BJ448" s="618"/>
      <c r="BK448" s="618"/>
      <c r="BL448" s="553"/>
      <c r="BM448" s="618"/>
      <c r="BN448" s="618"/>
      <c r="BO448" s="618"/>
    </row>
    <row r="449" spans="1:67" ht="13" hidden="1">
      <c r="A449" s="325" t="s">
        <v>794</v>
      </c>
      <c r="B449" s="325">
        <v>71</v>
      </c>
      <c r="C449" s="325">
        <v>112010547</v>
      </c>
      <c r="D449" s="799" t="str">
        <f t="shared" si="125"/>
        <v>SCHINONI MARIO ALFREDO</v>
      </c>
      <c r="G449" s="323" t="s">
        <v>161</v>
      </c>
      <c r="H449" s="325">
        <v>70</v>
      </c>
      <c r="I449" s="325">
        <v>112014216</v>
      </c>
      <c r="J449" s="1393" t="str">
        <f t="shared" si="126"/>
        <v>CROCI LAURA BEATRIZ</v>
      </c>
      <c r="M449" s="323" t="s">
        <v>548</v>
      </c>
      <c r="N449" s="324">
        <v>66</v>
      </c>
      <c r="O449" s="325">
        <v>112014504</v>
      </c>
      <c r="P449" s="1455" t="str">
        <f t="shared" si="127"/>
        <v>PAULA DIAZ REXACH</v>
      </c>
      <c r="S449" s="294"/>
      <c r="U449" s="618"/>
      <c r="X449" s="294"/>
      <c r="Z449" s="618"/>
      <c r="AE449" s="618"/>
      <c r="AG449" s="323" t="s">
        <v>1324</v>
      </c>
      <c r="AH449" s="325">
        <v>63</v>
      </c>
      <c r="AI449" s="325">
        <v>112014045</v>
      </c>
      <c r="AJ449" s="424" t="str">
        <f t="shared" si="131"/>
        <v>SOLER PATRICIA ADOLFINA</v>
      </c>
      <c r="AL449" s="325" t="s">
        <v>1144</v>
      </c>
      <c r="AM449" s="325">
        <v>71</v>
      </c>
      <c r="AN449" s="325">
        <v>112012448</v>
      </c>
      <c r="AO449" s="799" t="str">
        <f t="shared" si="132"/>
        <v>STORNELLI MARIA CECILIA</v>
      </c>
      <c r="AQ449" s="325" t="s">
        <v>1058</v>
      </c>
      <c r="AR449" s="325">
        <v>71</v>
      </c>
      <c r="AS449" s="325">
        <v>112013490</v>
      </c>
      <c r="AT449" s="799" t="str">
        <f t="shared" si="133"/>
        <v>SAPPIA DANIEL HUMBERTO</v>
      </c>
      <c r="AW449" s="325" t="s">
        <v>1420</v>
      </c>
      <c r="AX449" s="325">
        <v>62</v>
      </c>
      <c r="AY449" s="325">
        <v>112014577</v>
      </c>
      <c r="AZ449" s="799" t="str">
        <f t="shared" si="134"/>
        <v>TOMAS VILLAVICENCIO</v>
      </c>
      <c r="BE449" s="618"/>
      <c r="BF449" s="618"/>
      <c r="BG449" s="553"/>
      <c r="BH449" s="294"/>
      <c r="BI449" s="618"/>
      <c r="BJ449" s="618"/>
      <c r="BK449" s="618"/>
      <c r="BL449" s="553"/>
      <c r="BM449" s="618"/>
      <c r="BN449" s="618"/>
      <c r="BO449" s="618"/>
    </row>
    <row r="450" spans="1:67" ht="13" hidden="1">
      <c r="A450" s="325" t="s">
        <v>739</v>
      </c>
      <c r="B450" s="325">
        <v>71</v>
      </c>
      <c r="C450" s="325">
        <v>112013133</v>
      </c>
      <c r="D450" s="799" t="str">
        <f t="shared" si="125"/>
        <v>SCIALABBA PAOLA</v>
      </c>
      <c r="G450" s="323" t="s">
        <v>162</v>
      </c>
      <c r="H450" s="325">
        <v>70</v>
      </c>
      <c r="I450" s="325">
        <v>112014269</v>
      </c>
      <c r="J450" s="1393" t="str">
        <f t="shared" si="126"/>
        <v>BEDOYA CAROLINA</v>
      </c>
      <c r="M450" s="323" t="s">
        <v>511</v>
      </c>
      <c r="N450" s="324">
        <v>53</v>
      </c>
      <c r="O450" s="325">
        <v>112013770</v>
      </c>
      <c r="P450" s="1455" t="str">
        <f t="shared" si="127"/>
        <v>PEREZ BERNARDO</v>
      </c>
      <c r="S450" s="294"/>
      <c r="U450" s="618"/>
      <c r="X450" s="294"/>
      <c r="Z450" s="618"/>
      <c r="AE450" s="618"/>
      <c r="AG450" s="323" t="s">
        <v>1304</v>
      </c>
      <c r="AH450" s="325">
        <v>63</v>
      </c>
      <c r="AI450" s="325">
        <v>112013233</v>
      </c>
      <c r="AJ450" s="424" t="str">
        <f t="shared" si="131"/>
        <v>SORENSEN JOHN/HERRERO YAMILA</v>
      </c>
      <c r="AL450" s="325" t="s">
        <v>880</v>
      </c>
      <c r="AM450" s="325">
        <v>70</v>
      </c>
      <c r="AN450" s="325">
        <v>112012373</v>
      </c>
      <c r="AO450" s="799" t="e">
        <f t="shared" si="132"/>
        <v>#N/A</v>
      </c>
      <c r="AQ450" s="325" t="s">
        <v>1025</v>
      </c>
      <c r="AR450" s="325">
        <v>63</v>
      </c>
      <c r="AS450" s="325">
        <v>112014645</v>
      </c>
      <c r="AT450" s="799" t="str">
        <f t="shared" si="133"/>
        <v>SILVIA MARIEL CABRERA</v>
      </c>
      <c r="AW450" s="325" t="s">
        <v>1513</v>
      </c>
      <c r="AX450" s="325">
        <v>71</v>
      </c>
      <c r="AY450" s="325">
        <v>112010784</v>
      </c>
      <c r="AZ450" s="799" t="e">
        <f t="shared" si="134"/>
        <v>#N/A</v>
      </c>
      <c r="BE450" s="618"/>
      <c r="BF450" s="618"/>
      <c r="BG450" s="553"/>
      <c r="BH450" s="294"/>
      <c r="BI450" s="618"/>
      <c r="BJ450" s="618"/>
      <c r="BK450" s="618"/>
      <c r="BL450" s="553"/>
      <c r="BM450" s="618"/>
      <c r="BN450" s="618"/>
      <c r="BO450" s="618"/>
    </row>
    <row r="451" spans="1:67" ht="13" hidden="1">
      <c r="A451" s="325" t="s">
        <v>795</v>
      </c>
      <c r="B451" s="325">
        <v>71</v>
      </c>
      <c r="C451" s="325">
        <v>112013526</v>
      </c>
      <c r="D451" s="799" t="str">
        <f t="shared" si="125"/>
        <v>SETTEMBRINI JAVIER ERNESTO</v>
      </c>
      <c r="G451" s="323" t="s">
        <v>164</v>
      </c>
      <c r="H451" s="325">
        <v>69</v>
      </c>
      <c r="I451" s="325">
        <v>112014273</v>
      </c>
      <c r="J451" s="1393" t="str">
        <f t="shared" si="126"/>
        <v>SZPIRO NOELIA BETIANA</v>
      </c>
      <c r="M451" s="323" t="s">
        <v>650</v>
      </c>
      <c r="N451" s="324">
        <v>71</v>
      </c>
      <c r="O451" s="325">
        <v>112014165</v>
      </c>
      <c r="P451" s="1455" t="str">
        <f t="shared" si="127"/>
        <v>PETRONE MARCELO D Y SASSO DANIEL J</v>
      </c>
      <c r="S451" s="294"/>
      <c r="U451" s="618"/>
      <c r="X451" s="294"/>
      <c r="Z451" s="618"/>
      <c r="AE451" s="618"/>
      <c r="AG451" s="323" t="s">
        <v>1372</v>
      </c>
      <c r="AH451" s="325">
        <v>71</v>
      </c>
      <c r="AI451" s="325">
        <v>112014417</v>
      </c>
      <c r="AJ451" s="424" t="str">
        <f t="shared" si="131"/>
        <v>SUCESION DE MARZULLO CESAR ABEL</v>
      </c>
      <c r="AL451" s="325" t="s">
        <v>1163</v>
      </c>
      <c r="AM451" s="325">
        <v>70</v>
      </c>
      <c r="AN451" s="325">
        <v>112014761</v>
      </c>
      <c r="AO451" s="799" t="e">
        <f t="shared" si="132"/>
        <v>#N/A</v>
      </c>
      <c r="AQ451" s="325" t="s">
        <v>1026</v>
      </c>
      <c r="AR451" s="325">
        <v>63</v>
      </c>
      <c r="AS451" s="325">
        <v>112014470</v>
      </c>
      <c r="AT451" s="799" t="str">
        <f t="shared" si="133"/>
        <v>SILVINA BOCCA</v>
      </c>
      <c r="AW451" s="325" t="s">
        <v>1450</v>
      </c>
      <c r="AX451" s="325">
        <v>63</v>
      </c>
      <c r="AY451" s="325">
        <v>112011749</v>
      </c>
      <c r="AZ451" s="799" t="str">
        <f t="shared" si="134"/>
        <v>VIALE LUIS EDUARDO</v>
      </c>
      <c r="BE451" s="618"/>
      <c r="BF451" s="618"/>
      <c r="BG451" s="553"/>
      <c r="BH451" s="294"/>
      <c r="BI451" s="618"/>
      <c r="BJ451" s="618"/>
      <c r="BK451" s="618"/>
      <c r="BL451" s="553"/>
      <c r="BM451" s="618"/>
      <c r="BN451" s="618"/>
      <c r="BO451" s="618"/>
    </row>
    <row r="452" spans="1:67" ht="13" hidden="1">
      <c r="A452" s="325" t="s">
        <v>796</v>
      </c>
      <c r="B452" s="325">
        <v>71</v>
      </c>
      <c r="C452" s="325">
        <v>112013290</v>
      </c>
      <c r="D452" s="799" t="str">
        <f t="shared" si="125"/>
        <v>SOTOMAYOR JOSE LUIS</v>
      </c>
      <c r="G452" s="323" t="s">
        <v>121</v>
      </c>
      <c r="H452" s="325">
        <v>70</v>
      </c>
      <c r="I452" s="325">
        <v>112014354</v>
      </c>
      <c r="J452" s="1393" t="str">
        <f t="shared" si="126"/>
        <v>HAAS FABIANA MARCELA</v>
      </c>
      <c r="M452" s="323" t="s">
        <v>659</v>
      </c>
      <c r="N452" s="324"/>
      <c r="O452" s="325">
        <v>112013314</v>
      </c>
      <c r="P452" s="1455" t="str">
        <f t="shared" si="127"/>
        <v>PICCOLO VANESA INES</v>
      </c>
      <c r="S452" s="294"/>
      <c r="U452" s="618"/>
      <c r="X452" s="294"/>
      <c r="Z452" s="618"/>
      <c r="AE452" s="618"/>
      <c r="AG452" s="323" t="s">
        <v>1306</v>
      </c>
      <c r="AH452" s="325">
        <v>63</v>
      </c>
      <c r="AI452" s="325">
        <v>112014300</v>
      </c>
      <c r="AJ452" s="424" t="str">
        <f t="shared" si="131"/>
        <v>URGA GUSTAVO DANIEL</v>
      </c>
      <c r="AL452" s="325" t="s">
        <v>1214</v>
      </c>
      <c r="AM452" s="325">
        <v>70</v>
      </c>
      <c r="AN452" s="325">
        <v>112014204</v>
      </c>
      <c r="AO452" s="799" t="e">
        <f t="shared" si="132"/>
        <v>#N/A</v>
      </c>
      <c r="AQ452" s="325" t="s">
        <v>1112</v>
      </c>
      <c r="AR452" s="325">
        <v>55</v>
      </c>
      <c r="AS452" s="325">
        <v>112011304</v>
      </c>
      <c r="AT452" s="799" t="e">
        <f t="shared" si="133"/>
        <v>#N/A</v>
      </c>
      <c r="AW452" s="325" t="s">
        <v>1451</v>
      </c>
      <c r="AX452" s="325">
        <v>63</v>
      </c>
      <c r="AY452" s="325">
        <v>112013852</v>
      </c>
      <c r="AZ452" s="799" t="str">
        <f t="shared" si="134"/>
        <v>VIDOSEVICH EVANGELINA</v>
      </c>
      <c r="BE452" s="618"/>
      <c r="BF452" s="618"/>
      <c r="BG452" s="553"/>
      <c r="BH452" s="294"/>
      <c r="BI452" s="618"/>
      <c r="BJ452" s="618"/>
      <c r="BK452" s="618"/>
      <c r="BL452" s="553"/>
      <c r="BM452" s="618"/>
      <c r="BN452" s="618"/>
      <c r="BO452" s="618"/>
    </row>
    <row r="453" spans="1:67" ht="13" hidden="1">
      <c r="A453" s="325" t="s">
        <v>705</v>
      </c>
      <c r="B453" s="325">
        <v>62</v>
      </c>
      <c r="C453" s="325">
        <v>112013132</v>
      </c>
      <c r="D453" s="799" t="str">
        <f t="shared" si="125"/>
        <v>SPINELLI DIEGO RICARDO</v>
      </c>
      <c r="G453" s="323" t="s">
        <v>107</v>
      </c>
      <c r="H453" s="325">
        <v>63</v>
      </c>
      <c r="I453" s="325">
        <v>112014358</v>
      </c>
      <c r="J453" s="1393" t="str">
        <f t="shared" si="126"/>
        <v>GOMEZ ARIAS MARBELLA ALICIA</v>
      </c>
      <c r="M453" s="323" t="s">
        <v>617</v>
      </c>
      <c r="N453" s="324">
        <v>71</v>
      </c>
      <c r="O453" s="325">
        <v>112014133</v>
      </c>
      <c r="P453" s="1455" t="str">
        <f t="shared" si="127"/>
        <v>PORCELLI CLAUDIO</v>
      </c>
      <c r="S453" s="294"/>
      <c r="U453" s="618"/>
      <c r="X453" s="294"/>
      <c r="Z453" s="618"/>
      <c r="AE453" s="618"/>
      <c r="AG453" s="323" t="s">
        <v>1387</v>
      </c>
      <c r="AH453" s="325">
        <v>71</v>
      </c>
      <c r="AI453" s="325">
        <v>112012973</v>
      </c>
      <c r="AJ453" s="424" t="e">
        <f t="shared" si="131"/>
        <v>#N/A</v>
      </c>
      <c r="AL453" s="325" t="s">
        <v>1157</v>
      </c>
      <c r="AM453" s="325">
        <v>70</v>
      </c>
      <c r="AN453" s="325">
        <v>112013643</v>
      </c>
      <c r="AO453" s="799" t="str">
        <f t="shared" si="132"/>
        <v>ZAPPACOSTA NORA INES</v>
      </c>
      <c r="AQ453" s="325" t="s">
        <v>1012</v>
      </c>
      <c r="AR453" s="325">
        <v>63</v>
      </c>
      <c r="AS453" s="325">
        <v>112013624</v>
      </c>
      <c r="AT453" s="799" t="e">
        <f t="shared" si="133"/>
        <v>#N/A</v>
      </c>
      <c r="AW453" s="325" t="s">
        <v>1465</v>
      </c>
      <c r="AX453" s="325">
        <v>21</v>
      </c>
      <c r="AY453" s="325">
        <v>112014781</v>
      </c>
      <c r="AZ453" s="799" t="str">
        <f t="shared" si="134"/>
        <v>LAB FERNANDEZ S.A.</v>
      </c>
      <c r="BE453" s="618"/>
      <c r="BF453" s="618"/>
      <c r="BG453" s="553"/>
      <c r="BH453" s="294"/>
      <c r="BI453" s="618"/>
      <c r="BJ453" s="618"/>
      <c r="BK453" s="618"/>
      <c r="BL453" s="553"/>
      <c r="BM453" s="618"/>
      <c r="BN453" s="618"/>
      <c r="BO453" s="618"/>
    </row>
    <row r="454" spans="1:67" ht="13" hidden="1">
      <c r="A454" s="325" t="s">
        <v>701</v>
      </c>
      <c r="B454" s="325">
        <v>62</v>
      </c>
      <c r="C454" s="325">
        <v>112014742</v>
      </c>
      <c r="D454" s="799" t="str">
        <f t="shared" si="125"/>
        <v>STRAMBI MARIA JOSE</v>
      </c>
      <c r="G454" s="323" t="s">
        <v>99</v>
      </c>
      <c r="H454" s="325">
        <v>62</v>
      </c>
      <c r="I454" s="325">
        <v>112014369</v>
      </c>
      <c r="J454" s="1393" t="str">
        <f t="shared" si="126"/>
        <v>OMAR LEANDRO MATIAS</v>
      </c>
      <c r="M454" s="323" t="s">
        <v>522</v>
      </c>
      <c r="N454" s="324">
        <v>61</v>
      </c>
      <c r="O454" s="325">
        <v>112014477</v>
      </c>
      <c r="P454" s="1455" t="str">
        <f t="shared" si="127"/>
        <v>PROFARVET SA</v>
      </c>
      <c r="S454" s="294"/>
      <c r="U454" s="618"/>
      <c r="X454" s="294"/>
      <c r="Z454" s="618"/>
      <c r="AE454" s="618"/>
      <c r="AG454" s="323" t="s">
        <v>1373</v>
      </c>
      <c r="AH454" s="325">
        <v>71</v>
      </c>
      <c r="AI454" s="325">
        <v>112012748</v>
      </c>
      <c r="AJ454" s="424" t="str">
        <f t="shared" si="131"/>
        <v>VALARINO EDUARDO/VALARINO RAMIRO</v>
      </c>
      <c r="AL454" s="325" t="s">
        <v>1119</v>
      </c>
      <c r="AM454" s="325">
        <v>71</v>
      </c>
      <c r="AN454" s="325">
        <v>112014306</v>
      </c>
      <c r="AO454" s="799" t="e">
        <f t="shared" si="132"/>
        <v>#N/A</v>
      </c>
      <c r="AQ454" s="325" t="s">
        <v>1000</v>
      </c>
      <c r="AR454" s="325">
        <v>63</v>
      </c>
      <c r="AS454" s="325">
        <v>112013137</v>
      </c>
      <c r="AT454" s="799" t="str">
        <f t="shared" si="133"/>
        <v>STABILE JOSE CARLOS</v>
      </c>
      <c r="AW454" s="325"/>
      <c r="AX454" s="325"/>
      <c r="AY454" s="325"/>
      <c r="AZ454" s="799" t="e">
        <f t="shared" si="134"/>
        <v>#N/A</v>
      </c>
      <c r="BE454" s="618"/>
      <c r="BF454" s="618"/>
      <c r="BG454" s="553"/>
      <c r="BH454" s="294"/>
      <c r="BI454" s="618"/>
      <c r="BJ454" s="618"/>
      <c r="BK454" s="618"/>
      <c r="BL454" s="553"/>
      <c r="BM454" s="618"/>
      <c r="BN454" s="618"/>
      <c r="BO454" s="618"/>
    </row>
    <row r="455" spans="1:67" ht="13" hidden="1">
      <c r="A455" s="325" t="s">
        <v>764</v>
      </c>
      <c r="B455" s="325">
        <v>70</v>
      </c>
      <c r="C455" s="325">
        <v>112013251</v>
      </c>
      <c r="D455" s="799" t="str">
        <f t="shared" si="125"/>
        <v>TARSIA EDUARDO PASCUAL</v>
      </c>
      <c r="G455" s="323" t="s">
        <v>165</v>
      </c>
      <c r="H455" s="325">
        <v>70</v>
      </c>
      <c r="I455" s="325">
        <v>112014377</v>
      </c>
      <c r="J455" s="1393" t="str">
        <f t="shared" si="126"/>
        <v>ALMARAZ NAHUEL HERNAN</v>
      </c>
      <c r="M455" s="323" t="s">
        <v>596</v>
      </c>
      <c r="N455" s="324">
        <v>70</v>
      </c>
      <c r="O455" s="325">
        <v>112014649</v>
      </c>
      <c r="P455" s="1455" t="str">
        <f t="shared" si="127"/>
        <v>PROMESTI PATRICIA JOSEFINA</v>
      </c>
      <c r="S455" s="294"/>
      <c r="U455" s="618"/>
      <c r="X455" s="294"/>
      <c r="Z455" s="618"/>
      <c r="AE455" s="618"/>
      <c r="AG455" s="323" t="s">
        <v>1374</v>
      </c>
      <c r="AH455" s="325">
        <v>71</v>
      </c>
      <c r="AI455" s="325">
        <v>112012852</v>
      </c>
      <c r="AJ455" s="424" t="str">
        <f t="shared" si="131"/>
        <v>VARZE KARINA</v>
      </c>
      <c r="AL455" s="325" t="s">
        <v>1215</v>
      </c>
      <c r="AM455" s="325">
        <v>70</v>
      </c>
      <c r="AN455" s="325">
        <v>112013235</v>
      </c>
      <c r="AO455" s="799" t="e">
        <f t="shared" si="132"/>
        <v>#N/A</v>
      </c>
      <c r="AQ455" s="325" t="s">
        <v>1059</v>
      </c>
      <c r="AR455" s="325">
        <v>71</v>
      </c>
      <c r="AS455" s="325">
        <v>112014557</v>
      </c>
      <c r="AT455" s="799" t="e">
        <f t="shared" si="133"/>
        <v>#N/A</v>
      </c>
      <c r="AW455" s="325"/>
      <c r="AX455" s="325"/>
      <c r="AY455" s="325"/>
      <c r="AZ455" s="799"/>
      <c r="BE455" s="618"/>
      <c r="BF455" s="618"/>
      <c r="BG455" s="553"/>
      <c r="BH455" s="294"/>
      <c r="BI455" s="618"/>
      <c r="BJ455" s="618"/>
      <c r="BK455" s="618"/>
      <c r="BL455" s="553"/>
      <c r="BM455" s="618"/>
      <c r="BN455" s="618"/>
      <c r="BO455" s="618"/>
    </row>
    <row r="456" spans="1:67" ht="13" hidden="1">
      <c r="A456" s="325" t="s">
        <v>737</v>
      </c>
      <c r="B456" s="325">
        <v>71</v>
      </c>
      <c r="C456" s="325">
        <v>112013922</v>
      </c>
      <c r="D456" s="799" t="str">
        <f t="shared" si="125"/>
        <v>TERRILE JORGE LUIS</v>
      </c>
      <c r="G456" s="323" t="s">
        <v>202</v>
      </c>
      <c r="H456" s="325">
        <v>71</v>
      </c>
      <c r="I456" s="325">
        <v>112014408</v>
      </c>
      <c r="J456" s="1393" t="str">
        <f t="shared" si="126"/>
        <v>CASTRO FERNANDO ARIEL</v>
      </c>
      <c r="M456" s="323" t="s">
        <v>514</v>
      </c>
      <c r="N456" s="324">
        <v>54</v>
      </c>
      <c r="O456" s="325">
        <v>112010484</v>
      </c>
      <c r="P456" s="1455" t="str">
        <f t="shared" si="127"/>
        <v>QUILICI CARLOS ANIBAL</v>
      </c>
      <c r="S456" s="294"/>
      <c r="U456" s="618"/>
      <c r="X456" s="294"/>
      <c r="Z456" s="618"/>
      <c r="AE456" s="618"/>
      <c r="AG456" s="323" t="s">
        <v>1307</v>
      </c>
      <c r="AH456" s="325">
        <v>63</v>
      </c>
      <c r="AI456" s="325">
        <v>112012568</v>
      </c>
      <c r="AJ456" s="424" t="str">
        <f t="shared" si="131"/>
        <v>VELEZ CARLOS FERNANDO</v>
      </c>
      <c r="AL456" s="325" t="s">
        <v>1190</v>
      </c>
      <c r="AM456" s="325">
        <v>70</v>
      </c>
      <c r="AN456" s="325">
        <v>112012430</v>
      </c>
      <c r="AO456" s="799" t="e">
        <f t="shared" si="132"/>
        <v>#N/A</v>
      </c>
      <c r="AQ456" s="325" t="s">
        <v>1102</v>
      </c>
      <c r="AR456" s="325">
        <v>70</v>
      </c>
      <c r="AS456" s="325">
        <v>112010098</v>
      </c>
      <c r="AT456" s="799" t="e">
        <f t="shared" si="133"/>
        <v>#N/A</v>
      </c>
      <c r="AW456" s="325"/>
      <c r="AX456" s="325"/>
      <c r="AY456" s="325"/>
      <c r="AZ456" s="799"/>
      <c r="BE456" s="618"/>
      <c r="BF456" s="618"/>
      <c r="BG456" s="553"/>
      <c r="BH456" s="294"/>
      <c r="BI456" s="618"/>
      <c r="BJ456" s="618"/>
      <c r="BK456" s="618"/>
      <c r="BL456" s="553"/>
      <c r="BM456" s="618"/>
      <c r="BN456" s="618"/>
      <c r="BO456" s="618"/>
    </row>
    <row r="457" spans="1:67" ht="13" hidden="1">
      <c r="A457" s="325" t="s">
        <v>711</v>
      </c>
      <c r="B457" s="325">
        <v>63</v>
      </c>
      <c r="C457" s="325">
        <v>112012839</v>
      </c>
      <c r="D457" s="799" t="str">
        <f t="shared" si="125"/>
        <v>TORRES RIOS MANUEL RICARDO</v>
      </c>
      <c r="G457" s="323" t="s">
        <v>66</v>
      </c>
      <c r="H457" s="325">
        <v>52</v>
      </c>
      <c r="I457" s="325">
        <v>112014411</v>
      </c>
      <c r="J457" s="1393" t="str">
        <f t="shared" si="126"/>
        <v>HERMIDA ALEJANDRO</v>
      </c>
      <c r="M457" s="323" t="s">
        <v>618</v>
      </c>
      <c r="N457" s="324">
        <v>71</v>
      </c>
      <c r="O457" s="325">
        <v>112014227</v>
      </c>
      <c r="P457" s="1455" t="str">
        <f t="shared" si="127"/>
        <v>QUILICI TATIANA SOLANGE</v>
      </c>
      <c r="S457" s="294"/>
      <c r="U457" s="618"/>
      <c r="X457" s="294"/>
      <c r="Z457" s="618"/>
      <c r="AE457" s="618"/>
      <c r="AG457" s="323" t="s">
        <v>1285</v>
      </c>
      <c r="AH457" s="325">
        <v>63</v>
      </c>
      <c r="AI457" s="325">
        <v>112011735</v>
      </c>
      <c r="AJ457" s="424" t="str">
        <f t="shared" si="131"/>
        <v>VERONA PABLO MATIAS</v>
      </c>
      <c r="AL457" s="325" t="s">
        <v>1146</v>
      </c>
      <c r="AM457" s="325">
        <v>69</v>
      </c>
      <c r="AN457" s="325">
        <v>112014783</v>
      </c>
      <c r="AO457" s="799" t="str">
        <f t="shared" si="132"/>
        <v>CAPONERA RAFAEL</v>
      </c>
      <c r="AQ457" s="325" t="s">
        <v>1076</v>
      </c>
      <c r="AR457" s="325">
        <v>71</v>
      </c>
      <c r="AS457" s="325">
        <v>112012342</v>
      </c>
      <c r="AT457" s="799" t="str">
        <f t="shared" si="133"/>
        <v>TOMAS ALEJANDRO GERMAN</v>
      </c>
      <c r="AZ457" s="618"/>
      <c r="BE457" s="618"/>
      <c r="BF457" s="618"/>
      <c r="BG457" s="553"/>
      <c r="BH457" s="294"/>
      <c r="BI457" s="618"/>
      <c r="BJ457" s="618"/>
      <c r="BK457" s="618"/>
      <c r="BL457" s="553"/>
      <c r="BM457" s="618"/>
      <c r="BN457" s="618"/>
      <c r="BO457" s="618"/>
    </row>
    <row r="458" spans="1:67" ht="13" hidden="1">
      <c r="A458" s="325" t="s">
        <v>797</v>
      </c>
      <c r="B458" s="325">
        <v>71</v>
      </c>
      <c r="C458" s="325">
        <v>112014385</v>
      </c>
      <c r="D458" s="799" t="str">
        <f t="shared" si="125"/>
        <v>TRAVERSA SILVINA ELIZABETH</v>
      </c>
      <c r="G458" s="323" t="s">
        <v>102</v>
      </c>
      <c r="H458" s="325">
        <v>62</v>
      </c>
      <c r="I458" s="325">
        <v>112014426</v>
      </c>
      <c r="J458" s="1393" t="str">
        <f t="shared" si="126"/>
        <v>FILIPPONI MARGARITA JUANA</v>
      </c>
      <c r="M458" s="323" t="s">
        <v>597</v>
      </c>
      <c r="N458" s="324">
        <v>70</v>
      </c>
      <c r="O458" s="325">
        <v>112014337</v>
      </c>
      <c r="P458" s="1455" t="str">
        <f t="shared" si="127"/>
        <v>QUINTANA YANINA NOEMI</v>
      </c>
      <c r="S458" s="294"/>
      <c r="U458" s="618"/>
      <c r="X458" s="294"/>
      <c r="Z458" s="618"/>
      <c r="AE458" s="618"/>
      <c r="AG458" s="323" t="s">
        <v>1339</v>
      </c>
      <c r="AH458" s="325">
        <v>71</v>
      </c>
      <c r="AI458" s="325">
        <v>112014546</v>
      </c>
      <c r="AJ458" s="424" t="str">
        <f t="shared" si="131"/>
        <v>VETERINARIA CENTRO SOCIEDAD DE RESPONSABILIDAD LIMITAD</v>
      </c>
      <c r="AL458" s="325"/>
      <c r="AM458" s="325"/>
      <c r="AN458" s="325"/>
      <c r="AO458" s="799" t="e">
        <f t="shared" si="132"/>
        <v>#N/A</v>
      </c>
      <c r="AQ458" s="325" t="s">
        <v>1044</v>
      </c>
      <c r="AR458" s="325">
        <v>71</v>
      </c>
      <c r="AS458" s="325">
        <v>112010149</v>
      </c>
      <c r="AT458" s="799" t="str">
        <f t="shared" si="133"/>
        <v>TRAVASCIO CARLOS ALBERTO</v>
      </c>
      <c r="AZ458" s="618"/>
      <c r="BE458" s="618"/>
      <c r="BF458" s="618"/>
      <c r="BG458" s="553"/>
      <c r="BH458" s="294"/>
      <c r="BI458" s="618"/>
      <c r="BJ458" s="618"/>
      <c r="BK458" s="618"/>
      <c r="BL458" s="553"/>
      <c r="BM458" s="618"/>
      <c r="BN458" s="618"/>
      <c r="BO458" s="618"/>
    </row>
    <row r="459" spans="1:67" ht="13" hidden="1">
      <c r="A459" s="325" t="s">
        <v>723</v>
      </c>
      <c r="B459" s="325">
        <v>70</v>
      </c>
      <c r="C459" s="325">
        <v>112013432</v>
      </c>
      <c r="D459" s="799" t="str">
        <f t="shared" si="125"/>
        <v>TRUSONI LUCIANO</v>
      </c>
      <c r="G459" s="323" t="s">
        <v>103</v>
      </c>
      <c r="H459" s="325">
        <v>61</v>
      </c>
      <c r="I459" s="325">
        <v>112014462</v>
      </c>
      <c r="J459" s="1393" t="str">
        <f t="shared" si="126"/>
        <v>MAMANI NADIA LUCIANA</v>
      </c>
      <c r="M459" s="323" t="s">
        <v>547</v>
      </c>
      <c r="N459" s="324">
        <v>21</v>
      </c>
      <c r="O459" s="325">
        <v>112014434</v>
      </c>
      <c r="P459" s="1455" t="str">
        <f t="shared" si="127"/>
        <v>RAMASCO PADILLA LORENZO ALBERTO DANI</v>
      </c>
      <c r="S459" s="294"/>
      <c r="U459" s="618"/>
      <c r="X459" s="294"/>
      <c r="Z459" s="618"/>
      <c r="AE459" s="618"/>
      <c r="AG459" s="323" t="s">
        <v>1284</v>
      </c>
      <c r="AH459" s="325">
        <v>62</v>
      </c>
      <c r="AI459" s="325">
        <v>112014172</v>
      </c>
      <c r="AJ459" s="424" t="str">
        <f t="shared" si="131"/>
        <v>VETERINARIA SEBASTIAN S.R.L</v>
      </c>
      <c r="AL459" s="325"/>
      <c r="AM459" s="325"/>
      <c r="AN459" s="325"/>
      <c r="AO459" s="799"/>
      <c r="AQ459" s="325" t="s">
        <v>1092</v>
      </c>
      <c r="AR459" s="325">
        <v>63</v>
      </c>
      <c r="AS459" s="325">
        <v>112011430</v>
      </c>
      <c r="AT459" s="799" t="e">
        <f t="shared" si="133"/>
        <v>#N/A</v>
      </c>
      <c r="AZ459" s="618"/>
      <c r="BE459" s="618"/>
      <c r="BF459" s="618"/>
      <c r="BG459" s="553"/>
      <c r="BH459" s="294"/>
      <c r="BI459" s="618"/>
      <c r="BJ459" s="618"/>
      <c r="BK459" s="618"/>
      <c r="BL459" s="553"/>
      <c r="BM459" s="618"/>
      <c r="BN459" s="618"/>
      <c r="BO459" s="618"/>
    </row>
    <row r="460" spans="1:67" ht="13" hidden="1">
      <c r="A460" s="325" t="s">
        <v>798</v>
      </c>
      <c r="B460" s="325">
        <v>71</v>
      </c>
      <c r="C460" s="325">
        <v>112013834</v>
      </c>
      <c r="D460" s="799" t="str">
        <f t="shared" si="125"/>
        <v>TURRISI SILVIA SUSANA</v>
      </c>
      <c r="G460" s="323" t="s">
        <v>134</v>
      </c>
      <c r="H460" s="325">
        <v>69</v>
      </c>
      <c r="I460" s="325">
        <v>112014512</v>
      </c>
      <c r="J460" s="1393" t="str">
        <f t="shared" si="126"/>
        <v>FERNANDO FABIAN CASALONGUE</v>
      </c>
      <c r="M460" s="323" t="s">
        <v>657</v>
      </c>
      <c r="N460" s="324">
        <v>71</v>
      </c>
      <c r="O460" s="325">
        <v>112011001</v>
      </c>
      <c r="P460" s="1455" t="str">
        <f t="shared" si="127"/>
        <v>RAPISARDI ADRIAN NORBERTO(Lanus)</v>
      </c>
      <c r="S460" s="294"/>
      <c r="U460" s="618"/>
      <c r="X460" s="294"/>
      <c r="Z460" s="618"/>
      <c r="AE460" s="618"/>
      <c r="AG460" s="323" t="s">
        <v>1325</v>
      </c>
      <c r="AH460" s="325">
        <v>63</v>
      </c>
      <c r="AI460" s="325">
        <v>112013992</v>
      </c>
      <c r="AJ460" s="424" t="str">
        <f t="shared" si="131"/>
        <v>VOORAF WORDEN S.R.L.</v>
      </c>
      <c r="AL460" s="325"/>
      <c r="AM460" s="325"/>
      <c r="AN460" s="325"/>
      <c r="AO460" s="799"/>
      <c r="AQ460" s="325" t="s">
        <v>1001</v>
      </c>
      <c r="AR460" s="325">
        <v>63</v>
      </c>
      <c r="AS460" s="325">
        <v>112013300</v>
      </c>
      <c r="AT460" s="799" t="str">
        <f t="shared" si="133"/>
        <v>VETERINARIA DEL PUEBLO SRL</v>
      </c>
      <c r="AZ460" s="618"/>
      <c r="BE460" s="618"/>
      <c r="BF460" s="618"/>
      <c r="BG460" s="553"/>
      <c r="BH460" s="294"/>
      <c r="BI460" s="618"/>
      <c r="BJ460" s="618"/>
      <c r="BK460" s="618"/>
      <c r="BL460" s="553"/>
      <c r="BM460" s="618"/>
      <c r="BN460" s="618"/>
      <c r="BO460" s="618"/>
    </row>
    <row r="461" spans="1:67" ht="13" hidden="1">
      <c r="A461" s="325" t="s">
        <v>741</v>
      </c>
      <c r="B461" s="325">
        <v>71</v>
      </c>
      <c r="C461" s="325">
        <v>112012879</v>
      </c>
      <c r="D461" s="799" t="str">
        <f t="shared" si="125"/>
        <v>VELURTAS SERGIO ALEJANDRO</v>
      </c>
      <c r="G461" s="323" t="s">
        <v>136</v>
      </c>
      <c r="H461" s="325">
        <v>69</v>
      </c>
      <c r="I461" s="325">
        <v>112014519</v>
      </c>
      <c r="J461" s="1393" t="str">
        <f t="shared" si="126"/>
        <v>STRANGIS ADRIAN</v>
      </c>
      <c r="M461" s="323" t="s">
        <v>622</v>
      </c>
      <c r="N461" s="324">
        <v>71</v>
      </c>
      <c r="O461" s="325">
        <v>112011776</v>
      </c>
      <c r="P461" s="1455" t="str">
        <f t="shared" si="127"/>
        <v>RODRIGUEZ FLORES SABRINA GIDELA</v>
      </c>
      <c r="S461" s="294"/>
      <c r="U461" s="618"/>
      <c r="X461" s="294"/>
      <c r="Z461" s="618"/>
      <c r="AE461" s="618"/>
      <c r="AG461" s="323" t="s">
        <v>1326</v>
      </c>
      <c r="AH461" s="325">
        <v>63</v>
      </c>
      <c r="AI461" s="325">
        <v>112012507</v>
      </c>
      <c r="AJ461" s="424" t="str">
        <f t="shared" si="131"/>
        <v>WOLCOFF MARIANA LORENA</v>
      </c>
      <c r="AL461" s="325"/>
      <c r="AM461" s="325"/>
      <c r="AN461" s="325"/>
      <c r="AO461" s="799"/>
      <c r="AQ461" s="325" t="s">
        <v>1045</v>
      </c>
      <c r="AR461" s="325">
        <v>71</v>
      </c>
      <c r="AS461" s="325">
        <v>112014371</v>
      </c>
      <c r="AT461" s="799" t="str">
        <f t="shared" si="133"/>
        <v>VETERINARIA LA MULITA DE AZUL S. R. L</v>
      </c>
      <c r="AZ461" s="618"/>
      <c r="BE461" s="618"/>
      <c r="BF461" s="618"/>
      <c r="BG461" s="553"/>
      <c r="BH461" s="294"/>
      <c r="BI461" s="618"/>
      <c r="BJ461" s="618"/>
      <c r="BK461" s="618"/>
      <c r="BL461" s="553"/>
      <c r="BM461" s="618"/>
      <c r="BN461" s="618"/>
      <c r="BO461" s="618"/>
    </row>
    <row r="462" spans="1:67" ht="13" hidden="1">
      <c r="A462" s="325" t="s">
        <v>712</v>
      </c>
      <c r="B462" s="325">
        <v>63</v>
      </c>
      <c r="C462" s="325">
        <v>112010514</v>
      </c>
      <c r="D462" s="799" t="str">
        <f t="shared" si="125"/>
        <v>VET DE MARCO SOCIEDAD SIMPLE DE CORREA ALEJO Y DE MARCO MARIELA</v>
      </c>
      <c r="G462" s="323" t="s">
        <v>203</v>
      </c>
      <c r="H462" s="325">
        <v>71</v>
      </c>
      <c r="I462" s="325">
        <v>112014528</v>
      </c>
      <c r="J462" s="1393" t="str">
        <f t="shared" si="126"/>
        <v>CASTRO FERNANDO ARIEL SUC 2</v>
      </c>
      <c r="M462" s="323" t="s">
        <v>537</v>
      </c>
      <c r="N462" s="324">
        <v>62</v>
      </c>
      <c r="O462" s="325">
        <v>112012893</v>
      </c>
      <c r="P462" s="1455" t="str">
        <f t="shared" si="127"/>
        <v>RODRIGUEZ JORGE OMAR</v>
      </c>
      <c r="S462" s="294"/>
      <c r="U462" s="618"/>
      <c r="X462" s="294"/>
      <c r="Z462" s="618"/>
      <c r="AE462" s="618"/>
      <c r="AG462" s="323" t="s">
        <v>1375</v>
      </c>
      <c r="AH462" s="325">
        <v>71</v>
      </c>
      <c r="AI462" s="325">
        <v>112014039</v>
      </c>
      <c r="AJ462" s="424" t="str">
        <f t="shared" si="131"/>
        <v>YANNACE AYELEN</v>
      </c>
      <c r="AL462" s="325"/>
      <c r="AM462" s="325"/>
      <c r="AN462" s="325"/>
      <c r="AO462" s="799"/>
      <c r="AQ462" s="325" t="s">
        <v>1036</v>
      </c>
      <c r="AR462" s="325">
        <v>70</v>
      </c>
      <c r="AS462" s="325">
        <v>112012698</v>
      </c>
      <c r="AT462" s="799" t="str">
        <f t="shared" si="133"/>
        <v>YURNO OSCAR ALFREDO</v>
      </c>
      <c r="AZ462" s="618"/>
      <c r="BE462" s="618"/>
      <c r="BF462" s="618"/>
      <c r="BG462" s="553"/>
      <c r="BH462" s="294"/>
      <c r="BI462" s="618"/>
      <c r="BJ462" s="618"/>
      <c r="BK462" s="618"/>
      <c r="BL462" s="553"/>
      <c r="BM462" s="618"/>
      <c r="BN462" s="618"/>
      <c r="BO462" s="618"/>
    </row>
    <row r="463" spans="1:67" ht="13" hidden="1">
      <c r="A463" s="325" t="s">
        <v>733</v>
      </c>
      <c r="B463" s="325">
        <v>70</v>
      </c>
      <c r="C463" s="325">
        <v>112010639</v>
      </c>
      <c r="D463" s="799" t="str">
        <f t="shared" si="125"/>
        <v>VOLPATTI MARCELA MONICA</v>
      </c>
      <c r="G463" s="323" t="s">
        <v>65</v>
      </c>
      <c r="H463" s="325">
        <v>54</v>
      </c>
      <c r="I463" s="325">
        <v>112014535</v>
      </c>
      <c r="J463" s="1393" t="str">
        <f t="shared" si="126"/>
        <v>PEREZ RODRIGO NICOLAS</v>
      </c>
      <c r="M463" s="323" t="s">
        <v>598</v>
      </c>
      <c r="N463" s="324">
        <v>70</v>
      </c>
      <c r="O463" s="325">
        <v>112014126</v>
      </c>
      <c r="P463" s="1455" t="str">
        <f t="shared" si="127"/>
        <v>RODRIGUEZ NANCY MARINA</v>
      </c>
      <c r="S463" s="294"/>
      <c r="U463" s="618"/>
      <c r="X463" s="294"/>
      <c r="Z463" s="618"/>
      <c r="AE463" s="618"/>
      <c r="AG463" s="323" t="s">
        <v>1340</v>
      </c>
      <c r="AH463" s="325">
        <v>71</v>
      </c>
      <c r="AI463" s="325">
        <v>112013323</v>
      </c>
      <c r="AJ463" s="424" t="str">
        <f t="shared" si="131"/>
        <v>ZUNINO MATIAS AGUSTIN</v>
      </c>
      <c r="AL463" s="325"/>
      <c r="AM463" s="325"/>
      <c r="AN463" s="325"/>
      <c r="AO463" s="799"/>
      <c r="AQ463" s="325" t="s">
        <v>1003</v>
      </c>
      <c r="AR463" s="325">
        <v>62</v>
      </c>
      <c r="AS463" s="325">
        <v>112013818</v>
      </c>
      <c r="AT463" s="799" t="str">
        <f t="shared" si="133"/>
        <v>ZAFFARANO JOSE MARIA</v>
      </c>
      <c r="AZ463" s="618"/>
      <c r="BE463" s="618"/>
      <c r="BF463" s="618"/>
      <c r="BG463" s="553"/>
      <c r="BH463" s="294"/>
      <c r="BI463" s="618"/>
      <c r="BJ463" s="618"/>
      <c r="BK463" s="618"/>
      <c r="BL463" s="553"/>
      <c r="BM463" s="618"/>
      <c r="BN463" s="618"/>
      <c r="BO463" s="618"/>
    </row>
    <row r="464" spans="1:67" ht="13" hidden="1">
      <c r="A464" s="325" t="s">
        <v>740</v>
      </c>
      <c r="B464" s="325">
        <v>71</v>
      </c>
      <c r="C464" s="325">
        <v>112014687</v>
      </c>
      <c r="D464" s="799" t="str">
        <f t="shared" si="125"/>
        <v>WILLIAM-VET S. CAP I SECC IV</v>
      </c>
      <c r="G464" s="323" t="s">
        <v>128</v>
      </c>
      <c r="H464" s="325">
        <v>69</v>
      </c>
      <c r="I464" s="325">
        <v>112014541</v>
      </c>
      <c r="J464" s="1393" t="str">
        <f t="shared" si="126"/>
        <v>MARIA CECILIA SALUZZO</v>
      </c>
      <c r="M464" s="323" t="s">
        <v>512</v>
      </c>
      <c r="N464" s="324">
        <v>53</v>
      </c>
      <c r="O464" s="325">
        <v>112014087</v>
      </c>
      <c r="P464" s="1455" t="str">
        <f t="shared" si="127"/>
        <v>RODRIGUEZ TROMBA HECTOR ANDRES</v>
      </c>
      <c r="S464" s="294"/>
      <c r="U464" s="618"/>
      <c r="X464" s="294"/>
      <c r="Z464" s="618"/>
      <c r="AE464" s="618"/>
      <c r="AG464" s="323"/>
      <c r="AH464" s="325"/>
      <c r="AI464" s="325"/>
      <c r="AJ464" s="424"/>
      <c r="AL464" s="325"/>
      <c r="AM464" s="325"/>
      <c r="AN464" s="325"/>
      <c r="AO464" s="799"/>
      <c r="AT464" s="618"/>
      <c r="AZ464" s="618"/>
      <c r="BE464" s="618"/>
      <c r="BF464" s="618"/>
      <c r="BG464" s="553"/>
      <c r="BH464" s="294"/>
      <c r="BI464" s="618"/>
      <c r="BJ464" s="618"/>
      <c r="BK464" s="618"/>
      <c r="BL464" s="553"/>
      <c r="BM464" s="618"/>
      <c r="BN464" s="618"/>
      <c r="BO464" s="618"/>
    </row>
    <row r="465" spans="1:67" ht="13" hidden="1">
      <c r="A465" s="325" t="s">
        <v>734</v>
      </c>
      <c r="B465" s="325">
        <v>70</v>
      </c>
      <c r="C465" s="325">
        <v>112012929</v>
      </c>
      <c r="D465" s="799" t="str">
        <f t="shared" si="125"/>
        <v>WINIRONE S.A.</v>
      </c>
      <c r="G465" s="323" t="s">
        <v>112</v>
      </c>
      <c r="H465" s="325">
        <v>71</v>
      </c>
      <c r="I465" s="325">
        <v>112014553</v>
      </c>
      <c r="J465" s="1393" t="str">
        <f t="shared" si="126"/>
        <v>ENRIQUE MARCELO PASQUINELLI</v>
      </c>
      <c r="M465" s="323" t="s">
        <v>520</v>
      </c>
      <c r="N465" s="324">
        <v>62</v>
      </c>
      <c r="O465" s="325">
        <v>112014202</v>
      </c>
      <c r="P465" s="1455" t="str">
        <f t="shared" si="127"/>
        <v>ROMERO SANDRA INES</v>
      </c>
      <c r="S465" s="294"/>
      <c r="U465" s="618"/>
      <c r="X465" s="294"/>
      <c r="Z465" s="618"/>
      <c r="AE465" s="618"/>
      <c r="AG465" s="323"/>
      <c r="AH465" s="325"/>
      <c r="AI465" s="325"/>
      <c r="AJ465" s="424"/>
      <c r="AL465" s="325"/>
      <c r="AM465" s="325"/>
      <c r="AN465" s="325"/>
      <c r="AO465" s="799"/>
      <c r="AT465" s="618"/>
      <c r="AZ465" s="618"/>
      <c r="BE465" s="618"/>
      <c r="BF465" s="618"/>
      <c r="BG465" s="553"/>
      <c r="BH465" s="294"/>
      <c r="BI465" s="618"/>
      <c r="BJ465" s="618"/>
      <c r="BK465" s="618"/>
      <c r="BL465" s="553"/>
      <c r="BM465" s="618"/>
      <c r="BN465" s="618"/>
      <c r="BO465" s="618"/>
    </row>
    <row r="466" spans="1:67" ht="13" hidden="1">
      <c r="A466" s="325" t="s">
        <v>706</v>
      </c>
      <c r="B466" s="325">
        <v>62</v>
      </c>
      <c r="C466" s="325">
        <v>112014731</v>
      </c>
      <c r="D466" s="799" t="str">
        <f t="shared" ref="D466:D497" si="135">VLOOKUP(C466,buelafin,13,FALSE)</f>
        <v>ZARATE NOELIA VANESA</v>
      </c>
      <c r="G466" s="323" t="s">
        <v>204</v>
      </c>
      <c r="H466" s="325">
        <v>71</v>
      </c>
      <c r="I466" s="325">
        <v>112014558</v>
      </c>
      <c r="J466" s="1393" t="str">
        <f t="shared" ref="J466:J497" si="136">VLOOKUP(I466,bassfin,13,FALSE)</f>
        <v>VETERINARIA SAN MARTIN SA</v>
      </c>
      <c r="M466" s="323" t="s">
        <v>599</v>
      </c>
      <c r="N466" s="324">
        <v>70</v>
      </c>
      <c r="O466" s="325">
        <v>112014313</v>
      </c>
      <c r="P466" s="1455" t="str">
        <f t="shared" ref="P466:P497" si="137">VLOOKUP(O466,LAGEFIN,13,FALSE)</f>
        <v>ROSA JUAN MARTIN</v>
      </c>
      <c r="S466" s="294"/>
      <c r="U466" s="618"/>
      <c r="X466" s="294"/>
      <c r="Z466" s="618"/>
      <c r="AE466" s="618"/>
      <c r="AG466" s="336"/>
      <c r="AH466" s="506"/>
      <c r="AI466" s="506"/>
      <c r="AJ466" s="803"/>
      <c r="AL466" s="325"/>
      <c r="AM466" s="325"/>
      <c r="AN466" s="325"/>
      <c r="AO466" s="799"/>
      <c r="AT466" s="618"/>
      <c r="AZ466" s="618"/>
      <c r="BE466" s="618"/>
      <c r="BF466" s="618"/>
      <c r="BG466" s="553"/>
      <c r="BH466" s="294"/>
      <c r="BI466" s="618"/>
      <c r="BJ466" s="618"/>
      <c r="BK466" s="618"/>
      <c r="BL466" s="553"/>
      <c r="BM466" s="618"/>
      <c r="BN466" s="618"/>
      <c r="BO466" s="618"/>
    </row>
    <row r="467" spans="1:67" ht="13" hidden="1">
      <c r="D467" s="618"/>
      <c r="G467" s="323" t="s">
        <v>108</v>
      </c>
      <c r="H467" s="325">
        <v>63</v>
      </c>
      <c r="I467" s="325">
        <v>112014569</v>
      </c>
      <c r="J467" s="1393" t="str">
        <f t="shared" si="136"/>
        <v>CANDIDO PABLO SEBASTIAN</v>
      </c>
      <c r="M467" s="323" t="s">
        <v>538</v>
      </c>
      <c r="N467" s="324">
        <v>62</v>
      </c>
      <c r="O467" s="325">
        <v>112014739</v>
      </c>
      <c r="P467" s="1455" t="str">
        <f t="shared" si="137"/>
        <v>RUIZ MARIANA LAURA</v>
      </c>
      <c r="S467" s="294"/>
      <c r="U467" s="618"/>
      <c r="X467" s="294"/>
      <c r="Z467" s="618"/>
      <c r="AE467" s="618"/>
      <c r="AG467" s="463"/>
      <c r="AH467" s="463"/>
      <c r="AI467" s="463"/>
      <c r="AJ467" s="463"/>
      <c r="AO467" s="618"/>
      <c r="AT467" s="618"/>
      <c r="AZ467" s="618"/>
      <c r="BE467" s="618"/>
      <c r="BF467" s="618"/>
      <c r="BG467" s="553"/>
      <c r="BH467" s="294"/>
      <c r="BI467" s="618"/>
      <c r="BJ467" s="618"/>
      <c r="BK467" s="618"/>
      <c r="BL467" s="553"/>
      <c r="BM467" s="618"/>
      <c r="BN467" s="618"/>
      <c r="BO467" s="618"/>
    </row>
    <row r="468" spans="1:67" ht="13" hidden="1">
      <c r="D468" s="618"/>
      <c r="G468" s="323" t="s">
        <v>205</v>
      </c>
      <c r="H468" s="325">
        <v>71</v>
      </c>
      <c r="I468" s="325">
        <v>112014605</v>
      </c>
      <c r="J468" s="1393" t="str">
        <f t="shared" si="136"/>
        <v>FORTUNATO EMILIANO ANGEL</v>
      </c>
      <c r="M468" s="323" t="s">
        <v>640</v>
      </c>
      <c r="N468" s="324">
        <v>70</v>
      </c>
      <c r="O468" s="325">
        <v>112014638</v>
      </c>
      <c r="P468" s="1455" t="str">
        <f t="shared" si="137"/>
        <v>SAN MILLAN MATIAS ALBERTO</v>
      </c>
      <c r="S468" s="294"/>
      <c r="U468" s="618"/>
      <c r="X468" s="294"/>
      <c r="Z468" s="618"/>
      <c r="AE468" s="618"/>
      <c r="AG468" s="325"/>
      <c r="AH468" s="325"/>
      <c r="AI468" s="325"/>
      <c r="AJ468" s="325"/>
      <c r="AO468" s="618"/>
      <c r="AT468" s="618"/>
      <c r="AZ468" s="618"/>
      <c r="BE468" s="618"/>
      <c r="BF468" s="618"/>
      <c r="BG468" s="553"/>
      <c r="BH468" s="294"/>
      <c r="BI468" s="618"/>
      <c r="BJ468" s="618"/>
      <c r="BK468" s="618"/>
      <c r="BL468" s="553"/>
      <c r="BM468" s="618"/>
      <c r="BN468" s="618"/>
      <c r="BO468" s="618"/>
    </row>
    <row r="469" spans="1:67" ht="13" hidden="1">
      <c r="D469" s="618"/>
      <c r="G469" s="323" t="s">
        <v>166</v>
      </c>
      <c r="H469" s="325">
        <v>70</v>
      </c>
      <c r="I469" s="325">
        <v>112014610</v>
      </c>
      <c r="J469" s="1393" t="str">
        <f t="shared" si="136"/>
        <v>CARLA FABIANA FRIAS</v>
      </c>
      <c r="M469" s="323" t="s">
        <v>655</v>
      </c>
      <c r="N469" s="324">
        <v>71</v>
      </c>
      <c r="O469" s="325">
        <v>112014082</v>
      </c>
      <c r="P469" s="1455" t="str">
        <f t="shared" si="137"/>
        <v>SANCHEZ ADRIANA LORENA</v>
      </c>
      <c r="S469" s="294"/>
      <c r="U469" s="618"/>
      <c r="X469" s="294"/>
      <c r="Z469" s="618"/>
      <c r="AE469" s="618"/>
      <c r="AG469" s="325"/>
      <c r="AH469" s="325"/>
      <c r="AI469" s="325"/>
      <c r="AJ469" s="325"/>
      <c r="AO469" s="618"/>
      <c r="AT469" s="618"/>
      <c r="AZ469" s="618"/>
      <c r="BE469" s="618"/>
      <c r="BF469" s="618"/>
      <c r="BG469" s="553"/>
      <c r="BH469" s="294"/>
      <c r="BI469" s="618"/>
      <c r="BJ469" s="618"/>
      <c r="BK469" s="618"/>
      <c r="BL469" s="553"/>
      <c r="BM469" s="618"/>
      <c r="BN469" s="618"/>
      <c r="BO469" s="618"/>
    </row>
    <row r="470" spans="1:67" ht="13" hidden="1">
      <c r="D470" s="618"/>
      <c r="G470" s="323" t="s">
        <v>64</v>
      </c>
      <c r="H470" s="325">
        <v>52</v>
      </c>
      <c r="I470" s="325">
        <v>112014612</v>
      </c>
      <c r="J470" s="1393" t="str">
        <f t="shared" si="136"/>
        <v>LUGANO VALERIA LUGANO</v>
      </c>
      <c r="M470" s="323" t="s">
        <v>676</v>
      </c>
      <c r="N470" s="324">
        <v>71</v>
      </c>
      <c r="O470" s="325">
        <v>112014030</v>
      </c>
      <c r="P470" s="1455" t="e">
        <f t="shared" si="137"/>
        <v>#N/A</v>
      </c>
      <c r="S470" s="294"/>
      <c r="U470" s="618"/>
      <c r="X470" s="294"/>
      <c r="Z470" s="618"/>
      <c r="AE470" s="618"/>
      <c r="AG470" s="325"/>
      <c r="AH470" s="325"/>
      <c r="AI470" s="325"/>
      <c r="AJ470" s="325"/>
      <c r="AO470" s="618"/>
      <c r="AT470" s="618"/>
      <c r="AZ470" s="618"/>
      <c r="BE470" s="618"/>
      <c r="BF470" s="618"/>
      <c r="BG470" s="553"/>
      <c r="BH470" s="294"/>
      <c r="BI470" s="618"/>
      <c r="BJ470" s="618"/>
      <c r="BK470" s="618"/>
      <c r="BL470" s="553"/>
      <c r="BM470" s="618"/>
      <c r="BN470" s="618"/>
      <c r="BO470" s="618"/>
    </row>
    <row r="471" spans="1:67" ht="13" hidden="1">
      <c r="D471" s="618"/>
      <c r="G471" s="323" t="s">
        <v>206</v>
      </c>
      <c r="H471" s="325">
        <v>71</v>
      </c>
      <c r="I471" s="325">
        <v>112014632</v>
      </c>
      <c r="J471" s="1393" t="str">
        <f t="shared" si="136"/>
        <v>MARIA FLORENCIA PEREZ</v>
      </c>
      <c r="M471" s="323" t="s">
        <v>600</v>
      </c>
      <c r="N471" s="324">
        <v>70</v>
      </c>
      <c r="O471" s="325">
        <v>112014392</v>
      </c>
      <c r="P471" s="1455" t="str">
        <f t="shared" si="137"/>
        <v>SCARDAMAGLIA GUILLERMO CARLOS LEANDRO</v>
      </c>
      <c r="S471" s="294"/>
      <c r="U471" s="618"/>
      <c r="X471" s="294"/>
      <c r="Z471" s="618"/>
      <c r="AE471" s="618"/>
      <c r="AG471" s="325"/>
      <c r="AH471" s="325"/>
      <c r="AI471" s="325"/>
      <c r="AJ471" s="325"/>
      <c r="AO471" s="618"/>
      <c r="AT471" s="618"/>
      <c r="AZ471" s="618"/>
      <c r="BE471" s="618"/>
      <c r="BF471" s="618"/>
      <c r="BG471" s="553"/>
      <c r="BH471" s="294"/>
      <c r="BI471" s="618"/>
      <c r="BJ471" s="618"/>
      <c r="BK471" s="618"/>
      <c r="BL471" s="553"/>
      <c r="BM471" s="618"/>
      <c r="BN471" s="618"/>
      <c r="BO471" s="618"/>
    </row>
    <row r="472" spans="1:67" ht="13" hidden="1">
      <c r="D472" s="618"/>
      <c r="G472" s="323" t="s">
        <v>225</v>
      </c>
      <c r="H472" s="325"/>
      <c r="I472" s="325">
        <v>112014642</v>
      </c>
      <c r="J472" s="1393" t="str">
        <f t="shared" si="136"/>
        <v>ASOCIACION REFUGIO VASCOS ANIMALISTAS V G</v>
      </c>
      <c r="M472" s="323" t="s">
        <v>565</v>
      </c>
      <c r="N472" s="324">
        <v>69</v>
      </c>
      <c r="O472" s="325">
        <v>112014436</v>
      </c>
      <c r="P472" s="1455" t="str">
        <f t="shared" si="137"/>
        <v>SEBASTIAN ARIEL RINALDI</v>
      </c>
      <c r="S472" s="294"/>
      <c r="U472" s="618"/>
      <c r="X472" s="294"/>
      <c r="Z472" s="618"/>
      <c r="AE472" s="618"/>
      <c r="AO472" s="618"/>
      <c r="AT472" s="618"/>
      <c r="AZ472" s="618"/>
      <c r="BE472" s="618"/>
      <c r="BF472" s="618"/>
      <c r="BG472" s="553"/>
      <c r="BH472" s="294"/>
      <c r="BI472" s="618"/>
      <c r="BJ472" s="618"/>
      <c r="BK472" s="618"/>
      <c r="BL472" s="553"/>
      <c r="BM472" s="618"/>
      <c r="BN472" s="618"/>
      <c r="BO472" s="618"/>
    </row>
    <row r="473" spans="1:67" ht="13" hidden="1">
      <c r="D473" s="618"/>
      <c r="G473" s="323" t="s">
        <v>217</v>
      </c>
      <c r="H473" s="325"/>
      <c r="I473" s="325">
        <v>112014654</v>
      </c>
      <c r="J473" s="1393" t="str">
        <f t="shared" si="136"/>
        <v>FEDERICO EZEQUIEL CESARANO</v>
      </c>
      <c r="M473" s="323" t="s">
        <v>662</v>
      </c>
      <c r="N473" s="324"/>
      <c r="O473" s="325">
        <v>112011327</v>
      </c>
      <c r="P473" s="1455" t="str">
        <f t="shared" si="137"/>
        <v>SERVIDDIO ROBERTO CECILIO</v>
      </c>
      <c r="S473" s="294"/>
      <c r="U473" s="618"/>
      <c r="X473" s="294"/>
      <c r="Z473" s="618"/>
      <c r="AE473" s="618"/>
      <c r="AO473" s="618"/>
      <c r="AT473" s="618"/>
      <c r="AZ473" s="618"/>
      <c r="BE473" s="618"/>
      <c r="BF473" s="618"/>
      <c r="BG473" s="553"/>
      <c r="BH473" s="294"/>
      <c r="BI473" s="618"/>
      <c r="BJ473" s="618"/>
      <c r="BK473" s="618"/>
      <c r="BL473" s="553"/>
      <c r="BM473" s="618"/>
      <c r="BN473" s="618"/>
      <c r="BO473" s="618"/>
    </row>
    <row r="474" spans="1:67" ht="13" hidden="1">
      <c r="D474" s="618"/>
      <c r="G474" s="323" t="s">
        <v>207</v>
      </c>
      <c r="H474" s="325">
        <v>71</v>
      </c>
      <c r="I474" s="325">
        <v>112014659</v>
      </c>
      <c r="J474" s="1393" t="str">
        <f t="shared" si="136"/>
        <v>VELIZ ACUÑA EDSON GONZALO</v>
      </c>
      <c r="M474" s="323" t="s">
        <v>623</v>
      </c>
      <c r="N474" s="324">
        <v>70</v>
      </c>
      <c r="O474" s="325">
        <v>112014156</v>
      </c>
      <c r="P474" s="1455" t="str">
        <f t="shared" si="137"/>
        <v>SOSA GARCIA ANGELICA</v>
      </c>
      <c r="S474" s="294"/>
      <c r="U474" s="618"/>
      <c r="X474" s="294"/>
      <c r="Z474" s="618"/>
      <c r="AE474" s="618"/>
      <c r="AO474" s="618"/>
      <c r="AT474" s="618"/>
      <c r="AZ474" s="618"/>
      <c r="BE474" s="618"/>
      <c r="BF474" s="618"/>
      <c r="BG474" s="553"/>
      <c r="BH474" s="294"/>
      <c r="BI474" s="618"/>
      <c r="BJ474" s="618"/>
      <c r="BK474" s="618"/>
      <c r="BL474" s="553"/>
      <c r="BM474" s="618"/>
      <c r="BN474" s="618"/>
      <c r="BO474" s="618"/>
    </row>
    <row r="475" spans="1:67" ht="13" hidden="1">
      <c r="D475" s="618"/>
      <c r="G475" s="323" t="s">
        <v>135</v>
      </c>
      <c r="H475" s="325">
        <v>69</v>
      </c>
      <c r="I475" s="325">
        <v>112014668</v>
      </c>
      <c r="J475" s="1393" t="str">
        <f t="shared" si="136"/>
        <v>HUELLITAS DEL SUR S. CAP I SECC IV</v>
      </c>
      <c r="M475" s="323" t="s">
        <v>641</v>
      </c>
      <c r="N475" s="324">
        <v>70</v>
      </c>
      <c r="O475" s="325">
        <v>112014259</v>
      </c>
      <c r="P475" s="1455" t="str">
        <f t="shared" si="137"/>
        <v>SPACAN SRL</v>
      </c>
      <c r="S475" s="294"/>
      <c r="U475" s="618"/>
      <c r="X475" s="294"/>
      <c r="Z475" s="618"/>
      <c r="AE475" s="618"/>
      <c r="AO475" s="618"/>
      <c r="AT475" s="618"/>
      <c r="AZ475" s="618"/>
      <c r="BE475" s="618"/>
      <c r="BF475" s="618"/>
      <c r="BG475" s="553"/>
      <c r="BH475" s="294"/>
      <c r="BI475" s="618"/>
      <c r="BJ475" s="618"/>
      <c r="BK475" s="618"/>
      <c r="BL475" s="553"/>
      <c r="BM475" s="618"/>
      <c r="BN475" s="618"/>
      <c r="BO475" s="618"/>
    </row>
    <row r="476" spans="1:67" ht="13" hidden="1">
      <c r="D476" s="618"/>
      <c r="G476" s="323" t="s">
        <v>158</v>
      </c>
      <c r="H476" s="325">
        <v>70</v>
      </c>
      <c r="I476" s="325">
        <v>112014682</v>
      </c>
      <c r="J476" s="1393" t="str">
        <f t="shared" si="136"/>
        <v>MICAELA FERNANDA MEDINA</v>
      </c>
      <c r="M476" s="323" t="s">
        <v>601</v>
      </c>
      <c r="N476" s="324">
        <v>70</v>
      </c>
      <c r="O476" s="325">
        <v>112014406</v>
      </c>
      <c r="P476" s="1455" t="str">
        <f t="shared" si="137"/>
        <v>SPINELLI NOELIA ALEJANDRA</v>
      </c>
      <c r="S476" s="294"/>
      <c r="U476" s="618"/>
      <c r="X476" s="294"/>
      <c r="Z476" s="618"/>
      <c r="AE476" s="618"/>
      <c r="AO476" s="618"/>
      <c r="AT476" s="618"/>
      <c r="AZ476" s="618"/>
      <c r="BE476" s="618"/>
      <c r="BF476" s="618"/>
      <c r="BG476" s="553"/>
      <c r="BH476" s="294"/>
      <c r="BI476" s="618"/>
      <c r="BJ476" s="618"/>
      <c r="BK476" s="618"/>
      <c r="BL476" s="553"/>
      <c r="BM476" s="618"/>
      <c r="BN476" s="618"/>
      <c r="BO476" s="618"/>
    </row>
    <row r="477" spans="1:67" ht="13" hidden="1">
      <c r="D477" s="618"/>
      <c r="G477" s="323" t="s">
        <v>211</v>
      </c>
      <c r="H477" s="325">
        <v>71</v>
      </c>
      <c r="I477" s="325">
        <v>112014703</v>
      </c>
      <c r="J477" s="1393" t="e">
        <f t="shared" si="136"/>
        <v>#N/A</v>
      </c>
      <c r="M477" s="323" t="s">
        <v>566</v>
      </c>
      <c r="N477" s="324">
        <v>69</v>
      </c>
      <c r="O477" s="325">
        <v>112014459</v>
      </c>
      <c r="P477" s="1455" t="str">
        <f t="shared" si="137"/>
        <v>STEMPHELET JAVIER ALEJANDRO</v>
      </c>
      <c r="S477" s="294"/>
      <c r="U477" s="618"/>
      <c r="X477" s="294"/>
      <c r="Z477" s="618"/>
      <c r="AE477" s="618"/>
      <c r="AO477" s="618"/>
      <c r="AT477" s="618"/>
      <c r="AZ477" s="618"/>
      <c r="BE477" s="618"/>
      <c r="BF477" s="618"/>
      <c r="BG477" s="553"/>
      <c r="BH477" s="294"/>
      <c r="BI477" s="618"/>
      <c r="BJ477" s="618"/>
      <c r="BK477" s="618"/>
      <c r="BL477" s="553"/>
      <c r="BM477" s="618"/>
      <c r="BN477" s="618"/>
      <c r="BO477" s="618"/>
    </row>
    <row r="478" spans="1:67" ht="13" hidden="1">
      <c r="D478" s="618"/>
      <c r="G478" s="323" t="s">
        <v>109</v>
      </c>
      <c r="H478" s="325">
        <v>63</v>
      </c>
      <c r="I478" s="325">
        <v>112014704</v>
      </c>
      <c r="J478" s="1393" t="str">
        <f t="shared" si="136"/>
        <v>ASOCIACION PROTECTORA DE ANIMALES SAN FRANCISCO DE ASIS DE LOMAS DE ZAMORA</v>
      </c>
      <c r="M478" s="323" t="s">
        <v>602</v>
      </c>
      <c r="N478" s="324">
        <v>70</v>
      </c>
      <c r="O478" s="325">
        <v>112014065</v>
      </c>
      <c r="P478" s="1455" t="str">
        <f t="shared" si="137"/>
        <v>SUAREZ PATRICIA NOEMI</v>
      </c>
      <c r="S478" s="294"/>
      <c r="U478" s="618"/>
      <c r="X478" s="294"/>
      <c r="Z478" s="618"/>
      <c r="AE478" s="618"/>
      <c r="AO478" s="618"/>
      <c r="AT478" s="618"/>
      <c r="AZ478" s="618"/>
      <c r="BE478" s="618"/>
      <c r="BF478" s="618"/>
      <c r="BG478" s="553"/>
      <c r="BH478" s="294"/>
      <c r="BI478" s="618"/>
      <c r="BJ478" s="618"/>
      <c r="BK478" s="618"/>
      <c r="BL478" s="553"/>
      <c r="BM478" s="618"/>
      <c r="BN478" s="618"/>
      <c r="BO478" s="618"/>
    </row>
    <row r="479" spans="1:67" ht="13" hidden="1">
      <c r="D479" s="618"/>
      <c r="G479" s="323" t="s">
        <v>209</v>
      </c>
      <c r="H479" s="325">
        <v>71</v>
      </c>
      <c r="I479" s="325">
        <v>112014719</v>
      </c>
      <c r="J479" s="1393" t="str">
        <f t="shared" si="136"/>
        <v>OLIVERI JORGE LUIS</v>
      </c>
      <c r="M479" s="323" t="s">
        <v>513</v>
      </c>
      <c r="N479" s="324">
        <v>53</v>
      </c>
      <c r="O479" s="325">
        <v>112014170</v>
      </c>
      <c r="P479" s="1455" t="str">
        <f t="shared" si="137"/>
        <v>SUNNY ALIMENTOS BALANCEADOS S.R.L</v>
      </c>
      <c r="S479" s="294"/>
      <c r="U479" s="618"/>
      <c r="X479" s="294"/>
      <c r="Z479" s="618"/>
      <c r="AE479" s="618"/>
      <c r="AO479" s="618"/>
      <c r="AT479" s="618"/>
      <c r="AZ479" s="618"/>
      <c r="BE479" s="618"/>
      <c r="BF479" s="618"/>
      <c r="BG479" s="553"/>
      <c r="BH479" s="294"/>
      <c r="BI479" s="618"/>
      <c r="BJ479" s="618"/>
      <c r="BK479" s="618"/>
      <c r="BL479" s="553"/>
      <c r="BM479" s="618"/>
      <c r="BN479" s="618"/>
      <c r="BO479" s="618"/>
    </row>
    <row r="480" spans="1:67" ht="13" hidden="1">
      <c r="D480" s="618"/>
      <c r="G480" s="323" t="s">
        <v>111</v>
      </c>
      <c r="H480" s="325">
        <v>71</v>
      </c>
      <c r="I480" s="325">
        <v>112014720</v>
      </c>
      <c r="J480" s="1393" t="str">
        <f t="shared" si="136"/>
        <v>GONZALEZ ROCH MARIA MICAELA</v>
      </c>
      <c r="M480" s="323" t="s">
        <v>628</v>
      </c>
      <c r="N480" s="324">
        <v>70</v>
      </c>
      <c r="O480" s="325">
        <v>112013222</v>
      </c>
      <c r="P480" s="1455" t="str">
        <f t="shared" si="137"/>
        <v>TAMBEYRO ERICA VALERIA</v>
      </c>
      <c r="S480" s="294"/>
      <c r="U480" s="618"/>
      <c r="X480" s="294"/>
      <c r="Z480" s="618"/>
      <c r="AE480" s="618"/>
      <c r="AO480" s="618"/>
      <c r="AT480" s="618"/>
      <c r="AZ480" s="618"/>
      <c r="BE480" s="618"/>
      <c r="BF480" s="618"/>
      <c r="BG480" s="553"/>
      <c r="BH480" s="294"/>
      <c r="BI480" s="618"/>
      <c r="BJ480" s="618"/>
      <c r="BK480" s="618"/>
      <c r="BL480" s="553"/>
      <c r="BM480" s="618"/>
      <c r="BN480" s="618"/>
      <c r="BO480" s="618"/>
    </row>
    <row r="481" spans="4:67" ht="13" hidden="1">
      <c r="D481" s="618"/>
      <c r="G481" s="323" t="s">
        <v>212</v>
      </c>
      <c r="H481" s="325">
        <v>71</v>
      </c>
      <c r="I481" s="325">
        <v>112014727</v>
      </c>
      <c r="J481" s="1393" t="str">
        <f t="shared" si="136"/>
        <v>FERNANDEZ OROMENDIA PABLO ADRIAN</v>
      </c>
      <c r="M481" s="323" t="s">
        <v>567</v>
      </c>
      <c r="N481" s="324">
        <v>69</v>
      </c>
      <c r="O481" s="325">
        <v>112014502</v>
      </c>
      <c r="P481" s="1455" t="str">
        <f t="shared" si="137"/>
        <v>TORIBROS</v>
      </c>
      <c r="S481" s="294"/>
      <c r="U481" s="618"/>
      <c r="X481" s="294"/>
      <c r="Z481" s="618"/>
      <c r="AE481" s="618"/>
      <c r="AO481" s="618"/>
      <c r="AT481" s="618"/>
      <c r="AZ481" s="618"/>
      <c r="BE481" s="618"/>
      <c r="BF481" s="618"/>
      <c r="BG481" s="553"/>
      <c r="BH481" s="294"/>
      <c r="BI481" s="618"/>
      <c r="BJ481" s="618"/>
      <c r="BK481" s="618"/>
      <c r="BL481" s="553"/>
      <c r="BM481" s="618"/>
      <c r="BN481" s="618"/>
      <c r="BO481" s="618"/>
    </row>
    <row r="482" spans="4:67" ht="13" hidden="1">
      <c r="D482" s="618"/>
      <c r="G482" s="323" t="s">
        <v>123</v>
      </c>
      <c r="H482" s="325">
        <v>71</v>
      </c>
      <c r="I482" s="325">
        <v>112014735</v>
      </c>
      <c r="J482" s="1393" t="str">
        <f t="shared" si="136"/>
        <v>BERMUDEZ EDGAR ROBERTO</v>
      </c>
      <c r="M482" s="323" t="s">
        <v>652</v>
      </c>
      <c r="N482" s="324">
        <v>71</v>
      </c>
      <c r="O482" s="325">
        <v>112011118</v>
      </c>
      <c r="P482" s="1455" t="str">
        <f t="shared" si="137"/>
        <v>TORREIRO MARIANO ANDRES</v>
      </c>
      <c r="S482" s="294"/>
      <c r="U482" s="618"/>
      <c r="X482" s="294"/>
      <c r="Z482" s="618"/>
      <c r="AE482" s="618"/>
      <c r="AO482" s="618"/>
      <c r="AT482" s="618"/>
      <c r="AZ482" s="618"/>
      <c r="BE482" s="618"/>
      <c r="BF482" s="618"/>
      <c r="BG482" s="553"/>
      <c r="BH482" s="294"/>
      <c r="BI482" s="618"/>
      <c r="BJ482" s="618"/>
      <c r="BK482" s="618"/>
      <c r="BL482" s="553"/>
      <c r="BM482" s="618"/>
      <c r="BN482" s="618"/>
      <c r="BO482" s="618"/>
    </row>
    <row r="483" spans="4:67" ht="13" hidden="1">
      <c r="D483" s="618"/>
      <c r="G483" s="323" t="s">
        <v>104</v>
      </c>
      <c r="H483" s="325">
        <v>62</v>
      </c>
      <c r="I483" s="325">
        <v>112014743</v>
      </c>
      <c r="J483" s="1393" t="str">
        <f t="shared" si="136"/>
        <v>ROMAC GUSTAVO GABRIEL</v>
      </c>
      <c r="M483" s="323" t="s">
        <v>603</v>
      </c>
      <c r="N483" s="324">
        <v>70</v>
      </c>
      <c r="O483" s="325">
        <v>112014171</v>
      </c>
      <c r="P483" s="1455" t="str">
        <f t="shared" si="137"/>
        <v>TORRES PERALTA DALMA ARIANA</v>
      </c>
      <c r="S483" s="294"/>
      <c r="U483" s="618"/>
      <c r="X483" s="294"/>
      <c r="Z483" s="618"/>
      <c r="AE483" s="618"/>
      <c r="AO483" s="618"/>
      <c r="AT483" s="618"/>
      <c r="AZ483" s="618"/>
      <c r="BE483" s="618"/>
      <c r="BF483" s="618"/>
      <c r="BG483" s="553"/>
      <c r="BH483" s="294"/>
      <c r="BI483" s="618"/>
      <c r="BJ483" s="618"/>
      <c r="BK483" s="618"/>
      <c r="BL483" s="553"/>
      <c r="BM483" s="618"/>
      <c r="BN483" s="618"/>
      <c r="BO483" s="618"/>
    </row>
    <row r="484" spans="4:67" ht="13" hidden="1">
      <c r="D484" s="618"/>
      <c r="G484" s="323" t="s">
        <v>213</v>
      </c>
      <c r="H484" s="325">
        <v>71</v>
      </c>
      <c r="I484" s="325">
        <v>112014745</v>
      </c>
      <c r="J484" s="1393" t="str">
        <f t="shared" si="136"/>
        <v>OLAVE ALEXANDRA BRENDA</v>
      </c>
      <c r="M484" s="323" t="s">
        <v>604</v>
      </c>
      <c r="N484" s="324">
        <v>70</v>
      </c>
      <c r="O484" s="325">
        <v>112010947</v>
      </c>
      <c r="P484" s="1455" t="str">
        <f t="shared" si="137"/>
        <v>VALENZANO RODOLFO</v>
      </c>
      <c r="S484" s="294"/>
      <c r="U484" s="618"/>
      <c r="X484" s="294"/>
      <c r="Z484" s="618"/>
      <c r="AE484" s="618"/>
      <c r="AO484" s="618"/>
      <c r="AT484" s="618"/>
      <c r="AZ484" s="618"/>
      <c r="BE484" s="618"/>
      <c r="BF484" s="618"/>
      <c r="BG484" s="553"/>
      <c r="BH484" s="294"/>
      <c r="BI484" s="618"/>
      <c r="BJ484" s="618"/>
      <c r="BK484" s="618"/>
      <c r="BL484" s="553"/>
      <c r="BM484" s="618"/>
      <c r="BN484" s="618"/>
      <c r="BO484" s="618"/>
    </row>
    <row r="485" spans="4:67" ht="13" hidden="1">
      <c r="D485" s="618"/>
      <c r="G485" s="323" t="s">
        <v>214</v>
      </c>
      <c r="H485" s="325">
        <v>71</v>
      </c>
      <c r="I485" s="325">
        <v>112014760</v>
      </c>
      <c r="J485" s="1393" t="str">
        <f t="shared" si="136"/>
        <v>TOSONIERI QUAGLIA JULIETA ALEJANDRA</v>
      </c>
      <c r="M485" s="323" t="s">
        <v>653</v>
      </c>
      <c r="N485" s="324">
        <v>71</v>
      </c>
      <c r="O485" s="325">
        <v>112013758</v>
      </c>
      <c r="P485" s="1455" t="str">
        <f t="shared" si="137"/>
        <v>VALIENTE JUAN PABLO</v>
      </c>
      <c r="S485" s="294"/>
      <c r="U485" s="618"/>
      <c r="X485" s="294"/>
      <c r="Z485" s="618"/>
      <c r="AE485" s="618"/>
      <c r="AO485" s="618"/>
      <c r="AT485" s="618"/>
      <c r="AZ485" s="618"/>
      <c r="BE485" s="618"/>
      <c r="BF485" s="618"/>
      <c r="BG485" s="553"/>
      <c r="BH485" s="294"/>
      <c r="BI485" s="618"/>
      <c r="BJ485" s="618"/>
      <c r="BK485" s="618"/>
      <c r="BL485" s="553"/>
      <c r="BM485" s="618"/>
      <c r="BN485" s="618"/>
      <c r="BO485" s="618"/>
    </row>
    <row r="486" spans="4:67" ht="13" hidden="1">
      <c r="D486" s="618"/>
      <c r="G486" s="323" t="s">
        <v>71</v>
      </c>
      <c r="H486" s="325">
        <v>53</v>
      </c>
      <c r="I486" s="325">
        <v>112014762</v>
      </c>
      <c r="J486" s="1393" t="str">
        <f t="shared" si="136"/>
        <v>RODRIGUEZ MARCELO FABIAN</v>
      </c>
      <c r="M486" s="323" t="s">
        <v>654</v>
      </c>
      <c r="N486" s="324">
        <v>71</v>
      </c>
      <c r="O486" s="325">
        <v>112012868</v>
      </c>
      <c r="P486" s="1455" t="str">
        <f t="shared" si="137"/>
        <v>VANONI JORGE ALBERTO</v>
      </c>
      <c r="S486" s="294"/>
      <c r="U486" s="618"/>
      <c r="X486" s="294"/>
      <c r="Z486" s="618"/>
      <c r="AE486" s="618"/>
      <c r="AO486" s="618"/>
      <c r="AT486" s="618"/>
      <c r="AZ486" s="618"/>
      <c r="BE486" s="618"/>
      <c r="BF486" s="618"/>
      <c r="BG486" s="553"/>
      <c r="BH486" s="294"/>
      <c r="BI486" s="618"/>
      <c r="BJ486" s="618"/>
      <c r="BK486" s="618"/>
      <c r="BL486" s="553"/>
      <c r="BM486" s="618"/>
      <c r="BN486" s="618"/>
      <c r="BO486" s="618"/>
    </row>
    <row r="487" spans="4:67" ht="13" hidden="1">
      <c r="D487" s="618"/>
      <c r="G487" s="323" t="s">
        <v>167</v>
      </c>
      <c r="H487" s="325">
        <v>70</v>
      </c>
      <c r="I487" s="325">
        <v>112014774</v>
      </c>
      <c r="J487" s="1393" t="str">
        <f t="shared" si="136"/>
        <v>MARCHINI RAMIRO</v>
      </c>
      <c r="M487" s="323" t="s">
        <v>568</v>
      </c>
      <c r="N487" s="324">
        <v>69</v>
      </c>
      <c r="O487" s="325">
        <v>112014515</v>
      </c>
      <c r="P487" s="1455" t="str">
        <f t="shared" si="137"/>
        <v>VAZQUEZ MARTIN DANIEL</v>
      </c>
      <c r="S487" s="294"/>
      <c r="U487" s="618"/>
      <c r="X487" s="294"/>
      <c r="Z487" s="618"/>
      <c r="AE487" s="618"/>
      <c r="AO487" s="618"/>
      <c r="AT487" s="618"/>
      <c r="AZ487" s="618"/>
      <c r="BE487" s="618"/>
      <c r="BF487" s="618"/>
      <c r="BG487" s="553"/>
      <c r="BH487" s="294"/>
      <c r="BI487" s="618"/>
      <c r="BJ487" s="618"/>
      <c r="BK487" s="618"/>
      <c r="BL487" s="553"/>
      <c r="BM487" s="618"/>
      <c r="BN487" s="618"/>
      <c r="BO487" s="618"/>
    </row>
    <row r="488" spans="4:67" ht="13" hidden="1">
      <c r="D488" s="618"/>
      <c r="G488" s="323" t="s">
        <v>168</v>
      </c>
      <c r="H488" s="325">
        <v>70</v>
      </c>
      <c r="I488" s="325">
        <v>112014775</v>
      </c>
      <c r="J488" s="1393" t="str">
        <f t="shared" si="136"/>
        <v>AGUIRRE MARIANO JOSE</v>
      </c>
      <c r="M488" s="323" t="s">
        <v>605</v>
      </c>
      <c r="N488" s="324">
        <v>70</v>
      </c>
      <c r="O488" s="325">
        <v>112014407</v>
      </c>
      <c r="P488" s="1455" t="str">
        <f t="shared" si="137"/>
        <v>VELAZQUEZ LUIS MARIANO</v>
      </c>
      <c r="S488" s="294"/>
      <c r="U488" s="618"/>
      <c r="X488" s="294"/>
      <c r="Z488" s="618"/>
      <c r="AE488" s="618"/>
      <c r="AO488" s="618"/>
      <c r="AT488" s="618"/>
      <c r="AZ488" s="618"/>
      <c r="BE488" s="618"/>
      <c r="BF488" s="618"/>
      <c r="BG488" s="553"/>
      <c r="BH488" s="294"/>
      <c r="BI488" s="618"/>
      <c r="BJ488" s="618"/>
      <c r="BK488" s="618"/>
      <c r="BL488" s="553"/>
      <c r="BM488" s="618"/>
      <c r="BN488" s="618"/>
      <c r="BO488" s="618"/>
    </row>
    <row r="489" spans="4:67" ht="13" hidden="1">
      <c r="D489" s="618"/>
      <c r="G489" s="323" t="s">
        <v>226</v>
      </c>
      <c r="H489" s="325"/>
      <c r="I489" s="325">
        <v>112014778</v>
      </c>
      <c r="J489" s="1393" t="str">
        <f t="shared" si="136"/>
        <v>SVENSON MIRIAM EDITH</v>
      </c>
      <c r="M489" s="323" t="s">
        <v>553</v>
      </c>
      <c r="N489" s="324">
        <v>70</v>
      </c>
      <c r="O489" s="325">
        <v>112014329</v>
      </c>
      <c r="P489" s="1455" t="str">
        <f t="shared" si="137"/>
        <v>VERA MAXIMILIANO DANIEL</v>
      </c>
      <c r="S489" s="294"/>
      <c r="U489" s="618"/>
      <c r="X489" s="294"/>
      <c r="Z489" s="618"/>
      <c r="AE489" s="618"/>
      <c r="AO489" s="618"/>
      <c r="AT489" s="618"/>
      <c r="AZ489" s="618"/>
      <c r="BE489" s="618"/>
      <c r="BF489" s="618"/>
      <c r="BG489" s="553"/>
      <c r="BH489" s="294"/>
      <c r="BI489" s="618"/>
      <c r="BJ489" s="618"/>
      <c r="BK489" s="618"/>
      <c r="BL489" s="553"/>
      <c r="BM489" s="618"/>
      <c r="BN489" s="618"/>
      <c r="BO489" s="618"/>
    </row>
    <row r="490" spans="4:67" ht="13" hidden="1">
      <c r="D490" s="618"/>
      <c r="G490" s="323" t="s">
        <v>101</v>
      </c>
      <c r="H490" s="325">
        <v>61</v>
      </c>
      <c r="I490" s="325">
        <v>112014782</v>
      </c>
      <c r="J490" s="1393" t="str">
        <f t="shared" si="136"/>
        <v>OTTAVIANO GONZALO</v>
      </c>
      <c r="M490" s="323" t="s">
        <v>569</v>
      </c>
      <c r="N490" s="324">
        <v>69</v>
      </c>
      <c r="O490" s="325">
        <v>112014489</v>
      </c>
      <c r="P490" s="1455" t="str">
        <f t="shared" si="137"/>
        <v>VETERINARIA AMULEN</v>
      </c>
      <c r="S490" s="294"/>
      <c r="U490" s="618"/>
      <c r="X490" s="294"/>
      <c r="Z490" s="618"/>
      <c r="AE490" s="618"/>
      <c r="AO490" s="618"/>
      <c r="AT490" s="618"/>
      <c r="AZ490" s="618"/>
      <c r="BE490" s="618"/>
      <c r="BF490" s="618"/>
      <c r="BG490" s="553"/>
      <c r="BH490" s="294"/>
      <c r="BI490" s="618"/>
      <c r="BJ490" s="618"/>
      <c r="BK490" s="618"/>
      <c r="BL490" s="553"/>
      <c r="BM490" s="618"/>
      <c r="BN490" s="618"/>
      <c r="BO490" s="618"/>
    </row>
    <row r="491" spans="4:67" ht="13" hidden="1">
      <c r="D491" s="618"/>
      <c r="G491" s="323"/>
      <c r="H491" s="325"/>
      <c r="I491" s="325"/>
      <c r="J491" s="1393" t="e">
        <f t="shared" si="136"/>
        <v>#N/A</v>
      </c>
      <c r="M491" s="323" t="s">
        <v>606</v>
      </c>
      <c r="N491" s="324">
        <v>70</v>
      </c>
      <c r="O491" s="325">
        <v>112014485</v>
      </c>
      <c r="P491" s="1455" t="str">
        <f t="shared" si="137"/>
        <v>VETERINARIA AZARA SRL</v>
      </c>
      <c r="S491" s="294"/>
      <c r="U491" s="618"/>
      <c r="X491" s="294"/>
      <c r="Z491" s="618"/>
      <c r="AE491" s="618"/>
      <c r="AO491" s="618"/>
      <c r="AT491" s="618"/>
      <c r="AZ491" s="618"/>
      <c r="BE491" s="618"/>
      <c r="BF491" s="618"/>
      <c r="BG491" s="553"/>
      <c r="BH491" s="294"/>
      <c r="BI491" s="618"/>
      <c r="BJ491" s="618"/>
      <c r="BK491" s="618"/>
      <c r="BL491" s="553"/>
      <c r="BM491" s="618"/>
      <c r="BN491" s="618"/>
      <c r="BO491" s="618"/>
    </row>
    <row r="492" spans="4:67" ht="13" hidden="1">
      <c r="D492" s="618"/>
      <c r="G492" s="323"/>
      <c r="H492" s="325"/>
      <c r="I492" s="325"/>
      <c r="J492" s="1393"/>
      <c r="M492" s="323" t="s">
        <v>633</v>
      </c>
      <c r="N492" s="324">
        <v>70</v>
      </c>
      <c r="O492" s="325">
        <v>112013673</v>
      </c>
      <c r="P492" s="1455" t="str">
        <f t="shared" si="137"/>
        <v>VETERINARIA LOMA DEL SUR SRL</v>
      </c>
      <c r="S492" s="294"/>
      <c r="U492" s="618"/>
      <c r="X492" s="294"/>
      <c r="Z492" s="618"/>
      <c r="AE492" s="618"/>
      <c r="AO492" s="618"/>
      <c r="AT492" s="618"/>
      <c r="AZ492" s="618"/>
      <c r="BE492" s="618"/>
      <c r="BF492" s="618"/>
      <c r="BG492" s="553"/>
      <c r="BH492" s="294"/>
      <c r="BI492" s="618"/>
      <c r="BJ492" s="618"/>
      <c r="BK492" s="618"/>
      <c r="BL492" s="553"/>
      <c r="BM492" s="618"/>
      <c r="BN492" s="618"/>
      <c r="BO492" s="618"/>
    </row>
    <row r="493" spans="4:67" ht="13" hidden="1">
      <c r="D493" s="618"/>
      <c r="G493" s="323"/>
      <c r="H493" s="325"/>
      <c r="I493" s="325"/>
      <c r="J493" s="1393"/>
      <c r="M493" s="323" t="s">
        <v>607</v>
      </c>
      <c r="N493" s="324">
        <v>70</v>
      </c>
      <c r="O493" s="325">
        <v>112014409</v>
      </c>
      <c r="P493" s="1455" t="str">
        <f t="shared" si="137"/>
        <v>VIDELA JESICA NATALI</v>
      </c>
      <c r="S493" s="294"/>
      <c r="U493" s="618"/>
      <c r="X493" s="294"/>
      <c r="Z493" s="618"/>
      <c r="AE493" s="618"/>
      <c r="AO493" s="618"/>
      <c r="AT493" s="618"/>
      <c r="AZ493" s="618"/>
      <c r="BE493" s="618"/>
      <c r="BF493" s="618"/>
      <c r="BG493" s="553"/>
      <c r="BH493" s="294"/>
      <c r="BI493" s="618"/>
      <c r="BJ493" s="618"/>
      <c r="BK493" s="618"/>
      <c r="BL493" s="553"/>
      <c r="BM493" s="618"/>
      <c r="BN493" s="618"/>
      <c r="BO493" s="618"/>
    </row>
    <row r="494" spans="4:67" ht="13" hidden="1">
      <c r="D494" s="618"/>
      <c r="G494" s="336"/>
      <c r="H494" s="506"/>
      <c r="I494" s="506"/>
      <c r="J494" s="1458"/>
      <c r="M494" s="323" t="s">
        <v>554</v>
      </c>
      <c r="N494" s="324">
        <v>70</v>
      </c>
      <c r="O494" s="325">
        <v>112014330</v>
      </c>
      <c r="P494" s="1455" t="str">
        <f t="shared" si="137"/>
        <v>WALDAR SRL</v>
      </c>
      <c r="S494" s="294"/>
      <c r="U494" s="618"/>
      <c r="X494" s="294"/>
      <c r="Z494" s="618"/>
      <c r="AE494" s="618"/>
      <c r="AO494" s="618"/>
      <c r="AT494" s="618"/>
      <c r="AZ494" s="618"/>
      <c r="BE494" s="618"/>
      <c r="BF494" s="618"/>
      <c r="BG494" s="553"/>
      <c r="BH494" s="294"/>
      <c r="BI494" s="618"/>
      <c r="BJ494" s="618"/>
      <c r="BK494" s="618"/>
      <c r="BL494" s="553"/>
      <c r="BM494" s="618"/>
      <c r="BN494" s="618"/>
      <c r="BO494" s="618"/>
    </row>
    <row r="495" spans="4:67" ht="13" hidden="1">
      <c r="D495" s="618"/>
      <c r="J495" s="1428"/>
      <c r="M495" s="323" t="s">
        <v>619</v>
      </c>
      <c r="N495" s="324">
        <v>71</v>
      </c>
      <c r="O495" s="325">
        <v>112013254</v>
      </c>
      <c r="P495" s="1455" t="str">
        <f t="shared" si="137"/>
        <v>WALLINGER CECILIA RAQUEL</v>
      </c>
      <c r="S495" s="294"/>
      <c r="U495" s="618"/>
      <c r="X495" s="294"/>
      <c r="Z495" s="618"/>
      <c r="AE495" s="618"/>
      <c r="AO495" s="618"/>
      <c r="AT495" s="618"/>
      <c r="AZ495" s="618"/>
      <c r="BE495" s="618"/>
      <c r="BF495" s="618"/>
      <c r="BG495" s="553"/>
      <c r="BH495" s="294"/>
      <c r="BI495" s="618"/>
      <c r="BJ495" s="618"/>
      <c r="BK495" s="618"/>
      <c r="BL495" s="553"/>
      <c r="BM495" s="618"/>
      <c r="BN495" s="618"/>
      <c r="BO495" s="618"/>
    </row>
    <row r="496" spans="4:67" ht="13" hidden="1">
      <c r="D496" s="618"/>
      <c r="J496" s="1428"/>
      <c r="M496" s="323" t="s">
        <v>608</v>
      </c>
      <c r="N496" s="324">
        <v>70</v>
      </c>
      <c r="O496" s="325">
        <v>112014424</v>
      </c>
      <c r="P496" s="1455" t="str">
        <f t="shared" si="137"/>
        <v>WALTER EDUARDO PEREZ</v>
      </c>
      <c r="S496" s="294"/>
      <c r="U496" s="618"/>
      <c r="X496" s="294"/>
      <c r="Z496" s="618"/>
      <c r="AE496" s="618"/>
      <c r="AO496" s="618"/>
      <c r="AT496" s="618"/>
      <c r="AZ496" s="618"/>
      <c r="BE496" s="618"/>
      <c r="BF496" s="618"/>
      <c r="BG496" s="553"/>
      <c r="BH496" s="294"/>
      <c r="BI496" s="618"/>
      <c r="BJ496" s="618"/>
      <c r="BK496" s="618"/>
      <c r="BL496" s="553"/>
      <c r="BM496" s="618"/>
      <c r="BN496" s="618"/>
      <c r="BO496" s="618"/>
    </row>
    <row r="497" spans="1:67" ht="13" hidden="1">
      <c r="D497" s="618"/>
      <c r="J497" s="1428"/>
      <c r="M497" s="323" t="s">
        <v>550</v>
      </c>
      <c r="N497" s="324">
        <v>71</v>
      </c>
      <c r="O497" s="325">
        <v>112013903</v>
      </c>
      <c r="P497" s="1455" t="str">
        <f t="shared" si="137"/>
        <v>ZACCAGNINO ALEJANDRO DANIEL</v>
      </c>
      <c r="S497" s="294"/>
      <c r="U497" s="618"/>
      <c r="X497" s="294"/>
      <c r="Z497" s="618"/>
      <c r="AE497" s="618"/>
      <c r="AO497" s="618"/>
      <c r="AT497" s="618"/>
      <c r="AZ497" s="618"/>
      <c r="BE497" s="618"/>
      <c r="BF497" s="618"/>
      <c r="BG497" s="553"/>
      <c r="BH497" s="294"/>
      <c r="BI497" s="618"/>
      <c r="BJ497" s="618"/>
      <c r="BK497" s="618"/>
      <c r="BL497" s="553"/>
      <c r="BM497" s="618"/>
      <c r="BN497" s="618"/>
      <c r="BO497" s="618"/>
    </row>
    <row r="498" spans="1:67" ht="13" hidden="1">
      <c r="D498" s="618"/>
      <c r="J498" s="1428"/>
      <c r="M498" s="323"/>
      <c r="N498" s="324"/>
      <c r="O498" s="325"/>
      <c r="P498" s="1455"/>
      <c r="S498" s="294"/>
      <c r="U498" s="618"/>
      <c r="X498" s="294"/>
      <c r="Z498" s="618"/>
      <c r="AE498" s="618"/>
      <c r="AO498" s="618"/>
      <c r="AT498" s="618"/>
      <c r="AZ498" s="618"/>
      <c r="BE498" s="618"/>
      <c r="BF498" s="618"/>
      <c r="BG498" s="553"/>
      <c r="BH498" s="294"/>
      <c r="BI498" s="618"/>
      <c r="BJ498" s="618"/>
      <c r="BK498" s="618"/>
      <c r="BL498" s="553"/>
      <c r="BM498" s="618"/>
      <c r="BN498" s="618"/>
      <c r="BO498" s="618"/>
    </row>
    <row r="499" spans="1:67" ht="13" hidden="1">
      <c r="D499" s="618"/>
      <c r="J499" s="1428"/>
      <c r="M499" s="323"/>
      <c r="N499" s="324"/>
      <c r="O499" s="325"/>
      <c r="P499" s="1455"/>
      <c r="S499" s="294"/>
      <c r="U499" s="618"/>
      <c r="X499" s="294"/>
      <c r="Z499" s="618"/>
      <c r="AE499" s="618"/>
      <c r="AO499" s="618"/>
      <c r="AT499" s="618"/>
      <c r="AZ499" s="618"/>
      <c r="BE499" s="618"/>
      <c r="BF499" s="618"/>
      <c r="BG499" s="553"/>
      <c r="BH499" s="294"/>
      <c r="BI499" s="618"/>
      <c r="BJ499" s="618"/>
      <c r="BK499" s="618"/>
      <c r="BL499" s="553"/>
      <c r="BM499" s="618"/>
      <c r="BN499" s="618"/>
      <c r="BO499" s="618"/>
    </row>
    <row r="500" spans="1:67" ht="13" hidden="1">
      <c r="D500" s="618"/>
      <c r="J500" s="1428"/>
      <c r="M500" s="336"/>
      <c r="N500" s="337"/>
      <c r="O500" s="506"/>
      <c r="P500" s="1457"/>
      <c r="S500" s="294"/>
      <c r="U500" s="618"/>
      <c r="X500" s="294"/>
      <c r="Z500" s="618"/>
      <c r="AE500" s="618"/>
      <c r="AO500" s="618"/>
      <c r="AT500" s="618"/>
      <c r="AZ500" s="618"/>
      <c r="BE500" s="618"/>
      <c r="BF500" s="618"/>
      <c r="BG500" s="553"/>
      <c r="BH500" s="294"/>
      <c r="BI500" s="618"/>
      <c r="BJ500" s="618"/>
      <c r="BK500" s="618"/>
      <c r="BL500" s="553"/>
      <c r="BM500" s="618"/>
      <c r="BN500" s="618"/>
      <c r="BO500" s="618"/>
    </row>
    <row r="501" spans="1:67" ht="13" hidden="1">
      <c r="D501" s="618"/>
      <c r="J501" s="1428"/>
      <c r="N501" s="294"/>
      <c r="P501" s="618"/>
      <c r="S501" s="294"/>
      <c r="U501" s="618"/>
      <c r="X501" s="294"/>
      <c r="Z501" s="618"/>
      <c r="AE501" s="618"/>
      <c r="AO501" s="618"/>
      <c r="AT501" s="618"/>
      <c r="AZ501" s="618"/>
      <c r="BE501" s="618"/>
      <c r="BF501" s="618"/>
      <c r="BG501" s="553"/>
      <c r="BH501" s="294"/>
      <c r="BI501" s="618"/>
      <c r="BJ501" s="618"/>
      <c r="BK501" s="618"/>
      <c r="BL501" s="553"/>
      <c r="BM501" s="618"/>
      <c r="BN501" s="618"/>
      <c r="BO501" s="618"/>
    </row>
    <row r="502" spans="1:67" ht="13">
      <c r="D502" s="618"/>
      <c r="J502" s="1428"/>
      <c r="N502" s="294"/>
      <c r="P502" s="618"/>
      <c r="S502" s="294"/>
      <c r="U502" s="618"/>
      <c r="X502" s="294"/>
      <c r="Z502" s="618"/>
      <c r="AE502" s="618"/>
      <c r="AO502" s="618"/>
      <c r="AT502" s="618"/>
      <c r="AZ502" s="618"/>
      <c r="BE502" s="618"/>
      <c r="BF502" s="618"/>
      <c r="BG502" s="553"/>
      <c r="BH502" s="294"/>
      <c r="BI502" s="618"/>
      <c r="BJ502" s="618"/>
      <c r="BK502" s="618"/>
      <c r="BL502" s="553"/>
      <c r="BM502" s="618"/>
      <c r="BN502" s="618"/>
      <c r="BO502" s="618"/>
    </row>
    <row r="503" spans="1:67" ht="13">
      <c r="A503" s="1429"/>
      <c r="B503" s="1429"/>
      <c r="C503" s="1429"/>
      <c r="D503" s="1430"/>
      <c r="E503" s="1429"/>
      <c r="F503" s="1429"/>
      <c r="G503" s="1429"/>
      <c r="H503" s="1429"/>
      <c r="I503" s="1429"/>
      <c r="J503" s="1431"/>
      <c r="K503" s="1429"/>
      <c r="L503" s="1429"/>
      <c r="M503" s="1429"/>
      <c r="N503" s="1432"/>
      <c r="O503" s="1429"/>
      <c r="P503" s="1430"/>
      <c r="Q503" s="1429"/>
      <c r="R503" s="1429"/>
      <c r="S503" s="1432"/>
      <c r="T503" s="1429"/>
      <c r="U503" s="1430"/>
      <c r="V503" s="1429"/>
      <c r="W503" s="1429"/>
      <c r="X503" s="1432"/>
      <c r="Y503" s="1429"/>
      <c r="Z503" s="1430"/>
      <c r="AA503" s="1429"/>
      <c r="AB503" s="1429"/>
      <c r="AC503" s="1429"/>
      <c r="AD503" s="1429"/>
      <c r="AE503" s="1430"/>
      <c r="AF503" s="1429"/>
      <c r="AG503" s="1429"/>
      <c r="AH503" s="1429"/>
      <c r="AI503" s="1429"/>
      <c r="AJ503" s="1429"/>
      <c r="AK503" s="1429"/>
      <c r="AL503" s="1429"/>
      <c r="AM503" s="1429"/>
      <c r="AN503" s="1429"/>
      <c r="AO503" s="1430"/>
      <c r="AP503" s="1429"/>
      <c r="AQ503" s="1429"/>
      <c r="AR503" s="1429"/>
      <c r="AS503" s="1429"/>
      <c r="AT503" s="1430"/>
      <c r="AU503" s="1429"/>
      <c r="AV503" s="1429"/>
      <c r="AW503" s="1429"/>
      <c r="AX503" s="1429"/>
      <c r="AY503" s="1429"/>
      <c r="AZ503" s="1430"/>
      <c r="BA503" s="1429"/>
      <c r="BB503" s="1429"/>
      <c r="BC503" s="1429"/>
      <c r="BD503" s="1429"/>
      <c r="BE503" s="1430"/>
      <c r="BF503" s="1430"/>
      <c r="BG503" s="1433"/>
      <c r="BH503" s="1432"/>
      <c r="BI503" s="1430"/>
      <c r="BJ503" s="1430"/>
      <c r="BK503" s="1430"/>
      <c r="BL503" s="1433"/>
      <c r="BM503" s="1430"/>
      <c r="BN503" s="1430"/>
      <c r="BO503" s="1430"/>
    </row>
    <row r="504" spans="1:67" ht="13">
      <c r="D504" s="618"/>
      <c r="J504" s="1428"/>
      <c r="N504" s="294"/>
      <c r="P504" s="618"/>
      <c r="S504" s="294"/>
      <c r="U504" s="618"/>
      <c r="X504" s="294"/>
      <c r="Z504" s="618"/>
      <c r="AE504" s="618"/>
      <c r="AO504" s="618"/>
      <c r="AT504" s="618"/>
      <c r="AZ504" s="618"/>
      <c r="BE504" s="618"/>
      <c r="BF504" s="618"/>
      <c r="BG504" s="553"/>
      <c r="BH504" s="294"/>
      <c r="BI504" s="618"/>
      <c r="BJ504" s="618"/>
      <c r="BK504" s="618"/>
      <c r="BL504" s="553"/>
      <c r="BM504" s="618"/>
      <c r="BN504" s="618"/>
      <c r="BO504" s="618"/>
    </row>
    <row r="505" spans="1:67" ht="13">
      <c r="A505" s="1448" t="s">
        <v>1542</v>
      </c>
      <c r="B505" s="325"/>
      <c r="C505" s="325"/>
      <c r="D505" s="799"/>
      <c r="G505" s="1448" t="s">
        <v>1543</v>
      </c>
      <c r="H505" s="325"/>
      <c r="I505" s="325"/>
      <c r="J505" s="1459"/>
      <c r="M505" s="1448" t="s">
        <v>1544</v>
      </c>
      <c r="N505" s="324"/>
      <c r="O505" s="325"/>
      <c r="P505" s="799"/>
      <c r="R505" s="1448" t="s">
        <v>1545</v>
      </c>
      <c r="S505" s="324"/>
      <c r="T505" s="325"/>
      <c r="U505" s="799"/>
      <c r="W505" s="1448" t="s">
        <v>1546</v>
      </c>
      <c r="X505" s="324"/>
      <c r="Y505" s="325"/>
      <c r="Z505" s="799"/>
      <c r="AB505" s="1448" t="s">
        <v>1547</v>
      </c>
      <c r="AC505" s="325"/>
      <c r="AD505" s="325"/>
      <c r="AE505" s="799"/>
      <c r="AG505" s="1448" t="s">
        <v>1548</v>
      </c>
      <c r="AH505" s="325"/>
      <c r="AI505" s="325"/>
      <c r="AJ505" s="325"/>
      <c r="AL505" s="1448" t="s">
        <v>1549</v>
      </c>
      <c r="AM505" s="325"/>
      <c r="AN505" s="325"/>
      <c r="AO505" s="799"/>
      <c r="AQ505" s="1448" t="s">
        <v>1550</v>
      </c>
      <c r="AR505" s="325"/>
      <c r="AS505" s="325"/>
      <c r="AT505" s="799"/>
      <c r="AW505" s="1448" t="s">
        <v>1551</v>
      </c>
      <c r="AX505" s="325"/>
      <c r="AY505" s="325"/>
      <c r="AZ505" s="799"/>
      <c r="BB505" s="1391" t="s">
        <v>1552</v>
      </c>
      <c r="BC505" s="1381"/>
      <c r="BD505" s="1381"/>
      <c r="BE505" s="1382"/>
      <c r="BF505" s="618"/>
      <c r="BG505" s="1460" t="s">
        <v>1566</v>
      </c>
      <c r="BH505" s="324"/>
      <c r="BI505" s="325"/>
      <c r="BJ505" s="799"/>
      <c r="BK505" s="618"/>
      <c r="BL505" s="1460" t="s">
        <v>1567</v>
      </c>
      <c r="BM505" s="325"/>
      <c r="BN505" s="325"/>
      <c r="BO505" s="799"/>
    </row>
    <row r="506" spans="1:67" ht="13">
      <c r="A506" s="325" t="s">
        <v>697</v>
      </c>
      <c r="B506" s="325">
        <v>57</v>
      </c>
      <c r="C506" s="325">
        <v>112013826</v>
      </c>
      <c r="D506" s="799"/>
      <c r="G506" s="325" t="s">
        <v>125</v>
      </c>
      <c r="H506" s="325">
        <v>71</v>
      </c>
      <c r="I506" s="325">
        <v>112012286</v>
      </c>
      <c r="J506" s="1459" t="str">
        <f t="shared" ref="J506:J537" si="138">VLOOKUP(I338,bassfin,13,FALSE)</f>
        <v>ADROGUE JOSE/PEREYRA STELLA</v>
      </c>
      <c r="M506" s="325" t="s">
        <v>516</v>
      </c>
      <c r="N506" s="324">
        <v>61</v>
      </c>
      <c r="O506" s="325">
        <v>112014074</v>
      </c>
      <c r="P506" s="799" t="str">
        <f t="shared" ref="P506:P537" si="139">VLOOKUP(O506,LAGEFIN,13,FALSE)</f>
        <v>1836 MASCOTAS S.A.</v>
      </c>
      <c r="R506" s="325" t="s">
        <v>288</v>
      </c>
      <c r="S506" s="324">
        <v>67</v>
      </c>
      <c r="T506" s="325">
        <v>112010671</v>
      </c>
      <c r="U506" s="799" t="str">
        <f t="shared" ref="U506:U537" si="140">VLOOKUP(T506,calofin,9,FALSE)</f>
        <v>ABDALA MARIANO DAVID</v>
      </c>
      <c r="W506" s="325" t="s">
        <v>475</v>
      </c>
      <c r="X506" s="324">
        <v>71</v>
      </c>
      <c r="Y506" s="325">
        <v>112013560</v>
      </c>
      <c r="Z506" s="799" t="str">
        <f t="shared" ref="Z506:Z537" si="141">VLOOKUP(Y506,RETAMFIN,9,FALSE)</f>
        <v>ABREGO NOELIA GISELLE</v>
      </c>
      <c r="AB506" s="325" t="s">
        <v>841</v>
      </c>
      <c r="AC506" s="325">
        <v>54</v>
      </c>
      <c r="AD506" s="325">
        <v>112012385</v>
      </c>
      <c r="AE506" s="799" t="str">
        <f t="shared" ref="AE506:AE537" si="142">VLOOKUP(AD506,VARGASFIN,13,FALSE)</f>
        <v>360 MASCOTA/LUNA JOAQUIN</v>
      </c>
      <c r="AG506" s="325" t="s">
        <v>1342</v>
      </c>
      <c r="AH506" s="325">
        <v>71</v>
      </c>
      <c r="AI506" s="325">
        <v>112014362</v>
      </c>
      <c r="AJ506" s="325" t="str">
        <f t="shared" ref="AJ506:AJ537" si="143">VLOOKUP(AI506,MONTENEFIN,9,FALSE)</f>
        <v>1 DE ABRIL S.A</v>
      </c>
      <c r="AL506" s="325" t="s">
        <v>1134</v>
      </c>
      <c r="AM506" s="325">
        <v>60</v>
      </c>
      <c r="AN506" s="325">
        <v>112012408</v>
      </c>
      <c r="AO506" s="799" t="str">
        <f t="shared" ref="AO506:AO537" si="144">VLOOKUP(AN506,MARUCAFIN,13,FALSE)</f>
        <v>ATARAMA ALVAN RAFAEL HECTOR</v>
      </c>
      <c r="AQ506" s="325" t="s">
        <v>1039</v>
      </c>
      <c r="AR506" s="325">
        <v>70</v>
      </c>
      <c r="AS506" s="325">
        <v>112014670</v>
      </c>
      <c r="AT506" s="799" t="str">
        <f t="shared" ref="AT506:AT537" si="145">VLOOKUP(AS506,ARRIOLFIN,13,FALSE)</f>
        <v>ABRAHIM RAFAAT DANIEL</v>
      </c>
      <c r="AW506" s="325" t="s">
        <v>1496</v>
      </c>
      <c r="AX506" s="325"/>
      <c r="AY506" s="325">
        <v>112013330</v>
      </c>
      <c r="AZ506" s="799" t="str">
        <f t="shared" ref="AZ506:AZ537" si="146">VLOOKUP(AY506,LAVENIAFIN,13,FALSE)</f>
        <v>ACUÑA GIAMBRUNO JOAQUIN</v>
      </c>
      <c r="BE506" s="618"/>
      <c r="BF506" s="618"/>
      <c r="BG506" s="1461" t="s">
        <v>958</v>
      </c>
      <c r="BH506" s="324">
        <v>71</v>
      </c>
      <c r="BI506" s="799">
        <v>112013656</v>
      </c>
      <c r="BJ506" s="799"/>
      <c r="BK506" s="618"/>
      <c r="BL506" s="1461" t="s">
        <v>954</v>
      </c>
      <c r="BM506" s="799">
        <v>71</v>
      </c>
      <c r="BN506" s="799">
        <v>112010437</v>
      </c>
      <c r="BO506" s="799"/>
    </row>
    <row r="507" spans="1:67" ht="13">
      <c r="A507" s="325" t="s">
        <v>690</v>
      </c>
      <c r="B507" s="325">
        <v>53</v>
      </c>
      <c r="C507" s="325">
        <v>112014766</v>
      </c>
      <c r="D507" s="799"/>
      <c r="G507" s="325" t="s">
        <v>73</v>
      </c>
      <c r="H507" s="325">
        <v>55</v>
      </c>
      <c r="I507" s="325">
        <v>112012311</v>
      </c>
      <c r="J507" s="1459" t="str">
        <f t="shared" si="138"/>
        <v>AGROMERCADO CENTRAL/BALANCEAD DEL MERC</v>
      </c>
      <c r="M507" s="325" t="s">
        <v>636</v>
      </c>
      <c r="N507" s="324">
        <v>70</v>
      </c>
      <c r="O507" s="325">
        <v>112014118</v>
      </c>
      <c r="P507" s="799" t="str">
        <f t="shared" si="139"/>
        <v>ACCONCIA ERICA SABRINA</v>
      </c>
      <c r="R507" s="325" t="s">
        <v>310</v>
      </c>
      <c r="S507" s="324">
        <v>71</v>
      </c>
      <c r="T507" s="325">
        <v>112012734</v>
      </c>
      <c r="U507" s="799" t="str">
        <f t="shared" si="140"/>
        <v>ABRAHAN ISMAEL GABRIEL</v>
      </c>
      <c r="W507" s="325" t="s">
        <v>445</v>
      </c>
      <c r="X507" s="324">
        <v>61</v>
      </c>
      <c r="Y507" s="325">
        <v>112014734</v>
      </c>
      <c r="Z507" s="799" t="str">
        <f t="shared" si="141"/>
        <v>ACHA PABLO DAVID</v>
      </c>
      <c r="AB507" s="325" t="s">
        <v>865</v>
      </c>
      <c r="AC507" s="325">
        <v>63</v>
      </c>
      <c r="AD507" s="325">
        <v>112014067</v>
      </c>
      <c r="AE507" s="799" t="str">
        <f t="shared" si="142"/>
        <v>ACUÑA CINTIA SOLEDAD</v>
      </c>
      <c r="AG507" s="325" t="s">
        <v>1380</v>
      </c>
      <c r="AH507" s="325"/>
      <c r="AI507" s="325">
        <v>112011822</v>
      </c>
      <c r="AJ507" s="325" t="str">
        <f t="shared" si="143"/>
        <v>AICARDI LEANDRO</v>
      </c>
      <c r="AL507" s="325" t="s">
        <v>1142</v>
      </c>
      <c r="AM507" s="325">
        <v>67</v>
      </c>
      <c r="AN507" s="325">
        <v>112011647</v>
      </c>
      <c r="AO507" s="799" t="str">
        <f t="shared" si="144"/>
        <v>CALZADA JESUS MARIA</v>
      </c>
      <c r="AQ507" s="325" t="s">
        <v>1083</v>
      </c>
      <c r="AR507" s="325">
        <v>71</v>
      </c>
      <c r="AS507" s="325">
        <v>112013787</v>
      </c>
      <c r="AT507" s="799" t="str">
        <f t="shared" si="145"/>
        <v>ALLAMPRESE AGATA LORENA</v>
      </c>
      <c r="AW507" s="325" t="s">
        <v>1467</v>
      </c>
      <c r="AX507" s="325">
        <v>63</v>
      </c>
      <c r="AY507" s="325">
        <v>112014650</v>
      </c>
      <c r="AZ507" s="799" t="str">
        <f t="shared" si="146"/>
        <v>ADRIAN JESUS SOTO</v>
      </c>
      <c r="BE507" s="618"/>
      <c r="BF507" s="618"/>
      <c r="BG507" s="1461" t="s">
        <v>1193</v>
      </c>
      <c r="BH507" s="324">
        <v>71</v>
      </c>
      <c r="BI507" s="799">
        <v>112014698</v>
      </c>
      <c r="BJ507" s="799"/>
      <c r="BK507" s="618"/>
      <c r="BL507" s="1461" t="s">
        <v>488</v>
      </c>
      <c r="BM507" s="799">
        <v>71</v>
      </c>
      <c r="BN507" s="799">
        <v>112014378</v>
      </c>
      <c r="BO507" s="799"/>
    </row>
    <row r="508" spans="1:67" ht="13">
      <c r="A508" s="325" t="s">
        <v>765</v>
      </c>
      <c r="B508" s="325">
        <v>71</v>
      </c>
      <c r="C508" s="325">
        <v>112011588</v>
      </c>
      <c r="D508" s="799"/>
      <c r="G508" s="325" t="s">
        <v>72</v>
      </c>
      <c r="H508" s="325">
        <v>55</v>
      </c>
      <c r="I508" s="325">
        <v>112012843</v>
      </c>
      <c r="J508" s="1459" t="str">
        <f t="shared" si="138"/>
        <v>ALMIRON GENARO/ASOC PROAYUDA/GUGLIELMINI</v>
      </c>
      <c r="M508" s="325" t="s">
        <v>609</v>
      </c>
      <c r="N508" s="324">
        <v>71</v>
      </c>
      <c r="O508" s="325">
        <v>112012441</v>
      </c>
      <c r="P508" s="799" t="str">
        <f t="shared" si="139"/>
        <v>AGNELLO GUILLERMO JAVIER</v>
      </c>
      <c r="R508" s="325" t="s">
        <v>304</v>
      </c>
      <c r="S508" s="324">
        <v>70</v>
      </c>
      <c r="T508" s="325">
        <v>112014163</v>
      </c>
      <c r="U508" s="799" t="str">
        <f t="shared" si="140"/>
        <v>ACUÑA EDUARDO DAMIAN</v>
      </c>
      <c r="W508" s="325" t="s">
        <v>484</v>
      </c>
      <c r="X508" s="324"/>
      <c r="Y508" s="325">
        <v>112014230</v>
      </c>
      <c r="Z508" s="799" t="str">
        <f t="shared" si="141"/>
        <v>AIMAR MARIELA</v>
      </c>
      <c r="AB508" s="325" t="s">
        <v>887</v>
      </c>
      <c r="AC508" s="325">
        <v>70</v>
      </c>
      <c r="AD508" s="325">
        <v>112013108</v>
      </c>
      <c r="AE508" s="799" t="str">
        <f t="shared" si="142"/>
        <v>AGUILAR EMANUEL HERNAN</v>
      </c>
      <c r="AG508" s="325" t="s">
        <v>1377</v>
      </c>
      <c r="AH508" s="325"/>
      <c r="AI508" s="325">
        <v>112013388</v>
      </c>
      <c r="AJ508" s="325" t="str">
        <f t="shared" si="143"/>
        <v>ALDAZ LAURA MARCELA</v>
      </c>
      <c r="AL508" s="325" t="s">
        <v>1146</v>
      </c>
      <c r="AM508" s="325">
        <v>69</v>
      </c>
      <c r="AN508" s="325">
        <v>112014783</v>
      </c>
      <c r="AO508" s="799" t="str">
        <f t="shared" si="144"/>
        <v>CAPONERA RAFAEL</v>
      </c>
      <c r="AQ508" s="325" t="s">
        <v>1008</v>
      </c>
      <c r="AR508" s="325">
        <v>62</v>
      </c>
      <c r="AS508" s="325">
        <v>112010582</v>
      </c>
      <c r="AT508" s="799" t="str">
        <f t="shared" si="145"/>
        <v>ANDRADE ROBERTO HIPOLITO</v>
      </c>
      <c r="AW508" s="325" t="s">
        <v>1397</v>
      </c>
      <c r="AX508" s="325">
        <v>55</v>
      </c>
      <c r="AY508" s="325">
        <v>112014482</v>
      </c>
      <c r="AZ508" s="799" t="str">
        <f t="shared" si="146"/>
        <v>AGRO VETERINARIA NUTRISAN S. CAP I SECC IV</v>
      </c>
      <c r="BE508" s="618"/>
      <c r="BF508" s="618"/>
      <c r="BG508" s="1461" t="s">
        <v>1194</v>
      </c>
      <c r="BH508" s="324">
        <v>71</v>
      </c>
      <c r="BI508" s="799">
        <v>112012599</v>
      </c>
      <c r="BJ508" s="799"/>
      <c r="BK508" s="618"/>
      <c r="BL508" s="1461" t="s">
        <v>970</v>
      </c>
      <c r="BM508" s="799">
        <v>71</v>
      </c>
      <c r="BN508" s="799">
        <v>112014607</v>
      </c>
      <c r="BO508" s="799"/>
    </row>
    <row r="509" spans="1:67" ht="13">
      <c r="A509" s="325" t="s">
        <v>766</v>
      </c>
      <c r="B509" s="325">
        <v>71</v>
      </c>
      <c r="C509" s="325">
        <v>112012133</v>
      </c>
      <c r="D509" s="799"/>
      <c r="G509" s="325" t="s">
        <v>216</v>
      </c>
      <c r="H509" s="325">
        <v>70</v>
      </c>
      <c r="I509" s="325">
        <v>112014775</v>
      </c>
      <c r="J509" s="1459" t="e">
        <f t="shared" si="138"/>
        <v>#N/A</v>
      </c>
      <c r="M509" s="325" t="s">
        <v>663</v>
      </c>
      <c r="N509" s="324"/>
      <c r="O509" s="325">
        <v>112014376</v>
      </c>
      <c r="P509" s="799" t="str">
        <f t="shared" si="139"/>
        <v>AGUILAR HERRERO LORENA CLARA NATACHA</v>
      </c>
      <c r="R509" s="325" t="s">
        <v>263</v>
      </c>
      <c r="S509" s="324">
        <v>54</v>
      </c>
      <c r="T509" s="325">
        <v>112014193</v>
      </c>
      <c r="U509" s="799" t="str">
        <f t="shared" si="140"/>
        <v>AGROGAN LOS ABUELOS/ GONZA FEDE / H.V.</v>
      </c>
      <c r="W509" s="325" t="s">
        <v>481</v>
      </c>
      <c r="X509" s="324"/>
      <c r="Y509" s="325">
        <v>112013420</v>
      </c>
      <c r="Z509" s="799" t="str">
        <f t="shared" si="141"/>
        <v>ALBERTO CARMEN MARCELA</v>
      </c>
      <c r="AB509" s="325" t="s">
        <v>238</v>
      </c>
      <c r="AC509" s="325">
        <v>72</v>
      </c>
      <c r="AD509" s="325">
        <v>112013120</v>
      </c>
      <c r="AE509" s="799" t="str">
        <f t="shared" si="142"/>
        <v>ALONSO CARINA/BARDI FERNANDO</v>
      </c>
      <c r="AG509" s="325" t="s">
        <v>1288</v>
      </c>
      <c r="AH509" s="325">
        <v>63</v>
      </c>
      <c r="AI509" s="325">
        <v>112014348</v>
      </c>
      <c r="AJ509" s="325" t="str">
        <f t="shared" si="143"/>
        <v>ALLEGRONI JULIO FEDERICO</v>
      </c>
      <c r="AL509" s="325" t="s">
        <v>1145</v>
      </c>
      <c r="AM509" s="325">
        <v>70</v>
      </c>
      <c r="AN509" s="325">
        <v>112012504</v>
      </c>
      <c r="AO509" s="799" t="str">
        <f t="shared" si="144"/>
        <v>CASALE LUCIA LAURA</v>
      </c>
      <c r="AQ509" s="325" t="s">
        <v>1068</v>
      </c>
      <c r="AR509" s="325">
        <v>71</v>
      </c>
      <c r="AS509" s="325">
        <v>112010443</v>
      </c>
      <c r="AT509" s="799" t="str">
        <f t="shared" si="145"/>
        <v>ARREGUI DANIEL ALBERTO</v>
      </c>
      <c r="AW509" s="325" t="s">
        <v>1487</v>
      </c>
      <c r="AX509" s="325">
        <v>71</v>
      </c>
      <c r="AY509" s="325">
        <v>112014697</v>
      </c>
      <c r="AZ509" s="799" t="str">
        <f t="shared" si="146"/>
        <v>AGROINSUMOS S. A.</v>
      </c>
      <c r="BE509" s="618"/>
      <c r="BF509" s="618"/>
      <c r="BG509" s="1461" t="s">
        <v>1174</v>
      </c>
      <c r="BH509" s="324">
        <v>71</v>
      </c>
      <c r="BI509" s="799">
        <v>112012889</v>
      </c>
      <c r="BJ509" s="799"/>
      <c r="BK509" s="618"/>
      <c r="BL509" s="1461" t="s">
        <v>1198</v>
      </c>
      <c r="BM509" s="799">
        <v>70</v>
      </c>
      <c r="BN509" s="799">
        <v>112014681</v>
      </c>
      <c r="BO509" s="799"/>
    </row>
    <row r="510" spans="1:67" ht="13">
      <c r="A510" s="325" t="s">
        <v>800</v>
      </c>
      <c r="B510" s="325"/>
      <c r="C510" s="325">
        <v>112012966</v>
      </c>
      <c r="D510" s="799"/>
      <c r="G510" s="325" t="s">
        <v>170</v>
      </c>
      <c r="H510" s="325">
        <v>71</v>
      </c>
      <c r="I510" s="325">
        <v>112011692</v>
      </c>
      <c r="J510" s="1459" t="e">
        <f t="shared" si="138"/>
        <v>#N/A</v>
      </c>
      <c r="M510" s="325" t="s">
        <v>523</v>
      </c>
      <c r="N510" s="324">
        <v>62</v>
      </c>
      <c r="O510" s="325">
        <v>112013220</v>
      </c>
      <c r="P510" s="799" t="str">
        <f t="shared" si="139"/>
        <v>AGUILERA JAVIER ROBERTO</v>
      </c>
      <c r="R510" s="325" t="s">
        <v>308</v>
      </c>
      <c r="S510" s="324">
        <v>71</v>
      </c>
      <c r="T510" s="325">
        <v>112014393</v>
      </c>
      <c r="U510" s="799" t="str">
        <f t="shared" si="140"/>
        <v>ALZA SILVANA EDITH</v>
      </c>
      <c r="W510" s="325" t="s">
        <v>418</v>
      </c>
      <c r="X510" s="324">
        <v>63</v>
      </c>
      <c r="Y510" s="325">
        <v>112014388</v>
      </c>
      <c r="Z510" s="799" t="str">
        <f t="shared" si="141"/>
        <v>AMELIA ELIZABETH BOLLA</v>
      </c>
      <c r="AB510" s="325" t="s">
        <v>848</v>
      </c>
      <c r="AC510" s="325">
        <v>62</v>
      </c>
      <c r="AD510" s="325">
        <v>112014244</v>
      </c>
      <c r="AE510" s="799" t="str">
        <f t="shared" si="142"/>
        <v>ARAUCAN SERVICIOS VETERINARIOS S.A</v>
      </c>
      <c r="AG510" s="325" t="s">
        <v>1331</v>
      </c>
      <c r="AH510" s="325">
        <v>69</v>
      </c>
      <c r="AI510" s="325">
        <v>112014458</v>
      </c>
      <c r="AJ510" s="325" t="str">
        <f t="shared" si="143"/>
        <v>ALMANG RUBEN DARIO</v>
      </c>
      <c r="AL510" s="325" t="s">
        <v>899</v>
      </c>
      <c r="AM510" s="325">
        <v>70</v>
      </c>
      <c r="AN510" s="325">
        <v>112013498</v>
      </c>
      <c r="AO510" s="799" t="str">
        <f t="shared" si="144"/>
        <v>CASTRO JUAN MANUEL M</v>
      </c>
      <c r="AQ510" s="325" t="s">
        <v>1042</v>
      </c>
      <c r="AR510" s="325">
        <v>70</v>
      </c>
      <c r="AS510" s="325">
        <v>112012293</v>
      </c>
      <c r="AT510" s="799" t="str">
        <f t="shared" si="145"/>
        <v>ARROYO GLADYS KARINA</v>
      </c>
      <c r="AW510" s="325" t="s">
        <v>1497</v>
      </c>
      <c r="AX510" s="325"/>
      <c r="AY510" s="325">
        <v>112014657</v>
      </c>
      <c r="AZ510" s="799" t="str">
        <f t="shared" si="146"/>
        <v>AGROPECUARIA LOS GROBITOS S A S. A.</v>
      </c>
      <c r="BE510" s="618"/>
      <c r="BF510" s="618"/>
      <c r="BG510" s="1461" t="s">
        <v>907</v>
      </c>
      <c r="BH510" s="324">
        <v>70</v>
      </c>
      <c r="BI510" s="799">
        <v>112014207</v>
      </c>
      <c r="BJ510" s="799"/>
      <c r="BK510" s="618"/>
      <c r="BL510" s="1461" t="s">
        <v>1199</v>
      </c>
      <c r="BM510" s="799">
        <v>70</v>
      </c>
      <c r="BN510" s="799">
        <v>112012202</v>
      </c>
      <c r="BO510" s="799"/>
    </row>
    <row r="511" spans="1:67" ht="13">
      <c r="A511" s="325" t="s">
        <v>713</v>
      </c>
      <c r="B511" s="325">
        <v>21</v>
      </c>
      <c r="C511" s="325">
        <v>112012876</v>
      </c>
      <c r="D511" s="799"/>
      <c r="G511" s="325" t="s">
        <v>79</v>
      </c>
      <c r="H511" s="325">
        <v>62</v>
      </c>
      <c r="I511" s="325">
        <v>112012345</v>
      </c>
      <c r="J511" s="1459" t="e">
        <f t="shared" si="138"/>
        <v>#N/A</v>
      </c>
      <c r="M511" s="325" t="s">
        <v>555</v>
      </c>
      <c r="N511" s="324">
        <v>68</v>
      </c>
      <c r="O511" s="325">
        <v>112012718</v>
      </c>
      <c r="P511" s="799" t="str">
        <f t="shared" si="139"/>
        <v>ANIMALADAS YA/SCALA MARIA/DE LUCA NORA</v>
      </c>
      <c r="R511" s="325" t="s">
        <v>283</v>
      </c>
      <c r="S511" s="324">
        <v>66</v>
      </c>
      <c r="T511" s="325">
        <v>112014237</v>
      </c>
      <c r="U511" s="799" t="str">
        <f t="shared" si="140"/>
        <v>AMICARELLI CAR/ARROYO SILVIO</v>
      </c>
      <c r="W511" s="325" t="s">
        <v>401</v>
      </c>
      <c r="X511" s="324">
        <v>62</v>
      </c>
      <c r="Y511" s="325">
        <v>112013192</v>
      </c>
      <c r="Z511" s="799" t="str">
        <f t="shared" si="141"/>
        <v>BAIGORRIA NATALIA</v>
      </c>
      <c r="AB511" s="325" t="s">
        <v>876</v>
      </c>
      <c r="AC511" s="325">
        <v>71</v>
      </c>
      <c r="AD511" s="325">
        <v>112014777</v>
      </c>
      <c r="AE511" s="799" t="str">
        <f t="shared" si="142"/>
        <v>BALIÑA MARIA FERNANDA</v>
      </c>
      <c r="AG511" s="325" t="s">
        <v>1275</v>
      </c>
      <c r="AH511" s="325">
        <v>62</v>
      </c>
      <c r="AI511" s="325">
        <v>112014008</v>
      </c>
      <c r="AJ511" s="325" t="str">
        <f t="shared" si="143"/>
        <v>ALMEIDA FLAVIA/GUILLEN ALAN</v>
      </c>
      <c r="AL511" s="325" t="s">
        <v>1147</v>
      </c>
      <c r="AM511" s="325">
        <v>70</v>
      </c>
      <c r="AN511" s="325">
        <v>112013702</v>
      </c>
      <c r="AO511" s="799" t="str">
        <f t="shared" si="144"/>
        <v>CUENCA GASTON ADRIAN</v>
      </c>
      <c r="AQ511" s="325" t="s">
        <v>1021</v>
      </c>
      <c r="AR511" s="325">
        <v>62</v>
      </c>
      <c r="AS511" s="325">
        <v>112013516</v>
      </c>
      <c r="AT511" s="799" t="str">
        <f t="shared" si="145"/>
        <v>BAGUNAC S.A.</v>
      </c>
      <c r="AW511" s="325" t="s">
        <v>1430</v>
      </c>
      <c r="AX511" s="325">
        <v>63</v>
      </c>
      <c r="AY511" s="325">
        <v>112014479</v>
      </c>
      <c r="AZ511" s="799" t="str">
        <f t="shared" si="146"/>
        <v>ALMADA CINTIA VICTORIA</v>
      </c>
      <c r="BE511" s="618"/>
      <c r="BF511" s="618"/>
      <c r="BG511" s="1461" t="s">
        <v>1200</v>
      </c>
      <c r="BH511" s="324">
        <v>70</v>
      </c>
      <c r="BI511" s="799">
        <v>112014529</v>
      </c>
      <c r="BJ511" s="799"/>
      <c r="BK511" s="618"/>
      <c r="BL511" s="1461" t="s">
        <v>960</v>
      </c>
      <c r="BM511" s="799">
        <v>70</v>
      </c>
      <c r="BN511" s="799">
        <v>112012809</v>
      </c>
      <c r="BO511" s="799"/>
    </row>
    <row r="512" spans="1:67" ht="13">
      <c r="A512" s="325" t="s">
        <v>724</v>
      </c>
      <c r="B512" s="325">
        <v>69</v>
      </c>
      <c r="C512" s="325">
        <v>112013868</v>
      </c>
      <c r="D512" s="799"/>
      <c r="G512" s="325" t="s">
        <v>127</v>
      </c>
      <c r="H512" s="325">
        <v>69</v>
      </c>
      <c r="I512" s="325">
        <v>112014377</v>
      </c>
      <c r="J512" s="1459" t="e">
        <f t="shared" si="138"/>
        <v>#N/A</v>
      </c>
      <c r="M512" s="325" t="s">
        <v>620</v>
      </c>
      <c r="N512" s="324">
        <v>71</v>
      </c>
      <c r="O512" s="325">
        <v>112010441</v>
      </c>
      <c r="P512" s="799" t="str">
        <f t="shared" si="139"/>
        <v>ARDOHAIN JUAN ESTEBAN</v>
      </c>
      <c r="R512" s="325" t="s">
        <v>296</v>
      </c>
      <c r="S512" s="324">
        <v>70</v>
      </c>
      <c r="T512" s="325">
        <v>112011860</v>
      </c>
      <c r="U512" s="799" t="str">
        <f t="shared" si="140"/>
        <v>ANTONCICH MARTIN IVAN</v>
      </c>
      <c r="W512" s="325" t="s">
        <v>373</v>
      </c>
      <c r="X512" s="324">
        <v>60</v>
      </c>
      <c r="Y512" s="325">
        <v>112013768</v>
      </c>
      <c r="Z512" s="799" t="str">
        <f t="shared" si="141"/>
        <v>BALANCEADOS CANNING S.R.L</v>
      </c>
      <c r="AB512" s="325" t="s">
        <v>854</v>
      </c>
      <c r="AC512" s="325">
        <v>63</v>
      </c>
      <c r="AD512" s="325">
        <v>112012381</v>
      </c>
      <c r="AE512" s="799" t="str">
        <f t="shared" si="142"/>
        <v>BARCAROLLO CLAUDIA ESTEFANIA</v>
      </c>
      <c r="AG512" s="325" t="s">
        <v>1308</v>
      </c>
      <c r="AH512" s="325">
        <v>63</v>
      </c>
      <c r="AI512" s="325">
        <v>112013617</v>
      </c>
      <c r="AJ512" s="325" t="str">
        <f t="shared" si="143"/>
        <v>ARANA GASTON ANGEL</v>
      </c>
      <c r="AL512" s="325" t="s">
        <v>1140</v>
      </c>
      <c r="AM512" s="325">
        <v>63</v>
      </c>
      <c r="AN512" s="325">
        <v>112012257</v>
      </c>
      <c r="AO512" s="799" t="str">
        <f t="shared" si="144"/>
        <v>EL VERANO/APAOLAZA MARIA/APAOLAZA PEDRO</v>
      </c>
      <c r="AQ512" s="325" t="s">
        <v>1067</v>
      </c>
      <c r="AR512" s="325">
        <v>71</v>
      </c>
      <c r="AS512" s="325">
        <v>112014129</v>
      </c>
      <c r="AT512" s="799" t="str">
        <f t="shared" si="145"/>
        <v>BARON ANTONE/LUCIANA MUJICA</v>
      </c>
      <c r="AW512" s="325" t="s">
        <v>1431</v>
      </c>
      <c r="AX512" s="325">
        <v>63</v>
      </c>
      <c r="AY512" s="325">
        <v>112014387</v>
      </c>
      <c r="AZ512" s="799" t="str">
        <f t="shared" si="146"/>
        <v>ALVAREZ BURATTI VIVIANA</v>
      </c>
      <c r="BE512" s="618"/>
      <c r="BF512" s="618"/>
      <c r="BG512" s="1461" t="s">
        <v>1121</v>
      </c>
      <c r="BH512" s="324">
        <v>63</v>
      </c>
      <c r="BI512" s="799">
        <v>112014554</v>
      </c>
      <c r="BJ512" s="799"/>
      <c r="BK512" s="618"/>
      <c r="BL512" s="1461" t="s">
        <v>984</v>
      </c>
      <c r="BM512" s="799"/>
      <c r="BN512" s="799">
        <v>112010442</v>
      </c>
      <c r="BO512" s="799"/>
    </row>
    <row r="513" spans="1:67" ht="13">
      <c r="A513" s="325" t="s">
        <v>767</v>
      </c>
      <c r="B513" s="325">
        <v>71</v>
      </c>
      <c r="C513" s="325">
        <v>112013989</v>
      </c>
      <c r="D513" s="799"/>
      <c r="G513" s="325" t="s">
        <v>137</v>
      </c>
      <c r="H513" s="325">
        <v>70</v>
      </c>
      <c r="I513" s="325">
        <v>112014178</v>
      </c>
      <c r="J513" s="1459" t="str">
        <f t="shared" si="138"/>
        <v>BARRETO ALEJ/FERREYRA MYRIAN</v>
      </c>
      <c r="M513" s="325" t="s">
        <v>570</v>
      </c>
      <c r="N513" s="324">
        <v>70</v>
      </c>
      <c r="O513" s="325">
        <v>112014368</v>
      </c>
      <c r="P513" s="799" t="str">
        <f t="shared" si="139"/>
        <v>ARIAS DELIA MERCEDES</v>
      </c>
      <c r="R513" s="325" t="s">
        <v>289</v>
      </c>
      <c r="S513" s="324">
        <v>67</v>
      </c>
      <c r="T513" s="325">
        <v>112010719</v>
      </c>
      <c r="U513" s="799" t="str">
        <f t="shared" si="140"/>
        <v>APAOLAZA GUSTAVO JAVIER</v>
      </c>
      <c r="W513" s="325" t="s">
        <v>403</v>
      </c>
      <c r="X513" s="324">
        <v>60</v>
      </c>
      <c r="Y513" s="325">
        <v>112013252</v>
      </c>
      <c r="Z513" s="799" t="str">
        <f t="shared" si="141"/>
        <v>BALENZANO JULIO HORACIO</v>
      </c>
      <c r="AB513" s="325" t="s">
        <v>141</v>
      </c>
      <c r="AC513" s="325">
        <v>70</v>
      </c>
      <c r="AD513" s="325">
        <v>112011628</v>
      </c>
      <c r="AE513" s="799" t="str">
        <f t="shared" si="142"/>
        <v>BERMUDEZ JAVIER/CABIROL GERMAN</v>
      </c>
      <c r="AG513" s="325" t="s">
        <v>1345</v>
      </c>
      <c r="AH513" s="325">
        <v>71</v>
      </c>
      <c r="AI513" s="325">
        <v>112013731</v>
      </c>
      <c r="AJ513" s="325" t="str">
        <f t="shared" si="143"/>
        <v>ARANA PEDRO FABIAN</v>
      </c>
      <c r="AL513" s="325" t="s">
        <v>1139</v>
      </c>
      <c r="AM513" s="325">
        <v>62</v>
      </c>
      <c r="AN513" s="325">
        <v>112012425</v>
      </c>
      <c r="AO513" s="799" t="str">
        <f t="shared" si="144"/>
        <v>FERNANDEZ DEL CASTILLO/IAROSKY</v>
      </c>
      <c r="AQ513" s="325" t="s">
        <v>1009</v>
      </c>
      <c r="AR513" s="325">
        <v>62</v>
      </c>
      <c r="AS513" s="325">
        <v>112013217</v>
      </c>
      <c r="AT513" s="799" t="str">
        <f t="shared" si="145"/>
        <v>BARRERE BERNARDO</v>
      </c>
      <c r="AW513" s="325" t="s">
        <v>1405</v>
      </c>
      <c r="AX513" s="325">
        <v>55</v>
      </c>
      <c r="AY513" s="325">
        <v>112013143</v>
      </c>
      <c r="AZ513" s="799" t="str">
        <f t="shared" si="146"/>
        <v>ANGELINO CRISTIAN</v>
      </c>
      <c r="BE513" s="618"/>
      <c r="BF513" s="618"/>
      <c r="BG513" s="1461" t="s">
        <v>1201</v>
      </c>
      <c r="BH513" s="324">
        <v>70</v>
      </c>
      <c r="BI513" s="799">
        <v>112014571</v>
      </c>
      <c r="BJ513" s="799"/>
      <c r="BK513" s="618"/>
      <c r="BL513" s="1461" t="s">
        <v>1202</v>
      </c>
      <c r="BM513" s="799">
        <v>70</v>
      </c>
      <c r="BN513" s="799">
        <v>112014302</v>
      </c>
      <c r="BO513" s="799"/>
    </row>
    <row r="514" spans="1:67" ht="13">
      <c r="A514" s="325" t="s">
        <v>714</v>
      </c>
      <c r="B514" s="325">
        <v>61</v>
      </c>
      <c r="C514" s="325">
        <v>112014723</v>
      </c>
      <c r="D514" s="799"/>
      <c r="G514" s="325" t="s">
        <v>138</v>
      </c>
      <c r="H514" s="325">
        <v>70</v>
      </c>
      <c r="I514" s="325">
        <v>112014336</v>
      </c>
      <c r="J514" s="1459" t="e">
        <f t="shared" si="138"/>
        <v>#N/A</v>
      </c>
      <c r="M514" s="325" t="s">
        <v>634</v>
      </c>
      <c r="N514" s="324">
        <v>70</v>
      </c>
      <c r="O514" s="325">
        <v>112013870</v>
      </c>
      <c r="P514" s="799" t="str">
        <f t="shared" si="139"/>
        <v>ARROCERA DEL SUR SA</v>
      </c>
      <c r="R514" s="325" t="s">
        <v>269</v>
      </c>
      <c r="S514" s="324">
        <v>63</v>
      </c>
      <c r="T514" s="325">
        <v>112014606</v>
      </c>
      <c r="U514" s="799" t="str">
        <f t="shared" si="140"/>
        <v>ARAYA NORA VIVIANA</v>
      </c>
      <c r="W514" s="325" t="s">
        <v>458</v>
      </c>
      <c r="X514" s="324">
        <v>71</v>
      </c>
      <c r="Y514" s="325">
        <v>112010763</v>
      </c>
      <c r="Z514" s="799" t="str">
        <f t="shared" si="141"/>
        <v>BANACH DIANA</v>
      </c>
      <c r="AB514" s="325" t="s">
        <v>881</v>
      </c>
      <c r="AC514" s="325">
        <v>71</v>
      </c>
      <c r="AD514" s="325">
        <v>112012525</v>
      </c>
      <c r="AE514" s="799" t="str">
        <f t="shared" si="142"/>
        <v>BIDONDO AGUSTIN</v>
      </c>
      <c r="AG514" s="325" t="s">
        <v>1276</v>
      </c>
      <c r="AH514" s="325">
        <v>62</v>
      </c>
      <c r="AI514" s="325">
        <v>112014174</v>
      </c>
      <c r="AJ514" s="325" t="str">
        <f t="shared" si="143"/>
        <v>BARIDON GUSTAVO RAFAEL</v>
      </c>
      <c r="AL514" s="325" t="s">
        <v>1137</v>
      </c>
      <c r="AM514" s="325">
        <v>63</v>
      </c>
      <c r="AN514" s="325">
        <v>112012187</v>
      </c>
      <c r="AO514" s="799" t="str">
        <f t="shared" si="144"/>
        <v>GATTI CARINA</v>
      </c>
      <c r="AQ514" s="325" t="s">
        <v>1078</v>
      </c>
      <c r="AR514" s="325">
        <v>71</v>
      </c>
      <c r="AS514" s="325">
        <v>112012638</v>
      </c>
      <c r="AT514" s="799" t="str">
        <f t="shared" si="145"/>
        <v>BAUTISTA GASPAR</v>
      </c>
      <c r="AW514" s="325" t="s">
        <v>1398</v>
      </c>
      <c r="AX514" s="325">
        <v>55</v>
      </c>
      <c r="AY514" s="325">
        <v>112012985</v>
      </c>
      <c r="AZ514" s="799" t="str">
        <f t="shared" si="146"/>
        <v>ARBOLES S.R.L.</v>
      </c>
      <c r="BE514" s="618"/>
      <c r="BF514" s="618"/>
      <c r="BG514" s="1461" t="s">
        <v>1176</v>
      </c>
      <c r="BH514" s="324">
        <v>71</v>
      </c>
      <c r="BI514" s="799">
        <v>112013306</v>
      </c>
      <c r="BJ514" s="799"/>
      <c r="BK514" s="618"/>
      <c r="BL514" s="1461" t="s">
        <v>1203</v>
      </c>
      <c r="BM514" s="799">
        <v>70</v>
      </c>
      <c r="BN514" s="799">
        <v>112014351</v>
      </c>
      <c r="BO514" s="799"/>
    </row>
    <row r="515" spans="1:67" ht="13">
      <c r="A515" s="325" t="s">
        <v>768</v>
      </c>
      <c r="B515" s="325">
        <v>71</v>
      </c>
      <c r="C515" s="325">
        <v>112010910</v>
      </c>
      <c r="D515" s="799"/>
      <c r="G515" s="325" t="s">
        <v>171</v>
      </c>
      <c r="H515" s="325">
        <v>71</v>
      </c>
      <c r="I515" s="325">
        <v>112012274</v>
      </c>
      <c r="J515" s="1459" t="e">
        <f t="shared" si="138"/>
        <v>#N/A</v>
      </c>
      <c r="M515" s="325" t="s">
        <v>506</v>
      </c>
      <c r="N515" s="324">
        <v>53</v>
      </c>
      <c r="O515" s="325">
        <v>112014413</v>
      </c>
      <c r="P515" s="799" t="str">
        <f t="shared" si="139"/>
        <v>ASTUR VEL S. A.</v>
      </c>
      <c r="R515" s="325" t="s">
        <v>256</v>
      </c>
      <c r="S515" s="324">
        <v>52</v>
      </c>
      <c r="T515" s="325">
        <v>112013280</v>
      </c>
      <c r="U515" s="799" t="str">
        <f t="shared" si="140"/>
        <v>AYALA ALEJANDRO JORGE</v>
      </c>
      <c r="W515" s="325" t="s">
        <v>419</v>
      </c>
      <c r="X515" s="324">
        <v>63</v>
      </c>
      <c r="Y515" s="325">
        <v>112013487</v>
      </c>
      <c r="Z515" s="799" t="str">
        <f t="shared" si="141"/>
        <v>BARABANI RUBEN OSVALDO</v>
      </c>
      <c r="AB515" s="325" t="s">
        <v>896</v>
      </c>
      <c r="AC515" s="325">
        <v>71</v>
      </c>
      <c r="AD515" s="325">
        <v>112012203</v>
      </c>
      <c r="AE515" s="799" t="str">
        <f t="shared" si="142"/>
        <v>BONINO MARIANO</v>
      </c>
      <c r="AG515" s="325" t="s">
        <v>1309</v>
      </c>
      <c r="AH515" s="325">
        <v>63</v>
      </c>
      <c r="AI515" s="325">
        <v>112013508</v>
      </c>
      <c r="AJ515" s="325" t="str">
        <f t="shared" si="143"/>
        <v>BAUER SANTIAGO</v>
      </c>
      <c r="AL515" s="325" t="s">
        <v>1132</v>
      </c>
      <c r="AM515" s="325">
        <v>54</v>
      </c>
      <c r="AN515" s="325">
        <v>112013647</v>
      </c>
      <c r="AO515" s="799" t="str">
        <f t="shared" si="144"/>
        <v>GONZALES J.GABRIEL/CARRIQUIRIBORDE</v>
      </c>
      <c r="AQ515" s="325" t="s">
        <v>1013</v>
      </c>
      <c r="AR515" s="325">
        <v>63</v>
      </c>
      <c r="AS515" s="325">
        <v>112010740</v>
      </c>
      <c r="AT515" s="799" t="str">
        <f t="shared" si="145"/>
        <v>BENIGNI JUAN CARLOS</v>
      </c>
      <c r="AW515" s="325" t="s">
        <v>1425</v>
      </c>
      <c r="AX515" s="325">
        <v>63</v>
      </c>
      <c r="AY515" s="325">
        <v>112013303</v>
      </c>
      <c r="AZ515" s="799" t="str">
        <f t="shared" si="146"/>
        <v>ARISTI CARLOS EDUARDO</v>
      </c>
      <c r="BE515" s="618"/>
      <c r="BF515" s="618"/>
      <c r="BG515" s="1461" t="s">
        <v>915</v>
      </c>
      <c r="BH515" s="324">
        <v>71</v>
      </c>
      <c r="BI515" s="799">
        <v>112013126</v>
      </c>
      <c r="BJ515" s="799"/>
      <c r="BK515" s="618"/>
      <c r="BL515" s="1461" t="s">
        <v>1238</v>
      </c>
      <c r="BM515" s="799">
        <v>61</v>
      </c>
      <c r="BN515" s="799">
        <v>112014715</v>
      </c>
      <c r="BO515" s="799"/>
    </row>
    <row r="516" spans="1:67" ht="13">
      <c r="A516" s="325" t="s">
        <v>769</v>
      </c>
      <c r="B516" s="325">
        <v>71</v>
      </c>
      <c r="C516" s="325">
        <v>112013104</v>
      </c>
      <c r="D516" s="799"/>
      <c r="G516" s="325" t="s">
        <v>139</v>
      </c>
      <c r="H516" s="325">
        <v>70</v>
      </c>
      <c r="I516" s="325">
        <v>112013230</v>
      </c>
      <c r="J516" s="1459" t="str">
        <f t="shared" si="138"/>
        <v>CASCO FEDERICO/BASSI MARIA</v>
      </c>
      <c r="M516" s="325" t="s">
        <v>648</v>
      </c>
      <c r="N516" s="324">
        <v>71</v>
      </c>
      <c r="O516" s="325">
        <v>112013200</v>
      </c>
      <c r="P516" s="799" t="str">
        <f t="shared" si="139"/>
        <v>BANEGAS MARIA CELESTE</v>
      </c>
      <c r="R516" s="325" t="s">
        <v>257</v>
      </c>
      <c r="S516" s="324">
        <v>52</v>
      </c>
      <c r="T516" s="325">
        <v>112013670</v>
      </c>
      <c r="U516" s="799" t="str">
        <f t="shared" si="140"/>
        <v>AYALA RODOLFO DANIEL (ACE2)</v>
      </c>
      <c r="W516" s="325" t="s">
        <v>375</v>
      </c>
      <c r="X516" s="324">
        <v>53</v>
      </c>
      <c r="Y516" s="325">
        <v>112014382</v>
      </c>
      <c r="Z516" s="799" t="str">
        <f t="shared" si="141"/>
        <v>BARBADORI /RAMOS</v>
      </c>
      <c r="AB516" s="325" t="s">
        <v>853</v>
      </c>
      <c r="AC516" s="325">
        <v>61</v>
      </c>
      <c r="AD516" s="325">
        <v>112014714</v>
      </c>
      <c r="AE516" s="799" t="str">
        <f t="shared" si="142"/>
        <v>CARDINALI MATIAS DANIEL</v>
      </c>
      <c r="AG516" s="325" t="s">
        <v>1381</v>
      </c>
      <c r="AH516" s="325"/>
      <c r="AI516" s="325">
        <v>112013840</v>
      </c>
      <c r="AJ516" s="325" t="str">
        <f t="shared" si="143"/>
        <v>BICHO`S DEL SUR SRL</v>
      </c>
      <c r="AL516" s="325" t="s">
        <v>1148</v>
      </c>
      <c r="AM516" s="325">
        <v>70</v>
      </c>
      <c r="AN516" s="325">
        <v>112014197</v>
      </c>
      <c r="AO516" s="799" t="str">
        <f t="shared" si="144"/>
        <v>GONZALEZ KARINA ALEJANDRA</v>
      </c>
      <c r="AQ516" s="325" t="s">
        <v>998</v>
      </c>
      <c r="AR516" s="325">
        <v>55</v>
      </c>
      <c r="AS516" s="325">
        <v>112013506</v>
      </c>
      <c r="AT516" s="799" t="str">
        <f t="shared" si="145"/>
        <v>BENIGNI LUIS ALBERTO LUJAN Y INSAUGARAT JUAN RAMON SOCIEDAD SIMPE</v>
      </c>
      <c r="AW516" s="325" t="s">
        <v>1416</v>
      </c>
      <c r="AX516" s="325">
        <v>62</v>
      </c>
      <c r="AY516" s="325">
        <v>112014635</v>
      </c>
      <c r="AZ516" s="799" t="str">
        <f t="shared" si="146"/>
        <v>AVENI FERNANDO JOEL</v>
      </c>
      <c r="BE516" s="618"/>
      <c r="BF516" s="618"/>
      <c r="BG516" s="1461" t="s">
        <v>976</v>
      </c>
      <c r="BH516" s="324">
        <v>71</v>
      </c>
      <c r="BI516" s="799">
        <v>112014108</v>
      </c>
      <c r="BJ516" s="799"/>
      <c r="BK516" s="618"/>
      <c r="BL516" s="1461" t="s">
        <v>979</v>
      </c>
      <c r="BM516" s="799">
        <v>71</v>
      </c>
      <c r="BN516" s="799">
        <v>112013713</v>
      </c>
      <c r="BO516" s="799"/>
    </row>
    <row r="517" spans="1:67" ht="13">
      <c r="A517" s="325" t="s">
        <v>688</v>
      </c>
      <c r="B517" s="325">
        <v>55</v>
      </c>
      <c r="C517" s="325">
        <v>112013562</v>
      </c>
      <c r="D517" s="799"/>
      <c r="G517" s="325" t="s">
        <v>1568</v>
      </c>
      <c r="H517" s="325"/>
      <c r="I517" s="325">
        <v>112014785</v>
      </c>
      <c r="J517" s="1459" t="str">
        <f t="shared" si="138"/>
        <v>DARIO GERA Y LEONARDO/ GERA DARIO G</v>
      </c>
      <c r="M517" s="325" t="s">
        <v>621</v>
      </c>
      <c r="N517" s="324">
        <v>70</v>
      </c>
      <c r="O517" s="325">
        <v>112014152</v>
      </c>
      <c r="P517" s="799" t="str">
        <f t="shared" si="139"/>
        <v>BASADRE GILDA</v>
      </c>
      <c r="R517" s="325" t="s">
        <v>258</v>
      </c>
      <c r="S517" s="324">
        <v>52</v>
      </c>
      <c r="T517" s="325">
        <v>112013671</v>
      </c>
      <c r="U517" s="799" t="str">
        <f t="shared" si="140"/>
        <v>AYALA RODOLFO DANIEL (RODAL)</v>
      </c>
      <c r="W517" s="325" t="s">
        <v>479</v>
      </c>
      <c r="X517" s="324"/>
      <c r="Y517" s="325">
        <v>112011943</v>
      </c>
      <c r="Z517" s="799" t="str">
        <f t="shared" si="141"/>
        <v>BARBIERI MAURICIO ANTONIO</v>
      </c>
      <c r="AB517" s="325" t="s">
        <v>894</v>
      </c>
      <c r="AC517" s="325">
        <v>71</v>
      </c>
      <c r="AD517" s="325">
        <v>112011642</v>
      </c>
      <c r="AE517" s="799" t="str">
        <f t="shared" si="142"/>
        <v>CARNEVALI MARIA EUGENIA</v>
      </c>
      <c r="AG517" s="325" t="s">
        <v>1289</v>
      </c>
      <c r="AH517" s="325">
        <v>63</v>
      </c>
      <c r="AI517" s="325">
        <v>112013740</v>
      </c>
      <c r="AJ517" s="325" t="str">
        <f t="shared" si="143"/>
        <v>BISCHOFF RUBEN ALEJANDRO</v>
      </c>
      <c r="AL517" s="325" t="s">
        <v>1152</v>
      </c>
      <c r="AM517" s="325">
        <v>70</v>
      </c>
      <c r="AN517" s="325">
        <v>112014757</v>
      </c>
      <c r="AO517" s="799" t="str">
        <f t="shared" si="144"/>
        <v>GUZMAN CARLOS ALBERTO</v>
      </c>
      <c r="AQ517" s="325" t="s">
        <v>994</v>
      </c>
      <c r="AR517" s="325">
        <v>54</v>
      </c>
      <c r="AS517" s="325">
        <v>112013493</v>
      </c>
      <c r="AT517" s="799" t="str">
        <f t="shared" si="145"/>
        <v>BOSCHETTI LEONARDO y LAZARTE RICARDO DANIEL</v>
      </c>
      <c r="AW517" s="325" t="s">
        <v>1464</v>
      </c>
      <c r="AX517" s="325">
        <v>63</v>
      </c>
      <c r="AY517" s="325">
        <v>112012873</v>
      </c>
      <c r="AZ517" s="799" t="str">
        <f t="shared" si="146"/>
        <v>BALANCEADOS DEL NORTE SRL</v>
      </c>
      <c r="BE517" s="618"/>
      <c r="BF517" s="618"/>
      <c r="BG517" s="1461" t="s">
        <v>978</v>
      </c>
      <c r="BH517" s="324">
        <v>71</v>
      </c>
      <c r="BI517" s="799">
        <v>112013890</v>
      </c>
      <c r="BJ517" s="799"/>
      <c r="BK517" s="618"/>
      <c r="BL517" s="1461" t="s">
        <v>986</v>
      </c>
      <c r="BM517" s="799"/>
      <c r="BN517" s="799">
        <v>112014114</v>
      </c>
      <c r="BO517" s="799"/>
    </row>
    <row r="518" spans="1:67" ht="13">
      <c r="A518" s="325" t="s">
        <v>699</v>
      </c>
      <c r="B518" s="325">
        <v>61</v>
      </c>
      <c r="C518" s="325">
        <v>112013321</v>
      </c>
      <c r="D518" s="799"/>
      <c r="G518" s="325" t="s">
        <v>172</v>
      </c>
      <c r="H518" s="325">
        <v>71</v>
      </c>
      <c r="I518" s="325">
        <v>112011745</v>
      </c>
      <c r="J518" s="1459" t="str">
        <f t="shared" si="138"/>
        <v>DUARTE IGNACIO/BRIZUELA BATISTA</v>
      </c>
      <c r="M518" s="325" t="s">
        <v>543</v>
      </c>
      <c r="N518" s="324">
        <v>63</v>
      </c>
      <c r="O518" s="325">
        <v>112010446</v>
      </c>
      <c r="P518" s="799" t="str">
        <f t="shared" si="139"/>
        <v>BASILE FEDERICO CARLOS</v>
      </c>
      <c r="R518" s="325" t="s">
        <v>293</v>
      </c>
      <c r="S518" s="324">
        <v>70</v>
      </c>
      <c r="T518" s="325">
        <v>112011814</v>
      </c>
      <c r="U518" s="799" t="str">
        <f t="shared" si="140"/>
        <v>BASSI JORGE MATIAS</v>
      </c>
      <c r="W518" s="325" t="s">
        <v>393</v>
      </c>
      <c r="X518" s="324">
        <v>61</v>
      </c>
      <c r="Y518" s="325">
        <v>112013849</v>
      </c>
      <c r="Z518" s="799" t="str">
        <f t="shared" si="141"/>
        <v>BARBOSA HUGO MIGUEL</v>
      </c>
      <c r="AB518" s="325" t="s">
        <v>852</v>
      </c>
      <c r="AC518" s="325">
        <v>62</v>
      </c>
      <c r="AD518" s="325">
        <v>112014048</v>
      </c>
      <c r="AE518" s="799" t="str">
        <f t="shared" si="142"/>
        <v>CHOCOBAR SANDRA EVANGELINA</v>
      </c>
      <c r="AG518" s="325" t="s">
        <v>1354</v>
      </c>
      <c r="AH518" s="325">
        <v>71</v>
      </c>
      <c r="AI518" s="325">
        <v>112011665</v>
      </c>
      <c r="AJ518" s="325" t="str">
        <f t="shared" si="143"/>
        <v>BOGADO CARMEN</v>
      </c>
      <c r="AL518" s="325" t="s">
        <v>1149</v>
      </c>
      <c r="AM518" s="325">
        <v>70</v>
      </c>
      <c r="AN518" s="325">
        <v>112014214</v>
      </c>
      <c r="AO518" s="799" t="str">
        <f t="shared" si="144"/>
        <v>IBAÑEZ GASTON LEONARDO</v>
      </c>
      <c r="AQ518" s="325" t="s">
        <v>1033</v>
      </c>
      <c r="AR518" s="325">
        <v>71</v>
      </c>
      <c r="AS518" s="325">
        <v>112014770</v>
      </c>
      <c r="AT518" s="799" t="str">
        <f t="shared" si="145"/>
        <v>BRU DIANA ROSA</v>
      </c>
      <c r="AW518" s="325" t="s">
        <v>1421</v>
      </c>
      <c r="AX518" s="325">
        <v>21</v>
      </c>
      <c r="AY518" s="325">
        <v>112014780</v>
      </c>
      <c r="AZ518" s="799" t="str">
        <f t="shared" si="146"/>
        <v>BARBONA GABRIELA ALEJANDRA</v>
      </c>
      <c r="BE518" s="618"/>
      <c r="BF518" s="618"/>
      <c r="BG518" s="1461" t="s">
        <v>1230</v>
      </c>
      <c r="BH518" s="324">
        <v>71</v>
      </c>
      <c r="BI518" s="799">
        <v>112012501</v>
      </c>
      <c r="BJ518" s="799"/>
      <c r="BK518" s="618"/>
      <c r="BL518" s="1461" t="s">
        <v>951</v>
      </c>
      <c r="BM518" s="799">
        <v>70</v>
      </c>
      <c r="BN518" s="799">
        <v>112014097</v>
      </c>
      <c r="BO518" s="799"/>
    </row>
    <row r="519" spans="1:67" ht="13">
      <c r="A519" s="325" t="s">
        <v>770</v>
      </c>
      <c r="B519" s="325">
        <v>71</v>
      </c>
      <c r="C519" s="325">
        <v>112014102</v>
      </c>
      <c r="D519" s="799"/>
      <c r="G519" s="325" t="s">
        <v>173</v>
      </c>
      <c r="H519" s="325">
        <v>71</v>
      </c>
      <c r="I519" s="325">
        <v>112012719</v>
      </c>
      <c r="J519" s="1459" t="str">
        <f t="shared" si="138"/>
        <v>EL GRAN CHEF/MAZZANTI/UNSWORTH/ LALOTTA</v>
      </c>
      <c r="M519" s="325" t="s">
        <v>556</v>
      </c>
      <c r="N519" s="324">
        <v>69</v>
      </c>
      <c r="O519" s="325">
        <v>112014732</v>
      </c>
      <c r="P519" s="799" t="str">
        <f t="shared" si="139"/>
        <v>BEORLEGUI GUILLERMO FABIAN</v>
      </c>
      <c r="R519" s="325" t="s">
        <v>311</v>
      </c>
      <c r="S519" s="324">
        <v>71</v>
      </c>
      <c r="T519" s="325">
        <v>112014391</v>
      </c>
      <c r="U519" s="799" t="str">
        <f t="shared" si="140"/>
        <v>BASUALDO TAMARA SOLEDAD</v>
      </c>
      <c r="W519" s="325" t="s">
        <v>421</v>
      </c>
      <c r="X519" s="324">
        <v>63</v>
      </c>
      <c r="Y519" s="325">
        <v>112010743</v>
      </c>
      <c r="Z519" s="799" t="str">
        <f t="shared" si="141"/>
        <v>BATISTA OSCAR HORACIO</v>
      </c>
      <c r="AB519" s="325" t="s">
        <v>875</v>
      </c>
      <c r="AC519" s="325">
        <v>69</v>
      </c>
      <c r="AD519" s="325">
        <v>112012617</v>
      </c>
      <c r="AE519" s="799" t="str">
        <f t="shared" si="142"/>
        <v>COELHO HEBER ALEXIS</v>
      </c>
      <c r="AG519" s="325" t="s">
        <v>1290</v>
      </c>
      <c r="AH519" s="325">
        <v>63</v>
      </c>
      <c r="AI519" s="325">
        <v>112014219</v>
      </c>
      <c r="AJ519" s="325" t="str">
        <f t="shared" si="143"/>
        <v>BOHNKE ARTICULOS/HALLIER EUGENIA</v>
      </c>
      <c r="AL519" s="325" t="s">
        <v>1153</v>
      </c>
      <c r="AM519" s="325">
        <v>70</v>
      </c>
      <c r="AN519" s="325">
        <v>112014769</v>
      </c>
      <c r="AO519" s="799" t="str">
        <f t="shared" si="144"/>
        <v>LIZARAZU TORRICO GERMAN ROGER</v>
      </c>
      <c r="AQ519" s="325" t="s">
        <v>1046</v>
      </c>
      <c r="AR519" s="325">
        <v>71</v>
      </c>
      <c r="AS519" s="325">
        <v>112014497</v>
      </c>
      <c r="AT519" s="799" t="str">
        <f t="shared" si="145"/>
        <v>BRUNO SERVAT BERNARDO ANGEL</v>
      </c>
      <c r="AW519" s="325" t="s">
        <v>1481</v>
      </c>
      <c r="AX519" s="325">
        <v>71</v>
      </c>
      <c r="AY519" s="325">
        <v>112010231</v>
      </c>
      <c r="AZ519" s="799" t="str">
        <f t="shared" si="146"/>
        <v>BASSI RICARD/SERRA ALEJANDRA</v>
      </c>
      <c r="BE519" s="618"/>
      <c r="BF519" s="618"/>
      <c r="BG519" s="1461" t="s">
        <v>944</v>
      </c>
      <c r="BH519" s="324">
        <v>70</v>
      </c>
      <c r="BI519" s="799">
        <v>112014671</v>
      </c>
      <c r="BJ519" s="799"/>
      <c r="BK519" s="618"/>
      <c r="BL519" s="1461" t="s">
        <v>1388</v>
      </c>
      <c r="BM519" s="799">
        <v>63</v>
      </c>
      <c r="BN519" s="799">
        <v>112013570</v>
      </c>
      <c r="BO519" s="799"/>
    </row>
    <row r="520" spans="1:67" ht="13">
      <c r="A520" s="325" t="s">
        <v>744</v>
      </c>
      <c r="B520" s="325">
        <v>70</v>
      </c>
      <c r="C520" s="325">
        <v>112013296</v>
      </c>
      <c r="D520" s="799"/>
      <c r="G520" s="325" t="s">
        <v>174</v>
      </c>
      <c r="H520" s="325">
        <v>71</v>
      </c>
      <c r="I520" s="325">
        <v>112013458</v>
      </c>
      <c r="J520" s="1459" t="str">
        <f t="shared" si="138"/>
        <v>FELIS CONCOLOR / GOMEZ SILVANA</v>
      </c>
      <c r="M520" s="325" t="s">
        <v>571</v>
      </c>
      <c r="N520" s="324">
        <v>70</v>
      </c>
      <c r="O520" s="325">
        <v>112014588</v>
      </c>
      <c r="P520" s="799" t="str">
        <f t="shared" si="139"/>
        <v>BERTUZZI FEDERICO JAVIER</v>
      </c>
      <c r="R520" s="325" t="s">
        <v>312</v>
      </c>
      <c r="S520" s="324">
        <v>71</v>
      </c>
      <c r="T520" s="325">
        <v>112012159</v>
      </c>
      <c r="U520" s="799" t="str">
        <f t="shared" si="140"/>
        <v>BECHELLI ALEJANDRO GUSTAVO</v>
      </c>
      <c r="W520" s="325" t="s">
        <v>472</v>
      </c>
      <c r="X520" s="324">
        <v>71</v>
      </c>
      <c r="Y520" s="325">
        <v>112013052</v>
      </c>
      <c r="Z520" s="799" t="str">
        <f t="shared" si="141"/>
        <v>BELOQUI JOSE ANTONIO</v>
      </c>
      <c r="AB520" s="325" t="s">
        <v>860</v>
      </c>
      <c r="AC520" s="325">
        <v>63</v>
      </c>
      <c r="AD520" s="325">
        <v>112012374</v>
      </c>
      <c r="AE520" s="799" t="str">
        <f t="shared" si="142"/>
        <v>COPELLO JULIO BERNARDO</v>
      </c>
      <c r="AG520" s="325" t="s">
        <v>1310</v>
      </c>
      <c r="AH520" s="325">
        <v>63</v>
      </c>
      <c r="AI520" s="325">
        <v>112014647</v>
      </c>
      <c r="AJ520" s="325" t="str">
        <f t="shared" si="143"/>
        <v>BRACCO VIVIANA BEATRIZ</v>
      </c>
      <c r="AL520" s="325" t="s">
        <v>1143</v>
      </c>
      <c r="AM520" s="325">
        <v>66</v>
      </c>
      <c r="AN520" s="325">
        <v>112014017</v>
      </c>
      <c r="AO520" s="799" t="str">
        <f t="shared" si="144"/>
        <v>MANDOZI CRISTIAN FABIAN</v>
      </c>
      <c r="AQ520" s="325" t="s">
        <v>1081</v>
      </c>
      <c r="AR520" s="325">
        <v>71</v>
      </c>
      <c r="AS520" s="325">
        <v>112013162</v>
      </c>
      <c r="AT520" s="799" t="str">
        <f t="shared" si="145"/>
        <v>CAEIRO ESTEBAN MIGUEL</v>
      </c>
      <c r="AW520" s="325" t="s">
        <v>1432</v>
      </c>
      <c r="AX520" s="325">
        <v>63</v>
      </c>
      <c r="AY520" s="325">
        <v>112013773</v>
      </c>
      <c r="AZ520" s="799" t="str">
        <f t="shared" si="146"/>
        <v>BEDOYA ALEJANDRO LUCIANO</v>
      </c>
      <c r="BE520" s="618"/>
      <c r="BF520" s="618"/>
      <c r="BG520" s="1461" t="s">
        <v>1177</v>
      </c>
      <c r="BH520" s="324">
        <v>71</v>
      </c>
      <c r="BI520" s="799">
        <v>112013390</v>
      </c>
      <c r="BJ520" s="799"/>
      <c r="BK520" s="618"/>
      <c r="BL520" s="1461" t="s">
        <v>923</v>
      </c>
      <c r="BM520" s="799">
        <v>71</v>
      </c>
      <c r="BN520" s="799">
        <v>112012310</v>
      </c>
      <c r="BO520" s="799"/>
    </row>
    <row r="521" spans="1:67" ht="13">
      <c r="A521" s="325" t="s">
        <v>745</v>
      </c>
      <c r="B521" s="325">
        <v>70</v>
      </c>
      <c r="C521" s="325">
        <v>112013825</v>
      </c>
      <c r="D521" s="799"/>
      <c r="G521" s="325" t="s">
        <v>81</v>
      </c>
      <c r="H521" s="325">
        <v>62</v>
      </c>
      <c r="I521" s="325">
        <v>112014704</v>
      </c>
      <c r="J521" s="1459" t="str">
        <f t="shared" si="138"/>
        <v>FLORENCIA BEHRENS/EMILIANO QUINTEROS</v>
      </c>
      <c r="M521" s="325" t="s">
        <v>572</v>
      </c>
      <c r="N521" s="324">
        <v>70</v>
      </c>
      <c r="O521" s="325">
        <v>112014397</v>
      </c>
      <c r="P521" s="799" t="str">
        <f t="shared" si="139"/>
        <v>BESASSO MAURO PEDRO</v>
      </c>
      <c r="R521" s="325" t="s">
        <v>313</v>
      </c>
      <c r="S521" s="324">
        <v>71</v>
      </c>
      <c r="T521" s="325">
        <v>112012865</v>
      </c>
      <c r="U521" s="799" t="str">
        <f t="shared" si="140"/>
        <v>BEL MARIA TERESA</v>
      </c>
      <c r="W521" s="325" t="s">
        <v>456</v>
      </c>
      <c r="X521" s="324">
        <v>71</v>
      </c>
      <c r="Y521" s="325">
        <v>112014768</v>
      </c>
      <c r="Z521" s="799" t="str">
        <f t="shared" si="141"/>
        <v>BENITEZ ROCIO TAMARA</v>
      </c>
      <c r="AB521" s="325" t="s">
        <v>886</v>
      </c>
      <c r="AC521" s="325">
        <v>71</v>
      </c>
      <c r="AD521" s="325">
        <v>112012803</v>
      </c>
      <c r="AE521" s="799" t="str">
        <f t="shared" si="142"/>
        <v>CORVALAN ARIEL PEDRO</v>
      </c>
      <c r="AG521" s="325" t="s">
        <v>1355</v>
      </c>
      <c r="AH521" s="325">
        <v>71</v>
      </c>
      <c r="AI521" s="325">
        <v>112012415</v>
      </c>
      <c r="AJ521" s="325" t="str">
        <f t="shared" si="143"/>
        <v>BUJNIEWICZ SABRINA CARLA</v>
      </c>
      <c r="AL521" s="325" t="s">
        <v>1138</v>
      </c>
      <c r="AM521" s="325">
        <v>63</v>
      </c>
      <c r="AN521" s="325">
        <v>112014564</v>
      </c>
      <c r="AO521" s="799" t="str">
        <f t="shared" si="144"/>
        <v>MARTIN FARABELLO</v>
      </c>
      <c r="AQ521" s="325" t="s">
        <v>1020</v>
      </c>
      <c r="AR521" s="325">
        <v>62</v>
      </c>
      <c r="AS521" s="325">
        <v>112014709</v>
      </c>
      <c r="AT521" s="799" t="str">
        <f t="shared" si="145"/>
        <v>CARLOS PEDRO CEFERINO MORA</v>
      </c>
      <c r="AW521" s="325" t="s">
        <v>362</v>
      </c>
      <c r="AX521" s="325"/>
      <c r="AY521" s="325">
        <v>112014560</v>
      </c>
      <c r="AZ521" s="799" t="str">
        <f t="shared" si="146"/>
        <v>BERTOLAZZI VIVIANA NOEMI</v>
      </c>
      <c r="BE521" s="618"/>
      <c r="BF521" s="618"/>
      <c r="BG521" s="1461" t="s">
        <v>1204</v>
      </c>
      <c r="BH521" s="324">
        <v>70</v>
      </c>
      <c r="BI521" s="799">
        <v>112012446</v>
      </c>
      <c r="BJ521" s="799"/>
      <c r="BK521" s="618"/>
      <c r="BL521" s="1461" t="s">
        <v>973</v>
      </c>
      <c r="BM521" s="799">
        <v>71</v>
      </c>
      <c r="BN521" s="799">
        <v>112014098</v>
      </c>
      <c r="BO521" s="799"/>
    </row>
    <row r="522" spans="1:67" ht="13">
      <c r="A522" s="325" t="s">
        <v>771</v>
      </c>
      <c r="B522" s="325">
        <v>71</v>
      </c>
      <c r="C522" s="325">
        <v>112014590</v>
      </c>
      <c r="D522" s="799"/>
      <c r="G522" s="325" t="s">
        <v>175</v>
      </c>
      <c r="H522" s="325">
        <v>71</v>
      </c>
      <c r="I522" s="325">
        <v>112014642</v>
      </c>
      <c r="J522" s="1459" t="str">
        <f t="shared" si="138"/>
        <v>GARCIA MARCELO/MONTERO GRACI</v>
      </c>
      <c r="M522" s="325" t="s">
        <v>644</v>
      </c>
      <c r="N522" s="324">
        <v>69</v>
      </c>
      <c r="O522" s="325">
        <v>112014748</v>
      </c>
      <c r="P522" s="799" t="str">
        <f t="shared" si="139"/>
        <v>BIAFORE CARLOS ALBERTO</v>
      </c>
      <c r="R522" s="325" t="s">
        <v>346</v>
      </c>
      <c r="S522" s="324"/>
      <c r="T522" s="325">
        <v>112013893</v>
      </c>
      <c r="U522" s="799" t="str">
        <f t="shared" si="140"/>
        <v>BIANCHI SAMANTA PAULA</v>
      </c>
      <c r="W522" s="325" t="s">
        <v>405</v>
      </c>
      <c r="X522" s="324">
        <v>62</v>
      </c>
      <c r="Y522" s="325">
        <v>112010701</v>
      </c>
      <c r="Z522" s="799" t="str">
        <f t="shared" si="141"/>
        <v>BOUZOUT ALEJANDRO HORACIO</v>
      </c>
      <c r="AB522" s="325" t="s">
        <v>890</v>
      </c>
      <c r="AC522" s="325">
        <v>71</v>
      </c>
      <c r="AD522" s="325">
        <v>112013646</v>
      </c>
      <c r="AE522" s="799" t="str">
        <f t="shared" si="142"/>
        <v>DIMENNA SANTIAGO DOMINGO JOSE</v>
      </c>
      <c r="AG522" s="325" t="s">
        <v>1341</v>
      </c>
      <c r="AH522" s="325">
        <v>71</v>
      </c>
      <c r="AI522" s="325">
        <v>112013975</v>
      </c>
      <c r="AJ522" s="325" t="str">
        <f t="shared" si="143"/>
        <v>BURON RICARDO/ ALFANO MARIA</v>
      </c>
      <c r="AL522" s="325" t="s">
        <v>1133</v>
      </c>
      <c r="AM522" s="325">
        <v>63</v>
      </c>
      <c r="AN522" s="325">
        <v>112014268</v>
      </c>
      <c r="AO522" s="799" t="str">
        <f t="shared" si="144"/>
        <v>MENDEZ AGUSTINA</v>
      </c>
      <c r="AQ522" s="325" t="s">
        <v>1055</v>
      </c>
      <c r="AR522" s="325">
        <v>71</v>
      </c>
      <c r="AS522" s="325">
        <v>112013706</v>
      </c>
      <c r="AT522" s="799" t="str">
        <f t="shared" si="145"/>
        <v>CARRERA MARIA FLORENCIA</v>
      </c>
      <c r="AW522" s="325" t="s">
        <v>1488</v>
      </c>
      <c r="AX522" s="325"/>
      <c r="AY522" s="325">
        <v>112014444</v>
      </c>
      <c r="AZ522" s="799" t="str">
        <f t="shared" si="146"/>
        <v>BLESA MARTINELLI LEANDRO FRANCISCO FEDERICO</v>
      </c>
      <c r="BE522" s="618"/>
      <c r="BF522" s="618"/>
      <c r="BG522" s="1461" t="s">
        <v>1178</v>
      </c>
      <c r="BH522" s="324">
        <v>70</v>
      </c>
      <c r="BI522" s="799">
        <v>112013558</v>
      </c>
      <c r="BJ522" s="799"/>
      <c r="BK522" s="618"/>
      <c r="BL522" s="1461" t="s">
        <v>931</v>
      </c>
      <c r="BM522" s="799">
        <v>63</v>
      </c>
      <c r="BN522" s="799">
        <v>112014746</v>
      </c>
      <c r="BO522" s="799"/>
    </row>
    <row r="523" spans="1:67" ht="13">
      <c r="A523" s="325" t="s">
        <v>746</v>
      </c>
      <c r="B523" s="325">
        <v>69</v>
      </c>
      <c r="C523" s="325">
        <v>112014510</v>
      </c>
      <c r="D523" s="799"/>
      <c r="G523" s="325" t="s">
        <v>176</v>
      </c>
      <c r="H523" s="325">
        <v>71</v>
      </c>
      <c r="I523" s="325">
        <v>112011726</v>
      </c>
      <c r="J523" s="1459" t="str">
        <f t="shared" si="138"/>
        <v>GODOY GUSTAVO/ELIANA/JIMENEZ</v>
      </c>
      <c r="M523" s="325" t="s">
        <v>635</v>
      </c>
      <c r="N523" s="324">
        <v>70</v>
      </c>
      <c r="O523" s="325">
        <v>112014064</v>
      </c>
      <c r="P523" s="799" t="str">
        <f t="shared" si="139"/>
        <v>BIAFORE RICARDO DANIEL</v>
      </c>
      <c r="R523" s="325" t="s">
        <v>314</v>
      </c>
      <c r="S523" s="324">
        <v>71</v>
      </c>
      <c r="T523" s="325">
        <v>112012285</v>
      </c>
      <c r="U523" s="799" t="str">
        <f t="shared" si="140"/>
        <v>BIANCHI TARQUINO JESUS FEDERICO</v>
      </c>
      <c r="W523" s="325" t="s">
        <v>423</v>
      </c>
      <c r="X523" s="324">
        <v>63</v>
      </c>
      <c r="Y523" s="325">
        <v>112013684</v>
      </c>
      <c r="Z523" s="799" t="str">
        <f t="shared" si="141"/>
        <v>BROWN / PIÑEYRO</v>
      </c>
      <c r="AB523" s="325" t="s">
        <v>882</v>
      </c>
      <c r="AC523" s="325">
        <v>70</v>
      </c>
      <c r="AD523" s="325">
        <v>112013064</v>
      </c>
      <c r="AE523" s="799" t="str">
        <f t="shared" si="142"/>
        <v>DURAN RODRIGO RICARDO</v>
      </c>
      <c r="AG523" s="325" t="s">
        <v>1356</v>
      </c>
      <c r="AH523" s="325">
        <v>71</v>
      </c>
      <c r="AI523" s="325">
        <v>112013098</v>
      </c>
      <c r="AJ523" s="325" t="str">
        <f t="shared" si="143"/>
        <v>BUSS BRAUN PAMELA DAIANA</v>
      </c>
      <c r="AL523" s="325" t="s">
        <v>1150</v>
      </c>
      <c r="AM523" s="325">
        <v>70</v>
      </c>
      <c r="AN523" s="325">
        <v>112014243</v>
      </c>
      <c r="AO523" s="799" t="str">
        <f t="shared" si="144"/>
        <v>NAINSZTEIN VANINA</v>
      </c>
      <c r="AQ523" s="325" t="s">
        <v>1056</v>
      </c>
      <c r="AR523" s="325">
        <v>71</v>
      </c>
      <c r="AS523" s="325">
        <v>112013450</v>
      </c>
      <c r="AT523" s="799" t="str">
        <f t="shared" si="145"/>
        <v>CARRICA MARIANO/LA REYERTA</v>
      </c>
      <c r="AW523" s="325" t="s">
        <v>1473</v>
      </c>
      <c r="AX523" s="325">
        <v>71</v>
      </c>
      <c r="AY523" s="325">
        <v>112013891</v>
      </c>
      <c r="AZ523" s="799" t="str">
        <f t="shared" si="146"/>
        <v>BORDON AUGUSTO IMANOL</v>
      </c>
      <c r="BE523" s="618"/>
      <c r="BF523" s="618"/>
      <c r="BG523" s="1461" t="s">
        <v>953</v>
      </c>
      <c r="BH523" s="324">
        <v>71</v>
      </c>
      <c r="BI523" s="799">
        <v>112014052</v>
      </c>
      <c r="BJ523" s="799"/>
      <c r="BK523" s="618"/>
      <c r="BL523" s="1461" t="s">
        <v>1192</v>
      </c>
      <c r="BM523" s="799">
        <v>71</v>
      </c>
      <c r="BN523" s="799">
        <v>112014696</v>
      </c>
      <c r="BO523" s="799"/>
    </row>
    <row r="524" spans="1:67" ht="13">
      <c r="A524" s="325" t="s">
        <v>747</v>
      </c>
      <c r="B524" s="325">
        <v>70</v>
      </c>
      <c r="C524" s="325">
        <v>112014375</v>
      </c>
      <c r="D524" s="799"/>
      <c r="G524" s="325" t="s">
        <v>140</v>
      </c>
      <c r="H524" s="325">
        <v>70</v>
      </c>
      <c r="I524" s="325">
        <v>112014155</v>
      </c>
      <c r="J524" s="1459" t="str">
        <f t="shared" si="138"/>
        <v>HAKUNA MATATA/SUC 2</v>
      </c>
      <c r="M524" s="325" t="s">
        <v>658</v>
      </c>
      <c r="N524" s="324"/>
      <c r="O524" s="325">
        <v>112013822</v>
      </c>
      <c r="P524" s="799" t="str">
        <f t="shared" si="139"/>
        <v>BIOGÉNESIS BAGÓ S.A.</v>
      </c>
      <c r="R524" s="325" t="s">
        <v>259</v>
      </c>
      <c r="S524" s="324">
        <v>52</v>
      </c>
      <c r="T524" s="325">
        <v>11201268801</v>
      </c>
      <c r="U524" s="799" t="str">
        <f t="shared" si="140"/>
        <v>BRACUTO PABLO/PEREZ MARIANA 2</v>
      </c>
      <c r="W524" s="325" t="s">
        <v>471</v>
      </c>
      <c r="X524" s="324">
        <v>71</v>
      </c>
      <c r="Y524" s="325">
        <v>112012968</v>
      </c>
      <c r="Z524" s="799" t="str">
        <f t="shared" si="141"/>
        <v>BUET CARLA ESTEFANIA</v>
      </c>
      <c r="AB524" s="325" t="s">
        <v>898</v>
      </c>
      <c r="AC524" s="325"/>
      <c r="AD524" s="325">
        <v>112014059</v>
      </c>
      <c r="AE524" s="799" t="str">
        <f t="shared" si="142"/>
        <v>ERIKA CALVI</v>
      </c>
      <c r="AG524" s="325" t="s">
        <v>1291</v>
      </c>
      <c r="AH524" s="325">
        <v>63</v>
      </c>
      <c r="AI524" s="325">
        <v>112013986</v>
      </c>
      <c r="AJ524" s="325" t="str">
        <f t="shared" si="143"/>
        <v>CABALLERO COMERCIAL Y AGROPECUARIA SA</v>
      </c>
      <c r="AL524" s="325" t="s">
        <v>1151</v>
      </c>
      <c r="AM524" s="325">
        <v>70</v>
      </c>
      <c r="AN524" s="325">
        <v>112012629</v>
      </c>
      <c r="AO524" s="799" t="str">
        <f t="shared" si="144"/>
        <v>ONDICOL JUAN MANUEL</v>
      </c>
      <c r="AQ524" s="325" t="s">
        <v>1049</v>
      </c>
      <c r="AR524" s="325">
        <v>71</v>
      </c>
      <c r="AS524" s="325">
        <v>112013829</v>
      </c>
      <c r="AT524" s="799" t="str">
        <f t="shared" si="145"/>
        <v>CARUSO ANTONELA</v>
      </c>
      <c r="AW524" s="325" t="s">
        <v>1470</v>
      </c>
      <c r="AX524" s="325">
        <v>21</v>
      </c>
      <c r="AY524" s="325">
        <v>112014779</v>
      </c>
      <c r="AZ524" s="799" t="str">
        <f t="shared" si="146"/>
        <v>CAMINO BELEN</v>
      </c>
      <c r="BE524" s="618"/>
      <c r="BF524" s="618"/>
      <c r="BG524" s="1461" t="s">
        <v>1205</v>
      </c>
      <c r="BH524" s="324">
        <v>70</v>
      </c>
      <c r="BI524" s="799">
        <v>112012473</v>
      </c>
      <c r="BJ524" s="799"/>
      <c r="BK524" s="618"/>
      <c r="BL524" s="1461" t="s">
        <v>1386</v>
      </c>
      <c r="BM524" s="799"/>
      <c r="BN524" s="799">
        <v>112013667</v>
      </c>
      <c r="BO524" s="799"/>
    </row>
    <row r="525" spans="1:67" ht="13">
      <c r="A525" s="325" t="s">
        <v>772</v>
      </c>
      <c r="B525" s="325">
        <v>71</v>
      </c>
      <c r="C525" s="325">
        <v>112012921</v>
      </c>
      <c r="D525" s="799"/>
      <c r="G525" s="325" t="s">
        <v>116</v>
      </c>
      <c r="H525" s="325">
        <v>70</v>
      </c>
      <c r="I525" s="325">
        <v>112014269</v>
      </c>
      <c r="J525" s="1459" t="str">
        <f t="shared" si="138"/>
        <v>JUAN TEYSSEIRE/ ALVAREZ MANUEL/ LA COLORADA</v>
      </c>
      <c r="M525" s="325" t="s">
        <v>557</v>
      </c>
      <c r="N525" s="324">
        <v>69</v>
      </c>
      <c r="O525" s="325">
        <v>112014506</v>
      </c>
      <c r="P525" s="799" t="str">
        <f t="shared" si="139"/>
        <v>BOHDAN MYASNIKOV</v>
      </c>
      <c r="R525" s="325" t="s">
        <v>315</v>
      </c>
      <c r="S525" s="324">
        <v>71</v>
      </c>
      <c r="T525" s="325">
        <v>112011737</v>
      </c>
      <c r="U525" s="799" t="str">
        <f t="shared" si="140"/>
        <v>BUET LAURA PAOLA</v>
      </c>
      <c r="W525" s="325" t="s">
        <v>448</v>
      </c>
      <c r="X525" s="324">
        <v>67</v>
      </c>
      <c r="Y525" s="325">
        <v>112013030</v>
      </c>
      <c r="Z525" s="799" t="str">
        <f t="shared" si="141"/>
        <v>CALVO CARLOS JOSE</v>
      </c>
      <c r="AB525" s="325" t="s">
        <v>859</v>
      </c>
      <c r="AC525" s="325">
        <v>63</v>
      </c>
      <c r="AD525" s="325">
        <v>112010020</v>
      </c>
      <c r="AE525" s="799" t="str">
        <f t="shared" si="142"/>
        <v>ESCAPIL JUAN RICARDO</v>
      </c>
      <c r="AG525" s="325" t="s">
        <v>1266</v>
      </c>
      <c r="AH525" s="325">
        <v>55</v>
      </c>
      <c r="AI525" s="325">
        <v>112013711</v>
      </c>
      <c r="AJ525" s="325" t="str">
        <f t="shared" si="143"/>
        <v>CALDENTEY TOMAS/CALDENTEY Y CAPOZUCCA/CAPOZUCCA FRANCO</v>
      </c>
      <c r="AL525" s="325" t="s">
        <v>1135</v>
      </c>
      <c r="AM525" s="325">
        <v>62</v>
      </c>
      <c r="AN525" s="325">
        <v>112013293</v>
      </c>
      <c r="AO525" s="799" t="str">
        <f t="shared" si="144"/>
        <v>QUINTEROS NOELIA/KLIMA LILIANA</v>
      </c>
      <c r="AQ525" s="325" t="s">
        <v>1069</v>
      </c>
      <c r="AR525" s="325">
        <v>71</v>
      </c>
      <c r="AS525" s="325">
        <v>112010811</v>
      </c>
      <c r="AT525" s="799" t="str">
        <f t="shared" si="145"/>
        <v>CASTEX GERVASIO LUIS</v>
      </c>
      <c r="AW525" s="325" t="s">
        <v>1490</v>
      </c>
      <c r="AX525" s="325"/>
      <c r="AY525" s="325">
        <v>112014736</v>
      </c>
      <c r="AZ525" s="799" t="str">
        <f t="shared" si="146"/>
        <v>CARDOZO LIDIA ESTHER</v>
      </c>
      <c r="BE525" s="618"/>
      <c r="BF525" s="618"/>
      <c r="BG525" s="1461" t="s">
        <v>974</v>
      </c>
      <c r="BH525" s="324">
        <v>71</v>
      </c>
      <c r="BI525" s="799">
        <v>112014099</v>
      </c>
      <c r="BJ525" s="799"/>
      <c r="BK525" s="618"/>
      <c r="BL525" s="1461" t="s">
        <v>1222</v>
      </c>
      <c r="BM525" s="799">
        <v>71</v>
      </c>
      <c r="BN525" s="799">
        <v>112013151</v>
      </c>
      <c r="BO525" s="799"/>
    </row>
    <row r="526" spans="1:67" ht="13">
      <c r="A526" s="325" t="s">
        <v>725</v>
      </c>
      <c r="B526" s="325">
        <v>70</v>
      </c>
      <c r="C526" s="325">
        <v>112013294</v>
      </c>
      <c r="D526" s="799"/>
      <c r="G526" s="325" t="s">
        <v>142</v>
      </c>
      <c r="H526" s="325">
        <v>70</v>
      </c>
      <c r="I526" s="325">
        <v>112014735</v>
      </c>
      <c r="J526" s="1459" t="str">
        <f t="shared" si="138"/>
        <v>LIER AMELIA/ROMUALDO CESAR</v>
      </c>
      <c r="M526" s="325" t="s">
        <v>573</v>
      </c>
      <c r="N526" s="324">
        <v>70</v>
      </c>
      <c r="O526" s="325">
        <v>112014398</v>
      </c>
      <c r="P526" s="799" t="str">
        <f t="shared" si="139"/>
        <v>BOYER DIEGO DANIEL</v>
      </c>
      <c r="R526" s="325" t="s">
        <v>270</v>
      </c>
      <c r="S526" s="324">
        <v>63</v>
      </c>
      <c r="T526" s="325">
        <v>112014184</v>
      </c>
      <c r="U526" s="799" t="str">
        <f t="shared" si="140"/>
        <v>CABRIL YANINA SOLEDAD</v>
      </c>
      <c r="W526" s="325" t="s">
        <v>424</v>
      </c>
      <c r="X526" s="324">
        <v>63</v>
      </c>
      <c r="Y526" s="325">
        <v>112010796</v>
      </c>
      <c r="Z526" s="799" t="str">
        <f t="shared" si="141"/>
        <v>CARINO CLAUDIO ANGEL</v>
      </c>
      <c r="AB526" s="325" t="s">
        <v>888</v>
      </c>
      <c r="AC526" s="325">
        <v>70</v>
      </c>
      <c r="AD526" s="325">
        <v>112013415</v>
      </c>
      <c r="AE526" s="799" t="str">
        <f t="shared" si="142"/>
        <v>FRAMARINI MARTIN AGUSTIN</v>
      </c>
      <c r="AG526" s="325" t="s">
        <v>1311</v>
      </c>
      <c r="AH526" s="325">
        <v>63</v>
      </c>
      <c r="AI526" s="325">
        <v>112013525</v>
      </c>
      <c r="AJ526" s="325" t="str">
        <f t="shared" si="143"/>
        <v>CAMACHO MARIA CANDELA</v>
      </c>
      <c r="AL526" s="325" t="s">
        <v>1136</v>
      </c>
      <c r="AM526" s="325">
        <v>62</v>
      </c>
      <c r="AN526" s="325">
        <v>112012477</v>
      </c>
      <c r="AO526" s="799" t="str">
        <f t="shared" si="144"/>
        <v>RICCI ROSANA MARIEL</v>
      </c>
      <c r="AQ526" s="325" t="s">
        <v>1050</v>
      </c>
      <c r="AR526" s="325">
        <v>71</v>
      </c>
      <c r="AS526" s="325">
        <v>112013842</v>
      </c>
      <c r="AT526" s="799" t="str">
        <f t="shared" si="145"/>
        <v>CASTRO NESTOR ANDRES</v>
      </c>
      <c r="AW526" s="325" t="s">
        <v>1426</v>
      </c>
      <c r="AX526" s="325">
        <v>63</v>
      </c>
      <c r="AY526" s="325">
        <v>112013392</v>
      </c>
      <c r="AZ526" s="799" t="str">
        <f t="shared" si="146"/>
        <v>CARLI VICTOR CAMILO</v>
      </c>
      <c r="BE526" s="618"/>
      <c r="BF526" s="618"/>
      <c r="BG526" s="1461" t="s">
        <v>1234</v>
      </c>
      <c r="BH526" s="324">
        <v>70</v>
      </c>
      <c r="BI526" s="799">
        <v>112013070</v>
      </c>
      <c r="BJ526" s="799"/>
      <c r="BK526" s="618"/>
      <c r="BL526" s="1461" t="s">
        <v>1218</v>
      </c>
      <c r="BM526" s="799">
        <v>70</v>
      </c>
      <c r="BN526" s="799">
        <v>112012435</v>
      </c>
      <c r="BO526" s="799"/>
    </row>
    <row r="527" spans="1:67" ht="13">
      <c r="A527" s="325" t="s">
        <v>735</v>
      </c>
      <c r="B527" s="325">
        <v>71</v>
      </c>
      <c r="C527" s="325">
        <v>112011891</v>
      </c>
      <c r="D527" s="799"/>
      <c r="G527" s="325" t="s">
        <v>141</v>
      </c>
      <c r="H527" s="325">
        <v>70</v>
      </c>
      <c r="I527" s="325">
        <v>112012636</v>
      </c>
      <c r="J527" s="1459" t="str">
        <f t="shared" si="138"/>
        <v>MARISOL GUADALUPE RUIZ/CTA2</v>
      </c>
      <c r="M527" s="325" t="s">
        <v>524</v>
      </c>
      <c r="N527" s="324">
        <v>62</v>
      </c>
      <c r="O527" s="325">
        <v>112014223</v>
      </c>
      <c r="P527" s="799" t="str">
        <f t="shared" si="139"/>
        <v>BRUNACCI PABLO ALEJANDRO</v>
      </c>
      <c r="R527" s="325" t="s">
        <v>348</v>
      </c>
      <c r="S527" s="324"/>
      <c r="T527" s="325">
        <v>112014294</v>
      </c>
      <c r="U527" s="799" t="str">
        <f t="shared" si="140"/>
        <v>CARO EMILIANO</v>
      </c>
      <c r="W527" s="325" t="s">
        <v>406</v>
      </c>
      <c r="X527" s="324">
        <v>62</v>
      </c>
      <c r="Y527" s="325">
        <v>112013002</v>
      </c>
      <c r="Z527" s="799" t="str">
        <f t="shared" si="141"/>
        <v>CARUSO FABIAN CARLOS</v>
      </c>
      <c r="AB527" s="325" t="s">
        <v>840</v>
      </c>
      <c r="AC527" s="325">
        <v>55</v>
      </c>
      <c r="AD527" s="325">
        <v>112013480</v>
      </c>
      <c r="AE527" s="799" t="str">
        <f t="shared" si="142"/>
        <v>G E N GANADERA</v>
      </c>
      <c r="AG527" s="325" t="s">
        <v>1346</v>
      </c>
      <c r="AH527" s="325">
        <v>71</v>
      </c>
      <c r="AI527" s="325">
        <v>112012918</v>
      </c>
      <c r="AJ527" s="325" t="str">
        <f t="shared" si="143"/>
        <v>CAMPOSTRINI JAVIER ALEJANDRO</v>
      </c>
      <c r="AL527" s="325" t="s">
        <v>1154</v>
      </c>
      <c r="AM527" s="325">
        <v>70</v>
      </c>
      <c r="AN527" s="325">
        <v>112012217</v>
      </c>
      <c r="AO527" s="799" t="str">
        <f t="shared" si="144"/>
        <v>ROSAS FACUNDO MATIAS</v>
      </c>
      <c r="AQ527" s="325" t="s">
        <v>1029</v>
      </c>
      <c r="AR527" s="325">
        <v>63</v>
      </c>
      <c r="AS527" s="325">
        <v>112013460</v>
      </c>
      <c r="AT527" s="799" t="str">
        <f t="shared" si="145"/>
        <v>CENTRO MEDICO VETERINARIO</v>
      </c>
      <c r="AW527" s="325" t="s">
        <v>1433</v>
      </c>
      <c r="AX527" s="325">
        <v>63</v>
      </c>
      <c r="AY527" s="325">
        <v>112014189</v>
      </c>
      <c r="AZ527" s="799" t="str">
        <f t="shared" si="146"/>
        <v>CHAVES JUAN PABLO</v>
      </c>
      <c r="BE527" s="618"/>
      <c r="BF527" s="618"/>
      <c r="BG527" s="1461" t="s">
        <v>1239</v>
      </c>
      <c r="BH527" s="324">
        <v>70</v>
      </c>
      <c r="BI527" s="799">
        <v>112014266</v>
      </c>
      <c r="BJ527" s="799"/>
      <c r="BK527" s="618"/>
      <c r="BL527" s="1461" t="s">
        <v>1229</v>
      </c>
      <c r="BM527" s="799">
        <v>71</v>
      </c>
      <c r="BN527" s="799">
        <v>112014463</v>
      </c>
      <c r="BO527" s="799"/>
    </row>
    <row r="528" spans="1:67" ht="13">
      <c r="A528" s="325" t="s">
        <v>685</v>
      </c>
      <c r="B528" s="325">
        <v>54</v>
      </c>
      <c r="C528" s="325">
        <v>112013276</v>
      </c>
      <c r="D528" s="799"/>
      <c r="G528" s="325" t="s">
        <v>218</v>
      </c>
      <c r="H528" s="325"/>
      <c r="I528" s="325">
        <v>112013085</v>
      </c>
      <c r="J528" s="1459" t="str">
        <f t="shared" si="138"/>
        <v>MILEO LEONARDO/PIÑEIRO DANIEL</v>
      </c>
      <c r="M528" s="325" t="s">
        <v>651</v>
      </c>
      <c r="N528" s="324">
        <v>71</v>
      </c>
      <c r="O528" s="325">
        <v>112014255</v>
      </c>
      <c r="P528" s="799" t="str">
        <f t="shared" si="139"/>
        <v>BRUUN ERIKA VALERIA</v>
      </c>
      <c r="R528" s="325" t="s">
        <v>297</v>
      </c>
      <c r="S528" s="324">
        <v>70</v>
      </c>
      <c r="T528" s="325">
        <v>112014262</v>
      </c>
      <c r="U528" s="799" t="str">
        <f t="shared" si="140"/>
        <v>CASTRO J MANUEL C</v>
      </c>
      <c r="W528" s="325" t="s">
        <v>407</v>
      </c>
      <c r="X528" s="324">
        <v>62</v>
      </c>
      <c r="Y528" s="325">
        <v>112014473</v>
      </c>
      <c r="Z528" s="799" t="str">
        <f t="shared" si="141"/>
        <v>CESAR LEANDRO DOMINGUEZ</v>
      </c>
      <c r="AB528" s="325" t="s">
        <v>866</v>
      </c>
      <c r="AC528" s="325">
        <v>63</v>
      </c>
      <c r="AD528" s="325">
        <v>112012301</v>
      </c>
      <c r="AE528" s="799" t="str">
        <f t="shared" si="142"/>
        <v>GARDINETTI AGUSTIN LISANDRO Y GALLO EZEQUIEL MARTIN S.H</v>
      </c>
      <c r="AG528" s="325" t="s">
        <v>1329</v>
      </c>
      <c r="AH528" s="325">
        <v>69</v>
      </c>
      <c r="AI528" s="325">
        <v>112013754</v>
      </c>
      <c r="AJ528" s="325" t="str">
        <f t="shared" si="143"/>
        <v>CARDOZO CARLOS MARIA</v>
      </c>
      <c r="AL528" s="325" t="s">
        <v>1156</v>
      </c>
      <c r="AM528" s="325">
        <v>69</v>
      </c>
      <c r="AN528" s="325">
        <v>112014726</v>
      </c>
      <c r="AO528" s="799" t="str">
        <f t="shared" si="144"/>
        <v>SBERNA ROCIO ANDREA</v>
      </c>
      <c r="AQ528" s="325" t="s">
        <v>1077</v>
      </c>
      <c r="AR528" s="325">
        <v>71</v>
      </c>
      <c r="AS528" s="325">
        <v>112012463</v>
      </c>
      <c r="AT528" s="799" t="str">
        <f t="shared" si="145"/>
        <v>CHIRAMBERRO VIVIANA BEATRIZ</v>
      </c>
      <c r="AW528" s="325" t="s">
        <v>1427</v>
      </c>
      <c r="AX528" s="325">
        <v>63</v>
      </c>
      <c r="AY528" s="325">
        <v>112013194</v>
      </c>
      <c r="AZ528" s="799" t="str">
        <f t="shared" si="146"/>
        <v>CHIARAVALLE MARTIN AMBROSIO</v>
      </c>
      <c r="BE528" s="618"/>
      <c r="BF528" s="618"/>
      <c r="BG528" s="1461" t="s">
        <v>360</v>
      </c>
      <c r="BH528" s="324">
        <v>71</v>
      </c>
      <c r="BI528" s="799">
        <v>112012513</v>
      </c>
      <c r="BJ528" s="799"/>
      <c r="BK528" s="618"/>
      <c r="BL528" s="1461" t="s">
        <v>1235</v>
      </c>
      <c r="BM528" s="799">
        <v>70</v>
      </c>
      <c r="BN528" s="799">
        <v>112012289</v>
      </c>
      <c r="BO528" s="799"/>
    </row>
    <row r="529" spans="1:67" ht="13">
      <c r="A529" s="325" t="s">
        <v>716</v>
      </c>
      <c r="B529" s="325">
        <v>70</v>
      </c>
      <c r="C529" s="325">
        <v>112013102</v>
      </c>
      <c r="D529" s="799"/>
      <c r="G529" s="325" t="s">
        <v>117</v>
      </c>
      <c r="H529" s="325">
        <v>70</v>
      </c>
      <c r="I529" s="325">
        <v>112012099</v>
      </c>
      <c r="J529" s="1459" t="str">
        <f t="shared" si="138"/>
        <v>NUTRIVALENT/ NUTRIVALENT SUC2/ VERGARA</v>
      </c>
      <c r="M529" s="325" t="s">
        <v>551</v>
      </c>
      <c r="N529" s="324">
        <v>70</v>
      </c>
      <c r="O529" s="325">
        <v>112013215</v>
      </c>
      <c r="P529" s="799" t="str">
        <f t="shared" si="139"/>
        <v>BUSCAGLIA PABLO</v>
      </c>
      <c r="R529" s="325" t="s">
        <v>298</v>
      </c>
      <c r="S529" s="324">
        <v>70</v>
      </c>
      <c r="T529" s="325">
        <v>112014297</v>
      </c>
      <c r="U529" s="799" t="str">
        <f t="shared" si="140"/>
        <v>CAZENEUVE GUSTAVO ANDRES</v>
      </c>
      <c r="W529" s="325" t="s">
        <v>425</v>
      </c>
      <c r="X529" s="324">
        <v>63</v>
      </c>
      <c r="Y529" s="325">
        <v>112012259</v>
      </c>
      <c r="Z529" s="799" t="str">
        <f t="shared" si="141"/>
        <v>CHAVANNE MARIA</v>
      </c>
      <c r="AB529" s="325" t="s">
        <v>842</v>
      </c>
      <c r="AC529" s="325">
        <v>53</v>
      </c>
      <c r="AD529" s="325">
        <v>112013957</v>
      </c>
      <c r="AE529" s="799" t="str">
        <f t="shared" si="142"/>
        <v>GARRIGA FEDERICO</v>
      </c>
      <c r="AG529" s="325" t="s">
        <v>1347</v>
      </c>
      <c r="AH529" s="325">
        <v>71</v>
      </c>
      <c r="AI529" s="325">
        <v>112011806</v>
      </c>
      <c r="AJ529" s="325" t="str">
        <f t="shared" si="143"/>
        <v>CARMELINI DANIEL GERMAN</v>
      </c>
      <c r="AL529" s="325" t="s">
        <v>1155</v>
      </c>
      <c r="AM529" s="325">
        <v>70</v>
      </c>
      <c r="AN529" s="325">
        <v>112013674</v>
      </c>
      <c r="AO529" s="799" t="str">
        <f t="shared" si="144"/>
        <v>SPADONI JORGE ALBERTO</v>
      </c>
      <c r="AQ529" s="325" t="s">
        <v>1061</v>
      </c>
      <c r="AR529" s="325">
        <v>71</v>
      </c>
      <c r="AS529" s="325">
        <v>112013809</v>
      </c>
      <c r="AT529" s="799" t="str">
        <f t="shared" si="145"/>
        <v>CHOMICKI CHRISTIAN DANIEL</v>
      </c>
      <c r="AW529" s="325" t="s">
        <v>1475</v>
      </c>
      <c r="AX529" s="325">
        <v>71</v>
      </c>
      <c r="AY529" s="325">
        <v>112013917</v>
      </c>
      <c r="AZ529" s="799" t="str">
        <f t="shared" si="146"/>
        <v>CONSEJO NACIONAL DE INVESTIGACIONES CIENTIFICAS Y TECNICAS CONICET</v>
      </c>
      <c r="BE529" s="618"/>
      <c r="BF529" s="618"/>
      <c r="BG529" s="1461" t="s">
        <v>1161</v>
      </c>
      <c r="BH529" s="324">
        <v>70</v>
      </c>
      <c r="BI529" s="799">
        <v>112014759</v>
      </c>
      <c r="BJ529" s="799"/>
      <c r="BK529" s="618"/>
      <c r="BL529" s="1461" t="s">
        <v>955</v>
      </c>
      <c r="BM529" s="799">
        <v>71</v>
      </c>
      <c r="BN529" s="799">
        <v>112011492</v>
      </c>
      <c r="BO529" s="799"/>
    </row>
    <row r="530" spans="1:67" ht="13">
      <c r="A530" s="325" t="s">
        <v>686</v>
      </c>
      <c r="B530" s="325">
        <v>52</v>
      </c>
      <c r="C530" s="325">
        <v>112013225</v>
      </c>
      <c r="D530" s="799"/>
      <c r="G530" s="325" t="s">
        <v>143</v>
      </c>
      <c r="H530" s="325">
        <v>70</v>
      </c>
      <c r="I530" s="325">
        <v>112012199</v>
      </c>
      <c r="J530" s="1459" t="str">
        <f t="shared" si="138"/>
        <v>PERALTA MATIAS/REYNOSO NICOLAS</v>
      </c>
      <c r="M530" s="325" t="s">
        <v>517</v>
      </c>
      <c r="N530" s="324">
        <v>62</v>
      </c>
      <c r="O530" s="325">
        <v>112014211</v>
      </c>
      <c r="P530" s="799" t="str">
        <f t="shared" si="139"/>
        <v>CABRERA JESICA GABRIELA</v>
      </c>
      <c r="R530" s="325" t="s">
        <v>316</v>
      </c>
      <c r="S530" s="324">
        <v>71</v>
      </c>
      <c r="T530" s="325">
        <v>112013256</v>
      </c>
      <c r="U530" s="799" t="str">
        <f t="shared" si="140"/>
        <v>CENTRO DE DERIVACIONES E INTERNACION VETERINARIA BERNAL SRL</v>
      </c>
      <c r="W530" s="325" t="s">
        <v>476</v>
      </c>
      <c r="X530" s="324">
        <v>71</v>
      </c>
      <c r="Y530" s="325">
        <v>112014238</v>
      </c>
      <c r="Z530" s="799" t="str">
        <f t="shared" si="141"/>
        <v>CODEGONI ROMINA VICTORIA</v>
      </c>
      <c r="AB530" s="325" t="s">
        <v>843</v>
      </c>
      <c r="AC530" s="325">
        <v>53</v>
      </c>
      <c r="AD530" s="325">
        <v>112014403</v>
      </c>
      <c r="AE530" s="799" t="str">
        <f t="shared" si="142"/>
        <v>GARRIGA MARICEL</v>
      </c>
      <c r="AG530" s="325" t="s">
        <v>1357</v>
      </c>
      <c r="AH530" s="325">
        <v>71</v>
      </c>
      <c r="AI530" s="325">
        <v>112012775</v>
      </c>
      <c r="AJ530" s="325" t="str">
        <f t="shared" si="143"/>
        <v>CEBRAL JULIA MAGDALENA</v>
      </c>
      <c r="AL530" s="325" t="s">
        <v>1144</v>
      </c>
      <c r="AM530" s="325">
        <v>71</v>
      </c>
      <c r="AN530" s="325">
        <v>112012448</v>
      </c>
      <c r="AO530" s="799" t="str">
        <f t="shared" si="144"/>
        <v>STORNELLI MARIA CECILIA</v>
      </c>
      <c r="AQ530" s="325" t="s">
        <v>1088</v>
      </c>
      <c r="AR530" s="325">
        <v>71</v>
      </c>
      <c r="AS530" s="325">
        <v>112014402</v>
      </c>
      <c r="AT530" s="799" t="str">
        <f t="shared" si="145"/>
        <v>CONSTANTINO MARIA FLORENCIA</v>
      </c>
      <c r="AW530" s="325" t="s">
        <v>1434</v>
      </c>
      <c r="AX530" s="325">
        <v>63</v>
      </c>
      <c r="AY530" s="325">
        <v>112014288</v>
      </c>
      <c r="AZ530" s="799" t="str">
        <f t="shared" si="146"/>
        <v>CORTI GONZALO IVAN</v>
      </c>
      <c r="BE530" s="618"/>
      <c r="BF530" s="618"/>
      <c r="BG530" s="1461" t="s">
        <v>1240</v>
      </c>
      <c r="BH530" s="324">
        <v>70</v>
      </c>
      <c r="BI530" s="799">
        <v>112012465</v>
      </c>
      <c r="BJ530" s="799"/>
      <c r="BK530" s="618"/>
      <c r="BL530" s="1461" t="s">
        <v>1223</v>
      </c>
      <c r="BM530" s="799">
        <v>71</v>
      </c>
      <c r="BN530" s="799">
        <v>112012078</v>
      </c>
      <c r="BO530" s="799"/>
    </row>
    <row r="531" spans="1:67" ht="13">
      <c r="A531" s="325" t="s">
        <v>718</v>
      </c>
      <c r="B531" s="325">
        <v>69</v>
      </c>
      <c r="C531" s="325">
        <v>112014633</v>
      </c>
      <c r="D531" s="799"/>
      <c r="G531" s="325" t="s">
        <v>129</v>
      </c>
      <c r="H531" s="325">
        <v>69</v>
      </c>
      <c r="I531" s="325">
        <v>112012963</v>
      </c>
      <c r="J531" s="1459" t="str">
        <f t="shared" si="138"/>
        <v>PIEDROZZI MARCOS/HIGA</v>
      </c>
      <c r="M531" s="325" t="s">
        <v>558</v>
      </c>
      <c r="N531" s="324">
        <v>69</v>
      </c>
      <c r="O531" s="325">
        <v>112013338</v>
      </c>
      <c r="P531" s="799" t="str">
        <f t="shared" si="139"/>
        <v>CALLEGARI LEANDRO ARIEL</v>
      </c>
      <c r="R531" s="325" t="s">
        <v>317</v>
      </c>
      <c r="S531" s="324">
        <v>71</v>
      </c>
      <c r="T531" s="325">
        <v>112010937</v>
      </c>
      <c r="U531" s="799" t="str">
        <f t="shared" si="140"/>
        <v>CIANI ANIBAL ANDRES</v>
      </c>
      <c r="W531" s="325" t="s">
        <v>376</v>
      </c>
      <c r="X531" s="324">
        <v>52</v>
      </c>
      <c r="Y531" s="325">
        <v>112013553</v>
      </c>
      <c r="Z531" s="799" t="str">
        <f t="shared" si="141"/>
        <v>COPPOTELLI CARLOS/MUÑOZ MICAELA</v>
      </c>
      <c r="AB531" s="325" t="s">
        <v>858</v>
      </c>
      <c r="AC531" s="325">
        <v>62</v>
      </c>
      <c r="AD531" s="325">
        <v>112010010</v>
      </c>
      <c r="AE531" s="799" t="str">
        <f t="shared" si="142"/>
        <v>GATTI JORGE EDUARDO</v>
      </c>
      <c r="AG531" s="325" t="s">
        <v>1292</v>
      </c>
      <c r="AH531" s="325">
        <v>63</v>
      </c>
      <c r="AI531" s="325">
        <v>112013988</v>
      </c>
      <c r="AJ531" s="325" t="str">
        <f t="shared" si="143"/>
        <v>CENTRO PET ARGENTINA S.R.L.</v>
      </c>
      <c r="AL531" s="325" t="s">
        <v>1157</v>
      </c>
      <c r="AM531" s="325">
        <v>70</v>
      </c>
      <c r="AN531" s="325">
        <v>112013643</v>
      </c>
      <c r="AO531" s="799" t="str">
        <f t="shared" si="144"/>
        <v>ZAPPACOSTA NORA INES</v>
      </c>
      <c r="AQ531" s="325" t="s">
        <v>995</v>
      </c>
      <c r="AR531" s="325">
        <v>54</v>
      </c>
      <c r="AS531" s="325">
        <v>112010077</v>
      </c>
      <c r="AT531" s="799" t="str">
        <f t="shared" si="145"/>
        <v>COOPERATIVA AGRARIA LIMITADA DE OLAVARRIA</v>
      </c>
      <c r="AW531" s="325" t="s">
        <v>1428</v>
      </c>
      <c r="AX531" s="325">
        <v>63</v>
      </c>
      <c r="AY531" s="325">
        <v>112013212</v>
      </c>
      <c r="AZ531" s="799" t="str">
        <f t="shared" si="146"/>
        <v>CRISCUELI PAULA AYELEN</v>
      </c>
      <c r="BE531" s="618"/>
      <c r="BF531" s="618"/>
      <c r="BG531" s="1461" t="s">
        <v>1389</v>
      </c>
      <c r="BH531" s="324">
        <v>71</v>
      </c>
      <c r="BI531" s="799">
        <v>112013337</v>
      </c>
      <c r="BJ531" s="799"/>
      <c r="BK531" s="618"/>
      <c r="BL531" s="1461" t="s">
        <v>961</v>
      </c>
      <c r="BM531" s="799">
        <v>71</v>
      </c>
      <c r="BN531" s="799">
        <v>112013049</v>
      </c>
      <c r="BO531" s="799"/>
    </row>
    <row r="532" spans="1:67" ht="13">
      <c r="A532" s="325" t="s">
        <v>773</v>
      </c>
      <c r="B532" s="325">
        <v>71</v>
      </c>
      <c r="C532" s="325">
        <v>112012086</v>
      </c>
      <c r="D532" s="799"/>
      <c r="G532" s="325" t="s">
        <v>219</v>
      </c>
      <c r="H532" s="325"/>
      <c r="I532" s="325">
        <v>112013761</v>
      </c>
      <c r="J532" s="1459" t="str">
        <f t="shared" si="138"/>
        <v>TAYAR ALEJANDRO/FLORES JUAN</v>
      </c>
      <c r="M532" s="325" t="s">
        <v>649</v>
      </c>
      <c r="N532" s="324">
        <v>71</v>
      </c>
      <c r="O532" s="325">
        <v>112014031</v>
      </c>
      <c r="P532" s="799" t="str">
        <f t="shared" si="139"/>
        <v>CALVO RUBEN OSCAR</v>
      </c>
      <c r="R532" s="325" t="s">
        <v>318</v>
      </c>
      <c r="S532" s="324">
        <v>71</v>
      </c>
      <c r="T532" s="325">
        <v>112012218</v>
      </c>
      <c r="U532" s="799" t="str">
        <f t="shared" si="140"/>
        <v>COLLA NORBERTO OSCAR</v>
      </c>
      <c r="W532" s="325" t="s">
        <v>378</v>
      </c>
      <c r="X532" s="324">
        <v>53</v>
      </c>
      <c r="Y532" s="325">
        <v>112013045</v>
      </c>
      <c r="Z532" s="799" t="str">
        <f t="shared" si="141"/>
        <v>COTTI DE LA LASTRA FEDERICO EDUARDO</v>
      </c>
      <c r="AB532" s="325" t="s">
        <v>868</v>
      </c>
      <c r="AC532" s="325">
        <v>63</v>
      </c>
      <c r="AD532" s="325">
        <v>112011508</v>
      </c>
      <c r="AE532" s="799" t="str">
        <f t="shared" si="142"/>
        <v>GIANCRISTOFARO LILIANA BEATRIZ</v>
      </c>
      <c r="AG532" s="325" t="s">
        <v>1358</v>
      </c>
      <c r="AH532" s="325">
        <v>71</v>
      </c>
      <c r="AI532" s="325">
        <v>112011920</v>
      </c>
      <c r="AJ532" s="325" t="str">
        <f t="shared" si="143"/>
        <v>CHAAR GUILLERMO ANICETO</v>
      </c>
      <c r="AL532" s="325" t="s">
        <v>1113</v>
      </c>
      <c r="AM532" s="325">
        <v>53</v>
      </c>
      <c r="AN532" s="325">
        <v>112012420</v>
      </c>
      <c r="AO532" s="799" t="str">
        <f t="shared" si="144"/>
        <v>RUBINETTI ELSA INES</v>
      </c>
      <c r="AQ532" s="325" t="s">
        <v>1028</v>
      </c>
      <c r="AR532" s="325">
        <v>63</v>
      </c>
      <c r="AS532" s="325">
        <v>112013464</v>
      </c>
      <c r="AT532" s="799" t="str">
        <f t="shared" si="145"/>
        <v>CROVETTO ALBERTO JULIO</v>
      </c>
      <c r="AW532" s="325" t="s">
        <v>1417</v>
      </c>
      <c r="AX532" s="325">
        <v>62</v>
      </c>
      <c r="AY532" s="325">
        <v>112013950</v>
      </c>
      <c r="AZ532" s="799" t="str">
        <f t="shared" si="146"/>
        <v>CUBICINO FRANCO GONZALO</v>
      </c>
      <c r="BE532" s="618"/>
      <c r="BF532" s="618"/>
      <c r="BG532" s="1461" t="s">
        <v>1232</v>
      </c>
      <c r="BH532" s="324">
        <v>71</v>
      </c>
      <c r="BI532" s="799">
        <v>112014724</v>
      </c>
      <c r="BJ532" s="799"/>
      <c r="BK532" s="618"/>
      <c r="BL532" s="1461" t="s">
        <v>1231</v>
      </c>
      <c r="BM532" s="799">
        <v>71</v>
      </c>
      <c r="BN532" s="799">
        <v>112012664</v>
      </c>
      <c r="BO532" s="799"/>
    </row>
    <row r="533" spans="1:67" ht="13">
      <c r="A533" s="325" t="s">
        <v>722</v>
      </c>
      <c r="B533" s="325">
        <v>70</v>
      </c>
      <c r="C533" s="325">
        <v>112012912</v>
      </c>
      <c r="D533" s="799"/>
      <c r="G533" s="325" t="s">
        <v>130</v>
      </c>
      <c r="H533" s="325">
        <v>69</v>
      </c>
      <c r="I533" s="325">
        <v>112014569</v>
      </c>
      <c r="J533" s="1459" t="str">
        <f t="shared" si="138"/>
        <v>TOGNOLA LUIS AUGUSTO</v>
      </c>
      <c r="M533" s="325" t="s">
        <v>575</v>
      </c>
      <c r="N533" s="324">
        <v>70</v>
      </c>
      <c r="O533" s="325">
        <v>112014711</v>
      </c>
      <c r="P533" s="799" t="str">
        <f t="shared" si="139"/>
        <v>CAMARILLO HERNANDEZ ISABEL CRISTINA</v>
      </c>
      <c r="R533" s="325" t="s">
        <v>264</v>
      </c>
      <c r="S533" s="324">
        <v>55</v>
      </c>
      <c r="T533" s="325">
        <v>112012511</v>
      </c>
      <c r="U533" s="799" t="str">
        <f t="shared" si="140"/>
        <v>CORRAL ABEL HOGO</v>
      </c>
      <c r="W533" s="325" t="s">
        <v>473</v>
      </c>
      <c r="X533" s="324">
        <v>71</v>
      </c>
      <c r="Y533" s="325">
        <v>112013135</v>
      </c>
      <c r="Z533" s="799" t="str">
        <f t="shared" si="141"/>
        <v>CRIADO ANIBAL</v>
      </c>
      <c r="AB533" s="325" t="s">
        <v>855</v>
      </c>
      <c r="AC533" s="325">
        <v>61</v>
      </c>
      <c r="AD533" s="325">
        <v>112014081</v>
      </c>
      <c r="AE533" s="799" t="str">
        <f t="shared" si="142"/>
        <v>GOMEZ DAMIAN / GOMEZ TOMAS</v>
      </c>
      <c r="AG533" s="325" t="s">
        <v>1348</v>
      </c>
      <c r="AH533" s="325">
        <v>71</v>
      </c>
      <c r="AI533" s="325">
        <v>112011267</v>
      </c>
      <c r="AJ533" s="325" t="str">
        <f t="shared" si="143"/>
        <v>CHIMENTO SERGIO ANDRES</v>
      </c>
      <c r="AL533" s="325" t="s">
        <v>494</v>
      </c>
      <c r="AM533" s="325">
        <v>54</v>
      </c>
      <c r="AN533" s="325">
        <v>112011195</v>
      </c>
      <c r="AO533" s="799" t="str">
        <f t="shared" si="144"/>
        <v>MAROTZ CHRISTIAN</v>
      </c>
      <c r="AQ533" s="325" t="s">
        <v>1006</v>
      </c>
      <c r="AR533" s="325">
        <v>62</v>
      </c>
      <c r="AS533" s="325">
        <v>112014518</v>
      </c>
      <c r="AT533" s="799" t="str">
        <f t="shared" si="145"/>
        <v>CURLEICH MARTIN/ANABEL OLARTICOECHEA</v>
      </c>
      <c r="AW533" s="325" t="s">
        <v>1435</v>
      </c>
      <c r="AX533" s="325">
        <v>63</v>
      </c>
      <c r="AY533" s="325">
        <v>112014555</v>
      </c>
      <c r="AZ533" s="799" t="str">
        <f t="shared" si="146"/>
        <v>DAIANA GISELE VELLAZ BARBIERI</v>
      </c>
      <c r="BE533" s="618"/>
      <c r="BF533" s="618"/>
      <c r="BG533" s="1461" t="s">
        <v>1512</v>
      </c>
      <c r="BH533" s="324"/>
      <c r="BI533" s="799">
        <v>112013383</v>
      </c>
      <c r="BJ533" s="799"/>
      <c r="BK533" s="618"/>
      <c r="BL533" s="1461" t="s">
        <v>1191</v>
      </c>
      <c r="BM533" s="799">
        <v>70</v>
      </c>
      <c r="BN533" s="799">
        <v>112014695</v>
      </c>
      <c r="BO533" s="799"/>
    </row>
    <row r="534" spans="1:67" ht="13">
      <c r="A534" s="325" t="s">
        <v>774</v>
      </c>
      <c r="B534" s="325">
        <v>71</v>
      </c>
      <c r="C534" s="325">
        <v>112013227</v>
      </c>
      <c r="D534" s="799"/>
      <c r="G534" s="325" t="s">
        <v>144</v>
      </c>
      <c r="H534" s="325">
        <v>70</v>
      </c>
      <c r="I534" s="325">
        <v>112012661</v>
      </c>
      <c r="J534" s="1459" t="e">
        <f t="shared" si="138"/>
        <v>#N/A</v>
      </c>
      <c r="M534" s="325" t="s">
        <v>627</v>
      </c>
      <c r="N534" s="324">
        <v>70</v>
      </c>
      <c r="O534" s="325">
        <v>112014206</v>
      </c>
      <c r="P534" s="799" t="str">
        <f t="shared" si="139"/>
        <v>CAMPAÑA CLAUDIA FABIANA</v>
      </c>
      <c r="R534" s="325" t="s">
        <v>319</v>
      </c>
      <c r="S534" s="324">
        <v>71</v>
      </c>
      <c r="T534" s="325">
        <v>112011931</v>
      </c>
      <c r="U534" s="799" t="str">
        <f t="shared" si="140"/>
        <v>CRESPO MERCEDITAS</v>
      </c>
      <c r="W534" s="325" t="s">
        <v>387</v>
      </c>
      <c r="X534" s="324">
        <v>55</v>
      </c>
      <c r="Y534" s="325">
        <v>112013179</v>
      </c>
      <c r="Z534" s="799" t="str">
        <f t="shared" si="141"/>
        <v>D AQUINO NICOLAS NAHUEL MONTEGRANDE</v>
      </c>
      <c r="AB534" s="325" t="s">
        <v>867</v>
      </c>
      <c r="AC534" s="325">
        <v>62</v>
      </c>
      <c r="AD534" s="325">
        <v>112014706</v>
      </c>
      <c r="AE534" s="799" t="str">
        <f t="shared" si="142"/>
        <v>GRACIELA MATILDE VACCARO</v>
      </c>
      <c r="AG534" s="325" t="s">
        <v>1293</v>
      </c>
      <c r="AH534" s="325">
        <v>63</v>
      </c>
      <c r="AI534" s="325">
        <v>112014521</v>
      </c>
      <c r="AJ534" s="325" t="str">
        <f t="shared" si="143"/>
        <v>CIEUTAT PAOLA MARIA</v>
      </c>
      <c r="AL534" s="325" t="s">
        <v>1112</v>
      </c>
      <c r="AM534" s="325">
        <v>55</v>
      </c>
      <c r="AN534" s="325">
        <v>112011304</v>
      </c>
      <c r="AO534" s="799" t="str">
        <f t="shared" si="144"/>
        <v>SOER ALFREDO DANIEL</v>
      </c>
      <c r="AQ534" s="325" t="s">
        <v>1037</v>
      </c>
      <c r="AR534" s="325">
        <v>70</v>
      </c>
      <c r="AS534" s="325">
        <v>112013841</v>
      </c>
      <c r="AT534" s="799" t="str">
        <f t="shared" si="145"/>
        <v>DE ARZAVE JULIO CESAR</v>
      </c>
      <c r="AW534" s="325" t="s">
        <v>1429</v>
      </c>
      <c r="AX534" s="325">
        <v>63</v>
      </c>
      <c r="AY534" s="325">
        <v>112014574</v>
      </c>
      <c r="AZ534" s="799" t="str">
        <f t="shared" si="146"/>
        <v>DANIELA ALEJANDRA ORDOÑEZ BONILLA</v>
      </c>
      <c r="BE534" s="618"/>
      <c r="BF534" s="618"/>
      <c r="BG534" s="1461" t="s">
        <v>939</v>
      </c>
      <c r="BH534" s="324">
        <v>70</v>
      </c>
      <c r="BI534" s="799">
        <v>112014699</v>
      </c>
      <c r="BJ534" s="799"/>
      <c r="BK534" s="618"/>
      <c r="BL534" s="1461" t="s">
        <v>1224</v>
      </c>
      <c r="BM534" s="799">
        <v>71</v>
      </c>
      <c r="BN534" s="799">
        <v>112012680</v>
      </c>
      <c r="BO534" s="799"/>
    </row>
    <row r="535" spans="1:67" ht="13">
      <c r="A535" s="325" t="s">
        <v>742</v>
      </c>
      <c r="B535" s="325">
        <v>71</v>
      </c>
      <c r="C535" s="325">
        <v>112010927</v>
      </c>
      <c r="D535" s="799"/>
      <c r="G535" s="325" t="s">
        <v>145</v>
      </c>
      <c r="H535" s="325">
        <v>70</v>
      </c>
      <c r="I535" s="325">
        <v>112014610</v>
      </c>
      <c r="J535" s="1459" t="str">
        <f t="shared" si="138"/>
        <v>ROMANO OSVALDO RUBEN</v>
      </c>
      <c r="M535" s="325" t="s">
        <v>629</v>
      </c>
      <c r="N535" s="324">
        <v>70</v>
      </c>
      <c r="O535" s="325">
        <v>112013228</v>
      </c>
      <c r="P535" s="799" t="str">
        <f t="shared" si="139"/>
        <v>CAMPILLO LUIS RICARDO</v>
      </c>
      <c r="R535" s="325" t="s">
        <v>320</v>
      </c>
      <c r="S535" s="324">
        <v>71</v>
      </c>
      <c r="T535" s="325">
        <v>112012657</v>
      </c>
      <c r="U535" s="799" t="str">
        <f t="shared" si="140"/>
        <v>D ORTO PEDRO DOMINGO</v>
      </c>
      <c r="W535" s="325" t="s">
        <v>394</v>
      </c>
      <c r="X535" s="324">
        <v>61</v>
      </c>
      <c r="Y535" s="325">
        <v>112013032</v>
      </c>
      <c r="Z535" s="799" t="str">
        <f t="shared" si="141"/>
        <v>DIRECCION NACIONAL DEL SERVICIO PENITENCIARIO FEDERAL</v>
      </c>
      <c r="AB535" s="325" t="s">
        <v>897</v>
      </c>
      <c r="AC535" s="325"/>
      <c r="AD535" s="325">
        <v>112014049</v>
      </c>
      <c r="AE535" s="799" t="str">
        <f t="shared" si="142"/>
        <v>GROBA HORACIO ROSENDO</v>
      </c>
      <c r="AG535" s="325" t="s">
        <v>1359</v>
      </c>
      <c r="AH535" s="325">
        <v>71</v>
      </c>
      <c r="AI535" s="325">
        <v>112014275</v>
      </c>
      <c r="AJ535" s="325" t="str">
        <f t="shared" si="143"/>
        <v>CLAVARINO MARIANA</v>
      </c>
      <c r="AL535" s="325" t="s">
        <v>236</v>
      </c>
      <c r="AM535" s="325">
        <v>61</v>
      </c>
      <c r="AN535" s="325">
        <v>112013344</v>
      </c>
      <c r="AO535" s="799" t="str">
        <f t="shared" si="144"/>
        <v>ARICAYE RAMIRO/ BISSO RUBEN</v>
      </c>
      <c r="AQ535" s="325" t="s">
        <v>1063</v>
      </c>
      <c r="AR535" s="325">
        <v>71</v>
      </c>
      <c r="AS535" s="325">
        <v>112013542</v>
      </c>
      <c r="AT535" s="799" t="str">
        <f t="shared" si="145"/>
        <v>DEL RABAL BRANDAN JUAN EZEQUIEL</v>
      </c>
      <c r="AW535" s="325" t="s">
        <v>1436</v>
      </c>
      <c r="AX535" s="325">
        <v>63</v>
      </c>
      <c r="AY535" s="325">
        <v>112012334</v>
      </c>
      <c r="AZ535" s="799" t="str">
        <f t="shared" si="146"/>
        <v>DI CROCE FABIO ALEJANDRO</v>
      </c>
      <c r="BE535" s="618"/>
      <c r="BF535" s="618"/>
      <c r="BG535" s="1461" t="s">
        <v>964</v>
      </c>
      <c r="BH535" s="324">
        <v>70</v>
      </c>
      <c r="BI535" s="799">
        <v>112014308</v>
      </c>
      <c r="BJ535" s="799"/>
      <c r="BK535" s="618"/>
      <c r="BL535" s="1461" t="s">
        <v>966</v>
      </c>
      <c r="BM535" s="799">
        <v>71</v>
      </c>
      <c r="BN535" s="799">
        <v>112014147</v>
      </c>
      <c r="BO535" s="799"/>
    </row>
    <row r="536" spans="1:67" ht="13">
      <c r="A536" s="325" t="s">
        <v>775</v>
      </c>
      <c r="B536" s="325">
        <v>71</v>
      </c>
      <c r="C536" s="325">
        <v>112013322</v>
      </c>
      <c r="D536" s="799"/>
      <c r="G536" s="325" t="s">
        <v>177</v>
      </c>
      <c r="H536" s="325">
        <v>71</v>
      </c>
      <c r="I536" s="325">
        <v>112013886</v>
      </c>
      <c r="J536" s="1459" t="str">
        <f t="shared" si="138"/>
        <v>HERMIDA RICARDO PABLO</v>
      </c>
      <c r="M536" s="325" t="s">
        <v>526</v>
      </c>
      <c r="N536" s="324">
        <v>62</v>
      </c>
      <c r="O536" s="325">
        <v>112014707</v>
      </c>
      <c r="P536" s="799" t="str">
        <f t="shared" si="139"/>
        <v>CARLOS ALBERTO BORDON</v>
      </c>
      <c r="R536" s="325" t="s">
        <v>299</v>
      </c>
      <c r="S536" s="324">
        <v>70</v>
      </c>
      <c r="T536" s="325">
        <v>112012245</v>
      </c>
      <c r="U536" s="799" t="str">
        <f t="shared" si="140"/>
        <v>DI RENZO GONZALO AGUSTIN RODOLFO</v>
      </c>
      <c r="W536" s="325" t="s">
        <v>426</v>
      </c>
      <c r="X536" s="324">
        <v>63</v>
      </c>
      <c r="Y536" s="325">
        <v>112010786</v>
      </c>
      <c r="Z536" s="799" t="str">
        <f t="shared" si="141"/>
        <v>FACCINI DIEGO ALDO</v>
      </c>
      <c r="AB536" s="325" t="s">
        <v>838</v>
      </c>
      <c r="AC536" s="325">
        <v>53</v>
      </c>
      <c r="AD536" s="325">
        <v>11201231501</v>
      </c>
      <c r="AE536" s="799" t="str">
        <f t="shared" si="142"/>
        <v>GRUPO BAGUAL/BORREGO HERNAN</v>
      </c>
      <c r="AG536" s="325" t="s">
        <v>1378</v>
      </c>
      <c r="AH536" s="325"/>
      <c r="AI536" s="325">
        <v>112014679</v>
      </c>
      <c r="AJ536" s="325" t="str">
        <f t="shared" si="143"/>
        <v>CONEXPOR SOCIEDAD ANONIMA S. A.</v>
      </c>
      <c r="AL536" s="325" t="s">
        <v>925</v>
      </c>
      <c r="AM536" s="325">
        <v>61</v>
      </c>
      <c r="AN536" s="325">
        <v>112014205</v>
      </c>
      <c r="AO536" s="799" t="str">
        <f t="shared" si="144"/>
        <v>GARCIA SIDEREFF LUCIANO HERNAN</v>
      </c>
      <c r="AQ536" s="325" t="s">
        <v>1064</v>
      </c>
      <c r="AR536" s="325">
        <v>71</v>
      </c>
      <c r="AS536" s="325">
        <v>112011623</v>
      </c>
      <c r="AT536" s="799" t="str">
        <f t="shared" si="145"/>
        <v>DELIA MONICA LILIANA</v>
      </c>
      <c r="AW536" s="325" t="s">
        <v>1437</v>
      </c>
      <c r="AX536" s="325">
        <v>63</v>
      </c>
      <c r="AY536" s="325">
        <v>112013682</v>
      </c>
      <c r="AZ536" s="799" t="str">
        <f t="shared" si="146"/>
        <v>DI FRANCESCO BRUNO ANDRES</v>
      </c>
      <c r="BE536" s="618"/>
      <c r="BF536" s="618"/>
      <c r="BG536" s="1461" t="s">
        <v>933</v>
      </c>
      <c r="BH536" s="324">
        <v>67</v>
      </c>
      <c r="BI536" s="799">
        <v>112012863</v>
      </c>
      <c r="BJ536" s="799"/>
      <c r="BK536" s="618"/>
      <c r="BL536" s="1461" t="s">
        <v>937</v>
      </c>
      <c r="BM536" s="799">
        <v>70</v>
      </c>
      <c r="BN536" s="799">
        <v>112014070</v>
      </c>
      <c r="BO536" s="799"/>
    </row>
    <row r="537" spans="1:67" ht="13">
      <c r="A537" s="325" t="s">
        <v>803</v>
      </c>
      <c r="B537" s="325"/>
      <c r="C537" s="325">
        <v>112014166</v>
      </c>
      <c r="D537" s="799"/>
      <c r="G537" s="325" t="s">
        <v>83</v>
      </c>
      <c r="H537" s="325">
        <v>62</v>
      </c>
      <c r="I537" s="325">
        <v>112013552</v>
      </c>
      <c r="J537" s="1459" t="str">
        <f t="shared" si="138"/>
        <v>FONTAN NESTOR ALDO</v>
      </c>
      <c r="M537" s="325" t="s">
        <v>574</v>
      </c>
      <c r="N537" s="324">
        <v>70</v>
      </c>
      <c r="O537" s="325">
        <v>112014468</v>
      </c>
      <c r="P537" s="799" t="str">
        <f t="shared" si="139"/>
        <v>CATRI MARCOS RUBEN</v>
      </c>
      <c r="R537" s="325" t="s">
        <v>291</v>
      </c>
      <c r="S537" s="324">
        <v>68</v>
      </c>
      <c r="T537" s="325">
        <v>112012462</v>
      </c>
      <c r="U537" s="799" t="str">
        <f t="shared" si="140"/>
        <v>DISTRIMASCOTA S.R.L.</v>
      </c>
      <c r="W537" s="325" t="s">
        <v>427</v>
      </c>
      <c r="X537" s="324">
        <v>63</v>
      </c>
      <c r="Y537" s="325">
        <v>112014675</v>
      </c>
      <c r="Z537" s="799" t="str">
        <f t="shared" si="141"/>
        <v>FEDERICO GARAVAGLIA</v>
      </c>
      <c r="AB537" s="325" t="s">
        <v>849</v>
      </c>
      <c r="AC537" s="325">
        <v>62</v>
      </c>
      <c r="AD537" s="325">
        <v>112013166</v>
      </c>
      <c r="AE537" s="799" t="str">
        <f t="shared" si="142"/>
        <v>IÑIGUEZ DIEGO RUBEN/SPOSETTI TORGUET</v>
      </c>
      <c r="AG537" s="325" t="s">
        <v>1286</v>
      </c>
      <c r="AH537" s="325">
        <v>63</v>
      </c>
      <c r="AI537" s="325">
        <v>112013551</v>
      </c>
      <c r="AJ537" s="325" t="str">
        <f t="shared" si="143"/>
        <v>COOPERATIVA AGROPECUARIA E INDUSTRIAL DE RAUCH LIMITADA</v>
      </c>
      <c r="AL537" s="325" t="s">
        <v>927</v>
      </c>
      <c r="AM537" s="325">
        <v>62</v>
      </c>
      <c r="AN537" s="325">
        <v>112014090</v>
      </c>
      <c r="AO537" s="799" t="str">
        <f t="shared" si="144"/>
        <v>MOJSIUK ALEX CATRIEL</v>
      </c>
      <c r="AQ537" s="325" t="s">
        <v>997</v>
      </c>
      <c r="AR537" s="325">
        <v>55</v>
      </c>
      <c r="AS537" s="325">
        <v>112014254</v>
      </c>
      <c r="AT537" s="799" t="str">
        <f t="shared" si="145"/>
        <v>DELL OSO MARTIN</v>
      </c>
      <c r="AW537" s="325" t="s">
        <v>1399</v>
      </c>
      <c r="AX537" s="325">
        <v>54</v>
      </c>
      <c r="AY537" s="325">
        <v>112014120</v>
      </c>
      <c r="AZ537" s="799" t="str">
        <f t="shared" si="146"/>
        <v>DROGUERIA MEDICAM SRL</v>
      </c>
      <c r="BE537" s="618"/>
      <c r="BF537" s="618"/>
      <c r="BG537" s="1461" t="s">
        <v>940</v>
      </c>
      <c r="BH537" s="324">
        <v>70</v>
      </c>
      <c r="BI537" s="799">
        <v>112014599</v>
      </c>
      <c r="BJ537" s="799"/>
      <c r="BK537" s="618"/>
      <c r="BL537" s="1461" t="s">
        <v>1211</v>
      </c>
      <c r="BM537" s="799">
        <v>70</v>
      </c>
      <c r="BN537" s="799">
        <v>112012520</v>
      </c>
      <c r="BO537" s="799"/>
    </row>
    <row r="538" spans="1:67" ht="13">
      <c r="A538" s="325" t="s">
        <v>748</v>
      </c>
      <c r="B538" s="325">
        <v>70</v>
      </c>
      <c r="C538" s="325">
        <v>112013320</v>
      </c>
      <c r="D538" s="799"/>
      <c r="G538" s="325" t="s">
        <v>146</v>
      </c>
      <c r="H538" s="325">
        <v>70</v>
      </c>
      <c r="I538" s="325">
        <v>112014408</v>
      </c>
      <c r="J538" s="1459" t="str">
        <f t="shared" ref="J538:J569" si="147">VLOOKUP(I370,bassfin,13,FALSE)</f>
        <v>MALM GREEN GUILLERMO</v>
      </c>
      <c r="M538" s="325" t="s">
        <v>518</v>
      </c>
      <c r="N538" s="324">
        <v>62</v>
      </c>
      <c r="O538" s="325">
        <v>112013247</v>
      </c>
      <c r="P538" s="799" t="str">
        <f t="shared" ref="P538:P569" si="148">VLOOKUP(O538,LAGEFIN,13,FALSE)</f>
        <v>CESA DUBOR BRUNO</v>
      </c>
      <c r="R538" s="325" t="s">
        <v>260</v>
      </c>
      <c r="S538" s="324">
        <v>52</v>
      </c>
      <c r="T538" s="325">
        <v>112013905</v>
      </c>
      <c r="U538" s="799" t="str">
        <f t="shared" ref="U538:U569" si="149">VLOOKUP(T538,calofin,9,FALSE)</f>
        <v>DONATO SERGIO HERNAN</v>
      </c>
      <c r="W538" s="325" t="s">
        <v>449</v>
      </c>
      <c r="X538" s="324">
        <v>67</v>
      </c>
      <c r="Y538" s="325">
        <v>112010863</v>
      </c>
      <c r="Z538" s="799" t="str">
        <f t="shared" ref="Z538:Z569" si="150">VLOOKUP(Y538,RETAMFIN,9,FALSE)</f>
        <v>FEINMANN LAURA PATRICIA</v>
      </c>
      <c r="AB538" s="325" t="s">
        <v>895</v>
      </c>
      <c r="AC538" s="325">
        <v>71</v>
      </c>
      <c r="AD538" s="325">
        <v>112010028</v>
      </c>
      <c r="AE538" s="799" t="str">
        <f t="shared" ref="AE538:AE569" si="151">VLOOKUP(AD538,VARGASFIN,13,FALSE)</f>
        <v>IRIARTE CARLOS MANUEL</v>
      </c>
      <c r="AG538" s="325" t="s">
        <v>1312</v>
      </c>
      <c r="AH538" s="325">
        <v>63</v>
      </c>
      <c r="AI538" s="325">
        <v>112013486</v>
      </c>
      <c r="AJ538" s="325" t="str">
        <f t="shared" ref="AJ538:AJ569" si="152">VLOOKUP(AI538,MONTENEFIN,9,FALSE)</f>
        <v>COUYOUPETROU NESTOR MAXIMILIANO</v>
      </c>
      <c r="AL538" s="325" t="s">
        <v>1108</v>
      </c>
      <c r="AM538" s="325">
        <v>62</v>
      </c>
      <c r="AN538" s="325">
        <v>112013257</v>
      </c>
      <c r="AO538" s="799" t="str">
        <f t="shared" ref="AO538:AO569" si="153">VLOOKUP(AN538,MARUCAFIN,13,FALSE)</f>
        <v>RAYEN RONCO PETRUCCI S.R.L LA PLATA</v>
      </c>
      <c r="AQ538" s="325" t="s">
        <v>1074</v>
      </c>
      <c r="AR538" s="325">
        <v>71</v>
      </c>
      <c r="AS538" s="325">
        <v>112012161</v>
      </c>
      <c r="AT538" s="799" t="str">
        <f t="shared" ref="AT538:AT569" si="154">VLOOKUP(AS538,ARRIOLFIN,13,FALSE)</f>
        <v>DI CLAUDIO SERGIO VICENTE</v>
      </c>
      <c r="AW538" s="325" t="s">
        <v>1400</v>
      </c>
      <c r="AX538" s="325">
        <v>28</v>
      </c>
      <c r="AY538" s="325">
        <v>112012493</v>
      </c>
      <c r="AZ538" s="799" t="str">
        <f t="shared" ref="AZ538:AZ569" si="155">VLOOKUP(AY538,LAVENIAFIN,13,FALSE)</f>
        <v>DUPUY CARLOS RAUL FERNANDO</v>
      </c>
      <c r="BE538" s="618"/>
      <c r="BF538" s="618"/>
      <c r="BG538" s="1461" t="s">
        <v>1514</v>
      </c>
      <c r="BH538" s="324">
        <v>71</v>
      </c>
      <c r="BI538" s="799">
        <v>112011649</v>
      </c>
      <c r="BJ538" s="799"/>
      <c r="BK538" s="618"/>
      <c r="BL538" s="1461" t="s">
        <v>1530</v>
      </c>
      <c r="BM538" s="799"/>
      <c r="BN538" s="799">
        <v>112014225</v>
      </c>
      <c r="BO538" s="799"/>
    </row>
    <row r="539" spans="1:67" ht="13">
      <c r="A539" s="325" t="s">
        <v>700</v>
      </c>
      <c r="B539" s="325">
        <v>62</v>
      </c>
      <c r="C539" s="325">
        <v>112013206</v>
      </c>
      <c r="D539" s="799"/>
      <c r="G539" s="325" t="s">
        <v>147</v>
      </c>
      <c r="H539" s="325">
        <v>70</v>
      </c>
      <c r="I539" s="325">
        <v>112014528</v>
      </c>
      <c r="J539" s="1459" t="str">
        <f t="shared" si="147"/>
        <v>SOMOZA ALVARO</v>
      </c>
      <c r="M539" s="325" t="s">
        <v>507</v>
      </c>
      <c r="N539" s="324">
        <v>52</v>
      </c>
      <c r="O539" s="325">
        <v>112014179</v>
      </c>
      <c r="P539" s="799" t="str">
        <f t="shared" si="148"/>
        <v>CESTARO GUSTAVO DANIEL</v>
      </c>
      <c r="R539" s="325" t="s">
        <v>261</v>
      </c>
      <c r="S539" s="324">
        <v>52</v>
      </c>
      <c r="T539" s="325">
        <v>112014066</v>
      </c>
      <c r="U539" s="799" t="str">
        <f t="shared" si="149"/>
        <v>EL FORRAJE DEL ABUELO S.A</v>
      </c>
      <c r="W539" s="325" t="s">
        <v>381</v>
      </c>
      <c r="X539" s="324">
        <v>54</v>
      </c>
      <c r="Y539" s="325">
        <v>112012590</v>
      </c>
      <c r="Z539" s="799" t="str">
        <f t="shared" si="150"/>
        <v>FINUCCI JORGE EDUARDO</v>
      </c>
      <c r="AB539" s="325" t="s">
        <v>892</v>
      </c>
      <c r="AC539" s="325">
        <v>70</v>
      </c>
      <c r="AD539" s="325">
        <v>112014475</v>
      </c>
      <c r="AE539" s="799" t="str">
        <f t="shared" si="151"/>
        <v>JUAN BAUTISTA DIAZ</v>
      </c>
      <c r="AG539" s="325" t="s">
        <v>1313</v>
      </c>
      <c r="AH539" s="325">
        <v>63</v>
      </c>
      <c r="AI539" s="325">
        <v>112014071</v>
      </c>
      <c r="AJ539" s="325" t="str">
        <f t="shared" si="152"/>
        <v>CRESPI ANDREA/SALGADO WALTER</v>
      </c>
      <c r="AL539" s="325" t="s">
        <v>926</v>
      </c>
      <c r="AM539" s="325">
        <v>62</v>
      </c>
      <c r="AN539" s="325">
        <v>112014231</v>
      </c>
      <c r="AO539" s="799" t="str">
        <f t="shared" si="153"/>
        <v>RIEVE MARIANA/SIMONETTI CANDELA</v>
      </c>
      <c r="AQ539" s="325" t="s">
        <v>1016</v>
      </c>
      <c r="AR539" s="325">
        <v>63</v>
      </c>
      <c r="AS539" s="325">
        <v>112012273</v>
      </c>
      <c r="AT539" s="799" t="str">
        <f t="shared" si="154"/>
        <v>DI SPALATRO GUSTAVO JULIO</v>
      </c>
      <c r="AW539" s="325" t="s">
        <v>1413</v>
      </c>
      <c r="AX539" s="325">
        <v>61</v>
      </c>
      <c r="AY539" s="325">
        <v>112014314</v>
      </c>
      <c r="AZ539" s="799" t="str">
        <f t="shared" si="155"/>
        <v>FERNANDEZ LARA JULIANA</v>
      </c>
      <c r="BE539" s="618"/>
      <c r="BF539" s="618"/>
      <c r="BG539" s="1461" t="s">
        <v>1118</v>
      </c>
      <c r="BH539" s="324">
        <v>70</v>
      </c>
      <c r="BI539" s="799">
        <v>112014651</v>
      </c>
      <c r="BJ539" s="799"/>
      <c r="BK539" s="618"/>
      <c r="BL539" s="1461" t="s">
        <v>1212</v>
      </c>
      <c r="BM539" s="799">
        <v>63</v>
      </c>
      <c r="BN539" s="799">
        <v>112012484</v>
      </c>
      <c r="BO539" s="799"/>
    </row>
    <row r="540" spans="1:67" ht="13">
      <c r="A540" s="325" t="s">
        <v>776</v>
      </c>
      <c r="B540" s="325">
        <v>71</v>
      </c>
      <c r="C540" s="325">
        <v>112013782</v>
      </c>
      <c r="D540" s="799"/>
      <c r="G540" s="325" t="s">
        <v>220</v>
      </c>
      <c r="H540" s="325"/>
      <c r="I540" s="325">
        <v>112012560</v>
      </c>
      <c r="J540" s="1459" t="str">
        <f t="shared" si="147"/>
        <v>DI SALVO EDGARDO JULIO</v>
      </c>
      <c r="M540" s="325" t="s">
        <v>576</v>
      </c>
      <c r="N540" s="324">
        <v>70</v>
      </c>
      <c r="O540" s="325">
        <v>112014455</v>
      </c>
      <c r="P540" s="799" t="str">
        <f t="shared" si="148"/>
        <v>CILAP HOSPITAL VETERINARIO</v>
      </c>
      <c r="R540" s="325" t="s">
        <v>349</v>
      </c>
      <c r="S540" s="324"/>
      <c r="T540" s="325">
        <v>112014346</v>
      </c>
      <c r="U540" s="799" t="str">
        <f t="shared" si="149"/>
        <v>ETCHEMENDY VERONICA</v>
      </c>
      <c r="W540" s="325" t="s">
        <v>469</v>
      </c>
      <c r="X540" s="324">
        <v>71</v>
      </c>
      <c r="Y540" s="325">
        <v>112012555</v>
      </c>
      <c r="Z540" s="799" t="str">
        <f t="shared" si="150"/>
        <v>FIORETTI CESAR</v>
      </c>
      <c r="AB540" s="325" t="s">
        <v>856</v>
      </c>
      <c r="AC540" s="325">
        <v>61</v>
      </c>
      <c r="AD540" s="325">
        <v>112014600</v>
      </c>
      <c r="AE540" s="799" t="str">
        <f t="shared" si="151"/>
        <v>JUAN PABLO RIVAROLA</v>
      </c>
      <c r="AG540" s="325" t="s">
        <v>1334</v>
      </c>
      <c r="AH540" s="325">
        <v>70</v>
      </c>
      <c r="AI540" s="325">
        <v>112012891</v>
      </c>
      <c r="AJ540" s="325" t="str">
        <f t="shared" si="152"/>
        <v>DARIO LUIS ALTI</v>
      </c>
      <c r="AL540" s="325" t="s">
        <v>1111</v>
      </c>
      <c r="AM540" s="325">
        <v>63</v>
      </c>
      <c r="AN540" s="325">
        <v>112011976</v>
      </c>
      <c r="AO540" s="799" t="str">
        <f t="shared" si="153"/>
        <v>COCCARO ANALIA INES</v>
      </c>
      <c r="AQ540" s="325" t="s">
        <v>1027</v>
      </c>
      <c r="AR540" s="325">
        <v>63</v>
      </c>
      <c r="AS540" s="325">
        <v>112013478</v>
      </c>
      <c r="AT540" s="799" t="str">
        <f t="shared" si="154"/>
        <v>DIAZ MARIA DOLORES</v>
      </c>
      <c r="AW540" s="325" t="s">
        <v>1452</v>
      </c>
      <c r="AX540" s="325">
        <v>63</v>
      </c>
      <c r="AY540" s="325">
        <v>112014381</v>
      </c>
      <c r="AZ540" s="799" t="str">
        <f t="shared" si="155"/>
        <v>FERRARI BONOFIGLIO PABLO DANIEL</v>
      </c>
      <c r="BE540" s="618"/>
      <c r="BF540" s="618"/>
      <c r="BG540" s="1461" t="s">
        <v>962</v>
      </c>
      <c r="BH540" s="324">
        <v>70</v>
      </c>
      <c r="BI540" s="799">
        <v>112014040</v>
      </c>
      <c r="BJ540" s="799"/>
      <c r="BK540" s="618"/>
      <c r="BL540" s="1461" t="s">
        <v>1242</v>
      </c>
      <c r="BM540" s="799">
        <v>70</v>
      </c>
      <c r="BN540" s="799">
        <v>112014212</v>
      </c>
      <c r="BO540" s="799"/>
    </row>
    <row r="541" spans="1:67" ht="13">
      <c r="A541" s="325" t="s">
        <v>726</v>
      </c>
      <c r="B541" s="325">
        <v>70</v>
      </c>
      <c r="C541" s="325">
        <v>112013900</v>
      </c>
      <c r="D541" s="799"/>
      <c r="G541" s="325" t="s">
        <v>221</v>
      </c>
      <c r="H541" s="325"/>
      <c r="I541" s="325">
        <v>112014216</v>
      </c>
      <c r="J541" s="1459" t="str">
        <f t="shared" si="147"/>
        <v>VAZQUEZ ALEJANDRO</v>
      </c>
      <c r="M541" s="325" t="s">
        <v>645</v>
      </c>
      <c r="N541" s="324">
        <v>71</v>
      </c>
      <c r="O541" s="325">
        <v>112011303</v>
      </c>
      <c r="P541" s="799" t="str">
        <f t="shared" si="148"/>
        <v>CORONEL MARIA LUZ DEL CARMEN</v>
      </c>
      <c r="R541" s="325" t="s">
        <v>307</v>
      </c>
      <c r="S541" s="324">
        <v>70</v>
      </c>
      <c r="T541" s="325">
        <v>112014708</v>
      </c>
      <c r="U541" s="799" t="str">
        <f t="shared" si="149"/>
        <v>FEDERICO EZEQUIEL PANIAGUA</v>
      </c>
      <c r="W541" s="325" t="s">
        <v>428</v>
      </c>
      <c r="X541" s="324">
        <v>63</v>
      </c>
      <c r="Y541" s="325">
        <v>112013122</v>
      </c>
      <c r="Z541" s="799" t="str">
        <f t="shared" si="150"/>
        <v>FRATTINI CAROLINA</v>
      </c>
      <c r="AB541" s="325" t="s">
        <v>869</v>
      </c>
      <c r="AC541" s="325">
        <v>63</v>
      </c>
      <c r="AD541" s="325">
        <v>112011730</v>
      </c>
      <c r="AE541" s="799" t="str">
        <f t="shared" si="151"/>
        <v>MACHADO JUAN PABLO</v>
      </c>
      <c r="AG541" s="325" t="s">
        <v>1267</v>
      </c>
      <c r="AH541" s="325">
        <v>55</v>
      </c>
      <c r="AI541" s="325">
        <v>112014363</v>
      </c>
      <c r="AJ541" s="325" t="str">
        <f t="shared" si="152"/>
        <v>DESTEFANO JOSE HERNAN Y BIDEGAIN GUSTAVO MIGUEL S.H</v>
      </c>
      <c r="AL541" s="325" t="s">
        <v>1110</v>
      </c>
      <c r="AM541" s="325">
        <v>63</v>
      </c>
      <c r="AN541" s="325">
        <v>112010650</v>
      </c>
      <c r="AO541" s="799" t="str">
        <f t="shared" si="153"/>
        <v>DI STEFANO FERNANDO RUBEN</v>
      </c>
      <c r="AQ541" s="325" t="s">
        <v>1087</v>
      </c>
      <c r="AR541" s="325">
        <v>71</v>
      </c>
      <c r="AS541" s="325">
        <v>112014312</v>
      </c>
      <c r="AT541" s="799" t="str">
        <f t="shared" si="154"/>
        <v>DIEGUEZ JORGE ALBERTO</v>
      </c>
      <c r="AW541" s="325" t="s">
        <v>1515</v>
      </c>
      <c r="AX541" s="325">
        <v>21</v>
      </c>
      <c r="AY541" s="325">
        <v>112012554</v>
      </c>
      <c r="AZ541" s="799" t="str">
        <f t="shared" si="155"/>
        <v>FERREIRA MARIANO</v>
      </c>
      <c r="BE541" s="618"/>
      <c r="BF541" s="618"/>
      <c r="BG541" s="1461" t="s">
        <v>1241</v>
      </c>
      <c r="BH541" s="324">
        <v>70</v>
      </c>
      <c r="BI541" s="799">
        <v>112014096</v>
      </c>
      <c r="BJ541" s="799"/>
      <c r="BK541" s="618"/>
      <c r="BL541" s="1461" t="s">
        <v>1233</v>
      </c>
      <c r="BM541" s="799">
        <v>71</v>
      </c>
      <c r="BN541" s="799">
        <v>112012606</v>
      </c>
      <c r="BO541" s="799"/>
    </row>
    <row r="542" spans="1:67" ht="13">
      <c r="A542" s="325" t="s">
        <v>719</v>
      </c>
      <c r="B542" s="325">
        <v>69</v>
      </c>
      <c r="C542" s="325">
        <v>112013704</v>
      </c>
      <c r="D542" s="799"/>
      <c r="G542" s="325" t="s">
        <v>131</v>
      </c>
      <c r="H542" s="325">
        <v>69</v>
      </c>
      <c r="I542" s="325">
        <v>112012198</v>
      </c>
      <c r="J542" s="1459" t="str">
        <f t="shared" si="147"/>
        <v>GALARZA RODOLFO</v>
      </c>
      <c r="M542" s="325" t="s">
        <v>577</v>
      </c>
      <c r="N542" s="324">
        <v>70</v>
      </c>
      <c r="O542" s="325">
        <v>112013205</v>
      </c>
      <c r="P542" s="799" t="str">
        <f t="shared" si="148"/>
        <v>COVA PATRICIA LEONOR</v>
      </c>
      <c r="R542" s="325" t="s">
        <v>286</v>
      </c>
      <c r="S542" s="324">
        <v>66</v>
      </c>
      <c r="T542" s="325">
        <v>112014491</v>
      </c>
      <c r="U542" s="799" t="str">
        <f t="shared" si="149"/>
        <v>FONTANARROSA MARIA FLORENCIA</v>
      </c>
      <c r="W542" s="325" t="s">
        <v>429</v>
      </c>
      <c r="X542" s="324">
        <v>63</v>
      </c>
      <c r="Y542" s="325">
        <v>112010616</v>
      </c>
      <c r="Z542" s="799" t="str">
        <f t="shared" si="150"/>
        <v>FREGOTTE NESTOR DARIO</v>
      </c>
      <c r="AB542" s="325" t="s">
        <v>870</v>
      </c>
      <c r="AC542" s="325">
        <v>63</v>
      </c>
      <c r="AD542" s="325">
        <v>112010450</v>
      </c>
      <c r="AE542" s="799" t="str">
        <f t="shared" si="151"/>
        <v>MARIA CRISTINA DE DOMINICIS</v>
      </c>
      <c r="AG542" s="325" t="s">
        <v>1314</v>
      </c>
      <c r="AH542" s="325">
        <v>63</v>
      </c>
      <c r="AI542" s="325">
        <v>112013897</v>
      </c>
      <c r="AJ542" s="325" t="str">
        <f t="shared" si="152"/>
        <v>DETTANO YANINA MARIANELA</v>
      </c>
      <c r="AL542" s="325" t="s">
        <v>496</v>
      </c>
      <c r="AM542" s="325">
        <v>63</v>
      </c>
      <c r="AN542" s="325">
        <v>112012211</v>
      </c>
      <c r="AO542" s="799" t="str">
        <f t="shared" si="153"/>
        <v>DUGINI DINO ENZO</v>
      </c>
      <c r="AQ542" s="325" t="s">
        <v>1080</v>
      </c>
      <c r="AR542" s="325">
        <v>71</v>
      </c>
      <c r="AS542" s="325">
        <v>112012827</v>
      </c>
      <c r="AT542" s="799" t="str">
        <f t="shared" si="154"/>
        <v>DIMASI CRISTIAN HERNAN</v>
      </c>
      <c r="AW542" s="325" t="s">
        <v>1438</v>
      </c>
      <c r="AX542" s="325">
        <v>63</v>
      </c>
      <c r="AY542" s="325">
        <v>112013714</v>
      </c>
      <c r="AZ542" s="799" t="str">
        <f t="shared" si="155"/>
        <v>FERREYRA ALEJANDRO NESTOR</v>
      </c>
      <c r="BE542" s="618"/>
      <c r="BF542" s="618"/>
      <c r="BG542" s="1461" t="s">
        <v>982</v>
      </c>
      <c r="BH542" s="324"/>
      <c r="BI542" s="799">
        <v>112012164</v>
      </c>
      <c r="BJ542" s="799"/>
      <c r="BK542" s="618"/>
      <c r="BL542" s="1461" t="s">
        <v>1160</v>
      </c>
      <c r="BM542" s="799">
        <v>70</v>
      </c>
      <c r="BN542" s="799">
        <v>112012600</v>
      </c>
      <c r="BO542" s="799"/>
    </row>
    <row r="543" spans="1:67" ht="13">
      <c r="A543" s="325" t="s">
        <v>749</v>
      </c>
      <c r="B543" s="325">
        <v>70</v>
      </c>
      <c r="C543" s="325">
        <v>112013448</v>
      </c>
      <c r="D543" s="799"/>
      <c r="G543" s="325" t="s">
        <v>1569</v>
      </c>
      <c r="H543" s="325">
        <v>61</v>
      </c>
      <c r="I543" s="325">
        <v>112014786</v>
      </c>
      <c r="J543" s="1459" t="str">
        <f t="shared" si="147"/>
        <v>FERNANDEZ PAULA VALERIA</v>
      </c>
      <c r="M543" s="325" t="s">
        <v>508</v>
      </c>
      <c r="N543" s="324">
        <v>53</v>
      </c>
      <c r="O543" s="325">
        <v>112014328</v>
      </c>
      <c r="P543" s="799" t="str">
        <f t="shared" si="148"/>
        <v>D ALMEIDA ANDREA ELEONORA</v>
      </c>
      <c r="R543" s="325" t="s">
        <v>271</v>
      </c>
      <c r="S543" s="324">
        <v>63</v>
      </c>
      <c r="T543" s="325">
        <v>112012906</v>
      </c>
      <c r="U543" s="799" t="str">
        <f t="shared" si="149"/>
        <v>GADDI HECTOR MARCELO GABRIEL</v>
      </c>
      <c r="W543" s="325" t="s">
        <v>482</v>
      </c>
      <c r="X543" s="324"/>
      <c r="Y543" s="325">
        <v>112014239</v>
      </c>
      <c r="Z543" s="799" t="str">
        <f t="shared" si="150"/>
        <v>FUNDACION UNIVERSIDAD DE CIENCIAS EMPRESARIALES Y SOCIALES</v>
      </c>
      <c r="AB543" s="325" t="s">
        <v>874</v>
      </c>
      <c r="AC543" s="325">
        <v>68</v>
      </c>
      <c r="AD543" s="325">
        <v>112014484</v>
      </c>
      <c r="AE543" s="799" t="str">
        <f t="shared" si="151"/>
        <v>MARIA LAURA RICCI PARIS</v>
      </c>
      <c r="AG543" s="325" t="s">
        <v>1330</v>
      </c>
      <c r="AH543" s="325">
        <v>69</v>
      </c>
      <c r="AI543" s="325">
        <v>112013473</v>
      </c>
      <c r="AJ543" s="325" t="str">
        <f t="shared" si="152"/>
        <v>DISTRIB DM PETS/SALDIVIA NICOLAS</v>
      </c>
      <c r="AL543" s="325" t="s">
        <v>1109</v>
      </c>
      <c r="AM543" s="325">
        <v>63</v>
      </c>
      <c r="AN543" s="325">
        <v>112010497</v>
      </c>
      <c r="AO543" s="799" t="str">
        <f t="shared" si="153"/>
        <v>RURAL ESPICAY LP SRL</v>
      </c>
      <c r="AQ543" s="325" t="s">
        <v>1004</v>
      </c>
      <c r="AR543" s="325">
        <v>63</v>
      </c>
      <c r="AS543" s="325">
        <v>112014453</v>
      </c>
      <c r="AT543" s="799" t="str">
        <f t="shared" si="154"/>
        <v>EL PALENQUE S. CAP I SECC IV</v>
      </c>
      <c r="AW543" s="325" t="s">
        <v>1482</v>
      </c>
      <c r="AX543" s="325">
        <v>71</v>
      </c>
      <c r="AY543" s="325">
        <v>112013332</v>
      </c>
      <c r="AZ543" s="799" t="str">
        <f t="shared" si="155"/>
        <v>FINAMORE ENRIQUE GABRIEL</v>
      </c>
      <c r="BE543" s="618"/>
      <c r="BF543" s="618"/>
      <c r="BG543" s="1461" t="s">
        <v>363</v>
      </c>
      <c r="BH543" s="324">
        <v>70</v>
      </c>
      <c r="BI543" s="799">
        <v>112014662</v>
      </c>
      <c r="BJ543" s="799"/>
      <c r="BK543" s="618"/>
      <c r="BL543" s="1461" t="s">
        <v>945</v>
      </c>
      <c r="BM543" s="799">
        <v>71</v>
      </c>
      <c r="BN543" s="799">
        <v>112014691</v>
      </c>
      <c r="BO543" s="799"/>
    </row>
    <row r="544" spans="1:67" ht="13">
      <c r="A544" s="325" t="s">
        <v>693</v>
      </c>
      <c r="B544" s="325">
        <v>53</v>
      </c>
      <c r="C544" s="325">
        <v>112013693</v>
      </c>
      <c r="D544" s="799"/>
      <c r="G544" s="325" t="s">
        <v>85</v>
      </c>
      <c r="H544" s="325">
        <v>62</v>
      </c>
      <c r="I544" s="325">
        <v>112012249</v>
      </c>
      <c r="J544" s="1459" t="str">
        <f t="shared" si="147"/>
        <v>AGUIRRE MONICA SILVIA</v>
      </c>
      <c r="M544" s="325" t="s">
        <v>578</v>
      </c>
      <c r="N544" s="324">
        <v>70</v>
      </c>
      <c r="O544" s="325">
        <v>112014278</v>
      </c>
      <c r="P544" s="799" t="str">
        <f t="shared" si="148"/>
        <v>D AMARIO ALEJO NICOLAS</v>
      </c>
      <c r="R544" s="325" t="s">
        <v>321</v>
      </c>
      <c r="S544" s="324">
        <v>71</v>
      </c>
      <c r="T544" s="325">
        <v>112013214</v>
      </c>
      <c r="U544" s="799" t="str">
        <f t="shared" si="149"/>
        <v>GARCIA ANDREA INES</v>
      </c>
      <c r="W544" s="325" t="s">
        <v>463</v>
      </c>
      <c r="X544" s="324">
        <v>71</v>
      </c>
      <c r="Y544" s="325">
        <v>112011522</v>
      </c>
      <c r="Z544" s="799" t="str">
        <f t="shared" si="150"/>
        <v>GALVAN WALTER RUBEN</v>
      </c>
      <c r="AB544" s="325" t="s">
        <v>872</v>
      </c>
      <c r="AC544" s="325">
        <v>63</v>
      </c>
      <c r="AD544" s="325">
        <v>112012510</v>
      </c>
      <c r="AE544" s="799" t="str">
        <f t="shared" si="151"/>
        <v>MARTINEZ VERONICA ANDREA</v>
      </c>
      <c r="AG544" s="325" t="s">
        <v>1273</v>
      </c>
      <c r="AH544" s="325">
        <v>60</v>
      </c>
      <c r="AI544" s="325">
        <v>112014128</v>
      </c>
      <c r="AJ544" s="325" t="str">
        <f t="shared" si="152"/>
        <v>DISTRIBUIDORA DE BALANCEADOS MERLO</v>
      </c>
      <c r="AL544" s="325" t="s">
        <v>1095</v>
      </c>
      <c r="AM544" s="325">
        <v>63</v>
      </c>
      <c r="AN544" s="325">
        <v>112013707</v>
      </c>
      <c r="AO544" s="799" t="str">
        <f t="shared" si="153"/>
        <v>SACK AGUSTINA/GERARDO/TEDESCO MARIA</v>
      </c>
      <c r="AQ544" s="325" t="s">
        <v>1075</v>
      </c>
      <c r="AR544" s="325">
        <v>71</v>
      </c>
      <c r="AS544" s="325">
        <v>112012304</v>
      </c>
      <c r="AT544" s="799" t="str">
        <f t="shared" si="154"/>
        <v>ELGUE LUCIA</v>
      </c>
      <c r="AW544" s="325" t="s">
        <v>1466</v>
      </c>
      <c r="AX544" s="325">
        <v>63</v>
      </c>
      <c r="AY544" s="325">
        <v>112014589</v>
      </c>
      <c r="AZ544" s="799" t="str">
        <f t="shared" si="155"/>
        <v>FUENTES CRISTIAN MATIAS</v>
      </c>
      <c r="BE544" s="618"/>
      <c r="BF544" s="618"/>
      <c r="BG544" s="1461" t="s">
        <v>1206</v>
      </c>
      <c r="BH544" s="324">
        <v>71</v>
      </c>
      <c r="BI544" s="799">
        <v>112013639</v>
      </c>
      <c r="BJ544" s="799"/>
      <c r="BK544" s="618"/>
      <c r="BL544" s="1461" t="s">
        <v>235</v>
      </c>
      <c r="BM544" s="799">
        <v>70</v>
      </c>
      <c r="BN544" s="799">
        <v>112014703</v>
      </c>
      <c r="BO544" s="799"/>
    </row>
    <row r="545" spans="1:67" ht="13">
      <c r="A545" s="325" t="s">
        <v>777</v>
      </c>
      <c r="B545" s="325">
        <v>71</v>
      </c>
      <c r="C545" s="325">
        <v>112012497</v>
      </c>
      <c r="D545" s="799"/>
      <c r="G545" s="325" t="s">
        <v>178</v>
      </c>
      <c r="H545" s="325">
        <v>71</v>
      </c>
      <c r="I545" s="325">
        <v>112011337</v>
      </c>
      <c r="J545" s="1459" t="str">
        <f t="shared" si="147"/>
        <v>DRISDALE GRISELDA BEATRIZ</v>
      </c>
      <c r="M545" s="325" t="s">
        <v>579</v>
      </c>
      <c r="N545" s="324">
        <v>70</v>
      </c>
      <c r="O545" s="325">
        <v>112014684</v>
      </c>
      <c r="P545" s="799" t="str">
        <f t="shared" si="148"/>
        <v>DAIANA MAGALI CAÑELLAS</v>
      </c>
      <c r="R545" s="325" t="s">
        <v>322</v>
      </c>
      <c r="S545" s="324">
        <v>71</v>
      </c>
      <c r="T545" s="325">
        <v>112011662</v>
      </c>
      <c r="U545" s="799" t="str">
        <f t="shared" si="149"/>
        <v>GARCIA CASAMAYOR SH</v>
      </c>
      <c r="W545" s="325" t="s">
        <v>461</v>
      </c>
      <c r="X545" s="324">
        <v>71</v>
      </c>
      <c r="Y545" s="325">
        <v>112011204</v>
      </c>
      <c r="Z545" s="799" t="str">
        <f t="shared" si="150"/>
        <v>GARAVAGLIA VICTOR ESTEBAN</v>
      </c>
      <c r="AB545" s="325" t="s">
        <v>846</v>
      </c>
      <c r="AC545" s="325">
        <v>63</v>
      </c>
      <c r="AD545" s="325">
        <v>112010002</v>
      </c>
      <c r="AE545" s="799" t="str">
        <f t="shared" si="151"/>
        <v>MAURICIO CORDOBA</v>
      </c>
      <c r="AG545" s="325" t="s">
        <v>1263</v>
      </c>
      <c r="AH545" s="325">
        <v>52</v>
      </c>
      <c r="AI545" s="325">
        <v>112014014</v>
      </c>
      <c r="AJ545" s="325" t="str">
        <f t="shared" si="152"/>
        <v>DONATO CARLOS</v>
      </c>
      <c r="AL545" s="325" t="s">
        <v>1107</v>
      </c>
      <c r="AM545" s="325">
        <v>63</v>
      </c>
      <c r="AN545" s="325">
        <v>112013898</v>
      </c>
      <c r="AO545" s="799" t="str">
        <f t="shared" si="153"/>
        <v>SANCHEZ ALEJANDRO/RESSIA CARINA</v>
      </c>
      <c r="AQ545" s="325" t="s">
        <v>1072</v>
      </c>
      <c r="AR545" s="325">
        <v>71</v>
      </c>
      <c r="AS545" s="325">
        <v>112011681</v>
      </c>
      <c r="AT545" s="799" t="str">
        <f t="shared" si="154"/>
        <v>ESCUDUN JUAN JOSE</v>
      </c>
      <c r="AW545" s="325" t="s">
        <v>1478</v>
      </c>
      <c r="AX545" s="325">
        <v>71</v>
      </c>
      <c r="AY545" s="325">
        <v>112014032</v>
      </c>
      <c r="AZ545" s="799" t="str">
        <f t="shared" si="155"/>
        <v>FUNDACION DE LA FACULTAD DE INGENIERIA PARA LA TRANSFERENCIA TECNOLOGICA Y LA PROMOCION DE EMPRESAS DE BIENES Y SERVICIOS</v>
      </c>
      <c r="BE545" s="618"/>
      <c r="BF545" s="618"/>
      <c r="BG545" s="1461" t="s">
        <v>968</v>
      </c>
      <c r="BH545" s="324">
        <v>70</v>
      </c>
      <c r="BI545" s="799">
        <v>112014625</v>
      </c>
      <c r="BJ545" s="799"/>
      <c r="BK545" s="618"/>
      <c r="BL545" s="1461" t="s">
        <v>1390</v>
      </c>
      <c r="BM545" s="799">
        <v>71</v>
      </c>
      <c r="BN545" s="799">
        <v>112012225</v>
      </c>
      <c r="BO545" s="799"/>
    </row>
    <row r="546" spans="1:67" ht="13">
      <c r="A546" s="325" t="s">
        <v>778</v>
      </c>
      <c r="B546" s="325">
        <v>71</v>
      </c>
      <c r="C546" s="325">
        <v>112013566</v>
      </c>
      <c r="D546" s="799"/>
      <c r="G546" s="325" t="s">
        <v>87</v>
      </c>
      <c r="H546" s="325">
        <v>62</v>
      </c>
      <c r="I546" s="325">
        <v>112012542</v>
      </c>
      <c r="J546" s="1459" t="str">
        <f t="shared" si="147"/>
        <v>AVILA EMILSE VICTORIA</v>
      </c>
      <c r="M546" s="325" t="s">
        <v>559</v>
      </c>
      <c r="N546" s="324">
        <v>69</v>
      </c>
      <c r="O546" s="325">
        <v>112014471</v>
      </c>
      <c r="P546" s="799" t="str">
        <f t="shared" si="148"/>
        <v>DANIELA PINCHETTI</v>
      </c>
      <c r="R546" s="325" t="s">
        <v>323</v>
      </c>
      <c r="S546" s="324">
        <v>71</v>
      </c>
      <c r="T546" s="325">
        <v>112013692</v>
      </c>
      <c r="U546" s="799" t="str">
        <f t="shared" si="149"/>
        <v>GARCIA LUIS/SOULES FARRELL</v>
      </c>
      <c r="W546" s="325" t="s">
        <v>478</v>
      </c>
      <c r="X546" s="324"/>
      <c r="Y546" s="325">
        <v>112011877</v>
      </c>
      <c r="Z546" s="799" t="str">
        <f t="shared" si="150"/>
        <v>GARCIA GUTIERREZ FACUNDO</v>
      </c>
      <c r="AB546" s="325" t="s">
        <v>877</v>
      </c>
      <c r="AC546" s="325">
        <v>71</v>
      </c>
      <c r="AD546" s="325">
        <v>112011865</v>
      </c>
      <c r="AE546" s="799" t="str">
        <f t="shared" si="151"/>
        <v>MAYAN SABRINA LAURA</v>
      </c>
      <c r="AG546" s="325" t="s">
        <v>1277</v>
      </c>
      <c r="AH546" s="325">
        <v>62</v>
      </c>
      <c r="AI546" s="325">
        <v>112014053</v>
      </c>
      <c r="AJ546" s="325" t="str">
        <f t="shared" si="152"/>
        <v>ENRIQUE MARTIN AGUILERA</v>
      </c>
      <c r="AL546" s="325" t="s">
        <v>1092</v>
      </c>
      <c r="AM546" s="325">
        <v>63</v>
      </c>
      <c r="AN546" s="325">
        <v>112011430</v>
      </c>
      <c r="AO546" s="799" t="str">
        <f t="shared" si="153"/>
        <v>VETERINARIA BALDINI S.A.</v>
      </c>
      <c r="AQ546" s="325" t="s">
        <v>1052</v>
      </c>
      <c r="AR546" s="325">
        <v>71</v>
      </c>
      <c r="AS546" s="325">
        <v>112013648</v>
      </c>
      <c r="AT546" s="799" t="str">
        <f t="shared" si="154"/>
        <v>ESTANCIAS EL PORVENIR S.A.</v>
      </c>
      <c r="AW546" s="325" t="s">
        <v>1410</v>
      </c>
      <c r="AX546" s="325">
        <v>61</v>
      </c>
      <c r="AY546" s="325">
        <v>112014440</v>
      </c>
      <c r="AZ546" s="799" t="str">
        <f t="shared" si="155"/>
        <v>FUSERO CLAUDIO OSCAR</v>
      </c>
      <c r="BE546" s="618"/>
      <c r="BF546" s="618"/>
      <c r="BG546" s="1461" t="s">
        <v>965</v>
      </c>
      <c r="BH546" s="324">
        <v>71</v>
      </c>
      <c r="BI546" s="799">
        <v>112014552</v>
      </c>
      <c r="BJ546" s="799"/>
      <c r="BK546" s="618"/>
      <c r="BL546" s="1461" t="s">
        <v>1391</v>
      </c>
      <c r="BM546" s="799">
        <v>71</v>
      </c>
      <c r="BN546" s="799">
        <v>112012622</v>
      </c>
      <c r="BO546" s="799"/>
    </row>
    <row r="547" spans="1:67" ht="13">
      <c r="A547" s="325" t="s">
        <v>689</v>
      </c>
      <c r="B547" s="325">
        <v>53</v>
      </c>
      <c r="C547" s="325">
        <v>112014705</v>
      </c>
      <c r="D547" s="799"/>
      <c r="G547" s="325" t="s">
        <v>179</v>
      </c>
      <c r="H547" s="325">
        <v>71</v>
      </c>
      <c r="I547" s="325">
        <v>112012848</v>
      </c>
      <c r="J547" s="1459" t="str">
        <f t="shared" si="147"/>
        <v>ARES SUSANA MONICA</v>
      </c>
      <c r="M547" s="325" t="s">
        <v>626</v>
      </c>
      <c r="N547" s="324">
        <v>70</v>
      </c>
      <c r="O547" s="325">
        <v>112013219</v>
      </c>
      <c r="P547" s="799" t="str">
        <f t="shared" si="148"/>
        <v>DARRE ANDREA FABIANA</v>
      </c>
      <c r="R547" s="325" t="s">
        <v>294</v>
      </c>
      <c r="S547" s="324">
        <v>70</v>
      </c>
      <c r="T547" s="325">
        <v>112014441</v>
      </c>
      <c r="U547" s="799" t="str">
        <f t="shared" si="149"/>
        <v>GENAVES SA</v>
      </c>
      <c r="W547" s="325" t="s">
        <v>462</v>
      </c>
      <c r="X547" s="324">
        <v>71</v>
      </c>
      <c r="Y547" s="325">
        <v>112011398</v>
      </c>
      <c r="Z547" s="799" t="str">
        <f t="shared" si="150"/>
        <v>GARCIA LUIS FERNANDO CTA 2</v>
      </c>
      <c r="AB547" s="325" t="s">
        <v>850</v>
      </c>
      <c r="AC547" s="325">
        <v>62</v>
      </c>
      <c r="AD547" s="325">
        <v>112013796</v>
      </c>
      <c r="AE547" s="799" t="str">
        <f t="shared" si="151"/>
        <v>MC CARGO GISELA CAROLINA</v>
      </c>
      <c r="AG547" s="325" t="s">
        <v>1262</v>
      </c>
      <c r="AH547" s="325">
        <v>53</v>
      </c>
      <c r="AI547" s="325">
        <v>112014416</v>
      </c>
      <c r="AJ547" s="325" t="str">
        <f t="shared" si="152"/>
        <v>ERCOLI SERGIO NESTOR</v>
      </c>
      <c r="AL547" s="325" t="s">
        <v>493</v>
      </c>
      <c r="AM547" s="325">
        <v>66</v>
      </c>
      <c r="AN547" s="325">
        <v>112012738</v>
      </c>
      <c r="AO547" s="799" t="str">
        <f t="shared" si="153"/>
        <v>ZUCCHI EUGENIO</v>
      </c>
      <c r="AQ547" s="325" t="s">
        <v>1053</v>
      </c>
      <c r="AR547" s="325">
        <v>71</v>
      </c>
      <c r="AS547" s="325">
        <v>112014688</v>
      </c>
      <c r="AT547" s="799" t="str">
        <f t="shared" si="154"/>
        <v>FARACO MATIAS</v>
      </c>
      <c r="AW547" s="325" t="s">
        <v>1414</v>
      </c>
      <c r="AX547" s="325">
        <v>61</v>
      </c>
      <c r="AY547" s="325">
        <v>112013941</v>
      </c>
      <c r="AZ547" s="799" t="str">
        <f t="shared" si="155"/>
        <v>GALISE VICTORIO ANDRES</v>
      </c>
      <c r="BE547" s="618"/>
      <c r="BF547" s="618"/>
      <c r="BG547" s="1461" t="s">
        <v>1219</v>
      </c>
      <c r="BH547" s="324">
        <v>70</v>
      </c>
      <c r="BI547" s="799">
        <v>112013855</v>
      </c>
      <c r="BJ547" s="799"/>
      <c r="BK547" s="618"/>
      <c r="BL547" s="1461" t="s">
        <v>1096</v>
      </c>
      <c r="BM547" s="799">
        <v>71</v>
      </c>
      <c r="BN547" s="799">
        <v>112012041</v>
      </c>
      <c r="BO547" s="799"/>
    </row>
    <row r="548" spans="1:67" ht="13">
      <c r="A548" s="325" t="s">
        <v>779</v>
      </c>
      <c r="B548" s="325">
        <v>71</v>
      </c>
      <c r="C548" s="325">
        <v>112011416</v>
      </c>
      <c r="D548" s="799"/>
      <c r="G548" s="325" t="s">
        <v>180</v>
      </c>
      <c r="H548" s="325">
        <v>71</v>
      </c>
      <c r="I548" s="325">
        <v>112012326</v>
      </c>
      <c r="J548" s="1459" t="str">
        <f t="shared" si="147"/>
        <v>GRIATZKY CRISTINA</v>
      </c>
      <c r="M548" s="325" t="s">
        <v>630</v>
      </c>
      <c r="N548" s="324">
        <v>70</v>
      </c>
      <c r="O548" s="325">
        <v>112013232</v>
      </c>
      <c r="P548" s="799" t="str">
        <f t="shared" si="148"/>
        <v>DE FARIA OTILIA SOLEDAD</v>
      </c>
      <c r="R548" s="325" t="s">
        <v>267</v>
      </c>
      <c r="S548" s="324">
        <v>61</v>
      </c>
      <c r="T548" s="325">
        <v>112014379</v>
      </c>
      <c r="U548" s="799" t="str">
        <f t="shared" si="149"/>
        <v>GEROSA FEDERICO</v>
      </c>
      <c r="W548" s="325" t="s">
        <v>395</v>
      </c>
      <c r="X548" s="324">
        <v>60</v>
      </c>
      <c r="Y548" s="325">
        <v>112014272</v>
      </c>
      <c r="Z548" s="799" t="str">
        <f t="shared" si="150"/>
        <v>GARELLI JON/GARELLI NIC/FERNANDEZ</v>
      </c>
      <c r="AB548" s="325" t="s">
        <v>878</v>
      </c>
      <c r="AC548" s="325">
        <v>70</v>
      </c>
      <c r="AD548" s="325">
        <v>112014284</v>
      </c>
      <c r="AE548" s="799" t="str">
        <f t="shared" si="151"/>
        <v>MENDEZ RODRIGO/PUCACCO CECILIA</v>
      </c>
      <c r="AG548" s="325" t="s">
        <v>1265</v>
      </c>
      <c r="AH548" s="325">
        <v>54</v>
      </c>
      <c r="AI548" s="325">
        <v>112013028</v>
      </c>
      <c r="AJ548" s="325" t="str">
        <f t="shared" si="152"/>
        <v>ESPINOSA MARIA INES</v>
      </c>
      <c r="AL548" s="325" t="s">
        <v>233</v>
      </c>
      <c r="AM548" s="325">
        <v>69</v>
      </c>
      <c r="AN548" s="325">
        <v>112012260</v>
      </c>
      <c r="AO548" s="799" t="str">
        <f t="shared" si="153"/>
        <v>LOPEZ GABRIEL DAVID</v>
      </c>
      <c r="AQ548" s="325" t="s">
        <v>1011</v>
      </c>
      <c r="AR548" s="325">
        <v>62</v>
      </c>
      <c r="AS548" s="325">
        <v>112012450</v>
      </c>
      <c r="AT548" s="799" t="str">
        <f t="shared" si="154"/>
        <v>FERNANDEZ SILVANA MARINA</v>
      </c>
      <c r="AW548" s="325" t="s">
        <v>1411</v>
      </c>
      <c r="AX548" s="325">
        <v>61</v>
      </c>
      <c r="AY548" s="325">
        <v>112011899</v>
      </c>
      <c r="AZ548" s="799" t="str">
        <f t="shared" si="155"/>
        <v>GONZALEZ ANALIA ADRIANA</v>
      </c>
      <c r="BE548" s="618"/>
      <c r="BF548" s="618"/>
      <c r="BG548" s="1461" t="s">
        <v>963</v>
      </c>
      <c r="BH548" s="324">
        <v>70</v>
      </c>
      <c r="BI548" s="799">
        <v>112014201</v>
      </c>
      <c r="BJ548" s="799"/>
      <c r="BK548" s="618"/>
      <c r="BL548" s="1461" t="s">
        <v>950</v>
      </c>
      <c r="BM548" s="799">
        <v>70</v>
      </c>
      <c r="BN548" s="799">
        <v>112014078</v>
      </c>
      <c r="BO548" s="799"/>
    </row>
    <row r="549" spans="1:67" ht="13">
      <c r="A549" s="325" t="s">
        <v>801</v>
      </c>
      <c r="B549" s="325"/>
      <c r="C549" s="325">
        <v>112014405</v>
      </c>
      <c r="D549" s="799"/>
      <c r="G549" s="325" t="s">
        <v>181</v>
      </c>
      <c r="H549" s="325">
        <v>71</v>
      </c>
      <c r="I549" s="325">
        <v>112011720</v>
      </c>
      <c r="J549" s="1459" t="str">
        <f t="shared" si="147"/>
        <v>BLANCO MARINA GRACIELA</v>
      </c>
      <c r="M549" s="325" t="s">
        <v>580</v>
      </c>
      <c r="N549" s="324">
        <v>70</v>
      </c>
      <c r="O549" s="325">
        <v>112014678</v>
      </c>
      <c r="P549" s="799" t="str">
        <f t="shared" si="148"/>
        <v>DIAZ CYNTHIA SILVANA</v>
      </c>
      <c r="R549" s="325" t="s">
        <v>287</v>
      </c>
      <c r="S549" s="324">
        <v>67</v>
      </c>
      <c r="T549" s="325">
        <v>112014149</v>
      </c>
      <c r="U549" s="799" t="str">
        <f t="shared" si="149"/>
        <v>GHERSINICH FERNANDO EZEQUIEL</v>
      </c>
      <c r="W549" s="325" t="s">
        <v>444</v>
      </c>
      <c r="X549" s="324">
        <v>61</v>
      </c>
      <c r="Y549" s="325">
        <v>112014721</v>
      </c>
      <c r="Z549" s="799" t="str">
        <f t="shared" si="150"/>
        <v>GIMENEZ MARIA MILAGROS</v>
      </c>
      <c r="AB549" s="325" t="s">
        <v>844</v>
      </c>
      <c r="AC549" s="325">
        <v>63</v>
      </c>
      <c r="AD549" s="325">
        <v>112011785</v>
      </c>
      <c r="AE549" s="799" t="str">
        <f t="shared" si="151"/>
        <v>MI PONCHO S.R.L.</v>
      </c>
      <c r="AG549" s="325" t="s">
        <v>1349</v>
      </c>
      <c r="AH549" s="325">
        <v>71</v>
      </c>
      <c r="AI549" s="325">
        <v>112012020</v>
      </c>
      <c r="AJ549" s="325" t="str">
        <f t="shared" si="152"/>
        <v>ETCHEVARNE DIEGO SEBASTIAN</v>
      </c>
      <c r="AL549" s="325" t="s">
        <v>1098</v>
      </c>
      <c r="AM549" s="325">
        <v>69</v>
      </c>
      <c r="AN549" s="325">
        <v>112014251</v>
      </c>
      <c r="AO549" s="799" t="str">
        <f t="shared" si="153"/>
        <v>MARQUEZ PABLO EZEQUIEL</v>
      </c>
      <c r="AQ549" s="325" t="s">
        <v>1084</v>
      </c>
      <c r="AR549" s="325">
        <v>71</v>
      </c>
      <c r="AS549" s="325">
        <v>112013791</v>
      </c>
      <c r="AT549" s="799" t="str">
        <f t="shared" si="154"/>
        <v>FRANCINI JUAN GASTON</v>
      </c>
      <c r="AW549" s="325" t="s">
        <v>1439</v>
      </c>
      <c r="AX549" s="325">
        <v>63</v>
      </c>
      <c r="AY549" s="325">
        <v>112013765</v>
      </c>
      <c r="AZ549" s="799" t="str">
        <f t="shared" si="155"/>
        <v>GONZALEZ MAURICIO DAMIAN</v>
      </c>
      <c r="BE549" s="618"/>
      <c r="BF549" s="618"/>
      <c r="BG549" s="1461" t="s">
        <v>1246</v>
      </c>
      <c r="BH549" s="324"/>
      <c r="BI549" s="799">
        <v>112012917</v>
      </c>
      <c r="BJ549" s="799"/>
      <c r="BK549" s="618"/>
      <c r="BL549" s="1461" t="s">
        <v>938</v>
      </c>
      <c r="BM549" s="799">
        <v>70</v>
      </c>
      <c r="BN549" s="799">
        <v>112012316</v>
      </c>
      <c r="BO549" s="799"/>
    </row>
    <row r="550" spans="1:67" ht="13">
      <c r="A550" s="325" t="s">
        <v>780</v>
      </c>
      <c r="B550" s="325">
        <v>71</v>
      </c>
      <c r="C550" s="325">
        <v>112013942</v>
      </c>
      <c r="D550" s="799"/>
      <c r="G550" s="325" t="s">
        <v>182</v>
      </c>
      <c r="H550" s="325">
        <v>71</v>
      </c>
      <c r="I550" s="325">
        <v>112013956</v>
      </c>
      <c r="J550" s="1459" t="str">
        <f t="shared" si="147"/>
        <v>GONZALEZ TELMO ANA JULIA</v>
      </c>
      <c r="M550" s="325" t="s">
        <v>540</v>
      </c>
      <c r="N550" s="324">
        <v>63</v>
      </c>
      <c r="O550" s="325">
        <v>112012470</v>
      </c>
      <c r="P550" s="799" t="str">
        <f t="shared" si="148"/>
        <v>DOBLER JAVIER ALEJANDRO</v>
      </c>
      <c r="R550" s="325" t="s">
        <v>324</v>
      </c>
      <c r="S550" s="324">
        <v>71</v>
      </c>
      <c r="T550" s="325">
        <v>112010675</v>
      </c>
      <c r="U550" s="799" t="str">
        <f t="shared" si="149"/>
        <v>GHIGLIAZZA GUSTAVO</v>
      </c>
      <c r="W550" s="325" t="s">
        <v>430</v>
      </c>
      <c r="X550" s="324">
        <v>63</v>
      </c>
      <c r="Y550" s="325">
        <v>112011796</v>
      </c>
      <c r="Z550" s="799" t="str">
        <f t="shared" si="150"/>
        <v>GOMEZ CARLOS FABIAN</v>
      </c>
      <c r="AB550" s="325" t="s">
        <v>873</v>
      </c>
      <c r="AC550" s="325">
        <v>63</v>
      </c>
      <c r="AD550" s="325">
        <v>112010673</v>
      </c>
      <c r="AE550" s="799" t="str">
        <f t="shared" si="151"/>
        <v>MONBELLI ESTEBAN EMILIO</v>
      </c>
      <c r="AG550" s="325" t="s">
        <v>1268</v>
      </c>
      <c r="AH550" s="325">
        <v>55</v>
      </c>
      <c r="AI550" s="325">
        <v>112013507</v>
      </c>
      <c r="AJ550" s="325" t="str">
        <f t="shared" si="152"/>
        <v>FEDERICO JOSE MARIA</v>
      </c>
      <c r="AL550" s="325" t="s">
        <v>935</v>
      </c>
      <c r="AM550" s="325">
        <v>70</v>
      </c>
      <c r="AN550" s="325">
        <v>112011654</v>
      </c>
      <c r="AO550" s="799" t="str">
        <f t="shared" si="153"/>
        <v>COPELLO MARIELA</v>
      </c>
      <c r="AQ550" s="325" t="s">
        <v>999</v>
      </c>
      <c r="AR550" s="325">
        <v>55</v>
      </c>
      <c r="AS550" s="325">
        <v>112014480</v>
      </c>
      <c r="AT550" s="799" t="str">
        <f t="shared" si="154"/>
        <v>GARCES HERMANOS S. CAP I</v>
      </c>
      <c r="AW550" s="325" t="s">
        <v>1453</v>
      </c>
      <c r="AX550" s="325">
        <v>63</v>
      </c>
      <c r="AY550" s="325">
        <v>112013586</v>
      </c>
      <c r="AZ550" s="799" t="str">
        <f t="shared" si="155"/>
        <v>GRANERO AGUERO JESICA MARTINA</v>
      </c>
      <c r="BE550" s="618"/>
      <c r="BF550" s="618"/>
      <c r="BG550" s="1461" t="s">
        <v>1166</v>
      </c>
      <c r="BH550" s="324">
        <v>70</v>
      </c>
      <c r="BI550" s="799">
        <v>112013146</v>
      </c>
      <c r="BJ550" s="799"/>
      <c r="BK550" s="618"/>
      <c r="BL550" s="1461" t="s">
        <v>1165</v>
      </c>
      <c r="BM550" s="799">
        <v>70</v>
      </c>
      <c r="BN550" s="799">
        <v>112013433</v>
      </c>
      <c r="BO550" s="799"/>
    </row>
    <row r="551" spans="1:67" ht="13">
      <c r="A551" s="325" t="s">
        <v>802</v>
      </c>
      <c r="B551" s="325"/>
      <c r="C551" s="325">
        <v>11201394201</v>
      </c>
      <c r="D551" s="799"/>
      <c r="G551" s="325" t="s">
        <v>148</v>
      </c>
      <c r="H551" s="325">
        <v>70</v>
      </c>
      <c r="I551" s="325">
        <v>112012294</v>
      </c>
      <c r="J551" s="1459" t="str">
        <f t="shared" si="147"/>
        <v>PETRELLI ROBERTO ALEJANDRO</v>
      </c>
      <c r="M551" s="325" t="s">
        <v>527</v>
      </c>
      <c r="N551" s="324">
        <v>62</v>
      </c>
      <c r="O551" s="325">
        <v>112014210</v>
      </c>
      <c r="P551" s="799" t="str">
        <f t="shared" si="148"/>
        <v>DOMINGUEZ NATALIA ROMINA</v>
      </c>
      <c r="R551" s="325" t="s">
        <v>300</v>
      </c>
      <c r="S551" s="324">
        <v>70</v>
      </c>
      <c r="T551" s="325">
        <v>112013422</v>
      </c>
      <c r="U551" s="799" t="str">
        <f t="shared" si="149"/>
        <v>GONZALEZ JOSE ROBERTO</v>
      </c>
      <c r="W551" s="325" t="s">
        <v>408</v>
      </c>
      <c r="X551" s="324">
        <v>62</v>
      </c>
      <c r="Y551" s="325">
        <v>112014103</v>
      </c>
      <c r="Z551" s="799" t="str">
        <f t="shared" si="150"/>
        <v>GOROSITO ADELINA GAUDENCIA</v>
      </c>
      <c r="AB551" s="325" t="s">
        <v>862</v>
      </c>
      <c r="AC551" s="325">
        <v>63</v>
      </c>
      <c r="AD551" s="325">
        <v>112013316</v>
      </c>
      <c r="AE551" s="799" t="str">
        <f t="shared" si="151"/>
        <v>MUTIO JOSE ABEL</v>
      </c>
      <c r="AG551" s="325" t="s">
        <v>1294</v>
      </c>
      <c r="AH551" s="325">
        <v>63</v>
      </c>
      <c r="AI551" s="325">
        <v>112014013</v>
      </c>
      <c r="AJ551" s="325" t="str">
        <f t="shared" si="152"/>
        <v>FLORES FEDERICO MIGUEL</v>
      </c>
      <c r="AL551" s="325" t="s">
        <v>936</v>
      </c>
      <c r="AM551" s="325">
        <v>70</v>
      </c>
      <c r="AN551" s="325">
        <v>112014063</v>
      </c>
      <c r="AO551" s="799" t="str">
        <f t="shared" si="153"/>
        <v>FARIAS PEDRO ALEJANDRO</v>
      </c>
      <c r="AQ551" s="325" t="s">
        <v>1010</v>
      </c>
      <c r="AR551" s="325">
        <v>62</v>
      </c>
      <c r="AS551" s="325">
        <v>112012574</v>
      </c>
      <c r="AT551" s="799" t="str">
        <f t="shared" si="154"/>
        <v>GARCIA ELIZ/SANCHEZ MARIA CECILIA</v>
      </c>
      <c r="AW551" s="325" t="s">
        <v>1408</v>
      </c>
      <c r="AX551" s="325">
        <v>62</v>
      </c>
      <c r="AY551" s="325">
        <v>112013226</v>
      </c>
      <c r="AZ551" s="799" t="str">
        <f t="shared" si="155"/>
        <v>GUERRA ANDREA</v>
      </c>
      <c r="BE551" s="618"/>
      <c r="BF551" s="618"/>
      <c r="BG551" s="1461" t="s">
        <v>929</v>
      </c>
      <c r="BH551" s="324">
        <v>63</v>
      </c>
      <c r="BI551" s="799">
        <v>112014582</v>
      </c>
      <c r="BJ551" s="799"/>
      <c r="BK551" s="618"/>
      <c r="BL551" s="1461" t="s">
        <v>967</v>
      </c>
      <c r="BM551" s="799">
        <v>70</v>
      </c>
      <c r="BN551" s="799">
        <v>112014596</v>
      </c>
      <c r="BO551" s="799"/>
    </row>
    <row r="552" spans="1:67" ht="13">
      <c r="A552" s="325" t="s">
        <v>750</v>
      </c>
      <c r="B552" s="325">
        <v>70</v>
      </c>
      <c r="C552" s="325">
        <v>112014752</v>
      </c>
      <c r="D552" s="799"/>
      <c r="G552" s="325" t="s">
        <v>149</v>
      </c>
      <c r="H552" s="325">
        <v>70</v>
      </c>
      <c r="I552" s="325">
        <v>112012308</v>
      </c>
      <c r="J552" s="1459" t="str">
        <f t="shared" si="147"/>
        <v>MUZIO JUAN PABLO</v>
      </c>
      <c r="M552" s="325" t="s">
        <v>560</v>
      </c>
      <c r="N552" s="324">
        <v>69</v>
      </c>
      <c r="O552" s="325">
        <v>112014472</v>
      </c>
      <c r="P552" s="799" t="str">
        <f t="shared" si="148"/>
        <v>DONADIO JUAN PABLO</v>
      </c>
      <c r="R552" s="325" t="s">
        <v>272</v>
      </c>
      <c r="S552" s="324">
        <v>63</v>
      </c>
      <c r="T552" s="325">
        <v>112013274</v>
      </c>
      <c r="U552" s="799" t="str">
        <f t="shared" si="149"/>
        <v>GUIDO ADALBERTO HORACIO</v>
      </c>
      <c r="W552" s="325" t="s">
        <v>391</v>
      </c>
      <c r="X552" s="324">
        <v>58</v>
      </c>
      <c r="Y552" s="325">
        <v>112013105</v>
      </c>
      <c r="Z552" s="799" t="str">
        <f t="shared" si="150"/>
        <v>GRUPO R &amp; R SAS</v>
      </c>
      <c r="AB552" s="325" t="s">
        <v>847</v>
      </c>
      <c r="AC552" s="325">
        <v>62</v>
      </c>
      <c r="AD552" s="325">
        <v>112012774</v>
      </c>
      <c r="AE552" s="799" t="str">
        <f t="shared" si="151"/>
        <v>NAVARRO LUCAS</v>
      </c>
      <c r="AG552" s="325" t="s">
        <v>1353</v>
      </c>
      <c r="AH552" s="325">
        <v>71</v>
      </c>
      <c r="AI552" s="325">
        <v>112014130</v>
      </c>
      <c r="AJ552" s="325" t="str">
        <f t="shared" si="152"/>
        <v>FORTASSINI LUC/MENDOZA  MARCE</v>
      </c>
      <c r="AL552" s="325" t="s">
        <v>1105</v>
      </c>
      <c r="AM552" s="325">
        <v>70</v>
      </c>
      <c r="AN552" s="325">
        <v>112010461</v>
      </c>
      <c r="AO552" s="799" t="str">
        <f t="shared" si="153"/>
        <v>GIMENEZ GUILLERMO SAUL</v>
      </c>
      <c r="AQ552" s="325" t="s">
        <v>1007</v>
      </c>
      <c r="AR552" s="325">
        <v>62</v>
      </c>
      <c r="AS552" s="325">
        <v>112014461</v>
      </c>
      <c r="AT552" s="799" t="str">
        <f t="shared" si="154"/>
        <v>GARCÍA NIC/ AGUILAR MARIA</v>
      </c>
      <c r="AW552" s="325" t="s">
        <v>1454</v>
      </c>
      <c r="AX552" s="325">
        <v>63</v>
      </c>
      <c r="AY552" s="325">
        <v>112014567</v>
      </c>
      <c r="AZ552" s="799" t="str">
        <f t="shared" si="155"/>
        <v>HENNIG MILTON HUGO</v>
      </c>
      <c r="BE552" s="618"/>
      <c r="BF552" s="618"/>
      <c r="BG552" s="1461" t="s">
        <v>981</v>
      </c>
      <c r="BH552" s="324">
        <v>71</v>
      </c>
      <c r="BI552" s="799">
        <v>112014756</v>
      </c>
      <c r="BJ552" s="799"/>
      <c r="BK552" s="618"/>
      <c r="BL552" s="1461" t="s">
        <v>1179</v>
      </c>
      <c r="BM552" s="799">
        <v>71</v>
      </c>
      <c r="BN552" s="799">
        <v>112013642</v>
      </c>
      <c r="BO552" s="799"/>
    </row>
    <row r="553" spans="1:67" ht="13">
      <c r="A553" s="325" t="s">
        <v>751</v>
      </c>
      <c r="B553" s="325">
        <v>70</v>
      </c>
      <c r="C553" s="325">
        <v>112014474</v>
      </c>
      <c r="D553" s="799"/>
      <c r="G553" s="325" t="s">
        <v>150</v>
      </c>
      <c r="H553" s="325">
        <v>70</v>
      </c>
      <c r="I553" s="325">
        <v>112012535</v>
      </c>
      <c r="J553" s="1459" t="str">
        <f t="shared" si="147"/>
        <v>CUEVAS VICTORIA</v>
      </c>
      <c r="M553" s="325" t="s">
        <v>665</v>
      </c>
      <c r="N553" s="324"/>
      <c r="O553" s="325">
        <v>112011938</v>
      </c>
      <c r="P553" s="799" t="str">
        <f t="shared" si="148"/>
        <v>ELSO CARLOS JAVIER</v>
      </c>
      <c r="R553" s="325" t="s">
        <v>282</v>
      </c>
      <c r="S553" s="324">
        <v>63</v>
      </c>
      <c r="T553" s="325">
        <v>112014701</v>
      </c>
      <c r="U553" s="799" t="str">
        <f t="shared" si="149"/>
        <v>GUTIERREZ ELASKAR FRANCISCP/MARIA EMILIA</v>
      </c>
      <c r="W553" s="325" t="s">
        <v>380</v>
      </c>
      <c r="X553" s="324">
        <v>53</v>
      </c>
      <c r="Y553" s="325">
        <v>112012965</v>
      </c>
      <c r="Z553" s="799" t="str">
        <f t="shared" si="150"/>
        <v>GUARINIELLO CRISTIAN GASTON</v>
      </c>
      <c r="AB553" s="325" t="s">
        <v>489</v>
      </c>
      <c r="AC553" s="325">
        <v>62</v>
      </c>
      <c r="AD553" s="325">
        <v>112010795</v>
      </c>
      <c r="AE553" s="799" t="str">
        <f t="shared" si="151"/>
        <v>NOGUERA GASTON EZEQUIEL</v>
      </c>
      <c r="AG553" s="325" t="s">
        <v>1360</v>
      </c>
      <c r="AH553" s="325">
        <v>71</v>
      </c>
      <c r="AI553" s="325">
        <v>112013055</v>
      </c>
      <c r="AJ553" s="325" t="str">
        <f t="shared" si="152"/>
        <v>FRANCO HECTOR HUGO Y FRANCO DAVID HERNAN SOC. DE HECHO</v>
      </c>
      <c r="AL553" s="325" t="s">
        <v>1103</v>
      </c>
      <c r="AM553" s="325">
        <v>70</v>
      </c>
      <c r="AN553" s="325">
        <v>112011658</v>
      </c>
      <c r="AO553" s="799" t="str">
        <f t="shared" si="153"/>
        <v>HERRERA JULIAN</v>
      </c>
      <c r="AQ553" s="325" t="s">
        <v>1019</v>
      </c>
      <c r="AR553" s="325">
        <v>63</v>
      </c>
      <c r="AS553" s="325">
        <v>112013474</v>
      </c>
      <c r="AT553" s="799" t="str">
        <f t="shared" si="154"/>
        <v>GASALI GONZALEZ AGUSTINA MERCEDES</v>
      </c>
      <c r="AW553" s="325" t="s">
        <v>1440</v>
      </c>
      <c r="AX553" s="325">
        <v>63</v>
      </c>
      <c r="AY553" s="325">
        <v>112014534</v>
      </c>
      <c r="AZ553" s="799" t="str">
        <f t="shared" si="155"/>
        <v>HERRERA GLORIA S/SUC2</v>
      </c>
      <c r="BE553" s="618"/>
      <c r="BF553" s="618"/>
      <c r="BG553" s="1461" t="s">
        <v>934</v>
      </c>
      <c r="BH553" s="324">
        <v>71</v>
      </c>
      <c r="BI553" s="799">
        <v>112014125</v>
      </c>
      <c r="BJ553" s="799"/>
      <c r="BK553" s="618"/>
      <c r="BL553" s="1461" t="s">
        <v>1220</v>
      </c>
      <c r="BM553" s="799">
        <v>70</v>
      </c>
      <c r="BN553" s="799">
        <v>112013717</v>
      </c>
      <c r="BO553" s="799"/>
    </row>
    <row r="554" spans="1:67" ht="13">
      <c r="A554" s="325" t="s">
        <v>752</v>
      </c>
      <c r="B554" s="325">
        <v>70</v>
      </c>
      <c r="C554" s="325">
        <v>112013839</v>
      </c>
      <c r="D554" s="799"/>
      <c r="G554" s="325" t="s">
        <v>151</v>
      </c>
      <c r="H554" s="325">
        <v>70</v>
      </c>
      <c r="I554" s="325">
        <v>112012536</v>
      </c>
      <c r="J554" s="1459" t="str">
        <f t="shared" si="147"/>
        <v>BUONOPANE ANGEL EZEQUIEL</v>
      </c>
      <c r="M554" s="325" t="s">
        <v>541</v>
      </c>
      <c r="N554" s="324">
        <v>63</v>
      </c>
      <c r="O554" s="325">
        <v>112012514</v>
      </c>
      <c r="P554" s="799" t="str">
        <f t="shared" si="148"/>
        <v>ELSO JOSE GONZALO</v>
      </c>
      <c r="R554" s="325" t="s">
        <v>325</v>
      </c>
      <c r="S554" s="324">
        <v>71</v>
      </c>
      <c r="T554" s="325">
        <v>112011827</v>
      </c>
      <c r="U554" s="799" t="str">
        <f t="shared" si="149"/>
        <v>IBARGUENGOITIA GERMAN</v>
      </c>
      <c r="W554" s="325" t="s">
        <v>409</v>
      </c>
      <c r="X554" s="324">
        <v>62</v>
      </c>
      <c r="Y554" s="325">
        <v>112014364</v>
      </c>
      <c r="Z554" s="799" t="str">
        <f t="shared" si="150"/>
        <v>GUTIERREZ MARIA DEL PILAR</v>
      </c>
      <c r="AB554" s="325" t="s">
        <v>884</v>
      </c>
      <c r="AC554" s="325">
        <v>71</v>
      </c>
      <c r="AD554" s="325">
        <v>112014672</v>
      </c>
      <c r="AE554" s="799" t="str">
        <f t="shared" si="151"/>
        <v>OMAR LEONARDO SOSA</v>
      </c>
      <c r="AG554" s="325" t="s">
        <v>1295</v>
      </c>
      <c r="AH554" s="325">
        <v>63</v>
      </c>
      <c r="AI554" s="325">
        <v>112011689</v>
      </c>
      <c r="AJ554" s="325" t="str">
        <f t="shared" si="152"/>
        <v>FRONZA CLAUDIO MARCELO</v>
      </c>
      <c r="AL554" s="325" t="s">
        <v>1106</v>
      </c>
      <c r="AM554" s="325">
        <v>70</v>
      </c>
      <c r="AN554" s="325">
        <v>112014420</v>
      </c>
      <c r="AO554" s="799" t="str">
        <f t="shared" si="153"/>
        <v>LOJO MARCELA ALEJANDRA</v>
      </c>
      <c r="AQ554" s="325" t="s">
        <v>996</v>
      </c>
      <c r="AR554" s="325">
        <v>54</v>
      </c>
      <c r="AS554" s="325">
        <v>112010082</v>
      </c>
      <c r="AT554" s="799" t="str">
        <f t="shared" si="154"/>
        <v>GIAMBRONI EMILCE BEATRIZ</v>
      </c>
      <c r="AW554" s="325" t="s">
        <v>1401</v>
      </c>
      <c r="AX554" s="325">
        <v>55</v>
      </c>
      <c r="AY554" s="325">
        <v>112013512</v>
      </c>
      <c r="AZ554" s="799" t="str">
        <f t="shared" si="155"/>
        <v>IRAZOQUI JUAN CARLOS</v>
      </c>
      <c r="BE554" s="618"/>
      <c r="BF554" s="618"/>
      <c r="BG554" s="1461" t="s">
        <v>1170</v>
      </c>
      <c r="BH554" s="324">
        <v>70</v>
      </c>
      <c r="BI554" s="799">
        <v>112013266</v>
      </c>
      <c r="BJ554" s="799"/>
      <c r="BK554" s="618"/>
      <c r="BL554" s="1461" t="s">
        <v>1167</v>
      </c>
      <c r="BM554" s="799">
        <v>70</v>
      </c>
      <c r="BN554" s="799">
        <v>112014655</v>
      </c>
      <c r="BO554" s="799"/>
    </row>
    <row r="555" spans="1:67" ht="13">
      <c r="A555" s="325" t="s">
        <v>727</v>
      </c>
      <c r="B555" s="325">
        <v>69</v>
      </c>
      <c r="C555" s="325">
        <v>112013377</v>
      </c>
      <c r="D555" s="799"/>
      <c r="G555" s="325" t="s">
        <v>70</v>
      </c>
      <c r="H555" s="325">
        <v>55</v>
      </c>
      <c r="I555" s="325">
        <v>112013867</v>
      </c>
      <c r="J555" s="1459" t="str">
        <f t="shared" si="147"/>
        <v>FLORENTIN JUAN CARLOS</v>
      </c>
      <c r="M555" s="325" t="s">
        <v>528</v>
      </c>
      <c r="N555" s="324">
        <v>62</v>
      </c>
      <c r="O555" s="325">
        <v>112014341</v>
      </c>
      <c r="P555" s="799" t="str">
        <f t="shared" si="148"/>
        <v>ENTRE MASCOTAS</v>
      </c>
      <c r="R555" s="325" t="s">
        <v>326</v>
      </c>
      <c r="S555" s="324">
        <v>71</v>
      </c>
      <c r="T555" s="325">
        <v>112012077</v>
      </c>
      <c r="U555" s="799" t="str">
        <f t="shared" si="149"/>
        <v>INOSTROZA ANDRES RAMON</v>
      </c>
      <c r="W555" s="325" t="s">
        <v>389</v>
      </c>
      <c r="X555" s="324">
        <v>57</v>
      </c>
      <c r="Y555" s="325">
        <v>112014548</v>
      </c>
      <c r="Z555" s="799" t="str">
        <f t="shared" si="150"/>
        <v>HERNAN DARIO MEDIN</v>
      </c>
      <c r="AB555" s="325" t="s">
        <v>891</v>
      </c>
      <c r="AC555" s="325">
        <v>70</v>
      </c>
      <c r="AD555" s="325">
        <v>112014191</v>
      </c>
      <c r="AE555" s="799" t="str">
        <f t="shared" si="151"/>
        <v>PALADINI WALTER VICENTE</v>
      </c>
      <c r="AG555" s="325" t="s">
        <v>1328</v>
      </c>
      <c r="AH555" s="325">
        <v>63</v>
      </c>
      <c r="AI555" s="325">
        <v>112012820</v>
      </c>
      <c r="AJ555" s="325" t="str">
        <f t="shared" si="152"/>
        <v>GAMARDO PATRICIA MONICA</v>
      </c>
      <c r="AL555" s="325" t="s">
        <v>1101</v>
      </c>
      <c r="AM555" s="325">
        <v>70</v>
      </c>
      <c r="AN555" s="325">
        <v>112014666</v>
      </c>
      <c r="AO555" s="799" t="str">
        <f t="shared" si="153"/>
        <v>MARIA BELEN GUTIERREZ MEYER</v>
      </c>
      <c r="AQ555" s="325" t="s">
        <v>1085</v>
      </c>
      <c r="AR555" s="325">
        <v>71</v>
      </c>
      <c r="AS555" s="325">
        <v>112013843</v>
      </c>
      <c r="AT555" s="799" t="str">
        <f t="shared" si="154"/>
        <v>GOMBA RODRIGO</v>
      </c>
      <c r="AW555" s="325" t="s">
        <v>1424</v>
      </c>
      <c r="AX555" s="325">
        <v>63</v>
      </c>
      <c r="AY555" s="325">
        <v>112014493</v>
      </c>
      <c r="AZ555" s="799" t="str">
        <f t="shared" si="155"/>
        <v>JESUS DAMIAN TURSI</v>
      </c>
      <c r="BE555" s="618"/>
      <c r="BF555" s="618"/>
      <c r="BG555" s="1461" t="s">
        <v>1228</v>
      </c>
      <c r="BH555" s="324">
        <v>71</v>
      </c>
      <c r="BI555" s="799">
        <v>112013784</v>
      </c>
      <c r="BJ555" s="799"/>
      <c r="BK555" s="618"/>
      <c r="BL555" s="1461" t="s">
        <v>1168</v>
      </c>
      <c r="BM555" s="799">
        <v>70</v>
      </c>
      <c r="BN555" s="799">
        <v>112014669</v>
      </c>
      <c r="BO555" s="799"/>
    </row>
    <row r="556" spans="1:67" ht="13">
      <c r="A556" s="325" t="s">
        <v>738</v>
      </c>
      <c r="B556" s="325">
        <v>71</v>
      </c>
      <c r="C556" s="325">
        <v>112013046</v>
      </c>
      <c r="D556" s="799"/>
      <c r="G556" s="325" t="s">
        <v>183</v>
      </c>
      <c r="H556" s="325">
        <v>71</v>
      </c>
      <c r="I556" s="325">
        <v>112012563</v>
      </c>
      <c r="J556" s="1459" t="str">
        <f t="shared" si="147"/>
        <v>VETERINARIA BAVIO SOLANO S.A</v>
      </c>
      <c r="M556" s="325" t="s">
        <v>610</v>
      </c>
      <c r="N556" s="324">
        <v>71</v>
      </c>
      <c r="O556" s="325">
        <v>112013568</v>
      </c>
      <c r="P556" s="799" t="str">
        <f t="shared" si="148"/>
        <v>ESTEVEZ MARIA DOLORES</v>
      </c>
      <c r="R556" s="325" t="s">
        <v>301</v>
      </c>
      <c r="S556" s="324">
        <v>70</v>
      </c>
      <c r="T556" s="325">
        <v>112013107</v>
      </c>
      <c r="U556" s="799" t="str">
        <f t="shared" si="149"/>
        <v>JARA JUAN EDUARDO</v>
      </c>
      <c r="W556" s="325" t="s">
        <v>459</v>
      </c>
      <c r="X556" s="324">
        <v>71</v>
      </c>
      <c r="Y556" s="325">
        <v>112010914</v>
      </c>
      <c r="Z556" s="799" t="str">
        <f t="shared" si="150"/>
        <v>IZQUIERDO JULIA MARTA</v>
      </c>
      <c r="AB556" s="325" t="s">
        <v>839</v>
      </c>
      <c r="AC556" s="325">
        <v>53</v>
      </c>
      <c r="AD556" s="325">
        <v>112014058</v>
      </c>
      <c r="AE556" s="799" t="str">
        <f t="shared" si="151"/>
        <v>PEREZ LUIS GABRIEL</v>
      </c>
      <c r="AG556" s="325" t="s">
        <v>1361</v>
      </c>
      <c r="AH556" s="325">
        <v>71</v>
      </c>
      <c r="AI556" s="325">
        <v>112011563</v>
      </c>
      <c r="AJ556" s="325" t="str">
        <f t="shared" si="152"/>
        <v>GARCIA ALEJANDRO RAUL</v>
      </c>
      <c r="AL556" s="325" t="s">
        <v>1104</v>
      </c>
      <c r="AM556" s="325">
        <v>70</v>
      </c>
      <c r="AN556" s="325">
        <v>112012176</v>
      </c>
      <c r="AO556" s="799" t="str">
        <f t="shared" si="153"/>
        <v>NIEVA MARIA DE LOS ANGELES</v>
      </c>
      <c r="AQ556" s="325" t="s">
        <v>1073</v>
      </c>
      <c r="AR556" s="325">
        <v>71</v>
      </c>
      <c r="AS556" s="325">
        <v>112011971</v>
      </c>
      <c r="AT556" s="799" t="str">
        <f t="shared" si="154"/>
        <v>GONZALEZ JUAN MARIA</v>
      </c>
      <c r="AW556" s="325" t="s">
        <v>1455</v>
      </c>
      <c r="AX556" s="325">
        <v>63</v>
      </c>
      <c r="AY556" s="325">
        <v>112014636</v>
      </c>
      <c r="AZ556" s="799" t="str">
        <f t="shared" si="155"/>
        <v>JONES CAMILA GERALDINE</v>
      </c>
      <c r="BE556" s="618"/>
      <c r="BF556" s="618"/>
      <c r="BG556" s="1461" t="s">
        <v>969</v>
      </c>
      <c r="BH556" s="324">
        <v>71</v>
      </c>
      <c r="BI556" s="799">
        <v>112014568</v>
      </c>
      <c r="BJ556" s="799"/>
      <c r="BK556" s="618"/>
      <c r="BL556" s="1461" t="s">
        <v>975</v>
      </c>
      <c r="BM556" s="799">
        <v>71</v>
      </c>
      <c r="BN556" s="799">
        <v>112014100</v>
      </c>
      <c r="BO556" s="799"/>
    </row>
    <row r="557" spans="1:67" ht="13">
      <c r="A557" s="325" t="s">
        <v>755</v>
      </c>
      <c r="B557" s="325">
        <v>70</v>
      </c>
      <c r="C557" s="325">
        <v>112014751</v>
      </c>
      <c r="D557" s="799"/>
      <c r="G557" s="325" t="s">
        <v>169</v>
      </c>
      <c r="H557" s="325">
        <v>70</v>
      </c>
      <c r="I557" s="325">
        <v>112012474</v>
      </c>
      <c r="J557" s="1459" t="str">
        <f t="shared" si="147"/>
        <v>FERRARAZZO MARIA LAURA</v>
      </c>
      <c r="M557" s="325" t="s">
        <v>611</v>
      </c>
      <c r="N557" s="324">
        <v>71</v>
      </c>
      <c r="O557" s="325">
        <v>112013887</v>
      </c>
      <c r="P557" s="799" t="str">
        <f t="shared" si="148"/>
        <v>ESTOL SOLANA</v>
      </c>
      <c r="R557" s="325" t="s">
        <v>309</v>
      </c>
      <c r="S557" s="324">
        <v>71</v>
      </c>
      <c r="T557" s="325">
        <v>112014435</v>
      </c>
      <c r="U557" s="799" t="str">
        <f t="shared" si="149"/>
        <v>JOSE MARIA SHINZATO</v>
      </c>
      <c r="W557" s="325" t="s">
        <v>431</v>
      </c>
      <c r="X557" s="324">
        <v>63</v>
      </c>
      <c r="Y557" s="325">
        <v>112011724</v>
      </c>
      <c r="Z557" s="799" t="str">
        <f t="shared" si="150"/>
        <v>JURIO/ TONDELLI</v>
      </c>
      <c r="AB557" s="325" t="s">
        <v>893</v>
      </c>
      <c r="AC557" s="325">
        <v>71</v>
      </c>
      <c r="AD557" s="325">
        <v>112010041</v>
      </c>
      <c r="AE557" s="799" t="str">
        <f t="shared" si="151"/>
        <v>PETERSEN MARCELO ORLANDO</v>
      </c>
      <c r="AG557" s="325" t="s">
        <v>1337</v>
      </c>
      <c r="AH557" s="325">
        <v>71</v>
      </c>
      <c r="AI557" s="325">
        <v>112013167</v>
      </c>
      <c r="AJ557" s="325" t="str">
        <f t="shared" si="152"/>
        <v>GOIN MARTIN EMILIO</v>
      </c>
      <c r="AL557" s="325" t="s">
        <v>1099</v>
      </c>
      <c r="AM557" s="325">
        <v>70</v>
      </c>
      <c r="AN557" s="325">
        <v>112012452</v>
      </c>
      <c r="AO557" s="799" t="str">
        <f t="shared" si="153"/>
        <v>OSTROWSKI CRISTIAN MIGUEL</v>
      </c>
      <c r="AQ557" s="325" t="s">
        <v>1040</v>
      </c>
      <c r="AR557" s="325">
        <v>70</v>
      </c>
      <c r="AS557" s="325">
        <v>112011404</v>
      </c>
      <c r="AT557" s="799" t="str">
        <f t="shared" si="154"/>
        <v>GONZALEZ MONICA NOEMI</v>
      </c>
      <c r="AW557" s="325" t="s">
        <v>1412</v>
      </c>
      <c r="AX557" s="325">
        <v>61</v>
      </c>
      <c r="AY557" s="325">
        <v>112014450</v>
      </c>
      <c r="AZ557" s="799" t="str">
        <f t="shared" si="155"/>
        <v>JULIA ISABEL MARTINEZ TARRAGO</v>
      </c>
      <c r="BE557" s="618"/>
      <c r="BF557" s="618"/>
      <c r="BG557" s="1461" t="s">
        <v>1207</v>
      </c>
      <c r="BH557" s="324">
        <v>71</v>
      </c>
      <c r="BI557" s="799">
        <v>112012595</v>
      </c>
      <c r="BJ557" s="799"/>
      <c r="BK557" s="618"/>
      <c r="BL557" s="1461" t="s">
        <v>918</v>
      </c>
      <c r="BM557" s="799">
        <v>70</v>
      </c>
      <c r="BN557" s="799">
        <v>112014075</v>
      </c>
      <c r="BO557" s="799"/>
    </row>
    <row r="558" spans="1:67" ht="13">
      <c r="A558" s="325" t="s">
        <v>702</v>
      </c>
      <c r="B558" s="325">
        <v>62</v>
      </c>
      <c r="C558" s="325">
        <v>112013734</v>
      </c>
      <c r="D558" s="799"/>
      <c r="G558" s="325" t="s">
        <v>76</v>
      </c>
      <c r="H558" s="325">
        <v>61</v>
      </c>
      <c r="I558" s="325">
        <v>112014270</v>
      </c>
      <c r="J558" s="1459" t="str">
        <f t="shared" si="147"/>
        <v>NARVARTE ERIC</v>
      </c>
      <c r="M558" s="325" t="s">
        <v>624</v>
      </c>
      <c r="N558" s="324">
        <v>69</v>
      </c>
      <c r="O558" s="325">
        <v>112014573</v>
      </c>
      <c r="P558" s="799" t="str">
        <f t="shared" si="148"/>
        <v>FAMILIA PETS S.R.L.</v>
      </c>
      <c r="R558" s="325" t="s">
        <v>284</v>
      </c>
      <c r="S558" s="324">
        <v>66</v>
      </c>
      <c r="T558" s="325">
        <v>112014421</v>
      </c>
      <c r="U558" s="799" t="str">
        <f t="shared" si="149"/>
        <v>JULIETA VALERIA SALDUNGARAY</v>
      </c>
      <c r="W558" s="325" t="s">
        <v>410</v>
      </c>
      <c r="X558" s="324">
        <v>62</v>
      </c>
      <c r="Y558" s="325">
        <v>112011890</v>
      </c>
      <c r="Z558" s="799" t="str">
        <f t="shared" si="150"/>
        <v>LAGOSTENA CAROLINA</v>
      </c>
      <c r="AB558" s="325" t="s">
        <v>871</v>
      </c>
      <c r="AC558" s="325">
        <v>63</v>
      </c>
      <c r="AD558" s="325">
        <v>112010488</v>
      </c>
      <c r="AE558" s="799" t="str">
        <f t="shared" si="151"/>
        <v>RUFFOLO GABRIEL</v>
      </c>
      <c r="AG558" s="325" t="s">
        <v>1316</v>
      </c>
      <c r="AH558" s="325">
        <v>63</v>
      </c>
      <c r="AI558" s="325">
        <v>112011934</v>
      </c>
      <c r="AJ558" s="325" t="str">
        <f t="shared" si="152"/>
        <v>GOMEZ GUSTAVO ALBERTO</v>
      </c>
      <c r="AL558" s="325" t="s">
        <v>1100</v>
      </c>
      <c r="AM558" s="325">
        <v>70</v>
      </c>
      <c r="AN558" s="325">
        <v>112014694</v>
      </c>
      <c r="AO558" s="799" t="str">
        <f t="shared" si="153"/>
        <v>PEDRAZZA NICOLAS GABRIEL</v>
      </c>
      <c r="AQ558" s="325" t="s">
        <v>1065</v>
      </c>
      <c r="AR558" s="325">
        <v>71</v>
      </c>
      <c r="AS558" s="325">
        <v>112011567</v>
      </c>
      <c r="AT558" s="799" t="str">
        <f t="shared" si="154"/>
        <v>GUERRA LUIS SANDRO SANTOS</v>
      </c>
      <c r="AW558" s="325" t="s">
        <v>1418</v>
      </c>
      <c r="AX558" s="325">
        <v>62</v>
      </c>
      <c r="AY558" s="325">
        <v>112014566</v>
      </c>
      <c r="AZ558" s="799" t="str">
        <f t="shared" si="155"/>
        <v>JULIETA RODRIGUEZ</v>
      </c>
      <c r="BE558" s="618"/>
      <c r="BF558" s="618"/>
      <c r="BG558" s="1461" t="s">
        <v>947</v>
      </c>
      <c r="BH558" s="324">
        <v>70</v>
      </c>
      <c r="BI558" s="799">
        <v>112012424</v>
      </c>
      <c r="BJ558" s="799"/>
      <c r="BK558" s="618"/>
      <c r="BL558" s="1461" t="s">
        <v>930</v>
      </c>
      <c r="BM558" s="799">
        <v>63</v>
      </c>
      <c r="BN558" s="799">
        <v>112014677</v>
      </c>
      <c r="BO558" s="799"/>
    </row>
    <row r="559" spans="1:67" ht="13">
      <c r="A559" s="325" t="s">
        <v>695</v>
      </c>
      <c r="B559" s="325">
        <v>57</v>
      </c>
      <c r="C559" s="325">
        <v>112013341</v>
      </c>
      <c r="D559" s="799"/>
      <c r="G559" s="325" t="s">
        <v>152</v>
      </c>
      <c r="H559" s="325">
        <v>70</v>
      </c>
      <c r="I559" s="325">
        <v>112014553</v>
      </c>
      <c r="J559" s="1459" t="str">
        <f t="shared" si="147"/>
        <v>MICHELIN FERNANDO SERGIO</v>
      </c>
      <c r="M559" s="325" t="s">
        <v>561</v>
      </c>
      <c r="N559" s="324">
        <v>69</v>
      </c>
      <c r="O559" s="325">
        <v>112014136</v>
      </c>
      <c r="P559" s="799" t="str">
        <f t="shared" si="148"/>
        <v>FARIA ANTONIO</v>
      </c>
      <c r="R559" s="325" t="s">
        <v>327</v>
      </c>
      <c r="S559" s="324">
        <v>71</v>
      </c>
      <c r="T559" s="325">
        <v>112013109</v>
      </c>
      <c r="U559" s="799" t="str">
        <f t="shared" si="149"/>
        <v>LANUS EDUARDO MARIA</v>
      </c>
      <c r="W559" s="325" t="s">
        <v>432</v>
      </c>
      <c r="X559" s="324">
        <v>63</v>
      </c>
      <c r="Y559" s="325">
        <v>112012457</v>
      </c>
      <c r="Z559" s="799" t="str">
        <f t="shared" si="150"/>
        <v>LARA CARLOS TOMAS</v>
      </c>
      <c r="AB559" s="325" t="s">
        <v>492</v>
      </c>
      <c r="AC559" s="325">
        <v>62</v>
      </c>
      <c r="AD559" s="325">
        <v>112012714</v>
      </c>
      <c r="AE559" s="799" t="str">
        <f t="shared" si="151"/>
        <v>SANCHEZ EUGENIA CECILIA</v>
      </c>
      <c r="AG559" s="325" t="s">
        <v>1315</v>
      </c>
      <c r="AH559" s="325">
        <v>63</v>
      </c>
      <c r="AI559" s="325">
        <v>112014035</v>
      </c>
      <c r="AJ559" s="325" t="str">
        <f t="shared" si="152"/>
        <v>GOMEZ JAVIER/NICOSIA CLAUDIO</v>
      </c>
      <c r="AL559" s="325" t="s">
        <v>949</v>
      </c>
      <c r="AM559" s="325">
        <v>70</v>
      </c>
      <c r="AN559" s="325">
        <v>112011810</v>
      </c>
      <c r="AO559" s="799" t="str">
        <f t="shared" si="153"/>
        <v>PUIG JOSE ALBERTO</v>
      </c>
      <c r="AQ559" s="325" t="s">
        <v>1054</v>
      </c>
      <c r="AR559" s="325">
        <v>71</v>
      </c>
      <c r="AS559" s="325">
        <v>112014425</v>
      </c>
      <c r="AT559" s="799" t="str">
        <f t="shared" si="154"/>
        <v>JESICA LORENA ACOSTA</v>
      </c>
      <c r="AW559" s="325" t="s">
        <v>1472</v>
      </c>
      <c r="AX559" s="325">
        <v>67</v>
      </c>
      <c r="AY559" s="325">
        <v>112014644</v>
      </c>
      <c r="AZ559" s="799" t="str">
        <f t="shared" si="155"/>
        <v>KARINA TOME</v>
      </c>
      <c r="BE559" s="618"/>
      <c r="BF559" s="618"/>
      <c r="BG559" s="1461" t="s">
        <v>920</v>
      </c>
      <c r="BH559" s="324"/>
      <c r="BI559" s="799">
        <v>112012708</v>
      </c>
      <c r="BJ559" s="799"/>
      <c r="BK559" s="618"/>
      <c r="BL559" s="1461" t="s">
        <v>1169</v>
      </c>
      <c r="BM559" s="799">
        <v>71</v>
      </c>
      <c r="BN559" s="799">
        <v>112014673</v>
      </c>
      <c r="BO559" s="799"/>
    </row>
    <row r="560" spans="1:67" ht="13">
      <c r="A560" s="325" t="s">
        <v>753</v>
      </c>
      <c r="B560" s="325">
        <v>70</v>
      </c>
      <c r="C560" s="325">
        <v>112013630</v>
      </c>
      <c r="D560" s="799"/>
      <c r="G560" s="325" t="s">
        <v>118</v>
      </c>
      <c r="H560" s="325">
        <v>70</v>
      </c>
      <c r="I560" s="325">
        <v>112014654</v>
      </c>
      <c r="J560" s="1459" t="e">
        <f t="shared" si="147"/>
        <v>#N/A</v>
      </c>
      <c r="M560" s="325" t="s">
        <v>581</v>
      </c>
      <c r="N560" s="324">
        <v>70</v>
      </c>
      <c r="O560" s="325">
        <v>112014373</v>
      </c>
      <c r="P560" s="799" t="str">
        <f t="shared" si="148"/>
        <v>FARMACIA SANTA CATALINA SRL</v>
      </c>
      <c r="R560" s="325" t="s">
        <v>302</v>
      </c>
      <c r="S560" s="324">
        <v>70</v>
      </c>
      <c r="T560" s="325">
        <v>112013559</v>
      </c>
      <c r="U560" s="799" t="str">
        <f t="shared" si="149"/>
        <v>LANUS IGNACIO</v>
      </c>
      <c r="W560" s="325" t="s">
        <v>453</v>
      </c>
      <c r="X560" s="324">
        <v>70</v>
      </c>
      <c r="Y560" s="325">
        <v>112012567</v>
      </c>
      <c r="Z560" s="799" t="str">
        <f t="shared" si="150"/>
        <v>LARICE SEBASTIAN PABLO</v>
      </c>
      <c r="AB560" s="325" t="s">
        <v>864</v>
      </c>
      <c r="AC560" s="325">
        <v>63</v>
      </c>
      <c r="AD560" s="325">
        <v>112013328</v>
      </c>
      <c r="AE560" s="799" t="str">
        <f t="shared" si="151"/>
        <v>SANDRA MARCOS MARTIN</v>
      </c>
      <c r="AG560" s="325" t="s">
        <v>1296</v>
      </c>
      <c r="AH560" s="325">
        <v>63</v>
      </c>
      <c r="AI560" s="325">
        <v>112013403</v>
      </c>
      <c r="AJ560" s="325" t="str">
        <f t="shared" si="152"/>
        <v>GONZALEZ NOELIA LUCIA</v>
      </c>
      <c r="AL560" s="325" t="s">
        <v>1093</v>
      </c>
      <c r="AM560" s="325">
        <v>71</v>
      </c>
      <c r="AN560" s="325">
        <v>112012366</v>
      </c>
      <c r="AO560" s="799" t="str">
        <f t="shared" si="153"/>
        <v>BUGLIO JULIO CESAR</v>
      </c>
      <c r="AQ560" s="325" t="s">
        <v>1030</v>
      </c>
      <c r="AR560" s="325">
        <v>63</v>
      </c>
      <c r="AS560" s="325">
        <v>112011317</v>
      </c>
      <c r="AT560" s="799" t="str">
        <f t="shared" si="154"/>
        <v>LIVIO ROBERTO/FOUQUET</v>
      </c>
      <c r="AW560" s="325" t="s">
        <v>1423</v>
      </c>
      <c r="AX560" s="325">
        <v>62</v>
      </c>
      <c r="AY560" s="325">
        <v>112013331</v>
      </c>
      <c r="AZ560" s="799" t="str">
        <f t="shared" si="155"/>
        <v>KENNY RUPERTO ENRIQUE</v>
      </c>
      <c r="BE560" s="618"/>
      <c r="BF560" s="618"/>
      <c r="BG560" s="1461" t="s">
        <v>1208</v>
      </c>
      <c r="BH560" s="324">
        <v>71</v>
      </c>
      <c r="BI560" s="799">
        <v>112011846</v>
      </c>
      <c r="BJ560" s="799"/>
      <c r="BK560" s="618"/>
      <c r="BL560" s="1461" t="s">
        <v>1180</v>
      </c>
      <c r="BM560" s="799">
        <v>71</v>
      </c>
      <c r="BN560" s="799">
        <v>112012186</v>
      </c>
      <c r="BO560" s="799"/>
    </row>
    <row r="561" spans="1:67" ht="13">
      <c r="A561" s="325" t="s">
        <v>756</v>
      </c>
      <c r="B561" s="325">
        <v>69</v>
      </c>
      <c r="C561" s="325">
        <v>112013297</v>
      </c>
      <c r="D561" s="799"/>
      <c r="G561" s="325" t="s">
        <v>184</v>
      </c>
      <c r="H561" s="325">
        <v>71</v>
      </c>
      <c r="I561" s="325">
        <v>112014467</v>
      </c>
      <c r="J561" s="1459" t="str">
        <f t="shared" si="147"/>
        <v>ANDREOLI FABIAN RODOLFO</v>
      </c>
      <c r="M561" s="325" t="s">
        <v>515</v>
      </c>
      <c r="N561" s="324">
        <v>52</v>
      </c>
      <c r="O561" s="325">
        <v>112014583</v>
      </c>
      <c r="P561" s="799" t="str">
        <f t="shared" si="148"/>
        <v>FERRARO MARRON HECTOR PEDRO</v>
      </c>
      <c r="R561" s="325" t="s">
        <v>273</v>
      </c>
      <c r="S561" s="324">
        <v>63</v>
      </c>
      <c r="T561" s="325">
        <v>112012351</v>
      </c>
      <c r="U561" s="799" t="str">
        <f t="shared" si="149"/>
        <v>LOMAZO SERG/ WEPPLER ELOISA</v>
      </c>
      <c r="W561" s="325" t="s">
        <v>433</v>
      </c>
      <c r="X561" s="324">
        <v>63</v>
      </c>
      <c r="Y561" s="325">
        <v>112013610</v>
      </c>
      <c r="Z561" s="799" t="str">
        <f t="shared" si="150"/>
        <v>LAZARO JUAN SEGUNDO</v>
      </c>
      <c r="AB561" s="325" t="s">
        <v>851</v>
      </c>
      <c r="AC561" s="325">
        <v>62</v>
      </c>
      <c r="AD561" s="325">
        <v>112014033</v>
      </c>
      <c r="AE561" s="799" t="str">
        <f t="shared" si="151"/>
        <v>SCASSO NOELIA SOLEDAD</v>
      </c>
      <c r="AG561" s="325" t="s">
        <v>1317</v>
      </c>
      <c r="AH561" s="325">
        <v>63</v>
      </c>
      <c r="AI561" s="325">
        <v>112011216</v>
      </c>
      <c r="AJ561" s="325" t="str">
        <f t="shared" si="152"/>
        <v>GUILINO ABEL ALCIDES</v>
      </c>
      <c r="AL561" s="325" t="s">
        <v>1094</v>
      </c>
      <c r="AM561" s="325">
        <v>71</v>
      </c>
      <c r="AN561" s="325">
        <v>112012428</v>
      </c>
      <c r="AO561" s="799" t="str">
        <f t="shared" si="153"/>
        <v>DI IELSI NADIA SOLEDAD</v>
      </c>
      <c r="AQ561" s="325" t="s">
        <v>1047</v>
      </c>
      <c r="AR561" s="325">
        <v>71</v>
      </c>
      <c r="AS561" s="325">
        <v>112011685</v>
      </c>
      <c r="AT561" s="799" t="str">
        <f t="shared" si="154"/>
        <v>LOVISO L/MARIA C BENAVIDEZ</v>
      </c>
      <c r="AW561" s="325" t="s">
        <v>1486</v>
      </c>
      <c r="AX561" s="325">
        <v>71</v>
      </c>
      <c r="AY561" s="325">
        <v>112014586</v>
      </c>
      <c r="AZ561" s="799" t="str">
        <f t="shared" si="155"/>
        <v>LA CAUTIVA SOCIEDAD LEY 19550 CAP. I SECC. IV</v>
      </c>
      <c r="BE561" s="618"/>
      <c r="BF561" s="618"/>
      <c r="BG561" s="1461" t="s">
        <v>1181</v>
      </c>
      <c r="BH561" s="324">
        <v>71</v>
      </c>
      <c r="BI561" s="799">
        <v>112013366</v>
      </c>
      <c r="BJ561" s="799"/>
      <c r="BK561" s="618"/>
      <c r="BL561" s="1461" t="s">
        <v>928</v>
      </c>
      <c r="BM561" s="799">
        <v>62</v>
      </c>
      <c r="BN561" s="799">
        <v>112014140</v>
      </c>
      <c r="BO561" s="799"/>
    </row>
    <row r="562" spans="1:67" ht="13">
      <c r="A562" s="325" t="s">
        <v>781</v>
      </c>
      <c r="B562" s="325">
        <v>71</v>
      </c>
      <c r="C562" s="325">
        <v>112010867</v>
      </c>
      <c r="D562" s="799"/>
      <c r="G562" s="325" t="s">
        <v>185</v>
      </c>
      <c r="H562" s="325">
        <v>71</v>
      </c>
      <c r="I562" s="325">
        <v>112013880</v>
      </c>
      <c r="J562" s="1459" t="str">
        <f t="shared" si="147"/>
        <v>ACOSTA MARIO HECTOR Y LOIZA NESTOR OMAR S.H.</v>
      </c>
      <c r="M562" s="325" t="s">
        <v>664</v>
      </c>
      <c r="N562" s="324"/>
      <c r="O562" s="325">
        <v>112010841</v>
      </c>
      <c r="P562" s="799" t="str">
        <f t="shared" si="148"/>
        <v>FLEMATTI CARLOS ALBERTO</v>
      </c>
      <c r="R562" s="325" t="s">
        <v>285</v>
      </c>
      <c r="S562" s="324">
        <v>66</v>
      </c>
      <c r="T562" s="325">
        <v>112011467</v>
      </c>
      <c r="U562" s="799" t="str">
        <f t="shared" si="149"/>
        <v>LOPEZ MATIAS DANIEL</v>
      </c>
      <c r="W562" s="325" t="s">
        <v>434</v>
      </c>
      <c r="X562" s="324">
        <v>63</v>
      </c>
      <c r="Y562" s="325">
        <v>112010428</v>
      </c>
      <c r="Z562" s="799" t="str">
        <f t="shared" si="150"/>
        <v>LESPADA JOSE CARLOS</v>
      </c>
      <c r="AB562" s="325" t="s">
        <v>857</v>
      </c>
      <c r="AC562" s="325">
        <v>63</v>
      </c>
      <c r="AD562" s="325">
        <v>112011883</v>
      </c>
      <c r="AE562" s="799" t="str">
        <f t="shared" si="151"/>
        <v>TABORDA / SELLART</v>
      </c>
      <c r="AG562" s="325" t="s">
        <v>1344</v>
      </c>
      <c r="AH562" s="325">
        <v>71</v>
      </c>
      <c r="AI562" s="325">
        <v>112013947</v>
      </c>
      <c r="AJ562" s="325" t="str">
        <f t="shared" si="152"/>
        <v>HUSEBY MARIA LUJAN</v>
      </c>
      <c r="AL562" s="325" t="s">
        <v>1097</v>
      </c>
      <c r="AM562" s="325">
        <v>71</v>
      </c>
      <c r="AN562" s="325">
        <v>112012069</v>
      </c>
      <c r="AO562" s="799" t="str">
        <f t="shared" si="153"/>
        <v>SANTISO ATILIO FABIAN</v>
      </c>
      <c r="AQ562" s="325" t="s">
        <v>1060</v>
      </c>
      <c r="AR562" s="325">
        <v>71</v>
      </c>
      <c r="AS562" s="325">
        <v>112014591</v>
      </c>
      <c r="AT562" s="799" t="str">
        <f t="shared" si="154"/>
        <v>LUCIANA YAMILA MANGUDO</v>
      </c>
      <c r="AW562" s="325" t="s">
        <v>1441</v>
      </c>
      <c r="AX562" s="325">
        <v>63</v>
      </c>
      <c r="AY562" s="325">
        <v>112013622</v>
      </c>
      <c r="AZ562" s="799" t="str">
        <f t="shared" si="155"/>
        <v>LA NUEVA MERCED S.R.L.</v>
      </c>
      <c r="BE562" s="618"/>
      <c r="BF562" s="618"/>
      <c r="BG562" s="1461" t="s">
        <v>1159</v>
      </c>
      <c r="BH562" s="324">
        <v>70</v>
      </c>
      <c r="BI562" s="799">
        <v>112012576</v>
      </c>
      <c r="BJ562" s="799"/>
      <c r="BK562" s="618"/>
      <c r="BL562" s="1461" t="s">
        <v>977</v>
      </c>
      <c r="BM562" s="799">
        <v>71</v>
      </c>
      <c r="BN562" s="799">
        <v>112014689</v>
      </c>
      <c r="BO562" s="799"/>
    </row>
    <row r="563" spans="1:67" ht="13">
      <c r="A563" s="325" t="s">
        <v>782</v>
      </c>
      <c r="B563" s="325">
        <v>71</v>
      </c>
      <c r="C563" s="325">
        <v>112013438</v>
      </c>
      <c r="D563" s="799"/>
      <c r="G563" s="325" t="s">
        <v>115</v>
      </c>
      <c r="H563" s="325">
        <v>70</v>
      </c>
      <c r="I563" s="325">
        <v>112014727</v>
      </c>
      <c r="J563" s="1459" t="str">
        <f t="shared" si="147"/>
        <v>DUARTE MANUEL GUSTAVO</v>
      </c>
      <c r="M563" s="325" t="s">
        <v>638</v>
      </c>
      <c r="N563" s="324">
        <v>70</v>
      </c>
      <c r="O563" s="325">
        <v>112014245</v>
      </c>
      <c r="P563" s="799" t="str">
        <f t="shared" si="148"/>
        <v>FLORES VIOLETA AYELEN</v>
      </c>
      <c r="R563" s="325" t="s">
        <v>350</v>
      </c>
      <c r="S563" s="324"/>
      <c r="T563" s="325">
        <v>112013404</v>
      </c>
      <c r="U563" s="799" t="str">
        <f t="shared" si="149"/>
        <v>LOPEZ SABRINA JACINTA</v>
      </c>
      <c r="W563" s="325" t="s">
        <v>397</v>
      </c>
      <c r="X563" s="324">
        <v>61</v>
      </c>
      <c r="Y563" s="325">
        <v>112014451</v>
      </c>
      <c r="Z563" s="799" t="str">
        <f t="shared" si="150"/>
        <v>LICENZIATO JAVIER EDUARDO</v>
      </c>
      <c r="AB563" s="325" t="s">
        <v>845</v>
      </c>
      <c r="AC563" s="325">
        <v>61</v>
      </c>
      <c r="AD563" s="325">
        <v>112014412</v>
      </c>
      <c r="AE563" s="799" t="str">
        <f t="shared" si="151"/>
        <v>THORP JUSTO/THORP PATRICIO/ PETTO</v>
      </c>
      <c r="AG563" s="325" t="s">
        <v>1362</v>
      </c>
      <c r="AH563" s="325">
        <v>71</v>
      </c>
      <c r="AI563" s="325">
        <v>112012704</v>
      </c>
      <c r="AJ563" s="325" t="str">
        <f t="shared" si="152"/>
        <v>INCORONATO PAULA LILIAN</v>
      </c>
      <c r="AO563" s="618"/>
      <c r="AQ563" s="325" t="s">
        <v>1082</v>
      </c>
      <c r="AR563" s="325">
        <v>71</v>
      </c>
      <c r="AS563" s="325">
        <v>112013725</v>
      </c>
      <c r="AT563" s="799" t="str">
        <f t="shared" si="154"/>
        <v>LUNA MATIAS</v>
      </c>
      <c r="AW563" s="325" t="s">
        <v>1465</v>
      </c>
      <c r="AX563" s="325">
        <v>21</v>
      </c>
      <c r="AY563" s="325">
        <v>112014781</v>
      </c>
      <c r="AZ563" s="799" t="str">
        <f t="shared" si="155"/>
        <v>LAB FERNANDEZ S.A.</v>
      </c>
      <c r="BE563" s="618"/>
      <c r="BF563" s="618"/>
      <c r="BG563" s="1461" t="s">
        <v>948</v>
      </c>
      <c r="BH563" s="324">
        <v>71</v>
      </c>
      <c r="BI563" s="799">
        <v>112013698</v>
      </c>
      <c r="BJ563" s="799"/>
      <c r="BK563" s="618"/>
      <c r="BL563" s="1461" t="s">
        <v>946</v>
      </c>
      <c r="BM563" s="799">
        <v>70</v>
      </c>
      <c r="BN563" s="799">
        <v>112014148</v>
      </c>
      <c r="BO563" s="799"/>
    </row>
    <row r="564" spans="1:67" ht="13">
      <c r="A564" s="325" t="s">
        <v>669</v>
      </c>
      <c r="B564" s="325">
        <v>63</v>
      </c>
      <c r="C564" s="325">
        <v>112013626</v>
      </c>
      <c r="D564" s="799"/>
      <c r="G564" s="325" t="s">
        <v>124</v>
      </c>
      <c r="H564" s="325">
        <v>71</v>
      </c>
      <c r="I564" s="325">
        <v>112011491</v>
      </c>
      <c r="J564" s="1459" t="str">
        <f t="shared" si="147"/>
        <v>DULCE IRMA CRISTINA</v>
      </c>
      <c r="M564" s="325" t="s">
        <v>529</v>
      </c>
      <c r="N564" s="324">
        <v>62</v>
      </c>
      <c r="O564" s="325">
        <v>112014169</v>
      </c>
      <c r="P564" s="799" t="str">
        <f t="shared" si="148"/>
        <v>FONSECA JUAN CARLOS</v>
      </c>
      <c r="R564" s="325" t="s">
        <v>328</v>
      </c>
      <c r="S564" s="324">
        <v>71</v>
      </c>
      <c r="T564" s="325">
        <v>112014616</v>
      </c>
      <c r="U564" s="799" t="str">
        <f t="shared" si="149"/>
        <v>LORENA ALEJANDRA DE FELICE</v>
      </c>
      <c r="W564" s="325" t="s">
        <v>460</v>
      </c>
      <c r="X564" s="324">
        <v>71</v>
      </c>
      <c r="Y564" s="325">
        <v>112010931</v>
      </c>
      <c r="Z564" s="799" t="str">
        <f t="shared" si="150"/>
        <v>LOTITO DOMINGO JUAN</v>
      </c>
      <c r="AB564" s="325" t="s">
        <v>880</v>
      </c>
      <c r="AC564" s="325">
        <v>70</v>
      </c>
      <c r="AD564" s="325">
        <v>112012373</v>
      </c>
      <c r="AE564" s="799" t="str">
        <f t="shared" si="151"/>
        <v>TITTARELLI MARIA ISABEL</v>
      </c>
      <c r="AG564" s="325" t="s">
        <v>1297</v>
      </c>
      <c r="AH564" s="325">
        <v>63</v>
      </c>
      <c r="AI564" s="325">
        <v>112011764</v>
      </c>
      <c r="AJ564" s="325" t="str">
        <f t="shared" si="152"/>
        <v>IRIARTE MONICA</v>
      </c>
      <c r="AO564" s="618"/>
      <c r="AQ564" s="325" t="s">
        <v>1089</v>
      </c>
      <c r="AR564" s="325">
        <v>71</v>
      </c>
      <c r="AS564" s="325">
        <v>112014500</v>
      </c>
      <c r="AT564" s="799" t="str">
        <f t="shared" si="154"/>
        <v>MARIA CECILIA TORRA</v>
      </c>
      <c r="AW564" s="325" t="s">
        <v>1504</v>
      </c>
      <c r="AX564" s="325"/>
      <c r="AY564" s="325">
        <v>112014624</v>
      </c>
      <c r="AZ564" s="799" t="str">
        <f t="shared" si="155"/>
        <v>LAVITOLA JOSEFINA</v>
      </c>
      <c r="BE564" s="618"/>
      <c r="BF564" s="618"/>
      <c r="BG564" s="1461" t="s">
        <v>1164</v>
      </c>
      <c r="BH564" s="324">
        <v>70</v>
      </c>
      <c r="BI564" s="799">
        <v>112013037</v>
      </c>
      <c r="BJ564" s="799"/>
      <c r="BK564" s="618"/>
      <c r="BL564" s="1461" t="s">
        <v>942</v>
      </c>
      <c r="BM564" s="799">
        <v>71</v>
      </c>
      <c r="BN564" s="799">
        <v>112012132</v>
      </c>
      <c r="BO564" s="799"/>
    </row>
    <row r="565" spans="1:67" ht="13">
      <c r="A565" s="325" t="s">
        <v>783</v>
      </c>
      <c r="B565" s="325">
        <v>71</v>
      </c>
      <c r="C565" s="325">
        <v>112013823</v>
      </c>
      <c r="D565" s="799"/>
      <c r="G565" s="325" t="s">
        <v>89</v>
      </c>
      <c r="H565" s="325">
        <v>62</v>
      </c>
      <c r="I565" s="325">
        <v>112014512</v>
      </c>
      <c r="J565" s="1459" t="str">
        <f t="shared" si="147"/>
        <v>DOMINGUEZ MARIANA ANDREA</v>
      </c>
      <c r="M565" s="325" t="s">
        <v>549</v>
      </c>
      <c r="N565" s="324">
        <v>69</v>
      </c>
      <c r="O565" s="325">
        <v>112014665</v>
      </c>
      <c r="P565" s="799" t="str">
        <f t="shared" si="148"/>
        <v>FRANCO MARIO LASAGNI VITAR</v>
      </c>
      <c r="R565" s="325" t="s">
        <v>292</v>
      </c>
      <c r="S565" s="324">
        <v>69</v>
      </c>
      <c r="T565" s="325">
        <v>112014630</v>
      </c>
      <c r="U565" s="799" t="str">
        <f t="shared" si="149"/>
        <v>LPH MERCOSUR SA</v>
      </c>
      <c r="W565" s="325" t="s">
        <v>454</v>
      </c>
      <c r="X565" s="324">
        <v>71</v>
      </c>
      <c r="Y565" s="325">
        <v>112010429</v>
      </c>
      <c r="Z565" s="799" t="str">
        <f t="shared" si="150"/>
        <v>MARTINEZ CARLOS ADRIAN</v>
      </c>
      <c r="AB565" s="325" t="s">
        <v>889</v>
      </c>
      <c r="AC565" s="325">
        <v>70</v>
      </c>
      <c r="AD565" s="325">
        <v>112012309</v>
      </c>
      <c r="AE565" s="799" t="str">
        <f t="shared" si="151"/>
        <v>TRIBERIG SA</v>
      </c>
      <c r="AG565" s="325" t="s">
        <v>1287</v>
      </c>
      <c r="AH565" s="325">
        <v>63</v>
      </c>
      <c r="AI565" s="325">
        <v>112014146</v>
      </c>
      <c r="AJ565" s="325" t="str">
        <f t="shared" si="152"/>
        <v>IRIGOYEN ROBERTO/ITURRALDE JUAN</v>
      </c>
      <c r="AO565" s="618"/>
      <c r="AQ565" s="325" t="s">
        <v>1022</v>
      </c>
      <c r="AR565" s="325">
        <v>62</v>
      </c>
      <c r="AS565" s="325">
        <v>112014524</v>
      </c>
      <c r="AT565" s="799" t="str">
        <f t="shared" si="154"/>
        <v>MARIANA LEILA ABRAHIM</v>
      </c>
      <c r="AW565" s="325" t="s">
        <v>1456</v>
      </c>
      <c r="AX565" s="325">
        <v>63</v>
      </c>
      <c r="AY565" s="325">
        <v>112013198</v>
      </c>
      <c r="AZ565" s="799" t="str">
        <f t="shared" si="155"/>
        <v>LEMOS SOLANGE</v>
      </c>
      <c r="BE565" s="618"/>
      <c r="BF565" s="618"/>
      <c r="BG565" s="1461" t="s">
        <v>1171</v>
      </c>
      <c r="BH565" s="324">
        <v>70</v>
      </c>
      <c r="BI565" s="799">
        <v>112014765</v>
      </c>
      <c r="BJ565" s="799"/>
      <c r="BK565" s="618"/>
      <c r="BL565" s="1461" t="s">
        <v>1187</v>
      </c>
      <c r="BM565" s="799"/>
      <c r="BN565" s="799">
        <v>112012517</v>
      </c>
      <c r="BO565" s="799"/>
    </row>
    <row r="566" spans="1:67" ht="13">
      <c r="A566" s="325" t="s">
        <v>728</v>
      </c>
      <c r="B566" s="325">
        <v>70</v>
      </c>
      <c r="C566" s="325">
        <v>112014603</v>
      </c>
      <c r="D566" s="799"/>
      <c r="G566" s="325" t="s">
        <v>186</v>
      </c>
      <c r="H566" s="325">
        <v>71</v>
      </c>
      <c r="I566" s="325">
        <v>112012226</v>
      </c>
      <c r="J566" s="1459" t="str">
        <f t="shared" si="147"/>
        <v>ALLUE ALEJANDRA MARIANA</v>
      </c>
      <c r="M566" s="325" t="s">
        <v>552</v>
      </c>
      <c r="N566" s="324">
        <v>70</v>
      </c>
      <c r="O566" s="325">
        <v>112014036</v>
      </c>
      <c r="P566" s="799" t="str">
        <f t="shared" si="148"/>
        <v>FREIRE BEATRIZ SUSANA</v>
      </c>
      <c r="R566" s="325" t="s">
        <v>265</v>
      </c>
      <c r="S566" s="324">
        <v>62</v>
      </c>
      <c r="T566" s="325">
        <v>112014664</v>
      </c>
      <c r="U566" s="799" t="str">
        <f t="shared" si="149"/>
        <v>LUIS DAVID VILARDI</v>
      </c>
      <c r="W566" s="325" t="s">
        <v>465</v>
      </c>
      <c r="X566" s="324">
        <v>71</v>
      </c>
      <c r="Y566" s="325">
        <v>112011673</v>
      </c>
      <c r="Z566" s="799" t="str">
        <f t="shared" si="150"/>
        <v>MARTINEZ CLAUDIA KARINA</v>
      </c>
      <c r="AB566" s="325" t="s">
        <v>879</v>
      </c>
      <c r="AC566" s="325">
        <v>71</v>
      </c>
      <c r="AD566" s="325">
        <v>112014692</v>
      </c>
      <c r="AE566" s="799" t="str">
        <f t="shared" si="151"/>
        <v>VAZQUEZ MELISA INES</v>
      </c>
      <c r="AG566" s="325" t="s">
        <v>1271</v>
      </c>
      <c r="AH566" s="325">
        <v>59</v>
      </c>
      <c r="AI566" s="325">
        <v>112013457</v>
      </c>
      <c r="AJ566" s="325" t="str">
        <f t="shared" si="152"/>
        <v>KILISET SA</v>
      </c>
      <c r="AO566" s="618"/>
      <c r="AQ566" s="325" t="s">
        <v>1051</v>
      </c>
      <c r="AR566" s="325">
        <v>71</v>
      </c>
      <c r="AS566" s="325">
        <v>112014511</v>
      </c>
      <c r="AT566" s="799" t="str">
        <f t="shared" si="154"/>
        <v>MARILE NEGRI</v>
      </c>
      <c r="AW566" s="325" t="s">
        <v>1415</v>
      </c>
      <c r="AX566" s="325">
        <v>62</v>
      </c>
      <c r="AY566" s="325">
        <v>112011201</v>
      </c>
      <c r="AZ566" s="799" t="str">
        <f t="shared" si="155"/>
        <v>LOPEZ VIVIANA VERONICA</v>
      </c>
      <c r="BE566" s="618"/>
      <c r="BF566" s="618"/>
      <c r="BG566" s="1461" t="s">
        <v>1236</v>
      </c>
      <c r="BH566" s="324">
        <v>63</v>
      </c>
      <c r="BI566" s="799">
        <v>112010479</v>
      </c>
      <c r="BJ566" s="799"/>
      <c r="BK566" s="618"/>
      <c r="BL566" s="1461" t="s">
        <v>1217</v>
      </c>
      <c r="BM566" s="799">
        <v>70</v>
      </c>
      <c r="BN566" s="799">
        <v>112011445</v>
      </c>
      <c r="BO566" s="799"/>
    </row>
    <row r="567" spans="1:67" ht="13">
      <c r="A567" s="325" t="s">
        <v>691</v>
      </c>
      <c r="B567" s="325">
        <v>54</v>
      </c>
      <c r="C567" s="325">
        <v>112014465</v>
      </c>
      <c r="D567" s="799"/>
      <c r="G567" s="325" t="s">
        <v>153</v>
      </c>
      <c r="H567" s="325">
        <v>70</v>
      </c>
      <c r="I567" s="325">
        <v>112014426</v>
      </c>
      <c r="J567" s="1459" t="str">
        <f t="shared" si="147"/>
        <v>MALDONADO EDUARDO OSCAR</v>
      </c>
      <c r="M567" s="325" t="s">
        <v>625</v>
      </c>
      <c r="N567" s="324">
        <v>70</v>
      </c>
      <c r="O567" s="325">
        <v>112013208</v>
      </c>
      <c r="P567" s="799" t="str">
        <f t="shared" si="148"/>
        <v>GALANTE ERICA LAURA</v>
      </c>
      <c r="R567" s="325" t="s">
        <v>274</v>
      </c>
      <c r="S567" s="324">
        <v>63</v>
      </c>
      <c r="T567" s="325">
        <v>112012897</v>
      </c>
      <c r="U567" s="799" t="str">
        <f t="shared" si="149"/>
        <v>MAESTU JAVIER HORACIO</v>
      </c>
      <c r="W567" s="325" t="s">
        <v>446</v>
      </c>
      <c r="X567" s="324">
        <v>66</v>
      </c>
      <c r="Y567" s="325">
        <v>112014105</v>
      </c>
      <c r="Z567" s="799" t="str">
        <f t="shared" si="150"/>
        <v>MASSARO ANTONIO GUILLERMO</v>
      </c>
      <c r="AB567" s="325" t="s">
        <v>490</v>
      </c>
      <c r="AC567" s="325">
        <v>61</v>
      </c>
      <c r="AD567" s="325">
        <v>112011297</v>
      </c>
      <c r="AE567" s="799" t="str">
        <f t="shared" si="151"/>
        <v>VETERINARIA TRUDYS S R L</v>
      </c>
      <c r="AG567" s="325" t="s">
        <v>1382</v>
      </c>
      <c r="AH567" s="325"/>
      <c r="AI567" s="325">
        <v>112014135</v>
      </c>
      <c r="AJ567" s="325" t="str">
        <f t="shared" si="152"/>
        <v>LAMAS GABRIELA ALEJANDRA</v>
      </c>
      <c r="AO567" s="618"/>
      <c r="AQ567" s="325" t="s">
        <v>1023</v>
      </c>
      <c r="AR567" s="325">
        <v>63</v>
      </c>
      <c r="AS567" s="325">
        <v>112014627</v>
      </c>
      <c r="AT567" s="799" t="str">
        <f t="shared" si="154"/>
        <v>MARINA LOPEZ</v>
      </c>
      <c r="AW567" s="325" t="s">
        <v>1406</v>
      </c>
      <c r="AX567" s="325">
        <v>53</v>
      </c>
      <c r="AY567" s="325">
        <v>112014646</v>
      </c>
      <c r="AZ567" s="799" t="str">
        <f t="shared" si="155"/>
        <v>LORENA ANAHI PASQUALE</v>
      </c>
      <c r="BE567" s="618"/>
      <c r="BF567" s="618"/>
      <c r="BG567" s="1461" t="s">
        <v>1216</v>
      </c>
      <c r="BH567" s="324">
        <v>70</v>
      </c>
      <c r="BI567" s="799">
        <v>112014464</v>
      </c>
      <c r="BJ567" s="799"/>
      <c r="BK567" s="618"/>
      <c r="BL567" s="1461" t="s">
        <v>1162</v>
      </c>
      <c r="BM567" s="799">
        <v>70</v>
      </c>
      <c r="BN567" s="799">
        <v>112014544</v>
      </c>
      <c r="BO567" s="799"/>
    </row>
    <row r="568" spans="1:67" ht="13">
      <c r="A568" s="325" t="s">
        <v>804</v>
      </c>
      <c r="B568" s="325"/>
      <c r="C568" s="325">
        <v>112013335</v>
      </c>
      <c r="D568" s="799"/>
      <c r="G568" s="325" t="s">
        <v>77</v>
      </c>
      <c r="H568" s="325">
        <v>61</v>
      </c>
      <c r="I568" s="325">
        <v>112014628</v>
      </c>
      <c r="J568" s="1459" t="str">
        <f t="shared" si="147"/>
        <v>MENDEZ GRACIELA NOEMI</v>
      </c>
      <c r="M568" s="325" t="s">
        <v>642</v>
      </c>
      <c r="N568" s="324">
        <v>70</v>
      </c>
      <c r="O568" s="325">
        <v>112014750</v>
      </c>
      <c r="P568" s="799" t="str">
        <f t="shared" si="148"/>
        <v>GALARZA CARLOS ALBERTO</v>
      </c>
      <c r="R568" s="325" t="s">
        <v>262</v>
      </c>
      <c r="S568" s="324">
        <v>52</v>
      </c>
      <c r="T568" s="325">
        <v>112014295</v>
      </c>
      <c r="U568" s="799" t="str">
        <f t="shared" si="149"/>
        <v>MAGALLANES/SPADANO</v>
      </c>
      <c r="W568" s="325" t="s">
        <v>451</v>
      </c>
      <c r="X568" s="324">
        <v>67</v>
      </c>
      <c r="Y568" s="325">
        <v>112011697</v>
      </c>
      <c r="Z568" s="799" t="str">
        <f t="shared" si="150"/>
        <v>MATHIEU MARIA LUCRECIA</v>
      </c>
      <c r="AB568" s="325" t="s">
        <v>883</v>
      </c>
      <c r="AC568" s="325">
        <v>70</v>
      </c>
      <c r="AD568" s="325">
        <v>112014790</v>
      </c>
      <c r="AE568" s="799" t="str">
        <f t="shared" si="151"/>
        <v>VILLALVA LAUTARO ROMAN</v>
      </c>
      <c r="AG568" s="325" t="s">
        <v>1264</v>
      </c>
      <c r="AH568" s="325">
        <v>53</v>
      </c>
      <c r="AI568" s="325">
        <v>112011732</v>
      </c>
      <c r="AJ568" s="325" t="str">
        <f t="shared" si="152"/>
        <v>LARREA HERNAN PABLO</v>
      </c>
      <c r="AO568" s="618"/>
      <c r="AQ568" s="325" t="s">
        <v>1002</v>
      </c>
      <c r="AR568" s="325">
        <v>63</v>
      </c>
      <c r="AS568" s="325">
        <v>112014449</v>
      </c>
      <c r="AT568" s="799" t="str">
        <f t="shared" si="154"/>
        <v>MASSON EDGARDO HERNAN</v>
      </c>
      <c r="AW568" s="325" t="s">
        <v>1457</v>
      </c>
      <c r="AX568" s="325">
        <v>63</v>
      </c>
      <c r="AY568" s="325">
        <v>112013978</v>
      </c>
      <c r="AZ568" s="799" t="str">
        <f t="shared" si="155"/>
        <v>MACIAS MARIA DE LOS ANGELES</v>
      </c>
      <c r="BE568" s="618"/>
      <c r="BF568" s="618"/>
      <c r="BG568" s="1461" t="s">
        <v>1197</v>
      </c>
      <c r="BH568" s="324">
        <v>70</v>
      </c>
      <c r="BI568" s="799">
        <v>112012486</v>
      </c>
      <c r="BJ568" s="799"/>
      <c r="BK568" s="618"/>
      <c r="BL568" s="1461" t="s">
        <v>1225</v>
      </c>
      <c r="BM568" s="799">
        <v>71</v>
      </c>
      <c r="BN568" s="799">
        <v>112013965</v>
      </c>
      <c r="BO568" s="799"/>
    </row>
    <row r="569" spans="1:67" ht="13">
      <c r="A569" s="325" t="s">
        <v>729</v>
      </c>
      <c r="B569" s="325">
        <v>70</v>
      </c>
      <c r="C569" s="325">
        <v>112014495</v>
      </c>
      <c r="D569" s="799"/>
      <c r="G569" s="325" t="s">
        <v>91</v>
      </c>
      <c r="H569" s="325">
        <v>62</v>
      </c>
      <c r="I569" s="325">
        <v>112012200</v>
      </c>
      <c r="J569" s="1459" t="str">
        <f t="shared" si="147"/>
        <v>EL ESCALAR PET FOOD S.R.L</v>
      </c>
      <c r="M569" s="325" t="s">
        <v>582</v>
      </c>
      <c r="N569" s="324">
        <v>70</v>
      </c>
      <c r="O569" s="325">
        <v>112014396</v>
      </c>
      <c r="P569" s="799" t="str">
        <f t="shared" si="148"/>
        <v>GARGIULO PABLO DAVID</v>
      </c>
      <c r="R569" s="325" t="s">
        <v>329</v>
      </c>
      <c r="S569" s="324">
        <v>71</v>
      </c>
      <c r="T569" s="325">
        <v>112014320</v>
      </c>
      <c r="U569" s="799" t="str">
        <f t="shared" si="149"/>
        <v>MARQUEZ ISMAEL FERNANDO GABR</v>
      </c>
      <c r="W569" s="325" t="s">
        <v>435</v>
      </c>
      <c r="X569" s="324">
        <v>63</v>
      </c>
      <c r="Y569" s="325">
        <v>112010953</v>
      </c>
      <c r="Z569" s="799" t="str">
        <f t="shared" si="150"/>
        <v>MENDY MARIA GABRIELA</v>
      </c>
      <c r="AB569" s="325" t="s">
        <v>885</v>
      </c>
      <c r="AC569" s="325">
        <v>71</v>
      </c>
      <c r="AD569" s="325">
        <v>112014080</v>
      </c>
      <c r="AE569" s="799" t="str">
        <f t="shared" si="151"/>
        <v>YBARRA JUAN MANUEL</v>
      </c>
      <c r="AG569" s="325" t="s">
        <v>1318</v>
      </c>
      <c r="AH569" s="325">
        <v>63</v>
      </c>
      <c r="AI569" s="325">
        <v>112013948</v>
      </c>
      <c r="AJ569" s="325" t="str">
        <f t="shared" si="152"/>
        <v>LAS PRADERAS DE PETREIGNE JORGE HORACIO ATELA OMAR SEBASTIAN Y COSTANTINO JAVIER</v>
      </c>
      <c r="AO569" s="618"/>
      <c r="AQ569" s="325" t="s">
        <v>1071</v>
      </c>
      <c r="AR569" s="325">
        <v>71</v>
      </c>
      <c r="AS569" s="325">
        <v>112011594</v>
      </c>
      <c r="AT569" s="799" t="str">
        <f t="shared" si="154"/>
        <v>MINOLI MARIANO</v>
      </c>
      <c r="AW569" s="325" t="s">
        <v>1489</v>
      </c>
      <c r="AX569" s="325"/>
      <c r="AY569" s="325">
        <v>112014737</v>
      </c>
      <c r="AZ569" s="799" t="str">
        <f t="shared" si="155"/>
        <v>MARAGGI CELESTINI MARCOS</v>
      </c>
      <c r="BE569" s="618"/>
      <c r="BF569" s="618"/>
      <c r="BG569" s="1461" t="s">
        <v>1227</v>
      </c>
      <c r="BH569" s="324">
        <v>71</v>
      </c>
      <c r="BI569" s="799">
        <v>112010481</v>
      </c>
      <c r="BJ569" s="799"/>
      <c r="BK569" s="618"/>
      <c r="BL569" s="1461" t="s">
        <v>916</v>
      </c>
      <c r="BM569" s="799">
        <v>71</v>
      </c>
      <c r="BN569" s="799">
        <v>112010669</v>
      </c>
      <c r="BO569" s="799"/>
    </row>
    <row r="570" spans="1:67" ht="13">
      <c r="A570" s="325" t="s">
        <v>757</v>
      </c>
      <c r="B570" s="325">
        <v>70</v>
      </c>
      <c r="C570" s="325">
        <v>112013885</v>
      </c>
      <c r="D570" s="799"/>
      <c r="G570" s="325" t="s">
        <v>93</v>
      </c>
      <c r="H570" s="325">
        <v>62</v>
      </c>
      <c r="I570" s="325">
        <v>112013044</v>
      </c>
      <c r="J570" s="1459" t="str">
        <f t="shared" ref="J570:J601" si="156">VLOOKUP(I402,bassfin,13,FALSE)</f>
        <v>DURAN MARCELO JAVIER</v>
      </c>
      <c r="M570" s="325" t="s">
        <v>530</v>
      </c>
      <c r="N570" s="324">
        <v>62</v>
      </c>
      <c r="O570" s="325">
        <v>112014773</v>
      </c>
      <c r="P570" s="799" t="str">
        <f t="shared" ref="P570:P601" si="157">VLOOKUP(O570,LAGEFIN,13,FALSE)</f>
        <v>GONZALEZ BRENDA JUANA</v>
      </c>
      <c r="R570" s="325" t="s">
        <v>330</v>
      </c>
      <c r="S570" s="324">
        <v>71</v>
      </c>
      <c r="T570" s="325">
        <v>112013171</v>
      </c>
      <c r="U570" s="799" t="str">
        <f t="shared" ref="U570:U601" si="158">VLOOKUP(T570,calofin,9,FALSE)</f>
        <v>MARQUEZ JULIANA MICHELLE</v>
      </c>
      <c r="W570" s="325" t="s">
        <v>436</v>
      </c>
      <c r="X570" s="324">
        <v>63</v>
      </c>
      <c r="Y570" s="325">
        <v>112013057</v>
      </c>
      <c r="Z570" s="799" t="str">
        <f t="shared" ref="Z570:Z601" si="159">VLOOKUP(Y570,RETAMFIN,9,FALSE)</f>
        <v>MORGANTE HERNAN</v>
      </c>
      <c r="AE570" s="618"/>
      <c r="AG570" s="325" t="s">
        <v>1298</v>
      </c>
      <c r="AH570" s="325">
        <v>63</v>
      </c>
      <c r="AI570" s="325">
        <v>112014399</v>
      </c>
      <c r="AJ570" s="325" t="str">
        <f t="shared" ref="AJ570:AJ601" si="160">VLOOKUP(AI570,MONTENEFIN,9,FALSE)</f>
        <v>LEONARDIS HERNAN HECTOR</v>
      </c>
      <c r="AO570" s="618"/>
      <c r="AQ570" s="325" t="s">
        <v>1017</v>
      </c>
      <c r="AR570" s="325">
        <v>63</v>
      </c>
      <c r="AS570" s="325">
        <v>112013484</v>
      </c>
      <c r="AT570" s="799" t="str">
        <f t="shared" ref="AT570:AT601" si="161">VLOOKUP(AS570,ARRIOLFIN,13,FALSE)</f>
        <v>MOLINA MOLA MARIANA GISELE</v>
      </c>
      <c r="AW570" s="325" t="s">
        <v>1158</v>
      </c>
      <c r="AX570" s="325">
        <v>67</v>
      </c>
      <c r="AY570" s="325">
        <v>112011875</v>
      </c>
      <c r="AZ570" s="799" t="str">
        <f t="shared" ref="AZ570:AZ601" si="162">VLOOKUP(AY570,LAVENIAFIN,13,FALSE)</f>
        <v>MARCOS SANTIAGO FURLAN</v>
      </c>
      <c r="BE570" s="618"/>
      <c r="BF570" s="618"/>
      <c r="BG570" s="1461" t="s">
        <v>1172</v>
      </c>
      <c r="BH570" s="324">
        <v>70</v>
      </c>
      <c r="BI570" s="799">
        <v>112010482</v>
      </c>
      <c r="BJ570" s="799"/>
      <c r="BK570" s="618"/>
      <c r="BL570" s="1461" t="s">
        <v>1182</v>
      </c>
      <c r="BM570" s="799">
        <v>71</v>
      </c>
      <c r="BN570" s="799">
        <v>112013436</v>
      </c>
      <c r="BO570" s="799"/>
    </row>
    <row r="571" spans="1:67" ht="13">
      <c r="A571" s="325" t="s">
        <v>707</v>
      </c>
      <c r="B571" s="325">
        <v>62</v>
      </c>
      <c r="C571" s="325">
        <v>112014772</v>
      </c>
      <c r="D571" s="799"/>
      <c r="G571" s="325" t="s">
        <v>105</v>
      </c>
      <c r="H571" s="325">
        <v>63</v>
      </c>
      <c r="I571" s="325">
        <v>112010764</v>
      </c>
      <c r="J571" s="1459" t="str">
        <f t="shared" si="156"/>
        <v>DURAN OSCAR ALBERTO</v>
      </c>
      <c r="M571" s="325" t="s">
        <v>612</v>
      </c>
      <c r="N571" s="324">
        <v>71</v>
      </c>
      <c r="O571" s="325">
        <v>112014281</v>
      </c>
      <c r="P571" s="799" t="str">
        <f t="shared" si="157"/>
        <v>GONZALEZ HECTOR RUBEN</v>
      </c>
      <c r="R571" s="325" t="s">
        <v>331</v>
      </c>
      <c r="S571" s="324">
        <v>71</v>
      </c>
      <c r="T571" s="325">
        <v>112012433</v>
      </c>
      <c r="U571" s="799" t="str">
        <f t="shared" si="158"/>
        <v>MAYOL SAMANTA</v>
      </c>
      <c r="W571" s="325" t="s">
        <v>437</v>
      </c>
      <c r="X571" s="324">
        <v>63</v>
      </c>
      <c r="Y571" s="325">
        <v>112010430</v>
      </c>
      <c r="Z571" s="799" t="str">
        <f t="shared" si="159"/>
        <v>MOZOTEGUI GABRIEL HORACIO</v>
      </c>
      <c r="AE571" s="618"/>
      <c r="AG571" s="325" t="s">
        <v>1299</v>
      </c>
      <c r="AH571" s="325">
        <v>63</v>
      </c>
      <c r="AI571" s="325">
        <v>112014309</v>
      </c>
      <c r="AJ571" s="325" t="str">
        <f t="shared" si="160"/>
        <v>LLARENA MARTINEZ FLORENCIA ITATI</v>
      </c>
      <c r="AO571" s="618"/>
      <c r="AQ571" s="325" t="s">
        <v>993</v>
      </c>
      <c r="AR571" s="325">
        <v>28</v>
      </c>
      <c r="AS571" s="325">
        <v>112010139</v>
      </c>
      <c r="AT571" s="799" t="str">
        <f t="shared" si="161"/>
        <v>MORENA HORACIO ALBERTO</v>
      </c>
      <c r="AW571" s="325" t="s">
        <v>1458</v>
      </c>
      <c r="AX571" s="325">
        <v>63</v>
      </c>
      <c r="AY571" s="325">
        <v>112014623</v>
      </c>
      <c r="AZ571" s="799" t="str">
        <f t="shared" si="162"/>
        <v>MARCZAK SILVYA PAOLA</v>
      </c>
      <c r="BE571" s="618"/>
      <c r="BF571" s="618"/>
      <c r="BG571" s="1461" t="s">
        <v>985</v>
      </c>
      <c r="BH571" s="324"/>
      <c r="BI571" s="799">
        <v>112012418</v>
      </c>
      <c r="BJ571" s="799"/>
      <c r="BK571" s="618"/>
      <c r="BL571" s="1461" t="s">
        <v>1226</v>
      </c>
      <c r="BM571" s="799">
        <v>71</v>
      </c>
      <c r="BN571" s="799">
        <v>112013940</v>
      </c>
      <c r="BO571" s="799"/>
    </row>
    <row r="572" spans="1:67" ht="13">
      <c r="A572" s="325" t="s">
        <v>703</v>
      </c>
      <c r="B572" s="325">
        <v>62</v>
      </c>
      <c r="C572" s="325">
        <v>112014488</v>
      </c>
      <c r="D572" s="799"/>
      <c r="G572" s="325" t="s">
        <v>69</v>
      </c>
      <c r="H572" s="325">
        <v>53</v>
      </c>
      <c r="I572" s="325">
        <v>112014605</v>
      </c>
      <c r="J572" s="1459" t="str">
        <f t="shared" si="156"/>
        <v>DIAZ EDUARDO RAUL</v>
      </c>
      <c r="M572" s="325" t="s">
        <v>613</v>
      </c>
      <c r="N572" s="324">
        <v>71</v>
      </c>
      <c r="O572" s="325">
        <v>112013889</v>
      </c>
      <c r="P572" s="799" t="str">
        <f t="shared" si="157"/>
        <v>GORRITI PAULA</v>
      </c>
      <c r="R572" s="325" t="s">
        <v>332</v>
      </c>
      <c r="S572" s="324">
        <v>71</v>
      </c>
      <c r="T572" s="325">
        <v>112014676</v>
      </c>
      <c r="U572" s="799" t="str">
        <f t="shared" si="158"/>
        <v>MILANESI CARLOS JORGE</v>
      </c>
      <c r="W572" s="325" t="s">
        <v>385</v>
      </c>
      <c r="X572" s="324">
        <v>52</v>
      </c>
      <c r="Y572" s="325">
        <v>112014733</v>
      </c>
      <c r="Z572" s="799" t="str">
        <f t="shared" si="159"/>
        <v>MULTIMARC BALANCEADOS SRL</v>
      </c>
      <c r="AE572" s="618"/>
      <c r="AG572" s="325" t="s">
        <v>1336</v>
      </c>
      <c r="AH572" s="325">
        <v>71</v>
      </c>
      <c r="AI572" s="325">
        <v>112012626</v>
      </c>
      <c r="AJ572" s="325" t="str">
        <f t="shared" si="160"/>
        <v>LOBBOTT S A</v>
      </c>
      <c r="AO572" s="618"/>
      <c r="AQ572" s="325" t="s">
        <v>1062</v>
      </c>
      <c r="AR572" s="325">
        <v>71</v>
      </c>
      <c r="AS572" s="325">
        <v>112013469</v>
      </c>
      <c r="AT572" s="799" t="str">
        <f t="shared" si="161"/>
        <v>NOYA PABLO HORACIO</v>
      </c>
      <c r="AW572" s="325" t="s">
        <v>1485</v>
      </c>
      <c r="AX572" s="325">
        <v>71</v>
      </c>
      <c r="AY572" s="325">
        <v>112014414</v>
      </c>
      <c r="AZ572" s="799" t="str">
        <f t="shared" si="162"/>
        <v>MARIA CAROLINA LEONE</v>
      </c>
      <c r="BE572" s="618"/>
      <c r="BF572" s="618"/>
      <c r="BG572" s="1461" t="s">
        <v>1183</v>
      </c>
      <c r="BH572" s="324">
        <v>71</v>
      </c>
      <c r="BI572" s="799">
        <v>112013088</v>
      </c>
      <c r="BJ572" s="799"/>
      <c r="BK572" s="618"/>
      <c r="BL572" s="1461" t="s">
        <v>1173</v>
      </c>
      <c r="BM572" s="799">
        <v>70</v>
      </c>
      <c r="BN572" s="799">
        <v>112013993</v>
      </c>
      <c r="BO572" s="799"/>
    </row>
    <row r="573" spans="1:67" ht="13">
      <c r="A573" s="325" t="s">
        <v>784</v>
      </c>
      <c r="B573" s="325">
        <v>71</v>
      </c>
      <c r="C573" s="325">
        <v>112011935</v>
      </c>
      <c r="D573" s="799"/>
      <c r="G573" s="325" t="s">
        <v>187</v>
      </c>
      <c r="H573" s="325">
        <v>71</v>
      </c>
      <c r="I573" s="325">
        <v>112011350</v>
      </c>
      <c r="J573" s="1459" t="str">
        <f t="shared" si="156"/>
        <v>CILLERUELO PATRICIA LAURA</v>
      </c>
      <c r="M573" s="325" t="s">
        <v>583</v>
      </c>
      <c r="N573" s="324">
        <v>70</v>
      </c>
      <c r="O573" s="325">
        <v>112013756</v>
      </c>
      <c r="P573" s="799" t="str">
        <f t="shared" si="157"/>
        <v>GRAVANAGO MARIO CESAR</v>
      </c>
      <c r="R573" s="325" t="s">
        <v>333</v>
      </c>
      <c r="S573" s="324">
        <v>71</v>
      </c>
      <c r="T573" s="325">
        <v>112012828</v>
      </c>
      <c r="U573" s="799" t="str">
        <f t="shared" si="158"/>
        <v>MUNICIPALIDAD DE CHASCOMUS</v>
      </c>
      <c r="W573" s="325" t="s">
        <v>483</v>
      </c>
      <c r="X573" s="324"/>
      <c r="Y573" s="325">
        <v>112014095</v>
      </c>
      <c r="Z573" s="799" t="str">
        <f t="shared" si="159"/>
        <v>MUNICIPALIDAD DE EZEIZA</v>
      </c>
      <c r="AE573" s="618"/>
      <c r="AG573" s="325" t="s">
        <v>1319</v>
      </c>
      <c r="AH573" s="325">
        <v>63</v>
      </c>
      <c r="AI573" s="325">
        <v>112013545</v>
      </c>
      <c r="AJ573" s="325" t="str">
        <f t="shared" si="160"/>
        <v>LOPEZ DE ARMENTIA FACUNDO</v>
      </c>
      <c r="AO573" s="618"/>
      <c r="AQ573" s="325" t="s">
        <v>1014</v>
      </c>
      <c r="AR573" s="325">
        <v>63</v>
      </c>
      <c r="AS573" s="325">
        <v>112011970</v>
      </c>
      <c r="AT573" s="799" t="str">
        <f t="shared" si="161"/>
        <v>NUÑEZ DIEGO ANDRES</v>
      </c>
      <c r="AW573" s="325" t="s">
        <v>1474</v>
      </c>
      <c r="AX573" s="325">
        <v>70</v>
      </c>
      <c r="AY573" s="325">
        <v>112014006</v>
      </c>
      <c r="AZ573" s="799" t="str">
        <f t="shared" si="162"/>
        <v>MARTIN SILVIA GRACIELA</v>
      </c>
      <c r="BE573" s="618"/>
      <c r="BF573" s="618"/>
      <c r="BG573" s="1461" t="s">
        <v>1237</v>
      </c>
      <c r="BH573" s="324">
        <v>63</v>
      </c>
      <c r="BI573" s="799">
        <v>112012802</v>
      </c>
      <c r="BJ573" s="799"/>
      <c r="BK573" s="618"/>
      <c r="BL573" s="1461" t="s">
        <v>1209</v>
      </c>
      <c r="BM573" s="799">
        <v>71</v>
      </c>
      <c r="BN573" s="799">
        <v>112012178</v>
      </c>
      <c r="BO573" s="799"/>
    </row>
    <row r="574" spans="1:67" ht="13">
      <c r="A574" s="325" t="s">
        <v>730</v>
      </c>
      <c r="B574" s="325">
        <v>70</v>
      </c>
      <c r="C574" s="325">
        <v>112013896</v>
      </c>
      <c r="D574" s="799"/>
      <c r="G574" s="325" t="s">
        <v>154</v>
      </c>
      <c r="H574" s="325">
        <v>70</v>
      </c>
      <c r="I574" s="325">
        <v>112012948</v>
      </c>
      <c r="J574" s="1459" t="str">
        <f t="shared" si="156"/>
        <v>DUVAL YAMILA LORENA</v>
      </c>
      <c r="M574" s="325" t="s">
        <v>509</v>
      </c>
      <c r="N574" s="324">
        <v>53</v>
      </c>
      <c r="O574" s="325">
        <v>112014505</v>
      </c>
      <c r="P574" s="799" t="str">
        <f t="shared" si="157"/>
        <v>GRUPO JPL / LTS</v>
      </c>
      <c r="R574" s="325" t="s">
        <v>334</v>
      </c>
      <c r="S574" s="324">
        <v>71</v>
      </c>
      <c r="T574" s="325">
        <v>112010142</v>
      </c>
      <c r="U574" s="799" t="str">
        <f t="shared" si="158"/>
        <v>ORGANIZACION AGROPECUARIA SOCIEDAD DE HECHO</v>
      </c>
      <c r="W574" s="325" t="s">
        <v>470</v>
      </c>
      <c r="X574" s="324">
        <v>71</v>
      </c>
      <c r="Y574" s="325">
        <v>112012565</v>
      </c>
      <c r="Z574" s="799" t="str">
        <f t="shared" si="159"/>
        <v>MUNICIPALIDAD DE MARCOS PAZ</v>
      </c>
      <c r="AE574" s="618"/>
      <c r="AG574" s="325" t="s">
        <v>1363</v>
      </c>
      <c r="AH574" s="325">
        <v>71</v>
      </c>
      <c r="AI574" s="325">
        <v>112012290</v>
      </c>
      <c r="AJ574" s="325" t="str">
        <f t="shared" si="160"/>
        <v>MAIER PATRICIA NOEMI</v>
      </c>
      <c r="AO574" s="618"/>
      <c r="AQ574" s="325" t="s">
        <v>1024</v>
      </c>
      <c r="AR574" s="325">
        <v>63</v>
      </c>
      <c r="AS574" s="325">
        <v>112014501</v>
      </c>
      <c r="AT574" s="799" t="str">
        <f t="shared" si="161"/>
        <v>OLIVERA MARIA PIA</v>
      </c>
      <c r="AW574" s="325" t="s">
        <v>1459</v>
      </c>
      <c r="AX574" s="325">
        <v>63</v>
      </c>
      <c r="AY574" s="325">
        <v>112014622</v>
      </c>
      <c r="AZ574" s="799" t="str">
        <f t="shared" si="162"/>
        <v>MARTINOLICH CARLOS OCTAVIO</v>
      </c>
      <c r="BE574" s="618"/>
      <c r="BF574" s="618"/>
      <c r="BG574" s="1461" t="s">
        <v>941</v>
      </c>
      <c r="BH574" s="324">
        <v>71</v>
      </c>
      <c r="BI574" s="799">
        <v>112011927</v>
      </c>
      <c r="BJ574" s="799"/>
      <c r="BK574" s="618"/>
      <c r="BL574" s="1461" t="s">
        <v>1221</v>
      </c>
      <c r="BM574" s="799">
        <v>71</v>
      </c>
      <c r="BN574" s="799">
        <v>112014667</v>
      </c>
      <c r="BO574" s="799"/>
    </row>
    <row r="575" spans="1:67" ht="13">
      <c r="A575" s="325" t="s">
        <v>743</v>
      </c>
      <c r="B575" s="325">
        <v>69</v>
      </c>
      <c r="C575" s="325">
        <v>112014236</v>
      </c>
      <c r="D575" s="799"/>
      <c r="G575" s="325" t="s">
        <v>188</v>
      </c>
      <c r="H575" s="325">
        <v>71</v>
      </c>
      <c r="I575" s="325">
        <v>112013792</v>
      </c>
      <c r="J575" s="1459" t="str">
        <f t="shared" si="156"/>
        <v>PECORA MARIA EUGENIA</v>
      </c>
      <c r="M575" s="325" t="s">
        <v>584</v>
      </c>
      <c r="N575" s="324">
        <v>70</v>
      </c>
      <c r="O575" s="325">
        <v>112014144</v>
      </c>
      <c r="P575" s="799" t="str">
        <f t="shared" si="157"/>
        <v>HLLEDE PAOLA ANDREA</v>
      </c>
      <c r="R575" s="325" t="s">
        <v>268</v>
      </c>
      <c r="S575" s="324">
        <v>62</v>
      </c>
      <c r="T575" s="325">
        <v>112013803</v>
      </c>
      <c r="U575" s="799" t="str">
        <f t="shared" si="158"/>
        <v>PAGANO MELODY AZUL</v>
      </c>
      <c r="W575" s="325" t="s">
        <v>398</v>
      </c>
      <c r="X575" s="324">
        <v>61</v>
      </c>
      <c r="Y575" s="325">
        <v>112012358</v>
      </c>
      <c r="Z575" s="799" t="str">
        <f t="shared" si="159"/>
        <v>PABLO DAVID DI PRINZIO Y RODRIGO EMMANUEL CARINO SOCIEDAD DE HECHO</v>
      </c>
      <c r="AE575" s="618"/>
      <c r="AG575" s="325" t="s">
        <v>1320</v>
      </c>
      <c r="AH575" s="325">
        <v>63</v>
      </c>
      <c r="AI575" s="325">
        <v>112010568</v>
      </c>
      <c r="AJ575" s="325" t="str">
        <f t="shared" si="160"/>
        <v>MALANDRA JORGE ARIEL</v>
      </c>
      <c r="AO575" s="618"/>
      <c r="AQ575" s="325" t="s">
        <v>1031</v>
      </c>
      <c r="AR575" s="325">
        <v>71</v>
      </c>
      <c r="AS575" s="325">
        <v>112013688</v>
      </c>
      <c r="AT575" s="799" t="str">
        <f t="shared" si="161"/>
        <v>ORTIZ PAMELA/SEOANE MARIA</v>
      </c>
      <c r="AW575" s="325" t="s">
        <v>1477</v>
      </c>
      <c r="AX575" s="325">
        <v>71</v>
      </c>
      <c r="AY575" s="325">
        <v>112014357</v>
      </c>
      <c r="AZ575" s="799" t="str">
        <f t="shared" si="162"/>
        <v>MAZZA MATEO AGUSTIN</v>
      </c>
      <c r="BE575" s="618"/>
      <c r="BF575" s="618"/>
      <c r="BG575" s="1461" t="s">
        <v>1184</v>
      </c>
      <c r="BH575" s="324">
        <v>71</v>
      </c>
      <c r="BI575" s="799">
        <v>112011571</v>
      </c>
      <c r="BJ575" s="799"/>
      <c r="BK575" s="618"/>
      <c r="BL575" s="1461" t="s">
        <v>1116</v>
      </c>
      <c r="BM575" s="799">
        <v>71</v>
      </c>
      <c r="BN575" s="799">
        <v>112014038</v>
      </c>
      <c r="BO575" s="799"/>
    </row>
    <row r="576" spans="1:67" ht="13">
      <c r="A576" s="325" t="s">
        <v>708</v>
      </c>
      <c r="B576" s="325">
        <v>63</v>
      </c>
      <c r="C576" s="325">
        <v>112014542</v>
      </c>
      <c r="D576" s="799"/>
      <c r="G576" s="325" t="s">
        <v>189</v>
      </c>
      <c r="H576" s="325">
        <v>71</v>
      </c>
      <c r="I576" s="325">
        <v>112013881</v>
      </c>
      <c r="J576" s="1459" t="str">
        <f t="shared" si="156"/>
        <v>MUNICIPALIDAD DE LOMAS DE ZAMORA</v>
      </c>
      <c r="M576" s="325" t="s">
        <v>614</v>
      </c>
      <c r="N576" s="324">
        <v>71</v>
      </c>
      <c r="O576" s="325">
        <v>112014025</v>
      </c>
      <c r="P576" s="799" t="str">
        <f t="shared" si="157"/>
        <v>HOULGRAVE BARBARA</v>
      </c>
      <c r="R576" s="325" t="s">
        <v>305</v>
      </c>
      <c r="S576" s="324">
        <v>70</v>
      </c>
      <c r="T576" s="325">
        <v>112012926</v>
      </c>
      <c r="U576" s="799" t="str">
        <f t="shared" si="158"/>
        <v>PAULONI POGGI LUCAS ESTEBAN</v>
      </c>
      <c r="W576" s="325" t="s">
        <v>466</v>
      </c>
      <c r="X576" s="324">
        <v>71</v>
      </c>
      <c r="Y576" s="325">
        <v>112011855</v>
      </c>
      <c r="Z576" s="799" t="str">
        <f t="shared" si="159"/>
        <v>PAREDES CLAUDIA CECILIA</v>
      </c>
      <c r="AE576" s="618"/>
      <c r="AG576" s="325" t="s">
        <v>1364</v>
      </c>
      <c r="AH576" s="325">
        <v>71</v>
      </c>
      <c r="AI576" s="325">
        <v>112014551</v>
      </c>
      <c r="AJ576" s="325" t="str">
        <f t="shared" si="160"/>
        <v>MARCELO RAUL ROQUES</v>
      </c>
      <c r="AO576" s="618"/>
      <c r="AQ576" s="325" t="s">
        <v>1070</v>
      </c>
      <c r="AR576" s="325">
        <v>71</v>
      </c>
      <c r="AS576" s="325">
        <v>112011474</v>
      </c>
      <c r="AT576" s="799" t="str">
        <f t="shared" si="161"/>
        <v>PAGANO NANCY MABEL</v>
      </c>
      <c r="AW576" s="325" t="s">
        <v>1404</v>
      </c>
      <c r="AX576" s="325">
        <v>55</v>
      </c>
      <c r="AY576" s="325">
        <v>112013168</v>
      </c>
      <c r="AZ576" s="799" t="str">
        <f t="shared" si="162"/>
        <v>MC DERMOTT ELBERT VICTOR</v>
      </c>
      <c r="BE576" s="618"/>
      <c r="BF576" s="618"/>
      <c r="BG576" s="1461" t="s">
        <v>1189</v>
      </c>
      <c r="BH576" s="324">
        <v>70</v>
      </c>
      <c r="BI576" s="799">
        <v>112012795</v>
      </c>
      <c r="BJ576" s="799"/>
      <c r="BK576" s="618"/>
      <c r="BL576" s="1461" t="s">
        <v>952</v>
      </c>
      <c r="BM576" s="799">
        <v>71</v>
      </c>
      <c r="BN576" s="799">
        <v>112013395</v>
      </c>
      <c r="BO576" s="799"/>
    </row>
    <row r="577" spans="1:67" ht="13">
      <c r="A577" s="325" t="s">
        <v>785</v>
      </c>
      <c r="B577" s="325">
        <v>71</v>
      </c>
      <c r="C577" s="325">
        <v>112014507</v>
      </c>
      <c r="D577" s="799"/>
      <c r="G577" s="325" t="s">
        <v>95</v>
      </c>
      <c r="H577" s="325">
        <v>62</v>
      </c>
      <c r="I577" s="325">
        <v>112012744</v>
      </c>
      <c r="J577" s="1459" t="str">
        <f t="shared" si="156"/>
        <v>SUAREZ ANABELA FLORENCIA</v>
      </c>
      <c r="M577" s="325" t="s">
        <v>531</v>
      </c>
      <c r="N577" s="324">
        <v>62</v>
      </c>
      <c r="O577" s="325">
        <v>112014380</v>
      </c>
      <c r="P577" s="799" t="str">
        <f t="shared" si="157"/>
        <v>IAFRATE ANA ANTONIA</v>
      </c>
      <c r="R577" s="325" t="s">
        <v>335</v>
      </c>
      <c r="S577" s="324">
        <v>71</v>
      </c>
      <c r="T577" s="325">
        <v>112011956</v>
      </c>
      <c r="U577" s="799" t="str">
        <f t="shared" si="158"/>
        <v>PEDICINO LIZA VERONICA</v>
      </c>
      <c r="W577" s="325" t="s">
        <v>474</v>
      </c>
      <c r="X577" s="324">
        <v>71</v>
      </c>
      <c r="Y577" s="325">
        <v>112013204</v>
      </c>
      <c r="Z577" s="799" t="str">
        <f t="shared" si="159"/>
        <v>PROVOSTE ADRIAN FERNANDO</v>
      </c>
      <c r="AE577" s="618"/>
      <c r="AG577" s="325" t="s">
        <v>1300</v>
      </c>
      <c r="AH577" s="325">
        <v>63</v>
      </c>
      <c r="AI577" s="325">
        <v>112013273</v>
      </c>
      <c r="AJ577" s="325" t="str">
        <f t="shared" si="160"/>
        <v>MARIÑO VIRGINIA</v>
      </c>
      <c r="AO577" s="618"/>
      <c r="AQ577" s="325" t="s">
        <v>1018</v>
      </c>
      <c r="AR577" s="325">
        <v>63</v>
      </c>
      <c r="AS577" s="325">
        <v>112013501</v>
      </c>
      <c r="AT577" s="799" t="str">
        <f t="shared" si="161"/>
        <v>PALAZZOLO JAVIER OMAR</v>
      </c>
      <c r="AW577" s="325" t="s">
        <v>668</v>
      </c>
      <c r="AX577" s="325">
        <v>63</v>
      </c>
      <c r="AY577" s="325">
        <v>112013606</v>
      </c>
      <c r="AZ577" s="799" t="str">
        <f t="shared" si="162"/>
        <v>MOSCOSO GOMEZ CLAUDIA LORENA</v>
      </c>
      <c r="BE577" s="618"/>
      <c r="BF577" s="618"/>
      <c r="BG577" s="1461" t="s">
        <v>1213</v>
      </c>
      <c r="BH577" s="324">
        <v>70</v>
      </c>
      <c r="BI577" s="799">
        <v>112012375</v>
      </c>
      <c r="BJ577" s="799"/>
      <c r="BK577" s="618"/>
      <c r="BL577" s="1461" t="s">
        <v>1175</v>
      </c>
      <c r="BM577" s="799"/>
      <c r="BN577" s="799">
        <v>112012757</v>
      </c>
      <c r="BO577" s="799"/>
    </row>
    <row r="578" spans="1:67" ht="13">
      <c r="A578" s="325" t="s">
        <v>786</v>
      </c>
      <c r="B578" s="325">
        <v>71</v>
      </c>
      <c r="C578" s="325">
        <v>112014579</v>
      </c>
      <c r="D578" s="799"/>
      <c r="G578" s="325" t="s">
        <v>190</v>
      </c>
      <c r="H578" s="325">
        <v>71</v>
      </c>
      <c r="I578" s="325">
        <v>112012220</v>
      </c>
      <c r="J578" s="1459" t="str">
        <f t="shared" si="156"/>
        <v>GIACHINO LAURA</v>
      </c>
      <c r="M578" s="325" t="s">
        <v>532</v>
      </c>
      <c r="N578" s="324">
        <v>62</v>
      </c>
      <c r="O578" s="325">
        <v>112014109</v>
      </c>
      <c r="P578" s="799" t="str">
        <f t="shared" si="157"/>
        <v>ITURRIA MARISA EDITH</v>
      </c>
      <c r="R578" s="325" t="s">
        <v>336</v>
      </c>
      <c r="S578" s="324">
        <v>71</v>
      </c>
      <c r="T578" s="325">
        <v>112011442</v>
      </c>
      <c r="U578" s="799" t="str">
        <f t="shared" si="158"/>
        <v>PERALTA SOFIA</v>
      </c>
      <c r="W578" s="325" t="s">
        <v>438</v>
      </c>
      <c r="X578" s="324">
        <v>63</v>
      </c>
      <c r="Y578" s="325">
        <v>112013877</v>
      </c>
      <c r="Z578" s="799" t="str">
        <f t="shared" si="159"/>
        <v>RAMIREZ PAMELA SILVANA</v>
      </c>
      <c r="AE578" s="618"/>
      <c r="AG578" s="325" t="s">
        <v>1321</v>
      </c>
      <c r="AH578" s="325">
        <v>63</v>
      </c>
      <c r="AI578" s="325">
        <v>112014686</v>
      </c>
      <c r="AJ578" s="325" t="str">
        <f t="shared" si="160"/>
        <v>MARQUEZ JENNIFER ESTEFANIA</v>
      </c>
      <c r="AO578" s="618"/>
      <c r="AQ578" s="325" t="s">
        <v>1079</v>
      </c>
      <c r="AR578" s="325">
        <v>71</v>
      </c>
      <c r="AS578" s="325">
        <v>112012717</v>
      </c>
      <c r="AT578" s="799" t="str">
        <f t="shared" si="161"/>
        <v>PARDO CARLOS ESTEBAN</v>
      </c>
      <c r="AW578" s="325" t="s">
        <v>1468</v>
      </c>
      <c r="AX578" s="325">
        <v>63</v>
      </c>
      <c r="AY578" s="325">
        <v>112014718</v>
      </c>
      <c r="AZ578" s="799" t="str">
        <f t="shared" si="162"/>
        <v>MOTTA LUCAS GABRIEL</v>
      </c>
      <c r="BE578" s="618"/>
      <c r="BF578" s="618"/>
      <c r="BG578" s="1461" t="s">
        <v>959</v>
      </c>
      <c r="BH578" s="324">
        <v>71</v>
      </c>
      <c r="BI578" s="799">
        <v>112014690</v>
      </c>
      <c r="BJ578" s="799"/>
      <c r="BK578" s="618"/>
      <c r="BL578" s="1461" t="s">
        <v>676</v>
      </c>
      <c r="BM578" s="799">
        <v>71</v>
      </c>
      <c r="BN578" s="799">
        <v>112014030</v>
      </c>
      <c r="BO578" s="799"/>
    </row>
    <row r="579" spans="1:67" ht="13">
      <c r="A579" s="325" t="s">
        <v>694</v>
      </c>
      <c r="B579" s="325">
        <v>58</v>
      </c>
      <c r="C579" s="325">
        <v>112011130</v>
      </c>
      <c r="D579" s="799"/>
      <c r="G579" s="325" t="s">
        <v>191</v>
      </c>
      <c r="H579" s="325">
        <v>71</v>
      </c>
      <c r="I579" s="325">
        <v>112014358</v>
      </c>
      <c r="J579" s="1459" t="str">
        <f t="shared" si="156"/>
        <v>SCHIUMA RUBEN ALBERTO</v>
      </c>
      <c r="M579" s="325" t="s">
        <v>585</v>
      </c>
      <c r="N579" s="324">
        <v>70</v>
      </c>
      <c r="O579" s="325">
        <v>112014333</v>
      </c>
      <c r="P579" s="799" t="str">
        <f t="shared" si="157"/>
        <v>IZUMI MARIA VICTORIA</v>
      </c>
      <c r="R579" s="325" t="s">
        <v>351</v>
      </c>
      <c r="S579" s="324"/>
      <c r="T579" s="325">
        <v>112012618</v>
      </c>
      <c r="U579" s="799" t="str">
        <f t="shared" si="158"/>
        <v>PEREIRA CORREIA CARLOS ALBERTO</v>
      </c>
      <c r="W579" s="325" t="s">
        <v>383</v>
      </c>
      <c r="X579" s="324">
        <v>54</v>
      </c>
      <c r="Y579" s="325">
        <v>112013812</v>
      </c>
      <c r="Z579" s="799" t="str">
        <f t="shared" si="159"/>
        <v>RAMIRO DUFFARD</v>
      </c>
      <c r="AE579" s="618"/>
      <c r="AG579" s="325" t="s">
        <v>1365</v>
      </c>
      <c r="AH579" s="325">
        <v>71</v>
      </c>
      <c r="AI579" s="325">
        <v>112014285</v>
      </c>
      <c r="AJ579" s="325" t="str">
        <f t="shared" si="160"/>
        <v>MARTIN FEDERICO JOSE</v>
      </c>
      <c r="AO579" s="618"/>
      <c r="AQ579" s="325" t="s">
        <v>1005</v>
      </c>
      <c r="AR579" s="325">
        <v>61</v>
      </c>
      <c r="AS579" s="325">
        <v>112010400</v>
      </c>
      <c r="AT579" s="799" t="str">
        <f t="shared" si="161"/>
        <v>PICHIRILO CARLOS DAVID</v>
      </c>
      <c r="AW579" s="325" t="s">
        <v>1471</v>
      </c>
      <c r="AX579" s="325">
        <v>67</v>
      </c>
      <c r="AY579" s="325">
        <v>112012550</v>
      </c>
      <c r="AZ579" s="799" t="str">
        <f t="shared" si="162"/>
        <v>MUNDO MARINO S A</v>
      </c>
      <c r="BE579" s="618"/>
      <c r="BF579" s="618"/>
      <c r="BG579" s="1461" t="s">
        <v>1185</v>
      </c>
      <c r="BH579" s="324">
        <v>71</v>
      </c>
      <c r="BI579" s="799">
        <v>112013873</v>
      </c>
      <c r="BJ579" s="799"/>
      <c r="BK579" s="618"/>
      <c r="BL579" s="1461" t="s">
        <v>972</v>
      </c>
      <c r="BM579" s="799">
        <v>71</v>
      </c>
      <c r="BN579" s="799">
        <v>112012953</v>
      </c>
      <c r="BO579" s="799"/>
    </row>
    <row r="580" spans="1:67" ht="13">
      <c r="A580" s="325" t="s">
        <v>696</v>
      </c>
      <c r="B580" s="325">
        <v>59</v>
      </c>
      <c r="C580" s="325">
        <v>112012722</v>
      </c>
      <c r="D580" s="799"/>
      <c r="G580" s="325" t="s">
        <v>155</v>
      </c>
      <c r="H580" s="325">
        <v>70</v>
      </c>
      <c r="I580" s="325">
        <v>112014720</v>
      </c>
      <c r="J580" s="1459" t="str">
        <f t="shared" si="156"/>
        <v>DISLOSUR HERMANOS S.R.L.</v>
      </c>
      <c r="M580" s="325" t="s">
        <v>586</v>
      </c>
      <c r="N580" s="324">
        <v>70</v>
      </c>
      <c r="O580" s="325">
        <v>112014523</v>
      </c>
      <c r="P580" s="799" t="str">
        <f t="shared" si="157"/>
        <v>JORGE ESPARRAGO OCAMPO</v>
      </c>
      <c r="R580" s="325" t="s">
        <v>347</v>
      </c>
      <c r="S580" s="324"/>
      <c r="T580" s="325">
        <v>112014150</v>
      </c>
      <c r="U580" s="799" t="str">
        <f t="shared" si="158"/>
        <v>PEREZ SERGIO ANDRES</v>
      </c>
      <c r="W580" s="325" t="s">
        <v>412</v>
      </c>
      <c r="X580" s="324">
        <v>62</v>
      </c>
      <c r="Y580" s="325">
        <v>112013224</v>
      </c>
      <c r="Z580" s="799" t="str">
        <f t="shared" si="159"/>
        <v>RAMOS BRIAN NAHUEL</v>
      </c>
      <c r="AE580" s="618"/>
      <c r="AG580" s="325" t="s">
        <v>1366</v>
      </c>
      <c r="AH580" s="325">
        <v>71</v>
      </c>
      <c r="AI580" s="325">
        <v>112014614</v>
      </c>
      <c r="AJ580" s="325" t="str">
        <f t="shared" si="160"/>
        <v>MARTIN GASTON FERNANDEZ CHAPARRO</v>
      </c>
      <c r="AO580" s="618"/>
      <c r="AQ580" s="325" t="s">
        <v>1043</v>
      </c>
      <c r="AR580" s="325">
        <v>70</v>
      </c>
      <c r="AS580" s="325">
        <v>112013097</v>
      </c>
      <c r="AT580" s="799" t="str">
        <f t="shared" si="161"/>
        <v>PORTILLO ANGEL GERARDO</v>
      </c>
      <c r="AW580" s="325" t="s">
        <v>1492</v>
      </c>
      <c r="AX580" s="325"/>
      <c r="AY580" s="325">
        <v>112012527</v>
      </c>
      <c r="AZ580" s="799" t="str">
        <f t="shared" si="162"/>
        <v>MUNICIPALIDAD DE ALMIRANTE BROWN</v>
      </c>
      <c r="BE580" s="618"/>
      <c r="BF580" s="618"/>
      <c r="BG580" s="1461" t="s">
        <v>1196</v>
      </c>
      <c r="BH580" s="324">
        <v>70</v>
      </c>
      <c r="BI580" s="799">
        <v>112014192</v>
      </c>
      <c r="BJ580" s="799"/>
      <c r="BK580" s="618"/>
      <c r="BL580" s="1461" t="s">
        <v>957</v>
      </c>
      <c r="BM580" s="799">
        <v>70</v>
      </c>
      <c r="BN580" s="799">
        <v>112012303</v>
      </c>
      <c r="BO580" s="799"/>
    </row>
    <row r="581" spans="1:67" ht="13">
      <c r="A581" s="325" t="s">
        <v>758</v>
      </c>
      <c r="B581" s="325">
        <v>70</v>
      </c>
      <c r="C581" s="325">
        <v>112013277</v>
      </c>
      <c r="D581" s="799"/>
      <c r="G581" s="325" t="s">
        <v>192</v>
      </c>
      <c r="H581" s="325">
        <v>71</v>
      </c>
      <c r="I581" s="325">
        <v>112013603</v>
      </c>
      <c r="J581" s="1459" t="str">
        <f t="shared" si="156"/>
        <v>SCARPONE ORIEL ALFREDO</v>
      </c>
      <c r="M581" s="325" t="s">
        <v>533</v>
      </c>
      <c r="N581" s="324">
        <v>62</v>
      </c>
      <c r="O581" s="325">
        <v>112014517</v>
      </c>
      <c r="P581" s="799" t="str">
        <f t="shared" si="157"/>
        <v>JOSELO FERNANDO OROÑISKY</v>
      </c>
      <c r="R581" s="325" t="s">
        <v>337</v>
      </c>
      <c r="S581" s="324">
        <v>71</v>
      </c>
      <c r="T581" s="325">
        <v>112011733</v>
      </c>
      <c r="U581" s="799" t="str">
        <f t="shared" si="158"/>
        <v>PORTELA ANA ROCIO</v>
      </c>
      <c r="W581" s="325" t="s">
        <v>414</v>
      </c>
      <c r="X581" s="324">
        <v>62</v>
      </c>
      <c r="Y581" s="325">
        <v>112013295</v>
      </c>
      <c r="Z581" s="799" t="str">
        <f t="shared" si="159"/>
        <v>RAMOS EZEQUIEL OSCAR</v>
      </c>
      <c r="AE581" s="618"/>
      <c r="AG581" s="325" t="s">
        <v>1272</v>
      </c>
      <c r="AH581" s="325">
        <v>61</v>
      </c>
      <c r="AI581" s="325">
        <v>112012832</v>
      </c>
      <c r="AJ581" s="325" t="str">
        <f t="shared" si="160"/>
        <v>MASTRANGELO EZEQUIEL</v>
      </c>
      <c r="AO581" s="618"/>
      <c r="AQ581" s="325" t="s">
        <v>1032</v>
      </c>
      <c r="AR581" s="325">
        <v>71</v>
      </c>
      <c r="AS581" s="325">
        <v>112014747</v>
      </c>
      <c r="AT581" s="799" t="str">
        <f t="shared" si="161"/>
        <v>PRADO TREJO MILAGROS ANAHI</v>
      </c>
      <c r="AW581" s="325" t="s">
        <v>1493</v>
      </c>
      <c r="AX581" s="325"/>
      <c r="AY581" s="325">
        <v>112013199</v>
      </c>
      <c r="AZ581" s="799" t="str">
        <f t="shared" si="162"/>
        <v>MUNICIPALIDAD DE BERAZATEGUI</v>
      </c>
      <c r="BE581" s="618"/>
      <c r="BF581" s="618"/>
      <c r="BG581" s="1461" t="s">
        <v>1210</v>
      </c>
      <c r="BH581" s="324">
        <v>70</v>
      </c>
      <c r="BI581" s="799">
        <v>112011525</v>
      </c>
      <c r="BJ581" s="799"/>
      <c r="BK581" s="618"/>
      <c r="BL581" s="1461" t="s">
        <v>1195</v>
      </c>
      <c r="BM581" s="799">
        <v>70</v>
      </c>
      <c r="BN581" s="799">
        <v>112014186</v>
      </c>
      <c r="BO581" s="799"/>
    </row>
    <row r="582" spans="1:67" ht="13">
      <c r="A582" s="325" t="s">
        <v>692</v>
      </c>
      <c r="B582" s="325">
        <v>53</v>
      </c>
      <c r="C582" s="325">
        <v>112014776</v>
      </c>
      <c r="D582" s="799"/>
      <c r="G582" s="325" t="s">
        <v>119</v>
      </c>
      <c r="H582" s="325">
        <v>70</v>
      </c>
      <c r="I582" s="325">
        <v>112012192</v>
      </c>
      <c r="J582" s="1459" t="str">
        <f t="shared" si="156"/>
        <v>GARAY LUCAS MAXIMILIANO</v>
      </c>
      <c r="M582" s="325" t="s">
        <v>660</v>
      </c>
      <c r="N582" s="324"/>
      <c r="O582" s="325">
        <v>112014674</v>
      </c>
      <c r="P582" s="799" t="str">
        <f t="shared" si="157"/>
        <v>JUAN PABLO SEBASTIAN VALENZUELA</v>
      </c>
      <c r="R582" s="325" t="s">
        <v>338</v>
      </c>
      <c r="S582" s="324">
        <v>71</v>
      </c>
      <c r="T582" s="325">
        <v>112010542</v>
      </c>
      <c r="U582" s="799" t="str">
        <f t="shared" si="158"/>
        <v>RAJOY RUBEN DANIEL</v>
      </c>
      <c r="W582" s="325" t="s">
        <v>439</v>
      </c>
      <c r="X582" s="324">
        <v>63</v>
      </c>
      <c r="Y582" s="325">
        <v>112011275</v>
      </c>
      <c r="Z582" s="799" t="str">
        <f t="shared" si="159"/>
        <v>REYNA MARTA INES</v>
      </c>
      <c r="AE582" s="618"/>
      <c r="AG582" s="325" t="s">
        <v>1383</v>
      </c>
      <c r="AH582" s="325"/>
      <c r="AI582" s="325">
        <v>112014601</v>
      </c>
      <c r="AJ582" s="325" t="str">
        <f t="shared" si="160"/>
        <v>MAURICIO PABLO CEFERINO ARIAS</v>
      </c>
      <c r="AO582" s="618"/>
      <c r="AQ582" s="325" t="s">
        <v>1086</v>
      </c>
      <c r="AR582" s="325">
        <v>71</v>
      </c>
      <c r="AS582" s="325">
        <v>112014021</v>
      </c>
      <c r="AT582" s="799" t="str">
        <f t="shared" si="161"/>
        <v>RABAZZANO FERNANDO JAVIER</v>
      </c>
      <c r="AW582" s="325" t="s">
        <v>1484</v>
      </c>
      <c r="AX582" s="325">
        <v>71</v>
      </c>
      <c r="AY582" s="325">
        <v>112013990</v>
      </c>
      <c r="AZ582" s="799" t="str">
        <f t="shared" si="162"/>
        <v>MUNICIPALIDAD DE BRAGADO</v>
      </c>
      <c r="BE582" s="618"/>
      <c r="BF582" s="618"/>
      <c r="BG582" s="1461" t="s">
        <v>956</v>
      </c>
      <c r="BH582" s="324">
        <v>70</v>
      </c>
      <c r="BI582" s="799">
        <v>112010856</v>
      </c>
      <c r="BJ582" s="799"/>
      <c r="BK582" s="618"/>
      <c r="BL582" s="1461" t="s">
        <v>971</v>
      </c>
      <c r="BM582" s="799">
        <v>71</v>
      </c>
      <c r="BN582" s="799">
        <v>112014072</v>
      </c>
      <c r="BO582" s="799"/>
    </row>
    <row r="583" spans="1:67" ht="13">
      <c r="A583" s="325" t="s">
        <v>731</v>
      </c>
      <c r="B583" s="325">
        <v>70</v>
      </c>
      <c r="C583" s="325">
        <v>112013859</v>
      </c>
      <c r="D583" s="799"/>
      <c r="G583" s="325" t="s">
        <v>156</v>
      </c>
      <c r="H583" s="325">
        <v>70</v>
      </c>
      <c r="I583" s="325">
        <v>112013939</v>
      </c>
      <c r="J583" s="1459" t="str">
        <f t="shared" si="156"/>
        <v>ROBERTO ANIBAL PAVON</v>
      </c>
      <c r="M583" s="325" t="s">
        <v>587</v>
      </c>
      <c r="N583" s="324">
        <v>70</v>
      </c>
      <c r="O583" s="325">
        <v>112013605</v>
      </c>
      <c r="P583" s="799" t="str">
        <f t="shared" si="157"/>
        <v>LAGOS SEBASTIAN AGUSTIN</v>
      </c>
      <c r="R583" s="325" t="s">
        <v>280</v>
      </c>
      <c r="S583" s="324">
        <v>63</v>
      </c>
      <c r="T583" s="325">
        <v>112012087</v>
      </c>
      <c r="U583" s="799" t="str">
        <f t="shared" si="158"/>
        <v>RETONTALI MARIO ANDRES</v>
      </c>
      <c r="W583" s="325" t="s">
        <v>400</v>
      </c>
      <c r="X583" s="324">
        <v>61</v>
      </c>
      <c r="Y583" s="325">
        <v>112013973</v>
      </c>
      <c r="Z583" s="799" t="str">
        <f t="shared" si="159"/>
        <v>ROLON SANDRA PAOLA</v>
      </c>
      <c r="AE583" s="618"/>
      <c r="AG583" s="325" t="s">
        <v>1338</v>
      </c>
      <c r="AH583" s="325">
        <v>71</v>
      </c>
      <c r="AI583" s="325">
        <v>112013925</v>
      </c>
      <c r="AJ583" s="325" t="str">
        <f t="shared" si="160"/>
        <v>MIROGLIO ANTONELA MAILEN</v>
      </c>
      <c r="AO583" s="618"/>
      <c r="AQ583" s="325" t="s">
        <v>1015</v>
      </c>
      <c r="AR583" s="325">
        <v>63</v>
      </c>
      <c r="AS583" s="325">
        <v>112012021</v>
      </c>
      <c r="AT583" s="799" t="str">
        <f t="shared" si="161"/>
        <v>RAFECA VANESA ANAHI</v>
      </c>
      <c r="AW583" s="325" t="s">
        <v>1117</v>
      </c>
      <c r="AX583" s="325">
        <v>71</v>
      </c>
      <c r="AY583" s="325">
        <v>112013669</v>
      </c>
      <c r="AZ583" s="799" t="str">
        <f t="shared" si="162"/>
        <v>MUNICIPALIDAD DE GENERAL ALVEAR</v>
      </c>
      <c r="BE583" s="618"/>
      <c r="BF583" s="618"/>
      <c r="BG583" s="1461" t="s">
        <v>932</v>
      </c>
      <c r="BH583" s="324">
        <v>63</v>
      </c>
      <c r="BI583" s="799">
        <v>112012640</v>
      </c>
      <c r="BJ583" s="799"/>
      <c r="BK583" s="618"/>
      <c r="BL583" s="1461" t="s">
        <v>1531</v>
      </c>
      <c r="BM583" s="799"/>
      <c r="BN583" s="799">
        <v>112014789</v>
      </c>
      <c r="BO583" s="799"/>
    </row>
    <row r="584" spans="1:67" ht="13">
      <c r="A584" s="325" t="s">
        <v>759</v>
      </c>
      <c r="B584" s="325">
        <v>70</v>
      </c>
      <c r="C584" s="325">
        <v>112013918</v>
      </c>
      <c r="D584" s="799"/>
      <c r="G584" s="325" t="s">
        <v>193</v>
      </c>
      <c r="H584" s="325">
        <v>71</v>
      </c>
      <c r="I584" s="325">
        <v>112011804</v>
      </c>
      <c r="J584" s="1459" t="str">
        <f t="shared" si="156"/>
        <v>CAMPI BRIAN NICOLAS</v>
      </c>
      <c r="M584" s="325" t="s">
        <v>534</v>
      </c>
      <c r="N584" s="324">
        <v>62</v>
      </c>
      <c r="O584" s="325">
        <v>112014315</v>
      </c>
      <c r="P584" s="799" t="str">
        <f t="shared" si="157"/>
        <v>LAURIAQUE ROSSANA BEATRIZ</v>
      </c>
      <c r="R584" s="325" t="s">
        <v>275</v>
      </c>
      <c r="S584" s="324">
        <v>63</v>
      </c>
      <c r="T584" s="325">
        <v>112011438</v>
      </c>
      <c r="U584" s="799" t="str">
        <f t="shared" si="158"/>
        <v>RICUPERO CARLOS/ AUGE ELIZABETH</v>
      </c>
      <c r="W584" s="325" t="s">
        <v>447</v>
      </c>
      <c r="X584" s="324">
        <v>66</v>
      </c>
      <c r="Y584" s="325">
        <v>112010434</v>
      </c>
      <c r="Z584" s="799" t="str">
        <f t="shared" si="159"/>
        <v>ROMAN GABRIELA MABEL</v>
      </c>
      <c r="AE584" s="618"/>
      <c r="AG584" s="325" t="s">
        <v>1367</v>
      </c>
      <c r="AH584" s="325">
        <v>71</v>
      </c>
      <c r="AI584" s="325">
        <v>112013861</v>
      </c>
      <c r="AJ584" s="325" t="str">
        <f t="shared" si="160"/>
        <v>MONTENEGRO IBAÑEZ ANA MONICA</v>
      </c>
      <c r="AO584" s="618"/>
      <c r="AQ584" s="325" t="s">
        <v>1057</v>
      </c>
      <c r="AR584" s="325">
        <v>71</v>
      </c>
      <c r="AS584" s="325">
        <v>112013625</v>
      </c>
      <c r="AT584" s="799" t="str">
        <f t="shared" si="161"/>
        <v>RIPOLL FERMIN</v>
      </c>
      <c r="AW584" s="325" t="s">
        <v>1491</v>
      </c>
      <c r="AX584" s="325"/>
      <c r="AY584" s="325">
        <v>112013901</v>
      </c>
      <c r="AZ584" s="799" t="str">
        <f t="shared" si="162"/>
        <v>MUNICIPALIDAD DE GENERAL LAS HERAS</v>
      </c>
      <c r="BE584" s="618"/>
      <c r="BF584" s="618"/>
      <c r="BG584" s="1461" t="s">
        <v>1387</v>
      </c>
      <c r="BH584" s="324">
        <v>71</v>
      </c>
      <c r="BI584" s="799">
        <v>112012973</v>
      </c>
      <c r="BJ584" s="799"/>
      <c r="BK584" s="618"/>
      <c r="BL584" s="1461" t="s">
        <v>980</v>
      </c>
      <c r="BM584" s="799">
        <v>71</v>
      </c>
      <c r="BN584" s="799">
        <v>112012399</v>
      </c>
      <c r="BO584" s="799"/>
    </row>
    <row r="585" spans="1:67" ht="13">
      <c r="A585" s="325" t="s">
        <v>805</v>
      </c>
      <c r="B585" s="325"/>
      <c r="C585" s="325">
        <v>112012669</v>
      </c>
      <c r="D585" s="799"/>
      <c r="G585" s="325" t="s">
        <v>194</v>
      </c>
      <c r="H585" s="325">
        <v>71</v>
      </c>
      <c r="I585" s="325">
        <v>112013735</v>
      </c>
      <c r="J585" s="1459" t="str">
        <f t="shared" si="156"/>
        <v>ROMERO CLAUDIO OMAR</v>
      </c>
      <c r="M585" s="325" t="s">
        <v>535</v>
      </c>
      <c r="N585" s="324">
        <v>62</v>
      </c>
      <c r="O585" s="325">
        <v>112014738</v>
      </c>
      <c r="P585" s="799" t="str">
        <f t="shared" si="157"/>
        <v>LAVANDEYRA JOSE MANUEL</v>
      </c>
      <c r="R585" s="325" t="s">
        <v>266</v>
      </c>
      <c r="S585" s="324">
        <v>63</v>
      </c>
      <c r="T585" s="325">
        <v>112012489</v>
      </c>
      <c r="U585" s="799" t="str">
        <f t="shared" si="158"/>
        <v>RODRIGUEZ CARLOS EDUARDO</v>
      </c>
      <c r="W585" s="325" t="s">
        <v>450</v>
      </c>
      <c r="X585" s="324">
        <v>67</v>
      </c>
      <c r="Y585" s="325">
        <v>112014101</v>
      </c>
      <c r="Z585" s="799" t="str">
        <f t="shared" si="159"/>
        <v>SALA MARIA VICTORIA</v>
      </c>
      <c r="AE585" s="618"/>
      <c r="AG585" s="325" t="s">
        <v>1322</v>
      </c>
      <c r="AH585" s="325">
        <v>63</v>
      </c>
      <c r="AI585" s="325">
        <v>112013882</v>
      </c>
      <c r="AJ585" s="325" t="str">
        <f t="shared" si="160"/>
        <v>MORENO FRANCISCO</v>
      </c>
      <c r="AO585" s="618"/>
      <c r="AQ585" s="325" t="s">
        <v>1066</v>
      </c>
      <c r="AR585" s="325">
        <v>71</v>
      </c>
      <c r="AS585" s="325">
        <v>112013651</v>
      </c>
      <c r="AT585" s="799" t="str">
        <f t="shared" si="161"/>
        <v>ROMERO AGUSTIN ALBERTO</v>
      </c>
      <c r="AW585" s="325" t="s">
        <v>1494</v>
      </c>
      <c r="AX585" s="325"/>
      <c r="AY585" s="325">
        <v>112014076</v>
      </c>
      <c r="AZ585" s="799" t="str">
        <f t="shared" si="162"/>
        <v>MUNICIPALIDAD DE LAPRIDA</v>
      </c>
      <c r="BE585" s="618"/>
      <c r="BF585" s="618"/>
      <c r="BG585" s="1461" t="s">
        <v>1119</v>
      </c>
      <c r="BH585" s="324">
        <v>71</v>
      </c>
      <c r="BI585" s="799">
        <v>112014306</v>
      </c>
      <c r="BJ585" s="799"/>
      <c r="BK585" s="618"/>
      <c r="BL585" s="1461" t="s">
        <v>1513</v>
      </c>
      <c r="BM585" s="799">
        <v>71</v>
      </c>
      <c r="BN585" s="799">
        <v>112010784</v>
      </c>
      <c r="BO585" s="799"/>
    </row>
    <row r="586" spans="1:67" ht="13">
      <c r="A586" s="325" t="s">
        <v>760</v>
      </c>
      <c r="B586" s="325">
        <v>69</v>
      </c>
      <c r="C586" s="325">
        <v>112013584</v>
      </c>
      <c r="D586" s="799"/>
      <c r="G586" s="325" t="s">
        <v>195</v>
      </c>
      <c r="H586" s="325">
        <v>71</v>
      </c>
      <c r="I586" s="325">
        <v>112014354</v>
      </c>
      <c r="J586" s="1459" t="str">
        <f t="shared" si="156"/>
        <v>TORRES LORENA SILVIA</v>
      </c>
      <c r="M586" s="325" t="s">
        <v>637</v>
      </c>
      <c r="N586" s="324">
        <v>70</v>
      </c>
      <c r="O586" s="325">
        <v>112014240</v>
      </c>
      <c r="P586" s="799" t="str">
        <f t="shared" si="157"/>
        <v>LEMA ARIEL GUSTAVO</v>
      </c>
      <c r="R586" s="325" t="s">
        <v>352</v>
      </c>
      <c r="S586" s="324"/>
      <c r="T586" s="325">
        <v>112013258</v>
      </c>
      <c r="U586" s="799" t="str">
        <f t="shared" si="158"/>
        <v>RODRIGUEZ HORACIO MARCELINO</v>
      </c>
      <c r="W586" s="325" t="s">
        <v>443</v>
      </c>
      <c r="X586" s="324">
        <v>63</v>
      </c>
      <c r="Y586" s="325">
        <v>112014717</v>
      </c>
      <c r="Z586" s="799" t="str">
        <f t="shared" si="159"/>
        <v>SALGADO GONZALO EZEQUIEL</v>
      </c>
      <c r="AE586" s="618"/>
      <c r="AG586" s="325" t="s">
        <v>1274</v>
      </c>
      <c r="AH586" s="325">
        <v>61</v>
      </c>
      <c r="AI586" s="325">
        <v>112013964</v>
      </c>
      <c r="AJ586" s="325" t="str">
        <f t="shared" si="160"/>
        <v>MOSCA CLAUDIO JOSE</v>
      </c>
      <c r="AO586" s="618"/>
      <c r="AQ586" s="325" t="s">
        <v>1041</v>
      </c>
      <c r="AR586" s="325">
        <v>70</v>
      </c>
      <c r="AS586" s="325">
        <v>112012196</v>
      </c>
      <c r="AT586" s="799" t="str">
        <f t="shared" si="161"/>
        <v>ROSSA MAGALI YAEL</v>
      </c>
      <c r="AW586" s="325" t="s">
        <v>1495</v>
      </c>
      <c r="AX586" s="325"/>
      <c r="AY586" s="325">
        <v>112011824</v>
      </c>
      <c r="AZ586" s="799" t="str">
        <f t="shared" si="162"/>
        <v>MUNICIPALIDAD DE LOBOS</v>
      </c>
      <c r="BE586" s="618"/>
      <c r="BF586" s="618"/>
      <c r="BG586" s="1461" t="s">
        <v>1215</v>
      </c>
      <c r="BH586" s="324">
        <v>70</v>
      </c>
      <c r="BI586" s="799">
        <v>112013235</v>
      </c>
      <c r="BJ586" s="799"/>
      <c r="BK586" s="618"/>
      <c r="BL586" s="1461" t="s">
        <v>943</v>
      </c>
      <c r="BM586" s="799">
        <v>71</v>
      </c>
      <c r="BN586" s="799">
        <v>112013139</v>
      </c>
      <c r="BO586" s="799"/>
    </row>
    <row r="587" spans="1:67" ht="13">
      <c r="A587" s="325" t="s">
        <v>787</v>
      </c>
      <c r="B587" s="325">
        <v>71</v>
      </c>
      <c r="C587" s="325">
        <v>112013054</v>
      </c>
      <c r="D587" s="799"/>
      <c r="G587" s="325" t="s">
        <v>68</v>
      </c>
      <c r="H587" s="325">
        <v>53</v>
      </c>
      <c r="I587" s="325">
        <v>112012275</v>
      </c>
      <c r="J587" s="1459" t="str">
        <f t="shared" si="156"/>
        <v>FOGONVET S.R.L.</v>
      </c>
      <c r="M587" s="325" t="s">
        <v>588</v>
      </c>
      <c r="N587" s="324">
        <v>69</v>
      </c>
      <c r="O587" s="325">
        <v>112014395</v>
      </c>
      <c r="P587" s="799" t="str">
        <f t="shared" si="157"/>
        <v>LIBONATTI WALTER MARTIN</v>
      </c>
      <c r="R587" s="325" t="s">
        <v>339</v>
      </c>
      <c r="S587" s="324">
        <v>71</v>
      </c>
      <c r="T587" s="325">
        <v>112012258</v>
      </c>
      <c r="U587" s="799" t="str">
        <f t="shared" si="158"/>
        <v>ROMERO JUAN FACUNDO</v>
      </c>
      <c r="W587" s="325" t="s">
        <v>480</v>
      </c>
      <c r="X587" s="324"/>
      <c r="Y587" s="325">
        <v>112013134</v>
      </c>
      <c r="Z587" s="799" t="str">
        <f t="shared" si="159"/>
        <v>SALOCHA JORGE HERNAN</v>
      </c>
      <c r="AE587" s="618"/>
      <c r="AG587" s="325" t="s">
        <v>1379</v>
      </c>
      <c r="AH587" s="325"/>
      <c r="AI587" s="325">
        <v>112014710</v>
      </c>
      <c r="AJ587" s="325" t="str">
        <f t="shared" si="160"/>
        <v>MUNICIPALIDAD DE GENERAL LAVALLE</v>
      </c>
      <c r="AO587" s="618"/>
      <c r="AQ587" s="325" t="s">
        <v>1038</v>
      </c>
      <c r="AR587" s="325">
        <v>70</v>
      </c>
      <c r="AS587" s="325">
        <v>112014533</v>
      </c>
      <c r="AT587" s="799" t="str">
        <f t="shared" si="161"/>
        <v>RUI CARLOS FACUNDO</v>
      </c>
      <c r="AW587" s="325" t="s">
        <v>1498</v>
      </c>
      <c r="AX587" s="325"/>
      <c r="AY587" s="325">
        <v>112013723</v>
      </c>
      <c r="AZ587" s="799" t="str">
        <f t="shared" si="162"/>
        <v>MUNICIPALIDAD DE MONTE</v>
      </c>
      <c r="BE587" s="618"/>
      <c r="BF587" s="618"/>
      <c r="BG587" s="1461" t="s">
        <v>1190</v>
      </c>
      <c r="BH587" s="324">
        <v>70</v>
      </c>
      <c r="BI587" s="799">
        <v>112012430</v>
      </c>
      <c r="BJ587" s="799"/>
      <c r="BK587" s="618"/>
      <c r="BL587" s="1461" t="s">
        <v>1163</v>
      </c>
      <c r="BM587" s="799">
        <v>70</v>
      </c>
      <c r="BN587" s="799">
        <v>112014761</v>
      </c>
      <c r="BO587" s="799"/>
    </row>
    <row r="588" spans="1:67" ht="13">
      <c r="A588" s="325" t="s">
        <v>761</v>
      </c>
      <c r="B588" s="325">
        <v>70</v>
      </c>
      <c r="C588" s="325">
        <v>112014046</v>
      </c>
      <c r="D588" s="799"/>
      <c r="G588" s="325" t="s">
        <v>113</v>
      </c>
      <c r="H588" s="325">
        <v>69</v>
      </c>
      <c r="I588" s="325">
        <v>112014411</v>
      </c>
      <c r="J588" s="1459" t="str">
        <f t="shared" si="156"/>
        <v>BIDAL DANIELA SILVANA</v>
      </c>
      <c r="M588" s="325" t="s">
        <v>646</v>
      </c>
      <c r="N588" s="324">
        <v>71</v>
      </c>
      <c r="O588" s="325">
        <v>112011741</v>
      </c>
      <c r="P588" s="799" t="str">
        <f t="shared" si="157"/>
        <v>LLANEZA FRANCISCO ALBERTO</v>
      </c>
      <c r="R588" s="325" t="s">
        <v>340</v>
      </c>
      <c r="S588" s="324">
        <v>70</v>
      </c>
      <c r="T588" s="325">
        <v>112013733</v>
      </c>
      <c r="U588" s="799" t="str">
        <f t="shared" si="158"/>
        <v>SANCHEZ ROBERTO GABRIEL</v>
      </c>
      <c r="W588" s="325" t="s">
        <v>455</v>
      </c>
      <c r="X588" s="324">
        <v>71</v>
      </c>
      <c r="Y588" s="325">
        <v>112010619</v>
      </c>
      <c r="Z588" s="799" t="str">
        <f t="shared" si="159"/>
        <v>SANTANA CARLOS GUILLERMO</v>
      </c>
      <c r="AE588" s="618"/>
      <c r="AG588" s="325" t="s">
        <v>1335</v>
      </c>
      <c r="AH588" s="325">
        <v>70</v>
      </c>
      <c r="AI588" s="325">
        <v>112014218</v>
      </c>
      <c r="AJ588" s="325" t="str">
        <f t="shared" si="160"/>
        <v>MUSTIOLA RIVERA MIYENYS COROMOTO</v>
      </c>
      <c r="AO588" s="618"/>
      <c r="AQ588" s="325" t="s">
        <v>1035</v>
      </c>
      <c r="AR588" s="325">
        <v>69</v>
      </c>
      <c r="AS588" s="325">
        <v>112014404</v>
      </c>
      <c r="AT588" s="799" t="str">
        <f t="shared" si="161"/>
        <v>SAAVEDRA JORGELINA ANDREA</v>
      </c>
      <c r="AW588" s="325" t="s">
        <v>983</v>
      </c>
      <c r="AX588" s="325"/>
      <c r="AY588" s="325">
        <v>112014728</v>
      </c>
      <c r="AZ588" s="799" t="str">
        <f t="shared" si="162"/>
        <v>MUNICIPALIDAD DE PILA</v>
      </c>
      <c r="BE588" s="618"/>
      <c r="BF588" s="618"/>
      <c r="BG588" s="553"/>
      <c r="BH588" s="294"/>
      <c r="BI588" s="618"/>
      <c r="BJ588" s="618"/>
      <c r="BK588" s="618"/>
      <c r="BL588" s="1461" t="s">
        <v>1214</v>
      </c>
      <c r="BM588" s="799">
        <v>70</v>
      </c>
      <c r="BN588" s="799">
        <v>112014204</v>
      </c>
      <c r="BO588" s="799"/>
    </row>
    <row r="589" spans="1:67" ht="13">
      <c r="A589" s="325" t="s">
        <v>715</v>
      </c>
      <c r="B589" s="325">
        <v>67</v>
      </c>
      <c r="C589" s="325">
        <v>112011463</v>
      </c>
      <c r="D589" s="799"/>
      <c r="G589" s="325" t="s">
        <v>222</v>
      </c>
      <c r="H589" s="325"/>
      <c r="I589" s="325">
        <v>112010753</v>
      </c>
      <c r="J589" s="1459" t="str">
        <f t="shared" si="156"/>
        <v>PEÑA PAMELA GRACIELA</v>
      </c>
      <c r="M589" s="325" t="s">
        <v>589</v>
      </c>
      <c r="N589" s="324">
        <v>70</v>
      </c>
      <c r="O589" s="325">
        <v>112014609</v>
      </c>
      <c r="P589" s="799" t="str">
        <f t="shared" si="157"/>
        <v>MALDONADO VANINA ELIZABETH</v>
      </c>
      <c r="R589" s="325" t="s">
        <v>353</v>
      </c>
      <c r="S589" s="324"/>
      <c r="T589" s="325">
        <v>112013358</v>
      </c>
      <c r="U589" s="799" t="str">
        <f t="shared" si="158"/>
        <v>SANSOT GISELE MARIEL</v>
      </c>
      <c r="W589" s="325" t="s">
        <v>464</v>
      </c>
      <c r="X589" s="324">
        <v>71</v>
      </c>
      <c r="Y589" s="325">
        <v>112011552</v>
      </c>
      <c r="Z589" s="799" t="str">
        <f t="shared" si="159"/>
        <v>SAYAL DIEGO (CANNING)</v>
      </c>
      <c r="AE589" s="618"/>
      <c r="AG589" s="325" t="s">
        <v>1278</v>
      </c>
      <c r="AH589" s="325">
        <v>62</v>
      </c>
      <c r="AI589" s="325">
        <v>112013946</v>
      </c>
      <c r="AJ589" s="325" t="str">
        <f t="shared" si="160"/>
        <v>NIGRO NATALIA SOLEDAD</v>
      </c>
      <c r="AO589" s="618"/>
      <c r="AQ589" s="325" t="s">
        <v>1048</v>
      </c>
      <c r="AR589" s="325">
        <v>71</v>
      </c>
      <c r="AS589" s="325">
        <v>112012154</v>
      </c>
      <c r="AT589" s="799" t="str">
        <f t="shared" si="161"/>
        <v>SADABA SEBASTIAN ANDRES</v>
      </c>
      <c r="AW589" s="325" t="s">
        <v>1499</v>
      </c>
      <c r="AX589" s="325"/>
      <c r="AY589" s="325">
        <v>112012864</v>
      </c>
      <c r="AZ589" s="799" t="str">
        <f t="shared" si="162"/>
        <v>MUNICIPALIDAD DE PRESIDENTE PERON</v>
      </c>
      <c r="BE589" s="618"/>
      <c r="BF589" s="618"/>
      <c r="BG589" s="553"/>
      <c r="BH589" s="294"/>
      <c r="BI589" s="618"/>
      <c r="BJ589" s="618"/>
      <c r="BK589" s="618"/>
      <c r="BL589" s="553"/>
      <c r="BM589" s="618"/>
      <c r="BN589" s="618"/>
      <c r="BO589" s="618"/>
    </row>
    <row r="590" spans="1:67" ht="13">
      <c r="A590" s="325" t="s">
        <v>799</v>
      </c>
      <c r="B590" s="325"/>
      <c r="C590" s="325">
        <v>112013400</v>
      </c>
      <c r="D590" s="799"/>
      <c r="G590" s="325" t="s">
        <v>196</v>
      </c>
      <c r="H590" s="325">
        <v>71</v>
      </c>
      <c r="I590" s="325">
        <v>112013878</v>
      </c>
      <c r="J590" s="1459" t="str">
        <f t="shared" si="156"/>
        <v>MEREP LEONARDO DAVID</v>
      </c>
      <c r="M590" s="325" t="s">
        <v>590</v>
      </c>
      <c r="N590" s="324">
        <v>70</v>
      </c>
      <c r="O590" s="325">
        <v>112014680</v>
      </c>
      <c r="P590" s="799" t="str">
        <f t="shared" si="157"/>
        <v>MARCELO NICOLAS PALERMO</v>
      </c>
      <c r="R590" s="325" t="s">
        <v>341</v>
      </c>
      <c r="S590" s="324">
        <v>71</v>
      </c>
      <c r="T590" s="325">
        <v>112011542</v>
      </c>
      <c r="U590" s="799" t="str">
        <f t="shared" si="158"/>
        <v>SANTIAGO MARCELA ALEJANDRA</v>
      </c>
      <c r="W590" s="325" t="s">
        <v>240</v>
      </c>
      <c r="X590" s="324">
        <v>71</v>
      </c>
      <c r="Y590" s="325">
        <v>112014384</v>
      </c>
      <c r="Z590" s="799" t="str">
        <f t="shared" si="159"/>
        <v>SCIPIONI HUGO LUIS</v>
      </c>
      <c r="AE590" s="618"/>
      <c r="AG590" s="325" t="s">
        <v>1323</v>
      </c>
      <c r="AH590" s="325">
        <v>63</v>
      </c>
      <c r="AI590" s="325">
        <v>112013730</v>
      </c>
      <c r="AJ590" s="325" t="str">
        <f t="shared" si="160"/>
        <v>NOCETTI FACUNDO</v>
      </c>
      <c r="AO590" s="618"/>
      <c r="AQ590" s="325" t="s">
        <v>1058</v>
      </c>
      <c r="AR590" s="325">
        <v>71</v>
      </c>
      <c r="AS590" s="325">
        <v>112013490</v>
      </c>
      <c r="AT590" s="799" t="str">
        <f t="shared" si="161"/>
        <v>SAPPIA DANIEL HUMBERTO</v>
      </c>
      <c r="AW590" s="325" t="s">
        <v>1502</v>
      </c>
      <c r="AX590" s="325"/>
      <c r="AY590" s="325">
        <v>112012403</v>
      </c>
      <c r="AZ590" s="799" t="str">
        <f t="shared" si="162"/>
        <v>MUNICIPALIDAD DE SUIPACHA</v>
      </c>
      <c r="BE590" s="618"/>
      <c r="BF590" s="618"/>
      <c r="BG590" s="553"/>
      <c r="BH590" s="294"/>
      <c r="BI590" s="618"/>
      <c r="BJ590" s="618"/>
      <c r="BK590" s="618"/>
      <c r="BL590" s="553"/>
      <c r="BM590" s="618"/>
      <c r="BN590" s="618"/>
      <c r="BO590" s="618"/>
    </row>
    <row r="591" spans="1:67" ht="13">
      <c r="A591" s="325" t="s">
        <v>806</v>
      </c>
      <c r="B591" s="325"/>
      <c r="C591" s="325">
        <v>112012899</v>
      </c>
      <c r="D591" s="799"/>
      <c r="G591" s="325" t="s">
        <v>157</v>
      </c>
      <c r="H591" s="325">
        <v>70</v>
      </c>
      <c r="I591" s="325">
        <v>112014668</v>
      </c>
      <c r="J591" s="1459" t="str">
        <f t="shared" si="156"/>
        <v>SPADARO FLAVIA</v>
      </c>
      <c r="M591" s="325" t="s">
        <v>643</v>
      </c>
      <c r="N591" s="324">
        <v>70</v>
      </c>
      <c r="O591" s="325">
        <v>112014755</v>
      </c>
      <c r="P591" s="799" t="str">
        <f t="shared" si="157"/>
        <v>MARCOS MATIAS MOYANO</v>
      </c>
      <c r="R591" s="325" t="s">
        <v>276</v>
      </c>
      <c r="S591" s="324">
        <v>63</v>
      </c>
      <c r="T591" s="325">
        <v>112012598</v>
      </c>
      <c r="U591" s="799" t="str">
        <f t="shared" si="158"/>
        <v>SETTE GABRIELA ALEJANDRA</v>
      </c>
      <c r="W591" s="325" t="s">
        <v>467</v>
      </c>
      <c r="X591" s="324">
        <v>71</v>
      </c>
      <c r="Y591" s="325">
        <v>112012343</v>
      </c>
      <c r="Z591" s="799" t="str">
        <f t="shared" si="159"/>
        <v>SILVESTRI MARCELA INES</v>
      </c>
      <c r="AE591" s="618"/>
      <c r="AG591" s="325" t="s">
        <v>1301</v>
      </c>
      <c r="AH591" s="325">
        <v>63</v>
      </c>
      <c r="AI591" s="325">
        <v>112014454</v>
      </c>
      <c r="AJ591" s="325" t="str">
        <f t="shared" si="160"/>
        <v>NUTRIJO AGROSERVICIOS S. R. L.</v>
      </c>
      <c r="AO591" s="618"/>
      <c r="AQ591" s="325" t="s">
        <v>1025</v>
      </c>
      <c r="AR591" s="325">
        <v>63</v>
      </c>
      <c r="AS591" s="325">
        <v>112014645</v>
      </c>
      <c r="AT591" s="799" t="str">
        <f t="shared" si="161"/>
        <v>SILVIA MARIEL CABRERA</v>
      </c>
      <c r="AW591" s="325" t="s">
        <v>1114</v>
      </c>
      <c r="AX591" s="325">
        <v>71</v>
      </c>
      <c r="AY591" s="325">
        <v>112012451</v>
      </c>
      <c r="AZ591" s="799" t="str">
        <f t="shared" si="162"/>
        <v>MUNICIPALIDAD DE TAPALQUE</v>
      </c>
      <c r="BE591" s="618"/>
      <c r="BF591" s="618"/>
      <c r="BG591" s="553"/>
      <c r="BH591" s="294"/>
      <c r="BI591" s="618"/>
      <c r="BJ591" s="618"/>
      <c r="BK591" s="618"/>
      <c r="BL591" s="553"/>
      <c r="BM591" s="618"/>
      <c r="BN591" s="618"/>
      <c r="BO591" s="618"/>
    </row>
    <row r="592" spans="1:67" ht="13">
      <c r="A592" s="325" t="s">
        <v>807</v>
      </c>
      <c r="B592" s="325"/>
      <c r="C592" s="325">
        <v>112014386</v>
      </c>
      <c r="D592" s="799"/>
      <c r="G592" s="325" t="s">
        <v>215</v>
      </c>
      <c r="H592" s="325">
        <v>71</v>
      </c>
      <c r="I592" s="325">
        <v>112014660</v>
      </c>
      <c r="J592" s="1459" t="str">
        <f t="shared" si="156"/>
        <v>ARANDA LUCIANO DAMIAN</v>
      </c>
      <c r="M592" s="325" t="s">
        <v>510</v>
      </c>
      <c r="N592" s="324">
        <v>53</v>
      </c>
      <c r="O592" s="325">
        <v>112013271</v>
      </c>
      <c r="P592" s="799" t="str">
        <f t="shared" si="157"/>
        <v>MARCOS RUBEN FRANCISCO</v>
      </c>
      <c r="R592" s="325" t="s">
        <v>306</v>
      </c>
      <c r="S592" s="324">
        <v>70</v>
      </c>
      <c r="T592" s="325">
        <v>112014291</v>
      </c>
      <c r="U592" s="799" t="str">
        <f t="shared" si="158"/>
        <v>SHCHERBYNA TAMARA</v>
      </c>
      <c r="W592" s="325" t="s">
        <v>468</v>
      </c>
      <c r="X592" s="324">
        <v>71</v>
      </c>
      <c r="Y592" s="325">
        <v>112012346</v>
      </c>
      <c r="Z592" s="799" t="str">
        <f t="shared" si="159"/>
        <v>SOCIEDAD RURAL CAÑUELAS</v>
      </c>
      <c r="AE592" s="618"/>
      <c r="AG592" s="325" t="s">
        <v>1302</v>
      </c>
      <c r="AH592" s="325">
        <v>63</v>
      </c>
      <c r="AI592" s="325">
        <v>112012506</v>
      </c>
      <c r="AJ592" s="325" t="str">
        <f t="shared" si="160"/>
        <v>OCAMPO NICOLAS RUFINO</v>
      </c>
      <c r="AO592" s="618"/>
      <c r="AQ592" s="325" t="s">
        <v>1026</v>
      </c>
      <c r="AR592" s="325">
        <v>63</v>
      </c>
      <c r="AS592" s="325">
        <v>112014470</v>
      </c>
      <c r="AT592" s="799" t="str">
        <f t="shared" si="161"/>
        <v>SILVINA BOCCA</v>
      </c>
      <c r="AW592" s="325" t="s">
        <v>1503</v>
      </c>
      <c r="AX592" s="325"/>
      <c r="AY592" s="325">
        <v>112014595</v>
      </c>
      <c r="AZ592" s="799" t="str">
        <f t="shared" si="162"/>
        <v>MUNICIPALIDAD DE VEINTICINCO DE MAYO</v>
      </c>
      <c r="BE592" s="618"/>
      <c r="BF592" s="618"/>
      <c r="BG592" s="553"/>
      <c r="BH592" s="294"/>
      <c r="BI592" s="618"/>
      <c r="BJ592" s="618"/>
      <c r="BK592" s="618"/>
      <c r="BL592" s="553"/>
      <c r="BM592" s="618"/>
      <c r="BN592" s="618"/>
      <c r="BO592" s="618"/>
    </row>
    <row r="593" spans="1:67" ht="13">
      <c r="A593" s="325" t="s">
        <v>704</v>
      </c>
      <c r="B593" s="325">
        <v>62</v>
      </c>
      <c r="C593" s="325">
        <v>112014576</v>
      </c>
      <c r="D593" s="799"/>
      <c r="G593" s="325" t="s">
        <v>110</v>
      </c>
      <c r="H593" s="325">
        <v>63</v>
      </c>
      <c r="I593" s="325">
        <v>112012231</v>
      </c>
      <c r="J593" s="1459" t="str">
        <f t="shared" si="156"/>
        <v>VETERINARIA MARTINA</v>
      </c>
      <c r="M593" s="325" t="s">
        <v>544</v>
      </c>
      <c r="N593" s="324">
        <v>61</v>
      </c>
      <c r="O593" s="325">
        <v>112014763</v>
      </c>
      <c r="P593" s="799" t="str">
        <f t="shared" si="157"/>
        <v>MAROLLA EZEQUIEL DANIEL</v>
      </c>
      <c r="R593" s="325" t="s">
        <v>342</v>
      </c>
      <c r="S593" s="324">
        <v>71</v>
      </c>
      <c r="T593" s="325">
        <v>112012936</v>
      </c>
      <c r="U593" s="799" t="str">
        <f t="shared" si="158"/>
        <v>SILVA NAZARENA BELEN</v>
      </c>
      <c r="W593" s="325" t="s">
        <v>440</v>
      </c>
      <c r="X593" s="324">
        <v>63</v>
      </c>
      <c r="Y593" s="325">
        <v>112013497</v>
      </c>
      <c r="Z593" s="799" t="str">
        <f t="shared" si="159"/>
        <v>TOZZI FLORENCIA PAOLA</v>
      </c>
      <c r="AE593" s="618"/>
      <c r="AG593" s="325" t="s">
        <v>1303</v>
      </c>
      <c r="AH593" s="325">
        <v>63</v>
      </c>
      <c r="AI593" s="325">
        <v>112011830</v>
      </c>
      <c r="AJ593" s="325" t="str">
        <f t="shared" si="160"/>
        <v>ORTEGA JULIO CESAR</v>
      </c>
      <c r="AO593" s="618"/>
      <c r="AQ593" s="325" t="s">
        <v>1012</v>
      </c>
      <c r="AR593" s="325">
        <v>63</v>
      </c>
      <c r="AS593" s="325">
        <v>112014283</v>
      </c>
      <c r="AT593" s="799" t="str">
        <f t="shared" si="161"/>
        <v>SOSA MARIA/LIBRANDI LUIS</v>
      </c>
      <c r="AW593" s="325" t="s">
        <v>1500</v>
      </c>
      <c r="AX593" s="325"/>
      <c r="AY593" s="325">
        <v>112014228</v>
      </c>
      <c r="AZ593" s="799" t="str">
        <f t="shared" si="162"/>
        <v>MUNICIPIO DE TOLHUIN</v>
      </c>
      <c r="BE593" s="618"/>
      <c r="BF593" s="618"/>
      <c r="BG593" s="553"/>
      <c r="BH593" s="294"/>
      <c r="BI593" s="618"/>
      <c r="BJ593" s="618"/>
      <c r="BK593" s="618"/>
      <c r="BL593" s="553"/>
      <c r="BM593" s="618"/>
      <c r="BN593" s="618"/>
      <c r="BO593" s="618"/>
    </row>
    <row r="594" spans="1:67" ht="13">
      <c r="A594" s="325" t="s">
        <v>808</v>
      </c>
      <c r="B594" s="325"/>
      <c r="C594" s="325">
        <v>112012846</v>
      </c>
      <c r="D594" s="799"/>
      <c r="G594" s="325" t="s">
        <v>197</v>
      </c>
      <c r="H594" s="325">
        <v>71</v>
      </c>
      <c r="I594" s="325">
        <v>112013913</v>
      </c>
      <c r="J594" s="1459" t="str">
        <f t="shared" si="156"/>
        <v>ARREGUI ANDREA CELESTE</v>
      </c>
      <c r="M594" s="325" t="s">
        <v>631</v>
      </c>
      <c r="N594" s="324">
        <v>70</v>
      </c>
      <c r="O594" s="325">
        <v>112013315</v>
      </c>
      <c r="P594" s="799" t="str">
        <f t="shared" si="157"/>
        <v>MARTINEZ MARIANO DANIEL</v>
      </c>
      <c r="R594" s="325" t="s">
        <v>277</v>
      </c>
      <c r="S594" s="324">
        <v>63</v>
      </c>
      <c r="T594" s="325">
        <v>112014563</v>
      </c>
      <c r="U594" s="799" t="str">
        <f t="shared" si="158"/>
        <v>SISTI ALE/NANCY GIRA</v>
      </c>
      <c r="W594" s="325" t="s">
        <v>415</v>
      </c>
      <c r="X594" s="324">
        <v>62</v>
      </c>
      <c r="Y594" s="325">
        <v>112011977</v>
      </c>
      <c r="Z594" s="799" t="str">
        <f t="shared" si="159"/>
        <v>TRUSZKOWSKI GUILLERMO</v>
      </c>
      <c r="AE594" s="618"/>
      <c r="AG594" s="325" t="s">
        <v>1350</v>
      </c>
      <c r="AH594" s="325">
        <v>71</v>
      </c>
      <c r="AI594" s="325">
        <v>112014410</v>
      </c>
      <c r="AJ594" s="325" t="str">
        <f t="shared" si="160"/>
        <v>ORTELLADO GUILLERMO NURI</v>
      </c>
      <c r="AO594" s="618"/>
      <c r="AQ594" s="325" t="s">
        <v>1000</v>
      </c>
      <c r="AR594" s="325">
        <v>63</v>
      </c>
      <c r="AS594" s="325">
        <v>112013137</v>
      </c>
      <c r="AT594" s="799" t="str">
        <f t="shared" si="161"/>
        <v>STABILE JOSE CARLOS</v>
      </c>
      <c r="AW594" s="325" t="s">
        <v>1442</v>
      </c>
      <c r="AX594" s="325">
        <v>63</v>
      </c>
      <c r="AY594" s="325">
        <v>112014274</v>
      </c>
      <c r="AZ594" s="799" t="str">
        <f t="shared" si="162"/>
        <v>NIEFERGOL MARCO ANTONIO</v>
      </c>
      <c r="BE594" s="618"/>
      <c r="BF594" s="618"/>
      <c r="BG594" s="553"/>
      <c r="BH594" s="294"/>
      <c r="BI594" s="618"/>
      <c r="BJ594" s="618"/>
      <c r="BK594" s="618"/>
      <c r="BL594" s="553"/>
      <c r="BM594" s="618"/>
      <c r="BN594" s="618"/>
      <c r="BO594" s="618"/>
    </row>
    <row r="595" spans="1:67" ht="13">
      <c r="A595" s="325" t="s">
        <v>732</v>
      </c>
      <c r="B595" s="325">
        <v>70</v>
      </c>
      <c r="C595" s="325">
        <v>112013242</v>
      </c>
      <c r="D595" s="799"/>
      <c r="G595" s="325" t="s">
        <v>132</v>
      </c>
      <c r="H595" s="325">
        <v>69</v>
      </c>
      <c r="I595" s="325">
        <v>112014612</v>
      </c>
      <c r="J595" s="1459" t="str">
        <f t="shared" si="156"/>
        <v>GONZALEZ ROSANA</v>
      </c>
      <c r="M595" s="325" t="s">
        <v>545</v>
      </c>
      <c r="N595" s="324">
        <v>61</v>
      </c>
      <c r="O595" s="325">
        <v>112014767</v>
      </c>
      <c r="P595" s="799" t="str">
        <f t="shared" si="157"/>
        <v>MARTINEZ SUSANA BEATRIZ</v>
      </c>
      <c r="R595" s="325" t="s">
        <v>290</v>
      </c>
      <c r="S595" s="324">
        <v>67</v>
      </c>
      <c r="T595" s="325">
        <v>112011454</v>
      </c>
      <c r="U595" s="799" t="str">
        <f t="shared" si="158"/>
        <v>SOTO MIRTA SUSANA</v>
      </c>
      <c r="W595" s="325" t="s">
        <v>477</v>
      </c>
      <c r="X595" s="324"/>
      <c r="Y595" s="325">
        <v>112011841</v>
      </c>
      <c r="Z595" s="799" t="str">
        <f t="shared" si="159"/>
        <v>VERGARA MARCOS AUGUSTO</v>
      </c>
      <c r="AE595" s="618"/>
      <c r="AG595" s="325" t="s">
        <v>1368</v>
      </c>
      <c r="AH595" s="325">
        <v>71</v>
      </c>
      <c r="AI595" s="325">
        <v>112012692</v>
      </c>
      <c r="AJ595" s="325" t="str">
        <f t="shared" si="160"/>
        <v>ORTIZ TORRES LIZ GRISELDA</v>
      </c>
      <c r="AO595" s="618"/>
      <c r="AQ595" s="325" t="s">
        <v>1059</v>
      </c>
      <c r="AR595" s="325">
        <v>71</v>
      </c>
      <c r="AS595" s="325">
        <v>112014556</v>
      </c>
      <c r="AT595" s="799" t="str">
        <f t="shared" si="161"/>
        <v>SUAREZ MARIBEL/MELO MELISA</v>
      </c>
      <c r="AW595" s="325" t="s">
        <v>1443</v>
      </c>
      <c r="AX595" s="325">
        <v>63</v>
      </c>
      <c r="AY595" s="325">
        <v>112013144</v>
      </c>
      <c r="AZ595" s="799" t="str">
        <f t="shared" si="162"/>
        <v>NORO MARIA MARTA</v>
      </c>
      <c r="BE595" s="618"/>
      <c r="BF595" s="618"/>
      <c r="BG595" s="553"/>
      <c r="BH595" s="294"/>
      <c r="BI595" s="618"/>
      <c r="BJ595" s="618"/>
      <c r="BK595" s="618"/>
      <c r="BL595" s="553"/>
      <c r="BM595" s="618"/>
      <c r="BN595" s="618"/>
      <c r="BO595" s="618"/>
    </row>
    <row r="596" spans="1:67" ht="13">
      <c r="A596" s="325" t="s">
        <v>788</v>
      </c>
      <c r="B596" s="325">
        <v>71</v>
      </c>
      <c r="C596" s="325">
        <v>112012050</v>
      </c>
      <c r="D596" s="799"/>
      <c r="G596" s="325" t="s">
        <v>133</v>
      </c>
      <c r="H596" s="325">
        <v>69</v>
      </c>
      <c r="I596" s="325">
        <v>112012402</v>
      </c>
      <c r="J596" s="1459" t="str">
        <f t="shared" si="156"/>
        <v>ORTIZ CESAR RENE</v>
      </c>
      <c r="M596" s="325" t="s">
        <v>562</v>
      </c>
      <c r="N596" s="324">
        <v>69</v>
      </c>
      <c r="O596" s="325">
        <v>112014643</v>
      </c>
      <c r="P596" s="799" t="str">
        <f t="shared" si="157"/>
        <v>MASCOPET SRL</v>
      </c>
      <c r="R596" s="325" t="s">
        <v>303</v>
      </c>
      <c r="S596" s="324">
        <v>70</v>
      </c>
      <c r="T596" s="325">
        <v>112014725</v>
      </c>
      <c r="U596" s="799" t="str">
        <f t="shared" si="158"/>
        <v>STIER ALAN ROMAN</v>
      </c>
      <c r="W596" s="325" t="s">
        <v>441</v>
      </c>
      <c r="X596" s="324">
        <v>63</v>
      </c>
      <c r="Y596" s="325">
        <v>112013742</v>
      </c>
      <c r="Z596" s="799" t="str">
        <f t="shared" si="159"/>
        <v>VETERINARIA MV</v>
      </c>
      <c r="AE596" s="618"/>
      <c r="AG596" s="325" t="s">
        <v>1280</v>
      </c>
      <c r="AH596" s="325">
        <v>62</v>
      </c>
      <c r="AI596" s="325">
        <v>112013308</v>
      </c>
      <c r="AJ596" s="325" t="str">
        <f t="shared" si="160"/>
        <v>PANDA PAMPA S.A.</v>
      </c>
      <c r="AO596" s="618"/>
      <c r="AQ596" s="325" t="s">
        <v>1076</v>
      </c>
      <c r="AR596" s="325">
        <v>71</v>
      </c>
      <c r="AS596" s="325">
        <v>112012342</v>
      </c>
      <c r="AT596" s="799" t="str">
        <f t="shared" si="161"/>
        <v>TOMAS ALEJANDRO GERMAN</v>
      </c>
      <c r="AW596" s="325" t="s">
        <v>1402</v>
      </c>
      <c r="AX596" s="325">
        <v>55</v>
      </c>
      <c r="AY596" s="325">
        <v>112013513</v>
      </c>
      <c r="AZ596" s="799" t="str">
        <f t="shared" si="162"/>
        <v>NUÑEZ PEÑALOZA EDUARDO JAVIER</v>
      </c>
      <c r="BE596" s="618"/>
      <c r="BF596" s="618"/>
      <c r="BG596" s="553"/>
      <c r="BH596" s="294"/>
      <c r="BI596" s="618"/>
      <c r="BJ596" s="618"/>
      <c r="BK596" s="618"/>
      <c r="BL596" s="553"/>
      <c r="BM596" s="618"/>
      <c r="BN596" s="618"/>
      <c r="BO596" s="618"/>
    </row>
    <row r="597" spans="1:67" ht="13">
      <c r="A597" s="325" t="s">
        <v>684</v>
      </c>
      <c r="B597" s="325">
        <v>51</v>
      </c>
      <c r="C597" s="325">
        <v>112012528</v>
      </c>
      <c r="D597" s="799"/>
      <c r="G597" s="325" t="s">
        <v>198</v>
      </c>
      <c r="H597" s="325">
        <v>71</v>
      </c>
      <c r="I597" s="325">
        <v>112010909</v>
      </c>
      <c r="J597" s="1459" t="str">
        <f t="shared" si="156"/>
        <v>GUZZETTI JAVIER EDUARDO</v>
      </c>
      <c r="M597" s="325" t="s">
        <v>647</v>
      </c>
      <c r="N597" s="324">
        <v>71</v>
      </c>
      <c r="O597" s="325">
        <v>112011763</v>
      </c>
      <c r="P597" s="799" t="str">
        <f t="shared" si="157"/>
        <v>MEDIAVILLA SERGIO FABIAN</v>
      </c>
      <c r="R597" s="325" t="s">
        <v>343</v>
      </c>
      <c r="S597" s="324">
        <v>71</v>
      </c>
      <c r="T597" s="325">
        <v>112012283</v>
      </c>
      <c r="U597" s="799" t="str">
        <f t="shared" si="158"/>
        <v>TIRADO SILVINA MABEL</v>
      </c>
      <c r="W597" s="325" t="s">
        <v>442</v>
      </c>
      <c r="X597" s="324">
        <v>63</v>
      </c>
      <c r="Y597" s="325">
        <v>112012623</v>
      </c>
      <c r="Z597" s="799" t="str">
        <f t="shared" si="159"/>
        <v>VETERINARIA VERGARA SRL</v>
      </c>
      <c r="AE597" s="618"/>
      <c r="AG597" s="325" t="s">
        <v>1261</v>
      </c>
      <c r="AH597" s="325">
        <v>53</v>
      </c>
      <c r="AI597" s="325">
        <v>112014350</v>
      </c>
      <c r="AJ597" s="325" t="str">
        <f t="shared" si="160"/>
        <v>PHANTIMON S.A</v>
      </c>
      <c r="AO597" s="618"/>
      <c r="AQ597" s="325" t="s">
        <v>1044</v>
      </c>
      <c r="AR597" s="325">
        <v>71</v>
      </c>
      <c r="AS597" s="325">
        <v>112010149</v>
      </c>
      <c r="AT597" s="799" t="str">
        <f t="shared" si="161"/>
        <v>TRAVASCIO CARLOS ALBERTO</v>
      </c>
      <c r="AW597" s="325" t="s">
        <v>1422</v>
      </c>
      <c r="AX597" s="325">
        <v>62</v>
      </c>
      <c r="AY597" s="325">
        <v>112013982</v>
      </c>
      <c r="AZ597" s="799" t="str">
        <f t="shared" si="162"/>
        <v>OSVALDO DANIEL GARCIA MAZZOLA</v>
      </c>
      <c r="BE597" s="618"/>
      <c r="BF597" s="618"/>
      <c r="BG597" s="553"/>
      <c r="BH597" s="294"/>
      <c r="BI597" s="618"/>
      <c r="BJ597" s="618"/>
      <c r="BK597" s="618"/>
      <c r="BL597" s="553"/>
      <c r="BM597" s="618"/>
      <c r="BN597" s="618"/>
      <c r="BO597" s="618"/>
    </row>
    <row r="598" spans="1:67" ht="13">
      <c r="A598" s="325" t="s">
        <v>789</v>
      </c>
      <c r="B598" s="325">
        <v>71</v>
      </c>
      <c r="C598" s="325">
        <v>112012840</v>
      </c>
      <c r="D598" s="799"/>
      <c r="G598" s="325" t="s">
        <v>106</v>
      </c>
      <c r="H598" s="325">
        <v>63</v>
      </c>
      <c r="I598" s="325">
        <v>112014462</v>
      </c>
      <c r="J598" s="1459" t="str">
        <f t="shared" si="156"/>
        <v>ROMANO MARIANA</v>
      </c>
      <c r="M598" s="325" t="s">
        <v>632</v>
      </c>
      <c r="N598" s="324">
        <v>70</v>
      </c>
      <c r="O598" s="325">
        <v>112013449</v>
      </c>
      <c r="P598" s="799" t="str">
        <f t="shared" si="157"/>
        <v>MELIENDRES JUAN CRUZ</v>
      </c>
      <c r="R598" s="325" t="s">
        <v>281</v>
      </c>
      <c r="S598" s="324">
        <v>63</v>
      </c>
      <c r="T598" s="325">
        <v>112013447</v>
      </c>
      <c r="U598" s="799" t="str">
        <f t="shared" si="158"/>
        <v>TROBIA LAURA CECILIA</v>
      </c>
      <c r="W598" s="325" t="s">
        <v>457</v>
      </c>
      <c r="X598" s="324">
        <v>71</v>
      </c>
      <c r="Y598" s="325">
        <v>112010691</v>
      </c>
      <c r="Z598" s="799" t="str">
        <f t="shared" si="159"/>
        <v>VIDAL VANINA GERALDINA</v>
      </c>
      <c r="AE598" s="618"/>
      <c r="AG598" s="325" t="s">
        <v>1351</v>
      </c>
      <c r="AH598" s="325">
        <v>71</v>
      </c>
      <c r="AI598" s="325">
        <v>112013188</v>
      </c>
      <c r="AJ598" s="325" t="str">
        <f t="shared" si="160"/>
        <v>PISERA PABLO MIGUEL</v>
      </c>
      <c r="AO598" s="618"/>
      <c r="AQ598" s="325" t="s">
        <v>1001</v>
      </c>
      <c r="AR598" s="325">
        <v>63</v>
      </c>
      <c r="AS598" s="325">
        <v>112013300</v>
      </c>
      <c r="AT598" s="799" t="str">
        <f t="shared" si="161"/>
        <v>VETERINARIA DEL PUEBLO SRL</v>
      </c>
      <c r="AW598" s="325" t="s">
        <v>1479</v>
      </c>
      <c r="AX598" s="325"/>
      <c r="AY598" s="325">
        <v>112014787</v>
      </c>
      <c r="AZ598" s="799" t="str">
        <f t="shared" si="162"/>
        <v>PACMA ASOCIACION CIVIL</v>
      </c>
      <c r="BE598" s="618"/>
      <c r="BF598" s="618"/>
      <c r="BG598" s="553"/>
      <c r="BH598" s="294"/>
      <c r="BI598" s="618"/>
      <c r="BJ598" s="618"/>
      <c r="BK598" s="618"/>
      <c r="BL598" s="553"/>
      <c r="BM598" s="618"/>
      <c r="BN598" s="618"/>
      <c r="BO598" s="618"/>
    </row>
    <row r="599" spans="1:67" ht="13">
      <c r="A599" s="325" t="s">
        <v>720</v>
      </c>
      <c r="B599" s="325">
        <v>69</v>
      </c>
      <c r="C599" s="325">
        <v>112013819</v>
      </c>
      <c r="D599" s="799"/>
      <c r="G599" s="325" t="s">
        <v>75</v>
      </c>
      <c r="H599" s="325">
        <v>62</v>
      </c>
      <c r="I599" s="325">
        <v>112014774</v>
      </c>
      <c r="J599" s="1459" t="str">
        <f t="shared" si="156"/>
        <v>CAMPOS PATRICIA LORENA</v>
      </c>
      <c r="M599" s="325" t="s">
        <v>591</v>
      </c>
      <c r="N599" s="324">
        <v>70</v>
      </c>
      <c r="O599" s="325">
        <v>112014394</v>
      </c>
      <c r="P599" s="799" t="str">
        <f t="shared" si="157"/>
        <v>MENDEZ LORENA FRANCISCA SAMANTA</v>
      </c>
      <c r="R599" s="325" t="s">
        <v>344</v>
      </c>
      <c r="S599" s="324">
        <v>71</v>
      </c>
      <c r="T599" s="325">
        <v>112012051</v>
      </c>
      <c r="U599" s="799" t="str">
        <f t="shared" si="158"/>
        <v>TUOZZO GUILLERMO RICARDO</v>
      </c>
      <c r="W599" s="325" t="s">
        <v>452</v>
      </c>
      <c r="X599" s="324">
        <v>67</v>
      </c>
      <c r="Y599" s="325">
        <v>112013116</v>
      </c>
      <c r="Z599" s="799" t="str">
        <f t="shared" si="159"/>
        <v>WARINET ANA MARIA</v>
      </c>
      <c r="AE599" s="618"/>
      <c r="AG599" s="325" t="s">
        <v>1269</v>
      </c>
      <c r="AH599" s="325">
        <v>55</v>
      </c>
      <c r="AI599" s="325">
        <v>112012353</v>
      </c>
      <c r="AJ599" s="325" t="str">
        <f t="shared" si="160"/>
        <v>PLAZIBAT MARIA LAURA</v>
      </c>
      <c r="AO599" s="618"/>
      <c r="AQ599" s="325" t="s">
        <v>1045</v>
      </c>
      <c r="AR599" s="325">
        <v>71</v>
      </c>
      <c r="AS599" s="325">
        <v>112014371</v>
      </c>
      <c r="AT599" s="799" t="str">
        <f t="shared" si="161"/>
        <v>VETERINARIA LA MULITA DE AZUL S. R. L</v>
      </c>
      <c r="AW599" s="325" t="s">
        <v>1460</v>
      </c>
      <c r="AX599" s="325">
        <v>63</v>
      </c>
      <c r="AY599" s="325">
        <v>112014478</v>
      </c>
      <c r="AZ599" s="799" t="str">
        <f t="shared" si="162"/>
        <v>PACZKO E HIJOS S.R.L</v>
      </c>
      <c r="BE599" s="618"/>
      <c r="BF599" s="618"/>
      <c r="BG599" s="553"/>
      <c r="BH599" s="294"/>
      <c r="BI599" s="618"/>
      <c r="BJ599" s="618"/>
      <c r="BK599" s="618"/>
      <c r="BL599" s="553"/>
      <c r="BM599" s="618"/>
      <c r="BN599" s="618"/>
      <c r="BO599" s="618"/>
    </row>
    <row r="600" spans="1:67" ht="13">
      <c r="A600" s="325" t="s">
        <v>710</v>
      </c>
      <c r="B600" s="325">
        <v>63</v>
      </c>
      <c r="C600" s="325">
        <v>112014592</v>
      </c>
      <c r="D600" s="799"/>
      <c r="G600" s="325" t="s">
        <v>97</v>
      </c>
      <c r="H600" s="325">
        <v>62</v>
      </c>
      <c r="I600" s="325">
        <v>112014541</v>
      </c>
      <c r="J600" s="1459" t="str">
        <f t="shared" si="156"/>
        <v>PAEZ IGNACIO GERMAN</v>
      </c>
      <c r="M600" s="325" t="s">
        <v>563</v>
      </c>
      <c r="N600" s="324">
        <v>69</v>
      </c>
      <c r="O600" s="325">
        <v>112014327</v>
      </c>
      <c r="P600" s="799" t="str">
        <f t="shared" si="157"/>
        <v>MERCADO MARTIN ARIEL</v>
      </c>
      <c r="R600" s="325" t="s">
        <v>278</v>
      </c>
      <c r="S600" s="324">
        <v>63</v>
      </c>
      <c r="T600" s="325">
        <v>112014061</v>
      </c>
      <c r="U600" s="799" t="str">
        <f t="shared" si="158"/>
        <v>VERGE PABLO/DIEGO VERGE</v>
      </c>
      <c r="W600" s="325" t="s">
        <v>416</v>
      </c>
      <c r="X600" s="324">
        <v>62</v>
      </c>
      <c r="Y600" s="325">
        <v>112014578</v>
      </c>
      <c r="Z600" s="799" t="str">
        <f t="shared" si="159"/>
        <v>YAMILA AYELEN MONTEROS</v>
      </c>
      <c r="AE600" s="618"/>
      <c r="AG600" s="325" t="s">
        <v>1332</v>
      </c>
      <c r="AH600" s="325">
        <v>70</v>
      </c>
      <c r="AI600" s="325">
        <v>112010407</v>
      </c>
      <c r="AJ600" s="325" t="str">
        <f t="shared" si="160"/>
        <v>POINTIS DANIEL ROLANDO</v>
      </c>
      <c r="AO600" s="618"/>
      <c r="AQ600" s="325" t="s">
        <v>1036</v>
      </c>
      <c r="AR600" s="325">
        <v>70</v>
      </c>
      <c r="AS600" s="325">
        <v>112012698</v>
      </c>
      <c r="AT600" s="799" t="str">
        <f t="shared" si="161"/>
        <v>YURNO OSCAR ALFREDO</v>
      </c>
      <c r="AW600" s="325" t="s">
        <v>1476</v>
      </c>
      <c r="AX600" s="325">
        <v>71</v>
      </c>
      <c r="AY600" s="325">
        <v>112013920</v>
      </c>
      <c r="AZ600" s="799" t="str">
        <f t="shared" si="162"/>
        <v>PAPALEO GISELA</v>
      </c>
      <c r="BE600" s="618"/>
      <c r="BF600" s="618"/>
      <c r="BG600" s="553"/>
      <c r="BH600" s="294"/>
      <c r="BI600" s="618"/>
      <c r="BJ600" s="618"/>
      <c r="BK600" s="618"/>
      <c r="BL600" s="553"/>
      <c r="BM600" s="618"/>
      <c r="BN600" s="618"/>
      <c r="BO600" s="618"/>
    </row>
    <row r="601" spans="1:67" ht="13">
      <c r="A601" s="325" t="s">
        <v>762</v>
      </c>
      <c r="B601" s="325">
        <v>70</v>
      </c>
      <c r="C601" s="325">
        <v>112013268</v>
      </c>
      <c r="D601" s="799"/>
      <c r="G601" s="325" t="s">
        <v>126</v>
      </c>
      <c r="H601" s="325">
        <v>70</v>
      </c>
      <c r="I601" s="325">
        <v>112014632</v>
      </c>
      <c r="J601" s="1459" t="str">
        <f t="shared" si="156"/>
        <v>SUAREZ SILVIA ELENA</v>
      </c>
      <c r="M601" s="325" t="s">
        <v>536</v>
      </c>
      <c r="N601" s="324">
        <v>62</v>
      </c>
      <c r="O601" s="325">
        <v>112014077</v>
      </c>
      <c r="P601" s="799" t="str">
        <f t="shared" si="157"/>
        <v>MOLINARI GISELA VANINA</v>
      </c>
      <c r="R601" s="325" t="s">
        <v>279</v>
      </c>
      <c r="S601" s="324">
        <v>63</v>
      </c>
      <c r="T601" s="325">
        <v>112014187</v>
      </c>
      <c r="U601" s="799" t="str">
        <f t="shared" si="158"/>
        <v>VETERINARIA SAN NARCISO SRL</v>
      </c>
      <c r="X601" s="294"/>
      <c r="Z601" s="618"/>
      <c r="AE601" s="618"/>
      <c r="AG601" s="325" t="s">
        <v>1343</v>
      </c>
      <c r="AH601" s="325">
        <v>71</v>
      </c>
      <c r="AI601" s="325">
        <v>112014456</v>
      </c>
      <c r="AJ601" s="325" t="str">
        <f t="shared" si="160"/>
        <v>POLLERO ROSANA MARIA LEONOR</v>
      </c>
      <c r="AO601" s="618"/>
      <c r="AQ601" s="325" t="s">
        <v>1003</v>
      </c>
      <c r="AR601" s="325">
        <v>62</v>
      </c>
      <c r="AS601" s="325">
        <v>112013818</v>
      </c>
      <c r="AT601" s="799" t="str">
        <f t="shared" si="161"/>
        <v>ZAFFARANO JOSE MARIA</v>
      </c>
      <c r="AW601" s="325" t="s">
        <v>1461</v>
      </c>
      <c r="AX601" s="325">
        <v>63</v>
      </c>
      <c r="AY601" s="325">
        <v>112011902</v>
      </c>
      <c r="AZ601" s="799" t="str">
        <f t="shared" si="162"/>
        <v>PARADA MARIA VIRGINIA</v>
      </c>
      <c r="BE601" s="618"/>
      <c r="BF601" s="618"/>
      <c r="BG601" s="553"/>
      <c r="BH601" s="294"/>
      <c r="BI601" s="618"/>
      <c r="BJ601" s="618"/>
      <c r="BK601" s="618"/>
      <c r="BL601" s="553"/>
      <c r="BM601" s="618"/>
      <c r="BN601" s="618"/>
      <c r="BO601" s="618"/>
    </row>
    <row r="602" spans="1:67" ht="13">
      <c r="A602" s="325" t="s">
        <v>790</v>
      </c>
      <c r="B602" s="325">
        <v>71</v>
      </c>
      <c r="C602" s="325">
        <v>112013196</v>
      </c>
      <c r="D602" s="799"/>
      <c r="G602" s="325" t="s">
        <v>120</v>
      </c>
      <c r="H602" s="325">
        <v>70</v>
      </c>
      <c r="I602" s="325">
        <v>112014700</v>
      </c>
      <c r="J602" s="1459" t="str">
        <f t="shared" ref="J602:J633" si="163">VLOOKUP(I434,bassfin,13,FALSE)</f>
        <v>DURAN SERGIO DANIEL</v>
      </c>
      <c r="M602" s="325" t="s">
        <v>542</v>
      </c>
      <c r="N602" s="324">
        <v>63</v>
      </c>
      <c r="O602" s="325">
        <v>112012487</v>
      </c>
      <c r="P602" s="799" t="str">
        <f t="shared" ref="P602:P633" si="164">VLOOKUP(O602,LAGEFIN,13,FALSE)</f>
        <v>MONJES MAURO JESUS</v>
      </c>
      <c r="R602" s="325" t="s">
        <v>295</v>
      </c>
      <c r="S602" s="324">
        <v>70</v>
      </c>
      <c r="T602" s="325">
        <v>112014634</v>
      </c>
      <c r="U602" s="799" t="str">
        <f t="shared" ref="U602:U633" si="165">VLOOKUP(T602,calofin,9,FALSE)</f>
        <v>VOUILLOUD ARIEL ALBERTO</v>
      </c>
      <c r="X602" s="294"/>
      <c r="Z602" s="618"/>
      <c r="AE602" s="618"/>
      <c r="AG602" s="325" t="s">
        <v>1281</v>
      </c>
      <c r="AH602" s="325">
        <v>62</v>
      </c>
      <c r="AI602" s="325">
        <v>112013788</v>
      </c>
      <c r="AJ602" s="325" t="str">
        <f t="shared" ref="AJ602:AJ633" si="166">VLOOKUP(AI602,MONTENEFIN,9,FALSE)</f>
        <v>PONZO SILVIA ESTEFANIA</v>
      </c>
      <c r="AO602" s="618"/>
      <c r="AT602" s="618"/>
      <c r="AW602" s="325" t="s">
        <v>1444</v>
      </c>
      <c r="AX602" s="325">
        <v>63</v>
      </c>
      <c r="AY602" s="325">
        <v>112014342</v>
      </c>
      <c r="AZ602" s="799" t="str">
        <f t="shared" ref="AZ602:AZ633" si="167">VLOOKUP(AY602,LAVENIAFIN,13,FALSE)</f>
        <v>PARDO JOSE MARIA</v>
      </c>
      <c r="BE602" s="618"/>
      <c r="BF602" s="618"/>
      <c r="BG602" s="553"/>
      <c r="BH602" s="294"/>
      <c r="BI602" s="618"/>
      <c r="BJ602" s="618"/>
      <c r="BK602" s="618"/>
      <c r="BL602" s="553"/>
      <c r="BM602" s="618"/>
      <c r="BN602" s="618"/>
      <c r="BO602" s="618"/>
    </row>
    <row r="603" spans="1:67" ht="13">
      <c r="A603" s="325" t="s">
        <v>791</v>
      </c>
      <c r="B603" s="325">
        <v>71</v>
      </c>
      <c r="C603" s="325">
        <v>112012875</v>
      </c>
      <c r="D603" s="799"/>
      <c r="G603" s="325" t="s">
        <v>223</v>
      </c>
      <c r="H603" s="325"/>
      <c r="I603" s="325">
        <v>112012444</v>
      </c>
      <c r="J603" s="1459" t="str">
        <f t="shared" si="163"/>
        <v>HOWLIN ELIANA PAULA</v>
      </c>
      <c r="M603" s="325" t="s">
        <v>539</v>
      </c>
      <c r="N603" s="324">
        <v>62</v>
      </c>
      <c r="O603" s="325">
        <v>112014744</v>
      </c>
      <c r="P603" s="799" t="str">
        <f t="shared" si="164"/>
        <v>MORENO SANDRA MARCELA</v>
      </c>
      <c r="R603" s="325" t="s">
        <v>345</v>
      </c>
      <c r="S603" s="324">
        <v>71</v>
      </c>
      <c r="T603" s="325">
        <v>112013645</v>
      </c>
      <c r="U603" s="799" t="str">
        <f t="shared" si="165"/>
        <v>ZANETTI MARIANO CARLOS</v>
      </c>
      <c r="X603" s="294"/>
      <c r="Z603" s="618"/>
      <c r="AE603" s="618"/>
      <c r="AG603" s="325" t="s">
        <v>1282</v>
      </c>
      <c r="AH603" s="325">
        <v>62</v>
      </c>
      <c r="AI603" s="325">
        <v>112013514</v>
      </c>
      <c r="AJ603" s="325" t="str">
        <f t="shared" si="166"/>
        <v>PUIG JOSÉ ALBERTO/JULIETA AGUSTINA</v>
      </c>
      <c r="AO603" s="618"/>
      <c r="AT603" s="618"/>
      <c r="AW603" s="325" t="s">
        <v>1445</v>
      </c>
      <c r="AX603" s="325">
        <v>63</v>
      </c>
      <c r="AY603" s="325">
        <v>112013858</v>
      </c>
      <c r="AZ603" s="799" t="str">
        <f t="shared" si="167"/>
        <v>PEREZ RAMIRO ESTEBAN</v>
      </c>
      <c r="BE603" s="618"/>
      <c r="BF603" s="618"/>
      <c r="BG603" s="553"/>
      <c r="BH603" s="294"/>
      <c r="BI603" s="618"/>
      <c r="BJ603" s="618"/>
      <c r="BK603" s="618"/>
      <c r="BL603" s="553"/>
      <c r="BM603" s="618"/>
      <c r="BN603" s="618"/>
      <c r="BO603" s="618"/>
    </row>
    <row r="604" spans="1:67" ht="13">
      <c r="A604" s="325" t="s">
        <v>792</v>
      </c>
      <c r="B604" s="325">
        <v>71</v>
      </c>
      <c r="C604" s="325">
        <v>112012083</v>
      </c>
      <c r="D604" s="799"/>
      <c r="G604" s="325" t="s">
        <v>199</v>
      </c>
      <c r="H604" s="325">
        <v>71</v>
      </c>
      <c r="I604" s="325">
        <v>112013883</v>
      </c>
      <c r="J604" s="1459" t="str">
        <f t="shared" si="163"/>
        <v>FERNANDEZ MARTIN</v>
      </c>
      <c r="M604" s="325" t="s">
        <v>615</v>
      </c>
      <c r="N604" s="324">
        <v>71</v>
      </c>
      <c r="O604" s="325">
        <v>112013376</v>
      </c>
      <c r="P604" s="799" t="str">
        <f t="shared" si="164"/>
        <v>MORRA MARIANA</v>
      </c>
      <c r="S604" s="294"/>
      <c r="U604" s="618"/>
      <c r="X604" s="294"/>
      <c r="Z604" s="618"/>
      <c r="AE604" s="618"/>
      <c r="AG604" s="325" t="s">
        <v>1333</v>
      </c>
      <c r="AH604" s="325">
        <v>70</v>
      </c>
      <c r="AI604" s="325">
        <v>112014215</v>
      </c>
      <c r="AJ604" s="325" t="str">
        <f t="shared" si="166"/>
        <v>RESTAINO ADRIAN/ FERREIRA ISABELLE</v>
      </c>
      <c r="AO604" s="618"/>
      <c r="AT604" s="618"/>
      <c r="AW604" s="325" t="s">
        <v>1409</v>
      </c>
      <c r="AX604" s="325">
        <v>61</v>
      </c>
      <c r="AY604" s="325">
        <v>112014712</v>
      </c>
      <c r="AZ604" s="799" t="str">
        <f t="shared" si="167"/>
        <v>PERON MELINA</v>
      </c>
      <c r="BE604" s="618"/>
      <c r="BF604" s="618"/>
      <c r="BG604" s="553"/>
      <c r="BH604" s="294"/>
      <c r="BI604" s="618"/>
      <c r="BJ604" s="618"/>
      <c r="BK604" s="618"/>
      <c r="BL604" s="553"/>
      <c r="BM604" s="618"/>
      <c r="BN604" s="618"/>
      <c r="BO604" s="618"/>
    </row>
    <row r="605" spans="1:67" ht="13">
      <c r="A605" s="325" t="s">
        <v>687</v>
      </c>
      <c r="B605" s="325">
        <v>53</v>
      </c>
      <c r="C605" s="325">
        <v>112013581</v>
      </c>
      <c r="D605" s="799"/>
      <c r="G605" s="325" t="s">
        <v>159</v>
      </c>
      <c r="H605" s="325">
        <v>70</v>
      </c>
      <c r="I605" s="325">
        <v>112013164</v>
      </c>
      <c r="J605" s="1459" t="str">
        <f t="shared" si="163"/>
        <v>GAZZOLA JULIANA INES</v>
      </c>
      <c r="M605" s="325" t="s">
        <v>592</v>
      </c>
      <c r="N605" s="324">
        <v>70</v>
      </c>
      <c r="O605" s="325">
        <v>112014702</v>
      </c>
      <c r="P605" s="799" t="str">
        <f t="shared" si="164"/>
        <v>MOYANO MAGALI CARLA</v>
      </c>
      <c r="S605" s="294"/>
      <c r="U605" s="618"/>
      <c r="X605" s="294"/>
      <c r="Z605" s="618"/>
      <c r="AE605" s="618"/>
      <c r="AG605" s="325" t="s">
        <v>1327</v>
      </c>
      <c r="AH605" s="325">
        <v>63</v>
      </c>
      <c r="AI605" s="325">
        <v>112010112</v>
      </c>
      <c r="AJ605" s="325" t="str">
        <f t="shared" si="166"/>
        <v>REVORA EDUARDO JOSE</v>
      </c>
      <c r="AO605" s="618"/>
      <c r="AT605" s="618"/>
      <c r="AW605" s="325" t="s">
        <v>1446</v>
      </c>
      <c r="AX605" s="325">
        <v>63</v>
      </c>
      <c r="AY605" s="325">
        <v>112013865</v>
      </c>
      <c r="AZ605" s="799" t="str">
        <f t="shared" si="167"/>
        <v>PICOLINI MARCELO GERONIMO</v>
      </c>
      <c r="BE605" s="618"/>
      <c r="BF605" s="618"/>
      <c r="BG605" s="553"/>
      <c r="BH605" s="294"/>
      <c r="BI605" s="618"/>
      <c r="BJ605" s="618"/>
      <c r="BK605" s="618"/>
      <c r="BL605" s="553"/>
      <c r="BM605" s="618"/>
      <c r="BN605" s="618"/>
      <c r="BO605" s="618"/>
    </row>
    <row r="606" spans="1:67" ht="13">
      <c r="A606" s="1462" t="s">
        <v>809</v>
      </c>
      <c r="B606" s="325"/>
      <c r="C606" s="325">
        <v>112013317</v>
      </c>
      <c r="D606" s="799"/>
      <c r="G606" s="325" t="s">
        <v>114</v>
      </c>
      <c r="H606" s="325">
        <v>69</v>
      </c>
      <c r="I606" s="325">
        <v>112014682</v>
      </c>
      <c r="J606" s="1459" t="str">
        <f t="shared" si="163"/>
        <v>MENDOZA SERGIO ERNESTO</v>
      </c>
      <c r="M606" s="325" t="s">
        <v>661</v>
      </c>
      <c r="N606" s="324"/>
      <c r="O606" s="325">
        <v>112013210</v>
      </c>
      <c r="P606" s="799" t="str">
        <f t="shared" si="164"/>
        <v>MUÑOZ JORGE SANTIAGO</v>
      </c>
      <c r="S606" s="294"/>
      <c r="U606" s="618"/>
      <c r="X606" s="294"/>
      <c r="Z606" s="618"/>
      <c r="AE606" s="618"/>
      <c r="AG606" s="325" t="s">
        <v>1369</v>
      </c>
      <c r="AH606" s="325">
        <v>71</v>
      </c>
      <c r="AI606" s="325">
        <v>112012782</v>
      </c>
      <c r="AJ606" s="325" t="str">
        <f t="shared" si="166"/>
        <v>RIEGLER EDUARDO HORACIO</v>
      </c>
      <c r="AO606" s="618"/>
      <c r="AT606" s="618"/>
      <c r="AW606" s="325" t="s">
        <v>1447</v>
      </c>
      <c r="AX606" s="325">
        <v>63</v>
      </c>
      <c r="AY606" s="325">
        <v>112014400</v>
      </c>
      <c r="AZ606" s="799" t="str">
        <f t="shared" si="167"/>
        <v>PINEDO SABRINA</v>
      </c>
      <c r="BE606" s="618"/>
      <c r="BF606" s="618"/>
      <c r="BG606" s="553"/>
      <c r="BH606" s="294"/>
      <c r="BI606" s="618"/>
      <c r="BJ606" s="618"/>
      <c r="BK606" s="618"/>
      <c r="BL606" s="553"/>
      <c r="BM606" s="618"/>
      <c r="BN606" s="618"/>
      <c r="BO606" s="618"/>
    </row>
    <row r="607" spans="1:67" ht="13">
      <c r="A607" s="325" t="s">
        <v>721</v>
      </c>
      <c r="B607" s="325">
        <v>69</v>
      </c>
      <c r="C607" s="325">
        <v>112013270</v>
      </c>
      <c r="D607" s="799"/>
      <c r="G607" s="325" t="s">
        <v>200</v>
      </c>
      <c r="H607" s="325">
        <v>71</v>
      </c>
      <c r="I607" s="325">
        <v>112012238</v>
      </c>
      <c r="J607" s="1459" t="str">
        <f t="shared" si="163"/>
        <v>CARLINO SILVINA BEATRIZ</v>
      </c>
      <c r="M607" s="325" t="s">
        <v>593</v>
      </c>
      <c r="N607" s="324">
        <v>70</v>
      </c>
      <c r="O607" s="325">
        <v>112014367</v>
      </c>
      <c r="P607" s="799" t="str">
        <f t="shared" si="164"/>
        <v>MUSITANI PABLO MARTIN</v>
      </c>
      <c r="S607" s="294"/>
      <c r="U607" s="618"/>
      <c r="X607" s="294"/>
      <c r="Z607" s="618"/>
      <c r="AE607" s="618"/>
      <c r="AG607" s="325" t="s">
        <v>1352</v>
      </c>
      <c r="AH607" s="325">
        <v>71</v>
      </c>
      <c r="AI607" s="325">
        <v>112014683</v>
      </c>
      <c r="AJ607" s="325" t="str">
        <f t="shared" si="166"/>
        <v>ROMINA ACUÑA</v>
      </c>
      <c r="AO607" s="618"/>
      <c r="AT607" s="618"/>
      <c r="AW607" s="325" t="s">
        <v>1403</v>
      </c>
      <c r="AX607" s="325">
        <v>28</v>
      </c>
      <c r="AY607" s="325">
        <v>112013962</v>
      </c>
      <c r="AZ607" s="799" t="str">
        <f t="shared" si="167"/>
        <v>QUINTANA MARIANELA</v>
      </c>
      <c r="BE607" s="618"/>
      <c r="BF607" s="618"/>
      <c r="BG607" s="553"/>
      <c r="BH607" s="294"/>
      <c r="BI607" s="618"/>
      <c r="BJ607" s="618"/>
      <c r="BK607" s="618"/>
      <c r="BL607" s="553"/>
      <c r="BM607" s="618"/>
      <c r="BN607" s="618"/>
      <c r="BO607" s="618"/>
    </row>
    <row r="608" spans="1:67" ht="13">
      <c r="A608" s="325" t="s">
        <v>793</v>
      </c>
      <c r="B608" s="325">
        <v>71</v>
      </c>
      <c r="C608" s="325">
        <v>112011473</v>
      </c>
      <c r="D608" s="799"/>
      <c r="G608" s="325" t="s">
        <v>122</v>
      </c>
      <c r="H608" s="325">
        <v>71</v>
      </c>
      <c r="I608" s="325">
        <v>112014257</v>
      </c>
      <c r="J608" s="1459" t="str">
        <f t="shared" si="163"/>
        <v>LOPEZ EUGENIA</v>
      </c>
      <c r="M608" s="325" t="s">
        <v>519</v>
      </c>
      <c r="N608" s="324">
        <v>62</v>
      </c>
      <c r="O608" s="325">
        <v>112014104</v>
      </c>
      <c r="P608" s="799" t="str">
        <f t="shared" si="164"/>
        <v>MYSZKOWSKI AGUSTIN EZEQUIEL</v>
      </c>
      <c r="S608" s="294"/>
      <c r="U608" s="618"/>
      <c r="X608" s="294"/>
      <c r="Z608" s="618"/>
      <c r="AE608" s="618"/>
      <c r="AG608" s="325" t="s">
        <v>1270</v>
      </c>
      <c r="AH608" s="325">
        <v>55</v>
      </c>
      <c r="AI608" s="325">
        <v>112010365</v>
      </c>
      <c r="AJ608" s="325" t="str">
        <f t="shared" si="166"/>
        <v>ROSATO PABLO LUIS</v>
      </c>
      <c r="AO608" s="618"/>
      <c r="AT608" s="618"/>
      <c r="AW608" s="325" t="s">
        <v>1407</v>
      </c>
      <c r="AX608" s="325">
        <v>57</v>
      </c>
      <c r="AY608" s="325">
        <v>112013246</v>
      </c>
      <c r="AZ608" s="799" t="str">
        <f t="shared" si="167"/>
        <v>ROMERO MARIA EMILIA</v>
      </c>
      <c r="BE608" s="618"/>
      <c r="BF608" s="618"/>
      <c r="BG608" s="553"/>
      <c r="BH608" s="294"/>
      <c r="BI608" s="618"/>
      <c r="BJ608" s="618"/>
      <c r="BK608" s="618"/>
      <c r="BL608" s="553"/>
      <c r="BM608" s="618"/>
      <c r="BN608" s="618"/>
      <c r="BO608" s="618"/>
    </row>
    <row r="609" spans="1:67" ht="13">
      <c r="A609" s="325" t="s">
        <v>698</v>
      </c>
      <c r="B609" s="325">
        <v>57</v>
      </c>
      <c r="C609" s="325">
        <v>112013272</v>
      </c>
      <c r="D609" s="799"/>
      <c r="G609" s="325" t="s">
        <v>224</v>
      </c>
      <c r="H609" s="325"/>
      <c r="I609" s="325">
        <v>112012614</v>
      </c>
      <c r="J609" s="1459" t="str">
        <f t="shared" si="163"/>
        <v>QUARLERI FRANCISCO EDGARDO</v>
      </c>
      <c r="M609" s="325" t="s">
        <v>639</v>
      </c>
      <c r="N609" s="324">
        <v>70</v>
      </c>
      <c r="O609" s="325">
        <v>112014608</v>
      </c>
      <c r="P609" s="799" t="str">
        <f t="shared" si="164"/>
        <v>NOAILLES CECILIA MONICA</v>
      </c>
      <c r="S609" s="294"/>
      <c r="U609" s="618"/>
      <c r="X609" s="294"/>
      <c r="Z609" s="618"/>
      <c r="AE609" s="618"/>
      <c r="AG609" s="325" t="s">
        <v>1376</v>
      </c>
      <c r="AH609" s="325">
        <v>71</v>
      </c>
      <c r="AI609" s="325">
        <v>112011967</v>
      </c>
      <c r="AJ609" s="325" t="str">
        <f t="shared" si="166"/>
        <v>SACCO HERNAN</v>
      </c>
      <c r="AO609" s="618"/>
      <c r="AT609" s="618"/>
      <c r="AW609" s="325" t="s">
        <v>1501</v>
      </c>
      <c r="AX609" s="325"/>
      <c r="AY609" s="325">
        <v>112011985</v>
      </c>
      <c r="AZ609" s="799" t="str">
        <f t="shared" si="167"/>
        <v>RUPP GUILLERMO NAZARENO</v>
      </c>
      <c r="BE609" s="618"/>
      <c r="BF609" s="618"/>
      <c r="BG609" s="553"/>
      <c r="BH609" s="294"/>
      <c r="BI609" s="618"/>
      <c r="BJ609" s="618"/>
      <c r="BK609" s="618"/>
      <c r="BL609" s="553"/>
      <c r="BM609" s="618"/>
      <c r="BN609" s="618"/>
      <c r="BO609" s="618"/>
    </row>
    <row r="610" spans="1:67" ht="13">
      <c r="A610" s="325" t="s">
        <v>736</v>
      </c>
      <c r="B610" s="325">
        <v>71</v>
      </c>
      <c r="C610" s="325">
        <v>112011754</v>
      </c>
      <c r="D610" s="799"/>
      <c r="G610" s="325" t="s">
        <v>201</v>
      </c>
      <c r="H610" s="325">
        <v>71</v>
      </c>
      <c r="I610" s="325">
        <v>112012197</v>
      </c>
      <c r="J610" s="1459" t="str">
        <f t="shared" si="163"/>
        <v>ZANDONADI CARLOS GASTON</v>
      </c>
      <c r="M610" s="325" t="s">
        <v>564</v>
      </c>
      <c r="N610" s="324">
        <v>69</v>
      </c>
      <c r="O610" s="325">
        <v>112014419</v>
      </c>
      <c r="P610" s="799" t="str">
        <f t="shared" si="164"/>
        <v>OLVEIRA DARIO FERNANDO</v>
      </c>
      <c r="S610" s="294"/>
      <c r="U610" s="618"/>
      <c r="X610" s="294"/>
      <c r="Z610" s="618"/>
      <c r="AE610" s="618"/>
      <c r="AG610" s="325" t="s">
        <v>1279</v>
      </c>
      <c r="AH610" s="325">
        <v>62</v>
      </c>
      <c r="AI610" s="325">
        <v>112014180</v>
      </c>
      <c r="AJ610" s="325" t="str">
        <f t="shared" si="166"/>
        <v>SAEZ CLAUDIO ALBERTO</v>
      </c>
      <c r="AO610" s="618"/>
      <c r="AT610" s="618"/>
      <c r="AW610" s="325" t="s">
        <v>1419</v>
      </c>
      <c r="AX610" s="325">
        <v>62</v>
      </c>
      <c r="AY610" s="325">
        <v>112014011</v>
      </c>
      <c r="AZ610" s="799" t="str">
        <f t="shared" si="167"/>
        <v>SARACHU MARIA BERTA MABEL</v>
      </c>
      <c r="BE610" s="618"/>
      <c r="BF610" s="618"/>
      <c r="BG610" s="553"/>
      <c r="BH610" s="294"/>
      <c r="BI610" s="618"/>
      <c r="BJ610" s="618"/>
      <c r="BK610" s="618"/>
      <c r="BL610" s="553"/>
      <c r="BM610" s="618"/>
      <c r="BN610" s="618"/>
      <c r="BO610" s="618"/>
    </row>
    <row r="611" spans="1:67" ht="13">
      <c r="A611" s="325" t="s">
        <v>763</v>
      </c>
      <c r="B611" s="325">
        <v>70</v>
      </c>
      <c r="C611" s="325">
        <v>112014353</v>
      </c>
      <c r="D611" s="799"/>
      <c r="G611" s="325" t="s">
        <v>160</v>
      </c>
      <c r="H611" s="325">
        <v>70</v>
      </c>
      <c r="I611" s="325">
        <v>112012229</v>
      </c>
      <c r="J611" s="1459" t="str">
        <f t="shared" si="163"/>
        <v>TOBIO PABLO JAVIER</v>
      </c>
      <c r="M611" s="325" t="s">
        <v>594</v>
      </c>
      <c r="N611" s="324">
        <v>70</v>
      </c>
      <c r="O611" s="325">
        <v>112014685</v>
      </c>
      <c r="P611" s="799" t="str">
        <f t="shared" si="164"/>
        <v>PABLO SEBASTIAN PACHINO</v>
      </c>
      <c r="S611" s="294"/>
      <c r="U611" s="618"/>
      <c r="X611" s="294"/>
      <c r="Z611" s="618"/>
      <c r="AE611" s="618"/>
      <c r="AG611" s="325" t="s">
        <v>1305</v>
      </c>
      <c r="AH611" s="325">
        <v>63</v>
      </c>
      <c r="AI611" s="325">
        <v>112012449</v>
      </c>
      <c r="AJ611" s="325" t="str">
        <f t="shared" si="166"/>
        <v>SEGURADO RUBEN HORACIO</v>
      </c>
      <c r="AO611" s="618"/>
      <c r="AT611" s="618"/>
      <c r="AW611" s="325" t="s">
        <v>1462</v>
      </c>
      <c r="AX611" s="325">
        <v>63</v>
      </c>
      <c r="AY611" s="325">
        <v>112013231</v>
      </c>
      <c r="AZ611" s="799" t="str">
        <f t="shared" si="167"/>
        <v>SCARANO NICOLAS ANIBAL</v>
      </c>
      <c r="BE611" s="618"/>
      <c r="BF611" s="618"/>
      <c r="BG611" s="553"/>
      <c r="BH611" s="294"/>
      <c r="BI611" s="618"/>
      <c r="BJ611" s="618"/>
      <c r="BK611" s="618"/>
      <c r="BL611" s="553"/>
      <c r="BM611" s="618"/>
      <c r="BN611" s="618"/>
      <c r="BO611" s="618"/>
    </row>
    <row r="612" spans="1:67" ht="13">
      <c r="A612" s="325" t="s">
        <v>810</v>
      </c>
      <c r="B612" s="325"/>
      <c r="C612" s="325">
        <v>112011823</v>
      </c>
      <c r="D612" s="799"/>
      <c r="G612" s="325" t="s">
        <v>67</v>
      </c>
      <c r="H612" s="325">
        <v>52</v>
      </c>
      <c r="I612" s="325">
        <v>112014235</v>
      </c>
      <c r="J612" s="1459" t="str">
        <f t="shared" si="163"/>
        <v>GREGORUTTI MARCELO GASTON</v>
      </c>
      <c r="M612" s="325" t="s">
        <v>616</v>
      </c>
      <c r="N612" s="324">
        <v>71</v>
      </c>
      <c r="O612" s="325">
        <v>112014263</v>
      </c>
      <c r="P612" s="799" t="str">
        <f t="shared" si="164"/>
        <v>PABLO TOUZON</v>
      </c>
      <c r="S612" s="294"/>
      <c r="U612" s="618"/>
      <c r="X612" s="294"/>
      <c r="Z612" s="618"/>
      <c r="AE612" s="618"/>
      <c r="AG612" s="325" t="s">
        <v>1370</v>
      </c>
      <c r="AH612" s="325">
        <v>71</v>
      </c>
      <c r="AI612" s="325">
        <v>112011834</v>
      </c>
      <c r="AJ612" s="325" t="str">
        <f t="shared" si="166"/>
        <v>SFORZINI YANINA GABRIELA</v>
      </c>
      <c r="AO612" s="618"/>
      <c r="AT612" s="618"/>
      <c r="AW612" s="325" t="s">
        <v>487</v>
      </c>
      <c r="AX612" s="325">
        <v>62</v>
      </c>
      <c r="AY612" s="325">
        <v>112013042</v>
      </c>
      <c r="AZ612" s="799" t="str">
        <f t="shared" si="167"/>
        <v>SERRANO ALEJANDRA CAROLINA</v>
      </c>
      <c r="BE612" s="618"/>
      <c r="BF612" s="618"/>
      <c r="BG612" s="553"/>
      <c r="BH612" s="294"/>
      <c r="BI612" s="618"/>
      <c r="BJ612" s="618"/>
      <c r="BK612" s="618"/>
      <c r="BL612" s="553"/>
      <c r="BM612" s="618"/>
      <c r="BN612" s="618"/>
      <c r="BO612" s="618"/>
    </row>
    <row r="613" spans="1:67" ht="13">
      <c r="A613" s="325" t="s">
        <v>811</v>
      </c>
      <c r="B613" s="325"/>
      <c r="C613" s="325">
        <v>112013416</v>
      </c>
      <c r="D613" s="799"/>
      <c r="G613" s="325" t="s">
        <v>163</v>
      </c>
      <c r="H613" s="325">
        <v>70</v>
      </c>
      <c r="I613" s="325">
        <v>112014745</v>
      </c>
      <c r="J613" s="1459" t="str">
        <f t="shared" si="163"/>
        <v>VEGA GRISELDA ANAHI</v>
      </c>
      <c r="M613" s="325" t="s">
        <v>546</v>
      </c>
      <c r="N613" s="324">
        <v>61</v>
      </c>
      <c r="O613" s="325">
        <v>112014741</v>
      </c>
      <c r="P613" s="799" t="str">
        <f t="shared" si="164"/>
        <v>PAMELA ESTEFANIA BARRIONUEVO</v>
      </c>
      <c r="S613" s="294"/>
      <c r="U613" s="618"/>
      <c r="X613" s="294"/>
      <c r="Z613" s="618"/>
      <c r="AE613" s="618"/>
      <c r="AG613" s="325" t="s">
        <v>1371</v>
      </c>
      <c r="AH613" s="325">
        <v>71</v>
      </c>
      <c r="AI613" s="325">
        <v>112013577</v>
      </c>
      <c r="AJ613" s="325" t="str">
        <f t="shared" si="166"/>
        <v>SILVA JUAN LUIS</v>
      </c>
      <c r="AO613" s="618"/>
      <c r="AT613" s="618"/>
      <c r="AW613" s="325" t="s">
        <v>1463</v>
      </c>
      <c r="AX613" s="325">
        <v>63</v>
      </c>
      <c r="AY613" s="325">
        <v>112014526</v>
      </c>
      <c r="AZ613" s="799" t="str">
        <f t="shared" si="167"/>
        <v>SHORT JUAN MARTIN</v>
      </c>
      <c r="BE613" s="618"/>
      <c r="BF613" s="618"/>
      <c r="BG613" s="553"/>
      <c r="BH613" s="294"/>
      <c r="BI613" s="618"/>
      <c r="BJ613" s="618"/>
      <c r="BK613" s="618"/>
      <c r="BL613" s="553"/>
      <c r="BM613" s="618"/>
      <c r="BN613" s="618"/>
      <c r="BO613" s="618"/>
    </row>
    <row r="614" spans="1:67" ht="13">
      <c r="A614" s="325" t="s">
        <v>754</v>
      </c>
      <c r="B614" s="325">
        <v>70</v>
      </c>
      <c r="C614" s="325">
        <v>112014758</v>
      </c>
      <c r="D614" s="799"/>
      <c r="G614" s="325" t="s">
        <v>74</v>
      </c>
      <c r="H614" s="325">
        <v>53</v>
      </c>
      <c r="I614" s="325">
        <v>112014719</v>
      </c>
      <c r="J614" s="1459" t="str">
        <f t="shared" si="163"/>
        <v>VIDELA LEONARDO GABRIEL</v>
      </c>
      <c r="M614" s="325" t="s">
        <v>656</v>
      </c>
      <c r="N614" s="324">
        <v>71</v>
      </c>
      <c r="O614" s="325">
        <v>112013930</v>
      </c>
      <c r="P614" s="799" t="str">
        <f t="shared" si="164"/>
        <v>PANOZZO JULIANA BELEN</v>
      </c>
      <c r="S614" s="294"/>
      <c r="U614" s="618"/>
      <c r="X614" s="294"/>
      <c r="Z614" s="618"/>
      <c r="AE614" s="618"/>
      <c r="AG614" s="325" t="s">
        <v>1324</v>
      </c>
      <c r="AH614" s="325">
        <v>63</v>
      </c>
      <c r="AI614" s="325">
        <v>112014045</v>
      </c>
      <c r="AJ614" s="325" t="str">
        <f t="shared" si="166"/>
        <v>SOLER PATRICIA ADOLFINA</v>
      </c>
      <c r="AO614" s="618"/>
      <c r="AT614" s="618"/>
      <c r="AW614" s="325" t="s">
        <v>1120</v>
      </c>
      <c r="AX614" s="325"/>
      <c r="AY614" s="325">
        <v>112013421</v>
      </c>
      <c r="AZ614" s="799" t="str">
        <f t="shared" si="167"/>
        <v>SIERRA MARIA EUGENIA</v>
      </c>
      <c r="BE614" s="618"/>
      <c r="BF614" s="618"/>
      <c r="BG614" s="553"/>
      <c r="BH614" s="294"/>
      <c r="BI614" s="618"/>
      <c r="BJ614" s="618"/>
      <c r="BK614" s="618"/>
      <c r="BL614" s="553"/>
      <c r="BM614" s="618"/>
      <c r="BN614" s="618"/>
      <c r="BO614" s="618"/>
    </row>
    <row r="615" spans="1:67" ht="13">
      <c r="A615" s="325" t="s">
        <v>812</v>
      </c>
      <c r="B615" s="325"/>
      <c r="C615" s="325">
        <v>112014159</v>
      </c>
      <c r="D615" s="799"/>
      <c r="G615" s="325" t="s">
        <v>161</v>
      </c>
      <c r="H615" s="325">
        <v>70</v>
      </c>
      <c r="I615" s="325">
        <v>112014369</v>
      </c>
      <c r="J615" s="1459" t="str">
        <f t="shared" si="163"/>
        <v>VIEGAS MELRO SERGIO GABRIEL</v>
      </c>
      <c r="M615" s="325" t="s">
        <v>521</v>
      </c>
      <c r="N615" s="324">
        <v>61</v>
      </c>
      <c r="O615" s="325">
        <v>112013279</v>
      </c>
      <c r="P615" s="799" t="str">
        <f t="shared" si="164"/>
        <v>PAOLI FACUNDO EZEQUIEL</v>
      </c>
      <c r="S615" s="294"/>
      <c r="U615" s="618"/>
      <c r="X615" s="294"/>
      <c r="Z615" s="618"/>
      <c r="AE615" s="618"/>
      <c r="AG615" s="325" t="s">
        <v>1304</v>
      </c>
      <c r="AH615" s="325">
        <v>63</v>
      </c>
      <c r="AI615" s="325">
        <v>112013233</v>
      </c>
      <c r="AJ615" s="325" t="str">
        <f t="shared" si="166"/>
        <v>SORENSEN JOHN/HERRERO YAMILA</v>
      </c>
      <c r="AO615" s="618"/>
      <c r="AT615" s="618"/>
      <c r="AW615" s="325" t="s">
        <v>1448</v>
      </c>
      <c r="AX615" s="325">
        <v>63</v>
      </c>
      <c r="AY615" s="325">
        <v>112013987</v>
      </c>
      <c r="AZ615" s="799" t="str">
        <f t="shared" si="167"/>
        <v>SOFIA BELEN SENA</v>
      </c>
      <c r="BE615" s="618"/>
      <c r="BF615" s="618"/>
      <c r="BG615" s="553"/>
      <c r="BH615" s="294"/>
      <c r="BI615" s="618"/>
      <c r="BJ615" s="618"/>
      <c r="BK615" s="618"/>
      <c r="BL615" s="553"/>
      <c r="BM615" s="618"/>
      <c r="BN615" s="618"/>
      <c r="BO615" s="618"/>
    </row>
    <row r="616" spans="1:67" ht="13">
      <c r="A616" s="325" t="s">
        <v>717</v>
      </c>
      <c r="B616" s="325">
        <v>69</v>
      </c>
      <c r="C616" s="325">
        <v>112014069</v>
      </c>
      <c r="D616" s="799"/>
      <c r="G616" s="325" t="s">
        <v>162</v>
      </c>
      <c r="H616" s="325">
        <v>70</v>
      </c>
      <c r="I616" s="325">
        <v>112013607</v>
      </c>
      <c r="J616" s="1459" t="str">
        <f t="shared" si="163"/>
        <v>SANZO JOSE MARCELO</v>
      </c>
      <c r="M616" s="325" t="s">
        <v>595</v>
      </c>
      <c r="N616" s="324">
        <v>70</v>
      </c>
      <c r="O616" s="325">
        <v>112014469</v>
      </c>
      <c r="P616" s="799" t="str">
        <f t="shared" si="164"/>
        <v>PAOLILLO JORGE ALBERTO</v>
      </c>
      <c r="S616" s="294"/>
      <c r="U616" s="618"/>
      <c r="X616" s="294"/>
      <c r="Z616" s="618"/>
      <c r="AE616" s="618"/>
      <c r="AG616" s="325" t="s">
        <v>1372</v>
      </c>
      <c r="AH616" s="325">
        <v>71</v>
      </c>
      <c r="AI616" s="325">
        <v>112014417</v>
      </c>
      <c r="AJ616" s="325" t="str">
        <f t="shared" si="166"/>
        <v>SUCESION DE MARZULLO CESAR ABEL</v>
      </c>
      <c r="AO616" s="618"/>
      <c r="AT616" s="618"/>
      <c r="AW616" s="325" t="s">
        <v>1449</v>
      </c>
      <c r="AX616" s="325">
        <v>63</v>
      </c>
      <c r="AY616" s="325">
        <v>112012277</v>
      </c>
      <c r="AZ616" s="799" t="str">
        <f t="shared" si="167"/>
        <v>SOLARI MARIA VERONICA</v>
      </c>
      <c r="BE616" s="618"/>
      <c r="BF616" s="618"/>
      <c r="BG616" s="553"/>
      <c r="BH616" s="294"/>
      <c r="BI616" s="618"/>
      <c r="BJ616" s="618"/>
      <c r="BK616" s="618"/>
      <c r="BL616" s="553"/>
      <c r="BM616" s="618"/>
      <c r="BN616" s="618"/>
      <c r="BO616" s="618"/>
    </row>
    <row r="617" spans="1:67" ht="13">
      <c r="A617" s="325" t="s">
        <v>794</v>
      </c>
      <c r="B617" s="325">
        <v>71</v>
      </c>
      <c r="C617" s="325">
        <v>112010547</v>
      </c>
      <c r="D617" s="799"/>
      <c r="G617" s="325" t="s">
        <v>101</v>
      </c>
      <c r="H617" s="325">
        <v>61</v>
      </c>
      <c r="I617" s="325">
        <v>112014782</v>
      </c>
      <c r="J617" s="1459" t="str">
        <f t="shared" si="163"/>
        <v>CROCI LAURA BEATRIZ</v>
      </c>
      <c r="M617" s="325" t="s">
        <v>548</v>
      </c>
      <c r="N617" s="324">
        <v>66</v>
      </c>
      <c r="O617" s="325">
        <v>112014504</v>
      </c>
      <c r="P617" s="799" t="str">
        <f t="shared" si="164"/>
        <v>PAULA DIAZ REXACH</v>
      </c>
      <c r="S617" s="294"/>
      <c r="U617" s="618"/>
      <c r="X617" s="294"/>
      <c r="Z617" s="618"/>
      <c r="AE617" s="618"/>
      <c r="AG617" s="325" t="s">
        <v>1306</v>
      </c>
      <c r="AH617" s="325">
        <v>63</v>
      </c>
      <c r="AI617" s="325">
        <v>112014300</v>
      </c>
      <c r="AJ617" s="325" t="str">
        <f t="shared" si="166"/>
        <v>URGA GUSTAVO DANIEL</v>
      </c>
      <c r="AO617" s="618"/>
      <c r="AT617" s="618"/>
      <c r="AW617" s="325" t="s">
        <v>1469</v>
      </c>
      <c r="AX617" s="325">
        <v>63</v>
      </c>
      <c r="AY617" s="325">
        <v>112014248</v>
      </c>
      <c r="AZ617" s="799" t="str">
        <f t="shared" si="167"/>
        <v>SUAREZ MARIA VITALINA DE LOURDES</v>
      </c>
      <c r="BE617" s="618"/>
      <c r="BF617" s="618"/>
      <c r="BG617" s="553"/>
      <c r="BH617" s="294"/>
      <c r="BI617" s="618"/>
      <c r="BJ617" s="618"/>
      <c r="BK617" s="618"/>
      <c r="BL617" s="553"/>
      <c r="BM617" s="618"/>
      <c r="BN617" s="618"/>
      <c r="BO617" s="618"/>
    </row>
    <row r="618" spans="1:67" ht="13">
      <c r="A618" s="325" t="s">
        <v>739</v>
      </c>
      <c r="B618" s="325">
        <v>71</v>
      </c>
      <c r="C618" s="325">
        <v>112013133</v>
      </c>
      <c r="D618" s="799"/>
      <c r="G618" s="325" t="s">
        <v>164</v>
      </c>
      <c r="H618" s="325">
        <v>69</v>
      </c>
      <c r="I618" s="325">
        <v>112013814</v>
      </c>
      <c r="J618" s="1459" t="str">
        <f t="shared" si="163"/>
        <v>BEDOYA CAROLINA</v>
      </c>
      <c r="M618" s="325" t="s">
        <v>511</v>
      </c>
      <c r="N618" s="324">
        <v>53</v>
      </c>
      <c r="O618" s="325">
        <v>112013770</v>
      </c>
      <c r="P618" s="799" t="str">
        <f t="shared" si="164"/>
        <v>PEREZ BERNARDO</v>
      </c>
      <c r="S618" s="294"/>
      <c r="U618" s="618"/>
      <c r="X618" s="294"/>
      <c r="Z618" s="618"/>
      <c r="AE618" s="618"/>
      <c r="AG618" s="325" t="s">
        <v>1373</v>
      </c>
      <c r="AH618" s="325">
        <v>71</v>
      </c>
      <c r="AI618" s="325">
        <v>112012748</v>
      </c>
      <c r="AJ618" s="325" t="str">
        <f t="shared" si="166"/>
        <v>VALARINO EDUARDO/VALARINO RAMIRO</v>
      </c>
      <c r="AO618" s="618"/>
      <c r="AT618" s="618"/>
      <c r="AW618" s="325" t="s">
        <v>1483</v>
      </c>
      <c r="AX618" s="325">
        <v>71</v>
      </c>
      <c r="AY618" s="325">
        <v>112013744</v>
      </c>
      <c r="AZ618" s="799" t="str">
        <f t="shared" si="167"/>
        <v>TINTA VENEROS ROLANDO</v>
      </c>
      <c r="BE618" s="618"/>
      <c r="BF618" s="618"/>
      <c r="BG618" s="553"/>
      <c r="BH618" s="294"/>
      <c r="BI618" s="618"/>
      <c r="BJ618" s="618"/>
      <c r="BK618" s="618"/>
      <c r="BL618" s="553"/>
      <c r="BM618" s="618"/>
      <c r="BN618" s="618"/>
      <c r="BO618" s="618"/>
    </row>
    <row r="619" spans="1:67" ht="13">
      <c r="A619" s="325" t="s">
        <v>795</v>
      </c>
      <c r="B619" s="325">
        <v>71</v>
      </c>
      <c r="C619" s="325">
        <v>112013526</v>
      </c>
      <c r="D619" s="799"/>
      <c r="G619" s="325" t="s">
        <v>121</v>
      </c>
      <c r="H619" s="325">
        <v>70</v>
      </c>
      <c r="I619" s="325">
        <v>112012613</v>
      </c>
      <c r="J619" s="1459" t="str">
        <f t="shared" si="163"/>
        <v>SZPIRO NOELIA BETIANA</v>
      </c>
      <c r="M619" s="325" t="s">
        <v>650</v>
      </c>
      <c r="N619" s="324">
        <v>71</v>
      </c>
      <c r="O619" s="325">
        <v>112014165</v>
      </c>
      <c r="P619" s="799" t="str">
        <f t="shared" si="164"/>
        <v>PETRONE MARCELO D Y SASSO DANIEL J</v>
      </c>
      <c r="S619" s="294"/>
      <c r="U619" s="618"/>
      <c r="X619" s="294"/>
      <c r="Z619" s="618"/>
      <c r="AE619" s="618"/>
      <c r="AG619" s="325" t="s">
        <v>1374</v>
      </c>
      <c r="AH619" s="325">
        <v>71</v>
      </c>
      <c r="AI619" s="325">
        <v>112012852</v>
      </c>
      <c r="AJ619" s="325" t="str">
        <f t="shared" si="166"/>
        <v>VARZE KARINA</v>
      </c>
      <c r="AO619" s="618"/>
      <c r="AT619" s="618"/>
      <c r="AW619" s="325" t="s">
        <v>1420</v>
      </c>
      <c r="AX619" s="325">
        <v>62</v>
      </c>
      <c r="AY619" s="325">
        <v>112014577</v>
      </c>
      <c r="AZ619" s="799" t="str">
        <f t="shared" si="167"/>
        <v>TOMAS VILLAVICENCIO</v>
      </c>
      <c r="BE619" s="618"/>
      <c r="BF619" s="618"/>
      <c r="BG619" s="553"/>
      <c r="BH619" s="294"/>
      <c r="BI619" s="618"/>
      <c r="BJ619" s="618"/>
      <c r="BK619" s="618"/>
      <c r="BL619" s="553"/>
      <c r="BM619" s="618"/>
      <c r="BN619" s="618"/>
      <c r="BO619" s="618"/>
    </row>
    <row r="620" spans="1:67" ht="13">
      <c r="A620" s="325" t="s">
        <v>796</v>
      </c>
      <c r="B620" s="325">
        <v>71</v>
      </c>
      <c r="C620" s="325">
        <v>112013290</v>
      </c>
      <c r="D620" s="799"/>
      <c r="G620" s="325" t="s">
        <v>107</v>
      </c>
      <c r="H620" s="325">
        <v>63</v>
      </c>
      <c r="I620" s="325">
        <v>112013141</v>
      </c>
      <c r="J620" s="1459" t="str">
        <f t="shared" si="163"/>
        <v>HAAS FABIANA MARCELA</v>
      </c>
      <c r="M620" s="325" t="s">
        <v>659</v>
      </c>
      <c r="N620" s="324"/>
      <c r="O620" s="325">
        <v>112013314</v>
      </c>
      <c r="P620" s="799" t="str">
        <f t="shared" si="164"/>
        <v>PICCOLO VANESA INES</v>
      </c>
      <c r="S620" s="294"/>
      <c r="U620" s="618"/>
      <c r="X620" s="294"/>
      <c r="Z620" s="618"/>
      <c r="AE620" s="618"/>
      <c r="AG620" s="325" t="s">
        <v>1307</v>
      </c>
      <c r="AH620" s="325">
        <v>63</v>
      </c>
      <c r="AI620" s="325">
        <v>112012568</v>
      </c>
      <c r="AJ620" s="325" t="str">
        <f t="shared" si="166"/>
        <v>VELEZ CARLOS FERNANDO</v>
      </c>
      <c r="AO620" s="618"/>
      <c r="AT620" s="618"/>
      <c r="AW620" s="325" t="s">
        <v>1480</v>
      </c>
      <c r="AX620" s="325">
        <v>71</v>
      </c>
      <c r="AY620" s="325">
        <v>112010676</v>
      </c>
      <c r="AZ620" s="799" t="str">
        <f t="shared" si="167"/>
        <v>UNIVERSIDAD NACIONAL DE LA PLATA</v>
      </c>
      <c r="BE620" s="618"/>
      <c r="BF620" s="618"/>
      <c r="BG620" s="553"/>
      <c r="BH620" s="294"/>
      <c r="BI620" s="618"/>
      <c r="BJ620" s="618"/>
      <c r="BK620" s="618"/>
      <c r="BL620" s="553"/>
      <c r="BM620" s="618"/>
      <c r="BN620" s="618"/>
      <c r="BO620" s="618"/>
    </row>
    <row r="621" spans="1:67" ht="13">
      <c r="A621" s="325" t="s">
        <v>705</v>
      </c>
      <c r="B621" s="325">
        <v>62</v>
      </c>
      <c r="C621" s="325">
        <v>112013132</v>
      </c>
      <c r="D621" s="799"/>
      <c r="G621" s="325" t="s">
        <v>99</v>
      </c>
      <c r="H621" s="325">
        <v>62</v>
      </c>
      <c r="I621" s="325">
        <v>112013916</v>
      </c>
      <c r="J621" s="1459" t="str">
        <f t="shared" si="163"/>
        <v>GOMEZ ARIAS MARBELLA ALICIA</v>
      </c>
      <c r="M621" s="325" t="s">
        <v>617</v>
      </c>
      <c r="N621" s="324">
        <v>71</v>
      </c>
      <c r="O621" s="325">
        <v>112014133</v>
      </c>
      <c r="P621" s="799" t="str">
        <f t="shared" si="164"/>
        <v>PORCELLI CLAUDIO</v>
      </c>
      <c r="S621" s="294"/>
      <c r="U621" s="618"/>
      <c r="X621" s="294"/>
      <c r="Z621" s="618"/>
      <c r="AE621" s="618"/>
      <c r="AG621" s="325" t="s">
        <v>1285</v>
      </c>
      <c r="AH621" s="325">
        <v>63</v>
      </c>
      <c r="AI621" s="325">
        <v>112011735</v>
      </c>
      <c r="AJ621" s="325" t="str">
        <f t="shared" si="166"/>
        <v>VERONA PABLO MATIAS</v>
      </c>
      <c r="AO621" s="618"/>
      <c r="AT621" s="618"/>
      <c r="AW621" s="325" t="s">
        <v>1450</v>
      </c>
      <c r="AX621" s="325">
        <v>63</v>
      </c>
      <c r="AY621" s="325">
        <v>112011749</v>
      </c>
      <c r="AZ621" s="799" t="str">
        <f t="shared" si="167"/>
        <v>VIALE LUIS EDUARDO</v>
      </c>
      <c r="BE621" s="618"/>
      <c r="BF621" s="618"/>
      <c r="BG621" s="553"/>
      <c r="BH621" s="294"/>
      <c r="BI621" s="618"/>
      <c r="BJ621" s="618"/>
      <c r="BK621" s="618"/>
      <c r="BL621" s="553"/>
      <c r="BM621" s="618"/>
      <c r="BN621" s="618"/>
      <c r="BO621" s="618"/>
    </row>
    <row r="622" spans="1:67" ht="13">
      <c r="A622" s="325" t="s">
        <v>701</v>
      </c>
      <c r="B622" s="325">
        <v>62</v>
      </c>
      <c r="C622" s="325">
        <v>112014742</v>
      </c>
      <c r="D622" s="799"/>
      <c r="G622" s="325" t="s">
        <v>165</v>
      </c>
      <c r="H622" s="325">
        <v>70</v>
      </c>
      <c r="I622" s="325">
        <v>112014535</v>
      </c>
      <c r="J622" s="1459" t="str">
        <f t="shared" si="163"/>
        <v>OMAR LEANDRO MATIAS</v>
      </c>
      <c r="M622" s="325" t="s">
        <v>522</v>
      </c>
      <c r="N622" s="324">
        <v>61</v>
      </c>
      <c r="O622" s="325">
        <v>112014477</v>
      </c>
      <c r="P622" s="799" t="str">
        <f t="shared" si="164"/>
        <v>PROFARVET SA</v>
      </c>
      <c r="S622" s="294"/>
      <c r="U622" s="618"/>
      <c r="X622" s="294"/>
      <c r="Z622" s="618"/>
      <c r="AE622" s="618"/>
      <c r="AG622" s="325" t="s">
        <v>1339</v>
      </c>
      <c r="AH622" s="325">
        <v>71</v>
      </c>
      <c r="AI622" s="325">
        <v>112014546</v>
      </c>
      <c r="AJ622" s="325" t="str">
        <f t="shared" si="166"/>
        <v>VETERINARIA CENTRO SOCIEDAD DE RESPONSABILIDAD LIMITAD</v>
      </c>
      <c r="AO622" s="618"/>
      <c r="AT622" s="618"/>
      <c r="AW622" s="325" t="s">
        <v>1451</v>
      </c>
      <c r="AX622" s="325">
        <v>63</v>
      </c>
      <c r="AY622" s="325">
        <v>112013852</v>
      </c>
      <c r="AZ622" s="799" t="str">
        <f t="shared" si="167"/>
        <v>VIDOSEVICH EVANGELINA</v>
      </c>
      <c r="BE622" s="618"/>
      <c r="BF622" s="618"/>
      <c r="BG622" s="553"/>
      <c r="BH622" s="294"/>
      <c r="BI622" s="618"/>
      <c r="BJ622" s="618"/>
      <c r="BK622" s="618"/>
      <c r="BL622" s="553"/>
      <c r="BM622" s="618"/>
      <c r="BN622" s="618"/>
      <c r="BO622" s="618"/>
    </row>
    <row r="623" spans="1:67" ht="13">
      <c r="A623" s="325" t="s">
        <v>764</v>
      </c>
      <c r="B623" s="325">
        <v>70</v>
      </c>
      <c r="C623" s="325">
        <v>112013251</v>
      </c>
      <c r="D623" s="799"/>
      <c r="G623" s="325" t="s">
        <v>202</v>
      </c>
      <c r="H623" s="325">
        <v>71</v>
      </c>
      <c r="I623" s="325">
        <v>112012193</v>
      </c>
      <c r="J623" s="1459" t="str">
        <f t="shared" si="163"/>
        <v>ALMARAZ NAHUEL HERNAN</v>
      </c>
      <c r="M623" s="325" t="s">
        <v>596</v>
      </c>
      <c r="N623" s="324">
        <v>70</v>
      </c>
      <c r="O623" s="325">
        <v>112014649</v>
      </c>
      <c r="P623" s="799" t="str">
        <f t="shared" si="164"/>
        <v>PROMESTI PATRICIA JOSEFINA</v>
      </c>
      <c r="S623" s="294"/>
      <c r="U623" s="618"/>
      <c r="X623" s="294"/>
      <c r="Z623" s="618"/>
      <c r="AE623" s="618"/>
      <c r="AG623" s="325" t="s">
        <v>1284</v>
      </c>
      <c r="AH623" s="325">
        <v>62</v>
      </c>
      <c r="AI623" s="325">
        <v>112014172</v>
      </c>
      <c r="AJ623" s="325" t="str">
        <f t="shared" si="166"/>
        <v>VETERINARIA SEBASTIAN S.R.L</v>
      </c>
      <c r="AO623" s="618"/>
      <c r="AT623" s="618"/>
      <c r="AZ623" s="618"/>
      <c r="BE623" s="618"/>
      <c r="BF623" s="618"/>
      <c r="BG623" s="553"/>
      <c r="BH623" s="294"/>
      <c r="BI623" s="618"/>
      <c r="BJ623" s="618"/>
      <c r="BK623" s="618"/>
      <c r="BL623" s="553"/>
      <c r="BM623" s="618"/>
      <c r="BN623" s="618"/>
      <c r="BO623" s="618"/>
    </row>
    <row r="624" spans="1:67" ht="13">
      <c r="A624" s="325" t="s">
        <v>737</v>
      </c>
      <c r="B624" s="325">
        <v>71</v>
      </c>
      <c r="C624" s="325">
        <v>112013922</v>
      </c>
      <c r="D624" s="799"/>
      <c r="G624" s="325" t="s">
        <v>66</v>
      </c>
      <c r="H624" s="325">
        <v>52</v>
      </c>
      <c r="I624" s="325">
        <v>112014520</v>
      </c>
      <c r="J624" s="1459" t="str">
        <f t="shared" si="163"/>
        <v>CASTRO FERNANDO ARIEL</v>
      </c>
      <c r="M624" s="325" t="s">
        <v>514</v>
      </c>
      <c r="N624" s="324">
        <v>54</v>
      </c>
      <c r="O624" s="325">
        <v>112010484</v>
      </c>
      <c r="P624" s="799" t="str">
        <f t="shared" si="164"/>
        <v>QUILICI CARLOS ANIBAL</v>
      </c>
      <c r="S624" s="294"/>
      <c r="U624" s="618"/>
      <c r="X624" s="294"/>
      <c r="Z624" s="618"/>
      <c r="AE624" s="618"/>
      <c r="AG624" s="325" t="s">
        <v>1325</v>
      </c>
      <c r="AH624" s="325">
        <v>63</v>
      </c>
      <c r="AI624" s="325">
        <v>112013992</v>
      </c>
      <c r="AJ624" s="325" t="str">
        <f t="shared" si="166"/>
        <v>VOORAF WORDEN S.R.L.</v>
      </c>
      <c r="AO624" s="618"/>
      <c r="AT624" s="618"/>
      <c r="AZ624" s="618"/>
      <c r="BE624" s="618"/>
      <c r="BF624" s="618"/>
      <c r="BG624" s="553"/>
      <c r="BH624" s="294"/>
      <c r="BI624" s="618"/>
      <c r="BJ624" s="618"/>
      <c r="BK624" s="618"/>
      <c r="BL624" s="553"/>
      <c r="BM624" s="618"/>
      <c r="BN624" s="618"/>
      <c r="BO624" s="618"/>
    </row>
    <row r="625" spans="1:67" ht="13">
      <c r="A625" s="325" t="s">
        <v>711</v>
      </c>
      <c r="B625" s="325">
        <v>63</v>
      </c>
      <c r="C625" s="325">
        <v>112012839</v>
      </c>
      <c r="D625" s="799"/>
      <c r="G625" s="325" t="s">
        <v>102</v>
      </c>
      <c r="H625" s="325">
        <v>62</v>
      </c>
      <c r="I625" s="325">
        <v>112013915</v>
      </c>
      <c r="J625" s="1459" t="str">
        <f t="shared" si="163"/>
        <v>HERMIDA ALEJANDRO</v>
      </c>
      <c r="M625" s="325" t="s">
        <v>618</v>
      </c>
      <c r="N625" s="324">
        <v>71</v>
      </c>
      <c r="O625" s="325">
        <v>112014227</v>
      </c>
      <c r="P625" s="799" t="str">
        <f t="shared" si="164"/>
        <v>QUILICI TATIANA SOLANGE</v>
      </c>
      <c r="S625" s="294"/>
      <c r="U625" s="618"/>
      <c r="X625" s="294"/>
      <c r="Z625" s="618"/>
      <c r="AE625" s="618"/>
      <c r="AG625" s="325" t="s">
        <v>1326</v>
      </c>
      <c r="AH625" s="325">
        <v>63</v>
      </c>
      <c r="AI625" s="325">
        <v>112012507</v>
      </c>
      <c r="AJ625" s="325" t="str">
        <f t="shared" si="166"/>
        <v>WOLCOFF MARIANA LORENA</v>
      </c>
      <c r="AO625" s="618"/>
      <c r="AT625" s="618"/>
      <c r="AZ625" s="618"/>
      <c r="BE625" s="618"/>
      <c r="BF625" s="618"/>
      <c r="BG625" s="553"/>
      <c r="BH625" s="294"/>
      <c r="BI625" s="618"/>
      <c r="BJ625" s="618"/>
      <c r="BK625" s="618"/>
      <c r="BL625" s="553"/>
      <c r="BM625" s="618"/>
      <c r="BN625" s="618"/>
      <c r="BO625" s="618"/>
    </row>
    <row r="626" spans="1:67" ht="13">
      <c r="A626" s="325" t="s">
        <v>797</v>
      </c>
      <c r="B626" s="325">
        <v>71</v>
      </c>
      <c r="C626" s="325">
        <v>112014385</v>
      </c>
      <c r="D626" s="799"/>
      <c r="G626" s="325" t="s">
        <v>103</v>
      </c>
      <c r="H626" s="325">
        <v>61</v>
      </c>
      <c r="I626" s="325">
        <v>112012950</v>
      </c>
      <c r="J626" s="1459" t="str">
        <f t="shared" si="163"/>
        <v>FILIPPONI MARGARITA JUANA</v>
      </c>
      <c r="M626" s="325" t="s">
        <v>597</v>
      </c>
      <c r="N626" s="324">
        <v>70</v>
      </c>
      <c r="O626" s="325">
        <v>112014337</v>
      </c>
      <c r="P626" s="799" t="str">
        <f t="shared" si="164"/>
        <v>QUINTANA YANINA NOEMI</v>
      </c>
      <c r="S626" s="294"/>
      <c r="U626" s="618"/>
      <c r="X626" s="294"/>
      <c r="Z626" s="618"/>
      <c r="AE626" s="618"/>
      <c r="AG626" s="325" t="s">
        <v>1375</v>
      </c>
      <c r="AH626" s="325">
        <v>71</v>
      </c>
      <c r="AI626" s="325">
        <v>112014039</v>
      </c>
      <c r="AJ626" s="325" t="str">
        <f t="shared" si="166"/>
        <v>YANNACE AYELEN</v>
      </c>
      <c r="AO626" s="618"/>
      <c r="AT626" s="618"/>
      <c r="AZ626" s="618"/>
      <c r="BE626" s="618"/>
      <c r="BF626" s="618"/>
      <c r="BG626" s="553"/>
      <c r="BH626" s="294"/>
      <c r="BI626" s="618"/>
      <c r="BJ626" s="618"/>
      <c r="BK626" s="618"/>
      <c r="BL626" s="553"/>
      <c r="BM626" s="618"/>
      <c r="BN626" s="618"/>
      <c r="BO626" s="618"/>
    </row>
    <row r="627" spans="1:67" ht="13">
      <c r="A627" s="325" t="s">
        <v>723</v>
      </c>
      <c r="B627" s="325">
        <v>70</v>
      </c>
      <c r="C627" s="325">
        <v>112013432</v>
      </c>
      <c r="D627" s="799"/>
      <c r="G627" s="325" t="s">
        <v>134</v>
      </c>
      <c r="H627" s="325">
        <v>69</v>
      </c>
      <c r="I627" s="325">
        <v>112014762</v>
      </c>
      <c r="J627" s="1459" t="str">
        <f t="shared" si="163"/>
        <v>MAMANI NADIA LUCIANA</v>
      </c>
      <c r="M627" s="325" t="s">
        <v>547</v>
      </c>
      <c r="N627" s="324">
        <v>21</v>
      </c>
      <c r="O627" s="325">
        <v>112014434</v>
      </c>
      <c r="P627" s="799" t="str">
        <f t="shared" si="164"/>
        <v>RAMASCO PADILLA LORENZO ALBERTO DANI</v>
      </c>
      <c r="S627" s="294"/>
      <c r="U627" s="618"/>
      <c r="X627" s="294"/>
      <c r="Z627" s="618"/>
      <c r="AE627" s="618"/>
      <c r="AG627" s="325" t="s">
        <v>1340</v>
      </c>
      <c r="AH627" s="325">
        <v>71</v>
      </c>
      <c r="AI627" s="325">
        <v>112013323</v>
      </c>
      <c r="AJ627" s="325" t="str">
        <f t="shared" si="166"/>
        <v>ZUNINO MATIAS AGUSTIN</v>
      </c>
      <c r="AO627" s="618"/>
      <c r="AT627" s="618"/>
      <c r="AZ627" s="618"/>
      <c r="BE627" s="618"/>
      <c r="BF627" s="618"/>
      <c r="BG627" s="553"/>
      <c r="BH627" s="294"/>
      <c r="BI627" s="618"/>
      <c r="BJ627" s="618"/>
      <c r="BK627" s="618"/>
      <c r="BL627" s="553"/>
      <c r="BM627" s="618"/>
      <c r="BN627" s="618"/>
      <c r="BO627" s="618"/>
    </row>
    <row r="628" spans="1:67" ht="13">
      <c r="A628" s="325" t="s">
        <v>798</v>
      </c>
      <c r="B628" s="325">
        <v>71</v>
      </c>
      <c r="C628" s="325">
        <v>112013834</v>
      </c>
      <c r="D628" s="799"/>
      <c r="G628" s="325" t="s">
        <v>136</v>
      </c>
      <c r="H628" s="325">
        <v>69</v>
      </c>
      <c r="I628" s="325">
        <v>112014743</v>
      </c>
      <c r="J628" s="1459" t="str">
        <f t="shared" si="163"/>
        <v>FERNANDO FABIAN CASALONGUE</v>
      </c>
      <c r="M628" s="325" t="s">
        <v>657</v>
      </c>
      <c r="N628" s="324">
        <v>71</v>
      </c>
      <c r="O628" s="325">
        <v>112011001</v>
      </c>
      <c r="P628" s="799" t="str">
        <f t="shared" si="164"/>
        <v>RAPISARDI ADRIAN NORBERTO(Lanus)</v>
      </c>
      <c r="S628" s="294"/>
      <c r="U628" s="618"/>
      <c r="X628" s="294"/>
      <c r="Z628" s="618"/>
      <c r="AE628" s="618"/>
      <c r="AO628" s="618"/>
      <c r="AT628" s="618"/>
      <c r="AZ628" s="618"/>
      <c r="BE628" s="618"/>
      <c r="BF628" s="618"/>
      <c r="BG628" s="553"/>
      <c r="BH628" s="294"/>
      <c r="BI628" s="618"/>
      <c r="BJ628" s="618"/>
      <c r="BK628" s="618"/>
      <c r="BL628" s="553"/>
      <c r="BM628" s="618"/>
      <c r="BN628" s="618"/>
      <c r="BO628" s="618"/>
    </row>
    <row r="629" spans="1:67" ht="13">
      <c r="A629" s="325" t="s">
        <v>741</v>
      </c>
      <c r="B629" s="325">
        <v>71</v>
      </c>
      <c r="C629" s="325">
        <v>112012879</v>
      </c>
      <c r="D629" s="799"/>
      <c r="G629" s="325" t="s">
        <v>203</v>
      </c>
      <c r="H629" s="325">
        <v>71</v>
      </c>
      <c r="I629" s="325">
        <v>112013748</v>
      </c>
      <c r="J629" s="1459" t="str">
        <f t="shared" si="163"/>
        <v>STRANGIS ADRIAN</v>
      </c>
      <c r="M629" s="325" t="s">
        <v>622</v>
      </c>
      <c r="N629" s="324">
        <v>71</v>
      </c>
      <c r="O629" s="325">
        <v>112011776</v>
      </c>
      <c r="P629" s="799" t="str">
        <f t="shared" si="164"/>
        <v>RODRIGUEZ FLORES SABRINA GIDELA</v>
      </c>
      <c r="S629" s="294"/>
      <c r="U629" s="618"/>
      <c r="X629" s="294"/>
      <c r="Z629" s="618"/>
      <c r="AE629" s="618"/>
      <c r="AO629" s="618"/>
      <c r="AT629" s="618"/>
      <c r="AZ629" s="618"/>
      <c r="BE629" s="618"/>
      <c r="BF629" s="618"/>
      <c r="BG629" s="553"/>
      <c r="BH629" s="294"/>
      <c r="BI629" s="618"/>
      <c r="BJ629" s="618"/>
      <c r="BK629" s="618"/>
      <c r="BL629" s="553"/>
      <c r="BM629" s="618"/>
      <c r="BN629" s="618"/>
      <c r="BO629" s="618"/>
    </row>
    <row r="630" spans="1:67" ht="13">
      <c r="A630" s="325" t="s">
        <v>712</v>
      </c>
      <c r="B630" s="325">
        <v>63</v>
      </c>
      <c r="C630" s="325">
        <v>112010514</v>
      </c>
      <c r="D630" s="799"/>
      <c r="G630" s="325" t="s">
        <v>65</v>
      </c>
      <c r="H630" s="325">
        <v>54</v>
      </c>
      <c r="I630" s="325">
        <v>112010681</v>
      </c>
      <c r="J630" s="1459" t="str">
        <f t="shared" si="163"/>
        <v>CASTRO FERNANDO ARIEL SUC 2</v>
      </c>
      <c r="M630" s="325" t="s">
        <v>537</v>
      </c>
      <c r="N630" s="324">
        <v>62</v>
      </c>
      <c r="O630" s="325">
        <v>112012893</v>
      </c>
      <c r="P630" s="799" t="str">
        <f t="shared" si="164"/>
        <v>RODRIGUEZ JORGE OMAR</v>
      </c>
      <c r="S630" s="294"/>
      <c r="U630" s="618"/>
      <c r="X630" s="294"/>
      <c r="Z630" s="618"/>
      <c r="AE630" s="618"/>
      <c r="AO630" s="618"/>
      <c r="AT630" s="618"/>
      <c r="AZ630" s="618"/>
      <c r="BE630" s="618"/>
      <c r="BF630" s="618"/>
      <c r="BG630" s="553"/>
      <c r="BH630" s="294"/>
      <c r="BI630" s="618"/>
      <c r="BJ630" s="618"/>
      <c r="BK630" s="618"/>
      <c r="BL630" s="553"/>
      <c r="BM630" s="618"/>
      <c r="BN630" s="618"/>
      <c r="BO630" s="618"/>
    </row>
    <row r="631" spans="1:67" ht="13">
      <c r="A631" s="325" t="s">
        <v>733</v>
      </c>
      <c r="B631" s="325">
        <v>70</v>
      </c>
      <c r="C631" s="325">
        <v>112010639</v>
      </c>
      <c r="D631" s="799"/>
      <c r="G631" s="325" t="s">
        <v>128</v>
      </c>
      <c r="H631" s="325">
        <v>69</v>
      </c>
      <c r="I631" s="325">
        <v>112012975</v>
      </c>
      <c r="J631" s="1459" t="str">
        <f t="shared" si="163"/>
        <v>PEREZ RODRIGO NICOLAS</v>
      </c>
      <c r="M631" s="325" t="s">
        <v>598</v>
      </c>
      <c r="N631" s="324">
        <v>70</v>
      </c>
      <c r="O631" s="325">
        <v>112014126</v>
      </c>
      <c r="P631" s="799" t="str">
        <f t="shared" si="164"/>
        <v>RODRIGUEZ NANCY MARINA</v>
      </c>
      <c r="S631" s="294"/>
      <c r="U631" s="618"/>
      <c r="X631" s="294"/>
      <c r="Z631" s="618"/>
      <c r="AE631" s="618"/>
      <c r="AO631" s="618"/>
      <c r="AT631" s="618"/>
      <c r="AZ631" s="618"/>
      <c r="BE631" s="618"/>
      <c r="BF631" s="618"/>
      <c r="BG631" s="553"/>
      <c r="BH631" s="294"/>
      <c r="BI631" s="618"/>
      <c r="BJ631" s="618"/>
      <c r="BK631" s="618"/>
      <c r="BL631" s="553"/>
      <c r="BM631" s="618"/>
      <c r="BN631" s="618"/>
      <c r="BO631" s="618"/>
    </row>
    <row r="632" spans="1:67" ht="13">
      <c r="A632" s="325" t="s">
        <v>740</v>
      </c>
      <c r="B632" s="325">
        <v>71</v>
      </c>
      <c r="C632" s="325">
        <v>112014687</v>
      </c>
      <c r="D632" s="799"/>
      <c r="G632" s="325" t="s">
        <v>112</v>
      </c>
      <c r="H632" s="325">
        <v>71</v>
      </c>
      <c r="I632" s="325">
        <v>112014138</v>
      </c>
      <c r="J632" s="1459" t="str">
        <f t="shared" si="163"/>
        <v>MARIA CECILIA SALUZZO</v>
      </c>
      <c r="M632" s="325" t="s">
        <v>512</v>
      </c>
      <c r="N632" s="324">
        <v>52</v>
      </c>
      <c r="O632" s="325">
        <v>112014087</v>
      </c>
      <c r="P632" s="799" t="str">
        <f t="shared" si="164"/>
        <v>RODRIGUEZ TROMBA HECTOR ANDRES</v>
      </c>
      <c r="S632" s="294"/>
      <c r="U632" s="618"/>
      <c r="X632" s="294"/>
      <c r="Z632" s="618"/>
      <c r="AE632" s="618"/>
      <c r="AO632" s="618"/>
      <c r="AT632" s="618"/>
      <c r="AZ632" s="618"/>
      <c r="BE632" s="618"/>
      <c r="BF632" s="618"/>
      <c r="BG632" s="553"/>
      <c r="BH632" s="294"/>
      <c r="BI632" s="618"/>
      <c r="BJ632" s="618"/>
      <c r="BK632" s="618"/>
      <c r="BL632" s="553"/>
      <c r="BM632" s="618"/>
      <c r="BN632" s="618"/>
      <c r="BO632" s="618"/>
    </row>
    <row r="633" spans="1:67" ht="13">
      <c r="A633" s="325" t="s">
        <v>734</v>
      </c>
      <c r="B633" s="325">
        <v>70</v>
      </c>
      <c r="C633" s="325">
        <v>112012929</v>
      </c>
      <c r="D633" s="799"/>
      <c r="G633" s="325" t="s">
        <v>204</v>
      </c>
      <c r="H633" s="325">
        <v>71</v>
      </c>
      <c r="I633" s="325">
        <v>112012870</v>
      </c>
      <c r="J633" s="1459" t="str">
        <f t="shared" si="163"/>
        <v>ENRIQUE MARCELO PASQUINELLI</v>
      </c>
      <c r="M633" s="325" t="s">
        <v>520</v>
      </c>
      <c r="N633" s="324">
        <v>62</v>
      </c>
      <c r="O633" s="325">
        <v>112014202</v>
      </c>
      <c r="P633" s="799" t="str">
        <f t="shared" si="164"/>
        <v>ROMERO SANDRA INES</v>
      </c>
      <c r="S633" s="294"/>
      <c r="U633" s="618"/>
      <c r="X633" s="294"/>
      <c r="Z633" s="618"/>
      <c r="AE633" s="618"/>
      <c r="AO633" s="618"/>
      <c r="AT633" s="618"/>
      <c r="AZ633" s="618"/>
      <c r="BE633" s="618"/>
      <c r="BF633" s="618"/>
      <c r="BG633" s="553"/>
      <c r="BH633" s="294"/>
      <c r="BI633" s="618"/>
      <c r="BJ633" s="618"/>
      <c r="BK633" s="618"/>
      <c r="BL633" s="553"/>
      <c r="BM633" s="618"/>
      <c r="BN633" s="618"/>
      <c r="BO633" s="618"/>
    </row>
    <row r="634" spans="1:67" ht="13">
      <c r="A634" s="325" t="s">
        <v>706</v>
      </c>
      <c r="B634" s="325">
        <v>62</v>
      </c>
      <c r="C634" s="325">
        <v>112014731</v>
      </c>
      <c r="D634" s="799"/>
      <c r="G634" s="325" t="s">
        <v>108</v>
      </c>
      <c r="H634" s="325">
        <v>63</v>
      </c>
      <c r="I634" s="325">
        <v>112012844</v>
      </c>
      <c r="J634" s="1459" t="str">
        <f t="shared" ref="J634:J665" si="168">VLOOKUP(I466,bassfin,13,FALSE)</f>
        <v>VETERINARIA SAN MARTIN SA</v>
      </c>
      <c r="M634" s="325" t="s">
        <v>599</v>
      </c>
      <c r="N634" s="324">
        <v>70</v>
      </c>
      <c r="O634" s="325">
        <v>112014313</v>
      </c>
      <c r="P634" s="799" t="str">
        <f t="shared" ref="P634:P665" si="169">VLOOKUP(O634,LAGEFIN,13,FALSE)</f>
        <v>ROSA JUAN MARTIN</v>
      </c>
      <c r="S634" s="294"/>
      <c r="U634" s="618"/>
      <c r="X634" s="294"/>
      <c r="Z634" s="618"/>
      <c r="AE634" s="618"/>
      <c r="AO634" s="618"/>
      <c r="AT634" s="618"/>
      <c r="AZ634" s="618"/>
      <c r="BE634" s="618"/>
      <c r="BF634" s="618"/>
      <c r="BG634" s="553"/>
      <c r="BH634" s="294"/>
      <c r="BI634" s="618"/>
      <c r="BJ634" s="618"/>
      <c r="BK634" s="618"/>
      <c r="BL634" s="553"/>
      <c r="BM634" s="618"/>
      <c r="BN634" s="618"/>
      <c r="BO634" s="618"/>
    </row>
    <row r="635" spans="1:67" ht="13">
      <c r="D635" s="618"/>
      <c r="G635" s="325" t="s">
        <v>205</v>
      </c>
      <c r="H635" s="325">
        <v>71</v>
      </c>
      <c r="I635" s="325">
        <v>112011100</v>
      </c>
      <c r="J635" s="1459" t="str">
        <f t="shared" si="168"/>
        <v>CANDIDO PABLO SEBASTIAN</v>
      </c>
      <c r="M635" s="325" t="s">
        <v>538</v>
      </c>
      <c r="N635" s="324">
        <v>62</v>
      </c>
      <c r="O635" s="325">
        <v>112014739</v>
      </c>
      <c r="P635" s="799" t="str">
        <f t="shared" si="169"/>
        <v>RUIZ MARIANA LAURA</v>
      </c>
      <c r="S635" s="294"/>
      <c r="U635" s="618"/>
      <c r="X635" s="294"/>
      <c r="Z635" s="618"/>
      <c r="AE635" s="618"/>
      <c r="AO635" s="618"/>
      <c r="AT635" s="618"/>
      <c r="AZ635" s="618"/>
      <c r="BE635" s="618"/>
      <c r="BF635" s="618"/>
      <c r="BG635" s="553"/>
      <c r="BH635" s="294"/>
      <c r="BI635" s="618"/>
      <c r="BJ635" s="618"/>
      <c r="BK635" s="618"/>
      <c r="BL635" s="553"/>
      <c r="BM635" s="618"/>
      <c r="BN635" s="618"/>
      <c r="BO635" s="618"/>
    </row>
    <row r="636" spans="1:67" ht="13">
      <c r="D636" s="618"/>
      <c r="G636" s="325" t="s">
        <v>166</v>
      </c>
      <c r="H636" s="325">
        <v>70</v>
      </c>
      <c r="I636" s="325">
        <v>112013197</v>
      </c>
      <c r="J636" s="1459" t="str">
        <f t="shared" si="168"/>
        <v>FORTUNATO EMILIANO ANGEL</v>
      </c>
      <c r="M636" s="325" t="s">
        <v>640</v>
      </c>
      <c r="N636" s="324">
        <v>70</v>
      </c>
      <c r="O636" s="325">
        <v>112014638</v>
      </c>
      <c r="P636" s="799" t="str">
        <f t="shared" si="169"/>
        <v>SAN MILLAN MATIAS ALBERTO</v>
      </c>
      <c r="S636" s="294"/>
      <c r="U636" s="618"/>
      <c r="X636" s="294"/>
      <c r="Z636" s="618"/>
      <c r="AE636" s="618"/>
      <c r="AO636" s="618"/>
      <c r="AT636" s="618"/>
      <c r="AZ636" s="618"/>
      <c r="BE636" s="618"/>
      <c r="BF636" s="618"/>
      <c r="BG636" s="553"/>
      <c r="BH636" s="294"/>
      <c r="BI636" s="618"/>
      <c r="BJ636" s="618"/>
      <c r="BK636" s="618"/>
      <c r="BL636" s="553"/>
      <c r="BM636" s="618"/>
      <c r="BN636" s="618"/>
      <c r="BO636" s="618"/>
    </row>
    <row r="637" spans="1:67" ht="13">
      <c r="D637" s="618"/>
      <c r="G637" s="325" t="s">
        <v>64</v>
      </c>
      <c r="H637" s="325">
        <v>52</v>
      </c>
      <c r="I637" s="325">
        <v>112014519</v>
      </c>
      <c r="J637" s="1459" t="str">
        <f t="shared" si="168"/>
        <v>CARLA FABIANA FRIAS</v>
      </c>
      <c r="M637" s="325" t="s">
        <v>655</v>
      </c>
      <c r="N637" s="324">
        <v>71</v>
      </c>
      <c r="O637" s="325">
        <v>112014082</v>
      </c>
      <c r="P637" s="799" t="str">
        <f t="shared" si="169"/>
        <v>SANCHEZ ADRIANA LORENA</v>
      </c>
      <c r="S637" s="294"/>
      <c r="U637" s="618"/>
      <c r="X637" s="294"/>
      <c r="Z637" s="618"/>
      <c r="AE637" s="618"/>
      <c r="AO637" s="618"/>
      <c r="AT637" s="618"/>
      <c r="AZ637" s="618"/>
      <c r="BE637" s="618"/>
      <c r="BF637" s="618"/>
      <c r="BG637" s="553"/>
      <c r="BH637" s="294"/>
      <c r="BI637" s="618"/>
      <c r="BJ637" s="618"/>
      <c r="BK637" s="618"/>
      <c r="BL637" s="553"/>
      <c r="BM637" s="618"/>
      <c r="BN637" s="618"/>
      <c r="BO637" s="618"/>
    </row>
    <row r="638" spans="1:67" ht="13">
      <c r="D638" s="618"/>
      <c r="G638" s="325" t="s">
        <v>206</v>
      </c>
      <c r="H638" s="325">
        <v>71</v>
      </c>
      <c r="I638" s="325">
        <v>112012709</v>
      </c>
      <c r="J638" s="1459" t="str">
        <f t="shared" si="168"/>
        <v>LUGANO VALERIA LUGANO</v>
      </c>
      <c r="M638" s="325" t="s">
        <v>600</v>
      </c>
      <c r="N638" s="324">
        <v>70</v>
      </c>
      <c r="O638" s="325">
        <v>112014392</v>
      </c>
      <c r="P638" s="799" t="str">
        <f t="shared" si="169"/>
        <v>SCARDAMAGLIA GUILLERMO CARLOS LEANDRO</v>
      </c>
      <c r="S638" s="294"/>
      <c r="U638" s="618"/>
      <c r="X638" s="294"/>
      <c r="Z638" s="618"/>
      <c r="AE638" s="618"/>
      <c r="AO638" s="618"/>
      <c r="AT638" s="618"/>
      <c r="AZ638" s="618"/>
      <c r="BE638" s="618"/>
      <c r="BF638" s="618"/>
      <c r="BG638" s="553"/>
      <c r="BH638" s="294"/>
      <c r="BI638" s="618"/>
      <c r="BJ638" s="618"/>
      <c r="BK638" s="618"/>
      <c r="BL638" s="553"/>
      <c r="BM638" s="618"/>
      <c r="BN638" s="618"/>
      <c r="BO638" s="618"/>
    </row>
    <row r="639" spans="1:67" ht="13">
      <c r="D639" s="618"/>
      <c r="G639" s="325" t="s">
        <v>225</v>
      </c>
      <c r="H639" s="325"/>
      <c r="I639" s="325">
        <v>112013850</v>
      </c>
      <c r="J639" s="1459" t="str">
        <f t="shared" si="168"/>
        <v>MARIA FLORENCIA PEREZ</v>
      </c>
      <c r="M639" s="325" t="s">
        <v>565</v>
      </c>
      <c r="N639" s="324">
        <v>69</v>
      </c>
      <c r="O639" s="325">
        <v>112014436</v>
      </c>
      <c r="P639" s="799" t="str">
        <f t="shared" si="169"/>
        <v>SEBASTIAN ARIEL RINALDI</v>
      </c>
      <c r="S639" s="294"/>
      <c r="U639" s="618"/>
      <c r="X639" s="294"/>
      <c r="Z639" s="618"/>
      <c r="AE639" s="618"/>
      <c r="AO639" s="618"/>
      <c r="AT639" s="618"/>
      <c r="AZ639" s="618"/>
      <c r="BE639" s="618"/>
      <c r="BF639" s="618"/>
      <c r="BG639" s="553"/>
      <c r="BH639" s="294"/>
      <c r="BI639" s="618"/>
      <c r="BJ639" s="618"/>
      <c r="BK639" s="618"/>
      <c r="BL639" s="553"/>
      <c r="BM639" s="618"/>
      <c r="BN639" s="618"/>
      <c r="BO639" s="618"/>
    </row>
    <row r="640" spans="1:67" ht="13">
      <c r="D640" s="618"/>
      <c r="G640" s="325" t="s">
        <v>217</v>
      </c>
      <c r="H640" s="325"/>
      <c r="I640" s="325">
        <v>112014778</v>
      </c>
      <c r="J640" s="1459" t="str">
        <f t="shared" si="168"/>
        <v>ASOCIACION REFUGIO VASCOS ANIMALISTAS V G</v>
      </c>
      <c r="M640" s="325" t="s">
        <v>662</v>
      </c>
      <c r="N640" s="324"/>
      <c r="O640" s="325">
        <v>112011327</v>
      </c>
      <c r="P640" s="799" t="str">
        <f t="shared" si="169"/>
        <v>SERVIDDIO ROBERTO CECILIO</v>
      </c>
      <c r="S640" s="294"/>
      <c r="U640" s="618"/>
      <c r="X640" s="294"/>
      <c r="Z640" s="618"/>
      <c r="AE640" s="618"/>
      <c r="AO640" s="618"/>
      <c r="AT640" s="618"/>
      <c r="AZ640" s="618"/>
      <c r="BE640" s="618"/>
      <c r="BF640" s="618"/>
      <c r="BG640" s="553"/>
      <c r="BH640" s="294"/>
      <c r="BI640" s="618"/>
      <c r="BJ640" s="618"/>
      <c r="BK640" s="618"/>
      <c r="BL640" s="553"/>
      <c r="BM640" s="618"/>
      <c r="BN640" s="618"/>
      <c r="BO640" s="618"/>
    </row>
    <row r="641" spans="4:67" ht="13">
      <c r="D641" s="618"/>
      <c r="G641" s="325" t="s">
        <v>207</v>
      </c>
      <c r="H641" s="325">
        <v>71</v>
      </c>
      <c r="I641" s="325">
        <v>112014273</v>
      </c>
      <c r="J641" s="1459" t="str">
        <f t="shared" si="168"/>
        <v>FEDERICO EZEQUIEL CESARANO</v>
      </c>
      <c r="M641" s="325" t="s">
        <v>623</v>
      </c>
      <c r="N641" s="324">
        <v>70</v>
      </c>
      <c r="O641" s="325">
        <v>112014156</v>
      </c>
      <c r="P641" s="799" t="str">
        <f t="shared" si="169"/>
        <v>SOSA GARCIA ANGELICA</v>
      </c>
      <c r="S641" s="294"/>
      <c r="U641" s="618"/>
      <c r="X641" s="294"/>
      <c r="Z641" s="618"/>
      <c r="AE641" s="618"/>
      <c r="AO641" s="618"/>
      <c r="AT641" s="618"/>
      <c r="AZ641" s="618"/>
      <c r="BE641" s="618"/>
      <c r="BF641" s="618"/>
      <c r="BG641" s="553"/>
      <c r="BH641" s="294"/>
      <c r="BI641" s="618"/>
      <c r="BJ641" s="618"/>
      <c r="BK641" s="618"/>
      <c r="BL641" s="553"/>
      <c r="BM641" s="618"/>
      <c r="BN641" s="618"/>
      <c r="BO641" s="618"/>
    </row>
    <row r="642" spans="4:67" ht="13">
      <c r="D642" s="618"/>
      <c r="G642" s="325" t="s">
        <v>135</v>
      </c>
      <c r="H642" s="325">
        <v>69</v>
      </c>
      <c r="I642" s="325">
        <v>112014390</v>
      </c>
      <c r="J642" s="1459" t="str">
        <f t="shared" si="168"/>
        <v>VELIZ ACUÑA EDSON GONZALO</v>
      </c>
      <c r="M642" s="325" t="s">
        <v>641</v>
      </c>
      <c r="N642" s="324">
        <v>70</v>
      </c>
      <c r="O642" s="325">
        <v>112014259</v>
      </c>
      <c r="P642" s="799" t="str">
        <f t="shared" si="169"/>
        <v>SPACAN SRL</v>
      </c>
      <c r="S642" s="294"/>
      <c r="U642" s="618"/>
      <c r="X642" s="294"/>
      <c r="Z642" s="618"/>
      <c r="AE642" s="618"/>
      <c r="AO642" s="618"/>
      <c r="AT642" s="618"/>
      <c r="AZ642" s="618"/>
      <c r="BE642" s="618"/>
      <c r="BF642" s="618"/>
      <c r="BG642" s="553"/>
      <c r="BH642" s="294"/>
      <c r="BI642" s="618"/>
      <c r="BJ642" s="618"/>
      <c r="BK642" s="618"/>
      <c r="BL642" s="553"/>
      <c r="BM642" s="618"/>
      <c r="BN642" s="618"/>
      <c r="BO642" s="618"/>
    </row>
    <row r="643" spans="4:67" ht="13">
      <c r="D643" s="618"/>
      <c r="G643" s="325" t="s">
        <v>158</v>
      </c>
      <c r="H643" s="325">
        <v>70</v>
      </c>
      <c r="I643" s="325">
        <v>112013933</v>
      </c>
      <c r="J643" s="1459" t="str">
        <f t="shared" si="168"/>
        <v>HUELLITAS DEL SUR S. CAP I SECC IV</v>
      </c>
      <c r="M643" s="325" t="s">
        <v>601</v>
      </c>
      <c r="N643" s="324">
        <v>70</v>
      </c>
      <c r="O643" s="325">
        <v>112014406</v>
      </c>
      <c r="P643" s="799" t="str">
        <f t="shared" si="169"/>
        <v>SPINELLI NOELIA ALEJANDRA</v>
      </c>
      <c r="S643" s="294"/>
      <c r="U643" s="618"/>
      <c r="X643" s="294"/>
      <c r="Z643" s="618"/>
      <c r="AE643" s="618"/>
      <c r="AO643" s="618"/>
      <c r="AT643" s="618"/>
      <c r="AZ643" s="618"/>
      <c r="BE643" s="618"/>
      <c r="BF643" s="618"/>
      <c r="BG643" s="553"/>
      <c r="BH643" s="294"/>
      <c r="BI643" s="618"/>
      <c r="BJ643" s="618"/>
      <c r="BK643" s="618"/>
      <c r="BL643" s="553"/>
      <c r="BM643" s="618"/>
      <c r="BN643" s="618"/>
      <c r="BO643" s="618"/>
    </row>
    <row r="644" spans="4:67" ht="13">
      <c r="D644" s="618"/>
      <c r="G644" s="325" t="s">
        <v>211</v>
      </c>
      <c r="H644" s="325">
        <v>71</v>
      </c>
      <c r="I644" s="325">
        <v>112013944</v>
      </c>
      <c r="J644" s="1459" t="str">
        <f t="shared" si="168"/>
        <v>MICAELA FERNANDA MEDINA</v>
      </c>
      <c r="M644" s="325" t="s">
        <v>566</v>
      </c>
      <c r="N644" s="324">
        <v>69</v>
      </c>
      <c r="O644" s="325">
        <v>112014459</v>
      </c>
      <c r="P644" s="799" t="str">
        <f t="shared" si="169"/>
        <v>STEMPHELET JAVIER ALEJANDRO</v>
      </c>
      <c r="S644" s="294"/>
      <c r="U644" s="618"/>
      <c r="X644" s="294"/>
      <c r="Z644" s="618"/>
      <c r="AE644" s="618"/>
      <c r="AO644" s="618"/>
      <c r="AT644" s="618"/>
      <c r="AZ644" s="618"/>
      <c r="BE644" s="618"/>
      <c r="BF644" s="618"/>
      <c r="BG644" s="553"/>
      <c r="BH644" s="294"/>
      <c r="BI644" s="618"/>
      <c r="BJ644" s="618"/>
      <c r="BK644" s="618"/>
      <c r="BL644" s="553"/>
      <c r="BM644" s="618"/>
      <c r="BN644" s="618"/>
      <c r="BO644" s="618"/>
    </row>
    <row r="645" spans="4:67" ht="13">
      <c r="D645" s="618"/>
      <c r="G645" s="325" t="s">
        <v>109</v>
      </c>
      <c r="H645" s="325">
        <v>63</v>
      </c>
      <c r="I645" s="325">
        <v>112013040</v>
      </c>
      <c r="J645" s="1459" t="e">
        <f t="shared" si="168"/>
        <v>#N/A</v>
      </c>
      <c r="M645" s="325" t="s">
        <v>602</v>
      </c>
      <c r="N645" s="324">
        <v>70</v>
      </c>
      <c r="O645" s="325">
        <v>112014065</v>
      </c>
      <c r="P645" s="799" t="str">
        <f t="shared" si="169"/>
        <v>SUAREZ PATRICIA NOEMI</v>
      </c>
      <c r="S645" s="294"/>
      <c r="U645" s="618"/>
      <c r="X645" s="294"/>
      <c r="Z645" s="618"/>
      <c r="AE645" s="618"/>
      <c r="AO645" s="618"/>
      <c r="AT645" s="618"/>
      <c r="AZ645" s="618"/>
      <c r="BE645" s="618"/>
      <c r="BF645" s="618"/>
      <c r="BG645" s="553"/>
      <c r="BH645" s="294"/>
      <c r="BI645" s="618"/>
      <c r="BJ645" s="618"/>
      <c r="BK645" s="618"/>
      <c r="BL645" s="553"/>
      <c r="BM645" s="618"/>
      <c r="BN645" s="618"/>
      <c r="BO645" s="618"/>
    </row>
    <row r="646" spans="4:67" ht="13">
      <c r="D646" s="618"/>
      <c r="G646" s="325" t="s">
        <v>209</v>
      </c>
      <c r="H646" s="325">
        <v>71</v>
      </c>
      <c r="I646" s="325">
        <v>112014760</v>
      </c>
      <c r="J646" s="1459" t="str">
        <f t="shared" si="168"/>
        <v>ASOCIACION PROTECTORA DE ANIMALES SAN FRANCISCO DE ASIS DE LOMAS DE ZAMORA</v>
      </c>
      <c r="M646" s="325" t="s">
        <v>513</v>
      </c>
      <c r="N646" s="324">
        <v>52</v>
      </c>
      <c r="O646" s="325">
        <v>112014170</v>
      </c>
      <c r="P646" s="799" t="str">
        <f t="shared" si="169"/>
        <v>SUNNY ALIMENTOS BALANCEADOS S.R.L</v>
      </c>
      <c r="S646" s="294"/>
      <c r="U646" s="618"/>
      <c r="X646" s="294"/>
      <c r="Z646" s="618"/>
      <c r="AE646" s="618"/>
      <c r="AO646" s="618"/>
      <c r="AT646" s="618"/>
      <c r="AZ646" s="618"/>
      <c r="BE646" s="618"/>
      <c r="BF646" s="618"/>
      <c r="BG646" s="553"/>
      <c r="BH646" s="294"/>
      <c r="BI646" s="618"/>
      <c r="BJ646" s="618"/>
      <c r="BK646" s="618"/>
      <c r="BL646" s="553"/>
      <c r="BM646" s="618"/>
      <c r="BN646" s="618"/>
      <c r="BO646" s="618"/>
    </row>
    <row r="647" spans="4:67" ht="13">
      <c r="D647" s="618"/>
      <c r="G647" s="325" t="s">
        <v>111</v>
      </c>
      <c r="H647" s="325">
        <v>71</v>
      </c>
      <c r="I647" s="325">
        <v>112014260</v>
      </c>
      <c r="J647" s="1459" t="str">
        <f t="shared" si="168"/>
        <v>OLIVERI JORGE LUIS</v>
      </c>
      <c r="M647" s="325" t="s">
        <v>628</v>
      </c>
      <c r="N647" s="324">
        <v>70</v>
      </c>
      <c r="O647" s="325">
        <v>112013222</v>
      </c>
      <c r="P647" s="799" t="str">
        <f t="shared" si="169"/>
        <v>TAMBEYRO ERICA VALERIA</v>
      </c>
      <c r="S647" s="294"/>
      <c r="U647" s="618"/>
      <c r="X647" s="294"/>
      <c r="Z647" s="618"/>
      <c r="AE647" s="618"/>
      <c r="AO647" s="618"/>
      <c r="AT647" s="618"/>
      <c r="AZ647" s="618"/>
      <c r="BE647" s="618"/>
      <c r="BF647" s="618"/>
      <c r="BG647" s="553"/>
      <c r="BH647" s="294"/>
      <c r="BI647" s="618"/>
      <c r="BJ647" s="618"/>
      <c r="BK647" s="618"/>
      <c r="BL647" s="553"/>
      <c r="BM647" s="618"/>
      <c r="BN647" s="618"/>
      <c r="BO647" s="618"/>
    </row>
    <row r="648" spans="4:67" ht="13">
      <c r="D648" s="618"/>
      <c r="G648" s="325" t="s">
        <v>212</v>
      </c>
      <c r="H648" s="325">
        <v>71</v>
      </c>
      <c r="I648" s="325">
        <v>112011349</v>
      </c>
      <c r="J648" s="1459" t="str">
        <f t="shared" si="168"/>
        <v>GONZALEZ ROCH MARIA MICAELA</v>
      </c>
      <c r="M648" s="325" t="s">
        <v>567</v>
      </c>
      <c r="N648" s="324">
        <v>69</v>
      </c>
      <c r="O648" s="325">
        <v>112014502</v>
      </c>
      <c r="P648" s="799" t="str">
        <f t="shared" si="169"/>
        <v>TORIBROS</v>
      </c>
      <c r="S648" s="294"/>
      <c r="U648" s="618"/>
      <c r="X648" s="294"/>
      <c r="Z648" s="618"/>
      <c r="AE648" s="618"/>
      <c r="AO648" s="618"/>
      <c r="AT648" s="618"/>
      <c r="AZ648" s="618"/>
      <c r="BE648" s="618"/>
      <c r="BF648" s="618"/>
      <c r="BG648" s="553"/>
      <c r="BH648" s="294"/>
      <c r="BI648" s="618"/>
      <c r="BJ648" s="618"/>
      <c r="BK648" s="618"/>
      <c r="BL648" s="553"/>
      <c r="BM648" s="618"/>
      <c r="BN648" s="618"/>
      <c r="BO648" s="618"/>
    </row>
    <row r="649" spans="4:67" ht="13">
      <c r="D649" s="618"/>
      <c r="G649" s="325" t="s">
        <v>123</v>
      </c>
      <c r="H649" s="325">
        <v>71</v>
      </c>
      <c r="I649" s="325">
        <v>112013981</v>
      </c>
      <c r="J649" s="1459" t="str">
        <f t="shared" si="168"/>
        <v>FERNANDEZ OROMENDIA PABLO ADRIAN</v>
      </c>
      <c r="M649" s="325" t="s">
        <v>652</v>
      </c>
      <c r="N649" s="324">
        <v>71</v>
      </c>
      <c r="O649" s="325">
        <v>112011118</v>
      </c>
      <c r="P649" s="799" t="str">
        <f t="shared" si="169"/>
        <v>TORREIRO MARIANO ANDRES</v>
      </c>
      <c r="S649" s="294"/>
      <c r="U649" s="618"/>
      <c r="X649" s="294"/>
      <c r="Z649" s="618"/>
      <c r="AE649" s="618"/>
      <c r="AO649" s="618"/>
      <c r="AT649" s="618"/>
      <c r="AZ649" s="618"/>
      <c r="BE649" s="618"/>
      <c r="BF649" s="618"/>
      <c r="BG649" s="553"/>
      <c r="BH649" s="294"/>
      <c r="BI649" s="618"/>
      <c r="BJ649" s="618"/>
      <c r="BK649" s="618"/>
      <c r="BL649" s="553"/>
      <c r="BM649" s="618"/>
      <c r="BN649" s="618"/>
      <c r="BO649" s="618"/>
    </row>
    <row r="650" spans="4:67" ht="13">
      <c r="D650" s="618"/>
      <c r="G650" s="325" t="s">
        <v>104</v>
      </c>
      <c r="H650" s="325">
        <v>62</v>
      </c>
      <c r="I650" s="325">
        <v>112014659</v>
      </c>
      <c r="J650" s="1459" t="str">
        <f t="shared" si="168"/>
        <v>BERMUDEZ EDGAR ROBERTO</v>
      </c>
      <c r="M650" s="325" t="s">
        <v>603</v>
      </c>
      <c r="N650" s="324">
        <v>70</v>
      </c>
      <c r="O650" s="325">
        <v>112014171</v>
      </c>
      <c r="P650" s="799" t="str">
        <f t="shared" si="169"/>
        <v>TORRES PERALTA DALMA ARIANA</v>
      </c>
      <c r="S650" s="294"/>
      <c r="U650" s="618"/>
      <c r="X650" s="294"/>
      <c r="Z650" s="618"/>
      <c r="AE650" s="618"/>
      <c r="AO650" s="618"/>
      <c r="AT650" s="618"/>
      <c r="AZ650" s="618"/>
      <c r="BE650" s="618"/>
      <c r="BF650" s="618"/>
      <c r="BG650" s="553"/>
      <c r="BH650" s="294"/>
      <c r="BI650" s="618"/>
      <c r="BJ650" s="618"/>
      <c r="BK650" s="618"/>
      <c r="BL650" s="553"/>
      <c r="BM650" s="618"/>
      <c r="BN650" s="618"/>
      <c r="BO650" s="618"/>
    </row>
    <row r="651" spans="4:67" ht="13">
      <c r="D651" s="618"/>
      <c r="G651" s="325" t="s">
        <v>213</v>
      </c>
      <c r="H651" s="325">
        <v>71</v>
      </c>
      <c r="I651" s="325">
        <v>112012223</v>
      </c>
      <c r="J651" s="1459" t="str">
        <f t="shared" si="168"/>
        <v>ROMAC GUSTAVO GABRIEL</v>
      </c>
      <c r="M651" s="325" t="s">
        <v>604</v>
      </c>
      <c r="N651" s="324">
        <v>70</v>
      </c>
      <c r="O651" s="325">
        <v>112010947</v>
      </c>
      <c r="P651" s="799" t="str">
        <f t="shared" si="169"/>
        <v>VALENZANO RODOLFO</v>
      </c>
      <c r="S651" s="294"/>
      <c r="U651" s="618"/>
      <c r="X651" s="294"/>
      <c r="Z651" s="618"/>
      <c r="AE651" s="618"/>
      <c r="AO651" s="618"/>
      <c r="AT651" s="618"/>
      <c r="AZ651" s="618"/>
      <c r="BE651" s="618"/>
      <c r="BF651" s="618"/>
      <c r="BG651" s="553"/>
      <c r="BH651" s="294"/>
      <c r="BI651" s="618"/>
      <c r="BJ651" s="618"/>
      <c r="BK651" s="618"/>
      <c r="BL651" s="553"/>
      <c r="BM651" s="618"/>
      <c r="BN651" s="618"/>
      <c r="BO651" s="618"/>
    </row>
    <row r="652" spans="4:67" ht="13">
      <c r="D652" s="618"/>
      <c r="G652" s="325" t="s">
        <v>214</v>
      </c>
      <c r="H652" s="325">
        <v>71</v>
      </c>
      <c r="I652" s="325">
        <v>112013263</v>
      </c>
      <c r="J652" s="1459" t="str">
        <f t="shared" si="168"/>
        <v>OLAVE ALEXANDRA BRENDA</v>
      </c>
      <c r="M652" s="325" t="s">
        <v>653</v>
      </c>
      <c r="N652" s="324">
        <v>71</v>
      </c>
      <c r="O652" s="325">
        <v>112013758</v>
      </c>
      <c r="P652" s="799" t="str">
        <f t="shared" si="169"/>
        <v>VALIENTE JUAN PABLO</v>
      </c>
      <c r="S652" s="294"/>
      <c r="U652" s="618"/>
      <c r="X652" s="294"/>
      <c r="Z652" s="618"/>
      <c r="AE652" s="618"/>
      <c r="AO652" s="618"/>
      <c r="AT652" s="618"/>
      <c r="AZ652" s="618"/>
      <c r="BE652" s="618"/>
      <c r="BF652" s="618"/>
      <c r="BG652" s="553"/>
      <c r="BH652" s="294"/>
      <c r="BI652" s="618"/>
      <c r="BJ652" s="618"/>
      <c r="BK652" s="618"/>
      <c r="BL652" s="553"/>
      <c r="BM652" s="618"/>
      <c r="BN652" s="618"/>
      <c r="BO652" s="618"/>
    </row>
    <row r="653" spans="4:67" ht="13">
      <c r="D653" s="618"/>
      <c r="G653" s="325" t="s">
        <v>71</v>
      </c>
      <c r="H653" s="325">
        <v>53</v>
      </c>
      <c r="I653" s="325">
        <v>112014558</v>
      </c>
      <c r="J653" s="1459" t="str">
        <f t="shared" si="168"/>
        <v>TOSONIERI QUAGLIA JULIETA ALEJANDRA</v>
      </c>
      <c r="M653" s="325" t="s">
        <v>654</v>
      </c>
      <c r="N653" s="324">
        <v>71</v>
      </c>
      <c r="O653" s="325">
        <v>112012868</v>
      </c>
      <c r="P653" s="799" t="str">
        <f t="shared" si="169"/>
        <v>VANONI JORGE ALBERTO</v>
      </c>
      <c r="S653" s="294"/>
      <c r="U653" s="618"/>
      <c r="X653" s="294"/>
      <c r="Z653" s="618"/>
      <c r="AE653" s="618"/>
      <c r="AO653" s="618"/>
      <c r="AT653" s="618"/>
      <c r="AZ653" s="618"/>
      <c r="BE653" s="618"/>
      <c r="BF653" s="618"/>
      <c r="BG653" s="553"/>
      <c r="BH653" s="294"/>
      <c r="BI653" s="618"/>
      <c r="BJ653" s="618"/>
      <c r="BK653" s="618"/>
      <c r="BL653" s="553"/>
      <c r="BM653" s="618"/>
      <c r="BN653" s="618"/>
      <c r="BO653" s="618"/>
    </row>
    <row r="654" spans="4:67" ht="13">
      <c r="D654" s="618"/>
      <c r="G654" s="325" t="s">
        <v>167</v>
      </c>
      <c r="H654" s="325">
        <v>70</v>
      </c>
      <c r="I654" s="325">
        <v>112014073</v>
      </c>
      <c r="J654" s="1459" t="str">
        <f t="shared" si="168"/>
        <v>RODRIGUEZ MARCELO FABIAN</v>
      </c>
      <c r="M654" s="325" t="s">
        <v>568</v>
      </c>
      <c r="N654" s="324">
        <v>69</v>
      </c>
      <c r="O654" s="325">
        <v>112014515</v>
      </c>
      <c r="P654" s="799" t="str">
        <f t="shared" si="169"/>
        <v>VAZQUEZ MARTIN DANIEL</v>
      </c>
      <c r="S654" s="294"/>
      <c r="U654" s="618"/>
      <c r="X654" s="294"/>
      <c r="Z654" s="618"/>
      <c r="AE654" s="618"/>
      <c r="AO654" s="618"/>
      <c r="AT654" s="618"/>
      <c r="AZ654" s="618"/>
      <c r="BE654" s="618"/>
      <c r="BF654" s="618"/>
      <c r="BG654" s="553"/>
      <c r="BH654" s="294"/>
      <c r="BI654" s="618"/>
      <c r="BJ654" s="618"/>
      <c r="BK654" s="618"/>
      <c r="BL654" s="553"/>
      <c r="BM654" s="618"/>
      <c r="BN654" s="618"/>
      <c r="BO654" s="618"/>
    </row>
    <row r="655" spans="4:67" ht="13">
      <c r="D655" s="618"/>
      <c r="G655" s="325" t="s">
        <v>168</v>
      </c>
      <c r="H655" s="325">
        <v>70</v>
      </c>
      <c r="I655" s="325">
        <v>112014137</v>
      </c>
      <c r="J655" s="1459" t="str">
        <f t="shared" si="168"/>
        <v>MARCHINI RAMIRO</v>
      </c>
      <c r="M655" s="325" t="s">
        <v>605</v>
      </c>
      <c r="N655" s="324">
        <v>70</v>
      </c>
      <c r="O655" s="325">
        <v>112014407</v>
      </c>
      <c r="P655" s="799" t="str">
        <f t="shared" si="169"/>
        <v>VELAZQUEZ LUIS MARIANO</v>
      </c>
      <c r="S655" s="294"/>
      <c r="U655" s="618"/>
      <c r="X655" s="294"/>
      <c r="Z655" s="618"/>
      <c r="AE655" s="618"/>
      <c r="AO655" s="618"/>
      <c r="AT655" s="618"/>
      <c r="AZ655" s="618"/>
      <c r="BE655" s="618"/>
      <c r="BF655" s="618"/>
      <c r="BG655" s="553"/>
      <c r="BH655" s="294"/>
      <c r="BI655" s="618"/>
      <c r="BJ655" s="618"/>
      <c r="BK655" s="618"/>
      <c r="BL655" s="553"/>
      <c r="BM655" s="618"/>
      <c r="BN655" s="618"/>
      <c r="BO655" s="618"/>
    </row>
    <row r="656" spans="4:67" ht="13">
      <c r="D656" s="618"/>
      <c r="G656" s="325" t="s">
        <v>226</v>
      </c>
      <c r="H656" s="325"/>
      <c r="I656" s="325">
        <v>112013927</v>
      </c>
      <c r="J656" s="1459" t="str">
        <f t="shared" si="168"/>
        <v>AGUIRRE MARIANO JOSE</v>
      </c>
      <c r="M656" s="325" t="s">
        <v>553</v>
      </c>
      <c r="N656" s="324">
        <v>70</v>
      </c>
      <c r="O656" s="325">
        <v>112014329</v>
      </c>
      <c r="P656" s="799" t="str">
        <f t="shared" si="169"/>
        <v>VERA MAXIMILIANO DANIEL</v>
      </c>
      <c r="S656" s="294"/>
      <c r="U656" s="618"/>
      <c r="X656" s="294"/>
      <c r="Z656" s="618"/>
      <c r="AE656" s="618"/>
      <c r="AO656" s="618"/>
      <c r="AT656" s="618"/>
      <c r="AZ656" s="618"/>
      <c r="BE656" s="618"/>
      <c r="BF656" s="618"/>
      <c r="BG656" s="553"/>
      <c r="BH656" s="294"/>
      <c r="BI656" s="618"/>
      <c r="BJ656" s="618"/>
      <c r="BK656" s="618"/>
      <c r="BL656" s="553"/>
      <c r="BM656" s="618"/>
      <c r="BN656" s="618"/>
      <c r="BO656" s="618"/>
    </row>
    <row r="657" spans="4:67" ht="13">
      <c r="D657" s="618"/>
      <c r="J657" s="1428"/>
      <c r="M657" s="325" t="s">
        <v>569</v>
      </c>
      <c r="N657" s="324">
        <v>69</v>
      </c>
      <c r="O657" s="325">
        <v>112014489</v>
      </c>
      <c r="P657" s="799" t="str">
        <f t="shared" si="169"/>
        <v>VETERINARIA AMULEN</v>
      </c>
      <c r="S657" s="294"/>
      <c r="U657" s="618"/>
      <c r="X657" s="294"/>
      <c r="Z657" s="618"/>
      <c r="AE657" s="618"/>
      <c r="AO657" s="618"/>
      <c r="AT657" s="618"/>
      <c r="AZ657" s="618"/>
      <c r="BE657" s="618"/>
      <c r="BF657" s="618"/>
      <c r="BG657" s="553"/>
      <c r="BH657" s="294"/>
      <c r="BI657" s="618"/>
      <c r="BJ657" s="618"/>
      <c r="BK657" s="618"/>
      <c r="BL657" s="553"/>
      <c r="BM657" s="618"/>
      <c r="BN657" s="618"/>
      <c r="BO657" s="618"/>
    </row>
    <row r="658" spans="4:67" ht="13">
      <c r="D658" s="618"/>
      <c r="J658" s="1428"/>
      <c r="M658" s="325" t="s">
        <v>606</v>
      </c>
      <c r="N658" s="324">
        <v>70</v>
      </c>
      <c r="O658" s="325">
        <v>112014485</v>
      </c>
      <c r="P658" s="799" t="str">
        <f t="shared" si="169"/>
        <v>VETERINARIA AZARA SRL</v>
      </c>
      <c r="S658" s="294"/>
      <c r="U658" s="618"/>
      <c r="X658" s="294"/>
      <c r="Z658" s="618"/>
      <c r="AE658" s="618"/>
      <c r="AO658" s="618"/>
      <c r="AT658" s="618"/>
      <c r="AZ658" s="618"/>
      <c r="BE658" s="618"/>
      <c r="BF658" s="618"/>
      <c r="BG658" s="553"/>
      <c r="BH658" s="294"/>
      <c r="BI658" s="618"/>
      <c r="BJ658" s="618"/>
      <c r="BK658" s="618"/>
      <c r="BL658" s="553"/>
      <c r="BM658" s="618"/>
      <c r="BN658" s="618"/>
      <c r="BO658" s="618"/>
    </row>
    <row r="659" spans="4:67" ht="13">
      <c r="D659" s="618"/>
      <c r="J659" s="1428"/>
      <c r="M659" s="325" t="s">
        <v>633</v>
      </c>
      <c r="N659" s="324">
        <v>70</v>
      </c>
      <c r="O659" s="325">
        <v>112013673</v>
      </c>
      <c r="P659" s="799" t="str">
        <f t="shared" si="169"/>
        <v>VETERINARIA LOMA DEL SUR SRL</v>
      </c>
      <c r="S659" s="294"/>
      <c r="U659" s="618"/>
      <c r="X659" s="294"/>
      <c r="Z659" s="618"/>
      <c r="AE659" s="618"/>
      <c r="AO659" s="618"/>
      <c r="AT659" s="618"/>
      <c r="AZ659" s="618"/>
      <c r="BE659" s="618"/>
      <c r="BF659" s="618"/>
      <c r="BG659" s="553"/>
      <c r="BH659" s="294"/>
      <c r="BI659" s="618"/>
      <c r="BJ659" s="618"/>
      <c r="BK659" s="618"/>
      <c r="BL659" s="553"/>
      <c r="BM659" s="618"/>
      <c r="BN659" s="618"/>
      <c r="BO659" s="618"/>
    </row>
    <row r="660" spans="4:67" ht="13">
      <c r="D660" s="618"/>
      <c r="J660" s="1428"/>
      <c r="M660" s="325" t="s">
        <v>607</v>
      </c>
      <c r="N660" s="324">
        <v>70</v>
      </c>
      <c r="O660" s="325">
        <v>112014409</v>
      </c>
      <c r="P660" s="799" t="str">
        <f t="shared" si="169"/>
        <v>VIDELA JESICA NATALI</v>
      </c>
      <c r="S660" s="294"/>
      <c r="U660" s="618"/>
      <c r="X660" s="294"/>
      <c r="Z660" s="618"/>
      <c r="AE660" s="618"/>
      <c r="AO660" s="618"/>
      <c r="AT660" s="618"/>
      <c r="AZ660" s="618"/>
      <c r="BE660" s="618"/>
      <c r="BF660" s="618"/>
      <c r="BG660" s="553"/>
      <c r="BH660" s="294"/>
      <c r="BI660" s="618"/>
      <c r="BJ660" s="618"/>
      <c r="BK660" s="618"/>
      <c r="BL660" s="553"/>
      <c r="BM660" s="618"/>
      <c r="BN660" s="618"/>
      <c r="BO660" s="618"/>
    </row>
    <row r="661" spans="4:67" ht="13">
      <c r="D661" s="618"/>
      <c r="J661" s="1428"/>
      <c r="M661" s="325" t="s">
        <v>554</v>
      </c>
      <c r="N661" s="324">
        <v>70</v>
      </c>
      <c r="O661" s="325">
        <v>112014330</v>
      </c>
      <c r="P661" s="799" t="str">
        <f t="shared" si="169"/>
        <v>WALDAR SRL</v>
      </c>
      <c r="S661" s="294"/>
      <c r="U661" s="618"/>
      <c r="X661" s="294"/>
      <c r="Z661" s="618"/>
      <c r="AE661" s="618"/>
      <c r="AO661" s="618"/>
      <c r="AT661" s="618"/>
      <c r="AZ661" s="618"/>
      <c r="BE661" s="618"/>
      <c r="BF661" s="618"/>
      <c r="BG661" s="553"/>
      <c r="BH661" s="294"/>
      <c r="BI661" s="618"/>
      <c r="BJ661" s="618"/>
      <c r="BK661" s="618"/>
      <c r="BL661" s="553"/>
      <c r="BM661" s="618"/>
      <c r="BN661" s="618"/>
      <c r="BO661" s="618"/>
    </row>
    <row r="662" spans="4:67" ht="13">
      <c r="D662" s="618"/>
      <c r="J662" s="1428"/>
      <c r="M662" s="325" t="s">
        <v>619</v>
      </c>
      <c r="N662" s="324">
        <v>71</v>
      </c>
      <c r="O662" s="325">
        <v>112013254</v>
      </c>
      <c r="P662" s="799" t="str">
        <f t="shared" si="169"/>
        <v>WALLINGER CECILIA RAQUEL</v>
      </c>
      <c r="S662" s="294"/>
      <c r="U662" s="618"/>
      <c r="X662" s="294"/>
      <c r="Z662" s="618"/>
      <c r="AE662" s="618"/>
      <c r="AO662" s="618"/>
      <c r="AT662" s="618"/>
      <c r="AZ662" s="618"/>
      <c r="BE662" s="618"/>
      <c r="BF662" s="618"/>
      <c r="BG662" s="553"/>
      <c r="BH662" s="294"/>
      <c r="BI662" s="618"/>
      <c r="BJ662" s="618"/>
      <c r="BK662" s="618"/>
      <c r="BL662" s="553"/>
      <c r="BM662" s="618"/>
      <c r="BN662" s="618"/>
      <c r="BO662" s="618"/>
    </row>
    <row r="663" spans="4:67" ht="13">
      <c r="D663" s="618"/>
      <c r="J663" s="1428"/>
      <c r="M663" s="325" t="s">
        <v>608</v>
      </c>
      <c r="N663" s="324">
        <v>70</v>
      </c>
      <c r="O663" s="325">
        <v>112014424</v>
      </c>
      <c r="P663" s="799" t="str">
        <f t="shared" si="169"/>
        <v>WALTER EDUARDO PEREZ</v>
      </c>
      <c r="S663" s="294"/>
      <c r="U663" s="618"/>
      <c r="X663" s="294"/>
      <c r="Z663" s="618"/>
      <c r="AE663" s="618"/>
      <c r="AO663" s="618"/>
      <c r="AT663" s="618"/>
      <c r="AZ663" s="618"/>
      <c r="BE663" s="618"/>
      <c r="BF663" s="618"/>
      <c r="BG663" s="553"/>
      <c r="BH663" s="294"/>
      <c r="BI663" s="618"/>
      <c r="BJ663" s="618"/>
      <c r="BK663" s="618"/>
      <c r="BL663" s="553"/>
      <c r="BM663" s="618"/>
      <c r="BN663" s="618"/>
      <c r="BO663" s="618"/>
    </row>
    <row r="664" spans="4:67" ht="13">
      <c r="D664" s="618"/>
      <c r="J664" s="1428"/>
      <c r="M664" s="325" t="s">
        <v>550</v>
      </c>
      <c r="N664" s="324">
        <v>71</v>
      </c>
      <c r="O664" s="325">
        <v>112013903</v>
      </c>
      <c r="P664" s="799" t="str">
        <f t="shared" si="169"/>
        <v>ZACCAGNINO ALEJANDRO DANIEL</v>
      </c>
      <c r="S664" s="294"/>
      <c r="U664" s="618"/>
      <c r="X664" s="294"/>
      <c r="Z664" s="618"/>
      <c r="AE664" s="618"/>
      <c r="AO664" s="618"/>
      <c r="AT664" s="618"/>
      <c r="AZ664" s="618"/>
      <c r="BE664" s="618"/>
      <c r="BF664" s="618"/>
      <c r="BG664" s="553"/>
      <c r="BH664" s="294"/>
      <c r="BI664" s="618"/>
      <c r="BJ664" s="618"/>
      <c r="BK664" s="618"/>
      <c r="BL664" s="553"/>
      <c r="BM664" s="618"/>
      <c r="BN664" s="618"/>
      <c r="BO664" s="618"/>
    </row>
    <row r="665" spans="4:67" ht="13">
      <c r="D665" s="618"/>
      <c r="J665" s="1428"/>
      <c r="N665" s="294"/>
      <c r="P665" s="618"/>
      <c r="S665" s="294"/>
      <c r="U665" s="618"/>
      <c r="X665" s="294"/>
      <c r="Z665" s="618"/>
      <c r="AE665" s="618"/>
      <c r="AO665" s="618"/>
      <c r="AT665" s="618"/>
      <c r="AZ665" s="618"/>
      <c r="BE665" s="618"/>
      <c r="BF665" s="618"/>
      <c r="BG665" s="553"/>
      <c r="BH665" s="294"/>
      <c r="BI665" s="618"/>
      <c r="BJ665" s="618"/>
      <c r="BK665" s="618"/>
      <c r="BL665" s="553"/>
      <c r="BM665" s="618"/>
      <c r="BN665" s="618"/>
      <c r="BO665" s="618"/>
    </row>
    <row r="666" spans="4:67" ht="13">
      <c r="D666" s="618"/>
      <c r="J666" s="1428"/>
      <c r="N666" s="294"/>
      <c r="P666" s="618"/>
      <c r="S666" s="294"/>
      <c r="U666" s="618"/>
      <c r="X666" s="294"/>
      <c r="Z666" s="618"/>
      <c r="AE666" s="618"/>
      <c r="AO666" s="618"/>
      <c r="AT666" s="618"/>
      <c r="AZ666" s="618"/>
      <c r="BE666" s="618"/>
      <c r="BF666" s="618"/>
      <c r="BG666" s="553"/>
      <c r="BH666" s="294"/>
      <c r="BI666" s="618"/>
      <c r="BJ666" s="618"/>
      <c r="BK666" s="618"/>
      <c r="BL666" s="553"/>
      <c r="BM666" s="618"/>
      <c r="BN666" s="618"/>
      <c r="BO666" s="618"/>
    </row>
    <row r="667" spans="4:67" ht="13">
      <c r="D667" s="618"/>
      <c r="J667" s="1428"/>
      <c r="N667" s="294"/>
      <c r="P667" s="618"/>
      <c r="S667" s="294"/>
      <c r="U667" s="618"/>
      <c r="X667" s="294"/>
      <c r="Z667" s="618"/>
      <c r="AE667" s="618"/>
      <c r="AO667" s="618"/>
      <c r="AT667" s="618"/>
      <c r="AZ667" s="618"/>
      <c r="BE667" s="618"/>
      <c r="BF667" s="618"/>
      <c r="BG667" s="553"/>
      <c r="BH667" s="294"/>
      <c r="BI667" s="618"/>
      <c r="BJ667" s="618"/>
      <c r="BK667" s="618"/>
      <c r="BL667" s="553"/>
      <c r="BM667" s="618"/>
      <c r="BN667" s="618"/>
      <c r="BO667" s="618"/>
    </row>
    <row r="668" spans="4:67" ht="13">
      <c r="D668" s="618"/>
      <c r="J668" s="1428"/>
      <c r="N668" s="294"/>
      <c r="P668" s="618"/>
      <c r="S668" s="294"/>
      <c r="U668" s="618"/>
      <c r="X668" s="294"/>
      <c r="Z668" s="618"/>
      <c r="AE668" s="618"/>
      <c r="AO668" s="618"/>
      <c r="AT668" s="618"/>
      <c r="AZ668" s="618"/>
      <c r="BE668" s="618"/>
      <c r="BF668" s="618"/>
      <c r="BG668" s="553"/>
      <c r="BH668" s="294"/>
      <c r="BI668" s="618"/>
      <c r="BJ668" s="618"/>
      <c r="BK668" s="618"/>
      <c r="BL668" s="553"/>
      <c r="BM668" s="618"/>
      <c r="BN668" s="618"/>
      <c r="BO668" s="618"/>
    </row>
    <row r="669" spans="4:67" ht="13">
      <c r="D669" s="618"/>
      <c r="J669" s="1428"/>
      <c r="N669" s="294"/>
      <c r="P669" s="618"/>
      <c r="S669" s="294"/>
      <c r="U669" s="618"/>
      <c r="X669" s="294"/>
      <c r="Z669" s="618"/>
      <c r="AE669" s="618"/>
      <c r="AO669" s="618"/>
      <c r="AT669" s="618"/>
      <c r="AZ669" s="618"/>
      <c r="BE669" s="618"/>
      <c r="BF669" s="618"/>
      <c r="BG669" s="553"/>
      <c r="BH669" s="294"/>
      <c r="BI669" s="618"/>
      <c r="BJ669" s="618"/>
      <c r="BK669" s="618"/>
      <c r="BL669" s="553"/>
      <c r="BM669" s="618"/>
      <c r="BN669" s="618"/>
      <c r="BO669" s="618"/>
    </row>
    <row r="670" spans="4:67" ht="13">
      <c r="D670" s="618"/>
      <c r="J670" s="1428"/>
      <c r="N670" s="294"/>
      <c r="P670" s="618"/>
      <c r="S670" s="294"/>
      <c r="U670" s="618"/>
      <c r="X670" s="294"/>
      <c r="Z670" s="618"/>
      <c r="AE670" s="618"/>
      <c r="AO670" s="618"/>
      <c r="AT670" s="618"/>
      <c r="AZ670" s="618"/>
      <c r="BE670" s="618"/>
      <c r="BF670" s="618"/>
      <c r="BG670" s="553"/>
      <c r="BH670" s="294"/>
      <c r="BI670" s="618"/>
      <c r="BJ670" s="618"/>
      <c r="BK670" s="618"/>
      <c r="BL670" s="553"/>
      <c r="BM670" s="618"/>
      <c r="BN670" s="618"/>
      <c r="BO670" s="618"/>
    </row>
    <row r="671" spans="4:67" ht="13">
      <c r="D671" s="618"/>
      <c r="J671" s="1428"/>
      <c r="N671" s="294"/>
      <c r="P671" s="618"/>
      <c r="S671" s="294"/>
      <c r="U671" s="618"/>
      <c r="X671" s="294"/>
      <c r="Z671" s="618"/>
      <c r="AE671" s="618"/>
      <c r="AO671" s="618"/>
      <c r="AT671" s="618"/>
      <c r="AZ671" s="618"/>
      <c r="BE671" s="618"/>
      <c r="BF671" s="618"/>
      <c r="BG671" s="553"/>
      <c r="BH671" s="294"/>
      <c r="BI671" s="618"/>
      <c r="BJ671" s="618"/>
      <c r="BK671" s="618"/>
      <c r="BL671" s="553"/>
      <c r="BM671" s="618"/>
      <c r="BN671" s="618"/>
      <c r="BO671" s="618"/>
    </row>
    <row r="672" spans="4:67" ht="13">
      <c r="D672" s="618"/>
      <c r="J672" s="1428"/>
      <c r="N672" s="294"/>
      <c r="P672" s="618"/>
      <c r="S672" s="294"/>
      <c r="U672" s="618"/>
      <c r="X672" s="294"/>
      <c r="Z672" s="618"/>
      <c r="AE672" s="618"/>
      <c r="AO672" s="618"/>
      <c r="AT672" s="618"/>
      <c r="AZ672" s="618"/>
      <c r="BE672" s="618"/>
      <c r="BF672" s="618"/>
      <c r="BG672" s="553"/>
      <c r="BH672" s="294"/>
      <c r="BI672" s="618"/>
      <c r="BJ672" s="618"/>
      <c r="BK672" s="618"/>
      <c r="BL672" s="553"/>
      <c r="BM672" s="618"/>
      <c r="BN672" s="618"/>
      <c r="BO672" s="618"/>
    </row>
    <row r="673" spans="4:67" ht="13">
      <c r="D673" s="618"/>
      <c r="J673" s="1428"/>
      <c r="N673" s="294"/>
      <c r="P673" s="618"/>
      <c r="S673" s="294"/>
      <c r="U673" s="618"/>
      <c r="X673" s="294"/>
      <c r="Z673" s="618"/>
      <c r="AE673" s="618"/>
      <c r="AO673" s="618"/>
      <c r="AT673" s="618"/>
      <c r="AZ673" s="618"/>
      <c r="BE673" s="618"/>
      <c r="BF673" s="618"/>
      <c r="BG673" s="553"/>
      <c r="BH673" s="294"/>
      <c r="BI673" s="618"/>
      <c r="BJ673" s="618"/>
      <c r="BK673" s="618"/>
      <c r="BL673" s="553"/>
      <c r="BM673" s="618"/>
      <c r="BN673" s="618"/>
      <c r="BO673" s="618"/>
    </row>
    <row r="674" spans="4:67" ht="13">
      <c r="D674" s="618"/>
      <c r="J674" s="1428"/>
      <c r="N674" s="294"/>
      <c r="P674" s="618"/>
      <c r="S674" s="294"/>
      <c r="U674" s="618"/>
      <c r="X674" s="294"/>
      <c r="Z674" s="618"/>
      <c r="AE674" s="618"/>
      <c r="AO674" s="618"/>
      <c r="AT674" s="618"/>
      <c r="AZ674" s="618"/>
      <c r="BE674" s="618"/>
      <c r="BF674" s="618"/>
      <c r="BG674" s="553"/>
      <c r="BH674" s="294"/>
      <c r="BI674" s="618"/>
      <c r="BJ674" s="618"/>
      <c r="BK674" s="618"/>
      <c r="BL674" s="553"/>
      <c r="BM674" s="618"/>
      <c r="BN674" s="618"/>
      <c r="BO674" s="618"/>
    </row>
    <row r="675" spans="4:67" ht="13">
      <c r="D675" s="618"/>
      <c r="J675" s="1428"/>
      <c r="N675" s="294"/>
      <c r="P675" s="618"/>
      <c r="S675" s="294"/>
      <c r="U675" s="618"/>
      <c r="X675" s="294"/>
      <c r="Z675" s="618"/>
      <c r="AE675" s="618"/>
      <c r="AO675" s="618"/>
      <c r="AT675" s="618"/>
      <c r="AZ675" s="618"/>
      <c r="BE675" s="618"/>
      <c r="BF675" s="618"/>
      <c r="BG675" s="553"/>
      <c r="BH675" s="294"/>
      <c r="BI675" s="618"/>
      <c r="BJ675" s="618"/>
      <c r="BK675" s="618"/>
      <c r="BL675" s="553"/>
      <c r="BM675" s="618"/>
      <c r="BN675" s="618"/>
      <c r="BO675" s="618"/>
    </row>
    <row r="676" spans="4:67" ht="13">
      <c r="D676" s="618"/>
      <c r="J676" s="1428"/>
      <c r="N676" s="294"/>
      <c r="P676" s="618"/>
      <c r="S676" s="294"/>
      <c r="U676" s="618"/>
      <c r="X676" s="294"/>
      <c r="Z676" s="618"/>
      <c r="AE676" s="618"/>
      <c r="AO676" s="618"/>
      <c r="AT676" s="618"/>
      <c r="AZ676" s="618"/>
      <c r="BE676" s="618"/>
      <c r="BF676" s="618"/>
      <c r="BG676" s="553"/>
      <c r="BH676" s="294"/>
      <c r="BI676" s="618"/>
      <c r="BJ676" s="618"/>
      <c r="BK676" s="618"/>
      <c r="BL676" s="553"/>
      <c r="BM676" s="618"/>
      <c r="BN676" s="618"/>
      <c r="BO676" s="618"/>
    </row>
    <row r="677" spans="4:67" ht="13">
      <c r="D677" s="618"/>
      <c r="J677" s="1428"/>
      <c r="N677" s="294"/>
      <c r="P677" s="618"/>
      <c r="S677" s="294"/>
      <c r="U677" s="618"/>
      <c r="X677" s="294"/>
      <c r="Z677" s="618"/>
      <c r="AE677" s="618"/>
      <c r="AO677" s="618"/>
      <c r="AT677" s="618"/>
      <c r="AZ677" s="618"/>
      <c r="BE677" s="618"/>
      <c r="BF677" s="618"/>
      <c r="BG677" s="553"/>
      <c r="BH677" s="294"/>
      <c r="BI677" s="618"/>
      <c r="BJ677" s="618"/>
      <c r="BK677" s="618"/>
      <c r="BL677" s="553"/>
      <c r="BM677" s="618"/>
      <c r="BN677" s="618"/>
      <c r="BO677" s="618"/>
    </row>
    <row r="678" spans="4:67" ht="13">
      <c r="D678" s="618"/>
      <c r="J678" s="1428"/>
      <c r="N678" s="294"/>
      <c r="P678" s="618"/>
      <c r="S678" s="294"/>
      <c r="U678" s="618"/>
      <c r="X678" s="294"/>
      <c r="Z678" s="618"/>
      <c r="AE678" s="618"/>
      <c r="AO678" s="618"/>
      <c r="AT678" s="618"/>
      <c r="AZ678" s="618"/>
      <c r="BE678" s="618"/>
      <c r="BF678" s="618"/>
      <c r="BG678" s="553"/>
      <c r="BH678" s="294"/>
      <c r="BI678" s="618"/>
      <c r="BJ678" s="618"/>
      <c r="BK678" s="618"/>
      <c r="BL678" s="553"/>
      <c r="BM678" s="618"/>
      <c r="BN678" s="618"/>
      <c r="BO678" s="618"/>
    </row>
    <row r="679" spans="4:67" ht="13">
      <c r="D679" s="618"/>
      <c r="J679" s="1428"/>
      <c r="N679" s="294"/>
      <c r="P679" s="618"/>
      <c r="S679" s="294"/>
      <c r="U679" s="618"/>
      <c r="X679" s="294"/>
      <c r="Z679" s="618"/>
      <c r="AE679" s="618"/>
      <c r="AO679" s="618"/>
      <c r="AT679" s="618"/>
      <c r="AZ679" s="618"/>
      <c r="BE679" s="618"/>
      <c r="BF679" s="618"/>
      <c r="BG679" s="553"/>
      <c r="BH679" s="294"/>
      <c r="BI679" s="618"/>
      <c r="BJ679" s="618"/>
      <c r="BK679" s="618"/>
      <c r="BL679" s="553"/>
      <c r="BM679" s="618"/>
      <c r="BN679" s="618"/>
      <c r="BO679" s="618"/>
    </row>
    <row r="680" spans="4:67" ht="13">
      <c r="D680" s="618"/>
      <c r="J680" s="1428"/>
      <c r="N680" s="294"/>
      <c r="P680" s="618"/>
      <c r="S680" s="294"/>
      <c r="U680" s="618"/>
      <c r="X680" s="294"/>
      <c r="Z680" s="618"/>
      <c r="AE680" s="618"/>
      <c r="AO680" s="618"/>
      <c r="AT680" s="618"/>
      <c r="AZ680" s="618"/>
      <c r="BE680" s="618"/>
      <c r="BF680" s="618"/>
      <c r="BG680" s="553"/>
      <c r="BH680" s="294"/>
      <c r="BI680" s="618"/>
      <c r="BJ680" s="618"/>
      <c r="BK680" s="618"/>
      <c r="BL680" s="553"/>
      <c r="BM680" s="618"/>
      <c r="BN680" s="618"/>
      <c r="BO680" s="618"/>
    </row>
    <row r="681" spans="4:67" ht="13">
      <c r="D681" s="618"/>
      <c r="J681" s="1428"/>
      <c r="N681" s="294"/>
      <c r="P681" s="618"/>
      <c r="S681" s="294"/>
      <c r="U681" s="618"/>
      <c r="X681" s="294"/>
      <c r="Z681" s="618"/>
      <c r="AE681" s="618"/>
      <c r="AO681" s="618"/>
      <c r="AT681" s="618"/>
      <c r="AZ681" s="618"/>
      <c r="BE681" s="618"/>
      <c r="BF681" s="618"/>
      <c r="BG681" s="553"/>
      <c r="BH681" s="294"/>
      <c r="BI681" s="618"/>
      <c r="BJ681" s="618"/>
      <c r="BK681" s="618"/>
      <c r="BL681" s="553"/>
      <c r="BM681" s="618"/>
      <c r="BN681" s="618"/>
      <c r="BO681" s="618"/>
    </row>
    <row r="682" spans="4:67" ht="13">
      <c r="D682" s="618"/>
      <c r="J682" s="1428"/>
      <c r="N682" s="294"/>
      <c r="P682" s="618"/>
      <c r="S682" s="294"/>
      <c r="U682" s="618"/>
      <c r="X682" s="294"/>
      <c r="Z682" s="618"/>
      <c r="AE682" s="618"/>
      <c r="AO682" s="618"/>
      <c r="AT682" s="618"/>
      <c r="AZ682" s="618"/>
      <c r="BE682" s="618"/>
      <c r="BF682" s="618"/>
      <c r="BG682" s="553"/>
      <c r="BH682" s="294"/>
      <c r="BI682" s="618"/>
      <c r="BJ682" s="618"/>
      <c r="BK682" s="618"/>
      <c r="BL682" s="553"/>
      <c r="BM682" s="618"/>
      <c r="BN682" s="618"/>
      <c r="BO682" s="618"/>
    </row>
    <row r="683" spans="4:67" ht="13">
      <c r="D683" s="618"/>
      <c r="J683" s="1428"/>
      <c r="N683" s="294"/>
      <c r="P683" s="618"/>
      <c r="S683" s="294"/>
      <c r="U683" s="618"/>
      <c r="X683" s="294"/>
      <c r="Z683" s="618"/>
      <c r="AE683" s="618"/>
      <c r="AO683" s="618"/>
      <c r="AT683" s="618"/>
      <c r="AZ683" s="618"/>
      <c r="BE683" s="618"/>
      <c r="BF683" s="618"/>
      <c r="BG683" s="553"/>
      <c r="BH683" s="294"/>
      <c r="BI683" s="618"/>
      <c r="BJ683" s="618"/>
      <c r="BK683" s="618"/>
      <c r="BL683" s="553"/>
      <c r="BM683" s="618"/>
      <c r="BN683" s="618"/>
      <c r="BO683" s="618"/>
    </row>
    <row r="684" spans="4:67" ht="13">
      <c r="D684" s="618"/>
      <c r="J684" s="1428"/>
      <c r="N684" s="294"/>
      <c r="P684" s="618"/>
      <c r="S684" s="294"/>
      <c r="U684" s="618"/>
      <c r="X684" s="294"/>
      <c r="Z684" s="618"/>
      <c r="AE684" s="618"/>
      <c r="AO684" s="618"/>
      <c r="AT684" s="618"/>
      <c r="AZ684" s="618"/>
      <c r="BE684" s="618"/>
      <c r="BF684" s="618"/>
      <c r="BG684" s="553"/>
      <c r="BH684" s="294"/>
      <c r="BI684" s="618"/>
      <c r="BJ684" s="618"/>
      <c r="BK684" s="618"/>
      <c r="BL684" s="553"/>
      <c r="BM684" s="618"/>
      <c r="BN684" s="618"/>
      <c r="BO684" s="618"/>
    </row>
    <row r="685" spans="4:67" ht="13">
      <c r="D685" s="618"/>
      <c r="J685" s="1428"/>
      <c r="N685" s="294"/>
      <c r="P685" s="618"/>
      <c r="S685" s="294"/>
      <c r="U685" s="618"/>
      <c r="X685" s="294"/>
      <c r="Z685" s="618"/>
      <c r="AE685" s="618"/>
      <c r="AO685" s="618"/>
      <c r="AT685" s="618"/>
      <c r="AZ685" s="618"/>
      <c r="BE685" s="618"/>
      <c r="BF685" s="618"/>
      <c r="BG685" s="553"/>
      <c r="BH685" s="294"/>
      <c r="BI685" s="618"/>
      <c r="BJ685" s="618"/>
      <c r="BK685" s="618"/>
      <c r="BL685" s="553"/>
      <c r="BM685" s="618"/>
      <c r="BN685" s="618"/>
      <c r="BO685" s="618"/>
    </row>
    <row r="686" spans="4:67" ht="13">
      <c r="D686" s="618"/>
      <c r="J686" s="1428"/>
      <c r="N686" s="294"/>
      <c r="P686" s="618"/>
      <c r="S686" s="294"/>
      <c r="U686" s="618"/>
      <c r="X686" s="294"/>
      <c r="Z686" s="618"/>
      <c r="AE686" s="618"/>
      <c r="AO686" s="618"/>
      <c r="AT686" s="618"/>
      <c r="AZ686" s="618"/>
      <c r="BE686" s="618"/>
      <c r="BF686" s="618"/>
      <c r="BG686" s="553"/>
      <c r="BH686" s="294"/>
      <c r="BI686" s="618"/>
      <c r="BJ686" s="618"/>
      <c r="BK686" s="618"/>
      <c r="BL686" s="553"/>
      <c r="BM686" s="618"/>
      <c r="BN686" s="618"/>
      <c r="BO686" s="618"/>
    </row>
    <row r="687" spans="4:67" ht="13">
      <c r="D687" s="618"/>
      <c r="J687" s="1428"/>
      <c r="N687" s="294"/>
      <c r="P687" s="618"/>
      <c r="S687" s="294"/>
      <c r="U687" s="618"/>
      <c r="X687" s="294"/>
      <c r="Z687" s="618"/>
      <c r="AE687" s="618"/>
      <c r="AO687" s="618"/>
      <c r="AT687" s="618"/>
      <c r="AZ687" s="618"/>
      <c r="BE687" s="618"/>
      <c r="BF687" s="618"/>
      <c r="BG687" s="553"/>
      <c r="BH687" s="294"/>
      <c r="BI687" s="618"/>
      <c r="BJ687" s="618"/>
      <c r="BK687" s="618"/>
      <c r="BL687" s="553"/>
      <c r="BM687" s="618"/>
      <c r="BN687" s="618"/>
      <c r="BO687" s="618"/>
    </row>
    <row r="688" spans="4:67" ht="13">
      <c r="D688" s="618"/>
      <c r="J688" s="1428"/>
      <c r="N688" s="294"/>
      <c r="P688" s="618"/>
      <c r="S688" s="294"/>
      <c r="U688" s="618"/>
      <c r="X688" s="294"/>
      <c r="Z688" s="618"/>
      <c r="AE688" s="618"/>
      <c r="AO688" s="618"/>
      <c r="AT688" s="618"/>
      <c r="AZ688" s="618"/>
      <c r="BE688" s="618"/>
      <c r="BF688" s="618"/>
      <c r="BG688" s="553"/>
      <c r="BH688" s="294"/>
      <c r="BI688" s="618"/>
      <c r="BJ688" s="618"/>
      <c r="BK688" s="618"/>
      <c r="BL688" s="553"/>
      <c r="BM688" s="618"/>
      <c r="BN688" s="618"/>
      <c r="BO688" s="618"/>
    </row>
    <row r="689" spans="4:67" ht="13">
      <c r="D689" s="618"/>
      <c r="J689" s="1428"/>
      <c r="N689" s="294"/>
      <c r="P689" s="618"/>
      <c r="S689" s="294"/>
      <c r="U689" s="618"/>
      <c r="X689" s="294"/>
      <c r="Z689" s="618"/>
      <c r="AE689" s="618"/>
      <c r="AO689" s="618"/>
      <c r="AT689" s="618"/>
      <c r="AZ689" s="618"/>
      <c r="BE689" s="618"/>
      <c r="BF689" s="618"/>
      <c r="BG689" s="553"/>
      <c r="BH689" s="294"/>
      <c r="BI689" s="618"/>
      <c r="BJ689" s="618"/>
      <c r="BK689" s="618"/>
      <c r="BL689" s="553"/>
      <c r="BM689" s="618"/>
      <c r="BN689" s="618"/>
      <c r="BO689" s="618"/>
    </row>
    <row r="690" spans="4:67" ht="13">
      <c r="D690" s="618"/>
      <c r="J690" s="1428"/>
      <c r="N690" s="294"/>
      <c r="P690" s="618"/>
      <c r="S690" s="294"/>
      <c r="U690" s="618"/>
      <c r="X690" s="294"/>
      <c r="Z690" s="618"/>
      <c r="AE690" s="618"/>
      <c r="AO690" s="618"/>
      <c r="AT690" s="618"/>
      <c r="AZ690" s="618"/>
      <c r="BE690" s="618"/>
      <c r="BF690" s="618"/>
      <c r="BG690" s="553"/>
      <c r="BH690" s="294"/>
      <c r="BI690" s="618"/>
      <c r="BJ690" s="618"/>
      <c r="BK690" s="618"/>
      <c r="BL690" s="553"/>
      <c r="BM690" s="618"/>
      <c r="BN690" s="618"/>
      <c r="BO690" s="618"/>
    </row>
    <row r="691" spans="4:67" ht="13">
      <c r="D691" s="618"/>
      <c r="J691" s="1428"/>
      <c r="N691" s="294"/>
      <c r="P691" s="618"/>
      <c r="S691" s="294"/>
      <c r="U691" s="618"/>
      <c r="X691" s="294"/>
      <c r="Z691" s="618"/>
      <c r="AE691" s="618"/>
      <c r="AO691" s="618"/>
      <c r="AT691" s="618"/>
      <c r="AZ691" s="618"/>
      <c r="BE691" s="618"/>
      <c r="BF691" s="618"/>
      <c r="BG691" s="553"/>
      <c r="BH691" s="294"/>
      <c r="BI691" s="618"/>
      <c r="BJ691" s="618"/>
      <c r="BK691" s="618"/>
      <c r="BL691" s="553"/>
      <c r="BM691" s="618"/>
      <c r="BN691" s="618"/>
      <c r="BO691" s="618"/>
    </row>
    <row r="692" spans="4:67" ht="13">
      <c r="D692" s="618"/>
      <c r="J692" s="1428"/>
      <c r="N692" s="294"/>
      <c r="P692" s="618"/>
      <c r="S692" s="294"/>
      <c r="U692" s="618"/>
      <c r="X692" s="294"/>
      <c r="Z692" s="618"/>
      <c r="AE692" s="618"/>
      <c r="AO692" s="618"/>
      <c r="AT692" s="618"/>
      <c r="AZ692" s="618"/>
      <c r="BE692" s="618"/>
      <c r="BF692" s="618"/>
      <c r="BG692" s="553"/>
      <c r="BH692" s="294"/>
      <c r="BI692" s="618"/>
      <c r="BJ692" s="618"/>
      <c r="BK692" s="618"/>
      <c r="BL692" s="553"/>
      <c r="BM692" s="618"/>
      <c r="BN692" s="618"/>
      <c r="BO692" s="618"/>
    </row>
    <row r="693" spans="4:67" ht="13">
      <c r="D693" s="618"/>
      <c r="J693" s="1428"/>
      <c r="N693" s="294"/>
      <c r="P693" s="618"/>
      <c r="S693" s="294"/>
      <c r="U693" s="618"/>
      <c r="X693" s="294"/>
      <c r="Z693" s="618"/>
      <c r="AE693" s="618"/>
      <c r="AO693" s="618"/>
      <c r="AT693" s="618"/>
      <c r="AZ693" s="618"/>
      <c r="BE693" s="618"/>
      <c r="BF693" s="618"/>
      <c r="BG693" s="553"/>
      <c r="BH693" s="294"/>
      <c r="BI693" s="618"/>
      <c r="BJ693" s="618"/>
      <c r="BK693" s="618"/>
      <c r="BL693" s="553"/>
      <c r="BM693" s="618"/>
      <c r="BN693" s="618"/>
      <c r="BO693" s="618"/>
    </row>
    <row r="694" spans="4:67" ht="13">
      <c r="D694" s="618"/>
      <c r="J694" s="1428"/>
      <c r="N694" s="294"/>
      <c r="P694" s="618"/>
      <c r="S694" s="294"/>
      <c r="U694" s="618"/>
      <c r="X694" s="294"/>
      <c r="Z694" s="618"/>
      <c r="AE694" s="618"/>
      <c r="AO694" s="618"/>
      <c r="AT694" s="618"/>
      <c r="AZ694" s="618"/>
      <c r="BE694" s="618"/>
      <c r="BF694" s="618"/>
      <c r="BG694" s="553"/>
      <c r="BH694" s="294"/>
      <c r="BI694" s="618"/>
      <c r="BJ694" s="618"/>
      <c r="BK694" s="618"/>
      <c r="BL694" s="553"/>
      <c r="BM694" s="618"/>
      <c r="BN694" s="618"/>
      <c r="BO694" s="618"/>
    </row>
    <row r="695" spans="4:67" ht="13">
      <c r="D695" s="618"/>
      <c r="J695" s="1428"/>
      <c r="N695" s="294"/>
      <c r="P695" s="618"/>
      <c r="S695" s="294"/>
      <c r="U695" s="618"/>
      <c r="X695" s="294"/>
      <c r="Z695" s="618"/>
      <c r="AE695" s="618"/>
      <c r="AO695" s="618"/>
      <c r="AT695" s="618"/>
      <c r="AZ695" s="618"/>
      <c r="BE695" s="618"/>
      <c r="BF695" s="618"/>
      <c r="BG695" s="553"/>
      <c r="BH695" s="294"/>
      <c r="BI695" s="618"/>
      <c r="BJ695" s="618"/>
      <c r="BK695" s="618"/>
      <c r="BL695" s="553"/>
      <c r="BM695" s="618"/>
      <c r="BN695" s="618"/>
      <c r="BO695" s="618"/>
    </row>
    <row r="696" spans="4:67" ht="13">
      <c r="D696" s="618"/>
      <c r="J696" s="1428"/>
      <c r="N696" s="294"/>
      <c r="P696" s="618"/>
      <c r="S696" s="294"/>
      <c r="U696" s="618"/>
      <c r="X696" s="294"/>
      <c r="Z696" s="618"/>
      <c r="AE696" s="618"/>
      <c r="AO696" s="618"/>
      <c r="AT696" s="618"/>
      <c r="AZ696" s="618"/>
      <c r="BE696" s="618"/>
      <c r="BF696" s="618"/>
      <c r="BG696" s="553"/>
      <c r="BH696" s="294"/>
      <c r="BI696" s="618"/>
      <c r="BJ696" s="618"/>
      <c r="BK696" s="618"/>
      <c r="BL696" s="553"/>
      <c r="BM696" s="618"/>
      <c r="BN696" s="618"/>
      <c r="BO696" s="618"/>
    </row>
    <row r="697" spans="4:67" ht="13">
      <c r="D697" s="618"/>
      <c r="J697" s="1428"/>
      <c r="N697" s="294"/>
      <c r="P697" s="618"/>
      <c r="S697" s="294"/>
      <c r="U697" s="618"/>
      <c r="X697" s="294"/>
      <c r="Z697" s="618"/>
      <c r="AE697" s="618"/>
      <c r="AO697" s="618"/>
      <c r="AT697" s="618"/>
      <c r="AZ697" s="618"/>
      <c r="BE697" s="618"/>
      <c r="BF697" s="618"/>
      <c r="BG697" s="553"/>
      <c r="BH697" s="294"/>
      <c r="BI697" s="618"/>
      <c r="BJ697" s="618"/>
      <c r="BK697" s="618"/>
      <c r="BL697" s="553"/>
      <c r="BM697" s="618"/>
      <c r="BN697" s="618"/>
      <c r="BO697" s="618"/>
    </row>
    <row r="698" spans="4:67" ht="13">
      <c r="D698" s="618"/>
      <c r="J698" s="1428"/>
      <c r="N698" s="294"/>
      <c r="P698" s="618"/>
      <c r="S698" s="294"/>
      <c r="U698" s="618"/>
      <c r="X698" s="294"/>
      <c r="Z698" s="618"/>
      <c r="AE698" s="618"/>
      <c r="AO698" s="618"/>
      <c r="AT698" s="618"/>
      <c r="AZ698" s="618"/>
      <c r="BE698" s="618"/>
      <c r="BF698" s="618"/>
      <c r="BG698" s="553"/>
      <c r="BH698" s="294"/>
      <c r="BI698" s="618"/>
      <c r="BJ698" s="618"/>
      <c r="BK698" s="618"/>
      <c r="BL698" s="553"/>
      <c r="BM698" s="618"/>
      <c r="BN698" s="618"/>
      <c r="BO698" s="618"/>
    </row>
    <row r="699" spans="4:67" ht="13">
      <c r="D699" s="618"/>
      <c r="J699" s="1428"/>
      <c r="N699" s="294"/>
      <c r="P699" s="618"/>
      <c r="S699" s="294"/>
      <c r="U699" s="618"/>
      <c r="X699" s="294"/>
      <c r="Z699" s="618"/>
      <c r="AE699" s="618"/>
      <c r="AO699" s="618"/>
      <c r="AT699" s="618"/>
      <c r="AZ699" s="618"/>
      <c r="BE699" s="618"/>
      <c r="BF699" s="618"/>
      <c r="BG699" s="553"/>
      <c r="BH699" s="294"/>
      <c r="BI699" s="618"/>
      <c r="BJ699" s="618"/>
      <c r="BK699" s="618"/>
      <c r="BL699" s="553"/>
      <c r="BM699" s="618"/>
      <c r="BN699" s="618"/>
      <c r="BO699" s="618"/>
    </row>
    <row r="700" spans="4:67" ht="13">
      <c r="D700" s="618"/>
      <c r="J700" s="1428"/>
      <c r="N700" s="294"/>
      <c r="P700" s="618"/>
      <c r="S700" s="294"/>
      <c r="U700" s="618"/>
      <c r="X700" s="294"/>
      <c r="Z700" s="618"/>
      <c r="AE700" s="618"/>
      <c r="AO700" s="618"/>
      <c r="AT700" s="618"/>
      <c r="AZ700" s="618"/>
      <c r="BE700" s="618"/>
      <c r="BF700" s="618"/>
      <c r="BG700" s="553"/>
      <c r="BH700" s="294"/>
      <c r="BI700" s="618"/>
      <c r="BJ700" s="618"/>
      <c r="BK700" s="618"/>
      <c r="BL700" s="553"/>
      <c r="BM700" s="618"/>
      <c r="BN700" s="618"/>
      <c r="BO700" s="618"/>
    </row>
    <row r="701" spans="4:67" ht="13">
      <c r="D701" s="618"/>
      <c r="J701" s="1428"/>
      <c r="N701" s="294"/>
      <c r="P701" s="618"/>
      <c r="S701" s="294"/>
      <c r="U701" s="618"/>
      <c r="X701" s="294"/>
      <c r="Z701" s="618"/>
      <c r="AE701" s="618"/>
      <c r="AO701" s="618"/>
      <c r="AT701" s="618"/>
      <c r="AZ701" s="618"/>
      <c r="BE701" s="618"/>
      <c r="BF701" s="618"/>
      <c r="BG701" s="553"/>
      <c r="BH701" s="294"/>
      <c r="BI701" s="618"/>
      <c r="BJ701" s="618"/>
      <c r="BK701" s="618"/>
      <c r="BL701" s="553"/>
      <c r="BM701" s="618"/>
      <c r="BN701" s="618"/>
      <c r="BO701" s="618"/>
    </row>
    <row r="702" spans="4:67" ht="13">
      <c r="D702" s="618"/>
      <c r="J702" s="1428"/>
      <c r="N702" s="294"/>
      <c r="P702" s="618"/>
      <c r="S702" s="294"/>
      <c r="U702" s="618"/>
      <c r="X702" s="294"/>
      <c r="Z702" s="618"/>
      <c r="AE702" s="618"/>
      <c r="AO702" s="618"/>
      <c r="AT702" s="618"/>
      <c r="AZ702" s="618"/>
      <c r="BE702" s="618"/>
      <c r="BF702" s="618"/>
      <c r="BG702" s="553"/>
      <c r="BH702" s="294"/>
      <c r="BI702" s="618"/>
      <c r="BJ702" s="618"/>
      <c r="BK702" s="618"/>
      <c r="BL702" s="553"/>
      <c r="BM702" s="618"/>
      <c r="BN702" s="618"/>
      <c r="BO702" s="618"/>
    </row>
    <row r="703" spans="4:67" ht="13">
      <c r="D703" s="618"/>
      <c r="J703" s="1428"/>
      <c r="N703" s="294"/>
      <c r="P703" s="618"/>
      <c r="S703" s="294"/>
      <c r="U703" s="618"/>
      <c r="X703" s="294"/>
      <c r="Z703" s="618"/>
      <c r="AE703" s="618"/>
      <c r="AO703" s="618"/>
      <c r="AT703" s="618"/>
      <c r="AZ703" s="618"/>
      <c r="BE703" s="618"/>
      <c r="BF703" s="618"/>
      <c r="BG703" s="553"/>
      <c r="BH703" s="294"/>
      <c r="BI703" s="618"/>
      <c r="BJ703" s="618"/>
      <c r="BK703" s="618"/>
      <c r="BL703" s="553"/>
      <c r="BM703" s="618"/>
      <c r="BN703" s="618"/>
      <c r="BO703" s="618"/>
    </row>
    <row r="704" spans="4:67" ht="13">
      <c r="D704" s="618"/>
      <c r="J704" s="1428"/>
      <c r="N704" s="294"/>
      <c r="P704" s="618"/>
      <c r="S704" s="294"/>
      <c r="U704" s="618"/>
      <c r="X704" s="294"/>
      <c r="Z704" s="618"/>
      <c r="AE704" s="618"/>
      <c r="AO704" s="618"/>
      <c r="AT704" s="618"/>
      <c r="AZ704" s="618"/>
      <c r="BE704" s="618"/>
      <c r="BF704" s="618"/>
      <c r="BG704" s="553"/>
      <c r="BH704" s="294"/>
      <c r="BI704" s="618"/>
      <c r="BJ704" s="618"/>
      <c r="BK704" s="618"/>
      <c r="BL704" s="553"/>
      <c r="BM704" s="618"/>
      <c r="BN704" s="618"/>
      <c r="BO704" s="618"/>
    </row>
    <row r="705" spans="4:67" ht="13">
      <c r="D705" s="618"/>
      <c r="J705" s="1428"/>
      <c r="N705" s="294"/>
      <c r="P705" s="618"/>
      <c r="S705" s="294"/>
      <c r="U705" s="618"/>
      <c r="X705" s="294"/>
      <c r="Z705" s="618"/>
      <c r="AE705" s="618"/>
      <c r="AO705" s="618"/>
      <c r="AT705" s="618"/>
      <c r="AZ705" s="618"/>
      <c r="BE705" s="618"/>
      <c r="BF705" s="618"/>
      <c r="BG705" s="553"/>
      <c r="BH705" s="294"/>
      <c r="BI705" s="618"/>
      <c r="BJ705" s="618"/>
      <c r="BK705" s="618"/>
      <c r="BL705" s="553"/>
      <c r="BM705" s="618"/>
      <c r="BN705" s="618"/>
      <c r="BO705" s="618"/>
    </row>
    <row r="706" spans="4:67" ht="13">
      <c r="D706" s="618"/>
      <c r="J706" s="1428"/>
      <c r="N706" s="294"/>
      <c r="P706" s="618"/>
      <c r="S706" s="294"/>
      <c r="U706" s="618"/>
      <c r="X706" s="294"/>
      <c r="Z706" s="618"/>
      <c r="AE706" s="618"/>
      <c r="AO706" s="618"/>
      <c r="AT706" s="618"/>
      <c r="AZ706" s="618"/>
      <c r="BE706" s="618"/>
      <c r="BF706" s="618"/>
      <c r="BG706" s="553"/>
      <c r="BH706" s="294"/>
      <c r="BI706" s="618"/>
      <c r="BJ706" s="618"/>
      <c r="BK706" s="618"/>
      <c r="BL706" s="553"/>
      <c r="BM706" s="618"/>
      <c r="BN706" s="618"/>
      <c r="BO706" s="618"/>
    </row>
    <row r="707" spans="4:67" ht="13">
      <c r="D707" s="618"/>
      <c r="J707" s="1428"/>
      <c r="N707" s="294"/>
      <c r="P707" s="618"/>
      <c r="S707" s="294"/>
      <c r="U707" s="618"/>
      <c r="X707" s="294"/>
      <c r="Z707" s="618"/>
      <c r="AE707" s="618"/>
      <c r="AO707" s="618"/>
      <c r="AT707" s="618"/>
      <c r="AZ707" s="618"/>
      <c r="BE707" s="618"/>
      <c r="BF707" s="618"/>
      <c r="BG707" s="553"/>
      <c r="BH707" s="294"/>
      <c r="BI707" s="618"/>
      <c r="BJ707" s="618"/>
      <c r="BK707" s="618"/>
      <c r="BL707" s="553"/>
      <c r="BM707" s="618"/>
      <c r="BN707" s="618"/>
      <c r="BO707" s="618"/>
    </row>
    <row r="708" spans="4:67" ht="13">
      <c r="D708" s="618"/>
      <c r="J708" s="1428"/>
      <c r="N708" s="294"/>
      <c r="P708" s="618"/>
      <c r="S708" s="294"/>
      <c r="U708" s="618"/>
      <c r="X708" s="294"/>
      <c r="Z708" s="618"/>
      <c r="AE708" s="618"/>
      <c r="AO708" s="618"/>
      <c r="AT708" s="618"/>
      <c r="AZ708" s="618"/>
      <c r="BE708" s="618"/>
      <c r="BF708" s="618"/>
      <c r="BG708" s="553"/>
      <c r="BH708" s="294"/>
      <c r="BI708" s="618"/>
      <c r="BJ708" s="618"/>
      <c r="BK708" s="618"/>
      <c r="BL708" s="553"/>
      <c r="BM708" s="618"/>
      <c r="BN708" s="618"/>
      <c r="BO708" s="618"/>
    </row>
    <row r="709" spans="4:67" ht="13">
      <c r="D709" s="618"/>
      <c r="J709" s="1428"/>
      <c r="N709" s="294"/>
      <c r="P709" s="618"/>
      <c r="S709" s="294"/>
      <c r="U709" s="618"/>
      <c r="X709" s="294"/>
      <c r="Z709" s="618"/>
      <c r="AE709" s="618"/>
      <c r="AO709" s="618"/>
      <c r="AT709" s="618"/>
      <c r="AZ709" s="618"/>
      <c r="BE709" s="618"/>
      <c r="BF709" s="618"/>
      <c r="BG709" s="553"/>
      <c r="BH709" s="294"/>
      <c r="BI709" s="618"/>
      <c r="BJ709" s="618"/>
      <c r="BK709" s="618"/>
      <c r="BL709" s="553"/>
      <c r="BM709" s="618"/>
      <c r="BN709" s="618"/>
      <c r="BO709" s="618"/>
    </row>
    <row r="710" spans="4:67" ht="13">
      <c r="D710" s="618"/>
      <c r="J710" s="1428"/>
      <c r="N710" s="294"/>
      <c r="P710" s="618"/>
      <c r="S710" s="294"/>
      <c r="U710" s="618"/>
      <c r="X710" s="294"/>
      <c r="Z710" s="618"/>
      <c r="AE710" s="618"/>
      <c r="AO710" s="618"/>
      <c r="AT710" s="618"/>
      <c r="AZ710" s="618"/>
      <c r="BE710" s="618"/>
      <c r="BF710" s="618"/>
      <c r="BG710" s="553"/>
      <c r="BH710" s="294"/>
      <c r="BI710" s="618"/>
      <c r="BJ710" s="618"/>
      <c r="BK710" s="618"/>
      <c r="BL710" s="553"/>
      <c r="BM710" s="618"/>
      <c r="BN710" s="618"/>
      <c r="BO710" s="618"/>
    </row>
    <row r="711" spans="4:67" ht="13">
      <c r="D711" s="618"/>
      <c r="J711" s="1428"/>
      <c r="N711" s="294"/>
      <c r="P711" s="618"/>
      <c r="S711" s="294"/>
      <c r="U711" s="618"/>
      <c r="X711" s="294"/>
      <c r="Z711" s="618"/>
      <c r="AE711" s="618"/>
      <c r="AO711" s="618"/>
      <c r="AT711" s="618"/>
      <c r="AZ711" s="618"/>
      <c r="BE711" s="618"/>
      <c r="BF711" s="618"/>
      <c r="BG711" s="553"/>
      <c r="BH711" s="294"/>
      <c r="BI711" s="618"/>
      <c r="BJ711" s="618"/>
      <c r="BK711" s="618"/>
      <c r="BL711" s="553"/>
      <c r="BM711" s="618"/>
      <c r="BN711" s="618"/>
      <c r="BO711" s="618"/>
    </row>
    <row r="712" spans="4:67" ht="13">
      <c r="D712" s="618"/>
      <c r="J712" s="1428"/>
      <c r="N712" s="294"/>
      <c r="P712" s="618"/>
      <c r="S712" s="294"/>
      <c r="U712" s="618"/>
      <c r="X712" s="294"/>
      <c r="Z712" s="618"/>
      <c r="AE712" s="618"/>
      <c r="AO712" s="618"/>
      <c r="AT712" s="618"/>
      <c r="AZ712" s="618"/>
      <c r="BE712" s="618"/>
      <c r="BF712" s="618"/>
      <c r="BG712" s="553"/>
      <c r="BH712" s="294"/>
      <c r="BI712" s="618"/>
      <c r="BJ712" s="618"/>
      <c r="BK712" s="618"/>
      <c r="BL712" s="553"/>
      <c r="BM712" s="618"/>
      <c r="BN712" s="618"/>
      <c r="BO712" s="618"/>
    </row>
    <row r="713" spans="4:67" ht="13">
      <c r="D713" s="618"/>
      <c r="J713" s="1428"/>
      <c r="N713" s="294"/>
      <c r="P713" s="618"/>
      <c r="S713" s="294"/>
      <c r="U713" s="618"/>
      <c r="X713" s="294"/>
      <c r="Z713" s="618"/>
      <c r="AE713" s="618"/>
      <c r="AO713" s="618"/>
      <c r="AT713" s="618"/>
      <c r="AZ713" s="618"/>
      <c r="BE713" s="618"/>
      <c r="BF713" s="618"/>
      <c r="BG713" s="553"/>
      <c r="BH713" s="294"/>
      <c r="BI713" s="618"/>
      <c r="BJ713" s="618"/>
      <c r="BK713" s="618"/>
      <c r="BL713" s="553"/>
      <c r="BM713" s="618"/>
      <c r="BN713" s="618"/>
      <c r="BO713" s="618"/>
    </row>
    <row r="714" spans="4:67" ht="13">
      <c r="D714" s="618"/>
      <c r="J714" s="1428"/>
      <c r="N714" s="294"/>
      <c r="P714" s="618"/>
      <c r="S714" s="294"/>
      <c r="U714" s="618"/>
      <c r="X714" s="294"/>
      <c r="Z714" s="618"/>
      <c r="AE714" s="618"/>
      <c r="AO714" s="618"/>
      <c r="AT714" s="618"/>
      <c r="AZ714" s="618"/>
      <c r="BE714" s="618"/>
      <c r="BF714" s="618"/>
      <c r="BG714" s="553"/>
      <c r="BH714" s="294"/>
      <c r="BI714" s="618"/>
      <c r="BJ714" s="618"/>
      <c r="BK714" s="618"/>
      <c r="BL714" s="553"/>
      <c r="BM714" s="618"/>
      <c r="BN714" s="618"/>
      <c r="BO714" s="618"/>
    </row>
    <row r="715" spans="4:67" ht="13">
      <c r="D715" s="618"/>
      <c r="J715" s="1428"/>
      <c r="N715" s="294"/>
      <c r="P715" s="618"/>
      <c r="S715" s="294"/>
      <c r="U715" s="618"/>
      <c r="X715" s="294"/>
      <c r="Z715" s="618"/>
      <c r="AE715" s="618"/>
      <c r="AO715" s="618"/>
      <c r="AT715" s="618"/>
      <c r="AZ715" s="618"/>
      <c r="BE715" s="618"/>
      <c r="BF715" s="618"/>
      <c r="BG715" s="553"/>
      <c r="BH715" s="294"/>
      <c r="BI715" s="618"/>
      <c r="BJ715" s="618"/>
      <c r="BK715" s="618"/>
      <c r="BL715" s="553"/>
      <c r="BM715" s="618"/>
      <c r="BN715" s="618"/>
      <c r="BO715" s="618"/>
    </row>
    <row r="716" spans="4:67" ht="13">
      <c r="D716" s="618"/>
      <c r="J716" s="1428"/>
      <c r="N716" s="294"/>
      <c r="P716" s="618"/>
      <c r="S716" s="294"/>
      <c r="U716" s="618"/>
      <c r="X716" s="294"/>
      <c r="Z716" s="618"/>
      <c r="AE716" s="618"/>
      <c r="AO716" s="618"/>
      <c r="AT716" s="618"/>
      <c r="AZ716" s="618"/>
      <c r="BE716" s="618"/>
      <c r="BF716" s="618"/>
      <c r="BG716" s="553"/>
      <c r="BH716" s="294"/>
      <c r="BI716" s="618"/>
      <c r="BJ716" s="618"/>
      <c r="BK716" s="618"/>
      <c r="BL716" s="553"/>
      <c r="BM716" s="618"/>
      <c r="BN716" s="618"/>
      <c r="BO716" s="618"/>
    </row>
    <row r="717" spans="4:67" ht="13">
      <c r="D717" s="618"/>
      <c r="J717" s="1428"/>
      <c r="N717" s="294"/>
      <c r="P717" s="618"/>
      <c r="S717" s="294"/>
      <c r="U717" s="618"/>
      <c r="X717" s="294"/>
      <c r="Z717" s="618"/>
      <c r="AE717" s="618"/>
      <c r="AO717" s="618"/>
      <c r="AT717" s="618"/>
      <c r="AZ717" s="618"/>
      <c r="BE717" s="618"/>
      <c r="BF717" s="618"/>
      <c r="BG717" s="553"/>
      <c r="BH717" s="294"/>
      <c r="BI717" s="618"/>
      <c r="BJ717" s="618"/>
      <c r="BK717" s="618"/>
      <c r="BL717" s="553"/>
      <c r="BM717" s="618"/>
      <c r="BN717" s="618"/>
      <c r="BO717" s="618"/>
    </row>
    <row r="718" spans="4:67" ht="13">
      <c r="D718" s="618"/>
      <c r="J718" s="1428"/>
      <c r="N718" s="294"/>
      <c r="P718" s="618"/>
      <c r="S718" s="294"/>
      <c r="U718" s="618"/>
      <c r="X718" s="294"/>
      <c r="Z718" s="618"/>
      <c r="AE718" s="618"/>
      <c r="AO718" s="618"/>
      <c r="AT718" s="618"/>
      <c r="AZ718" s="618"/>
      <c r="BE718" s="618"/>
      <c r="BF718" s="618"/>
      <c r="BG718" s="553"/>
      <c r="BH718" s="294"/>
      <c r="BI718" s="618"/>
      <c r="BJ718" s="618"/>
      <c r="BK718" s="618"/>
      <c r="BL718" s="553"/>
      <c r="BM718" s="618"/>
      <c r="BN718" s="618"/>
      <c r="BO718" s="618"/>
    </row>
    <row r="719" spans="4:67" ht="13">
      <c r="D719" s="618"/>
      <c r="J719" s="1428"/>
      <c r="N719" s="294"/>
      <c r="P719" s="618"/>
      <c r="S719" s="294"/>
      <c r="U719" s="618"/>
      <c r="X719" s="294"/>
      <c r="Z719" s="618"/>
      <c r="AE719" s="618"/>
      <c r="AO719" s="618"/>
      <c r="AT719" s="618"/>
      <c r="AZ719" s="618"/>
      <c r="BE719" s="618"/>
      <c r="BF719" s="618"/>
      <c r="BG719" s="553"/>
      <c r="BH719" s="294"/>
      <c r="BI719" s="618"/>
      <c r="BJ719" s="618"/>
      <c r="BK719" s="618"/>
      <c r="BL719" s="553"/>
      <c r="BM719" s="618"/>
      <c r="BN719" s="618"/>
      <c r="BO719" s="618"/>
    </row>
    <row r="720" spans="4:67" ht="13">
      <c r="D720" s="618"/>
      <c r="J720" s="1428"/>
      <c r="N720" s="294"/>
      <c r="P720" s="618"/>
      <c r="S720" s="294"/>
      <c r="U720" s="618"/>
      <c r="X720" s="294"/>
      <c r="Z720" s="618"/>
      <c r="AE720" s="618"/>
      <c r="AO720" s="618"/>
      <c r="AT720" s="618"/>
      <c r="AZ720" s="618"/>
      <c r="BE720" s="618"/>
      <c r="BF720" s="618"/>
      <c r="BG720" s="553"/>
      <c r="BH720" s="294"/>
      <c r="BI720" s="618"/>
      <c r="BJ720" s="618"/>
      <c r="BK720" s="618"/>
      <c r="BL720" s="553"/>
      <c r="BM720" s="618"/>
      <c r="BN720" s="618"/>
      <c r="BO720" s="618"/>
    </row>
    <row r="721" spans="4:67" ht="13">
      <c r="D721" s="618"/>
      <c r="J721" s="1428"/>
      <c r="N721" s="294"/>
      <c r="P721" s="618"/>
      <c r="S721" s="294"/>
      <c r="U721" s="618"/>
      <c r="X721" s="294"/>
      <c r="Z721" s="618"/>
      <c r="AE721" s="618"/>
      <c r="AO721" s="618"/>
      <c r="AT721" s="618"/>
      <c r="AZ721" s="618"/>
      <c r="BE721" s="618"/>
      <c r="BF721" s="618"/>
      <c r="BG721" s="553"/>
      <c r="BH721" s="294"/>
      <c r="BI721" s="618"/>
      <c r="BJ721" s="618"/>
      <c r="BK721" s="618"/>
      <c r="BL721" s="553"/>
      <c r="BM721" s="618"/>
      <c r="BN721" s="618"/>
      <c r="BO721" s="618"/>
    </row>
    <row r="722" spans="4:67" ht="13">
      <c r="D722" s="618"/>
      <c r="J722" s="1428"/>
      <c r="N722" s="294"/>
      <c r="P722" s="618"/>
      <c r="S722" s="294"/>
      <c r="U722" s="618"/>
      <c r="X722" s="294"/>
      <c r="Z722" s="618"/>
      <c r="AE722" s="618"/>
      <c r="AO722" s="618"/>
      <c r="AT722" s="618"/>
      <c r="AZ722" s="618"/>
      <c r="BE722" s="618"/>
      <c r="BF722" s="618"/>
      <c r="BG722" s="553"/>
      <c r="BH722" s="294"/>
      <c r="BI722" s="618"/>
      <c r="BJ722" s="618"/>
      <c r="BK722" s="618"/>
      <c r="BL722" s="553"/>
      <c r="BM722" s="618"/>
      <c r="BN722" s="618"/>
      <c r="BO722" s="618"/>
    </row>
    <row r="723" spans="4:67" ht="13">
      <c r="D723" s="618"/>
      <c r="J723" s="1428"/>
      <c r="N723" s="294"/>
      <c r="P723" s="618"/>
      <c r="S723" s="294"/>
      <c r="U723" s="618"/>
      <c r="X723" s="294"/>
      <c r="Z723" s="618"/>
      <c r="AE723" s="618"/>
      <c r="AO723" s="618"/>
      <c r="AT723" s="618"/>
      <c r="AZ723" s="618"/>
      <c r="BE723" s="618"/>
      <c r="BF723" s="618"/>
      <c r="BG723" s="553"/>
      <c r="BH723" s="294"/>
      <c r="BI723" s="618"/>
      <c r="BJ723" s="618"/>
      <c r="BK723" s="618"/>
      <c r="BL723" s="553"/>
      <c r="BM723" s="618"/>
      <c r="BN723" s="618"/>
      <c r="BO723" s="618"/>
    </row>
    <row r="724" spans="4:67" ht="13">
      <c r="D724" s="618"/>
      <c r="J724" s="1428"/>
      <c r="N724" s="294"/>
      <c r="P724" s="618"/>
      <c r="S724" s="294"/>
      <c r="U724" s="618"/>
      <c r="X724" s="294"/>
      <c r="Z724" s="618"/>
      <c r="AE724" s="618"/>
      <c r="AO724" s="618"/>
      <c r="AT724" s="618"/>
      <c r="AZ724" s="618"/>
      <c r="BE724" s="618"/>
      <c r="BF724" s="618"/>
      <c r="BG724" s="553"/>
      <c r="BH724" s="294"/>
      <c r="BI724" s="618"/>
      <c r="BJ724" s="618"/>
      <c r="BK724" s="618"/>
      <c r="BL724" s="553"/>
      <c r="BM724" s="618"/>
      <c r="BN724" s="618"/>
      <c r="BO724" s="618"/>
    </row>
    <row r="725" spans="4:67" ht="13">
      <c r="D725" s="618"/>
      <c r="J725" s="1428"/>
      <c r="N725" s="294"/>
      <c r="P725" s="618"/>
      <c r="S725" s="294"/>
      <c r="U725" s="618"/>
      <c r="X725" s="294"/>
      <c r="Z725" s="618"/>
      <c r="AE725" s="618"/>
      <c r="AO725" s="618"/>
      <c r="AT725" s="618"/>
      <c r="AZ725" s="618"/>
      <c r="BE725" s="618"/>
      <c r="BF725" s="618"/>
      <c r="BG725" s="553"/>
      <c r="BH725" s="294"/>
      <c r="BI725" s="618"/>
      <c r="BJ725" s="618"/>
      <c r="BK725" s="618"/>
      <c r="BL725" s="553"/>
      <c r="BM725" s="618"/>
      <c r="BN725" s="618"/>
      <c r="BO725" s="618"/>
    </row>
    <row r="726" spans="4:67" ht="13">
      <c r="D726" s="618"/>
      <c r="J726" s="1428"/>
      <c r="N726" s="294"/>
      <c r="P726" s="618"/>
      <c r="S726" s="294"/>
      <c r="U726" s="618"/>
      <c r="X726" s="294"/>
      <c r="Z726" s="618"/>
      <c r="AE726" s="618"/>
      <c r="AO726" s="618"/>
      <c r="AT726" s="618"/>
      <c r="AZ726" s="618"/>
      <c r="BE726" s="618"/>
      <c r="BF726" s="618"/>
      <c r="BG726" s="553"/>
      <c r="BH726" s="294"/>
      <c r="BI726" s="618"/>
      <c r="BJ726" s="618"/>
      <c r="BK726" s="618"/>
      <c r="BL726" s="553"/>
      <c r="BM726" s="618"/>
      <c r="BN726" s="618"/>
      <c r="BO726" s="618"/>
    </row>
    <row r="727" spans="4:67" ht="13">
      <c r="D727" s="618"/>
      <c r="J727" s="1428"/>
      <c r="N727" s="294"/>
      <c r="P727" s="618"/>
      <c r="S727" s="294"/>
      <c r="U727" s="618"/>
      <c r="X727" s="294"/>
      <c r="Z727" s="618"/>
      <c r="AE727" s="618"/>
      <c r="AO727" s="618"/>
      <c r="AT727" s="618"/>
      <c r="AZ727" s="618"/>
      <c r="BE727" s="618"/>
      <c r="BF727" s="618"/>
      <c r="BG727" s="553"/>
      <c r="BH727" s="294"/>
      <c r="BI727" s="618"/>
      <c r="BJ727" s="618"/>
      <c r="BK727" s="618"/>
      <c r="BL727" s="553"/>
      <c r="BM727" s="618"/>
      <c r="BN727" s="618"/>
      <c r="BO727" s="618"/>
    </row>
    <row r="728" spans="4:67" ht="13">
      <c r="D728" s="618"/>
      <c r="J728" s="1428"/>
      <c r="N728" s="294"/>
      <c r="P728" s="618"/>
      <c r="S728" s="294"/>
      <c r="U728" s="618"/>
      <c r="X728" s="294"/>
      <c r="Z728" s="618"/>
      <c r="AE728" s="618"/>
      <c r="AO728" s="618"/>
      <c r="AT728" s="618"/>
      <c r="AZ728" s="618"/>
      <c r="BE728" s="618"/>
      <c r="BF728" s="618"/>
      <c r="BG728" s="553"/>
      <c r="BH728" s="294"/>
      <c r="BI728" s="618"/>
      <c r="BJ728" s="618"/>
      <c r="BK728" s="618"/>
      <c r="BL728" s="553"/>
      <c r="BM728" s="618"/>
      <c r="BN728" s="618"/>
      <c r="BO728" s="618"/>
    </row>
    <row r="729" spans="4:67" ht="13">
      <c r="D729" s="618"/>
      <c r="J729" s="1428"/>
      <c r="N729" s="294"/>
      <c r="P729" s="618"/>
      <c r="S729" s="294"/>
      <c r="U729" s="618"/>
      <c r="X729" s="294"/>
      <c r="Z729" s="618"/>
      <c r="AE729" s="618"/>
      <c r="AO729" s="618"/>
      <c r="AT729" s="618"/>
      <c r="AZ729" s="618"/>
      <c r="BE729" s="618"/>
      <c r="BF729" s="618"/>
      <c r="BG729" s="553"/>
      <c r="BH729" s="294"/>
      <c r="BI729" s="618"/>
      <c r="BJ729" s="618"/>
      <c r="BK729" s="618"/>
      <c r="BL729" s="553"/>
      <c r="BM729" s="618"/>
      <c r="BN729" s="618"/>
      <c r="BO729" s="618"/>
    </row>
    <row r="730" spans="4:67" ht="13">
      <c r="D730" s="618"/>
      <c r="J730" s="1428"/>
      <c r="N730" s="294"/>
      <c r="P730" s="618"/>
      <c r="S730" s="294"/>
      <c r="U730" s="618"/>
      <c r="X730" s="294"/>
      <c r="Z730" s="618"/>
      <c r="AE730" s="618"/>
      <c r="AO730" s="618"/>
      <c r="AT730" s="618"/>
      <c r="AZ730" s="618"/>
      <c r="BE730" s="618"/>
      <c r="BF730" s="618"/>
      <c r="BG730" s="553"/>
      <c r="BH730" s="294"/>
      <c r="BI730" s="618"/>
      <c r="BJ730" s="618"/>
      <c r="BK730" s="618"/>
      <c r="BL730" s="553"/>
      <c r="BM730" s="618"/>
      <c r="BN730" s="618"/>
      <c r="BO730" s="618"/>
    </row>
    <row r="731" spans="4:67" ht="13">
      <c r="D731" s="618"/>
      <c r="J731" s="1428"/>
      <c r="N731" s="294"/>
      <c r="P731" s="618"/>
      <c r="S731" s="294"/>
      <c r="U731" s="618"/>
      <c r="X731" s="294"/>
      <c r="Z731" s="618"/>
      <c r="AE731" s="618"/>
      <c r="AO731" s="618"/>
      <c r="AT731" s="618"/>
      <c r="AZ731" s="618"/>
      <c r="BE731" s="618"/>
      <c r="BF731" s="618"/>
      <c r="BG731" s="553"/>
      <c r="BH731" s="294"/>
      <c r="BI731" s="618"/>
      <c r="BJ731" s="618"/>
      <c r="BK731" s="618"/>
      <c r="BL731" s="553"/>
      <c r="BM731" s="618"/>
      <c r="BN731" s="618"/>
      <c r="BO731" s="618"/>
    </row>
    <row r="732" spans="4:67" ht="13">
      <c r="D732" s="618"/>
      <c r="J732" s="1428"/>
      <c r="N732" s="294"/>
      <c r="P732" s="618"/>
      <c r="S732" s="294"/>
      <c r="U732" s="618"/>
      <c r="X732" s="294"/>
      <c r="Z732" s="618"/>
      <c r="AE732" s="618"/>
      <c r="AO732" s="618"/>
      <c r="AT732" s="618"/>
      <c r="AZ732" s="618"/>
      <c r="BE732" s="618"/>
      <c r="BF732" s="618"/>
      <c r="BG732" s="553"/>
      <c r="BH732" s="294"/>
      <c r="BI732" s="618"/>
      <c r="BJ732" s="618"/>
      <c r="BK732" s="618"/>
      <c r="BL732" s="553"/>
      <c r="BM732" s="618"/>
      <c r="BN732" s="618"/>
      <c r="BO732" s="618"/>
    </row>
    <row r="733" spans="4:67" ht="13">
      <c r="D733" s="618"/>
      <c r="J733" s="1428"/>
      <c r="N733" s="294"/>
      <c r="P733" s="618"/>
      <c r="S733" s="294"/>
      <c r="U733" s="618"/>
      <c r="X733" s="294"/>
      <c r="Z733" s="618"/>
      <c r="AE733" s="618"/>
      <c r="AO733" s="618"/>
      <c r="AT733" s="618"/>
      <c r="AZ733" s="618"/>
      <c r="BE733" s="618"/>
      <c r="BF733" s="618"/>
      <c r="BG733" s="553"/>
      <c r="BH733" s="294"/>
      <c r="BI733" s="618"/>
      <c r="BJ733" s="618"/>
      <c r="BK733" s="618"/>
      <c r="BL733" s="553"/>
      <c r="BM733" s="618"/>
      <c r="BN733" s="618"/>
      <c r="BO733" s="618"/>
    </row>
    <row r="734" spans="4:67" ht="13">
      <c r="D734" s="618"/>
      <c r="J734" s="1428"/>
      <c r="N734" s="294"/>
      <c r="P734" s="618"/>
      <c r="S734" s="294"/>
      <c r="U734" s="618"/>
      <c r="X734" s="294"/>
      <c r="Z734" s="618"/>
      <c r="AE734" s="618"/>
      <c r="AO734" s="618"/>
      <c r="AT734" s="618"/>
      <c r="AZ734" s="618"/>
      <c r="BE734" s="618"/>
      <c r="BF734" s="618"/>
      <c r="BG734" s="553"/>
      <c r="BH734" s="294"/>
      <c r="BI734" s="618"/>
      <c r="BJ734" s="618"/>
      <c r="BK734" s="618"/>
      <c r="BL734" s="553"/>
      <c r="BM734" s="618"/>
      <c r="BN734" s="618"/>
      <c r="BO734" s="618"/>
    </row>
    <row r="735" spans="4:67" ht="13">
      <c r="D735" s="618"/>
      <c r="J735" s="1428"/>
      <c r="N735" s="294"/>
      <c r="P735" s="618"/>
      <c r="S735" s="294"/>
      <c r="U735" s="618"/>
      <c r="X735" s="294"/>
      <c r="Z735" s="618"/>
      <c r="AE735" s="618"/>
      <c r="AO735" s="618"/>
      <c r="AT735" s="618"/>
      <c r="AZ735" s="618"/>
      <c r="BE735" s="618"/>
      <c r="BF735" s="618"/>
      <c r="BG735" s="553"/>
      <c r="BH735" s="294"/>
      <c r="BI735" s="618"/>
      <c r="BJ735" s="618"/>
      <c r="BK735" s="618"/>
      <c r="BL735" s="553"/>
      <c r="BM735" s="618"/>
      <c r="BN735" s="618"/>
      <c r="BO735" s="618"/>
    </row>
    <row r="736" spans="4:67" ht="13">
      <c r="D736" s="618"/>
      <c r="J736" s="1428"/>
      <c r="N736" s="294"/>
      <c r="P736" s="618"/>
      <c r="S736" s="294"/>
      <c r="U736" s="618"/>
      <c r="X736" s="294"/>
      <c r="Z736" s="618"/>
      <c r="AE736" s="618"/>
      <c r="AO736" s="618"/>
      <c r="AT736" s="618"/>
      <c r="AZ736" s="618"/>
      <c r="BE736" s="618"/>
      <c r="BF736" s="618"/>
      <c r="BG736" s="553"/>
      <c r="BH736" s="294"/>
      <c r="BI736" s="618"/>
      <c r="BJ736" s="618"/>
      <c r="BK736" s="618"/>
      <c r="BL736" s="553"/>
      <c r="BM736" s="618"/>
      <c r="BN736" s="618"/>
      <c r="BO736" s="618"/>
    </row>
    <row r="737" spans="4:67" ht="13">
      <c r="D737" s="618"/>
      <c r="J737" s="1428"/>
      <c r="N737" s="294"/>
      <c r="P737" s="618"/>
      <c r="S737" s="294"/>
      <c r="U737" s="618"/>
      <c r="X737" s="294"/>
      <c r="Z737" s="618"/>
      <c r="AE737" s="618"/>
      <c r="AO737" s="618"/>
      <c r="AT737" s="618"/>
      <c r="AZ737" s="618"/>
      <c r="BE737" s="618"/>
      <c r="BF737" s="618"/>
      <c r="BG737" s="553"/>
      <c r="BH737" s="294"/>
      <c r="BI737" s="618"/>
      <c r="BJ737" s="618"/>
      <c r="BK737" s="618"/>
      <c r="BL737" s="553"/>
      <c r="BM737" s="618"/>
      <c r="BN737" s="618"/>
      <c r="BO737" s="618"/>
    </row>
    <row r="738" spans="4:67" ht="13">
      <c r="D738" s="618"/>
      <c r="J738" s="1428"/>
      <c r="N738" s="294"/>
      <c r="P738" s="618"/>
      <c r="S738" s="294"/>
      <c r="U738" s="618"/>
      <c r="X738" s="294"/>
      <c r="Z738" s="618"/>
      <c r="AE738" s="618"/>
      <c r="AO738" s="618"/>
      <c r="AT738" s="618"/>
      <c r="AZ738" s="618"/>
      <c r="BE738" s="618"/>
      <c r="BF738" s="618"/>
      <c r="BG738" s="553"/>
      <c r="BH738" s="294"/>
      <c r="BI738" s="618"/>
      <c r="BJ738" s="618"/>
      <c r="BK738" s="618"/>
      <c r="BL738" s="553"/>
      <c r="BM738" s="618"/>
      <c r="BN738" s="618"/>
      <c r="BO738" s="618"/>
    </row>
    <row r="739" spans="4:67" ht="13">
      <c r="D739" s="618"/>
      <c r="J739" s="1428"/>
      <c r="N739" s="294"/>
      <c r="P739" s="618"/>
      <c r="S739" s="294"/>
      <c r="U739" s="618"/>
      <c r="X739" s="294"/>
      <c r="Z739" s="618"/>
      <c r="AE739" s="618"/>
      <c r="AO739" s="618"/>
      <c r="AT739" s="618"/>
      <c r="AZ739" s="618"/>
      <c r="BE739" s="618"/>
      <c r="BF739" s="618"/>
      <c r="BG739" s="553"/>
      <c r="BH739" s="294"/>
      <c r="BI739" s="618"/>
      <c r="BJ739" s="618"/>
      <c r="BK739" s="618"/>
      <c r="BL739" s="553"/>
      <c r="BM739" s="618"/>
      <c r="BN739" s="618"/>
      <c r="BO739" s="618"/>
    </row>
    <row r="740" spans="4:67" ht="13">
      <c r="D740" s="618"/>
      <c r="J740" s="1428"/>
      <c r="N740" s="294"/>
      <c r="P740" s="618"/>
      <c r="S740" s="294"/>
      <c r="U740" s="618"/>
      <c r="X740" s="294"/>
      <c r="Z740" s="618"/>
      <c r="AE740" s="618"/>
      <c r="AO740" s="618"/>
      <c r="AT740" s="618"/>
      <c r="AZ740" s="618"/>
      <c r="BE740" s="618"/>
      <c r="BF740" s="618"/>
      <c r="BG740" s="553"/>
      <c r="BH740" s="294"/>
      <c r="BI740" s="618"/>
      <c r="BJ740" s="618"/>
      <c r="BK740" s="618"/>
      <c r="BL740" s="553"/>
      <c r="BM740" s="618"/>
      <c r="BN740" s="618"/>
      <c r="BO740" s="618"/>
    </row>
    <row r="741" spans="4:67" ht="13">
      <c r="D741" s="618"/>
      <c r="J741" s="1428"/>
      <c r="N741" s="294"/>
      <c r="P741" s="618"/>
      <c r="S741" s="294"/>
      <c r="U741" s="618"/>
      <c r="X741" s="294"/>
      <c r="Z741" s="618"/>
      <c r="AE741" s="618"/>
      <c r="AO741" s="618"/>
      <c r="AT741" s="618"/>
      <c r="AZ741" s="618"/>
      <c r="BE741" s="618"/>
      <c r="BF741" s="618"/>
      <c r="BG741" s="553"/>
      <c r="BH741" s="294"/>
      <c r="BI741" s="618"/>
      <c r="BJ741" s="618"/>
      <c r="BK741" s="618"/>
      <c r="BL741" s="553"/>
      <c r="BM741" s="618"/>
      <c r="BN741" s="618"/>
      <c r="BO741" s="618"/>
    </row>
    <row r="742" spans="4:67" ht="13">
      <c r="D742" s="618"/>
      <c r="J742" s="1428"/>
      <c r="N742" s="294"/>
      <c r="P742" s="618"/>
      <c r="S742" s="294"/>
      <c r="U742" s="618"/>
      <c r="X742" s="294"/>
      <c r="Z742" s="618"/>
      <c r="AE742" s="618"/>
      <c r="AO742" s="618"/>
      <c r="AT742" s="618"/>
      <c r="AZ742" s="618"/>
      <c r="BE742" s="618"/>
      <c r="BF742" s="618"/>
      <c r="BG742" s="553"/>
      <c r="BH742" s="294"/>
      <c r="BI742" s="618"/>
      <c r="BJ742" s="618"/>
      <c r="BK742" s="618"/>
      <c r="BL742" s="553"/>
      <c r="BM742" s="618"/>
      <c r="BN742" s="618"/>
      <c r="BO742" s="618"/>
    </row>
    <row r="743" spans="4:67" ht="13">
      <c r="D743" s="618"/>
      <c r="J743" s="1428"/>
      <c r="N743" s="294"/>
      <c r="P743" s="618"/>
      <c r="S743" s="294"/>
      <c r="U743" s="618"/>
      <c r="X743" s="294"/>
      <c r="Z743" s="618"/>
      <c r="AE743" s="618"/>
      <c r="AO743" s="618"/>
      <c r="AT743" s="618"/>
      <c r="AZ743" s="618"/>
      <c r="BE743" s="618"/>
      <c r="BF743" s="618"/>
      <c r="BG743" s="553"/>
      <c r="BH743" s="294"/>
      <c r="BI743" s="618"/>
      <c r="BJ743" s="618"/>
      <c r="BK743" s="618"/>
      <c r="BL743" s="553"/>
      <c r="BM743" s="618"/>
      <c r="BN743" s="618"/>
      <c r="BO743" s="618"/>
    </row>
    <row r="744" spans="4:67" ht="13">
      <c r="D744" s="618"/>
      <c r="J744" s="1428"/>
      <c r="N744" s="294"/>
      <c r="P744" s="618"/>
      <c r="S744" s="294"/>
      <c r="U744" s="618"/>
      <c r="X744" s="294"/>
      <c r="Z744" s="618"/>
      <c r="AE744" s="618"/>
      <c r="AO744" s="618"/>
      <c r="AT744" s="618"/>
      <c r="AZ744" s="618"/>
      <c r="BE744" s="618"/>
      <c r="BF744" s="618"/>
      <c r="BG744" s="553"/>
      <c r="BH744" s="294"/>
      <c r="BI744" s="618"/>
      <c r="BJ744" s="618"/>
      <c r="BK744" s="618"/>
      <c r="BL744" s="553"/>
      <c r="BM744" s="618"/>
      <c r="BN744" s="618"/>
      <c r="BO744" s="618"/>
    </row>
    <row r="745" spans="4:67" ht="13">
      <c r="D745" s="618"/>
      <c r="J745" s="1428"/>
      <c r="N745" s="294"/>
      <c r="P745" s="618"/>
      <c r="S745" s="294"/>
      <c r="U745" s="618"/>
      <c r="X745" s="294"/>
      <c r="Z745" s="618"/>
      <c r="AE745" s="618"/>
      <c r="AO745" s="618"/>
      <c r="AT745" s="618"/>
      <c r="AZ745" s="618"/>
      <c r="BE745" s="618"/>
      <c r="BF745" s="618"/>
      <c r="BG745" s="553"/>
      <c r="BH745" s="294"/>
      <c r="BI745" s="618"/>
      <c r="BJ745" s="618"/>
      <c r="BK745" s="618"/>
      <c r="BL745" s="553"/>
      <c r="BM745" s="618"/>
      <c r="BN745" s="618"/>
      <c r="BO745" s="618"/>
    </row>
    <row r="746" spans="4:67" ht="13">
      <c r="D746" s="618"/>
      <c r="J746" s="1428"/>
      <c r="N746" s="294"/>
      <c r="P746" s="618"/>
      <c r="S746" s="294"/>
      <c r="U746" s="618"/>
      <c r="X746" s="294"/>
      <c r="Z746" s="618"/>
      <c r="AE746" s="618"/>
      <c r="AO746" s="618"/>
      <c r="AT746" s="618"/>
      <c r="AZ746" s="618"/>
      <c r="BE746" s="618"/>
      <c r="BF746" s="618"/>
      <c r="BG746" s="553"/>
      <c r="BH746" s="294"/>
      <c r="BI746" s="618"/>
      <c r="BJ746" s="618"/>
      <c r="BK746" s="618"/>
      <c r="BL746" s="553"/>
      <c r="BM746" s="618"/>
      <c r="BN746" s="618"/>
      <c r="BO746" s="618"/>
    </row>
    <row r="747" spans="4:67" ht="13">
      <c r="D747" s="618"/>
      <c r="J747" s="1428"/>
      <c r="N747" s="294"/>
      <c r="P747" s="618"/>
      <c r="S747" s="294"/>
      <c r="U747" s="618"/>
      <c r="X747" s="294"/>
      <c r="Z747" s="618"/>
      <c r="AE747" s="618"/>
      <c r="AO747" s="618"/>
      <c r="AT747" s="618"/>
      <c r="AZ747" s="618"/>
      <c r="BE747" s="618"/>
      <c r="BF747" s="618"/>
      <c r="BG747" s="553"/>
      <c r="BH747" s="294"/>
      <c r="BI747" s="618"/>
      <c r="BJ747" s="618"/>
      <c r="BK747" s="618"/>
      <c r="BL747" s="553"/>
      <c r="BM747" s="618"/>
      <c r="BN747" s="618"/>
      <c r="BO747" s="618"/>
    </row>
    <row r="748" spans="4:67" ht="13">
      <c r="D748" s="618"/>
      <c r="J748" s="1428"/>
      <c r="N748" s="294"/>
      <c r="P748" s="618"/>
      <c r="S748" s="294"/>
      <c r="U748" s="618"/>
      <c r="X748" s="294"/>
      <c r="Z748" s="618"/>
      <c r="AE748" s="618"/>
      <c r="AO748" s="618"/>
      <c r="AT748" s="618"/>
      <c r="AZ748" s="618"/>
      <c r="BE748" s="618"/>
      <c r="BF748" s="618"/>
      <c r="BG748" s="553"/>
      <c r="BH748" s="294"/>
      <c r="BI748" s="618"/>
      <c r="BJ748" s="618"/>
      <c r="BK748" s="618"/>
      <c r="BL748" s="553"/>
      <c r="BM748" s="618"/>
      <c r="BN748" s="618"/>
      <c r="BO748" s="618"/>
    </row>
    <row r="749" spans="4:67" ht="13">
      <c r="D749" s="618"/>
      <c r="J749" s="1428"/>
      <c r="N749" s="294"/>
      <c r="P749" s="618"/>
      <c r="S749" s="294"/>
      <c r="U749" s="618"/>
      <c r="X749" s="294"/>
      <c r="Z749" s="618"/>
      <c r="AE749" s="618"/>
      <c r="AO749" s="618"/>
      <c r="AT749" s="618"/>
      <c r="AZ749" s="618"/>
      <c r="BE749" s="618"/>
      <c r="BF749" s="618"/>
      <c r="BG749" s="553"/>
      <c r="BH749" s="294"/>
      <c r="BI749" s="618"/>
      <c r="BJ749" s="618"/>
      <c r="BK749" s="618"/>
      <c r="BL749" s="553"/>
      <c r="BM749" s="618"/>
      <c r="BN749" s="618"/>
      <c r="BO749" s="618"/>
    </row>
    <row r="750" spans="4:67" ht="13">
      <c r="D750" s="618"/>
      <c r="J750" s="1428"/>
      <c r="N750" s="294"/>
      <c r="P750" s="618"/>
      <c r="S750" s="294"/>
      <c r="U750" s="618"/>
      <c r="X750" s="294"/>
      <c r="Z750" s="618"/>
      <c r="AE750" s="618"/>
      <c r="AO750" s="618"/>
      <c r="AT750" s="618"/>
      <c r="AZ750" s="618"/>
      <c r="BE750" s="618"/>
      <c r="BF750" s="618"/>
      <c r="BG750" s="553"/>
      <c r="BH750" s="294"/>
      <c r="BI750" s="618"/>
      <c r="BJ750" s="618"/>
      <c r="BK750" s="618"/>
      <c r="BL750" s="553"/>
      <c r="BM750" s="618"/>
      <c r="BN750" s="618"/>
      <c r="BO750" s="618"/>
    </row>
    <row r="751" spans="4:67" ht="13">
      <c r="D751" s="618"/>
      <c r="J751" s="1428"/>
      <c r="N751" s="294"/>
      <c r="P751" s="618"/>
      <c r="S751" s="294"/>
      <c r="U751" s="618"/>
      <c r="X751" s="294"/>
      <c r="Z751" s="618"/>
      <c r="AE751" s="618"/>
      <c r="AO751" s="618"/>
      <c r="AT751" s="618"/>
      <c r="AZ751" s="618"/>
      <c r="BE751" s="618"/>
      <c r="BF751" s="618"/>
      <c r="BG751" s="553"/>
      <c r="BH751" s="294"/>
      <c r="BI751" s="618"/>
      <c r="BJ751" s="618"/>
      <c r="BK751" s="618"/>
      <c r="BL751" s="553"/>
      <c r="BM751" s="618"/>
      <c r="BN751" s="618"/>
      <c r="BO751" s="618"/>
    </row>
    <row r="752" spans="4:67" ht="13">
      <c r="D752" s="618"/>
      <c r="J752" s="1428"/>
      <c r="N752" s="294"/>
      <c r="P752" s="618"/>
      <c r="S752" s="294"/>
      <c r="U752" s="618"/>
      <c r="X752" s="294"/>
      <c r="Z752" s="618"/>
      <c r="AE752" s="618"/>
      <c r="AO752" s="618"/>
      <c r="AT752" s="618"/>
      <c r="AZ752" s="618"/>
      <c r="BE752" s="618"/>
      <c r="BF752" s="618"/>
      <c r="BG752" s="553"/>
      <c r="BH752" s="294"/>
      <c r="BI752" s="618"/>
      <c r="BJ752" s="618"/>
      <c r="BK752" s="618"/>
      <c r="BL752" s="553"/>
      <c r="BM752" s="618"/>
      <c r="BN752" s="618"/>
      <c r="BO752" s="618"/>
    </row>
    <row r="753" spans="4:67" ht="13">
      <c r="D753" s="618"/>
      <c r="J753" s="1428"/>
      <c r="N753" s="294"/>
      <c r="P753" s="618"/>
      <c r="S753" s="294"/>
      <c r="U753" s="618"/>
      <c r="X753" s="294"/>
      <c r="Z753" s="618"/>
      <c r="AE753" s="618"/>
      <c r="AO753" s="618"/>
      <c r="AT753" s="618"/>
      <c r="AZ753" s="618"/>
      <c r="BE753" s="618"/>
      <c r="BF753" s="618"/>
      <c r="BG753" s="553"/>
      <c r="BH753" s="294"/>
      <c r="BI753" s="618"/>
      <c r="BJ753" s="618"/>
      <c r="BK753" s="618"/>
      <c r="BL753" s="553"/>
      <c r="BM753" s="618"/>
      <c r="BN753" s="618"/>
      <c r="BO753" s="618"/>
    </row>
    <row r="754" spans="4:67" ht="13">
      <c r="D754" s="618"/>
      <c r="J754" s="1428"/>
      <c r="N754" s="294"/>
      <c r="P754" s="618"/>
      <c r="S754" s="294"/>
      <c r="U754" s="618"/>
      <c r="X754" s="294"/>
      <c r="Z754" s="618"/>
      <c r="AE754" s="618"/>
      <c r="AO754" s="618"/>
      <c r="AT754" s="618"/>
      <c r="AZ754" s="618"/>
      <c r="BE754" s="618"/>
      <c r="BF754" s="618"/>
      <c r="BG754" s="553"/>
      <c r="BH754" s="294"/>
      <c r="BI754" s="618"/>
      <c r="BJ754" s="618"/>
      <c r="BK754" s="618"/>
      <c r="BL754" s="553"/>
      <c r="BM754" s="618"/>
      <c r="BN754" s="618"/>
      <c r="BO754" s="618"/>
    </row>
    <row r="755" spans="4:67" ht="13">
      <c r="D755" s="618"/>
      <c r="J755" s="1428"/>
      <c r="N755" s="294"/>
      <c r="P755" s="618"/>
      <c r="S755" s="294"/>
      <c r="U755" s="618"/>
      <c r="X755" s="294"/>
      <c r="Z755" s="618"/>
      <c r="AE755" s="618"/>
      <c r="AO755" s="618"/>
      <c r="AT755" s="618"/>
      <c r="AZ755" s="618"/>
      <c r="BE755" s="618"/>
      <c r="BF755" s="618"/>
      <c r="BG755" s="553"/>
      <c r="BH755" s="294"/>
      <c r="BI755" s="618"/>
      <c r="BJ755" s="618"/>
      <c r="BK755" s="618"/>
      <c r="BL755" s="553"/>
      <c r="BM755" s="618"/>
      <c r="BN755" s="618"/>
      <c r="BO755" s="618"/>
    </row>
    <row r="756" spans="4:67" ht="13">
      <c r="D756" s="618"/>
      <c r="J756" s="1428"/>
      <c r="N756" s="294"/>
      <c r="P756" s="618"/>
      <c r="S756" s="294"/>
      <c r="U756" s="618"/>
      <c r="X756" s="294"/>
      <c r="Z756" s="618"/>
      <c r="AE756" s="618"/>
      <c r="AO756" s="618"/>
      <c r="AT756" s="618"/>
      <c r="AZ756" s="618"/>
      <c r="BE756" s="618"/>
      <c r="BF756" s="618"/>
      <c r="BG756" s="553"/>
      <c r="BH756" s="294"/>
      <c r="BI756" s="618"/>
      <c r="BJ756" s="618"/>
      <c r="BK756" s="618"/>
      <c r="BL756" s="553"/>
      <c r="BM756" s="618"/>
      <c r="BN756" s="618"/>
      <c r="BO756" s="618"/>
    </row>
    <row r="757" spans="4:67" ht="13">
      <c r="D757" s="618"/>
      <c r="J757" s="1428"/>
      <c r="N757" s="294"/>
      <c r="P757" s="618"/>
      <c r="S757" s="294"/>
      <c r="U757" s="618"/>
      <c r="X757" s="294"/>
      <c r="Z757" s="618"/>
      <c r="AE757" s="618"/>
      <c r="AO757" s="618"/>
      <c r="AT757" s="618"/>
      <c r="AZ757" s="618"/>
      <c r="BE757" s="618"/>
      <c r="BF757" s="618"/>
      <c r="BG757" s="553"/>
      <c r="BH757" s="294"/>
      <c r="BI757" s="618"/>
      <c r="BJ757" s="618"/>
      <c r="BK757" s="618"/>
      <c r="BL757" s="553"/>
      <c r="BM757" s="618"/>
      <c r="BN757" s="618"/>
      <c r="BO757" s="618"/>
    </row>
    <row r="758" spans="4:67" ht="13">
      <c r="D758" s="618"/>
      <c r="J758" s="1428"/>
      <c r="N758" s="294"/>
      <c r="P758" s="618"/>
      <c r="S758" s="294"/>
      <c r="U758" s="618"/>
      <c r="X758" s="294"/>
      <c r="Z758" s="618"/>
      <c r="AE758" s="618"/>
      <c r="AO758" s="618"/>
      <c r="AT758" s="618"/>
      <c r="AZ758" s="618"/>
      <c r="BE758" s="618"/>
      <c r="BF758" s="618"/>
      <c r="BG758" s="553"/>
      <c r="BH758" s="294"/>
      <c r="BI758" s="618"/>
      <c r="BJ758" s="618"/>
      <c r="BK758" s="618"/>
      <c r="BL758" s="553"/>
      <c r="BM758" s="618"/>
      <c r="BN758" s="618"/>
      <c r="BO758" s="618"/>
    </row>
    <row r="759" spans="4:67" ht="13">
      <c r="D759" s="618"/>
      <c r="J759" s="1428"/>
      <c r="N759" s="294"/>
      <c r="P759" s="618"/>
      <c r="S759" s="294"/>
      <c r="U759" s="618"/>
      <c r="X759" s="294"/>
      <c r="Z759" s="618"/>
      <c r="AE759" s="618"/>
      <c r="AO759" s="618"/>
      <c r="AT759" s="618"/>
      <c r="AZ759" s="618"/>
      <c r="BE759" s="618"/>
      <c r="BF759" s="618"/>
      <c r="BG759" s="553"/>
      <c r="BH759" s="294"/>
      <c r="BI759" s="618"/>
      <c r="BJ759" s="618"/>
      <c r="BK759" s="618"/>
      <c r="BL759" s="553"/>
      <c r="BM759" s="618"/>
      <c r="BN759" s="618"/>
      <c r="BO759" s="618"/>
    </row>
    <row r="760" spans="4:67" ht="13">
      <c r="D760" s="618"/>
      <c r="J760" s="1428"/>
      <c r="N760" s="294"/>
      <c r="P760" s="618"/>
      <c r="S760" s="294"/>
      <c r="U760" s="618"/>
      <c r="X760" s="294"/>
      <c r="Z760" s="618"/>
      <c r="AE760" s="618"/>
      <c r="AO760" s="618"/>
      <c r="AT760" s="618"/>
      <c r="AZ760" s="618"/>
      <c r="BE760" s="618"/>
      <c r="BF760" s="618"/>
      <c r="BG760" s="553"/>
      <c r="BH760" s="294"/>
      <c r="BI760" s="618"/>
      <c r="BJ760" s="618"/>
      <c r="BK760" s="618"/>
      <c r="BL760" s="553"/>
      <c r="BM760" s="618"/>
      <c r="BN760" s="618"/>
      <c r="BO760" s="618"/>
    </row>
    <row r="761" spans="4:67" ht="13">
      <c r="D761" s="618"/>
      <c r="J761" s="1428"/>
      <c r="N761" s="294"/>
      <c r="P761" s="618"/>
      <c r="S761" s="294"/>
      <c r="U761" s="618"/>
      <c r="X761" s="294"/>
      <c r="Z761" s="618"/>
      <c r="AE761" s="618"/>
      <c r="AO761" s="618"/>
      <c r="AT761" s="618"/>
      <c r="AZ761" s="618"/>
      <c r="BE761" s="618"/>
      <c r="BF761" s="618"/>
      <c r="BG761" s="553"/>
      <c r="BH761" s="294"/>
      <c r="BI761" s="618"/>
      <c r="BJ761" s="618"/>
      <c r="BK761" s="618"/>
      <c r="BL761" s="553"/>
      <c r="BM761" s="618"/>
      <c r="BN761" s="618"/>
      <c r="BO761" s="618"/>
    </row>
    <row r="762" spans="4:67" ht="13">
      <c r="D762" s="618"/>
      <c r="J762" s="1428"/>
      <c r="N762" s="294"/>
      <c r="P762" s="618"/>
      <c r="S762" s="294"/>
      <c r="U762" s="618"/>
      <c r="X762" s="294"/>
      <c r="Z762" s="618"/>
      <c r="AE762" s="618"/>
      <c r="AO762" s="618"/>
      <c r="AT762" s="618"/>
      <c r="AZ762" s="618"/>
      <c r="BE762" s="618"/>
      <c r="BF762" s="618"/>
      <c r="BG762" s="553"/>
      <c r="BH762" s="294"/>
      <c r="BI762" s="618"/>
      <c r="BJ762" s="618"/>
      <c r="BK762" s="618"/>
      <c r="BL762" s="553"/>
      <c r="BM762" s="618"/>
      <c r="BN762" s="618"/>
      <c r="BO762" s="618"/>
    </row>
    <row r="763" spans="4:67" ht="13">
      <c r="D763" s="618"/>
      <c r="J763" s="1428"/>
      <c r="N763" s="294"/>
      <c r="P763" s="618"/>
      <c r="S763" s="294"/>
      <c r="U763" s="618"/>
      <c r="X763" s="294"/>
      <c r="Z763" s="618"/>
      <c r="AE763" s="618"/>
      <c r="AO763" s="618"/>
      <c r="AT763" s="618"/>
      <c r="AZ763" s="618"/>
      <c r="BE763" s="618"/>
      <c r="BF763" s="618"/>
      <c r="BG763" s="553"/>
      <c r="BH763" s="294"/>
      <c r="BI763" s="618"/>
      <c r="BJ763" s="618"/>
      <c r="BK763" s="618"/>
      <c r="BL763" s="553"/>
      <c r="BM763" s="618"/>
      <c r="BN763" s="618"/>
      <c r="BO763" s="618"/>
    </row>
    <row r="764" spans="4:67" ht="13">
      <c r="D764" s="618"/>
      <c r="J764" s="1428"/>
      <c r="N764" s="294"/>
      <c r="P764" s="618"/>
      <c r="S764" s="294"/>
      <c r="U764" s="618"/>
      <c r="X764" s="294"/>
      <c r="Z764" s="618"/>
      <c r="AE764" s="618"/>
      <c r="AO764" s="618"/>
      <c r="AT764" s="618"/>
      <c r="AZ764" s="618"/>
      <c r="BE764" s="618"/>
      <c r="BF764" s="618"/>
      <c r="BG764" s="553"/>
      <c r="BH764" s="294"/>
      <c r="BI764" s="618"/>
      <c r="BJ764" s="618"/>
      <c r="BK764" s="618"/>
      <c r="BL764" s="553"/>
      <c r="BM764" s="618"/>
      <c r="BN764" s="618"/>
      <c r="BO764" s="618"/>
    </row>
    <row r="765" spans="4:67" ht="13">
      <c r="D765" s="618"/>
      <c r="J765" s="1428"/>
      <c r="N765" s="294"/>
      <c r="P765" s="618"/>
      <c r="S765" s="294"/>
      <c r="U765" s="618"/>
      <c r="X765" s="294"/>
      <c r="Z765" s="618"/>
      <c r="AE765" s="618"/>
      <c r="AO765" s="618"/>
      <c r="AT765" s="618"/>
      <c r="AZ765" s="618"/>
      <c r="BE765" s="618"/>
      <c r="BF765" s="618"/>
      <c r="BG765" s="553"/>
      <c r="BH765" s="294"/>
      <c r="BI765" s="618"/>
      <c r="BJ765" s="618"/>
      <c r="BK765" s="618"/>
      <c r="BL765" s="553"/>
      <c r="BM765" s="618"/>
      <c r="BN765" s="618"/>
      <c r="BO765" s="618"/>
    </row>
    <row r="766" spans="4:67" ht="13">
      <c r="D766" s="618"/>
      <c r="J766" s="1428"/>
      <c r="N766" s="294"/>
      <c r="P766" s="618"/>
      <c r="S766" s="294"/>
      <c r="U766" s="618"/>
      <c r="X766" s="294"/>
      <c r="Z766" s="618"/>
      <c r="AE766" s="618"/>
      <c r="AO766" s="618"/>
      <c r="AT766" s="618"/>
      <c r="AZ766" s="618"/>
      <c r="BE766" s="618"/>
      <c r="BF766" s="618"/>
      <c r="BG766" s="553"/>
      <c r="BH766" s="294"/>
      <c r="BI766" s="618"/>
      <c r="BJ766" s="618"/>
      <c r="BK766" s="618"/>
      <c r="BL766" s="553"/>
      <c r="BM766" s="618"/>
      <c r="BN766" s="618"/>
      <c r="BO766" s="618"/>
    </row>
    <row r="767" spans="4:67" ht="13">
      <c r="D767" s="618"/>
      <c r="J767" s="1428"/>
      <c r="N767" s="294"/>
      <c r="P767" s="618"/>
      <c r="S767" s="294"/>
      <c r="U767" s="618"/>
      <c r="X767" s="294"/>
      <c r="Z767" s="618"/>
      <c r="AE767" s="618"/>
      <c r="AO767" s="618"/>
      <c r="AT767" s="618"/>
      <c r="AZ767" s="618"/>
      <c r="BE767" s="618"/>
      <c r="BF767" s="618"/>
      <c r="BG767" s="553"/>
      <c r="BH767" s="294"/>
      <c r="BI767" s="618"/>
      <c r="BJ767" s="618"/>
      <c r="BK767" s="618"/>
      <c r="BL767" s="553"/>
      <c r="BM767" s="618"/>
      <c r="BN767" s="618"/>
      <c r="BO767" s="618"/>
    </row>
    <row r="768" spans="4:67" ht="13">
      <c r="D768" s="618"/>
      <c r="J768" s="1428"/>
      <c r="N768" s="294"/>
      <c r="P768" s="618"/>
      <c r="S768" s="294"/>
      <c r="U768" s="618"/>
      <c r="X768" s="294"/>
      <c r="Z768" s="618"/>
      <c r="AE768" s="618"/>
      <c r="AO768" s="618"/>
      <c r="AT768" s="618"/>
      <c r="AZ768" s="618"/>
      <c r="BE768" s="618"/>
      <c r="BF768" s="618"/>
      <c r="BG768" s="553"/>
      <c r="BH768" s="294"/>
      <c r="BI768" s="618"/>
      <c r="BJ768" s="618"/>
      <c r="BK768" s="618"/>
      <c r="BL768" s="553"/>
      <c r="BM768" s="618"/>
      <c r="BN768" s="618"/>
      <c r="BO768" s="618"/>
    </row>
    <row r="769" spans="4:67" ht="13">
      <c r="D769" s="618"/>
      <c r="J769" s="1428"/>
      <c r="N769" s="294"/>
      <c r="P769" s="618"/>
      <c r="S769" s="294"/>
      <c r="U769" s="618"/>
      <c r="X769" s="294"/>
      <c r="Z769" s="618"/>
      <c r="AE769" s="618"/>
      <c r="AO769" s="618"/>
      <c r="AT769" s="618"/>
      <c r="AZ769" s="618"/>
      <c r="BE769" s="618"/>
      <c r="BF769" s="618"/>
      <c r="BG769" s="553"/>
      <c r="BH769" s="294"/>
      <c r="BI769" s="618"/>
      <c r="BJ769" s="618"/>
      <c r="BK769" s="618"/>
      <c r="BL769" s="553"/>
      <c r="BM769" s="618"/>
      <c r="BN769" s="618"/>
      <c r="BO769" s="618"/>
    </row>
    <row r="770" spans="4:67" ht="13">
      <c r="D770" s="618"/>
      <c r="J770" s="1428"/>
      <c r="N770" s="294"/>
      <c r="P770" s="618"/>
      <c r="S770" s="294"/>
      <c r="U770" s="618"/>
      <c r="X770" s="294"/>
      <c r="Z770" s="618"/>
      <c r="AE770" s="618"/>
      <c r="AO770" s="618"/>
      <c r="AT770" s="618"/>
      <c r="AZ770" s="618"/>
      <c r="BE770" s="618"/>
      <c r="BF770" s="618"/>
      <c r="BG770" s="553"/>
      <c r="BH770" s="294"/>
      <c r="BI770" s="618"/>
      <c r="BJ770" s="618"/>
      <c r="BK770" s="618"/>
      <c r="BL770" s="553"/>
      <c r="BM770" s="618"/>
      <c r="BN770" s="618"/>
      <c r="BO770" s="618"/>
    </row>
    <row r="771" spans="4:67" ht="13">
      <c r="D771" s="618"/>
      <c r="J771" s="1428"/>
      <c r="N771" s="294"/>
      <c r="P771" s="618"/>
      <c r="S771" s="294"/>
      <c r="U771" s="618"/>
      <c r="X771" s="294"/>
      <c r="Z771" s="618"/>
      <c r="AE771" s="618"/>
      <c r="AO771" s="618"/>
      <c r="AT771" s="618"/>
      <c r="AZ771" s="618"/>
      <c r="BE771" s="618"/>
      <c r="BF771" s="618"/>
      <c r="BG771" s="553"/>
      <c r="BH771" s="294"/>
      <c r="BI771" s="618"/>
      <c r="BJ771" s="618"/>
      <c r="BK771" s="618"/>
      <c r="BL771" s="553"/>
      <c r="BM771" s="618"/>
      <c r="BN771" s="618"/>
      <c r="BO771" s="618"/>
    </row>
    <row r="772" spans="4:67" ht="13">
      <c r="D772" s="618"/>
      <c r="J772" s="1428"/>
      <c r="N772" s="294"/>
      <c r="P772" s="618"/>
      <c r="S772" s="294"/>
      <c r="U772" s="618"/>
      <c r="X772" s="294"/>
      <c r="Z772" s="618"/>
      <c r="AE772" s="618"/>
      <c r="AO772" s="618"/>
      <c r="AT772" s="618"/>
      <c r="AZ772" s="618"/>
      <c r="BE772" s="618"/>
      <c r="BF772" s="618"/>
      <c r="BG772" s="553"/>
      <c r="BH772" s="294"/>
      <c r="BI772" s="618"/>
      <c r="BJ772" s="618"/>
      <c r="BK772" s="618"/>
      <c r="BL772" s="553"/>
      <c r="BM772" s="618"/>
      <c r="BN772" s="618"/>
      <c r="BO772" s="618"/>
    </row>
    <row r="773" spans="4:67" ht="13">
      <c r="D773" s="618"/>
      <c r="J773" s="1428"/>
      <c r="N773" s="294"/>
      <c r="P773" s="618"/>
      <c r="S773" s="294"/>
      <c r="U773" s="618"/>
      <c r="X773" s="294"/>
      <c r="Z773" s="618"/>
      <c r="AE773" s="618"/>
      <c r="AO773" s="618"/>
      <c r="AT773" s="618"/>
      <c r="AZ773" s="618"/>
      <c r="BE773" s="618"/>
      <c r="BF773" s="618"/>
      <c r="BG773" s="553"/>
      <c r="BH773" s="294"/>
      <c r="BI773" s="618"/>
      <c r="BJ773" s="618"/>
      <c r="BK773" s="618"/>
      <c r="BL773" s="553"/>
      <c r="BM773" s="618"/>
      <c r="BN773" s="618"/>
      <c r="BO773" s="618"/>
    </row>
    <row r="774" spans="4:67" ht="13">
      <c r="D774" s="618"/>
      <c r="J774" s="1428"/>
      <c r="N774" s="294"/>
      <c r="P774" s="618"/>
      <c r="S774" s="294"/>
      <c r="U774" s="618"/>
      <c r="X774" s="294"/>
      <c r="Z774" s="618"/>
      <c r="AE774" s="618"/>
      <c r="AO774" s="618"/>
      <c r="AT774" s="618"/>
      <c r="AZ774" s="618"/>
      <c r="BE774" s="618"/>
      <c r="BF774" s="618"/>
      <c r="BG774" s="553"/>
      <c r="BH774" s="294"/>
      <c r="BI774" s="618"/>
      <c r="BJ774" s="618"/>
      <c r="BK774" s="618"/>
      <c r="BL774" s="553"/>
      <c r="BM774" s="618"/>
      <c r="BN774" s="618"/>
      <c r="BO774" s="618"/>
    </row>
    <row r="775" spans="4:67" ht="13">
      <c r="D775" s="618"/>
      <c r="J775" s="1428"/>
      <c r="N775" s="294"/>
      <c r="P775" s="618"/>
      <c r="S775" s="294"/>
      <c r="U775" s="618"/>
      <c r="X775" s="294"/>
      <c r="Z775" s="618"/>
      <c r="AE775" s="618"/>
      <c r="AO775" s="618"/>
      <c r="AT775" s="618"/>
      <c r="AZ775" s="618"/>
      <c r="BE775" s="618"/>
      <c r="BF775" s="618"/>
      <c r="BG775" s="553"/>
      <c r="BH775" s="294"/>
      <c r="BI775" s="618"/>
      <c r="BJ775" s="618"/>
      <c r="BK775" s="618"/>
      <c r="BL775" s="553"/>
      <c r="BM775" s="618"/>
      <c r="BN775" s="618"/>
      <c r="BO775" s="618"/>
    </row>
    <row r="776" spans="4:67" ht="13">
      <c r="D776" s="618"/>
      <c r="J776" s="1428"/>
      <c r="N776" s="294"/>
      <c r="P776" s="618"/>
      <c r="S776" s="294"/>
      <c r="U776" s="618"/>
      <c r="X776" s="294"/>
      <c r="Z776" s="618"/>
      <c r="AE776" s="618"/>
      <c r="AO776" s="618"/>
      <c r="AT776" s="618"/>
      <c r="AZ776" s="618"/>
      <c r="BE776" s="618"/>
      <c r="BF776" s="618"/>
      <c r="BG776" s="553"/>
      <c r="BH776" s="294"/>
      <c r="BI776" s="618"/>
      <c r="BJ776" s="618"/>
      <c r="BK776" s="618"/>
      <c r="BL776" s="553"/>
      <c r="BM776" s="618"/>
      <c r="BN776" s="618"/>
      <c r="BO776" s="618"/>
    </row>
    <row r="777" spans="4:67" ht="13">
      <c r="D777" s="618"/>
      <c r="J777" s="1428"/>
      <c r="N777" s="294"/>
      <c r="P777" s="618"/>
      <c r="S777" s="294"/>
      <c r="U777" s="618"/>
      <c r="X777" s="294"/>
      <c r="Z777" s="618"/>
      <c r="AE777" s="618"/>
      <c r="AO777" s="618"/>
      <c r="AT777" s="618"/>
      <c r="AZ777" s="618"/>
      <c r="BE777" s="618"/>
      <c r="BF777" s="618"/>
      <c r="BG777" s="553"/>
      <c r="BH777" s="294"/>
      <c r="BI777" s="618"/>
      <c r="BJ777" s="618"/>
      <c r="BK777" s="618"/>
      <c r="BL777" s="553"/>
      <c r="BM777" s="618"/>
      <c r="BN777" s="618"/>
      <c r="BO777" s="618"/>
    </row>
    <row r="778" spans="4:67" ht="13">
      <c r="D778" s="618"/>
      <c r="J778" s="1428"/>
      <c r="N778" s="294"/>
      <c r="P778" s="618"/>
      <c r="S778" s="294"/>
      <c r="U778" s="618"/>
      <c r="X778" s="294"/>
      <c r="Z778" s="618"/>
      <c r="AE778" s="618"/>
      <c r="AO778" s="618"/>
      <c r="AT778" s="618"/>
      <c r="AZ778" s="618"/>
      <c r="BE778" s="618"/>
      <c r="BF778" s="618"/>
      <c r="BG778" s="553"/>
      <c r="BH778" s="294"/>
      <c r="BI778" s="618"/>
      <c r="BJ778" s="618"/>
      <c r="BK778" s="618"/>
      <c r="BL778" s="553"/>
      <c r="BM778" s="618"/>
      <c r="BN778" s="618"/>
      <c r="BO778" s="618"/>
    </row>
    <row r="779" spans="4:67" ht="13">
      <c r="D779" s="618"/>
      <c r="J779" s="1428"/>
      <c r="N779" s="294"/>
      <c r="P779" s="618"/>
      <c r="S779" s="294"/>
      <c r="U779" s="618"/>
      <c r="X779" s="294"/>
      <c r="Z779" s="618"/>
      <c r="AE779" s="618"/>
      <c r="AO779" s="618"/>
      <c r="AT779" s="618"/>
      <c r="AZ779" s="618"/>
      <c r="BE779" s="618"/>
      <c r="BF779" s="618"/>
      <c r="BG779" s="553"/>
      <c r="BH779" s="294"/>
      <c r="BI779" s="618"/>
      <c r="BJ779" s="618"/>
      <c r="BK779" s="618"/>
      <c r="BL779" s="553"/>
      <c r="BM779" s="618"/>
      <c r="BN779" s="618"/>
      <c r="BO779" s="618"/>
    </row>
    <row r="780" spans="4:67" ht="13">
      <c r="D780" s="618"/>
      <c r="J780" s="1428"/>
      <c r="N780" s="294"/>
      <c r="P780" s="618"/>
      <c r="S780" s="294"/>
      <c r="U780" s="618"/>
      <c r="X780" s="294"/>
      <c r="Z780" s="618"/>
      <c r="AE780" s="618"/>
      <c r="AO780" s="618"/>
      <c r="AT780" s="618"/>
      <c r="AZ780" s="618"/>
      <c r="BE780" s="618"/>
      <c r="BF780" s="618"/>
      <c r="BG780" s="553"/>
      <c r="BH780" s="294"/>
      <c r="BI780" s="618"/>
      <c r="BJ780" s="618"/>
      <c r="BK780" s="618"/>
      <c r="BL780" s="553"/>
      <c r="BM780" s="618"/>
      <c r="BN780" s="618"/>
      <c r="BO780" s="618"/>
    </row>
    <row r="781" spans="4:67" ht="13">
      <c r="D781" s="618"/>
      <c r="J781" s="1428"/>
      <c r="N781" s="294"/>
      <c r="P781" s="618"/>
      <c r="S781" s="294"/>
      <c r="U781" s="618"/>
      <c r="X781" s="294"/>
      <c r="Z781" s="618"/>
      <c r="AE781" s="618"/>
      <c r="AO781" s="618"/>
      <c r="AT781" s="618"/>
      <c r="AZ781" s="618"/>
      <c r="BE781" s="618"/>
      <c r="BF781" s="618"/>
      <c r="BG781" s="553"/>
      <c r="BH781" s="294"/>
      <c r="BI781" s="618"/>
      <c r="BJ781" s="618"/>
      <c r="BK781" s="618"/>
      <c r="BL781" s="553"/>
      <c r="BM781" s="618"/>
      <c r="BN781" s="618"/>
      <c r="BO781" s="618"/>
    </row>
    <row r="782" spans="4:67" ht="13">
      <c r="D782" s="618"/>
      <c r="J782" s="1428"/>
      <c r="N782" s="294"/>
      <c r="P782" s="618"/>
      <c r="S782" s="294"/>
      <c r="U782" s="618"/>
      <c r="X782" s="294"/>
      <c r="Z782" s="618"/>
      <c r="AE782" s="618"/>
      <c r="AO782" s="618"/>
      <c r="AT782" s="618"/>
      <c r="AZ782" s="618"/>
      <c r="BE782" s="618"/>
      <c r="BF782" s="618"/>
      <c r="BG782" s="553"/>
      <c r="BH782" s="294"/>
      <c r="BI782" s="618"/>
      <c r="BJ782" s="618"/>
      <c r="BK782" s="618"/>
      <c r="BL782" s="553"/>
      <c r="BM782" s="618"/>
      <c r="BN782" s="618"/>
      <c r="BO782" s="618"/>
    </row>
    <row r="783" spans="4:67" ht="13">
      <c r="D783" s="618"/>
      <c r="J783" s="1428"/>
      <c r="N783" s="294"/>
      <c r="P783" s="618"/>
      <c r="S783" s="294"/>
      <c r="U783" s="618"/>
      <c r="X783" s="294"/>
      <c r="Z783" s="618"/>
      <c r="AE783" s="618"/>
      <c r="AO783" s="618"/>
      <c r="AT783" s="618"/>
      <c r="AZ783" s="618"/>
      <c r="BE783" s="618"/>
      <c r="BF783" s="618"/>
      <c r="BG783" s="553"/>
      <c r="BH783" s="294"/>
      <c r="BI783" s="618"/>
      <c r="BJ783" s="618"/>
      <c r="BK783" s="618"/>
      <c r="BL783" s="553"/>
      <c r="BM783" s="618"/>
      <c r="BN783" s="618"/>
      <c r="BO783" s="618"/>
    </row>
    <row r="784" spans="4:67" ht="13">
      <c r="D784" s="618"/>
      <c r="J784" s="1428"/>
      <c r="N784" s="294"/>
      <c r="P784" s="618"/>
      <c r="S784" s="294"/>
      <c r="U784" s="618"/>
      <c r="X784" s="294"/>
      <c r="Z784" s="618"/>
      <c r="AE784" s="618"/>
      <c r="AO784" s="618"/>
      <c r="AT784" s="618"/>
      <c r="AZ784" s="618"/>
      <c r="BE784" s="618"/>
      <c r="BF784" s="618"/>
      <c r="BG784" s="553"/>
      <c r="BH784" s="294"/>
      <c r="BI784" s="618"/>
      <c r="BJ784" s="618"/>
      <c r="BK784" s="618"/>
      <c r="BL784" s="553"/>
      <c r="BM784" s="618"/>
      <c r="BN784" s="618"/>
      <c r="BO784" s="618"/>
    </row>
    <row r="785" spans="4:67" ht="13">
      <c r="D785" s="618"/>
      <c r="J785" s="1428"/>
      <c r="N785" s="294"/>
      <c r="P785" s="618"/>
      <c r="S785" s="294"/>
      <c r="U785" s="618"/>
      <c r="X785" s="294"/>
      <c r="Z785" s="618"/>
      <c r="AE785" s="618"/>
      <c r="AO785" s="618"/>
      <c r="AT785" s="618"/>
      <c r="AZ785" s="618"/>
      <c r="BE785" s="618"/>
      <c r="BF785" s="618"/>
      <c r="BG785" s="553"/>
      <c r="BH785" s="294"/>
      <c r="BI785" s="618"/>
      <c r="BJ785" s="618"/>
      <c r="BK785" s="618"/>
      <c r="BL785" s="553"/>
      <c r="BM785" s="618"/>
      <c r="BN785" s="618"/>
      <c r="BO785" s="618"/>
    </row>
    <row r="786" spans="4:67" ht="13">
      <c r="D786" s="618"/>
      <c r="J786" s="1428"/>
      <c r="N786" s="294"/>
      <c r="P786" s="618"/>
      <c r="S786" s="294"/>
      <c r="U786" s="618"/>
      <c r="X786" s="294"/>
      <c r="Z786" s="618"/>
      <c r="AE786" s="618"/>
      <c r="AO786" s="618"/>
      <c r="AT786" s="618"/>
      <c r="AZ786" s="618"/>
      <c r="BE786" s="618"/>
      <c r="BF786" s="618"/>
      <c r="BG786" s="553"/>
      <c r="BH786" s="294"/>
      <c r="BI786" s="618"/>
      <c r="BJ786" s="618"/>
      <c r="BK786" s="618"/>
      <c r="BL786" s="553"/>
      <c r="BM786" s="618"/>
      <c r="BN786" s="618"/>
      <c r="BO786" s="618"/>
    </row>
    <row r="787" spans="4:67" ht="13">
      <c r="D787" s="618"/>
      <c r="J787" s="1428"/>
      <c r="N787" s="294"/>
      <c r="P787" s="618"/>
      <c r="S787" s="294"/>
      <c r="U787" s="618"/>
      <c r="X787" s="294"/>
      <c r="Z787" s="618"/>
      <c r="AE787" s="618"/>
      <c r="AO787" s="618"/>
      <c r="AT787" s="618"/>
      <c r="AZ787" s="618"/>
      <c r="BE787" s="618"/>
      <c r="BF787" s="618"/>
      <c r="BG787" s="553"/>
      <c r="BH787" s="294"/>
      <c r="BI787" s="618"/>
      <c r="BJ787" s="618"/>
      <c r="BK787" s="618"/>
      <c r="BL787" s="553"/>
      <c r="BM787" s="618"/>
      <c r="BN787" s="618"/>
      <c r="BO787" s="618"/>
    </row>
    <row r="788" spans="4:67" ht="13">
      <c r="D788" s="618"/>
      <c r="J788" s="1428"/>
      <c r="N788" s="294"/>
      <c r="P788" s="618"/>
      <c r="S788" s="294"/>
      <c r="U788" s="618"/>
      <c r="X788" s="294"/>
      <c r="Z788" s="618"/>
      <c r="AE788" s="618"/>
      <c r="AO788" s="618"/>
      <c r="AT788" s="618"/>
      <c r="AZ788" s="618"/>
      <c r="BE788" s="618"/>
      <c r="BF788" s="618"/>
      <c r="BG788" s="553"/>
      <c r="BH788" s="294"/>
      <c r="BI788" s="618"/>
      <c r="BJ788" s="618"/>
      <c r="BK788" s="618"/>
      <c r="BL788" s="553"/>
      <c r="BM788" s="618"/>
      <c r="BN788" s="618"/>
      <c r="BO788" s="618"/>
    </row>
    <row r="789" spans="4:67" ht="13">
      <c r="D789" s="618"/>
      <c r="J789" s="1428"/>
      <c r="N789" s="294"/>
      <c r="P789" s="618"/>
      <c r="S789" s="294"/>
      <c r="U789" s="618"/>
      <c r="X789" s="294"/>
      <c r="Z789" s="618"/>
      <c r="AE789" s="618"/>
      <c r="AO789" s="618"/>
      <c r="AT789" s="618"/>
      <c r="AZ789" s="618"/>
      <c r="BE789" s="618"/>
      <c r="BF789" s="618"/>
      <c r="BG789" s="553"/>
      <c r="BH789" s="294"/>
      <c r="BI789" s="618"/>
      <c r="BJ789" s="618"/>
      <c r="BK789" s="618"/>
      <c r="BL789" s="553"/>
      <c r="BM789" s="618"/>
      <c r="BN789" s="618"/>
      <c r="BO789" s="618"/>
    </row>
    <row r="790" spans="4:67" ht="13">
      <c r="D790" s="618"/>
      <c r="J790" s="1428"/>
      <c r="N790" s="294"/>
      <c r="P790" s="618"/>
      <c r="S790" s="294"/>
      <c r="U790" s="618"/>
      <c r="X790" s="294"/>
      <c r="Z790" s="618"/>
      <c r="AE790" s="618"/>
      <c r="AO790" s="618"/>
      <c r="AT790" s="618"/>
      <c r="AZ790" s="618"/>
      <c r="BE790" s="618"/>
      <c r="BF790" s="618"/>
      <c r="BG790" s="553"/>
      <c r="BH790" s="294"/>
      <c r="BI790" s="618"/>
      <c r="BJ790" s="618"/>
      <c r="BK790" s="618"/>
      <c r="BL790" s="553"/>
      <c r="BM790" s="618"/>
      <c r="BN790" s="618"/>
      <c r="BO790" s="618"/>
    </row>
    <row r="791" spans="4:67" ht="13">
      <c r="D791" s="618"/>
      <c r="J791" s="1428"/>
      <c r="N791" s="294"/>
      <c r="P791" s="618"/>
      <c r="S791" s="294"/>
      <c r="U791" s="618"/>
      <c r="X791" s="294"/>
      <c r="Z791" s="618"/>
      <c r="AE791" s="618"/>
      <c r="AO791" s="618"/>
      <c r="AT791" s="618"/>
      <c r="AZ791" s="618"/>
      <c r="BE791" s="618"/>
      <c r="BF791" s="618"/>
      <c r="BG791" s="553"/>
      <c r="BH791" s="294"/>
      <c r="BI791" s="618"/>
      <c r="BJ791" s="618"/>
      <c r="BK791" s="618"/>
      <c r="BL791" s="553"/>
      <c r="BM791" s="618"/>
      <c r="BN791" s="618"/>
      <c r="BO791" s="618"/>
    </row>
    <row r="792" spans="4:67" ht="13">
      <c r="D792" s="618"/>
      <c r="J792" s="1428"/>
      <c r="N792" s="294"/>
      <c r="P792" s="618"/>
      <c r="S792" s="294"/>
      <c r="U792" s="618"/>
      <c r="X792" s="294"/>
      <c r="Z792" s="618"/>
      <c r="AE792" s="618"/>
      <c r="AO792" s="618"/>
      <c r="AT792" s="618"/>
      <c r="AZ792" s="618"/>
      <c r="BE792" s="618"/>
      <c r="BF792" s="618"/>
      <c r="BG792" s="553"/>
      <c r="BH792" s="294"/>
      <c r="BI792" s="618"/>
      <c r="BJ792" s="618"/>
      <c r="BK792" s="618"/>
      <c r="BL792" s="553"/>
      <c r="BM792" s="618"/>
      <c r="BN792" s="618"/>
      <c r="BO792" s="618"/>
    </row>
    <row r="793" spans="4:67" ht="13">
      <c r="D793" s="618"/>
      <c r="J793" s="1428"/>
      <c r="N793" s="294"/>
      <c r="P793" s="618"/>
      <c r="S793" s="294"/>
      <c r="U793" s="618"/>
      <c r="X793" s="294"/>
      <c r="Z793" s="618"/>
      <c r="AE793" s="618"/>
      <c r="AO793" s="618"/>
      <c r="AT793" s="618"/>
      <c r="AZ793" s="618"/>
      <c r="BE793" s="618"/>
      <c r="BF793" s="618"/>
      <c r="BG793" s="553"/>
      <c r="BH793" s="294"/>
      <c r="BI793" s="618"/>
      <c r="BJ793" s="618"/>
      <c r="BK793" s="618"/>
      <c r="BL793" s="553"/>
      <c r="BM793" s="618"/>
      <c r="BN793" s="618"/>
      <c r="BO793" s="618"/>
    </row>
    <row r="794" spans="4:67" ht="13">
      <c r="D794" s="618"/>
      <c r="J794" s="1428"/>
      <c r="N794" s="294"/>
      <c r="P794" s="618"/>
      <c r="S794" s="294"/>
      <c r="U794" s="618"/>
      <c r="X794" s="294"/>
      <c r="Z794" s="618"/>
      <c r="AE794" s="618"/>
      <c r="AO794" s="618"/>
      <c r="AT794" s="618"/>
      <c r="AZ794" s="618"/>
      <c r="BE794" s="618"/>
      <c r="BF794" s="618"/>
      <c r="BG794" s="553"/>
      <c r="BH794" s="294"/>
      <c r="BI794" s="618"/>
      <c r="BJ794" s="618"/>
      <c r="BK794" s="618"/>
      <c r="BL794" s="553"/>
      <c r="BM794" s="618"/>
      <c r="BN794" s="618"/>
      <c r="BO794" s="618"/>
    </row>
    <row r="795" spans="4:67" ht="13">
      <c r="D795" s="618"/>
      <c r="J795" s="1428"/>
      <c r="N795" s="294"/>
      <c r="P795" s="618"/>
      <c r="S795" s="294"/>
      <c r="U795" s="618"/>
      <c r="X795" s="294"/>
      <c r="Z795" s="618"/>
      <c r="AE795" s="618"/>
      <c r="AO795" s="618"/>
      <c r="AT795" s="618"/>
      <c r="AZ795" s="618"/>
      <c r="BE795" s="618"/>
      <c r="BF795" s="618"/>
      <c r="BG795" s="553"/>
      <c r="BH795" s="294"/>
      <c r="BI795" s="618"/>
      <c r="BJ795" s="618"/>
      <c r="BK795" s="618"/>
      <c r="BL795" s="553"/>
      <c r="BM795" s="618"/>
      <c r="BN795" s="618"/>
      <c r="BO795" s="618"/>
    </row>
    <row r="796" spans="4:67" ht="13">
      <c r="D796" s="618"/>
      <c r="J796" s="1428"/>
      <c r="N796" s="294"/>
      <c r="P796" s="618"/>
      <c r="S796" s="294"/>
      <c r="U796" s="618"/>
      <c r="X796" s="294"/>
      <c r="Z796" s="618"/>
      <c r="AE796" s="618"/>
      <c r="AO796" s="618"/>
      <c r="AT796" s="618"/>
      <c r="AZ796" s="618"/>
      <c r="BE796" s="618"/>
      <c r="BF796" s="618"/>
      <c r="BG796" s="553"/>
      <c r="BH796" s="294"/>
      <c r="BI796" s="618"/>
      <c r="BJ796" s="618"/>
      <c r="BK796" s="618"/>
      <c r="BL796" s="553"/>
      <c r="BM796" s="618"/>
      <c r="BN796" s="618"/>
      <c r="BO796" s="618"/>
    </row>
    <row r="797" spans="4:67" ht="13">
      <c r="D797" s="618"/>
      <c r="J797" s="1428"/>
      <c r="N797" s="294"/>
      <c r="P797" s="618"/>
      <c r="S797" s="294"/>
      <c r="U797" s="618"/>
      <c r="X797" s="294"/>
      <c r="Z797" s="618"/>
      <c r="AE797" s="618"/>
      <c r="AO797" s="618"/>
      <c r="AT797" s="618"/>
      <c r="AZ797" s="618"/>
      <c r="BE797" s="618"/>
      <c r="BF797" s="618"/>
      <c r="BG797" s="553"/>
      <c r="BH797" s="294"/>
      <c r="BI797" s="618"/>
      <c r="BJ797" s="618"/>
      <c r="BK797" s="618"/>
      <c r="BL797" s="553"/>
      <c r="BM797" s="618"/>
      <c r="BN797" s="618"/>
      <c r="BO797" s="618"/>
    </row>
    <row r="798" spans="4:67" ht="13">
      <c r="D798" s="618"/>
      <c r="J798" s="1428"/>
      <c r="N798" s="294"/>
      <c r="P798" s="618"/>
      <c r="S798" s="294"/>
      <c r="U798" s="618"/>
      <c r="X798" s="294"/>
      <c r="Z798" s="618"/>
      <c r="AE798" s="618"/>
      <c r="AO798" s="618"/>
      <c r="AT798" s="618"/>
      <c r="AZ798" s="618"/>
      <c r="BE798" s="618"/>
      <c r="BF798" s="618"/>
      <c r="BG798" s="553"/>
      <c r="BH798" s="294"/>
      <c r="BI798" s="618"/>
      <c r="BJ798" s="618"/>
      <c r="BK798" s="618"/>
      <c r="BL798" s="553"/>
      <c r="BM798" s="618"/>
      <c r="BN798" s="618"/>
      <c r="BO798" s="618"/>
    </row>
    <row r="799" spans="4:67" ht="13">
      <c r="D799" s="618"/>
      <c r="J799" s="1428"/>
      <c r="N799" s="294"/>
      <c r="P799" s="618"/>
      <c r="S799" s="294"/>
      <c r="U799" s="618"/>
      <c r="X799" s="294"/>
      <c r="Z799" s="618"/>
      <c r="AE799" s="618"/>
      <c r="AO799" s="618"/>
      <c r="AT799" s="618"/>
      <c r="AZ799" s="618"/>
      <c r="BE799" s="618"/>
      <c r="BF799" s="618"/>
      <c r="BG799" s="553"/>
      <c r="BH799" s="294"/>
      <c r="BI799" s="618"/>
      <c r="BJ799" s="618"/>
      <c r="BK799" s="618"/>
      <c r="BL799" s="553"/>
      <c r="BM799" s="618"/>
      <c r="BN799" s="618"/>
      <c r="BO799" s="618"/>
    </row>
    <row r="800" spans="4:67" ht="13">
      <c r="D800" s="618"/>
      <c r="J800" s="1428"/>
      <c r="N800" s="294"/>
      <c r="P800" s="618"/>
      <c r="S800" s="294"/>
      <c r="U800" s="618"/>
      <c r="X800" s="294"/>
      <c r="Z800" s="618"/>
      <c r="AE800" s="618"/>
      <c r="AO800" s="618"/>
      <c r="AT800" s="618"/>
      <c r="AZ800" s="618"/>
      <c r="BE800" s="618"/>
      <c r="BF800" s="618"/>
      <c r="BG800" s="553"/>
      <c r="BH800" s="294"/>
      <c r="BI800" s="618"/>
      <c r="BJ800" s="618"/>
      <c r="BK800" s="618"/>
      <c r="BL800" s="553"/>
      <c r="BM800" s="618"/>
      <c r="BN800" s="618"/>
      <c r="BO800" s="618"/>
    </row>
    <row r="801" spans="4:67" ht="13">
      <c r="D801" s="618"/>
      <c r="J801" s="1428"/>
      <c r="N801" s="294"/>
      <c r="P801" s="618"/>
      <c r="S801" s="294"/>
      <c r="U801" s="618"/>
      <c r="X801" s="294"/>
      <c r="Z801" s="618"/>
      <c r="AE801" s="618"/>
      <c r="AO801" s="618"/>
      <c r="AT801" s="618"/>
      <c r="AZ801" s="618"/>
      <c r="BE801" s="618"/>
      <c r="BF801" s="618"/>
      <c r="BG801" s="553"/>
      <c r="BH801" s="294"/>
      <c r="BI801" s="618"/>
      <c r="BJ801" s="618"/>
      <c r="BK801" s="618"/>
      <c r="BL801" s="553"/>
      <c r="BM801" s="618"/>
      <c r="BN801" s="618"/>
      <c r="BO801" s="618"/>
    </row>
    <row r="802" spans="4:67" ht="13">
      <c r="D802" s="618"/>
      <c r="J802" s="1428"/>
      <c r="N802" s="294"/>
      <c r="P802" s="618"/>
      <c r="S802" s="294"/>
      <c r="U802" s="618"/>
      <c r="X802" s="294"/>
      <c r="Z802" s="618"/>
      <c r="AE802" s="618"/>
      <c r="AO802" s="618"/>
      <c r="AT802" s="618"/>
      <c r="AZ802" s="618"/>
      <c r="BE802" s="618"/>
      <c r="BF802" s="618"/>
      <c r="BG802" s="553"/>
      <c r="BH802" s="294"/>
      <c r="BI802" s="618"/>
      <c r="BJ802" s="618"/>
      <c r="BK802" s="618"/>
      <c r="BL802" s="553"/>
      <c r="BM802" s="618"/>
      <c r="BN802" s="618"/>
      <c r="BO802" s="618"/>
    </row>
    <row r="803" spans="4:67" ht="13">
      <c r="D803" s="618"/>
      <c r="J803" s="1428"/>
      <c r="N803" s="294"/>
      <c r="P803" s="618"/>
      <c r="S803" s="294"/>
      <c r="U803" s="618"/>
      <c r="X803" s="294"/>
      <c r="Z803" s="618"/>
      <c r="AE803" s="618"/>
      <c r="AO803" s="618"/>
      <c r="AT803" s="618"/>
      <c r="AZ803" s="618"/>
      <c r="BE803" s="618"/>
      <c r="BF803" s="618"/>
      <c r="BG803" s="553"/>
      <c r="BH803" s="294"/>
      <c r="BI803" s="618"/>
      <c r="BJ803" s="618"/>
      <c r="BK803" s="618"/>
      <c r="BL803" s="553"/>
      <c r="BM803" s="618"/>
      <c r="BN803" s="618"/>
      <c r="BO803" s="618"/>
    </row>
    <row r="804" spans="4:67" ht="13">
      <c r="D804" s="618"/>
      <c r="J804" s="1428"/>
      <c r="N804" s="294"/>
      <c r="P804" s="618"/>
      <c r="S804" s="294"/>
      <c r="U804" s="618"/>
      <c r="X804" s="294"/>
      <c r="Z804" s="618"/>
      <c r="AE804" s="618"/>
      <c r="AO804" s="618"/>
      <c r="AT804" s="618"/>
      <c r="AZ804" s="618"/>
      <c r="BE804" s="618"/>
      <c r="BF804" s="618"/>
      <c r="BG804" s="553"/>
      <c r="BH804" s="294"/>
      <c r="BI804" s="618"/>
      <c r="BJ804" s="618"/>
      <c r="BK804" s="618"/>
      <c r="BL804" s="553"/>
      <c r="BM804" s="618"/>
      <c r="BN804" s="618"/>
      <c r="BO804" s="618"/>
    </row>
    <row r="805" spans="4:67" ht="13">
      <c r="D805" s="618"/>
      <c r="J805" s="1428"/>
      <c r="N805" s="294"/>
      <c r="P805" s="618"/>
      <c r="S805" s="294"/>
      <c r="U805" s="618"/>
      <c r="X805" s="294"/>
      <c r="Z805" s="618"/>
      <c r="AE805" s="618"/>
      <c r="AO805" s="618"/>
      <c r="AT805" s="618"/>
      <c r="AZ805" s="618"/>
      <c r="BE805" s="618"/>
      <c r="BF805" s="618"/>
      <c r="BG805" s="553"/>
      <c r="BH805" s="294"/>
      <c r="BI805" s="618"/>
      <c r="BJ805" s="618"/>
      <c r="BK805" s="618"/>
      <c r="BL805" s="553"/>
      <c r="BM805" s="618"/>
      <c r="BN805" s="618"/>
      <c r="BO805" s="618"/>
    </row>
    <row r="806" spans="4:67" ht="13">
      <c r="D806" s="618"/>
      <c r="J806" s="1428"/>
      <c r="N806" s="294"/>
      <c r="P806" s="618"/>
      <c r="S806" s="294"/>
      <c r="U806" s="618"/>
      <c r="X806" s="294"/>
      <c r="Z806" s="618"/>
      <c r="AE806" s="618"/>
      <c r="AO806" s="618"/>
      <c r="AT806" s="618"/>
      <c r="AZ806" s="618"/>
      <c r="BE806" s="618"/>
      <c r="BF806" s="618"/>
      <c r="BG806" s="553"/>
      <c r="BH806" s="294"/>
      <c r="BI806" s="618"/>
      <c r="BJ806" s="618"/>
      <c r="BK806" s="618"/>
      <c r="BL806" s="553"/>
      <c r="BM806" s="618"/>
      <c r="BN806" s="618"/>
      <c r="BO806" s="618"/>
    </row>
    <row r="807" spans="4:67" ht="13">
      <c r="D807" s="618"/>
      <c r="J807" s="1428"/>
      <c r="N807" s="294"/>
      <c r="P807" s="618"/>
      <c r="S807" s="294"/>
      <c r="U807" s="618"/>
      <c r="X807" s="294"/>
      <c r="Z807" s="618"/>
      <c r="AE807" s="618"/>
      <c r="AO807" s="618"/>
      <c r="AT807" s="618"/>
      <c r="AZ807" s="618"/>
      <c r="BE807" s="618"/>
      <c r="BF807" s="618"/>
      <c r="BG807" s="553"/>
      <c r="BH807" s="294"/>
      <c r="BI807" s="618"/>
      <c r="BJ807" s="618"/>
      <c r="BK807" s="618"/>
      <c r="BL807" s="553"/>
      <c r="BM807" s="618"/>
      <c r="BN807" s="618"/>
      <c r="BO807" s="618"/>
    </row>
    <row r="808" spans="4:67" ht="13">
      <c r="D808" s="618"/>
      <c r="J808" s="1428"/>
      <c r="N808" s="294"/>
      <c r="P808" s="618"/>
      <c r="S808" s="294"/>
      <c r="U808" s="618"/>
      <c r="X808" s="294"/>
      <c r="Z808" s="618"/>
      <c r="AE808" s="618"/>
      <c r="AO808" s="618"/>
      <c r="AT808" s="618"/>
      <c r="AZ808" s="618"/>
      <c r="BE808" s="618"/>
      <c r="BF808" s="618"/>
      <c r="BG808" s="553"/>
      <c r="BH808" s="294"/>
      <c r="BI808" s="618"/>
      <c r="BJ808" s="618"/>
      <c r="BK808" s="618"/>
      <c r="BL808" s="553"/>
      <c r="BM808" s="618"/>
      <c r="BN808" s="618"/>
      <c r="BO808" s="618"/>
    </row>
    <row r="809" spans="4:67" ht="13">
      <c r="D809" s="618"/>
      <c r="J809" s="1428"/>
      <c r="N809" s="294"/>
      <c r="P809" s="618"/>
      <c r="S809" s="294"/>
      <c r="U809" s="618"/>
      <c r="X809" s="294"/>
      <c r="Z809" s="618"/>
      <c r="AE809" s="618"/>
      <c r="AO809" s="618"/>
      <c r="AT809" s="618"/>
      <c r="AZ809" s="618"/>
      <c r="BE809" s="618"/>
      <c r="BF809" s="618"/>
      <c r="BG809" s="553"/>
      <c r="BH809" s="294"/>
      <c r="BI809" s="618"/>
      <c r="BJ809" s="618"/>
      <c r="BK809" s="618"/>
      <c r="BL809" s="553"/>
      <c r="BM809" s="618"/>
      <c r="BN809" s="618"/>
      <c r="BO809" s="618"/>
    </row>
    <row r="810" spans="4:67" ht="13">
      <c r="D810" s="618"/>
      <c r="J810" s="1428"/>
      <c r="N810" s="294"/>
      <c r="P810" s="618"/>
      <c r="S810" s="294"/>
      <c r="U810" s="618"/>
      <c r="X810" s="294"/>
      <c r="Z810" s="618"/>
      <c r="AE810" s="618"/>
      <c r="AO810" s="618"/>
      <c r="AT810" s="618"/>
      <c r="AZ810" s="618"/>
      <c r="BE810" s="618"/>
      <c r="BF810" s="618"/>
      <c r="BG810" s="553"/>
      <c r="BH810" s="294"/>
      <c r="BI810" s="618"/>
      <c r="BJ810" s="618"/>
      <c r="BK810" s="618"/>
      <c r="BL810" s="553"/>
      <c r="BM810" s="618"/>
      <c r="BN810" s="618"/>
      <c r="BO810" s="618"/>
    </row>
    <row r="811" spans="4:67" ht="13">
      <c r="D811" s="618"/>
      <c r="J811" s="1428"/>
      <c r="N811" s="294"/>
      <c r="P811" s="618"/>
      <c r="S811" s="294"/>
      <c r="U811" s="618"/>
      <c r="X811" s="294"/>
      <c r="Z811" s="618"/>
      <c r="AE811" s="618"/>
      <c r="AO811" s="618"/>
      <c r="AT811" s="618"/>
      <c r="AZ811" s="618"/>
      <c r="BE811" s="618"/>
      <c r="BF811" s="618"/>
      <c r="BG811" s="553"/>
      <c r="BH811" s="294"/>
      <c r="BI811" s="618"/>
      <c r="BJ811" s="618"/>
      <c r="BK811" s="618"/>
      <c r="BL811" s="553"/>
      <c r="BM811" s="618"/>
      <c r="BN811" s="618"/>
      <c r="BO811" s="618"/>
    </row>
    <row r="812" spans="4:67" ht="13">
      <c r="D812" s="618"/>
      <c r="J812" s="1428"/>
      <c r="N812" s="294"/>
      <c r="P812" s="618"/>
      <c r="S812" s="294"/>
      <c r="U812" s="618"/>
      <c r="X812" s="294"/>
      <c r="Z812" s="618"/>
      <c r="AE812" s="618"/>
      <c r="AO812" s="618"/>
      <c r="AT812" s="618"/>
      <c r="AZ812" s="618"/>
      <c r="BE812" s="618"/>
      <c r="BF812" s="618"/>
      <c r="BG812" s="553"/>
      <c r="BH812" s="294"/>
      <c r="BI812" s="618"/>
      <c r="BJ812" s="618"/>
      <c r="BK812" s="618"/>
      <c r="BL812" s="553"/>
      <c r="BM812" s="618"/>
      <c r="BN812" s="618"/>
      <c r="BO812" s="618"/>
    </row>
    <row r="813" spans="4:67" ht="13">
      <c r="D813" s="618"/>
      <c r="J813" s="1428"/>
      <c r="N813" s="294"/>
      <c r="P813" s="618"/>
      <c r="S813" s="294"/>
      <c r="U813" s="618"/>
      <c r="X813" s="294"/>
      <c r="Z813" s="618"/>
      <c r="AE813" s="618"/>
      <c r="AO813" s="618"/>
      <c r="AT813" s="618"/>
      <c r="AZ813" s="618"/>
      <c r="BE813" s="618"/>
      <c r="BF813" s="618"/>
      <c r="BG813" s="553"/>
      <c r="BH813" s="294"/>
      <c r="BI813" s="618"/>
      <c r="BJ813" s="618"/>
      <c r="BK813" s="618"/>
      <c r="BL813" s="553"/>
      <c r="BM813" s="618"/>
      <c r="BN813" s="618"/>
      <c r="BO813" s="618"/>
    </row>
    <row r="814" spans="4:67" ht="13">
      <c r="D814" s="618"/>
      <c r="J814" s="1428"/>
      <c r="N814" s="294"/>
      <c r="P814" s="618"/>
      <c r="S814" s="294"/>
      <c r="U814" s="618"/>
      <c r="X814" s="294"/>
      <c r="Z814" s="618"/>
      <c r="AE814" s="618"/>
      <c r="AO814" s="618"/>
      <c r="AT814" s="618"/>
      <c r="AZ814" s="618"/>
      <c r="BE814" s="618"/>
      <c r="BF814" s="618"/>
      <c r="BG814" s="553"/>
      <c r="BH814" s="294"/>
      <c r="BI814" s="618"/>
      <c r="BJ814" s="618"/>
      <c r="BK814" s="618"/>
      <c r="BL814" s="553"/>
      <c r="BM814" s="618"/>
      <c r="BN814" s="618"/>
      <c r="BO814" s="618"/>
    </row>
    <row r="815" spans="4:67" ht="13">
      <c r="D815" s="618"/>
      <c r="J815" s="1428"/>
      <c r="N815" s="294"/>
      <c r="P815" s="618"/>
      <c r="S815" s="294"/>
      <c r="U815" s="618"/>
      <c r="X815" s="294"/>
      <c r="Z815" s="618"/>
      <c r="AE815" s="618"/>
      <c r="AO815" s="618"/>
      <c r="AT815" s="618"/>
      <c r="AZ815" s="618"/>
      <c r="BE815" s="618"/>
      <c r="BF815" s="618"/>
      <c r="BG815" s="553"/>
      <c r="BH815" s="294"/>
      <c r="BI815" s="618"/>
      <c r="BJ815" s="618"/>
      <c r="BK815" s="618"/>
      <c r="BL815" s="553"/>
      <c r="BM815" s="618"/>
      <c r="BN815" s="618"/>
      <c r="BO815" s="618"/>
    </row>
    <row r="816" spans="4:67" ht="13">
      <c r="D816" s="618"/>
      <c r="J816" s="1428"/>
      <c r="N816" s="294"/>
      <c r="P816" s="618"/>
      <c r="S816" s="294"/>
      <c r="U816" s="618"/>
      <c r="X816" s="294"/>
      <c r="Z816" s="618"/>
      <c r="AE816" s="618"/>
      <c r="AO816" s="618"/>
      <c r="AT816" s="618"/>
      <c r="AZ816" s="618"/>
      <c r="BE816" s="618"/>
      <c r="BF816" s="618"/>
      <c r="BG816" s="553"/>
      <c r="BH816" s="294"/>
      <c r="BI816" s="618"/>
      <c r="BJ816" s="618"/>
      <c r="BK816" s="618"/>
      <c r="BL816" s="553"/>
      <c r="BM816" s="618"/>
      <c r="BN816" s="618"/>
      <c r="BO816" s="618"/>
    </row>
    <row r="817" spans="4:67" ht="13">
      <c r="D817" s="618"/>
      <c r="J817" s="1428"/>
      <c r="N817" s="294"/>
      <c r="P817" s="618"/>
      <c r="S817" s="294"/>
      <c r="U817" s="618"/>
      <c r="X817" s="294"/>
      <c r="Z817" s="618"/>
      <c r="AE817" s="618"/>
      <c r="AO817" s="618"/>
      <c r="AT817" s="618"/>
      <c r="AZ817" s="618"/>
      <c r="BE817" s="618"/>
      <c r="BF817" s="618"/>
      <c r="BG817" s="553"/>
      <c r="BH817" s="294"/>
      <c r="BI817" s="618"/>
      <c r="BJ817" s="618"/>
      <c r="BK817" s="618"/>
      <c r="BL817" s="553"/>
      <c r="BM817" s="618"/>
      <c r="BN817" s="618"/>
      <c r="BO817" s="618"/>
    </row>
    <row r="818" spans="4:67" ht="13">
      <c r="D818" s="618"/>
      <c r="J818" s="1428"/>
      <c r="N818" s="294"/>
      <c r="P818" s="618"/>
      <c r="S818" s="294"/>
      <c r="U818" s="618"/>
      <c r="X818" s="294"/>
      <c r="Z818" s="618"/>
      <c r="AE818" s="618"/>
      <c r="AO818" s="618"/>
      <c r="AT818" s="618"/>
      <c r="AZ818" s="618"/>
      <c r="BE818" s="618"/>
      <c r="BF818" s="618"/>
      <c r="BG818" s="553"/>
      <c r="BH818" s="294"/>
      <c r="BI818" s="618"/>
      <c r="BJ818" s="618"/>
      <c r="BK818" s="618"/>
      <c r="BL818" s="553"/>
      <c r="BM818" s="618"/>
      <c r="BN818" s="618"/>
      <c r="BO818" s="618"/>
    </row>
    <row r="819" spans="4:67" ht="13">
      <c r="D819" s="618"/>
      <c r="J819" s="1428"/>
      <c r="N819" s="294"/>
      <c r="P819" s="618"/>
      <c r="S819" s="294"/>
      <c r="U819" s="618"/>
      <c r="X819" s="294"/>
      <c r="Z819" s="618"/>
      <c r="AE819" s="618"/>
      <c r="AO819" s="618"/>
      <c r="AT819" s="618"/>
      <c r="AZ819" s="618"/>
      <c r="BE819" s="618"/>
      <c r="BF819" s="618"/>
      <c r="BG819" s="553"/>
      <c r="BH819" s="294"/>
      <c r="BI819" s="618"/>
      <c r="BJ819" s="618"/>
      <c r="BK819" s="618"/>
      <c r="BL819" s="553"/>
      <c r="BM819" s="618"/>
      <c r="BN819" s="618"/>
      <c r="BO819" s="618"/>
    </row>
    <row r="820" spans="4:67" ht="13">
      <c r="D820" s="618"/>
      <c r="J820" s="1428"/>
      <c r="N820" s="294"/>
      <c r="P820" s="618"/>
      <c r="S820" s="294"/>
      <c r="U820" s="618"/>
      <c r="X820" s="294"/>
      <c r="Z820" s="618"/>
      <c r="AE820" s="618"/>
      <c r="AO820" s="618"/>
      <c r="AT820" s="618"/>
      <c r="AZ820" s="618"/>
      <c r="BE820" s="618"/>
      <c r="BF820" s="618"/>
      <c r="BG820" s="553"/>
      <c r="BH820" s="294"/>
      <c r="BI820" s="618"/>
      <c r="BJ820" s="618"/>
      <c r="BK820" s="618"/>
      <c r="BL820" s="553"/>
      <c r="BM820" s="618"/>
      <c r="BN820" s="618"/>
      <c r="BO820" s="618"/>
    </row>
    <row r="821" spans="4:67" ht="13">
      <c r="D821" s="618"/>
      <c r="J821" s="1428"/>
      <c r="N821" s="294"/>
      <c r="P821" s="618"/>
      <c r="S821" s="294"/>
      <c r="U821" s="618"/>
      <c r="X821" s="294"/>
      <c r="Z821" s="618"/>
      <c r="AE821" s="618"/>
      <c r="AO821" s="618"/>
      <c r="AT821" s="618"/>
      <c r="AZ821" s="618"/>
      <c r="BE821" s="618"/>
      <c r="BF821" s="618"/>
      <c r="BG821" s="553"/>
      <c r="BH821" s="294"/>
      <c r="BI821" s="618"/>
      <c r="BJ821" s="618"/>
      <c r="BK821" s="618"/>
      <c r="BL821" s="553"/>
      <c r="BM821" s="618"/>
      <c r="BN821" s="618"/>
      <c r="BO821" s="618"/>
    </row>
    <row r="822" spans="4:67" ht="13">
      <c r="D822" s="618"/>
      <c r="J822" s="1428"/>
      <c r="N822" s="294"/>
      <c r="P822" s="618"/>
      <c r="S822" s="294"/>
      <c r="U822" s="618"/>
      <c r="X822" s="294"/>
      <c r="Z822" s="618"/>
      <c r="AE822" s="618"/>
      <c r="AO822" s="618"/>
      <c r="AT822" s="618"/>
      <c r="AZ822" s="618"/>
      <c r="BE822" s="618"/>
      <c r="BF822" s="618"/>
      <c r="BG822" s="553"/>
      <c r="BH822" s="294"/>
      <c r="BI822" s="618"/>
      <c r="BJ822" s="618"/>
      <c r="BK822" s="618"/>
      <c r="BL822" s="553"/>
      <c r="BM822" s="618"/>
      <c r="BN822" s="618"/>
      <c r="BO822" s="618"/>
    </row>
    <row r="823" spans="4:67" ht="13">
      <c r="D823" s="618"/>
      <c r="J823" s="1428"/>
      <c r="N823" s="294"/>
      <c r="P823" s="618"/>
      <c r="S823" s="294"/>
      <c r="U823" s="618"/>
      <c r="X823" s="294"/>
      <c r="Z823" s="618"/>
      <c r="AE823" s="618"/>
      <c r="AO823" s="618"/>
      <c r="AT823" s="618"/>
      <c r="AZ823" s="618"/>
      <c r="BE823" s="618"/>
      <c r="BF823" s="618"/>
      <c r="BG823" s="553"/>
      <c r="BH823" s="294"/>
      <c r="BI823" s="618"/>
      <c r="BJ823" s="618"/>
      <c r="BK823" s="618"/>
      <c r="BL823" s="553"/>
      <c r="BM823" s="618"/>
      <c r="BN823" s="618"/>
      <c r="BO823" s="618"/>
    </row>
    <row r="824" spans="4:67" ht="13">
      <c r="D824" s="618"/>
      <c r="J824" s="1428"/>
      <c r="N824" s="294"/>
      <c r="P824" s="618"/>
      <c r="S824" s="294"/>
      <c r="U824" s="618"/>
      <c r="X824" s="294"/>
      <c r="Z824" s="618"/>
      <c r="AE824" s="618"/>
      <c r="AO824" s="618"/>
      <c r="AT824" s="618"/>
      <c r="AZ824" s="618"/>
      <c r="BE824" s="618"/>
      <c r="BF824" s="618"/>
      <c r="BG824" s="553"/>
      <c r="BH824" s="294"/>
      <c r="BI824" s="618"/>
      <c r="BJ824" s="618"/>
      <c r="BK824" s="618"/>
      <c r="BL824" s="553"/>
      <c r="BM824" s="618"/>
      <c r="BN824" s="618"/>
      <c r="BO824" s="618"/>
    </row>
    <row r="825" spans="4:67" ht="13">
      <c r="D825" s="618"/>
      <c r="J825" s="1428"/>
      <c r="N825" s="294"/>
      <c r="P825" s="618"/>
      <c r="S825" s="294"/>
      <c r="U825" s="618"/>
      <c r="X825" s="294"/>
      <c r="Z825" s="618"/>
      <c r="AE825" s="618"/>
      <c r="AO825" s="618"/>
      <c r="AT825" s="618"/>
      <c r="AZ825" s="618"/>
      <c r="BE825" s="618"/>
      <c r="BF825" s="618"/>
      <c r="BG825" s="553"/>
      <c r="BH825" s="294"/>
      <c r="BI825" s="618"/>
      <c r="BJ825" s="618"/>
      <c r="BK825" s="618"/>
      <c r="BL825" s="553"/>
      <c r="BM825" s="618"/>
      <c r="BN825" s="618"/>
      <c r="BO825" s="618"/>
    </row>
    <row r="826" spans="4:67" ht="13">
      <c r="D826" s="618"/>
      <c r="J826" s="1428"/>
      <c r="N826" s="294"/>
      <c r="P826" s="618"/>
      <c r="S826" s="294"/>
      <c r="U826" s="618"/>
      <c r="X826" s="294"/>
      <c r="Z826" s="618"/>
      <c r="AE826" s="618"/>
      <c r="AO826" s="618"/>
      <c r="AT826" s="618"/>
      <c r="AZ826" s="618"/>
      <c r="BE826" s="618"/>
      <c r="BF826" s="618"/>
      <c r="BG826" s="553"/>
      <c r="BH826" s="294"/>
      <c r="BI826" s="618"/>
      <c r="BJ826" s="618"/>
      <c r="BK826" s="618"/>
      <c r="BL826" s="553"/>
      <c r="BM826" s="618"/>
      <c r="BN826" s="618"/>
      <c r="BO826" s="618"/>
    </row>
    <row r="827" spans="4:67" ht="13">
      <c r="D827" s="618"/>
      <c r="J827" s="1428"/>
      <c r="N827" s="294"/>
      <c r="P827" s="618"/>
      <c r="S827" s="294"/>
      <c r="U827" s="618"/>
      <c r="X827" s="294"/>
      <c r="Z827" s="618"/>
      <c r="AE827" s="618"/>
      <c r="AO827" s="618"/>
      <c r="AT827" s="618"/>
      <c r="AZ827" s="618"/>
      <c r="BE827" s="618"/>
      <c r="BF827" s="618"/>
      <c r="BG827" s="553"/>
      <c r="BH827" s="294"/>
      <c r="BI827" s="618"/>
      <c r="BJ827" s="618"/>
      <c r="BK827" s="618"/>
      <c r="BL827" s="553"/>
      <c r="BM827" s="618"/>
      <c r="BN827" s="618"/>
      <c r="BO827" s="618"/>
    </row>
    <row r="828" spans="4:67" ht="13">
      <c r="D828" s="618"/>
      <c r="J828" s="1428"/>
      <c r="N828" s="294"/>
      <c r="P828" s="618"/>
      <c r="S828" s="294"/>
      <c r="U828" s="618"/>
      <c r="X828" s="294"/>
      <c r="Z828" s="618"/>
      <c r="AE828" s="618"/>
      <c r="AO828" s="618"/>
      <c r="AT828" s="618"/>
      <c r="AZ828" s="618"/>
      <c r="BE828" s="618"/>
      <c r="BF828" s="618"/>
      <c r="BG828" s="553"/>
      <c r="BH828" s="294"/>
      <c r="BI828" s="618"/>
      <c r="BJ828" s="618"/>
      <c r="BK828" s="618"/>
      <c r="BL828" s="553"/>
      <c r="BM828" s="618"/>
      <c r="BN828" s="618"/>
      <c r="BO828" s="618"/>
    </row>
    <row r="829" spans="4:67" ht="13">
      <c r="D829" s="618"/>
      <c r="J829" s="1428"/>
      <c r="N829" s="294"/>
      <c r="P829" s="618"/>
      <c r="S829" s="294"/>
      <c r="U829" s="618"/>
      <c r="X829" s="294"/>
      <c r="Z829" s="618"/>
      <c r="AE829" s="618"/>
      <c r="AO829" s="618"/>
      <c r="AT829" s="618"/>
      <c r="AZ829" s="618"/>
      <c r="BE829" s="618"/>
      <c r="BF829" s="618"/>
      <c r="BG829" s="553"/>
      <c r="BH829" s="294"/>
      <c r="BI829" s="618"/>
      <c r="BJ829" s="618"/>
      <c r="BK829" s="618"/>
      <c r="BL829" s="553"/>
      <c r="BM829" s="618"/>
      <c r="BN829" s="618"/>
      <c r="BO829" s="618"/>
    </row>
    <row r="830" spans="4:67" ht="13">
      <c r="D830" s="618"/>
      <c r="J830" s="1428"/>
      <c r="N830" s="294"/>
      <c r="P830" s="618"/>
      <c r="S830" s="294"/>
      <c r="U830" s="618"/>
      <c r="X830" s="294"/>
      <c r="Z830" s="618"/>
      <c r="AE830" s="618"/>
      <c r="AO830" s="618"/>
      <c r="AT830" s="618"/>
      <c r="AZ830" s="618"/>
      <c r="BE830" s="618"/>
      <c r="BF830" s="618"/>
      <c r="BG830" s="553"/>
      <c r="BH830" s="294"/>
      <c r="BI830" s="618"/>
      <c r="BJ830" s="618"/>
      <c r="BK830" s="618"/>
      <c r="BL830" s="553"/>
      <c r="BM830" s="618"/>
      <c r="BN830" s="618"/>
      <c r="BO830" s="618"/>
    </row>
    <row r="831" spans="4:67" ht="13">
      <c r="D831" s="618"/>
      <c r="J831" s="1428"/>
      <c r="N831" s="294"/>
      <c r="P831" s="618"/>
      <c r="S831" s="294"/>
      <c r="U831" s="618"/>
      <c r="X831" s="294"/>
      <c r="Z831" s="618"/>
      <c r="AE831" s="618"/>
      <c r="AO831" s="618"/>
      <c r="AT831" s="618"/>
      <c r="AZ831" s="618"/>
      <c r="BE831" s="618"/>
      <c r="BF831" s="618"/>
      <c r="BG831" s="553"/>
      <c r="BH831" s="294"/>
      <c r="BI831" s="618"/>
      <c r="BJ831" s="618"/>
      <c r="BK831" s="618"/>
      <c r="BL831" s="553"/>
      <c r="BM831" s="618"/>
      <c r="BN831" s="618"/>
      <c r="BO831" s="618"/>
    </row>
    <row r="832" spans="4:67" ht="13">
      <c r="D832" s="618"/>
      <c r="J832" s="1428"/>
      <c r="N832" s="294"/>
      <c r="P832" s="618"/>
      <c r="S832" s="294"/>
      <c r="U832" s="618"/>
      <c r="X832" s="294"/>
      <c r="Z832" s="618"/>
      <c r="AE832" s="618"/>
      <c r="AO832" s="618"/>
      <c r="AT832" s="618"/>
      <c r="AZ832" s="618"/>
      <c r="BE832" s="618"/>
      <c r="BF832" s="618"/>
      <c r="BG832" s="553"/>
      <c r="BH832" s="294"/>
      <c r="BI832" s="618"/>
      <c r="BJ832" s="618"/>
      <c r="BK832" s="618"/>
      <c r="BL832" s="553"/>
      <c r="BM832" s="618"/>
      <c r="BN832" s="618"/>
      <c r="BO832" s="618"/>
    </row>
    <row r="833" spans="4:67" ht="13">
      <c r="D833" s="618"/>
      <c r="J833" s="1428"/>
      <c r="N833" s="294"/>
      <c r="P833" s="618"/>
      <c r="S833" s="294"/>
      <c r="U833" s="618"/>
      <c r="X833" s="294"/>
      <c r="Z833" s="618"/>
      <c r="AE833" s="618"/>
      <c r="AO833" s="618"/>
      <c r="AT833" s="618"/>
      <c r="AZ833" s="618"/>
      <c r="BE833" s="618"/>
      <c r="BF833" s="618"/>
      <c r="BG833" s="553"/>
      <c r="BH833" s="294"/>
      <c r="BI833" s="618"/>
      <c r="BJ833" s="618"/>
      <c r="BK833" s="618"/>
      <c r="BL833" s="553"/>
      <c r="BM833" s="618"/>
      <c r="BN833" s="618"/>
      <c r="BO833" s="618"/>
    </row>
    <row r="834" spans="4:67" ht="13">
      <c r="D834" s="618"/>
      <c r="J834" s="1428"/>
      <c r="N834" s="294"/>
      <c r="P834" s="618"/>
      <c r="S834" s="294"/>
      <c r="U834" s="618"/>
      <c r="X834" s="294"/>
      <c r="Z834" s="618"/>
      <c r="AE834" s="618"/>
      <c r="AO834" s="618"/>
      <c r="AT834" s="618"/>
      <c r="AZ834" s="618"/>
      <c r="BE834" s="618"/>
      <c r="BF834" s="618"/>
      <c r="BG834" s="553"/>
      <c r="BH834" s="294"/>
      <c r="BI834" s="618"/>
      <c r="BJ834" s="618"/>
      <c r="BK834" s="618"/>
      <c r="BL834" s="553"/>
      <c r="BM834" s="618"/>
      <c r="BN834" s="618"/>
      <c r="BO834" s="618"/>
    </row>
    <row r="835" spans="4:67" ht="13">
      <c r="D835" s="618"/>
      <c r="J835" s="1428"/>
      <c r="N835" s="294"/>
      <c r="P835" s="618"/>
      <c r="S835" s="294"/>
      <c r="U835" s="618"/>
      <c r="X835" s="294"/>
      <c r="Z835" s="618"/>
      <c r="AE835" s="618"/>
      <c r="AO835" s="618"/>
      <c r="AT835" s="618"/>
      <c r="AZ835" s="618"/>
      <c r="BE835" s="618"/>
      <c r="BF835" s="618"/>
      <c r="BG835" s="553"/>
      <c r="BH835" s="294"/>
      <c r="BI835" s="618"/>
      <c r="BJ835" s="618"/>
      <c r="BK835" s="618"/>
      <c r="BL835" s="553"/>
      <c r="BM835" s="618"/>
      <c r="BN835" s="618"/>
      <c r="BO835" s="618"/>
    </row>
    <row r="836" spans="4:67" ht="13">
      <c r="D836" s="618"/>
      <c r="J836" s="1428"/>
      <c r="N836" s="294"/>
      <c r="P836" s="618"/>
      <c r="S836" s="294"/>
      <c r="U836" s="618"/>
      <c r="X836" s="294"/>
      <c r="Z836" s="618"/>
      <c r="AE836" s="618"/>
      <c r="AO836" s="618"/>
      <c r="AT836" s="618"/>
      <c r="AZ836" s="618"/>
      <c r="BE836" s="618"/>
      <c r="BF836" s="618"/>
      <c r="BG836" s="553"/>
      <c r="BH836" s="294"/>
      <c r="BI836" s="618"/>
      <c r="BJ836" s="618"/>
      <c r="BK836" s="618"/>
      <c r="BL836" s="553"/>
      <c r="BM836" s="618"/>
      <c r="BN836" s="618"/>
      <c r="BO836" s="618"/>
    </row>
    <row r="837" spans="4:67" ht="13">
      <c r="D837" s="618"/>
      <c r="J837" s="1428"/>
      <c r="N837" s="294"/>
      <c r="P837" s="618"/>
      <c r="S837" s="294"/>
      <c r="U837" s="618"/>
      <c r="X837" s="294"/>
      <c r="Z837" s="618"/>
      <c r="AE837" s="618"/>
      <c r="AO837" s="618"/>
      <c r="AT837" s="618"/>
      <c r="AZ837" s="618"/>
      <c r="BE837" s="618"/>
      <c r="BF837" s="618"/>
      <c r="BG837" s="553"/>
      <c r="BH837" s="294"/>
      <c r="BI837" s="618"/>
      <c r="BJ837" s="618"/>
      <c r="BK837" s="618"/>
      <c r="BL837" s="553"/>
      <c r="BM837" s="618"/>
      <c r="BN837" s="618"/>
      <c r="BO837" s="618"/>
    </row>
    <row r="838" spans="4:67" ht="13">
      <c r="D838" s="618"/>
      <c r="J838" s="1428"/>
      <c r="N838" s="294"/>
      <c r="P838" s="618"/>
      <c r="S838" s="294"/>
      <c r="U838" s="618"/>
      <c r="X838" s="294"/>
      <c r="Z838" s="618"/>
      <c r="AE838" s="618"/>
      <c r="AO838" s="618"/>
      <c r="AT838" s="618"/>
      <c r="AZ838" s="618"/>
      <c r="BE838" s="618"/>
      <c r="BF838" s="618"/>
      <c r="BG838" s="553"/>
      <c r="BH838" s="294"/>
      <c r="BI838" s="618"/>
      <c r="BJ838" s="618"/>
      <c r="BK838" s="618"/>
      <c r="BL838" s="553"/>
      <c r="BM838" s="618"/>
      <c r="BN838" s="618"/>
      <c r="BO838" s="618"/>
    </row>
    <row r="839" spans="4:67" ht="13">
      <c r="D839" s="618"/>
      <c r="J839" s="1428"/>
      <c r="N839" s="294"/>
      <c r="P839" s="618"/>
      <c r="S839" s="294"/>
      <c r="U839" s="618"/>
      <c r="X839" s="294"/>
      <c r="Z839" s="618"/>
      <c r="AE839" s="618"/>
      <c r="AO839" s="618"/>
      <c r="AT839" s="618"/>
      <c r="AZ839" s="618"/>
      <c r="BE839" s="618"/>
      <c r="BF839" s="618"/>
      <c r="BG839" s="553"/>
      <c r="BH839" s="294"/>
      <c r="BI839" s="618"/>
      <c r="BJ839" s="618"/>
      <c r="BK839" s="618"/>
      <c r="BL839" s="553"/>
      <c r="BM839" s="618"/>
      <c r="BN839" s="618"/>
      <c r="BO839" s="618"/>
    </row>
    <row r="840" spans="4:67" ht="13">
      <c r="D840" s="618"/>
      <c r="J840" s="1428"/>
      <c r="N840" s="294"/>
      <c r="P840" s="618"/>
      <c r="S840" s="294"/>
      <c r="U840" s="618"/>
      <c r="X840" s="294"/>
      <c r="Z840" s="618"/>
      <c r="AE840" s="618"/>
      <c r="AO840" s="618"/>
      <c r="AT840" s="618"/>
      <c r="AZ840" s="618"/>
      <c r="BE840" s="618"/>
      <c r="BF840" s="618"/>
      <c r="BG840" s="553"/>
      <c r="BH840" s="294"/>
      <c r="BI840" s="618"/>
      <c r="BJ840" s="618"/>
      <c r="BK840" s="618"/>
      <c r="BL840" s="553"/>
      <c r="BM840" s="618"/>
      <c r="BN840" s="618"/>
      <c r="BO840" s="618"/>
    </row>
    <row r="841" spans="4:67" ht="13">
      <c r="D841" s="618"/>
      <c r="J841" s="1428"/>
      <c r="N841" s="294"/>
      <c r="P841" s="618"/>
      <c r="S841" s="294"/>
      <c r="U841" s="618"/>
      <c r="X841" s="294"/>
      <c r="Z841" s="618"/>
      <c r="AE841" s="618"/>
      <c r="AO841" s="618"/>
      <c r="AT841" s="618"/>
      <c r="AZ841" s="618"/>
      <c r="BE841" s="618"/>
      <c r="BF841" s="618"/>
      <c r="BG841" s="553"/>
      <c r="BH841" s="294"/>
      <c r="BI841" s="618"/>
      <c r="BJ841" s="618"/>
      <c r="BK841" s="618"/>
      <c r="BL841" s="553"/>
      <c r="BM841" s="618"/>
      <c r="BN841" s="618"/>
      <c r="BO841" s="618"/>
    </row>
    <row r="842" spans="4:67" ht="13">
      <c r="D842" s="618"/>
      <c r="J842" s="1428"/>
      <c r="N842" s="294"/>
      <c r="P842" s="618"/>
      <c r="S842" s="294"/>
      <c r="U842" s="618"/>
      <c r="X842" s="294"/>
      <c r="Z842" s="618"/>
      <c r="AE842" s="618"/>
      <c r="AO842" s="618"/>
      <c r="AT842" s="618"/>
      <c r="AZ842" s="618"/>
      <c r="BE842" s="618"/>
      <c r="BF842" s="618"/>
      <c r="BG842" s="553"/>
      <c r="BH842" s="294"/>
      <c r="BI842" s="618"/>
      <c r="BJ842" s="618"/>
      <c r="BK842" s="618"/>
      <c r="BL842" s="553"/>
      <c r="BM842" s="618"/>
      <c r="BN842" s="618"/>
      <c r="BO842" s="618"/>
    </row>
    <row r="843" spans="4:67" ht="13">
      <c r="D843" s="618"/>
      <c r="J843" s="1428"/>
      <c r="N843" s="294"/>
      <c r="P843" s="618"/>
      <c r="S843" s="294"/>
      <c r="U843" s="618"/>
      <c r="X843" s="294"/>
      <c r="Z843" s="618"/>
      <c r="AE843" s="618"/>
      <c r="AO843" s="618"/>
      <c r="AT843" s="618"/>
      <c r="AZ843" s="618"/>
      <c r="BE843" s="618"/>
      <c r="BF843" s="618"/>
      <c r="BG843" s="553"/>
      <c r="BH843" s="294"/>
      <c r="BI843" s="618"/>
      <c r="BJ843" s="618"/>
      <c r="BK843" s="618"/>
      <c r="BL843" s="553"/>
      <c r="BM843" s="618"/>
      <c r="BN843" s="618"/>
      <c r="BO843" s="618"/>
    </row>
    <row r="844" spans="4:67" ht="13">
      <c r="D844" s="618"/>
      <c r="J844" s="1428"/>
      <c r="N844" s="294"/>
      <c r="P844" s="618"/>
      <c r="S844" s="294"/>
      <c r="U844" s="618"/>
      <c r="X844" s="294"/>
      <c r="Z844" s="618"/>
      <c r="AE844" s="618"/>
      <c r="AO844" s="618"/>
      <c r="AT844" s="618"/>
      <c r="AZ844" s="618"/>
      <c r="BE844" s="618"/>
      <c r="BF844" s="618"/>
      <c r="BG844" s="553"/>
      <c r="BH844" s="294"/>
      <c r="BI844" s="618"/>
      <c r="BJ844" s="618"/>
      <c r="BK844" s="618"/>
      <c r="BL844" s="553"/>
      <c r="BM844" s="618"/>
      <c r="BN844" s="618"/>
      <c r="BO844" s="618"/>
    </row>
    <row r="845" spans="4:67" ht="13">
      <c r="D845" s="618"/>
      <c r="J845" s="1428"/>
      <c r="N845" s="294"/>
      <c r="P845" s="618"/>
      <c r="S845" s="294"/>
      <c r="U845" s="618"/>
      <c r="X845" s="294"/>
      <c r="Z845" s="618"/>
      <c r="AE845" s="618"/>
      <c r="AO845" s="618"/>
      <c r="AT845" s="618"/>
      <c r="AZ845" s="618"/>
      <c r="BE845" s="618"/>
      <c r="BF845" s="618"/>
      <c r="BG845" s="553"/>
      <c r="BH845" s="294"/>
      <c r="BI845" s="618"/>
      <c r="BJ845" s="618"/>
      <c r="BK845" s="618"/>
      <c r="BL845" s="553"/>
      <c r="BM845" s="618"/>
      <c r="BN845" s="618"/>
      <c r="BO845" s="618"/>
    </row>
    <row r="846" spans="4:67" ht="13">
      <c r="D846" s="618"/>
      <c r="J846" s="1428"/>
      <c r="N846" s="294"/>
      <c r="P846" s="618"/>
      <c r="S846" s="294"/>
      <c r="U846" s="618"/>
      <c r="X846" s="294"/>
      <c r="Z846" s="618"/>
      <c r="AE846" s="618"/>
      <c r="AO846" s="618"/>
      <c r="AT846" s="618"/>
      <c r="AZ846" s="618"/>
      <c r="BE846" s="618"/>
      <c r="BF846" s="618"/>
      <c r="BG846" s="553"/>
      <c r="BH846" s="294"/>
      <c r="BI846" s="618"/>
      <c r="BJ846" s="618"/>
      <c r="BK846" s="618"/>
      <c r="BL846" s="553"/>
      <c r="BM846" s="618"/>
      <c r="BN846" s="618"/>
      <c r="BO846" s="618"/>
    </row>
    <row r="847" spans="4:67" ht="13">
      <c r="D847" s="618"/>
      <c r="J847" s="1428"/>
      <c r="N847" s="294"/>
      <c r="P847" s="618"/>
      <c r="S847" s="294"/>
      <c r="U847" s="618"/>
      <c r="X847" s="294"/>
      <c r="Z847" s="618"/>
      <c r="AE847" s="618"/>
      <c r="AO847" s="618"/>
      <c r="AT847" s="618"/>
      <c r="AZ847" s="618"/>
      <c r="BE847" s="618"/>
      <c r="BF847" s="618"/>
      <c r="BG847" s="553"/>
      <c r="BH847" s="294"/>
      <c r="BI847" s="618"/>
      <c r="BJ847" s="618"/>
      <c r="BK847" s="618"/>
      <c r="BL847" s="553"/>
      <c r="BM847" s="618"/>
      <c r="BN847" s="618"/>
      <c r="BO847" s="618"/>
    </row>
    <row r="848" spans="4:67" ht="13">
      <c r="D848" s="618"/>
      <c r="J848" s="1428"/>
      <c r="N848" s="294"/>
      <c r="P848" s="618"/>
      <c r="S848" s="294"/>
      <c r="U848" s="618"/>
      <c r="X848" s="294"/>
      <c r="Z848" s="618"/>
      <c r="AE848" s="618"/>
      <c r="AO848" s="618"/>
      <c r="AT848" s="618"/>
      <c r="AZ848" s="618"/>
      <c r="BE848" s="618"/>
      <c r="BF848" s="618"/>
      <c r="BG848" s="553"/>
      <c r="BH848" s="294"/>
      <c r="BI848" s="618"/>
      <c r="BJ848" s="618"/>
      <c r="BK848" s="618"/>
      <c r="BL848" s="553"/>
      <c r="BM848" s="618"/>
      <c r="BN848" s="618"/>
      <c r="BO848" s="618"/>
    </row>
    <row r="849" spans="4:67" ht="13">
      <c r="D849" s="618"/>
      <c r="J849" s="1428"/>
      <c r="N849" s="294"/>
      <c r="P849" s="618"/>
      <c r="S849" s="294"/>
      <c r="U849" s="618"/>
      <c r="X849" s="294"/>
      <c r="Z849" s="618"/>
      <c r="AE849" s="618"/>
      <c r="AO849" s="618"/>
      <c r="AT849" s="618"/>
      <c r="AZ849" s="618"/>
      <c r="BE849" s="618"/>
      <c r="BF849" s="618"/>
      <c r="BG849" s="553"/>
      <c r="BH849" s="294"/>
      <c r="BI849" s="618"/>
      <c r="BJ849" s="618"/>
      <c r="BK849" s="618"/>
      <c r="BL849" s="553"/>
      <c r="BM849" s="618"/>
      <c r="BN849" s="618"/>
      <c r="BO849" s="618"/>
    </row>
    <row r="850" spans="4:67" ht="13">
      <c r="D850" s="618"/>
      <c r="J850" s="1428"/>
      <c r="N850" s="294"/>
      <c r="P850" s="618"/>
      <c r="S850" s="294"/>
      <c r="U850" s="618"/>
      <c r="X850" s="294"/>
      <c r="Z850" s="618"/>
      <c r="AE850" s="618"/>
      <c r="AO850" s="618"/>
      <c r="AT850" s="618"/>
      <c r="AZ850" s="618"/>
      <c r="BE850" s="618"/>
      <c r="BF850" s="618"/>
      <c r="BG850" s="553"/>
      <c r="BH850" s="294"/>
      <c r="BI850" s="618"/>
      <c r="BJ850" s="618"/>
      <c r="BK850" s="618"/>
      <c r="BL850" s="553"/>
      <c r="BM850" s="618"/>
      <c r="BN850" s="618"/>
      <c r="BO850" s="618"/>
    </row>
    <row r="851" spans="4:67" ht="13">
      <c r="D851" s="618"/>
      <c r="J851" s="1428"/>
      <c r="N851" s="294"/>
      <c r="P851" s="618"/>
      <c r="S851" s="294"/>
      <c r="U851" s="618"/>
      <c r="X851" s="294"/>
      <c r="Z851" s="618"/>
      <c r="AE851" s="618"/>
      <c r="AO851" s="618"/>
      <c r="AT851" s="618"/>
      <c r="AZ851" s="618"/>
      <c r="BE851" s="618"/>
      <c r="BF851" s="618"/>
      <c r="BG851" s="553"/>
      <c r="BH851" s="294"/>
      <c r="BI851" s="618"/>
      <c r="BJ851" s="618"/>
      <c r="BK851" s="618"/>
      <c r="BL851" s="553"/>
      <c r="BM851" s="618"/>
      <c r="BN851" s="618"/>
      <c r="BO851" s="618"/>
    </row>
    <row r="852" spans="4:67" ht="13">
      <c r="D852" s="618"/>
      <c r="J852" s="1428"/>
      <c r="N852" s="294"/>
      <c r="P852" s="618"/>
      <c r="S852" s="294"/>
      <c r="U852" s="618"/>
      <c r="X852" s="294"/>
      <c r="Z852" s="618"/>
      <c r="AE852" s="618"/>
      <c r="AO852" s="618"/>
      <c r="AT852" s="618"/>
      <c r="AZ852" s="618"/>
      <c r="BE852" s="618"/>
      <c r="BF852" s="618"/>
      <c r="BG852" s="553"/>
      <c r="BH852" s="294"/>
      <c r="BI852" s="618"/>
      <c r="BJ852" s="618"/>
      <c r="BK852" s="618"/>
      <c r="BL852" s="553"/>
      <c r="BM852" s="618"/>
      <c r="BN852" s="618"/>
      <c r="BO852" s="618"/>
    </row>
    <row r="853" spans="4:67" ht="13">
      <c r="D853" s="618"/>
      <c r="J853" s="1428"/>
      <c r="N853" s="294"/>
      <c r="P853" s="618"/>
      <c r="S853" s="294"/>
      <c r="U853" s="618"/>
      <c r="X853" s="294"/>
      <c r="Z853" s="618"/>
      <c r="AE853" s="618"/>
      <c r="AO853" s="618"/>
      <c r="AT853" s="618"/>
      <c r="AZ853" s="618"/>
      <c r="BE853" s="618"/>
      <c r="BF853" s="618"/>
      <c r="BG853" s="553"/>
      <c r="BH853" s="294"/>
      <c r="BI853" s="618"/>
      <c r="BJ853" s="618"/>
      <c r="BK853" s="618"/>
      <c r="BL853" s="553"/>
      <c r="BM853" s="618"/>
      <c r="BN853" s="618"/>
      <c r="BO853" s="618"/>
    </row>
    <row r="854" spans="4:67" ht="13">
      <c r="D854" s="618"/>
      <c r="J854" s="1428"/>
      <c r="N854" s="294"/>
      <c r="P854" s="618"/>
      <c r="S854" s="294"/>
      <c r="U854" s="618"/>
      <c r="X854" s="294"/>
      <c r="Z854" s="618"/>
      <c r="AE854" s="618"/>
      <c r="AO854" s="618"/>
      <c r="AT854" s="618"/>
      <c r="AZ854" s="618"/>
      <c r="BE854" s="618"/>
      <c r="BF854" s="618"/>
      <c r="BG854" s="553"/>
      <c r="BH854" s="294"/>
      <c r="BI854" s="618"/>
      <c r="BJ854" s="618"/>
      <c r="BK854" s="618"/>
      <c r="BL854" s="553"/>
      <c r="BM854" s="618"/>
      <c r="BN854" s="618"/>
      <c r="BO854" s="618"/>
    </row>
    <row r="855" spans="4:67" ht="13">
      <c r="D855" s="618"/>
      <c r="J855" s="1428"/>
      <c r="N855" s="294"/>
      <c r="P855" s="618"/>
      <c r="S855" s="294"/>
      <c r="U855" s="618"/>
      <c r="X855" s="294"/>
      <c r="Z855" s="618"/>
      <c r="AE855" s="618"/>
      <c r="AO855" s="618"/>
      <c r="AT855" s="618"/>
      <c r="AZ855" s="618"/>
      <c r="BE855" s="618"/>
      <c r="BF855" s="618"/>
      <c r="BG855" s="553"/>
      <c r="BH855" s="294"/>
      <c r="BI855" s="618"/>
      <c r="BJ855" s="618"/>
      <c r="BK855" s="618"/>
      <c r="BL855" s="553"/>
      <c r="BM855" s="618"/>
      <c r="BN855" s="618"/>
      <c r="BO855" s="618"/>
    </row>
    <row r="856" spans="4:67" ht="13">
      <c r="D856" s="618"/>
      <c r="J856" s="1428"/>
      <c r="N856" s="294"/>
      <c r="P856" s="618"/>
      <c r="S856" s="294"/>
      <c r="U856" s="618"/>
      <c r="X856" s="294"/>
      <c r="Z856" s="618"/>
      <c r="AE856" s="618"/>
      <c r="AO856" s="618"/>
      <c r="AT856" s="618"/>
      <c r="AZ856" s="618"/>
      <c r="BE856" s="618"/>
      <c r="BF856" s="618"/>
      <c r="BG856" s="553"/>
      <c r="BH856" s="294"/>
      <c r="BI856" s="618"/>
      <c r="BJ856" s="618"/>
      <c r="BK856" s="618"/>
      <c r="BL856" s="553"/>
      <c r="BM856" s="618"/>
      <c r="BN856" s="618"/>
      <c r="BO856" s="618"/>
    </row>
    <row r="857" spans="4:67" ht="13">
      <c r="D857" s="618"/>
      <c r="J857" s="1428"/>
      <c r="N857" s="294"/>
      <c r="P857" s="618"/>
      <c r="S857" s="294"/>
      <c r="U857" s="618"/>
      <c r="X857" s="294"/>
      <c r="Z857" s="618"/>
      <c r="AE857" s="618"/>
      <c r="AO857" s="618"/>
      <c r="AT857" s="618"/>
      <c r="AZ857" s="618"/>
      <c r="BE857" s="618"/>
      <c r="BF857" s="618"/>
      <c r="BG857" s="553"/>
      <c r="BH857" s="294"/>
      <c r="BI857" s="618"/>
      <c r="BJ857" s="618"/>
      <c r="BK857" s="618"/>
      <c r="BL857" s="553"/>
      <c r="BM857" s="618"/>
      <c r="BN857" s="618"/>
      <c r="BO857" s="618"/>
    </row>
    <row r="858" spans="4:67" ht="13">
      <c r="D858" s="618"/>
      <c r="J858" s="1428"/>
      <c r="N858" s="294"/>
      <c r="P858" s="618"/>
      <c r="S858" s="294"/>
      <c r="U858" s="618"/>
      <c r="X858" s="294"/>
      <c r="Z858" s="618"/>
      <c r="AE858" s="618"/>
      <c r="AO858" s="618"/>
      <c r="AT858" s="618"/>
      <c r="AZ858" s="618"/>
      <c r="BE858" s="618"/>
      <c r="BF858" s="618"/>
      <c r="BG858" s="553"/>
      <c r="BH858" s="294"/>
      <c r="BI858" s="618"/>
      <c r="BJ858" s="618"/>
      <c r="BK858" s="618"/>
      <c r="BL858" s="553"/>
      <c r="BM858" s="618"/>
      <c r="BN858" s="618"/>
      <c r="BO858" s="618"/>
    </row>
    <row r="859" spans="4:67" ht="13">
      <c r="D859" s="618"/>
      <c r="J859" s="1428"/>
      <c r="N859" s="294"/>
      <c r="P859" s="618"/>
      <c r="S859" s="294"/>
      <c r="U859" s="618"/>
      <c r="X859" s="294"/>
      <c r="Z859" s="618"/>
      <c r="AE859" s="618"/>
      <c r="AO859" s="618"/>
      <c r="AT859" s="618"/>
      <c r="AZ859" s="618"/>
      <c r="BE859" s="618"/>
      <c r="BF859" s="618"/>
      <c r="BG859" s="553"/>
      <c r="BH859" s="294"/>
      <c r="BI859" s="618"/>
      <c r="BJ859" s="618"/>
      <c r="BK859" s="618"/>
      <c r="BL859" s="553"/>
      <c r="BM859" s="618"/>
      <c r="BN859" s="618"/>
      <c r="BO859" s="618"/>
    </row>
    <row r="860" spans="4:67" ht="13">
      <c r="D860" s="618"/>
      <c r="J860" s="1428"/>
      <c r="N860" s="294"/>
      <c r="P860" s="618"/>
      <c r="S860" s="294"/>
      <c r="U860" s="618"/>
      <c r="X860" s="294"/>
      <c r="Z860" s="618"/>
      <c r="AE860" s="618"/>
      <c r="AO860" s="618"/>
      <c r="AT860" s="618"/>
      <c r="AZ860" s="618"/>
      <c r="BE860" s="618"/>
      <c r="BF860" s="618"/>
      <c r="BG860" s="553"/>
      <c r="BH860" s="294"/>
      <c r="BI860" s="618"/>
      <c r="BJ860" s="618"/>
      <c r="BK860" s="618"/>
      <c r="BL860" s="553"/>
      <c r="BM860" s="618"/>
      <c r="BN860" s="618"/>
      <c r="BO860" s="618"/>
    </row>
    <row r="861" spans="4:67" ht="13">
      <c r="D861" s="618"/>
      <c r="J861" s="1428"/>
      <c r="N861" s="294"/>
      <c r="P861" s="618"/>
      <c r="S861" s="294"/>
      <c r="U861" s="618"/>
      <c r="X861" s="294"/>
      <c r="Z861" s="618"/>
      <c r="AE861" s="618"/>
      <c r="AO861" s="618"/>
      <c r="AT861" s="618"/>
      <c r="AZ861" s="618"/>
      <c r="BE861" s="618"/>
      <c r="BF861" s="618"/>
      <c r="BG861" s="553"/>
      <c r="BH861" s="294"/>
      <c r="BI861" s="618"/>
      <c r="BJ861" s="618"/>
      <c r="BK861" s="618"/>
      <c r="BL861" s="553"/>
      <c r="BM861" s="618"/>
      <c r="BN861" s="618"/>
      <c r="BO861" s="618"/>
    </row>
    <row r="862" spans="4:67" ht="13">
      <c r="D862" s="618"/>
      <c r="J862" s="1428"/>
      <c r="N862" s="294"/>
      <c r="P862" s="618"/>
      <c r="S862" s="294"/>
      <c r="U862" s="618"/>
      <c r="X862" s="294"/>
      <c r="Z862" s="618"/>
      <c r="AE862" s="618"/>
      <c r="AO862" s="618"/>
      <c r="AT862" s="618"/>
      <c r="AZ862" s="618"/>
      <c r="BE862" s="618"/>
      <c r="BF862" s="618"/>
      <c r="BG862" s="553"/>
      <c r="BH862" s="294"/>
      <c r="BI862" s="618"/>
      <c r="BJ862" s="618"/>
      <c r="BK862" s="618"/>
      <c r="BL862" s="553"/>
      <c r="BM862" s="618"/>
      <c r="BN862" s="618"/>
      <c r="BO862" s="618"/>
    </row>
    <row r="863" spans="4:67" ht="13">
      <c r="D863" s="618"/>
      <c r="J863" s="1428"/>
      <c r="N863" s="294"/>
      <c r="P863" s="618"/>
      <c r="S863" s="294"/>
      <c r="U863" s="618"/>
      <c r="X863" s="294"/>
      <c r="Z863" s="618"/>
      <c r="AE863" s="618"/>
      <c r="AO863" s="618"/>
      <c r="AT863" s="618"/>
      <c r="AZ863" s="618"/>
      <c r="BE863" s="618"/>
      <c r="BF863" s="618"/>
      <c r="BG863" s="553"/>
      <c r="BH863" s="294"/>
      <c r="BI863" s="618"/>
      <c r="BJ863" s="618"/>
      <c r="BK863" s="618"/>
      <c r="BL863" s="553"/>
      <c r="BM863" s="618"/>
      <c r="BN863" s="618"/>
      <c r="BO863" s="618"/>
    </row>
    <row r="864" spans="4:67" ht="13">
      <c r="D864" s="618"/>
      <c r="J864" s="1428"/>
      <c r="N864" s="294"/>
      <c r="P864" s="618"/>
      <c r="S864" s="294"/>
      <c r="U864" s="618"/>
      <c r="X864" s="294"/>
      <c r="Z864" s="618"/>
      <c r="AE864" s="618"/>
      <c r="AO864" s="618"/>
      <c r="AT864" s="618"/>
      <c r="AZ864" s="618"/>
      <c r="BE864" s="618"/>
      <c r="BF864" s="618"/>
      <c r="BG864" s="553"/>
      <c r="BH864" s="294"/>
      <c r="BI864" s="618"/>
      <c r="BJ864" s="618"/>
      <c r="BK864" s="618"/>
      <c r="BL864" s="553"/>
      <c r="BM864" s="618"/>
      <c r="BN864" s="618"/>
      <c r="BO864" s="618"/>
    </row>
    <row r="865" spans="4:67" ht="13">
      <c r="D865" s="618"/>
      <c r="J865" s="1428"/>
      <c r="N865" s="294"/>
      <c r="P865" s="618"/>
      <c r="S865" s="294"/>
      <c r="U865" s="618"/>
      <c r="X865" s="294"/>
      <c r="Z865" s="618"/>
      <c r="AE865" s="618"/>
      <c r="AO865" s="618"/>
      <c r="AT865" s="618"/>
      <c r="AZ865" s="618"/>
      <c r="BE865" s="618"/>
      <c r="BF865" s="618"/>
      <c r="BG865" s="553"/>
      <c r="BH865" s="294"/>
      <c r="BI865" s="618"/>
      <c r="BJ865" s="618"/>
      <c r="BK865" s="618"/>
      <c r="BL865" s="553"/>
      <c r="BM865" s="618"/>
      <c r="BN865" s="618"/>
      <c r="BO865" s="618"/>
    </row>
    <row r="866" spans="4:67" ht="13">
      <c r="D866" s="618"/>
      <c r="J866" s="1428"/>
      <c r="N866" s="294"/>
      <c r="P866" s="618"/>
      <c r="S866" s="294"/>
      <c r="U866" s="618"/>
      <c r="X866" s="294"/>
      <c r="Z866" s="618"/>
      <c r="AE866" s="618"/>
      <c r="AO866" s="618"/>
      <c r="AT866" s="618"/>
      <c r="AZ866" s="618"/>
      <c r="BE866" s="618"/>
      <c r="BF866" s="618"/>
      <c r="BG866" s="553"/>
      <c r="BH866" s="294"/>
      <c r="BI866" s="618"/>
      <c r="BJ866" s="618"/>
      <c r="BK866" s="618"/>
      <c r="BL866" s="553"/>
      <c r="BM866" s="618"/>
      <c r="BN866" s="618"/>
      <c r="BO866" s="618"/>
    </row>
    <row r="867" spans="4:67" ht="13">
      <c r="D867" s="618"/>
      <c r="J867" s="1428"/>
      <c r="N867" s="294"/>
      <c r="P867" s="618"/>
      <c r="S867" s="294"/>
      <c r="U867" s="618"/>
      <c r="X867" s="294"/>
      <c r="Z867" s="618"/>
      <c r="AE867" s="618"/>
      <c r="AO867" s="618"/>
      <c r="AT867" s="618"/>
      <c r="AZ867" s="618"/>
      <c r="BE867" s="618"/>
      <c r="BF867" s="618"/>
      <c r="BG867" s="553"/>
      <c r="BH867" s="294"/>
      <c r="BI867" s="618"/>
      <c r="BJ867" s="618"/>
      <c r="BK867" s="618"/>
      <c r="BL867" s="553"/>
      <c r="BM867" s="618"/>
      <c r="BN867" s="618"/>
      <c r="BO867" s="618"/>
    </row>
    <row r="868" spans="4:67" ht="13">
      <c r="D868" s="618"/>
      <c r="J868" s="1428"/>
      <c r="N868" s="294"/>
      <c r="P868" s="618"/>
      <c r="S868" s="294"/>
      <c r="U868" s="618"/>
      <c r="X868" s="294"/>
      <c r="Z868" s="618"/>
      <c r="AE868" s="618"/>
      <c r="AO868" s="618"/>
      <c r="AT868" s="618"/>
      <c r="AZ868" s="618"/>
      <c r="BE868" s="618"/>
      <c r="BF868" s="618"/>
      <c r="BG868" s="553"/>
      <c r="BH868" s="294"/>
      <c r="BI868" s="618"/>
      <c r="BJ868" s="618"/>
      <c r="BK868" s="618"/>
      <c r="BL868" s="553"/>
      <c r="BM868" s="618"/>
      <c r="BN868" s="618"/>
      <c r="BO868" s="618"/>
    </row>
    <row r="869" spans="4:67" ht="13">
      <c r="D869" s="618"/>
      <c r="J869" s="1428"/>
      <c r="N869" s="294"/>
      <c r="P869" s="618"/>
      <c r="S869" s="294"/>
      <c r="U869" s="618"/>
      <c r="X869" s="294"/>
      <c r="Z869" s="618"/>
      <c r="AE869" s="618"/>
      <c r="AO869" s="618"/>
      <c r="AT869" s="618"/>
      <c r="AZ869" s="618"/>
      <c r="BE869" s="618"/>
      <c r="BF869" s="618"/>
      <c r="BG869" s="553"/>
      <c r="BH869" s="294"/>
      <c r="BI869" s="618"/>
      <c r="BJ869" s="618"/>
      <c r="BK869" s="618"/>
      <c r="BL869" s="553"/>
      <c r="BM869" s="618"/>
      <c r="BN869" s="618"/>
      <c r="BO869" s="618"/>
    </row>
    <row r="870" spans="4:67" ht="13">
      <c r="D870" s="618"/>
      <c r="J870" s="1428"/>
      <c r="N870" s="294"/>
      <c r="P870" s="618"/>
      <c r="S870" s="294"/>
      <c r="U870" s="618"/>
      <c r="X870" s="294"/>
      <c r="Z870" s="618"/>
      <c r="AE870" s="618"/>
      <c r="AO870" s="618"/>
      <c r="AT870" s="618"/>
      <c r="AZ870" s="618"/>
      <c r="BE870" s="618"/>
      <c r="BF870" s="618"/>
      <c r="BG870" s="553"/>
      <c r="BH870" s="294"/>
      <c r="BI870" s="618"/>
      <c r="BJ870" s="618"/>
      <c r="BK870" s="618"/>
      <c r="BL870" s="553"/>
      <c r="BM870" s="618"/>
      <c r="BN870" s="618"/>
      <c r="BO870" s="618"/>
    </row>
    <row r="871" spans="4:67" ht="13">
      <c r="D871" s="618"/>
      <c r="J871" s="1428"/>
      <c r="N871" s="294"/>
      <c r="P871" s="618"/>
      <c r="S871" s="294"/>
      <c r="U871" s="618"/>
      <c r="X871" s="294"/>
      <c r="Z871" s="618"/>
      <c r="AE871" s="618"/>
      <c r="AO871" s="618"/>
      <c r="AT871" s="618"/>
      <c r="AZ871" s="618"/>
      <c r="BE871" s="618"/>
      <c r="BF871" s="618"/>
      <c r="BG871" s="553"/>
      <c r="BH871" s="294"/>
      <c r="BI871" s="618"/>
      <c r="BJ871" s="618"/>
      <c r="BK871" s="618"/>
      <c r="BL871" s="553"/>
      <c r="BM871" s="618"/>
      <c r="BN871" s="618"/>
      <c r="BO871" s="618"/>
    </row>
    <row r="872" spans="4:67" ht="13">
      <c r="D872" s="618"/>
      <c r="J872" s="1428"/>
      <c r="N872" s="294"/>
      <c r="P872" s="618"/>
      <c r="S872" s="294"/>
      <c r="U872" s="618"/>
      <c r="X872" s="294"/>
      <c r="Z872" s="618"/>
      <c r="AE872" s="618"/>
      <c r="AO872" s="618"/>
      <c r="AT872" s="618"/>
      <c r="AZ872" s="618"/>
      <c r="BE872" s="618"/>
      <c r="BF872" s="618"/>
      <c r="BG872" s="553"/>
      <c r="BH872" s="294"/>
      <c r="BI872" s="618"/>
      <c r="BJ872" s="618"/>
      <c r="BK872" s="618"/>
      <c r="BL872" s="553"/>
      <c r="BM872" s="618"/>
      <c r="BN872" s="618"/>
      <c r="BO872" s="618"/>
    </row>
    <row r="873" spans="4:67" ht="13">
      <c r="D873" s="618"/>
      <c r="J873" s="1428"/>
      <c r="N873" s="294"/>
      <c r="P873" s="618"/>
      <c r="S873" s="294"/>
      <c r="U873" s="618"/>
      <c r="X873" s="294"/>
      <c r="Z873" s="618"/>
      <c r="AE873" s="618"/>
      <c r="AO873" s="618"/>
      <c r="AT873" s="618"/>
      <c r="AZ873" s="618"/>
      <c r="BE873" s="618"/>
      <c r="BF873" s="618"/>
      <c r="BG873" s="553"/>
      <c r="BH873" s="294"/>
      <c r="BI873" s="618"/>
      <c r="BJ873" s="618"/>
      <c r="BK873" s="618"/>
      <c r="BL873" s="553"/>
      <c r="BM873" s="618"/>
      <c r="BN873" s="618"/>
      <c r="BO873" s="618"/>
    </row>
    <row r="874" spans="4:67" ht="13">
      <c r="D874" s="618"/>
      <c r="J874" s="1428"/>
      <c r="N874" s="294"/>
      <c r="P874" s="618"/>
      <c r="S874" s="294"/>
      <c r="U874" s="618"/>
      <c r="X874" s="294"/>
      <c r="Z874" s="618"/>
      <c r="AE874" s="618"/>
      <c r="AO874" s="618"/>
      <c r="AT874" s="618"/>
      <c r="AZ874" s="618"/>
      <c r="BE874" s="618"/>
      <c r="BF874" s="618"/>
      <c r="BG874" s="553"/>
      <c r="BH874" s="294"/>
      <c r="BI874" s="618"/>
      <c r="BJ874" s="618"/>
      <c r="BK874" s="618"/>
      <c r="BL874" s="553"/>
      <c r="BM874" s="618"/>
      <c r="BN874" s="618"/>
      <c r="BO874" s="618"/>
    </row>
    <row r="875" spans="4:67" ht="13">
      <c r="D875" s="618"/>
      <c r="J875" s="1428"/>
      <c r="N875" s="294"/>
      <c r="P875" s="618"/>
      <c r="S875" s="294"/>
      <c r="U875" s="618"/>
      <c r="X875" s="294"/>
      <c r="Z875" s="618"/>
      <c r="AE875" s="618"/>
      <c r="AO875" s="618"/>
      <c r="AT875" s="618"/>
      <c r="AZ875" s="618"/>
      <c r="BE875" s="618"/>
      <c r="BF875" s="618"/>
      <c r="BG875" s="553"/>
      <c r="BH875" s="294"/>
      <c r="BI875" s="618"/>
      <c r="BJ875" s="618"/>
      <c r="BK875" s="618"/>
      <c r="BL875" s="553"/>
      <c r="BM875" s="618"/>
      <c r="BN875" s="618"/>
      <c r="BO875" s="618"/>
    </row>
    <row r="876" spans="4:67" ht="13">
      <c r="D876" s="618"/>
      <c r="J876" s="1428"/>
      <c r="N876" s="294"/>
      <c r="P876" s="618"/>
      <c r="S876" s="294"/>
      <c r="U876" s="618"/>
      <c r="X876" s="294"/>
      <c r="Z876" s="618"/>
      <c r="AE876" s="618"/>
      <c r="AO876" s="618"/>
      <c r="AT876" s="618"/>
      <c r="AZ876" s="618"/>
      <c r="BE876" s="618"/>
      <c r="BF876" s="618"/>
      <c r="BG876" s="553"/>
      <c r="BH876" s="294"/>
      <c r="BI876" s="618"/>
      <c r="BJ876" s="618"/>
      <c r="BK876" s="618"/>
      <c r="BL876" s="553"/>
      <c r="BM876" s="618"/>
      <c r="BN876" s="618"/>
      <c r="BO876" s="618"/>
    </row>
    <row r="877" spans="4:67" ht="13">
      <c r="D877" s="618"/>
      <c r="J877" s="1428"/>
      <c r="N877" s="294"/>
      <c r="P877" s="618"/>
      <c r="S877" s="294"/>
      <c r="U877" s="618"/>
      <c r="X877" s="294"/>
      <c r="Z877" s="618"/>
      <c r="AE877" s="618"/>
      <c r="AO877" s="618"/>
      <c r="AT877" s="618"/>
      <c r="AZ877" s="618"/>
      <c r="BE877" s="618"/>
      <c r="BF877" s="618"/>
      <c r="BG877" s="553"/>
      <c r="BH877" s="294"/>
      <c r="BI877" s="618"/>
      <c r="BJ877" s="618"/>
      <c r="BK877" s="618"/>
      <c r="BL877" s="553"/>
      <c r="BM877" s="618"/>
      <c r="BN877" s="618"/>
      <c r="BO877" s="618"/>
    </row>
    <row r="878" spans="4:67" ht="13">
      <c r="D878" s="618"/>
      <c r="J878" s="1428"/>
      <c r="N878" s="294"/>
      <c r="P878" s="618"/>
      <c r="S878" s="294"/>
      <c r="U878" s="618"/>
      <c r="X878" s="294"/>
      <c r="Z878" s="618"/>
      <c r="AE878" s="618"/>
      <c r="AO878" s="618"/>
      <c r="AT878" s="618"/>
      <c r="AZ878" s="618"/>
      <c r="BE878" s="618"/>
      <c r="BF878" s="618"/>
      <c r="BG878" s="553"/>
      <c r="BH878" s="294"/>
      <c r="BI878" s="618"/>
      <c r="BJ878" s="618"/>
      <c r="BK878" s="618"/>
      <c r="BL878" s="553"/>
      <c r="BM878" s="618"/>
      <c r="BN878" s="618"/>
      <c r="BO878" s="618"/>
    </row>
    <row r="879" spans="4:67" ht="13">
      <c r="D879" s="618"/>
      <c r="J879" s="1428"/>
      <c r="N879" s="294"/>
      <c r="P879" s="618"/>
      <c r="S879" s="294"/>
      <c r="U879" s="618"/>
      <c r="X879" s="294"/>
      <c r="Z879" s="618"/>
      <c r="AE879" s="618"/>
      <c r="AO879" s="618"/>
      <c r="AT879" s="618"/>
      <c r="AZ879" s="618"/>
      <c r="BE879" s="618"/>
      <c r="BF879" s="618"/>
      <c r="BG879" s="553"/>
      <c r="BH879" s="294"/>
      <c r="BI879" s="618"/>
      <c r="BJ879" s="618"/>
      <c r="BK879" s="618"/>
      <c r="BL879" s="553"/>
      <c r="BM879" s="618"/>
      <c r="BN879" s="618"/>
      <c r="BO879" s="618"/>
    </row>
    <row r="880" spans="4:67" ht="13">
      <c r="D880" s="618"/>
      <c r="J880" s="1428"/>
      <c r="N880" s="294"/>
      <c r="P880" s="618"/>
      <c r="S880" s="294"/>
      <c r="U880" s="618"/>
      <c r="X880" s="294"/>
      <c r="Z880" s="618"/>
      <c r="AE880" s="618"/>
      <c r="AO880" s="618"/>
      <c r="AT880" s="618"/>
      <c r="AZ880" s="618"/>
      <c r="BE880" s="618"/>
      <c r="BF880" s="618"/>
      <c r="BG880" s="553"/>
      <c r="BH880" s="294"/>
      <c r="BI880" s="618"/>
      <c r="BJ880" s="618"/>
      <c r="BK880" s="618"/>
      <c r="BL880" s="553"/>
      <c r="BM880" s="618"/>
      <c r="BN880" s="618"/>
      <c r="BO880" s="618"/>
    </row>
    <row r="881" spans="4:67" ht="13">
      <c r="D881" s="618"/>
      <c r="J881" s="1428"/>
      <c r="N881" s="294"/>
      <c r="P881" s="618"/>
      <c r="S881" s="294"/>
      <c r="U881" s="618"/>
      <c r="X881" s="294"/>
      <c r="Z881" s="618"/>
      <c r="AE881" s="618"/>
      <c r="AO881" s="618"/>
      <c r="AT881" s="618"/>
      <c r="AZ881" s="618"/>
      <c r="BE881" s="618"/>
      <c r="BF881" s="618"/>
      <c r="BG881" s="553"/>
      <c r="BH881" s="294"/>
      <c r="BI881" s="618"/>
      <c r="BJ881" s="618"/>
      <c r="BK881" s="618"/>
      <c r="BL881" s="553"/>
      <c r="BM881" s="618"/>
      <c r="BN881" s="618"/>
      <c r="BO881" s="618"/>
    </row>
    <row r="882" spans="4:67" ht="13">
      <c r="D882" s="618"/>
      <c r="J882" s="1428"/>
      <c r="N882" s="294"/>
      <c r="P882" s="618"/>
      <c r="S882" s="294"/>
      <c r="U882" s="618"/>
      <c r="X882" s="294"/>
      <c r="Z882" s="618"/>
      <c r="AE882" s="618"/>
      <c r="AO882" s="618"/>
      <c r="AT882" s="618"/>
      <c r="AZ882" s="618"/>
      <c r="BE882" s="618"/>
      <c r="BF882" s="618"/>
      <c r="BG882" s="553"/>
      <c r="BH882" s="294"/>
      <c r="BI882" s="618"/>
      <c r="BJ882" s="618"/>
      <c r="BK882" s="618"/>
      <c r="BL882" s="553"/>
      <c r="BM882" s="618"/>
      <c r="BN882" s="618"/>
      <c r="BO882" s="618"/>
    </row>
    <row r="883" spans="4:67" ht="13">
      <c r="D883" s="618"/>
      <c r="J883" s="1428"/>
      <c r="N883" s="294"/>
      <c r="P883" s="618"/>
      <c r="S883" s="294"/>
      <c r="U883" s="618"/>
      <c r="X883" s="294"/>
      <c r="Z883" s="618"/>
      <c r="AE883" s="618"/>
      <c r="AO883" s="618"/>
      <c r="AT883" s="618"/>
      <c r="AZ883" s="618"/>
      <c r="BE883" s="618"/>
      <c r="BF883" s="618"/>
      <c r="BG883" s="553"/>
      <c r="BH883" s="294"/>
      <c r="BI883" s="618"/>
      <c r="BJ883" s="618"/>
      <c r="BK883" s="618"/>
      <c r="BL883" s="553"/>
      <c r="BM883" s="618"/>
      <c r="BN883" s="618"/>
      <c r="BO883" s="618"/>
    </row>
    <row r="884" spans="4:67" ht="13">
      <c r="D884" s="618"/>
      <c r="J884" s="1428"/>
      <c r="N884" s="294"/>
      <c r="P884" s="618"/>
      <c r="S884" s="294"/>
      <c r="U884" s="618"/>
      <c r="X884" s="294"/>
      <c r="Z884" s="618"/>
      <c r="AE884" s="618"/>
      <c r="AO884" s="618"/>
      <c r="AT884" s="618"/>
      <c r="AZ884" s="618"/>
      <c r="BE884" s="618"/>
      <c r="BF884" s="618"/>
      <c r="BG884" s="553"/>
      <c r="BH884" s="294"/>
      <c r="BI884" s="618"/>
      <c r="BJ884" s="618"/>
      <c r="BK884" s="618"/>
      <c r="BL884" s="553"/>
      <c r="BM884" s="618"/>
      <c r="BN884" s="618"/>
      <c r="BO884" s="618"/>
    </row>
    <row r="885" spans="4:67" ht="13">
      <c r="D885" s="618"/>
      <c r="J885" s="1428"/>
      <c r="N885" s="294"/>
      <c r="P885" s="618"/>
      <c r="S885" s="294"/>
      <c r="U885" s="618"/>
      <c r="X885" s="294"/>
      <c r="Z885" s="618"/>
      <c r="AE885" s="618"/>
      <c r="AO885" s="618"/>
      <c r="AT885" s="618"/>
      <c r="AZ885" s="618"/>
      <c r="BE885" s="618"/>
      <c r="BF885" s="618"/>
      <c r="BG885" s="553"/>
      <c r="BH885" s="294"/>
      <c r="BI885" s="618"/>
      <c r="BJ885" s="618"/>
      <c r="BK885" s="618"/>
      <c r="BL885" s="553"/>
      <c r="BM885" s="618"/>
      <c r="BN885" s="618"/>
      <c r="BO885" s="618"/>
    </row>
    <row r="886" spans="4:67" ht="13">
      <c r="D886" s="618"/>
      <c r="J886" s="1428"/>
      <c r="N886" s="294"/>
      <c r="P886" s="618"/>
      <c r="S886" s="294"/>
      <c r="U886" s="618"/>
      <c r="X886" s="294"/>
      <c r="Z886" s="618"/>
      <c r="AE886" s="618"/>
      <c r="AO886" s="618"/>
      <c r="AT886" s="618"/>
      <c r="AZ886" s="618"/>
      <c r="BE886" s="618"/>
      <c r="BF886" s="618"/>
      <c r="BG886" s="553"/>
      <c r="BH886" s="294"/>
      <c r="BI886" s="618"/>
      <c r="BJ886" s="618"/>
      <c r="BK886" s="618"/>
      <c r="BL886" s="553"/>
      <c r="BM886" s="618"/>
      <c r="BN886" s="618"/>
      <c r="BO886" s="618"/>
    </row>
    <row r="887" spans="4:67" ht="13">
      <c r="D887" s="618"/>
      <c r="J887" s="1428"/>
      <c r="N887" s="294"/>
      <c r="P887" s="618"/>
      <c r="S887" s="294"/>
      <c r="U887" s="618"/>
      <c r="X887" s="294"/>
      <c r="Z887" s="618"/>
      <c r="AE887" s="618"/>
      <c r="AO887" s="618"/>
      <c r="AT887" s="618"/>
      <c r="AZ887" s="618"/>
      <c r="BE887" s="618"/>
      <c r="BF887" s="618"/>
      <c r="BG887" s="553"/>
      <c r="BH887" s="294"/>
      <c r="BI887" s="618"/>
      <c r="BJ887" s="618"/>
      <c r="BK887" s="618"/>
      <c r="BL887" s="553"/>
      <c r="BM887" s="618"/>
      <c r="BN887" s="618"/>
      <c r="BO887" s="618"/>
    </row>
    <row r="888" spans="4:67" ht="13">
      <c r="D888" s="618"/>
      <c r="J888" s="1428"/>
      <c r="N888" s="294"/>
      <c r="P888" s="618"/>
      <c r="S888" s="294"/>
      <c r="U888" s="618"/>
      <c r="X888" s="294"/>
      <c r="Z888" s="618"/>
      <c r="AE888" s="618"/>
      <c r="AO888" s="618"/>
      <c r="AT888" s="618"/>
      <c r="AZ888" s="618"/>
      <c r="BE888" s="618"/>
      <c r="BF888" s="618"/>
      <c r="BG888" s="553"/>
      <c r="BH888" s="294"/>
      <c r="BI888" s="618"/>
      <c r="BJ888" s="618"/>
      <c r="BK888" s="618"/>
      <c r="BL888" s="553"/>
      <c r="BM888" s="618"/>
      <c r="BN888" s="618"/>
      <c r="BO888" s="618"/>
    </row>
    <row r="889" spans="4:67" ht="13">
      <c r="D889" s="618"/>
      <c r="J889" s="1428"/>
      <c r="N889" s="294"/>
      <c r="P889" s="618"/>
      <c r="S889" s="294"/>
      <c r="U889" s="618"/>
      <c r="X889" s="294"/>
      <c r="Z889" s="618"/>
      <c r="AE889" s="618"/>
      <c r="AO889" s="618"/>
      <c r="AT889" s="618"/>
      <c r="AZ889" s="618"/>
      <c r="BE889" s="618"/>
      <c r="BF889" s="618"/>
      <c r="BG889" s="553"/>
      <c r="BH889" s="294"/>
      <c r="BI889" s="618"/>
      <c r="BJ889" s="618"/>
      <c r="BK889" s="618"/>
      <c r="BL889" s="553"/>
      <c r="BM889" s="618"/>
      <c r="BN889" s="618"/>
      <c r="BO889" s="618"/>
    </row>
    <row r="890" spans="4:67" ht="13">
      <c r="D890" s="618"/>
      <c r="J890" s="1428"/>
      <c r="N890" s="294"/>
      <c r="P890" s="618"/>
      <c r="S890" s="294"/>
      <c r="U890" s="618"/>
      <c r="X890" s="294"/>
      <c r="Z890" s="618"/>
      <c r="AE890" s="618"/>
      <c r="AO890" s="618"/>
      <c r="AT890" s="618"/>
      <c r="AZ890" s="618"/>
      <c r="BE890" s="618"/>
      <c r="BF890" s="618"/>
      <c r="BG890" s="553"/>
      <c r="BH890" s="294"/>
      <c r="BI890" s="618"/>
      <c r="BJ890" s="618"/>
      <c r="BK890" s="618"/>
      <c r="BL890" s="553"/>
      <c r="BM890" s="618"/>
      <c r="BN890" s="618"/>
      <c r="BO890" s="618"/>
    </row>
    <row r="891" spans="4:67" ht="13">
      <c r="D891" s="618"/>
      <c r="J891" s="1428"/>
      <c r="N891" s="294"/>
      <c r="P891" s="618"/>
      <c r="S891" s="294"/>
      <c r="U891" s="618"/>
      <c r="X891" s="294"/>
      <c r="Z891" s="618"/>
      <c r="AE891" s="618"/>
      <c r="AO891" s="618"/>
      <c r="AT891" s="618"/>
      <c r="AZ891" s="618"/>
      <c r="BE891" s="618"/>
      <c r="BF891" s="618"/>
      <c r="BG891" s="553"/>
      <c r="BH891" s="294"/>
      <c r="BI891" s="618"/>
      <c r="BJ891" s="618"/>
      <c r="BK891" s="618"/>
      <c r="BL891" s="553"/>
      <c r="BM891" s="618"/>
      <c r="BN891" s="618"/>
      <c r="BO891" s="618"/>
    </row>
    <row r="892" spans="4:67" ht="13">
      <c r="D892" s="618"/>
      <c r="J892" s="1428"/>
      <c r="N892" s="294"/>
      <c r="P892" s="618"/>
      <c r="S892" s="294"/>
      <c r="U892" s="618"/>
      <c r="X892" s="294"/>
      <c r="Z892" s="618"/>
      <c r="AE892" s="618"/>
      <c r="AO892" s="618"/>
      <c r="AT892" s="618"/>
      <c r="AZ892" s="618"/>
      <c r="BE892" s="618"/>
      <c r="BF892" s="618"/>
      <c r="BG892" s="553"/>
      <c r="BH892" s="294"/>
      <c r="BI892" s="618"/>
      <c r="BJ892" s="618"/>
      <c r="BK892" s="618"/>
      <c r="BL892" s="553"/>
      <c r="BM892" s="618"/>
      <c r="BN892" s="618"/>
      <c r="BO892" s="618"/>
    </row>
    <row r="893" spans="4:67" ht="13">
      <c r="D893" s="618"/>
      <c r="J893" s="1428"/>
      <c r="N893" s="294"/>
      <c r="P893" s="618"/>
      <c r="S893" s="294"/>
      <c r="U893" s="618"/>
      <c r="X893" s="294"/>
      <c r="Z893" s="618"/>
      <c r="AE893" s="618"/>
      <c r="AO893" s="618"/>
      <c r="AT893" s="618"/>
      <c r="AZ893" s="618"/>
      <c r="BE893" s="618"/>
      <c r="BF893" s="618"/>
      <c r="BG893" s="553"/>
      <c r="BH893" s="294"/>
      <c r="BI893" s="618"/>
      <c r="BJ893" s="618"/>
      <c r="BK893" s="618"/>
      <c r="BL893" s="553"/>
      <c r="BM893" s="618"/>
      <c r="BN893" s="618"/>
      <c r="BO893" s="618"/>
    </row>
    <row r="894" spans="4:67" ht="13">
      <c r="D894" s="618"/>
      <c r="J894" s="1428"/>
      <c r="N894" s="294"/>
      <c r="P894" s="618"/>
      <c r="S894" s="294"/>
      <c r="U894" s="618"/>
      <c r="X894" s="294"/>
      <c r="Z894" s="618"/>
      <c r="AE894" s="618"/>
      <c r="AO894" s="618"/>
      <c r="AT894" s="618"/>
      <c r="AZ894" s="618"/>
      <c r="BE894" s="618"/>
      <c r="BF894" s="618"/>
      <c r="BG894" s="553"/>
      <c r="BH894" s="294"/>
      <c r="BI894" s="618"/>
      <c r="BJ894" s="618"/>
      <c r="BK894" s="618"/>
      <c r="BL894" s="553"/>
      <c r="BM894" s="618"/>
      <c r="BN894" s="618"/>
      <c r="BO894" s="618"/>
    </row>
    <row r="895" spans="4:67" ht="13">
      <c r="D895" s="618"/>
      <c r="J895" s="1428"/>
      <c r="N895" s="294"/>
      <c r="P895" s="618"/>
      <c r="S895" s="294"/>
      <c r="U895" s="618"/>
      <c r="X895" s="294"/>
      <c r="Z895" s="618"/>
      <c r="AE895" s="618"/>
      <c r="AO895" s="618"/>
      <c r="AT895" s="618"/>
      <c r="AZ895" s="618"/>
      <c r="BE895" s="618"/>
      <c r="BF895" s="618"/>
      <c r="BG895" s="553"/>
      <c r="BH895" s="294"/>
      <c r="BI895" s="618"/>
      <c r="BJ895" s="618"/>
      <c r="BK895" s="618"/>
      <c r="BL895" s="553"/>
      <c r="BM895" s="618"/>
      <c r="BN895" s="618"/>
      <c r="BO895" s="618"/>
    </row>
    <row r="896" spans="4:67" ht="13">
      <c r="D896" s="618"/>
      <c r="J896" s="1428"/>
      <c r="N896" s="294"/>
      <c r="P896" s="618"/>
      <c r="S896" s="294"/>
      <c r="U896" s="618"/>
      <c r="X896" s="294"/>
      <c r="Z896" s="618"/>
      <c r="AE896" s="618"/>
      <c r="AO896" s="618"/>
      <c r="AT896" s="618"/>
      <c r="AZ896" s="618"/>
      <c r="BE896" s="618"/>
      <c r="BF896" s="618"/>
      <c r="BG896" s="553"/>
      <c r="BH896" s="294"/>
      <c r="BI896" s="618"/>
      <c r="BJ896" s="618"/>
      <c r="BK896" s="618"/>
      <c r="BL896" s="553"/>
      <c r="BM896" s="618"/>
      <c r="BN896" s="618"/>
      <c r="BO896" s="618"/>
    </row>
    <row r="897" spans="4:67" ht="13">
      <c r="D897" s="618"/>
      <c r="J897" s="1428"/>
      <c r="N897" s="294"/>
      <c r="P897" s="618"/>
      <c r="S897" s="294"/>
      <c r="U897" s="618"/>
      <c r="X897" s="294"/>
      <c r="Z897" s="618"/>
      <c r="AE897" s="618"/>
      <c r="AO897" s="618"/>
      <c r="AT897" s="618"/>
      <c r="AZ897" s="618"/>
      <c r="BE897" s="618"/>
      <c r="BF897" s="618"/>
      <c r="BG897" s="553"/>
      <c r="BH897" s="294"/>
      <c r="BI897" s="618"/>
      <c r="BJ897" s="618"/>
      <c r="BK897" s="618"/>
      <c r="BL897" s="553"/>
      <c r="BM897" s="618"/>
      <c r="BN897" s="618"/>
      <c r="BO897" s="618"/>
    </row>
    <row r="898" spans="4:67" ht="13">
      <c r="D898" s="618"/>
      <c r="J898" s="1428"/>
      <c r="N898" s="294"/>
      <c r="P898" s="618"/>
      <c r="S898" s="294"/>
      <c r="U898" s="618"/>
      <c r="X898" s="294"/>
      <c r="Z898" s="618"/>
      <c r="AE898" s="618"/>
      <c r="AO898" s="618"/>
      <c r="AT898" s="618"/>
      <c r="AZ898" s="618"/>
      <c r="BE898" s="618"/>
      <c r="BF898" s="618"/>
      <c r="BG898" s="553"/>
      <c r="BH898" s="294"/>
      <c r="BI898" s="618"/>
      <c r="BJ898" s="618"/>
      <c r="BK898" s="618"/>
      <c r="BL898" s="553"/>
      <c r="BM898" s="618"/>
      <c r="BN898" s="618"/>
      <c r="BO898" s="618"/>
    </row>
    <row r="899" spans="4:67" ht="13">
      <c r="D899" s="618"/>
      <c r="J899" s="1428"/>
      <c r="N899" s="294"/>
      <c r="P899" s="618"/>
      <c r="S899" s="294"/>
      <c r="U899" s="618"/>
      <c r="X899" s="294"/>
      <c r="Z899" s="618"/>
      <c r="AE899" s="618"/>
      <c r="AO899" s="618"/>
      <c r="AT899" s="618"/>
      <c r="AZ899" s="618"/>
      <c r="BE899" s="618"/>
      <c r="BF899" s="618"/>
      <c r="BG899" s="553"/>
      <c r="BH899" s="294"/>
      <c r="BI899" s="618"/>
      <c r="BJ899" s="618"/>
      <c r="BK899" s="618"/>
      <c r="BL899" s="553"/>
      <c r="BM899" s="618"/>
      <c r="BN899" s="618"/>
      <c r="BO899" s="618"/>
    </row>
    <row r="900" spans="4:67" ht="13">
      <c r="D900" s="618"/>
      <c r="J900" s="1428"/>
      <c r="N900" s="294"/>
      <c r="P900" s="618"/>
      <c r="S900" s="294"/>
      <c r="U900" s="618"/>
      <c r="X900" s="294"/>
      <c r="Z900" s="618"/>
      <c r="AE900" s="618"/>
      <c r="AO900" s="618"/>
      <c r="AT900" s="618"/>
      <c r="AZ900" s="618"/>
      <c r="BE900" s="618"/>
      <c r="BF900" s="618"/>
      <c r="BG900" s="553"/>
      <c r="BH900" s="294"/>
      <c r="BI900" s="618"/>
      <c r="BJ900" s="618"/>
      <c r="BK900" s="618"/>
      <c r="BL900" s="553"/>
      <c r="BM900" s="618"/>
      <c r="BN900" s="618"/>
      <c r="BO900" s="618"/>
    </row>
    <row r="901" spans="4:67" ht="13">
      <c r="D901" s="618"/>
      <c r="J901" s="1428"/>
      <c r="N901" s="294"/>
      <c r="P901" s="618"/>
      <c r="S901" s="294"/>
      <c r="U901" s="618"/>
      <c r="X901" s="294"/>
      <c r="Z901" s="618"/>
      <c r="AE901" s="618"/>
      <c r="AO901" s="618"/>
      <c r="AT901" s="618"/>
      <c r="AZ901" s="618"/>
      <c r="BE901" s="618"/>
      <c r="BF901" s="618"/>
      <c r="BG901" s="553"/>
      <c r="BH901" s="294"/>
      <c r="BI901" s="618"/>
      <c r="BJ901" s="618"/>
      <c r="BK901" s="618"/>
      <c r="BL901" s="553"/>
      <c r="BM901" s="618"/>
      <c r="BN901" s="618"/>
      <c r="BO901" s="618"/>
    </row>
    <row r="902" spans="4:67" ht="13">
      <c r="D902" s="618"/>
      <c r="J902" s="1428"/>
      <c r="N902" s="294"/>
      <c r="P902" s="618"/>
      <c r="S902" s="294"/>
      <c r="U902" s="618"/>
      <c r="X902" s="294"/>
      <c r="Z902" s="618"/>
      <c r="AE902" s="618"/>
      <c r="AO902" s="618"/>
      <c r="AT902" s="618"/>
      <c r="AZ902" s="618"/>
      <c r="BE902" s="618"/>
      <c r="BF902" s="618"/>
      <c r="BG902" s="553"/>
      <c r="BH902" s="294"/>
      <c r="BI902" s="618"/>
      <c r="BJ902" s="618"/>
      <c r="BK902" s="618"/>
      <c r="BL902" s="553"/>
      <c r="BM902" s="618"/>
      <c r="BN902" s="618"/>
      <c r="BO902" s="618"/>
    </row>
    <row r="903" spans="4:67" ht="13">
      <c r="D903" s="618"/>
      <c r="J903" s="1428"/>
      <c r="N903" s="294"/>
      <c r="P903" s="618"/>
      <c r="S903" s="294"/>
      <c r="U903" s="618"/>
      <c r="X903" s="294"/>
      <c r="Z903" s="618"/>
      <c r="AE903" s="618"/>
      <c r="AO903" s="618"/>
      <c r="AT903" s="618"/>
      <c r="AZ903" s="618"/>
      <c r="BE903" s="618"/>
      <c r="BF903" s="618"/>
      <c r="BG903" s="553"/>
      <c r="BH903" s="294"/>
      <c r="BI903" s="618"/>
      <c r="BJ903" s="618"/>
      <c r="BK903" s="618"/>
      <c r="BL903" s="553"/>
      <c r="BM903" s="618"/>
      <c r="BN903" s="618"/>
      <c r="BO903" s="618"/>
    </row>
    <row r="904" spans="4:67" ht="13">
      <c r="D904" s="618"/>
      <c r="J904" s="1428"/>
      <c r="N904" s="294"/>
      <c r="P904" s="618"/>
      <c r="S904" s="294"/>
      <c r="U904" s="618"/>
      <c r="X904" s="294"/>
      <c r="Z904" s="618"/>
      <c r="AE904" s="618"/>
      <c r="AO904" s="618"/>
      <c r="AT904" s="618"/>
      <c r="AZ904" s="618"/>
      <c r="BE904" s="618"/>
      <c r="BF904" s="618"/>
      <c r="BG904" s="553"/>
      <c r="BH904" s="294"/>
      <c r="BI904" s="618"/>
      <c r="BJ904" s="618"/>
      <c r="BK904" s="618"/>
      <c r="BL904" s="553"/>
      <c r="BM904" s="618"/>
      <c r="BN904" s="618"/>
      <c r="BO904" s="618"/>
    </row>
    <row r="905" spans="4:67" ht="13">
      <c r="D905" s="618"/>
      <c r="J905" s="1428"/>
      <c r="N905" s="294"/>
      <c r="P905" s="618"/>
      <c r="S905" s="294"/>
      <c r="U905" s="618"/>
      <c r="X905" s="294"/>
      <c r="Z905" s="618"/>
      <c r="AE905" s="618"/>
      <c r="AO905" s="618"/>
      <c r="AT905" s="618"/>
      <c r="AZ905" s="618"/>
      <c r="BE905" s="618"/>
      <c r="BF905" s="618"/>
      <c r="BG905" s="553"/>
      <c r="BH905" s="294"/>
      <c r="BI905" s="618"/>
      <c r="BJ905" s="618"/>
      <c r="BK905" s="618"/>
      <c r="BL905" s="553"/>
      <c r="BM905" s="618"/>
      <c r="BN905" s="618"/>
      <c r="BO905" s="618"/>
    </row>
    <row r="906" spans="4:67" ht="13">
      <c r="D906" s="618"/>
      <c r="J906" s="1428"/>
      <c r="N906" s="294"/>
      <c r="P906" s="618"/>
      <c r="S906" s="294"/>
      <c r="U906" s="618"/>
      <c r="X906" s="294"/>
      <c r="Z906" s="618"/>
      <c r="AE906" s="618"/>
      <c r="AO906" s="618"/>
      <c r="AT906" s="618"/>
      <c r="AZ906" s="618"/>
      <c r="BE906" s="618"/>
      <c r="BF906" s="618"/>
      <c r="BG906" s="553"/>
      <c r="BH906" s="294"/>
      <c r="BI906" s="618"/>
      <c r="BJ906" s="618"/>
      <c r="BK906" s="618"/>
      <c r="BL906" s="553"/>
      <c r="BM906" s="618"/>
      <c r="BN906" s="618"/>
      <c r="BO906" s="618"/>
    </row>
    <row r="907" spans="4:67" ht="13">
      <c r="D907" s="618"/>
      <c r="J907" s="1428"/>
      <c r="N907" s="294"/>
      <c r="P907" s="618"/>
      <c r="S907" s="294"/>
      <c r="U907" s="618"/>
      <c r="X907" s="294"/>
      <c r="Z907" s="618"/>
      <c r="AE907" s="618"/>
      <c r="AO907" s="618"/>
      <c r="AT907" s="618"/>
      <c r="AZ907" s="618"/>
      <c r="BE907" s="618"/>
      <c r="BF907" s="618"/>
      <c r="BG907" s="553"/>
      <c r="BH907" s="294"/>
      <c r="BI907" s="618"/>
      <c r="BJ907" s="618"/>
      <c r="BK907" s="618"/>
      <c r="BL907" s="553"/>
      <c r="BM907" s="618"/>
      <c r="BN907" s="618"/>
      <c r="BO907" s="618"/>
    </row>
    <row r="908" spans="4:67" ht="13">
      <c r="D908" s="618"/>
      <c r="J908" s="1428"/>
      <c r="N908" s="294"/>
      <c r="P908" s="618"/>
      <c r="S908" s="294"/>
      <c r="U908" s="618"/>
      <c r="X908" s="294"/>
      <c r="Z908" s="618"/>
      <c r="AE908" s="618"/>
      <c r="AO908" s="618"/>
      <c r="AT908" s="618"/>
      <c r="AZ908" s="618"/>
      <c r="BE908" s="618"/>
      <c r="BF908" s="618"/>
      <c r="BG908" s="553"/>
      <c r="BH908" s="294"/>
      <c r="BI908" s="618"/>
      <c r="BJ908" s="618"/>
      <c r="BK908" s="618"/>
      <c r="BL908" s="553"/>
      <c r="BM908" s="618"/>
      <c r="BN908" s="618"/>
      <c r="BO908" s="618"/>
    </row>
    <row r="909" spans="4:67" ht="13">
      <c r="D909" s="618"/>
      <c r="J909" s="1428"/>
      <c r="N909" s="294"/>
      <c r="P909" s="618"/>
      <c r="S909" s="294"/>
      <c r="U909" s="618"/>
      <c r="X909" s="294"/>
      <c r="Z909" s="618"/>
      <c r="AE909" s="618"/>
      <c r="AO909" s="618"/>
      <c r="AT909" s="618"/>
      <c r="AZ909" s="618"/>
      <c r="BE909" s="618"/>
      <c r="BF909" s="618"/>
      <c r="BG909" s="553"/>
      <c r="BH909" s="294"/>
      <c r="BI909" s="618"/>
      <c r="BJ909" s="618"/>
      <c r="BK909" s="618"/>
      <c r="BL909" s="553"/>
      <c r="BM909" s="618"/>
      <c r="BN909" s="618"/>
      <c r="BO909" s="618"/>
    </row>
    <row r="910" spans="4:67" ht="13">
      <c r="D910" s="618"/>
      <c r="J910" s="1428"/>
      <c r="N910" s="294"/>
      <c r="P910" s="618"/>
      <c r="S910" s="294"/>
      <c r="U910" s="618"/>
      <c r="X910" s="294"/>
      <c r="Z910" s="618"/>
      <c r="AE910" s="618"/>
      <c r="AO910" s="618"/>
      <c r="AT910" s="618"/>
      <c r="AZ910" s="618"/>
      <c r="BE910" s="618"/>
      <c r="BF910" s="618"/>
      <c r="BG910" s="553"/>
      <c r="BH910" s="294"/>
      <c r="BI910" s="618"/>
      <c r="BJ910" s="618"/>
      <c r="BK910" s="618"/>
      <c r="BL910" s="553"/>
      <c r="BM910" s="618"/>
      <c r="BN910" s="618"/>
      <c r="BO910" s="618"/>
    </row>
    <row r="911" spans="4:67" ht="13">
      <c r="D911" s="618"/>
      <c r="J911" s="1428"/>
      <c r="N911" s="294"/>
      <c r="P911" s="618"/>
      <c r="S911" s="294"/>
      <c r="U911" s="618"/>
      <c r="X911" s="294"/>
      <c r="Z911" s="618"/>
      <c r="AE911" s="618"/>
      <c r="AO911" s="618"/>
      <c r="AT911" s="618"/>
      <c r="AZ911" s="618"/>
      <c r="BE911" s="618"/>
      <c r="BF911" s="618"/>
      <c r="BG911" s="553"/>
      <c r="BH911" s="294"/>
      <c r="BI911" s="618"/>
      <c r="BJ911" s="618"/>
      <c r="BK911" s="618"/>
      <c r="BL911" s="553"/>
      <c r="BM911" s="618"/>
      <c r="BN911" s="618"/>
      <c r="BO911" s="618"/>
    </row>
    <row r="912" spans="4:67" ht="13">
      <c r="D912" s="618"/>
      <c r="J912" s="1428"/>
      <c r="N912" s="294"/>
      <c r="P912" s="618"/>
      <c r="S912" s="294"/>
      <c r="U912" s="618"/>
      <c r="X912" s="294"/>
      <c r="Z912" s="618"/>
      <c r="AE912" s="618"/>
      <c r="AO912" s="618"/>
      <c r="AT912" s="618"/>
      <c r="AZ912" s="618"/>
      <c r="BE912" s="618"/>
      <c r="BF912" s="618"/>
      <c r="BG912" s="553"/>
      <c r="BH912" s="294"/>
      <c r="BI912" s="618"/>
      <c r="BJ912" s="618"/>
      <c r="BK912" s="618"/>
      <c r="BL912" s="553"/>
      <c r="BM912" s="618"/>
      <c r="BN912" s="618"/>
      <c r="BO912" s="618"/>
    </row>
    <row r="913" spans="4:67" ht="13">
      <c r="D913" s="618"/>
      <c r="J913" s="1428"/>
      <c r="N913" s="294"/>
      <c r="P913" s="618"/>
      <c r="S913" s="294"/>
      <c r="U913" s="618"/>
      <c r="X913" s="294"/>
      <c r="Z913" s="618"/>
      <c r="AE913" s="618"/>
      <c r="AO913" s="618"/>
      <c r="AT913" s="618"/>
      <c r="AZ913" s="618"/>
      <c r="BE913" s="618"/>
      <c r="BF913" s="618"/>
      <c r="BG913" s="553"/>
      <c r="BH913" s="294"/>
      <c r="BI913" s="618"/>
      <c r="BJ913" s="618"/>
      <c r="BK913" s="618"/>
      <c r="BL913" s="553"/>
      <c r="BM913" s="618"/>
      <c r="BN913" s="618"/>
      <c r="BO913" s="618"/>
    </row>
    <row r="914" spans="4:67" ht="13">
      <c r="D914" s="618"/>
      <c r="J914" s="1428"/>
      <c r="N914" s="294"/>
      <c r="P914" s="618"/>
      <c r="S914" s="294"/>
      <c r="U914" s="618"/>
      <c r="X914" s="294"/>
      <c r="Z914" s="618"/>
      <c r="AE914" s="618"/>
      <c r="AO914" s="618"/>
      <c r="AT914" s="618"/>
      <c r="AZ914" s="618"/>
      <c r="BE914" s="618"/>
      <c r="BF914" s="618"/>
      <c r="BG914" s="553"/>
      <c r="BH914" s="294"/>
      <c r="BI914" s="618"/>
      <c r="BJ914" s="618"/>
      <c r="BK914" s="618"/>
      <c r="BL914" s="553"/>
      <c r="BM914" s="618"/>
      <c r="BN914" s="618"/>
      <c r="BO914" s="618"/>
    </row>
    <row r="915" spans="4:67" ht="13">
      <c r="D915" s="618"/>
      <c r="J915" s="1428"/>
      <c r="N915" s="294"/>
      <c r="P915" s="618"/>
      <c r="S915" s="294"/>
      <c r="U915" s="618"/>
      <c r="X915" s="294"/>
      <c r="Z915" s="618"/>
      <c r="AE915" s="618"/>
      <c r="AO915" s="618"/>
      <c r="AT915" s="618"/>
      <c r="AZ915" s="618"/>
      <c r="BE915" s="618"/>
      <c r="BF915" s="618"/>
      <c r="BG915" s="553"/>
      <c r="BH915" s="294"/>
      <c r="BI915" s="618"/>
      <c r="BJ915" s="618"/>
      <c r="BK915" s="618"/>
      <c r="BL915" s="553"/>
      <c r="BM915" s="618"/>
      <c r="BN915" s="618"/>
      <c r="BO915" s="618"/>
    </row>
    <row r="916" spans="4:67" ht="13">
      <c r="D916" s="618"/>
      <c r="J916" s="1428"/>
      <c r="N916" s="294"/>
      <c r="P916" s="618"/>
      <c r="S916" s="294"/>
      <c r="U916" s="618"/>
      <c r="X916" s="294"/>
      <c r="Z916" s="618"/>
      <c r="AE916" s="618"/>
      <c r="AO916" s="618"/>
      <c r="AT916" s="618"/>
      <c r="AZ916" s="618"/>
      <c r="BE916" s="618"/>
      <c r="BF916" s="618"/>
      <c r="BG916" s="553"/>
      <c r="BH916" s="294"/>
      <c r="BI916" s="618"/>
      <c r="BJ916" s="618"/>
      <c r="BK916" s="618"/>
      <c r="BL916" s="553"/>
      <c r="BM916" s="618"/>
      <c r="BN916" s="618"/>
      <c r="BO916" s="618"/>
    </row>
    <row r="917" spans="4:67" ht="13">
      <c r="D917" s="618"/>
      <c r="J917" s="1428"/>
      <c r="N917" s="294"/>
      <c r="P917" s="618"/>
      <c r="S917" s="294"/>
      <c r="U917" s="618"/>
      <c r="X917" s="294"/>
      <c r="Z917" s="618"/>
      <c r="AE917" s="618"/>
      <c r="AO917" s="618"/>
      <c r="AT917" s="618"/>
      <c r="AZ917" s="618"/>
      <c r="BE917" s="618"/>
      <c r="BF917" s="618"/>
      <c r="BG917" s="553"/>
      <c r="BH917" s="294"/>
      <c r="BI917" s="618"/>
      <c r="BJ917" s="618"/>
      <c r="BK917" s="618"/>
      <c r="BL917" s="553"/>
      <c r="BM917" s="618"/>
      <c r="BN917" s="618"/>
      <c r="BO917" s="618"/>
    </row>
    <row r="918" spans="4:67" ht="13">
      <c r="D918" s="618"/>
      <c r="J918" s="1428"/>
      <c r="N918" s="294"/>
      <c r="P918" s="618"/>
      <c r="S918" s="294"/>
      <c r="U918" s="618"/>
      <c r="X918" s="294"/>
      <c r="Z918" s="618"/>
      <c r="AE918" s="618"/>
      <c r="AO918" s="618"/>
      <c r="AT918" s="618"/>
      <c r="AZ918" s="618"/>
      <c r="BE918" s="618"/>
      <c r="BF918" s="618"/>
      <c r="BG918" s="553"/>
      <c r="BH918" s="294"/>
      <c r="BI918" s="618"/>
      <c r="BJ918" s="618"/>
      <c r="BK918" s="618"/>
      <c r="BL918" s="553"/>
      <c r="BM918" s="618"/>
      <c r="BN918" s="618"/>
      <c r="BO918" s="618"/>
    </row>
    <row r="919" spans="4:67" ht="13">
      <c r="D919" s="618"/>
      <c r="J919" s="1428"/>
      <c r="N919" s="294"/>
      <c r="P919" s="618"/>
      <c r="S919" s="294"/>
      <c r="U919" s="618"/>
      <c r="X919" s="294"/>
      <c r="Z919" s="618"/>
      <c r="AE919" s="618"/>
      <c r="AO919" s="618"/>
      <c r="AT919" s="618"/>
      <c r="AZ919" s="618"/>
      <c r="BE919" s="618"/>
      <c r="BF919" s="618"/>
      <c r="BG919" s="553"/>
      <c r="BH919" s="294"/>
      <c r="BI919" s="618"/>
      <c r="BJ919" s="618"/>
      <c r="BK919" s="618"/>
      <c r="BL919" s="553"/>
      <c r="BM919" s="618"/>
      <c r="BN919" s="618"/>
      <c r="BO919" s="618"/>
    </row>
    <row r="920" spans="4:67" ht="13">
      <c r="D920" s="618"/>
      <c r="J920" s="1428"/>
      <c r="N920" s="294"/>
      <c r="P920" s="618"/>
      <c r="S920" s="294"/>
      <c r="U920" s="618"/>
      <c r="X920" s="294"/>
      <c r="Z920" s="618"/>
      <c r="AE920" s="618"/>
      <c r="AO920" s="618"/>
      <c r="AT920" s="618"/>
      <c r="AZ920" s="618"/>
      <c r="BE920" s="618"/>
      <c r="BF920" s="618"/>
      <c r="BG920" s="553"/>
      <c r="BH920" s="294"/>
      <c r="BI920" s="618"/>
      <c r="BJ920" s="618"/>
      <c r="BK920" s="618"/>
      <c r="BL920" s="553"/>
      <c r="BM920" s="618"/>
      <c r="BN920" s="618"/>
      <c r="BO920" s="618"/>
    </row>
    <row r="921" spans="4:67" ht="13">
      <c r="D921" s="618"/>
      <c r="J921" s="1428"/>
      <c r="N921" s="294"/>
      <c r="P921" s="618"/>
      <c r="S921" s="294"/>
      <c r="U921" s="618"/>
      <c r="X921" s="294"/>
      <c r="Z921" s="618"/>
      <c r="AE921" s="618"/>
      <c r="AO921" s="618"/>
      <c r="AT921" s="618"/>
      <c r="AZ921" s="618"/>
      <c r="BE921" s="618"/>
      <c r="BF921" s="618"/>
      <c r="BG921" s="553"/>
      <c r="BH921" s="294"/>
      <c r="BI921" s="618"/>
      <c r="BJ921" s="618"/>
      <c r="BK921" s="618"/>
      <c r="BL921" s="553"/>
      <c r="BM921" s="618"/>
      <c r="BN921" s="618"/>
      <c r="BO921" s="618"/>
    </row>
    <row r="922" spans="4:67" ht="13">
      <c r="D922" s="618"/>
      <c r="J922" s="1428"/>
      <c r="N922" s="294"/>
      <c r="P922" s="618"/>
      <c r="S922" s="294"/>
      <c r="U922" s="618"/>
      <c r="X922" s="294"/>
      <c r="Z922" s="618"/>
      <c r="AE922" s="618"/>
      <c r="AO922" s="618"/>
      <c r="AT922" s="618"/>
      <c r="AZ922" s="618"/>
      <c r="BE922" s="618"/>
      <c r="BF922" s="618"/>
      <c r="BG922" s="553"/>
      <c r="BH922" s="294"/>
      <c r="BI922" s="618"/>
      <c r="BJ922" s="618"/>
      <c r="BK922" s="618"/>
      <c r="BL922" s="553"/>
      <c r="BM922" s="618"/>
      <c r="BN922" s="618"/>
      <c r="BO922" s="618"/>
    </row>
    <row r="923" spans="4:67" ht="13">
      <c r="D923" s="618"/>
      <c r="J923" s="1428"/>
      <c r="N923" s="294"/>
      <c r="P923" s="618"/>
      <c r="S923" s="294"/>
      <c r="U923" s="618"/>
      <c r="X923" s="294"/>
      <c r="Z923" s="618"/>
      <c r="AE923" s="618"/>
      <c r="AO923" s="618"/>
      <c r="AT923" s="618"/>
      <c r="AZ923" s="618"/>
      <c r="BE923" s="618"/>
      <c r="BF923" s="618"/>
      <c r="BG923" s="553"/>
      <c r="BH923" s="294"/>
      <c r="BI923" s="618"/>
      <c r="BJ923" s="618"/>
      <c r="BK923" s="618"/>
      <c r="BL923" s="553"/>
      <c r="BM923" s="618"/>
      <c r="BN923" s="618"/>
      <c r="BO923" s="618"/>
    </row>
    <row r="924" spans="4:67" ht="13">
      <c r="D924" s="618"/>
      <c r="J924" s="1428"/>
      <c r="N924" s="294"/>
      <c r="P924" s="618"/>
      <c r="S924" s="294"/>
      <c r="U924" s="618"/>
      <c r="X924" s="294"/>
      <c r="Z924" s="618"/>
      <c r="AE924" s="618"/>
      <c r="AO924" s="618"/>
      <c r="AT924" s="618"/>
      <c r="AZ924" s="618"/>
      <c r="BE924" s="618"/>
      <c r="BF924" s="618"/>
      <c r="BG924" s="553"/>
      <c r="BH924" s="294"/>
      <c r="BI924" s="618"/>
      <c r="BJ924" s="618"/>
      <c r="BK924" s="618"/>
      <c r="BL924" s="553"/>
      <c r="BM924" s="618"/>
      <c r="BN924" s="618"/>
      <c r="BO924" s="618"/>
    </row>
    <row r="925" spans="4:67" ht="13">
      <c r="D925" s="618"/>
      <c r="J925" s="1428"/>
      <c r="N925" s="294"/>
      <c r="P925" s="618"/>
      <c r="S925" s="294"/>
      <c r="U925" s="618"/>
      <c r="X925" s="294"/>
      <c r="Z925" s="618"/>
      <c r="AE925" s="618"/>
      <c r="AO925" s="618"/>
      <c r="AT925" s="618"/>
      <c r="AZ925" s="618"/>
      <c r="BE925" s="618"/>
      <c r="BF925" s="618"/>
      <c r="BG925" s="553"/>
      <c r="BH925" s="294"/>
      <c r="BI925" s="618"/>
      <c r="BJ925" s="618"/>
      <c r="BK925" s="618"/>
      <c r="BL925" s="553"/>
      <c r="BM925" s="618"/>
      <c r="BN925" s="618"/>
      <c r="BO925" s="618"/>
    </row>
    <row r="926" spans="4:67" ht="13">
      <c r="D926" s="618"/>
      <c r="J926" s="1428"/>
      <c r="N926" s="294"/>
      <c r="P926" s="618"/>
      <c r="S926" s="294"/>
      <c r="U926" s="618"/>
      <c r="X926" s="294"/>
      <c r="Z926" s="618"/>
      <c r="AE926" s="618"/>
      <c r="AO926" s="618"/>
      <c r="AT926" s="618"/>
      <c r="AZ926" s="618"/>
      <c r="BE926" s="618"/>
      <c r="BF926" s="618"/>
      <c r="BG926" s="553"/>
      <c r="BH926" s="294"/>
      <c r="BI926" s="618"/>
      <c r="BJ926" s="618"/>
      <c r="BK926" s="618"/>
      <c r="BL926" s="553"/>
      <c r="BM926" s="618"/>
      <c r="BN926" s="618"/>
      <c r="BO926" s="618"/>
    </row>
    <row r="927" spans="4:67" ht="13">
      <c r="D927" s="618"/>
      <c r="J927" s="1428"/>
      <c r="N927" s="294"/>
      <c r="P927" s="618"/>
      <c r="S927" s="294"/>
      <c r="U927" s="618"/>
      <c r="X927" s="294"/>
      <c r="Z927" s="618"/>
      <c r="AE927" s="618"/>
      <c r="AO927" s="618"/>
      <c r="AT927" s="618"/>
      <c r="AZ927" s="618"/>
      <c r="BE927" s="618"/>
      <c r="BF927" s="618"/>
      <c r="BG927" s="553"/>
      <c r="BH927" s="294"/>
      <c r="BI927" s="618"/>
      <c r="BJ927" s="618"/>
      <c r="BK927" s="618"/>
      <c r="BL927" s="553"/>
      <c r="BM927" s="618"/>
      <c r="BN927" s="618"/>
      <c r="BO927" s="618"/>
    </row>
    <row r="928" spans="4:67" ht="13">
      <c r="D928" s="618"/>
      <c r="J928" s="1428"/>
      <c r="N928" s="294"/>
      <c r="P928" s="618"/>
      <c r="S928" s="294"/>
      <c r="U928" s="618"/>
      <c r="X928" s="294"/>
      <c r="Z928" s="618"/>
      <c r="AE928" s="618"/>
      <c r="AO928" s="618"/>
      <c r="AT928" s="618"/>
      <c r="AZ928" s="618"/>
      <c r="BE928" s="618"/>
      <c r="BF928" s="618"/>
      <c r="BG928" s="553"/>
      <c r="BH928" s="294"/>
      <c r="BI928" s="618"/>
      <c r="BJ928" s="618"/>
      <c r="BK928" s="618"/>
      <c r="BL928" s="553"/>
      <c r="BM928" s="618"/>
      <c r="BN928" s="618"/>
      <c r="BO928" s="618"/>
    </row>
    <row r="929" spans="4:67" ht="13">
      <c r="D929" s="618"/>
      <c r="J929" s="1428"/>
      <c r="N929" s="294"/>
      <c r="P929" s="618"/>
      <c r="S929" s="294"/>
      <c r="U929" s="618"/>
      <c r="X929" s="294"/>
      <c r="Z929" s="618"/>
      <c r="AE929" s="618"/>
      <c r="AO929" s="618"/>
      <c r="AT929" s="618"/>
      <c r="AZ929" s="618"/>
      <c r="BE929" s="618"/>
      <c r="BF929" s="618"/>
      <c r="BG929" s="553"/>
      <c r="BH929" s="294"/>
      <c r="BI929" s="618"/>
      <c r="BJ929" s="618"/>
      <c r="BK929" s="618"/>
      <c r="BL929" s="553"/>
      <c r="BM929" s="618"/>
      <c r="BN929" s="618"/>
      <c r="BO929" s="618"/>
    </row>
    <row r="930" spans="4:67" ht="13">
      <c r="D930" s="618"/>
      <c r="J930" s="1428"/>
      <c r="N930" s="294"/>
      <c r="P930" s="618"/>
      <c r="S930" s="294"/>
      <c r="U930" s="618"/>
      <c r="X930" s="294"/>
      <c r="Z930" s="618"/>
      <c r="AE930" s="618"/>
      <c r="AO930" s="618"/>
      <c r="AT930" s="618"/>
      <c r="AZ930" s="618"/>
      <c r="BE930" s="618"/>
      <c r="BF930" s="618"/>
      <c r="BG930" s="553"/>
      <c r="BH930" s="294"/>
      <c r="BI930" s="618"/>
      <c r="BJ930" s="618"/>
      <c r="BK930" s="618"/>
      <c r="BL930" s="553"/>
      <c r="BM930" s="618"/>
      <c r="BN930" s="618"/>
      <c r="BO930" s="618"/>
    </row>
    <row r="931" spans="4:67" ht="13">
      <c r="D931" s="618"/>
      <c r="J931" s="1428"/>
      <c r="N931" s="294"/>
      <c r="P931" s="618"/>
      <c r="S931" s="294"/>
      <c r="U931" s="618"/>
      <c r="X931" s="294"/>
      <c r="Z931" s="618"/>
      <c r="AE931" s="618"/>
      <c r="AO931" s="618"/>
      <c r="AT931" s="618"/>
      <c r="AZ931" s="618"/>
      <c r="BE931" s="618"/>
      <c r="BF931" s="618"/>
      <c r="BG931" s="553"/>
      <c r="BH931" s="294"/>
      <c r="BI931" s="618"/>
      <c r="BJ931" s="618"/>
      <c r="BK931" s="618"/>
      <c r="BL931" s="553"/>
      <c r="BM931" s="618"/>
      <c r="BN931" s="618"/>
      <c r="BO931" s="618"/>
    </row>
    <row r="932" spans="4:67" ht="13">
      <c r="D932" s="618"/>
      <c r="J932" s="1428"/>
      <c r="N932" s="294"/>
      <c r="P932" s="618"/>
      <c r="S932" s="294"/>
      <c r="U932" s="618"/>
      <c r="X932" s="294"/>
      <c r="Z932" s="618"/>
      <c r="AE932" s="618"/>
      <c r="AO932" s="618"/>
      <c r="AT932" s="618"/>
      <c r="AZ932" s="618"/>
      <c r="BE932" s="618"/>
      <c r="BF932" s="618"/>
      <c r="BG932" s="553"/>
      <c r="BH932" s="294"/>
      <c r="BI932" s="618"/>
      <c r="BJ932" s="618"/>
      <c r="BK932" s="618"/>
      <c r="BL932" s="553"/>
      <c r="BM932" s="618"/>
      <c r="BN932" s="618"/>
      <c r="BO932" s="618"/>
    </row>
    <row r="933" spans="4:67" ht="13">
      <c r="D933" s="618"/>
      <c r="J933" s="1428"/>
      <c r="N933" s="294"/>
      <c r="P933" s="618"/>
      <c r="S933" s="294"/>
      <c r="U933" s="618"/>
      <c r="X933" s="294"/>
      <c r="Z933" s="618"/>
      <c r="AE933" s="618"/>
      <c r="AO933" s="618"/>
      <c r="AT933" s="618"/>
      <c r="AZ933" s="618"/>
      <c r="BE933" s="618"/>
      <c r="BF933" s="618"/>
      <c r="BG933" s="553"/>
      <c r="BH933" s="294"/>
      <c r="BI933" s="618"/>
      <c r="BJ933" s="618"/>
      <c r="BK933" s="618"/>
      <c r="BL933" s="553"/>
      <c r="BM933" s="618"/>
      <c r="BN933" s="618"/>
      <c r="BO933" s="618"/>
    </row>
    <row r="934" spans="4:67" ht="13">
      <c r="D934" s="618"/>
      <c r="J934" s="1428"/>
      <c r="N934" s="294"/>
      <c r="P934" s="618"/>
      <c r="S934" s="294"/>
      <c r="U934" s="618"/>
      <c r="X934" s="294"/>
      <c r="Z934" s="618"/>
      <c r="AE934" s="618"/>
      <c r="AO934" s="618"/>
      <c r="AT934" s="618"/>
      <c r="AZ934" s="618"/>
      <c r="BE934" s="618"/>
      <c r="BF934" s="618"/>
      <c r="BG934" s="553"/>
      <c r="BH934" s="294"/>
      <c r="BI934" s="618"/>
      <c r="BJ934" s="618"/>
      <c r="BK934" s="618"/>
      <c r="BL934" s="553"/>
      <c r="BM934" s="618"/>
      <c r="BN934" s="618"/>
      <c r="BO934" s="618"/>
    </row>
    <row r="935" spans="4:67" ht="13">
      <c r="D935" s="618"/>
      <c r="J935" s="1428"/>
      <c r="N935" s="294"/>
      <c r="P935" s="618"/>
      <c r="S935" s="294"/>
      <c r="U935" s="618"/>
      <c r="X935" s="294"/>
      <c r="Z935" s="618"/>
      <c r="AE935" s="618"/>
      <c r="AO935" s="618"/>
      <c r="AT935" s="618"/>
      <c r="AZ935" s="618"/>
      <c r="BE935" s="618"/>
      <c r="BF935" s="618"/>
      <c r="BG935" s="553"/>
      <c r="BH935" s="294"/>
      <c r="BI935" s="618"/>
      <c r="BJ935" s="618"/>
      <c r="BK935" s="618"/>
      <c r="BL935" s="553"/>
      <c r="BM935" s="618"/>
      <c r="BN935" s="618"/>
      <c r="BO935" s="618"/>
    </row>
    <row r="936" spans="4:67" ht="13">
      <c r="D936" s="618"/>
      <c r="J936" s="1428"/>
      <c r="N936" s="294"/>
      <c r="P936" s="618"/>
      <c r="S936" s="294"/>
      <c r="U936" s="618"/>
      <c r="X936" s="294"/>
      <c r="Z936" s="618"/>
      <c r="AE936" s="618"/>
      <c r="AO936" s="618"/>
      <c r="AT936" s="618"/>
      <c r="AZ936" s="618"/>
      <c r="BE936" s="618"/>
      <c r="BF936" s="618"/>
      <c r="BG936" s="553"/>
      <c r="BH936" s="294"/>
      <c r="BI936" s="618"/>
      <c r="BJ936" s="618"/>
      <c r="BK936" s="618"/>
      <c r="BL936" s="553"/>
      <c r="BM936" s="618"/>
      <c r="BN936" s="618"/>
      <c r="BO936" s="618"/>
    </row>
    <row r="937" spans="4:67" ht="13">
      <c r="D937" s="618"/>
      <c r="J937" s="1428"/>
      <c r="N937" s="294"/>
      <c r="P937" s="618"/>
      <c r="S937" s="294"/>
      <c r="U937" s="618"/>
      <c r="X937" s="294"/>
      <c r="Z937" s="618"/>
      <c r="AE937" s="618"/>
      <c r="AO937" s="618"/>
      <c r="AT937" s="618"/>
      <c r="AZ937" s="618"/>
      <c r="BE937" s="618"/>
      <c r="BF937" s="618"/>
      <c r="BG937" s="553"/>
      <c r="BH937" s="294"/>
      <c r="BI937" s="618"/>
      <c r="BJ937" s="618"/>
      <c r="BK937" s="618"/>
      <c r="BL937" s="553"/>
      <c r="BM937" s="618"/>
      <c r="BN937" s="618"/>
      <c r="BO937" s="618"/>
    </row>
    <row r="938" spans="4:67" ht="13">
      <c r="D938" s="618"/>
      <c r="J938" s="1428"/>
      <c r="N938" s="294"/>
      <c r="P938" s="618"/>
      <c r="S938" s="294"/>
      <c r="U938" s="618"/>
      <c r="X938" s="294"/>
      <c r="Z938" s="618"/>
      <c r="AE938" s="618"/>
      <c r="AO938" s="618"/>
      <c r="AT938" s="618"/>
      <c r="AZ938" s="618"/>
      <c r="BE938" s="618"/>
      <c r="BF938" s="618"/>
      <c r="BG938" s="553"/>
      <c r="BH938" s="294"/>
      <c r="BI938" s="618"/>
      <c r="BJ938" s="618"/>
      <c r="BK938" s="618"/>
      <c r="BL938" s="553"/>
      <c r="BM938" s="618"/>
      <c r="BN938" s="618"/>
      <c r="BO938" s="618"/>
    </row>
    <row r="939" spans="4:67" ht="13">
      <c r="D939" s="618"/>
      <c r="J939" s="1428"/>
      <c r="N939" s="294"/>
      <c r="P939" s="618"/>
      <c r="S939" s="294"/>
      <c r="U939" s="618"/>
      <c r="X939" s="294"/>
      <c r="Z939" s="618"/>
      <c r="AE939" s="618"/>
      <c r="AO939" s="618"/>
      <c r="AT939" s="618"/>
      <c r="AZ939" s="618"/>
      <c r="BE939" s="618"/>
      <c r="BF939" s="618"/>
      <c r="BG939" s="553"/>
      <c r="BH939" s="294"/>
      <c r="BI939" s="618"/>
      <c r="BJ939" s="618"/>
      <c r="BK939" s="618"/>
      <c r="BL939" s="553"/>
      <c r="BM939" s="618"/>
      <c r="BN939" s="618"/>
      <c r="BO939" s="618"/>
    </row>
    <row r="940" spans="4:67" ht="13">
      <c r="D940" s="618"/>
      <c r="J940" s="1428"/>
      <c r="N940" s="294"/>
      <c r="P940" s="618"/>
      <c r="S940" s="294"/>
      <c r="U940" s="618"/>
      <c r="X940" s="294"/>
      <c r="Z940" s="618"/>
      <c r="AE940" s="618"/>
      <c r="AO940" s="618"/>
      <c r="AT940" s="618"/>
      <c r="AZ940" s="618"/>
      <c r="BE940" s="618"/>
      <c r="BF940" s="618"/>
      <c r="BG940" s="553"/>
      <c r="BH940" s="294"/>
      <c r="BI940" s="618"/>
      <c r="BJ940" s="618"/>
      <c r="BK940" s="618"/>
      <c r="BL940" s="553"/>
      <c r="BM940" s="618"/>
      <c r="BN940" s="618"/>
      <c r="BO940" s="618"/>
    </row>
    <row r="941" spans="4:67" ht="13">
      <c r="D941" s="618"/>
      <c r="J941" s="1428"/>
      <c r="N941" s="294"/>
      <c r="P941" s="618"/>
      <c r="S941" s="294"/>
      <c r="U941" s="618"/>
      <c r="X941" s="294"/>
      <c r="Z941" s="618"/>
      <c r="AE941" s="618"/>
      <c r="AO941" s="618"/>
      <c r="AT941" s="618"/>
      <c r="AZ941" s="618"/>
      <c r="BE941" s="618"/>
      <c r="BF941" s="618"/>
      <c r="BG941" s="553"/>
      <c r="BH941" s="294"/>
      <c r="BI941" s="618"/>
      <c r="BJ941" s="618"/>
      <c r="BK941" s="618"/>
      <c r="BL941" s="553"/>
      <c r="BM941" s="618"/>
      <c r="BN941" s="618"/>
      <c r="BO941" s="618"/>
    </row>
    <row r="942" spans="4:67" ht="13">
      <c r="D942" s="618"/>
      <c r="J942" s="1428"/>
      <c r="N942" s="294"/>
      <c r="P942" s="618"/>
      <c r="S942" s="294"/>
      <c r="U942" s="618"/>
      <c r="X942" s="294"/>
      <c r="Z942" s="618"/>
      <c r="AE942" s="618"/>
      <c r="AO942" s="618"/>
      <c r="AT942" s="618"/>
      <c r="AZ942" s="618"/>
      <c r="BE942" s="618"/>
      <c r="BF942" s="618"/>
      <c r="BG942" s="553"/>
      <c r="BH942" s="294"/>
      <c r="BI942" s="618"/>
      <c r="BJ942" s="618"/>
      <c r="BK942" s="618"/>
      <c r="BL942" s="553"/>
      <c r="BM942" s="618"/>
      <c r="BN942" s="618"/>
      <c r="BO942" s="618"/>
    </row>
    <row r="943" spans="4:67" ht="13">
      <c r="D943" s="618"/>
      <c r="J943" s="1428"/>
      <c r="N943" s="294"/>
      <c r="P943" s="618"/>
      <c r="S943" s="294"/>
      <c r="U943" s="618"/>
      <c r="X943" s="294"/>
      <c r="Z943" s="618"/>
      <c r="AE943" s="618"/>
      <c r="AO943" s="618"/>
      <c r="AT943" s="618"/>
      <c r="AZ943" s="618"/>
      <c r="BE943" s="618"/>
      <c r="BF943" s="618"/>
      <c r="BG943" s="553"/>
      <c r="BH943" s="294"/>
      <c r="BI943" s="618"/>
      <c r="BJ943" s="618"/>
      <c r="BK943" s="618"/>
      <c r="BL943" s="553"/>
      <c r="BM943" s="618"/>
      <c r="BN943" s="618"/>
      <c r="BO943" s="618"/>
    </row>
    <row r="944" spans="4:67" ht="13">
      <c r="D944" s="618"/>
      <c r="J944" s="1428"/>
      <c r="N944" s="294"/>
      <c r="P944" s="618"/>
      <c r="S944" s="294"/>
      <c r="U944" s="618"/>
      <c r="X944" s="294"/>
      <c r="Z944" s="618"/>
      <c r="AE944" s="618"/>
      <c r="AO944" s="618"/>
      <c r="AT944" s="618"/>
      <c r="AZ944" s="618"/>
      <c r="BE944" s="618"/>
      <c r="BF944" s="618"/>
      <c r="BG944" s="553"/>
      <c r="BH944" s="294"/>
      <c r="BI944" s="618"/>
      <c r="BJ944" s="618"/>
      <c r="BK944" s="618"/>
      <c r="BL944" s="553"/>
      <c r="BM944" s="618"/>
      <c r="BN944" s="618"/>
      <c r="BO944" s="618"/>
    </row>
    <row r="945" spans="4:67" ht="13">
      <c r="D945" s="618"/>
      <c r="J945" s="1428"/>
      <c r="N945" s="294"/>
      <c r="P945" s="618"/>
      <c r="S945" s="294"/>
      <c r="U945" s="618"/>
      <c r="X945" s="294"/>
      <c r="Z945" s="618"/>
      <c r="AE945" s="618"/>
      <c r="AO945" s="618"/>
      <c r="AT945" s="618"/>
      <c r="AZ945" s="618"/>
      <c r="BE945" s="618"/>
      <c r="BF945" s="618"/>
      <c r="BG945" s="553"/>
      <c r="BH945" s="294"/>
      <c r="BI945" s="618"/>
      <c r="BJ945" s="618"/>
      <c r="BK945" s="618"/>
      <c r="BL945" s="553"/>
      <c r="BM945" s="618"/>
      <c r="BN945" s="618"/>
      <c r="BO945" s="618"/>
    </row>
    <row r="946" spans="4:67" ht="13">
      <c r="D946" s="618"/>
      <c r="J946" s="1428"/>
      <c r="N946" s="294"/>
      <c r="P946" s="618"/>
      <c r="S946" s="294"/>
      <c r="U946" s="618"/>
      <c r="X946" s="294"/>
      <c r="Z946" s="618"/>
      <c r="AE946" s="618"/>
      <c r="AO946" s="618"/>
      <c r="AT946" s="618"/>
      <c r="AZ946" s="618"/>
      <c r="BE946" s="618"/>
      <c r="BF946" s="618"/>
      <c r="BG946" s="553"/>
      <c r="BH946" s="294"/>
      <c r="BI946" s="618"/>
      <c r="BJ946" s="618"/>
      <c r="BK946" s="618"/>
      <c r="BL946" s="553"/>
      <c r="BM946" s="618"/>
      <c r="BN946" s="618"/>
      <c r="BO946" s="618"/>
    </row>
    <row r="947" spans="4:67" ht="13">
      <c r="D947" s="618"/>
      <c r="J947" s="1428"/>
      <c r="N947" s="294"/>
      <c r="P947" s="618"/>
      <c r="S947" s="294"/>
      <c r="U947" s="618"/>
      <c r="X947" s="294"/>
      <c r="Z947" s="618"/>
      <c r="AE947" s="618"/>
      <c r="AO947" s="618"/>
      <c r="AT947" s="618"/>
      <c r="AZ947" s="618"/>
      <c r="BE947" s="618"/>
      <c r="BF947" s="618"/>
      <c r="BG947" s="553"/>
      <c r="BH947" s="294"/>
      <c r="BI947" s="618"/>
      <c r="BJ947" s="618"/>
      <c r="BK947" s="618"/>
      <c r="BL947" s="553"/>
      <c r="BM947" s="618"/>
      <c r="BN947" s="618"/>
      <c r="BO947" s="618"/>
    </row>
    <row r="948" spans="4:67" ht="13">
      <c r="D948" s="618"/>
      <c r="J948" s="1428"/>
      <c r="N948" s="294"/>
      <c r="P948" s="618"/>
      <c r="S948" s="294"/>
      <c r="U948" s="618"/>
      <c r="X948" s="294"/>
      <c r="Z948" s="618"/>
      <c r="AE948" s="618"/>
      <c r="AO948" s="618"/>
      <c r="AT948" s="618"/>
      <c r="AZ948" s="618"/>
      <c r="BE948" s="618"/>
      <c r="BF948" s="618"/>
      <c r="BG948" s="553"/>
      <c r="BH948" s="294"/>
      <c r="BI948" s="618"/>
      <c r="BJ948" s="618"/>
      <c r="BK948" s="618"/>
      <c r="BL948" s="553"/>
      <c r="BM948" s="618"/>
      <c r="BN948" s="618"/>
      <c r="BO948" s="618"/>
    </row>
    <row r="949" spans="4:67" ht="13">
      <c r="D949" s="618"/>
      <c r="J949" s="1428"/>
      <c r="N949" s="294"/>
      <c r="P949" s="618"/>
      <c r="S949" s="294"/>
      <c r="U949" s="618"/>
      <c r="X949" s="294"/>
      <c r="Z949" s="618"/>
      <c r="AE949" s="618"/>
      <c r="AO949" s="618"/>
      <c r="AT949" s="618"/>
      <c r="AZ949" s="618"/>
      <c r="BE949" s="618"/>
      <c r="BF949" s="618"/>
      <c r="BG949" s="553"/>
      <c r="BH949" s="294"/>
      <c r="BI949" s="618"/>
      <c r="BJ949" s="618"/>
      <c r="BK949" s="618"/>
      <c r="BL949" s="553"/>
      <c r="BM949" s="618"/>
      <c r="BN949" s="618"/>
      <c r="BO949" s="618"/>
    </row>
    <row r="950" spans="4:67" ht="13">
      <c r="D950" s="618"/>
      <c r="J950" s="1428"/>
      <c r="N950" s="294"/>
      <c r="P950" s="618"/>
      <c r="S950" s="294"/>
      <c r="U950" s="618"/>
      <c r="X950" s="294"/>
      <c r="Z950" s="618"/>
      <c r="AE950" s="618"/>
      <c r="AO950" s="618"/>
      <c r="AT950" s="618"/>
      <c r="AZ950" s="618"/>
      <c r="BE950" s="618"/>
      <c r="BF950" s="618"/>
      <c r="BG950" s="553"/>
      <c r="BH950" s="294"/>
      <c r="BI950" s="618"/>
      <c r="BJ950" s="618"/>
      <c r="BK950" s="618"/>
      <c r="BL950" s="553"/>
      <c r="BM950" s="618"/>
      <c r="BN950" s="618"/>
      <c r="BO950" s="618"/>
    </row>
    <row r="951" spans="4:67" ht="13">
      <c r="D951" s="618"/>
      <c r="J951" s="1428"/>
      <c r="N951" s="294"/>
      <c r="P951" s="618"/>
      <c r="S951" s="294"/>
      <c r="U951" s="618"/>
      <c r="X951" s="294"/>
      <c r="Z951" s="618"/>
      <c r="AE951" s="618"/>
      <c r="AO951" s="618"/>
      <c r="AT951" s="618"/>
      <c r="AZ951" s="618"/>
      <c r="BE951" s="618"/>
      <c r="BF951" s="618"/>
      <c r="BG951" s="553"/>
      <c r="BH951" s="294"/>
      <c r="BI951" s="618"/>
      <c r="BJ951" s="618"/>
      <c r="BK951" s="618"/>
      <c r="BL951" s="553"/>
      <c r="BM951" s="618"/>
      <c r="BN951" s="618"/>
      <c r="BO951" s="618"/>
    </row>
    <row r="952" spans="4:67" ht="13">
      <c r="D952" s="618"/>
      <c r="J952" s="1428"/>
      <c r="N952" s="294"/>
      <c r="P952" s="618"/>
      <c r="S952" s="294"/>
      <c r="U952" s="618"/>
      <c r="X952" s="294"/>
      <c r="Z952" s="618"/>
      <c r="AE952" s="618"/>
      <c r="AO952" s="618"/>
      <c r="AT952" s="618"/>
      <c r="AZ952" s="618"/>
      <c r="BE952" s="618"/>
      <c r="BF952" s="618"/>
      <c r="BG952" s="553"/>
      <c r="BH952" s="294"/>
      <c r="BI952" s="618"/>
      <c r="BJ952" s="618"/>
      <c r="BK952" s="618"/>
      <c r="BL952" s="553"/>
      <c r="BM952" s="618"/>
      <c r="BN952" s="618"/>
      <c r="BO952" s="618"/>
    </row>
    <row r="953" spans="4:67" ht="13">
      <c r="D953" s="618"/>
      <c r="J953" s="1428"/>
      <c r="N953" s="294"/>
      <c r="P953" s="618"/>
      <c r="S953" s="294"/>
      <c r="U953" s="618"/>
      <c r="X953" s="294"/>
      <c r="Z953" s="618"/>
      <c r="AE953" s="618"/>
      <c r="AO953" s="618"/>
      <c r="AT953" s="618"/>
      <c r="AZ953" s="618"/>
      <c r="BE953" s="618"/>
      <c r="BF953" s="618"/>
      <c r="BG953" s="553"/>
      <c r="BH953" s="294"/>
      <c r="BI953" s="618"/>
      <c r="BJ953" s="618"/>
      <c r="BK953" s="618"/>
      <c r="BL953" s="553"/>
      <c r="BM953" s="618"/>
      <c r="BN953" s="618"/>
      <c r="BO953" s="618"/>
    </row>
    <row r="954" spans="4:67" ht="13">
      <c r="D954" s="618"/>
      <c r="J954" s="1428"/>
      <c r="N954" s="294"/>
      <c r="P954" s="618"/>
      <c r="S954" s="294"/>
      <c r="U954" s="618"/>
      <c r="X954" s="294"/>
      <c r="Z954" s="618"/>
      <c r="AE954" s="618"/>
      <c r="AO954" s="618"/>
      <c r="AT954" s="618"/>
      <c r="AZ954" s="618"/>
      <c r="BE954" s="618"/>
      <c r="BF954" s="618"/>
      <c r="BG954" s="553"/>
      <c r="BH954" s="294"/>
      <c r="BI954" s="618"/>
      <c r="BJ954" s="618"/>
      <c r="BK954" s="618"/>
      <c r="BL954" s="553"/>
      <c r="BM954" s="618"/>
      <c r="BN954" s="618"/>
      <c r="BO954" s="618"/>
    </row>
    <row r="955" spans="4:67" ht="13">
      <c r="D955" s="618"/>
      <c r="J955" s="1428"/>
      <c r="N955" s="294"/>
      <c r="P955" s="618"/>
      <c r="S955" s="294"/>
      <c r="U955" s="618"/>
      <c r="X955" s="294"/>
      <c r="Z955" s="618"/>
      <c r="AE955" s="618"/>
      <c r="AO955" s="618"/>
      <c r="AT955" s="618"/>
      <c r="AZ955" s="618"/>
      <c r="BE955" s="618"/>
      <c r="BF955" s="618"/>
      <c r="BG955" s="553"/>
      <c r="BH955" s="294"/>
      <c r="BI955" s="618"/>
      <c r="BJ955" s="618"/>
      <c r="BK955" s="618"/>
      <c r="BL955" s="553"/>
      <c r="BM955" s="618"/>
      <c r="BN955" s="618"/>
      <c r="BO955" s="618"/>
    </row>
    <row r="956" spans="4:67" ht="13">
      <c r="D956" s="618"/>
      <c r="J956" s="1428"/>
      <c r="N956" s="294"/>
      <c r="P956" s="618"/>
      <c r="S956" s="294"/>
      <c r="U956" s="618"/>
      <c r="X956" s="294"/>
      <c r="Z956" s="618"/>
      <c r="AE956" s="618"/>
      <c r="AO956" s="618"/>
      <c r="AT956" s="618"/>
      <c r="AZ956" s="618"/>
      <c r="BE956" s="618"/>
      <c r="BF956" s="618"/>
      <c r="BG956" s="553"/>
      <c r="BH956" s="294"/>
      <c r="BI956" s="618"/>
      <c r="BJ956" s="618"/>
      <c r="BK956" s="618"/>
      <c r="BL956" s="553"/>
      <c r="BM956" s="618"/>
      <c r="BN956" s="618"/>
      <c r="BO956" s="618"/>
    </row>
    <row r="957" spans="4:67" ht="13">
      <c r="D957" s="618"/>
      <c r="J957" s="1428"/>
      <c r="N957" s="294"/>
      <c r="P957" s="618"/>
      <c r="S957" s="294"/>
      <c r="U957" s="618"/>
      <c r="X957" s="294"/>
      <c r="Z957" s="618"/>
      <c r="AE957" s="618"/>
      <c r="AO957" s="618"/>
      <c r="AT957" s="618"/>
      <c r="AZ957" s="618"/>
      <c r="BE957" s="618"/>
      <c r="BF957" s="618"/>
      <c r="BG957" s="553"/>
      <c r="BH957" s="294"/>
      <c r="BI957" s="618"/>
      <c r="BJ957" s="618"/>
      <c r="BK957" s="618"/>
      <c r="BL957" s="553"/>
      <c r="BM957" s="618"/>
      <c r="BN957" s="618"/>
      <c r="BO957" s="618"/>
    </row>
    <row r="958" spans="4:67" ht="13">
      <c r="D958" s="618"/>
      <c r="J958" s="1428"/>
      <c r="N958" s="294"/>
      <c r="P958" s="618"/>
      <c r="S958" s="294"/>
      <c r="U958" s="618"/>
      <c r="X958" s="294"/>
      <c r="Z958" s="618"/>
      <c r="AE958" s="618"/>
      <c r="AO958" s="618"/>
      <c r="AT958" s="618"/>
      <c r="AZ958" s="618"/>
      <c r="BE958" s="618"/>
      <c r="BF958" s="618"/>
      <c r="BG958" s="553"/>
      <c r="BH958" s="294"/>
      <c r="BI958" s="618"/>
      <c r="BJ958" s="618"/>
      <c r="BK958" s="618"/>
      <c r="BL958" s="553"/>
      <c r="BM958" s="618"/>
      <c r="BN958" s="618"/>
      <c r="BO958" s="618"/>
    </row>
    <row r="959" spans="4:67" ht="13">
      <c r="D959" s="618"/>
      <c r="J959" s="1428"/>
      <c r="N959" s="294"/>
      <c r="P959" s="618"/>
      <c r="S959" s="294"/>
      <c r="U959" s="618"/>
      <c r="X959" s="294"/>
      <c r="Z959" s="618"/>
      <c r="AE959" s="618"/>
      <c r="AO959" s="618"/>
      <c r="AT959" s="618"/>
      <c r="AZ959" s="618"/>
      <c r="BE959" s="618"/>
      <c r="BF959" s="618"/>
      <c r="BG959" s="553"/>
      <c r="BH959" s="294"/>
      <c r="BI959" s="618"/>
      <c r="BJ959" s="618"/>
      <c r="BK959" s="618"/>
      <c r="BL959" s="553"/>
      <c r="BM959" s="618"/>
      <c r="BN959" s="618"/>
      <c r="BO959" s="618"/>
    </row>
    <row r="960" spans="4:67" ht="13">
      <c r="D960" s="618"/>
      <c r="J960" s="1428"/>
      <c r="N960" s="294"/>
      <c r="P960" s="618"/>
      <c r="S960" s="294"/>
      <c r="U960" s="618"/>
      <c r="X960" s="294"/>
      <c r="Z960" s="618"/>
      <c r="AE960" s="618"/>
      <c r="AO960" s="618"/>
      <c r="AT960" s="618"/>
      <c r="AZ960" s="618"/>
      <c r="BE960" s="618"/>
      <c r="BF960" s="618"/>
      <c r="BG960" s="553"/>
      <c r="BH960" s="294"/>
      <c r="BI960" s="618"/>
      <c r="BJ960" s="618"/>
      <c r="BK960" s="618"/>
      <c r="BL960" s="553"/>
      <c r="BM960" s="618"/>
      <c r="BN960" s="618"/>
      <c r="BO960" s="618"/>
    </row>
    <row r="961" spans="4:67" ht="13">
      <c r="D961" s="618"/>
      <c r="J961" s="1428"/>
      <c r="N961" s="294"/>
      <c r="P961" s="618"/>
      <c r="S961" s="294"/>
      <c r="U961" s="618"/>
      <c r="X961" s="294"/>
      <c r="Z961" s="618"/>
      <c r="AE961" s="618"/>
      <c r="AO961" s="618"/>
      <c r="AT961" s="618"/>
      <c r="AZ961" s="618"/>
      <c r="BE961" s="618"/>
      <c r="BF961" s="618"/>
      <c r="BG961" s="553"/>
      <c r="BH961" s="294"/>
      <c r="BI961" s="618"/>
      <c r="BJ961" s="618"/>
      <c r="BK961" s="618"/>
      <c r="BL961" s="553"/>
      <c r="BM961" s="618"/>
      <c r="BN961" s="618"/>
      <c r="BO961" s="618"/>
    </row>
    <row r="962" spans="4:67" ht="13">
      <c r="D962" s="618"/>
      <c r="J962" s="1428"/>
      <c r="N962" s="294"/>
      <c r="P962" s="618"/>
      <c r="S962" s="294"/>
      <c r="U962" s="618"/>
      <c r="X962" s="294"/>
      <c r="Z962" s="618"/>
      <c r="AE962" s="618"/>
      <c r="AO962" s="618"/>
      <c r="AT962" s="618"/>
      <c r="AZ962" s="618"/>
      <c r="BE962" s="618"/>
      <c r="BF962" s="618"/>
      <c r="BG962" s="553"/>
      <c r="BH962" s="294"/>
      <c r="BI962" s="618"/>
      <c r="BJ962" s="618"/>
      <c r="BK962" s="618"/>
      <c r="BL962" s="553"/>
      <c r="BM962" s="618"/>
      <c r="BN962" s="618"/>
      <c r="BO962" s="618"/>
    </row>
    <row r="963" spans="4:67" ht="13">
      <c r="D963" s="618"/>
      <c r="J963" s="1428"/>
      <c r="N963" s="294"/>
      <c r="P963" s="618"/>
      <c r="S963" s="294"/>
      <c r="U963" s="618"/>
      <c r="X963" s="294"/>
      <c r="Z963" s="618"/>
      <c r="AE963" s="618"/>
      <c r="AO963" s="618"/>
      <c r="AT963" s="618"/>
      <c r="AZ963" s="618"/>
      <c r="BE963" s="618"/>
      <c r="BF963" s="618"/>
      <c r="BG963" s="553"/>
      <c r="BH963" s="294"/>
      <c r="BI963" s="618"/>
      <c r="BJ963" s="618"/>
      <c r="BK963" s="618"/>
      <c r="BL963" s="553"/>
      <c r="BM963" s="618"/>
      <c r="BN963" s="618"/>
      <c r="BO963" s="618"/>
    </row>
    <row r="964" spans="4:67" ht="13">
      <c r="D964" s="618"/>
      <c r="J964" s="1428"/>
      <c r="N964" s="294"/>
      <c r="P964" s="618"/>
      <c r="S964" s="294"/>
      <c r="U964" s="618"/>
      <c r="X964" s="294"/>
      <c r="Z964" s="618"/>
      <c r="AE964" s="618"/>
      <c r="AO964" s="618"/>
      <c r="AT964" s="618"/>
      <c r="AZ964" s="618"/>
      <c r="BE964" s="618"/>
      <c r="BF964" s="618"/>
      <c r="BG964" s="553"/>
      <c r="BH964" s="294"/>
      <c r="BI964" s="618"/>
      <c r="BJ964" s="618"/>
      <c r="BK964" s="618"/>
      <c r="BL964" s="553"/>
      <c r="BM964" s="618"/>
      <c r="BN964" s="618"/>
      <c r="BO964" s="618"/>
    </row>
    <row r="965" spans="4:67" ht="13">
      <c r="D965" s="618"/>
      <c r="J965" s="1428"/>
      <c r="N965" s="294"/>
      <c r="P965" s="618"/>
      <c r="S965" s="294"/>
      <c r="U965" s="618"/>
      <c r="X965" s="294"/>
      <c r="Z965" s="618"/>
      <c r="AE965" s="618"/>
      <c r="AO965" s="618"/>
      <c r="AT965" s="618"/>
      <c r="AZ965" s="618"/>
      <c r="BE965" s="618"/>
      <c r="BF965" s="618"/>
      <c r="BG965" s="553"/>
      <c r="BH965" s="294"/>
      <c r="BI965" s="618"/>
      <c r="BJ965" s="618"/>
      <c r="BK965" s="618"/>
      <c r="BL965" s="553"/>
      <c r="BM965" s="618"/>
      <c r="BN965" s="618"/>
      <c r="BO965" s="618"/>
    </row>
    <row r="966" spans="4:67" ht="13">
      <c r="D966" s="618"/>
      <c r="J966" s="1428"/>
      <c r="N966" s="294"/>
      <c r="P966" s="618"/>
      <c r="S966" s="294"/>
      <c r="U966" s="618"/>
      <c r="X966" s="294"/>
      <c r="Z966" s="618"/>
      <c r="AE966" s="618"/>
      <c r="AO966" s="618"/>
      <c r="AT966" s="618"/>
      <c r="AZ966" s="618"/>
      <c r="BE966" s="618"/>
      <c r="BF966" s="618"/>
      <c r="BG966" s="553"/>
      <c r="BH966" s="294"/>
      <c r="BI966" s="618"/>
      <c r="BJ966" s="618"/>
      <c r="BK966" s="618"/>
      <c r="BL966" s="553"/>
      <c r="BM966" s="618"/>
      <c r="BN966" s="618"/>
      <c r="BO966" s="618"/>
    </row>
    <row r="967" spans="4:67" ht="13">
      <c r="D967" s="618"/>
      <c r="J967" s="1428"/>
      <c r="N967" s="294"/>
      <c r="P967" s="618"/>
      <c r="S967" s="294"/>
      <c r="U967" s="618"/>
      <c r="X967" s="294"/>
      <c r="Z967" s="618"/>
      <c r="AE967" s="618"/>
      <c r="AO967" s="618"/>
      <c r="AT967" s="618"/>
      <c r="AZ967" s="618"/>
      <c r="BE967" s="618"/>
      <c r="BF967" s="618"/>
      <c r="BG967" s="553"/>
      <c r="BH967" s="294"/>
      <c r="BI967" s="618"/>
      <c r="BJ967" s="618"/>
      <c r="BK967" s="618"/>
      <c r="BL967" s="553"/>
      <c r="BM967" s="618"/>
      <c r="BN967" s="618"/>
      <c r="BO967" s="618"/>
    </row>
    <row r="968" spans="4:67" ht="13">
      <c r="D968" s="618"/>
      <c r="J968" s="1428"/>
      <c r="N968" s="294"/>
      <c r="P968" s="618"/>
      <c r="S968" s="294"/>
      <c r="U968" s="618"/>
      <c r="X968" s="294"/>
      <c r="Z968" s="618"/>
      <c r="AE968" s="618"/>
      <c r="AO968" s="618"/>
      <c r="AT968" s="618"/>
      <c r="AZ968" s="618"/>
      <c r="BE968" s="618"/>
      <c r="BF968" s="618"/>
      <c r="BG968" s="553"/>
      <c r="BH968" s="294"/>
      <c r="BI968" s="618"/>
      <c r="BJ968" s="618"/>
      <c r="BK968" s="618"/>
      <c r="BL968" s="553"/>
      <c r="BM968" s="618"/>
      <c r="BN968" s="618"/>
      <c r="BO968" s="618"/>
    </row>
    <row r="969" spans="4:67" ht="13">
      <c r="D969" s="618"/>
      <c r="J969" s="1428"/>
      <c r="N969" s="294"/>
      <c r="P969" s="618"/>
      <c r="S969" s="294"/>
      <c r="U969" s="618"/>
      <c r="X969" s="294"/>
      <c r="Z969" s="618"/>
      <c r="AE969" s="618"/>
      <c r="AO969" s="618"/>
      <c r="AT969" s="618"/>
      <c r="AZ969" s="618"/>
      <c r="BE969" s="618"/>
      <c r="BF969" s="618"/>
      <c r="BG969" s="553"/>
      <c r="BH969" s="294"/>
      <c r="BI969" s="618"/>
      <c r="BJ969" s="618"/>
      <c r="BK969" s="618"/>
      <c r="BL969" s="553"/>
      <c r="BM969" s="618"/>
      <c r="BN969" s="618"/>
      <c r="BO969" s="618"/>
    </row>
    <row r="970" spans="4:67" ht="13">
      <c r="D970" s="618"/>
      <c r="J970" s="1428"/>
      <c r="N970" s="294"/>
      <c r="P970" s="618"/>
      <c r="S970" s="294"/>
      <c r="U970" s="618"/>
      <c r="X970" s="294"/>
      <c r="Z970" s="618"/>
      <c r="AE970" s="618"/>
      <c r="AO970" s="618"/>
      <c r="AT970" s="618"/>
      <c r="AZ970" s="618"/>
      <c r="BE970" s="618"/>
      <c r="BF970" s="618"/>
      <c r="BG970" s="553"/>
      <c r="BH970" s="294"/>
      <c r="BI970" s="618"/>
      <c r="BJ970" s="618"/>
      <c r="BK970" s="618"/>
      <c r="BL970" s="553"/>
      <c r="BM970" s="618"/>
      <c r="BN970" s="618"/>
      <c r="BO970" s="618"/>
    </row>
    <row r="971" spans="4:67" ht="13">
      <c r="D971" s="618"/>
      <c r="J971" s="1428"/>
      <c r="N971" s="294"/>
      <c r="P971" s="618"/>
      <c r="S971" s="294"/>
      <c r="U971" s="618"/>
      <c r="X971" s="294"/>
      <c r="Z971" s="618"/>
      <c r="AE971" s="618"/>
      <c r="AO971" s="618"/>
      <c r="AT971" s="618"/>
      <c r="AZ971" s="618"/>
      <c r="BE971" s="618"/>
      <c r="BF971" s="618"/>
      <c r="BG971" s="553"/>
      <c r="BH971" s="294"/>
      <c r="BI971" s="618"/>
      <c r="BJ971" s="618"/>
      <c r="BK971" s="618"/>
      <c r="BL971" s="553"/>
      <c r="BM971" s="618"/>
      <c r="BN971" s="618"/>
      <c r="BO971" s="618"/>
    </row>
    <row r="972" spans="4:67" ht="13">
      <c r="D972" s="618"/>
      <c r="J972" s="1428"/>
      <c r="N972" s="294"/>
      <c r="P972" s="618"/>
      <c r="S972" s="294"/>
      <c r="U972" s="618"/>
      <c r="X972" s="294"/>
      <c r="Z972" s="618"/>
      <c r="AE972" s="618"/>
      <c r="AO972" s="618"/>
      <c r="AT972" s="618"/>
      <c r="AZ972" s="618"/>
      <c r="BE972" s="618"/>
      <c r="BF972" s="618"/>
      <c r="BG972" s="553"/>
      <c r="BH972" s="294"/>
      <c r="BI972" s="618"/>
      <c r="BJ972" s="618"/>
      <c r="BK972" s="618"/>
      <c r="BL972" s="553"/>
      <c r="BM972" s="618"/>
      <c r="BN972" s="618"/>
      <c r="BO972" s="618"/>
    </row>
    <row r="973" spans="4:67" ht="13">
      <c r="D973" s="618"/>
      <c r="J973" s="1428"/>
      <c r="N973" s="294"/>
      <c r="P973" s="618"/>
      <c r="S973" s="294"/>
      <c r="U973" s="618"/>
      <c r="X973" s="294"/>
      <c r="Z973" s="618"/>
      <c r="AE973" s="618"/>
      <c r="AO973" s="618"/>
      <c r="AT973" s="618"/>
      <c r="AZ973" s="618"/>
      <c r="BE973" s="618"/>
      <c r="BF973" s="618"/>
      <c r="BG973" s="553"/>
      <c r="BH973" s="294"/>
      <c r="BI973" s="618"/>
      <c r="BJ973" s="618"/>
      <c r="BK973" s="618"/>
      <c r="BL973" s="553"/>
      <c r="BM973" s="618"/>
      <c r="BN973" s="618"/>
      <c r="BO973" s="618"/>
    </row>
    <row r="974" spans="4:67" ht="13">
      <c r="D974" s="618"/>
      <c r="J974" s="1428"/>
      <c r="N974" s="294"/>
      <c r="P974" s="618"/>
      <c r="S974" s="294"/>
      <c r="U974" s="618"/>
      <c r="X974" s="294"/>
      <c r="Z974" s="618"/>
      <c r="AE974" s="618"/>
      <c r="AO974" s="618"/>
      <c r="AT974" s="618"/>
      <c r="AZ974" s="618"/>
      <c r="BE974" s="618"/>
      <c r="BF974" s="618"/>
      <c r="BG974" s="553"/>
      <c r="BH974" s="294"/>
      <c r="BI974" s="618"/>
      <c r="BJ974" s="618"/>
      <c r="BK974" s="618"/>
      <c r="BL974" s="553"/>
      <c r="BM974" s="618"/>
      <c r="BN974" s="618"/>
      <c r="BO974" s="618"/>
    </row>
    <row r="975" spans="4:67" ht="13">
      <c r="D975" s="618"/>
      <c r="J975" s="1428"/>
      <c r="N975" s="294"/>
      <c r="P975" s="618"/>
      <c r="S975" s="294"/>
      <c r="U975" s="618"/>
      <c r="X975" s="294"/>
      <c r="Z975" s="618"/>
      <c r="AE975" s="618"/>
      <c r="AO975" s="618"/>
      <c r="AT975" s="618"/>
      <c r="AZ975" s="618"/>
      <c r="BE975" s="618"/>
      <c r="BF975" s="618"/>
      <c r="BG975" s="553"/>
      <c r="BH975" s="294"/>
      <c r="BI975" s="618"/>
      <c r="BJ975" s="618"/>
      <c r="BK975" s="618"/>
      <c r="BL975" s="553"/>
      <c r="BM975" s="618"/>
      <c r="BN975" s="618"/>
      <c r="BO975" s="618"/>
    </row>
    <row r="976" spans="4:67" ht="13">
      <c r="D976" s="618"/>
      <c r="J976" s="1428"/>
      <c r="N976" s="294"/>
      <c r="P976" s="618"/>
      <c r="S976" s="294"/>
      <c r="U976" s="618"/>
      <c r="X976" s="294"/>
      <c r="Z976" s="618"/>
      <c r="AE976" s="618"/>
      <c r="AO976" s="618"/>
      <c r="AT976" s="618"/>
      <c r="AZ976" s="618"/>
      <c r="BE976" s="618"/>
      <c r="BF976" s="618"/>
      <c r="BG976" s="553"/>
      <c r="BH976" s="294"/>
      <c r="BI976" s="618"/>
      <c r="BJ976" s="618"/>
      <c r="BK976" s="618"/>
      <c r="BL976" s="553"/>
      <c r="BM976" s="618"/>
      <c r="BN976" s="618"/>
      <c r="BO976" s="618"/>
    </row>
    <row r="977" spans="4:67" ht="13">
      <c r="D977" s="618"/>
      <c r="J977" s="1428"/>
      <c r="N977" s="294"/>
      <c r="P977" s="618"/>
      <c r="S977" s="294"/>
      <c r="U977" s="618"/>
      <c r="X977" s="294"/>
      <c r="Z977" s="618"/>
      <c r="AE977" s="618"/>
      <c r="AO977" s="618"/>
      <c r="AT977" s="618"/>
      <c r="AZ977" s="618"/>
      <c r="BE977" s="618"/>
      <c r="BF977" s="618"/>
      <c r="BG977" s="553"/>
      <c r="BH977" s="294"/>
      <c r="BI977" s="618"/>
      <c r="BJ977" s="618"/>
      <c r="BK977" s="618"/>
      <c r="BL977" s="553"/>
      <c r="BM977" s="618"/>
      <c r="BN977" s="618"/>
      <c r="BO977" s="618"/>
    </row>
    <row r="978" spans="4:67" ht="13">
      <c r="D978" s="618"/>
      <c r="J978" s="1428"/>
      <c r="N978" s="294"/>
      <c r="P978" s="618"/>
      <c r="S978" s="294"/>
      <c r="U978" s="618"/>
      <c r="X978" s="294"/>
      <c r="Z978" s="618"/>
      <c r="AE978" s="618"/>
      <c r="AO978" s="618"/>
      <c r="AT978" s="618"/>
      <c r="AZ978" s="618"/>
      <c r="BE978" s="618"/>
      <c r="BF978" s="618"/>
      <c r="BG978" s="553"/>
      <c r="BH978" s="294"/>
      <c r="BI978" s="618"/>
      <c r="BJ978" s="618"/>
      <c r="BK978" s="618"/>
      <c r="BL978" s="553"/>
      <c r="BM978" s="618"/>
      <c r="BN978" s="618"/>
      <c r="BO978" s="618"/>
    </row>
    <row r="979" spans="4:67" ht="13">
      <c r="D979" s="618"/>
      <c r="J979" s="1428"/>
      <c r="N979" s="294"/>
      <c r="P979" s="618"/>
      <c r="S979" s="294"/>
      <c r="U979" s="618"/>
      <c r="X979" s="294"/>
      <c r="Z979" s="618"/>
      <c r="AE979" s="618"/>
      <c r="AO979" s="618"/>
      <c r="AT979" s="618"/>
      <c r="AZ979" s="618"/>
      <c r="BE979" s="618"/>
      <c r="BF979" s="618"/>
      <c r="BG979" s="553"/>
      <c r="BH979" s="294"/>
      <c r="BI979" s="618"/>
      <c r="BJ979" s="618"/>
      <c r="BK979" s="618"/>
      <c r="BL979" s="553"/>
      <c r="BM979" s="618"/>
      <c r="BN979" s="618"/>
      <c r="BO979" s="618"/>
    </row>
    <row r="980" spans="4:67" ht="13">
      <c r="D980" s="618"/>
      <c r="J980" s="1428"/>
      <c r="N980" s="294"/>
      <c r="P980" s="618"/>
      <c r="S980" s="294"/>
      <c r="U980" s="618"/>
      <c r="X980" s="294"/>
      <c r="Z980" s="618"/>
      <c r="AE980" s="618"/>
      <c r="AO980" s="618"/>
      <c r="AT980" s="618"/>
      <c r="AZ980" s="618"/>
      <c r="BE980" s="618"/>
      <c r="BF980" s="618"/>
      <c r="BG980" s="553"/>
      <c r="BH980" s="294"/>
      <c r="BI980" s="618"/>
      <c r="BJ980" s="618"/>
      <c r="BK980" s="618"/>
      <c r="BL980" s="553"/>
      <c r="BM980" s="618"/>
      <c r="BN980" s="618"/>
      <c r="BO980" s="618"/>
    </row>
    <row r="981" spans="4:67" ht="13">
      <c r="D981" s="618"/>
      <c r="J981" s="1428"/>
      <c r="N981" s="294"/>
      <c r="P981" s="618"/>
      <c r="S981" s="294"/>
      <c r="U981" s="618"/>
      <c r="X981" s="294"/>
      <c r="Z981" s="618"/>
      <c r="AE981" s="618"/>
      <c r="AO981" s="618"/>
      <c r="AT981" s="618"/>
      <c r="AZ981" s="618"/>
      <c r="BE981" s="618"/>
      <c r="BF981" s="618"/>
      <c r="BG981" s="553"/>
      <c r="BH981" s="294"/>
      <c r="BI981" s="618"/>
      <c r="BJ981" s="618"/>
      <c r="BK981" s="618"/>
      <c r="BL981" s="553"/>
      <c r="BM981" s="618"/>
      <c r="BN981" s="618"/>
      <c r="BO981" s="618"/>
    </row>
    <row r="982" spans="4:67" ht="13">
      <c r="D982" s="618"/>
      <c r="J982" s="1428"/>
      <c r="N982" s="294"/>
      <c r="P982" s="618"/>
      <c r="S982" s="294"/>
      <c r="U982" s="618"/>
      <c r="X982" s="294"/>
      <c r="Z982" s="618"/>
      <c r="AE982" s="618"/>
      <c r="AO982" s="618"/>
      <c r="AT982" s="618"/>
      <c r="AZ982" s="618"/>
      <c r="BE982" s="618"/>
      <c r="BF982" s="618"/>
      <c r="BG982" s="553"/>
      <c r="BH982" s="294"/>
      <c r="BI982" s="618"/>
      <c r="BJ982" s="618"/>
      <c r="BK982" s="618"/>
      <c r="BL982" s="553"/>
      <c r="BM982" s="618"/>
      <c r="BN982" s="618"/>
      <c r="BO982" s="618"/>
    </row>
    <row r="983" spans="4:67" ht="13">
      <c r="D983" s="618"/>
      <c r="J983" s="1428"/>
      <c r="N983" s="294"/>
      <c r="P983" s="618"/>
      <c r="S983" s="294"/>
      <c r="U983" s="618"/>
      <c r="X983" s="294"/>
      <c r="Z983" s="618"/>
      <c r="AE983" s="618"/>
      <c r="AO983" s="618"/>
      <c r="AT983" s="618"/>
      <c r="AZ983" s="618"/>
      <c r="BE983" s="618"/>
      <c r="BF983" s="618"/>
      <c r="BG983" s="553"/>
      <c r="BH983" s="294"/>
      <c r="BI983" s="618"/>
      <c r="BJ983" s="618"/>
      <c r="BK983" s="618"/>
      <c r="BL983" s="553"/>
      <c r="BM983" s="618"/>
      <c r="BN983" s="618"/>
      <c r="BO983" s="618"/>
    </row>
    <row r="984" spans="4:67" ht="13">
      <c r="D984" s="618"/>
      <c r="J984" s="1428"/>
      <c r="N984" s="294"/>
      <c r="P984" s="618"/>
      <c r="S984" s="294"/>
      <c r="U984" s="618"/>
      <c r="X984" s="294"/>
      <c r="Z984" s="618"/>
      <c r="AE984" s="618"/>
      <c r="AO984" s="618"/>
      <c r="AT984" s="618"/>
      <c r="AZ984" s="618"/>
      <c r="BE984" s="618"/>
      <c r="BF984" s="618"/>
      <c r="BG984" s="553"/>
      <c r="BH984" s="294"/>
      <c r="BI984" s="618"/>
      <c r="BJ984" s="618"/>
      <c r="BK984" s="618"/>
      <c r="BL984" s="553"/>
      <c r="BM984" s="618"/>
      <c r="BN984" s="618"/>
      <c r="BO984" s="618"/>
    </row>
    <row r="985" spans="4:67" ht="13">
      <c r="D985" s="618"/>
      <c r="J985" s="1428"/>
      <c r="N985" s="294"/>
      <c r="P985" s="618"/>
      <c r="S985" s="294"/>
      <c r="U985" s="618"/>
      <c r="X985" s="294"/>
      <c r="Z985" s="618"/>
      <c r="AE985" s="618"/>
      <c r="AO985" s="618"/>
      <c r="AT985" s="618"/>
      <c r="AZ985" s="618"/>
      <c r="BE985" s="618"/>
      <c r="BF985" s="618"/>
      <c r="BG985" s="553"/>
      <c r="BH985" s="294"/>
      <c r="BI985" s="618"/>
      <c r="BJ985" s="618"/>
      <c r="BK985" s="618"/>
      <c r="BL985" s="553"/>
      <c r="BM985" s="618"/>
      <c r="BN985" s="618"/>
      <c r="BO985" s="618"/>
    </row>
    <row r="986" spans="4:67" ht="13">
      <c r="D986" s="618"/>
      <c r="J986" s="1428"/>
      <c r="N986" s="294"/>
      <c r="P986" s="618"/>
      <c r="S986" s="294"/>
      <c r="U986" s="618"/>
      <c r="X986" s="294"/>
      <c r="Z986" s="618"/>
      <c r="AE986" s="618"/>
      <c r="AO986" s="618"/>
      <c r="AT986" s="618"/>
      <c r="AZ986" s="618"/>
      <c r="BE986" s="618"/>
      <c r="BF986" s="618"/>
      <c r="BG986" s="553"/>
      <c r="BH986" s="294"/>
      <c r="BI986" s="618"/>
      <c r="BJ986" s="618"/>
      <c r="BK986" s="618"/>
      <c r="BL986" s="553"/>
      <c r="BM986" s="618"/>
      <c r="BN986" s="618"/>
      <c r="BO986" s="618"/>
    </row>
    <row r="987" spans="4:67" ht="13">
      <c r="D987" s="618"/>
      <c r="J987" s="1428"/>
      <c r="N987" s="294"/>
      <c r="P987" s="618"/>
      <c r="S987" s="294"/>
      <c r="U987" s="618"/>
      <c r="X987" s="294"/>
      <c r="Z987" s="618"/>
      <c r="AE987" s="618"/>
      <c r="AO987" s="618"/>
      <c r="AT987" s="618"/>
      <c r="AZ987" s="618"/>
      <c r="BE987" s="618"/>
      <c r="BF987" s="618"/>
      <c r="BG987" s="553"/>
      <c r="BH987" s="294"/>
      <c r="BI987" s="618"/>
      <c r="BJ987" s="618"/>
      <c r="BK987" s="618"/>
      <c r="BL987" s="553"/>
      <c r="BM987" s="618"/>
      <c r="BN987" s="618"/>
      <c r="BO987" s="618"/>
    </row>
    <row r="988" spans="4:67" ht="13">
      <c r="D988" s="618"/>
      <c r="J988" s="1428"/>
      <c r="N988" s="294"/>
      <c r="P988" s="618"/>
      <c r="S988" s="294"/>
      <c r="U988" s="618"/>
      <c r="X988" s="294"/>
      <c r="Z988" s="618"/>
      <c r="AE988" s="618"/>
      <c r="AO988" s="618"/>
      <c r="AT988" s="618"/>
      <c r="AZ988" s="618"/>
      <c r="BE988" s="618"/>
      <c r="BF988" s="618"/>
      <c r="BG988" s="553"/>
      <c r="BH988" s="294"/>
      <c r="BI988" s="618"/>
      <c r="BJ988" s="618"/>
      <c r="BK988" s="618"/>
      <c r="BL988" s="553"/>
      <c r="BM988" s="618"/>
      <c r="BN988" s="618"/>
      <c r="BO988" s="618"/>
    </row>
    <row r="989" spans="4:67" ht="13">
      <c r="D989" s="618"/>
      <c r="J989" s="1428"/>
      <c r="N989" s="294"/>
      <c r="P989" s="618"/>
      <c r="S989" s="294"/>
      <c r="U989" s="618"/>
      <c r="X989" s="294"/>
      <c r="Z989" s="618"/>
      <c r="AE989" s="618"/>
      <c r="AO989" s="618"/>
      <c r="AT989" s="618"/>
      <c r="AZ989" s="618"/>
      <c r="BE989" s="618"/>
      <c r="BF989" s="618"/>
      <c r="BG989" s="553"/>
      <c r="BH989" s="294"/>
      <c r="BI989" s="618"/>
      <c r="BJ989" s="618"/>
      <c r="BK989" s="618"/>
      <c r="BL989" s="553"/>
      <c r="BM989" s="618"/>
      <c r="BN989" s="618"/>
      <c r="BO989" s="618"/>
    </row>
    <row r="990" spans="4:67" ht="13">
      <c r="D990" s="618"/>
      <c r="J990" s="1428"/>
      <c r="N990" s="294"/>
      <c r="P990" s="618"/>
      <c r="S990" s="294"/>
      <c r="U990" s="618"/>
      <c r="X990" s="294"/>
      <c r="Z990" s="618"/>
      <c r="AE990" s="618"/>
      <c r="AO990" s="618"/>
      <c r="AT990" s="618"/>
      <c r="AZ990" s="618"/>
      <c r="BE990" s="618"/>
      <c r="BF990" s="618"/>
      <c r="BG990" s="553"/>
      <c r="BH990" s="294"/>
      <c r="BI990" s="618"/>
      <c r="BJ990" s="618"/>
      <c r="BK990" s="618"/>
      <c r="BL990" s="553"/>
      <c r="BM990" s="618"/>
      <c r="BN990" s="618"/>
      <c r="BO990" s="618"/>
    </row>
    <row r="991" spans="4:67" ht="13">
      <c r="D991" s="618"/>
      <c r="J991" s="1428"/>
      <c r="N991" s="294"/>
      <c r="P991" s="618"/>
      <c r="S991" s="294"/>
      <c r="U991" s="618"/>
      <c r="X991" s="294"/>
      <c r="Z991" s="618"/>
      <c r="AE991" s="618"/>
      <c r="AO991" s="618"/>
      <c r="AT991" s="618"/>
      <c r="AZ991" s="618"/>
      <c r="BE991" s="618"/>
      <c r="BF991" s="618"/>
      <c r="BG991" s="553"/>
      <c r="BH991" s="294"/>
      <c r="BI991" s="618"/>
      <c r="BJ991" s="618"/>
      <c r="BK991" s="618"/>
      <c r="BL991" s="553"/>
      <c r="BM991" s="618"/>
      <c r="BN991" s="618"/>
      <c r="BO991" s="618"/>
    </row>
    <row r="992" spans="4:67" ht="13">
      <c r="D992" s="618"/>
      <c r="J992" s="1428"/>
      <c r="N992" s="294"/>
      <c r="P992" s="618"/>
      <c r="S992" s="294"/>
      <c r="U992" s="618"/>
      <c r="X992" s="294"/>
      <c r="Z992" s="618"/>
      <c r="AE992" s="618"/>
      <c r="AO992" s="618"/>
      <c r="AT992" s="618"/>
      <c r="AZ992" s="618"/>
      <c r="BE992" s="618"/>
      <c r="BF992" s="618"/>
      <c r="BG992" s="553"/>
      <c r="BH992" s="294"/>
      <c r="BI992" s="618"/>
      <c r="BJ992" s="618"/>
      <c r="BK992" s="618"/>
      <c r="BL992" s="553"/>
      <c r="BM992" s="618"/>
      <c r="BN992" s="618"/>
      <c r="BO992" s="618"/>
    </row>
    <row r="993" spans="4:67" ht="13">
      <c r="D993" s="618"/>
      <c r="J993" s="1428"/>
      <c r="N993" s="294"/>
      <c r="P993" s="618"/>
      <c r="S993" s="294"/>
      <c r="U993" s="618"/>
      <c r="X993" s="294"/>
      <c r="Z993" s="618"/>
      <c r="AE993" s="618"/>
      <c r="AO993" s="618"/>
      <c r="AT993" s="618"/>
      <c r="AZ993" s="618"/>
      <c r="BE993" s="618"/>
      <c r="BF993" s="618"/>
      <c r="BG993" s="553"/>
      <c r="BH993" s="294"/>
      <c r="BI993" s="618"/>
      <c r="BJ993" s="618"/>
      <c r="BK993" s="618"/>
      <c r="BL993" s="553"/>
      <c r="BM993" s="618"/>
      <c r="BN993" s="618"/>
      <c r="BO993" s="618"/>
    </row>
    <row r="994" spans="4:67" ht="13">
      <c r="D994" s="618"/>
      <c r="J994" s="1428"/>
      <c r="N994" s="294"/>
      <c r="P994" s="618"/>
      <c r="S994" s="294"/>
      <c r="U994" s="618"/>
      <c r="X994" s="294"/>
      <c r="Z994" s="618"/>
      <c r="AE994" s="618"/>
      <c r="AO994" s="618"/>
      <c r="AT994" s="618"/>
      <c r="AZ994" s="618"/>
      <c r="BE994" s="618"/>
      <c r="BF994" s="618"/>
      <c r="BG994" s="553"/>
      <c r="BH994" s="294"/>
      <c r="BI994" s="618"/>
      <c r="BJ994" s="618"/>
      <c r="BK994" s="618"/>
      <c r="BL994" s="553"/>
      <c r="BM994" s="618"/>
      <c r="BN994" s="618"/>
      <c r="BO994" s="618"/>
    </row>
    <row r="995" spans="4:67" ht="13">
      <c r="D995" s="618"/>
      <c r="J995" s="1428"/>
      <c r="N995" s="294"/>
      <c r="P995" s="618"/>
      <c r="S995" s="294"/>
      <c r="U995" s="618"/>
      <c r="X995" s="294"/>
      <c r="Z995" s="618"/>
      <c r="AE995" s="618"/>
      <c r="AO995" s="618"/>
      <c r="AT995" s="618"/>
      <c r="AZ995" s="618"/>
      <c r="BE995" s="618"/>
      <c r="BF995" s="618"/>
      <c r="BG995" s="553"/>
      <c r="BH995" s="294"/>
      <c r="BI995" s="618"/>
      <c r="BJ995" s="618"/>
      <c r="BK995" s="618"/>
      <c r="BL995" s="553"/>
      <c r="BM995" s="618"/>
      <c r="BN995" s="618"/>
      <c r="BO995" s="618"/>
    </row>
    <row r="996" spans="4:67" ht="13">
      <c r="D996" s="618"/>
      <c r="J996" s="1428"/>
      <c r="N996" s="294"/>
      <c r="P996" s="618"/>
      <c r="S996" s="294"/>
      <c r="U996" s="618"/>
      <c r="X996" s="294"/>
      <c r="Z996" s="618"/>
      <c r="AE996" s="618"/>
      <c r="AO996" s="618"/>
      <c r="AT996" s="618"/>
      <c r="AZ996" s="618"/>
      <c r="BE996" s="618"/>
      <c r="BF996" s="618"/>
      <c r="BG996" s="553"/>
      <c r="BH996" s="294"/>
      <c r="BI996" s="618"/>
      <c r="BJ996" s="618"/>
      <c r="BK996" s="618"/>
      <c r="BL996" s="553"/>
      <c r="BM996" s="618"/>
      <c r="BN996" s="618"/>
      <c r="BO996" s="618"/>
    </row>
    <row r="997" spans="4:67" ht="13">
      <c r="D997" s="618"/>
      <c r="J997" s="1428"/>
      <c r="N997" s="294"/>
      <c r="P997" s="618"/>
      <c r="S997" s="294"/>
      <c r="U997" s="618"/>
      <c r="X997" s="294"/>
      <c r="Z997" s="618"/>
      <c r="AE997" s="618"/>
      <c r="AO997" s="618"/>
      <c r="AT997" s="618"/>
      <c r="AZ997" s="618"/>
      <c r="BE997" s="618"/>
      <c r="BF997" s="618"/>
      <c r="BG997" s="553"/>
      <c r="BH997" s="294"/>
      <c r="BI997" s="618"/>
      <c r="BJ997" s="618"/>
      <c r="BK997" s="618"/>
      <c r="BL997" s="553"/>
      <c r="BM997" s="618"/>
      <c r="BN997" s="618"/>
      <c r="BO997" s="618"/>
    </row>
    <row r="998" spans="4:67" ht="13">
      <c r="D998" s="618"/>
      <c r="J998" s="1428"/>
      <c r="N998" s="294"/>
      <c r="P998" s="618"/>
      <c r="S998" s="294"/>
      <c r="U998" s="618"/>
      <c r="X998" s="294"/>
      <c r="Z998" s="618"/>
      <c r="AE998" s="618"/>
      <c r="AO998" s="618"/>
      <c r="AT998" s="618"/>
      <c r="AZ998" s="618"/>
      <c r="BE998" s="618"/>
      <c r="BF998" s="618"/>
      <c r="BG998" s="553"/>
      <c r="BH998" s="294"/>
      <c r="BI998" s="618"/>
      <c r="BJ998" s="618"/>
      <c r="BK998" s="618"/>
      <c r="BL998" s="553"/>
      <c r="BM998" s="618"/>
      <c r="BN998" s="618"/>
      <c r="BO998" s="618"/>
    </row>
    <row r="999" spans="4:67" ht="13">
      <c r="D999" s="618"/>
      <c r="J999" s="1428"/>
      <c r="N999" s="294"/>
      <c r="P999" s="618"/>
      <c r="S999" s="294"/>
      <c r="U999" s="618"/>
      <c r="X999" s="294"/>
      <c r="Z999" s="618"/>
      <c r="AE999" s="618"/>
      <c r="AO999" s="618"/>
      <c r="AT999" s="618"/>
      <c r="AZ999" s="618"/>
      <c r="BE999" s="618"/>
      <c r="BF999" s="618"/>
      <c r="BG999" s="553"/>
      <c r="BH999" s="294"/>
      <c r="BI999" s="618"/>
      <c r="BJ999" s="618"/>
      <c r="BK999" s="618"/>
      <c r="BL999" s="553"/>
      <c r="BM999" s="618"/>
      <c r="BN999" s="618"/>
      <c r="BO999" s="618"/>
    </row>
    <row r="1000" spans="4:67" ht="13">
      <c r="D1000" s="618"/>
      <c r="J1000" s="1428"/>
      <c r="N1000" s="294"/>
      <c r="P1000" s="618"/>
      <c r="S1000" s="294"/>
      <c r="U1000" s="618"/>
      <c r="X1000" s="294"/>
      <c r="Z1000" s="618"/>
      <c r="AE1000" s="618"/>
      <c r="AO1000" s="618"/>
      <c r="AT1000" s="618"/>
      <c r="AZ1000" s="618"/>
      <c r="BE1000" s="618"/>
      <c r="BF1000" s="618"/>
      <c r="BG1000" s="553"/>
      <c r="BH1000" s="294"/>
      <c r="BI1000" s="618"/>
      <c r="BJ1000" s="618"/>
      <c r="BK1000" s="618"/>
      <c r="BL1000" s="553"/>
      <c r="BM1000" s="618"/>
      <c r="BN1000" s="618"/>
      <c r="BO1000" s="618"/>
    </row>
    <row r="1001" spans="4:67" ht="13">
      <c r="D1001" s="618"/>
      <c r="J1001" s="1428"/>
      <c r="N1001" s="294"/>
      <c r="P1001" s="618"/>
      <c r="S1001" s="294"/>
      <c r="U1001" s="618"/>
      <c r="X1001" s="294"/>
      <c r="Z1001" s="618"/>
      <c r="AE1001" s="618"/>
      <c r="AO1001" s="618"/>
      <c r="AT1001" s="618"/>
      <c r="AZ1001" s="618"/>
      <c r="BE1001" s="618"/>
      <c r="BF1001" s="618"/>
      <c r="BG1001" s="553"/>
      <c r="BH1001" s="294"/>
      <c r="BI1001" s="618"/>
      <c r="BJ1001" s="618"/>
      <c r="BK1001" s="618"/>
      <c r="BL1001" s="553"/>
      <c r="BM1001" s="618"/>
      <c r="BN1001" s="618"/>
      <c r="BO1001" s="618"/>
    </row>
    <row r="1002" spans="4:67" ht="13">
      <c r="D1002" s="618"/>
      <c r="J1002" s="1428"/>
      <c r="N1002" s="294"/>
      <c r="P1002" s="618"/>
      <c r="S1002" s="294"/>
      <c r="U1002" s="618"/>
      <c r="X1002" s="294"/>
      <c r="Z1002" s="618"/>
      <c r="AE1002" s="618"/>
      <c r="AO1002" s="618"/>
      <c r="AT1002" s="618"/>
      <c r="AZ1002" s="618"/>
      <c r="BE1002" s="618"/>
      <c r="BF1002" s="618"/>
      <c r="BG1002" s="553"/>
      <c r="BH1002" s="294"/>
      <c r="BI1002" s="618"/>
      <c r="BJ1002" s="618"/>
      <c r="BK1002" s="618"/>
      <c r="BL1002" s="553"/>
      <c r="BM1002" s="618"/>
      <c r="BN1002" s="618"/>
      <c r="BO1002" s="618"/>
    </row>
    <row r="1003" spans="4:67" ht="13">
      <c r="D1003" s="618"/>
      <c r="J1003" s="1428"/>
      <c r="N1003" s="294"/>
      <c r="P1003" s="618"/>
      <c r="S1003" s="294"/>
      <c r="U1003" s="618"/>
      <c r="X1003" s="294"/>
      <c r="Z1003" s="618"/>
      <c r="AE1003" s="618"/>
      <c r="AO1003" s="618"/>
      <c r="AT1003" s="618"/>
      <c r="AZ1003" s="618"/>
      <c r="BE1003" s="618"/>
      <c r="BF1003" s="618"/>
      <c r="BG1003" s="553"/>
      <c r="BH1003" s="294"/>
      <c r="BI1003" s="618"/>
      <c r="BJ1003" s="618"/>
      <c r="BK1003" s="618"/>
      <c r="BL1003" s="553"/>
      <c r="BM1003" s="618"/>
      <c r="BN1003" s="618"/>
      <c r="BO1003" s="618"/>
    </row>
    <row r="1004" spans="4:67" ht="13">
      <c r="D1004" s="618"/>
      <c r="J1004" s="1428"/>
      <c r="N1004" s="294"/>
      <c r="P1004" s="618"/>
      <c r="S1004" s="294"/>
      <c r="U1004" s="618"/>
      <c r="X1004" s="294"/>
      <c r="Z1004" s="618"/>
      <c r="AE1004" s="618"/>
      <c r="AO1004" s="618"/>
      <c r="AT1004" s="618"/>
      <c r="AZ1004" s="618"/>
      <c r="BE1004" s="618"/>
      <c r="BF1004" s="618"/>
      <c r="BG1004" s="553"/>
      <c r="BH1004" s="294"/>
      <c r="BI1004" s="618"/>
      <c r="BJ1004" s="618"/>
      <c r="BK1004" s="618"/>
      <c r="BL1004" s="553"/>
      <c r="BM1004" s="618"/>
      <c r="BN1004" s="618"/>
      <c r="BO1004" s="618"/>
    </row>
    <row r="1005" spans="4:67" ht="13">
      <c r="D1005" s="618"/>
      <c r="J1005" s="1428"/>
      <c r="N1005" s="294"/>
      <c r="P1005" s="618"/>
      <c r="S1005" s="294"/>
      <c r="U1005" s="618"/>
      <c r="X1005" s="294"/>
      <c r="Z1005" s="618"/>
      <c r="AE1005" s="618"/>
      <c r="AO1005" s="618"/>
      <c r="AT1005" s="618"/>
      <c r="AZ1005" s="618"/>
      <c r="BE1005" s="618"/>
      <c r="BF1005" s="618"/>
      <c r="BG1005" s="553"/>
      <c r="BH1005" s="294"/>
      <c r="BI1005" s="618"/>
      <c r="BJ1005" s="618"/>
      <c r="BK1005" s="618"/>
      <c r="BL1005" s="553"/>
      <c r="BM1005" s="618"/>
      <c r="BN1005" s="618"/>
      <c r="BO1005" s="618"/>
    </row>
    <row r="1006" spans="4:67" ht="13">
      <c r="D1006" s="618"/>
      <c r="J1006" s="1428"/>
      <c r="N1006" s="294"/>
      <c r="P1006" s="618"/>
      <c r="S1006" s="294"/>
      <c r="U1006" s="618"/>
      <c r="X1006" s="294"/>
      <c r="Z1006" s="618"/>
      <c r="AE1006" s="618"/>
      <c r="AO1006" s="618"/>
      <c r="AT1006" s="618"/>
      <c r="AZ1006" s="618"/>
      <c r="BE1006" s="618"/>
      <c r="BF1006" s="618"/>
      <c r="BG1006" s="553"/>
      <c r="BH1006" s="294"/>
      <c r="BI1006" s="618"/>
      <c r="BJ1006" s="618"/>
      <c r="BK1006" s="618"/>
      <c r="BL1006" s="553"/>
      <c r="BM1006" s="618"/>
      <c r="BN1006" s="618"/>
      <c r="BO1006" s="618"/>
    </row>
    <row r="1007" spans="4:67" ht="13">
      <c r="D1007" s="618"/>
      <c r="J1007" s="1428"/>
      <c r="N1007" s="294"/>
      <c r="P1007" s="618"/>
      <c r="S1007" s="294"/>
      <c r="U1007" s="618"/>
      <c r="X1007" s="294"/>
      <c r="Z1007" s="618"/>
      <c r="AE1007" s="618"/>
      <c r="AO1007" s="618"/>
      <c r="AT1007" s="618"/>
      <c r="AZ1007" s="618"/>
      <c r="BE1007" s="618"/>
      <c r="BF1007" s="618"/>
      <c r="BG1007" s="553"/>
      <c r="BH1007" s="294"/>
      <c r="BI1007" s="618"/>
      <c r="BJ1007" s="618"/>
      <c r="BK1007" s="618"/>
      <c r="BL1007" s="553"/>
      <c r="BM1007" s="618"/>
      <c r="BN1007" s="618"/>
      <c r="BO1007" s="618"/>
    </row>
    <row r="1008" spans="4:67" ht="13">
      <c r="D1008" s="618"/>
      <c r="J1008" s="1428"/>
      <c r="N1008" s="294"/>
      <c r="P1008" s="618"/>
      <c r="S1008" s="294"/>
      <c r="U1008" s="618"/>
      <c r="X1008" s="294"/>
      <c r="Z1008" s="618"/>
      <c r="AE1008" s="618"/>
      <c r="AO1008" s="618"/>
      <c r="AT1008" s="618"/>
      <c r="AZ1008" s="618"/>
      <c r="BE1008" s="618"/>
      <c r="BF1008" s="618"/>
      <c r="BG1008" s="553"/>
      <c r="BH1008" s="294"/>
      <c r="BI1008" s="618"/>
      <c r="BJ1008" s="618"/>
      <c r="BK1008" s="618"/>
      <c r="BL1008" s="553"/>
      <c r="BM1008" s="618"/>
      <c r="BN1008" s="618"/>
      <c r="BO1008" s="618"/>
    </row>
    <row r="1009" spans="4:67" ht="13">
      <c r="D1009" s="618"/>
      <c r="J1009" s="1428"/>
      <c r="N1009" s="294"/>
      <c r="P1009" s="618"/>
      <c r="S1009" s="294"/>
      <c r="U1009" s="618"/>
      <c r="X1009" s="294"/>
      <c r="Z1009" s="618"/>
      <c r="AE1009" s="618"/>
      <c r="AO1009" s="618"/>
      <c r="AT1009" s="618"/>
      <c r="AZ1009" s="618"/>
      <c r="BE1009" s="618"/>
      <c r="BF1009" s="618"/>
      <c r="BG1009" s="553"/>
      <c r="BH1009" s="294"/>
      <c r="BI1009" s="618"/>
      <c r="BJ1009" s="618"/>
      <c r="BK1009" s="618"/>
      <c r="BL1009" s="553"/>
      <c r="BM1009" s="618"/>
      <c r="BN1009" s="618"/>
      <c r="BO1009" s="618"/>
    </row>
    <row r="1010" spans="4:67" ht="13">
      <c r="D1010" s="618"/>
      <c r="J1010" s="1428"/>
      <c r="N1010" s="294"/>
      <c r="P1010" s="618"/>
      <c r="S1010" s="294"/>
      <c r="U1010" s="618"/>
      <c r="X1010" s="294"/>
      <c r="Z1010" s="618"/>
      <c r="AE1010" s="618"/>
      <c r="AO1010" s="618"/>
      <c r="AT1010" s="618"/>
      <c r="AZ1010" s="618"/>
      <c r="BE1010" s="618"/>
      <c r="BF1010" s="618"/>
      <c r="BG1010" s="553"/>
      <c r="BH1010" s="294"/>
      <c r="BI1010" s="618"/>
      <c r="BJ1010" s="618"/>
      <c r="BK1010" s="618"/>
      <c r="BL1010" s="553"/>
      <c r="BM1010" s="618"/>
      <c r="BN1010" s="618"/>
      <c r="BO1010" s="618"/>
    </row>
    <row r="1011" spans="4:67" ht="13">
      <c r="D1011" s="618"/>
      <c r="J1011" s="1428"/>
      <c r="N1011" s="294"/>
      <c r="P1011" s="618"/>
      <c r="S1011" s="294"/>
      <c r="U1011" s="618"/>
      <c r="X1011" s="294"/>
      <c r="Z1011" s="618"/>
      <c r="AE1011" s="618"/>
      <c r="AO1011" s="618"/>
      <c r="AT1011" s="618"/>
      <c r="AZ1011" s="618"/>
      <c r="BE1011" s="618"/>
      <c r="BF1011" s="618"/>
      <c r="BG1011" s="553"/>
      <c r="BH1011" s="294"/>
      <c r="BI1011" s="618"/>
      <c r="BJ1011" s="618"/>
      <c r="BK1011" s="618"/>
      <c r="BL1011" s="553"/>
      <c r="BM1011" s="618"/>
      <c r="BN1011" s="618"/>
      <c r="BO1011" s="618"/>
    </row>
    <row r="1012" spans="4:67" ht="13">
      <c r="D1012" s="618"/>
      <c r="J1012" s="1428"/>
      <c r="N1012" s="294"/>
      <c r="P1012" s="618"/>
      <c r="S1012" s="294"/>
      <c r="U1012" s="618"/>
      <c r="X1012" s="294"/>
      <c r="Z1012" s="618"/>
      <c r="AE1012" s="618"/>
      <c r="AO1012" s="618"/>
      <c r="AT1012" s="618"/>
      <c r="AZ1012" s="618"/>
      <c r="BE1012" s="618"/>
      <c r="BF1012" s="618"/>
      <c r="BG1012" s="553"/>
      <c r="BH1012" s="294"/>
      <c r="BI1012" s="618"/>
      <c r="BJ1012" s="618"/>
      <c r="BK1012" s="618"/>
      <c r="BL1012" s="553"/>
      <c r="BM1012" s="618"/>
      <c r="BN1012" s="618"/>
      <c r="BO1012" s="618"/>
    </row>
    <row r="1013" spans="4:67" ht="13">
      <c r="D1013" s="618"/>
      <c r="J1013" s="1428"/>
      <c r="N1013" s="294"/>
      <c r="P1013" s="618"/>
      <c r="S1013" s="294"/>
      <c r="U1013" s="618"/>
      <c r="X1013" s="294"/>
      <c r="Z1013" s="618"/>
      <c r="AE1013" s="618"/>
      <c r="AO1013" s="618"/>
      <c r="AT1013" s="618"/>
      <c r="AZ1013" s="618"/>
      <c r="BE1013" s="618"/>
      <c r="BF1013" s="618"/>
      <c r="BG1013" s="553"/>
      <c r="BH1013" s="294"/>
      <c r="BI1013" s="618"/>
      <c r="BJ1013" s="618"/>
      <c r="BK1013" s="618"/>
      <c r="BL1013" s="553"/>
      <c r="BM1013" s="618"/>
      <c r="BN1013" s="618"/>
      <c r="BO1013" s="618"/>
    </row>
    <row r="1014" spans="4:67" ht="13">
      <c r="D1014" s="618"/>
      <c r="J1014" s="1428"/>
      <c r="N1014" s="294"/>
      <c r="P1014" s="618"/>
      <c r="S1014" s="294"/>
      <c r="U1014" s="618"/>
      <c r="X1014" s="294"/>
      <c r="Z1014" s="618"/>
      <c r="AE1014" s="618"/>
      <c r="AO1014" s="618"/>
      <c r="AT1014" s="618"/>
      <c r="AZ1014" s="618"/>
      <c r="BE1014" s="618"/>
      <c r="BF1014" s="618"/>
      <c r="BG1014" s="553"/>
      <c r="BH1014" s="294"/>
      <c r="BI1014" s="618"/>
      <c r="BJ1014" s="618"/>
      <c r="BK1014" s="618"/>
      <c r="BL1014" s="553"/>
      <c r="BM1014" s="618"/>
      <c r="BN1014" s="618"/>
      <c r="BO1014" s="618"/>
    </row>
  </sheetData>
  <autoFilter ref="AL505:AO562" xr:uid="{00000000-0009-0000-0000-00000E000000}">
    <sortState xmlns:xlrd2="http://schemas.microsoft.com/office/spreadsheetml/2017/richdata2" ref="AL505:AO562">
      <sortCondition ref="AO505:AO562"/>
      <sortCondition ref="AM505:AM562"/>
    </sortState>
  </autoFilter>
  <conditionalFormatting sqref="A1:A1014">
    <cfRule type="containsText" dxfId="50" priority="3" operator="containsText" text="/">
      <formula>NOT(ISERROR(SEARCH(("/"),(A1))))</formula>
    </cfRule>
  </conditionalFormatting>
  <conditionalFormatting sqref="G1:G1014">
    <cfRule type="containsText" dxfId="49" priority="1" operator="containsText" text="/">
      <formula>NOT(ISERROR(SEARCH(("/"),(G1))))</formula>
    </cfRule>
  </conditionalFormatting>
  <conditionalFormatting sqref="J1:J1014">
    <cfRule type="containsText" dxfId="48" priority="11" operator="containsText" text="#N/A">
      <formula>NOT(ISERROR(SEARCH(("#N/A"),(J1))))</formula>
    </cfRule>
  </conditionalFormatting>
  <conditionalFormatting sqref="M1:M1014">
    <cfRule type="containsText" dxfId="47" priority="2" operator="containsText" text="/">
      <formula>NOT(ISERROR(SEARCH(("/"),(M1))))</formula>
    </cfRule>
  </conditionalFormatting>
  <conditionalFormatting sqref="R1:R1014">
    <cfRule type="containsText" dxfId="46" priority="5" operator="containsText" text="/">
      <formula>NOT(ISERROR(SEARCH(("/"),(R1))))</formula>
    </cfRule>
  </conditionalFormatting>
  <conditionalFormatting sqref="W1:W1014">
    <cfRule type="containsText" dxfId="45" priority="4" operator="containsText" text="/">
      <formula>NOT(ISERROR(SEARCH(("/"),(W1))))</formula>
    </cfRule>
  </conditionalFormatting>
  <conditionalFormatting sqref="AB1:AB1014">
    <cfRule type="containsText" dxfId="44" priority="10" operator="containsText" text="/">
      <formula>NOT(ISERROR(SEARCH(("/"),(AB1))))</formula>
    </cfRule>
  </conditionalFormatting>
  <conditionalFormatting sqref="AG1:AG1014">
    <cfRule type="containsText" dxfId="43" priority="8" operator="containsText" text="/">
      <formula>NOT(ISERROR(SEARCH(("/"),(AG1))))</formula>
    </cfRule>
  </conditionalFormatting>
  <conditionalFormatting sqref="AL1:AL1014">
    <cfRule type="containsText" dxfId="42" priority="7" operator="containsText" text="/">
      <formula>NOT(ISERROR(SEARCH(("/"),(AL1))))</formula>
    </cfRule>
  </conditionalFormatting>
  <conditionalFormatting sqref="AL173:AL293">
    <cfRule type="containsText" dxfId="41" priority="12" operator="containsText" text="gustavo">
      <formula>NOT(ISERROR(SEARCH(("gustavo"),(AL173))))</formula>
    </cfRule>
  </conditionalFormatting>
  <conditionalFormatting sqref="AQ1:AQ1014">
    <cfRule type="containsText" dxfId="40" priority="6" operator="containsText" text="/">
      <formula>NOT(ISERROR(SEARCH(("/"),(AQ1))))</formula>
    </cfRule>
  </conditionalFormatting>
  <conditionalFormatting sqref="AW1:AW1014 BB1:BB1014 BG505 BL505">
    <cfRule type="containsText" dxfId="39" priority="9" operator="containsText" text="/">
      <formula>NOT(ISERROR(SEARCH(("/"),(AW1))))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D147"/>
  <sheetViews>
    <sheetView workbookViewId="0"/>
  </sheetViews>
  <sheetFormatPr baseColWidth="10" defaultColWidth="12.6640625" defaultRowHeight="15.75" customHeight="1"/>
  <cols>
    <col min="1" max="1" width="39.5" customWidth="1"/>
  </cols>
  <sheetData>
    <row r="2" spans="1:2" ht="15.75" customHeight="1">
      <c r="A2" s="1463" t="s">
        <v>604</v>
      </c>
      <c r="B2" s="706">
        <v>4770651.2</v>
      </c>
    </row>
    <row r="3" spans="1:2" ht="15.75" customHeight="1">
      <c r="A3" s="924" t="s">
        <v>540</v>
      </c>
      <c r="B3" s="1464">
        <v>2226378.79</v>
      </c>
    </row>
    <row r="4" spans="1:2" ht="15.75" customHeight="1">
      <c r="A4" s="924" t="s">
        <v>541</v>
      </c>
      <c r="B4" s="1464">
        <v>878633.02</v>
      </c>
    </row>
    <row r="5" spans="1:2" ht="15.75" customHeight="1">
      <c r="A5" s="924" t="s">
        <v>668</v>
      </c>
      <c r="B5" s="1464">
        <v>506139.74</v>
      </c>
    </row>
    <row r="6" spans="1:2" ht="15.75" customHeight="1">
      <c r="A6" s="924" t="s">
        <v>543</v>
      </c>
      <c r="B6" s="1464">
        <v>2062129.64</v>
      </c>
    </row>
    <row r="7" spans="1:2" ht="15.75" customHeight="1">
      <c r="A7" s="924" t="s">
        <v>622</v>
      </c>
      <c r="B7" s="1464">
        <v>127502.62</v>
      </c>
    </row>
    <row r="8" spans="1:2" ht="15.75" customHeight="1">
      <c r="A8" s="924" t="s">
        <v>450</v>
      </c>
      <c r="B8" s="1464">
        <v>69876.37</v>
      </c>
    </row>
    <row r="9" spans="1:2" ht="15.75" customHeight="1">
      <c r="A9" s="924" t="s">
        <v>651</v>
      </c>
      <c r="B9" s="1464" t="s">
        <v>1034</v>
      </c>
    </row>
    <row r="10" spans="1:2" ht="15.75" customHeight="1">
      <c r="A10" s="924" t="s">
        <v>652</v>
      </c>
      <c r="B10" s="1465" t="s">
        <v>1034</v>
      </c>
    </row>
    <row r="11" spans="1:2" ht="15.75" customHeight="1">
      <c r="A11" s="924" t="s">
        <v>653</v>
      </c>
      <c r="B11" s="1465" t="s">
        <v>1034</v>
      </c>
    </row>
    <row r="12" spans="1:2" ht="15.75" customHeight="1">
      <c r="A12" s="924" t="s">
        <v>654</v>
      </c>
      <c r="B12" s="1465">
        <v>0</v>
      </c>
    </row>
    <row r="13" spans="1:2" ht="15.75" customHeight="1">
      <c r="A13" s="924" t="s">
        <v>1570</v>
      </c>
      <c r="B13" s="1465">
        <v>62779.199999999997</v>
      </c>
    </row>
    <row r="14" spans="1:2" ht="15.75" customHeight="1">
      <c r="A14" s="924" t="s">
        <v>655</v>
      </c>
      <c r="B14" s="1465" t="s">
        <v>1034</v>
      </c>
    </row>
    <row r="15" spans="1:2" ht="15.75" customHeight="1">
      <c r="A15" s="924" t="s">
        <v>620</v>
      </c>
      <c r="B15" s="1465">
        <v>0</v>
      </c>
    </row>
    <row r="16" spans="1:2" ht="15.75" customHeight="1">
      <c r="A16" s="924" t="s">
        <v>656</v>
      </c>
      <c r="B16" s="1465">
        <v>173018.54</v>
      </c>
    </row>
    <row r="17" spans="1:4" ht="15.75" customHeight="1">
      <c r="A17" s="924" t="s">
        <v>657</v>
      </c>
      <c r="B17" s="1465" t="s">
        <v>1034</v>
      </c>
    </row>
    <row r="18" spans="1:4" ht="15.75" customHeight="1">
      <c r="A18" s="924" t="s">
        <v>640</v>
      </c>
      <c r="B18" s="1465">
        <v>260776.38</v>
      </c>
    </row>
    <row r="19" spans="1:4" ht="15.75" customHeight="1">
      <c r="A19" s="924" t="s">
        <v>664</v>
      </c>
      <c r="B19" s="1465">
        <v>1291749.81</v>
      </c>
    </row>
    <row r="20" spans="1:4" ht="15.75" customHeight="1">
      <c r="A20" s="924" t="s">
        <v>665</v>
      </c>
      <c r="B20" s="1465">
        <v>152241.29999999999</v>
      </c>
      <c r="D20" s="296">
        <f>SUM(B2:B20)</f>
        <v>12581876.609999999</v>
      </c>
    </row>
    <row r="21" spans="1:4" ht="15.75" customHeight="1">
      <c r="A21" s="325" t="s">
        <v>506</v>
      </c>
      <c r="B21" s="1465">
        <v>3408123.9</v>
      </c>
    </row>
    <row r="22" spans="1:4" ht="15.75" customHeight="1">
      <c r="A22" s="325" t="s">
        <v>507</v>
      </c>
      <c r="B22" s="1465">
        <v>3623929.54</v>
      </c>
    </row>
    <row r="23" spans="1:4" ht="15.75" customHeight="1">
      <c r="A23" s="325" t="s">
        <v>508</v>
      </c>
      <c r="B23" s="1465">
        <v>1276140.8999999999</v>
      </c>
    </row>
    <row r="24" spans="1:4" ht="15.75" customHeight="1">
      <c r="A24" s="325" t="s">
        <v>549</v>
      </c>
      <c r="B24" s="1464">
        <v>230392.36</v>
      </c>
    </row>
    <row r="25" spans="1:4" ht="15.75" customHeight="1">
      <c r="A25" s="325" t="s">
        <v>1571</v>
      </c>
      <c r="B25" s="1464">
        <v>5429592.1500000004</v>
      </c>
    </row>
    <row r="26" spans="1:4" ht="15.75" customHeight="1">
      <c r="A26" s="325" t="s">
        <v>510</v>
      </c>
      <c r="B26" s="1464">
        <v>5583773.6600000001</v>
      </c>
    </row>
    <row r="27" spans="1:4" ht="15.75" customHeight="1">
      <c r="A27" s="325" t="s">
        <v>511</v>
      </c>
      <c r="B27" s="1464">
        <v>5847782.9400000004</v>
      </c>
    </row>
    <row r="28" spans="1:4" ht="15.75" customHeight="1">
      <c r="A28" s="325" t="s">
        <v>512</v>
      </c>
      <c r="B28" s="1464">
        <v>6220562.1100000003</v>
      </c>
    </row>
    <row r="29" spans="1:4" ht="15.75" customHeight="1">
      <c r="A29" s="325" t="s">
        <v>513</v>
      </c>
      <c r="B29" s="1464">
        <v>16442491.890000001</v>
      </c>
    </row>
    <row r="30" spans="1:4" ht="15.75" customHeight="1">
      <c r="A30" s="325" t="s">
        <v>671</v>
      </c>
      <c r="B30" s="1464" t="s">
        <v>1034</v>
      </c>
    </row>
    <row r="31" spans="1:4" ht="15.75" customHeight="1">
      <c r="A31" s="325" t="s">
        <v>550</v>
      </c>
      <c r="B31" s="1464" t="s">
        <v>1034</v>
      </c>
    </row>
    <row r="32" spans="1:4" ht="15.75" customHeight="1">
      <c r="A32" s="325" t="s">
        <v>516</v>
      </c>
      <c r="B32" s="1464">
        <v>1579908.73</v>
      </c>
    </row>
    <row r="33" spans="1:2" ht="15.75" customHeight="1">
      <c r="A33" s="325" t="s">
        <v>551</v>
      </c>
      <c r="B33" s="1464">
        <v>863905.95</v>
      </c>
    </row>
    <row r="34" spans="1:2" ht="15.75" customHeight="1">
      <c r="A34" s="325" t="s">
        <v>517</v>
      </c>
      <c r="B34" s="1464">
        <v>457205.57</v>
      </c>
    </row>
    <row r="35" spans="1:2" ht="15.75" customHeight="1">
      <c r="A35" s="325" t="s">
        <v>518</v>
      </c>
      <c r="B35" s="1464">
        <v>3141734.68</v>
      </c>
    </row>
    <row r="36" spans="1:2" ht="15.75" customHeight="1">
      <c r="A36" s="325" t="s">
        <v>552</v>
      </c>
      <c r="B36" s="1464">
        <v>1086285.6100000001</v>
      </c>
    </row>
    <row r="37" spans="1:2" ht="15.75" customHeight="1">
      <c r="A37" s="325" t="s">
        <v>519</v>
      </c>
      <c r="B37" s="1464">
        <v>345257.29</v>
      </c>
    </row>
    <row r="38" spans="1:2" ht="15.75" customHeight="1">
      <c r="A38" s="325" t="s">
        <v>514</v>
      </c>
      <c r="B38" s="1464">
        <v>2320391.12</v>
      </c>
    </row>
    <row r="39" spans="1:2" ht="15.75" customHeight="1">
      <c r="A39" s="325" t="s">
        <v>520</v>
      </c>
      <c r="B39" s="1464">
        <v>3226366.9</v>
      </c>
    </row>
    <row r="40" spans="1:2" ht="15.75" customHeight="1">
      <c r="A40" s="325" t="s">
        <v>553</v>
      </c>
      <c r="B40" s="1464" t="s">
        <v>1034</v>
      </c>
    </row>
    <row r="41" spans="1:2" ht="15.75" customHeight="1">
      <c r="A41" s="325" t="s">
        <v>554</v>
      </c>
      <c r="B41" s="1464">
        <v>1273820.8899999999</v>
      </c>
    </row>
    <row r="42" spans="1:2" ht="15.75" customHeight="1">
      <c r="A42" s="325" t="s">
        <v>555</v>
      </c>
      <c r="B42" s="1464">
        <v>6802002.5999999996</v>
      </c>
    </row>
    <row r="43" spans="1:2" ht="13">
      <c r="A43" s="325" t="s">
        <v>557</v>
      </c>
      <c r="B43" s="1464">
        <v>202122.84</v>
      </c>
    </row>
    <row r="44" spans="1:2" ht="13">
      <c r="A44" s="325" t="s">
        <v>558</v>
      </c>
      <c r="B44" s="1464">
        <v>270817.05</v>
      </c>
    </row>
    <row r="45" spans="1:2" ht="13">
      <c r="A45" s="325" t="s">
        <v>559</v>
      </c>
      <c r="B45" s="1464">
        <v>650613.56999999995</v>
      </c>
    </row>
    <row r="46" spans="1:2" ht="13">
      <c r="A46" s="325" t="s">
        <v>675</v>
      </c>
      <c r="B46" s="1464" t="s">
        <v>1034</v>
      </c>
    </row>
    <row r="47" spans="1:2" ht="13">
      <c r="A47" s="325" t="s">
        <v>560</v>
      </c>
      <c r="B47" s="1464" t="s">
        <v>1034</v>
      </c>
    </row>
    <row r="48" spans="1:2" ht="13">
      <c r="A48" s="325" t="s">
        <v>561</v>
      </c>
      <c r="B48" s="1464">
        <v>2013057.13</v>
      </c>
    </row>
    <row r="49" spans="1:2" ht="13">
      <c r="A49" s="1466" t="s">
        <v>515</v>
      </c>
      <c r="B49" s="1464">
        <v>1035392.53</v>
      </c>
    </row>
    <row r="50" spans="1:2" ht="13">
      <c r="A50" s="325" t="s">
        <v>562</v>
      </c>
      <c r="B50" s="1464">
        <v>4355057.05</v>
      </c>
    </row>
    <row r="51" spans="1:2" ht="13">
      <c r="A51" s="325" t="s">
        <v>563</v>
      </c>
      <c r="B51" s="1464">
        <v>1424748.49</v>
      </c>
    </row>
    <row r="52" spans="1:2" ht="13">
      <c r="A52" s="325" t="s">
        <v>564</v>
      </c>
      <c r="B52" s="1464">
        <v>351593.16</v>
      </c>
    </row>
    <row r="53" spans="1:2" ht="13">
      <c r="A53" s="1467" t="s">
        <v>521</v>
      </c>
      <c r="B53" s="1464">
        <v>4911328.33</v>
      </c>
    </row>
    <row r="54" spans="1:2" ht="13">
      <c r="A54" s="325" t="s">
        <v>522</v>
      </c>
      <c r="B54" s="1464">
        <v>8144273.8600000003</v>
      </c>
    </row>
    <row r="55" spans="1:2" ht="13">
      <c r="A55" s="325" t="s">
        <v>565</v>
      </c>
      <c r="B55" s="1464">
        <v>126513.25</v>
      </c>
    </row>
    <row r="56" spans="1:2" ht="13">
      <c r="A56" s="325" t="s">
        <v>566</v>
      </c>
      <c r="B56" s="1464">
        <v>634838.28</v>
      </c>
    </row>
    <row r="57" spans="1:2" ht="13">
      <c r="A57" s="325" t="s">
        <v>567</v>
      </c>
      <c r="B57" s="1464">
        <v>180876.7</v>
      </c>
    </row>
    <row r="58" spans="1:2" ht="13">
      <c r="A58" s="325" t="s">
        <v>568</v>
      </c>
      <c r="B58" s="1464">
        <v>0</v>
      </c>
    </row>
    <row r="59" spans="1:2" ht="13">
      <c r="A59" s="325" t="s">
        <v>569</v>
      </c>
      <c r="B59" s="1464">
        <v>932232.53</v>
      </c>
    </row>
    <row r="60" spans="1:2" ht="13">
      <c r="A60" s="325" t="s">
        <v>523</v>
      </c>
      <c r="B60" s="1464">
        <v>1211824.74</v>
      </c>
    </row>
    <row r="61" spans="1:2" ht="13">
      <c r="A61" s="325" t="s">
        <v>570</v>
      </c>
      <c r="B61" s="1464">
        <v>548622.34</v>
      </c>
    </row>
    <row r="62" spans="1:2" ht="13">
      <c r="A62" s="325" t="s">
        <v>571</v>
      </c>
      <c r="B62" s="1464">
        <v>102926.59</v>
      </c>
    </row>
    <row r="63" spans="1:2" ht="13">
      <c r="A63" s="325" t="s">
        <v>572</v>
      </c>
      <c r="B63" s="1464" t="s">
        <v>1034</v>
      </c>
    </row>
    <row r="64" spans="1:2" ht="13">
      <c r="A64" s="325" t="s">
        <v>573</v>
      </c>
      <c r="B64" s="1464" t="s">
        <v>1034</v>
      </c>
    </row>
    <row r="65" spans="1:2" ht="13">
      <c r="A65" s="325" t="s">
        <v>524</v>
      </c>
      <c r="B65" s="1464">
        <v>2610826.4300000002</v>
      </c>
    </row>
    <row r="66" spans="1:2" ht="13">
      <c r="A66" s="325" t="s">
        <v>574</v>
      </c>
      <c r="B66" s="1464" t="s">
        <v>1034</v>
      </c>
    </row>
    <row r="67" spans="1:2" ht="13">
      <c r="A67" s="325" t="s">
        <v>576</v>
      </c>
      <c r="B67" s="1464">
        <v>0</v>
      </c>
    </row>
    <row r="68" spans="1:2" ht="13">
      <c r="A68" s="325" t="s">
        <v>578</v>
      </c>
      <c r="B68" s="1464">
        <v>877750.72</v>
      </c>
    </row>
    <row r="69" spans="1:2" ht="13">
      <c r="A69" s="325" t="s">
        <v>527</v>
      </c>
      <c r="B69" s="1464">
        <v>1231688.74</v>
      </c>
    </row>
    <row r="70" spans="1:2" ht="13">
      <c r="A70" s="325" t="s">
        <v>528</v>
      </c>
      <c r="B70" s="1464">
        <v>1889818.77</v>
      </c>
    </row>
    <row r="71" spans="1:2" ht="13">
      <c r="A71" s="325" t="s">
        <v>581</v>
      </c>
      <c r="B71" s="1464">
        <v>0</v>
      </c>
    </row>
    <row r="72" spans="1:2" ht="13">
      <c r="A72" s="325" t="s">
        <v>529</v>
      </c>
      <c r="B72" s="1464">
        <v>781604.96</v>
      </c>
    </row>
    <row r="73" spans="1:2" ht="13">
      <c r="A73" s="325" t="s">
        <v>582</v>
      </c>
      <c r="B73" s="1464">
        <v>0</v>
      </c>
    </row>
    <row r="74" spans="1:2" ht="13">
      <c r="A74" s="325" t="s">
        <v>583</v>
      </c>
      <c r="B74" s="1464">
        <v>100852.8</v>
      </c>
    </row>
    <row r="75" spans="1:2" ht="13">
      <c r="A75" s="325" t="s">
        <v>584</v>
      </c>
      <c r="B75" s="1464">
        <v>97414.32</v>
      </c>
    </row>
    <row r="76" spans="1:2" ht="13">
      <c r="A76" s="325" t="s">
        <v>531</v>
      </c>
      <c r="B76" s="1464">
        <v>2520750.2200000002</v>
      </c>
    </row>
    <row r="77" spans="1:2" ht="13">
      <c r="A77" s="325" t="s">
        <v>532</v>
      </c>
      <c r="B77" s="1464" t="s">
        <v>1034</v>
      </c>
    </row>
    <row r="78" spans="1:2" ht="13">
      <c r="A78" s="325" t="s">
        <v>585</v>
      </c>
      <c r="B78" s="1464">
        <v>438171.07</v>
      </c>
    </row>
    <row r="79" spans="1:2" ht="13">
      <c r="A79" s="325" t="s">
        <v>586</v>
      </c>
      <c r="B79" s="1464">
        <v>0</v>
      </c>
    </row>
    <row r="80" spans="1:2" ht="13">
      <c r="A80" s="325" t="s">
        <v>533</v>
      </c>
      <c r="B80" s="1464">
        <v>1118197.82</v>
      </c>
    </row>
    <row r="81" spans="1:2" ht="13">
      <c r="A81" s="325" t="s">
        <v>534</v>
      </c>
      <c r="B81" s="1464">
        <v>994905.03</v>
      </c>
    </row>
    <row r="82" spans="1:2" ht="13">
      <c r="A82" s="325" t="s">
        <v>588</v>
      </c>
      <c r="B82" s="1464" t="s">
        <v>1034</v>
      </c>
    </row>
    <row r="83" spans="1:2" ht="13">
      <c r="A83" s="325" t="s">
        <v>589</v>
      </c>
      <c r="B83" s="1464">
        <v>929092.23</v>
      </c>
    </row>
    <row r="84" spans="1:2" ht="13">
      <c r="A84" s="325" t="s">
        <v>591</v>
      </c>
      <c r="B84" s="1464" t="s">
        <v>1034</v>
      </c>
    </row>
    <row r="85" spans="1:2" ht="13">
      <c r="A85" s="325" t="s">
        <v>536</v>
      </c>
      <c r="B85" s="1464">
        <v>0</v>
      </c>
    </row>
    <row r="86" spans="1:2" ht="13">
      <c r="A86" s="325" t="s">
        <v>593</v>
      </c>
      <c r="B86" s="1464">
        <v>314221.57</v>
      </c>
    </row>
    <row r="87" spans="1:2" ht="13">
      <c r="A87" s="1467" t="s">
        <v>595</v>
      </c>
      <c r="B87" s="1464">
        <v>367830.51</v>
      </c>
    </row>
    <row r="88" spans="1:2" ht="13">
      <c r="A88" s="1467" t="s">
        <v>596</v>
      </c>
      <c r="B88" s="1464">
        <v>131084.16</v>
      </c>
    </row>
    <row r="89" spans="1:2" ht="13">
      <c r="A89" s="325" t="s">
        <v>597</v>
      </c>
      <c r="B89" s="1464" t="s">
        <v>1034</v>
      </c>
    </row>
    <row r="90" spans="1:2" ht="13">
      <c r="A90" s="325" t="s">
        <v>537</v>
      </c>
      <c r="B90" s="1464">
        <v>962185.05</v>
      </c>
    </row>
    <row r="91" spans="1:2" ht="13">
      <c r="A91" s="325" t="s">
        <v>598</v>
      </c>
      <c r="B91" s="1464">
        <v>91127.25</v>
      </c>
    </row>
    <row r="92" spans="1:2" ht="13">
      <c r="A92" s="325" t="s">
        <v>599</v>
      </c>
      <c r="B92" s="1464">
        <v>186738.77</v>
      </c>
    </row>
    <row r="93" spans="1:2" ht="13">
      <c r="A93" s="325" t="s">
        <v>600</v>
      </c>
      <c r="B93" s="1464" t="s">
        <v>1034</v>
      </c>
    </row>
    <row r="94" spans="1:2" ht="13">
      <c r="A94" s="325" t="s">
        <v>601</v>
      </c>
      <c r="B94" s="1464">
        <v>0</v>
      </c>
    </row>
    <row r="95" spans="1:2" ht="13">
      <c r="A95" s="325" t="s">
        <v>602</v>
      </c>
      <c r="B95" s="1464">
        <v>0</v>
      </c>
    </row>
    <row r="96" spans="1:2" ht="13">
      <c r="A96" s="325" t="s">
        <v>603</v>
      </c>
      <c r="B96" s="1464" t="s">
        <v>1034</v>
      </c>
    </row>
    <row r="97" spans="1:2" ht="13">
      <c r="A97" s="325" t="s">
        <v>605</v>
      </c>
      <c r="B97" s="1464" t="s">
        <v>1034</v>
      </c>
    </row>
    <row r="98" spans="1:2" ht="13">
      <c r="A98" s="325" t="s">
        <v>606</v>
      </c>
      <c r="B98" s="1464" t="s">
        <v>1034</v>
      </c>
    </row>
    <row r="99" spans="1:2" ht="13">
      <c r="A99" s="325" t="s">
        <v>607</v>
      </c>
      <c r="B99" s="1464">
        <v>0</v>
      </c>
    </row>
    <row r="100" spans="1:2" ht="13">
      <c r="A100" s="325" t="s">
        <v>608</v>
      </c>
      <c r="B100" s="1464">
        <v>0</v>
      </c>
    </row>
    <row r="101" spans="1:2" ht="13">
      <c r="A101" s="325" t="s">
        <v>609</v>
      </c>
      <c r="B101" s="1464" t="s">
        <v>1034</v>
      </c>
    </row>
    <row r="102" spans="1:2" ht="13">
      <c r="A102" s="325" t="s">
        <v>610</v>
      </c>
      <c r="B102" s="1464" t="s">
        <v>1034</v>
      </c>
    </row>
    <row r="103" spans="1:2" ht="13">
      <c r="A103" s="325" t="s">
        <v>611</v>
      </c>
      <c r="B103" s="1464">
        <v>317905.28999999998</v>
      </c>
    </row>
    <row r="104" spans="1:2" ht="13">
      <c r="A104" s="325" t="s">
        <v>612</v>
      </c>
      <c r="B104" s="1464">
        <v>0</v>
      </c>
    </row>
    <row r="105" spans="1:2" ht="13">
      <c r="A105" s="325" t="s">
        <v>613</v>
      </c>
      <c r="B105" s="1464" t="s">
        <v>1034</v>
      </c>
    </row>
    <row r="106" spans="1:2" ht="13">
      <c r="A106" s="325" t="s">
        <v>614</v>
      </c>
      <c r="B106" s="1464" t="s">
        <v>1034</v>
      </c>
    </row>
    <row r="107" spans="1:2" ht="13">
      <c r="A107" s="325" t="s">
        <v>542</v>
      </c>
      <c r="B107" s="1464">
        <v>864634.49</v>
      </c>
    </row>
    <row r="108" spans="1:2" ht="13">
      <c r="A108" s="325" t="s">
        <v>615</v>
      </c>
      <c r="B108" s="1464">
        <v>340522.44</v>
      </c>
    </row>
    <row r="109" spans="1:2" ht="13">
      <c r="A109" s="1467" t="s">
        <v>616</v>
      </c>
      <c r="B109" s="1464" t="s">
        <v>1034</v>
      </c>
    </row>
    <row r="110" spans="1:2" ht="13">
      <c r="A110" s="1467" t="s">
        <v>617</v>
      </c>
      <c r="B110" s="1464" t="s">
        <v>1034</v>
      </c>
    </row>
    <row r="111" spans="1:2" ht="13">
      <c r="A111" s="325" t="s">
        <v>618</v>
      </c>
      <c r="B111" s="1464">
        <v>783950.17</v>
      </c>
    </row>
    <row r="112" spans="1:2" ht="13">
      <c r="A112" s="325" t="s">
        <v>676</v>
      </c>
      <c r="B112" s="1464" t="s">
        <v>1034</v>
      </c>
    </row>
    <row r="113" spans="1:2" ht="13">
      <c r="A113" s="325" t="s">
        <v>619</v>
      </c>
      <c r="B113" s="1464">
        <v>289439.51</v>
      </c>
    </row>
    <row r="114" spans="1:2" ht="13">
      <c r="A114" s="325" t="s">
        <v>621</v>
      </c>
      <c r="B114" s="1464" t="s">
        <v>1034</v>
      </c>
    </row>
    <row r="115" spans="1:2" ht="13">
      <c r="A115" s="325" t="s">
        <v>667</v>
      </c>
      <c r="B115" s="1464">
        <v>181998.31</v>
      </c>
    </row>
    <row r="116" spans="1:2" ht="13">
      <c r="A116" s="325" t="s">
        <v>548</v>
      </c>
      <c r="B116" s="1464" t="s">
        <v>1034</v>
      </c>
    </row>
    <row r="117" spans="1:2" ht="13">
      <c r="A117" s="1466" t="s">
        <v>624</v>
      </c>
      <c r="B117" s="1464" t="s">
        <v>1034</v>
      </c>
    </row>
    <row r="118" spans="1:2" ht="13">
      <c r="A118" s="325" t="s">
        <v>673</v>
      </c>
      <c r="B118" s="1464" t="s">
        <v>1034</v>
      </c>
    </row>
    <row r="119" spans="1:2" ht="13">
      <c r="A119" s="325" t="s">
        <v>625</v>
      </c>
      <c r="B119" s="1464">
        <v>1803130.62</v>
      </c>
    </row>
    <row r="120" spans="1:2" ht="13">
      <c r="A120" s="325" t="s">
        <v>626</v>
      </c>
      <c r="B120" s="1464">
        <v>360272.84</v>
      </c>
    </row>
    <row r="121" spans="1:2" ht="13">
      <c r="A121" s="325" t="s">
        <v>628</v>
      </c>
      <c r="B121" s="1464">
        <v>974860.48</v>
      </c>
    </row>
    <row r="122" spans="1:2" ht="13">
      <c r="A122" s="325" t="s">
        <v>629</v>
      </c>
      <c r="B122" s="1464">
        <v>420103.56</v>
      </c>
    </row>
    <row r="123" spans="1:2" ht="13">
      <c r="A123" s="325" t="s">
        <v>630</v>
      </c>
      <c r="B123" s="1464">
        <v>1191896.75</v>
      </c>
    </row>
    <row r="124" spans="1:2" ht="13">
      <c r="A124" s="325" t="s">
        <v>631</v>
      </c>
      <c r="B124" s="1464">
        <v>409460.62</v>
      </c>
    </row>
    <row r="125" spans="1:2" ht="13">
      <c r="A125" s="325" t="s">
        <v>670</v>
      </c>
      <c r="B125" s="1464">
        <v>0</v>
      </c>
    </row>
    <row r="126" spans="1:2" ht="13">
      <c r="A126" s="325" t="s">
        <v>632</v>
      </c>
      <c r="B126" s="1464">
        <v>0</v>
      </c>
    </row>
    <row r="127" spans="1:2" ht="13">
      <c r="A127" s="325" t="s">
        <v>633</v>
      </c>
      <c r="B127" s="1464">
        <v>70882.559999999998</v>
      </c>
    </row>
    <row r="128" spans="1:2" ht="13">
      <c r="A128" s="325" t="s">
        <v>634</v>
      </c>
      <c r="B128" s="1464">
        <v>852150.08</v>
      </c>
    </row>
    <row r="129" spans="1:2" ht="13">
      <c r="A129" s="325" t="s">
        <v>635</v>
      </c>
      <c r="B129" s="1464">
        <v>980543.52</v>
      </c>
    </row>
    <row r="130" spans="1:2" ht="13">
      <c r="A130" s="325" t="s">
        <v>636</v>
      </c>
      <c r="B130" s="1464">
        <v>613222.52</v>
      </c>
    </row>
    <row r="131" spans="1:2" ht="13">
      <c r="A131" s="325" t="s">
        <v>674</v>
      </c>
      <c r="B131" s="1464" t="s">
        <v>1034</v>
      </c>
    </row>
    <row r="132" spans="1:2" ht="13">
      <c r="A132" s="325" t="s">
        <v>623</v>
      </c>
      <c r="B132" s="1464">
        <v>170159</v>
      </c>
    </row>
    <row r="133" spans="1:2" ht="13">
      <c r="A133" s="325" t="s">
        <v>637</v>
      </c>
      <c r="B133" s="1464">
        <v>0</v>
      </c>
    </row>
    <row r="134" spans="1:2" ht="13">
      <c r="A134" s="325" t="s">
        <v>638</v>
      </c>
      <c r="B134" s="1464">
        <v>33036</v>
      </c>
    </row>
    <row r="135" spans="1:2" ht="13">
      <c r="A135" s="325" t="s">
        <v>639</v>
      </c>
      <c r="B135" s="1464" t="s">
        <v>1034</v>
      </c>
    </row>
    <row r="136" spans="1:2" ht="13">
      <c r="A136" s="325" t="s">
        <v>645</v>
      </c>
      <c r="B136" s="1464">
        <v>0</v>
      </c>
    </row>
    <row r="137" spans="1:2" ht="13">
      <c r="A137" s="325" t="s">
        <v>646</v>
      </c>
      <c r="B137" s="1464">
        <v>340900.04</v>
      </c>
    </row>
    <row r="138" spans="1:2" ht="13">
      <c r="A138" s="325" t="s">
        <v>647</v>
      </c>
      <c r="B138" s="1464">
        <v>65429</v>
      </c>
    </row>
    <row r="139" spans="1:2" ht="13">
      <c r="A139" s="325" t="s">
        <v>677</v>
      </c>
      <c r="B139" s="1464" t="s">
        <v>1034</v>
      </c>
    </row>
    <row r="140" spans="1:2" ht="13">
      <c r="A140" s="325" t="s">
        <v>648</v>
      </c>
      <c r="B140" s="1464">
        <v>0</v>
      </c>
    </row>
    <row r="141" spans="1:2" ht="13">
      <c r="A141" s="325" t="s">
        <v>649</v>
      </c>
      <c r="B141" s="1464" t="s">
        <v>1034</v>
      </c>
    </row>
    <row r="142" spans="1:2" ht="13">
      <c r="A142" s="325" t="s">
        <v>672</v>
      </c>
      <c r="B142" s="1464" t="s">
        <v>1034</v>
      </c>
    </row>
    <row r="143" spans="1:2" ht="13">
      <c r="A143" s="325" t="s">
        <v>650</v>
      </c>
      <c r="B143" s="1464" t="s">
        <v>1034</v>
      </c>
    </row>
    <row r="144" spans="1:2" ht="13">
      <c r="A144" s="325" t="s">
        <v>658</v>
      </c>
      <c r="B144" s="1464" t="s">
        <v>1034</v>
      </c>
    </row>
    <row r="145" spans="1:4" ht="13">
      <c r="A145" s="325" t="s">
        <v>662</v>
      </c>
      <c r="B145" s="1464" t="s">
        <v>1034</v>
      </c>
    </row>
    <row r="146" spans="1:4" ht="13">
      <c r="A146" s="325" t="s">
        <v>663</v>
      </c>
      <c r="B146" s="1464" t="s">
        <v>1034</v>
      </c>
    </row>
    <row r="147" spans="1:4" ht="13">
      <c r="A147" s="325" t="s">
        <v>547</v>
      </c>
      <c r="B147" s="1468" t="s">
        <v>1034</v>
      </c>
      <c r="D147" s="296">
        <f>SUM(B21:B147)</f>
        <v>122965265.44999996</v>
      </c>
    </row>
  </sheetData>
  <autoFilter ref="A1:B147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FF"/>
    <outlinePr summaryBelow="0" summaryRight="0"/>
    <pageSetUpPr fitToPage="1"/>
  </sheetPr>
  <dimension ref="A1:CS1021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2.6640625" defaultRowHeight="15.75" customHeight="1"/>
  <cols>
    <col min="1" max="1" width="15.1640625" customWidth="1"/>
    <col min="2" max="2" width="10.6640625" customWidth="1"/>
    <col min="3" max="6" width="6.33203125" customWidth="1"/>
    <col min="7" max="7" width="37.1640625" customWidth="1"/>
    <col min="8" max="8" width="10.83203125" hidden="1" customWidth="1"/>
    <col min="9" max="9" width="12.6640625" hidden="1"/>
    <col min="10" max="10" width="11.33203125" customWidth="1"/>
    <col min="11" max="11" width="11.33203125" hidden="1" customWidth="1"/>
    <col min="12" max="12" width="11.33203125" customWidth="1"/>
    <col min="13" max="16" width="11.33203125" hidden="1" customWidth="1"/>
    <col min="17" max="17" width="11.33203125" customWidth="1"/>
    <col min="18" max="18" width="11.33203125" hidden="1" customWidth="1"/>
    <col min="19" max="19" width="11.33203125" customWidth="1"/>
    <col min="20" max="23" width="11.33203125" hidden="1" customWidth="1"/>
    <col min="24" max="26" width="11.33203125" customWidth="1"/>
    <col min="27" max="29" width="11.33203125" hidden="1" customWidth="1"/>
    <col min="30" max="35" width="11.33203125" customWidth="1"/>
    <col min="36" max="36" width="12.6640625" hidden="1"/>
    <col min="40" max="40" width="12.6640625" hidden="1"/>
    <col min="44" max="44" width="12.6640625" hidden="1"/>
    <col min="54" max="54" width="12.6640625" hidden="1"/>
    <col min="58" max="62" width="12.6640625" hidden="1"/>
  </cols>
  <sheetData>
    <row r="1" spans="1:97" ht="28">
      <c r="A1" s="1469"/>
      <c r="B1" s="1367" t="s">
        <v>19</v>
      </c>
      <c r="C1" s="514" t="s">
        <v>20</v>
      </c>
      <c r="D1" s="514" t="s">
        <v>21</v>
      </c>
      <c r="E1" s="514" t="s">
        <v>22</v>
      </c>
      <c r="F1" s="1368" t="s">
        <v>23</v>
      </c>
      <c r="G1" s="1369" t="s">
        <v>24</v>
      </c>
      <c r="H1" s="1242">
        <v>45681</v>
      </c>
      <c r="I1" s="517" t="s">
        <v>25</v>
      </c>
      <c r="J1" s="78" t="s">
        <v>26</v>
      </c>
      <c r="K1" s="79" t="s">
        <v>27</v>
      </c>
      <c r="L1" s="518" t="s">
        <v>28</v>
      </c>
      <c r="M1" s="519" t="s">
        <v>29</v>
      </c>
      <c r="N1" s="520" t="s">
        <v>30</v>
      </c>
      <c r="O1" s="1242">
        <v>45712</v>
      </c>
      <c r="P1" s="934" t="s">
        <v>31</v>
      </c>
      <c r="Q1" s="523" t="s">
        <v>26</v>
      </c>
      <c r="R1" s="79" t="s">
        <v>27</v>
      </c>
      <c r="S1" s="524" t="s">
        <v>32</v>
      </c>
      <c r="T1" s="525" t="s">
        <v>29</v>
      </c>
      <c r="U1" s="520" t="s">
        <v>30</v>
      </c>
      <c r="V1" s="1242">
        <v>45740</v>
      </c>
      <c r="W1" s="517" t="s">
        <v>33</v>
      </c>
      <c r="X1" s="78" t="s">
        <v>26</v>
      </c>
      <c r="Y1" s="79" t="s">
        <v>27</v>
      </c>
      <c r="Z1" s="518" t="s">
        <v>1248</v>
      </c>
      <c r="AA1" s="519" t="s">
        <v>29</v>
      </c>
      <c r="AB1" s="520" t="s">
        <v>30</v>
      </c>
      <c r="AC1" s="1243" t="s">
        <v>35</v>
      </c>
      <c r="AD1" s="528" t="s">
        <v>36</v>
      </c>
      <c r="AE1" s="523" t="s">
        <v>26</v>
      </c>
      <c r="AF1" s="79" t="s">
        <v>27</v>
      </c>
      <c r="AG1" s="524" t="s">
        <v>41</v>
      </c>
      <c r="AH1" s="525" t="s">
        <v>29</v>
      </c>
      <c r="AI1" s="520" t="s">
        <v>30</v>
      </c>
      <c r="AJ1" s="77">
        <v>45771</v>
      </c>
      <c r="AK1" s="78" t="s">
        <v>26</v>
      </c>
      <c r="AL1" s="79" t="s">
        <v>27</v>
      </c>
      <c r="AM1" s="518" t="s">
        <v>1249</v>
      </c>
      <c r="AN1" s="77">
        <v>45801</v>
      </c>
      <c r="AO1" s="78" t="s">
        <v>26</v>
      </c>
      <c r="AP1" s="79" t="s">
        <v>27</v>
      </c>
      <c r="AQ1" s="518" t="s">
        <v>1250</v>
      </c>
      <c r="AR1" s="81">
        <v>45832</v>
      </c>
      <c r="AS1" s="78" t="s">
        <v>26</v>
      </c>
      <c r="AT1" s="79" t="s">
        <v>27</v>
      </c>
      <c r="AU1" s="518" t="s">
        <v>1251</v>
      </c>
      <c r="AV1" s="1470" t="s">
        <v>26</v>
      </c>
      <c r="AW1" s="1471" t="s">
        <v>27</v>
      </c>
      <c r="AX1" s="1472" t="s">
        <v>41</v>
      </c>
      <c r="AY1" s="1473" t="s">
        <v>26</v>
      </c>
      <c r="AZ1" s="1471" t="s">
        <v>27</v>
      </c>
      <c r="BA1" s="1474" t="s">
        <v>42</v>
      </c>
      <c r="BB1" s="829">
        <v>45862</v>
      </c>
      <c r="BC1" s="1022" t="s">
        <v>26</v>
      </c>
      <c r="BD1" s="1023" t="s">
        <v>27</v>
      </c>
      <c r="BE1" s="1025" t="s">
        <v>1252</v>
      </c>
      <c r="BF1" s="81">
        <v>45893</v>
      </c>
      <c r="BG1" s="536">
        <v>45924</v>
      </c>
      <c r="BH1" s="536">
        <v>45954</v>
      </c>
      <c r="BI1" s="536">
        <v>45985</v>
      </c>
      <c r="BJ1" s="536">
        <v>46015</v>
      </c>
      <c r="BK1" s="82"/>
      <c r="BL1" s="82"/>
      <c r="BM1" s="1475" t="s">
        <v>250</v>
      </c>
      <c r="BN1" s="1476" t="s">
        <v>51</v>
      </c>
      <c r="BO1" s="1477" t="s">
        <v>52</v>
      </c>
      <c r="BP1" s="1477" t="s">
        <v>1257</v>
      </c>
      <c r="BQ1" s="1478" t="s">
        <v>1125</v>
      </c>
      <c r="BR1" s="1478" t="s">
        <v>835</v>
      </c>
      <c r="BS1" s="1479" t="s">
        <v>366</v>
      </c>
      <c r="BT1" s="1480">
        <v>45854</v>
      </c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</row>
    <row r="2" spans="1:97" ht="13">
      <c r="A2" s="1481" t="str">
        <f t="shared" ref="A2:A33" si="0">IFERROR(VLOOKUP(G2,CARTEROTEPECH,2,FALSE),"MONTENEGRO")</f>
        <v>ROTELA/PECH</v>
      </c>
      <c r="B2" s="1482">
        <f t="shared" ref="B2:B33" si="1">VLOOKUP(G2,MONTENEGROCARTERA,3,FALSE)</f>
        <v>112013167</v>
      </c>
      <c r="C2" s="1483">
        <f t="shared" ref="C2:C33" si="2">VLOOKUP(G2,MONTENEGROCARTERA,2,FALSE)</f>
        <v>12</v>
      </c>
      <c r="D2" s="1484">
        <f t="shared" ref="D2:D33" si="3">IFERROR(VLOOKUP(C2,DES,2,FALSE),"")</f>
        <v>0.15</v>
      </c>
      <c r="E2" s="1484">
        <f t="shared" ref="E2:E33" si="4">IFERROR(VLOOKUP(C2,DES,3,FALSE),"")</f>
        <v>0.09</v>
      </c>
      <c r="F2" s="1484">
        <f t="shared" ref="F2:F33" si="5">IFERROR(VLOOKUP(C2,DES,4,FALSE),"")</f>
        <v>0</v>
      </c>
      <c r="G2" s="1482" t="s">
        <v>1337</v>
      </c>
      <c r="H2" s="1485"/>
      <c r="I2" s="1486"/>
      <c r="J2" s="1487" t="e">
        <f t="shared" ref="J2:J129" si="6">L2-K2</f>
        <v>#VALUE!</v>
      </c>
      <c r="K2" s="1485" t="str">
        <f>IFERROR(VLOOKUP(G2,'MON2'!MONTENALIM,3,FALSE),"")</f>
        <v/>
      </c>
      <c r="L2" s="1488">
        <f>IFERROR(VLOOKUP(G2,'MON2'!MONTEFC,3,FALSE),"")</f>
        <v>0</v>
      </c>
      <c r="M2" s="1489">
        <f t="shared" ref="M2:M39" si="7">L2-I2</f>
        <v>0</v>
      </c>
      <c r="N2" s="1490" t="e">
        <f t="shared" ref="N2:N39" si="8">L2/I2</f>
        <v>#DIV/0!</v>
      </c>
      <c r="O2" s="1485" t="str">
        <f t="shared" ref="O2:O39" si="9">IFERROR(VLOOKUP(G2,MONTE24,4,FALSE),"")</f>
        <v/>
      </c>
      <c r="P2" s="1485">
        <v>1800000</v>
      </c>
      <c r="Q2" s="1485" t="e">
        <f t="shared" ref="Q2:Q129" si="10">S2-R2</f>
        <v>#VALUE!</v>
      </c>
      <c r="R2" s="1485" t="str">
        <f>IFERROR(VLOOKUP(G2,'MON2'!MONTENALIM,4,FALSE),"")</f>
        <v/>
      </c>
      <c r="S2" s="1485">
        <f>IFERROR(VLOOKUP(G2,'MON2'!MONTEFC,4,FALSE),"")</f>
        <v>0</v>
      </c>
      <c r="T2" s="1485">
        <f t="shared" ref="T2:T39" si="11">S2-P2</f>
        <v>-1800000</v>
      </c>
      <c r="U2" s="1490">
        <f t="shared" ref="U2:U39" si="12">S2/P2</f>
        <v>0</v>
      </c>
      <c r="V2" s="1485" t="str">
        <f t="shared" ref="V2:V39" si="13">IFERROR(VLOOKUP(G2,MONTE24,5,FALSE),"")</f>
        <v/>
      </c>
      <c r="W2" s="1486">
        <v>1800000</v>
      </c>
      <c r="X2" s="1487" t="e">
        <f t="shared" ref="X2:X129" si="14">Z2-Y2</f>
        <v>#VALUE!</v>
      </c>
      <c r="Y2" s="1485" t="str">
        <f>IFERROR(VLOOKUP(G2,'MON2'!MONTENALIM,5,FALSE),"")</f>
        <v/>
      </c>
      <c r="Z2" s="1488">
        <f>IFERROR(VLOOKUP(G2,'MON2'!MONTEFC,5,FALSE),"")</f>
        <v>0</v>
      </c>
      <c r="AA2" s="1489"/>
      <c r="AB2" s="1485"/>
      <c r="AC2" s="1491">
        <f t="shared" ref="AC2:AC39" si="15">I2+P2+W2</f>
        <v>3600000</v>
      </c>
      <c r="AD2" s="1487">
        <f t="shared" ref="AD2:AD33" si="16">IFERROR(VLOOKUP(G2,trim2024,2,FALSE),"0")</f>
        <v>4466220.6100000003</v>
      </c>
      <c r="AE2" s="1485" t="e">
        <f t="shared" ref="AE2:AE129" si="17">AG2-AF2</f>
        <v>#VALUE!</v>
      </c>
      <c r="AF2" s="1485" t="e">
        <f t="shared" ref="AF2:AG2" si="18">Y2+R2+K2</f>
        <v>#VALUE!</v>
      </c>
      <c r="AG2" s="1485">
        <f t="shared" si="18"/>
        <v>0</v>
      </c>
      <c r="AH2" s="1485">
        <f t="shared" ref="AH2:AH129" si="19">AG2-AD2</f>
        <v>-4466220.6100000003</v>
      </c>
      <c r="AI2" s="1492">
        <f t="shared" ref="AI2:AI129" si="20">IFERROR(AG2/AD2,"")</f>
        <v>0</v>
      </c>
      <c r="AJ2" s="1493" t="str">
        <f t="shared" ref="AJ2:AJ39" si="21">IFERROR(VLOOKUP(G2,MONTE24,6,FALSE),"")</f>
        <v/>
      </c>
      <c r="AK2" s="1494" t="e">
        <f t="shared" ref="AK2:AK129" si="22">AM2-AL2</f>
        <v>#VALUE!</v>
      </c>
      <c r="AL2" s="1495" t="str">
        <f>IFERROR(VLOOKUP(G2,'MON2'!MONTENALIM,6,FALSE),"")</f>
        <v/>
      </c>
      <c r="AM2" s="1496">
        <f>IFERROR(VLOOKUP(G2,'MON2'!MONTEFC,6,FALSE),"")</f>
        <v>0</v>
      </c>
      <c r="AN2" s="1493"/>
      <c r="AO2" s="1494" t="e">
        <f t="shared" ref="AO2:AO129" si="23">AQ2-AP2</f>
        <v>#VALUE!</v>
      </c>
      <c r="AP2" s="1497" t="str">
        <f>IFERROR(VLOOKUP(G2,'MON2'!MONTENALIM,7,FALSE),"")</f>
        <v/>
      </c>
      <c r="AQ2" s="1498">
        <f>IFERROR(VLOOKUP(G2,'MON2'!MONTEFC,7,FALSE),"")</f>
        <v>248435.59</v>
      </c>
      <c r="AR2" s="1495"/>
      <c r="AS2" s="1495" t="e">
        <f t="shared" ref="AS2:AS129" si="24">AU2-AT2</f>
        <v>#VALUE!</v>
      </c>
      <c r="AT2" s="1495" t="str">
        <f>IFERROR(VLOOKUP(G2,'MON2'!MONTENALIM,8,FALSE),"")</f>
        <v/>
      </c>
      <c r="AU2" s="1493">
        <f>IFERROR(VLOOKUP(G2,'MON2'!MONTEFC,8,FALSE),"")</f>
        <v>0</v>
      </c>
      <c r="AV2" s="1499" t="e">
        <f t="shared" ref="AV2:AX2" si="25">SUM(AS2,AO2,AK2)</f>
        <v>#VALUE!</v>
      </c>
      <c r="AW2" s="1500">
        <f t="shared" si="25"/>
        <v>0</v>
      </c>
      <c r="AX2" s="1501">
        <f t="shared" si="25"/>
        <v>248435.59</v>
      </c>
      <c r="AY2" s="1502" t="e">
        <f t="shared" ref="AY2:BA2" si="26">SUM(AV2,AE2)</f>
        <v>#VALUE!</v>
      </c>
      <c r="AZ2" s="1500" t="e">
        <f t="shared" si="26"/>
        <v>#VALUE!</v>
      </c>
      <c r="BA2" s="1503">
        <f t="shared" si="26"/>
        <v>248435.59</v>
      </c>
      <c r="BB2" s="1493" t="str">
        <f t="shared" ref="BB2:BB33" si="27">IFERROR(VLOOKUP(G2,MONTE24,9,FALSE),"")</f>
        <v/>
      </c>
      <c r="BC2" s="1504" t="e">
        <f t="shared" ref="BC2:BC129" si="28">BE2-BD2</f>
        <v>#VALUE!</v>
      </c>
      <c r="BD2" s="1497" t="str">
        <f>IFERROR(VLOOKUP(G2,'MON2'!MONTENALIM,9,FALSE),"")</f>
        <v/>
      </c>
      <c r="BE2" s="1505">
        <f>IFERROR(VLOOKUP(G2,'MON2'!MONTEFC,9,FALSE),"")</f>
        <v>521918.61</v>
      </c>
      <c r="BF2" s="1495" t="str">
        <f t="shared" ref="BF2:BF33" si="29">IFERROR(VLOOKUP(G2,MONTE24,10,FALSE),"")</f>
        <v/>
      </c>
      <c r="BG2" s="1497" t="str">
        <f t="shared" ref="BG2:BG33" si="30">IFERROR(VLOOKUP(G2,MONTE24,11,FALSE),"")</f>
        <v/>
      </c>
      <c r="BH2" s="1497" t="str">
        <f t="shared" ref="BH2:BH33" si="31">IFERROR(VLOOKUP(G2,MONTE24,12,FALSE),"")</f>
        <v/>
      </c>
      <c r="BI2" s="1497" t="str">
        <f t="shared" ref="BI2:BI33" si="32">IFERROR(VLOOKUP(G2,MONTE24,13,FALSE),"")</f>
        <v/>
      </c>
      <c r="BJ2" s="1497" t="str">
        <f t="shared" ref="BJ2:BJ33" si="33">IFERROR(VLOOKUP(G2,MONTE24,14,FALSE),"")</f>
        <v/>
      </c>
      <c r="BM2" s="1506"/>
      <c r="BN2" s="1507"/>
      <c r="BO2" s="1507"/>
      <c r="BP2" s="1507"/>
      <c r="BQ2" s="1507"/>
      <c r="BR2" s="1507"/>
      <c r="BS2" s="1508"/>
      <c r="BT2" s="1509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</row>
    <row r="3" spans="1:97" ht="13">
      <c r="A3" s="1481" t="str">
        <f t="shared" si="0"/>
        <v>ROTELA/PECH</v>
      </c>
      <c r="B3" s="1467">
        <f t="shared" si="1"/>
        <v>112013925</v>
      </c>
      <c r="C3" s="1510">
        <f t="shared" si="2"/>
        <v>10</v>
      </c>
      <c r="D3" s="1511">
        <f t="shared" si="3"/>
        <v>0.15</v>
      </c>
      <c r="E3" s="1511">
        <f t="shared" si="4"/>
        <v>0.23</v>
      </c>
      <c r="F3" s="1511">
        <f t="shared" si="5"/>
        <v>0</v>
      </c>
      <c r="G3" s="1467" t="s">
        <v>1338</v>
      </c>
      <c r="H3" s="331"/>
      <c r="I3" s="1512"/>
      <c r="J3" s="156">
        <f t="shared" si="6"/>
        <v>0</v>
      </c>
      <c r="K3" s="331">
        <f>IFERROR(VLOOKUP(G3,'MON2'!MONTENALIM,3,FALSE),"")</f>
        <v>0</v>
      </c>
      <c r="L3" s="1513">
        <f>IFERROR(VLOOKUP(G3,'MON2'!MONTEFC,3,FALSE),"")</f>
        <v>0</v>
      </c>
      <c r="M3" s="1514">
        <f t="shared" si="7"/>
        <v>0</v>
      </c>
      <c r="N3" s="234" t="e">
        <f t="shared" si="8"/>
        <v>#DIV/0!</v>
      </c>
      <c r="O3" s="331" t="str">
        <f t="shared" si="9"/>
        <v/>
      </c>
      <c r="P3" s="331">
        <v>1800000</v>
      </c>
      <c r="Q3" s="1515">
        <f t="shared" si="10"/>
        <v>0</v>
      </c>
      <c r="R3" s="331">
        <f>IFERROR(VLOOKUP(G3,'MON2'!MONTENALIM,4,FALSE),"")</f>
        <v>0</v>
      </c>
      <c r="S3" s="331">
        <f>IFERROR(VLOOKUP(G3,'MON2'!MONTEFC,4,FALSE),"")</f>
        <v>0</v>
      </c>
      <c r="T3" s="331">
        <f t="shared" si="11"/>
        <v>-1800000</v>
      </c>
      <c r="U3" s="234">
        <f t="shared" si="12"/>
        <v>0</v>
      </c>
      <c r="V3" s="331" t="str">
        <f t="shared" si="13"/>
        <v/>
      </c>
      <c r="W3" s="1512">
        <v>1800000</v>
      </c>
      <c r="X3" s="1516">
        <f t="shared" si="14"/>
        <v>0</v>
      </c>
      <c r="Y3" s="1515">
        <f>IFERROR(VLOOKUP(G3,'MON2'!MONTENALIM,5,FALSE),"")</f>
        <v>0</v>
      </c>
      <c r="Z3" s="1517">
        <f>IFERROR(VLOOKUP(G3,'MON2'!MONTEFC,5,FALSE),"")</f>
        <v>0</v>
      </c>
      <c r="AA3" s="1514"/>
      <c r="AB3" s="331"/>
      <c r="AC3" s="1518">
        <f t="shared" si="15"/>
        <v>3600000</v>
      </c>
      <c r="AD3" s="156">
        <f t="shared" si="16"/>
        <v>242878.6</v>
      </c>
      <c r="AE3" s="331">
        <f t="shared" si="17"/>
        <v>0</v>
      </c>
      <c r="AF3" s="331">
        <f t="shared" ref="AF3:AG3" si="34">Y3+R3+K3</f>
        <v>0</v>
      </c>
      <c r="AG3" s="331">
        <f t="shared" si="34"/>
        <v>0</v>
      </c>
      <c r="AH3" s="331">
        <f t="shared" si="19"/>
        <v>-242878.6</v>
      </c>
      <c r="AI3" s="1519">
        <f t="shared" si="20"/>
        <v>0</v>
      </c>
      <c r="AJ3" s="1520" t="str">
        <f t="shared" si="21"/>
        <v/>
      </c>
      <c r="AK3" s="156">
        <f t="shared" si="22"/>
        <v>0</v>
      </c>
      <c r="AL3" s="1514">
        <f>IFERROR(VLOOKUP(G3,'MON2'!MONTENALIM,6,FALSE),"")</f>
        <v>0</v>
      </c>
      <c r="AM3" s="1521">
        <f>IFERROR(VLOOKUP(G3,'MON2'!MONTEFC,6,FALSE),"")</f>
        <v>0</v>
      </c>
      <c r="AN3" s="1520"/>
      <c r="AO3" s="156">
        <f t="shared" si="23"/>
        <v>0</v>
      </c>
      <c r="AP3" s="331">
        <f>IFERROR(VLOOKUP(G3,'MON2'!MONTENALIM,7,FALSE),"")</f>
        <v>0</v>
      </c>
      <c r="AQ3" s="1513">
        <f>IFERROR(VLOOKUP(G3,'MON2'!MONTEFC,7,FALSE),"")</f>
        <v>0</v>
      </c>
      <c r="AR3" s="1514"/>
      <c r="AS3" s="1514">
        <f t="shared" si="24"/>
        <v>0</v>
      </c>
      <c r="AT3" s="1514">
        <f>IFERROR(VLOOKUP(G3,'MON2'!MONTENALIM,8,FALSE),"")</f>
        <v>0</v>
      </c>
      <c r="AU3" s="1520">
        <f>IFERROR(VLOOKUP(G3,'MON2'!MONTEFC,8,FALSE),"")</f>
        <v>0</v>
      </c>
      <c r="AV3" s="1522">
        <f t="shared" ref="AV3:AX3" si="35">SUM(AS3,AO3,AK3)</f>
        <v>0</v>
      </c>
      <c r="AW3" s="331">
        <f t="shared" si="35"/>
        <v>0</v>
      </c>
      <c r="AX3" s="1512">
        <f t="shared" si="35"/>
        <v>0</v>
      </c>
      <c r="AY3" s="156">
        <f t="shared" ref="AY3:BA3" si="36">SUM(AV3,AE3)</f>
        <v>0</v>
      </c>
      <c r="AZ3" s="331">
        <f t="shared" si="36"/>
        <v>0</v>
      </c>
      <c r="BA3" s="1523">
        <f t="shared" si="36"/>
        <v>0</v>
      </c>
      <c r="BB3" s="1520" t="str">
        <f t="shared" si="27"/>
        <v/>
      </c>
      <c r="BC3" s="1524">
        <f t="shared" si="28"/>
        <v>172565.81</v>
      </c>
      <c r="BD3" s="331">
        <f>IFERROR(VLOOKUP(G3,'MON2'!MONTENALIM,9,FALSE),"")</f>
        <v>12625.94</v>
      </c>
      <c r="BE3" s="1525">
        <f>IFERROR(VLOOKUP(G3,'MON2'!MONTEFC,9,FALSE),"")</f>
        <v>185191.75</v>
      </c>
      <c r="BF3" s="1514" t="str">
        <f t="shared" si="29"/>
        <v/>
      </c>
      <c r="BG3" s="331" t="str">
        <f t="shared" si="30"/>
        <v/>
      </c>
      <c r="BH3" s="331" t="str">
        <f t="shared" si="31"/>
        <v/>
      </c>
      <c r="BI3" s="331" t="str">
        <f t="shared" si="32"/>
        <v/>
      </c>
      <c r="BJ3" s="331" t="str">
        <f t="shared" si="33"/>
        <v/>
      </c>
      <c r="BM3" s="1046">
        <v>0.15</v>
      </c>
      <c r="BN3" s="442">
        <v>21</v>
      </c>
      <c r="BO3" s="442">
        <v>7</v>
      </c>
      <c r="BP3" s="442">
        <v>7</v>
      </c>
      <c r="BQ3" s="442">
        <v>8</v>
      </c>
      <c r="BR3" s="442">
        <v>8</v>
      </c>
      <c r="BS3" s="153">
        <v>22</v>
      </c>
      <c r="BT3" s="1526">
        <v>21</v>
      </c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</row>
    <row r="4" spans="1:97" ht="13">
      <c r="A4" s="1481" t="str">
        <f t="shared" si="0"/>
        <v>ROTELA/PECH</v>
      </c>
      <c r="B4" s="1466">
        <f t="shared" si="1"/>
        <v>112013323</v>
      </c>
      <c r="C4" s="1527">
        <f t="shared" si="2"/>
        <v>12</v>
      </c>
      <c r="D4" s="733">
        <f t="shared" si="3"/>
        <v>0.15</v>
      </c>
      <c r="E4" s="733">
        <f t="shared" si="4"/>
        <v>0.09</v>
      </c>
      <c r="F4" s="733">
        <f t="shared" si="5"/>
        <v>0</v>
      </c>
      <c r="G4" s="1466" t="s">
        <v>1340</v>
      </c>
      <c r="H4" s="1497"/>
      <c r="I4" s="1528"/>
      <c r="J4" s="1494" t="e">
        <f t="shared" si="6"/>
        <v>#VALUE!</v>
      </c>
      <c r="K4" s="1497" t="str">
        <f>IFERROR(VLOOKUP(G4,'MON2'!MONTENALIM,3,FALSE),"")</f>
        <v/>
      </c>
      <c r="L4" s="1498" t="str">
        <f>IFERROR(VLOOKUP(G4,'MON2'!MONTEFC,3,FALSE),"")</f>
        <v/>
      </c>
      <c r="M4" s="1495" t="e">
        <f t="shared" si="7"/>
        <v>#VALUE!</v>
      </c>
      <c r="N4" s="1529" t="e">
        <f t="shared" si="8"/>
        <v>#VALUE!</v>
      </c>
      <c r="O4" s="1497" t="str">
        <f t="shared" si="9"/>
        <v/>
      </c>
      <c r="P4" s="1497">
        <v>1800000</v>
      </c>
      <c r="Q4" s="1485" t="e">
        <f t="shared" si="10"/>
        <v>#VALUE!</v>
      </c>
      <c r="R4" s="1497" t="str">
        <f>IFERROR(VLOOKUP(G4,'MON2'!MONTENALIM,4,FALSE),"")</f>
        <v/>
      </c>
      <c r="S4" s="1497" t="str">
        <f>IFERROR(VLOOKUP(G4,'MON2'!MONTEFC,4,FALSE),"")</f>
        <v/>
      </c>
      <c r="T4" s="1497" t="e">
        <f t="shared" si="11"/>
        <v>#VALUE!</v>
      </c>
      <c r="U4" s="1529" t="e">
        <f t="shared" si="12"/>
        <v>#VALUE!</v>
      </c>
      <c r="V4" s="1497" t="str">
        <f t="shared" si="13"/>
        <v/>
      </c>
      <c r="W4" s="1528">
        <v>1800000</v>
      </c>
      <c r="X4" s="1487" t="e">
        <f t="shared" si="14"/>
        <v>#VALUE!</v>
      </c>
      <c r="Y4" s="1485" t="str">
        <f>IFERROR(VLOOKUP(G4,'MON2'!MONTENALIM,5,FALSE),"")</f>
        <v/>
      </c>
      <c r="Z4" s="1488" t="str">
        <f>IFERROR(VLOOKUP(G4,'MON2'!MONTEFC,5,FALSE),"")</f>
        <v/>
      </c>
      <c r="AA4" s="1495"/>
      <c r="AB4" s="1497"/>
      <c r="AC4" s="1530">
        <f t="shared" si="15"/>
        <v>3600000</v>
      </c>
      <c r="AD4" s="1494">
        <f t="shared" si="16"/>
        <v>1414075.01</v>
      </c>
      <c r="AE4" s="1497" t="e">
        <f t="shared" si="17"/>
        <v>#VALUE!</v>
      </c>
      <c r="AF4" s="1497" t="e">
        <f t="shared" ref="AF4:AG4" si="37">Y4+R4+K4</f>
        <v>#VALUE!</v>
      </c>
      <c r="AG4" s="1497" t="e">
        <f t="shared" si="37"/>
        <v>#VALUE!</v>
      </c>
      <c r="AH4" s="1497" t="e">
        <f t="shared" si="19"/>
        <v>#VALUE!</v>
      </c>
      <c r="AI4" s="1531" t="str">
        <f t="shared" si="20"/>
        <v/>
      </c>
      <c r="AJ4" s="1493" t="str">
        <f t="shared" si="21"/>
        <v/>
      </c>
      <c r="AK4" s="1494" t="e">
        <f t="shared" si="22"/>
        <v>#VALUE!</v>
      </c>
      <c r="AL4" s="1495" t="str">
        <f>IFERROR(VLOOKUP(G4,'MON2'!MONTENALIM,6,FALSE),"")</f>
        <v/>
      </c>
      <c r="AM4" s="1496" t="str">
        <f>IFERROR(VLOOKUP(G4,'MON2'!MONTEFC,6,FALSE),"")</f>
        <v/>
      </c>
      <c r="AN4" s="1493"/>
      <c r="AO4" s="1494" t="e">
        <f t="shared" si="23"/>
        <v>#VALUE!</v>
      </c>
      <c r="AP4" s="1497" t="str">
        <f>IFERROR(VLOOKUP(G4,'MON2'!MONTENALIM,7,FALSE),"")</f>
        <v/>
      </c>
      <c r="AQ4" s="1498" t="str">
        <f>IFERROR(VLOOKUP(G4,'MON2'!MONTEFC,7,FALSE),"")</f>
        <v/>
      </c>
      <c r="AR4" s="1495"/>
      <c r="AS4" s="1495" t="e">
        <f t="shared" si="24"/>
        <v>#VALUE!</v>
      </c>
      <c r="AT4" s="1495" t="str">
        <f>IFERROR(VLOOKUP(G4,'MON2'!MONTENALIM,8,FALSE),"")</f>
        <v/>
      </c>
      <c r="AU4" s="1493" t="str">
        <f>IFERROR(VLOOKUP(G4,'MON2'!MONTEFC,8,FALSE),"")</f>
        <v/>
      </c>
      <c r="AV4" s="1532" t="e">
        <f t="shared" ref="AV4:AX4" si="38">SUM(AS4,AO4,AK4)</f>
        <v>#VALUE!</v>
      </c>
      <c r="AW4" s="1497">
        <f t="shared" si="38"/>
        <v>0</v>
      </c>
      <c r="AX4" s="1528">
        <f t="shared" si="38"/>
        <v>0</v>
      </c>
      <c r="AY4" s="1494" t="e">
        <f t="shared" ref="AY4:BA4" si="39">SUM(AV4,AE4)</f>
        <v>#VALUE!</v>
      </c>
      <c r="AZ4" s="1497" t="e">
        <f t="shared" si="39"/>
        <v>#VALUE!</v>
      </c>
      <c r="BA4" s="1533" t="e">
        <f t="shared" si="39"/>
        <v>#VALUE!</v>
      </c>
      <c r="BB4" s="1493" t="str">
        <f t="shared" si="27"/>
        <v/>
      </c>
      <c r="BC4" s="1504" t="e">
        <f t="shared" si="28"/>
        <v>#VALUE!</v>
      </c>
      <c r="BD4" s="1497" t="str">
        <f>IFERROR(VLOOKUP(G4,'MON2'!MONTENALIM,9,FALSE),"")</f>
        <v/>
      </c>
      <c r="BE4" s="1505" t="str">
        <f>IFERROR(VLOOKUP(G4,'MON2'!MONTEFC,9,FALSE),"")</f>
        <v/>
      </c>
      <c r="BF4" s="1495" t="str">
        <f t="shared" si="29"/>
        <v/>
      </c>
      <c r="BG4" s="1497" t="str">
        <f t="shared" si="30"/>
        <v/>
      </c>
      <c r="BH4" s="1497" t="str">
        <f t="shared" si="31"/>
        <v/>
      </c>
      <c r="BI4" s="1497" t="str">
        <f t="shared" si="32"/>
        <v/>
      </c>
      <c r="BJ4" s="1497" t="str">
        <f t="shared" si="33"/>
        <v/>
      </c>
      <c r="BM4" s="1049">
        <v>0.12</v>
      </c>
      <c r="BN4" s="442"/>
      <c r="BO4" s="442">
        <v>0</v>
      </c>
      <c r="BP4" s="442">
        <v>0</v>
      </c>
      <c r="BQ4" s="442"/>
      <c r="BR4" s="442"/>
      <c r="BS4" s="153"/>
      <c r="BT4" s="152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</row>
    <row r="5" spans="1:97" ht="13">
      <c r="A5" s="1481" t="str">
        <f t="shared" si="0"/>
        <v>ROTELA/PECH</v>
      </c>
      <c r="B5" s="1467">
        <f t="shared" si="1"/>
        <v>112012353</v>
      </c>
      <c r="C5" s="1510">
        <f t="shared" si="2"/>
        <v>12</v>
      </c>
      <c r="D5" s="1511">
        <f t="shared" si="3"/>
        <v>0.15</v>
      </c>
      <c r="E5" s="1511">
        <f t="shared" si="4"/>
        <v>0.09</v>
      </c>
      <c r="F5" s="1511">
        <f t="shared" si="5"/>
        <v>0</v>
      </c>
      <c r="G5" s="1467" t="s">
        <v>1269</v>
      </c>
      <c r="H5" s="331"/>
      <c r="I5" s="1512"/>
      <c r="J5" s="156">
        <f t="shared" si="6"/>
        <v>0</v>
      </c>
      <c r="K5" s="331">
        <f>IFERROR(VLOOKUP(G5,'MON2'!MONTENALIM,3,FALSE),"")</f>
        <v>0</v>
      </c>
      <c r="L5" s="1513">
        <f>IFERROR(VLOOKUP(G5,'MON2'!MONTEFC,3,FALSE),"")</f>
        <v>0</v>
      </c>
      <c r="M5" s="1514">
        <f t="shared" si="7"/>
        <v>0</v>
      </c>
      <c r="N5" s="234" t="e">
        <f t="shared" si="8"/>
        <v>#DIV/0!</v>
      </c>
      <c r="O5" s="331" t="str">
        <f t="shared" si="9"/>
        <v/>
      </c>
      <c r="P5" s="331">
        <v>1800000</v>
      </c>
      <c r="Q5" s="1515">
        <f t="shared" si="10"/>
        <v>0</v>
      </c>
      <c r="R5" s="331">
        <f>IFERROR(VLOOKUP(G5,'MON2'!MONTENALIM,4,FALSE),"")</f>
        <v>0</v>
      </c>
      <c r="S5" s="331">
        <f>IFERROR(VLOOKUP(G5,'MON2'!MONTEFC,4,FALSE),"")</f>
        <v>0</v>
      </c>
      <c r="T5" s="331">
        <f t="shared" si="11"/>
        <v>-1800000</v>
      </c>
      <c r="U5" s="234">
        <f t="shared" si="12"/>
        <v>0</v>
      </c>
      <c r="V5" s="331" t="str">
        <f t="shared" si="13"/>
        <v/>
      </c>
      <c r="W5" s="1512">
        <v>1800000</v>
      </c>
      <c r="X5" s="1516">
        <f t="shared" si="14"/>
        <v>0</v>
      </c>
      <c r="Y5" s="1515">
        <f>IFERROR(VLOOKUP(G5,'MON2'!MONTENALIM,5,FALSE),"")</f>
        <v>0</v>
      </c>
      <c r="Z5" s="1517">
        <f>IFERROR(VLOOKUP(G5,'MON2'!MONTEFC,5,FALSE),"")</f>
        <v>0</v>
      </c>
      <c r="AA5" s="1514"/>
      <c r="AB5" s="331"/>
      <c r="AC5" s="1518">
        <f t="shared" si="15"/>
        <v>3600000</v>
      </c>
      <c r="AD5" s="156">
        <f t="shared" si="16"/>
        <v>5036311.5599999996</v>
      </c>
      <c r="AE5" s="331">
        <f t="shared" si="17"/>
        <v>0</v>
      </c>
      <c r="AF5" s="331">
        <f t="shared" ref="AF5:AG5" si="40">Y5+R5+K5</f>
        <v>0</v>
      </c>
      <c r="AG5" s="331">
        <f t="shared" si="40"/>
        <v>0</v>
      </c>
      <c r="AH5" s="331">
        <f t="shared" si="19"/>
        <v>-5036311.5599999996</v>
      </c>
      <c r="AI5" s="1519">
        <f t="shared" si="20"/>
        <v>0</v>
      </c>
      <c r="AJ5" s="1520" t="str">
        <f t="shared" si="21"/>
        <v/>
      </c>
      <c r="AK5" s="156">
        <f t="shared" si="22"/>
        <v>0</v>
      </c>
      <c r="AL5" s="1514">
        <f>IFERROR(VLOOKUP(G5,'MON2'!MONTENALIM,6,FALSE),"")</f>
        <v>0</v>
      </c>
      <c r="AM5" s="1521">
        <f>IFERROR(VLOOKUP(G5,'MON2'!MONTEFC,6,FALSE),"")</f>
        <v>0</v>
      </c>
      <c r="AN5" s="1520"/>
      <c r="AO5" s="156">
        <f t="shared" si="23"/>
        <v>0</v>
      </c>
      <c r="AP5" s="331">
        <f>IFERROR(VLOOKUP(G5,'MON2'!MONTENALIM,7,FALSE),"")</f>
        <v>0</v>
      </c>
      <c r="AQ5" s="1513">
        <f>IFERROR(VLOOKUP(G5,'MON2'!MONTEFC,7,FALSE),"")</f>
        <v>0</v>
      </c>
      <c r="AR5" s="1514"/>
      <c r="AS5" s="1514">
        <f t="shared" si="24"/>
        <v>651728.27</v>
      </c>
      <c r="AT5" s="1514">
        <f>IFERROR(VLOOKUP(G5,'MON2'!MONTENALIM,8,FALSE),"")</f>
        <v>351662.91</v>
      </c>
      <c r="AU5" s="1520">
        <f>IFERROR(VLOOKUP(G5,'MON2'!MONTEFC,8,FALSE),"")</f>
        <v>1003391.18</v>
      </c>
      <c r="AV5" s="1522">
        <f t="shared" ref="AV5:AX5" si="41">SUM(AS5,AO5,AK5)</f>
        <v>651728.27</v>
      </c>
      <c r="AW5" s="331">
        <f t="shared" si="41"/>
        <v>351662.91</v>
      </c>
      <c r="AX5" s="1512">
        <f t="shared" si="41"/>
        <v>1003391.18</v>
      </c>
      <c r="AY5" s="156">
        <f t="shared" ref="AY5:BA5" si="42">SUM(AV5,AE5)</f>
        <v>651728.27</v>
      </c>
      <c r="AZ5" s="331">
        <f t="shared" si="42"/>
        <v>351662.91</v>
      </c>
      <c r="BA5" s="1523">
        <f t="shared" si="42"/>
        <v>1003391.18</v>
      </c>
      <c r="BB5" s="1520" t="str">
        <f t="shared" si="27"/>
        <v/>
      </c>
      <c r="BC5" s="1524">
        <f t="shared" si="28"/>
        <v>376923.33000000007</v>
      </c>
      <c r="BD5" s="331">
        <f>IFERROR(VLOOKUP(G5,'MON2'!MONTENALIM,9,FALSE),"")</f>
        <v>164785.96</v>
      </c>
      <c r="BE5" s="1525">
        <f>IFERROR(VLOOKUP(G5,'MON2'!MONTEFC,9,FALSE),"")</f>
        <v>541709.29</v>
      </c>
      <c r="BF5" s="1514" t="str">
        <f t="shared" si="29"/>
        <v/>
      </c>
      <c r="BG5" s="331" t="str">
        <f t="shared" si="30"/>
        <v/>
      </c>
      <c r="BH5" s="331" t="str">
        <f t="shared" si="31"/>
        <v/>
      </c>
      <c r="BI5" s="331" t="str">
        <f t="shared" si="32"/>
        <v/>
      </c>
      <c r="BJ5" s="331" t="str">
        <f t="shared" si="33"/>
        <v/>
      </c>
      <c r="BM5" s="1050">
        <v>0.1</v>
      </c>
      <c r="BN5" s="442">
        <v>59</v>
      </c>
      <c r="BO5" s="442">
        <v>42</v>
      </c>
      <c r="BP5" s="442">
        <v>42</v>
      </c>
      <c r="BQ5" s="442">
        <v>39</v>
      </c>
      <c r="BR5" s="442">
        <v>39</v>
      </c>
      <c r="BS5" s="153">
        <v>59</v>
      </c>
      <c r="BT5" s="1526">
        <v>59</v>
      </c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  <c r="CR5" s="136"/>
      <c r="CS5" s="136"/>
    </row>
    <row r="6" spans="1:97" ht="13">
      <c r="A6" s="1481" t="str">
        <f t="shared" si="0"/>
        <v>ROTELA/PECH</v>
      </c>
      <c r="B6" s="1466">
        <f t="shared" si="1"/>
        <v>112010407</v>
      </c>
      <c r="C6" s="1527">
        <f t="shared" si="2"/>
        <v>11</v>
      </c>
      <c r="D6" s="733">
        <f t="shared" si="3"/>
        <v>0.15</v>
      </c>
      <c r="E6" s="733">
        <f t="shared" si="4"/>
        <v>0.2</v>
      </c>
      <c r="F6" s="733">
        <f t="shared" si="5"/>
        <v>0</v>
      </c>
      <c r="G6" s="1466" t="s">
        <v>1332</v>
      </c>
      <c r="H6" s="1497"/>
      <c r="I6" s="1528"/>
      <c r="J6" s="1494" t="e">
        <f t="shared" si="6"/>
        <v>#VALUE!</v>
      </c>
      <c r="K6" s="1497" t="str">
        <f>IFERROR(VLOOKUP(G6,'MON2'!MONTENALIM,3,FALSE),"")</f>
        <v/>
      </c>
      <c r="L6" s="1498">
        <f>IFERROR(VLOOKUP(G6,'MON2'!MONTEFC,3,FALSE),"")</f>
        <v>0</v>
      </c>
      <c r="M6" s="1495">
        <f t="shared" si="7"/>
        <v>0</v>
      </c>
      <c r="N6" s="1529" t="e">
        <f t="shared" si="8"/>
        <v>#DIV/0!</v>
      </c>
      <c r="O6" s="1497" t="str">
        <f t="shared" si="9"/>
        <v/>
      </c>
      <c r="P6" s="1497">
        <v>1800000</v>
      </c>
      <c r="Q6" s="1485" t="e">
        <f t="shared" si="10"/>
        <v>#VALUE!</v>
      </c>
      <c r="R6" s="1497" t="str">
        <f>IFERROR(VLOOKUP(G6,'MON2'!MONTENALIM,4,FALSE),"")</f>
        <v/>
      </c>
      <c r="S6" s="1497">
        <f>IFERROR(VLOOKUP(G6,'MON2'!MONTEFC,4,FALSE),"")</f>
        <v>0</v>
      </c>
      <c r="T6" s="1497">
        <f t="shared" si="11"/>
        <v>-1800000</v>
      </c>
      <c r="U6" s="1529">
        <f t="shared" si="12"/>
        <v>0</v>
      </c>
      <c r="V6" s="1497" t="str">
        <f t="shared" si="13"/>
        <v/>
      </c>
      <c r="W6" s="1528">
        <v>1800000</v>
      </c>
      <c r="X6" s="1487" t="e">
        <f t="shared" si="14"/>
        <v>#VALUE!</v>
      </c>
      <c r="Y6" s="1485" t="str">
        <f>IFERROR(VLOOKUP(G6,'MON2'!MONTENALIM,5,FALSE),"")</f>
        <v/>
      </c>
      <c r="Z6" s="1488">
        <f>IFERROR(VLOOKUP(G6,'MON2'!MONTEFC,5,FALSE),"")</f>
        <v>0</v>
      </c>
      <c r="AA6" s="1495"/>
      <c r="AB6" s="1497"/>
      <c r="AC6" s="1530">
        <f t="shared" si="15"/>
        <v>3600000</v>
      </c>
      <c r="AD6" s="1494">
        <f t="shared" si="16"/>
        <v>7114373.5099999998</v>
      </c>
      <c r="AE6" s="1497" t="e">
        <f t="shared" si="17"/>
        <v>#VALUE!</v>
      </c>
      <c r="AF6" s="1497" t="e">
        <f t="shared" ref="AF6:AG6" si="43">Y6+R6+K6</f>
        <v>#VALUE!</v>
      </c>
      <c r="AG6" s="1497">
        <f t="shared" si="43"/>
        <v>0</v>
      </c>
      <c r="AH6" s="1497">
        <f t="shared" si="19"/>
        <v>-7114373.5099999998</v>
      </c>
      <c r="AI6" s="1531">
        <f t="shared" si="20"/>
        <v>0</v>
      </c>
      <c r="AJ6" s="1493" t="str">
        <f t="shared" si="21"/>
        <v/>
      </c>
      <c r="AK6" s="1494" t="e">
        <f t="shared" si="22"/>
        <v>#VALUE!</v>
      </c>
      <c r="AL6" s="1495" t="str">
        <f>IFERROR(VLOOKUP(G6,'MON2'!MONTENALIM,6,FALSE),"")</f>
        <v/>
      </c>
      <c r="AM6" s="1496">
        <f>IFERROR(VLOOKUP(G6,'MON2'!MONTEFC,6,FALSE),"")</f>
        <v>1214112.19</v>
      </c>
      <c r="AN6" s="1493"/>
      <c r="AO6" s="1494" t="e">
        <f t="shared" si="23"/>
        <v>#VALUE!</v>
      </c>
      <c r="AP6" s="1497" t="str">
        <f>IFERROR(VLOOKUP(G6,'MON2'!MONTENALIM,7,FALSE),"")</f>
        <v/>
      </c>
      <c r="AQ6" s="1498">
        <f>IFERROR(VLOOKUP(G6,'MON2'!MONTEFC,7,FALSE),"")</f>
        <v>850913.61</v>
      </c>
      <c r="AR6" s="1495"/>
      <c r="AS6" s="1495" t="e">
        <f t="shared" si="24"/>
        <v>#VALUE!</v>
      </c>
      <c r="AT6" s="1495" t="str">
        <f>IFERROR(VLOOKUP(G6,'MON2'!MONTENALIM,8,FALSE),"")</f>
        <v/>
      </c>
      <c r="AU6" s="1493">
        <f>IFERROR(VLOOKUP(G6,'MON2'!MONTEFC,8,FALSE),"")</f>
        <v>0</v>
      </c>
      <c r="AV6" s="1532" t="e">
        <f t="shared" ref="AV6:AX6" si="44">SUM(AS6,AO6,AK6)</f>
        <v>#VALUE!</v>
      </c>
      <c r="AW6" s="1497">
        <f t="shared" si="44"/>
        <v>0</v>
      </c>
      <c r="AX6" s="1528">
        <f t="shared" si="44"/>
        <v>2065025.7999999998</v>
      </c>
      <c r="AY6" s="1494" t="e">
        <f t="shared" ref="AY6:BA6" si="45">SUM(AV6,AE6)</f>
        <v>#VALUE!</v>
      </c>
      <c r="AZ6" s="1497" t="e">
        <f t="shared" si="45"/>
        <v>#VALUE!</v>
      </c>
      <c r="BA6" s="1533">
        <f t="shared" si="45"/>
        <v>2065025.7999999998</v>
      </c>
      <c r="BB6" s="1493" t="str">
        <f t="shared" si="27"/>
        <v/>
      </c>
      <c r="BC6" s="1504" t="e">
        <f t="shared" si="28"/>
        <v>#VALUE!</v>
      </c>
      <c r="BD6" s="1497" t="str">
        <f>IFERROR(VLOOKUP(G6,'MON2'!MONTENALIM,9,FALSE),"")</f>
        <v/>
      </c>
      <c r="BE6" s="1505">
        <f>IFERROR(VLOOKUP(G6,'MON2'!MONTEFC,9,FALSE),"")</f>
        <v>358071.13</v>
      </c>
      <c r="BF6" s="1495" t="str">
        <f t="shared" si="29"/>
        <v/>
      </c>
      <c r="BG6" s="1497" t="str">
        <f t="shared" si="30"/>
        <v/>
      </c>
      <c r="BH6" s="1497" t="str">
        <f t="shared" si="31"/>
        <v/>
      </c>
      <c r="BI6" s="1497" t="str">
        <f t="shared" si="32"/>
        <v/>
      </c>
      <c r="BJ6" s="1497" t="str">
        <f t="shared" si="33"/>
        <v/>
      </c>
      <c r="BM6" s="1051">
        <v>0.05</v>
      </c>
      <c r="BN6" s="449">
        <v>8</v>
      </c>
      <c r="BO6" s="449">
        <v>7</v>
      </c>
      <c r="BP6" s="449">
        <v>7</v>
      </c>
      <c r="BQ6" s="449">
        <v>7</v>
      </c>
      <c r="BR6" s="449">
        <v>7</v>
      </c>
      <c r="BS6" s="169">
        <v>8</v>
      </c>
      <c r="BT6" s="1534">
        <v>8</v>
      </c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</row>
    <row r="7" spans="1:97" ht="13">
      <c r="A7" s="1481" t="str">
        <f t="shared" si="0"/>
        <v>ROTELA/PECH</v>
      </c>
      <c r="B7" s="1467">
        <f t="shared" si="1"/>
        <v>112010365</v>
      </c>
      <c r="C7" s="1510">
        <f t="shared" si="2"/>
        <v>12</v>
      </c>
      <c r="D7" s="1511">
        <f t="shared" si="3"/>
        <v>0.15</v>
      </c>
      <c r="E7" s="1511">
        <f t="shared" si="4"/>
        <v>0.09</v>
      </c>
      <c r="F7" s="1511">
        <f t="shared" si="5"/>
        <v>0</v>
      </c>
      <c r="G7" s="1467" t="s">
        <v>1270</v>
      </c>
      <c r="H7" s="331"/>
      <c r="I7" s="1512"/>
      <c r="J7" s="156" t="e">
        <f t="shared" si="6"/>
        <v>#VALUE!</v>
      </c>
      <c r="K7" s="331" t="str">
        <f>IFERROR(VLOOKUP(G7,'MON2'!MONTENALIM,3,FALSE),"")</f>
        <v/>
      </c>
      <c r="L7" s="1513">
        <f>IFERROR(VLOOKUP(G7,'MON2'!MONTEFC,3,FALSE),"")</f>
        <v>0</v>
      </c>
      <c r="M7" s="1514">
        <f t="shared" si="7"/>
        <v>0</v>
      </c>
      <c r="N7" s="234" t="e">
        <f t="shared" si="8"/>
        <v>#DIV/0!</v>
      </c>
      <c r="O7" s="331" t="str">
        <f t="shared" si="9"/>
        <v/>
      </c>
      <c r="P7" s="331">
        <v>1800000</v>
      </c>
      <c r="Q7" s="1515" t="e">
        <f t="shared" si="10"/>
        <v>#VALUE!</v>
      </c>
      <c r="R7" s="331" t="str">
        <f>IFERROR(VLOOKUP(G7,'MON2'!MONTENALIM,4,FALSE),"")</f>
        <v/>
      </c>
      <c r="S7" s="331">
        <f>IFERROR(VLOOKUP(G7,'MON2'!MONTEFC,4,FALSE),"")</f>
        <v>0</v>
      </c>
      <c r="T7" s="331">
        <f t="shared" si="11"/>
        <v>-1800000</v>
      </c>
      <c r="U7" s="234">
        <f t="shared" si="12"/>
        <v>0</v>
      </c>
      <c r="V7" s="331" t="str">
        <f t="shared" si="13"/>
        <v/>
      </c>
      <c r="W7" s="1512">
        <v>1800000</v>
      </c>
      <c r="X7" s="1516" t="e">
        <f t="shared" si="14"/>
        <v>#VALUE!</v>
      </c>
      <c r="Y7" s="1515" t="str">
        <f>IFERROR(VLOOKUP(G7,'MON2'!MONTENALIM,5,FALSE),"")</f>
        <v/>
      </c>
      <c r="Z7" s="1517">
        <f>IFERROR(VLOOKUP(G7,'MON2'!MONTEFC,5,FALSE),"")</f>
        <v>0</v>
      </c>
      <c r="AA7" s="1514"/>
      <c r="AB7" s="331"/>
      <c r="AC7" s="1518">
        <f t="shared" si="15"/>
        <v>3600000</v>
      </c>
      <c r="AD7" s="156">
        <f t="shared" si="16"/>
        <v>5147028.79</v>
      </c>
      <c r="AE7" s="331" t="e">
        <f t="shared" si="17"/>
        <v>#VALUE!</v>
      </c>
      <c r="AF7" s="331" t="e">
        <f t="shared" ref="AF7:AG7" si="46">Y7+R7+K7</f>
        <v>#VALUE!</v>
      </c>
      <c r="AG7" s="331">
        <f t="shared" si="46"/>
        <v>0</v>
      </c>
      <c r="AH7" s="331">
        <f t="shared" si="19"/>
        <v>-5147028.79</v>
      </c>
      <c r="AI7" s="1519">
        <f t="shared" si="20"/>
        <v>0</v>
      </c>
      <c r="AJ7" s="1520" t="str">
        <f t="shared" si="21"/>
        <v/>
      </c>
      <c r="AK7" s="156" t="e">
        <f t="shared" si="22"/>
        <v>#VALUE!</v>
      </c>
      <c r="AL7" s="1514" t="str">
        <f>IFERROR(VLOOKUP(G7,'MON2'!MONTENALIM,6,FALSE),"")</f>
        <v/>
      </c>
      <c r="AM7" s="1521">
        <f>IFERROR(VLOOKUP(G7,'MON2'!MONTEFC,6,FALSE),"")</f>
        <v>0</v>
      </c>
      <c r="AN7" s="1520"/>
      <c r="AO7" s="156" t="e">
        <f t="shared" si="23"/>
        <v>#VALUE!</v>
      </c>
      <c r="AP7" s="331" t="str">
        <f>IFERROR(VLOOKUP(G7,'MON2'!MONTENALIM,7,FALSE),"")</f>
        <v/>
      </c>
      <c r="AQ7" s="1513">
        <f>IFERROR(VLOOKUP(G7,'MON2'!MONTEFC,7,FALSE),"")</f>
        <v>508973.67</v>
      </c>
      <c r="AR7" s="1514"/>
      <c r="AS7" s="1514" t="e">
        <f t="shared" si="24"/>
        <v>#VALUE!</v>
      </c>
      <c r="AT7" s="1514" t="str">
        <f>IFERROR(VLOOKUP(G7,'MON2'!MONTENALIM,8,FALSE),"")</f>
        <v/>
      </c>
      <c r="AU7" s="1520">
        <f>IFERROR(VLOOKUP(G7,'MON2'!MONTEFC,8,FALSE),"")</f>
        <v>1368513.03</v>
      </c>
      <c r="AV7" s="1522" t="e">
        <f t="shared" ref="AV7:AX7" si="47">SUM(AS7,AO7,AK7)</f>
        <v>#VALUE!</v>
      </c>
      <c r="AW7" s="331">
        <f t="shared" si="47"/>
        <v>0</v>
      </c>
      <c r="AX7" s="1512">
        <f t="shared" si="47"/>
        <v>1877486.7</v>
      </c>
      <c r="AY7" s="156" t="e">
        <f t="shared" ref="AY7:BA7" si="48">SUM(AV7,AE7)</f>
        <v>#VALUE!</v>
      </c>
      <c r="AZ7" s="331" t="e">
        <f t="shared" si="48"/>
        <v>#VALUE!</v>
      </c>
      <c r="BA7" s="1523">
        <f t="shared" si="48"/>
        <v>1877486.7</v>
      </c>
      <c r="BB7" s="1520" t="str">
        <f t="shared" si="27"/>
        <v/>
      </c>
      <c r="BC7" s="1524" t="e">
        <f t="shared" si="28"/>
        <v>#VALUE!</v>
      </c>
      <c r="BD7" s="331" t="str">
        <f>IFERROR(VLOOKUP(G7,'MON2'!MONTENALIM,9,FALSE),"")</f>
        <v/>
      </c>
      <c r="BE7" s="1525">
        <f>IFERROR(VLOOKUP(G7,'MON2'!MONTEFC,9,FALSE),"")</f>
        <v>121879.03999999999</v>
      </c>
      <c r="BF7" s="1514" t="str">
        <f t="shared" si="29"/>
        <v/>
      </c>
      <c r="BG7" s="331" t="str">
        <f t="shared" si="30"/>
        <v/>
      </c>
      <c r="BH7" s="331" t="str">
        <f t="shared" si="31"/>
        <v/>
      </c>
      <c r="BI7" s="331" t="str">
        <f t="shared" si="32"/>
        <v/>
      </c>
      <c r="BJ7" s="331" t="str">
        <f t="shared" si="33"/>
        <v/>
      </c>
      <c r="BM7" s="1535" t="s">
        <v>4</v>
      </c>
      <c r="BN7" s="1536">
        <v>40</v>
      </c>
      <c r="BO7" s="1536">
        <v>38</v>
      </c>
      <c r="BP7" s="1536">
        <v>38</v>
      </c>
      <c r="BQ7" s="1536">
        <v>37</v>
      </c>
      <c r="BR7" s="1536">
        <v>37</v>
      </c>
      <c r="BS7" s="1537">
        <v>40</v>
      </c>
      <c r="BT7" s="1538">
        <v>40</v>
      </c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</row>
    <row r="8" spans="1:97" ht="13">
      <c r="A8" s="1481" t="str">
        <f t="shared" si="0"/>
        <v>ROTELA/PECH</v>
      </c>
      <c r="B8" s="1466">
        <f t="shared" si="1"/>
        <v>112011732</v>
      </c>
      <c r="C8" s="1527">
        <f t="shared" si="2"/>
        <v>10</v>
      </c>
      <c r="D8" s="1484">
        <f t="shared" si="3"/>
        <v>0.15</v>
      </c>
      <c r="E8" s="1484">
        <f t="shared" si="4"/>
        <v>0.23</v>
      </c>
      <c r="F8" s="1484">
        <f t="shared" si="5"/>
        <v>0</v>
      </c>
      <c r="G8" s="1482" t="s">
        <v>1264</v>
      </c>
      <c r="H8" s="1485"/>
      <c r="I8" s="1486"/>
      <c r="J8" s="1494">
        <f t="shared" si="6"/>
        <v>0</v>
      </c>
      <c r="K8" s="1497">
        <f>IFERROR(VLOOKUP(G8,'MON2'!MONTENALIM,3,FALSE),"")</f>
        <v>0</v>
      </c>
      <c r="L8" s="1498">
        <f>IFERROR(VLOOKUP(G8,'MON2'!MONTEFC,3,FALSE),"")</f>
        <v>0</v>
      </c>
      <c r="M8" s="1495">
        <f t="shared" si="7"/>
        <v>0</v>
      </c>
      <c r="N8" s="1529" t="e">
        <f t="shared" si="8"/>
        <v>#DIV/0!</v>
      </c>
      <c r="O8" s="1485" t="str">
        <f t="shared" si="9"/>
        <v/>
      </c>
      <c r="P8" s="1485">
        <v>1800000</v>
      </c>
      <c r="Q8" s="1485">
        <f t="shared" si="10"/>
        <v>0</v>
      </c>
      <c r="R8" s="1497">
        <f>IFERROR(VLOOKUP(G8,'MON2'!MONTENALIM,4,FALSE),"")</f>
        <v>0</v>
      </c>
      <c r="S8" s="1497">
        <f>IFERROR(VLOOKUP(G8,'MON2'!MONTEFC,4,FALSE),"")</f>
        <v>0</v>
      </c>
      <c r="T8" s="1497">
        <f t="shared" si="11"/>
        <v>-1800000</v>
      </c>
      <c r="U8" s="1529">
        <f t="shared" si="12"/>
        <v>0</v>
      </c>
      <c r="V8" s="1485" t="str">
        <f t="shared" si="13"/>
        <v/>
      </c>
      <c r="W8" s="1486">
        <v>1800000</v>
      </c>
      <c r="X8" s="1487">
        <f t="shared" si="14"/>
        <v>0</v>
      </c>
      <c r="Y8" s="1485">
        <f>IFERROR(VLOOKUP(G8,'MON2'!MONTENALIM,5,FALSE),"")</f>
        <v>0</v>
      </c>
      <c r="Z8" s="1488">
        <f>IFERROR(VLOOKUP(G8,'MON2'!MONTEFC,5,FALSE),"")</f>
        <v>0</v>
      </c>
      <c r="AA8" s="1489"/>
      <c r="AB8" s="1485"/>
      <c r="AC8" s="1491">
        <f t="shared" si="15"/>
        <v>3600000</v>
      </c>
      <c r="AD8" s="1494">
        <f t="shared" si="16"/>
        <v>2783749.11</v>
      </c>
      <c r="AE8" s="1497">
        <f t="shared" si="17"/>
        <v>0</v>
      </c>
      <c r="AF8" s="1497">
        <f t="shared" ref="AF8:AG8" si="49">Y8+R8+K8</f>
        <v>0</v>
      </c>
      <c r="AG8" s="1497">
        <f t="shared" si="49"/>
        <v>0</v>
      </c>
      <c r="AH8" s="1497">
        <f t="shared" si="19"/>
        <v>-2783749.11</v>
      </c>
      <c r="AI8" s="1531">
        <f t="shared" si="20"/>
        <v>0</v>
      </c>
      <c r="AJ8" s="1493" t="str">
        <f t="shared" si="21"/>
        <v/>
      </c>
      <c r="AK8" s="1494">
        <f t="shared" si="22"/>
        <v>0</v>
      </c>
      <c r="AL8" s="1495">
        <f>IFERROR(VLOOKUP(G8,'MON2'!MONTENALIM,6,FALSE),"")</f>
        <v>0</v>
      </c>
      <c r="AM8" s="1496">
        <f>IFERROR(VLOOKUP(G8,'MON2'!MONTEFC,6,FALSE),"")</f>
        <v>0</v>
      </c>
      <c r="AN8" s="1493"/>
      <c r="AO8" s="1494">
        <f t="shared" si="23"/>
        <v>0</v>
      </c>
      <c r="AP8" s="1497">
        <f>IFERROR(VLOOKUP(G8,'MON2'!MONTENALIM,7,FALSE),"")</f>
        <v>59098.58</v>
      </c>
      <c r="AQ8" s="1498">
        <f>IFERROR(VLOOKUP(G8,'MON2'!MONTEFC,7,FALSE),"")</f>
        <v>59098.58</v>
      </c>
      <c r="AR8" s="1495"/>
      <c r="AS8" s="1495">
        <f t="shared" si="24"/>
        <v>50013.9</v>
      </c>
      <c r="AT8" s="1495">
        <f>IFERROR(VLOOKUP(G8,'MON2'!MONTENALIM,8,FALSE),"")</f>
        <v>0</v>
      </c>
      <c r="AU8" s="1493">
        <f>IFERROR(VLOOKUP(G8,'MON2'!MONTEFC,8,FALSE),"")</f>
        <v>50013.9</v>
      </c>
      <c r="AV8" s="1532">
        <f t="shared" ref="AV8:AX8" si="50">SUM(AS8,AO8,AK8)</f>
        <v>50013.9</v>
      </c>
      <c r="AW8" s="1497">
        <f t="shared" si="50"/>
        <v>59098.58</v>
      </c>
      <c r="AX8" s="1528">
        <f t="shared" si="50"/>
        <v>109112.48000000001</v>
      </c>
      <c r="AY8" s="1494">
        <f t="shared" ref="AY8:BA8" si="51">SUM(AV8,AE8)</f>
        <v>50013.9</v>
      </c>
      <c r="AZ8" s="1497">
        <f t="shared" si="51"/>
        <v>59098.58</v>
      </c>
      <c r="BA8" s="1533">
        <f t="shared" si="51"/>
        <v>109112.48000000001</v>
      </c>
      <c r="BB8" s="1493" t="str">
        <f t="shared" si="27"/>
        <v/>
      </c>
      <c r="BC8" s="1504">
        <f t="shared" si="28"/>
        <v>0</v>
      </c>
      <c r="BD8" s="1497">
        <f>IFERROR(VLOOKUP(G8,'MON2'!MONTENALIM,9,FALSE),"")</f>
        <v>493591.03999999998</v>
      </c>
      <c r="BE8" s="1505">
        <f>IFERROR(VLOOKUP(G8,'MON2'!MONTEFC,9,FALSE),"")</f>
        <v>493591.03999999998</v>
      </c>
      <c r="BF8" s="1495" t="str">
        <f t="shared" si="29"/>
        <v/>
      </c>
      <c r="BG8" s="1497" t="str">
        <f t="shared" si="30"/>
        <v/>
      </c>
      <c r="BH8" s="1497" t="str">
        <f t="shared" si="31"/>
        <v/>
      </c>
      <c r="BI8" s="1497" t="str">
        <f t="shared" si="32"/>
        <v/>
      </c>
      <c r="BJ8" s="1497" t="str">
        <f t="shared" si="33"/>
        <v/>
      </c>
      <c r="BM8" s="1539" t="s">
        <v>17</v>
      </c>
      <c r="BN8" s="1540">
        <f t="shared" ref="BN8:BT8" si="52">SUM(BN2:BN7)</f>
        <v>128</v>
      </c>
      <c r="BO8" s="1540">
        <f t="shared" si="52"/>
        <v>94</v>
      </c>
      <c r="BP8" s="1540">
        <f t="shared" si="52"/>
        <v>94</v>
      </c>
      <c r="BQ8" s="1540">
        <f t="shared" si="52"/>
        <v>91</v>
      </c>
      <c r="BR8" s="1540">
        <f t="shared" si="52"/>
        <v>91</v>
      </c>
      <c r="BS8" s="1541">
        <f t="shared" si="52"/>
        <v>129</v>
      </c>
      <c r="BT8" s="1542">
        <f t="shared" si="52"/>
        <v>128</v>
      </c>
    </row>
    <row r="9" spans="1:97" ht="13">
      <c r="A9" s="1481" t="str">
        <f t="shared" si="0"/>
        <v>ROTELA/PECH</v>
      </c>
      <c r="B9" s="1467">
        <f t="shared" si="1"/>
        <v>112014128</v>
      </c>
      <c r="C9" s="1510">
        <f t="shared" si="2"/>
        <v>31</v>
      </c>
      <c r="D9" s="1511">
        <f t="shared" si="3"/>
        <v>0.1</v>
      </c>
      <c r="E9" s="1511">
        <f t="shared" si="4"/>
        <v>0.23</v>
      </c>
      <c r="F9" s="1511">
        <f t="shared" si="5"/>
        <v>0</v>
      </c>
      <c r="G9" s="1467" t="s">
        <v>1273</v>
      </c>
      <c r="H9" s="331"/>
      <c r="I9" s="1512"/>
      <c r="J9" s="156">
        <f t="shared" si="6"/>
        <v>0</v>
      </c>
      <c r="K9" s="331">
        <f>IFERROR(VLOOKUP(G9,'MON2'!MONTENALIM,3,FALSE),"")</f>
        <v>0</v>
      </c>
      <c r="L9" s="1513">
        <f>IFERROR(VLOOKUP(G9,'MON2'!MONTEFC,3,FALSE),"")</f>
        <v>0</v>
      </c>
      <c r="M9" s="1514">
        <f t="shared" si="7"/>
        <v>0</v>
      </c>
      <c r="N9" s="234" t="e">
        <f t="shared" si="8"/>
        <v>#DIV/0!</v>
      </c>
      <c r="O9" s="1543" t="str">
        <f t="shared" si="9"/>
        <v/>
      </c>
      <c r="P9" s="1543">
        <v>1800000</v>
      </c>
      <c r="Q9" s="1515">
        <f t="shared" si="10"/>
        <v>0</v>
      </c>
      <c r="R9" s="331">
        <f>IFERROR(VLOOKUP(G9,'MON2'!MONTENALIM,4,FALSE),"")</f>
        <v>0</v>
      </c>
      <c r="S9" s="331">
        <f>IFERROR(VLOOKUP(G9,'MON2'!MONTEFC,4,FALSE),"")</f>
        <v>0</v>
      </c>
      <c r="T9" s="331">
        <f t="shared" si="11"/>
        <v>-1800000</v>
      </c>
      <c r="U9" s="234">
        <f t="shared" si="12"/>
        <v>0</v>
      </c>
      <c r="V9" s="1543" t="str">
        <f t="shared" si="13"/>
        <v/>
      </c>
      <c r="W9" s="1544">
        <v>1800000</v>
      </c>
      <c r="X9" s="1516">
        <f t="shared" si="14"/>
        <v>0</v>
      </c>
      <c r="Y9" s="1515">
        <f>IFERROR(VLOOKUP(G9,'MON2'!MONTENALIM,5,FALSE),"")</f>
        <v>0</v>
      </c>
      <c r="Z9" s="1517">
        <f>IFERROR(VLOOKUP(G9,'MON2'!MONTEFC,5,FALSE),"")</f>
        <v>0</v>
      </c>
      <c r="AA9" s="1545"/>
      <c r="AB9" s="1543"/>
      <c r="AC9" s="1546">
        <f t="shared" si="15"/>
        <v>3600000</v>
      </c>
      <c r="AD9" s="156" t="str">
        <f t="shared" si="16"/>
        <v>0</v>
      </c>
      <c r="AE9" s="331">
        <f t="shared" si="17"/>
        <v>0</v>
      </c>
      <c r="AF9" s="331">
        <f t="shared" ref="AF9:AG9" si="53">Y9+R9+K9</f>
        <v>0</v>
      </c>
      <c r="AG9" s="331">
        <f t="shared" si="53"/>
        <v>0</v>
      </c>
      <c r="AH9" s="331">
        <f t="shared" si="19"/>
        <v>0</v>
      </c>
      <c r="AI9" s="1519" t="str">
        <f t="shared" si="20"/>
        <v/>
      </c>
      <c r="AJ9" s="1520" t="str">
        <f t="shared" si="21"/>
        <v/>
      </c>
      <c r="AK9" s="156">
        <f t="shared" si="22"/>
        <v>0</v>
      </c>
      <c r="AL9" s="1514">
        <f>IFERROR(VLOOKUP(G9,'MON2'!MONTENALIM,6,FALSE),"")</f>
        <v>0</v>
      </c>
      <c r="AM9" s="1521">
        <f>IFERROR(VLOOKUP(G9,'MON2'!MONTEFC,6,FALSE),"")</f>
        <v>0</v>
      </c>
      <c r="AN9" s="1520"/>
      <c r="AO9" s="156">
        <f t="shared" si="23"/>
        <v>0</v>
      </c>
      <c r="AP9" s="331">
        <f>IFERROR(VLOOKUP(G9,'MON2'!MONTENALIM,7,FALSE),"")</f>
        <v>1886084.59</v>
      </c>
      <c r="AQ9" s="1513">
        <f>IFERROR(VLOOKUP(G9,'MON2'!MONTEFC,7,FALSE),"")</f>
        <v>1886084.59</v>
      </c>
      <c r="AR9" s="1514"/>
      <c r="AS9" s="1514">
        <f t="shared" si="24"/>
        <v>0</v>
      </c>
      <c r="AT9" s="1514">
        <f>IFERROR(VLOOKUP(G9,'MON2'!MONTENALIM,8,FALSE),"")</f>
        <v>857304.06</v>
      </c>
      <c r="AU9" s="1520">
        <f>IFERROR(VLOOKUP(G9,'MON2'!MONTEFC,8,FALSE),"")</f>
        <v>857304.06</v>
      </c>
      <c r="AV9" s="1522">
        <f t="shared" ref="AV9:AX9" si="54">SUM(AS9,AO9,AK9)</f>
        <v>0</v>
      </c>
      <c r="AW9" s="331">
        <f t="shared" si="54"/>
        <v>2743388.6500000004</v>
      </c>
      <c r="AX9" s="1512">
        <f t="shared" si="54"/>
        <v>2743388.6500000004</v>
      </c>
      <c r="AY9" s="156">
        <f t="shared" ref="AY9:BA9" si="55">SUM(AV9,AE9)</f>
        <v>0</v>
      </c>
      <c r="AZ9" s="331">
        <f t="shared" si="55"/>
        <v>2743388.6500000004</v>
      </c>
      <c r="BA9" s="1523">
        <f t="shared" si="55"/>
        <v>2743388.6500000004</v>
      </c>
      <c r="BB9" s="1520" t="str">
        <f t="shared" si="27"/>
        <v/>
      </c>
      <c r="BC9" s="1524">
        <f t="shared" si="28"/>
        <v>0</v>
      </c>
      <c r="BD9" s="331">
        <f>IFERROR(VLOOKUP(G9,'MON2'!MONTENALIM,9,FALSE),"")</f>
        <v>856908.01</v>
      </c>
      <c r="BE9" s="1525">
        <f>IFERROR(VLOOKUP(G9,'MON2'!MONTEFC,9,FALSE),"")</f>
        <v>856908.01</v>
      </c>
      <c r="BF9" s="1514" t="str">
        <f t="shared" si="29"/>
        <v/>
      </c>
      <c r="BG9" s="331" t="str">
        <f t="shared" si="30"/>
        <v/>
      </c>
      <c r="BH9" s="331" t="str">
        <f t="shared" si="31"/>
        <v/>
      </c>
      <c r="BI9" s="331" t="str">
        <f t="shared" si="32"/>
        <v/>
      </c>
      <c r="BJ9" s="331" t="str">
        <f t="shared" si="33"/>
        <v/>
      </c>
      <c r="BS9" s="455"/>
      <c r="BT9" s="455"/>
      <c r="BU9" s="455"/>
      <c r="BV9" s="455"/>
      <c r="BW9" s="455"/>
      <c r="BX9" s="455"/>
      <c r="BY9" s="455"/>
      <c r="BZ9" s="455"/>
      <c r="CA9" s="455"/>
      <c r="CB9" s="455"/>
      <c r="CC9" s="455"/>
      <c r="CD9" s="455"/>
      <c r="CE9" s="455"/>
      <c r="CF9" s="455"/>
      <c r="CG9" s="455"/>
      <c r="CH9" s="455"/>
      <c r="CI9" s="455"/>
      <c r="CJ9" s="455"/>
      <c r="CK9" s="455"/>
      <c r="CL9" s="455"/>
      <c r="CM9" s="455"/>
      <c r="CN9" s="455"/>
      <c r="CO9" s="455"/>
      <c r="CP9" s="455"/>
      <c r="CQ9" s="455"/>
      <c r="CR9" s="455"/>
      <c r="CS9" s="455"/>
    </row>
    <row r="10" spans="1:97" ht="13">
      <c r="A10" s="1481" t="str">
        <f t="shared" si="0"/>
        <v>ROTELA/PECH</v>
      </c>
      <c r="B10" s="1466">
        <f t="shared" si="1"/>
        <v>112011216</v>
      </c>
      <c r="C10" s="1527">
        <f t="shared" si="2"/>
        <v>22</v>
      </c>
      <c r="D10" s="733">
        <f t="shared" si="3"/>
        <v>0.1</v>
      </c>
      <c r="E10" s="733">
        <f t="shared" si="4"/>
        <v>0.09</v>
      </c>
      <c r="F10" s="733">
        <f t="shared" si="5"/>
        <v>0</v>
      </c>
      <c r="G10" s="1466" t="s">
        <v>1317</v>
      </c>
      <c r="H10" s="1497"/>
      <c r="I10" s="1486"/>
      <c r="J10" s="1494" t="e">
        <f t="shared" si="6"/>
        <v>#VALUE!</v>
      </c>
      <c r="K10" s="1497" t="str">
        <f>IFERROR(VLOOKUP(G10,'MON2'!MONTENALIM,3,FALSE),"")</f>
        <v/>
      </c>
      <c r="L10" s="1498">
        <f>IFERROR(VLOOKUP(G10,'MON2'!MONTEFC,3,FALSE),"")</f>
        <v>0</v>
      </c>
      <c r="M10" s="1495">
        <f t="shared" si="7"/>
        <v>0</v>
      </c>
      <c r="N10" s="1529" t="e">
        <f t="shared" si="8"/>
        <v>#DIV/0!</v>
      </c>
      <c r="O10" s="1497" t="str">
        <f t="shared" si="9"/>
        <v/>
      </c>
      <c r="P10" s="1485">
        <v>1800000</v>
      </c>
      <c r="Q10" s="1485" t="e">
        <f t="shared" si="10"/>
        <v>#VALUE!</v>
      </c>
      <c r="R10" s="1497" t="str">
        <f>IFERROR(VLOOKUP(G10,'MON2'!MONTENALIM,4,FALSE),"")</f>
        <v/>
      </c>
      <c r="S10" s="1497">
        <f>IFERROR(VLOOKUP(G10,'MON2'!MONTEFC,4,FALSE),"")</f>
        <v>0</v>
      </c>
      <c r="T10" s="1497">
        <f t="shared" si="11"/>
        <v>-1800000</v>
      </c>
      <c r="U10" s="1529">
        <f t="shared" si="12"/>
        <v>0</v>
      </c>
      <c r="V10" s="1497" t="str">
        <f t="shared" si="13"/>
        <v/>
      </c>
      <c r="W10" s="1486">
        <v>1800000</v>
      </c>
      <c r="X10" s="1487" t="e">
        <f t="shared" si="14"/>
        <v>#VALUE!</v>
      </c>
      <c r="Y10" s="1485" t="str">
        <f>IFERROR(VLOOKUP(G10,'MON2'!MONTENALIM,5,FALSE),"")</f>
        <v/>
      </c>
      <c r="Z10" s="1488">
        <f>IFERROR(VLOOKUP(G10,'MON2'!MONTEFC,5,FALSE),"")</f>
        <v>0</v>
      </c>
      <c r="AA10" s="1489"/>
      <c r="AB10" s="1485"/>
      <c r="AC10" s="1530">
        <f t="shared" si="15"/>
        <v>3600000</v>
      </c>
      <c r="AD10" s="1494">
        <f t="shared" si="16"/>
        <v>4695995.75</v>
      </c>
      <c r="AE10" s="1497" t="e">
        <f t="shared" si="17"/>
        <v>#VALUE!</v>
      </c>
      <c r="AF10" s="1497" t="e">
        <f t="shared" ref="AF10:AG10" si="56">Y10+R10+K10</f>
        <v>#VALUE!</v>
      </c>
      <c r="AG10" s="1497">
        <f t="shared" si="56"/>
        <v>0</v>
      </c>
      <c r="AH10" s="1497">
        <f t="shared" si="19"/>
        <v>-4695995.75</v>
      </c>
      <c r="AI10" s="1531">
        <f t="shared" si="20"/>
        <v>0</v>
      </c>
      <c r="AJ10" s="1493" t="str">
        <f t="shared" si="21"/>
        <v/>
      </c>
      <c r="AK10" s="1494" t="e">
        <f t="shared" si="22"/>
        <v>#VALUE!</v>
      </c>
      <c r="AL10" s="1495" t="str">
        <f>IFERROR(VLOOKUP(G10,'MON2'!MONTENALIM,6,FALSE),"")</f>
        <v/>
      </c>
      <c r="AM10" s="1496">
        <f>IFERROR(VLOOKUP(G10,'MON2'!MONTEFC,6,FALSE),"")</f>
        <v>0</v>
      </c>
      <c r="AN10" s="1493"/>
      <c r="AO10" s="1494" t="e">
        <f t="shared" si="23"/>
        <v>#VALUE!</v>
      </c>
      <c r="AP10" s="1497" t="str">
        <f>IFERROR(VLOOKUP(G10,'MON2'!MONTENALIM,7,FALSE),"")</f>
        <v/>
      </c>
      <c r="AQ10" s="1498">
        <f>IFERROR(VLOOKUP(G10,'MON2'!MONTEFC,7,FALSE),"")</f>
        <v>236839.13</v>
      </c>
      <c r="AR10" s="1495"/>
      <c r="AS10" s="1495" t="e">
        <f t="shared" si="24"/>
        <v>#VALUE!</v>
      </c>
      <c r="AT10" s="1495" t="str">
        <f>IFERROR(VLOOKUP(G10,'MON2'!MONTENALIM,8,FALSE),"")</f>
        <v/>
      </c>
      <c r="AU10" s="1493">
        <f>IFERROR(VLOOKUP(G10,'MON2'!MONTEFC,8,FALSE),"")</f>
        <v>1608233.6</v>
      </c>
      <c r="AV10" s="1532" t="e">
        <f t="shared" ref="AV10:AX10" si="57">SUM(AS10,AO10,AK10)</f>
        <v>#VALUE!</v>
      </c>
      <c r="AW10" s="1497">
        <f t="shared" si="57"/>
        <v>0</v>
      </c>
      <c r="AX10" s="1528">
        <f t="shared" si="57"/>
        <v>1845072.73</v>
      </c>
      <c r="AY10" s="1494" t="e">
        <f t="shared" ref="AY10:BA10" si="58">SUM(AV10,AE10)</f>
        <v>#VALUE!</v>
      </c>
      <c r="AZ10" s="1497" t="e">
        <f t="shared" si="58"/>
        <v>#VALUE!</v>
      </c>
      <c r="BA10" s="1533">
        <f t="shared" si="58"/>
        <v>1845072.73</v>
      </c>
      <c r="BB10" s="1493" t="str">
        <f t="shared" si="27"/>
        <v/>
      </c>
      <c r="BC10" s="1504" t="e">
        <f t="shared" si="28"/>
        <v>#VALUE!</v>
      </c>
      <c r="BD10" s="1497" t="str">
        <f>IFERROR(VLOOKUP(G10,'MON2'!MONTENALIM,9,FALSE),"")</f>
        <v/>
      </c>
      <c r="BE10" s="1505">
        <f>IFERROR(VLOOKUP(G10,'MON2'!MONTEFC,9,FALSE),"")</f>
        <v>0</v>
      </c>
      <c r="BF10" s="1495" t="str">
        <f t="shared" si="29"/>
        <v/>
      </c>
      <c r="BG10" s="1497" t="str">
        <f t="shared" si="30"/>
        <v/>
      </c>
      <c r="BH10" s="1497" t="str">
        <f t="shared" si="31"/>
        <v/>
      </c>
      <c r="BI10" s="1497" t="str">
        <f t="shared" si="32"/>
        <v/>
      </c>
      <c r="BJ10" s="1497" t="str">
        <f t="shared" si="33"/>
        <v/>
      </c>
    </row>
    <row r="11" spans="1:97" ht="13">
      <c r="A11" s="1481" t="str">
        <f t="shared" si="0"/>
        <v>ROTELA/PECH</v>
      </c>
      <c r="B11" s="1467">
        <f t="shared" si="1"/>
        <v>112010568</v>
      </c>
      <c r="C11" s="1510">
        <f t="shared" si="2"/>
        <v>22</v>
      </c>
      <c r="D11" s="1511">
        <f t="shared" si="3"/>
        <v>0.1</v>
      </c>
      <c r="E11" s="1511">
        <f t="shared" si="4"/>
        <v>0.09</v>
      </c>
      <c r="F11" s="1511">
        <f t="shared" si="5"/>
        <v>0</v>
      </c>
      <c r="G11" s="1467" t="s">
        <v>1320</v>
      </c>
      <c r="H11" s="331"/>
      <c r="I11" s="1547"/>
      <c r="J11" s="156">
        <f t="shared" si="6"/>
        <v>0</v>
      </c>
      <c r="K11" s="331">
        <f>IFERROR(VLOOKUP(G11,'MON2'!MONTENALIM,3,FALSE),"")</f>
        <v>0</v>
      </c>
      <c r="L11" s="1513">
        <f>IFERROR(VLOOKUP(G11,'MON2'!MONTEFC,3,FALSE),"")</f>
        <v>0</v>
      </c>
      <c r="M11" s="1514">
        <f t="shared" si="7"/>
        <v>0</v>
      </c>
      <c r="N11" s="234" t="e">
        <f t="shared" si="8"/>
        <v>#DIV/0!</v>
      </c>
      <c r="O11" s="331" t="str">
        <f t="shared" si="9"/>
        <v/>
      </c>
      <c r="P11" s="1515">
        <v>1800000</v>
      </c>
      <c r="Q11" s="1515">
        <f t="shared" si="10"/>
        <v>0</v>
      </c>
      <c r="R11" s="331">
        <f>IFERROR(VLOOKUP(G11,'MON2'!MONTENALIM,4,FALSE),"")</f>
        <v>0</v>
      </c>
      <c r="S11" s="331">
        <f>IFERROR(VLOOKUP(G11,'MON2'!MONTEFC,4,FALSE),"")</f>
        <v>0</v>
      </c>
      <c r="T11" s="331">
        <f t="shared" si="11"/>
        <v>-1800000</v>
      </c>
      <c r="U11" s="234">
        <f t="shared" si="12"/>
        <v>0</v>
      </c>
      <c r="V11" s="331" t="str">
        <f t="shared" si="13"/>
        <v/>
      </c>
      <c r="W11" s="1547">
        <v>1800000</v>
      </c>
      <c r="X11" s="1516">
        <f t="shared" si="14"/>
        <v>0</v>
      </c>
      <c r="Y11" s="1515">
        <f>IFERROR(VLOOKUP(G11,'MON2'!MONTENALIM,5,FALSE),"")</f>
        <v>0</v>
      </c>
      <c r="Z11" s="1517">
        <f>IFERROR(VLOOKUP(G11,'MON2'!MONTEFC,5,FALSE),"")</f>
        <v>0</v>
      </c>
      <c r="AA11" s="1548"/>
      <c r="AB11" s="1515"/>
      <c r="AC11" s="1518">
        <f t="shared" si="15"/>
        <v>3600000</v>
      </c>
      <c r="AD11" s="156">
        <f t="shared" si="16"/>
        <v>6250429.1799999997</v>
      </c>
      <c r="AE11" s="331">
        <f t="shared" si="17"/>
        <v>0</v>
      </c>
      <c r="AF11" s="331">
        <f t="shared" ref="AF11:AG11" si="59">Y11+R11+K11</f>
        <v>0</v>
      </c>
      <c r="AG11" s="331">
        <f t="shared" si="59"/>
        <v>0</v>
      </c>
      <c r="AH11" s="331">
        <f t="shared" si="19"/>
        <v>-6250429.1799999997</v>
      </c>
      <c r="AI11" s="1519">
        <f t="shared" si="20"/>
        <v>0</v>
      </c>
      <c r="AJ11" s="1520" t="str">
        <f t="shared" si="21"/>
        <v/>
      </c>
      <c r="AK11" s="156">
        <f t="shared" si="22"/>
        <v>0</v>
      </c>
      <c r="AL11" s="1514">
        <f>IFERROR(VLOOKUP(G11,'MON2'!MONTENALIM,6,FALSE),"")</f>
        <v>0</v>
      </c>
      <c r="AM11" s="1521">
        <f>IFERROR(VLOOKUP(G11,'MON2'!MONTEFC,6,FALSE),"")</f>
        <v>0</v>
      </c>
      <c r="AN11" s="1520"/>
      <c r="AO11" s="156">
        <f t="shared" si="23"/>
        <v>345663.91</v>
      </c>
      <c r="AP11" s="331">
        <f>IFERROR(VLOOKUP(G11,'MON2'!MONTENALIM,7,FALSE),"")</f>
        <v>0</v>
      </c>
      <c r="AQ11" s="1513">
        <f>IFERROR(VLOOKUP(G11,'MON2'!MONTEFC,7,FALSE),"")</f>
        <v>345663.91</v>
      </c>
      <c r="AR11" s="1514"/>
      <c r="AS11" s="1514">
        <f t="shared" si="24"/>
        <v>990684.87999999989</v>
      </c>
      <c r="AT11" s="1514">
        <f>IFERROR(VLOOKUP(G11,'MON2'!MONTENALIM,8,FALSE),"")</f>
        <v>243913.3</v>
      </c>
      <c r="AU11" s="1520">
        <f>IFERROR(VLOOKUP(G11,'MON2'!MONTEFC,8,FALSE),"")</f>
        <v>1234598.18</v>
      </c>
      <c r="AV11" s="1522">
        <f t="shared" ref="AV11:AX11" si="60">SUM(AS11,AO11,AK11)</f>
        <v>1336348.7899999998</v>
      </c>
      <c r="AW11" s="331">
        <f t="shared" si="60"/>
        <v>243913.3</v>
      </c>
      <c r="AX11" s="1512">
        <f t="shared" si="60"/>
        <v>1580262.0899999999</v>
      </c>
      <c r="AY11" s="156">
        <f t="shared" ref="AY11:BA11" si="61">SUM(AV11,AE11)</f>
        <v>1336348.7899999998</v>
      </c>
      <c r="AZ11" s="331">
        <f t="shared" si="61"/>
        <v>243913.3</v>
      </c>
      <c r="BA11" s="1523">
        <f t="shared" si="61"/>
        <v>1580262.0899999999</v>
      </c>
      <c r="BB11" s="1520" t="str">
        <f t="shared" si="27"/>
        <v/>
      </c>
      <c r="BC11" s="1524">
        <f t="shared" si="28"/>
        <v>115442.36</v>
      </c>
      <c r="BD11" s="331">
        <f>IFERROR(VLOOKUP(G11,'MON2'!MONTENALIM,9,FALSE),"")</f>
        <v>92662.86</v>
      </c>
      <c r="BE11" s="1525">
        <f>IFERROR(VLOOKUP(G11,'MON2'!MONTEFC,9,FALSE),"")</f>
        <v>208105.22</v>
      </c>
      <c r="BF11" s="1514" t="str">
        <f t="shared" si="29"/>
        <v/>
      </c>
      <c r="BG11" s="331" t="str">
        <f t="shared" si="30"/>
        <v/>
      </c>
      <c r="BH11" s="331" t="str">
        <f t="shared" si="31"/>
        <v/>
      </c>
      <c r="BI11" s="331" t="str">
        <f t="shared" si="32"/>
        <v/>
      </c>
      <c r="BJ11" s="331" t="str">
        <f t="shared" si="33"/>
        <v/>
      </c>
    </row>
    <row r="12" spans="1:97" ht="13">
      <c r="A12" s="1481" t="str">
        <f t="shared" si="0"/>
        <v>ROTELA/PECH</v>
      </c>
      <c r="B12" s="1466">
        <f t="shared" si="1"/>
        <v>112013964</v>
      </c>
      <c r="C12" s="1527">
        <f t="shared" si="2"/>
        <v>31</v>
      </c>
      <c r="D12" s="733">
        <f t="shared" si="3"/>
        <v>0.1</v>
      </c>
      <c r="E12" s="733">
        <f t="shared" si="4"/>
        <v>0.23</v>
      </c>
      <c r="F12" s="733">
        <f t="shared" si="5"/>
        <v>0</v>
      </c>
      <c r="G12" s="1466" t="s">
        <v>1274</v>
      </c>
      <c r="H12" s="1497"/>
      <c r="I12" s="1486"/>
      <c r="J12" s="1494" t="e">
        <f t="shared" si="6"/>
        <v>#VALUE!</v>
      </c>
      <c r="K12" s="1497" t="str">
        <f>IFERROR(VLOOKUP(G12,'MON2'!MONTENALIM,3,FALSE),"")</f>
        <v/>
      </c>
      <c r="L12" s="1498" t="str">
        <f>IFERROR(VLOOKUP(G12,'MON2'!MONTEFC,3,FALSE),"")</f>
        <v/>
      </c>
      <c r="M12" s="1495" t="e">
        <f t="shared" si="7"/>
        <v>#VALUE!</v>
      </c>
      <c r="N12" s="1529" t="e">
        <f t="shared" si="8"/>
        <v>#VALUE!</v>
      </c>
      <c r="O12" s="1497" t="str">
        <f t="shared" si="9"/>
        <v/>
      </c>
      <c r="P12" s="1485">
        <v>1800000</v>
      </c>
      <c r="Q12" s="1485" t="e">
        <f t="shared" si="10"/>
        <v>#VALUE!</v>
      </c>
      <c r="R12" s="1497" t="str">
        <f>IFERROR(VLOOKUP(G12,'MON2'!MONTENALIM,4,FALSE),"")</f>
        <v/>
      </c>
      <c r="S12" s="1497" t="str">
        <f>IFERROR(VLOOKUP(G12,'MON2'!MONTEFC,4,FALSE),"")</f>
        <v/>
      </c>
      <c r="T12" s="1497" t="e">
        <f t="shared" si="11"/>
        <v>#VALUE!</v>
      </c>
      <c r="U12" s="1529" t="e">
        <f t="shared" si="12"/>
        <v>#VALUE!</v>
      </c>
      <c r="V12" s="1497" t="str">
        <f t="shared" si="13"/>
        <v/>
      </c>
      <c r="W12" s="1486">
        <v>1800000</v>
      </c>
      <c r="X12" s="1487" t="e">
        <f t="shared" si="14"/>
        <v>#VALUE!</v>
      </c>
      <c r="Y12" s="1485" t="str">
        <f>IFERROR(VLOOKUP(G12,'MON2'!MONTENALIM,5,FALSE),"")</f>
        <v/>
      </c>
      <c r="Z12" s="1488" t="str">
        <f>IFERROR(VLOOKUP(G12,'MON2'!MONTEFC,5,FALSE),"")</f>
        <v/>
      </c>
      <c r="AA12" s="1489"/>
      <c r="AB12" s="1485"/>
      <c r="AC12" s="1530">
        <f t="shared" si="15"/>
        <v>3600000</v>
      </c>
      <c r="AD12" s="1494">
        <f t="shared" si="16"/>
        <v>494701.34</v>
      </c>
      <c r="AE12" s="1497" t="e">
        <f t="shared" si="17"/>
        <v>#VALUE!</v>
      </c>
      <c r="AF12" s="1497" t="e">
        <f t="shared" ref="AF12:AG12" si="62">Y12+R12+K12</f>
        <v>#VALUE!</v>
      </c>
      <c r="AG12" s="1497" t="e">
        <f t="shared" si="62"/>
        <v>#VALUE!</v>
      </c>
      <c r="AH12" s="1497" t="e">
        <f t="shared" si="19"/>
        <v>#VALUE!</v>
      </c>
      <c r="AI12" s="1531" t="str">
        <f t="shared" si="20"/>
        <v/>
      </c>
      <c r="AJ12" s="1493" t="str">
        <f t="shared" si="21"/>
        <v/>
      </c>
      <c r="AK12" s="1494" t="e">
        <f t="shared" si="22"/>
        <v>#VALUE!</v>
      </c>
      <c r="AL12" s="1495" t="str">
        <f>IFERROR(VLOOKUP(G12,'MON2'!MONTENALIM,6,FALSE),"")</f>
        <v/>
      </c>
      <c r="AM12" s="1496" t="str">
        <f>IFERROR(VLOOKUP(G12,'MON2'!MONTEFC,6,FALSE),"")</f>
        <v/>
      </c>
      <c r="AN12" s="1493"/>
      <c r="AO12" s="1494" t="e">
        <f t="shared" si="23"/>
        <v>#VALUE!</v>
      </c>
      <c r="AP12" s="1497" t="str">
        <f>IFERROR(VLOOKUP(G12,'MON2'!MONTENALIM,7,FALSE),"")</f>
        <v/>
      </c>
      <c r="AQ12" s="1498" t="str">
        <f>IFERROR(VLOOKUP(G12,'MON2'!MONTEFC,7,FALSE),"")</f>
        <v/>
      </c>
      <c r="AR12" s="1495"/>
      <c r="AS12" s="1495" t="e">
        <f t="shared" si="24"/>
        <v>#VALUE!</v>
      </c>
      <c r="AT12" s="1495" t="str">
        <f>IFERROR(VLOOKUP(G12,'MON2'!MONTENALIM,8,FALSE),"")</f>
        <v/>
      </c>
      <c r="AU12" s="1493" t="str">
        <f>IFERROR(VLOOKUP(G12,'MON2'!MONTEFC,8,FALSE),"")</f>
        <v/>
      </c>
      <c r="AV12" s="1532" t="e">
        <f t="shared" ref="AV12:AX12" si="63">SUM(AS12,AO12,AK12)</f>
        <v>#VALUE!</v>
      </c>
      <c r="AW12" s="1497">
        <f t="shared" si="63"/>
        <v>0</v>
      </c>
      <c r="AX12" s="1528">
        <f t="shared" si="63"/>
        <v>0</v>
      </c>
      <c r="AY12" s="1494" t="e">
        <f t="shared" ref="AY12:BA12" si="64">SUM(AV12,AE12)</f>
        <v>#VALUE!</v>
      </c>
      <c r="AZ12" s="1497" t="e">
        <f t="shared" si="64"/>
        <v>#VALUE!</v>
      </c>
      <c r="BA12" s="1533" t="e">
        <f t="shared" si="64"/>
        <v>#VALUE!</v>
      </c>
      <c r="BB12" s="1493" t="str">
        <f t="shared" si="27"/>
        <v/>
      </c>
      <c r="BC12" s="1504" t="e">
        <f t="shared" si="28"/>
        <v>#VALUE!</v>
      </c>
      <c r="BD12" s="1497" t="str">
        <f>IFERROR(VLOOKUP(G12,'MON2'!MONTENALIM,9,FALSE),"")</f>
        <v/>
      </c>
      <c r="BE12" s="1505" t="str">
        <f>IFERROR(VLOOKUP(G12,'MON2'!MONTEFC,9,FALSE),"")</f>
        <v/>
      </c>
      <c r="BF12" s="1495" t="str">
        <f t="shared" si="29"/>
        <v/>
      </c>
      <c r="BG12" s="1497" t="str">
        <f t="shared" si="30"/>
        <v/>
      </c>
      <c r="BH12" s="1497" t="str">
        <f t="shared" si="31"/>
        <v/>
      </c>
      <c r="BI12" s="1497" t="str">
        <f t="shared" si="32"/>
        <v/>
      </c>
      <c r="BJ12" s="1497" t="str">
        <f t="shared" si="33"/>
        <v/>
      </c>
    </row>
    <row r="13" spans="1:97" ht="13">
      <c r="A13" s="1481" t="str">
        <f t="shared" si="0"/>
        <v xml:space="preserve">ROTELA </v>
      </c>
      <c r="B13" s="1467">
        <f t="shared" si="1"/>
        <v>112013388</v>
      </c>
      <c r="C13" s="1510">
        <f t="shared" si="2"/>
        <v>0</v>
      </c>
      <c r="D13" s="1511" t="str">
        <f t="shared" si="3"/>
        <v/>
      </c>
      <c r="E13" s="1511" t="str">
        <f t="shared" si="4"/>
        <v/>
      </c>
      <c r="F13" s="1511" t="str">
        <f t="shared" si="5"/>
        <v/>
      </c>
      <c r="G13" s="1467" t="s">
        <v>1377</v>
      </c>
      <c r="H13" s="331"/>
      <c r="I13" s="1547"/>
      <c r="J13" s="156" t="e">
        <f t="shared" si="6"/>
        <v>#VALUE!</v>
      </c>
      <c r="K13" s="331" t="str">
        <f>IFERROR(VLOOKUP(G13,'MON2'!MONTENALIM,3,FALSE),"")</f>
        <v/>
      </c>
      <c r="L13" s="1513" t="str">
        <f>IFERROR(VLOOKUP(G13,'MON2'!MONTEFC,3,FALSE),"")</f>
        <v/>
      </c>
      <c r="M13" s="1514" t="e">
        <f t="shared" si="7"/>
        <v>#VALUE!</v>
      </c>
      <c r="N13" s="234" t="e">
        <f t="shared" si="8"/>
        <v>#VALUE!</v>
      </c>
      <c r="O13" s="331" t="str">
        <f t="shared" si="9"/>
        <v/>
      </c>
      <c r="P13" s="1515">
        <v>1800000</v>
      </c>
      <c r="Q13" s="1515" t="e">
        <f t="shared" si="10"/>
        <v>#VALUE!</v>
      </c>
      <c r="R13" s="331" t="str">
        <f>IFERROR(VLOOKUP(G13,'MON2'!MONTENALIM,4,FALSE),"")</f>
        <v/>
      </c>
      <c r="S13" s="331" t="str">
        <f>IFERROR(VLOOKUP(G13,'MON2'!MONTEFC,4,FALSE),"")</f>
        <v/>
      </c>
      <c r="T13" s="331" t="e">
        <f t="shared" si="11"/>
        <v>#VALUE!</v>
      </c>
      <c r="U13" s="234" t="e">
        <f t="shared" si="12"/>
        <v>#VALUE!</v>
      </c>
      <c r="V13" s="331" t="str">
        <f t="shared" si="13"/>
        <v/>
      </c>
      <c r="W13" s="1547">
        <v>1800000</v>
      </c>
      <c r="X13" s="1516" t="e">
        <f t="shared" si="14"/>
        <v>#VALUE!</v>
      </c>
      <c r="Y13" s="1515" t="str">
        <f>IFERROR(VLOOKUP(G13,'MON2'!MONTENALIM,5,FALSE),"")</f>
        <v/>
      </c>
      <c r="Z13" s="1517" t="str">
        <f>IFERROR(VLOOKUP(G13,'MON2'!MONTEFC,5,FALSE),"")</f>
        <v/>
      </c>
      <c r="AA13" s="1548"/>
      <c r="AB13" s="1515"/>
      <c r="AC13" s="1518">
        <f t="shared" si="15"/>
        <v>3600000</v>
      </c>
      <c r="AD13" s="156" t="str">
        <f t="shared" si="16"/>
        <v>0</v>
      </c>
      <c r="AE13" s="331" t="e">
        <f t="shared" si="17"/>
        <v>#VALUE!</v>
      </c>
      <c r="AF13" s="331" t="e">
        <f t="shared" ref="AF13:AG13" si="65">Y13+R13+K13</f>
        <v>#VALUE!</v>
      </c>
      <c r="AG13" s="331" t="e">
        <f t="shared" si="65"/>
        <v>#VALUE!</v>
      </c>
      <c r="AH13" s="331" t="e">
        <f t="shared" si="19"/>
        <v>#VALUE!</v>
      </c>
      <c r="AI13" s="1519" t="str">
        <f t="shared" si="20"/>
        <v/>
      </c>
      <c r="AJ13" s="1520" t="str">
        <f t="shared" si="21"/>
        <v/>
      </c>
      <c r="AK13" s="156" t="e">
        <f t="shared" si="22"/>
        <v>#VALUE!</v>
      </c>
      <c r="AL13" s="1514" t="str">
        <f>IFERROR(VLOOKUP(G13,'MON2'!MONTENALIM,6,FALSE),"")</f>
        <v/>
      </c>
      <c r="AM13" s="1521" t="str">
        <f>IFERROR(VLOOKUP(G13,'MON2'!MONTEFC,6,FALSE),"")</f>
        <v/>
      </c>
      <c r="AN13" s="1520"/>
      <c r="AO13" s="156" t="e">
        <f t="shared" si="23"/>
        <v>#VALUE!</v>
      </c>
      <c r="AP13" s="331" t="str">
        <f>IFERROR(VLOOKUP(G13,'MON2'!MONTENALIM,7,FALSE),"")</f>
        <v/>
      </c>
      <c r="AQ13" s="1513" t="str">
        <f>IFERROR(VLOOKUP(G13,'MON2'!MONTEFC,7,FALSE),"")</f>
        <v/>
      </c>
      <c r="AR13" s="1514"/>
      <c r="AS13" s="1514" t="e">
        <f t="shared" si="24"/>
        <v>#VALUE!</v>
      </c>
      <c r="AT13" s="1514" t="str">
        <f>IFERROR(VLOOKUP(G13,'MON2'!MONTENALIM,8,FALSE),"")</f>
        <v/>
      </c>
      <c r="AU13" s="1520" t="str">
        <f>IFERROR(VLOOKUP(G13,'MON2'!MONTEFC,8,FALSE),"")</f>
        <v/>
      </c>
      <c r="AV13" s="1522" t="e">
        <f t="shared" ref="AV13:AX13" si="66">SUM(AS13,AO13,AK13)</f>
        <v>#VALUE!</v>
      </c>
      <c r="AW13" s="331">
        <f t="shared" si="66"/>
        <v>0</v>
      </c>
      <c r="AX13" s="1512">
        <f t="shared" si="66"/>
        <v>0</v>
      </c>
      <c r="AY13" s="156" t="e">
        <f t="shared" ref="AY13:BA13" si="67">SUM(AV13,AE13)</f>
        <v>#VALUE!</v>
      </c>
      <c r="AZ13" s="331" t="e">
        <f t="shared" si="67"/>
        <v>#VALUE!</v>
      </c>
      <c r="BA13" s="1523" t="e">
        <f t="shared" si="67"/>
        <v>#VALUE!</v>
      </c>
      <c r="BB13" s="1520" t="str">
        <f t="shared" si="27"/>
        <v/>
      </c>
      <c r="BC13" s="1524" t="e">
        <f t="shared" si="28"/>
        <v>#VALUE!</v>
      </c>
      <c r="BD13" s="331" t="str">
        <f>IFERROR(VLOOKUP(G13,'MON2'!MONTENALIM,9,FALSE),"")</f>
        <v/>
      </c>
      <c r="BE13" s="1525" t="str">
        <f>IFERROR(VLOOKUP(G13,'MON2'!MONTEFC,9,FALSE),"")</f>
        <v/>
      </c>
      <c r="BF13" s="1514" t="str">
        <f t="shared" si="29"/>
        <v/>
      </c>
      <c r="BG13" s="331" t="str">
        <f t="shared" si="30"/>
        <v/>
      </c>
      <c r="BH13" s="331" t="str">
        <f t="shared" si="31"/>
        <v/>
      </c>
      <c r="BI13" s="331" t="str">
        <f t="shared" si="32"/>
        <v/>
      </c>
      <c r="BJ13" s="331" t="str">
        <f t="shared" si="33"/>
        <v/>
      </c>
      <c r="BM13" s="231" t="s">
        <v>78</v>
      </c>
      <c r="BN13" s="232"/>
      <c r="BO13" s="232"/>
    </row>
    <row r="14" spans="1:97" ht="13">
      <c r="A14" s="1481" t="str">
        <f t="shared" si="0"/>
        <v xml:space="preserve">ROTELA </v>
      </c>
      <c r="B14" s="1466">
        <f t="shared" si="1"/>
        <v>112014679</v>
      </c>
      <c r="C14" s="1527">
        <f t="shared" si="2"/>
        <v>0</v>
      </c>
      <c r="D14" s="733" t="str">
        <f t="shared" si="3"/>
        <v/>
      </c>
      <c r="E14" s="733" t="str">
        <f t="shared" si="4"/>
        <v/>
      </c>
      <c r="F14" s="733" t="str">
        <f t="shared" si="5"/>
        <v/>
      </c>
      <c r="G14" s="1466" t="s">
        <v>1378</v>
      </c>
      <c r="H14" s="1497"/>
      <c r="I14" s="1486"/>
      <c r="J14" s="1494" t="e">
        <f t="shared" si="6"/>
        <v>#VALUE!</v>
      </c>
      <c r="K14" s="1497" t="str">
        <f>IFERROR(VLOOKUP(G14,'MON2'!MONTENALIM,3,FALSE),"")</f>
        <v/>
      </c>
      <c r="L14" s="1498">
        <f>IFERROR(VLOOKUP(G14,'MON2'!MONTEFC,3,FALSE),"")</f>
        <v>0</v>
      </c>
      <c r="M14" s="1495">
        <f t="shared" si="7"/>
        <v>0</v>
      </c>
      <c r="N14" s="1529" t="e">
        <f t="shared" si="8"/>
        <v>#DIV/0!</v>
      </c>
      <c r="O14" s="1497" t="str">
        <f t="shared" si="9"/>
        <v/>
      </c>
      <c r="P14" s="1485">
        <v>1800000</v>
      </c>
      <c r="Q14" s="1485" t="e">
        <f t="shared" si="10"/>
        <v>#VALUE!</v>
      </c>
      <c r="R14" s="1497" t="str">
        <f>IFERROR(VLOOKUP(G14,'MON2'!MONTENALIM,4,FALSE),"")</f>
        <v/>
      </c>
      <c r="S14" s="1497">
        <f>IFERROR(VLOOKUP(G14,'MON2'!MONTEFC,4,FALSE),"")</f>
        <v>0</v>
      </c>
      <c r="T14" s="1497">
        <f t="shared" si="11"/>
        <v>-1800000</v>
      </c>
      <c r="U14" s="1529">
        <f t="shared" si="12"/>
        <v>0</v>
      </c>
      <c r="V14" s="1497" t="str">
        <f t="shared" si="13"/>
        <v/>
      </c>
      <c r="W14" s="1486">
        <v>1800000</v>
      </c>
      <c r="X14" s="1487" t="e">
        <f t="shared" si="14"/>
        <v>#VALUE!</v>
      </c>
      <c r="Y14" s="1485" t="str">
        <f>IFERROR(VLOOKUP(G14,'MON2'!MONTENALIM,5,FALSE),"")</f>
        <v/>
      </c>
      <c r="Z14" s="1488">
        <f>IFERROR(VLOOKUP(G14,'MON2'!MONTEFC,5,FALSE),"")</f>
        <v>0</v>
      </c>
      <c r="AA14" s="1489"/>
      <c r="AB14" s="1485"/>
      <c r="AC14" s="1530">
        <f t="shared" si="15"/>
        <v>3600000</v>
      </c>
      <c r="AD14" s="1494" t="str">
        <f t="shared" si="16"/>
        <v>0</v>
      </c>
      <c r="AE14" s="1497" t="e">
        <f t="shared" si="17"/>
        <v>#VALUE!</v>
      </c>
      <c r="AF14" s="1497" t="e">
        <f t="shared" ref="AF14:AG14" si="68">Y14+R14+K14</f>
        <v>#VALUE!</v>
      </c>
      <c r="AG14" s="1497">
        <f t="shared" si="68"/>
        <v>0</v>
      </c>
      <c r="AH14" s="1497">
        <f t="shared" si="19"/>
        <v>0</v>
      </c>
      <c r="AI14" s="1531" t="str">
        <f t="shared" si="20"/>
        <v/>
      </c>
      <c r="AJ14" s="1493" t="str">
        <f t="shared" si="21"/>
        <v/>
      </c>
      <c r="AK14" s="1494" t="e">
        <f t="shared" si="22"/>
        <v>#VALUE!</v>
      </c>
      <c r="AL14" s="1495" t="str">
        <f>IFERROR(VLOOKUP(G14,'MON2'!MONTENALIM,6,FALSE),"")</f>
        <v/>
      </c>
      <c r="AM14" s="1496">
        <f>IFERROR(VLOOKUP(G14,'MON2'!MONTEFC,6,FALSE),"")</f>
        <v>0</v>
      </c>
      <c r="AN14" s="1493"/>
      <c r="AO14" s="1494" t="e">
        <f t="shared" si="23"/>
        <v>#VALUE!</v>
      </c>
      <c r="AP14" s="1497" t="str">
        <f>IFERROR(VLOOKUP(G14,'MON2'!MONTENALIM,7,FALSE),"")</f>
        <v/>
      </c>
      <c r="AQ14" s="1498">
        <f>IFERROR(VLOOKUP(G14,'MON2'!MONTEFC,7,FALSE),"")</f>
        <v>0</v>
      </c>
      <c r="AR14" s="1495"/>
      <c r="AS14" s="1495" t="e">
        <f t="shared" si="24"/>
        <v>#VALUE!</v>
      </c>
      <c r="AT14" s="1495" t="str">
        <f>IFERROR(VLOOKUP(G14,'MON2'!MONTENALIM,8,FALSE),"")</f>
        <v/>
      </c>
      <c r="AU14" s="1493">
        <f>IFERROR(VLOOKUP(G14,'MON2'!MONTEFC,8,FALSE),"")</f>
        <v>4874940</v>
      </c>
      <c r="AV14" s="1532" t="e">
        <f t="shared" ref="AV14:AX14" si="69">SUM(AS14,AO14,AK14)</f>
        <v>#VALUE!</v>
      </c>
      <c r="AW14" s="1497">
        <f t="shared" si="69"/>
        <v>0</v>
      </c>
      <c r="AX14" s="1528">
        <f t="shared" si="69"/>
        <v>4874940</v>
      </c>
      <c r="AY14" s="1494" t="e">
        <f t="shared" ref="AY14:BA14" si="70">SUM(AV14,AE14)</f>
        <v>#VALUE!</v>
      </c>
      <c r="AZ14" s="1497" t="e">
        <f t="shared" si="70"/>
        <v>#VALUE!</v>
      </c>
      <c r="BA14" s="1533">
        <f t="shared" si="70"/>
        <v>4874940</v>
      </c>
      <c r="BB14" s="1493" t="str">
        <f t="shared" si="27"/>
        <v/>
      </c>
      <c r="BC14" s="1504" t="e">
        <f t="shared" si="28"/>
        <v>#VALUE!</v>
      </c>
      <c r="BD14" s="1497" t="str">
        <f>IFERROR(VLOOKUP(G14,'MON2'!MONTENALIM,9,FALSE),"")</f>
        <v/>
      </c>
      <c r="BE14" s="1505">
        <f>IFERROR(VLOOKUP(G14,'MON2'!MONTEFC,9,FALSE),"")</f>
        <v>0</v>
      </c>
      <c r="BF14" s="1495" t="str">
        <f t="shared" si="29"/>
        <v/>
      </c>
      <c r="BG14" s="1497" t="str">
        <f t="shared" si="30"/>
        <v/>
      </c>
      <c r="BH14" s="1497" t="str">
        <f t="shared" si="31"/>
        <v/>
      </c>
      <c r="BI14" s="1497" t="str">
        <f t="shared" si="32"/>
        <v/>
      </c>
      <c r="BJ14" s="1497" t="str">
        <f t="shared" si="33"/>
        <v/>
      </c>
      <c r="BM14" s="231" t="s">
        <v>80</v>
      </c>
      <c r="BN14" s="232"/>
      <c r="BO14" s="232"/>
    </row>
    <row r="15" spans="1:97" ht="13">
      <c r="A15" s="1481" t="str">
        <f t="shared" si="0"/>
        <v xml:space="preserve">ROTELA </v>
      </c>
      <c r="B15" s="1467">
        <f t="shared" si="1"/>
        <v>112013551</v>
      </c>
      <c r="C15" s="1510">
        <f t="shared" si="2"/>
        <v>12</v>
      </c>
      <c r="D15" s="1511">
        <f t="shared" si="3"/>
        <v>0.15</v>
      </c>
      <c r="E15" s="1511">
        <f t="shared" si="4"/>
        <v>0.09</v>
      </c>
      <c r="F15" s="1511">
        <f t="shared" si="5"/>
        <v>0</v>
      </c>
      <c r="G15" s="1467" t="s">
        <v>1286</v>
      </c>
      <c r="H15" s="331"/>
      <c r="I15" s="1547"/>
      <c r="J15" s="156" t="e">
        <f t="shared" si="6"/>
        <v>#VALUE!</v>
      </c>
      <c r="K15" s="331" t="str">
        <f>IFERROR(VLOOKUP(G15,'MON2'!MONTENALIM,3,FALSE),"")</f>
        <v/>
      </c>
      <c r="L15" s="1513">
        <f>IFERROR(VLOOKUP(G15,'MON2'!MONTEFC,3,FALSE),"")</f>
        <v>0</v>
      </c>
      <c r="M15" s="1514">
        <f t="shared" si="7"/>
        <v>0</v>
      </c>
      <c r="N15" s="234" t="e">
        <f t="shared" si="8"/>
        <v>#DIV/0!</v>
      </c>
      <c r="O15" s="331" t="str">
        <f t="shared" si="9"/>
        <v/>
      </c>
      <c r="P15" s="1515">
        <v>1800000</v>
      </c>
      <c r="Q15" s="1515" t="e">
        <f t="shared" si="10"/>
        <v>#VALUE!</v>
      </c>
      <c r="R15" s="331" t="str">
        <f>IFERROR(VLOOKUP(G15,'MON2'!MONTENALIM,4,FALSE),"")</f>
        <v/>
      </c>
      <c r="S15" s="331">
        <f>IFERROR(VLOOKUP(G15,'MON2'!MONTEFC,4,FALSE),"")</f>
        <v>0</v>
      </c>
      <c r="T15" s="331">
        <f t="shared" si="11"/>
        <v>-1800000</v>
      </c>
      <c r="U15" s="234">
        <f t="shared" si="12"/>
        <v>0</v>
      </c>
      <c r="V15" s="331" t="str">
        <f t="shared" si="13"/>
        <v/>
      </c>
      <c r="W15" s="1547">
        <v>1800000</v>
      </c>
      <c r="X15" s="1516" t="e">
        <f t="shared" si="14"/>
        <v>#VALUE!</v>
      </c>
      <c r="Y15" s="1515" t="str">
        <f>IFERROR(VLOOKUP(G15,'MON2'!MONTENALIM,5,FALSE),"")</f>
        <v/>
      </c>
      <c r="Z15" s="1517">
        <f>IFERROR(VLOOKUP(G15,'MON2'!MONTEFC,5,FALSE),"")</f>
        <v>0</v>
      </c>
      <c r="AA15" s="1548"/>
      <c r="AB15" s="1515"/>
      <c r="AC15" s="1518">
        <f t="shared" si="15"/>
        <v>3600000</v>
      </c>
      <c r="AD15" s="156" t="str">
        <f t="shared" si="16"/>
        <v>0</v>
      </c>
      <c r="AE15" s="331" t="e">
        <f t="shared" si="17"/>
        <v>#VALUE!</v>
      </c>
      <c r="AF15" s="331" t="e">
        <f t="shared" ref="AF15:AG15" si="71">Y15+R15+K15</f>
        <v>#VALUE!</v>
      </c>
      <c r="AG15" s="331">
        <f t="shared" si="71"/>
        <v>0</v>
      </c>
      <c r="AH15" s="331">
        <f t="shared" si="19"/>
        <v>0</v>
      </c>
      <c r="AI15" s="1519" t="str">
        <f t="shared" si="20"/>
        <v/>
      </c>
      <c r="AJ15" s="1520" t="str">
        <f t="shared" si="21"/>
        <v/>
      </c>
      <c r="AK15" s="156" t="e">
        <f t="shared" si="22"/>
        <v>#VALUE!</v>
      </c>
      <c r="AL15" s="1514" t="str">
        <f>IFERROR(VLOOKUP(G15,'MON2'!MONTENALIM,6,FALSE),"")</f>
        <v/>
      </c>
      <c r="AM15" s="1521">
        <f>IFERROR(VLOOKUP(G15,'MON2'!MONTEFC,6,FALSE),"")</f>
        <v>1249912.56</v>
      </c>
      <c r="AN15" s="1520"/>
      <c r="AO15" s="156" t="e">
        <f t="shared" si="23"/>
        <v>#VALUE!</v>
      </c>
      <c r="AP15" s="331" t="str">
        <f>IFERROR(VLOOKUP(G15,'MON2'!MONTENALIM,7,FALSE),"")</f>
        <v/>
      </c>
      <c r="AQ15" s="1513">
        <f>IFERROR(VLOOKUP(G15,'MON2'!MONTEFC,7,FALSE),"")</f>
        <v>1110590.05</v>
      </c>
      <c r="AR15" s="1514"/>
      <c r="AS15" s="1514" t="e">
        <f t="shared" si="24"/>
        <v>#VALUE!</v>
      </c>
      <c r="AT15" s="1514" t="str">
        <f>IFERROR(VLOOKUP(G15,'MON2'!MONTENALIM,8,FALSE),"")</f>
        <v/>
      </c>
      <c r="AU15" s="1520">
        <f>IFERROR(VLOOKUP(G15,'MON2'!MONTEFC,8,FALSE),"")</f>
        <v>948043.44</v>
      </c>
      <c r="AV15" s="1522" t="e">
        <f t="shared" ref="AV15:AX15" si="72">SUM(AS15,AO15,AK15)</f>
        <v>#VALUE!</v>
      </c>
      <c r="AW15" s="331">
        <f t="shared" si="72"/>
        <v>0</v>
      </c>
      <c r="AX15" s="1512">
        <f t="shared" si="72"/>
        <v>3308546.05</v>
      </c>
      <c r="AY15" s="156" t="e">
        <f t="shared" ref="AY15:BA15" si="73">SUM(AV15,AE15)</f>
        <v>#VALUE!</v>
      </c>
      <c r="AZ15" s="331" t="e">
        <f t="shared" si="73"/>
        <v>#VALUE!</v>
      </c>
      <c r="BA15" s="1523">
        <f t="shared" si="73"/>
        <v>3308546.05</v>
      </c>
      <c r="BB15" s="1520" t="str">
        <f t="shared" si="27"/>
        <v/>
      </c>
      <c r="BC15" s="1524" t="e">
        <f t="shared" si="28"/>
        <v>#VALUE!</v>
      </c>
      <c r="BD15" s="331" t="str">
        <f>IFERROR(VLOOKUP(G15,'MON2'!MONTENALIM,9,FALSE),"")</f>
        <v/>
      </c>
      <c r="BE15" s="1525">
        <f>IFERROR(VLOOKUP(G15,'MON2'!MONTEFC,9,FALSE),"")</f>
        <v>0</v>
      </c>
      <c r="BF15" s="1514" t="str">
        <f t="shared" si="29"/>
        <v/>
      </c>
      <c r="BG15" s="331" t="str">
        <f t="shared" si="30"/>
        <v/>
      </c>
      <c r="BH15" s="331" t="str">
        <f t="shared" si="31"/>
        <v/>
      </c>
      <c r="BI15" s="331" t="str">
        <f t="shared" si="32"/>
        <v/>
      </c>
      <c r="BJ15" s="331" t="str">
        <f t="shared" si="33"/>
        <v/>
      </c>
      <c r="BM15" s="231" t="s">
        <v>82</v>
      </c>
      <c r="BN15" s="232"/>
      <c r="BO15" s="232"/>
    </row>
    <row r="16" spans="1:97" ht="13">
      <c r="A16" s="1481" t="str">
        <f t="shared" si="0"/>
        <v xml:space="preserve">ROTELA </v>
      </c>
      <c r="B16" s="1466">
        <f t="shared" si="1"/>
        <v>112014363</v>
      </c>
      <c r="C16" s="1527">
        <f t="shared" si="2"/>
        <v>12</v>
      </c>
      <c r="D16" s="733">
        <f t="shared" si="3"/>
        <v>0.15</v>
      </c>
      <c r="E16" s="733">
        <f t="shared" si="4"/>
        <v>0.09</v>
      </c>
      <c r="F16" s="733">
        <f t="shared" si="5"/>
        <v>0</v>
      </c>
      <c r="G16" s="1466" t="s">
        <v>1267</v>
      </c>
      <c r="H16" s="1497"/>
      <c r="I16" s="1486"/>
      <c r="J16" s="1494" t="e">
        <f t="shared" si="6"/>
        <v>#VALUE!</v>
      </c>
      <c r="K16" s="1497" t="str">
        <f>IFERROR(VLOOKUP(G16,'MON2'!MONTENALIM,3,FALSE),"")</f>
        <v/>
      </c>
      <c r="L16" s="1498" t="str">
        <f>IFERROR(VLOOKUP(G16,'MON2'!MONTEFC,3,FALSE),"")</f>
        <v/>
      </c>
      <c r="M16" s="1495" t="e">
        <f t="shared" si="7"/>
        <v>#VALUE!</v>
      </c>
      <c r="N16" s="1529" t="e">
        <f t="shared" si="8"/>
        <v>#VALUE!</v>
      </c>
      <c r="O16" s="1497" t="str">
        <f t="shared" si="9"/>
        <v/>
      </c>
      <c r="P16" s="1485">
        <v>1800000</v>
      </c>
      <c r="Q16" s="1485" t="e">
        <f t="shared" si="10"/>
        <v>#VALUE!</v>
      </c>
      <c r="R16" s="1497" t="str">
        <f>IFERROR(VLOOKUP(G16,'MON2'!MONTENALIM,4,FALSE),"")</f>
        <v/>
      </c>
      <c r="S16" s="1497" t="str">
        <f>IFERROR(VLOOKUP(G16,'MON2'!MONTEFC,4,FALSE),"")</f>
        <v/>
      </c>
      <c r="T16" s="1497" t="e">
        <f t="shared" si="11"/>
        <v>#VALUE!</v>
      </c>
      <c r="U16" s="1529" t="e">
        <f t="shared" si="12"/>
        <v>#VALUE!</v>
      </c>
      <c r="V16" s="1497" t="str">
        <f t="shared" si="13"/>
        <v/>
      </c>
      <c r="W16" s="1486">
        <v>1800000</v>
      </c>
      <c r="X16" s="1487" t="e">
        <f t="shared" si="14"/>
        <v>#VALUE!</v>
      </c>
      <c r="Y16" s="1485" t="str">
        <f>IFERROR(VLOOKUP(G16,'MON2'!MONTENALIM,5,FALSE),"")</f>
        <v/>
      </c>
      <c r="Z16" s="1488" t="str">
        <f>IFERROR(VLOOKUP(G16,'MON2'!MONTEFC,5,FALSE),"")</f>
        <v/>
      </c>
      <c r="AA16" s="1489"/>
      <c r="AB16" s="1485"/>
      <c r="AC16" s="1530">
        <f t="shared" si="15"/>
        <v>3600000</v>
      </c>
      <c r="AD16" s="1494" t="str">
        <f t="shared" si="16"/>
        <v>0</v>
      </c>
      <c r="AE16" s="1497" t="e">
        <f t="shared" si="17"/>
        <v>#VALUE!</v>
      </c>
      <c r="AF16" s="1497" t="e">
        <f t="shared" ref="AF16:AG16" si="74">Y16+R16+K16</f>
        <v>#VALUE!</v>
      </c>
      <c r="AG16" s="1497" t="e">
        <f t="shared" si="74"/>
        <v>#VALUE!</v>
      </c>
      <c r="AH16" s="1497" t="e">
        <f t="shared" si="19"/>
        <v>#VALUE!</v>
      </c>
      <c r="AI16" s="1531" t="str">
        <f t="shared" si="20"/>
        <v/>
      </c>
      <c r="AJ16" s="1493" t="str">
        <f t="shared" si="21"/>
        <v/>
      </c>
      <c r="AK16" s="1494" t="e">
        <f t="shared" si="22"/>
        <v>#VALUE!</v>
      </c>
      <c r="AL16" s="1495" t="str">
        <f>IFERROR(VLOOKUP(G16,'MON2'!MONTENALIM,6,FALSE),"")</f>
        <v/>
      </c>
      <c r="AM16" s="1496" t="str">
        <f>IFERROR(VLOOKUP(G16,'MON2'!MONTEFC,6,FALSE),"")</f>
        <v/>
      </c>
      <c r="AN16" s="1493"/>
      <c r="AO16" s="1494" t="e">
        <f t="shared" si="23"/>
        <v>#VALUE!</v>
      </c>
      <c r="AP16" s="1497" t="str">
        <f>IFERROR(VLOOKUP(G16,'MON2'!MONTENALIM,7,FALSE),"")</f>
        <v/>
      </c>
      <c r="AQ16" s="1498" t="str">
        <f>IFERROR(VLOOKUP(G16,'MON2'!MONTEFC,7,FALSE),"")</f>
        <v/>
      </c>
      <c r="AR16" s="1495"/>
      <c r="AS16" s="1495" t="e">
        <f t="shared" si="24"/>
        <v>#VALUE!</v>
      </c>
      <c r="AT16" s="1495" t="str">
        <f>IFERROR(VLOOKUP(G16,'MON2'!MONTENALIM,8,FALSE),"")</f>
        <v/>
      </c>
      <c r="AU16" s="1493" t="str">
        <f>IFERROR(VLOOKUP(G16,'MON2'!MONTEFC,8,FALSE),"")</f>
        <v/>
      </c>
      <c r="AV16" s="1532" t="e">
        <f t="shared" ref="AV16:AX16" si="75">SUM(AS16,AO16,AK16)</f>
        <v>#VALUE!</v>
      </c>
      <c r="AW16" s="1497">
        <f t="shared" si="75"/>
        <v>0</v>
      </c>
      <c r="AX16" s="1528">
        <f t="shared" si="75"/>
        <v>0</v>
      </c>
      <c r="AY16" s="1494" t="e">
        <f t="shared" ref="AY16:BA16" si="76">SUM(AV16,AE16)</f>
        <v>#VALUE!</v>
      </c>
      <c r="AZ16" s="1497" t="e">
        <f t="shared" si="76"/>
        <v>#VALUE!</v>
      </c>
      <c r="BA16" s="1533" t="e">
        <f t="shared" si="76"/>
        <v>#VALUE!</v>
      </c>
      <c r="BB16" s="1493" t="str">
        <f t="shared" si="27"/>
        <v/>
      </c>
      <c r="BC16" s="1504" t="e">
        <f t="shared" si="28"/>
        <v>#VALUE!</v>
      </c>
      <c r="BD16" s="1497" t="str">
        <f>IFERROR(VLOOKUP(G16,'MON2'!MONTENALIM,9,FALSE),"")</f>
        <v/>
      </c>
      <c r="BE16" s="1505" t="str">
        <f>IFERROR(VLOOKUP(G16,'MON2'!MONTEFC,9,FALSE),"")</f>
        <v/>
      </c>
      <c r="BF16" s="1495" t="str">
        <f t="shared" si="29"/>
        <v/>
      </c>
      <c r="BG16" s="1497" t="str">
        <f t="shared" si="30"/>
        <v/>
      </c>
      <c r="BH16" s="1497" t="str">
        <f t="shared" si="31"/>
        <v/>
      </c>
      <c r="BI16" s="1497" t="str">
        <f t="shared" si="32"/>
        <v/>
      </c>
      <c r="BJ16" s="1497" t="str">
        <f t="shared" si="33"/>
        <v/>
      </c>
      <c r="BM16" s="231" t="s">
        <v>84</v>
      </c>
      <c r="BN16" s="232"/>
      <c r="BO16" s="232"/>
    </row>
    <row r="17" spans="1:67" ht="13">
      <c r="A17" s="1481" t="str">
        <f t="shared" si="0"/>
        <v xml:space="preserve">ROTELA </v>
      </c>
      <c r="B17" s="1467">
        <f t="shared" si="1"/>
        <v>112014637</v>
      </c>
      <c r="C17" s="1510">
        <f t="shared" si="2"/>
        <v>10</v>
      </c>
      <c r="D17" s="1511">
        <f t="shared" si="3"/>
        <v>0.15</v>
      </c>
      <c r="E17" s="1511">
        <f t="shared" si="4"/>
        <v>0.23</v>
      </c>
      <c r="F17" s="1511">
        <f t="shared" si="5"/>
        <v>0</v>
      </c>
      <c r="G17" s="1467" t="s">
        <v>1330</v>
      </c>
      <c r="H17" s="331"/>
      <c r="I17" s="1547"/>
      <c r="J17" s="156">
        <f t="shared" si="6"/>
        <v>0</v>
      </c>
      <c r="K17" s="331">
        <f>IFERROR(VLOOKUP(G17,'MON2'!MONTENALIM,3,FALSE),"")</f>
        <v>0</v>
      </c>
      <c r="L17" s="1513">
        <f>IFERROR(VLOOKUP(G17,'MON2'!MONTEFC,3,FALSE),"")</f>
        <v>0</v>
      </c>
      <c r="M17" s="1514">
        <f t="shared" si="7"/>
        <v>0</v>
      </c>
      <c r="N17" s="234" t="e">
        <f t="shared" si="8"/>
        <v>#DIV/0!</v>
      </c>
      <c r="O17" s="331" t="str">
        <f t="shared" si="9"/>
        <v/>
      </c>
      <c r="P17" s="1515">
        <v>1800000</v>
      </c>
      <c r="Q17" s="1515">
        <f t="shared" si="10"/>
        <v>0</v>
      </c>
      <c r="R17" s="331">
        <f>IFERROR(VLOOKUP(G17,'MON2'!MONTENALIM,4,FALSE),"")</f>
        <v>0</v>
      </c>
      <c r="S17" s="331">
        <f>IFERROR(VLOOKUP(G17,'MON2'!MONTEFC,4,FALSE),"")</f>
        <v>0</v>
      </c>
      <c r="T17" s="331">
        <f t="shared" si="11"/>
        <v>-1800000</v>
      </c>
      <c r="U17" s="234">
        <f t="shared" si="12"/>
        <v>0</v>
      </c>
      <c r="V17" s="331" t="str">
        <f t="shared" si="13"/>
        <v/>
      </c>
      <c r="W17" s="1547">
        <v>1800000</v>
      </c>
      <c r="X17" s="1516">
        <f t="shared" si="14"/>
        <v>0</v>
      </c>
      <c r="Y17" s="1515">
        <f>IFERROR(VLOOKUP(G17,'MON2'!MONTENALIM,5,FALSE),"")</f>
        <v>0</v>
      </c>
      <c r="Z17" s="1517">
        <f>IFERROR(VLOOKUP(G17,'MON2'!MONTEFC,5,FALSE),"")</f>
        <v>0</v>
      </c>
      <c r="AA17" s="1548"/>
      <c r="AB17" s="1515"/>
      <c r="AC17" s="1518">
        <f t="shared" si="15"/>
        <v>3600000</v>
      </c>
      <c r="AD17" s="156">
        <f t="shared" si="16"/>
        <v>9280921.9800000004</v>
      </c>
      <c r="AE17" s="331">
        <f t="shared" si="17"/>
        <v>0</v>
      </c>
      <c r="AF17" s="331">
        <f t="shared" ref="AF17:AG17" si="77">Y17+R17+K17</f>
        <v>0</v>
      </c>
      <c r="AG17" s="331">
        <f t="shared" si="77"/>
        <v>0</v>
      </c>
      <c r="AH17" s="331">
        <f t="shared" si="19"/>
        <v>-9280921.9800000004</v>
      </c>
      <c r="AI17" s="1519">
        <f t="shared" si="20"/>
        <v>0</v>
      </c>
      <c r="AJ17" s="1520" t="str">
        <f t="shared" si="21"/>
        <v/>
      </c>
      <c r="AK17" s="156">
        <f t="shared" si="22"/>
        <v>0.2599999999802094</v>
      </c>
      <c r="AL17" s="1514">
        <f>IFERROR(VLOOKUP(G17,'MON2'!MONTENALIM,6,FALSE),"")</f>
        <v>142884.01</v>
      </c>
      <c r="AM17" s="1521">
        <f>IFERROR(VLOOKUP(G17,'MON2'!MONTEFC,6,FALSE),"")</f>
        <v>142884.26999999999</v>
      </c>
      <c r="AN17" s="1520"/>
      <c r="AO17" s="156">
        <f t="shared" si="23"/>
        <v>2.9999999795109034E-2</v>
      </c>
      <c r="AP17" s="331">
        <f>IFERROR(VLOOKUP(G17,'MON2'!MONTENALIM,7,FALSE),"")</f>
        <v>2875756.39</v>
      </c>
      <c r="AQ17" s="1513">
        <f>IFERROR(VLOOKUP(G17,'MON2'!MONTEFC,7,FALSE),"")</f>
        <v>2875756.42</v>
      </c>
      <c r="AR17" s="1514"/>
      <c r="AS17" s="1514">
        <f t="shared" si="24"/>
        <v>0</v>
      </c>
      <c r="AT17" s="1514">
        <f>IFERROR(VLOOKUP(G17,'MON2'!MONTENALIM,8,FALSE),"")</f>
        <v>1122155.42</v>
      </c>
      <c r="AU17" s="1520">
        <f>IFERROR(VLOOKUP(G17,'MON2'!MONTEFC,8,FALSE),"")</f>
        <v>1122155.42</v>
      </c>
      <c r="AV17" s="1522">
        <f t="shared" ref="AV17:AX17" si="78">SUM(AS17,AO17,AK17)</f>
        <v>0.28999999977531843</v>
      </c>
      <c r="AW17" s="331">
        <f t="shared" si="78"/>
        <v>4140795.8200000003</v>
      </c>
      <c r="AX17" s="1512">
        <f t="shared" si="78"/>
        <v>4140796.11</v>
      </c>
      <c r="AY17" s="156">
        <f t="shared" ref="AY17:BA17" si="79">SUM(AV17,AE17)</f>
        <v>0.28999999977531843</v>
      </c>
      <c r="AZ17" s="331">
        <f t="shared" si="79"/>
        <v>4140795.8200000003</v>
      </c>
      <c r="BA17" s="1523">
        <f t="shared" si="79"/>
        <v>4140796.11</v>
      </c>
      <c r="BB17" s="1520" t="str">
        <f t="shared" si="27"/>
        <v/>
      </c>
      <c r="BC17" s="1524">
        <f t="shared" si="28"/>
        <v>0</v>
      </c>
      <c r="BD17" s="331">
        <f>IFERROR(VLOOKUP(G17,'MON2'!MONTENALIM,9,FALSE),"")</f>
        <v>3447573.94</v>
      </c>
      <c r="BE17" s="1525">
        <f>IFERROR(VLOOKUP(G17,'MON2'!MONTEFC,9,FALSE),"")</f>
        <v>3447573.94</v>
      </c>
      <c r="BF17" s="1514" t="str">
        <f t="shared" si="29"/>
        <v/>
      </c>
      <c r="BG17" s="331" t="str">
        <f t="shared" si="30"/>
        <v/>
      </c>
      <c r="BH17" s="331" t="str">
        <f t="shared" si="31"/>
        <v/>
      </c>
      <c r="BI17" s="331" t="str">
        <f t="shared" si="32"/>
        <v/>
      </c>
      <c r="BJ17" s="331" t="str">
        <f t="shared" si="33"/>
        <v/>
      </c>
      <c r="BM17" s="231" t="s">
        <v>86</v>
      </c>
      <c r="BN17" s="232"/>
      <c r="BO17" s="232"/>
    </row>
    <row r="18" spans="1:67" ht="13">
      <c r="A18" s="1481" t="str">
        <f t="shared" si="0"/>
        <v xml:space="preserve">ROTELA </v>
      </c>
      <c r="B18" s="1466">
        <f t="shared" si="1"/>
        <v>112013507</v>
      </c>
      <c r="C18" s="1527">
        <f t="shared" si="2"/>
        <v>12</v>
      </c>
      <c r="D18" s="733">
        <f t="shared" si="3"/>
        <v>0.15</v>
      </c>
      <c r="E18" s="733">
        <f t="shared" si="4"/>
        <v>0.09</v>
      </c>
      <c r="F18" s="733">
        <f t="shared" si="5"/>
        <v>0</v>
      </c>
      <c r="G18" s="1466" t="s">
        <v>1268</v>
      </c>
      <c r="H18" s="1497"/>
      <c r="I18" s="1486"/>
      <c r="J18" s="1494" t="e">
        <f t="shared" si="6"/>
        <v>#VALUE!</v>
      </c>
      <c r="K18" s="1497" t="str">
        <f>IFERROR(VLOOKUP(G18,'MON2'!MONTENALIM,3,FALSE),"")</f>
        <v/>
      </c>
      <c r="L18" s="1498" t="str">
        <f>IFERROR(VLOOKUP(G18,'MON2'!MONTEFC,3,FALSE),"")</f>
        <v/>
      </c>
      <c r="M18" s="1495" t="e">
        <f t="shared" si="7"/>
        <v>#VALUE!</v>
      </c>
      <c r="N18" s="1529" t="e">
        <f t="shared" si="8"/>
        <v>#VALUE!</v>
      </c>
      <c r="O18" s="1497" t="str">
        <f t="shared" si="9"/>
        <v/>
      </c>
      <c r="P18" s="1485">
        <v>1800000</v>
      </c>
      <c r="Q18" s="1485" t="e">
        <f t="shared" si="10"/>
        <v>#VALUE!</v>
      </c>
      <c r="R18" s="1497" t="str">
        <f>IFERROR(VLOOKUP(G18,'MON2'!MONTENALIM,4,FALSE),"")</f>
        <v/>
      </c>
      <c r="S18" s="1497" t="str">
        <f>IFERROR(VLOOKUP(G18,'MON2'!MONTEFC,4,FALSE),"")</f>
        <v/>
      </c>
      <c r="T18" s="1497" t="e">
        <f t="shared" si="11"/>
        <v>#VALUE!</v>
      </c>
      <c r="U18" s="1529" t="e">
        <f t="shared" si="12"/>
        <v>#VALUE!</v>
      </c>
      <c r="V18" s="1497" t="str">
        <f t="shared" si="13"/>
        <v/>
      </c>
      <c r="W18" s="1486">
        <v>1800000</v>
      </c>
      <c r="X18" s="1487" t="e">
        <f t="shared" si="14"/>
        <v>#VALUE!</v>
      </c>
      <c r="Y18" s="1485" t="str">
        <f>IFERROR(VLOOKUP(G18,'MON2'!MONTENALIM,5,FALSE),"")</f>
        <v/>
      </c>
      <c r="Z18" s="1488" t="str">
        <f>IFERROR(VLOOKUP(G18,'MON2'!MONTEFC,5,FALSE),"")</f>
        <v/>
      </c>
      <c r="AA18" s="1489"/>
      <c r="AB18" s="1485"/>
      <c r="AC18" s="1530">
        <f t="shared" si="15"/>
        <v>3600000</v>
      </c>
      <c r="AD18" s="1494">
        <f t="shared" si="16"/>
        <v>2752914.46</v>
      </c>
      <c r="AE18" s="1497" t="e">
        <f t="shared" si="17"/>
        <v>#VALUE!</v>
      </c>
      <c r="AF18" s="1497" t="e">
        <f t="shared" ref="AF18:AG18" si="80">Y18+R18+K18</f>
        <v>#VALUE!</v>
      </c>
      <c r="AG18" s="1497" t="e">
        <f t="shared" si="80"/>
        <v>#VALUE!</v>
      </c>
      <c r="AH18" s="1497" t="e">
        <f t="shared" si="19"/>
        <v>#VALUE!</v>
      </c>
      <c r="AI18" s="1531" t="str">
        <f t="shared" si="20"/>
        <v/>
      </c>
      <c r="AJ18" s="1493" t="str">
        <f t="shared" si="21"/>
        <v/>
      </c>
      <c r="AK18" s="1494" t="e">
        <f t="shared" si="22"/>
        <v>#VALUE!</v>
      </c>
      <c r="AL18" s="1495" t="str">
        <f>IFERROR(VLOOKUP(G18,'MON2'!MONTENALIM,6,FALSE),"")</f>
        <v/>
      </c>
      <c r="AM18" s="1496" t="str">
        <f>IFERROR(VLOOKUP(G18,'MON2'!MONTEFC,6,FALSE),"")</f>
        <v/>
      </c>
      <c r="AN18" s="1493"/>
      <c r="AO18" s="1494" t="e">
        <f t="shared" si="23"/>
        <v>#VALUE!</v>
      </c>
      <c r="AP18" s="1497" t="str">
        <f>IFERROR(VLOOKUP(G18,'MON2'!MONTENALIM,7,FALSE),"")</f>
        <v/>
      </c>
      <c r="AQ18" s="1498" t="str">
        <f>IFERROR(VLOOKUP(G18,'MON2'!MONTEFC,7,FALSE),"")</f>
        <v/>
      </c>
      <c r="AR18" s="1495"/>
      <c r="AS18" s="1495" t="e">
        <f t="shared" si="24"/>
        <v>#VALUE!</v>
      </c>
      <c r="AT18" s="1495" t="str">
        <f>IFERROR(VLOOKUP(G18,'MON2'!MONTENALIM,8,FALSE),"")</f>
        <v/>
      </c>
      <c r="AU18" s="1493" t="str">
        <f>IFERROR(VLOOKUP(G18,'MON2'!MONTEFC,8,FALSE),"")</f>
        <v/>
      </c>
      <c r="AV18" s="1532" t="e">
        <f t="shared" ref="AV18:AX18" si="81">SUM(AS18,AO18,AK18)</f>
        <v>#VALUE!</v>
      </c>
      <c r="AW18" s="1497">
        <f t="shared" si="81"/>
        <v>0</v>
      </c>
      <c r="AX18" s="1528">
        <f t="shared" si="81"/>
        <v>0</v>
      </c>
      <c r="AY18" s="1494" t="e">
        <f t="shared" ref="AY18:BA18" si="82">SUM(AV18,AE18)</f>
        <v>#VALUE!</v>
      </c>
      <c r="AZ18" s="1497" t="e">
        <f t="shared" si="82"/>
        <v>#VALUE!</v>
      </c>
      <c r="BA18" s="1533" t="e">
        <f t="shared" si="82"/>
        <v>#VALUE!</v>
      </c>
      <c r="BB18" s="1493" t="str">
        <f t="shared" si="27"/>
        <v/>
      </c>
      <c r="BC18" s="1504" t="e">
        <f t="shared" si="28"/>
        <v>#VALUE!</v>
      </c>
      <c r="BD18" s="1497" t="str">
        <f>IFERROR(VLOOKUP(G18,'MON2'!MONTENALIM,9,FALSE),"")</f>
        <v/>
      </c>
      <c r="BE18" s="1505" t="str">
        <f>IFERROR(VLOOKUP(G18,'MON2'!MONTEFC,9,FALSE),"")</f>
        <v/>
      </c>
      <c r="BF18" s="1495" t="str">
        <f t="shared" si="29"/>
        <v/>
      </c>
      <c r="BG18" s="1497" t="str">
        <f t="shared" si="30"/>
        <v/>
      </c>
      <c r="BH18" s="1497" t="str">
        <f t="shared" si="31"/>
        <v/>
      </c>
      <c r="BI18" s="1497" t="str">
        <f t="shared" si="32"/>
        <v/>
      </c>
      <c r="BJ18" s="1497" t="str">
        <f t="shared" si="33"/>
        <v/>
      </c>
      <c r="BM18" s="245" t="s">
        <v>1572</v>
      </c>
      <c r="BN18" s="484"/>
      <c r="BO18" s="484"/>
    </row>
    <row r="19" spans="1:67" ht="13">
      <c r="A19" s="1481" t="str">
        <f t="shared" si="0"/>
        <v xml:space="preserve">ROTELA </v>
      </c>
      <c r="B19" s="1467">
        <f t="shared" si="1"/>
        <v>112014546</v>
      </c>
      <c r="C19" s="1510">
        <f t="shared" si="2"/>
        <v>12</v>
      </c>
      <c r="D19" s="1511">
        <f t="shared" si="3"/>
        <v>0.15</v>
      </c>
      <c r="E19" s="1511">
        <f t="shared" si="4"/>
        <v>0.09</v>
      </c>
      <c r="F19" s="1511">
        <f t="shared" si="5"/>
        <v>0</v>
      </c>
      <c r="G19" s="1467" t="s">
        <v>1339</v>
      </c>
      <c r="H19" s="331"/>
      <c r="I19" s="1547"/>
      <c r="J19" s="156" t="e">
        <f t="shared" si="6"/>
        <v>#VALUE!</v>
      </c>
      <c r="K19" s="331" t="str">
        <f>IFERROR(VLOOKUP(G19,'MON2'!MONTENALIM,3,FALSE),"")</f>
        <v/>
      </c>
      <c r="L19" s="1513">
        <f>IFERROR(VLOOKUP(G19,'MON2'!MONTEFC,3,FALSE),"")</f>
        <v>0</v>
      </c>
      <c r="M19" s="1514">
        <f t="shared" si="7"/>
        <v>0</v>
      </c>
      <c r="N19" s="234" t="e">
        <f t="shared" si="8"/>
        <v>#DIV/0!</v>
      </c>
      <c r="O19" s="331" t="str">
        <f t="shared" si="9"/>
        <v/>
      </c>
      <c r="P19" s="1515">
        <v>1800000</v>
      </c>
      <c r="Q19" s="1515" t="e">
        <f t="shared" si="10"/>
        <v>#VALUE!</v>
      </c>
      <c r="R19" s="331" t="str">
        <f>IFERROR(VLOOKUP(G19,'MON2'!MONTENALIM,4,FALSE),"")</f>
        <v/>
      </c>
      <c r="S19" s="331">
        <f>IFERROR(VLOOKUP(G19,'MON2'!MONTEFC,4,FALSE),"")</f>
        <v>0</v>
      </c>
      <c r="T19" s="331">
        <f t="shared" si="11"/>
        <v>-1800000</v>
      </c>
      <c r="U19" s="234">
        <f t="shared" si="12"/>
        <v>0</v>
      </c>
      <c r="V19" s="331" t="str">
        <f t="shared" si="13"/>
        <v/>
      </c>
      <c r="W19" s="1547">
        <v>1800000</v>
      </c>
      <c r="X19" s="1516" t="e">
        <f t="shared" si="14"/>
        <v>#VALUE!</v>
      </c>
      <c r="Y19" s="1515" t="str">
        <f>IFERROR(VLOOKUP(G19,'MON2'!MONTENALIM,5,FALSE),"")</f>
        <v/>
      </c>
      <c r="Z19" s="1517">
        <f>IFERROR(VLOOKUP(G19,'MON2'!MONTEFC,5,FALSE),"")</f>
        <v>0</v>
      </c>
      <c r="AA19" s="1548"/>
      <c r="AB19" s="1515"/>
      <c r="AC19" s="1518">
        <f t="shared" si="15"/>
        <v>3600000</v>
      </c>
      <c r="AD19" s="156" t="str">
        <f t="shared" si="16"/>
        <v>0</v>
      </c>
      <c r="AE19" s="331" t="e">
        <f t="shared" si="17"/>
        <v>#VALUE!</v>
      </c>
      <c r="AF19" s="331" t="e">
        <f t="shared" ref="AF19:AG19" si="83">Y19+R19+K19</f>
        <v>#VALUE!</v>
      </c>
      <c r="AG19" s="331">
        <f t="shared" si="83"/>
        <v>0</v>
      </c>
      <c r="AH19" s="331">
        <f t="shared" si="19"/>
        <v>0</v>
      </c>
      <c r="AI19" s="1519" t="str">
        <f t="shared" si="20"/>
        <v/>
      </c>
      <c r="AJ19" s="1520" t="str">
        <f t="shared" si="21"/>
        <v/>
      </c>
      <c r="AK19" s="156" t="e">
        <f t="shared" si="22"/>
        <v>#VALUE!</v>
      </c>
      <c r="AL19" s="1514" t="str">
        <f>IFERROR(VLOOKUP(G19,'MON2'!MONTENALIM,6,FALSE),"")</f>
        <v/>
      </c>
      <c r="AM19" s="1521">
        <f>IFERROR(VLOOKUP(G19,'MON2'!MONTEFC,6,FALSE),"")</f>
        <v>0</v>
      </c>
      <c r="AN19" s="1520"/>
      <c r="AO19" s="156" t="e">
        <f t="shared" si="23"/>
        <v>#VALUE!</v>
      </c>
      <c r="AP19" s="331" t="str">
        <f>IFERROR(VLOOKUP(G19,'MON2'!MONTENALIM,7,FALSE),"")</f>
        <v/>
      </c>
      <c r="AQ19" s="1513">
        <f>IFERROR(VLOOKUP(G19,'MON2'!MONTEFC,7,FALSE),"")</f>
        <v>0</v>
      </c>
      <c r="AR19" s="1514"/>
      <c r="AS19" s="1514" t="e">
        <f t="shared" si="24"/>
        <v>#VALUE!</v>
      </c>
      <c r="AT19" s="1514" t="str">
        <f>IFERROR(VLOOKUP(G19,'MON2'!MONTENALIM,8,FALSE),"")</f>
        <v/>
      </c>
      <c r="AU19" s="1520">
        <f>IFERROR(VLOOKUP(G19,'MON2'!MONTEFC,8,FALSE),"")</f>
        <v>293215.96999999997</v>
      </c>
      <c r="AV19" s="1522" t="e">
        <f t="shared" ref="AV19:AX19" si="84">SUM(AS19,AO19,AK19)</f>
        <v>#VALUE!</v>
      </c>
      <c r="AW19" s="331">
        <f t="shared" si="84"/>
        <v>0</v>
      </c>
      <c r="AX19" s="1512">
        <f t="shared" si="84"/>
        <v>293215.96999999997</v>
      </c>
      <c r="AY19" s="156" t="e">
        <f t="shared" ref="AY19:BA19" si="85">SUM(AV19,AE19)</f>
        <v>#VALUE!</v>
      </c>
      <c r="AZ19" s="331" t="e">
        <f t="shared" si="85"/>
        <v>#VALUE!</v>
      </c>
      <c r="BA19" s="1523">
        <f t="shared" si="85"/>
        <v>293215.96999999997</v>
      </c>
      <c r="BB19" s="1520" t="str">
        <f t="shared" si="27"/>
        <v/>
      </c>
      <c r="BC19" s="1524" t="e">
        <f t="shared" si="28"/>
        <v>#VALUE!</v>
      </c>
      <c r="BD19" s="331" t="str">
        <f>IFERROR(VLOOKUP(G19,'MON2'!MONTENALIM,9,FALSE),"")</f>
        <v/>
      </c>
      <c r="BE19" s="1525">
        <f>IFERROR(VLOOKUP(G19,'MON2'!MONTEFC,9,FALSE),"")</f>
        <v>0</v>
      </c>
      <c r="BF19" s="1514" t="str">
        <f t="shared" si="29"/>
        <v/>
      </c>
      <c r="BG19" s="331" t="str">
        <f t="shared" si="30"/>
        <v/>
      </c>
      <c r="BH19" s="331" t="str">
        <f t="shared" si="31"/>
        <v/>
      </c>
      <c r="BI19" s="331" t="str">
        <f t="shared" si="32"/>
        <v/>
      </c>
      <c r="BJ19" s="331" t="str">
        <f t="shared" si="33"/>
        <v/>
      </c>
    </row>
    <row r="20" spans="1:67" ht="13">
      <c r="A20" s="1481" t="str">
        <f t="shared" si="0"/>
        <v xml:space="preserve">ROTELA </v>
      </c>
      <c r="B20" s="1466">
        <f t="shared" si="1"/>
        <v>112013617</v>
      </c>
      <c r="C20" s="1527">
        <f t="shared" si="2"/>
        <v>22</v>
      </c>
      <c r="D20" s="733">
        <f t="shared" si="3"/>
        <v>0.1</v>
      </c>
      <c r="E20" s="733">
        <f t="shared" si="4"/>
        <v>0.09</v>
      </c>
      <c r="F20" s="733">
        <f t="shared" si="5"/>
        <v>0</v>
      </c>
      <c r="G20" s="1466" t="s">
        <v>1308</v>
      </c>
      <c r="H20" s="1497"/>
      <c r="I20" s="1486"/>
      <c r="J20" s="1494" t="e">
        <f t="shared" si="6"/>
        <v>#VALUE!</v>
      </c>
      <c r="K20" s="1497" t="str">
        <f>IFERROR(VLOOKUP(G20,'MON2'!MONTENALIM,3,FALSE),"")</f>
        <v/>
      </c>
      <c r="L20" s="1498">
        <f>IFERROR(VLOOKUP(G20,'MON2'!MONTEFC,3,FALSE),"")</f>
        <v>0</v>
      </c>
      <c r="M20" s="1495">
        <f t="shared" si="7"/>
        <v>0</v>
      </c>
      <c r="N20" s="1529" t="e">
        <f t="shared" si="8"/>
        <v>#DIV/0!</v>
      </c>
      <c r="O20" s="1497" t="str">
        <f t="shared" si="9"/>
        <v/>
      </c>
      <c r="P20" s="1485">
        <v>1800000</v>
      </c>
      <c r="Q20" s="1485" t="e">
        <f t="shared" si="10"/>
        <v>#VALUE!</v>
      </c>
      <c r="R20" s="1497" t="str">
        <f>IFERROR(VLOOKUP(G20,'MON2'!MONTENALIM,4,FALSE),"")</f>
        <v/>
      </c>
      <c r="S20" s="1497">
        <f>IFERROR(VLOOKUP(G20,'MON2'!MONTEFC,4,FALSE),"")</f>
        <v>0</v>
      </c>
      <c r="T20" s="1497">
        <f t="shared" si="11"/>
        <v>-1800000</v>
      </c>
      <c r="U20" s="1529">
        <f t="shared" si="12"/>
        <v>0</v>
      </c>
      <c r="V20" s="1497" t="str">
        <f t="shared" si="13"/>
        <v/>
      </c>
      <c r="W20" s="1486">
        <v>1800000</v>
      </c>
      <c r="X20" s="1487" t="e">
        <f t="shared" si="14"/>
        <v>#VALUE!</v>
      </c>
      <c r="Y20" s="1485" t="str">
        <f>IFERROR(VLOOKUP(G20,'MON2'!MONTENALIM,5,FALSE),"")</f>
        <v/>
      </c>
      <c r="Z20" s="1488">
        <f>IFERROR(VLOOKUP(G20,'MON2'!MONTEFC,5,FALSE),"")</f>
        <v>0</v>
      </c>
      <c r="AA20" s="1489"/>
      <c r="AB20" s="1485"/>
      <c r="AC20" s="1530">
        <f t="shared" si="15"/>
        <v>3600000</v>
      </c>
      <c r="AD20" s="1494">
        <f t="shared" si="16"/>
        <v>2390631.62</v>
      </c>
      <c r="AE20" s="1497" t="e">
        <f t="shared" si="17"/>
        <v>#VALUE!</v>
      </c>
      <c r="AF20" s="1497" t="e">
        <f t="shared" ref="AF20:AG20" si="86">Y20+R20+K20</f>
        <v>#VALUE!</v>
      </c>
      <c r="AG20" s="1497">
        <f t="shared" si="86"/>
        <v>0</v>
      </c>
      <c r="AH20" s="1497">
        <f t="shared" si="19"/>
        <v>-2390631.62</v>
      </c>
      <c r="AI20" s="1531">
        <f t="shared" si="20"/>
        <v>0</v>
      </c>
      <c r="AJ20" s="1493" t="str">
        <f t="shared" si="21"/>
        <v/>
      </c>
      <c r="AK20" s="1494" t="e">
        <f t="shared" si="22"/>
        <v>#VALUE!</v>
      </c>
      <c r="AL20" s="1495" t="str">
        <f>IFERROR(VLOOKUP(G20,'MON2'!MONTENALIM,6,FALSE),"")</f>
        <v/>
      </c>
      <c r="AM20" s="1496">
        <f>IFERROR(VLOOKUP(G20,'MON2'!MONTEFC,6,FALSE),"")</f>
        <v>366130.86</v>
      </c>
      <c r="AN20" s="1493"/>
      <c r="AO20" s="1494" t="e">
        <f t="shared" si="23"/>
        <v>#VALUE!</v>
      </c>
      <c r="AP20" s="1497" t="str">
        <f>IFERROR(VLOOKUP(G20,'MON2'!MONTENALIM,7,FALSE),"")</f>
        <v/>
      </c>
      <c r="AQ20" s="1498">
        <f>IFERROR(VLOOKUP(G20,'MON2'!MONTEFC,7,FALSE),"")</f>
        <v>1218699.92</v>
      </c>
      <c r="AR20" s="1495"/>
      <c r="AS20" s="1495" t="e">
        <f t="shared" si="24"/>
        <v>#VALUE!</v>
      </c>
      <c r="AT20" s="1495" t="str">
        <f>IFERROR(VLOOKUP(G20,'MON2'!MONTENALIM,8,FALSE),"")</f>
        <v/>
      </c>
      <c r="AU20" s="1493">
        <f>IFERROR(VLOOKUP(G20,'MON2'!MONTEFC,8,FALSE),"")</f>
        <v>702213.21</v>
      </c>
      <c r="AV20" s="1532" t="e">
        <f t="shared" ref="AV20:AX20" si="87">SUM(AS20,AO20,AK20)</f>
        <v>#VALUE!</v>
      </c>
      <c r="AW20" s="1497">
        <f t="shared" si="87"/>
        <v>0</v>
      </c>
      <c r="AX20" s="1528">
        <f t="shared" si="87"/>
        <v>2287043.9899999998</v>
      </c>
      <c r="AY20" s="1494" t="e">
        <f t="shared" ref="AY20:BA20" si="88">SUM(AV20,AE20)</f>
        <v>#VALUE!</v>
      </c>
      <c r="AZ20" s="1497" t="e">
        <f t="shared" si="88"/>
        <v>#VALUE!</v>
      </c>
      <c r="BA20" s="1533">
        <f t="shared" si="88"/>
        <v>2287043.9899999998</v>
      </c>
      <c r="BB20" s="1493" t="str">
        <f t="shared" si="27"/>
        <v/>
      </c>
      <c r="BC20" s="1504" t="e">
        <f t="shared" si="28"/>
        <v>#VALUE!</v>
      </c>
      <c r="BD20" s="1497" t="str">
        <f>IFERROR(VLOOKUP(G20,'MON2'!MONTENALIM,9,FALSE),"")</f>
        <v/>
      </c>
      <c r="BE20" s="1505">
        <f>IFERROR(VLOOKUP(G20,'MON2'!MONTEFC,9,FALSE),"")</f>
        <v>0</v>
      </c>
      <c r="BF20" s="1495" t="str">
        <f t="shared" si="29"/>
        <v/>
      </c>
      <c r="BG20" s="1497" t="str">
        <f t="shared" si="30"/>
        <v/>
      </c>
      <c r="BH20" s="1497" t="str">
        <f t="shared" si="31"/>
        <v/>
      </c>
      <c r="BI20" s="1497" t="str">
        <f t="shared" si="32"/>
        <v/>
      </c>
      <c r="BJ20" s="1497" t="str">
        <f t="shared" si="33"/>
        <v/>
      </c>
    </row>
    <row r="21" spans="1:67" ht="13">
      <c r="A21" s="1481" t="str">
        <f t="shared" si="0"/>
        <v xml:space="preserve">ROTELA </v>
      </c>
      <c r="B21" s="1467">
        <f t="shared" si="1"/>
        <v>112013508</v>
      </c>
      <c r="C21" s="1510">
        <f t="shared" si="2"/>
        <v>22</v>
      </c>
      <c r="D21" s="1511">
        <f t="shared" si="3"/>
        <v>0.1</v>
      </c>
      <c r="E21" s="1511">
        <f t="shared" si="4"/>
        <v>0.09</v>
      </c>
      <c r="F21" s="1511">
        <f t="shared" si="5"/>
        <v>0</v>
      </c>
      <c r="G21" s="1467" t="s">
        <v>1309</v>
      </c>
      <c r="H21" s="331"/>
      <c r="I21" s="1547"/>
      <c r="J21" s="156" t="e">
        <f t="shared" si="6"/>
        <v>#VALUE!</v>
      </c>
      <c r="K21" s="331" t="str">
        <f>IFERROR(VLOOKUP(G21,'MON2'!MONTENALIM,3,FALSE),"")</f>
        <v/>
      </c>
      <c r="L21" s="1513" t="str">
        <f>IFERROR(VLOOKUP(G21,'MON2'!MONTEFC,3,FALSE),"")</f>
        <v/>
      </c>
      <c r="M21" s="1514" t="e">
        <f t="shared" si="7"/>
        <v>#VALUE!</v>
      </c>
      <c r="N21" s="234" t="e">
        <f t="shared" si="8"/>
        <v>#VALUE!</v>
      </c>
      <c r="O21" s="331" t="str">
        <f t="shared" si="9"/>
        <v/>
      </c>
      <c r="P21" s="1515">
        <v>1800000</v>
      </c>
      <c r="Q21" s="1515" t="e">
        <f t="shared" si="10"/>
        <v>#VALUE!</v>
      </c>
      <c r="R21" s="331" t="str">
        <f>IFERROR(VLOOKUP(G21,'MON2'!MONTENALIM,4,FALSE),"")</f>
        <v/>
      </c>
      <c r="S21" s="331" t="str">
        <f>IFERROR(VLOOKUP(G21,'MON2'!MONTEFC,4,FALSE),"")</f>
        <v/>
      </c>
      <c r="T21" s="331" t="e">
        <f t="shared" si="11"/>
        <v>#VALUE!</v>
      </c>
      <c r="U21" s="234" t="e">
        <f t="shared" si="12"/>
        <v>#VALUE!</v>
      </c>
      <c r="V21" s="331" t="str">
        <f t="shared" si="13"/>
        <v/>
      </c>
      <c r="W21" s="1547">
        <v>1800000</v>
      </c>
      <c r="X21" s="1516" t="e">
        <f t="shared" si="14"/>
        <v>#VALUE!</v>
      </c>
      <c r="Y21" s="1515" t="str">
        <f>IFERROR(VLOOKUP(G21,'MON2'!MONTENALIM,5,FALSE),"")</f>
        <v/>
      </c>
      <c r="Z21" s="1517" t="str">
        <f>IFERROR(VLOOKUP(G21,'MON2'!MONTEFC,5,FALSE),"")</f>
        <v/>
      </c>
      <c r="AA21" s="1548"/>
      <c r="AB21" s="1515"/>
      <c r="AC21" s="1518">
        <f t="shared" si="15"/>
        <v>3600000</v>
      </c>
      <c r="AD21" s="156" t="str">
        <f t="shared" si="16"/>
        <v>0</v>
      </c>
      <c r="AE21" s="331" t="e">
        <f t="shared" si="17"/>
        <v>#VALUE!</v>
      </c>
      <c r="AF21" s="331" t="e">
        <f t="shared" ref="AF21:AG21" si="89">Y21+R21+K21</f>
        <v>#VALUE!</v>
      </c>
      <c r="AG21" s="331" t="e">
        <f t="shared" si="89"/>
        <v>#VALUE!</v>
      </c>
      <c r="AH21" s="331" t="e">
        <f t="shared" si="19"/>
        <v>#VALUE!</v>
      </c>
      <c r="AI21" s="1519" t="str">
        <f t="shared" si="20"/>
        <v/>
      </c>
      <c r="AJ21" s="1520" t="str">
        <f t="shared" si="21"/>
        <v/>
      </c>
      <c r="AK21" s="156" t="e">
        <f t="shared" si="22"/>
        <v>#VALUE!</v>
      </c>
      <c r="AL21" s="1514" t="str">
        <f>IFERROR(VLOOKUP(G21,'MON2'!MONTENALIM,6,FALSE),"")</f>
        <v/>
      </c>
      <c r="AM21" s="1521" t="str">
        <f>IFERROR(VLOOKUP(G21,'MON2'!MONTEFC,6,FALSE),"")</f>
        <v/>
      </c>
      <c r="AN21" s="1520"/>
      <c r="AO21" s="156" t="e">
        <f t="shared" si="23"/>
        <v>#VALUE!</v>
      </c>
      <c r="AP21" s="331" t="str">
        <f>IFERROR(VLOOKUP(G21,'MON2'!MONTENALIM,7,FALSE),"")</f>
        <v/>
      </c>
      <c r="AQ21" s="1513" t="str">
        <f>IFERROR(VLOOKUP(G21,'MON2'!MONTEFC,7,FALSE),"")</f>
        <v/>
      </c>
      <c r="AR21" s="1514"/>
      <c r="AS21" s="1514" t="e">
        <f t="shared" si="24"/>
        <v>#VALUE!</v>
      </c>
      <c r="AT21" s="1514" t="str">
        <f>IFERROR(VLOOKUP(G21,'MON2'!MONTENALIM,8,FALSE),"")</f>
        <v/>
      </c>
      <c r="AU21" s="1520" t="str">
        <f>IFERROR(VLOOKUP(G21,'MON2'!MONTEFC,8,FALSE),"")</f>
        <v/>
      </c>
      <c r="AV21" s="1522" t="e">
        <f t="shared" ref="AV21:AX21" si="90">SUM(AS21,AO21,AK21)</f>
        <v>#VALUE!</v>
      </c>
      <c r="AW21" s="331">
        <f t="shared" si="90"/>
        <v>0</v>
      </c>
      <c r="AX21" s="1512">
        <f t="shared" si="90"/>
        <v>0</v>
      </c>
      <c r="AY21" s="156" t="e">
        <f t="shared" ref="AY21:BA21" si="91">SUM(AV21,AE21)</f>
        <v>#VALUE!</v>
      </c>
      <c r="AZ21" s="331" t="e">
        <f t="shared" si="91"/>
        <v>#VALUE!</v>
      </c>
      <c r="BA21" s="1523" t="e">
        <f t="shared" si="91"/>
        <v>#VALUE!</v>
      </c>
      <c r="BB21" s="1520" t="str">
        <f t="shared" si="27"/>
        <v/>
      </c>
      <c r="BC21" s="1524" t="e">
        <f t="shared" si="28"/>
        <v>#VALUE!</v>
      </c>
      <c r="BD21" s="331" t="str">
        <f>IFERROR(VLOOKUP(G21,'MON2'!MONTENALIM,9,FALSE),"")</f>
        <v/>
      </c>
      <c r="BE21" s="1525" t="str">
        <f>IFERROR(VLOOKUP(G21,'MON2'!MONTEFC,9,FALSE),"")</f>
        <v/>
      </c>
      <c r="BF21" s="1514" t="str">
        <f t="shared" si="29"/>
        <v/>
      </c>
      <c r="BG21" s="331" t="str">
        <f t="shared" si="30"/>
        <v/>
      </c>
      <c r="BH21" s="331" t="str">
        <f t="shared" si="31"/>
        <v/>
      </c>
      <c r="BI21" s="331" t="str">
        <f t="shared" si="32"/>
        <v/>
      </c>
      <c r="BJ21" s="331" t="str">
        <f t="shared" si="33"/>
        <v/>
      </c>
    </row>
    <row r="22" spans="1:67" ht="13">
      <c r="A22" s="1481" t="str">
        <f t="shared" si="0"/>
        <v xml:space="preserve">ROTELA </v>
      </c>
      <c r="B22" s="1466">
        <f t="shared" si="1"/>
        <v>112014647</v>
      </c>
      <c r="C22" s="1527">
        <f t="shared" si="2"/>
        <v>22</v>
      </c>
      <c r="D22" s="733">
        <f t="shared" si="3"/>
        <v>0.1</v>
      </c>
      <c r="E22" s="733">
        <f t="shared" si="4"/>
        <v>0.09</v>
      </c>
      <c r="F22" s="733">
        <f t="shared" si="5"/>
        <v>0</v>
      </c>
      <c r="G22" s="1466" t="s">
        <v>1310</v>
      </c>
      <c r="H22" s="1497"/>
      <c r="I22" s="1486"/>
      <c r="J22" s="1494" t="e">
        <f t="shared" si="6"/>
        <v>#VALUE!</v>
      </c>
      <c r="K22" s="1497" t="str">
        <f>IFERROR(VLOOKUP(G22,'MON2'!MONTENALIM,3,FALSE),"")</f>
        <v/>
      </c>
      <c r="L22" s="1498">
        <f>IFERROR(VLOOKUP(G22,'MON2'!MONTEFC,3,FALSE),"")</f>
        <v>0</v>
      </c>
      <c r="M22" s="1495">
        <f t="shared" si="7"/>
        <v>0</v>
      </c>
      <c r="N22" s="1529" t="e">
        <f t="shared" si="8"/>
        <v>#DIV/0!</v>
      </c>
      <c r="O22" s="1497" t="str">
        <f t="shared" si="9"/>
        <v/>
      </c>
      <c r="P22" s="1485">
        <v>1800000</v>
      </c>
      <c r="Q22" s="1485" t="e">
        <f t="shared" si="10"/>
        <v>#VALUE!</v>
      </c>
      <c r="R22" s="1497" t="str">
        <f>IFERROR(VLOOKUP(G22,'MON2'!MONTENALIM,4,FALSE),"")</f>
        <v/>
      </c>
      <c r="S22" s="1497">
        <f>IFERROR(VLOOKUP(G22,'MON2'!MONTEFC,4,FALSE),"")</f>
        <v>0</v>
      </c>
      <c r="T22" s="1497">
        <f t="shared" si="11"/>
        <v>-1800000</v>
      </c>
      <c r="U22" s="1529">
        <f t="shared" si="12"/>
        <v>0</v>
      </c>
      <c r="V22" s="1497" t="str">
        <f t="shared" si="13"/>
        <v/>
      </c>
      <c r="W22" s="1486">
        <v>1800000</v>
      </c>
      <c r="X22" s="1487" t="e">
        <f t="shared" si="14"/>
        <v>#VALUE!</v>
      </c>
      <c r="Y22" s="1485" t="str">
        <f>IFERROR(VLOOKUP(G22,'MON2'!MONTENALIM,5,FALSE),"")</f>
        <v/>
      </c>
      <c r="Z22" s="1488">
        <f>IFERROR(VLOOKUP(G22,'MON2'!MONTEFC,5,FALSE),"")</f>
        <v>0</v>
      </c>
      <c r="AA22" s="1489"/>
      <c r="AB22" s="1485"/>
      <c r="AC22" s="1530">
        <f t="shared" si="15"/>
        <v>3600000</v>
      </c>
      <c r="AD22" s="1494" t="str">
        <f t="shared" si="16"/>
        <v>0</v>
      </c>
      <c r="AE22" s="1497" t="e">
        <f t="shared" si="17"/>
        <v>#VALUE!</v>
      </c>
      <c r="AF22" s="1497" t="e">
        <f t="shared" ref="AF22:AG22" si="92">Y22+R22+K22</f>
        <v>#VALUE!</v>
      </c>
      <c r="AG22" s="1497">
        <f t="shared" si="92"/>
        <v>0</v>
      </c>
      <c r="AH22" s="1497">
        <f t="shared" si="19"/>
        <v>0</v>
      </c>
      <c r="AI22" s="1531" t="str">
        <f t="shared" si="20"/>
        <v/>
      </c>
      <c r="AJ22" s="1493" t="str">
        <f t="shared" si="21"/>
        <v/>
      </c>
      <c r="AK22" s="1494" t="e">
        <f t="shared" si="22"/>
        <v>#VALUE!</v>
      </c>
      <c r="AL22" s="1495" t="str">
        <f>IFERROR(VLOOKUP(G22,'MON2'!MONTENALIM,6,FALSE),"")</f>
        <v/>
      </c>
      <c r="AM22" s="1496">
        <f>IFERROR(VLOOKUP(G22,'MON2'!MONTEFC,6,FALSE),"")</f>
        <v>0</v>
      </c>
      <c r="AN22" s="1493"/>
      <c r="AO22" s="1494" t="e">
        <f t="shared" si="23"/>
        <v>#VALUE!</v>
      </c>
      <c r="AP22" s="1497" t="str">
        <f>IFERROR(VLOOKUP(G22,'MON2'!MONTENALIM,7,FALSE),"")</f>
        <v/>
      </c>
      <c r="AQ22" s="1498">
        <f>IFERROR(VLOOKUP(G22,'MON2'!MONTEFC,7,FALSE),"")</f>
        <v>0</v>
      </c>
      <c r="AR22" s="1495"/>
      <c r="AS22" s="1495" t="e">
        <f t="shared" si="24"/>
        <v>#VALUE!</v>
      </c>
      <c r="AT22" s="1495" t="str">
        <f>IFERROR(VLOOKUP(G22,'MON2'!MONTENALIM,8,FALSE),"")</f>
        <v/>
      </c>
      <c r="AU22" s="1493">
        <f>IFERROR(VLOOKUP(G22,'MON2'!MONTEFC,8,FALSE),"")</f>
        <v>0</v>
      </c>
      <c r="AV22" s="1532" t="e">
        <f t="shared" ref="AV22:AX22" si="93">SUM(AS22,AO22,AK22)</f>
        <v>#VALUE!</v>
      </c>
      <c r="AW22" s="1497">
        <f t="shared" si="93"/>
        <v>0</v>
      </c>
      <c r="AX22" s="1528">
        <f t="shared" si="93"/>
        <v>0</v>
      </c>
      <c r="AY22" s="1494" t="e">
        <f t="shared" ref="AY22:BA22" si="94">SUM(AV22,AE22)</f>
        <v>#VALUE!</v>
      </c>
      <c r="AZ22" s="1497" t="e">
        <f t="shared" si="94"/>
        <v>#VALUE!</v>
      </c>
      <c r="BA22" s="1533">
        <f t="shared" si="94"/>
        <v>0</v>
      </c>
      <c r="BB22" s="1493" t="str">
        <f t="shared" si="27"/>
        <v/>
      </c>
      <c r="BC22" s="1504" t="e">
        <f t="shared" si="28"/>
        <v>#VALUE!</v>
      </c>
      <c r="BD22" s="1497" t="str">
        <f>IFERROR(VLOOKUP(G22,'MON2'!MONTENALIM,9,FALSE),"")</f>
        <v/>
      </c>
      <c r="BE22" s="1505">
        <f>IFERROR(VLOOKUP(G22,'MON2'!MONTEFC,9,FALSE),"")</f>
        <v>371902.6</v>
      </c>
      <c r="BF22" s="1495" t="str">
        <f t="shared" si="29"/>
        <v/>
      </c>
      <c r="BG22" s="1497" t="str">
        <f t="shared" si="30"/>
        <v/>
      </c>
      <c r="BH22" s="1497" t="str">
        <f t="shared" si="31"/>
        <v/>
      </c>
      <c r="BI22" s="1497" t="str">
        <f t="shared" si="32"/>
        <v/>
      </c>
      <c r="BJ22" s="1497" t="str">
        <f t="shared" si="33"/>
        <v/>
      </c>
    </row>
    <row r="23" spans="1:67" ht="13">
      <c r="A23" s="1481" t="str">
        <f t="shared" si="0"/>
        <v xml:space="preserve">ROTELA </v>
      </c>
      <c r="B23" s="1467">
        <f t="shared" si="1"/>
        <v>112013525</v>
      </c>
      <c r="C23" s="1510">
        <f t="shared" si="2"/>
        <v>22</v>
      </c>
      <c r="D23" s="1549">
        <f t="shared" si="3"/>
        <v>0.1</v>
      </c>
      <c r="E23" s="1549">
        <f t="shared" si="4"/>
        <v>0.09</v>
      </c>
      <c r="F23" s="1549">
        <f t="shared" si="5"/>
        <v>0</v>
      </c>
      <c r="G23" s="1550" t="s">
        <v>1311</v>
      </c>
      <c r="H23" s="1515"/>
      <c r="I23" s="1547"/>
      <c r="J23" s="156" t="e">
        <f t="shared" si="6"/>
        <v>#VALUE!</v>
      </c>
      <c r="K23" s="331" t="str">
        <f>IFERROR(VLOOKUP(G23,'MON2'!MONTENALIM,3,FALSE),"")</f>
        <v/>
      </c>
      <c r="L23" s="1513">
        <f>IFERROR(VLOOKUP(G23,'MON2'!MONTEFC,3,FALSE),"")</f>
        <v>0</v>
      </c>
      <c r="M23" s="1514">
        <f t="shared" si="7"/>
        <v>0</v>
      </c>
      <c r="N23" s="234" t="e">
        <f t="shared" si="8"/>
        <v>#DIV/0!</v>
      </c>
      <c r="O23" s="1515" t="str">
        <f t="shared" si="9"/>
        <v/>
      </c>
      <c r="P23" s="1515">
        <v>1800000</v>
      </c>
      <c r="Q23" s="1515" t="e">
        <f t="shared" si="10"/>
        <v>#VALUE!</v>
      </c>
      <c r="R23" s="331" t="str">
        <f>IFERROR(VLOOKUP(G23,'MON2'!MONTENALIM,4,FALSE),"")</f>
        <v/>
      </c>
      <c r="S23" s="331">
        <f>IFERROR(VLOOKUP(G23,'MON2'!MONTEFC,4,FALSE),"")</f>
        <v>0</v>
      </c>
      <c r="T23" s="331">
        <f t="shared" si="11"/>
        <v>-1800000</v>
      </c>
      <c r="U23" s="234">
        <f t="shared" si="12"/>
        <v>0</v>
      </c>
      <c r="V23" s="1515" t="str">
        <f t="shared" si="13"/>
        <v/>
      </c>
      <c r="W23" s="1547">
        <v>1800000</v>
      </c>
      <c r="X23" s="1516" t="e">
        <f t="shared" si="14"/>
        <v>#VALUE!</v>
      </c>
      <c r="Y23" s="1515" t="str">
        <f>IFERROR(VLOOKUP(G23,'MON2'!MONTENALIM,5,FALSE),"")</f>
        <v/>
      </c>
      <c r="Z23" s="1517">
        <f>IFERROR(VLOOKUP(G23,'MON2'!MONTEFC,5,FALSE),"")</f>
        <v>0</v>
      </c>
      <c r="AA23" s="1548"/>
      <c r="AB23" s="1515"/>
      <c r="AC23" s="1551">
        <f t="shared" si="15"/>
        <v>3600000</v>
      </c>
      <c r="AD23" s="156">
        <f t="shared" si="16"/>
        <v>189294.07999999999</v>
      </c>
      <c r="AE23" s="331" t="e">
        <f t="shared" si="17"/>
        <v>#VALUE!</v>
      </c>
      <c r="AF23" s="331" t="e">
        <f t="shared" ref="AF23:AG23" si="95">Y23+R23+K23</f>
        <v>#VALUE!</v>
      </c>
      <c r="AG23" s="331">
        <f t="shared" si="95"/>
        <v>0</v>
      </c>
      <c r="AH23" s="331">
        <f t="shared" si="19"/>
        <v>-189294.07999999999</v>
      </c>
      <c r="AI23" s="1519">
        <f t="shared" si="20"/>
        <v>0</v>
      </c>
      <c r="AJ23" s="1520" t="str">
        <f t="shared" si="21"/>
        <v/>
      </c>
      <c r="AK23" s="156" t="e">
        <f t="shared" si="22"/>
        <v>#VALUE!</v>
      </c>
      <c r="AL23" s="1514" t="str">
        <f>IFERROR(VLOOKUP(G23,'MON2'!MONTENALIM,6,FALSE),"")</f>
        <v/>
      </c>
      <c r="AM23" s="1521">
        <f>IFERROR(VLOOKUP(G23,'MON2'!MONTEFC,6,FALSE),"")</f>
        <v>0</v>
      </c>
      <c r="AN23" s="1520"/>
      <c r="AO23" s="156" t="e">
        <f t="shared" si="23"/>
        <v>#VALUE!</v>
      </c>
      <c r="AP23" s="331" t="str">
        <f>IFERROR(VLOOKUP(G23,'MON2'!MONTENALIM,7,FALSE),"")</f>
        <v/>
      </c>
      <c r="AQ23" s="1513">
        <f>IFERROR(VLOOKUP(G23,'MON2'!MONTEFC,7,FALSE),"")</f>
        <v>246004.76</v>
      </c>
      <c r="AR23" s="1514"/>
      <c r="AS23" s="1514" t="e">
        <f t="shared" si="24"/>
        <v>#VALUE!</v>
      </c>
      <c r="AT23" s="1514" t="str">
        <f>IFERROR(VLOOKUP(G23,'MON2'!MONTENALIM,8,FALSE),"")</f>
        <v/>
      </c>
      <c r="AU23" s="1520">
        <f>IFERROR(VLOOKUP(G23,'MON2'!MONTEFC,8,FALSE),"")</f>
        <v>0</v>
      </c>
      <c r="AV23" s="1522" t="e">
        <f t="shared" ref="AV23:AX23" si="96">SUM(AS23,AO23,AK23)</f>
        <v>#VALUE!</v>
      </c>
      <c r="AW23" s="331">
        <f t="shared" si="96"/>
        <v>0</v>
      </c>
      <c r="AX23" s="1512">
        <f t="shared" si="96"/>
        <v>246004.76</v>
      </c>
      <c r="AY23" s="156" t="e">
        <f t="shared" ref="AY23:BA23" si="97">SUM(AV23,AE23)</f>
        <v>#VALUE!</v>
      </c>
      <c r="AZ23" s="331" t="e">
        <f t="shared" si="97"/>
        <v>#VALUE!</v>
      </c>
      <c r="BA23" s="1523">
        <f t="shared" si="97"/>
        <v>246004.76</v>
      </c>
      <c r="BB23" s="1520" t="str">
        <f t="shared" si="27"/>
        <v/>
      </c>
      <c r="BC23" s="1524" t="e">
        <f t="shared" si="28"/>
        <v>#VALUE!</v>
      </c>
      <c r="BD23" s="331" t="str">
        <f>IFERROR(VLOOKUP(G23,'MON2'!MONTENALIM,9,FALSE),"")</f>
        <v/>
      </c>
      <c r="BE23" s="1525">
        <f>IFERROR(VLOOKUP(G23,'MON2'!MONTEFC,9,FALSE),"")</f>
        <v>0</v>
      </c>
      <c r="BF23" s="1514" t="str">
        <f t="shared" si="29"/>
        <v/>
      </c>
      <c r="BG23" s="331" t="str">
        <f t="shared" si="30"/>
        <v/>
      </c>
      <c r="BH23" s="331" t="str">
        <f t="shared" si="31"/>
        <v/>
      </c>
      <c r="BI23" s="331" t="str">
        <f t="shared" si="32"/>
        <v/>
      </c>
      <c r="BJ23" s="331" t="str">
        <f t="shared" si="33"/>
        <v/>
      </c>
    </row>
    <row r="24" spans="1:67" ht="13">
      <c r="A24" s="1481" t="str">
        <f t="shared" si="0"/>
        <v xml:space="preserve">ROTELA </v>
      </c>
      <c r="B24" s="1466">
        <f t="shared" si="1"/>
        <v>112013486</v>
      </c>
      <c r="C24" s="1527">
        <f t="shared" si="2"/>
        <v>22</v>
      </c>
      <c r="D24" s="733">
        <f t="shared" si="3"/>
        <v>0.1</v>
      </c>
      <c r="E24" s="733">
        <f t="shared" si="4"/>
        <v>0.09</v>
      </c>
      <c r="F24" s="733">
        <f t="shared" si="5"/>
        <v>0</v>
      </c>
      <c r="G24" s="1466" t="s">
        <v>1312</v>
      </c>
      <c r="H24" s="1497"/>
      <c r="I24" s="1486"/>
      <c r="J24" s="1494" t="e">
        <f t="shared" si="6"/>
        <v>#VALUE!</v>
      </c>
      <c r="K24" s="1497" t="str">
        <f>IFERROR(VLOOKUP(G24,'MON2'!MONTENALIM,3,FALSE),"")</f>
        <v/>
      </c>
      <c r="L24" s="1498">
        <f>IFERROR(VLOOKUP(G24,'MON2'!MONTEFC,3,FALSE),"")</f>
        <v>0</v>
      </c>
      <c r="M24" s="1495">
        <f t="shared" si="7"/>
        <v>0</v>
      </c>
      <c r="N24" s="1529" t="e">
        <f t="shared" si="8"/>
        <v>#DIV/0!</v>
      </c>
      <c r="O24" s="1497" t="str">
        <f t="shared" si="9"/>
        <v/>
      </c>
      <c r="P24" s="1485">
        <v>1800000</v>
      </c>
      <c r="Q24" s="1485" t="e">
        <f t="shared" si="10"/>
        <v>#VALUE!</v>
      </c>
      <c r="R24" s="1497" t="str">
        <f>IFERROR(VLOOKUP(G24,'MON2'!MONTENALIM,4,FALSE),"")</f>
        <v/>
      </c>
      <c r="S24" s="1497">
        <f>IFERROR(VLOOKUP(G24,'MON2'!MONTEFC,4,FALSE),"")</f>
        <v>0</v>
      </c>
      <c r="T24" s="1497">
        <f t="shared" si="11"/>
        <v>-1800000</v>
      </c>
      <c r="U24" s="1529">
        <f t="shared" si="12"/>
        <v>0</v>
      </c>
      <c r="V24" s="1497" t="str">
        <f t="shared" si="13"/>
        <v/>
      </c>
      <c r="W24" s="1486">
        <v>1800000</v>
      </c>
      <c r="X24" s="1487" t="e">
        <f t="shared" si="14"/>
        <v>#VALUE!</v>
      </c>
      <c r="Y24" s="1485" t="str">
        <f>IFERROR(VLOOKUP(G24,'MON2'!MONTENALIM,5,FALSE),"")</f>
        <v/>
      </c>
      <c r="Z24" s="1488">
        <f>IFERROR(VLOOKUP(G24,'MON2'!MONTEFC,5,FALSE),"")</f>
        <v>0</v>
      </c>
      <c r="AA24" s="1489"/>
      <c r="AB24" s="1485"/>
      <c r="AC24" s="1530">
        <f t="shared" si="15"/>
        <v>3600000</v>
      </c>
      <c r="AD24" s="1494" t="str">
        <f t="shared" si="16"/>
        <v>0</v>
      </c>
      <c r="AE24" s="1497" t="e">
        <f t="shared" si="17"/>
        <v>#VALUE!</v>
      </c>
      <c r="AF24" s="1497" t="e">
        <f t="shared" ref="AF24:AG24" si="98">Y24+R24+K24</f>
        <v>#VALUE!</v>
      </c>
      <c r="AG24" s="1497">
        <f t="shared" si="98"/>
        <v>0</v>
      </c>
      <c r="AH24" s="1497">
        <f t="shared" si="19"/>
        <v>0</v>
      </c>
      <c r="AI24" s="1531" t="str">
        <f t="shared" si="20"/>
        <v/>
      </c>
      <c r="AJ24" s="1493" t="str">
        <f t="shared" si="21"/>
        <v/>
      </c>
      <c r="AK24" s="1494" t="e">
        <f t="shared" si="22"/>
        <v>#VALUE!</v>
      </c>
      <c r="AL24" s="1495" t="str">
        <f>IFERROR(VLOOKUP(G24,'MON2'!MONTENALIM,6,FALSE),"")</f>
        <v/>
      </c>
      <c r="AM24" s="1496">
        <f>IFERROR(VLOOKUP(G24,'MON2'!MONTEFC,6,FALSE),"")</f>
        <v>1737391.62</v>
      </c>
      <c r="AN24" s="1493"/>
      <c r="AO24" s="1494" t="e">
        <f t="shared" si="23"/>
        <v>#VALUE!</v>
      </c>
      <c r="AP24" s="1497" t="str">
        <f>IFERROR(VLOOKUP(G24,'MON2'!MONTENALIM,7,FALSE),"")</f>
        <v/>
      </c>
      <c r="AQ24" s="1498">
        <f>IFERROR(VLOOKUP(G24,'MON2'!MONTEFC,7,FALSE),"")</f>
        <v>0</v>
      </c>
      <c r="AR24" s="1495"/>
      <c r="AS24" s="1495" t="e">
        <f t="shared" si="24"/>
        <v>#VALUE!</v>
      </c>
      <c r="AT24" s="1495" t="str">
        <f>IFERROR(VLOOKUP(G24,'MON2'!MONTENALIM,8,FALSE),"")</f>
        <v/>
      </c>
      <c r="AU24" s="1493">
        <f>IFERROR(VLOOKUP(G24,'MON2'!MONTEFC,8,FALSE),"")</f>
        <v>0</v>
      </c>
      <c r="AV24" s="1532" t="e">
        <f t="shared" ref="AV24:AX24" si="99">SUM(AS24,AO24,AK24)</f>
        <v>#VALUE!</v>
      </c>
      <c r="AW24" s="1497">
        <f t="shared" si="99"/>
        <v>0</v>
      </c>
      <c r="AX24" s="1528">
        <f t="shared" si="99"/>
        <v>1737391.62</v>
      </c>
      <c r="AY24" s="1494" t="e">
        <f t="shared" ref="AY24:BA24" si="100">SUM(AV24,AE24)</f>
        <v>#VALUE!</v>
      </c>
      <c r="AZ24" s="1497" t="e">
        <f t="shared" si="100"/>
        <v>#VALUE!</v>
      </c>
      <c r="BA24" s="1533">
        <f t="shared" si="100"/>
        <v>1737391.62</v>
      </c>
      <c r="BB24" s="1493" t="str">
        <f t="shared" si="27"/>
        <v/>
      </c>
      <c r="BC24" s="1504" t="e">
        <f t="shared" si="28"/>
        <v>#VALUE!</v>
      </c>
      <c r="BD24" s="1497" t="str">
        <f>IFERROR(VLOOKUP(G24,'MON2'!MONTENALIM,9,FALSE),"")</f>
        <v/>
      </c>
      <c r="BE24" s="1505">
        <f>IFERROR(VLOOKUP(G24,'MON2'!MONTEFC,9,FALSE),"")</f>
        <v>0</v>
      </c>
      <c r="BF24" s="1495" t="str">
        <f t="shared" si="29"/>
        <v/>
      </c>
      <c r="BG24" s="1497" t="str">
        <f t="shared" si="30"/>
        <v/>
      </c>
      <c r="BH24" s="1497" t="str">
        <f t="shared" si="31"/>
        <v/>
      </c>
      <c r="BI24" s="1497" t="str">
        <f t="shared" si="32"/>
        <v/>
      </c>
      <c r="BJ24" s="1497" t="str">
        <f t="shared" si="33"/>
        <v/>
      </c>
    </row>
    <row r="25" spans="1:67" ht="13">
      <c r="A25" s="1481" t="str">
        <f t="shared" si="0"/>
        <v xml:space="preserve">ROTELA </v>
      </c>
      <c r="B25" s="1467">
        <f t="shared" si="1"/>
        <v>112014071</v>
      </c>
      <c r="C25" s="1510">
        <f t="shared" si="2"/>
        <v>7</v>
      </c>
      <c r="D25" s="1511">
        <f t="shared" si="3"/>
        <v>0.1</v>
      </c>
      <c r="E25" s="1511">
        <f t="shared" si="4"/>
        <v>0.2</v>
      </c>
      <c r="F25" s="1511">
        <f t="shared" si="5"/>
        <v>0</v>
      </c>
      <c r="G25" s="1467" t="s">
        <v>1313</v>
      </c>
      <c r="H25" s="331"/>
      <c r="I25" s="1547"/>
      <c r="J25" s="156" t="e">
        <f t="shared" si="6"/>
        <v>#VALUE!</v>
      </c>
      <c r="K25" s="331" t="str">
        <f>IFERROR(VLOOKUP(G25,'MON2'!MONTENALIM,3,FALSE),"")</f>
        <v/>
      </c>
      <c r="L25" s="1513">
        <f>IFERROR(VLOOKUP(G25,'MON2'!MONTEFC,3,FALSE),"")</f>
        <v>0</v>
      </c>
      <c r="M25" s="1514">
        <f t="shared" si="7"/>
        <v>0</v>
      </c>
      <c r="N25" s="234" t="e">
        <f t="shared" si="8"/>
        <v>#DIV/0!</v>
      </c>
      <c r="O25" s="331" t="str">
        <f t="shared" si="9"/>
        <v/>
      </c>
      <c r="P25" s="1515">
        <v>1800000</v>
      </c>
      <c r="Q25" s="1515" t="e">
        <f t="shared" si="10"/>
        <v>#VALUE!</v>
      </c>
      <c r="R25" s="331" t="str">
        <f>IFERROR(VLOOKUP(G25,'MON2'!MONTENALIM,4,FALSE),"")</f>
        <v/>
      </c>
      <c r="S25" s="331">
        <f>IFERROR(VLOOKUP(G25,'MON2'!MONTEFC,4,FALSE),"")</f>
        <v>0</v>
      </c>
      <c r="T25" s="331">
        <f t="shared" si="11"/>
        <v>-1800000</v>
      </c>
      <c r="U25" s="234">
        <f t="shared" si="12"/>
        <v>0</v>
      </c>
      <c r="V25" s="331" t="str">
        <f t="shared" si="13"/>
        <v/>
      </c>
      <c r="W25" s="1547">
        <v>1800000</v>
      </c>
      <c r="X25" s="1516" t="e">
        <f t="shared" si="14"/>
        <v>#VALUE!</v>
      </c>
      <c r="Y25" s="1515" t="str">
        <f>IFERROR(VLOOKUP(G25,'MON2'!MONTENALIM,5,FALSE),"")</f>
        <v/>
      </c>
      <c r="Z25" s="1517">
        <f>IFERROR(VLOOKUP(G25,'MON2'!MONTEFC,5,FALSE),"")</f>
        <v>0</v>
      </c>
      <c r="AA25" s="1548"/>
      <c r="AB25" s="1515"/>
      <c r="AC25" s="1518">
        <f t="shared" si="15"/>
        <v>3600000</v>
      </c>
      <c r="AD25" s="156">
        <f t="shared" si="16"/>
        <v>5538785.1600000001</v>
      </c>
      <c r="AE25" s="331" t="e">
        <f t="shared" si="17"/>
        <v>#VALUE!</v>
      </c>
      <c r="AF25" s="331" t="e">
        <f t="shared" ref="AF25:AG25" si="101">Y25+R25+K25</f>
        <v>#VALUE!</v>
      </c>
      <c r="AG25" s="331">
        <f t="shared" si="101"/>
        <v>0</v>
      </c>
      <c r="AH25" s="331">
        <f t="shared" si="19"/>
        <v>-5538785.1600000001</v>
      </c>
      <c r="AI25" s="1519">
        <f t="shared" si="20"/>
        <v>0</v>
      </c>
      <c r="AJ25" s="1520" t="str">
        <f t="shared" si="21"/>
        <v/>
      </c>
      <c r="AK25" s="156" t="e">
        <f t="shared" si="22"/>
        <v>#VALUE!</v>
      </c>
      <c r="AL25" s="1514" t="str">
        <f>IFERROR(VLOOKUP(G25,'MON2'!MONTENALIM,6,FALSE),"")</f>
        <v/>
      </c>
      <c r="AM25" s="1521">
        <f>IFERROR(VLOOKUP(G25,'MON2'!MONTEFC,6,FALSE),"")</f>
        <v>1087344</v>
      </c>
      <c r="AN25" s="1520"/>
      <c r="AO25" s="156" t="e">
        <f t="shared" si="23"/>
        <v>#VALUE!</v>
      </c>
      <c r="AP25" s="331" t="str">
        <f>IFERROR(VLOOKUP(G25,'MON2'!MONTENALIM,7,FALSE),"")</f>
        <v/>
      </c>
      <c r="AQ25" s="1513">
        <f>IFERROR(VLOOKUP(G25,'MON2'!MONTEFC,7,FALSE),"")</f>
        <v>540331.26</v>
      </c>
      <c r="AR25" s="1514"/>
      <c r="AS25" s="1514" t="e">
        <f t="shared" si="24"/>
        <v>#VALUE!</v>
      </c>
      <c r="AT25" s="1514" t="str">
        <f>IFERROR(VLOOKUP(G25,'MON2'!MONTENALIM,8,FALSE),"")</f>
        <v/>
      </c>
      <c r="AU25" s="1520">
        <f>IFERROR(VLOOKUP(G25,'MON2'!MONTEFC,8,FALSE),"")</f>
        <v>2444664.85</v>
      </c>
      <c r="AV25" s="1522" t="e">
        <f t="shared" ref="AV25:AX25" si="102">SUM(AS25,AO25,AK25)</f>
        <v>#VALUE!</v>
      </c>
      <c r="AW25" s="331">
        <f t="shared" si="102"/>
        <v>0</v>
      </c>
      <c r="AX25" s="1512">
        <f t="shared" si="102"/>
        <v>4072340.1100000003</v>
      </c>
      <c r="AY25" s="156" t="e">
        <f t="shared" ref="AY25:BA25" si="103">SUM(AV25,AE25)</f>
        <v>#VALUE!</v>
      </c>
      <c r="AZ25" s="331" t="e">
        <f t="shared" si="103"/>
        <v>#VALUE!</v>
      </c>
      <c r="BA25" s="1523">
        <f t="shared" si="103"/>
        <v>4072340.1100000003</v>
      </c>
      <c r="BB25" s="1520" t="str">
        <f t="shared" si="27"/>
        <v/>
      </c>
      <c r="BC25" s="1524" t="e">
        <f t="shared" si="28"/>
        <v>#VALUE!</v>
      </c>
      <c r="BD25" s="331" t="str">
        <f>IFERROR(VLOOKUP(G25,'MON2'!MONTENALIM,9,FALSE),"")</f>
        <v/>
      </c>
      <c r="BE25" s="1525">
        <f>IFERROR(VLOOKUP(G25,'MON2'!MONTEFC,9,FALSE),"")</f>
        <v>709585.44</v>
      </c>
      <c r="BF25" s="1514" t="str">
        <f t="shared" si="29"/>
        <v/>
      </c>
      <c r="BG25" s="331" t="str">
        <f t="shared" si="30"/>
        <v/>
      </c>
      <c r="BH25" s="331" t="str">
        <f t="shared" si="31"/>
        <v/>
      </c>
      <c r="BI25" s="331" t="str">
        <f t="shared" si="32"/>
        <v/>
      </c>
      <c r="BJ25" s="331" t="str">
        <f t="shared" si="33"/>
        <v/>
      </c>
    </row>
    <row r="26" spans="1:67" ht="13">
      <c r="A26" s="1481" t="str">
        <f t="shared" si="0"/>
        <v xml:space="preserve">ROTELA </v>
      </c>
      <c r="B26" s="1466">
        <f t="shared" si="1"/>
        <v>112013897</v>
      </c>
      <c r="C26" s="1527">
        <f t="shared" si="2"/>
        <v>22</v>
      </c>
      <c r="D26" s="733">
        <f t="shared" si="3"/>
        <v>0.1</v>
      </c>
      <c r="E26" s="733">
        <f t="shared" si="4"/>
        <v>0.09</v>
      </c>
      <c r="F26" s="733">
        <f t="shared" si="5"/>
        <v>0</v>
      </c>
      <c r="G26" s="1466" t="s">
        <v>1314</v>
      </c>
      <c r="H26" s="1497"/>
      <c r="I26" s="1486"/>
      <c r="J26" s="1494" t="e">
        <f t="shared" si="6"/>
        <v>#VALUE!</v>
      </c>
      <c r="K26" s="1497" t="str">
        <f>IFERROR(VLOOKUP(G26,'MON2'!MONTENALIM,3,FALSE),"")</f>
        <v/>
      </c>
      <c r="L26" s="1498">
        <f>IFERROR(VLOOKUP(G26,'MON2'!MONTEFC,3,FALSE),"")</f>
        <v>0</v>
      </c>
      <c r="M26" s="1495">
        <f t="shared" si="7"/>
        <v>0</v>
      </c>
      <c r="N26" s="1529" t="e">
        <f t="shared" si="8"/>
        <v>#DIV/0!</v>
      </c>
      <c r="O26" s="1497" t="str">
        <f t="shared" si="9"/>
        <v/>
      </c>
      <c r="P26" s="1485">
        <v>1800000</v>
      </c>
      <c r="Q26" s="1485" t="e">
        <f t="shared" si="10"/>
        <v>#VALUE!</v>
      </c>
      <c r="R26" s="1497" t="str">
        <f>IFERROR(VLOOKUP(G26,'MON2'!MONTENALIM,4,FALSE),"")</f>
        <v/>
      </c>
      <c r="S26" s="1497">
        <f>IFERROR(VLOOKUP(G26,'MON2'!MONTEFC,4,FALSE),"")</f>
        <v>0</v>
      </c>
      <c r="T26" s="1497">
        <f t="shared" si="11"/>
        <v>-1800000</v>
      </c>
      <c r="U26" s="1529">
        <f t="shared" si="12"/>
        <v>0</v>
      </c>
      <c r="V26" s="1497" t="str">
        <f t="shared" si="13"/>
        <v/>
      </c>
      <c r="W26" s="1486">
        <v>1800000</v>
      </c>
      <c r="X26" s="1487" t="e">
        <f t="shared" si="14"/>
        <v>#VALUE!</v>
      </c>
      <c r="Y26" s="1485" t="str">
        <f>IFERROR(VLOOKUP(G26,'MON2'!MONTENALIM,5,FALSE),"")</f>
        <v/>
      </c>
      <c r="Z26" s="1488">
        <f>IFERROR(VLOOKUP(G26,'MON2'!MONTEFC,5,FALSE),"")</f>
        <v>0</v>
      </c>
      <c r="AA26" s="1489"/>
      <c r="AB26" s="1485"/>
      <c r="AC26" s="1530">
        <f t="shared" si="15"/>
        <v>3600000</v>
      </c>
      <c r="AD26" s="1494">
        <f t="shared" si="16"/>
        <v>1154065.28</v>
      </c>
      <c r="AE26" s="1497" t="e">
        <f t="shared" si="17"/>
        <v>#VALUE!</v>
      </c>
      <c r="AF26" s="1497" t="e">
        <f t="shared" ref="AF26:AG26" si="104">Y26+R26+K26</f>
        <v>#VALUE!</v>
      </c>
      <c r="AG26" s="1497">
        <f t="shared" si="104"/>
        <v>0</v>
      </c>
      <c r="AH26" s="1497">
        <f t="shared" si="19"/>
        <v>-1154065.28</v>
      </c>
      <c r="AI26" s="1531">
        <f t="shared" si="20"/>
        <v>0</v>
      </c>
      <c r="AJ26" s="1493" t="str">
        <f t="shared" si="21"/>
        <v/>
      </c>
      <c r="AK26" s="1494" t="e">
        <f t="shared" si="22"/>
        <v>#VALUE!</v>
      </c>
      <c r="AL26" s="1495" t="str">
        <f>IFERROR(VLOOKUP(G26,'MON2'!MONTENALIM,6,FALSE),"")</f>
        <v/>
      </c>
      <c r="AM26" s="1496">
        <f>IFERROR(VLOOKUP(G26,'MON2'!MONTEFC,6,FALSE),"")</f>
        <v>0</v>
      </c>
      <c r="AN26" s="1493"/>
      <c r="AO26" s="1494" t="e">
        <f t="shared" si="23"/>
        <v>#VALUE!</v>
      </c>
      <c r="AP26" s="1497" t="str">
        <f>IFERROR(VLOOKUP(G26,'MON2'!MONTENALIM,7,FALSE),"")</f>
        <v/>
      </c>
      <c r="AQ26" s="1498">
        <f>IFERROR(VLOOKUP(G26,'MON2'!MONTEFC,7,FALSE),"")</f>
        <v>0</v>
      </c>
      <c r="AR26" s="1495"/>
      <c r="AS26" s="1495" t="e">
        <f t="shared" si="24"/>
        <v>#VALUE!</v>
      </c>
      <c r="AT26" s="1495" t="str">
        <f>IFERROR(VLOOKUP(G26,'MON2'!MONTENALIM,8,FALSE),"")</f>
        <v/>
      </c>
      <c r="AU26" s="1493">
        <f>IFERROR(VLOOKUP(G26,'MON2'!MONTEFC,8,FALSE),"")</f>
        <v>210084.3</v>
      </c>
      <c r="AV26" s="1532" t="e">
        <f t="shared" ref="AV26:AX26" si="105">SUM(AS26,AO26,AK26)</f>
        <v>#VALUE!</v>
      </c>
      <c r="AW26" s="1497">
        <f t="shared" si="105"/>
        <v>0</v>
      </c>
      <c r="AX26" s="1528">
        <f t="shared" si="105"/>
        <v>210084.3</v>
      </c>
      <c r="AY26" s="1494" t="e">
        <f t="shared" ref="AY26:BA26" si="106">SUM(AV26,AE26)</f>
        <v>#VALUE!</v>
      </c>
      <c r="AZ26" s="1497" t="e">
        <f t="shared" si="106"/>
        <v>#VALUE!</v>
      </c>
      <c r="BA26" s="1533">
        <f t="shared" si="106"/>
        <v>210084.3</v>
      </c>
      <c r="BB26" s="1493" t="str">
        <f t="shared" si="27"/>
        <v/>
      </c>
      <c r="BC26" s="1504" t="e">
        <f t="shared" si="28"/>
        <v>#VALUE!</v>
      </c>
      <c r="BD26" s="1497" t="str">
        <f>IFERROR(VLOOKUP(G26,'MON2'!MONTENALIM,9,FALSE),"")</f>
        <v/>
      </c>
      <c r="BE26" s="1505">
        <f>IFERROR(VLOOKUP(G26,'MON2'!MONTEFC,9,FALSE),"")</f>
        <v>0</v>
      </c>
      <c r="BF26" s="1495" t="str">
        <f t="shared" si="29"/>
        <v/>
      </c>
      <c r="BG26" s="1497" t="str">
        <f t="shared" si="30"/>
        <v/>
      </c>
      <c r="BH26" s="1497" t="str">
        <f t="shared" si="31"/>
        <v/>
      </c>
      <c r="BI26" s="1497" t="str">
        <f t="shared" si="32"/>
        <v/>
      </c>
      <c r="BJ26" s="1497" t="str">
        <f t="shared" si="33"/>
        <v/>
      </c>
    </row>
    <row r="27" spans="1:67" ht="13">
      <c r="A27" s="1481" t="str">
        <f t="shared" si="0"/>
        <v xml:space="preserve">ROTELA </v>
      </c>
      <c r="B27" s="1467">
        <f t="shared" si="1"/>
        <v>112014487</v>
      </c>
      <c r="C27" s="1510">
        <f t="shared" si="2"/>
        <v>22</v>
      </c>
      <c r="D27" s="1511">
        <f t="shared" si="3"/>
        <v>0.1</v>
      </c>
      <c r="E27" s="1511">
        <f t="shared" si="4"/>
        <v>0.09</v>
      </c>
      <c r="F27" s="1511">
        <f t="shared" si="5"/>
        <v>0</v>
      </c>
      <c r="G27" s="1467" t="s">
        <v>1315</v>
      </c>
      <c r="H27" s="331"/>
      <c r="I27" s="1547"/>
      <c r="J27" s="156" t="e">
        <f t="shared" si="6"/>
        <v>#VALUE!</v>
      </c>
      <c r="K27" s="331" t="str">
        <f>IFERROR(VLOOKUP(G27,'MON2'!MONTENALIM,3,FALSE),"")</f>
        <v/>
      </c>
      <c r="L27" s="1513">
        <f>IFERROR(VLOOKUP(G27,'MON2'!MONTEFC,3,FALSE),"")</f>
        <v>0</v>
      </c>
      <c r="M27" s="1514">
        <f t="shared" si="7"/>
        <v>0</v>
      </c>
      <c r="N27" s="234" t="e">
        <f t="shared" si="8"/>
        <v>#DIV/0!</v>
      </c>
      <c r="O27" s="331" t="str">
        <f t="shared" si="9"/>
        <v/>
      </c>
      <c r="P27" s="1515">
        <v>1800000</v>
      </c>
      <c r="Q27" s="1515" t="e">
        <f t="shared" si="10"/>
        <v>#VALUE!</v>
      </c>
      <c r="R27" s="331" t="str">
        <f>IFERROR(VLOOKUP(G27,'MON2'!MONTENALIM,4,FALSE),"")</f>
        <v/>
      </c>
      <c r="S27" s="331">
        <f>IFERROR(VLOOKUP(G27,'MON2'!MONTEFC,4,FALSE),"")</f>
        <v>0</v>
      </c>
      <c r="T27" s="331">
        <f t="shared" si="11"/>
        <v>-1800000</v>
      </c>
      <c r="U27" s="234">
        <f t="shared" si="12"/>
        <v>0</v>
      </c>
      <c r="V27" s="331" t="str">
        <f t="shared" si="13"/>
        <v/>
      </c>
      <c r="W27" s="1547">
        <v>1800000</v>
      </c>
      <c r="X27" s="1516" t="e">
        <f t="shared" si="14"/>
        <v>#VALUE!</v>
      </c>
      <c r="Y27" s="1515" t="str">
        <f>IFERROR(VLOOKUP(G27,'MON2'!MONTENALIM,5,FALSE),"")</f>
        <v/>
      </c>
      <c r="Z27" s="1517">
        <f>IFERROR(VLOOKUP(G27,'MON2'!MONTEFC,5,FALSE),"")</f>
        <v>0</v>
      </c>
      <c r="AA27" s="1548"/>
      <c r="AB27" s="1515"/>
      <c r="AC27" s="1518">
        <f t="shared" si="15"/>
        <v>3600000</v>
      </c>
      <c r="AD27" s="156">
        <f t="shared" si="16"/>
        <v>7791369.7599999998</v>
      </c>
      <c r="AE27" s="331" t="e">
        <f t="shared" si="17"/>
        <v>#VALUE!</v>
      </c>
      <c r="AF27" s="331" t="e">
        <f t="shared" ref="AF27:AG27" si="107">Y27+R27+K27</f>
        <v>#VALUE!</v>
      </c>
      <c r="AG27" s="331">
        <f t="shared" si="107"/>
        <v>0</v>
      </c>
      <c r="AH27" s="331">
        <f t="shared" si="19"/>
        <v>-7791369.7599999998</v>
      </c>
      <c r="AI27" s="1519">
        <f t="shared" si="20"/>
        <v>0</v>
      </c>
      <c r="AJ27" s="1520" t="str">
        <f t="shared" si="21"/>
        <v/>
      </c>
      <c r="AK27" s="156" t="e">
        <f t="shared" si="22"/>
        <v>#VALUE!</v>
      </c>
      <c r="AL27" s="1514" t="str">
        <f>IFERROR(VLOOKUP(G27,'MON2'!MONTENALIM,6,FALSE),"")</f>
        <v/>
      </c>
      <c r="AM27" s="1521">
        <f>IFERROR(VLOOKUP(G27,'MON2'!MONTEFC,6,FALSE),"")</f>
        <v>834822.75</v>
      </c>
      <c r="AN27" s="1520"/>
      <c r="AO27" s="156" t="e">
        <f t="shared" si="23"/>
        <v>#VALUE!</v>
      </c>
      <c r="AP27" s="331" t="str">
        <f>IFERROR(VLOOKUP(G27,'MON2'!MONTENALIM,7,FALSE),"")</f>
        <v/>
      </c>
      <c r="AQ27" s="1513">
        <f>IFERROR(VLOOKUP(G27,'MON2'!MONTEFC,7,FALSE),"")</f>
        <v>518537.97</v>
      </c>
      <c r="AR27" s="1514"/>
      <c r="AS27" s="1514" t="e">
        <f t="shared" si="24"/>
        <v>#VALUE!</v>
      </c>
      <c r="AT27" s="1514" t="str">
        <f>IFERROR(VLOOKUP(G27,'MON2'!MONTENALIM,8,FALSE),"")</f>
        <v/>
      </c>
      <c r="AU27" s="1520">
        <f>IFERROR(VLOOKUP(G27,'MON2'!MONTEFC,8,FALSE),"")</f>
        <v>208765.8</v>
      </c>
      <c r="AV27" s="1522" t="e">
        <f t="shared" ref="AV27:AX27" si="108">SUM(AS27,AO27,AK27)</f>
        <v>#VALUE!</v>
      </c>
      <c r="AW27" s="331">
        <f t="shared" si="108"/>
        <v>0</v>
      </c>
      <c r="AX27" s="1512">
        <f t="shared" si="108"/>
        <v>1562126.52</v>
      </c>
      <c r="AY27" s="156" t="e">
        <f t="shared" ref="AY27:BA27" si="109">SUM(AV27,AE27)</f>
        <v>#VALUE!</v>
      </c>
      <c r="AZ27" s="331" t="e">
        <f t="shared" si="109"/>
        <v>#VALUE!</v>
      </c>
      <c r="BA27" s="1523">
        <f t="shared" si="109"/>
        <v>1562126.52</v>
      </c>
      <c r="BB27" s="1520" t="str">
        <f t="shared" si="27"/>
        <v/>
      </c>
      <c r="BC27" s="1524" t="e">
        <f t="shared" si="28"/>
        <v>#VALUE!</v>
      </c>
      <c r="BD27" s="331" t="str">
        <f>IFERROR(VLOOKUP(G27,'MON2'!MONTENALIM,9,FALSE),"")</f>
        <v/>
      </c>
      <c r="BE27" s="1525">
        <f>IFERROR(VLOOKUP(G27,'MON2'!MONTEFC,9,FALSE),"")</f>
        <v>67565.179999999993</v>
      </c>
      <c r="BF27" s="1514" t="str">
        <f t="shared" si="29"/>
        <v/>
      </c>
      <c r="BG27" s="331" t="str">
        <f t="shared" si="30"/>
        <v/>
      </c>
      <c r="BH27" s="331" t="str">
        <f t="shared" si="31"/>
        <v/>
      </c>
      <c r="BI27" s="331" t="str">
        <f t="shared" si="32"/>
        <v/>
      </c>
      <c r="BJ27" s="331" t="str">
        <f t="shared" si="33"/>
        <v/>
      </c>
    </row>
    <row r="28" spans="1:67" ht="13">
      <c r="A28" s="1481" t="str">
        <f t="shared" si="0"/>
        <v xml:space="preserve">ROTELA </v>
      </c>
      <c r="B28" s="1466">
        <f t="shared" si="1"/>
        <v>112013948</v>
      </c>
      <c r="C28" s="1527">
        <f t="shared" si="2"/>
        <v>22</v>
      </c>
      <c r="D28" s="733">
        <f t="shared" si="3"/>
        <v>0.1</v>
      </c>
      <c r="E28" s="733">
        <f t="shared" si="4"/>
        <v>0.09</v>
      </c>
      <c r="F28" s="733">
        <f t="shared" si="5"/>
        <v>0</v>
      </c>
      <c r="G28" s="1466" t="s">
        <v>1318</v>
      </c>
      <c r="H28" s="1497"/>
      <c r="I28" s="1486"/>
      <c r="J28" s="1494" t="e">
        <f t="shared" si="6"/>
        <v>#VALUE!</v>
      </c>
      <c r="K28" s="1497" t="str">
        <f>IFERROR(VLOOKUP(G28,'MON2'!MONTENALIM,3,FALSE),"")</f>
        <v/>
      </c>
      <c r="L28" s="1498">
        <f>IFERROR(VLOOKUP(G28,'MON2'!MONTEFC,3,FALSE),"")</f>
        <v>0</v>
      </c>
      <c r="M28" s="1495">
        <f t="shared" si="7"/>
        <v>0</v>
      </c>
      <c r="N28" s="1529" t="e">
        <f t="shared" si="8"/>
        <v>#DIV/0!</v>
      </c>
      <c r="O28" s="1497" t="str">
        <f t="shared" si="9"/>
        <v/>
      </c>
      <c r="P28" s="1485">
        <v>1800000</v>
      </c>
      <c r="Q28" s="1485" t="e">
        <f t="shared" si="10"/>
        <v>#VALUE!</v>
      </c>
      <c r="R28" s="1497" t="str">
        <f>IFERROR(VLOOKUP(G28,'MON2'!MONTENALIM,4,FALSE),"")</f>
        <v/>
      </c>
      <c r="S28" s="1497">
        <f>IFERROR(VLOOKUP(G28,'MON2'!MONTEFC,4,FALSE),"")</f>
        <v>0</v>
      </c>
      <c r="T28" s="1497">
        <f t="shared" si="11"/>
        <v>-1800000</v>
      </c>
      <c r="U28" s="1529">
        <f t="shared" si="12"/>
        <v>0</v>
      </c>
      <c r="V28" s="1497" t="str">
        <f t="shared" si="13"/>
        <v/>
      </c>
      <c r="W28" s="1486">
        <v>1800000</v>
      </c>
      <c r="X28" s="1487" t="e">
        <f t="shared" si="14"/>
        <v>#VALUE!</v>
      </c>
      <c r="Y28" s="1485" t="str">
        <f>IFERROR(VLOOKUP(G28,'MON2'!MONTENALIM,5,FALSE),"")</f>
        <v/>
      </c>
      <c r="Z28" s="1488">
        <f>IFERROR(VLOOKUP(G28,'MON2'!MONTEFC,5,FALSE),"")</f>
        <v>0</v>
      </c>
      <c r="AA28" s="1489"/>
      <c r="AB28" s="1485"/>
      <c r="AC28" s="1530">
        <f t="shared" si="15"/>
        <v>3600000</v>
      </c>
      <c r="AD28" s="1494" t="str">
        <f t="shared" si="16"/>
        <v>0</v>
      </c>
      <c r="AE28" s="1497" t="e">
        <f t="shared" si="17"/>
        <v>#VALUE!</v>
      </c>
      <c r="AF28" s="1497" t="e">
        <f t="shared" ref="AF28:AG28" si="110">Y28+R28+K28</f>
        <v>#VALUE!</v>
      </c>
      <c r="AG28" s="1497">
        <f t="shared" si="110"/>
        <v>0</v>
      </c>
      <c r="AH28" s="1497">
        <f t="shared" si="19"/>
        <v>0</v>
      </c>
      <c r="AI28" s="1531" t="str">
        <f t="shared" si="20"/>
        <v/>
      </c>
      <c r="AJ28" s="1493" t="str">
        <f t="shared" si="21"/>
        <v/>
      </c>
      <c r="AK28" s="1494" t="e">
        <f t="shared" si="22"/>
        <v>#VALUE!</v>
      </c>
      <c r="AL28" s="1495" t="str">
        <f>IFERROR(VLOOKUP(G28,'MON2'!MONTENALIM,6,FALSE),"")</f>
        <v/>
      </c>
      <c r="AM28" s="1496">
        <f>IFERROR(VLOOKUP(G28,'MON2'!MONTEFC,6,FALSE),"")</f>
        <v>0</v>
      </c>
      <c r="AN28" s="1493"/>
      <c r="AO28" s="1494" t="e">
        <f t="shared" si="23"/>
        <v>#VALUE!</v>
      </c>
      <c r="AP28" s="1497" t="str">
        <f>IFERROR(VLOOKUP(G28,'MON2'!MONTENALIM,7,FALSE),"")</f>
        <v/>
      </c>
      <c r="AQ28" s="1498">
        <f>IFERROR(VLOOKUP(G28,'MON2'!MONTEFC,7,FALSE),"")</f>
        <v>203863.86</v>
      </c>
      <c r="AR28" s="1495"/>
      <c r="AS28" s="1495" t="e">
        <f t="shared" si="24"/>
        <v>#VALUE!</v>
      </c>
      <c r="AT28" s="1495" t="str">
        <f>IFERROR(VLOOKUP(G28,'MON2'!MONTENALIM,8,FALSE),"")</f>
        <v/>
      </c>
      <c r="AU28" s="1493">
        <f>IFERROR(VLOOKUP(G28,'MON2'!MONTEFC,8,FALSE),"")</f>
        <v>0</v>
      </c>
      <c r="AV28" s="1532" t="e">
        <f t="shared" ref="AV28:AX28" si="111">SUM(AS28,AO28,AK28)</f>
        <v>#VALUE!</v>
      </c>
      <c r="AW28" s="1497">
        <f t="shared" si="111"/>
        <v>0</v>
      </c>
      <c r="AX28" s="1528">
        <f t="shared" si="111"/>
        <v>203863.86</v>
      </c>
      <c r="AY28" s="1494" t="e">
        <f t="shared" ref="AY28:BA28" si="112">SUM(AV28,AE28)</f>
        <v>#VALUE!</v>
      </c>
      <c r="AZ28" s="1497" t="e">
        <f t="shared" si="112"/>
        <v>#VALUE!</v>
      </c>
      <c r="BA28" s="1533">
        <f t="shared" si="112"/>
        <v>203863.86</v>
      </c>
      <c r="BB28" s="1493" t="str">
        <f t="shared" si="27"/>
        <v/>
      </c>
      <c r="BC28" s="1504" t="e">
        <f t="shared" si="28"/>
        <v>#VALUE!</v>
      </c>
      <c r="BD28" s="1497" t="str">
        <f>IFERROR(VLOOKUP(G28,'MON2'!MONTENALIM,9,FALSE),"")</f>
        <v/>
      </c>
      <c r="BE28" s="1505">
        <f>IFERROR(VLOOKUP(G28,'MON2'!MONTEFC,9,FALSE),"")</f>
        <v>0</v>
      </c>
      <c r="BF28" s="1495" t="str">
        <f t="shared" si="29"/>
        <v/>
      </c>
      <c r="BG28" s="1497" t="str">
        <f t="shared" si="30"/>
        <v/>
      </c>
      <c r="BH28" s="1497" t="str">
        <f t="shared" si="31"/>
        <v/>
      </c>
      <c r="BI28" s="1497" t="str">
        <f t="shared" si="32"/>
        <v/>
      </c>
      <c r="BJ28" s="1497" t="str">
        <f t="shared" si="33"/>
        <v/>
      </c>
    </row>
    <row r="29" spans="1:67" ht="13">
      <c r="A29" s="1481" t="str">
        <f t="shared" si="0"/>
        <v xml:space="preserve">ROTELA </v>
      </c>
      <c r="B29" s="1467">
        <f t="shared" si="1"/>
        <v>112013545</v>
      </c>
      <c r="C29" s="1510">
        <f t="shared" si="2"/>
        <v>22</v>
      </c>
      <c r="D29" s="1511">
        <f t="shared" si="3"/>
        <v>0.1</v>
      </c>
      <c r="E29" s="1511">
        <f t="shared" si="4"/>
        <v>0.09</v>
      </c>
      <c r="F29" s="1511">
        <f t="shared" si="5"/>
        <v>0</v>
      </c>
      <c r="G29" s="1467" t="s">
        <v>1319</v>
      </c>
      <c r="H29" s="331"/>
      <c r="I29" s="1547"/>
      <c r="J29" s="156">
        <f t="shared" si="6"/>
        <v>0</v>
      </c>
      <c r="K29" s="331">
        <f>IFERROR(VLOOKUP(G29,'MON2'!MONTENALIM,3,FALSE),"")</f>
        <v>0</v>
      </c>
      <c r="L29" s="1513">
        <f>IFERROR(VLOOKUP(G29,'MON2'!MONTEFC,3,FALSE),"")</f>
        <v>0</v>
      </c>
      <c r="M29" s="1514">
        <f t="shared" si="7"/>
        <v>0</v>
      </c>
      <c r="N29" s="234" t="e">
        <f t="shared" si="8"/>
        <v>#DIV/0!</v>
      </c>
      <c r="O29" s="331" t="str">
        <f t="shared" si="9"/>
        <v/>
      </c>
      <c r="P29" s="1515">
        <v>1800000</v>
      </c>
      <c r="Q29" s="1515">
        <f t="shared" si="10"/>
        <v>0</v>
      </c>
      <c r="R29" s="331">
        <f>IFERROR(VLOOKUP(G29,'MON2'!MONTENALIM,4,FALSE),"")</f>
        <v>0</v>
      </c>
      <c r="S29" s="331">
        <f>IFERROR(VLOOKUP(G29,'MON2'!MONTEFC,4,FALSE),"")</f>
        <v>0</v>
      </c>
      <c r="T29" s="331">
        <f t="shared" si="11"/>
        <v>-1800000</v>
      </c>
      <c r="U29" s="234">
        <f t="shared" si="12"/>
        <v>0</v>
      </c>
      <c r="V29" s="331" t="str">
        <f t="shared" si="13"/>
        <v/>
      </c>
      <c r="W29" s="1547">
        <v>1800000</v>
      </c>
      <c r="X29" s="1516">
        <f t="shared" si="14"/>
        <v>0</v>
      </c>
      <c r="Y29" s="1515">
        <f>IFERROR(VLOOKUP(G29,'MON2'!MONTENALIM,5,FALSE),"")</f>
        <v>0</v>
      </c>
      <c r="Z29" s="1517">
        <f>IFERROR(VLOOKUP(G29,'MON2'!MONTEFC,5,FALSE),"")</f>
        <v>0</v>
      </c>
      <c r="AA29" s="1548"/>
      <c r="AB29" s="1515"/>
      <c r="AC29" s="1518">
        <f t="shared" si="15"/>
        <v>3600000</v>
      </c>
      <c r="AD29" s="156">
        <f t="shared" si="16"/>
        <v>3468201.76</v>
      </c>
      <c r="AE29" s="331">
        <f t="shared" si="17"/>
        <v>0</v>
      </c>
      <c r="AF29" s="331">
        <f t="shared" ref="AF29:AG29" si="113">Y29+R29+K29</f>
        <v>0</v>
      </c>
      <c r="AG29" s="331">
        <f t="shared" si="113"/>
        <v>0</v>
      </c>
      <c r="AH29" s="331">
        <f t="shared" si="19"/>
        <v>-3468201.76</v>
      </c>
      <c r="AI29" s="1519">
        <f t="shared" si="20"/>
        <v>0</v>
      </c>
      <c r="AJ29" s="1520" t="str">
        <f t="shared" si="21"/>
        <v/>
      </c>
      <c r="AK29" s="156">
        <f t="shared" si="22"/>
        <v>809843.35</v>
      </c>
      <c r="AL29" s="1514">
        <f>IFERROR(VLOOKUP(G29,'MON2'!MONTENALIM,6,FALSE),"")</f>
        <v>0</v>
      </c>
      <c r="AM29" s="1521">
        <f>IFERROR(VLOOKUP(G29,'MON2'!MONTEFC,6,FALSE),"")</f>
        <v>809843.35</v>
      </c>
      <c r="AN29" s="1520"/>
      <c r="AO29" s="156">
        <f t="shared" si="23"/>
        <v>1477117.7799999998</v>
      </c>
      <c r="AP29" s="331">
        <f>IFERROR(VLOOKUP(G29,'MON2'!MONTENALIM,7,FALSE),"")</f>
        <v>31057.599999999999</v>
      </c>
      <c r="AQ29" s="1513">
        <f>IFERROR(VLOOKUP(G29,'MON2'!MONTEFC,7,FALSE),"")</f>
        <v>1508175.38</v>
      </c>
      <c r="AR29" s="1514"/>
      <c r="AS29" s="1514">
        <f t="shared" si="24"/>
        <v>903098.44</v>
      </c>
      <c r="AT29" s="1514">
        <f>IFERROR(VLOOKUP(G29,'MON2'!MONTENALIM,8,FALSE),"")</f>
        <v>0</v>
      </c>
      <c r="AU29" s="1520">
        <f>IFERROR(VLOOKUP(G29,'MON2'!MONTEFC,8,FALSE),"")</f>
        <v>903098.44</v>
      </c>
      <c r="AV29" s="1522">
        <f t="shared" ref="AV29:AX29" si="114">SUM(AS29,AO29,AK29)</f>
        <v>3190059.57</v>
      </c>
      <c r="AW29" s="331">
        <f t="shared" si="114"/>
        <v>31057.599999999999</v>
      </c>
      <c r="AX29" s="1512">
        <f t="shared" si="114"/>
        <v>3221117.17</v>
      </c>
      <c r="AY29" s="156">
        <f t="shared" ref="AY29:BA29" si="115">SUM(AV29,AE29)</f>
        <v>3190059.57</v>
      </c>
      <c r="AZ29" s="331">
        <f t="shared" si="115"/>
        <v>31057.599999999999</v>
      </c>
      <c r="BA29" s="1523">
        <f t="shared" si="115"/>
        <v>3221117.17</v>
      </c>
      <c r="BB29" s="1520" t="str">
        <f t="shared" si="27"/>
        <v/>
      </c>
      <c r="BC29" s="1524">
        <f t="shared" si="28"/>
        <v>394006.73</v>
      </c>
      <c r="BD29" s="331">
        <f>IFERROR(VLOOKUP(G29,'MON2'!MONTENALIM,9,FALSE),"")</f>
        <v>0</v>
      </c>
      <c r="BE29" s="1525">
        <f>IFERROR(VLOOKUP(G29,'MON2'!MONTEFC,9,FALSE),"")</f>
        <v>394006.73</v>
      </c>
      <c r="BF29" s="1514" t="str">
        <f t="shared" si="29"/>
        <v/>
      </c>
      <c r="BG29" s="331" t="str">
        <f t="shared" si="30"/>
        <v/>
      </c>
      <c r="BH29" s="331" t="str">
        <f t="shared" si="31"/>
        <v/>
      </c>
      <c r="BI29" s="331" t="str">
        <f t="shared" si="32"/>
        <v/>
      </c>
      <c r="BJ29" s="331" t="str">
        <f t="shared" si="33"/>
        <v/>
      </c>
    </row>
    <row r="30" spans="1:67" ht="13">
      <c r="A30" s="1481" t="str">
        <f t="shared" si="0"/>
        <v xml:space="preserve">ROTELA </v>
      </c>
      <c r="B30" s="1466">
        <f t="shared" si="1"/>
        <v>112014686</v>
      </c>
      <c r="C30" s="1527">
        <f t="shared" si="2"/>
        <v>22</v>
      </c>
      <c r="D30" s="733">
        <f t="shared" si="3"/>
        <v>0.1</v>
      </c>
      <c r="E30" s="733">
        <f t="shared" si="4"/>
        <v>0.09</v>
      </c>
      <c r="F30" s="733">
        <f t="shared" si="5"/>
        <v>0</v>
      </c>
      <c r="G30" s="1466" t="s">
        <v>1321</v>
      </c>
      <c r="H30" s="1497"/>
      <c r="I30" s="1486"/>
      <c r="J30" s="1494" t="e">
        <f t="shared" si="6"/>
        <v>#VALUE!</v>
      </c>
      <c r="K30" s="1497" t="str">
        <f>IFERROR(VLOOKUP(G30,'MON2'!MONTENALIM,3,FALSE),"")</f>
        <v/>
      </c>
      <c r="L30" s="1498">
        <f>IFERROR(VLOOKUP(G30,'MON2'!MONTEFC,3,FALSE),"")</f>
        <v>0</v>
      </c>
      <c r="M30" s="1495">
        <f t="shared" si="7"/>
        <v>0</v>
      </c>
      <c r="N30" s="1529" t="e">
        <f t="shared" si="8"/>
        <v>#DIV/0!</v>
      </c>
      <c r="O30" s="1497" t="str">
        <f t="shared" si="9"/>
        <v/>
      </c>
      <c r="P30" s="1485">
        <v>1800000</v>
      </c>
      <c r="Q30" s="1485" t="e">
        <f t="shared" si="10"/>
        <v>#VALUE!</v>
      </c>
      <c r="R30" s="1497" t="str">
        <f>IFERROR(VLOOKUP(G30,'MON2'!MONTENALIM,4,FALSE),"")</f>
        <v/>
      </c>
      <c r="S30" s="1497">
        <f>IFERROR(VLOOKUP(G30,'MON2'!MONTEFC,4,FALSE),"")</f>
        <v>0</v>
      </c>
      <c r="T30" s="1497">
        <f t="shared" si="11"/>
        <v>-1800000</v>
      </c>
      <c r="U30" s="1529">
        <f t="shared" si="12"/>
        <v>0</v>
      </c>
      <c r="V30" s="1497" t="str">
        <f t="shared" si="13"/>
        <v/>
      </c>
      <c r="W30" s="1486">
        <v>1800000</v>
      </c>
      <c r="X30" s="1487" t="e">
        <f t="shared" si="14"/>
        <v>#VALUE!</v>
      </c>
      <c r="Y30" s="1485" t="str">
        <f>IFERROR(VLOOKUP(G30,'MON2'!MONTENALIM,5,FALSE),"")</f>
        <v/>
      </c>
      <c r="Z30" s="1488">
        <f>IFERROR(VLOOKUP(G30,'MON2'!MONTEFC,5,FALSE),"")</f>
        <v>0</v>
      </c>
      <c r="AA30" s="1489"/>
      <c r="AB30" s="1485"/>
      <c r="AC30" s="1530">
        <f t="shared" si="15"/>
        <v>3600000</v>
      </c>
      <c r="AD30" s="1494" t="str">
        <f t="shared" si="16"/>
        <v>0</v>
      </c>
      <c r="AE30" s="1497" t="e">
        <f t="shared" si="17"/>
        <v>#VALUE!</v>
      </c>
      <c r="AF30" s="1497" t="e">
        <f t="shared" ref="AF30:AG30" si="116">Y30+R30+K30</f>
        <v>#VALUE!</v>
      </c>
      <c r="AG30" s="1497">
        <f t="shared" si="116"/>
        <v>0</v>
      </c>
      <c r="AH30" s="1497">
        <f t="shared" si="19"/>
        <v>0</v>
      </c>
      <c r="AI30" s="1531" t="str">
        <f t="shared" si="20"/>
        <v/>
      </c>
      <c r="AJ30" s="1493" t="str">
        <f t="shared" si="21"/>
        <v/>
      </c>
      <c r="AK30" s="1494" t="e">
        <f t="shared" si="22"/>
        <v>#VALUE!</v>
      </c>
      <c r="AL30" s="1495" t="str">
        <f>IFERROR(VLOOKUP(G30,'MON2'!MONTENALIM,6,FALSE),"")</f>
        <v/>
      </c>
      <c r="AM30" s="1496">
        <f>IFERROR(VLOOKUP(G30,'MON2'!MONTEFC,6,FALSE),"")</f>
        <v>0</v>
      </c>
      <c r="AN30" s="1493"/>
      <c r="AO30" s="1494" t="e">
        <f t="shared" si="23"/>
        <v>#VALUE!</v>
      </c>
      <c r="AP30" s="1497" t="str">
        <f>IFERROR(VLOOKUP(G30,'MON2'!MONTENALIM,7,FALSE),"")</f>
        <v/>
      </c>
      <c r="AQ30" s="1498">
        <f>IFERROR(VLOOKUP(G30,'MON2'!MONTEFC,7,FALSE),"")</f>
        <v>0</v>
      </c>
      <c r="AR30" s="1495"/>
      <c r="AS30" s="1495" t="e">
        <f t="shared" si="24"/>
        <v>#VALUE!</v>
      </c>
      <c r="AT30" s="1495" t="str">
        <f>IFERROR(VLOOKUP(G30,'MON2'!MONTENALIM,8,FALSE),"")</f>
        <v/>
      </c>
      <c r="AU30" s="1493">
        <f>IFERROR(VLOOKUP(G30,'MON2'!MONTEFC,8,FALSE),"")</f>
        <v>473702.95</v>
      </c>
      <c r="AV30" s="1532" t="e">
        <f t="shared" ref="AV30:AX30" si="117">SUM(AS30,AO30,AK30)</f>
        <v>#VALUE!</v>
      </c>
      <c r="AW30" s="1497">
        <f t="shared" si="117"/>
        <v>0</v>
      </c>
      <c r="AX30" s="1528">
        <f t="shared" si="117"/>
        <v>473702.95</v>
      </c>
      <c r="AY30" s="1494" t="e">
        <f t="shared" ref="AY30:BA30" si="118">SUM(AV30,AE30)</f>
        <v>#VALUE!</v>
      </c>
      <c r="AZ30" s="1497" t="e">
        <f t="shared" si="118"/>
        <v>#VALUE!</v>
      </c>
      <c r="BA30" s="1533">
        <f t="shared" si="118"/>
        <v>473702.95</v>
      </c>
      <c r="BB30" s="1493" t="str">
        <f t="shared" si="27"/>
        <v/>
      </c>
      <c r="BC30" s="1504" t="e">
        <f t="shared" si="28"/>
        <v>#VALUE!</v>
      </c>
      <c r="BD30" s="1497" t="str">
        <f>IFERROR(VLOOKUP(G30,'MON2'!MONTENALIM,9,FALSE),"")</f>
        <v/>
      </c>
      <c r="BE30" s="1505">
        <f>IFERROR(VLOOKUP(G30,'MON2'!MONTEFC,9,FALSE),"")</f>
        <v>0</v>
      </c>
      <c r="BF30" s="1495" t="str">
        <f t="shared" si="29"/>
        <v/>
      </c>
      <c r="BG30" s="1497" t="str">
        <f t="shared" si="30"/>
        <v/>
      </c>
      <c r="BH30" s="1497" t="str">
        <f t="shared" si="31"/>
        <v/>
      </c>
      <c r="BI30" s="1497" t="str">
        <f t="shared" si="32"/>
        <v/>
      </c>
      <c r="BJ30" s="1497" t="str">
        <f t="shared" si="33"/>
        <v/>
      </c>
    </row>
    <row r="31" spans="1:67" ht="13">
      <c r="A31" s="1481" t="str">
        <f t="shared" si="0"/>
        <v xml:space="preserve">ROTELA </v>
      </c>
      <c r="B31" s="1467">
        <f t="shared" si="1"/>
        <v>112013882</v>
      </c>
      <c r="C31" s="1510">
        <f t="shared" si="2"/>
        <v>22</v>
      </c>
      <c r="D31" s="1511">
        <f t="shared" si="3"/>
        <v>0.1</v>
      </c>
      <c r="E31" s="1511">
        <f t="shared" si="4"/>
        <v>0.09</v>
      </c>
      <c r="F31" s="1511">
        <f t="shared" si="5"/>
        <v>0</v>
      </c>
      <c r="G31" s="1467" t="s">
        <v>1322</v>
      </c>
      <c r="H31" s="331"/>
      <c r="I31" s="1512"/>
      <c r="J31" s="156" t="e">
        <f t="shared" si="6"/>
        <v>#VALUE!</v>
      </c>
      <c r="K31" s="331" t="str">
        <f>IFERROR(VLOOKUP(G31,'MON2'!MONTENALIM,3,FALSE),"")</f>
        <v/>
      </c>
      <c r="L31" s="1513" t="str">
        <f>IFERROR(VLOOKUP(G31,'MON2'!MONTEFC,3,FALSE),"")</f>
        <v/>
      </c>
      <c r="M31" s="1514" t="e">
        <f t="shared" si="7"/>
        <v>#VALUE!</v>
      </c>
      <c r="N31" s="234" t="e">
        <f t="shared" si="8"/>
        <v>#VALUE!</v>
      </c>
      <c r="O31" s="331" t="str">
        <f t="shared" si="9"/>
        <v/>
      </c>
      <c r="P31" s="331">
        <v>1800000</v>
      </c>
      <c r="Q31" s="1515" t="e">
        <f t="shared" si="10"/>
        <v>#VALUE!</v>
      </c>
      <c r="R31" s="331" t="str">
        <f>IFERROR(VLOOKUP(G31,'MON2'!MONTENALIM,4,FALSE),"")</f>
        <v/>
      </c>
      <c r="S31" s="331" t="str">
        <f>IFERROR(VLOOKUP(G31,'MON2'!MONTEFC,4,FALSE),"")</f>
        <v/>
      </c>
      <c r="T31" s="331" t="e">
        <f t="shared" si="11"/>
        <v>#VALUE!</v>
      </c>
      <c r="U31" s="234" t="e">
        <f t="shared" si="12"/>
        <v>#VALUE!</v>
      </c>
      <c r="V31" s="331" t="str">
        <f t="shared" si="13"/>
        <v/>
      </c>
      <c r="W31" s="1512">
        <v>1800000</v>
      </c>
      <c r="X31" s="1516" t="e">
        <f t="shared" si="14"/>
        <v>#VALUE!</v>
      </c>
      <c r="Y31" s="1515" t="str">
        <f>IFERROR(VLOOKUP(G31,'MON2'!MONTENALIM,5,FALSE),"")</f>
        <v/>
      </c>
      <c r="Z31" s="1517" t="str">
        <f>IFERROR(VLOOKUP(G31,'MON2'!MONTEFC,5,FALSE),"")</f>
        <v/>
      </c>
      <c r="AA31" s="1514"/>
      <c r="AB31" s="331"/>
      <c r="AC31" s="1518">
        <f t="shared" si="15"/>
        <v>3600000</v>
      </c>
      <c r="AD31" s="156">
        <f t="shared" si="16"/>
        <v>1383415.5</v>
      </c>
      <c r="AE31" s="331" t="e">
        <f t="shared" si="17"/>
        <v>#VALUE!</v>
      </c>
      <c r="AF31" s="331" t="e">
        <f t="shared" ref="AF31:AG31" si="119">Y31+R31+K31</f>
        <v>#VALUE!</v>
      </c>
      <c r="AG31" s="331" t="e">
        <f t="shared" si="119"/>
        <v>#VALUE!</v>
      </c>
      <c r="AH31" s="331" t="e">
        <f t="shared" si="19"/>
        <v>#VALUE!</v>
      </c>
      <c r="AI31" s="1519" t="str">
        <f t="shared" si="20"/>
        <v/>
      </c>
      <c r="AJ31" s="1520" t="str">
        <f t="shared" si="21"/>
        <v/>
      </c>
      <c r="AK31" s="156" t="e">
        <f t="shared" si="22"/>
        <v>#VALUE!</v>
      </c>
      <c r="AL31" s="1514" t="str">
        <f>IFERROR(VLOOKUP(G31,'MON2'!MONTENALIM,6,FALSE),"")</f>
        <v/>
      </c>
      <c r="AM31" s="1521" t="str">
        <f>IFERROR(VLOOKUP(G31,'MON2'!MONTEFC,6,FALSE),"")</f>
        <v/>
      </c>
      <c r="AN31" s="1520"/>
      <c r="AO31" s="156" t="e">
        <f t="shared" si="23"/>
        <v>#VALUE!</v>
      </c>
      <c r="AP31" s="331" t="str">
        <f>IFERROR(VLOOKUP(G31,'MON2'!MONTENALIM,7,FALSE),"")</f>
        <v/>
      </c>
      <c r="AQ31" s="1513" t="str">
        <f>IFERROR(VLOOKUP(G31,'MON2'!MONTEFC,7,FALSE),"")</f>
        <v/>
      </c>
      <c r="AR31" s="1514"/>
      <c r="AS31" s="1514" t="e">
        <f t="shared" si="24"/>
        <v>#VALUE!</v>
      </c>
      <c r="AT31" s="1514" t="str">
        <f>IFERROR(VLOOKUP(G31,'MON2'!MONTENALIM,8,FALSE),"")</f>
        <v/>
      </c>
      <c r="AU31" s="1520" t="str">
        <f>IFERROR(VLOOKUP(G31,'MON2'!MONTEFC,8,FALSE),"")</f>
        <v/>
      </c>
      <c r="AV31" s="1522" t="e">
        <f t="shared" ref="AV31:AX31" si="120">SUM(AS31,AO31,AK31)</f>
        <v>#VALUE!</v>
      </c>
      <c r="AW31" s="331">
        <f t="shared" si="120"/>
        <v>0</v>
      </c>
      <c r="AX31" s="1512">
        <f t="shared" si="120"/>
        <v>0</v>
      </c>
      <c r="AY31" s="156" t="e">
        <f t="shared" ref="AY31:BA31" si="121">SUM(AV31,AE31)</f>
        <v>#VALUE!</v>
      </c>
      <c r="AZ31" s="331" t="e">
        <f t="shared" si="121"/>
        <v>#VALUE!</v>
      </c>
      <c r="BA31" s="1523" t="e">
        <f t="shared" si="121"/>
        <v>#VALUE!</v>
      </c>
      <c r="BB31" s="1520" t="str">
        <f t="shared" si="27"/>
        <v/>
      </c>
      <c r="BC31" s="1524" t="e">
        <f t="shared" si="28"/>
        <v>#VALUE!</v>
      </c>
      <c r="BD31" s="331" t="str">
        <f>IFERROR(VLOOKUP(G31,'MON2'!MONTENALIM,9,FALSE),"")</f>
        <v/>
      </c>
      <c r="BE31" s="1525" t="str">
        <f>IFERROR(VLOOKUP(G31,'MON2'!MONTEFC,9,FALSE),"")</f>
        <v/>
      </c>
      <c r="BF31" s="1514" t="str">
        <f t="shared" si="29"/>
        <v/>
      </c>
      <c r="BG31" s="331" t="str">
        <f t="shared" si="30"/>
        <v/>
      </c>
      <c r="BH31" s="331" t="str">
        <f t="shared" si="31"/>
        <v/>
      </c>
      <c r="BI31" s="331" t="str">
        <f t="shared" si="32"/>
        <v/>
      </c>
      <c r="BJ31" s="331" t="str">
        <f t="shared" si="33"/>
        <v/>
      </c>
    </row>
    <row r="32" spans="1:67" ht="13">
      <c r="A32" s="1481" t="str">
        <f t="shared" si="0"/>
        <v xml:space="preserve">ROTELA </v>
      </c>
      <c r="B32" s="1466">
        <f t="shared" si="1"/>
        <v>112013730</v>
      </c>
      <c r="C32" s="1527">
        <f t="shared" si="2"/>
        <v>22</v>
      </c>
      <c r="D32" s="733">
        <f t="shared" si="3"/>
        <v>0.1</v>
      </c>
      <c r="E32" s="733">
        <f t="shared" si="4"/>
        <v>0.09</v>
      </c>
      <c r="F32" s="733">
        <f t="shared" si="5"/>
        <v>0</v>
      </c>
      <c r="G32" s="1466" t="s">
        <v>1323</v>
      </c>
      <c r="H32" s="1497"/>
      <c r="I32" s="1486"/>
      <c r="J32" s="1494" t="e">
        <f t="shared" si="6"/>
        <v>#VALUE!</v>
      </c>
      <c r="K32" s="1497" t="str">
        <f>IFERROR(VLOOKUP(G32,'MON2'!MONTENALIM,3,FALSE),"")</f>
        <v/>
      </c>
      <c r="L32" s="1498">
        <f>IFERROR(VLOOKUP(G32,'MON2'!MONTEFC,3,FALSE),"")</f>
        <v>0</v>
      </c>
      <c r="M32" s="1495">
        <f t="shared" si="7"/>
        <v>0</v>
      </c>
      <c r="N32" s="1529" t="e">
        <f t="shared" si="8"/>
        <v>#DIV/0!</v>
      </c>
      <c r="O32" s="1497" t="str">
        <f t="shared" si="9"/>
        <v/>
      </c>
      <c r="P32" s="1485">
        <v>1800000</v>
      </c>
      <c r="Q32" s="1485" t="e">
        <f t="shared" si="10"/>
        <v>#VALUE!</v>
      </c>
      <c r="R32" s="1497" t="str">
        <f>IFERROR(VLOOKUP(G32,'MON2'!MONTENALIM,4,FALSE),"")</f>
        <v/>
      </c>
      <c r="S32" s="1497">
        <f>IFERROR(VLOOKUP(G32,'MON2'!MONTEFC,4,FALSE),"")</f>
        <v>0</v>
      </c>
      <c r="T32" s="1497">
        <f t="shared" si="11"/>
        <v>-1800000</v>
      </c>
      <c r="U32" s="1529">
        <f t="shared" si="12"/>
        <v>0</v>
      </c>
      <c r="V32" s="1497" t="str">
        <f t="shared" si="13"/>
        <v/>
      </c>
      <c r="W32" s="1486">
        <v>1800000</v>
      </c>
      <c r="X32" s="1487" t="e">
        <f t="shared" si="14"/>
        <v>#VALUE!</v>
      </c>
      <c r="Y32" s="1485" t="str">
        <f>IFERROR(VLOOKUP(G32,'MON2'!MONTENALIM,5,FALSE),"")</f>
        <v/>
      </c>
      <c r="Z32" s="1488">
        <f>IFERROR(VLOOKUP(G32,'MON2'!MONTEFC,5,FALSE),"")</f>
        <v>0</v>
      </c>
      <c r="AA32" s="1489"/>
      <c r="AB32" s="1485"/>
      <c r="AC32" s="1530">
        <f t="shared" si="15"/>
        <v>3600000</v>
      </c>
      <c r="AD32" s="1494">
        <f t="shared" si="16"/>
        <v>1074616.1299999999</v>
      </c>
      <c r="AE32" s="1497" t="e">
        <f t="shared" si="17"/>
        <v>#VALUE!</v>
      </c>
      <c r="AF32" s="1497" t="e">
        <f t="shared" ref="AF32:AG32" si="122">Y32+R32+K32</f>
        <v>#VALUE!</v>
      </c>
      <c r="AG32" s="1497">
        <f t="shared" si="122"/>
        <v>0</v>
      </c>
      <c r="AH32" s="1497">
        <f t="shared" si="19"/>
        <v>-1074616.1299999999</v>
      </c>
      <c r="AI32" s="1531">
        <f t="shared" si="20"/>
        <v>0</v>
      </c>
      <c r="AJ32" s="1493" t="str">
        <f t="shared" si="21"/>
        <v/>
      </c>
      <c r="AK32" s="1494" t="e">
        <f t="shared" si="22"/>
        <v>#VALUE!</v>
      </c>
      <c r="AL32" s="1495" t="str">
        <f>IFERROR(VLOOKUP(G32,'MON2'!MONTENALIM,6,FALSE),"")</f>
        <v/>
      </c>
      <c r="AM32" s="1496">
        <f>IFERROR(VLOOKUP(G32,'MON2'!MONTEFC,6,FALSE),"")</f>
        <v>114596.56</v>
      </c>
      <c r="AN32" s="1493"/>
      <c r="AO32" s="1494" t="e">
        <f t="shared" si="23"/>
        <v>#VALUE!</v>
      </c>
      <c r="AP32" s="1497" t="str">
        <f>IFERROR(VLOOKUP(G32,'MON2'!MONTENALIM,7,FALSE),"")</f>
        <v/>
      </c>
      <c r="AQ32" s="1498">
        <f>IFERROR(VLOOKUP(G32,'MON2'!MONTEFC,7,FALSE),"")</f>
        <v>525472.5</v>
      </c>
      <c r="AR32" s="1495"/>
      <c r="AS32" s="1495" t="e">
        <f t="shared" si="24"/>
        <v>#VALUE!</v>
      </c>
      <c r="AT32" s="1495" t="str">
        <f>IFERROR(VLOOKUP(G32,'MON2'!MONTENALIM,8,FALSE),"")</f>
        <v/>
      </c>
      <c r="AU32" s="1493">
        <f>IFERROR(VLOOKUP(G32,'MON2'!MONTEFC,8,FALSE),"")</f>
        <v>0</v>
      </c>
      <c r="AV32" s="1532" t="e">
        <f t="shared" ref="AV32:AX32" si="123">SUM(AS32,AO32,AK32)</f>
        <v>#VALUE!</v>
      </c>
      <c r="AW32" s="1497">
        <f t="shared" si="123"/>
        <v>0</v>
      </c>
      <c r="AX32" s="1528">
        <f t="shared" si="123"/>
        <v>640069.06000000006</v>
      </c>
      <c r="AY32" s="1494" t="e">
        <f t="shared" ref="AY32:BA32" si="124">SUM(AV32,AE32)</f>
        <v>#VALUE!</v>
      </c>
      <c r="AZ32" s="1497" t="e">
        <f t="shared" si="124"/>
        <v>#VALUE!</v>
      </c>
      <c r="BA32" s="1533">
        <f t="shared" si="124"/>
        <v>640069.06000000006</v>
      </c>
      <c r="BB32" s="1493" t="str">
        <f t="shared" si="27"/>
        <v/>
      </c>
      <c r="BC32" s="1504" t="e">
        <f t="shared" si="28"/>
        <v>#VALUE!</v>
      </c>
      <c r="BD32" s="1497" t="str">
        <f>IFERROR(VLOOKUP(G32,'MON2'!MONTENALIM,9,FALSE),"")</f>
        <v/>
      </c>
      <c r="BE32" s="1505">
        <f>IFERROR(VLOOKUP(G32,'MON2'!MONTEFC,9,FALSE),"")</f>
        <v>0</v>
      </c>
      <c r="BF32" s="1495" t="str">
        <f t="shared" si="29"/>
        <v/>
      </c>
      <c r="BG32" s="1497" t="str">
        <f t="shared" si="30"/>
        <v/>
      </c>
      <c r="BH32" s="1497" t="str">
        <f t="shared" si="31"/>
        <v/>
      </c>
      <c r="BI32" s="1497" t="str">
        <f t="shared" si="32"/>
        <v/>
      </c>
      <c r="BJ32" s="1497" t="str">
        <f t="shared" si="33"/>
        <v/>
      </c>
    </row>
    <row r="33" spans="1:62" ht="13">
      <c r="A33" s="1481" t="str">
        <f t="shared" si="0"/>
        <v xml:space="preserve">ROTELA </v>
      </c>
      <c r="B33" s="1467">
        <f t="shared" si="1"/>
        <v>112013788</v>
      </c>
      <c r="C33" s="1510">
        <f t="shared" si="2"/>
        <v>7</v>
      </c>
      <c r="D33" s="1511">
        <f t="shared" si="3"/>
        <v>0.1</v>
      </c>
      <c r="E33" s="1511">
        <f t="shared" si="4"/>
        <v>0.2</v>
      </c>
      <c r="F33" s="1511">
        <f t="shared" si="5"/>
        <v>0</v>
      </c>
      <c r="G33" s="1467" t="s">
        <v>1281</v>
      </c>
      <c r="H33" s="331"/>
      <c r="I33" s="1547"/>
      <c r="J33" s="156">
        <f t="shared" si="6"/>
        <v>0</v>
      </c>
      <c r="K33" s="331">
        <f>IFERROR(VLOOKUP(G33,'MON2'!MONTENALIM,3,FALSE),"")</f>
        <v>0</v>
      </c>
      <c r="L33" s="1513">
        <f>IFERROR(VLOOKUP(G33,'MON2'!MONTEFC,3,FALSE),"")</f>
        <v>0</v>
      </c>
      <c r="M33" s="1514">
        <f t="shared" si="7"/>
        <v>0</v>
      </c>
      <c r="N33" s="234" t="e">
        <f t="shared" si="8"/>
        <v>#DIV/0!</v>
      </c>
      <c r="O33" s="331" t="str">
        <f t="shared" si="9"/>
        <v/>
      </c>
      <c r="P33" s="1515">
        <v>1800000</v>
      </c>
      <c r="Q33" s="1515">
        <f t="shared" si="10"/>
        <v>0</v>
      </c>
      <c r="R33" s="331">
        <f>IFERROR(VLOOKUP(G33,'MON2'!MONTENALIM,4,FALSE),"")</f>
        <v>0</v>
      </c>
      <c r="S33" s="331">
        <f>IFERROR(VLOOKUP(G33,'MON2'!MONTEFC,4,FALSE),"")</f>
        <v>0</v>
      </c>
      <c r="T33" s="331">
        <f t="shared" si="11"/>
        <v>-1800000</v>
      </c>
      <c r="U33" s="234">
        <f t="shared" si="12"/>
        <v>0</v>
      </c>
      <c r="V33" s="331" t="str">
        <f t="shared" si="13"/>
        <v/>
      </c>
      <c r="W33" s="1512">
        <v>1800000</v>
      </c>
      <c r="X33" s="1516">
        <f t="shared" si="14"/>
        <v>0</v>
      </c>
      <c r="Y33" s="1515">
        <f>IFERROR(VLOOKUP(G33,'MON2'!MONTENALIM,5,FALSE),"")</f>
        <v>0</v>
      </c>
      <c r="Z33" s="1517">
        <f>IFERROR(VLOOKUP(G33,'MON2'!MONTEFC,5,FALSE),"")</f>
        <v>0</v>
      </c>
      <c r="AA33" s="1514"/>
      <c r="AB33" s="331"/>
      <c r="AC33" s="1518">
        <f t="shared" si="15"/>
        <v>3600000</v>
      </c>
      <c r="AD33" s="156">
        <f t="shared" si="16"/>
        <v>3977696.07</v>
      </c>
      <c r="AE33" s="331">
        <f t="shared" si="17"/>
        <v>0</v>
      </c>
      <c r="AF33" s="331">
        <f t="shared" ref="AF33:AG33" si="125">Y33+R33+K33</f>
        <v>0</v>
      </c>
      <c r="AG33" s="331">
        <f t="shared" si="125"/>
        <v>0</v>
      </c>
      <c r="AH33" s="331">
        <f t="shared" si="19"/>
        <v>-3977696.07</v>
      </c>
      <c r="AI33" s="1519">
        <f t="shared" si="20"/>
        <v>0</v>
      </c>
      <c r="AJ33" s="1520" t="str">
        <f t="shared" si="21"/>
        <v/>
      </c>
      <c r="AK33" s="156">
        <f t="shared" si="22"/>
        <v>0</v>
      </c>
      <c r="AL33" s="1514">
        <f>IFERROR(VLOOKUP(G33,'MON2'!MONTENALIM,6,FALSE),"")</f>
        <v>0</v>
      </c>
      <c r="AM33" s="1521">
        <f>IFERROR(VLOOKUP(G33,'MON2'!MONTEFC,6,FALSE),"")</f>
        <v>0</v>
      </c>
      <c r="AN33" s="1520"/>
      <c r="AO33" s="156">
        <f t="shared" si="23"/>
        <v>464104.88</v>
      </c>
      <c r="AP33" s="331">
        <f>IFERROR(VLOOKUP(G33,'MON2'!MONTENALIM,7,FALSE),"")</f>
        <v>0</v>
      </c>
      <c r="AQ33" s="1513">
        <f>IFERROR(VLOOKUP(G33,'MON2'!MONTEFC,7,FALSE),"")</f>
        <v>464104.88</v>
      </c>
      <c r="AR33" s="1514"/>
      <c r="AS33" s="1514">
        <f t="shared" si="24"/>
        <v>1126347.5699999998</v>
      </c>
      <c r="AT33" s="1514">
        <f>IFERROR(VLOOKUP(G33,'MON2'!MONTENALIM,8,FALSE),"")</f>
        <v>1610557</v>
      </c>
      <c r="AU33" s="1520">
        <f>IFERROR(VLOOKUP(G33,'MON2'!MONTEFC,8,FALSE),"")</f>
        <v>2736904.57</v>
      </c>
      <c r="AV33" s="1522">
        <f t="shared" ref="AV33:AX33" si="126">SUM(AS33,AO33,AK33)</f>
        <v>1590452.4499999997</v>
      </c>
      <c r="AW33" s="331">
        <f t="shared" si="126"/>
        <v>1610557</v>
      </c>
      <c r="AX33" s="1512">
        <f t="shared" si="126"/>
        <v>3201009.4499999997</v>
      </c>
      <c r="AY33" s="156">
        <f t="shared" ref="AY33:BA33" si="127">SUM(AV33,AE33)</f>
        <v>1590452.4499999997</v>
      </c>
      <c r="AZ33" s="331">
        <f t="shared" si="127"/>
        <v>1610557</v>
      </c>
      <c r="BA33" s="1523">
        <f t="shared" si="127"/>
        <v>3201009.4499999997</v>
      </c>
      <c r="BB33" s="1520" t="str">
        <f t="shared" si="27"/>
        <v/>
      </c>
      <c r="BC33" s="1524">
        <f t="shared" si="28"/>
        <v>435800.06000000006</v>
      </c>
      <c r="BD33" s="331">
        <f>IFERROR(VLOOKUP(G33,'MON2'!MONTENALIM,9,FALSE),"")</f>
        <v>576909.43999999994</v>
      </c>
      <c r="BE33" s="1525">
        <f>IFERROR(VLOOKUP(G33,'MON2'!MONTEFC,9,FALSE),"")</f>
        <v>1012709.5</v>
      </c>
      <c r="BF33" s="1514" t="str">
        <f t="shared" si="29"/>
        <v/>
      </c>
      <c r="BG33" s="331" t="str">
        <f t="shared" si="30"/>
        <v/>
      </c>
      <c r="BH33" s="331" t="str">
        <f t="shared" si="31"/>
        <v/>
      </c>
      <c r="BI33" s="331" t="str">
        <f t="shared" si="32"/>
        <v/>
      </c>
      <c r="BJ33" s="331" t="str">
        <f t="shared" si="33"/>
        <v/>
      </c>
    </row>
    <row r="34" spans="1:62" ht="13">
      <c r="A34" s="1481" t="str">
        <f t="shared" ref="A34:A65" si="128">IFERROR(VLOOKUP(G34,CARTEROTEPECH,2,FALSE),"MONTENEGRO")</f>
        <v xml:space="preserve">ROTELA </v>
      </c>
      <c r="B34" s="1466">
        <f t="shared" ref="B34:B65" si="129">VLOOKUP(G34,MONTENEGROCARTERA,3,FALSE)</f>
        <v>112013786</v>
      </c>
      <c r="C34" s="1527">
        <f t="shared" ref="C34:C65" si="130">VLOOKUP(G34,MONTENEGROCARTERA,2,FALSE)</f>
        <v>7</v>
      </c>
      <c r="D34" s="733">
        <f t="shared" ref="D34:D65" si="131">IFERROR(VLOOKUP(C34,DES,2,FALSE),"")</f>
        <v>0.1</v>
      </c>
      <c r="E34" s="733">
        <f t="shared" ref="E34:E65" si="132">IFERROR(VLOOKUP(C34,DES,3,FALSE),"")</f>
        <v>0.2</v>
      </c>
      <c r="F34" s="733">
        <f t="shared" ref="F34:F65" si="133">IFERROR(VLOOKUP(C34,DES,4,FALSE),"")</f>
        <v>0</v>
      </c>
      <c r="G34" s="1466" t="s">
        <v>1282</v>
      </c>
      <c r="H34" s="1497"/>
      <c r="I34" s="1486"/>
      <c r="J34" s="1494" t="e">
        <f t="shared" si="6"/>
        <v>#VALUE!</v>
      </c>
      <c r="K34" s="1497" t="str">
        <f>IFERROR(VLOOKUP(G34,'MON2'!MONTENALIM,3,FALSE),"")</f>
        <v/>
      </c>
      <c r="L34" s="1498">
        <f>IFERROR(VLOOKUP(G34,'MON2'!MONTEFC,3,FALSE),"")</f>
        <v>0</v>
      </c>
      <c r="M34" s="1495">
        <f t="shared" si="7"/>
        <v>0</v>
      </c>
      <c r="N34" s="1529" t="e">
        <f t="shared" si="8"/>
        <v>#DIV/0!</v>
      </c>
      <c r="O34" s="1497" t="str">
        <f t="shared" si="9"/>
        <v/>
      </c>
      <c r="P34" s="1485">
        <v>1800000</v>
      </c>
      <c r="Q34" s="1485" t="e">
        <f t="shared" si="10"/>
        <v>#VALUE!</v>
      </c>
      <c r="R34" s="1497" t="str">
        <f>IFERROR(VLOOKUP(G34,'MON2'!MONTENALIM,4,FALSE),"")</f>
        <v/>
      </c>
      <c r="S34" s="1497">
        <f>IFERROR(VLOOKUP(G34,'MON2'!MONTEFC,4,FALSE),"")</f>
        <v>0</v>
      </c>
      <c r="T34" s="1497">
        <f t="shared" si="11"/>
        <v>-1800000</v>
      </c>
      <c r="U34" s="1529">
        <f t="shared" si="12"/>
        <v>0</v>
      </c>
      <c r="V34" s="1497" t="str">
        <f t="shared" si="13"/>
        <v/>
      </c>
      <c r="W34" s="1486">
        <v>1800000</v>
      </c>
      <c r="X34" s="1487" t="e">
        <f t="shared" si="14"/>
        <v>#VALUE!</v>
      </c>
      <c r="Y34" s="1485" t="str">
        <f>IFERROR(VLOOKUP(G34,'MON2'!MONTENALIM,5,FALSE),"")</f>
        <v/>
      </c>
      <c r="Z34" s="1488">
        <f>IFERROR(VLOOKUP(G34,'MON2'!MONTEFC,5,FALSE),"")</f>
        <v>0</v>
      </c>
      <c r="AA34" s="1489"/>
      <c r="AB34" s="1485"/>
      <c r="AC34" s="1530">
        <f t="shared" si="15"/>
        <v>3600000</v>
      </c>
      <c r="AD34" s="1494">
        <f t="shared" ref="AD34:AD65" si="134">IFERROR(VLOOKUP(G34,trim2024,2,FALSE),"0")</f>
        <v>6085691.7999999998</v>
      </c>
      <c r="AE34" s="1497" t="e">
        <f t="shared" si="17"/>
        <v>#VALUE!</v>
      </c>
      <c r="AF34" s="1497" t="e">
        <f t="shared" ref="AF34:AG34" si="135">Y34+R34+K34</f>
        <v>#VALUE!</v>
      </c>
      <c r="AG34" s="1497">
        <f t="shared" si="135"/>
        <v>0</v>
      </c>
      <c r="AH34" s="1497">
        <f t="shared" si="19"/>
        <v>-6085691.7999999998</v>
      </c>
      <c r="AI34" s="1531">
        <f t="shared" si="20"/>
        <v>0</v>
      </c>
      <c r="AJ34" s="1493" t="str">
        <f t="shared" si="21"/>
        <v/>
      </c>
      <c r="AK34" s="1494" t="e">
        <f t="shared" si="22"/>
        <v>#VALUE!</v>
      </c>
      <c r="AL34" s="1495" t="str">
        <f>IFERROR(VLOOKUP(G34,'MON2'!MONTENALIM,6,FALSE),"")</f>
        <v/>
      </c>
      <c r="AM34" s="1496">
        <f>IFERROR(VLOOKUP(G34,'MON2'!MONTEFC,6,FALSE),"")</f>
        <v>0</v>
      </c>
      <c r="AN34" s="1493"/>
      <c r="AO34" s="1494" t="e">
        <f t="shared" si="23"/>
        <v>#VALUE!</v>
      </c>
      <c r="AP34" s="1497" t="str">
        <f>IFERROR(VLOOKUP(G34,'MON2'!MONTENALIM,7,FALSE),"")</f>
        <v/>
      </c>
      <c r="AQ34" s="1498">
        <f>IFERROR(VLOOKUP(G34,'MON2'!MONTEFC,7,FALSE),"")</f>
        <v>0.03</v>
      </c>
      <c r="AR34" s="1495"/>
      <c r="AS34" s="1495" t="e">
        <f t="shared" si="24"/>
        <v>#VALUE!</v>
      </c>
      <c r="AT34" s="1495" t="str">
        <f>IFERROR(VLOOKUP(G34,'MON2'!MONTENALIM,8,FALSE),"")</f>
        <v/>
      </c>
      <c r="AU34" s="1493">
        <f>IFERROR(VLOOKUP(G34,'MON2'!MONTEFC,8,FALSE),"")</f>
        <v>729031.96</v>
      </c>
      <c r="AV34" s="1532" t="e">
        <f t="shared" ref="AV34:AX34" si="136">SUM(AS34,AO34,AK34)</f>
        <v>#VALUE!</v>
      </c>
      <c r="AW34" s="1497">
        <f t="shared" si="136"/>
        <v>0</v>
      </c>
      <c r="AX34" s="1528">
        <f t="shared" si="136"/>
        <v>729031.99</v>
      </c>
      <c r="AY34" s="1494" t="e">
        <f t="shared" ref="AY34:BA34" si="137">SUM(AV34,AE34)</f>
        <v>#VALUE!</v>
      </c>
      <c r="AZ34" s="1497" t="e">
        <f t="shared" si="137"/>
        <v>#VALUE!</v>
      </c>
      <c r="BA34" s="1533">
        <f t="shared" si="137"/>
        <v>729031.99</v>
      </c>
      <c r="BB34" s="1493" t="str">
        <f t="shared" ref="BB34:BB65" si="138">IFERROR(VLOOKUP(G34,MONTE24,9,FALSE),"")</f>
        <v/>
      </c>
      <c r="BC34" s="1504" t="e">
        <f t="shared" si="28"/>
        <v>#VALUE!</v>
      </c>
      <c r="BD34" s="1497" t="str">
        <f>IFERROR(VLOOKUP(G34,'MON2'!MONTENALIM,9,FALSE),"")</f>
        <v/>
      </c>
      <c r="BE34" s="1505">
        <f>IFERROR(VLOOKUP(G34,'MON2'!MONTEFC,9,FALSE),"")</f>
        <v>385534.02</v>
      </c>
      <c r="BF34" s="1495" t="str">
        <f t="shared" ref="BF34:BF65" si="139">IFERROR(VLOOKUP(G34,MONTE24,10,FALSE),"")</f>
        <v/>
      </c>
      <c r="BG34" s="1497" t="str">
        <f t="shared" ref="BG34:BG65" si="140">IFERROR(VLOOKUP(G34,MONTE24,11,FALSE),"")</f>
        <v/>
      </c>
      <c r="BH34" s="1497" t="str">
        <f t="shared" ref="BH34:BH65" si="141">IFERROR(VLOOKUP(G34,MONTE24,12,FALSE),"")</f>
        <v/>
      </c>
      <c r="BI34" s="1497" t="str">
        <f t="shared" ref="BI34:BI65" si="142">IFERROR(VLOOKUP(G34,MONTE24,13,FALSE),"")</f>
        <v/>
      </c>
      <c r="BJ34" s="1497" t="str">
        <f t="shared" ref="BJ34:BJ65" si="143">IFERROR(VLOOKUP(G34,MONTE24,14,FALSE),"")</f>
        <v/>
      </c>
    </row>
    <row r="35" spans="1:62" ht="13">
      <c r="A35" s="1481" t="str">
        <f t="shared" si="128"/>
        <v xml:space="preserve">ROTELA </v>
      </c>
      <c r="B35" s="1467">
        <f t="shared" si="129"/>
        <v>112014045</v>
      </c>
      <c r="C35" s="1510">
        <f t="shared" si="130"/>
        <v>22</v>
      </c>
      <c r="D35" s="1511">
        <f t="shared" si="131"/>
        <v>0.1</v>
      </c>
      <c r="E35" s="1511">
        <f t="shared" si="132"/>
        <v>0.09</v>
      </c>
      <c r="F35" s="1511">
        <f t="shared" si="133"/>
        <v>0</v>
      </c>
      <c r="G35" s="1467" t="s">
        <v>1324</v>
      </c>
      <c r="H35" s="331"/>
      <c r="I35" s="1547"/>
      <c r="J35" s="156" t="e">
        <f t="shared" si="6"/>
        <v>#VALUE!</v>
      </c>
      <c r="K35" s="331" t="str">
        <f>IFERROR(VLOOKUP(G35,'MON2'!MONTENALIM,3,FALSE),"")</f>
        <v/>
      </c>
      <c r="L35" s="1513" t="str">
        <f>IFERROR(VLOOKUP(G35,'MON2'!MONTEFC,3,FALSE),"")</f>
        <v/>
      </c>
      <c r="M35" s="1514" t="e">
        <f t="shared" si="7"/>
        <v>#VALUE!</v>
      </c>
      <c r="N35" s="234" t="e">
        <f t="shared" si="8"/>
        <v>#VALUE!</v>
      </c>
      <c r="O35" s="331" t="str">
        <f t="shared" si="9"/>
        <v/>
      </c>
      <c r="P35" s="1515">
        <v>1800000</v>
      </c>
      <c r="Q35" s="1515" t="e">
        <f t="shared" si="10"/>
        <v>#VALUE!</v>
      </c>
      <c r="R35" s="331" t="str">
        <f>IFERROR(VLOOKUP(G35,'MON2'!MONTENALIM,4,FALSE),"")</f>
        <v/>
      </c>
      <c r="S35" s="331" t="str">
        <f>IFERROR(VLOOKUP(G35,'MON2'!MONTEFC,4,FALSE),"")</f>
        <v/>
      </c>
      <c r="T35" s="331" t="e">
        <f t="shared" si="11"/>
        <v>#VALUE!</v>
      </c>
      <c r="U35" s="234" t="e">
        <f t="shared" si="12"/>
        <v>#VALUE!</v>
      </c>
      <c r="V35" s="331" t="str">
        <f t="shared" si="13"/>
        <v/>
      </c>
      <c r="W35" s="1547">
        <v>1800000</v>
      </c>
      <c r="X35" s="1516" t="e">
        <f t="shared" si="14"/>
        <v>#VALUE!</v>
      </c>
      <c r="Y35" s="1515" t="str">
        <f>IFERROR(VLOOKUP(G35,'MON2'!MONTENALIM,5,FALSE),"")</f>
        <v/>
      </c>
      <c r="Z35" s="1517" t="str">
        <f>IFERROR(VLOOKUP(G35,'MON2'!MONTEFC,5,FALSE),"")</f>
        <v/>
      </c>
      <c r="AA35" s="1548"/>
      <c r="AB35" s="1515"/>
      <c r="AC35" s="1518">
        <f t="shared" si="15"/>
        <v>3600000</v>
      </c>
      <c r="AD35" s="156">
        <f t="shared" si="134"/>
        <v>417500</v>
      </c>
      <c r="AE35" s="331" t="e">
        <f t="shared" si="17"/>
        <v>#VALUE!</v>
      </c>
      <c r="AF35" s="331" t="e">
        <f t="shared" ref="AF35:AG35" si="144">Y35+R35+K35</f>
        <v>#VALUE!</v>
      </c>
      <c r="AG35" s="331" t="e">
        <f t="shared" si="144"/>
        <v>#VALUE!</v>
      </c>
      <c r="AH35" s="331" t="e">
        <f t="shared" si="19"/>
        <v>#VALUE!</v>
      </c>
      <c r="AI35" s="1519" t="str">
        <f t="shared" si="20"/>
        <v/>
      </c>
      <c r="AJ35" s="1520" t="str">
        <f t="shared" si="21"/>
        <v/>
      </c>
      <c r="AK35" s="156" t="e">
        <f t="shared" si="22"/>
        <v>#VALUE!</v>
      </c>
      <c r="AL35" s="1514" t="str">
        <f>IFERROR(VLOOKUP(G35,'MON2'!MONTENALIM,6,FALSE),"")</f>
        <v/>
      </c>
      <c r="AM35" s="1521" t="str">
        <f>IFERROR(VLOOKUP(G35,'MON2'!MONTEFC,6,FALSE),"")</f>
        <v/>
      </c>
      <c r="AN35" s="1520"/>
      <c r="AO35" s="156" t="e">
        <f t="shared" si="23"/>
        <v>#VALUE!</v>
      </c>
      <c r="AP35" s="331" t="str">
        <f>IFERROR(VLOOKUP(G35,'MON2'!MONTENALIM,7,FALSE),"")</f>
        <v/>
      </c>
      <c r="AQ35" s="1513" t="str">
        <f>IFERROR(VLOOKUP(G35,'MON2'!MONTEFC,7,FALSE),"")</f>
        <v/>
      </c>
      <c r="AR35" s="1514"/>
      <c r="AS35" s="1514" t="e">
        <f t="shared" si="24"/>
        <v>#VALUE!</v>
      </c>
      <c r="AT35" s="1514" t="str">
        <f>IFERROR(VLOOKUP(G35,'MON2'!MONTENALIM,8,FALSE),"")</f>
        <v/>
      </c>
      <c r="AU35" s="1520" t="str">
        <f>IFERROR(VLOOKUP(G35,'MON2'!MONTEFC,8,FALSE),"")</f>
        <v/>
      </c>
      <c r="AV35" s="1522" t="e">
        <f t="shared" ref="AV35:AX35" si="145">SUM(AS35,AO35,AK35)</f>
        <v>#VALUE!</v>
      </c>
      <c r="AW35" s="331">
        <f t="shared" si="145"/>
        <v>0</v>
      </c>
      <c r="AX35" s="1512">
        <f t="shared" si="145"/>
        <v>0</v>
      </c>
      <c r="AY35" s="156" t="e">
        <f t="shared" ref="AY35:BA35" si="146">SUM(AV35,AE35)</f>
        <v>#VALUE!</v>
      </c>
      <c r="AZ35" s="331" t="e">
        <f t="shared" si="146"/>
        <v>#VALUE!</v>
      </c>
      <c r="BA35" s="1523" t="e">
        <f t="shared" si="146"/>
        <v>#VALUE!</v>
      </c>
      <c r="BB35" s="1520" t="str">
        <f t="shared" si="138"/>
        <v/>
      </c>
      <c r="BC35" s="1524" t="e">
        <f t="shared" si="28"/>
        <v>#VALUE!</v>
      </c>
      <c r="BD35" s="331" t="str">
        <f>IFERROR(VLOOKUP(G35,'MON2'!MONTENALIM,9,FALSE),"")</f>
        <v/>
      </c>
      <c r="BE35" s="1525" t="str">
        <f>IFERROR(VLOOKUP(G35,'MON2'!MONTEFC,9,FALSE),"")</f>
        <v/>
      </c>
      <c r="BF35" s="1514" t="str">
        <f t="shared" si="139"/>
        <v/>
      </c>
      <c r="BG35" s="331" t="str">
        <f t="shared" si="140"/>
        <v/>
      </c>
      <c r="BH35" s="331" t="str">
        <f t="shared" si="141"/>
        <v/>
      </c>
      <c r="BI35" s="331" t="str">
        <f t="shared" si="142"/>
        <v/>
      </c>
      <c r="BJ35" s="331" t="str">
        <f t="shared" si="143"/>
        <v/>
      </c>
    </row>
    <row r="36" spans="1:62" ht="13">
      <c r="A36" s="1481" t="str">
        <f t="shared" si="128"/>
        <v xml:space="preserve">ROTELA </v>
      </c>
      <c r="B36" s="1466">
        <f t="shared" si="129"/>
        <v>112013947</v>
      </c>
      <c r="C36" s="1527">
        <f t="shared" si="130"/>
        <v>20</v>
      </c>
      <c r="D36" s="733">
        <f t="shared" si="131"/>
        <v>0.05</v>
      </c>
      <c r="E36" s="733">
        <f t="shared" si="132"/>
        <v>0.09</v>
      </c>
      <c r="F36" s="733">
        <f t="shared" si="133"/>
        <v>0</v>
      </c>
      <c r="G36" s="1466" t="s">
        <v>1344</v>
      </c>
      <c r="H36" s="1497"/>
      <c r="I36" s="1528"/>
      <c r="J36" s="1494" t="e">
        <f t="shared" si="6"/>
        <v>#VALUE!</v>
      </c>
      <c r="K36" s="1497" t="str">
        <f>IFERROR(VLOOKUP(G36,'MON2'!MONTENALIM,3,FALSE),"")</f>
        <v/>
      </c>
      <c r="L36" s="1498">
        <f>IFERROR(VLOOKUP(G36,'MON2'!MONTEFC,3,FALSE),"")</f>
        <v>0</v>
      </c>
      <c r="M36" s="1495">
        <f t="shared" si="7"/>
        <v>0</v>
      </c>
      <c r="N36" s="1529" t="e">
        <f t="shared" si="8"/>
        <v>#DIV/0!</v>
      </c>
      <c r="O36" s="1497" t="str">
        <f t="shared" si="9"/>
        <v/>
      </c>
      <c r="P36" s="1497">
        <v>1800000</v>
      </c>
      <c r="Q36" s="1485" t="e">
        <f t="shared" si="10"/>
        <v>#VALUE!</v>
      </c>
      <c r="R36" s="1497" t="str">
        <f>IFERROR(VLOOKUP(G36,'MON2'!MONTENALIM,4,FALSE),"")</f>
        <v/>
      </c>
      <c r="S36" s="1497">
        <f>IFERROR(VLOOKUP(G36,'MON2'!MONTEFC,4,FALSE),"")</f>
        <v>0</v>
      </c>
      <c r="T36" s="1497">
        <f t="shared" si="11"/>
        <v>-1800000</v>
      </c>
      <c r="U36" s="1529">
        <f t="shared" si="12"/>
        <v>0</v>
      </c>
      <c r="V36" s="1497" t="str">
        <f t="shared" si="13"/>
        <v/>
      </c>
      <c r="W36" s="1528">
        <v>1800000</v>
      </c>
      <c r="X36" s="1487" t="e">
        <f t="shared" si="14"/>
        <v>#VALUE!</v>
      </c>
      <c r="Y36" s="1485" t="str">
        <f>IFERROR(VLOOKUP(G36,'MON2'!MONTENALIM,5,FALSE),"")</f>
        <v/>
      </c>
      <c r="Z36" s="1488">
        <f>IFERROR(VLOOKUP(G36,'MON2'!MONTEFC,5,FALSE),"")</f>
        <v>0</v>
      </c>
      <c r="AA36" s="1495"/>
      <c r="AB36" s="1497"/>
      <c r="AC36" s="1530">
        <f t="shared" si="15"/>
        <v>3600000</v>
      </c>
      <c r="AD36" s="1494">
        <f t="shared" si="134"/>
        <v>197571.51</v>
      </c>
      <c r="AE36" s="1497" t="e">
        <f t="shared" si="17"/>
        <v>#VALUE!</v>
      </c>
      <c r="AF36" s="1497" t="e">
        <f t="shared" ref="AF36:AG36" si="147">Y36+R36+K36</f>
        <v>#VALUE!</v>
      </c>
      <c r="AG36" s="1497">
        <f t="shared" si="147"/>
        <v>0</v>
      </c>
      <c r="AH36" s="1497">
        <f t="shared" si="19"/>
        <v>-197571.51</v>
      </c>
      <c r="AI36" s="1531">
        <f t="shared" si="20"/>
        <v>0</v>
      </c>
      <c r="AJ36" s="1493" t="str">
        <f t="shared" si="21"/>
        <v/>
      </c>
      <c r="AK36" s="1494" t="e">
        <f t="shared" si="22"/>
        <v>#VALUE!</v>
      </c>
      <c r="AL36" s="1495" t="str">
        <f>IFERROR(VLOOKUP(G36,'MON2'!MONTENALIM,6,FALSE),"")</f>
        <v/>
      </c>
      <c r="AM36" s="1496">
        <f>IFERROR(VLOOKUP(G36,'MON2'!MONTEFC,6,FALSE),"")</f>
        <v>0</v>
      </c>
      <c r="AN36" s="1493"/>
      <c r="AO36" s="1494" t="e">
        <f t="shared" si="23"/>
        <v>#VALUE!</v>
      </c>
      <c r="AP36" s="1497" t="str">
        <f>IFERROR(VLOOKUP(G36,'MON2'!MONTENALIM,7,FALSE),"")</f>
        <v/>
      </c>
      <c r="AQ36" s="1498">
        <f>IFERROR(VLOOKUP(G36,'MON2'!MONTEFC,7,FALSE),"")</f>
        <v>429093.71</v>
      </c>
      <c r="AR36" s="1495"/>
      <c r="AS36" s="1495" t="e">
        <f t="shared" si="24"/>
        <v>#VALUE!</v>
      </c>
      <c r="AT36" s="1495" t="str">
        <f>IFERROR(VLOOKUP(G36,'MON2'!MONTENALIM,8,FALSE),"")</f>
        <v/>
      </c>
      <c r="AU36" s="1493">
        <f>IFERROR(VLOOKUP(G36,'MON2'!MONTEFC,8,FALSE),"")</f>
        <v>0</v>
      </c>
      <c r="AV36" s="1532" t="e">
        <f t="shared" ref="AV36:AX36" si="148">SUM(AS36,AO36,AK36)</f>
        <v>#VALUE!</v>
      </c>
      <c r="AW36" s="1497">
        <f t="shared" si="148"/>
        <v>0</v>
      </c>
      <c r="AX36" s="1528">
        <f t="shared" si="148"/>
        <v>429093.71</v>
      </c>
      <c r="AY36" s="1494" t="e">
        <f t="shared" ref="AY36:BA36" si="149">SUM(AV36,AE36)</f>
        <v>#VALUE!</v>
      </c>
      <c r="AZ36" s="1497" t="e">
        <f t="shared" si="149"/>
        <v>#VALUE!</v>
      </c>
      <c r="BA36" s="1533">
        <f t="shared" si="149"/>
        <v>429093.71</v>
      </c>
      <c r="BB36" s="1493" t="str">
        <f t="shared" si="138"/>
        <v/>
      </c>
      <c r="BC36" s="1504" t="e">
        <f t="shared" si="28"/>
        <v>#VALUE!</v>
      </c>
      <c r="BD36" s="1497" t="str">
        <f>IFERROR(VLOOKUP(G36,'MON2'!MONTENALIM,9,FALSE),"")</f>
        <v/>
      </c>
      <c r="BE36" s="1505">
        <f>IFERROR(VLOOKUP(G36,'MON2'!MONTEFC,9,FALSE),"")</f>
        <v>0</v>
      </c>
      <c r="BF36" s="1495" t="str">
        <f t="shared" si="139"/>
        <v/>
      </c>
      <c r="BG36" s="1497" t="str">
        <f t="shared" si="140"/>
        <v/>
      </c>
      <c r="BH36" s="1497" t="str">
        <f t="shared" si="141"/>
        <v/>
      </c>
      <c r="BI36" s="1497" t="str">
        <f t="shared" si="142"/>
        <v/>
      </c>
      <c r="BJ36" s="1497" t="str">
        <f t="shared" si="143"/>
        <v/>
      </c>
    </row>
    <row r="37" spans="1:62" ht="13">
      <c r="A37" s="485" t="str">
        <f t="shared" si="128"/>
        <v>MONTENEGRO</v>
      </c>
      <c r="B37" s="1467">
        <f t="shared" si="129"/>
        <v>112014145</v>
      </c>
      <c r="C37" s="1510">
        <f t="shared" si="130"/>
        <v>4</v>
      </c>
      <c r="D37" s="1511" t="str">
        <f t="shared" si="131"/>
        <v>Lista</v>
      </c>
      <c r="E37" s="1511">
        <f t="shared" si="132"/>
        <v>0.2</v>
      </c>
      <c r="F37" s="1511">
        <f t="shared" si="133"/>
        <v>0</v>
      </c>
      <c r="G37" s="1467" t="s">
        <v>1333</v>
      </c>
      <c r="H37" s="331">
        <f>IFERROR(VLOOKUP(G37,MONTE24,3,FALSE),"")</f>
        <v>775507.78</v>
      </c>
      <c r="I37" s="1547">
        <f t="shared" ref="I37:I39" si="150">(H37*1.601)*1.05</f>
        <v>1303667.353569</v>
      </c>
      <c r="J37" s="156">
        <f t="shared" si="6"/>
        <v>0</v>
      </c>
      <c r="K37" s="331">
        <f>IFERROR(VLOOKUP(G37,'MON2'!MONTENALIM,3,FALSE),"")</f>
        <v>1656237.24</v>
      </c>
      <c r="L37" s="1513">
        <f>IFERROR(VLOOKUP(G37,'MON2'!MONTEFC,3,FALSE),"")</f>
        <v>1656237.24</v>
      </c>
      <c r="M37" s="1514">
        <f t="shared" si="7"/>
        <v>352569.88643099996</v>
      </c>
      <c r="N37" s="234">
        <f t="shared" si="8"/>
        <v>1.2704446693903801</v>
      </c>
      <c r="O37" s="331">
        <f t="shared" si="9"/>
        <v>1137573.58</v>
      </c>
      <c r="P37" s="1515">
        <f t="shared" ref="P37:P39" si="151">(O37*1.7245)*1.05</f>
        <v>2059832.9206455001</v>
      </c>
      <c r="Q37" s="1515">
        <f t="shared" si="10"/>
        <v>0</v>
      </c>
      <c r="R37" s="331">
        <f>IFERROR(VLOOKUP(G37,'MON2'!MONTENALIM,4,FALSE),"")</f>
        <v>2940161.01</v>
      </c>
      <c r="S37" s="331">
        <f>IFERROR(VLOOKUP(G37,'MON2'!MONTEFC,4,FALSE),"")</f>
        <v>2940161.01</v>
      </c>
      <c r="T37" s="331">
        <f t="shared" si="11"/>
        <v>880328.08935449971</v>
      </c>
      <c r="U37" s="234">
        <f t="shared" si="12"/>
        <v>1.4273783958548574</v>
      </c>
      <c r="V37" s="331">
        <f t="shared" si="13"/>
        <v>2939479.54</v>
      </c>
      <c r="W37" s="1547">
        <f t="shared" ref="W37:W39" si="152">(V37*1.5955)*1.05</f>
        <v>4924436.5863734996</v>
      </c>
      <c r="X37" s="1516">
        <f t="shared" si="14"/>
        <v>0</v>
      </c>
      <c r="Y37" s="1515">
        <f>IFERROR(VLOOKUP(G37,'MON2'!MONTENALIM,5,FALSE),"")</f>
        <v>765220.17</v>
      </c>
      <c r="Z37" s="1517">
        <f>IFERROR(VLOOKUP(G37,'MON2'!MONTEFC,5,FALSE),"")</f>
        <v>765220.17</v>
      </c>
      <c r="AA37" s="1548"/>
      <c r="AB37" s="1515"/>
      <c r="AC37" s="1518">
        <f t="shared" si="15"/>
        <v>8287936.8605879992</v>
      </c>
      <c r="AD37" s="156">
        <f t="shared" si="134"/>
        <v>2710162.07</v>
      </c>
      <c r="AE37" s="331">
        <f t="shared" si="17"/>
        <v>0</v>
      </c>
      <c r="AF37" s="331">
        <f t="shared" ref="AF37:AG37" si="153">Y37+R37+K37</f>
        <v>5361618.42</v>
      </c>
      <c r="AG37" s="331">
        <f t="shared" si="153"/>
        <v>5361618.42</v>
      </c>
      <c r="AH37" s="331">
        <f t="shared" si="19"/>
        <v>2651456.35</v>
      </c>
      <c r="AI37" s="1519">
        <f t="shared" si="20"/>
        <v>1.9783386681372899</v>
      </c>
      <c r="AJ37" s="1520">
        <f t="shared" si="21"/>
        <v>633053.04</v>
      </c>
      <c r="AK37" s="156">
        <f t="shared" si="22"/>
        <v>0</v>
      </c>
      <c r="AL37" s="1514">
        <f>IFERROR(VLOOKUP(G37,'MON2'!MONTENALIM,6,FALSE),"")</f>
        <v>1436807.63</v>
      </c>
      <c r="AM37" s="1521">
        <f>IFERROR(VLOOKUP(G37,'MON2'!MONTEFC,6,FALSE),"")</f>
        <v>1436807.63</v>
      </c>
      <c r="AN37" s="1520">
        <f t="shared" ref="AN37:AN68" si="154">IFERROR(VLOOKUP(G37,MONTE24,7,FALSE),"")</f>
        <v>376727.84</v>
      </c>
      <c r="AO37" s="156">
        <f t="shared" si="23"/>
        <v>0</v>
      </c>
      <c r="AP37" s="331">
        <f>IFERROR(VLOOKUP(G37,'MON2'!MONTENALIM,7,FALSE),"")</f>
        <v>938602.71</v>
      </c>
      <c r="AQ37" s="1513">
        <f>IFERROR(VLOOKUP(G37,'MON2'!MONTEFC,7,FALSE),"")</f>
        <v>938602.71</v>
      </c>
      <c r="AR37" s="1514">
        <f>IFERROR(VLOOKUP(G37,MONTE24,8,FALSE),"")</f>
        <v>460110.14</v>
      </c>
      <c r="AS37" s="1514">
        <f t="shared" si="24"/>
        <v>0</v>
      </c>
      <c r="AT37" s="1514">
        <f>IFERROR(VLOOKUP(G37,'MON2'!MONTENALIM,8,FALSE),"")</f>
        <v>2311775.17</v>
      </c>
      <c r="AU37" s="1520">
        <f>IFERROR(VLOOKUP(G37,'MON2'!MONTEFC,8,FALSE),"")</f>
        <v>2311775.17</v>
      </c>
      <c r="AV37" s="1522">
        <f t="shared" ref="AV37:AX37" si="155">SUM(AS37,AO37,AK37)</f>
        <v>0</v>
      </c>
      <c r="AW37" s="331">
        <f t="shared" si="155"/>
        <v>4687185.51</v>
      </c>
      <c r="AX37" s="1512">
        <f t="shared" si="155"/>
        <v>4687185.51</v>
      </c>
      <c r="AY37" s="156">
        <f t="shared" ref="AY37:BA37" si="156">SUM(AV37,AE37)</f>
        <v>0</v>
      </c>
      <c r="AZ37" s="331">
        <f t="shared" si="156"/>
        <v>10048803.93</v>
      </c>
      <c r="BA37" s="1523">
        <f t="shared" si="156"/>
        <v>10048803.93</v>
      </c>
      <c r="BB37" s="1520">
        <f t="shared" si="138"/>
        <v>1114197.93</v>
      </c>
      <c r="BC37" s="1524">
        <f t="shared" si="28"/>
        <v>0</v>
      </c>
      <c r="BD37" s="331">
        <f>IFERROR(VLOOKUP(G37,'MON2'!MONTENALIM,9,FALSE),"")</f>
        <v>1389138.74</v>
      </c>
      <c r="BE37" s="1525">
        <f>IFERROR(VLOOKUP(G37,'MON2'!MONTEFC,9,FALSE),"")</f>
        <v>1389138.74</v>
      </c>
      <c r="BF37" s="1514">
        <f t="shared" si="139"/>
        <v>941098.16</v>
      </c>
      <c r="BG37" s="331">
        <f t="shared" si="140"/>
        <v>0</v>
      </c>
      <c r="BH37" s="331">
        <f t="shared" si="141"/>
        <v>0</v>
      </c>
      <c r="BI37" s="331">
        <f t="shared" si="142"/>
        <v>964397.02</v>
      </c>
      <c r="BJ37" s="331">
        <f t="shared" si="143"/>
        <v>1745765.06</v>
      </c>
    </row>
    <row r="38" spans="1:62" ht="13">
      <c r="A38" s="485" t="str">
        <f t="shared" si="128"/>
        <v>MONTENEGRO</v>
      </c>
      <c r="B38" s="1466">
        <f t="shared" si="129"/>
        <v>112012891</v>
      </c>
      <c r="C38" s="1527">
        <f t="shared" si="130"/>
        <v>4</v>
      </c>
      <c r="D38" s="733" t="str">
        <f t="shared" si="131"/>
        <v>Lista</v>
      </c>
      <c r="E38" s="733">
        <f t="shared" si="132"/>
        <v>0.2</v>
      </c>
      <c r="F38" s="733">
        <f t="shared" si="133"/>
        <v>0</v>
      </c>
      <c r="G38" s="1466" t="s">
        <v>1334</v>
      </c>
      <c r="H38" s="1497" t="str">
        <f>IFERROR(VLOOKUP(G38,MONTE24,3,FALSE),"")</f>
        <v/>
      </c>
      <c r="I38" s="1486" t="e">
        <f t="shared" si="150"/>
        <v>#VALUE!</v>
      </c>
      <c r="J38" s="1494">
        <f t="shared" si="6"/>
        <v>0</v>
      </c>
      <c r="K38" s="1497">
        <f>IFERROR(VLOOKUP(G38,'MON2'!MONTENALIM,3,FALSE),"")</f>
        <v>0</v>
      </c>
      <c r="L38" s="1498">
        <f>IFERROR(VLOOKUP(G38,'MON2'!MONTEFC,3,FALSE),"")</f>
        <v>0</v>
      </c>
      <c r="M38" s="1495" t="e">
        <f t="shared" si="7"/>
        <v>#VALUE!</v>
      </c>
      <c r="N38" s="1529" t="e">
        <f t="shared" si="8"/>
        <v>#VALUE!</v>
      </c>
      <c r="O38" s="1497" t="str">
        <f t="shared" si="9"/>
        <v/>
      </c>
      <c r="P38" s="1485" t="e">
        <f t="shared" si="151"/>
        <v>#VALUE!</v>
      </c>
      <c r="Q38" s="1485">
        <f t="shared" si="10"/>
        <v>0</v>
      </c>
      <c r="R38" s="1497">
        <f>IFERROR(VLOOKUP(G38,'MON2'!MONTENALIM,4,FALSE),"")</f>
        <v>0</v>
      </c>
      <c r="S38" s="1497">
        <f>IFERROR(VLOOKUP(G38,'MON2'!MONTEFC,4,FALSE),"")</f>
        <v>0</v>
      </c>
      <c r="T38" s="1497" t="e">
        <f t="shared" si="11"/>
        <v>#VALUE!</v>
      </c>
      <c r="U38" s="1529" t="e">
        <f t="shared" si="12"/>
        <v>#VALUE!</v>
      </c>
      <c r="V38" s="1497" t="str">
        <f t="shared" si="13"/>
        <v/>
      </c>
      <c r="W38" s="1486" t="e">
        <f t="shared" si="152"/>
        <v>#VALUE!</v>
      </c>
      <c r="X38" s="1487">
        <f t="shared" si="14"/>
        <v>0</v>
      </c>
      <c r="Y38" s="1485">
        <f>IFERROR(VLOOKUP(G38,'MON2'!MONTENALIM,5,FALSE),"")</f>
        <v>963835.47</v>
      </c>
      <c r="Z38" s="1488">
        <f>IFERROR(VLOOKUP(G38,'MON2'!MONTEFC,5,FALSE),"")</f>
        <v>963835.47</v>
      </c>
      <c r="AA38" s="1489"/>
      <c r="AB38" s="1485"/>
      <c r="AC38" s="1530" t="e">
        <f t="shared" si="15"/>
        <v>#VALUE!</v>
      </c>
      <c r="AD38" s="1494" t="str">
        <f t="shared" si="134"/>
        <v>0</v>
      </c>
      <c r="AE38" s="1497">
        <f t="shared" si="17"/>
        <v>0</v>
      </c>
      <c r="AF38" s="1497">
        <f t="shared" ref="AF38:AG38" si="157">Y38+R38+K38</f>
        <v>963835.47</v>
      </c>
      <c r="AG38" s="1497">
        <f t="shared" si="157"/>
        <v>963835.47</v>
      </c>
      <c r="AH38" s="1497">
        <f t="shared" si="19"/>
        <v>963835.47</v>
      </c>
      <c r="AI38" s="1531" t="str">
        <f t="shared" si="20"/>
        <v/>
      </c>
      <c r="AJ38" s="1493" t="str">
        <f t="shared" si="21"/>
        <v/>
      </c>
      <c r="AK38" s="1494">
        <f t="shared" si="22"/>
        <v>0</v>
      </c>
      <c r="AL38" s="1495">
        <f>IFERROR(VLOOKUP(G38,'MON2'!MONTENALIM,6,FALSE),"")</f>
        <v>0</v>
      </c>
      <c r="AM38" s="1496">
        <f>IFERROR(VLOOKUP(G38,'MON2'!MONTEFC,6,FALSE),"")</f>
        <v>0</v>
      </c>
      <c r="AN38" s="1493" t="str">
        <f t="shared" si="154"/>
        <v/>
      </c>
      <c r="AO38" s="1494">
        <f t="shared" si="23"/>
        <v>0</v>
      </c>
      <c r="AP38" s="1497">
        <f>IFERROR(VLOOKUP(G38,'MON2'!MONTENALIM,7,FALSE),"")</f>
        <v>1208543.26</v>
      </c>
      <c r="AQ38" s="1498">
        <f>IFERROR(VLOOKUP(G38,'MON2'!MONTEFC,7,FALSE),"")</f>
        <v>1208543.26</v>
      </c>
      <c r="AR38" s="1495" t="str">
        <f>IFERROR(VLOOKUP(G38,MONTE24,8,FALSE),"")</f>
        <v/>
      </c>
      <c r="AS38" s="1495">
        <f t="shared" si="24"/>
        <v>0</v>
      </c>
      <c r="AT38" s="1495">
        <f>IFERROR(VLOOKUP(G38,'MON2'!MONTENALIM,8,FALSE),"")</f>
        <v>0</v>
      </c>
      <c r="AU38" s="1493">
        <f>IFERROR(VLOOKUP(G38,'MON2'!MONTEFC,8,FALSE),"")</f>
        <v>0</v>
      </c>
      <c r="AV38" s="1532">
        <f t="shared" ref="AV38:AX38" si="158">SUM(AS38,AO38,AK38)</f>
        <v>0</v>
      </c>
      <c r="AW38" s="1497">
        <f t="shared" si="158"/>
        <v>1208543.26</v>
      </c>
      <c r="AX38" s="1528">
        <f t="shared" si="158"/>
        <v>1208543.26</v>
      </c>
      <c r="AY38" s="1494">
        <f t="shared" ref="AY38:BA38" si="159">SUM(AV38,AE38)</f>
        <v>0</v>
      </c>
      <c r="AZ38" s="1497">
        <f t="shared" si="159"/>
        <v>2172378.73</v>
      </c>
      <c r="BA38" s="1533">
        <f t="shared" si="159"/>
        <v>2172378.73</v>
      </c>
      <c r="BB38" s="1493" t="str">
        <f t="shared" si="138"/>
        <v/>
      </c>
      <c r="BC38" s="1504">
        <f t="shared" si="28"/>
        <v>0</v>
      </c>
      <c r="BD38" s="1497">
        <f>IFERROR(VLOOKUP(G38,'MON2'!MONTENALIM,9,FALSE),"")</f>
        <v>424715.84</v>
      </c>
      <c r="BE38" s="1505">
        <f>IFERROR(VLOOKUP(G38,'MON2'!MONTEFC,9,FALSE),"")</f>
        <v>424715.84</v>
      </c>
      <c r="BF38" s="1495" t="str">
        <f t="shared" si="139"/>
        <v/>
      </c>
      <c r="BG38" s="1497" t="str">
        <f t="shared" si="140"/>
        <v/>
      </c>
      <c r="BH38" s="1497" t="str">
        <f t="shared" si="141"/>
        <v/>
      </c>
      <c r="BI38" s="1497" t="str">
        <f t="shared" si="142"/>
        <v/>
      </c>
      <c r="BJ38" s="1497" t="str">
        <f t="shared" si="143"/>
        <v/>
      </c>
    </row>
    <row r="39" spans="1:62" ht="13">
      <c r="A39" s="485" t="str">
        <f t="shared" si="128"/>
        <v>MONTENEGRO</v>
      </c>
      <c r="B39" s="1467">
        <f t="shared" si="129"/>
        <v>112014218</v>
      </c>
      <c r="C39" s="1510">
        <f t="shared" si="130"/>
        <v>4</v>
      </c>
      <c r="D39" s="1511" t="str">
        <f t="shared" si="131"/>
        <v>Lista</v>
      </c>
      <c r="E39" s="1511">
        <f t="shared" si="132"/>
        <v>0.2</v>
      </c>
      <c r="F39" s="1511">
        <f t="shared" si="133"/>
        <v>0</v>
      </c>
      <c r="G39" s="1467" t="s">
        <v>1335</v>
      </c>
      <c r="H39" s="331">
        <f>IFERROR(VLOOKUP(G39,MONTE24,3,FALSE),"")</f>
        <v>37394.26</v>
      </c>
      <c r="I39" s="1547">
        <f t="shared" si="150"/>
        <v>62861.620773000002</v>
      </c>
      <c r="J39" s="156">
        <f t="shared" si="6"/>
        <v>0</v>
      </c>
      <c r="K39" s="331">
        <f>IFERROR(VLOOKUP(G39,'MON2'!MONTENALIM,3,FALSE),"")</f>
        <v>69034.929999999993</v>
      </c>
      <c r="L39" s="1513">
        <f>IFERROR(VLOOKUP(G39,'MON2'!MONTEFC,3,FALSE),"")</f>
        <v>69034.929999999993</v>
      </c>
      <c r="M39" s="1514">
        <f t="shared" si="7"/>
        <v>6173.3092269999906</v>
      </c>
      <c r="N39" s="234">
        <f t="shared" si="8"/>
        <v>1.0982047416386616</v>
      </c>
      <c r="O39" s="331">
        <f t="shared" si="9"/>
        <v>77312.94</v>
      </c>
      <c r="P39" s="1515">
        <f t="shared" si="151"/>
        <v>139992.47328150002</v>
      </c>
      <c r="Q39" s="1515">
        <f t="shared" si="10"/>
        <v>0</v>
      </c>
      <c r="R39" s="331">
        <f>IFERROR(VLOOKUP(G39,'MON2'!MONTENALIM,4,FALSE),"")</f>
        <v>60410.18</v>
      </c>
      <c r="S39" s="331">
        <f>IFERROR(VLOOKUP(G39,'MON2'!MONTEFC,4,FALSE),"")</f>
        <v>60410.18</v>
      </c>
      <c r="T39" s="331">
        <f t="shared" si="11"/>
        <v>-79582.293281500024</v>
      </c>
      <c r="U39" s="234">
        <f t="shared" si="12"/>
        <v>0.43152448545234179</v>
      </c>
      <c r="V39" s="331">
        <f t="shared" si="13"/>
        <v>46474.879999999997</v>
      </c>
      <c r="W39" s="1547">
        <f t="shared" si="152"/>
        <v>77858.204591999995</v>
      </c>
      <c r="X39" s="1516">
        <f t="shared" si="14"/>
        <v>0</v>
      </c>
      <c r="Y39" s="1515">
        <f>IFERROR(VLOOKUP(G39,'MON2'!MONTENALIM,5,FALSE),"")</f>
        <v>125188.71</v>
      </c>
      <c r="Z39" s="1517">
        <f>IFERROR(VLOOKUP(G39,'MON2'!MONTEFC,5,FALSE),"")</f>
        <v>125188.71</v>
      </c>
      <c r="AA39" s="1548"/>
      <c r="AB39" s="1515"/>
      <c r="AC39" s="1518">
        <f t="shared" si="15"/>
        <v>280712.29864649998</v>
      </c>
      <c r="AD39" s="156">
        <f t="shared" si="134"/>
        <v>220846.45</v>
      </c>
      <c r="AE39" s="331">
        <f t="shared" si="17"/>
        <v>0</v>
      </c>
      <c r="AF39" s="331">
        <f t="shared" ref="AF39:AG39" si="160">Y39+R39+K39</f>
        <v>254633.82</v>
      </c>
      <c r="AG39" s="331">
        <f t="shared" si="160"/>
        <v>254633.82</v>
      </c>
      <c r="AH39" s="331">
        <f t="shared" si="19"/>
        <v>33787.369999999995</v>
      </c>
      <c r="AI39" s="1519">
        <f t="shared" si="20"/>
        <v>1.1529903242728148</v>
      </c>
      <c r="AJ39" s="1520">
        <f t="shared" si="21"/>
        <v>91715.34</v>
      </c>
      <c r="AK39" s="156">
        <f t="shared" si="22"/>
        <v>0</v>
      </c>
      <c r="AL39" s="1514">
        <f>IFERROR(VLOOKUP(G39,'MON2'!MONTENALIM,6,FALSE),"")</f>
        <v>200464.79</v>
      </c>
      <c r="AM39" s="1521">
        <f>IFERROR(VLOOKUP(G39,'MON2'!MONTEFC,6,FALSE),"")</f>
        <v>200464.79</v>
      </c>
      <c r="AN39" s="1520">
        <f t="shared" si="154"/>
        <v>275080.40999999997</v>
      </c>
      <c r="AO39" s="156">
        <f t="shared" si="23"/>
        <v>9662.3999999999942</v>
      </c>
      <c r="AP39" s="331">
        <f>IFERROR(VLOOKUP(G39,'MON2'!MONTENALIM,7,FALSE),"")</f>
        <v>102649.47</v>
      </c>
      <c r="AQ39" s="1513">
        <f>IFERROR(VLOOKUP(G39,'MON2'!MONTEFC,7,FALSE),"")</f>
        <v>112311.87</v>
      </c>
      <c r="AR39" s="1514">
        <f>IFERROR(VLOOKUP(G39,MONTE24,8,FALSE),"")</f>
        <v>91090.57</v>
      </c>
      <c r="AS39" s="1514">
        <f t="shared" si="24"/>
        <v>0</v>
      </c>
      <c r="AT39" s="1514">
        <f>IFERROR(VLOOKUP(G39,'MON2'!MONTENALIM,8,FALSE),"")</f>
        <v>336212.85</v>
      </c>
      <c r="AU39" s="1520">
        <f>IFERROR(VLOOKUP(G39,'MON2'!MONTEFC,8,FALSE),"")</f>
        <v>336212.85</v>
      </c>
      <c r="AV39" s="1522">
        <f t="shared" ref="AV39:AX39" si="161">SUM(AS39,AO39,AK39)</f>
        <v>9662.3999999999942</v>
      </c>
      <c r="AW39" s="331">
        <f t="shared" si="161"/>
        <v>639327.11</v>
      </c>
      <c r="AX39" s="1512">
        <f t="shared" si="161"/>
        <v>648989.51</v>
      </c>
      <c r="AY39" s="156">
        <f t="shared" ref="AY39:BA39" si="162">SUM(AV39,AE39)</f>
        <v>9662.3999999999942</v>
      </c>
      <c r="AZ39" s="331">
        <f t="shared" si="162"/>
        <v>893960.92999999993</v>
      </c>
      <c r="BA39" s="1523">
        <f t="shared" si="162"/>
        <v>903623.33000000007</v>
      </c>
      <c r="BB39" s="1520">
        <f t="shared" si="138"/>
        <v>69050.11</v>
      </c>
      <c r="BC39" s="1524">
        <f t="shared" si="28"/>
        <v>17884.800000000003</v>
      </c>
      <c r="BD39" s="331">
        <f>IFERROR(VLOOKUP(G39,'MON2'!MONTENALIM,9,FALSE),"")</f>
        <v>-8751.8700000000008</v>
      </c>
      <c r="BE39" s="1525">
        <f>IFERROR(VLOOKUP(G39,'MON2'!MONTEFC,9,FALSE),"")</f>
        <v>9132.93</v>
      </c>
      <c r="BF39" s="1514">
        <f t="shared" si="139"/>
        <v>113273.02</v>
      </c>
      <c r="BG39" s="331">
        <f t="shared" si="140"/>
        <v>0</v>
      </c>
      <c r="BH39" s="331">
        <f t="shared" si="141"/>
        <v>139779.85999999999</v>
      </c>
      <c r="BI39" s="331">
        <f t="shared" si="142"/>
        <v>0</v>
      </c>
      <c r="BJ39" s="331">
        <f t="shared" si="143"/>
        <v>81066.59</v>
      </c>
    </row>
    <row r="40" spans="1:62" ht="13">
      <c r="A40" s="485" t="str">
        <f t="shared" si="128"/>
        <v>MONTENEGRO</v>
      </c>
      <c r="B40" s="1466">
        <f t="shared" si="129"/>
        <v>112014683</v>
      </c>
      <c r="C40" s="1527">
        <f t="shared" si="130"/>
        <v>1</v>
      </c>
      <c r="D40" s="733" t="str">
        <f t="shared" si="131"/>
        <v>Lista</v>
      </c>
      <c r="E40" s="733">
        <f t="shared" si="132"/>
        <v>0.09</v>
      </c>
      <c r="F40" s="733">
        <f t="shared" si="133"/>
        <v>0</v>
      </c>
      <c r="G40" s="1466" t="s">
        <v>1352</v>
      </c>
      <c r="H40" s="1497"/>
      <c r="I40" s="1486"/>
      <c r="J40" s="1494" t="e">
        <f t="shared" si="6"/>
        <v>#VALUE!</v>
      </c>
      <c r="K40" s="1497" t="str">
        <f>IFERROR(VLOOKUP(G40,'MON2'!MONTENALIM,3,FALSE),"")</f>
        <v/>
      </c>
      <c r="L40" s="1498">
        <f>IFERROR(VLOOKUP(G40,'MON2'!MONTEFC,3,FALSE),"")</f>
        <v>0</v>
      </c>
      <c r="M40" s="1495"/>
      <c r="N40" s="1529"/>
      <c r="O40" s="1497"/>
      <c r="P40" s="1485"/>
      <c r="Q40" s="1485" t="e">
        <f t="shared" si="10"/>
        <v>#VALUE!</v>
      </c>
      <c r="R40" s="1497" t="str">
        <f>IFERROR(VLOOKUP(G40,'MON2'!MONTENALIM,4,FALSE),"")</f>
        <v/>
      </c>
      <c r="S40" s="1497">
        <f>IFERROR(VLOOKUP(G40,'MON2'!MONTEFC,4,FALSE),"")</f>
        <v>0</v>
      </c>
      <c r="T40" s="1497"/>
      <c r="U40" s="1529"/>
      <c r="V40" s="1497"/>
      <c r="W40" s="1486"/>
      <c r="X40" s="1487" t="e">
        <f t="shared" si="14"/>
        <v>#VALUE!</v>
      </c>
      <c r="Y40" s="1485" t="str">
        <f>IFERROR(VLOOKUP(G40,'MON2'!MONTENALIM,5,FALSE),"")</f>
        <v/>
      </c>
      <c r="Z40" s="1488">
        <f>IFERROR(VLOOKUP(G40,'MON2'!MONTEFC,5,FALSE),"")</f>
        <v>0</v>
      </c>
      <c r="AA40" s="1489"/>
      <c r="AB40" s="1485"/>
      <c r="AC40" s="1530"/>
      <c r="AD40" s="1494" t="str">
        <f t="shared" si="134"/>
        <v>0</v>
      </c>
      <c r="AE40" s="1497" t="e">
        <f t="shared" si="17"/>
        <v>#VALUE!</v>
      </c>
      <c r="AF40" s="1497" t="e">
        <f t="shared" ref="AF40:AG40" si="163">Y40+R40+K40</f>
        <v>#VALUE!</v>
      </c>
      <c r="AG40" s="1497">
        <f t="shared" si="163"/>
        <v>0</v>
      </c>
      <c r="AH40" s="1497">
        <f t="shared" si="19"/>
        <v>0</v>
      </c>
      <c r="AI40" s="1531" t="str">
        <f t="shared" si="20"/>
        <v/>
      </c>
      <c r="AJ40" s="1493"/>
      <c r="AK40" s="1494" t="e">
        <f t="shared" si="22"/>
        <v>#VALUE!</v>
      </c>
      <c r="AL40" s="1495" t="str">
        <f>IFERROR(VLOOKUP(G40,'MON2'!MONTENALIM,6,FALSE),"")</f>
        <v/>
      </c>
      <c r="AM40" s="1496">
        <f>IFERROR(VLOOKUP(G40,'MON2'!MONTEFC,6,FALSE),"")</f>
        <v>114695</v>
      </c>
      <c r="AN40" s="1493" t="str">
        <f t="shared" si="154"/>
        <v/>
      </c>
      <c r="AO40" s="1494" t="e">
        <f t="shared" si="23"/>
        <v>#VALUE!</v>
      </c>
      <c r="AP40" s="1497" t="str">
        <f>IFERROR(VLOOKUP(G40,'MON2'!MONTENALIM,7,FALSE),"")</f>
        <v/>
      </c>
      <c r="AQ40" s="1498">
        <f>IFERROR(VLOOKUP(G40,'MON2'!MONTEFC,7,FALSE),"")</f>
        <v>0</v>
      </c>
      <c r="AR40" s="1495"/>
      <c r="AS40" s="1495" t="e">
        <f t="shared" si="24"/>
        <v>#VALUE!</v>
      </c>
      <c r="AT40" s="1495" t="str">
        <f>IFERROR(VLOOKUP(G40,'MON2'!MONTENALIM,8,FALSE),"")</f>
        <v/>
      </c>
      <c r="AU40" s="1493">
        <f>IFERROR(VLOOKUP(G40,'MON2'!MONTEFC,8,FALSE),"")</f>
        <v>0</v>
      </c>
      <c r="AV40" s="1532" t="e">
        <f t="shared" ref="AV40:AX40" si="164">SUM(AS40,AO40,AK40)</f>
        <v>#VALUE!</v>
      </c>
      <c r="AW40" s="1497">
        <f t="shared" si="164"/>
        <v>0</v>
      </c>
      <c r="AX40" s="1528">
        <f t="shared" si="164"/>
        <v>114695</v>
      </c>
      <c r="AY40" s="1494" t="e">
        <f t="shared" ref="AY40:BA40" si="165">SUM(AV40,AE40)</f>
        <v>#VALUE!</v>
      </c>
      <c r="AZ40" s="1497" t="e">
        <f t="shared" si="165"/>
        <v>#VALUE!</v>
      </c>
      <c r="BA40" s="1533">
        <f t="shared" si="165"/>
        <v>114695</v>
      </c>
      <c r="BB40" s="1493" t="str">
        <f t="shared" si="138"/>
        <v/>
      </c>
      <c r="BC40" s="1504" t="e">
        <f t="shared" si="28"/>
        <v>#VALUE!</v>
      </c>
      <c r="BD40" s="1497" t="str">
        <f>IFERROR(VLOOKUP(G40,'MON2'!MONTENALIM,9,FALSE),"")</f>
        <v/>
      </c>
      <c r="BE40" s="1505">
        <f>IFERROR(VLOOKUP(G40,'MON2'!MONTEFC,9,FALSE),"")</f>
        <v>109434.94</v>
      </c>
      <c r="BF40" s="1495" t="str">
        <f t="shared" si="139"/>
        <v/>
      </c>
      <c r="BG40" s="1497" t="str">
        <f t="shared" si="140"/>
        <v/>
      </c>
      <c r="BH40" s="1497" t="str">
        <f t="shared" si="141"/>
        <v/>
      </c>
      <c r="BI40" s="1497" t="str">
        <f t="shared" si="142"/>
        <v/>
      </c>
      <c r="BJ40" s="1497" t="str">
        <f t="shared" si="143"/>
        <v/>
      </c>
    </row>
    <row r="41" spans="1:62" ht="13">
      <c r="A41" s="485" t="str">
        <f t="shared" si="128"/>
        <v>MONTENEGRO</v>
      </c>
      <c r="B41" s="1467">
        <f t="shared" si="129"/>
        <v>112014130</v>
      </c>
      <c r="C41" s="1510">
        <f t="shared" si="130"/>
        <v>1</v>
      </c>
      <c r="D41" s="1511" t="str">
        <f t="shared" si="131"/>
        <v>Lista</v>
      </c>
      <c r="E41" s="1511">
        <f t="shared" si="132"/>
        <v>0.09</v>
      </c>
      <c r="F41" s="1511">
        <f t="shared" si="133"/>
        <v>0</v>
      </c>
      <c r="G41" s="1467" t="s">
        <v>1557</v>
      </c>
      <c r="H41" s="331">
        <f t="shared" ref="H41:H68" si="166">IFERROR(VLOOKUP(G41,MONTE24,3,FALSE),"")</f>
        <v>152814.59</v>
      </c>
      <c r="I41" s="1547">
        <f t="shared" ref="I41:I68" si="167">(H41*1.601)*1.05</f>
        <v>256888.96651949998</v>
      </c>
      <c r="J41" s="156">
        <f t="shared" si="6"/>
        <v>0</v>
      </c>
      <c r="K41" s="331">
        <f>IFERROR(VLOOKUP(G41,'MON2'!MONTENALIM,3,FALSE),"")</f>
        <v>195568.78</v>
      </c>
      <c r="L41" s="1513">
        <f>IFERROR(VLOOKUP(G41,'MON2'!MONTEFC,3,FALSE),"")</f>
        <v>195568.78</v>
      </c>
      <c r="M41" s="1514">
        <f t="shared" ref="M41:M129" si="168">L41-I41</f>
        <v>-61320.186519499985</v>
      </c>
      <c r="N41" s="234">
        <f t="shared" ref="N41:N129" si="169">L41/I41</f>
        <v>0.76129692391889758</v>
      </c>
      <c r="O41" s="331">
        <f t="shared" ref="O41:O72" si="170">IFERROR(VLOOKUP(G41,MONTE24,4,FALSE),"")</f>
        <v>346248.93</v>
      </c>
      <c r="P41" s="1515">
        <f t="shared" ref="P41:P68" si="171">(O41*1.7245)*1.05</f>
        <v>626961.59377424989</v>
      </c>
      <c r="Q41" s="1515">
        <f t="shared" si="10"/>
        <v>0</v>
      </c>
      <c r="R41" s="331">
        <f>IFERROR(VLOOKUP(G41,'MON2'!MONTENALIM,4,FALSE),"")</f>
        <v>0</v>
      </c>
      <c r="S41" s="331">
        <f>IFERROR(VLOOKUP(G41,'MON2'!MONTEFC,4,FALSE),"")</f>
        <v>0</v>
      </c>
      <c r="T41" s="331">
        <f t="shared" ref="T41:T129" si="172">S41-P41</f>
        <v>-626961.59377424989</v>
      </c>
      <c r="U41" s="234">
        <f t="shared" ref="U41:U129" si="173">S41/P41</f>
        <v>0</v>
      </c>
      <c r="V41" s="331">
        <f t="shared" ref="V41:V72" si="174">IFERROR(VLOOKUP(G41,MONTE24,5,FALSE),"")</f>
        <v>436762.78</v>
      </c>
      <c r="W41" s="1547">
        <f t="shared" ref="W41:W68" si="175">(V41*1.5955)*1.05</f>
        <v>731697.7662645001</v>
      </c>
      <c r="X41" s="1516">
        <f t="shared" si="14"/>
        <v>0</v>
      </c>
      <c r="Y41" s="1515">
        <f>IFERROR(VLOOKUP(G41,'MON2'!MONTENALIM,5,FALSE),"")</f>
        <v>262918.53000000003</v>
      </c>
      <c r="Z41" s="1517">
        <f>IFERROR(VLOOKUP(G41,'MON2'!MONTEFC,5,FALSE),"")</f>
        <v>262918.53000000003</v>
      </c>
      <c r="AA41" s="1548"/>
      <c r="AB41" s="1515"/>
      <c r="AC41" s="1518">
        <f t="shared" ref="AC41:AC129" si="176">I41+P41+W41</f>
        <v>1615548.32655825</v>
      </c>
      <c r="AD41" s="156" t="str">
        <f t="shared" si="134"/>
        <v>0</v>
      </c>
      <c r="AE41" s="331">
        <f t="shared" si="17"/>
        <v>0</v>
      </c>
      <c r="AF41" s="331">
        <f t="shared" ref="AF41:AG41" si="177">Y41+R41+K41</f>
        <v>458487.31000000006</v>
      </c>
      <c r="AG41" s="331">
        <f t="shared" si="177"/>
        <v>458487.31000000006</v>
      </c>
      <c r="AH41" s="331">
        <f t="shared" si="19"/>
        <v>458487.31000000006</v>
      </c>
      <c r="AI41" s="1519" t="str">
        <f t="shared" si="20"/>
        <v/>
      </c>
      <c r="AJ41" s="1520">
        <f t="shared" ref="AJ41:AJ72" si="178">IFERROR(VLOOKUP(G41,MONTE24,6,FALSE),"")</f>
        <v>224421.94</v>
      </c>
      <c r="AK41" s="156">
        <f t="shared" si="22"/>
        <v>143306.85</v>
      </c>
      <c r="AL41" s="1514">
        <f>IFERROR(VLOOKUP(G41,'MON2'!MONTENALIM,6,FALSE),"")</f>
        <v>0</v>
      </c>
      <c r="AM41" s="1521">
        <f>IFERROR(VLOOKUP(G41,'MON2'!MONTEFC,6,FALSE),"")</f>
        <v>143306.85</v>
      </c>
      <c r="AN41" s="1520">
        <f t="shared" si="154"/>
        <v>191214.25</v>
      </c>
      <c r="AO41" s="156">
        <f t="shared" si="23"/>
        <v>21276.809999999998</v>
      </c>
      <c r="AP41" s="331">
        <f>IFERROR(VLOOKUP(G41,'MON2'!MONTENALIM,7,FALSE),"")</f>
        <v>242891.87</v>
      </c>
      <c r="AQ41" s="1513">
        <f>IFERROR(VLOOKUP(G41,'MON2'!MONTEFC,7,FALSE),"")</f>
        <v>264168.68</v>
      </c>
      <c r="AR41" s="1514">
        <f t="shared" ref="AR41:AR68" si="179">IFERROR(VLOOKUP(G41,MONTE24,8,FALSE),"")</f>
        <v>87551.2</v>
      </c>
      <c r="AS41" s="1514">
        <f t="shared" si="24"/>
        <v>254709.66000000003</v>
      </c>
      <c r="AT41" s="1514">
        <f>IFERROR(VLOOKUP(G41,'MON2'!MONTENALIM,8,FALSE),"")</f>
        <v>310325.99</v>
      </c>
      <c r="AU41" s="1520">
        <f>IFERROR(VLOOKUP(G41,'MON2'!MONTEFC,8,FALSE),"")</f>
        <v>565035.65</v>
      </c>
      <c r="AV41" s="1522">
        <f t="shared" ref="AV41:AX41" si="180">SUM(AS41,AO41,AK41)</f>
        <v>419293.32000000007</v>
      </c>
      <c r="AW41" s="331">
        <f t="shared" si="180"/>
        <v>553217.86</v>
      </c>
      <c r="AX41" s="1512">
        <f t="shared" si="180"/>
        <v>972511.18</v>
      </c>
      <c r="AY41" s="156">
        <f t="shared" ref="AY41:BA41" si="181">SUM(AV41,AE41)</f>
        <v>419293.32000000007</v>
      </c>
      <c r="AZ41" s="331">
        <f t="shared" si="181"/>
        <v>1011705.17</v>
      </c>
      <c r="BA41" s="1523">
        <f t="shared" si="181"/>
        <v>1430998.4900000002</v>
      </c>
      <c r="BB41" s="1520">
        <f t="shared" si="138"/>
        <v>418017.06</v>
      </c>
      <c r="BC41" s="1524">
        <f t="shared" si="28"/>
        <v>33658</v>
      </c>
      <c r="BD41" s="331">
        <f>IFERROR(VLOOKUP(G41,'MON2'!MONTENALIM,9,FALSE),"")</f>
        <v>252810.07</v>
      </c>
      <c r="BE41" s="1525">
        <f>IFERROR(VLOOKUP(G41,'MON2'!MONTEFC,9,FALSE),"")</f>
        <v>286468.07</v>
      </c>
      <c r="BF41" s="1514">
        <f t="shared" si="139"/>
        <v>521424.5</v>
      </c>
      <c r="BG41" s="331">
        <f t="shared" si="140"/>
        <v>785521.85</v>
      </c>
      <c r="BH41" s="331">
        <f t="shared" si="141"/>
        <v>145050.35999999999</v>
      </c>
      <c r="BI41" s="331">
        <f t="shared" si="142"/>
        <v>50981.68</v>
      </c>
      <c r="BJ41" s="331">
        <f t="shared" si="143"/>
        <v>292503.71000000002</v>
      </c>
    </row>
    <row r="42" spans="1:62" ht="13">
      <c r="A42" s="485" t="str">
        <f t="shared" si="128"/>
        <v>MONTENEGRO</v>
      </c>
      <c r="B42" s="1466">
        <f t="shared" si="129"/>
        <v>112011665</v>
      </c>
      <c r="C42" s="1527">
        <f t="shared" si="130"/>
        <v>1</v>
      </c>
      <c r="D42" s="733" t="str">
        <f t="shared" si="131"/>
        <v>Lista</v>
      </c>
      <c r="E42" s="733">
        <f t="shared" si="132"/>
        <v>0.09</v>
      </c>
      <c r="F42" s="733">
        <f t="shared" si="133"/>
        <v>0</v>
      </c>
      <c r="G42" s="1466" t="s">
        <v>1354</v>
      </c>
      <c r="H42" s="1497">
        <f t="shared" si="166"/>
        <v>0</v>
      </c>
      <c r="I42" s="1486">
        <f t="shared" si="167"/>
        <v>0</v>
      </c>
      <c r="J42" s="1494" t="e">
        <f t="shared" si="6"/>
        <v>#VALUE!</v>
      </c>
      <c r="K42" s="1497" t="str">
        <f>IFERROR(VLOOKUP(G42,'MON2'!MONTENALIM,3,FALSE),"")</f>
        <v/>
      </c>
      <c r="L42" s="1498">
        <f>IFERROR(VLOOKUP(G42,'MON2'!MONTEFC,3,FALSE),"")</f>
        <v>0</v>
      </c>
      <c r="M42" s="1495">
        <f t="shared" si="168"/>
        <v>0</v>
      </c>
      <c r="N42" s="1529" t="e">
        <f t="shared" si="169"/>
        <v>#DIV/0!</v>
      </c>
      <c r="O42" s="1497">
        <f t="shared" si="170"/>
        <v>89194.79</v>
      </c>
      <c r="P42" s="1485">
        <f t="shared" si="171"/>
        <v>161507.23612274998</v>
      </c>
      <c r="Q42" s="1485" t="e">
        <f t="shared" si="10"/>
        <v>#VALUE!</v>
      </c>
      <c r="R42" s="1497" t="str">
        <f>IFERROR(VLOOKUP(G42,'MON2'!MONTENALIM,4,FALSE),"")</f>
        <v/>
      </c>
      <c r="S42" s="1497">
        <f>IFERROR(VLOOKUP(G42,'MON2'!MONTEFC,4,FALSE),"")</f>
        <v>0</v>
      </c>
      <c r="T42" s="1497">
        <f t="shared" si="172"/>
        <v>-161507.23612274998</v>
      </c>
      <c r="U42" s="1529">
        <f t="shared" si="173"/>
        <v>0</v>
      </c>
      <c r="V42" s="1497">
        <f t="shared" si="174"/>
        <v>160338.16</v>
      </c>
      <c r="W42" s="1486">
        <f t="shared" si="175"/>
        <v>268610.51099400001</v>
      </c>
      <c r="X42" s="1487" t="e">
        <f t="shared" si="14"/>
        <v>#VALUE!</v>
      </c>
      <c r="Y42" s="1485" t="str">
        <f>IFERROR(VLOOKUP(G42,'MON2'!MONTENALIM,5,FALSE),"")</f>
        <v/>
      </c>
      <c r="Z42" s="1488">
        <f>IFERROR(VLOOKUP(G42,'MON2'!MONTEFC,5,FALSE),"")</f>
        <v>0</v>
      </c>
      <c r="AA42" s="1489"/>
      <c r="AB42" s="1485"/>
      <c r="AC42" s="1530">
        <f t="shared" si="176"/>
        <v>430117.74711674999</v>
      </c>
      <c r="AD42" s="1494">
        <f t="shared" si="134"/>
        <v>413740.98</v>
      </c>
      <c r="AE42" s="1497" t="e">
        <f t="shared" si="17"/>
        <v>#VALUE!</v>
      </c>
      <c r="AF42" s="1497" t="e">
        <f t="shared" ref="AF42:AG42" si="182">Y42+R42+K42</f>
        <v>#VALUE!</v>
      </c>
      <c r="AG42" s="1497">
        <f t="shared" si="182"/>
        <v>0</v>
      </c>
      <c r="AH42" s="1497">
        <f t="shared" si="19"/>
        <v>-413740.98</v>
      </c>
      <c r="AI42" s="1531">
        <f t="shared" si="20"/>
        <v>0</v>
      </c>
      <c r="AJ42" s="1493">
        <f t="shared" si="178"/>
        <v>0</v>
      </c>
      <c r="AK42" s="1494" t="e">
        <f t="shared" si="22"/>
        <v>#VALUE!</v>
      </c>
      <c r="AL42" s="1495" t="str">
        <f>IFERROR(VLOOKUP(G42,'MON2'!MONTENALIM,6,FALSE),"")</f>
        <v/>
      </c>
      <c r="AM42" s="1496">
        <f>IFERROR(VLOOKUP(G42,'MON2'!MONTEFC,6,FALSE),"")</f>
        <v>0</v>
      </c>
      <c r="AN42" s="1493">
        <f t="shared" si="154"/>
        <v>0</v>
      </c>
      <c r="AO42" s="1494" t="e">
        <f t="shared" si="23"/>
        <v>#VALUE!</v>
      </c>
      <c r="AP42" s="1497" t="str">
        <f>IFERROR(VLOOKUP(G42,'MON2'!MONTENALIM,7,FALSE),"")</f>
        <v/>
      </c>
      <c r="AQ42" s="1498">
        <f>IFERROR(VLOOKUP(G42,'MON2'!MONTEFC,7,FALSE),"")</f>
        <v>338374.6</v>
      </c>
      <c r="AR42" s="1495">
        <f t="shared" si="179"/>
        <v>0</v>
      </c>
      <c r="AS42" s="1495" t="e">
        <f t="shared" si="24"/>
        <v>#VALUE!</v>
      </c>
      <c r="AT42" s="1495" t="str">
        <f>IFERROR(VLOOKUP(G42,'MON2'!MONTENALIM,8,FALSE),"")</f>
        <v/>
      </c>
      <c r="AU42" s="1493">
        <f>IFERROR(VLOOKUP(G42,'MON2'!MONTEFC,8,FALSE),"")</f>
        <v>0</v>
      </c>
      <c r="AV42" s="1532" t="e">
        <f t="shared" ref="AV42:AX42" si="183">SUM(AS42,AO42,AK42)</f>
        <v>#VALUE!</v>
      </c>
      <c r="AW42" s="1497">
        <f t="shared" si="183"/>
        <v>0</v>
      </c>
      <c r="AX42" s="1528">
        <f t="shared" si="183"/>
        <v>338374.6</v>
      </c>
      <c r="AY42" s="1494" t="e">
        <f t="shared" ref="AY42:BA42" si="184">SUM(AV42,AE42)</f>
        <v>#VALUE!</v>
      </c>
      <c r="AZ42" s="1497" t="e">
        <f t="shared" si="184"/>
        <v>#VALUE!</v>
      </c>
      <c r="BA42" s="1533">
        <f t="shared" si="184"/>
        <v>338374.6</v>
      </c>
      <c r="BB42" s="1493">
        <f t="shared" si="138"/>
        <v>45269.52</v>
      </c>
      <c r="BC42" s="1504" t="e">
        <f t="shared" si="28"/>
        <v>#VALUE!</v>
      </c>
      <c r="BD42" s="1497" t="str">
        <f>IFERROR(VLOOKUP(G42,'MON2'!MONTENALIM,9,FALSE),"")</f>
        <v/>
      </c>
      <c r="BE42" s="1505">
        <f>IFERROR(VLOOKUP(G42,'MON2'!MONTEFC,9,FALSE),"")</f>
        <v>0</v>
      </c>
      <c r="BF42" s="1495">
        <f t="shared" si="139"/>
        <v>103591.8</v>
      </c>
      <c r="BG42" s="1497">
        <f t="shared" si="140"/>
        <v>908268.7</v>
      </c>
      <c r="BH42" s="1497">
        <f t="shared" si="141"/>
        <v>81431.3</v>
      </c>
      <c r="BI42" s="1497">
        <f t="shared" si="142"/>
        <v>130707.48</v>
      </c>
      <c r="BJ42" s="1497">
        <f t="shared" si="143"/>
        <v>201602.2</v>
      </c>
    </row>
    <row r="43" spans="1:62" ht="13">
      <c r="A43" s="485" t="str">
        <f t="shared" si="128"/>
        <v>MONTENEGRO</v>
      </c>
      <c r="B43" s="1467">
        <f t="shared" si="129"/>
        <v>112012415</v>
      </c>
      <c r="C43" s="1510">
        <f t="shared" si="130"/>
        <v>1</v>
      </c>
      <c r="D43" s="1511" t="str">
        <f t="shared" si="131"/>
        <v>Lista</v>
      </c>
      <c r="E43" s="1511">
        <f t="shared" si="132"/>
        <v>0.09</v>
      </c>
      <c r="F43" s="1511">
        <f t="shared" si="133"/>
        <v>0</v>
      </c>
      <c r="G43" s="1467" t="s">
        <v>1355</v>
      </c>
      <c r="H43" s="331">
        <f t="shared" si="166"/>
        <v>47170.97</v>
      </c>
      <c r="I43" s="1547">
        <f t="shared" si="167"/>
        <v>79296.759118500006</v>
      </c>
      <c r="J43" s="156" t="e">
        <f t="shared" si="6"/>
        <v>#VALUE!</v>
      </c>
      <c r="K43" s="331" t="str">
        <f>IFERROR(VLOOKUP(G43,'MON2'!MONTENALIM,3,FALSE),"")</f>
        <v/>
      </c>
      <c r="L43" s="1513">
        <f>IFERROR(VLOOKUP(G43,'MON2'!MONTEFC,3,FALSE),"")</f>
        <v>130557.67</v>
      </c>
      <c r="M43" s="1514">
        <f t="shared" si="168"/>
        <v>51260.910881499993</v>
      </c>
      <c r="N43" s="234">
        <f t="shared" si="169"/>
        <v>1.6464439587612449</v>
      </c>
      <c r="O43" s="331">
        <f t="shared" si="170"/>
        <v>0</v>
      </c>
      <c r="P43" s="1515">
        <f t="shared" si="171"/>
        <v>0</v>
      </c>
      <c r="Q43" s="1515" t="e">
        <f t="shared" si="10"/>
        <v>#VALUE!</v>
      </c>
      <c r="R43" s="331" t="str">
        <f>IFERROR(VLOOKUP(G43,'MON2'!MONTENALIM,4,FALSE),"")</f>
        <v/>
      </c>
      <c r="S43" s="331">
        <f>IFERROR(VLOOKUP(G43,'MON2'!MONTEFC,4,FALSE),"")</f>
        <v>62339.97</v>
      </c>
      <c r="T43" s="331">
        <f t="shared" si="172"/>
        <v>62339.97</v>
      </c>
      <c r="U43" s="234" t="e">
        <f t="shared" si="173"/>
        <v>#DIV/0!</v>
      </c>
      <c r="V43" s="331">
        <f t="shared" si="174"/>
        <v>19641.849999999999</v>
      </c>
      <c r="W43" s="1547">
        <f t="shared" si="175"/>
        <v>32905.500258749998</v>
      </c>
      <c r="X43" s="1516" t="e">
        <f t="shared" si="14"/>
        <v>#VALUE!</v>
      </c>
      <c r="Y43" s="1515" t="str">
        <f>IFERROR(VLOOKUP(G43,'MON2'!MONTENALIM,5,FALSE),"")</f>
        <v/>
      </c>
      <c r="Z43" s="1517">
        <f>IFERROR(VLOOKUP(G43,'MON2'!MONTEFC,5,FALSE),"")</f>
        <v>0</v>
      </c>
      <c r="AA43" s="1548"/>
      <c r="AB43" s="1515"/>
      <c r="AC43" s="1518">
        <f t="shared" si="176"/>
        <v>112202.25937725001</v>
      </c>
      <c r="AD43" s="156">
        <f t="shared" si="134"/>
        <v>180929.19</v>
      </c>
      <c r="AE43" s="331" t="e">
        <f t="shared" si="17"/>
        <v>#VALUE!</v>
      </c>
      <c r="AF43" s="331" t="e">
        <f t="shared" ref="AF43:AG43" si="185">Y43+R43+K43</f>
        <v>#VALUE!</v>
      </c>
      <c r="AG43" s="331">
        <f t="shared" si="185"/>
        <v>192897.64</v>
      </c>
      <c r="AH43" s="331">
        <f t="shared" si="19"/>
        <v>11968.450000000012</v>
      </c>
      <c r="AI43" s="1519">
        <f t="shared" si="20"/>
        <v>1.0661499120180664</v>
      </c>
      <c r="AJ43" s="1520">
        <f t="shared" si="178"/>
        <v>69690.45</v>
      </c>
      <c r="AK43" s="156" t="e">
        <f t="shared" si="22"/>
        <v>#VALUE!</v>
      </c>
      <c r="AL43" s="1514" t="str">
        <f>IFERROR(VLOOKUP(G43,'MON2'!MONTENALIM,6,FALSE),"")</f>
        <v/>
      </c>
      <c r="AM43" s="1521">
        <f>IFERROR(VLOOKUP(G43,'MON2'!MONTEFC,6,FALSE),"")</f>
        <v>75366.179999999993</v>
      </c>
      <c r="AN43" s="1520">
        <f t="shared" si="154"/>
        <v>0</v>
      </c>
      <c r="AO43" s="156" t="e">
        <f t="shared" si="23"/>
        <v>#VALUE!</v>
      </c>
      <c r="AP43" s="331" t="str">
        <f>IFERROR(VLOOKUP(G43,'MON2'!MONTENALIM,7,FALSE),"")</f>
        <v/>
      </c>
      <c r="AQ43" s="1513">
        <f>IFERROR(VLOOKUP(G43,'MON2'!MONTEFC,7,FALSE),"")</f>
        <v>0</v>
      </c>
      <c r="AR43" s="1514">
        <f t="shared" si="179"/>
        <v>64584.19</v>
      </c>
      <c r="AS43" s="1514" t="e">
        <f t="shared" si="24"/>
        <v>#VALUE!</v>
      </c>
      <c r="AT43" s="1514" t="str">
        <f>IFERROR(VLOOKUP(G43,'MON2'!MONTENALIM,8,FALSE),"")</f>
        <v/>
      </c>
      <c r="AU43" s="1520">
        <f>IFERROR(VLOOKUP(G43,'MON2'!MONTEFC,8,FALSE),"")</f>
        <v>0</v>
      </c>
      <c r="AV43" s="1522" t="e">
        <f t="shared" ref="AV43:AX43" si="186">SUM(AS43,AO43,AK43)</f>
        <v>#VALUE!</v>
      </c>
      <c r="AW43" s="331">
        <f t="shared" si="186"/>
        <v>0</v>
      </c>
      <c r="AX43" s="1512">
        <f t="shared" si="186"/>
        <v>75366.179999999993</v>
      </c>
      <c r="AY43" s="156" t="e">
        <f t="shared" ref="AY43:BA43" si="187">SUM(AV43,AE43)</f>
        <v>#VALUE!</v>
      </c>
      <c r="AZ43" s="331" t="e">
        <f t="shared" si="187"/>
        <v>#VALUE!</v>
      </c>
      <c r="BA43" s="1523">
        <f t="shared" si="187"/>
        <v>268263.82</v>
      </c>
      <c r="BB43" s="1520">
        <f t="shared" si="138"/>
        <v>46965.04</v>
      </c>
      <c r="BC43" s="1524" t="e">
        <f t="shared" si="28"/>
        <v>#VALUE!</v>
      </c>
      <c r="BD43" s="331" t="str">
        <f>IFERROR(VLOOKUP(G43,'MON2'!MONTENALIM,9,FALSE),"")</f>
        <v/>
      </c>
      <c r="BE43" s="1525">
        <f>IFERROR(VLOOKUP(G43,'MON2'!MONTEFC,9,FALSE),"")</f>
        <v>0</v>
      </c>
      <c r="BF43" s="1514">
        <f t="shared" si="139"/>
        <v>51808.1</v>
      </c>
      <c r="BG43" s="331">
        <f t="shared" si="140"/>
        <v>38303.78</v>
      </c>
      <c r="BH43" s="331">
        <f t="shared" si="141"/>
        <v>0</v>
      </c>
      <c r="BI43" s="331">
        <f t="shared" si="142"/>
        <v>98995.96</v>
      </c>
      <c r="BJ43" s="331">
        <f t="shared" si="143"/>
        <v>81933.23</v>
      </c>
    </row>
    <row r="44" spans="1:62" ht="13">
      <c r="A44" s="485" t="str">
        <f t="shared" si="128"/>
        <v>MONTENEGRO</v>
      </c>
      <c r="B44" s="1466">
        <f t="shared" si="129"/>
        <v>112013098</v>
      </c>
      <c r="C44" s="1527">
        <f t="shared" si="130"/>
        <v>1</v>
      </c>
      <c r="D44" s="733" t="str">
        <f t="shared" si="131"/>
        <v>Lista</v>
      </c>
      <c r="E44" s="733">
        <f t="shared" si="132"/>
        <v>0.09</v>
      </c>
      <c r="F44" s="733">
        <f t="shared" si="133"/>
        <v>0</v>
      </c>
      <c r="G44" s="1466" t="s">
        <v>1356</v>
      </c>
      <c r="H44" s="1497" t="str">
        <f t="shared" si="166"/>
        <v/>
      </c>
      <c r="I44" s="1486" t="e">
        <f t="shared" si="167"/>
        <v>#VALUE!</v>
      </c>
      <c r="J44" s="1494" t="e">
        <f t="shared" si="6"/>
        <v>#VALUE!</v>
      </c>
      <c r="K44" s="1497" t="str">
        <f>IFERROR(VLOOKUP(G44,'MON2'!MONTENALIM,3,FALSE),"")</f>
        <v/>
      </c>
      <c r="L44" s="1498" t="str">
        <f>IFERROR(VLOOKUP(G44,'MON2'!MONTEFC,3,FALSE),"")</f>
        <v/>
      </c>
      <c r="M44" s="1495" t="e">
        <f t="shared" si="168"/>
        <v>#VALUE!</v>
      </c>
      <c r="N44" s="1529" t="e">
        <f t="shared" si="169"/>
        <v>#VALUE!</v>
      </c>
      <c r="O44" s="1497" t="str">
        <f t="shared" si="170"/>
        <v/>
      </c>
      <c r="P44" s="1485" t="e">
        <f t="shared" si="171"/>
        <v>#VALUE!</v>
      </c>
      <c r="Q44" s="1485" t="e">
        <f t="shared" si="10"/>
        <v>#VALUE!</v>
      </c>
      <c r="R44" s="1497" t="str">
        <f>IFERROR(VLOOKUP(G44,'MON2'!MONTENALIM,4,FALSE),"")</f>
        <v/>
      </c>
      <c r="S44" s="1497" t="str">
        <f>IFERROR(VLOOKUP(G44,'MON2'!MONTEFC,4,FALSE),"")</f>
        <v/>
      </c>
      <c r="T44" s="1497" t="e">
        <f t="shared" si="172"/>
        <v>#VALUE!</v>
      </c>
      <c r="U44" s="1529" t="e">
        <f t="shared" si="173"/>
        <v>#VALUE!</v>
      </c>
      <c r="V44" s="1497" t="str">
        <f t="shared" si="174"/>
        <v/>
      </c>
      <c r="W44" s="1486" t="e">
        <f t="shared" si="175"/>
        <v>#VALUE!</v>
      </c>
      <c r="X44" s="1487" t="e">
        <f t="shared" si="14"/>
        <v>#VALUE!</v>
      </c>
      <c r="Y44" s="1485" t="str">
        <f>IFERROR(VLOOKUP(G44,'MON2'!MONTENALIM,5,FALSE),"")</f>
        <v/>
      </c>
      <c r="Z44" s="1488" t="str">
        <f>IFERROR(VLOOKUP(G44,'MON2'!MONTEFC,5,FALSE),"")</f>
        <v/>
      </c>
      <c r="AA44" s="1489"/>
      <c r="AB44" s="1485"/>
      <c r="AC44" s="1530" t="e">
        <f t="shared" si="176"/>
        <v>#VALUE!</v>
      </c>
      <c r="AD44" s="1494" t="str">
        <f t="shared" si="134"/>
        <v>0</v>
      </c>
      <c r="AE44" s="1497" t="e">
        <f t="shared" si="17"/>
        <v>#VALUE!</v>
      </c>
      <c r="AF44" s="1497" t="e">
        <f t="shared" ref="AF44:AG44" si="188">Y44+R44+K44</f>
        <v>#VALUE!</v>
      </c>
      <c r="AG44" s="1497" t="e">
        <f t="shared" si="188"/>
        <v>#VALUE!</v>
      </c>
      <c r="AH44" s="1497" t="e">
        <f t="shared" si="19"/>
        <v>#VALUE!</v>
      </c>
      <c r="AI44" s="1531" t="str">
        <f t="shared" si="20"/>
        <v/>
      </c>
      <c r="AJ44" s="1493" t="str">
        <f t="shared" si="178"/>
        <v/>
      </c>
      <c r="AK44" s="1494" t="e">
        <f t="shared" si="22"/>
        <v>#VALUE!</v>
      </c>
      <c r="AL44" s="1495" t="str">
        <f>IFERROR(VLOOKUP(G44,'MON2'!MONTENALIM,6,FALSE),"")</f>
        <v/>
      </c>
      <c r="AM44" s="1496" t="str">
        <f>IFERROR(VLOOKUP(G44,'MON2'!MONTEFC,6,FALSE),"")</f>
        <v/>
      </c>
      <c r="AN44" s="1493" t="str">
        <f t="shared" si="154"/>
        <v/>
      </c>
      <c r="AO44" s="1494" t="e">
        <f t="shared" si="23"/>
        <v>#VALUE!</v>
      </c>
      <c r="AP44" s="1497" t="str">
        <f>IFERROR(VLOOKUP(G44,'MON2'!MONTENALIM,7,FALSE),"")</f>
        <v/>
      </c>
      <c r="AQ44" s="1498" t="str">
        <f>IFERROR(VLOOKUP(G44,'MON2'!MONTEFC,7,FALSE),"")</f>
        <v/>
      </c>
      <c r="AR44" s="1495" t="str">
        <f t="shared" si="179"/>
        <v/>
      </c>
      <c r="AS44" s="1495" t="e">
        <f t="shared" si="24"/>
        <v>#VALUE!</v>
      </c>
      <c r="AT44" s="1495" t="str">
        <f>IFERROR(VLOOKUP(G44,'MON2'!MONTENALIM,8,FALSE),"")</f>
        <v/>
      </c>
      <c r="AU44" s="1493" t="str">
        <f>IFERROR(VLOOKUP(G44,'MON2'!MONTEFC,8,FALSE),"")</f>
        <v/>
      </c>
      <c r="AV44" s="1532" t="e">
        <f t="shared" ref="AV44:AX44" si="189">SUM(AS44,AO44,AK44)</f>
        <v>#VALUE!</v>
      </c>
      <c r="AW44" s="1497">
        <f t="shared" si="189"/>
        <v>0</v>
      </c>
      <c r="AX44" s="1528">
        <f t="shared" si="189"/>
        <v>0</v>
      </c>
      <c r="AY44" s="1494" t="e">
        <f t="shared" ref="AY44:BA44" si="190">SUM(AV44,AE44)</f>
        <v>#VALUE!</v>
      </c>
      <c r="AZ44" s="1497" t="e">
        <f t="shared" si="190"/>
        <v>#VALUE!</v>
      </c>
      <c r="BA44" s="1533" t="e">
        <f t="shared" si="190"/>
        <v>#VALUE!</v>
      </c>
      <c r="BB44" s="1493" t="str">
        <f t="shared" si="138"/>
        <v/>
      </c>
      <c r="BC44" s="1504" t="e">
        <f t="shared" si="28"/>
        <v>#VALUE!</v>
      </c>
      <c r="BD44" s="1497" t="str">
        <f>IFERROR(VLOOKUP(G44,'MON2'!MONTENALIM,9,FALSE),"")</f>
        <v/>
      </c>
      <c r="BE44" s="1505" t="str">
        <f>IFERROR(VLOOKUP(G44,'MON2'!MONTEFC,9,FALSE),"")</f>
        <v/>
      </c>
      <c r="BF44" s="1495" t="str">
        <f t="shared" si="139"/>
        <v/>
      </c>
      <c r="BG44" s="1497" t="str">
        <f t="shared" si="140"/>
        <v/>
      </c>
      <c r="BH44" s="1497" t="str">
        <f t="shared" si="141"/>
        <v/>
      </c>
      <c r="BI44" s="1497" t="str">
        <f t="shared" si="142"/>
        <v/>
      </c>
      <c r="BJ44" s="1497" t="str">
        <f t="shared" si="143"/>
        <v/>
      </c>
    </row>
    <row r="45" spans="1:62" ht="13">
      <c r="A45" s="485" t="str">
        <f t="shared" si="128"/>
        <v>MONTENEGRO</v>
      </c>
      <c r="B45" s="1467">
        <f t="shared" si="129"/>
        <v>112012775</v>
      </c>
      <c r="C45" s="1510">
        <f t="shared" si="130"/>
        <v>1</v>
      </c>
      <c r="D45" s="1511" t="str">
        <f t="shared" si="131"/>
        <v>Lista</v>
      </c>
      <c r="E45" s="1511">
        <f t="shared" si="132"/>
        <v>0.09</v>
      </c>
      <c r="F45" s="1511">
        <f t="shared" si="133"/>
        <v>0</v>
      </c>
      <c r="G45" s="1467" t="s">
        <v>1357</v>
      </c>
      <c r="H45" s="331">
        <f t="shared" si="166"/>
        <v>300246.84000000003</v>
      </c>
      <c r="I45" s="1547">
        <f t="shared" si="167"/>
        <v>504729.95038200007</v>
      </c>
      <c r="J45" s="156" t="e">
        <f t="shared" si="6"/>
        <v>#VALUE!</v>
      </c>
      <c r="K45" s="331" t="str">
        <f>IFERROR(VLOOKUP(G45,'MON2'!MONTENALIM,3,FALSE),"")</f>
        <v/>
      </c>
      <c r="L45" s="1513">
        <f>IFERROR(VLOOKUP(G45,'MON2'!MONTEFC,3,FALSE),"")</f>
        <v>1566575.46</v>
      </c>
      <c r="M45" s="1514">
        <f t="shared" si="168"/>
        <v>1061845.5096179999</v>
      </c>
      <c r="N45" s="234">
        <f t="shared" si="169"/>
        <v>3.1037893804684114</v>
      </c>
      <c r="O45" s="331">
        <f t="shared" si="170"/>
        <v>306925.02</v>
      </c>
      <c r="P45" s="1515">
        <f t="shared" si="171"/>
        <v>555756.80683949997</v>
      </c>
      <c r="Q45" s="1515" t="e">
        <f t="shared" si="10"/>
        <v>#VALUE!</v>
      </c>
      <c r="R45" s="331" t="str">
        <f>IFERROR(VLOOKUP(G45,'MON2'!MONTENALIM,4,FALSE),"")</f>
        <v/>
      </c>
      <c r="S45" s="331">
        <f>IFERROR(VLOOKUP(G45,'MON2'!MONTEFC,4,FALSE),"")</f>
        <v>1239207.73</v>
      </c>
      <c r="T45" s="331">
        <f t="shared" si="172"/>
        <v>683450.92316050001</v>
      </c>
      <c r="U45" s="234">
        <f t="shared" si="173"/>
        <v>2.2297661760495133</v>
      </c>
      <c r="V45" s="331">
        <f t="shared" si="174"/>
        <v>270373.07</v>
      </c>
      <c r="W45" s="1547">
        <f t="shared" si="175"/>
        <v>452949.24484424997</v>
      </c>
      <c r="X45" s="1516" t="e">
        <f t="shared" si="14"/>
        <v>#VALUE!</v>
      </c>
      <c r="Y45" s="1515" t="str">
        <f>IFERROR(VLOOKUP(G45,'MON2'!MONTENALIM,5,FALSE),"")</f>
        <v/>
      </c>
      <c r="Z45" s="1517">
        <f>IFERROR(VLOOKUP(G45,'MON2'!MONTEFC,5,FALSE),"")</f>
        <v>839348.35</v>
      </c>
      <c r="AA45" s="1548"/>
      <c r="AB45" s="1515"/>
      <c r="AC45" s="1518">
        <f t="shared" si="176"/>
        <v>1513436.0020657498</v>
      </c>
      <c r="AD45" s="156">
        <f t="shared" si="134"/>
        <v>2285194.75</v>
      </c>
      <c r="AE45" s="331" t="e">
        <f t="shared" si="17"/>
        <v>#VALUE!</v>
      </c>
      <c r="AF45" s="331" t="e">
        <f t="shared" ref="AF45:AG45" si="191">Y45+R45+K45</f>
        <v>#VALUE!</v>
      </c>
      <c r="AG45" s="331">
        <f t="shared" si="191"/>
        <v>3645131.54</v>
      </c>
      <c r="AH45" s="331">
        <f t="shared" si="19"/>
        <v>1359936.79</v>
      </c>
      <c r="AI45" s="1519">
        <f t="shared" si="20"/>
        <v>1.5951076117254339</v>
      </c>
      <c r="AJ45" s="1520">
        <f t="shared" si="178"/>
        <v>70580</v>
      </c>
      <c r="AK45" s="156" t="e">
        <f t="shared" si="22"/>
        <v>#VALUE!</v>
      </c>
      <c r="AL45" s="1514" t="str">
        <f>IFERROR(VLOOKUP(G45,'MON2'!MONTENALIM,6,FALSE),"")</f>
        <v/>
      </c>
      <c r="AM45" s="1521">
        <f>IFERROR(VLOOKUP(G45,'MON2'!MONTEFC,6,FALSE),"")</f>
        <v>574968.25</v>
      </c>
      <c r="AN45" s="1520">
        <f t="shared" si="154"/>
        <v>238754.07</v>
      </c>
      <c r="AO45" s="156" t="e">
        <f t="shared" si="23"/>
        <v>#VALUE!</v>
      </c>
      <c r="AP45" s="331" t="str">
        <f>IFERROR(VLOOKUP(G45,'MON2'!MONTENALIM,7,FALSE),"")</f>
        <v/>
      </c>
      <c r="AQ45" s="1513">
        <f>IFERROR(VLOOKUP(G45,'MON2'!MONTEFC,7,FALSE),"")</f>
        <v>135005.88</v>
      </c>
      <c r="AR45" s="1514">
        <f t="shared" si="179"/>
        <v>178688.91</v>
      </c>
      <c r="AS45" s="1514" t="e">
        <f t="shared" si="24"/>
        <v>#VALUE!</v>
      </c>
      <c r="AT45" s="1514" t="str">
        <f>IFERROR(VLOOKUP(G45,'MON2'!MONTENALIM,8,FALSE),"")</f>
        <v/>
      </c>
      <c r="AU45" s="1520">
        <f>IFERROR(VLOOKUP(G45,'MON2'!MONTEFC,8,FALSE),"")</f>
        <v>308614.89</v>
      </c>
      <c r="AV45" s="1522" t="e">
        <f t="shared" ref="AV45:AX45" si="192">SUM(AS45,AO45,AK45)</f>
        <v>#VALUE!</v>
      </c>
      <c r="AW45" s="331">
        <f t="shared" si="192"/>
        <v>0</v>
      </c>
      <c r="AX45" s="1512">
        <f t="shared" si="192"/>
        <v>1018589.02</v>
      </c>
      <c r="AY45" s="156" t="e">
        <f t="shared" ref="AY45:BA45" si="193">SUM(AV45,AE45)</f>
        <v>#VALUE!</v>
      </c>
      <c r="AZ45" s="331" t="e">
        <f t="shared" si="193"/>
        <v>#VALUE!</v>
      </c>
      <c r="BA45" s="1523">
        <f t="shared" si="193"/>
        <v>4663720.5600000005</v>
      </c>
      <c r="BB45" s="1520">
        <f t="shared" si="138"/>
        <v>177054.07999999999</v>
      </c>
      <c r="BC45" s="1524" t="e">
        <f t="shared" si="28"/>
        <v>#VALUE!</v>
      </c>
      <c r="BD45" s="331" t="str">
        <f>IFERROR(VLOOKUP(G45,'MON2'!MONTENALIM,9,FALSE),"")</f>
        <v/>
      </c>
      <c r="BE45" s="1525">
        <f>IFERROR(VLOOKUP(G45,'MON2'!MONTEFC,9,FALSE),"")</f>
        <v>99290.880000000005</v>
      </c>
      <c r="BF45" s="1514">
        <f t="shared" si="139"/>
        <v>120452.76</v>
      </c>
      <c r="BG45" s="331">
        <f t="shared" si="140"/>
        <v>346167.83</v>
      </c>
      <c r="BH45" s="331">
        <f t="shared" si="141"/>
        <v>353716.21</v>
      </c>
      <c r="BI45" s="331">
        <f t="shared" si="142"/>
        <v>879007.4</v>
      </c>
      <c r="BJ45" s="331">
        <f t="shared" si="143"/>
        <v>1052471.1299999999</v>
      </c>
    </row>
    <row r="46" spans="1:62" ht="13">
      <c r="A46" s="485" t="str">
        <f t="shared" si="128"/>
        <v>MONTENEGRO</v>
      </c>
      <c r="B46" s="1466">
        <f t="shared" si="129"/>
        <v>112011920</v>
      </c>
      <c r="C46" s="1527">
        <f t="shared" si="130"/>
        <v>1</v>
      </c>
      <c r="D46" s="733" t="str">
        <f t="shared" si="131"/>
        <v>Lista</v>
      </c>
      <c r="E46" s="733">
        <f t="shared" si="132"/>
        <v>0.09</v>
      </c>
      <c r="F46" s="733">
        <f t="shared" si="133"/>
        <v>0</v>
      </c>
      <c r="G46" s="1466" t="s">
        <v>1358</v>
      </c>
      <c r="H46" s="1497">
        <f t="shared" si="166"/>
        <v>0</v>
      </c>
      <c r="I46" s="1486">
        <f t="shared" si="167"/>
        <v>0</v>
      </c>
      <c r="J46" s="1494" t="e">
        <f t="shared" si="6"/>
        <v>#VALUE!</v>
      </c>
      <c r="K46" s="1497" t="str">
        <f>IFERROR(VLOOKUP(G46,'MON2'!MONTENALIM,3,FALSE),"")</f>
        <v/>
      </c>
      <c r="L46" s="1498">
        <f>IFERROR(VLOOKUP(G46,'MON2'!MONTEFC,3,FALSE),"")</f>
        <v>142224.4</v>
      </c>
      <c r="M46" s="1495">
        <f t="shared" si="168"/>
        <v>142224.4</v>
      </c>
      <c r="N46" s="1529" t="e">
        <f t="shared" si="169"/>
        <v>#DIV/0!</v>
      </c>
      <c r="O46" s="1497">
        <f t="shared" si="170"/>
        <v>0</v>
      </c>
      <c r="P46" s="1485">
        <f t="shared" si="171"/>
        <v>0</v>
      </c>
      <c r="Q46" s="1485" t="e">
        <f t="shared" si="10"/>
        <v>#VALUE!</v>
      </c>
      <c r="R46" s="1497" t="str">
        <f>IFERROR(VLOOKUP(G46,'MON2'!MONTENALIM,4,FALSE),"")</f>
        <v/>
      </c>
      <c r="S46" s="1497">
        <f>IFERROR(VLOOKUP(G46,'MON2'!MONTEFC,4,FALSE),"")</f>
        <v>0</v>
      </c>
      <c r="T46" s="1497">
        <f t="shared" si="172"/>
        <v>0</v>
      </c>
      <c r="U46" s="1529" t="e">
        <f t="shared" si="173"/>
        <v>#DIV/0!</v>
      </c>
      <c r="V46" s="1497">
        <f t="shared" si="174"/>
        <v>0</v>
      </c>
      <c r="W46" s="1486">
        <f t="shared" si="175"/>
        <v>0</v>
      </c>
      <c r="X46" s="1487" t="e">
        <f t="shared" si="14"/>
        <v>#VALUE!</v>
      </c>
      <c r="Y46" s="1485" t="str">
        <f>IFERROR(VLOOKUP(G46,'MON2'!MONTENALIM,5,FALSE),"")</f>
        <v/>
      </c>
      <c r="Z46" s="1488">
        <f>IFERROR(VLOOKUP(G46,'MON2'!MONTEFC,5,FALSE),"")</f>
        <v>226011.44</v>
      </c>
      <c r="AA46" s="1489"/>
      <c r="AB46" s="1485"/>
      <c r="AC46" s="1530">
        <f t="shared" si="176"/>
        <v>0</v>
      </c>
      <c r="AD46" s="1494">
        <f t="shared" si="134"/>
        <v>279932.94</v>
      </c>
      <c r="AE46" s="1497" t="e">
        <f t="shared" si="17"/>
        <v>#VALUE!</v>
      </c>
      <c r="AF46" s="1497" t="e">
        <f t="shared" ref="AF46:AG46" si="194">Y46+R46+K46</f>
        <v>#VALUE!</v>
      </c>
      <c r="AG46" s="1497">
        <f t="shared" si="194"/>
        <v>368235.83999999997</v>
      </c>
      <c r="AH46" s="1497">
        <f t="shared" si="19"/>
        <v>88302.899999999965</v>
      </c>
      <c r="AI46" s="1531">
        <f t="shared" si="20"/>
        <v>1.3154430486101421</v>
      </c>
      <c r="AJ46" s="1493">
        <f t="shared" si="178"/>
        <v>0</v>
      </c>
      <c r="AK46" s="1494" t="e">
        <f t="shared" si="22"/>
        <v>#VALUE!</v>
      </c>
      <c r="AL46" s="1495" t="str">
        <f>IFERROR(VLOOKUP(G46,'MON2'!MONTENALIM,6,FALSE),"")</f>
        <v/>
      </c>
      <c r="AM46" s="1496">
        <f>IFERROR(VLOOKUP(G46,'MON2'!MONTEFC,6,FALSE),"")</f>
        <v>0</v>
      </c>
      <c r="AN46" s="1493">
        <f t="shared" si="154"/>
        <v>0</v>
      </c>
      <c r="AO46" s="1494" t="e">
        <f t="shared" si="23"/>
        <v>#VALUE!</v>
      </c>
      <c r="AP46" s="1497" t="str">
        <f>IFERROR(VLOOKUP(G46,'MON2'!MONTENALIM,7,FALSE),"")</f>
        <v/>
      </c>
      <c r="AQ46" s="1498">
        <f>IFERROR(VLOOKUP(G46,'MON2'!MONTEFC,7,FALSE),"")</f>
        <v>0</v>
      </c>
      <c r="AR46" s="1495">
        <f t="shared" si="179"/>
        <v>0</v>
      </c>
      <c r="AS46" s="1495" t="e">
        <f t="shared" si="24"/>
        <v>#VALUE!</v>
      </c>
      <c r="AT46" s="1495" t="str">
        <f>IFERROR(VLOOKUP(G46,'MON2'!MONTENALIM,8,FALSE),"")</f>
        <v/>
      </c>
      <c r="AU46" s="1493">
        <f>IFERROR(VLOOKUP(G46,'MON2'!MONTEFC,8,FALSE),"")</f>
        <v>0</v>
      </c>
      <c r="AV46" s="1532" t="e">
        <f t="shared" ref="AV46:AX46" si="195">SUM(AS46,AO46,AK46)</f>
        <v>#VALUE!</v>
      </c>
      <c r="AW46" s="1497">
        <f t="shared" si="195"/>
        <v>0</v>
      </c>
      <c r="AX46" s="1528">
        <f t="shared" si="195"/>
        <v>0</v>
      </c>
      <c r="AY46" s="1494" t="e">
        <f t="shared" ref="AY46:BA46" si="196">SUM(AV46,AE46)</f>
        <v>#VALUE!</v>
      </c>
      <c r="AZ46" s="1497" t="e">
        <f t="shared" si="196"/>
        <v>#VALUE!</v>
      </c>
      <c r="BA46" s="1533">
        <f t="shared" si="196"/>
        <v>368235.83999999997</v>
      </c>
      <c r="BB46" s="1493">
        <f t="shared" si="138"/>
        <v>0</v>
      </c>
      <c r="BC46" s="1504" t="e">
        <f t="shared" si="28"/>
        <v>#VALUE!</v>
      </c>
      <c r="BD46" s="1497" t="str">
        <f>IFERROR(VLOOKUP(G46,'MON2'!MONTENALIM,9,FALSE),"")</f>
        <v/>
      </c>
      <c r="BE46" s="1505">
        <f>IFERROR(VLOOKUP(G46,'MON2'!MONTEFC,9,FALSE),"")</f>
        <v>0</v>
      </c>
      <c r="BF46" s="1495">
        <f t="shared" si="139"/>
        <v>0</v>
      </c>
      <c r="BG46" s="1497">
        <f t="shared" si="140"/>
        <v>0</v>
      </c>
      <c r="BH46" s="1497">
        <f t="shared" si="141"/>
        <v>118655.37</v>
      </c>
      <c r="BI46" s="1497">
        <f t="shared" si="142"/>
        <v>93708.79</v>
      </c>
      <c r="BJ46" s="1497">
        <f t="shared" si="143"/>
        <v>67568.78</v>
      </c>
    </row>
    <row r="47" spans="1:62" ht="13">
      <c r="A47" s="485" t="str">
        <f t="shared" si="128"/>
        <v>MONTENEGRO</v>
      </c>
      <c r="B47" s="1467">
        <f t="shared" si="129"/>
        <v>112014275</v>
      </c>
      <c r="C47" s="1510">
        <f t="shared" si="130"/>
        <v>1</v>
      </c>
      <c r="D47" s="1511" t="str">
        <f t="shared" si="131"/>
        <v>Lista</v>
      </c>
      <c r="E47" s="1511">
        <f t="shared" si="132"/>
        <v>0.09</v>
      </c>
      <c r="F47" s="1511">
        <f t="shared" si="133"/>
        <v>0</v>
      </c>
      <c r="G47" s="1467" t="s">
        <v>1359</v>
      </c>
      <c r="H47" s="331">
        <f t="shared" si="166"/>
        <v>0</v>
      </c>
      <c r="I47" s="1547">
        <f t="shared" si="167"/>
        <v>0</v>
      </c>
      <c r="J47" s="156">
        <f t="shared" si="6"/>
        <v>0</v>
      </c>
      <c r="K47" s="331">
        <f>IFERROR(VLOOKUP(G47,'MON2'!MONTENALIM,3,FALSE),"")</f>
        <v>0</v>
      </c>
      <c r="L47" s="1513">
        <f>IFERROR(VLOOKUP(G47,'MON2'!MONTEFC,3,FALSE),"")</f>
        <v>0</v>
      </c>
      <c r="M47" s="1514">
        <f t="shared" si="168"/>
        <v>0</v>
      </c>
      <c r="N47" s="234" t="e">
        <f t="shared" si="169"/>
        <v>#DIV/0!</v>
      </c>
      <c r="O47" s="331">
        <f t="shared" si="170"/>
        <v>324019.74</v>
      </c>
      <c r="P47" s="1515">
        <f t="shared" si="171"/>
        <v>586710.64371149999</v>
      </c>
      <c r="Q47" s="1515">
        <f t="shared" si="10"/>
        <v>225034.44</v>
      </c>
      <c r="R47" s="331">
        <f>IFERROR(VLOOKUP(G47,'MON2'!MONTENALIM,4,FALSE),"")</f>
        <v>170886.07</v>
      </c>
      <c r="S47" s="331">
        <f>IFERROR(VLOOKUP(G47,'MON2'!MONTEFC,4,FALSE),"")</f>
        <v>395920.51</v>
      </c>
      <c r="T47" s="331">
        <f t="shared" si="172"/>
        <v>-190790.13371149998</v>
      </c>
      <c r="U47" s="234">
        <f t="shared" si="173"/>
        <v>0.67481392104194349</v>
      </c>
      <c r="V47" s="331">
        <f t="shared" si="174"/>
        <v>7659.23</v>
      </c>
      <c r="W47" s="1547">
        <f t="shared" si="175"/>
        <v>12831.316538249999</v>
      </c>
      <c r="X47" s="1516">
        <f t="shared" si="14"/>
        <v>247300.44999999998</v>
      </c>
      <c r="Y47" s="1515">
        <f>IFERROR(VLOOKUP(G47,'MON2'!MONTENALIM,5,FALSE),"")</f>
        <v>84830.65</v>
      </c>
      <c r="Z47" s="1517">
        <f>IFERROR(VLOOKUP(G47,'MON2'!MONTEFC,5,FALSE),"")</f>
        <v>332131.09999999998</v>
      </c>
      <c r="AA47" s="1548"/>
      <c r="AB47" s="1515"/>
      <c r="AC47" s="1518">
        <f t="shared" si="176"/>
        <v>599541.96024974994</v>
      </c>
      <c r="AD47" s="156" t="str">
        <f t="shared" si="134"/>
        <v>0</v>
      </c>
      <c r="AE47" s="331">
        <f t="shared" si="17"/>
        <v>472334.89</v>
      </c>
      <c r="AF47" s="331">
        <f t="shared" ref="AF47:AG47" si="197">Y47+R47+K47</f>
        <v>255716.72</v>
      </c>
      <c r="AG47" s="331">
        <f t="shared" si="197"/>
        <v>728051.61</v>
      </c>
      <c r="AH47" s="331">
        <f t="shared" si="19"/>
        <v>728051.61</v>
      </c>
      <c r="AI47" s="1519" t="str">
        <f t="shared" si="20"/>
        <v/>
      </c>
      <c r="AJ47" s="1520">
        <f t="shared" si="178"/>
        <v>97899.22</v>
      </c>
      <c r="AK47" s="156">
        <f t="shared" si="22"/>
        <v>0</v>
      </c>
      <c r="AL47" s="1514">
        <f>IFERROR(VLOOKUP(G47,'MON2'!MONTENALIM,6,FALSE),"")</f>
        <v>139478.89000000001</v>
      </c>
      <c r="AM47" s="1521">
        <f>IFERROR(VLOOKUP(G47,'MON2'!MONTEFC,6,FALSE),"")</f>
        <v>139478.89000000001</v>
      </c>
      <c r="AN47" s="1520">
        <f t="shared" si="154"/>
        <v>0</v>
      </c>
      <c r="AO47" s="156">
        <f t="shared" si="23"/>
        <v>0</v>
      </c>
      <c r="AP47" s="331">
        <f>IFERROR(VLOOKUP(G47,'MON2'!MONTENALIM,7,FALSE),"")</f>
        <v>90442.55</v>
      </c>
      <c r="AQ47" s="1513">
        <f>IFERROR(VLOOKUP(G47,'MON2'!MONTEFC,7,FALSE),"")</f>
        <v>90442.55</v>
      </c>
      <c r="AR47" s="1514">
        <f t="shared" si="179"/>
        <v>0</v>
      </c>
      <c r="AS47" s="1514">
        <f t="shared" si="24"/>
        <v>0</v>
      </c>
      <c r="AT47" s="1514">
        <f>IFERROR(VLOOKUP(G47,'MON2'!MONTENALIM,8,FALSE),"")</f>
        <v>0</v>
      </c>
      <c r="AU47" s="1520">
        <f>IFERROR(VLOOKUP(G47,'MON2'!MONTEFC,8,FALSE),"")</f>
        <v>0</v>
      </c>
      <c r="AV47" s="1522">
        <f t="shared" ref="AV47:AX47" si="198">SUM(AS47,AO47,AK47)</f>
        <v>0</v>
      </c>
      <c r="AW47" s="331">
        <f t="shared" si="198"/>
        <v>229921.44</v>
      </c>
      <c r="AX47" s="1512">
        <f t="shared" si="198"/>
        <v>229921.44</v>
      </c>
      <c r="AY47" s="156">
        <f t="shared" ref="AY47:BA47" si="199">SUM(AV47,AE47)</f>
        <v>472334.89</v>
      </c>
      <c r="AZ47" s="331">
        <f t="shared" si="199"/>
        <v>485638.16000000003</v>
      </c>
      <c r="BA47" s="1523">
        <f t="shared" si="199"/>
        <v>957973.05</v>
      </c>
      <c r="BB47" s="1520">
        <f t="shared" si="138"/>
        <v>340244.68</v>
      </c>
      <c r="BC47" s="1524">
        <f t="shared" si="28"/>
        <v>353098</v>
      </c>
      <c r="BD47" s="331">
        <f>IFERROR(VLOOKUP(G47,'MON2'!MONTENALIM,9,FALSE),"")</f>
        <v>44536.09</v>
      </c>
      <c r="BE47" s="1525">
        <f>IFERROR(VLOOKUP(G47,'MON2'!MONTEFC,9,FALSE),"")</f>
        <v>397634.09</v>
      </c>
      <c r="BF47" s="1514">
        <f t="shared" si="139"/>
        <v>0</v>
      </c>
      <c r="BG47" s="331">
        <f t="shared" si="140"/>
        <v>0</v>
      </c>
      <c r="BH47" s="331">
        <f t="shared" si="141"/>
        <v>0</v>
      </c>
      <c r="BI47" s="331">
        <f t="shared" si="142"/>
        <v>0</v>
      </c>
      <c r="BJ47" s="331">
        <f t="shared" si="143"/>
        <v>0</v>
      </c>
    </row>
    <row r="48" spans="1:62" ht="13">
      <c r="A48" s="485" t="str">
        <f t="shared" si="128"/>
        <v>MONTENEGRO</v>
      </c>
      <c r="B48" s="1466">
        <f t="shared" si="129"/>
        <v>112013337</v>
      </c>
      <c r="C48" s="1527">
        <f t="shared" si="130"/>
        <v>1</v>
      </c>
      <c r="D48" s="733" t="str">
        <f t="shared" si="131"/>
        <v>Lista</v>
      </c>
      <c r="E48" s="733">
        <f t="shared" si="132"/>
        <v>0.09</v>
      </c>
      <c r="F48" s="733">
        <f t="shared" si="133"/>
        <v>0</v>
      </c>
      <c r="G48" s="1466" t="s">
        <v>1389</v>
      </c>
      <c r="H48" s="1497">
        <f t="shared" si="166"/>
        <v>331885.31</v>
      </c>
      <c r="I48" s="1486">
        <f t="shared" si="167"/>
        <v>557915.8003755</v>
      </c>
      <c r="J48" s="1494">
        <f t="shared" si="6"/>
        <v>0</v>
      </c>
      <c r="K48" s="1497">
        <f>IFERROR(VLOOKUP(G48,'MON2'!MONTENALIM,3,FALSE),"")</f>
        <v>83587.53</v>
      </c>
      <c r="L48" s="1498">
        <f>IFERROR(VLOOKUP(G48,'MON2'!MONTEFC,3,FALSE),"")</f>
        <v>83587.53</v>
      </c>
      <c r="M48" s="1495">
        <f t="shared" si="168"/>
        <v>-474328.27037549997</v>
      </c>
      <c r="N48" s="1529">
        <f t="shared" si="169"/>
        <v>0.14982104816487038</v>
      </c>
      <c r="O48" s="1497">
        <f t="shared" si="170"/>
        <v>98991.28</v>
      </c>
      <c r="P48" s="1485">
        <f t="shared" si="171"/>
        <v>179245.98547799999</v>
      </c>
      <c r="Q48" s="1485">
        <f t="shared" si="10"/>
        <v>0</v>
      </c>
      <c r="R48" s="1497">
        <f>IFERROR(VLOOKUP(G48,'MON2'!MONTENALIM,4,FALSE),"")</f>
        <v>197932.52</v>
      </c>
      <c r="S48" s="1497">
        <f>IFERROR(VLOOKUP(G48,'MON2'!MONTEFC,4,FALSE),"")</f>
        <v>197932.52</v>
      </c>
      <c r="T48" s="1497">
        <f t="shared" si="172"/>
        <v>18686.534522000002</v>
      </c>
      <c r="U48" s="1529">
        <f t="shared" si="173"/>
        <v>1.10425078403942</v>
      </c>
      <c r="V48" s="1497">
        <f t="shared" si="174"/>
        <v>191902.96</v>
      </c>
      <c r="W48" s="1486">
        <f t="shared" si="175"/>
        <v>321490.23131399998</v>
      </c>
      <c r="X48" s="1487">
        <f t="shared" si="14"/>
        <v>0</v>
      </c>
      <c r="Y48" s="1485">
        <f>IFERROR(VLOOKUP(G48,'MON2'!MONTENALIM,5,FALSE),"")</f>
        <v>241551.07</v>
      </c>
      <c r="Z48" s="1488">
        <f>IFERROR(VLOOKUP(G48,'MON2'!MONTEFC,5,FALSE),"")</f>
        <v>241551.07</v>
      </c>
      <c r="AA48" s="1489"/>
      <c r="AB48" s="1485"/>
      <c r="AC48" s="1530">
        <f t="shared" si="176"/>
        <v>1058652.0171675</v>
      </c>
      <c r="AD48" s="1494">
        <f t="shared" si="134"/>
        <v>410612.36</v>
      </c>
      <c r="AE48" s="1497">
        <f t="shared" si="17"/>
        <v>0</v>
      </c>
      <c r="AF48" s="1497">
        <f t="shared" ref="AF48:AG48" si="200">Y48+R48+K48</f>
        <v>523071.12</v>
      </c>
      <c r="AG48" s="1497">
        <f t="shared" si="200"/>
        <v>523071.12</v>
      </c>
      <c r="AH48" s="1497">
        <f t="shared" si="19"/>
        <v>112458.76000000001</v>
      </c>
      <c r="AI48" s="1531">
        <f t="shared" si="20"/>
        <v>1.2738806011587183</v>
      </c>
      <c r="AJ48" s="1493">
        <f t="shared" si="178"/>
        <v>55647.56</v>
      </c>
      <c r="AK48" s="1494">
        <f t="shared" si="22"/>
        <v>0</v>
      </c>
      <c r="AL48" s="1495">
        <f>IFERROR(VLOOKUP(G48,'MON2'!MONTENALIM,6,FALSE),"")</f>
        <v>133608.26999999999</v>
      </c>
      <c r="AM48" s="1496">
        <f>IFERROR(VLOOKUP(G48,'MON2'!MONTEFC,6,FALSE),"")</f>
        <v>133608.26999999999</v>
      </c>
      <c r="AN48" s="1493">
        <f t="shared" si="154"/>
        <v>433818.4</v>
      </c>
      <c r="AO48" s="1494">
        <f t="shared" si="23"/>
        <v>0</v>
      </c>
      <c r="AP48" s="1497">
        <f>IFERROR(VLOOKUP(G48,'MON2'!MONTENALIM,7,FALSE),"")</f>
        <v>0</v>
      </c>
      <c r="AQ48" s="1498">
        <f>IFERROR(VLOOKUP(G48,'MON2'!MONTEFC,7,FALSE),"")</f>
        <v>0</v>
      </c>
      <c r="AR48" s="1495">
        <f t="shared" si="179"/>
        <v>135964.85</v>
      </c>
      <c r="AS48" s="1495">
        <f t="shared" si="24"/>
        <v>0</v>
      </c>
      <c r="AT48" s="1495">
        <f>IFERROR(VLOOKUP(G48,'MON2'!MONTENALIM,8,FALSE),"")</f>
        <v>381126.17</v>
      </c>
      <c r="AU48" s="1493">
        <f>IFERROR(VLOOKUP(G48,'MON2'!MONTEFC,8,FALSE),"")</f>
        <v>381126.17</v>
      </c>
      <c r="AV48" s="1532">
        <f t="shared" ref="AV48:AX48" si="201">SUM(AS48,AO48,AK48)</f>
        <v>0</v>
      </c>
      <c r="AW48" s="1497">
        <f t="shared" si="201"/>
        <v>514734.43999999994</v>
      </c>
      <c r="AX48" s="1528">
        <f t="shared" si="201"/>
        <v>514734.43999999994</v>
      </c>
      <c r="AY48" s="1494">
        <f t="shared" ref="AY48:BA48" si="202">SUM(AV48,AE48)</f>
        <v>0</v>
      </c>
      <c r="AZ48" s="1497">
        <f t="shared" si="202"/>
        <v>1037805.5599999999</v>
      </c>
      <c r="BA48" s="1533">
        <f t="shared" si="202"/>
        <v>1037805.5599999999</v>
      </c>
      <c r="BB48" s="1493">
        <f t="shared" si="138"/>
        <v>103280.96000000001</v>
      </c>
      <c r="BC48" s="1504">
        <f t="shared" si="28"/>
        <v>0</v>
      </c>
      <c r="BD48" s="1497">
        <f>IFERROR(VLOOKUP(G48,'MON2'!MONTENALIM,9,FALSE),"")</f>
        <v>0</v>
      </c>
      <c r="BE48" s="1505">
        <f>IFERROR(VLOOKUP(G48,'MON2'!MONTEFC,9,FALSE),"")</f>
        <v>0</v>
      </c>
      <c r="BF48" s="1495">
        <f t="shared" si="139"/>
        <v>0</v>
      </c>
      <c r="BG48" s="1497">
        <f t="shared" si="140"/>
        <v>223417.58</v>
      </c>
      <c r="BH48" s="1497">
        <f t="shared" si="141"/>
        <v>0</v>
      </c>
      <c r="BI48" s="1497">
        <f t="shared" si="142"/>
        <v>120043.36</v>
      </c>
      <c r="BJ48" s="1497">
        <f t="shared" si="143"/>
        <v>290569</v>
      </c>
    </row>
    <row r="49" spans="1:62" ht="13">
      <c r="A49" s="485" t="str">
        <f t="shared" si="128"/>
        <v>MONTENEGRO</v>
      </c>
      <c r="B49" s="1467">
        <f t="shared" si="129"/>
        <v>112013055</v>
      </c>
      <c r="C49" s="1510">
        <f t="shared" si="130"/>
        <v>1</v>
      </c>
      <c r="D49" s="1511" t="str">
        <f t="shared" si="131"/>
        <v>Lista</v>
      </c>
      <c r="E49" s="1511">
        <f t="shared" si="132"/>
        <v>0.09</v>
      </c>
      <c r="F49" s="1511">
        <f t="shared" si="133"/>
        <v>0</v>
      </c>
      <c r="G49" s="1467" t="s">
        <v>1360</v>
      </c>
      <c r="H49" s="331" t="str">
        <f t="shared" si="166"/>
        <v/>
      </c>
      <c r="I49" s="1547" t="e">
        <f t="shared" si="167"/>
        <v>#VALUE!</v>
      </c>
      <c r="J49" s="156" t="e">
        <f t="shared" si="6"/>
        <v>#VALUE!</v>
      </c>
      <c r="K49" s="331" t="str">
        <f>IFERROR(VLOOKUP(G49,'MON2'!MONTENALIM,3,FALSE),"")</f>
        <v/>
      </c>
      <c r="L49" s="1513">
        <f>IFERROR(VLOOKUP(G49,'MON2'!MONTEFC,3,FALSE),"")</f>
        <v>0</v>
      </c>
      <c r="M49" s="1514" t="e">
        <f t="shared" si="168"/>
        <v>#VALUE!</v>
      </c>
      <c r="N49" s="234" t="e">
        <f t="shared" si="169"/>
        <v>#VALUE!</v>
      </c>
      <c r="O49" s="331" t="str">
        <f t="shared" si="170"/>
        <v/>
      </c>
      <c r="P49" s="331" t="e">
        <f t="shared" si="171"/>
        <v>#VALUE!</v>
      </c>
      <c r="Q49" s="1515" t="e">
        <f t="shared" si="10"/>
        <v>#VALUE!</v>
      </c>
      <c r="R49" s="331" t="str">
        <f>IFERROR(VLOOKUP(G49,'MON2'!MONTENALIM,4,FALSE),"")</f>
        <v/>
      </c>
      <c r="S49" s="331">
        <f>IFERROR(VLOOKUP(G49,'MON2'!MONTEFC,4,FALSE),"")</f>
        <v>459506.6</v>
      </c>
      <c r="T49" s="331" t="e">
        <f t="shared" si="172"/>
        <v>#VALUE!</v>
      </c>
      <c r="U49" s="234" t="e">
        <f t="shared" si="173"/>
        <v>#VALUE!</v>
      </c>
      <c r="V49" s="331" t="str">
        <f t="shared" si="174"/>
        <v/>
      </c>
      <c r="W49" s="1512" t="e">
        <f t="shared" si="175"/>
        <v>#VALUE!</v>
      </c>
      <c r="X49" s="1516" t="e">
        <f t="shared" si="14"/>
        <v>#VALUE!</v>
      </c>
      <c r="Y49" s="1515" t="str">
        <f>IFERROR(VLOOKUP(G49,'MON2'!MONTENALIM,5,FALSE),"")</f>
        <v/>
      </c>
      <c r="Z49" s="1517">
        <f>IFERROR(VLOOKUP(G49,'MON2'!MONTEFC,5,FALSE),"")</f>
        <v>0</v>
      </c>
      <c r="AA49" s="1514"/>
      <c r="AB49" s="331"/>
      <c r="AC49" s="1518" t="e">
        <f t="shared" si="176"/>
        <v>#VALUE!</v>
      </c>
      <c r="AD49" s="156" t="str">
        <f t="shared" si="134"/>
        <v>0</v>
      </c>
      <c r="AE49" s="331" t="e">
        <f t="shared" si="17"/>
        <v>#VALUE!</v>
      </c>
      <c r="AF49" s="331" t="e">
        <f t="shared" ref="AF49:AG49" si="203">Y49+R49+K49</f>
        <v>#VALUE!</v>
      </c>
      <c r="AG49" s="331">
        <f t="shared" si="203"/>
        <v>459506.6</v>
      </c>
      <c r="AH49" s="331">
        <f t="shared" si="19"/>
        <v>459506.6</v>
      </c>
      <c r="AI49" s="1519" t="str">
        <f t="shared" si="20"/>
        <v/>
      </c>
      <c r="AJ49" s="1520" t="str">
        <f t="shared" si="178"/>
        <v/>
      </c>
      <c r="AK49" s="156" t="e">
        <f t="shared" si="22"/>
        <v>#VALUE!</v>
      </c>
      <c r="AL49" s="1514" t="str">
        <f>IFERROR(VLOOKUP(G49,'MON2'!MONTENALIM,6,FALSE),"")</f>
        <v/>
      </c>
      <c r="AM49" s="1521">
        <f>IFERROR(VLOOKUP(G49,'MON2'!MONTEFC,6,FALSE),"")</f>
        <v>0</v>
      </c>
      <c r="AN49" s="1520" t="str">
        <f t="shared" si="154"/>
        <v/>
      </c>
      <c r="AO49" s="156" t="e">
        <f t="shared" si="23"/>
        <v>#VALUE!</v>
      </c>
      <c r="AP49" s="331" t="str">
        <f>IFERROR(VLOOKUP(G49,'MON2'!MONTENALIM,7,FALSE),"")</f>
        <v/>
      </c>
      <c r="AQ49" s="1513">
        <f>IFERROR(VLOOKUP(G49,'MON2'!MONTEFC,7,FALSE),"")</f>
        <v>0</v>
      </c>
      <c r="AR49" s="1514" t="str">
        <f t="shared" si="179"/>
        <v/>
      </c>
      <c r="AS49" s="1514" t="e">
        <f t="shared" si="24"/>
        <v>#VALUE!</v>
      </c>
      <c r="AT49" s="1514" t="str">
        <f>IFERROR(VLOOKUP(G49,'MON2'!MONTENALIM,8,FALSE),"")</f>
        <v/>
      </c>
      <c r="AU49" s="1520">
        <f>IFERROR(VLOOKUP(G49,'MON2'!MONTEFC,8,FALSE),"")</f>
        <v>295439.77</v>
      </c>
      <c r="AV49" s="1522" t="e">
        <f t="shared" ref="AV49:AX49" si="204">SUM(AS49,AO49,AK49)</f>
        <v>#VALUE!</v>
      </c>
      <c r="AW49" s="331">
        <f t="shared" si="204"/>
        <v>0</v>
      </c>
      <c r="AX49" s="1512">
        <f t="shared" si="204"/>
        <v>295439.77</v>
      </c>
      <c r="AY49" s="156" t="e">
        <f t="shared" ref="AY49:BA49" si="205">SUM(AV49,AE49)</f>
        <v>#VALUE!</v>
      </c>
      <c r="AZ49" s="331" t="e">
        <f t="shared" si="205"/>
        <v>#VALUE!</v>
      </c>
      <c r="BA49" s="1523">
        <f t="shared" si="205"/>
        <v>754946.37</v>
      </c>
      <c r="BB49" s="1520" t="str">
        <f t="shared" si="138"/>
        <v/>
      </c>
      <c r="BC49" s="1524" t="e">
        <f t="shared" si="28"/>
        <v>#VALUE!</v>
      </c>
      <c r="BD49" s="331" t="str">
        <f>IFERROR(VLOOKUP(G49,'MON2'!MONTENALIM,9,FALSE),"")</f>
        <v/>
      </c>
      <c r="BE49" s="1525">
        <f>IFERROR(VLOOKUP(G49,'MON2'!MONTEFC,9,FALSE),"")</f>
        <v>0</v>
      </c>
      <c r="BF49" s="1514" t="str">
        <f t="shared" si="139"/>
        <v/>
      </c>
      <c r="BG49" s="331" t="str">
        <f t="shared" si="140"/>
        <v/>
      </c>
      <c r="BH49" s="331" t="str">
        <f t="shared" si="141"/>
        <v/>
      </c>
      <c r="BI49" s="331" t="str">
        <f t="shared" si="142"/>
        <v/>
      </c>
      <c r="BJ49" s="331" t="str">
        <f t="shared" si="143"/>
        <v/>
      </c>
    </row>
    <row r="50" spans="1:62" ht="13">
      <c r="A50" s="485" t="str">
        <f t="shared" si="128"/>
        <v>MONTENEGRO</v>
      </c>
      <c r="B50" s="1466">
        <f t="shared" si="129"/>
        <v>112011563</v>
      </c>
      <c r="C50" s="1527">
        <f t="shared" si="130"/>
        <v>1</v>
      </c>
      <c r="D50" s="733" t="str">
        <f t="shared" si="131"/>
        <v>Lista</v>
      </c>
      <c r="E50" s="733">
        <f t="shared" si="132"/>
        <v>0.09</v>
      </c>
      <c r="F50" s="733">
        <f t="shared" si="133"/>
        <v>0</v>
      </c>
      <c r="G50" s="1466" t="s">
        <v>1361</v>
      </c>
      <c r="H50" s="1497">
        <f t="shared" si="166"/>
        <v>0</v>
      </c>
      <c r="I50" s="1528">
        <f t="shared" si="167"/>
        <v>0</v>
      </c>
      <c r="J50" s="1494" t="e">
        <f t="shared" si="6"/>
        <v>#VALUE!</v>
      </c>
      <c r="K50" s="1497" t="str">
        <f>IFERROR(VLOOKUP(G50,'MON2'!MONTENALIM,3,FALSE),"")</f>
        <v/>
      </c>
      <c r="L50" s="1498" t="str">
        <f>IFERROR(VLOOKUP(G50,'MON2'!MONTEFC,3,FALSE),"")</f>
        <v/>
      </c>
      <c r="M50" s="1495" t="e">
        <f t="shared" si="168"/>
        <v>#VALUE!</v>
      </c>
      <c r="N50" s="1529" t="e">
        <f t="shared" si="169"/>
        <v>#VALUE!</v>
      </c>
      <c r="O50" s="1497">
        <f t="shared" si="170"/>
        <v>0</v>
      </c>
      <c r="P50" s="1497">
        <f t="shared" si="171"/>
        <v>0</v>
      </c>
      <c r="Q50" s="1485" t="e">
        <f t="shared" si="10"/>
        <v>#VALUE!</v>
      </c>
      <c r="R50" s="1497" t="str">
        <f>IFERROR(VLOOKUP(G50,'MON2'!MONTENALIM,4,FALSE),"")</f>
        <v/>
      </c>
      <c r="S50" s="1497" t="str">
        <f>IFERROR(VLOOKUP(G50,'MON2'!MONTEFC,4,FALSE),"")</f>
        <v/>
      </c>
      <c r="T50" s="1497" t="e">
        <f t="shared" si="172"/>
        <v>#VALUE!</v>
      </c>
      <c r="U50" s="1529" t="e">
        <f t="shared" si="173"/>
        <v>#VALUE!</v>
      </c>
      <c r="V50" s="1497">
        <f t="shared" si="174"/>
        <v>0</v>
      </c>
      <c r="W50" s="1528">
        <f t="shared" si="175"/>
        <v>0</v>
      </c>
      <c r="X50" s="1487" t="e">
        <f t="shared" si="14"/>
        <v>#VALUE!</v>
      </c>
      <c r="Y50" s="1485" t="str">
        <f>IFERROR(VLOOKUP(G50,'MON2'!MONTENALIM,5,FALSE),"")</f>
        <v/>
      </c>
      <c r="Z50" s="1488" t="str">
        <f>IFERROR(VLOOKUP(G50,'MON2'!MONTEFC,5,FALSE),"")</f>
        <v/>
      </c>
      <c r="AA50" s="1495"/>
      <c r="AB50" s="1497"/>
      <c r="AC50" s="1530">
        <f t="shared" si="176"/>
        <v>0</v>
      </c>
      <c r="AD50" s="1494">
        <f t="shared" si="134"/>
        <v>66258.55</v>
      </c>
      <c r="AE50" s="1497" t="e">
        <f t="shared" si="17"/>
        <v>#VALUE!</v>
      </c>
      <c r="AF50" s="1497" t="e">
        <f t="shared" ref="AF50:AG50" si="206">Y50+R50+K50</f>
        <v>#VALUE!</v>
      </c>
      <c r="AG50" s="1497" t="e">
        <f t="shared" si="206"/>
        <v>#VALUE!</v>
      </c>
      <c r="AH50" s="1497" t="e">
        <f t="shared" si="19"/>
        <v>#VALUE!</v>
      </c>
      <c r="AI50" s="1531" t="str">
        <f t="shared" si="20"/>
        <v/>
      </c>
      <c r="AJ50" s="1493">
        <f t="shared" si="178"/>
        <v>0</v>
      </c>
      <c r="AK50" s="1494" t="e">
        <f t="shared" si="22"/>
        <v>#VALUE!</v>
      </c>
      <c r="AL50" s="1495" t="str">
        <f>IFERROR(VLOOKUP(G50,'MON2'!MONTENALIM,6,FALSE),"")</f>
        <v/>
      </c>
      <c r="AM50" s="1496" t="str">
        <f>IFERROR(VLOOKUP(G50,'MON2'!MONTEFC,6,FALSE),"")</f>
        <v/>
      </c>
      <c r="AN50" s="1493">
        <f t="shared" si="154"/>
        <v>0</v>
      </c>
      <c r="AO50" s="1494" t="e">
        <f t="shared" si="23"/>
        <v>#VALUE!</v>
      </c>
      <c r="AP50" s="1497" t="str">
        <f>IFERROR(VLOOKUP(G50,'MON2'!MONTENALIM,7,FALSE),"")</f>
        <v/>
      </c>
      <c r="AQ50" s="1498" t="str">
        <f>IFERROR(VLOOKUP(G50,'MON2'!MONTEFC,7,FALSE),"")</f>
        <v/>
      </c>
      <c r="AR50" s="1495">
        <f t="shared" si="179"/>
        <v>0</v>
      </c>
      <c r="AS50" s="1495" t="e">
        <f t="shared" si="24"/>
        <v>#VALUE!</v>
      </c>
      <c r="AT50" s="1495" t="str">
        <f>IFERROR(VLOOKUP(G50,'MON2'!MONTENALIM,8,FALSE),"")</f>
        <v/>
      </c>
      <c r="AU50" s="1493" t="str">
        <f>IFERROR(VLOOKUP(G50,'MON2'!MONTEFC,8,FALSE),"")</f>
        <v/>
      </c>
      <c r="AV50" s="1532" t="e">
        <f t="shared" ref="AV50:AX50" si="207">SUM(AS50,AO50,AK50)</f>
        <v>#VALUE!</v>
      </c>
      <c r="AW50" s="1497">
        <f t="shared" si="207"/>
        <v>0</v>
      </c>
      <c r="AX50" s="1528">
        <f t="shared" si="207"/>
        <v>0</v>
      </c>
      <c r="AY50" s="1494" t="e">
        <f t="shared" ref="AY50:BA50" si="208">SUM(AV50,AE50)</f>
        <v>#VALUE!</v>
      </c>
      <c r="AZ50" s="1497" t="e">
        <f t="shared" si="208"/>
        <v>#VALUE!</v>
      </c>
      <c r="BA50" s="1533" t="e">
        <f t="shared" si="208"/>
        <v>#VALUE!</v>
      </c>
      <c r="BB50" s="1493">
        <f t="shared" si="138"/>
        <v>0</v>
      </c>
      <c r="BC50" s="1504" t="e">
        <f t="shared" si="28"/>
        <v>#VALUE!</v>
      </c>
      <c r="BD50" s="1497" t="str">
        <f>IFERROR(VLOOKUP(G50,'MON2'!MONTENALIM,9,FALSE),"")</f>
        <v/>
      </c>
      <c r="BE50" s="1505" t="str">
        <f>IFERROR(VLOOKUP(G50,'MON2'!MONTEFC,9,FALSE),"")</f>
        <v/>
      </c>
      <c r="BF50" s="1495">
        <f t="shared" si="139"/>
        <v>0</v>
      </c>
      <c r="BG50" s="1497">
        <f t="shared" si="140"/>
        <v>0</v>
      </c>
      <c r="BH50" s="1497">
        <f t="shared" si="141"/>
        <v>0</v>
      </c>
      <c r="BI50" s="1497">
        <f t="shared" si="142"/>
        <v>0</v>
      </c>
      <c r="BJ50" s="1497">
        <f t="shared" si="143"/>
        <v>66258.55</v>
      </c>
    </row>
    <row r="51" spans="1:62" ht="13">
      <c r="A51" s="485" t="str">
        <f t="shared" si="128"/>
        <v>MONTENEGRO</v>
      </c>
      <c r="B51" s="1467">
        <f t="shared" si="129"/>
        <v>112012704</v>
      </c>
      <c r="C51" s="1510">
        <f t="shared" si="130"/>
        <v>1</v>
      </c>
      <c r="D51" s="1511" t="str">
        <f t="shared" si="131"/>
        <v>Lista</v>
      </c>
      <c r="E51" s="1511">
        <f t="shared" si="132"/>
        <v>0.09</v>
      </c>
      <c r="F51" s="1511">
        <f t="shared" si="133"/>
        <v>0</v>
      </c>
      <c r="G51" s="1467" t="s">
        <v>1362</v>
      </c>
      <c r="H51" s="331">
        <f t="shared" si="166"/>
        <v>236717.72</v>
      </c>
      <c r="I51" s="1512">
        <f t="shared" si="167"/>
        <v>397934.32320599997</v>
      </c>
      <c r="J51" s="156" t="e">
        <f t="shared" si="6"/>
        <v>#VALUE!</v>
      </c>
      <c r="K51" s="331" t="str">
        <f>IFERROR(VLOOKUP(G51,'MON2'!MONTENALIM,3,FALSE),"")</f>
        <v/>
      </c>
      <c r="L51" s="1513">
        <f>IFERROR(VLOOKUP(G51,'MON2'!MONTEFC,3,FALSE),"")</f>
        <v>398768.48</v>
      </c>
      <c r="M51" s="1514">
        <f t="shared" si="168"/>
        <v>834.15679400000954</v>
      </c>
      <c r="N51" s="234">
        <f t="shared" si="169"/>
        <v>1.0020962172533385</v>
      </c>
      <c r="O51" s="331">
        <f t="shared" si="170"/>
        <v>72724.37</v>
      </c>
      <c r="P51" s="331">
        <f t="shared" si="171"/>
        <v>131683.83486825001</v>
      </c>
      <c r="Q51" s="1515" t="e">
        <f t="shared" si="10"/>
        <v>#VALUE!</v>
      </c>
      <c r="R51" s="331" t="str">
        <f>IFERROR(VLOOKUP(G51,'MON2'!MONTENALIM,4,FALSE),"")</f>
        <v/>
      </c>
      <c r="S51" s="331">
        <f>IFERROR(VLOOKUP(G51,'MON2'!MONTEFC,4,FALSE),"")</f>
        <v>181097.79</v>
      </c>
      <c r="T51" s="331">
        <f t="shared" si="172"/>
        <v>49413.955131750001</v>
      </c>
      <c r="U51" s="234">
        <f t="shared" si="173"/>
        <v>1.3752469327855525</v>
      </c>
      <c r="V51" s="331">
        <f t="shared" si="174"/>
        <v>168727.33</v>
      </c>
      <c r="W51" s="1512">
        <f t="shared" si="175"/>
        <v>282664.67776574998</v>
      </c>
      <c r="X51" s="1516" t="e">
        <f t="shared" si="14"/>
        <v>#VALUE!</v>
      </c>
      <c r="Y51" s="1515" t="str">
        <f>IFERROR(VLOOKUP(G51,'MON2'!MONTENALIM,5,FALSE),"")</f>
        <v/>
      </c>
      <c r="Z51" s="1517">
        <f>IFERROR(VLOOKUP(G51,'MON2'!MONTEFC,5,FALSE),"")</f>
        <v>196248.22</v>
      </c>
      <c r="AA51" s="1514"/>
      <c r="AB51" s="331"/>
      <c r="AC51" s="1518">
        <f t="shared" si="176"/>
        <v>812282.83583999996</v>
      </c>
      <c r="AD51" s="156">
        <f t="shared" si="134"/>
        <v>822461.6</v>
      </c>
      <c r="AE51" s="331" t="e">
        <f t="shared" si="17"/>
        <v>#VALUE!</v>
      </c>
      <c r="AF51" s="331" t="e">
        <f t="shared" ref="AF51:AG51" si="209">Y51+R51+K51</f>
        <v>#VALUE!</v>
      </c>
      <c r="AG51" s="331">
        <f t="shared" si="209"/>
        <v>776114.49</v>
      </c>
      <c r="AH51" s="331">
        <f t="shared" si="19"/>
        <v>-46347.109999999986</v>
      </c>
      <c r="AI51" s="1519">
        <f t="shared" si="20"/>
        <v>0.94364829920326976</v>
      </c>
      <c r="AJ51" s="1520">
        <f t="shared" si="178"/>
        <v>224811.18</v>
      </c>
      <c r="AK51" s="156" t="e">
        <f t="shared" si="22"/>
        <v>#VALUE!</v>
      </c>
      <c r="AL51" s="1514" t="str">
        <f>IFERROR(VLOOKUP(G51,'MON2'!MONTENALIM,6,FALSE),"")</f>
        <v/>
      </c>
      <c r="AM51" s="1521">
        <f>IFERROR(VLOOKUP(G51,'MON2'!MONTEFC,6,FALSE),"")</f>
        <v>345452.44</v>
      </c>
      <c r="AN51" s="1520">
        <f t="shared" si="154"/>
        <v>0</v>
      </c>
      <c r="AO51" s="156" t="e">
        <f t="shared" si="23"/>
        <v>#VALUE!</v>
      </c>
      <c r="AP51" s="331" t="str">
        <f>IFERROR(VLOOKUP(G51,'MON2'!MONTENALIM,7,FALSE),"")</f>
        <v/>
      </c>
      <c r="AQ51" s="1513">
        <f>IFERROR(VLOOKUP(G51,'MON2'!MONTEFC,7,FALSE),"")</f>
        <v>274403.09999999998</v>
      </c>
      <c r="AR51" s="1514">
        <f t="shared" si="179"/>
        <v>323472.19</v>
      </c>
      <c r="AS51" s="1514" t="e">
        <f t="shared" si="24"/>
        <v>#VALUE!</v>
      </c>
      <c r="AT51" s="1514" t="str">
        <f>IFERROR(VLOOKUP(G51,'MON2'!MONTENALIM,8,FALSE),"")</f>
        <v/>
      </c>
      <c r="AU51" s="1520">
        <f>IFERROR(VLOOKUP(G51,'MON2'!MONTEFC,8,FALSE),"")</f>
        <v>259296.01</v>
      </c>
      <c r="AV51" s="1522" t="e">
        <f t="shared" ref="AV51:AX51" si="210">SUM(AS51,AO51,AK51)</f>
        <v>#VALUE!</v>
      </c>
      <c r="AW51" s="331">
        <f t="shared" si="210"/>
        <v>0</v>
      </c>
      <c r="AX51" s="1512">
        <f t="shared" si="210"/>
        <v>879151.55</v>
      </c>
      <c r="AY51" s="156" t="e">
        <f t="shared" ref="AY51:BA51" si="211">SUM(AV51,AE51)</f>
        <v>#VALUE!</v>
      </c>
      <c r="AZ51" s="331" t="e">
        <f t="shared" si="211"/>
        <v>#VALUE!</v>
      </c>
      <c r="BA51" s="1523">
        <f t="shared" si="211"/>
        <v>1655266.04</v>
      </c>
      <c r="BB51" s="1520">
        <f t="shared" si="138"/>
        <v>131062.35</v>
      </c>
      <c r="BC51" s="1524" t="e">
        <f t="shared" si="28"/>
        <v>#VALUE!</v>
      </c>
      <c r="BD51" s="331" t="str">
        <f>IFERROR(VLOOKUP(G51,'MON2'!MONTENALIM,9,FALSE),"")</f>
        <v/>
      </c>
      <c r="BE51" s="1525">
        <f>IFERROR(VLOOKUP(G51,'MON2'!MONTEFC,9,FALSE),"")</f>
        <v>0</v>
      </c>
      <c r="BF51" s="1514">
        <f t="shared" si="139"/>
        <v>88377.35</v>
      </c>
      <c r="BG51" s="331">
        <f t="shared" si="140"/>
        <v>179175.69</v>
      </c>
      <c r="BH51" s="331">
        <f t="shared" si="141"/>
        <v>188023.46</v>
      </c>
      <c r="BI51" s="331">
        <f t="shared" si="142"/>
        <v>156792.34</v>
      </c>
      <c r="BJ51" s="331">
        <f t="shared" si="143"/>
        <v>477645.8</v>
      </c>
    </row>
    <row r="52" spans="1:62" ht="13">
      <c r="A52" s="485" t="str">
        <f t="shared" si="128"/>
        <v>MONTENEGRO</v>
      </c>
      <c r="B52" s="1466">
        <f t="shared" si="129"/>
        <v>112012225</v>
      </c>
      <c r="C52" s="1527">
        <f t="shared" si="130"/>
        <v>1</v>
      </c>
      <c r="D52" s="733" t="str">
        <f t="shared" si="131"/>
        <v>Lista</v>
      </c>
      <c r="E52" s="733">
        <f t="shared" si="132"/>
        <v>0.09</v>
      </c>
      <c r="F52" s="733">
        <f t="shared" si="133"/>
        <v>0</v>
      </c>
      <c r="G52" s="1466" t="s">
        <v>1390</v>
      </c>
      <c r="H52" s="1497">
        <f t="shared" si="166"/>
        <v>0</v>
      </c>
      <c r="I52" s="1528">
        <f t="shared" si="167"/>
        <v>0</v>
      </c>
      <c r="J52" s="1494" t="e">
        <f t="shared" si="6"/>
        <v>#VALUE!</v>
      </c>
      <c r="K52" s="1497" t="str">
        <f>IFERROR(VLOOKUP(G52,'MON2'!MONTENALIM,3,FALSE),"")</f>
        <v/>
      </c>
      <c r="L52" s="1498" t="str">
        <f>IFERROR(VLOOKUP(G52,'MON2'!MONTEFC,3,FALSE),"")</f>
        <v/>
      </c>
      <c r="M52" s="1495" t="e">
        <f t="shared" si="168"/>
        <v>#VALUE!</v>
      </c>
      <c r="N52" s="1529" t="e">
        <f t="shared" si="169"/>
        <v>#VALUE!</v>
      </c>
      <c r="O52" s="1497">
        <f t="shared" si="170"/>
        <v>0</v>
      </c>
      <c r="P52" s="1497">
        <f t="shared" si="171"/>
        <v>0</v>
      </c>
      <c r="Q52" s="1485" t="e">
        <f t="shared" si="10"/>
        <v>#VALUE!</v>
      </c>
      <c r="R52" s="1497" t="str">
        <f>IFERROR(VLOOKUP(G52,'MON2'!MONTENALIM,4,FALSE),"")</f>
        <v/>
      </c>
      <c r="S52" s="1497" t="str">
        <f>IFERROR(VLOOKUP(G52,'MON2'!MONTEFC,4,FALSE),"")</f>
        <v/>
      </c>
      <c r="T52" s="1497" t="e">
        <f t="shared" si="172"/>
        <v>#VALUE!</v>
      </c>
      <c r="U52" s="1529" t="e">
        <f t="shared" si="173"/>
        <v>#VALUE!</v>
      </c>
      <c r="V52" s="1497">
        <f t="shared" si="174"/>
        <v>0</v>
      </c>
      <c r="W52" s="1486">
        <f t="shared" si="175"/>
        <v>0</v>
      </c>
      <c r="X52" s="1487" t="e">
        <f t="shared" si="14"/>
        <v>#VALUE!</v>
      </c>
      <c r="Y52" s="1485" t="str">
        <f>IFERROR(VLOOKUP(G52,'MON2'!MONTENALIM,5,FALSE),"")</f>
        <v/>
      </c>
      <c r="Z52" s="1488" t="str">
        <f>IFERROR(VLOOKUP(G52,'MON2'!MONTEFC,5,FALSE),"")</f>
        <v/>
      </c>
      <c r="AA52" s="1489"/>
      <c r="AB52" s="1485"/>
      <c r="AC52" s="1530">
        <f t="shared" si="176"/>
        <v>0</v>
      </c>
      <c r="AD52" s="1494" t="str">
        <f t="shared" si="134"/>
        <v>0</v>
      </c>
      <c r="AE52" s="1497" t="e">
        <f t="shared" si="17"/>
        <v>#VALUE!</v>
      </c>
      <c r="AF52" s="1497" t="e">
        <f t="shared" ref="AF52:AG52" si="212">Y52+R52+K52</f>
        <v>#VALUE!</v>
      </c>
      <c r="AG52" s="1497" t="e">
        <f t="shared" si="212"/>
        <v>#VALUE!</v>
      </c>
      <c r="AH52" s="1497" t="e">
        <f t="shared" si="19"/>
        <v>#VALUE!</v>
      </c>
      <c r="AI52" s="1531" t="str">
        <f t="shared" si="20"/>
        <v/>
      </c>
      <c r="AJ52" s="1493">
        <f t="shared" si="178"/>
        <v>743636.43</v>
      </c>
      <c r="AK52" s="1494" t="e">
        <f t="shared" si="22"/>
        <v>#VALUE!</v>
      </c>
      <c r="AL52" s="1495" t="str">
        <f>IFERROR(VLOOKUP(G52,'MON2'!MONTENALIM,6,FALSE),"")</f>
        <v/>
      </c>
      <c r="AM52" s="1496" t="str">
        <f>IFERROR(VLOOKUP(G52,'MON2'!MONTEFC,6,FALSE),"")</f>
        <v/>
      </c>
      <c r="AN52" s="1493">
        <f t="shared" si="154"/>
        <v>990772.65</v>
      </c>
      <c r="AO52" s="1494" t="e">
        <f t="shared" si="23"/>
        <v>#VALUE!</v>
      </c>
      <c r="AP52" s="1497" t="str">
        <f>IFERROR(VLOOKUP(G52,'MON2'!MONTENALIM,7,FALSE),"")</f>
        <v/>
      </c>
      <c r="AQ52" s="1498" t="str">
        <f>IFERROR(VLOOKUP(G52,'MON2'!MONTEFC,7,FALSE),"")</f>
        <v/>
      </c>
      <c r="AR52" s="1495">
        <f t="shared" si="179"/>
        <v>757410.05</v>
      </c>
      <c r="AS52" s="1495" t="e">
        <f t="shared" si="24"/>
        <v>#VALUE!</v>
      </c>
      <c r="AT52" s="1495" t="str">
        <f>IFERROR(VLOOKUP(G52,'MON2'!MONTENALIM,8,FALSE),"")</f>
        <v/>
      </c>
      <c r="AU52" s="1493" t="str">
        <f>IFERROR(VLOOKUP(G52,'MON2'!MONTEFC,8,FALSE),"")</f>
        <v/>
      </c>
      <c r="AV52" s="1532" t="e">
        <f t="shared" ref="AV52:AX52" si="213">SUM(AS52,AO52,AK52)</f>
        <v>#VALUE!</v>
      </c>
      <c r="AW52" s="1497">
        <f t="shared" si="213"/>
        <v>0</v>
      </c>
      <c r="AX52" s="1528">
        <f t="shared" si="213"/>
        <v>0</v>
      </c>
      <c r="AY52" s="1494" t="e">
        <f t="shared" ref="AY52:BA52" si="214">SUM(AV52,AE52)</f>
        <v>#VALUE!</v>
      </c>
      <c r="AZ52" s="1497" t="e">
        <f t="shared" si="214"/>
        <v>#VALUE!</v>
      </c>
      <c r="BA52" s="1533" t="e">
        <f t="shared" si="214"/>
        <v>#VALUE!</v>
      </c>
      <c r="BB52" s="1493">
        <f t="shared" si="138"/>
        <v>351053.4</v>
      </c>
      <c r="BC52" s="1504" t="e">
        <f t="shared" si="28"/>
        <v>#VALUE!</v>
      </c>
      <c r="BD52" s="1497" t="str">
        <f>IFERROR(VLOOKUP(G52,'MON2'!MONTENALIM,9,FALSE),"")</f>
        <v/>
      </c>
      <c r="BE52" s="1505" t="str">
        <f>IFERROR(VLOOKUP(G52,'MON2'!MONTEFC,9,FALSE),"")</f>
        <v/>
      </c>
      <c r="BF52" s="1495">
        <f t="shared" si="139"/>
        <v>2808860.8</v>
      </c>
      <c r="BG52" s="1497">
        <f t="shared" si="140"/>
        <v>867032.2</v>
      </c>
      <c r="BH52" s="1497">
        <f t="shared" si="141"/>
        <v>0</v>
      </c>
      <c r="BI52" s="1497">
        <f t="shared" si="142"/>
        <v>0</v>
      </c>
      <c r="BJ52" s="1497">
        <f t="shared" si="143"/>
        <v>0</v>
      </c>
    </row>
    <row r="53" spans="1:62" ht="13">
      <c r="A53" s="485" t="str">
        <f t="shared" si="128"/>
        <v>MONTENEGRO</v>
      </c>
      <c r="B53" s="1467">
        <f t="shared" si="129"/>
        <v>112012622</v>
      </c>
      <c r="C53" s="1510">
        <f t="shared" si="130"/>
        <v>1</v>
      </c>
      <c r="D53" s="1511" t="str">
        <f t="shared" si="131"/>
        <v>Lista</v>
      </c>
      <c r="E53" s="1511">
        <f t="shared" si="132"/>
        <v>0.09</v>
      </c>
      <c r="F53" s="1511">
        <f t="shared" si="133"/>
        <v>0</v>
      </c>
      <c r="G53" s="1467" t="s">
        <v>1391</v>
      </c>
      <c r="H53" s="331">
        <f t="shared" si="166"/>
        <v>0</v>
      </c>
      <c r="I53" s="1547">
        <f t="shared" si="167"/>
        <v>0</v>
      </c>
      <c r="J53" s="156" t="e">
        <f t="shared" si="6"/>
        <v>#VALUE!</v>
      </c>
      <c r="K53" s="331" t="str">
        <f>IFERROR(VLOOKUP(G53,'MON2'!MONTENALIM,3,FALSE),"")</f>
        <v/>
      </c>
      <c r="L53" s="1513" t="str">
        <f>IFERROR(VLOOKUP(G53,'MON2'!MONTEFC,3,FALSE),"")</f>
        <v/>
      </c>
      <c r="M53" s="1514" t="e">
        <f t="shared" si="168"/>
        <v>#VALUE!</v>
      </c>
      <c r="N53" s="234" t="e">
        <f t="shared" si="169"/>
        <v>#VALUE!</v>
      </c>
      <c r="O53" s="331">
        <f t="shared" si="170"/>
        <v>0</v>
      </c>
      <c r="P53" s="1515">
        <f t="shared" si="171"/>
        <v>0</v>
      </c>
      <c r="Q53" s="1515" t="e">
        <f t="shared" si="10"/>
        <v>#VALUE!</v>
      </c>
      <c r="R53" s="331" t="str">
        <f>IFERROR(VLOOKUP(G53,'MON2'!MONTENALIM,4,FALSE),"")</f>
        <v/>
      </c>
      <c r="S53" s="331" t="str">
        <f>IFERROR(VLOOKUP(G53,'MON2'!MONTEFC,4,FALSE),"")</f>
        <v/>
      </c>
      <c r="T53" s="331" t="e">
        <f t="shared" si="172"/>
        <v>#VALUE!</v>
      </c>
      <c r="U53" s="234" t="e">
        <f t="shared" si="173"/>
        <v>#VALUE!</v>
      </c>
      <c r="V53" s="331">
        <f t="shared" si="174"/>
        <v>0</v>
      </c>
      <c r="W53" s="1547">
        <f t="shared" si="175"/>
        <v>0</v>
      </c>
      <c r="X53" s="1516" t="e">
        <f t="shared" si="14"/>
        <v>#VALUE!</v>
      </c>
      <c r="Y53" s="1515" t="str">
        <f>IFERROR(VLOOKUP(G53,'MON2'!MONTENALIM,5,FALSE),"")</f>
        <v/>
      </c>
      <c r="Z53" s="1517" t="str">
        <f>IFERROR(VLOOKUP(G53,'MON2'!MONTEFC,5,FALSE),"")</f>
        <v/>
      </c>
      <c r="AA53" s="1548"/>
      <c r="AB53" s="1515"/>
      <c r="AC53" s="1518">
        <f t="shared" si="176"/>
        <v>0</v>
      </c>
      <c r="AD53" s="156" t="str">
        <f t="shared" si="134"/>
        <v>0</v>
      </c>
      <c r="AE53" s="331" t="e">
        <f t="shared" si="17"/>
        <v>#VALUE!</v>
      </c>
      <c r="AF53" s="331" t="e">
        <f t="shared" ref="AF53:AG53" si="215">Y53+R53+K53</f>
        <v>#VALUE!</v>
      </c>
      <c r="AG53" s="331" t="e">
        <f t="shared" si="215"/>
        <v>#VALUE!</v>
      </c>
      <c r="AH53" s="331" t="e">
        <f t="shared" si="19"/>
        <v>#VALUE!</v>
      </c>
      <c r="AI53" s="1519" t="str">
        <f t="shared" si="20"/>
        <v/>
      </c>
      <c r="AJ53" s="1520">
        <f t="shared" si="178"/>
        <v>0</v>
      </c>
      <c r="AK53" s="156" t="e">
        <f t="shared" si="22"/>
        <v>#VALUE!</v>
      </c>
      <c r="AL53" s="1514" t="str">
        <f>IFERROR(VLOOKUP(G53,'MON2'!MONTENALIM,6,FALSE),"")</f>
        <v/>
      </c>
      <c r="AM53" s="1521" t="str">
        <f>IFERROR(VLOOKUP(G53,'MON2'!MONTEFC,6,FALSE),"")</f>
        <v/>
      </c>
      <c r="AN53" s="1520">
        <f t="shared" si="154"/>
        <v>0</v>
      </c>
      <c r="AO53" s="156" t="e">
        <f t="shared" si="23"/>
        <v>#VALUE!</v>
      </c>
      <c r="AP53" s="331" t="str">
        <f>IFERROR(VLOOKUP(G53,'MON2'!MONTENALIM,7,FALSE),"")</f>
        <v/>
      </c>
      <c r="AQ53" s="1513" t="str">
        <f>IFERROR(VLOOKUP(G53,'MON2'!MONTEFC,7,FALSE),"")</f>
        <v/>
      </c>
      <c r="AR53" s="1514">
        <f t="shared" si="179"/>
        <v>0</v>
      </c>
      <c r="AS53" s="1514" t="e">
        <f t="shared" si="24"/>
        <v>#VALUE!</v>
      </c>
      <c r="AT53" s="1514" t="str">
        <f>IFERROR(VLOOKUP(G53,'MON2'!MONTENALIM,8,FALSE),"")</f>
        <v/>
      </c>
      <c r="AU53" s="1520" t="str">
        <f>IFERROR(VLOOKUP(G53,'MON2'!MONTEFC,8,FALSE),"")</f>
        <v/>
      </c>
      <c r="AV53" s="1522" t="e">
        <f t="shared" ref="AV53:AX53" si="216">SUM(AS53,AO53,AK53)</f>
        <v>#VALUE!</v>
      </c>
      <c r="AW53" s="331">
        <f t="shared" si="216"/>
        <v>0</v>
      </c>
      <c r="AX53" s="1512">
        <f t="shared" si="216"/>
        <v>0</v>
      </c>
      <c r="AY53" s="156" t="e">
        <f t="shared" ref="AY53:BA53" si="217">SUM(AV53,AE53)</f>
        <v>#VALUE!</v>
      </c>
      <c r="AZ53" s="331" t="e">
        <f t="shared" si="217"/>
        <v>#VALUE!</v>
      </c>
      <c r="BA53" s="1523" t="e">
        <f t="shared" si="217"/>
        <v>#VALUE!</v>
      </c>
      <c r="BB53" s="1520">
        <f t="shared" si="138"/>
        <v>23499</v>
      </c>
      <c r="BC53" s="1524" t="e">
        <f t="shared" si="28"/>
        <v>#VALUE!</v>
      </c>
      <c r="BD53" s="331" t="str">
        <f>IFERROR(VLOOKUP(G53,'MON2'!MONTENALIM,9,FALSE),"")</f>
        <v/>
      </c>
      <c r="BE53" s="1525" t="str">
        <f>IFERROR(VLOOKUP(G53,'MON2'!MONTEFC,9,FALSE),"")</f>
        <v/>
      </c>
      <c r="BF53" s="1514">
        <f t="shared" si="139"/>
        <v>0</v>
      </c>
      <c r="BG53" s="331">
        <f t="shared" si="140"/>
        <v>0</v>
      </c>
      <c r="BH53" s="331">
        <f t="shared" si="141"/>
        <v>0</v>
      </c>
      <c r="BI53" s="331">
        <f t="shared" si="142"/>
        <v>0</v>
      </c>
      <c r="BJ53" s="331">
        <f t="shared" si="143"/>
        <v>0</v>
      </c>
    </row>
    <row r="54" spans="1:62" ht="13">
      <c r="A54" s="485" t="str">
        <f t="shared" si="128"/>
        <v>MONTENEGRO</v>
      </c>
      <c r="B54" s="1466">
        <f t="shared" si="129"/>
        <v>112012290</v>
      </c>
      <c r="C54" s="1527">
        <f t="shared" si="130"/>
        <v>1</v>
      </c>
      <c r="D54" s="733" t="str">
        <f t="shared" si="131"/>
        <v>Lista</v>
      </c>
      <c r="E54" s="733">
        <f t="shared" si="132"/>
        <v>0.09</v>
      </c>
      <c r="F54" s="733">
        <f t="shared" si="133"/>
        <v>0</v>
      </c>
      <c r="G54" s="1466" t="s">
        <v>1363</v>
      </c>
      <c r="H54" s="1497">
        <f t="shared" si="166"/>
        <v>624064.87</v>
      </c>
      <c r="I54" s="1486">
        <f t="shared" si="167"/>
        <v>1049084.2497135</v>
      </c>
      <c r="J54" s="1494">
        <f t="shared" si="6"/>
        <v>1889972.29</v>
      </c>
      <c r="K54" s="1497">
        <f>IFERROR(VLOOKUP(G54,'MON2'!MONTENALIM,3,FALSE),"")</f>
        <v>728485.13</v>
      </c>
      <c r="L54" s="1498">
        <f>IFERROR(VLOOKUP(G54,'MON2'!MONTEFC,3,FALSE),"")</f>
        <v>2618457.42</v>
      </c>
      <c r="M54" s="1495">
        <f t="shared" si="168"/>
        <v>1569373.1702864999</v>
      </c>
      <c r="N54" s="1529">
        <f t="shared" si="169"/>
        <v>2.4959457934051419</v>
      </c>
      <c r="O54" s="1497">
        <f t="shared" si="170"/>
        <v>337505.55</v>
      </c>
      <c r="P54" s="1485">
        <f t="shared" si="171"/>
        <v>611129.73702374997</v>
      </c>
      <c r="Q54" s="1485">
        <f t="shared" si="10"/>
        <v>1970024.73</v>
      </c>
      <c r="R54" s="1497">
        <f>IFERROR(VLOOKUP(G54,'MON2'!MONTENALIM,4,FALSE),"")</f>
        <v>454109.12</v>
      </c>
      <c r="S54" s="1497">
        <f>IFERROR(VLOOKUP(G54,'MON2'!MONTEFC,4,FALSE),"")</f>
        <v>2424133.85</v>
      </c>
      <c r="T54" s="1497">
        <f t="shared" si="172"/>
        <v>1813004.1129762502</v>
      </c>
      <c r="U54" s="1529">
        <f t="shared" si="173"/>
        <v>3.9666435834160567</v>
      </c>
      <c r="V54" s="1497">
        <f t="shared" si="174"/>
        <v>997194.32</v>
      </c>
      <c r="W54" s="1486">
        <f t="shared" si="175"/>
        <v>1670574.714438</v>
      </c>
      <c r="X54" s="1487">
        <f t="shared" si="14"/>
        <v>940587.14999999991</v>
      </c>
      <c r="Y54" s="1485">
        <f>IFERROR(VLOOKUP(G54,'MON2'!MONTENALIM,5,FALSE),"")</f>
        <v>241551.07</v>
      </c>
      <c r="Z54" s="1488">
        <f>IFERROR(VLOOKUP(G54,'MON2'!MONTEFC,5,FALSE),"")</f>
        <v>1182138.22</v>
      </c>
      <c r="AA54" s="1489"/>
      <c r="AB54" s="1485"/>
      <c r="AC54" s="1530">
        <f t="shared" si="176"/>
        <v>3330788.7011752501</v>
      </c>
      <c r="AD54" s="1494">
        <f t="shared" si="134"/>
        <v>4958610.13</v>
      </c>
      <c r="AE54" s="1497">
        <f t="shared" si="17"/>
        <v>4800584.17</v>
      </c>
      <c r="AF54" s="1497">
        <f t="shared" ref="AF54:AG54" si="218">Y54+R54+K54</f>
        <v>1424145.3199999998</v>
      </c>
      <c r="AG54" s="1497">
        <f t="shared" si="218"/>
        <v>6224729.4900000002</v>
      </c>
      <c r="AH54" s="1497">
        <f t="shared" si="19"/>
        <v>1266119.3600000003</v>
      </c>
      <c r="AI54" s="1531">
        <f t="shared" si="20"/>
        <v>1.255337549596786</v>
      </c>
      <c r="AJ54" s="1493">
        <f t="shared" si="178"/>
        <v>1399867.22</v>
      </c>
      <c r="AK54" s="1494">
        <f t="shared" si="22"/>
        <v>596409.11</v>
      </c>
      <c r="AL54" s="1495">
        <f>IFERROR(VLOOKUP(G54,'MON2'!MONTENALIM,6,FALSE),"")</f>
        <v>298492.28000000003</v>
      </c>
      <c r="AM54" s="1496">
        <f>IFERROR(VLOOKUP(G54,'MON2'!MONTEFC,6,FALSE),"")</f>
        <v>894901.39</v>
      </c>
      <c r="AN54" s="1493">
        <f t="shared" si="154"/>
        <v>1009973.9</v>
      </c>
      <c r="AO54" s="1494">
        <f t="shared" si="23"/>
        <v>690186.42</v>
      </c>
      <c r="AP54" s="1497">
        <f>IFERROR(VLOOKUP(G54,'MON2'!MONTENALIM,7,FALSE),"")</f>
        <v>8027.35</v>
      </c>
      <c r="AQ54" s="1498">
        <f>IFERROR(VLOOKUP(G54,'MON2'!MONTEFC,7,FALSE),"")</f>
        <v>698213.77</v>
      </c>
      <c r="AR54" s="1495">
        <f t="shared" si="179"/>
        <v>1115759.8899999999</v>
      </c>
      <c r="AS54" s="1495">
        <f t="shared" si="24"/>
        <v>153025.74999999994</v>
      </c>
      <c r="AT54" s="1495">
        <f>IFERROR(VLOOKUP(G54,'MON2'!MONTENALIM,8,FALSE),"")</f>
        <v>477866.57</v>
      </c>
      <c r="AU54" s="1493">
        <f>IFERROR(VLOOKUP(G54,'MON2'!MONTEFC,8,FALSE),"")</f>
        <v>630892.31999999995</v>
      </c>
      <c r="AV54" s="1532">
        <f t="shared" ref="AV54:AX54" si="219">SUM(AS54,AO54,AK54)</f>
        <v>1439621.2799999998</v>
      </c>
      <c r="AW54" s="1497">
        <f t="shared" si="219"/>
        <v>784386.2</v>
      </c>
      <c r="AX54" s="1528">
        <f t="shared" si="219"/>
        <v>2224007.48</v>
      </c>
      <c r="AY54" s="1494">
        <f t="shared" ref="AY54:BA54" si="220">SUM(AV54,AE54)</f>
        <v>6240205.4499999993</v>
      </c>
      <c r="AZ54" s="1497">
        <f t="shared" si="220"/>
        <v>2208531.5199999996</v>
      </c>
      <c r="BA54" s="1533">
        <f t="shared" si="220"/>
        <v>8448736.9700000007</v>
      </c>
      <c r="BB54" s="1493">
        <f t="shared" si="138"/>
        <v>586398.69999999995</v>
      </c>
      <c r="BC54" s="1504">
        <f t="shared" si="28"/>
        <v>156980.94</v>
      </c>
      <c r="BD54" s="1497">
        <f>IFERROR(VLOOKUP(G54,'MON2'!MONTENALIM,9,FALSE),"")</f>
        <v>0</v>
      </c>
      <c r="BE54" s="1505">
        <f>IFERROR(VLOOKUP(G54,'MON2'!MONTEFC,9,FALSE),"")</f>
        <v>156980.94</v>
      </c>
      <c r="BF54" s="1495">
        <f t="shared" si="139"/>
        <v>785126.93</v>
      </c>
      <c r="BG54" s="1497">
        <f t="shared" si="140"/>
        <v>115300.75</v>
      </c>
      <c r="BH54" s="1497">
        <f t="shared" si="141"/>
        <v>909561.85</v>
      </c>
      <c r="BI54" s="1497">
        <f t="shared" si="142"/>
        <v>1898022.44</v>
      </c>
      <c r="BJ54" s="1497">
        <f t="shared" si="143"/>
        <v>2151025.84</v>
      </c>
    </row>
    <row r="55" spans="1:62" ht="13">
      <c r="A55" s="485" t="str">
        <f t="shared" si="128"/>
        <v>MONTENEGRO</v>
      </c>
      <c r="B55" s="1467">
        <f t="shared" si="129"/>
        <v>112014551</v>
      </c>
      <c r="C55" s="1510">
        <f t="shared" si="130"/>
        <v>1</v>
      </c>
      <c r="D55" s="1511" t="str">
        <f t="shared" si="131"/>
        <v>Lista</v>
      </c>
      <c r="E55" s="1511">
        <f t="shared" si="132"/>
        <v>0.09</v>
      </c>
      <c r="F55" s="1511">
        <f t="shared" si="133"/>
        <v>0</v>
      </c>
      <c r="G55" s="1467" t="s">
        <v>1364</v>
      </c>
      <c r="H55" s="331">
        <f t="shared" si="166"/>
        <v>0</v>
      </c>
      <c r="I55" s="1547">
        <f t="shared" si="167"/>
        <v>0</v>
      </c>
      <c r="J55" s="156" t="e">
        <f t="shared" si="6"/>
        <v>#VALUE!</v>
      </c>
      <c r="K55" s="331" t="str">
        <f>IFERROR(VLOOKUP(G55,'MON2'!MONTENALIM,3,FALSE),"")</f>
        <v/>
      </c>
      <c r="L55" s="1513">
        <f>IFERROR(VLOOKUP(G55,'MON2'!MONTEFC,3,FALSE),"")</f>
        <v>390296.98</v>
      </c>
      <c r="M55" s="1514">
        <f t="shared" si="168"/>
        <v>390296.98</v>
      </c>
      <c r="N55" s="234" t="e">
        <f t="shared" si="169"/>
        <v>#DIV/0!</v>
      </c>
      <c r="O55" s="331">
        <f t="shared" si="170"/>
        <v>0</v>
      </c>
      <c r="P55" s="1515">
        <f t="shared" si="171"/>
        <v>0</v>
      </c>
      <c r="Q55" s="1515" t="e">
        <f t="shared" si="10"/>
        <v>#VALUE!</v>
      </c>
      <c r="R55" s="331" t="str">
        <f>IFERROR(VLOOKUP(G55,'MON2'!MONTENALIM,4,FALSE),"")</f>
        <v/>
      </c>
      <c r="S55" s="331">
        <f>IFERROR(VLOOKUP(G55,'MON2'!MONTEFC,4,FALSE),"")</f>
        <v>315052.18</v>
      </c>
      <c r="T55" s="331">
        <f t="shared" si="172"/>
        <v>315052.18</v>
      </c>
      <c r="U55" s="234" t="e">
        <f t="shared" si="173"/>
        <v>#DIV/0!</v>
      </c>
      <c r="V55" s="331">
        <f t="shared" si="174"/>
        <v>0</v>
      </c>
      <c r="W55" s="1547">
        <f t="shared" si="175"/>
        <v>0</v>
      </c>
      <c r="X55" s="1516" t="e">
        <f t="shared" si="14"/>
        <v>#VALUE!</v>
      </c>
      <c r="Y55" s="1515" t="str">
        <f>IFERROR(VLOOKUP(G55,'MON2'!MONTENALIM,5,FALSE),"")</f>
        <v/>
      </c>
      <c r="Z55" s="1517">
        <f>IFERROR(VLOOKUP(G55,'MON2'!MONTEFC,5,FALSE),"")</f>
        <v>151592.60999999999</v>
      </c>
      <c r="AA55" s="1548"/>
      <c r="AB55" s="1515"/>
      <c r="AC55" s="1518">
        <f t="shared" si="176"/>
        <v>0</v>
      </c>
      <c r="AD55" s="156">
        <f t="shared" si="134"/>
        <v>603738.86</v>
      </c>
      <c r="AE55" s="331" t="e">
        <f t="shared" si="17"/>
        <v>#VALUE!</v>
      </c>
      <c r="AF55" s="331" t="e">
        <f t="shared" ref="AF55:AG55" si="221">Y55+R55+K55</f>
        <v>#VALUE!</v>
      </c>
      <c r="AG55" s="331">
        <f t="shared" si="221"/>
        <v>856941.77</v>
      </c>
      <c r="AH55" s="331">
        <f t="shared" si="19"/>
        <v>253202.91000000003</v>
      </c>
      <c r="AI55" s="1519">
        <f t="shared" si="20"/>
        <v>1.4193914401998242</v>
      </c>
      <c r="AJ55" s="1520">
        <f t="shared" si="178"/>
        <v>0</v>
      </c>
      <c r="AK55" s="156" t="e">
        <f t="shared" si="22"/>
        <v>#VALUE!</v>
      </c>
      <c r="AL55" s="1514" t="str">
        <f>IFERROR(VLOOKUP(G55,'MON2'!MONTENALIM,6,FALSE),"")</f>
        <v/>
      </c>
      <c r="AM55" s="1521">
        <f>IFERROR(VLOOKUP(G55,'MON2'!MONTEFC,6,FALSE),"")</f>
        <v>97359.95</v>
      </c>
      <c r="AN55" s="1520">
        <f t="shared" si="154"/>
        <v>0</v>
      </c>
      <c r="AO55" s="156" t="e">
        <f t="shared" si="23"/>
        <v>#VALUE!</v>
      </c>
      <c r="AP55" s="331" t="str">
        <f>IFERROR(VLOOKUP(G55,'MON2'!MONTENALIM,7,FALSE),"")</f>
        <v/>
      </c>
      <c r="AQ55" s="1513">
        <f>IFERROR(VLOOKUP(G55,'MON2'!MONTEFC,7,FALSE),"")</f>
        <v>168137.12</v>
      </c>
      <c r="AR55" s="1514">
        <f t="shared" si="179"/>
        <v>0</v>
      </c>
      <c r="AS55" s="1514" t="e">
        <f t="shared" si="24"/>
        <v>#VALUE!</v>
      </c>
      <c r="AT55" s="1514" t="str">
        <f>IFERROR(VLOOKUP(G55,'MON2'!MONTENALIM,8,FALSE),"")</f>
        <v/>
      </c>
      <c r="AU55" s="1520">
        <f>IFERROR(VLOOKUP(G55,'MON2'!MONTEFC,8,FALSE),"")</f>
        <v>0</v>
      </c>
      <c r="AV55" s="1522" t="e">
        <f t="shared" ref="AV55:AX55" si="222">SUM(AS55,AO55,AK55)</f>
        <v>#VALUE!</v>
      </c>
      <c r="AW55" s="331">
        <f t="shared" si="222"/>
        <v>0</v>
      </c>
      <c r="AX55" s="1512">
        <f t="shared" si="222"/>
        <v>265497.07</v>
      </c>
      <c r="AY55" s="156" t="e">
        <f t="shared" ref="AY55:BA55" si="223">SUM(AV55,AE55)</f>
        <v>#VALUE!</v>
      </c>
      <c r="AZ55" s="331" t="e">
        <f t="shared" si="223"/>
        <v>#VALUE!</v>
      </c>
      <c r="BA55" s="1523">
        <f t="shared" si="223"/>
        <v>1122438.8400000001</v>
      </c>
      <c r="BB55" s="1520">
        <f t="shared" si="138"/>
        <v>0</v>
      </c>
      <c r="BC55" s="1524" t="e">
        <f t="shared" si="28"/>
        <v>#VALUE!</v>
      </c>
      <c r="BD55" s="331" t="str">
        <f>IFERROR(VLOOKUP(G55,'MON2'!MONTENALIM,9,FALSE),"")</f>
        <v/>
      </c>
      <c r="BE55" s="1525">
        <f>IFERROR(VLOOKUP(G55,'MON2'!MONTEFC,9,FALSE),"")</f>
        <v>171010.23</v>
      </c>
      <c r="BF55" s="1514">
        <f t="shared" si="139"/>
        <v>0</v>
      </c>
      <c r="BG55" s="331">
        <f t="shared" si="140"/>
        <v>119385.36</v>
      </c>
      <c r="BH55" s="331">
        <f t="shared" si="141"/>
        <v>131624.49</v>
      </c>
      <c r="BI55" s="331">
        <f t="shared" si="142"/>
        <v>323864.76</v>
      </c>
      <c r="BJ55" s="331">
        <f t="shared" si="143"/>
        <v>148249.60999999999</v>
      </c>
    </row>
    <row r="56" spans="1:62" ht="13">
      <c r="A56" s="485" t="str">
        <f t="shared" si="128"/>
        <v>MONTENEGRO</v>
      </c>
      <c r="B56" s="1466">
        <f t="shared" si="129"/>
        <v>112014285</v>
      </c>
      <c r="C56" s="1527">
        <f t="shared" si="130"/>
        <v>1</v>
      </c>
      <c r="D56" s="733" t="str">
        <f t="shared" si="131"/>
        <v>Lista</v>
      </c>
      <c r="E56" s="733">
        <f t="shared" si="132"/>
        <v>0.09</v>
      </c>
      <c r="F56" s="733">
        <f t="shared" si="133"/>
        <v>0</v>
      </c>
      <c r="G56" s="1466" t="s">
        <v>1365</v>
      </c>
      <c r="H56" s="1497">
        <f t="shared" si="166"/>
        <v>337638.59</v>
      </c>
      <c r="I56" s="1486">
        <f t="shared" si="167"/>
        <v>567587.35171950003</v>
      </c>
      <c r="J56" s="1494" t="e">
        <f t="shared" si="6"/>
        <v>#VALUE!</v>
      </c>
      <c r="K56" s="1497" t="str">
        <f>IFERROR(VLOOKUP(G56,'MON2'!MONTENALIM,3,FALSE),"")</f>
        <v/>
      </c>
      <c r="L56" s="1498" t="str">
        <f>IFERROR(VLOOKUP(G56,'MON2'!MONTEFC,3,FALSE),"")</f>
        <v/>
      </c>
      <c r="M56" s="1495" t="e">
        <f t="shared" si="168"/>
        <v>#VALUE!</v>
      </c>
      <c r="N56" s="1529" t="e">
        <f t="shared" si="169"/>
        <v>#VALUE!</v>
      </c>
      <c r="O56" s="1497">
        <f t="shared" si="170"/>
        <v>40847.120000000003</v>
      </c>
      <c r="P56" s="1485">
        <f t="shared" si="171"/>
        <v>73962.901362000004</v>
      </c>
      <c r="Q56" s="1485" t="e">
        <f t="shared" si="10"/>
        <v>#VALUE!</v>
      </c>
      <c r="R56" s="1497" t="str">
        <f>IFERROR(VLOOKUP(G56,'MON2'!MONTENALIM,4,FALSE),"")</f>
        <v/>
      </c>
      <c r="S56" s="1497" t="str">
        <f>IFERROR(VLOOKUP(G56,'MON2'!MONTEFC,4,FALSE),"")</f>
        <v/>
      </c>
      <c r="T56" s="1497" t="e">
        <f t="shared" si="172"/>
        <v>#VALUE!</v>
      </c>
      <c r="U56" s="1529" t="e">
        <f t="shared" si="173"/>
        <v>#VALUE!</v>
      </c>
      <c r="V56" s="1497">
        <f t="shared" si="174"/>
        <v>822233.43</v>
      </c>
      <c r="W56" s="1486">
        <f t="shared" si="175"/>
        <v>1377467.1094432501</v>
      </c>
      <c r="X56" s="1487" t="e">
        <f t="shared" si="14"/>
        <v>#VALUE!</v>
      </c>
      <c r="Y56" s="1485" t="str">
        <f>IFERROR(VLOOKUP(G56,'MON2'!MONTENALIM,5,FALSE),"")</f>
        <v/>
      </c>
      <c r="Z56" s="1488" t="str">
        <f>IFERROR(VLOOKUP(G56,'MON2'!MONTEFC,5,FALSE),"")</f>
        <v/>
      </c>
      <c r="AA56" s="1489"/>
      <c r="AB56" s="1485"/>
      <c r="AC56" s="1530">
        <f t="shared" si="176"/>
        <v>2019017.3625247502</v>
      </c>
      <c r="AD56" s="1494">
        <f t="shared" si="134"/>
        <v>915998.31</v>
      </c>
      <c r="AE56" s="1497" t="e">
        <f t="shared" si="17"/>
        <v>#VALUE!</v>
      </c>
      <c r="AF56" s="1497" t="e">
        <f t="shared" ref="AF56:AG56" si="224">Y56+R56+K56</f>
        <v>#VALUE!</v>
      </c>
      <c r="AG56" s="1497" t="e">
        <f t="shared" si="224"/>
        <v>#VALUE!</v>
      </c>
      <c r="AH56" s="1497" t="e">
        <f t="shared" si="19"/>
        <v>#VALUE!</v>
      </c>
      <c r="AI56" s="1531" t="str">
        <f t="shared" si="20"/>
        <v/>
      </c>
      <c r="AJ56" s="1493">
        <f t="shared" si="178"/>
        <v>71831.070000000007</v>
      </c>
      <c r="AK56" s="1494" t="e">
        <f t="shared" si="22"/>
        <v>#VALUE!</v>
      </c>
      <c r="AL56" s="1495" t="str">
        <f>IFERROR(VLOOKUP(G56,'MON2'!MONTENALIM,6,FALSE),"")</f>
        <v/>
      </c>
      <c r="AM56" s="1496" t="str">
        <f>IFERROR(VLOOKUP(G56,'MON2'!MONTEFC,6,FALSE),"")</f>
        <v/>
      </c>
      <c r="AN56" s="1493">
        <f t="shared" si="154"/>
        <v>342274.21</v>
      </c>
      <c r="AO56" s="1494" t="e">
        <f t="shared" si="23"/>
        <v>#VALUE!</v>
      </c>
      <c r="AP56" s="1497" t="str">
        <f>IFERROR(VLOOKUP(G56,'MON2'!MONTENALIM,7,FALSE),"")</f>
        <v/>
      </c>
      <c r="AQ56" s="1498" t="str">
        <f>IFERROR(VLOOKUP(G56,'MON2'!MONTEFC,7,FALSE),"")</f>
        <v/>
      </c>
      <c r="AR56" s="1495">
        <f t="shared" si="179"/>
        <v>281835.78000000003</v>
      </c>
      <c r="AS56" s="1495" t="e">
        <f t="shared" si="24"/>
        <v>#VALUE!</v>
      </c>
      <c r="AT56" s="1495" t="str">
        <f>IFERROR(VLOOKUP(G56,'MON2'!MONTENALIM,8,FALSE),"")</f>
        <v/>
      </c>
      <c r="AU56" s="1493" t="str">
        <f>IFERROR(VLOOKUP(G56,'MON2'!MONTEFC,8,FALSE),"")</f>
        <v/>
      </c>
      <c r="AV56" s="1532" t="e">
        <f t="shared" ref="AV56:AX56" si="225">SUM(AS56,AO56,AK56)</f>
        <v>#VALUE!</v>
      </c>
      <c r="AW56" s="1497">
        <f t="shared" si="225"/>
        <v>0</v>
      </c>
      <c r="AX56" s="1528">
        <f t="shared" si="225"/>
        <v>0</v>
      </c>
      <c r="AY56" s="1494" t="e">
        <f t="shared" ref="AY56:BA56" si="226">SUM(AV56,AE56)</f>
        <v>#VALUE!</v>
      </c>
      <c r="AZ56" s="1497" t="e">
        <f t="shared" si="226"/>
        <v>#VALUE!</v>
      </c>
      <c r="BA56" s="1533" t="e">
        <f t="shared" si="226"/>
        <v>#VALUE!</v>
      </c>
      <c r="BB56" s="1493">
        <f t="shared" si="138"/>
        <v>621311.9</v>
      </c>
      <c r="BC56" s="1504" t="e">
        <f t="shared" si="28"/>
        <v>#VALUE!</v>
      </c>
      <c r="BD56" s="1497" t="str">
        <f>IFERROR(VLOOKUP(G56,'MON2'!MONTENALIM,9,FALSE),"")</f>
        <v/>
      </c>
      <c r="BE56" s="1505" t="str">
        <f>IFERROR(VLOOKUP(G56,'MON2'!MONTEFC,9,FALSE),"")</f>
        <v/>
      </c>
      <c r="BF56" s="1495">
        <f t="shared" si="139"/>
        <v>374775.92</v>
      </c>
      <c r="BG56" s="1497">
        <f t="shared" si="140"/>
        <v>0</v>
      </c>
      <c r="BH56" s="1497">
        <f t="shared" si="141"/>
        <v>915998.31</v>
      </c>
      <c r="BI56" s="1497">
        <f t="shared" si="142"/>
        <v>0</v>
      </c>
      <c r="BJ56" s="1497">
        <f t="shared" si="143"/>
        <v>0</v>
      </c>
    </row>
    <row r="57" spans="1:62" ht="13">
      <c r="A57" s="485" t="str">
        <f t="shared" si="128"/>
        <v>MONTENEGRO</v>
      </c>
      <c r="B57" s="1467">
        <f t="shared" si="129"/>
        <v>112014614</v>
      </c>
      <c r="C57" s="1510">
        <f t="shared" si="130"/>
        <v>1</v>
      </c>
      <c r="D57" s="1511" t="str">
        <f t="shared" si="131"/>
        <v>Lista</v>
      </c>
      <c r="E57" s="1511">
        <f t="shared" si="132"/>
        <v>0.09</v>
      </c>
      <c r="F57" s="1511">
        <f t="shared" si="133"/>
        <v>0</v>
      </c>
      <c r="G57" s="1467" t="s">
        <v>1366</v>
      </c>
      <c r="H57" s="331">
        <f t="shared" si="166"/>
        <v>0</v>
      </c>
      <c r="I57" s="1547">
        <f t="shared" si="167"/>
        <v>0</v>
      </c>
      <c r="J57" s="156">
        <f t="shared" si="6"/>
        <v>150499.86000000002</v>
      </c>
      <c r="K57" s="331">
        <f>IFERROR(VLOOKUP(G57,'MON2'!MONTENALIM,3,FALSE),"")</f>
        <v>210900.53</v>
      </c>
      <c r="L57" s="1513">
        <f>IFERROR(VLOOKUP(G57,'MON2'!MONTEFC,3,FALSE),"")</f>
        <v>361400.39</v>
      </c>
      <c r="M57" s="1514">
        <f t="shared" si="168"/>
        <v>361400.39</v>
      </c>
      <c r="N57" s="234" t="e">
        <f t="shared" si="169"/>
        <v>#DIV/0!</v>
      </c>
      <c r="O57" s="331">
        <f t="shared" si="170"/>
        <v>0</v>
      </c>
      <c r="P57" s="1515">
        <f t="shared" si="171"/>
        <v>0</v>
      </c>
      <c r="Q57" s="1515">
        <f t="shared" si="10"/>
        <v>25216.410000000003</v>
      </c>
      <c r="R57" s="331">
        <f>IFERROR(VLOOKUP(G57,'MON2'!MONTENALIM,4,FALSE),"")</f>
        <v>90857.16</v>
      </c>
      <c r="S57" s="331">
        <f>IFERROR(VLOOKUP(G57,'MON2'!MONTEFC,4,FALSE),"")</f>
        <v>116073.57</v>
      </c>
      <c r="T57" s="331">
        <f t="shared" si="172"/>
        <v>116073.57</v>
      </c>
      <c r="U57" s="234" t="e">
        <f t="shared" si="173"/>
        <v>#DIV/0!</v>
      </c>
      <c r="V57" s="331">
        <f t="shared" si="174"/>
        <v>0</v>
      </c>
      <c r="W57" s="1547">
        <f t="shared" si="175"/>
        <v>0</v>
      </c>
      <c r="X57" s="1516">
        <f t="shared" si="14"/>
        <v>113672.45</v>
      </c>
      <c r="Y57" s="1515">
        <f>IFERROR(VLOOKUP(G57,'MON2'!MONTENALIM,5,FALSE),"")</f>
        <v>0</v>
      </c>
      <c r="Z57" s="1517">
        <f>IFERROR(VLOOKUP(G57,'MON2'!MONTEFC,5,FALSE),"")</f>
        <v>113672.45</v>
      </c>
      <c r="AA57" s="1548"/>
      <c r="AB57" s="1515"/>
      <c r="AC57" s="1518">
        <f t="shared" si="176"/>
        <v>0</v>
      </c>
      <c r="AD57" s="156">
        <f t="shared" si="134"/>
        <v>588636.48</v>
      </c>
      <c r="AE57" s="331">
        <f t="shared" si="17"/>
        <v>289388.72000000003</v>
      </c>
      <c r="AF57" s="331">
        <f t="shared" ref="AF57:AG57" si="227">Y57+R57+K57</f>
        <v>301757.69</v>
      </c>
      <c r="AG57" s="331">
        <f t="shared" si="227"/>
        <v>591146.41</v>
      </c>
      <c r="AH57" s="331">
        <f t="shared" si="19"/>
        <v>2509.9300000000512</v>
      </c>
      <c r="AI57" s="1519">
        <f t="shared" si="20"/>
        <v>1.0042639729022571</v>
      </c>
      <c r="AJ57" s="1520">
        <f t="shared" si="178"/>
        <v>0</v>
      </c>
      <c r="AK57" s="156">
        <f t="shared" si="22"/>
        <v>212726.63999999998</v>
      </c>
      <c r="AL57" s="1514">
        <f>IFERROR(VLOOKUP(G57,'MON2'!MONTENALIM,6,FALSE),"")</f>
        <v>42415.32</v>
      </c>
      <c r="AM57" s="1521">
        <f>IFERROR(VLOOKUP(G57,'MON2'!MONTEFC,6,FALSE),"")</f>
        <v>255141.96</v>
      </c>
      <c r="AN57" s="1520">
        <f t="shared" si="154"/>
        <v>0</v>
      </c>
      <c r="AO57" s="156">
        <f t="shared" si="23"/>
        <v>90791.22</v>
      </c>
      <c r="AP57" s="331">
        <f>IFERROR(VLOOKUP(G57,'MON2'!MONTENALIM,7,FALSE),"")</f>
        <v>50562.01</v>
      </c>
      <c r="AQ57" s="1513">
        <f>IFERROR(VLOOKUP(G57,'MON2'!MONTEFC,7,FALSE),"")</f>
        <v>141353.23000000001</v>
      </c>
      <c r="AR57" s="1514">
        <f t="shared" si="179"/>
        <v>0</v>
      </c>
      <c r="AS57" s="1514">
        <f t="shared" si="24"/>
        <v>157741.07</v>
      </c>
      <c r="AT57" s="1514">
        <f>IFERROR(VLOOKUP(G57,'MON2'!MONTENALIM,8,FALSE),"")</f>
        <v>0</v>
      </c>
      <c r="AU57" s="1520">
        <f>IFERROR(VLOOKUP(G57,'MON2'!MONTEFC,8,FALSE),"")</f>
        <v>157741.07</v>
      </c>
      <c r="AV57" s="1522">
        <f t="shared" ref="AV57:AX57" si="228">SUM(AS57,AO57,AK57)</f>
        <v>461258.93</v>
      </c>
      <c r="AW57" s="331">
        <f t="shared" si="228"/>
        <v>92977.33</v>
      </c>
      <c r="AX57" s="1512">
        <f t="shared" si="228"/>
        <v>554236.26</v>
      </c>
      <c r="AY57" s="156">
        <f t="shared" ref="AY57:BA57" si="229">SUM(AV57,AE57)</f>
        <v>750647.65</v>
      </c>
      <c r="AZ57" s="331">
        <f t="shared" si="229"/>
        <v>394735.02</v>
      </c>
      <c r="BA57" s="1523">
        <f t="shared" si="229"/>
        <v>1145382.67</v>
      </c>
      <c r="BB57" s="1520">
        <f t="shared" si="138"/>
        <v>0</v>
      </c>
      <c r="BC57" s="1524">
        <f t="shared" si="28"/>
        <v>32495.040000000008</v>
      </c>
      <c r="BD57" s="331">
        <f>IFERROR(VLOOKUP(G57,'MON2'!MONTENALIM,9,FALSE),"")</f>
        <v>101124.03</v>
      </c>
      <c r="BE57" s="1525">
        <f>IFERROR(VLOOKUP(G57,'MON2'!MONTEFC,9,FALSE),"")</f>
        <v>133619.07</v>
      </c>
      <c r="BF57" s="1514">
        <f t="shared" si="139"/>
        <v>0</v>
      </c>
      <c r="BG57" s="331">
        <f t="shared" si="140"/>
        <v>0</v>
      </c>
      <c r="BH57" s="331">
        <f t="shared" si="141"/>
        <v>0</v>
      </c>
      <c r="BI57" s="331">
        <f t="shared" si="142"/>
        <v>285542.40999999997</v>
      </c>
      <c r="BJ57" s="331">
        <f t="shared" si="143"/>
        <v>303094.07</v>
      </c>
    </row>
    <row r="58" spans="1:62" ht="13">
      <c r="A58" s="485" t="str">
        <f t="shared" si="128"/>
        <v>MONTENEGRO</v>
      </c>
      <c r="B58" s="1466">
        <f t="shared" si="129"/>
        <v>112013861</v>
      </c>
      <c r="C58" s="1527">
        <f t="shared" si="130"/>
        <v>1</v>
      </c>
      <c r="D58" s="733" t="str">
        <f t="shared" si="131"/>
        <v>Lista</v>
      </c>
      <c r="E58" s="733">
        <f t="shared" si="132"/>
        <v>0.09</v>
      </c>
      <c r="F58" s="733">
        <f t="shared" si="133"/>
        <v>0</v>
      </c>
      <c r="G58" s="1466" t="s">
        <v>1367</v>
      </c>
      <c r="H58" s="1497" t="str">
        <f t="shared" si="166"/>
        <v/>
      </c>
      <c r="I58" s="1486" t="e">
        <f t="shared" si="167"/>
        <v>#VALUE!</v>
      </c>
      <c r="J58" s="1494" t="e">
        <f t="shared" si="6"/>
        <v>#VALUE!</v>
      </c>
      <c r="K58" s="1497" t="str">
        <f>IFERROR(VLOOKUP(G58,'MON2'!MONTENALIM,3,FALSE),"")</f>
        <v/>
      </c>
      <c r="L58" s="1498" t="str">
        <f>IFERROR(VLOOKUP(G58,'MON2'!MONTEFC,3,FALSE),"")</f>
        <v/>
      </c>
      <c r="M58" s="1495" t="e">
        <f t="shared" si="168"/>
        <v>#VALUE!</v>
      </c>
      <c r="N58" s="1529" t="e">
        <f t="shared" si="169"/>
        <v>#VALUE!</v>
      </c>
      <c r="O58" s="1497" t="str">
        <f t="shared" si="170"/>
        <v/>
      </c>
      <c r="P58" s="1485" t="e">
        <f t="shared" si="171"/>
        <v>#VALUE!</v>
      </c>
      <c r="Q58" s="1485" t="e">
        <f t="shared" si="10"/>
        <v>#VALUE!</v>
      </c>
      <c r="R58" s="1497" t="str">
        <f>IFERROR(VLOOKUP(G58,'MON2'!MONTENALIM,4,FALSE),"")</f>
        <v/>
      </c>
      <c r="S58" s="1497" t="str">
        <f>IFERROR(VLOOKUP(G58,'MON2'!MONTEFC,4,FALSE),"")</f>
        <v/>
      </c>
      <c r="T58" s="1497" t="e">
        <f t="shared" si="172"/>
        <v>#VALUE!</v>
      </c>
      <c r="U58" s="1529" t="e">
        <f t="shared" si="173"/>
        <v>#VALUE!</v>
      </c>
      <c r="V58" s="1497" t="str">
        <f t="shared" si="174"/>
        <v/>
      </c>
      <c r="W58" s="1486" t="e">
        <f t="shared" si="175"/>
        <v>#VALUE!</v>
      </c>
      <c r="X58" s="1487" t="e">
        <f t="shared" si="14"/>
        <v>#VALUE!</v>
      </c>
      <c r="Y58" s="1485" t="str">
        <f>IFERROR(VLOOKUP(G58,'MON2'!MONTENALIM,5,FALSE),"")</f>
        <v/>
      </c>
      <c r="Z58" s="1488" t="str">
        <f>IFERROR(VLOOKUP(G58,'MON2'!MONTEFC,5,FALSE),"")</f>
        <v/>
      </c>
      <c r="AA58" s="1489"/>
      <c r="AB58" s="1485"/>
      <c r="AC58" s="1530" t="e">
        <f t="shared" si="176"/>
        <v>#VALUE!</v>
      </c>
      <c r="AD58" s="1494" t="str">
        <f t="shared" si="134"/>
        <v>0</v>
      </c>
      <c r="AE58" s="1497" t="e">
        <f t="shared" si="17"/>
        <v>#VALUE!</v>
      </c>
      <c r="AF58" s="1497" t="e">
        <f t="shared" ref="AF58:AG58" si="230">Y58+R58+K58</f>
        <v>#VALUE!</v>
      </c>
      <c r="AG58" s="1497" t="e">
        <f t="shared" si="230"/>
        <v>#VALUE!</v>
      </c>
      <c r="AH58" s="1497" t="e">
        <f t="shared" si="19"/>
        <v>#VALUE!</v>
      </c>
      <c r="AI58" s="1531" t="str">
        <f t="shared" si="20"/>
        <v/>
      </c>
      <c r="AJ58" s="1493" t="str">
        <f t="shared" si="178"/>
        <v/>
      </c>
      <c r="AK58" s="1494" t="e">
        <f t="shared" si="22"/>
        <v>#VALUE!</v>
      </c>
      <c r="AL58" s="1495" t="str">
        <f>IFERROR(VLOOKUP(G58,'MON2'!MONTENALIM,6,FALSE),"")</f>
        <v/>
      </c>
      <c r="AM58" s="1496" t="str">
        <f>IFERROR(VLOOKUP(G58,'MON2'!MONTEFC,6,FALSE),"")</f>
        <v/>
      </c>
      <c r="AN58" s="1493" t="str">
        <f t="shared" si="154"/>
        <v/>
      </c>
      <c r="AO58" s="1494" t="e">
        <f t="shared" si="23"/>
        <v>#VALUE!</v>
      </c>
      <c r="AP58" s="1497" t="str">
        <f>IFERROR(VLOOKUP(G58,'MON2'!MONTENALIM,7,FALSE),"")</f>
        <v/>
      </c>
      <c r="AQ58" s="1498" t="str">
        <f>IFERROR(VLOOKUP(G58,'MON2'!MONTEFC,7,FALSE),"")</f>
        <v/>
      </c>
      <c r="AR58" s="1495" t="str">
        <f t="shared" si="179"/>
        <v/>
      </c>
      <c r="AS58" s="1495" t="e">
        <f t="shared" si="24"/>
        <v>#VALUE!</v>
      </c>
      <c r="AT58" s="1495" t="str">
        <f>IFERROR(VLOOKUP(G58,'MON2'!MONTENALIM,8,FALSE),"")</f>
        <v/>
      </c>
      <c r="AU58" s="1493" t="str">
        <f>IFERROR(VLOOKUP(G58,'MON2'!MONTEFC,8,FALSE),"")</f>
        <v/>
      </c>
      <c r="AV58" s="1532" t="e">
        <f t="shared" ref="AV58:AX58" si="231">SUM(AS58,AO58,AK58)</f>
        <v>#VALUE!</v>
      </c>
      <c r="AW58" s="1497">
        <f t="shared" si="231"/>
        <v>0</v>
      </c>
      <c r="AX58" s="1528">
        <f t="shared" si="231"/>
        <v>0</v>
      </c>
      <c r="AY58" s="1494" t="e">
        <f t="shared" ref="AY58:BA58" si="232">SUM(AV58,AE58)</f>
        <v>#VALUE!</v>
      </c>
      <c r="AZ58" s="1497" t="e">
        <f t="shared" si="232"/>
        <v>#VALUE!</v>
      </c>
      <c r="BA58" s="1533" t="e">
        <f t="shared" si="232"/>
        <v>#VALUE!</v>
      </c>
      <c r="BB58" s="1493" t="str">
        <f t="shared" si="138"/>
        <v/>
      </c>
      <c r="BC58" s="1504" t="e">
        <f t="shared" si="28"/>
        <v>#VALUE!</v>
      </c>
      <c r="BD58" s="1497" t="str">
        <f>IFERROR(VLOOKUP(G58,'MON2'!MONTENALIM,9,FALSE),"")</f>
        <v/>
      </c>
      <c r="BE58" s="1505" t="str">
        <f>IFERROR(VLOOKUP(G58,'MON2'!MONTEFC,9,FALSE),"")</f>
        <v/>
      </c>
      <c r="BF58" s="1495" t="str">
        <f t="shared" si="139"/>
        <v/>
      </c>
      <c r="BG58" s="1497" t="str">
        <f t="shared" si="140"/>
        <v/>
      </c>
      <c r="BH58" s="1497" t="str">
        <f t="shared" si="141"/>
        <v/>
      </c>
      <c r="BI58" s="1497" t="str">
        <f t="shared" si="142"/>
        <v/>
      </c>
      <c r="BJ58" s="1497" t="str">
        <f t="shared" si="143"/>
        <v/>
      </c>
    </row>
    <row r="59" spans="1:62" ht="13">
      <c r="A59" s="485" t="str">
        <f t="shared" si="128"/>
        <v>MONTENEGRO</v>
      </c>
      <c r="B59" s="1467">
        <f t="shared" si="129"/>
        <v>112012692</v>
      </c>
      <c r="C59" s="1510">
        <f t="shared" si="130"/>
        <v>1</v>
      </c>
      <c r="D59" s="1511" t="str">
        <f t="shared" si="131"/>
        <v>Lista</v>
      </c>
      <c r="E59" s="1511">
        <f t="shared" si="132"/>
        <v>0.09</v>
      </c>
      <c r="F59" s="1511">
        <f t="shared" si="133"/>
        <v>0</v>
      </c>
      <c r="G59" s="1467" t="s">
        <v>1368</v>
      </c>
      <c r="H59" s="331">
        <f t="shared" si="166"/>
        <v>0</v>
      </c>
      <c r="I59" s="1547">
        <f t="shared" si="167"/>
        <v>0</v>
      </c>
      <c r="J59" s="156" t="e">
        <f t="shared" si="6"/>
        <v>#VALUE!</v>
      </c>
      <c r="K59" s="331" t="str">
        <f>IFERROR(VLOOKUP(G59,'MON2'!MONTENALIM,3,FALSE),"")</f>
        <v/>
      </c>
      <c r="L59" s="1513">
        <f>IFERROR(VLOOKUP(G59,'MON2'!MONTEFC,3,FALSE),"")</f>
        <v>524384.88</v>
      </c>
      <c r="M59" s="1514">
        <f t="shared" si="168"/>
        <v>524384.88</v>
      </c>
      <c r="N59" s="234" t="e">
        <f t="shared" si="169"/>
        <v>#DIV/0!</v>
      </c>
      <c r="O59" s="331">
        <f t="shared" si="170"/>
        <v>196336.54</v>
      </c>
      <c r="P59" s="1515">
        <f t="shared" si="171"/>
        <v>355511.48139150004</v>
      </c>
      <c r="Q59" s="1515" t="e">
        <f t="shared" si="10"/>
        <v>#VALUE!</v>
      </c>
      <c r="R59" s="331" t="str">
        <f>IFERROR(VLOOKUP(G59,'MON2'!MONTENALIM,4,FALSE),"")</f>
        <v/>
      </c>
      <c r="S59" s="331">
        <f>IFERROR(VLOOKUP(G59,'MON2'!MONTEFC,4,FALSE),"")</f>
        <v>564506.59</v>
      </c>
      <c r="T59" s="331">
        <f t="shared" si="172"/>
        <v>208995.10860849993</v>
      </c>
      <c r="U59" s="234">
        <f t="shared" si="173"/>
        <v>1.5878716146957521</v>
      </c>
      <c r="V59" s="331">
        <f t="shared" si="174"/>
        <v>276365.52</v>
      </c>
      <c r="W59" s="1547">
        <f t="shared" si="175"/>
        <v>462988.24651800003</v>
      </c>
      <c r="X59" s="1516" t="e">
        <f t="shared" si="14"/>
        <v>#VALUE!</v>
      </c>
      <c r="Y59" s="1515" t="str">
        <f>IFERROR(VLOOKUP(G59,'MON2'!MONTENALIM,5,FALSE),"")</f>
        <v/>
      </c>
      <c r="Z59" s="1517">
        <f>IFERROR(VLOOKUP(G59,'MON2'!MONTEFC,5,FALSE),"")</f>
        <v>576563.43000000005</v>
      </c>
      <c r="AA59" s="1548"/>
      <c r="AB59" s="1515"/>
      <c r="AC59" s="1518">
        <f t="shared" si="176"/>
        <v>818499.72790950001</v>
      </c>
      <c r="AD59" s="156">
        <f t="shared" si="134"/>
        <v>303411.18</v>
      </c>
      <c r="AE59" s="331" t="e">
        <f t="shared" si="17"/>
        <v>#VALUE!</v>
      </c>
      <c r="AF59" s="331" t="e">
        <f t="shared" ref="AF59:AG59" si="233">Y59+R59+K59</f>
        <v>#VALUE!</v>
      </c>
      <c r="AG59" s="331">
        <f t="shared" si="233"/>
        <v>1665454.9</v>
      </c>
      <c r="AH59" s="331">
        <f t="shared" si="19"/>
        <v>1362043.72</v>
      </c>
      <c r="AI59" s="1519">
        <f t="shared" si="20"/>
        <v>5.4891019506927856</v>
      </c>
      <c r="AJ59" s="1520">
        <f t="shared" si="178"/>
        <v>214402.98</v>
      </c>
      <c r="AK59" s="156" t="e">
        <f t="shared" si="22"/>
        <v>#VALUE!</v>
      </c>
      <c r="AL59" s="1514" t="str">
        <f>IFERROR(VLOOKUP(G59,'MON2'!MONTENALIM,6,FALSE),"")</f>
        <v/>
      </c>
      <c r="AM59" s="1521">
        <f>IFERROR(VLOOKUP(G59,'MON2'!MONTEFC,6,FALSE),"")</f>
        <v>681235.22</v>
      </c>
      <c r="AN59" s="1520">
        <f t="shared" si="154"/>
        <v>0</v>
      </c>
      <c r="AO59" s="156" t="e">
        <f t="shared" si="23"/>
        <v>#VALUE!</v>
      </c>
      <c r="AP59" s="331" t="str">
        <f>IFERROR(VLOOKUP(G59,'MON2'!MONTENALIM,7,FALSE),"")</f>
        <v/>
      </c>
      <c r="AQ59" s="1513">
        <f>IFERROR(VLOOKUP(G59,'MON2'!MONTEFC,7,FALSE),"")</f>
        <v>353906.19</v>
      </c>
      <c r="AR59" s="1514">
        <f t="shared" si="179"/>
        <v>280791.90000000002</v>
      </c>
      <c r="AS59" s="1514" t="e">
        <f t="shared" si="24"/>
        <v>#VALUE!</v>
      </c>
      <c r="AT59" s="1514" t="str">
        <f>IFERROR(VLOOKUP(G59,'MON2'!MONTENALIM,8,FALSE),"")</f>
        <v/>
      </c>
      <c r="AU59" s="1520">
        <f>IFERROR(VLOOKUP(G59,'MON2'!MONTEFC,8,FALSE),"")</f>
        <v>601134.68000000005</v>
      </c>
      <c r="AV59" s="1522" t="e">
        <f t="shared" ref="AV59:AX59" si="234">SUM(AS59,AO59,AK59)</f>
        <v>#VALUE!</v>
      </c>
      <c r="AW59" s="331">
        <f t="shared" si="234"/>
        <v>0</v>
      </c>
      <c r="AX59" s="1512">
        <f t="shared" si="234"/>
        <v>1636276.09</v>
      </c>
      <c r="AY59" s="156" t="e">
        <f t="shared" ref="AY59:BA59" si="235">SUM(AV59,AE59)</f>
        <v>#VALUE!</v>
      </c>
      <c r="AZ59" s="331" t="e">
        <f t="shared" si="235"/>
        <v>#VALUE!</v>
      </c>
      <c r="BA59" s="1523">
        <f t="shared" si="235"/>
        <v>3301730.99</v>
      </c>
      <c r="BB59" s="1520">
        <f t="shared" si="138"/>
        <v>198005.56</v>
      </c>
      <c r="BC59" s="1524" t="e">
        <f t="shared" si="28"/>
        <v>#VALUE!</v>
      </c>
      <c r="BD59" s="331" t="str">
        <f>IFERROR(VLOOKUP(G59,'MON2'!MONTENALIM,9,FALSE),"")</f>
        <v/>
      </c>
      <c r="BE59" s="1525">
        <f>IFERROR(VLOOKUP(G59,'MON2'!MONTEFC,9,FALSE),"")</f>
        <v>295574.49</v>
      </c>
      <c r="BF59" s="1514">
        <f t="shared" si="139"/>
        <v>111902.92</v>
      </c>
      <c r="BG59" s="331">
        <f t="shared" si="140"/>
        <v>138529.43</v>
      </c>
      <c r="BH59" s="331">
        <f t="shared" si="141"/>
        <v>60951.41</v>
      </c>
      <c r="BI59" s="331">
        <f t="shared" si="142"/>
        <v>242459.77</v>
      </c>
      <c r="BJ59" s="331">
        <f t="shared" si="143"/>
        <v>0</v>
      </c>
    </row>
    <row r="60" spans="1:62" ht="13">
      <c r="A60" s="485" t="str">
        <f t="shared" si="128"/>
        <v>MONTENEGRO</v>
      </c>
      <c r="B60" s="1466">
        <f t="shared" si="129"/>
        <v>112012782</v>
      </c>
      <c r="C60" s="1527">
        <f t="shared" si="130"/>
        <v>1</v>
      </c>
      <c r="D60" s="733" t="str">
        <f t="shared" si="131"/>
        <v>Lista</v>
      </c>
      <c r="E60" s="733">
        <f t="shared" si="132"/>
        <v>0.09</v>
      </c>
      <c r="F60" s="733">
        <f t="shared" si="133"/>
        <v>0</v>
      </c>
      <c r="G60" s="1466" t="s">
        <v>1369</v>
      </c>
      <c r="H60" s="1497">
        <f t="shared" si="166"/>
        <v>304214.40000000002</v>
      </c>
      <c r="I60" s="1486">
        <f t="shared" si="167"/>
        <v>511399.61712000007</v>
      </c>
      <c r="J60" s="1494" t="e">
        <f t="shared" si="6"/>
        <v>#VALUE!</v>
      </c>
      <c r="K60" s="1497" t="str">
        <f>IFERROR(VLOOKUP(G60,'MON2'!MONTENALIM,3,FALSE),"")</f>
        <v/>
      </c>
      <c r="L60" s="1498">
        <f>IFERROR(VLOOKUP(G60,'MON2'!MONTEFC,3,FALSE),"")</f>
        <v>143431.94</v>
      </c>
      <c r="M60" s="1495">
        <f t="shared" si="168"/>
        <v>-367967.67712000007</v>
      </c>
      <c r="N60" s="1529">
        <f t="shared" si="169"/>
        <v>0.28046939262049481</v>
      </c>
      <c r="O60" s="1497">
        <f t="shared" si="170"/>
        <v>154373.65</v>
      </c>
      <c r="P60" s="1485">
        <f t="shared" si="171"/>
        <v>279528.22739625</v>
      </c>
      <c r="Q60" s="1485" t="e">
        <f t="shared" si="10"/>
        <v>#VALUE!</v>
      </c>
      <c r="R60" s="1497" t="str">
        <f>IFERROR(VLOOKUP(G60,'MON2'!MONTENALIM,4,FALSE),"")</f>
        <v/>
      </c>
      <c r="S60" s="1497">
        <f>IFERROR(VLOOKUP(G60,'MON2'!MONTEFC,4,FALSE),"")</f>
        <v>150998.65</v>
      </c>
      <c r="T60" s="1497">
        <f t="shared" si="172"/>
        <v>-128529.57739625001</v>
      </c>
      <c r="U60" s="1529">
        <f t="shared" si="173"/>
        <v>0.54019106194219624</v>
      </c>
      <c r="V60" s="1497">
        <f t="shared" si="174"/>
        <v>0</v>
      </c>
      <c r="W60" s="1486">
        <f t="shared" si="175"/>
        <v>0</v>
      </c>
      <c r="X60" s="1487" t="e">
        <f t="shared" si="14"/>
        <v>#VALUE!</v>
      </c>
      <c r="Y60" s="1485" t="str">
        <f>IFERROR(VLOOKUP(G60,'MON2'!MONTENALIM,5,FALSE),"")</f>
        <v/>
      </c>
      <c r="Z60" s="1488">
        <f>IFERROR(VLOOKUP(G60,'MON2'!MONTEFC,5,FALSE),"")</f>
        <v>461507.12</v>
      </c>
      <c r="AA60" s="1489"/>
      <c r="AB60" s="1485"/>
      <c r="AC60" s="1530">
        <f t="shared" si="176"/>
        <v>790927.84451625007</v>
      </c>
      <c r="AD60" s="1494">
        <f t="shared" si="134"/>
        <v>345624.32000000001</v>
      </c>
      <c r="AE60" s="1497" t="e">
        <f t="shared" si="17"/>
        <v>#VALUE!</v>
      </c>
      <c r="AF60" s="1497" t="e">
        <f t="shared" ref="AF60:AG60" si="236">Y60+R60+K60</f>
        <v>#VALUE!</v>
      </c>
      <c r="AG60" s="1497">
        <f t="shared" si="236"/>
        <v>755937.71</v>
      </c>
      <c r="AH60" s="1497">
        <f t="shared" si="19"/>
        <v>410313.38999999996</v>
      </c>
      <c r="AI60" s="1531">
        <f t="shared" si="20"/>
        <v>2.1871658510604806</v>
      </c>
      <c r="AJ60" s="1493">
        <f t="shared" si="178"/>
        <v>0</v>
      </c>
      <c r="AK60" s="1494" t="e">
        <f t="shared" si="22"/>
        <v>#VALUE!</v>
      </c>
      <c r="AL60" s="1495" t="str">
        <f>IFERROR(VLOOKUP(G60,'MON2'!MONTENALIM,6,FALSE),"")</f>
        <v/>
      </c>
      <c r="AM60" s="1496">
        <f>IFERROR(VLOOKUP(G60,'MON2'!MONTEFC,6,FALSE),"")</f>
        <v>0</v>
      </c>
      <c r="AN60" s="1493">
        <f t="shared" si="154"/>
        <v>150705.35</v>
      </c>
      <c r="AO60" s="1494" t="e">
        <f t="shared" si="23"/>
        <v>#VALUE!</v>
      </c>
      <c r="AP60" s="1497" t="str">
        <f>IFERROR(VLOOKUP(G60,'MON2'!MONTENALIM,7,FALSE),"")</f>
        <v/>
      </c>
      <c r="AQ60" s="1498">
        <f>IFERROR(VLOOKUP(G60,'MON2'!MONTEFC,7,FALSE),"")</f>
        <v>0</v>
      </c>
      <c r="AR60" s="1495">
        <f t="shared" si="179"/>
        <v>0</v>
      </c>
      <c r="AS60" s="1495" t="e">
        <f t="shared" si="24"/>
        <v>#VALUE!</v>
      </c>
      <c r="AT60" s="1495" t="str">
        <f>IFERROR(VLOOKUP(G60,'MON2'!MONTENALIM,8,FALSE),"")</f>
        <v/>
      </c>
      <c r="AU60" s="1493">
        <f>IFERROR(VLOOKUP(G60,'MON2'!MONTEFC,8,FALSE),"")</f>
        <v>0</v>
      </c>
      <c r="AV60" s="1532" t="e">
        <f t="shared" ref="AV60:AX60" si="237">SUM(AS60,AO60,AK60)</f>
        <v>#VALUE!</v>
      </c>
      <c r="AW60" s="1497">
        <f t="shared" si="237"/>
        <v>0</v>
      </c>
      <c r="AX60" s="1528">
        <f t="shared" si="237"/>
        <v>0</v>
      </c>
      <c r="AY60" s="1494" t="e">
        <f t="shared" ref="AY60:BA60" si="238">SUM(AV60,AE60)</f>
        <v>#VALUE!</v>
      </c>
      <c r="AZ60" s="1497" t="e">
        <f t="shared" si="238"/>
        <v>#VALUE!</v>
      </c>
      <c r="BA60" s="1533">
        <f t="shared" si="238"/>
        <v>755937.71</v>
      </c>
      <c r="BB60" s="1493">
        <f t="shared" si="138"/>
        <v>0</v>
      </c>
      <c r="BC60" s="1504" t="e">
        <f t="shared" si="28"/>
        <v>#VALUE!</v>
      </c>
      <c r="BD60" s="1497" t="str">
        <f>IFERROR(VLOOKUP(G60,'MON2'!MONTENALIM,9,FALSE),"")</f>
        <v/>
      </c>
      <c r="BE60" s="1505">
        <f>IFERROR(VLOOKUP(G60,'MON2'!MONTEFC,9,FALSE),"")</f>
        <v>0</v>
      </c>
      <c r="BF60" s="1495">
        <f t="shared" si="139"/>
        <v>170744.81</v>
      </c>
      <c r="BG60" s="1497">
        <f t="shared" si="140"/>
        <v>0</v>
      </c>
      <c r="BH60" s="1497">
        <f t="shared" si="141"/>
        <v>0</v>
      </c>
      <c r="BI60" s="1497">
        <f t="shared" si="142"/>
        <v>106452.08</v>
      </c>
      <c r="BJ60" s="1497">
        <f t="shared" si="143"/>
        <v>239172.24</v>
      </c>
    </row>
    <row r="61" spans="1:62" ht="13">
      <c r="A61" s="485" t="str">
        <f t="shared" si="128"/>
        <v>MONTENEGRO</v>
      </c>
      <c r="B61" s="1467">
        <f t="shared" si="129"/>
        <v>112011834</v>
      </c>
      <c r="C61" s="1510">
        <f t="shared" si="130"/>
        <v>1</v>
      </c>
      <c r="D61" s="1511" t="str">
        <f t="shared" si="131"/>
        <v>Lista</v>
      </c>
      <c r="E61" s="1511">
        <f t="shared" si="132"/>
        <v>0.09</v>
      </c>
      <c r="F61" s="1511">
        <f t="shared" si="133"/>
        <v>0</v>
      </c>
      <c r="G61" s="1467" t="s">
        <v>1370</v>
      </c>
      <c r="H61" s="331">
        <f t="shared" si="166"/>
        <v>260987.61</v>
      </c>
      <c r="I61" s="1547">
        <f t="shared" si="167"/>
        <v>438733.22179049999</v>
      </c>
      <c r="J61" s="156">
        <f t="shared" si="6"/>
        <v>445163.66000000003</v>
      </c>
      <c r="K61" s="331">
        <f>IFERROR(VLOOKUP(G61,'MON2'!MONTENALIM,3,FALSE),"")</f>
        <v>6388.42</v>
      </c>
      <c r="L61" s="1513">
        <f>IFERROR(VLOOKUP(G61,'MON2'!MONTEFC,3,FALSE),"")</f>
        <v>451552.08</v>
      </c>
      <c r="M61" s="1514">
        <f t="shared" si="168"/>
        <v>12818.858209500031</v>
      </c>
      <c r="N61" s="234">
        <f t="shared" si="169"/>
        <v>1.029217888167177</v>
      </c>
      <c r="O61" s="331">
        <f t="shared" si="170"/>
        <v>423356.85</v>
      </c>
      <c r="P61" s="1515">
        <f t="shared" si="171"/>
        <v>766582.83221625001</v>
      </c>
      <c r="Q61" s="1515">
        <f t="shared" si="10"/>
        <v>556954.40999999992</v>
      </c>
      <c r="R61" s="331">
        <f>IFERROR(VLOOKUP(G61,'MON2'!MONTENALIM,4,FALSE),"")</f>
        <v>15971.05</v>
      </c>
      <c r="S61" s="331">
        <f>IFERROR(VLOOKUP(G61,'MON2'!MONTEFC,4,FALSE),"")</f>
        <v>572925.46</v>
      </c>
      <c r="T61" s="331">
        <f t="shared" si="172"/>
        <v>-193657.37221625005</v>
      </c>
      <c r="U61" s="234">
        <f t="shared" si="173"/>
        <v>0.74737580326920228</v>
      </c>
      <c r="V61" s="331">
        <f t="shared" si="174"/>
        <v>385392.66</v>
      </c>
      <c r="W61" s="1547">
        <f t="shared" si="175"/>
        <v>645638.68848149991</v>
      </c>
      <c r="X61" s="1516">
        <f t="shared" si="14"/>
        <v>334942.39</v>
      </c>
      <c r="Y61" s="1515">
        <f>IFERROR(VLOOKUP(G61,'MON2'!MONTENALIM,5,FALSE),"")</f>
        <v>25553.68</v>
      </c>
      <c r="Z61" s="1517">
        <f>IFERROR(VLOOKUP(G61,'MON2'!MONTEFC,5,FALSE),"")</f>
        <v>360496.07</v>
      </c>
      <c r="AA61" s="1548"/>
      <c r="AB61" s="1515"/>
      <c r="AC61" s="1518">
        <f t="shared" si="176"/>
        <v>1850954.7424882499</v>
      </c>
      <c r="AD61" s="156">
        <f t="shared" si="134"/>
        <v>814588.5</v>
      </c>
      <c r="AE61" s="331">
        <f t="shared" si="17"/>
        <v>1337060.4600000002</v>
      </c>
      <c r="AF61" s="331">
        <f t="shared" ref="AF61:AG61" si="239">Y61+R61+K61</f>
        <v>47913.149999999994</v>
      </c>
      <c r="AG61" s="331">
        <f t="shared" si="239"/>
        <v>1384973.61</v>
      </c>
      <c r="AH61" s="331">
        <f t="shared" si="19"/>
        <v>570385.1100000001</v>
      </c>
      <c r="AI61" s="1519">
        <f t="shared" si="20"/>
        <v>1.7002125735877687</v>
      </c>
      <c r="AJ61" s="1520">
        <f t="shared" si="178"/>
        <v>108704.59</v>
      </c>
      <c r="AK61" s="156">
        <f t="shared" si="22"/>
        <v>159412.78</v>
      </c>
      <c r="AL61" s="1514">
        <f>IFERROR(VLOOKUP(G61,'MON2'!MONTENALIM,6,FALSE),"")</f>
        <v>0</v>
      </c>
      <c r="AM61" s="1521">
        <f>IFERROR(VLOOKUP(G61,'MON2'!MONTEFC,6,FALSE),"")</f>
        <v>159412.78</v>
      </c>
      <c r="AN61" s="1520">
        <f t="shared" si="154"/>
        <v>123085.33</v>
      </c>
      <c r="AO61" s="156">
        <f t="shared" si="23"/>
        <v>0</v>
      </c>
      <c r="AP61" s="331">
        <f>IFERROR(VLOOKUP(G61,'MON2'!MONTENALIM,7,FALSE),"")</f>
        <v>0</v>
      </c>
      <c r="AQ61" s="1513">
        <f>IFERROR(VLOOKUP(G61,'MON2'!MONTEFC,7,FALSE),"")</f>
        <v>0</v>
      </c>
      <c r="AR61" s="1514">
        <f t="shared" si="179"/>
        <v>164416.68</v>
      </c>
      <c r="AS61" s="1514">
        <f t="shared" si="24"/>
        <v>247758.6</v>
      </c>
      <c r="AT61" s="1514">
        <f>IFERROR(VLOOKUP(G61,'MON2'!MONTENALIM,8,FALSE),"")</f>
        <v>0</v>
      </c>
      <c r="AU61" s="1520">
        <f>IFERROR(VLOOKUP(G61,'MON2'!MONTEFC,8,FALSE),"")</f>
        <v>247758.6</v>
      </c>
      <c r="AV61" s="1522">
        <f t="shared" ref="AV61:AX61" si="240">SUM(AS61,AO61,AK61)</f>
        <v>407171.38</v>
      </c>
      <c r="AW61" s="331">
        <f t="shared" si="240"/>
        <v>0</v>
      </c>
      <c r="AX61" s="1512">
        <f t="shared" si="240"/>
        <v>407171.38</v>
      </c>
      <c r="AY61" s="156">
        <f t="shared" ref="AY61:BA61" si="241">SUM(AV61,AE61)</f>
        <v>1744231.8400000003</v>
      </c>
      <c r="AZ61" s="331">
        <f t="shared" si="241"/>
        <v>47913.149999999994</v>
      </c>
      <c r="BA61" s="1523">
        <f t="shared" si="241"/>
        <v>1792144.9900000002</v>
      </c>
      <c r="BB61" s="1520">
        <f t="shared" si="138"/>
        <v>264574.7</v>
      </c>
      <c r="BC61" s="1524">
        <f t="shared" si="28"/>
        <v>181415.1</v>
      </c>
      <c r="BD61" s="331">
        <f>IFERROR(VLOOKUP(G61,'MON2'!MONTENALIM,9,FALSE),"")</f>
        <v>0</v>
      </c>
      <c r="BE61" s="1525">
        <f>IFERROR(VLOOKUP(G61,'MON2'!MONTEFC,9,FALSE),"")</f>
        <v>181415.1</v>
      </c>
      <c r="BF61" s="1514">
        <f t="shared" si="139"/>
        <v>0</v>
      </c>
      <c r="BG61" s="331">
        <f t="shared" si="140"/>
        <v>163579.04999999999</v>
      </c>
      <c r="BH61" s="331">
        <f t="shared" si="141"/>
        <v>345219.37</v>
      </c>
      <c r="BI61" s="331">
        <f t="shared" si="142"/>
        <v>282553.12</v>
      </c>
      <c r="BJ61" s="331">
        <f t="shared" si="143"/>
        <v>186816.01</v>
      </c>
    </row>
    <row r="62" spans="1:62" ht="13">
      <c r="A62" s="485" t="str">
        <f t="shared" si="128"/>
        <v>MONTENEGRO</v>
      </c>
      <c r="B62" s="1466">
        <f t="shared" si="129"/>
        <v>112013577</v>
      </c>
      <c r="C62" s="1527">
        <f t="shared" si="130"/>
        <v>1</v>
      </c>
      <c r="D62" s="733" t="str">
        <f t="shared" si="131"/>
        <v>Lista</v>
      </c>
      <c r="E62" s="733">
        <f t="shared" si="132"/>
        <v>0.09</v>
      </c>
      <c r="F62" s="733">
        <f t="shared" si="133"/>
        <v>0</v>
      </c>
      <c r="G62" s="1466" t="s">
        <v>1371</v>
      </c>
      <c r="H62" s="1497">
        <f t="shared" si="166"/>
        <v>0</v>
      </c>
      <c r="I62" s="1486">
        <f t="shared" si="167"/>
        <v>0</v>
      </c>
      <c r="J62" s="1494" t="e">
        <f t="shared" si="6"/>
        <v>#VALUE!</v>
      </c>
      <c r="K62" s="1497" t="str">
        <f>IFERROR(VLOOKUP(G62,'MON2'!MONTENALIM,3,FALSE),"")</f>
        <v/>
      </c>
      <c r="L62" s="1498">
        <f>IFERROR(VLOOKUP(G62,'MON2'!MONTEFC,3,FALSE),"")</f>
        <v>0</v>
      </c>
      <c r="M62" s="1495">
        <f t="shared" si="168"/>
        <v>0</v>
      </c>
      <c r="N62" s="1529" t="e">
        <f t="shared" si="169"/>
        <v>#DIV/0!</v>
      </c>
      <c r="O62" s="1497">
        <f t="shared" si="170"/>
        <v>0</v>
      </c>
      <c r="P62" s="1485">
        <f t="shared" si="171"/>
        <v>0</v>
      </c>
      <c r="Q62" s="1485" t="e">
        <f t="shared" si="10"/>
        <v>#VALUE!</v>
      </c>
      <c r="R62" s="1497" t="str">
        <f>IFERROR(VLOOKUP(G62,'MON2'!MONTENALIM,4,FALSE),"")</f>
        <v/>
      </c>
      <c r="S62" s="1497">
        <f>IFERROR(VLOOKUP(G62,'MON2'!MONTEFC,4,FALSE),"")</f>
        <v>0</v>
      </c>
      <c r="T62" s="1497">
        <f t="shared" si="172"/>
        <v>0</v>
      </c>
      <c r="U62" s="1529" t="e">
        <f t="shared" si="173"/>
        <v>#DIV/0!</v>
      </c>
      <c r="V62" s="1497">
        <f t="shared" si="174"/>
        <v>0</v>
      </c>
      <c r="W62" s="1486">
        <f t="shared" si="175"/>
        <v>0</v>
      </c>
      <c r="X62" s="1487" t="e">
        <f t="shared" si="14"/>
        <v>#VALUE!</v>
      </c>
      <c r="Y62" s="1485" t="str">
        <f>IFERROR(VLOOKUP(G62,'MON2'!MONTENALIM,5,FALSE),"")</f>
        <v/>
      </c>
      <c r="Z62" s="1488">
        <f>IFERROR(VLOOKUP(G62,'MON2'!MONTEFC,5,FALSE),"")</f>
        <v>0</v>
      </c>
      <c r="AA62" s="1489"/>
      <c r="AB62" s="1485"/>
      <c r="AC62" s="1530">
        <f t="shared" si="176"/>
        <v>0</v>
      </c>
      <c r="AD62" s="1494" t="str">
        <f t="shared" si="134"/>
        <v>0</v>
      </c>
      <c r="AE62" s="1497" t="e">
        <f t="shared" si="17"/>
        <v>#VALUE!</v>
      </c>
      <c r="AF62" s="1497" t="e">
        <f t="shared" ref="AF62:AG62" si="242">Y62+R62+K62</f>
        <v>#VALUE!</v>
      </c>
      <c r="AG62" s="1497">
        <f t="shared" si="242"/>
        <v>0</v>
      </c>
      <c r="AH62" s="1497">
        <f t="shared" si="19"/>
        <v>0</v>
      </c>
      <c r="AI62" s="1531" t="str">
        <f t="shared" si="20"/>
        <v/>
      </c>
      <c r="AJ62" s="1493">
        <f t="shared" si="178"/>
        <v>0</v>
      </c>
      <c r="AK62" s="1494" t="e">
        <f t="shared" si="22"/>
        <v>#VALUE!</v>
      </c>
      <c r="AL62" s="1495" t="str">
        <f>IFERROR(VLOOKUP(G62,'MON2'!MONTENALIM,6,FALSE),"")</f>
        <v/>
      </c>
      <c r="AM62" s="1496">
        <f>IFERROR(VLOOKUP(G62,'MON2'!MONTEFC,6,FALSE),"")</f>
        <v>0</v>
      </c>
      <c r="AN62" s="1493">
        <f t="shared" si="154"/>
        <v>0</v>
      </c>
      <c r="AO62" s="1494" t="e">
        <f t="shared" si="23"/>
        <v>#VALUE!</v>
      </c>
      <c r="AP62" s="1497" t="str">
        <f>IFERROR(VLOOKUP(G62,'MON2'!MONTENALIM,7,FALSE),"")</f>
        <v/>
      </c>
      <c r="AQ62" s="1498">
        <f>IFERROR(VLOOKUP(G62,'MON2'!MONTEFC,7,FALSE),"")</f>
        <v>0</v>
      </c>
      <c r="AR62" s="1495">
        <f t="shared" si="179"/>
        <v>301359.53000000003</v>
      </c>
      <c r="AS62" s="1495" t="e">
        <f t="shared" si="24"/>
        <v>#VALUE!</v>
      </c>
      <c r="AT62" s="1495" t="str">
        <f>IFERROR(VLOOKUP(G62,'MON2'!MONTENALIM,8,FALSE),"")</f>
        <v/>
      </c>
      <c r="AU62" s="1493">
        <f>IFERROR(VLOOKUP(G62,'MON2'!MONTEFC,8,FALSE),"")</f>
        <v>428076</v>
      </c>
      <c r="AV62" s="1532" t="e">
        <f t="shared" ref="AV62:AX62" si="243">SUM(AS62,AO62,AK62)</f>
        <v>#VALUE!</v>
      </c>
      <c r="AW62" s="1497">
        <f t="shared" si="243"/>
        <v>0</v>
      </c>
      <c r="AX62" s="1528">
        <f t="shared" si="243"/>
        <v>428076</v>
      </c>
      <c r="AY62" s="1494" t="e">
        <f t="shared" ref="AY62:BA62" si="244">SUM(AV62,AE62)</f>
        <v>#VALUE!</v>
      </c>
      <c r="AZ62" s="1497" t="e">
        <f t="shared" si="244"/>
        <v>#VALUE!</v>
      </c>
      <c r="BA62" s="1533">
        <f t="shared" si="244"/>
        <v>428076</v>
      </c>
      <c r="BB62" s="1493">
        <f t="shared" si="138"/>
        <v>0</v>
      </c>
      <c r="BC62" s="1504" t="e">
        <f t="shared" si="28"/>
        <v>#VALUE!</v>
      </c>
      <c r="BD62" s="1497" t="str">
        <f>IFERROR(VLOOKUP(G62,'MON2'!MONTENALIM,9,FALSE),"")</f>
        <v/>
      </c>
      <c r="BE62" s="1505">
        <f>IFERROR(VLOOKUP(G62,'MON2'!MONTEFC,9,FALSE),"")</f>
        <v>0</v>
      </c>
      <c r="BF62" s="1495">
        <f t="shared" si="139"/>
        <v>0</v>
      </c>
      <c r="BG62" s="1497">
        <f t="shared" si="140"/>
        <v>0</v>
      </c>
      <c r="BH62" s="1497">
        <f t="shared" si="141"/>
        <v>0</v>
      </c>
      <c r="BI62" s="1497">
        <f t="shared" si="142"/>
        <v>0</v>
      </c>
      <c r="BJ62" s="1497">
        <f t="shared" si="143"/>
        <v>0</v>
      </c>
    </row>
    <row r="63" spans="1:62" ht="13">
      <c r="A63" s="485" t="str">
        <f t="shared" si="128"/>
        <v>MONTENEGRO</v>
      </c>
      <c r="B63" s="1467">
        <f t="shared" si="129"/>
        <v>112014417</v>
      </c>
      <c r="C63" s="1510">
        <f t="shared" si="130"/>
        <v>1</v>
      </c>
      <c r="D63" s="1511" t="str">
        <f t="shared" si="131"/>
        <v>Lista</v>
      </c>
      <c r="E63" s="1511">
        <f t="shared" si="132"/>
        <v>0.09</v>
      </c>
      <c r="F63" s="1511">
        <f t="shared" si="133"/>
        <v>0</v>
      </c>
      <c r="G63" s="1467" t="s">
        <v>1372</v>
      </c>
      <c r="H63" s="331">
        <f t="shared" si="166"/>
        <v>0</v>
      </c>
      <c r="I63" s="1547">
        <f t="shared" si="167"/>
        <v>0</v>
      </c>
      <c r="J63" s="156" t="e">
        <f t="shared" si="6"/>
        <v>#VALUE!</v>
      </c>
      <c r="K63" s="331" t="str">
        <f>IFERROR(VLOOKUP(G63,'MON2'!MONTENALIM,3,FALSE),"")</f>
        <v/>
      </c>
      <c r="L63" s="1513">
        <f>IFERROR(VLOOKUP(G63,'MON2'!MONTEFC,3,FALSE),"")</f>
        <v>0</v>
      </c>
      <c r="M63" s="1514">
        <f t="shared" si="168"/>
        <v>0</v>
      </c>
      <c r="N63" s="234" t="e">
        <f t="shared" si="169"/>
        <v>#DIV/0!</v>
      </c>
      <c r="O63" s="331">
        <f t="shared" si="170"/>
        <v>0</v>
      </c>
      <c r="P63" s="1515">
        <f t="shared" si="171"/>
        <v>0</v>
      </c>
      <c r="Q63" s="1515" t="e">
        <f t="shared" si="10"/>
        <v>#VALUE!</v>
      </c>
      <c r="R63" s="331" t="str">
        <f>IFERROR(VLOOKUP(G63,'MON2'!MONTENALIM,4,FALSE),"")</f>
        <v/>
      </c>
      <c r="S63" s="331">
        <f>IFERROR(VLOOKUP(G63,'MON2'!MONTEFC,4,FALSE),"")</f>
        <v>0</v>
      </c>
      <c r="T63" s="331">
        <f t="shared" si="172"/>
        <v>0</v>
      </c>
      <c r="U63" s="234" t="e">
        <f t="shared" si="173"/>
        <v>#DIV/0!</v>
      </c>
      <c r="V63" s="331">
        <f t="shared" si="174"/>
        <v>0</v>
      </c>
      <c r="W63" s="1547">
        <f t="shared" si="175"/>
        <v>0</v>
      </c>
      <c r="X63" s="1516" t="e">
        <f t="shared" si="14"/>
        <v>#VALUE!</v>
      </c>
      <c r="Y63" s="1515" t="str">
        <f>IFERROR(VLOOKUP(G63,'MON2'!MONTENALIM,5,FALSE),"")</f>
        <v/>
      </c>
      <c r="Z63" s="1517">
        <f>IFERROR(VLOOKUP(G63,'MON2'!MONTEFC,5,FALSE),"")</f>
        <v>0</v>
      </c>
      <c r="AA63" s="1548"/>
      <c r="AB63" s="1515"/>
      <c r="AC63" s="1518">
        <f t="shared" si="176"/>
        <v>0</v>
      </c>
      <c r="AD63" s="156">
        <f t="shared" si="134"/>
        <v>295149.19</v>
      </c>
      <c r="AE63" s="331" t="e">
        <f t="shared" si="17"/>
        <v>#VALUE!</v>
      </c>
      <c r="AF63" s="331" t="e">
        <f t="shared" ref="AF63:AG63" si="245">Y63+R63+K63</f>
        <v>#VALUE!</v>
      </c>
      <c r="AG63" s="331">
        <f t="shared" si="245"/>
        <v>0</v>
      </c>
      <c r="AH63" s="331">
        <f t="shared" si="19"/>
        <v>-295149.19</v>
      </c>
      <c r="AI63" s="1519">
        <f t="shared" si="20"/>
        <v>0</v>
      </c>
      <c r="AJ63" s="1520">
        <f t="shared" si="178"/>
        <v>0</v>
      </c>
      <c r="AK63" s="156" t="e">
        <f t="shared" si="22"/>
        <v>#VALUE!</v>
      </c>
      <c r="AL63" s="1514" t="str">
        <f>IFERROR(VLOOKUP(G63,'MON2'!MONTENALIM,6,FALSE),"")</f>
        <v/>
      </c>
      <c r="AM63" s="1521">
        <f>IFERROR(VLOOKUP(G63,'MON2'!MONTEFC,6,FALSE),"")</f>
        <v>80693.81</v>
      </c>
      <c r="AN63" s="1520">
        <f t="shared" si="154"/>
        <v>0</v>
      </c>
      <c r="AO63" s="156" t="e">
        <f t="shared" si="23"/>
        <v>#VALUE!</v>
      </c>
      <c r="AP63" s="331" t="str">
        <f>IFERROR(VLOOKUP(G63,'MON2'!MONTENALIM,7,FALSE),"")</f>
        <v/>
      </c>
      <c r="AQ63" s="1513">
        <f>IFERROR(VLOOKUP(G63,'MON2'!MONTEFC,7,FALSE),"")</f>
        <v>0</v>
      </c>
      <c r="AR63" s="1514">
        <f t="shared" si="179"/>
        <v>0</v>
      </c>
      <c r="AS63" s="1514" t="e">
        <f t="shared" si="24"/>
        <v>#VALUE!</v>
      </c>
      <c r="AT63" s="1514" t="str">
        <f>IFERROR(VLOOKUP(G63,'MON2'!MONTENALIM,8,FALSE),"")</f>
        <v/>
      </c>
      <c r="AU63" s="1520">
        <f>IFERROR(VLOOKUP(G63,'MON2'!MONTEFC,8,FALSE),"")</f>
        <v>0</v>
      </c>
      <c r="AV63" s="1522" t="e">
        <f t="shared" ref="AV63:AX63" si="246">SUM(AS63,AO63,AK63)</f>
        <v>#VALUE!</v>
      </c>
      <c r="AW63" s="331">
        <f t="shared" si="246"/>
        <v>0</v>
      </c>
      <c r="AX63" s="1512">
        <f t="shared" si="246"/>
        <v>80693.81</v>
      </c>
      <c r="AY63" s="156" t="e">
        <f t="shared" ref="AY63:BA63" si="247">SUM(AV63,AE63)</f>
        <v>#VALUE!</v>
      </c>
      <c r="AZ63" s="331" t="e">
        <f t="shared" si="247"/>
        <v>#VALUE!</v>
      </c>
      <c r="BA63" s="1523">
        <f t="shared" si="247"/>
        <v>80693.81</v>
      </c>
      <c r="BB63" s="1520">
        <f t="shared" si="138"/>
        <v>0</v>
      </c>
      <c r="BC63" s="1524" t="e">
        <f t="shared" si="28"/>
        <v>#VALUE!</v>
      </c>
      <c r="BD63" s="331" t="str">
        <f>IFERROR(VLOOKUP(G63,'MON2'!MONTENALIM,9,FALSE),"")</f>
        <v/>
      </c>
      <c r="BE63" s="1525">
        <f>IFERROR(VLOOKUP(G63,'MON2'!MONTEFC,9,FALSE),"")</f>
        <v>0</v>
      </c>
      <c r="BF63" s="1514">
        <f t="shared" si="139"/>
        <v>0</v>
      </c>
      <c r="BG63" s="331">
        <f t="shared" si="140"/>
        <v>140563.07999999999</v>
      </c>
      <c r="BH63" s="331">
        <f t="shared" si="141"/>
        <v>231617.1</v>
      </c>
      <c r="BI63" s="331">
        <f t="shared" si="142"/>
        <v>63532.09</v>
      </c>
      <c r="BJ63" s="331">
        <f t="shared" si="143"/>
        <v>0</v>
      </c>
    </row>
    <row r="64" spans="1:62" ht="13">
      <c r="A64" s="485" t="str">
        <f t="shared" si="128"/>
        <v>MONTENEGRO</v>
      </c>
      <c r="B64" s="1466">
        <f t="shared" si="129"/>
        <v>112012973</v>
      </c>
      <c r="C64" s="1527">
        <f t="shared" si="130"/>
        <v>1</v>
      </c>
      <c r="D64" s="733" t="str">
        <f t="shared" si="131"/>
        <v>Lista</v>
      </c>
      <c r="E64" s="733">
        <f t="shared" si="132"/>
        <v>0.09</v>
      </c>
      <c r="F64" s="733">
        <f t="shared" si="133"/>
        <v>0</v>
      </c>
      <c r="G64" s="1466" t="s">
        <v>1387</v>
      </c>
      <c r="H64" s="1497">
        <f t="shared" si="166"/>
        <v>107206.08</v>
      </c>
      <c r="I64" s="1486">
        <f t="shared" si="167"/>
        <v>180218.780784</v>
      </c>
      <c r="J64" s="1494" t="e">
        <f t="shared" si="6"/>
        <v>#VALUE!</v>
      </c>
      <c r="K64" s="1497" t="str">
        <f>IFERROR(VLOOKUP(G64,'MON2'!MONTENALIM,3,FALSE),"")</f>
        <v/>
      </c>
      <c r="L64" s="1498" t="str">
        <f>IFERROR(VLOOKUP(G64,'MON2'!MONTEFC,3,FALSE),"")</f>
        <v/>
      </c>
      <c r="M64" s="1495" t="e">
        <f t="shared" si="168"/>
        <v>#VALUE!</v>
      </c>
      <c r="N64" s="1529" t="e">
        <f t="shared" si="169"/>
        <v>#VALUE!</v>
      </c>
      <c r="O64" s="1497">
        <f t="shared" si="170"/>
        <v>0</v>
      </c>
      <c r="P64" s="1485">
        <f t="shared" si="171"/>
        <v>0</v>
      </c>
      <c r="Q64" s="1485" t="e">
        <f t="shared" si="10"/>
        <v>#VALUE!</v>
      </c>
      <c r="R64" s="1497" t="str">
        <f>IFERROR(VLOOKUP(G64,'MON2'!MONTENALIM,4,FALSE),"")</f>
        <v/>
      </c>
      <c r="S64" s="1497" t="str">
        <f>IFERROR(VLOOKUP(G64,'MON2'!MONTEFC,4,FALSE),"")</f>
        <v/>
      </c>
      <c r="T64" s="1497" t="e">
        <f t="shared" si="172"/>
        <v>#VALUE!</v>
      </c>
      <c r="U64" s="1529" t="e">
        <f t="shared" si="173"/>
        <v>#VALUE!</v>
      </c>
      <c r="V64" s="1497">
        <f t="shared" si="174"/>
        <v>35132.25</v>
      </c>
      <c r="W64" s="1486">
        <f t="shared" si="175"/>
        <v>58856.180118750002</v>
      </c>
      <c r="X64" s="1487" t="e">
        <f t="shared" si="14"/>
        <v>#VALUE!</v>
      </c>
      <c r="Y64" s="1485" t="str">
        <f>IFERROR(VLOOKUP(G64,'MON2'!MONTENALIM,5,FALSE),"")</f>
        <v/>
      </c>
      <c r="Z64" s="1488" t="str">
        <f>IFERROR(VLOOKUP(G64,'MON2'!MONTEFC,5,FALSE),"")</f>
        <v/>
      </c>
      <c r="AA64" s="1489"/>
      <c r="AB64" s="1485"/>
      <c r="AC64" s="1530">
        <f t="shared" si="176"/>
        <v>239074.96090275</v>
      </c>
      <c r="AD64" s="1494">
        <f t="shared" si="134"/>
        <v>425847.06</v>
      </c>
      <c r="AE64" s="1497" t="e">
        <f t="shared" si="17"/>
        <v>#VALUE!</v>
      </c>
      <c r="AF64" s="1497" t="e">
        <f t="shared" ref="AF64:AG64" si="248">Y64+R64+K64</f>
        <v>#VALUE!</v>
      </c>
      <c r="AG64" s="1497" t="e">
        <f t="shared" si="248"/>
        <v>#VALUE!</v>
      </c>
      <c r="AH64" s="1497" t="e">
        <f t="shared" si="19"/>
        <v>#VALUE!</v>
      </c>
      <c r="AI64" s="1531" t="str">
        <f t="shared" si="20"/>
        <v/>
      </c>
      <c r="AJ64" s="1493">
        <f t="shared" si="178"/>
        <v>62073.98</v>
      </c>
      <c r="AK64" s="1494" t="e">
        <f t="shared" si="22"/>
        <v>#VALUE!</v>
      </c>
      <c r="AL64" s="1495" t="str">
        <f>IFERROR(VLOOKUP(G64,'MON2'!MONTENALIM,6,FALSE),"")</f>
        <v/>
      </c>
      <c r="AM64" s="1496" t="str">
        <f>IFERROR(VLOOKUP(G64,'MON2'!MONTEFC,6,FALSE),"")</f>
        <v/>
      </c>
      <c r="AN64" s="1493">
        <f t="shared" si="154"/>
        <v>19763.14</v>
      </c>
      <c r="AO64" s="1494" t="e">
        <f t="shared" si="23"/>
        <v>#VALUE!</v>
      </c>
      <c r="AP64" s="1497" t="str">
        <f>IFERROR(VLOOKUP(G64,'MON2'!MONTENALIM,7,FALSE),"")</f>
        <v/>
      </c>
      <c r="AQ64" s="1498" t="str">
        <f>IFERROR(VLOOKUP(G64,'MON2'!MONTEFC,7,FALSE),"")</f>
        <v/>
      </c>
      <c r="AR64" s="1495">
        <f t="shared" si="179"/>
        <v>0</v>
      </c>
      <c r="AS64" s="1495" t="e">
        <f t="shared" si="24"/>
        <v>#VALUE!</v>
      </c>
      <c r="AT64" s="1495" t="str">
        <f>IFERROR(VLOOKUP(G64,'MON2'!MONTENALIM,8,FALSE),"")</f>
        <v/>
      </c>
      <c r="AU64" s="1493" t="str">
        <f>IFERROR(VLOOKUP(G64,'MON2'!MONTEFC,8,FALSE),"")</f>
        <v/>
      </c>
      <c r="AV64" s="1532" t="e">
        <f t="shared" ref="AV64:AX64" si="249">SUM(AS64,AO64,AK64)</f>
        <v>#VALUE!</v>
      </c>
      <c r="AW64" s="1497">
        <f t="shared" si="249"/>
        <v>0</v>
      </c>
      <c r="AX64" s="1528">
        <f t="shared" si="249"/>
        <v>0</v>
      </c>
      <c r="AY64" s="1494" t="e">
        <f t="shared" ref="AY64:BA64" si="250">SUM(AV64,AE64)</f>
        <v>#VALUE!</v>
      </c>
      <c r="AZ64" s="1497" t="e">
        <f t="shared" si="250"/>
        <v>#VALUE!</v>
      </c>
      <c r="BA64" s="1533" t="e">
        <f t="shared" si="250"/>
        <v>#VALUE!</v>
      </c>
      <c r="BB64" s="1493">
        <f t="shared" si="138"/>
        <v>0</v>
      </c>
      <c r="BC64" s="1504" t="e">
        <f t="shared" si="28"/>
        <v>#VALUE!</v>
      </c>
      <c r="BD64" s="1497" t="str">
        <f>IFERROR(VLOOKUP(G64,'MON2'!MONTENALIM,9,FALSE),"")</f>
        <v/>
      </c>
      <c r="BE64" s="1505" t="str">
        <f>IFERROR(VLOOKUP(G64,'MON2'!MONTEFC,9,FALSE),"")</f>
        <v/>
      </c>
      <c r="BF64" s="1495">
        <f t="shared" si="139"/>
        <v>322324.12</v>
      </c>
      <c r="BG64" s="1497">
        <f t="shared" si="140"/>
        <v>221623.07</v>
      </c>
      <c r="BH64" s="1497">
        <f t="shared" si="141"/>
        <v>111103.25</v>
      </c>
      <c r="BI64" s="1497">
        <f t="shared" si="142"/>
        <v>213971.68</v>
      </c>
      <c r="BJ64" s="1497">
        <f t="shared" si="143"/>
        <v>100772.14</v>
      </c>
    </row>
    <row r="65" spans="1:62" ht="13">
      <c r="A65" s="485" t="str">
        <f t="shared" si="128"/>
        <v>MONTENEGRO</v>
      </c>
      <c r="B65" s="1467">
        <f t="shared" si="129"/>
        <v>112012747</v>
      </c>
      <c r="C65" s="1510">
        <f t="shared" si="130"/>
        <v>1</v>
      </c>
      <c r="D65" s="1511" t="str">
        <f t="shared" si="131"/>
        <v>Lista</v>
      </c>
      <c r="E65" s="1511">
        <f t="shared" si="132"/>
        <v>0.09</v>
      </c>
      <c r="F65" s="1511">
        <f t="shared" si="133"/>
        <v>0</v>
      </c>
      <c r="G65" s="1467" t="s">
        <v>1563</v>
      </c>
      <c r="H65" s="331">
        <f t="shared" si="166"/>
        <v>18852.68</v>
      </c>
      <c r="I65" s="1547">
        <f t="shared" si="167"/>
        <v>31692.297714</v>
      </c>
      <c r="J65" s="156" t="e">
        <f t="shared" si="6"/>
        <v>#VALUE!</v>
      </c>
      <c r="K65" s="331" t="str">
        <f>IFERROR(VLOOKUP(G65,'MON2'!MONTENALIM,3,FALSE),"")</f>
        <v/>
      </c>
      <c r="L65" s="1513">
        <f>IFERROR(VLOOKUP(G65,'MON2'!MONTEFC,3,FALSE),"")</f>
        <v>0</v>
      </c>
      <c r="M65" s="1514">
        <f t="shared" si="168"/>
        <v>-31692.297714</v>
      </c>
      <c r="N65" s="234">
        <f t="shared" si="169"/>
        <v>0</v>
      </c>
      <c r="O65" s="331">
        <f t="shared" si="170"/>
        <v>0</v>
      </c>
      <c r="P65" s="1515">
        <f t="shared" si="171"/>
        <v>0</v>
      </c>
      <c r="Q65" s="1515" t="e">
        <f t="shared" si="10"/>
        <v>#VALUE!</v>
      </c>
      <c r="R65" s="331" t="str">
        <f>IFERROR(VLOOKUP(G65,'MON2'!MONTENALIM,4,FALSE),"")</f>
        <v/>
      </c>
      <c r="S65" s="331">
        <f>IFERROR(VLOOKUP(G65,'MON2'!MONTEFC,4,FALSE),"")</f>
        <v>0</v>
      </c>
      <c r="T65" s="331">
        <f t="shared" si="172"/>
        <v>0</v>
      </c>
      <c r="U65" s="234" t="e">
        <f t="shared" si="173"/>
        <v>#DIV/0!</v>
      </c>
      <c r="V65" s="331">
        <f t="shared" si="174"/>
        <v>0</v>
      </c>
      <c r="W65" s="1547">
        <f t="shared" si="175"/>
        <v>0</v>
      </c>
      <c r="X65" s="1516" t="e">
        <f t="shared" si="14"/>
        <v>#VALUE!</v>
      </c>
      <c r="Y65" s="1515" t="str">
        <f>IFERROR(VLOOKUP(G65,'MON2'!MONTENALIM,5,FALSE),"")</f>
        <v/>
      </c>
      <c r="Z65" s="1517">
        <f>IFERROR(VLOOKUP(G65,'MON2'!MONTEFC,5,FALSE),"")</f>
        <v>114808.08</v>
      </c>
      <c r="AA65" s="1548"/>
      <c r="AB65" s="1515"/>
      <c r="AC65" s="1518">
        <f t="shared" si="176"/>
        <v>31692.297714</v>
      </c>
      <c r="AD65" s="156">
        <f t="shared" si="134"/>
        <v>448276.98</v>
      </c>
      <c r="AE65" s="331" t="e">
        <f t="shared" si="17"/>
        <v>#VALUE!</v>
      </c>
      <c r="AF65" s="331" t="e">
        <f t="shared" ref="AF65:AG65" si="251">Y65+R65+K65</f>
        <v>#VALUE!</v>
      </c>
      <c r="AG65" s="331">
        <f t="shared" si="251"/>
        <v>114808.08</v>
      </c>
      <c r="AH65" s="331">
        <f t="shared" si="19"/>
        <v>-333468.89999999997</v>
      </c>
      <c r="AI65" s="1519">
        <f t="shared" si="20"/>
        <v>0.25610969360951796</v>
      </c>
      <c r="AJ65" s="1520">
        <f t="shared" si="178"/>
        <v>104575.02</v>
      </c>
      <c r="AK65" s="156" t="e">
        <f t="shared" si="22"/>
        <v>#VALUE!</v>
      </c>
      <c r="AL65" s="1514" t="str">
        <f>IFERROR(VLOOKUP(G65,'MON2'!MONTENALIM,6,FALSE),"")</f>
        <v/>
      </c>
      <c r="AM65" s="1521">
        <f>IFERROR(VLOOKUP(G65,'MON2'!MONTEFC,6,FALSE),"")</f>
        <v>299103.3</v>
      </c>
      <c r="AN65" s="1520">
        <f t="shared" si="154"/>
        <v>0</v>
      </c>
      <c r="AO65" s="156" t="e">
        <f t="shared" si="23"/>
        <v>#VALUE!</v>
      </c>
      <c r="AP65" s="331" t="str">
        <f>IFERROR(VLOOKUP(G65,'MON2'!MONTENALIM,7,FALSE),"")</f>
        <v/>
      </c>
      <c r="AQ65" s="1513">
        <f>IFERROR(VLOOKUP(G65,'MON2'!MONTEFC,7,FALSE),"")</f>
        <v>252343.12</v>
      </c>
      <c r="AR65" s="1514">
        <f t="shared" si="179"/>
        <v>0</v>
      </c>
      <c r="AS65" s="1514" t="e">
        <f t="shared" si="24"/>
        <v>#VALUE!</v>
      </c>
      <c r="AT65" s="1514" t="str">
        <f>IFERROR(VLOOKUP(G65,'MON2'!MONTENALIM,8,FALSE),"")</f>
        <v/>
      </c>
      <c r="AU65" s="1520">
        <f>IFERROR(VLOOKUP(G65,'MON2'!MONTEFC,8,FALSE),"")</f>
        <v>79199</v>
      </c>
      <c r="AV65" s="1522" t="e">
        <f t="shared" ref="AV65:AX65" si="252">SUM(AS65,AO65,AK65)</f>
        <v>#VALUE!</v>
      </c>
      <c r="AW65" s="331">
        <f t="shared" si="252"/>
        <v>0</v>
      </c>
      <c r="AX65" s="1512">
        <f t="shared" si="252"/>
        <v>630645.41999999993</v>
      </c>
      <c r="AY65" s="156" t="e">
        <f t="shared" ref="AY65:BA65" si="253">SUM(AV65,AE65)</f>
        <v>#VALUE!</v>
      </c>
      <c r="AZ65" s="331" t="e">
        <f t="shared" si="253"/>
        <v>#VALUE!</v>
      </c>
      <c r="BA65" s="1523">
        <f t="shared" si="253"/>
        <v>745453.49999999988</v>
      </c>
      <c r="BB65" s="1520">
        <f t="shared" si="138"/>
        <v>0</v>
      </c>
      <c r="BC65" s="1524" t="e">
        <f t="shared" si="28"/>
        <v>#VALUE!</v>
      </c>
      <c r="BD65" s="331" t="str">
        <f>IFERROR(VLOOKUP(G65,'MON2'!MONTENALIM,9,FALSE),"")</f>
        <v/>
      </c>
      <c r="BE65" s="1525">
        <f>IFERROR(VLOOKUP(G65,'MON2'!MONTEFC,9,FALSE),"")</f>
        <v>0</v>
      </c>
      <c r="BF65" s="1514">
        <f t="shared" si="139"/>
        <v>262994.13</v>
      </c>
      <c r="BG65" s="331">
        <f t="shared" si="140"/>
        <v>49232</v>
      </c>
      <c r="BH65" s="331">
        <f t="shared" si="141"/>
        <v>448276.98</v>
      </c>
      <c r="BI65" s="331">
        <f t="shared" si="142"/>
        <v>0</v>
      </c>
      <c r="BJ65" s="331">
        <f t="shared" si="143"/>
        <v>0</v>
      </c>
    </row>
    <row r="66" spans="1:62" ht="13">
      <c r="A66" s="485" t="str">
        <f t="shared" ref="A66:A97" si="254">IFERROR(VLOOKUP(G66,CARTEROTEPECH,2,FALSE),"MONTENEGRO")</f>
        <v>MONTENEGRO</v>
      </c>
      <c r="B66" s="1466">
        <f t="shared" ref="B66:B97" si="255">VLOOKUP(G66,MONTENEGROCARTERA,3,FALSE)</f>
        <v>112012748</v>
      </c>
      <c r="C66" s="1527">
        <f t="shared" ref="C66:C97" si="256">VLOOKUP(G66,MONTENEGROCARTERA,2,FALSE)</f>
        <v>1</v>
      </c>
      <c r="D66" s="733" t="str">
        <f t="shared" ref="D66:D97" si="257">IFERROR(VLOOKUP(C66,DES,2,FALSE),"")</f>
        <v>Lista</v>
      </c>
      <c r="E66" s="733">
        <f t="shared" ref="E66:E97" si="258">IFERROR(VLOOKUP(C66,DES,3,FALSE),"")</f>
        <v>0.09</v>
      </c>
      <c r="F66" s="733">
        <f t="shared" ref="F66:F97" si="259">IFERROR(VLOOKUP(C66,DES,4,FALSE),"")</f>
        <v>0</v>
      </c>
      <c r="G66" s="1466" t="s">
        <v>1385</v>
      </c>
      <c r="H66" s="1497">
        <f t="shared" si="166"/>
        <v>0</v>
      </c>
      <c r="I66" s="1486">
        <f t="shared" si="167"/>
        <v>0</v>
      </c>
      <c r="J66" s="1494" t="e">
        <f t="shared" si="6"/>
        <v>#VALUE!</v>
      </c>
      <c r="K66" s="1497" t="str">
        <f>IFERROR(VLOOKUP(G66,'MON2'!MONTENALIM,3,FALSE),"")</f>
        <v/>
      </c>
      <c r="L66" s="1498">
        <f>IFERROR(VLOOKUP(G66,'MON2'!MONTEFC,3,FALSE),"")</f>
        <v>0</v>
      </c>
      <c r="M66" s="1495">
        <f t="shared" si="168"/>
        <v>0</v>
      </c>
      <c r="N66" s="1529" t="e">
        <f t="shared" si="169"/>
        <v>#DIV/0!</v>
      </c>
      <c r="O66" s="1497">
        <f t="shared" si="170"/>
        <v>86785.35</v>
      </c>
      <c r="P66" s="1485">
        <f t="shared" si="171"/>
        <v>157144.40287875</v>
      </c>
      <c r="Q66" s="1485" t="e">
        <f t="shared" si="10"/>
        <v>#VALUE!</v>
      </c>
      <c r="R66" s="1497" t="str">
        <f>IFERROR(VLOOKUP(G66,'MON2'!MONTENALIM,4,FALSE),"")</f>
        <v/>
      </c>
      <c r="S66" s="1497">
        <f>IFERROR(VLOOKUP(G66,'MON2'!MONTEFC,4,FALSE),"")</f>
        <v>0</v>
      </c>
      <c r="T66" s="1497">
        <f t="shared" si="172"/>
        <v>-157144.40287875</v>
      </c>
      <c r="U66" s="1529">
        <f t="shared" si="173"/>
        <v>0</v>
      </c>
      <c r="V66" s="1497">
        <f t="shared" si="174"/>
        <v>0</v>
      </c>
      <c r="W66" s="1486">
        <f t="shared" si="175"/>
        <v>0</v>
      </c>
      <c r="X66" s="1487" t="e">
        <f t="shared" si="14"/>
        <v>#VALUE!</v>
      </c>
      <c r="Y66" s="1485" t="str">
        <f>IFERROR(VLOOKUP(G66,'MON2'!MONTENALIM,5,FALSE),"")</f>
        <v/>
      </c>
      <c r="Z66" s="1488">
        <f>IFERROR(VLOOKUP(G66,'MON2'!MONTEFC,5,FALSE),"")</f>
        <v>12282.11</v>
      </c>
      <c r="AA66" s="1489"/>
      <c r="AB66" s="1485"/>
      <c r="AC66" s="1530">
        <f t="shared" si="176"/>
        <v>157144.40287875</v>
      </c>
      <c r="AD66" s="1494">
        <f t="shared" ref="AD66:AD97" si="260">IFERROR(VLOOKUP(G66,trim2024,2,FALSE),"0")</f>
        <v>178317.04</v>
      </c>
      <c r="AE66" s="1497" t="e">
        <f t="shared" si="17"/>
        <v>#VALUE!</v>
      </c>
      <c r="AF66" s="1497" t="e">
        <f t="shared" ref="AF66:AG66" si="261">Y66+R66+K66</f>
        <v>#VALUE!</v>
      </c>
      <c r="AG66" s="1497">
        <f t="shared" si="261"/>
        <v>12282.11</v>
      </c>
      <c r="AH66" s="1497">
        <f t="shared" si="19"/>
        <v>-166034.93</v>
      </c>
      <c r="AI66" s="1531">
        <f t="shared" si="20"/>
        <v>6.8877937857200866E-2</v>
      </c>
      <c r="AJ66" s="1493">
        <f t="shared" si="178"/>
        <v>167126.69</v>
      </c>
      <c r="AK66" s="1494" t="e">
        <f t="shared" si="22"/>
        <v>#VALUE!</v>
      </c>
      <c r="AL66" s="1495" t="str">
        <f>IFERROR(VLOOKUP(G66,'MON2'!MONTENALIM,6,FALSE),"")</f>
        <v/>
      </c>
      <c r="AM66" s="1496">
        <f>IFERROR(VLOOKUP(G66,'MON2'!MONTEFC,6,FALSE),"")</f>
        <v>0</v>
      </c>
      <c r="AN66" s="1493">
        <f t="shared" si="154"/>
        <v>0</v>
      </c>
      <c r="AO66" s="1494" t="e">
        <f t="shared" si="23"/>
        <v>#VALUE!</v>
      </c>
      <c r="AP66" s="1497" t="str">
        <f>IFERROR(VLOOKUP(G66,'MON2'!MONTENALIM,7,FALSE),"")</f>
        <v/>
      </c>
      <c r="AQ66" s="1498">
        <f>IFERROR(VLOOKUP(G66,'MON2'!MONTEFC,7,FALSE),"")</f>
        <v>0</v>
      </c>
      <c r="AR66" s="1495">
        <f t="shared" si="179"/>
        <v>0</v>
      </c>
      <c r="AS66" s="1495" t="e">
        <f t="shared" si="24"/>
        <v>#VALUE!</v>
      </c>
      <c r="AT66" s="1495" t="str">
        <f>IFERROR(VLOOKUP(G66,'MON2'!MONTENALIM,8,FALSE),"")</f>
        <v/>
      </c>
      <c r="AU66" s="1493">
        <f>IFERROR(VLOOKUP(G66,'MON2'!MONTEFC,8,FALSE),"")</f>
        <v>10114.5</v>
      </c>
      <c r="AV66" s="1532" t="e">
        <f t="shared" ref="AV66:AX66" si="262">SUM(AS66,AO66,AK66)</f>
        <v>#VALUE!</v>
      </c>
      <c r="AW66" s="1497">
        <f t="shared" si="262"/>
        <v>0</v>
      </c>
      <c r="AX66" s="1528">
        <f t="shared" si="262"/>
        <v>10114.5</v>
      </c>
      <c r="AY66" s="1494" t="e">
        <f t="shared" ref="AY66:BA66" si="263">SUM(AV66,AE66)</f>
        <v>#VALUE!</v>
      </c>
      <c r="AZ66" s="1497" t="e">
        <f t="shared" si="263"/>
        <v>#VALUE!</v>
      </c>
      <c r="BA66" s="1533">
        <f t="shared" si="263"/>
        <v>22396.61</v>
      </c>
      <c r="BB66" s="1493">
        <f t="shared" ref="BB66:BB97" si="264">IFERROR(VLOOKUP(G66,MONTE24,9,FALSE),"")</f>
        <v>0</v>
      </c>
      <c r="BC66" s="1504" t="e">
        <f t="shared" si="28"/>
        <v>#VALUE!</v>
      </c>
      <c r="BD66" s="1497" t="str">
        <f>IFERROR(VLOOKUP(G66,'MON2'!MONTENALIM,9,FALSE),"")</f>
        <v/>
      </c>
      <c r="BE66" s="1505">
        <f>IFERROR(VLOOKUP(G66,'MON2'!MONTEFC,9,FALSE),"")</f>
        <v>0</v>
      </c>
      <c r="BF66" s="1495">
        <f t="shared" ref="BF66:BF97" si="265">IFERROR(VLOOKUP(G66,MONTE24,10,FALSE),"")</f>
        <v>107017.68</v>
      </c>
      <c r="BG66" s="1497">
        <f t="shared" ref="BG66:BG97" si="266">IFERROR(VLOOKUP(G66,MONTE24,11,FALSE),"")</f>
        <v>0</v>
      </c>
      <c r="BH66" s="1497">
        <f t="shared" ref="BH66:BH97" si="267">IFERROR(VLOOKUP(G66,MONTE24,12,FALSE),"")</f>
        <v>0</v>
      </c>
      <c r="BI66" s="1497">
        <f t="shared" ref="BI66:BI97" si="268">IFERROR(VLOOKUP(G66,MONTE24,13,FALSE),"")</f>
        <v>0</v>
      </c>
      <c r="BJ66" s="1497">
        <f t="shared" ref="BJ66:BJ97" si="269">IFERROR(VLOOKUP(G66,MONTE24,14,FALSE),"")</f>
        <v>178317.04</v>
      </c>
    </row>
    <row r="67" spans="1:62" ht="13">
      <c r="A67" s="485" t="str">
        <f t="shared" si="254"/>
        <v>MONTENEGRO</v>
      </c>
      <c r="B67" s="1467">
        <f t="shared" si="255"/>
        <v>112012852</v>
      </c>
      <c r="C67" s="1510">
        <f t="shared" si="256"/>
        <v>1</v>
      </c>
      <c r="D67" s="1511" t="str">
        <f t="shared" si="257"/>
        <v>Lista</v>
      </c>
      <c r="E67" s="1511">
        <f t="shared" si="258"/>
        <v>0.09</v>
      </c>
      <c r="F67" s="1511">
        <f t="shared" si="259"/>
        <v>0</v>
      </c>
      <c r="G67" s="1467" t="s">
        <v>1374</v>
      </c>
      <c r="H67" s="331">
        <f t="shared" si="166"/>
        <v>0</v>
      </c>
      <c r="I67" s="1547">
        <f t="shared" si="167"/>
        <v>0</v>
      </c>
      <c r="J67" s="156" t="e">
        <f t="shared" si="6"/>
        <v>#VALUE!</v>
      </c>
      <c r="K67" s="331" t="str">
        <f>IFERROR(VLOOKUP(G67,'MON2'!MONTENALIM,3,FALSE),"")</f>
        <v/>
      </c>
      <c r="L67" s="1513">
        <f>IFERROR(VLOOKUP(G67,'MON2'!MONTEFC,3,FALSE),"")</f>
        <v>97476.19</v>
      </c>
      <c r="M67" s="1514">
        <f t="shared" si="168"/>
        <v>97476.19</v>
      </c>
      <c r="N67" s="234" t="e">
        <f t="shared" si="169"/>
        <v>#DIV/0!</v>
      </c>
      <c r="O67" s="331">
        <f t="shared" si="170"/>
        <v>134782.1</v>
      </c>
      <c r="P67" s="1515">
        <f t="shared" si="171"/>
        <v>244053.3180225</v>
      </c>
      <c r="Q67" s="1515" t="e">
        <f t="shared" si="10"/>
        <v>#VALUE!</v>
      </c>
      <c r="R67" s="331" t="str">
        <f>IFERROR(VLOOKUP(G67,'MON2'!MONTENALIM,4,FALSE),"")</f>
        <v/>
      </c>
      <c r="S67" s="331">
        <f>IFERROR(VLOOKUP(G67,'MON2'!MONTEFC,4,FALSE),"")</f>
        <v>0</v>
      </c>
      <c r="T67" s="331">
        <f t="shared" si="172"/>
        <v>-244053.3180225</v>
      </c>
      <c r="U67" s="234">
        <f t="shared" si="173"/>
        <v>0</v>
      </c>
      <c r="V67" s="331">
        <f t="shared" si="174"/>
        <v>0</v>
      </c>
      <c r="W67" s="1547">
        <f t="shared" si="175"/>
        <v>0</v>
      </c>
      <c r="X67" s="1516" t="e">
        <f t="shared" si="14"/>
        <v>#VALUE!</v>
      </c>
      <c r="Y67" s="1515" t="str">
        <f>IFERROR(VLOOKUP(G67,'MON2'!MONTENALIM,5,FALSE),"")</f>
        <v/>
      </c>
      <c r="Z67" s="1517">
        <f>IFERROR(VLOOKUP(G67,'MON2'!MONTEFC,5,FALSE),"")</f>
        <v>92368.61</v>
      </c>
      <c r="AA67" s="1548"/>
      <c r="AB67" s="1515"/>
      <c r="AC67" s="1518">
        <f t="shared" si="176"/>
        <v>244053.3180225</v>
      </c>
      <c r="AD67" s="156">
        <f t="shared" si="260"/>
        <v>98356.25</v>
      </c>
      <c r="AE67" s="331" t="e">
        <f t="shared" si="17"/>
        <v>#VALUE!</v>
      </c>
      <c r="AF67" s="331" t="e">
        <f t="shared" ref="AF67:AG67" si="270">Y67+R67+K67</f>
        <v>#VALUE!</v>
      </c>
      <c r="AG67" s="331">
        <f t="shared" si="270"/>
        <v>189844.8</v>
      </c>
      <c r="AH67" s="331">
        <f t="shared" si="19"/>
        <v>91488.549999999988</v>
      </c>
      <c r="AI67" s="1519">
        <f t="shared" si="20"/>
        <v>1.9301752557666645</v>
      </c>
      <c r="AJ67" s="1520">
        <f t="shared" si="178"/>
        <v>0</v>
      </c>
      <c r="AK67" s="156" t="e">
        <f t="shared" si="22"/>
        <v>#VALUE!</v>
      </c>
      <c r="AL67" s="1514" t="str">
        <f>IFERROR(VLOOKUP(G67,'MON2'!MONTENALIM,6,FALSE),"")</f>
        <v/>
      </c>
      <c r="AM67" s="1521">
        <f>IFERROR(VLOOKUP(G67,'MON2'!MONTEFC,6,FALSE),"")</f>
        <v>0</v>
      </c>
      <c r="AN67" s="1520">
        <f t="shared" si="154"/>
        <v>38563.19</v>
      </c>
      <c r="AO67" s="156" t="e">
        <f t="shared" si="23"/>
        <v>#VALUE!</v>
      </c>
      <c r="AP67" s="331" t="str">
        <f>IFERROR(VLOOKUP(G67,'MON2'!MONTENALIM,7,FALSE),"")</f>
        <v/>
      </c>
      <c r="AQ67" s="1513">
        <f>IFERROR(VLOOKUP(G67,'MON2'!MONTEFC,7,FALSE),"")</f>
        <v>114571.85</v>
      </c>
      <c r="AR67" s="1514">
        <f t="shared" si="179"/>
        <v>0</v>
      </c>
      <c r="AS67" s="1514" t="e">
        <f t="shared" si="24"/>
        <v>#VALUE!</v>
      </c>
      <c r="AT67" s="1514" t="str">
        <f>IFERROR(VLOOKUP(G67,'MON2'!MONTENALIM,8,FALSE),"")</f>
        <v/>
      </c>
      <c r="AU67" s="1520">
        <f>IFERROR(VLOOKUP(G67,'MON2'!MONTEFC,8,FALSE),"")</f>
        <v>0</v>
      </c>
      <c r="AV67" s="1522" t="e">
        <f t="shared" ref="AV67:AX67" si="271">SUM(AS67,AO67,AK67)</f>
        <v>#VALUE!</v>
      </c>
      <c r="AW67" s="331">
        <f t="shared" si="271"/>
        <v>0</v>
      </c>
      <c r="AX67" s="1512">
        <f t="shared" si="271"/>
        <v>114571.85</v>
      </c>
      <c r="AY67" s="156" t="e">
        <f t="shared" ref="AY67:BA67" si="272">SUM(AV67,AE67)</f>
        <v>#VALUE!</v>
      </c>
      <c r="AZ67" s="331" t="e">
        <f t="shared" si="272"/>
        <v>#VALUE!</v>
      </c>
      <c r="BA67" s="1523">
        <f t="shared" si="272"/>
        <v>304416.65000000002</v>
      </c>
      <c r="BB67" s="1520">
        <f t="shared" si="264"/>
        <v>132627.54</v>
      </c>
      <c r="BC67" s="1524" t="e">
        <f t="shared" si="28"/>
        <v>#VALUE!</v>
      </c>
      <c r="BD67" s="331" t="str">
        <f>IFERROR(VLOOKUP(G67,'MON2'!MONTENALIM,9,FALSE),"")</f>
        <v/>
      </c>
      <c r="BE67" s="1525">
        <f>IFERROR(VLOOKUP(G67,'MON2'!MONTEFC,9,FALSE),"")</f>
        <v>0</v>
      </c>
      <c r="BF67" s="1514">
        <f t="shared" si="265"/>
        <v>21433.84</v>
      </c>
      <c r="BG67" s="331">
        <f t="shared" si="266"/>
        <v>0</v>
      </c>
      <c r="BH67" s="331">
        <f t="shared" si="267"/>
        <v>0</v>
      </c>
      <c r="BI67" s="331">
        <f t="shared" si="268"/>
        <v>98356.25</v>
      </c>
      <c r="BJ67" s="331">
        <f t="shared" si="269"/>
        <v>0</v>
      </c>
    </row>
    <row r="68" spans="1:62" ht="13">
      <c r="A68" s="485" t="str">
        <f t="shared" si="254"/>
        <v>MONTENEGRO</v>
      </c>
      <c r="B68" s="1466">
        <f t="shared" si="255"/>
        <v>112014039</v>
      </c>
      <c r="C68" s="1527">
        <f t="shared" si="256"/>
        <v>1</v>
      </c>
      <c r="D68" s="733" t="str">
        <f t="shared" si="257"/>
        <v>Lista</v>
      </c>
      <c r="E68" s="733">
        <f t="shared" si="258"/>
        <v>0.09</v>
      </c>
      <c r="F68" s="733">
        <f t="shared" si="259"/>
        <v>0</v>
      </c>
      <c r="G68" s="1466" t="s">
        <v>1375</v>
      </c>
      <c r="H68" s="1497">
        <f t="shared" si="166"/>
        <v>0</v>
      </c>
      <c r="I68" s="1486">
        <f t="shared" si="167"/>
        <v>0</v>
      </c>
      <c r="J68" s="1494" t="e">
        <f t="shared" si="6"/>
        <v>#VALUE!</v>
      </c>
      <c r="K68" s="1497" t="str">
        <f>IFERROR(VLOOKUP(G68,'MON2'!MONTENALIM,3,FALSE),"")</f>
        <v/>
      </c>
      <c r="L68" s="1498">
        <f>IFERROR(VLOOKUP(G68,'MON2'!MONTEFC,3,FALSE),"")</f>
        <v>150962.4</v>
      </c>
      <c r="M68" s="1495">
        <f t="shared" si="168"/>
        <v>150962.4</v>
      </c>
      <c r="N68" s="1529" t="e">
        <f t="shared" si="169"/>
        <v>#DIV/0!</v>
      </c>
      <c r="O68" s="1497">
        <f t="shared" si="170"/>
        <v>71422.289999999994</v>
      </c>
      <c r="P68" s="1485">
        <f t="shared" si="171"/>
        <v>129326.12606025</v>
      </c>
      <c r="Q68" s="1485" t="e">
        <f t="shared" si="10"/>
        <v>#VALUE!</v>
      </c>
      <c r="R68" s="1497" t="str">
        <f>IFERROR(VLOOKUP(G68,'MON2'!MONTENALIM,4,FALSE),"")</f>
        <v/>
      </c>
      <c r="S68" s="1497">
        <f>IFERROR(VLOOKUP(G68,'MON2'!MONTEFC,4,FALSE),"")</f>
        <v>67208.28</v>
      </c>
      <c r="T68" s="1497">
        <f t="shared" si="172"/>
        <v>-62117.846060249998</v>
      </c>
      <c r="U68" s="1529">
        <f t="shared" si="173"/>
        <v>0.51968060938196847</v>
      </c>
      <c r="V68" s="1497">
        <f t="shared" si="174"/>
        <v>0</v>
      </c>
      <c r="W68" s="1486">
        <f t="shared" si="175"/>
        <v>0</v>
      </c>
      <c r="X68" s="1487" t="e">
        <f t="shared" si="14"/>
        <v>#VALUE!</v>
      </c>
      <c r="Y68" s="1485" t="str">
        <f>IFERROR(VLOOKUP(G68,'MON2'!MONTENALIM,5,FALSE),"")</f>
        <v/>
      </c>
      <c r="Z68" s="1488">
        <f>IFERROR(VLOOKUP(G68,'MON2'!MONTEFC,5,FALSE),"")</f>
        <v>0</v>
      </c>
      <c r="AA68" s="1489"/>
      <c r="AB68" s="1485"/>
      <c r="AC68" s="1530">
        <f t="shared" si="176"/>
        <v>129326.12606025</v>
      </c>
      <c r="AD68" s="1494">
        <f t="shared" si="260"/>
        <v>237118.7</v>
      </c>
      <c r="AE68" s="1497" t="e">
        <f t="shared" si="17"/>
        <v>#VALUE!</v>
      </c>
      <c r="AF68" s="1497" t="e">
        <f t="shared" ref="AF68:AG68" si="273">Y68+R68+K68</f>
        <v>#VALUE!</v>
      </c>
      <c r="AG68" s="1497">
        <f t="shared" si="273"/>
        <v>218170.68</v>
      </c>
      <c r="AH68" s="1497">
        <f t="shared" si="19"/>
        <v>-18948.020000000019</v>
      </c>
      <c r="AI68" s="1531">
        <f t="shared" si="20"/>
        <v>0.92009057067198829</v>
      </c>
      <c r="AJ68" s="1493">
        <f t="shared" si="178"/>
        <v>0</v>
      </c>
      <c r="AK68" s="1494" t="e">
        <f t="shared" si="22"/>
        <v>#VALUE!</v>
      </c>
      <c r="AL68" s="1495" t="str">
        <f>IFERROR(VLOOKUP(G68,'MON2'!MONTENALIM,6,FALSE),"")</f>
        <v/>
      </c>
      <c r="AM68" s="1496">
        <f>IFERROR(VLOOKUP(G68,'MON2'!MONTEFC,6,FALSE),"")</f>
        <v>111748.95</v>
      </c>
      <c r="AN68" s="1493">
        <f t="shared" si="154"/>
        <v>45849.54</v>
      </c>
      <c r="AO68" s="1494" t="e">
        <f t="shared" si="23"/>
        <v>#VALUE!</v>
      </c>
      <c r="AP68" s="1497" t="str">
        <f>IFERROR(VLOOKUP(G68,'MON2'!MONTENALIM,7,FALSE),"")</f>
        <v/>
      </c>
      <c r="AQ68" s="1498">
        <f>IFERROR(VLOOKUP(G68,'MON2'!MONTEFC,7,FALSE),"")</f>
        <v>11539.55</v>
      </c>
      <c r="AR68" s="1495">
        <f t="shared" si="179"/>
        <v>0</v>
      </c>
      <c r="AS68" s="1495" t="e">
        <f t="shared" si="24"/>
        <v>#VALUE!</v>
      </c>
      <c r="AT68" s="1495" t="str">
        <f>IFERROR(VLOOKUP(G68,'MON2'!MONTENALIM,8,FALSE),"")</f>
        <v/>
      </c>
      <c r="AU68" s="1493">
        <f>IFERROR(VLOOKUP(G68,'MON2'!MONTEFC,8,FALSE),"")</f>
        <v>30972.1</v>
      </c>
      <c r="AV68" s="1532" t="e">
        <f t="shared" ref="AV68:AX68" si="274">SUM(AS68,AO68,AK68)</f>
        <v>#VALUE!</v>
      </c>
      <c r="AW68" s="1497">
        <f t="shared" si="274"/>
        <v>0</v>
      </c>
      <c r="AX68" s="1528">
        <f t="shared" si="274"/>
        <v>154260.59999999998</v>
      </c>
      <c r="AY68" s="1494" t="e">
        <f t="shared" ref="AY68:BA68" si="275">SUM(AV68,AE68)</f>
        <v>#VALUE!</v>
      </c>
      <c r="AZ68" s="1497" t="e">
        <f t="shared" si="275"/>
        <v>#VALUE!</v>
      </c>
      <c r="BA68" s="1533">
        <f t="shared" si="275"/>
        <v>372431.27999999997</v>
      </c>
      <c r="BB68" s="1493">
        <f t="shared" si="264"/>
        <v>33361.879999999997</v>
      </c>
      <c r="BC68" s="1504" t="e">
        <f t="shared" si="28"/>
        <v>#VALUE!</v>
      </c>
      <c r="BD68" s="1497" t="str">
        <f>IFERROR(VLOOKUP(G68,'MON2'!MONTENALIM,9,FALSE),"")</f>
        <v/>
      </c>
      <c r="BE68" s="1505">
        <f>IFERROR(VLOOKUP(G68,'MON2'!MONTEFC,9,FALSE),"")</f>
        <v>0</v>
      </c>
      <c r="BF68" s="1495">
        <f t="shared" si="265"/>
        <v>13701.83</v>
      </c>
      <c r="BG68" s="1497">
        <f t="shared" si="266"/>
        <v>68575.3</v>
      </c>
      <c r="BH68" s="1497">
        <f t="shared" si="267"/>
        <v>111260.89</v>
      </c>
      <c r="BI68" s="1497">
        <f t="shared" si="268"/>
        <v>27312.26</v>
      </c>
      <c r="BJ68" s="1497">
        <f t="shared" si="269"/>
        <v>98545.55</v>
      </c>
    </row>
    <row r="69" spans="1:62" ht="13">
      <c r="A69" s="485" t="str">
        <f t="shared" si="254"/>
        <v>MONTENEGRO</v>
      </c>
      <c r="B69" s="1467">
        <f t="shared" si="255"/>
        <v>112014710</v>
      </c>
      <c r="C69" s="1510">
        <f t="shared" si="256"/>
        <v>0</v>
      </c>
      <c r="D69" s="1511" t="str">
        <f t="shared" si="257"/>
        <v/>
      </c>
      <c r="E69" s="1511" t="str">
        <f t="shared" si="258"/>
        <v/>
      </c>
      <c r="F69" s="1511" t="str">
        <f t="shared" si="259"/>
        <v/>
      </c>
      <c r="G69" s="1467" t="s">
        <v>1379</v>
      </c>
      <c r="H69" s="331"/>
      <c r="I69" s="1547"/>
      <c r="J69" s="156" t="e">
        <f t="shared" si="6"/>
        <v>#VALUE!</v>
      </c>
      <c r="K69" s="331" t="str">
        <f>IFERROR(VLOOKUP(G69,'MON2'!MONTENALIM,3,FALSE),"")</f>
        <v/>
      </c>
      <c r="L69" s="1513">
        <f>IFERROR(VLOOKUP(G69,'MON2'!MONTEFC,3,FALSE),"")</f>
        <v>0</v>
      </c>
      <c r="M69" s="1514">
        <f t="shared" si="168"/>
        <v>0</v>
      </c>
      <c r="N69" s="234" t="e">
        <f t="shared" si="169"/>
        <v>#DIV/0!</v>
      </c>
      <c r="O69" s="331" t="str">
        <f t="shared" si="170"/>
        <v/>
      </c>
      <c r="P69" s="1515">
        <v>1800000</v>
      </c>
      <c r="Q69" s="1515" t="e">
        <f t="shared" si="10"/>
        <v>#VALUE!</v>
      </c>
      <c r="R69" s="331" t="str">
        <f>IFERROR(VLOOKUP(G69,'MON2'!MONTENALIM,4,FALSE),"")</f>
        <v/>
      </c>
      <c r="S69" s="331">
        <f>IFERROR(VLOOKUP(G69,'MON2'!MONTEFC,4,FALSE),"")</f>
        <v>0</v>
      </c>
      <c r="T69" s="331">
        <f t="shared" si="172"/>
        <v>-1800000</v>
      </c>
      <c r="U69" s="234">
        <f t="shared" si="173"/>
        <v>0</v>
      </c>
      <c r="V69" s="331" t="str">
        <f t="shared" si="174"/>
        <v/>
      </c>
      <c r="W69" s="1547">
        <v>1800000</v>
      </c>
      <c r="X69" s="1516" t="e">
        <f t="shared" si="14"/>
        <v>#VALUE!</v>
      </c>
      <c r="Y69" s="1515" t="str">
        <f>IFERROR(VLOOKUP(G69,'MON2'!MONTENALIM,5,FALSE),"")</f>
        <v/>
      </c>
      <c r="Z69" s="1517">
        <f>IFERROR(VLOOKUP(G69,'MON2'!MONTEFC,5,FALSE),"")</f>
        <v>0</v>
      </c>
      <c r="AA69" s="1548"/>
      <c r="AB69" s="1515"/>
      <c r="AC69" s="1518">
        <f t="shared" si="176"/>
        <v>3600000</v>
      </c>
      <c r="AD69" s="156" t="str">
        <f t="shared" si="260"/>
        <v>0</v>
      </c>
      <c r="AE69" s="331" t="e">
        <f t="shared" si="17"/>
        <v>#VALUE!</v>
      </c>
      <c r="AF69" s="331" t="e">
        <f t="shared" ref="AF69:AG69" si="276">Y69+R69+K69</f>
        <v>#VALUE!</v>
      </c>
      <c r="AG69" s="331">
        <f t="shared" si="276"/>
        <v>0</v>
      </c>
      <c r="AH69" s="331">
        <f t="shared" si="19"/>
        <v>0</v>
      </c>
      <c r="AI69" s="1519" t="str">
        <f t="shared" si="20"/>
        <v/>
      </c>
      <c r="AJ69" s="1520" t="str">
        <f t="shared" si="178"/>
        <v/>
      </c>
      <c r="AK69" s="156" t="e">
        <f t="shared" si="22"/>
        <v>#VALUE!</v>
      </c>
      <c r="AL69" s="1514" t="str">
        <f>IFERROR(VLOOKUP(G69,'MON2'!MONTENALIM,6,FALSE),"")</f>
        <v/>
      </c>
      <c r="AM69" s="1521">
        <f>IFERROR(VLOOKUP(G69,'MON2'!MONTEFC,6,FALSE),"")</f>
        <v>0</v>
      </c>
      <c r="AN69" s="1520"/>
      <c r="AO69" s="156" t="e">
        <f t="shared" si="23"/>
        <v>#VALUE!</v>
      </c>
      <c r="AP69" s="331" t="str">
        <f>IFERROR(VLOOKUP(G69,'MON2'!MONTENALIM,7,FALSE),"")</f>
        <v/>
      </c>
      <c r="AQ69" s="1513">
        <f>IFERROR(VLOOKUP(G69,'MON2'!MONTEFC,7,FALSE),"")</f>
        <v>0</v>
      </c>
      <c r="AR69" s="1514"/>
      <c r="AS69" s="1514" t="e">
        <f t="shared" si="24"/>
        <v>#VALUE!</v>
      </c>
      <c r="AT69" s="1514" t="str">
        <f>IFERROR(VLOOKUP(G69,'MON2'!MONTENALIM,8,FALSE),"")</f>
        <v/>
      </c>
      <c r="AU69" s="1520">
        <f>IFERROR(VLOOKUP(G69,'MON2'!MONTEFC,8,FALSE),"")</f>
        <v>0</v>
      </c>
      <c r="AV69" s="1522" t="e">
        <f t="shared" ref="AV69:AX69" si="277">SUM(AS69,AO69,AK69)</f>
        <v>#VALUE!</v>
      </c>
      <c r="AW69" s="331">
        <f t="shared" si="277"/>
        <v>0</v>
      </c>
      <c r="AX69" s="1512">
        <f t="shared" si="277"/>
        <v>0</v>
      </c>
      <c r="AY69" s="156" t="e">
        <f t="shared" ref="AY69:BA69" si="278">SUM(AV69,AE69)</f>
        <v>#VALUE!</v>
      </c>
      <c r="AZ69" s="331" t="e">
        <f t="shared" si="278"/>
        <v>#VALUE!</v>
      </c>
      <c r="BA69" s="1523">
        <f t="shared" si="278"/>
        <v>0</v>
      </c>
      <c r="BB69" s="1520" t="str">
        <f t="shared" si="264"/>
        <v/>
      </c>
      <c r="BC69" s="1524" t="e">
        <f t="shared" si="28"/>
        <v>#VALUE!</v>
      </c>
      <c r="BD69" s="331" t="str">
        <f>IFERROR(VLOOKUP(G69,'MON2'!MONTENALIM,9,FALSE),"")</f>
        <v/>
      </c>
      <c r="BE69" s="1525">
        <f>IFERROR(VLOOKUP(G69,'MON2'!MONTEFC,9,FALSE),"")</f>
        <v>12352.07</v>
      </c>
      <c r="BF69" s="1514" t="str">
        <f t="shared" si="265"/>
        <v/>
      </c>
      <c r="BG69" s="331" t="str">
        <f t="shared" si="266"/>
        <v/>
      </c>
      <c r="BH69" s="331" t="str">
        <f t="shared" si="267"/>
        <v/>
      </c>
      <c r="BI69" s="331" t="str">
        <f t="shared" si="268"/>
        <v/>
      </c>
      <c r="BJ69" s="331" t="str">
        <f t="shared" si="269"/>
        <v/>
      </c>
    </row>
    <row r="70" spans="1:62" ht="13">
      <c r="A70" s="485" t="str">
        <f t="shared" si="254"/>
        <v>MONTENEGRO</v>
      </c>
      <c r="B70" s="1466">
        <f t="shared" si="255"/>
        <v>112011822</v>
      </c>
      <c r="C70" s="1527">
        <f t="shared" si="256"/>
        <v>0</v>
      </c>
      <c r="D70" s="733" t="str">
        <f t="shared" si="257"/>
        <v/>
      </c>
      <c r="E70" s="733" t="str">
        <f t="shared" si="258"/>
        <v/>
      </c>
      <c r="F70" s="733" t="str">
        <f t="shared" si="259"/>
        <v/>
      </c>
      <c r="G70" s="1466" t="s">
        <v>1380</v>
      </c>
      <c r="H70" s="1497">
        <f t="shared" ref="H70:H82" si="279">IFERROR(VLOOKUP(G70,MONTE24,3,FALSE),"")</f>
        <v>23202.62</v>
      </c>
      <c r="I70" s="1486">
        <f t="shared" ref="I70:I75" si="280">(H70*1.601)*1.05</f>
        <v>39004.764350999998</v>
      </c>
      <c r="J70" s="1494" t="e">
        <f t="shared" si="6"/>
        <v>#VALUE!</v>
      </c>
      <c r="K70" s="1497" t="str">
        <f>IFERROR(VLOOKUP(G70,'MON2'!MONTENALIM,3,FALSE),"")</f>
        <v/>
      </c>
      <c r="L70" s="1498">
        <f>IFERROR(VLOOKUP(G70,'MON2'!MONTEFC,3,FALSE),"")</f>
        <v>0</v>
      </c>
      <c r="M70" s="1495">
        <f t="shared" si="168"/>
        <v>-39004.764350999998</v>
      </c>
      <c r="N70" s="1529">
        <f t="shared" si="169"/>
        <v>0</v>
      </c>
      <c r="O70" s="1497">
        <f t="shared" si="170"/>
        <v>11833.6</v>
      </c>
      <c r="P70" s="1485">
        <f t="shared" ref="P70:P76" si="281">(O70*1.7245)*1.05</f>
        <v>21427.395360000002</v>
      </c>
      <c r="Q70" s="1485" t="e">
        <f t="shared" si="10"/>
        <v>#VALUE!</v>
      </c>
      <c r="R70" s="1497" t="str">
        <f>IFERROR(VLOOKUP(G70,'MON2'!MONTENALIM,4,FALSE),"")</f>
        <v/>
      </c>
      <c r="S70" s="1497">
        <f>IFERROR(VLOOKUP(G70,'MON2'!MONTEFC,4,FALSE),"")</f>
        <v>0</v>
      </c>
      <c r="T70" s="1497">
        <f t="shared" si="172"/>
        <v>-21427.395360000002</v>
      </c>
      <c r="U70" s="1529">
        <f t="shared" si="173"/>
        <v>0</v>
      </c>
      <c r="V70" s="1497">
        <f t="shared" si="174"/>
        <v>23764.77</v>
      </c>
      <c r="W70" s="1486">
        <f t="shared" ref="W70:W76" si="282">(V70*1.5955)*1.05</f>
        <v>39812.525061750006</v>
      </c>
      <c r="X70" s="1487" t="e">
        <f t="shared" si="14"/>
        <v>#VALUE!</v>
      </c>
      <c r="Y70" s="1485" t="str">
        <f>IFERROR(VLOOKUP(G70,'MON2'!MONTENALIM,5,FALSE),"")</f>
        <v/>
      </c>
      <c r="Z70" s="1488">
        <f>IFERROR(VLOOKUP(G70,'MON2'!MONTEFC,5,FALSE),"")</f>
        <v>52006</v>
      </c>
      <c r="AA70" s="1489"/>
      <c r="AB70" s="1485"/>
      <c r="AC70" s="1530">
        <f t="shared" si="176"/>
        <v>100244.68477275001</v>
      </c>
      <c r="AD70" s="1494">
        <f t="shared" si="260"/>
        <v>151163.96</v>
      </c>
      <c r="AE70" s="1497" t="e">
        <f t="shared" si="17"/>
        <v>#VALUE!</v>
      </c>
      <c r="AF70" s="1497" t="e">
        <f t="shared" ref="AF70:AG70" si="283">Y70+R70+K70</f>
        <v>#VALUE!</v>
      </c>
      <c r="AG70" s="1497">
        <f t="shared" si="283"/>
        <v>52006</v>
      </c>
      <c r="AH70" s="1497">
        <f t="shared" si="19"/>
        <v>-99157.959999999992</v>
      </c>
      <c r="AI70" s="1531">
        <f t="shared" si="20"/>
        <v>0.34403703104893524</v>
      </c>
      <c r="AJ70" s="1493">
        <f t="shared" si="178"/>
        <v>0</v>
      </c>
      <c r="AK70" s="1494" t="e">
        <f t="shared" si="22"/>
        <v>#VALUE!</v>
      </c>
      <c r="AL70" s="1495" t="str">
        <f>IFERROR(VLOOKUP(G70,'MON2'!MONTENALIM,6,FALSE),"")</f>
        <v/>
      </c>
      <c r="AM70" s="1496">
        <f>IFERROR(VLOOKUP(G70,'MON2'!MONTEFC,6,FALSE),"")</f>
        <v>0</v>
      </c>
      <c r="AN70" s="1493">
        <f t="shared" ref="AN70:AN82" si="284">IFERROR(VLOOKUP(G70,MONTE24,7,FALSE),"")</f>
        <v>18054.27</v>
      </c>
      <c r="AO70" s="1494" t="e">
        <f t="shared" si="23"/>
        <v>#VALUE!</v>
      </c>
      <c r="AP70" s="1497" t="str">
        <f>IFERROR(VLOOKUP(G70,'MON2'!MONTENALIM,7,FALSE),"")</f>
        <v/>
      </c>
      <c r="AQ70" s="1498">
        <f>IFERROR(VLOOKUP(G70,'MON2'!MONTEFC,7,FALSE),"")</f>
        <v>19055.04</v>
      </c>
      <c r="AR70" s="1495">
        <f t="shared" ref="AR70:AR82" si="285">IFERROR(VLOOKUP(G70,MONTE24,8,FALSE),"")</f>
        <v>67414.06</v>
      </c>
      <c r="AS70" s="1495" t="e">
        <f t="shared" si="24"/>
        <v>#VALUE!</v>
      </c>
      <c r="AT70" s="1495" t="str">
        <f>IFERROR(VLOOKUP(G70,'MON2'!MONTENALIM,8,FALSE),"")</f>
        <v/>
      </c>
      <c r="AU70" s="1493">
        <f>IFERROR(VLOOKUP(G70,'MON2'!MONTEFC,8,FALSE),"")</f>
        <v>0</v>
      </c>
      <c r="AV70" s="1532" t="e">
        <f t="shared" ref="AV70:AX70" si="286">SUM(AS70,AO70,AK70)</f>
        <v>#VALUE!</v>
      </c>
      <c r="AW70" s="1497">
        <f t="shared" si="286"/>
        <v>0</v>
      </c>
      <c r="AX70" s="1528">
        <f t="shared" si="286"/>
        <v>19055.04</v>
      </c>
      <c r="AY70" s="1494" t="e">
        <f t="shared" ref="AY70:BA70" si="287">SUM(AV70,AE70)</f>
        <v>#VALUE!</v>
      </c>
      <c r="AZ70" s="1497" t="e">
        <f t="shared" si="287"/>
        <v>#VALUE!</v>
      </c>
      <c r="BA70" s="1533">
        <f t="shared" si="287"/>
        <v>71061.040000000008</v>
      </c>
      <c r="BB70" s="1493">
        <f t="shared" si="264"/>
        <v>145998.5</v>
      </c>
      <c r="BC70" s="1504" t="e">
        <f t="shared" si="28"/>
        <v>#VALUE!</v>
      </c>
      <c r="BD70" s="1497" t="str">
        <f>IFERROR(VLOOKUP(G70,'MON2'!MONTENALIM,9,FALSE),"")</f>
        <v/>
      </c>
      <c r="BE70" s="1505">
        <f>IFERROR(VLOOKUP(G70,'MON2'!MONTEFC,9,FALSE),"")</f>
        <v>0</v>
      </c>
      <c r="BF70" s="1495">
        <f t="shared" si="265"/>
        <v>67189.02</v>
      </c>
      <c r="BG70" s="1497">
        <f t="shared" si="266"/>
        <v>80889.990000000005</v>
      </c>
      <c r="BH70" s="1497">
        <f t="shared" si="267"/>
        <v>128526.19</v>
      </c>
      <c r="BI70" s="1497">
        <f t="shared" si="268"/>
        <v>22637.77</v>
      </c>
      <c r="BJ70" s="1497">
        <f t="shared" si="269"/>
        <v>0</v>
      </c>
    </row>
    <row r="71" spans="1:62" ht="13">
      <c r="A71" s="485" t="str">
        <f t="shared" si="254"/>
        <v>MONTENEGRO</v>
      </c>
      <c r="B71" s="1467">
        <f t="shared" si="255"/>
        <v>112013840</v>
      </c>
      <c r="C71" s="1510">
        <f t="shared" si="256"/>
        <v>0</v>
      </c>
      <c r="D71" s="1511" t="str">
        <f t="shared" si="257"/>
        <v/>
      </c>
      <c r="E71" s="1511" t="str">
        <f t="shared" si="258"/>
        <v/>
      </c>
      <c r="F71" s="1511" t="str">
        <f t="shared" si="259"/>
        <v/>
      </c>
      <c r="G71" s="1467" t="s">
        <v>1381</v>
      </c>
      <c r="H71" s="331" t="str">
        <f t="shared" si="279"/>
        <v/>
      </c>
      <c r="I71" s="1547" t="e">
        <f t="shared" si="280"/>
        <v>#VALUE!</v>
      </c>
      <c r="J71" s="156" t="e">
        <f t="shared" si="6"/>
        <v>#VALUE!</v>
      </c>
      <c r="K71" s="331" t="str">
        <f>IFERROR(VLOOKUP(G71,'MON2'!MONTENALIM,3,FALSE),"")</f>
        <v/>
      </c>
      <c r="L71" s="1513" t="str">
        <f>IFERROR(VLOOKUP(G71,'MON2'!MONTEFC,3,FALSE),"")</f>
        <v/>
      </c>
      <c r="M71" s="1514" t="e">
        <f t="shared" si="168"/>
        <v>#VALUE!</v>
      </c>
      <c r="N71" s="234" t="e">
        <f t="shared" si="169"/>
        <v>#VALUE!</v>
      </c>
      <c r="O71" s="331" t="str">
        <f t="shared" si="170"/>
        <v/>
      </c>
      <c r="P71" s="1515" t="e">
        <f t="shared" si="281"/>
        <v>#VALUE!</v>
      </c>
      <c r="Q71" s="1515" t="e">
        <f t="shared" si="10"/>
        <v>#VALUE!</v>
      </c>
      <c r="R71" s="331" t="str">
        <f>IFERROR(VLOOKUP(G71,'MON2'!MONTENALIM,4,FALSE),"")</f>
        <v/>
      </c>
      <c r="S71" s="331" t="str">
        <f>IFERROR(VLOOKUP(G71,'MON2'!MONTEFC,4,FALSE),"")</f>
        <v/>
      </c>
      <c r="T71" s="331" t="e">
        <f t="shared" si="172"/>
        <v>#VALUE!</v>
      </c>
      <c r="U71" s="234" t="e">
        <f t="shared" si="173"/>
        <v>#VALUE!</v>
      </c>
      <c r="V71" s="331" t="str">
        <f t="shared" si="174"/>
        <v/>
      </c>
      <c r="W71" s="1547" t="e">
        <f t="shared" si="282"/>
        <v>#VALUE!</v>
      </c>
      <c r="X71" s="1516" t="e">
        <f t="shared" si="14"/>
        <v>#VALUE!</v>
      </c>
      <c r="Y71" s="1515" t="str">
        <f>IFERROR(VLOOKUP(G71,'MON2'!MONTENALIM,5,FALSE),"")</f>
        <v/>
      </c>
      <c r="Z71" s="1517" t="str">
        <f>IFERROR(VLOOKUP(G71,'MON2'!MONTEFC,5,FALSE),"")</f>
        <v/>
      </c>
      <c r="AA71" s="1548"/>
      <c r="AB71" s="1515"/>
      <c r="AC71" s="1518" t="e">
        <f t="shared" si="176"/>
        <v>#VALUE!</v>
      </c>
      <c r="AD71" s="156" t="str">
        <f t="shared" si="260"/>
        <v>0</v>
      </c>
      <c r="AE71" s="331" t="e">
        <f t="shared" si="17"/>
        <v>#VALUE!</v>
      </c>
      <c r="AF71" s="331" t="e">
        <f t="shared" ref="AF71:AG71" si="288">Y71+R71+K71</f>
        <v>#VALUE!</v>
      </c>
      <c r="AG71" s="331" t="e">
        <f t="shared" si="288"/>
        <v>#VALUE!</v>
      </c>
      <c r="AH71" s="331" t="e">
        <f t="shared" si="19"/>
        <v>#VALUE!</v>
      </c>
      <c r="AI71" s="1519" t="str">
        <f t="shared" si="20"/>
        <v/>
      </c>
      <c r="AJ71" s="1520" t="str">
        <f t="shared" si="178"/>
        <v/>
      </c>
      <c r="AK71" s="156" t="e">
        <f t="shared" si="22"/>
        <v>#VALUE!</v>
      </c>
      <c r="AL71" s="1514" t="str">
        <f>IFERROR(VLOOKUP(G71,'MON2'!MONTENALIM,6,FALSE),"")</f>
        <v/>
      </c>
      <c r="AM71" s="1521" t="str">
        <f>IFERROR(VLOOKUP(G71,'MON2'!MONTEFC,6,FALSE),"")</f>
        <v/>
      </c>
      <c r="AN71" s="1520" t="str">
        <f t="shared" si="284"/>
        <v/>
      </c>
      <c r="AO71" s="156" t="e">
        <f t="shared" si="23"/>
        <v>#VALUE!</v>
      </c>
      <c r="AP71" s="331" t="str">
        <f>IFERROR(VLOOKUP(G71,'MON2'!MONTENALIM,7,FALSE),"")</f>
        <v/>
      </c>
      <c r="AQ71" s="1513" t="str">
        <f>IFERROR(VLOOKUP(G71,'MON2'!MONTEFC,7,FALSE),"")</f>
        <v/>
      </c>
      <c r="AR71" s="1514" t="str">
        <f t="shared" si="285"/>
        <v/>
      </c>
      <c r="AS71" s="1514" t="e">
        <f t="shared" si="24"/>
        <v>#VALUE!</v>
      </c>
      <c r="AT71" s="1514" t="str">
        <f>IFERROR(VLOOKUP(G71,'MON2'!MONTENALIM,8,FALSE),"")</f>
        <v/>
      </c>
      <c r="AU71" s="1520" t="str">
        <f>IFERROR(VLOOKUP(G71,'MON2'!MONTEFC,8,FALSE),"")</f>
        <v/>
      </c>
      <c r="AV71" s="1522" t="e">
        <f t="shared" ref="AV71:AX71" si="289">SUM(AS71,AO71,AK71)</f>
        <v>#VALUE!</v>
      </c>
      <c r="AW71" s="331">
        <f t="shared" si="289"/>
        <v>0</v>
      </c>
      <c r="AX71" s="1512">
        <f t="shared" si="289"/>
        <v>0</v>
      </c>
      <c r="AY71" s="156" t="e">
        <f t="shared" ref="AY71:BA71" si="290">SUM(AV71,AE71)</f>
        <v>#VALUE!</v>
      </c>
      <c r="AZ71" s="331" t="e">
        <f t="shared" si="290"/>
        <v>#VALUE!</v>
      </c>
      <c r="BA71" s="1523" t="e">
        <f t="shared" si="290"/>
        <v>#VALUE!</v>
      </c>
      <c r="BB71" s="1520" t="str">
        <f t="shared" si="264"/>
        <v/>
      </c>
      <c r="BC71" s="1524" t="e">
        <f t="shared" si="28"/>
        <v>#VALUE!</v>
      </c>
      <c r="BD71" s="331" t="str">
        <f>IFERROR(VLOOKUP(G71,'MON2'!MONTENALIM,9,FALSE),"")</f>
        <v/>
      </c>
      <c r="BE71" s="1525" t="str">
        <f>IFERROR(VLOOKUP(G71,'MON2'!MONTEFC,9,FALSE),"")</f>
        <v/>
      </c>
      <c r="BF71" s="1514" t="str">
        <f t="shared" si="265"/>
        <v/>
      </c>
      <c r="BG71" s="331" t="str">
        <f t="shared" si="266"/>
        <v/>
      </c>
      <c r="BH71" s="331" t="str">
        <f t="shared" si="267"/>
        <v/>
      </c>
      <c r="BI71" s="331" t="str">
        <f t="shared" si="268"/>
        <v/>
      </c>
      <c r="BJ71" s="331" t="str">
        <f t="shared" si="269"/>
        <v/>
      </c>
    </row>
    <row r="72" spans="1:62" ht="13">
      <c r="A72" s="485" t="str">
        <f t="shared" si="254"/>
        <v>MONTENEGRO</v>
      </c>
      <c r="B72" s="1466">
        <f t="shared" si="255"/>
        <v>112013667</v>
      </c>
      <c r="C72" s="1527">
        <f t="shared" si="256"/>
        <v>0</v>
      </c>
      <c r="D72" s="733" t="str">
        <f t="shared" si="257"/>
        <v/>
      </c>
      <c r="E72" s="733" t="str">
        <f t="shared" si="258"/>
        <v/>
      </c>
      <c r="F72" s="733" t="str">
        <f t="shared" si="259"/>
        <v/>
      </c>
      <c r="G72" s="1466" t="s">
        <v>1386</v>
      </c>
      <c r="H72" s="1497">
        <f t="shared" si="279"/>
        <v>0</v>
      </c>
      <c r="I72" s="1486">
        <f t="shared" si="280"/>
        <v>0</v>
      </c>
      <c r="J72" s="1494" t="e">
        <f t="shared" si="6"/>
        <v>#VALUE!</v>
      </c>
      <c r="K72" s="1497" t="str">
        <f>IFERROR(VLOOKUP(G72,'MON2'!MONTENALIM,3,FALSE),"")</f>
        <v/>
      </c>
      <c r="L72" s="1498">
        <f>IFERROR(VLOOKUP(G72,'MON2'!MONTEFC,3,FALSE),"")</f>
        <v>77955.22</v>
      </c>
      <c r="M72" s="1495">
        <f t="shared" si="168"/>
        <v>77955.22</v>
      </c>
      <c r="N72" s="1529" t="e">
        <f t="shared" si="169"/>
        <v>#DIV/0!</v>
      </c>
      <c r="O72" s="1497">
        <f t="shared" si="170"/>
        <v>0</v>
      </c>
      <c r="P72" s="1485">
        <f t="shared" si="281"/>
        <v>0</v>
      </c>
      <c r="Q72" s="1485" t="e">
        <f t="shared" si="10"/>
        <v>#VALUE!</v>
      </c>
      <c r="R72" s="1497" t="str">
        <f>IFERROR(VLOOKUP(G72,'MON2'!MONTENALIM,4,FALSE),"")</f>
        <v/>
      </c>
      <c r="S72" s="1497">
        <f>IFERROR(VLOOKUP(G72,'MON2'!MONTEFC,4,FALSE),"")</f>
        <v>42117.5</v>
      </c>
      <c r="T72" s="1497">
        <f t="shared" si="172"/>
        <v>42117.5</v>
      </c>
      <c r="U72" s="1529" t="e">
        <f t="shared" si="173"/>
        <v>#DIV/0!</v>
      </c>
      <c r="V72" s="1497">
        <f t="shared" si="174"/>
        <v>44290.400000000001</v>
      </c>
      <c r="W72" s="1486">
        <f t="shared" si="282"/>
        <v>74198.599860000002</v>
      </c>
      <c r="X72" s="1487" t="e">
        <f t="shared" si="14"/>
        <v>#VALUE!</v>
      </c>
      <c r="Y72" s="1485" t="str">
        <f>IFERROR(VLOOKUP(G72,'MON2'!MONTENALIM,5,FALSE),"")</f>
        <v/>
      </c>
      <c r="Z72" s="1488">
        <f>IFERROR(VLOOKUP(G72,'MON2'!MONTEFC,5,FALSE),"")</f>
        <v>34787.68</v>
      </c>
      <c r="AA72" s="1489"/>
      <c r="AB72" s="1485"/>
      <c r="AC72" s="1530">
        <f t="shared" si="176"/>
        <v>74198.599860000002</v>
      </c>
      <c r="AD72" s="1494">
        <f t="shared" si="260"/>
        <v>23172.94</v>
      </c>
      <c r="AE72" s="1497" t="e">
        <f t="shared" si="17"/>
        <v>#VALUE!</v>
      </c>
      <c r="AF72" s="1497" t="e">
        <f t="shared" ref="AF72:AG72" si="291">Y72+R72+K72</f>
        <v>#VALUE!</v>
      </c>
      <c r="AG72" s="1497">
        <f t="shared" si="291"/>
        <v>154860.4</v>
      </c>
      <c r="AH72" s="1497">
        <f t="shared" si="19"/>
        <v>131687.46</v>
      </c>
      <c r="AI72" s="1531">
        <f t="shared" si="20"/>
        <v>6.6828119349551676</v>
      </c>
      <c r="AJ72" s="1493">
        <f t="shared" si="178"/>
        <v>34878.6</v>
      </c>
      <c r="AK72" s="1494" t="e">
        <f t="shared" si="22"/>
        <v>#VALUE!</v>
      </c>
      <c r="AL72" s="1495" t="str">
        <f>IFERROR(VLOOKUP(G72,'MON2'!MONTENALIM,6,FALSE),"")</f>
        <v/>
      </c>
      <c r="AM72" s="1496">
        <f>IFERROR(VLOOKUP(G72,'MON2'!MONTEFC,6,FALSE),"")</f>
        <v>54208.639999999999</v>
      </c>
      <c r="AN72" s="1493">
        <f t="shared" si="284"/>
        <v>0</v>
      </c>
      <c r="AO72" s="1494" t="e">
        <f t="shared" si="23"/>
        <v>#VALUE!</v>
      </c>
      <c r="AP72" s="1497" t="str">
        <f>IFERROR(VLOOKUP(G72,'MON2'!MONTENALIM,7,FALSE),"")</f>
        <v/>
      </c>
      <c r="AQ72" s="1498">
        <f>IFERROR(VLOOKUP(G72,'MON2'!MONTEFC,7,FALSE),"")</f>
        <v>62465.120000000003</v>
      </c>
      <c r="AR72" s="1495">
        <f t="shared" si="285"/>
        <v>38752.25</v>
      </c>
      <c r="AS72" s="1495" t="e">
        <f t="shared" si="24"/>
        <v>#VALUE!</v>
      </c>
      <c r="AT72" s="1495" t="str">
        <f>IFERROR(VLOOKUP(G72,'MON2'!MONTENALIM,8,FALSE),"")</f>
        <v/>
      </c>
      <c r="AU72" s="1493">
        <f>IFERROR(VLOOKUP(G72,'MON2'!MONTEFC,8,FALSE),"")</f>
        <v>0</v>
      </c>
      <c r="AV72" s="1532" t="e">
        <f t="shared" ref="AV72:AX72" si="292">SUM(AS72,AO72,AK72)</f>
        <v>#VALUE!</v>
      </c>
      <c r="AW72" s="1497">
        <f t="shared" si="292"/>
        <v>0</v>
      </c>
      <c r="AX72" s="1528">
        <f t="shared" si="292"/>
        <v>116673.76000000001</v>
      </c>
      <c r="AY72" s="1494" t="e">
        <f t="shared" ref="AY72:BA72" si="293">SUM(AV72,AE72)</f>
        <v>#VALUE!</v>
      </c>
      <c r="AZ72" s="1497" t="e">
        <f t="shared" si="293"/>
        <v>#VALUE!</v>
      </c>
      <c r="BA72" s="1533">
        <f t="shared" si="293"/>
        <v>271534.16000000003</v>
      </c>
      <c r="BB72" s="1493">
        <f t="shared" si="264"/>
        <v>124761</v>
      </c>
      <c r="BC72" s="1504" t="e">
        <f t="shared" si="28"/>
        <v>#VALUE!</v>
      </c>
      <c r="BD72" s="1497" t="str">
        <f>IFERROR(VLOOKUP(G72,'MON2'!MONTENALIM,9,FALSE),"")</f>
        <v/>
      </c>
      <c r="BE72" s="1505">
        <f>IFERROR(VLOOKUP(G72,'MON2'!MONTEFC,9,FALSE),"")</f>
        <v>31097.25</v>
      </c>
      <c r="BF72" s="1495">
        <f t="shared" si="265"/>
        <v>0</v>
      </c>
      <c r="BG72" s="1497">
        <f t="shared" si="266"/>
        <v>92066.11</v>
      </c>
      <c r="BH72" s="1497">
        <f t="shared" si="267"/>
        <v>23172.94</v>
      </c>
      <c r="BI72" s="1497">
        <f t="shared" si="268"/>
        <v>0</v>
      </c>
      <c r="BJ72" s="1497">
        <f t="shared" si="269"/>
        <v>0</v>
      </c>
    </row>
    <row r="73" spans="1:62" ht="13">
      <c r="A73" s="485" t="str">
        <f t="shared" si="254"/>
        <v>MONTENEGRO</v>
      </c>
      <c r="B73" s="1467">
        <f t="shared" si="255"/>
        <v>112014135</v>
      </c>
      <c r="C73" s="1510">
        <f t="shared" si="256"/>
        <v>0</v>
      </c>
      <c r="D73" s="1511" t="str">
        <f t="shared" si="257"/>
        <v/>
      </c>
      <c r="E73" s="1511" t="str">
        <f t="shared" si="258"/>
        <v/>
      </c>
      <c r="F73" s="1511" t="str">
        <f t="shared" si="259"/>
        <v/>
      </c>
      <c r="G73" s="1467" t="s">
        <v>1382</v>
      </c>
      <c r="H73" s="331">
        <f t="shared" si="279"/>
        <v>5051.6499999999996</v>
      </c>
      <c r="I73" s="1547">
        <f t="shared" si="280"/>
        <v>8492.0762324999996</v>
      </c>
      <c r="J73" s="156" t="e">
        <f t="shared" si="6"/>
        <v>#VALUE!</v>
      </c>
      <c r="K73" s="331" t="str">
        <f>IFERROR(VLOOKUP(G73,'MON2'!MONTENALIM,3,FALSE),"")</f>
        <v/>
      </c>
      <c r="L73" s="1513">
        <f>IFERROR(VLOOKUP(G73,'MON2'!MONTEFC,3,FALSE),"")</f>
        <v>-782680.1</v>
      </c>
      <c r="M73" s="1514">
        <f t="shared" si="168"/>
        <v>-791172.1762325</v>
      </c>
      <c r="N73" s="234">
        <f t="shared" si="169"/>
        <v>-92.165929576162696</v>
      </c>
      <c r="O73" s="331">
        <f t="shared" ref="O73:O104" si="294">IFERROR(VLOOKUP(G73,MONTE24,4,FALSE),"")</f>
        <v>850759.84</v>
      </c>
      <c r="P73" s="1515">
        <f t="shared" si="281"/>
        <v>1540492.1112840001</v>
      </c>
      <c r="Q73" s="1515" t="e">
        <f t="shared" si="10"/>
        <v>#VALUE!</v>
      </c>
      <c r="R73" s="331" t="str">
        <f>IFERROR(VLOOKUP(G73,'MON2'!MONTENALIM,4,FALSE),"")</f>
        <v/>
      </c>
      <c r="S73" s="331">
        <f>IFERROR(VLOOKUP(G73,'MON2'!MONTEFC,4,FALSE),"")</f>
        <v>-20338.32</v>
      </c>
      <c r="T73" s="331">
        <f t="shared" si="172"/>
        <v>-1560830.4312840002</v>
      </c>
      <c r="U73" s="234">
        <f t="shared" si="173"/>
        <v>-1.3202482408720686E-2</v>
      </c>
      <c r="V73" s="331">
        <f t="shared" ref="V73:V104" si="295">IFERROR(VLOOKUP(G73,MONTE24,5,FALSE),"")</f>
        <v>0</v>
      </c>
      <c r="W73" s="1547">
        <f t="shared" si="282"/>
        <v>0</v>
      </c>
      <c r="X73" s="1516" t="e">
        <f t="shared" si="14"/>
        <v>#VALUE!</v>
      </c>
      <c r="Y73" s="1515" t="str">
        <f>IFERROR(VLOOKUP(G73,'MON2'!MONTENALIM,5,FALSE),"")</f>
        <v/>
      </c>
      <c r="Z73" s="1517">
        <f>IFERROR(VLOOKUP(G73,'MON2'!MONTEFC,5,FALSE),"")</f>
        <v>0</v>
      </c>
      <c r="AA73" s="1548"/>
      <c r="AB73" s="1515"/>
      <c r="AC73" s="1518">
        <f t="shared" si="176"/>
        <v>1548984.1875165</v>
      </c>
      <c r="AD73" s="156">
        <f t="shared" si="260"/>
        <v>2005249.59</v>
      </c>
      <c r="AE73" s="331" t="e">
        <f t="shared" si="17"/>
        <v>#VALUE!</v>
      </c>
      <c r="AF73" s="331" t="e">
        <f t="shared" ref="AF73:AG73" si="296">Y73+R73+K73</f>
        <v>#VALUE!</v>
      </c>
      <c r="AG73" s="331">
        <f t="shared" si="296"/>
        <v>-803018.41999999993</v>
      </c>
      <c r="AH73" s="331">
        <f t="shared" si="19"/>
        <v>-2808268.01</v>
      </c>
      <c r="AI73" s="1519">
        <f t="shared" si="20"/>
        <v>-0.40045808960868551</v>
      </c>
      <c r="AJ73" s="1520">
        <f t="shared" ref="AJ73:AJ104" si="297">IFERROR(VLOOKUP(G73,MONTE24,6,FALSE),"")</f>
        <v>1118080.3600000001</v>
      </c>
      <c r="AK73" s="156" t="e">
        <f t="shared" si="22"/>
        <v>#VALUE!</v>
      </c>
      <c r="AL73" s="1514" t="str">
        <f>IFERROR(VLOOKUP(G73,'MON2'!MONTENALIM,6,FALSE),"")</f>
        <v/>
      </c>
      <c r="AM73" s="1521">
        <f>IFERROR(VLOOKUP(G73,'MON2'!MONTEFC,6,FALSE),"")</f>
        <v>0</v>
      </c>
      <c r="AN73" s="1520">
        <f t="shared" si="284"/>
        <v>0</v>
      </c>
      <c r="AO73" s="156" t="e">
        <f t="shared" si="23"/>
        <v>#VALUE!</v>
      </c>
      <c r="AP73" s="331" t="str">
        <f>IFERROR(VLOOKUP(G73,'MON2'!MONTENALIM,7,FALSE),"")</f>
        <v/>
      </c>
      <c r="AQ73" s="1513">
        <f>IFERROR(VLOOKUP(G73,'MON2'!MONTEFC,7,FALSE),"")</f>
        <v>0</v>
      </c>
      <c r="AR73" s="1514">
        <f t="shared" si="285"/>
        <v>55428.7</v>
      </c>
      <c r="AS73" s="1514" t="e">
        <f t="shared" si="24"/>
        <v>#VALUE!</v>
      </c>
      <c r="AT73" s="1514" t="str">
        <f>IFERROR(VLOOKUP(G73,'MON2'!MONTENALIM,8,FALSE),"")</f>
        <v/>
      </c>
      <c r="AU73" s="1520">
        <f>IFERROR(VLOOKUP(G73,'MON2'!MONTEFC,8,FALSE),"")</f>
        <v>0</v>
      </c>
      <c r="AV73" s="1522" t="e">
        <f t="shared" ref="AV73:AX73" si="298">SUM(AS73,AO73,AK73)</f>
        <v>#VALUE!</v>
      </c>
      <c r="AW73" s="331">
        <f t="shared" si="298"/>
        <v>0</v>
      </c>
      <c r="AX73" s="1512">
        <f t="shared" si="298"/>
        <v>0</v>
      </c>
      <c r="AY73" s="156" t="e">
        <f t="shared" ref="AY73:BA73" si="299">SUM(AV73,AE73)</f>
        <v>#VALUE!</v>
      </c>
      <c r="AZ73" s="331" t="e">
        <f t="shared" si="299"/>
        <v>#VALUE!</v>
      </c>
      <c r="BA73" s="1523">
        <f t="shared" si="299"/>
        <v>-803018.41999999993</v>
      </c>
      <c r="BB73" s="1520">
        <f t="shared" si="264"/>
        <v>328776.95</v>
      </c>
      <c r="BC73" s="1524" t="e">
        <f t="shared" si="28"/>
        <v>#VALUE!</v>
      </c>
      <c r="BD73" s="331" t="str">
        <f>IFERROR(VLOOKUP(G73,'MON2'!MONTENALIM,9,FALSE),"")</f>
        <v/>
      </c>
      <c r="BE73" s="1525">
        <f>IFERROR(VLOOKUP(G73,'MON2'!MONTEFC,9,FALSE),"")</f>
        <v>0</v>
      </c>
      <c r="BF73" s="1514">
        <f t="shared" si="265"/>
        <v>1137995.8500000001</v>
      </c>
      <c r="BG73" s="331">
        <f t="shared" si="266"/>
        <v>0</v>
      </c>
      <c r="BH73" s="331">
        <f t="shared" si="267"/>
        <v>0</v>
      </c>
      <c r="BI73" s="331">
        <f t="shared" si="268"/>
        <v>0</v>
      </c>
      <c r="BJ73" s="331">
        <f t="shared" si="269"/>
        <v>2005249.59</v>
      </c>
    </row>
    <row r="74" spans="1:62" ht="13">
      <c r="A74" s="485" t="str">
        <f t="shared" si="254"/>
        <v>MONTENEGRO</v>
      </c>
      <c r="B74" s="1466">
        <f t="shared" si="255"/>
        <v>112014601</v>
      </c>
      <c r="C74" s="1527">
        <f t="shared" si="256"/>
        <v>0</v>
      </c>
      <c r="D74" s="733" t="str">
        <f t="shared" si="257"/>
        <v/>
      </c>
      <c r="E74" s="733" t="str">
        <f t="shared" si="258"/>
        <v/>
      </c>
      <c r="F74" s="733" t="str">
        <f t="shared" si="259"/>
        <v/>
      </c>
      <c r="G74" s="1466" t="s">
        <v>1383</v>
      </c>
      <c r="H74" s="1497">
        <f t="shared" si="279"/>
        <v>0</v>
      </c>
      <c r="I74" s="1486">
        <f t="shared" si="280"/>
        <v>0</v>
      </c>
      <c r="J74" s="1494" t="e">
        <f t="shared" si="6"/>
        <v>#VALUE!</v>
      </c>
      <c r="K74" s="1497" t="str">
        <f>IFERROR(VLOOKUP(G74,'MON2'!MONTENALIM,3,FALSE),"")</f>
        <v/>
      </c>
      <c r="L74" s="1498" t="str">
        <f>IFERROR(VLOOKUP(G74,'MON2'!MONTEFC,3,FALSE),"")</f>
        <v/>
      </c>
      <c r="M74" s="1495" t="e">
        <f t="shared" si="168"/>
        <v>#VALUE!</v>
      </c>
      <c r="N74" s="1529" t="e">
        <f t="shared" si="169"/>
        <v>#VALUE!</v>
      </c>
      <c r="O74" s="1497">
        <f t="shared" si="294"/>
        <v>0</v>
      </c>
      <c r="P74" s="1485">
        <f t="shared" si="281"/>
        <v>0</v>
      </c>
      <c r="Q74" s="1485" t="e">
        <f t="shared" si="10"/>
        <v>#VALUE!</v>
      </c>
      <c r="R74" s="1497" t="str">
        <f>IFERROR(VLOOKUP(G74,'MON2'!MONTENALIM,4,FALSE),"")</f>
        <v/>
      </c>
      <c r="S74" s="1497" t="str">
        <f>IFERROR(VLOOKUP(G74,'MON2'!MONTEFC,4,FALSE),"")</f>
        <v/>
      </c>
      <c r="T74" s="1497" t="e">
        <f t="shared" si="172"/>
        <v>#VALUE!</v>
      </c>
      <c r="U74" s="1529" t="e">
        <f t="shared" si="173"/>
        <v>#VALUE!</v>
      </c>
      <c r="V74" s="1497">
        <f t="shared" si="295"/>
        <v>0</v>
      </c>
      <c r="W74" s="1486">
        <f t="shared" si="282"/>
        <v>0</v>
      </c>
      <c r="X74" s="1487" t="e">
        <f t="shared" si="14"/>
        <v>#VALUE!</v>
      </c>
      <c r="Y74" s="1485" t="str">
        <f>IFERROR(VLOOKUP(G74,'MON2'!MONTENALIM,5,FALSE),"")</f>
        <v/>
      </c>
      <c r="Z74" s="1488" t="str">
        <f>IFERROR(VLOOKUP(G74,'MON2'!MONTEFC,5,FALSE),"")</f>
        <v/>
      </c>
      <c r="AA74" s="1489"/>
      <c r="AB74" s="1485"/>
      <c r="AC74" s="1530">
        <f t="shared" si="176"/>
        <v>0</v>
      </c>
      <c r="AD74" s="1494">
        <f t="shared" si="260"/>
        <v>247016.57</v>
      </c>
      <c r="AE74" s="1497" t="e">
        <f t="shared" si="17"/>
        <v>#VALUE!</v>
      </c>
      <c r="AF74" s="1497" t="e">
        <f t="shared" ref="AF74:AG74" si="300">Y74+R74+K74</f>
        <v>#VALUE!</v>
      </c>
      <c r="AG74" s="1497" t="e">
        <f t="shared" si="300"/>
        <v>#VALUE!</v>
      </c>
      <c r="AH74" s="1497" t="e">
        <f t="shared" si="19"/>
        <v>#VALUE!</v>
      </c>
      <c r="AI74" s="1531" t="str">
        <f t="shared" si="20"/>
        <v/>
      </c>
      <c r="AJ74" s="1493">
        <f t="shared" si="297"/>
        <v>0</v>
      </c>
      <c r="AK74" s="1494" t="e">
        <f t="shared" si="22"/>
        <v>#VALUE!</v>
      </c>
      <c r="AL74" s="1495" t="str">
        <f>IFERROR(VLOOKUP(G74,'MON2'!MONTENALIM,6,FALSE),"")</f>
        <v/>
      </c>
      <c r="AM74" s="1496" t="str">
        <f>IFERROR(VLOOKUP(G74,'MON2'!MONTEFC,6,FALSE),"")</f>
        <v/>
      </c>
      <c r="AN74" s="1493">
        <f t="shared" si="284"/>
        <v>0</v>
      </c>
      <c r="AO74" s="1494" t="e">
        <f t="shared" si="23"/>
        <v>#VALUE!</v>
      </c>
      <c r="AP74" s="1497" t="str">
        <f>IFERROR(VLOOKUP(G74,'MON2'!MONTENALIM,7,FALSE),"")</f>
        <v/>
      </c>
      <c r="AQ74" s="1498" t="str">
        <f>IFERROR(VLOOKUP(G74,'MON2'!MONTEFC,7,FALSE),"")</f>
        <v/>
      </c>
      <c r="AR74" s="1495">
        <f t="shared" si="285"/>
        <v>0</v>
      </c>
      <c r="AS74" s="1495" t="e">
        <f t="shared" si="24"/>
        <v>#VALUE!</v>
      </c>
      <c r="AT74" s="1495" t="str">
        <f>IFERROR(VLOOKUP(G74,'MON2'!MONTENALIM,8,FALSE),"")</f>
        <v/>
      </c>
      <c r="AU74" s="1493" t="str">
        <f>IFERROR(VLOOKUP(G74,'MON2'!MONTEFC,8,FALSE),"")</f>
        <v/>
      </c>
      <c r="AV74" s="1532" t="e">
        <f t="shared" ref="AV74:AX74" si="301">SUM(AS74,AO74,AK74)</f>
        <v>#VALUE!</v>
      </c>
      <c r="AW74" s="1497">
        <f t="shared" si="301"/>
        <v>0</v>
      </c>
      <c r="AX74" s="1528">
        <f t="shared" si="301"/>
        <v>0</v>
      </c>
      <c r="AY74" s="1494" t="e">
        <f t="shared" ref="AY74:BA74" si="302">SUM(AV74,AE74)</f>
        <v>#VALUE!</v>
      </c>
      <c r="AZ74" s="1497" t="e">
        <f t="shared" si="302"/>
        <v>#VALUE!</v>
      </c>
      <c r="BA74" s="1533" t="e">
        <f t="shared" si="302"/>
        <v>#VALUE!</v>
      </c>
      <c r="BB74" s="1493">
        <f t="shared" si="264"/>
        <v>0</v>
      </c>
      <c r="BC74" s="1504" t="e">
        <f t="shared" si="28"/>
        <v>#VALUE!</v>
      </c>
      <c r="BD74" s="1497" t="str">
        <f>IFERROR(VLOOKUP(G74,'MON2'!MONTENALIM,9,FALSE),"")</f>
        <v/>
      </c>
      <c r="BE74" s="1505" t="str">
        <f>IFERROR(VLOOKUP(G74,'MON2'!MONTEFC,9,FALSE),"")</f>
        <v/>
      </c>
      <c r="BF74" s="1495">
        <f t="shared" si="265"/>
        <v>0</v>
      </c>
      <c r="BG74" s="1497">
        <f t="shared" si="266"/>
        <v>0</v>
      </c>
      <c r="BH74" s="1497">
        <f t="shared" si="267"/>
        <v>0</v>
      </c>
      <c r="BI74" s="1497">
        <f t="shared" si="268"/>
        <v>247016.57</v>
      </c>
      <c r="BJ74" s="1497">
        <f t="shared" si="269"/>
        <v>0</v>
      </c>
    </row>
    <row r="75" spans="1:62" ht="13">
      <c r="A75" s="485" t="str">
        <f t="shared" si="254"/>
        <v>MONTENEGRO</v>
      </c>
      <c r="B75" s="1467">
        <f t="shared" si="255"/>
        <v>112014350</v>
      </c>
      <c r="C75" s="1510">
        <f t="shared" si="256"/>
        <v>10</v>
      </c>
      <c r="D75" s="1511">
        <f t="shared" si="257"/>
        <v>0.15</v>
      </c>
      <c r="E75" s="1511">
        <f t="shared" si="258"/>
        <v>0.23</v>
      </c>
      <c r="F75" s="1511">
        <f t="shared" si="259"/>
        <v>0</v>
      </c>
      <c r="G75" s="1467" t="s">
        <v>1261</v>
      </c>
      <c r="H75" s="331">
        <f t="shared" si="279"/>
        <v>7525240.0599999996</v>
      </c>
      <c r="I75" s="1547">
        <f t="shared" si="280"/>
        <v>12650304.802863</v>
      </c>
      <c r="J75" s="156">
        <f t="shared" si="6"/>
        <v>19869259.100000001</v>
      </c>
      <c r="K75" s="331">
        <f>IFERROR(VLOOKUP(G75,'MON2'!MONTENALIM,3,FALSE),"")</f>
        <v>6533115.0999999996</v>
      </c>
      <c r="L75" s="1513">
        <f>IFERROR(VLOOKUP(G75,'MON2'!MONTEFC,3,FALSE),"")</f>
        <v>26402374.199999999</v>
      </c>
      <c r="M75" s="1514">
        <f t="shared" si="168"/>
        <v>13752069.397136999</v>
      </c>
      <c r="N75" s="234">
        <f t="shared" si="169"/>
        <v>2.0870939168220395</v>
      </c>
      <c r="O75" s="331">
        <f t="shared" si="294"/>
        <v>6165588.2300000004</v>
      </c>
      <c r="P75" s="1515">
        <f t="shared" si="281"/>
        <v>11164184.747766752</v>
      </c>
      <c r="Q75" s="1515">
        <f t="shared" si="10"/>
        <v>13042554.25</v>
      </c>
      <c r="R75" s="331">
        <f>IFERROR(VLOOKUP(G75,'MON2'!MONTENALIM,4,FALSE),"")</f>
        <v>3270662.7</v>
      </c>
      <c r="S75" s="331">
        <f>IFERROR(VLOOKUP(G75,'MON2'!MONTEFC,4,FALSE),"")</f>
        <v>16313216.949999999</v>
      </c>
      <c r="T75" s="331">
        <f t="shared" si="172"/>
        <v>5149032.2022332475</v>
      </c>
      <c r="U75" s="234">
        <f t="shared" si="173"/>
        <v>1.4612098705427858</v>
      </c>
      <c r="V75" s="331">
        <f t="shared" si="295"/>
        <v>3414621.03</v>
      </c>
      <c r="W75" s="1547">
        <f t="shared" si="282"/>
        <v>5720429.2460332494</v>
      </c>
      <c r="X75" s="1516">
        <f t="shared" si="14"/>
        <v>12482990.639999999</v>
      </c>
      <c r="Y75" s="1515">
        <f>IFERROR(VLOOKUP(G75,'MON2'!MONTENALIM,5,FALSE),"")</f>
        <v>3341713.31</v>
      </c>
      <c r="Z75" s="1517">
        <f>IFERROR(VLOOKUP(G75,'MON2'!MONTEFC,5,FALSE),"")</f>
        <v>15824703.949999999</v>
      </c>
      <c r="AA75" s="1548"/>
      <c r="AB75" s="1515"/>
      <c r="AC75" s="1518">
        <f t="shared" si="176"/>
        <v>29534918.796663001</v>
      </c>
      <c r="AD75" s="156">
        <f t="shared" si="260"/>
        <v>63871049.740000002</v>
      </c>
      <c r="AE75" s="331">
        <f t="shared" si="17"/>
        <v>45394803.989999995</v>
      </c>
      <c r="AF75" s="331">
        <f t="shared" ref="AF75:AG75" si="303">Y75+R75+K75</f>
        <v>13145491.109999999</v>
      </c>
      <c r="AG75" s="331">
        <f t="shared" si="303"/>
        <v>58540295.099999994</v>
      </c>
      <c r="AH75" s="331">
        <f t="shared" si="19"/>
        <v>-5330754.640000008</v>
      </c>
      <c r="AI75" s="1519">
        <f t="shared" si="20"/>
        <v>0.91653879712796449</v>
      </c>
      <c r="AJ75" s="1520">
        <f t="shared" si="297"/>
        <v>7909958.1500000004</v>
      </c>
      <c r="AK75" s="156">
        <f t="shared" si="22"/>
        <v>16474893.700000001</v>
      </c>
      <c r="AL75" s="1514">
        <f>IFERROR(VLOOKUP(G75,'MON2'!MONTENALIM,6,FALSE),"")</f>
        <v>4415291.58</v>
      </c>
      <c r="AM75" s="1521">
        <f>IFERROR(VLOOKUP(G75,'MON2'!MONTEFC,6,FALSE),"")</f>
        <v>20890185.280000001</v>
      </c>
      <c r="AN75" s="1520">
        <f t="shared" si="284"/>
        <v>11448172.449999999</v>
      </c>
      <c r="AO75" s="156">
        <f t="shared" si="23"/>
        <v>5709903.7699999996</v>
      </c>
      <c r="AP75" s="331">
        <f>IFERROR(VLOOKUP(G75,'MON2'!MONTENALIM,7,FALSE),"")</f>
        <v>4112956.09</v>
      </c>
      <c r="AQ75" s="1513">
        <f>IFERROR(VLOOKUP(G75,'MON2'!MONTEFC,7,FALSE),"")</f>
        <v>9822859.8599999994</v>
      </c>
      <c r="AR75" s="1514">
        <f t="shared" si="285"/>
        <v>4567882.18</v>
      </c>
      <c r="AS75" s="1514">
        <f t="shared" si="24"/>
        <v>12494461.690000001</v>
      </c>
      <c r="AT75" s="1514">
        <f>IFERROR(VLOOKUP(G75,'MON2'!MONTENALIM,8,FALSE),"")</f>
        <v>3213080.38</v>
      </c>
      <c r="AU75" s="1520">
        <f>IFERROR(VLOOKUP(G75,'MON2'!MONTEFC,8,FALSE),"")</f>
        <v>15707542.07</v>
      </c>
      <c r="AV75" s="1522">
        <f t="shared" ref="AV75:AX75" si="304">SUM(AS75,AO75,AK75)</f>
        <v>34679259.160000004</v>
      </c>
      <c r="AW75" s="331">
        <f t="shared" si="304"/>
        <v>11741328.050000001</v>
      </c>
      <c r="AX75" s="1512">
        <f t="shared" si="304"/>
        <v>46420587.210000001</v>
      </c>
      <c r="AY75" s="156">
        <f t="shared" ref="AY75:BA75" si="305">SUM(AV75,AE75)</f>
        <v>80074063.150000006</v>
      </c>
      <c r="AZ75" s="331">
        <f t="shared" si="305"/>
        <v>24886819.16</v>
      </c>
      <c r="BA75" s="1523">
        <f t="shared" si="305"/>
        <v>104960882.31</v>
      </c>
      <c r="BB75" s="1520">
        <f t="shared" si="264"/>
        <v>17821530.48</v>
      </c>
      <c r="BC75" s="1524">
        <f t="shared" si="28"/>
        <v>7504742.0600000005</v>
      </c>
      <c r="BD75" s="331">
        <f>IFERROR(VLOOKUP(G75,'MON2'!MONTENALIM,9,FALSE),"")</f>
        <v>2458459.5299999998</v>
      </c>
      <c r="BE75" s="1525">
        <f>IFERROR(VLOOKUP(G75,'MON2'!MONTEFC,9,FALSE),"")</f>
        <v>9963201.5899999999</v>
      </c>
      <c r="BF75" s="1514">
        <f t="shared" si="265"/>
        <v>3382922.51</v>
      </c>
      <c r="BG75" s="331">
        <f t="shared" si="266"/>
        <v>6003987.9900000002</v>
      </c>
      <c r="BH75" s="331">
        <f t="shared" si="267"/>
        <v>18771174.59</v>
      </c>
      <c r="BI75" s="331">
        <f t="shared" si="268"/>
        <v>22242847.699999999</v>
      </c>
      <c r="BJ75" s="331">
        <f t="shared" si="269"/>
        <v>22857027.449999999</v>
      </c>
    </row>
    <row r="76" spans="1:62" ht="13">
      <c r="A76" s="485" t="str">
        <f t="shared" si="254"/>
        <v>MONTENEGRO</v>
      </c>
      <c r="B76" s="1466">
        <f t="shared" si="255"/>
        <v>112013754</v>
      </c>
      <c r="C76" s="1527">
        <f t="shared" si="256"/>
        <v>10</v>
      </c>
      <c r="D76" s="733">
        <f t="shared" si="257"/>
        <v>0.15</v>
      </c>
      <c r="E76" s="733">
        <f t="shared" si="258"/>
        <v>0.23</v>
      </c>
      <c r="F76" s="733">
        <f t="shared" si="259"/>
        <v>0</v>
      </c>
      <c r="G76" s="1466" t="s">
        <v>1329</v>
      </c>
      <c r="H76" s="1497">
        <f t="shared" si="279"/>
        <v>1042526.26</v>
      </c>
      <c r="I76" s="1486">
        <v>3000000</v>
      </c>
      <c r="J76" s="1494">
        <f t="shared" si="6"/>
        <v>181182.68999999994</v>
      </c>
      <c r="K76" s="1497">
        <f>IFERROR(VLOOKUP(G76,'MON2'!MONTENALIM,3,FALSE),"")</f>
        <v>3955675.48</v>
      </c>
      <c r="L76" s="1498">
        <f>IFERROR(VLOOKUP(G76,'MON2'!MONTEFC,3,FALSE),"")</f>
        <v>4136858.17</v>
      </c>
      <c r="M76" s="1495">
        <f t="shared" si="168"/>
        <v>1136858.17</v>
      </c>
      <c r="N76" s="1529">
        <f t="shared" si="169"/>
        <v>1.3789527233333334</v>
      </c>
      <c r="O76" s="1497">
        <f t="shared" si="294"/>
        <v>2474521.96</v>
      </c>
      <c r="P76" s="1485">
        <f t="shared" si="281"/>
        <v>4480678.7760209991</v>
      </c>
      <c r="Q76" s="1485">
        <f t="shared" si="10"/>
        <v>825891.60000000009</v>
      </c>
      <c r="R76" s="1497">
        <f>IFERROR(VLOOKUP(G76,'MON2'!MONTENALIM,4,FALSE),"")</f>
        <v>3254255.8</v>
      </c>
      <c r="S76" s="1497">
        <f>IFERROR(VLOOKUP(G76,'MON2'!MONTEFC,4,FALSE),"")</f>
        <v>4080147.4</v>
      </c>
      <c r="T76" s="1497">
        <f t="shared" si="172"/>
        <v>-400531.37602099916</v>
      </c>
      <c r="U76" s="1529">
        <f t="shared" si="173"/>
        <v>0.91060921881646573</v>
      </c>
      <c r="V76" s="1497">
        <f t="shared" si="295"/>
        <v>4530569.57</v>
      </c>
      <c r="W76" s="1486">
        <f t="shared" si="282"/>
        <v>7589949.9363817507</v>
      </c>
      <c r="X76" s="1487">
        <f t="shared" si="14"/>
        <v>0</v>
      </c>
      <c r="Y76" s="1485">
        <f>IFERROR(VLOOKUP(G76,'MON2'!MONTENALIM,5,FALSE),"")</f>
        <v>1334513.49</v>
      </c>
      <c r="Z76" s="1488">
        <f>IFERROR(VLOOKUP(G76,'MON2'!MONTEFC,5,FALSE),"")</f>
        <v>1334513.49</v>
      </c>
      <c r="AA76" s="1489"/>
      <c r="AB76" s="1485"/>
      <c r="AC76" s="1530">
        <f t="shared" si="176"/>
        <v>15070628.71240275</v>
      </c>
      <c r="AD76" s="1494">
        <f t="shared" si="260"/>
        <v>8781854.0899999999</v>
      </c>
      <c r="AE76" s="1497">
        <f t="shared" si="17"/>
        <v>1007074.2899999991</v>
      </c>
      <c r="AF76" s="1497">
        <f t="shared" ref="AF76:AG76" si="306">Y76+R76+K76</f>
        <v>8544444.7699999996</v>
      </c>
      <c r="AG76" s="1497">
        <f t="shared" si="306"/>
        <v>9551519.0599999987</v>
      </c>
      <c r="AH76" s="1497">
        <f t="shared" si="19"/>
        <v>769664.96999999881</v>
      </c>
      <c r="AI76" s="1531">
        <f t="shared" si="20"/>
        <v>1.0876426506421264</v>
      </c>
      <c r="AJ76" s="1493">
        <f t="shared" si="297"/>
        <v>2555883.9700000002</v>
      </c>
      <c r="AK76" s="1494">
        <f t="shared" si="22"/>
        <v>408408</v>
      </c>
      <c r="AL76" s="1495">
        <f>IFERROR(VLOOKUP(G76,'MON2'!MONTENALIM,6,FALSE),"")</f>
        <v>4957931.16</v>
      </c>
      <c r="AM76" s="1496">
        <f>IFERROR(VLOOKUP(G76,'MON2'!MONTEFC,6,FALSE),"")</f>
        <v>5366339.16</v>
      </c>
      <c r="AN76" s="1493">
        <f t="shared" si="284"/>
        <v>1770576.43</v>
      </c>
      <c r="AO76" s="1494">
        <f t="shared" si="23"/>
        <v>0</v>
      </c>
      <c r="AP76" s="1497">
        <f>IFERROR(VLOOKUP(G76,'MON2'!MONTENALIM,7,FALSE),"")</f>
        <v>2219853.41</v>
      </c>
      <c r="AQ76" s="1498">
        <f>IFERROR(VLOOKUP(G76,'MON2'!MONTEFC,7,FALSE),"")</f>
        <v>2219853.41</v>
      </c>
      <c r="AR76" s="1495">
        <f t="shared" si="285"/>
        <v>1486299.38</v>
      </c>
      <c r="AS76" s="1495">
        <f t="shared" si="24"/>
        <v>0</v>
      </c>
      <c r="AT76" s="1495">
        <f>IFERROR(VLOOKUP(G76,'MON2'!MONTENALIM,8,FALSE),"")</f>
        <v>3747675.32</v>
      </c>
      <c r="AU76" s="1493">
        <f>IFERROR(VLOOKUP(G76,'MON2'!MONTEFC,8,FALSE),"")</f>
        <v>3747675.32</v>
      </c>
      <c r="AV76" s="1532">
        <f t="shared" ref="AV76:AX76" si="307">SUM(AS76,AO76,AK76)</f>
        <v>408408</v>
      </c>
      <c r="AW76" s="1497">
        <f t="shared" si="307"/>
        <v>10925459.890000001</v>
      </c>
      <c r="AX76" s="1528">
        <f t="shared" si="307"/>
        <v>11333867.890000001</v>
      </c>
      <c r="AY76" s="1494">
        <f t="shared" ref="AY76:BA76" si="308">SUM(AV76,AE76)</f>
        <v>1415482.2899999991</v>
      </c>
      <c r="AZ76" s="1497">
        <f t="shared" si="308"/>
        <v>19469904.66</v>
      </c>
      <c r="BA76" s="1533">
        <f t="shared" si="308"/>
        <v>20885386.949999999</v>
      </c>
      <c r="BB76" s="1493">
        <f t="shared" si="264"/>
        <v>2357876.67</v>
      </c>
      <c r="BC76" s="1504">
        <f t="shared" si="28"/>
        <v>0</v>
      </c>
      <c r="BD76" s="1497">
        <f>IFERROR(VLOOKUP(G76,'MON2'!MONTENALIM,9,FALSE),"")</f>
        <v>260280.44</v>
      </c>
      <c r="BE76" s="1505">
        <f>IFERROR(VLOOKUP(G76,'MON2'!MONTEFC,9,FALSE),"")</f>
        <v>260280.44</v>
      </c>
      <c r="BF76" s="1495">
        <f t="shared" si="265"/>
        <v>2062404.07</v>
      </c>
      <c r="BG76" s="1497">
        <f t="shared" si="266"/>
        <v>1434004.48</v>
      </c>
      <c r="BH76" s="1497">
        <f t="shared" si="267"/>
        <v>2150300.4900000002</v>
      </c>
      <c r="BI76" s="1497">
        <f t="shared" si="268"/>
        <v>5052113.03</v>
      </c>
      <c r="BJ76" s="1497">
        <f t="shared" si="269"/>
        <v>1579440.58</v>
      </c>
    </row>
    <row r="77" spans="1:62" ht="13">
      <c r="A77" s="485" t="str">
        <f t="shared" si="254"/>
        <v>MONTENEGRO</v>
      </c>
      <c r="B77" s="1467">
        <f t="shared" si="255"/>
        <v>112014416</v>
      </c>
      <c r="C77" s="1510">
        <f t="shared" si="256"/>
        <v>10</v>
      </c>
      <c r="D77" s="1552">
        <f t="shared" si="257"/>
        <v>0.15</v>
      </c>
      <c r="E77" s="1552">
        <f t="shared" si="258"/>
        <v>0.23</v>
      </c>
      <c r="F77" s="1552">
        <f t="shared" si="259"/>
        <v>0</v>
      </c>
      <c r="G77" s="1553" t="s">
        <v>1262</v>
      </c>
      <c r="H77" s="1554" t="str">
        <f t="shared" si="279"/>
        <v/>
      </c>
      <c r="I77" s="1555">
        <v>3000000</v>
      </c>
      <c r="J77" s="156">
        <f t="shared" si="6"/>
        <v>2670315.41</v>
      </c>
      <c r="K77" s="331">
        <f>IFERROR(VLOOKUP(G77,'MON2'!MONTENALIM,3,FALSE),"")</f>
        <v>245546.4</v>
      </c>
      <c r="L77" s="1513">
        <f>IFERROR(VLOOKUP(G77,'MON2'!MONTEFC,3,FALSE),"")</f>
        <v>2915861.81</v>
      </c>
      <c r="M77" s="1514">
        <f t="shared" si="168"/>
        <v>-84138.189999999944</v>
      </c>
      <c r="N77" s="234">
        <f t="shared" si="169"/>
        <v>0.97195393666666674</v>
      </c>
      <c r="O77" s="1556" t="str">
        <f t="shared" si="294"/>
        <v/>
      </c>
      <c r="P77" s="1557">
        <v>3000000</v>
      </c>
      <c r="Q77" s="1515">
        <f t="shared" si="10"/>
        <v>2200017.02</v>
      </c>
      <c r="R77" s="331">
        <f>IFERROR(VLOOKUP(G77,'MON2'!MONTENALIM,4,FALSE),"")</f>
        <v>201691.8</v>
      </c>
      <c r="S77" s="331">
        <f>IFERROR(VLOOKUP(G77,'MON2'!MONTEFC,4,FALSE),"")</f>
        <v>2401708.8199999998</v>
      </c>
      <c r="T77" s="331">
        <f t="shared" si="172"/>
        <v>-598291.18000000017</v>
      </c>
      <c r="U77" s="234">
        <f t="shared" si="173"/>
        <v>0.80056960666666666</v>
      </c>
      <c r="V77" s="1556" t="str">
        <f t="shared" si="295"/>
        <v/>
      </c>
      <c r="W77" s="1558">
        <v>3000000</v>
      </c>
      <c r="X77" s="1516">
        <f t="shared" si="14"/>
        <v>1345296.61</v>
      </c>
      <c r="Y77" s="1515">
        <f>IFERROR(VLOOKUP(G77,'MON2'!MONTENALIM,5,FALSE),"")</f>
        <v>704532.5</v>
      </c>
      <c r="Z77" s="1517">
        <f>IFERROR(VLOOKUP(G77,'MON2'!MONTEFC,5,FALSE),"")</f>
        <v>2049829.11</v>
      </c>
      <c r="AA77" s="1559"/>
      <c r="AB77" s="1557"/>
      <c r="AC77" s="1560">
        <f t="shared" si="176"/>
        <v>9000000</v>
      </c>
      <c r="AD77" s="156" t="str">
        <f t="shared" si="260"/>
        <v>0</v>
      </c>
      <c r="AE77" s="331">
        <f t="shared" si="17"/>
        <v>6215629.04</v>
      </c>
      <c r="AF77" s="331">
        <f t="shared" ref="AF77:AG77" si="309">Y77+R77+K77</f>
        <v>1151770.7</v>
      </c>
      <c r="AG77" s="331">
        <f t="shared" si="309"/>
        <v>7367399.7400000002</v>
      </c>
      <c r="AH77" s="331">
        <f t="shared" si="19"/>
        <v>7367399.7400000002</v>
      </c>
      <c r="AI77" s="1519" t="str">
        <f t="shared" si="20"/>
        <v/>
      </c>
      <c r="AJ77" s="1520" t="str">
        <f t="shared" si="297"/>
        <v/>
      </c>
      <c r="AK77" s="156">
        <f t="shared" si="22"/>
        <v>1861557.13</v>
      </c>
      <c r="AL77" s="1514">
        <f>IFERROR(VLOOKUP(G77,'MON2'!MONTENALIM,6,FALSE),"")</f>
        <v>855161.41</v>
      </c>
      <c r="AM77" s="1521">
        <f>IFERROR(VLOOKUP(G77,'MON2'!MONTEFC,6,FALSE),"")</f>
        <v>2716718.54</v>
      </c>
      <c r="AN77" s="1520" t="str">
        <f t="shared" si="284"/>
        <v/>
      </c>
      <c r="AO77" s="156">
        <f t="shared" si="23"/>
        <v>1438463.2799999998</v>
      </c>
      <c r="AP77" s="331">
        <f>IFERROR(VLOOKUP(G77,'MON2'!MONTENALIM,7,FALSE),"")</f>
        <v>237289.12</v>
      </c>
      <c r="AQ77" s="1513">
        <f>IFERROR(VLOOKUP(G77,'MON2'!MONTEFC,7,FALSE),"")</f>
        <v>1675752.4</v>
      </c>
      <c r="AR77" s="1514" t="str">
        <f t="shared" si="285"/>
        <v/>
      </c>
      <c r="AS77" s="1514">
        <f t="shared" si="24"/>
        <v>1439506.01</v>
      </c>
      <c r="AT77" s="1514">
        <f>IFERROR(VLOOKUP(G77,'MON2'!MONTENALIM,8,FALSE),"")</f>
        <v>305072.26</v>
      </c>
      <c r="AU77" s="1520">
        <f>IFERROR(VLOOKUP(G77,'MON2'!MONTEFC,8,FALSE),"")</f>
        <v>1744578.27</v>
      </c>
      <c r="AV77" s="1522">
        <f t="shared" ref="AV77:AX77" si="310">SUM(AS77,AO77,AK77)</f>
        <v>4739526.42</v>
      </c>
      <c r="AW77" s="331">
        <f t="shared" si="310"/>
        <v>1397522.79</v>
      </c>
      <c r="AX77" s="1512">
        <f t="shared" si="310"/>
        <v>6137049.21</v>
      </c>
      <c r="AY77" s="156">
        <f t="shared" ref="AY77:BA77" si="311">SUM(AV77,AE77)</f>
        <v>10955155.460000001</v>
      </c>
      <c r="AZ77" s="331">
        <f t="shared" si="311"/>
        <v>2549293.4900000002</v>
      </c>
      <c r="BA77" s="1523">
        <f t="shared" si="311"/>
        <v>13504448.949999999</v>
      </c>
      <c r="BB77" s="1520" t="str">
        <f t="shared" si="264"/>
        <v/>
      </c>
      <c r="BC77" s="1524">
        <f t="shared" si="28"/>
        <v>481117.92</v>
      </c>
      <c r="BD77" s="331">
        <f>IFERROR(VLOOKUP(G77,'MON2'!MONTENALIM,9,FALSE),"")</f>
        <v>271296.84000000003</v>
      </c>
      <c r="BE77" s="1525">
        <f>IFERROR(VLOOKUP(G77,'MON2'!MONTEFC,9,FALSE),"")</f>
        <v>752414.76</v>
      </c>
      <c r="BF77" s="1514" t="str">
        <f t="shared" si="265"/>
        <v/>
      </c>
      <c r="BG77" s="331" t="str">
        <f t="shared" si="266"/>
        <v/>
      </c>
      <c r="BH77" s="331" t="str">
        <f t="shared" si="267"/>
        <v/>
      </c>
      <c r="BI77" s="331" t="str">
        <f t="shared" si="268"/>
        <v/>
      </c>
      <c r="BJ77" s="331" t="str">
        <f t="shared" si="269"/>
        <v/>
      </c>
    </row>
    <row r="78" spans="1:62" ht="13">
      <c r="A78" s="485" t="str">
        <f t="shared" si="254"/>
        <v>MONTENEGRO</v>
      </c>
      <c r="B78" s="1466">
        <f t="shared" si="255"/>
        <v>112013028</v>
      </c>
      <c r="C78" s="1527">
        <f t="shared" si="256"/>
        <v>12</v>
      </c>
      <c r="D78" s="733">
        <f t="shared" si="257"/>
        <v>0.15</v>
      </c>
      <c r="E78" s="733">
        <f t="shared" si="258"/>
        <v>0.09</v>
      </c>
      <c r="F78" s="733">
        <f t="shared" si="259"/>
        <v>0</v>
      </c>
      <c r="G78" s="1466" t="s">
        <v>1265</v>
      </c>
      <c r="H78" s="1497">
        <f t="shared" si="279"/>
        <v>978427.52</v>
      </c>
      <c r="I78" s="1486">
        <v>3000000</v>
      </c>
      <c r="J78" s="1494">
        <f t="shared" si="6"/>
        <v>2975622.96</v>
      </c>
      <c r="K78" s="1497">
        <f>IFERROR(VLOOKUP(G78,'MON2'!MONTENALIM,3,FALSE),"")</f>
        <v>647082.79</v>
      </c>
      <c r="L78" s="1498">
        <f>IFERROR(VLOOKUP(G78,'MON2'!MONTEFC,3,FALSE),"")</f>
        <v>3622705.75</v>
      </c>
      <c r="M78" s="1495">
        <f t="shared" si="168"/>
        <v>622705.75</v>
      </c>
      <c r="N78" s="1529">
        <f t="shared" si="169"/>
        <v>1.2075685833333334</v>
      </c>
      <c r="O78" s="1497">
        <f t="shared" si="294"/>
        <v>926375.51</v>
      </c>
      <c r="P78" s="1485">
        <v>3000000</v>
      </c>
      <c r="Q78" s="1485">
        <f t="shared" si="10"/>
        <v>2018958.9100000001</v>
      </c>
      <c r="R78" s="1497">
        <f>IFERROR(VLOOKUP(G78,'MON2'!MONTENALIM,4,FALSE),"")</f>
        <v>575171.73</v>
      </c>
      <c r="S78" s="1497">
        <f>IFERROR(VLOOKUP(G78,'MON2'!MONTEFC,4,FALSE),"")</f>
        <v>2594130.64</v>
      </c>
      <c r="T78" s="1497">
        <f t="shared" si="172"/>
        <v>-405869.35999999987</v>
      </c>
      <c r="U78" s="1529">
        <f t="shared" si="173"/>
        <v>0.86471021333333342</v>
      </c>
      <c r="V78" s="1497">
        <f t="shared" si="295"/>
        <v>726795.25</v>
      </c>
      <c r="W78" s="1486">
        <v>3000000</v>
      </c>
      <c r="X78" s="1487">
        <f t="shared" si="14"/>
        <v>1462400.24</v>
      </c>
      <c r="Y78" s="1485">
        <f>IFERROR(VLOOKUP(G78,'MON2'!MONTENALIM,5,FALSE),"")</f>
        <v>361936.83</v>
      </c>
      <c r="Z78" s="1488">
        <f>IFERROR(VLOOKUP(G78,'MON2'!MONTEFC,5,FALSE),"")</f>
        <v>1824337.07</v>
      </c>
      <c r="AA78" s="1489"/>
      <c r="AB78" s="1485"/>
      <c r="AC78" s="1530">
        <f t="shared" si="176"/>
        <v>9000000</v>
      </c>
      <c r="AD78" s="1494">
        <f t="shared" si="260"/>
        <v>5114487.78</v>
      </c>
      <c r="AE78" s="1497">
        <f t="shared" si="17"/>
        <v>6456982.1099999994</v>
      </c>
      <c r="AF78" s="1497">
        <f t="shared" ref="AF78:AG78" si="312">Y78+R78+K78</f>
        <v>1584191.35</v>
      </c>
      <c r="AG78" s="1497">
        <f t="shared" si="312"/>
        <v>8041173.46</v>
      </c>
      <c r="AH78" s="1497">
        <f t="shared" si="19"/>
        <v>2926685.6799999997</v>
      </c>
      <c r="AI78" s="1531">
        <f t="shared" si="20"/>
        <v>1.5722343675244834</v>
      </c>
      <c r="AJ78" s="1493">
        <f t="shared" si="297"/>
        <v>335537.76</v>
      </c>
      <c r="AK78" s="1494">
        <f t="shared" si="22"/>
        <v>587955.39</v>
      </c>
      <c r="AL78" s="1495">
        <f>IFERROR(VLOOKUP(G78,'MON2'!MONTENALIM,6,FALSE),"")</f>
        <v>212943.67</v>
      </c>
      <c r="AM78" s="1496">
        <f>IFERROR(VLOOKUP(G78,'MON2'!MONTEFC,6,FALSE),"")</f>
        <v>800899.06</v>
      </c>
      <c r="AN78" s="1493">
        <f t="shared" si="284"/>
        <v>807644.38</v>
      </c>
      <c r="AO78" s="1494">
        <f t="shared" si="23"/>
        <v>634129.33000000007</v>
      </c>
      <c r="AP78" s="1497">
        <f>IFERROR(VLOOKUP(G78,'MON2'!MONTENALIM,7,FALSE),"")</f>
        <v>133977.32999999999</v>
      </c>
      <c r="AQ78" s="1498">
        <f>IFERROR(VLOOKUP(G78,'MON2'!MONTEFC,7,FALSE),"")</f>
        <v>768106.66</v>
      </c>
      <c r="AR78" s="1495">
        <f t="shared" si="285"/>
        <v>621944.56000000006</v>
      </c>
      <c r="AS78" s="1495">
        <f t="shared" si="24"/>
        <v>409092.65</v>
      </c>
      <c r="AT78" s="1495">
        <f>IFERROR(VLOOKUP(G78,'MON2'!MONTENALIM,8,FALSE),"")</f>
        <v>83737.899999999994</v>
      </c>
      <c r="AU78" s="1493">
        <f>IFERROR(VLOOKUP(G78,'MON2'!MONTEFC,8,FALSE),"")</f>
        <v>492830.55</v>
      </c>
      <c r="AV78" s="1532">
        <f t="shared" ref="AV78:AX78" si="313">SUM(AS78,AO78,AK78)</f>
        <v>1631177.37</v>
      </c>
      <c r="AW78" s="1497">
        <f t="shared" si="313"/>
        <v>430658.9</v>
      </c>
      <c r="AX78" s="1528">
        <f t="shared" si="313"/>
        <v>2061836.27</v>
      </c>
      <c r="AY78" s="1494">
        <f t="shared" ref="AY78:BA78" si="314">SUM(AV78,AE78)</f>
        <v>8088159.4799999995</v>
      </c>
      <c r="AZ78" s="1497">
        <f t="shared" si="314"/>
        <v>2014850.25</v>
      </c>
      <c r="BA78" s="1533">
        <f t="shared" si="314"/>
        <v>10103009.73</v>
      </c>
      <c r="BB78" s="1493">
        <f t="shared" si="264"/>
        <v>825050.87</v>
      </c>
      <c r="BC78" s="1504">
        <f t="shared" si="28"/>
        <v>374747.23</v>
      </c>
      <c r="BD78" s="1497">
        <f>IFERROR(VLOOKUP(G78,'MON2'!MONTENALIM,9,FALSE),"")</f>
        <v>81038.820000000007</v>
      </c>
      <c r="BE78" s="1505">
        <f>IFERROR(VLOOKUP(G78,'MON2'!MONTEFC,9,FALSE),"")</f>
        <v>455786.05</v>
      </c>
      <c r="BF78" s="1495">
        <f t="shared" si="265"/>
        <v>490289</v>
      </c>
      <c r="BG78" s="1497">
        <f t="shared" si="266"/>
        <v>768678.23</v>
      </c>
      <c r="BH78" s="1497">
        <f t="shared" si="267"/>
        <v>1621635.63</v>
      </c>
      <c r="BI78" s="1497">
        <f t="shared" si="268"/>
        <v>1583725.49</v>
      </c>
      <c r="BJ78" s="1497">
        <f t="shared" si="269"/>
        <v>1909126.66</v>
      </c>
    </row>
    <row r="79" spans="1:62" ht="13">
      <c r="A79" s="485" t="str">
        <f t="shared" si="254"/>
        <v>MONTENEGRO</v>
      </c>
      <c r="B79" s="1467">
        <f t="shared" si="255"/>
        <v>112013457</v>
      </c>
      <c r="C79" s="1510">
        <f t="shared" si="256"/>
        <v>12</v>
      </c>
      <c r="D79" s="1511">
        <f t="shared" si="257"/>
        <v>0.15</v>
      </c>
      <c r="E79" s="1511">
        <f t="shared" si="258"/>
        <v>0.09</v>
      </c>
      <c r="F79" s="1511">
        <f t="shared" si="259"/>
        <v>0</v>
      </c>
      <c r="G79" s="1467" t="s">
        <v>1271</v>
      </c>
      <c r="H79" s="331">
        <f t="shared" si="279"/>
        <v>1220645.6299999999</v>
      </c>
      <c r="I79" s="1547">
        <v>3000000</v>
      </c>
      <c r="J79" s="156" t="e">
        <f t="shared" si="6"/>
        <v>#VALUE!</v>
      </c>
      <c r="K79" s="331" t="str">
        <f>IFERROR(VLOOKUP(G79,'MON2'!MONTENALIM,3,FALSE),"")</f>
        <v/>
      </c>
      <c r="L79" s="1513">
        <f>IFERROR(VLOOKUP(G79,'MON2'!MONTEFC,3,FALSE),"")</f>
        <v>147316.35</v>
      </c>
      <c r="M79" s="1514">
        <f t="shared" si="168"/>
        <v>-2852683.65</v>
      </c>
      <c r="N79" s="234">
        <f t="shared" si="169"/>
        <v>4.9105450000000002E-2</v>
      </c>
      <c r="O79" s="331">
        <f t="shared" si="294"/>
        <v>1279730.48</v>
      </c>
      <c r="P79" s="1515">
        <v>3000000</v>
      </c>
      <c r="Q79" s="1515" t="e">
        <f t="shared" si="10"/>
        <v>#VALUE!</v>
      </c>
      <c r="R79" s="331" t="str">
        <f>IFERROR(VLOOKUP(G79,'MON2'!MONTENALIM,4,FALSE),"")</f>
        <v/>
      </c>
      <c r="S79" s="331">
        <f>IFERROR(VLOOKUP(G79,'MON2'!MONTEFC,4,FALSE),"")</f>
        <v>2529309.36</v>
      </c>
      <c r="T79" s="331">
        <f t="shared" si="172"/>
        <v>-470690.64000000013</v>
      </c>
      <c r="U79" s="234">
        <f t="shared" si="173"/>
        <v>0.84310311999999998</v>
      </c>
      <c r="V79" s="331">
        <f t="shared" si="295"/>
        <v>1583849.84</v>
      </c>
      <c r="W79" s="1547">
        <v>3000000</v>
      </c>
      <c r="X79" s="1516" t="e">
        <f t="shared" si="14"/>
        <v>#VALUE!</v>
      </c>
      <c r="Y79" s="1515" t="str">
        <f>IFERROR(VLOOKUP(G79,'MON2'!MONTENALIM,5,FALSE),"")</f>
        <v/>
      </c>
      <c r="Z79" s="1517">
        <f>IFERROR(VLOOKUP(G79,'MON2'!MONTEFC,5,FALSE),"")</f>
        <v>1023678.6</v>
      </c>
      <c r="AA79" s="1548"/>
      <c r="AB79" s="1515"/>
      <c r="AC79" s="1518">
        <f t="shared" si="176"/>
        <v>9000000</v>
      </c>
      <c r="AD79" s="156">
        <f t="shared" si="260"/>
        <v>4510022.1900000004</v>
      </c>
      <c r="AE79" s="331" t="e">
        <f t="shared" si="17"/>
        <v>#VALUE!</v>
      </c>
      <c r="AF79" s="331" t="e">
        <f t="shared" ref="AF79:AG79" si="315">Y79+R79+K79</f>
        <v>#VALUE!</v>
      </c>
      <c r="AG79" s="331">
        <f t="shared" si="315"/>
        <v>3700304.31</v>
      </c>
      <c r="AH79" s="331">
        <f t="shared" si="19"/>
        <v>-809717.88000000035</v>
      </c>
      <c r="AI79" s="1519">
        <f t="shared" si="20"/>
        <v>0.82046255076186214</v>
      </c>
      <c r="AJ79" s="1520">
        <f t="shared" si="297"/>
        <v>1854237.28</v>
      </c>
      <c r="AK79" s="156" t="e">
        <f t="shared" si="22"/>
        <v>#VALUE!</v>
      </c>
      <c r="AL79" s="1514" t="str">
        <f>IFERROR(VLOOKUP(G79,'MON2'!MONTENALIM,6,FALSE),"")</f>
        <v/>
      </c>
      <c r="AM79" s="1521">
        <f>IFERROR(VLOOKUP(G79,'MON2'!MONTEFC,6,FALSE),"")</f>
        <v>1351136.87</v>
      </c>
      <c r="AN79" s="1520">
        <f t="shared" si="284"/>
        <v>3275588.71</v>
      </c>
      <c r="AO79" s="156" t="e">
        <f t="shared" si="23"/>
        <v>#VALUE!</v>
      </c>
      <c r="AP79" s="331" t="str">
        <f>IFERROR(VLOOKUP(G79,'MON2'!MONTENALIM,7,FALSE),"")</f>
        <v/>
      </c>
      <c r="AQ79" s="1513">
        <f>IFERROR(VLOOKUP(G79,'MON2'!MONTEFC,7,FALSE),"")</f>
        <v>2404983.98</v>
      </c>
      <c r="AR79" s="1514">
        <f t="shared" si="285"/>
        <v>3123805.51</v>
      </c>
      <c r="AS79" s="1514" t="e">
        <f t="shared" si="24"/>
        <v>#VALUE!</v>
      </c>
      <c r="AT79" s="1514" t="str">
        <f>IFERROR(VLOOKUP(G79,'MON2'!MONTENALIM,8,FALSE),"")</f>
        <v/>
      </c>
      <c r="AU79" s="1520">
        <f>IFERROR(VLOOKUP(G79,'MON2'!MONTEFC,8,FALSE),"")</f>
        <v>2105166.35</v>
      </c>
      <c r="AV79" s="1522" t="e">
        <f t="shared" ref="AV79:AX79" si="316">SUM(AS79,AO79,AK79)</f>
        <v>#VALUE!</v>
      </c>
      <c r="AW79" s="331">
        <f t="shared" si="316"/>
        <v>0</v>
      </c>
      <c r="AX79" s="1512">
        <f t="shared" si="316"/>
        <v>5861287.2000000002</v>
      </c>
      <c r="AY79" s="156" t="e">
        <f t="shared" ref="AY79:BA79" si="317">SUM(AV79,AE79)</f>
        <v>#VALUE!</v>
      </c>
      <c r="AZ79" s="331" t="e">
        <f t="shared" si="317"/>
        <v>#VALUE!</v>
      </c>
      <c r="BA79" s="1523">
        <f t="shared" si="317"/>
        <v>9561591.5099999998</v>
      </c>
      <c r="BB79" s="1520">
        <f t="shared" si="264"/>
        <v>3415165.63</v>
      </c>
      <c r="BC79" s="1524" t="e">
        <f t="shared" si="28"/>
        <v>#VALUE!</v>
      </c>
      <c r="BD79" s="331" t="str">
        <f>IFERROR(VLOOKUP(G79,'MON2'!MONTENALIM,9,FALSE),"")</f>
        <v/>
      </c>
      <c r="BE79" s="1525">
        <f>IFERROR(VLOOKUP(G79,'MON2'!MONTEFC,9,FALSE),"")</f>
        <v>937147.27</v>
      </c>
      <c r="BF79" s="1514">
        <f t="shared" si="265"/>
        <v>2659548.15</v>
      </c>
      <c r="BG79" s="331">
        <f t="shared" si="266"/>
        <v>1651567.38</v>
      </c>
      <c r="BH79" s="331">
        <f t="shared" si="267"/>
        <v>1989411.6</v>
      </c>
      <c r="BI79" s="331">
        <f t="shared" si="268"/>
        <v>1030618.32</v>
      </c>
      <c r="BJ79" s="331">
        <f t="shared" si="269"/>
        <v>1489992.27</v>
      </c>
    </row>
    <row r="80" spans="1:62" ht="13">
      <c r="A80" s="485" t="str">
        <f t="shared" si="254"/>
        <v>MONTENEGRO</v>
      </c>
      <c r="B80" s="1466">
        <f t="shared" si="255"/>
        <v>112012626</v>
      </c>
      <c r="C80" s="1527">
        <f t="shared" si="256"/>
        <v>12</v>
      </c>
      <c r="D80" s="733">
        <f t="shared" si="257"/>
        <v>0.15</v>
      </c>
      <c r="E80" s="733">
        <f t="shared" si="258"/>
        <v>0.09</v>
      </c>
      <c r="F80" s="733">
        <f t="shared" si="259"/>
        <v>0</v>
      </c>
      <c r="G80" s="1466" t="s">
        <v>1336</v>
      </c>
      <c r="H80" s="1497">
        <f t="shared" si="279"/>
        <v>0</v>
      </c>
      <c r="I80" s="1486">
        <v>3000000</v>
      </c>
      <c r="J80" s="1494">
        <f t="shared" si="6"/>
        <v>0</v>
      </c>
      <c r="K80" s="1497">
        <f>IFERROR(VLOOKUP(G80,'MON2'!MONTENALIM,3,FALSE),"")</f>
        <v>0</v>
      </c>
      <c r="L80" s="1498">
        <f>IFERROR(VLOOKUP(G80,'MON2'!MONTEFC,3,FALSE),"")</f>
        <v>0</v>
      </c>
      <c r="M80" s="1495">
        <f t="shared" si="168"/>
        <v>-3000000</v>
      </c>
      <c r="N80" s="1529">
        <f t="shared" si="169"/>
        <v>0</v>
      </c>
      <c r="O80" s="1497">
        <f t="shared" si="294"/>
        <v>0</v>
      </c>
      <c r="P80" s="1485">
        <v>3000000</v>
      </c>
      <c r="Q80" s="1485">
        <f t="shared" si="10"/>
        <v>0</v>
      </c>
      <c r="R80" s="1497">
        <f>IFERROR(VLOOKUP(G80,'MON2'!MONTENALIM,4,FALSE),"")</f>
        <v>149234.91</v>
      </c>
      <c r="S80" s="1497">
        <f>IFERROR(VLOOKUP(G80,'MON2'!MONTEFC,4,FALSE),"")</f>
        <v>149234.91</v>
      </c>
      <c r="T80" s="1497">
        <f t="shared" si="172"/>
        <v>-2850765.09</v>
      </c>
      <c r="U80" s="1529">
        <f t="shared" si="173"/>
        <v>4.9744969999999999E-2</v>
      </c>
      <c r="V80" s="1497">
        <f t="shared" si="295"/>
        <v>281424.77</v>
      </c>
      <c r="W80" s="1486">
        <v>3000000</v>
      </c>
      <c r="X80" s="1487">
        <f t="shared" si="14"/>
        <v>0</v>
      </c>
      <c r="Y80" s="1485">
        <f>IFERROR(VLOOKUP(G80,'MON2'!MONTENALIM,5,FALSE),"")</f>
        <v>0</v>
      </c>
      <c r="Z80" s="1488">
        <f>IFERROR(VLOOKUP(G80,'MON2'!MONTEFC,5,FALSE),"")</f>
        <v>0</v>
      </c>
      <c r="AA80" s="1489"/>
      <c r="AB80" s="1485"/>
      <c r="AC80" s="1530">
        <f t="shared" si="176"/>
        <v>9000000</v>
      </c>
      <c r="AD80" s="1494">
        <f t="shared" si="260"/>
        <v>2487373.44</v>
      </c>
      <c r="AE80" s="1497">
        <f t="shared" si="17"/>
        <v>0</v>
      </c>
      <c r="AF80" s="1497">
        <f t="shared" ref="AF80:AG80" si="318">Y80+R80+K80</f>
        <v>149234.91</v>
      </c>
      <c r="AG80" s="1497">
        <f t="shared" si="318"/>
        <v>149234.91</v>
      </c>
      <c r="AH80" s="1497">
        <f t="shared" si="19"/>
        <v>-2338138.5299999998</v>
      </c>
      <c r="AI80" s="1531">
        <f t="shared" si="20"/>
        <v>5.9996986218522945E-2</v>
      </c>
      <c r="AJ80" s="1493">
        <f t="shared" si="297"/>
        <v>957432.74</v>
      </c>
      <c r="AK80" s="1494">
        <f t="shared" si="22"/>
        <v>1292774.6399999999</v>
      </c>
      <c r="AL80" s="1495">
        <f>IFERROR(VLOOKUP(G80,'MON2'!MONTENALIM,6,FALSE),"")</f>
        <v>194577.57</v>
      </c>
      <c r="AM80" s="1496">
        <f>IFERROR(VLOOKUP(G80,'MON2'!MONTEFC,6,FALSE),"")</f>
        <v>1487352.21</v>
      </c>
      <c r="AN80" s="1493">
        <f t="shared" si="284"/>
        <v>1892562.26</v>
      </c>
      <c r="AO80" s="1494">
        <f t="shared" si="23"/>
        <v>191005.5</v>
      </c>
      <c r="AP80" s="1497">
        <f>IFERROR(VLOOKUP(G80,'MON2'!MONTENALIM,7,FALSE),"")</f>
        <v>0</v>
      </c>
      <c r="AQ80" s="1498">
        <f>IFERROR(VLOOKUP(G80,'MON2'!MONTEFC,7,FALSE),"")</f>
        <v>191005.5</v>
      </c>
      <c r="AR80" s="1495">
        <f t="shared" si="285"/>
        <v>0</v>
      </c>
      <c r="AS80" s="1495">
        <f t="shared" si="24"/>
        <v>0</v>
      </c>
      <c r="AT80" s="1495">
        <f>IFERROR(VLOOKUP(G80,'MON2'!MONTENALIM,8,FALSE),"")</f>
        <v>194558.4</v>
      </c>
      <c r="AU80" s="1493">
        <f>IFERROR(VLOOKUP(G80,'MON2'!MONTEFC,8,FALSE),"")</f>
        <v>194558.4</v>
      </c>
      <c r="AV80" s="1532">
        <f t="shared" ref="AV80:AX80" si="319">SUM(AS80,AO80,AK80)</f>
        <v>1483780.14</v>
      </c>
      <c r="AW80" s="1497">
        <f t="shared" si="319"/>
        <v>389135.97</v>
      </c>
      <c r="AX80" s="1528">
        <f t="shared" si="319"/>
        <v>1872916.1099999999</v>
      </c>
      <c r="AY80" s="1494">
        <f t="shared" ref="AY80:BA80" si="320">SUM(AV80,AE80)</f>
        <v>1483780.14</v>
      </c>
      <c r="AZ80" s="1497">
        <f t="shared" si="320"/>
        <v>538370.88</v>
      </c>
      <c r="BA80" s="1533">
        <f t="shared" si="320"/>
        <v>2022151.0199999998</v>
      </c>
      <c r="BB80" s="1493">
        <f t="shared" si="264"/>
        <v>959115.99</v>
      </c>
      <c r="BC80" s="1504">
        <f t="shared" si="28"/>
        <v>0</v>
      </c>
      <c r="BD80" s="1497">
        <f>IFERROR(VLOOKUP(G80,'MON2'!MONTENALIM,9,FALSE),"")</f>
        <v>0</v>
      </c>
      <c r="BE80" s="1505">
        <f>IFERROR(VLOOKUP(G80,'MON2'!MONTEFC,9,FALSE),"")</f>
        <v>0</v>
      </c>
      <c r="BF80" s="1495">
        <f t="shared" si="265"/>
        <v>0</v>
      </c>
      <c r="BG80" s="1497">
        <f t="shared" si="266"/>
        <v>1176684.8899999999</v>
      </c>
      <c r="BH80" s="1497">
        <f t="shared" si="267"/>
        <v>573234.09</v>
      </c>
      <c r="BI80" s="1497">
        <f t="shared" si="268"/>
        <v>0</v>
      </c>
      <c r="BJ80" s="1497">
        <f t="shared" si="269"/>
        <v>1914139.34</v>
      </c>
    </row>
    <row r="81" spans="1:62" ht="13">
      <c r="A81" s="485" t="str">
        <f t="shared" si="254"/>
        <v>MONTENEGRO</v>
      </c>
      <c r="B81" s="1467">
        <f t="shared" si="255"/>
        <v>112014014</v>
      </c>
      <c r="C81" s="1510">
        <f t="shared" si="256"/>
        <v>10</v>
      </c>
      <c r="D81" s="1511">
        <f t="shared" si="257"/>
        <v>0.15</v>
      </c>
      <c r="E81" s="1511">
        <f t="shared" si="258"/>
        <v>0.23</v>
      </c>
      <c r="F81" s="1511">
        <f t="shared" si="259"/>
        <v>0</v>
      </c>
      <c r="G81" s="1467" t="s">
        <v>1263</v>
      </c>
      <c r="H81" s="331">
        <f t="shared" si="279"/>
        <v>0</v>
      </c>
      <c r="I81" s="1547">
        <f>(H81*1.601)*1.05</f>
        <v>0</v>
      </c>
      <c r="J81" s="156">
        <f t="shared" si="6"/>
        <v>28989.25</v>
      </c>
      <c r="K81" s="331">
        <f>IFERROR(VLOOKUP(G81,'MON2'!MONTENALIM,3,FALSE),"")</f>
        <v>3661456.6</v>
      </c>
      <c r="L81" s="1513">
        <f>IFERROR(VLOOKUP(G81,'MON2'!MONTEFC,3,FALSE),"")</f>
        <v>3690445.85</v>
      </c>
      <c r="M81" s="1514">
        <f t="shared" si="168"/>
        <v>3690445.85</v>
      </c>
      <c r="N81" s="234" t="e">
        <f t="shared" si="169"/>
        <v>#DIV/0!</v>
      </c>
      <c r="O81" s="331">
        <f t="shared" si="294"/>
        <v>0</v>
      </c>
      <c r="P81" s="1515">
        <f>(O81*1.7245)*1.05</f>
        <v>0</v>
      </c>
      <c r="Q81" s="1515">
        <f t="shared" si="10"/>
        <v>23263</v>
      </c>
      <c r="R81" s="331">
        <f>IFERROR(VLOOKUP(G81,'MON2'!MONTENALIM,4,FALSE),"")</f>
        <v>3592376.37</v>
      </c>
      <c r="S81" s="331">
        <f>IFERROR(VLOOKUP(G81,'MON2'!MONTEFC,4,FALSE),"")</f>
        <v>3615639.37</v>
      </c>
      <c r="T81" s="331">
        <f t="shared" si="172"/>
        <v>3615639.37</v>
      </c>
      <c r="U81" s="234" t="e">
        <f t="shared" si="173"/>
        <v>#DIV/0!</v>
      </c>
      <c r="V81" s="331">
        <f t="shared" si="295"/>
        <v>0</v>
      </c>
      <c r="W81" s="1547">
        <f>(V81*1.5955)*1.05</f>
        <v>0</v>
      </c>
      <c r="X81" s="1516">
        <f t="shared" si="14"/>
        <v>0</v>
      </c>
      <c r="Y81" s="1515">
        <f>IFERROR(VLOOKUP(G81,'MON2'!MONTENALIM,5,FALSE),"")</f>
        <v>2747568.22</v>
      </c>
      <c r="Z81" s="1517">
        <f>IFERROR(VLOOKUP(G81,'MON2'!MONTEFC,5,FALSE),"")</f>
        <v>2747568.22</v>
      </c>
      <c r="AA81" s="1548"/>
      <c r="AB81" s="1515"/>
      <c r="AC81" s="1518">
        <f t="shared" si="176"/>
        <v>0</v>
      </c>
      <c r="AD81" s="156">
        <f t="shared" si="260"/>
        <v>5714165.3099999996</v>
      </c>
      <c r="AE81" s="331">
        <f t="shared" si="17"/>
        <v>52252.25</v>
      </c>
      <c r="AF81" s="331">
        <f t="shared" ref="AF81:AG81" si="321">Y81+R81+K81</f>
        <v>10001401.189999999</v>
      </c>
      <c r="AG81" s="331">
        <f t="shared" si="321"/>
        <v>10053653.439999999</v>
      </c>
      <c r="AH81" s="331">
        <f t="shared" si="19"/>
        <v>4339488.13</v>
      </c>
      <c r="AI81" s="1519">
        <f t="shared" si="20"/>
        <v>1.7594264244343327</v>
      </c>
      <c r="AJ81" s="1520">
        <f t="shared" si="297"/>
        <v>0</v>
      </c>
      <c r="AK81" s="156">
        <f t="shared" si="22"/>
        <v>0</v>
      </c>
      <c r="AL81" s="1514">
        <f>IFERROR(VLOOKUP(G81,'MON2'!MONTENALIM,6,FALSE),"")</f>
        <v>3185547.87</v>
      </c>
      <c r="AM81" s="1521">
        <f>IFERROR(VLOOKUP(G81,'MON2'!MONTEFC,6,FALSE),"")</f>
        <v>3185547.87</v>
      </c>
      <c r="AN81" s="1520">
        <f t="shared" si="284"/>
        <v>1354537.25</v>
      </c>
      <c r="AO81" s="156">
        <f t="shared" si="23"/>
        <v>0</v>
      </c>
      <c r="AP81" s="331">
        <f>IFERROR(VLOOKUP(G81,'MON2'!MONTENALIM,7,FALSE),"")</f>
        <v>1570322.61</v>
      </c>
      <c r="AQ81" s="1513">
        <f>IFERROR(VLOOKUP(G81,'MON2'!MONTEFC,7,FALSE),"")</f>
        <v>1570322.61</v>
      </c>
      <c r="AR81" s="1514">
        <f t="shared" si="285"/>
        <v>0</v>
      </c>
      <c r="AS81" s="1514">
        <f t="shared" si="24"/>
        <v>2864834.82</v>
      </c>
      <c r="AT81" s="1514">
        <f>IFERROR(VLOOKUP(G81,'MON2'!MONTENALIM,8,FALSE),"")</f>
        <v>3704238.85</v>
      </c>
      <c r="AU81" s="1520">
        <f>IFERROR(VLOOKUP(G81,'MON2'!MONTEFC,8,FALSE),"")</f>
        <v>6569073.6699999999</v>
      </c>
      <c r="AV81" s="1522">
        <f t="shared" ref="AV81:AX81" si="322">SUM(AS81,AO81,AK81)</f>
        <v>2864834.82</v>
      </c>
      <c r="AW81" s="331">
        <f t="shared" si="322"/>
        <v>8460109.3300000001</v>
      </c>
      <c r="AX81" s="1512">
        <f t="shared" si="322"/>
        <v>11324944.15</v>
      </c>
      <c r="AY81" s="156">
        <f t="shared" ref="AY81:BA81" si="323">SUM(AV81,AE81)</f>
        <v>2917087.07</v>
      </c>
      <c r="AZ81" s="331">
        <f t="shared" si="323"/>
        <v>18461510.52</v>
      </c>
      <c r="BA81" s="1523">
        <f t="shared" si="323"/>
        <v>21378597.59</v>
      </c>
      <c r="BB81" s="1520">
        <f t="shared" si="264"/>
        <v>1663730.06</v>
      </c>
      <c r="BC81" s="1524">
        <f t="shared" si="28"/>
        <v>6702688.5499999989</v>
      </c>
      <c r="BD81" s="331">
        <f>IFERROR(VLOOKUP(G81,'MON2'!MONTENALIM,9,FALSE),"")</f>
        <v>2543289.4700000002</v>
      </c>
      <c r="BE81" s="1525">
        <f>IFERROR(VLOOKUP(G81,'MON2'!MONTEFC,9,FALSE),"")</f>
        <v>9245978.0199999996</v>
      </c>
      <c r="BF81" s="1514">
        <f t="shared" si="265"/>
        <v>1185697.1000000001</v>
      </c>
      <c r="BG81" s="331">
        <f t="shared" si="266"/>
        <v>1663802.67</v>
      </c>
      <c r="BH81" s="331">
        <f t="shared" si="267"/>
        <v>1592577.49</v>
      </c>
      <c r="BI81" s="331">
        <f t="shared" si="268"/>
        <v>0</v>
      </c>
      <c r="BJ81" s="331">
        <f t="shared" si="269"/>
        <v>4121587.83</v>
      </c>
    </row>
    <row r="82" spans="1:62" ht="13">
      <c r="A82" s="485" t="str">
        <f t="shared" si="254"/>
        <v>MONTENEGRO</v>
      </c>
      <c r="B82" s="1466">
        <f t="shared" si="255"/>
        <v>112011735</v>
      </c>
      <c r="C82" s="1527">
        <f t="shared" si="256"/>
        <v>12</v>
      </c>
      <c r="D82" s="733">
        <f t="shared" si="257"/>
        <v>0.15</v>
      </c>
      <c r="E82" s="733">
        <f t="shared" si="258"/>
        <v>0.09</v>
      </c>
      <c r="F82" s="733">
        <f t="shared" si="259"/>
        <v>0</v>
      </c>
      <c r="G82" s="1466" t="s">
        <v>1285</v>
      </c>
      <c r="H82" s="1497">
        <f t="shared" si="279"/>
        <v>930156.71</v>
      </c>
      <c r="I82" s="1486">
        <v>3000000</v>
      </c>
      <c r="J82" s="1494">
        <f t="shared" si="6"/>
        <v>2716362.13</v>
      </c>
      <c r="K82" s="1497">
        <f>IFERROR(VLOOKUP(G82,'MON2'!MONTENALIM,3,FALSE),"")</f>
        <v>150640.01999999999</v>
      </c>
      <c r="L82" s="1498">
        <f>IFERROR(VLOOKUP(G82,'MON2'!MONTEFC,3,FALSE),"")</f>
        <v>2867002.15</v>
      </c>
      <c r="M82" s="1495">
        <f t="shared" si="168"/>
        <v>-132997.85000000009</v>
      </c>
      <c r="N82" s="1529">
        <f t="shared" si="169"/>
        <v>0.95566738333333334</v>
      </c>
      <c r="O82" s="1497">
        <f t="shared" si="294"/>
        <v>520312.17</v>
      </c>
      <c r="P82" s="1485">
        <v>3000000</v>
      </c>
      <c r="Q82" s="1485">
        <f t="shared" si="10"/>
        <v>1481106.47</v>
      </c>
      <c r="R82" s="1497">
        <f>IFERROR(VLOOKUP(G82,'MON2'!MONTENALIM,4,FALSE),"")</f>
        <v>179609.08</v>
      </c>
      <c r="S82" s="1497">
        <f>IFERROR(VLOOKUP(G82,'MON2'!MONTEFC,4,FALSE),"")</f>
        <v>1660715.55</v>
      </c>
      <c r="T82" s="1497">
        <f t="shared" si="172"/>
        <v>-1339284.45</v>
      </c>
      <c r="U82" s="1529">
        <f t="shared" si="173"/>
        <v>0.55357184999999998</v>
      </c>
      <c r="V82" s="1497">
        <f t="shared" si="295"/>
        <v>288219.65999999997</v>
      </c>
      <c r="W82" s="1486">
        <v>3000000</v>
      </c>
      <c r="X82" s="1487">
        <f t="shared" si="14"/>
        <v>488720.11999999994</v>
      </c>
      <c r="Y82" s="1485">
        <f>IFERROR(VLOOKUP(G82,'MON2'!MONTENALIM,5,FALSE),"")</f>
        <v>39485.21</v>
      </c>
      <c r="Z82" s="1488">
        <f>IFERROR(VLOOKUP(G82,'MON2'!MONTEFC,5,FALSE),"")</f>
        <v>528205.32999999996</v>
      </c>
      <c r="AA82" s="1489"/>
      <c r="AB82" s="1485"/>
      <c r="AC82" s="1530">
        <f t="shared" si="176"/>
        <v>9000000</v>
      </c>
      <c r="AD82" s="1494">
        <f t="shared" si="260"/>
        <v>3596302.39</v>
      </c>
      <c r="AE82" s="1497">
        <f t="shared" si="17"/>
        <v>4686188.72</v>
      </c>
      <c r="AF82" s="1497">
        <f t="shared" ref="AF82:AG82" si="324">Y82+R82+K82</f>
        <v>369734.30999999994</v>
      </c>
      <c r="AG82" s="1497">
        <f t="shared" si="324"/>
        <v>5055923.0299999993</v>
      </c>
      <c r="AH82" s="1497">
        <f t="shared" si="19"/>
        <v>1459620.6399999992</v>
      </c>
      <c r="AI82" s="1531">
        <f t="shared" si="20"/>
        <v>1.4058670494613217</v>
      </c>
      <c r="AJ82" s="1493">
        <f t="shared" si="297"/>
        <v>1699038.95</v>
      </c>
      <c r="AK82" s="1494">
        <f t="shared" si="22"/>
        <v>1093564.25</v>
      </c>
      <c r="AL82" s="1495">
        <f>IFERROR(VLOOKUP(G82,'MON2'!MONTENALIM,6,FALSE),"")</f>
        <v>90459.5</v>
      </c>
      <c r="AM82" s="1496">
        <f>IFERROR(VLOOKUP(G82,'MON2'!MONTEFC,6,FALSE),"")</f>
        <v>1184023.75</v>
      </c>
      <c r="AN82" s="1493">
        <f t="shared" si="284"/>
        <v>604359.97</v>
      </c>
      <c r="AO82" s="1494">
        <f t="shared" si="23"/>
        <v>1575048.8</v>
      </c>
      <c r="AP82" s="1497">
        <f>IFERROR(VLOOKUP(G82,'MON2'!MONTENALIM,7,FALSE),"")</f>
        <v>0</v>
      </c>
      <c r="AQ82" s="1498">
        <f>IFERROR(VLOOKUP(G82,'MON2'!MONTEFC,7,FALSE),"")</f>
        <v>1575048.8</v>
      </c>
      <c r="AR82" s="1495">
        <f t="shared" si="285"/>
        <v>380561.75</v>
      </c>
      <c r="AS82" s="1495">
        <f t="shared" si="24"/>
        <v>1007904.1599999999</v>
      </c>
      <c r="AT82" s="1495">
        <f>IFERROR(VLOOKUP(G82,'MON2'!MONTENALIM,8,FALSE),"")</f>
        <v>30705.78</v>
      </c>
      <c r="AU82" s="1493">
        <f>IFERROR(VLOOKUP(G82,'MON2'!MONTEFC,8,FALSE),"")</f>
        <v>1038609.94</v>
      </c>
      <c r="AV82" s="1532">
        <f t="shared" ref="AV82:AX82" si="325">SUM(AS82,AO82,AK82)</f>
        <v>3676517.21</v>
      </c>
      <c r="AW82" s="1497">
        <f t="shared" si="325"/>
        <v>121165.28</v>
      </c>
      <c r="AX82" s="1528">
        <f t="shared" si="325"/>
        <v>3797682.49</v>
      </c>
      <c r="AY82" s="1494">
        <f t="shared" ref="AY82:BA82" si="326">SUM(AV82,AE82)</f>
        <v>8362705.9299999997</v>
      </c>
      <c r="AZ82" s="1497">
        <f t="shared" si="326"/>
        <v>490899.58999999997</v>
      </c>
      <c r="BA82" s="1533">
        <f t="shared" si="326"/>
        <v>8853605.5199999996</v>
      </c>
      <c r="BB82" s="1493">
        <f t="shared" si="264"/>
        <v>745505.95</v>
      </c>
      <c r="BC82" s="1504">
        <f t="shared" si="28"/>
        <v>106482.56</v>
      </c>
      <c r="BD82" s="1497">
        <f>IFERROR(VLOOKUP(G82,'MON2'!MONTENALIM,9,FALSE),"")</f>
        <v>0</v>
      </c>
      <c r="BE82" s="1505">
        <f>IFERROR(VLOOKUP(G82,'MON2'!MONTEFC,9,FALSE),"")</f>
        <v>106482.56</v>
      </c>
      <c r="BF82" s="1495">
        <f t="shared" si="265"/>
        <v>1260025.3500000001</v>
      </c>
      <c r="BG82" s="1497">
        <f t="shared" si="266"/>
        <v>977523.96</v>
      </c>
      <c r="BH82" s="1497">
        <f t="shared" si="267"/>
        <v>1021319.88</v>
      </c>
      <c r="BI82" s="1497">
        <f t="shared" si="268"/>
        <v>1232169.8600000001</v>
      </c>
      <c r="BJ82" s="1497">
        <f t="shared" si="269"/>
        <v>1342812.65</v>
      </c>
    </row>
    <row r="83" spans="1:62" ht="13">
      <c r="A83" s="485" t="str">
        <f t="shared" si="254"/>
        <v>MONTENEGRO</v>
      </c>
      <c r="B83" s="1467">
        <f t="shared" si="255"/>
        <v>112013711</v>
      </c>
      <c r="C83" s="1510">
        <f t="shared" si="256"/>
        <v>12</v>
      </c>
      <c r="D83" s="1511">
        <f t="shared" si="257"/>
        <v>0.15</v>
      </c>
      <c r="E83" s="1511">
        <f t="shared" si="258"/>
        <v>0.09</v>
      </c>
      <c r="F83" s="1511">
        <f t="shared" si="259"/>
        <v>0</v>
      </c>
      <c r="G83" s="1467" t="s">
        <v>1266</v>
      </c>
      <c r="H83" s="331"/>
      <c r="I83" s="1512"/>
      <c r="J83" s="156" t="e">
        <f t="shared" si="6"/>
        <v>#VALUE!</v>
      </c>
      <c r="K83" s="331" t="str">
        <f>IFERROR(VLOOKUP(G83,'MON2'!MONTENALIM,3,FALSE),"")</f>
        <v/>
      </c>
      <c r="L83" s="1513">
        <f>IFERROR(VLOOKUP(G83,'MON2'!MONTEFC,3,FALSE),"")</f>
        <v>0</v>
      </c>
      <c r="M83" s="1514">
        <f t="shared" si="168"/>
        <v>0</v>
      </c>
      <c r="N83" s="234" t="e">
        <f t="shared" si="169"/>
        <v>#DIV/0!</v>
      </c>
      <c r="O83" s="1515" t="str">
        <f t="shared" si="294"/>
        <v/>
      </c>
      <c r="P83" s="1515">
        <v>1800000</v>
      </c>
      <c r="Q83" s="1515" t="e">
        <f t="shared" si="10"/>
        <v>#VALUE!</v>
      </c>
      <c r="R83" s="331" t="str">
        <f>IFERROR(VLOOKUP(G83,'MON2'!MONTENALIM,4,FALSE),"")</f>
        <v/>
      </c>
      <c r="S83" s="331">
        <f>IFERROR(VLOOKUP(G83,'MON2'!MONTEFC,4,FALSE),"")</f>
        <v>0</v>
      </c>
      <c r="T83" s="331">
        <f t="shared" si="172"/>
        <v>-1800000</v>
      </c>
      <c r="U83" s="234">
        <f t="shared" si="173"/>
        <v>0</v>
      </c>
      <c r="V83" s="1515" t="str">
        <f t="shared" si="295"/>
        <v/>
      </c>
      <c r="W83" s="1547">
        <v>1800000</v>
      </c>
      <c r="X83" s="1516" t="e">
        <f t="shared" si="14"/>
        <v>#VALUE!</v>
      </c>
      <c r="Y83" s="1515" t="str">
        <f>IFERROR(VLOOKUP(G83,'MON2'!MONTENALIM,5,FALSE),"")</f>
        <v/>
      </c>
      <c r="Z83" s="1517">
        <f>IFERROR(VLOOKUP(G83,'MON2'!MONTEFC,5,FALSE),"")</f>
        <v>0</v>
      </c>
      <c r="AA83" s="1548"/>
      <c r="AB83" s="1515"/>
      <c r="AC83" s="1551">
        <f t="shared" si="176"/>
        <v>3600000</v>
      </c>
      <c r="AD83" s="156" t="str">
        <f t="shared" si="260"/>
        <v>0</v>
      </c>
      <c r="AE83" s="331" t="e">
        <f t="shared" si="17"/>
        <v>#VALUE!</v>
      </c>
      <c r="AF83" s="331" t="e">
        <f t="shared" ref="AF83:AG83" si="327">Y83+R83+K83</f>
        <v>#VALUE!</v>
      </c>
      <c r="AG83" s="331">
        <f t="shared" si="327"/>
        <v>0</v>
      </c>
      <c r="AH83" s="331">
        <f t="shared" si="19"/>
        <v>0</v>
      </c>
      <c r="AI83" s="1519" t="str">
        <f t="shared" si="20"/>
        <v/>
      </c>
      <c r="AJ83" s="1520" t="str">
        <f t="shared" si="297"/>
        <v/>
      </c>
      <c r="AK83" s="156" t="e">
        <f t="shared" si="22"/>
        <v>#VALUE!</v>
      </c>
      <c r="AL83" s="1514" t="str">
        <f>IFERROR(VLOOKUP(G83,'MON2'!MONTENALIM,6,FALSE),"")</f>
        <v/>
      </c>
      <c r="AM83" s="1521">
        <f>IFERROR(VLOOKUP(G83,'MON2'!MONTEFC,6,FALSE),"")</f>
        <v>0</v>
      </c>
      <c r="AN83" s="1520"/>
      <c r="AO83" s="156" t="e">
        <f t="shared" si="23"/>
        <v>#VALUE!</v>
      </c>
      <c r="AP83" s="331" t="str">
        <f>IFERROR(VLOOKUP(G83,'MON2'!MONTENALIM,7,FALSE),"")</f>
        <v/>
      </c>
      <c r="AQ83" s="1513">
        <f>IFERROR(VLOOKUP(G83,'MON2'!MONTEFC,7,FALSE),"")</f>
        <v>0</v>
      </c>
      <c r="AR83" s="1514"/>
      <c r="AS83" s="1514" t="e">
        <f t="shared" si="24"/>
        <v>#VALUE!</v>
      </c>
      <c r="AT83" s="1514" t="str">
        <f>IFERROR(VLOOKUP(G83,'MON2'!MONTENALIM,8,FALSE),"")</f>
        <v/>
      </c>
      <c r="AU83" s="1520">
        <f>IFERROR(VLOOKUP(G83,'MON2'!MONTEFC,8,FALSE),"")</f>
        <v>5636784.1200000001</v>
      </c>
      <c r="AV83" s="1522" t="e">
        <f t="shared" ref="AV83:AX83" si="328">SUM(AS83,AO83,AK83)</f>
        <v>#VALUE!</v>
      </c>
      <c r="AW83" s="331">
        <f t="shared" si="328"/>
        <v>0</v>
      </c>
      <c r="AX83" s="1512">
        <f t="shared" si="328"/>
        <v>5636784.1200000001</v>
      </c>
      <c r="AY83" s="156" t="e">
        <f t="shared" ref="AY83:BA83" si="329">SUM(AV83,AE83)</f>
        <v>#VALUE!</v>
      </c>
      <c r="AZ83" s="331" t="e">
        <f t="shared" si="329"/>
        <v>#VALUE!</v>
      </c>
      <c r="BA83" s="1523">
        <f t="shared" si="329"/>
        <v>5636784.1200000001</v>
      </c>
      <c r="BB83" s="1520" t="str">
        <f t="shared" si="264"/>
        <v/>
      </c>
      <c r="BC83" s="1524" t="e">
        <f t="shared" si="28"/>
        <v>#VALUE!</v>
      </c>
      <c r="BD83" s="331" t="str">
        <f>IFERROR(VLOOKUP(G83,'MON2'!MONTENALIM,9,FALSE),"")</f>
        <v/>
      </c>
      <c r="BE83" s="1525">
        <f>IFERROR(VLOOKUP(G83,'MON2'!MONTEFC,9,FALSE),"")</f>
        <v>394572.52</v>
      </c>
      <c r="BF83" s="1514" t="str">
        <f t="shared" si="265"/>
        <v/>
      </c>
      <c r="BG83" s="331" t="str">
        <f t="shared" si="266"/>
        <v/>
      </c>
      <c r="BH83" s="331" t="str">
        <f t="shared" si="267"/>
        <v/>
      </c>
      <c r="BI83" s="331" t="str">
        <f t="shared" si="268"/>
        <v/>
      </c>
      <c r="BJ83" s="331" t="str">
        <f t="shared" si="269"/>
        <v/>
      </c>
    </row>
    <row r="84" spans="1:62" ht="13">
      <c r="A84" s="485" t="str">
        <f t="shared" si="254"/>
        <v>MONTENEGRO</v>
      </c>
      <c r="B84" s="1466">
        <f t="shared" si="255"/>
        <v>112014022</v>
      </c>
      <c r="C84" s="1527">
        <f t="shared" si="256"/>
        <v>7</v>
      </c>
      <c r="D84" s="733">
        <f t="shared" si="257"/>
        <v>0.1</v>
      </c>
      <c r="E84" s="733">
        <f t="shared" si="258"/>
        <v>0.2</v>
      </c>
      <c r="F84" s="733">
        <f t="shared" si="259"/>
        <v>0</v>
      </c>
      <c r="G84" s="1466" t="s">
        <v>1275</v>
      </c>
      <c r="H84" s="1497">
        <f t="shared" ref="H84:H118" si="330">IFERROR(VLOOKUP(G84,MONTE24,3,FALSE),"")</f>
        <v>724632.36</v>
      </c>
      <c r="I84" s="1528">
        <v>1800000</v>
      </c>
      <c r="J84" s="1494">
        <f t="shared" si="6"/>
        <v>2952356</v>
      </c>
      <c r="K84" s="1497">
        <f>IFERROR(VLOOKUP(G84,'MON2'!MONTENALIM,3,FALSE),"")</f>
        <v>90013.119999999995</v>
      </c>
      <c r="L84" s="1498">
        <f>IFERROR(VLOOKUP(G84,'MON2'!MONTEFC,3,FALSE),"")</f>
        <v>3042369.12</v>
      </c>
      <c r="M84" s="1495">
        <f t="shared" si="168"/>
        <v>1242369.1200000001</v>
      </c>
      <c r="N84" s="1529">
        <f t="shared" si="169"/>
        <v>1.6902050666666668</v>
      </c>
      <c r="O84" s="1497">
        <f t="shared" si="294"/>
        <v>420958.56</v>
      </c>
      <c r="P84" s="1497">
        <v>1800000</v>
      </c>
      <c r="Q84" s="1485">
        <f t="shared" si="10"/>
        <v>4805774.83</v>
      </c>
      <c r="R84" s="1497">
        <f>IFERROR(VLOOKUP(G84,'MON2'!MONTENALIM,4,FALSE),"")</f>
        <v>81642.259999999995</v>
      </c>
      <c r="S84" s="1497">
        <f>IFERROR(VLOOKUP(G84,'MON2'!MONTEFC,4,FALSE),"")</f>
        <v>4887417.09</v>
      </c>
      <c r="T84" s="1497">
        <f t="shared" si="172"/>
        <v>3087417.09</v>
      </c>
      <c r="U84" s="1529">
        <f t="shared" si="173"/>
        <v>2.7152317166666666</v>
      </c>
      <c r="V84" s="1497">
        <f t="shared" si="295"/>
        <v>615522.76</v>
      </c>
      <c r="W84" s="1528">
        <v>1800000</v>
      </c>
      <c r="X84" s="1487">
        <f t="shared" si="14"/>
        <v>812852.27</v>
      </c>
      <c r="Y84" s="1485">
        <f>IFERROR(VLOOKUP(G84,'MON2'!MONTENALIM,5,FALSE),"")</f>
        <v>0</v>
      </c>
      <c r="Z84" s="1488">
        <f>IFERROR(VLOOKUP(G84,'MON2'!MONTEFC,5,FALSE),"")</f>
        <v>812852.27</v>
      </c>
      <c r="AA84" s="1495"/>
      <c r="AB84" s="1497"/>
      <c r="AC84" s="1530">
        <f t="shared" si="176"/>
        <v>5400000</v>
      </c>
      <c r="AD84" s="1494">
        <f t="shared" si="260"/>
        <v>7787117.1600000001</v>
      </c>
      <c r="AE84" s="1497">
        <f t="shared" si="17"/>
        <v>8570983.0999999996</v>
      </c>
      <c r="AF84" s="1497">
        <f t="shared" ref="AF84:AG84" si="331">Y84+R84+K84</f>
        <v>171655.38</v>
      </c>
      <c r="AG84" s="1497">
        <f t="shared" si="331"/>
        <v>8742638.4800000004</v>
      </c>
      <c r="AH84" s="1497">
        <f t="shared" si="19"/>
        <v>955521.3200000003</v>
      </c>
      <c r="AI84" s="1531">
        <f t="shared" si="20"/>
        <v>1.1227053992340343</v>
      </c>
      <c r="AJ84" s="1493">
        <f t="shared" si="297"/>
        <v>667738.62</v>
      </c>
      <c r="AK84" s="1494">
        <f t="shared" si="22"/>
        <v>2246609.79</v>
      </c>
      <c r="AL84" s="1495">
        <f>IFERROR(VLOOKUP(G84,'MON2'!MONTENALIM,6,FALSE),"")</f>
        <v>15597.62</v>
      </c>
      <c r="AM84" s="1496">
        <f>IFERROR(VLOOKUP(G84,'MON2'!MONTEFC,6,FALSE),"")</f>
        <v>2262207.41</v>
      </c>
      <c r="AN84" s="1493">
        <f t="shared" ref="AN84:AN118" si="332">IFERROR(VLOOKUP(G84,MONTE24,7,FALSE),"")</f>
        <v>1132925.73</v>
      </c>
      <c r="AO84" s="1494">
        <f t="shared" si="23"/>
        <v>1311157.3999999999</v>
      </c>
      <c r="AP84" s="1497">
        <f>IFERROR(VLOOKUP(G84,'MON2'!MONTENALIM,7,FALSE),"")</f>
        <v>0</v>
      </c>
      <c r="AQ84" s="1498">
        <f>IFERROR(VLOOKUP(G84,'MON2'!MONTEFC,7,FALSE),"")</f>
        <v>1311157.3999999999</v>
      </c>
      <c r="AR84" s="1495">
        <f t="shared" ref="AR84:AR118" si="333">IFERROR(VLOOKUP(G84,MONTE24,8,FALSE),"")</f>
        <v>1032780.13</v>
      </c>
      <c r="AS84" s="1495">
        <f t="shared" si="24"/>
        <v>1752934.84</v>
      </c>
      <c r="AT84" s="1495">
        <f>IFERROR(VLOOKUP(G84,'MON2'!MONTENALIM,8,FALSE),"")</f>
        <v>0</v>
      </c>
      <c r="AU84" s="1493">
        <f>IFERROR(VLOOKUP(G84,'MON2'!MONTEFC,8,FALSE),"")</f>
        <v>1752934.84</v>
      </c>
      <c r="AV84" s="1532">
        <f t="shared" ref="AV84:AX84" si="334">SUM(AS84,AO84,AK84)</f>
        <v>5310702.03</v>
      </c>
      <c r="AW84" s="1497">
        <f t="shared" si="334"/>
        <v>15597.62</v>
      </c>
      <c r="AX84" s="1528">
        <f t="shared" si="334"/>
        <v>5326299.6500000004</v>
      </c>
      <c r="AY84" s="1494">
        <f t="shared" ref="AY84:BA84" si="335">SUM(AV84,AE84)</f>
        <v>13881685.129999999</v>
      </c>
      <c r="AZ84" s="1497">
        <f t="shared" si="335"/>
        <v>187253</v>
      </c>
      <c r="BA84" s="1533">
        <f t="shared" si="335"/>
        <v>14068938.130000001</v>
      </c>
      <c r="BB84" s="1493">
        <f t="shared" si="264"/>
        <v>900889.61</v>
      </c>
      <c r="BC84" s="1504">
        <f t="shared" si="28"/>
        <v>479821.32</v>
      </c>
      <c r="BD84" s="1497">
        <f>IFERROR(VLOOKUP(G84,'MON2'!MONTENALIM,9,FALSE),"")</f>
        <v>0</v>
      </c>
      <c r="BE84" s="1505">
        <f>IFERROR(VLOOKUP(G84,'MON2'!MONTEFC,9,FALSE),"")</f>
        <v>479821.32</v>
      </c>
      <c r="BF84" s="1495">
        <f t="shared" si="265"/>
        <v>1268583.76</v>
      </c>
      <c r="BG84" s="1497">
        <f t="shared" si="266"/>
        <v>1657837</v>
      </c>
      <c r="BH84" s="1497">
        <f t="shared" si="267"/>
        <v>1161817.0900000001</v>
      </c>
      <c r="BI84" s="1497">
        <f t="shared" si="268"/>
        <v>3115164.04</v>
      </c>
      <c r="BJ84" s="1497">
        <f t="shared" si="269"/>
        <v>3510136.03</v>
      </c>
    </row>
    <row r="85" spans="1:62" ht="13">
      <c r="A85" s="485" t="str">
        <f t="shared" si="254"/>
        <v>MONTENEGRO</v>
      </c>
      <c r="B85" s="1467">
        <f t="shared" si="255"/>
        <v>112013975</v>
      </c>
      <c r="C85" s="1510">
        <f t="shared" si="256"/>
        <v>22</v>
      </c>
      <c r="D85" s="1511">
        <f t="shared" si="257"/>
        <v>0.1</v>
      </c>
      <c r="E85" s="1511">
        <f t="shared" si="258"/>
        <v>0.09</v>
      </c>
      <c r="F85" s="1511">
        <f t="shared" si="259"/>
        <v>0</v>
      </c>
      <c r="G85" s="1467" t="s">
        <v>1341</v>
      </c>
      <c r="H85" s="331">
        <f t="shared" si="330"/>
        <v>0</v>
      </c>
      <c r="I85" s="1512">
        <v>1800000</v>
      </c>
      <c r="J85" s="156">
        <f t="shared" si="6"/>
        <v>0</v>
      </c>
      <c r="K85" s="331">
        <f>IFERROR(VLOOKUP(G85,'MON2'!MONTENALIM,3,FALSE),"")</f>
        <v>0</v>
      </c>
      <c r="L85" s="1513">
        <f>IFERROR(VLOOKUP(G85,'MON2'!MONTEFC,3,FALSE),"")</f>
        <v>0</v>
      </c>
      <c r="M85" s="1514">
        <f t="shared" si="168"/>
        <v>-1800000</v>
      </c>
      <c r="N85" s="234">
        <f t="shared" si="169"/>
        <v>0</v>
      </c>
      <c r="O85" s="331">
        <f t="shared" si="294"/>
        <v>0</v>
      </c>
      <c r="P85" s="331">
        <v>1800000</v>
      </c>
      <c r="Q85" s="1515">
        <f t="shared" si="10"/>
        <v>0</v>
      </c>
      <c r="R85" s="331">
        <f>IFERROR(VLOOKUP(G85,'MON2'!MONTENALIM,4,FALSE),"")</f>
        <v>0</v>
      </c>
      <c r="S85" s="331">
        <f>IFERROR(VLOOKUP(G85,'MON2'!MONTEFC,4,FALSE),"")</f>
        <v>0</v>
      </c>
      <c r="T85" s="331">
        <f t="shared" si="172"/>
        <v>-1800000</v>
      </c>
      <c r="U85" s="234">
        <f t="shared" si="173"/>
        <v>0</v>
      </c>
      <c r="V85" s="331">
        <f t="shared" si="295"/>
        <v>0</v>
      </c>
      <c r="W85" s="1512">
        <v>1800000</v>
      </c>
      <c r="X85" s="1516">
        <f t="shared" si="14"/>
        <v>0</v>
      </c>
      <c r="Y85" s="1515">
        <f>IFERROR(VLOOKUP(G85,'MON2'!MONTENALIM,5,FALSE),"")</f>
        <v>0</v>
      </c>
      <c r="Z85" s="1517">
        <f>IFERROR(VLOOKUP(G85,'MON2'!MONTEFC,5,FALSE),"")</f>
        <v>0</v>
      </c>
      <c r="AA85" s="1514"/>
      <c r="AB85" s="331"/>
      <c r="AC85" s="1518">
        <f t="shared" si="176"/>
        <v>5400000</v>
      </c>
      <c r="AD85" s="156" t="str">
        <f t="shared" si="260"/>
        <v>0</v>
      </c>
      <c r="AE85" s="331">
        <f t="shared" si="17"/>
        <v>0</v>
      </c>
      <c r="AF85" s="331">
        <f t="shared" ref="AF85:AG85" si="336">Y85+R85+K85</f>
        <v>0</v>
      </c>
      <c r="AG85" s="331">
        <f t="shared" si="336"/>
        <v>0</v>
      </c>
      <c r="AH85" s="331">
        <f t="shared" si="19"/>
        <v>0</v>
      </c>
      <c r="AI85" s="1519" t="str">
        <f t="shared" si="20"/>
        <v/>
      </c>
      <c r="AJ85" s="1520">
        <f t="shared" si="297"/>
        <v>290141.59000000003</v>
      </c>
      <c r="AK85" s="156">
        <f t="shared" si="22"/>
        <v>1433836.24</v>
      </c>
      <c r="AL85" s="1514">
        <f>IFERROR(VLOOKUP(G85,'MON2'!MONTENALIM,6,FALSE),"")</f>
        <v>27219.56</v>
      </c>
      <c r="AM85" s="1521">
        <f>IFERROR(VLOOKUP(G85,'MON2'!MONTEFC,6,FALSE),"")</f>
        <v>1461055.8</v>
      </c>
      <c r="AN85" s="1520">
        <f t="shared" si="332"/>
        <v>845130.58</v>
      </c>
      <c r="AO85" s="156">
        <f t="shared" si="23"/>
        <v>0</v>
      </c>
      <c r="AP85" s="331">
        <f>IFERROR(VLOOKUP(G85,'MON2'!MONTENALIM,7,FALSE),"")</f>
        <v>0</v>
      </c>
      <c r="AQ85" s="1513">
        <f>IFERROR(VLOOKUP(G85,'MON2'!MONTEFC,7,FALSE),"")</f>
        <v>0</v>
      </c>
      <c r="AR85" s="1514">
        <f t="shared" si="333"/>
        <v>822619.27</v>
      </c>
      <c r="AS85" s="1514">
        <f t="shared" si="24"/>
        <v>0</v>
      </c>
      <c r="AT85" s="1514">
        <f>IFERROR(VLOOKUP(G85,'MON2'!MONTENALIM,8,FALSE),"")</f>
        <v>0</v>
      </c>
      <c r="AU85" s="1520">
        <f>IFERROR(VLOOKUP(G85,'MON2'!MONTEFC,8,FALSE),"")</f>
        <v>0</v>
      </c>
      <c r="AV85" s="1522">
        <f t="shared" ref="AV85:AX85" si="337">SUM(AS85,AO85,AK85)</f>
        <v>1433836.24</v>
      </c>
      <c r="AW85" s="331">
        <f t="shared" si="337"/>
        <v>27219.56</v>
      </c>
      <c r="AX85" s="1512">
        <f t="shared" si="337"/>
        <v>1461055.8</v>
      </c>
      <c r="AY85" s="156">
        <f t="shared" ref="AY85:BA85" si="338">SUM(AV85,AE85)</f>
        <v>1433836.24</v>
      </c>
      <c r="AZ85" s="331">
        <f t="shared" si="338"/>
        <v>27219.56</v>
      </c>
      <c r="BA85" s="1523">
        <f t="shared" si="338"/>
        <v>1461055.8</v>
      </c>
      <c r="BB85" s="1520">
        <f t="shared" si="264"/>
        <v>0</v>
      </c>
      <c r="BC85" s="1524">
        <f t="shared" si="28"/>
        <v>0</v>
      </c>
      <c r="BD85" s="331">
        <f>IFERROR(VLOOKUP(G85,'MON2'!MONTENALIM,9,FALSE),"")</f>
        <v>0</v>
      </c>
      <c r="BE85" s="1525">
        <f>IFERROR(VLOOKUP(G85,'MON2'!MONTEFC,9,FALSE),"")</f>
        <v>0</v>
      </c>
      <c r="BF85" s="1514">
        <f t="shared" si="265"/>
        <v>0</v>
      </c>
      <c r="BG85" s="331">
        <f t="shared" si="266"/>
        <v>0</v>
      </c>
      <c r="BH85" s="331">
        <f t="shared" si="267"/>
        <v>0</v>
      </c>
      <c r="BI85" s="331">
        <f t="shared" si="268"/>
        <v>0</v>
      </c>
      <c r="BJ85" s="331">
        <f t="shared" si="269"/>
        <v>0</v>
      </c>
    </row>
    <row r="86" spans="1:62" ht="13">
      <c r="A86" s="485" t="str">
        <f t="shared" si="254"/>
        <v>MONTENEGRO</v>
      </c>
      <c r="B86" s="1466">
        <f t="shared" si="255"/>
        <v>112014146</v>
      </c>
      <c r="C86" s="1527">
        <f t="shared" si="256"/>
        <v>22</v>
      </c>
      <c r="D86" s="733">
        <f t="shared" si="257"/>
        <v>0.1</v>
      </c>
      <c r="E86" s="733">
        <f t="shared" si="258"/>
        <v>0.09</v>
      </c>
      <c r="F86" s="733">
        <f t="shared" si="259"/>
        <v>0</v>
      </c>
      <c r="G86" s="1466" t="s">
        <v>1287</v>
      </c>
      <c r="H86" s="1497">
        <f t="shared" si="330"/>
        <v>232694.77</v>
      </c>
      <c r="I86" s="1528">
        <v>1800000</v>
      </c>
      <c r="J86" s="1494">
        <f t="shared" si="6"/>
        <v>961828.32</v>
      </c>
      <c r="K86" s="1497">
        <f>IFERROR(VLOOKUP(G86,'MON2'!MONTENALIM,3,FALSE),"")</f>
        <v>6600</v>
      </c>
      <c r="L86" s="1498">
        <f>IFERROR(VLOOKUP(G86,'MON2'!MONTEFC,3,FALSE),"")</f>
        <v>968428.32</v>
      </c>
      <c r="M86" s="1495">
        <f t="shared" si="168"/>
        <v>-831571.68</v>
      </c>
      <c r="N86" s="1529">
        <f t="shared" si="169"/>
        <v>0.5380157333333333</v>
      </c>
      <c r="O86" s="1497">
        <f t="shared" si="294"/>
        <v>275772.33</v>
      </c>
      <c r="P86" s="1497">
        <v>1800000</v>
      </c>
      <c r="Q86" s="1485">
        <f t="shared" si="10"/>
        <v>708788.45</v>
      </c>
      <c r="R86" s="1497">
        <f>IFERROR(VLOOKUP(G86,'MON2'!MONTENALIM,4,FALSE),"")</f>
        <v>9582.6299999999992</v>
      </c>
      <c r="S86" s="1497">
        <f>IFERROR(VLOOKUP(G86,'MON2'!MONTEFC,4,FALSE),"")</f>
        <v>718371.08</v>
      </c>
      <c r="T86" s="1497">
        <f t="shared" si="172"/>
        <v>-1081628.92</v>
      </c>
      <c r="U86" s="1529">
        <f t="shared" si="173"/>
        <v>0.39909504444444444</v>
      </c>
      <c r="V86" s="1497">
        <f t="shared" si="295"/>
        <v>223617.08</v>
      </c>
      <c r="W86" s="1528">
        <v>1800000</v>
      </c>
      <c r="X86" s="1487">
        <f t="shared" si="14"/>
        <v>359744.69</v>
      </c>
      <c r="Y86" s="1485">
        <f>IFERROR(VLOOKUP(G86,'MON2'!MONTENALIM,5,FALSE),"")</f>
        <v>0</v>
      </c>
      <c r="Z86" s="1488">
        <f>IFERROR(VLOOKUP(G86,'MON2'!MONTEFC,5,FALSE),"")</f>
        <v>359744.69</v>
      </c>
      <c r="AA86" s="1495"/>
      <c r="AB86" s="1497"/>
      <c r="AC86" s="1530">
        <f t="shared" si="176"/>
        <v>5400000</v>
      </c>
      <c r="AD86" s="1494">
        <f t="shared" si="260"/>
        <v>1728228.35</v>
      </c>
      <c r="AE86" s="1497">
        <f t="shared" si="17"/>
        <v>2030361.46</v>
      </c>
      <c r="AF86" s="1497">
        <f t="shared" ref="AF86:AG86" si="339">Y86+R86+K86</f>
        <v>16182.63</v>
      </c>
      <c r="AG86" s="1497">
        <f t="shared" si="339"/>
        <v>2046544.0899999999</v>
      </c>
      <c r="AH86" s="1497">
        <f t="shared" si="19"/>
        <v>318315.73999999976</v>
      </c>
      <c r="AI86" s="1531">
        <f t="shared" si="20"/>
        <v>1.1841861580386641</v>
      </c>
      <c r="AJ86" s="1493">
        <f t="shared" si="297"/>
        <v>299490.58</v>
      </c>
      <c r="AK86" s="1494">
        <f t="shared" si="22"/>
        <v>558461.86</v>
      </c>
      <c r="AL86" s="1495">
        <f>IFERROR(VLOOKUP(G86,'MON2'!MONTENALIM,6,FALSE),"")</f>
        <v>25280.9</v>
      </c>
      <c r="AM86" s="1496">
        <f>IFERROR(VLOOKUP(G86,'MON2'!MONTEFC,6,FALSE),"")</f>
        <v>583742.76</v>
      </c>
      <c r="AN86" s="1493">
        <f t="shared" si="332"/>
        <v>202399.07</v>
      </c>
      <c r="AO86" s="1494">
        <f t="shared" si="23"/>
        <v>442061.14999999997</v>
      </c>
      <c r="AP86" s="1497">
        <f>IFERROR(VLOOKUP(G86,'MON2'!MONTENALIM,7,FALSE),"")</f>
        <v>26544.95</v>
      </c>
      <c r="AQ86" s="1498">
        <f>IFERROR(VLOOKUP(G86,'MON2'!MONTEFC,7,FALSE),"")</f>
        <v>468606.1</v>
      </c>
      <c r="AR86" s="1495">
        <f t="shared" si="333"/>
        <v>403017.3</v>
      </c>
      <c r="AS86" s="1495">
        <f t="shared" si="24"/>
        <v>180279.35</v>
      </c>
      <c r="AT86" s="1495">
        <f>IFERROR(VLOOKUP(G86,'MON2'!MONTENALIM,8,FALSE),"")</f>
        <v>0</v>
      </c>
      <c r="AU86" s="1493">
        <f>IFERROR(VLOOKUP(G86,'MON2'!MONTEFC,8,FALSE),"")</f>
        <v>180279.35</v>
      </c>
      <c r="AV86" s="1532">
        <f t="shared" ref="AV86:AX86" si="340">SUM(AS86,AO86,AK86)</f>
        <v>1180802.3599999999</v>
      </c>
      <c r="AW86" s="1497">
        <f t="shared" si="340"/>
        <v>51825.850000000006</v>
      </c>
      <c r="AX86" s="1528">
        <f t="shared" si="340"/>
        <v>1232628.21</v>
      </c>
      <c r="AY86" s="1494">
        <f t="shared" ref="AY86:BA86" si="341">SUM(AV86,AE86)</f>
        <v>3211163.82</v>
      </c>
      <c r="AZ86" s="1497">
        <f t="shared" si="341"/>
        <v>68008.48000000001</v>
      </c>
      <c r="BA86" s="1533">
        <f t="shared" si="341"/>
        <v>3279172.3</v>
      </c>
      <c r="BB86" s="1493">
        <f t="shared" si="264"/>
        <v>308022.46000000002</v>
      </c>
      <c r="BC86" s="1504">
        <f t="shared" si="28"/>
        <v>204109.28</v>
      </c>
      <c r="BD86" s="1497">
        <f>IFERROR(VLOOKUP(G86,'MON2'!MONTENALIM,9,FALSE),"")</f>
        <v>0</v>
      </c>
      <c r="BE86" s="1505">
        <f>IFERROR(VLOOKUP(G86,'MON2'!MONTEFC,9,FALSE),"")</f>
        <v>204109.28</v>
      </c>
      <c r="BF86" s="1495">
        <f t="shared" si="265"/>
        <v>291104.44</v>
      </c>
      <c r="BG86" s="1497">
        <f t="shared" si="266"/>
        <v>450868.63</v>
      </c>
      <c r="BH86" s="1497">
        <f t="shared" si="267"/>
        <v>530048.11</v>
      </c>
      <c r="BI86" s="1497">
        <f t="shared" si="268"/>
        <v>504332.14</v>
      </c>
      <c r="BJ86" s="1497">
        <f t="shared" si="269"/>
        <v>693848.1</v>
      </c>
    </row>
    <row r="87" spans="1:62" ht="13">
      <c r="A87" s="485" t="str">
        <f t="shared" si="254"/>
        <v>MONTENEGRO</v>
      </c>
      <c r="B87" s="1467">
        <f t="shared" si="255"/>
        <v>112014362</v>
      </c>
      <c r="C87" s="1510">
        <f t="shared" si="256"/>
        <v>22</v>
      </c>
      <c r="D87" s="1511">
        <f t="shared" si="257"/>
        <v>0.1</v>
      </c>
      <c r="E87" s="1511">
        <f t="shared" si="258"/>
        <v>0.09</v>
      </c>
      <c r="F87" s="1511">
        <f t="shared" si="259"/>
        <v>0</v>
      </c>
      <c r="G87" s="1467" t="s">
        <v>1342</v>
      </c>
      <c r="H87" s="331" t="str">
        <f t="shared" si="330"/>
        <v/>
      </c>
      <c r="I87" s="1512">
        <v>1800000</v>
      </c>
      <c r="J87" s="156" t="e">
        <f t="shared" si="6"/>
        <v>#VALUE!</v>
      </c>
      <c r="K87" s="331" t="str">
        <f>IFERROR(VLOOKUP(G87,'MON2'!MONTENALIM,3,FALSE),"")</f>
        <v/>
      </c>
      <c r="L87" s="1513" t="str">
        <f>IFERROR(VLOOKUP(G87,'MON2'!MONTEFC,3,FALSE),"")</f>
        <v/>
      </c>
      <c r="M87" s="1514" t="e">
        <f t="shared" si="168"/>
        <v>#VALUE!</v>
      </c>
      <c r="N87" s="234" t="e">
        <f t="shared" si="169"/>
        <v>#VALUE!</v>
      </c>
      <c r="O87" s="331" t="str">
        <f t="shared" si="294"/>
        <v/>
      </c>
      <c r="P87" s="331">
        <v>1800000</v>
      </c>
      <c r="Q87" s="1515" t="e">
        <f t="shared" si="10"/>
        <v>#VALUE!</v>
      </c>
      <c r="R87" s="331" t="str">
        <f>IFERROR(VLOOKUP(G87,'MON2'!MONTENALIM,4,FALSE),"")</f>
        <v/>
      </c>
      <c r="S87" s="331" t="str">
        <f>IFERROR(VLOOKUP(G87,'MON2'!MONTEFC,4,FALSE),"")</f>
        <v/>
      </c>
      <c r="T87" s="331" t="e">
        <f t="shared" si="172"/>
        <v>#VALUE!</v>
      </c>
      <c r="U87" s="234" t="e">
        <f t="shared" si="173"/>
        <v>#VALUE!</v>
      </c>
      <c r="V87" s="331" t="str">
        <f t="shared" si="295"/>
        <v/>
      </c>
      <c r="W87" s="1512">
        <v>1800000</v>
      </c>
      <c r="X87" s="1516" t="e">
        <f t="shared" si="14"/>
        <v>#VALUE!</v>
      </c>
      <c r="Y87" s="1515" t="str">
        <f>IFERROR(VLOOKUP(G87,'MON2'!MONTENALIM,5,FALSE),"")</f>
        <v/>
      </c>
      <c r="Z87" s="1517" t="str">
        <f>IFERROR(VLOOKUP(G87,'MON2'!MONTEFC,5,FALSE),"")</f>
        <v/>
      </c>
      <c r="AA87" s="1514"/>
      <c r="AB87" s="331"/>
      <c r="AC87" s="1518">
        <f t="shared" si="176"/>
        <v>5400000</v>
      </c>
      <c r="AD87" s="156" t="str">
        <f t="shared" si="260"/>
        <v>0</v>
      </c>
      <c r="AE87" s="331" t="e">
        <f t="shared" si="17"/>
        <v>#VALUE!</v>
      </c>
      <c r="AF87" s="331" t="e">
        <f t="shared" ref="AF87:AG87" si="342">Y87+R87+K87</f>
        <v>#VALUE!</v>
      </c>
      <c r="AG87" s="331" t="e">
        <f t="shared" si="342"/>
        <v>#VALUE!</v>
      </c>
      <c r="AH87" s="331" t="e">
        <f t="shared" si="19"/>
        <v>#VALUE!</v>
      </c>
      <c r="AI87" s="1519" t="str">
        <f t="shared" si="20"/>
        <v/>
      </c>
      <c r="AJ87" s="1520" t="str">
        <f t="shared" si="297"/>
        <v/>
      </c>
      <c r="AK87" s="156" t="e">
        <f t="shared" si="22"/>
        <v>#VALUE!</v>
      </c>
      <c r="AL87" s="1514" t="str">
        <f>IFERROR(VLOOKUP(G87,'MON2'!MONTENALIM,6,FALSE),"")</f>
        <v/>
      </c>
      <c r="AM87" s="1521" t="str">
        <f>IFERROR(VLOOKUP(G87,'MON2'!MONTEFC,6,FALSE),"")</f>
        <v/>
      </c>
      <c r="AN87" s="1520" t="str">
        <f t="shared" si="332"/>
        <v/>
      </c>
      <c r="AO87" s="156" t="e">
        <f t="shared" si="23"/>
        <v>#VALUE!</v>
      </c>
      <c r="AP87" s="331" t="str">
        <f>IFERROR(VLOOKUP(G87,'MON2'!MONTENALIM,7,FALSE),"")</f>
        <v/>
      </c>
      <c r="AQ87" s="1513" t="str">
        <f>IFERROR(VLOOKUP(G87,'MON2'!MONTEFC,7,FALSE),"")</f>
        <v/>
      </c>
      <c r="AR87" s="1514" t="str">
        <f t="shared" si="333"/>
        <v/>
      </c>
      <c r="AS87" s="1514" t="e">
        <f t="shared" si="24"/>
        <v>#VALUE!</v>
      </c>
      <c r="AT87" s="1514" t="str">
        <f>IFERROR(VLOOKUP(G87,'MON2'!MONTENALIM,8,FALSE),"")</f>
        <v/>
      </c>
      <c r="AU87" s="1520" t="str">
        <f>IFERROR(VLOOKUP(G87,'MON2'!MONTEFC,8,FALSE),"")</f>
        <v/>
      </c>
      <c r="AV87" s="1522" t="e">
        <f t="shared" ref="AV87:AX87" si="343">SUM(AS87,AO87,AK87)</f>
        <v>#VALUE!</v>
      </c>
      <c r="AW87" s="331">
        <f t="shared" si="343"/>
        <v>0</v>
      </c>
      <c r="AX87" s="1512">
        <f t="shared" si="343"/>
        <v>0</v>
      </c>
      <c r="AY87" s="156" t="e">
        <f t="shared" ref="AY87:BA87" si="344">SUM(AV87,AE87)</f>
        <v>#VALUE!</v>
      </c>
      <c r="AZ87" s="331" t="e">
        <f t="shared" si="344"/>
        <v>#VALUE!</v>
      </c>
      <c r="BA87" s="1523" t="e">
        <f t="shared" si="344"/>
        <v>#VALUE!</v>
      </c>
      <c r="BB87" s="1520" t="str">
        <f t="shared" si="264"/>
        <v/>
      </c>
      <c r="BC87" s="1524" t="e">
        <f t="shared" si="28"/>
        <v>#VALUE!</v>
      </c>
      <c r="BD87" s="331" t="str">
        <f>IFERROR(VLOOKUP(G87,'MON2'!MONTENALIM,9,FALSE),"")</f>
        <v/>
      </c>
      <c r="BE87" s="1525" t="str">
        <f>IFERROR(VLOOKUP(G87,'MON2'!MONTEFC,9,FALSE),"")</f>
        <v/>
      </c>
      <c r="BF87" s="1514" t="str">
        <f t="shared" si="265"/>
        <v/>
      </c>
      <c r="BG87" s="331" t="str">
        <f t="shared" si="266"/>
        <v/>
      </c>
      <c r="BH87" s="331" t="str">
        <f t="shared" si="267"/>
        <v/>
      </c>
      <c r="BI87" s="331" t="str">
        <f t="shared" si="268"/>
        <v/>
      </c>
      <c r="BJ87" s="331" t="str">
        <f t="shared" si="269"/>
        <v/>
      </c>
    </row>
    <row r="88" spans="1:62" ht="13">
      <c r="A88" s="485" t="str">
        <f t="shared" si="254"/>
        <v>MONTENEGRO</v>
      </c>
      <c r="B88" s="1466">
        <f t="shared" si="255"/>
        <v>112014348</v>
      </c>
      <c r="C88" s="1527">
        <f t="shared" si="256"/>
        <v>22</v>
      </c>
      <c r="D88" s="733">
        <f t="shared" si="257"/>
        <v>0.1</v>
      </c>
      <c r="E88" s="733">
        <f t="shared" si="258"/>
        <v>0.09</v>
      </c>
      <c r="F88" s="733">
        <f t="shared" si="259"/>
        <v>0</v>
      </c>
      <c r="G88" s="1466" t="s">
        <v>1288</v>
      </c>
      <c r="H88" s="1497">
        <f t="shared" si="330"/>
        <v>49436.98</v>
      </c>
      <c r="I88" s="1528">
        <v>1800000</v>
      </c>
      <c r="J88" s="1494">
        <f t="shared" si="6"/>
        <v>621794.4</v>
      </c>
      <c r="K88" s="1497">
        <f>IFERROR(VLOOKUP(G88,'MON2'!MONTENALIM,3,FALSE),"")</f>
        <v>6600</v>
      </c>
      <c r="L88" s="1498">
        <f>IFERROR(VLOOKUP(G88,'MON2'!MONTEFC,3,FALSE),"")</f>
        <v>628394.4</v>
      </c>
      <c r="M88" s="1495">
        <f t="shared" si="168"/>
        <v>-1171605.6000000001</v>
      </c>
      <c r="N88" s="1529">
        <f t="shared" si="169"/>
        <v>0.34910800000000003</v>
      </c>
      <c r="O88" s="1497">
        <f t="shared" si="294"/>
        <v>211539.35</v>
      </c>
      <c r="P88" s="1497">
        <v>1800000</v>
      </c>
      <c r="Q88" s="1485">
        <f t="shared" si="10"/>
        <v>886180.99</v>
      </c>
      <c r="R88" s="1497">
        <f>IFERROR(VLOOKUP(G88,'MON2'!MONTENALIM,4,FALSE),"")</f>
        <v>0</v>
      </c>
      <c r="S88" s="1497">
        <f>IFERROR(VLOOKUP(G88,'MON2'!MONTEFC,4,FALSE),"")</f>
        <v>886180.99</v>
      </c>
      <c r="T88" s="1497">
        <f t="shared" si="172"/>
        <v>-913819.01</v>
      </c>
      <c r="U88" s="1529">
        <f t="shared" si="173"/>
        <v>0.4923227722222222</v>
      </c>
      <c r="V88" s="1497">
        <f t="shared" si="295"/>
        <v>0</v>
      </c>
      <c r="W88" s="1528">
        <v>1800000</v>
      </c>
      <c r="X88" s="1487">
        <f t="shared" si="14"/>
        <v>26779</v>
      </c>
      <c r="Y88" s="1485">
        <f>IFERROR(VLOOKUP(G88,'MON2'!MONTENALIM,5,FALSE),"")</f>
        <v>0</v>
      </c>
      <c r="Z88" s="1488">
        <f>IFERROR(VLOOKUP(G88,'MON2'!MONTEFC,5,FALSE),"")</f>
        <v>26779</v>
      </c>
      <c r="AA88" s="1495"/>
      <c r="AB88" s="1497"/>
      <c r="AC88" s="1530">
        <f t="shared" si="176"/>
        <v>5400000</v>
      </c>
      <c r="AD88" s="1494">
        <f t="shared" si="260"/>
        <v>3803811.7</v>
      </c>
      <c r="AE88" s="1497">
        <f t="shared" si="17"/>
        <v>1534754.3900000001</v>
      </c>
      <c r="AF88" s="1497">
        <f t="shared" ref="AF88:AG88" si="345">Y88+R88+K88</f>
        <v>6600</v>
      </c>
      <c r="AG88" s="1497">
        <f t="shared" si="345"/>
        <v>1541354.3900000001</v>
      </c>
      <c r="AH88" s="1497">
        <f t="shared" si="19"/>
        <v>-2262457.31</v>
      </c>
      <c r="AI88" s="1531">
        <f t="shared" si="20"/>
        <v>0.40521311557036327</v>
      </c>
      <c r="AJ88" s="1493">
        <f t="shared" si="297"/>
        <v>330450.53000000003</v>
      </c>
      <c r="AK88" s="1494">
        <f t="shared" si="22"/>
        <v>935190.8</v>
      </c>
      <c r="AL88" s="1495">
        <f>IFERROR(VLOOKUP(G88,'MON2'!MONTENALIM,6,FALSE),"")</f>
        <v>0</v>
      </c>
      <c r="AM88" s="1496">
        <f>IFERROR(VLOOKUP(G88,'MON2'!MONTEFC,6,FALSE),"")</f>
        <v>935190.8</v>
      </c>
      <c r="AN88" s="1493">
        <f t="shared" si="332"/>
        <v>416002.05</v>
      </c>
      <c r="AO88" s="1494">
        <f t="shared" si="23"/>
        <v>968473.8</v>
      </c>
      <c r="AP88" s="1497">
        <f>IFERROR(VLOOKUP(G88,'MON2'!MONTENALIM,7,FALSE),"")</f>
        <v>0</v>
      </c>
      <c r="AQ88" s="1498">
        <f>IFERROR(VLOOKUP(G88,'MON2'!MONTEFC,7,FALSE),"")</f>
        <v>968473.8</v>
      </c>
      <c r="AR88" s="1495">
        <f t="shared" si="333"/>
        <v>761172.83</v>
      </c>
      <c r="AS88" s="1495">
        <f t="shared" si="24"/>
        <v>475989.4</v>
      </c>
      <c r="AT88" s="1495">
        <f>IFERROR(VLOOKUP(G88,'MON2'!MONTENALIM,8,FALSE),"")</f>
        <v>0</v>
      </c>
      <c r="AU88" s="1493">
        <f>IFERROR(VLOOKUP(G88,'MON2'!MONTEFC,8,FALSE),"")</f>
        <v>475989.4</v>
      </c>
      <c r="AV88" s="1532">
        <f t="shared" ref="AV88:AX88" si="346">SUM(AS88,AO88,AK88)</f>
        <v>2379654</v>
      </c>
      <c r="AW88" s="1497">
        <f t="shared" si="346"/>
        <v>0</v>
      </c>
      <c r="AX88" s="1528">
        <f t="shared" si="346"/>
        <v>2379654</v>
      </c>
      <c r="AY88" s="1494">
        <f t="shared" ref="AY88:BA88" si="347">SUM(AV88,AE88)</f>
        <v>3914408.39</v>
      </c>
      <c r="AZ88" s="1497">
        <f t="shared" si="347"/>
        <v>6600</v>
      </c>
      <c r="BA88" s="1533">
        <f t="shared" si="347"/>
        <v>3921008.39</v>
      </c>
      <c r="BB88" s="1493">
        <f t="shared" si="264"/>
        <v>1744291.53</v>
      </c>
      <c r="BC88" s="1504">
        <f t="shared" si="28"/>
        <v>431637.99</v>
      </c>
      <c r="BD88" s="1497">
        <f>IFERROR(VLOOKUP(G88,'MON2'!MONTENALIM,9,FALSE),"")</f>
        <v>0</v>
      </c>
      <c r="BE88" s="1505">
        <f>IFERROR(VLOOKUP(G88,'MON2'!MONTEFC,9,FALSE),"")</f>
        <v>431637.99</v>
      </c>
      <c r="BF88" s="1495">
        <f t="shared" si="265"/>
        <v>379540.13</v>
      </c>
      <c r="BG88" s="1497">
        <f t="shared" si="266"/>
        <v>1037357.04</v>
      </c>
      <c r="BH88" s="1497">
        <f t="shared" si="267"/>
        <v>1835173.23</v>
      </c>
      <c r="BI88" s="1497">
        <f t="shared" si="268"/>
        <v>462859.94</v>
      </c>
      <c r="BJ88" s="1497">
        <f t="shared" si="269"/>
        <v>1505778.52</v>
      </c>
    </row>
    <row r="89" spans="1:62" ht="13">
      <c r="A89" s="485" t="str">
        <f t="shared" si="254"/>
        <v>MONTENEGRO</v>
      </c>
      <c r="B89" s="1467">
        <f t="shared" si="255"/>
        <v>112014458</v>
      </c>
      <c r="C89" s="1510">
        <f t="shared" si="256"/>
        <v>31</v>
      </c>
      <c r="D89" s="1511">
        <f t="shared" si="257"/>
        <v>0.1</v>
      </c>
      <c r="E89" s="1511">
        <f t="shared" si="258"/>
        <v>0.23</v>
      </c>
      <c r="F89" s="1511">
        <f t="shared" si="259"/>
        <v>0</v>
      </c>
      <c r="G89" s="1467" t="s">
        <v>1331</v>
      </c>
      <c r="H89" s="331">
        <f t="shared" si="330"/>
        <v>0</v>
      </c>
      <c r="I89" s="1512">
        <v>1800000</v>
      </c>
      <c r="J89" s="156">
        <f t="shared" si="6"/>
        <v>0</v>
      </c>
      <c r="K89" s="331">
        <f>IFERROR(VLOOKUP(G89,'MON2'!MONTENALIM,3,FALSE),"")</f>
        <v>233769.72</v>
      </c>
      <c r="L89" s="1513">
        <f>IFERROR(VLOOKUP(G89,'MON2'!MONTEFC,3,FALSE),"")</f>
        <v>233769.72</v>
      </c>
      <c r="M89" s="1514">
        <f t="shared" si="168"/>
        <v>-1566230.28</v>
      </c>
      <c r="N89" s="234">
        <f t="shared" si="169"/>
        <v>0.12987206666666667</v>
      </c>
      <c r="O89" s="1561">
        <f t="shared" si="294"/>
        <v>0</v>
      </c>
      <c r="P89" s="1561">
        <v>1800000</v>
      </c>
      <c r="Q89" s="1515">
        <f t="shared" si="10"/>
        <v>0</v>
      </c>
      <c r="R89" s="331">
        <f>IFERROR(VLOOKUP(G89,'MON2'!MONTENALIM,4,FALSE),"")</f>
        <v>459953.73</v>
      </c>
      <c r="S89" s="331">
        <f>IFERROR(VLOOKUP(G89,'MON2'!MONTEFC,4,FALSE),"")</f>
        <v>459953.73</v>
      </c>
      <c r="T89" s="331">
        <f t="shared" si="172"/>
        <v>-1340046.27</v>
      </c>
      <c r="U89" s="234">
        <f t="shared" si="173"/>
        <v>0.25552985</v>
      </c>
      <c r="V89" s="1561">
        <f t="shared" si="295"/>
        <v>0</v>
      </c>
      <c r="W89" s="1562">
        <v>1800000</v>
      </c>
      <c r="X89" s="1516">
        <f t="shared" si="14"/>
        <v>0</v>
      </c>
      <c r="Y89" s="1515">
        <f>IFERROR(VLOOKUP(G89,'MON2'!MONTENALIM,5,FALSE),"")</f>
        <v>0</v>
      </c>
      <c r="Z89" s="1517">
        <f>IFERROR(VLOOKUP(G89,'MON2'!MONTEFC,5,FALSE),"")</f>
        <v>0</v>
      </c>
      <c r="AA89" s="1563"/>
      <c r="AB89" s="1561"/>
      <c r="AC89" s="1564">
        <f t="shared" si="176"/>
        <v>5400000</v>
      </c>
      <c r="AD89" s="156">
        <f t="shared" si="260"/>
        <v>1439607.72</v>
      </c>
      <c r="AE89" s="331">
        <f t="shared" si="17"/>
        <v>0</v>
      </c>
      <c r="AF89" s="331">
        <f t="shared" ref="AF89:AG89" si="348">Y89+R89+K89</f>
        <v>693723.45</v>
      </c>
      <c r="AG89" s="331">
        <f t="shared" si="348"/>
        <v>693723.45</v>
      </c>
      <c r="AH89" s="331">
        <f t="shared" si="19"/>
        <v>-745884.27</v>
      </c>
      <c r="AI89" s="1519">
        <f t="shared" si="20"/>
        <v>0.48188366897615692</v>
      </c>
      <c r="AJ89" s="1520">
        <f t="shared" si="297"/>
        <v>0</v>
      </c>
      <c r="AK89" s="156">
        <f t="shared" si="22"/>
        <v>458814.63</v>
      </c>
      <c r="AL89" s="1514">
        <f>IFERROR(VLOOKUP(G89,'MON2'!MONTENALIM,6,FALSE),"")</f>
        <v>439841.63</v>
      </c>
      <c r="AM89" s="1521">
        <f>IFERROR(VLOOKUP(G89,'MON2'!MONTEFC,6,FALSE),"")</f>
        <v>898656.26</v>
      </c>
      <c r="AN89" s="1520">
        <f t="shared" si="332"/>
        <v>0</v>
      </c>
      <c r="AO89" s="156">
        <f t="shared" si="23"/>
        <v>0</v>
      </c>
      <c r="AP89" s="331">
        <f>IFERROR(VLOOKUP(G89,'MON2'!MONTENALIM,7,FALSE),"")</f>
        <v>0</v>
      </c>
      <c r="AQ89" s="1513">
        <f>IFERROR(VLOOKUP(G89,'MON2'!MONTEFC,7,FALSE),"")</f>
        <v>0</v>
      </c>
      <c r="AR89" s="1514">
        <f t="shared" si="333"/>
        <v>0</v>
      </c>
      <c r="AS89" s="1514">
        <f t="shared" si="24"/>
        <v>0</v>
      </c>
      <c r="AT89" s="1514">
        <f>IFERROR(VLOOKUP(G89,'MON2'!MONTENALIM,8,FALSE),"")</f>
        <v>0</v>
      </c>
      <c r="AU89" s="1520">
        <f>IFERROR(VLOOKUP(G89,'MON2'!MONTEFC,8,FALSE),"")</f>
        <v>0</v>
      </c>
      <c r="AV89" s="1522">
        <f t="shared" ref="AV89:AX89" si="349">SUM(AS89,AO89,AK89)</f>
        <v>458814.63</v>
      </c>
      <c r="AW89" s="331">
        <f t="shared" si="349"/>
        <v>439841.63</v>
      </c>
      <c r="AX89" s="1512">
        <f t="shared" si="349"/>
        <v>898656.26</v>
      </c>
      <c r="AY89" s="156">
        <f t="shared" ref="AY89:BA89" si="350">SUM(AV89,AE89)</f>
        <v>458814.63</v>
      </c>
      <c r="AZ89" s="331">
        <f t="shared" si="350"/>
        <v>1133565.08</v>
      </c>
      <c r="BA89" s="1523">
        <f t="shared" si="350"/>
        <v>1592379.71</v>
      </c>
      <c r="BB89" s="1520">
        <f t="shared" si="264"/>
        <v>0</v>
      </c>
      <c r="BC89" s="1524">
        <f t="shared" si="28"/>
        <v>0</v>
      </c>
      <c r="BD89" s="331">
        <f>IFERROR(VLOOKUP(G89,'MON2'!MONTENALIM,9,FALSE),"")</f>
        <v>0</v>
      </c>
      <c r="BE89" s="1525">
        <f>IFERROR(VLOOKUP(G89,'MON2'!MONTEFC,9,FALSE),"")</f>
        <v>0</v>
      </c>
      <c r="BF89" s="1514">
        <f t="shared" si="265"/>
        <v>0</v>
      </c>
      <c r="BG89" s="331">
        <f t="shared" si="266"/>
        <v>0</v>
      </c>
      <c r="BH89" s="331">
        <f t="shared" si="267"/>
        <v>0</v>
      </c>
      <c r="BI89" s="331">
        <f t="shared" si="268"/>
        <v>1439607.72</v>
      </c>
      <c r="BJ89" s="331">
        <f t="shared" si="269"/>
        <v>0</v>
      </c>
    </row>
    <row r="90" spans="1:62" ht="13">
      <c r="A90" s="485" t="str">
        <f t="shared" si="254"/>
        <v>MONTENEGRO</v>
      </c>
      <c r="B90" s="1466">
        <f t="shared" si="255"/>
        <v>112014174</v>
      </c>
      <c r="C90" s="1527">
        <f t="shared" si="256"/>
        <v>7</v>
      </c>
      <c r="D90" s="733">
        <f t="shared" si="257"/>
        <v>0.1</v>
      </c>
      <c r="E90" s="733">
        <f t="shared" si="258"/>
        <v>0.2</v>
      </c>
      <c r="F90" s="733">
        <f t="shared" si="259"/>
        <v>0</v>
      </c>
      <c r="G90" s="1466" t="s">
        <v>1276</v>
      </c>
      <c r="H90" s="1497">
        <f t="shared" si="330"/>
        <v>0</v>
      </c>
      <c r="I90" s="1528">
        <v>1800000</v>
      </c>
      <c r="J90" s="1494">
        <f t="shared" si="6"/>
        <v>334730.14</v>
      </c>
      <c r="K90" s="1497">
        <f>IFERROR(VLOOKUP(G90,'MON2'!MONTENALIM,3,FALSE),"")</f>
        <v>436003.97</v>
      </c>
      <c r="L90" s="1498">
        <f>IFERROR(VLOOKUP(G90,'MON2'!MONTEFC,3,FALSE),"")</f>
        <v>770734.11</v>
      </c>
      <c r="M90" s="1495">
        <f t="shared" si="168"/>
        <v>-1029265.89</v>
      </c>
      <c r="N90" s="1529">
        <f t="shared" si="169"/>
        <v>0.42818561666666666</v>
      </c>
      <c r="O90" s="1497">
        <f t="shared" si="294"/>
        <v>0</v>
      </c>
      <c r="P90" s="1497">
        <v>1800000</v>
      </c>
      <c r="Q90" s="1485">
        <f t="shared" si="10"/>
        <v>1059799.42</v>
      </c>
      <c r="R90" s="1497">
        <f>IFERROR(VLOOKUP(G90,'MON2'!MONTENALIM,4,FALSE),"")</f>
        <v>137262.01999999999</v>
      </c>
      <c r="S90" s="1497">
        <f>IFERROR(VLOOKUP(G90,'MON2'!MONTEFC,4,FALSE),"")</f>
        <v>1197061.44</v>
      </c>
      <c r="T90" s="1497">
        <f t="shared" si="172"/>
        <v>-602938.56000000006</v>
      </c>
      <c r="U90" s="1529">
        <f t="shared" si="173"/>
        <v>0.66503413333333328</v>
      </c>
      <c r="V90" s="1497">
        <f t="shared" si="295"/>
        <v>0</v>
      </c>
      <c r="W90" s="1528">
        <v>1800000</v>
      </c>
      <c r="X90" s="1487">
        <f t="shared" si="14"/>
        <v>1315033.97</v>
      </c>
      <c r="Y90" s="1485">
        <f>IFERROR(VLOOKUP(G90,'MON2'!MONTENALIM,5,FALSE),"")</f>
        <v>0</v>
      </c>
      <c r="Z90" s="1488">
        <f>IFERROR(VLOOKUP(G90,'MON2'!MONTEFC,5,FALSE),"")</f>
        <v>1315033.97</v>
      </c>
      <c r="AA90" s="1495"/>
      <c r="AB90" s="1497"/>
      <c r="AC90" s="1530">
        <f t="shared" si="176"/>
        <v>5400000</v>
      </c>
      <c r="AD90" s="1494">
        <f t="shared" si="260"/>
        <v>2074761.08</v>
      </c>
      <c r="AE90" s="1497">
        <f t="shared" si="17"/>
        <v>2709563.5300000003</v>
      </c>
      <c r="AF90" s="1497">
        <f t="shared" ref="AF90:AG90" si="351">Y90+R90+K90</f>
        <v>573265.99</v>
      </c>
      <c r="AG90" s="1497">
        <f t="shared" si="351"/>
        <v>3282829.52</v>
      </c>
      <c r="AH90" s="1497">
        <f t="shared" si="19"/>
        <v>1208068.44</v>
      </c>
      <c r="AI90" s="1531">
        <f t="shared" si="20"/>
        <v>1.5822687015123689</v>
      </c>
      <c r="AJ90" s="1493">
        <f t="shared" si="297"/>
        <v>186685.14</v>
      </c>
      <c r="AK90" s="1494">
        <f t="shared" si="22"/>
        <v>894638.96</v>
      </c>
      <c r="AL90" s="1495">
        <f>IFERROR(VLOOKUP(G90,'MON2'!MONTENALIM,6,FALSE),"")</f>
        <v>72327.13</v>
      </c>
      <c r="AM90" s="1496">
        <f>IFERROR(VLOOKUP(G90,'MON2'!MONTEFC,6,FALSE),"")</f>
        <v>966966.09</v>
      </c>
      <c r="AN90" s="1493">
        <f t="shared" si="332"/>
        <v>266453.51</v>
      </c>
      <c r="AO90" s="1494">
        <f t="shared" si="23"/>
        <v>359426.84</v>
      </c>
      <c r="AP90" s="1497">
        <f>IFERROR(VLOOKUP(G90,'MON2'!MONTENALIM,7,FALSE),"")</f>
        <v>0</v>
      </c>
      <c r="AQ90" s="1498">
        <f>IFERROR(VLOOKUP(G90,'MON2'!MONTEFC,7,FALSE),"")</f>
        <v>359426.84</v>
      </c>
      <c r="AR90" s="1495">
        <f t="shared" si="333"/>
        <v>79827.38</v>
      </c>
      <c r="AS90" s="1495">
        <f t="shared" si="24"/>
        <v>433439.93000000005</v>
      </c>
      <c r="AT90" s="1495">
        <f>IFERROR(VLOOKUP(G90,'MON2'!MONTENALIM,8,FALSE),"")</f>
        <v>92458.72</v>
      </c>
      <c r="AU90" s="1493">
        <f>IFERROR(VLOOKUP(G90,'MON2'!MONTEFC,8,FALSE),"")</f>
        <v>525898.65</v>
      </c>
      <c r="AV90" s="1532">
        <f t="shared" ref="AV90:AX90" si="352">SUM(AS90,AO90,AK90)</f>
        <v>1687505.73</v>
      </c>
      <c r="AW90" s="1497">
        <f t="shared" si="352"/>
        <v>164785.85</v>
      </c>
      <c r="AX90" s="1528">
        <f t="shared" si="352"/>
        <v>1852291.58</v>
      </c>
      <c r="AY90" s="1494">
        <f t="shared" ref="AY90:BA90" si="353">SUM(AV90,AE90)</f>
        <v>4397069.26</v>
      </c>
      <c r="AZ90" s="1497">
        <f t="shared" si="353"/>
        <v>738051.84</v>
      </c>
      <c r="BA90" s="1533">
        <f t="shared" si="353"/>
        <v>5135121.0999999996</v>
      </c>
      <c r="BB90" s="1493">
        <f t="shared" si="264"/>
        <v>649327.75</v>
      </c>
      <c r="BC90" s="1504">
        <f t="shared" si="28"/>
        <v>225780.81</v>
      </c>
      <c r="BD90" s="1497">
        <f>IFERROR(VLOOKUP(G90,'MON2'!MONTENALIM,9,FALSE),"")</f>
        <v>86877.57</v>
      </c>
      <c r="BE90" s="1505">
        <f>IFERROR(VLOOKUP(G90,'MON2'!MONTEFC,9,FALSE),"")</f>
        <v>312658.38</v>
      </c>
      <c r="BF90" s="1495">
        <f t="shared" si="265"/>
        <v>317983.96999999997</v>
      </c>
      <c r="BG90" s="1497">
        <f t="shared" si="266"/>
        <v>22966.560000000001</v>
      </c>
      <c r="BH90" s="1497">
        <f t="shared" si="267"/>
        <v>506564.06</v>
      </c>
      <c r="BI90" s="1497">
        <f t="shared" si="268"/>
        <v>1230139.97</v>
      </c>
      <c r="BJ90" s="1497">
        <f t="shared" si="269"/>
        <v>338057.05</v>
      </c>
    </row>
    <row r="91" spans="1:62" ht="13">
      <c r="A91" s="485" t="str">
        <f t="shared" si="254"/>
        <v>MONTENEGRO</v>
      </c>
      <c r="B91" s="1467">
        <f t="shared" si="255"/>
        <v>112013740</v>
      </c>
      <c r="C91" s="1510">
        <f t="shared" si="256"/>
        <v>22</v>
      </c>
      <c r="D91" s="1511">
        <f t="shared" si="257"/>
        <v>0.1</v>
      </c>
      <c r="E91" s="1511">
        <f t="shared" si="258"/>
        <v>0.09</v>
      </c>
      <c r="F91" s="1511">
        <f t="shared" si="259"/>
        <v>0</v>
      </c>
      <c r="G91" s="1467" t="s">
        <v>1289</v>
      </c>
      <c r="H91" s="331">
        <f t="shared" si="330"/>
        <v>0</v>
      </c>
      <c r="I91" s="1512">
        <v>1800000</v>
      </c>
      <c r="J91" s="156" t="e">
        <f t="shared" si="6"/>
        <v>#VALUE!</v>
      </c>
      <c r="K91" s="331" t="str">
        <f>IFERROR(VLOOKUP(G91,'MON2'!MONTENALIM,3,FALSE),"")</f>
        <v/>
      </c>
      <c r="L91" s="1513" t="str">
        <f>IFERROR(VLOOKUP(G91,'MON2'!MONTEFC,3,FALSE),"")</f>
        <v/>
      </c>
      <c r="M91" s="1514" t="e">
        <f t="shared" si="168"/>
        <v>#VALUE!</v>
      </c>
      <c r="N91" s="234" t="e">
        <f t="shared" si="169"/>
        <v>#VALUE!</v>
      </c>
      <c r="O91" s="331">
        <f t="shared" si="294"/>
        <v>0</v>
      </c>
      <c r="P91" s="331">
        <v>1800000</v>
      </c>
      <c r="Q91" s="1515" t="e">
        <f t="shared" si="10"/>
        <v>#VALUE!</v>
      </c>
      <c r="R91" s="331" t="str">
        <f>IFERROR(VLOOKUP(G91,'MON2'!MONTENALIM,4,FALSE),"")</f>
        <v/>
      </c>
      <c r="S91" s="331" t="str">
        <f>IFERROR(VLOOKUP(G91,'MON2'!MONTEFC,4,FALSE),"")</f>
        <v/>
      </c>
      <c r="T91" s="331" t="e">
        <f t="shared" si="172"/>
        <v>#VALUE!</v>
      </c>
      <c r="U91" s="234" t="e">
        <f t="shared" si="173"/>
        <v>#VALUE!</v>
      </c>
      <c r="V91" s="331">
        <f t="shared" si="295"/>
        <v>0</v>
      </c>
      <c r="W91" s="1512">
        <v>1800000</v>
      </c>
      <c r="X91" s="1516" t="e">
        <f t="shared" si="14"/>
        <v>#VALUE!</v>
      </c>
      <c r="Y91" s="1515" t="str">
        <f>IFERROR(VLOOKUP(G91,'MON2'!MONTENALIM,5,FALSE),"")</f>
        <v/>
      </c>
      <c r="Z91" s="1517" t="str">
        <f>IFERROR(VLOOKUP(G91,'MON2'!MONTEFC,5,FALSE),"")</f>
        <v/>
      </c>
      <c r="AA91" s="1514"/>
      <c r="AB91" s="331"/>
      <c r="AC91" s="1518">
        <f t="shared" si="176"/>
        <v>5400000</v>
      </c>
      <c r="AD91" s="156" t="str">
        <f t="shared" si="260"/>
        <v>0</v>
      </c>
      <c r="AE91" s="331" t="e">
        <f t="shared" si="17"/>
        <v>#VALUE!</v>
      </c>
      <c r="AF91" s="331" t="e">
        <f t="shared" ref="AF91:AG91" si="354">Y91+R91+K91</f>
        <v>#VALUE!</v>
      </c>
      <c r="AG91" s="331" t="e">
        <f t="shared" si="354"/>
        <v>#VALUE!</v>
      </c>
      <c r="AH91" s="331" t="e">
        <f t="shared" si="19"/>
        <v>#VALUE!</v>
      </c>
      <c r="AI91" s="1519" t="str">
        <f t="shared" si="20"/>
        <v/>
      </c>
      <c r="AJ91" s="1520">
        <f t="shared" si="297"/>
        <v>1708281.49</v>
      </c>
      <c r="AK91" s="156" t="e">
        <f t="shared" si="22"/>
        <v>#VALUE!</v>
      </c>
      <c r="AL91" s="1514" t="str">
        <f>IFERROR(VLOOKUP(G91,'MON2'!MONTENALIM,6,FALSE),"")</f>
        <v/>
      </c>
      <c r="AM91" s="1521" t="str">
        <f>IFERROR(VLOOKUP(G91,'MON2'!MONTEFC,6,FALSE),"")</f>
        <v/>
      </c>
      <c r="AN91" s="1520">
        <f t="shared" si="332"/>
        <v>0</v>
      </c>
      <c r="AO91" s="156" t="e">
        <f t="shared" si="23"/>
        <v>#VALUE!</v>
      </c>
      <c r="AP91" s="331" t="str">
        <f>IFERROR(VLOOKUP(G91,'MON2'!MONTENALIM,7,FALSE),"")</f>
        <v/>
      </c>
      <c r="AQ91" s="1513" t="str">
        <f>IFERROR(VLOOKUP(G91,'MON2'!MONTEFC,7,FALSE),"")</f>
        <v/>
      </c>
      <c r="AR91" s="1514">
        <f t="shared" si="333"/>
        <v>0</v>
      </c>
      <c r="AS91" s="1514" t="e">
        <f t="shared" si="24"/>
        <v>#VALUE!</v>
      </c>
      <c r="AT91" s="1514" t="str">
        <f>IFERROR(VLOOKUP(G91,'MON2'!MONTENALIM,8,FALSE),"")</f>
        <v/>
      </c>
      <c r="AU91" s="1520" t="str">
        <f>IFERROR(VLOOKUP(G91,'MON2'!MONTEFC,8,FALSE),"")</f>
        <v/>
      </c>
      <c r="AV91" s="1522" t="e">
        <f t="shared" ref="AV91:AX91" si="355">SUM(AS91,AO91,AK91)</f>
        <v>#VALUE!</v>
      </c>
      <c r="AW91" s="331">
        <f t="shared" si="355"/>
        <v>0</v>
      </c>
      <c r="AX91" s="1512">
        <f t="shared" si="355"/>
        <v>0</v>
      </c>
      <c r="AY91" s="156" t="e">
        <f t="shared" ref="AY91:BA91" si="356">SUM(AV91,AE91)</f>
        <v>#VALUE!</v>
      </c>
      <c r="AZ91" s="331" t="e">
        <f t="shared" si="356"/>
        <v>#VALUE!</v>
      </c>
      <c r="BA91" s="1523" t="e">
        <f t="shared" si="356"/>
        <v>#VALUE!</v>
      </c>
      <c r="BB91" s="1520">
        <f t="shared" si="264"/>
        <v>754604.85</v>
      </c>
      <c r="BC91" s="1524" t="e">
        <f t="shared" si="28"/>
        <v>#VALUE!</v>
      </c>
      <c r="BD91" s="331" t="str">
        <f>IFERROR(VLOOKUP(G91,'MON2'!MONTENALIM,9,FALSE),"")</f>
        <v/>
      </c>
      <c r="BE91" s="1525" t="str">
        <f>IFERROR(VLOOKUP(G91,'MON2'!MONTEFC,9,FALSE),"")</f>
        <v/>
      </c>
      <c r="BF91" s="1514">
        <f t="shared" si="265"/>
        <v>528564.77</v>
      </c>
      <c r="BG91" s="331">
        <f t="shared" si="266"/>
        <v>507543.95</v>
      </c>
      <c r="BH91" s="331">
        <f t="shared" si="267"/>
        <v>0</v>
      </c>
      <c r="BI91" s="331">
        <f t="shared" si="268"/>
        <v>0</v>
      </c>
      <c r="BJ91" s="331">
        <f t="shared" si="269"/>
        <v>0</v>
      </c>
    </row>
    <row r="92" spans="1:62" ht="13">
      <c r="A92" s="485" t="str">
        <f t="shared" si="254"/>
        <v>MONTENEGRO</v>
      </c>
      <c r="B92" s="1466">
        <f t="shared" si="255"/>
        <v>112014219</v>
      </c>
      <c r="C92" s="1527">
        <f t="shared" si="256"/>
        <v>22</v>
      </c>
      <c r="D92" s="733">
        <f t="shared" si="257"/>
        <v>0.1</v>
      </c>
      <c r="E92" s="733">
        <f t="shared" si="258"/>
        <v>0.09</v>
      </c>
      <c r="F92" s="733">
        <f t="shared" si="259"/>
        <v>0</v>
      </c>
      <c r="G92" s="1466" t="s">
        <v>1554</v>
      </c>
      <c r="H92" s="1497">
        <f t="shared" si="330"/>
        <v>1667066.42</v>
      </c>
      <c r="I92" s="1528">
        <f>(H92*1.601)*1.05</f>
        <v>2802422.0053409999</v>
      </c>
      <c r="J92" s="1494">
        <f t="shared" si="6"/>
        <v>8715938.4900000002</v>
      </c>
      <c r="K92" s="1497">
        <f>IFERROR(VLOOKUP(G92,'MON2'!MONTENALIM,3,FALSE),"")</f>
        <v>19800</v>
      </c>
      <c r="L92" s="1498">
        <f>IFERROR(VLOOKUP(G92,'MON2'!MONTEFC,3,FALSE),"")</f>
        <v>8735738.4900000002</v>
      </c>
      <c r="M92" s="1495">
        <f t="shared" si="168"/>
        <v>5933316.4846590003</v>
      </c>
      <c r="N92" s="1529">
        <f t="shared" si="169"/>
        <v>3.1172102107930142</v>
      </c>
      <c r="O92" s="1497">
        <f t="shared" si="294"/>
        <v>1945331.96</v>
      </c>
      <c r="P92" s="1497">
        <f>(O92*1.7245)*1.05</f>
        <v>3522461.213271</v>
      </c>
      <c r="Q92" s="1485">
        <f t="shared" si="10"/>
        <v>5993121.8500000006</v>
      </c>
      <c r="R92" s="1497">
        <f>IFERROR(VLOOKUP(G92,'MON2'!MONTENALIM,4,FALSE),"")</f>
        <v>200072.27</v>
      </c>
      <c r="S92" s="1497">
        <f>IFERROR(VLOOKUP(G92,'MON2'!MONTEFC,4,FALSE),"")</f>
        <v>6193194.1200000001</v>
      </c>
      <c r="T92" s="1497">
        <f t="shared" si="172"/>
        <v>2670732.9067290002</v>
      </c>
      <c r="U92" s="1529">
        <f t="shared" si="173"/>
        <v>1.758200799107998</v>
      </c>
      <c r="V92" s="1497">
        <f t="shared" si="295"/>
        <v>2358816.75</v>
      </c>
      <c r="W92" s="1528">
        <f>(V92*1.5955)*1.05</f>
        <v>3951666.73085625</v>
      </c>
      <c r="X92" s="1487">
        <f t="shared" si="14"/>
        <v>4515465.6000000006</v>
      </c>
      <c r="Y92" s="1485">
        <f>IFERROR(VLOOKUP(G92,'MON2'!MONTENALIM,5,FALSE),"")</f>
        <v>12776.84</v>
      </c>
      <c r="Z92" s="1488">
        <f>IFERROR(VLOOKUP(G92,'MON2'!MONTEFC,5,FALSE),"")</f>
        <v>4528242.4400000004</v>
      </c>
      <c r="AA92" s="1495"/>
      <c r="AB92" s="1497"/>
      <c r="AC92" s="1530">
        <f t="shared" si="176"/>
        <v>10276549.949468251</v>
      </c>
      <c r="AD92" s="1494">
        <f t="shared" si="260"/>
        <v>22362366.030000001</v>
      </c>
      <c r="AE92" s="1497">
        <f t="shared" si="17"/>
        <v>19224525.940000001</v>
      </c>
      <c r="AF92" s="1497">
        <f t="shared" ref="AF92:AG92" si="357">Y92+R92+K92</f>
        <v>232649.11</v>
      </c>
      <c r="AG92" s="1497">
        <f t="shared" si="357"/>
        <v>19457175.050000001</v>
      </c>
      <c r="AH92" s="1497">
        <f t="shared" si="19"/>
        <v>-2905190.9800000004</v>
      </c>
      <c r="AI92" s="1531">
        <f t="shared" si="20"/>
        <v>0.87008570666884844</v>
      </c>
      <c r="AJ92" s="1493">
        <f t="shared" si="297"/>
        <v>2375587.4900000002</v>
      </c>
      <c r="AK92" s="1494">
        <f t="shared" si="22"/>
        <v>4340901.2</v>
      </c>
      <c r="AL92" s="1495">
        <f>IFERROR(VLOOKUP(G92,'MON2'!MONTENALIM,6,FALSE),"")</f>
        <v>169661.3</v>
      </c>
      <c r="AM92" s="1496">
        <f>IFERROR(VLOOKUP(G92,'MON2'!MONTEFC,6,FALSE),"")</f>
        <v>4510562.5</v>
      </c>
      <c r="AN92" s="1493">
        <f t="shared" si="332"/>
        <v>1947018.84</v>
      </c>
      <c r="AO92" s="1494">
        <f t="shared" si="23"/>
        <v>3763874.67</v>
      </c>
      <c r="AP92" s="1497">
        <f>IFERROR(VLOOKUP(G92,'MON2'!MONTENALIM,7,FALSE),"")</f>
        <v>311752.64</v>
      </c>
      <c r="AQ92" s="1498">
        <f>IFERROR(VLOOKUP(G92,'MON2'!MONTEFC,7,FALSE),"")</f>
        <v>4075627.31</v>
      </c>
      <c r="AR92" s="1495">
        <f t="shared" si="333"/>
        <v>1094239.57</v>
      </c>
      <c r="AS92" s="1495">
        <f t="shared" si="24"/>
        <v>3061532.19</v>
      </c>
      <c r="AT92" s="1495">
        <f>IFERROR(VLOOKUP(G92,'MON2'!MONTENALIM,8,FALSE),"")</f>
        <v>31057.599999999999</v>
      </c>
      <c r="AU92" s="1493">
        <f>IFERROR(VLOOKUP(G92,'MON2'!MONTEFC,8,FALSE),"")</f>
        <v>3092589.79</v>
      </c>
      <c r="AV92" s="1532">
        <f t="shared" ref="AV92:AX92" si="358">SUM(AS92,AO92,AK92)</f>
        <v>11166308.059999999</v>
      </c>
      <c r="AW92" s="1497">
        <f t="shared" si="358"/>
        <v>512471.54</v>
      </c>
      <c r="AX92" s="1528">
        <f t="shared" si="358"/>
        <v>11678779.6</v>
      </c>
      <c r="AY92" s="1494">
        <f t="shared" ref="AY92:BA92" si="359">SUM(AV92,AE92)</f>
        <v>30390834</v>
      </c>
      <c r="AZ92" s="1497">
        <f t="shared" si="359"/>
        <v>745120.64999999991</v>
      </c>
      <c r="BA92" s="1533">
        <f t="shared" si="359"/>
        <v>31135954.649999999</v>
      </c>
      <c r="BB92" s="1493">
        <f t="shared" si="264"/>
        <v>160795.12</v>
      </c>
      <c r="BC92" s="1504">
        <f t="shared" si="28"/>
        <v>1845075.32</v>
      </c>
      <c r="BD92" s="1497">
        <f>IFERROR(VLOOKUP(G92,'MON2'!MONTENALIM,9,FALSE),"")</f>
        <v>0</v>
      </c>
      <c r="BE92" s="1505">
        <f>IFERROR(VLOOKUP(G92,'MON2'!MONTEFC,9,FALSE),"")</f>
        <v>1845075.32</v>
      </c>
      <c r="BF92" s="1495">
        <f t="shared" si="265"/>
        <v>1486106.94</v>
      </c>
      <c r="BG92" s="1497">
        <f t="shared" si="266"/>
        <v>3987080.85</v>
      </c>
      <c r="BH92" s="1497">
        <f t="shared" si="267"/>
        <v>8383163.5899999999</v>
      </c>
      <c r="BI92" s="1497">
        <f t="shared" si="268"/>
        <v>8183504.25</v>
      </c>
      <c r="BJ92" s="1497">
        <f t="shared" si="269"/>
        <v>5795698.1900000004</v>
      </c>
    </row>
    <row r="93" spans="1:62" ht="13">
      <c r="A93" s="485" t="str">
        <f t="shared" si="254"/>
        <v>MONTENEGRO</v>
      </c>
      <c r="B93" s="1467">
        <f t="shared" si="255"/>
        <v>112013986</v>
      </c>
      <c r="C93" s="1510">
        <f t="shared" si="256"/>
        <v>22</v>
      </c>
      <c r="D93" s="1511">
        <f t="shared" si="257"/>
        <v>0.1</v>
      </c>
      <c r="E93" s="1511">
        <f t="shared" si="258"/>
        <v>0.09</v>
      </c>
      <c r="F93" s="1511">
        <f t="shared" si="259"/>
        <v>0</v>
      </c>
      <c r="G93" s="1467" t="s">
        <v>1291</v>
      </c>
      <c r="H93" s="331">
        <f t="shared" si="330"/>
        <v>610405.98</v>
      </c>
      <c r="I93" s="1512">
        <v>1800000</v>
      </c>
      <c r="J93" s="156" t="e">
        <f t="shared" si="6"/>
        <v>#VALUE!</v>
      </c>
      <c r="K93" s="331" t="str">
        <f>IFERROR(VLOOKUP(G93,'MON2'!MONTENALIM,3,FALSE),"")</f>
        <v/>
      </c>
      <c r="L93" s="1513">
        <f>IFERROR(VLOOKUP(G93,'MON2'!MONTEFC,3,FALSE),"")</f>
        <v>0</v>
      </c>
      <c r="M93" s="1514">
        <f t="shared" si="168"/>
        <v>-1800000</v>
      </c>
      <c r="N93" s="234">
        <f t="shared" si="169"/>
        <v>0</v>
      </c>
      <c r="O93" s="331">
        <f t="shared" si="294"/>
        <v>376651.24</v>
      </c>
      <c r="P93" s="331">
        <v>1800000</v>
      </c>
      <c r="Q93" s="1515" t="e">
        <f t="shared" si="10"/>
        <v>#VALUE!</v>
      </c>
      <c r="R93" s="331" t="str">
        <f>IFERROR(VLOOKUP(G93,'MON2'!MONTENALIM,4,FALSE),"")</f>
        <v/>
      </c>
      <c r="S93" s="331">
        <f>IFERROR(VLOOKUP(G93,'MON2'!MONTEFC,4,FALSE),"")</f>
        <v>753383.29</v>
      </c>
      <c r="T93" s="331">
        <f t="shared" si="172"/>
        <v>-1046616.71</v>
      </c>
      <c r="U93" s="234">
        <f t="shared" si="173"/>
        <v>0.41854627222222224</v>
      </c>
      <c r="V93" s="331">
        <f t="shared" si="295"/>
        <v>368055.58</v>
      </c>
      <c r="W93" s="1512">
        <v>1800000</v>
      </c>
      <c r="X93" s="1516" t="e">
        <f t="shared" si="14"/>
        <v>#VALUE!</v>
      </c>
      <c r="Y93" s="1515" t="str">
        <f>IFERROR(VLOOKUP(G93,'MON2'!MONTENALIM,5,FALSE),"")</f>
        <v/>
      </c>
      <c r="Z93" s="1517">
        <f>IFERROR(VLOOKUP(G93,'MON2'!MONTEFC,5,FALSE),"")</f>
        <v>698146.65</v>
      </c>
      <c r="AA93" s="1514"/>
      <c r="AB93" s="331"/>
      <c r="AC93" s="1518">
        <f t="shared" si="176"/>
        <v>5400000</v>
      </c>
      <c r="AD93" s="156">
        <f t="shared" si="260"/>
        <v>1247558.19</v>
      </c>
      <c r="AE93" s="331" t="e">
        <f t="shared" si="17"/>
        <v>#VALUE!</v>
      </c>
      <c r="AF93" s="331" t="e">
        <f t="shared" ref="AF93:AG93" si="360">Y93+R93+K93</f>
        <v>#VALUE!</v>
      </c>
      <c r="AG93" s="331">
        <f t="shared" si="360"/>
        <v>1451529.94</v>
      </c>
      <c r="AH93" s="331">
        <f t="shared" si="19"/>
        <v>203971.75</v>
      </c>
      <c r="AI93" s="1519">
        <f t="shared" si="20"/>
        <v>1.1634967824627083</v>
      </c>
      <c r="AJ93" s="1520">
        <f t="shared" si="297"/>
        <v>0</v>
      </c>
      <c r="AK93" s="156" t="e">
        <f t="shared" si="22"/>
        <v>#VALUE!</v>
      </c>
      <c r="AL93" s="1514" t="str">
        <f>IFERROR(VLOOKUP(G93,'MON2'!MONTENALIM,6,FALSE),"")</f>
        <v/>
      </c>
      <c r="AM93" s="1521">
        <f>IFERROR(VLOOKUP(G93,'MON2'!MONTEFC,6,FALSE),"")</f>
        <v>204380.89</v>
      </c>
      <c r="AN93" s="1520">
        <f t="shared" si="332"/>
        <v>236545.87</v>
      </c>
      <c r="AO93" s="156" t="e">
        <f t="shared" si="23"/>
        <v>#VALUE!</v>
      </c>
      <c r="AP93" s="331" t="str">
        <f>IFERROR(VLOOKUP(G93,'MON2'!MONTENALIM,7,FALSE),"")</f>
        <v/>
      </c>
      <c r="AQ93" s="1513">
        <f>IFERROR(VLOOKUP(G93,'MON2'!MONTEFC,7,FALSE),"")</f>
        <v>147817.99</v>
      </c>
      <c r="AR93" s="1514">
        <f t="shared" si="333"/>
        <v>366633.2</v>
      </c>
      <c r="AS93" s="1514" t="e">
        <f t="shared" si="24"/>
        <v>#VALUE!</v>
      </c>
      <c r="AT93" s="1514" t="str">
        <f>IFERROR(VLOOKUP(G93,'MON2'!MONTENALIM,8,FALSE),"")</f>
        <v/>
      </c>
      <c r="AU93" s="1520">
        <f>IFERROR(VLOOKUP(G93,'MON2'!MONTEFC,8,FALSE),"")</f>
        <v>418358.44</v>
      </c>
      <c r="AV93" s="1522" t="e">
        <f t="shared" ref="AV93:AX93" si="361">SUM(AS93,AO93,AK93)</f>
        <v>#VALUE!</v>
      </c>
      <c r="AW93" s="331">
        <f t="shared" si="361"/>
        <v>0</v>
      </c>
      <c r="AX93" s="1512">
        <f t="shared" si="361"/>
        <v>770557.32</v>
      </c>
      <c r="AY93" s="156" t="e">
        <f t="shared" ref="AY93:BA93" si="362">SUM(AV93,AE93)</f>
        <v>#VALUE!</v>
      </c>
      <c r="AZ93" s="331" t="e">
        <f t="shared" si="362"/>
        <v>#VALUE!</v>
      </c>
      <c r="BA93" s="1523">
        <f t="shared" si="362"/>
        <v>2222087.2599999998</v>
      </c>
      <c r="BB93" s="1520">
        <f t="shared" si="264"/>
        <v>285716.06</v>
      </c>
      <c r="BC93" s="1524" t="e">
        <f t="shared" si="28"/>
        <v>#VALUE!</v>
      </c>
      <c r="BD93" s="331" t="str">
        <f>IFERROR(VLOOKUP(G93,'MON2'!MONTENALIM,9,FALSE),"")</f>
        <v/>
      </c>
      <c r="BE93" s="1525">
        <f>IFERROR(VLOOKUP(G93,'MON2'!MONTEFC,9,FALSE),"")</f>
        <v>262485.61</v>
      </c>
      <c r="BF93" s="1514">
        <f t="shared" si="265"/>
        <v>710652.76</v>
      </c>
      <c r="BG93" s="331">
        <f t="shared" si="266"/>
        <v>645854.49</v>
      </c>
      <c r="BH93" s="331">
        <f t="shared" si="267"/>
        <v>402704.59</v>
      </c>
      <c r="BI93" s="331">
        <f t="shared" si="268"/>
        <v>461384.2</v>
      </c>
      <c r="BJ93" s="331">
        <f t="shared" si="269"/>
        <v>383469.4</v>
      </c>
    </row>
    <row r="94" spans="1:62" ht="13">
      <c r="A94" s="485" t="str">
        <f t="shared" si="254"/>
        <v>MONTENEGRO</v>
      </c>
      <c r="B94" s="1466">
        <f t="shared" si="255"/>
        <v>112013988</v>
      </c>
      <c r="C94" s="1527">
        <f t="shared" si="256"/>
        <v>22</v>
      </c>
      <c r="D94" s="733">
        <f t="shared" si="257"/>
        <v>0.1</v>
      </c>
      <c r="E94" s="733">
        <f t="shared" si="258"/>
        <v>0.09</v>
      </c>
      <c r="F94" s="733">
        <f t="shared" si="259"/>
        <v>0</v>
      </c>
      <c r="G94" s="1466" t="s">
        <v>1292</v>
      </c>
      <c r="H94" s="1497">
        <f t="shared" si="330"/>
        <v>138584.74</v>
      </c>
      <c r="I94" s="1528">
        <v>1800000</v>
      </c>
      <c r="J94" s="1494" t="e">
        <f t="shared" si="6"/>
        <v>#VALUE!</v>
      </c>
      <c r="K94" s="1497" t="str">
        <f>IFERROR(VLOOKUP(G94,'MON2'!MONTENALIM,3,FALSE),"")</f>
        <v/>
      </c>
      <c r="L94" s="1498">
        <f>IFERROR(VLOOKUP(G94,'MON2'!MONTEFC,3,FALSE),"")</f>
        <v>0</v>
      </c>
      <c r="M94" s="1495">
        <f t="shared" si="168"/>
        <v>-1800000</v>
      </c>
      <c r="N94" s="1529">
        <f t="shared" si="169"/>
        <v>0</v>
      </c>
      <c r="O94" s="1497">
        <f t="shared" si="294"/>
        <v>374696.39</v>
      </c>
      <c r="P94" s="1497">
        <v>1800000</v>
      </c>
      <c r="Q94" s="1485" t="e">
        <f t="shared" si="10"/>
        <v>#VALUE!</v>
      </c>
      <c r="R94" s="1497" t="str">
        <f>IFERROR(VLOOKUP(G94,'MON2'!MONTENALIM,4,FALSE),"")</f>
        <v/>
      </c>
      <c r="S94" s="1497">
        <f>IFERROR(VLOOKUP(G94,'MON2'!MONTEFC,4,FALSE),"")</f>
        <v>1632744.33</v>
      </c>
      <c r="T94" s="1497">
        <f t="shared" si="172"/>
        <v>-167255.66999999993</v>
      </c>
      <c r="U94" s="1529">
        <f t="shared" si="173"/>
        <v>0.9070801833333334</v>
      </c>
      <c r="V94" s="1497">
        <f t="shared" si="295"/>
        <v>1294168</v>
      </c>
      <c r="W94" s="1528">
        <f>(V94*1.5955)*1.05</f>
        <v>2168087.2962000002</v>
      </c>
      <c r="X94" s="1487" t="e">
        <f t="shared" si="14"/>
        <v>#VALUE!</v>
      </c>
      <c r="Y94" s="1485" t="str">
        <f>IFERROR(VLOOKUP(G94,'MON2'!MONTENALIM,5,FALSE),"")</f>
        <v/>
      </c>
      <c r="Z94" s="1488">
        <f>IFERROR(VLOOKUP(G94,'MON2'!MONTEFC,5,FALSE),"")</f>
        <v>334742.43</v>
      </c>
      <c r="AA94" s="1495"/>
      <c r="AB94" s="1497"/>
      <c r="AC94" s="1530">
        <f t="shared" si="176"/>
        <v>5768087.2961999997</v>
      </c>
      <c r="AD94" s="1494">
        <f t="shared" si="260"/>
        <v>2423599.4700000002</v>
      </c>
      <c r="AE94" s="1497" t="e">
        <f t="shared" si="17"/>
        <v>#VALUE!</v>
      </c>
      <c r="AF94" s="1497" t="e">
        <f t="shared" ref="AF94:AG94" si="363">Y94+R94+K94</f>
        <v>#VALUE!</v>
      </c>
      <c r="AG94" s="1497">
        <f t="shared" si="363"/>
        <v>1967486.76</v>
      </c>
      <c r="AH94" s="1497">
        <f t="shared" si="19"/>
        <v>-456112.7100000002</v>
      </c>
      <c r="AI94" s="1531">
        <f t="shared" si="20"/>
        <v>0.81180359393295287</v>
      </c>
      <c r="AJ94" s="1493">
        <f t="shared" si="297"/>
        <v>830031.45</v>
      </c>
      <c r="AK94" s="1494" t="e">
        <f t="shared" si="22"/>
        <v>#VALUE!</v>
      </c>
      <c r="AL94" s="1495" t="str">
        <f>IFERROR(VLOOKUP(G94,'MON2'!MONTENALIM,6,FALSE),"")</f>
        <v/>
      </c>
      <c r="AM94" s="1496">
        <f>IFERROR(VLOOKUP(G94,'MON2'!MONTEFC,6,FALSE),"")</f>
        <v>2339568.46</v>
      </c>
      <c r="AN94" s="1493">
        <f t="shared" si="332"/>
        <v>125776.19</v>
      </c>
      <c r="AO94" s="1494" t="e">
        <f t="shared" si="23"/>
        <v>#VALUE!</v>
      </c>
      <c r="AP94" s="1497" t="str">
        <f>IFERROR(VLOOKUP(G94,'MON2'!MONTENALIM,7,FALSE),"")</f>
        <v/>
      </c>
      <c r="AQ94" s="1498">
        <f>IFERROR(VLOOKUP(G94,'MON2'!MONTEFC,7,FALSE),"")</f>
        <v>1147150.1299999999</v>
      </c>
      <c r="AR94" s="1495">
        <f t="shared" si="333"/>
        <v>447046.14</v>
      </c>
      <c r="AS94" s="1495" t="e">
        <f t="shared" si="24"/>
        <v>#VALUE!</v>
      </c>
      <c r="AT94" s="1495" t="str">
        <f>IFERROR(VLOOKUP(G94,'MON2'!MONTENALIM,8,FALSE),"")</f>
        <v/>
      </c>
      <c r="AU94" s="1493">
        <f>IFERROR(VLOOKUP(G94,'MON2'!MONTEFC,8,FALSE),"")</f>
        <v>602746.16</v>
      </c>
      <c r="AV94" s="1532" t="e">
        <f t="shared" ref="AV94:AX94" si="364">SUM(AS94,AO94,AK94)</f>
        <v>#VALUE!</v>
      </c>
      <c r="AW94" s="1497">
        <f t="shared" si="364"/>
        <v>0</v>
      </c>
      <c r="AX94" s="1528">
        <f t="shared" si="364"/>
        <v>4089464.75</v>
      </c>
      <c r="AY94" s="1494" t="e">
        <f t="shared" ref="AY94:BA94" si="365">SUM(AV94,AE94)</f>
        <v>#VALUE!</v>
      </c>
      <c r="AZ94" s="1497" t="e">
        <f t="shared" si="365"/>
        <v>#VALUE!</v>
      </c>
      <c r="BA94" s="1533">
        <f t="shared" si="365"/>
        <v>6056951.5099999998</v>
      </c>
      <c r="BB94" s="1493">
        <f t="shared" si="264"/>
        <v>853664.88</v>
      </c>
      <c r="BC94" s="1504" t="e">
        <f t="shared" si="28"/>
        <v>#VALUE!</v>
      </c>
      <c r="BD94" s="1497" t="str">
        <f>IFERROR(VLOOKUP(G94,'MON2'!MONTENALIM,9,FALSE),"")</f>
        <v/>
      </c>
      <c r="BE94" s="1505">
        <f>IFERROR(VLOOKUP(G94,'MON2'!MONTEFC,9,FALSE),"")</f>
        <v>599081.9</v>
      </c>
      <c r="BF94" s="1495">
        <f t="shared" si="265"/>
        <v>480469.11</v>
      </c>
      <c r="BG94" s="1497">
        <f t="shared" si="266"/>
        <v>1140202.26</v>
      </c>
      <c r="BH94" s="1497">
        <f t="shared" si="267"/>
        <v>1620330.91</v>
      </c>
      <c r="BI94" s="1497">
        <f t="shared" si="268"/>
        <v>664236.56999999995</v>
      </c>
      <c r="BJ94" s="1497">
        <f t="shared" si="269"/>
        <v>139031.98000000001</v>
      </c>
    </row>
    <row r="95" spans="1:62" ht="13">
      <c r="A95" s="485" t="str">
        <f t="shared" si="254"/>
        <v>MONTENEGRO</v>
      </c>
      <c r="B95" s="1467">
        <f t="shared" si="255"/>
        <v>112014521</v>
      </c>
      <c r="C95" s="1510">
        <f t="shared" si="256"/>
        <v>22</v>
      </c>
      <c r="D95" s="1511">
        <f t="shared" si="257"/>
        <v>0.1</v>
      </c>
      <c r="E95" s="1511">
        <f t="shared" si="258"/>
        <v>0.09</v>
      </c>
      <c r="F95" s="1511">
        <f t="shared" si="259"/>
        <v>0</v>
      </c>
      <c r="G95" s="1467" t="s">
        <v>1293</v>
      </c>
      <c r="H95" s="331">
        <f t="shared" si="330"/>
        <v>0</v>
      </c>
      <c r="I95" s="1512">
        <v>1800000</v>
      </c>
      <c r="J95" s="156" t="e">
        <f t="shared" si="6"/>
        <v>#VALUE!</v>
      </c>
      <c r="K95" s="331" t="str">
        <f>IFERROR(VLOOKUP(G95,'MON2'!MONTENALIM,3,FALSE),"")</f>
        <v/>
      </c>
      <c r="L95" s="1513">
        <f>IFERROR(VLOOKUP(G95,'MON2'!MONTEFC,3,FALSE),"")</f>
        <v>1252748.33</v>
      </c>
      <c r="M95" s="1514">
        <f t="shared" si="168"/>
        <v>-547251.66999999993</v>
      </c>
      <c r="N95" s="234">
        <f t="shared" si="169"/>
        <v>0.6959712944444445</v>
      </c>
      <c r="O95" s="331">
        <f t="shared" si="294"/>
        <v>0</v>
      </c>
      <c r="P95" s="331">
        <v>1800000</v>
      </c>
      <c r="Q95" s="1515" t="e">
        <f t="shared" si="10"/>
        <v>#VALUE!</v>
      </c>
      <c r="R95" s="331" t="str">
        <f>IFERROR(VLOOKUP(G95,'MON2'!MONTENALIM,4,FALSE),"")</f>
        <v/>
      </c>
      <c r="S95" s="331">
        <f>IFERROR(VLOOKUP(G95,'MON2'!MONTEFC,4,FALSE),"")</f>
        <v>1805043.58</v>
      </c>
      <c r="T95" s="331">
        <f t="shared" si="172"/>
        <v>5043.5800000000745</v>
      </c>
      <c r="U95" s="234">
        <f t="shared" si="173"/>
        <v>1.0028019888888888</v>
      </c>
      <c r="V95" s="331">
        <f t="shared" si="295"/>
        <v>0</v>
      </c>
      <c r="W95" s="1512">
        <v>1800000</v>
      </c>
      <c r="X95" s="1516" t="e">
        <f t="shared" si="14"/>
        <v>#VALUE!</v>
      </c>
      <c r="Y95" s="1515" t="str">
        <f>IFERROR(VLOOKUP(G95,'MON2'!MONTENALIM,5,FALSE),"")</f>
        <v/>
      </c>
      <c r="Z95" s="1517">
        <f>IFERROR(VLOOKUP(G95,'MON2'!MONTEFC,5,FALSE),"")</f>
        <v>971433.86</v>
      </c>
      <c r="AA95" s="1514"/>
      <c r="AB95" s="331"/>
      <c r="AC95" s="1518">
        <f t="shared" si="176"/>
        <v>5400000</v>
      </c>
      <c r="AD95" s="156">
        <f t="shared" si="260"/>
        <v>4475729.7699999996</v>
      </c>
      <c r="AE95" s="331" t="e">
        <f t="shared" si="17"/>
        <v>#VALUE!</v>
      </c>
      <c r="AF95" s="331" t="e">
        <f t="shared" ref="AF95:AG95" si="366">Y95+R95+K95</f>
        <v>#VALUE!</v>
      </c>
      <c r="AG95" s="331">
        <f t="shared" si="366"/>
        <v>4029225.77</v>
      </c>
      <c r="AH95" s="331">
        <f t="shared" si="19"/>
        <v>-446503.99999999953</v>
      </c>
      <c r="AI95" s="1519">
        <f t="shared" si="20"/>
        <v>0.90023883859279563</v>
      </c>
      <c r="AJ95" s="1520">
        <f t="shared" si="297"/>
        <v>0</v>
      </c>
      <c r="AK95" s="156" t="e">
        <f t="shared" si="22"/>
        <v>#VALUE!</v>
      </c>
      <c r="AL95" s="1514" t="str">
        <f>IFERROR(VLOOKUP(G95,'MON2'!MONTENALIM,6,FALSE),"")</f>
        <v/>
      </c>
      <c r="AM95" s="1521">
        <f>IFERROR(VLOOKUP(G95,'MON2'!MONTEFC,6,FALSE),"")</f>
        <v>893152.7</v>
      </c>
      <c r="AN95" s="1520">
        <f t="shared" si="332"/>
        <v>0</v>
      </c>
      <c r="AO95" s="156" t="e">
        <f t="shared" si="23"/>
        <v>#VALUE!</v>
      </c>
      <c r="AP95" s="331" t="str">
        <f>IFERROR(VLOOKUP(G95,'MON2'!MONTENALIM,7,FALSE),"")</f>
        <v/>
      </c>
      <c r="AQ95" s="1513">
        <f>IFERROR(VLOOKUP(G95,'MON2'!MONTEFC,7,FALSE),"")</f>
        <v>1347614.98</v>
      </c>
      <c r="AR95" s="1514">
        <f t="shared" si="333"/>
        <v>0</v>
      </c>
      <c r="AS95" s="1514" t="e">
        <f t="shared" si="24"/>
        <v>#VALUE!</v>
      </c>
      <c r="AT95" s="1514" t="str">
        <f>IFERROR(VLOOKUP(G95,'MON2'!MONTENALIM,8,FALSE),"")</f>
        <v/>
      </c>
      <c r="AU95" s="1520">
        <f>IFERROR(VLOOKUP(G95,'MON2'!MONTEFC,8,FALSE),"")</f>
        <v>480801.67</v>
      </c>
      <c r="AV95" s="1522" t="e">
        <f t="shared" ref="AV95:AX95" si="367">SUM(AS95,AO95,AK95)</f>
        <v>#VALUE!</v>
      </c>
      <c r="AW95" s="331">
        <f t="shared" si="367"/>
        <v>0</v>
      </c>
      <c r="AX95" s="1512">
        <f t="shared" si="367"/>
        <v>2721569.3499999996</v>
      </c>
      <c r="AY95" s="156" t="e">
        <f t="shared" ref="AY95:BA95" si="368">SUM(AV95,AE95)</f>
        <v>#VALUE!</v>
      </c>
      <c r="AZ95" s="331" t="e">
        <f t="shared" si="368"/>
        <v>#VALUE!</v>
      </c>
      <c r="BA95" s="1523">
        <f t="shared" si="368"/>
        <v>6750795.1199999992</v>
      </c>
      <c r="BB95" s="1520">
        <f t="shared" si="264"/>
        <v>0</v>
      </c>
      <c r="BC95" s="1524" t="e">
        <f t="shared" si="28"/>
        <v>#VALUE!</v>
      </c>
      <c r="BD95" s="331" t="str">
        <f>IFERROR(VLOOKUP(G95,'MON2'!MONTENALIM,9,FALSE),"")</f>
        <v/>
      </c>
      <c r="BE95" s="1525">
        <f>IFERROR(VLOOKUP(G95,'MON2'!MONTEFC,9,FALSE),"")</f>
        <v>178281.82</v>
      </c>
      <c r="BF95" s="1514">
        <f t="shared" si="265"/>
        <v>240723.74</v>
      </c>
      <c r="BG95" s="331">
        <f t="shared" si="266"/>
        <v>728476.25</v>
      </c>
      <c r="BH95" s="331">
        <f t="shared" si="267"/>
        <v>1510059.92</v>
      </c>
      <c r="BI95" s="331">
        <f t="shared" si="268"/>
        <v>1390687.64</v>
      </c>
      <c r="BJ95" s="331">
        <f t="shared" si="269"/>
        <v>1574982.21</v>
      </c>
    </row>
    <row r="96" spans="1:62" ht="13">
      <c r="A96" s="485" t="str">
        <f t="shared" si="254"/>
        <v>MONTENEGRO</v>
      </c>
      <c r="B96" s="1466">
        <f t="shared" si="255"/>
        <v>112014053</v>
      </c>
      <c r="C96" s="1527">
        <f t="shared" si="256"/>
        <v>7</v>
      </c>
      <c r="D96" s="733">
        <f t="shared" si="257"/>
        <v>0.1</v>
      </c>
      <c r="E96" s="733">
        <f t="shared" si="258"/>
        <v>0.2</v>
      </c>
      <c r="F96" s="733">
        <f t="shared" si="259"/>
        <v>0</v>
      </c>
      <c r="G96" s="1466" t="s">
        <v>1277</v>
      </c>
      <c r="H96" s="1497">
        <f t="shared" si="330"/>
        <v>0</v>
      </c>
      <c r="I96" s="1528">
        <v>1800000</v>
      </c>
      <c r="J96" s="1494">
        <f t="shared" si="6"/>
        <v>345349.14</v>
      </c>
      <c r="K96" s="1497">
        <f>IFERROR(VLOOKUP(G96,'MON2'!MONTENALIM,3,FALSE),"")</f>
        <v>507449.15</v>
      </c>
      <c r="L96" s="1498">
        <f>IFERROR(VLOOKUP(G96,'MON2'!MONTEFC,3,FALSE),"")</f>
        <v>852798.29</v>
      </c>
      <c r="M96" s="1495">
        <f t="shared" si="168"/>
        <v>-947201.71</v>
      </c>
      <c r="N96" s="1529">
        <f t="shared" si="169"/>
        <v>0.4737768277777778</v>
      </c>
      <c r="O96" s="1497">
        <f t="shared" si="294"/>
        <v>0</v>
      </c>
      <c r="P96" s="1497">
        <v>1800000</v>
      </c>
      <c r="Q96" s="1485">
        <f t="shared" si="10"/>
        <v>414591.86</v>
      </c>
      <c r="R96" s="1497">
        <f>IFERROR(VLOOKUP(G96,'MON2'!MONTENALIM,4,FALSE),"")</f>
        <v>473424.85</v>
      </c>
      <c r="S96" s="1497">
        <f>IFERROR(VLOOKUP(G96,'MON2'!MONTEFC,4,FALSE),"")</f>
        <v>888016.71</v>
      </c>
      <c r="T96" s="1497">
        <f t="shared" si="172"/>
        <v>-911983.29</v>
      </c>
      <c r="U96" s="1529">
        <f t="shared" si="173"/>
        <v>0.49334261666666662</v>
      </c>
      <c r="V96" s="1497">
        <f t="shared" si="295"/>
        <v>0</v>
      </c>
      <c r="W96" s="1528">
        <v>1800000</v>
      </c>
      <c r="X96" s="1487">
        <f t="shared" si="14"/>
        <v>398344</v>
      </c>
      <c r="Y96" s="1485">
        <f>IFERROR(VLOOKUP(G96,'MON2'!MONTENALIM,5,FALSE),"")</f>
        <v>18110.419999999998</v>
      </c>
      <c r="Z96" s="1488">
        <f>IFERROR(VLOOKUP(G96,'MON2'!MONTEFC,5,FALSE),"")</f>
        <v>416454.42</v>
      </c>
      <c r="AA96" s="1495"/>
      <c r="AB96" s="1497"/>
      <c r="AC96" s="1530">
        <f t="shared" si="176"/>
        <v>5400000</v>
      </c>
      <c r="AD96" s="1494">
        <f t="shared" si="260"/>
        <v>2025343.69</v>
      </c>
      <c r="AE96" s="1497">
        <f t="shared" si="17"/>
        <v>1158285</v>
      </c>
      <c r="AF96" s="1497">
        <f t="shared" ref="AF96:AG96" si="369">Y96+R96+K96</f>
        <v>998984.41999999993</v>
      </c>
      <c r="AG96" s="1497">
        <f t="shared" si="369"/>
        <v>2157269.42</v>
      </c>
      <c r="AH96" s="1497">
        <f t="shared" si="19"/>
        <v>131925.72999999998</v>
      </c>
      <c r="AI96" s="1531">
        <f t="shared" si="20"/>
        <v>1.0651374532882367</v>
      </c>
      <c r="AJ96" s="1493">
        <f t="shared" si="297"/>
        <v>0</v>
      </c>
      <c r="AK96" s="1494">
        <f t="shared" si="22"/>
        <v>183769.77</v>
      </c>
      <c r="AL96" s="1495">
        <f>IFERROR(VLOOKUP(G96,'MON2'!MONTENALIM,6,FALSE),"")</f>
        <v>130655.9</v>
      </c>
      <c r="AM96" s="1496">
        <f>IFERROR(VLOOKUP(G96,'MON2'!MONTEFC,6,FALSE),"")</f>
        <v>314425.67</v>
      </c>
      <c r="AN96" s="1493">
        <f t="shared" si="332"/>
        <v>0</v>
      </c>
      <c r="AO96" s="1494">
        <f t="shared" si="23"/>
        <v>0</v>
      </c>
      <c r="AP96" s="1497">
        <f>IFERROR(VLOOKUP(G96,'MON2'!MONTENALIM,7,FALSE),"")</f>
        <v>0</v>
      </c>
      <c r="AQ96" s="1498">
        <f>IFERROR(VLOOKUP(G96,'MON2'!MONTEFC,7,FALSE),"")</f>
        <v>0</v>
      </c>
      <c r="AR96" s="1495">
        <f t="shared" si="333"/>
        <v>0</v>
      </c>
      <c r="AS96" s="1495">
        <f t="shared" si="24"/>
        <v>91301.419999999984</v>
      </c>
      <c r="AT96" s="1495">
        <f>IFERROR(VLOOKUP(G96,'MON2'!MONTENALIM,8,FALSE),"")</f>
        <v>400353.51</v>
      </c>
      <c r="AU96" s="1493">
        <f>IFERROR(VLOOKUP(G96,'MON2'!MONTEFC,8,FALSE),"")</f>
        <v>491654.93</v>
      </c>
      <c r="AV96" s="1532">
        <f t="shared" ref="AV96:AX96" si="370">SUM(AS96,AO96,AK96)</f>
        <v>275071.18999999994</v>
      </c>
      <c r="AW96" s="1497">
        <f t="shared" si="370"/>
        <v>531009.41</v>
      </c>
      <c r="AX96" s="1528">
        <f t="shared" si="370"/>
        <v>806080.6</v>
      </c>
      <c r="AY96" s="1494">
        <f t="shared" ref="AY96:BA96" si="371">SUM(AV96,AE96)</f>
        <v>1433356.19</v>
      </c>
      <c r="AZ96" s="1497">
        <f t="shared" si="371"/>
        <v>1529993.83</v>
      </c>
      <c r="BA96" s="1533">
        <f t="shared" si="371"/>
        <v>2963350.02</v>
      </c>
      <c r="BB96" s="1493">
        <f t="shared" si="264"/>
        <v>0</v>
      </c>
      <c r="BC96" s="1504">
        <f t="shared" si="28"/>
        <v>77240.02999999997</v>
      </c>
      <c r="BD96" s="1497">
        <f>IFERROR(VLOOKUP(G96,'MON2'!MONTENALIM,9,FALSE),"")</f>
        <v>423593.02</v>
      </c>
      <c r="BE96" s="1505">
        <f>IFERROR(VLOOKUP(G96,'MON2'!MONTEFC,9,FALSE),"")</f>
        <v>500833.05</v>
      </c>
      <c r="BF96" s="1495">
        <f t="shared" si="265"/>
        <v>0</v>
      </c>
      <c r="BG96" s="1497">
        <f t="shared" si="266"/>
        <v>0</v>
      </c>
      <c r="BH96" s="1497">
        <f t="shared" si="267"/>
        <v>414252.66</v>
      </c>
      <c r="BI96" s="1497">
        <f t="shared" si="268"/>
        <v>885768.37</v>
      </c>
      <c r="BJ96" s="1497">
        <f t="shared" si="269"/>
        <v>725322.66</v>
      </c>
    </row>
    <row r="97" spans="1:62" ht="13">
      <c r="A97" s="485" t="str">
        <f t="shared" si="254"/>
        <v>MONTENEGRO</v>
      </c>
      <c r="B97" s="1467">
        <f t="shared" si="255"/>
        <v>112014013</v>
      </c>
      <c r="C97" s="1510">
        <f t="shared" si="256"/>
        <v>22</v>
      </c>
      <c r="D97" s="1511">
        <f t="shared" si="257"/>
        <v>0.1</v>
      </c>
      <c r="E97" s="1511">
        <f t="shared" si="258"/>
        <v>0.09</v>
      </c>
      <c r="F97" s="1511">
        <f t="shared" si="259"/>
        <v>0</v>
      </c>
      <c r="G97" s="1467" t="s">
        <v>1294</v>
      </c>
      <c r="H97" s="331">
        <f t="shared" si="330"/>
        <v>1392025.92</v>
      </c>
      <c r="I97" s="1512">
        <f>(H97*1.601)*1.05</f>
        <v>2340065.1728159999</v>
      </c>
      <c r="J97" s="156" t="e">
        <f t="shared" si="6"/>
        <v>#VALUE!</v>
      </c>
      <c r="K97" s="331" t="str">
        <f>IFERROR(VLOOKUP(G97,'MON2'!MONTENALIM,3,FALSE),"")</f>
        <v/>
      </c>
      <c r="L97" s="1513">
        <f>IFERROR(VLOOKUP(G97,'MON2'!MONTEFC,3,FALSE),"")</f>
        <v>1544610.3</v>
      </c>
      <c r="M97" s="1514">
        <f t="shared" si="168"/>
        <v>-795454.8728159999</v>
      </c>
      <c r="N97" s="234">
        <f t="shared" si="169"/>
        <v>0.66007148772751434</v>
      </c>
      <c r="O97" s="331">
        <f t="shared" si="294"/>
        <v>2133082.38</v>
      </c>
      <c r="P97" s="331">
        <f>(O97*1.7245)*1.05</f>
        <v>3862425.5925254999</v>
      </c>
      <c r="Q97" s="1515" t="e">
        <f t="shared" si="10"/>
        <v>#VALUE!</v>
      </c>
      <c r="R97" s="331" t="str">
        <f>IFERROR(VLOOKUP(G97,'MON2'!MONTENALIM,4,FALSE),"")</f>
        <v/>
      </c>
      <c r="S97" s="331">
        <f>IFERROR(VLOOKUP(G97,'MON2'!MONTEFC,4,FALSE),"")</f>
        <v>1463201.21</v>
      </c>
      <c r="T97" s="331">
        <f t="shared" si="172"/>
        <v>-2399224.3825254999</v>
      </c>
      <c r="U97" s="234">
        <f t="shared" si="173"/>
        <v>0.3788296175417753</v>
      </c>
      <c r="V97" s="331">
        <f t="shared" si="295"/>
        <v>1088891.21</v>
      </c>
      <c r="W97" s="1512">
        <f>(V97*1.5955)*1.05</f>
        <v>1824192.2218327499</v>
      </c>
      <c r="X97" s="1516" t="e">
        <f t="shared" si="14"/>
        <v>#VALUE!</v>
      </c>
      <c r="Y97" s="1515" t="str">
        <f>IFERROR(VLOOKUP(G97,'MON2'!MONTENALIM,5,FALSE),"")</f>
        <v/>
      </c>
      <c r="Z97" s="1517">
        <f>IFERROR(VLOOKUP(G97,'MON2'!MONTEFC,5,FALSE),"")</f>
        <v>357341.27</v>
      </c>
      <c r="AA97" s="1514"/>
      <c r="AB97" s="331"/>
      <c r="AC97" s="1518">
        <f t="shared" si="176"/>
        <v>8026682.9871742502</v>
      </c>
      <c r="AD97" s="156">
        <f t="shared" si="260"/>
        <v>5511044.8799999999</v>
      </c>
      <c r="AE97" s="331" t="e">
        <f t="shared" si="17"/>
        <v>#VALUE!</v>
      </c>
      <c r="AF97" s="331" t="e">
        <f t="shared" ref="AF97:AG97" si="372">Y97+R97+K97</f>
        <v>#VALUE!</v>
      </c>
      <c r="AG97" s="331">
        <f t="shared" si="372"/>
        <v>3365152.7800000003</v>
      </c>
      <c r="AH97" s="331">
        <f t="shared" si="19"/>
        <v>-2145892.0999999996</v>
      </c>
      <c r="AI97" s="1519">
        <f t="shared" si="20"/>
        <v>0.61061973786720469</v>
      </c>
      <c r="AJ97" s="1520">
        <f t="shared" si="297"/>
        <v>481409</v>
      </c>
      <c r="AK97" s="156" t="e">
        <f t="shared" si="22"/>
        <v>#VALUE!</v>
      </c>
      <c r="AL97" s="1514" t="str">
        <f>IFERROR(VLOOKUP(G97,'MON2'!MONTENALIM,6,FALSE),"")</f>
        <v/>
      </c>
      <c r="AM97" s="1521">
        <f>IFERROR(VLOOKUP(G97,'MON2'!MONTEFC,6,FALSE),"")</f>
        <v>628581.56999999995</v>
      </c>
      <c r="AN97" s="1520">
        <f t="shared" si="332"/>
        <v>408477.74</v>
      </c>
      <c r="AO97" s="156" t="e">
        <f t="shared" si="23"/>
        <v>#VALUE!</v>
      </c>
      <c r="AP97" s="331" t="str">
        <f>IFERROR(VLOOKUP(G97,'MON2'!MONTENALIM,7,FALSE),"")</f>
        <v/>
      </c>
      <c r="AQ97" s="1513">
        <f>IFERROR(VLOOKUP(G97,'MON2'!MONTEFC,7,FALSE),"")</f>
        <v>1050899.3500000001</v>
      </c>
      <c r="AR97" s="1514">
        <f t="shared" si="333"/>
        <v>376128.83</v>
      </c>
      <c r="AS97" s="1514" t="e">
        <f t="shared" si="24"/>
        <v>#VALUE!</v>
      </c>
      <c r="AT97" s="1514" t="str">
        <f>IFERROR(VLOOKUP(G97,'MON2'!MONTENALIM,8,FALSE),"")</f>
        <v/>
      </c>
      <c r="AU97" s="1520">
        <f>IFERROR(VLOOKUP(G97,'MON2'!MONTEFC,8,FALSE),"")</f>
        <v>986458.9</v>
      </c>
      <c r="AV97" s="1522" t="e">
        <f t="shared" ref="AV97:AX97" si="373">SUM(AS97,AO97,AK97)</f>
        <v>#VALUE!</v>
      </c>
      <c r="AW97" s="331">
        <f t="shared" si="373"/>
        <v>0</v>
      </c>
      <c r="AX97" s="1512">
        <f t="shared" si="373"/>
        <v>2665939.8199999998</v>
      </c>
      <c r="AY97" s="156" t="e">
        <f t="shared" ref="AY97:BA97" si="374">SUM(AV97,AE97)</f>
        <v>#VALUE!</v>
      </c>
      <c r="AZ97" s="331" t="e">
        <f t="shared" si="374"/>
        <v>#VALUE!</v>
      </c>
      <c r="BA97" s="1523">
        <f t="shared" si="374"/>
        <v>6031092.5999999996</v>
      </c>
      <c r="BB97" s="1520">
        <f t="shared" si="264"/>
        <v>275656.15000000002</v>
      </c>
      <c r="BC97" s="1524" t="e">
        <f t="shared" si="28"/>
        <v>#VALUE!</v>
      </c>
      <c r="BD97" s="331" t="str">
        <f>IFERROR(VLOOKUP(G97,'MON2'!MONTENALIM,9,FALSE),"")</f>
        <v/>
      </c>
      <c r="BE97" s="1525">
        <f>IFERROR(VLOOKUP(G97,'MON2'!MONTEFC,9,FALSE),"")</f>
        <v>644550.53</v>
      </c>
      <c r="BF97" s="1514">
        <f t="shared" si="265"/>
        <v>1333057.6200000001</v>
      </c>
      <c r="BG97" s="331">
        <f t="shared" si="266"/>
        <v>1832028</v>
      </c>
      <c r="BH97" s="331">
        <f t="shared" si="267"/>
        <v>1748367.61</v>
      </c>
      <c r="BI97" s="331">
        <f t="shared" si="268"/>
        <v>2558860.2400000002</v>
      </c>
      <c r="BJ97" s="331">
        <f t="shared" si="269"/>
        <v>1203817.03</v>
      </c>
    </row>
    <row r="98" spans="1:62" ht="13">
      <c r="A98" s="485" t="str">
        <f t="shared" ref="A98:A129" si="375">IFERROR(VLOOKUP(G98,CARTEROTEPECH,2,FALSE),"MONTENEGRO")</f>
        <v>MONTENEGRO</v>
      </c>
      <c r="B98" s="1466">
        <f t="shared" ref="B98:B129" si="376">VLOOKUP(G98,MONTENEGROCARTERA,3,FALSE)</f>
        <v>112011689</v>
      </c>
      <c r="C98" s="1527">
        <f t="shared" ref="C98:C129" si="377">VLOOKUP(G98,MONTENEGROCARTERA,2,FALSE)</f>
        <v>22</v>
      </c>
      <c r="D98" s="733">
        <f t="shared" ref="D98:D129" si="378">IFERROR(VLOOKUP(C98,DES,2,FALSE),"")</f>
        <v>0.1</v>
      </c>
      <c r="E98" s="733">
        <f t="shared" ref="E98:E129" si="379">IFERROR(VLOOKUP(C98,DES,3,FALSE),"")</f>
        <v>0.09</v>
      </c>
      <c r="F98" s="733">
        <f t="shared" ref="F98:F129" si="380">IFERROR(VLOOKUP(C98,DES,4,FALSE),"")</f>
        <v>0</v>
      </c>
      <c r="G98" s="1466" t="s">
        <v>1295</v>
      </c>
      <c r="H98" s="1497">
        <f t="shared" si="330"/>
        <v>738726.86</v>
      </c>
      <c r="I98" s="1528">
        <v>1800000</v>
      </c>
      <c r="J98" s="1494" t="e">
        <f t="shared" si="6"/>
        <v>#VALUE!</v>
      </c>
      <c r="K98" s="1497" t="str">
        <f>IFERROR(VLOOKUP(G98,'MON2'!MONTENALIM,3,FALSE),"")</f>
        <v/>
      </c>
      <c r="L98" s="1498">
        <f>IFERROR(VLOOKUP(G98,'MON2'!MONTEFC,3,FALSE),"")</f>
        <v>1968393.68</v>
      </c>
      <c r="M98" s="1495">
        <f t="shared" si="168"/>
        <v>168393.67999999993</v>
      </c>
      <c r="N98" s="1529">
        <f t="shared" si="169"/>
        <v>1.0935520444444444</v>
      </c>
      <c r="O98" s="1497">
        <f t="shared" si="294"/>
        <v>949925.47</v>
      </c>
      <c r="P98" s="1497">
        <v>1800000</v>
      </c>
      <c r="Q98" s="1485" t="e">
        <f t="shared" si="10"/>
        <v>#VALUE!</v>
      </c>
      <c r="R98" s="1497" t="str">
        <f>IFERROR(VLOOKUP(G98,'MON2'!MONTENALIM,4,FALSE),"")</f>
        <v/>
      </c>
      <c r="S98" s="1497">
        <f>IFERROR(VLOOKUP(G98,'MON2'!MONTEFC,4,FALSE),"")</f>
        <v>808695.26</v>
      </c>
      <c r="T98" s="1497">
        <f t="shared" si="172"/>
        <v>-991304.74</v>
      </c>
      <c r="U98" s="1529">
        <f t="shared" si="173"/>
        <v>0.44927514444444444</v>
      </c>
      <c r="V98" s="1497">
        <f t="shared" si="295"/>
        <v>769130.63</v>
      </c>
      <c r="W98" s="1528">
        <v>1800000</v>
      </c>
      <c r="X98" s="1487" t="e">
        <f t="shared" si="14"/>
        <v>#VALUE!</v>
      </c>
      <c r="Y98" s="1485" t="str">
        <f>IFERROR(VLOOKUP(G98,'MON2'!MONTENALIM,5,FALSE),"")</f>
        <v/>
      </c>
      <c r="Z98" s="1488">
        <f>IFERROR(VLOOKUP(G98,'MON2'!MONTEFC,5,FALSE),"")</f>
        <v>775058.53</v>
      </c>
      <c r="AA98" s="1495"/>
      <c r="AB98" s="1497"/>
      <c r="AC98" s="1530">
        <f t="shared" si="176"/>
        <v>5400000</v>
      </c>
      <c r="AD98" s="1494">
        <f t="shared" ref="AD98:AD129" si="381">IFERROR(VLOOKUP(G98,trim2024,2,FALSE),"0")</f>
        <v>1765700.64</v>
      </c>
      <c r="AE98" s="1497" t="e">
        <f t="shared" si="17"/>
        <v>#VALUE!</v>
      </c>
      <c r="AF98" s="1497" t="e">
        <f t="shared" ref="AF98:AG98" si="382">Y98+R98+K98</f>
        <v>#VALUE!</v>
      </c>
      <c r="AG98" s="1497">
        <f t="shared" si="382"/>
        <v>3552147.4699999997</v>
      </c>
      <c r="AH98" s="1497">
        <f t="shared" si="19"/>
        <v>1786446.8299999998</v>
      </c>
      <c r="AI98" s="1531">
        <f t="shared" si="20"/>
        <v>2.0117495511583434</v>
      </c>
      <c r="AJ98" s="1493">
        <f t="shared" si="297"/>
        <v>520319.54</v>
      </c>
      <c r="AK98" s="1494" t="e">
        <f t="shared" si="22"/>
        <v>#VALUE!</v>
      </c>
      <c r="AL98" s="1495" t="str">
        <f>IFERROR(VLOOKUP(G98,'MON2'!MONTENALIM,6,FALSE),"")</f>
        <v/>
      </c>
      <c r="AM98" s="1496">
        <f>IFERROR(VLOOKUP(G98,'MON2'!MONTEFC,6,FALSE),"")</f>
        <v>649392.94999999995</v>
      </c>
      <c r="AN98" s="1493">
        <f t="shared" si="332"/>
        <v>529718.09</v>
      </c>
      <c r="AO98" s="1494" t="e">
        <f t="shared" si="23"/>
        <v>#VALUE!</v>
      </c>
      <c r="AP98" s="1497" t="str">
        <f>IFERROR(VLOOKUP(G98,'MON2'!MONTENALIM,7,FALSE),"")</f>
        <v/>
      </c>
      <c r="AQ98" s="1498">
        <f>IFERROR(VLOOKUP(G98,'MON2'!MONTEFC,7,FALSE),"")</f>
        <v>588964.03</v>
      </c>
      <c r="AR98" s="1495">
        <f t="shared" si="333"/>
        <v>298669.26</v>
      </c>
      <c r="AS98" s="1495" t="e">
        <f t="shared" si="24"/>
        <v>#VALUE!</v>
      </c>
      <c r="AT98" s="1495" t="str">
        <f>IFERROR(VLOOKUP(G98,'MON2'!MONTENALIM,8,FALSE),"")</f>
        <v/>
      </c>
      <c r="AU98" s="1493">
        <f>IFERROR(VLOOKUP(G98,'MON2'!MONTEFC,8,FALSE),"")</f>
        <v>413152.07</v>
      </c>
      <c r="AV98" s="1532" t="e">
        <f t="shared" ref="AV98:AX98" si="383">SUM(AS98,AO98,AK98)</f>
        <v>#VALUE!</v>
      </c>
      <c r="AW98" s="1497">
        <f t="shared" si="383"/>
        <v>0</v>
      </c>
      <c r="AX98" s="1528">
        <f t="shared" si="383"/>
        <v>1651509.05</v>
      </c>
      <c r="AY98" s="1494" t="e">
        <f t="shared" ref="AY98:BA98" si="384">SUM(AV98,AE98)</f>
        <v>#VALUE!</v>
      </c>
      <c r="AZ98" s="1497" t="e">
        <f t="shared" si="384"/>
        <v>#VALUE!</v>
      </c>
      <c r="BA98" s="1533">
        <f t="shared" si="384"/>
        <v>5203656.5199999996</v>
      </c>
      <c r="BB98" s="1493">
        <f t="shared" ref="BB98:BB129" si="385">IFERROR(VLOOKUP(G98,MONTE24,9,FALSE),"")</f>
        <v>517840.92</v>
      </c>
      <c r="BC98" s="1504" t="e">
        <f t="shared" si="28"/>
        <v>#VALUE!</v>
      </c>
      <c r="BD98" s="1497" t="str">
        <f>IFERROR(VLOOKUP(G98,'MON2'!MONTENALIM,9,FALSE),"")</f>
        <v/>
      </c>
      <c r="BE98" s="1505">
        <f>IFERROR(VLOOKUP(G98,'MON2'!MONTEFC,9,FALSE),"")</f>
        <v>429005.1</v>
      </c>
      <c r="BF98" s="1495">
        <f t="shared" ref="BF98:BF129" si="386">IFERROR(VLOOKUP(G98,MONTE24,10,FALSE),"")</f>
        <v>733801.54</v>
      </c>
      <c r="BG98" s="1497">
        <f t="shared" ref="BG98:BG129" si="387">IFERROR(VLOOKUP(G98,MONTE24,11,FALSE),"")</f>
        <v>535677.56999999995</v>
      </c>
      <c r="BH98" s="1497">
        <f t="shared" ref="BH98:BH129" si="388">IFERROR(VLOOKUP(G98,MONTE24,12,FALSE),"")</f>
        <v>0</v>
      </c>
      <c r="BI98" s="1497">
        <f t="shared" ref="BI98:BI129" si="389">IFERROR(VLOOKUP(G98,MONTE24,13,FALSE),"")</f>
        <v>658525.01</v>
      </c>
      <c r="BJ98" s="1497">
        <f t="shared" ref="BJ98:BJ129" si="390">IFERROR(VLOOKUP(G98,MONTE24,14,FALSE),"")</f>
        <v>1107175.6200000001</v>
      </c>
    </row>
    <row r="99" spans="1:62" ht="13">
      <c r="A99" s="485" t="str">
        <f t="shared" si="375"/>
        <v>MONTENEGRO</v>
      </c>
      <c r="B99" s="1467">
        <f t="shared" si="376"/>
        <v>112013403</v>
      </c>
      <c r="C99" s="1510">
        <f t="shared" si="377"/>
        <v>22</v>
      </c>
      <c r="D99" s="1511">
        <f t="shared" si="378"/>
        <v>0.1</v>
      </c>
      <c r="E99" s="1511">
        <f t="shared" si="379"/>
        <v>0.09</v>
      </c>
      <c r="F99" s="1511">
        <f t="shared" si="380"/>
        <v>0</v>
      </c>
      <c r="G99" s="1467" t="s">
        <v>1296</v>
      </c>
      <c r="H99" s="331">
        <f t="shared" si="330"/>
        <v>767153.87</v>
      </c>
      <c r="I99" s="1512">
        <v>1800000</v>
      </c>
      <c r="J99" s="156">
        <f t="shared" si="6"/>
        <v>1308371.5799999998</v>
      </c>
      <c r="K99" s="331">
        <f>IFERROR(VLOOKUP(G99,'MON2'!MONTENALIM,3,FALSE),"")</f>
        <v>26771.09</v>
      </c>
      <c r="L99" s="1513">
        <f>IFERROR(VLOOKUP(G99,'MON2'!MONTEFC,3,FALSE),"")</f>
        <v>1335142.67</v>
      </c>
      <c r="M99" s="1514">
        <f t="shared" si="168"/>
        <v>-464857.33000000007</v>
      </c>
      <c r="N99" s="234">
        <f t="shared" si="169"/>
        <v>0.7417459277777777</v>
      </c>
      <c r="O99" s="331">
        <f t="shared" si="294"/>
        <v>549117.80000000005</v>
      </c>
      <c r="P99" s="331">
        <v>1800000</v>
      </c>
      <c r="Q99" s="1515">
        <f t="shared" si="10"/>
        <v>701292.44</v>
      </c>
      <c r="R99" s="331">
        <f>IFERROR(VLOOKUP(G99,'MON2'!MONTENALIM,4,FALSE),"")</f>
        <v>12486.03</v>
      </c>
      <c r="S99" s="331">
        <f>IFERROR(VLOOKUP(G99,'MON2'!MONTEFC,4,FALSE),"")</f>
        <v>713778.47</v>
      </c>
      <c r="T99" s="331">
        <f t="shared" si="172"/>
        <v>-1086221.53</v>
      </c>
      <c r="U99" s="234">
        <f t="shared" si="173"/>
        <v>0.39654359444444442</v>
      </c>
      <c r="V99" s="331">
        <f t="shared" si="295"/>
        <v>347342.87</v>
      </c>
      <c r="W99" s="1512">
        <v>1800000</v>
      </c>
      <c r="X99" s="1516">
        <f t="shared" si="14"/>
        <v>383434.84</v>
      </c>
      <c r="Y99" s="1515">
        <f>IFERROR(VLOOKUP(G99,'MON2'!MONTENALIM,5,FALSE),"")</f>
        <v>0</v>
      </c>
      <c r="Z99" s="1517">
        <f>IFERROR(VLOOKUP(G99,'MON2'!MONTEFC,5,FALSE),"")</f>
        <v>383434.84</v>
      </c>
      <c r="AA99" s="1514"/>
      <c r="AB99" s="331"/>
      <c r="AC99" s="1518">
        <f t="shared" si="176"/>
        <v>5400000</v>
      </c>
      <c r="AD99" s="156">
        <f t="shared" si="381"/>
        <v>1762021.05</v>
      </c>
      <c r="AE99" s="331">
        <f t="shared" si="17"/>
        <v>2393098.86</v>
      </c>
      <c r="AF99" s="331">
        <f t="shared" ref="AF99:AG99" si="391">Y99+R99+K99</f>
        <v>39257.120000000003</v>
      </c>
      <c r="AG99" s="331">
        <f t="shared" si="391"/>
        <v>2432355.98</v>
      </c>
      <c r="AH99" s="331">
        <f t="shared" si="19"/>
        <v>670334.92999999993</v>
      </c>
      <c r="AI99" s="1519">
        <f t="shared" si="20"/>
        <v>1.3804352564346491</v>
      </c>
      <c r="AJ99" s="1520">
        <f t="shared" si="297"/>
        <v>366769.49</v>
      </c>
      <c r="AK99" s="156">
        <f t="shared" si="22"/>
        <v>755905.85000000009</v>
      </c>
      <c r="AL99" s="1514">
        <f>IFERROR(VLOOKUP(G99,'MON2'!MONTENALIM,6,FALSE),"")</f>
        <v>74801.440000000002</v>
      </c>
      <c r="AM99" s="1521">
        <f>IFERROR(VLOOKUP(G99,'MON2'!MONTEFC,6,FALSE),"")</f>
        <v>830707.29</v>
      </c>
      <c r="AN99" s="1520">
        <f t="shared" si="332"/>
        <v>297608.71000000002</v>
      </c>
      <c r="AO99" s="156">
        <f t="shared" si="23"/>
        <v>475639.81</v>
      </c>
      <c r="AP99" s="331">
        <f>IFERROR(VLOOKUP(G99,'MON2'!MONTENALIM,7,FALSE),"")</f>
        <v>0</v>
      </c>
      <c r="AQ99" s="1513">
        <f>IFERROR(VLOOKUP(G99,'MON2'!MONTEFC,7,FALSE),"")</f>
        <v>475639.81</v>
      </c>
      <c r="AR99" s="1514">
        <f t="shared" si="333"/>
        <v>282644.61</v>
      </c>
      <c r="AS99" s="1514">
        <f t="shared" si="24"/>
        <v>406178.47000000003</v>
      </c>
      <c r="AT99" s="1514">
        <f>IFERROR(VLOOKUP(G99,'MON2'!MONTENALIM,8,FALSE),"")</f>
        <v>31057.599999999999</v>
      </c>
      <c r="AU99" s="1520">
        <f>IFERROR(VLOOKUP(G99,'MON2'!MONTEFC,8,FALSE),"")</f>
        <v>437236.07</v>
      </c>
      <c r="AV99" s="1522">
        <f t="shared" ref="AV99:AX99" si="392">SUM(AS99,AO99,AK99)</f>
        <v>1637724.1300000001</v>
      </c>
      <c r="AW99" s="331">
        <f t="shared" si="392"/>
        <v>105859.04000000001</v>
      </c>
      <c r="AX99" s="1512">
        <f t="shared" si="392"/>
        <v>1743583.17</v>
      </c>
      <c r="AY99" s="156">
        <f t="shared" ref="AY99:BA99" si="393">SUM(AV99,AE99)</f>
        <v>4030822.99</v>
      </c>
      <c r="AZ99" s="331">
        <f t="shared" si="393"/>
        <v>145116.16</v>
      </c>
      <c r="BA99" s="1523">
        <f t="shared" si="393"/>
        <v>4175939.15</v>
      </c>
      <c r="BB99" s="1520">
        <f t="shared" si="385"/>
        <v>317974.52</v>
      </c>
      <c r="BC99" s="1524">
        <f t="shared" si="28"/>
        <v>146978.01</v>
      </c>
      <c r="BD99" s="331">
        <f>IFERROR(VLOOKUP(G99,'MON2'!MONTENALIM,9,FALSE),"")</f>
        <v>0</v>
      </c>
      <c r="BE99" s="1525">
        <f>IFERROR(VLOOKUP(G99,'MON2'!MONTEFC,9,FALSE),"")</f>
        <v>146978.01</v>
      </c>
      <c r="BF99" s="1514">
        <f t="shared" si="386"/>
        <v>498807.58</v>
      </c>
      <c r="BG99" s="331">
        <f t="shared" si="387"/>
        <v>424672.31</v>
      </c>
      <c r="BH99" s="331">
        <f t="shared" si="388"/>
        <v>514829.44</v>
      </c>
      <c r="BI99" s="331">
        <f t="shared" si="389"/>
        <v>646090.30000000005</v>
      </c>
      <c r="BJ99" s="331">
        <f t="shared" si="390"/>
        <v>601101.31000000006</v>
      </c>
    </row>
    <row r="100" spans="1:62" ht="13">
      <c r="A100" s="485" t="str">
        <f t="shared" si="375"/>
        <v>MONTENEGRO</v>
      </c>
      <c r="B100" s="1466">
        <f t="shared" si="376"/>
        <v>112012092</v>
      </c>
      <c r="C100" s="1527">
        <f t="shared" si="377"/>
        <v>22</v>
      </c>
      <c r="D100" s="733">
        <f t="shared" si="378"/>
        <v>0.1</v>
      </c>
      <c r="E100" s="733">
        <f t="shared" si="379"/>
        <v>0.09</v>
      </c>
      <c r="F100" s="733">
        <f t="shared" si="380"/>
        <v>0</v>
      </c>
      <c r="G100" s="1466" t="s">
        <v>1392</v>
      </c>
      <c r="H100" s="1497">
        <f t="shared" si="330"/>
        <v>0</v>
      </c>
      <c r="I100" s="1528">
        <v>1800000</v>
      </c>
      <c r="J100" s="1494" t="e">
        <f t="shared" si="6"/>
        <v>#VALUE!</v>
      </c>
      <c r="K100" s="1497" t="str">
        <f>IFERROR(VLOOKUP(G100,'MON2'!MONTENALIM,3,FALSE),"")</f>
        <v/>
      </c>
      <c r="L100" s="1498">
        <f>IFERROR(VLOOKUP(G100,'MON2'!MONTEFC,3,FALSE),"")</f>
        <v>101950.2</v>
      </c>
      <c r="M100" s="1495">
        <f t="shared" si="168"/>
        <v>-1698049.8</v>
      </c>
      <c r="N100" s="1529">
        <f t="shared" si="169"/>
        <v>5.6639000000000002E-2</v>
      </c>
      <c r="O100" s="1497">
        <f t="shared" si="294"/>
        <v>0</v>
      </c>
      <c r="P100" s="1497">
        <v>1800000</v>
      </c>
      <c r="Q100" s="1485" t="e">
        <f t="shared" si="10"/>
        <v>#VALUE!</v>
      </c>
      <c r="R100" s="1497" t="str">
        <f>IFERROR(VLOOKUP(G100,'MON2'!MONTENALIM,4,FALSE),"")</f>
        <v/>
      </c>
      <c r="S100" s="1497">
        <f>IFERROR(VLOOKUP(G100,'MON2'!MONTEFC,4,FALSE),"")</f>
        <v>0</v>
      </c>
      <c r="T100" s="1497">
        <f t="shared" si="172"/>
        <v>-1800000</v>
      </c>
      <c r="U100" s="1529">
        <f t="shared" si="173"/>
        <v>0</v>
      </c>
      <c r="V100" s="1497">
        <f t="shared" si="295"/>
        <v>0</v>
      </c>
      <c r="W100" s="1528">
        <v>1800000</v>
      </c>
      <c r="X100" s="1487" t="e">
        <f t="shared" si="14"/>
        <v>#VALUE!</v>
      </c>
      <c r="Y100" s="1485" t="str">
        <f>IFERROR(VLOOKUP(G100,'MON2'!MONTENALIM,5,FALSE),"")</f>
        <v/>
      </c>
      <c r="Z100" s="1488">
        <f>IFERROR(VLOOKUP(G100,'MON2'!MONTEFC,5,FALSE),"")</f>
        <v>375841.66</v>
      </c>
      <c r="AA100" s="1495"/>
      <c r="AB100" s="1497"/>
      <c r="AC100" s="1530">
        <f t="shared" si="176"/>
        <v>5400000</v>
      </c>
      <c r="AD100" s="1494" t="str">
        <f t="shared" si="381"/>
        <v>0</v>
      </c>
      <c r="AE100" s="1497" t="e">
        <f t="shared" si="17"/>
        <v>#VALUE!</v>
      </c>
      <c r="AF100" s="1497" t="e">
        <f t="shared" ref="AF100:AG100" si="394">Y100+R100+K100</f>
        <v>#VALUE!</v>
      </c>
      <c r="AG100" s="1497">
        <f t="shared" si="394"/>
        <v>477791.86</v>
      </c>
      <c r="AH100" s="1497">
        <f t="shared" si="19"/>
        <v>477791.86</v>
      </c>
      <c r="AI100" s="1531" t="str">
        <f t="shared" si="20"/>
        <v/>
      </c>
      <c r="AJ100" s="1493">
        <f t="shared" si="297"/>
        <v>0</v>
      </c>
      <c r="AK100" s="1494" t="e">
        <f t="shared" si="22"/>
        <v>#VALUE!</v>
      </c>
      <c r="AL100" s="1495" t="str">
        <f>IFERROR(VLOOKUP(G100,'MON2'!MONTENALIM,6,FALSE),"")</f>
        <v/>
      </c>
      <c r="AM100" s="1496">
        <f>IFERROR(VLOOKUP(G100,'MON2'!MONTEFC,6,FALSE),"")</f>
        <v>0</v>
      </c>
      <c r="AN100" s="1493">
        <f t="shared" si="332"/>
        <v>0</v>
      </c>
      <c r="AO100" s="1494" t="e">
        <f t="shared" si="23"/>
        <v>#VALUE!</v>
      </c>
      <c r="AP100" s="1497" t="str">
        <f>IFERROR(VLOOKUP(G100,'MON2'!MONTENALIM,7,FALSE),"")</f>
        <v/>
      </c>
      <c r="AQ100" s="1498">
        <f>IFERROR(VLOOKUP(G100,'MON2'!MONTEFC,7,FALSE),"")</f>
        <v>0</v>
      </c>
      <c r="AR100" s="1495">
        <f t="shared" si="333"/>
        <v>710593.52</v>
      </c>
      <c r="AS100" s="1495" t="e">
        <f t="shared" si="24"/>
        <v>#VALUE!</v>
      </c>
      <c r="AT100" s="1495" t="str">
        <f>IFERROR(VLOOKUP(G100,'MON2'!MONTENALIM,8,FALSE),"")</f>
        <v/>
      </c>
      <c r="AU100" s="1493">
        <f>IFERROR(VLOOKUP(G100,'MON2'!MONTEFC,8,FALSE),"")</f>
        <v>0</v>
      </c>
      <c r="AV100" s="1532" t="e">
        <f t="shared" ref="AV100:AX100" si="395">SUM(AS100,AO100,AK100)</f>
        <v>#VALUE!</v>
      </c>
      <c r="AW100" s="1497">
        <f t="shared" si="395"/>
        <v>0</v>
      </c>
      <c r="AX100" s="1528">
        <f t="shared" si="395"/>
        <v>0</v>
      </c>
      <c r="AY100" s="1494" t="e">
        <f t="shared" ref="AY100:BA100" si="396">SUM(AV100,AE100)</f>
        <v>#VALUE!</v>
      </c>
      <c r="AZ100" s="1497" t="e">
        <f t="shared" si="396"/>
        <v>#VALUE!</v>
      </c>
      <c r="BA100" s="1533">
        <f t="shared" si="396"/>
        <v>477791.86</v>
      </c>
      <c r="BB100" s="1493">
        <f t="shared" si="385"/>
        <v>1265811.7</v>
      </c>
      <c r="BC100" s="1504" t="e">
        <f t="shared" si="28"/>
        <v>#VALUE!</v>
      </c>
      <c r="BD100" s="1497" t="str">
        <f>IFERROR(VLOOKUP(G100,'MON2'!MONTENALIM,9,FALSE),"")</f>
        <v/>
      </c>
      <c r="BE100" s="1505">
        <f>IFERROR(VLOOKUP(G100,'MON2'!MONTEFC,9,FALSE),"")</f>
        <v>0</v>
      </c>
      <c r="BF100" s="1495">
        <f t="shared" si="386"/>
        <v>138856.53</v>
      </c>
      <c r="BG100" s="1497">
        <f t="shared" si="387"/>
        <v>203440.12</v>
      </c>
      <c r="BH100" s="1497">
        <f t="shared" si="388"/>
        <v>0</v>
      </c>
      <c r="BI100" s="1497">
        <f t="shared" si="389"/>
        <v>0</v>
      </c>
      <c r="BJ100" s="1497">
        <f t="shared" si="390"/>
        <v>0</v>
      </c>
    </row>
    <row r="101" spans="1:62" ht="13">
      <c r="A101" s="485" t="str">
        <f t="shared" si="375"/>
        <v>MONTENEGRO</v>
      </c>
      <c r="B101" s="1467">
        <f t="shared" si="376"/>
        <v>112013233</v>
      </c>
      <c r="C101" s="1510">
        <f t="shared" si="377"/>
        <v>22</v>
      </c>
      <c r="D101" s="1511">
        <f t="shared" si="378"/>
        <v>0.1</v>
      </c>
      <c r="E101" s="1511">
        <f t="shared" si="379"/>
        <v>0.09</v>
      </c>
      <c r="F101" s="1511">
        <f t="shared" si="380"/>
        <v>0</v>
      </c>
      <c r="G101" s="1467" t="s">
        <v>1393</v>
      </c>
      <c r="H101" s="331">
        <f t="shared" si="330"/>
        <v>0</v>
      </c>
      <c r="I101" s="1512">
        <v>1800000</v>
      </c>
      <c r="J101" s="156" t="e">
        <f t="shared" si="6"/>
        <v>#VALUE!</v>
      </c>
      <c r="K101" s="331" t="str">
        <f>IFERROR(VLOOKUP(G101,'MON2'!MONTENALIM,3,FALSE),"")</f>
        <v/>
      </c>
      <c r="L101" s="1513" t="str">
        <f>IFERROR(VLOOKUP(G101,'MON2'!MONTEFC,3,FALSE),"")</f>
        <v/>
      </c>
      <c r="M101" s="1514" t="e">
        <f t="shared" si="168"/>
        <v>#VALUE!</v>
      </c>
      <c r="N101" s="234" t="e">
        <f t="shared" si="169"/>
        <v>#VALUE!</v>
      </c>
      <c r="O101" s="331">
        <f t="shared" si="294"/>
        <v>0</v>
      </c>
      <c r="P101" s="331">
        <v>1800000</v>
      </c>
      <c r="Q101" s="1515" t="e">
        <f t="shared" si="10"/>
        <v>#VALUE!</v>
      </c>
      <c r="R101" s="331" t="str">
        <f>IFERROR(VLOOKUP(G101,'MON2'!MONTENALIM,4,FALSE),"")</f>
        <v/>
      </c>
      <c r="S101" s="331" t="str">
        <f>IFERROR(VLOOKUP(G101,'MON2'!MONTEFC,4,FALSE),"")</f>
        <v/>
      </c>
      <c r="T101" s="331" t="e">
        <f t="shared" si="172"/>
        <v>#VALUE!</v>
      </c>
      <c r="U101" s="234" t="e">
        <f t="shared" si="173"/>
        <v>#VALUE!</v>
      </c>
      <c r="V101" s="331">
        <f t="shared" si="295"/>
        <v>0</v>
      </c>
      <c r="W101" s="1512">
        <v>1800000</v>
      </c>
      <c r="X101" s="1516" t="e">
        <f t="shared" si="14"/>
        <v>#VALUE!</v>
      </c>
      <c r="Y101" s="1515" t="str">
        <f>IFERROR(VLOOKUP(G101,'MON2'!MONTENALIM,5,FALSE),"")</f>
        <v/>
      </c>
      <c r="Z101" s="1517" t="str">
        <f>IFERROR(VLOOKUP(G101,'MON2'!MONTEFC,5,FALSE),"")</f>
        <v/>
      </c>
      <c r="AA101" s="1514"/>
      <c r="AB101" s="331"/>
      <c r="AC101" s="1518">
        <f t="shared" si="176"/>
        <v>5400000</v>
      </c>
      <c r="AD101" s="156">
        <f t="shared" si="381"/>
        <v>34367.919999999998</v>
      </c>
      <c r="AE101" s="331" t="e">
        <f t="shared" si="17"/>
        <v>#VALUE!</v>
      </c>
      <c r="AF101" s="331" t="e">
        <f t="shared" ref="AF101:AG101" si="397">Y101+R101+K101</f>
        <v>#VALUE!</v>
      </c>
      <c r="AG101" s="331" t="e">
        <f t="shared" si="397"/>
        <v>#VALUE!</v>
      </c>
      <c r="AH101" s="331" t="e">
        <f t="shared" si="19"/>
        <v>#VALUE!</v>
      </c>
      <c r="AI101" s="1519" t="str">
        <f t="shared" si="20"/>
        <v/>
      </c>
      <c r="AJ101" s="1520">
        <f t="shared" si="297"/>
        <v>0</v>
      </c>
      <c r="AK101" s="156" t="e">
        <f t="shared" si="22"/>
        <v>#VALUE!</v>
      </c>
      <c r="AL101" s="1514" t="str">
        <f>IFERROR(VLOOKUP(G101,'MON2'!MONTENALIM,6,FALSE),"")</f>
        <v/>
      </c>
      <c r="AM101" s="1521" t="str">
        <f>IFERROR(VLOOKUP(G101,'MON2'!MONTEFC,6,FALSE),"")</f>
        <v/>
      </c>
      <c r="AN101" s="1520">
        <f t="shared" si="332"/>
        <v>0</v>
      </c>
      <c r="AO101" s="156" t="e">
        <f t="shared" si="23"/>
        <v>#VALUE!</v>
      </c>
      <c r="AP101" s="331" t="str">
        <f>IFERROR(VLOOKUP(G101,'MON2'!MONTENALIM,7,FALSE),"")</f>
        <v/>
      </c>
      <c r="AQ101" s="1513" t="str">
        <f>IFERROR(VLOOKUP(G101,'MON2'!MONTEFC,7,FALSE),"")</f>
        <v/>
      </c>
      <c r="AR101" s="1514">
        <f t="shared" si="333"/>
        <v>0</v>
      </c>
      <c r="AS101" s="1514" t="e">
        <f t="shared" si="24"/>
        <v>#VALUE!</v>
      </c>
      <c r="AT101" s="1514" t="str">
        <f>IFERROR(VLOOKUP(G101,'MON2'!MONTENALIM,8,FALSE),"")</f>
        <v/>
      </c>
      <c r="AU101" s="1520" t="str">
        <f>IFERROR(VLOOKUP(G101,'MON2'!MONTEFC,8,FALSE),"")</f>
        <v/>
      </c>
      <c r="AV101" s="1522" t="e">
        <f t="shared" ref="AV101:AX101" si="398">SUM(AS101,AO101,AK101)</f>
        <v>#VALUE!</v>
      </c>
      <c r="AW101" s="331">
        <f t="shared" si="398"/>
        <v>0</v>
      </c>
      <c r="AX101" s="1512">
        <f t="shared" si="398"/>
        <v>0</v>
      </c>
      <c r="AY101" s="156" t="e">
        <f t="shared" ref="AY101:BA101" si="399">SUM(AV101,AE101)</f>
        <v>#VALUE!</v>
      </c>
      <c r="AZ101" s="331" t="e">
        <f t="shared" si="399"/>
        <v>#VALUE!</v>
      </c>
      <c r="BA101" s="1523" t="e">
        <f t="shared" si="399"/>
        <v>#VALUE!</v>
      </c>
      <c r="BB101" s="1520">
        <f t="shared" si="385"/>
        <v>0</v>
      </c>
      <c r="BC101" s="1524" t="e">
        <f t="shared" si="28"/>
        <v>#VALUE!</v>
      </c>
      <c r="BD101" s="331" t="str">
        <f>IFERROR(VLOOKUP(G101,'MON2'!MONTENALIM,9,FALSE),"")</f>
        <v/>
      </c>
      <c r="BE101" s="1525" t="str">
        <f>IFERROR(VLOOKUP(G101,'MON2'!MONTEFC,9,FALSE),"")</f>
        <v/>
      </c>
      <c r="BF101" s="1514">
        <f t="shared" si="386"/>
        <v>0</v>
      </c>
      <c r="BG101" s="331">
        <f t="shared" si="387"/>
        <v>0</v>
      </c>
      <c r="BH101" s="331">
        <f t="shared" si="388"/>
        <v>34367.919999999998</v>
      </c>
      <c r="BI101" s="331">
        <f t="shared" si="389"/>
        <v>0</v>
      </c>
      <c r="BJ101" s="331">
        <f t="shared" si="390"/>
        <v>0</v>
      </c>
    </row>
    <row r="102" spans="1:62" ht="13">
      <c r="A102" s="485" t="str">
        <f t="shared" si="375"/>
        <v>MONTENEGRO</v>
      </c>
      <c r="B102" s="1466">
        <f t="shared" si="376"/>
        <v>112011764</v>
      </c>
      <c r="C102" s="1527">
        <f t="shared" si="377"/>
        <v>22</v>
      </c>
      <c r="D102" s="733">
        <f t="shared" si="378"/>
        <v>0.1</v>
      </c>
      <c r="E102" s="733">
        <f t="shared" si="379"/>
        <v>0.09</v>
      </c>
      <c r="F102" s="733">
        <f t="shared" si="380"/>
        <v>0</v>
      </c>
      <c r="G102" s="1466" t="s">
        <v>1297</v>
      </c>
      <c r="H102" s="1497">
        <f t="shared" si="330"/>
        <v>0</v>
      </c>
      <c r="I102" s="1528">
        <v>1800000</v>
      </c>
      <c r="J102" s="1494" t="e">
        <f t="shared" si="6"/>
        <v>#VALUE!</v>
      </c>
      <c r="K102" s="1497" t="str">
        <f>IFERROR(VLOOKUP(G102,'MON2'!MONTENALIM,3,FALSE),"")</f>
        <v/>
      </c>
      <c r="L102" s="1498" t="str">
        <f>IFERROR(VLOOKUP(G102,'MON2'!MONTEFC,3,FALSE),"")</f>
        <v/>
      </c>
      <c r="M102" s="1495" t="e">
        <f t="shared" si="168"/>
        <v>#VALUE!</v>
      </c>
      <c r="N102" s="1529" t="e">
        <f t="shared" si="169"/>
        <v>#VALUE!</v>
      </c>
      <c r="O102" s="1497">
        <f t="shared" si="294"/>
        <v>0</v>
      </c>
      <c r="P102" s="1497">
        <v>1800000</v>
      </c>
      <c r="Q102" s="1485" t="e">
        <f t="shared" si="10"/>
        <v>#VALUE!</v>
      </c>
      <c r="R102" s="1497" t="str">
        <f>IFERROR(VLOOKUP(G102,'MON2'!MONTENALIM,4,FALSE),"")</f>
        <v/>
      </c>
      <c r="S102" s="1497" t="str">
        <f>IFERROR(VLOOKUP(G102,'MON2'!MONTEFC,4,FALSE),"")</f>
        <v/>
      </c>
      <c r="T102" s="1497" t="e">
        <f t="shared" si="172"/>
        <v>#VALUE!</v>
      </c>
      <c r="U102" s="1529" t="e">
        <f t="shared" si="173"/>
        <v>#VALUE!</v>
      </c>
      <c r="V102" s="1497">
        <f t="shared" si="295"/>
        <v>0</v>
      </c>
      <c r="W102" s="1528">
        <v>1800000</v>
      </c>
      <c r="X102" s="1487" t="e">
        <f t="shared" si="14"/>
        <v>#VALUE!</v>
      </c>
      <c r="Y102" s="1485" t="str">
        <f>IFERROR(VLOOKUP(G102,'MON2'!MONTENALIM,5,FALSE),"")</f>
        <v/>
      </c>
      <c r="Z102" s="1488" t="str">
        <f>IFERROR(VLOOKUP(G102,'MON2'!MONTEFC,5,FALSE),"")</f>
        <v/>
      </c>
      <c r="AA102" s="1495"/>
      <c r="AB102" s="1497"/>
      <c r="AC102" s="1530">
        <f t="shared" si="176"/>
        <v>5400000</v>
      </c>
      <c r="AD102" s="1494" t="str">
        <f t="shared" si="381"/>
        <v>0</v>
      </c>
      <c r="AE102" s="1497" t="e">
        <f t="shared" si="17"/>
        <v>#VALUE!</v>
      </c>
      <c r="AF102" s="1497" t="e">
        <f t="shared" ref="AF102:AG102" si="400">Y102+R102+K102</f>
        <v>#VALUE!</v>
      </c>
      <c r="AG102" s="1497" t="e">
        <f t="shared" si="400"/>
        <v>#VALUE!</v>
      </c>
      <c r="AH102" s="1497" t="e">
        <f t="shared" si="19"/>
        <v>#VALUE!</v>
      </c>
      <c r="AI102" s="1531" t="str">
        <f t="shared" si="20"/>
        <v/>
      </c>
      <c r="AJ102" s="1493">
        <f t="shared" si="297"/>
        <v>341412.97</v>
      </c>
      <c r="AK102" s="1494" t="e">
        <f t="shared" si="22"/>
        <v>#VALUE!</v>
      </c>
      <c r="AL102" s="1495" t="str">
        <f>IFERROR(VLOOKUP(G102,'MON2'!MONTENALIM,6,FALSE),"")</f>
        <v/>
      </c>
      <c r="AM102" s="1496" t="str">
        <f>IFERROR(VLOOKUP(G102,'MON2'!MONTEFC,6,FALSE),"")</f>
        <v/>
      </c>
      <c r="AN102" s="1493">
        <f t="shared" si="332"/>
        <v>0</v>
      </c>
      <c r="AO102" s="1494" t="e">
        <f t="shared" si="23"/>
        <v>#VALUE!</v>
      </c>
      <c r="AP102" s="1497" t="str">
        <f>IFERROR(VLOOKUP(G102,'MON2'!MONTENALIM,7,FALSE),"")</f>
        <v/>
      </c>
      <c r="AQ102" s="1498" t="str">
        <f>IFERROR(VLOOKUP(G102,'MON2'!MONTEFC,7,FALSE),"")</f>
        <v/>
      </c>
      <c r="AR102" s="1495">
        <f t="shared" si="333"/>
        <v>0</v>
      </c>
      <c r="AS102" s="1495" t="e">
        <f t="shared" si="24"/>
        <v>#VALUE!</v>
      </c>
      <c r="AT102" s="1495" t="str">
        <f>IFERROR(VLOOKUP(G102,'MON2'!MONTENALIM,8,FALSE),"")</f>
        <v/>
      </c>
      <c r="AU102" s="1493" t="str">
        <f>IFERROR(VLOOKUP(G102,'MON2'!MONTEFC,8,FALSE),"")</f>
        <v/>
      </c>
      <c r="AV102" s="1532" t="e">
        <f t="shared" ref="AV102:AX102" si="401">SUM(AS102,AO102,AK102)</f>
        <v>#VALUE!</v>
      </c>
      <c r="AW102" s="1497">
        <f t="shared" si="401"/>
        <v>0</v>
      </c>
      <c r="AX102" s="1528">
        <f t="shared" si="401"/>
        <v>0</v>
      </c>
      <c r="AY102" s="1494" t="e">
        <f t="shared" ref="AY102:BA102" si="402">SUM(AV102,AE102)</f>
        <v>#VALUE!</v>
      </c>
      <c r="AZ102" s="1497" t="e">
        <f t="shared" si="402"/>
        <v>#VALUE!</v>
      </c>
      <c r="BA102" s="1533" t="e">
        <f t="shared" si="402"/>
        <v>#VALUE!</v>
      </c>
      <c r="BB102" s="1493">
        <f t="shared" si="385"/>
        <v>1200676.28</v>
      </c>
      <c r="BC102" s="1504" t="e">
        <f t="shared" si="28"/>
        <v>#VALUE!</v>
      </c>
      <c r="BD102" s="1497" t="str">
        <f>IFERROR(VLOOKUP(G102,'MON2'!MONTENALIM,9,FALSE),"")</f>
        <v/>
      </c>
      <c r="BE102" s="1505" t="str">
        <f>IFERROR(VLOOKUP(G102,'MON2'!MONTEFC,9,FALSE),"")</f>
        <v/>
      </c>
      <c r="BF102" s="1495">
        <f t="shared" si="386"/>
        <v>0</v>
      </c>
      <c r="BG102" s="1497">
        <f t="shared" si="387"/>
        <v>0</v>
      </c>
      <c r="BH102" s="1497">
        <f t="shared" si="388"/>
        <v>0</v>
      </c>
      <c r="BI102" s="1497">
        <f t="shared" si="389"/>
        <v>0</v>
      </c>
      <c r="BJ102" s="1497">
        <f t="shared" si="390"/>
        <v>0</v>
      </c>
    </row>
    <row r="103" spans="1:62" ht="13">
      <c r="A103" s="485" t="str">
        <f t="shared" si="375"/>
        <v>MONTENEGRO</v>
      </c>
      <c r="B103" s="1467">
        <f t="shared" si="376"/>
        <v>112014399</v>
      </c>
      <c r="C103" s="1510">
        <f t="shared" si="377"/>
        <v>22</v>
      </c>
      <c r="D103" s="1511">
        <f t="shared" si="378"/>
        <v>0.1</v>
      </c>
      <c r="E103" s="1511">
        <f t="shared" si="379"/>
        <v>0.09</v>
      </c>
      <c r="F103" s="1511">
        <f t="shared" si="380"/>
        <v>0</v>
      </c>
      <c r="G103" s="1467" t="s">
        <v>1298</v>
      </c>
      <c r="H103" s="331">
        <f t="shared" si="330"/>
        <v>0</v>
      </c>
      <c r="I103" s="1512">
        <v>1800000</v>
      </c>
      <c r="J103" s="156" t="e">
        <f t="shared" si="6"/>
        <v>#VALUE!</v>
      </c>
      <c r="K103" s="331" t="str">
        <f>IFERROR(VLOOKUP(G103,'MON2'!MONTENALIM,3,FALSE),"")</f>
        <v/>
      </c>
      <c r="L103" s="1513" t="str">
        <f>IFERROR(VLOOKUP(G103,'MON2'!MONTEFC,3,FALSE),"")</f>
        <v/>
      </c>
      <c r="M103" s="1514" t="e">
        <f t="shared" si="168"/>
        <v>#VALUE!</v>
      </c>
      <c r="N103" s="234" t="e">
        <f t="shared" si="169"/>
        <v>#VALUE!</v>
      </c>
      <c r="O103" s="331">
        <f t="shared" si="294"/>
        <v>0</v>
      </c>
      <c r="P103" s="331">
        <v>1800000</v>
      </c>
      <c r="Q103" s="1515" t="e">
        <f t="shared" si="10"/>
        <v>#VALUE!</v>
      </c>
      <c r="R103" s="331" t="str">
        <f>IFERROR(VLOOKUP(G103,'MON2'!MONTENALIM,4,FALSE),"")</f>
        <v/>
      </c>
      <c r="S103" s="331" t="str">
        <f>IFERROR(VLOOKUP(G103,'MON2'!MONTEFC,4,FALSE),"")</f>
        <v/>
      </c>
      <c r="T103" s="331" t="e">
        <f t="shared" si="172"/>
        <v>#VALUE!</v>
      </c>
      <c r="U103" s="234" t="e">
        <f t="shared" si="173"/>
        <v>#VALUE!</v>
      </c>
      <c r="V103" s="331">
        <f t="shared" si="295"/>
        <v>415748.11</v>
      </c>
      <c r="W103" s="1512">
        <v>1800000</v>
      </c>
      <c r="X103" s="1516" t="e">
        <f t="shared" si="14"/>
        <v>#VALUE!</v>
      </c>
      <c r="Y103" s="1515" t="str">
        <f>IFERROR(VLOOKUP(G103,'MON2'!MONTENALIM,5,FALSE),"")</f>
        <v/>
      </c>
      <c r="Z103" s="1517" t="str">
        <f>IFERROR(VLOOKUP(G103,'MON2'!MONTEFC,5,FALSE),"")</f>
        <v/>
      </c>
      <c r="AA103" s="1514"/>
      <c r="AB103" s="331"/>
      <c r="AC103" s="1518">
        <f t="shared" si="176"/>
        <v>5400000</v>
      </c>
      <c r="AD103" s="156" t="str">
        <f t="shared" si="381"/>
        <v>0</v>
      </c>
      <c r="AE103" s="331" t="e">
        <f t="shared" si="17"/>
        <v>#VALUE!</v>
      </c>
      <c r="AF103" s="331" t="e">
        <f t="shared" ref="AF103:AG103" si="403">Y103+R103+K103</f>
        <v>#VALUE!</v>
      </c>
      <c r="AG103" s="331" t="e">
        <f t="shared" si="403"/>
        <v>#VALUE!</v>
      </c>
      <c r="AH103" s="331" t="e">
        <f t="shared" si="19"/>
        <v>#VALUE!</v>
      </c>
      <c r="AI103" s="1519" t="str">
        <f t="shared" si="20"/>
        <v/>
      </c>
      <c r="AJ103" s="1520">
        <f t="shared" si="297"/>
        <v>0</v>
      </c>
      <c r="AK103" s="156" t="e">
        <f t="shared" si="22"/>
        <v>#VALUE!</v>
      </c>
      <c r="AL103" s="1514" t="str">
        <f>IFERROR(VLOOKUP(G103,'MON2'!MONTENALIM,6,FALSE),"")</f>
        <v/>
      </c>
      <c r="AM103" s="1521" t="str">
        <f>IFERROR(VLOOKUP(G103,'MON2'!MONTEFC,6,FALSE),"")</f>
        <v/>
      </c>
      <c r="AN103" s="1520">
        <f t="shared" si="332"/>
        <v>2204439.84</v>
      </c>
      <c r="AO103" s="156" t="e">
        <f t="shared" si="23"/>
        <v>#VALUE!</v>
      </c>
      <c r="AP103" s="331" t="str">
        <f>IFERROR(VLOOKUP(G103,'MON2'!MONTENALIM,7,FALSE),"")</f>
        <v/>
      </c>
      <c r="AQ103" s="1513" t="str">
        <f>IFERROR(VLOOKUP(G103,'MON2'!MONTEFC,7,FALSE),"")</f>
        <v/>
      </c>
      <c r="AR103" s="1514">
        <f t="shared" si="333"/>
        <v>0</v>
      </c>
      <c r="AS103" s="1514" t="e">
        <f t="shared" si="24"/>
        <v>#VALUE!</v>
      </c>
      <c r="AT103" s="1514" t="str">
        <f>IFERROR(VLOOKUP(G103,'MON2'!MONTENALIM,8,FALSE),"")</f>
        <v/>
      </c>
      <c r="AU103" s="1520" t="str">
        <f>IFERROR(VLOOKUP(G103,'MON2'!MONTEFC,8,FALSE),"")</f>
        <v/>
      </c>
      <c r="AV103" s="1522" t="e">
        <f t="shared" ref="AV103:AX103" si="404">SUM(AS103,AO103,AK103)</f>
        <v>#VALUE!</v>
      </c>
      <c r="AW103" s="331">
        <f t="shared" si="404"/>
        <v>0</v>
      </c>
      <c r="AX103" s="1512">
        <f t="shared" si="404"/>
        <v>0</v>
      </c>
      <c r="AY103" s="156" t="e">
        <f t="shared" ref="AY103:BA103" si="405">SUM(AV103,AE103)</f>
        <v>#VALUE!</v>
      </c>
      <c r="AZ103" s="331" t="e">
        <f t="shared" si="405"/>
        <v>#VALUE!</v>
      </c>
      <c r="BA103" s="1523" t="e">
        <f t="shared" si="405"/>
        <v>#VALUE!</v>
      </c>
      <c r="BB103" s="1520">
        <f t="shared" si="385"/>
        <v>881775.94</v>
      </c>
      <c r="BC103" s="1524" t="e">
        <f t="shared" si="28"/>
        <v>#VALUE!</v>
      </c>
      <c r="BD103" s="331" t="str">
        <f>IFERROR(VLOOKUP(G103,'MON2'!MONTENALIM,9,FALSE),"")</f>
        <v/>
      </c>
      <c r="BE103" s="1525" t="str">
        <f>IFERROR(VLOOKUP(G103,'MON2'!MONTEFC,9,FALSE),"")</f>
        <v/>
      </c>
      <c r="BF103" s="1514">
        <f t="shared" si="386"/>
        <v>1322663.8999999999</v>
      </c>
      <c r="BG103" s="331">
        <f t="shared" si="387"/>
        <v>0</v>
      </c>
      <c r="BH103" s="331">
        <f t="shared" si="388"/>
        <v>0</v>
      </c>
      <c r="BI103" s="331">
        <f t="shared" si="389"/>
        <v>0</v>
      </c>
      <c r="BJ103" s="331">
        <f t="shared" si="390"/>
        <v>0</v>
      </c>
    </row>
    <row r="104" spans="1:62" ht="13">
      <c r="A104" s="485" t="str">
        <f t="shared" si="375"/>
        <v>MONTENEGRO</v>
      </c>
      <c r="B104" s="1466">
        <f t="shared" si="376"/>
        <v>112014309</v>
      </c>
      <c r="C104" s="1527">
        <f t="shared" si="377"/>
        <v>22</v>
      </c>
      <c r="D104" s="733">
        <f t="shared" si="378"/>
        <v>0.1</v>
      </c>
      <c r="E104" s="733">
        <f t="shared" si="379"/>
        <v>0.09</v>
      </c>
      <c r="F104" s="733">
        <f t="shared" si="380"/>
        <v>0</v>
      </c>
      <c r="G104" s="1466" t="s">
        <v>1299</v>
      </c>
      <c r="H104" s="1497">
        <f t="shared" si="330"/>
        <v>261852.61</v>
      </c>
      <c r="I104" s="1528">
        <v>1800000</v>
      </c>
      <c r="J104" s="1494" t="e">
        <f t="shared" si="6"/>
        <v>#VALUE!</v>
      </c>
      <c r="K104" s="1497" t="str">
        <f>IFERROR(VLOOKUP(G104,'MON2'!MONTENALIM,3,FALSE),"")</f>
        <v/>
      </c>
      <c r="L104" s="1498">
        <f>IFERROR(VLOOKUP(G104,'MON2'!MONTEFC,3,FALSE),"")</f>
        <v>566105.97</v>
      </c>
      <c r="M104" s="1495">
        <f t="shared" si="168"/>
        <v>-1233894.03</v>
      </c>
      <c r="N104" s="1529">
        <f t="shared" si="169"/>
        <v>0.31450331666666664</v>
      </c>
      <c r="O104" s="1497">
        <f t="shared" si="294"/>
        <v>279180.77</v>
      </c>
      <c r="P104" s="1497">
        <v>1800000</v>
      </c>
      <c r="Q104" s="1485" t="e">
        <f t="shared" si="10"/>
        <v>#VALUE!</v>
      </c>
      <c r="R104" s="1497" t="str">
        <f>IFERROR(VLOOKUP(G104,'MON2'!MONTENALIM,4,FALSE),"")</f>
        <v/>
      </c>
      <c r="S104" s="1497">
        <f>IFERROR(VLOOKUP(G104,'MON2'!MONTEFC,4,FALSE),"")</f>
        <v>382410.75</v>
      </c>
      <c r="T104" s="1497">
        <f t="shared" si="172"/>
        <v>-1417589.25</v>
      </c>
      <c r="U104" s="1529">
        <f t="shared" si="173"/>
        <v>0.21245041666666667</v>
      </c>
      <c r="V104" s="1497">
        <f t="shared" si="295"/>
        <v>398134.06</v>
      </c>
      <c r="W104" s="1528">
        <v>1800000</v>
      </c>
      <c r="X104" s="1487" t="e">
        <f t="shared" si="14"/>
        <v>#VALUE!</v>
      </c>
      <c r="Y104" s="1485" t="str">
        <f>IFERROR(VLOOKUP(G104,'MON2'!MONTENALIM,5,FALSE),"")</f>
        <v/>
      </c>
      <c r="Z104" s="1488">
        <f>IFERROR(VLOOKUP(G104,'MON2'!MONTEFC,5,FALSE),"")</f>
        <v>73709.259999999995</v>
      </c>
      <c r="AA104" s="1495"/>
      <c r="AB104" s="1497"/>
      <c r="AC104" s="1530">
        <f t="shared" si="176"/>
        <v>5400000</v>
      </c>
      <c r="AD104" s="1494">
        <f t="shared" si="381"/>
        <v>559309.91</v>
      </c>
      <c r="AE104" s="1497" t="e">
        <f t="shared" si="17"/>
        <v>#VALUE!</v>
      </c>
      <c r="AF104" s="1497" t="e">
        <f t="shared" ref="AF104:AG104" si="406">Y104+R104+K104</f>
        <v>#VALUE!</v>
      </c>
      <c r="AG104" s="1497">
        <f t="shared" si="406"/>
        <v>1022225.98</v>
      </c>
      <c r="AH104" s="1497">
        <f t="shared" si="19"/>
        <v>462916.06999999995</v>
      </c>
      <c r="AI104" s="1531">
        <f t="shared" si="20"/>
        <v>1.8276557624376795</v>
      </c>
      <c r="AJ104" s="1493">
        <f t="shared" si="297"/>
        <v>144335.41</v>
      </c>
      <c r="AK104" s="1494" t="e">
        <f t="shared" si="22"/>
        <v>#VALUE!</v>
      </c>
      <c r="AL104" s="1495" t="str">
        <f>IFERROR(VLOOKUP(G104,'MON2'!MONTENALIM,6,FALSE),"")</f>
        <v/>
      </c>
      <c r="AM104" s="1496">
        <f>IFERROR(VLOOKUP(G104,'MON2'!MONTEFC,6,FALSE),"")</f>
        <v>-230703.21</v>
      </c>
      <c r="AN104" s="1493">
        <f t="shared" si="332"/>
        <v>300343.40000000002</v>
      </c>
      <c r="AO104" s="1494" t="e">
        <f t="shared" si="23"/>
        <v>#VALUE!</v>
      </c>
      <c r="AP104" s="1497" t="str">
        <f>IFERROR(VLOOKUP(G104,'MON2'!MONTENALIM,7,FALSE),"")</f>
        <v/>
      </c>
      <c r="AQ104" s="1498">
        <f>IFERROR(VLOOKUP(G104,'MON2'!MONTEFC,7,FALSE),"")</f>
        <v>162012.32</v>
      </c>
      <c r="AR104" s="1495">
        <f t="shared" si="333"/>
        <v>111618.87</v>
      </c>
      <c r="AS104" s="1495" t="e">
        <f t="shared" si="24"/>
        <v>#VALUE!</v>
      </c>
      <c r="AT104" s="1495" t="str">
        <f>IFERROR(VLOOKUP(G104,'MON2'!MONTENALIM,8,FALSE),"")</f>
        <v/>
      </c>
      <c r="AU104" s="1493">
        <f>IFERROR(VLOOKUP(G104,'MON2'!MONTEFC,8,FALSE),"")</f>
        <v>0</v>
      </c>
      <c r="AV104" s="1532" t="e">
        <f t="shared" ref="AV104:AX104" si="407">SUM(AS104,AO104,AK104)</f>
        <v>#VALUE!</v>
      </c>
      <c r="AW104" s="1497">
        <f t="shared" si="407"/>
        <v>0</v>
      </c>
      <c r="AX104" s="1528">
        <f t="shared" si="407"/>
        <v>-68690.889999999985</v>
      </c>
      <c r="AY104" s="1494" t="e">
        <f t="shared" ref="AY104:BA104" si="408">SUM(AV104,AE104)</f>
        <v>#VALUE!</v>
      </c>
      <c r="AZ104" s="1497" t="e">
        <f t="shared" si="408"/>
        <v>#VALUE!</v>
      </c>
      <c r="BA104" s="1533">
        <f t="shared" si="408"/>
        <v>953535.09</v>
      </c>
      <c r="BB104" s="1493">
        <f t="shared" si="385"/>
        <v>57157.38</v>
      </c>
      <c r="BC104" s="1504" t="e">
        <f t="shared" si="28"/>
        <v>#VALUE!</v>
      </c>
      <c r="BD104" s="1497" t="str">
        <f>IFERROR(VLOOKUP(G104,'MON2'!MONTENALIM,9,FALSE),"")</f>
        <v/>
      </c>
      <c r="BE104" s="1505">
        <f>IFERROR(VLOOKUP(G104,'MON2'!MONTEFC,9,FALSE),"")</f>
        <v>0</v>
      </c>
      <c r="BF104" s="1495">
        <f t="shared" si="386"/>
        <v>318124.11</v>
      </c>
      <c r="BG104" s="1497">
        <f t="shared" si="387"/>
        <v>0</v>
      </c>
      <c r="BH104" s="1497">
        <f t="shared" si="388"/>
        <v>0</v>
      </c>
      <c r="BI104" s="1497">
        <f t="shared" si="389"/>
        <v>166471.29</v>
      </c>
      <c r="BJ104" s="1497">
        <f t="shared" si="390"/>
        <v>392838.62</v>
      </c>
    </row>
    <row r="105" spans="1:62" ht="13">
      <c r="A105" s="485" t="str">
        <f t="shared" si="375"/>
        <v>MONTENEGRO</v>
      </c>
      <c r="B105" s="1467">
        <f t="shared" si="376"/>
        <v>112013273</v>
      </c>
      <c r="C105" s="1510">
        <f t="shared" si="377"/>
        <v>22</v>
      </c>
      <c r="D105" s="1511">
        <f t="shared" si="378"/>
        <v>0.1</v>
      </c>
      <c r="E105" s="1511">
        <f t="shared" si="379"/>
        <v>0.09</v>
      </c>
      <c r="F105" s="1511">
        <f t="shared" si="380"/>
        <v>0</v>
      </c>
      <c r="G105" s="1467" t="s">
        <v>1300</v>
      </c>
      <c r="H105" s="331">
        <f t="shared" si="330"/>
        <v>0</v>
      </c>
      <c r="I105" s="1512">
        <v>1800000</v>
      </c>
      <c r="J105" s="156" t="e">
        <f t="shared" si="6"/>
        <v>#VALUE!</v>
      </c>
      <c r="K105" s="331" t="str">
        <f>IFERROR(VLOOKUP(G105,'MON2'!MONTENALIM,3,FALSE),"")</f>
        <v/>
      </c>
      <c r="L105" s="1513">
        <f>IFERROR(VLOOKUP(G105,'MON2'!MONTEFC,3,FALSE),"")</f>
        <v>755567.59</v>
      </c>
      <c r="M105" s="1514">
        <f t="shared" si="168"/>
        <v>-1044432.41</v>
      </c>
      <c r="N105" s="234">
        <f t="shared" si="169"/>
        <v>0.41975977222222222</v>
      </c>
      <c r="O105" s="331">
        <f t="shared" ref="O105:O129" si="409">IFERROR(VLOOKUP(G105,MONTE24,4,FALSE),"")</f>
        <v>0</v>
      </c>
      <c r="P105" s="331">
        <v>1800000</v>
      </c>
      <c r="Q105" s="1515" t="e">
        <f t="shared" si="10"/>
        <v>#VALUE!</v>
      </c>
      <c r="R105" s="331" t="str">
        <f>IFERROR(VLOOKUP(G105,'MON2'!MONTENALIM,4,FALSE),"")</f>
        <v/>
      </c>
      <c r="S105" s="331">
        <f>IFERROR(VLOOKUP(G105,'MON2'!MONTEFC,4,FALSE),"")</f>
        <v>424520.72</v>
      </c>
      <c r="T105" s="331">
        <f t="shared" si="172"/>
        <v>-1375479.28</v>
      </c>
      <c r="U105" s="234">
        <f t="shared" si="173"/>
        <v>0.23584484444444442</v>
      </c>
      <c r="V105" s="331">
        <f t="shared" ref="V105:V129" si="410">IFERROR(VLOOKUP(G105,MONTE24,5,FALSE),"")</f>
        <v>0</v>
      </c>
      <c r="W105" s="1512">
        <v>1800000</v>
      </c>
      <c r="X105" s="1516" t="e">
        <f t="shared" si="14"/>
        <v>#VALUE!</v>
      </c>
      <c r="Y105" s="1515" t="str">
        <f>IFERROR(VLOOKUP(G105,'MON2'!MONTENALIM,5,FALSE),"")</f>
        <v/>
      </c>
      <c r="Z105" s="1517">
        <f>IFERROR(VLOOKUP(G105,'MON2'!MONTEFC,5,FALSE),"")</f>
        <v>308068.39</v>
      </c>
      <c r="AA105" s="1514"/>
      <c r="AB105" s="331"/>
      <c r="AC105" s="1518">
        <f t="shared" si="176"/>
        <v>5400000</v>
      </c>
      <c r="AD105" s="156">
        <f t="shared" si="381"/>
        <v>2813043.24</v>
      </c>
      <c r="AE105" s="331" t="e">
        <f t="shared" si="17"/>
        <v>#VALUE!</v>
      </c>
      <c r="AF105" s="331" t="e">
        <f t="shared" ref="AF105:AG105" si="411">Y105+R105+K105</f>
        <v>#VALUE!</v>
      </c>
      <c r="AG105" s="331">
        <f t="shared" si="411"/>
        <v>1488156.7</v>
      </c>
      <c r="AH105" s="331">
        <f t="shared" si="19"/>
        <v>-1324886.5400000003</v>
      </c>
      <c r="AI105" s="1519">
        <f t="shared" si="20"/>
        <v>0.52902020091237556</v>
      </c>
      <c r="AJ105" s="1520">
        <f t="shared" ref="AJ105:AJ118" si="412">IFERROR(VLOOKUP(G105,MONTE24,6,FALSE),"")</f>
        <v>0</v>
      </c>
      <c r="AK105" s="156" t="e">
        <f t="shared" si="22"/>
        <v>#VALUE!</v>
      </c>
      <c r="AL105" s="1514" t="str">
        <f>IFERROR(VLOOKUP(G105,'MON2'!MONTENALIM,6,FALSE),"")</f>
        <v/>
      </c>
      <c r="AM105" s="1521">
        <f>IFERROR(VLOOKUP(G105,'MON2'!MONTEFC,6,FALSE),"")</f>
        <v>598153.38</v>
      </c>
      <c r="AN105" s="1520">
        <f t="shared" si="332"/>
        <v>0</v>
      </c>
      <c r="AO105" s="156" t="e">
        <f t="shared" si="23"/>
        <v>#VALUE!</v>
      </c>
      <c r="AP105" s="331" t="str">
        <f>IFERROR(VLOOKUP(G105,'MON2'!MONTENALIM,7,FALSE),"")</f>
        <v/>
      </c>
      <c r="AQ105" s="1513">
        <f>IFERROR(VLOOKUP(G105,'MON2'!MONTEFC,7,FALSE),"")</f>
        <v>564984.09</v>
      </c>
      <c r="AR105" s="1514">
        <f t="shared" si="333"/>
        <v>0</v>
      </c>
      <c r="AS105" s="1514" t="e">
        <f t="shared" si="24"/>
        <v>#VALUE!</v>
      </c>
      <c r="AT105" s="1514" t="str">
        <f>IFERROR(VLOOKUP(G105,'MON2'!MONTENALIM,8,FALSE),"")</f>
        <v/>
      </c>
      <c r="AU105" s="1520">
        <f>IFERROR(VLOOKUP(G105,'MON2'!MONTEFC,8,FALSE),"")</f>
        <v>256052.02</v>
      </c>
      <c r="AV105" s="1522" t="e">
        <f t="shared" ref="AV105:AX105" si="413">SUM(AS105,AO105,AK105)</f>
        <v>#VALUE!</v>
      </c>
      <c r="AW105" s="331">
        <f t="shared" si="413"/>
        <v>0</v>
      </c>
      <c r="AX105" s="1512">
        <f t="shared" si="413"/>
        <v>1419189.49</v>
      </c>
      <c r="AY105" s="156" t="e">
        <f t="shared" ref="AY105:BA105" si="414">SUM(AV105,AE105)</f>
        <v>#VALUE!</v>
      </c>
      <c r="AZ105" s="331" t="e">
        <f t="shared" si="414"/>
        <v>#VALUE!</v>
      </c>
      <c r="BA105" s="1523">
        <f t="shared" si="414"/>
        <v>2907346.19</v>
      </c>
      <c r="BB105" s="1520">
        <f t="shared" si="385"/>
        <v>0</v>
      </c>
      <c r="BC105" s="1524" t="e">
        <f t="shared" si="28"/>
        <v>#VALUE!</v>
      </c>
      <c r="BD105" s="331" t="str">
        <f>IFERROR(VLOOKUP(G105,'MON2'!MONTENALIM,9,FALSE),"")</f>
        <v/>
      </c>
      <c r="BE105" s="1525">
        <f>IFERROR(VLOOKUP(G105,'MON2'!MONTEFC,9,FALSE),"")</f>
        <v>0</v>
      </c>
      <c r="BF105" s="1514">
        <f t="shared" si="386"/>
        <v>0</v>
      </c>
      <c r="BG105" s="331">
        <f t="shared" si="387"/>
        <v>0</v>
      </c>
      <c r="BH105" s="331">
        <f t="shared" si="388"/>
        <v>1175549.02</v>
      </c>
      <c r="BI105" s="331">
        <f t="shared" si="389"/>
        <v>595391.81999999995</v>
      </c>
      <c r="BJ105" s="331">
        <f t="shared" si="390"/>
        <v>1042102.4</v>
      </c>
    </row>
    <row r="106" spans="1:62" ht="13">
      <c r="A106" s="485" t="str">
        <f t="shared" si="375"/>
        <v>MONTENEGRO</v>
      </c>
      <c r="B106" s="1466">
        <f t="shared" si="376"/>
        <v>112012832</v>
      </c>
      <c r="C106" s="1527">
        <f t="shared" si="377"/>
        <v>31</v>
      </c>
      <c r="D106" s="733">
        <f t="shared" si="378"/>
        <v>0.1</v>
      </c>
      <c r="E106" s="733">
        <f t="shared" si="379"/>
        <v>0.23</v>
      </c>
      <c r="F106" s="733">
        <f t="shared" si="380"/>
        <v>0</v>
      </c>
      <c r="G106" s="1466" t="s">
        <v>1272</v>
      </c>
      <c r="H106" s="1497">
        <f t="shared" si="330"/>
        <v>0</v>
      </c>
      <c r="I106" s="1528">
        <v>1800000</v>
      </c>
      <c r="J106" s="1494">
        <f t="shared" si="6"/>
        <v>1100526.82</v>
      </c>
      <c r="K106" s="1497">
        <f>IFERROR(VLOOKUP(G106,'MON2'!MONTENALIM,3,FALSE),"")</f>
        <v>25435.52</v>
      </c>
      <c r="L106" s="1498">
        <f>IFERROR(VLOOKUP(G106,'MON2'!MONTEFC,3,FALSE),"")</f>
        <v>1125962.3400000001</v>
      </c>
      <c r="M106" s="1495">
        <f t="shared" si="168"/>
        <v>-674037.65999999992</v>
      </c>
      <c r="N106" s="1529">
        <f t="shared" si="169"/>
        <v>0.62553463333333337</v>
      </c>
      <c r="O106" s="1497">
        <f t="shared" si="409"/>
        <v>0</v>
      </c>
      <c r="P106" s="1497">
        <v>1800000</v>
      </c>
      <c r="Q106" s="1485">
        <f t="shared" si="10"/>
        <v>333840.86</v>
      </c>
      <c r="R106" s="1497">
        <f>IFERROR(VLOOKUP(G106,'MON2'!MONTENALIM,4,FALSE),"")</f>
        <v>87242.2</v>
      </c>
      <c r="S106" s="1497">
        <f>IFERROR(VLOOKUP(G106,'MON2'!MONTEFC,4,FALSE),"")</f>
        <v>421083.06</v>
      </c>
      <c r="T106" s="1497">
        <f t="shared" si="172"/>
        <v>-1378916.94</v>
      </c>
      <c r="U106" s="1529">
        <f t="shared" si="173"/>
        <v>0.23393503333333332</v>
      </c>
      <c r="V106" s="1497">
        <f t="shared" si="410"/>
        <v>0</v>
      </c>
      <c r="W106" s="1528">
        <v>1800000</v>
      </c>
      <c r="X106" s="1487">
        <f t="shared" si="14"/>
        <v>404392.59</v>
      </c>
      <c r="Y106" s="1485">
        <f>IFERROR(VLOOKUP(G106,'MON2'!MONTENALIM,5,FALSE),"")</f>
        <v>0</v>
      </c>
      <c r="Z106" s="1488">
        <f>IFERROR(VLOOKUP(G106,'MON2'!MONTEFC,5,FALSE),"")</f>
        <v>404392.59</v>
      </c>
      <c r="AA106" s="1495"/>
      <c r="AB106" s="1497"/>
      <c r="AC106" s="1530">
        <f t="shared" si="176"/>
        <v>5400000</v>
      </c>
      <c r="AD106" s="1494">
        <f t="shared" si="381"/>
        <v>1874977.23</v>
      </c>
      <c r="AE106" s="1497">
        <f t="shared" si="17"/>
        <v>1838760.2700000003</v>
      </c>
      <c r="AF106" s="1497">
        <f t="shared" ref="AF106:AG106" si="415">Y106+R106+K106</f>
        <v>112677.72</v>
      </c>
      <c r="AG106" s="1497">
        <f t="shared" si="415"/>
        <v>1951437.9900000002</v>
      </c>
      <c r="AH106" s="1497">
        <f t="shared" si="19"/>
        <v>76460.760000000242</v>
      </c>
      <c r="AI106" s="1531">
        <f t="shared" si="20"/>
        <v>1.0407795672270646</v>
      </c>
      <c r="AJ106" s="1493">
        <f t="shared" si="412"/>
        <v>0</v>
      </c>
      <c r="AK106" s="1494">
        <f t="shared" si="22"/>
        <v>978347.7</v>
      </c>
      <c r="AL106" s="1495">
        <f>IFERROR(VLOOKUP(G106,'MON2'!MONTENALIM,6,FALSE),"")</f>
        <v>37721.69</v>
      </c>
      <c r="AM106" s="1496">
        <f>IFERROR(VLOOKUP(G106,'MON2'!MONTEFC,6,FALSE),"")</f>
        <v>1016069.39</v>
      </c>
      <c r="AN106" s="1493">
        <f t="shared" si="332"/>
        <v>0</v>
      </c>
      <c r="AO106" s="1494">
        <f t="shared" si="23"/>
        <v>587308.76</v>
      </c>
      <c r="AP106" s="1497">
        <f>IFERROR(VLOOKUP(G106,'MON2'!MONTENALIM,7,FALSE),"")</f>
        <v>0</v>
      </c>
      <c r="AQ106" s="1498">
        <f>IFERROR(VLOOKUP(G106,'MON2'!MONTEFC,7,FALSE),"")</f>
        <v>587308.76</v>
      </c>
      <c r="AR106" s="1495">
        <f t="shared" si="333"/>
        <v>0</v>
      </c>
      <c r="AS106" s="1495">
        <f t="shared" si="24"/>
        <v>1127616.92</v>
      </c>
      <c r="AT106" s="1495">
        <f>IFERROR(VLOOKUP(G106,'MON2'!MONTENALIM,8,FALSE),"")</f>
        <v>0</v>
      </c>
      <c r="AU106" s="1493">
        <f>IFERROR(VLOOKUP(G106,'MON2'!MONTEFC,8,FALSE),"")</f>
        <v>1127616.92</v>
      </c>
      <c r="AV106" s="1532">
        <f t="shared" ref="AV106:AX106" si="416">SUM(AS106,AO106,AK106)</f>
        <v>2693273.38</v>
      </c>
      <c r="AW106" s="1497">
        <f t="shared" si="416"/>
        <v>37721.69</v>
      </c>
      <c r="AX106" s="1528">
        <f t="shared" si="416"/>
        <v>2730995.07</v>
      </c>
      <c r="AY106" s="1494">
        <f t="shared" ref="AY106:BA106" si="417">SUM(AV106,AE106)</f>
        <v>4532033.6500000004</v>
      </c>
      <c r="AZ106" s="1497">
        <f t="shared" si="417"/>
        <v>150399.41</v>
      </c>
      <c r="BA106" s="1533">
        <f t="shared" si="417"/>
        <v>4682433.0600000005</v>
      </c>
      <c r="BB106" s="1493">
        <f t="shared" si="385"/>
        <v>0</v>
      </c>
      <c r="BC106" s="1504">
        <f t="shared" si="28"/>
        <v>305799.90999999997</v>
      </c>
      <c r="BD106" s="1497">
        <f>IFERROR(VLOOKUP(G106,'MON2'!MONTENALIM,9,FALSE),"")</f>
        <v>0</v>
      </c>
      <c r="BE106" s="1505">
        <f>IFERROR(VLOOKUP(G106,'MON2'!MONTEFC,9,FALSE),"")</f>
        <v>305799.90999999997</v>
      </c>
      <c r="BF106" s="1495">
        <f t="shared" si="386"/>
        <v>1220753.1000000001</v>
      </c>
      <c r="BG106" s="1497">
        <f t="shared" si="387"/>
        <v>861921.58</v>
      </c>
      <c r="BH106" s="1497">
        <f t="shared" si="388"/>
        <v>947452.16</v>
      </c>
      <c r="BI106" s="1497">
        <f t="shared" si="389"/>
        <v>703612.41</v>
      </c>
      <c r="BJ106" s="1497">
        <f t="shared" si="390"/>
        <v>223912.65</v>
      </c>
    </row>
    <row r="107" spans="1:62" ht="13">
      <c r="A107" s="485" t="str">
        <f t="shared" si="375"/>
        <v>MONTENEGRO</v>
      </c>
      <c r="B107" s="1467">
        <f t="shared" si="376"/>
        <v>112013946</v>
      </c>
      <c r="C107" s="1510">
        <f t="shared" si="377"/>
        <v>7</v>
      </c>
      <c r="D107" s="1511">
        <f t="shared" si="378"/>
        <v>0.1</v>
      </c>
      <c r="E107" s="1511">
        <f t="shared" si="379"/>
        <v>0.2</v>
      </c>
      <c r="F107" s="1511">
        <f t="shared" si="380"/>
        <v>0</v>
      </c>
      <c r="G107" s="1467" t="s">
        <v>1278</v>
      </c>
      <c r="H107" s="331">
        <f t="shared" si="330"/>
        <v>0</v>
      </c>
      <c r="I107" s="1512">
        <v>1800000</v>
      </c>
      <c r="J107" s="156">
        <f t="shared" si="6"/>
        <v>615377.15</v>
      </c>
      <c r="K107" s="331">
        <f>IFERROR(VLOOKUP(G107,'MON2'!MONTENALIM,3,FALSE),"")</f>
        <v>0</v>
      </c>
      <c r="L107" s="1513">
        <f>IFERROR(VLOOKUP(G107,'MON2'!MONTEFC,3,FALSE),"")</f>
        <v>615377.15</v>
      </c>
      <c r="M107" s="1514">
        <f t="shared" si="168"/>
        <v>-1184622.8500000001</v>
      </c>
      <c r="N107" s="234">
        <f t="shared" si="169"/>
        <v>0.34187619444444445</v>
      </c>
      <c r="O107" s="331">
        <f t="shared" si="409"/>
        <v>0</v>
      </c>
      <c r="P107" s="331">
        <v>1800000</v>
      </c>
      <c r="Q107" s="1515">
        <f t="shared" si="10"/>
        <v>674610.57</v>
      </c>
      <c r="R107" s="331">
        <f>IFERROR(VLOOKUP(G107,'MON2'!MONTENALIM,4,FALSE),"")</f>
        <v>0</v>
      </c>
      <c r="S107" s="331">
        <f>IFERROR(VLOOKUP(G107,'MON2'!MONTEFC,4,FALSE),"")</f>
        <v>674610.57</v>
      </c>
      <c r="T107" s="331">
        <f t="shared" si="172"/>
        <v>-1125389.4300000002</v>
      </c>
      <c r="U107" s="234">
        <f t="shared" si="173"/>
        <v>0.37478364999999997</v>
      </c>
      <c r="V107" s="331">
        <f t="shared" si="410"/>
        <v>0</v>
      </c>
      <c r="W107" s="1512">
        <v>1800000</v>
      </c>
      <c r="X107" s="1516">
        <f t="shared" si="14"/>
        <v>1048420.7</v>
      </c>
      <c r="Y107" s="1515">
        <f>IFERROR(VLOOKUP(G107,'MON2'!MONTENALIM,5,FALSE),"")</f>
        <v>86091.72</v>
      </c>
      <c r="Z107" s="1517">
        <f>IFERROR(VLOOKUP(G107,'MON2'!MONTEFC,5,FALSE),"")</f>
        <v>1134512.42</v>
      </c>
      <c r="AA107" s="1514"/>
      <c r="AB107" s="331"/>
      <c r="AC107" s="1518">
        <f t="shared" si="176"/>
        <v>5400000</v>
      </c>
      <c r="AD107" s="156">
        <f t="shared" si="381"/>
        <v>4555570.4000000004</v>
      </c>
      <c r="AE107" s="331">
        <f t="shared" si="17"/>
        <v>2338408.4199999995</v>
      </c>
      <c r="AF107" s="331">
        <f t="shared" ref="AF107:AG107" si="418">Y107+R107+K107</f>
        <v>86091.72</v>
      </c>
      <c r="AG107" s="331">
        <f t="shared" si="418"/>
        <v>2424500.1399999997</v>
      </c>
      <c r="AH107" s="331">
        <f t="shared" si="19"/>
        <v>-2131070.2600000007</v>
      </c>
      <c r="AI107" s="1519">
        <f t="shared" si="20"/>
        <v>0.53220561359341512</v>
      </c>
      <c r="AJ107" s="1520">
        <f t="shared" si="412"/>
        <v>0</v>
      </c>
      <c r="AK107" s="156">
        <f t="shared" si="22"/>
        <v>621863.92000000004</v>
      </c>
      <c r="AL107" s="1514">
        <f>IFERROR(VLOOKUP(G107,'MON2'!MONTENALIM,6,FALSE),"")</f>
        <v>232287.98</v>
      </c>
      <c r="AM107" s="1521">
        <f>IFERROR(VLOOKUP(G107,'MON2'!MONTEFC,6,FALSE),"")</f>
        <v>854151.9</v>
      </c>
      <c r="AN107" s="1520">
        <f t="shared" si="332"/>
        <v>0</v>
      </c>
      <c r="AO107" s="156">
        <f t="shared" si="23"/>
        <v>1138279.6600000001</v>
      </c>
      <c r="AP107" s="331">
        <f>IFERROR(VLOOKUP(G107,'MON2'!MONTENALIM,7,FALSE),"")</f>
        <v>345589.66</v>
      </c>
      <c r="AQ107" s="1513">
        <f>IFERROR(VLOOKUP(G107,'MON2'!MONTEFC,7,FALSE),"")</f>
        <v>1483869.32</v>
      </c>
      <c r="AR107" s="1514">
        <f t="shared" si="333"/>
        <v>0</v>
      </c>
      <c r="AS107" s="1514">
        <f t="shared" si="24"/>
        <v>1080906.5</v>
      </c>
      <c r="AT107" s="1514">
        <f>IFERROR(VLOOKUP(G107,'MON2'!MONTENALIM,8,FALSE),"")</f>
        <v>333185.46000000002</v>
      </c>
      <c r="AU107" s="1520">
        <f>IFERROR(VLOOKUP(G107,'MON2'!MONTEFC,8,FALSE),"")</f>
        <v>1414091.96</v>
      </c>
      <c r="AV107" s="1522">
        <f t="shared" ref="AV107:AX107" si="419">SUM(AS107,AO107,AK107)</f>
        <v>2841050.08</v>
      </c>
      <c r="AW107" s="331">
        <f t="shared" si="419"/>
        <v>911063.1</v>
      </c>
      <c r="AX107" s="1512">
        <f t="shared" si="419"/>
        <v>3752113.18</v>
      </c>
      <c r="AY107" s="156">
        <f t="shared" ref="AY107:BA107" si="420">SUM(AV107,AE107)</f>
        <v>5179458.5</v>
      </c>
      <c r="AZ107" s="331">
        <f t="shared" si="420"/>
        <v>997154.82</v>
      </c>
      <c r="BA107" s="1523">
        <f t="shared" si="420"/>
        <v>6176613.3200000003</v>
      </c>
      <c r="BB107" s="1520">
        <f t="shared" si="385"/>
        <v>0</v>
      </c>
      <c r="BC107" s="1524">
        <f t="shared" si="28"/>
        <v>338775.45</v>
      </c>
      <c r="BD107" s="331">
        <f>IFERROR(VLOOKUP(G107,'MON2'!MONTENALIM,9,FALSE),"")</f>
        <v>395725.82</v>
      </c>
      <c r="BE107" s="1525">
        <f>IFERROR(VLOOKUP(G107,'MON2'!MONTEFC,9,FALSE),"")</f>
        <v>734501.27</v>
      </c>
      <c r="BF107" s="1514">
        <f t="shared" si="386"/>
        <v>0</v>
      </c>
      <c r="BG107" s="331">
        <f t="shared" si="387"/>
        <v>0</v>
      </c>
      <c r="BH107" s="331">
        <f t="shared" si="388"/>
        <v>1683287.27</v>
      </c>
      <c r="BI107" s="331">
        <f t="shared" si="389"/>
        <v>1720928.69</v>
      </c>
      <c r="BJ107" s="331">
        <f t="shared" si="390"/>
        <v>1151354.43</v>
      </c>
    </row>
    <row r="108" spans="1:62" ht="13">
      <c r="A108" s="485" t="str">
        <f t="shared" si="375"/>
        <v>MONTENEGRO</v>
      </c>
      <c r="B108" s="1466">
        <f t="shared" si="376"/>
        <v>112014454</v>
      </c>
      <c r="C108" s="1527">
        <f t="shared" si="377"/>
        <v>22</v>
      </c>
      <c r="D108" s="733">
        <f t="shared" si="378"/>
        <v>0.1</v>
      </c>
      <c r="E108" s="733">
        <f t="shared" si="379"/>
        <v>0.09</v>
      </c>
      <c r="F108" s="733">
        <f t="shared" si="380"/>
        <v>0</v>
      </c>
      <c r="G108" s="1466" t="s">
        <v>1301</v>
      </c>
      <c r="H108" s="1497">
        <f t="shared" si="330"/>
        <v>0</v>
      </c>
      <c r="I108" s="1528">
        <v>1800000</v>
      </c>
      <c r="J108" s="1494">
        <f t="shared" si="6"/>
        <v>1462782.49</v>
      </c>
      <c r="K108" s="1497">
        <f>IFERROR(VLOOKUP(G108,'MON2'!MONTENALIM,3,FALSE),"")</f>
        <v>6600</v>
      </c>
      <c r="L108" s="1498">
        <f>IFERROR(VLOOKUP(G108,'MON2'!MONTEFC,3,FALSE),"")</f>
        <v>1469382.49</v>
      </c>
      <c r="M108" s="1495">
        <f t="shared" si="168"/>
        <v>-330617.51</v>
      </c>
      <c r="N108" s="1529">
        <f t="shared" si="169"/>
        <v>0.8163236055555555</v>
      </c>
      <c r="O108" s="1497">
        <f t="shared" si="409"/>
        <v>0</v>
      </c>
      <c r="P108" s="1497">
        <v>1800000</v>
      </c>
      <c r="Q108" s="1485">
        <f t="shared" si="10"/>
        <v>1840736.27</v>
      </c>
      <c r="R108" s="1497">
        <f>IFERROR(VLOOKUP(G108,'MON2'!MONTENALIM,4,FALSE),"")</f>
        <v>0</v>
      </c>
      <c r="S108" s="1497">
        <f>IFERROR(VLOOKUP(G108,'MON2'!MONTEFC,4,FALSE),"")</f>
        <v>1840736.27</v>
      </c>
      <c r="T108" s="1497">
        <f t="shared" si="172"/>
        <v>40736.270000000019</v>
      </c>
      <c r="U108" s="1529">
        <f t="shared" si="173"/>
        <v>1.022631261111111</v>
      </c>
      <c r="V108" s="1497">
        <f t="shared" si="410"/>
        <v>0</v>
      </c>
      <c r="W108" s="1528">
        <v>1800000</v>
      </c>
      <c r="X108" s="1487">
        <f t="shared" si="14"/>
        <v>588348.26</v>
      </c>
      <c r="Y108" s="1485">
        <f>IFERROR(VLOOKUP(G108,'MON2'!MONTENALIM,5,FALSE),"")</f>
        <v>0</v>
      </c>
      <c r="Z108" s="1488">
        <f>IFERROR(VLOOKUP(G108,'MON2'!MONTEFC,5,FALSE),"")</f>
        <v>588348.26</v>
      </c>
      <c r="AA108" s="1495"/>
      <c r="AB108" s="1497"/>
      <c r="AC108" s="1530">
        <f t="shared" si="176"/>
        <v>5400000</v>
      </c>
      <c r="AD108" s="1494">
        <f t="shared" si="381"/>
        <v>4677827.7</v>
      </c>
      <c r="AE108" s="1497">
        <f t="shared" si="17"/>
        <v>3891867.0200000005</v>
      </c>
      <c r="AF108" s="1497">
        <f t="shared" ref="AF108:AG108" si="421">Y108+R108+K108</f>
        <v>6600</v>
      </c>
      <c r="AG108" s="1497">
        <f t="shared" si="421"/>
        <v>3898467.0200000005</v>
      </c>
      <c r="AH108" s="1497">
        <f t="shared" si="19"/>
        <v>-779360.6799999997</v>
      </c>
      <c r="AI108" s="1531">
        <f t="shared" si="20"/>
        <v>0.83339260657249092</v>
      </c>
      <c r="AJ108" s="1493">
        <f t="shared" si="412"/>
        <v>0</v>
      </c>
      <c r="AK108" s="1494">
        <f t="shared" si="22"/>
        <v>913330.78</v>
      </c>
      <c r="AL108" s="1495">
        <f>IFERROR(VLOOKUP(G108,'MON2'!MONTENALIM,6,FALSE),"")</f>
        <v>0</v>
      </c>
      <c r="AM108" s="1496">
        <f>IFERROR(VLOOKUP(G108,'MON2'!MONTEFC,6,FALSE),"")</f>
        <v>913330.78</v>
      </c>
      <c r="AN108" s="1493">
        <f t="shared" si="332"/>
        <v>2121174.31</v>
      </c>
      <c r="AO108" s="1494">
        <f t="shared" si="23"/>
        <v>376599.14</v>
      </c>
      <c r="AP108" s="1497">
        <f>IFERROR(VLOOKUP(G108,'MON2'!MONTENALIM,7,FALSE),"")</f>
        <v>0</v>
      </c>
      <c r="AQ108" s="1498">
        <f>IFERROR(VLOOKUP(G108,'MON2'!MONTEFC,7,FALSE),"")</f>
        <v>376599.14</v>
      </c>
      <c r="AR108" s="1495">
        <f t="shared" si="333"/>
        <v>0</v>
      </c>
      <c r="AS108" s="1495">
        <f t="shared" si="24"/>
        <v>889206.45</v>
      </c>
      <c r="AT108" s="1495">
        <f>IFERROR(VLOOKUP(G108,'MON2'!MONTENALIM,8,FALSE),"")</f>
        <v>0</v>
      </c>
      <c r="AU108" s="1493">
        <f>IFERROR(VLOOKUP(G108,'MON2'!MONTEFC,8,FALSE),"")</f>
        <v>889206.45</v>
      </c>
      <c r="AV108" s="1532">
        <f t="shared" ref="AV108:AX108" si="422">SUM(AS108,AO108,AK108)</f>
        <v>2179136.37</v>
      </c>
      <c r="AW108" s="1497">
        <f t="shared" si="422"/>
        <v>0</v>
      </c>
      <c r="AX108" s="1528">
        <f t="shared" si="422"/>
        <v>2179136.37</v>
      </c>
      <c r="AY108" s="1494">
        <f t="shared" ref="AY108:BA108" si="423">SUM(AV108,AE108)</f>
        <v>6071003.3900000006</v>
      </c>
      <c r="AZ108" s="1497">
        <f t="shared" si="423"/>
        <v>6600</v>
      </c>
      <c r="BA108" s="1533">
        <f t="shared" si="423"/>
        <v>6077603.3900000006</v>
      </c>
      <c r="BB108" s="1493">
        <f t="shared" si="385"/>
        <v>5674317.7400000002</v>
      </c>
      <c r="BC108" s="1504">
        <f t="shared" si="28"/>
        <v>142006.76</v>
      </c>
      <c r="BD108" s="1497">
        <f>IFERROR(VLOOKUP(G108,'MON2'!MONTENALIM,9,FALSE),"")</f>
        <v>0</v>
      </c>
      <c r="BE108" s="1505">
        <f>IFERROR(VLOOKUP(G108,'MON2'!MONTEFC,9,FALSE),"")</f>
        <v>142006.76</v>
      </c>
      <c r="BF108" s="1495">
        <f t="shared" si="386"/>
        <v>212025.38</v>
      </c>
      <c r="BG108" s="1497">
        <f t="shared" si="387"/>
        <v>661909.88</v>
      </c>
      <c r="BH108" s="1497">
        <f t="shared" si="388"/>
        <v>914686.01</v>
      </c>
      <c r="BI108" s="1497">
        <f t="shared" si="389"/>
        <v>2525875.58</v>
      </c>
      <c r="BJ108" s="1497">
        <f t="shared" si="390"/>
        <v>1237266.1100000001</v>
      </c>
    </row>
    <row r="109" spans="1:62" ht="13">
      <c r="A109" s="485" t="str">
        <f t="shared" si="375"/>
        <v>MONTENEGRO</v>
      </c>
      <c r="B109" s="1467">
        <f t="shared" si="376"/>
        <v>112012506</v>
      </c>
      <c r="C109" s="1510">
        <f t="shared" si="377"/>
        <v>22</v>
      </c>
      <c r="D109" s="1511">
        <f t="shared" si="378"/>
        <v>0.1</v>
      </c>
      <c r="E109" s="1511">
        <f t="shared" si="379"/>
        <v>0.09</v>
      </c>
      <c r="F109" s="1511">
        <f t="shared" si="380"/>
        <v>0</v>
      </c>
      <c r="G109" s="1467" t="s">
        <v>1302</v>
      </c>
      <c r="H109" s="331">
        <f t="shared" si="330"/>
        <v>0</v>
      </c>
      <c r="I109" s="1512">
        <v>1800000</v>
      </c>
      <c r="J109" s="156" t="e">
        <f t="shared" si="6"/>
        <v>#VALUE!</v>
      </c>
      <c r="K109" s="331" t="str">
        <f>IFERROR(VLOOKUP(G109,'MON2'!MONTENALIM,3,FALSE),"")</f>
        <v/>
      </c>
      <c r="L109" s="1513">
        <f>IFERROR(VLOOKUP(G109,'MON2'!MONTEFC,3,FALSE),"")</f>
        <v>0</v>
      </c>
      <c r="M109" s="1514">
        <f t="shared" si="168"/>
        <v>-1800000</v>
      </c>
      <c r="N109" s="234">
        <f t="shared" si="169"/>
        <v>0</v>
      </c>
      <c r="O109" s="331">
        <f t="shared" si="409"/>
        <v>0</v>
      </c>
      <c r="P109" s="331">
        <v>1800000</v>
      </c>
      <c r="Q109" s="1515" t="e">
        <f t="shared" si="10"/>
        <v>#VALUE!</v>
      </c>
      <c r="R109" s="331" t="str">
        <f>IFERROR(VLOOKUP(G109,'MON2'!MONTENALIM,4,FALSE),"")</f>
        <v/>
      </c>
      <c r="S109" s="331">
        <f>IFERROR(VLOOKUP(G109,'MON2'!MONTEFC,4,FALSE),"")</f>
        <v>1306368</v>
      </c>
      <c r="T109" s="331">
        <f t="shared" si="172"/>
        <v>-493632</v>
      </c>
      <c r="U109" s="234">
        <f t="shared" si="173"/>
        <v>0.72575999999999996</v>
      </c>
      <c r="V109" s="331">
        <f t="shared" si="410"/>
        <v>0</v>
      </c>
      <c r="W109" s="1512">
        <v>1800000</v>
      </c>
      <c r="X109" s="1516" t="e">
        <f t="shared" si="14"/>
        <v>#VALUE!</v>
      </c>
      <c r="Y109" s="1515" t="str">
        <f>IFERROR(VLOOKUP(G109,'MON2'!MONTENALIM,5,FALSE),"")</f>
        <v/>
      </c>
      <c r="Z109" s="1517">
        <f>IFERROR(VLOOKUP(G109,'MON2'!MONTEFC,5,FALSE),"")</f>
        <v>0</v>
      </c>
      <c r="AA109" s="1514"/>
      <c r="AB109" s="331"/>
      <c r="AC109" s="1518">
        <f t="shared" si="176"/>
        <v>5400000</v>
      </c>
      <c r="AD109" s="156">
        <f t="shared" si="381"/>
        <v>1173690</v>
      </c>
      <c r="AE109" s="331" t="e">
        <f t="shared" si="17"/>
        <v>#VALUE!</v>
      </c>
      <c r="AF109" s="331" t="e">
        <f t="shared" ref="AF109:AG109" si="424">Y109+R109+K109</f>
        <v>#VALUE!</v>
      </c>
      <c r="AG109" s="331">
        <f t="shared" si="424"/>
        <v>1306368</v>
      </c>
      <c r="AH109" s="331">
        <f t="shared" si="19"/>
        <v>132678</v>
      </c>
      <c r="AI109" s="1519">
        <f t="shared" si="20"/>
        <v>1.1130434782608696</v>
      </c>
      <c r="AJ109" s="1520">
        <f t="shared" si="412"/>
        <v>0</v>
      </c>
      <c r="AK109" s="156" t="e">
        <f t="shared" si="22"/>
        <v>#VALUE!</v>
      </c>
      <c r="AL109" s="1514" t="str">
        <f>IFERROR(VLOOKUP(G109,'MON2'!MONTENALIM,6,FALSE),"")</f>
        <v/>
      </c>
      <c r="AM109" s="1521">
        <f>IFERROR(VLOOKUP(G109,'MON2'!MONTEFC,6,FALSE),"")</f>
        <v>0</v>
      </c>
      <c r="AN109" s="1520">
        <f t="shared" si="332"/>
        <v>0</v>
      </c>
      <c r="AO109" s="156" t="e">
        <f t="shared" si="23"/>
        <v>#VALUE!</v>
      </c>
      <c r="AP109" s="331" t="str">
        <f>IFERROR(VLOOKUP(G109,'MON2'!MONTENALIM,7,FALSE),"")</f>
        <v/>
      </c>
      <c r="AQ109" s="1513">
        <f>IFERROR(VLOOKUP(G109,'MON2'!MONTEFC,7,FALSE),"")</f>
        <v>0</v>
      </c>
      <c r="AR109" s="1514">
        <f t="shared" si="333"/>
        <v>0</v>
      </c>
      <c r="AS109" s="1514" t="e">
        <f t="shared" si="24"/>
        <v>#VALUE!</v>
      </c>
      <c r="AT109" s="1514" t="str">
        <f>IFERROR(VLOOKUP(G109,'MON2'!MONTENALIM,8,FALSE),"")</f>
        <v/>
      </c>
      <c r="AU109" s="1520">
        <f>IFERROR(VLOOKUP(G109,'MON2'!MONTEFC,8,FALSE),"")</f>
        <v>0</v>
      </c>
      <c r="AV109" s="1522" t="e">
        <f t="shared" ref="AV109:AX109" si="425">SUM(AS109,AO109,AK109)</f>
        <v>#VALUE!</v>
      </c>
      <c r="AW109" s="331">
        <f t="shared" si="425"/>
        <v>0</v>
      </c>
      <c r="AX109" s="1512">
        <f t="shared" si="425"/>
        <v>0</v>
      </c>
      <c r="AY109" s="156" t="e">
        <f t="shared" ref="AY109:BA109" si="426">SUM(AV109,AE109)</f>
        <v>#VALUE!</v>
      </c>
      <c r="AZ109" s="331" t="e">
        <f t="shared" si="426"/>
        <v>#VALUE!</v>
      </c>
      <c r="BA109" s="1523">
        <f t="shared" si="426"/>
        <v>1306368</v>
      </c>
      <c r="BB109" s="1520">
        <f t="shared" si="385"/>
        <v>0</v>
      </c>
      <c r="BC109" s="1524" t="e">
        <f t="shared" si="28"/>
        <v>#VALUE!</v>
      </c>
      <c r="BD109" s="331" t="str">
        <f>IFERROR(VLOOKUP(G109,'MON2'!MONTENALIM,9,FALSE),"")</f>
        <v/>
      </c>
      <c r="BE109" s="1525">
        <f>IFERROR(VLOOKUP(G109,'MON2'!MONTEFC,9,FALSE),"")</f>
        <v>0</v>
      </c>
      <c r="BF109" s="1514">
        <f t="shared" si="386"/>
        <v>0</v>
      </c>
      <c r="BG109" s="331">
        <f t="shared" si="387"/>
        <v>0</v>
      </c>
      <c r="BH109" s="331">
        <f t="shared" si="388"/>
        <v>0</v>
      </c>
      <c r="BI109" s="331">
        <f t="shared" si="389"/>
        <v>0</v>
      </c>
      <c r="BJ109" s="331">
        <f t="shared" si="390"/>
        <v>1173690</v>
      </c>
    </row>
    <row r="110" spans="1:62" ht="13">
      <c r="A110" s="485" t="str">
        <f t="shared" si="375"/>
        <v>MONTENEGRO</v>
      </c>
      <c r="B110" s="1466">
        <f t="shared" si="376"/>
        <v>112014180</v>
      </c>
      <c r="C110" s="1527">
        <f t="shared" si="377"/>
        <v>7</v>
      </c>
      <c r="D110" s="733">
        <f t="shared" si="378"/>
        <v>0.1</v>
      </c>
      <c r="E110" s="733">
        <f t="shared" si="379"/>
        <v>0.2</v>
      </c>
      <c r="F110" s="733">
        <f t="shared" si="380"/>
        <v>0</v>
      </c>
      <c r="G110" s="1466" t="s">
        <v>1279</v>
      </c>
      <c r="H110" s="1497">
        <f t="shared" si="330"/>
        <v>619301.97</v>
      </c>
      <c r="I110" s="1528">
        <v>1800000</v>
      </c>
      <c r="J110" s="1494">
        <f t="shared" si="6"/>
        <v>8376970.5800000001</v>
      </c>
      <c r="K110" s="1497">
        <f>IFERROR(VLOOKUP(G110,'MON2'!MONTENALIM,3,FALSE),"")</f>
        <v>814648.85</v>
      </c>
      <c r="L110" s="1498">
        <f>IFERROR(VLOOKUP(G110,'MON2'!MONTEFC,3,FALSE),"")</f>
        <v>9191619.4299999997</v>
      </c>
      <c r="M110" s="1495">
        <f t="shared" si="168"/>
        <v>7391619.4299999997</v>
      </c>
      <c r="N110" s="1529">
        <f t="shared" si="169"/>
        <v>5.1064552388888886</v>
      </c>
      <c r="O110" s="1497">
        <f t="shared" si="409"/>
        <v>1451767.12</v>
      </c>
      <c r="P110" s="1497">
        <f t="shared" ref="P110:P113" si="427">(O110*1.7245)*1.05</f>
        <v>2628751.0183620001</v>
      </c>
      <c r="Q110" s="1485">
        <f t="shared" si="10"/>
        <v>6631742.3200000003</v>
      </c>
      <c r="R110" s="1497">
        <f>IFERROR(VLOOKUP(G110,'MON2'!MONTENALIM,4,FALSE),"")</f>
        <v>528185.54</v>
      </c>
      <c r="S110" s="1497">
        <f>IFERROR(VLOOKUP(G110,'MON2'!MONTEFC,4,FALSE),"")</f>
        <v>7159927.8600000003</v>
      </c>
      <c r="T110" s="1497">
        <f t="shared" si="172"/>
        <v>4531176.8416380007</v>
      </c>
      <c r="U110" s="1529">
        <f t="shared" si="173"/>
        <v>2.7236995097624042</v>
      </c>
      <c r="V110" s="1497">
        <f t="shared" si="410"/>
        <v>2573721.39</v>
      </c>
      <c r="W110" s="1528">
        <f t="shared" ref="W110:W112" si="428">(V110*1.5955)*1.05</f>
        <v>4311691.1016322495</v>
      </c>
      <c r="X110" s="1487">
        <f t="shared" si="14"/>
        <v>5177060.3</v>
      </c>
      <c r="Y110" s="1485">
        <f>IFERROR(VLOOKUP(G110,'MON2'!MONTENALIM,5,FALSE),"")</f>
        <v>271376.28000000003</v>
      </c>
      <c r="Z110" s="1488">
        <f>IFERROR(VLOOKUP(G110,'MON2'!MONTEFC,5,FALSE),"")</f>
        <v>5448436.5800000001</v>
      </c>
      <c r="AA110" s="1495"/>
      <c r="AB110" s="1497"/>
      <c r="AC110" s="1530">
        <f t="shared" si="176"/>
        <v>8740442.1199942492</v>
      </c>
      <c r="AD110" s="1494">
        <f t="shared" si="381"/>
        <v>16133168.92</v>
      </c>
      <c r="AE110" s="1497">
        <f t="shared" si="17"/>
        <v>20185773.200000003</v>
      </c>
      <c r="AF110" s="1497">
        <f t="shared" ref="AF110:AG110" si="429">Y110+R110+K110</f>
        <v>1614210.67</v>
      </c>
      <c r="AG110" s="1497">
        <f t="shared" si="429"/>
        <v>21799983.870000001</v>
      </c>
      <c r="AH110" s="1497">
        <f t="shared" si="19"/>
        <v>5666814.9500000011</v>
      </c>
      <c r="AI110" s="1531">
        <f t="shared" si="20"/>
        <v>1.3512524401188755</v>
      </c>
      <c r="AJ110" s="1493">
        <f t="shared" si="412"/>
        <v>1711081.37</v>
      </c>
      <c r="AK110" s="1494">
        <f t="shared" si="22"/>
        <v>5148338.53</v>
      </c>
      <c r="AL110" s="1495">
        <f>IFERROR(VLOOKUP(G110,'MON2'!MONTENALIM,6,FALSE),"")</f>
        <v>0</v>
      </c>
      <c r="AM110" s="1496">
        <f>IFERROR(VLOOKUP(G110,'MON2'!MONTEFC,6,FALSE),"")</f>
        <v>5148338.53</v>
      </c>
      <c r="AN110" s="1493">
        <f t="shared" si="332"/>
        <v>2178433.9500000002</v>
      </c>
      <c r="AO110" s="1494">
        <f t="shared" si="23"/>
        <v>2189409.6999999997</v>
      </c>
      <c r="AP110" s="1497">
        <f>IFERROR(VLOOKUP(G110,'MON2'!MONTENALIM,7,FALSE),"")</f>
        <v>391913.68</v>
      </c>
      <c r="AQ110" s="1498">
        <f>IFERROR(VLOOKUP(G110,'MON2'!MONTEFC,7,FALSE),"")</f>
        <v>2581323.38</v>
      </c>
      <c r="AR110" s="1495">
        <f t="shared" si="333"/>
        <v>1441769.66</v>
      </c>
      <c r="AS110" s="1495">
        <f t="shared" si="24"/>
        <v>3278613.0300000003</v>
      </c>
      <c r="AT110" s="1495">
        <f>IFERROR(VLOOKUP(G110,'MON2'!MONTENALIM,8,FALSE),"")</f>
        <v>195956.84</v>
      </c>
      <c r="AU110" s="1493">
        <f>IFERROR(VLOOKUP(G110,'MON2'!MONTEFC,8,FALSE),"")</f>
        <v>3474569.87</v>
      </c>
      <c r="AV110" s="1532">
        <f t="shared" ref="AV110:AX110" si="430">SUM(AS110,AO110,AK110)</f>
        <v>10616361.260000002</v>
      </c>
      <c r="AW110" s="1497">
        <f t="shared" si="430"/>
        <v>587870.52</v>
      </c>
      <c r="AX110" s="1528">
        <f t="shared" si="430"/>
        <v>11204231.780000001</v>
      </c>
      <c r="AY110" s="1494">
        <f t="shared" ref="AY110:BA110" si="431">SUM(AV110,AE110)</f>
        <v>30802134.460000005</v>
      </c>
      <c r="AZ110" s="1497">
        <f t="shared" si="431"/>
        <v>2202081.19</v>
      </c>
      <c r="BA110" s="1533">
        <f t="shared" si="431"/>
        <v>33004215.650000002</v>
      </c>
      <c r="BB110" s="1493">
        <f t="shared" si="385"/>
        <v>2619092.2599999998</v>
      </c>
      <c r="BC110" s="1504">
        <f t="shared" si="28"/>
        <v>790280.58000000007</v>
      </c>
      <c r="BD110" s="1497">
        <f>IFERROR(VLOOKUP(G110,'MON2'!MONTENALIM,9,FALSE),"")</f>
        <v>195956.84</v>
      </c>
      <c r="BE110" s="1505">
        <f>IFERROR(VLOOKUP(G110,'MON2'!MONTEFC,9,FALSE),"")</f>
        <v>986237.42</v>
      </c>
      <c r="BF110" s="1495">
        <f t="shared" si="386"/>
        <v>1035559.36</v>
      </c>
      <c r="BG110" s="1497">
        <f t="shared" si="387"/>
        <v>2954759.3</v>
      </c>
      <c r="BH110" s="1497">
        <f t="shared" si="388"/>
        <v>5600731.8899999997</v>
      </c>
      <c r="BI110" s="1497">
        <f t="shared" si="389"/>
        <v>5300929.3</v>
      </c>
      <c r="BJ110" s="1497">
        <f t="shared" si="390"/>
        <v>5231507.74</v>
      </c>
    </row>
    <row r="111" spans="1:62" ht="13">
      <c r="A111" s="485" t="str">
        <f t="shared" si="375"/>
        <v>MONTENEGRO</v>
      </c>
      <c r="B111" s="1467">
        <f t="shared" si="376"/>
        <v>112011830</v>
      </c>
      <c r="C111" s="1510">
        <f t="shared" si="377"/>
        <v>22</v>
      </c>
      <c r="D111" s="1511">
        <f t="shared" si="378"/>
        <v>0.1</v>
      </c>
      <c r="E111" s="1511">
        <f t="shared" si="379"/>
        <v>0.09</v>
      </c>
      <c r="F111" s="1511">
        <f t="shared" si="380"/>
        <v>0</v>
      </c>
      <c r="G111" s="1467" t="s">
        <v>1303</v>
      </c>
      <c r="H111" s="331">
        <f t="shared" si="330"/>
        <v>1350205.76</v>
      </c>
      <c r="I111" s="1512">
        <f t="shared" ref="I111:I113" si="432">(H111*1.601)*1.05</f>
        <v>2269763.3928479999</v>
      </c>
      <c r="J111" s="156">
        <f t="shared" si="6"/>
        <v>1555586.97</v>
      </c>
      <c r="K111" s="331">
        <f>IFERROR(VLOOKUP(G111,'MON2'!MONTENALIM,3,FALSE),"")</f>
        <v>123601.98</v>
      </c>
      <c r="L111" s="1513">
        <f>IFERROR(VLOOKUP(G111,'MON2'!MONTEFC,3,FALSE),"")</f>
        <v>1679188.95</v>
      </c>
      <c r="M111" s="1514">
        <f t="shared" si="168"/>
        <v>-590574.44284799998</v>
      </c>
      <c r="N111" s="234">
        <f t="shared" si="169"/>
        <v>0.73980792680466445</v>
      </c>
      <c r="O111" s="331">
        <f t="shared" si="409"/>
        <v>1261822.3700000001</v>
      </c>
      <c r="P111" s="331">
        <f t="shared" si="427"/>
        <v>2284813.3109182501</v>
      </c>
      <c r="Q111" s="1515">
        <f t="shared" si="10"/>
        <v>1679730.9600000002</v>
      </c>
      <c r="R111" s="331">
        <f>IFERROR(VLOOKUP(G111,'MON2'!MONTENALIM,4,FALSE),"")</f>
        <v>15486.88</v>
      </c>
      <c r="S111" s="331">
        <f>IFERROR(VLOOKUP(G111,'MON2'!MONTEFC,4,FALSE),"")</f>
        <v>1695217.84</v>
      </c>
      <c r="T111" s="331">
        <f t="shared" si="172"/>
        <v>-589595.47091825004</v>
      </c>
      <c r="U111" s="234">
        <f t="shared" si="173"/>
        <v>0.7419502643385355</v>
      </c>
      <c r="V111" s="331">
        <f t="shared" si="410"/>
        <v>1259626.21</v>
      </c>
      <c r="W111" s="1512">
        <f t="shared" si="428"/>
        <v>2110220.2989577497</v>
      </c>
      <c r="X111" s="1516">
        <f t="shared" si="14"/>
        <v>1960041.01</v>
      </c>
      <c r="Y111" s="1515">
        <f>IFERROR(VLOOKUP(G111,'MON2'!MONTENALIM,5,FALSE),"")</f>
        <v>0</v>
      </c>
      <c r="Z111" s="1517">
        <f>IFERROR(VLOOKUP(G111,'MON2'!MONTEFC,5,FALSE),"")</f>
        <v>1960041.01</v>
      </c>
      <c r="AA111" s="1514"/>
      <c r="AB111" s="331"/>
      <c r="AC111" s="1518">
        <f t="shared" si="176"/>
        <v>6664797.0027239993</v>
      </c>
      <c r="AD111" s="156">
        <f t="shared" si="381"/>
        <v>5568177.5</v>
      </c>
      <c r="AE111" s="331">
        <f t="shared" si="17"/>
        <v>5195358.9399999995</v>
      </c>
      <c r="AF111" s="331">
        <f t="shared" ref="AF111:AG111" si="433">Y111+R111+K111</f>
        <v>139088.85999999999</v>
      </c>
      <c r="AG111" s="331">
        <f t="shared" si="433"/>
        <v>5334447.8</v>
      </c>
      <c r="AH111" s="331">
        <f t="shared" si="19"/>
        <v>-233729.70000000019</v>
      </c>
      <c r="AI111" s="1519">
        <f t="shared" si="20"/>
        <v>0.95802402132475117</v>
      </c>
      <c r="AJ111" s="1520">
        <f t="shared" si="412"/>
        <v>1062529.43</v>
      </c>
      <c r="AK111" s="156">
        <f t="shared" si="22"/>
        <v>1762547.55</v>
      </c>
      <c r="AL111" s="1514">
        <f>IFERROR(VLOOKUP(G111,'MON2'!MONTENALIM,6,FALSE),"")</f>
        <v>48154.3</v>
      </c>
      <c r="AM111" s="1521">
        <f>IFERROR(VLOOKUP(G111,'MON2'!MONTEFC,6,FALSE),"")</f>
        <v>1810701.85</v>
      </c>
      <c r="AN111" s="1520">
        <f t="shared" si="332"/>
        <v>363192.89</v>
      </c>
      <c r="AO111" s="156">
        <f t="shared" si="23"/>
        <v>318083.29000000004</v>
      </c>
      <c r="AP111" s="331">
        <f>IFERROR(VLOOKUP(G111,'MON2'!MONTENALIM,7,FALSE),"")</f>
        <v>177927.55</v>
      </c>
      <c r="AQ111" s="1513">
        <f>IFERROR(VLOOKUP(G111,'MON2'!MONTEFC,7,FALSE),"")</f>
        <v>496010.84</v>
      </c>
      <c r="AR111" s="1514">
        <f t="shared" si="333"/>
        <v>422959.87</v>
      </c>
      <c r="AS111" s="1514">
        <f t="shared" si="24"/>
        <v>660779.77</v>
      </c>
      <c r="AT111" s="1514">
        <f>IFERROR(VLOOKUP(G111,'MON2'!MONTENALIM,8,FALSE),"")</f>
        <v>0</v>
      </c>
      <c r="AU111" s="1520">
        <f>IFERROR(VLOOKUP(G111,'MON2'!MONTEFC,8,FALSE),"")</f>
        <v>660779.77</v>
      </c>
      <c r="AV111" s="1522">
        <f t="shared" ref="AV111:AX111" si="434">SUM(AS111,AO111,AK111)</f>
        <v>2741410.6100000003</v>
      </c>
      <c r="AW111" s="331">
        <f t="shared" si="434"/>
        <v>226081.84999999998</v>
      </c>
      <c r="AX111" s="1512">
        <f t="shared" si="434"/>
        <v>2967492.46</v>
      </c>
      <c r="AY111" s="156">
        <f t="shared" ref="AY111:BA111" si="435">SUM(AV111,AE111)</f>
        <v>7936769.5499999998</v>
      </c>
      <c r="AZ111" s="331">
        <f t="shared" si="435"/>
        <v>365170.70999999996</v>
      </c>
      <c r="BA111" s="1523">
        <f t="shared" si="435"/>
        <v>8301940.2599999998</v>
      </c>
      <c r="BB111" s="1520">
        <f t="shared" si="385"/>
        <v>1092745.77</v>
      </c>
      <c r="BC111" s="1524">
        <f t="shared" si="28"/>
        <v>275135.84999999998</v>
      </c>
      <c r="BD111" s="331">
        <f>IFERROR(VLOOKUP(G111,'MON2'!MONTENALIM,9,FALSE),"")</f>
        <v>136051.94</v>
      </c>
      <c r="BE111" s="1525">
        <f>IFERROR(VLOOKUP(G111,'MON2'!MONTEFC,9,FALSE),"")</f>
        <v>411187.79</v>
      </c>
      <c r="BF111" s="1514">
        <f t="shared" si="386"/>
        <v>879889.97</v>
      </c>
      <c r="BG111" s="331">
        <f t="shared" si="387"/>
        <v>1096691.22</v>
      </c>
      <c r="BH111" s="331">
        <f t="shared" si="388"/>
        <v>1199306.7</v>
      </c>
      <c r="BI111" s="331">
        <f t="shared" si="389"/>
        <v>1184224.82</v>
      </c>
      <c r="BJ111" s="331">
        <f t="shared" si="390"/>
        <v>3184645.98</v>
      </c>
    </row>
    <row r="112" spans="1:62" ht="13">
      <c r="A112" s="485" t="str">
        <f t="shared" si="375"/>
        <v>MONTENEGRO</v>
      </c>
      <c r="B112" s="1466">
        <f t="shared" si="376"/>
        <v>112013308</v>
      </c>
      <c r="C112" s="1527">
        <f t="shared" si="377"/>
        <v>7</v>
      </c>
      <c r="D112" s="733">
        <f t="shared" si="378"/>
        <v>0.1</v>
      </c>
      <c r="E112" s="733">
        <f t="shared" si="379"/>
        <v>0.2</v>
      </c>
      <c r="F112" s="733">
        <f t="shared" si="380"/>
        <v>0</v>
      </c>
      <c r="G112" s="1466" t="s">
        <v>1280</v>
      </c>
      <c r="H112" s="1497">
        <f t="shared" si="330"/>
        <v>1751578.37</v>
      </c>
      <c r="I112" s="1528">
        <f t="shared" si="432"/>
        <v>2944490.8188885003</v>
      </c>
      <c r="J112" s="1494">
        <f t="shared" si="6"/>
        <v>325539.21999999997</v>
      </c>
      <c r="K112" s="1497">
        <f>IFERROR(VLOOKUP(G112,'MON2'!MONTENALIM,3,FALSE),"")</f>
        <v>0</v>
      </c>
      <c r="L112" s="1498">
        <f>IFERROR(VLOOKUP(G112,'MON2'!MONTEFC,3,FALSE),"")</f>
        <v>325539.21999999997</v>
      </c>
      <c r="M112" s="1495">
        <f t="shared" si="168"/>
        <v>-2618951.5988885006</v>
      </c>
      <c r="N112" s="1529">
        <f t="shared" si="169"/>
        <v>0.1105587485319061</v>
      </c>
      <c r="O112" s="1497">
        <f t="shared" si="409"/>
        <v>3883951.88</v>
      </c>
      <c r="P112" s="1497">
        <f t="shared" si="427"/>
        <v>7032768.7679129997</v>
      </c>
      <c r="Q112" s="1485">
        <f t="shared" si="10"/>
        <v>189310.61999999988</v>
      </c>
      <c r="R112" s="1497">
        <f>IFERROR(VLOOKUP(G112,'MON2'!MONTENALIM,4,FALSE),"")</f>
        <v>1635565.12</v>
      </c>
      <c r="S112" s="1497">
        <f>IFERROR(VLOOKUP(G112,'MON2'!MONTEFC,4,FALSE),"")</f>
        <v>1824875.74</v>
      </c>
      <c r="T112" s="1497">
        <f t="shared" si="172"/>
        <v>-5207893.0279129995</v>
      </c>
      <c r="U112" s="1529">
        <f t="shared" si="173"/>
        <v>0.25948183428495386</v>
      </c>
      <c r="V112" s="1497">
        <f t="shared" si="410"/>
        <v>1480023.21</v>
      </c>
      <c r="W112" s="1528">
        <f t="shared" si="428"/>
        <v>2479445.8831327497</v>
      </c>
      <c r="X112" s="1487">
        <f t="shared" si="14"/>
        <v>0</v>
      </c>
      <c r="Y112" s="1485">
        <f>IFERROR(VLOOKUP(G112,'MON2'!MONTENALIM,5,FALSE),"")</f>
        <v>0</v>
      </c>
      <c r="Z112" s="1488">
        <f>IFERROR(VLOOKUP(G112,'MON2'!MONTEFC,5,FALSE),"")</f>
        <v>0</v>
      </c>
      <c r="AA112" s="1495"/>
      <c r="AB112" s="1497"/>
      <c r="AC112" s="1530">
        <f t="shared" si="176"/>
        <v>12456705.469934249</v>
      </c>
      <c r="AD112" s="1494">
        <f t="shared" si="381"/>
        <v>1025886.92</v>
      </c>
      <c r="AE112" s="1497">
        <f t="shared" si="17"/>
        <v>514849.83999999985</v>
      </c>
      <c r="AF112" s="1497">
        <f t="shared" ref="AF112:AG112" si="436">Y112+R112+K112</f>
        <v>1635565.12</v>
      </c>
      <c r="AG112" s="1497">
        <f t="shared" si="436"/>
        <v>2150414.96</v>
      </c>
      <c r="AH112" s="1497">
        <f t="shared" si="19"/>
        <v>1124528.04</v>
      </c>
      <c r="AI112" s="1531">
        <f t="shared" si="20"/>
        <v>2.0961520398369049</v>
      </c>
      <c r="AJ112" s="1493">
        <f t="shared" si="412"/>
        <v>2274780.9900000002</v>
      </c>
      <c r="AK112" s="1494">
        <f t="shared" si="22"/>
        <v>223119.79</v>
      </c>
      <c r="AL112" s="1495">
        <f>IFERROR(VLOOKUP(G112,'MON2'!MONTENALIM,6,FALSE),"")</f>
        <v>0</v>
      </c>
      <c r="AM112" s="1496">
        <f>IFERROR(VLOOKUP(G112,'MON2'!MONTEFC,6,FALSE),"")</f>
        <v>223119.79</v>
      </c>
      <c r="AN112" s="1493">
        <f t="shared" si="332"/>
        <v>920204.29</v>
      </c>
      <c r="AO112" s="1494">
        <f t="shared" si="23"/>
        <v>160652.74</v>
      </c>
      <c r="AP112" s="1497">
        <f>IFERROR(VLOOKUP(G112,'MON2'!MONTENALIM,7,FALSE),"")</f>
        <v>0</v>
      </c>
      <c r="AQ112" s="1498">
        <f>IFERROR(VLOOKUP(G112,'MON2'!MONTEFC,7,FALSE),"")</f>
        <v>160652.74</v>
      </c>
      <c r="AR112" s="1495">
        <f t="shared" si="333"/>
        <v>1254425.99</v>
      </c>
      <c r="AS112" s="1495">
        <f t="shared" si="24"/>
        <v>246970.82</v>
      </c>
      <c r="AT112" s="1495">
        <f>IFERROR(VLOOKUP(G112,'MON2'!MONTENALIM,8,FALSE),"")</f>
        <v>0</v>
      </c>
      <c r="AU112" s="1493">
        <f>IFERROR(VLOOKUP(G112,'MON2'!MONTEFC,8,FALSE),"")</f>
        <v>246970.82</v>
      </c>
      <c r="AV112" s="1532">
        <f t="shared" ref="AV112:AX112" si="437">SUM(AS112,AO112,AK112)</f>
        <v>630743.35</v>
      </c>
      <c r="AW112" s="1497">
        <f t="shared" si="437"/>
        <v>0</v>
      </c>
      <c r="AX112" s="1528">
        <f t="shared" si="437"/>
        <v>630743.35</v>
      </c>
      <c r="AY112" s="1494">
        <f t="shared" ref="AY112:BA112" si="438">SUM(AV112,AE112)</f>
        <v>1145593.19</v>
      </c>
      <c r="AZ112" s="1497">
        <f t="shared" si="438"/>
        <v>1635565.12</v>
      </c>
      <c r="BA112" s="1533">
        <f t="shared" si="438"/>
        <v>2781158.31</v>
      </c>
      <c r="BB112" s="1493">
        <f t="shared" si="385"/>
        <v>2088768.9</v>
      </c>
      <c r="BC112" s="1504">
        <f t="shared" si="28"/>
        <v>252685.84</v>
      </c>
      <c r="BD112" s="1497">
        <f>IFERROR(VLOOKUP(G112,'MON2'!MONTENALIM,9,FALSE),"")</f>
        <v>0</v>
      </c>
      <c r="BE112" s="1505">
        <f>IFERROR(VLOOKUP(G112,'MON2'!MONTEFC,9,FALSE),"")</f>
        <v>252685.84</v>
      </c>
      <c r="BF112" s="1495">
        <f t="shared" si="386"/>
        <v>1732933.28</v>
      </c>
      <c r="BG112" s="1497">
        <f t="shared" si="387"/>
        <v>671261.62</v>
      </c>
      <c r="BH112" s="1497">
        <f t="shared" si="388"/>
        <v>829595.95</v>
      </c>
      <c r="BI112" s="1497">
        <f t="shared" si="389"/>
        <v>196290.96</v>
      </c>
      <c r="BJ112" s="1497">
        <f t="shared" si="390"/>
        <v>0</v>
      </c>
    </row>
    <row r="113" spans="1:62" ht="13">
      <c r="A113" s="485" t="str">
        <f t="shared" si="375"/>
        <v>MONTENEGRO</v>
      </c>
      <c r="B113" s="1467">
        <f t="shared" si="376"/>
        <v>112013935</v>
      </c>
      <c r="C113" s="1510">
        <f t="shared" si="377"/>
        <v>22</v>
      </c>
      <c r="D113" s="1511">
        <f t="shared" si="378"/>
        <v>0.1</v>
      </c>
      <c r="E113" s="1511">
        <f t="shared" si="379"/>
        <v>0.09</v>
      </c>
      <c r="F113" s="1511">
        <f t="shared" si="380"/>
        <v>0</v>
      </c>
      <c r="G113" s="1467" t="s">
        <v>1304</v>
      </c>
      <c r="H113" s="331">
        <f t="shared" si="330"/>
        <v>1137017.04</v>
      </c>
      <c r="I113" s="1512">
        <f t="shared" si="432"/>
        <v>1911382.4950920001</v>
      </c>
      <c r="J113" s="156">
        <f t="shared" si="6"/>
        <v>3853750.28</v>
      </c>
      <c r="K113" s="331">
        <f>IFERROR(VLOOKUP(G113,'MON2'!MONTENALIM,3,FALSE),"")</f>
        <v>98726.33</v>
      </c>
      <c r="L113" s="1513">
        <f>IFERROR(VLOOKUP(G113,'MON2'!MONTEFC,3,FALSE),"")</f>
        <v>3952476.61</v>
      </c>
      <c r="M113" s="1514">
        <f t="shared" si="168"/>
        <v>2041094.1149079998</v>
      </c>
      <c r="N113" s="234">
        <f t="shared" si="169"/>
        <v>2.0678627224791843</v>
      </c>
      <c r="O113" s="331">
        <f t="shared" si="409"/>
        <v>1083654.8799999999</v>
      </c>
      <c r="P113" s="331">
        <f t="shared" si="427"/>
        <v>1962200.9825879997</v>
      </c>
      <c r="Q113" s="1515">
        <f t="shared" si="10"/>
        <v>3605915.29</v>
      </c>
      <c r="R113" s="331">
        <f>IFERROR(VLOOKUP(G113,'MON2'!MONTENALIM,4,FALSE),"")</f>
        <v>0</v>
      </c>
      <c r="S113" s="331">
        <f>IFERROR(VLOOKUP(G113,'MON2'!MONTEFC,4,FALSE),"")</f>
        <v>3605915.29</v>
      </c>
      <c r="T113" s="331">
        <f t="shared" si="172"/>
        <v>1643714.3074120004</v>
      </c>
      <c r="U113" s="234">
        <f t="shared" si="173"/>
        <v>1.8376890654921909</v>
      </c>
      <c r="V113" s="331">
        <f t="shared" si="410"/>
        <v>116116.16</v>
      </c>
      <c r="W113" s="1512">
        <v>1800000</v>
      </c>
      <c r="X113" s="1516">
        <f t="shared" si="14"/>
        <v>2712297.06</v>
      </c>
      <c r="Y113" s="1515">
        <f>IFERROR(VLOOKUP(G113,'MON2'!MONTENALIM,5,FALSE),"")</f>
        <v>0</v>
      </c>
      <c r="Z113" s="1517">
        <f>IFERROR(VLOOKUP(G113,'MON2'!MONTEFC,5,FALSE),"")</f>
        <v>2712297.06</v>
      </c>
      <c r="AA113" s="1514"/>
      <c r="AB113" s="331"/>
      <c r="AC113" s="1518">
        <f t="shared" si="176"/>
        <v>5673583.4776799995</v>
      </c>
      <c r="AD113" s="156">
        <f t="shared" si="381"/>
        <v>2132383.9900000002</v>
      </c>
      <c r="AE113" s="331">
        <f t="shared" si="17"/>
        <v>10171962.629999999</v>
      </c>
      <c r="AF113" s="331">
        <f t="shared" ref="AF113:AG113" si="439">Y113+R113+K113</f>
        <v>98726.33</v>
      </c>
      <c r="AG113" s="331">
        <f t="shared" si="439"/>
        <v>10270688.959999999</v>
      </c>
      <c r="AH113" s="331">
        <f t="shared" si="19"/>
        <v>8138304.9699999988</v>
      </c>
      <c r="AI113" s="1519">
        <f t="shared" si="20"/>
        <v>4.8165288279058958</v>
      </c>
      <c r="AJ113" s="1520">
        <f t="shared" si="412"/>
        <v>524264.66</v>
      </c>
      <c r="AK113" s="156">
        <f t="shared" si="22"/>
        <v>2562930.62</v>
      </c>
      <c r="AL113" s="1514">
        <f>IFERROR(VLOOKUP(G113,'MON2'!MONTENALIM,6,FALSE),"")</f>
        <v>0</v>
      </c>
      <c r="AM113" s="1521">
        <f>IFERROR(VLOOKUP(G113,'MON2'!MONTEFC,6,FALSE),"")</f>
        <v>2562930.62</v>
      </c>
      <c r="AN113" s="1520">
        <f t="shared" si="332"/>
        <v>336318.12</v>
      </c>
      <c r="AO113" s="156">
        <f t="shared" si="23"/>
        <v>3181406.93</v>
      </c>
      <c r="AP113" s="331">
        <f>IFERROR(VLOOKUP(G113,'MON2'!MONTENALIM,7,FALSE),"")</f>
        <v>0</v>
      </c>
      <c r="AQ113" s="1513">
        <f>IFERROR(VLOOKUP(G113,'MON2'!MONTEFC,7,FALSE),"")</f>
        <v>3181406.93</v>
      </c>
      <c r="AR113" s="1514">
        <f t="shared" si="333"/>
        <v>480463.95</v>
      </c>
      <c r="AS113" s="1514">
        <f t="shared" si="24"/>
        <v>1629627.09</v>
      </c>
      <c r="AT113" s="1514">
        <f>IFERROR(VLOOKUP(G113,'MON2'!MONTENALIM,8,FALSE),"")</f>
        <v>0</v>
      </c>
      <c r="AU113" s="1520">
        <f>IFERROR(VLOOKUP(G113,'MON2'!MONTEFC,8,FALSE),"")</f>
        <v>1629627.09</v>
      </c>
      <c r="AV113" s="1522">
        <f t="shared" ref="AV113:AX113" si="440">SUM(AS113,AO113,AK113)</f>
        <v>7373964.6400000006</v>
      </c>
      <c r="AW113" s="331">
        <f t="shared" si="440"/>
        <v>0</v>
      </c>
      <c r="AX113" s="1512">
        <f t="shared" si="440"/>
        <v>7373964.6400000006</v>
      </c>
      <c r="AY113" s="156">
        <f t="shared" ref="AY113:BA113" si="441">SUM(AV113,AE113)</f>
        <v>17545927.27</v>
      </c>
      <c r="AZ113" s="331">
        <f t="shared" si="441"/>
        <v>98726.33</v>
      </c>
      <c r="BA113" s="1523">
        <f t="shared" si="441"/>
        <v>17644653.600000001</v>
      </c>
      <c r="BB113" s="1520">
        <f t="shared" si="385"/>
        <v>413998.06</v>
      </c>
      <c r="BC113" s="1524">
        <f t="shared" si="28"/>
        <v>870872.3</v>
      </c>
      <c r="BD113" s="331">
        <f>IFERROR(VLOOKUP(G113,'MON2'!MONTENALIM,9,FALSE),"")</f>
        <v>0</v>
      </c>
      <c r="BE113" s="1525">
        <f>IFERROR(VLOOKUP(G113,'MON2'!MONTEFC,9,FALSE),"")</f>
        <v>870872.3</v>
      </c>
      <c r="BF113" s="1514">
        <f t="shared" si="386"/>
        <v>644810.80000000005</v>
      </c>
      <c r="BG113" s="331">
        <f t="shared" si="387"/>
        <v>308076.65999999997</v>
      </c>
      <c r="BH113" s="331">
        <f t="shared" si="388"/>
        <v>587915.07999999996</v>
      </c>
      <c r="BI113" s="331">
        <f t="shared" si="389"/>
        <v>523317.25</v>
      </c>
      <c r="BJ113" s="331">
        <f t="shared" si="390"/>
        <v>1021151.67</v>
      </c>
    </row>
    <row r="114" spans="1:62" ht="13">
      <c r="A114" s="485" t="str">
        <f t="shared" si="375"/>
        <v>MONTENEGRO</v>
      </c>
      <c r="B114" s="1466">
        <f t="shared" si="376"/>
        <v>112012449</v>
      </c>
      <c r="C114" s="1527">
        <f t="shared" si="377"/>
        <v>22</v>
      </c>
      <c r="D114" s="733">
        <f t="shared" si="378"/>
        <v>0.1</v>
      </c>
      <c r="E114" s="733">
        <f t="shared" si="379"/>
        <v>0.09</v>
      </c>
      <c r="F114" s="733">
        <f t="shared" si="380"/>
        <v>0</v>
      </c>
      <c r="G114" s="1466" t="s">
        <v>1305</v>
      </c>
      <c r="H114" s="1497">
        <f t="shared" si="330"/>
        <v>310807.25</v>
      </c>
      <c r="I114" s="1528">
        <v>1800000</v>
      </c>
      <c r="J114" s="1494" t="e">
        <f t="shared" si="6"/>
        <v>#VALUE!</v>
      </c>
      <c r="K114" s="1497" t="str">
        <f>IFERROR(VLOOKUP(G114,'MON2'!MONTENALIM,3,FALSE),"")</f>
        <v/>
      </c>
      <c r="L114" s="1498">
        <f>IFERROR(VLOOKUP(G114,'MON2'!MONTEFC,3,FALSE),"")</f>
        <v>0</v>
      </c>
      <c r="M114" s="1495">
        <f t="shared" si="168"/>
        <v>-1800000</v>
      </c>
      <c r="N114" s="1529">
        <f t="shared" si="169"/>
        <v>0</v>
      </c>
      <c r="O114" s="1497">
        <f t="shared" si="409"/>
        <v>180914.47</v>
      </c>
      <c r="P114" s="1497">
        <v>1800000</v>
      </c>
      <c r="Q114" s="1485" t="e">
        <f t="shared" si="10"/>
        <v>#VALUE!</v>
      </c>
      <c r="R114" s="1497" t="str">
        <f>IFERROR(VLOOKUP(G114,'MON2'!MONTENALIM,4,FALSE),"")</f>
        <v/>
      </c>
      <c r="S114" s="1497">
        <f>IFERROR(VLOOKUP(G114,'MON2'!MONTEFC,4,FALSE),"")</f>
        <v>1161402.78</v>
      </c>
      <c r="T114" s="1497">
        <f t="shared" si="172"/>
        <v>-638597.22</v>
      </c>
      <c r="U114" s="1529">
        <f t="shared" si="173"/>
        <v>0.6452237666666667</v>
      </c>
      <c r="V114" s="1497">
        <f t="shared" si="410"/>
        <v>0</v>
      </c>
      <c r="W114" s="1528">
        <v>1800000</v>
      </c>
      <c r="X114" s="1487" t="e">
        <f t="shared" si="14"/>
        <v>#VALUE!</v>
      </c>
      <c r="Y114" s="1485" t="str">
        <f>IFERROR(VLOOKUP(G114,'MON2'!MONTENALIM,5,FALSE),"")</f>
        <v/>
      </c>
      <c r="Z114" s="1488">
        <f>IFERROR(VLOOKUP(G114,'MON2'!MONTEFC,5,FALSE),"")</f>
        <v>0</v>
      </c>
      <c r="AA114" s="1495"/>
      <c r="AB114" s="1497"/>
      <c r="AC114" s="1530">
        <f t="shared" si="176"/>
        <v>5400000</v>
      </c>
      <c r="AD114" s="1494" t="str">
        <f t="shared" si="381"/>
        <v>0</v>
      </c>
      <c r="AE114" s="1497" t="e">
        <f t="shared" si="17"/>
        <v>#VALUE!</v>
      </c>
      <c r="AF114" s="1497" t="e">
        <f t="shared" ref="AF114:AG114" si="442">Y114+R114+K114</f>
        <v>#VALUE!</v>
      </c>
      <c r="AG114" s="1497">
        <f t="shared" si="442"/>
        <v>1161402.78</v>
      </c>
      <c r="AH114" s="1497">
        <f t="shared" si="19"/>
        <v>1161402.78</v>
      </c>
      <c r="AI114" s="1531" t="str">
        <f t="shared" si="20"/>
        <v/>
      </c>
      <c r="AJ114" s="1493">
        <f t="shared" si="412"/>
        <v>943326.79</v>
      </c>
      <c r="AK114" s="1494" t="e">
        <f t="shared" si="22"/>
        <v>#VALUE!</v>
      </c>
      <c r="AL114" s="1495" t="str">
        <f>IFERROR(VLOOKUP(G114,'MON2'!MONTENALIM,6,FALSE),"")</f>
        <v/>
      </c>
      <c r="AM114" s="1496">
        <f>IFERROR(VLOOKUP(G114,'MON2'!MONTEFC,6,FALSE),"")</f>
        <v>987583.59</v>
      </c>
      <c r="AN114" s="1493">
        <f t="shared" si="332"/>
        <v>0</v>
      </c>
      <c r="AO114" s="1494" t="e">
        <f t="shared" si="23"/>
        <v>#VALUE!</v>
      </c>
      <c r="AP114" s="1497" t="str">
        <f>IFERROR(VLOOKUP(G114,'MON2'!MONTENALIM,7,FALSE),"")</f>
        <v/>
      </c>
      <c r="AQ114" s="1498">
        <f>IFERROR(VLOOKUP(G114,'MON2'!MONTEFC,7,FALSE),"")</f>
        <v>0</v>
      </c>
      <c r="AR114" s="1495">
        <f t="shared" si="333"/>
        <v>1179533.58</v>
      </c>
      <c r="AS114" s="1495" t="e">
        <f t="shared" si="24"/>
        <v>#VALUE!</v>
      </c>
      <c r="AT114" s="1495" t="str">
        <f>IFERROR(VLOOKUP(G114,'MON2'!MONTENALIM,8,FALSE),"")</f>
        <v/>
      </c>
      <c r="AU114" s="1493">
        <f>IFERROR(VLOOKUP(G114,'MON2'!MONTEFC,8,FALSE),"")</f>
        <v>0</v>
      </c>
      <c r="AV114" s="1532" t="e">
        <f t="shared" ref="AV114:AX114" si="443">SUM(AS114,AO114,AK114)</f>
        <v>#VALUE!</v>
      </c>
      <c r="AW114" s="1497">
        <f t="shared" si="443"/>
        <v>0</v>
      </c>
      <c r="AX114" s="1528">
        <f t="shared" si="443"/>
        <v>987583.59</v>
      </c>
      <c r="AY114" s="1494" t="e">
        <f t="shared" ref="AY114:BA114" si="444">SUM(AV114,AE114)</f>
        <v>#VALUE!</v>
      </c>
      <c r="AZ114" s="1497" t="e">
        <f t="shared" si="444"/>
        <v>#VALUE!</v>
      </c>
      <c r="BA114" s="1533">
        <f t="shared" si="444"/>
        <v>2148986.37</v>
      </c>
      <c r="BB114" s="1493">
        <f t="shared" si="385"/>
        <v>0</v>
      </c>
      <c r="BC114" s="1504" t="e">
        <f t="shared" si="28"/>
        <v>#VALUE!</v>
      </c>
      <c r="BD114" s="1497" t="str">
        <f>IFERROR(VLOOKUP(G114,'MON2'!MONTENALIM,9,FALSE),"")</f>
        <v/>
      </c>
      <c r="BE114" s="1505">
        <f>IFERROR(VLOOKUP(G114,'MON2'!MONTEFC,9,FALSE),"")</f>
        <v>0</v>
      </c>
      <c r="BF114" s="1495">
        <f t="shared" si="386"/>
        <v>311610.43</v>
      </c>
      <c r="BG114" s="1497">
        <f t="shared" si="387"/>
        <v>410300.97</v>
      </c>
      <c r="BH114" s="1497">
        <f t="shared" si="388"/>
        <v>0</v>
      </c>
      <c r="BI114" s="1497">
        <f t="shared" si="389"/>
        <v>0</v>
      </c>
      <c r="BJ114" s="1497">
        <f t="shared" si="390"/>
        <v>0</v>
      </c>
    </row>
    <row r="115" spans="1:62" ht="13">
      <c r="A115" s="485" t="str">
        <f t="shared" si="375"/>
        <v>MONTENEGRO</v>
      </c>
      <c r="B115" s="1467">
        <f t="shared" si="376"/>
        <v>112014300</v>
      </c>
      <c r="C115" s="1510">
        <f t="shared" si="377"/>
        <v>22</v>
      </c>
      <c r="D115" s="1511">
        <f t="shared" si="378"/>
        <v>0.1</v>
      </c>
      <c r="E115" s="1511">
        <f t="shared" si="379"/>
        <v>0.09</v>
      </c>
      <c r="F115" s="1511">
        <f t="shared" si="380"/>
        <v>0</v>
      </c>
      <c r="G115" s="1467" t="s">
        <v>1306</v>
      </c>
      <c r="H115" s="331">
        <f t="shared" si="330"/>
        <v>0</v>
      </c>
      <c r="I115" s="1512">
        <v>1800000</v>
      </c>
      <c r="J115" s="156" t="e">
        <f t="shared" si="6"/>
        <v>#VALUE!</v>
      </c>
      <c r="K115" s="331" t="str">
        <f>IFERROR(VLOOKUP(G115,'MON2'!MONTENALIM,3,FALSE),"")</f>
        <v/>
      </c>
      <c r="L115" s="1513">
        <f>IFERROR(VLOOKUP(G115,'MON2'!MONTEFC,3,FALSE),"")</f>
        <v>634665.36</v>
      </c>
      <c r="M115" s="1514">
        <f t="shared" si="168"/>
        <v>-1165334.6400000001</v>
      </c>
      <c r="N115" s="234">
        <f t="shared" si="169"/>
        <v>0.35259186666666664</v>
      </c>
      <c r="O115" s="331">
        <f t="shared" si="409"/>
        <v>0</v>
      </c>
      <c r="P115" s="331">
        <v>1800000</v>
      </c>
      <c r="Q115" s="1515" t="e">
        <f t="shared" si="10"/>
        <v>#VALUE!</v>
      </c>
      <c r="R115" s="331" t="str">
        <f>IFERROR(VLOOKUP(G115,'MON2'!MONTENALIM,4,FALSE),"")</f>
        <v/>
      </c>
      <c r="S115" s="331">
        <f>IFERROR(VLOOKUP(G115,'MON2'!MONTEFC,4,FALSE),"")</f>
        <v>0</v>
      </c>
      <c r="T115" s="331">
        <f t="shared" si="172"/>
        <v>-1800000</v>
      </c>
      <c r="U115" s="234">
        <f t="shared" si="173"/>
        <v>0</v>
      </c>
      <c r="V115" s="331">
        <f t="shared" si="410"/>
        <v>0</v>
      </c>
      <c r="W115" s="1512">
        <v>1800000</v>
      </c>
      <c r="X115" s="1516" t="e">
        <f t="shared" si="14"/>
        <v>#VALUE!</v>
      </c>
      <c r="Y115" s="1515" t="str">
        <f>IFERROR(VLOOKUP(G115,'MON2'!MONTENALIM,5,FALSE),"")</f>
        <v/>
      </c>
      <c r="Z115" s="1517">
        <f>IFERROR(VLOOKUP(G115,'MON2'!MONTEFC,5,FALSE),"")</f>
        <v>0</v>
      </c>
      <c r="AA115" s="1514"/>
      <c r="AB115" s="331"/>
      <c r="AC115" s="1518">
        <f t="shared" si="176"/>
        <v>5400000</v>
      </c>
      <c r="AD115" s="156">
        <f t="shared" si="381"/>
        <v>2658144.61</v>
      </c>
      <c r="AE115" s="331" t="e">
        <f t="shared" si="17"/>
        <v>#VALUE!</v>
      </c>
      <c r="AF115" s="331" t="e">
        <f t="shared" ref="AF115:AG115" si="445">Y115+R115+K115</f>
        <v>#VALUE!</v>
      </c>
      <c r="AG115" s="331">
        <f t="shared" si="445"/>
        <v>634665.36</v>
      </c>
      <c r="AH115" s="331">
        <f t="shared" si="19"/>
        <v>-2023479.25</v>
      </c>
      <c r="AI115" s="1519">
        <f t="shared" si="20"/>
        <v>0.23876254046238665</v>
      </c>
      <c r="AJ115" s="1520">
        <f t="shared" si="412"/>
        <v>0</v>
      </c>
      <c r="AK115" s="156" t="e">
        <f t="shared" si="22"/>
        <v>#VALUE!</v>
      </c>
      <c r="AL115" s="1514" t="str">
        <f>IFERROR(VLOOKUP(G115,'MON2'!MONTENALIM,6,FALSE),"")</f>
        <v/>
      </c>
      <c r="AM115" s="1521">
        <f>IFERROR(VLOOKUP(G115,'MON2'!MONTEFC,6,FALSE),"")</f>
        <v>366214.32</v>
      </c>
      <c r="AN115" s="1520">
        <f t="shared" si="332"/>
        <v>0</v>
      </c>
      <c r="AO115" s="156" t="e">
        <f t="shared" si="23"/>
        <v>#VALUE!</v>
      </c>
      <c r="AP115" s="331" t="str">
        <f>IFERROR(VLOOKUP(G115,'MON2'!MONTENALIM,7,FALSE),"")</f>
        <v/>
      </c>
      <c r="AQ115" s="1513">
        <f>IFERROR(VLOOKUP(G115,'MON2'!MONTEFC,7,FALSE),"")</f>
        <v>1711737.84</v>
      </c>
      <c r="AR115" s="1514">
        <f t="shared" si="333"/>
        <v>0</v>
      </c>
      <c r="AS115" s="1514" t="e">
        <f t="shared" si="24"/>
        <v>#VALUE!</v>
      </c>
      <c r="AT115" s="1514" t="str">
        <f>IFERROR(VLOOKUP(G115,'MON2'!MONTENALIM,8,FALSE),"")</f>
        <v/>
      </c>
      <c r="AU115" s="1520">
        <f>IFERROR(VLOOKUP(G115,'MON2'!MONTEFC,8,FALSE),"")</f>
        <v>722427.1</v>
      </c>
      <c r="AV115" s="1522" t="e">
        <f t="shared" ref="AV115:AX115" si="446">SUM(AS115,AO115,AK115)</f>
        <v>#VALUE!</v>
      </c>
      <c r="AW115" s="331">
        <f t="shared" si="446"/>
        <v>0</v>
      </c>
      <c r="AX115" s="1512">
        <f t="shared" si="446"/>
        <v>2800379.26</v>
      </c>
      <c r="AY115" s="156" t="e">
        <f t="shared" ref="AY115:BA115" si="447">SUM(AV115,AE115)</f>
        <v>#VALUE!</v>
      </c>
      <c r="AZ115" s="331" t="e">
        <f t="shared" si="447"/>
        <v>#VALUE!</v>
      </c>
      <c r="BA115" s="1523">
        <f t="shared" si="447"/>
        <v>3435044.6199999996</v>
      </c>
      <c r="BB115" s="1520">
        <f t="shared" si="385"/>
        <v>0</v>
      </c>
      <c r="BC115" s="1524" t="e">
        <f t="shared" si="28"/>
        <v>#VALUE!</v>
      </c>
      <c r="BD115" s="331" t="str">
        <f>IFERROR(VLOOKUP(G115,'MON2'!MONTENALIM,9,FALSE),"")</f>
        <v/>
      </c>
      <c r="BE115" s="1525">
        <f>IFERROR(VLOOKUP(G115,'MON2'!MONTEFC,9,FALSE),"")</f>
        <v>0</v>
      </c>
      <c r="BF115" s="1514">
        <f t="shared" si="386"/>
        <v>0</v>
      </c>
      <c r="BG115" s="331">
        <f t="shared" si="387"/>
        <v>419227.04</v>
      </c>
      <c r="BH115" s="331">
        <f t="shared" si="388"/>
        <v>692382.36</v>
      </c>
      <c r="BI115" s="331">
        <f t="shared" si="389"/>
        <v>1066313.67</v>
      </c>
      <c r="BJ115" s="331">
        <f t="shared" si="390"/>
        <v>899448.58</v>
      </c>
    </row>
    <row r="116" spans="1:62" ht="13">
      <c r="A116" s="485" t="str">
        <f t="shared" si="375"/>
        <v>MONTENEGRO</v>
      </c>
      <c r="B116" s="1466">
        <f t="shared" si="376"/>
        <v>112012568</v>
      </c>
      <c r="C116" s="1527">
        <f t="shared" si="377"/>
        <v>22</v>
      </c>
      <c r="D116" s="733">
        <f t="shared" si="378"/>
        <v>0.1</v>
      </c>
      <c r="E116" s="733">
        <f t="shared" si="379"/>
        <v>0.09</v>
      </c>
      <c r="F116" s="733">
        <f t="shared" si="380"/>
        <v>0</v>
      </c>
      <c r="G116" s="1466" t="s">
        <v>1307</v>
      </c>
      <c r="H116" s="1497">
        <f t="shared" si="330"/>
        <v>0</v>
      </c>
      <c r="I116" s="1528">
        <v>1800000</v>
      </c>
      <c r="J116" s="1494" t="e">
        <f t="shared" si="6"/>
        <v>#VALUE!</v>
      </c>
      <c r="K116" s="1497" t="str">
        <f>IFERROR(VLOOKUP(G116,'MON2'!MONTENALIM,3,FALSE),"")</f>
        <v/>
      </c>
      <c r="L116" s="1498">
        <f>IFERROR(VLOOKUP(G116,'MON2'!MONTEFC,3,FALSE),"")</f>
        <v>851369.65</v>
      </c>
      <c r="M116" s="1495">
        <f t="shared" si="168"/>
        <v>-948630.35</v>
      </c>
      <c r="N116" s="1529">
        <f t="shared" si="169"/>
        <v>0.47298313888888888</v>
      </c>
      <c r="O116" s="1497">
        <f t="shared" si="409"/>
        <v>0</v>
      </c>
      <c r="P116" s="1497">
        <v>1800000</v>
      </c>
      <c r="Q116" s="1485" t="e">
        <f t="shared" si="10"/>
        <v>#VALUE!</v>
      </c>
      <c r="R116" s="1497" t="str">
        <f>IFERROR(VLOOKUP(G116,'MON2'!MONTENALIM,4,FALSE),"")</f>
        <v/>
      </c>
      <c r="S116" s="1497">
        <f>IFERROR(VLOOKUP(G116,'MON2'!MONTEFC,4,FALSE),"")</f>
        <v>96925.68</v>
      </c>
      <c r="T116" s="1497">
        <f t="shared" si="172"/>
        <v>-1703074.32</v>
      </c>
      <c r="U116" s="1529">
        <f t="shared" si="173"/>
        <v>5.3847599999999995E-2</v>
      </c>
      <c r="V116" s="1497">
        <f t="shared" si="410"/>
        <v>0</v>
      </c>
      <c r="W116" s="1528">
        <v>1800000</v>
      </c>
      <c r="X116" s="1487" t="e">
        <f t="shared" si="14"/>
        <v>#VALUE!</v>
      </c>
      <c r="Y116" s="1485" t="str">
        <f>IFERROR(VLOOKUP(G116,'MON2'!MONTENALIM,5,FALSE),"")</f>
        <v/>
      </c>
      <c r="Z116" s="1488">
        <f>IFERROR(VLOOKUP(G116,'MON2'!MONTEFC,5,FALSE),"")</f>
        <v>0</v>
      </c>
      <c r="AA116" s="1495"/>
      <c r="AB116" s="1497"/>
      <c r="AC116" s="1530">
        <f t="shared" si="176"/>
        <v>5400000</v>
      </c>
      <c r="AD116" s="1494">
        <f t="shared" si="381"/>
        <v>8171839.3600000003</v>
      </c>
      <c r="AE116" s="1497" t="e">
        <f t="shared" si="17"/>
        <v>#VALUE!</v>
      </c>
      <c r="AF116" s="1497" t="e">
        <f t="shared" ref="AF116:AG116" si="448">Y116+R116+K116</f>
        <v>#VALUE!</v>
      </c>
      <c r="AG116" s="1497">
        <f t="shared" si="448"/>
        <v>948295.33000000007</v>
      </c>
      <c r="AH116" s="1497">
        <f t="shared" si="19"/>
        <v>-7223544.0300000003</v>
      </c>
      <c r="AI116" s="1531">
        <f t="shared" si="20"/>
        <v>0.11604429409635385</v>
      </c>
      <c r="AJ116" s="1493">
        <f t="shared" si="412"/>
        <v>0</v>
      </c>
      <c r="AK116" s="1494" t="e">
        <f t="shared" si="22"/>
        <v>#VALUE!</v>
      </c>
      <c r="AL116" s="1495" t="str">
        <f>IFERROR(VLOOKUP(G116,'MON2'!MONTENALIM,6,FALSE),"")</f>
        <v/>
      </c>
      <c r="AM116" s="1496">
        <f>IFERROR(VLOOKUP(G116,'MON2'!MONTEFC,6,FALSE),"")</f>
        <v>371656.35</v>
      </c>
      <c r="AN116" s="1493">
        <f t="shared" si="332"/>
        <v>0</v>
      </c>
      <c r="AO116" s="1494" t="e">
        <f t="shared" si="23"/>
        <v>#VALUE!</v>
      </c>
      <c r="AP116" s="1497" t="str">
        <f>IFERROR(VLOOKUP(G116,'MON2'!MONTENALIM,7,FALSE),"")</f>
        <v/>
      </c>
      <c r="AQ116" s="1498">
        <f>IFERROR(VLOOKUP(G116,'MON2'!MONTEFC,7,FALSE),"")</f>
        <v>0</v>
      </c>
      <c r="AR116" s="1495">
        <f t="shared" si="333"/>
        <v>0</v>
      </c>
      <c r="AS116" s="1495" t="e">
        <f t="shared" si="24"/>
        <v>#VALUE!</v>
      </c>
      <c r="AT116" s="1495" t="str">
        <f>IFERROR(VLOOKUP(G116,'MON2'!MONTENALIM,8,FALSE),"")</f>
        <v/>
      </c>
      <c r="AU116" s="1493">
        <f>IFERROR(VLOOKUP(G116,'MON2'!MONTEFC,8,FALSE),"")</f>
        <v>0</v>
      </c>
      <c r="AV116" s="1532" t="e">
        <f t="shared" ref="AV116:AX116" si="449">SUM(AS116,AO116,AK116)</f>
        <v>#VALUE!</v>
      </c>
      <c r="AW116" s="1497">
        <f t="shared" si="449"/>
        <v>0</v>
      </c>
      <c r="AX116" s="1528">
        <f t="shared" si="449"/>
        <v>371656.35</v>
      </c>
      <c r="AY116" s="1494" t="e">
        <f t="shared" ref="AY116:BA116" si="450">SUM(AV116,AE116)</f>
        <v>#VALUE!</v>
      </c>
      <c r="AZ116" s="1497" t="e">
        <f t="shared" si="450"/>
        <v>#VALUE!</v>
      </c>
      <c r="BA116" s="1533">
        <f t="shared" si="450"/>
        <v>1319951.6800000002</v>
      </c>
      <c r="BB116" s="1493">
        <f t="shared" si="385"/>
        <v>0</v>
      </c>
      <c r="BC116" s="1504" t="e">
        <f t="shared" si="28"/>
        <v>#VALUE!</v>
      </c>
      <c r="BD116" s="1497" t="str">
        <f>IFERROR(VLOOKUP(G116,'MON2'!MONTENALIM,9,FALSE),"")</f>
        <v/>
      </c>
      <c r="BE116" s="1505">
        <f>IFERROR(VLOOKUP(G116,'MON2'!MONTEFC,9,FALSE),"")</f>
        <v>0</v>
      </c>
      <c r="BF116" s="1495">
        <f t="shared" si="386"/>
        <v>497395.57</v>
      </c>
      <c r="BG116" s="1497">
        <f t="shared" si="387"/>
        <v>0</v>
      </c>
      <c r="BH116" s="1497">
        <f t="shared" si="388"/>
        <v>0</v>
      </c>
      <c r="BI116" s="1497">
        <f t="shared" si="389"/>
        <v>8171839.3600000003</v>
      </c>
      <c r="BJ116" s="1497">
        <f t="shared" si="390"/>
        <v>0</v>
      </c>
    </row>
    <row r="117" spans="1:62" ht="13">
      <c r="A117" s="485" t="str">
        <f t="shared" si="375"/>
        <v>MONTENEGRO</v>
      </c>
      <c r="B117" s="1467">
        <f t="shared" si="376"/>
        <v>112014172</v>
      </c>
      <c r="C117" s="1510">
        <f t="shared" si="377"/>
        <v>7</v>
      </c>
      <c r="D117" s="1511">
        <f t="shared" si="378"/>
        <v>0.1</v>
      </c>
      <c r="E117" s="1511">
        <f t="shared" si="379"/>
        <v>0.2</v>
      </c>
      <c r="F117" s="1511">
        <f t="shared" si="380"/>
        <v>0</v>
      </c>
      <c r="G117" s="1467" t="s">
        <v>1284</v>
      </c>
      <c r="H117" s="331">
        <f t="shared" si="330"/>
        <v>833969.63</v>
      </c>
      <c r="I117" s="1512">
        <v>1800000</v>
      </c>
      <c r="J117" s="156">
        <f t="shared" si="6"/>
        <v>0</v>
      </c>
      <c r="K117" s="331">
        <f>IFERROR(VLOOKUP(G117,'MON2'!MONTENALIM,3,FALSE),"")</f>
        <v>794421.63</v>
      </c>
      <c r="L117" s="1513">
        <f>IFERROR(VLOOKUP(G117,'MON2'!MONTEFC,3,FALSE),"")</f>
        <v>794421.63</v>
      </c>
      <c r="M117" s="1514">
        <f t="shared" si="168"/>
        <v>-1005578.37</v>
      </c>
      <c r="N117" s="234">
        <f t="shared" si="169"/>
        <v>0.44134535000000003</v>
      </c>
      <c r="O117" s="331">
        <f t="shared" si="409"/>
        <v>920331.92</v>
      </c>
      <c r="P117" s="331">
        <v>1800000</v>
      </c>
      <c r="Q117" s="1515">
        <f t="shared" si="10"/>
        <v>0</v>
      </c>
      <c r="R117" s="331">
        <f>IFERROR(VLOOKUP(G117,'MON2'!MONTENALIM,4,FALSE),"")</f>
        <v>910033.48</v>
      </c>
      <c r="S117" s="331">
        <f>IFERROR(VLOOKUP(G117,'MON2'!MONTEFC,4,FALSE),"")</f>
        <v>910033.48</v>
      </c>
      <c r="T117" s="331">
        <f t="shared" si="172"/>
        <v>-889966.52</v>
      </c>
      <c r="U117" s="234">
        <f t="shared" si="173"/>
        <v>0.50557415555555552</v>
      </c>
      <c r="V117" s="331">
        <f t="shared" si="410"/>
        <v>230376.6</v>
      </c>
      <c r="W117" s="1512">
        <v>1800000</v>
      </c>
      <c r="X117" s="1516">
        <f t="shared" si="14"/>
        <v>0</v>
      </c>
      <c r="Y117" s="1515">
        <f>IFERROR(VLOOKUP(G117,'MON2'!MONTENALIM,5,FALSE),"")</f>
        <v>2384971.9500000002</v>
      </c>
      <c r="Z117" s="1517">
        <f>IFERROR(VLOOKUP(G117,'MON2'!MONTEFC,5,FALSE),"")</f>
        <v>2384971.9500000002</v>
      </c>
      <c r="AA117" s="1514"/>
      <c r="AB117" s="331"/>
      <c r="AC117" s="1518">
        <f t="shared" si="176"/>
        <v>5400000</v>
      </c>
      <c r="AD117" s="156">
        <f t="shared" si="381"/>
        <v>2075970.6</v>
      </c>
      <c r="AE117" s="331">
        <f t="shared" si="17"/>
        <v>0</v>
      </c>
      <c r="AF117" s="331">
        <f t="shared" ref="AF117:AG117" si="451">Y117+R117+K117</f>
        <v>4089427.06</v>
      </c>
      <c r="AG117" s="331">
        <f t="shared" si="451"/>
        <v>4089427.06</v>
      </c>
      <c r="AH117" s="331">
        <f t="shared" si="19"/>
        <v>2013456.46</v>
      </c>
      <c r="AI117" s="1519">
        <f t="shared" si="20"/>
        <v>1.9698867893408509</v>
      </c>
      <c r="AJ117" s="1520">
        <f t="shared" si="412"/>
        <v>1648731.71</v>
      </c>
      <c r="AK117" s="156">
        <f t="shared" si="22"/>
        <v>413352.65</v>
      </c>
      <c r="AL117" s="1514">
        <f>IFERROR(VLOOKUP(G117,'MON2'!MONTENALIM,6,FALSE),"")</f>
        <v>0</v>
      </c>
      <c r="AM117" s="1521">
        <f>IFERROR(VLOOKUP(G117,'MON2'!MONTEFC,6,FALSE),"")</f>
        <v>413352.65</v>
      </c>
      <c r="AN117" s="1520">
        <f t="shared" si="332"/>
        <v>1159944.28</v>
      </c>
      <c r="AO117" s="156">
        <f t="shared" si="23"/>
        <v>0</v>
      </c>
      <c r="AP117" s="331">
        <f>IFERROR(VLOOKUP(G117,'MON2'!MONTENALIM,7,FALSE),"")</f>
        <v>0</v>
      </c>
      <c r="AQ117" s="1513">
        <f>IFERROR(VLOOKUP(G117,'MON2'!MONTEFC,7,FALSE),"")</f>
        <v>0</v>
      </c>
      <c r="AR117" s="1514">
        <f t="shared" si="333"/>
        <v>127808.3</v>
      </c>
      <c r="AS117" s="1514">
        <f t="shared" si="24"/>
        <v>0</v>
      </c>
      <c r="AT117" s="1514">
        <f>IFERROR(VLOOKUP(G117,'MON2'!MONTENALIM,8,FALSE),"")</f>
        <v>1280697.71</v>
      </c>
      <c r="AU117" s="1520">
        <f>IFERROR(VLOOKUP(G117,'MON2'!MONTEFC,8,FALSE),"")</f>
        <v>1280697.71</v>
      </c>
      <c r="AV117" s="1522">
        <f t="shared" ref="AV117:AX117" si="452">SUM(AS117,AO117,AK117)</f>
        <v>413352.65</v>
      </c>
      <c r="AW117" s="331">
        <f t="shared" si="452"/>
        <v>1280697.71</v>
      </c>
      <c r="AX117" s="1512">
        <f t="shared" si="452"/>
        <v>1694050.3599999999</v>
      </c>
      <c r="AY117" s="156">
        <f t="shared" ref="AY117:BA117" si="453">SUM(AV117,AE117)</f>
        <v>413352.65</v>
      </c>
      <c r="AZ117" s="331">
        <f t="shared" si="453"/>
        <v>5370124.7699999996</v>
      </c>
      <c r="BA117" s="1523">
        <f t="shared" si="453"/>
        <v>5783477.4199999999</v>
      </c>
      <c r="BB117" s="1520">
        <f t="shared" si="385"/>
        <v>0</v>
      </c>
      <c r="BC117" s="1524">
        <f t="shared" si="28"/>
        <v>0</v>
      </c>
      <c r="BD117" s="331">
        <f>IFERROR(VLOOKUP(G117,'MON2'!MONTENALIM,9,FALSE),"")</f>
        <v>688033.74</v>
      </c>
      <c r="BE117" s="1525">
        <f>IFERROR(VLOOKUP(G117,'MON2'!MONTEFC,9,FALSE),"")</f>
        <v>688033.74</v>
      </c>
      <c r="BF117" s="1514">
        <f t="shared" si="386"/>
        <v>2035013.77</v>
      </c>
      <c r="BG117" s="331">
        <f t="shared" si="387"/>
        <v>75152.039999999994</v>
      </c>
      <c r="BH117" s="331">
        <f t="shared" si="388"/>
        <v>0</v>
      </c>
      <c r="BI117" s="331">
        <f t="shared" si="389"/>
        <v>0</v>
      </c>
      <c r="BJ117" s="331">
        <f t="shared" si="390"/>
        <v>2075970.6</v>
      </c>
    </row>
    <row r="118" spans="1:62" ht="13">
      <c r="A118" s="485" t="str">
        <f t="shared" si="375"/>
        <v>MONTENEGRO</v>
      </c>
      <c r="B118" s="1466">
        <f t="shared" si="376"/>
        <v>112013992</v>
      </c>
      <c r="C118" s="1527">
        <f t="shared" si="377"/>
        <v>22</v>
      </c>
      <c r="D118" s="733">
        <f t="shared" si="378"/>
        <v>0.1</v>
      </c>
      <c r="E118" s="733">
        <f t="shared" si="379"/>
        <v>0.09</v>
      </c>
      <c r="F118" s="733">
        <f t="shared" si="380"/>
        <v>0</v>
      </c>
      <c r="G118" s="1466" t="s">
        <v>1325</v>
      </c>
      <c r="H118" s="1497">
        <f t="shared" si="330"/>
        <v>189589.49</v>
      </c>
      <c r="I118" s="1528">
        <v>1800000</v>
      </c>
      <c r="J118" s="1494">
        <f t="shared" si="6"/>
        <v>22661009.899999999</v>
      </c>
      <c r="K118" s="1497">
        <f>IFERROR(VLOOKUP(G118,'MON2'!MONTENALIM,3,FALSE),"")</f>
        <v>0</v>
      </c>
      <c r="L118" s="1498">
        <f>IFERROR(VLOOKUP(G118,'MON2'!MONTEFC,3,FALSE),"")</f>
        <v>22661009.899999999</v>
      </c>
      <c r="M118" s="1495">
        <f t="shared" si="168"/>
        <v>20861009.899999999</v>
      </c>
      <c r="N118" s="1529">
        <f t="shared" si="169"/>
        <v>12.589449944444443</v>
      </c>
      <c r="O118" s="1497">
        <f t="shared" si="409"/>
        <v>214682.42</v>
      </c>
      <c r="P118" s="1497">
        <v>1800000</v>
      </c>
      <c r="Q118" s="1485">
        <f t="shared" si="10"/>
        <v>14822013.890000001</v>
      </c>
      <c r="R118" s="1497">
        <f>IFERROR(VLOOKUP(G118,'MON2'!MONTENALIM,4,FALSE),"")</f>
        <v>64085.75</v>
      </c>
      <c r="S118" s="1497">
        <f>IFERROR(VLOOKUP(G118,'MON2'!MONTEFC,4,FALSE),"")</f>
        <v>14886099.640000001</v>
      </c>
      <c r="T118" s="1497">
        <f t="shared" si="172"/>
        <v>13086099.640000001</v>
      </c>
      <c r="U118" s="1529">
        <f t="shared" si="173"/>
        <v>8.2700553555555558</v>
      </c>
      <c r="V118" s="1497">
        <f t="shared" si="410"/>
        <v>250064.66</v>
      </c>
      <c r="W118" s="1528">
        <v>1800000</v>
      </c>
      <c r="X118" s="1487">
        <f t="shared" si="14"/>
        <v>429488.17</v>
      </c>
      <c r="Y118" s="1485">
        <f>IFERROR(VLOOKUP(G118,'MON2'!MONTENALIM,5,FALSE),"")</f>
        <v>0</v>
      </c>
      <c r="Z118" s="1488">
        <f>IFERROR(VLOOKUP(G118,'MON2'!MONTEFC,5,FALSE),"")</f>
        <v>429488.17</v>
      </c>
      <c r="AA118" s="1495"/>
      <c r="AB118" s="1497"/>
      <c r="AC118" s="1530">
        <f t="shared" si="176"/>
        <v>5400000</v>
      </c>
      <c r="AD118" s="1494">
        <f t="shared" si="381"/>
        <v>19834483.699999999</v>
      </c>
      <c r="AE118" s="1497">
        <f t="shared" si="17"/>
        <v>37912511.960000001</v>
      </c>
      <c r="AF118" s="1497">
        <f t="shared" ref="AF118:AG118" si="454">Y118+R118+K118</f>
        <v>64085.75</v>
      </c>
      <c r="AG118" s="1497">
        <f t="shared" si="454"/>
        <v>37976597.710000001</v>
      </c>
      <c r="AH118" s="1497">
        <f t="shared" si="19"/>
        <v>18142114.010000002</v>
      </c>
      <c r="AI118" s="1531">
        <f t="shared" si="20"/>
        <v>1.9146753847694056</v>
      </c>
      <c r="AJ118" s="1493">
        <f t="shared" si="412"/>
        <v>4436080.8099999996</v>
      </c>
      <c r="AK118" s="1494">
        <f t="shared" si="22"/>
        <v>5025625.3</v>
      </c>
      <c r="AL118" s="1495">
        <f>IFERROR(VLOOKUP(G118,'MON2'!MONTENALIM,6,FALSE),"")</f>
        <v>0</v>
      </c>
      <c r="AM118" s="1496">
        <f>IFERROR(VLOOKUP(G118,'MON2'!MONTEFC,6,FALSE),"")</f>
        <v>5025625.3</v>
      </c>
      <c r="AN118" s="1493">
        <f t="shared" si="332"/>
        <v>396893.84</v>
      </c>
      <c r="AO118" s="1494">
        <f t="shared" si="23"/>
        <v>2643619.29</v>
      </c>
      <c r="AP118" s="1497">
        <f>IFERROR(VLOOKUP(G118,'MON2'!MONTENALIM,7,FALSE),"")</f>
        <v>144000.68</v>
      </c>
      <c r="AQ118" s="1498">
        <f>IFERROR(VLOOKUP(G118,'MON2'!MONTEFC,7,FALSE),"")</f>
        <v>2787619.97</v>
      </c>
      <c r="AR118" s="1495">
        <f t="shared" si="333"/>
        <v>1138832.96</v>
      </c>
      <c r="AS118" s="1495">
        <f t="shared" si="24"/>
        <v>9697083.3900000006</v>
      </c>
      <c r="AT118" s="1495">
        <f>IFERROR(VLOOKUP(G118,'MON2'!MONTENALIM,8,FALSE),"")</f>
        <v>0</v>
      </c>
      <c r="AU118" s="1493">
        <f>IFERROR(VLOOKUP(G118,'MON2'!MONTEFC,8,FALSE),"")</f>
        <v>9697083.3900000006</v>
      </c>
      <c r="AV118" s="1532">
        <f t="shared" ref="AV118:AX118" si="455">SUM(AS118,AO118,AK118)</f>
        <v>17366327.98</v>
      </c>
      <c r="AW118" s="1497">
        <f t="shared" si="455"/>
        <v>144000.68</v>
      </c>
      <c r="AX118" s="1528">
        <f t="shared" si="455"/>
        <v>17510328.66</v>
      </c>
      <c r="AY118" s="1494">
        <f t="shared" ref="AY118:BA118" si="456">SUM(AV118,AE118)</f>
        <v>55278839.939999998</v>
      </c>
      <c r="AZ118" s="1497">
        <f t="shared" si="456"/>
        <v>208086.43</v>
      </c>
      <c r="BA118" s="1533">
        <f t="shared" si="456"/>
        <v>55486926.370000005</v>
      </c>
      <c r="BB118" s="1493">
        <f t="shared" si="385"/>
        <v>259319.02</v>
      </c>
      <c r="BC118" s="1504">
        <f t="shared" si="28"/>
        <v>0</v>
      </c>
      <c r="BD118" s="1497">
        <f>IFERROR(VLOOKUP(G118,'MON2'!MONTENALIM,9,FALSE),"")</f>
        <v>0</v>
      </c>
      <c r="BE118" s="1505">
        <f>IFERROR(VLOOKUP(G118,'MON2'!MONTEFC,9,FALSE),"")</f>
        <v>0</v>
      </c>
      <c r="BF118" s="1495">
        <f t="shared" si="386"/>
        <v>758328.57</v>
      </c>
      <c r="BG118" s="1497">
        <f t="shared" si="387"/>
        <v>11553398.300000001</v>
      </c>
      <c r="BH118" s="1497">
        <f t="shared" si="388"/>
        <v>11235464.880000001</v>
      </c>
      <c r="BI118" s="1497">
        <f t="shared" si="389"/>
        <v>743400.95999999996</v>
      </c>
      <c r="BJ118" s="1497">
        <f t="shared" si="390"/>
        <v>7855617.8600000003</v>
      </c>
    </row>
    <row r="119" spans="1:62" ht="13">
      <c r="A119" s="485" t="str">
        <f t="shared" si="375"/>
        <v>MONTENEGRO</v>
      </c>
      <c r="B119" s="1467">
        <f t="shared" si="376"/>
        <v>112012507</v>
      </c>
      <c r="C119" s="1510">
        <f t="shared" si="377"/>
        <v>22</v>
      </c>
      <c r="D119" s="1511">
        <f t="shared" si="378"/>
        <v>0.1</v>
      </c>
      <c r="E119" s="1511">
        <f t="shared" si="379"/>
        <v>0.09</v>
      </c>
      <c r="F119" s="1511">
        <f t="shared" si="380"/>
        <v>0</v>
      </c>
      <c r="G119" s="1467" t="s">
        <v>1326</v>
      </c>
      <c r="H119" s="331"/>
      <c r="I119" s="1512">
        <v>1800000</v>
      </c>
      <c r="J119" s="156" t="e">
        <f t="shared" si="6"/>
        <v>#VALUE!</v>
      </c>
      <c r="K119" s="331" t="str">
        <f>IFERROR(VLOOKUP(G119,'MON2'!MONTENALIM,3,FALSE),"")</f>
        <v/>
      </c>
      <c r="L119" s="1513">
        <f>IFERROR(VLOOKUP(G119,'MON2'!MONTEFC,3,FALSE),"")</f>
        <v>0</v>
      </c>
      <c r="M119" s="1514">
        <f t="shared" si="168"/>
        <v>-1800000</v>
      </c>
      <c r="N119" s="234">
        <f t="shared" si="169"/>
        <v>0</v>
      </c>
      <c r="O119" s="331" t="str">
        <f t="shared" si="409"/>
        <v/>
      </c>
      <c r="P119" s="331">
        <v>1800000</v>
      </c>
      <c r="Q119" s="1515" t="e">
        <f t="shared" si="10"/>
        <v>#VALUE!</v>
      </c>
      <c r="R119" s="331" t="str">
        <f>IFERROR(VLOOKUP(G119,'MON2'!MONTENALIM,4,FALSE),"")</f>
        <v/>
      </c>
      <c r="S119" s="331">
        <f>IFERROR(VLOOKUP(G119,'MON2'!MONTEFC,4,FALSE),"")</f>
        <v>0</v>
      </c>
      <c r="T119" s="331">
        <f t="shared" si="172"/>
        <v>-1800000</v>
      </c>
      <c r="U119" s="234">
        <f t="shared" si="173"/>
        <v>0</v>
      </c>
      <c r="V119" s="331" t="str">
        <f t="shared" si="410"/>
        <v/>
      </c>
      <c r="W119" s="1512">
        <v>1800000</v>
      </c>
      <c r="X119" s="1516" t="e">
        <f t="shared" si="14"/>
        <v>#VALUE!</v>
      </c>
      <c r="Y119" s="1515" t="str">
        <f>IFERROR(VLOOKUP(G119,'MON2'!MONTENALIM,5,FALSE),"")</f>
        <v/>
      </c>
      <c r="Z119" s="1517">
        <f>IFERROR(VLOOKUP(G119,'MON2'!MONTEFC,5,FALSE),"")</f>
        <v>0</v>
      </c>
      <c r="AA119" s="1514"/>
      <c r="AB119" s="331"/>
      <c r="AC119" s="1518">
        <f t="shared" si="176"/>
        <v>5400000</v>
      </c>
      <c r="AD119" s="156" t="str">
        <f t="shared" si="381"/>
        <v>0</v>
      </c>
      <c r="AE119" s="331" t="e">
        <f t="shared" si="17"/>
        <v>#VALUE!</v>
      </c>
      <c r="AF119" s="331" t="e">
        <f t="shared" ref="AF119:AG119" si="457">Y119+R119+K119</f>
        <v>#VALUE!</v>
      </c>
      <c r="AG119" s="331">
        <f t="shared" si="457"/>
        <v>0</v>
      </c>
      <c r="AH119" s="331">
        <f t="shared" si="19"/>
        <v>0</v>
      </c>
      <c r="AI119" s="1519" t="str">
        <f t="shared" si="20"/>
        <v/>
      </c>
      <c r="AJ119" s="1520"/>
      <c r="AK119" s="156" t="e">
        <f t="shared" si="22"/>
        <v>#VALUE!</v>
      </c>
      <c r="AL119" s="1514" t="str">
        <f>IFERROR(VLOOKUP(G119,'MON2'!MONTENALIM,6,FALSE),"")</f>
        <v/>
      </c>
      <c r="AM119" s="1521">
        <f>IFERROR(VLOOKUP(G119,'MON2'!MONTEFC,6,FALSE),"")</f>
        <v>0</v>
      </c>
      <c r="AN119" s="1520"/>
      <c r="AO119" s="156" t="e">
        <f t="shared" si="23"/>
        <v>#VALUE!</v>
      </c>
      <c r="AP119" s="331" t="str">
        <f>IFERROR(VLOOKUP(G119,'MON2'!MONTENALIM,7,FALSE),"")</f>
        <v/>
      </c>
      <c r="AQ119" s="1513">
        <f>IFERROR(VLOOKUP(G119,'MON2'!MONTEFC,7,FALSE),"")</f>
        <v>0</v>
      </c>
      <c r="AR119" s="1514"/>
      <c r="AS119" s="1514" t="e">
        <f t="shared" si="24"/>
        <v>#VALUE!</v>
      </c>
      <c r="AT119" s="1514" t="str">
        <f>IFERROR(VLOOKUP(G119,'MON2'!MONTENALIM,8,FALSE),"")</f>
        <v/>
      </c>
      <c r="AU119" s="1520">
        <f>IFERROR(VLOOKUP(G119,'MON2'!MONTEFC,8,FALSE),"")</f>
        <v>292485.43</v>
      </c>
      <c r="AV119" s="1522" t="e">
        <f t="shared" ref="AV119:AX119" si="458">SUM(AS119,AO119,AK119)</f>
        <v>#VALUE!</v>
      </c>
      <c r="AW119" s="331">
        <f t="shared" si="458"/>
        <v>0</v>
      </c>
      <c r="AX119" s="1512">
        <f t="shared" si="458"/>
        <v>292485.43</v>
      </c>
      <c r="AY119" s="156" t="e">
        <f t="shared" ref="AY119:BA119" si="459">SUM(AV119,AE119)</f>
        <v>#VALUE!</v>
      </c>
      <c r="AZ119" s="331" t="e">
        <f t="shared" si="459"/>
        <v>#VALUE!</v>
      </c>
      <c r="BA119" s="1523">
        <f t="shared" si="459"/>
        <v>292485.43</v>
      </c>
      <c r="BB119" s="1520" t="str">
        <f t="shared" si="385"/>
        <v/>
      </c>
      <c r="BC119" s="1524" t="e">
        <f t="shared" si="28"/>
        <v>#VALUE!</v>
      </c>
      <c r="BD119" s="331" t="str">
        <f>IFERROR(VLOOKUP(G119,'MON2'!MONTENALIM,9,FALSE),"")</f>
        <v/>
      </c>
      <c r="BE119" s="1525">
        <f>IFERROR(VLOOKUP(G119,'MON2'!MONTEFC,9,FALSE),"")</f>
        <v>0</v>
      </c>
      <c r="BF119" s="1514" t="str">
        <f t="shared" si="386"/>
        <v/>
      </c>
      <c r="BG119" s="331" t="str">
        <f t="shared" si="387"/>
        <v/>
      </c>
      <c r="BH119" s="331" t="str">
        <f t="shared" si="388"/>
        <v/>
      </c>
      <c r="BI119" s="331" t="str">
        <f t="shared" si="389"/>
        <v/>
      </c>
      <c r="BJ119" s="331" t="str">
        <f t="shared" si="390"/>
        <v/>
      </c>
    </row>
    <row r="120" spans="1:62" ht="13">
      <c r="A120" s="485" t="str">
        <f t="shared" si="375"/>
        <v>MONTENEGRO</v>
      </c>
      <c r="B120" s="1466">
        <f t="shared" si="376"/>
        <v>112014456</v>
      </c>
      <c r="C120" s="1527">
        <f t="shared" si="377"/>
        <v>22</v>
      </c>
      <c r="D120" s="733">
        <f t="shared" si="378"/>
        <v>0.1</v>
      </c>
      <c r="E120" s="733">
        <f t="shared" si="379"/>
        <v>0.09</v>
      </c>
      <c r="F120" s="733">
        <f t="shared" si="380"/>
        <v>0</v>
      </c>
      <c r="G120" s="1466" t="s">
        <v>1343</v>
      </c>
      <c r="H120" s="1497">
        <f t="shared" ref="H120:H129" si="460">IFERROR(VLOOKUP(G120,MONTE24,3,FALSE),"")</f>
        <v>0</v>
      </c>
      <c r="I120" s="1528">
        <v>1800000</v>
      </c>
      <c r="J120" s="1494" t="e">
        <f t="shared" si="6"/>
        <v>#VALUE!</v>
      </c>
      <c r="K120" s="1497" t="str">
        <f>IFERROR(VLOOKUP(G120,'MON2'!MONTENALIM,3,FALSE),"")</f>
        <v/>
      </c>
      <c r="L120" s="1498">
        <f>IFERROR(VLOOKUP(G120,'MON2'!MONTEFC,3,FALSE),"")</f>
        <v>152242.25</v>
      </c>
      <c r="M120" s="1495">
        <f t="shared" si="168"/>
        <v>-1647757.75</v>
      </c>
      <c r="N120" s="1529">
        <f t="shared" si="169"/>
        <v>8.4579027777777774E-2</v>
      </c>
      <c r="O120" s="1497">
        <f t="shared" si="409"/>
        <v>0</v>
      </c>
      <c r="P120" s="1497">
        <v>1800000</v>
      </c>
      <c r="Q120" s="1485" t="e">
        <f t="shared" si="10"/>
        <v>#VALUE!</v>
      </c>
      <c r="R120" s="1497" t="str">
        <f>IFERROR(VLOOKUP(G120,'MON2'!MONTENALIM,4,FALSE),"")</f>
        <v/>
      </c>
      <c r="S120" s="1497">
        <f>IFERROR(VLOOKUP(G120,'MON2'!MONTEFC,4,FALSE),"")</f>
        <v>0</v>
      </c>
      <c r="T120" s="1497">
        <f t="shared" si="172"/>
        <v>-1800000</v>
      </c>
      <c r="U120" s="1529">
        <f t="shared" si="173"/>
        <v>0</v>
      </c>
      <c r="V120" s="1497">
        <f t="shared" si="410"/>
        <v>0</v>
      </c>
      <c r="W120" s="1528">
        <v>1800000</v>
      </c>
      <c r="X120" s="1487" t="e">
        <f t="shared" si="14"/>
        <v>#VALUE!</v>
      </c>
      <c r="Y120" s="1485" t="str">
        <f>IFERROR(VLOOKUP(G120,'MON2'!MONTENALIM,5,FALSE),"")</f>
        <v/>
      </c>
      <c r="Z120" s="1488">
        <f>IFERROR(VLOOKUP(G120,'MON2'!MONTEFC,5,FALSE),"")</f>
        <v>0</v>
      </c>
      <c r="AA120" s="1495"/>
      <c r="AB120" s="1497"/>
      <c r="AC120" s="1530">
        <f t="shared" si="176"/>
        <v>5400000</v>
      </c>
      <c r="AD120" s="1494" t="str">
        <f t="shared" si="381"/>
        <v>0</v>
      </c>
      <c r="AE120" s="1497" t="e">
        <f t="shared" si="17"/>
        <v>#VALUE!</v>
      </c>
      <c r="AF120" s="1497" t="e">
        <f t="shared" ref="AF120:AG120" si="461">Y120+R120+K120</f>
        <v>#VALUE!</v>
      </c>
      <c r="AG120" s="1497">
        <f t="shared" si="461"/>
        <v>152242.25</v>
      </c>
      <c r="AH120" s="1497">
        <f t="shared" si="19"/>
        <v>152242.25</v>
      </c>
      <c r="AI120" s="1531" t="str">
        <f t="shared" si="20"/>
        <v/>
      </c>
      <c r="AJ120" s="1493">
        <f t="shared" ref="AJ120:AJ129" si="462">IFERROR(VLOOKUP(G120,MONTE24,6,FALSE),"")</f>
        <v>0</v>
      </c>
      <c r="AK120" s="1494" t="e">
        <f t="shared" si="22"/>
        <v>#VALUE!</v>
      </c>
      <c r="AL120" s="1495" t="str">
        <f>IFERROR(VLOOKUP(G120,'MON2'!MONTENALIM,6,FALSE),"")</f>
        <v/>
      </c>
      <c r="AM120" s="1496">
        <f>IFERROR(VLOOKUP(G120,'MON2'!MONTEFC,6,FALSE),"")</f>
        <v>884203.99</v>
      </c>
      <c r="AN120" s="1493">
        <f t="shared" ref="AN120:AN129" si="463">IFERROR(VLOOKUP(G120,MONTE24,7,FALSE),"")</f>
        <v>0</v>
      </c>
      <c r="AO120" s="1494" t="e">
        <f t="shared" si="23"/>
        <v>#VALUE!</v>
      </c>
      <c r="AP120" s="1497" t="str">
        <f>IFERROR(VLOOKUP(G120,'MON2'!MONTENALIM,7,FALSE),"")</f>
        <v/>
      </c>
      <c r="AQ120" s="1498">
        <f>IFERROR(VLOOKUP(G120,'MON2'!MONTEFC,7,FALSE),"")</f>
        <v>0</v>
      </c>
      <c r="AR120" s="1495">
        <f t="shared" ref="AR120:AR129" si="464">IFERROR(VLOOKUP(G120,MONTE24,8,FALSE),"")</f>
        <v>11138143.77</v>
      </c>
      <c r="AS120" s="1495" t="e">
        <f t="shared" si="24"/>
        <v>#VALUE!</v>
      </c>
      <c r="AT120" s="1495" t="str">
        <f>IFERROR(VLOOKUP(G120,'MON2'!MONTENALIM,8,FALSE),"")</f>
        <v/>
      </c>
      <c r="AU120" s="1493">
        <f>IFERROR(VLOOKUP(G120,'MON2'!MONTEFC,8,FALSE),"")</f>
        <v>0</v>
      </c>
      <c r="AV120" s="1532" t="e">
        <f t="shared" ref="AV120:AX120" si="465">SUM(AS120,AO120,AK120)</f>
        <v>#VALUE!</v>
      </c>
      <c r="AW120" s="1497">
        <f t="shared" si="465"/>
        <v>0</v>
      </c>
      <c r="AX120" s="1528">
        <f t="shared" si="465"/>
        <v>884203.99</v>
      </c>
      <c r="AY120" s="1494" t="e">
        <f t="shared" ref="AY120:BA120" si="466">SUM(AV120,AE120)</f>
        <v>#VALUE!</v>
      </c>
      <c r="AZ120" s="1497" t="e">
        <f t="shared" si="466"/>
        <v>#VALUE!</v>
      </c>
      <c r="BA120" s="1533">
        <f t="shared" si="466"/>
        <v>1036446.24</v>
      </c>
      <c r="BB120" s="1493">
        <f t="shared" si="385"/>
        <v>0</v>
      </c>
      <c r="BC120" s="1504" t="e">
        <f t="shared" si="28"/>
        <v>#VALUE!</v>
      </c>
      <c r="BD120" s="1497" t="str">
        <f>IFERROR(VLOOKUP(G120,'MON2'!MONTENALIM,9,FALSE),"")</f>
        <v/>
      </c>
      <c r="BE120" s="1505">
        <f>IFERROR(VLOOKUP(G120,'MON2'!MONTEFC,9,FALSE),"")</f>
        <v>0</v>
      </c>
      <c r="BF120" s="1495">
        <f t="shared" si="386"/>
        <v>65180.7</v>
      </c>
      <c r="BG120" s="1497">
        <f t="shared" si="387"/>
        <v>8569.1299999999992</v>
      </c>
      <c r="BH120" s="1497">
        <f t="shared" si="388"/>
        <v>0</v>
      </c>
      <c r="BI120" s="1497">
        <f t="shared" si="389"/>
        <v>0</v>
      </c>
      <c r="BJ120" s="1497">
        <f t="shared" si="390"/>
        <v>0</v>
      </c>
    </row>
    <row r="121" spans="1:62" ht="13">
      <c r="A121" s="485" t="str">
        <f t="shared" si="375"/>
        <v>MONTENEGRO</v>
      </c>
      <c r="B121" s="1467">
        <f t="shared" si="376"/>
        <v>112010112</v>
      </c>
      <c r="C121" s="1510">
        <f t="shared" si="377"/>
        <v>22</v>
      </c>
      <c r="D121" s="1511">
        <f t="shared" si="378"/>
        <v>0.1</v>
      </c>
      <c r="E121" s="1511">
        <f t="shared" si="379"/>
        <v>0.09</v>
      </c>
      <c r="F121" s="1511">
        <f t="shared" si="380"/>
        <v>0</v>
      </c>
      <c r="G121" s="1467" t="s">
        <v>1327</v>
      </c>
      <c r="H121" s="331">
        <f t="shared" si="460"/>
        <v>0</v>
      </c>
      <c r="I121" s="1512">
        <v>1800000</v>
      </c>
      <c r="J121" s="156" t="e">
        <f t="shared" si="6"/>
        <v>#VALUE!</v>
      </c>
      <c r="K121" s="331" t="str">
        <f>IFERROR(VLOOKUP(G121,'MON2'!MONTENALIM,3,FALSE),"")</f>
        <v/>
      </c>
      <c r="L121" s="1513">
        <f>IFERROR(VLOOKUP(G121,'MON2'!MONTEFC,3,FALSE),"")</f>
        <v>0</v>
      </c>
      <c r="M121" s="1514">
        <f t="shared" si="168"/>
        <v>-1800000</v>
      </c>
      <c r="N121" s="234">
        <f t="shared" si="169"/>
        <v>0</v>
      </c>
      <c r="O121" s="331">
        <f t="shared" si="409"/>
        <v>0</v>
      </c>
      <c r="P121" s="331">
        <v>1800000</v>
      </c>
      <c r="Q121" s="1515" t="e">
        <f t="shared" si="10"/>
        <v>#VALUE!</v>
      </c>
      <c r="R121" s="331" t="str">
        <f>IFERROR(VLOOKUP(G121,'MON2'!MONTENALIM,4,FALSE),"")</f>
        <v/>
      </c>
      <c r="S121" s="331">
        <f>IFERROR(VLOOKUP(G121,'MON2'!MONTEFC,4,FALSE),"")</f>
        <v>522418.22</v>
      </c>
      <c r="T121" s="331">
        <f t="shared" si="172"/>
        <v>-1277581.78</v>
      </c>
      <c r="U121" s="234">
        <f t="shared" si="173"/>
        <v>0.29023234444444446</v>
      </c>
      <c r="V121" s="331">
        <f t="shared" si="410"/>
        <v>0</v>
      </c>
      <c r="W121" s="1512">
        <v>1800000</v>
      </c>
      <c r="X121" s="1516" t="e">
        <f t="shared" si="14"/>
        <v>#VALUE!</v>
      </c>
      <c r="Y121" s="1515" t="str">
        <f>IFERROR(VLOOKUP(G121,'MON2'!MONTENALIM,5,FALSE),"")</f>
        <v/>
      </c>
      <c r="Z121" s="1517">
        <f>IFERROR(VLOOKUP(G121,'MON2'!MONTEFC,5,FALSE),"")</f>
        <v>785550.44</v>
      </c>
      <c r="AA121" s="1514"/>
      <c r="AB121" s="331"/>
      <c r="AC121" s="1518">
        <f t="shared" si="176"/>
        <v>5400000</v>
      </c>
      <c r="AD121" s="156">
        <f t="shared" si="381"/>
        <v>3019841.53</v>
      </c>
      <c r="AE121" s="331" t="e">
        <f t="shared" si="17"/>
        <v>#VALUE!</v>
      </c>
      <c r="AF121" s="331" t="e">
        <f t="shared" ref="AF121:AG121" si="467">Y121+R121+K121</f>
        <v>#VALUE!</v>
      </c>
      <c r="AG121" s="331">
        <f t="shared" si="467"/>
        <v>1307968.6599999999</v>
      </c>
      <c r="AH121" s="331">
        <f t="shared" si="19"/>
        <v>-1711872.8699999999</v>
      </c>
      <c r="AI121" s="1519">
        <f t="shared" si="20"/>
        <v>0.43312493288348147</v>
      </c>
      <c r="AJ121" s="1520">
        <f t="shared" si="462"/>
        <v>0</v>
      </c>
      <c r="AK121" s="156" t="e">
        <f t="shared" si="22"/>
        <v>#VALUE!</v>
      </c>
      <c r="AL121" s="1514" t="str">
        <f>IFERROR(VLOOKUP(G121,'MON2'!MONTENALIM,6,FALSE),"")</f>
        <v/>
      </c>
      <c r="AM121" s="1521">
        <f>IFERROR(VLOOKUP(G121,'MON2'!MONTEFC,6,FALSE),"")</f>
        <v>0</v>
      </c>
      <c r="AN121" s="1520">
        <f t="shared" si="463"/>
        <v>0</v>
      </c>
      <c r="AO121" s="156" t="e">
        <f t="shared" si="23"/>
        <v>#VALUE!</v>
      </c>
      <c r="AP121" s="331" t="str">
        <f>IFERROR(VLOOKUP(G121,'MON2'!MONTENALIM,7,FALSE),"")</f>
        <v/>
      </c>
      <c r="AQ121" s="1513">
        <f>IFERROR(VLOOKUP(G121,'MON2'!MONTEFC,7,FALSE),"")</f>
        <v>0</v>
      </c>
      <c r="AR121" s="1514">
        <f t="shared" si="464"/>
        <v>0</v>
      </c>
      <c r="AS121" s="1514" t="e">
        <f t="shared" si="24"/>
        <v>#VALUE!</v>
      </c>
      <c r="AT121" s="1514" t="str">
        <f>IFERROR(VLOOKUP(G121,'MON2'!MONTENALIM,8,FALSE),"")</f>
        <v/>
      </c>
      <c r="AU121" s="1520">
        <f>IFERROR(VLOOKUP(G121,'MON2'!MONTEFC,8,FALSE),"")</f>
        <v>906557.02</v>
      </c>
      <c r="AV121" s="1522" t="e">
        <f t="shared" ref="AV121:AX121" si="468">SUM(AS121,AO121,AK121)</f>
        <v>#VALUE!</v>
      </c>
      <c r="AW121" s="331">
        <f t="shared" si="468"/>
        <v>0</v>
      </c>
      <c r="AX121" s="1512">
        <f t="shared" si="468"/>
        <v>906557.02</v>
      </c>
      <c r="AY121" s="156" t="e">
        <f t="shared" ref="AY121:BA121" si="469">SUM(AV121,AE121)</f>
        <v>#VALUE!</v>
      </c>
      <c r="AZ121" s="331" t="e">
        <f t="shared" si="469"/>
        <v>#VALUE!</v>
      </c>
      <c r="BA121" s="1523">
        <f t="shared" si="469"/>
        <v>2214525.6799999997</v>
      </c>
      <c r="BB121" s="1520">
        <f t="shared" si="385"/>
        <v>0</v>
      </c>
      <c r="BC121" s="1524" t="e">
        <f t="shared" si="28"/>
        <v>#VALUE!</v>
      </c>
      <c r="BD121" s="331" t="str">
        <f>IFERROR(VLOOKUP(G121,'MON2'!MONTENALIM,9,FALSE),"")</f>
        <v/>
      </c>
      <c r="BE121" s="1525">
        <f>IFERROR(VLOOKUP(G121,'MON2'!MONTEFC,9,FALSE),"")</f>
        <v>0</v>
      </c>
      <c r="BF121" s="1514">
        <f t="shared" si="386"/>
        <v>0</v>
      </c>
      <c r="BG121" s="331">
        <f t="shared" si="387"/>
        <v>1846054.67</v>
      </c>
      <c r="BH121" s="331">
        <f t="shared" si="388"/>
        <v>1289165.4099999999</v>
      </c>
      <c r="BI121" s="331">
        <f t="shared" si="389"/>
        <v>-40902.839999999997</v>
      </c>
      <c r="BJ121" s="331">
        <f t="shared" si="390"/>
        <v>1771578.96</v>
      </c>
    </row>
    <row r="122" spans="1:62" ht="13">
      <c r="A122" s="485" t="str">
        <f t="shared" si="375"/>
        <v>MONTENEGRO</v>
      </c>
      <c r="B122" s="1466">
        <f t="shared" si="376"/>
        <v>112013571</v>
      </c>
      <c r="C122" s="1527">
        <f t="shared" si="377"/>
        <v>22</v>
      </c>
      <c r="D122" s="733">
        <f t="shared" si="378"/>
        <v>0.1</v>
      </c>
      <c r="E122" s="733">
        <f t="shared" si="379"/>
        <v>0.09</v>
      </c>
      <c r="F122" s="733">
        <f t="shared" si="380"/>
        <v>0</v>
      </c>
      <c r="G122" s="1466" t="s">
        <v>1388</v>
      </c>
      <c r="H122" s="1497" t="str">
        <f t="shared" si="460"/>
        <v/>
      </c>
      <c r="I122" s="1486">
        <v>1800000</v>
      </c>
      <c r="J122" s="1494" t="e">
        <f t="shared" si="6"/>
        <v>#VALUE!</v>
      </c>
      <c r="K122" s="1497" t="str">
        <f>IFERROR(VLOOKUP(G122,'MON2'!MONTENALIM,3,FALSE),"")</f>
        <v/>
      </c>
      <c r="L122" s="1498">
        <f>IFERROR(VLOOKUP(G122,'MON2'!MONTEFC,3,FALSE),"")</f>
        <v>0</v>
      </c>
      <c r="M122" s="1495">
        <f t="shared" si="168"/>
        <v>-1800000</v>
      </c>
      <c r="N122" s="1529">
        <f t="shared" si="169"/>
        <v>0</v>
      </c>
      <c r="O122" s="1497" t="str">
        <f t="shared" si="409"/>
        <v/>
      </c>
      <c r="P122" s="1485">
        <v>1800000</v>
      </c>
      <c r="Q122" s="1485" t="e">
        <f t="shared" si="10"/>
        <v>#VALUE!</v>
      </c>
      <c r="R122" s="1497" t="str">
        <f>IFERROR(VLOOKUP(G122,'MON2'!MONTENALIM,4,FALSE),"")</f>
        <v/>
      </c>
      <c r="S122" s="1497">
        <f>IFERROR(VLOOKUP(G122,'MON2'!MONTEFC,4,FALSE),"")</f>
        <v>791746.15</v>
      </c>
      <c r="T122" s="1497">
        <f t="shared" si="172"/>
        <v>-1008253.85</v>
      </c>
      <c r="U122" s="1529">
        <f t="shared" si="173"/>
        <v>0.43985897222222226</v>
      </c>
      <c r="V122" s="1497" t="str">
        <f t="shared" si="410"/>
        <v/>
      </c>
      <c r="W122" s="1486">
        <v>1800000</v>
      </c>
      <c r="X122" s="1487" t="e">
        <f t="shared" si="14"/>
        <v>#VALUE!</v>
      </c>
      <c r="Y122" s="1485" t="str">
        <f>IFERROR(VLOOKUP(G122,'MON2'!MONTENALIM,5,FALSE),"")</f>
        <v/>
      </c>
      <c r="Z122" s="1488">
        <f>IFERROR(VLOOKUP(G122,'MON2'!MONTEFC,5,FALSE),"")</f>
        <v>0</v>
      </c>
      <c r="AA122" s="1489"/>
      <c r="AB122" s="1485"/>
      <c r="AC122" s="1530">
        <f t="shared" si="176"/>
        <v>5400000</v>
      </c>
      <c r="AD122" s="1494">
        <f t="shared" si="381"/>
        <v>1246824.97</v>
      </c>
      <c r="AE122" s="1497" t="e">
        <f t="shared" si="17"/>
        <v>#VALUE!</v>
      </c>
      <c r="AF122" s="1497" t="e">
        <f t="shared" ref="AF122:AG122" si="470">Y122+R122+K122</f>
        <v>#VALUE!</v>
      </c>
      <c r="AG122" s="1497">
        <f t="shared" si="470"/>
        <v>791746.15</v>
      </c>
      <c r="AH122" s="1497">
        <f t="shared" si="19"/>
        <v>-455078.81999999995</v>
      </c>
      <c r="AI122" s="1531">
        <f t="shared" si="20"/>
        <v>0.63500986028536155</v>
      </c>
      <c r="AJ122" s="1493" t="str">
        <f t="shared" si="462"/>
        <v/>
      </c>
      <c r="AK122" s="1494" t="e">
        <f t="shared" si="22"/>
        <v>#VALUE!</v>
      </c>
      <c r="AL122" s="1495" t="str">
        <f>IFERROR(VLOOKUP(G122,'MON2'!MONTENALIM,6,FALSE),"")</f>
        <v/>
      </c>
      <c r="AM122" s="1496">
        <f>IFERROR(VLOOKUP(G122,'MON2'!MONTEFC,6,FALSE),"")</f>
        <v>785707.96</v>
      </c>
      <c r="AN122" s="1493" t="str">
        <f t="shared" si="463"/>
        <v/>
      </c>
      <c r="AO122" s="1494" t="e">
        <f t="shared" si="23"/>
        <v>#VALUE!</v>
      </c>
      <c r="AP122" s="1497" t="str">
        <f>IFERROR(VLOOKUP(G122,'MON2'!MONTENALIM,7,FALSE),"")</f>
        <v/>
      </c>
      <c r="AQ122" s="1498">
        <f>IFERROR(VLOOKUP(G122,'MON2'!MONTEFC,7,FALSE),"")</f>
        <v>94696.78</v>
      </c>
      <c r="AR122" s="1495" t="str">
        <f t="shared" si="464"/>
        <v/>
      </c>
      <c r="AS122" s="1495" t="e">
        <f t="shared" si="24"/>
        <v>#VALUE!</v>
      </c>
      <c r="AT122" s="1495" t="str">
        <f>IFERROR(VLOOKUP(G122,'MON2'!MONTENALIM,8,FALSE),"")</f>
        <v/>
      </c>
      <c r="AU122" s="1493">
        <f>IFERROR(VLOOKUP(G122,'MON2'!MONTEFC,8,FALSE),"")</f>
        <v>385983.67</v>
      </c>
      <c r="AV122" s="1532" t="e">
        <f t="shared" ref="AV122:AX122" si="471">SUM(AS122,AO122,AK122)</f>
        <v>#VALUE!</v>
      </c>
      <c r="AW122" s="1497">
        <f t="shared" si="471"/>
        <v>0</v>
      </c>
      <c r="AX122" s="1528">
        <f t="shared" si="471"/>
        <v>1266388.4099999999</v>
      </c>
      <c r="AY122" s="1494" t="e">
        <f t="shared" ref="AY122:BA122" si="472">SUM(AV122,AE122)</f>
        <v>#VALUE!</v>
      </c>
      <c r="AZ122" s="1497" t="e">
        <f t="shared" si="472"/>
        <v>#VALUE!</v>
      </c>
      <c r="BA122" s="1533">
        <f t="shared" si="472"/>
        <v>2058134.56</v>
      </c>
      <c r="BB122" s="1493" t="str">
        <f t="shared" si="385"/>
        <v/>
      </c>
      <c r="BC122" s="1504" t="e">
        <f t="shared" si="28"/>
        <v>#VALUE!</v>
      </c>
      <c r="BD122" s="1497" t="str">
        <f>IFERROR(VLOOKUP(G122,'MON2'!MONTENALIM,9,FALSE),"")</f>
        <v/>
      </c>
      <c r="BE122" s="1505">
        <f>IFERROR(VLOOKUP(G122,'MON2'!MONTEFC,9,FALSE),"")</f>
        <v>552459.4</v>
      </c>
      <c r="BF122" s="1495" t="str">
        <f t="shared" si="386"/>
        <v/>
      </c>
      <c r="BG122" s="1497" t="str">
        <f t="shared" si="387"/>
        <v/>
      </c>
      <c r="BH122" s="1497" t="str">
        <f t="shared" si="388"/>
        <v/>
      </c>
      <c r="BI122" s="1497" t="str">
        <f t="shared" si="389"/>
        <v/>
      </c>
      <c r="BJ122" s="1497" t="str">
        <f t="shared" si="390"/>
        <v/>
      </c>
    </row>
    <row r="123" spans="1:62" ht="13">
      <c r="A123" s="485" t="str">
        <f t="shared" si="375"/>
        <v>MONTENEGRO</v>
      </c>
      <c r="B123" s="1467">
        <f t="shared" si="376"/>
        <v>112013731</v>
      </c>
      <c r="C123" s="1510">
        <f t="shared" si="377"/>
        <v>20</v>
      </c>
      <c r="D123" s="1511">
        <f t="shared" si="378"/>
        <v>0.05</v>
      </c>
      <c r="E123" s="1511">
        <f t="shared" si="379"/>
        <v>0.09</v>
      </c>
      <c r="F123" s="1511">
        <f t="shared" si="380"/>
        <v>0</v>
      </c>
      <c r="G123" s="1467" t="s">
        <v>1345</v>
      </c>
      <c r="H123" s="331">
        <f t="shared" si="460"/>
        <v>322712.13</v>
      </c>
      <c r="I123" s="1547">
        <v>1500000</v>
      </c>
      <c r="J123" s="156">
        <f t="shared" si="6"/>
        <v>74032.200000000012</v>
      </c>
      <c r="K123" s="331">
        <f>IFERROR(VLOOKUP(G123,'MON2'!MONTENALIM,3,FALSE),"")</f>
        <v>34971.32</v>
      </c>
      <c r="L123" s="1513">
        <f>IFERROR(VLOOKUP(G123,'MON2'!MONTEFC,3,FALSE),"")</f>
        <v>109003.52</v>
      </c>
      <c r="M123" s="1514">
        <f t="shared" si="168"/>
        <v>-1390996.48</v>
      </c>
      <c r="N123" s="234">
        <f t="shared" si="169"/>
        <v>7.2669013333333338E-2</v>
      </c>
      <c r="O123" s="331">
        <f t="shared" si="409"/>
        <v>108798.16</v>
      </c>
      <c r="P123" s="1515">
        <v>1500000</v>
      </c>
      <c r="Q123" s="1515">
        <f t="shared" si="10"/>
        <v>116328.50000000001</v>
      </c>
      <c r="R123" s="331">
        <f>IFERROR(VLOOKUP(G123,'MON2'!MONTENALIM,4,FALSE),"")</f>
        <v>69942.64</v>
      </c>
      <c r="S123" s="331">
        <f>IFERROR(VLOOKUP(G123,'MON2'!MONTEFC,4,FALSE),"")</f>
        <v>186271.14</v>
      </c>
      <c r="T123" s="331">
        <f t="shared" si="172"/>
        <v>-1313728.8599999999</v>
      </c>
      <c r="U123" s="234">
        <f t="shared" si="173"/>
        <v>0.12418076000000002</v>
      </c>
      <c r="V123" s="331">
        <f t="shared" si="410"/>
        <v>81399.75</v>
      </c>
      <c r="W123" s="1547">
        <v>1500000</v>
      </c>
      <c r="X123" s="1516">
        <f t="shared" si="14"/>
        <v>18572.5</v>
      </c>
      <c r="Y123" s="1515">
        <f>IFERROR(VLOOKUP(G123,'MON2'!MONTENALIM,5,FALSE),"")</f>
        <v>74838.62</v>
      </c>
      <c r="Z123" s="1517">
        <f>IFERROR(VLOOKUP(G123,'MON2'!MONTEFC,5,FALSE),"")</f>
        <v>93411.12</v>
      </c>
      <c r="AA123" s="1548"/>
      <c r="AB123" s="1515"/>
      <c r="AC123" s="1518">
        <f t="shared" si="176"/>
        <v>4500000</v>
      </c>
      <c r="AD123" s="156">
        <f t="shared" si="381"/>
        <v>586784.35</v>
      </c>
      <c r="AE123" s="331">
        <f t="shared" si="17"/>
        <v>208933.2</v>
      </c>
      <c r="AF123" s="331">
        <f t="shared" ref="AF123:AG123" si="473">Y123+R123+K123</f>
        <v>179752.58000000002</v>
      </c>
      <c r="AG123" s="331">
        <f t="shared" si="473"/>
        <v>388685.78</v>
      </c>
      <c r="AH123" s="331">
        <f t="shared" si="19"/>
        <v>-198098.56999999995</v>
      </c>
      <c r="AI123" s="1519">
        <f t="shared" si="20"/>
        <v>0.66239970442292817</v>
      </c>
      <c r="AJ123" s="1520">
        <f t="shared" si="462"/>
        <v>50831.65</v>
      </c>
      <c r="AK123" s="156">
        <f t="shared" si="22"/>
        <v>15940.580000000002</v>
      </c>
      <c r="AL123" s="1514">
        <f>IFERROR(VLOOKUP(G123,'MON2'!MONTENALIM,6,FALSE),"")</f>
        <v>39290.269999999997</v>
      </c>
      <c r="AM123" s="1521">
        <f>IFERROR(VLOOKUP(G123,'MON2'!MONTEFC,6,FALSE),"")</f>
        <v>55230.85</v>
      </c>
      <c r="AN123" s="1520">
        <f t="shared" si="463"/>
        <v>41330.129999999997</v>
      </c>
      <c r="AO123" s="156">
        <f t="shared" si="23"/>
        <v>71168.75</v>
      </c>
      <c r="AP123" s="331">
        <f>IFERROR(VLOOKUP(G123,'MON2'!MONTENALIM,7,FALSE),"")</f>
        <v>157161.1</v>
      </c>
      <c r="AQ123" s="1513">
        <f>IFERROR(VLOOKUP(G123,'MON2'!MONTEFC,7,FALSE),"")</f>
        <v>228329.85</v>
      </c>
      <c r="AR123" s="1514">
        <f t="shared" si="464"/>
        <v>235668.97</v>
      </c>
      <c r="AS123" s="1514">
        <f t="shared" si="24"/>
        <v>20437.78</v>
      </c>
      <c r="AT123" s="1514">
        <f>IFERROR(VLOOKUP(G123,'MON2'!MONTENALIM,8,FALSE),"")</f>
        <v>117870.82</v>
      </c>
      <c r="AU123" s="1520">
        <f>IFERROR(VLOOKUP(G123,'MON2'!MONTEFC,8,FALSE),"")</f>
        <v>138308.6</v>
      </c>
      <c r="AV123" s="1522">
        <f t="shared" ref="AV123:AX123" si="474">SUM(AS123,AO123,AK123)</f>
        <v>107547.11</v>
      </c>
      <c r="AW123" s="331">
        <f t="shared" si="474"/>
        <v>314322.19000000006</v>
      </c>
      <c r="AX123" s="1512">
        <f t="shared" si="474"/>
        <v>421869.3</v>
      </c>
      <c r="AY123" s="156">
        <f t="shared" ref="AY123:BA123" si="475">SUM(AV123,AE123)</f>
        <v>316480.31</v>
      </c>
      <c r="AZ123" s="331">
        <f t="shared" si="475"/>
        <v>494074.77000000008</v>
      </c>
      <c r="BA123" s="1523">
        <f t="shared" si="475"/>
        <v>810555.08000000007</v>
      </c>
      <c r="BB123" s="1520">
        <f t="shared" si="385"/>
        <v>224005.23</v>
      </c>
      <c r="BC123" s="1524">
        <f t="shared" si="28"/>
        <v>0</v>
      </c>
      <c r="BD123" s="331">
        <f>IFERROR(VLOOKUP(G123,'MON2'!MONTENALIM,9,FALSE),"")</f>
        <v>78580.55</v>
      </c>
      <c r="BE123" s="1525">
        <f>IFERROR(VLOOKUP(G123,'MON2'!MONTEFC,9,FALSE),"")</f>
        <v>78580.55</v>
      </c>
      <c r="BF123" s="1514">
        <f t="shared" si="386"/>
        <v>338823.23</v>
      </c>
      <c r="BG123" s="331">
        <f t="shared" si="387"/>
        <v>109298.87</v>
      </c>
      <c r="BH123" s="331">
        <f t="shared" si="388"/>
        <v>213367.67999999999</v>
      </c>
      <c r="BI123" s="331">
        <f t="shared" si="389"/>
        <v>196613.3</v>
      </c>
      <c r="BJ123" s="331">
        <f t="shared" si="390"/>
        <v>176803.38</v>
      </c>
    </row>
    <row r="124" spans="1:62" ht="13">
      <c r="A124" s="485" t="str">
        <f t="shared" si="375"/>
        <v>MONTENEGRO</v>
      </c>
      <c r="B124" s="1466">
        <f t="shared" si="376"/>
        <v>112012918</v>
      </c>
      <c r="C124" s="1527">
        <f t="shared" si="377"/>
        <v>20</v>
      </c>
      <c r="D124" s="733">
        <f t="shared" si="378"/>
        <v>0.05</v>
      </c>
      <c r="E124" s="733">
        <f t="shared" si="379"/>
        <v>0.09</v>
      </c>
      <c r="F124" s="733">
        <f t="shared" si="380"/>
        <v>0</v>
      </c>
      <c r="G124" s="1466" t="s">
        <v>1346</v>
      </c>
      <c r="H124" s="1497">
        <f t="shared" si="460"/>
        <v>0</v>
      </c>
      <c r="I124" s="1486">
        <v>1500000</v>
      </c>
      <c r="J124" s="1494" t="e">
        <f t="shared" si="6"/>
        <v>#VALUE!</v>
      </c>
      <c r="K124" s="1497" t="str">
        <f>IFERROR(VLOOKUP(G124,'MON2'!MONTENALIM,3,FALSE),"")</f>
        <v/>
      </c>
      <c r="L124" s="1498">
        <f>IFERROR(VLOOKUP(G124,'MON2'!MONTEFC,3,FALSE),"")</f>
        <v>328724.7</v>
      </c>
      <c r="M124" s="1495">
        <f t="shared" si="168"/>
        <v>-1171275.3</v>
      </c>
      <c r="N124" s="1529">
        <f t="shared" si="169"/>
        <v>0.21914980000000001</v>
      </c>
      <c r="O124" s="1497">
        <f t="shared" si="409"/>
        <v>90886.73</v>
      </c>
      <c r="P124" s="1485">
        <v>1500000</v>
      </c>
      <c r="Q124" s="1485" t="e">
        <f t="shared" si="10"/>
        <v>#VALUE!</v>
      </c>
      <c r="R124" s="1497" t="str">
        <f>IFERROR(VLOOKUP(G124,'MON2'!MONTENALIM,4,FALSE),"")</f>
        <v/>
      </c>
      <c r="S124" s="1497">
        <f>IFERROR(VLOOKUP(G124,'MON2'!MONTEFC,4,FALSE),"")</f>
        <v>657077.5</v>
      </c>
      <c r="T124" s="1497">
        <f t="shared" si="172"/>
        <v>-842922.5</v>
      </c>
      <c r="U124" s="1529">
        <f t="shared" si="173"/>
        <v>0.43805166666666667</v>
      </c>
      <c r="V124" s="1497">
        <f t="shared" si="410"/>
        <v>159328.04999999999</v>
      </c>
      <c r="W124" s="1486">
        <v>1500000</v>
      </c>
      <c r="X124" s="1487" t="e">
        <f t="shared" si="14"/>
        <v>#VALUE!</v>
      </c>
      <c r="Y124" s="1485" t="str">
        <f>IFERROR(VLOOKUP(G124,'MON2'!MONTENALIM,5,FALSE),"")</f>
        <v/>
      </c>
      <c r="Z124" s="1488">
        <f>IFERROR(VLOOKUP(G124,'MON2'!MONTEFC,5,FALSE),"")</f>
        <v>2756.31</v>
      </c>
      <c r="AA124" s="1489"/>
      <c r="AB124" s="1485"/>
      <c r="AC124" s="1530">
        <f t="shared" si="176"/>
        <v>4500000</v>
      </c>
      <c r="AD124" s="1494">
        <f t="shared" si="381"/>
        <v>712398.59</v>
      </c>
      <c r="AE124" s="1497" t="e">
        <f t="shared" si="17"/>
        <v>#VALUE!</v>
      </c>
      <c r="AF124" s="1497" t="e">
        <f t="shared" ref="AF124:AG124" si="476">Y124+R124+K124</f>
        <v>#VALUE!</v>
      </c>
      <c r="AG124" s="1497">
        <f t="shared" si="476"/>
        <v>988558.51</v>
      </c>
      <c r="AH124" s="1497">
        <f t="shared" si="19"/>
        <v>276159.92000000004</v>
      </c>
      <c r="AI124" s="1531">
        <f t="shared" si="20"/>
        <v>1.3876480440535404</v>
      </c>
      <c r="AJ124" s="1493">
        <f t="shared" si="462"/>
        <v>376062.16</v>
      </c>
      <c r="AK124" s="1494" t="e">
        <f t="shared" si="22"/>
        <v>#VALUE!</v>
      </c>
      <c r="AL124" s="1495" t="str">
        <f>IFERROR(VLOOKUP(G124,'MON2'!MONTENALIM,6,FALSE),"")</f>
        <v/>
      </c>
      <c r="AM124" s="1496">
        <f>IFERROR(VLOOKUP(G124,'MON2'!MONTEFC,6,FALSE),"")</f>
        <v>320307.09999999998</v>
      </c>
      <c r="AN124" s="1493">
        <f t="shared" si="463"/>
        <v>0</v>
      </c>
      <c r="AO124" s="1494" t="e">
        <f t="shared" si="23"/>
        <v>#VALUE!</v>
      </c>
      <c r="AP124" s="1497" t="str">
        <f>IFERROR(VLOOKUP(G124,'MON2'!MONTENALIM,7,FALSE),"")</f>
        <v/>
      </c>
      <c r="AQ124" s="1498">
        <f>IFERROR(VLOOKUP(G124,'MON2'!MONTEFC,7,FALSE),"")</f>
        <v>0</v>
      </c>
      <c r="AR124" s="1495">
        <f t="shared" si="464"/>
        <v>166649.97</v>
      </c>
      <c r="AS124" s="1495" t="e">
        <f t="shared" si="24"/>
        <v>#VALUE!</v>
      </c>
      <c r="AT124" s="1495" t="str">
        <f>IFERROR(VLOOKUP(G124,'MON2'!MONTENALIM,8,FALSE),"")</f>
        <v/>
      </c>
      <c r="AU124" s="1493">
        <f>IFERROR(VLOOKUP(G124,'MON2'!MONTEFC,8,FALSE),"")</f>
        <v>0</v>
      </c>
      <c r="AV124" s="1532" t="e">
        <f t="shared" ref="AV124:AX124" si="477">SUM(AS124,AO124,AK124)</f>
        <v>#VALUE!</v>
      </c>
      <c r="AW124" s="1497">
        <f t="shared" si="477"/>
        <v>0</v>
      </c>
      <c r="AX124" s="1528">
        <f t="shared" si="477"/>
        <v>320307.09999999998</v>
      </c>
      <c r="AY124" s="1494" t="e">
        <f t="shared" ref="AY124:BA124" si="478">SUM(AV124,AE124)</f>
        <v>#VALUE!</v>
      </c>
      <c r="AZ124" s="1497" t="e">
        <f t="shared" si="478"/>
        <v>#VALUE!</v>
      </c>
      <c r="BA124" s="1533">
        <f t="shared" si="478"/>
        <v>1308865.6099999999</v>
      </c>
      <c r="BB124" s="1493">
        <f t="shared" si="385"/>
        <v>227483.74</v>
      </c>
      <c r="BC124" s="1504" t="e">
        <f t="shared" si="28"/>
        <v>#VALUE!</v>
      </c>
      <c r="BD124" s="1497" t="str">
        <f>IFERROR(VLOOKUP(G124,'MON2'!MONTENALIM,9,FALSE),"")</f>
        <v/>
      </c>
      <c r="BE124" s="1505">
        <f>IFERROR(VLOOKUP(G124,'MON2'!MONTEFC,9,FALSE),"")</f>
        <v>0</v>
      </c>
      <c r="BF124" s="1495">
        <f t="shared" si="386"/>
        <v>185460.94</v>
      </c>
      <c r="BG124" s="1497">
        <f t="shared" si="387"/>
        <v>165744.26999999999</v>
      </c>
      <c r="BH124" s="1497">
        <f t="shared" si="388"/>
        <v>466144.91</v>
      </c>
      <c r="BI124" s="1497">
        <f t="shared" si="389"/>
        <v>70004.55</v>
      </c>
      <c r="BJ124" s="1497">
        <f t="shared" si="390"/>
        <v>176249.13</v>
      </c>
    </row>
    <row r="125" spans="1:62" ht="13">
      <c r="A125" s="485" t="str">
        <f t="shared" si="375"/>
        <v>MONTENEGRO</v>
      </c>
      <c r="B125" s="1467">
        <f t="shared" si="376"/>
        <v>112011806</v>
      </c>
      <c r="C125" s="1510">
        <f t="shared" si="377"/>
        <v>20</v>
      </c>
      <c r="D125" s="1511">
        <f t="shared" si="378"/>
        <v>0.05</v>
      </c>
      <c r="E125" s="1511">
        <f t="shared" si="379"/>
        <v>0.09</v>
      </c>
      <c r="F125" s="1511">
        <f t="shared" si="380"/>
        <v>0</v>
      </c>
      <c r="G125" s="1467" t="s">
        <v>1347</v>
      </c>
      <c r="H125" s="331">
        <f t="shared" si="460"/>
        <v>215118.1</v>
      </c>
      <c r="I125" s="1512">
        <v>1500000</v>
      </c>
      <c r="J125" s="156" t="e">
        <f t="shared" si="6"/>
        <v>#VALUE!</v>
      </c>
      <c r="K125" s="331" t="str">
        <f>IFERROR(VLOOKUP(G125,'MON2'!MONTENALIM,3,FALSE),"")</f>
        <v/>
      </c>
      <c r="L125" s="1513">
        <f>IFERROR(VLOOKUP(G125,'MON2'!MONTEFC,3,FALSE),"")</f>
        <v>1197514.92</v>
      </c>
      <c r="M125" s="1514">
        <f t="shared" si="168"/>
        <v>-302485.08000000007</v>
      </c>
      <c r="N125" s="234">
        <f t="shared" si="169"/>
        <v>0.79834327999999999</v>
      </c>
      <c r="O125" s="331">
        <f t="shared" si="409"/>
        <v>131052.14</v>
      </c>
      <c r="P125" s="331">
        <v>1500000</v>
      </c>
      <c r="Q125" s="1515" t="e">
        <f t="shared" si="10"/>
        <v>#VALUE!</v>
      </c>
      <c r="R125" s="331" t="str">
        <f>IFERROR(VLOOKUP(G125,'MON2'!MONTENALIM,4,FALSE),"")</f>
        <v/>
      </c>
      <c r="S125" s="331">
        <f>IFERROR(VLOOKUP(G125,'MON2'!MONTEFC,4,FALSE),"")</f>
        <v>493112.96</v>
      </c>
      <c r="T125" s="331">
        <f t="shared" si="172"/>
        <v>-1006887.04</v>
      </c>
      <c r="U125" s="234">
        <f t="shared" si="173"/>
        <v>0.32874197333333333</v>
      </c>
      <c r="V125" s="331">
        <f t="shared" si="410"/>
        <v>79682.11</v>
      </c>
      <c r="W125" s="1512">
        <v>1500000</v>
      </c>
      <c r="X125" s="1516" t="e">
        <f t="shared" si="14"/>
        <v>#VALUE!</v>
      </c>
      <c r="Y125" s="1515" t="str">
        <f>IFERROR(VLOOKUP(G125,'MON2'!MONTENALIM,5,FALSE),"")</f>
        <v/>
      </c>
      <c r="Z125" s="1517">
        <f>IFERROR(VLOOKUP(G125,'MON2'!MONTEFC,5,FALSE),"")</f>
        <v>0</v>
      </c>
      <c r="AA125" s="1514"/>
      <c r="AB125" s="331"/>
      <c r="AC125" s="1518">
        <f t="shared" si="176"/>
        <v>4500000</v>
      </c>
      <c r="AD125" s="156">
        <f t="shared" si="381"/>
        <v>64013.91</v>
      </c>
      <c r="AE125" s="331" t="e">
        <f t="shared" si="17"/>
        <v>#VALUE!</v>
      </c>
      <c r="AF125" s="331" t="e">
        <f t="shared" ref="AF125:AG125" si="479">Y125+R125+K125</f>
        <v>#VALUE!</v>
      </c>
      <c r="AG125" s="331">
        <f t="shared" si="479"/>
        <v>1690627.88</v>
      </c>
      <c r="AH125" s="331">
        <f t="shared" si="19"/>
        <v>1626613.97</v>
      </c>
      <c r="AI125" s="1519">
        <f t="shared" si="20"/>
        <v>26.410320506902323</v>
      </c>
      <c r="AJ125" s="1520">
        <f t="shared" si="462"/>
        <v>113179.74</v>
      </c>
      <c r="AK125" s="156" t="e">
        <f t="shared" si="22"/>
        <v>#VALUE!</v>
      </c>
      <c r="AL125" s="1514" t="str">
        <f>IFERROR(VLOOKUP(G125,'MON2'!MONTENALIM,6,FALSE),"")</f>
        <v/>
      </c>
      <c r="AM125" s="1521">
        <f>IFERROR(VLOOKUP(G125,'MON2'!MONTEFC,6,FALSE),"")</f>
        <v>0</v>
      </c>
      <c r="AN125" s="1520">
        <f t="shared" si="463"/>
        <v>103304.4</v>
      </c>
      <c r="AO125" s="156" t="e">
        <f t="shared" si="23"/>
        <v>#VALUE!</v>
      </c>
      <c r="AP125" s="331" t="str">
        <f>IFERROR(VLOOKUP(G125,'MON2'!MONTENALIM,7,FALSE),"")</f>
        <v/>
      </c>
      <c r="AQ125" s="1513">
        <f>IFERROR(VLOOKUP(G125,'MON2'!MONTEFC,7,FALSE),"")</f>
        <v>171370.62</v>
      </c>
      <c r="AR125" s="1514">
        <f t="shared" si="464"/>
        <v>243281.77</v>
      </c>
      <c r="AS125" s="1514" t="e">
        <f t="shared" si="24"/>
        <v>#VALUE!</v>
      </c>
      <c r="AT125" s="1514" t="str">
        <f>IFERROR(VLOOKUP(G125,'MON2'!MONTENALIM,8,FALSE),"")</f>
        <v/>
      </c>
      <c r="AU125" s="1520">
        <f>IFERROR(VLOOKUP(G125,'MON2'!MONTEFC,8,FALSE),"")</f>
        <v>496945.65</v>
      </c>
      <c r="AV125" s="1522" t="e">
        <f t="shared" ref="AV125:AX125" si="480">SUM(AS125,AO125,AK125)</f>
        <v>#VALUE!</v>
      </c>
      <c r="AW125" s="331">
        <f t="shared" si="480"/>
        <v>0</v>
      </c>
      <c r="AX125" s="1512">
        <f t="shared" si="480"/>
        <v>668316.27</v>
      </c>
      <c r="AY125" s="156" t="e">
        <f t="shared" ref="AY125:BA125" si="481">SUM(AV125,AE125)</f>
        <v>#VALUE!</v>
      </c>
      <c r="AZ125" s="331" t="e">
        <f t="shared" si="481"/>
        <v>#VALUE!</v>
      </c>
      <c r="BA125" s="1523">
        <f t="shared" si="481"/>
        <v>2358944.15</v>
      </c>
      <c r="BB125" s="1520">
        <f t="shared" si="385"/>
        <v>192979.91</v>
      </c>
      <c r="BC125" s="1524" t="e">
        <f t="shared" si="28"/>
        <v>#VALUE!</v>
      </c>
      <c r="BD125" s="331" t="str">
        <f>IFERROR(VLOOKUP(G125,'MON2'!MONTENALIM,9,FALSE),"")</f>
        <v/>
      </c>
      <c r="BE125" s="1525">
        <f>IFERROR(VLOOKUP(G125,'MON2'!MONTEFC,9,FALSE),"")</f>
        <v>167544.51</v>
      </c>
      <c r="BF125" s="1514">
        <f t="shared" si="386"/>
        <v>148705.12</v>
      </c>
      <c r="BG125" s="331">
        <f t="shared" si="387"/>
        <v>33904.449999999997</v>
      </c>
      <c r="BH125" s="331">
        <f t="shared" si="388"/>
        <v>0</v>
      </c>
      <c r="BI125" s="331">
        <f t="shared" si="389"/>
        <v>0</v>
      </c>
      <c r="BJ125" s="331">
        <f t="shared" si="390"/>
        <v>64013.91</v>
      </c>
    </row>
    <row r="126" spans="1:62" ht="13">
      <c r="A126" s="485" t="str">
        <f t="shared" si="375"/>
        <v>MONTENEGRO</v>
      </c>
      <c r="B126" s="1466">
        <f t="shared" si="376"/>
        <v>112011267</v>
      </c>
      <c r="C126" s="1527">
        <f t="shared" si="377"/>
        <v>20</v>
      </c>
      <c r="D126" s="733">
        <f t="shared" si="378"/>
        <v>0.05</v>
      </c>
      <c r="E126" s="733">
        <f t="shared" si="379"/>
        <v>0.09</v>
      </c>
      <c r="F126" s="733">
        <f t="shared" si="380"/>
        <v>0</v>
      </c>
      <c r="G126" s="1466" t="s">
        <v>1348</v>
      </c>
      <c r="H126" s="1497">
        <f t="shared" si="460"/>
        <v>292187.03999999998</v>
      </c>
      <c r="I126" s="1528">
        <v>1500000</v>
      </c>
      <c r="J126" s="1494">
        <f t="shared" si="6"/>
        <v>1028390.79</v>
      </c>
      <c r="K126" s="1497">
        <f>IFERROR(VLOOKUP(G126,'MON2'!MONTENALIM,3,FALSE),"")</f>
        <v>0</v>
      </c>
      <c r="L126" s="1498">
        <f>IFERROR(VLOOKUP(G126,'MON2'!MONTEFC,3,FALSE),"")</f>
        <v>1028390.79</v>
      </c>
      <c r="M126" s="1495">
        <f t="shared" si="168"/>
        <v>-471609.20999999996</v>
      </c>
      <c r="N126" s="1529">
        <f t="shared" si="169"/>
        <v>0.68559386</v>
      </c>
      <c r="O126" s="1497">
        <f t="shared" si="409"/>
        <v>106475.04</v>
      </c>
      <c r="P126" s="1497">
        <v>1500000</v>
      </c>
      <c r="Q126" s="1485">
        <f t="shared" si="10"/>
        <v>315763.77</v>
      </c>
      <c r="R126" s="1497">
        <f>IFERROR(VLOOKUP(G126,'MON2'!MONTENALIM,4,FALSE),"")</f>
        <v>0</v>
      </c>
      <c r="S126" s="1497">
        <f>IFERROR(VLOOKUP(G126,'MON2'!MONTEFC,4,FALSE),"")</f>
        <v>315763.77</v>
      </c>
      <c r="T126" s="1497">
        <f t="shared" si="172"/>
        <v>-1184236.23</v>
      </c>
      <c r="U126" s="1529">
        <f t="shared" si="173"/>
        <v>0.21050918000000002</v>
      </c>
      <c r="V126" s="1497">
        <f t="shared" si="410"/>
        <v>264060.36</v>
      </c>
      <c r="W126" s="1528">
        <v>1500000</v>
      </c>
      <c r="X126" s="1487">
        <f t="shared" si="14"/>
        <v>464570.27</v>
      </c>
      <c r="Y126" s="1485">
        <f>IFERROR(VLOOKUP(G126,'MON2'!MONTENALIM,5,FALSE),"")</f>
        <v>0</v>
      </c>
      <c r="Z126" s="1488">
        <f>IFERROR(VLOOKUP(G126,'MON2'!MONTEFC,5,FALSE),"")</f>
        <v>464570.27</v>
      </c>
      <c r="AA126" s="1495"/>
      <c r="AB126" s="1497"/>
      <c r="AC126" s="1530">
        <f t="shared" si="176"/>
        <v>4500000</v>
      </c>
      <c r="AD126" s="1494">
        <f t="shared" si="381"/>
        <v>581793.31000000006</v>
      </c>
      <c r="AE126" s="1497">
        <f t="shared" si="17"/>
        <v>1808724.83</v>
      </c>
      <c r="AF126" s="1497">
        <f t="shared" ref="AF126:AG126" si="482">Y126+R126+K126</f>
        <v>0</v>
      </c>
      <c r="AG126" s="1497">
        <f t="shared" si="482"/>
        <v>1808724.83</v>
      </c>
      <c r="AH126" s="1497">
        <f t="shared" si="19"/>
        <v>1226931.52</v>
      </c>
      <c r="AI126" s="1531">
        <f t="shared" si="20"/>
        <v>3.1088787012693562</v>
      </c>
      <c r="AJ126" s="1493">
        <f t="shared" si="462"/>
        <v>0</v>
      </c>
      <c r="AK126" s="1494">
        <f t="shared" si="22"/>
        <v>0</v>
      </c>
      <c r="AL126" s="1495">
        <f>IFERROR(VLOOKUP(G126,'MON2'!MONTENALIM,6,FALSE),"")</f>
        <v>0</v>
      </c>
      <c r="AM126" s="1496">
        <f>IFERROR(VLOOKUP(G126,'MON2'!MONTEFC,6,FALSE),"")</f>
        <v>0</v>
      </c>
      <c r="AN126" s="1493">
        <f t="shared" si="463"/>
        <v>110508.75</v>
      </c>
      <c r="AO126" s="1494">
        <f t="shared" si="23"/>
        <v>554749.57999999996</v>
      </c>
      <c r="AP126" s="1497">
        <f>IFERROR(VLOOKUP(G126,'MON2'!MONTENALIM,7,FALSE),"")</f>
        <v>0</v>
      </c>
      <c r="AQ126" s="1498">
        <f>IFERROR(VLOOKUP(G126,'MON2'!MONTEFC,7,FALSE),"")</f>
        <v>554749.57999999996</v>
      </c>
      <c r="AR126" s="1495">
        <f t="shared" si="464"/>
        <v>140234.87</v>
      </c>
      <c r="AS126" s="1495">
        <f t="shared" si="24"/>
        <v>0</v>
      </c>
      <c r="AT126" s="1495">
        <f>IFERROR(VLOOKUP(G126,'MON2'!MONTENALIM,8,FALSE),"")</f>
        <v>0</v>
      </c>
      <c r="AU126" s="1493">
        <f>IFERROR(VLOOKUP(G126,'MON2'!MONTEFC,8,FALSE),"")</f>
        <v>0</v>
      </c>
      <c r="AV126" s="1532">
        <f t="shared" ref="AV126:AX126" si="483">SUM(AS126,AO126,AK126)</f>
        <v>554749.57999999996</v>
      </c>
      <c r="AW126" s="1497">
        <f t="shared" si="483"/>
        <v>0</v>
      </c>
      <c r="AX126" s="1528">
        <f t="shared" si="483"/>
        <v>554749.57999999996</v>
      </c>
      <c r="AY126" s="1494">
        <f t="shared" ref="AY126:BA126" si="484">SUM(AV126,AE126)</f>
        <v>2363474.41</v>
      </c>
      <c r="AZ126" s="1497">
        <f t="shared" si="484"/>
        <v>0</v>
      </c>
      <c r="BA126" s="1533">
        <f t="shared" si="484"/>
        <v>2363474.41</v>
      </c>
      <c r="BB126" s="1493">
        <f t="shared" si="385"/>
        <v>0</v>
      </c>
      <c r="BC126" s="1504">
        <f t="shared" si="28"/>
        <v>336244.76</v>
      </c>
      <c r="BD126" s="1497">
        <f>IFERROR(VLOOKUP(G126,'MON2'!MONTENALIM,9,FALSE),"")</f>
        <v>185599.62</v>
      </c>
      <c r="BE126" s="1505">
        <f>IFERROR(VLOOKUP(G126,'MON2'!MONTEFC,9,FALSE),"")</f>
        <v>521844.38</v>
      </c>
      <c r="BF126" s="1495">
        <f t="shared" si="386"/>
        <v>228067.99</v>
      </c>
      <c r="BG126" s="1497">
        <f t="shared" si="387"/>
        <v>345729.98</v>
      </c>
      <c r="BH126" s="1497">
        <f t="shared" si="388"/>
        <v>112861.09</v>
      </c>
      <c r="BI126" s="1497">
        <f t="shared" si="389"/>
        <v>0</v>
      </c>
      <c r="BJ126" s="1497">
        <f t="shared" si="390"/>
        <v>468932.22</v>
      </c>
    </row>
    <row r="127" spans="1:62" ht="13">
      <c r="A127" s="485" t="str">
        <f t="shared" si="375"/>
        <v>MONTENEGRO</v>
      </c>
      <c r="B127" s="1467">
        <f t="shared" si="376"/>
        <v>112012020</v>
      </c>
      <c r="C127" s="1510">
        <f t="shared" si="377"/>
        <v>20</v>
      </c>
      <c r="D127" s="1511">
        <f t="shared" si="378"/>
        <v>0.05</v>
      </c>
      <c r="E127" s="1511">
        <f t="shared" si="379"/>
        <v>0.09</v>
      </c>
      <c r="F127" s="1511">
        <f t="shared" si="380"/>
        <v>0</v>
      </c>
      <c r="G127" s="1467" t="s">
        <v>1349</v>
      </c>
      <c r="H127" s="331">
        <f t="shared" si="460"/>
        <v>0</v>
      </c>
      <c r="I127" s="1512">
        <v>1500000</v>
      </c>
      <c r="J127" s="156" t="e">
        <f t="shared" si="6"/>
        <v>#VALUE!</v>
      </c>
      <c r="K127" s="331" t="str">
        <f>IFERROR(VLOOKUP(G127,'MON2'!MONTENALIM,3,FALSE),"")</f>
        <v/>
      </c>
      <c r="L127" s="1513">
        <f>IFERROR(VLOOKUP(G127,'MON2'!MONTEFC,3,FALSE),"")</f>
        <v>0</v>
      </c>
      <c r="M127" s="1514">
        <f t="shared" si="168"/>
        <v>-1500000</v>
      </c>
      <c r="N127" s="234">
        <f t="shared" si="169"/>
        <v>0</v>
      </c>
      <c r="O127" s="331">
        <f t="shared" si="409"/>
        <v>0</v>
      </c>
      <c r="P127" s="331">
        <v>1500000</v>
      </c>
      <c r="Q127" s="1515" t="e">
        <f t="shared" si="10"/>
        <v>#VALUE!</v>
      </c>
      <c r="R127" s="331" t="str">
        <f>IFERROR(VLOOKUP(G127,'MON2'!MONTENALIM,4,FALSE),"")</f>
        <v/>
      </c>
      <c r="S127" s="331">
        <f>IFERROR(VLOOKUP(G127,'MON2'!MONTEFC,4,FALSE),"")</f>
        <v>310095.31</v>
      </c>
      <c r="T127" s="331">
        <f t="shared" si="172"/>
        <v>-1189904.69</v>
      </c>
      <c r="U127" s="234">
        <f t="shared" si="173"/>
        <v>0.20673020666666667</v>
      </c>
      <c r="V127" s="331">
        <f t="shared" si="410"/>
        <v>548371.38</v>
      </c>
      <c r="W127" s="1512">
        <v>1500000</v>
      </c>
      <c r="X127" s="1516" t="e">
        <f t="shared" si="14"/>
        <v>#VALUE!</v>
      </c>
      <c r="Y127" s="1515" t="str">
        <f>IFERROR(VLOOKUP(G127,'MON2'!MONTENALIM,5,FALSE),"")</f>
        <v/>
      </c>
      <c r="Z127" s="1517">
        <f>IFERROR(VLOOKUP(G127,'MON2'!MONTEFC,5,FALSE),"")</f>
        <v>0</v>
      </c>
      <c r="AA127" s="1514"/>
      <c r="AB127" s="331"/>
      <c r="AC127" s="1518">
        <f t="shared" si="176"/>
        <v>4500000</v>
      </c>
      <c r="AD127" s="156">
        <f t="shared" si="381"/>
        <v>743107.14</v>
      </c>
      <c r="AE127" s="331" t="e">
        <f t="shared" si="17"/>
        <v>#VALUE!</v>
      </c>
      <c r="AF127" s="331" t="e">
        <f t="shared" ref="AF127:AG127" si="485">Y127+R127+K127</f>
        <v>#VALUE!</v>
      </c>
      <c r="AG127" s="331">
        <f t="shared" si="485"/>
        <v>310095.31</v>
      </c>
      <c r="AH127" s="331">
        <f t="shared" si="19"/>
        <v>-433011.83</v>
      </c>
      <c r="AI127" s="1519">
        <f t="shared" si="20"/>
        <v>0.41729555983004013</v>
      </c>
      <c r="AJ127" s="1520">
        <f t="shared" si="462"/>
        <v>266418.38</v>
      </c>
      <c r="AK127" s="156" t="e">
        <f t="shared" si="22"/>
        <v>#VALUE!</v>
      </c>
      <c r="AL127" s="1514" t="str">
        <f>IFERROR(VLOOKUP(G127,'MON2'!MONTENALIM,6,FALSE),"")</f>
        <v/>
      </c>
      <c r="AM127" s="1521">
        <f>IFERROR(VLOOKUP(G127,'MON2'!MONTEFC,6,FALSE),"")</f>
        <v>0</v>
      </c>
      <c r="AN127" s="1520">
        <f t="shared" si="463"/>
        <v>0</v>
      </c>
      <c r="AO127" s="156" t="e">
        <f t="shared" si="23"/>
        <v>#VALUE!</v>
      </c>
      <c r="AP127" s="331" t="str">
        <f>IFERROR(VLOOKUP(G127,'MON2'!MONTENALIM,7,FALSE),"")</f>
        <v/>
      </c>
      <c r="AQ127" s="1513">
        <f>IFERROR(VLOOKUP(G127,'MON2'!MONTEFC,7,FALSE),"")</f>
        <v>356408.97</v>
      </c>
      <c r="AR127" s="1514">
        <f t="shared" si="464"/>
        <v>175467.27</v>
      </c>
      <c r="AS127" s="1514" t="e">
        <f t="shared" si="24"/>
        <v>#VALUE!</v>
      </c>
      <c r="AT127" s="1514" t="str">
        <f>IFERROR(VLOOKUP(G127,'MON2'!MONTENALIM,8,FALSE),"")</f>
        <v/>
      </c>
      <c r="AU127" s="1520">
        <f>IFERROR(VLOOKUP(G127,'MON2'!MONTEFC,8,FALSE),"")</f>
        <v>0</v>
      </c>
      <c r="AV127" s="1522" t="e">
        <f t="shared" ref="AV127:AX127" si="486">SUM(AS127,AO127,AK127)</f>
        <v>#VALUE!</v>
      </c>
      <c r="AW127" s="331">
        <f t="shared" si="486"/>
        <v>0</v>
      </c>
      <c r="AX127" s="1512">
        <f t="shared" si="486"/>
        <v>356408.97</v>
      </c>
      <c r="AY127" s="156" t="e">
        <f t="shared" ref="AY127:BA127" si="487">SUM(AV127,AE127)</f>
        <v>#VALUE!</v>
      </c>
      <c r="AZ127" s="331" t="e">
        <f t="shared" si="487"/>
        <v>#VALUE!</v>
      </c>
      <c r="BA127" s="1523">
        <f t="shared" si="487"/>
        <v>666504.28</v>
      </c>
      <c r="BB127" s="1520">
        <f t="shared" si="385"/>
        <v>34651.26</v>
      </c>
      <c r="BC127" s="1524" t="e">
        <f t="shared" si="28"/>
        <v>#VALUE!</v>
      </c>
      <c r="BD127" s="331" t="str">
        <f>IFERROR(VLOOKUP(G127,'MON2'!MONTENALIM,9,FALSE),"")</f>
        <v/>
      </c>
      <c r="BE127" s="1525">
        <f>IFERROR(VLOOKUP(G127,'MON2'!MONTEFC,9,FALSE),"")</f>
        <v>0</v>
      </c>
      <c r="BF127" s="1514">
        <f t="shared" si="386"/>
        <v>163268.70000000001</v>
      </c>
      <c r="BG127" s="331">
        <f t="shared" si="387"/>
        <v>545932.62</v>
      </c>
      <c r="BH127" s="331">
        <f t="shared" si="388"/>
        <v>404377.48</v>
      </c>
      <c r="BI127" s="331">
        <f t="shared" si="389"/>
        <v>338729.66</v>
      </c>
      <c r="BJ127" s="331">
        <f t="shared" si="390"/>
        <v>0</v>
      </c>
    </row>
    <row r="128" spans="1:62" ht="13">
      <c r="A128" s="485" t="str">
        <f t="shared" si="375"/>
        <v>MONTENEGRO</v>
      </c>
      <c r="B128" s="1466">
        <f t="shared" si="376"/>
        <v>112014410</v>
      </c>
      <c r="C128" s="1527">
        <f t="shared" si="377"/>
        <v>20</v>
      </c>
      <c r="D128" s="733">
        <f t="shared" si="378"/>
        <v>0.05</v>
      </c>
      <c r="E128" s="733">
        <f t="shared" si="379"/>
        <v>0.09</v>
      </c>
      <c r="F128" s="733">
        <f t="shared" si="380"/>
        <v>0</v>
      </c>
      <c r="G128" s="1466" t="s">
        <v>1350</v>
      </c>
      <c r="H128" s="1497">
        <f t="shared" si="460"/>
        <v>0</v>
      </c>
      <c r="I128" s="1528">
        <v>1500000</v>
      </c>
      <c r="J128" s="1494" t="e">
        <f t="shared" si="6"/>
        <v>#VALUE!</v>
      </c>
      <c r="K128" s="1497" t="str">
        <f>IFERROR(VLOOKUP(G128,'MON2'!MONTENALIM,3,FALSE),"")</f>
        <v/>
      </c>
      <c r="L128" s="1498">
        <f>IFERROR(VLOOKUP(G128,'MON2'!MONTEFC,3,FALSE),"")</f>
        <v>43038.36</v>
      </c>
      <c r="M128" s="1495">
        <f t="shared" si="168"/>
        <v>-1456961.64</v>
      </c>
      <c r="N128" s="1529">
        <f t="shared" si="169"/>
        <v>2.8692240000000001E-2</v>
      </c>
      <c r="O128" s="1497">
        <f t="shared" si="409"/>
        <v>0</v>
      </c>
      <c r="P128" s="1497">
        <v>1500000</v>
      </c>
      <c r="Q128" s="1485" t="e">
        <f t="shared" si="10"/>
        <v>#VALUE!</v>
      </c>
      <c r="R128" s="1497" t="str">
        <f>IFERROR(VLOOKUP(G128,'MON2'!MONTENALIM,4,FALSE),"")</f>
        <v/>
      </c>
      <c r="S128" s="1497">
        <f>IFERROR(VLOOKUP(G128,'MON2'!MONTEFC,4,FALSE),"")</f>
        <v>134666.92000000001</v>
      </c>
      <c r="T128" s="1497">
        <f t="shared" si="172"/>
        <v>-1365333.08</v>
      </c>
      <c r="U128" s="1529">
        <f t="shared" si="173"/>
        <v>8.9777946666666678E-2</v>
      </c>
      <c r="V128" s="1497">
        <f t="shared" si="410"/>
        <v>0</v>
      </c>
      <c r="W128" s="1528">
        <v>1500000</v>
      </c>
      <c r="X128" s="1487" t="e">
        <f t="shared" si="14"/>
        <v>#VALUE!</v>
      </c>
      <c r="Y128" s="1485" t="str">
        <f>IFERROR(VLOOKUP(G128,'MON2'!MONTENALIM,5,FALSE),"")</f>
        <v/>
      </c>
      <c r="Z128" s="1488">
        <f>IFERROR(VLOOKUP(G128,'MON2'!MONTEFC,5,FALSE),"")</f>
        <v>195886.01</v>
      </c>
      <c r="AA128" s="1495"/>
      <c r="AB128" s="1497"/>
      <c r="AC128" s="1530">
        <f t="shared" si="176"/>
        <v>4500000</v>
      </c>
      <c r="AD128" s="1494">
        <f t="shared" si="381"/>
        <v>350183.21</v>
      </c>
      <c r="AE128" s="1497" t="e">
        <f t="shared" si="17"/>
        <v>#VALUE!</v>
      </c>
      <c r="AF128" s="1497" t="e">
        <f t="shared" ref="AF128:AG128" si="488">Y128+R128+K128</f>
        <v>#VALUE!</v>
      </c>
      <c r="AG128" s="1497">
        <f t="shared" si="488"/>
        <v>373591.29000000004</v>
      </c>
      <c r="AH128" s="1497">
        <f t="shared" si="19"/>
        <v>23408.080000000016</v>
      </c>
      <c r="AI128" s="1531">
        <f t="shared" si="20"/>
        <v>1.0668452379541555</v>
      </c>
      <c r="AJ128" s="1493">
        <f t="shared" si="462"/>
        <v>191074.13</v>
      </c>
      <c r="AK128" s="1494" t="e">
        <f t="shared" si="22"/>
        <v>#VALUE!</v>
      </c>
      <c r="AL128" s="1495" t="str">
        <f>IFERROR(VLOOKUP(G128,'MON2'!MONTENALIM,6,FALSE),"")</f>
        <v/>
      </c>
      <c r="AM128" s="1496">
        <f>IFERROR(VLOOKUP(G128,'MON2'!MONTEFC,6,FALSE),"")</f>
        <v>68751.570000000007</v>
      </c>
      <c r="AN128" s="1493">
        <f t="shared" si="463"/>
        <v>612771.67000000004</v>
      </c>
      <c r="AO128" s="1494" t="e">
        <f t="shared" si="23"/>
        <v>#VALUE!</v>
      </c>
      <c r="AP128" s="1497" t="str">
        <f>IFERROR(VLOOKUP(G128,'MON2'!MONTENALIM,7,FALSE),"")</f>
        <v/>
      </c>
      <c r="AQ128" s="1498">
        <f>IFERROR(VLOOKUP(G128,'MON2'!MONTEFC,7,FALSE),"")</f>
        <v>0</v>
      </c>
      <c r="AR128" s="1495">
        <f t="shared" si="464"/>
        <v>727277.68</v>
      </c>
      <c r="AS128" s="1495" t="e">
        <f t="shared" si="24"/>
        <v>#VALUE!</v>
      </c>
      <c r="AT128" s="1495" t="str">
        <f>IFERROR(VLOOKUP(G128,'MON2'!MONTENALIM,8,FALSE),"")</f>
        <v/>
      </c>
      <c r="AU128" s="1493">
        <f>IFERROR(VLOOKUP(G128,'MON2'!MONTEFC,8,FALSE),"")</f>
        <v>17419.28</v>
      </c>
      <c r="AV128" s="1532" t="e">
        <f t="shared" ref="AV128:AX128" si="489">SUM(AS128,AO128,AK128)</f>
        <v>#VALUE!</v>
      </c>
      <c r="AW128" s="1497">
        <f t="shared" si="489"/>
        <v>0</v>
      </c>
      <c r="AX128" s="1528">
        <f t="shared" si="489"/>
        <v>86170.85</v>
      </c>
      <c r="AY128" s="1494" t="e">
        <f t="shared" ref="AY128:BA128" si="490">SUM(AV128,AE128)</f>
        <v>#VALUE!</v>
      </c>
      <c r="AZ128" s="1497" t="e">
        <f t="shared" si="490"/>
        <v>#VALUE!</v>
      </c>
      <c r="BA128" s="1533">
        <f t="shared" si="490"/>
        <v>459762.14</v>
      </c>
      <c r="BB128" s="1493">
        <f t="shared" si="385"/>
        <v>49245.62</v>
      </c>
      <c r="BC128" s="1504" t="e">
        <f t="shared" si="28"/>
        <v>#VALUE!</v>
      </c>
      <c r="BD128" s="1497" t="str">
        <f>IFERROR(VLOOKUP(G128,'MON2'!MONTENALIM,9,FALSE),"")</f>
        <v/>
      </c>
      <c r="BE128" s="1505">
        <f>IFERROR(VLOOKUP(G128,'MON2'!MONTEFC,9,FALSE),"")</f>
        <v>0</v>
      </c>
      <c r="BF128" s="1495">
        <f t="shared" si="386"/>
        <v>0</v>
      </c>
      <c r="BG128" s="1497">
        <f t="shared" si="387"/>
        <v>566776.91</v>
      </c>
      <c r="BH128" s="1497">
        <f t="shared" si="388"/>
        <v>127027.24</v>
      </c>
      <c r="BI128" s="1497">
        <f t="shared" si="389"/>
        <v>154366.20000000001</v>
      </c>
      <c r="BJ128" s="1497">
        <f t="shared" si="390"/>
        <v>68789.77</v>
      </c>
    </row>
    <row r="129" spans="1:97" ht="17.25" customHeight="1">
      <c r="A129" s="485" t="str">
        <f t="shared" si="375"/>
        <v>MONTENEGRO</v>
      </c>
      <c r="B129" s="1553">
        <f t="shared" si="376"/>
        <v>112013188</v>
      </c>
      <c r="C129" s="1565">
        <f t="shared" si="377"/>
        <v>20</v>
      </c>
      <c r="D129" s="1552">
        <f t="shared" si="378"/>
        <v>0.05</v>
      </c>
      <c r="E129" s="1552">
        <f t="shared" si="379"/>
        <v>0.09</v>
      </c>
      <c r="F129" s="1552">
        <f t="shared" si="380"/>
        <v>0</v>
      </c>
      <c r="G129" s="1553" t="s">
        <v>1351</v>
      </c>
      <c r="H129" s="1554">
        <f t="shared" si="460"/>
        <v>0</v>
      </c>
      <c r="I129" s="1566">
        <v>1500000</v>
      </c>
      <c r="J129" s="1567" t="e">
        <f t="shared" si="6"/>
        <v>#VALUE!</v>
      </c>
      <c r="K129" s="1554" t="str">
        <f>IFERROR(VLOOKUP(G129,'MON2'!MONTENALIM,3,FALSE),"")</f>
        <v/>
      </c>
      <c r="L129" s="1568">
        <f>IFERROR(VLOOKUP(G129,'MON2'!MONTEFC,3,FALSE),"")</f>
        <v>43875.35</v>
      </c>
      <c r="M129" s="1569">
        <f t="shared" si="168"/>
        <v>-1456124.65</v>
      </c>
      <c r="N129" s="1570">
        <f t="shared" si="169"/>
        <v>2.9250233333333334E-2</v>
      </c>
      <c r="O129" s="1554">
        <f t="shared" si="409"/>
        <v>45591.360000000001</v>
      </c>
      <c r="P129" s="1554">
        <v>1500000</v>
      </c>
      <c r="Q129" s="1571" t="e">
        <f t="shared" si="10"/>
        <v>#VALUE!</v>
      </c>
      <c r="R129" s="1554" t="str">
        <f>IFERROR(VLOOKUP(G129,'MON2'!MONTENALIM,4,FALSE),"")</f>
        <v/>
      </c>
      <c r="S129" s="1554">
        <f>IFERROR(VLOOKUP(G129,'MON2'!MONTEFC,4,FALSE),"")</f>
        <v>0</v>
      </c>
      <c r="T129" s="1554">
        <f t="shared" si="172"/>
        <v>-1500000</v>
      </c>
      <c r="U129" s="1570">
        <f t="shared" si="173"/>
        <v>0</v>
      </c>
      <c r="V129" s="1554">
        <f t="shared" si="410"/>
        <v>23570.639999999999</v>
      </c>
      <c r="W129" s="1566">
        <v>1500000</v>
      </c>
      <c r="X129" s="1572" t="e">
        <f t="shared" si="14"/>
        <v>#VALUE!</v>
      </c>
      <c r="Y129" s="1571" t="str">
        <f>IFERROR(VLOOKUP(G129,'MON2'!MONTENALIM,5,FALSE),"")</f>
        <v/>
      </c>
      <c r="Z129" s="1573">
        <f>IFERROR(VLOOKUP(G129,'MON2'!MONTEFC,5,FALSE),"")</f>
        <v>102407.67</v>
      </c>
      <c r="AA129" s="1569"/>
      <c r="AB129" s="1554"/>
      <c r="AC129" s="1574">
        <f t="shared" si="176"/>
        <v>4500000</v>
      </c>
      <c r="AD129" s="1567">
        <f t="shared" si="381"/>
        <v>118775.6</v>
      </c>
      <c r="AE129" s="1554" t="e">
        <f t="shared" si="17"/>
        <v>#VALUE!</v>
      </c>
      <c r="AF129" s="1554" t="e">
        <f t="shared" ref="AF129:AG129" si="491">Y129+R129+K129</f>
        <v>#VALUE!</v>
      </c>
      <c r="AG129" s="1554">
        <f t="shared" si="491"/>
        <v>146283.01999999999</v>
      </c>
      <c r="AH129" s="1554">
        <f t="shared" si="19"/>
        <v>27507.419999999984</v>
      </c>
      <c r="AI129" s="1575">
        <f t="shared" si="20"/>
        <v>1.2315915053260096</v>
      </c>
      <c r="AJ129" s="1576">
        <f t="shared" si="462"/>
        <v>0</v>
      </c>
      <c r="AK129" s="1567" t="e">
        <f t="shared" si="22"/>
        <v>#VALUE!</v>
      </c>
      <c r="AL129" s="1569" t="str">
        <f>IFERROR(VLOOKUP(G129,'MON2'!MONTENALIM,6,FALSE),"")</f>
        <v/>
      </c>
      <c r="AM129" s="1577">
        <f>IFERROR(VLOOKUP(G129,'MON2'!MONTEFC,6,FALSE),"")</f>
        <v>0</v>
      </c>
      <c r="AN129" s="1576">
        <f t="shared" si="463"/>
        <v>50538.61</v>
      </c>
      <c r="AO129" s="1567" t="e">
        <f t="shared" si="23"/>
        <v>#VALUE!</v>
      </c>
      <c r="AP129" s="1554" t="str">
        <f>IFERROR(VLOOKUP(G129,'MON2'!MONTENALIM,7,FALSE),"")</f>
        <v/>
      </c>
      <c r="AQ129" s="1568">
        <f>IFERROR(VLOOKUP(G129,'MON2'!MONTEFC,7,FALSE),"")</f>
        <v>117863.67999999999</v>
      </c>
      <c r="AR129" s="1569">
        <f t="shared" si="464"/>
        <v>40152.51</v>
      </c>
      <c r="AS129" s="1569" t="e">
        <f t="shared" si="24"/>
        <v>#VALUE!</v>
      </c>
      <c r="AT129" s="1569" t="str">
        <f>IFERROR(VLOOKUP(G129,'MON2'!MONTENALIM,8,FALSE),"")</f>
        <v/>
      </c>
      <c r="AU129" s="1576">
        <f>IFERROR(VLOOKUP(G129,'MON2'!MONTEFC,8,FALSE),"")</f>
        <v>0</v>
      </c>
      <c r="AV129" s="1578" t="e">
        <f t="shared" ref="AV129:AX129" si="492">SUM(AS129,AO129,AK129)</f>
        <v>#VALUE!</v>
      </c>
      <c r="AW129" s="1554">
        <f t="shared" si="492"/>
        <v>0</v>
      </c>
      <c r="AX129" s="1566">
        <f t="shared" si="492"/>
        <v>117863.67999999999</v>
      </c>
      <c r="AY129" s="1567" t="e">
        <f t="shared" ref="AY129:BA129" si="493">SUM(AV129,AE129)</f>
        <v>#VALUE!</v>
      </c>
      <c r="AZ129" s="1554" t="e">
        <f t="shared" si="493"/>
        <v>#VALUE!</v>
      </c>
      <c r="BA129" s="1579">
        <f t="shared" si="493"/>
        <v>264146.69999999995</v>
      </c>
      <c r="BB129" s="1576">
        <f t="shared" si="385"/>
        <v>109991.43</v>
      </c>
      <c r="BC129" s="1580" t="e">
        <f t="shared" si="28"/>
        <v>#VALUE!</v>
      </c>
      <c r="BD129" s="1554" t="str">
        <f>IFERROR(VLOOKUP(G129,'MON2'!MONTENALIM,9,FALSE),"")</f>
        <v/>
      </c>
      <c r="BE129" s="1581">
        <f>IFERROR(VLOOKUP(G129,'MON2'!MONTEFC,9,FALSE),"")</f>
        <v>0</v>
      </c>
      <c r="BF129" s="1514">
        <f t="shared" si="386"/>
        <v>0</v>
      </c>
      <c r="BG129" s="331">
        <f t="shared" si="387"/>
        <v>44293.96</v>
      </c>
      <c r="BH129" s="331">
        <f t="shared" si="388"/>
        <v>49124.76</v>
      </c>
      <c r="BI129" s="331">
        <f t="shared" si="389"/>
        <v>69650.84</v>
      </c>
      <c r="BJ129" s="331">
        <f t="shared" si="390"/>
        <v>0</v>
      </c>
    </row>
    <row r="130" spans="1:97" ht="13">
      <c r="A130" s="1582"/>
      <c r="B130" s="1865" t="s">
        <v>813</v>
      </c>
      <c r="C130" s="1866"/>
      <c r="D130" s="1866"/>
      <c r="E130" s="1866"/>
      <c r="F130" s="1866"/>
      <c r="G130" s="1867"/>
      <c r="H130" s="1583">
        <f t="shared" ref="H130:R130" si="494">SUM(H2:H129)</f>
        <v>28865019.439999998</v>
      </c>
      <c r="I130" s="1584" t="e">
        <f t="shared" si="494"/>
        <v>#VALUE!</v>
      </c>
      <c r="J130" s="1585" t="e">
        <f t="shared" si="494"/>
        <v>#VALUE!</v>
      </c>
      <c r="K130" s="1583">
        <f t="shared" si="494"/>
        <v>21369131.629999999</v>
      </c>
      <c r="L130" s="1586">
        <f t="shared" si="494"/>
        <v>121018909.98000003</v>
      </c>
      <c r="M130" s="1587" t="e">
        <f t="shared" si="494"/>
        <v>#VALUE!</v>
      </c>
      <c r="N130" s="1583" t="e">
        <f t="shared" si="494"/>
        <v>#DIV/0!</v>
      </c>
      <c r="O130" s="1583">
        <f t="shared" si="494"/>
        <v>33123706.630000003</v>
      </c>
      <c r="P130" s="1583" t="e">
        <f t="shared" si="494"/>
        <v>#VALUE!</v>
      </c>
      <c r="Q130" s="1287" t="e">
        <f t="shared" si="494"/>
        <v>#VALUE!</v>
      </c>
      <c r="R130" s="1287">
        <f t="shared" si="494"/>
        <v>19838294.900000002</v>
      </c>
      <c r="S130" s="1287">
        <f>SUM(S2:S129,S136)</f>
        <v>105282122.94999999</v>
      </c>
      <c r="T130" s="1287" t="e">
        <f t="shared" ref="T130:AU130" si="495">SUM(T2:T129)</f>
        <v>#VALUE!</v>
      </c>
      <c r="U130" s="1287" t="e">
        <f t="shared" si="495"/>
        <v>#VALUE!</v>
      </c>
      <c r="V130" s="1287">
        <f t="shared" si="495"/>
        <v>32596980.84</v>
      </c>
      <c r="W130" s="1288" t="e">
        <f t="shared" si="495"/>
        <v>#VALUE!</v>
      </c>
      <c r="X130" s="1289" t="e">
        <f t="shared" si="495"/>
        <v>#VALUE!</v>
      </c>
      <c r="Y130" s="1287">
        <f t="shared" si="495"/>
        <v>14088564.74</v>
      </c>
      <c r="Z130" s="1588">
        <f t="shared" si="495"/>
        <v>60881464.75</v>
      </c>
      <c r="AA130" s="1589">
        <f t="shared" si="495"/>
        <v>0</v>
      </c>
      <c r="AB130" s="1287">
        <f t="shared" si="495"/>
        <v>0</v>
      </c>
      <c r="AC130" s="1288" t="e">
        <f t="shared" si="495"/>
        <v>#VALUE!</v>
      </c>
      <c r="AD130" s="1289">
        <f t="shared" si="495"/>
        <v>336573562.80000001</v>
      </c>
      <c r="AE130" s="1289" t="e">
        <f t="shared" si="495"/>
        <v>#VALUE!</v>
      </c>
      <c r="AF130" s="1289" t="e">
        <f t="shared" si="495"/>
        <v>#VALUE!</v>
      </c>
      <c r="AG130" s="1289" t="e">
        <f t="shared" si="495"/>
        <v>#VALUE!</v>
      </c>
      <c r="AH130" s="1289" t="e">
        <f t="shared" si="495"/>
        <v>#VALUE!</v>
      </c>
      <c r="AI130" s="1289">
        <f t="shared" si="495"/>
        <v>108.08520654716087</v>
      </c>
      <c r="AJ130" s="1585">
        <f t="shared" si="495"/>
        <v>42946099.640000001</v>
      </c>
      <c r="AK130" s="1585" t="e">
        <f t="shared" si="495"/>
        <v>#VALUE!</v>
      </c>
      <c r="AL130" s="1585">
        <f t="shared" si="495"/>
        <v>17618903.670000002</v>
      </c>
      <c r="AM130" s="1585">
        <f t="shared" si="495"/>
        <v>89990513.059999987</v>
      </c>
      <c r="AN130" s="1585">
        <f t="shared" si="495"/>
        <v>42715532.860000007</v>
      </c>
      <c r="AO130" s="1585" t="e">
        <f t="shared" si="495"/>
        <v>#VALUE!</v>
      </c>
      <c r="AP130" s="1585">
        <f t="shared" si="495"/>
        <v>17323005.199999999</v>
      </c>
      <c r="AQ130" s="1583">
        <f t="shared" si="495"/>
        <v>66746333.230000019</v>
      </c>
      <c r="AR130" s="1585">
        <f t="shared" si="495"/>
        <v>40284786.299999997</v>
      </c>
      <c r="AS130" s="1585" t="e">
        <f t="shared" si="495"/>
        <v>#VALUE!</v>
      </c>
      <c r="AT130" s="1585">
        <f t="shared" si="495"/>
        <v>21764606.590000007</v>
      </c>
      <c r="AU130" s="1590">
        <f t="shared" si="495"/>
        <v>99144005.349999994</v>
      </c>
      <c r="AV130" s="1591" t="e">
        <f t="shared" ref="AV130:AX130" si="496">SUM(AS130,AO130,AK130)</f>
        <v>#VALUE!</v>
      </c>
      <c r="AW130" s="1592">
        <f t="shared" si="496"/>
        <v>56706515.460000008</v>
      </c>
      <c r="AX130" s="1593">
        <f t="shared" si="496"/>
        <v>255880851.63999999</v>
      </c>
      <c r="AY130" s="1594" t="e">
        <f t="shared" ref="AY130:BA130" si="497">SUM(AV130,AE130)</f>
        <v>#VALUE!</v>
      </c>
      <c r="AZ130" s="1592" t="e">
        <f t="shared" si="497"/>
        <v>#VALUE!</v>
      </c>
      <c r="BA130" s="1595" t="e">
        <f t="shared" si="497"/>
        <v>#VALUE!</v>
      </c>
      <c r="BB130" s="1596">
        <f t="shared" ref="BB130:BJ130" si="498">SUM(BB2:BB129)</f>
        <v>56204290.600000009</v>
      </c>
      <c r="BC130" s="1597" t="e">
        <f t="shared" si="498"/>
        <v>#VALUE!</v>
      </c>
      <c r="BD130" s="1585">
        <f t="shared" si="498"/>
        <v>15653414.289999999</v>
      </c>
      <c r="BE130" s="1598">
        <f t="shared" si="498"/>
        <v>47236251.530000009</v>
      </c>
      <c r="BF130" s="1599">
        <f t="shared" si="498"/>
        <v>39671847.530000001</v>
      </c>
      <c r="BG130" s="1599">
        <f t="shared" si="498"/>
        <v>54066889.86999999</v>
      </c>
      <c r="BH130" s="1599">
        <f t="shared" si="498"/>
        <v>78353742.13000001</v>
      </c>
      <c r="BI130" s="1599">
        <f t="shared" si="498"/>
        <v>83336047.839999959</v>
      </c>
      <c r="BJ130" s="1599">
        <f t="shared" si="498"/>
        <v>90777045.029999956</v>
      </c>
      <c r="BK130" s="188"/>
      <c r="BL130" s="188"/>
      <c r="BM130" s="188"/>
      <c r="BN130" s="188"/>
      <c r="BO130" s="188"/>
      <c r="BP130" s="188"/>
      <c r="BQ130" s="188"/>
      <c r="BR130" s="188"/>
      <c r="BS130" s="188"/>
      <c r="BT130" s="188"/>
      <c r="BU130" s="188"/>
      <c r="BV130" s="188"/>
      <c r="BW130" s="188"/>
      <c r="BX130" s="188"/>
      <c r="BY130" s="188"/>
      <c r="BZ130" s="188"/>
      <c r="CA130" s="188"/>
      <c r="CB130" s="188"/>
      <c r="CC130" s="188"/>
      <c r="CD130" s="188"/>
      <c r="CE130" s="188"/>
      <c r="CF130" s="188"/>
      <c r="CG130" s="188"/>
      <c r="CH130" s="188"/>
      <c r="CI130" s="188"/>
      <c r="CJ130" s="188"/>
      <c r="CK130" s="188"/>
      <c r="CL130" s="188"/>
      <c r="CM130" s="188"/>
      <c r="CN130" s="188"/>
      <c r="CO130" s="188"/>
      <c r="CP130" s="188"/>
      <c r="CQ130" s="188"/>
      <c r="CR130" s="188"/>
      <c r="CS130" s="188"/>
    </row>
    <row r="131" spans="1:97" ht="13">
      <c r="C131" s="294"/>
      <c r="D131" s="294"/>
      <c r="E131" s="294"/>
      <c r="F131" s="294"/>
      <c r="N131" s="295"/>
      <c r="U131" s="295"/>
      <c r="AC131" s="188"/>
      <c r="AE131" s="188"/>
      <c r="AF131" s="188"/>
      <c r="AG131" s="188"/>
      <c r="AH131" s="188"/>
      <c r="AI131" s="299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</row>
    <row r="132" spans="1:97" ht="13">
      <c r="C132" s="294"/>
      <c r="D132" s="294"/>
      <c r="E132" s="294"/>
      <c r="F132" s="294"/>
      <c r="N132" s="295"/>
      <c r="U132" s="295"/>
      <c r="AC132" s="188"/>
      <c r="AE132" s="188"/>
      <c r="AF132" s="188"/>
      <c r="AG132" s="188"/>
      <c r="AH132" s="188"/>
      <c r="AI132" s="299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</row>
    <row r="133" spans="1:97" ht="13">
      <c r="C133" s="294"/>
      <c r="D133" s="294"/>
      <c r="E133" s="294"/>
      <c r="F133" s="294"/>
      <c r="N133" s="295"/>
      <c r="U133" s="295"/>
      <c r="AC133" s="188"/>
      <c r="AE133" s="188"/>
      <c r="AF133" s="188"/>
      <c r="AG133" s="188"/>
      <c r="AH133" s="188"/>
      <c r="AI133" s="299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</row>
    <row r="134" spans="1:97" ht="13" hidden="1">
      <c r="C134" s="294"/>
      <c r="D134" s="294"/>
      <c r="E134" s="294"/>
      <c r="F134" s="294"/>
      <c r="N134" s="295"/>
      <c r="U134" s="295"/>
      <c r="AC134" s="188"/>
      <c r="AE134" s="188"/>
      <c r="AF134" s="188"/>
      <c r="AG134" s="188"/>
      <c r="AH134" s="188"/>
      <c r="AI134" s="299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</row>
    <row r="135" spans="1:97" ht="13" hidden="1">
      <c r="A135" s="302"/>
      <c r="B135" s="325" t="e">
        <f>VLOOKUP(G135,MONTENEGROCARTERA,3,FALSE)</f>
        <v>#N/A</v>
      </c>
      <c r="C135" s="324" t="e">
        <f>VLOOKUP(G135,MONTENEGROCARTERA,2,FALSE)</f>
        <v>#N/A</v>
      </c>
      <c r="D135" s="558" t="str">
        <f>IFERROR(VLOOKUP(C135,DES,2,FALSE),"")</f>
        <v/>
      </c>
      <c r="E135" s="558" t="str">
        <f>IFERROR(VLOOKUP(C135,DES,3,FALSE),"")</f>
        <v/>
      </c>
      <c r="F135" s="558" t="str">
        <f>IFERROR(VLOOKUP(C135,DES,4,FALSE),"")</f>
        <v/>
      </c>
      <c r="G135" s="325" t="s">
        <v>997</v>
      </c>
      <c r="H135" s="326"/>
      <c r="I135" s="121"/>
      <c r="J135" s="140" t="e">
        <f t="shared" ref="J135:J136" si="499">L135-K135</f>
        <v>#VALUE!</v>
      </c>
      <c r="K135" s="326" t="str">
        <f>IFERROR(VLOOKUP(G135,'MON2'!MONTENALIM,3,FALSE),"")</f>
        <v/>
      </c>
      <c r="L135" s="333">
        <f>IFERROR(VLOOKUP(G135,'MON2'!MONTEFC,3,FALSE),"")</f>
        <v>0</v>
      </c>
      <c r="M135" s="123">
        <f t="shared" ref="M135:M136" si="500">L135-I135</f>
        <v>0</v>
      </c>
      <c r="N135" s="137" t="e">
        <f t="shared" ref="N135:N136" si="501">L135/I135</f>
        <v>#DIV/0!</v>
      </c>
      <c r="O135" s="326" t="str">
        <f>IFERROR(VLOOKUP(G135,MONTE24,4,FALSE),"")</f>
        <v/>
      </c>
      <c r="P135" s="116">
        <v>1800000</v>
      </c>
      <c r="Q135" s="116" t="e">
        <f t="shared" ref="Q135:Q136" si="502">S135-R135</f>
        <v>#VALUE!</v>
      </c>
      <c r="R135" s="326" t="str">
        <f>IFERROR(VLOOKUP(G135,'MON2'!MONTENALIM,4,FALSE),"")</f>
        <v/>
      </c>
      <c r="S135" s="326">
        <f>IFERROR(VLOOKUP(G135,'MON2'!MONTEFC,4,FALSE),"")</f>
        <v>0</v>
      </c>
      <c r="T135" s="326">
        <f t="shared" ref="T135:T136" si="503">S135-P135</f>
        <v>-1800000</v>
      </c>
      <c r="U135" s="137">
        <f t="shared" ref="U135:U136" si="504">S135/P135</f>
        <v>0</v>
      </c>
      <c r="V135" s="326" t="str">
        <f>IFERROR(VLOOKUP(G135,MONTE24,5,FALSE),"")</f>
        <v/>
      </c>
      <c r="W135" s="121">
        <v>1800000</v>
      </c>
      <c r="X135" s="113" t="e">
        <f t="shared" ref="X135:X136" si="505">Z135-Y135</f>
        <v>#VALUE!</v>
      </c>
      <c r="Y135" s="116" t="str">
        <f>IFERROR(VLOOKUP(G135,'MON2'!MONTENALIM,5,FALSE),"")</f>
        <v/>
      </c>
      <c r="Z135" s="117">
        <f>IFERROR(VLOOKUP(G135,'MON2'!MONTEFC,5,FALSE),"")</f>
        <v>0</v>
      </c>
      <c r="AA135" s="114"/>
      <c r="AB135" s="116"/>
      <c r="AC135" s="1257">
        <f t="shared" ref="AC135:AC136" si="506">I135+P135+W135</f>
        <v>3600000</v>
      </c>
      <c r="AD135" s="140">
        <f>IFERROR(VLOOKUP(G135,trim2024,2,FALSE),"0")</f>
        <v>4941404.04</v>
      </c>
      <c r="AE135" s="326" t="e">
        <f t="shared" ref="AE135:AE136" si="507">AG135-AF135</f>
        <v>#VALUE!</v>
      </c>
      <c r="AF135" s="326" t="e">
        <f t="shared" ref="AF135:AG135" si="508">Y135+R135+K135</f>
        <v>#VALUE!</v>
      </c>
      <c r="AG135" s="326">
        <f t="shared" si="508"/>
        <v>0</v>
      </c>
      <c r="AH135" s="326">
        <f t="shared" ref="AH135:AH136" si="509">AG135-AD135</f>
        <v>-4941404.04</v>
      </c>
      <c r="AI135" s="1258">
        <f t="shared" ref="AI135:AI136" si="510">IFERROR(AG135/AD135,"")</f>
        <v>0</v>
      </c>
      <c r="AJ135" s="125" t="str">
        <f>IFERROR(VLOOKUP(G135,MONTE24,6,FALSE),"")</f>
        <v/>
      </c>
      <c r="AK135" s="140" t="e">
        <f>AM135-AL135</f>
        <v>#VALUE!</v>
      </c>
      <c r="AL135" s="123" t="str">
        <f>IFERROR(VLOOKUP(G135,'MON2'!MONTENALIM,6,FALSE),"")</f>
        <v/>
      </c>
      <c r="AM135" s="148">
        <f>IFERROR(VLOOKUP(G135,'MON2'!MONTEFC,6,FALSE),"")</f>
        <v>0.05</v>
      </c>
      <c r="AN135" s="125"/>
      <c r="AO135" s="140" t="e">
        <f>AQ135-AP135</f>
        <v>#VALUE!</v>
      </c>
      <c r="AP135" s="326" t="str">
        <f>IFERROR(VLOOKUP(G135,'MON2'!MONTENALIM,7,FALSE),"")</f>
        <v/>
      </c>
      <c r="AQ135" s="333">
        <f>IFERROR(VLOOKUP(G135,'MON2'!MONTEFC,7,FALSE),"")</f>
        <v>0</v>
      </c>
      <c r="AR135" s="123"/>
      <c r="AS135" s="123" t="e">
        <f t="shared" ref="AS135:AS137" si="511">AU135-AT135</f>
        <v>#VALUE!</v>
      </c>
      <c r="AT135" s="123" t="str">
        <f>IFERROR(VLOOKUP(G135,'MON2'!MONTENALIM,8,FALSE),"")</f>
        <v/>
      </c>
      <c r="AU135" s="123">
        <f>IFERROR(VLOOKUP(G135,'MON2'!MONTEFC,8,FALSE),"")</f>
        <v>0</v>
      </c>
      <c r="AV135" s="125"/>
      <c r="AW135" s="125"/>
      <c r="AX135" s="125"/>
      <c r="AY135" s="125"/>
      <c r="AZ135" s="125"/>
      <c r="BA135" s="125"/>
      <c r="BB135" s="332" t="str">
        <f>IFERROR(VLOOKUP(G135,MONTE24,9,FALSE),"")</f>
        <v/>
      </c>
      <c r="BC135" s="1600" t="e">
        <f t="shared" ref="BC135:BC137" si="512">BE135-BD135</f>
        <v>#VALUE!</v>
      </c>
      <c r="BD135" s="326" t="str">
        <f>IFERROR(VLOOKUP(G135,'MON2'!MONTENALIM,9,FALSE),"")</f>
        <v/>
      </c>
      <c r="BE135" s="1601">
        <f>IFERROR(VLOOKUP(G135,'MON2'!MONTEFC,9,FALSE),"")</f>
        <v>0</v>
      </c>
      <c r="BF135" s="123" t="str">
        <f>IFERROR(VLOOKUP(G135,MONTE24,10,FALSE),"")</f>
        <v/>
      </c>
      <c r="BG135" s="326" t="str">
        <f>IFERROR(VLOOKUP(G135,MONTE24,11,FALSE),"")</f>
        <v/>
      </c>
      <c r="BH135" s="326" t="str">
        <f>IFERROR(VLOOKUP(G135,MONTE24,12,FALSE),"")</f>
        <v/>
      </c>
      <c r="BI135" s="326" t="str">
        <f>IFERROR(VLOOKUP(G135,MONTE24,13,FALSE),"")</f>
        <v/>
      </c>
      <c r="BJ135" s="326" t="str">
        <f>IFERROR(VLOOKUP(G135,MONTE24,14,FALSE),"")</f>
        <v/>
      </c>
    </row>
    <row r="136" spans="1:97" ht="13" hidden="1">
      <c r="A136" s="302"/>
      <c r="B136" s="325"/>
      <c r="C136" s="324"/>
      <c r="D136" s="558"/>
      <c r="E136" s="558"/>
      <c r="F136" s="558"/>
      <c r="G136" s="325" t="s">
        <v>1384</v>
      </c>
      <c r="H136" s="326"/>
      <c r="I136" s="332"/>
      <c r="J136" s="326" t="e">
        <f t="shared" si="499"/>
        <v>#VALUE!</v>
      </c>
      <c r="K136" s="326" t="str">
        <f>IFERROR(VLOOKUP(G136,'MON2'!MONTENALIM,3,FALSE),"")</f>
        <v/>
      </c>
      <c r="L136" s="326">
        <f>IFERROR(VLOOKUP(G136,'MON2'!MONTEFC,3,FALSE),"")</f>
        <v>0</v>
      </c>
      <c r="M136" s="326">
        <f t="shared" si="500"/>
        <v>0</v>
      </c>
      <c r="N136" s="137" t="e">
        <f t="shared" si="501"/>
        <v>#DIV/0!</v>
      </c>
      <c r="O136" s="326" t="str">
        <f>IFERROR(VLOOKUP(G136,MONTE24,4,FALSE),"")</f>
        <v/>
      </c>
      <c r="P136" s="326" t="e">
        <f>(O136*1.7245)*1.05</f>
        <v>#VALUE!</v>
      </c>
      <c r="Q136" s="326" t="e">
        <f t="shared" si="502"/>
        <v>#VALUE!</v>
      </c>
      <c r="R136" s="326" t="str">
        <f>IFERROR(VLOOKUP(G136,'MON2'!MONTENALIM,4,FALSE),"")</f>
        <v/>
      </c>
      <c r="S136" s="326">
        <f>IFERROR(VLOOKUP(G136,'MON2'!MONTEFC,4,FALSE),"")</f>
        <v>-39555.07</v>
      </c>
      <c r="T136" s="326" t="e">
        <f t="shared" si="503"/>
        <v>#VALUE!</v>
      </c>
      <c r="U136" s="137" t="e">
        <f t="shared" si="504"/>
        <v>#VALUE!</v>
      </c>
      <c r="V136" s="326" t="str">
        <f>IFERROR(VLOOKUP(G136,MONTE24,5,FALSE),"")</f>
        <v/>
      </c>
      <c r="W136" s="326" t="e">
        <f>(V136*1.5955)*1.05</f>
        <v>#VALUE!</v>
      </c>
      <c r="X136" s="326" t="e">
        <f t="shared" si="505"/>
        <v>#VALUE!</v>
      </c>
      <c r="Y136" s="326" t="str">
        <f>IFERROR(VLOOKUP(G136,'MON2'!MONTENALIM,5,FALSE),"")</f>
        <v/>
      </c>
      <c r="Z136" s="326">
        <f>IFERROR(VLOOKUP(G136,'MON2'!MONTEFC,5,FALSE),"")</f>
        <v>0</v>
      </c>
      <c r="AA136" s="326"/>
      <c r="AB136" s="326"/>
      <c r="AC136" s="969" t="e">
        <f t="shared" si="506"/>
        <v>#VALUE!</v>
      </c>
      <c r="AD136" s="326" t="str">
        <f>IFERROR(VLOOKUP(G136,trim2024,2,FALSE),"0")</f>
        <v>0</v>
      </c>
      <c r="AE136" s="326" t="e">
        <f t="shared" si="507"/>
        <v>#VALUE!</v>
      </c>
      <c r="AF136" s="326" t="e">
        <f t="shared" ref="AF136:AG136" si="513">Y136+R136+K136</f>
        <v>#VALUE!</v>
      </c>
      <c r="AG136" s="326">
        <f t="shared" si="513"/>
        <v>-39555.07</v>
      </c>
      <c r="AH136" s="326">
        <f t="shared" si="509"/>
        <v>-39555.07</v>
      </c>
      <c r="AI136" s="970" t="str">
        <f t="shared" si="510"/>
        <v/>
      </c>
      <c r="AJ136" s="123"/>
      <c r="AK136" s="123"/>
      <c r="AL136" s="123"/>
      <c r="AM136" s="123"/>
      <c r="AN136" s="326"/>
      <c r="AO136" s="326"/>
      <c r="AP136" s="326"/>
      <c r="AQ136" s="326"/>
      <c r="AR136" s="326"/>
      <c r="AS136" s="114" t="e">
        <f t="shared" si="511"/>
        <v>#VALUE!</v>
      </c>
      <c r="AT136" s="114" t="str">
        <f>IFERROR(VLOOKUP(G136,'MON2'!MONTENALIM,8,FALSE),"")</f>
        <v/>
      </c>
      <c r="AU136" s="114">
        <f>IFERROR(VLOOKUP(G136,'MON2'!MONTEFC,8,FALSE),"")</f>
        <v>0</v>
      </c>
      <c r="AV136" s="114"/>
      <c r="AW136" s="114"/>
      <c r="AX136" s="114"/>
      <c r="AY136" s="114"/>
      <c r="AZ136" s="114"/>
      <c r="BA136" s="114"/>
      <c r="BB136" s="116" t="str">
        <f>IFERROR(VLOOKUP(G136,MONTE24,9,FALSE),"")</f>
        <v/>
      </c>
      <c r="BC136" s="116" t="e">
        <f t="shared" si="512"/>
        <v>#VALUE!</v>
      </c>
      <c r="BD136" s="116" t="str">
        <f>IFERROR(VLOOKUP(G136,'MON2'!MONTENALIM,9,FALSE),"")</f>
        <v/>
      </c>
      <c r="BE136" s="116">
        <f>IFERROR(VLOOKUP(G136,'MON2'!MONTEFC,9,FALSE),"")</f>
        <v>0</v>
      </c>
      <c r="BF136" s="326"/>
      <c r="BG136" s="325"/>
      <c r="BH136" s="325"/>
      <c r="BI136" s="325"/>
      <c r="BJ136" s="325"/>
    </row>
    <row r="137" spans="1:97" ht="13" hidden="1">
      <c r="C137" s="294"/>
      <c r="D137" s="294"/>
      <c r="E137" s="294"/>
      <c r="F137" s="294"/>
      <c r="N137" s="295"/>
      <c r="U137" s="295"/>
      <c r="AC137" s="188"/>
      <c r="AE137" s="188"/>
      <c r="AF137" s="188"/>
      <c r="AG137" s="188"/>
      <c r="AH137" s="188"/>
      <c r="AI137" s="299"/>
      <c r="AS137" s="123" t="e">
        <f t="shared" si="511"/>
        <v>#VALUE!</v>
      </c>
      <c r="AT137" s="123" t="str">
        <f>IFERROR(VLOOKUP(G137,'MON2'!MONTENALIM,8,FALSE),"")</f>
        <v/>
      </c>
      <c r="AU137" s="123" t="str">
        <f>IFERROR(VLOOKUP(G137,'MON2'!MONTEFC,8,FALSE),"")</f>
        <v/>
      </c>
      <c r="AV137" s="123"/>
      <c r="AW137" s="123"/>
      <c r="AX137" s="123"/>
      <c r="AY137" s="123"/>
      <c r="AZ137" s="123"/>
      <c r="BA137" s="123"/>
      <c r="BB137" s="326" t="str">
        <f>IFERROR(VLOOKUP(G137,MONTE24,9,FALSE),"")</f>
        <v/>
      </c>
      <c r="BC137" s="326" t="e">
        <f t="shared" si="512"/>
        <v>#VALUE!</v>
      </c>
      <c r="BD137" s="326" t="str">
        <f>IFERROR(VLOOKUP(G137,'MON2'!MONTENALIM,9,FALSE),"")</f>
        <v/>
      </c>
      <c r="BE137" s="326" t="str">
        <f>IFERROR(VLOOKUP(G137,'MON2'!MONTEFC,9,FALSE),"")</f>
        <v/>
      </c>
    </row>
    <row r="138" spans="1:97" ht="13">
      <c r="C138" s="294"/>
      <c r="D138" s="294"/>
      <c r="E138" s="294"/>
      <c r="F138" s="294"/>
      <c r="N138" s="295"/>
      <c r="U138" s="295"/>
      <c r="AC138" s="188"/>
      <c r="AE138" s="188"/>
      <c r="AF138" s="188"/>
      <c r="AG138" s="188"/>
      <c r="AH138" s="188"/>
      <c r="AI138" s="299"/>
    </row>
    <row r="139" spans="1:97" ht="13">
      <c r="C139" s="294"/>
      <c r="D139" s="294"/>
      <c r="E139" s="294"/>
      <c r="F139" s="294"/>
      <c r="N139" s="295"/>
      <c r="U139" s="295"/>
      <c r="AC139" s="188"/>
      <c r="AE139" s="188"/>
      <c r="AF139" s="188"/>
      <c r="AG139" s="188"/>
      <c r="AH139" s="188"/>
      <c r="AI139" s="299"/>
    </row>
    <row r="140" spans="1:97" ht="13">
      <c r="C140" s="294"/>
      <c r="D140" s="294"/>
      <c r="E140" s="294"/>
      <c r="F140" s="294"/>
      <c r="N140" s="295"/>
      <c r="U140" s="295"/>
      <c r="AC140" s="188"/>
      <c r="AE140" s="188"/>
      <c r="AF140" s="188"/>
      <c r="AG140" s="188"/>
      <c r="AH140" s="188"/>
      <c r="AI140" s="299"/>
    </row>
    <row r="141" spans="1:97" ht="13">
      <c r="C141" s="294"/>
      <c r="D141" s="294"/>
      <c r="E141" s="294"/>
      <c r="F141" s="294"/>
      <c r="N141" s="295"/>
      <c r="U141" s="295"/>
      <c r="AC141" s="188"/>
      <c r="AE141" s="188"/>
      <c r="AF141" s="188"/>
      <c r="AG141" s="188"/>
      <c r="AH141" s="188"/>
      <c r="AI141" s="299"/>
    </row>
    <row r="142" spans="1:97" ht="13">
      <c r="C142" s="294"/>
      <c r="D142" s="294"/>
      <c r="E142" s="294"/>
      <c r="F142" s="294"/>
      <c r="N142" s="295"/>
      <c r="U142" s="295"/>
      <c r="AC142" s="188"/>
      <c r="AE142" s="188"/>
      <c r="AF142" s="188"/>
      <c r="AG142" s="188"/>
      <c r="AH142" s="188"/>
      <c r="AI142" s="299"/>
    </row>
    <row r="143" spans="1:97" ht="13">
      <c r="C143" s="294"/>
      <c r="D143" s="294"/>
      <c r="E143" s="294"/>
      <c r="F143" s="294"/>
      <c r="N143" s="295"/>
      <c r="U143" s="295"/>
      <c r="AC143" s="188"/>
      <c r="AE143" s="188"/>
      <c r="AF143" s="188"/>
      <c r="AG143" s="188"/>
      <c r="AH143" s="188"/>
      <c r="AI143" s="299"/>
    </row>
    <row r="144" spans="1:97" ht="13">
      <c r="C144" s="294"/>
      <c r="D144" s="294"/>
      <c r="E144" s="294"/>
      <c r="F144" s="294"/>
      <c r="N144" s="295"/>
      <c r="U144" s="295"/>
      <c r="AC144" s="188"/>
      <c r="AE144" s="188"/>
      <c r="AF144" s="188"/>
      <c r="AG144" s="188"/>
      <c r="AH144" s="188"/>
      <c r="AI144" s="299"/>
    </row>
    <row r="145" spans="3:35" ht="13">
      <c r="C145" s="294"/>
      <c r="D145" s="294"/>
      <c r="E145" s="294"/>
      <c r="F145" s="294"/>
      <c r="N145" s="295"/>
      <c r="U145" s="295"/>
      <c r="AC145" s="188"/>
      <c r="AE145" s="188"/>
      <c r="AF145" s="188"/>
      <c r="AG145" s="188"/>
      <c r="AH145" s="188"/>
      <c r="AI145" s="299"/>
    </row>
    <row r="146" spans="3:35" ht="13">
      <c r="C146" s="294"/>
      <c r="D146" s="294"/>
      <c r="E146" s="294"/>
      <c r="F146" s="294"/>
      <c r="N146" s="295"/>
      <c r="U146" s="295"/>
      <c r="AC146" s="188"/>
      <c r="AE146" s="188"/>
      <c r="AF146" s="188"/>
      <c r="AG146" s="188"/>
      <c r="AH146" s="188"/>
      <c r="AI146" s="299"/>
    </row>
    <row r="147" spans="3:35" ht="13">
      <c r="C147" s="294"/>
      <c r="D147" s="294"/>
      <c r="E147" s="294"/>
      <c r="F147" s="294"/>
      <c r="N147" s="295"/>
      <c r="U147" s="295"/>
      <c r="AC147" s="188"/>
      <c r="AE147" s="188"/>
      <c r="AF147" s="188"/>
      <c r="AG147" s="188"/>
      <c r="AH147" s="188"/>
      <c r="AI147" s="299"/>
    </row>
    <row r="148" spans="3:35" ht="13">
      <c r="C148" s="294"/>
      <c r="D148" s="294"/>
      <c r="E148" s="294"/>
      <c r="F148" s="294"/>
      <c r="N148" s="295"/>
      <c r="U148" s="295"/>
      <c r="AC148" s="188"/>
      <c r="AE148" s="188"/>
      <c r="AF148" s="188"/>
      <c r="AG148" s="188"/>
      <c r="AH148" s="188"/>
      <c r="AI148" s="299"/>
    </row>
    <row r="149" spans="3:35" ht="13">
      <c r="C149" s="294"/>
      <c r="D149" s="294"/>
      <c r="E149" s="294"/>
      <c r="F149" s="294"/>
      <c r="N149" s="295"/>
      <c r="U149" s="295"/>
      <c r="AC149" s="188"/>
      <c r="AE149" s="188"/>
      <c r="AF149" s="188"/>
      <c r="AG149" s="188"/>
      <c r="AH149" s="188"/>
      <c r="AI149" s="299"/>
    </row>
    <row r="150" spans="3:35" ht="13">
      <c r="C150" s="294"/>
      <c r="D150" s="294"/>
      <c r="E150" s="294"/>
      <c r="F150" s="294"/>
      <c r="N150" s="295"/>
      <c r="U150" s="295"/>
      <c r="AC150" s="188"/>
      <c r="AE150" s="188"/>
      <c r="AF150" s="188"/>
      <c r="AG150" s="188"/>
      <c r="AH150" s="188"/>
      <c r="AI150" s="299"/>
    </row>
    <row r="151" spans="3:35" ht="13">
      <c r="C151" s="294"/>
      <c r="D151" s="294"/>
      <c r="E151" s="294"/>
      <c r="F151" s="294"/>
      <c r="N151" s="295"/>
      <c r="U151" s="295"/>
      <c r="AC151" s="188"/>
      <c r="AE151" s="188"/>
      <c r="AF151" s="188"/>
      <c r="AG151" s="188"/>
      <c r="AH151" s="188"/>
      <c r="AI151" s="299"/>
    </row>
    <row r="152" spans="3:35" ht="13">
      <c r="C152" s="294"/>
      <c r="D152" s="294"/>
      <c r="E152" s="294"/>
      <c r="F152" s="294"/>
      <c r="N152" s="295"/>
      <c r="U152" s="295"/>
      <c r="AC152" s="188"/>
      <c r="AE152" s="188"/>
      <c r="AF152" s="188"/>
      <c r="AG152" s="188"/>
      <c r="AH152" s="188"/>
      <c r="AI152" s="299"/>
    </row>
    <row r="153" spans="3:35" ht="13">
      <c r="C153" s="294"/>
      <c r="D153" s="294"/>
      <c r="E153" s="294"/>
      <c r="F153" s="294"/>
      <c r="N153" s="295"/>
      <c r="U153" s="295"/>
      <c r="AC153" s="188"/>
      <c r="AE153" s="188"/>
      <c r="AF153" s="188"/>
      <c r="AG153" s="188"/>
      <c r="AH153" s="188"/>
      <c r="AI153" s="299"/>
    </row>
    <row r="154" spans="3:35" ht="13">
      <c r="C154" s="294"/>
      <c r="D154" s="294"/>
      <c r="E154" s="294"/>
      <c r="F154" s="294"/>
      <c r="N154" s="295"/>
      <c r="U154" s="295"/>
      <c r="AC154" s="188"/>
      <c r="AE154" s="188"/>
      <c r="AF154" s="188"/>
      <c r="AG154" s="188"/>
      <c r="AH154" s="188"/>
      <c r="AI154" s="299"/>
    </row>
    <row r="155" spans="3:35" ht="13">
      <c r="C155" s="294"/>
      <c r="D155" s="294"/>
      <c r="E155" s="294"/>
      <c r="F155" s="294"/>
      <c r="N155" s="295"/>
      <c r="U155" s="295"/>
      <c r="AC155" s="188"/>
      <c r="AE155" s="188"/>
      <c r="AF155" s="188"/>
      <c r="AG155" s="188"/>
      <c r="AH155" s="188"/>
      <c r="AI155" s="299"/>
    </row>
    <row r="156" spans="3:35" ht="13">
      <c r="C156" s="294"/>
      <c r="D156" s="294"/>
      <c r="E156" s="294"/>
      <c r="F156" s="294"/>
      <c r="N156" s="295"/>
      <c r="U156" s="295"/>
      <c r="AC156" s="188"/>
      <c r="AE156" s="188"/>
      <c r="AF156" s="188"/>
      <c r="AG156" s="188"/>
      <c r="AH156" s="188"/>
      <c r="AI156" s="299"/>
    </row>
    <row r="157" spans="3:35" ht="13">
      <c r="C157" s="294"/>
      <c r="D157" s="294"/>
      <c r="E157" s="294"/>
      <c r="F157" s="294"/>
      <c r="N157" s="295"/>
      <c r="U157" s="295"/>
      <c r="AC157" s="188"/>
      <c r="AE157" s="188"/>
      <c r="AF157" s="188"/>
      <c r="AG157" s="188"/>
      <c r="AH157" s="188"/>
      <c r="AI157" s="299"/>
    </row>
    <row r="158" spans="3:35" ht="13">
      <c r="C158" s="294"/>
      <c r="D158" s="294"/>
      <c r="E158" s="294"/>
      <c r="F158" s="294"/>
      <c r="N158" s="295"/>
      <c r="U158" s="295"/>
      <c r="AC158" s="188"/>
      <c r="AE158" s="188"/>
      <c r="AF158" s="188"/>
      <c r="AG158" s="188"/>
      <c r="AH158" s="188"/>
      <c r="AI158" s="299"/>
    </row>
    <row r="159" spans="3:35" ht="13">
      <c r="C159" s="294"/>
      <c r="D159" s="294"/>
      <c r="E159" s="294"/>
      <c r="F159" s="294"/>
      <c r="N159" s="295"/>
      <c r="U159" s="295"/>
      <c r="AC159" s="188"/>
      <c r="AE159" s="188"/>
      <c r="AF159" s="188"/>
      <c r="AG159" s="188"/>
      <c r="AH159" s="188"/>
      <c r="AI159" s="299"/>
    </row>
    <row r="160" spans="3:35" ht="13">
      <c r="C160" s="294"/>
      <c r="D160" s="294"/>
      <c r="E160" s="294"/>
      <c r="F160" s="294"/>
      <c r="N160" s="295"/>
      <c r="U160" s="295"/>
      <c r="AC160" s="188"/>
      <c r="AE160" s="188"/>
      <c r="AF160" s="188"/>
      <c r="AG160" s="188"/>
      <c r="AH160" s="188"/>
      <c r="AI160" s="299"/>
    </row>
    <row r="161" spans="3:97" ht="13">
      <c r="C161" s="294"/>
      <c r="D161" s="294"/>
      <c r="E161" s="294"/>
      <c r="F161" s="294"/>
      <c r="N161" s="295"/>
      <c r="U161" s="295"/>
      <c r="AC161" s="188"/>
      <c r="AE161" s="188"/>
      <c r="AF161" s="188"/>
      <c r="AG161" s="188"/>
      <c r="AH161" s="188"/>
      <c r="AI161" s="299"/>
    </row>
    <row r="162" spans="3:97" ht="13">
      <c r="C162" s="294"/>
      <c r="D162" s="294"/>
      <c r="E162" s="294"/>
      <c r="F162" s="294"/>
      <c r="N162" s="295"/>
      <c r="U162" s="295"/>
      <c r="AC162" s="188"/>
      <c r="AE162" s="188"/>
      <c r="AF162" s="188"/>
      <c r="AG162" s="188"/>
      <c r="AH162" s="188"/>
      <c r="AI162" s="299"/>
    </row>
    <row r="163" spans="3:97" ht="13">
      <c r="C163" s="294"/>
      <c r="D163" s="294"/>
      <c r="E163" s="294"/>
      <c r="F163" s="294"/>
      <c r="N163" s="295"/>
      <c r="U163" s="295"/>
      <c r="AC163" s="188"/>
      <c r="AE163" s="188"/>
      <c r="AF163" s="188"/>
      <c r="AG163" s="188"/>
      <c r="AH163" s="188"/>
      <c r="AI163" s="299"/>
    </row>
    <row r="164" spans="3:97" ht="13">
      <c r="C164" s="294"/>
      <c r="D164" s="294"/>
      <c r="E164" s="294"/>
      <c r="F164" s="294"/>
      <c r="N164" s="295"/>
      <c r="U164" s="295"/>
      <c r="AC164" s="188"/>
      <c r="AE164" s="188"/>
      <c r="AF164" s="188"/>
      <c r="AG164" s="188"/>
      <c r="AH164" s="188"/>
      <c r="AI164" s="299"/>
    </row>
    <row r="165" spans="3:97" ht="13">
      <c r="C165" s="294"/>
      <c r="D165" s="294"/>
      <c r="E165" s="294"/>
      <c r="F165" s="294"/>
      <c r="N165" s="295"/>
      <c r="U165" s="295"/>
      <c r="AC165" s="188"/>
      <c r="AE165" s="188"/>
      <c r="AF165" s="188"/>
      <c r="AG165" s="188"/>
      <c r="AH165" s="188"/>
      <c r="AI165" s="299"/>
    </row>
    <row r="166" spans="3:97" ht="13">
      <c r="C166" s="294"/>
      <c r="D166" s="294"/>
      <c r="E166" s="294"/>
      <c r="F166" s="294"/>
      <c r="N166" s="295"/>
      <c r="U166" s="295"/>
      <c r="AC166" s="188"/>
      <c r="AE166" s="188"/>
      <c r="AF166" s="188"/>
      <c r="AG166" s="188"/>
      <c r="AH166" s="188"/>
      <c r="AI166" s="299"/>
    </row>
    <row r="167" spans="3:97" ht="13">
      <c r="C167" s="294"/>
      <c r="D167" s="294"/>
      <c r="E167" s="294"/>
      <c r="F167" s="294"/>
      <c r="N167" s="295"/>
      <c r="U167" s="295"/>
      <c r="AC167" s="188"/>
      <c r="AE167" s="188"/>
      <c r="AF167" s="188"/>
      <c r="AG167" s="188"/>
      <c r="AH167" s="188"/>
      <c r="AI167" s="299"/>
    </row>
    <row r="168" spans="3:97" ht="13">
      <c r="C168" s="294"/>
      <c r="D168" s="294"/>
      <c r="E168" s="294"/>
      <c r="F168" s="294"/>
      <c r="N168" s="295"/>
      <c r="U168" s="295"/>
      <c r="AC168" s="188"/>
      <c r="AE168" s="188"/>
      <c r="AF168" s="188"/>
      <c r="AG168" s="188"/>
      <c r="AH168" s="188"/>
      <c r="AI168" s="299"/>
    </row>
    <row r="169" spans="3:97" ht="13">
      <c r="C169" s="294"/>
      <c r="D169" s="294"/>
      <c r="E169" s="294"/>
      <c r="F169" s="294"/>
      <c r="N169" s="295"/>
      <c r="U169" s="295"/>
      <c r="AC169" s="188"/>
      <c r="AE169" s="188"/>
      <c r="AF169" s="188"/>
      <c r="AG169" s="188"/>
      <c r="AH169" s="188"/>
      <c r="AI169" s="299"/>
      <c r="CF169" s="352">
        <f>CF173-L130</f>
        <v>-2.0000040531158447E-2</v>
      </c>
      <c r="CG169" s="352">
        <f>CG173-S130</f>
        <v>-9.9999904632568359E-3</v>
      </c>
      <c r="CH169" s="352">
        <f>CH173-Z130</f>
        <v>9.9999979138374329E-3</v>
      </c>
      <c r="CI169" s="352">
        <f>CI173-AM130</f>
        <v>1.000000536441803E-2</v>
      </c>
      <c r="CJ169" s="352">
        <f>CJ173-AQ130</f>
        <v>-2.0000018179416656E-2</v>
      </c>
      <c r="CK169" s="352">
        <f>CK173-AU130</f>
        <v>1.000000536441803E-2</v>
      </c>
      <c r="CL169" s="352">
        <f>CL173-BE130</f>
        <v>1.9999988377094269E-2</v>
      </c>
    </row>
    <row r="170" spans="3:97" ht="13">
      <c r="C170" s="294"/>
      <c r="D170" s="294"/>
      <c r="E170" s="294"/>
      <c r="F170" s="294"/>
      <c r="N170" s="295"/>
      <c r="U170" s="295"/>
      <c r="AC170" s="188"/>
      <c r="AE170" s="188"/>
      <c r="AF170" s="188"/>
      <c r="AG170" s="188"/>
      <c r="AH170" s="188"/>
      <c r="AI170" s="299"/>
      <c r="CC170" s="509">
        <v>0</v>
      </c>
      <c r="CD170" s="354">
        <v>1</v>
      </c>
      <c r="CE170" s="354">
        <v>2</v>
      </c>
      <c r="CF170" s="354">
        <v>3</v>
      </c>
      <c r="CG170" s="354">
        <v>4</v>
      </c>
      <c r="CH170" s="354">
        <v>5</v>
      </c>
      <c r="CI170" s="354">
        <v>6</v>
      </c>
      <c r="CJ170" s="354">
        <v>7</v>
      </c>
      <c r="CK170" s="354">
        <v>8</v>
      </c>
      <c r="CL170" s="354">
        <v>9</v>
      </c>
      <c r="CM170" s="354">
        <v>10</v>
      </c>
      <c r="CN170" s="354">
        <v>11</v>
      </c>
      <c r="CO170" s="354">
        <v>12</v>
      </c>
      <c r="CP170" s="354">
        <v>13</v>
      </c>
      <c r="CQ170" s="354">
        <v>14</v>
      </c>
      <c r="CR170" s="354">
        <v>15</v>
      </c>
      <c r="CS170" s="355">
        <v>16</v>
      </c>
    </row>
    <row r="171" spans="3:97" ht="13">
      <c r="C171" s="294"/>
      <c r="D171" s="294"/>
      <c r="E171" s="294"/>
      <c r="F171" s="294"/>
      <c r="N171" s="295"/>
      <c r="U171" s="295"/>
      <c r="AC171" s="188"/>
      <c r="AE171" s="188"/>
      <c r="AF171" s="188"/>
      <c r="AG171" s="188"/>
      <c r="AH171" s="188"/>
      <c r="AI171" s="299"/>
      <c r="CC171" s="510"/>
      <c r="CF171" s="357">
        <v>45658</v>
      </c>
      <c r="CG171" s="357">
        <v>45689</v>
      </c>
      <c r="CH171" s="357">
        <v>45717</v>
      </c>
      <c r="CI171" s="357">
        <v>45748</v>
      </c>
      <c r="CJ171" s="357">
        <v>45778</v>
      </c>
      <c r="CK171" s="357">
        <v>45809</v>
      </c>
      <c r="CL171" s="357">
        <v>45839</v>
      </c>
      <c r="CM171" s="357">
        <v>45870</v>
      </c>
      <c r="CN171" s="357">
        <v>45901</v>
      </c>
      <c r="CO171" s="357">
        <v>45931</v>
      </c>
      <c r="CP171" s="357">
        <v>45962</v>
      </c>
      <c r="CQ171" s="357">
        <v>45992</v>
      </c>
      <c r="CR171" s="357"/>
      <c r="CS171" s="358"/>
    </row>
    <row r="172" spans="3:97" ht="13">
      <c r="C172" s="294"/>
      <c r="D172" s="294"/>
      <c r="E172" s="294"/>
      <c r="F172" s="294"/>
      <c r="N172" s="295"/>
      <c r="U172" s="295"/>
      <c r="AC172" s="188"/>
      <c r="AE172" s="188"/>
      <c r="AF172" s="188"/>
      <c r="AG172" s="188"/>
      <c r="AH172" s="188"/>
      <c r="AI172" s="299"/>
      <c r="CC172" s="510"/>
      <c r="CD172" s="511"/>
      <c r="CE172" s="377" t="s">
        <v>241</v>
      </c>
      <c r="CF172" s="360">
        <v>45658</v>
      </c>
      <c r="CG172" s="360">
        <v>45689</v>
      </c>
      <c r="CH172" s="360">
        <v>45717</v>
      </c>
      <c r="CI172" s="360">
        <v>45748</v>
      </c>
      <c r="CJ172" s="360">
        <v>45778</v>
      </c>
      <c r="CK172" s="360">
        <v>45809</v>
      </c>
      <c r="CL172" s="360">
        <v>45839</v>
      </c>
      <c r="CM172" s="360"/>
      <c r="CN172" s="360"/>
      <c r="CO172" s="360"/>
      <c r="CP172" s="360"/>
      <c r="CQ172" s="360"/>
      <c r="CR172" s="357"/>
      <c r="CS172" s="358"/>
    </row>
    <row r="173" spans="3:97" ht="13">
      <c r="C173" s="294"/>
      <c r="D173" s="294"/>
      <c r="E173" s="294"/>
      <c r="F173" s="294"/>
      <c r="N173" s="295"/>
      <c r="U173" s="295"/>
      <c r="AC173" s="188"/>
      <c r="AE173" s="188"/>
      <c r="AF173" s="188"/>
      <c r="AG173" s="188"/>
      <c r="AH173" s="188"/>
      <c r="AI173" s="299"/>
      <c r="CC173" s="510"/>
      <c r="CD173" s="359" t="s">
        <v>241</v>
      </c>
      <c r="CE173" s="361">
        <v>590299600.85000002</v>
      </c>
      <c r="CF173" s="361">
        <v>121018909.95999999</v>
      </c>
      <c r="CG173" s="361">
        <v>105282122.94</v>
      </c>
      <c r="CH173" s="361">
        <v>60881464.759999998</v>
      </c>
      <c r="CI173" s="361">
        <v>89990513.069999993</v>
      </c>
      <c r="CJ173" s="361">
        <v>66746333.210000001</v>
      </c>
      <c r="CK173" s="361">
        <v>99144005.359999999</v>
      </c>
      <c r="CL173" s="361">
        <v>47236251.549999997</v>
      </c>
      <c r="CM173" s="361"/>
      <c r="CN173" s="361"/>
      <c r="CO173" s="361"/>
      <c r="CP173" s="361"/>
      <c r="CQ173" s="361"/>
      <c r="CR173" s="361"/>
      <c r="CS173" s="362"/>
    </row>
    <row r="174" spans="3:97" ht="13">
      <c r="C174" s="294"/>
      <c r="D174" s="294"/>
      <c r="E174" s="294"/>
      <c r="F174" s="294"/>
      <c r="N174" s="295"/>
      <c r="U174" s="295"/>
      <c r="AC174" s="188"/>
      <c r="AE174" s="188"/>
      <c r="AF174" s="188"/>
      <c r="AG174" s="188"/>
      <c r="AH174" s="188"/>
      <c r="AI174" s="299"/>
      <c r="CB174" s="302">
        <f t="shared" ref="CB174:CB205" si="514">VLOOKUP(CD174,MONTENEGROCARTERA,3,FALSE)</f>
        <v>112014350</v>
      </c>
      <c r="CC174" s="510">
        <v>1</v>
      </c>
      <c r="CD174" s="359" t="s">
        <v>1261</v>
      </c>
      <c r="CE174" s="361">
        <v>114924083.90000001</v>
      </c>
      <c r="CF174" s="361">
        <v>26402374.199999999</v>
      </c>
      <c r="CG174" s="361">
        <v>16313216.949999999</v>
      </c>
      <c r="CH174" s="361">
        <v>15824703.949999999</v>
      </c>
      <c r="CI174" s="361">
        <v>20890185.280000001</v>
      </c>
      <c r="CJ174" s="361">
        <v>9822859.8599999994</v>
      </c>
      <c r="CK174" s="361">
        <v>15707542.07</v>
      </c>
      <c r="CL174" s="361">
        <v>9963201.5899999999</v>
      </c>
      <c r="CM174" s="361"/>
      <c r="CN174" s="361"/>
      <c r="CO174" s="361"/>
      <c r="CP174" s="361"/>
      <c r="CQ174" s="361"/>
      <c r="CR174" s="361"/>
      <c r="CS174" s="362"/>
    </row>
    <row r="175" spans="3:97" ht="13">
      <c r="C175" s="294"/>
      <c r="D175" s="294"/>
      <c r="E175" s="294"/>
      <c r="F175" s="294"/>
      <c r="N175" s="295"/>
      <c r="U175" s="295"/>
      <c r="AC175" s="188"/>
      <c r="AE175" s="188"/>
      <c r="AF175" s="188"/>
      <c r="AG175" s="188"/>
      <c r="AH175" s="188"/>
      <c r="AI175" s="299"/>
      <c r="CB175" s="302">
        <f t="shared" si="514"/>
        <v>112013992</v>
      </c>
      <c r="CC175" s="510">
        <v>2</v>
      </c>
      <c r="CD175" s="359" t="s">
        <v>1325</v>
      </c>
      <c r="CE175" s="361">
        <v>55486926.369999997</v>
      </c>
      <c r="CF175" s="361">
        <v>22661009.899999999</v>
      </c>
      <c r="CG175" s="361">
        <v>14886099.640000001</v>
      </c>
      <c r="CH175" s="361">
        <v>429488.17</v>
      </c>
      <c r="CI175" s="361">
        <v>5025625.3</v>
      </c>
      <c r="CJ175" s="361">
        <v>2787619.97</v>
      </c>
      <c r="CK175" s="361">
        <v>9697083.3900000006</v>
      </c>
      <c r="CL175" s="361">
        <v>0</v>
      </c>
      <c r="CM175" s="361"/>
      <c r="CN175" s="361"/>
      <c r="CO175" s="361"/>
      <c r="CP175" s="361"/>
      <c r="CQ175" s="361"/>
      <c r="CR175" s="361"/>
      <c r="CS175" s="362"/>
    </row>
    <row r="176" spans="3:97" ht="13">
      <c r="C176" s="294"/>
      <c r="D176" s="294"/>
      <c r="E176" s="294"/>
      <c r="F176" s="294"/>
      <c r="N176" s="295"/>
      <c r="U176" s="295"/>
      <c r="AC176" s="188"/>
      <c r="AE176" s="188"/>
      <c r="AF176" s="188"/>
      <c r="AG176" s="188"/>
      <c r="AH176" s="188"/>
      <c r="AI176" s="299"/>
      <c r="CB176" s="302">
        <f t="shared" si="514"/>
        <v>112014180</v>
      </c>
      <c r="CC176" s="510">
        <v>3</v>
      </c>
      <c r="CD176" s="359" t="s">
        <v>1279</v>
      </c>
      <c r="CE176" s="361">
        <v>33990453.07</v>
      </c>
      <c r="CF176" s="361">
        <v>9191619.4299999997</v>
      </c>
      <c r="CG176" s="361">
        <v>7159927.8600000003</v>
      </c>
      <c r="CH176" s="361">
        <v>5448436.5800000001</v>
      </c>
      <c r="CI176" s="361">
        <v>5148338.53</v>
      </c>
      <c r="CJ176" s="361">
        <v>2581323.38</v>
      </c>
      <c r="CK176" s="361">
        <v>3474569.87</v>
      </c>
      <c r="CL176" s="361">
        <v>986237.42</v>
      </c>
      <c r="CM176" s="361"/>
      <c r="CN176" s="361"/>
      <c r="CO176" s="361"/>
      <c r="CP176" s="361"/>
      <c r="CQ176" s="361"/>
      <c r="CR176" s="361"/>
      <c r="CS176" s="362"/>
    </row>
    <row r="177" spans="3:97" ht="13">
      <c r="C177" s="294"/>
      <c r="D177" s="294"/>
      <c r="E177" s="294"/>
      <c r="F177" s="294"/>
      <c r="N177" s="295"/>
      <c r="U177" s="295"/>
      <c r="AC177" s="188"/>
      <c r="AE177" s="188"/>
      <c r="AF177" s="188"/>
      <c r="AG177" s="188"/>
      <c r="AH177" s="188"/>
      <c r="AI177" s="299"/>
      <c r="CB177" s="302">
        <f t="shared" si="514"/>
        <v>112014219</v>
      </c>
      <c r="CC177" s="510">
        <v>4</v>
      </c>
      <c r="CD177" s="359" t="s">
        <v>1554</v>
      </c>
      <c r="CE177" s="361">
        <v>32981029.969999999</v>
      </c>
      <c r="CF177" s="361">
        <v>8735738.4900000002</v>
      </c>
      <c r="CG177" s="361">
        <v>6193194.1200000001</v>
      </c>
      <c r="CH177" s="361">
        <v>4528242.4400000004</v>
      </c>
      <c r="CI177" s="361">
        <v>4510562.5</v>
      </c>
      <c r="CJ177" s="361">
        <v>4075627.31</v>
      </c>
      <c r="CK177" s="361">
        <v>3092589.79</v>
      </c>
      <c r="CL177" s="361">
        <v>1845075.32</v>
      </c>
      <c r="CM177" s="361"/>
      <c r="CN177" s="361"/>
      <c r="CO177" s="361"/>
      <c r="CP177" s="361"/>
      <c r="CQ177" s="361"/>
      <c r="CR177" s="361"/>
      <c r="CS177" s="362"/>
    </row>
    <row r="178" spans="3:97" ht="13">
      <c r="C178" s="294"/>
      <c r="D178" s="294"/>
      <c r="E178" s="294"/>
      <c r="F178" s="294"/>
      <c r="N178" s="295"/>
      <c r="U178" s="295"/>
      <c r="AC178" s="188"/>
      <c r="AE178" s="188"/>
      <c r="AF178" s="188"/>
      <c r="AG178" s="188"/>
      <c r="AH178" s="188"/>
      <c r="AI178" s="299"/>
      <c r="CB178" s="302">
        <f t="shared" si="514"/>
        <v>112014014</v>
      </c>
      <c r="CC178" s="510">
        <v>5</v>
      </c>
      <c r="CD178" s="359" t="s">
        <v>1263</v>
      </c>
      <c r="CE178" s="361">
        <v>30624575.609999999</v>
      </c>
      <c r="CF178" s="361">
        <v>3690445.85</v>
      </c>
      <c r="CG178" s="361">
        <v>3615639.37</v>
      </c>
      <c r="CH178" s="361">
        <v>2747568.22</v>
      </c>
      <c r="CI178" s="361">
        <v>3185547.87</v>
      </c>
      <c r="CJ178" s="361">
        <v>1570322.61</v>
      </c>
      <c r="CK178" s="361">
        <v>6569073.6699999999</v>
      </c>
      <c r="CL178" s="361">
        <v>9245978.0199999996</v>
      </c>
      <c r="CM178" s="361"/>
      <c r="CN178" s="361"/>
      <c r="CO178" s="361"/>
      <c r="CP178" s="361"/>
      <c r="CQ178" s="361"/>
      <c r="CR178" s="361"/>
      <c r="CS178" s="362"/>
    </row>
    <row r="179" spans="3:97" ht="13">
      <c r="C179" s="294"/>
      <c r="D179" s="294"/>
      <c r="E179" s="294"/>
      <c r="F179" s="294"/>
      <c r="N179" s="295"/>
      <c r="U179" s="295"/>
      <c r="AC179" s="188"/>
      <c r="AE179" s="188"/>
      <c r="AF179" s="188"/>
      <c r="AG179" s="188"/>
      <c r="AH179" s="188"/>
      <c r="AI179" s="299"/>
      <c r="CB179" s="302">
        <f t="shared" si="514"/>
        <v>112013754</v>
      </c>
      <c r="CC179" s="510">
        <v>6</v>
      </c>
      <c r="CD179" s="359" t="s">
        <v>1329</v>
      </c>
      <c r="CE179" s="361">
        <v>21145667.370000001</v>
      </c>
      <c r="CF179" s="361">
        <v>4136858.17</v>
      </c>
      <c r="CG179" s="361">
        <v>4080147.4</v>
      </c>
      <c r="CH179" s="361">
        <v>1334513.49</v>
      </c>
      <c r="CI179" s="361">
        <v>5366339.16</v>
      </c>
      <c r="CJ179" s="361">
        <v>2219853.41</v>
      </c>
      <c r="CK179" s="361">
        <v>3747675.32</v>
      </c>
      <c r="CL179" s="361">
        <v>260280.44</v>
      </c>
      <c r="CM179" s="361"/>
      <c r="CN179" s="361"/>
      <c r="CO179" s="361"/>
      <c r="CP179" s="361"/>
      <c r="CQ179" s="361"/>
      <c r="CR179" s="361"/>
      <c r="CS179" s="362"/>
    </row>
    <row r="180" spans="3:97" ht="13">
      <c r="C180" s="294"/>
      <c r="D180" s="294"/>
      <c r="E180" s="294"/>
      <c r="F180" s="294"/>
      <c r="N180" s="295"/>
      <c r="U180" s="295"/>
      <c r="AC180" s="188"/>
      <c r="AE180" s="188"/>
      <c r="AF180" s="188"/>
      <c r="AG180" s="188"/>
      <c r="AH180" s="188"/>
      <c r="AI180" s="299"/>
      <c r="CB180" s="302">
        <f t="shared" si="514"/>
        <v>112013935</v>
      </c>
      <c r="CC180" s="510">
        <v>7</v>
      </c>
      <c r="CD180" s="359" t="s">
        <v>1304</v>
      </c>
      <c r="CE180" s="361">
        <v>18515525.899999999</v>
      </c>
      <c r="CF180" s="361">
        <v>3952476.61</v>
      </c>
      <c r="CG180" s="361">
        <v>3605915.29</v>
      </c>
      <c r="CH180" s="361">
        <v>2712297.06</v>
      </c>
      <c r="CI180" s="361">
        <v>2562930.62</v>
      </c>
      <c r="CJ180" s="361">
        <v>3181406.93</v>
      </c>
      <c r="CK180" s="361">
        <v>1629627.09</v>
      </c>
      <c r="CL180" s="361">
        <v>870872.3</v>
      </c>
      <c r="CM180" s="361"/>
      <c r="CN180" s="361"/>
      <c r="CO180" s="361"/>
      <c r="CP180" s="361"/>
      <c r="CQ180" s="361"/>
      <c r="CR180" s="361"/>
      <c r="CS180" s="362"/>
    </row>
    <row r="181" spans="3:97" ht="13">
      <c r="C181" s="294"/>
      <c r="D181" s="294"/>
      <c r="E181" s="294"/>
      <c r="F181" s="294"/>
      <c r="N181" s="295"/>
      <c r="U181" s="295"/>
      <c r="AC181" s="188"/>
      <c r="AE181" s="188"/>
      <c r="AF181" s="188"/>
      <c r="AG181" s="188"/>
      <c r="AH181" s="188"/>
      <c r="AI181" s="299"/>
      <c r="CB181" s="302">
        <f t="shared" si="514"/>
        <v>112014022</v>
      </c>
      <c r="CC181" s="510">
        <v>8</v>
      </c>
      <c r="CD181" s="359" t="s">
        <v>1275</v>
      </c>
      <c r="CE181" s="361">
        <v>14548759.460000001</v>
      </c>
      <c r="CF181" s="361">
        <v>3042369.12</v>
      </c>
      <c r="CG181" s="361">
        <v>4887417.09</v>
      </c>
      <c r="CH181" s="361">
        <v>812852.27</v>
      </c>
      <c r="CI181" s="361">
        <v>2262207.41</v>
      </c>
      <c r="CJ181" s="361">
        <v>1311157.3999999999</v>
      </c>
      <c r="CK181" s="361">
        <v>1752934.84</v>
      </c>
      <c r="CL181" s="361">
        <v>479821.32</v>
      </c>
      <c r="CM181" s="361"/>
      <c r="CN181" s="361"/>
      <c r="CO181" s="361"/>
      <c r="CP181" s="361"/>
      <c r="CQ181" s="361"/>
      <c r="CR181" s="361"/>
      <c r="CS181" s="362"/>
    </row>
    <row r="182" spans="3:97" ht="13">
      <c r="C182" s="294"/>
      <c r="D182" s="294"/>
      <c r="E182" s="294"/>
      <c r="F182" s="294"/>
      <c r="N182" s="295"/>
      <c r="U182" s="295"/>
      <c r="AC182" s="188"/>
      <c r="AE182" s="188"/>
      <c r="AF182" s="188"/>
      <c r="AG182" s="188"/>
      <c r="AH182" s="188"/>
      <c r="AI182" s="299"/>
      <c r="CB182" s="302">
        <f t="shared" si="514"/>
        <v>112014416</v>
      </c>
      <c r="CC182" s="510">
        <v>9</v>
      </c>
      <c r="CD182" s="359" t="s">
        <v>1262</v>
      </c>
      <c r="CE182" s="361">
        <v>14256863.720000001</v>
      </c>
      <c r="CF182" s="361">
        <v>2915861.81</v>
      </c>
      <c r="CG182" s="361">
        <v>2401708.8199999998</v>
      </c>
      <c r="CH182" s="361">
        <v>2049829.11</v>
      </c>
      <c r="CI182" s="361">
        <v>2716718.54</v>
      </c>
      <c r="CJ182" s="361">
        <v>1675752.4</v>
      </c>
      <c r="CK182" s="361">
        <v>1744578.27</v>
      </c>
      <c r="CL182" s="361">
        <v>752414.76</v>
      </c>
      <c r="CM182" s="361"/>
      <c r="CN182" s="361"/>
      <c r="CO182" s="361"/>
      <c r="CP182" s="361"/>
      <c r="CQ182" s="361"/>
      <c r="CR182" s="361"/>
      <c r="CS182" s="362"/>
    </row>
    <row r="183" spans="3:97" ht="13">
      <c r="C183" s="294"/>
      <c r="D183" s="294"/>
      <c r="E183" s="294"/>
      <c r="F183" s="294"/>
      <c r="N183" s="295"/>
      <c r="U183" s="295"/>
      <c r="AC183" s="188"/>
      <c r="AE183" s="188"/>
      <c r="AF183" s="188"/>
      <c r="AG183" s="188"/>
      <c r="AH183" s="188"/>
      <c r="AI183" s="299"/>
      <c r="CB183" s="302">
        <f t="shared" si="514"/>
        <v>112014145</v>
      </c>
      <c r="CC183" s="510">
        <v>10</v>
      </c>
      <c r="CD183" s="359" t="s">
        <v>1333</v>
      </c>
      <c r="CE183" s="361">
        <v>11437942.67</v>
      </c>
      <c r="CF183" s="361">
        <v>1656237.24</v>
      </c>
      <c r="CG183" s="361">
        <v>2940161.01</v>
      </c>
      <c r="CH183" s="361">
        <v>765220.17</v>
      </c>
      <c r="CI183" s="361">
        <v>1436807.63</v>
      </c>
      <c r="CJ183" s="361">
        <v>938602.71</v>
      </c>
      <c r="CK183" s="361">
        <v>2311775.17</v>
      </c>
      <c r="CL183" s="361">
        <v>1389138.74</v>
      </c>
      <c r="CM183" s="361"/>
      <c r="CN183" s="361"/>
      <c r="CO183" s="361"/>
      <c r="CP183" s="361"/>
      <c r="CQ183" s="361"/>
      <c r="CR183" s="361"/>
      <c r="CS183" s="362"/>
    </row>
    <row r="184" spans="3:97" ht="13">
      <c r="C184" s="294"/>
      <c r="D184" s="294"/>
      <c r="E184" s="294"/>
      <c r="F184" s="294"/>
      <c r="N184" s="295"/>
      <c r="U184" s="295"/>
      <c r="AC184" s="188"/>
      <c r="AE184" s="188"/>
      <c r="AF184" s="188"/>
      <c r="AG184" s="188"/>
      <c r="AH184" s="188"/>
      <c r="AI184" s="299"/>
      <c r="CB184" s="302">
        <f t="shared" si="514"/>
        <v>112013028</v>
      </c>
      <c r="CC184" s="510">
        <v>11</v>
      </c>
      <c r="CD184" s="359" t="s">
        <v>1265</v>
      </c>
      <c r="CE184" s="361">
        <v>10558795.77</v>
      </c>
      <c r="CF184" s="361">
        <v>3622705.75</v>
      </c>
      <c r="CG184" s="361">
        <v>2594130.64</v>
      </c>
      <c r="CH184" s="361">
        <v>1824337.07</v>
      </c>
      <c r="CI184" s="361">
        <v>800899.06</v>
      </c>
      <c r="CJ184" s="361">
        <v>768106.66</v>
      </c>
      <c r="CK184" s="361">
        <v>492830.55</v>
      </c>
      <c r="CL184" s="361">
        <v>455786.05</v>
      </c>
      <c r="CM184" s="361"/>
      <c r="CN184" s="361"/>
      <c r="CO184" s="361"/>
      <c r="CP184" s="361"/>
      <c r="CQ184" s="361"/>
      <c r="CR184" s="361"/>
      <c r="CS184" s="362"/>
    </row>
    <row r="185" spans="3:97" ht="13">
      <c r="C185" s="294"/>
      <c r="D185" s="294"/>
      <c r="E185" s="294"/>
      <c r="F185" s="294"/>
      <c r="N185" s="295"/>
      <c r="U185" s="295"/>
      <c r="AC185" s="188"/>
      <c r="AE185" s="188"/>
      <c r="AF185" s="188"/>
      <c r="AG185" s="188"/>
      <c r="AH185" s="188"/>
      <c r="AI185" s="299"/>
      <c r="CB185" s="302">
        <f t="shared" si="514"/>
        <v>112013457</v>
      </c>
      <c r="CC185" s="510">
        <v>12</v>
      </c>
      <c r="CD185" s="359" t="s">
        <v>1271</v>
      </c>
      <c r="CE185" s="361">
        <v>10498738.789999999</v>
      </c>
      <c r="CF185" s="361">
        <v>147316.35</v>
      </c>
      <c r="CG185" s="361">
        <v>2529309.36</v>
      </c>
      <c r="CH185" s="361">
        <v>1023678.6</v>
      </c>
      <c r="CI185" s="361">
        <v>1351136.87</v>
      </c>
      <c r="CJ185" s="361">
        <v>2404983.98</v>
      </c>
      <c r="CK185" s="361">
        <v>2105166.35</v>
      </c>
      <c r="CL185" s="361">
        <v>937147.27</v>
      </c>
      <c r="CM185" s="361"/>
      <c r="CN185" s="361"/>
      <c r="CO185" s="361"/>
      <c r="CP185" s="361"/>
      <c r="CQ185" s="361"/>
      <c r="CR185" s="361"/>
      <c r="CS185" s="362"/>
    </row>
    <row r="186" spans="3:97" ht="13">
      <c r="C186" s="294"/>
      <c r="D186" s="294"/>
      <c r="E186" s="294"/>
      <c r="F186" s="294"/>
      <c r="N186" s="295"/>
      <c r="U186" s="295"/>
      <c r="AC186" s="188"/>
      <c r="AE186" s="188"/>
      <c r="AF186" s="188"/>
      <c r="AG186" s="188"/>
      <c r="AH186" s="188"/>
      <c r="AI186" s="299"/>
      <c r="CB186" s="302">
        <f t="shared" si="514"/>
        <v>112011735</v>
      </c>
      <c r="CC186" s="510">
        <v>13</v>
      </c>
      <c r="CD186" s="359" t="s">
        <v>1285</v>
      </c>
      <c r="CE186" s="361">
        <v>8960088.0800000001</v>
      </c>
      <c r="CF186" s="361">
        <v>2867002.15</v>
      </c>
      <c r="CG186" s="361">
        <v>1660715.55</v>
      </c>
      <c r="CH186" s="361">
        <v>528205.32999999996</v>
      </c>
      <c r="CI186" s="361">
        <v>1184023.75</v>
      </c>
      <c r="CJ186" s="361">
        <v>1575048.8</v>
      </c>
      <c r="CK186" s="361">
        <v>1038609.94</v>
      </c>
      <c r="CL186" s="361">
        <v>106482.56</v>
      </c>
      <c r="CM186" s="361"/>
      <c r="CN186" s="361"/>
      <c r="CO186" s="361"/>
      <c r="CP186" s="361"/>
      <c r="CQ186" s="361"/>
      <c r="CR186" s="361"/>
      <c r="CS186" s="362"/>
    </row>
    <row r="187" spans="3:97" ht="13">
      <c r="C187" s="294"/>
      <c r="D187" s="294"/>
      <c r="E187" s="294"/>
      <c r="F187" s="294"/>
      <c r="N187" s="295"/>
      <c r="U187" s="295"/>
      <c r="AC187" s="188"/>
      <c r="AE187" s="188"/>
      <c r="AF187" s="188"/>
      <c r="AG187" s="188"/>
      <c r="AH187" s="188"/>
      <c r="AI187" s="299"/>
      <c r="CB187" s="302">
        <f t="shared" si="514"/>
        <v>112011830</v>
      </c>
      <c r="CC187" s="510">
        <v>14</v>
      </c>
      <c r="CD187" s="359" t="s">
        <v>1303</v>
      </c>
      <c r="CE187" s="361">
        <v>8713128.0600000005</v>
      </c>
      <c r="CF187" s="361">
        <v>1679188.95</v>
      </c>
      <c r="CG187" s="361">
        <v>1695217.84</v>
      </c>
      <c r="CH187" s="361">
        <v>1960041.01</v>
      </c>
      <c r="CI187" s="361">
        <v>1810701.85</v>
      </c>
      <c r="CJ187" s="361">
        <v>496010.84</v>
      </c>
      <c r="CK187" s="361">
        <v>660779.77</v>
      </c>
      <c r="CL187" s="361">
        <v>411187.79</v>
      </c>
      <c r="CM187" s="361"/>
      <c r="CN187" s="361"/>
      <c r="CO187" s="361"/>
      <c r="CP187" s="361"/>
      <c r="CQ187" s="361"/>
      <c r="CR187" s="361"/>
      <c r="CS187" s="362"/>
    </row>
    <row r="188" spans="3:97" ht="13">
      <c r="C188" s="294"/>
      <c r="D188" s="294"/>
      <c r="E188" s="294"/>
      <c r="F188" s="294"/>
      <c r="N188" s="295"/>
      <c r="U188" s="295"/>
      <c r="AC188" s="188"/>
      <c r="AE188" s="188"/>
      <c r="AF188" s="188"/>
      <c r="AG188" s="188"/>
      <c r="AH188" s="188"/>
      <c r="AI188" s="299"/>
      <c r="CB188" s="302">
        <f t="shared" si="514"/>
        <v>112012290</v>
      </c>
      <c r="CC188" s="510">
        <v>15</v>
      </c>
      <c r="CD188" s="359" t="s">
        <v>1363</v>
      </c>
      <c r="CE188" s="361">
        <v>8605717.9100000001</v>
      </c>
      <c r="CF188" s="361">
        <v>2618457.42</v>
      </c>
      <c r="CG188" s="361">
        <v>2424133.85</v>
      </c>
      <c r="CH188" s="361">
        <v>1182138.22</v>
      </c>
      <c r="CI188" s="361">
        <v>894901.39</v>
      </c>
      <c r="CJ188" s="361">
        <v>698213.77</v>
      </c>
      <c r="CK188" s="361">
        <v>630892.31999999995</v>
      </c>
      <c r="CL188" s="361">
        <v>156980.94</v>
      </c>
      <c r="CM188" s="365"/>
      <c r="CN188" s="365"/>
      <c r="CO188" s="365"/>
      <c r="CP188" s="365"/>
      <c r="CQ188" s="365"/>
      <c r="CR188" s="365"/>
      <c r="CS188" s="366"/>
    </row>
    <row r="189" spans="3:97" ht="13">
      <c r="C189" s="294"/>
      <c r="D189" s="294"/>
      <c r="E189" s="294"/>
      <c r="F189" s="294"/>
      <c r="N189" s="295"/>
      <c r="U189" s="295"/>
      <c r="AC189" s="188"/>
      <c r="AE189" s="188"/>
      <c r="AF189" s="188"/>
      <c r="AG189" s="188"/>
      <c r="AH189" s="188"/>
      <c r="AI189" s="299"/>
      <c r="CB189" s="302">
        <f t="shared" si="514"/>
        <v>112014637</v>
      </c>
      <c r="CC189" s="510">
        <v>16</v>
      </c>
      <c r="CD189" s="359" t="s">
        <v>1330</v>
      </c>
      <c r="CE189" s="361">
        <v>7588370.04</v>
      </c>
      <c r="CF189" s="361">
        <v>0</v>
      </c>
      <c r="CG189" s="361">
        <v>0</v>
      </c>
      <c r="CH189" s="361">
        <v>0</v>
      </c>
      <c r="CI189" s="361">
        <v>142884.26999999999</v>
      </c>
      <c r="CJ189" s="361">
        <v>2875756.42</v>
      </c>
      <c r="CK189" s="361">
        <v>1122155.42</v>
      </c>
      <c r="CL189" s="361">
        <v>3447573.94</v>
      </c>
      <c r="CM189" s="361"/>
      <c r="CN189" s="361"/>
      <c r="CO189" s="361"/>
      <c r="CP189" s="361"/>
      <c r="CQ189" s="361"/>
      <c r="CR189" s="361"/>
      <c r="CS189" s="362"/>
    </row>
    <row r="190" spans="3:97" ht="13">
      <c r="C190" s="294"/>
      <c r="D190" s="294"/>
      <c r="E190" s="294"/>
      <c r="F190" s="294"/>
      <c r="N190" s="295"/>
      <c r="U190" s="295"/>
      <c r="AC190" s="188"/>
      <c r="AE190" s="188"/>
      <c r="AF190" s="188"/>
      <c r="AG190" s="188"/>
      <c r="AH190" s="188"/>
      <c r="AI190" s="299"/>
      <c r="CB190" s="302">
        <f t="shared" si="514"/>
        <v>112014521</v>
      </c>
      <c r="CC190" s="510">
        <v>17</v>
      </c>
      <c r="CD190" s="359" t="s">
        <v>1293</v>
      </c>
      <c r="CE190" s="361">
        <v>6929076.9500000002</v>
      </c>
      <c r="CF190" s="361">
        <v>1252748.33</v>
      </c>
      <c r="CG190" s="361">
        <v>1805043.58</v>
      </c>
      <c r="CH190" s="361">
        <v>971433.86</v>
      </c>
      <c r="CI190" s="361">
        <v>893152.7</v>
      </c>
      <c r="CJ190" s="361">
        <v>1347614.98</v>
      </c>
      <c r="CK190" s="361">
        <v>480801.67</v>
      </c>
      <c r="CL190" s="361">
        <v>178281.82</v>
      </c>
      <c r="CM190" s="361"/>
      <c r="CN190" s="361"/>
      <c r="CO190" s="361"/>
      <c r="CP190" s="361"/>
      <c r="CQ190" s="361"/>
      <c r="CR190" s="361"/>
      <c r="CS190" s="362"/>
    </row>
    <row r="191" spans="3:97" ht="13">
      <c r="C191" s="294"/>
      <c r="D191" s="294"/>
      <c r="E191" s="294"/>
      <c r="F191" s="294"/>
      <c r="N191" s="295"/>
      <c r="U191" s="295"/>
      <c r="AC191" s="188"/>
      <c r="AE191" s="188"/>
      <c r="AF191" s="188"/>
      <c r="AG191" s="188"/>
      <c r="AH191" s="188"/>
      <c r="AI191" s="299"/>
      <c r="CB191" s="302">
        <f t="shared" si="514"/>
        <v>112013946</v>
      </c>
      <c r="CC191" s="510">
        <v>18</v>
      </c>
      <c r="CD191" s="359" t="s">
        <v>1278</v>
      </c>
      <c r="CE191" s="361">
        <v>6911114.5800000001</v>
      </c>
      <c r="CF191" s="361">
        <v>615377.15</v>
      </c>
      <c r="CG191" s="361">
        <v>674610.57</v>
      </c>
      <c r="CH191" s="361">
        <v>1134512.42</v>
      </c>
      <c r="CI191" s="361">
        <v>854151.9</v>
      </c>
      <c r="CJ191" s="361">
        <v>1483869.32</v>
      </c>
      <c r="CK191" s="361">
        <v>1414091.96</v>
      </c>
      <c r="CL191" s="361">
        <v>734501.27</v>
      </c>
      <c r="CM191" s="361"/>
      <c r="CN191" s="361"/>
      <c r="CO191" s="361"/>
      <c r="CP191" s="361"/>
      <c r="CQ191" s="361"/>
      <c r="CR191" s="361"/>
      <c r="CS191" s="362"/>
    </row>
    <row r="192" spans="3:97" ht="13">
      <c r="C192" s="294"/>
      <c r="D192" s="294"/>
      <c r="E192" s="294"/>
      <c r="F192" s="294"/>
      <c r="N192" s="295"/>
      <c r="U192" s="295"/>
      <c r="AC192" s="188"/>
      <c r="AE192" s="188"/>
      <c r="AF192" s="188"/>
      <c r="AG192" s="188"/>
      <c r="AH192" s="188"/>
      <c r="AI192" s="299"/>
      <c r="CB192" s="302">
        <f t="shared" si="514"/>
        <v>112014013</v>
      </c>
      <c r="CC192" s="510">
        <v>19</v>
      </c>
      <c r="CD192" s="359" t="s">
        <v>1294</v>
      </c>
      <c r="CE192" s="361">
        <v>6675643.1299999999</v>
      </c>
      <c r="CF192" s="361">
        <v>1544610.3</v>
      </c>
      <c r="CG192" s="361">
        <v>1463201.21</v>
      </c>
      <c r="CH192" s="361">
        <v>357341.27</v>
      </c>
      <c r="CI192" s="361">
        <v>628581.56999999995</v>
      </c>
      <c r="CJ192" s="361">
        <v>1050899.3500000001</v>
      </c>
      <c r="CK192" s="361">
        <v>986458.9</v>
      </c>
      <c r="CL192" s="361">
        <v>644550.53</v>
      </c>
      <c r="CM192" s="361"/>
      <c r="CN192" s="361"/>
      <c r="CO192" s="361"/>
      <c r="CP192" s="361"/>
      <c r="CQ192" s="361"/>
      <c r="CR192" s="361"/>
      <c r="CS192" s="362"/>
    </row>
    <row r="193" spans="3:97" ht="13">
      <c r="C193" s="294"/>
      <c r="D193" s="294"/>
      <c r="E193" s="294"/>
      <c r="F193" s="294"/>
      <c r="N193" s="295"/>
      <c r="U193" s="295"/>
      <c r="AC193" s="188"/>
      <c r="AE193" s="188"/>
      <c r="AF193" s="188"/>
      <c r="AG193" s="188"/>
      <c r="AH193" s="188"/>
      <c r="AI193" s="299"/>
      <c r="CB193" s="302">
        <f t="shared" si="514"/>
        <v>112013988</v>
      </c>
      <c r="CC193" s="510">
        <v>20</v>
      </c>
      <c r="CD193" s="359" t="s">
        <v>1292</v>
      </c>
      <c r="CE193" s="361">
        <v>6656033.4199999999</v>
      </c>
      <c r="CF193" s="361">
        <v>0</v>
      </c>
      <c r="CG193" s="361">
        <v>1632744.33</v>
      </c>
      <c r="CH193" s="361">
        <v>334742.43</v>
      </c>
      <c r="CI193" s="361">
        <v>2339568.46</v>
      </c>
      <c r="CJ193" s="361">
        <v>1147150.1299999999</v>
      </c>
      <c r="CK193" s="361">
        <v>602746.16</v>
      </c>
      <c r="CL193" s="361">
        <v>599081.9</v>
      </c>
      <c r="CM193" s="361"/>
      <c r="CN193" s="361"/>
      <c r="CO193" s="361"/>
      <c r="CP193" s="361"/>
      <c r="CQ193" s="361"/>
      <c r="CR193" s="361"/>
      <c r="CS193" s="362"/>
    </row>
    <row r="194" spans="3:97" ht="13">
      <c r="C194" s="294"/>
      <c r="D194" s="294"/>
      <c r="E194" s="294"/>
      <c r="F194" s="294"/>
      <c r="N194" s="295"/>
      <c r="U194" s="295"/>
      <c r="AC194" s="188"/>
      <c r="AE194" s="188"/>
      <c r="AF194" s="188"/>
      <c r="AG194" s="188"/>
      <c r="AH194" s="188"/>
      <c r="AI194" s="299"/>
      <c r="CB194" s="302">
        <f t="shared" si="514"/>
        <v>112014172</v>
      </c>
      <c r="CC194" s="510">
        <v>21</v>
      </c>
      <c r="CD194" s="359" t="s">
        <v>1284</v>
      </c>
      <c r="CE194" s="361">
        <v>6471511.1600000001</v>
      </c>
      <c r="CF194" s="361">
        <v>794421.63</v>
      </c>
      <c r="CG194" s="361">
        <v>910033.48</v>
      </c>
      <c r="CH194" s="361">
        <v>2384971.9500000002</v>
      </c>
      <c r="CI194" s="361">
        <v>413352.65</v>
      </c>
      <c r="CJ194" s="361">
        <v>0</v>
      </c>
      <c r="CK194" s="361">
        <v>1280697.71</v>
      </c>
      <c r="CL194" s="361">
        <v>688033.74</v>
      </c>
      <c r="CM194" s="361"/>
      <c r="CN194" s="361"/>
      <c r="CO194" s="361"/>
      <c r="CP194" s="361"/>
      <c r="CQ194" s="361"/>
      <c r="CR194" s="361"/>
      <c r="CS194" s="362"/>
    </row>
    <row r="195" spans="3:97" ht="13">
      <c r="C195" s="294"/>
      <c r="D195" s="294"/>
      <c r="E195" s="294"/>
      <c r="F195" s="294"/>
      <c r="N195" s="295"/>
      <c r="U195" s="295"/>
      <c r="AC195" s="188"/>
      <c r="AE195" s="188"/>
      <c r="AF195" s="188"/>
      <c r="AG195" s="188"/>
      <c r="AH195" s="188"/>
      <c r="AI195" s="299"/>
      <c r="CB195" s="302">
        <f t="shared" si="514"/>
        <v>112014454</v>
      </c>
      <c r="CC195" s="510">
        <v>22</v>
      </c>
      <c r="CD195" s="359" t="s">
        <v>1301</v>
      </c>
      <c r="CE195" s="361">
        <v>6219610.1600000001</v>
      </c>
      <c r="CF195" s="361">
        <v>1469382.49</v>
      </c>
      <c r="CG195" s="361">
        <v>1840736.27</v>
      </c>
      <c r="CH195" s="361">
        <v>588348.26</v>
      </c>
      <c r="CI195" s="361">
        <v>913330.78</v>
      </c>
      <c r="CJ195" s="361">
        <v>376599.14</v>
      </c>
      <c r="CK195" s="361">
        <v>889206.45</v>
      </c>
      <c r="CL195" s="361">
        <v>142006.76</v>
      </c>
      <c r="CM195" s="361"/>
      <c r="CN195" s="361"/>
      <c r="CO195" s="361"/>
      <c r="CP195" s="361"/>
      <c r="CQ195" s="361"/>
      <c r="CR195" s="361"/>
      <c r="CS195" s="362"/>
    </row>
    <row r="196" spans="3:97" ht="13">
      <c r="C196" s="294"/>
      <c r="D196" s="294"/>
      <c r="E196" s="294"/>
      <c r="F196" s="294"/>
      <c r="N196" s="295"/>
      <c r="U196" s="295"/>
      <c r="AC196" s="188"/>
      <c r="AE196" s="188"/>
      <c r="AF196" s="188"/>
      <c r="AG196" s="188"/>
      <c r="AH196" s="188"/>
      <c r="AI196" s="299"/>
      <c r="CB196" s="302">
        <f t="shared" si="514"/>
        <v>112013711</v>
      </c>
      <c r="CC196" s="510">
        <v>23</v>
      </c>
      <c r="CD196" s="359" t="s">
        <v>1266</v>
      </c>
      <c r="CE196" s="361">
        <v>6031356.6500000004</v>
      </c>
      <c r="CF196" s="361">
        <v>0</v>
      </c>
      <c r="CG196" s="361">
        <v>0</v>
      </c>
      <c r="CH196" s="361">
        <v>0</v>
      </c>
      <c r="CI196" s="361">
        <v>0</v>
      </c>
      <c r="CJ196" s="361">
        <v>0</v>
      </c>
      <c r="CK196" s="361">
        <v>5636784.1200000001</v>
      </c>
      <c r="CL196" s="361">
        <v>394572.52</v>
      </c>
      <c r="CM196" s="361"/>
      <c r="CN196" s="361"/>
      <c r="CO196" s="361"/>
      <c r="CP196" s="361"/>
      <c r="CQ196" s="361"/>
      <c r="CR196" s="361"/>
      <c r="CS196" s="362"/>
    </row>
    <row r="197" spans="3:97" ht="13">
      <c r="C197" s="294"/>
      <c r="D197" s="294"/>
      <c r="E197" s="294"/>
      <c r="F197" s="294"/>
      <c r="N197" s="295"/>
      <c r="U197" s="295"/>
      <c r="AC197" s="188"/>
      <c r="AE197" s="188"/>
      <c r="AF197" s="188"/>
      <c r="AG197" s="188"/>
      <c r="AH197" s="188"/>
      <c r="AI197" s="299"/>
      <c r="CB197" s="302">
        <f t="shared" si="514"/>
        <v>112011689</v>
      </c>
      <c r="CC197" s="510">
        <v>24</v>
      </c>
      <c r="CD197" s="359" t="s">
        <v>1295</v>
      </c>
      <c r="CE197" s="361">
        <v>5632661.6299999999</v>
      </c>
      <c r="CF197" s="361">
        <v>1968393.68</v>
      </c>
      <c r="CG197" s="361">
        <v>808695.26</v>
      </c>
      <c r="CH197" s="361">
        <v>775058.53</v>
      </c>
      <c r="CI197" s="361">
        <v>649392.94999999995</v>
      </c>
      <c r="CJ197" s="361">
        <v>588964.03</v>
      </c>
      <c r="CK197" s="361">
        <v>413152.07</v>
      </c>
      <c r="CL197" s="361">
        <v>429005.1</v>
      </c>
      <c r="CM197" s="361"/>
      <c r="CN197" s="361"/>
      <c r="CO197" s="361"/>
      <c r="CP197" s="361"/>
      <c r="CQ197" s="361"/>
      <c r="CR197" s="361"/>
      <c r="CS197" s="362"/>
    </row>
    <row r="198" spans="3:97" ht="13">
      <c r="C198" s="294"/>
      <c r="D198" s="294"/>
      <c r="E198" s="294"/>
      <c r="F198" s="294"/>
      <c r="N198" s="295"/>
      <c r="U198" s="295"/>
      <c r="AC198" s="188"/>
      <c r="AE198" s="188"/>
      <c r="AF198" s="188"/>
      <c r="AG198" s="188"/>
      <c r="AH198" s="188"/>
      <c r="AI198" s="299"/>
      <c r="CB198" s="302">
        <f t="shared" si="514"/>
        <v>112014174</v>
      </c>
      <c r="CC198" s="510">
        <v>25</v>
      </c>
      <c r="CD198" s="359" t="s">
        <v>1276</v>
      </c>
      <c r="CE198" s="361">
        <v>5447779.4800000004</v>
      </c>
      <c r="CF198" s="361">
        <v>770734.11</v>
      </c>
      <c r="CG198" s="361">
        <v>1197061.44</v>
      </c>
      <c r="CH198" s="361">
        <v>1315033.97</v>
      </c>
      <c r="CI198" s="361">
        <v>966966.09</v>
      </c>
      <c r="CJ198" s="361">
        <v>359426.84</v>
      </c>
      <c r="CK198" s="361">
        <v>525898.65</v>
      </c>
      <c r="CL198" s="361">
        <v>312658.38</v>
      </c>
      <c r="CM198" s="365"/>
      <c r="CN198" s="365"/>
      <c r="CO198" s="365"/>
      <c r="CP198" s="365"/>
      <c r="CQ198" s="365"/>
      <c r="CR198" s="365"/>
      <c r="CS198" s="366"/>
    </row>
    <row r="199" spans="3:97" ht="13">
      <c r="C199" s="294"/>
      <c r="D199" s="294"/>
      <c r="E199" s="294"/>
      <c r="F199" s="294"/>
      <c r="N199" s="295"/>
      <c r="U199" s="295"/>
      <c r="AC199" s="188"/>
      <c r="AE199" s="188"/>
      <c r="AF199" s="188"/>
      <c r="AG199" s="188"/>
      <c r="AH199" s="188"/>
      <c r="AI199" s="299"/>
      <c r="CB199" s="302">
        <f t="shared" si="514"/>
        <v>112012832</v>
      </c>
      <c r="CC199" s="510">
        <v>26</v>
      </c>
      <c r="CD199" s="359" t="s">
        <v>1272</v>
      </c>
      <c r="CE199" s="361">
        <v>4988232.96</v>
      </c>
      <c r="CF199" s="361">
        <v>1125962.3400000001</v>
      </c>
      <c r="CG199" s="361">
        <v>421083.06</v>
      </c>
      <c r="CH199" s="361">
        <v>404392.59</v>
      </c>
      <c r="CI199" s="361">
        <v>1016069.39</v>
      </c>
      <c r="CJ199" s="361">
        <v>587308.76</v>
      </c>
      <c r="CK199" s="361">
        <v>1127616.92</v>
      </c>
      <c r="CL199" s="361">
        <v>305799.90999999997</v>
      </c>
      <c r="CM199" s="361"/>
      <c r="CN199" s="361"/>
      <c r="CO199" s="361"/>
      <c r="CP199" s="361"/>
      <c r="CQ199" s="361"/>
      <c r="CR199" s="361"/>
      <c r="CS199" s="362"/>
    </row>
    <row r="200" spans="3:97" ht="13">
      <c r="C200" s="294"/>
      <c r="D200" s="294"/>
      <c r="E200" s="294"/>
      <c r="F200" s="294"/>
      <c r="N200" s="295"/>
      <c r="U200" s="295"/>
      <c r="AC200" s="188"/>
      <c r="AE200" s="188"/>
      <c r="AF200" s="188"/>
      <c r="AG200" s="188"/>
      <c r="AH200" s="188"/>
      <c r="AI200" s="299"/>
      <c r="CB200" s="302">
        <f t="shared" si="514"/>
        <v>112014679</v>
      </c>
      <c r="CC200" s="510">
        <v>27</v>
      </c>
      <c r="CD200" s="359" t="s">
        <v>1378</v>
      </c>
      <c r="CE200" s="361">
        <v>4874940</v>
      </c>
      <c r="CF200" s="361">
        <v>0</v>
      </c>
      <c r="CG200" s="361">
        <v>0</v>
      </c>
      <c r="CH200" s="361">
        <v>0</v>
      </c>
      <c r="CI200" s="361">
        <v>0</v>
      </c>
      <c r="CJ200" s="361">
        <v>0</v>
      </c>
      <c r="CK200" s="361">
        <v>4874940</v>
      </c>
      <c r="CL200" s="361">
        <v>0</v>
      </c>
      <c r="CM200" s="361"/>
      <c r="CN200" s="361"/>
      <c r="CO200" s="361"/>
      <c r="CP200" s="361"/>
      <c r="CQ200" s="361"/>
      <c r="CR200" s="361"/>
      <c r="CS200" s="362"/>
    </row>
    <row r="201" spans="3:97" ht="13">
      <c r="C201" s="294"/>
      <c r="D201" s="294"/>
      <c r="E201" s="294"/>
      <c r="F201" s="294"/>
      <c r="N201" s="295"/>
      <c r="U201" s="295"/>
      <c r="AC201" s="188"/>
      <c r="AE201" s="188"/>
      <c r="AF201" s="188"/>
      <c r="AG201" s="188"/>
      <c r="AH201" s="188"/>
      <c r="AI201" s="299"/>
      <c r="CB201" s="302">
        <f t="shared" si="514"/>
        <v>112014071</v>
      </c>
      <c r="CC201" s="510">
        <v>28</v>
      </c>
      <c r="CD201" s="359" t="s">
        <v>1313</v>
      </c>
      <c r="CE201" s="361">
        <v>4781925.55</v>
      </c>
      <c r="CF201" s="361">
        <v>0</v>
      </c>
      <c r="CG201" s="361">
        <v>0</v>
      </c>
      <c r="CH201" s="361">
        <v>0</v>
      </c>
      <c r="CI201" s="361">
        <v>1087344</v>
      </c>
      <c r="CJ201" s="361">
        <v>540331.26</v>
      </c>
      <c r="CK201" s="361">
        <v>2444664.85</v>
      </c>
      <c r="CL201" s="361">
        <v>709585.44</v>
      </c>
      <c r="CM201" s="361"/>
      <c r="CN201" s="361"/>
      <c r="CO201" s="361"/>
      <c r="CP201" s="361"/>
      <c r="CQ201" s="361"/>
      <c r="CR201" s="361"/>
      <c r="CS201" s="362"/>
    </row>
    <row r="202" spans="3:97" ht="13">
      <c r="C202" s="294"/>
      <c r="D202" s="294"/>
      <c r="E202" s="294"/>
      <c r="F202" s="294"/>
      <c r="N202" s="295"/>
      <c r="U202" s="295"/>
      <c r="AC202" s="188"/>
      <c r="AE202" s="188"/>
      <c r="AF202" s="188"/>
      <c r="AG202" s="188"/>
      <c r="AH202" s="188"/>
      <c r="AI202" s="299"/>
      <c r="CB202" s="302">
        <f t="shared" si="514"/>
        <v>112012775</v>
      </c>
      <c r="CC202" s="510">
        <v>29</v>
      </c>
      <c r="CD202" s="359" t="s">
        <v>1357</v>
      </c>
      <c r="CE202" s="361">
        <v>4763011.4400000004</v>
      </c>
      <c r="CF202" s="361">
        <v>1566575.46</v>
      </c>
      <c r="CG202" s="361">
        <v>1239207.73</v>
      </c>
      <c r="CH202" s="361">
        <v>839348.35</v>
      </c>
      <c r="CI202" s="361">
        <v>574968.25</v>
      </c>
      <c r="CJ202" s="361">
        <v>135005.88</v>
      </c>
      <c r="CK202" s="361">
        <v>308614.89</v>
      </c>
      <c r="CL202" s="361">
        <v>99290.880000000005</v>
      </c>
      <c r="CM202" s="365"/>
      <c r="CN202" s="365"/>
      <c r="CO202" s="365"/>
      <c r="CP202" s="365"/>
      <c r="CQ202" s="365"/>
      <c r="CR202" s="365"/>
      <c r="CS202" s="366"/>
    </row>
    <row r="203" spans="3:97" ht="13">
      <c r="C203" s="294"/>
      <c r="D203" s="294"/>
      <c r="E203" s="294"/>
      <c r="F203" s="294"/>
      <c r="N203" s="295"/>
      <c r="U203" s="295"/>
      <c r="AC203" s="188"/>
      <c r="AE203" s="188"/>
      <c r="AF203" s="188"/>
      <c r="AG203" s="188"/>
      <c r="AH203" s="188"/>
      <c r="AI203" s="299"/>
      <c r="CB203" s="302">
        <f t="shared" si="514"/>
        <v>112014348</v>
      </c>
      <c r="CC203" s="510">
        <v>30</v>
      </c>
      <c r="CD203" s="359" t="s">
        <v>1288</v>
      </c>
      <c r="CE203" s="361">
        <v>4352646.3600000003</v>
      </c>
      <c r="CF203" s="361">
        <v>628394.4</v>
      </c>
      <c r="CG203" s="361">
        <v>886180.99</v>
      </c>
      <c r="CH203" s="361">
        <v>26779</v>
      </c>
      <c r="CI203" s="361">
        <v>935190.8</v>
      </c>
      <c r="CJ203" s="361">
        <v>968473.8</v>
      </c>
      <c r="CK203" s="361">
        <v>475989.4</v>
      </c>
      <c r="CL203" s="361">
        <v>431637.99</v>
      </c>
      <c r="CM203" s="361"/>
      <c r="CN203" s="361"/>
      <c r="CO203" s="361"/>
      <c r="CP203" s="361"/>
      <c r="CQ203" s="361"/>
      <c r="CR203" s="361"/>
      <c r="CS203" s="362"/>
    </row>
    <row r="204" spans="3:97" ht="13">
      <c r="C204" s="294"/>
      <c r="D204" s="294"/>
      <c r="E204" s="294"/>
      <c r="F204" s="294"/>
      <c r="N204" s="295"/>
      <c r="U204" s="295"/>
      <c r="AC204" s="188"/>
      <c r="AE204" s="188"/>
      <c r="AF204" s="188"/>
      <c r="AG204" s="188"/>
      <c r="AH204" s="188"/>
      <c r="AI204" s="299"/>
      <c r="CB204" s="302">
        <f t="shared" si="514"/>
        <v>112013403</v>
      </c>
      <c r="CC204" s="510">
        <v>31</v>
      </c>
      <c r="CD204" s="359" t="s">
        <v>1296</v>
      </c>
      <c r="CE204" s="361">
        <v>4322917.1500000004</v>
      </c>
      <c r="CF204" s="361">
        <v>1335142.67</v>
      </c>
      <c r="CG204" s="361">
        <v>713778.47</v>
      </c>
      <c r="CH204" s="361">
        <v>383434.84</v>
      </c>
      <c r="CI204" s="361">
        <v>830707.29</v>
      </c>
      <c r="CJ204" s="361">
        <v>475639.81</v>
      </c>
      <c r="CK204" s="361">
        <v>437236.07</v>
      </c>
      <c r="CL204" s="361">
        <v>146978.01</v>
      </c>
      <c r="CM204" s="361"/>
      <c r="CN204" s="361"/>
      <c r="CO204" s="361"/>
      <c r="CP204" s="361"/>
      <c r="CQ204" s="361"/>
      <c r="CR204" s="361"/>
      <c r="CS204" s="362"/>
    </row>
    <row r="205" spans="3:97" ht="13">
      <c r="C205" s="294"/>
      <c r="D205" s="294"/>
      <c r="E205" s="294"/>
      <c r="F205" s="294"/>
      <c r="N205" s="295"/>
      <c r="U205" s="295"/>
      <c r="AC205" s="188"/>
      <c r="AE205" s="188"/>
      <c r="AF205" s="188"/>
      <c r="AG205" s="188"/>
      <c r="AH205" s="188"/>
      <c r="AI205" s="299"/>
      <c r="CB205" s="302">
        <f t="shared" si="514"/>
        <v>112013788</v>
      </c>
      <c r="CC205" s="510">
        <v>32</v>
      </c>
      <c r="CD205" s="359" t="s">
        <v>1281</v>
      </c>
      <c r="CE205" s="361">
        <v>4213718.95</v>
      </c>
      <c r="CF205" s="361">
        <v>0</v>
      </c>
      <c r="CG205" s="361">
        <v>0</v>
      </c>
      <c r="CH205" s="361">
        <v>0</v>
      </c>
      <c r="CI205" s="361">
        <v>0</v>
      </c>
      <c r="CJ205" s="361">
        <v>464104.88</v>
      </c>
      <c r="CK205" s="361">
        <v>2736904.57</v>
      </c>
      <c r="CL205" s="361">
        <v>1012709.5</v>
      </c>
      <c r="CM205" s="361"/>
      <c r="CN205" s="361"/>
      <c r="CO205" s="361"/>
      <c r="CP205" s="361"/>
      <c r="CQ205" s="361"/>
      <c r="CR205" s="361"/>
      <c r="CS205" s="362"/>
    </row>
    <row r="206" spans="3:97" ht="13">
      <c r="C206" s="294"/>
      <c r="D206" s="294"/>
      <c r="E206" s="294"/>
      <c r="F206" s="294"/>
      <c r="N206" s="295"/>
      <c r="U206" s="295"/>
      <c r="AC206" s="188"/>
      <c r="AE206" s="188"/>
      <c r="AF206" s="188"/>
      <c r="AG206" s="188"/>
      <c r="AH206" s="188"/>
      <c r="AI206" s="299"/>
      <c r="CB206" s="302">
        <f t="shared" ref="CB206:CB237" si="515">VLOOKUP(CD206,MONTENEGROCARTERA,3,FALSE)</f>
        <v>112013545</v>
      </c>
      <c r="CC206" s="510">
        <v>33</v>
      </c>
      <c r="CD206" s="359" t="s">
        <v>1319</v>
      </c>
      <c r="CE206" s="361">
        <v>3615123.9</v>
      </c>
      <c r="CF206" s="361">
        <v>0</v>
      </c>
      <c r="CG206" s="361">
        <v>0</v>
      </c>
      <c r="CH206" s="361">
        <v>0</v>
      </c>
      <c r="CI206" s="361">
        <v>809843.35</v>
      </c>
      <c r="CJ206" s="361">
        <v>1508175.38</v>
      </c>
      <c r="CK206" s="361">
        <v>903098.44</v>
      </c>
      <c r="CL206" s="361">
        <v>394006.73</v>
      </c>
      <c r="CM206" s="365"/>
      <c r="CN206" s="365"/>
      <c r="CO206" s="365"/>
      <c r="CP206" s="365"/>
      <c r="CQ206" s="365"/>
      <c r="CR206" s="365"/>
      <c r="CS206" s="366"/>
    </row>
    <row r="207" spans="3:97" ht="13">
      <c r="C207" s="294"/>
      <c r="D207" s="294"/>
      <c r="E207" s="294"/>
      <c r="F207" s="294"/>
      <c r="N207" s="295"/>
      <c r="U207" s="295"/>
      <c r="AC207" s="188"/>
      <c r="AE207" s="188"/>
      <c r="AF207" s="188"/>
      <c r="AG207" s="188"/>
      <c r="AH207" s="188"/>
      <c r="AI207" s="299"/>
      <c r="CB207" s="302">
        <f t="shared" si="515"/>
        <v>112014128</v>
      </c>
      <c r="CC207" s="510">
        <v>34</v>
      </c>
      <c r="CD207" s="359" t="s">
        <v>1273</v>
      </c>
      <c r="CE207" s="361">
        <v>3600296.66</v>
      </c>
      <c r="CF207" s="361">
        <v>0</v>
      </c>
      <c r="CG207" s="361">
        <v>0</v>
      </c>
      <c r="CH207" s="361">
        <v>0</v>
      </c>
      <c r="CI207" s="361">
        <v>0</v>
      </c>
      <c r="CJ207" s="361">
        <v>1886084.59</v>
      </c>
      <c r="CK207" s="361">
        <v>857304.06</v>
      </c>
      <c r="CL207" s="361">
        <v>856908.01</v>
      </c>
      <c r="CM207" s="361"/>
      <c r="CN207" s="361"/>
      <c r="CO207" s="361"/>
      <c r="CP207" s="361"/>
      <c r="CQ207" s="361"/>
      <c r="CR207" s="361"/>
      <c r="CS207" s="362"/>
    </row>
    <row r="208" spans="3:97" ht="13">
      <c r="C208" s="294"/>
      <c r="D208" s="294"/>
      <c r="E208" s="294"/>
      <c r="F208" s="294"/>
      <c r="N208" s="295"/>
      <c r="U208" s="295"/>
      <c r="AC208" s="188"/>
      <c r="AE208" s="188"/>
      <c r="AF208" s="188"/>
      <c r="AG208" s="188"/>
      <c r="AH208" s="188"/>
      <c r="AI208" s="299"/>
      <c r="CB208" s="302">
        <f t="shared" si="515"/>
        <v>112012692</v>
      </c>
      <c r="CC208" s="510">
        <v>35</v>
      </c>
      <c r="CD208" s="359" t="s">
        <v>1368</v>
      </c>
      <c r="CE208" s="361">
        <v>3597305.47</v>
      </c>
      <c r="CF208" s="361">
        <v>524384.88</v>
      </c>
      <c r="CG208" s="361">
        <v>564506.59</v>
      </c>
      <c r="CH208" s="361">
        <v>576563.43000000005</v>
      </c>
      <c r="CI208" s="361">
        <v>681235.22</v>
      </c>
      <c r="CJ208" s="361">
        <v>353906.19</v>
      </c>
      <c r="CK208" s="361">
        <v>601134.68000000005</v>
      </c>
      <c r="CL208" s="361">
        <v>295574.49</v>
      </c>
      <c r="CM208" s="361"/>
      <c r="CN208" s="361"/>
      <c r="CO208" s="361"/>
      <c r="CP208" s="361"/>
      <c r="CQ208" s="361"/>
      <c r="CR208" s="361"/>
      <c r="CS208" s="362"/>
    </row>
    <row r="209" spans="3:97" ht="13">
      <c r="C209" s="294"/>
      <c r="D209" s="294"/>
      <c r="E209" s="294"/>
      <c r="F209" s="294"/>
      <c r="N209" s="295"/>
      <c r="U209" s="295"/>
      <c r="AC209" s="188"/>
      <c r="AE209" s="188"/>
      <c r="AF209" s="188"/>
      <c r="AG209" s="188"/>
      <c r="AH209" s="188"/>
      <c r="AI209" s="299"/>
      <c r="CB209" s="302">
        <f t="shared" si="515"/>
        <v>112014146</v>
      </c>
      <c r="CC209" s="510">
        <v>36</v>
      </c>
      <c r="CD209" s="359" t="s">
        <v>1287</v>
      </c>
      <c r="CE209" s="361">
        <v>3483281.59</v>
      </c>
      <c r="CF209" s="361">
        <v>968428.32</v>
      </c>
      <c r="CG209" s="361">
        <v>718371.08</v>
      </c>
      <c r="CH209" s="361">
        <v>359744.69</v>
      </c>
      <c r="CI209" s="361">
        <v>583742.76</v>
      </c>
      <c r="CJ209" s="361">
        <v>468606.1</v>
      </c>
      <c r="CK209" s="361">
        <v>180279.35</v>
      </c>
      <c r="CL209" s="361">
        <v>204109.28</v>
      </c>
      <c r="CM209" s="361"/>
      <c r="CN209" s="361"/>
      <c r="CO209" s="361"/>
      <c r="CP209" s="361"/>
      <c r="CQ209" s="361"/>
      <c r="CR209" s="361"/>
      <c r="CS209" s="362"/>
    </row>
    <row r="210" spans="3:97" ht="13">
      <c r="C210" s="294"/>
      <c r="D210" s="294"/>
      <c r="E210" s="294"/>
      <c r="F210" s="294"/>
      <c r="N210" s="295"/>
      <c r="U210" s="295"/>
      <c r="AC210" s="188"/>
      <c r="AE210" s="188"/>
      <c r="AF210" s="188"/>
      <c r="AG210" s="188"/>
      <c r="AH210" s="188"/>
      <c r="AI210" s="299"/>
      <c r="CB210" s="302">
        <f t="shared" si="515"/>
        <v>112014053</v>
      </c>
      <c r="CC210" s="510">
        <v>37</v>
      </c>
      <c r="CD210" s="359" t="s">
        <v>1277</v>
      </c>
      <c r="CE210" s="361">
        <v>3464183.07</v>
      </c>
      <c r="CF210" s="361">
        <v>852798.29</v>
      </c>
      <c r="CG210" s="361">
        <v>888016.71</v>
      </c>
      <c r="CH210" s="361">
        <v>416454.42</v>
      </c>
      <c r="CI210" s="361">
        <v>314425.67</v>
      </c>
      <c r="CJ210" s="361">
        <v>0</v>
      </c>
      <c r="CK210" s="361">
        <v>491654.93</v>
      </c>
      <c r="CL210" s="361">
        <v>500833.05</v>
      </c>
      <c r="CM210" s="361"/>
      <c r="CN210" s="361"/>
      <c r="CO210" s="361"/>
      <c r="CP210" s="361"/>
      <c r="CQ210" s="361"/>
      <c r="CR210" s="361"/>
      <c r="CS210" s="362"/>
    </row>
    <row r="211" spans="3:97" ht="13">
      <c r="C211" s="294"/>
      <c r="D211" s="294"/>
      <c r="E211" s="294"/>
      <c r="F211" s="294"/>
      <c r="N211" s="295"/>
      <c r="U211" s="295"/>
      <c r="AC211" s="188"/>
      <c r="AE211" s="188"/>
      <c r="AF211" s="188"/>
      <c r="AG211" s="188"/>
      <c r="AH211" s="188"/>
      <c r="AI211" s="299"/>
      <c r="CB211" s="302">
        <f t="shared" si="515"/>
        <v>112014300</v>
      </c>
      <c r="CC211" s="510">
        <v>38</v>
      </c>
      <c r="CD211" s="359" t="s">
        <v>1306</v>
      </c>
      <c r="CE211" s="361">
        <v>3435044.62</v>
      </c>
      <c r="CF211" s="361">
        <v>634665.36</v>
      </c>
      <c r="CG211" s="361">
        <v>0</v>
      </c>
      <c r="CH211" s="361">
        <v>0</v>
      </c>
      <c r="CI211" s="361">
        <v>366214.32</v>
      </c>
      <c r="CJ211" s="361">
        <v>1711737.84</v>
      </c>
      <c r="CK211" s="361">
        <v>722427.1</v>
      </c>
      <c r="CL211" s="361">
        <v>0</v>
      </c>
      <c r="CM211" s="361"/>
      <c r="CN211" s="361"/>
      <c r="CO211" s="361"/>
      <c r="CP211" s="361"/>
      <c r="CQ211" s="361"/>
      <c r="CR211" s="361"/>
      <c r="CS211" s="362"/>
    </row>
    <row r="212" spans="3:97" ht="13">
      <c r="C212" s="294"/>
      <c r="D212" s="294"/>
      <c r="E212" s="294"/>
      <c r="F212" s="294"/>
      <c r="N212" s="295"/>
      <c r="U212" s="295"/>
      <c r="AC212" s="188"/>
      <c r="AE212" s="188"/>
      <c r="AF212" s="188"/>
      <c r="AG212" s="188"/>
      <c r="AH212" s="188"/>
      <c r="AI212" s="299"/>
      <c r="CB212" s="302">
        <f t="shared" si="515"/>
        <v>112013551</v>
      </c>
      <c r="CC212" s="510">
        <v>39</v>
      </c>
      <c r="CD212" s="325" t="s">
        <v>1286</v>
      </c>
      <c r="CE212" s="361">
        <v>3308546.05</v>
      </c>
      <c r="CF212" s="361">
        <v>0</v>
      </c>
      <c r="CG212" s="361">
        <v>0</v>
      </c>
      <c r="CH212" s="361">
        <v>0</v>
      </c>
      <c r="CI212" s="361">
        <v>1249912.56</v>
      </c>
      <c r="CJ212" s="361">
        <v>1110590.05</v>
      </c>
      <c r="CK212" s="361">
        <v>948043.44</v>
      </c>
      <c r="CL212" s="361">
        <v>0</v>
      </c>
      <c r="CM212" s="361"/>
      <c r="CN212" s="361"/>
      <c r="CO212" s="361"/>
      <c r="CP212" s="361"/>
      <c r="CQ212" s="361"/>
      <c r="CR212" s="361"/>
      <c r="CS212" s="362"/>
    </row>
    <row r="213" spans="3:97" ht="13">
      <c r="C213" s="294"/>
      <c r="D213" s="294"/>
      <c r="E213" s="294"/>
      <c r="F213" s="294"/>
      <c r="N213" s="295"/>
      <c r="U213" s="295"/>
      <c r="AC213" s="188"/>
      <c r="AE213" s="188"/>
      <c r="AF213" s="188"/>
      <c r="AG213" s="188"/>
      <c r="AH213" s="188"/>
      <c r="AI213" s="299"/>
      <c r="CB213" s="302">
        <f t="shared" si="515"/>
        <v>112013308</v>
      </c>
      <c r="CC213" s="510">
        <v>40</v>
      </c>
      <c r="CD213" s="359" t="s">
        <v>1280</v>
      </c>
      <c r="CE213" s="361">
        <v>3033844.16</v>
      </c>
      <c r="CF213" s="361">
        <v>325539.21999999997</v>
      </c>
      <c r="CG213" s="361">
        <v>1824875.74</v>
      </c>
      <c r="CH213" s="361">
        <v>0</v>
      </c>
      <c r="CI213" s="361">
        <v>223119.79</v>
      </c>
      <c r="CJ213" s="361">
        <v>160652.74</v>
      </c>
      <c r="CK213" s="361">
        <v>246970.82</v>
      </c>
      <c r="CL213" s="361">
        <v>252685.84</v>
      </c>
      <c r="CM213" s="361"/>
      <c r="CN213" s="361"/>
      <c r="CO213" s="361"/>
      <c r="CP213" s="361"/>
      <c r="CQ213" s="361"/>
      <c r="CR213" s="361"/>
      <c r="CS213" s="362"/>
    </row>
    <row r="214" spans="3:97" ht="13">
      <c r="C214" s="294"/>
      <c r="D214" s="294"/>
      <c r="E214" s="294"/>
      <c r="F214" s="294"/>
      <c r="N214" s="295"/>
      <c r="U214" s="295"/>
      <c r="AC214" s="188"/>
      <c r="AE214" s="188"/>
      <c r="AF214" s="188"/>
      <c r="AG214" s="188"/>
      <c r="AH214" s="188"/>
      <c r="AI214" s="299"/>
      <c r="CB214" s="302">
        <f t="shared" si="515"/>
        <v>112013273</v>
      </c>
      <c r="CC214" s="510">
        <v>41</v>
      </c>
      <c r="CD214" s="359" t="s">
        <v>1300</v>
      </c>
      <c r="CE214" s="361">
        <v>2907346.19</v>
      </c>
      <c r="CF214" s="361">
        <v>755567.59</v>
      </c>
      <c r="CG214" s="361">
        <v>424520.72</v>
      </c>
      <c r="CH214" s="361">
        <v>308068.39</v>
      </c>
      <c r="CI214" s="361">
        <v>598153.38</v>
      </c>
      <c r="CJ214" s="361">
        <v>564984.09</v>
      </c>
      <c r="CK214" s="361">
        <v>256052.02</v>
      </c>
      <c r="CL214" s="361">
        <v>0</v>
      </c>
      <c r="CM214" s="361"/>
      <c r="CN214" s="361"/>
      <c r="CO214" s="361"/>
      <c r="CP214" s="361"/>
      <c r="CQ214" s="361"/>
      <c r="CR214" s="361"/>
      <c r="CS214" s="362"/>
    </row>
    <row r="215" spans="3:97" ht="13">
      <c r="C215" s="294"/>
      <c r="D215" s="294"/>
      <c r="E215" s="294"/>
      <c r="F215" s="294"/>
      <c r="N215" s="295"/>
      <c r="U215" s="295"/>
      <c r="AC215" s="188"/>
      <c r="AE215" s="188"/>
      <c r="AF215" s="188"/>
      <c r="AG215" s="188"/>
      <c r="AH215" s="188"/>
      <c r="AI215" s="299"/>
      <c r="CB215" s="302">
        <f t="shared" si="515"/>
        <v>112011267</v>
      </c>
      <c r="CC215" s="510">
        <v>42</v>
      </c>
      <c r="CD215" s="359" t="s">
        <v>1348</v>
      </c>
      <c r="CE215" s="361">
        <v>2885318.79</v>
      </c>
      <c r="CF215" s="361">
        <v>1028390.79</v>
      </c>
      <c r="CG215" s="361">
        <v>315763.77</v>
      </c>
      <c r="CH215" s="361">
        <v>464570.27</v>
      </c>
      <c r="CI215" s="361">
        <v>0</v>
      </c>
      <c r="CJ215" s="361">
        <v>554749.57999999996</v>
      </c>
      <c r="CK215" s="361">
        <v>0</v>
      </c>
      <c r="CL215" s="361">
        <v>521844.38</v>
      </c>
      <c r="CM215" s="361"/>
      <c r="CN215" s="361"/>
      <c r="CO215" s="361"/>
      <c r="CP215" s="361"/>
      <c r="CQ215" s="361"/>
      <c r="CR215" s="361"/>
      <c r="CS215" s="362"/>
    </row>
    <row r="216" spans="3:97" ht="13">
      <c r="C216" s="294"/>
      <c r="D216" s="294"/>
      <c r="E216" s="294"/>
      <c r="F216" s="294"/>
      <c r="N216" s="295"/>
      <c r="U216" s="295"/>
      <c r="AC216" s="188"/>
      <c r="AE216" s="188"/>
      <c r="AF216" s="188"/>
      <c r="AG216" s="188"/>
      <c r="AH216" s="188"/>
      <c r="AI216" s="299"/>
      <c r="CB216" s="302">
        <f t="shared" si="515"/>
        <v>112013571</v>
      </c>
      <c r="CC216" s="510">
        <v>43</v>
      </c>
      <c r="CD216" s="359" t="s">
        <v>1388</v>
      </c>
      <c r="CE216" s="361">
        <v>2610593.94</v>
      </c>
      <c r="CF216" s="361">
        <v>0</v>
      </c>
      <c r="CG216" s="361">
        <v>791746.15</v>
      </c>
      <c r="CH216" s="361">
        <v>0</v>
      </c>
      <c r="CI216" s="361">
        <v>785707.96</v>
      </c>
      <c r="CJ216" s="361">
        <v>94696.78</v>
      </c>
      <c r="CK216" s="361">
        <v>385983.67</v>
      </c>
      <c r="CL216" s="361">
        <v>552459.4</v>
      </c>
      <c r="CM216" s="365"/>
      <c r="CN216" s="365"/>
      <c r="CO216" s="365"/>
      <c r="CP216" s="365"/>
      <c r="CQ216" s="365"/>
      <c r="CR216" s="365"/>
      <c r="CS216" s="366"/>
    </row>
    <row r="217" spans="3:97" ht="13">
      <c r="C217" s="294"/>
      <c r="D217" s="294"/>
      <c r="E217" s="294"/>
      <c r="F217" s="294"/>
      <c r="N217" s="295"/>
      <c r="U217" s="295"/>
      <c r="AC217" s="188"/>
      <c r="AE217" s="188"/>
      <c r="AF217" s="188"/>
      <c r="AG217" s="188"/>
      <c r="AH217" s="188"/>
      <c r="AI217" s="299"/>
      <c r="CB217" s="302">
        <f t="shared" si="515"/>
        <v>112012891</v>
      </c>
      <c r="CC217" s="510">
        <v>44</v>
      </c>
      <c r="CD217" s="359" t="s">
        <v>1334</v>
      </c>
      <c r="CE217" s="361">
        <v>2597094.5699999998</v>
      </c>
      <c r="CF217" s="361">
        <v>0</v>
      </c>
      <c r="CG217" s="361">
        <v>0</v>
      </c>
      <c r="CH217" s="361">
        <v>963835.47</v>
      </c>
      <c r="CI217" s="361">
        <v>0</v>
      </c>
      <c r="CJ217" s="361">
        <v>1208543.26</v>
      </c>
      <c r="CK217" s="361">
        <v>0</v>
      </c>
      <c r="CL217" s="361">
        <v>424715.84</v>
      </c>
      <c r="CM217" s="361"/>
      <c r="CN217" s="361"/>
      <c r="CO217" s="361"/>
      <c r="CP217" s="361"/>
      <c r="CQ217" s="361"/>
      <c r="CR217" s="361"/>
      <c r="CS217" s="362"/>
    </row>
    <row r="218" spans="3:97" ht="13">
      <c r="C218" s="294"/>
      <c r="D218" s="294"/>
      <c r="E218" s="294"/>
      <c r="F218" s="294"/>
      <c r="N218" s="295"/>
      <c r="U218" s="295"/>
      <c r="AC218" s="188"/>
      <c r="AE218" s="188"/>
      <c r="AF218" s="188"/>
      <c r="AG218" s="188"/>
      <c r="AH218" s="188"/>
      <c r="AI218" s="299"/>
      <c r="CB218" s="302">
        <f t="shared" si="515"/>
        <v>112011806</v>
      </c>
      <c r="CC218" s="510">
        <v>45</v>
      </c>
      <c r="CD218" s="359" t="s">
        <v>1347</v>
      </c>
      <c r="CE218" s="361">
        <v>2526488.66</v>
      </c>
      <c r="CF218" s="361">
        <v>1197514.92</v>
      </c>
      <c r="CG218" s="361">
        <v>493112.96</v>
      </c>
      <c r="CH218" s="361">
        <v>0</v>
      </c>
      <c r="CI218" s="361">
        <v>0</v>
      </c>
      <c r="CJ218" s="361">
        <v>171370.62</v>
      </c>
      <c r="CK218" s="361">
        <v>496945.65</v>
      </c>
      <c r="CL218" s="361">
        <v>167544.51</v>
      </c>
      <c r="CM218" s="365"/>
      <c r="CN218" s="365"/>
      <c r="CO218" s="365"/>
      <c r="CP218" s="365"/>
      <c r="CQ218" s="365"/>
      <c r="CR218" s="365"/>
      <c r="CS218" s="366"/>
    </row>
    <row r="219" spans="3:97" ht="13">
      <c r="C219" s="294"/>
      <c r="D219" s="294"/>
      <c r="E219" s="294"/>
      <c r="F219" s="294"/>
      <c r="N219" s="295"/>
      <c r="U219" s="295"/>
      <c r="AC219" s="188"/>
      <c r="AE219" s="188"/>
      <c r="AF219" s="188"/>
      <c r="AG219" s="188"/>
      <c r="AH219" s="188"/>
      <c r="AI219" s="299"/>
      <c r="CB219" s="302">
        <f t="shared" si="515"/>
        <v>112013986</v>
      </c>
      <c r="CC219" s="510">
        <v>46</v>
      </c>
      <c r="CD219" s="359" t="s">
        <v>1291</v>
      </c>
      <c r="CE219" s="361">
        <v>2484572.87</v>
      </c>
      <c r="CF219" s="361">
        <v>0</v>
      </c>
      <c r="CG219" s="361">
        <v>753383.29</v>
      </c>
      <c r="CH219" s="361">
        <v>698146.65</v>
      </c>
      <c r="CI219" s="361">
        <v>204380.89</v>
      </c>
      <c r="CJ219" s="361">
        <v>147817.99</v>
      </c>
      <c r="CK219" s="361">
        <v>418358.44</v>
      </c>
      <c r="CL219" s="361">
        <v>262485.61</v>
      </c>
      <c r="CM219" s="361"/>
      <c r="CN219" s="361"/>
      <c r="CO219" s="361"/>
      <c r="CP219" s="361"/>
      <c r="CQ219" s="361"/>
      <c r="CR219" s="361"/>
      <c r="CS219" s="362"/>
    </row>
    <row r="220" spans="3:97" ht="13">
      <c r="C220" s="294"/>
      <c r="D220" s="294"/>
      <c r="E220" s="294"/>
      <c r="F220" s="294"/>
      <c r="N220" s="295"/>
      <c r="U220" s="295"/>
      <c r="AC220" s="188"/>
      <c r="AE220" s="188"/>
      <c r="AF220" s="188"/>
      <c r="AG220" s="188"/>
      <c r="AH220" s="188"/>
      <c r="AI220" s="299"/>
      <c r="CB220" s="302">
        <f t="shared" si="515"/>
        <v>112010407</v>
      </c>
      <c r="CC220" s="510">
        <v>47</v>
      </c>
      <c r="CD220" s="359" t="s">
        <v>1332</v>
      </c>
      <c r="CE220" s="361">
        <v>2423096.9300000002</v>
      </c>
      <c r="CF220" s="361">
        <v>0</v>
      </c>
      <c r="CG220" s="361">
        <v>0</v>
      </c>
      <c r="CH220" s="361">
        <v>0</v>
      </c>
      <c r="CI220" s="361">
        <v>1214112.19</v>
      </c>
      <c r="CJ220" s="361">
        <v>850913.61</v>
      </c>
      <c r="CK220" s="361">
        <v>0</v>
      </c>
      <c r="CL220" s="361">
        <v>358071.13</v>
      </c>
      <c r="CM220" s="361"/>
      <c r="CN220" s="361"/>
      <c r="CO220" s="361"/>
      <c r="CP220" s="361"/>
      <c r="CQ220" s="361"/>
      <c r="CR220" s="361"/>
      <c r="CS220" s="362"/>
    </row>
    <row r="221" spans="3:97" ht="13">
      <c r="C221" s="294"/>
      <c r="D221" s="294"/>
      <c r="E221" s="294"/>
      <c r="F221" s="294"/>
      <c r="N221" s="295"/>
      <c r="U221" s="295"/>
      <c r="AC221" s="188"/>
      <c r="AE221" s="188"/>
      <c r="AF221" s="188"/>
      <c r="AG221" s="188"/>
      <c r="AH221" s="188"/>
      <c r="AI221" s="299"/>
      <c r="CB221" s="302">
        <f t="shared" si="515"/>
        <v>112013617</v>
      </c>
      <c r="CC221" s="510">
        <v>48</v>
      </c>
      <c r="CD221" s="359" t="s">
        <v>1308</v>
      </c>
      <c r="CE221" s="361">
        <v>2287043.9900000002</v>
      </c>
      <c r="CF221" s="361">
        <v>0</v>
      </c>
      <c r="CG221" s="361">
        <v>0</v>
      </c>
      <c r="CH221" s="361">
        <v>0</v>
      </c>
      <c r="CI221" s="361">
        <v>366130.86</v>
      </c>
      <c r="CJ221" s="361">
        <v>1218699.92</v>
      </c>
      <c r="CK221" s="361">
        <v>702213.21</v>
      </c>
      <c r="CL221" s="361">
        <v>0</v>
      </c>
      <c r="CM221" s="361"/>
      <c r="CN221" s="361"/>
      <c r="CO221" s="361"/>
      <c r="CP221" s="361"/>
      <c r="CQ221" s="361"/>
      <c r="CR221" s="361"/>
      <c r="CS221" s="362"/>
    </row>
    <row r="222" spans="3:97" ht="13">
      <c r="C222" s="294"/>
      <c r="D222" s="294"/>
      <c r="E222" s="294"/>
      <c r="F222" s="294"/>
      <c r="N222" s="295"/>
      <c r="U222" s="295"/>
      <c r="AC222" s="188"/>
      <c r="AE222" s="188"/>
      <c r="AF222" s="188"/>
      <c r="AG222" s="188"/>
      <c r="AH222" s="188"/>
      <c r="AI222" s="299"/>
      <c r="CB222" s="302">
        <f t="shared" si="515"/>
        <v>112010112</v>
      </c>
      <c r="CC222" s="510">
        <v>49</v>
      </c>
      <c r="CD222" s="359" t="s">
        <v>1327</v>
      </c>
      <c r="CE222" s="361">
        <v>2214525.67</v>
      </c>
      <c r="CF222" s="361">
        <v>0</v>
      </c>
      <c r="CG222" s="361">
        <v>522418.22</v>
      </c>
      <c r="CH222" s="361">
        <v>785550.44</v>
      </c>
      <c r="CI222" s="361">
        <v>0</v>
      </c>
      <c r="CJ222" s="361">
        <v>0</v>
      </c>
      <c r="CK222" s="361">
        <v>906557.02</v>
      </c>
      <c r="CL222" s="361">
        <v>0</v>
      </c>
      <c r="CM222" s="361"/>
      <c r="CN222" s="361"/>
      <c r="CO222" s="361"/>
      <c r="CP222" s="361"/>
      <c r="CQ222" s="361"/>
      <c r="CR222" s="361"/>
      <c r="CS222" s="362"/>
    </row>
    <row r="223" spans="3:97" ht="13">
      <c r="C223" s="294"/>
      <c r="D223" s="294"/>
      <c r="E223" s="294"/>
      <c r="F223" s="294"/>
      <c r="N223" s="295"/>
      <c r="U223" s="295"/>
      <c r="AC223" s="188"/>
      <c r="AE223" s="188"/>
      <c r="AF223" s="188"/>
      <c r="AG223" s="188"/>
      <c r="AH223" s="188"/>
      <c r="AI223" s="299"/>
      <c r="CB223" s="302">
        <f t="shared" si="515"/>
        <v>112012449</v>
      </c>
      <c r="CC223" s="510">
        <v>50</v>
      </c>
      <c r="CD223" s="359" t="s">
        <v>1305</v>
      </c>
      <c r="CE223" s="361">
        <v>2148986.37</v>
      </c>
      <c r="CF223" s="361">
        <v>0</v>
      </c>
      <c r="CG223" s="361">
        <v>1161402.78</v>
      </c>
      <c r="CH223" s="361">
        <v>0</v>
      </c>
      <c r="CI223" s="361">
        <v>987583.59</v>
      </c>
      <c r="CJ223" s="361">
        <v>0</v>
      </c>
      <c r="CK223" s="361">
        <v>0</v>
      </c>
      <c r="CL223" s="361">
        <v>0</v>
      </c>
      <c r="CM223" s="361"/>
      <c r="CN223" s="361"/>
      <c r="CO223" s="361"/>
      <c r="CP223" s="361"/>
      <c r="CQ223" s="361"/>
      <c r="CR223" s="361"/>
      <c r="CS223" s="362"/>
    </row>
    <row r="224" spans="3:97" ht="13">
      <c r="C224" s="294"/>
      <c r="D224" s="294"/>
      <c r="E224" s="294"/>
      <c r="F224" s="294"/>
      <c r="N224" s="295"/>
      <c r="U224" s="295"/>
      <c r="AC224" s="188"/>
      <c r="AE224" s="188"/>
      <c r="AF224" s="188"/>
      <c r="AG224" s="188"/>
      <c r="AH224" s="188"/>
      <c r="AI224" s="299"/>
      <c r="CB224" s="302">
        <f t="shared" si="515"/>
        <v>112012626</v>
      </c>
      <c r="CC224" s="510">
        <v>51</v>
      </c>
      <c r="CD224" s="359" t="s">
        <v>1336</v>
      </c>
      <c r="CE224" s="361">
        <v>2022151.02</v>
      </c>
      <c r="CF224" s="361">
        <v>0</v>
      </c>
      <c r="CG224" s="361">
        <v>149234.91</v>
      </c>
      <c r="CH224" s="361">
        <v>0</v>
      </c>
      <c r="CI224" s="361">
        <v>1487352.21</v>
      </c>
      <c r="CJ224" s="361">
        <v>191005.5</v>
      </c>
      <c r="CK224" s="361">
        <v>194558.4</v>
      </c>
      <c r="CL224" s="361">
        <v>0</v>
      </c>
      <c r="CM224" s="365"/>
      <c r="CN224" s="365"/>
      <c r="CO224" s="365"/>
      <c r="CP224" s="365"/>
      <c r="CQ224" s="365"/>
      <c r="CR224" s="365"/>
      <c r="CS224" s="366"/>
    </row>
    <row r="225" spans="3:97" ht="13">
      <c r="C225" s="294"/>
      <c r="D225" s="294"/>
      <c r="E225" s="294"/>
      <c r="F225" s="294"/>
      <c r="N225" s="295"/>
      <c r="U225" s="295"/>
      <c r="AC225" s="188"/>
      <c r="AE225" s="188"/>
      <c r="AF225" s="188"/>
      <c r="AG225" s="188"/>
      <c r="AH225" s="188"/>
      <c r="AI225" s="299"/>
      <c r="CB225" s="302">
        <f t="shared" si="515"/>
        <v>112010365</v>
      </c>
      <c r="CC225" s="510">
        <v>52</v>
      </c>
      <c r="CD225" s="359" t="s">
        <v>1270</v>
      </c>
      <c r="CE225" s="361">
        <v>1999365.74</v>
      </c>
      <c r="CF225" s="361">
        <v>0</v>
      </c>
      <c r="CG225" s="361">
        <v>0</v>
      </c>
      <c r="CH225" s="361">
        <v>0</v>
      </c>
      <c r="CI225" s="361">
        <v>0</v>
      </c>
      <c r="CJ225" s="361">
        <v>508973.67</v>
      </c>
      <c r="CK225" s="361">
        <v>1368513.03</v>
      </c>
      <c r="CL225" s="361">
        <v>121879.03999999999</v>
      </c>
      <c r="CM225" s="361"/>
      <c r="CN225" s="361"/>
      <c r="CO225" s="361"/>
      <c r="CP225" s="361"/>
      <c r="CQ225" s="361"/>
      <c r="CR225" s="361"/>
      <c r="CS225" s="362"/>
    </row>
    <row r="226" spans="3:97" ht="13">
      <c r="C226" s="294"/>
      <c r="D226" s="294"/>
      <c r="E226" s="294"/>
      <c r="F226" s="294"/>
      <c r="N226" s="295"/>
      <c r="U226" s="295"/>
      <c r="AC226" s="188"/>
      <c r="AE226" s="188"/>
      <c r="AF226" s="188"/>
      <c r="AG226" s="188"/>
      <c r="AH226" s="188"/>
      <c r="AI226" s="299"/>
      <c r="CB226" s="302">
        <f t="shared" si="515"/>
        <v>112011834</v>
      </c>
      <c r="CC226" s="510">
        <v>53</v>
      </c>
      <c r="CD226" s="359" t="s">
        <v>1370</v>
      </c>
      <c r="CE226" s="361">
        <v>1973560.09</v>
      </c>
      <c r="CF226" s="361">
        <v>451552.08</v>
      </c>
      <c r="CG226" s="361">
        <v>572925.46</v>
      </c>
      <c r="CH226" s="361">
        <v>360496.07</v>
      </c>
      <c r="CI226" s="361">
        <v>159412.78</v>
      </c>
      <c r="CJ226" s="361">
        <v>0</v>
      </c>
      <c r="CK226" s="361">
        <v>247758.6</v>
      </c>
      <c r="CL226" s="361">
        <v>181415.1</v>
      </c>
      <c r="CM226" s="361"/>
      <c r="CN226" s="361"/>
      <c r="CO226" s="361"/>
      <c r="CP226" s="361"/>
      <c r="CQ226" s="361"/>
      <c r="CR226" s="361"/>
      <c r="CS226" s="362"/>
    </row>
    <row r="227" spans="3:97" ht="13">
      <c r="C227" s="294"/>
      <c r="D227" s="294"/>
      <c r="E227" s="294"/>
      <c r="F227" s="294"/>
      <c r="N227" s="295"/>
      <c r="U227" s="295"/>
      <c r="AC227" s="188"/>
      <c r="AE227" s="188"/>
      <c r="AF227" s="188"/>
      <c r="AG227" s="188"/>
      <c r="AH227" s="188"/>
      <c r="AI227" s="299"/>
      <c r="CB227" s="302">
        <f t="shared" si="515"/>
        <v>112011216</v>
      </c>
      <c r="CC227" s="510">
        <v>54</v>
      </c>
      <c r="CD227" s="359" t="s">
        <v>1317</v>
      </c>
      <c r="CE227" s="361">
        <v>1845072.73</v>
      </c>
      <c r="CF227" s="361">
        <v>0</v>
      </c>
      <c r="CG227" s="361">
        <v>0</v>
      </c>
      <c r="CH227" s="361">
        <v>0</v>
      </c>
      <c r="CI227" s="361">
        <v>0</v>
      </c>
      <c r="CJ227" s="361">
        <v>236839.13</v>
      </c>
      <c r="CK227" s="361">
        <v>1608233.6</v>
      </c>
      <c r="CL227" s="361">
        <v>0</v>
      </c>
      <c r="CM227" s="361"/>
      <c r="CN227" s="361"/>
      <c r="CO227" s="361"/>
      <c r="CP227" s="361"/>
      <c r="CQ227" s="361"/>
      <c r="CR227" s="361"/>
      <c r="CS227" s="362"/>
    </row>
    <row r="228" spans="3:97" ht="13">
      <c r="C228" s="294"/>
      <c r="D228" s="294"/>
      <c r="E228" s="294"/>
      <c r="F228" s="294"/>
      <c r="N228" s="295"/>
      <c r="U228" s="295"/>
      <c r="AC228" s="188"/>
      <c r="AE228" s="188"/>
      <c r="AF228" s="188"/>
      <c r="AG228" s="188"/>
      <c r="AH228" s="188"/>
      <c r="AI228" s="299"/>
      <c r="CB228" s="302">
        <f t="shared" si="515"/>
        <v>112010568</v>
      </c>
      <c r="CC228" s="510">
        <v>55</v>
      </c>
      <c r="CD228" s="359" t="s">
        <v>1320</v>
      </c>
      <c r="CE228" s="361">
        <v>1788367.31</v>
      </c>
      <c r="CF228" s="361">
        <v>0</v>
      </c>
      <c r="CG228" s="361">
        <v>0</v>
      </c>
      <c r="CH228" s="361">
        <v>0</v>
      </c>
      <c r="CI228" s="361">
        <v>0</v>
      </c>
      <c r="CJ228" s="361">
        <v>345663.91</v>
      </c>
      <c r="CK228" s="361">
        <v>1234598.18</v>
      </c>
      <c r="CL228" s="361">
        <v>208105.22</v>
      </c>
      <c r="CM228" s="365"/>
      <c r="CN228" s="365"/>
      <c r="CO228" s="365"/>
      <c r="CP228" s="365"/>
      <c r="CQ228" s="365"/>
      <c r="CR228" s="365"/>
      <c r="CS228" s="366"/>
    </row>
    <row r="229" spans="3:97" ht="13">
      <c r="C229" s="294"/>
      <c r="D229" s="294"/>
      <c r="E229" s="294"/>
      <c r="F229" s="294"/>
      <c r="N229" s="295"/>
      <c r="U229" s="295"/>
      <c r="AC229" s="188"/>
      <c r="AE229" s="188"/>
      <c r="AF229" s="188"/>
      <c r="AG229" s="188"/>
      <c r="AH229" s="188"/>
      <c r="AI229" s="299"/>
      <c r="CB229" s="302">
        <f t="shared" si="515"/>
        <v>112013486</v>
      </c>
      <c r="CC229" s="510">
        <v>56</v>
      </c>
      <c r="CD229" s="325" t="s">
        <v>1312</v>
      </c>
      <c r="CE229" s="361">
        <v>1737391.62</v>
      </c>
      <c r="CF229" s="361">
        <v>0</v>
      </c>
      <c r="CG229" s="365">
        <v>0</v>
      </c>
      <c r="CH229" s="361">
        <v>0</v>
      </c>
      <c r="CI229" s="361">
        <v>1737391.62</v>
      </c>
      <c r="CJ229" s="361">
        <v>0</v>
      </c>
      <c r="CK229" s="361">
        <v>0</v>
      </c>
      <c r="CL229" s="361">
        <v>0</v>
      </c>
      <c r="CM229" s="365"/>
      <c r="CN229" s="365"/>
      <c r="CO229" s="365"/>
      <c r="CP229" s="365"/>
      <c r="CQ229" s="365"/>
      <c r="CR229" s="365"/>
      <c r="CS229" s="366"/>
    </row>
    <row r="230" spans="3:97" ht="13">
      <c r="C230" s="294"/>
      <c r="D230" s="294"/>
      <c r="E230" s="294"/>
      <c r="F230" s="294"/>
      <c r="N230" s="295"/>
      <c r="U230" s="295"/>
      <c r="AC230" s="188"/>
      <c r="AE230" s="188"/>
      <c r="AF230" s="188"/>
      <c r="AG230" s="188"/>
      <c r="AH230" s="188"/>
      <c r="AI230" s="299"/>
      <c r="CB230" s="302">
        <f t="shared" si="515"/>
        <v>112014130</v>
      </c>
      <c r="CC230" s="510">
        <v>57</v>
      </c>
      <c r="CD230" s="325" t="s">
        <v>1557</v>
      </c>
      <c r="CE230" s="361">
        <v>1717466.57</v>
      </c>
      <c r="CF230" s="361">
        <v>195568.78</v>
      </c>
      <c r="CG230" s="361">
        <v>0</v>
      </c>
      <c r="CH230" s="361">
        <v>262918.53000000003</v>
      </c>
      <c r="CI230" s="361">
        <v>143306.85</v>
      </c>
      <c r="CJ230" s="361">
        <v>264168.68</v>
      </c>
      <c r="CK230" s="361">
        <v>565035.65</v>
      </c>
      <c r="CL230" s="361">
        <v>286468.07</v>
      </c>
      <c r="CM230" s="361"/>
      <c r="CN230" s="361"/>
      <c r="CO230" s="361"/>
      <c r="CP230" s="361"/>
      <c r="CQ230" s="361"/>
      <c r="CR230" s="361"/>
      <c r="CS230" s="362"/>
    </row>
    <row r="231" spans="3:97" ht="13">
      <c r="C231" s="294"/>
      <c r="D231" s="294"/>
      <c r="E231" s="294"/>
      <c r="F231" s="294"/>
      <c r="N231" s="295"/>
      <c r="U231" s="295"/>
      <c r="AC231" s="188"/>
      <c r="AE231" s="188"/>
      <c r="AF231" s="188"/>
      <c r="AG231" s="188"/>
      <c r="AH231" s="188"/>
      <c r="AI231" s="299"/>
      <c r="CB231" s="302">
        <f t="shared" si="515"/>
        <v>112012704</v>
      </c>
      <c r="CC231" s="510">
        <v>58</v>
      </c>
      <c r="CD231" s="325" t="s">
        <v>1362</v>
      </c>
      <c r="CE231" s="361">
        <v>1655266.03</v>
      </c>
      <c r="CF231" s="361">
        <v>398768.48</v>
      </c>
      <c r="CG231" s="361">
        <v>181097.79</v>
      </c>
      <c r="CH231" s="352">
        <v>196248.22</v>
      </c>
      <c r="CI231" s="361">
        <v>345452.44</v>
      </c>
      <c r="CJ231" s="361">
        <v>274403.09999999998</v>
      </c>
      <c r="CK231" s="361">
        <v>259296.01</v>
      </c>
      <c r="CL231" s="361">
        <v>0</v>
      </c>
      <c r="CM231" s="361"/>
      <c r="CN231" s="361"/>
      <c r="CO231" s="361"/>
      <c r="CP231" s="361"/>
      <c r="CQ231" s="361"/>
      <c r="CR231" s="361"/>
      <c r="CS231" s="362"/>
    </row>
    <row r="232" spans="3:97" ht="13">
      <c r="C232" s="294"/>
      <c r="D232" s="294"/>
      <c r="E232" s="294"/>
      <c r="F232" s="294"/>
      <c r="N232" s="295"/>
      <c r="U232" s="295"/>
      <c r="AC232" s="188"/>
      <c r="AE232" s="188"/>
      <c r="AF232" s="188"/>
      <c r="AG232" s="188"/>
      <c r="AH232" s="188"/>
      <c r="AI232" s="299"/>
      <c r="CB232" s="302">
        <f t="shared" si="515"/>
        <v>112014487</v>
      </c>
      <c r="CC232" s="510">
        <v>59</v>
      </c>
      <c r="CD232" s="359" t="s">
        <v>1315</v>
      </c>
      <c r="CE232" s="361">
        <v>1629691.7</v>
      </c>
      <c r="CF232" s="361">
        <v>0</v>
      </c>
      <c r="CG232" s="361">
        <v>0</v>
      </c>
      <c r="CH232" s="361">
        <v>0</v>
      </c>
      <c r="CI232" s="361">
        <v>834822.75</v>
      </c>
      <c r="CJ232" s="361">
        <v>518537.97</v>
      </c>
      <c r="CK232" s="361">
        <v>208765.8</v>
      </c>
      <c r="CL232" s="361">
        <v>67565.179999999993</v>
      </c>
      <c r="CM232" s="361"/>
      <c r="CN232" s="361"/>
      <c r="CO232" s="361"/>
      <c r="CP232" s="361"/>
      <c r="CQ232" s="361"/>
      <c r="CR232" s="361"/>
      <c r="CS232" s="362"/>
    </row>
    <row r="233" spans="3:97" ht="13">
      <c r="C233" s="294"/>
      <c r="D233" s="294"/>
      <c r="E233" s="294"/>
      <c r="F233" s="294"/>
      <c r="N233" s="295"/>
      <c r="U233" s="295"/>
      <c r="AC233" s="188"/>
      <c r="AE233" s="188"/>
      <c r="AF233" s="188"/>
      <c r="AG233" s="188"/>
      <c r="AH233" s="188"/>
      <c r="AI233" s="299"/>
      <c r="CB233" s="302">
        <f t="shared" si="515"/>
        <v>112014458</v>
      </c>
      <c r="CC233" s="510">
        <v>60</v>
      </c>
      <c r="CD233" s="359" t="s">
        <v>1331</v>
      </c>
      <c r="CE233" s="361">
        <v>1592379.7</v>
      </c>
      <c r="CF233" s="361">
        <v>233769.72</v>
      </c>
      <c r="CG233" s="361">
        <v>459953.73</v>
      </c>
      <c r="CH233" s="361">
        <v>0</v>
      </c>
      <c r="CI233" s="361">
        <v>898656.26</v>
      </c>
      <c r="CJ233" s="361">
        <v>0</v>
      </c>
      <c r="CK233" s="361">
        <v>0</v>
      </c>
      <c r="CL233" s="361">
        <v>0</v>
      </c>
      <c r="CM233" s="361"/>
      <c r="CN233" s="361"/>
      <c r="CO233" s="361"/>
      <c r="CP233" s="361"/>
      <c r="CQ233" s="361"/>
      <c r="CR233" s="361"/>
      <c r="CS233" s="362"/>
    </row>
    <row r="234" spans="3:97" ht="13">
      <c r="C234" s="294"/>
      <c r="D234" s="294"/>
      <c r="E234" s="294"/>
      <c r="F234" s="294"/>
      <c r="N234" s="295"/>
      <c r="U234" s="295"/>
      <c r="AC234" s="188"/>
      <c r="AE234" s="188"/>
      <c r="AF234" s="188"/>
      <c r="AG234" s="188"/>
      <c r="AH234" s="188"/>
      <c r="AI234" s="299"/>
      <c r="CB234" s="302">
        <f t="shared" si="515"/>
        <v>112012353</v>
      </c>
      <c r="CC234" s="510">
        <v>61</v>
      </c>
      <c r="CD234" s="359" t="s">
        <v>1269</v>
      </c>
      <c r="CE234" s="361">
        <v>1545100.47</v>
      </c>
      <c r="CF234" s="361">
        <v>0</v>
      </c>
      <c r="CG234" s="361">
        <v>0</v>
      </c>
      <c r="CH234" s="361">
        <v>0</v>
      </c>
      <c r="CI234" s="361">
        <v>0</v>
      </c>
      <c r="CJ234" s="361">
        <v>0</v>
      </c>
      <c r="CK234" s="361">
        <v>1003391.18</v>
      </c>
      <c r="CL234" s="361">
        <v>541709.29</v>
      </c>
      <c r="CM234" s="361"/>
      <c r="CN234" s="361"/>
      <c r="CO234" s="361"/>
      <c r="CP234" s="361"/>
      <c r="CQ234" s="361"/>
      <c r="CR234" s="361"/>
      <c r="CS234" s="362"/>
    </row>
    <row r="235" spans="3:97" ht="13">
      <c r="C235" s="294"/>
      <c r="D235" s="294"/>
      <c r="E235" s="294"/>
      <c r="F235" s="294"/>
      <c r="N235" s="295"/>
      <c r="U235" s="295"/>
      <c r="AC235" s="188"/>
      <c r="AE235" s="188"/>
      <c r="AF235" s="188"/>
      <c r="AG235" s="188"/>
      <c r="AH235" s="188"/>
      <c r="AI235" s="299"/>
      <c r="CB235" s="302">
        <f t="shared" si="515"/>
        <v>112013975</v>
      </c>
      <c r="CC235" s="510">
        <v>62</v>
      </c>
      <c r="CD235" s="359" t="s">
        <v>1341</v>
      </c>
      <c r="CE235" s="361">
        <v>1461055.8</v>
      </c>
      <c r="CF235" s="361">
        <v>0</v>
      </c>
      <c r="CG235" s="361">
        <v>0</v>
      </c>
      <c r="CH235" s="302">
        <v>0</v>
      </c>
      <c r="CI235" s="361">
        <v>1461055.8</v>
      </c>
      <c r="CJ235" s="361">
        <v>0</v>
      </c>
      <c r="CK235" s="361">
        <v>0</v>
      </c>
      <c r="CL235" s="361">
        <v>0</v>
      </c>
      <c r="CM235" s="361"/>
      <c r="CN235" s="361"/>
      <c r="CO235" s="361"/>
      <c r="CP235" s="361"/>
      <c r="CQ235" s="361"/>
      <c r="CR235" s="361"/>
      <c r="CS235" s="362"/>
    </row>
    <row r="236" spans="3:97" ht="13">
      <c r="C236" s="294"/>
      <c r="D236" s="294"/>
      <c r="E236" s="294"/>
      <c r="F236" s="294"/>
      <c r="N236" s="295"/>
      <c r="U236" s="295"/>
      <c r="AC236" s="188"/>
      <c r="AE236" s="188"/>
      <c r="AF236" s="188"/>
      <c r="AG236" s="188"/>
      <c r="AH236" s="188"/>
      <c r="AI236" s="299"/>
      <c r="CB236" s="302">
        <f t="shared" si="515"/>
        <v>112014275</v>
      </c>
      <c r="CC236" s="510">
        <v>63</v>
      </c>
      <c r="CD236" s="359" t="s">
        <v>1359</v>
      </c>
      <c r="CE236" s="361">
        <v>1355607.13</v>
      </c>
      <c r="CF236" s="361">
        <v>0</v>
      </c>
      <c r="CG236" s="361">
        <v>395920.51</v>
      </c>
      <c r="CH236" s="361">
        <v>332131.09999999998</v>
      </c>
      <c r="CI236" s="361">
        <v>139478.89000000001</v>
      </c>
      <c r="CJ236" s="361">
        <v>90442.55</v>
      </c>
      <c r="CK236" s="361">
        <v>0</v>
      </c>
      <c r="CL236" s="361">
        <v>397634.09</v>
      </c>
      <c r="CM236" s="361"/>
      <c r="CN236" s="361"/>
      <c r="CO236" s="361"/>
      <c r="CP236" s="361"/>
      <c r="CQ236" s="361"/>
      <c r="CR236" s="361"/>
      <c r="CS236" s="362"/>
    </row>
    <row r="237" spans="3:97" ht="13">
      <c r="C237" s="294"/>
      <c r="D237" s="294"/>
      <c r="E237" s="294"/>
      <c r="F237" s="294"/>
      <c r="N237" s="295"/>
      <c r="U237" s="295"/>
      <c r="AC237" s="188"/>
      <c r="AE237" s="188"/>
      <c r="AF237" s="188"/>
      <c r="AG237" s="188"/>
      <c r="AH237" s="188"/>
      <c r="AI237" s="299"/>
      <c r="CB237" s="302">
        <f t="shared" si="515"/>
        <v>112012568</v>
      </c>
      <c r="CC237" s="510">
        <v>64</v>
      </c>
      <c r="CD237" s="359" t="s">
        <v>1307</v>
      </c>
      <c r="CE237" s="361">
        <v>1319951.68</v>
      </c>
      <c r="CF237" s="361">
        <v>851369.65</v>
      </c>
      <c r="CG237" s="361">
        <v>96925.68</v>
      </c>
      <c r="CH237" s="361">
        <v>0</v>
      </c>
      <c r="CI237" s="361">
        <v>371656.35</v>
      </c>
      <c r="CJ237" s="361">
        <v>0</v>
      </c>
      <c r="CK237" s="361">
        <v>0</v>
      </c>
      <c r="CL237" s="365">
        <v>0</v>
      </c>
      <c r="CM237" s="365"/>
      <c r="CN237" s="365"/>
      <c r="CO237" s="365"/>
      <c r="CP237" s="365"/>
      <c r="CQ237" s="365"/>
      <c r="CR237" s="365"/>
      <c r="CS237" s="366"/>
    </row>
    <row r="238" spans="3:97" ht="13">
      <c r="C238" s="294"/>
      <c r="D238" s="294"/>
      <c r="E238" s="294"/>
      <c r="F238" s="294"/>
      <c r="N238" s="295"/>
      <c r="U238" s="295"/>
      <c r="AC238" s="188"/>
      <c r="AE238" s="188"/>
      <c r="AF238" s="188"/>
      <c r="AG238" s="188"/>
      <c r="AH238" s="188"/>
      <c r="AI238" s="299"/>
      <c r="CB238" s="302">
        <f t="shared" ref="CB238:CB256" si="516">VLOOKUP(CD238,MONTENEGROCARTERA,3,FALSE)</f>
        <v>112012918</v>
      </c>
      <c r="CC238" s="510">
        <v>65</v>
      </c>
      <c r="CD238" s="359" t="s">
        <v>1346</v>
      </c>
      <c r="CE238" s="361">
        <v>1308865.6100000001</v>
      </c>
      <c r="CF238" s="361">
        <v>328724.7</v>
      </c>
      <c r="CG238" s="361">
        <v>657077.5</v>
      </c>
      <c r="CH238" s="361">
        <v>2756.31</v>
      </c>
      <c r="CI238" s="361">
        <v>320307.09999999998</v>
      </c>
      <c r="CJ238" s="361">
        <v>0</v>
      </c>
      <c r="CK238" s="361">
        <v>0</v>
      </c>
      <c r="CL238" s="361">
        <v>0</v>
      </c>
      <c r="CM238" s="361"/>
      <c r="CN238" s="361"/>
      <c r="CO238" s="361"/>
      <c r="CP238" s="361"/>
      <c r="CQ238" s="361"/>
      <c r="CR238" s="361"/>
      <c r="CS238" s="362"/>
    </row>
    <row r="239" spans="3:97" ht="13">
      <c r="C239" s="294"/>
      <c r="D239" s="294"/>
      <c r="E239" s="294"/>
      <c r="F239" s="294"/>
      <c r="N239" s="295"/>
      <c r="U239" s="295"/>
      <c r="AC239" s="188"/>
      <c r="AE239" s="188"/>
      <c r="AF239" s="188"/>
      <c r="AG239" s="188"/>
      <c r="AH239" s="188"/>
      <c r="AI239" s="299"/>
      <c r="CB239" s="302">
        <f t="shared" si="516"/>
        <v>112012506</v>
      </c>
      <c r="CC239" s="510">
        <v>66</v>
      </c>
      <c r="CD239" s="359" t="s">
        <v>1302</v>
      </c>
      <c r="CE239" s="361">
        <v>1306368</v>
      </c>
      <c r="CF239" s="361">
        <v>0</v>
      </c>
      <c r="CG239" s="361">
        <v>1306368</v>
      </c>
      <c r="CH239" s="361">
        <v>0</v>
      </c>
      <c r="CI239" s="361">
        <v>0</v>
      </c>
      <c r="CJ239" s="361">
        <v>0</v>
      </c>
      <c r="CK239" s="361">
        <v>0</v>
      </c>
      <c r="CL239" s="361">
        <v>0</v>
      </c>
      <c r="CM239" s="361"/>
      <c r="CN239" s="361"/>
      <c r="CO239" s="361"/>
      <c r="CP239" s="361"/>
      <c r="CQ239" s="361"/>
      <c r="CR239" s="361"/>
      <c r="CS239" s="362"/>
    </row>
    <row r="240" spans="3:97" ht="13">
      <c r="C240" s="294"/>
      <c r="D240" s="294"/>
      <c r="E240" s="294"/>
      <c r="F240" s="294"/>
      <c r="N240" s="295"/>
      <c r="U240" s="295"/>
      <c r="AC240" s="188"/>
      <c r="AE240" s="188"/>
      <c r="AF240" s="188"/>
      <c r="AG240" s="188"/>
      <c r="AH240" s="188"/>
      <c r="AI240" s="299"/>
      <c r="CB240" s="302">
        <f t="shared" si="516"/>
        <v>112014551</v>
      </c>
      <c r="CC240" s="510">
        <v>67</v>
      </c>
      <c r="CD240" s="359" t="s">
        <v>1364</v>
      </c>
      <c r="CE240" s="361">
        <v>1293449.07</v>
      </c>
      <c r="CF240" s="361">
        <v>390296.98</v>
      </c>
      <c r="CG240" s="361">
        <v>315052.18</v>
      </c>
      <c r="CH240" s="361">
        <v>151592.60999999999</v>
      </c>
      <c r="CI240" s="361">
        <v>97359.95</v>
      </c>
      <c r="CJ240" s="361">
        <v>168137.12</v>
      </c>
      <c r="CK240" s="361">
        <v>0</v>
      </c>
      <c r="CL240" s="361">
        <v>171010.23</v>
      </c>
      <c r="CM240" s="361"/>
      <c r="CN240" s="361"/>
      <c r="CO240" s="361"/>
      <c r="CP240" s="361"/>
      <c r="CQ240" s="361"/>
      <c r="CR240" s="361"/>
      <c r="CS240" s="362"/>
    </row>
    <row r="241" spans="3:97" ht="13">
      <c r="C241" s="294"/>
      <c r="D241" s="294"/>
      <c r="E241" s="294"/>
      <c r="F241" s="294"/>
      <c r="N241" s="295"/>
      <c r="U241" s="295"/>
      <c r="AC241" s="188"/>
      <c r="AE241" s="188"/>
      <c r="AF241" s="188"/>
      <c r="AG241" s="188"/>
      <c r="AH241" s="188"/>
      <c r="AI241" s="299"/>
      <c r="CB241" s="302">
        <f t="shared" si="516"/>
        <v>112014614</v>
      </c>
      <c r="CC241" s="510">
        <v>68</v>
      </c>
      <c r="CD241" s="359" t="s">
        <v>1366</v>
      </c>
      <c r="CE241" s="361">
        <v>1279001.75</v>
      </c>
      <c r="CF241" s="361">
        <v>361400.39</v>
      </c>
      <c r="CG241" s="361">
        <v>116073.57</v>
      </c>
      <c r="CH241" s="361">
        <v>113672.45</v>
      </c>
      <c r="CI241" s="361">
        <v>255141.96</v>
      </c>
      <c r="CJ241" s="361">
        <v>141353.23000000001</v>
      </c>
      <c r="CK241" s="361">
        <v>157741.07</v>
      </c>
      <c r="CL241" s="361">
        <v>133619.07</v>
      </c>
      <c r="CM241" s="365"/>
      <c r="CN241" s="365"/>
      <c r="CO241" s="365"/>
      <c r="CP241" s="365"/>
      <c r="CQ241" s="365"/>
      <c r="CR241" s="365"/>
      <c r="CS241" s="366"/>
    </row>
    <row r="242" spans="3:97" ht="13">
      <c r="C242" s="294"/>
      <c r="D242" s="294"/>
      <c r="E242" s="294"/>
      <c r="F242" s="294"/>
      <c r="N242" s="295"/>
      <c r="U242" s="295"/>
      <c r="AC242" s="188"/>
      <c r="AE242" s="188"/>
      <c r="AF242" s="188"/>
      <c r="AG242" s="188"/>
      <c r="AH242" s="188"/>
      <c r="AI242" s="299"/>
      <c r="CB242" s="302">
        <f t="shared" si="516"/>
        <v>112013786</v>
      </c>
      <c r="CC242" s="510">
        <v>69</v>
      </c>
      <c r="CD242" s="359" t="s">
        <v>1282</v>
      </c>
      <c r="CE242" s="361">
        <v>1114566.01</v>
      </c>
      <c r="CF242" s="361">
        <v>0</v>
      </c>
      <c r="CG242" s="361">
        <v>0</v>
      </c>
      <c r="CH242" s="361">
        <v>0</v>
      </c>
      <c r="CI242" s="361">
        <v>0</v>
      </c>
      <c r="CJ242" s="361">
        <v>0.03</v>
      </c>
      <c r="CK242" s="361">
        <v>729031.96</v>
      </c>
      <c r="CL242" s="361">
        <v>385534.02</v>
      </c>
      <c r="CM242" s="361"/>
      <c r="CN242" s="361"/>
      <c r="CO242" s="361"/>
      <c r="CP242" s="361"/>
      <c r="CQ242" s="361"/>
      <c r="CR242" s="361"/>
      <c r="CS242" s="362"/>
    </row>
    <row r="243" spans="3:97" ht="13">
      <c r="C243" s="294"/>
      <c r="D243" s="294"/>
      <c r="E243" s="294"/>
      <c r="F243" s="294"/>
      <c r="N243" s="295"/>
      <c r="U243" s="295"/>
      <c r="AC243" s="188"/>
      <c r="AE243" s="188"/>
      <c r="AF243" s="188"/>
      <c r="AG243" s="188"/>
      <c r="AH243" s="188"/>
      <c r="AI243" s="299"/>
      <c r="CB243" s="302">
        <f t="shared" si="516"/>
        <v>112013337</v>
      </c>
      <c r="CC243" s="510">
        <v>70</v>
      </c>
      <c r="CD243" s="359" t="s">
        <v>1389</v>
      </c>
      <c r="CE243" s="361">
        <v>1037805.57</v>
      </c>
      <c r="CF243" s="361">
        <v>83587.53</v>
      </c>
      <c r="CG243" s="361">
        <v>197932.52</v>
      </c>
      <c r="CH243" s="361">
        <v>241551.07</v>
      </c>
      <c r="CI243" s="361">
        <v>133608.26999999999</v>
      </c>
      <c r="CJ243" s="361">
        <v>0</v>
      </c>
      <c r="CK243" s="361">
        <v>381126.17</v>
      </c>
      <c r="CL243" s="361">
        <v>0</v>
      </c>
      <c r="CM243" s="361"/>
      <c r="CN243" s="361"/>
      <c r="CO243" s="361"/>
      <c r="CP243" s="361"/>
      <c r="CQ243" s="361"/>
      <c r="CR243" s="361"/>
      <c r="CS243" s="362"/>
    </row>
    <row r="244" spans="3:97" ht="13">
      <c r="C244" s="294"/>
      <c r="D244" s="294"/>
      <c r="E244" s="294"/>
      <c r="F244" s="294"/>
      <c r="N244" s="295"/>
      <c r="U244" s="295"/>
      <c r="AC244" s="188"/>
      <c r="AE244" s="188"/>
      <c r="AF244" s="188"/>
      <c r="AG244" s="188"/>
      <c r="AH244" s="188"/>
      <c r="AI244" s="299"/>
      <c r="CB244" s="302">
        <f t="shared" si="516"/>
        <v>112014456</v>
      </c>
      <c r="CC244" s="510">
        <v>71</v>
      </c>
      <c r="CD244" s="359" t="s">
        <v>1343</v>
      </c>
      <c r="CE244" s="361">
        <v>1036446.24</v>
      </c>
      <c r="CF244" s="361">
        <v>152242.25</v>
      </c>
      <c r="CG244" s="361">
        <v>0</v>
      </c>
      <c r="CH244" s="361">
        <v>0</v>
      </c>
      <c r="CI244" s="361">
        <v>884203.99</v>
      </c>
      <c r="CJ244" s="361">
        <v>0</v>
      </c>
      <c r="CK244" s="361">
        <v>0</v>
      </c>
      <c r="CL244" s="361">
        <v>0</v>
      </c>
      <c r="CM244" s="361"/>
      <c r="CN244" s="361"/>
      <c r="CO244" s="361"/>
      <c r="CP244" s="361"/>
      <c r="CQ244" s="361"/>
      <c r="CR244" s="361"/>
      <c r="CS244" s="362"/>
    </row>
    <row r="245" spans="3:97" ht="13">
      <c r="C245" s="294"/>
      <c r="D245" s="294"/>
      <c r="E245" s="294"/>
      <c r="F245" s="294"/>
      <c r="N245" s="295"/>
      <c r="U245" s="295"/>
      <c r="AC245" s="188"/>
      <c r="AE245" s="188"/>
      <c r="AF245" s="188"/>
      <c r="AG245" s="188"/>
      <c r="AH245" s="188"/>
      <c r="AI245" s="299"/>
      <c r="CB245" s="302">
        <f t="shared" si="516"/>
        <v>112014309</v>
      </c>
      <c r="CC245" s="510">
        <v>72</v>
      </c>
      <c r="CD245" s="359" t="s">
        <v>1299</v>
      </c>
      <c r="CE245" s="361">
        <v>953535.09</v>
      </c>
      <c r="CF245" s="361">
        <v>566105.97</v>
      </c>
      <c r="CG245" s="361">
        <v>382410.75</v>
      </c>
      <c r="CH245" s="361">
        <v>73709.259999999995</v>
      </c>
      <c r="CI245" s="361">
        <v>-230703.21</v>
      </c>
      <c r="CJ245" s="361">
        <v>162012.32</v>
      </c>
      <c r="CK245" s="361">
        <v>0</v>
      </c>
      <c r="CL245" s="361">
        <v>0</v>
      </c>
      <c r="CM245" s="361"/>
      <c r="CN245" s="361"/>
      <c r="CO245" s="361"/>
      <c r="CP245" s="361"/>
      <c r="CQ245" s="361"/>
      <c r="CR245" s="361"/>
      <c r="CS245" s="362"/>
    </row>
    <row r="246" spans="3:97" ht="13">
      <c r="C246" s="294"/>
      <c r="D246" s="294"/>
      <c r="E246" s="294"/>
      <c r="F246" s="294"/>
      <c r="N246" s="295"/>
      <c r="U246" s="295"/>
      <c r="AC246" s="188"/>
      <c r="AE246" s="188"/>
      <c r="AF246" s="188"/>
      <c r="AG246" s="188"/>
      <c r="AH246" s="188"/>
      <c r="AI246" s="299"/>
      <c r="CB246" s="302">
        <f t="shared" si="516"/>
        <v>112014218</v>
      </c>
      <c r="CC246" s="510">
        <v>73</v>
      </c>
      <c r="CD246" s="359" t="s">
        <v>1335</v>
      </c>
      <c r="CE246" s="361">
        <v>912756.26</v>
      </c>
      <c r="CF246" s="361">
        <v>69034.929999999993</v>
      </c>
      <c r="CG246" s="361">
        <v>60410.18</v>
      </c>
      <c r="CH246" s="361">
        <v>125188.71</v>
      </c>
      <c r="CI246" s="361">
        <v>200464.79</v>
      </c>
      <c r="CJ246" s="361">
        <v>112311.87</v>
      </c>
      <c r="CK246" s="361">
        <v>336212.85</v>
      </c>
      <c r="CL246" s="361">
        <v>9132.93</v>
      </c>
      <c r="CM246" s="361"/>
      <c r="CN246" s="361"/>
      <c r="CO246" s="361"/>
      <c r="CP246" s="361"/>
      <c r="CQ246" s="361"/>
      <c r="CR246" s="361"/>
      <c r="CS246" s="362"/>
    </row>
    <row r="247" spans="3:97" ht="13">
      <c r="C247" s="294"/>
      <c r="D247" s="294"/>
      <c r="E247" s="294"/>
      <c r="F247" s="294"/>
      <c r="N247" s="295"/>
      <c r="U247" s="295"/>
      <c r="AC247" s="188"/>
      <c r="AE247" s="188"/>
      <c r="AF247" s="188"/>
      <c r="AG247" s="188"/>
      <c r="AH247" s="188"/>
      <c r="AI247" s="299"/>
      <c r="CB247" s="302">
        <f t="shared" si="516"/>
        <v>112013731</v>
      </c>
      <c r="CC247" s="510">
        <v>74</v>
      </c>
      <c r="CD247" s="325" t="s">
        <v>1345</v>
      </c>
      <c r="CE247" s="361">
        <v>889135.63</v>
      </c>
      <c r="CF247" s="361">
        <v>109003.52</v>
      </c>
      <c r="CG247" s="361">
        <v>186271.14</v>
      </c>
      <c r="CH247" s="361">
        <v>93411.12</v>
      </c>
      <c r="CI247" s="361">
        <v>55230.85</v>
      </c>
      <c r="CJ247" s="361">
        <v>228329.85</v>
      </c>
      <c r="CK247" s="361">
        <v>138308.6</v>
      </c>
      <c r="CL247" s="361">
        <v>78580.55</v>
      </c>
      <c r="CM247" s="365"/>
      <c r="CN247" s="365"/>
      <c r="CO247" s="365"/>
      <c r="CP247" s="365"/>
      <c r="CQ247" s="365"/>
      <c r="CR247" s="365"/>
      <c r="CS247" s="366"/>
    </row>
    <row r="248" spans="3:97" ht="13">
      <c r="C248" s="294"/>
      <c r="D248" s="294"/>
      <c r="E248" s="294"/>
      <c r="F248" s="294"/>
      <c r="N248" s="295"/>
      <c r="U248" s="295"/>
      <c r="AC248" s="188"/>
      <c r="AE248" s="188"/>
      <c r="AF248" s="188"/>
      <c r="AG248" s="188"/>
      <c r="AH248" s="188"/>
      <c r="AI248" s="299"/>
      <c r="CB248" s="302">
        <f t="shared" si="516"/>
        <v>112013167</v>
      </c>
      <c r="CC248" s="510">
        <v>75</v>
      </c>
      <c r="CD248" s="359" t="s">
        <v>1337</v>
      </c>
      <c r="CE248" s="361">
        <v>770354.19</v>
      </c>
      <c r="CF248" s="361">
        <v>0</v>
      </c>
      <c r="CG248" s="361">
        <v>0</v>
      </c>
      <c r="CH248" s="361">
        <v>0</v>
      </c>
      <c r="CI248" s="361">
        <v>0</v>
      </c>
      <c r="CJ248" s="361">
        <v>248435.59</v>
      </c>
      <c r="CK248" s="361">
        <v>0</v>
      </c>
      <c r="CL248" s="361">
        <v>521918.61</v>
      </c>
      <c r="CM248" s="361"/>
      <c r="CN248" s="361"/>
      <c r="CO248" s="361"/>
      <c r="CP248" s="361"/>
      <c r="CQ248" s="361"/>
      <c r="CR248" s="361"/>
      <c r="CS248" s="362"/>
    </row>
    <row r="249" spans="3:97" ht="13">
      <c r="C249" s="294"/>
      <c r="D249" s="294"/>
      <c r="E249" s="294"/>
      <c r="F249" s="294"/>
      <c r="N249" s="295"/>
      <c r="U249" s="295"/>
      <c r="AC249" s="188"/>
      <c r="AE249" s="188"/>
      <c r="AF249" s="188"/>
      <c r="AG249" s="188"/>
      <c r="AH249" s="188"/>
      <c r="AI249" s="299"/>
      <c r="CB249" s="302">
        <f t="shared" si="516"/>
        <v>112012782</v>
      </c>
      <c r="CC249" s="510">
        <v>76</v>
      </c>
      <c r="CD249" s="359" t="s">
        <v>1369</v>
      </c>
      <c r="CE249" s="361">
        <v>755937.7</v>
      </c>
      <c r="CF249" s="361">
        <v>143431.94</v>
      </c>
      <c r="CG249" s="361">
        <v>150998.65</v>
      </c>
      <c r="CH249" s="361">
        <v>461507.12</v>
      </c>
      <c r="CI249" s="361">
        <v>0</v>
      </c>
      <c r="CJ249" s="361">
        <v>0</v>
      </c>
      <c r="CK249" s="361">
        <v>0</v>
      </c>
      <c r="CL249" s="361">
        <v>0</v>
      </c>
      <c r="CM249" s="361"/>
      <c r="CN249" s="361"/>
      <c r="CO249" s="361"/>
      <c r="CP249" s="361"/>
      <c r="CQ249" s="361"/>
      <c r="CR249" s="361"/>
      <c r="CS249" s="362"/>
    </row>
    <row r="250" spans="3:97" ht="13">
      <c r="C250" s="294"/>
      <c r="D250" s="294"/>
      <c r="E250" s="294"/>
      <c r="F250" s="294"/>
      <c r="N250" s="295"/>
      <c r="U250" s="295"/>
      <c r="AC250" s="188"/>
      <c r="AE250" s="188"/>
      <c r="AF250" s="188"/>
      <c r="AG250" s="188"/>
      <c r="AH250" s="188"/>
      <c r="AI250" s="299"/>
      <c r="CB250" s="302">
        <f t="shared" si="516"/>
        <v>112013055</v>
      </c>
      <c r="CC250" s="510">
        <v>77</v>
      </c>
      <c r="CD250" s="325" t="s">
        <v>1360</v>
      </c>
      <c r="CE250" s="361">
        <v>754946.37</v>
      </c>
      <c r="CF250" s="361">
        <v>0</v>
      </c>
      <c r="CG250" s="361">
        <v>459506.6</v>
      </c>
      <c r="CH250" s="361">
        <v>0</v>
      </c>
      <c r="CI250" s="361">
        <v>0</v>
      </c>
      <c r="CJ250" s="361">
        <v>0</v>
      </c>
      <c r="CK250" s="361">
        <v>295439.77</v>
      </c>
      <c r="CL250" s="361">
        <v>0</v>
      </c>
      <c r="CM250" s="361"/>
      <c r="CN250" s="361"/>
      <c r="CO250" s="361"/>
      <c r="CP250" s="361"/>
      <c r="CQ250" s="361"/>
      <c r="CR250" s="361"/>
      <c r="CS250" s="362"/>
    </row>
    <row r="251" spans="3:97" ht="13">
      <c r="C251" s="294"/>
      <c r="D251" s="294"/>
      <c r="E251" s="294"/>
      <c r="F251" s="294"/>
      <c r="N251" s="295"/>
      <c r="U251" s="295"/>
      <c r="AC251" s="188"/>
      <c r="AE251" s="188"/>
      <c r="AF251" s="188"/>
      <c r="AG251" s="188"/>
      <c r="AH251" s="188"/>
      <c r="AI251" s="299"/>
      <c r="CB251" s="302">
        <f t="shared" si="516"/>
        <v>112012747</v>
      </c>
      <c r="CC251" s="510">
        <v>78</v>
      </c>
      <c r="CD251" s="325" t="s">
        <v>1563</v>
      </c>
      <c r="CE251" s="361">
        <v>745453.5</v>
      </c>
      <c r="CF251" s="361">
        <v>0</v>
      </c>
      <c r="CG251" s="361">
        <v>0</v>
      </c>
      <c r="CH251" s="361">
        <v>114808.08</v>
      </c>
      <c r="CI251" s="361">
        <v>299103.3</v>
      </c>
      <c r="CJ251" s="361">
        <v>252343.12</v>
      </c>
      <c r="CK251" s="361">
        <v>79199</v>
      </c>
      <c r="CL251" s="361">
        <v>0</v>
      </c>
      <c r="CM251" s="361"/>
      <c r="CN251" s="361"/>
      <c r="CO251" s="361"/>
      <c r="CP251" s="361"/>
      <c r="CQ251" s="361"/>
      <c r="CR251" s="361"/>
      <c r="CS251" s="362"/>
    </row>
    <row r="252" spans="3:97" ht="13">
      <c r="C252" s="294"/>
      <c r="D252" s="294"/>
      <c r="E252" s="294"/>
      <c r="F252" s="294"/>
      <c r="N252" s="295"/>
      <c r="U252" s="295"/>
      <c r="AC252" s="188"/>
      <c r="AE252" s="188"/>
      <c r="AF252" s="188"/>
      <c r="AG252" s="188"/>
      <c r="AH252" s="188"/>
      <c r="AI252" s="299"/>
      <c r="CB252" s="302">
        <f t="shared" si="516"/>
        <v>112012020</v>
      </c>
      <c r="CC252" s="510">
        <v>79</v>
      </c>
      <c r="CD252" s="359" t="s">
        <v>1349</v>
      </c>
      <c r="CE252" s="361">
        <v>666504.29</v>
      </c>
      <c r="CF252" s="361">
        <v>0</v>
      </c>
      <c r="CG252" s="361">
        <v>310095.31</v>
      </c>
      <c r="CH252" s="361">
        <v>0</v>
      </c>
      <c r="CI252" s="361">
        <v>0</v>
      </c>
      <c r="CJ252" s="361">
        <v>356408.97</v>
      </c>
      <c r="CK252" s="361">
        <v>0</v>
      </c>
      <c r="CL252" s="365">
        <v>0</v>
      </c>
      <c r="CM252" s="365"/>
      <c r="CN252" s="365"/>
      <c r="CO252" s="365"/>
      <c r="CP252" s="365"/>
      <c r="CQ252" s="365"/>
      <c r="CR252" s="365"/>
      <c r="CS252" s="366"/>
    </row>
    <row r="253" spans="3:97" ht="13">
      <c r="C253" s="294"/>
      <c r="D253" s="294"/>
      <c r="E253" s="294"/>
      <c r="F253" s="294"/>
      <c r="N253" s="295"/>
      <c r="U253" s="295"/>
      <c r="AC253" s="188"/>
      <c r="AE253" s="188"/>
      <c r="AF253" s="188"/>
      <c r="AG253" s="188"/>
      <c r="AH253" s="188"/>
      <c r="AI253" s="299"/>
      <c r="CB253" s="302">
        <f t="shared" si="516"/>
        <v>112013730</v>
      </c>
      <c r="CC253" s="510">
        <v>80</v>
      </c>
      <c r="CD253" s="359" t="s">
        <v>1323</v>
      </c>
      <c r="CE253" s="361">
        <v>640069.06000000006</v>
      </c>
      <c r="CF253" s="361">
        <v>0</v>
      </c>
      <c r="CG253" s="361">
        <v>0</v>
      </c>
      <c r="CH253" s="361">
        <v>0</v>
      </c>
      <c r="CI253" s="361">
        <v>114596.56</v>
      </c>
      <c r="CJ253" s="361">
        <v>525472.5</v>
      </c>
      <c r="CK253" s="361">
        <v>0</v>
      </c>
      <c r="CL253" s="361">
        <v>0</v>
      </c>
      <c r="CM253" s="361"/>
      <c r="CN253" s="361"/>
      <c r="CO253" s="361"/>
      <c r="CP253" s="361"/>
      <c r="CQ253" s="361"/>
      <c r="CR253" s="361"/>
      <c r="CS253" s="362"/>
    </row>
    <row r="254" spans="3:97" ht="13">
      <c r="C254" s="294"/>
      <c r="D254" s="294"/>
      <c r="E254" s="294"/>
      <c r="F254" s="294"/>
      <c r="N254" s="295"/>
      <c r="U254" s="295"/>
      <c r="AC254" s="188"/>
      <c r="AE254" s="188"/>
      <c r="AF254" s="188"/>
      <c r="AG254" s="188"/>
      <c r="AH254" s="188"/>
      <c r="AI254" s="299"/>
      <c r="CB254" s="302">
        <f t="shared" si="516"/>
        <v>112011732</v>
      </c>
      <c r="CC254" s="510">
        <v>81</v>
      </c>
      <c r="CD254" s="359" t="s">
        <v>1264</v>
      </c>
      <c r="CE254" s="361">
        <v>602703.51</v>
      </c>
      <c r="CF254" s="361">
        <v>0</v>
      </c>
      <c r="CG254" s="361">
        <v>0</v>
      </c>
      <c r="CH254" s="361">
        <v>0</v>
      </c>
      <c r="CI254" s="361">
        <v>0</v>
      </c>
      <c r="CJ254" s="361">
        <v>59098.58</v>
      </c>
      <c r="CK254" s="361">
        <v>50013.9</v>
      </c>
      <c r="CL254" s="361">
        <v>493591.03999999998</v>
      </c>
      <c r="CM254" s="361"/>
      <c r="CN254" s="361"/>
      <c r="CO254" s="361"/>
      <c r="CP254" s="361"/>
      <c r="CQ254" s="361"/>
      <c r="CR254" s="361"/>
      <c r="CS254" s="362"/>
    </row>
    <row r="255" spans="3:97" ht="13">
      <c r="C255" s="294"/>
      <c r="D255" s="294"/>
      <c r="E255" s="294"/>
      <c r="F255" s="294"/>
      <c r="N255" s="295"/>
      <c r="U255" s="295"/>
      <c r="AC255" s="188"/>
      <c r="AE255" s="188"/>
      <c r="AF255" s="188"/>
      <c r="AG255" s="188"/>
      <c r="AH255" s="188"/>
      <c r="AI255" s="299"/>
      <c r="CB255" s="302">
        <f t="shared" si="516"/>
        <v>112012092</v>
      </c>
      <c r="CC255" s="510">
        <v>82</v>
      </c>
      <c r="CD255" s="359" t="s">
        <v>1392</v>
      </c>
      <c r="CE255" s="361">
        <v>477791.86</v>
      </c>
      <c r="CF255" s="361">
        <v>101950.2</v>
      </c>
      <c r="CG255" s="365">
        <v>0</v>
      </c>
      <c r="CH255" s="361">
        <v>375841.66</v>
      </c>
      <c r="CI255" s="365">
        <v>0</v>
      </c>
      <c r="CJ255" s="361">
        <v>0</v>
      </c>
      <c r="CK255" s="361">
        <v>0</v>
      </c>
      <c r="CL255" s="361">
        <v>0</v>
      </c>
      <c r="CM255" s="365"/>
      <c r="CN255" s="365"/>
      <c r="CO255" s="365"/>
      <c r="CP255" s="365"/>
      <c r="CQ255" s="365"/>
      <c r="CR255" s="365"/>
      <c r="CS255" s="366"/>
    </row>
    <row r="256" spans="3:97" ht="13">
      <c r="C256" s="294"/>
      <c r="D256" s="294"/>
      <c r="E256" s="294"/>
      <c r="F256" s="294"/>
      <c r="N256" s="295"/>
      <c r="U256" s="295"/>
      <c r="AC256" s="188"/>
      <c r="AE256" s="188"/>
      <c r="AF256" s="188"/>
      <c r="AG256" s="188"/>
      <c r="AH256" s="188"/>
      <c r="AI256" s="299"/>
      <c r="CB256" s="302">
        <f t="shared" si="516"/>
        <v>112014686</v>
      </c>
      <c r="CC256" s="510">
        <v>83</v>
      </c>
      <c r="CD256" s="359" t="s">
        <v>1321</v>
      </c>
      <c r="CE256" s="361">
        <v>473702.95</v>
      </c>
      <c r="CF256" s="361">
        <v>0</v>
      </c>
      <c r="CG256" s="361">
        <v>0</v>
      </c>
      <c r="CH256" s="361">
        <v>0</v>
      </c>
      <c r="CI256" s="361">
        <v>0</v>
      </c>
      <c r="CJ256" s="361">
        <v>0</v>
      </c>
      <c r="CK256" s="361">
        <v>473702.95</v>
      </c>
      <c r="CL256" s="361">
        <v>0</v>
      </c>
      <c r="CM256" s="361"/>
      <c r="CN256" s="361"/>
      <c r="CO256" s="361"/>
      <c r="CP256" s="361"/>
      <c r="CQ256" s="361"/>
      <c r="CR256" s="361"/>
      <c r="CS256" s="362"/>
    </row>
    <row r="257" spans="3:97" ht="13">
      <c r="C257" s="294"/>
      <c r="D257" s="294"/>
      <c r="E257" s="294"/>
      <c r="F257" s="294"/>
      <c r="N257" s="295"/>
      <c r="U257" s="295"/>
      <c r="AC257" s="188"/>
      <c r="AE257" s="188"/>
      <c r="AF257" s="188"/>
      <c r="AG257" s="188"/>
      <c r="AH257" s="188"/>
      <c r="AI257" s="299"/>
      <c r="CC257" s="510">
        <v>84</v>
      </c>
      <c r="CD257" s="359" t="s">
        <v>1350</v>
      </c>
      <c r="CE257" s="361">
        <v>459762.14</v>
      </c>
      <c r="CF257" s="361">
        <v>43038.36</v>
      </c>
      <c r="CG257" s="361">
        <v>134666.92000000001</v>
      </c>
      <c r="CH257" s="361">
        <v>195886.01</v>
      </c>
      <c r="CI257" s="361">
        <v>68751.570000000007</v>
      </c>
      <c r="CJ257" s="361">
        <v>0</v>
      </c>
      <c r="CK257" s="361">
        <v>17419.28</v>
      </c>
      <c r="CL257" s="365">
        <v>0</v>
      </c>
      <c r="CM257" s="365"/>
      <c r="CN257" s="365"/>
      <c r="CO257" s="365"/>
      <c r="CP257" s="365"/>
      <c r="CQ257" s="365"/>
      <c r="CR257" s="365"/>
      <c r="CS257" s="366"/>
    </row>
    <row r="258" spans="3:97" ht="13">
      <c r="C258" s="294"/>
      <c r="D258" s="294"/>
      <c r="E258" s="294"/>
      <c r="F258" s="294"/>
      <c r="N258" s="295"/>
      <c r="U258" s="295"/>
      <c r="AC258" s="188"/>
      <c r="AE258" s="188"/>
      <c r="AF258" s="188"/>
      <c r="AG258" s="188"/>
      <c r="AH258" s="188"/>
      <c r="AI258" s="299"/>
      <c r="CC258" s="510">
        <v>85</v>
      </c>
      <c r="CD258" s="359" t="s">
        <v>1344</v>
      </c>
      <c r="CE258" s="361">
        <v>429093.71</v>
      </c>
      <c r="CF258" s="361">
        <v>0</v>
      </c>
      <c r="CG258" s="361">
        <v>0</v>
      </c>
      <c r="CH258" s="361">
        <v>0</v>
      </c>
      <c r="CI258" s="361">
        <v>0</v>
      </c>
      <c r="CJ258" s="361">
        <v>429093.71</v>
      </c>
      <c r="CK258" s="361">
        <v>0</v>
      </c>
      <c r="CL258" s="365">
        <v>0</v>
      </c>
      <c r="CM258" s="365"/>
      <c r="CN258" s="365"/>
      <c r="CO258" s="365"/>
      <c r="CP258" s="365"/>
      <c r="CQ258" s="365"/>
      <c r="CR258" s="365"/>
      <c r="CS258" s="366"/>
    </row>
    <row r="259" spans="3:97" ht="13">
      <c r="C259" s="294"/>
      <c r="D259" s="294"/>
      <c r="E259" s="294"/>
      <c r="F259" s="294"/>
      <c r="N259" s="295"/>
      <c r="U259" s="295"/>
      <c r="AC259" s="188"/>
      <c r="AE259" s="188"/>
      <c r="AF259" s="188"/>
      <c r="AG259" s="188"/>
      <c r="AH259" s="188"/>
      <c r="AI259" s="299"/>
      <c r="CC259" s="510">
        <v>86</v>
      </c>
      <c r="CD259" s="359" t="s">
        <v>1371</v>
      </c>
      <c r="CE259" s="361">
        <v>428076</v>
      </c>
      <c r="CF259" s="361">
        <v>0</v>
      </c>
      <c r="CG259" s="361">
        <v>0</v>
      </c>
      <c r="CH259" s="365">
        <v>0</v>
      </c>
      <c r="CI259" s="361">
        <v>0</v>
      </c>
      <c r="CJ259" s="361">
        <v>0</v>
      </c>
      <c r="CK259" s="361">
        <v>428076</v>
      </c>
      <c r="CL259" s="365">
        <v>0</v>
      </c>
      <c r="CM259" s="365"/>
      <c r="CN259" s="365"/>
      <c r="CO259" s="365"/>
      <c r="CP259" s="365"/>
      <c r="CQ259" s="365"/>
      <c r="CR259" s="365"/>
      <c r="CS259" s="366"/>
    </row>
    <row r="260" spans="3:97" ht="13">
      <c r="C260" s="294"/>
      <c r="D260" s="294"/>
      <c r="E260" s="294"/>
      <c r="F260" s="294"/>
      <c r="N260" s="295"/>
      <c r="U260" s="295"/>
      <c r="AC260" s="188"/>
      <c r="AE260" s="188"/>
      <c r="AF260" s="188"/>
      <c r="AG260" s="188"/>
      <c r="AH260" s="188"/>
      <c r="AI260" s="299"/>
      <c r="CC260" s="510">
        <v>87</v>
      </c>
      <c r="CD260" s="359" t="s">
        <v>1375</v>
      </c>
      <c r="CE260" s="361">
        <v>372431.28</v>
      </c>
      <c r="CF260" s="361">
        <v>150962.4</v>
      </c>
      <c r="CG260" s="361">
        <v>67208.28</v>
      </c>
      <c r="CH260" s="361">
        <v>0</v>
      </c>
      <c r="CI260" s="361">
        <v>111748.95</v>
      </c>
      <c r="CJ260" s="361">
        <v>11539.55</v>
      </c>
      <c r="CK260" s="361">
        <v>30972.1</v>
      </c>
      <c r="CL260" s="365">
        <v>0</v>
      </c>
      <c r="CM260" s="365"/>
      <c r="CN260" s="365"/>
      <c r="CO260" s="365"/>
      <c r="CP260" s="365"/>
      <c r="CQ260" s="365"/>
      <c r="CR260" s="365"/>
      <c r="CS260" s="366"/>
    </row>
    <row r="261" spans="3:97" ht="13">
      <c r="C261" s="294"/>
      <c r="D261" s="294"/>
      <c r="E261" s="294"/>
      <c r="F261" s="294"/>
      <c r="N261" s="295"/>
      <c r="U261" s="295"/>
      <c r="AC261" s="188"/>
      <c r="AE261" s="188"/>
      <c r="AF261" s="188"/>
      <c r="AG261" s="188"/>
      <c r="AH261" s="188"/>
      <c r="AI261" s="299"/>
      <c r="CC261" s="510">
        <v>88</v>
      </c>
      <c r="CD261" s="359" t="s">
        <v>1310</v>
      </c>
      <c r="CE261" s="361">
        <v>371902.6</v>
      </c>
      <c r="CF261" s="361">
        <v>0</v>
      </c>
      <c r="CG261" s="361">
        <v>0</v>
      </c>
      <c r="CH261" s="361">
        <v>0</v>
      </c>
      <c r="CI261" s="361">
        <v>0</v>
      </c>
      <c r="CJ261" s="361">
        <v>0</v>
      </c>
      <c r="CK261" s="361">
        <v>0</v>
      </c>
      <c r="CL261" s="361">
        <v>371902.6</v>
      </c>
      <c r="CM261" s="361"/>
      <c r="CN261" s="361"/>
      <c r="CO261" s="361"/>
      <c r="CP261" s="361"/>
      <c r="CQ261" s="361"/>
      <c r="CR261" s="361"/>
      <c r="CS261" s="362"/>
    </row>
    <row r="262" spans="3:97" ht="13">
      <c r="C262" s="294"/>
      <c r="D262" s="294"/>
      <c r="E262" s="294"/>
      <c r="F262" s="294"/>
      <c r="N262" s="295"/>
      <c r="U262" s="295"/>
      <c r="AC262" s="188"/>
      <c r="AE262" s="188"/>
      <c r="AF262" s="188"/>
      <c r="AG262" s="188"/>
      <c r="AH262" s="188"/>
      <c r="AI262" s="299"/>
      <c r="CC262" s="510">
        <v>89</v>
      </c>
      <c r="CD262" s="302" t="s">
        <v>1358</v>
      </c>
      <c r="CE262" s="352">
        <v>368235.84</v>
      </c>
      <c r="CF262" s="352">
        <v>142224.4</v>
      </c>
      <c r="CG262" s="302">
        <v>0</v>
      </c>
      <c r="CH262" s="352">
        <v>226011.44</v>
      </c>
      <c r="CI262" s="302">
        <v>0</v>
      </c>
      <c r="CJ262" s="302">
        <v>0</v>
      </c>
      <c r="CK262" s="352">
        <v>0</v>
      </c>
      <c r="CL262" s="352">
        <v>0</v>
      </c>
      <c r="CS262" s="367"/>
    </row>
    <row r="263" spans="3:97" ht="13">
      <c r="C263" s="294"/>
      <c r="D263" s="294"/>
      <c r="E263" s="294"/>
      <c r="F263" s="294"/>
      <c r="N263" s="295"/>
      <c r="U263" s="295"/>
      <c r="AC263" s="188"/>
      <c r="AE263" s="188"/>
      <c r="AF263" s="188"/>
      <c r="AG263" s="188"/>
      <c r="AH263" s="188"/>
      <c r="AI263" s="299"/>
      <c r="CC263" s="510">
        <v>90</v>
      </c>
      <c r="CD263" s="302" t="s">
        <v>1354</v>
      </c>
      <c r="CE263" s="352">
        <v>338374.6</v>
      </c>
      <c r="CF263" s="352">
        <v>0</v>
      </c>
      <c r="CG263" s="302">
        <v>0</v>
      </c>
      <c r="CH263" s="352">
        <v>0</v>
      </c>
      <c r="CI263" s="302">
        <v>0</v>
      </c>
      <c r="CJ263" s="352">
        <v>338374.6</v>
      </c>
      <c r="CK263" s="302">
        <v>0</v>
      </c>
      <c r="CL263" s="302">
        <v>0</v>
      </c>
      <c r="CS263" s="367"/>
    </row>
    <row r="264" spans="3:97" ht="13">
      <c r="C264" s="294"/>
      <c r="D264" s="294"/>
      <c r="E264" s="294"/>
      <c r="F264" s="294"/>
      <c r="N264" s="295"/>
      <c r="U264" s="295"/>
      <c r="AC264" s="188"/>
      <c r="AE264" s="188"/>
      <c r="AF264" s="188"/>
      <c r="AG264" s="188"/>
      <c r="AH264" s="188"/>
      <c r="AI264" s="299"/>
      <c r="CC264" s="510">
        <v>91</v>
      </c>
      <c r="CD264" s="302" t="s">
        <v>1374</v>
      </c>
      <c r="CE264" s="352">
        <v>304416.65000000002</v>
      </c>
      <c r="CF264" s="352">
        <v>97476.19</v>
      </c>
      <c r="CG264" s="302">
        <v>0</v>
      </c>
      <c r="CH264" s="352">
        <v>92368.61</v>
      </c>
      <c r="CI264" s="302">
        <v>0</v>
      </c>
      <c r="CJ264" s="352">
        <v>114571.85</v>
      </c>
      <c r="CK264" s="352">
        <v>0</v>
      </c>
      <c r="CL264" s="302">
        <v>0</v>
      </c>
      <c r="CS264" s="367"/>
    </row>
    <row r="265" spans="3:97" ht="13">
      <c r="C265" s="294"/>
      <c r="D265" s="294"/>
      <c r="E265" s="294"/>
      <c r="F265" s="294"/>
      <c r="N265" s="295"/>
      <c r="U265" s="295"/>
      <c r="AC265" s="188"/>
      <c r="AE265" s="188"/>
      <c r="AF265" s="188"/>
      <c r="AG265" s="188"/>
      <c r="AH265" s="188"/>
      <c r="AI265" s="299"/>
      <c r="CC265" s="510">
        <v>92</v>
      </c>
      <c r="CD265" s="302" t="s">
        <v>1386</v>
      </c>
      <c r="CE265" s="352">
        <v>302631.40999999997</v>
      </c>
      <c r="CF265" s="352">
        <v>77955.22</v>
      </c>
      <c r="CG265" s="352">
        <v>42117.5</v>
      </c>
      <c r="CH265" s="352">
        <v>34787.68</v>
      </c>
      <c r="CI265" s="352">
        <v>54208.639999999999</v>
      </c>
      <c r="CJ265" s="352">
        <v>62465.120000000003</v>
      </c>
      <c r="CK265" s="352">
        <v>0</v>
      </c>
      <c r="CL265" s="352">
        <v>31097.25</v>
      </c>
      <c r="CS265" s="367"/>
    </row>
    <row r="266" spans="3:97" ht="13">
      <c r="C266" s="294"/>
      <c r="D266" s="294"/>
      <c r="E266" s="294"/>
      <c r="F266" s="294"/>
      <c r="N266" s="295"/>
      <c r="U266" s="295"/>
      <c r="AC266" s="188"/>
      <c r="AE266" s="188"/>
      <c r="AF266" s="188"/>
      <c r="AG266" s="188"/>
      <c r="AH266" s="188"/>
      <c r="AI266" s="299"/>
      <c r="CC266" s="510">
        <v>93</v>
      </c>
      <c r="CD266" s="325" t="s">
        <v>1339</v>
      </c>
      <c r="CE266" s="352">
        <v>293215.96999999997</v>
      </c>
      <c r="CF266" s="352">
        <v>0</v>
      </c>
      <c r="CG266" s="352">
        <v>0</v>
      </c>
      <c r="CH266" s="352">
        <v>0</v>
      </c>
      <c r="CI266" s="352">
        <v>0</v>
      </c>
      <c r="CJ266" s="352">
        <v>0</v>
      </c>
      <c r="CK266" s="352">
        <v>293215.96999999997</v>
      </c>
      <c r="CL266" s="352">
        <v>0</v>
      </c>
      <c r="CS266" s="367"/>
    </row>
    <row r="267" spans="3:97" ht="13">
      <c r="C267" s="294"/>
      <c r="D267" s="294"/>
      <c r="E267" s="294"/>
      <c r="F267" s="294"/>
      <c r="N267" s="295"/>
      <c r="U267" s="295"/>
      <c r="AC267" s="188"/>
      <c r="AE267" s="188"/>
      <c r="AF267" s="188"/>
      <c r="AG267" s="188"/>
      <c r="AH267" s="188"/>
      <c r="AI267" s="299"/>
      <c r="CC267" s="510">
        <v>94</v>
      </c>
      <c r="CD267" s="302" t="s">
        <v>1326</v>
      </c>
      <c r="CE267" s="352">
        <v>292485.43</v>
      </c>
      <c r="CF267" s="352">
        <v>0</v>
      </c>
      <c r="CG267" s="352">
        <v>0</v>
      </c>
      <c r="CH267" s="302">
        <v>0</v>
      </c>
      <c r="CI267" s="352">
        <v>0</v>
      </c>
      <c r="CJ267" s="302">
        <v>0</v>
      </c>
      <c r="CK267" s="352">
        <v>292485.43</v>
      </c>
      <c r="CL267" s="302">
        <v>0</v>
      </c>
      <c r="CS267" s="367"/>
    </row>
    <row r="268" spans="3:97" ht="13">
      <c r="C268" s="294"/>
      <c r="D268" s="294"/>
      <c r="E268" s="294"/>
      <c r="F268" s="294"/>
      <c r="N268" s="295"/>
      <c r="U268" s="295"/>
      <c r="AC268" s="188"/>
      <c r="AE268" s="188"/>
      <c r="AF268" s="188"/>
      <c r="AG268" s="188"/>
      <c r="AH268" s="188"/>
      <c r="AI268" s="299"/>
      <c r="CC268" s="510">
        <v>95</v>
      </c>
      <c r="CD268" s="302" t="s">
        <v>1355</v>
      </c>
      <c r="CE268" s="352">
        <v>268263.82</v>
      </c>
      <c r="CF268" s="352">
        <v>130557.67</v>
      </c>
      <c r="CG268" s="352">
        <v>62339.97</v>
      </c>
      <c r="CH268" s="352">
        <v>0</v>
      </c>
      <c r="CI268" s="352">
        <v>75366.179999999993</v>
      </c>
      <c r="CJ268" s="352">
        <v>0</v>
      </c>
      <c r="CK268" s="352">
        <v>0</v>
      </c>
      <c r="CL268" s="302">
        <v>0</v>
      </c>
      <c r="CS268" s="367"/>
    </row>
    <row r="269" spans="3:97" ht="13">
      <c r="C269" s="294"/>
      <c r="D269" s="294"/>
      <c r="E269" s="294"/>
      <c r="F269" s="294"/>
      <c r="N269" s="295"/>
      <c r="U269" s="295"/>
      <c r="AC269" s="188"/>
      <c r="AE269" s="188"/>
      <c r="AF269" s="188"/>
      <c r="AG269" s="188"/>
      <c r="AH269" s="188"/>
      <c r="AI269" s="299"/>
      <c r="CC269" s="510">
        <v>96</v>
      </c>
      <c r="CD269" s="302" t="s">
        <v>1351</v>
      </c>
      <c r="CE269" s="352">
        <v>264146.7</v>
      </c>
      <c r="CF269" s="352">
        <v>43875.35</v>
      </c>
      <c r="CG269" s="352">
        <v>0</v>
      </c>
      <c r="CH269" s="352">
        <v>102407.67</v>
      </c>
      <c r="CI269" s="352">
        <v>0</v>
      </c>
      <c r="CJ269" s="352">
        <v>117863.67999999999</v>
      </c>
      <c r="CK269" s="302">
        <v>0</v>
      </c>
      <c r="CL269" s="302">
        <v>0</v>
      </c>
      <c r="CS269" s="367"/>
    </row>
    <row r="270" spans="3:97" ht="13">
      <c r="C270" s="294"/>
      <c r="D270" s="294"/>
      <c r="E270" s="294"/>
      <c r="F270" s="294"/>
      <c r="N270" s="295"/>
      <c r="U270" s="295"/>
      <c r="AC270" s="188"/>
      <c r="AE270" s="188"/>
      <c r="AF270" s="188"/>
      <c r="AG270" s="188"/>
      <c r="AH270" s="188"/>
      <c r="AI270" s="299"/>
      <c r="CC270" s="510">
        <v>97</v>
      </c>
      <c r="CD270" s="302" t="s">
        <v>1311</v>
      </c>
      <c r="CE270" s="352">
        <v>246004.76</v>
      </c>
      <c r="CF270" s="352">
        <v>0</v>
      </c>
      <c r="CG270" s="302">
        <v>0</v>
      </c>
      <c r="CH270" s="352">
        <v>0</v>
      </c>
      <c r="CI270" s="302">
        <v>0</v>
      </c>
      <c r="CJ270" s="352">
        <v>246004.76</v>
      </c>
      <c r="CK270" s="302">
        <v>0</v>
      </c>
      <c r="CL270" s="302">
        <v>0</v>
      </c>
      <c r="CS270" s="367"/>
    </row>
    <row r="271" spans="3:97" ht="13">
      <c r="C271" s="294"/>
      <c r="D271" s="294"/>
      <c r="E271" s="294"/>
      <c r="F271" s="294"/>
      <c r="N271" s="295"/>
      <c r="U271" s="295"/>
      <c r="AC271" s="188"/>
      <c r="AE271" s="188"/>
      <c r="AF271" s="188"/>
      <c r="AG271" s="188"/>
      <c r="AH271" s="188"/>
      <c r="AI271" s="299"/>
      <c r="CC271" s="510">
        <v>98</v>
      </c>
      <c r="CD271" s="302" t="s">
        <v>1352</v>
      </c>
      <c r="CE271" s="352">
        <v>224129.93</v>
      </c>
      <c r="CF271" s="302">
        <v>0</v>
      </c>
      <c r="CG271" s="302">
        <v>0</v>
      </c>
      <c r="CH271" s="302">
        <v>0</v>
      </c>
      <c r="CI271" s="352">
        <v>114695</v>
      </c>
      <c r="CJ271" s="352">
        <v>0</v>
      </c>
      <c r="CK271" s="352">
        <v>0</v>
      </c>
      <c r="CL271" s="352">
        <v>109434.94</v>
      </c>
      <c r="CS271" s="367"/>
    </row>
    <row r="272" spans="3:97" ht="13">
      <c r="C272" s="294"/>
      <c r="D272" s="294"/>
      <c r="E272" s="294"/>
      <c r="F272" s="294"/>
      <c r="N272" s="295"/>
      <c r="U272" s="295"/>
      <c r="AC272" s="188"/>
      <c r="AE272" s="188"/>
      <c r="AF272" s="188"/>
      <c r="AG272" s="188"/>
      <c r="AH272" s="188"/>
      <c r="AI272" s="299"/>
      <c r="CC272" s="510">
        <v>99</v>
      </c>
      <c r="CD272" s="302" t="s">
        <v>1314</v>
      </c>
      <c r="CE272" s="352">
        <v>210084.3</v>
      </c>
      <c r="CF272" s="302">
        <v>0</v>
      </c>
      <c r="CG272" s="302">
        <v>0</v>
      </c>
      <c r="CH272" s="302">
        <v>0</v>
      </c>
      <c r="CI272" s="352">
        <v>0</v>
      </c>
      <c r="CJ272" s="352">
        <v>0</v>
      </c>
      <c r="CK272" s="352">
        <v>210084.3</v>
      </c>
      <c r="CL272" s="352">
        <v>0</v>
      </c>
      <c r="CS272" s="367"/>
    </row>
    <row r="273" spans="3:97" ht="13">
      <c r="C273" s="294"/>
      <c r="D273" s="294"/>
      <c r="E273" s="294"/>
      <c r="F273" s="294"/>
      <c r="N273" s="295"/>
      <c r="U273" s="295"/>
      <c r="AC273" s="188"/>
      <c r="AE273" s="188"/>
      <c r="AF273" s="188"/>
      <c r="AG273" s="188"/>
      <c r="AH273" s="188"/>
      <c r="AI273" s="299"/>
      <c r="CC273" s="510">
        <v>100</v>
      </c>
      <c r="CD273" s="325" t="s">
        <v>1318</v>
      </c>
      <c r="CE273" s="352">
        <v>203863.86</v>
      </c>
      <c r="CF273" s="302">
        <v>0</v>
      </c>
      <c r="CG273" s="302">
        <v>0</v>
      </c>
      <c r="CH273" s="302">
        <v>0</v>
      </c>
      <c r="CI273" s="352">
        <v>0</v>
      </c>
      <c r="CJ273" s="352">
        <v>203863.86</v>
      </c>
      <c r="CK273" s="352">
        <v>0</v>
      </c>
      <c r="CL273" s="302">
        <v>0</v>
      </c>
      <c r="CS273" s="367"/>
    </row>
    <row r="274" spans="3:97" ht="13">
      <c r="C274" s="294"/>
      <c r="D274" s="294"/>
      <c r="E274" s="294"/>
      <c r="F274" s="294"/>
      <c r="N274" s="295"/>
      <c r="U274" s="295"/>
      <c r="AC274" s="188"/>
      <c r="AE274" s="188"/>
      <c r="AF274" s="188"/>
      <c r="AG274" s="188"/>
      <c r="AH274" s="188"/>
      <c r="AI274" s="299"/>
      <c r="CC274" s="510">
        <v>101</v>
      </c>
      <c r="CD274" s="302" t="s">
        <v>1338</v>
      </c>
      <c r="CE274" s="352">
        <v>185191.75</v>
      </c>
      <c r="CF274" s="302">
        <v>0</v>
      </c>
      <c r="CG274" s="302">
        <v>0</v>
      </c>
      <c r="CH274" s="302">
        <v>0</v>
      </c>
      <c r="CI274" s="302">
        <v>0</v>
      </c>
      <c r="CJ274" s="352">
        <v>0</v>
      </c>
      <c r="CK274" s="352">
        <v>0</v>
      </c>
      <c r="CL274" s="352">
        <v>185191.75</v>
      </c>
      <c r="CS274" s="367"/>
    </row>
    <row r="275" spans="3:97" ht="13">
      <c r="C275" s="294"/>
      <c r="D275" s="294"/>
      <c r="E275" s="294"/>
      <c r="F275" s="294"/>
      <c r="N275" s="295"/>
      <c r="U275" s="295"/>
      <c r="AC275" s="188"/>
      <c r="AE275" s="188"/>
      <c r="AF275" s="188"/>
      <c r="AG275" s="188"/>
      <c r="AH275" s="188"/>
      <c r="AI275" s="299"/>
      <c r="CC275" s="510">
        <v>102</v>
      </c>
      <c r="CD275" s="302" t="s">
        <v>1372</v>
      </c>
      <c r="CE275" s="352">
        <v>80693.81</v>
      </c>
      <c r="CF275" s="302">
        <v>0</v>
      </c>
      <c r="CG275" s="302">
        <v>0</v>
      </c>
      <c r="CH275" s="302">
        <v>0</v>
      </c>
      <c r="CI275" s="352">
        <v>80693.81</v>
      </c>
      <c r="CJ275" s="302">
        <v>0</v>
      </c>
      <c r="CK275" s="302">
        <v>0</v>
      </c>
      <c r="CL275" s="352">
        <v>0</v>
      </c>
      <c r="CS275" s="367"/>
    </row>
    <row r="276" spans="3:97" ht="13">
      <c r="C276" s="294"/>
      <c r="D276" s="294"/>
      <c r="E276" s="294"/>
      <c r="F276" s="294"/>
      <c r="N276" s="295"/>
      <c r="U276" s="295"/>
      <c r="AC276" s="188"/>
      <c r="AE276" s="188"/>
      <c r="AF276" s="188"/>
      <c r="AG276" s="188"/>
      <c r="AH276" s="188"/>
      <c r="AI276" s="299"/>
      <c r="CC276" s="510">
        <v>103</v>
      </c>
      <c r="CD276" s="302" t="s">
        <v>1380</v>
      </c>
      <c r="CE276" s="352">
        <v>71061.039999999994</v>
      </c>
      <c r="CF276" s="302">
        <v>0</v>
      </c>
      <c r="CG276" s="302">
        <v>0</v>
      </c>
      <c r="CH276" s="352">
        <v>52006</v>
      </c>
      <c r="CI276" s="352">
        <v>0</v>
      </c>
      <c r="CJ276" s="352">
        <v>19055.04</v>
      </c>
      <c r="CK276" s="302">
        <v>0</v>
      </c>
      <c r="CL276" s="302">
        <v>0</v>
      </c>
      <c r="CS276" s="367"/>
    </row>
    <row r="277" spans="3:97" ht="13">
      <c r="C277" s="294"/>
      <c r="D277" s="294"/>
      <c r="E277" s="294"/>
      <c r="F277" s="294"/>
      <c r="N277" s="295"/>
      <c r="U277" s="295"/>
      <c r="AC277" s="188"/>
      <c r="AE277" s="188"/>
      <c r="AF277" s="188"/>
      <c r="AG277" s="188"/>
      <c r="AH277" s="188"/>
      <c r="AI277" s="299"/>
      <c r="CC277" s="510">
        <v>104</v>
      </c>
      <c r="CD277" s="302" t="s">
        <v>1385</v>
      </c>
      <c r="CE277" s="352">
        <v>22396.61</v>
      </c>
      <c r="CF277" s="302">
        <v>0</v>
      </c>
      <c r="CG277" s="302">
        <v>0</v>
      </c>
      <c r="CH277" s="352">
        <v>12282.11</v>
      </c>
      <c r="CI277" s="302">
        <v>0</v>
      </c>
      <c r="CJ277" s="352">
        <v>0</v>
      </c>
      <c r="CK277" s="352">
        <v>10114.5</v>
      </c>
      <c r="CL277" s="302">
        <v>0</v>
      </c>
      <c r="CS277" s="367"/>
    </row>
    <row r="278" spans="3:97" ht="13">
      <c r="C278" s="294"/>
      <c r="D278" s="294"/>
      <c r="E278" s="294"/>
      <c r="F278" s="294"/>
      <c r="N278" s="295"/>
      <c r="U278" s="295"/>
      <c r="AC278" s="188"/>
      <c r="AE278" s="188"/>
      <c r="AF278" s="188"/>
      <c r="AG278" s="188"/>
      <c r="AH278" s="188"/>
      <c r="AI278" s="299"/>
      <c r="CC278" s="510">
        <v>105</v>
      </c>
      <c r="CD278" s="302" t="s">
        <v>1379</v>
      </c>
      <c r="CE278" s="352">
        <v>12352.07</v>
      </c>
      <c r="CF278" s="302">
        <v>0</v>
      </c>
      <c r="CG278" s="352">
        <v>0</v>
      </c>
      <c r="CH278" s="352">
        <v>0</v>
      </c>
      <c r="CI278" s="302">
        <v>0</v>
      </c>
      <c r="CJ278" s="302">
        <v>0</v>
      </c>
      <c r="CK278" s="352">
        <v>0</v>
      </c>
      <c r="CL278" s="352">
        <v>12352.07</v>
      </c>
      <c r="CS278" s="367"/>
    </row>
    <row r="279" spans="3:97" ht="13">
      <c r="C279" s="294"/>
      <c r="D279" s="294"/>
      <c r="E279" s="294"/>
      <c r="F279" s="294"/>
      <c r="N279" s="295"/>
      <c r="U279" s="295"/>
      <c r="AC279" s="188"/>
      <c r="AE279" s="188"/>
      <c r="AF279" s="188"/>
      <c r="AG279" s="188"/>
      <c r="AH279" s="188"/>
      <c r="AI279" s="299"/>
      <c r="CC279" s="510">
        <v>106</v>
      </c>
      <c r="CD279" s="302" t="s">
        <v>997</v>
      </c>
      <c r="CE279" s="352">
        <v>0.05</v>
      </c>
      <c r="CF279" s="352">
        <v>0</v>
      </c>
      <c r="CG279" s="352">
        <v>0</v>
      </c>
      <c r="CH279" s="302">
        <v>0</v>
      </c>
      <c r="CI279" s="302">
        <v>0.05</v>
      </c>
      <c r="CJ279" s="302">
        <v>0</v>
      </c>
      <c r="CK279" s="302">
        <v>0</v>
      </c>
      <c r="CL279" s="352">
        <v>0</v>
      </c>
      <c r="CS279" s="367"/>
    </row>
    <row r="280" spans="3:97" ht="13">
      <c r="C280" s="294"/>
      <c r="D280" s="294"/>
      <c r="E280" s="294"/>
      <c r="F280" s="294"/>
      <c r="N280" s="295"/>
      <c r="U280" s="295"/>
      <c r="AC280" s="188"/>
      <c r="AE280" s="188"/>
      <c r="AF280" s="188"/>
      <c r="AG280" s="188"/>
      <c r="AH280" s="188"/>
      <c r="AI280" s="299"/>
      <c r="CC280" s="510">
        <v>107</v>
      </c>
      <c r="CD280" s="302" t="s">
        <v>1384</v>
      </c>
      <c r="CE280" s="352">
        <v>-39555.07</v>
      </c>
      <c r="CF280" s="302">
        <v>0</v>
      </c>
      <c r="CG280" s="352">
        <v>-39555.07</v>
      </c>
      <c r="CH280" s="302">
        <v>0</v>
      </c>
      <c r="CI280" s="302">
        <v>0</v>
      </c>
      <c r="CJ280" s="302">
        <v>0</v>
      </c>
      <c r="CK280" s="302">
        <v>0</v>
      </c>
      <c r="CL280" s="302">
        <v>0</v>
      </c>
      <c r="CS280" s="367"/>
    </row>
    <row r="281" spans="3:97" ht="13">
      <c r="C281" s="294"/>
      <c r="D281" s="294"/>
      <c r="E281" s="294"/>
      <c r="F281" s="294"/>
      <c r="N281" s="295"/>
      <c r="U281" s="295"/>
      <c r="AC281" s="188"/>
      <c r="AE281" s="188"/>
      <c r="AF281" s="188"/>
      <c r="AG281" s="188"/>
      <c r="AH281" s="188"/>
      <c r="AI281" s="299"/>
      <c r="CC281" s="510">
        <v>108</v>
      </c>
      <c r="CD281" s="302" t="s">
        <v>1382</v>
      </c>
      <c r="CE281" s="352">
        <v>-803018.42</v>
      </c>
      <c r="CF281" s="352">
        <v>-782680.1</v>
      </c>
      <c r="CG281" s="352">
        <v>-20338.32</v>
      </c>
      <c r="CH281" s="302">
        <v>0</v>
      </c>
      <c r="CI281" s="302">
        <v>0</v>
      </c>
      <c r="CJ281" s="302">
        <v>0</v>
      </c>
      <c r="CK281" s="302">
        <v>0</v>
      </c>
      <c r="CL281" s="302">
        <v>0</v>
      </c>
      <c r="CS281" s="367"/>
    </row>
    <row r="282" spans="3:97" ht="13">
      <c r="C282" s="294"/>
      <c r="D282" s="294"/>
      <c r="E282" s="294"/>
      <c r="F282" s="294"/>
      <c r="N282" s="295"/>
      <c r="U282" s="295"/>
      <c r="AC282" s="188"/>
      <c r="AE282" s="188"/>
      <c r="AF282" s="188"/>
      <c r="AG282" s="188"/>
      <c r="AH282" s="188"/>
      <c r="AI282" s="299"/>
      <c r="CC282" s="510">
        <v>109</v>
      </c>
      <c r="CE282" s="352"/>
      <c r="CF282" s="352"/>
      <c r="CG282" s="352"/>
      <c r="CS282" s="367"/>
    </row>
    <row r="283" spans="3:97" ht="13">
      <c r="C283" s="294"/>
      <c r="D283" s="294"/>
      <c r="E283" s="294"/>
      <c r="F283" s="294"/>
      <c r="N283" s="295"/>
      <c r="U283" s="295"/>
      <c r="AC283" s="188"/>
      <c r="AE283" s="188"/>
      <c r="AF283" s="188"/>
      <c r="AG283" s="188"/>
      <c r="AH283" s="188"/>
      <c r="AI283" s="299"/>
      <c r="CC283" s="510">
        <v>110</v>
      </c>
      <c r="CS283" s="367"/>
    </row>
    <row r="284" spans="3:97" ht="13">
      <c r="C284" s="294"/>
      <c r="D284" s="294"/>
      <c r="E284" s="294"/>
      <c r="F284" s="294"/>
      <c r="N284" s="295"/>
      <c r="U284" s="295"/>
      <c r="AC284" s="188"/>
      <c r="AE284" s="188"/>
      <c r="AF284" s="188"/>
      <c r="AG284" s="188"/>
      <c r="AH284" s="188"/>
      <c r="AI284" s="299"/>
      <c r="CC284" s="510">
        <v>111</v>
      </c>
      <c r="CS284" s="367"/>
    </row>
    <row r="285" spans="3:97" ht="13">
      <c r="C285" s="294"/>
      <c r="D285" s="294"/>
      <c r="E285" s="294"/>
      <c r="F285" s="294"/>
      <c r="N285" s="295"/>
      <c r="U285" s="295"/>
      <c r="AC285" s="188"/>
      <c r="AE285" s="188"/>
      <c r="AF285" s="188"/>
      <c r="AG285" s="188"/>
      <c r="AH285" s="188"/>
      <c r="AI285" s="299"/>
      <c r="CC285" s="510">
        <v>112</v>
      </c>
      <c r="CS285" s="367"/>
    </row>
    <row r="286" spans="3:97" ht="13">
      <c r="C286" s="294"/>
      <c r="D286" s="294"/>
      <c r="E286" s="294"/>
      <c r="F286" s="294"/>
      <c r="N286" s="295"/>
      <c r="U286" s="295"/>
      <c r="AC286" s="188"/>
      <c r="AE286" s="188"/>
      <c r="AF286" s="188"/>
      <c r="AG286" s="188"/>
      <c r="AH286" s="188"/>
      <c r="AI286" s="299"/>
      <c r="CC286" s="510">
        <v>113</v>
      </c>
      <c r="CS286" s="367"/>
    </row>
    <row r="287" spans="3:97" ht="13">
      <c r="C287" s="294"/>
      <c r="D287" s="294"/>
      <c r="E287" s="294"/>
      <c r="F287" s="294"/>
      <c r="N287" s="295"/>
      <c r="U287" s="295"/>
      <c r="AC287" s="188"/>
      <c r="AE287" s="188"/>
      <c r="AF287" s="188"/>
      <c r="AG287" s="188"/>
      <c r="AH287" s="188"/>
      <c r="AI287" s="299"/>
      <c r="CC287" s="510">
        <v>114</v>
      </c>
      <c r="CS287" s="367"/>
    </row>
    <row r="288" spans="3:97" ht="13">
      <c r="C288" s="294"/>
      <c r="D288" s="294"/>
      <c r="E288" s="294"/>
      <c r="F288" s="294"/>
      <c r="N288" s="295"/>
      <c r="U288" s="295"/>
      <c r="AC288" s="188"/>
      <c r="AE288" s="188"/>
      <c r="AF288" s="188"/>
      <c r="AG288" s="188"/>
      <c r="AH288" s="188"/>
      <c r="AI288" s="299"/>
      <c r="CC288" s="510">
        <v>115</v>
      </c>
      <c r="CS288" s="367"/>
    </row>
    <row r="289" spans="3:97" ht="13">
      <c r="C289" s="294"/>
      <c r="D289" s="294"/>
      <c r="E289" s="294"/>
      <c r="F289" s="294"/>
      <c r="N289" s="295"/>
      <c r="U289" s="295"/>
      <c r="AC289" s="188"/>
      <c r="AE289" s="188"/>
      <c r="AF289" s="188"/>
      <c r="AG289" s="188"/>
      <c r="AH289" s="188"/>
      <c r="AI289" s="299"/>
      <c r="CC289" s="510">
        <v>116</v>
      </c>
      <c r="CS289" s="367"/>
    </row>
    <row r="290" spans="3:97" ht="13">
      <c r="C290" s="294"/>
      <c r="D290" s="294"/>
      <c r="E290" s="294"/>
      <c r="F290" s="294"/>
      <c r="N290" s="295"/>
      <c r="U290" s="295"/>
      <c r="AC290" s="188"/>
      <c r="AE290" s="188"/>
      <c r="AF290" s="188"/>
      <c r="AG290" s="188"/>
      <c r="AH290" s="188"/>
      <c r="AI290" s="299"/>
      <c r="CC290" s="510">
        <v>117</v>
      </c>
      <c r="CS290" s="367"/>
    </row>
    <row r="291" spans="3:97" ht="13">
      <c r="C291" s="294"/>
      <c r="D291" s="294"/>
      <c r="E291" s="294"/>
      <c r="F291" s="294"/>
      <c r="N291" s="295"/>
      <c r="U291" s="295"/>
      <c r="AC291" s="188"/>
      <c r="AE291" s="188"/>
      <c r="AF291" s="188"/>
      <c r="AG291" s="188"/>
      <c r="AH291" s="188"/>
      <c r="AI291" s="299"/>
      <c r="CC291" s="510">
        <v>118</v>
      </c>
      <c r="CS291" s="367"/>
    </row>
    <row r="292" spans="3:97" ht="13">
      <c r="C292" s="294"/>
      <c r="D292" s="294"/>
      <c r="E292" s="294"/>
      <c r="F292" s="294"/>
      <c r="N292" s="295"/>
      <c r="U292" s="295"/>
      <c r="AC292" s="188"/>
      <c r="AE292" s="188"/>
      <c r="AF292" s="188"/>
      <c r="AG292" s="188"/>
      <c r="AH292" s="188"/>
      <c r="AI292" s="299"/>
      <c r="CC292" s="510">
        <v>119</v>
      </c>
      <c r="CS292" s="367"/>
    </row>
    <row r="293" spans="3:97" ht="13">
      <c r="C293" s="294"/>
      <c r="D293" s="294"/>
      <c r="E293" s="294"/>
      <c r="F293" s="294"/>
      <c r="N293" s="295"/>
      <c r="U293" s="295"/>
      <c r="AC293" s="188"/>
      <c r="AE293" s="188"/>
      <c r="AF293" s="188"/>
      <c r="AG293" s="188"/>
      <c r="AH293" s="188"/>
      <c r="AI293" s="299"/>
      <c r="CC293" s="510">
        <v>120</v>
      </c>
      <c r="CS293" s="367"/>
    </row>
    <row r="294" spans="3:97" ht="13">
      <c r="C294" s="294"/>
      <c r="D294" s="294"/>
      <c r="E294" s="294"/>
      <c r="F294" s="294"/>
      <c r="N294" s="295"/>
      <c r="U294" s="295"/>
      <c r="AC294" s="188"/>
      <c r="AE294" s="188"/>
      <c r="AF294" s="188"/>
      <c r="AG294" s="188"/>
      <c r="AH294" s="188"/>
      <c r="AI294" s="299"/>
      <c r="CC294" s="510">
        <v>121</v>
      </c>
      <c r="CS294" s="367"/>
    </row>
    <row r="295" spans="3:97" ht="13">
      <c r="C295" s="294"/>
      <c r="D295" s="294"/>
      <c r="E295" s="294"/>
      <c r="F295" s="294"/>
      <c r="N295" s="295"/>
      <c r="U295" s="295"/>
      <c r="AC295" s="188"/>
      <c r="AE295" s="188"/>
      <c r="AF295" s="188"/>
      <c r="AG295" s="188"/>
      <c r="AH295" s="188"/>
      <c r="AI295" s="299"/>
      <c r="CC295" s="510">
        <v>122</v>
      </c>
      <c r="CS295" s="367"/>
    </row>
    <row r="296" spans="3:97" ht="13">
      <c r="C296" s="294"/>
      <c r="D296" s="294"/>
      <c r="E296" s="294"/>
      <c r="F296" s="294"/>
      <c r="N296" s="295"/>
      <c r="U296" s="295"/>
      <c r="AC296" s="188"/>
      <c r="AE296" s="188"/>
      <c r="AF296" s="188"/>
      <c r="AG296" s="188"/>
      <c r="AH296" s="188"/>
      <c r="AI296" s="299"/>
      <c r="CC296" s="510">
        <v>123</v>
      </c>
      <c r="CS296" s="367"/>
    </row>
    <row r="297" spans="3:97" ht="13">
      <c r="C297" s="294"/>
      <c r="D297" s="294"/>
      <c r="E297" s="294"/>
      <c r="F297" s="294"/>
      <c r="N297" s="295"/>
      <c r="U297" s="295"/>
      <c r="AC297" s="188"/>
      <c r="AE297" s="188"/>
      <c r="AF297" s="188"/>
      <c r="AG297" s="188"/>
      <c r="AH297" s="188"/>
      <c r="AI297" s="299"/>
      <c r="CC297" s="510">
        <v>124</v>
      </c>
      <c r="CS297" s="367"/>
    </row>
    <row r="298" spans="3:97" ht="13">
      <c r="C298" s="294"/>
      <c r="D298" s="294"/>
      <c r="E298" s="294"/>
      <c r="F298" s="294"/>
      <c r="N298" s="295"/>
      <c r="U298" s="295"/>
      <c r="AC298" s="188"/>
      <c r="AE298" s="188"/>
      <c r="AF298" s="188"/>
      <c r="AG298" s="188"/>
      <c r="AH298" s="188"/>
      <c r="AI298" s="299"/>
      <c r="CC298" s="510">
        <v>125</v>
      </c>
      <c r="CS298" s="367"/>
    </row>
    <row r="299" spans="3:97" ht="13">
      <c r="C299" s="294"/>
      <c r="D299" s="294"/>
      <c r="E299" s="294"/>
      <c r="F299" s="294"/>
      <c r="N299" s="295"/>
      <c r="U299" s="295"/>
      <c r="AC299" s="188"/>
      <c r="AE299" s="188"/>
      <c r="AF299" s="188"/>
      <c r="AG299" s="188"/>
      <c r="AH299" s="188"/>
      <c r="AI299" s="299"/>
      <c r="CC299" s="510">
        <v>126</v>
      </c>
      <c r="CS299" s="367"/>
    </row>
    <row r="300" spans="3:97" ht="13">
      <c r="C300" s="294"/>
      <c r="D300" s="294"/>
      <c r="E300" s="294"/>
      <c r="F300" s="294"/>
      <c r="N300" s="295"/>
      <c r="U300" s="295"/>
      <c r="AC300" s="188"/>
      <c r="AE300" s="188"/>
      <c r="AF300" s="188"/>
      <c r="AG300" s="188"/>
      <c r="AH300" s="188"/>
      <c r="AI300" s="299"/>
      <c r="CC300" s="510">
        <v>127</v>
      </c>
      <c r="CS300" s="367"/>
    </row>
    <row r="301" spans="3:97" ht="13">
      <c r="C301" s="294"/>
      <c r="D301" s="294"/>
      <c r="E301" s="294"/>
      <c r="F301" s="294"/>
      <c r="N301" s="295"/>
      <c r="U301" s="295"/>
      <c r="AC301" s="188"/>
      <c r="AE301" s="188"/>
      <c r="AF301" s="188"/>
      <c r="AG301" s="188"/>
      <c r="AH301" s="188"/>
      <c r="AI301" s="299"/>
      <c r="CC301" s="510">
        <v>128</v>
      </c>
      <c r="CS301" s="367"/>
    </row>
    <row r="302" spans="3:97" ht="13">
      <c r="C302" s="294"/>
      <c r="D302" s="294"/>
      <c r="E302" s="294"/>
      <c r="F302" s="294"/>
      <c r="N302" s="295"/>
      <c r="U302" s="295"/>
      <c r="AC302" s="188"/>
      <c r="AE302" s="188"/>
      <c r="AF302" s="188"/>
      <c r="AG302" s="188"/>
      <c r="AH302" s="188"/>
      <c r="AI302" s="299"/>
      <c r="CC302" s="510">
        <v>129</v>
      </c>
      <c r="CS302" s="367"/>
    </row>
    <row r="303" spans="3:97" ht="13">
      <c r="C303" s="294"/>
      <c r="D303" s="294"/>
      <c r="E303" s="294"/>
      <c r="F303" s="294"/>
      <c r="N303" s="295"/>
      <c r="U303" s="295"/>
      <c r="AC303" s="188"/>
      <c r="AE303" s="188"/>
      <c r="AF303" s="188"/>
      <c r="AG303" s="188"/>
      <c r="AH303" s="188"/>
      <c r="AI303" s="299"/>
      <c r="CC303" s="510">
        <v>130</v>
      </c>
      <c r="CS303" s="367"/>
    </row>
    <row r="304" spans="3:97" ht="13">
      <c r="C304" s="294"/>
      <c r="D304" s="294"/>
      <c r="E304" s="294"/>
      <c r="F304" s="294"/>
      <c r="N304" s="295"/>
      <c r="U304" s="295"/>
      <c r="AC304" s="188"/>
      <c r="AE304" s="188"/>
      <c r="AF304" s="188"/>
      <c r="AG304" s="188"/>
      <c r="AH304" s="188"/>
      <c r="AI304" s="299"/>
      <c r="CC304" s="510">
        <v>131</v>
      </c>
      <c r="CS304" s="367"/>
    </row>
    <row r="305" spans="3:97" ht="13">
      <c r="C305" s="294"/>
      <c r="D305" s="294"/>
      <c r="E305" s="294"/>
      <c r="F305" s="294"/>
      <c r="N305" s="295"/>
      <c r="U305" s="295"/>
      <c r="AC305" s="188"/>
      <c r="AE305" s="188"/>
      <c r="AF305" s="188"/>
      <c r="AG305" s="188"/>
      <c r="AH305" s="188"/>
      <c r="AI305" s="299"/>
      <c r="CC305" s="510">
        <v>132</v>
      </c>
      <c r="CS305" s="367"/>
    </row>
    <row r="306" spans="3:97" ht="13">
      <c r="C306" s="294"/>
      <c r="D306" s="294"/>
      <c r="E306" s="294"/>
      <c r="F306" s="294"/>
      <c r="N306" s="295"/>
      <c r="U306" s="295"/>
      <c r="AC306" s="188"/>
      <c r="AE306" s="188"/>
      <c r="AF306" s="188"/>
      <c r="AG306" s="188"/>
      <c r="AH306" s="188"/>
      <c r="AI306" s="299"/>
      <c r="CC306" s="510">
        <v>133</v>
      </c>
      <c r="CS306" s="367"/>
    </row>
    <row r="307" spans="3:97" ht="13">
      <c r="C307" s="294"/>
      <c r="D307" s="294"/>
      <c r="E307" s="294"/>
      <c r="F307" s="294"/>
      <c r="N307" s="295"/>
      <c r="U307" s="295"/>
      <c r="AC307" s="188"/>
      <c r="AE307" s="188"/>
      <c r="AF307" s="188"/>
      <c r="AG307" s="188"/>
      <c r="AH307" s="188"/>
      <c r="AI307" s="299"/>
      <c r="CC307" s="510">
        <v>134</v>
      </c>
      <c r="CS307" s="367"/>
    </row>
    <row r="308" spans="3:97" ht="13">
      <c r="C308" s="294"/>
      <c r="D308" s="294"/>
      <c r="E308" s="294"/>
      <c r="F308" s="294"/>
      <c r="N308" s="295"/>
      <c r="U308" s="295"/>
      <c r="AC308" s="188"/>
      <c r="AE308" s="188"/>
      <c r="AF308" s="188"/>
      <c r="AG308" s="188"/>
      <c r="AH308" s="188"/>
      <c r="AI308" s="299"/>
      <c r="CC308" s="510">
        <v>135</v>
      </c>
      <c r="CS308" s="367"/>
    </row>
    <row r="309" spans="3:97" ht="13">
      <c r="C309" s="294"/>
      <c r="D309" s="294"/>
      <c r="E309" s="294"/>
      <c r="F309" s="294"/>
      <c r="N309" s="295"/>
      <c r="U309" s="295"/>
      <c r="AC309" s="188"/>
      <c r="AE309" s="188"/>
      <c r="AF309" s="188"/>
      <c r="AG309" s="188"/>
      <c r="AH309" s="188"/>
      <c r="AI309" s="299"/>
      <c r="CC309" s="510">
        <v>136</v>
      </c>
      <c r="CS309" s="367"/>
    </row>
    <row r="310" spans="3:97" ht="13">
      <c r="C310" s="294"/>
      <c r="D310" s="294"/>
      <c r="E310" s="294"/>
      <c r="F310" s="294"/>
      <c r="N310" s="295"/>
      <c r="U310" s="295"/>
      <c r="AC310" s="188"/>
      <c r="AE310" s="188"/>
      <c r="AF310" s="188"/>
      <c r="AG310" s="188"/>
      <c r="AH310" s="188"/>
      <c r="AI310" s="299"/>
      <c r="CC310" s="510">
        <v>137</v>
      </c>
      <c r="CS310" s="367"/>
    </row>
    <row r="311" spans="3:97" ht="13">
      <c r="C311" s="294"/>
      <c r="D311" s="294"/>
      <c r="E311" s="294"/>
      <c r="F311" s="294"/>
      <c r="N311" s="295"/>
      <c r="U311" s="295"/>
      <c r="AC311" s="188"/>
      <c r="AE311" s="188"/>
      <c r="AF311" s="188"/>
      <c r="AG311" s="188"/>
      <c r="AH311" s="188"/>
      <c r="AI311" s="299"/>
      <c r="CC311" s="510">
        <v>138</v>
      </c>
      <c r="CS311" s="367"/>
    </row>
    <row r="312" spans="3:97" ht="13">
      <c r="C312" s="294"/>
      <c r="D312" s="294"/>
      <c r="E312" s="294"/>
      <c r="F312" s="294"/>
      <c r="N312" s="295"/>
      <c r="U312" s="295"/>
      <c r="AC312" s="188"/>
      <c r="AE312" s="188"/>
      <c r="AF312" s="188"/>
      <c r="AG312" s="188"/>
      <c r="AH312" s="188"/>
      <c r="AI312" s="299"/>
      <c r="CC312" s="510">
        <v>139</v>
      </c>
      <c r="CS312" s="367"/>
    </row>
    <row r="313" spans="3:97" ht="13">
      <c r="C313" s="294"/>
      <c r="D313" s="294"/>
      <c r="E313" s="294"/>
      <c r="F313" s="294"/>
      <c r="N313" s="295"/>
      <c r="U313" s="295"/>
      <c r="AC313" s="188"/>
      <c r="AE313" s="188"/>
      <c r="AF313" s="188"/>
      <c r="AG313" s="188"/>
      <c r="AH313" s="188"/>
      <c r="AI313" s="299"/>
      <c r="CC313" s="510">
        <v>140</v>
      </c>
      <c r="CS313" s="367"/>
    </row>
    <row r="314" spans="3:97" ht="13">
      <c r="C314" s="294"/>
      <c r="D314" s="294"/>
      <c r="E314" s="294"/>
      <c r="F314" s="294"/>
      <c r="N314" s="295"/>
      <c r="U314" s="295"/>
      <c r="AC314" s="188"/>
      <c r="AE314" s="188"/>
      <c r="AF314" s="188"/>
      <c r="AG314" s="188"/>
      <c r="AH314" s="188"/>
      <c r="AI314" s="299"/>
      <c r="CC314" s="512">
        <v>141</v>
      </c>
      <c r="CD314" s="369"/>
      <c r="CE314" s="369"/>
      <c r="CF314" s="369"/>
      <c r="CG314" s="369"/>
      <c r="CH314" s="369"/>
      <c r="CI314" s="369"/>
      <c r="CJ314" s="369"/>
      <c r="CK314" s="369"/>
      <c r="CL314" s="369"/>
      <c r="CM314" s="369"/>
      <c r="CN314" s="369"/>
      <c r="CO314" s="369"/>
      <c r="CP314" s="369"/>
      <c r="CQ314" s="369"/>
      <c r="CR314" s="369"/>
      <c r="CS314" s="370"/>
    </row>
    <row r="315" spans="3:97" ht="13">
      <c r="C315" s="294"/>
      <c r="D315" s="294"/>
      <c r="E315" s="294"/>
      <c r="F315" s="294"/>
      <c r="N315" s="295"/>
      <c r="U315" s="295"/>
      <c r="AC315" s="188"/>
      <c r="AE315" s="188"/>
      <c r="AF315" s="188"/>
      <c r="AG315" s="188"/>
      <c r="AH315" s="188"/>
      <c r="AI315" s="299"/>
    </row>
    <row r="316" spans="3:97" ht="13">
      <c r="C316" s="294"/>
      <c r="D316" s="294"/>
      <c r="E316" s="294"/>
      <c r="F316" s="294"/>
      <c r="N316" s="295"/>
      <c r="U316" s="295"/>
      <c r="AC316" s="188"/>
      <c r="AE316" s="188"/>
      <c r="AF316" s="188"/>
      <c r="AG316" s="188"/>
      <c r="AH316" s="188"/>
      <c r="AI316" s="299"/>
    </row>
    <row r="317" spans="3:97" ht="13">
      <c r="C317" s="294"/>
      <c r="D317" s="294"/>
      <c r="E317" s="294"/>
      <c r="F317" s="294"/>
      <c r="N317" s="295"/>
      <c r="U317" s="295"/>
      <c r="AC317" s="188"/>
      <c r="AE317" s="188"/>
      <c r="AF317" s="188"/>
      <c r="AG317" s="188"/>
      <c r="AH317" s="188"/>
      <c r="AI317" s="299"/>
      <c r="CG317" s="352">
        <f>CG321-R130</f>
        <v>9.9999979138374329E-3</v>
      </c>
      <c r="CH317" s="352">
        <f>CH321-Y130</f>
        <v>0</v>
      </c>
      <c r="CI317" s="352">
        <f>CI321-AL130</f>
        <v>1.9999999552965164E-2</v>
      </c>
      <c r="CJ317" s="352">
        <f>CJ321-AP130</f>
        <v>-9.9999979138374329E-3</v>
      </c>
      <c r="CK317" s="352">
        <f>CK321-AT130</f>
        <v>0</v>
      </c>
      <c r="CL317" s="352">
        <f>CL321-BD130</f>
        <v>1.0000001639127731E-2</v>
      </c>
    </row>
    <row r="318" spans="3:97" ht="13">
      <c r="C318" s="294"/>
      <c r="D318" s="294"/>
      <c r="E318" s="294"/>
      <c r="F318" s="294"/>
      <c r="N318" s="295"/>
      <c r="U318" s="295"/>
      <c r="AC318" s="188"/>
      <c r="AE318" s="188"/>
      <c r="AF318" s="188"/>
      <c r="AG318" s="188"/>
      <c r="AH318" s="188"/>
      <c r="AI318" s="299"/>
      <c r="CC318" s="371"/>
      <c r="CD318" s="372">
        <v>1</v>
      </c>
      <c r="CE318" s="372">
        <v>2</v>
      </c>
      <c r="CF318" s="372">
        <v>3</v>
      </c>
      <c r="CG318" s="372">
        <v>4</v>
      </c>
      <c r="CH318" s="372">
        <v>5</v>
      </c>
      <c r="CI318" s="372">
        <v>6</v>
      </c>
      <c r="CJ318" s="372">
        <v>7</v>
      </c>
      <c r="CK318" s="372">
        <v>8</v>
      </c>
      <c r="CL318" s="372">
        <v>9</v>
      </c>
      <c r="CM318" s="372">
        <v>10</v>
      </c>
      <c r="CN318" s="372">
        <v>11</v>
      </c>
      <c r="CO318" s="372">
        <v>12</v>
      </c>
      <c r="CP318" s="372">
        <v>13</v>
      </c>
      <c r="CQ318" s="372">
        <v>14</v>
      </c>
      <c r="CR318" s="372">
        <v>15</v>
      </c>
      <c r="CS318" s="373">
        <v>16</v>
      </c>
    </row>
    <row r="319" spans="3:97" ht="13">
      <c r="C319" s="294"/>
      <c r="D319" s="294"/>
      <c r="E319" s="294"/>
      <c r="F319" s="294"/>
      <c r="N319" s="295"/>
      <c r="U319" s="295"/>
      <c r="AC319" s="188"/>
      <c r="AE319" s="188"/>
      <c r="AF319" s="188"/>
      <c r="AG319" s="188"/>
      <c r="AH319" s="188"/>
      <c r="AI319" s="299"/>
      <c r="CC319" s="374"/>
      <c r="CF319" s="357">
        <v>45658</v>
      </c>
      <c r="CG319" s="357">
        <v>45689</v>
      </c>
      <c r="CH319" s="357">
        <v>45717</v>
      </c>
      <c r="CI319" s="357">
        <v>45748</v>
      </c>
      <c r="CJ319" s="357">
        <v>45778</v>
      </c>
      <c r="CK319" s="357">
        <v>45809</v>
      </c>
      <c r="CL319" s="357">
        <v>45839</v>
      </c>
      <c r="CM319" s="357">
        <v>45870</v>
      </c>
      <c r="CN319" s="357">
        <v>45901</v>
      </c>
      <c r="CO319" s="357">
        <v>45931</v>
      </c>
      <c r="CP319" s="357">
        <v>45962</v>
      </c>
      <c r="CQ319" s="357">
        <v>45992</v>
      </c>
      <c r="CR319" s="357"/>
      <c r="CS319" s="375"/>
    </row>
    <row r="320" spans="3:97" ht="13">
      <c r="C320" s="294"/>
      <c r="D320" s="294"/>
      <c r="E320" s="294"/>
      <c r="F320" s="294"/>
      <c r="N320" s="295"/>
      <c r="U320" s="295"/>
      <c r="AC320" s="188"/>
      <c r="AE320" s="188"/>
      <c r="AF320" s="188"/>
      <c r="AG320" s="188"/>
      <c r="AH320" s="188"/>
      <c r="AI320" s="299"/>
      <c r="CC320" s="374"/>
      <c r="CD320" s="376"/>
      <c r="CE320" s="377" t="s">
        <v>241</v>
      </c>
      <c r="CF320" s="360">
        <v>45658</v>
      </c>
      <c r="CG320" s="360">
        <v>45689</v>
      </c>
      <c r="CH320" s="360">
        <v>45717</v>
      </c>
      <c r="CI320" s="360">
        <v>45748</v>
      </c>
      <c r="CJ320" s="360">
        <v>45778</v>
      </c>
      <c r="CK320" s="360">
        <v>45809</v>
      </c>
      <c r="CL320" s="360">
        <v>45839</v>
      </c>
      <c r="CM320" s="360"/>
      <c r="CN320" s="360"/>
      <c r="CO320" s="360"/>
      <c r="CP320" s="360"/>
      <c r="CQ320" s="360"/>
      <c r="CR320" s="357"/>
      <c r="CS320" s="375"/>
    </row>
    <row r="321" spans="3:97" ht="13">
      <c r="C321" s="294"/>
      <c r="D321" s="294"/>
      <c r="E321" s="294"/>
      <c r="F321" s="294"/>
      <c r="N321" s="295"/>
      <c r="U321" s="295"/>
      <c r="AC321" s="188"/>
      <c r="AE321" s="188"/>
      <c r="AF321" s="188"/>
      <c r="AG321" s="188"/>
      <c r="AH321" s="188"/>
      <c r="AI321" s="299"/>
      <c r="CC321" s="374"/>
      <c r="CD321" s="359" t="s">
        <v>241</v>
      </c>
      <c r="CE321" s="361">
        <v>127655921.03</v>
      </c>
      <c r="CF321" s="361">
        <v>21369131.620000001</v>
      </c>
      <c r="CG321" s="361">
        <v>19838294.91</v>
      </c>
      <c r="CH321" s="361">
        <v>14088564.74</v>
      </c>
      <c r="CI321" s="361">
        <v>17618903.690000001</v>
      </c>
      <c r="CJ321" s="361">
        <v>17323005.190000001</v>
      </c>
      <c r="CK321" s="361">
        <v>21764606.59</v>
      </c>
      <c r="CL321" s="361">
        <v>15653414.300000001</v>
      </c>
      <c r="CM321" s="361"/>
      <c r="CN321" s="361"/>
      <c r="CO321" s="361"/>
      <c r="CP321" s="361"/>
      <c r="CQ321" s="361"/>
      <c r="CR321" s="361"/>
      <c r="CS321" s="378"/>
    </row>
    <row r="322" spans="3:97" ht="13">
      <c r="C322" s="294"/>
      <c r="D322" s="294"/>
      <c r="E322" s="294"/>
      <c r="F322" s="294"/>
      <c r="N322" s="295"/>
      <c r="U322" s="295"/>
      <c r="AC322" s="188"/>
      <c r="AE322" s="188"/>
      <c r="AF322" s="188"/>
      <c r="AG322" s="188"/>
      <c r="AH322" s="188"/>
      <c r="AI322" s="299"/>
      <c r="CC322" s="374">
        <v>1</v>
      </c>
      <c r="CD322" s="359" t="s">
        <v>1261</v>
      </c>
      <c r="CE322" s="361">
        <v>27345278.68</v>
      </c>
      <c r="CF322" s="361">
        <v>6533115.0999999996</v>
      </c>
      <c r="CG322" s="361">
        <v>3270662.7</v>
      </c>
      <c r="CH322" s="361">
        <v>3341713.31</v>
      </c>
      <c r="CI322" s="361">
        <v>4415291.58</v>
      </c>
      <c r="CJ322" s="361">
        <v>4112956.09</v>
      </c>
      <c r="CK322" s="361">
        <v>3213080.38</v>
      </c>
      <c r="CL322" s="361">
        <v>2458459.5299999998</v>
      </c>
      <c r="CM322" s="361"/>
      <c r="CN322" s="361"/>
      <c r="CO322" s="361"/>
      <c r="CP322" s="361"/>
      <c r="CQ322" s="361"/>
      <c r="CR322" s="361"/>
      <c r="CS322" s="378"/>
    </row>
    <row r="323" spans="3:97" ht="13">
      <c r="C323" s="294"/>
      <c r="D323" s="294"/>
      <c r="E323" s="294"/>
      <c r="F323" s="294"/>
      <c r="N323" s="295"/>
      <c r="U323" s="295"/>
      <c r="AC323" s="188"/>
      <c r="AE323" s="188"/>
      <c r="AF323" s="188"/>
      <c r="AG323" s="188"/>
      <c r="AH323" s="188"/>
      <c r="AI323" s="299"/>
      <c r="CC323" s="374">
        <v>2</v>
      </c>
      <c r="CD323" s="359" t="s">
        <v>1263</v>
      </c>
      <c r="CE323" s="361">
        <v>21004799.989999998</v>
      </c>
      <c r="CF323" s="361">
        <v>3661456.6</v>
      </c>
      <c r="CG323" s="361">
        <v>3592376.37</v>
      </c>
      <c r="CH323" s="361">
        <v>2747568.22</v>
      </c>
      <c r="CI323" s="361">
        <v>3185547.87</v>
      </c>
      <c r="CJ323" s="361">
        <v>1570322.61</v>
      </c>
      <c r="CK323" s="361">
        <v>3704238.85</v>
      </c>
      <c r="CL323" s="361">
        <v>2543289.4700000002</v>
      </c>
      <c r="CM323" s="361"/>
      <c r="CN323" s="361"/>
      <c r="CO323" s="361"/>
      <c r="CP323" s="361"/>
      <c r="CQ323" s="361"/>
      <c r="CR323" s="361"/>
      <c r="CS323" s="378"/>
    </row>
    <row r="324" spans="3:97" ht="13">
      <c r="C324" s="294"/>
      <c r="D324" s="294"/>
      <c r="E324" s="294"/>
      <c r="F324" s="294"/>
      <c r="N324" s="295"/>
      <c r="U324" s="295"/>
      <c r="AC324" s="188"/>
      <c r="AE324" s="188"/>
      <c r="AF324" s="188"/>
      <c r="AG324" s="188"/>
      <c r="AH324" s="188"/>
      <c r="AI324" s="299"/>
      <c r="CC324" s="374">
        <v>3</v>
      </c>
      <c r="CD324" s="359" t="s">
        <v>1329</v>
      </c>
      <c r="CE324" s="361">
        <v>19730185.07</v>
      </c>
      <c r="CF324" s="361">
        <v>3955675.48</v>
      </c>
      <c r="CG324" s="361">
        <v>3254255.8</v>
      </c>
      <c r="CH324" s="361">
        <v>1334513.49</v>
      </c>
      <c r="CI324" s="361">
        <v>4957931.16</v>
      </c>
      <c r="CJ324" s="361">
        <v>2219853.41</v>
      </c>
      <c r="CK324" s="361">
        <v>3747675.32</v>
      </c>
      <c r="CL324" s="361">
        <v>260280.44</v>
      </c>
      <c r="CM324" s="361"/>
      <c r="CN324" s="361"/>
      <c r="CO324" s="361"/>
      <c r="CP324" s="361"/>
      <c r="CQ324" s="361"/>
      <c r="CR324" s="361"/>
      <c r="CS324" s="378"/>
    </row>
    <row r="325" spans="3:97" ht="13">
      <c r="C325" s="294"/>
      <c r="D325" s="294"/>
      <c r="E325" s="294"/>
      <c r="F325" s="294"/>
      <c r="N325" s="295"/>
      <c r="U325" s="295"/>
      <c r="AC325" s="188"/>
      <c r="AE325" s="188"/>
      <c r="AF325" s="188"/>
      <c r="AG325" s="188"/>
      <c r="AH325" s="188"/>
      <c r="AI325" s="299"/>
      <c r="CC325" s="374">
        <v>4</v>
      </c>
      <c r="CD325" s="359" t="s">
        <v>1333</v>
      </c>
      <c r="CE325" s="361">
        <v>11437942.67</v>
      </c>
      <c r="CF325" s="361">
        <v>1656237.24</v>
      </c>
      <c r="CG325" s="361">
        <v>2940161.01</v>
      </c>
      <c r="CH325" s="361">
        <v>765220.17</v>
      </c>
      <c r="CI325" s="361">
        <v>1436807.63</v>
      </c>
      <c r="CJ325" s="361">
        <v>938602.71</v>
      </c>
      <c r="CK325" s="361">
        <v>2311775.17</v>
      </c>
      <c r="CL325" s="361">
        <v>1389138.74</v>
      </c>
      <c r="CM325" s="361"/>
      <c r="CN325" s="361"/>
      <c r="CO325" s="361"/>
      <c r="CP325" s="361"/>
      <c r="CQ325" s="361"/>
      <c r="CR325" s="361"/>
      <c r="CS325" s="378"/>
    </row>
    <row r="326" spans="3:97" ht="13">
      <c r="C326" s="294"/>
      <c r="D326" s="294"/>
      <c r="E326" s="294"/>
      <c r="F326" s="294"/>
      <c r="N326" s="295"/>
      <c r="U326" s="295"/>
      <c r="AC326" s="188"/>
      <c r="AE326" s="188"/>
      <c r="AF326" s="188"/>
      <c r="AG326" s="188"/>
      <c r="AH326" s="188"/>
      <c r="AI326" s="299"/>
      <c r="CC326" s="374">
        <v>5</v>
      </c>
      <c r="CD326" s="359" t="s">
        <v>1330</v>
      </c>
      <c r="CE326" s="361">
        <v>7588369.7599999998</v>
      </c>
      <c r="CF326" s="361">
        <v>0</v>
      </c>
      <c r="CG326" s="361">
        <v>0</v>
      </c>
      <c r="CH326" s="361">
        <v>0</v>
      </c>
      <c r="CI326" s="361">
        <v>142884.01</v>
      </c>
      <c r="CJ326" s="361">
        <v>2875756.39</v>
      </c>
      <c r="CK326" s="361">
        <v>1122155.42</v>
      </c>
      <c r="CL326" s="361">
        <v>3447573.94</v>
      </c>
      <c r="CM326" s="361"/>
      <c r="CN326" s="361"/>
      <c r="CO326" s="361"/>
      <c r="CP326" s="361"/>
      <c r="CQ326" s="361"/>
      <c r="CR326" s="361"/>
      <c r="CS326" s="378"/>
    </row>
    <row r="327" spans="3:97" ht="13">
      <c r="C327" s="294"/>
      <c r="D327" s="294"/>
      <c r="E327" s="294"/>
      <c r="F327" s="294"/>
      <c r="N327" s="295"/>
      <c r="U327" s="295"/>
      <c r="AC327" s="188"/>
      <c r="AE327" s="188"/>
      <c r="AF327" s="188"/>
      <c r="AG327" s="188"/>
      <c r="AH327" s="188"/>
      <c r="AI327" s="299"/>
      <c r="CC327" s="374">
        <v>6</v>
      </c>
      <c r="CD327" s="359" t="s">
        <v>1284</v>
      </c>
      <c r="CE327" s="361">
        <v>6058158.5099999998</v>
      </c>
      <c r="CF327" s="361">
        <v>794421.63</v>
      </c>
      <c r="CG327" s="361">
        <v>910033.48</v>
      </c>
      <c r="CH327" s="361">
        <v>2384971.9500000002</v>
      </c>
      <c r="CI327" s="361">
        <v>0</v>
      </c>
      <c r="CJ327" s="361">
        <v>0</v>
      </c>
      <c r="CK327" s="361">
        <v>1280697.71</v>
      </c>
      <c r="CL327" s="361">
        <v>688033.74</v>
      </c>
      <c r="CM327" s="361"/>
      <c r="CN327" s="361"/>
      <c r="CO327" s="361"/>
      <c r="CP327" s="361"/>
      <c r="CQ327" s="361"/>
      <c r="CR327" s="361"/>
      <c r="CS327" s="378"/>
    </row>
    <row r="328" spans="3:97" ht="13">
      <c r="C328" s="294"/>
      <c r="D328" s="294"/>
      <c r="E328" s="294"/>
      <c r="F328" s="294"/>
      <c r="N328" s="295"/>
      <c r="U328" s="295"/>
      <c r="AC328" s="188"/>
      <c r="AE328" s="188"/>
      <c r="AF328" s="188"/>
      <c r="AG328" s="188"/>
      <c r="AH328" s="188"/>
      <c r="AI328" s="299"/>
      <c r="CC328" s="374">
        <v>7</v>
      </c>
      <c r="CD328" s="359" t="s">
        <v>1273</v>
      </c>
      <c r="CE328" s="361">
        <v>3600296.66</v>
      </c>
      <c r="CF328" s="361">
        <v>0</v>
      </c>
      <c r="CG328" s="361">
        <v>0</v>
      </c>
      <c r="CH328" s="361">
        <v>0</v>
      </c>
      <c r="CI328" s="361">
        <v>0</v>
      </c>
      <c r="CJ328" s="361">
        <v>1886084.59</v>
      </c>
      <c r="CK328" s="361">
        <v>857304.06</v>
      </c>
      <c r="CL328" s="361">
        <v>856908.01</v>
      </c>
      <c r="CM328" s="361"/>
      <c r="CN328" s="361"/>
      <c r="CO328" s="361"/>
      <c r="CP328" s="361"/>
      <c r="CQ328" s="361"/>
      <c r="CR328" s="361"/>
      <c r="CS328" s="378"/>
    </row>
    <row r="329" spans="3:97" ht="13">
      <c r="C329" s="294"/>
      <c r="D329" s="294"/>
      <c r="E329" s="294"/>
      <c r="F329" s="294"/>
      <c r="N329" s="295"/>
      <c r="U329" s="295"/>
      <c r="AC329" s="188"/>
      <c r="AE329" s="188"/>
      <c r="AF329" s="188"/>
      <c r="AG329" s="188"/>
      <c r="AH329" s="188"/>
      <c r="AI329" s="299"/>
      <c r="CC329" s="374">
        <v>8</v>
      </c>
      <c r="CD329" s="359" t="s">
        <v>1262</v>
      </c>
      <c r="CE329" s="361">
        <v>2820590.33</v>
      </c>
      <c r="CF329" s="361">
        <v>245546.4</v>
      </c>
      <c r="CG329" s="361">
        <v>201691.8</v>
      </c>
      <c r="CH329" s="361">
        <v>704532.5</v>
      </c>
      <c r="CI329" s="361">
        <v>855161.41</v>
      </c>
      <c r="CJ329" s="361">
        <v>237289.12</v>
      </c>
      <c r="CK329" s="361">
        <v>305072.26</v>
      </c>
      <c r="CL329" s="361">
        <v>271296.84000000003</v>
      </c>
      <c r="CM329" s="361"/>
      <c r="CN329" s="361"/>
      <c r="CO329" s="361"/>
      <c r="CP329" s="361"/>
      <c r="CQ329" s="361"/>
      <c r="CR329" s="361"/>
      <c r="CS329" s="378"/>
    </row>
    <row r="330" spans="3:97" ht="13">
      <c r="C330" s="294"/>
      <c r="D330" s="294"/>
      <c r="E330" s="294"/>
      <c r="F330" s="294"/>
      <c r="N330" s="295"/>
      <c r="U330" s="295"/>
      <c r="AC330" s="188"/>
      <c r="AE330" s="188"/>
      <c r="AF330" s="188"/>
      <c r="AG330" s="188"/>
      <c r="AH330" s="188"/>
      <c r="AI330" s="299"/>
      <c r="CC330" s="374">
        <v>9</v>
      </c>
      <c r="CD330" s="359" t="s">
        <v>1334</v>
      </c>
      <c r="CE330" s="361">
        <v>2597094.5699999998</v>
      </c>
      <c r="CF330" s="361">
        <v>0</v>
      </c>
      <c r="CG330" s="361">
        <v>0</v>
      </c>
      <c r="CH330" s="361">
        <v>963835.47</v>
      </c>
      <c r="CI330" s="361">
        <v>0</v>
      </c>
      <c r="CJ330" s="361">
        <v>1208543.26</v>
      </c>
      <c r="CK330" s="361">
        <v>0</v>
      </c>
      <c r="CL330" s="361">
        <v>424715.84</v>
      </c>
      <c r="CM330" s="361"/>
      <c r="CN330" s="361"/>
      <c r="CO330" s="361"/>
      <c r="CP330" s="361"/>
      <c r="CQ330" s="361"/>
      <c r="CR330" s="361"/>
      <c r="CS330" s="378"/>
    </row>
    <row r="331" spans="3:97" ht="13">
      <c r="C331" s="294"/>
      <c r="D331" s="294"/>
      <c r="E331" s="294"/>
      <c r="F331" s="294"/>
      <c r="N331" s="295"/>
      <c r="U331" s="295"/>
      <c r="AC331" s="188"/>
      <c r="AE331" s="188"/>
      <c r="AF331" s="188"/>
      <c r="AG331" s="188"/>
      <c r="AH331" s="188"/>
      <c r="AI331" s="299"/>
      <c r="CC331" s="374">
        <v>10</v>
      </c>
      <c r="CD331" s="359" t="s">
        <v>1279</v>
      </c>
      <c r="CE331" s="361">
        <v>2398038.0299999998</v>
      </c>
      <c r="CF331" s="361">
        <v>814648.85</v>
      </c>
      <c r="CG331" s="361">
        <v>528185.54</v>
      </c>
      <c r="CH331" s="361">
        <v>271376.28000000003</v>
      </c>
      <c r="CI331" s="361">
        <v>0</v>
      </c>
      <c r="CJ331" s="361">
        <v>391913.68</v>
      </c>
      <c r="CK331" s="361">
        <v>195956.84</v>
      </c>
      <c r="CL331" s="361">
        <v>195956.84</v>
      </c>
      <c r="CM331" s="361"/>
      <c r="CN331" s="361"/>
      <c r="CO331" s="361"/>
      <c r="CP331" s="361"/>
      <c r="CQ331" s="361"/>
      <c r="CR331" s="361"/>
      <c r="CS331" s="378"/>
    </row>
    <row r="332" spans="3:97" ht="13">
      <c r="C332" s="294"/>
      <c r="D332" s="294"/>
      <c r="E332" s="294"/>
      <c r="F332" s="294"/>
      <c r="N332" s="295"/>
      <c r="U332" s="295"/>
      <c r="AC332" s="188"/>
      <c r="AE332" s="188"/>
      <c r="AF332" s="188"/>
      <c r="AG332" s="188"/>
      <c r="AH332" s="188"/>
      <c r="AI332" s="299"/>
      <c r="CC332" s="374">
        <v>11</v>
      </c>
      <c r="CD332" s="359" t="s">
        <v>1363</v>
      </c>
      <c r="CE332" s="361">
        <v>2208531.52</v>
      </c>
      <c r="CF332" s="361">
        <v>728485.13</v>
      </c>
      <c r="CG332" s="361">
        <v>454109.12</v>
      </c>
      <c r="CH332" s="361">
        <v>241551.07</v>
      </c>
      <c r="CI332" s="361">
        <v>298492.28000000003</v>
      </c>
      <c r="CJ332" s="361">
        <v>8027.35</v>
      </c>
      <c r="CK332" s="361">
        <v>477866.57</v>
      </c>
      <c r="CL332" s="361">
        <v>0</v>
      </c>
      <c r="CM332" s="361"/>
      <c r="CN332" s="361"/>
      <c r="CO332" s="361"/>
      <c r="CP332" s="361"/>
      <c r="CQ332" s="361"/>
      <c r="CR332" s="361"/>
      <c r="CS332" s="378"/>
    </row>
    <row r="333" spans="3:97" ht="13">
      <c r="C333" s="294"/>
      <c r="D333" s="294"/>
      <c r="E333" s="294"/>
      <c r="F333" s="294"/>
      <c r="N333" s="295"/>
      <c r="U333" s="295"/>
      <c r="AC333" s="188"/>
      <c r="AE333" s="188"/>
      <c r="AF333" s="188"/>
      <c r="AG333" s="188"/>
      <c r="AH333" s="188"/>
      <c r="AI333" s="299"/>
      <c r="CC333" s="374">
        <v>12</v>
      </c>
      <c r="CD333" s="359" t="s">
        <v>1281</v>
      </c>
      <c r="CE333" s="361">
        <v>2187466.44</v>
      </c>
      <c r="CF333" s="361">
        <v>0</v>
      </c>
      <c r="CG333" s="361">
        <v>0</v>
      </c>
      <c r="CH333" s="361">
        <v>0</v>
      </c>
      <c r="CI333" s="361">
        <v>0</v>
      </c>
      <c r="CJ333" s="361">
        <v>0</v>
      </c>
      <c r="CK333" s="361">
        <v>1610557</v>
      </c>
      <c r="CL333" s="361">
        <v>576909.43999999994</v>
      </c>
      <c r="CM333" s="361"/>
      <c r="CN333" s="361"/>
      <c r="CO333" s="361"/>
      <c r="CP333" s="361"/>
      <c r="CQ333" s="361"/>
      <c r="CR333" s="361"/>
      <c r="CS333" s="378"/>
    </row>
    <row r="334" spans="3:97" ht="13">
      <c r="C334" s="294"/>
      <c r="D334" s="294"/>
      <c r="E334" s="294"/>
      <c r="F334" s="294"/>
      <c r="N334" s="295"/>
      <c r="U334" s="295"/>
      <c r="AC334" s="188"/>
      <c r="AE334" s="188"/>
      <c r="AF334" s="188"/>
      <c r="AG334" s="188"/>
      <c r="AH334" s="188"/>
      <c r="AI334" s="299"/>
      <c r="CC334" s="374">
        <v>13</v>
      </c>
      <c r="CD334" s="359" t="s">
        <v>1265</v>
      </c>
      <c r="CE334" s="361">
        <v>2095889.07</v>
      </c>
      <c r="CF334" s="361">
        <v>647082.79</v>
      </c>
      <c r="CG334" s="361">
        <v>575171.73</v>
      </c>
      <c r="CH334" s="361">
        <v>361936.83</v>
      </c>
      <c r="CI334" s="361">
        <v>212943.67</v>
      </c>
      <c r="CJ334" s="361">
        <v>133977.32999999999</v>
      </c>
      <c r="CK334" s="361">
        <v>83737.899999999994</v>
      </c>
      <c r="CL334" s="361">
        <v>81038.820000000007</v>
      </c>
      <c r="CM334" s="361"/>
      <c r="CN334" s="361"/>
      <c r="CO334" s="361"/>
      <c r="CP334" s="361"/>
      <c r="CQ334" s="361"/>
      <c r="CR334" s="361"/>
      <c r="CS334" s="378"/>
    </row>
    <row r="335" spans="3:97" ht="13">
      <c r="C335" s="294"/>
      <c r="D335" s="294"/>
      <c r="E335" s="294"/>
      <c r="F335" s="294"/>
      <c r="N335" s="295"/>
      <c r="U335" s="295"/>
      <c r="AC335" s="188"/>
      <c r="AE335" s="188"/>
      <c r="AF335" s="188"/>
      <c r="AG335" s="188"/>
      <c r="AH335" s="188"/>
      <c r="AI335" s="299"/>
      <c r="CC335" s="374">
        <v>14</v>
      </c>
      <c r="CD335" s="359" t="s">
        <v>1277</v>
      </c>
      <c r="CE335" s="361">
        <v>1953586.85</v>
      </c>
      <c r="CF335" s="361">
        <v>507449.15</v>
      </c>
      <c r="CG335" s="361">
        <v>473424.85</v>
      </c>
      <c r="CH335" s="361">
        <v>18110.419999999998</v>
      </c>
      <c r="CI335" s="361">
        <v>130655.9</v>
      </c>
      <c r="CJ335" s="361">
        <v>0</v>
      </c>
      <c r="CK335" s="361">
        <v>400353.51</v>
      </c>
      <c r="CL335" s="361">
        <v>423593.02</v>
      </c>
      <c r="CM335" s="361"/>
      <c r="CN335" s="361"/>
      <c r="CO335" s="361"/>
      <c r="CP335" s="361"/>
      <c r="CQ335" s="361"/>
      <c r="CR335" s="361"/>
      <c r="CS335" s="378"/>
    </row>
    <row r="336" spans="3:97" ht="13">
      <c r="C336" s="294"/>
      <c r="D336" s="294"/>
      <c r="E336" s="294"/>
      <c r="F336" s="294"/>
      <c r="N336" s="295"/>
      <c r="U336" s="295"/>
      <c r="AC336" s="188"/>
      <c r="AE336" s="188"/>
      <c r="AF336" s="188"/>
      <c r="AG336" s="188"/>
      <c r="AH336" s="188"/>
      <c r="AI336" s="299"/>
      <c r="CC336" s="374">
        <v>15</v>
      </c>
      <c r="CD336" s="359" t="s">
        <v>1280</v>
      </c>
      <c r="CE336" s="361">
        <v>1635565.12</v>
      </c>
      <c r="CF336" s="361">
        <v>0</v>
      </c>
      <c r="CG336" s="361">
        <v>1635565.12</v>
      </c>
      <c r="CH336" s="352">
        <v>0</v>
      </c>
      <c r="CI336" s="361">
        <v>0</v>
      </c>
      <c r="CJ336" s="361">
        <v>0</v>
      </c>
      <c r="CK336" s="361">
        <v>0</v>
      </c>
      <c r="CL336" s="361">
        <v>0</v>
      </c>
      <c r="CM336" s="365"/>
      <c r="CN336" s="365"/>
      <c r="CO336" s="365"/>
      <c r="CP336" s="365"/>
      <c r="CQ336" s="365"/>
      <c r="CR336" s="365"/>
      <c r="CS336" s="379"/>
    </row>
    <row r="337" spans="3:97" ht="13">
      <c r="C337" s="294"/>
      <c r="D337" s="294"/>
      <c r="E337" s="294"/>
      <c r="F337" s="294"/>
      <c r="N337" s="295"/>
      <c r="U337" s="295"/>
      <c r="AC337" s="188"/>
      <c r="AE337" s="188"/>
      <c r="AF337" s="188"/>
      <c r="AG337" s="188"/>
      <c r="AH337" s="188"/>
      <c r="AI337" s="299"/>
      <c r="CC337" s="374">
        <v>16</v>
      </c>
      <c r="CD337" s="359" t="s">
        <v>1278</v>
      </c>
      <c r="CE337" s="361">
        <v>1392880.6399999999</v>
      </c>
      <c r="CF337" s="361">
        <v>0</v>
      </c>
      <c r="CG337" s="361">
        <v>0</v>
      </c>
      <c r="CH337" s="352">
        <v>86091.72</v>
      </c>
      <c r="CI337" s="361">
        <v>232287.98</v>
      </c>
      <c r="CJ337" s="361">
        <v>345589.66</v>
      </c>
      <c r="CK337" s="361">
        <v>333185.46000000002</v>
      </c>
      <c r="CL337" s="361">
        <v>395725.82</v>
      </c>
      <c r="CM337" s="361"/>
      <c r="CN337" s="361"/>
      <c r="CO337" s="361"/>
      <c r="CP337" s="361"/>
      <c r="CQ337" s="361"/>
      <c r="CR337" s="361"/>
      <c r="CS337" s="378"/>
    </row>
    <row r="338" spans="3:97" ht="13">
      <c r="C338" s="294"/>
      <c r="D338" s="294"/>
      <c r="E338" s="294"/>
      <c r="F338" s="294"/>
      <c r="N338" s="295"/>
      <c r="U338" s="295"/>
      <c r="AC338" s="188"/>
      <c r="AE338" s="188"/>
      <c r="AF338" s="188"/>
      <c r="AG338" s="188"/>
      <c r="AH338" s="188"/>
      <c r="AI338" s="299"/>
      <c r="CC338" s="374">
        <v>17</v>
      </c>
      <c r="CD338" s="325" t="s">
        <v>1557</v>
      </c>
      <c r="CE338" s="361">
        <v>1264515.25</v>
      </c>
      <c r="CF338" s="361">
        <v>195568.78</v>
      </c>
      <c r="CG338" s="361">
        <v>0</v>
      </c>
      <c r="CH338" s="361">
        <v>262918.53000000003</v>
      </c>
      <c r="CI338" s="361">
        <v>0</v>
      </c>
      <c r="CJ338" s="361">
        <v>242891.87</v>
      </c>
      <c r="CK338" s="361">
        <v>310325.99</v>
      </c>
      <c r="CL338" s="361">
        <v>252810.07</v>
      </c>
      <c r="CM338" s="361"/>
      <c r="CN338" s="361"/>
      <c r="CO338" s="361"/>
      <c r="CP338" s="361"/>
      <c r="CQ338" s="361"/>
      <c r="CR338" s="361"/>
      <c r="CS338" s="378"/>
    </row>
    <row r="339" spans="3:97" ht="13">
      <c r="C339" s="294"/>
      <c r="D339" s="294"/>
      <c r="E339" s="294"/>
      <c r="F339" s="294"/>
      <c r="N339" s="295"/>
      <c r="U339" s="295"/>
      <c r="AC339" s="188"/>
      <c r="AE339" s="188"/>
      <c r="AF339" s="188"/>
      <c r="AG339" s="188"/>
      <c r="AH339" s="188"/>
      <c r="AI339" s="299"/>
      <c r="CC339" s="374">
        <v>18</v>
      </c>
      <c r="CD339" s="359" t="s">
        <v>1331</v>
      </c>
      <c r="CE339" s="361">
        <v>1133565.07</v>
      </c>
      <c r="CF339" s="361">
        <v>233769.72</v>
      </c>
      <c r="CG339" s="361">
        <v>459953.73</v>
      </c>
      <c r="CH339" s="352">
        <v>0</v>
      </c>
      <c r="CI339" s="361">
        <v>439841.63</v>
      </c>
      <c r="CJ339" s="361">
        <v>0</v>
      </c>
      <c r="CK339" s="361">
        <v>0</v>
      </c>
      <c r="CL339" s="361">
        <v>0</v>
      </c>
      <c r="CM339" s="361"/>
      <c r="CN339" s="361"/>
      <c r="CO339" s="361"/>
      <c r="CP339" s="361"/>
      <c r="CQ339" s="361"/>
      <c r="CR339" s="361"/>
      <c r="CS339" s="378"/>
    </row>
    <row r="340" spans="3:97" ht="13">
      <c r="C340" s="294"/>
      <c r="D340" s="294"/>
      <c r="E340" s="294"/>
      <c r="F340" s="294"/>
      <c r="N340" s="295"/>
      <c r="U340" s="295"/>
      <c r="AC340" s="188"/>
      <c r="AE340" s="188"/>
      <c r="AF340" s="188"/>
      <c r="AG340" s="188"/>
      <c r="AH340" s="188"/>
      <c r="AI340" s="299"/>
      <c r="CC340" s="374">
        <v>19</v>
      </c>
      <c r="CD340" s="359" t="s">
        <v>1389</v>
      </c>
      <c r="CE340" s="361">
        <v>1037805.57</v>
      </c>
      <c r="CF340" s="361">
        <v>83587.53</v>
      </c>
      <c r="CG340" s="361">
        <v>197932.52</v>
      </c>
      <c r="CH340" s="361">
        <v>241551.07</v>
      </c>
      <c r="CI340" s="361">
        <v>133608.26999999999</v>
      </c>
      <c r="CJ340" s="361">
        <v>0</v>
      </c>
      <c r="CK340" s="361">
        <v>381126.17</v>
      </c>
      <c r="CL340" s="361">
        <v>0</v>
      </c>
      <c r="CM340" s="361"/>
      <c r="CN340" s="361"/>
      <c r="CO340" s="361"/>
      <c r="CP340" s="361"/>
      <c r="CQ340" s="361"/>
      <c r="CR340" s="361"/>
      <c r="CS340" s="378"/>
    </row>
    <row r="341" spans="3:97" ht="13">
      <c r="C341" s="294"/>
      <c r="D341" s="294"/>
      <c r="E341" s="294"/>
      <c r="F341" s="294"/>
      <c r="N341" s="295"/>
      <c r="U341" s="295"/>
      <c r="AC341" s="188"/>
      <c r="AE341" s="188"/>
      <c r="AF341" s="188"/>
      <c r="AG341" s="188"/>
      <c r="AH341" s="188"/>
      <c r="AI341" s="299"/>
      <c r="CC341" s="374">
        <v>20</v>
      </c>
      <c r="CD341" s="325" t="s">
        <v>1335</v>
      </c>
      <c r="CE341" s="361">
        <v>885209.06</v>
      </c>
      <c r="CF341" s="361">
        <v>69034.929999999993</v>
      </c>
      <c r="CG341" s="361">
        <v>60410.18</v>
      </c>
      <c r="CH341" s="361">
        <v>125188.71</v>
      </c>
      <c r="CI341" s="361">
        <v>200464.79</v>
      </c>
      <c r="CJ341" s="361">
        <v>102649.47</v>
      </c>
      <c r="CK341" s="361">
        <v>336212.85</v>
      </c>
      <c r="CL341" s="361">
        <v>-8751.8700000000008</v>
      </c>
      <c r="CM341" s="361"/>
      <c r="CN341" s="361"/>
      <c r="CO341" s="361"/>
      <c r="CP341" s="361"/>
      <c r="CQ341" s="361"/>
      <c r="CR341" s="361"/>
      <c r="CS341" s="378"/>
    </row>
    <row r="342" spans="3:97" ht="13">
      <c r="C342" s="294"/>
      <c r="D342" s="294"/>
      <c r="E342" s="294"/>
      <c r="F342" s="294"/>
      <c r="N342" s="295"/>
      <c r="U342" s="295"/>
      <c r="AC342" s="188"/>
      <c r="AE342" s="188"/>
      <c r="AF342" s="188"/>
      <c r="AG342" s="188"/>
      <c r="AH342" s="188"/>
      <c r="AI342" s="299"/>
      <c r="CC342" s="374">
        <v>21</v>
      </c>
      <c r="CD342" s="359" t="s">
        <v>1276</v>
      </c>
      <c r="CE342" s="361">
        <v>824929.41</v>
      </c>
      <c r="CF342" s="361">
        <v>436003.97</v>
      </c>
      <c r="CG342" s="361">
        <v>137262.01999999999</v>
      </c>
      <c r="CH342" s="361">
        <v>0</v>
      </c>
      <c r="CI342" s="361">
        <v>72327.13</v>
      </c>
      <c r="CJ342" s="361">
        <v>0</v>
      </c>
      <c r="CK342" s="361">
        <v>92458.72</v>
      </c>
      <c r="CL342" s="361">
        <v>86877.57</v>
      </c>
      <c r="CM342" s="361"/>
      <c r="CN342" s="361"/>
      <c r="CO342" s="361"/>
      <c r="CP342" s="361"/>
      <c r="CQ342" s="361"/>
      <c r="CR342" s="361"/>
      <c r="CS342" s="378"/>
    </row>
    <row r="343" spans="3:97" ht="13">
      <c r="C343" s="294"/>
      <c r="D343" s="294"/>
      <c r="E343" s="294"/>
      <c r="F343" s="294"/>
      <c r="N343" s="295"/>
      <c r="U343" s="295"/>
      <c r="AC343" s="188"/>
      <c r="AE343" s="188"/>
      <c r="AF343" s="188"/>
      <c r="AG343" s="188"/>
      <c r="AH343" s="188"/>
      <c r="AI343" s="299"/>
      <c r="CC343" s="374">
        <v>22</v>
      </c>
      <c r="CD343" s="359" t="s">
        <v>1554</v>
      </c>
      <c r="CE343" s="361">
        <v>745120.65</v>
      </c>
      <c r="CF343" s="361">
        <v>19800</v>
      </c>
      <c r="CG343" s="361">
        <v>200072.27</v>
      </c>
      <c r="CH343" s="361">
        <v>12776.84</v>
      </c>
      <c r="CI343" s="361">
        <v>169661.3</v>
      </c>
      <c r="CJ343" s="361">
        <v>311752.64</v>
      </c>
      <c r="CK343" s="361">
        <v>31057.599999999999</v>
      </c>
      <c r="CL343" s="361">
        <v>0</v>
      </c>
      <c r="CM343" s="361"/>
      <c r="CN343" s="361"/>
      <c r="CO343" s="361"/>
      <c r="CP343" s="361"/>
      <c r="CQ343" s="361"/>
      <c r="CR343" s="361"/>
      <c r="CS343" s="378"/>
    </row>
    <row r="344" spans="3:97" ht="13">
      <c r="C344" s="294"/>
      <c r="D344" s="294"/>
      <c r="E344" s="294"/>
      <c r="F344" s="294"/>
      <c r="N344" s="295"/>
      <c r="U344" s="295"/>
      <c r="AC344" s="188"/>
      <c r="AE344" s="188"/>
      <c r="AF344" s="188"/>
      <c r="AG344" s="188"/>
      <c r="AH344" s="188"/>
      <c r="AI344" s="299"/>
      <c r="CC344" s="374">
        <v>23</v>
      </c>
      <c r="CD344" s="359" t="s">
        <v>1345</v>
      </c>
      <c r="CE344" s="361">
        <v>572655.34</v>
      </c>
      <c r="CF344" s="361">
        <v>34971.32</v>
      </c>
      <c r="CG344" s="361">
        <v>69942.64</v>
      </c>
      <c r="CH344" s="361">
        <v>74838.62</v>
      </c>
      <c r="CI344" s="361">
        <v>39290.269999999997</v>
      </c>
      <c r="CJ344" s="361">
        <v>157161.1</v>
      </c>
      <c r="CK344" s="361">
        <v>117870.82</v>
      </c>
      <c r="CL344" s="361">
        <v>78580.55</v>
      </c>
      <c r="CM344" s="361"/>
      <c r="CN344" s="361"/>
      <c r="CO344" s="361"/>
      <c r="CP344" s="361"/>
      <c r="CQ344" s="361"/>
      <c r="CR344" s="361"/>
      <c r="CS344" s="378"/>
    </row>
    <row r="345" spans="3:97" ht="13">
      <c r="C345" s="294"/>
      <c r="D345" s="294"/>
      <c r="E345" s="294"/>
      <c r="F345" s="294"/>
      <c r="N345" s="295"/>
      <c r="U345" s="295"/>
      <c r="AC345" s="188"/>
      <c r="AE345" s="188"/>
      <c r="AF345" s="188"/>
      <c r="AG345" s="188"/>
      <c r="AH345" s="188"/>
      <c r="AI345" s="299"/>
      <c r="CC345" s="374">
        <v>24</v>
      </c>
      <c r="CD345" s="359" t="s">
        <v>1264</v>
      </c>
      <c r="CE345" s="361">
        <v>552689.61</v>
      </c>
      <c r="CF345" s="361">
        <v>0</v>
      </c>
      <c r="CG345" s="361">
        <v>0</v>
      </c>
      <c r="CH345" s="361">
        <v>0</v>
      </c>
      <c r="CI345" s="361">
        <v>0</v>
      </c>
      <c r="CJ345" s="361">
        <v>59098.58</v>
      </c>
      <c r="CK345" s="361">
        <v>0</v>
      </c>
      <c r="CL345" s="361">
        <v>493591.03999999998</v>
      </c>
      <c r="CM345" s="361"/>
      <c r="CN345" s="361"/>
      <c r="CO345" s="361"/>
      <c r="CP345" s="361"/>
      <c r="CQ345" s="361"/>
      <c r="CR345" s="361"/>
      <c r="CS345" s="378"/>
    </row>
    <row r="346" spans="3:97" ht="13">
      <c r="C346" s="294"/>
      <c r="D346" s="294"/>
      <c r="E346" s="294"/>
      <c r="F346" s="294"/>
      <c r="N346" s="295"/>
      <c r="U346" s="295"/>
      <c r="AC346" s="188"/>
      <c r="AE346" s="188"/>
      <c r="AF346" s="188"/>
      <c r="AG346" s="188"/>
      <c r="AH346" s="188"/>
      <c r="AI346" s="299"/>
      <c r="CC346" s="374">
        <v>25</v>
      </c>
      <c r="CD346" s="359" t="s">
        <v>1336</v>
      </c>
      <c r="CE346" s="361">
        <v>538370.88</v>
      </c>
      <c r="CF346" s="361">
        <v>0</v>
      </c>
      <c r="CG346" s="361">
        <v>149234.91</v>
      </c>
      <c r="CH346" s="361">
        <v>0</v>
      </c>
      <c r="CI346" s="361">
        <v>194577.57</v>
      </c>
      <c r="CJ346" s="361">
        <v>0</v>
      </c>
      <c r="CK346" s="361">
        <v>194558.4</v>
      </c>
      <c r="CL346" s="361">
        <v>0</v>
      </c>
      <c r="CM346" s="365"/>
      <c r="CN346" s="365"/>
      <c r="CO346" s="365"/>
      <c r="CP346" s="365"/>
      <c r="CQ346" s="365"/>
      <c r="CR346" s="365"/>
      <c r="CS346" s="379"/>
    </row>
    <row r="347" spans="3:97" ht="13">
      <c r="C347" s="294"/>
      <c r="D347" s="294"/>
      <c r="E347" s="294"/>
      <c r="F347" s="294"/>
      <c r="N347" s="295"/>
      <c r="U347" s="295"/>
      <c r="AC347" s="188"/>
      <c r="AE347" s="188"/>
      <c r="AF347" s="188"/>
      <c r="AG347" s="188"/>
      <c r="AH347" s="188"/>
      <c r="AI347" s="299"/>
      <c r="CC347" s="374">
        <v>26</v>
      </c>
      <c r="CD347" s="359" t="s">
        <v>1359</v>
      </c>
      <c r="CE347" s="361">
        <v>530174.25</v>
      </c>
      <c r="CF347" s="361">
        <v>0</v>
      </c>
      <c r="CG347" s="361">
        <v>170886.07</v>
      </c>
      <c r="CH347" s="361">
        <v>84830.65</v>
      </c>
      <c r="CI347" s="361">
        <v>139478.89000000001</v>
      </c>
      <c r="CJ347" s="361">
        <v>90442.55</v>
      </c>
      <c r="CK347" s="361">
        <v>0</v>
      </c>
      <c r="CL347" s="361">
        <v>44536.09</v>
      </c>
      <c r="CM347" s="361"/>
      <c r="CN347" s="361"/>
      <c r="CO347" s="361"/>
      <c r="CP347" s="361"/>
      <c r="CQ347" s="361"/>
      <c r="CR347" s="361"/>
      <c r="CS347" s="378"/>
    </row>
    <row r="348" spans="3:97" ht="13">
      <c r="C348" s="294"/>
      <c r="D348" s="294"/>
      <c r="E348" s="294"/>
      <c r="F348" s="294"/>
      <c r="N348" s="295"/>
      <c r="U348" s="295"/>
      <c r="AC348" s="188"/>
      <c r="AE348" s="188"/>
      <c r="AF348" s="188"/>
      <c r="AG348" s="188"/>
      <c r="AH348" s="188"/>
      <c r="AI348" s="299"/>
      <c r="CC348" s="374">
        <v>27</v>
      </c>
      <c r="CD348" s="359" t="s">
        <v>1269</v>
      </c>
      <c r="CE348" s="361">
        <v>516448.87</v>
      </c>
      <c r="CF348" s="361">
        <v>0</v>
      </c>
      <c r="CG348" s="361">
        <v>0</v>
      </c>
      <c r="CH348" s="361">
        <v>0</v>
      </c>
      <c r="CI348" s="361">
        <v>0</v>
      </c>
      <c r="CJ348" s="361">
        <v>0</v>
      </c>
      <c r="CK348" s="361">
        <v>351662.91</v>
      </c>
      <c r="CL348" s="361">
        <v>164785.96</v>
      </c>
      <c r="CM348" s="361"/>
      <c r="CN348" s="361"/>
      <c r="CO348" s="361"/>
      <c r="CP348" s="361"/>
      <c r="CQ348" s="361"/>
      <c r="CR348" s="361"/>
      <c r="CS348" s="378"/>
    </row>
    <row r="349" spans="3:97" ht="13">
      <c r="C349" s="294"/>
      <c r="D349" s="294"/>
      <c r="E349" s="294"/>
      <c r="F349" s="294"/>
      <c r="N349" s="295"/>
      <c r="U349" s="295"/>
      <c r="AC349" s="188"/>
      <c r="AE349" s="188"/>
      <c r="AF349" s="188"/>
      <c r="AG349" s="188"/>
      <c r="AH349" s="188"/>
      <c r="AI349" s="299"/>
      <c r="CC349" s="374">
        <v>28</v>
      </c>
      <c r="CD349" s="359" t="s">
        <v>1303</v>
      </c>
      <c r="CE349" s="361">
        <v>501222.65</v>
      </c>
      <c r="CF349" s="361">
        <v>123601.98</v>
      </c>
      <c r="CG349" s="361">
        <v>15486.88</v>
      </c>
      <c r="CH349" s="361">
        <v>0</v>
      </c>
      <c r="CI349" s="361">
        <v>48154.3</v>
      </c>
      <c r="CJ349" s="361">
        <v>177927.55</v>
      </c>
      <c r="CK349" s="361">
        <v>0</v>
      </c>
      <c r="CL349" s="361">
        <v>136051.94</v>
      </c>
      <c r="CM349" s="361"/>
      <c r="CN349" s="361"/>
      <c r="CO349" s="361"/>
      <c r="CP349" s="361"/>
      <c r="CQ349" s="361"/>
      <c r="CR349" s="361"/>
      <c r="CS349" s="378"/>
    </row>
    <row r="350" spans="3:97" ht="13">
      <c r="C350" s="294"/>
      <c r="D350" s="294"/>
      <c r="E350" s="294"/>
      <c r="F350" s="294"/>
      <c r="N350" s="295"/>
      <c r="U350" s="295"/>
      <c r="AC350" s="188"/>
      <c r="AE350" s="188"/>
      <c r="AF350" s="188"/>
      <c r="AG350" s="188"/>
      <c r="AH350" s="188"/>
      <c r="AI350" s="299"/>
      <c r="CC350" s="374">
        <v>29</v>
      </c>
      <c r="CD350" s="359" t="s">
        <v>1366</v>
      </c>
      <c r="CE350" s="361">
        <v>495859.06</v>
      </c>
      <c r="CF350" s="361">
        <v>210900.53</v>
      </c>
      <c r="CG350" s="361">
        <v>90857.16</v>
      </c>
      <c r="CH350" s="365">
        <v>0</v>
      </c>
      <c r="CI350" s="361">
        <v>42415.32</v>
      </c>
      <c r="CJ350" s="361">
        <v>50562.01</v>
      </c>
      <c r="CK350" s="365">
        <v>0</v>
      </c>
      <c r="CL350" s="361">
        <v>101124.03</v>
      </c>
      <c r="CM350" s="365"/>
      <c r="CN350" s="365"/>
      <c r="CO350" s="365"/>
      <c r="CP350" s="365"/>
      <c r="CQ350" s="365"/>
      <c r="CR350" s="365"/>
      <c r="CS350" s="379"/>
    </row>
    <row r="351" spans="3:97" ht="13">
      <c r="C351" s="294"/>
      <c r="D351" s="294"/>
      <c r="E351" s="294"/>
      <c r="F351" s="294"/>
      <c r="N351" s="295"/>
      <c r="U351" s="295"/>
      <c r="AC351" s="188"/>
      <c r="AE351" s="188"/>
      <c r="AF351" s="188"/>
      <c r="AG351" s="188"/>
      <c r="AH351" s="188"/>
      <c r="AI351" s="299"/>
      <c r="CC351" s="374">
        <v>30</v>
      </c>
      <c r="CD351" s="359" t="s">
        <v>1285</v>
      </c>
      <c r="CE351" s="361">
        <v>490899.59</v>
      </c>
      <c r="CF351" s="361">
        <v>150640.01999999999</v>
      </c>
      <c r="CG351" s="361">
        <v>179609.08</v>
      </c>
      <c r="CH351" s="361">
        <v>39485.21</v>
      </c>
      <c r="CI351" s="361">
        <v>90459.5</v>
      </c>
      <c r="CJ351" s="361">
        <v>0</v>
      </c>
      <c r="CK351" s="361">
        <v>30705.78</v>
      </c>
      <c r="CL351" s="361">
        <v>0</v>
      </c>
      <c r="CM351" s="361"/>
      <c r="CN351" s="361"/>
      <c r="CO351" s="361"/>
      <c r="CP351" s="361"/>
      <c r="CQ351" s="361"/>
      <c r="CR351" s="361"/>
      <c r="CS351" s="378"/>
    </row>
    <row r="352" spans="3:97" ht="13">
      <c r="C352" s="294"/>
      <c r="D352" s="294"/>
      <c r="E352" s="294"/>
      <c r="F352" s="294"/>
      <c r="N352" s="295"/>
      <c r="U352" s="295"/>
      <c r="AC352" s="188"/>
      <c r="AE352" s="188"/>
      <c r="AF352" s="188"/>
      <c r="AG352" s="188"/>
      <c r="AH352" s="188"/>
      <c r="AI352" s="299"/>
      <c r="CC352" s="374">
        <v>31</v>
      </c>
      <c r="CD352" s="359" t="s">
        <v>1320</v>
      </c>
      <c r="CE352" s="361">
        <v>336576.16</v>
      </c>
      <c r="CF352" s="361">
        <v>0</v>
      </c>
      <c r="CG352" s="361">
        <v>0</v>
      </c>
      <c r="CH352" s="361">
        <v>0</v>
      </c>
      <c r="CI352" s="361">
        <v>0</v>
      </c>
      <c r="CJ352" s="361">
        <v>0</v>
      </c>
      <c r="CK352" s="361">
        <v>243913.3</v>
      </c>
      <c r="CL352" s="361">
        <v>92662.86</v>
      </c>
      <c r="CM352" s="361"/>
      <c r="CN352" s="361"/>
      <c r="CO352" s="361"/>
      <c r="CP352" s="361"/>
      <c r="CQ352" s="361"/>
      <c r="CR352" s="361"/>
      <c r="CS352" s="378"/>
    </row>
    <row r="353" spans="3:97" ht="13">
      <c r="C353" s="294"/>
      <c r="D353" s="294"/>
      <c r="E353" s="294"/>
      <c r="F353" s="294"/>
      <c r="N353" s="295"/>
      <c r="U353" s="295"/>
      <c r="AC353" s="188"/>
      <c r="AE353" s="188"/>
      <c r="AF353" s="188"/>
      <c r="AG353" s="188"/>
      <c r="AH353" s="188"/>
      <c r="AI353" s="299"/>
      <c r="CC353" s="374">
        <v>32</v>
      </c>
      <c r="CD353" s="359" t="s">
        <v>1325</v>
      </c>
      <c r="CE353" s="361">
        <v>208086.43</v>
      </c>
      <c r="CF353" s="361">
        <v>0</v>
      </c>
      <c r="CG353" s="361">
        <v>64085.75</v>
      </c>
      <c r="CH353" s="361">
        <v>0</v>
      </c>
      <c r="CI353" s="361">
        <v>0</v>
      </c>
      <c r="CJ353" s="361">
        <v>144000.68</v>
      </c>
      <c r="CK353" s="361">
        <v>0</v>
      </c>
      <c r="CL353" s="361">
        <v>0</v>
      </c>
      <c r="CM353" s="361"/>
      <c r="CN353" s="361"/>
      <c r="CO353" s="361"/>
      <c r="CP353" s="361"/>
      <c r="CQ353" s="361"/>
      <c r="CR353" s="361"/>
      <c r="CS353" s="378"/>
    </row>
    <row r="354" spans="3:97" ht="13">
      <c r="C354" s="294"/>
      <c r="D354" s="294"/>
      <c r="E354" s="294"/>
      <c r="F354" s="294"/>
      <c r="N354" s="295"/>
      <c r="U354" s="295"/>
      <c r="AC354" s="188"/>
      <c r="AE354" s="188"/>
      <c r="AF354" s="188"/>
      <c r="AG354" s="188"/>
      <c r="AH354" s="188"/>
      <c r="AI354" s="299"/>
      <c r="CC354" s="374">
        <v>33</v>
      </c>
      <c r="CD354" s="359" t="s">
        <v>1275</v>
      </c>
      <c r="CE354" s="361">
        <v>187253</v>
      </c>
      <c r="CF354" s="361">
        <v>90013.119999999995</v>
      </c>
      <c r="CG354" s="361">
        <v>81642.259999999995</v>
      </c>
      <c r="CH354" s="365">
        <v>0</v>
      </c>
      <c r="CI354" s="361">
        <v>15597.62</v>
      </c>
      <c r="CJ354" s="361">
        <v>0</v>
      </c>
      <c r="CK354" s="365">
        <v>0</v>
      </c>
      <c r="CL354" s="361">
        <v>0</v>
      </c>
      <c r="CM354" s="365"/>
      <c r="CN354" s="365"/>
      <c r="CO354" s="365"/>
      <c r="CP354" s="365"/>
      <c r="CQ354" s="365"/>
      <c r="CR354" s="365"/>
      <c r="CS354" s="379"/>
    </row>
    <row r="355" spans="3:97" ht="13">
      <c r="C355" s="294"/>
      <c r="D355" s="294"/>
      <c r="E355" s="294"/>
      <c r="F355" s="294"/>
      <c r="N355" s="295"/>
      <c r="U355" s="295"/>
      <c r="AC355" s="188"/>
      <c r="AE355" s="188"/>
      <c r="AF355" s="188"/>
      <c r="AG355" s="188"/>
      <c r="AH355" s="188"/>
      <c r="AI355" s="299"/>
      <c r="CC355" s="374">
        <v>34</v>
      </c>
      <c r="CD355" s="359" t="s">
        <v>1348</v>
      </c>
      <c r="CE355" s="361">
        <v>185599.62</v>
      </c>
      <c r="CF355" s="361">
        <v>0</v>
      </c>
      <c r="CG355" s="361">
        <v>0</v>
      </c>
      <c r="CH355" s="361">
        <v>0</v>
      </c>
      <c r="CI355" s="361">
        <v>0</v>
      </c>
      <c r="CJ355" s="361">
        <v>0</v>
      </c>
      <c r="CK355" s="361">
        <v>0</v>
      </c>
      <c r="CL355" s="361">
        <v>185599.62</v>
      </c>
      <c r="CM355" s="361"/>
      <c r="CN355" s="361"/>
      <c r="CO355" s="361"/>
      <c r="CP355" s="361"/>
      <c r="CQ355" s="361"/>
      <c r="CR355" s="361"/>
      <c r="CS355" s="378"/>
    </row>
    <row r="356" spans="3:97" ht="13">
      <c r="C356" s="294"/>
      <c r="D356" s="294"/>
      <c r="E356" s="294"/>
      <c r="F356" s="294"/>
      <c r="N356" s="295"/>
      <c r="U356" s="295"/>
      <c r="AC356" s="188"/>
      <c r="AE356" s="188"/>
      <c r="AF356" s="188"/>
      <c r="AG356" s="188"/>
      <c r="AH356" s="188"/>
      <c r="AI356" s="299"/>
      <c r="CC356" s="374">
        <v>35</v>
      </c>
      <c r="CD356" s="359" t="s">
        <v>1272</v>
      </c>
      <c r="CE356" s="361">
        <v>150399.41</v>
      </c>
      <c r="CF356" s="361">
        <v>25435.52</v>
      </c>
      <c r="CG356" s="361">
        <v>87242.2</v>
      </c>
      <c r="CH356" s="361">
        <v>0</v>
      </c>
      <c r="CI356" s="361">
        <v>37721.69</v>
      </c>
      <c r="CJ356" s="361">
        <v>0</v>
      </c>
      <c r="CK356" s="361">
        <v>0</v>
      </c>
      <c r="CL356" s="361">
        <v>0</v>
      </c>
      <c r="CM356" s="361"/>
      <c r="CN356" s="361"/>
      <c r="CO356" s="361"/>
      <c r="CP356" s="361"/>
      <c r="CQ356" s="361"/>
      <c r="CR356" s="361"/>
      <c r="CS356" s="378"/>
    </row>
    <row r="357" spans="3:97" ht="13">
      <c r="C357" s="294"/>
      <c r="D357" s="294"/>
      <c r="E357" s="294"/>
      <c r="F357" s="294"/>
      <c r="N357" s="295"/>
      <c r="U357" s="295"/>
      <c r="AC357" s="188"/>
      <c r="AE357" s="188"/>
      <c r="AF357" s="188"/>
      <c r="AG357" s="188"/>
      <c r="AH357" s="188"/>
      <c r="AI357" s="299"/>
      <c r="CC357" s="374">
        <v>36</v>
      </c>
      <c r="CD357" s="359" t="s">
        <v>1296</v>
      </c>
      <c r="CE357" s="361">
        <v>145116.17000000001</v>
      </c>
      <c r="CF357" s="361">
        <v>26771.09</v>
      </c>
      <c r="CG357" s="361">
        <v>12486.03</v>
      </c>
      <c r="CH357" s="361">
        <v>0</v>
      </c>
      <c r="CI357" s="361">
        <v>74801.440000000002</v>
      </c>
      <c r="CJ357" s="361">
        <v>0</v>
      </c>
      <c r="CK357" s="361">
        <v>31057.599999999999</v>
      </c>
      <c r="CL357" s="361">
        <v>0</v>
      </c>
      <c r="CM357" s="361"/>
      <c r="CN357" s="361"/>
      <c r="CO357" s="361"/>
      <c r="CP357" s="361"/>
      <c r="CQ357" s="361"/>
      <c r="CR357" s="361"/>
      <c r="CS357" s="378"/>
    </row>
    <row r="358" spans="3:97" ht="13">
      <c r="C358" s="294"/>
      <c r="D358" s="294"/>
      <c r="E358" s="294"/>
      <c r="F358" s="294"/>
      <c r="N358" s="295"/>
      <c r="U358" s="295"/>
      <c r="AC358" s="188"/>
      <c r="AE358" s="188"/>
      <c r="AF358" s="188"/>
      <c r="AG358" s="188"/>
      <c r="AH358" s="188"/>
      <c r="AI358" s="299"/>
      <c r="CC358" s="374">
        <v>37</v>
      </c>
      <c r="CD358" s="359" t="s">
        <v>1304</v>
      </c>
      <c r="CE358" s="361">
        <v>98726.33</v>
      </c>
      <c r="CF358" s="361">
        <v>98726.33</v>
      </c>
      <c r="CG358" s="361">
        <v>0</v>
      </c>
      <c r="CH358" s="361">
        <v>0</v>
      </c>
      <c r="CI358" s="361">
        <v>0</v>
      </c>
      <c r="CJ358" s="361">
        <v>0</v>
      </c>
      <c r="CK358" s="361">
        <v>0</v>
      </c>
      <c r="CL358" s="361">
        <v>0</v>
      </c>
      <c r="CM358" s="361"/>
      <c r="CN358" s="361"/>
      <c r="CO358" s="361"/>
      <c r="CP358" s="361"/>
      <c r="CQ358" s="361"/>
      <c r="CR358" s="361"/>
      <c r="CS358" s="378"/>
    </row>
    <row r="359" spans="3:97" ht="13">
      <c r="C359" s="294"/>
      <c r="D359" s="294"/>
      <c r="E359" s="294"/>
      <c r="F359" s="294"/>
      <c r="N359" s="295"/>
      <c r="U359" s="295"/>
      <c r="AC359" s="188"/>
      <c r="AE359" s="188"/>
      <c r="AF359" s="188"/>
      <c r="AG359" s="188"/>
      <c r="AH359" s="188"/>
      <c r="AI359" s="299"/>
      <c r="CC359" s="374">
        <v>38</v>
      </c>
      <c r="CD359" s="359" t="s">
        <v>1287</v>
      </c>
      <c r="CE359" s="361">
        <v>68008.479999999996</v>
      </c>
      <c r="CF359" s="361">
        <v>6600</v>
      </c>
      <c r="CG359" s="361">
        <v>9582.6299999999992</v>
      </c>
      <c r="CH359" s="361">
        <v>0</v>
      </c>
      <c r="CI359" s="361">
        <v>25280.9</v>
      </c>
      <c r="CJ359" s="361">
        <v>26544.95</v>
      </c>
      <c r="CK359" s="361">
        <v>0</v>
      </c>
      <c r="CL359" s="361">
        <v>0</v>
      </c>
      <c r="CM359" s="361"/>
      <c r="CN359" s="361"/>
      <c r="CO359" s="361"/>
      <c r="CP359" s="361"/>
      <c r="CQ359" s="361"/>
      <c r="CR359" s="361"/>
      <c r="CS359" s="378"/>
    </row>
    <row r="360" spans="3:97" ht="13">
      <c r="C360" s="294"/>
      <c r="D360" s="294"/>
      <c r="E360" s="294"/>
      <c r="F360" s="294"/>
      <c r="N360" s="295"/>
      <c r="U360" s="295"/>
      <c r="AC360" s="188"/>
      <c r="AE360" s="188"/>
      <c r="AF360" s="188"/>
      <c r="AG360" s="188"/>
      <c r="AH360" s="188"/>
      <c r="AI360" s="299"/>
      <c r="CC360" s="374">
        <v>39</v>
      </c>
      <c r="CD360" s="359" t="s">
        <v>1370</v>
      </c>
      <c r="CE360" s="361">
        <v>47913.15</v>
      </c>
      <c r="CF360" s="361">
        <v>6388.42</v>
      </c>
      <c r="CG360" s="361">
        <v>15971.05</v>
      </c>
      <c r="CH360" s="361">
        <v>25553.68</v>
      </c>
      <c r="CI360" s="361">
        <v>0</v>
      </c>
      <c r="CJ360" s="361">
        <v>0</v>
      </c>
      <c r="CK360" s="361">
        <v>0</v>
      </c>
      <c r="CL360" s="361">
        <v>0</v>
      </c>
      <c r="CM360" s="361"/>
      <c r="CN360" s="361"/>
      <c r="CO360" s="361"/>
      <c r="CP360" s="361"/>
      <c r="CQ360" s="361"/>
      <c r="CR360" s="361"/>
      <c r="CS360" s="378"/>
    </row>
    <row r="361" spans="3:97" ht="13">
      <c r="C361" s="294"/>
      <c r="D361" s="294"/>
      <c r="E361" s="294"/>
      <c r="F361" s="294"/>
      <c r="N361" s="295"/>
      <c r="U361" s="295"/>
      <c r="AC361" s="188"/>
      <c r="AE361" s="188"/>
      <c r="AF361" s="188"/>
      <c r="AG361" s="188"/>
      <c r="AH361" s="188"/>
      <c r="AI361" s="299"/>
      <c r="CC361" s="374">
        <v>40</v>
      </c>
      <c r="CD361" s="359" t="s">
        <v>1319</v>
      </c>
      <c r="CE361" s="361">
        <v>31057.599999999999</v>
      </c>
      <c r="CF361" s="361">
        <v>0</v>
      </c>
      <c r="CG361" s="361">
        <v>0</v>
      </c>
      <c r="CH361" s="361">
        <v>0</v>
      </c>
      <c r="CI361" s="361">
        <v>0</v>
      </c>
      <c r="CJ361" s="361">
        <v>31057.599999999999</v>
      </c>
      <c r="CK361" s="361">
        <v>0</v>
      </c>
      <c r="CL361" s="361">
        <v>0</v>
      </c>
      <c r="CM361" s="361"/>
      <c r="CN361" s="361"/>
      <c r="CO361" s="361"/>
      <c r="CP361" s="361"/>
      <c r="CQ361" s="361"/>
      <c r="CR361" s="361"/>
      <c r="CS361" s="378"/>
    </row>
    <row r="362" spans="3:97" ht="13">
      <c r="C362" s="294"/>
      <c r="D362" s="294"/>
      <c r="E362" s="294"/>
      <c r="F362" s="294"/>
      <c r="N362" s="295"/>
      <c r="U362" s="295"/>
      <c r="AC362" s="188"/>
      <c r="AE362" s="188"/>
      <c r="AF362" s="188"/>
      <c r="AG362" s="188"/>
      <c r="AH362" s="188"/>
      <c r="AI362" s="299"/>
      <c r="CC362" s="374">
        <v>41</v>
      </c>
      <c r="CD362" s="359" t="s">
        <v>1341</v>
      </c>
      <c r="CE362" s="361">
        <v>27219.56</v>
      </c>
      <c r="CF362" s="361">
        <v>0</v>
      </c>
      <c r="CG362" s="361">
        <v>0</v>
      </c>
      <c r="CH362" s="361">
        <v>0</v>
      </c>
      <c r="CI362" s="361">
        <v>27219.56</v>
      </c>
      <c r="CJ362" s="361">
        <v>0</v>
      </c>
      <c r="CK362" s="361">
        <v>0</v>
      </c>
      <c r="CL362" s="361">
        <v>0</v>
      </c>
      <c r="CM362" s="361"/>
      <c r="CN362" s="361"/>
      <c r="CO362" s="361"/>
      <c r="CP362" s="361"/>
      <c r="CQ362" s="361"/>
      <c r="CR362" s="361"/>
      <c r="CS362" s="378"/>
    </row>
    <row r="363" spans="3:97" ht="13">
      <c r="C363" s="294"/>
      <c r="D363" s="294"/>
      <c r="E363" s="294"/>
      <c r="F363" s="294"/>
      <c r="N363" s="295"/>
      <c r="U363" s="295"/>
      <c r="AC363" s="188"/>
      <c r="AE363" s="188"/>
      <c r="AF363" s="188"/>
      <c r="AG363" s="188"/>
      <c r="AH363" s="188"/>
      <c r="AI363" s="299"/>
      <c r="CC363" s="374">
        <v>42</v>
      </c>
      <c r="CD363" s="359" t="s">
        <v>1338</v>
      </c>
      <c r="CE363" s="361">
        <v>12625.94</v>
      </c>
      <c r="CF363" s="361">
        <v>0</v>
      </c>
      <c r="CG363" s="361">
        <v>0</v>
      </c>
      <c r="CH363" s="361">
        <v>0</v>
      </c>
      <c r="CI363" s="361">
        <v>0</v>
      </c>
      <c r="CJ363" s="361">
        <v>0</v>
      </c>
      <c r="CK363" s="361">
        <v>0</v>
      </c>
      <c r="CL363" s="361">
        <v>12625.94</v>
      </c>
      <c r="CM363" s="361"/>
      <c r="CN363" s="361"/>
      <c r="CO363" s="361"/>
      <c r="CP363" s="361"/>
      <c r="CQ363" s="361"/>
      <c r="CR363" s="361"/>
      <c r="CS363" s="378"/>
    </row>
    <row r="364" spans="3:97" ht="13">
      <c r="C364" s="294"/>
      <c r="D364" s="294"/>
      <c r="E364" s="294"/>
      <c r="F364" s="294"/>
      <c r="N364" s="295"/>
      <c r="U364" s="295"/>
      <c r="AC364" s="188"/>
      <c r="AE364" s="188"/>
      <c r="AF364" s="188"/>
      <c r="AG364" s="188"/>
      <c r="AH364" s="188"/>
      <c r="AI364" s="299"/>
      <c r="CC364" s="374">
        <v>43</v>
      </c>
      <c r="CD364" s="359" t="s">
        <v>1288</v>
      </c>
      <c r="CE364" s="361">
        <v>6600</v>
      </c>
      <c r="CF364" s="361">
        <v>6600</v>
      </c>
      <c r="CG364" s="361">
        <v>0</v>
      </c>
      <c r="CH364" s="365">
        <v>0</v>
      </c>
      <c r="CI364" s="361">
        <v>0</v>
      </c>
      <c r="CJ364" s="365">
        <v>0</v>
      </c>
      <c r="CK364" s="365">
        <v>0</v>
      </c>
      <c r="CL364" s="361">
        <v>0</v>
      </c>
      <c r="CM364" s="365"/>
      <c r="CN364" s="365"/>
      <c r="CO364" s="365"/>
      <c r="CP364" s="365"/>
      <c r="CQ364" s="365"/>
      <c r="CR364" s="365"/>
      <c r="CS364" s="379"/>
    </row>
    <row r="365" spans="3:97" ht="13">
      <c r="C365" s="294"/>
      <c r="D365" s="294"/>
      <c r="E365" s="294"/>
      <c r="F365" s="294"/>
      <c r="N365" s="295"/>
      <c r="U365" s="295"/>
      <c r="AC365" s="188"/>
      <c r="AE365" s="188"/>
      <c r="AF365" s="188"/>
      <c r="AG365" s="188"/>
      <c r="AH365" s="188"/>
      <c r="AI365" s="299"/>
      <c r="CC365" s="374">
        <v>44</v>
      </c>
      <c r="CD365" s="359" t="s">
        <v>1301</v>
      </c>
      <c r="CE365" s="361">
        <v>6600</v>
      </c>
      <c r="CF365" s="361">
        <v>6600</v>
      </c>
      <c r="CG365" s="361">
        <v>0</v>
      </c>
      <c r="CH365" s="361">
        <v>0</v>
      </c>
      <c r="CI365" s="361">
        <v>0</v>
      </c>
      <c r="CJ365" s="361">
        <v>0</v>
      </c>
      <c r="CK365" s="361">
        <v>0</v>
      </c>
      <c r="CL365" s="361">
        <v>0</v>
      </c>
      <c r="CM365" s="361"/>
      <c r="CN365" s="361"/>
      <c r="CO365" s="361"/>
      <c r="CP365" s="361"/>
      <c r="CQ365" s="361"/>
      <c r="CR365" s="361"/>
      <c r="CS365" s="378"/>
    </row>
    <row r="366" spans="3:97" ht="13">
      <c r="C366" s="294"/>
      <c r="D366" s="294"/>
      <c r="E366" s="294"/>
      <c r="F366" s="294"/>
      <c r="N366" s="295"/>
      <c r="U366" s="295"/>
      <c r="AC366" s="188"/>
      <c r="AE366" s="188"/>
      <c r="AF366" s="188"/>
      <c r="AG366" s="188"/>
      <c r="AH366" s="188"/>
      <c r="AI366" s="299"/>
      <c r="CC366" s="374">
        <v>45</v>
      </c>
      <c r="CD366" s="359" t="s">
        <v>1301</v>
      </c>
      <c r="CE366" s="361">
        <v>6600</v>
      </c>
      <c r="CF366" s="361">
        <v>6600</v>
      </c>
      <c r="CG366" s="361">
        <v>0</v>
      </c>
      <c r="CH366" s="365">
        <v>0</v>
      </c>
      <c r="CI366" s="365">
        <v>0</v>
      </c>
      <c r="CJ366" s="365">
        <v>0</v>
      </c>
      <c r="CK366" s="365">
        <v>0</v>
      </c>
      <c r="CL366" s="365">
        <v>0</v>
      </c>
      <c r="CM366" s="365"/>
      <c r="CN366" s="365"/>
      <c r="CO366" s="365"/>
      <c r="CP366" s="365"/>
      <c r="CQ366" s="365"/>
      <c r="CR366" s="365"/>
      <c r="CS366" s="379"/>
    </row>
    <row r="367" spans="3:97" ht="13">
      <c r="C367" s="294"/>
      <c r="D367" s="294"/>
      <c r="E367" s="294"/>
      <c r="F367" s="294"/>
      <c r="N367" s="295"/>
      <c r="U367" s="295"/>
      <c r="AC367" s="188"/>
      <c r="AE367" s="188"/>
      <c r="AF367" s="188"/>
      <c r="AG367" s="188"/>
      <c r="AH367" s="188"/>
      <c r="AI367" s="299"/>
      <c r="CC367" s="374">
        <v>46</v>
      </c>
      <c r="CD367" s="359"/>
      <c r="CE367" s="361"/>
      <c r="CF367" s="361"/>
      <c r="CG367" s="361"/>
      <c r="CH367" s="361"/>
      <c r="CI367" s="361"/>
      <c r="CJ367" s="361"/>
      <c r="CK367" s="361"/>
      <c r="CL367" s="361"/>
      <c r="CM367" s="361"/>
      <c r="CN367" s="361"/>
      <c r="CO367" s="361"/>
      <c r="CP367" s="361"/>
      <c r="CQ367" s="361"/>
      <c r="CR367" s="361"/>
      <c r="CS367" s="378"/>
    </row>
    <row r="368" spans="3:97" ht="13">
      <c r="C368" s="294"/>
      <c r="D368" s="294"/>
      <c r="E368" s="294"/>
      <c r="F368" s="294"/>
      <c r="N368" s="295"/>
      <c r="U368" s="295"/>
      <c r="AC368" s="188"/>
      <c r="AE368" s="188"/>
      <c r="AF368" s="188"/>
      <c r="AG368" s="188"/>
      <c r="AH368" s="188"/>
      <c r="AI368" s="299"/>
      <c r="CC368" s="374">
        <v>47</v>
      </c>
      <c r="CD368" s="359"/>
      <c r="CE368" s="361"/>
      <c r="CF368" s="361"/>
      <c r="CG368" s="361"/>
      <c r="CH368" s="361"/>
      <c r="CI368" s="361"/>
      <c r="CJ368" s="361"/>
      <c r="CK368" s="361"/>
      <c r="CL368" s="361"/>
      <c r="CM368" s="361"/>
      <c r="CN368" s="361"/>
      <c r="CO368" s="361"/>
      <c r="CP368" s="361"/>
      <c r="CQ368" s="361"/>
      <c r="CR368" s="361"/>
      <c r="CS368" s="378"/>
    </row>
    <row r="369" spans="3:97" ht="13">
      <c r="C369" s="294"/>
      <c r="D369" s="294"/>
      <c r="E369" s="294"/>
      <c r="F369" s="294"/>
      <c r="N369" s="295"/>
      <c r="U369" s="295"/>
      <c r="AC369" s="188"/>
      <c r="AE369" s="188"/>
      <c r="AF369" s="188"/>
      <c r="AG369" s="188"/>
      <c r="AH369" s="188"/>
      <c r="AI369" s="299"/>
      <c r="CC369" s="374">
        <v>48</v>
      </c>
      <c r="CD369" s="359"/>
      <c r="CE369" s="361"/>
      <c r="CF369" s="361"/>
      <c r="CG369" s="361"/>
      <c r="CH369" s="361"/>
      <c r="CI369" s="361"/>
      <c r="CJ369" s="361"/>
      <c r="CK369" s="361"/>
      <c r="CL369" s="361"/>
      <c r="CM369" s="361"/>
      <c r="CN369" s="361"/>
      <c r="CO369" s="361"/>
      <c r="CP369" s="361"/>
      <c r="CQ369" s="361"/>
      <c r="CR369" s="361"/>
      <c r="CS369" s="378"/>
    </row>
    <row r="370" spans="3:97" ht="13">
      <c r="C370" s="294"/>
      <c r="D370" s="294"/>
      <c r="E370" s="294"/>
      <c r="F370" s="294"/>
      <c r="N370" s="295"/>
      <c r="U370" s="295"/>
      <c r="AC370" s="188"/>
      <c r="AE370" s="188"/>
      <c r="AF370" s="188"/>
      <c r="AG370" s="188"/>
      <c r="AH370" s="188"/>
      <c r="AI370" s="299"/>
      <c r="CC370" s="374">
        <v>49</v>
      </c>
      <c r="CD370" s="359"/>
      <c r="CE370" s="361"/>
      <c r="CF370" s="361"/>
      <c r="CG370" s="361"/>
      <c r="CH370" s="361"/>
      <c r="CI370" s="361"/>
      <c r="CJ370" s="361"/>
      <c r="CK370" s="361"/>
      <c r="CL370" s="361"/>
      <c r="CM370" s="361"/>
      <c r="CN370" s="361"/>
      <c r="CO370" s="361"/>
      <c r="CP370" s="361"/>
      <c r="CQ370" s="361"/>
      <c r="CR370" s="361"/>
      <c r="CS370" s="378"/>
    </row>
    <row r="371" spans="3:97" ht="13">
      <c r="C371" s="294"/>
      <c r="D371" s="294"/>
      <c r="E371" s="294"/>
      <c r="F371" s="294"/>
      <c r="N371" s="295"/>
      <c r="U371" s="295"/>
      <c r="AC371" s="188"/>
      <c r="AE371" s="188"/>
      <c r="AF371" s="188"/>
      <c r="AG371" s="188"/>
      <c r="AH371" s="188"/>
      <c r="AI371" s="299"/>
      <c r="CC371" s="374">
        <v>50</v>
      </c>
      <c r="CD371" s="359"/>
      <c r="CE371" s="361"/>
      <c r="CF371" s="361"/>
      <c r="CG371" s="361"/>
      <c r="CH371" s="361"/>
      <c r="CI371" s="361"/>
      <c r="CJ371" s="361"/>
      <c r="CK371" s="361"/>
      <c r="CL371" s="361"/>
      <c r="CM371" s="361"/>
      <c r="CN371" s="361"/>
      <c r="CO371" s="361"/>
      <c r="CP371" s="361"/>
      <c r="CQ371" s="361"/>
      <c r="CR371" s="361"/>
      <c r="CS371" s="378"/>
    </row>
    <row r="372" spans="3:97" ht="13">
      <c r="C372" s="294"/>
      <c r="D372" s="294"/>
      <c r="E372" s="294"/>
      <c r="F372" s="294"/>
      <c r="N372" s="295"/>
      <c r="U372" s="295"/>
      <c r="AC372" s="188"/>
      <c r="AE372" s="188"/>
      <c r="AF372" s="188"/>
      <c r="AG372" s="188"/>
      <c r="AH372" s="188"/>
      <c r="AI372" s="299"/>
      <c r="CC372" s="374">
        <v>51</v>
      </c>
      <c r="CD372" s="359"/>
      <c r="CE372" s="361"/>
      <c r="CF372" s="361"/>
      <c r="CG372" s="361"/>
      <c r="CH372" s="365"/>
      <c r="CI372" s="365"/>
      <c r="CJ372" s="365"/>
      <c r="CK372" s="365"/>
      <c r="CL372" s="365"/>
      <c r="CM372" s="365"/>
      <c r="CN372" s="365"/>
      <c r="CO372" s="365"/>
      <c r="CP372" s="365"/>
      <c r="CQ372" s="365"/>
      <c r="CR372" s="365"/>
      <c r="CS372" s="379"/>
    </row>
    <row r="373" spans="3:97" ht="13">
      <c r="C373" s="294"/>
      <c r="D373" s="294"/>
      <c r="E373" s="294"/>
      <c r="F373" s="294"/>
      <c r="N373" s="295"/>
      <c r="U373" s="295"/>
      <c r="AC373" s="188"/>
      <c r="AE373" s="188"/>
      <c r="AF373" s="188"/>
      <c r="AG373" s="188"/>
      <c r="AH373" s="188"/>
      <c r="AI373" s="299"/>
      <c r="CC373" s="374">
        <v>52</v>
      </c>
      <c r="CD373" s="359"/>
      <c r="CE373" s="361"/>
      <c r="CF373" s="361"/>
      <c r="CG373" s="361"/>
      <c r="CH373" s="361"/>
      <c r="CI373" s="361"/>
      <c r="CJ373" s="361"/>
      <c r="CK373" s="361"/>
      <c r="CL373" s="361"/>
      <c r="CM373" s="361"/>
      <c r="CN373" s="361"/>
      <c r="CO373" s="361"/>
      <c r="CP373" s="361"/>
      <c r="CQ373" s="361"/>
      <c r="CR373" s="361"/>
      <c r="CS373" s="378"/>
    </row>
    <row r="374" spans="3:97" ht="13">
      <c r="C374" s="294"/>
      <c r="D374" s="294"/>
      <c r="E374" s="294"/>
      <c r="F374" s="294"/>
      <c r="N374" s="295"/>
      <c r="U374" s="295"/>
      <c r="AC374" s="188"/>
      <c r="AE374" s="188"/>
      <c r="AF374" s="188"/>
      <c r="AG374" s="188"/>
      <c r="AH374" s="188"/>
      <c r="AI374" s="299"/>
      <c r="CC374" s="374">
        <v>53</v>
      </c>
      <c r="CD374" s="359"/>
      <c r="CE374" s="361"/>
      <c r="CF374" s="361"/>
      <c r="CG374" s="361"/>
      <c r="CH374" s="361"/>
      <c r="CI374" s="361"/>
      <c r="CJ374" s="361"/>
      <c r="CK374" s="361"/>
      <c r="CL374" s="361"/>
      <c r="CM374" s="361"/>
      <c r="CN374" s="361"/>
      <c r="CO374" s="361"/>
      <c r="CP374" s="361"/>
      <c r="CQ374" s="361"/>
      <c r="CR374" s="361"/>
      <c r="CS374" s="378"/>
    </row>
    <row r="375" spans="3:97" ht="13">
      <c r="C375" s="294"/>
      <c r="D375" s="294"/>
      <c r="E375" s="294"/>
      <c r="F375" s="294"/>
      <c r="N375" s="295"/>
      <c r="U375" s="295"/>
      <c r="AC375" s="188"/>
      <c r="AE375" s="188"/>
      <c r="AF375" s="188"/>
      <c r="AG375" s="188"/>
      <c r="AH375" s="188"/>
      <c r="AI375" s="299"/>
      <c r="CC375" s="374">
        <v>54</v>
      </c>
      <c r="CD375" s="359"/>
      <c r="CE375" s="361"/>
      <c r="CF375" s="361"/>
      <c r="CG375" s="361"/>
      <c r="CH375" s="361"/>
      <c r="CI375" s="361"/>
      <c r="CJ375" s="361"/>
      <c r="CK375" s="361"/>
      <c r="CL375" s="361"/>
      <c r="CM375" s="361"/>
      <c r="CN375" s="361"/>
      <c r="CO375" s="361"/>
      <c r="CP375" s="361"/>
      <c r="CQ375" s="361"/>
      <c r="CR375" s="361"/>
      <c r="CS375" s="378"/>
    </row>
    <row r="376" spans="3:97" ht="13">
      <c r="C376" s="294"/>
      <c r="D376" s="294"/>
      <c r="E376" s="294"/>
      <c r="F376" s="294"/>
      <c r="N376" s="295"/>
      <c r="U376" s="295"/>
      <c r="AC376" s="188"/>
      <c r="AE376" s="188"/>
      <c r="AF376" s="188"/>
      <c r="AG376" s="188"/>
      <c r="AH376" s="188"/>
      <c r="AI376" s="299"/>
      <c r="CC376" s="374">
        <v>55</v>
      </c>
      <c r="CD376" s="359"/>
      <c r="CE376" s="361"/>
      <c r="CF376" s="361"/>
      <c r="CG376" s="361"/>
      <c r="CH376" s="365"/>
      <c r="CI376" s="365"/>
      <c r="CJ376" s="365"/>
      <c r="CK376" s="365"/>
      <c r="CL376" s="365"/>
      <c r="CM376" s="365"/>
      <c r="CN376" s="365"/>
      <c r="CO376" s="365"/>
      <c r="CP376" s="365"/>
      <c r="CQ376" s="365"/>
      <c r="CR376" s="365"/>
      <c r="CS376" s="379"/>
    </row>
    <row r="377" spans="3:97" ht="13">
      <c r="C377" s="294"/>
      <c r="D377" s="294"/>
      <c r="E377" s="294"/>
      <c r="F377" s="294"/>
      <c r="N377" s="295"/>
      <c r="U377" s="295"/>
      <c r="AC377" s="188"/>
      <c r="AE377" s="188"/>
      <c r="AF377" s="188"/>
      <c r="AG377" s="188"/>
      <c r="AH377" s="188"/>
      <c r="AI377" s="299"/>
      <c r="CC377" s="374">
        <v>56</v>
      </c>
      <c r="CD377" s="359"/>
      <c r="CE377" s="361"/>
      <c r="CF377" s="361"/>
      <c r="CG377" s="361"/>
      <c r="CH377" s="365"/>
      <c r="CI377" s="365"/>
      <c r="CJ377" s="365"/>
      <c r="CK377" s="365"/>
      <c r="CL377" s="365"/>
      <c r="CM377" s="365"/>
      <c r="CN377" s="365"/>
      <c r="CO377" s="365"/>
      <c r="CP377" s="365"/>
      <c r="CQ377" s="365"/>
      <c r="CR377" s="365"/>
      <c r="CS377" s="379"/>
    </row>
    <row r="378" spans="3:97" ht="13">
      <c r="C378" s="294"/>
      <c r="D378" s="294"/>
      <c r="E378" s="294"/>
      <c r="F378" s="294"/>
      <c r="N378" s="295"/>
      <c r="U378" s="295"/>
      <c r="AC378" s="188"/>
      <c r="AE378" s="188"/>
      <c r="AF378" s="188"/>
      <c r="AG378" s="188"/>
      <c r="AH378" s="188"/>
      <c r="AI378" s="299"/>
      <c r="CC378" s="374">
        <v>57</v>
      </c>
      <c r="CD378" s="359"/>
      <c r="CE378" s="361"/>
      <c r="CF378" s="361"/>
      <c r="CG378" s="361"/>
      <c r="CH378" s="361"/>
      <c r="CI378" s="361"/>
      <c r="CJ378" s="361"/>
      <c r="CK378" s="361"/>
      <c r="CL378" s="361"/>
      <c r="CM378" s="361"/>
      <c r="CN378" s="361"/>
      <c r="CO378" s="361"/>
      <c r="CP378" s="361"/>
      <c r="CQ378" s="361"/>
      <c r="CR378" s="361"/>
      <c r="CS378" s="378"/>
    </row>
    <row r="379" spans="3:97" ht="13">
      <c r="C379" s="294"/>
      <c r="D379" s="294"/>
      <c r="E379" s="294"/>
      <c r="F379" s="294"/>
      <c r="N379" s="295"/>
      <c r="U379" s="295"/>
      <c r="AC379" s="188"/>
      <c r="AE379" s="188"/>
      <c r="AF379" s="188"/>
      <c r="AG379" s="188"/>
      <c r="AH379" s="188"/>
      <c r="AI379" s="299"/>
      <c r="CC379" s="374">
        <v>58</v>
      </c>
      <c r="CD379" s="359"/>
      <c r="CE379" s="361"/>
      <c r="CF379" s="361"/>
      <c r="CG379" s="361"/>
      <c r="CH379" s="361"/>
      <c r="CI379" s="361"/>
      <c r="CJ379" s="361"/>
      <c r="CK379" s="361"/>
      <c r="CL379" s="361"/>
      <c r="CM379" s="361"/>
      <c r="CN379" s="361"/>
      <c r="CO379" s="361"/>
      <c r="CP379" s="361"/>
      <c r="CQ379" s="361"/>
      <c r="CR379" s="361"/>
      <c r="CS379" s="378"/>
    </row>
    <row r="380" spans="3:97" ht="13">
      <c r="C380" s="294"/>
      <c r="D380" s="294"/>
      <c r="E380" s="294"/>
      <c r="F380" s="294"/>
      <c r="N380" s="295"/>
      <c r="U380" s="295"/>
      <c r="AC380" s="188"/>
      <c r="AE380" s="188"/>
      <c r="AF380" s="188"/>
      <c r="AG380" s="188"/>
      <c r="AH380" s="188"/>
      <c r="AI380" s="299"/>
      <c r="CC380" s="374">
        <v>59</v>
      </c>
      <c r="CD380" s="359"/>
      <c r="CE380" s="361"/>
      <c r="CF380" s="361"/>
      <c r="CG380" s="361"/>
      <c r="CH380" s="361"/>
      <c r="CI380" s="361"/>
      <c r="CJ380" s="361"/>
      <c r="CK380" s="361"/>
      <c r="CL380" s="361"/>
      <c r="CM380" s="361"/>
      <c r="CN380" s="361"/>
      <c r="CO380" s="361"/>
      <c r="CP380" s="361"/>
      <c r="CQ380" s="361"/>
      <c r="CR380" s="361"/>
      <c r="CS380" s="378"/>
    </row>
    <row r="381" spans="3:97" ht="13">
      <c r="C381" s="294"/>
      <c r="D381" s="294"/>
      <c r="E381" s="294"/>
      <c r="F381" s="294"/>
      <c r="N381" s="295"/>
      <c r="U381" s="295"/>
      <c r="AC381" s="188"/>
      <c r="AE381" s="188"/>
      <c r="AF381" s="188"/>
      <c r="AG381" s="188"/>
      <c r="AH381" s="188"/>
      <c r="AI381" s="299"/>
      <c r="CC381" s="374">
        <v>60</v>
      </c>
      <c r="CD381" s="359"/>
      <c r="CE381" s="361"/>
      <c r="CF381" s="361"/>
      <c r="CG381" s="361"/>
      <c r="CH381" s="361"/>
      <c r="CI381" s="361"/>
      <c r="CJ381" s="361"/>
      <c r="CK381" s="361"/>
      <c r="CL381" s="361"/>
      <c r="CM381" s="361"/>
      <c r="CN381" s="361"/>
      <c r="CO381" s="361"/>
      <c r="CP381" s="361"/>
      <c r="CQ381" s="361"/>
      <c r="CR381" s="361"/>
      <c r="CS381" s="378"/>
    </row>
    <row r="382" spans="3:97" ht="13">
      <c r="C382" s="294"/>
      <c r="D382" s="294"/>
      <c r="E382" s="294"/>
      <c r="F382" s="294"/>
      <c r="N382" s="295"/>
      <c r="U382" s="295"/>
      <c r="AC382" s="188"/>
      <c r="AE382" s="188"/>
      <c r="AF382" s="188"/>
      <c r="AG382" s="188"/>
      <c r="AH382" s="188"/>
      <c r="AI382" s="299"/>
      <c r="CC382" s="374">
        <v>61</v>
      </c>
      <c r="CD382" s="359"/>
      <c r="CE382" s="361"/>
      <c r="CF382" s="361"/>
      <c r="CG382" s="361"/>
      <c r="CH382" s="361"/>
      <c r="CI382" s="361"/>
      <c r="CJ382" s="361"/>
      <c r="CK382" s="361"/>
      <c r="CL382" s="361"/>
      <c r="CM382" s="361"/>
      <c r="CN382" s="361"/>
      <c r="CO382" s="361"/>
      <c r="CP382" s="361"/>
      <c r="CQ382" s="361"/>
      <c r="CR382" s="361"/>
      <c r="CS382" s="378"/>
    </row>
    <row r="383" spans="3:97" ht="13">
      <c r="C383" s="294"/>
      <c r="D383" s="294"/>
      <c r="E383" s="294"/>
      <c r="F383" s="294"/>
      <c r="N383" s="295"/>
      <c r="U383" s="295"/>
      <c r="AC383" s="188"/>
      <c r="AE383" s="188"/>
      <c r="AF383" s="188"/>
      <c r="AG383" s="188"/>
      <c r="AH383" s="188"/>
      <c r="AI383" s="299"/>
      <c r="CC383" s="374">
        <v>62</v>
      </c>
      <c r="CD383" s="359"/>
      <c r="CE383" s="361"/>
      <c r="CF383" s="361"/>
      <c r="CG383" s="361"/>
      <c r="CH383" s="361"/>
      <c r="CI383" s="361"/>
      <c r="CJ383" s="361"/>
      <c r="CK383" s="361"/>
      <c r="CL383" s="361"/>
      <c r="CM383" s="361"/>
      <c r="CN383" s="361"/>
      <c r="CO383" s="361"/>
      <c r="CP383" s="361"/>
      <c r="CQ383" s="361"/>
      <c r="CR383" s="361"/>
      <c r="CS383" s="378"/>
    </row>
    <row r="384" spans="3:97" ht="13">
      <c r="C384" s="294"/>
      <c r="D384" s="294"/>
      <c r="E384" s="294"/>
      <c r="F384" s="294"/>
      <c r="N384" s="295"/>
      <c r="U384" s="295"/>
      <c r="AC384" s="188"/>
      <c r="AE384" s="188"/>
      <c r="AF384" s="188"/>
      <c r="AG384" s="188"/>
      <c r="AH384" s="188"/>
      <c r="AI384" s="299"/>
      <c r="CC384" s="374">
        <v>63</v>
      </c>
      <c r="CD384" s="359"/>
      <c r="CE384" s="361"/>
      <c r="CF384" s="361"/>
      <c r="CG384" s="361"/>
      <c r="CH384" s="361"/>
      <c r="CI384" s="361"/>
      <c r="CJ384" s="361"/>
      <c r="CK384" s="361"/>
      <c r="CL384" s="361"/>
      <c r="CM384" s="361"/>
      <c r="CN384" s="361"/>
      <c r="CO384" s="361"/>
      <c r="CP384" s="361"/>
      <c r="CQ384" s="361"/>
      <c r="CR384" s="361"/>
      <c r="CS384" s="378"/>
    </row>
    <row r="385" spans="3:97" ht="13">
      <c r="C385" s="294"/>
      <c r="D385" s="294"/>
      <c r="E385" s="294"/>
      <c r="F385" s="294"/>
      <c r="N385" s="295"/>
      <c r="U385" s="295"/>
      <c r="AC385" s="188"/>
      <c r="AE385" s="188"/>
      <c r="AF385" s="188"/>
      <c r="AG385" s="188"/>
      <c r="AH385" s="188"/>
      <c r="AI385" s="299"/>
      <c r="CC385" s="374">
        <v>64</v>
      </c>
      <c r="CD385" s="359"/>
      <c r="CE385" s="361"/>
      <c r="CF385" s="361"/>
      <c r="CG385" s="365"/>
      <c r="CH385" s="365"/>
      <c r="CI385" s="365"/>
      <c r="CJ385" s="365"/>
      <c r="CK385" s="365"/>
      <c r="CL385" s="365"/>
      <c r="CM385" s="365"/>
      <c r="CN385" s="365"/>
      <c r="CO385" s="365"/>
      <c r="CP385" s="365"/>
      <c r="CQ385" s="365"/>
      <c r="CR385" s="365"/>
      <c r="CS385" s="379"/>
    </row>
    <row r="386" spans="3:97" ht="13">
      <c r="C386" s="294"/>
      <c r="D386" s="294"/>
      <c r="E386" s="294"/>
      <c r="F386" s="294"/>
      <c r="N386" s="295"/>
      <c r="U386" s="295"/>
      <c r="AC386" s="188"/>
      <c r="AE386" s="188"/>
      <c r="AF386" s="188"/>
      <c r="AG386" s="188"/>
      <c r="AH386" s="188"/>
      <c r="AI386" s="299"/>
      <c r="CC386" s="374">
        <v>65</v>
      </c>
      <c r="CD386" s="359"/>
      <c r="CE386" s="361"/>
      <c r="CF386" s="361"/>
      <c r="CG386" s="361"/>
      <c r="CH386" s="361"/>
      <c r="CI386" s="361"/>
      <c r="CJ386" s="361"/>
      <c r="CK386" s="361"/>
      <c r="CL386" s="361"/>
      <c r="CM386" s="361"/>
      <c r="CN386" s="361"/>
      <c r="CO386" s="361"/>
      <c r="CP386" s="361"/>
      <c r="CQ386" s="361"/>
      <c r="CR386" s="361"/>
      <c r="CS386" s="378"/>
    </row>
    <row r="387" spans="3:97" ht="13">
      <c r="C387" s="294"/>
      <c r="D387" s="294"/>
      <c r="E387" s="294"/>
      <c r="F387" s="294"/>
      <c r="N387" s="295"/>
      <c r="U387" s="295"/>
      <c r="AC387" s="188"/>
      <c r="AE387" s="188"/>
      <c r="AF387" s="188"/>
      <c r="AG387" s="188"/>
      <c r="AH387" s="188"/>
      <c r="AI387" s="299"/>
      <c r="CC387" s="374">
        <v>66</v>
      </c>
      <c r="CD387" s="359"/>
      <c r="CE387" s="361"/>
      <c r="CF387" s="361"/>
      <c r="CG387" s="361"/>
      <c r="CH387" s="361"/>
      <c r="CI387" s="361"/>
      <c r="CJ387" s="361"/>
      <c r="CK387" s="361"/>
      <c r="CL387" s="361"/>
      <c r="CM387" s="361"/>
      <c r="CN387" s="361"/>
      <c r="CO387" s="361"/>
      <c r="CP387" s="361"/>
      <c r="CQ387" s="361"/>
      <c r="CR387" s="361"/>
      <c r="CS387" s="378"/>
    </row>
    <row r="388" spans="3:97" ht="13">
      <c r="C388" s="294"/>
      <c r="D388" s="294"/>
      <c r="E388" s="294"/>
      <c r="F388" s="294"/>
      <c r="N388" s="295"/>
      <c r="U388" s="295"/>
      <c r="AC388" s="188"/>
      <c r="AE388" s="188"/>
      <c r="AF388" s="188"/>
      <c r="AG388" s="188"/>
      <c r="AH388" s="188"/>
      <c r="AI388" s="299"/>
      <c r="CC388" s="374">
        <v>67</v>
      </c>
      <c r="CD388" s="359"/>
      <c r="CE388" s="361"/>
      <c r="CF388" s="361"/>
      <c r="CG388" s="361"/>
      <c r="CH388" s="361"/>
      <c r="CI388" s="361"/>
      <c r="CJ388" s="361"/>
      <c r="CK388" s="361"/>
      <c r="CL388" s="361"/>
      <c r="CM388" s="361"/>
      <c r="CN388" s="361"/>
      <c r="CO388" s="361"/>
      <c r="CP388" s="361"/>
      <c r="CQ388" s="361"/>
      <c r="CR388" s="361"/>
      <c r="CS388" s="378"/>
    </row>
    <row r="389" spans="3:97" ht="13">
      <c r="C389" s="294"/>
      <c r="D389" s="294"/>
      <c r="E389" s="294"/>
      <c r="F389" s="294"/>
      <c r="N389" s="295"/>
      <c r="U389" s="295"/>
      <c r="AC389" s="188"/>
      <c r="AE389" s="188"/>
      <c r="AF389" s="188"/>
      <c r="AG389" s="188"/>
      <c r="AH389" s="188"/>
      <c r="AI389" s="299"/>
      <c r="CC389" s="374">
        <v>68</v>
      </c>
      <c r="CD389" s="359"/>
      <c r="CE389" s="361"/>
      <c r="CF389" s="361"/>
      <c r="CG389" s="361"/>
      <c r="CH389" s="365"/>
      <c r="CI389" s="365"/>
      <c r="CJ389" s="365"/>
      <c r="CK389" s="365"/>
      <c r="CL389" s="365"/>
      <c r="CM389" s="365"/>
      <c r="CN389" s="365"/>
      <c r="CO389" s="365"/>
      <c r="CP389" s="365"/>
      <c r="CQ389" s="365"/>
      <c r="CR389" s="365"/>
      <c r="CS389" s="379"/>
    </row>
    <row r="390" spans="3:97" ht="13">
      <c r="C390" s="294"/>
      <c r="D390" s="294"/>
      <c r="E390" s="294"/>
      <c r="F390" s="294"/>
      <c r="N390" s="295"/>
      <c r="U390" s="295"/>
      <c r="AC390" s="188"/>
      <c r="AE390" s="188"/>
      <c r="AF390" s="188"/>
      <c r="AG390" s="188"/>
      <c r="AH390" s="188"/>
      <c r="AI390" s="299"/>
      <c r="CC390" s="374">
        <v>69</v>
      </c>
      <c r="CD390" s="359"/>
      <c r="CE390" s="361"/>
      <c r="CF390" s="361"/>
      <c r="CG390" s="361"/>
      <c r="CH390" s="361"/>
      <c r="CI390" s="361"/>
      <c r="CJ390" s="361"/>
      <c r="CK390" s="361"/>
      <c r="CL390" s="361"/>
      <c r="CM390" s="361"/>
      <c r="CN390" s="361"/>
      <c r="CO390" s="361"/>
      <c r="CP390" s="361"/>
      <c r="CQ390" s="361"/>
      <c r="CR390" s="361"/>
      <c r="CS390" s="378"/>
    </row>
    <row r="391" spans="3:97" ht="13">
      <c r="C391" s="294"/>
      <c r="D391" s="294"/>
      <c r="E391" s="294"/>
      <c r="F391" s="294"/>
      <c r="N391" s="295"/>
      <c r="U391" s="295"/>
      <c r="AC391" s="188"/>
      <c r="AE391" s="188"/>
      <c r="AF391" s="188"/>
      <c r="AG391" s="188"/>
      <c r="AH391" s="188"/>
      <c r="AI391" s="299"/>
      <c r="CC391" s="374">
        <v>70</v>
      </c>
      <c r="CD391" s="359"/>
      <c r="CE391" s="361"/>
      <c r="CF391" s="361"/>
      <c r="CG391" s="361"/>
      <c r="CH391" s="361"/>
      <c r="CI391" s="361"/>
      <c r="CJ391" s="361"/>
      <c r="CK391" s="361"/>
      <c r="CL391" s="361"/>
      <c r="CM391" s="361"/>
      <c r="CN391" s="361"/>
      <c r="CO391" s="361"/>
      <c r="CP391" s="361"/>
      <c r="CQ391" s="361"/>
      <c r="CR391" s="361"/>
      <c r="CS391" s="378"/>
    </row>
    <row r="392" spans="3:97" ht="13">
      <c r="C392" s="294"/>
      <c r="D392" s="294"/>
      <c r="E392" s="294"/>
      <c r="F392" s="294"/>
      <c r="N392" s="295"/>
      <c r="U392" s="295"/>
      <c r="AC392" s="188"/>
      <c r="AE392" s="188"/>
      <c r="AF392" s="188"/>
      <c r="AG392" s="188"/>
      <c r="AH392" s="188"/>
      <c r="AI392" s="299"/>
      <c r="CC392" s="374">
        <v>71</v>
      </c>
      <c r="CD392" s="359"/>
      <c r="CE392" s="361"/>
      <c r="CF392" s="365"/>
      <c r="CG392" s="361"/>
      <c r="CH392" s="361"/>
      <c r="CI392" s="361"/>
      <c r="CJ392" s="361"/>
      <c r="CK392" s="361"/>
      <c r="CL392" s="361"/>
      <c r="CM392" s="361"/>
      <c r="CN392" s="361"/>
      <c r="CO392" s="361"/>
      <c r="CP392" s="361"/>
      <c r="CQ392" s="361"/>
      <c r="CR392" s="361"/>
      <c r="CS392" s="378"/>
    </row>
    <row r="393" spans="3:97" ht="13">
      <c r="C393" s="294"/>
      <c r="D393" s="294"/>
      <c r="E393" s="294"/>
      <c r="F393" s="294"/>
      <c r="N393" s="295"/>
      <c r="U393" s="295"/>
      <c r="AC393" s="188"/>
      <c r="AE393" s="188"/>
      <c r="AF393" s="188"/>
      <c r="AG393" s="188"/>
      <c r="AH393" s="188"/>
      <c r="AI393" s="299"/>
      <c r="CC393" s="374">
        <v>72</v>
      </c>
      <c r="CD393" s="359"/>
      <c r="CE393" s="361"/>
      <c r="CF393" s="361"/>
      <c r="CG393" s="361"/>
      <c r="CH393" s="361"/>
      <c r="CI393" s="361"/>
      <c r="CJ393" s="361"/>
      <c r="CK393" s="361"/>
      <c r="CL393" s="361"/>
      <c r="CM393" s="361"/>
      <c r="CN393" s="361"/>
      <c r="CO393" s="361"/>
      <c r="CP393" s="361"/>
      <c r="CQ393" s="361"/>
      <c r="CR393" s="361"/>
      <c r="CS393" s="378"/>
    </row>
    <row r="394" spans="3:97" ht="13">
      <c r="C394" s="294"/>
      <c r="D394" s="294"/>
      <c r="E394" s="294"/>
      <c r="F394" s="294"/>
      <c r="N394" s="295"/>
      <c r="U394" s="295"/>
      <c r="AC394" s="188"/>
      <c r="AE394" s="188"/>
      <c r="AF394" s="188"/>
      <c r="AG394" s="188"/>
      <c r="AH394" s="188"/>
      <c r="AI394" s="299"/>
      <c r="CC394" s="374">
        <v>73</v>
      </c>
      <c r="CD394" s="359"/>
      <c r="CE394" s="361"/>
      <c r="CF394" s="361"/>
      <c r="CG394" s="361"/>
      <c r="CH394" s="361"/>
      <c r="CI394" s="361"/>
      <c r="CJ394" s="361"/>
      <c r="CK394" s="361"/>
      <c r="CL394" s="361"/>
      <c r="CM394" s="361"/>
      <c r="CN394" s="361"/>
      <c r="CO394" s="361"/>
      <c r="CP394" s="361"/>
      <c r="CQ394" s="361"/>
      <c r="CR394" s="361"/>
      <c r="CS394" s="378"/>
    </row>
    <row r="395" spans="3:97" ht="13">
      <c r="C395" s="294"/>
      <c r="D395" s="294"/>
      <c r="E395" s="294"/>
      <c r="F395" s="294"/>
      <c r="N395" s="295"/>
      <c r="U395" s="295"/>
      <c r="AC395" s="188"/>
      <c r="AE395" s="188"/>
      <c r="AF395" s="188"/>
      <c r="AG395" s="188"/>
      <c r="AH395" s="188"/>
      <c r="AI395" s="299"/>
      <c r="CC395" s="374">
        <v>74</v>
      </c>
      <c r="CD395" s="359"/>
      <c r="CE395" s="361"/>
      <c r="CF395" s="361"/>
      <c r="CG395" s="361"/>
      <c r="CH395" s="365"/>
      <c r="CI395" s="365"/>
      <c r="CJ395" s="365"/>
      <c r="CK395" s="365"/>
      <c r="CL395" s="365"/>
      <c r="CM395" s="365"/>
      <c r="CN395" s="365"/>
      <c r="CO395" s="365"/>
      <c r="CP395" s="365"/>
      <c r="CQ395" s="365"/>
      <c r="CR395" s="365"/>
      <c r="CS395" s="379"/>
    </row>
    <row r="396" spans="3:97" ht="13">
      <c r="C396" s="294"/>
      <c r="D396" s="294"/>
      <c r="E396" s="294"/>
      <c r="F396" s="294"/>
      <c r="N396" s="295"/>
      <c r="U396" s="295"/>
      <c r="AC396" s="188"/>
      <c r="AE396" s="188"/>
      <c r="AF396" s="188"/>
      <c r="AG396" s="188"/>
      <c r="AH396" s="188"/>
      <c r="AI396" s="299"/>
      <c r="CC396" s="374">
        <v>75</v>
      </c>
      <c r="CD396" s="359"/>
      <c r="CE396" s="361"/>
      <c r="CF396" s="361"/>
      <c r="CG396" s="361"/>
      <c r="CH396" s="361"/>
      <c r="CI396" s="361"/>
      <c r="CJ396" s="361"/>
      <c r="CK396" s="361"/>
      <c r="CL396" s="361"/>
      <c r="CM396" s="361"/>
      <c r="CN396" s="361"/>
      <c r="CO396" s="361"/>
      <c r="CP396" s="361"/>
      <c r="CQ396" s="361"/>
      <c r="CR396" s="361"/>
      <c r="CS396" s="378"/>
    </row>
    <row r="397" spans="3:97" ht="13">
      <c r="C397" s="294"/>
      <c r="D397" s="294"/>
      <c r="E397" s="294"/>
      <c r="F397" s="294"/>
      <c r="N397" s="295"/>
      <c r="U397" s="295"/>
      <c r="AC397" s="188"/>
      <c r="AE397" s="188"/>
      <c r="AF397" s="188"/>
      <c r="AG397" s="188"/>
      <c r="AH397" s="188"/>
      <c r="AI397" s="299"/>
      <c r="CC397" s="374">
        <v>76</v>
      </c>
      <c r="CD397" s="359"/>
      <c r="CE397" s="361"/>
      <c r="CF397" s="361"/>
      <c r="CG397" s="361"/>
      <c r="CH397" s="361"/>
      <c r="CI397" s="361"/>
      <c r="CJ397" s="361"/>
      <c r="CK397" s="361"/>
      <c r="CL397" s="361"/>
      <c r="CM397" s="361"/>
      <c r="CN397" s="361"/>
      <c r="CO397" s="361"/>
      <c r="CP397" s="361"/>
      <c r="CQ397" s="361"/>
      <c r="CR397" s="361"/>
      <c r="CS397" s="378"/>
    </row>
    <row r="398" spans="3:97" ht="13">
      <c r="C398" s="294"/>
      <c r="D398" s="294"/>
      <c r="E398" s="294"/>
      <c r="F398" s="294"/>
      <c r="N398" s="295"/>
      <c r="U398" s="295"/>
      <c r="AC398" s="188"/>
      <c r="AE398" s="188"/>
      <c r="AF398" s="188"/>
      <c r="AG398" s="188"/>
      <c r="AH398" s="188"/>
      <c r="AI398" s="299"/>
      <c r="CC398" s="374">
        <v>77</v>
      </c>
      <c r="CD398" s="359"/>
      <c r="CE398" s="361"/>
      <c r="CF398" s="361"/>
      <c r="CG398" s="361"/>
      <c r="CH398" s="361"/>
      <c r="CI398" s="361"/>
      <c r="CJ398" s="361"/>
      <c r="CK398" s="361"/>
      <c r="CL398" s="361"/>
      <c r="CM398" s="361"/>
      <c r="CN398" s="361"/>
      <c r="CO398" s="361"/>
      <c r="CP398" s="361"/>
      <c r="CQ398" s="361"/>
      <c r="CR398" s="361"/>
      <c r="CS398" s="378"/>
    </row>
    <row r="399" spans="3:97" ht="13">
      <c r="C399" s="294"/>
      <c r="D399" s="294"/>
      <c r="E399" s="294"/>
      <c r="F399" s="294"/>
      <c r="N399" s="295"/>
      <c r="U399" s="295"/>
      <c r="AC399" s="188"/>
      <c r="AE399" s="188"/>
      <c r="AF399" s="188"/>
      <c r="AG399" s="188"/>
      <c r="AH399" s="188"/>
      <c r="AI399" s="299"/>
      <c r="CC399" s="374">
        <v>78</v>
      </c>
      <c r="CD399" s="359"/>
      <c r="CE399" s="361"/>
      <c r="CF399" s="361"/>
      <c r="CG399" s="361"/>
      <c r="CH399" s="361"/>
      <c r="CI399" s="361"/>
      <c r="CJ399" s="361"/>
      <c r="CK399" s="361"/>
      <c r="CL399" s="361"/>
      <c r="CM399" s="361"/>
      <c r="CN399" s="361"/>
      <c r="CO399" s="361"/>
      <c r="CP399" s="361"/>
      <c r="CQ399" s="361"/>
      <c r="CR399" s="361"/>
      <c r="CS399" s="378"/>
    </row>
    <row r="400" spans="3:97" ht="13">
      <c r="C400" s="294"/>
      <c r="D400" s="294"/>
      <c r="E400" s="294"/>
      <c r="F400" s="294"/>
      <c r="N400" s="295"/>
      <c r="U400" s="295"/>
      <c r="AC400" s="188"/>
      <c r="AE400" s="188"/>
      <c r="AF400" s="188"/>
      <c r="AG400" s="188"/>
      <c r="AH400" s="188"/>
      <c r="AI400" s="299"/>
      <c r="CC400" s="374">
        <v>79</v>
      </c>
      <c r="CD400" s="359"/>
      <c r="CE400" s="361"/>
      <c r="CF400" s="361"/>
      <c r="CG400" s="365"/>
      <c r="CH400" s="365"/>
      <c r="CI400" s="365"/>
      <c r="CJ400" s="365"/>
      <c r="CK400" s="365"/>
      <c r="CL400" s="365"/>
      <c r="CM400" s="365"/>
      <c r="CN400" s="365"/>
      <c r="CO400" s="365"/>
      <c r="CP400" s="365"/>
      <c r="CQ400" s="365"/>
      <c r="CR400" s="365"/>
      <c r="CS400" s="379"/>
    </row>
    <row r="401" spans="3:97" ht="13">
      <c r="C401" s="294"/>
      <c r="D401" s="294"/>
      <c r="E401" s="294"/>
      <c r="F401" s="294"/>
      <c r="N401" s="295"/>
      <c r="U401" s="295"/>
      <c r="AC401" s="188"/>
      <c r="AE401" s="188"/>
      <c r="AF401" s="188"/>
      <c r="AG401" s="188"/>
      <c r="AH401" s="188"/>
      <c r="AI401" s="299"/>
      <c r="CC401" s="374">
        <v>80</v>
      </c>
      <c r="CD401" s="359"/>
      <c r="CE401" s="361"/>
      <c r="CF401" s="361"/>
      <c r="CG401" s="361"/>
      <c r="CH401" s="361"/>
      <c r="CI401" s="361"/>
      <c r="CJ401" s="361"/>
      <c r="CK401" s="361"/>
      <c r="CL401" s="361"/>
      <c r="CM401" s="361"/>
      <c r="CN401" s="361"/>
      <c r="CO401" s="361"/>
      <c r="CP401" s="361"/>
      <c r="CQ401" s="361"/>
      <c r="CR401" s="361"/>
      <c r="CS401" s="378"/>
    </row>
    <row r="402" spans="3:97" ht="13">
      <c r="C402" s="294"/>
      <c r="D402" s="294"/>
      <c r="E402" s="294"/>
      <c r="F402" s="294"/>
      <c r="N402" s="295"/>
      <c r="U402" s="295"/>
      <c r="AC402" s="188"/>
      <c r="AE402" s="188"/>
      <c r="AF402" s="188"/>
      <c r="AG402" s="188"/>
      <c r="AH402" s="188"/>
      <c r="AI402" s="299"/>
      <c r="CC402" s="374">
        <v>81</v>
      </c>
      <c r="CD402" s="359"/>
      <c r="CE402" s="361"/>
      <c r="CF402" s="361"/>
      <c r="CG402" s="361"/>
      <c r="CH402" s="361"/>
      <c r="CI402" s="361"/>
      <c r="CJ402" s="361"/>
      <c r="CK402" s="361"/>
      <c r="CL402" s="361"/>
      <c r="CM402" s="361"/>
      <c r="CN402" s="361"/>
      <c r="CO402" s="361"/>
      <c r="CP402" s="361"/>
      <c r="CQ402" s="361"/>
      <c r="CR402" s="361"/>
      <c r="CS402" s="378"/>
    </row>
    <row r="403" spans="3:97" ht="13">
      <c r="C403" s="294"/>
      <c r="D403" s="294"/>
      <c r="E403" s="294"/>
      <c r="F403" s="294"/>
      <c r="N403" s="295"/>
      <c r="U403" s="295"/>
      <c r="AC403" s="188"/>
      <c r="AE403" s="188"/>
      <c r="AF403" s="188"/>
      <c r="AG403" s="188"/>
      <c r="AH403" s="188"/>
      <c r="AI403" s="299"/>
      <c r="CC403" s="374">
        <v>82</v>
      </c>
      <c r="CD403" s="359"/>
      <c r="CE403" s="361"/>
      <c r="CF403" s="361"/>
      <c r="CG403" s="365"/>
      <c r="CH403" s="365"/>
      <c r="CI403" s="365"/>
      <c r="CJ403" s="365"/>
      <c r="CK403" s="365"/>
      <c r="CL403" s="365"/>
      <c r="CM403" s="365"/>
      <c r="CN403" s="365"/>
      <c r="CO403" s="365"/>
      <c r="CP403" s="365"/>
      <c r="CQ403" s="365"/>
      <c r="CR403" s="365"/>
      <c r="CS403" s="379"/>
    </row>
    <row r="404" spans="3:97" ht="13">
      <c r="C404" s="294"/>
      <c r="D404" s="294"/>
      <c r="E404" s="294"/>
      <c r="F404" s="294"/>
      <c r="N404" s="295"/>
      <c r="U404" s="295"/>
      <c r="AC404" s="188"/>
      <c r="AE404" s="188"/>
      <c r="AF404" s="188"/>
      <c r="AG404" s="188"/>
      <c r="AH404" s="188"/>
      <c r="AI404" s="299"/>
      <c r="CC404" s="374">
        <v>83</v>
      </c>
      <c r="CD404" s="359"/>
      <c r="CE404" s="361"/>
      <c r="CF404" s="361"/>
      <c r="CG404" s="361"/>
      <c r="CH404" s="361"/>
      <c r="CI404" s="361"/>
      <c r="CJ404" s="361"/>
      <c r="CK404" s="361"/>
      <c r="CL404" s="361"/>
      <c r="CM404" s="361"/>
      <c r="CN404" s="361"/>
      <c r="CO404" s="361"/>
      <c r="CP404" s="361"/>
      <c r="CQ404" s="361"/>
      <c r="CR404" s="361"/>
      <c r="CS404" s="378"/>
    </row>
    <row r="405" spans="3:97" ht="13">
      <c r="C405" s="294"/>
      <c r="D405" s="294"/>
      <c r="E405" s="294"/>
      <c r="F405" s="294"/>
      <c r="N405" s="295"/>
      <c r="U405" s="295"/>
      <c r="AC405" s="188"/>
      <c r="AE405" s="188"/>
      <c r="AF405" s="188"/>
      <c r="AG405" s="188"/>
      <c r="AH405" s="188"/>
      <c r="AI405" s="299"/>
      <c r="CC405" s="374">
        <v>84</v>
      </c>
      <c r="CD405" s="359"/>
      <c r="CE405" s="361"/>
      <c r="CF405" s="361"/>
      <c r="CG405" s="361"/>
      <c r="CH405" s="365"/>
      <c r="CI405" s="365"/>
      <c r="CJ405" s="365"/>
      <c r="CK405" s="365"/>
      <c r="CL405" s="365"/>
      <c r="CM405" s="365"/>
      <c r="CN405" s="365"/>
      <c r="CO405" s="365"/>
      <c r="CP405" s="365"/>
      <c r="CQ405" s="365"/>
      <c r="CR405" s="365"/>
      <c r="CS405" s="379"/>
    </row>
    <row r="406" spans="3:97" ht="13">
      <c r="C406" s="294"/>
      <c r="D406" s="294"/>
      <c r="E406" s="294"/>
      <c r="F406" s="294"/>
      <c r="N406" s="295"/>
      <c r="U406" s="295"/>
      <c r="AC406" s="188"/>
      <c r="AE406" s="188"/>
      <c r="AF406" s="188"/>
      <c r="AG406" s="188"/>
      <c r="AH406" s="188"/>
      <c r="AI406" s="299"/>
      <c r="CC406" s="374">
        <v>85</v>
      </c>
      <c r="CD406" s="359"/>
      <c r="CE406" s="361"/>
      <c r="CF406" s="361"/>
      <c r="CG406" s="365"/>
      <c r="CH406" s="365"/>
      <c r="CI406" s="365"/>
      <c r="CJ406" s="365"/>
      <c r="CK406" s="365"/>
      <c r="CL406" s="365"/>
      <c r="CM406" s="365"/>
      <c r="CN406" s="365"/>
      <c r="CO406" s="365"/>
      <c r="CP406" s="365"/>
      <c r="CQ406" s="365"/>
      <c r="CR406" s="365"/>
      <c r="CS406" s="379"/>
    </row>
    <row r="407" spans="3:97" ht="13">
      <c r="C407" s="294"/>
      <c r="D407" s="294"/>
      <c r="E407" s="294"/>
      <c r="F407" s="294"/>
      <c r="N407" s="295"/>
      <c r="U407" s="295"/>
      <c r="AC407" s="188"/>
      <c r="AE407" s="188"/>
      <c r="AF407" s="188"/>
      <c r="AG407" s="188"/>
      <c r="AH407" s="188"/>
      <c r="AI407" s="299"/>
      <c r="CC407" s="374">
        <v>86</v>
      </c>
      <c r="CD407" s="359"/>
      <c r="CE407" s="361"/>
      <c r="CF407" s="361"/>
      <c r="CG407" s="365"/>
      <c r="CH407" s="365"/>
      <c r="CI407" s="365"/>
      <c r="CJ407" s="365"/>
      <c r="CK407" s="365"/>
      <c r="CL407" s="365"/>
      <c r="CM407" s="365"/>
      <c r="CN407" s="365"/>
      <c r="CO407" s="365"/>
      <c r="CP407" s="365"/>
      <c r="CQ407" s="365"/>
      <c r="CR407" s="365"/>
      <c r="CS407" s="379"/>
    </row>
    <row r="408" spans="3:97" ht="13">
      <c r="C408" s="294"/>
      <c r="D408" s="294"/>
      <c r="E408" s="294"/>
      <c r="F408" s="294"/>
      <c r="N408" s="295"/>
      <c r="U408" s="295"/>
      <c r="AC408" s="188"/>
      <c r="AE408" s="188"/>
      <c r="AF408" s="188"/>
      <c r="AG408" s="188"/>
      <c r="AH408" s="188"/>
      <c r="AI408" s="299"/>
      <c r="CC408" s="374">
        <v>87</v>
      </c>
      <c r="CD408" s="359"/>
      <c r="CE408" s="361"/>
      <c r="CF408" s="361"/>
      <c r="CG408" s="365"/>
      <c r="CH408" s="365"/>
      <c r="CI408" s="365"/>
      <c r="CJ408" s="365"/>
      <c r="CK408" s="365"/>
      <c r="CL408" s="365"/>
      <c r="CM408" s="365"/>
      <c r="CN408" s="365"/>
      <c r="CO408" s="365"/>
      <c r="CP408" s="365"/>
      <c r="CQ408" s="365"/>
      <c r="CR408" s="365"/>
      <c r="CS408" s="379"/>
    </row>
    <row r="409" spans="3:97" ht="13">
      <c r="C409" s="294"/>
      <c r="D409" s="294"/>
      <c r="E409" s="294"/>
      <c r="F409" s="294"/>
      <c r="N409" s="295"/>
      <c r="U409" s="295"/>
      <c r="AC409" s="188"/>
      <c r="AE409" s="188"/>
      <c r="AF409" s="188"/>
      <c r="AG409" s="188"/>
      <c r="AH409" s="188"/>
      <c r="AI409" s="299"/>
      <c r="CC409" s="374">
        <v>88</v>
      </c>
      <c r="CD409" s="359"/>
      <c r="CE409" s="361"/>
      <c r="CF409" s="365"/>
      <c r="CG409" s="361"/>
      <c r="CH409" s="361"/>
      <c r="CI409" s="361"/>
      <c r="CJ409" s="361"/>
      <c r="CK409" s="361"/>
      <c r="CL409" s="361"/>
      <c r="CM409" s="361"/>
      <c r="CN409" s="361"/>
      <c r="CO409" s="361"/>
      <c r="CP409" s="361"/>
      <c r="CQ409" s="361"/>
      <c r="CR409" s="361"/>
      <c r="CS409" s="378"/>
    </row>
    <row r="410" spans="3:97" ht="13">
      <c r="C410" s="294"/>
      <c r="D410" s="294"/>
      <c r="E410" s="294"/>
      <c r="F410" s="294"/>
      <c r="N410" s="295"/>
      <c r="U410" s="295"/>
      <c r="AC410" s="188"/>
      <c r="AE410" s="188"/>
      <c r="AF410" s="188"/>
      <c r="AG410" s="188"/>
      <c r="AH410" s="188"/>
      <c r="AI410" s="299"/>
      <c r="CC410" s="374">
        <v>89</v>
      </c>
      <c r="CS410" s="380"/>
    </row>
    <row r="411" spans="3:97" ht="13">
      <c r="C411" s="294"/>
      <c r="D411" s="294"/>
      <c r="E411" s="294"/>
      <c r="F411" s="294"/>
      <c r="N411" s="295"/>
      <c r="U411" s="295"/>
      <c r="AC411" s="188"/>
      <c r="AE411" s="188"/>
      <c r="AF411" s="188"/>
      <c r="AG411" s="188"/>
      <c r="AH411" s="188"/>
      <c r="AI411" s="299"/>
      <c r="CC411" s="374">
        <v>90</v>
      </c>
      <c r="CS411" s="380"/>
    </row>
    <row r="412" spans="3:97" ht="13">
      <c r="C412" s="294"/>
      <c r="D412" s="294"/>
      <c r="E412" s="294"/>
      <c r="F412" s="294"/>
      <c r="N412" s="295"/>
      <c r="U412" s="295"/>
      <c r="AC412" s="188"/>
      <c r="AE412" s="188"/>
      <c r="AF412" s="188"/>
      <c r="AG412" s="188"/>
      <c r="AH412" s="188"/>
      <c r="AI412" s="299"/>
      <c r="CC412" s="374">
        <v>91</v>
      </c>
      <c r="CS412" s="380"/>
    </row>
    <row r="413" spans="3:97" ht="13">
      <c r="C413" s="294"/>
      <c r="D413" s="294"/>
      <c r="E413" s="294"/>
      <c r="F413" s="294"/>
      <c r="N413" s="295"/>
      <c r="U413" s="295"/>
      <c r="AC413" s="188"/>
      <c r="AE413" s="188"/>
      <c r="AF413" s="188"/>
      <c r="AG413" s="188"/>
      <c r="AH413" s="188"/>
      <c r="AI413" s="299"/>
      <c r="CC413" s="374">
        <v>92</v>
      </c>
      <c r="CS413" s="380"/>
    </row>
    <row r="414" spans="3:97" ht="13">
      <c r="C414" s="294"/>
      <c r="D414" s="294"/>
      <c r="E414" s="294"/>
      <c r="F414" s="294"/>
      <c r="N414" s="295"/>
      <c r="U414" s="295"/>
      <c r="AC414" s="188"/>
      <c r="AE414" s="188"/>
      <c r="AF414" s="188"/>
      <c r="AG414" s="188"/>
      <c r="AH414" s="188"/>
      <c r="AI414" s="299"/>
      <c r="CC414" s="374">
        <v>93</v>
      </c>
      <c r="CS414" s="380"/>
    </row>
    <row r="415" spans="3:97" ht="13">
      <c r="C415" s="294"/>
      <c r="D415" s="294"/>
      <c r="E415" s="294"/>
      <c r="F415" s="294"/>
      <c r="N415" s="295"/>
      <c r="U415" s="295"/>
      <c r="AC415" s="188"/>
      <c r="AE415" s="188"/>
      <c r="AF415" s="188"/>
      <c r="AG415" s="188"/>
      <c r="AH415" s="188"/>
      <c r="AI415" s="299"/>
      <c r="CC415" s="374">
        <v>94</v>
      </c>
      <c r="CS415" s="380"/>
    </row>
    <row r="416" spans="3:97" ht="13">
      <c r="C416" s="294"/>
      <c r="D416" s="294"/>
      <c r="E416" s="294"/>
      <c r="F416" s="294"/>
      <c r="N416" s="295"/>
      <c r="U416" s="295"/>
      <c r="AC416" s="188"/>
      <c r="AE416" s="188"/>
      <c r="AF416" s="188"/>
      <c r="AG416" s="188"/>
      <c r="AH416" s="188"/>
      <c r="AI416" s="299"/>
      <c r="CC416" s="374">
        <v>95</v>
      </c>
      <c r="CS416" s="380"/>
    </row>
    <row r="417" spans="3:97" ht="13">
      <c r="C417" s="294"/>
      <c r="D417" s="294"/>
      <c r="E417" s="294"/>
      <c r="F417" s="294"/>
      <c r="N417" s="295"/>
      <c r="U417" s="295"/>
      <c r="AC417" s="188"/>
      <c r="AE417" s="188"/>
      <c r="AF417" s="188"/>
      <c r="AG417" s="188"/>
      <c r="AH417" s="188"/>
      <c r="AI417" s="299"/>
      <c r="CC417" s="374">
        <v>96</v>
      </c>
      <c r="CS417" s="380"/>
    </row>
    <row r="418" spans="3:97" ht="13">
      <c r="C418" s="294"/>
      <c r="D418" s="294"/>
      <c r="E418" s="294"/>
      <c r="F418" s="294"/>
      <c r="N418" s="295"/>
      <c r="U418" s="295"/>
      <c r="AC418" s="188"/>
      <c r="AE418" s="188"/>
      <c r="AF418" s="188"/>
      <c r="AG418" s="188"/>
      <c r="AH418" s="188"/>
      <c r="AI418" s="299"/>
      <c r="CC418" s="374">
        <v>97</v>
      </c>
      <c r="CS418" s="380"/>
    </row>
    <row r="419" spans="3:97" ht="13">
      <c r="C419" s="294"/>
      <c r="D419" s="294"/>
      <c r="E419" s="294"/>
      <c r="F419" s="294"/>
      <c r="N419" s="295"/>
      <c r="U419" s="295"/>
      <c r="AC419" s="188"/>
      <c r="AE419" s="188"/>
      <c r="AF419" s="188"/>
      <c r="AG419" s="188"/>
      <c r="AH419" s="188"/>
      <c r="AI419" s="299"/>
      <c r="CC419" s="374">
        <v>98</v>
      </c>
      <c r="CS419" s="380"/>
    </row>
    <row r="420" spans="3:97" ht="13">
      <c r="C420" s="294"/>
      <c r="D420" s="294"/>
      <c r="E420" s="294"/>
      <c r="F420" s="294"/>
      <c r="N420" s="295"/>
      <c r="U420" s="295"/>
      <c r="AC420" s="188"/>
      <c r="AE420" s="188"/>
      <c r="AF420" s="188"/>
      <c r="AG420" s="188"/>
      <c r="AH420" s="188"/>
      <c r="AI420" s="299"/>
      <c r="CC420" s="374">
        <v>99</v>
      </c>
      <c r="CS420" s="380"/>
    </row>
    <row r="421" spans="3:97" ht="13">
      <c r="C421" s="294"/>
      <c r="D421" s="294"/>
      <c r="E421" s="294"/>
      <c r="F421" s="294"/>
      <c r="N421" s="295"/>
      <c r="U421" s="295"/>
      <c r="AC421" s="188"/>
      <c r="AE421" s="188"/>
      <c r="AF421" s="188"/>
      <c r="AG421" s="188"/>
      <c r="AH421" s="188"/>
      <c r="AI421" s="299"/>
      <c r="CC421" s="374">
        <v>100</v>
      </c>
      <c r="CS421" s="380"/>
    </row>
    <row r="422" spans="3:97" ht="13">
      <c r="C422" s="294"/>
      <c r="D422" s="294"/>
      <c r="E422" s="294"/>
      <c r="F422" s="294"/>
      <c r="N422" s="295"/>
      <c r="U422" s="295"/>
      <c r="AC422" s="188"/>
      <c r="AE422" s="188"/>
      <c r="AF422" s="188"/>
      <c r="AG422" s="188"/>
      <c r="AH422" s="188"/>
      <c r="AI422" s="299"/>
      <c r="CC422" s="374">
        <v>101</v>
      </c>
      <c r="CS422" s="380"/>
    </row>
    <row r="423" spans="3:97" ht="13">
      <c r="C423" s="294"/>
      <c r="D423" s="294"/>
      <c r="E423" s="294"/>
      <c r="F423" s="294"/>
      <c r="N423" s="295"/>
      <c r="U423" s="295"/>
      <c r="AC423" s="188"/>
      <c r="AE423" s="188"/>
      <c r="AF423" s="188"/>
      <c r="AG423" s="188"/>
      <c r="AH423" s="188"/>
      <c r="AI423" s="299"/>
      <c r="CC423" s="374">
        <v>102</v>
      </c>
      <c r="CS423" s="380"/>
    </row>
    <row r="424" spans="3:97" ht="13">
      <c r="C424" s="294"/>
      <c r="D424" s="294"/>
      <c r="E424" s="294"/>
      <c r="F424" s="294"/>
      <c r="N424" s="295"/>
      <c r="U424" s="295"/>
      <c r="AC424" s="188"/>
      <c r="AE424" s="188"/>
      <c r="AF424" s="188"/>
      <c r="AG424" s="188"/>
      <c r="AH424" s="188"/>
      <c r="AI424" s="299"/>
      <c r="CC424" s="374">
        <v>103</v>
      </c>
      <c r="CS424" s="380"/>
    </row>
    <row r="425" spans="3:97" ht="13">
      <c r="C425" s="294"/>
      <c r="D425" s="294"/>
      <c r="E425" s="294"/>
      <c r="F425" s="294"/>
      <c r="N425" s="295"/>
      <c r="U425" s="295"/>
      <c r="AC425" s="188"/>
      <c r="AE425" s="188"/>
      <c r="AF425" s="188"/>
      <c r="AG425" s="188"/>
      <c r="AH425" s="188"/>
      <c r="AI425" s="299"/>
      <c r="CC425" s="374">
        <v>104</v>
      </c>
      <c r="CS425" s="380"/>
    </row>
    <row r="426" spans="3:97" ht="13">
      <c r="C426" s="294"/>
      <c r="D426" s="294"/>
      <c r="E426" s="294"/>
      <c r="F426" s="294"/>
      <c r="N426" s="295"/>
      <c r="U426" s="295"/>
      <c r="AC426" s="188"/>
      <c r="AE426" s="188"/>
      <c r="AF426" s="188"/>
      <c r="AG426" s="188"/>
      <c r="AH426" s="188"/>
      <c r="AI426" s="299"/>
      <c r="CC426" s="374">
        <v>105</v>
      </c>
      <c r="CS426" s="380"/>
    </row>
    <row r="427" spans="3:97" ht="13">
      <c r="C427" s="294"/>
      <c r="D427" s="294"/>
      <c r="E427" s="294"/>
      <c r="F427" s="294"/>
      <c r="N427" s="295"/>
      <c r="U427" s="295"/>
      <c r="AC427" s="188"/>
      <c r="AE427" s="188"/>
      <c r="AF427" s="188"/>
      <c r="AG427" s="188"/>
      <c r="AH427" s="188"/>
      <c r="AI427" s="299"/>
      <c r="CC427" s="374">
        <v>106</v>
      </c>
      <c r="CS427" s="380"/>
    </row>
    <row r="428" spans="3:97" ht="13">
      <c r="C428" s="294"/>
      <c r="D428" s="294"/>
      <c r="E428" s="294"/>
      <c r="F428" s="294"/>
      <c r="N428" s="295"/>
      <c r="U428" s="295"/>
      <c r="AC428" s="188"/>
      <c r="AE428" s="188"/>
      <c r="AF428" s="188"/>
      <c r="AG428" s="188"/>
      <c r="AH428" s="188"/>
      <c r="AI428" s="299"/>
      <c r="CC428" s="374">
        <v>107</v>
      </c>
      <c r="CS428" s="380"/>
    </row>
    <row r="429" spans="3:97" ht="13">
      <c r="C429" s="294"/>
      <c r="D429" s="294"/>
      <c r="E429" s="294"/>
      <c r="F429" s="294"/>
      <c r="N429" s="295"/>
      <c r="U429" s="295"/>
      <c r="AC429" s="188"/>
      <c r="AE429" s="188"/>
      <c r="AF429" s="188"/>
      <c r="AG429" s="188"/>
      <c r="AH429" s="188"/>
      <c r="AI429" s="299"/>
      <c r="CC429" s="374">
        <v>108</v>
      </c>
      <c r="CS429" s="380"/>
    </row>
    <row r="430" spans="3:97" ht="13">
      <c r="C430" s="294"/>
      <c r="D430" s="294"/>
      <c r="E430" s="294"/>
      <c r="F430" s="294"/>
      <c r="N430" s="295"/>
      <c r="U430" s="295"/>
      <c r="AC430" s="188"/>
      <c r="AE430" s="188"/>
      <c r="AF430" s="188"/>
      <c r="AG430" s="188"/>
      <c r="AH430" s="188"/>
      <c r="AI430" s="299"/>
      <c r="CC430" s="374">
        <v>109</v>
      </c>
      <c r="CS430" s="380"/>
    </row>
    <row r="431" spans="3:97" ht="13">
      <c r="C431" s="294"/>
      <c r="D431" s="294"/>
      <c r="E431" s="294"/>
      <c r="F431" s="294"/>
      <c r="N431" s="295"/>
      <c r="U431" s="295"/>
      <c r="AC431" s="188"/>
      <c r="AE431" s="188"/>
      <c r="AF431" s="188"/>
      <c r="AG431" s="188"/>
      <c r="AH431" s="188"/>
      <c r="AI431" s="299"/>
      <c r="CC431" s="374">
        <v>110</v>
      </c>
      <c r="CS431" s="380"/>
    </row>
    <row r="432" spans="3:97" ht="13">
      <c r="C432" s="294"/>
      <c r="D432" s="294"/>
      <c r="E432" s="294"/>
      <c r="F432" s="294"/>
      <c r="N432" s="295"/>
      <c r="U432" s="295"/>
      <c r="AC432" s="188"/>
      <c r="AE432" s="188"/>
      <c r="AF432" s="188"/>
      <c r="AG432" s="188"/>
      <c r="AH432" s="188"/>
      <c r="AI432" s="299"/>
      <c r="CC432" s="374">
        <v>111</v>
      </c>
      <c r="CS432" s="380"/>
    </row>
    <row r="433" spans="3:97" ht="13">
      <c r="C433" s="294"/>
      <c r="D433" s="294"/>
      <c r="E433" s="294"/>
      <c r="F433" s="294"/>
      <c r="N433" s="295"/>
      <c r="U433" s="295"/>
      <c r="AC433" s="188"/>
      <c r="AE433" s="188"/>
      <c r="AF433" s="188"/>
      <c r="AG433" s="188"/>
      <c r="AH433" s="188"/>
      <c r="AI433" s="299"/>
      <c r="CC433" s="374">
        <v>112</v>
      </c>
      <c r="CS433" s="380"/>
    </row>
    <row r="434" spans="3:97" ht="13">
      <c r="C434" s="294"/>
      <c r="D434" s="294"/>
      <c r="E434" s="294"/>
      <c r="F434" s="294"/>
      <c r="N434" s="295"/>
      <c r="U434" s="295"/>
      <c r="AC434" s="188"/>
      <c r="AE434" s="188"/>
      <c r="AF434" s="188"/>
      <c r="AG434" s="188"/>
      <c r="AH434" s="188"/>
      <c r="AI434" s="299"/>
      <c r="CC434" s="374">
        <v>113</v>
      </c>
      <c r="CS434" s="380"/>
    </row>
    <row r="435" spans="3:97" ht="13">
      <c r="C435" s="294"/>
      <c r="D435" s="294"/>
      <c r="E435" s="294"/>
      <c r="F435" s="294"/>
      <c r="N435" s="295"/>
      <c r="U435" s="295"/>
      <c r="AC435" s="188"/>
      <c r="AE435" s="188"/>
      <c r="AF435" s="188"/>
      <c r="AG435" s="188"/>
      <c r="AH435" s="188"/>
      <c r="AI435" s="299"/>
      <c r="CC435" s="374">
        <v>114</v>
      </c>
      <c r="CS435" s="380"/>
    </row>
    <row r="436" spans="3:97" ht="13">
      <c r="C436" s="294"/>
      <c r="D436" s="294"/>
      <c r="E436" s="294"/>
      <c r="F436" s="294"/>
      <c r="N436" s="295"/>
      <c r="U436" s="295"/>
      <c r="AC436" s="188"/>
      <c r="AE436" s="188"/>
      <c r="AF436" s="188"/>
      <c r="AG436" s="188"/>
      <c r="AH436" s="188"/>
      <c r="AI436" s="299"/>
      <c r="CC436" s="374">
        <v>115</v>
      </c>
      <c r="CS436" s="380"/>
    </row>
    <row r="437" spans="3:97" ht="13">
      <c r="C437" s="294"/>
      <c r="D437" s="294"/>
      <c r="E437" s="294"/>
      <c r="F437" s="294"/>
      <c r="N437" s="295"/>
      <c r="U437" s="295"/>
      <c r="AC437" s="188"/>
      <c r="AE437" s="188"/>
      <c r="AF437" s="188"/>
      <c r="AG437" s="188"/>
      <c r="AH437" s="188"/>
      <c r="AI437" s="299"/>
      <c r="CC437" s="374">
        <v>116</v>
      </c>
      <c r="CS437" s="380"/>
    </row>
    <row r="438" spans="3:97" ht="13">
      <c r="C438" s="294"/>
      <c r="D438" s="294"/>
      <c r="E438" s="294"/>
      <c r="F438" s="294"/>
      <c r="N438" s="295"/>
      <c r="U438" s="295"/>
      <c r="AC438" s="188"/>
      <c r="AE438" s="188"/>
      <c r="AF438" s="188"/>
      <c r="AG438" s="188"/>
      <c r="AH438" s="188"/>
      <c r="AI438" s="299"/>
      <c r="CC438" s="374">
        <v>117</v>
      </c>
      <c r="CS438" s="380"/>
    </row>
    <row r="439" spans="3:97" ht="13">
      <c r="C439" s="294"/>
      <c r="D439" s="294"/>
      <c r="E439" s="294"/>
      <c r="F439" s="294"/>
      <c r="N439" s="295"/>
      <c r="U439" s="295"/>
      <c r="AC439" s="188"/>
      <c r="AE439" s="188"/>
      <c r="AF439" s="188"/>
      <c r="AG439" s="188"/>
      <c r="AH439" s="188"/>
      <c r="AI439" s="299"/>
      <c r="CC439" s="374">
        <v>118</v>
      </c>
      <c r="CS439" s="380"/>
    </row>
    <row r="440" spans="3:97" ht="13">
      <c r="C440" s="294"/>
      <c r="D440" s="294"/>
      <c r="E440" s="294"/>
      <c r="F440" s="294"/>
      <c r="N440" s="295"/>
      <c r="U440" s="295"/>
      <c r="AC440" s="188"/>
      <c r="AE440" s="188"/>
      <c r="AF440" s="188"/>
      <c r="AG440" s="188"/>
      <c r="AH440" s="188"/>
      <c r="AI440" s="299"/>
      <c r="CC440" s="374">
        <v>119</v>
      </c>
      <c r="CS440" s="380"/>
    </row>
    <row r="441" spans="3:97" ht="13">
      <c r="C441" s="294"/>
      <c r="D441" s="294"/>
      <c r="E441" s="294"/>
      <c r="F441" s="294"/>
      <c r="N441" s="295"/>
      <c r="U441" s="295"/>
      <c r="AC441" s="188"/>
      <c r="AE441" s="188"/>
      <c r="AF441" s="188"/>
      <c r="AG441" s="188"/>
      <c r="AH441" s="188"/>
      <c r="AI441" s="299"/>
      <c r="CC441" s="374">
        <v>120</v>
      </c>
      <c r="CS441" s="380"/>
    </row>
    <row r="442" spans="3:97" ht="13">
      <c r="C442" s="294"/>
      <c r="D442" s="294"/>
      <c r="E442" s="294"/>
      <c r="F442" s="294"/>
      <c r="N442" s="295"/>
      <c r="U442" s="295"/>
      <c r="AC442" s="188"/>
      <c r="AE442" s="188"/>
      <c r="AF442" s="188"/>
      <c r="AG442" s="188"/>
      <c r="AH442" s="188"/>
      <c r="AI442" s="299"/>
      <c r="CC442" s="374">
        <v>121</v>
      </c>
      <c r="CS442" s="380"/>
    </row>
    <row r="443" spans="3:97" ht="13">
      <c r="C443" s="294"/>
      <c r="D443" s="294"/>
      <c r="E443" s="294"/>
      <c r="F443" s="294"/>
      <c r="N443" s="295"/>
      <c r="U443" s="295"/>
      <c r="AC443" s="188"/>
      <c r="AE443" s="188"/>
      <c r="AF443" s="188"/>
      <c r="AG443" s="188"/>
      <c r="AH443" s="188"/>
      <c r="AI443" s="299"/>
      <c r="CC443" s="374">
        <v>122</v>
      </c>
      <c r="CS443" s="380"/>
    </row>
    <row r="444" spans="3:97" ht="13">
      <c r="C444" s="294"/>
      <c r="D444" s="294"/>
      <c r="E444" s="294"/>
      <c r="F444" s="294"/>
      <c r="N444" s="295"/>
      <c r="U444" s="295"/>
      <c r="AC444" s="188"/>
      <c r="AE444" s="188"/>
      <c r="AF444" s="188"/>
      <c r="AG444" s="188"/>
      <c r="AH444" s="188"/>
      <c r="AI444" s="299"/>
      <c r="CC444" s="374">
        <v>123</v>
      </c>
      <c r="CS444" s="380"/>
    </row>
    <row r="445" spans="3:97" ht="13">
      <c r="C445" s="294"/>
      <c r="D445" s="294"/>
      <c r="E445" s="294"/>
      <c r="F445" s="294"/>
      <c r="N445" s="295"/>
      <c r="U445" s="295"/>
      <c r="AC445" s="188"/>
      <c r="AE445" s="188"/>
      <c r="AF445" s="188"/>
      <c r="AG445" s="188"/>
      <c r="AH445" s="188"/>
      <c r="AI445" s="299"/>
      <c r="CC445" s="374">
        <v>124</v>
      </c>
      <c r="CS445" s="380"/>
    </row>
    <row r="446" spans="3:97" ht="13">
      <c r="C446" s="294"/>
      <c r="D446" s="294"/>
      <c r="E446" s="294"/>
      <c r="F446" s="294"/>
      <c r="N446" s="295"/>
      <c r="U446" s="295"/>
      <c r="AC446" s="188"/>
      <c r="AE446" s="188"/>
      <c r="AF446" s="188"/>
      <c r="AG446" s="188"/>
      <c r="AH446" s="188"/>
      <c r="AI446" s="299"/>
      <c r="CC446" s="374">
        <v>125</v>
      </c>
      <c r="CS446" s="380"/>
    </row>
    <row r="447" spans="3:97" ht="13">
      <c r="C447" s="294"/>
      <c r="D447" s="294"/>
      <c r="E447" s="294"/>
      <c r="F447" s="294"/>
      <c r="N447" s="295"/>
      <c r="U447" s="295"/>
      <c r="AC447" s="188"/>
      <c r="AE447" s="188"/>
      <c r="AF447" s="188"/>
      <c r="AG447" s="188"/>
      <c r="AH447" s="188"/>
      <c r="AI447" s="299"/>
      <c r="CC447" s="374">
        <v>126</v>
      </c>
      <c r="CS447" s="380"/>
    </row>
    <row r="448" spans="3:97" ht="13">
      <c r="C448" s="294"/>
      <c r="D448" s="294"/>
      <c r="E448" s="294"/>
      <c r="F448" s="294"/>
      <c r="N448" s="295"/>
      <c r="U448" s="295"/>
      <c r="AC448" s="188"/>
      <c r="AE448" s="188"/>
      <c r="AF448" s="188"/>
      <c r="AG448" s="188"/>
      <c r="AH448" s="188"/>
      <c r="AI448" s="299"/>
      <c r="CC448" s="374">
        <v>127</v>
      </c>
      <c r="CS448" s="380"/>
    </row>
    <row r="449" spans="3:97" ht="13">
      <c r="C449" s="294"/>
      <c r="D449" s="294"/>
      <c r="E449" s="294"/>
      <c r="F449" s="294"/>
      <c r="N449" s="295"/>
      <c r="U449" s="295"/>
      <c r="AC449" s="188"/>
      <c r="AE449" s="188"/>
      <c r="AF449" s="188"/>
      <c r="AG449" s="188"/>
      <c r="AH449" s="188"/>
      <c r="AI449" s="299"/>
      <c r="CC449" s="374">
        <v>128</v>
      </c>
      <c r="CS449" s="380"/>
    </row>
    <row r="450" spans="3:97" ht="13">
      <c r="C450" s="294"/>
      <c r="D450" s="294"/>
      <c r="E450" s="294"/>
      <c r="F450" s="294"/>
      <c r="N450" s="295"/>
      <c r="U450" s="295"/>
      <c r="AC450" s="188"/>
      <c r="AE450" s="188"/>
      <c r="AF450" s="188"/>
      <c r="AG450" s="188"/>
      <c r="AH450" s="188"/>
      <c r="AI450" s="299"/>
      <c r="CC450" s="374">
        <v>129</v>
      </c>
      <c r="CS450" s="380"/>
    </row>
    <row r="451" spans="3:97" ht="13">
      <c r="C451" s="294"/>
      <c r="D451" s="294"/>
      <c r="E451" s="294"/>
      <c r="F451" s="294"/>
      <c r="N451" s="295"/>
      <c r="U451" s="295"/>
      <c r="AC451" s="188"/>
      <c r="AE451" s="188"/>
      <c r="AF451" s="188"/>
      <c r="AG451" s="188"/>
      <c r="AH451" s="188"/>
      <c r="AI451" s="299"/>
      <c r="CC451" s="374">
        <v>130</v>
      </c>
      <c r="CS451" s="380"/>
    </row>
    <row r="452" spans="3:97" ht="13">
      <c r="C452" s="294"/>
      <c r="D452" s="294"/>
      <c r="E452" s="294"/>
      <c r="F452" s="294"/>
      <c r="N452" s="295"/>
      <c r="U452" s="295"/>
      <c r="AC452" s="188"/>
      <c r="AE452" s="188"/>
      <c r="AF452" s="188"/>
      <c r="AG452" s="188"/>
      <c r="AH452" s="188"/>
      <c r="AI452" s="299"/>
      <c r="CC452" s="374">
        <v>131</v>
      </c>
      <c r="CS452" s="380"/>
    </row>
    <row r="453" spans="3:97" ht="13">
      <c r="C453" s="294"/>
      <c r="D453" s="294"/>
      <c r="E453" s="294"/>
      <c r="F453" s="294"/>
      <c r="N453" s="295"/>
      <c r="U453" s="295"/>
      <c r="AC453" s="188"/>
      <c r="AE453" s="188"/>
      <c r="AF453" s="188"/>
      <c r="AG453" s="188"/>
      <c r="AH453" s="188"/>
      <c r="AI453" s="299"/>
      <c r="CC453" s="374">
        <v>132</v>
      </c>
      <c r="CS453" s="380"/>
    </row>
    <row r="454" spans="3:97" ht="13">
      <c r="C454" s="294"/>
      <c r="D454" s="294"/>
      <c r="E454" s="294"/>
      <c r="F454" s="294"/>
      <c r="N454" s="295"/>
      <c r="U454" s="295"/>
      <c r="AC454" s="188"/>
      <c r="AE454" s="188"/>
      <c r="AF454" s="188"/>
      <c r="AG454" s="188"/>
      <c r="AH454" s="188"/>
      <c r="AI454" s="299"/>
      <c r="CC454" s="374">
        <v>133</v>
      </c>
      <c r="CS454" s="380"/>
    </row>
    <row r="455" spans="3:97" ht="13">
      <c r="C455" s="294"/>
      <c r="D455" s="294"/>
      <c r="E455" s="294"/>
      <c r="F455" s="294"/>
      <c r="N455" s="295"/>
      <c r="U455" s="295"/>
      <c r="AC455" s="188"/>
      <c r="AE455" s="188"/>
      <c r="AF455" s="188"/>
      <c r="AG455" s="188"/>
      <c r="AH455" s="188"/>
      <c r="AI455" s="299"/>
      <c r="CC455" s="374">
        <v>134</v>
      </c>
      <c r="CS455" s="380"/>
    </row>
    <row r="456" spans="3:97" ht="13">
      <c r="C456" s="294"/>
      <c r="D456" s="294"/>
      <c r="E456" s="294"/>
      <c r="F456" s="294"/>
      <c r="N456" s="295"/>
      <c r="U456" s="295"/>
      <c r="AC456" s="188"/>
      <c r="AE456" s="188"/>
      <c r="AF456" s="188"/>
      <c r="AG456" s="188"/>
      <c r="AH456" s="188"/>
      <c r="AI456" s="299"/>
      <c r="CC456" s="374">
        <v>135</v>
      </c>
      <c r="CS456" s="380"/>
    </row>
    <row r="457" spans="3:97" ht="13">
      <c r="C457" s="294"/>
      <c r="D457" s="294"/>
      <c r="E457" s="294"/>
      <c r="F457" s="294"/>
      <c r="N457" s="295"/>
      <c r="U457" s="295"/>
      <c r="AC457" s="188"/>
      <c r="AE457" s="188"/>
      <c r="AF457" s="188"/>
      <c r="AG457" s="188"/>
      <c r="AH457" s="188"/>
      <c r="AI457" s="299"/>
      <c r="CC457" s="374">
        <v>136</v>
      </c>
      <c r="CS457" s="380"/>
    </row>
    <row r="458" spans="3:97" ht="13">
      <c r="C458" s="294"/>
      <c r="D458" s="294"/>
      <c r="E458" s="294"/>
      <c r="F458" s="294"/>
      <c r="N458" s="295"/>
      <c r="U458" s="295"/>
      <c r="AC458" s="188"/>
      <c r="AE458" s="188"/>
      <c r="AF458" s="188"/>
      <c r="AG458" s="188"/>
      <c r="AH458" s="188"/>
      <c r="AI458" s="299"/>
      <c r="CC458" s="374">
        <v>137</v>
      </c>
      <c r="CS458" s="380"/>
    </row>
    <row r="459" spans="3:97" ht="13">
      <c r="C459" s="294"/>
      <c r="D459" s="294"/>
      <c r="E459" s="294"/>
      <c r="F459" s="294"/>
      <c r="N459" s="295"/>
      <c r="U459" s="295"/>
      <c r="AC459" s="188"/>
      <c r="AE459" s="188"/>
      <c r="AF459" s="188"/>
      <c r="AG459" s="188"/>
      <c r="AH459" s="188"/>
      <c r="AI459" s="299"/>
      <c r="CC459" s="374">
        <v>138</v>
      </c>
      <c r="CS459" s="380"/>
    </row>
    <row r="460" spans="3:97" ht="13">
      <c r="C460" s="294"/>
      <c r="D460" s="294"/>
      <c r="E460" s="294"/>
      <c r="F460" s="294"/>
      <c r="N460" s="295"/>
      <c r="U460" s="295"/>
      <c r="AC460" s="188"/>
      <c r="AE460" s="188"/>
      <c r="AF460" s="188"/>
      <c r="AG460" s="188"/>
      <c r="AH460" s="188"/>
      <c r="AI460" s="299"/>
      <c r="CC460" s="374">
        <v>139</v>
      </c>
      <c r="CS460" s="380"/>
    </row>
    <row r="461" spans="3:97" ht="13">
      <c r="C461" s="294"/>
      <c r="D461" s="294"/>
      <c r="E461" s="294"/>
      <c r="F461" s="294"/>
      <c r="N461" s="295"/>
      <c r="U461" s="295"/>
      <c r="AC461" s="188"/>
      <c r="AE461" s="188"/>
      <c r="AF461" s="188"/>
      <c r="AG461" s="188"/>
      <c r="AH461" s="188"/>
      <c r="AI461" s="299"/>
      <c r="CC461" s="381">
        <v>140</v>
      </c>
      <c r="CD461" s="382"/>
      <c r="CE461" s="382"/>
      <c r="CF461" s="382"/>
      <c r="CG461" s="382"/>
      <c r="CH461" s="382"/>
      <c r="CI461" s="382"/>
      <c r="CJ461" s="382"/>
      <c r="CK461" s="382"/>
      <c r="CL461" s="382"/>
      <c r="CM461" s="382"/>
      <c r="CN461" s="382"/>
      <c r="CO461" s="382"/>
      <c r="CP461" s="382"/>
      <c r="CQ461" s="382"/>
      <c r="CR461" s="382"/>
      <c r="CS461" s="383"/>
    </row>
    <row r="462" spans="3:97" ht="13">
      <c r="C462" s="294"/>
      <c r="D462" s="294"/>
      <c r="E462" s="294"/>
      <c r="F462" s="294"/>
      <c r="N462" s="295"/>
      <c r="U462" s="295"/>
      <c r="AC462" s="188"/>
      <c r="AE462" s="188"/>
      <c r="AF462" s="188"/>
      <c r="AG462" s="188"/>
      <c r="AH462" s="188"/>
      <c r="AI462" s="299"/>
    </row>
    <row r="463" spans="3:97" ht="13">
      <c r="C463" s="294"/>
      <c r="D463" s="294"/>
      <c r="E463" s="294"/>
      <c r="F463" s="294"/>
      <c r="N463" s="295"/>
      <c r="U463" s="295"/>
      <c r="AC463" s="188"/>
      <c r="AE463" s="188"/>
      <c r="AF463" s="188"/>
      <c r="AG463" s="188"/>
      <c r="AH463" s="188"/>
      <c r="AI463" s="299"/>
    </row>
    <row r="464" spans="3:97" ht="13">
      <c r="C464" s="294"/>
      <c r="D464" s="294"/>
      <c r="E464" s="294"/>
      <c r="F464" s="294"/>
      <c r="N464" s="295"/>
      <c r="U464" s="295"/>
      <c r="AC464" s="188"/>
      <c r="AE464" s="188"/>
      <c r="AF464" s="188"/>
      <c r="AG464" s="188"/>
      <c r="AH464" s="188"/>
      <c r="AI464" s="299"/>
    </row>
    <row r="465" spans="3:35" ht="13">
      <c r="C465" s="294"/>
      <c r="D465" s="294"/>
      <c r="E465" s="294"/>
      <c r="F465" s="294"/>
      <c r="N465" s="295"/>
      <c r="U465" s="295"/>
      <c r="AC465" s="188"/>
      <c r="AE465" s="188"/>
      <c r="AF465" s="188"/>
      <c r="AG465" s="188"/>
      <c r="AH465" s="188"/>
      <c r="AI465" s="299"/>
    </row>
    <row r="466" spans="3:35" ht="13">
      <c r="C466" s="294"/>
      <c r="D466" s="294"/>
      <c r="E466" s="294"/>
      <c r="F466" s="294"/>
      <c r="N466" s="295"/>
      <c r="U466" s="295"/>
      <c r="AC466" s="188"/>
      <c r="AE466" s="188"/>
      <c r="AF466" s="188"/>
      <c r="AG466" s="188"/>
      <c r="AH466" s="188"/>
      <c r="AI466" s="299"/>
    </row>
    <row r="467" spans="3:35" ht="13">
      <c r="C467" s="294"/>
      <c r="D467" s="294"/>
      <c r="E467" s="294"/>
      <c r="F467" s="294"/>
      <c r="N467" s="295"/>
      <c r="U467" s="295"/>
      <c r="AC467" s="188"/>
      <c r="AE467" s="188"/>
      <c r="AF467" s="188"/>
      <c r="AG467" s="188"/>
      <c r="AH467" s="188"/>
      <c r="AI467" s="299"/>
    </row>
    <row r="468" spans="3:35" ht="13">
      <c r="C468" s="294"/>
      <c r="D468" s="294"/>
      <c r="E468" s="294"/>
      <c r="F468" s="294"/>
      <c r="N468" s="295"/>
      <c r="U468" s="295"/>
      <c r="AC468" s="188"/>
      <c r="AE468" s="188"/>
      <c r="AF468" s="188"/>
      <c r="AG468" s="188"/>
      <c r="AH468" s="188"/>
      <c r="AI468" s="299"/>
    </row>
    <row r="469" spans="3:35" ht="13">
      <c r="C469" s="294"/>
      <c r="D469" s="294"/>
      <c r="E469" s="294"/>
      <c r="F469" s="294"/>
      <c r="N469" s="295"/>
      <c r="U469" s="295"/>
      <c r="AC469" s="188"/>
      <c r="AE469" s="188"/>
      <c r="AF469" s="188"/>
      <c r="AG469" s="188"/>
      <c r="AH469" s="188"/>
      <c r="AI469" s="299"/>
    </row>
    <row r="470" spans="3:35" ht="13">
      <c r="C470" s="294"/>
      <c r="D470" s="294"/>
      <c r="E470" s="294"/>
      <c r="F470" s="294"/>
      <c r="N470" s="295"/>
      <c r="U470" s="295"/>
      <c r="AC470" s="188"/>
      <c r="AE470" s="188"/>
      <c r="AF470" s="188"/>
      <c r="AG470" s="188"/>
      <c r="AH470" s="188"/>
      <c r="AI470" s="299"/>
    </row>
    <row r="471" spans="3:35" ht="13">
      <c r="C471" s="294"/>
      <c r="D471" s="294"/>
      <c r="E471" s="294"/>
      <c r="F471" s="294"/>
      <c r="N471" s="295"/>
      <c r="U471" s="295"/>
      <c r="AC471" s="188"/>
      <c r="AE471" s="188"/>
      <c r="AF471" s="188"/>
      <c r="AG471" s="188"/>
      <c r="AH471" s="188"/>
      <c r="AI471" s="299"/>
    </row>
    <row r="472" spans="3:35" ht="13">
      <c r="C472" s="294"/>
      <c r="D472" s="294"/>
      <c r="E472" s="294"/>
      <c r="F472" s="294"/>
      <c r="N472" s="295"/>
      <c r="U472" s="295"/>
      <c r="AC472" s="188"/>
      <c r="AE472" s="188"/>
      <c r="AF472" s="188"/>
      <c r="AG472" s="188"/>
      <c r="AH472" s="188"/>
      <c r="AI472" s="299"/>
    </row>
    <row r="473" spans="3:35" ht="13">
      <c r="C473" s="294"/>
      <c r="D473" s="294"/>
      <c r="E473" s="294"/>
      <c r="F473" s="294"/>
      <c r="N473" s="295"/>
      <c r="U473" s="295"/>
      <c r="AC473" s="188"/>
      <c r="AE473" s="188"/>
      <c r="AF473" s="188"/>
      <c r="AG473" s="188"/>
      <c r="AH473" s="188"/>
      <c r="AI473" s="299"/>
    </row>
    <row r="474" spans="3:35" ht="13">
      <c r="C474" s="294"/>
      <c r="D474" s="294"/>
      <c r="E474" s="294"/>
      <c r="F474" s="294"/>
      <c r="N474" s="295"/>
      <c r="U474" s="295"/>
      <c r="AC474" s="188"/>
      <c r="AE474" s="188"/>
      <c r="AF474" s="188"/>
      <c r="AG474" s="188"/>
      <c r="AH474" s="188"/>
      <c r="AI474" s="299"/>
    </row>
    <row r="475" spans="3:35" ht="13">
      <c r="C475" s="294"/>
      <c r="D475" s="294"/>
      <c r="E475" s="294"/>
      <c r="F475" s="294"/>
      <c r="N475" s="295"/>
      <c r="U475" s="295"/>
      <c r="AC475" s="188"/>
      <c r="AE475" s="188"/>
      <c r="AF475" s="188"/>
      <c r="AG475" s="188"/>
      <c r="AH475" s="188"/>
      <c r="AI475" s="299"/>
    </row>
    <row r="476" spans="3:35" ht="13">
      <c r="C476" s="294"/>
      <c r="D476" s="294"/>
      <c r="E476" s="294"/>
      <c r="F476" s="294"/>
      <c r="N476" s="295"/>
      <c r="U476" s="295"/>
      <c r="AC476" s="188"/>
      <c r="AE476" s="188"/>
      <c r="AF476" s="188"/>
      <c r="AG476" s="188"/>
      <c r="AH476" s="188"/>
      <c r="AI476" s="299"/>
    </row>
    <row r="477" spans="3:35" ht="13">
      <c r="C477" s="294"/>
      <c r="D477" s="294"/>
      <c r="E477" s="294"/>
      <c r="F477" s="294"/>
      <c r="N477" s="295"/>
      <c r="U477" s="295"/>
      <c r="AC477" s="188"/>
      <c r="AE477" s="188"/>
      <c r="AF477" s="188"/>
      <c r="AG477" s="188"/>
      <c r="AH477" s="188"/>
      <c r="AI477" s="299"/>
    </row>
    <row r="478" spans="3:35" ht="13">
      <c r="C478" s="294"/>
      <c r="D478" s="294"/>
      <c r="E478" s="294"/>
      <c r="F478" s="294"/>
      <c r="N478" s="295"/>
      <c r="U478" s="295"/>
      <c r="AC478" s="188"/>
      <c r="AE478" s="188"/>
      <c r="AF478" s="188"/>
      <c r="AG478" s="188"/>
      <c r="AH478" s="188"/>
      <c r="AI478" s="299"/>
    </row>
    <row r="479" spans="3:35" ht="13">
      <c r="C479" s="294"/>
      <c r="D479" s="294"/>
      <c r="E479" s="294"/>
      <c r="F479" s="294"/>
      <c r="N479" s="295"/>
      <c r="U479" s="295"/>
      <c r="AC479" s="188"/>
      <c r="AE479" s="188"/>
      <c r="AF479" s="188"/>
      <c r="AG479" s="188"/>
      <c r="AH479" s="188"/>
      <c r="AI479" s="299"/>
    </row>
    <row r="480" spans="3:35" ht="13">
      <c r="C480" s="294"/>
      <c r="D480" s="294"/>
      <c r="E480" s="294"/>
      <c r="F480" s="294"/>
      <c r="N480" s="295"/>
      <c r="U480" s="295"/>
      <c r="AC480" s="188"/>
      <c r="AE480" s="188"/>
      <c r="AF480" s="188"/>
      <c r="AG480" s="188"/>
      <c r="AH480" s="188"/>
      <c r="AI480" s="299"/>
    </row>
    <row r="481" spans="3:35" ht="13">
      <c r="C481" s="294"/>
      <c r="D481" s="294"/>
      <c r="E481" s="294"/>
      <c r="F481" s="294"/>
      <c r="N481" s="295"/>
      <c r="U481" s="295"/>
      <c r="AC481" s="188"/>
      <c r="AE481" s="188"/>
      <c r="AF481" s="188"/>
      <c r="AG481" s="188"/>
      <c r="AH481" s="188"/>
      <c r="AI481" s="299"/>
    </row>
    <row r="482" spans="3:35" ht="13">
      <c r="C482" s="294"/>
      <c r="D482" s="294"/>
      <c r="E482" s="294"/>
      <c r="F482" s="294"/>
      <c r="N482" s="295"/>
      <c r="U482" s="295"/>
      <c r="AC482" s="188"/>
      <c r="AE482" s="188"/>
      <c r="AF482" s="188"/>
      <c r="AG482" s="188"/>
      <c r="AH482" s="188"/>
      <c r="AI482" s="299"/>
    </row>
    <row r="483" spans="3:35" ht="13">
      <c r="C483" s="294"/>
      <c r="D483" s="294"/>
      <c r="E483" s="294"/>
      <c r="F483" s="294"/>
      <c r="N483" s="295"/>
      <c r="U483" s="295"/>
      <c r="AC483" s="188"/>
      <c r="AE483" s="188"/>
      <c r="AF483" s="188"/>
      <c r="AG483" s="188"/>
      <c r="AH483" s="188"/>
      <c r="AI483" s="299"/>
    </row>
    <row r="484" spans="3:35" ht="13">
      <c r="C484" s="294"/>
      <c r="D484" s="294"/>
      <c r="E484" s="294"/>
      <c r="F484" s="294"/>
      <c r="N484" s="295"/>
      <c r="U484" s="295"/>
      <c r="AC484" s="188"/>
      <c r="AE484" s="188"/>
      <c r="AF484" s="188"/>
      <c r="AG484" s="188"/>
      <c r="AH484" s="188"/>
      <c r="AI484" s="299"/>
    </row>
    <row r="485" spans="3:35" ht="13">
      <c r="C485" s="294"/>
      <c r="D485" s="294"/>
      <c r="E485" s="294"/>
      <c r="F485" s="294"/>
      <c r="N485" s="295"/>
      <c r="U485" s="295"/>
      <c r="AC485" s="188"/>
      <c r="AE485" s="188"/>
      <c r="AF485" s="188"/>
      <c r="AG485" s="188"/>
      <c r="AH485" s="188"/>
      <c r="AI485" s="299"/>
    </row>
    <row r="486" spans="3:35" ht="13">
      <c r="C486" s="294"/>
      <c r="D486" s="294"/>
      <c r="E486" s="294"/>
      <c r="F486" s="294"/>
      <c r="N486" s="295"/>
      <c r="U486" s="295"/>
      <c r="AC486" s="188"/>
      <c r="AE486" s="188"/>
      <c r="AF486" s="188"/>
      <c r="AG486" s="188"/>
      <c r="AH486" s="188"/>
      <c r="AI486" s="299"/>
    </row>
    <row r="487" spans="3:35" ht="13">
      <c r="C487" s="294"/>
      <c r="D487" s="294"/>
      <c r="E487" s="294"/>
      <c r="F487" s="294"/>
      <c r="N487" s="295"/>
      <c r="U487" s="295"/>
      <c r="AC487" s="188"/>
      <c r="AE487" s="188"/>
      <c r="AF487" s="188"/>
      <c r="AG487" s="188"/>
      <c r="AH487" s="188"/>
      <c r="AI487" s="299"/>
    </row>
    <row r="488" spans="3:35" ht="13">
      <c r="C488" s="294"/>
      <c r="D488" s="294"/>
      <c r="E488" s="294"/>
      <c r="F488" s="294"/>
      <c r="N488" s="295"/>
      <c r="U488" s="295"/>
      <c r="AC488" s="188"/>
      <c r="AE488" s="188"/>
      <c r="AF488" s="188"/>
      <c r="AG488" s="188"/>
      <c r="AH488" s="188"/>
      <c r="AI488" s="299"/>
    </row>
    <row r="489" spans="3:35" ht="13">
      <c r="C489" s="294"/>
      <c r="D489" s="294"/>
      <c r="E489" s="294"/>
      <c r="F489" s="294"/>
      <c r="N489" s="295"/>
      <c r="U489" s="295"/>
      <c r="AC489" s="188"/>
      <c r="AE489" s="188"/>
      <c r="AF489" s="188"/>
      <c r="AG489" s="188"/>
      <c r="AH489" s="188"/>
      <c r="AI489" s="299"/>
    </row>
    <row r="490" spans="3:35" ht="13">
      <c r="C490" s="294"/>
      <c r="D490" s="294"/>
      <c r="E490" s="294"/>
      <c r="F490" s="294"/>
      <c r="N490" s="295"/>
      <c r="U490" s="295"/>
      <c r="AC490" s="188"/>
      <c r="AE490" s="188"/>
      <c r="AF490" s="188"/>
      <c r="AG490" s="188"/>
      <c r="AH490" s="188"/>
      <c r="AI490" s="299"/>
    </row>
    <row r="491" spans="3:35" ht="13">
      <c r="C491" s="294"/>
      <c r="D491" s="294"/>
      <c r="E491" s="294"/>
      <c r="F491" s="294"/>
      <c r="N491" s="295"/>
      <c r="U491" s="295"/>
      <c r="AC491" s="188"/>
      <c r="AE491" s="188"/>
      <c r="AF491" s="188"/>
      <c r="AG491" s="188"/>
      <c r="AH491" s="188"/>
      <c r="AI491" s="299"/>
    </row>
    <row r="492" spans="3:35" ht="13">
      <c r="C492" s="294"/>
      <c r="D492" s="294"/>
      <c r="E492" s="294"/>
      <c r="F492" s="294"/>
      <c r="N492" s="295"/>
      <c r="U492" s="295"/>
      <c r="AC492" s="188"/>
      <c r="AE492" s="188"/>
      <c r="AF492" s="188"/>
      <c r="AG492" s="188"/>
      <c r="AH492" s="188"/>
      <c r="AI492" s="299"/>
    </row>
    <row r="493" spans="3:35" ht="13">
      <c r="C493" s="294"/>
      <c r="D493" s="294"/>
      <c r="E493" s="294"/>
      <c r="F493" s="294"/>
      <c r="N493" s="295"/>
      <c r="U493" s="295"/>
      <c r="AC493" s="188"/>
      <c r="AE493" s="188"/>
      <c r="AF493" s="188"/>
      <c r="AG493" s="188"/>
      <c r="AH493" s="188"/>
      <c r="AI493" s="299"/>
    </row>
    <row r="494" spans="3:35" ht="13">
      <c r="C494" s="294"/>
      <c r="D494" s="294"/>
      <c r="E494" s="294"/>
      <c r="F494" s="294"/>
      <c r="N494" s="295"/>
      <c r="U494" s="295"/>
      <c r="AC494" s="188"/>
      <c r="AE494" s="188"/>
      <c r="AF494" s="188"/>
      <c r="AG494" s="188"/>
      <c r="AH494" s="188"/>
      <c r="AI494" s="299"/>
    </row>
    <row r="495" spans="3:35" ht="13">
      <c r="C495" s="294"/>
      <c r="D495" s="294"/>
      <c r="E495" s="294"/>
      <c r="F495" s="294"/>
      <c r="N495" s="295"/>
      <c r="U495" s="295"/>
      <c r="AC495" s="188"/>
      <c r="AE495" s="188"/>
      <c r="AF495" s="188"/>
      <c r="AG495" s="188"/>
      <c r="AH495" s="188"/>
      <c r="AI495" s="299"/>
    </row>
    <row r="496" spans="3:35" ht="13">
      <c r="C496" s="294"/>
      <c r="D496" s="294"/>
      <c r="E496" s="294"/>
      <c r="F496" s="294"/>
      <c r="N496" s="295"/>
      <c r="U496" s="295"/>
      <c r="AC496" s="188"/>
      <c r="AE496" s="188"/>
      <c r="AF496" s="188"/>
      <c r="AG496" s="188"/>
      <c r="AH496" s="188"/>
      <c r="AI496" s="299"/>
    </row>
    <row r="497" spans="3:35" ht="13">
      <c r="C497" s="294"/>
      <c r="D497" s="294"/>
      <c r="E497" s="294"/>
      <c r="F497" s="294"/>
      <c r="N497" s="295"/>
      <c r="U497" s="295"/>
      <c r="AC497" s="188"/>
      <c r="AE497" s="188"/>
      <c r="AF497" s="188"/>
      <c r="AG497" s="188"/>
      <c r="AH497" s="188"/>
      <c r="AI497" s="299"/>
    </row>
    <row r="498" spans="3:35" ht="13">
      <c r="C498" s="294"/>
      <c r="D498" s="294"/>
      <c r="E498" s="294"/>
      <c r="F498" s="294"/>
      <c r="N498" s="295"/>
      <c r="U498" s="295"/>
      <c r="AC498" s="188"/>
      <c r="AE498" s="188"/>
      <c r="AF498" s="188"/>
      <c r="AG498" s="188"/>
      <c r="AH498" s="188"/>
      <c r="AI498" s="299"/>
    </row>
    <row r="499" spans="3:35" ht="13">
      <c r="C499" s="294"/>
      <c r="D499" s="294"/>
      <c r="E499" s="294"/>
      <c r="F499" s="294"/>
      <c r="N499" s="295"/>
      <c r="U499" s="295"/>
      <c r="AC499" s="188"/>
      <c r="AE499" s="188"/>
      <c r="AF499" s="188"/>
      <c r="AG499" s="188"/>
      <c r="AH499" s="188"/>
      <c r="AI499" s="299"/>
    </row>
    <row r="500" spans="3:35" ht="13">
      <c r="C500" s="294"/>
      <c r="D500" s="294"/>
      <c r="E500" s="294"/>
      <c r="F500" s="294"/>
      <c r="N500" s="295"/>
      <c r="U500" s="295"/>
      <c r="AC500" s="188"/>
      <c r="AE500" s="188"/>
      <c r="AF500" s="188"/>
      <c r="AG500" s="188"/>
      <c r="AH500" s="188"/>
      <c r="AI500" s="299"/>
    </row>
    <row r="501" spans="3:35" ht="13">
      <c r="C501" s="294"/>
      <c r="D501" s="294"/>
      <c r="E501" s="294"/>
      <c r="F501" s="294"/>
      <c r="N501" s="295"/>
      <c r="U501" s="295"/>
      <c r="AC501" s="188"/>
      <c r="AE501" s="188"/>
      <c r="AF501" s="188"/>
      <c r="AG501" s="188"/>
      <c r="AH501" s="188"/>
      <c r="AI501" s="299"/>
    </row>
    <row r="502" spans="3:35" ht="13">
      <c r="C502" s="294"/>
      <c r="D502" s="294"/>
      <c r="E502" s="294"/>
      <c r="F502" s="294"/>
      <c r="N502" s="295"/>
      <c r="U502" s="295"/>
      <c r="AC502" s="188"/>
      <c r="AE502" s="188"/>
      <c r="AF502" s="188"/>
      <c r="AG502" s="188"/>
      <c r="AH502" s="188"/>
      <c r="AI502" s="299"/>
    </row>
    <row r="503" spans="3:35" ht="13">
      <c r="C503" s="294"/>
      <c r="D503" s="294"/>
      <c r="E503" s="294"/>
      <c r="F503" s="294"/>
      <c r="N503" s="295"/>
      <c r="U503" s="295"/>
      <c r="AC503" s="188"/>
      <c r="AE503" s="188"/>
      <c r="AF503" s="188"/>
      <c r="AG503" s="188"/>
      <c r="AH503" s="188"/>
      <c r="AI503" s="299"/>
    </row>
    <row r="504" spans="3:35" ht="13">
      <c r="C504" s="294"/>
      <c r="D504" s="294"/>
      <c r="E504" s="294"/>
      <c r="F504" s="294"/>
      <c r="N504" s="295"/>
      <c r="U504" s="295"/>
      <c r="AC504" s="188"/>
      <c r="AE504" s="188"/>
      <c r="AF504" s="188"/>
      <c r="AG504" s="188"/>
      <c r="AH504" s="188"/>
      <c r="AI504" s="299"/>
    </row>
    <row r="505" spans="3:35" ht="13">
      <c r="C505" s="294"/>
      <c r="D505" s="294"/>
      <c r="E505" s="294"/>
      <c r="F505" s="294"/>
      <c r="N505" s="295"/>
      <c r="U505" s="295"/>
      <c r="AC505" s="188"/>
      <c r="AE505" s="188"/>
      <c r="AF505" s="188"/>
      <c r="AG505" s="188"/>
      <c r="AH505" s="188"/>
      <c r="AI505" s="299"/>
    </row>
    <row r="506" spans="3:35" ht="13">
      <c r="C506" s="294"/>
      <c r="D506" s="294"/>
      <c r="E506" s="294"/>
      <c r="F506" s="294"/>
      <c r="N506" s="295"/>
      <c r="U506" s="295"/>
      <c r="AC506" s="188"/>
      <c r="AE506" s="188"/>
      <c r="AF506" s="188"/>
      <c r="AG506" s="188"/>
      <c r="AH506" s="188"/>
      <c r="AI506" s="299"/>
    </row>
    <row r="507" spans="3:35" ht="13">
      <c r="C507" s="294"/>
      <c r="D507" s="294"/>
      <c r="E507" s="294"/>
      <c r="F507" s="294"/>
      <c r="N507" s="295"/>
      <c r="U507" s="295"/>
      <c r="AC507" s="188"/>
      <c r="AE507" s="188"/>
      <c r="AF507" s="188"/>
      <c r="AG507" s="188"/>
      <c r="AH507" s="188"/>
      <c r="AI507" s="299"/>
    </row>
    <row r="508" spans="3:35" ht="13">
      <c r="C508" s="294"/>
      <c r="D508" s="294"/>
      <c r="E508" s="294"/>
      <c r="F508" s="294"/>
      <c r="N508" s="295"/>
      <c r="U508" s="295"/>
      <c r="AC508" s="188"/>
      <c r="AE508" s="188"/>
      <c r="AF508" s="188"/>
      <c r="AG508" s="188"/>
      <c r="AH508" s="188"/>
      <c r="AI508" s="299"/>
    </row>
    <row r="509" spans="3:35" ht="13">
      <c r="C509" s="294"/>
      <c r="D509" s="294"/>
      <c r="E509" s="294"/>
      <c r="F509" s="294"/>
      <c r="N509" s="295"/>
      <c r="U509" s="295"/>
      <c r="AC509" s="188"/>
      <c r="AE509" s="188"/>
      <c r="AF509" s="188"/>
      <c r="AG509" s="188"/>
      <c r="AH509" s="188"/>
      <c r="AI509" s="299"/>
    </row>
    <row r="510" spans="3:35" ht="13">
      <c r="C510" s="294"/>
      <c r="D510" s="294"/>
      <c r="E510" s="294"/>
      <c r="F510" s="294"/>
      <c r="N510" s="295"/>
      <c r="U510" s="295"/>
      <c r="AC510" s="188"/>
      <c r="AE510" s="188"/>
      <c r="AF510" s="188"/>
      <c r="AG510" s="188"/>
      <c r="AH510" s="188"/>
      <c r="AI510" s="299"/>
    </row>
    <row r="511" spans="3:35" ht="13">
      <c r="C511" s="294"/>
      <c r="D511" s="294"/>
      <c r="E511" s="294"/>
      <c r="F511" s="294"/>
      <c r="N511" s="295"/>
      <c r="U511" s="295"/>
      <c r="AC511" s="188"/>
      <c r="AE511" s="188"/>
      <c r="AF511" s="188"/>
      <c r="AG511" s="188"/>
      <c r="AH511" s="188"/>
      <c r="AI511" s="299"/>
    </row>
    <row r="512" spans="3:35" ht="13">
      <c r="C512" s="294"/>
      <c r="D512" s="294"/>
      <c r="E512" s="294"/>
      <c r="F512" s="294"/>
      <c r="N512" s="295"/>
      <c r="U512" s="295"/>
      <c r="AC512" s="188"/>
      <c r="AE512" s="188"/>
      <c r="AF512" s="188"/>
      <c r="AG512" s="188"/>
      <c r="AH512" s="188"/>
      <c r="AI512" s="299"/>
    </row>
    <row r="513" spans="3:35" ht="13">
      <c r="C513" s="294"/>
      <c r="D513" s="294"/>
      <c r="E513" s="294"/>
      <c r="F513" s="294"/>
      <c r="N513" s="295"/>
      <c r="U513" s="295"/>
      <c r="AC513" s="188"/>
      <c r="AE513" s="188"/>
      <c r="AF513" s="188"/>
      <c r="AG513" s="188"/>
      <c r="AH513" s="188"/>
      <c r="AI513" s="299"/>
    </row>
    <row r="514" spans="3:35" ht="13">
      <c r="C514" s="294"/>
      <c r="D514" s="294"/>
      <c r="E514" s="294"/>
      <c r="F514" s="294"/>
      <c r="N514" s="295"/>
      <c r="U514" s="295"/>
      <c r="AC514" s="188"/>
      <c r="AE514" s="188"/>
      <c r="AF514" s="188"/>
      <c r="AG514" s="188"/>
      <c r="AH514" s="188"/>
      <c r="AI514" s="299"/>
    </row>
    <row r="515" spans="3:35" ht="13">
      <c r="C515" s="294"/>
      <c r="D515" s="294"/>
      <c r="E515" s="294"/>
      <c r="F515" s="294"/>
      <c r="N515" s="295"/>
      <c r="U515" s="295"/>
      <c r="AC515" s="188"/>
      <c r="AE515" s="188"/>
      <c r="AF515" s="188"/>
      <c r="AG515" s="188"/>
      <c r="AH515" s="188"/>
      <c r="AI515" s="299"/>
    </row>
    <row r="516" spans="3:35" ht="13">
      <c r="C516" s="294"/>
      <c r="D516" s="294"/>
      <c r="E516" s="294"/>
      <c r="F516" s="294"/>
      <c r="N516" s="295"/>
      <c r="U516" s="295"/>
      <c r="AC516" s="188"/>
      <c r="AE516" s="188"/>
      <c r="AF516" s="188"/>
      <c r="AG516" s="188"/>
      <c r="AH516" s="188"/>
      <c r="AI516" s="299"/>
    </row>
    <row r="517" spans="3:35" ht="13">
      <c r="C517" s="294"/>
      <c r="D517" s="294"/>
      <c r="E517" s="294"/>
      <c r="F517" s="294"/>
      <c r="N517" s="295"/>
      <c r="U517" s="295"/>
      <c r="AC517" s="188"/>
      <c r="AE517" s="188"/>
      <c r="AF517" s="188"/>
      <c r="AG517" s="188"/>
      <c r="AH517" s="188"/>
      <c r="AI517" s="299"/>
    </row>
    <row r="518" spans="3:35" ht="13">
      <c r="C518" s="294"/>
      <c r="D518" s="294"/>
      <c r="E518" s="294"/>
      <c r="F518" s="294"/>
      <c r="N518" s="295"/>
      <c r="U518" s="295"/>
      <c r="AC518" s="188"/>
      <c r="AE518" s="188"/>
      <c r="AF518" s="188"/>
      <c r="AG518" s="188"/>
      <c r="AH518" s="188"/>
      <c r="AI518" s="299"/>
    </row>
    <row r="519" spans="3:35" ht="13">
      <c r="C519" s="294"/>
      <c r="D519" s="294"/>
      <c r="E519" s="294"/>
      <c r="F519" s="294"/>
      <c r="N519" s="295"/>
      <c r="U519" s="295"/>
      <c r="AC519" s="188"/>
      <c r="AE519" s="188"/>
      <c r="AF519" s="188"/>
      <c r="AG519" s="188"/>
      <c r="AH519" s="188"/>
      <c r="AI519" s="299"/>
    </row>
    <row r="520" spans="3:35" ht="13">
      <c r="C520" s="294"/>
      <c r="D520" s="294"/>
      <c r="E520" s="294"/>
      <c r="F520" s="294"/>
      <c r="N520" s="295"/>
      <c r="U520" s="295"/>
      <c r="AC520" s="188"/>
      <c r="AE520" s="188"/>
      <c r="AF520" s="188"/>
      <c r="AG520" s="188"/>
      <c r="AH520" s="188"/>
      <c r="AI520" s="299"/>
    </row>
    <row r="521" spans="3:35" ht="13">
      <c r="C521" s="294"/>
      <c r="D521" s="294"/>
      <c r="E521" s="294"/>
      <c r="F521" s="294"/>
      <c r="N521" s="295"/>
      <c r="U521" s="295"/>
      <c r="AC521" s="188"/>
      <c r="AE521" s="188"/>
      <c r="AF521" s="188"/>
      <c r="AG521" s="188"/>
      <c r="AH521" s="188"/>
      <c r="AI521" s="299"/>
    </row>
    <row r="522" spans="3:35" ht="13">
      <c r="C522" s="294"/>
      <c r="D522" s="294"/>
      <c r="E522" s="294"/>
      <c r="F522" s="294"/>
      <c r="N522" s="295"/>
      <c r="U522" s="295"/>
      <c r="AC522" s="188"/>
      <c r="AE522" s="188"/>
      <c r="AF522" s="188"/>
      <c r="AG522" s="188"/>
      <c r="AH522" s="188"/>
      <c r="AI522" s="299"/>
    </row>
    <row r="523" spans="3:35" ht="13">
      <c r="C523" s="294"/>
      <c r="D523" s="294"/>
      <c r="E523" s="294"/>
      <c r="F523" s="294"/>
      <c r="N523" s="295"/>
      <c r="U523" s="295"/>
      <c r="AC523" s="188"/>
      <c r="AE523" s="188"/>
      <c r="AF523" s="188"/>
      <c r="AG523" s="188"/>
      <c r="AH523" s="188"/>
      <c r="AI523" s="299"/>
    </row>
    <row r="524" spans="3:35" ht="13">
      <c r="C524" s="294"/>
      <c r="D524" s="294"/>
      <c r="E524" s="294"/>
      <c r="F524" s="294"/>
      <c r="N524" s="295"/>
      <c r="U524" s="295"/>
      <c r="AC524" s="188"/>
      <c r="AE524" s="188"/>
      <c r="AF524" s="188"/>
      <c r="AG524" s="188"/>
      <c r="AH524" s="188"/>
      <c r="AI524" s="299"/>
    </row>
    <row r="525" spans="3:35" ht="13">
      <c r="C525" s="294"/>
      <c r="D525" s="294"/>
      <c r="E525" s="294"/>
      <c r="F525" s="294"/>
      <c r="N525" s="295"/>
      <c r="U525" s="295"/>
      <c r="AC525" s="188"/>
      <c r="AE525" s="188"/>
      <c r="AF525" s="188"/>
      <c r="AG525" s="188"/>
      <c r="AH525" s="188"/>
      <c r="AI525" s="299"/>
    </row>
    <row r="526" spans="3:35" ht="13">
      <c r="C526" s="294"/>
      <c r="D526" s="294"/>
      <c r="E526" s="294"/>
      <c r="F526" s="294"/>
      <c r="N526" s="295"/>
      <c r="U526" s="295"/>
      <c r="AC526" s="188"/>
      <c r="AE526" s="188"/>
      <c r="AF526" s="188"/>
      <c r="AG526" s="188"/>
      <c r="AH526" s="188"/>
      <c r="AI526" s="299"/>
    </row>
    <row r="527" spans="3:35" ht="13">
      <c r="C527" s="294"/>
      <c r="D527" s="294"/>
      <c r="E527" s="294"/>
      <c r="F527" s="294"/>
      <c r="N527" s="295"/>
      <c r="U527" s="295"/>
      <c r="AC527" s="188"/>
      <c r="AE527" s="188"/>
      <c r="AF527" s="188"/>
      <c r="AG527" s="188"/>
      <c r="AH527" s="188"/>
      <c r="AI527" s="299"/>
    </row>
    <row r="528" spans="3:35" ht="13">
      <c r="C528" s="294"/>
      <c r="D528" s="294"/>
      <c r="E528" s="294"/>
      <c r="F528" s="294"/>
      <c r="N528" s="295"/>
      <c r="U528" s="295"/>
      <c r="AC528" s="188"/>
      <c r="AE528" s="188"/>
      <c r="AF528" s="188"/>
      <c r="AG528" s="188"/>
      <c r="AH528" s="188"/>
      <c r="AI528" s="299"/>
    </row>
    <row r="529" spans="3:35" ht="13">
      <c r="C529" s="294"/>
      <c r="D529" s="294"/>
      <c r="E529" s="294"/>
      <c r="F529" s="294"/>
      <c r="N529" s="295"/>
      <c r="U529" s="295"/>
      <c r="AC529" s="188"/>
      <c r="AE529" s="188"/>
      <c r="AF529" s="188"/>
      <c r="AG529" s="188"/>
      <c r="AH529" s="188"/>
      <c r="AI529" s="299"/>
    </row>
    <row r="530" spans="3:35" ht="13">
      <c r="C530" s="294"/>
      <c r="D530" s="294"/>
      <c r="E530" s="294"/>
      <c r="F530" s="294"/>
      <c r="N530" s="295"/>
      <c r="U530" s="295"/>
      <c r="AC530" s="188"/>
      <c r="AE530" s="188"/>
      <c r="AF530" s="188"/>
      <c r="AG530" s="188"/>
      <c r="AH530" s="188"/>
      <c r="AI530" s="299"/>
    </row>
    <row r="531" spans="3:35" ht="13">
      <c r="C531" s="294"/>
      <c r="D531" s="294"/>
      <c r="E531" s="294"/>
      <c r="F531" s="294"/>
      <c r="N531" s="295"/>
      <c r="U531" s="295"/>
      <c r="AC531" s="188"/>
      <c r="AE531" s="188"/>
      <c r="AF531" s="188"/>
      <c r="AG531" s="188"/>
      <c r="AH531" s="188"/>
      <c r="AI531" s="299"/>
    </row>
    <row r="532" spans="3:35" ht="13">
      <c r="C532" s="294"/>
      <c r="D532" s="294"/>
      <c r="E532" s="294"/>
      <c r="F532" s="294"/>
      <c r="N532" s="295"/>
      <c r="U532" s="295"/>
      <c r="AC532" s="188"/>
      <c r="AE532" s="188"/>
      <c r="AF532" s="188"/>
      <c r="AG532" s="188"/>
      <c r="AH532" s="188"/>
      <c r="AI532" s="299"/>
    </row>
    <row r="533" spans="3:35" ht="13">
      <c r="C533" s="294"/>
      <c r="D533" s="294"/>
      <c r="E533" s="294"/>
      <c r="F533" s="294"/>
      <c r="N533" s="295"/>
      <c r="U533" s="295"/>
      <c r="AC533" s="188"/>
      <c r="AE533" s="188"/>
      <c r="AF533" s="188"/>
      <c r="AG533" s="188"/>
      <c r="AH533" s="188"/>
      <c r="AI533" s="299"/>
    </row>
    <row r="534" spans="3:35" ht="13">
      <c r="C534" s="294"/>
      <c r="D534" s="294"/>
      <c r="E534" s="294"/>
      <c r="F534" s="294"/>
      <c r="N534" s="295"/>
      <c r="U534" s="295"/>
      <c r="AC534" s="188"/>
      <c r="AE534" s="188"/>
      <c r="AF534" s="188"/>
      <c r="AG534" s="188"/>
      <c r="AH534" s="188"/>
      <c r="AI534" s="299"/>
    </row>
    <row r="535" spans="3:35" ht="13">
      <c r="C535" s="294"/>
      <c r="D535" s="294"/>
      <c r="E535" s="294"/>
      <c r="F535" s="294"/>
      <c r="N535" s="295"/>
      <c r="U535" s="295"/>
      <c r="AC535" s="188"/>
      <c r="AE535" s="188"/>
      <c r="AF535" s="188"/>
      <c r="AG535" s="188"/>
      <c r="AH535" s="188"/>
      <c r="AI535" s="299"/>
    </row>
    <row r="536" spans="3:35" ht="13">
      <c r="C536" s="294"/>
      <c r="D536" s="294"/>
      <c r="E536" s="294"/>
      <c r="F536" s="294"/>
      <c r="N536" s="295"/>
      <c r="U536" s="295"/>
      <c r="AC536" s="188"/>
      <c r="AE536" s="188"/>
      <c r="AF536" s="188"/>
      <c r="AG536" s="188"/>
      <c r="AH536" s="188"/>
      <c r="AI536" s="299"/>
    </row>
    <row r="537" spans="3:35" ht="13">
      <c r="C537" s="294"/>
      <c r="D537" s="294"/>
      <c r="E537" s="294"/>
      <c r="F537" s="294"/>
      <c r="N537" s="295"/>
      <c r="U537" s="295"/>
      <c r="AC537" s="188"/>
      <c r="AE537" s="188"/>
      <c r="AF537" s="188"/>
      <c r="AG537" s="188"/>
      <c r="AH537" s="188"/>
      <c r="AI537" s="299"/>
    </row>
    <row r="538" spans="3:35" ht="13">
      <c r="C538" s="294"/>
      <c r="D538" s="294"/>
      <c r="E538" s="294"/>
      <c r="F538" s="294"/>
      <c r="N538" s="295"/>
      <c r="U538" s="295"/>
      <c r="AC538" s="188"/>
      <c r="AE538" s="188"/>
      <c r="AF538" s="188"/>
      <c r="AG538" s="188"/>
      <c r="AH538" s="188"/>
      <c r="AI538" s="299"/>
    </row>
    <row r="539" spans="3:35" ht="13">
      <c r="C539" s="294"/>
      <c r="D539" s="294"/>
      <c r="E539" s="294"/>
      <c r="F539" s="294"/>
      <c r="N539" s="295"/>
      <c r="U539" s="295"/>
      <c r="AC539" s="188"/>
      <c r="AE539" s="188"/>
      <c r="AF539" s="188"/>
      <c r="AG539" s="188"/>
      <c r="AH539" s="188"/>
      <c r="AI539" s="299"/>
    </row>
    <row r="540" spans="3:35" ht="13">
      <c r="C540" s="294"/>
      <c r="D540" s="294"/>
      <c r="E540" s="294"/>
      <c r="F540" s="294"/>
      <c r="N540" s="295"/>
      <c r="U540" s="295"/>
      <c r="AC540" s="188"/>
      <c r="AE540" s="188"/>
      <c r="AF540" s="188"/>
      <c r="AG540" s="188"/>
      <c r="AH540" s="188"/>
      <c r="AI540" s="299"/>
    </row>
    <row r="541" spans="3:35" ht="13">
      <c r="C541" s="294"/>
      <c r="D541" s="294"/>
      <c r="E541" s="294"/>
      <c r="F541" s="294"/>
      <c r="N541" s="295"/>
      <c r="U541" s="295"/>
      <c r="AC541" s="188"/>
      <c r="AE541" s="188"/>
      <c r="AF541" s="188"/>
      <c r="AG541" s="188"/>
      <c r="AH541" s="188"/>
      <c r="AI541" s="299"/>
    </row>
    <row r="542" spans="3:35" ht="13">
      <c r="C542" s="294"/>
      <c r="D542" s="294"/>
      <c r="E542" s="294"/>
      <c r="F542" s="294"/>
      <c r="N542" s="295"/>
      <c r="U542" s="295"/>
      <c r="AC542" s="188"/>
      <c r="AE542" s="188"/>
      <c r="AF542" s="188"/>
      <c r="AG542" s="188"/>
      <c r="AH542" s="188"/>
      <c r="AI542" s="299"/>
    </row>
    <row r="543" spans="3:35" ht="13">
      <c r="C543" s="294"/>
      <c r="D543" s="294"/>
      <c r="E543" s="294"/>
      <c r="F543" s="294"/>
      <c r="N543" s="295"/>
      <c r="U543" s="295"/>
      <c r="AC543" s="188"/>
      <c r="AE543" s="188"/>
      <c r="AF543" s="188"/>
      <c r="AG543" s="188"/>
      <c r="AH543" s="188"/>
      <c r="AI543" s="299"/>
    </row>
    <row r="544" spans="3:35" ht="13">
      <c r="C544" s="294"/>
      <c r="D544" s="294"/>
      <c r="E544" s="294"/>
      <c r="F544" s="294"/>
      <c r="N544" s="295"/>
      <c r="U544" s="295"/>
      <c r="AC544" s="188"/>
      <c r="AE544" s="188"/>
      <c r="AF544" s="188"/>
      <c r="AG544" s="188"/>
      <c r="AH544" s="188"/>
      <c r="AI544" s="299"/>
    </row>
    <row r="545" spans="3:35" ht="13">
      <c r="C545" s="294"/>
      <c r="D545" s="294"/>
      <c r="E545" s="294"/>
      <c r="F545" s="294"/>
      <c r="N545" s="295"/>
      <c r="U545" s="295"/>
      <c r="AC545" s="188"/>
      <c r="AE545" s="188"/>
      <c r="AF545" s="188"/>
      <c r="AG545" s="188"/>
      <c r="AH545" s="188"/>
      <c r="AI545" s="299"/>
    </row>
    <row r="546" spans="3:35" ht="13">
      <c r="C546" s="294"/>
      <c r="D546" s="294"/>
      <c r="E546" s="294"/>
      <c r="F546" s="294"/>
      <c r="N546" s="295"/>
      <c r="U546" s="295"/>
      <c r="AC546" s="188"/>
      <c r="AE546" s="188"/>
      <c r="AF546" s="188"/>
      <c r="AG546" s="188"/>
      <c r="AH546" s="188"/>
      <c r="AI546" s="299"/>
    </row>
    <row r="547" spans="3:35" ht="13">
      <c r="C547" s="294"/>
      <c r="D547" s="294"/>
      <c r="E547" s="294"/>
      <c r="F547" s="294"/>
      <c r="N547" s="295"/>
      <c r="U547" s="295"/>
      <c r="AC547" s="188"/>
      <c r="AE547" s="188"/>
      <c r="AF547" s="188"/>
      <c r="AG547" s="188"/>
      <c r="AH547" s="188"/>
      <c r="AI547" s="299"/>
    </row>
    <row r="548" spans="3:35" ht="13">
      <c r="C548" s="294"/>
      <c r="D548" s="294"/>
      <c r="E548" s="294"/>
      <c r="F548" s="294"/>
      <c r="N548" s="295"/>
      <c r="U548" s="295"/>
      <c r="AC548" s="188"/>
      <c r="AE548" s="188"/>
      <c r="AF548" s="188"/>
      <c r="AG548" s="188"/>
      <c r="AH548" s="188"/>
      <c r="AI548" s="299"/>
    </row>
    <row r="549" spans="3:35" ht="13">
      <c r="C549" s="294"/>
      <c r="D549" s="294"/>
      <c r="E549" s="294"/>
      <c r="F549" s="294"/>
      <c r="N549" s="295"/>
      <c r="U549" s="295"/>
      <c r="AC549" s="188"/>
      <c r="AE549" s="188"/>
      <c r="AF549" s="188"/>
      <c r="AG549" s="188"/>
      <c r="AH549" s="188"/>
      <c r="AI549" s="299"/>
    </row>
    <row r="550" spans="3:35" ht="13">
      <c r="C550" s="294"/>
      <c r="D550" s="294"/>
      <c r="E550" s="294"/>
      <c r="F550" s="294"/>
      <c r="N550" s="295"/>
      <c r="U550" s="295"/>
      <c r="AC550" s="188"/>
      <c r="AE550" s="188"/>
      <c r="AF550" s="188"/>
      <c r="AG550" s="188"/>
      <c r="AH550" s="188"/>
      <c r="AI550" s="299"/>
    </row>
    <row r="551" spans="3:35" ht="13">
      <c r="C551" s="294"/>
      <c r="D551" s="294"/>
      <c r="E551" s="294"/>
      <c r="F551" s="294"/>
      <c r="N551" s="295"/>
      <c r="U551" s="295"/>
      <c r="AC551" s="188"/>
      <c r="AE551" s="188"/>
      <c r="AF551" s="188"/>
      <c r="AG551" s="188"/>
      <c r="AH551" s="188"/>
      <c r="AI551" s="299"/>
    </row>
    <row r="552" spans="3:35" ht="13">
      <c r="C552" s="294"/>
      <c r="D552" s="294"/>
      <c r="E552" s="294"/>
      <c r="F552" s="294"/>
      <c r="N552" s="295"/>
      <c r="U552" s="295"/>
      <c r="AC552" s="188"/>
      <c r="AE552" s="188"/>
      <c r="AF552" s="188"/>
      <c r="AG552" s="188"/>
      <c r="AH552" s="188"/>
      <c r="AI552" s="299"/>
    </row>
    <row r="553" spans="3:35" ht="13">
      <c r="C553" s="294"/>
      <c r="D553" s="294"/>
      <c r="E553" s="294"/>
      <c r="F553" s="294"/>
      <c r="N553" s="295"/>
      <c r="U553" s="295"/>
      <c r="AC553" s="188"/>
      <c r="AE553" s="188"/>
      <c r="AF553" s="188"/>
      <c r="AG553" s="188"/>
      <c r="AH553" s="188"/>
      <c r="AI553" s="299"/>
    </row>
    <row r="554" spans="3:35" ht="13">
      <c r="C554" s="294"/>
      <c r="D554" s="294"/>
      <c r="E554" s="294"/>
      <c r="F554" s="294"/>
      <c r="N554" s="295"/>
      <c r="U554" s="295"/>
      <c r="AC554" s="188"/>
      <c r="AE554" s="188"/>
      <c r="AF554" s="188"/>
      <c r="AG554" s="188"/>
      <c r="AH554" s="188"/>
      <c r="AI554" s="299"/>
    </row>
    <row r="555" spans="3:35" ht="13">
      <c r="C555" s="294"/>
      <c r="D555" s="294"/>
      <c r="E555" s="294"/>
      <c r="F555" s="294"/>
      <c r="N555" s="295"/>
      <c r="U555" s="295"/>
      <c r="AC555" s="188"/>
      <c r="AE555" s="188"/>
      <c r="AF555" s="188"/>
      <c r="AG555" s="188"/>
      <c r="AH555" s="188"/>
      <c r="AI555" s="299"/>
    </row>
    <row r="556" spans="3:35" ht="13">
      <c r="C556" s="294"/>
      <c r="D556" s="294"/>
      <c r="E556" s="294"/>
      <c r="F556" s="294"/>
      <c r="N556" s="295"/>
      <c r="U556" s="295"/>
      <c r="AC556" s="188"/>
      <c r="AE556" s="188"/>
      <c r="AF556" s="188"/>
      <c r="AG556" s="188"/>
      <c r="AH556" s="188"/>
      <c r="AI556" s="299"/>
    </row>
    <row r="557" spans="3:35" ht="13">
      <c r="C557" s="294"/>
      <c r="D557" s="294"/>
      <c r="E557" s="294"/>
      <c r="F557" s="294"/>
      <c r="N557" s="295"/>
      <c r="U557" s="295"/>
      <c r="AC557" s="188"/>
      <c r="AE557" s="188"/>
      <c r="AF557" s="188"/>
      <c r="AG557" s="188"/>
      <c r="AH557" s="188"/>
      <c r="AI557" s="299"/>
    </row>
    <row r="558" spans="3:35" ht="13">
      <c r="C558" s="294"/>
      <c r="D558" s="294"/>
      <c r="E558" s="294"/>
      <c r="F558" s="294"/>
      <c r="N558" s="295"/>
      <c r="U558" s="295"/>
      <c r="AC558" s="188"/>
      <c r="AE558" s="188"/>
      <c r="AF558" s="188"/>
      <c r="AG558" s="188"/>
      <c r="AH558" s="188"/>
      <c r="AI558" s="299"/>
    </row>
    <row r="559" spans="3:35" ht="13">
      <c r="C559" s="294"/>
      <c r="D559" s="294"/>
      <c r="E559" s="294"/>
      <c r="F559" s="294"/>
      <c r="N559" s="295"/>
      <c r="U559" s="295"/>
      <c r="AC559" s="188"/>
      <c r="AE559" s="188"/>
      <c r="AF559" s="188"/>
      <c r="AG559" s="188"/>
      <c r="AH559" s="188"/>
      <c r="AI559" s="299"/>
    </row>
    <row r="560" spans="3:35" ht="13">
      <c r="C560" s="294"/>
      <c r="D560" s="294"/>
      <c r="E560" s="294"/>
      <c r="F560" s="294"/>
      <c r="N560" s="295"/>
      <c r="U560" s="295"/>
      <c r="AC560" s="188"/>
      <c r="AE560" s="188"/>
      <c r="AF560" s="188"/>
      <c r="AG560" s="188"/>
      <c r="AH560" s="188"/>
      <c r="AI560" s="299"/>
    </row>
    <row r="561" spans="3:35" ht="13">
      <c r="C561" s="294"/>
      <c r="D561" s="294"/>
      <c r="E561" s="294"/>
      <c r="F561" s="294"/>
      <c r="N561" s="295"/>
      <c r="U561" s="295"/>
      <c r="AC561" s="188"/>
      <c r="AE561" s="188"/>
      <c r="AF561" s="188"/>
      <c r="AG561" s="188"/>
      <c r="AH561" s="188"/>
      <c r="AI561" s="299"/>
    </row>
    <row r="562" spans="3:35" ht="13">
      <c r="C562" s="294"/>
      <c r="D562" s="294"/>
      <c r="E562" s="294"/>
      <c r="F562" s="294"/>
      <c r="N562" s="295"/>
      <c r="U562" s="295"/>
      <c r="AC562" s="188"/>
      <c r="AE562" s="188"/>
      <c r="AF562" s="188"/>
      <c r="AG562" s="188"/>
      <c r="AH562" s="188"/>
      <c r="AI562" s="299"/>
    </row>
    <row r="563" spans="3:35" ht="13">
      <c r="C563" s="294"/>
      <c r="D563" s="294"/>
      <c r="E563" s="294"/>
      <c r="F563" s="294"/>
      <c r="N563" s="295"/>
      <c r="U563" s="295"/>
      <c r="AC563" s="188"/>
      <c r="AE563" s="188"/>
      <c r="AF563" s="188"/>
      <c r="AG563" s="188"/>
      <c r="AH563" s="188"/>
      <c r="AI563" s="299"/>
    </row>
    <row r="564" spans="3:35" ht="13">
      <c r="C564" s="294"/>
      <c r="D564" s="294"/>
      <c r="E564" s="294"/>
      <c r="F564" s="294"/>
      <c r="N564" s="295"/>
      <c r="U564" s="295"/>
      <c r="AC564" s="188"/>
      <c r="AE564" s="188"/>
      <c r="AF564" s="188"/>
      <c r="AG564" s="188"/>
      <c r="AH564" s="188"/>
      <c r="AI564" s="299"/>
    </row>
    <row r="565" spans="3:35" ht="13">
      <c r="C565" s="294"/>
      <c r="D565" s="294"/>
      <c r="E565" s="294"/>
      <c r="F565" s="294"/>
      <c r="N565" s="295"/>
      <c r="U565" s="295"/>
      <c r="AC565" s="188"/>
      <c r="AE565" s="188"/>
      <c r="AF565" s="188"/>
      <c r="AG565" s="188"/>
      <c r="AH565" s="188"/>
      <c r="AI565" s="299"/>
    </row>
    <row r="566" spans="3:35" ht="13">
      <c r="C566" s="294"/>
      <c r="D566" s="294"/>
      <c r="E566" s="294"/>
      <c r="F566" s="294"/>
      <c r="N566" s="295"/>
      <c r="U566" s="295"/>
      <c r="AC566" s="188"/>
      <c r="AE566" s="188"/>
      <c r="AF566" s="188"/>
      <c r="AG566" s="188"/>
      <c r="AH566" s="188"/>
      <c r="AI566" s="299"/>
    </row>
    <row r="567" spans="3:35" ht="13">
      <c r="C567" s="294"/>
      <c r="D567" s="294"/>
      <c r="E567" s="294"/>
      <c r="F567" s="294"/>
      <c r="N567" s="295"/>
      <c r="U567" s="295"/>
      <c r="AC567" s="188"/>
      <c r="AE567" s="188"/>
      <c r="AF567" s="188"/>
      <c r="AG567" s="188"/>
      <c r="AH567" s="188"/>
      <c r="AI567" s="299"/>
    </row>
    <row r="568" spans="3:35" ht="13">
      <c r="C568" s="294"/>
      <c r="D568" s="294"/>
      <c r="E568" s="294"/>
      <c r="F568" s="294"/>
      <c r="N568" s="295"/>
      <c r="U568" s="295"/>
      <c r="AC568" s="188"/>
      <c r="AE568" s="188"/>
      <c r="AF568" s="188"/>
      <c r="AG568" s="188"/>
      <c r="AH568" s="188"/>
      <c r="AI568" s="299"/>
    </row>
    <row r="569" spans="3:35" ht="13">
      <c r="C569" s="294"/>
      <c r="D569" s="294"/>
      <c r="E569" s="294"/>
      <c r="F569" s="294"/>
      <c r="N569" s="295"/>
      <c r="U569" s="295"/>
      <c r="AC569" s="188"/>
      <c r="AE569" s="188"/>
      <c r="AF569" s="188"/>
      <c r="AG569" s="188"/>
      <c r="AH569" s="188"/>
      <c r="AI569" s="299"/>
    </row>
    <row r="570" spans="3:35" ht="13">
      <c r="C570" s="294"/>
      <c r="D570" s="294"/>
      <c r="E570" s="294"/>
      <c r="F570" s="294"/>
      <c r="N570" s="295"/>
      <c r="U570" s="295"/>
      <c r="AC570" s="188"/>
      <c r="AE570" s="188"/>
      <c r="AF570" s="188"/>
      <c r="AG570" s="188"/>
      <c r="AH570" s="188"/>
      <c r="AI570" s="299"/>
    </row>
    <row r="571" spans="3:35" ht="13">
      <c r="C571" s="294"/>
      <c r="D571" s="294"/>
      <c r="E571" s="294"/>
      <c r="F571" s="294"/>
      <c r="N571" s="295"/>
      <c r="U571" s="295"/>
      <c r="AC571" s="188"/>
      <c r="AE571" s="188"/>
      <c r="AF571" s="188"/>
      <c r="AG571" s="188"/>
      <c r="AH571" s="188"/>
      <c r="AI571" s="299"/>
    </row>
    <row r="572" spans="3:35" ht="13">
      <c r="C572" s="294"/>
      <c r="D572" s="294"/>
      <c r="E572" s="294"/>
      <c r="F572" s="294"/>
      <c r="N572" s="295"/>
      <c r="U572" s="295"/>
      <c r="AC572" s="188"/>
      <c r="AE572" s="188"/>
      <c r="AF572" s="188"/>
      <c r="AG572" s="188"/>
      <c r="AH572" s="188"/>
      <c r="AI572" s="299"/>
    </row>
    <row r="573" spans="3:35" ht="13">
      <c r="C573" s="294"/>
      <c r="D573" s="294"/>
      <c r="E573" s="294"/>
      <c r="F573" s="294"/>
      <c r="N573" s="295"/>
      <c r="U573" s="295"/>
      <c r="AC573" s="188"/>
      <c r="AE573" s="188"/>
      <c r="AF573" s="188"/>
      <c r="AG573" s="188"/>
      <c r="AH573" s="188"/>
      <c r="AI573" s="299"/>
    </row>
    <row r="574" spans="3:35" ht="13">
      <c r="C574" s="294"/>
      <c r="D574" s="294"/>
      <c r="E574" s="294"/>
      <c r="F574" s="294"/>
      <c r="N574" s="295"/>
      <c r="U574" s="295"/>
      <c r="AC574" s="188"/>
      <c r="AE574" s="188"/>
      <c r="AF574" s="188"/>
      <c r="AG574" s="188"/>
      <c r="AH574" s="188"/>
      <c r="AI574" s="299"/>
    </row>
    <row r="575" spans="3:35" ht="13">
      <c r="C575" s="294"/>
      <c r="D575" s="294"/>
      <c r="E575" s="294"/>
      <c r="F575" s="294"/>
      <c r="N575" s="295"/>
      <c r="U575" s="295"/>
      <c r="AC575" s="188"/>
      <c r="AE575" s="188"/>
      <c r="AF575" s="188"/>
      <c r="AG575" s="188"/>
      <c r="AH575" s="188"/>
      <c r="AI575" s="299"/>
    </row>
    <row r="576" spans="3:35" ht="13">
      <c r="C576" s="294"/>
      <c r="D576" s="294"/>
      <c r="E576" s="294"/>
      <c r="F576" s="294"/>
      <c r="N576" s="295"/>
      <c r="U576" s="295"/>
      <c r="AC576" s="188"/>
      <c r="AE576" s="188"/>
      <c r="AF576" s="188"/>
      <c r="AG576" s="188"/>
      <c r="AH576" s="188"/>
      <c r="AI576" s="299"/>
    </row>
    <row r="577" spans="3:35" ht="13">
      <c r="C577" s="294"/>
      <c r="D577" s="294"/>
      <c r="E577" s="294"/>
      <c r="F577" s="294"/>
      <c r="N577" s="295"/>
      <c r="U577" s="295"/>
      <c r="AC577" s="188"/>
      <c r="AE577" s="188"/>
      <c r="AF577" s="188"/>
      <c r="AG577" s="188"/>
      <c r="AH577" s="188"/>
      <c r="AI577" s="299"/>
    </row>
    <row r="578" spans="3:35" ht="13">
      <c r="C578" s="294"/>
      <c r="D578" s="294"/>
      <c r="E578" s="294"/>
      <c r="F578" s="294"/>
      <c r="N578" s="295"/>
      <c r="U578" s="295"/>
      <c r="AC578" s="188"/>
      <c r="AE578" s="188"/>
      <c r="AF578" s="188"/>
      <c r="AG578" s="188"/>
      <c r="AH578" s="188"/>
      <c r="AI578" s="299"/>
    </row>
    <row r="579" spans="3:35" ht="13">
      <c r="C579" s="294"/>
      <c r="D579" s="294"/>
      <c r="E579" s="294"/>
      <c r="F579" s="294"/>
      <c r="N579" s="295"/>
      <c r="U579" s="295"/>
      <c r="AC579" s="188"/>
      <c r="AE579" s="188"/>
      <c r="AF579" s="188"/>
      <c r="AG579" s="188"/>
      <c r="AH579" s="188"/>
      <c r="AI579" s="299"/>
    </row>
    <row r="580" spans="3:35" ht="13">
      <c r="C580" s="294"/>
      <c r="D580" s="294"/>
      <c r="E580" s="294"/>
      <c r="F580" s="294"/>
      <c r="N580" s="295"/>
      <c r="U580" s="295"/>
      <c r="AC580" s="188"/>
      <c r="AE580" s="188"/>
      <c r="AF580" s="188"/>
      <c r="AG580" s="188"/>
      <c r="AH580" s="188"/>
      <c r="AI580" s="299"/>
    </row>
    <row r="581" spans="3:35" ht="13">
      <c r="C581" s="294"/>
      <c r="D581" s="294"/>
      <c r="E581" s="294"/>
      <c r="F581" s="294"/>
      <c r="N581" s="295"/>
      <c r="U581" s="295"/>
      <c r="AC581" s="188"/>
      <c r="AE581" s="188"/>
      <c r="AF581" s="188"/>
      <c r="AG581" s="188"/>
      <c r="AH581" s="188"/>
      <c r="AI581" s="299"/>
    </row>
    <row r="582" spans="3:35" ht="13">
      <c r="C582" s="294"/>
      <c r="D582" s="294"/>
      <c r="E582" s="294"/>
      <c r="F582" s="294"/>
      <c r="N582" s="295"/>
      <c r="U582" s="295"/>
      <c r="AC582" s="188"/>
      <c r="AE582" s="188"/>
      <c r="AF582" s="188"/>
      <c r="AG582" s="188"/>
      <c r="AH582" s="188"/>
      <c r="AI582" s="299"/>
    </row>
    <row r="583" spans="3:35" ht="13">
      <c r="C583" s="294"/>
      <c r="D583" s="294"/>
      <c r="E583" s="294"/>
      <c r="F583" s="294"/>
      <c r="N583" s="295"/>
      <c r="U583" s="295"/>
      <c r="AC583" s="188"/>
      <c r="AE583" s="188"/>
      <c r="AF583" s="188"/>
      <c r="AG583" s="188"/>
      <c r="AH583" s="188"/>
      <c r="AI583" s="299"/>
    </row>
    <row r="584" spans="3:35" ht="13">
      <c r="C584" s="294"/>
      <c r="D584" s="294"/>
      <c r="E584" s="294"/>
      <c r="F584" s="294"/>
      <c r="N584" s="295"/>
      <c r="U584" s="295"/>
      <c r="AC584" s="188"/>
      <c r="AE584" s="188"/>
      <c r="AF584" s="188"/>
      <c r="AG584" s="188"/>
      <c r="AH584" s="188"/>
      <c r="AI584" s="299"/>
    </row>
    <row r="585" spans="3:35" ht="13">
      <c r="C585" s="294"/>
      <c r="D585" s="294"/>
      <c r="E585" s="294"/>
      <c r="F585" s="294"/>
      <c r="N585" s="295"/>
      <c r="U585" s="295"/>
      <c r="AC585" s="188"/>
      <c r="AE585" s="188"/>
      <c r="AF585" s="188"/>
      <c r="AG585" s="188"/>
      <c r="AH585" s="188"/>
      <c r="AI585" s="299"/>
    </row>
    <row r="586" spans="3:35" ht="13">
      <c r="C586" s="294"/>
      <c r="D586" s="294"/>
      <c r="E586" s="294"/>
      <c r="F586" s="294"/>
      <c r="N586" s="295"/>
      <c r="U586" s="295"/>
      <c r="AC586" s="188"/>
      <c r="AE586" s="188"/>
      <c r="AF586" s="188"/>
      <c r="AG586" s="188"/>
      <c r="AH586" s="188"/>
      <c r="AI586" s="299"/>
    </row>
    <row r="587" spans="3:35" ht="13">
      <c r="C587" s="294"/>
      <c r="D587" s="294"/>
      <c r="E587" s="294"/>
      <c r="F587" s="294"/>
      <c r="N587" s="295"/>
      <c r="U587" s="295"/>
      <c r="AC587" s="188"/>
      <c r="AE587" s="188"/>
      <c r="AF587" s="188"/>
      <c r="AG587" s="188"/>
      <c r="AH587" s="188"/>
      <c r="AI587" s="299"/>
    </row>
    <row r="588" spans="3:35" ht="13">
      <c r="C588" s="294"/>
      <c r="D588" s="294"/>
      <c r="E588" s="294"/>
      <c r="F588" s="294"/>
      <c r="N588" s="295"/>
      <c r="U588" s="295"/>
      <c r="AC588" s="188"/>
      <c r="AE588" s="188"/>
      <c r="AF588" s="188"/>
      <c r="AG588" s="188"/>
      <c r="AH588" s="188"/>
      <c r="AI588" s="299"/>
    </row>
    <row r="589" spans="3:35" ht="13">
      <c r="C589" s="294"/>
      <c r="D589" s="294"/>
      <c r="E589" s="294"/>
      <c r="F589" s="294"/>
      <c r="N589" s="295"/>
      <c r="U589" s="295"/>
      <c r="AC589" s="188"/>
      <c r="AE589" s="188"/>
      <c r="AF589" s="188"/>
      <c r="AG589" s="188"/>
      <c r="AH589" s="188"/>
      <c r="AI589" s="299"/>
    </row>
    <row r="590" spans="3:35" ht="13">
      <c r="C590" s="294"/>
      <c r="D590" s="294"/>
      <c r="E590" s="294"/>
      <c r="F590" s="294"/>
      <c r="N590" s="295"/>
      <c r="U590" s="295"/>
      <c r="AC590" s="188"/>
      <c r="AE590" s="188"/>
      <c r="AF590" s="188"/>
      <c r="AG590" s="188"/>
      <c r="AH590" s="188"/>
      <c r="AI590" s="299"/>
    </row>
    <row r="591" spans="3:35" ht="13">
      <c r="C591" s="294"/>
      <c r="D591" s="294"/>
      <c r="E591" s="294"/>
      <c r="F591" s="294"/>
      <c r="N591" s="295"/>
      <c r="U591" s="295"/>
      <c r="AC591" s="188"/>
      <c r="AE591" s="188"/>
      <c r="AF591" s="188"/>
      <c r="AG591" s="188"/>
      <c r="AH591" s="188"/>
      <c r="AI591" s="299"/>
    </row>
    <row r="592" spans="3:35" ht="13">
      <c r="C592" s="294"/>
      <c r="D592" s="294"/>
      <c r="E592" s="294"/>
      <c r="F592" s="294"/>
      <c r="N592" s="295"/>
      <c r="U592" s="295"/>
      <c r="AC592" s="188"/>
      <c r="AE592" s="188"/>
      <c r="AF592" s="188"/>
      <c r="AG592" s="188"/>
      <c r="AH592" s="188"/>
      <c r="AI592" s="299"/>
    </row>
    <row r="593" spans="3:35" ht="13">
      <c r="C593" s="294"/>
      <c r="D593" s="294"/>
      <c r="E593" s="294"/>
      <c r="F593" s="294"/>
      <c r="N593" s="295"/>
      <c r="U593" s="295"/>
      <c r="AC593" s="188"/>
      <c r="AE593" s="188"/>
      <c r="AF593" s="188"/>
      <c r="AG593" s="188"/>
      <c r="AH593" s="188"/>
      <c r="AI593" s="299"/>
    </row>
    <row r="594" spans="3:35" ht="13">
      <c r="C594" s="294"/>
      <c r="D594" s="294"/>
      <c r="E594" s="294"/>
      <c r="F594" s="294"/>
      <c r="N594" s="295"/>
      <c r="U594" s="295"/>
      <c r="AC594" s="188"/>
      <c r="AE594" s="188"/>
      <c r="AF594" s="188"/>
      <c r="AG594" s="188"/>
      <c r="AH594" s="188"/>
      <c r="AI594" s="299"/>
    </row>
    <row r="595" spans="3:35" ht="13">
      <c r="C595" s="294"/>
      <c r="D595" s="294"/>
      <c r="E595" s="294"/>
      <c r="F595" s="294"/>
      <c r="N595" s="295"/>
      <c r="U595" s="295"/>
      <c r="AC595" s="188"/>
      <c r="AE595" s="188"/>
      <c r="AF595" s="188"/>
      <c r="AG595" s="188"/>
      <c r="AH595" s="188"/>
      <c r="AI595" s="299"/>
    </row>
    <row r="596" spans="3:35" ht="13">
      <c r="C596" s="294"/>
      <c r="D596" s="294"/>
      <c r="E596" s="294"/>
      <c r="F596" s="294"/>
      <c r="N596" s="295"/>
      <c r="U596" s="295"/>
      <c r="AC596" s="188"/>
      <c r="AE596" s="188"/>
      <c r="AF596" s="188"/>
      <c r="AG596" s="188"/>
      <c r="AH596" s="188"/>
      <c r="AI596" s="299"/>
    </row>
    <row r="597" spans="3:35" ht="13">
      <c r="C597" s="294"/>
      <c r="D597" s="294"/>
      <c r="E597" s="294"/>
      <c r="F597" s="294"/>
      <c r="N597" s="295"/>
      <c r="U597" s="295"/>
      <c r="AC597" s="188"/>
      <c r="AE597" s="188"/>
      <c r="AF597" s="188"/>
      <c r="AG597" s="188"/>
      <c r="AH597" s="188"/>
      <c r="AI597" s="299"/>
    </row>
    <row r="598" spans="3:35" ht="13">
      <c r="C598" s="294"/>
      <c r="D598" s="294"/>
      <c r="E598" s="294"/>
      <c r="F598" s="294"/>
      <c r="N598" s="295"/>
      <c r="U598" s="295"/>
      <c r="AC598" s="188"/>
      <c r="AE598" s="188"/>
      <c r="AF598" s="188"/>
      <c r="AG598" s="188"/>
      <c r="AH598" s="188"/>
      <c r="AI598" s="299"/>
    </row>
    <row r="599" spans="3:35" ht="13">
      <c r="C599" s="294"/>
      <c r="D599" s="294"/>
      <c r="E599" s="294"/>
      <c r="F599" s="294"/>
      <c r="N599" s="295"/>
      <c r="U599" s="295"/>
      <c r="AC599" s="188"/>
      <c r="AE599" s="188"/>
      <c r="AF599" s="188"/>
      <c r="AG599" s="188"/>
      <c r="AH599" s="188"/>
      <c r="AI599" s="299"/>
    </row>
    <row r="600" spans="3:35" ht="13">
      <c r="C600" s="294"/>
      <c r="D600" s="294"/>
      <c r="E600" s="294"/>
      <c r="F600" s="294"/>
      <c r="N600" s="295"/>
      <c r="U600" s="295"/>
      <c r="AC600" s="188"/>
      <c r="AE600" s="188"/>
      <c r="AF600" s="188"/>
      <c r="AG600" s="188"/>
      <c r="AH600" s="188"/>
      <c r="AI600" s="299"/>
    </row>
    <row r="601" spans="3:35" ht="13">
      <c r="C601" s="294"/>
      <c r="D601" s="294"/>
      <c r="E601" s="294"/>
      <c r="F601" s="294"/>
      <c r="N601" s="295"/>
      <c r="U601" s="295"/>
      <c r="AC601" s="188"/>
      <c r="AE601" s="188"/>
      <c r="AF601" s="188"/>
      <c r="AG601" s="188"/>
      <c r="AH601" s="188"/>
      <c r="AI601" s="299"/>
    </row>
    <row r="602" spans="3:35" ht="13">
      <c r="C602" s="294"/>
      <c r="D602" s="294"/>
      <c r="E602" s="294"/>
      <c r="F602" s="294"/>
      <c r="N602" s="295"/>
      <c r="U602" s="295"/>
      <c r="AC602" s="188"/>
      <c r="AE602" s="188"/>
      <c r="AF602" s="188"/>
      <c r="AG602" s="188"/>
      <c r="AH602" s="188"/>
      <c r="AI602" s="299"/>
    </row>
    <row r="603" spans="3:35" ht="13">
      <c r="C603" s="294"/>
      <c r="D603" s="294"/>
      <c r="E603" s="294"/>
      <c r="F603" s="294"/>
      <c r="N603" s="295"/>
      <c r="U603" s="295"/>
      <c r="AC603" s="188"/>
      <c r="AE603" s="188"/>
      <c r="AF603" s="188"/>
      <c r="AG603" s="188"/>
      <c r="AH603" s="188"/>
      <c r="AI603" s="299"/>
    </row>
    <row r="604" spans="3:35" ht="13">
      <c r="C604" s="294"/>
      <c r="D604" s="294"/>
      <c r="E604" s="294"/>
      <c r="F604" s="294"/>
      <c r="N604" s="295"/>
      <c r="U604" s="295"/>
      <c r="AC604" s="188"/>
      <c r="AE604" s="188"/>
      <c r="AF604" s="188"/>
      <c r="AG604" s="188"/>
      <c r="AH604" s="188"/>
      <c r="AI604" s="299"/>
    </row>
    <row r="605" spans="3:35" ht="13">
      <c r="C605" s="294"/>
      <c r="D605" s="294"/>
      <c r="E605" s="294"/>
      <c r="F605" s="294"/>
      <c r="N605" s="295"/>
      <c r="U605" s="295"/>
      <c r="AC605" s="188"/>
      <c r="AE605" s="188"/>
      <c r="AF605" s="188"/>
      <c r="AG605" s="188"/>
      <c r="AH605" s="188"/>
      <c r="AI605" s="299"/>
    </row>
    <row r="606" spans="3:35" ht="13">
      <c r="C606" s="294"/>
      <c r="D606" s="294"/>
      <c r="E606" s="294"/>
      <c r="F606" s="294"/>
      <c r="N606" s="295"/>
      <c r="U606" s="295"/>
      <c r="AC606" s="188"/>
      <c r="AE606" s="188"/>
      <c r="AF606" s="188"/>
      <c r="AG606" s="188"/>
      <c r="AH606" s="188"/>
      <c r="AI606" s="299"/>
    </row>
    <row r="607" spans="3:35" ht="13">
      <c r="C607" s="294"/>
      <c r="D607" s="294"/>
      <c r="E607" s="294"/>
      <c r="F607" s="294"/>
      <c r="N607" s="295"/>
      <c r="U607" s="295"/>
      <c r="AC607" s="188"/>
      <c r="AE607" s="188"/>
      <c r="AF607" s="188"/>
      <c r="AG607" s="188"/>
      <c r="AH607" s="188"/>
      <c r="AI607" s="299"/>
    </row>
    <row r="608" spans="3:35" ht="13">
      <c r="C608" s="294"/>
      <c r="D608" s="294"/>
      <c r="E608" s="294"/>
      <c r="F608" s="294"/>
      <c r="N608" s="295"/>
      <c r="U608" s="295"/>
      <c r="AC608" s="188"/>
      <c r="AE608" s="188"/>
      <c r="AF608" s="188"/>
      <c r="AG608" s="188"/>
      <c r="AH608" s="188"/>
      <c r="AI608" s="299"/>
    </row>
    <row r="609" spans="3:35" ht="13">
      <c r="C609" s="294"/>
      <c r="D609" s="294"/>
      <c r="E609" s="294"/>
      <c r="F609" s="294"/>
      <c r="N609" s="295"/>
      <c r="U609" s="295"/>
      <c r="AC609" s="188"/>
      <c r="AE609" s="188"/>
      <c r="AF609" s="188"/>
      <c r="AG609" s="188"/>
      <c r="AH609" s="188"/>
      <c r="AI609" s="299"/>
    </row>
    <row r="610" spans="3:35" ht="13">
      <c r="C610" s="294"/>
      <c r="D610" s="294"/>
      <c r="E610" s="294"/>
      <c r="F610" s="294"/>
      <c r="N610" s="295"/>
      <c r="U610" s="295"/>
      <c r="AC610" s="188"/>
      <c r="AE610" s="188"/>
      <c r="AF610" s="188"/>
      <c r="AG610" s="188"/>
      <c r="AH610" s="188"/>
      <c r="AI610" s="299"/>
    </row>
    <row r="611" spans="3:35" ht="13">
      <c r="C611" s="294"/>
      <c r="D611" s="294"/>
      <c r="E611" s="294"/>
      <c r="F611" s="294"/>
      <c r="N611" s="295"/>
      <c r="U611" s="295"/>
      <c r="AC611" s="188"/>
      <c r="AE611" s="188"/>
      <c r="AF611" s="188"/>
      <c r="AG611" s="188"/>
      <c r="AH611" s="188"/>
      <c r="AI611" s="299"/>
    </row>
    <row r="612" spans="3:35" ht="13">
      <c r="C612" s="294"/>
      <c r="D612" s="294"/>
      <c r="E612" s="294"/>
      <c r="F612" s="294"/>
      <c r="N612" s="295"/>
      <c r="U612" s="295"/>
      <c r="AC612" s="188"/>
      <c r="AE612" s="188"/>
      <c r="AF612" s="188"/>
      <c r="AG612" s="188"/>
      <c r="AH612" s="188"/>
      <c r="AI612" s="299"/>
    </row>
    <row r="613" spans="3:35" ht="13">
      <c r="C613" s="294"/>
      <c r="D613" s="294"/>
      <c r="E613" s="294"/>
      <c r="F613" s="294"/>
      <c r="N613" s="295"/>
      <c r="U613" s="295"/>
      <c r="AC613" s="188"/>
      <c r="AE613" s="188"/>
      <c r="AF613" s="188"/>
      <c r="AG613" s="188"/>
      <c r="AH613" s="188"/>
      <c r="AI613" s="299"/>
    </row>
    <row r="614" spans="3:35" ht="13">
      <c r="C614" s="294"/>
      <c r="D614" s="294"/>
      <c r="E614" s="294"/>
      <c r="F614" s="294"/>
      <c r="N614" s="295"/>
      <c r="U614" s="295"/>
      <c r="AC614" s="188"/>
      <c r="AE614" s="188"/>
      <c r="AF614" s="188"/>
      <c r="AG614" s="188"/>
      <c r="AH614" s="188"/>
      <c r="AI614" s="299"/>
    </row>
    <row r="615" spans="3:35" ht="13">
      <c r="C615" s="294"/>
      <c r="D615" s="294"/>
      <c r="E615" s="294"/>
      <c r="F615" s="294"/>
      <c r="N615" s="295"/>
      <c r="U615" s="295"/>
      <c r="AC615" s="188"/>
      <c r="AE615" s="188"/>
      <c r="AF615" s="188"/>
      <c r="AG615" s="188"/>
      <c r="AH615" s="188"/>
      <c r="AI615" s="299"/>
    </row>
    <row r="616" spans="3:35" ht="13">
      <c r="C616" s="294"/>
      <c r="D616" s="294"/>
      <c r="E616" s="294"/>
      <c r="F616" s="294"/>
      <c r="N616" s="295"/>
      <c r="U616" s="295"/>
      <c r="AC616" s="188"/>
      <c r="AE616" s="188"/>
      <c r="AF616" s="188"/>
      <c r="AG616" s="188"/>
      <c r="AH616" s="188"/>
      <c r="AI616" s="299"/>
    </row>
    <row r="617" spans="3:35" ht="13">
      <c r="C617" s="294"/>
      <c r="D617" s="294"/>
      <c r="E617" s="294"/>
      <c r="F617" s="294"/>
      <c r="N617" s="295"/>
      <c r="U617" s="295"/>
      <c r="AC617" s="188"/>
      <c r="AE617" s="188"/>
      <c r="AF617" s="188"/>
      <c r="AG617" s="188"/>
      <c r="AH617" s="188"/>
      <c r="AI617" s="299"/>
    </row>
    <row r="618" spans="3:35" ht="13">
      <c r="C618" s="294"/>
      <c r="D618" s="294"/>
      <c r="E618" s="294"/>
      <c r="F618" s="294"/>
      <c r="N618" s="295"/>
      <c r="U618" s="295"/>
      <c r="AC618" s="188"/>
      <c r="AE618" s="188"/>
      <c r="AF618" s="188"/>
      <c r="AG618" s="188"/>
      <c r="AH618" s="188"/>
      <c r="AI618" s="299"/>
    </row>
    <row r="619" spans="3:35" ht="13">
      <c r="C619" s="294"/>
      <c r="D619" s="294"/>
      <c r="E619" s="294"/>
      <c r="F619" s="294"/>
      <c r="N619" s="295"/>
      <c r="U619" s="295"/>
      <c r="AC619" s="188"/>
      <c r="AE619" s="188"/>
      <c r="AF619" s="188"/>
      <c r="AG619" s="188"/>
      <c r="AH619" s="188"/>
      <c r="AI619" s="299"/>
    </row>
    <row r="620" spans="3:35" ht="13">
      <c r="C620" s="294"/>
      <c r="D620" s="294"/>
      <c r="E620" s="294"/>
      <c r="F620" s="294"/>
      <c r="N620" s="295"/>
      <c r="U620" s="295"/>
      <c r="AC620" s="188"/>
      <c r="AE620" s="188"/>
      <c r="AF620" s="188"/>
      <c r="AG620" s="188"/>
      <c r="AH620" s="188"/>
      <c r="AI620" s="299"/>
    </row>
    <row r="621" spans="3:35" ht="13">
      <c r="C621" s="294"/>
      <c r="D621" s="294"/>
      <c r="E621" s="294"/>
      <c r="F621" s="294"/>
      <c r="N621" s="295"/>
      <c r="U621" s="295"/>
      <c r="AC621" s="188"/>
      <c r="AE621" s="188"/>
      <c r="AF621" s="188"/>
      <c r="AG621" s="188"/>
      <c r="AH621" s="188"/>
      <c r="AI621" s="299"/>
    </row>
    <row r="622" spans="3:35" ht="13">
      <c r="C622" s="294"/>
      <c r="D622" s="294"/>
      <c r="E622" s="294"/>
      <c r="F622" s="294"/>
      <c r="N622" s="295"/>
      <c r="U622" s="295"/>
      <c r="AC622" s="188"/>
      <c r="AE622" s="188"/>
      <c r="AF622" s="188"/>
      <c r="AG622" s="188"/>
      <c r="AH622" s="188"/>
      <c r="AI622" s="299"/>
    </row>
    <row r="623" spans="3:35" ht="13">
      <c r="C623" s="294"/>
      <c r="D623" s="294"/>
      <c r="E623" s="294"/>
      <c r="F623" s="294"/>
      <c r="N623" s="295"/>
      <c r="U623" s="295"/>
      <c r="AC623" s="188"/>
      <c r="AE623" s="188"/>
      <c r="AF623" s="188"/>
      <c r="AG623" s="188"/>
      <c r="AH623" s="188"/>
      <c r="AI623" s="299"/>
    </row>
    <row r="624" spans="3:35" ht="13">
      <c r="C624" s="294"/>
      <c r="D624" s="294"/>
      <c r="E624" s="294"/>
      <c r="F624" s="294"/>
      <c r="N624" s="295"/>
      <c r="U624" s="295"/>
      <c r="AC624" s="188"/>
      <c r="AE624" s="188"/>
      <c r="AF624" s="188"/>
      <c r="AG624" s="188"/>
      <c r="AH624" s="188"/>
      <c r="AI624" s="299"/>
    </row>
    <row r="625" spans="3:35" ht="13">
      <c r="C625" s="294"/>
      <c r="D625" s="294"/>
      <c r="E625" s="294"/>
      <c r="F625" s="294"/>
      <c r="N625" s="295"/>
      <c r="U625" s="295"/>
      <c r="AC625" s="188"/>
      <c r="AE625" s="188"/>
      <c r="AF625" s="188"/>
      <c r="AG625" s="188"/>
      <c r="AH625" s="188"/>
      <c r="AI625" s="299"/>
    </row>
    <row r="626" spans="3:35" ht="13">
      <c r="C626" s="294"/>
      <c r="D626" s="294"/>
      <c r="E626" s="294"/>
      <c r="F626" s="294"/>
      <c r="N626" s="295"/>
      <c r="U626" s="295"/>
      <c r="AC626" s="188"/>
      <c r="AE626" s="188"/>
      <c r="AF626" s="188"/>
      <c r="AG626" s="188"/>
      <c r="AH626" s="188"/>
      <c r="AI626" s="299"/>
    </row>
    <row r="627" spans="3:35" ht="13">
      <c r="C627" s="294"/>
      <c r="D627" s="294"/>
      <c r="E627" s="294"/>
      <c r="F627" s="294"/>
      <c r="N627" s="295"/>
      <c r="U627" s="295"/>
      <c r="AC627" s="188"/>
      <c r="AE627" s="188"/>
      <c r="AF627" s="188"/>
      <c r="AG627" s="188"/>
      <c r="AH627" s="188"/>
      <c r="AI627" s="299"/>
    </row>
    <row r="628" spans="3:35" ht="13">
      <c r="C628" s="294"/>
      <c r="D628" s="294"/>
      <c r="E628" s="294"/>
      <c r="F628" s="294"/>
      <c r="N628" s="295"/>
      <c r="U628" s="295"/>
      <c r="AC628" s="188"/>
      <c r="AE628" s="188"/>
      <c r="AF628" s="188"/>
      <c r="AG628" s="188"/>
      <c r="AH628" s="188"/>
      <c r="AI628" s="299"/>
    </row>
    <row r="629" spans="3:35" ht="13">
      <c r="C629" s="294"/>
      <c r="D629" s="294"/>
      <c r="E629" s="294"/>
      <c r="F629" s="294"/>
      <c r="N629" s="295"/>
      <c r="U629" s="295"/>
      <c r="AC629" s="188"/>
      <c r="AE629" s="188"/>
      <c r="AF629" s="188"/>
      <c r="AG629" s="188"/>
      <c r="AH629" s="188"/>
      <c r="AI629" s="299"/>
    </row>
    <row r="630" spans="3:35" ht="13">
      <c r="C630" s="294"/>
      <c r="D630" s="294"/>
      <c r="E630" s="294"/>
      <c r="F630" s="294"/>
      <c r="N630" s="295"/>
      <c r="U630" s="295"/>
      <c r="AC630" s="188"/>
      <c r="AE630" s="188"/>
      <c r="AF630" s="188"/>
      <c r="AG630" s="188"/>
      <c r="AH630" s="188"/>
      <c r="AI630" s="299"/>
    </row>
    <row r="631" spans="3:35" ht="13">
      <c r="C631" s="294"/>
      <c r="D631" s="294"/>
      <c r="E631" s="294"/>
      <c r="F631" s="294"/>
      <c r="N631" s="295"/>
      <c r="U631" s="295"/>
      <c r="AC631" s="188"/>
      <c r="AE631" s="188"/>
      <c r="AF631" s="188"/>
      <c r="AG631" s="188"/>
      <c r="AH631" s="188"/>
      <c r="AI631" s="299"/>
    </row>
    <row r="632" spans="3:35" ht="13">
      <c r="C632" s="294"/>
      <c r="D632" s="294"/>
      <c r="E632" s="294"/>
      <c r="F632" s="294"/>
      <c r="N632" s="295"/>
      <c r="U632" s="295"/>
      <c r="AC632" s="188"/>
      <c r="AE632" s="188"/>
      <c r="AF632" s="188"/>
      <c r="AG632" s="188"/>
      <c r="AH632" s="188"/>
      <c r="AI632" s="299"/>
    </row>
    <row r="633" spans="3:35" ht="13">
      <c r="C633" s="294"/>
      <c r="D633" s="294"/>
      <c r="E633" s="294"/>
      <c r="F633" s="294"/>
      <c r="N633" s="295"/>
      <c r="U633" s="295"/>
      <c r="AC633" s="188"/>
      <c r="AE633" s="188"/>
      <c r="AF633" s="188"/>
      <c r="AG633" s="188"/>
      <c r="AH633" s="188"/>
      <c r="AI633" s="299"/>
    </row>
    <row r="634" spans="3:35" ht="13">
      <c r="C634" s="294"/>
      <c r="D634" s="294"/>
      <c r="E634" s="294"/>
      <c r="F634" s="294"/>
      <c r="N634" s="295"/>
      <c r="U634" s="295"/>
      <c r="AC634" s="188"/>
      <c r="AE634" s="188"/>
      <c r="AF634" s="188"/>
      <c r="AG634" s="188"/>
      <c r="AH634" s="188"/>
      <c r="AI634" s="299"/>
    </row>
    <row r="635" spans="3:35" ht="13">
      <c r="C635" s="294"/>
      <c r="D635" s="294"/>
      <c r="E635" s="294"/>
      <c r="F635" s="294"/>
      <c r="N635" s="295"/>
      <c r="U635" s="295"/>
      <c r="AC635" s="188"/>
      <c r="AE635" s="188"/>
      <c r="AF635" s="188"/>
      <c r="AG635" s="188"/>
      <c r="AH635" s="188"/>
      <c r="AI635" s="299"/>
    </row>
    <row r="636" spans="3:35" ht="13">
      <c r="C636" s="294"/>
      <c r="D636" s="294"/>
      <c r="E636" s="294"/>
      <c r="F636" s="294"/>
      <c r="N636" s="295"/>
      <c r="U636" s="295"/>
      <c r="AC636" s="188"/>
      <c r="AE636" s="188"/>
      <c r="AF636" s="188"/>
      <c r="AG636" s="188"/>
      <c r="AH636" s="188"/>
      <c r="AI636" s="299"/>
    </row>
    <row r="637" spans="3:35" ht="13">
      <c r="C637" s="294"/>
      <c r="D637" s="294"/>
      <c r="E637" s="294"/>
      <c r="F637" s="294"/>
      <c r="N637" s="295"/>
      <c r="U637" s="295"/>
      <c r="AC637" s="188"/>
      <c r="AE637" s="188"/>
      <c r="AF637" s="188"/>
      <c r="AG637" s="188"/>
      <c r="AH637" s="188"/>
      <c r="AI637" s="299"/>
    </row>
    <row r="638" spans="3:35" ht="13">
      <c r="C638" s="294"/>
      <c r="D638" s="294"/>
      <c r="E638" s="294"/>
      <c r="F638" s="294"/>
      <c r="N638" s="295"/>
      <c r="U638" s="295"/>
      <c r="AC638" s="188"/>
      <c r="AE638" s="188"/>
      <c r="AF638" s="188"/>
      <c r="AG638" s="188"/>
      <c r="AH638" s="188"/>
      <c r="AI638" s="299"/>
    </row>
    <row r="639" spans="3:35" ht="13">
      <c r="C639" s="294"/>
      <c r="D639" s="294"/>
      <c r="E639" s="294"/>
      <c r="F639" s="294"/>
      <c r="N639" s="295"/>
      <c r="U639" s="295"/>
      <c r="AC639" s="188"/>
      <c r="AE639" s="188"/>
      <c r="AF639" s="188"/>
      <c r="AG639" s="188"/>
      <c r="AH639" s="188"/>
      <c r="AI639" s="299"/>
    </row>
    <row r="640" spans="3:35" ht="13">
      <c r="C640" s="294"/>
      <c r="D640" s="294"/>
      <c r="E640" s="294"/>
      <c r="F640" s="294"/>
      <c r="N640" s="295"/>
      <c r="U640" s="295"/>
      <c r="AC640" s="188"/>
      <c r="AE640" s="188"/>
      <c r="AF640" s="188"/>
      <c r="AG640" s="188"/>
      <c r="AH640" s="188"/>
      <c r="AI640" s="299"/>
    </row>
    <row r="641" spans="3:35" ht="13">
      <c r="C641" s="294"/>
      <c r="D641" s="294"/>
      <c r="E641" s="294"/>
      <c r="F641" s="294"/>
      <c r="N641" s="295"/>
      <c r="U641" s="295"/>
      <c r="AC641" s="188"/>
      <c r="AE641" s="188"/>
      <c r="AF641" s="188"/>
      <c r="AG641" s="188"/>
      <c r="AH641" s="188"/>
      <c r="AI641" s="299"/>
    </row>
    <row r="642" spans="3:35" ht="13">
      <c r="C642" s="294"/>
      <c r="D642" s="294"/>
      <c r="E642" s="294"/>
      <c r="F642" s="294"/>
      <c r="N642" s="295"/>
      <c r="U642" s="295"/>
      <c r="AC642" s="188"/>
      <c r="AE642" s="188"/>
      <c r="AF642" s="188"/>
      <c r="AG642" s="188"/>
      <c r="AH642" s="188"/>
      <c r="AI642" s="299"/>
    </row>
    <row r="643" spans="3:35" ht="13">
      <c r="C643" s="294"/>
      <c r="D643" s="294"/>
      <c r="E643" s="294"/>
      <c r="F643" s="294"/>
      <c r="N643" s="295"/>
      <c r="U643" s="295"/>
      <c r="AC643" s="188"/>
      <c r="AE643" s="188"/>
      <c r="AF643" s="188"/>
      <c r="AG643" s="188"/>
      <c r="AH643" s="188"/>
      <c r="AI643" s="299"/>
    </row>
    <row r="644" spans="3:35" ht="13">
      <c r="C644" s="294"/>
      <c r="D644" s="294"/>
      <c r="E644" s="294"/>
      <c r="F644" s="294"/>
      <c r="N644" s="295"/>
      <c r="U644" s="295"/>
      <c r="AC644" s="188"/>
      <c r="AE644" s="188"/>
      <c r="AF644" s="188"/>
      <c r="AG644" s="188"/>
      <c r="AH644" s="188"/>
      <c r="AI644" s="299"/>
    </row>
    <row r="645" spans="3:35" ht="13">
      <c r="C645" s="294"/>
      <c r="D645" s="294"/>
      <c r="E645" s="294"/>
      <c r="F645" s="294"/>
      <c r="N645" s="295"/>
      <c r="U645" s="295"/>
      <c r="AC645" s="188"/>
      <c r="AE645" s="188"/>
      <c r="AF645" s="188"/>
      <c r="AG645" s="188"/>
      <c r="AH645" s="188"/>
      <c r="AI645" s="299"/>
    </row>
    <row r="646" spans="3:35" ht="13">
      <c r="C646" s="294"/>
      <c r="D646" s="294"/>
      <c r="E646" s="294"/>
      <c r="F646" s="294"/>
      <c r="N646" s="295"/>
      <c r="U646" s="295"/>
      <c r="AC646" s="188"/>
      <c r="AE646" s="188"/>
      <c r="AF646" s="188"/>
      <c r="AG646" s="188"/>
      <c r="AH646" s="188"/>
      <c r="AI646" s="299"/>
    </row>
    <row r="647" spans="3:35" ht="13">
      <c r="C647" s="294"/>
      <c r="D647" s="294"/>
      <c r="E647" s="294"/>
      <c r="F647" s="294"/>
      <c r="N647" s="295"/>
      <c r="U647" s="295"/>
      <c r="AC647" s="188"/>
      <c r="AE647" s="188"/>
      <c r="AF647" s="188"/>
      <c r="AG647" s="188"/>
      <c r="AH647" s="188"/>
      <c r="AI647" s="299"/>
    </row>
    <row r="648" spans="3:35" ht="13">
      <c r="C648" s="294"/>
      <c r="D648" s="294"/>
      <c r="E648" s="294"/>
      <c r="F648" s="294"/>
      <c r="N648" s="295"/>
      <c r="U648" s="295"/>
      <c r="AC648" s="188"/>
      <c r="AE648" s="188"/>
      <c r="AF648" s="188"/>
      <c r="AG648" s="188"/>
      <c r="AH648" s="188"/>
      <c r="AI648" s="299"/>
    </row>
    <row r="649" spans="3:35" ht="13">
      <c r="C649" s="294"/>
      <c r="D649" s="294"/>
      <c r="E649" s="294"/>
      <c r="F649" s="294"/>
      <c r="N649" s="295"/>
      <c r="U649" s="295"/>
      <c r="AC649" s="188"/>
      <c r="AE649" s="188"/>
      <c r="AF649" s="188"/>
      <c r="AG649" s="188"/>
      <c r="AH649" s="188"/>
      <c r="AI649" s="299"/>
    </row>
    <row r="650" spans="3:35" ht="13">
      <c r="C650" s="294"/>
      <c r="D650" s="294"/>
      <c r="E650" s="294"/>
      <c r="F650" s="294"/>
      <c r="N650" s="295"/>
      <c r="U650" s="295"/>
      <c r="AC650" s="188"/>
      <c r="AE650" s="188"/>
      <c r="AF650" s="188"/>
      <c r="AG650" s="188"/>
      <c r="AH650" s="188"/>
      <c r="AI650" s="299"/>
    </row>
    <row r="651" spans="3:35" ht="13">
      <c r="C651" s="294"/>
      <c r="D651" s="294"/>
      <c r="E651" s="294"/>
      <c r="F651" s="294"/>
      <c r="N651" s="295"/>
      <c r="U651" s="295"/>
      <c r="AC651" s="188"/>
      <c r="AE651" s="188"/>
      <c r="AF651" s="188"/>
      <c r="AG651" s="188"/>
      <c r="AH651" s="188"/>
      <c r="AI651" s="299"/>
    </row>
    <row r="652" spans="3:35" ht="13">
      <c r="C652" s="294"/>
      <c r="D652" s="294"/>
      <c r="E652" s="294"/>
      <c r="F652" s="294"/>
      <c r="N652" s="295"/>
      <c r="U652" s="295"/>
      <c r="AC652" s="188"/>
      <c r="AE652" s="188"/>
      <c r="AF652" s="188"/>
      <c r="AG652" s="188"/>
      <c r="AH652" s="188"/>
      <c r="AI652" s="299"/>
    </row>
    <row r="653" spans="3:35" ht="13">
      <c r="C653" s="294"/>
      <c r="D653" s="294"/>
      <c r="E653" s="294"/>
      <c r="F653" s="294"/>
      <c r="N653" s="295"/>
      <c r="U653" s="295"/>
      <c r="AC653" s="188"/>
      <c r="AE653" s="188"/>
      <c r="AF653" s="188"/>
      <c r="AG653" s="188"/>
      <c r="AH653" s="188"/>
      <c r="AI653" s="299"/>
    </row>
    <row r="654" spans="3:35" ht="13">
      <c r="C654" s="294"/>
      <c r="D654" s="294"/>
      <c r="E654" s="294"/>
      <c r="F654" s="294"/>
      <c r="N654" s="295"/>
      <c r="U654" s="295"/>
      <c r="AC654" s="188"/>
      <c r="AE654" s="188"/>
      <c r="AF654" s="188"/>
      <c r="AG654" s="188"/>
      <c r="AH654" s="188"/>
      <c r="AI654" s="299"/>
    </row>
    <row r="655" spans="3:35" ht="13">
      <c r="C655" s="294"/>
      <c r="D655" s="294"/>
      <c r="E655" s="294"/>
      <c r="F655" s="294"/>
      <c r="N655" s="295"/>
      <c r="U655" s="295"/>
      <c r="AC655" s="188"/>
      <c r="AE655" s="188"/>
      <c r="AF655" s="188"/>
      <c r="AG655" s="188"/>
      <c r="AH655" s="188"/>
      <c r="AI655" s="299"/>
    </row>
    <row r="656" spans="3:35" ht="13">
      <c r="C656" s="294"/>
      <c r="D656" s="294"/>
      <c r="E656" s="294"/>
      <c r="F656" s="294"/>
      <c r="N656" s="295"/>
      <c r="U656" s="295"/>
      <c r="AC656" s="188"/>
      <c r="AE656" s="188"/>
      <c r="AF656" s="188"/>
      <c r="AG656" s="188"/>
      <c r="AH656" s="188"/>
      <c r="AI656" s="299"/>
    </row>
    <row r="657" spans="3:35" ht="13">
      <c r="C657" s="294"/>
      <c r="D657" s="294"/>
      <c r="E657" s="294"/>
      <c r="F657" s="294"/>
      <c r="N657" s="295"/>
      <c r="U657" s="295"/>
      <c r="AC657" s="188"/>
      <c r="AE657" s="188"/>
      <c r="AF657" s="188"/>
      <c r="AG657" s="188"/>
      <c r="AH657" s="188"/>
      <c r="AI657" s="299"/>
    </row>
    <row r="658" spans="3:35" ht="13">
      <c r="C658" s="294"/>
      <c r="D658" s="294"/>
      <c r="E658" s="294"/>
      <c r="F658" s="294"/>
      <c r="N658" s="295"/>
      <c r="U658" s="295"/>
      <c r="AC658" s="188"/>
      <c r="AE658" s="188"/>
      <c r="AF658" s="188"/>
      <c r="AG658" s="188"/>
      <c r="AH658" s="188"/>
      <c r="AI658" s="299"/>
    </row>
    <row r="659" spans="3:35" ht="13">
      <c r="C659" s="294"/>
      <c r="D659" s="294"/>
      <c r="E659" s="294"/>
      <c r="F659" s="294"/>
      <c r="N659" s="295"/>
      <c r="U659" s="295"/>
      <c r="AC659" s="188"/>
      <c r="AE659" s="188"/>
      <c r="AF659" s="188"/>
      <c r="AG659" s="188"/>
      <c r="AH659" s="188"/>
      <c r="AI659" s="299"/>
    </row>
    <row r="660" spans="3:35" ht="13">
      <c r="C660" s="294"/>
      <c r="D660" s="294"/>
      <c r="E660" s="294"/>
      <c r="F660" s="294"/>
      <c r="N660" s="295"/>
      <c r="U660" s="295"/>
      <c r="AC660" s="188"/>
      <c r="AE660" s="188"/>
      <c r="AF660" s="188"/>
      <c r="AG660" s="188"/>
      <c r="AH660" s="188"/>
      <c r="AI660" s="299"/>
    </row>
    <row r="661" spans="3:35" ht="13">
      <c r="C661" s="294"/>
      <c r="D661" s="294"/>
      <c r="E661" s="294"/>
      <c r="F661" s="294"/>
      <c r="N661" s="295"/>
      <c r="U661" s="295"/>
      <c r="AC661" s="188"/>
      <c r="AE661" s="188"/>
      <c r="AF661" s="188"/>
      <c r="AG661" s="188"/>
      <c r="AH661" s="188"/>
      <c r="AI661" s="299"/>
    </row>
    <row r="662" spans="3:35" ht="13">
      <c r="C662" s="294"/>
      <c r="D662" s="294"/>
      <c r="E662" s="294"/>
      <c r="F662" s="294"/>
      <c r="N662" s="295"/>
      <c r="U662" s="295"/>
      <c r="AC662" s="188"/>
      <c r="AE662" s="188"/>
      <c r="AF662" s="188"/>
      <c r="AG662" s="188"/>
      <c r="AH662" s="188"/>
      <c r="AI662" s="299"/>
    </row>
    <row r="663" spans="3:35" ht="13">
      <c r="C663" s="294"/>
      <c r="D663" s="294"/>
      <c r="E663" s="294"/>
      <c r="F663" s="294"/>
      <c r="N663" s="295"/>
      <c r="U663" s="295"/>
      <c r="AC663" s="188"/>
      <c r="AE663" s="188"/>
      <c r="AF663" s="188"/>
      <c r="AG663" s="188"/>
      <c r="AH663" s="188"/>
      <c r="AI663" s="299"/>
    </row>
    <row r="664" spans="3:35" ht="13">
      <c r="C664" s="294"/>
      <c r="D664" s="294"/>
      <c r="E664" s="294"/>
      <c r="F664" s="294"/>
      <c r="N664" s="295"/>
      <c r="U664" s="295"/>
      <c r="AC664" s="188"/>
      <c r="AE664" s="188"/>
      <c r="AF664" s="188"/>
      <c r="AG664" s="188"/>
      <c r="AH664" s="188"/>
      <c r="AI664" s="299"/>
    </row>
    <row r="665" spans="3:35" ht="13">
      <c r="C665" s="294"/>
      <c r="D665" s="294"/>
      <c r="E665" s="294"/>
      <c r="F665" s="294"/>
      <c r="N665" s="295"/>
      <c r="U665" s="295"/>
      <c r="AC665" s="188"/>
      <c r="AE665" s="188"/>
      <c r="AF665" s="188"/>
      <c r="AG665" s="188"/>
      <c r="AH665" s="188"/>
      <c r="AI665" s="299"/>
    </row>
    <row r="666" spans="3:35" ht="13">
      <c r="C666" s="294"/>
      <c r="D666" s="294"/>
      <c r="E666" s="294"/>
      <c r="F666" s="294"/>
      <c r="N666" s="295"/>
      <c r="U666" s="295"/>
      <c r="AC666" s="188"/>
      <c r="AE666" s="188"/>
      <c r="AF666" s="188"/>
      <c r="AG666" s="188"/>
      <c r="AH666" s="188"/>
      <c r="AI666" s="299"/>
    </row>
    <row r="667" spans="3:35" ht="13">
      <c r="C667" s="294"/>
      <c r="D667" s="294"/>
      <c r="E667" s="294"/>
      <c r="F667" s="294"/>
      <c r="N667" s="295"/>
      <c r="U667" s="295"/>
      <c r="AC667" s="188"/>
      <c r="AE667" s="188"/>
      <c r="AF667" s="188"/>
      <c r="AG667" s="188"/>
      <c r="AH667" s="188"/>
      <c r="AI667" s="299"/>
    </row>
    <row r="668" spans="3:35" ht="13">
      <c r="C668" s="294"/>
      <c r="D668" s="294"/>
      <c r="E668" s="294"/>
      <c r="F668" s="294"/>
      <c r="N668" s="295"/>
      <c r="U668" s="295"/>
      <c r="AC668" s="188"/>
      <c r="AE668" s="188"/>
      <c r="AF668" s="188"/>
      <c r="AG668" s="188"/>
      <c r="AH668" s="188"/>
      <c r="AI668" s="299"/>
    </row>
    <row r="669" spans="3:35" ht="13">
      <c r="C669" s="294"/>
      <c r="D669" s="294"/>
      <c r="E669" s="294"/>
      <c r="F669" s="294"/>
      <c r="N669" s="295"/>
      <c r="U669" s="295"/>
      <c r="AC669" s="188"/>
      <c r="AE669" s="188"/>
      <c r="AF669" s="188"/>
      <c r="AG669" s="188"/>
      <c r="AH669" s="188"/>
      <c r="AI669" s="299"/>
    </row>
    <row r="670" spans="3:35" ht="13">
      <c r="C670" s="294"/>
      <c r="D670" s="294"/>
      <c r="E670" s="294"/>
      <c r="F670" s="294"/>
      <c r="N670" s="295"/>
      <c r="U670" s="295"/>
      <c r="AC670" s="188"/>
      <c r="AE670" s="188"/>
      <c r="AF670" s="188"/>
      <c r="AG670" s="188"/>
      <c r="AH670" s="188"/>
      <c r="AI670" s="299"/>
    </row>
    <row r="671" spans="3:35" ht="13">
      <c r="C671" s="294"/>
      <c r="D671" s="294"/>
      <c r="E671" s="294"/>
      <c r="F671" s="294"/>
      <c r="N671" s="295"/>
      <c r="U671" s="295"/>
      <c r="AC671" s="188"/>
      <c r="AE671" s="188"/>
      <c r="AF671" s="188"/>
      <c r="AG671" s="188"/>
      <c r="AH671" s="188"/>
      <c r="AI671" s="299"/>
    </row>
    <row r="672" spans="3:35" ht="13">
      <c r="C672" s="294"/>
      <c r="D672" s="294"/>
      <c r="E672" s="294"/>
      <c r="F672" s="294"/>
      <c r="N672" s="295"/>
      <c r="U672" s="295"/>
      <c r="AC672" s="188"/>
      <c r="AE672" s="188"/>
      <c r="AF672" s="188"/>
      <c r="AG672" s="188"/>
      <c r="AH672" s="188"/>
      <c r="AI672" s="299"/>
    </row>
    <row r="673" spans="3:35" ht="13">
      <c r="C673" s="294"/>
      <c r="D673" s="294"/>
      <c r="E673" s="294"/>
      <c r="F673" s="294"/>
      <c r="N673" s="295"/>
      <c r="U673" s="295"/>
      <c r="AC673" s="188"/>
      <c r="AE673" s="188"/>
      <c r="AF673" s="188"/>
      <c r="AG673" s="188"/>
      <c r="AH673" s="188"/>
      <c r="AI673" s="299"/>
    </row>
    <row r="674" spans="3:35" ht="13">
      <c r="C674" s="294"/>
      <c r="D674" s="294"/>
      <c r="E674" s="294"/>
      <c r="F674" s="294"/>
      <c r="N674" s="295"/>
      <c r="U674" s="295"/>
      <c r="AC674" s="188"/>
      <c r="AE674" s="188"/>
      <c r="AF674" s="188"/>
      <c r="AG674" s="188"/>
      <c r="AH674" s="188"/>
      <c r="AI674" s="299"/>
    </row>
    <row r="675" spans="3:35" ht="13">
      <c r="C675" s="294"/>
      <c r="D675" s="294"/>
      <c r="E675" s="294"/>
      <c r="F675" s="294"/>
      <c r="N675" s="295"/>
      <c r="U675" s="295"/>
      <c r="AC675" s="188"/>
      <c r="AE675" s="188"/>
      <c r="AF675" s="188"/>
      <c r="AG675" s="188"/>
      <c r="AH675" s="188"/>
      <c r="AI675" s="299"/>
    </row>
    <row r="676" spans="3:35" ht="13">
      <c r="C676" s="294"/>
      <c r="D676" s="294"/>
      <c r="E676" s="294"/>
      <c r="F676" s="294"/>
      <c r="N676" s="295"/>
      <c r="U676" s="295"/>
      <c r="AC676" s="188"/>
      <c r="AE676" s="188"/>
      <c r="AF676" s="188"/>
      <c r="AG676" s="188"/>
      <c r="AH676" s="188"/>
      <c r="AI676" s="299"/>
    </row>
    <row r="677" spans="3:35" ht="13">
      <c r="C677" s="294"/>
      <c r="D677" s="294"/>
      <c r="E677" s="294"/>
      <c r="F677" s="294"/>
      <c r="N677" s="295"/>
      <c r="U677" s="295"/>
      <c r="AC677" s="188"/>
      <c r="AE677" s="188"/>
      <c r="AF677" s="188"/>
      <c r="AG677" s="188"/>
      <c r="AH677" s="188"/>
      <c r="AI677" s="299"/>
    </row>
    <row r="678" spans="3:35" ht="13">
      <c r="C678" s="294"/>
      <c r="D678" s="294"/>
      <c r="E678" s="294"/>
      <c r="F678" s="294"/>
      <c r="N678" s="295"/>
      <c r="U678" s="295"/>
      <c r="AC678" s="188"/>
      <c r="AE678" s="188"/>
      <c r="AF678" s="188"/>
      <c r="AG678" s="188"/>
      <c r="AH678" s="188"/>
      <c r="AI678" s="299"/>
    </row>
    <row r="679" spans="3:35" ht="13">
      <c r="C679" s="294"/>
      <c r="D679" s="294"/>
      <c r="E679" s="294"/>
      <c r="F679" s="294"/>
      <c r="N679" s="295"/>
      <c r="U679" s="295"/>
      <c r="AC679" s="188"/>
      <c r="AE679" s="188"/>
      <c r="AF679" s="188"/>
      <c r="AG679" s="188"/>
      <c r="AH679" s="188"/>
      <c r="AI679" s="299"/>
    </row>
    <row r="680" spans="3:35" ht="13">
      <c r="C680" s="294"/>
      <c r="D680" s="294"/>
      <c r="E680" s="294"/>
      <c r="F680" s="294"/>
      <c r="N680" s="295"/>
      <c r="U680" s="295"/>
      <c r="AC680" s="188"/>
      <c r="AE680" s="188"/>
      <c r="AF680" s="188"/>
      <c r="AG680" s="188"/>
      <c r="AH680" s="188"/>
      <c r="AI680" s="299"/>
    </row>
    <row r="681" spans="3:35" ht="13">
      <c r="C681" s="294"/>
      <c r="D681" s="294"/>
      <c r="E681" s="294"/>
      <c r="F681" s="294"/>
      <c r="N681" s="295"/>
      <c r="U681" s="295"/>
      <c r="AC681" s="188"/>
      <c r="AE681" s="188"/>
      <c r="AF681" s="188"/>
      <c r="AG681" s="188"/>
      <c r="AH681" s="188"/>
      <c r="AI681" s="299"/>
    </row>
    <row r="682" spans="3:35" ht="13">
      <c r="C682" s="294"/>
      <c r="D682" s="294"/>
      <c r="E682" s="294"/>
      <c r="F682" s="294"/>
      <c r="N682" s="295"/>
      <c r="U682" s="295"/>
      <c r="AC682" s="188"/>
      <c r="AE682" s="188"/>
      <c r="AF682" s="188"/>
      <c r="AG682" s="188"/>
      <c r="AH682" s="188"/>
      <c r="AI682" s="299"/>
    </row>
    <row r="683" spans="3:35" ht="13">
      <c r="C683" s="294"/>
      <c r="D683" s="294"/>
      <c r="E683" s="294"/>
      <c r="F683" s="294"/>
      <c r="N683" s="295"/>
      <c r="U683" s="295"/>
      <c r="AC683" s="188"/>
      <c r="AE683" s="188"/>
      <c r="AF683" s="188"/>
      <c r="AG683" s="188"/>
      <c r="AH683" s="188"/>
      <c r="AI683" s="299"/>
    </row>
    <row r="684" spans="3:35" ht="13">
      <c r="C684" s="294"/>
      <c r="D684" s="294"/>
      <c r="E684" s="294"/>
      <c r="F684" s="294"/>
      <c r="N684" s="295"/>
      <c r="U684" s="295"/>
      <c r="AC684" s="188"/>
      <c r="AE684" s="188"/>
      <c r="AF684" s="188"/>
      <c r="AG684" s="188"/>
      <c r="AH684" s="188"/>
      <c r="AI684" s="299"/>
    </row>
    <row r="685" spans="3:35" ht="13">
      <c r="C685" s="294"/>
      <c r="D685" s="294"/>
      <c r="E685" s="294"/>
      <c r="F685" s="294"/>
      <c r="N685" s="295"/>
      <c r="U685" s="295"/>
      <c r="AC685" s="188"/>
      <c r="AE685" s="188"/>
      <c r="AF685" s="188"/>
      <c r="AG685" s="188"/>
      <c r="AH685" s="188"/>
      <c r="AI685" s="299"/>
    </row>
    <row r="686" spans="3:35" ht="13">
      <c r="C686" s="294"/>
      <c r="D686" s="294"/>
      <c r="E686" s="294"/>
      <c r="F686" s="294"/>
      <c r="N686" s="295"/>
      <c r="U686" s="295"/>
      <c r="AC686" s="188"/>
      <c r="AE686" s="188"/>
      <c r="AF686" s="188"/>
      <c r="AG686" s="188"/>
      <c r="AH686" s="188"/>
      <c r="AI686" s="299"/>
    </row>
    <row r="687" spans="3:35" ht="13">
      <c r="C687" s="294"/>
      <c r="D687" s="294"/>
      <c r="E687" s="294"/>
      <c r="F687" s="294"/>
      <c r="N687" s="295"/>
      <c r="U687" s="295"/>
      <c r="AC687" s="188"/>
      <c r="AE687" s="188"/>
      <c r="AF687" s="188"/>
      <c r="AG687" s="188"/>
      <c r="AH687" s="188"/>
      <c r="AI687" s="299"/>
    </row>
    <row r="688" spans="3:35" ht="13">
      <c r="C688" s="294"/>
      <c r="D688" s="294"/>
      <c r="E688" s="294"/>
      <c r="F688" s="294"/>
      <c r="N688" s="295"/>
      <c r="U688" s="295"/>
      <c r="AC688" s="188"/>
      <c r="AE688" s="188"/>
      <c r="AF688" s="188"/>
      <c r="AG688" s="188"/>
      <c r="AH688" s="188"/>
      <c r="AI688" s="299"/>
    </row>
    <row r="689" spans="3:35" ht="13">
      <c r="C689" s="294"/>
      <c r="D689" s="294"/>
      <c r="E689" s="294"/>
      <c r="F689" s="294"/>
      <c r="N689" s="295"/>
      <c r="U689" s="295"/>
      <c r="AC689" s="188"/>
      <c r="AE689" s="188"/>
      <c r="AF689" s="188"/>
      <c r="AG689" s="188"/>
      <c r="AH689" s="188"/>
      <c r="AI689" s="299"/>
    </row>
    <row r="690" spans="3:35" ht="13">
      <c r="C690" s="294"/>
      <c r="D690" s="294"/>
      <c r="E690" s="294"/>
      <c r="F690" s="294"/>
      <c r="N690" s="295"/>
      <c r="U690" s="295"/>
      <c r="AC690" s="188"/>
      <c r="AE690" s="188"/>
      <c r="AF690" s="188"/>
      <c r="AG690" s="188"/>
      <c r="AH690" s="188"/>
      <c r="AI690" s="299"/>
    </row>
    <row r="691" spans="3:35" ht="13">
      <c r="C691" s="294"/>
      <c r="D691" s="294"/>
      <c r="E691" s="294"/>
      <c r="F691" s="294"/>
      <c r="N691" s="295"/>
      <c r="U691" s="295"/>
      <c r="AC691" s="188"/>
      <c r="AE691" s="188"/>
      <c r="AF691" s="188"/>
      <c r="AG691" s="188"/>
      <c r="AH691" s="188"/>
      <c r="AI691" s="299"/>
    </row>
    <row r="692" spans="3:35" ht="13">
      <c r="C692" s="294"/>
      <c r="D692" s="294"/>
      <c r="E692" s="294"/>
      <c r="F692" s="294"/>
      <c r="N692" s="295"/>
      <c r="U692" s="295"/>
      <c r="AC692" s="188"/>
      <c r="AE692" s="188"/>
      <c r="AF692" s="188"/>
      <c r="AG692" s="188"/>
      <c r="AH692" s="188"/>
      <c r="AI692" s="299"/>
    </row>
    <row r="693" spans="3:35" ht="13">
      <c r="C693" s="294"/>
      <c r="D693" s="294"/>
      <c r="E693" s="294"/>
      <c r="F693" s="294"/>
      <c r="N693" s="295"/>
      <c r="U693" s="295"/>
      <c r="AC693" s="188"/>
      <c r="AE693" s="188"/>
      <c r="AF693" s="188"/>
      <c r="AG693" s="188"/>
      <c r="AH693" s="188"/>
      <c r="AI693" s="299"/>
    </row>
    <row r="694" spans="3:35" ht="13">
      <c r="C694" s="294"/>
      <c r="D694" s="294"/>
      <c r="E694" s="294"/>
      <c r="F694" s="294"/>
      <c r="N694" s="295"/>
      <c r="U694" s="295"/>
      <c r="AC694" s="188"/>
      <c r="AE694" s="188"/>
      <c r="AF694" s="188"/>
      <c r="AG694" s="188"/>
      <c r="AH694" s="188"/>
      <c r="AI694" s="299"/>
    </row>
    <row r="695" spans="3:35" ht="13">
      <c r="C695" s="294"/>
      <c r="D695" s="294"/>
      <c r="E695" s="294"/>
      <c r="F695" s="294"/>
      <c r="N695" s="295"/>
      <c r="U695" s="295"/>
      <c r="AC695" s="188"/>
      <c r="AE695" s="188"/>
      <c r="AF695" s="188"/>
      <c r="AG695" s="188"/>
      <c r="AH695" s="188"/>
      <c r="AI695" s="299"/>
    </row>
    <row r="696" spans="3:35" ht="13">
      <c r="C696" s="294"/>
      <c r="D696" s="294"/>
      <c r="E696" s="294"/>
      <c r="F696" s="294"/>
      <c r="N696" s="295"/>
      <c r="U696" s="295"/>
      <c r="AC696" s="188"/>
      <c r="AE696" s="188"/>
      <c r="AF696" s="188"/>
      <c r="AG696" s="188"/>
      <c r="AH696" s="188"/>
      <c r="AI696" s="299"/>
    </row>
    <row r="697" spans="3:35" ht="13">
      <c r="C697" s="294"/>
      <c r="D697" s="294"/>
      <c r="E697" s="294"/>
      <c r="F697" s="294"/>
      <c r="N697" s="295"/>
      <c r="U697" s="295"/>
      <c r="AC697" s="188"/>
      <c r="AE697" s="188"/>
      <c r="AF697" s="188"/>
      <c r="AG697" s="188"/>
      <c r="AH697" s="188"/>
      <c r="AI697" s="299"/>
    </row>
    <row r="698" spans="3:35" ht="13">
      <c r="C698" s="294"/>
      <c r="D698" s="294"/>
      <c r="E698" s="294"/>
      <c r="F698" s="294"/>
      <c r="N698" s="295"/>
      <c r="U698" s="295"/>
      <c r="AC698" s="188"/>
      <c r="AE698" s="188"/>
      <c r="AF698" s="188"/>
      <c r="AG698" s="188"/>
      <c r="AH698" s="188"/>
      <c r="AI698" s="299"/>
    </row>
    <row r="699" spans="3:35" ht="13">
      <c r="C699" s="294"/>
      <c r="D699" s="294"/>
      <c r="E699" s="294"/>
      <c r="F699" s="294"/>
      <c r="N699" s="295"/>
      <c r="U699" s="295"/>
      <c r="AC699" s="188"/>
      <c r="AE699" s="188"/>
      <c r="AF699" s="188"/>
      <c r="AG699" s="188"/>
      <c r="AH699" s="188"/>
      <c r="AI699" s="299"/>
    </row>
    <row r="700" spans="3:35" ht="13">
      <c r="C700" s="294"/>
      <c r="D700" s="294"/>
      <c r="E700" s="294"/>
      <c r="F700" s="294"/>
      <c r="N700" s="295"/>
      <c r="U700" s="295"/>
      <c r="AC700" s="188"/>
      <c r="AE700" s="188"/>
      <c r="AF700" s="188"/>
      <c r="AG700" s="188"/>
      <c r="AH700" s="188"/>
      <c r="AI700" s="299"/>
    </row>
    <row r="701" spans="3:35" ht="13">
      <c r="C701" s="294"/>
      <c r="D701" s="294"/>
      <c r="E701" s="294"/>
      <c r="F701" s="294"/>
      <c r="N701" s="295"/>
      <c r="U701" s="295"/>
      <c r="AC701" s="188"/>
      <c r="AE701" s="188"/>
      <c r="AF701" s="188"/>
      <c r="AG701" s="188"/>
      <c r="AH701" s="188"/>
      <c r="AI701" s="299"/>
    </row>
    <row r="702" spans="3:35" ht="13">
      <c r="C702" s="294"/>
      <c r="D702" s="294"/>
      <c r="E702" s="294"/>
      <c r="F702" s="294"/>
      <c r="N702" s="295"/>
      <c r="U702" s="295"/>
      <c r="AC702" s="188"/>
      <c r="AE702" s="188"/>
      <c r="AF702" s="188"/>
      <c r="AG702" s="188"/>
      <c r="AH702" s="188"/>
      <c r="AI702" s="299"/>
    </row>
    <row r="703" spans="3:35" ht="13">
      <c r="C703" s="294"/>
      <c r="D703" s="294"/>
      <c r="E703" s="294"/>
      <c r="F703" s="294"/>
      <c r="N703" s="295"/>
      <c r="U703" s="295"/>
      <c r="AC703" s="188"/>
      <c r="AE703" s="188"/>
      <c r="AF703" s="188"/>
      <c r="AG703" s="188"/>
      <c r="AH703" s="188"/>
      <c r="AI703" s="299"/>
    </row>
    <row r="704" spans="3:35" ht="13">
      <c r="C704" s="294"/>
      <c r="D704" s="294"/>
      <c r="E704" s="294"/>
      <c r="F704" s="294"/>
      <c r="N704" s="295"/>
      <c r="U704" s="295"/>
      <c r="AC704" s="188"/>
      <c r="AE704" s="188"/>
      <c r="AF704" s="188"/>
      <c r="AG704" s="188"/>
      <c r="AH704" s="188"/>
      <c r="AI704" s="299"/>
    </row>
    <row r="705" spans="3:35" ht="13">
      <c r="C705" s="294"/>
      <c r="D705" s="294"/>
      <c r="E705" s="294"/>
      <c r="F705" s="294"/>
      <c r="N705" s="295"/>
      <c r="U705" s="295"/>
      <c r="AC705" s="188"/>
      <c r="AE705" s="188"/>
      <c r="AF705" s="188"/>
      <c r="AG705" s="188"/>
      <c r="AH705" s="188"/>
      <c r="AI705" s="299"/>
    </row>
    <row r="706" spans="3:35" ht="13">
      <c r="C706" s="294"/>
      <c r="D706" s="294"/>
      <c r="E706" s="294"/>
      <c r="F706" s="294"/>
      <c r="N706" s="295"/>
      <c r="U706" s="295"/>
      <c r="AC706" s="188"/>
      <c r="AE706" s="188"/>
      <c r="AF706" s="188"/>
      <c r="AG706" s="188"/>
      <c r="AH706" s="188"/>
      <c r="AI706" s="299"/>
    </row>
    <row r="707" spans="3:35" ht="13">
      <c r="C707" s="294"/>
      <c r="D707" s="294"/>
      <c r="E707" s="294"/>
      <c r="F707" s="294"/>
      <c r="N707" s="295"/>
      <c r="U707" s="295"/>
      <c r="AC707" s="188"/>
      <c r="AE707" s="188"/>
      <c r="AF707" s="188"/>
      <c r="AG707" s="188"/>
      <c r="AH707" s="188"/>
      <c r="AI707" s="299"/>
    </row>
    <row r="708" spans="3:35" ht="13">
      <c r="C708" s="294"/>
      <c r="D708" s="294"/>
      <c r="E708" s="294"/>
      <c r="F708" s="294"/>
      <c r="N708" s="295"/>
      <c r="U708" s="295"/>
      <c r="AC708" s="188"/>
      <c r="AE708" s="188"/>
      <c r="AF708" s="188"/>
      <c r="AG708" s="188"/>
      <c r="AH708" s="188"/>
      <c r="AI708" s="299"/>
    </row>
    <row r="709" spans="3:35" ht="13">
      <c r="C709" s="294"/>
      <c r="D709" s="294"/>
      <c r="E709" s="294"/>
      <c r="F709" s="294"/>
      <c r="N709" s="295"/>
      <c r="U709" s="295"/>
      <c r="AC709" s="188"/>
      <c r="AE709" s="188"/>
      <c r="AF709" s="188"/>
      <c r="AG709" s="188"/>
      <c r="AH709" s="188"/>
      <c r="AI709" s="299"/>
    </row>
    <row r="710" spans="3:35" ht="13">
      <c r="C710" s="294"/>
      <c r="D710" s="294"/>
      <c r="E710" s="294"/>
      <c r="F710" s="294"/>
      <c r="N710" s="295"/>
      <c r="U710" s="295"/>
      <c r="AC710" s="188"/>
      <c r="AE710" s="188"/>
      <c r="AF710" s="188"/>
      <c r="AG710" s="188"/>
      <c r="AH710" s="188"/>
      <c r="AI710" s="299"/>
    </row>
    <row r="711" spans="3:35" ht="13">
      <c r="C711" s="294"/>
      <c r="D711" s="294"/>
      <c r="E711" s="294"/>
      <c r="F711" s="294"/>
      <c r="N711" s="295"/>
      <c r="U711" s="295"/>
      <c r="AC711" s="188"/>
      <c r="AE711" s="188"/>
      <c r="AF711" s="188"/>
      <c r="AG711" s="188"/>
      <c r="AH711" s="188"/>
      <c r="AI711" s="299"/>
    </row>
    <row r="712" spans="3:35" ht="13">
      <c r="C712" s="294"/>
      <c r="D712" s="294"/>
      <c r="E712" s="294"/>
      <c r="F712" s="294"/>
      <c r="N712" s="295"/>
      <c r="U712" s="295"/>
      <c r="AC712" s="188"/>
      <c r="AE712" s="188"/>
      <c r="AF712" s="188"/>
      <c r="AG712" s="188"/>
      <c r="AH712" s="188"/>
      <c r="AI712" s="299"/>
    </row>
    <row r="713" spans="3:35" ht="13">
      <c r="C713" s="294"/>
      <c r="D713" s="294"/>
      <c r="E713" s="294"/>
      <c r="F713" s="294"/>
      <c r="N713" s="295"/>
      <c r="U713" s="295"/>
      <c r="AC713" s="188"/>
      <c r="AE713" s="188"/>
      <c r="AF713" s="188"/>
      <c r="AG713" s="188"/>
      <c r="AH713" s="188"/>
      <c r="AI713" s="299"/>
    </row>
    <row r="714" spans="3:35" ht="13">
      <c r="C714" s="294"/>
      <c r="D714" s="294"/>
      <c r="E714" s="294"/>
      <c r="F714" s="294"/>
      <c r="N714" s="295"/>
      <c r="U714" s="295"/>
      <c r="AC714" s="188"/>
      <c r="AE714" s="188"/>
      <c r="AF714" s="188"/>
      <c r="AG714" s="188"/>
      <c r="AH714" s="188"/>
      <c r="AI714" s="299"/>
    </row>
    <row r="715" spans="3:35" ht="13">
      <c r="C715" s="294"/>
      <c r="D715" s="294"/>
      <c r="E715" s="294"/>
      <c r="F715" s="294"/>
      <c r="N715" s="295"/>
      <c r="U715" s="295"/>
      <c r="AC715" s="188"/>
      <c r="AE715" s="188"/>
      <c r="AF715" s="188"/>
      <c r="AG715" s="188"/>
      <c r="AH715" s="188"/>
      <c r="AI715" s="299"/>
    </row>
    <row r="716" spans="3:35" ht="13">
      <c r="C716" s="294"/>
      <c r="D716" s="294"/>
      <c r="E716" s="294"/>
      <c r="F716" s="294"/>
      <c r="N716" s="295"/>
      <c r="U716" s="295"/>
      <c r="AC716" s="188"/>
      <c r="AE716" s="188"/>
      <c r="AF716" s="188"/>
      <c r="AG716" s="188"/>
      <c r="AH716" s="188"/>
      <c r="AI716" s="299"/>
    </row>
    <row r="717" spans="3:35" ht="13">
      <c r="C717" s="294"/>
      <c r="D717" s="294"/>
      <c r="E717" s="294"/>
      <c r="F717" s="294"/>
      <c r="N717" s="295"/>
      <c r="U717" s="295"/>
      <c r="AC717" s="188"/>
      <c r="AE717" s="188"/>
      <c r="AF717" s="188"/>
      <c r="AG717" s="188"/>
      <c r="AH717" s="188"/>
      <c r="AI717" s="299"/>
    </row>
    <row r="718" spans="3:35" ht="13">
      <c r="C718" s="294"/>
      <c r="D718" s="294"/>
      <c r="E718" s="294"/>
      <c r="F718" s="294"/>
      <c r="N718" s="295"/>
      <c r="U718" s="295"/>
      <c r="AC718" s="188"/>
      <c r="AE718" s="188"/>
      <c r="AF718" s="188"/>
      <c r="AG718" s="188"/>
      <c r="AH718" s="188"/>
      <c r="AI718" s="299"/>
    </row>
    <row r="719" spans="3:35" ht="13">
      <c r="C719" s="294"/>
      <c r="D719" s="294"/>
      <c r="E719" s="294"/>
      <c r="F719" s="294"/>
      <c r="N719" s="295"/>
      <c r="U719" s="295"/>
      <c r="AC719" s="188"/>
      <c r="AE719" s="188"/>
      <c r="AF719" s="188"/>
      <c r="AG719" s="188"/>
      <c r="AH719" s="188"/>
      <c r="AI719" s="299"/>
    </row>
    <row r="720" spans="3:35" ht="13">
      <c r="C720" s="294"/>
      <c r="D720" s="294"/>
      <c r="E720" s="294"/>
      <c r="F720" s="294"/>
      <c r="N720" s="295"/>
      <c r="U720" s="295"/>
      <c r="AC720" s="188"/>
      <c r="AE720" s="188"/>
      <c r="AF720" s="188"/>
      <c r="AG720" s="188"/>
      <c r="AH720" s="188"/>
      <c r="AI720" s="299"/>
    </row>
    <row r="721" spans="3:35" ht="13">
      <c r="C721" s="294"/>
      <c r="D721" s="294"/>
      <c r="E721" s="294"/>
      <c r="F721" s="294"/>
      <c r="N721" s="295"/>
      <c r="U721" s="295"/>
      <c r="AC721" s="188"/>
      <c r="AE721" s="188"/>
      <c r="AF721" s="188"/>
      <c r="AG721" s="188"/>
      <c r="AH721" s="188"/>
      <c r="AI721" s="299"/>
    </row>
    <row r="722" spans="3:35" ht="13">
      <c r="C722" s="294"/>
      <c r="D722" s="294"/>
      <c r="E722" s="294"/>
      <c r="F722" s="294"/>
      <c r="N722" s="295"/>
      <c r="U722" s="295"/>
      <c r="AC722" s="188"/>
      <c r="AE722" s="188"/>
      <c r="AF722" s="188"/>
      <c r="AG722" s="188"/>
      <c r="AH722" s="188"/>
      <c r="AI722" s="299"/>
    </row>
    <row r="723" spans="3:35" ht="13">
      <c r="C723" s="294"/>
      <c r="D723" s="294"/>
      <c r="E723" s="294"/>
      <c r="F723" s="294"/>
      <c r="N723" s="295"/>
      <c r="U723" s="295"/>
      <c r="AC723" s="188"/>
      <c r="AE723" s="188"/>
      <c r="AF723" s="188"/>
      <c r="AG723" s="188"/>
      <c r="AH723" s="188"/>
      <c r="AI723" s="299"/>
    </row>
    <row r="724" spans="3:35" ht="13">
      <c r="C724" s="294"/>
      <c r="D724" s="294"/>
      <c r="E724" s="294"/>
      <c r="F724" s="294"/>
      <c r="N724" s="295"/>
      <c r="U724" s="295"/>
      <c r="AC724" s="188"/>
      <c r="AE724" s="188"/>
      <c r="AF724" s="188"/>
      <c r="AG724" s="188"/>
      <c r="AH724" s="188"/>
      <c r="AI724" s="299"/>
    </row>
    <row r="725" spans="3:35" ht="13">
      <c r="C725" s="294"/>
      <c r="D725" s="294"/>
      <c r="E725" s="294"/>
      <c r="F725" s="294"/>
      <c r="N725" s="295"/>
      <c r="U725" s="295"/>
      <c r="AC725" s="188"/>
      <c r="AE725" s="188"/>
      <c r="AF725" s="188"/>
      <c r="AG725" s="188"/>
      <c r="AH725" s="188"/>
      <c r="AI725" s="299"/>
    </row>
    <row r="726" spans="3:35" ht="13">
      <c r="C726" s="294"/>
      <c r="D726" s="294"/>
      <c r="E726" s="294"/>
      <c r="F726" s="294"/>
      <c r="N726" s="295"/>
      <c r="U726" s="295"/>
      <c r="AC726" s="188"/>
      <c r="AE726" s="188"/>
      <c r="AF726" s="188"/>
      <c r="AG726" s="188"/>
      <c r="AH726" s="188"/>
      <c r="AI726" s="299"/>
    </row>
    <row r="727" spans="3:35" ht="13">
      <c r="C727" s="294"/>
      <c r="D727" s="294"/>
      <c r="E727" s="294"/>
      <c r="F727" s="294"/>
      <c r="N727" s="295"/>
      <c r="U727" s="295"/>
      <c r="AC727" s="188"/>
      <c r="AE727" s="188"/>
      <c r="AF727" s="188"/>
      <c r="AG727" s="188"/>
      <c r="AH727" s="188"/>
      <c r="AI727" s="299"/>
    </row>
    <row r="728" spans="3:35" ht="13">
      <c r="C728" s="294"/>
      <c r="D728" s="294"/>
      <c r="E728" s="294"/>
      <c r="F728" s="294"/>
      <c r="N728" s="295"/>
      <c r="U728" s="295"/>
      <c r="AC728" s="188"/>
      <c r="AE728" s="188"/>
      <c r="AF728" s="188"/>
      <c r="AG728" s="188"/>
      <c r="AH728" s="188"/>
      <c r="AI728" s="299"/>
    </row>
    <row r="729" spans="3:35" ht="13">
      <c r="C729" s="294"/>
      <c r="D729" s="294"/>
      <c r="E729" s="294"/>
      <c r="F729" s="294"/>
      <c r="N729" s="295"/>
      <c r="U729" s="295"/>
      <c r="AC729" s="188"/>
      <c r="AE729" s="188"/>
      <c r="AF729" s="188"/>
      <c r="AG729" s="188"/>
      <c r="AH729" s="188"/>
      <c r="AI729" s="299"/>
    </row>
    <row r="730" spans="3:35" ht="13">
      <c r="C730" s="294"/>
      <c r="D730" s="294"/>
      <c r="E730" s="294"/>
      <c r="F730" s="294"/>
      <c r="N730" s="295"/>
      <c r="U730" s="295"/>
      <c r="AC730" s="188"/>
      <c r="AE730" s="188"/>
      <c r="AF730" s="188"/>
      <c r="AG730" s="188"/>
      <c r="AH730" s="188"/>
      <c r="AI730" s="299"/>
    </row>
    <row r="731" spans="3:35" ht="13">
      <c r="C731" s="294"/>
      <c r="D731" s="294"/>
      <c r="E731" s="294"/>
      <c r="F731" s="294"/>
      <c r="N731" s="295"/>
      <c r="U731" s="295"/>
      <c r="AC731" s="188"/>
      <c r="AE731" s="188"/>
      <c r="AF731" s="188"/>
      <c r="AG731" s="188"/>
      <c r="AH731" s="188"/>
      <c r="AI731" s="299"/>
    </row>
    <row r="732" spans="3:35" ht="13">
      <c r="C732" s="294"/>
      <c r="D732" s="294"/>
      <c r="E732" s="294"/>
      <c r="F732" s="294"/>
      <c r="N732" s="295"/>
      <c r="U732" s="295"/>
      <c r="AC732" s="188"/>
      <c r="AE732" s="188"/>
      <c r="AF732" s="188"/>
      <c r="AG732" s="188"/>
      <c r="AH732" s="188"/>
      <c r="AI732" s="299"/>
    </row>
    <row r="733" spans="3:35" ht="13">
      <c r="C733" s="294"/>
      <c r="D733" s="294"/>
      <c r="E733" s="294"/>
      <c r="F733" s="294"/>
      <c r="N733" s="295"/>
      <c r="U733" s="295"/>
      <c r="AC733" s="188"/>
      <c r="AE733" s="188"/>
      <c r="AF733" s="188"/>
      <c r="AG733" s="188"/>
      <c r="AH733" s="188"/>
      <c r="AI733" s="299"/>
    </row>
    <row r="734" spans="3:35" ht="13">
      <c r="C734" s="294"/>
      <c r="D734" s="294"/>
      <c r="E734" s="294"/>
      <c r="F734" s="294"/>
      <c r="N734" s="295"/>
      <c r="U734" s="295"/>
      <c r="AC734" s="188"/>
      <c r="AE734" s="188"/>
      <c r="AF734" s="188"/>
      <c r="AG734" s="188"/>
      <c r="AH734" s="188"/>
      <c r="AI734" s="299"/>
    </row>
    <row r="735" spans="3:35" ht="13">
      <c r="C735" s="294"/>
      <c r="D735" s="294"/>
      <c r="E735" s="294"/>
      <c r="F735" s="294"/>
      <c r="N735" s="295"/>
      <c r="U735" s="295"/>
      <c r="AC735" s="188"/>
      <c r="AE735" s="188"/>
      <c r="AF735" s="188"/>
      <c r="AG735" s="188"/>
      <c r="AH735" s="188"/>
      <c r="AI735" s="299"/>
    </row>
    <row r="736" spans="3:35" ht="13">
      <c r="C736" s="294"/>
      <c r="D736" s="294"/>
      <c r="E736" s="294"/>
      <c r="F736" s="294"/>
      <c r="N736" s="295"/>
      <c r="U736" s="295"/>
      <c r="AC736" s="188"/>
      <c r="AE736" s="188"/>
      <c r="AF736" s="188"/>
      <c r="AG736" s="188"/>
      <c r="AH736" s="188"/>
      <c r="AI736" s="299"/>
    </row>
    <row r="737" spans="3:35" ht="13">
      <c r="C737" s="294"/>
      <c r="D737" s="294"/>
      <c r="E737" s="294"/>
      <c r="F737" s="294"/>
      <c r="N737" s="295"/>
      <c r="U737" s="295"/>
      <c r="AC737" s="188"/>
      <c r="AE737" s="188"/>
      <c r="AF737" s="188"/>
      <c r="AG737" s="188"/>
      <c r="AH737" s="188"/>
      <c r="AI737" s="299"/>
    </row>
    <row r="738" spans="3:35" ht="13">
      <c r="C738" s="294"/>
      <c r="D738" s="294"/>
      <c r="E738" s="294"/>
      <c r="F738" s="294"/>
      <c r="N738" s="295"/>
      <c r="U738" s="295"/>
      <c r="AC738" s="188"/>
      <c r="AE738" s="188"/>
      <c r="AF738" s="188"/>
      <c r="AG738" s="188"/>
      <c r="AH738" s="188"/>
      <c r="AI738" s="299"/>
    </row>
    <row r="739" spans="3:35" ht="13">
      <c r="C739" s="294"/>
      <c r="D739" s="294"/>
      <c r="E739" s="294"/>
      <c r="F739" s="294"/>
      <c r="N739" s="295"/>
      <c r="U739" s="295"/>
      <c r="AC739" s="188"/>
      <c r="AE739" s="188"/>
      <c r="AF739" s="188"/>
      <c r="AG739" s="188"/>
      <c r="AH739" s="188"/>
      <c r="AI739" s="299"/>
    </row>
    <row r="740" spans="3:35" ht="13">
      <c r="C740" s="294"/>
      <c r="D740" s="294"/>
      <c r="E740" s="294"/>
      <c r="F740" s="294"/>
      <c r="N740" s="295"/>
      <c r="U740" s="295"/>
      <c r="AC740" s="188"/>
      <c r="AE740" s="188"/>
      <c r="AF740" s="188"/>
      <c r="AG740" s="188"/>
      <c r="AH740" s="188"/>
      <c r="AI740" s="299"/>
    </row>
    <row r="741" spans="3:35" ht="13">
      <c r="C741" s="294"/>
      <c r="D741" s="294"/>
      <c r="E741" s="294"/>
      <c r="F741" s="294"/>
      <c r="N741" s="295"/>
      <c r="U741" s="295"/>
      <c r="AC741" s="188"/>
      <c r="AE741" s="188"/>
      <c r="AF741" s="188"/>
      <c r="AG741" s="188"/>
      <c r="AH741" s="188"/>
      <c r="AI741" s="299"/>
    </row>
    <row r="742" spans="3:35" ht="13">
      <c r="C742" s="294"/>
      <c r="D742" s="294"/>
      <c r="E742" s="294"/>
      <c r="F742" s="294"/>
      <c r="N742" s="295"/>
      <c r="U742" s="295"/>
      <c r="AC742" s="188"/>
      <c r="AE742" s="188"/>
      <c r="AF742" s="188"/>
      <c r="AG742" s="188"/>
      <c r="AH742" s="188"/>
      <c r="AI742" s="299"/>
    </row>
    <row r="743" spans="3:35" ht="13">
      <c r="C743" s="294"/>
      <c r="D743" s="294"/>
      <c r="E743" s="294"/>
      <c r="F743" s="294"/>
      <c r="N743" s="295"/>
      <c r="U743" s="295"/>
      <c r="AC743" s="188"/>
      <c r="AE743" s="188"/>
      <c r="AF743" s="188"/>
      <c r="AG743" s="188"/>
      <c r="AH743" s="188"/>
      <c r="AI743" s="299"/>
    </row>
    <row r="744" spans="3:35" ht="13">
      <c r="C744" s="294"/>
      <c r="D744" s="294"/>
      <c r="E744" s="294"/>
      <c r="F744" s="294"/>
      <c r="N744" s="295"/>
      <c r="U744" s="295"/>
      <c r="AC744" s="188"/>
      <c r="AE744" s="188"/>
      <c r="AF744" s="188"/>
      <c r="AG744" s="188"/>
      <c r="AH744" s="188"/>
      <c r="AI744" s="299"/>
    </row>
    <row r="745" spans="3:35" ht="13">
      <c r="C745" s="294"/>
      <c r="D745" s="294"/>
      <c r="E745" s="294"/>
      <c r="F745" s="294"/>
      <c r="N745" s="295"/>
      <c r="U745" s="295"/>
      <c r="AC745" s="188"/>
      <c r="AE745" s="188"/>
      <c r="AF745" s="188"/>
      <c r="AG745" s="188"/>
      <c r="AH745" s="188"/>
      <c r="AI745" s="299"/>
    </row>
    <row r="746" spans="3:35" ht="13">
      <c r="C746" s="294"/>
      <c r="D746" s="294"/>
      <c r="E746" s="294"/>
      <c r="F746" s="294"/>
      <c r="N746" s="295"/>
      <c r="U746" s="295"/>
      <c r="AC746" s="188"/>
      <c r="AE746" s="188"/>
      <c r="AF746" s="188"/>
      <c r="AG746" s="188"/>
      <c r="AH746" s="188"/>
      <c r="AI746" s="299"/>
    </row>
    <row r="747" spans="3:35" ht="13">
      <c r="C747" s="294"/>
      <c r="D747" s="294"/>
      <c r="E747" s="294"/>
      <c r="F747" s="294"/>
      <c r="N747" s="295"/>
      <c r="U747" s="295"/>
      <c r="AC747" s="188"/>
      <c r="AE747" s="188"/>
      <c r="AF747" s="188"/>
      <c r="AG747" s="188"/>
      <c r="AH747" s="188"/>
      <c r="AI747" s="299"/>
    </row>
    <row r="748" spans="3:35" ht="13">
      <c r="C748" s="294"/>
      <c r="D748" s="294"/>
      <c r="E748" s="294"/>
      <c r="F748" s="294"/>
      <c r="N748" s="295"/>
      <c r="U748" s="295"/>
      <c r="AC748" s="188"/>
      <c r="AE748" s="188"/>
      <c r="AF748" s="188"/>
      <c r="AG748" s="188"/>
      <c r="AH748" s="188"/>
      <c r="AI748" s="299"/>
    </row>
    <row r="749" spans="3:35" ht="13">
      <c r="C749" s="294"/>
      <c r="D749" s="294"/>
      <c r="E749" s="294"/>
      <c r="F749" s="294"/>
      <c r="N749" s="295"/>
      <c r="U749" s="295"/>
      <c r="AC749" s="188"/>
      <c r="AE749" s="188"/>
      <c r="AF749" s="188"/>
      <c r="AG749" s="188"/>
      <c r="AH749" s="188"/>
      <c r="AI749" s="299"/>
    </row>
    <row r="750" spans="3:35" ht="13">
      <c r="C750" s="294"/>
      <c r="D750" s="294"/>
      <c r="E750" s="294"/>
      <c r="F750" s="294"/>
      <c r="N750" s="295"/>
      <c r="U750" s="295"/>
      <c r="AC750" s="188"/>
      <c r="AE750" s="188"/>
      <c r="AF750" s="188"/>
      <c r="AG750" s="188"/>
      <c r="AH750" s="188"/>
      <c r="AI750" s="299"/>
    </row>
    <row r="751" spans="3:35" ht="13">
      <c r="C751" s="294"/>
      <c r="D751" s="294"/>
      <c r="E751" s="294"/>
      <c r="F751" s="294"/>
      <c r="N751" s="295"/>
      <c r="U751" s="295"/>
      <c r="AC751" s="188"/>
      <c r="AE751" s="188"/>
      <c r="AF751" s="188"/>
      <c r="AG751" s="188"/>
      <c r="AH751" s="188"/>
      <c r="AI751" s="299"/>
    </row>
    <row r="752" spans="3:35" ht="13">
      <c r="C752" s="294"/>
      <c r="D752" s="294"/>
      <c r="E752" s="294"/>
      <c r="F752" s="294"/>
      <c r="N752" s="295"/>
      <c r="U752" s="295"/>
      <c r="AC752" s="188"/>
      <c r="AE752" s="188"/>
      <c r="AF752" s="188"/>
      <c r="AG752" s="188"/>
      <c r="AH752" s="188"/>
      <c r="AI752" s="299"/>
    </row>
    <row r="753" spans="3:35" ht="13">
      <c r="C753" s="294"/>
      <c r="D753" s="294"/>
      <c r="E753" s="294"/>
      <c r="F753" s="294"/>
      <c r="N753" s="295"/>
      <c r="U753" s="295"/>
      <c r="AC753" s="188"/>
      <c r="AE753" s="188"/>
      <c r="AF753" s="188"/>
      <c r="AG753" s="188"/>
      <c r="AH753" s="188"/>
      <c r="AI753" s="299"/>
    </row>
    <row r="754" spans="3:35" ht="13">
      <c r="C754" s="294"/>
      <c r="D754" s="294"/>
      <c r="E754" s="294"/>
      <c r="F754" s="294"/>
      <c r="N754" s="295"/>
      <c r="U754" s="295"/>
      <c r="AC754" s="188"/>
      <c r="AE754" s="188"/>
      <c r="AF754" s="188"/>
      <c r="AG754" s="188"/>
      <c r="AH754" s="188"/>
      <c r="AI754" s="299"/>
    </row>
    <row r="755" spans="3:35" ht="13">
      <c r="C755" s="294"/>
      <c r="D755" s="294"/>
      <c r="E755" s="294"/>
      <c r="F755" s="294"/>
      <c r="N755" s="295"/>
      <c r="U755" s="295"/>
      <c r="AC755" s="188"/>
      <c r="AE755" s="188"/>
      <c r="AF755" s="188"/>
      <c r="AG755" s="188"/>
      <c r="AH755" s="188"/>
      <c r="AI755" s="299"/>
    </row>
    <row r="756" spans="3:35" ht="13">
      <c r="C756" s="294"/>
      <c r="D756" s="294"/>
      <c r="E756" s="294"/>
      <c r="F756" s="294"/>
      <c r="N756" s="295"/>
      <c r="U756" s="295"/>
      <c r="AC756" s="188"/>
      <c r="AE756" s="188"/>
      <c r="AF756" s="188"/>
      <c r="AG756" s="188"/>
      <c r="AH756" s="188"/>
      <c r="AI756" s="299"/>
    </row>
    <row r="757" spans="3:35" ht="13">
      <c r="C757" s="294"/>
      <c r="D757" s="294"/>
      <c r="E757" s="294"/>
      <c r="F757" s="294"/>
      <c r="N757" s="295"/>
      <c r="U757" s="295"/>
      <c r="AC757" s="188"/>
      <c r="AE757" s="188"/>
      <c r="AF757" s="188"/>
      <c r="AG757" s="188"/>
      <c r="AH757" s="188"/>
      <c r="AI757" s="299"/>
    </row>
    <row r="758" spans="3:35" ht="13">
      <c r="C758" s="294"/>
      <c r="D758" s="294"/>
      <c r="E758" s="294"/>
      <c r="F758" s="294"/>
      <c r="N758" s="295"/>
      <c r="U758" s="295"/>
      <c r="AC758" s="188"/>
      <c r="AE758" s="188"/>
      <c r="AF758" s="188"/>
      <c r="AG758" s="188"/>
      <c r="AH758" s="188"/>
      <c r="AI758" s="299"/>
    </row>
    <row r="759" spans="3:35" ht="13">
      <c r="C759" s="294"/>
      <c r="D759" s="294"/>
      <c r="E759" s="294"/>
      <c r="F759" s="294"/>
      <c r="N759" s="295"/>
      <c r="U759" s="295"/>
      <c r="AC759" s="188"/>
      <c r="AE759" s="188"/>
      <c r="AF759" s="188"/>
      <c r="AG759" s="188"/>
      <c r="AH759" s="188"/>
      <c r="AI759" s="299"/>
    </row>
    <row r="760" spans="3:35" ht="13">
      <c r="C760" s="294"/>
      <c r="D760" s="294"/>
      <c r="E760" s="294"/>
      <c r="F760" s="294"/>
      <c r="N760" s="295"/>
      <c r="U760" s="295"/>
      <c r="AC760" s="188"/>
      <c r="AE760" s="188"/>
      <c r="AF760" s="188"/>
      <c r="AG760" s="188"/>
      <c r="AH760" s="188"/>
      <c r="AI760" s="299"/>
    </row>
    <row r="761" spans="3:35" ht="13">
      <c r="C761" s="294"/>
      <c r="D761" s="294"/>
      <c r="E761" s="294"/>
      <c r="F761" s="294"/>
      <c r="N761" s="295"/>
      <c r="U761" s="295"/>
      <c r="AC761" s="188"/>
      <c r="AE761" s="188"/>
      <c r="AF761" s="188"/>
      <c r="AG761" s="188"/>
      <c r="AH761" s="188"/>
      <c r="AI761" s="299"/>
    </row>
    <row r="762" spans="3:35" ht="13">
      <c r="C762" s="294"/>
      <c r="D762" s="294"/>
      <c r="E762" s="294"/>
      <c r="F762" s="294"/>
      <c r="N762" s="295"/>
      <c r="U762" s="295"/>
      <c r="AC762" s="188"/>
      <c r="AE762" s="188"/>
      <c r="AF762" s="188"/>
      <c r="AG762" s="188"/>
      <c r="AH762" s="188"/>
      <c r="AI762" s="299"/>
    </row>
    <row r="763" spans="3:35" ht="13">
      <c r="C763" s="294"/>
      <c r="D763" s="294"/>
      <c r="E763" s="294"/>
      <c r="F763" s="294"/>
      <c r="N763" s="295"/>
      <c r="U763" s="295"/>
      <c r="AC763" s="188"/>
      <c r="AE763" s="188"/>
      <c r="AF763" s="188"/>
      <c r="AG763" s="188"/>
      <c r="AH763" s="188"/>
      <c r="AI763" s="299"/>
    </row>
    <row r="764" spans="3:35" ht="13">
      <c r="C764" s="294"/>
      <c r="D764" s="294"/>
      <c r="E764" s="294"/>
      <c r="F764" s="294"/>
      <c r="N764" s="295"/>
      <c r="U764" s="295"/>
      <c r="AC764" s="188"/>
      <c r="AE764" s="188"/>
      <c r="AF764" s="188"/>
      <c r="AG764" s="188"/>
      <c r="AH764" s="188"/>
      <c r="AI764" s="299"/>
    </row>
    <row r="765" spans="3:35" ht="13">
      <c r="C765" s="294"/>
      <c r="D765" s="294"/>
      <c r="E765" s="294"/>
      <c r="F765" s="294"/>
      <c r="N765" s="295"/>
      <c r="U765" s="295"/>
      <c r="AC765" s="188"/>
      <c r="AE765" s="188"/>
      <c r="AF765" s="188"/>
      <c r="AG765" s="188"/>
      <c r="AH765" s="188"/>
      <c r="AI765" s="299"/>
    </row>
    <row r="766" spans="3:35" ht="13">
      <c r="C766" s="294"/>
      <c r="D766" s="294"/>
      <c r="E766" s="294"/>
      <c r="F766" s="294"/>
      <c r="N766" s="295"/>
      <c r="U766" s="295"/>
      <c r="AC766" s="188"/>
      <c r="AE766" s="188"/>
      <c r="AF766" s="188"/>
      <c r="AG766" s="188"/>
      <c r="AH766" s="188"/>
      <c r="AI766" s="299"/>
    </row>
    <row r="767" spans="3:35" ht="13">
      <c r="C767" s="294"/>
      <c r="D767" s="294"/>
      <c r="E767" s="294"/>
      <c r="F767" s="294"/>
      <c r="N767" s="295"/>
      <c r="U767" s="295"/>
      <c r="AC767" s="188"/>
      <c r="AE767" s="188"/>
      <c r="AF767" s="188"/>
      <c r="AG767" s="188"/>
      <c r="AH767" s="188"/>
      <c r="AI767" s="299"/>
    </row>
    <row r="768" spans="3:35" ht="13">
      <c r="C768" s="294"/>
      <c r="D768" s="294"/>
      <c r="E768" s="294"/>
      <c r="F768" s="294"/>
      <c r="N768" s="295"/>
      <c r="U768" s="295"/>
      <c r="AC768" s="188"/>
      <c r="AE768" s="188"/>
      <c r="AF768" s="188"/>
      <c r="AG768" s="188"/>
      <c r="AH768" s="188"/>
      <c r="AI768" s="299"/>
    </row>
    <row r="769" spans="3:35" ht="13">
      <c r="C769" s="294"/>
      <c r="D769" s="294"/>
      <c r="E769" s="294"/>
      <c r="F769" s="294"/>
      <c r="N769" s="295"/>
      <c r="U769" s="295"/>
      <c r="AC769" s="188"/>
      <c r="AE769" s="188"/>
      <c r="AF769" s="188"/>
      <c r="AG769" s="188"/>
      <c r="AH769" s="188"/>
      <c r="AI769" s="299"/>
    </row>
    <row r="770" spans="3:35" ht="13">
      <c r="C770" s="294"/>
      <c r="D770" s="294"/>
      <c r="E770" s="294"/>
      <c r="F770" s="294"/>
      <c r="N770" s="295"/>
      <c r="U770" s="295"/>
      <c r="AC770" s="188"/>
      <c r="AE770" s="188"/>
      <c r="AF770" s="188"/>
      <c r="AG770" s="188"/>
      <c r="AH770" s="188"/>
      <c r="AI770" s="299"/>
    </row>
    <row r="771" spans="3:35" ht="13">
      <c r="C771" s="294"/>
      <c r="D771" s="294"/>
      <c r="E771" s="294"/>
      <c r="F771" s="294"/>
      <c r="N771" s="295"/>
      <c r="U771" s="295"/>
      <c r="AC771" s="188"/>
      <c r="AE771" s="188"/>
      <c r="AF771" s="188"/>
      <c r="AG771" s="188"/>
      <c r="AH771" s="188"/>
      <c r="AI771" s="299"/>
    </row>
    <row r="772" spans="3:35" ht="13">
      <c r="C772" s="294"/>
      <c r="D772" s="294"/>
      <c r="E772" s="294"/>
      <c r="F772" s="294"/>
      <c r="N772" s="295"/>
      <c r="U772" s="295"/>
      <c r="AC772" s="188"/>
      <c r="AE772" s="188"/>
      <c r="AF772" s="188"/>
      <c r="AG772" s="188"/>
      <c r="AH772" s="188"/>
      <c r="AI772" s="299"/>
    </row>
    <row r="773" spans="3:35" ht="13">
      <c r="C773" s="294"/>
      <c r="D773" s="294"/>
      <c r="E773" s="294"/>
      <c r="F773" s="294"/>
      <c r="N773" s="295"/>
      <c r="U773" s="295"/>
      <c r="AC773" s="188"/>
      <c r="AE773" s="188"/>
      <c r="AF773" s="188"/>
      <c r="AG773" s="188"/>
      <c r="AH773" s="188"/>
      <c r="AI773" s="299"/>
    </row>
    <row r="774" spans="3:35" ht="13">
      <c r="C774" s="294"/>
      <c r="D774" s="294"/>
      <c r="E774" s="294"/>
      <c r="F774" s="294"/>
      <c r="N774" s="295"/>
      <c r="U774" s="295"/>
      <c r="AC774" s="188"/>
      <c r="AE774" s="188"/>
      <c r="AF774" s="188"/>
      <c r="AG774" s="188"/>
      <c r="AH774" s="188"/>
      <c r="AI774" s="299"/>
    </row>
    <row r="775" spans="3:35" ht="13">
      <c r="C775" s="294"/>
      <c r="D775" s="294"/>
      <c r="E775" s="294"/>
      <c r="F775" s="294"/>
      <c r="N775" s="295"/>
      <c r="U775" s="295"/>
      <c r="AC775" s="188"/>
      <c r="AE775" s="188"/>
      <c r="AF775" s="188"/>
      <c r="AG775" s="188"/>
      <c r="AH775" s="188"/>
      <c r="AI775" s="299"/>
    </row>
    <row r="776" spans="3:35" ht="13">
      <c r="C776" s="294"/>
      <c r="D776" s="294"/>
      <c r="E776" s="294"/>
      <c r="F776" s="294"/>
      <c r="N776" s="295"/>
      <c r="U776" s="295"/>
      <c r="AC776" s="188"/>
      <c r="AE776" s="188"/>
      <c r="AF776" s="188"/>
      <c r="AG776" s="188"/>
      <c r="AH776" s="188"/>
      <c r="AI776" s="299"/>
    </row>
    <row r="777" spans="3:35" ht="13">
      <c r="C777" s="294"/>
      <c r="D777" s="294"/>
      <c r="E777" s="294"/>
      <c r="F777" s="294"/>
      <c r="N777" s="295"/>
      <c r="U777" s="295"/>
      <c r="AC777" s="188"/>
      <c r="AE777" s="188"/>
      <c r="AF777" s="188"/>
      <c r="AG777" s="188"/>
      <c r="AH777" s="188"/>
      <c r="AI777" s="299"/>
    </row>
    <row r="778" spans="3:35" ht="13">
      <c r="C778" s="294"/>
      <c r="D778" s="294"/>
      <c r="E778" s="294"/>
      <c r="F778" s="294"/>
      <c r="N778" s="295"/>
      <c r="U778" s="295"/>
      <c r="AC778" s="188"/>
      <c r="AE778" s="188"/>
      <c r="AF778" s="188"/>
      <c r="AG778" s="188"/>
      <c r="AH778" s="188"/>
      <c r="AI778" s="299"/>
    </row>
    <row r="779" spans="3:35" ht="13">
      <c r="C779" s="294"/>
      <c r="D779" s="294"/>
      <c r="E779" s="294"/>
      <c r="F779" s="294"/>
      <c r="N779" s="295"/>
      <c r="U779" s="295"/>
      <c r="AC779" s="188"/>
      <c r="AE779" s="188"/>
      <c r="AF779" s="188"/>
      <c r="AG779" s="188"/>
      <c r="AH779" s="188"/>
      <c r="AI779" s="299"/>
    </row>
    <row r="780" spans="3:35" ht="13">
      <c r="C780" s="294"/>
      <c r="D780" s="294"/>
      <c r="E780" s="294"/>
      <c r="F780" s="294"/>
      <c r="N780" s="295"/>
      <c r="U780" s="295"/>
      <c r="AC780" s="188"/>
      <c r="AE780" s="188"/>
      <c r="AF780" s="188"/>
      <c r="AG780" s="188"/>
      <c r="AH780" s="188"/>
      <c r="AI780" s="299"/>
    </row>
    <row r="781" spans="3:35" ht="13">
      <c r="C781" s="294"/>
      <c r="D781" s="294"/>
      <c r="E781" s="294"/>
      <c r="F781" s="294"/>
      <c r="N781" s="295"/>
      <c r="U781" s="295"/>
      <c r="AC781" s="188"/>
      <c r="AE781" s="188"/>
      <c r="AF781" s="188"/>
      <c r="AG781" s="188"/>
      <c r="AH781" s="188"/>
      <c r="AI781" s="299"/>
    </row>
    <row r="782" spans="3:35" ht="13">
      <c r="C782" s="294"/>
      <c r="D782" s="294"/>
      <c r="E782" s="294"/>
      <c r="F782" s="294"/>
      <c r="N782" s="295"/>
      <c r="U782" s="295"/>
      <c r="AC782" s="188"/>
      <c r="AE782" s="188"/>
      <c r="AF782" s="188"/>
      <c r="AG782" s="188"/>
      <c r="AH782" s="188"/>
      <c r="AI782" s="299"/>
    </row>
    <row r="783" spans="3:35" ht="13">
      <c r="C783" s="294"/>
      <c r="D783" s="294"/>
      <c r="E783" s="294"/>
      <c r="F783" s="294"/>
      <c r="N783" s="295"/>
      <c r="U783" s="295"/>
      <c r="AC783" s="188"/>
      <c r="AE783" s="188"/>
      <c r="AF783" s="188"/>
      <c r="AG783" s="188"/>
      <c r="AH783" s="188"/>
      <c r="AI783" s="299"/>
    </row>
    <row r="784" spans="3:35" ht="13">
      <c r="C784" s="294"/>
      <c r="D784" s="294"/>
      <c r="E784" s="294"/>
      <c r="F784" s="294"/>
      <c r="N784" s="295"/>
      <c r="U784" s="295"/>
      <c r="AC784" s="188"/>
      <c r="AE784" s="188"/>
      <c r="AF784" s="188"/>
      <c r="AG784" s="188"/>
      <c r="AH784" s="188"/>
      <c r="AI784" s="299"/>
    </row>
    <row r="785" spans="3:35" ht="13">
      <c r="C785" s="294"/>
      <c r="D785" s="294"/>
      <c r="E785" s="294"/>
      <c r="F785" s="294"/>
      <c r="N785" s="295"/>
      <c r="U785" s="295"/>
      <c r="AC785" s="188"/>
      <c r="AE785" s="188"/>
      <c r="AF785" s="188"/>
      <c r="AG785" s="188"/>
      <c r="AH785" s="188"/>
      <c r="AI785" s="299"/>
    </row>
    <row r="786" spans="3:35" ht="13">
      <c r="C786" s="294"/>
      <c r="D786" s="294"/>
      <c r="E786" s="294"/>
      <c r="F786" s="294"/>
      <c r="N786" s="295"/>
      <c r="U786" s="295"/>
      <c r="AC786" s="188"/>
      <c r="AE786" s="188"/>
      <c r="AF786" s="188"/>
      <c r="AG786" s="188"/>
      <c r="AH786" s="188"/>
      <c r="AI786" s="299"/>
    </row>
    <row r="787" spans="3:35" ht="13">
      <c r="C787" s="294"/>
      <c r="D787" s="294"/>
      <c r="E787" s="294"/>
      <c r="F787" s="294"/>
      <c r="N787" s="295"/>
      <c r="U787" s="295"/>
      <c r="AC787" s="188"/>
      <c r="AE787" s="188"/>
      <c r="AF787" s="188"/>
      <c r="AG787" s="188"/>
      <c r="AH787" s="188"/>
      <c r="AI787" s="299"/>
    </row>
    <row r="788" spans="3:35" ht="13">
      <c r="C788" s="294"/>
      <c r="D788" s="294"/>
      <c r="E788" s="294"/>
      <c r="F788" s="294"/>
      <c r="N788" s="295"/>
      <c r="U788" s="295"/>
      <c r="AC788" s="188"/>
      <c r="AE788" s="188"/>
      <c r="AF788" s="188"/>
      <c r="AG788" s="188"/>
      <c r="AH788" s="188"/>
      <c r="AI788" s="299"/>
    </row>
    <row r="789" spans="3:35" ht="13">
      <c r="C789" s="294"/>
      <c r="D789" s="294"/>
      <c r="E789" s="294"/>
      <c r="F789" s="294"/>
      <c r="N789" s="295"/>
      <c r="U789" s="295"/>
      <c r="AC789" s="188"/>
      <c r="AE789" s="188"/>
      <c r="AF789" s="188"/>
      <c r="AG789" s="188"/>
      <c r="AH789" s="188"/>
      <c r="AI789" s="299"/>
    </row>
    <row r="790" spans="3:35" ht="13">
      <c r="C790" s="294"/>
      <c r="D790" s="294"/>
      <c r="E790" s="294"/>
      <c r="F790" s="294"/>
      <c r="N790" s="295"/>
      <c r="U790" s="295"/>
      <c r="AC790" s="188"/>
      <c r="AE790" s="188"/>
      <c r="AF790" s="188"/>
      <c r="AG790" s="188"/>
      <c r="AH790" s="188"/>
      <c r="AI790" s="299"/>
    </row>
    <row r="791" spans="3:35" ht="13">
      <c r="C791" s="294"/>
      <c r="D791" s="294"/>
      <c r="E791" s="294"/>
      <c r="F791" s="294"/>
      <c r="N791" s="295"/>
      <c r="U791" s="295"/>
      <c r="AC791" s="188"/>
      <c r="AE791" s="188"/>
      <c r="AF791" s="188"/>
      <c r="AG791" s="188"/>
      <c r="AH791" s="188"/>
      <c r="AI791" s="299"/>
    </row>
    <row r="792" spans="3:35" ht="13">
      <c r="C792" s="294"/>
      <c r="D792" s="294"/>
      <c r="E792" s="294"/>
      <c r="F792" s="294"/>
      <c r="N792" s="295"/>
      <c r="U792" s="295"/>
      <c r="AC792" s="188"/>
      <c r="AE792" s="188"/>
      <c r="AF792" s="188"/>
      <c r="AG792" s="188"/>
      <c r="AH792" s="188"/>
      <c r="AI792" s="299"/>
    </row>
    <row r="793" spans="3:35" ht="13">
      <c r="C793" s="294"/>
      <c r="D793" s="294"/>
      <c r="E793" s="294"/>
      <c r="F793" s="294"/>
      <c r="N793" s="295"/>
      <c r="U793" s="295"/>
      <c r="AC793" s="188"/>
      <c r="AE793" s="188"/>
      <c r="AF793" s="188"/>
      <c r="AG793" s="188"/>
      <c r="AH793" s="188"/>
      <c r="AI793" s="299"/>
    </row>
    <row r="794" spans="3:35" ht="13">
      <c r="C794" s="294"/>
      <c r="D794" s="294"/>
      <c r="E794" s="294"/>
      <c r="F794" s="294"/>
      <c r="N794" s="295"/>
      <c r="U794" s="295"/>
      <c r="AC794" s="188"/>
      <c r="AE794" s="188"/>
      <c r="AF794" s="188"/>
      <c r="AG794" s="188"/>
      <c r="AH794" s="188"/>
      <c r="AI794" s="299"/>
    </row>
    <row r="795" spans="3:35" ht="13">
      <c r="C795" s="294"/>
      <c r="D795" s="294"/>
      <c r="E795" s="294"/>
      <c r="F795" s="294"/>
      <c r="N795" s="295"/>
      <c r="U795" s="295"/>
      <c r="AC795" s="188"/>
      <c r="AE795" s="188"/>
      <c r="AF795" s="188"/>
      <c r="AG795" s="188"/>
      <c r="AH795" s="188"/>
      <c r="AI795" s="299"/>
    </row>
    <row r="796" spans="3:35" ht="13">
      <c r="C796" s="294"/>
      <c r="D796" s="294"/>
      <c r="E796" s="294"/>
      <c r="F796" s="294"/>
      <c r="N796" s="295"/>
      <c r="U796" s="295"/>
      <c r="AC796" s="188"/>
      <c r="AE796" s="188"/>
      <c r="AF796" s="188"/>
      <c r="AG796" s="188"/>
      <c r="AH796" s="188"/>
      <c r="AI796" s="299"/>
    </row>
    <row r="797" spans="3:35" ht="13">
      <c r="C797" s="294"/>
      <c r="D797" s="294"/>
      <c r="E797" s="294"/>
      <c r="F797" s="294"/>
      <c r="N797" s="295"/>
      <c r="U797" s="295"/>
      <c r="AC797" s="188"/>
      <c r="AE797" s="188"/>
      <c r="AF797" s="188"/>
      <c r="AG797" s="188"/>
      <c r="AH797" s="188"/>
      <c r="AI797" s="299"/>
    </row>
    <row r="798" spans="3:35" ht="13">
      <c r="C798" s="294"/>
      <c r="D798" s="294"/>
      <c r="E798" s="294"/>
      <c r="F798" s="294"/>
      <c r="N798" s="295"/>
      <c r="U798" s="295"/>
      <c r="AC798" s="188"/>
      <c r="AE798" s="188"/>
      <c r="AF798" s="188"/>
      <c r="AG798" s="188"/>
      <c r="AH798" s="188"/>
      <c r="AI798" s="299"/>
    </row>
    <row r="799" spans="3:35" ht="13">
      <c r="C799" s="294"/>
      <c r="D799" s="294"/>
      <c r="E799" s="294"/>
      <c r="F799" s="294"/>
      <c r="N799" s="295"/>
      <c r="U799" s="295"/>
      <c r="AC799" s="188"/>
      <c r="AE799" s="188"/>
      <c r="AF799" s="188"/>
      <c r="AG799" s="188"/>
      <c r="AH799" s="188"/>
      <c r="AI799" s="299"/>
    </row>
    <row r="800" spans="3:35" ht="13">
      <c r="C800" s="294"/>
      <c r="D800" s="294"/>
      <c r="E800" s="294"/>
      <c r="F800" s="294"/>
      <c r="N800" s="295"/>
      <c r="U800" s="295"/>
      <c r="AC800" s="188"/>
      <c r="AE800" s="188"/>
      <c r="AF800" s="188"/>
      <c r="AG800" s="188"/>
      <c r="AH800" s="188"/>
      <c r="AI800" s="299"/>
    </row>
    <row r="801" spans="3:35" ht="13">
      <c r="C801" s="294"/>
      <c r="D801" s="294"/>
      <c r="E801" s="294"/>
      <c r="F801" s="294"/>
      <c r="N801" s="295"/>
      <c r="U801" s="295"/>
      <c r="AC801" s="188"/>
      <c r="AE801" s="188"/>
      <c r="AF801" s="188"/>
      <c r="AG801" s="188"/>
      <c r="AH801" s="188"/>
      <c r="AI801" s="299"/>
    </row>
    <row r="802" spans="3:35" ht="13">
      <c r="C802" s="294"/>
      <c r="D802" s="294"/>
      <c r="E802" s="294"/>
      <c r="F802" s="294"/>
      <c r="N802" s="295"/>
      <c r="U802" s="295"/>
      <c r="AC802" s="188"/>
      <c r="AE802" s="188"/>
      <c r="AF802" s="188"/>
      <c r="AG802" s="188"/>
      <c r="AH802" s="188"/>
      <c r="AI802" s="299"/>
    </row>
    <row r="803" spans="3:35" ht="13">
      <c r="C803" s="294"/>
      <c r="D803" s="294"/>
      <c r="E803" s="294"/>
      <c r="F803" s="294"/>
      <c r="N803" s="295"/>
      <c r="U803" s="295"/>
      <c r="AC803" s="188"/>
      <c r="AE803" s="188"/>
      <c r="AF803" s="188"/>
      <c r="AG803" s="188"/>
      <c r="AH803" s="188"/>
      <c r="AI803" s="299"/>
    </row>
    <row r="804" spans="3:35" ht="13">
      <c r="C804" s="294"/>
      <c r="D804" s="294"/>
      <c r="E804" s="294"/>
      <c r="F804" s="294"/>
      <c r="N804" s="295"/>
      <c r="U804" s="295"/>
      <c r="AC804" s="188"/>
      <c r="AE804" s="188"/>
      <c r="AF804" s="188"/>
      <c r="AG804" s="188"/>
      <c r="AH804" s="188"/>
      <c r="AI804" s="299"/>
    </row>
    <row r="805" spans="3:35" ht="13">
      <c r="C805" s="294"/>
      <c r="D805" s="294"/>
      <c r="E805" s="294"/>
      <c r="F805" s="294"/>
      <c r="N805" s="295"/>
      <c r="U805" s="295"/>
      <c r="AC805" s="188"/>
      <c r="AE805" s="188"/>
      <c r="AF805" s="188"/>
      <c r="AG805" s="188"/>
      <c r="AH805" s="188"/>
      <c r="AI805" s="299"/>
    </row>
    <row r="806" spans="3:35" ht="13">
      <c r="C806" s="294"/>
      <c r="D806" s="294"/>
      <c r="E806" s="294"/>
      <c r="F806" s="294"/>
      <c r="N806" s="295"/>
      <c r="U806" s="295"/>
      <c r="AC806" s="188"/>
      <c r="AE806" s="188"/>
      <c r="AF806" s="188"/>
      <c r="AG806" s="188"/>
      <c r="AH806" s="188"/>
      <c r="AI806" s="299"/>
    </row>
    <row r="807" spans="3:35" ht="13">
      <c r="C807" s="294"/>
      <c r="D807" s="294"/>
      <c r="E807" s="294"/>
      <c r="F807" s="294"/>
      <c r="N807" s="295"/>
      <c r="U807" s="295"/>
      <c r="AC807" s="188"/>
      <c r="AE807" s="188"/>
      <c r="AF807" s="188"/>
      <c r="AG807" s="188"/>
      <c r="AH807" s="188"/>
      <c r="AI807" s="299"/>
    </row>
    <row r="808" spans="3:35" ht="13">
      <c r="C808" s="294"/>
      <c r="D808" s="294"/>
      <c r="E808" s="294"/>
      <c r="F808" s="294"/>
      <c r="N808" s="295"/>
      <c r="U808" s="295"/>
      <c r="AC808" s="188"/>
      <c r="AE808" s="188"/>
      <c r="AF808" s="188"/>
      <c r="AG808" s="188"/>
      <c r="AH808" s="188"/>
      <c r="AI808" s="299"/>
    </row>
    <row r="809" spans="3:35" ht="13">
      <c r="C809" s="294"/>
      <c r="D809" s="294"/>
      <c r="E809" s="294"/>
      <c r="F809" s="294"/>
      <c r="N809" s="295"/>
      <c r="U809" s="295"/>
      <c r="AC809" s="188"/>
      <c r="AE809" s="188"/>
      <c r="AF809" s="188"/>
      <c r="AG809" s="188"/>
      <c r="AH809" s="188"/>
      <c r="AI809" s="299"/>
    </row>
    <row r="810" spans="3:35" ht="13">
      <c r="C810" s="294"/>
      <c r="D810" s="294"/>
      <c r="E810" s="294"/>
      <c r="F810" s="294"/>
      <c r="N810" s="295"/>
      <c r="U810" s="295"/>
      <c r="AC810" s="188"/>
      <c r="AE810" s="188"/>
      <c r="AF810" s="188"/>
      <c r="AG810" s="188"/>
      <c r="AH810" s="188"/>
      <c r="AI810" s="299"/>
    </row>
    <row r="811" spans="3:35" ht="13">
      <c r="C811" s="294"/>
      <c r="D811" s="294"/>
      <c r="E811" s="294"/>
      <c r="F811" s="294"/>
      <c r="N811" s="295"/>
      <c r="U811" s="295"/>
      <c r="AC811" s="188"/>
      <c r="AE811" s="188"/>
      <c r="AF811" s="188"/>
      <c r="AG811" s="188"/>
      <c r="AH811" s="188"/>
      <c r="AI811" s="299"/>
    </row>
    <row r="812" spans="3:35" ht="13">
      <c r="C812" s="294"/>
      <c r="D812" s="294"/>
      <c r="E812" s="294"/>
      <c r="F812" s="294"/>
      <c r="N812" s="295"/>
      <c r="U812" s="295"/>
      <c r="AC812" s="188"/>
      <c r="AE812" s="188"/>
      <c r="AF812" s="188"/>
      <c r="AG812" s="188"/>
      <c r="AH812" s="188"/>
      <c r="AI812" s="299"/>
    </row>
    <row r="813" spans="3:35" ht="13">
      <c r="C813" s="294"/>
      <c r="D813" s="294"/>
      <c r="E813" s="294"/>
      <c r="F813" s="294"/>
      <c r="N813" s="295"/>
      <c r="U813" s="295"/>
      <c r="AC813" s="188"/>
      <c r="AE813" s="188"/>
      <c r="AF813" s="188"/>
      <c r="AG813" s="188"/>
      <c r="AH813" s="188"/>
      <c r="AI813" s="299"/>
    </row>
    <row r="814" spans="3:35" ht="13">
      <c r="C814" s="294"/>
      <c r="D814" s="294"/>
      <c r="E814" s="294"/>
      <c r="F814" s="294"/>
      <c r="N814" s="295"/>
      <c r="U814" s="295"/>
      <c r="AC814" s="188"/>
      <c r="AE814" s="188"/>
      <c r="AF814" s="188"/>
      <c r="AG814" s="188"/>
      <c r="AH814" s="188"/>
      <c r="AI814" s="299"/>
    </row>
    <row r="815" spans="3:35" ht="13">
      <c r="C815" s="294"/>
      <c r="D815" s="294"/>
      <c r="E815" s="294"/>
      <c r="F815" s="294"/>
      <c r="N815" s="295"/>
      <c r="U815" s="295"/>
      <c r="AC815" s="188"/>
      <c r="AE815" s="188"/>
      <c r="AF815" s="188"/>
      <c r="AG815" s="188"/>
      <c r="AH815" s="188"/>
      <c r="AI815" s="299"/>
    </row>
    <row r="816" spans="3:35" ht="13">
      <c r="C816" s="294"/>
      <c r="D816" s="294"/>
      <c r="E816" s="294"/>
      <c r="F816" s="294"/>
      <c r="N816" s="295"/>
      <c r="U816" s="295"/>
      <c r="AC816" s="188"/>
      <c r="AE816" s="188"/>
      <c r="AF816" s="188"/>
      <c r="AG816" s="188"/>
      <c r="AH816" s="188"/>
      <c r="AI816" s="299"/>
    </row>
    <row r="817" spans="3:35" ht="13">
      <c r="C817" s="294"/>
      <c r="D817" s="294"/>
      <c r="E817" s="294"/>
      <c r="F817" s="294"/>
      <c r="N817" s="295"/>
      <c r="U817" s="295"/>
      <c r="AC817" s="188"/>
      <c r="AE817" s="188"/>
      <c r="AF817" s="188"/>
      <c r="AG817" s="188"/>
      <c r="AH817" s="188"/>
      <c r="AI817" s="299"/>
    </row>
    <row r="818" spans="3:35" ht="13">
      <c r="C818" s="294"/>
      <c r="D818" s="294"/>
      <c r="E818" s="294"/>
      <c r="F818" s="294"/>
      <c r="N818" s="295"/>
      <c r="U818" s="295"/>
      <c r="AC818" s="188"/>
      <c r="AE818" s="188"/>
      <c r="AF818" s="188"/>
      <c r="AG818" s="188"/>
      <c r="AH818" s="188"/>
      <c r="AI818" s="299"/>
    </row>
    <row r="819" spans="3:35" ht="13">
      <c r="C819" s="294"/>
      <c r="D819" s="294"/>
      <c r="E819" s="294"/>
      <c r="F819" s="294"/>
      <c r="N819" s="295"/>
      <c r="U819" s="295"/>
      <c r="AC819" s="188"/>
      <c r="AE819" s="188"/>
      <c r="AF819" s="188"/>
      <c r="AG819" s="188"/>
      <c r="AH819" s="188"/>
      <c r="AI819" s="299"/>
    </row>
    <row r="820" spans="3:35" ht="13">
      <c r="C820" s="294"/>
      <c r="D820" s="294"/>
      <c r="E820" s="294"/>
      <c r="F820" s="294"/>
      <c r="N820" s="295"/>
      <c r="U820" s="295"/>
      <c r="AC820" s="188"/>
      <c r="AE820" s="188"/>
      <c r="AF820" s="188"/>
      <c r="AG820" s="188"/>
      <c r="AH820" s="188"/>
      <c r="AI820" s="299"/>
    </row>
    <row r="821" spans="3:35" ht="13">
      <c r="C821" s="294"/>
      <c r="D821" s="294"/>
      <c r="E821" s="294"/>
      <c r="F821" s="294"/>
      <c r="N821" s="295"/>
      <c r="U821" s="295"/>
      <c r="AC821" s="188"/>
      <c r="AE821" s="188"/>
      <c r="AF821" s="188"/>
      <c r="AG821" s="188"/>
      <c r="AH821" s="188"/>
      <c r="AI821" s="299"/>
    </row>
    <row r="822" spans="3:35" ht="13">
      <c r="C822" s="294"/>
      <c r="D822" s="294"/>
      <c r="E822" s="294"/>
      <c r="F822" s="294"/>
      <c r="N822" s="295"/>
      <c r="U822" s="295"/>
      <c r="AC822" s="188"/>
      <c r="AE822" s="188"/>
      <c r="AF822" s="188"/>
      <c r="AG822" s="188"/>
      <c r="AH822" s="188"/>
      <c r="AI822" s="299"/>
    </row>
    <row r="823" spans="3:35" ht="13">
      <c r="C823" s="294"/>
      <c r="D823" s="294"/>
      <c r="E823" s="294"/>
      <c r="F823" s="294"/>
      <c r="N823" s="295"/>
      <c r="U823" s="295"/>
      <c r="AC823" s="188"/>
      <c r="AE823" s="188"/>
      <c r="AF823" s="188"/>
      <c r="AG823" s="188"/>
      <c r="AH823" s="188"/>
      <c r="AI823" s="299"/>
    </row>
    <row r="824" spans="3:35" ht="13">
      <c r="C824" s="294"/>
      <c r="D824" s="294"/>
      <c r="E824" s="294"/>
      <c r="F824" s="294"/>
      <c r="N824" s="295"/>
      <c r="U824" s="295"/>
      <c r="AC824" s="188"/>
      <c r="AE824" s="188"/>
      <c r="AF824" s="188"/>
      <c r="AG824" s="188"/>
      <c r="AH824" s="188"/>
      <c r="AI824" s="299"/>
    </row>
    <row r="825" spans="3:35" ht="13">
      <c r="C825" s="294"/>
      <c r="D825" s="294"/>
      <c r="E825" s="294"/>
      <c r="F825" s="294"/>
      <c r="N825" s="295"/>
      <c r="U825" s="295"/>
      <c r="AC825" s="188"/>
      <c r="AE825" s="188"/>
      <c r="AF825" s="188"/>
      <c r="AG825" s="188"/>
      <c r="AH825" s="188"/>
      <c r="AI825" s="299"/>
    </row>
    <row r="826" spans="3:35" ht="13">
      <c r="C826" s="294"/>
      <c r="D826" s="294"/>
      <c r="E826" s="294"/>
      <c r="F826" s="294"/>
      <c r="N826" s="295"/>
      <c r="U826" s="295"/>
      <c r="AC826" s="188"/>
      <c r="AE826" s="188"/>
      <c r="AF826" s="188"/>
      <c r="AG826" s="188"/>
      <c r="AH826" s="188"/>
      <c r="AI826" s="299"/>
    </row>
    <row r="827" spans="3:35" ht="13">
      <c r="C827" s="294"/>
      <c r="D827" s="294"/>
      <c r="E827" s="294"/>
      <c r="F827" s="294"/>
      <c r="N827" s="295"/>
      <c r="U827" s="295"/>
      <c r="AC827" s="188"/>
      <c r="AE827" s="188"/>
      <c r="AF827" s="188"/>
      <c r="AG827" s="188"/>
      <c r="AH827" s="188"/>
      <c r="AI827" s="299"/>
    </row>
    <row r="828" spans="3:35" ht="13">
      <c r="C828" s="294"/>
      <c r="D828" s="294"/>
      <c r="E828" s="294"/>
      <c r="F828" s="294"/>
      <c r="N828" s="295"/>
      <c r="U828" s="295"/>
      <c r="AC828" s="188"/>
      <c r="AE828" s="188"/>
      <c r="AF828" s="188"/>
      <c r="AG828" s="188"/>
      <c r="AH828" s="188"/>
      <c r="AI828" s="299"/>
    </row>
    <row r="829" spans="3:35" ht="13">
      <c r="C829" s="294"/>
      <c r="D829" s="294"/>
      <c r="E829" s="294"/>
      <c r="F829" s="294"/>
      <c r="N829" s="295"/>
      <c r="U829" s="295"/>
      <c r="AC829" s="188"/>
      <c r="AE829" s="188"/>
      <c r="AF829" s="188"/>
      <c r="AG829" s="188"/>
      <c r="AH829" s="188"/>
      <c r="AI829" s="299"/>
    </row>
    <row r="830" spans="3:35" ht="13">
      <c r="C830" s="294"/>
      <c r="D830" s="294"/>
      <c r="E830" s="294"/>
      <c r="F830" s="294"/>
      <c r="N830" s="295"/>
      <c r="U830" s="295"/>
      <c r="AC830" s="188"/>
      <c r="AE830" s="188"/>
      <c r="AF830" s="188"/>
      <c r="AG830" s="188"/>
      <c r="AH830" s="188"/>
      <c r="AI830" s="299"/>
    </row>
    <row r="831" spans="3:35" ht="13">
      <c r="C831" s="294"/>
      <c r="D831" s="294"/>
      <c r="E831" s="294"/>
      <c r="F831" s="294"/>
      <c r="N831" s="295"/>
      <c r="U831" s="295"/>
      <c r="AC831" s="188"/>
      <c r="AE831" s="188"/>
      <c r="AF831" s="188"/>
      <c r="AG831" s="188"/>
      <c r="AH831" s="188"/>
      <c r="AI831" s="299"/>
    </row>
    <row r="832" spans="3:35" ht="13">
      <c r="C832" s="294"/>
      <c r="D832" s="294"/>
      <c r="E832" s="294"/>
      <c r="F832" s="294"/>
      <c r="N832" s="295"/>
      <c r="U832" s="295"/>
      <c r="AC832" s="188"/>
      <c r="AE832" s="188"/>
      <c r="AF832" s="188"/>
      <c r="AG832" s="188"/>
      <c r="AH832" s="188"/>
      <c r="AI832" s="299"/>
    </row>
    <row r="833" spans="3:35" ht="13">
      <c r="C833" s="294"/>
      <c r="D833" s="294"/>
      <c r="E833" s="294"/>
      <c r="F833" s="294"/>
      <c r="N833" s="295"/>
      <c r="U833" s="295"/>
      <c r="AC833" s="188"/>
      <c r="AE833" s="188"/>
      <c r="AF833" s="188"/>
      <c r="AG833" s="188"/>
      <c r="AH833" s="188"/>
      <c r="AI833" s="299"/>
    </row>
    <row r="834" spans="3:35" ht="13">
      <c r="C834" s="294"/>
      <c r="D834" s="294"/>
      <c r="E834" s="294"/>
      <c r="F834" s="294"/>
      <c r="N834" s="295"/>
      <c r="U834" s="295"/>
      <c r="AC834" s="188"/>
      <c r="AE834" s="188"/>
      <c r="AF834" s="188"/>
      <c r="AG834" s="188"/>
      <c r="AH834" s="188"/>
      <c r="AI834" s="299"/>
    </row>
    <row r="835" spans="3:35" ht="13">
      <c r="C835" s="294"/>
      <c r="D835" s="294"/>
      <c r="E835" s="294"/>
      <c r="F835" s="294"/>
      <c r="N835" s="295"/>
      <c r="U835" s="295"/>
      <c r="AC835" s="188"/>
      <c r="AE835" s="188"/>
      <c r="AF835" s="188"/>
      <c r="AG835" s="188"/>
      <c r="AH835" s="188"/>
      <c r="AI835" s="299"/>
    </row>
    <row r="836" spans="3:35" ht="13">
      <c r="C836" s="294"/>
      <c r="D836" s="294"/>
      <c r="E836" s="294"/>
      <c r="F836" s="294"/>
      <c r="N836" s="295"/>
      <c r="U836" s="295"/>
      <c r="AC836" s="188"/>
      <c r="AE836" s="188"/>
      <c r="AF836" s="188"/>
      <c r="AG836" s="188"/>
      <c r="AH836" s="188"/>
      <c r="AI836" s="299"/>
    </row>
    <row r="837" spans="3:35" ht="13">
      <c r="C837" s="294"/>
      <c r="D837" s="294"/>
      <c r="E837" s="294"/>
      <c r="F837" s="294"/>
      <c r="N837" s="295"/>
      <c r="U837" s="295"/>
      <c r="AC837" s="188"/>
      <c r="AE837" s="188"/>
      <c r="AF837" s="188"/>
      <c r="AG837" s="188"/>
      <c r="AH837" s="188"/>
      <c r="AI837" s="299"/>
    </row>
    <row r="838" spans="3:35" ht="13">
      <c r="C838" s="294"/>
      <c r="D838" s="294"/>
      <c r="E838" s="294"/>
      <c r="F838" s="294"/>
      <c r="N838" s="295"/>
      <c r="U838" s="295"/>
      <c r="AC838" s="188"/>
      <c r="AE838" s="188"/>
      <c r="AF838" s="188"/>
      <c r="AG838" s="188"/>
      <c r="AH838" s="188"/>
      <c r="AI838" s="299"/>
    </row>
    <row r="839" spans="3:35" ht="13">
      <c r="C839" s="294"/>
      <c r="D839" s="294"/>
      <c r="E839" s="294"/>
      <c r="F839" s="294"/>
      <c r="N839" s="295"/>
      <c r="U839" s="295"/>
      <c r="AC839" s="188"/>
      <c r="AE839" s="188"/>
      <c r="AF839" s="188"/>
      <c r="AG839" s="188"/>
      <c r="AH839" s="188"/>
      <c r="AI839" s="299"/>
    </row>
    <row r="840" spans="3:35" ht="13">
      <c r="C840" s="294"/>
      <c r="D840" s="294"/>
      <c r="E840" s="294"/>
      <c r="F840" s="294"/>
      <c r="N840" s="295"/>
      <c r="U840" s="295"/>
      <c r="AC840" s="188"/>
      <c r="AE840" s="188"/>
      <c r="AF840" s="188"/>
      <c r="AG840" s="188"/>
      <c r="AH840" s="188"/>
      <c r="AI840" s="299"/>
    </row>
    <row r="841" spans="3:35" ht="13">
      <c r="C841" s="294"/>
      <c r="D841" s="294"/>
      <c r="E841" s="294"/>
      <c r="F841" s="294"/>
      <c r="N841" s="295"/>
      <c r="U841" s="295"/>
      <c r="AC841" s="188"/>
      <c r="AE841" s="188"/>
      <c r="AF841" s="188"/>
      <c r="AG841" s="188"/>
      <c r="AH841" s="188"/>
      <c r="AI841" s="299"/>
    </row>
    <row r="842" spans="3:35" ht="13">
      <c r="C842" s="294"/>
      <c r="D842" s="294"/>
      <c r="E842" s="294"/>
      <c r="F842" s="294"/>
      <c r="N842" s="295"/>
      <c r="U842" s="295"/>
      <c r="AC842" s="188"/>
      <c r="AE842" s="188"/>
      <c r="AF842" s="188"/>
      <c r="AG842" s="188"/>
      <c r="AH842" s="188"/>
      <c r="AI842" s="299"/>
    </row>
    <row r="843" spans="3:35" ht="13">
      <c r="C843" s="294"/>
      <c r="D843" s="294"/>
      <c r="E843" s="294"/>
      <c r="F843" s="294"/>
      <c r="N843" s="295"/>
      <c r="U843" s="295"/>
      <c r="AC843" s="188"/>
      <c r="AE843" s="188"/>
      <c r="AF843" s="188"/>
      <c r="AG843" s="188"/>
      <c r="AH843" s="188"/>
      <c r="AI843" s="299"/>
    </row>
    <row r="844" spans="3:35" ht="13">
      <c r="C844" s="294"/>
      <c r="D844" s="294"/>
      <c r="E844" s="294"/>
      <c r="F844" s="294"/>
      <c r="N844" s="295"/>
      <c r="U844" s="295"/>
      <c r="AC844" s="188"/>
      <c r="AE844" s="188"/>
      <c r="AF844" s="188"/>
      <c r="AG844" s="188"/>
      <c r="AH844" s="188"/>
      <c r="AI844" s="299"/>
    </row>
    <row r="845" spans="3:35" ht="13">
      <c r="C845" s="294"/>
      <c r="D845" s="294"/>
      <c r="E845" s="294"/>
      <c r="F845" s="294"/>
      <c r="N845" s="295"/>
      <c r="U845" s="295"/>
      <c r="AC845" s="188"/>
      <c r="AE845" s="188"/>
      <c r="AF845" s="188"/>
      <c r="AG845" s="188"/>
      <c r="AH845" s="188"/>
      <c r="AI845" s="299"/>
    </row>
    <row r="846" spans="3:35" ht="13">
      <c r="C846" s="294"/>
      <c r="D846" s="294"/>
      <c r="E846" s="294"/>
      <c r="F846" s="294"/>
      <c r="N846" s="295"/>
      <c r="U846" s="295"/>
      <c r="AC846" s="188"/>
      <c r="AE846" s="188"/>
      <c r="AF846" s="188"/>
      <c r="AG846" s="188"/>
      <c r="AH846" s="188"/>
      <c r="AI846" s="299"/>
    </row>
    <row r="847" spans="3:35" ht="13">
      <c r="C847" s="294"/>
      <c r="D847" s="294"/>
      <c r="E847" s="294"/>
      <c r="F847" s="294"/>
      <c r="N847" s="295"/>
      <c r="U847" s="295"/>
      <c r="AC847" s="188"/>
      <c r="AE847" s="188"/>
      <c r="AF847" s="188"/>
      <c r="AG847" s="188"/>
      <c r="AH847" s="188"/>
      <c r="AI847" s="299"/>
    </row>
    <row r="848" spans="3:35" ht="13">
      <c r="C848" s="294"/>
      <c r="D848" s="294"/>
      <c r="E848" s="294"/>
      <c r="F848" s="294"/>
      <c r="N848" s="295"/>
      <c r="U848" s="295"/>
      <c r="AC848" s="188"/>
      <c r="AE848" s="188"/>
      <c r="AF848" s="188"/>
      <c r="AG848" s="188"/>
      <c r="AH848" s="188"/>
      <c r="AI848" s="299"/>
    </row>
    <row r="849" spans="3:35" ht="13">
      <c r="C849" s="294"/>
      <c r="D849" s="294"/>
      <c r="E849" s="294"/>
      <c r="F849" s="294"/>
      <c r="N849" s="295"/>
      <c r="U849" s="295"/>
      <c r="AC849" s="188"/>
      <c r="AE849" s="188"/>
      <c r="AF849" s="188"/>
      <c r="AG849" s="188"/>
      <c r="AH849" s="188"/>
      <c r="AI849" s="299"/>
    </row>
    <row r="850" spans="3:35" ht="13">
      <c r="C850" s="294"/>
      <c r="D850" s="294"/>
      <c r="E850" s="294"/>
      <c r="F850" s="294"/>
      <c r="N850" s="295"/>
      <c r="U850" s="295"/>
      <c r="AC850" s="188"/>
      <c r="AE850" s="188"/>
      <c r="AF850" s="188"/>
      <c r="AG850" s="188"/>
      <c r="AH850" s="188"/>
      <c r="AI850" s="299"/>
    </row>
    <row r="851" spans="3:35" ht="13">
      <c r="C851" s="294"/>
      <c r="D851" s="294"/>
      <c r="E851" s="294"/>
      <c r="F851" s="294"/>
      <c r="N851" s="295"/>
      <c r="U851" s="295"/>
      <c r="AC851" s="188"/>
      <c r="AE851" s="188"/>
      <c r="AF851" s="188"/>
      <c r="AG851" s="188"/>
      <c r="AH851" s="188"/>
      <c r="AI851" s="299"/>
    </row>
    <row r="852" spans="3:35" ht="13">
      <c r="C852" s="294"/>
      <c r="D852" s="294"/>
      <c r="E852" s="294"/>
      <c r="F852" s="294"/>
      <c r="N852" s="295"/>
      <c r="U852" s="295"/>
      <c r="AC852" s="188"/>
      <c r="AE852" s="188"/>
      <c r="AF852" s="188"/>
      <c r="AG852" s="188"/>
      <c r="AH852" s="188"/>
      <c r="AI852" s="299"/>
    </row>
    <row r="853" spans="3:35" ht="13">
      <c r="C853" s="294"/>
      <c r="D853" s="294"/>
      <c r="E853" s="294"/>
      <c r="F853" s="294"/>
      <c r="N853" s="295"/>
      <c r="U853" s="295"/>
      <c r="AC853" s="188"/>
      <c r="AE853" s="188"/>
      <c r="AF853" s="188"/>
      <c r="AG853" s="188"/>
      <c r="AH853" s="188"/>
      <c r="AI853" s="299"/>
    </row>
    <row r="854" spans="3:35" ht="13">
      <c r="C854" s="294"/>
      <c r="D854" s="294"/>
      <c r="E854" s="294"/>
      <c r="F854" s="294"/>
      <c r="N854" s="295"/>
      <c r="U854" s="295"/>
      <c r="AC854" s="188"/>
      <c r="AE854" s="188"/>
      <c r="AF854" s="188"/>
      <c r="AG854" s="188"/>
      <c r="AH854" s="188"/>
      <c r="AI854" s="299"/>
    </row>
    <row r="855" spans="3:35" ht="13">
      <c r="C855" s="294"/>
      <c r="D855" s="294"/>
      <c r="E855" s="294"/>
      <c r="F855" s="294"/>
      <c r="N855" s="295"/>
      <c r="U855" s="295"/>
      <c r="AC855" s="188"/>
      <c r="AE855" s="188"/>
      <c r="AF855" s="188"/>
      <c r="AG855" s="188"/>
      <c r="AH855" s="188"/>
      <c r="AI855" s="299"/>
    </row>
    <row r="856" spans="3:35" ht="13">
      <c r="C856" s="294"/>
      <c r="D856" s="294"/>
      <c r="E856" s="294"/>
      <c r="F856" s="294"/>
      <c r="N856" s="295"/>
      <c r="U856" s="295"/>
      <c r="AC856" s="188"/>
      <c r="AE856" s="188"/>
      <c r="AF856" s="188"/>
      <c r="AG856" s="188"/>
      <c r="AH856" s="188"/>
      <c r="AI856" s="299"/>
    </row>
    <row r="857" spans="3:35" ht="13">
      <c r="C857" s="294"/>
      <c r="D857" s="294"/>
      <c r="E857" s="294"/>
      <c r="F857" s="294"/>
      <c r="N857" s="295"/>
      <c r="U857" s="295"/>
      <c r="AC857" s="188"/>
      <c r="AE857" s="188"/>
      <c r="AF857" s="188"/>
      <c r="AG857" s="188"/>
      <c r="AH857" s="188"/>
      <c r="AI857" s="299"/>
    </row>
    <row r="858" spans="3:35" ht="13">
      <c r="C858" s="294"/>
      <c r="D858" s="294"/>
      <c r="E858" s="294"/>
      <c r="F858" s="294"/>
      <c r="N858" s="295"/>
      <c r="U858" s="295"/>
      <c r="AC858" s="188"/>
      <c r="AE858" s="188"/>
      <c r="AF858" s="188"/>
      <c r="AG858" s="188"/>
      <c r="AH858" s="188"/>
      <c r="AI858" s="299"/>
    </row>
    <row r="859" spans="3:35" ht="13">
      <c r="C859" s="294"/>
      <c r="D859" s="294"/>
      <c r="E859" s="294"/>
      <c r="F859" s="294"/>
      <c r="N859" s="295"/>
      <c r="U859" s="295"/>
      <c r="AC859" s="188"/>
      <c r="AE859" s="188"/>
      <c r="AF859" s="188"/>
      <c r="AG859" s="188"/>
      <c r="AH859" s="188"/>
      <c r="AI859" s="299"/>
    </row>
    <row r="860" spans="3:35" ht="13">
      <c r="C860" s="294"/>
      <c r="D860" s="294"/>
      <c r="E860" s="294"/>
      <c r="F860" s="294"/>
      <c r="N860" s="295"/>
      <c r="U860" s="295"/>
      <c r="AC860" s="188"/>
      <c r="AE860" s="188"/>
      <c r="AF860" s="188"/>
      <c r="AG860" s="188"/>
      <c r="AH860" s="188"/>
      <c r="AI860" s="299"/>
    </row>
    <row r="861" spans="3:35" ht="13">
      <c r="C861" s="294"/>
      <c r="D861" s="294"/>
      <c r="E861" s="294"/>
      <c r="F861" s="294"/>
      <c r="N861" s="295"/>
      <c r="U861" s="295"/>
      <c r="AC861" s="188"/>
      <c r="AE861" s="188"/>
      <c r="AF861" s="188"/>
      <c r="AG861" s="188"/>
      <c r="AH861" s="188"/>
      <c r="AI861" s="299"/>
    </row>
    <row r="862" spans="3:35" ht="13">
      <c r="C862" s="294"/>
      <c r="D862" s="294"/>
      <c r="E862" s="294"/>
      <c r="F862" s="294"/>
      <c r="N862" s="295"/>
      <c r="U862" s="295"/>
      <c r="AC862" s="188"/>
      <c r="AE862" s="188"/>
      <c r="AF862" s="188"/>
      <c r="AG862" s="188"/>
      <c r="AH862" s="188"/>
      <c r="AI862" s="299"/>
    </row>
    <row r="863" spans="3:35" ht="13">
      <c r="C863" s="294"/>
      <c r="D863" s="294"/>
      <c r="E863" s="294"/>
      <c r="F863" s="294"/>
      <c r="N863" s="295"/>
      <c r="U863" s="295"/>
      <c r="AC863" s="188"/>
      <c r="AE863" s="188"/>
      <c r="AF863" s="188"/>
      <c r="AG863" s="188"/>
      <c r="AH863" s="188"/>
      <c r="AI863" s="299"/>
    </row>
    <row r="864" spans="3:35" ht="13">
      <c r="C864" s="294"/>
      <c r="D864" s="294"/>
      <c r="E864" s="294"/>
      <c r="F864" s="294"/>
      <c r="N864" s="295"/>
      <c r="U864" s="295"/>
      <c r="AC864" s="188"/>
      <c r="AE864" s="188"/>
      <c r="AF864" s="188"/>
      <c r="AG864" s="188"/>
      <c r="AH864" s="188"/>
      <c r="AI864" s="299"/>
    </row>
    <row r="865" spans="3:35" ht="13">
      <c r="C865" s="294"/>
      <c r="D865" s="294"/>
      <c r="E865" s="294"/>
      <c r="F865" s="294"/>
      <c r="N865" s="295"/>
      <c r="U865" s="295"/>
      <c r="AC865" s="188"/>
      <c r="AE865" s="188"/>
      <c r="AF865" s="188"/>
      <c r="AG865" s="188"/>
      <c r="AH865" s="188"/>
      <c r="AI865" s="299"/>
    </row>
    <row r="866" spans="3:35" ht="13">
      <c r="C866" s="294"/>
      <c r="D866" s="294"/>
      <c r="E866" s="294"/>
      <c r="F866" s="294"/>
      <c r="N866" s="295"/>
      <c r="U866" s="295"/>
      <c r="AC866" s="188"/>
      <c r="AE866" s="188"/>
      <c r="AF866" s="188"/>
      <c r="AG866" s="188"/>
      <c r="AH866" s="188"/>
      <c r="AI866" s="299"/>
    </row>
    <row r="867" spans="3:35" ht="13">
      <c r="C867" s="294"/>
      <c r="D867" s="294"/>
      <c r="E867" s="294"/>
      <c r="F867" s="294"/>
      <c r="N867" s="295"/>
      <c r="U867" s="295"/>
      <c r="AC867" s="188"/>
      <c r="AE867" s="188"/>
      <c r="AF867" s="188"/>
      <c r="AG867" s="188"/>
      <c r="AH867" s="188"/>
      <c r="AI867" s="299"/>
    </row>
    <row r="868" spans="3:35" ht="13">
      <c r="C868" s="294"/>
      <c r="D868" s="294"/>
      <c r="E868" s="294"/>
      <c r="F868" s="294"/>
      <c r="N868" s="295"/>
      <c r="U868" s="295"/>
      <c r="AC868" s="188"/>
      <c r="AE868" s="188"/>
      <c r="AF868" s="188"/>
      <c r="AG868" s="188"/>
      <c r="AH868" s="188"/>
      <c r="AI868" s="299"/>
    </row>
    <row r="869" spans="3:35" ht="13">
      <c r="C869" s="294"/>
      <c r="D869" s="294"/>
      <c r="E869" s="294"/>
      <c r="F869" s="294"/>
      <c r="N869" s="295"/>
      <c r="U869" s="295"/>
      <c r="AC869" s="188"/>
      <c r="AE869" s="188"/>
      <c r="AF869" s="188"/>
      <c r="AG869" s="188"/>
      <c r="AH869" s="188"/>
      <c r="AI869" s="299"/>
    </row>
    <row r="870" spans="3:35" ht="13">
      <c r="C870" s="294"/>
      <c r="D870" s="294"/>
      <c r="E870" s="294"/>
      <c r="F870" s="294"/>
      <c r="N870" s="295"/>
      <c r="U870" s="295"/>
      <c r="AC870" s="188"/>
      <c r="AE870" s="188"/>
      <c r="AF870" s="188"/>
      <c r="AG870" s="188"/>
      <c r="AH870" s="188"/>
      <c r="AI870" s="299"/>
    </row>
    <row r="871" spans="3:35" ht="13">
      <c r="C871" s="294"/>
      <c r="D871" s="294"/>
      <c r="E871" s="294"/>
      <c r="F871" s="294"/>
      <c r="N871" s="295"/>
      <c r="U871" s="295"/>
      <c r="AC871" s="188"/>
      <c r="AE871" s="188"/>
      <c r="AF871" s="188"/>
      <c r="AG871" s="188"/>
      <c r="AH871" s="188"/>
      <c r="AI871" s="299"/>
    </row>
    <row r="872" spans="3:35" ht="13">
      <c r="C872" s="294"/>
      <c r="D872" s="294"/>
      <c r="E872" s="294"/>
      <c r="F872" s="294"/>
      <c r="N872" s="295"/>
      <c r="U872" s="295"/>
      <c r="AC872" s="188"/>
      <c r="AE872" s="188"/>
      <c r="AF872" s="188"/>
      <c r="AG872" s="188"/>
      <c r="AH872" s="188"/>
      <c r="AI872" s="299"/>
    </row>
    <row r="873" spans="3:35" ht="13">
      <c r="C873" s="294"/>
      <c r="D873" s="294"/>
      <c r="E873" s="294"/>
      <c r="F873" s="294"/>
      <c r="N873" s="295"/>
      <c r="U873" s="295"/>
      <c r="AC873" s="188"/>
      <c r="AE873" s="188"/>
      <c r="AF873" s="188"/>
      <c r="AG873" s="188"/>
      <c r="AH873" s="188"/>
      <c r="AI873" s="299"/>
    </row>
    <row r="874" spans="3:35" ht="13">
      <c r="C874" s="294"/>
      <c r="D874" s="294"/>
      <c r="E874" s="294"/>
      <c r="F874" s="294"/>
      <c r="N874" s="295"/>
      <c r="U874" s="295"/>
      <c r="AC874" s="188"/>
      <c r="AE874" s="188"/>
      <c r="AF874" s="188"/>
      <c r="AG874" s="188"/>
      <c r="AH874" s="188"/>
      <c r="AI874" s="299"/>
    </row>
    <row r="875" spans="3:35" ht="13">
      <c r="C875" s="294"/>
      <c r="D875" s="294"/>
      <c r="E875" s="294"/>
      <c r="F875" s="294"/>
      <c r="N875" s="295"/>
      <c r="U875" s="295"/>
      <c r="AC875" s="188"/>
      <c r="AE875" s="188"/>
      <c r="AF875" s="188"/>
      <c r="AG875" s="188"/>
      <c r="AH875" s="188"/>
      <c r="AI875" s="299"/>
    </row>
    <row r="876" spans="3:35" ht="13">
      <c r="C876" s="294"/>
      <c r="D876" s="294"/>
      <c r="E876" s="294"/>
      <c r="F876" s="294"/>
      <c r="N876" s="295"/>
      <c r="U876" s="295"/>
      <c r="AC876" s="188"/>
      <c r="AE876" s="188"/>
      <c r="AF876" s="188"/>
      <c r="AG876" s="188"/>
      <c r="AH876" s="188"/>
      <c r="AI876" s="299"/>
    </row>
    <row r="877" spans="3:35" ht="13">
      <c r="C877" s="294"/>
      <c r="D877" s="294"/>
      <c r="E877" s="294"/>
      <c r="F877" s="294"/>
      <c r="N877" s="295"/>
      <c r="U877" s="295"/>
      <c r="AC877" s="188"/>
      <c r="AE877" s="188"/>
      <c r="AF877" s="188"/>
      <c r="AG877" s="188"/>
      <c r="AH877" s="188"/>
      <c r="AI877" s="299"/>
    </row>
    <row r="878" spans="3:35" ht="13">
      <c r="C878" s="294"/>
      <c r="D878" s="294"/>
      <c r="E878" s="294"/>
      <c r="F878" s="294"/>
      <c r="N878" s="295"/>
      <c r="U878" s="295"/>
      <c r="AC878" s="188"/>
      <c r="AE878" s="188"/>
      <c r="AF878" s="188"/>
      <c r="AG878" s="188"/>
      <c r="AH878" s="188"/>
      <c r="AI878" s="299"/>
    </row>
    <row r="879" spans="3:35" ht="13">
      <c r="C879" s="294"/>
      <c r="D879" s="294"/>
      <c r="E879" s="294"/>
      <c r="F879" s="294"/>
      <c r="N879" s="295"/>
      <c r="U879" s="295"/>
      <c r="AC879" s="188"/>
      <c r="AE879" s="188"/>
      <c r="AF879" s="188"/>
      <c r="AG879" s="188"/>
      <c r="AH879" s="188"/>
      <c r="AI879" s="299"/>
    </row>
    <row r="880" spans="3:35" ht="13">
      <c r="C880" s="294"/>
      <c r="D880" s="294"/>
      <c r="E880" s="294"/>
      <c r="F880" s="294"/>
      <c r="N880" s="295"/>
      <c r="U880" s="295"/>
      <c r="AC880" s="188"/>
      <c r="AE880" s="188"/>
      <c r="AF880" s="188"/>
      <c r="AG880" s="188"/>
      <c r="AH880" s="188"/>
      <c r="AI880" s="299"/>
    </row>
    <row r="881" spans="3:35" ht="13">
      <c r="C881" s="294"/>
      <c r="D881" s="294"/>
      <c r="E881" s="294"/>
      <c r="F881" s="294"/>
      <c r="N881" s="295"/>
      <c r="U881" s="295"/>
      <c r="AC881" s="188"/>
      <c r="AE881" s="188"/>
      <c r="AF881" s="188"/>
      <c r="AG881" s="188"/>
      <c r="AH881" s="188"/>
      <c r="AI881" s="299"/>
    </row>
    <row r="882" spans="3:35" ht="13">
      <c r="C882" s="294"/>
      <c r="D882" s="294"/>
      <c r="E882" s="294"/>
      <c r="F882" s="294"/>
      <c r="N882" s="295"/>
      <c r="U882" s="295"/>
      <c r="AC882" s="188"/>
      <c r="AE882" s="188"/>
      <c r="AF882" s="188"/>
      <c r="AG882" s="188"/>
      <c r="AH882" s="188"/>
      <c r="AI882" s="299"/>
    </row>
    <row r="883" spans="3:35" ht="13">
      <c r="C883" s="294"/>
      <c r="D883" s="294"/>
      <c r="E883" s="294"/>
      <c r="F883" s="294"/>
      <c r="N883" s="295"/>
      <c r="U883" s="295"/>
      <c r="AC883" s="188"/>
      <c r="AE883" s="188"/>
      <c r="AF883" s="188"/>
      <c r="AG883" s="188"/>
      <c r="AH883" s="188"/>
      <c r="AI883" s="299"/>
    </row>
    <row r="884" spans="3:35" ht="13">
      <c r="C884" s="294"/>
      <c r="D884" s="294"/>
      <c r="E884" s="294"/>
      <c r="F884" s="294"/>
      <c r="N884" s="295"/>
      <c r="U884" s="295"/>
      <c r="AC884" s="188"/>
      <c r="AE884" s="188"/>
      <c r="AF884" s="188"/>
      <c r="AG884" s="188"/>
      <c r="AH884" s="188"/>
      <c r="AI884" s="299"/>
    </row>
    <row r="885" spans="3:35" ht="13">
      <c r="C885" s="294"/>
      <c r="D885" s="294"/>
      <c r="E885" s="294"/>
      <c r="F885" s="294"/>
      <c r="N885" s="295"/>
      <c r="U885" s="295"/>
      <c r="AC885" s="188"/>
      <c r="AE885" s="188"/>
      <c r="AF885" s="188"/>
      <c r="AG885" s="188"/>
      <c r="AH885" s="188"/>
      <c r="AI885" s="299"/>
    </row>
    <row r="886" spans="3:35" ht="13">
      <c r="C886" s="294"/>
      <c r="D886" s="294"/>
      <c r="E886" s="294"/>
      <c r="F886" s="294"/>
      <c r="N886" s="295"/>
      <c r="U886" s="295"/>
      <c r="AC886" s="188"/>
      <c r="AE886" s="188"/>
      <c r="AF886" s="188"/>
      <c r="AG886" s="188"/>
      <c r="AH886" s="188"/>
      <c r="AI886" s="299"/>
    </row>
    <row r="887" spans="3:35" ht="13">
      <c r="C887" s="294"/>
      <c r="D887" s="294"/>
      <c r="E887" s="294"/>
      <c r="F887" s="294"/>
      <c r="N887" s="295"/>
      <c r="U887" s="295"/>
      <c r="AC887" s="188"/>
      <c r="AE887" s="188"/>
      <c r="AF887" s="188"/>
      <c r="AG887" s="188"/>
      <c r="AH887" s="188"/>
      <c r="AI887" s="299"/>
    </row>
    <row r="888" spans="3:35" ht="13">
      <c r="C888" s="294"/>
      <c r="D888" s="294"/>
      <c r="E888" s="294"/>
      <c r="F888" s="294"/>
      <c r="N888" s="295"/>
      <c r="U888" s="295"/>
      <c r="AC888" s="188"/>
      <c r="AE888" s="188"/>
      <c r="AF888" s="188"/>
      <c r="AG888" s="188"/>
      <c r="AH888" s="188"/>
      <c r="AI888" s="299"/>
    </row>
    <row r="889" spans="3:35" ht="13">
      <c r="C889" s="294"/>
      <c r="D889" s="294"/>
      <c r="E889" s="294"/>
      <c r="F889" s="294"/>
      <c r="N889" s="295"/>
      <c r="U889" s="295"/>
      <c r="AC889" s="188"/>
      <c r="AE889" s="188"/>
      <c r="AF889" s="188"/>
      <c r="AG889" s="188"/>
      <c r="AH889" s="188"/>
      <c r="AI889" s="299"/>
    </row>
    <row r="890" spans="3:35" ht="13">
      <c r="C890" s="294"/>
      <c r="D890" s="294"/>
      <c r="E890" s="294"/>
      <c r="F890" s="294"/>
      <c r="N890" s="295"/>
      <c r="U890" s="295"/>
      <c r="AC890" s="188"/>
      <c r="AE890" s="188"/>
      <c r="AF890" s="188"/>
      <c r="AG890" s="188"/>
      <c r="AH890" s="188"/>
      <c r="AI890" s="299"/>
    </row>
    <row r="891" spans="3:35" ht="13">
      <c r="C891" s="294"/>
      <c r="D891" s="294"/>
      <c r="E891" s="294"/>
      <c r="F891" s="294"/>
      <c r="N891" s="295"/>
      <c r="U891" s="295"/>
      <c r="AC891" s="188"/>
      <c r="AE891" s="188"/>
      <c r="AF891" s="188"/>
      <c r="AG891" s="188"/>
      <c r="AH891" s="188"/>
      <c r="AI891" s="299"/>
    </row>
    <row r="892" spans="3:35" ht="13">
      <c r="C892" s="294"/>
      <c r="D892" s="294"/>
      <c r="E892" s="294"/>
      <c r="F892" s="294"/>
      <c r="N892" s="295"/>
      <c r="U892" s="295"/>
      <c r="AC892" s="188"/>
      <c r="AE892" s="188"/>
      <c r="AF892" s="188"/>
      <c r="AG892" s="188"/>
      <c r="AH892" s="188"/>
      <c r="AI892" s="299"/>
    </row>
    <row r="893" spans="3:35" ht="13">
      <c r="C893" s="294"/>
      <c r="D893" s="294"/>
      <c r="E893" s="294"/>
      <c r="F893" s="294"/>
      <c r="N893" s="295"/>
      <c r="U893" s="295"/>
      <c r="AC893" s="188"/>
      <c r="AE893" s="188"/>
      <c r="AF893" s="188"/>
      <c r="AG893" s="188"/>
      <c r="AH893" s="188"/>
      <c r="AI893" s="299"/>
    </row>
    <row r="894" spans="3:35" ht="13">
      <c r="C894" s="294"/>
      <c r="D894" s="294"/>
      <c r="E894" s="294"/>
      <c r="F894" s="294"/>
      <c r="N894" s="295"/>
      <c r="U894" s="295"/>
      <c r="AC894" s="188"/>
      <c r="AE894" s="188"/>
      <c r="AF894" s="188"/>
      <c r="AG894" s="188"/>
      <c r="AH894" s="188"/>
      <c r="AI894" s="299"/>
    </row>
    <row r="895" spans="3:35" ht="13">
      <c r="C895" s="294"/>
      <c r="D895" s="294"/>
      <c r="E895" s="294"/>
      <c r="F895" s="294"/>
      <c r="N895" s="295"/>
      <c r="U895" s="295"/>
      <c r="AC895" s="188"/>
      <c r="AE895" s="188"/>
      <c r="AF895" s="188"/>
      <c r="AG895" s="188"/>
      <c r="AH895" s="188"/>
      <c r="AI895" s="299"/>
    </row>
    <row r="896" spans="3:35" ht="13">
      <c r="C896" s="294"/>
      <c r="D896" s="294"/>
      <c r="E896" s="294"/>
      <c r="F896" s="294"/>
      <c r="N896" s="295"/>
      <c r="U896" s="295"/>
      <c r="AC896" s="188"/>
      <c r="AE896" s="188"/>
      <c r="AF896" s="188"/>
      <c r="AG896" s="188"/>
      <c r="AH896" s="188"/>
      <c r="AI896" s="299"/>
    </row>
    <row r="897" spans="3:35" ht="13">
      <c r="C897" s="294"/>
      <c r="D897" s="294"/>
      <c r="E897" s="294"/>
      <c r="F897" s="294"/>
      <c r="N897" s="295"/>
      <c r="U897" s="295"/>
      <c r="AC897" s="188"/>
      <c r="AE897" s="188"/>
      <c r="AF897" s="188"/>
      <c r="AG897" s="188"/>
      <c r="AH897" s="188"/>
      <c r="AI897" s="299"/>
    </row>
    <row r="898" spans="3:35" ht="13">
      <c r="C898" s="294"/>
      <c r="D898" s="294"/>
      <c r="E898" s="294"/>
      <c r="F898" s="294"/>
      <c r="N898" s="295"/>
      <c r="U898" s="295"/>
      <c r="AC898" s="188"/>
      <c r="AE898" s="188"/>
      <c r="AF898" s="188"/>
      <c r="AG898" s="188"/>
      <c r="AH898" s="188"/>
      <c r="AI898" s="299"/>
    </row>
    <row r="899" spans="3:35" ht="13">
      <c r="C899" s="294"/>
      <c r="D899" s="294"/>
      <c r="E899" s="294"/>
      <c r="F899" s="294"/>
      <c r="N899" s="295"/>
      <c r="U899" s="295"/>
      <c r="AC899" s="188"/>
      <c r="AE899" s="188"/>
      <c r="AF899" s="188"/>
      <c r="AG899" s="188"/>
      <c r="AH899" s="188"/>
      <c r="AI899" s="299"/>
    </row>
    <row r="900" spans="3:35" ht="13">
      <c r="C900" s="294"/>
      <c r="D900" s="294"/>
      <c r="E900" s="294"/>
      <c r="F900" s="294"/>
      <c r="N900" s="295"/>
      <c r="U900" s="295"/>
      <c r="AC900" s="188"/>
      <c r="AE900" s="188"/>
      <c r="AF900" s="188"/>
      <c r="AG900" s="188"/>
      <c r="AH900" s="188"/>
      <c r="AI900" s="299"/>
    </row>
    <row r="901" spans="3:35" ht="13">
      <c r="C901" s="294"/>
      <c r="D901" s="294"/>
      <c r="E901" s="294"/>
      <c r="F901" s="294"/>
      <c r="N901" s="295"/>
      <c r="U901" s="295"/>
      <c r="AC901" s="188"/>
      <c r="AE901" s="188"/>
      <c r="AF901" s="188"/>
      <c r="AG901" s="188"/>
      <c r="AH901" s="188"/>
      <c r="AI901" s="299"/>
    </row>
    <row r="902" spans="3:35" ht="13">
      <c r="C902" s="294"/>
      <c r="D902" s="294"/>
      <c r="E902" s="294"/>
      <c r="F902" s="294"/>
      <c r="N902" s="295"/>
      <c r="U902" s="295"/>
      <c r="AC902" s="188"/>
      <c r="AE902" s="188"/>
      <c r="AF902" s="188"/>
      <c r="AG902" s="188"/>
      <c r="AH902" s="188"/>
      <c r="AI902" s="299"/>
    </row>
    <row r="903" spans="3:35" ht="13">
      <c r="C903" s="294"/>
      <c r="D903" s="294"/>
      <c r="E903" s="294"/>
      <c r="F903" s="294"/>
      <c r="N903" s="295"/>
      <c r="U903" s="295"/>
      <c r="AC903" s="188"/>
      <c r="AE903" s="188"/>
      <c r="AF903" s="188"/>
      <c r="AG903" s="188"/>
      <c r="AH903" s="188"/>
      <c r="AI903" s="299"/>
    </row>
    <row r="904" spans="3:35" ht="13">
      <c r="C904" s="294"/>
      <c r="D904" s="294"/>
      <c r="E904" s="294"/>
      <c r="F904" s="294"/>
      <c r="N904" s="295"/>
      <c r="U904" s="295"/>
      <c r="AC904" s="188"/>
      <c r="AE904" s="188"/>
      <c r="AF904" s="188"/>
      <c r="AG904" s="188"/>
      <c r="AH904" s="188"/>
      <c r="AI904" s="299"/>
    </row>
    <row r="905" spans="3:35" ht="13">
      <c r="C905" s="294"/>
      <c r="D905" s="294"/>
      <c r="E905" s="294"/>
      <c r="F905" s="294"/>
      <c r="N905" s="295"/>
      <c r="U905" s="295"/>
      <c r="AC905" s="188"/>
      <c r="AE905" s="188"/>
      <c r="AF905" s="188"/>
      <c r="AG905" s="188"/>
      <c r="AH905" s="188"/>
      <c r="AI905" s="299"/>
    </row>
    <row r="906" spans="3:35" ht="13">
      <c r="C906" s="294"/>
      <c r="D906" s="294"/>
      <c r="E906" s="294"/>
      <c r="F906" s="294"/>
      <c r="N906" s="295"/>
      <c r="U906" s="295"/>
      <c r="AC906" s="188"/>
      <c r="AE906" s="188"/>
      <c r="AF906" s="188"/>
      <c r="AG906" s="188"/>
      <c r="AH906" s="188"/>
      <c r="AI906" s="299"/>
    </row>
    <row r="907" spans="3:35" ht="13">
      <c r="C907" s="294"/>
      <c r="D907" s="294"/>
      <c r="E907" s="294"/>
      <c r="F907" s="294"/>
      <c r="N907" s="295"/>
      <c r="U907" s="295"/>
      <c r="AC907" s="188"/>
      <c r="AE907" s="188"/>
      <c r="AF907" s="188"/>
      <c r="AG907" s="188"/>
      <c r="AH907" s="188"/>
      <c r="AI907" s="299"/>
    </row>
    <row r="908" spans="3:35" ht="13">
      <c r="C908" s="294"/>
      <c r="D908" s="294"/>
      <c r="E908" s="294"/>
      <c r="F908" s="294"/>
      <c r="N908" s="295"/>
      <c r="U908" s="295"/>
      <c r="AC908" s="188"/>
      <c r="AE908" s="188"/>
      <c r="AF908" s="188"/>
      <c r="AG908" s="188"/>
      <c r="AH908" s="188"/>
      <c r="AI908" s="299"/>
    </row>
    <row r="909" spans="3:35" ht="13">
      <c r="C909" s="294"/>
      <c r="D909" s="294"/>
      <c r="E909" s="294"/>
      <c r="F909" s="294"/>
      <c r="N909" s="295"/>
      <c r="U909" s="295"/>
      <c r="AC909" s="188"/>
      <c r="AE909" s="188"/>
      <c r="AF909" s="188"/>
      <c r="AG909" s="188"/>
      <c r="AH909" s="188"/>
      <c r="AI909" s="299"/>
    </row>
    <row r="910" spans="3:35" ht="13">
      <c r="C910" s="294"/>
      <c r="D910" s="294"/>
      <c r="E910" s="294"/>
      <c r="F910" s="294"/>
      <c r="N910" s="295"/>
      <c r="U910" s="295"/>
      <c r="AC910" s="188"/>
      <c r="AE910" s="188"/>
      <c r="AF910" s="188"/>
      <c r="AG910" s="188"/>
      <c r="AH910" s="188"/>
      <c r="AI910" s="299"/>
    </row>
    <row r="911" spans="3:35" ht="13">
      <c r="C911" s="294"/>
      <c r="D911" s="294"/>
      <c r="E911" s="294"/>
      <c r="F911" s="294"/>
      <c r="N911" s="295"/>
      <c r="U911" s="295"/>
      <c r="AC911" s="188"/>
      <c r="AE911" s="188"/>
      <c r="AF911" s="188"/>
      <c r="AG911" s="188"/>
      <c r="AH911" s="188"/>
      <c r="AI911" s="299"/>
    </row>
    <row r="912" spans="3:35" ht="13">
      <c r="C912" s="294"/>
      <c r="D912" s="294"/>
      <c r="E912" s="294"/>
      <c r="F912" s="294"/>
      <c r="N912" s="295"/>
      <c r="U912" s="295"/>
      <c r="AC912" s="188"/>
      <c r="AE912" s="188"/>
      <c r="AF912" s="188"/>
      <c r="AG912" s="188"/>
      <c r="AH912" s="188"/>
      <c r="AI912" s="299"/>
    </row>
    <row r="913" spans="3:35" ht="13">
      <c r="C913" s="294"/>
      <c r="D913" s="294"/>
      <c r="E913" s="294"/>
      <c r="F913" s="294"/>
      <c r="N913" s="295"/>
      <c r="U913" s="295"/>
      <c r="AC913" s="188"/>
      <c r="AE913" s="188"/>
      <c r="AF913" s="188"/>
      <c r="AG913" s="188"/>
      <c r="AH913" s="188"/>
      <c r="AI913" s="299"/>
    </row>
    <row r="914" spans="3:35" ht="13">
      <c r="C914" s="294"/>
      <c r="D914" s="294"/>
      <c r="E914" s="294"/>
      <c r="F914" s="294"/>
      <c r="N914" s="295"/>
      <c r="U914" s="295"/>
      <c r="AC914" s="188"/>
      <c r="AE914" s="188"/>
      <c r="AF914" s="188"/>
      <c r="AG914" s="188"/>
      <c r="AH914" s="188"/>
      <c r="AI914" s="299"/>
    </row>
    <row r="915" spans="3:35" ht="13">
      <c r="C915" s="294"/>
      <c r="D915" s="294"/>
      <c r="E915" s="294"/>
      <c r="F915" s="294"/>
      <c r="N915" s="295"/>
      <c r="U915" s="295"/>
      <c r="AC915" s="188"/>
      <c r="AE915" s="188"/>
      <c r="AF915" s="188"/>
      <c r="AG915" s="188"/>
      <c r="AH915" s="188"/>
      <c r="AI915" s="299"/>
    </row>
    <row r="916" spans="3:35" ht="13">
      <c r="C916" s="294"/>
      <c r="D916" s="294"/>
      <c r="E916" s="294"/>
      <c r="F916" s="294"/>
      <c r="N916" s="295"/>
      <c r="U916" s="295"/>
      <c r="AC916" s="188"/>
      <c r="AE916" s="188"/>
      <c r="AF916" s="188"/>
      <c r="AG916" s="188"/>
      <c r="AH916" s="188"/>
      <c r="AI916" s="299"/>
    </row>
    <row r="917" spans="3:35" ht="13">
      <c r="C917" s="294"/>
      <c r="D917" s="294"/>
      <c r="E917" s="294"/>
      <c r="F917" s="294"/>
      <c r="N917" s="295"/>
      <c r="U917" s="295"/>
      <c r="AC917" s="188"/>
      <c r="AE917" s="188"/>
      <c r="AF917" s="188"/>
      <c r="AG917" s="188"/>
      <c r="AH917" s="188"/>
      <c r="AI917" s="299"/>
    </row>
    <row r="918" spans="3:35" ht="13">
      <c r="C918" s="294"/>
      <c r="D918" s="294"/>
      <c r="E918" s="294"/>
      <c r="F918" s="294"/>
      <c r="N918" s="295"/>
      <c r="U918" s="295"/>
      <c r="AC918" s="188"/>
      <c r="AE918" s="188"/>
      <c r="AF918" s="188"/>
      <c r="AG918" s="188"/>
      <c r="AH918" s="188"/>
      <c r="AI918" s="299"/>
    </row>
    <row r="919" spans="3:35" ht="13">
      <c r="C919" s="294"/>
      <c r="D919" s="294"/>
      <c r="E919" s="294"/>
      <c r="F919" s="294"/>
      <c r="N919" s="295"/>
      <c r="U919" s="295"/>
      <c r="AC919" s="188"/>
      <c r="AE919" s="188"/>
      <c r="AF919" s="188"/>
      <c r="AG919" s="188"/>
      <c r="AH919" s="188"/>
      <c r="AI919" s="299"/>
    </row>
    <row r="920" spans="3:35" ht="13">
      <c r="C920" s="294"/>
      <c r="D920" s="294"/>
      <c r="E920" s="294"/>
      <c r="F920" s="294"/>
      <c r="N920" s="295"/>
      <c r="U920" s="295"/>
      <c r="AC920" s="188"/>
      <c r="AE920" s="188"/>
      <c r="AF920" s="188"/>
      <c r="AG920" s="188"/>
      <c r="AH920" s="188"/>
      <c r="AI920" s="299"/>
    </row>
    <row r="921" spans="3:35" ht="13">
      <c r="C921" s="294"/>
      <c r="D921" s="294"/>
      <c r="E921" s="294"/>
      <c r="F921" s="294"/>
      <c r="N921" s="295"/>
      <c r="U921" s="295"/>
      <c r="AC921" s="188"/>
      <c r="AE921" s="188"/>
      <c r="AF921" s="188"/>
      <c r="AG921" s="188"/>
      <c r="AH921" s="188"/>
      <c r="AI921" s="299"/>
    </row>
    <row r="922" spans="3:35" ht="13">
      <c r="C922" s="294"/>
      <c r="D922" s="294"/>
      <c r="E922" s="294"/>
      <c r="F922" s="294"/>
      <c r="N922" s="295"/>
      <c r="U922" s="295"/>
      <c r="AC922" s="188"/>
      <c r="AE922" s="188"/>
      <c r="AF922" s="188"/>
      <c r="AG922" s="188"/>
      <c r="AH922" s="188"/>
      <c r="AI922" s="299"/>
    </row>
    <row r="923" spans="3:35" ht="13">
      <c r="C923" s="294"/>
      <c r="D923" s="294"/>
      <c r="E923" s="294"/>
      <c r="F923" s="294"/>
      <c r="N923" s="295"/>
      <c r="U923" s="295"/>
      <c r="AC923" s="188"/>
      <c r="AE923" s="188"/>
      <c r="AF923" s="188"/>
      <c r="AG923" s="188"/>
      <c r="AH923" s="188"/>
      <c r="AI923" s="299"/>
    </row>
    <row r="924" spans="3:35" ht="13">
      <c r="C924" s="294"/>
      <c r="D924" s="294"/>
      <c r="E924" s="294"/>
      <c r="F924" s="294"/>
      <c r="N924" s="295"/>
      <c r="U924" s="295"/>
      <c r="AC924" s="188"/>
      <c r="AE924" s="188"/>
      <c r="AF924" s="188"/>
      <c r="AG924" s="188"/>
      <c r="AH924" s="188"/>
      <c r="AI924" s="299"/>
    </row>
    <row r="925" spans="3:35" ht="13">
      <c r="C925" s="294"/>
      <c r="D925" s="294"/>
      <c r="E925" s="294"/>
      <c r="F925" s="294"/>
      <c r="N925" s="295"/>
      <c r="U925" s="295"/>
      <c r="AC925" s="188"/>
      <c r="AE925" s="188"/>
      <c r="AF925" s="188"/>
      <c r="AG925" s="188"/>
      <c r="AH925" s="188"/>
      <c r="AI925" s="299"/>
    </row>
    <row r="926" spans="3:35" ht="13">
      <c r="C926" s="294"/>
      <c r="D926" s="294"/>
      <c r="E926" s="294"/>
      <c r="F926" s="294"/>
      <c r="N926" s="295"/>
      <c r="U926" s="295"/>
      <c r="AC926" s="188"/>
      <c r="AE926" s="188"/>
      <c r="AF926" s="188"/>
      <c r="AG926" s="188"/>
      <c r="AH926" s="188"/>
      <c r="AI926" s="299"/>
    </row>
    <row r="927" spans="3:35" ht="13">
      <c r="C927" s="294"/>
      <c r="D927" s="294"/>
      <c r="E927" s="294"/>
      <c r="F927" s="294"/>
      <c r="N927" s="295"/>
      <c r="U927" s="295"/>
      <c r="AC927" s="188"/>
      <c r="AE927" s="188"/>
      <c r="AF927" s="188"/>
      <c r="AG927" s="188"/>
      <c r="AH927" s="188"/>
      <c r="AI927" s="299"/>
    </row>
    <row r="928" spans="3:35" ht="13">
      <c r="C928" s="294"/>
      <c r="D928" s="294"/>
      <c r="E928" s="294"/>
      <c r="F928" s="294"/>
      <c r="N928" s="295"/>
      <c r="U928" s="295"/>
      <c r="AC928" s="188"/>
      <c r="AE928" s="188"/>
      <c r="AF928" s="188"/>
      <c r="AG928" s="188"/>
      <c r="AH928" s="188"/>
      <c r="AI928" s="299"/>
    </row>
    <row r="929" spans="3:35" ht="13">
      <c r="C929" s="294"/>
      <c r="D929" s="294"/>
      <c r="E929" s="294"/>
      <c r="F929" s="294"/>
      <c r="N929" s="295"/>
      <c r="U929" s="295"/>
      <c r="AC929" s="188"/>
      <c r="AE929" s="188"/>
      <c r="AF929" s="188"/>
      <c r="AG929" s="188"/>
      <c r="AH929" s="188"/>
      <c r="AI929" s="299"/>
    </row>
    <row r="930" spans="3:35" ht="13">
      <c r="C930" s="294"/>
      <c r="D930" s="294"/>
      <c r="E930" s="294"/>
      <c r="F930" s="294"/>
      <c r="N930" s="295"/>
      <c r="U930" s="295"/>
      <c r="AC930" s="188"/>
      <c r="AE930" s="188"/>
      <c r="AF930" s="188"/>
      <c r="AG930" s="188"/>
      <c r="AH930" s="188"/>
      <c r="AI930" s="299"/>
    </row>
    <row r="931" spans="3:35" ht="13">
      <c r="C931" s="294"/>
      <c r="D931" s="294"/>
      <c r="E931" s="294"/>
      <c r="F931" s="294"/>
      <c r="N931" s="295"/>
      <c r="U931" s="295"/>
      <c r="AC931" s="188"/>
      <c r="AE931" s="188"/>
      <c r="AF931" s="188"/>
      <c r="AG931" s="188"/>
      <c r="AH931" s="188"/>
      <c r="AI931" s="299"/>
    </row>
    <row r="932" spans="3:35" ht="13">
      <c r="C932" s="294"/>
      <c r="D932" s="294"/>
      <c r="E932" s="294"/>
      <c r="F932" s="294"/>
      <c r="N932" s="295"/>
      <c r="U932" s="295"/>
      <c r="AC932" s="188"/>
      <c r="AE932" s="188"/>
      <c r="AF932" s="188"/>
      <c r="AG932" s="188"/>
      <c r="AH932" s="188"/>
      <c r="AI932" s="299"/>
    </row>
    <row r="933" spans="3:35" ht="13">
      <c r="C933" s="294"/>
      <c r="D933" s="294"/>
      <c r="E933" s="294"/>
      <c r="F933" s="294"/>
      <c r="N933" s="295"/>
      <c r="U933" s="295"/>
      <c r="AC933" s="188"/>
      <c r="AE933" s="188"/>
      <c r="AF933" s="188"/>
      <c r="AG933" s="188"/>
      <c r="AH933" s="188"/>
      <c r="AI933" s="299"/>
    </row>
    <row r="934" spans="3:35" ht="13">
      <c r="C934" s="294"/>
      <c r="D934" s="294"/>
      <c r="E934" s="294"/>
      <c r="F934" s="294"/>
      <c r="N934" s="295"/>
      <c r="U934" s="295"/>
      <c r="AC934" s="188"/>
      <c r="AE934" s="188"/>
      <c r="AF934" s="188"/>
      <c r="AG934" s="188"/>
      <c r="AH934" s="188"/>
      <c r="AI934" s="299"/>
    </row>
    <row r="935" spans="3:35" ht="13">
      <c r="C935" s="294"/>
      <c r="D935" s="294"/>
      <c r="E935" s="294"/>
      <c r="F935" s="294"/>
      <c r="N935" s="295"/>
      <c r="U935" s="295"/>
      <c r="AC935" s="188"/>
      <c r="AE935" s="188"/>
      <c r="AF935" s="188"/>
      <c r="AG935" s="188"/>
      <c r="AH935" s="188"/>
      <c r="AI935" s="299"/>
    </row>
    <row r="936" spans="3:35" ht="13">
      <c r="C936" s="294"/>
      <c r="D936" s="294"/>
      <c r="E936" s="294"/>
      <c r="F936" s="294"/>
      <c r="N936" s="295"/>
      <c r="U936" s="295"/>
      <c r="AC936" s="188"/>
      <c r="AE936" s="188"/>
      <c r="AF936" s="188"/>
      <c r="AG936" s="188"/>
      <c r="AH936" s="188"/>
      <c r="AI936" s="299"/>
    </row>
    <row r="937" spans="3:35" ht="13">
      <c r="C937" s="294"/>
      <c r="D937" s="294"/>
      <c r="E937" s="294"/>
      <c r="F937" s="294"/>
      <c r="N937" s="295"/>
      <c r="U937" s="295"/>
      <c r="AC937" s="188"/>
      <c r="AE937" s="188"/>
      <c r="AF937" s="188"/>
      <c r="AG937" s="188"/>
      <c r="AH937" s="188"/>
      <c r="AI937" s="299"/>
    </row>
    <row r="938" spans="3:35" ht="13">
      <c r="C938" s="294"/>
      <c r="D938" s="294"/>
      <c r="E938" s="294"/>
      <c r="F938" s="294"/>
      <c r="N938" s="295"/>
      <c r="U938" s="295"/>
      <c r="AC938" s="188"/>
      <c r="AE938" s="188"/>
      <c r="AF938" s="188"/>
      <c r="AG938" s="188"/>
      <c r="AH938" s="188"/>
      <c r="AI938" s="299"/>
    </row>
    <row r="939" spans="3:35" ht="13">
      <c r="C939" s="294"/>
      <c r="D939" s="294"/>
      <c r="E939" s="294"/>
      <c r="F939" s="294"/>
      <c r="N939" s="295"/>
      <c r="U939" s="295"/>
      <c r="AC939" s="188"/>
      <c r="AE939" s="188"/>
      <c r="AF939" s="188"/>
      <c r="AG939" s="188"/>
      <c r="AH939" s="188"/>
      <c r="AI939" s="299"/>
    </row>
    <row r="940" spans="3:35" ht="13">
      <c r="C940" s="294"/>
      <c r="D940" s="294"/>
      <c r="E940" s="294"/>
      <c r="F940" s="294"/>
      <c r="N940" s="295"/>
      <c r="U940" s="295"/>
      <c r="AC940" s="188"/>
      <c r="AE940" s="188"/>
      <c r="AF940" s="188"/>
      <c r="AG940" s="188"/>
      <c r="AH940" s="188"/>
      <c r="AI940" s="299"/>
    </row>
    <row r="941" spans="3:35" ht="13">
      <c r="C941" s="294"/>
      <c r="D941" s="294"/>
      <c r="E941" s="294"/>
      <c r="F941" s="294"/>
      <c r="N941" s="295"/>
      <c r="U941" s="295"/>
      <c r="AC941" s="188"/>
      <c r="AE941" s="188"/>
      <c r="AF941" s="188"/>
      <c r="AG941" s="188"/>
      <c r="AH941" s="188"/>
      <c r="AI941" s="299"/>
    </row>
    <row r="942" spans="3:35" ht="13">
      <c r="C942" s="294"/>
      <c r="D942" s="294"/>
      <c r="E942" s="294"/>
      <c r="F942" s="294"/>
      <c r="N942" s="295"/>
      <c r="U942" s="295"/>
      <c r="AC942" s="188"/>
      <c r="AE942" s="188"/>
      <c r="AF942" s="188"/>
      <c r="AG942" s="188"/>
      <c r="AH942" s="188"/>
      <c r="AI942" s="299"/>
    </row>
    <row r="943" spans="3:35" ht="13">
      <c r="C943" s="294"/>
      <c r="D943" s="294"/>
      <c r="E943" s="294"/>
      <c r="F943" s="294"/>
      <c r="N943" s="295"/>
      <c r="U943" s="295"/>
      <c r="AC943" s="188"/>
      <c r="AE943" s="188"/>
      <c r="AF943" s="188"/>
      <c r="AG943" s="188"/>
      <c r="AH943" s="188"/>
      <c r="AI943" s="299"/>
    </row>
    <row r="944" spans="3:35" ht="13">
      <c r="C944" s="294"/>
      <c r="D944" s="294"/>
      <c r="E944" s="294"/>
      <c r="F944" s="294"/>
      <c r="N944" s="295"/>
      <c r="U944" s="295"/>
      <c r="AC944" s="188"/>
      <c r="AE944" s="188"/>
      <c r="AF944" s="188"/>
      <c r="AG944" s="188"/>
      <c r="AH944" s="188"/>
      <c r="AI944" s="299"/>
    </row>
    <row r="945" spans="3:35" ht="13">
      <c r="C945" s="294"/>
      <c r="D945" s="294"/>
      <c r="E945" s="294"/>
      <c r="F945" s="294"/>
      <c r="N945" s="295"/>
      <c r="U945" s="295"/>
      <c r="AC945" s="188"/>
      <c r="AE945" s="188"/>
      <c r="AF945" s="188"/>
      <c r="AG945" s="188"/>
      <c r="AH945" s="188"/>
      <c r="AI945" s="299"/>
    </row>
    <row r="946" spans="3:35" ht="13">
      <c r="C946" s="294"/>
      <c r="D946" s="294"/>
      <c r="E946" s="294"/>
      <c r="F946" s="294"/>
      <c r="N946" s="295"/>
      <c r="U946" s="295"/>
      <c r="AC946" s="188"/>
      <c r="AE946" s="188"/>
      <c r="AF946" s="188"/>
      <c r="AG946" s="188"/>
      <c r="AH946" s="188"/>
      <c r="AI946" s="299"/>
    </row>
    <row r="947" spans="3:35" ht="13">
      <c r="C947" s="294"/>
      <c r="D947" s="294"/>
      <c r="E947" s="294"/>
      <c r="F947" s="294"/>
      <c r="N947" s="295"/>
      <c r="U947" s="295"/>
      <c r="AC947" s="188"/>
      <c r="AE947" s="188"/>
      <c r="AF947" s="188"/>
      <c r="AG947" s="188"/>
      <c r="AH947" s="188"/>
      <c r="AI947" s="299"/>
    </row>
    <row r="948" spans="3:35" ht="13">
      <c r="C948" s="294"/>
      <c r="D948" s="294"/>
      <c r="E948" s="294"/>
      <c r="F948" s="294"/>
      <c r="N948" s="295"/>
      <c r="U948" s="295"/>
      <c r="AC948" s="188"/>
      <c r="AE948" s="188"/>
      <c r="AF948" s="188"/>
      <c r="AG948" s="188"/>
      <c r="AH948" s="188"/>
      <c r="AI948" s="299"/>
    </row>
    <row r="949" spans="3:35" ht="13">
      <c r="C949" s="294"/>
      <c r="D949" s="294"/>
      <c r="E949" s="294"/>
      <c r="F949" s="294"/>
      <c r="N949" s="295"/>
      <c r="U949" s="295"/>
      <c r="AC949" s="188"/>
      <c r="AE949" s="188"/>
      <c r="AF949" s="188"/>
      <c r="AG949" s="188"/>
      <c r="AH949" s="188"/>
      <c r="AI949" s="299"/>
    </row>
    <row r="950" spans="3:35" ht="13">
      <c r="C950" s="294"/>
      <c r="D950" s="294"/>
      <c r="E950" s="294"/>
      <c r="F950" s="294"/>
      <c r="N950" s="295"/>
      <c r="U950" s="295"/>
      <c r="AC950" s="188"/>
      <c r="AE950" s="188"/>
      <c r="AF950" s="188"/>
      <c r="AG950" s="188"/>
      <c r="AH950" s="188"/>
      <c r="AI950" s="299"/>
    </row>
    <row r="951" spans="3:35" ht="13">
      <c r="C951" s="294"/>
      <c r="D951" s="294"/>
      <c r="E951" s="294"/>
      <c r="F951" s="294"/>
      <c r="N951" s="295"/>
      <c r="U951" s="295"/>
      <c r="AC951" s="188"/>
      <c r="AE951" s="188"/>
      <c r="AF951" s="188"/>
      <c r="AG951" s="188"/>
      <c r="AH951" s="188"/>
      <c r="AI951" s="299"/>
    </row>
    <row r="952" spans="3:35" ht="13">
      <c r="C952" s="294"/>
      <c r="D952" s="294"/>
      <c r="E952" s="294"/>
      <c r="F952" s="294"/>
      <c r="N952" s="295"/>
      <c r="U952" s="295"/>
      <c r="AC952" s="188"/>
      <c r="AE952" s="188"/>
      <c r="AF952" s="188"/>
      <c r="AG952" s="188"/>
      <c r="AH952" s="188"/>
      <c r="AI952" s="299"/>
    </row>
    <row r="953" spans="3:35" ht="13">
      <c r="C953" s="294"/>
      <c r="D953" s="294"/>
      <c r="E953" s="294"/>
      <c r="F953" s="294"/>
      <c r="N953" s="295"/>
      <c r="U953" s="295"/>
      <c r="AC953" s="188"/>
      <c r="AE953" s="188"/>
      <c r="AF953" s="188"/>
      <c r="AG953" s="188"/>
      <c r="AH953" s="188"/>
      <c r="AI953" s="299"/>
    </row>
    <row r="954" spans="3:35" ht="13">
      <c r="C954" s="294"/>
      <c r="D954" s="294"/>
      <c r="E954" s="294"/>
      <c r="F954" s="294"/>
      <c r="N954" s="295"/>
      <c r="U954" s="295"/>
      <c r="AC954" s="188"/>
      <c r="AE954" s="188"/>
      <c r="AF954" s="188"/>
      <c r="AG954" s="188"/>
      <c r="AH954" s="188"/>
      <c r="AI954" s="299"/>
    </row>
    <row r="955" spans="3:35" ht="13">
      <c r="C955" s="294"/>
      <c r="D955" s="294"/>
      <c r="E955" s="294"/>
      <c r="F955" s="294"/>
      <c r="N955" s="295"/>
      <c r="U955" s="295"/>
      <c r="AC955" s="188"/>
      <c r="AE955" s="188"/>
      <c r="AF955" s="188"/>
      <c r="AG955" s="188"/>
      <c r="AH955" s="188"/>
      <c r="AI955" s="299"/>
    </row>
    <row r="956" spans="3:35" ht="13">
      <c r="C956" s="294"/>
      <c r="D956" s="294"/>
      <c r="E956" s="294"/>
      <c r="F956" s="294"/>
      <c r="N956" s="295"/>
      <c r="U956" s="295"/>
      <c r="AC956" s="188"/>
      <c r="AE956" s="188"/>
      <c r="AF956" s="188"/>
      <c r="AG956" s="188"/>
      <c r="AH956" s="188"/>
      <c r="AI956" s="299"/>
    </row>
    <row r="957" spans="3:35" ht="13">
      <c r="C957" s="294"/>
      <c r="D957" s="294"/>
      <c r="E957" s="294"/>
      <c r="F957" s="294"/>
      <c r="N957" s="295"/>
      <c r="U957" s="295"/>
      <c r="AC957" s="188"/>
      <c r="AE957" s="188"/>
      <c r="AF957" s="188"/>
      <c r="AG957" s="188"/>
      <c r="AH957" s="188"/>
      <c r="AI957" s="299"/>
    </row>
    <row r="958" spans="3:35" ht="13">
      <c r="C958" s="294"/>
      <c r="D958" s="294"/>
      <c r="E958" s="294"/>
      <c r="F958" s="294"/>
      <c r="N958" s="295"/>
      <c r="U958" s="295"/>
      <c r="AC958" s="188"/>
      <c r="AE958" s="188"/>
      <c r="AF958" s="188"/>
      <c r="AG958" s="188"/>
      <c r="AH958" s="188"/>
      <c r="AI958" s="299"/>
    </row>
    <row r="959" spans="3:35" ht="13">
      <c r="C959" s="294"/>
      <c r="D959" s="294"/>
      <c r="E959" s="294"/>
      <c r="F959" s="294"/>
      <c r="N959" s="295"/>
      <c r="U959" s="295"/>
      <c r="AC959" s="188"/>
      <c r="AE959" s="188"/>
      <c r="AF959" s="188"/>
      <c r="AG959" s="188"/>
      <c r="AH959" s="188"/>
      <c r="AI959" s="299"/>
    </row>
    <row r="960" spans="3:35" ht="13">
      <c r="C960" s="294"/>
      <c r="D960" s="294"/>
      <c r="E960" s="294"/>
      <c r="F960" s="294"/>
      <c r="N960" s="295"/>
      <c r="U960" s="295"/>
      <c r="AC960" s="188"/>
      <c r="AE960" s="188"/>
      <c r="AF960" s="188"/>
      <c r="AG960" s="188"/>
      <c r="AH960" s="188"/>
      <c r="AI960" s="299"/>
    </row>
    <row r="961" spans="3:35" ht="13">
      <c r="C961" s="294"/>
      <c r="D961" s="294"/>
      <c r="E961" s="294"/>
      <c r="F961" s="294"/>
      <c r="N961" s="295"/>
      <c r="U961" s="295"/>
      <c r="AC961" s="188"/>
      <c r="AE961" s="188"/>
      <c r="AF961" s="188"/>
      <c r="AG961" s="188"/>
      <c r="AH961" s="188"/>
      <c r="AI961" s="299"/>
    </row>
    <row r="962" spans="3:35" ht="13">
      <c r="C962" s="294"/>
      <c r="D962" s="294"/>
      <c r="E962" s="294"/>
      <c r="F962" s="294"/>
      <c r="N962" s="295"/>
      <c r="U962" s="295"/>
      <c r="AC962" s="188"/>
      <c r="AE962" s="188"/>
      <c r="AF962" s="188"/>
      <c r="AG962" s="188"/>
      <c r="AH962" s="188"/>
      <c r="AI962" s="299"/>
    </row>
    <row r="963" spans="3:35" ht="13">
      <c r="C963" s="294"/>
      <c r="D963" s="294"/>
      <c r="E963" s="294"/>
      <c r="F963" s="294"/>
      <c r="N963" s="295"/>
      <c r="U963" s="295"/>
      <c r="AC963" s="188"/>
      <c r="AE963" s="188"/>
      <c r="AF963" s="188"/>
      <c r="AG963" s="188"/>
      <c r="AH963" s="188"/>
      <c r="AI963" s="299"/>
    </row>
    <row r="964" spans="3:35" ht="13">
      <c r="C964" s="294"/>
      <c r="D964" s="294"/>
      <c r="E964" s="294"/>
      <c r="F964" s="294"/>
      <c r="N964" s="295"/>
      <c r="U964" s="295"/>
      <c r="AC964" s="188"/>
      <c r="AE964" s="188"/>
      <c r="AF964" s="188"/>
      <c r="AG964" s="188"/>
      <c r="AH964" s="188"/>
      <c r="AI964" s="299"/>
    </row>
    <row r="965" spans="3:35" ht="13">
      <c r="C965" s="294"/>
      <c r="D965" s="294"/>
      <c r="E965" s="294"/>
      <c r="F965" s="294"/>
      <c r="N965" s="295"/>
      <c r="U965" s="295"/>
      <c r="AC965" s="188"/>
      <c r="AE965" s="188"/>
      <c r="AF965" s="188"/>
      <c r="AG965" s="188"/>
      <c r="AH965" s="188"/>
      <c r="AI965" s="299"/>
    </row>
    <row r="966" spans="3:35" ht="13">
      <c r="C966" s="294"/>
      <c r="D966" s="294"/>
      <c r="E966" s="294"/>
      <c r="F966" s="294"/>
      <c r="N966" s="295"/>
      <c r="U966" s="295"/>
      <c r="AC966" s="188"/>
      <c r="AE966" s="188"/>
      <c r="AF966" s="188"/>
      <c r="AG966" s="188"/>
      <c r="AH966" s="188"/>
      <c r="AI966" s="299"/>
    </row>
    <row r="967" spans="3:35" ht="13">
      <c r="C967" s="294"/>
      <c r="D967" s="294"/>
      <c r="E967" s="294"/>
      <c r="F967" s="294"/>
      <c r="N967" s="295"/>
      <c r="U967" s="295"/>
      <c r="AC967" s="188"/>
      <c r="AE967" s="188"/>
      <c r="AF967" s="188"/>
      <c r="AG967" s="188"/>
      <c r="AH967" s="188"/>
      <c r="AI967" s="299"/>
    </row>
    <row r="968" spans="3:35" ht="13">
      <c r="C968" s="294"/>
      <c r="D968" s="294"/>
      <c r="E968" s="294"/>
      <c r="F968" s="294"/>
      <c r="N968" s="295"/>
      <c r="U968" s="295"/>
      <c r="AC968" s="188"/>
      <c r="AE968" s="188"/>
      <c r="AF968" s="188"/>
      <c r="AG968" s="188"/>
      <c r="AH968" s="188"/>
      <c r="AI968" s="299"/>
    </row>
    <row r="969" spans="3:35" ht="13">
      <c r="C969" s="294"/>
      <c r="D969" s="294"/>
      <c r="E969" s="294"/>
      <c r="F969" s="294"/>
      <c r="N969" s="295"/>
      <c r="U969" s="295"/>
      <c r="AC969" s="188"/>
      <c r="AE969" s="188"/>
      <c r="AF969" s="188"/>
      <c r="AG969" s="188"/>
      <c r="AH969" s="188"/>
      <c r="AI969" s="299"/>
    </row>
    <row r="970" spans="3:35" ht="13">
      <c r="C970" s="294"/>
      <c r="D970" s="294"/>
      <c r="E970" s="294"/>
      <c r="F970" s="294"/>
      <c r="N970" s="295"/>
      <c r="U970" s="295"/>
      <c r="AC970" s="188"/>
      <c r="AE970" s="188"/>
      <c r="AF970" s="188"/>
      <c r="AG970" s="188"/>
      <c r="AH970" s="188"/>
      <c r="AI970" s="299"/>
    </row>
    <row r="971" spans="3:35" ht="13">
      <c r="C971" s="294"/>
      <c r="D971" s="294"/>
      <c r="E971" s="294"/>
      <c r="F971" s="294"/>
      <c r="N971" s="295"/>
      <c r="U971" s="295"/>
      <c r="AC971" s="188"/>
      <c r="AE971" s="188"/>
      <c r="AF971" s="188"/>
      <c r="AG971" s="188"/>
      <c r="AH971" s="188"/>
      <c r="AI971" s="299"/>
    </row>
    <row r="972" spans="3:35" ht="13">
      <c r="C972" s="294"/>
      <c r="D972" s="294"/>
      <c r="E972" s="294"/>
      <c r="F972" s="294"/>
      <c r="N972" s="295"/>
      <c r="U972" s="295"/>
      <c r="AC972" s="188"/>
      <c r="AE972" s="188"/>
      <c r="AF972" s="188"/>
      <c r="AG972" s="188"/>
      <c r="AH972" s="188"/>
      <c r="AI972" s="299"/>
    </row>
    <row r="973" spans="3:35" ht="13">
      <c r="C973" s="294"/>
      <c r="D973" s="294"/>
      <c r="E973" s="294"/>
      <c r="F973" s="294"/>
      <c r="N973" s="295"/>
      <c r="U973" s="295"/>
      <c r="AC973" s="188"/>
      <c r="AE973" s="188"/>
      <c r="AF973" s="188"/>
      <c r="AG973" s="188"/>
      <c r="AH973" s="188"/>
      <c r="AI973" s="299"/>
    </row>
    <row r="974" spans="3:35" ht="13">
      <c r="C974" s="294"/>
      <c r="D974" s="294"/>
      <c r="E974" s="294"/>
      <c r="F974" s="294"/>
      <c r="N974" s="295"/>
      <c r="U974" s="295"/>
      <c r="AC974" s="188"/>
      <c r="AE974" s="188"/>
      <c r="AF974" s="188"/>
      <c r="AG974" s="188"/>
      <c r="AH974" s="188"/>
      <c r="AI974" s="299"/>
    </row>
    <row r="975" spans="3:35" ht="13">
      <c r="C975" s="294"/>
      <c r="D975" s="294"/>
      <c r="E975" s="294"/>
      <c r="F975" s="294"/>
      <c r="N975" s="295"/>
      <c r="U975" s="295"/>
      <c r="AC975" s="188"/>
      <c r="AE975" s="188"/>
      <c r="AF975" s="188"/>
      <c r="AG975" s="188"/>
      <c r="AH975" s="188"/>
      <c r="AI975" s="299"/>
    </row>
    <row r="976" spans="3:35" ht="13">
      <c r="C976" s="294"/>
      <c r="D976" s="294"/>
      <c r="E976" s="294"/>
      <c r="F976" s="294"/>
      <c r="N976" s="295"/>
      <c r="U976" s="295"/>
      <c r="AC976" s="188"/>
      <c r="AE976" s="188"/>
      <c r="AF976" s="188"/>
      <c r="AG976" s="188"/>
      <c r="AH976" s="188"/>
      <c r="AI976" s="299"/>
    </row>
    <row r="977" spans="3:35" ht="13">
      <c r="C977" s="294"/>
      <c r="D977" s="294"/>
      <c r="E977" s="294"/>
      <c r="F977" s="294"/>
      <c r="N977" s="295"/>
      <c r="U977" s="295"/>
      <c r="AC977" s="188"/>
      <c r="AE977" s="188"/>
      <c r="AF977" s="188"/>
      <c r="AG977" s="188"/>
      <c r="AH977" s="188"/>
      <c r="AI977" s="299"/>
    </row>
    <row r="978" spans="3:35" ht="13">
      <c r="C978" s="294"/>
      <c r="D978" s="294"/>
      <c r="E978" s="294"/>
      <c r="F978" s="294"/>
      <c r="N978" s="295"/>
      <c r="U978" s="295"/>
      <c r="AC978" s="188"/>
      <c r="AE978" s="188"/>
      <c r="AF978" s="188"/>
      <c r="AG978" s="188"/>
      <c r="AH978" s="188"/>
      <c r="AI978" s="299"/>
    </row>
    <row r="979" spans="3:35" ht="13">
      <c r="C979" s="294"/>
      <c r="D979" s="294"/>
      <c r="E979" s="294"/>
      <c r="F979" s="294"/>
      <c r="N979" s="295"/>
      <c r="U979" s="295"/>
      <c r="AC979" s="188"/>
      <c r="AE979" s="188"/>
      <c r="AF979" s="188"/>
      <c r="AG979" s="188"/>
      <c r="AH979" s="188"/>
      <c r="AI979" s="299"/>
    </row>
    <row r="980" spans="3:35" ht="13">
      <c r="C980" s="294"/>
      <c r="D980" s="294"/>
      <c r="E980" s="294"/>
      <c r="F980" s="294"/>
      <c r="N980" s="295"/>
      <c r="U980" s="295"/>
      <c r="AC980" s="188"/>
      <c r="AE980" s="188"/>
      <c r="AF980" s="188"/>
      <c r="AG980" s="188"/>
      <c r="AH980" s="188"/>
      <c r="AI980" s="299"/>
    </row>
    <row r="981" spans="3:35" ht="13">
      <c r="C981" s="294"/>
      <c r="D981" s="294"/>
      <c r="E981" s="294"/>
      <c r="F981" s="294"/>
      <c r="N981" s="295"/>
      <c r="U981" s="295"/>
      <c r="AC981" s="188"/>
      <c r="AE981" s="188"/>
      <c r="AF981" s="188"/>
      <c r="AG981" s="188"/>
      <c r="AH981" s="188"/>
      <c r="AI981" s="299"/>
    </row>
    <row r="982" spans="3:35" ht="13">
      <c r="C982" s="294"/>
      <c r="D982" s="294"/>
      <c r="E982" s="294"/>
      <c r="F982" s="294"/>
      <c r="N982" s="295"/>
      <c r="U982" s="295"/>
      <c r="AC982" s="188"/>
      <c r="AE982" s="188"/>
      <c r="AF982" s="188"/>
      <c r="AG982" s="188"/>
      <c r="AH982" s="188"/>
      <c r="AI982" s="299"/>
    </row>
    <row r="983" spans="3:35" ht="13">
      <c r="C983" s="294"/>
      <c r="D983" s="294"/>
      <c r="E983" s="294"/>
      <c r="F983" s="294"/>
      <c r="N983" s="295"/>
      <c r="U983" s="295"/>
      <c r="AC983" s="188"/>
      <c r="AE983" s="188"/>
      <c r="AF983" s="188"/>
      <c r="AG983" s="188"/>
      <c r="AH983" s="188"/>
      <c r="AI983" s="299"/>
    </row>
    <row r="984" spans="3:35" ht="13">
      <c r="C984" s="294"/>
      <c r="D984" s="294"/>
      <c r="E984" s="294"/>
      <c r="F984" s="294"/>
      <c r="N984" s="295"/>
      <c r="U984" s="295"/>
      <c r="AC984" s="188"/>
      <c r="AE984" s="188"/>
      <c r="AF984" s="188"/>
      <c r="AG984" s="188"/>
      <c r="AH984" s="188"/>
      <c r="AI984" s="299"/>
    </row>
    <row r="985" spans="3:35" ht="13">
      <c r="C985" s="294"/>
      <c r="D985" s="294"/>
      <c r="E985" s="294"/>
      <c r="F985" s="294"/>
      <c r="N985" s="295"/>
      <c r="U985" s="295"/>
      <c r="AC985" s="188"/>
      <c r="AE985" s="188"/>
      <c r="AF985" s="188"/>
      <c r="AG985" s="188"/>
      <c r="AH985" s="188"/>
      <c r="AI985" s="299"/>
    </row>
    <row r="986" spans="3:35" ht="13">
      <c r="C986" s="294"/>
      <c r="D986" s="294"/>
      <c r="E986" s="294"/>
      <c r="F986" s="294"/>
      <c r="N986" s="295"/>
      <c r="U986" s="295"/>
      <c r="AC986" s="188"/>
      <c r="AE986" s="188"/>
      <c r="AF986" s="188"/>
      <c r="AG986" s="188"/>
      <c r="AH986" s="188"/>
      <c r="AI986" s="299"/>
    </row>
    <row r="987" spans="3:35" ht="13">
      <c r="C987" s="294"/>
      <c r="D987" s="294"/>
      <c r="E987" s="294"/>
      <c r="F987" s="294"/>
      <c r="N987" s="295"/>
      <c r="U987" s="295"/>
      <c r="AC987" s="188"/>
      <c r="AE987" s="188"/>
      <c r="AF987" s="188"/>
      <c r="AG987" s="188"/>
      <c r="AH987" s="188"/>
      <c r="AI987" s="299"/>
    </row>
    <row r="988" spans="3:35" ht="13">
      <c r="C988" s="294"/>
      <c r="D988" s="294"/>
      <c r="E988" s="294"/>
      <c r="F988" s="294"/>
      <c r="N988" s="295"/>
      <c r="U988" s="295"/>
      <c r="AC988" s="188"/>
      <c r="AE988" s="188"/>
      <c r="AF988" s="188"/>
      <c r="AG988" s="188"/>
      <c r="AH988" s="188"/>
      <c r="AI988" s="299"/>
    </row>
    <row r="989" spans="3:35" ht="13">
      <c r="C989" s="294"/>
      <c r="D989" s="294"/>
      <c r="E989" s="294"/>
      <c r="F989" s="294"/>
      <c r="N989" s="295"/>
      <c r="U989" s="295"/>
      <c r="AC989" s="188"/>
      <c r="AE989" s="188"/>
      <c r="AF989" s="188"/>
      <c r="AG989" s="188"/>
      <c r="AH989" s="188"/>
      <c r="AI989" s="299"/>
    </row>
    <row r="990" spans="3:35" ht="13">
      <c r="C990" s="294"/>
      <c r="D990" s="294"/>
      <c r="E990" s="294"/>
      <c r="F990" s="294"/>
      <c r="N990" s="295"/>
      <c r="U990" s="295"/>
      <c r="AC990" s="188"/>
      <c r="AE990" s="188"/>
      <c r="AF990" s="188"/>
      <c r="AG990" s="188"/>
      <c r="AH990" s="188"/>
      <c r="AI990" s="299"/>
    </row>
    <row r="991" spans="3:35" ht="13">
      <c r="C991" s="294"/>
      <c r="D991" s="294"/>
      <c r="E991" s="294"/>
      <c r="F991" s="294"/>
      <c r="N991" s="295"/>
      <c r="U991" s="295"/>
      <c r="AC991" s="188"/>
      <c r="AE991" s="188"/>
      <c r="AF991" s="188"/>
      <c r="AG991" s="188"/>
      <c r="AH991" s="188"/>
      <c r="AI991" s="299"/>
    </row>
    <row r="992" spans="3:35" ht="13">
      <c r="C992" s="294"/>
      <c r="D992" s="294"/>
      <c r="E992" s="294"/>
      <c r="F992" s="294"/>
      <c r="N992" s="295"/>
      <c r="U992" s="295"/>
      <c r="AC992" s="188"/>
      <c r="AE992" s="188"/>
      <c r="AF992" s="188"/>
      <c r="AG992" s="188"/>
      <c r="AH992" s="188"/>
      <c r="AI992" s="299"/>
    </row>
    <row r="993" spans="3:35" ht="13">
      <c r="C993" s="294"/>
      <c r="D993" s="294"/>
      <c r="E993" s="294"/>
      <c r="F993" s="294"/>
      <c r="N993" s="295"/>
      <c r="U993" s="295"/>
      <c r="AC993" s="188"/>
      <c r="AE993" s="188"/>
      <c r="AF993" s="188"/>
      <c r="AG993" s="188"/>
      <c r="AH993" s="188"/>
      <c r="AI993" s="299"/>
    </row>
    <row r="994" spans="3:35" ht="13">
      <c r="C994" s="294"/>
      <c r="D994" s="294"/>
      <c r="E994" s="294"/>
      <c r="F994" s="294"/>
      <c r="N994" s="295"/>
      <c r="U994" s="295"/>
      <c r="AC994" s="188"/>
      <c r="AE994" s="188"/>
      <c r="AF994" s="188"/>
      <c r="AG994" s="188"/>
      <c r="AH994" s="188"/>
      <c r="AI994" s="299"/>
    </row>
    <row r="995" spans="3:35" ht="13">
      <c r="C995" s="294"/>
      <c r="D995" s="294"/>
      <c r="E995" s="294"/>
      <c r="F995" s="294"/>
      <c r="N995" s="295"/>
      <c r="U995" s="295"/>
      <c r="AC995" s="188"/>
      <c r="AE995" s="188"/>
      <c r="AF995" s="188"/>
      <c r="AG995" s="188"/>
      <c r="AH995" s="188"/>
      <c r="AI995" s="299"/>
    </row>
    <row r="996" spans="3:35" ht="13">
      <c r="C996" s="294"/>
      <c r="D996" s="294"/>
      <c r="E996" s="294"/>
      <c r="F996" s="294"/>
      <c r="N996" s="295"/>
      <c r="U996" s="295"/>
      <c r="AC996" s="188"/>
      <c r="AE996" s="188"/>
      <c r="AF996" s="188"/>
      <c r="AG996" s="188"/>
      <c r="AH996" s="188"/>
      <c r="AI996" s="299"/>
    </row>
    <row r="997" spans="3:35" ht="13">
      <c r="C997" s="294"/>
      <c r="D997" s="294"/>
      <c r="E997" s="294"/>
      <c r="F997" s="294"/>
      <c r="N997" s="295"/>
      <c r="U997" s="295"/>
      <c r="AC997" s="188"/>
      <c r="AE997" s="188"/>
      <c r="AF997" s="188"/>
      <c r="AG997" s="188"/>
      <c r="AH997" s="188"/>
      <c r="AI997" s="299"/>
    </row>
    <row r="998" spans="3:35" ht="13">
      <c r="C998" s="294"/>
      <c r="D998" s="294"/>
      <c r="E998" s="294"/>
      <c r="F998" s="294"/>
      <c r="N998" s="295"/>
      <c r="U998" s="295"/>
      <c r="AC998" s="188"/>
      <c r="AE998" s="188"/>
      <c r="AF998" s="188"/>
      <c r="AG998" s="188"/>
      <c r="AH998" s="188"/>
      <c r="AI998" s="299"/>
    </row>
    <row r="999" spans="3:35" ht="13">
      <c r="C999" s="294"/>
      <c r="D999" s="294"/>
      <c r="E999" s="294"/>
      <c r="F999" s="294"/>
      <c r="N999" s="295"/>
      <c r="U999" s="295"/>
      <c r="AC999" s="188"/>
      <c r="AE999" s="188"/>
      <c r="AF999" s="188"/>
      <c r="AG999" s="188"/>
      <c r="AH999" s="188"/>
      <c r="AI999" s="299"/>
    </row>
    <row r="1000" spans="3:35" ht="13">
      <c r="C1000" s="294"/>
      <c r="D1000" s="294"/>
      <c r="E1000" s="294"/>
      <c r="F1000" s="294"/>
      <c r="N1000" s="295"/>
      <c r="U1000" s="295"/>
      <c r="AC1000" s="188"/>
      <c r="AE1000" s="188"/>
      <c r="AF1000" s="188"/>
      <c r="AG1000" s="188"/>
      <c r="AH1000" s="188"/>
      <c r="AI1000" s="299"/>
    </row>
    <row r="1001" spans="3:35" ht="13">
      <c r="C1001" s="294"/>
      <c r="D1001" s="294"/>
      <c r="E1001" s="294"/>
      <c r="F1001" s="294"/>
      <c r="N1001" s="295"/>
      <c r="U1001" s="295"/>
      <c r="AC1001" s="188"/>
      <c r="AE1001" s="188"/>
      <c r="AF1001" s="188"/>
      <c r="AG1001" s="188"/>
      <c r="AH1001" s="188"/>
      <c r="AI1001" s="299"/>
    </row>
    <row r="1002" spans="3:35" ht="13">
      <c r="C1002" s="294"/>
      <c r="D1002" s="294"/>
      <c r="E1002" s="294"/>
      <c r="F1002" s="294"/>
      <c r="N1002" s="295"/>
      <c r="U1002" s="295"/>
      <c r="AC1002" s="188"/>
      <c r="AE1002" s="188"/>
      <c r="AF1002" s="188"/>
      <c r="AG1002" s="188"/>
      <c r="AH1002" s="188"/>
      <c r="AI1002" s="299"/>
    </row>
    <row r="1003" spans="3:35" ht="13">
      <c r="C1003" s="294"/>
      <c r="D1003" s="294"/>
      <c r="E1003" s="294"/>
      <c r="F1003" s="294"/>
      <c r="N1003" s="295"/>
      <c r="U1003" s="295"/>
      <c r="AC1003" s="188"/>
      <c r="AE1003" s="188"/>
      <c r="AF1003" s="188"/>
      <c r="AG1003" s="188"/>
      <c r="AH1003" s="188"/>
      <c r="AI1003" s="299"/>
    </row>
    <row r="1004" spans="3:35" ht="13">
      <c r="C1004" s="294"/>
      <c r="D1004" s="294"/>
      <c r="E1004" s="294"/>
      <c r="F1004" s="294"/>
      <c r="N1004" s="295"/>
      <c r="U1004" s="295"/>
      <c r="AC1004" s="188"/>
      <c r="AE1004" s="188"/>
      <c r="AF1004" s="188"/>
      <c r="AG1004" s="188"/>
      <c r="AH1004" s="188"/>
      <c r="AI1004" s="299"/>
    </row>
    <row r="1005" spans="3:35" ht="13">
      <c r="C1005" s="294"/>
      <c r="D1005" s="294"/>
      <c r="E1005" s="294"/>
      <c r="F1005" s="294"/>
      <c r="N1005" s="295"/>
      <c r="U1005" s="295"/>
      <c r="AC1005" s="188"/>
      <c r="AE1005" s="188"/>
      <c r="AF1005" s="188"/>
      <c r="AG1005" s="188"/>
      <c r="AH1005" s="188"/>
      <c r="AI1005" s="299"/>
    </row>
    <row r="1006" spans="3:35" ht="13">
      <c r="C1006" s="294"/>
      <c r="D1006" s="294"/>
      <c r="E1006" s="294"/>
      <c r="F1006" s="294"/>
      <c r="N1006" s="295"/>
      <c r="U1006" s="295"/>
      <c r="AC1006" s="188"/>
      <c r="AE1006" s="188"/>
      <c r="AF1006" s="188"/>
      <c r="AG1006" s="188"/>
      <c r="AH1006" s="188"/>
      <c r="AI1006" s="299"/>
    </row>
    <row r="1007" spans="3:35" ht="13">
      <c r="C1007" s="294"/>
      <c r="D1007" s="294"/>
      <c r="E1007" s="294"/>
      <c r="F1007" s="294"/>
      <c r="N1007" s="295"/>
      <c r="U1007" s="295"/>
      <c r="AC1007" s="188"/>
      <c r="AE1007" s="188"/>
      <c r="AF1007" s="188"/>
      <c r="AG1007" s="188"/>
      <c r="AH1007" s="188"/>
      <c r="AI1007" s="299"/>
    </row>
    <row r="1008" spans="3:35" ht="13">
      <c r="C1008" s="294"/>
      <c r="D1008" s="294"/>
      <c r="E1008" s="294"/>
      <c r="F1008" s="294"/>
      <c r="N1008" s="295"/>
      <c r="U1008" s="295"/>
      <c r="AC1008" s="188"/>
      <c r="AE1008" s="188"/>
      <c r="AF1008" s="188"/>
      <c r="AG1008" s="188"/>
      <c r="AH1008" s="188"/>
      <c r="AI1008" s="299"/>
    </row>
    <row r="1009" spans="3:35" ht="13">
      <c r="C1009" s="294"/>
      <c r="D1009" s="294"/>
      <c r="E1009" s="294"/>
      <c r="F1009" s="294"/>
      <c r="N1009" s="295"/>
      <c r="U1009" s="295"/>
      <c r="AC1009" s="188"/>
      <c r="AE1009" s="188"/>
      <c r="AF1009" s="188"/>
      <c r="AG1009" s="188"/>
      <c r="AH1009" s="188"/>
      <c r="AI1009" s="299"/>
    </row>
    <row r="1010" spans="3:35" ht="13">
      <c r="C1010" s="294"/>
      <c r="D1010" s="294"/>
      <c r="E1010" s="294"/>
      <c r="F1010" s="294"/>
      <c r="N1010" s="295"/>
      <c r="U1010" s="295"/>
      <c r="AC1010" s="188"/>
      <c r="AE1010" s="188"/>
      <c r="AF1010" s="188"/>
      <c r="AG1010" s="188"/>
      <c r="AH1010" s="188"/>
      <c r="AI1010" s="299"/>
    </row>
    <row r="1011" spans="3:35" ht="13">
      <c r="C1011" s="294"/>
      <c r="D1011" s="294"/>
      <c r="E1011" s="294"/>
      <c r="F1011" s="294"/>
      <c r="N1011" s="295"/>
      <c r="U1011" s="295"/>
      <c r="AC1011" s="188"/>
      <c r="AE1011" s="188"/>
      <c r="AF1011" s="188"/>
      <c r="AG1011" s="188"/>
      <c r="AH1011" s="188"/>
      <c r="AI1011" s="299"/>
    </row>
    <row r="1012" spans="3:35" ht="13">
      <c r="C1012" s="294"/>
      <c r="D1012" s="294"/>
      <c r="E1012" s="294"/>
      <c r="F1012" s="294"/>
      <c r="N1012" s="295"/>
      <c r="U1012" s="295"/>
      <c r="AC1012" s="188"/>
      <c r="AE1012" s="188"/>
      <c r="AF1012" s="188"/>
      <c r="AG1012" s="188"/>
      <c r="AH1012" s="188"/>
      <c r="AI1012" s="299"/>
    </row>
    <row r="1013" spans="3:35" ht="13">
      <c r="C1013" s="294"/>
      <c r="D1013" s="294"/>
      <c r="E1013" s="294"/>
      <c r="F1013" s="294"/>
      <c r="N1013" s="295"/>
      <c r="U1013" s="295"/>
      <c r="AC1013" s="188"/>
      <c r="AE1013" s="188"/>
      <c r="AF1013" s="188"/>
      <c r="AG1013" s="188"/>
      <c r="AH1013" s="188"/>
      <c r="AI1013" s="299"/>
    </row>
    <row r="1014" spans="3:35" ht="13">
      <c r="C1014" s="294"/>
      <c r="D1014" s="294"/>
      <c r="E1014" s="294"/>
      <c r="F1014" s="294"/>
      <c r="N1014" s="295"/>
      <c r="U1014" s="295"/>
      <c r="AC1014" s="188"/>
      <c r="AE1014" s="188"/>
      <c r="AF1014" s="188"/>
      <c r="AG1014" s="188"/>
      <c r="AH1014" s="188"/>
      <c r="AI1014" s="299"/>
    </row>
    <row r="1015" spans="3:35" ht="13">
      <c r="C1015" s="294"/>
      <c r="D1015" s="294"/>
      <c r="E1015" s="294"/>
      <c r="F1015" s="294"/>
      <c r="N1015" s="295"/>
      <c r="U1015" s="295"/>
      <c r="AC1015" s="188"/>
      <c r="AE1015" s="188"/>
      <c r="AF1015" s="188"/>
      <c r="AG1015" s="188"/>
      <c r="AH1015" s="188"/>
      <c r="AI1015" s="299"/>
    </row>
    <row r="1016" spans="3:35" ht="13">
      <c r="C1016" s="294"/>
      <c r="D1016" s="294"/>
      <c r="E1016" s="294"/>
      <c r="F1016" s="294"/>
      <c r="N1016" s="295"/>
      <c r="U1016" s="295"/>
      <c r="AC1016" s="188"/>
      <c r="AE1016" s="188"/>
      <c r="AF1016" s="188"/>
      <c r="AG1016" s="188"/>
      <c r="AH1016" s="188"/>
      <c r="AI1016" s="299"/>
    </row>
    <row r="1017" spans="3:35" ht="13">
      <c r="C1017" s="294"/>
      <c r="D1017" s="294"/>
      <c r="E1017" s="294"/>
      <c r="F1017" s="294"/>
      <c r="N1017" s="295"/>
      <c r="U1017" s="295"/>
      <c r="AC1017" s="188"/>
      <c r="AE1017" s="188"/>
      <c r="AF1017" s="188"/>
      <c r="AG1017" s="188"/>
      <c r="AH1017" s="188"/>
      <c r="AI1017" s="299"/>
    </row>
    <row r="1018" spans="3:35" ht="13">
      <c r="C1018" s="294"/>
      <c r="D1018" s="294"/>
      <c r="E1018" s="294"/>
      <c r="F1018" s="294"/>
      <c r="N1018" s="295"/>
      <c r="U1018" s="295"/>
      <c r="AC1018" s="188"/>
      <c r="AE1018" s="188"/>
      <c r="AF1018" s="188"/>
      <c r="AG1018" s="188"/>
      <c r="AH1018" s="188"/>
      <c r="AI1018" s="299"/>
    </row>
    <row r="1019" spans="3:35" ht="13">
      <c r="C1019" s="294"/>
      <c r="D1019" s="294"/>
      <c r="E1019" s="294"/>
      <c r="F1019" s="294"/>
      <c r="N1019" s="295"/>
      <c r="U1019" s="295"/>
      <c r="AC1019" s="188"/>
      <c r="AE1019" s="188"/>
      <c r="AF1019" s="188"/>
      <c r="AG1019" s="188"/>
      <c r="AH1019" s="188"/>
      <c r="AI1019" s="299"/>
    </row>
    <row r="1020" spans="3:35" ht="13">
      <c r="C1020" s="294"/>
      <c r="D1020" s="294"/>
      <c r="E1020" s="294"/>
      <c r="F1020" s="294"/>
      <c r="N1020" s="295"/>
      <c r="U1020" s="295"/>
      <c r="AC1020" s="188"/>
      <c r="AE1020" s="188"/>
      <c r="AF1020" s="188"/>
      <c r="AG1020" s="188"/>
      <c r="AH1020" s="188"/>
      <c r="AI1020" s="299"/>
    </row>
    <row r="1021" spans="3:35" ht="13">
      <c r="C1021" s="294"/>
      <c r="D1021" s="294"/>
      <c r="E1021" s="294"/>
      <c r="F1021" s="294"/>
      <c r="N1021" s="295"/>
      <c r="U1021" s="295"/>
      <c r="AC1021" s="188"/>
      <c r="AE1021" s="188"/>
      <c r="AF1021" s="188"/>
      <c r="AG1021" s="188"/>
      <c r="AH1021" s="188"/>
      <c r="AI1021" s="299"/>
    </row>
  </sheetData>
  <mergeCells count="1">
    <mergeCell ref="B130:G130"/>
  </mergeCells>
  <conditionalFormatting sqref="D1:D129 D135:D136">
    <cfRule type="cellIs" dxfId="38" priority="2" operator="equal">
      <formula>"18%"</formula>
    </cfRule>
    <cfRule type="cellIs" dxfId="37" priority="3" operator="equal">
      <formula>"15%"</formula>
    </cfRule>
    <cfRule type="cellIs" dxfId="36" priority="4" operator="equal">
      <formula>"12%"</formula>
    </cfRule>
    <cfRule type="cellIs" dxfId="35" priority="5" operator="equal">
      <formula>"5%"</formula>
    </cfRule>
    <cfRule type="cellIs" dxfId="34" priority="6" operator="equal">
      <formula>"10%"</formula>
    </cfRule>
  </conditionalFormatting>
  <conditionalFormatting sqref="G93 CD266 CD273">
    <cfRule type="containsText" dxfId="33" priority="1" operator="containsText" text="/">
      <formula>NOT(ISERROR(SEARCH(("/"),(G93))))</formula>
    </cfRule>
  </conditionalFormatting>
  <conditionalFormatting sqref="N1:N129 U1:U129 AB1:AB129 AI1:AI129 N131:N1021 U131:U1021 AB131:AB1021 AI131:AI1021">
    <cfRule type="cellIs" dxfId="32" priority="7" operator="lessThan">
      <formula>"90%"</formula>
    </cfRule>
    <cfRule type="cellIs" dxfId="31" priority="8" operator="lessThan">
      <formula>"100%"</formula>
    </cfRule>
  </conditionalFormatting>
  <conditionalFormatting sqref="AH1:AH129 AH131:AH1021">
    <cfRule type="cellIs" dxfId="30" priority="10" operator="lessThan">
      <formula>0</formula>
    </cfRule>
  </conditionalFormatting>
  <conditionalFormatting sqref="AI1:AI129 AI131:AI1021">
    <cfRule type="cellIs" dxfId="29" priority="9" operator="greaterThanOrEqual">
      <formula>"100%"</formula>
    </cfRule>
  </conditionalFormatting>
  <conditionalFormatting sqref="AX2:AX130 BA2:BA130 BE2:BE130">
    <cfRule type="cellIs" dxfId="28" priority="12" operator="equal">
      <formula>0</formula>
    </cfRule>
    <cfRule type="containsBlanks" dxfId="27" priority="13">
      <formula>LEN(TRIM(AX2))=0</formula>
    </cfRule>
  </conditionalFormatting>
  <conditionalFormatting sqref="CD252:CD337 CD1:CD211 CD213:CD228 CD231:CD246 CD248:CD249 CD339:CD340 CD342:CD1021">
    <cfRule type="containsText" dxfId="26" priority="11" operator="containsText" text="ALTI">
      <formula>NOT(ISERROR(SEARCH(("ALTI"),(CD1))))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2:D197"/>
  <sheetViews>
    <sheetView workbookViewId="0"/>
  </sheetViews>
  <sheetFormatPr baseColWidth="10" defaultColWidth="12.6640625" defaultRowHeight="15.75" customHeight="1"/>
  <cols>
    <col min="2" max="2" width="16.1640625" customWidth="1"/>
    <col min="3" max="3" width="62.83203125" customWidth="1"/>
    <col min="4" max="4" width="19.83203125" customWidth="1"/>
  </cols>
  <sheetData>
    <row r="2" spans="2:4" ht="15.75" customHeight="1">
      <c r="B2" s="302" t="s">
        <v>1552</v>
      </c>
      <c r="C2" s="302" t="s">
        <v>1477</v>
      </c>
      <c r="D2" s="302" t="s">
        <v>1573</v>
      </c>
    </row>
    <row r="3" spans="2:4" ht="15.75" customHeight="1">
      <c r="B3" s="302" t="s">
        <v>1552</v>
      </c>
      <c r="C3" s="302" t="s">
        <v>1574</v>
      </c>
      <c r="D3" s="302" t="s">
        <v>1573</v>
      </c>
    </row>
    <row r="4" spans="2:4" ht="15.75" customHeight="1">
      <c r="B4" s="302" t="s">
        <v>1552</v>
      </c>
      <c r="C4" s="302" t="s">
        <v>1575</v>
      </c>
      <c r="D4" s="302" t="s">
        <v>1573</v>
      </c>
    </row>
    <row r="5" spans="2:4" ht="15.75" customHeight="1">
      <c r="B5" s="302" t="s">
        <v>1552</v>
      </c>
      <c r="C5" s="302" t="s">
        <v>1337</v>
      </c>
      <c r="D5" s="302" t="s">
        <v>1573</v>
      </c>
    </row>
    <row r="6" spans="2:4" ht="15.75" customHeight="1">
      <c r="B6" s="302" t="s">
        <v>1552</v>
      </c>
      <c r="C6" s="302" t="s">
        <v>1576</v>
      </c>
      <c r="D6" s="302" t="s">
        <v>1573</v>
      </c>
    </row>
    <row r="7" spans="2:4" ht="15.75" customHeight="1">
      <c r="B7" s="302" t="s">
        <v>1552</v>
      </c>
      <c r="C7" s="302" t="s">
        <v>1577</v>
      </c>
      <c r="D7" s="302" t="s">
        <v>1573</v>
      </c>
    </row>
    <row r="8" spans="2:4" ht="15.75" customHeight="1">
      <c r="B8" s="302" t="s">
        <v>1552</v>
      </c>
      <c r="C8" s="302" t="s">
        <v>1270</v>
      </c>
      <c r="D8" s="302" t="s">
        <v>1573</v>
      </c>
    </row>
    <row r="9" spans="2:4" ht="15.75" customHeight="1">
      <c r="B9" s="302" t="s">
        <v>1552</v>
      </c>
      <c r="C9" s="302" t="s">
        <v>1317</v>
      </c>
      <c r="D9" s="302" t="s">
        <v>1573</v>
      </c>
    </row>
    <row r="10" spans="2:4" ht="15.75" customHeight="1">
      <c r="B10" s="302" t="s">
        <v>1552</v>
      </c>
      <c r="C10" s="302" t="s">
        <v>1264</v>
      </c>
      <c r="D10" s="302" t="s">
        <v>1573</v>
      </c>
    </row>
    <row r="11" spans="2:4" ht="15.75" customHeight="1">
      <c r="B11" s="302" t="s">
        <v>1552</v>
      </c>
      <c r="C11" s="302" t="s">
        <v>1273</v>
      </c>
      <c r="D11" s="302" t="s">
        <v>1573</v>
      </c>
    </row>
    <row r="12" spans="2:4" ht="15.75" customHeight="1">
      <c r="B12" s="302" t="s">
        <v>1552</v>
      </c>
      <c r="C12" s="302" t="s">
        <v>1578</v>
      </c>
      <c r="D12" s="302" t="s">
        <v>1573</v>
      </c>
    </row>
    <row r="13" spans="2:4" ht="15.75" customHeight="1">
      <c r="B13" s="302" t="s">
        <v>1552</v>
      </c>
      <c r="C13" s="302" t="s">
        <v>1579</v>
      </c>
      <c r="D13" s="302" t="s">
        <v>1573</v>
      </c>
    </row>
    <row r="14" spans="2:4" ht="15.75" customHeight="1">
      <c r="B14" s="302" t="s">
        <v>1552</v>
      </c>
      <c r="C14" s="302" t="s">
        <v>1580</v>
      </c>
      <c r="D14" s="302" t="s">
        <v>1573</v>
      </c>
    </row>
    <row r="15" spans="2:4" ht="15.75" customHeight="1">
      <c r="B15" s="302" t="s">
        <v>1552</v>
      </c>
      <c r="C15" s="302" t="s">
        <v>1274</v>
      </c>
      <c r="D15" s="302" t="s">
        <v>1573</v>
      </c>
    </row>
    <row r="16" spans="2:4" ht="15.75" customHeight="1">
      <c r="B16" s="302" t="s">
        <v>1552</v>
      </c>
      <c r="C16" s="302" t="s">
        <v>1423</v>
      </c>
      <c r="D16" s="302" t="s">
        <v>1573</v>
      </c>
    </row>
    <row r="17" spans="2:4" ht="15.75" customHeight="1">
      <c r="B17" s="302" t="s">
        <v>1552</v>
      </c>
      <c r="C17" s="302" t="s">
        <v>1320</v>
      </c>
      <c r="D17" s="302" t="s">
        <v>1573</v>
      </c>
    </row>
    <row r="18" spans="2:4" ht="15.75" customHeight="1">
      <c r="B18" s="302" t="s">
        <v>1552</v>
      </c>
      <c r="C18" s="302" t="s">
        <v>1269</v>
      </c>
      <c r="D18" s="302" t="s">
        <v>1573</v>
      </c>
    </row>
    <row r="19" spans="2:4" ht="15.75" customHeight="1">
      <c r="B19" s="302" t="s">
        <v>1552</v>
      </c>
      <c r="C19" s="302" t="s">
        <v>1338</v>
      </c>
      <c r="D19" s="302" t="s">
        <v>1573</v>
      </c>
    </row>
    <row r="20" spans="2:4" ht="15.75" customHeight="1">
      <c r="B20" s="302" t="s">
        <v>1552</v>
      </c>
      <c r="C20" s="302" t="s">
        <v>1332</v>
      </c>
      <c r="D20" s="302" t="s">
        <v>1573</v>
      </c>
    </row>
    <row r="21" spans="2:4" ht="15.75" customHeight="1">
      <c r="B21" s="302" t="s">
        <v>1552</v>
      </c>
      <c r="C21" s="302" t="s">
        <v>1340</v>
      </c>
      <c r="D21" s="302" t="s">
        <v>1573</v>
      </c>
    </row>
    <row r="22" spans="2:4" ht="15.75" customHeight="1">
      <c r="B22" s="302" t="s">
        <v>1551</v>
      </c>
      <c r="C22" s="302" t="s">
        <v>1581</v>
      </c>
      <c r="D22" s="302" t="s">
        <v>1551</v>
      </c>
    </row>
    <row r="23" spans="2:4" ht="15.75" customHeight="1">
      <c r="B23" s="302" t="s">
        <v>1551</v>
      </c>
      <c r="C23" s="302" t="s">
        <v>1453</v>
      </c>
      <c r="D23" s="302" t="s">
        <v>1551</v>
      </c>
    </row>
    <row r="24" spans="2:4" ht="15.75" customHeight="1">
      <c r="B24" s="302" t="s">
        <v>1551</v>
      </c>
      <c r="C24" s="302" t="s">
        <v>1520</v>
      </c>
      <c r="D24" s="302" t="s">
        <v>1551</v>
      </c>
    </row>
    <row r="25" spans="2:4" ht="15.75" customHeight="1">
      <c r="B25" s="302" t="s">
        <v>1551</v>
      </c>
      <c r="C25" s="302" t="s">
        <v>1523</v>
      </c>
      <c r="D25" s="302" t="s">
        <v>1551</v>
      </c>
    </row>
    <row r="26" spans="2:4" ht="15.75" customHeight="1">
      <c r="B26" s="302" t="s">
        <v>1551</v>
      </c>
      <c r="C26" s="302" t="s">
        <v>1582</v>
      </c>
      <c r="D26" s="302" t="s">
        <v>1551</v>
      </c>
    </row>
    <row r="27" spans="2:4" ht="15.75" customHeight="1">
      <c r="B27" s="302" t="s">
        <v>1551</v>
      </c>
      <c r="C27" s="302" t="s">
        <v>1516</v>
      </c>
      <c r="D27" s="302" t="s">
        <v>1551</v>
      </c>
    </row>
    <row r="28" spans="2:4" ht="15.75" customHeight="1">
      <c r="B28" s="302" t="s">
        <v>1551</v>
      </c>
      <c r="C28" s="302" t="s">
        <v>1424</v>
      </c>
      <c r="D28" s="302" t="s">
        <v>1551</v>
      </c>
    </row>
    <row r="29" spans="2:4" ht="15.75" customHeight="1">
      <c r="B29" s="302" t="s">
        <v>1551</v>
      </c>
      <c r="C29" s="302" t="s">
        <v>1457</v>
      </c>
      <c r="D29" s="302" t="s">
        <v>1551</v>
      </c>
    </row>
    <row r="30" spans="2:4" ht="15.75" customHeight="1">
      <c r="B30" s="302" t="s">
        <v>1551</v>
      </c>
      <c r="C30" s="302" t="s">
        <v>1511</v>
      </c>
      <c r="D30" s="302" t="s">
        <v>1551</v>
      </c>
    </row>
    <row r="31" spans="2:4" ht="15.75" customHeight="1">
      <c r="B31" s="302" t="s">
        <v>1551</v>
      </c>
      <c r="C31" s="302" t="s">
        <v>1485</v>
      </c>
      <c r="D31" s="302" t="s">
        <v>1551</v>
      </c>
    </row>
    <row r="32" spans="2:4" ht="15.75" customHeight="1">
      <c r="B32" s="302" t="s">
        <v>1551</v>
      </c>
      <c r="C32" s="302" t="s">
        <v>1583</v>
      </c>
      <c r="D32" s="302" t="s">
        <v>1551</v>
      </c>
    </row>
    <row r="33" spans="2:4" ht="15.75" customHeight="1">
      <c r="B33" s="302" t="s">
        <v>1551</v>
      </c>
      <c r="C33" s="302" t="s">
        <v>1316</v>
      </c>
      <c r="D33" s="302" t="s">
        <v>1551</v>
      </c>
    </row>
    <row r="34" spans="2:4" ht="15.75" customHeight="1">
      <c r="B34" s="302" t="s">
        <v>1551</v>
      </c>
      <c r="C34" s="302" t="s">
        <v>1584</v>
      </c>
      <c r="D34" s="302" t="s">
        <v>1551</v>
      </c>
    </row>
    <row r="35" spans="2:4" ht="15.75" customHeight="1">
      <c r="B35" s="302" t="s">
        <v>1551</v>
      </c>
      <c r="C35" s="302" t="s">
        <v>1411</v>
      </c>
      <c r="D35" s="302" t="s">
        <v>1551</v>
      </c>
    </row>
    <row r="36" spans="2:4" ht="15.75" customHeight="1">
      <c r="B36" s="302" t="s">
        <v>1551</v>
      </c>
      <c r="C36" s="302" t="s">
        <v>1404</v>
      </c>
      <c r="D36" s="302" t="s">
        <v>1551</v>
      </c>
    </row>
    <row r="37" spans="2:4" ht="15.75" customHeight="1">
      <c r="B37" s="302" t="s">
        <v>1551</v>
      </c>
      <c r="C37" s="302" t="s">
        <v>1510</v>
      </c>
      <c r="D37" s="302" t="s">
        <v>1551</v>
      </c>
    </row>
    <row r="38" spans="2:4" ht="15.75" customHeight="1">
      <c r="B38" s="302" t="s">
        <v>1551</v>
      </c>
      <c r="C38" s="302" t="s">
        <v>1585</v>
      </c>
      <c r="D38" s="302" t="s">
        <v>1551</v>
      </c>
    </row>
    <row r="39" spans="2:4" ht="15.75" customHeight="1">
      <c r="B39" s="302" t="s">
        <v>1551</v>
      </c>
      <c r="C39" s="302" t="s">
        <v>1515</v>
      </c>
      <c r="D39" s="302" t="s">
        <v>1551</v>
      </c>
    </row>
    <row r="40" spans="2:4" ht="15.75" customHeight="1">
      <c r="B40" s="302" t="s">
        <v>1551</v>
      </c>
      <c r="C40" s="302" t="s">
        <v>1407</v>
      </c>
      <c r="D40" s="302" t="s">
        <v>1551</v>
      </c>
    </row>
    <row r="41" spans="2:4" ht="15.75" customHeight="1">
      <c r="B41" s="302" t="s">
        <v>1551</v>
      </c>
      <c r="C41" s="302" t="s">
        <v>1462</v>
      </c>
      <c r="D41" s="302" t="s">
        <v>1551</v>
      </c>
    </row>
    <row r="42" spans="2:4" ht="15.75" customHeight="1">
      <c r="B42" s="302" t="s">
        <v>1551</v>
      </c>
      <c r="C42" s="302" t="s">
        <v>1408</v>
      </c>
      <c r="D42" s="302" t="s">
        <v>1551</v>
      </c>
    </row>
    <row r="43" spans="2:4" ht="13">
      <c r="B43" s="302" t="s">
        <v>1551</v>
      </c>
      <c r="C43" s="302" t="s">
        <v>1474</v>
      </c>
      <c r="D43" s="302" t="s">
        <v>1551</v>
      </c>
    </row>
    <row r="44" spans="2:4" ht="13">
      <c r="B44" s="302" t="s">
        <v>1551</v>
      </c>
      <c r="C44" s="302" t="s">
        <v>1586</v>
      </c>
      <c r="D44" s="302" t="s">
        <v>1551</v>
      </c>
    </row>
    <row r="45" spans="2:4" ht="13">
      <c r="B45" s="302" t="s">
        <v>1551</v>
      </c>
      <c r="C45" s="302" t="s">
        <v>1414</v>
      </c>
      <c r="D45" s="302" t="s">
        <v>1551</v>
      </c>
    </row>
    <row r="46" spans="2:4" ht="13">
      <c r="B46" s="302" t="s">
        <v>1551</v>
      </c>
      <c r="C46" s="302" t="s">
        <v>1517</v>
      </c>
      <c r="D46" s="302" t="s">
        <v>1551</v>
      </c>
    </row>
    <row r="47" spans="2:4" ht="13">
      <c r="B47" s="302" t="s">
        <v>1551</v>
      </c>
      <c r="C47" s="302" t="s">
        <v>1587</v>
      </c>
      <c r="D47" s="302" t="s">
        <v>1551</v>
      </c>
    </row>
    <row r="48" spans="2:4" ht="13">
      <c r="B48" s="302" t="s">
        <v>1551</v>
      </c>
      <c r="C48" s="302" t="s">
        <v>1588</v>
      </c>
      <c r="D48" s="302" t="s">
        <v>1551</v>
      </c>
    </row>
    <row r="49" spans="2:4" ht="13">
      <c r="B49" s="302" t="s">
        <v>1551</v>
      </c>
      <c r="C49" s="302" t="s">
        <v>1427</v>
      </c>
      <c r="D49" s="302" t="s">
        <v>1551</v>
      </c>
    </row>
    <row r="50" spans="2:4" ht="13">
      <c r="B50" s="302" t="s">
        <v>1551</v>
      </c>
      <c r="C50" s="302" t="s">
        <v>1417</v>
      </c>
      <c r="D50" s="302" t="s">
        <v>1551</v>
      </c>
    </row>
    <row r="51" spans="2:4" ht="13">
      <c r="B51" s="302" t="s">
        <v>1551</v>
      </c>
      <c r="C51" s="302" t="s">
        <v>1419</v>
      </c>
      <c r="D51" s="302" t="s">
        <v>1551</v>
      </c>
    </row>
    <row r="52" spans="2:4" ht="13">
      <c r="B52" s="302" t="s">
        <v>1551</v>
      </c>
      <c r="C52" s="302" t="s">
        <v>1425</v>
      </c>
      <c r="D52" s="302" t="s">
        <v>1551</v>
      </c>
    </row>
    <row r="53" spans="2:4" ht="13">
      <c r="B53" s="302" t="s">
        <v>1551</v>
      </c>
      <c r="C53" s="302" t="s">
        <v>1589</v>
      </c>
      <c r="D53" s="302" t="s">
        <v>1551</v>
      </c>
    </row>
    <row r="54" spans="2:4" ht="13">
      <c r="B54" s="302" t="s">
        <v>1551</v>
      </c>
      <c r="C54" s="302" t="s">
        <v>1590</v>
      </c>
      <c r="D54" s="302" t="s">
        <v>1551</v>
      </c>
    </row>
    <row r="55" spans="2:4" ht="13">
      <c r="B55" s="302" t="s">
        <v>1551</v>
      </c>
      <c r="C55" s="302" t="s">
        <v>1482</v>
      </c>
      <c r="D55" s="302" t="s">
        <v>1551</v>
      </c>
    </row>
    <row r="56" spans="2:4" ht="13">
      <c r="B56" s="302" t="s">
        <v>1551</v>
      </c>
      <c r="C56" s="302" t="s">
        <v>1496</v>
      </c>
      <c r="D56" s="302" t="s">
        <v>1551</v>
      </c>
    </row>
    <row r="57" spans="2:4" ht="13">
      <c r="B57" s="302" t="s">
        <v>1551</v>
      </c>
      <c r="C57" s="302" t="s">
        <v>1591</v>
      </c>
      <c r="D57" s="302" t="s">
        <v>1551</v>
      </c>
    </row>
    <row r="58" spans="2:4" ht="13">
      <c r="B58" s="302" t="s">
        <v>1551</v>
      </c>
      <c r="C58" s="302" t="s">
        <v>1410</v>
      </c>
      <c r="D58" s="302" t="s">
        <v>1551</v>
      </c>
    </row>
    <row r="59" spans="2:4" ht="13">
      <c r="B59" s="302" t="s">
        <v>1551</v>
      </c>
      <c r="C59" s="302" t="s">
        <v>1412</v>
      </c>
      <c r="D59" s="302" t="s">
        <v>1551</v>
      </c>
    </row>
    <row r="60" spans="2:4" ht="13">
      <c r="B60" s="302" t="s">
        <v>1551</v>
      </c>
      <c r="C60" s="302" t="s">
        <v>1488</v>
      </c>
      <c r="D60" s="302" t="s">
        <v>1551</v>
      </c>
    </row>
    <row r="61" spans="2:4" ht="13">
      <c r="B61" s="302" t="s">
        <v>1551</v>
      </c>
      <c r="C61" s="302" t="s">
        <v>1592</v>
      </c>
      <c r="D61" s="302" t="s">
        <v>1551</v>
      </c>
    </row>
    <row r="62" spans="2:4" ht="13">
      <c r="B62" s="302" t="s">
        <v>1551</v>
      </c>
      <c r="C62" s="302" t="s">
        <v>1593</v>
      </c>
      <c r="D62" s="302" t="s">
        <v>1551</v>
      </c>
    </row>
    <row r="63" spans="2:4" ht="13">
      <c r="B63" s="302" t="s">
        <v>1551</v>
      </c>
      <c r="C63" s="302" t="s">
        <v>1397</v>
      </c>
      <c r="D63" s="302" t="s">
        <v>1551</v>
      </c>
    </row>
    <row r="64" spans="2:4" ht="13">
      <c r="B64" s="302" t="s">
        <v>1551</v>
      </c>
      <c r="C64" s="302" t="s">
        <v>1426</v>
      </c>
      <c r="D64" s="302" t="s">
        <v>1551</v>
      </c>
    </row>
    <row r="65" spans="2:4" ht="13">
      <c r="B65" s="302" t="s">
        <v>1551</v>
      </c>
      <c r="C65" s="302" t="s">
        <v>1415</v>
      </c>
      <c r="D65" s="302" t="s">
        <v>1551</v>
      </c>
    </row>
    <row r="66" spans="2:4" ht="13">
      <c r="B66" s="302" t="s">
        <v>1551</v>
      </c>
      <c r="C66" s="302" t="s">
        <v>1508</v>
      </c>
      <c r="D66" s="302" t="s">
        <v>1551</v>
      </c>
    </row>
    <row r="67" spans="2:4" ht="13">
      <c r="B67" s="302" t="s">
        <v>1551</v>
      </c>
      <c r="C67" s="302" t="s">
        <v>1526</v>
      </c>
      <c r="D67" s="302" t="s">
        <v>1551</v>
      </c>
    </row>
    <row r="68" spans="2:4" ht="13">
      <c r="B68" s="302" t="s">
        <v>1551</v>
      </c>
      <c r="C68" s="302" t="s">
        <v>1461</v>
      </c>
      <c r="D68" s="302" t="s">
        <v>1551</v>
      </c>
    </row>
    <row r="69" spans="2:4" ht="13">
      <c r="B69" s="302" t="s">
        <v>1551</v>
      </c>
      <c r="C69" s="302" t="s">
        <v>1456</v>
      </c>
      <c r="D69" s="302" t="s">
        <v>1551</v>
      </c>
    </row>
    <row r="70" spans="2:4" ht="13">
      <c r="B70" s="302" t="s">
        <v>1594</v>
      </c>
      <c r="C70" s="302" t="s">
        <v>1307</v>
      </c>
      <c r="D70" s="302" t="s">
        <v>1595</v>
      </c>
    </row>
    <row r="71" spans="2:4" ht="13">
      <c r="B71" s="302" t="s">
        <v>1594</v>
      </c>
      <c r="C71" s="302" t="s">
        <v>1300</v>
      </c>
      <c r="D71" s="302" t="s">
        <v>1595</v>
      </c>
    </row>
    <row r="72" spans="2:4" ht="13">
      <c r="B72" s="302" t="s">
        <v>1594</v>
      </c>
      <c r="C72" s="302" t="s">
        <v>1272</v>
      </c>
      <c r="D72" s="302" t="s">
        <v>1595</v>
      </c>
    </row>
    <row r="73" spans="2:4" ht="13">
      <c r="B73" s="302" t="s">
        <v>1594</v>
      </c>
      <c r="C73" s="302" t="s">
        <v>1306</v>
      </c>
      <c r="D73" s="302" t="s">
        <v>1595</v>
      </c>
    </row>
    <row r="74" spans="2:4" ht="13">
      <c r="B74" s="302" t="s">
        <v>1594</v>
      </c>
      <c r="C74" s="302" t="s">
        <v>1277</v>
      </c>
      <c r="D74" s="302" t="s">
        <v>1595</v>
      </c>
    </row>
    <row r="75" spans="2:4" ht="13">
      <c r="B75" s="302" t="s">
        <v>1594</v>
      </c>
      <c r="C75" s="302" t="s">
        <v>1278</v>
      </c>
      <c r="D75" s="302" t="s">
        <v>1595</v>
      </c>
    </row>
    <row r="76" spans="2:4" ht="13">
      <c r="B76" s="302" t="s">
        <v>1594</v>
      </c>
      <c r="C76" s="302" t="s">
        <v>1327</v>
      </c>
      <c r="D76" s="302" t="s">
        <v>1595</v>
      </c>
    </row>
    <row r="77" spans="2:4" ht="13">
      <c r="B77" s="302" t="s">
        <v>1594</v>
      </c>
      <c r="C77" s="302" t="s">
        <v>1331</v>
      </c>
      <c r="D77" s="302" t="s">
        <v>1595</v>
      </c>
    </row>
    <row r="81" spans="3:4" ht="13">
      <c r="C81" s="302" t="s">
        <v>1270</v>
      </c>
      <c r="D81" s="302" t="str">
        <f t="shared" ref="D81:D93" si="0">VLOOKUP(C81,PECH,2,FALSE)</f>
        <v>ROTELA/PECH</v>
      </c>
    </row>
    <row r="82" spans="3:4" ht="13">
      <c r="C82" s="302" t="s">
        <v>1269</v>
      </c>
      <c r="D82" s="302" t="str">
        <f t="shared" si="0"/>
        <v>ROTELA/PECH</v>
      </c>
    </row>
    <row r="83" spans="3:4" ht="13">
      <c r="C83" s="302" t="s">
        <v>1337</v>
      </c>
      <c r="D83" s="302" t="str">
        <f t="shared" si="0"/>
        <v>ROTELA/PECH</v>
      </c>
    </row>
    <row r="84" spans="3:4" ht="13">
      <c r="C84" s="302" t="s">
        <v>1340</v>
      </c>
      <c r="D84" s="302" t="str">
        <f t="shared" si="0"/>
        <v>ROTELA/PECH</v>
      </c>
    </row>
    <row r="85" spans="3:4" ht="13">
      <c r="C85" s="302" t="s">
        <v>1332</v>
      </c>
      <c r="D85" s="302" t="str">
        <f t="shared" si="0"/>
        <v>ROTELA/PECH</v>
      </c>
    </row>
    <row r="86" spans="3:4" ht="13">
      <c r="C86" s="302" t="s">
        <v>1264</v>
      </c>
      <c r="D86" s="302" t="str">
        <f t="shared" si="0"/>
        <v>ROTELA/PECH</v>
      </c>
    </row>
    <row r="87" spans="3:4" ht="13">
      <c r="C87" s="302" t="s">
        <v>1338</v>
      </c>
      <c r="D87" s="302" t="str">
        <f t="shared" si="0"/>
        <v>ROTELA/PECH</v>
      </c>
    </row>
    <row r="88" spans="3:4" ht="13">
      <c r="C88" s="302" t="s">
        <v>1423</v>
      </c>
      <c r="D88" s="302" t="str">
        <f t="shared" si="0"/>
        <v>ROTELA/PECH</v>
      </c>
    </row>
    <row r="89" spans="3:4" ht="13">
      <c r="C89" s="302" t="s">
        <v>1274</v>
      </c>
      <c r="D89" s="302" t="str">
        <f t="shared" si="0"/>
        <v>ROTELA/PECH</v>
      </c>
    </row>
    <row r="90" spans="3:4" ht="13">
      <c r="C90" s="302" t="s">
        <v>1273</v>
      </c>
      <c r="D90" s="302" t="str">
        <f t="shared" si="0"/>
        <v>ROTELA/PECH</v>
      </c>
    </row>
    <row r="91" spans="3:4" ht="13">
      <c r="C91" s="302" t="s">
        <v>1320</v>
      </c>
      <c r="D91" s="302" t="str">
        <f t="shared" si="0"/>
        <v>ROTELA/PECH</v>
      </c>
    </row>
    <row r="92" spans="3:4" ht="13">
      <c r="C92" s="302" t="s">
        <v>1317</v>
      </c>
      <c r="D92" s="302" t="str">
        <f t="shared" si="0"/>
        <v>ROTELA/PECH</v>
      </c>
    </row>
    <row r="93" spans="3:4" ht="13">
      <c r="C93" s="302" t="s">
        <v>1477</v>
      </c>
      <c r="D93" s="302" t="str">
        <f t="shared" si="0"/>
        <v>ROTELA/PECH</v>
      </c>
    </row>
    <row r="94" spans="3:4" ht="13">
      <c r="C94" s="302" t="s">
        <v>1400</v>
      </c>
      <c r="D94" s="302" t="s">
        <v>1596</v>
      </c>
    </row>
    <row r="95" spans="3:4" ht="13">
      <c r="C95" s="302" t="s">
        <v>1403</v>
      </c>
      <c r="D95" s="302" t="s">
        <v>1596</v>
      </c>
    </row>
    <row r="96" spans="3:4" ht="13">
      <c r="C96" s="302" t="s">
        <v>994</v>
      </c>
      <c r="D96" s="302" t="s">
        <v>1596</v>
      </c>
    </row>
    <row r="97" spans="3:4" ht="13">
      <c r="C97" s="302" t="s">
        <v>1532</v>
      </c>
      <c r="D97" s="302" t="s">
        <v>1596</v>
      </c>
    </row>
    <row r="98" spans="3:4" ht="13">
      <c r="C98" s="302" t="s">
        <v>1398</v>
      </c>
      <c r="D98" s="302" t="s">
        <v>1596</v>
      </c>
    </row>
    <row r="99" spans="3:4" ht="13">
      <c r="C99" s="302" t="s">
        <v>1268</v>
      </c>
      <c r="D99" s="302" t="s">
        <v>1596</v>
      </c>
    </row>
    <row r="100" spans="3:4" ht="13">
      <c r="C100" s="302" t="s">
        <v>1401</v>
      </c>
      <c r="D100" s="302" t="s">
        <v>1596</v>
      </c>
    </row>
    <row r="101" spans="3:4" ht="13">
      <c r="C101" s="302" t="s">
        <v>1402</v>
      </c>
      <c r="D101" s="302" t="s">
        <v>1596</v>
      </c>
    </row>
    <row r="102" spans="3:4" ht="13">
      <c r="C102" s="302" t="s">
        <v>1286</v>
      </c>
      <c r="D102" s="302" t="s">
        <v>1596</v>
      </c>
    </row>
    <row r="103" spans="3:4" ht="13">
      <c r="C103" s="302" t="s">
        <v>997</v>
      </c>
      <c r="D103" s="302" t="s">
        <v>1596</v>
      </c>
    </row>
    <row r="104" spans="3:4" ht="13">
      <c r="C104" s="302" t="s">
        <v>1267</v>
      </c>
      <c r="D104" s="302" t="s">
        <v>1596</v>
      </c>
    </row>
    <row r="105" spans="3:4" ht="13">
      <c r="C105" s="302" t="s">
        <v>1339</v>
      </c>
      <c r="D105" s="302" t="s">
        <v>1596</v>
      </c>
    </row>
    <row r="106" spans="3:4" ht="13">
      <c r="C106" s="302" t="s">
        <v>1399</v>
      </c>
      <c r="D106" s="302" t="s">
        <v>1596</v>
      </c>
    </row>
    <row r="107" spans="3:4" ht="13">
      <c r="C107" s="302" t="s">
        <v>1330</v>
      </c>
      <c r="D107" s="302" t="s">
        <v>1596</v>
      </c>
    </row>
    <row r="108" spans="3:4" ht="13">
      <c r="C108" s="302" t="s">
        <v>1282</v>
      </c>
      <c r="D108" s="302" t="s">
        <v>1596</v>
      </c>
    </row>
    <row r="109" spans="3:4" ht="13">
      <c r="C109" s="302" t="s">
        <v>1021</v>
      </c>
      <c r="D109" s="302" t="s">
        <v>1596</v>
      </c>
    </row>
    <row r="110" spans="3:4" ht="13">
      <c r="C110" s="302" t="s">
        <v>587</v>
      </c>
      <c r="D110" s="302" t="s">
        <v>1596</v>
      </c>
    </row>
    <row r="111" spans="3:4" ht="13">
      <c r="C111" s="302" t="s">
        <v>1281</v>
      </c>
      <c r="D111" s="302" t="s">
        <v>1596</v>
      </c>
    </row>
    <row r="112" spans="3:4" ht="13">
      <c r="C112" s="302" t="s">
        <v>1422</v>
      </c>
      <c r="D112" s="302" t="s">
        <v>1596</v>
      </c>
    </row>
    <row r="113" spans="3:4" ht="13">
      <c r="C113" s="302" t="s">
        <v>1022</v>
      </c>
      <c r="D113" s="302" t="s">
        <v>1596</v>
      </c>
    </row>
    <row r="114" spans="3:4" ht="13">
      <c r="C114" s="302" t="s">
        <v>1056</v>
      </c>
      <c r="D114" s="302" t="s">
        <v>1596</v>
      </c>
    </row>
    <row r="115" spans="3:4" ht="13">
      <c r="C115" s="302" t="s">
        <v>1321</v>
      </c>
      <c r="D115" s="302" t="s">
        <v>1596</v>
      </c>
    </row>
    <row r="116" spans="3:4" ht="13">
      <c r="C116" s="302" t="s">
        <v>1313</v>
      </c>
      <c r="D116" s="302" t="s">
        <v>1596</v>
      </c>
    </row>
    <row r="117" spans="3:4" ht="13">
      <c r="C117" s="302" t="s">
        <v>1315</v>
      </c>
      <c r="D117" s="302" t="s">
        <v>1596</v>
      </c>
    </row>
    <row r="118" spans="3:4" ht="13">
      <c r="C118" s="302" t="s">
        <v>1440</v>
      </c>
      <c r="D118" s="302" t="s">
        <v>1596</v>
      </c>
    </row>
    <row r="119" spans="3:4" ht="13">
      <c r="C119" s="302" t="s">
        <v>1059</v>
      </c>
      <c r="D119" s="302" t="s">
        <v>1596</v>
      </c>
    </row>
    <row r="120" spans="3:4" ht="13">
      <c r="C120" s="302" t="s">
        <v>1450</v>
      </c>
      <c r="D120" s="302" t="s">
        <v>1596</v>
      </c>
    </row>
    <row r="121" spans="3:4" ht="13">
      <c r="C121" s="302" t="s">
        <v>1449</v>
      </c>
      <c r="D121" s="302" t="s">
        <v>1596</v>
      </c>
    </row>
    <row r="122" spans="3:4" ht="13">
      <c r="C122" s="302" t="s">
        <v>1436</v>
      </c>
      <c r="D122" s="302" t="s">
        <v>1596</v>
      </c>
    </row>
    <row r="123" spans="3:4" ht="13">
      <c r="C123" s="302" t="s">
        <v>1443</v>
      </c>
      <c r="D123" s="302" t="s">
        <v>1596</v>
      </c>
    </row>
    <row r="124" spans="3:4" ht="13">
      <c r="C124" s="302" t="s">
        <v>1029</v>
      </c>
      <c r="D124" s="302" t="s">
        <v>1596</v>
      </c>
    </row>
    <row r="125" spans="3:4" ht="13">
      <c r="C125" s="302" t="s">
        <v>1028</v>
      </c>
      <c r="D125" s="302" t="s">
        <v>1596</v>
      </c>
    </row>
    <row r="126" spans="3:4" ht="13">
      <c r="C126" s="302" t="s">
        <v>1019</v>
      </c>
      <c r="D126" s="302" t="s">
        <v>1596</v>
      </c>
    </row>
    <row r="127" spans="3:4" ht="13">
      <c r="C127" s="302" t="s">
        <v>1027</v>
      </c>
      <c r="D127" s="302" t="s">
        <v>1596</v>
      </c>
    </row>
    <row r="128" spans="3:4" ht="13">
      <c r="C128" s="302" t="s">
        <v>1312</v>
      </c>
      <c r="D128" s="302" t="s">
        <v>1596</v>
      </c>
    </row>
    <row r="129" spans="3:4" ht="13">
      <c r="C129" s="302" t="s">
        <v>1058</v>
      </c>
      <c r="D129" s="302" t="s">
        <v>1596</v>
      </c>
    </row>
    <row r="130" spans="3:4" ht="13">
      <c r="C130" s="302" t="s">
        <v>1309</v>
      </c>
      <c r="D130" s="302" t="s">
        <v>1596</v>
      </c>
    </row>
    <row r="131" spans="3:4" ht="13">
      <c r="C131" s="302" t="s">
        <v>1311</v>
      </c>
      <c r="D131" s="302" t="s">
        <v>1596</v>
      </c>
    </row>
    <row r="132" spans="3:4" ht="13">
      <c r="C132" s="302" t="s">
        <v>1319</v>
      </c>
      <c r="D132" s="302" t="s">
        <v>1596</v>
      </c>
    </row>
    <row r="133" spans="3:4" ht="13">
      <c r="C133" s="302" t="s">
        <v>1308</v>
      </c>
      <c r="D133" s="302" t="s">
        <v>1596</v>
      </c>
    </row>
    <row r="134" spans="3:4" ht="13">
      <c r="C134" s="302" t="s">
        <v>1441</v>
      </c>
      <c r="D134" s="302" t="s">
        <v>1596</v>
      </c>
    </row>
    <row r="135" spans="3:4" ht="13">
      <c r="C135" s="302" t="s">
        <v>1057</v>
      </c>
      <c r="D135" s="302" t="s">
        <v>1596</v>
      </c>
    </row>
    <row r="136" spans="3:4" ht="13">
      <c r="C136" s="302" t="s">
        <v>1052</v>
      </c>
      <c r="D136" s="302" t="s">
        <v>1596</v>
      </c>
    </row>
    <row r="137" spans="3:4" ht="13">
      <c r="C137" s="302" t="s">
        <v>1437</v>
      </c>
      <c r="D137" s="302" t="s">
        <v>1596</v>
      </c>
    </row>
    <row r="138" spans="3:4" ht="13">
      <c r="C138" s="302" t="s">
        <v>1055</v>
      </c>
      <c r="D138" s="302" t="s">
        <v>1596</v>
      </c>
    </row>
    <row r="139" spans="3:4" ht="13">
      <c r="C139" s="302" t="s">
        <v>1438</v>
      </c>
      <c r="D139" s="302" t="s">
        <v>1596</v>
      </c>
    </row>
    <row r="140" spans="3:4" ht="13">
      <c r="C140" s="302" t="s">
        <v>1323</v>
      </c>
      <c r="D140" s="302" t="s">
        <v>1596</v>
      </c>
    </row>
    <row r="141" spans="3:4" ht="13">
      <c r="C141" s="302" t="s">
        <v>1439</v>
      </c>
      <c r="D141" s="302" t="s">
        <v>1596</v>
      </c>
    </row>
    <row r="142" spans="3:4" ht="13">
      <c r="C142" s="302" t="s">
        <v>1432</v>
      </c>
      <c r="D142" s="302" t="s">
        <v>1596</v>
      </c>
    </row>
    <row r="143" spans="3:4" ht="13">
      <c r="C143" s="302" t="s">
        <v>1451</v>
      </c>
      <c r="D143" s="302" t="s">
        <v>1596</v>
      </c>
    </row>
    <row r="144" spans="3:4" ht="13">
      <c r="C144" s="302" t="s">
        <v>1445</v>
      </c>
      <c r="D144" s="302" t="s">
        <v>1596</v>
      </c>
    </row>
    <row r="145" spans="3:4" ht="13">
      <c r="C145" s="302" t="s">
        <v>1446</v>
      </c>
      <c r="D145" s="302" t="s">
        <v>1596</v>
      </c>
    </row>
    <row r="146" spans="3:4" ht="13">
      <c r="C146" s="302" t="s">
        <v>1322</v>
      </c>
      <c r="D146" s="302" t="s">
        <v>1596</v>
      </c>
    </row>
    <row r="147" spans="3:4" ht="13">
      <c r="C147" s="302" t="s">
        <v>1473</v>
      </c>
      <c r="D147" s="302" t="s">
        <v>1596</v>
      </c>
    </row>
    <row r="148" spans="3:4" ht="13">
      <c r="C148" s="302" t="s">
        <v>1314</v>
      </c>
      <c r="D148" s="302" t="s">
        <v>1596</v>
      </c>
    </row>
    <row r="149" spans="3:4" ht="13">
      <c r="C149" s="302" t="s">
        <v>1318</v>
      </c>
      <c r="D149" s="302" t="s">
        <v>1596</v>
      </c>
    </row>
    <row r="150" spans="3:4" ht="13">
      <c r="C150" s="302" t="s">
        <v>1533</v>
      </c>
      <c r="D150" s="302" t="s">
        <v>1596</v>
      </c>
    </row>
    <row r="151" spans="3:4" ht="13">
      <c r="C151" s="302" t="s">
        <v>1448</v>
      </c>
      <c r="D151" s="302" t="s">
        <v>1596</v>
      </c>
    </row>
    <row r="152" spans="3:4" ht="13">
      <c r="C152" s="302" t="s">
        <v>1324</v>
      </c>
      <c r="D152" s="302" t="s">
        <v>1596</v>
      </c>
    </row>
    <row r="153" spans="3:4" ht="13">
      <c r="C153" s="302" t="s">
        <v>1433</v>
      </c>
      <c r="D153" s="302" t="s">
        <v>1596</v>
      </c>
    </row>
    <row r="154" spans="3:4" ht="13">
      <c r="C154" s="302" t="s">
        <v>1442</v>
      </c>
      <c r="D154" s="302" t="s">
        <v>1596</v>
      </c>
    </row>
    <row r="155" spans="3:4" ht="13">
      <c r="C155" s="302" t="s">
        <v>1434</v>
      </c>
      <c r="D155" s="302" t="s">
        <v>1596</v>
      </c>
    </row>
    <row r="156" spans="3:4" ht="13">
      <c r="C156" s="302" t="s">
        <v>1444</v>
      </c>
      <c r="D156" s="302" t="s">
        <v>1596</v>
      </c>
    </row>
    <row r="157" spans="3:4" ht="13">
      <c r="C157" s="302" t="s">
        <v>1431</v>
      </c>
      <c r="D157" s="302" t="s">
        <v>1596</v>
      </c>
    </row>
    <row r="158" spans="3:4" ht="13">
      <c r="C158" s="302" t="s">
        <v>1447</v>
      </c>
      <c r="D158" s="302" t="s">
        <v>1596</v>
      </c>
    </row>
    <row r="159" spans="3:4" ht="13">
      <c r="C159" s="302" t="s">
        <v>1054</v>
      </c>
      <c r="D159" s="302" t="s">
        <v>1596</v>
      </c>
    </row>
    <row r="160" spans="3:4" ht="13">
      <c r="C160" s="302" t="s">
        <v>1026</v>
      </c>
      <c r="D160" s="302" t="s">
        <v>1596</v>
      </c>
    </row>
    <row r="161" spans="3:4" ht="13">
      <c r="C161" s="302" t="s">
        <v>1430</v>
      </c>
      <c r="D161" s="302" t="s">
        <v>1596</v>
      </c>
    </row>
    <row r="162" spans="3:4" ht="13">
      <c r="C162" s="302" t="s">
        <v>1024</v>
      </c>
      <c r="D162" s="302" t="s">
        <v>1596</v>
      </c>
    </row>
    <row r="163" spans="3:4" ht="13">
      <c r="C163" s="302" t="s">
        <v>1435</v>
      </c>
      <c r="D163" s="302" t="s">
        <v>1596</v>
      </c>
    </row>
    <row r="164" spans="3:4" ht="13">
      <c r="C164" s="302" t="s">
        <v>1023</v>
      </c>
      <c r="D164" s="302" t="s">
        <v>1596</v>
      </c>
    </row>
    <row r="165" spans="3:4" ht="13">
      <c r="C165" s="302" t="s">
        <v>1025</v>
      </c>
      <c r="D165" s="302" t="s">
        <v>1596</v>
      </c>
    </row>
    <row r="166" spans="3:4" ht="13">
      <c r="C166" s="302" t="s">
        <v>1053</v>
      </c>
      <c r="D166" s="302" t="s">
        <v>1596</v>
      </c>
    </row>
    <row r="167" spans="3:4" ht="13">
      <c r="C167" s="302" t="s">
        <v>1310</v>
      </c>
      <c r="D167" s="302" t="s">
        <v>1596</v>
      </c>
    </row>
    <row r="168" spans="3:4" ht="13">
      <c r="C168" s="302" t="s">
        <v>1065</v>
      </c>
      <c r="D168" s="302" t="s">
        <v>1596</v>
      </c>
    </row>
    <row r="169" spans="3:4" ht="13">
      <c r="C169" s="302" t="s">
        <v>886</v>
      </c>
      <c r="D169" s="302" t="s">
        <v>1596</v>
      </c>
    </row>
    <row r="170" spans="3:4" ht="13">
      <c r="C170" s="302" t="s">
        <v>1062</v>
      </c>
      <c r="D170" s="302" t="s">
        <v>1596</v>
      </c>
    </row>
    <row r="171" spans="3:4" ht="13">
      <c r="C171" s="302" t="s">
        <v>1063</v>
      </c>
      <c r="D171" s="302" t="s">
        <v>1596</v>
      </c>
    </row>
    <row r="172" spans="3:4" ht="13">
      <c r="C172" s="302" t="s">
        <v>948</v>
      </c>
      <c r="D172" s="302" t="s">
        <v>1596</v>
      </c>
    </row>
    <row r="173" spans="3:4" ht="13">
      <c r="C173" s="302" t="s">
        <v>1061</v>
      </c>
      <c r="D173" s="302" t="s">
        <v>1596</v>
      </c>
    </row>
    <row r="174" spans="3:4" ht="13">
      <c r="C174" s="302" t="s">
        <v>1344</v>
      </c>
      <c r="D174" s="302" t="s">
        <v>1596</v>
      </c>
    </row>
    <row r="175" spans="3:4" ht="13">
      <c r="C175" s="302" t="s">
        <v>1472</v>
      </c>
      <c r="D175" s="302" t="s">
        <v>1596</v>
      </c>
    </row>
    <row r="176" spans="3:4" ht="13">
      <c r="C176" s="302" t="s">
        <v>641</v>
      </c>
      <c r="D176" s="302" t="s">
        <v>1596</v>
      </c>
    </row>
    <row r="177" spans="3:4" ht="13">
      <c r="C177" s="302" t="s">
        <v>1039</v>
      </c>
      <c r="D177" s="302" t="s">
        <v>1596</v>
      </c>
    </row>
    <row r="178" spans="3:4" ht="13">
      <c r="C178" s="302" t="s">
        <v>1481</v>
      </c>
      <c r="D178" s="302" t="s">
        <v>1596</v>
      </c>
    </row>
    <row r="179" spans="3:4" ht="13">
      <c r="C179" s="302" t="s">
        <v>1529</v>
      </c>
      <c r="D179" s="302" t="s">
        <v>1596</v>
      </c>
    </row>
    <row r="180" spans="3:4" ht="13">
      <c r="C180" s="302" t="s">
        <v>1513</v>
      </c>
      <c r="D180" s="302" t="s">
        <v>1596</v>
      </c>
    </row>
    <row r="181" spans="3:4" ht="13">
      <c r="C181" s="302" t="s">
        <v>1534</v>
      </c>
      <c r="D181" s="302" t="s">
        <v>1596</v>
      </c>
    </row>
    <row r="182" spans="3:4" ht="13">
      <c r="C182" s="302" t="s">
        <v>1405</v>
      </c>
      <c r="D182" s="302" t="s">
        <v>1596</v>
      </c>
    </row>
    <row r="183" spans="3:4" ht="13">
      <c r="C183" s="302" t="s">
        <v>1475</v>
      </c>
      <c r="D183" s="302" t="s">
        <v>1596</v>
      </c>
    </row>
    <row r="184" spans="3:4" ht="13">
      <c r="C184" s="302" t="s">
        <v>1378</v>
      </c>
      <c r="D184" s="302" t="s">
        <v>1596</v>
      </c>
    </row>
    <row r="185" spans="3:4" ht="13">
      <c r="C185" s="302" t="s">
        <v>1495</v>
      </c>
      <c r="D185" s="302" t="s">
        <v>1596</v>
      </c>
    </row>
    <row r="186" spans="3:4" ht="13">
      <c r="C186" s="302" t="s">
        <v>1501</v>
      </c>
      <c r="D186" s="302" t="s">
        <v>1596</v>
      </c>
    </row>
    <row r="187" spans="3:4" ht="13">
      <c r="C187" s="302" t="s">
        <v>1492</v>
      </c>
      <c r="D187" s="302" t="s">
        <v>1596</v>
      </c>
    </row>
    <row r="188" spans="3:4" ht="13">
      <c r="C188" s="302" t="s">
        <v>1499</v>
      </c>
      <c r="D188" s="302" t="s">
        <v>1596</v>
      </c>
    </row>
    <row r="189" spans="3:4" ht="13">
      <c r="C189" s="302" t="s">
        <v>1493</v>
      </c>
      <c r="D189" s="302" t="s">
        <v>1596</v>
      </c>
    </row>
    <row r="190" spans="3:4" ht="13">
      <c r="C190" s="302" t="s">
        <v>661</v>
      </c>
      <c r="D190" s="302" t="s">
        <v>1596</v>
      </c>
    </row>
    <row r="191" spans="3:4" ht="13">
      <c r="C191" s="302" t="s">
        <v>1377</v>
      </c>
      <c r="D191" s="302" t="s">
        <v>1596</v>
      </c>
    </row>
    <row r="192" spans="3:4" ht="13">
      <c r="C192" s="302" t="s">
        <v>1535</v>
      </c>
      <c r="D192" s="302" t="s">
        <v>1596</v>
      </c>
    </row>
    <row r="193" spans="3:4" ht="13">
      <c r="C193" s="302" t="s">
        <v>1498</v>
      </c>
      <c r="D193" s="302" t="s">
        <v>1596</v>
      </c>
    </row>
    <row r="194" spans="3:4" ht="13">
      <c r="C194" s="302" t="s">
        <v>1491</v>
      </c>
      <c r="D194" s="302" t="s">
        <v>1596</v>
      </c>
    </row>
    <row r="195" spans="3:4" ht="13">
      <c r="C195" s="302" t="s">
        <v>1494</v>
      </c>
      <c r="D195" s="302" t="s">
        <v>1596</v>
      </c>
    </row>
    <row r="196" spans="3:4" ht="13">
      <c r="C196" s="302" t="s">
        <v>1500</v>
      </c>
      <c r="D196" s="302" t="s">
        <v>1596</v>
      </c>
    </row>
    <row r="197" spans="3:4" ht="13">
      <c r="C197" s="302" t="s">
        <v>1497</v>
      </c>
      <c r="D197" s="302" t="s">
        <v>1596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Z272"/>
  <sheetViews>
    <sheetView showGridLines="0" topLeftCell="A217" workbookViewId="0">
      <selection activeCell="I246" sqref="B218:I246"/>
    </sheetView>
  </sheetViews>
  <sheetFormatPr baseColWidth="10" defaultColWidth="12.6640625" defaultRowHeight="15.75" customHeight="1"/>
  <cols>
    <col min="1" max="1" width="5.33203125" customWidth="1"/>
    <col min="2" max="2" width="9.6640625" customWidth="1"/>
    <col min="6" max="7" width="12.1640625" customWidth="1"/>
    <col min="16" max="18" width="12.6640625" hidden="1"/>
  </cols>
  <sheetData>
    <row r="1" spans="1:26" ht="13" hidden="1"/>
    <row r="2" spans="1:26" ht="16" hidden="1">
      <c r="B2" s="1868" t="s">
        <v>1597</v>
      </c>
      <c r="C2" s="1869"/>
      <c r="D2" s="1869"/>
      <c r="E2" s="1869"/>
      <c r="F2" s="229"/>
      <c r="G2" s="229"/>
      <c r="H2" s="229"/>
      <c r="I2" s="229"/>
      <c r="J2" s="229"/>
    </row>
    <row r="3" spans="1:26" ht="13" hidden="1">
      <c r="B3" s="1602"/>
      <c r="C3" s="1603"/>
      <c r="D3" s="1603"/>
      <c r="E3" s="1602"/>
      <c r="F3" s="229"/>
      <c r="G3" s="229"/>
      <c r="H3" s="229"/>
      <c r="I3" s="229"/>
      <c r="J3" s="229"/>
    </row>
    <row r="4" spans="1:26" ht="32" hidden="1">
      <c r="A4" s="1"/>
      <c r="B4" s="1604" t="s">
        <v>20</v>
      </c>
      <c r="C4" s="1605" t="s">
        <v>1598</v>
      </c>
      <c r="D4" s="1605" t="s">
        <v>1599</v>
      </c>
      <c r="E4" s="1606" t="s">
        <v>1600</v>
      </c>
      <c r="F4" s="1607"/>
      <c r="G4" s="1608" t="s">
        <v>250</v>
      </c>
      <c r="H4" s="1609" t="s">
        <v>1601</v>
      </c>
      <c r="I4" s="1610" t="s">
        <v>1602</v>
      </c>
      <c r="J4" s="160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hidden="1">
      <c r="B5" s="1611">
        <v>1</v>
      </c>
      <c r="C5" s="1612" t="s">
        <v>208</v>
      </c>
      <c r="D5" s="1613">
        <v>0.09</v>
      </c>
      <c r="E5" s="1614"/>
      <c r="F5" s="229"/>
      <c r="G5" s="1615"/>
      <c r="H5" s="1616"/>
      <c r="I5" s="1617"/>
      <c r="J5" s="229"/>
    </row>
    <row r="6" spans="1:26" ht="15" hidden="1">
      <c r="B6" s="1611">
        <v>2</v>
      </c>
      <c r="C6" s="1613">
        <v>0.05</v>
      </c>
      <c r="D6" s="1613">
        <v>0.09</v>
      </c>
      <c r="E6" s="1618">
        <v>0.23</v>
      </c>
      <c r="F6" s="229"/>
      <c r="G6" s="1619">
        <v>0.15</v>
      </c>
      <c r="H6" s="1620">
        <v>3000000</v>
      </c>
      <c r="I6" s="1621">
        <v>6000000</v>
      </c>
      <c r="J6" s="229"/>
    </row>
    <row r="7" spans="1:26" ht="15" hidden="1">
      <c r="B7" s="1611">
        <v>3</v>
      </c>
      <c r="C7" s="1612" t="s">
        <v>208</v>
      </c>
      <c r="D7" s="1613">
        <v>0.2</v>
      </c>
      <c r="E7" s="1618">
        <v>0.23</v>
      </c>
      <c r="F7" s="229"/>
      <c r="G7" s="1622">
        <v>0.12</v>
      </c>
      <c r="H7" s="1623">
        <v>2500000</v>
      </c>
      <c r="I7" s="1624">
        <v>5000000</v>
      </c>
      <c r="J7" s="229"/>
    </row>
    <row r="8" spans="1:26" ht="15" hidden="1">
      <c r="B8" s="1611">
        <v>4</v>
      </c>
      <c r="C8" s="1612" t="s">
        <v>208</v>
      </c>
      <c r="D8" s="1613">
        <v>0.2</v>
      </c>
      <c r="E8" s="1614"/>
      <c r="F8" s="229"/>
      <c r="G8" s="1625">
        <v>0.1</v>
      </c>
      <c r="H8" s="1626">
        <v>1800000</v>
      </c>
      <c r="I8" s="1627">
        <v>3600000</v>
      </c>
      <c r="J8" s="229"/>
    </row>
    <row r="9" spans="1:26" ht="15" hidden="1">
      <c r="B9" s="1611">
        <v>5</v>
      </c>
      <c r="C9" s="1613">
        <v>0.05</v>
      </c>
      <c r="D9" s="1613">
        <v>0.12</v>
      </c>
      <c r="E9" s="1614"/>
      <c r="F9" s="229"/>
      <c r="G9" s="1628">
        <v>0.05</v>
      </c>
      <c r="H9" s="1629">
        <v>1500000</v>
      </c>
      <c r="I9" s="1630">
        <v>1500000</v>
      </c>
      <c r="J9" s="229"/>
    </row>
    <row r="10" spans="1:26" ht="15" hidden="1">
      <c r="B10" s="1611">
        <v>6</v>
      </c>
      <c r="C10" s="1612" t="s">
        <v>208</v>
      </c>
      <c r="D10" s="1613">
        <v>0.15</v>
      </c>
      <c r="E10" s="1614"/>
      <c r="F10" s="229"/>
      <c r="G10" s="1631"/>
      <c r="H10" s="1631"/>
      <c r="I10" s="1631"/>
      <c r="J10" s="229"/>
    </row>
    <row r="11" spans="1:26" ht="15" hidden="1">
      <c r="B11" s="1611">
        <v>7</v>
      </c>
      <c r="C11" s="1613">
        <v>0.1</v>
      </c>
      <c r="D11" s="1613">
        <v>0.2</v>
      </c>
      <c r="E11" s="1614"/>
      <c r="F11" s="229"/>
      <c r="G11" s="229"/>
      <c r="H11" s="229"/>
      <c r="I11" s="229"/>
      <c r="J11" s="229"/>
    </row>
    <row r="12" spans="1:26" ht="15" hidden="1">
      <c r="B12" s="1611">
        <v>8</v>
      </c>
      <c r="C12" s="1613">
        <v>0.1</v>
      </c>
      <c r="D12" s="1613">
        <v>0.2</v>
      </c>
      <c r="E12" s="1618">
        <v>0.23</v>
      </c>
      <c r="F12" s="229"/>
      <c r="G12" s="229"/>
      <c r="H12" s="229"/>
      <c r="I12" s="229"/>
      <c r="J12" s="229"/>
    </row>
    <row r="13" spans="1:26" ht="15" hidden="1">
      <c r="B13" s="1611">
        <v>9</v>
      </c>
      <c r="C13" s="1613">
        <v>0.12</v>
      </c>
      <c r="D13" s="1613">
        <v>0.23</v>
      </c>
      <c r="E13" s="1614"/>
      <c r="F13" s="229"/>
      <c r="G13" s="229"/>
      <c r="H13" s="229"/>
      <c r="I13" s="229"/>
      <c r="J13" s="229"/>
    </row>
    <row r="14" spans="1:26" ht="15" hidden="1">
      <c r="B14" s="1611">
        <v>10</v>
      </c>
      <c r="C14" s="1613">
        <v>0.15</v>
      </c>
      <c r="D14" s="1613">
        <v>0.23</v>
      </c>
      <c r="E14" s="1614"/>
      <c r="F14" s="229"/>
      <c r="G14" s="229"/>
      <c r="H14" s="229"/>
      <c r="I14" s="229"/>
      <c r="J14" s="229"/>
    </row>
    <row r="15" spans="1:26" ht="15" hidden="1">
      <c r="B15" s="1611">
        <v>11</v>
      </c>
      <c r="C15" s="1613">
        <v>0.15</v>
      </c>
      <c r="D15" s="1613">
        <v>0.2</v>
      </c>
      <c r="E15" s="1614"/>
      <c r="F15" s="229"/>
      <c r="G15" s="229"/>
      <c r="H15" s="229"/>
      <c r="I15" s="229"/>
      <c r="J15" s="229"/>
    </row>
    <row r="16" spans="1:26" ht="15" hidden="1">
      <c r="B16" s="1611">
        <v>12</v>
      </c>
      <c r="C16" s="1613">
        <v>0.15</v>
      </c>
      <c r="D16" s="1613">
        <v>0.09</v>
      </c>
      <c r="E16" s="1614"/>
      <c r="F16" s="229"/>
      <c r="G16" s="229"/>
      <c r="H16" s="229"/>
      <c r="I16" s="229"/>
      <c r="J16" s="229"/>
    </row>
    <row r="17" spans="2:10" ht="15" hidden="1">
      <c r="B17" s="1632">
        <v>13</v>
      </c>
      <c r="C17" s="1613">
        <v>0.15</v>
      </c>
      <c r="D17" s="1633">
        <v>25</v>
      </c>
      <c r="E17" s="1634"/>
      <c r="F17" s="229"/>
      <c r="G17" s="229"/>
      <c r="H17" s="229"/>
      <c r="I17" s="229"/>
      <c r="J17" s="229"/>
    </row>
    <row r="18" spans="2:10" ht="15" hidden="1">
      <c r="B18" s="1611">
        <v>14</v>
      </c>
      <c r="C18" s="1613">
        <v>0.15</v>
      </c>
      <c r="D18" s="1613">
        <v>0.2</v>
      </c>
      <c r="E18" s="1618">
        <v>0.23</v>
      </c>
      <c r="F18" s="229"/>
      <c r="G18" s="229"/>
      <c r="H18" s="229"/>
      <c r="I18" s="229"/>
      <c r="J18" s="229"/>
    </row>
    <row r="19" spans="2:10" ht="15" hidden="1">
      <c r="B19" s="1632">
        <v>15</v>
      </c>
      <c r="C19" s="1613">
        <v>0.18</v>
      </c>
      <c r="D19" s="1635">
        <v>0.25</v>
      </c>
      <c r="E19" s="1634"/>
      <c r="F19" s="229"/>
      <c r="G19" s="229"/>
      <c r="H19" s="229"/>
      <c r="I19" s="229"/>
      <c r="J19" s="229"/>
    </row>
    <row r="20" spans="2:10" ht="15" hidden="1">
      <c r="B20" s="1632">
        <v>16</v>
      </c>
      <c r="C20" s="1613">
        <v>0.18</v>
      </c>
      <c r="D20" s="1635">
        <v>0.2</v>
      </c>
      <c r="E20" s="1636">
        <v>0.23</v>
      </c>
      <c r="F20" s="229"/>
      <c r="G20" s="229"/>
      <c r="H20" s="229"/>
      <c r="I20" s="229"/>
      <c r="J20" s="229"/>
    </row>
    <row r="21" spans="2:10" ht="13" hidden="1">
      <c r="B21" s="1637">
        <v>17</v>
      </c>
      <c r="C21" s="1612" t="s">
        <v>208</v>
      </c>
      <c r="D21" s="1638">
        <v>0.12</v>
      </c>
      <c r="E21" s="1614"/>
      <c r="F21" s="229"/>
      <c r="G21" s="229"/>
      <c r="H21" s="229"/>
      <c r="I21" s="229"/>
      <c r="J21" s="229"/>
    </row>
    <row r="22" spans="2:10" ht="13" hidden="1">
      <c r="B22" s="1637">
        <v>18</v>
      </c>
      <c r="C22" s="1612" t="s">
        <v>208</v>
      </c>
      <c r="D22" s="1638">
        <v>0.23</v>
      </c>
      <c r="E22" s="1614"/>
      <c r="F22" s="229"/>
      <c r="G22" s="229"/>
      <c r="H22" s="229"/>
      <c r="I22" s="229"/>
      <c r="J22" s="229"/>
    </row>
    <row r="23" spans="2:10" ht="13" hidden="1">
      <c r="B23" s="1637">
        <v>19</v>
      </c>
      <c r="C23" s="1638">
        <v>0.05</v>
      </c>
      <c r="D23" s="1639"/>
      <c r="E23" s="1614"/>
      <c r="F23" s="229"/>
      <c r="G23" s="229"/>
      <c r="H23" s="229"/>
      <c r="I23" s="229"/>
      <c r="J23" s="229"/>
    </row>
    <row r="24" spans="2:10" ht="13" hidden="1">
      <c r="B24" s="1637">
        <v>20</v>
      </c>
      <c r="C24" s="1638">
        <v>0.05</v>
      </c>
      <c r="D24" s="1638">
        <v>0.09</v>
      </c>
      <c r="E24" s="1614"/>
      <c r="F24" s="229"/>
      <c r="G24" s="229"/>
      <c r="H24" s="229"/>
      <c r="I24" s="229"/>
      <c r="J24" s="229"/>
    </row>
    <row r="25" spans="2:10" ht="13" hidden="1">
      <c r="B25" s="1637">
        <v>21</v>
      </c>
      <c r="C25" s="1638">
        <v>0.1</v>
      </c>
      <c r="D25" s="1639"/>
      <c r="E25" s="1614"/>
      <c r="F25" s="229"/>
      <c r="G25" s="229"/>
      <c r="H25" s="229"/>
      <c r="I25" s="229"/>
      <c r="J25" s="229"/>
    </row>
    <row r="26" spans="2:10" ht="13" hidden="1">
      <c r="B26" s="1637">
        <v>22</v>
      </c>
      <c r="C26" s="1638">
        <v>0.1</v>
      </c>
      <c r="D26" s="1638">
        <v>0.09</v>
      </c>
      <c r="E26" s="1614"/>
      <c r="F26" s="229"/>
      <c r="G26" s="229"/>
      <c r="H26" s="229"/>
      <c r="I26" s="229"/>
      <c r="J26" s="229"/>
    </row>
    <row r="27" spans="2:10" ht="13" hidden="1">
      <c r="B27" s="1637">
        <v>23</v>
      </c>
      <c r="C27" s="1638">
        <v>0.12</v>
      </c>
      <c r="D27" s="1639"/>
      <c r="E27" s="1614"/>
      <c r="F27" s="229"/>
      <c r="G27" s="229"/>
      <c r="H27" s="229"/>
      <c r="I27" s="229"/>
      <c r="J27" s="229"/>
    </row>
    <row r="28" spans="2:10" ht="13" hidden="1">
      <c r="B28" s="1637">
        <v>24</v>
      </c>
      <c r="C28" s="1638">
        <v>0.12</v>
      </c>
      <c r="D28" s="1638">
        <v>0.09</v>
      </c>
      <c r="E28" s="1614"/>
      <c r="F28" s="229"/>
      <c r="G28" s="229"/>
      <c r="H28" s="229"/>
      <c r="I28" s="229"/>
      <c r="J28" s="229"/>
    </row>
    <row r="29" spans="2:10" ht="13" hidden="1">
      <c r="B29" s="1637">
        <v>25</v>
      </c>
      <c r="C29" s="1638">
        <v>0.12</v>
      </c>
      <c r="D29" s="1638">
        <v>0.2</v>
      </c>
      <c r="E29" s="1614"/>
      <c r="F29" s="229"/>
      <c r="G29" s="229"/>
      <c r="H29" s="229"/>
      <c r="I29" s="229"/>
      <c r="J29" s="229"/>
    </row>
    <row r="30" spans="2:10" ht="13" hidden="1">
      <c r="B30" s="1640">
        <v>26</v>
      </c>
      <c r="C30" s="1638">
        <v>0.18</v>
      </c>
      <c r="D30" s="1641">
        <v>0.09</v>
      </c>
      <c r="E30" s="1634"/>
      <c r="F30" s="229"/>
      <c r="G30" s="229"/>
      <c r="H30" s="229"/>
      <c r="I30" s="229"/>
      <c r="J30" s="229"/>
    </row>
    <row r="31" spans="2:10" ht="13" hidden="1">
      <c r="B31" s="1637">
        <v>27</v>
      </c>
      <c r="C31" s="1638">
        <v>0.12</v>
      </c>
      <c r="D31" s="1638">
        <v>0.2</v>
      </c>
      <c r="E31" s="1642">
        <v>0.23</v>
      </c>
      <c r="F31" s="229"/>
      <c r="G31" s="229"/>
      <c r="H31" s="229"/>
      <c r="I31" s="229"/>
      <c r="J31" s="229"/>
    </row>
    <row r="32" spans="2:10" ht="13" hidden="1">
      <c r="B32" s="1637">
        <v>28</v>
      </c>
      <c r="C32" s="1638">
        <v>0.15</v>
      </c>
      <c r="D32" s="1639"/>
      <c r="E32" s="1614"/>
      <c r="F32" s="229"/>
      <c r="G32" s="229"/>
      <c r="H32" s="229"/>
      <c r="I32" s="229"/>
      <c r="J32" s="229"/>
    </row>
    <row r="33" spans="2:10" ht="13" hidden="1">
      <c r="B33" s="1637">
        <v>29</v>
      </c>
      <c r="C33" s="1638">
        <v>0.05</v>
      </c>
      <c r="D33" s="1638">
        <v>0.2</v>
      </c>
      <c r="E33" s="1614"/>
      <c r="F33" s="229"/>
      <c r="G33" s="229"/>
      <c r="H33" s="229"/>
      <c r="I33" s="229"/>
      <c r="J33" s="229"/>
    </row>
    <row r="34" spans="2:10" ht="13" hidden="1">
      <c r="B34" s="1637">
        <v>30</v>
      </c>
      <c r="C34" s="1638">
        <v>0.1</v>
      </c>
      <c r="D34" s="1638">
        <v>0.15</v>
      </c>
      <c r="E34" s="1614"/>
      <c r="F34" s="229"/>
      <c r="G34" s="229"/>
      <c r="H34" s="229"/>
      <c r="I34" s="229"/>
      <c r="J34" s="229"/>
    </row>
    <row r="35" spans="2:10" ht="13" hidden="1">
      <c r="B35" s="1637">
        <v>31</v>
      </c>
      <c r="C35" s="1638">
        <v>0.1</v>
      </c>
      <c r="D35" s="1638">
        <v>0.23</v>
      </c>
      <c r="E35" s="1614"/>
      <c r="F35" s="229"/>
      <c r="G35" s="229"/>
      <c r="H35" s="229"/>
      <c r="I35" s="229"/>
      <c r="J35" s="229"/>
    </row>
    <row r="36" spans="2:10" ht="13" hidden="1">
      <c r="B36" s="1640">
        <v>32</v>
      </c>
      <c r="C36" s="1638">
        <v>0.1</v>
      </c>
      <c r="D36" s="1641">
        <v>0.25</v>
      </c>
      <c r="E36" s="1634"/>
      <c r="F36" s="229"/>
      <c r="G36" s="229"/>
      <c r="H36" s="229"/>
      <c r="I36" s="229"/>
      <c r="J36" s="229"/>
    </row>
    <row r="37" spans="2:10" ht="13" hidden="1">
      <c r="B37" s="1640">
        <v>33</v>
      </c>
      <c r="C37" s="1638">
        <v>0.12</v>
      </c>
      <c r="D37" s="1641">
        <v>0.25</v>
      </c>
      <c r="E37" s="1634"/>
      <c r="F37" s="229"/>
      <c r="G37" s="229"/>
      <c r="H37" s="229"/>
      <c r="I37" s="229"/>
      <c r="J37" s="229"/>
    </row>
    <row r="38" spans="2:10" ht="13" hidden="1">
      <c r="B38" s="1640">
        <v>34</v>
      </c>
      <c r="C38" s="1638">
        <v>0.15</v>
      </c>
      <c r="D38" s="1641">
        <v>0.23</v>
      </c>
      <c r="E38" s="1643">
        <v>0.25</v>
      </c>
      <c r="F38" s="229"/>
      <c r="G38" s="229"/>
      <c r="H38" s="229"/>
      <c r="I38" s="229"/>
      <c r="J38" s="229"/>
    </row>
    <row r="39" spans="2:10" ht="13" hidden="1">
      <c r="B39" s="1644">
        <v>35</v>
      </c>
      <c r="C39" s="1645">
        <v>0.15</v>
      </c>
      <c r="D39" s="1646">
        <v>0.28000000000000003</v>
      </c>
      <c r="E39" s="1647"/>
      <c r="F39" s="229"/>
      <c r="G39" s="229"/>
      <c r="H39" s="229"/>
      <c r="I39" s="229"/>
      <c r="J39" s="229"/>
    </row>
    <row r="40" spans="2:10" ht="13" hidden="1">
      <c r="B40" s="1648">
        <v>36</v>
      </c>
      <c r="C40" s="1649">
        <v>0.18</v>
      </c>
      <c r="D40" s="1650">
        <v>0.23</v>
      </c>
      <c r="E40" s="1651"/>
      <c r="F40" s="229"/>
      <c r="G40" s="229"/>
      <c r="H40" s="229"/>
      <c r="I40" s="229"/>
      <c r="J40" s="229"/>
    </row>
    <row r="41" spans="2:10" ht="13" hidden="1">
      <c r="B41" s="1652">
        <v>37</v>
      </c>
      <c r="C41" s="1653" t="s">
        <v>208</v>
      </c>
      <c r="D41" s="1654">
        <v>0.23</v>
      </c>
      <c r="E41" s="1655"/>
      <c r="F41" s="229"/>
      <c r="G41" s="229"/>
      <c r="H41" s="229"/>
      <c r="I41" s="229"/>
      <c r="J41" s="229"/>
    </row>
    <row r="42" spans="2:10" ht="13" hidden="1">
      <c r="B42" s="1656">
        <v>38</v>
      </c>
      <c r="C42" s="1657">
        <v>0.15</v>
      </c>
      <c r="D42" s="328">
        <v>0.26</v>
      </c>
      <c r="E42" s="1658"/>
      <c r="F42" s="229"/>
      <c r="G42" s="229"/>
      <c r="H42" s="229"/>
      <c r="I42" s="229"/>
      <c r="J42" s="229"/>
    </row>
    <row r="43" spans="2:10" ht="13" hidden="1">
      <c r="B43" s="1656">
        <v>39</v>
      </c>
      <c r="C43" s="1659">
        <v>0.12</v>
      </c>
      <c r="D43" s="328">
        <v>0.26</v>
      </c>
      <c r="E43" s="1658"/>
      <c r="F43" s="229"/>
      <c r="G43" s="229"/>
      <c r="H43" s="229"/>
      <c r="I43" s="229"/>
      <c r="J43" s="229"/>
    </row>
    <row r="44" spans="2:10" ht="13" hidden="1">
      <c r="B44" s="1656">
        <v>40</v>
      </c>
      <c r="C44" s="1660">
        <v>0.1</v>
      </c>
      <c r="D44" s="328">
        <v>0.26</v>
      </c>
      <c r="E44" s="1658"/>
    </row>
    <row r="45" spans="2:10" ht="13" hidden="1">
      <c r="B45" s="1656">
        <v>41</v>
      </c>
      <c r="C45" s="1661">
        <v>0.05</v>
      </c>
      <c r="D45" s="328">
        <v>0.26</v>
      </c>
      <c r="E45" s="1658"/>
    </row>
    <row r="46" spans="2:10" ht="13" hidden="1">
      <c r="B46" s="1652">
        <v>42</v>
      </c>
      <c r="C46" s="1653" t="s">
        <v>208</v>
      </c>
      <c r="D46" s="1654">
        <v>0.26</v>
      </c>
      <c r="E46" s="1655"/>
    </row>
    <row r="47" spans="2:10" ht="13" hidden="1"/>
    <row r="48" spans="2:10" ht="13" hidden="1"/>
    <row r="49" spans="2:8" ht="29.25" hidden="1" customHeight="1">
      <c r="F49" s="1608" t="s">
        <v>250</v>
      </c>
      <c r="G49" s="1609" t="s">
        <v>1601</v>
      </c>
      <c r="H49" s="1610" t="s">
        <v>1602</v>
      </c>
    </row>
    <row r="50" spans="2:8" ht="13" hidden="1">
      <c r="F50" s="1619">
        <v>0.15</v>
      </c>
      <c r="G50" s="1620">
        <v>3000000</v>
      </c>
      <c r="H50" s="1621">
        <v>6000000</v>
      </c>
    </row>
    <row r="51" spans="2:8" ht="13" hidden="1">
      <c r="F51" s="1622">
        <v>0.12</v>
      </c>
      <c r="G51" s="1623">
        <v>2500000</v>
      </c>
      <c r="H51" s="1624">
        <v>5000000</v>
      </c>
    </row>
    <row r="52" spans="2:8" ht="13" hidden="1">
      <c r="F52" s="1625">
        <v>0.1</v>
      </c>
      <c r="G52" s="1626">
        <v>1800000</v>
      </c>
      <c r="H52" s="1627">
        <v>3600000</v>
      </c>
    </row>
    <row r="53" spans="2:8" ht="13" hidden="1">
      <c r="F53" s="1628">
        <v>0.05</v>
      </c>
      <c r="G53" s="1629">
        <v>1500000</v>
      </c>
      <c r="H53" s="1630">
        <v>1500000</v>
      </c>
    </row>
    <row r="54" spans="2:8" ht="13" hidden="1"/>
    <row r="55" spans="2:8" ht="13" hidden="1"/>
    <row r="56" spans="2:8" ht="13" hidden="1"/>
    <row r="57" spans="2:8" ht="13" hidden="1"/>
    <row r="58" spans="2:8" ht="13" hidden="1"/>
    <row r="59" spans="2:8" ht="32" hidden="1">
      <c r="B59" s="1604" t="s">
        <v>20</v>
      </c>
      <c r="C59" s="1605" t="s">
        <v>1598</v>
      </c>
      <c r="D59" s="1605" t="s">
        <v>1599</v>
      </c>
      <c r="E59" s="1606" t="s">
        <v>1600</v>
      </c>
    </row>
    <row r="60" spans="2:8" ht="15" hidden="1">
      <c r="B60" s="1611">
        <v>13</v>
      </c>
      <c r="C60" s="1613">
        <v>0.15</v>
      </c>
      <c r="D60" s="1662">
        <v>25</v>
      </c>
      <c r="E60" s="1614"/>
    </row>
    <row r="61" spans="2:8" ht="15" hidden="1">
      <c r="B61" s="1611">
        <v>15</v>
      </c>
      <c r="C61" s="1613">
        <v>0.18</v>
      </c>
      <c r="D61" s="1663">
        <v>0.25</v>
      </c>
      <c r="E61" s="1614"/>
    </row>
    <row r="62" spans="2:8" ht="15" hidden="1">
      <c r="B62" s="1611">
        <v>16</v>
      </c>
      <c r="C62" s="1613">
        <v>0.18</v>
      </c>
      <c r="D62" s="1613">
        <v>0.2</v>
      </c>
      <c r="E62" s="1618">
        <v>0.23</v>
      </c>
    </row>
    <row r="63" spans="2:8" ht="13" hidden="1">
      <c r="B63" s="1637">
        <v>26</v>
      </c>
      <c r="C63" s="1638">
        <v>0.18</v>
      </c>
      <c r="D63" s="1638">
        <v>0.09</v>
      </c>
      <c r="E63" s="1614"/>
    </row>
    <row r="64" spans="2:8" ht="13" hidden="1">
      <c r="B64" s="1637">
        <v>32</v>
      </c>
      <c r="C64" s="1638">
        <v>0.1</v>
      </c>
      <c r="D64" s="1664">
        <v>0.25</v>
      </c>
      <c r="E64" s="1614"/>
    </row>
    <row r="65" spans="2:18" ht="13" hidden="1">
      <c r="B65" s="1637">
        <v>33</v>
      </c>
      <c r="C65" s="1638">
        <v>0.12</v>
      </c>
      <c r="D65" s="1664">
        <v>0.25</v>
      </c>
      <c r="E65" s="1614"/>
    </row>
    <row r="66" spans="2:18" ht="13" hidden="1">
      <c r="B66" s="1637">
        <v>34</v>
      </c>
      <c r="C66" s="1638">
        <v>0.15</v>
      </c>
      <c r="D66" s="1638">
        <v>0.23</v>
      </c>
      <c r="E66" s="1665">
        <v>0.25</v>
      </c>
    </row>
    <row r="67" spans="2:18" ht="13" hidden="1">
      <c r="B67" s="1666">
        <v>35</v>
      </c>
      <c r="C67" s="1645">
        <v>0.15</v>
      </c>
      <c r="D67" s="1667">
        <v>0.28000000000000003</v>
      </c>
      <c r="E67" s="1668"/>
    </row>
    <row r="68" spans="2:18" ht="13" hidden="1">
      <c r="B68" s="1656">
        <v>36</v>
      </c>
      <c r="C68" s="1649">
        <v>0.18</v>
      </c>
      <c r="D68" s="328">
        <v>0.23</v>
      </c>
      <c r="E68" s="1658"/>
    </row>
    <row r="69" spans="2:18" ht="13" hidden="1"/>
    <row r="70" spans="2:18" ht="13" hidden="1"/>
    <row r="71" spans="2:18" ht="13" hidden="1"/>
    <row r="72" spans="2:18" ht="23.25" hidden="1" customHeight="1"/>
    <row r="73" spans="2:18" ht="18.75" hidden="1" customHeight="1">
      <c r="B73" s="1870" t="s">
        <v>1603</v>
      </c>
      <c r="C73" s="1869"/>
      <c r="D73" s="1869"/>
      <c r="E73" s="1869"/>
      <c r="F73" s="1869"/>
      <c r="G73" s="1869"/>
      <c r="H73" s="1869"/>
      <c r="I73" s="1669"/>
    </row>
    <row r="74" spans="2:18" ht="13" hidden="1"/>
    <row r="75" spans="2:18" ht="32" hidden="1">
      <c r="B75" s="1670" t="s">
        <v>20</v>
      </c>
      <c r="C75" s="1671" t="s">
        <v>1598</v>
      </c>
      <c r="D75" s="1671" t="s">
        <v>1599</v>
      </c>
      <c r="E75" s="1672" t="s">
        <v>1600</v>
      </c>
      <c r="F75" s="1607"/>
      <c r="G75" s="407" t="s">
        <v>250</v>
      </c>
      <c r="H75" s="1249" t="s">
        <v>1604</v>
      </c>
      <c r="I75" s="1673" t="s">
        <v>1605</v>
      </c>
      <c r="P75" s="407" t="s">
        <v>250</v>
      </c>
      <c r="Q75" s="1249" t="s">
        <v>1601</v>
      </c>
      <c r="R75" s="1673" t="s">
        <v>1602</v>
      </c>
    </row>
    <row r="76" spans="2:18" ht="15" hidden="1">
      <c r="B76" s="1674">
        <v>1</v>
      </c>
      <c r="C76" s="1675" t="s">
        <v>208</v>
      </c>
      <c r="D76" s="1676">
        <v>0.09</v>
      </c>
      <c r="E76" s="1677"/>
      <c r="F76" s="229"/>
      <c r="G76" s="1678">
        <v>0.15</v>
      </c>
      <c r="H76" s="1679">
        <v>5000000</v>
      </c>
      <c r="I76" s="1680">
        <f>H76*2</f>
        <v>10000000</v>
      </c>
      <c r="P76" s="1678">
        <v>0.15</v>
      </c>
      <c r="Q76" s="1679">
        <v>3000000</v>
      </c>
      <c r="R76" s="1680">
        <v>6000000</v>
      </c>
    </row>
    <row r="77" spans="2:18" ht="15" hidden="1">
      <c r="B77" s="1681">
        <v>2</v>
      </c>
      <c r="C77" s="1682">
        <v>0.05</v>
      </c>
      <c r="D77" s="1682">
        <v>0.09</v>
      </c>
      <c r="E77" s="1683">
        <v>0.23</v>
      </c>
      <c r="F77" s="229"/>
      <c r="G77" s="569">
        <v>0.12</v>
      </c>
      <c r="H77" s="1684">
        <v>2600000</v>
      </c>
      <c r="I77" s="1685">
        <v>5200000</v>
      </c>
      <c r="P77" s="569">
        <v>0.12</v>
      </c>
      <c r="Q77" s="1684">
        <v>2500000</v>
      </c>
      <c r="R77" s="1685">
        <v>5000000</v>
      </c>
    </row>
    <row r="78" spans="2:18" ht="15" hidden="1">
      <c r="B78" s="1681">
        <v>3</v>
      </c>
      <c r="C78" s="1686" t="s">
        <v>208</v>
      </c>
      <c r="D78" s="1682">
        <v>0.2</v>
      </c>
      <c r="E78" s="1683">
        <v>0.23</v>
      </c>
      <c r="F78" s="229"/>
      <c r="G78" s="570">
        <v>0.1</v>
      </c>
      <c r="H78" s="1687">
        <v>1500000</v>
      </c>
      <c r="I78" s="1688">
        <v>3000000</v>
      </c>
      <c r="P78" s="570">
        <v>0.1</v>
      </c>
      <c r="Q78" s="1687">
        <v>1800000</v>
      </c>
      <c r="R78" s="1688">
        <v>3600000</v>
      </c>
    </row>
    <row r="79" spans="2:18" ht="15" hidden="1">
      <c r="B79" s="1681">
        <v>4</v>
      </c>
      <c r="C79" s="1686" t="s">
        <v>208</v>
      </c>
      <c r="D79" s="1682">
        <v>0.2</v>
      </c>
      <c r="E79" s="1689"/>
      <c r="F79" s="229"/>
      <c r="G79" s="1690">
        <v>0.05</v>
      </c>
      <c r="H79" s="1691">
        <v>1200000</v>
      </c>
      <c r="I79" s="1692">
        <v>2400000</v>
      </c>
      <c r="P79" s="1690">
        <v>0.05</v>
      </c>
      <c r="Q79" s="1691">
        <v>1500000</v>
      </c>
      <c r="R79" s="1692">
        <v>1500000</v>
      </c>
    </row>
    <row r="80" spans="2:18" ht="15" hidden="1">
      <c r="B80" s="1681">
        <v>5</v>
      </c>
      <c r="C80" s="1682">
        <v>0.05</v>
      </c>
      <c r="D80" s="1682">
        <v>0.12</v>
      </c>
      <c r="E80" s="1689"/>
      <c r="F80" s="229"/>
    </row>
    <row r="81" spans="2:9" ht="15" hidden="1">
      <c r="B81" s="1681">
        <v>6</v>
      </c>
      <c r="C81" s="1686" t="s">
        <v>208</v>
      </c>
      <c r="D81" s="1682">
        <v>0.15</v>
      </c>
      <c r="E81" s="1689"/>
      <c r="F81" s="229"/>
      <c r="G81" s="1631"/>
      <c r="H81" s="1631"/>
      <c r="I81" s="1631"/>
    </row>
    <row r="82" spans="2:9" ht="15" hidden="1">
      <c r="B82" s="1681">
        <v>7</v>
      </c>
      <c r="C82" s="1682">
        <v>0.1</v>
      </c>
      <c r="D82" s="1682">
        <v>0.2</v>
      </c>
      <c r="E82" s="1689"/>
      <c r="F82" s="229"/>
      <c r="G82" s="229"/>
      <c r="H82" s="229"/>
      <c r="I82" s="229"/>
    </row>
    <row r="83" spans="2:9" ht="15" hidden="1">
      <c r="B83" s="1681">
        <v>8</v>
      </c>
      <c r="C83" s="1682">
        <v>0.1</v>
      </c>
      <c r="D83" s="1682">
        <v>0.2</v>
      </c>
      <c r="E83" s="1683">
        <v>0.23</v>
      </c>
      <c r="F83" s="229"/>
      <c r="G83" s="229"/>
      <c r="H83" s="229"/>
      <c r="I83" s="229"/>
    </row>
    <row r="84" spans="2:9" ht="15" hidden="1">
      <c r="B84" s="1681">
        <v>9</v>
      </c>
      <c r="C84" s="1682">
        <v>0.12</v>
      </c>
      <c r="D84" s="1682">
        <v>0.23</v>
      </c>
      <c r="E84" s="1689"/>
      <c r="F84" s="229"/>
      <c r="G84" s="229"/>
      <c r="H84" s="229"/>
      <c r="I84" s="229"/>
    </row>
    <row r="85" spans="2:9" ht="15" hidden="1">
      <c r="B85" s="1681">
        <v>10</v>
      </c>
      <c r="C85" s="1682">
        <v>0.15</v>
      </c>
      <c r="D85" s="1682">
        <v>0.23</v>
      </c>
      <c r="E85" s="1689"/>
      <c r="F85" s="229"/>
      <c r="G85" s="229"/>
      <c r="H85" s="229"/>
      <c r="I85" s="229"/>
    </row>
    <row r="86" spans="2:9" ht="15" hidden="1">
      <c r="B86" s="1681">
        <v>11</v>
      </c>
      <c r="C86" s="1682">
        <v>0.15</v>
      </c>
      <c r="D86" s="1682">
        <v>0.2</v>
      </c>
      <c r="E86" s="1689"/>
      <c r="F86" s="229"/>
      <c r="G86" s="229"/>
      <c r="H86" s="229"/>
      <c r="I86" s="229"/>
    </row>
    <row r="87" spans="2:9" ht="15" hidden="1">
      <c r="B87" s="1681">
        <v>12</v>
      </c>
      <c r="C87" s="1682">
        <v>0.15</v>
      </c>
      <c r="D87" s="1682">
        <v>0.09</v>
      </c>
      <c r="E87" s="1689"/>
      <c r="F87" s="229"/>
      <c r="G87" s="229"/>
      <c r="H87" s="229"/>
      <c r="I87" s="229"/>
    </row>
    <row r="88" spans="2:9" ht="15" hidden="1">
      <c r="B88" s="1681">
        <v>14</v>
      </c>
      <c r="C88" s="1682">
        <v>0.15</v>
      </c>
      <c r="D88" s="1682">
        <v>0.2</v>
      </c>
      <c r="E88" s="1683">
        <v>0.23</v>
      </c>
      <c r="F88" s="229"/>
      <c r="G88" s="229"/>
      <c r="H88" s="229"/>
      <c r="I88" s="229"/>
    </row>
    <row r="89" spans="2:9" ht="13" hidden="1">
      <c r="B89" s="1693">
        <v>17</v>
      </c>
      <c r="C89" s="1686" t="s">
        <v>208</v>
      </c>
      <c r="D89" s="328">
        <v>0.12</v>
      </c>
      <c r="E89" s="1689"/>
      <c r="F89" s="229"/>
      <c r="G89" s="229"/>
      <c r="H89" s="229"/>
      <c r="I89" s="229"/>
    </row>
    <row r="90" spans="2:9" ht="13" hidden="1">
      <c r="B90" s="1693">
        <v>18</v>
      </c>
      <c r="C90" s="1686" t="s">
        <v>208</v>
      </c>
      <c r="D90" s="328">
        <v>0.23</v>
      </c>
      <c r="E90" s="1689"/>
      <c r="F90" s="229"/>
      <c r="G90" s="229"/>
      <c r="H90" s="229"/>
      <c r="I90" s="229"/>
    </row>
    <row r="91" spans="2:9" ht="13" hidden="1">
      <c r="B91" s="1693">
        <v>19</v>
      </c>
      <c r="C91" s="328">
        <v>0.05</v>
      </c>
      <c r="D91" s="1694"/>
      <c r="E91" s="1689"/>
      <c r="F91" s="229"/>
      <c r="G91" s="229"/>
      <c r="H91" s="229"/>
      <c r="I91" s="229"/>
    </row>
    <row r="92" spans="2:9" ht="13" hidden="1">
      <c r="B92" s="1693">
        <v>20</v>
      </c>
      <c r="C92" s="328">
        <v>0.05</v>
      </c>
      <c r="D92" s="328">
        <v>0.09</v>
      </c>
      <c r="E92" s="1689"/>
      <c r="F92" s="229"/>
      <c r="G92" s="229"/>
      <c r="H92" s="229"/>
      <c r="I92" s="229"/>
    </row>
    <row r="93" spans="2:9" ht="13" hidden="1">
      <c r="B93" s="1693">
        <v>21</v>
      </c>
      <c r="C93" s="328">
        <v>0.1</v>
      </c>
      <c r="D93" s="1694"/>
      <c r="E93" s="1689"/>
      <c r="F93" s="229"/>
      <c r="G93" s="229"/>
      <c r="H93" s="229"/>
      <c r="I93" s="229"/>
    </row>
    <row r="94" spans="2:9" ht="13" hidden="1">
      <c r="B94" s="1693">
        <v>22</v>
      </c>
      <c r="C94" s="328">
        <v>0.1</v>
      </c>
      <c r="D94" s="328">
        <v>0.09</v>
      </c>
      <c r="E94" s="1689"/>
      <c r="F94" s="229"/>
      <c r="G94" s="229"/>
      <c r="H94" s="229"/>
      <c r="I94" s="229"/>
    </row>
    <row r="95" spans="2:9" ht="13" hidden="1">
      <c r="B95" s="1693">
        <v>23</v>
      </c>
      <c r="C95" s="328">
        <v>0.12</v>
      </c>
      <c r="D95" s="1694"/>
      <c r="E95" s="1689"/>
      <c r="F95" s="229"/>
      <c r="G95" s="229"/>
      <c r="H95" s="229"/>
      <c r="I95" s="229"/>
    </row>
    <row r="96" spans="2:9" ht="13" hidden="1">
      <c r="B96" s="1693">
        <v>24</v>
      </c>
      <c r="C96" s="328">
        <v>0.12</v>
      </c>
      <c r="D96" s="328">
        <v>0.09</v>
      </c>
      <c r="E96" s="1689"/>
      <c r="F96" s="229"/>
      <c r="G96" s="229"/>
      <c r="H96" s="229"/>
      <c r="I96" s="229"/>
    </row>
    <row r="97" spans="2:9" ht="13" hidden="1">
      <c r="B97" s="1693">
        <v>25</v>
      </c>
      <c r="C97" s="328">
        <v>0.12</v>
      </c>
      <c r="D97" s="328">
        <v>0.2</v>
      </c>
      <c r="E97" s="1689"/>
      <c r="F97" s="229"/>
      <c r="G97" s="229"/>
      <c r="H97" s="229"/>
      <c r="I97" s="229"/>
    </row>
    <row r="98" spans="2:9" ht="13" hidden="1">
      <c r="B98" s="1693">
        <v>27</v>
      </c>
      <c r="C98" s="328">
        <v>0.12</v>
      </c>
      <c r="D98" s="328">
        <v>0.2</v>
      </c>
      <c r="E98" s="143">
        <v>0.23</v>
      </c>
      <c r="F98" s="229"/>
      <c r="G98" s="229"/>
      <c r="H98" s="229"/>
      <c r="I98" s="229"/>
    </row>
    <row r="99" spans="2:9" ht="13" hidden="1">
      <c r="B99" s="1693">
        <v>28</v>
      </c>
      <c r="C99" s="328">
        <v>0.15</v>
      </c>
      <c r="D99" s="1694"/>
      <c r="E99" s="1689"/>
      <c r="F99" s="229"/>
      <c r="G99" s="229"/>
      <c r="H99" s="229"/>
      <c r="I99" s="229"/>
    </row>
    <row r="100" spans="2:9" ht="13" hidden="1">
      <c r="B100" s="1693">
        <v>29</v>
      </c>
      <c r="C100" s="328">
        <v>0.05</v>
      </c>
      <c r="D100" s="328">
        <v>0.2</v>
      </c>
      <c r="E100" s="1689"/>
      <c r="F100" s="229"/>
      <c r="G100" s="229"/>
      <c r="H100" s="229"/>
      <c r="I100" s="229"/>
    </row>
    <row r="101" spans="2:9" ht="13" hidden="1">
      <c r="B101" s="1693">
        <v>30</v>
      </c>
      <c r="C101" s="328">
        <v>0.1</v>
      </c>
      <c r="D101" s="328">
        <v>0.15</v>
      </c>
      <c r="E101" s="1689"/>
      <c r="F101" s="229"/>
      <c r="G101" s="229"/>
      <c r="H101" s="229"/>
      <c r="I101" s="229"/>
    </row>
    <row r="102" spans="2:9" ht="13" hidden="1">
      <c r="B102" s="1693">
        <v>31</v>
      </c>
      <c r="C102" s="328">
        <v>0.1</v>
      </c>
      <c r="D102" s="328">
        <v>0.23</v>
      </c>
      <c r="E102" s="1689"/>
      <c r="F102" s="229"/>
      <c r="G102" s="229"/>
      <c r="H102" s="229"/>
      <c r="I102" s="229"/>
    </row>
    <row r="103" spans="2:9" ht="13" hidden="1">
      <c r="B103" s="1693">
        <v>38</v>
      </c>
      <c r="C103" s="190">
        <v>0.15</v>
      </c>
      <c r="D103" s="328">
        <v>0.26</v>
      </c>
      <c r="E103" s="1689"/>
    </row>
    <row r="104" spans="2:9" ht="13" hidden="1">
      <c r="B104" s="1693">
        <v>39</v>
      </c>
      <c r="C104" s="847">
        <v>0.12</v>
      </c>
      <c r="D104" s="328">
        <v>0.26</v>
      </c>
      <c r="E104" s="1689"/>
    </row>
    <row r="105" spans="2:9" ht="13" hidden="1">
      <c r="B105" s="1693">
        <v>40</v>
      </c>
      <c r="C105" s="862">
        <v>0.1</v>
      </c>
      <c r="D105" s="328">
        <v>0.26</v>
      </c>
      <c r="E105" s="1689"/>
    </row>
    <row r="106" spans="2:9" ht="13" hidden="1">
      <c r="B106" s="1693">
        <v>41</v>
      </c>
      <c r="C106" s="850">
        <v>0.05</v>
      </c>
      <c r="D106" s="328">
        <v>0.26</v>
      </c>
      <c r="E106" s="1689"/>
    </row>
    <row r="107" spans="2:9" ht="13" hidden="1">
      <c r="B107" s="1693">
        <v>42</v>
      </c>
      <c r="C107" s="1686" t="s">
        <v>208</v>
      </c>
      <c r="D107" s="328">
        <v>0.26</v>
      </c>
      <c r="E107" s="1695"/>
    </row>
    <row r="108" spans="2:9" ht="13" hidden="1">
      <c r="B108" s="1693">
        <v>43</v>
      </c>
      <c r="C108" s="1696">
        <v>0.08</v>
      </c>
      <c r="D108" s="970">
        <v>0.09</v>
      </c>
      <c r="E108" s="1697"/>
    </row>
    <row r="109" spans="2:9" ht="13" hidden="1">
      <c r="B109" s="1693">
        <v>44</v>
      </c>
      <c r="C109" s="1696">
        <v>0.08</v>
      </c>
      <c r="D109" s="970">
        <v>0.09</v>
      </c>
      <c r="E109" s="1258">
        <v>0.23</v>
      </c>
    </row>
    <row r="110" spans="2:9" ht="13" hidden="1">
      <c r="B110" s="1693">
        <v>45</v>
      </c>
      <c r="C110" s="1696">
        <v>0.08</v>
      </c>
      <c r="D110" s="970">
        <v>0.2</v>
      </c>
      <c r="E110" s="1697"/>
    </row>
    <row r="111" spans="2:9" ht="13" hidden="1">
      <c r="B111" s="1693">
        <v>46</v>
      </c>
      <c r="C111" s="1696">
        <v>0.08</v>
      </c>
      <c r="D111" s="970">
        <v>0.2</v>
      </c>
      <c r="E111" s="1258">
        <v>0.23</v>
      </c>
    </row>
    <row r="112" spans="2:9" ht="13" hidden="1">
      <c r="B112" s="1693">
        <v>47</v>
      </c>
      <c r="C112" s="1696">
        <v>0.08</v>
      </c>
      <c r="D112" s="970">
        <v>0.23</v>
      </c>
      <c r="E112" s="1697"/>
    </row>
    <row r="113" spans="2:5" ht="13" hidden="1">
      <c r="B113" s="1693">
        <v>48</v>
      </c>
      <c r="C113" s="1696">
        <v>0.08</v>
      </c>
      <c r="D113" s="970">
        <v>0.12</v>
      </c>
      <c r="E113" s="1697"/>
    </row>
    <row r="114" spans="2:5" ht="13" hidden="1">
      <c r="B114" s="1693">
        <v>49</v>
      </c>
      <c r="C114" s="1696">
        <v>0.08</v>
      </c>
      <c r="D114" s="970">
        <v>0.15</v>
      </c>
      <c r="E114" s="1697"/>
    </row>
    <row r="115" spans="2:5" ht="13" hidden="1">
      <c r="B115" s="1698">
        <v>50</v>
      </c>
      <c r="C115" s="1699">
        <v>0.08</v>
      </c>
      <c r="D115" s="1700">
        <v>0.26</v>
      </c>
      <c r="E115" s="478"/>
    </row>
    <row r="116" spans="2:5" ht="13" hidden="1">
      <c r="B116" s="1701">
        <v>51</v>
      </c>
      <c r="C116" s="1702">
        <v>0.2</v>
      </c>
      <c r="D116" s="1703">
        <v>0.09</v>
      </c>
      <c r="E116" s="1704"/>
    </row>
    <row r="117" spans="2:5" ht="13" hidden="1"/>
    <row r="118" spans="2:5" ht="13" hidden="1"/>
    <row r="119" spans="2:5" ht="13" hidden="1"/>
    <row r="120" spans="2:5" ht="13" hidden="1"/>
    <row r="121" spans="2:5" ht="13" hidden="1"/>
    <row r="122" spans="2:5" ht="13" hidden="1"/>
    <row r="123" spans="2:5" ht="13" hidden="1"/>
    <row r="124" spans="2:5" ht="13" hidden="1"/>
    <row r="125" spans="2:5" ht="13" hidden="1"/>
    <row r="126" spans="2:5" ht="13" hidden="1"/>
    <row r="127" spans="2:5" ht="13" hidden="1"/>
    <row r="128" spans="2:5" ht="32" hidden="1">
      <c r="B128" s="1705" t="s">
        <v>20</v>
      </c>
      <c r="C128" s="1705" t="s">
        <v>1598</v>
      </c>
      <c r="D128" s="1705" t="s">
        <v>1599</v>
      </c>
    </row>
    <row r="129" spans="2:4" ht="13" hidden="1">
      <c r="B129" s="324">
        <v>52</v>
      </c>
      <c r="C129" s="137">
        <v>0.15</v>
      </c>
      <c r="D129" s="137">
        <v>0.17</v>
      </c>
    </row>
    <row r="130" spans="2:4" ht="13" hidden="1">
      <c r="B130" s="324">
        <v>53</v>
      </c>
      <c r="C130" s="137">
        <v>0.15</v>
      </c>
      <c r="D130" s="137">
        <v>0.14000000000000001</v>
      </c>
    </row>
    <row r="131" spans="2:4" ht="13" hidden="1">
      <c r="B131" s="324">
        <v>54</v>
      </c>
      <c r="C131" s="137">
        <v>0.15</v>
      </c>
      <c r="D131" s="137">
        <v>0.11</v>
      </c>
    </row>
    <row r="132" spans="2:4" ht="13" hidden="1">
      <c r="B132" s="324">
        <v>55</v>
      </c>
      <c r="C132" s="137">
        <v>0.15</v>
      </c>
      <c r="D132" s="137">
        <v>0.05</v>
      </c>
    </row>
    <row r="133" spans="2:4" ht="13" hidden="1">
      <c r="B133" s="324">
        <v>56</v>
      </c>
      <c r="C133" s="137">
        <v>0.12</v>
      </c>
      <c r="D133" s="137">
        <v>0.17</v>
      </c>
    </row>
    <row r="134" spans="2:4" ht="13" hidden="1">
      <c r="B134" s="324">
        <v>57</v>
      </c>
      <c r="C134" s="137">
        <v>0.12</v>
      </c>
      <c r="D134" s="137">
        <v>0.14000000000000001</v>
      </c>
    </row>
    <row r="135" spans="2:4" ht="13" hidden="1">
      <c r="B135" s="324">
        <v>58</v>
      </c>
      <c r="C135" s="137">
        <v>0.12</v>
      </c>
      <c r="D135" s="137">
        <v>0.11</v>
      </c>
    </row>
    <row r="136" spans="2:4" ht="13" hidden="1">
      <c r="B136" s="324">
        <v>59</v>
      </c>
      <c r="C136" s="137">
        <v>0.12</v>
      </c>
      <c r="D136" s="137">
        <v>0.05</v>
      </c>
    </row>
    <row r="137" spans="2:4" ht="13" hidden="1">
      <c r="B137" s="324">
        <v>60</v>
      </c>
      <c r="C137" s="137">
        <v>0.1</v>
      </c>
      <c r="D137" s="137">
        <v>0.17</v>
      </c>
    </row>
    <row r="138" spans="2:4" ht="13" hidden="1">
      <c r="B138" s="324">
        <v>61</v>
      </c>
      <c r="C138" s="137">
        <v>0.1</v>
      </c>
      <c r="D138" s="137">
        <v>0.14000000000000001</v>
      </c>
    </row>
    <row r="139" spans="2:4" ht="13" hidden="1">
      <c r="B139" s="324">
        <v>62</v>
      </c>
      <c r="C139" s="137">
        <v>0.1</v>
      </c>
      <c r="D139" s="137">
        <v>0.11</v>
      </c>
    </row>
    <row r="140" spans="2:4" ht="13" hidden="1">
      <c r="B140" s="324">
        <v>63</v>
      </c>
      <c r="C140" s="137">
        <v>0.1</v>
      </c>
      <c r="D140" s="137">
        <v>0.05</v>
      </c>
    </row>
    <row r="141" spans="2:4" ht="13" hidden="1">
      <c r="B141" s="324">
        <v>64</v>
      </c>
      <c r="C141" s="137">
        <v>0.05</v>
      </c>
      <c r="D141" s="137">
        <v>0.17</v>
      </c>
    </row>
    <row r="142" spans="2:4" ht="13" hidden="1">
      <c r="B142" s="324">
        <v>65</v>
      </c>
      <c r="C142" s="137">
        <v>0.05</v>
      </c>
      <c r="D142" s="137">
        <v>0.14000000000000001</v>
      </c>
    </row>
    <row r="143" spans="2:4" ht="13" hidden="1">
      <c r="B143" s="324">
        <v>66</v>
      </c>
      <c r="C143" s="137">
        <v>0.05</v>
      </c>
      <c r="D143" s="137">
        <v>0.11</v>
      </c>
    </row>
    <row r="144" spans="2:4" ht="13" hidden="1">
      <c r="B144" s="324">
        <v>67</v>
      </c>
      <c r="C144" s="137">
        <v>0.05</v>
      </c>
      <c r="D144" s="137">
        <v>0.05</v>
      </c>
    </row>
    <row r="145" spans="2:10" ht="13" hidden="1">
      <c r="B145" s="324">
        <v>68</v>
      </c>
      <c r="C145" s="324" t="s">
        <v>1606</v>
      </c>
      <c r="D145" s="137">
        <v>0.17</v>
      </c>
    </row>
    <row r="146" spans="2:10" ht="13" hidden="1">
      <c r="B146" s="324">
        <v>69</v>
      </c>
      <c r="C146" s="324" t="s">
        <v>1606</v>
      </c>
      <c r="D146" s="137">
        <v>0.14000000000000001</v>
      </c>
    </row>
    <row r="147" spans="2:10" ht="13" hidden="1">
      <c r="B147" s="324">
        <v>70</v>
      </c>
      <c r="C147" s="324" t="s">
        <v>1606</v>
      </c>
      <c r="D147" s="137">
        <v>0.11</v>
      </c>
    </row>
    <row r="148" spans="2:10" ht="13" hidden="1">
      <c r="B148" s="324">
        <v>71</v>
      </c>
      <c r="C148" s="324" t="s">
        <v>1606</v>
      </c>
      <c r="D148" s="137">
        <v>0.05</v>
      </c>
    </row>
    <row r="149" spans="2:10" ht="13" hidden="1">
      <c r="B149" s="324">
        <v>51</v>
      </c>
      <c r="C149" s="1706">
        <v>0.2</v>
      </c>
      <c r="D149" s="137">
        <v>0.05</v>
      </c>
    </row>
    <row r="150" spans="2:10" ht="13" hidden="1"/>
    <row r="151" spans="2:10" ht="13" hidden="1"/>
    <row r="152" spans="2:10" ht="13" hidden="1"/>
    <row r="153" spans="2:10" ht="13" hidden="1"/>
    <row r="154" spans="2:10" ht="32" hidden="1">
      <c r="B154" s="1670" t="s">
        <v>20</v>
      </c>
      <c r="C154" s="1671" t="s">
        <v>1598</v>
      </c>
      <c r="D154" s="1671" t="s">
        <v>1599</v>
      </c>
      <c r="E154" s="1672" t="s">
        <v>1600</v>
      </c>
      <c r="G154" s="1707" t="s">
        <v>20</v>
      </c>
      <c r="H154" s="1707" t="s">
        <v>1598</v>
      </c>
      <c r="I154" s="1707" t="s">
        <v>1599</v>
      </c>
      <c r="J154" s="1708"/>
    </row>
    <row r="155" spans="2:10" ht="15" hidden="1">
      <c r="B155" s="1674">
        <v>1</v>
      </c>
      <c r="C155" s="1675" t="s">
        <v>208</v>
      </c>
      <c r="D155" s="1676">
        <v>0.09</v>
      </c>
      <c r="E155" s="1677"/>
      <c r="G155" s="324">
        <v>71</v>
      </c>
      <c r="H155" s="324" t="s">
        <v>1606</v>
      </c>
      <c r="I155" s="137">
        <v>0.05</v>
      </c>
    </row>
    <row r="156" spans="2:10" ht="15" hidden="1">
      <c r="B156" s="1681">
        <v>2</v>
      </c>
      <c r="C156" s="1682">
        <v>0.05</v>
      </c>
      <c r="D156" s="1682">
        <v>0.09</v>
      </c>
      <c r="E156" s="1683">
        <v>0.23</v>
      </c>
      <c r="G156" s="324">
        <v>67</v>
      </c>
      <c r="H156" s="137">
        <v>0.05</v>
      </c>
      <c r="I156" s="137">
        <v>0.05</v>
      </c>
    </row>
    <row r="157" spans="2:10" ht="15" hidden="1">
      <c r="B157" s="1681">
        <v>3</v>
      </c>
      <c r="C157" s="1686" t="s">
        <v>208</v>
      </c>
      <c r="D157" s="1682">
        <v>0.2</v>
      </c>
      <c r="E157" s="1683">
        <v>0.23</v>
      </c>
      <c r="G157" s="324">
        <v>70</v>
      </c>
      <c r="H157" s="324" t="s">
        <v>1606</v>
      </c>
      <c r="I157" s="137">
        <v>0.11</v>
      </c>
    </row>
    <row r="158" spans="2:10" ht="15" hidden="1">
      <c r="B158" s="1681">
        <v>4</v>
      </c>
      <c r="C158" s="1686" t="s">
        <v>208</v>
      </c>
      <c r="D158" s="1682">
        <v>0.2</v>
      </c>
      <c r="E158" s="1689"/>
      <c r="G158" s="324">
        <v>70</v>
      </c>
      <c r="H158" s="324" t="s">
        <v>1606</v>
      </c>
      <c r="I158" s="137">
        <v>0.11</v>
      </c>
    </row>
    <row r="159" spans="2:10" ht="15" hidden="1">
      <c r="B159" s="1681">
        <v>5</v>
      </c>
      <c r="C159" s="1682">
        <v>0.05</v>
      </c>
      <c r="D159" s="1709">
        <v>0.12</v>
      </c>
      <c r="E159" s="1689"/>
      <c r="G159" s="324">
        <v>67</v>
      </c>
      <c r="H159" s="137">
        <v>0.05</v>
      </c>
      <c r="I159" s="137">
        <v>0.05</v>
      </c>
    </row>
    <row r="160" spans="2:10" ht="15" hidden="1">
      <c r="B160" s="1681">
        <v>6</v>
      </c>
      <c r="C160" s="1686" t="s">
        <v>208</v>
      </c>
      <c r="D160" s="1709">
        <v>0.15</v>
      </c>
      <c r="E160" s="1689"/>
      <c r="G160" s="324">
        <v>70</v>
      </c>
      <c r="H160" s="324" t="s">
        <v>1606</v>
      </c>
      <c r="I160" s="137">
        <v>0.11</v>
      </c>
    </row>
    <row r="161" spans="2:9" ht="15" hidden="1">
      <c r="B161" s="1681">
        <v>7</v>
      </c>
      <c r="C161" s="1682">
        <v>0.1</v>
      </c>
      <c r="D161" s="1682">
        <v>0.2</v>
      </c>
      <c r="E161" s="1689"/>
      <c r="G161" s="324">
        <v>62</v>
      </c>
      <c r="H161" s="137">
        <v>0.1</v>
      </c>
      <c r="I161" s="137">
        <v>0.11</v>
      </c>
    </row>
    <row r="162" spans="2:9" ht="15" hidden="1">
      <c r="B162" s="1681">
        <v>8</v>
      </c>
      <c r="C162" s="1682">
        <v>0.1</v>
      </c>
      <c r="D162" s="1682">
        <v>0.2</v>
      </c>
      <c r="E162" s="1683">
        <v>0.23</v>
      </c>
      <c r="G162" s="324">
        <v>62</v>
      </c>
      <c r="H162" s="137">
        <v>0.1</v>
      </c>
      <c r="I162" s="137">
        <v>0.11</v>
      </c>
    </row>
    <row r="163" spans="2:9" ht="15" hidden="1">
      <c r="B163" s="1681">
        <v>9</v>
      </c>
      <c r="C163" s="1682">
        <v>0.12</v>
      </c>
      <c r="D163" s="1682">
        <v>0.23</v>
      </c>
      <c r="E163" s="1689"/>
      <c r="G163" s="324">
        <v>57</v>
      </c>
      <c r="H163" s="137">
        <v>0.12</v>
      </c>
      <c r="I163" s="137">
        <v>0.14000000000000001</v>
      </c>
    </row>
    <row r="164" spans="2:9" ht="15" hidden="1">
      <c r="B164" s="1681">
        <v>10</v>
      </c>
      <c r="C164" s="1682">
        <v>0.15</v>
      </c>
      <c r="D164" s="1682">
        <v>0.23</v>
      </c>
      <c r="E164" s="1689"/>
      <c r="G164" s="324">
        <v>53</v>
      </c>
      <c r="H164" s="137">
        <v>0.15</v>
      </c>
      <c r="I164" s="137">
        <v>0.14000000000000001</v>
      </c>
    </row>
    <row r="165" spans="2:9" ht="15" hidden="1">
      <c r="B165" s="1681">
        <v>11</v>
      </c>
      <c r="C165" s="1682">
        <v>0.15</v>
      </c>
      <c r="D165" s="1682">
        <v>0.2</v>
      </c>
      <c r="E165" s="1689"/>
      <c r="G165" s="324">
        <v>54</v>
      </c>
      <c r="H165" s="137">
        <v>0.15</v>
      </c>
      <c r="I165" s="137">
        <v>0.11</v>
      </c>
    </row>
    <row r="166" spans="2:9" ht="15" hidden="1">
      <c r="B166" s="1681">
        <v>12</v>
      </c>
      <c r="C166" s="1682">
        <v>0.15</v>
      </c>
      <c r="D166" s="1682">
        <v>0.09</v>
      </c>
      <c r="E166" s="1689"/>
      <c r="G166" s="324">
        <v>55</v>
      </c>
      <c r="H166" s="137">
        <v>0.15</v>
      </c>
      <c r="I166" s="137">
        <v>0.05</v>
      </c>
    </row>
    <row r="167" spans="2:9" ht="15" hidden="1">
      <c r="B167" s="1681">
        <v>14</v>
      </c>
      <c r="C167" s="1682">
        <v>0.15</v>
      </c>
      <c r="D167" s="1682">
        <v>0.2</v>
      </c>
      <c r="E167" s="1683">
        <v>0.23</v>
      </c>
      <c r="G167" s="324">
        <v>54</v>
      </c>
      <c r="H167" s="137">
        <v>0.15</v>
      </c>
      <c r="I167" s="137">
        <v>0.11</v>
      </c>
    </row>
    <row r="168" spans="2:9" ht="13" hidden="1">
      <c r="B168" s="1693">
        <v>17</v>
      </c>
      <c r="C168" s="1686" t="s">
        <v>208</v>
      </c>
      <c r="D168" s="1650">
        <v>0.12</v>
      </c>
      <c r="E168" s="1689"/>
      <c r="G168" s="324">
        <v>71</v>
      </c>
      <c r="H168" s="324" t="s">
        <v>1606</v>
      </c>
      <c r="I168" s="137">
        <v>0.05</v>
      </c>
    </row>
    <row r="169" spans="2:9" ht="13" hidden="1">
      <c r="B169" s="1693">
        <v>18</v>
      </c>
      <c r="C169" s="1686" t="s">
        <v>208</v>
      </c>
      <c r="D169" s="328">
        <v>0.23</v>
      </c>
      <c r="E169" s="1689"/>
      <c r="G169" s="324">
        <v>69</v>
      </c>
      <c r="H169" s="324" t="s">
        <v>1606</v>
      </c>
      <c r="I169" s="137">
        <v>0.14000000000000001</v>
      </c>
    </row>
    <row r="170" spans="2:9" ht="13" hidden="1">
      <c r="B170" s="1693">
        <v>19</v>
      </c>
      <c r="C170" s="328">
        <v>0.05</v>
      </c>
      <c r="D170" s="1694"/>
      <c r="E170" s="1689"/>
      <c r="G170" s="1693">
        <v>19</v>
      </c>
      <c r="H170" s="328">
        <v>0.05</v>
      </c>
      <c r="I170" s="1694"/>
    </row>
    <row r="171" spans="2:9" ht="13" hidden="1">
      <c r="B171" s="1693">
        <v>20</v>
      </c>
      <c r="C171" s="328">
        <v>0.05</v>
      </c>
      <c r="D171" s="328">
        <v>0.09</v>
      </c>
      <c r="E171" s="1689"/>
      <c r="G171" s="324">
        <v>67</v>
      </c>
      <c r="H171" s="137">
        <v>0.05</v>
      </c>
      <c r="I171" s="137">
        <v>0.05</v>
      </c>
    </row>
    <row r="172" spans="2:9" ht="13" hidden="1">
      <c r="B172" s="1693">
        <v>21</v>
      </c>
      <c r="C172" s="328">
        <v>0.1</v>
      </c>
      <c r="D172" s="1694"/>
      <c r="E172" s="1689"/>
      <c r="G172" s="1693">
        <v>21</v>
      </c>
      <c r="H172" s="328">
        <v>0.1</v>
      </c>
      <c r="I172" s="1694"/>
    </row>
    <row r="173" spans="2:9" ht="13" hidden="1">
      <c r="B173" s="1693">
        <v>22</v>
      </c>
      <c r="C173" s="328">
        <v>0.1</v>
      </c>
      <c r="D173" s="328">
        <v>0.09</v>
      </c>
      <c r="E173" s="1689"/>
      <c r="G173" s="324">
        <v>63</v>
      </c>
      <c r="H173" s="137">
        <v>0.1</v>
      </c>
      <c r="I173" s="137">
        <v>0.05</v>
      </c>
    </row>
    <row r="174" spans="2:9" ht="13" hidden="1">
      <c r="B174" s="1693">
        <v>23</v>
      </c>
      <c r="C174" s="328">
        <v>0.12</v>
      </c>
      <c r="D174" s="1694"/>
      <c r="E174" s="1689"/>
      <c r="G174" s="1693">
        <v>23</v>
      </c>
      <c r="H174" s="328">
        <v>0.12</v>
      </c>
      <c r="I174" s="1694"/>
    </row>
    <row r="175" spans="2:9" ht="13" hidden="1">
      <c r="B175" s="1693">
        <v>24</v>
      </c>
      <c r="C175" s="328">
        <v>0.12</v>
      </c>
      <c r="D175" s="328">
        <v>0.09</v>
      </c>
      <c r="E175" s="1689"/>
      <c r="G175" s="324">
        <v>59</v>
      </c>
      <c r="H175" s="137">
        <v>0.12</v>
      </c>
      <c r="I175" s="137">
        <v>0.05</v>
      </c>
    </row>
    <row r="176" spans="2:9" ht="13" hidden="1">
      <c r="B176" s="1693">
        <v>25</v>
      </c>
      <c r="C176" s="328">
        <v>0.12</v>
      </c>
      <c r="D176" s="328">
        <v>0.2</v>
      </c>
      <c r="E176" s="1689"/>
      <c r="G176" s="324">
        <v>58</v>
      </c>
      <c r="H176" s="137">
        <v>0.12</v>
      </c>
      <c r="I176" s="137">
        <v>0.11</v>
      </c>
    </row>
    <row r="177" spans="2:9" ht="13" hidden="1">
      <c r="B177" s="1693">
        <v>27</v>
      </c>
      <c r="C177" s="328">
        <v>0.12</v>
      </c>
      <c r="D177" s="328">
        <v>0.2</v>
      </c>
      <c r="E177" s="143">
        <v>0.23</v>
      </c>
      <c r="G177" s="324">
        <v>58</v>
      </c>
      <c r="H177" s="137">
        <v>0.12</v>
      </c>
      <c r="I177" s="137">
        <v>0.11</v>
      </c>
    </row>
    <row r="178" spans="2:9" ht="13" hidden="1">
      <c r="B178" s="1693">
        <v>28</v>
      </c>
      <c r="C178" s="328">
        <v>0.15</v>
      </c>
      <c r="D178" s="1694"/>
      <c r="E178" s="1689"/>
      <c r="G178" s="1693">
        <v>28</v>
      </c>
      <c r="H178" s="328">
        <v>0.15</v>
      </c>
      <c r="I178" s="1694"/>
    </row>
    <row r="179" spans="2:9" ht="13" hidden="1">
      <c r="B179" s="1693">
        <v>29</v>
      </c>
      <c r="C179" s="328">
        <v>0.05</v>
      </c>
      <c r="D179" s="328">
        <v>0.2</v>
      </c>
      <c r="E179" s="1689"/>
      <c r="G179" s="324">
        <v>66</v>
      </c>
      <c r="H179" s="137">
        <v>0.05</v>
      </c>
      <c r="I179" s="137">
        <v>0.11</v>
      </c>
    </row>
    <row r="180" spans="2:9" ht="13" hidden="1">
      <c r="B180" s="1693">
        <v>30</v>
      </c>
      <c r="C180" s="328">
        <v>0.1</v>
      </c>
      <c r="D180" s="1650">
        <v>0.15</v>
      </c>
      <c r="E180" s="1689"/>
      <c r="G180" s="324">
        <v>62</v>
      </c>
      <c r="H180" s="137">
        <v>0.1</v>
      </c>
      <c r="I180" s="137">
        <v>0.11</v>
      </c>
    </row>
    <row r="181" spans="2:9" ht="13" hidden="1">
      <c r="B181" s="1693">
        <v>31</v>
      </c>
      <c r="C181" s="328">
        <v>0.1</v>
      </c>
      <c r="D181" s="328">
        <v>0.23</v>
      </c>
      <c r="E181" s="1689"/>
      <c r="G181" s="324">
        <v>61</v>
      </c>
      <c r="H181" s="137">
        <v>0.1</v>
      </c>
      <c r="I181" s="137">
        <v>0.14000000000000001</v>
      </c>
    </row>
    <row r="182" spans="2:9" ht="13" hidden="1">
      <c r="B182" s="1693">
        <v>38</v>
      </c>
      <c r="C182" s="190">
        <v>0.15</v>
      </c>
      <c r="D182" s="328">
        <v>0.26</v>
      </c>
      <c r="E182" s="1689"/>
      <c r="G182" s="324">
        <v>52</v>
      </c>
      <c r="H182" s="137">
        <v>0.15</v>
      </c>
      <c r="I182" s="137">
        <v>0.17</v>
      </c>
    </row>
    <row r="183" spans="2:9" ht="13" hidden="1">
      <c r="B183" s="1693">
        <v>39</v>
      </c>
      <c r="C183" s="847">
        <v>0.12</v>
      </c>
      <c r="D183" s="328">
        <v>0.26</v>
      </c>
      <c r="E183" s="1689"/>
      <c r="G183" s="324">
        <v>56</v>
      </c>
      <c r="H183" s="137">
        <v>0.12</v>
      </c>
      <c r="I183" s="137">
        <v>0.17</v>
      </c>
    </row>
    <row r="184" spans="2:9" ht="13" hidden="1">
      <c r="B184" s="1693">
        <v>40</v>
      </c>
      <c r="C184" s="862">
        <v>0.1</v>
      </c>
      <c r="D184" s="328">
        <v>0.26</v>
      </c>
      <c r="E184" s="1689"/>
      <c r="G184" s="324">
        <v>60</v>
      </c>
      <c r="H184" s="137">
        <v>0.1</v>
      </c>
      <c r="I184" s="137">
        <v>0.17</v>
      </c>
    </row>
    <row r="185" spans="2:9" ht="13" hidden="1">
      <c r="B185" s="1693">
        <v>41</v>
      </c>
      <c r="C185" s="850">
        <v>0.05</v>
      </c>
      <c r="D185" s="328">
        <v>0.26</v>
      </c>
      <c r="E185" s="1689"/>
      <c r="G185" s="324">
        <v>64</v>
      </c>
      <c r="H185" s="137">
        <v>0.05</v>
      </c>
      <c r="I185" s="137">
        <v>0.17</v>
      </c>
    </row>
    <row r="186" spans="2:9" ht="13" hidden="1">
      <c r="B186" s="1693">
        <v>42</v>
      </c>
      <c r="C186" s="1686" t="s">
        <v>208</v>
      </c>
      <c r="D186" s="328">
        <v>0.26</v>
      </c>
      <c r="E186" s="1695"/>
      <c r="G186" s="324">
        <v>68</v>
      </c>
      <c r="H186" s="324" t="s">
        <v>1606</v>
      </c>
      <c r="I186" s="137">
        <v>0.17</v>
      </c>
    </row>
    <row r="187" spans="2:9" ht="13" hidden="1">
      <c r="B187" s="1693">
        <v>43</v>
      </c>
      <c r="C187" s="1696">
        <v>0.08</v>
      </c>
      <c r="D187" s="970">
        <v>0.09</v>
      </c>
      <c r="E187" s="1697"/>
    </row>
    <row r="188" spans="2:9" ht="13" hidden="1">
      <c r="B188" s="1693">
        <v>44</v>
      </c>
      <c r="C188" s="1696">
        <v>0.08</v>
      </c>
      <c r="D188" s="970">
        <v>0.09</v>
      </c>
      <c r="E188" s="1258">
        <v>0.23</v>
      </c>
    </row>
    <row r="189" spans="2:9" ht="13" hidden="1">
      <c r="B189" s="1693">
        <v>45</v>
      </c>
      <c r="C189" s="1696">
        <v>0.08</v>
      </c>
      <c r="D189" s="970">
        <v>0.2</v>
      </c>
      <c r="E189" s="1697"/>
    </row>
    <row r="190" spans="2:9" ht="13" hidden="1">
      <c r="B190" s="1693">
        <v>46</v>
      </c>
      <c r="C190" s="1696">
        <v>0.08</v>
      </c>
      <c r="D190" s="970">
        <v>0.2</v>
      </c>
      <c r="E190" s="1258">
        <v>0.23</v>
      </c>
    </row>
    <row r="191" spans="2:9" ht="13" hidden="1">
      <c r="B191" s="1693">
        <v>47</v>
      </c>
      <c r="C191" s="1696">
        <v>0.08</v>
      </c>
      <c r="D191" s="970">
        <v>0.23</v>
      </c>
      <c r="E191" s="1697"/>
    </row>
    <row r="192" spans="2:9" ht="13" hidden="1">
      <c r="B192" s="1693">
        <v>48</v>
      </c>
      <c r="C192" s="1696">
        <v>0.08</v>
      </c>
      <c r="D192" s="970">
        <v>0.12</v>
      </c>
      <c r="E192" s="1697"/>
    </row>
    <row r="193" spans="2:9" ht="13" hidden="1">
      <c r="B193" s="1693">
        <v>49</v>
      </c>
      <c r="C193" s="1696">
        <v>0.08</v>
      </c>
      <c r="D193" s="970">
        <v>0.15</v>
      </c>
      <c r="E193" s="1697"/>
    </row>
    <row r="194" spans="2:9" ht="13" hidden="1">
      <c r="B194" s="1698">
        <v>50</v>
      </c>
      <c r="C194" s="1699">
        <v>0.08</v>
      </c>
      <c r="D194" s="1700">
        <v>0.26</v>
      </c>
      <c r="E194" s="478"/>
    </row>
    <row r="195" spans="2:9" ht="13" hidden="1">
      <c r="B195" s="1701">
        <v>51</v>
      </c>
      <c r="C195" s="1702">
        <v>0.2</v>
      </c>
      <c r="D195" s="1703">
        <v>0.09</v>
      </c>
      <c r="E195" s="1704"/>
      <c r="G195" s="1701">
        <v>51</v>
      </c>
      <c r="H195" s="1702">
        <v>0.2</v>
      </c>
      <c r="I195" s="1703">
        <v>0.05</v>
      </c>
    </row>
    <row r="196" spans="2:9" ht="13" hidden="1">
      <c r="B196" s="324">
        <v>52</v>
      </c>
      <c r="C196" s="137">
        <v>0.15</v>
      </c>
      <c r="D196" s="137">
        <v>0.17</v>
      </c>
    </row>
    <row r="197" spans="2:9" ht="13" hidden="1">
      <c r="B197" s="324">
        <v>53</v>
      </c>
      <c r="C197" s="137">
        <v>0.15</v>
      </c>
      <c r="D197" s="137">
        <v>0.14000000000000001</v>
      </c>
    </row>
    <row r="198" spans="2:9" ht="13" hidden="1">
      <c r="B198" s="324">
        <v>54</v>
      </c>
      <c r="C198" s="137">
        <v>0.15</v>
      </c>
      <c r="D198" s="137">
        <v>0.11</v>
      </c>
    </row>
    <row r="199" spans="2:9" ht="13" hidden="1">
      <c r="B199" s="324">
        <v>55</v>
      </c>
      <c r="C199" s="137">
        <v>0.15</v>
      </c>
      <c r="D199" s="137">
        <v>0.05</v>
      </c>
    </row>
    <row r="200" spans="2:9" ht="13" hidden="1">
      <c r="B200" s="324">
        <v>56</v>
      </c>
      <c r="C200" s="137">
        <v>0.12</v>
      </c>
      <c r="D200" s="137">
        <v>0.17</v>
      </c>
    </row>
    <row r="201" spans="2:9" ht="13" hidden="1">
      <c r="B201" s="324">
        <v>57</v>
      </c>
      <c r="C201" s="137">
        <v>0.12</v>
      </c>
      <c r="D201" s="137">
        <v>0.14000000000000001</v>
      </c>
    </row>
    <row r="202" spans="2:9" ht="13" hidden="1">
      <c r="B202" s="324">
        <v>58</v>
      </c>
      <c r="C202" s="137">
        <v>0.12</v>
      </c>
      <c r="D202" s="137">
        <v>0.11</v>
      </c>
    </row>
    <row r="203" spans="2:9" ht="13" hidden="1">
      <c r="B203" s="324">
        <v>59</v>
      </c>
      <c r="C203" s="137">
        <v>0.12</v>
      </c>
      <c r="D203" s="137">
        <v>0.05</v>
      </c>
    </row>
    <row r="204" spans="2:9" ht="13" hidden="1">
      <c r="B204" s="324">
        <v>60</v>
      </c>
      <c r="C204" s="137">
        <v>0.1</v>
      </c>
      <c r="D204" s="137">
        <v>0.17</v>
      </c>
    </row>
    <row r="205" spans="2:9" ht="13" hidden="1">
      <c r="B205" s="324">
        <v>61</v>
      </c>
      <c r="C205" s="137">
        <v>0.1</v>
      </c>
      <c r="D205" s="137">
        <v>0.14000000000000001</v>
      </c>
    </row>
    <row r="206" spans="2:9" ht="13" hidden="1">
      <c r="B206" s="324">
        <v>62</v>
      </c>
      <c r="C206" s="137">
        <v>0.1</v>
      </c>
      <c r="D206" s="137">
        <v>0.11</v>
      </c>
    </row>
    <row r="207" spans="2:9" ht="13" hidden="1">
      <c r="B207" s="324">
        <v>63</v>
      </c>
      <c r="C207" s="137">
        <v>0.1</v>
      </c>
      <c r="D207" s="137">
        <v>0.05</v>
      </c>
    </row>
    <row r="208" spans="2:9" ht="13" hidden="1">
      <c r="B208" s="324">
        <v>64</v>
      </c>
      <c r="C208" s="137">
        <v>0.05</v>
      </c>
      <c r="D208" s="137">
        <v>0.17</v>
      </c>
    </row>
    <row r="209" spans="2:8" ht="13" hidden="1">
      <c r="B209" s="324">
        <v>65</v>
      </c>
      <c r="C209" s="137">
        <v>0.05</v>
      </c>
      <c r="D209" s="137">
        <v>0.14000000000000001</v>
      </c>
    </row>
    <row r="210" spans="2:8" ht="13" hidden="1">
      <c r="B210" s="324">
        <v>66</v>
      </c>
      <c r="C210" s="137">
        <v>0.05</v>
      </c>
      <c r="D210" s="137">
        <v>0.11</v>
      </c>
    </row>
    <row r="211" spans="2:8" ht="13" hidden="1">
      <c r="B211" s="324">
        <v>67</v>
      </c>
      <c r="C211" s="137">
        <v>0.05</v>
      </c>
      <c r="D211" s="137">
        <v>0.05</v>
      </c>
    </row>
    <row r="212" spans="2:8" ht="13" hidden="1">
      <c r="B212" s="324">
        <v>68</v>
      </c>
      <c r="C212" s="324" t="s">
        <v>1606</v>
      </c>
      <c r="D212" s="137">
        <v>0.17</v>
      </c>
    </row>
    <row r="213" spans="2:8" ht="13" hidden="1">
      <c r="B213" s="324">
        <v>69</v>
      </c>
      <c r="C213" s="324" t="s">
        <v>1606</v>
      </c>
      <c r="D213" s="137">
        <v>0.14000000000000001</v>
      </c>
    </row>
    <row r="214" spans="2:8" ht="13" hidden="1">
      <c r="B214" s="324">
        <v>70</v>
      </c>
      <c r="C214" s="324" t="s">
        <v>1606</v>
      </c>
      <c r="D214" s="137">
        <v>0.11</v>
      </c>
    </row>
    <row r="215" spans="2:8" ht="13" hidden="1">
      <c r="B215" s="324">
        <v>71</v>
      </c>
      <c r="C215" s="324" t="s">
        <v>1606</v>
      </c>
      <c r="D215" s="137">
        <v>0.05</v>
      </c>
    </row>
    <row r="216" spans="2:8" ht="13" hidden="1"/>
    <row r="218" spans="2:8" ht="16">
      <c r="B218" s="1871" t="s">
        <v>1603</v>
      </c>
      <c r="C218" s="1869"/>
      <c r="D218" s="1869"/>
      <c r="E218" s="1869"/>
      <c r="F218" s="1869"/>
      <c r="G218" s="1869"/>
      <c r="H218" s="1869"/>
    </row>
    <row r="219" spans="2:8" ht="13">
      <c r="B219" s="1710"/>
      <c r="C219" s="1710"/>
      <c r="D219" s="1710"/>
      <c r="E219" s="1710"/>
      <c r="F219" s="1710"/>
      <c r="G219" s="1710"/>
      <c r="H219" s="1710"/>
    </row>
    <row r="220" spans="2:8" ht="28">
      <c r="B220" s="1711" t="s">
        <v>20</v>
      </c>
      <c r="C220" s="1712" t="s">
        <v>1598</v>
      </c>
      <c r="D220" s="1713" t="s">
        <v>1599</v>
      </c>
      <c r="E220" s="1710"/>
      <c r="F220" s="1714" t="s">
        <v>250</v>
      </c>
      <c r="G220" s="1715" t="s">
        <v>1604</v>
      </c>
      <c r="H220" s="1716" t="s">
        <v>1605</v>
      </c>
    </row>
    <row r="221" spans="2:8" ht="13">
      <c r="B221" s="1717">
        <v>19</v>
      </c>
      <c r="C221" s="1718">
        <v>0.05</v>
      </c>
      <c r="D221" s="1719"/>
      <c r="E221" s="1710"/>
      <c r="F221" s="1720">
        <v>0.15</v>
      </c>
      <c r="G221" s="1721">
        <v>5000000</v>
      </c>
      <c r="H221" s="1722">
        <f>G221*2</f>
        <v>10000000</v>
      </c>
    </row>
    <row r="222" spans="2:8" ht="13">
      <c r="B222" s="1717">
        <v>21</v>
      </c>
      <c r="C222" s="1718">
        <v>0.1</v>
      </c>
      <c r="D222" s="1719"/>
      <c r="E222" s="1710"/>
      <c r="F222" s="1723">
        <v>0.12</v>
      </c>
      <c r="G222" s="1724">
        <v>2600000</v>
      </c>
      <c r="H222" s="1725">
        <v>5200000</v>
      </c>
    </row>
    <row r="223" spans="2:8" ht="13">
      <c r="B223" s="1717">
        <v>23</v>
      </c>
      <c r="C223" s="1718">
        <v>0.12</v>
      </c>
      <c r="D223" s="1719"/>
      <c r="E223" s="1710"/>
      <c r="F223" s="1726">
        <v>0.1</v>
      </c>
      <c r="G223" s="1727">
        <v>1500000</v>
      </c>
      <c r="H223" s="1728">
        <v>3000000</v>
      </c>
    </row>
    <row r="224" spans="2:8" ht="13">
      <c r="B224" s="1717">
        <v>28</v>
      </c>
      <c r="C224" s="1718">
        <v>0.15</v>
      </c>
      <c r="D224" s="1719"/>
      <c r="E224" s="1710"/>
      <c r="F224" s="1729">
        <v>0.05</v>
      </c>
      <c r="G224" s="1730">
        <v>1200000</v>
      </c>
      <c r="H224" s="1731">
        <v>2400000</v>
      </c>
    </row>
    <row r="225" spans="2:8" ht="13">
      <c r="B225" s="1717">
        <v>51</v>
      </c>
      <c r="C225" s="1732">
        <v>0.2</v>
      </c>
      <c r="D225" s="1733">
        <v>0.05</v>
      </c>
      <c r="E225" s="1710"/>
      <c r="F225" s="1710"/>
      <c r="G225" s="1710"/>
      <c r="H225" s="1710"/>
    </row>
    <row r="226" spans="2:8" ht="13">
      <c r="B226" s="1734">
        <v>52</v>
      </c>
      <c r="C226" s="1735">
        <v>0.15</v>
      </c>
      <c r="D226" s="1736">
        <v>0.17</v>
      </c>
      <c r="E226" s="1710"/>
      <c r="F226" s="1710"/>
      <c r="G226" s="1710"/>
      <c r="H226" s="1710"/>
    </row>
    <row r="227" spans="2:8" ht="13">
      <c r="B227" s="1734">
        <v>53</v>
      </c>
      <c r="C227" s="1735">
        <v>0.15</v>
      </c>
      <c r="D227" s="1736">
        <v>0.14000000000000001</v>
      </c>
      <c r="E227" s="1710"/>
      <c r="F227" s="1710"/>
      <c r="G227" s="1710"/>
      <c r="H227" s="1710"/>
    </row>
    <row r="228" spans="2:8" ht="13">
      <c r="B228" s="1734">
        <v>54</v>
      </c>
      <c r="C228" s="1735">
        <v>0.15</v>
      </c>
      <c r="D228" s="1736">
        <v>0.11</v>
      </c>
      <c r="E228" s="1710"/>
      <c r="F228" s="1710"/>
      <c r="G228" s="1710"/>
      <c r="H228" s="1710"/>
    </row>
    <row r="229" spans="2:8" ht="13">
      <c r="B229" s="1734">
        <v>55</v>
      </c>
      <c r="C229" s="1735">
        <v>0.15</v>
      </c>
      <c r="D229" s="1736">
        <v>0.05</v>
      </c>
      <c r="E229" s="1710"/>
      <c r="F229" s="1710"/>
      <c r="G229" s="1710"/>
      <c r="H229" s="1710"/>
    </row>
    <row r="230" spans="2:8" ht="13">
      <c r="B230" s="1734">
        <v>56</v>
      </c>
      <c r="C230" s="1735">
        <v>0.12</v>
      </c>
      <c r="D230" s="1736">
        <v>0.17</v>
      </c>
      <c r="E230" s="1710"/>
      <c r="F230" s="1710"/>
      <c r="G230" s="1710"/>
      <c r="H230" s="1710"/>
    </row>
    <row r="231" spans="2:8" ht="13">
      <c r="B231" s="1734">
        <v>57</v>
      </c>
      <c r="C231" s="1735">
        <v>0.12</v>
      </c>
      <c r="D231" s="1736">
        <v>0.14000000000000001</v>
      </c>
      <c r="E231" s="1710"/>
      <c r="F231" s="1710"/>
      <c r="G231" s="1710"/>
      <c r="H231" s="1710"/>
    </row>
    <row r="232" spans="2:8" ht="13">
      <c r="B232" s="1734">
        <v>58</v>
      </c>
      <c r="C232" s="1735">
        <v>0.12</v>
      </c>
      <c r="D232" s="1736">
        <v>0.11</v>
      </c>
      <c r="E232" s="1710"/>
      <c r="F232" s="1710"/>
      <c r="G232" s="1710"/>
      <c r="H232" s="1710"/>
    </row>
    <row r="233" spans="2:8" ht="13">
      <c r="B233" s="1734">
        <v>59</v>
      </c>
      <c r="C233" s="1735">
        <v>0.12</v>
      </c>
      <c r="D233" s="1736">
        <v>0.05</v>
      </c>
      <c r="E233" s="1710"/>
      <c r="F233" s="1710"/>
      <c r="G233" s="1710"/>
      <c r="H233" s="1710"/>
    </row>
    <row r="234" spans="2:8" ht="13">
      <c r="B234" s="1734">
        <v>60</v>
      </c>
      <c r="C234" s="1735">
        <v>0.1</v>
      </c>
      <c r="D234" s="1736">
        <v>0.17</v>
      </c>
      <c r="E234" s="1710"/>
      <c r="F234" s="1710"/>
      <c r="G234" s="1710"/>
      <c r="H234" s="1710"/>
    </row>
    <row r="235" spans="2:8" ht="13">
      <c r="B235" s="1734">
        <v>61</v>
      </c>
      <c r="C235" s="1735">
        <v>0.1</v>
      </c>
      <c r="D235" s="1736">
        <v>0.14000000000000001</v>
      </c>
      <c r="E235" s="1710"/>
      <c r="F235" s="1710"/>
      <c r="G235" s="1710"/>
      <c r="H235" s="1710"/>
    </row>
    <row r="236" spans="2:8" ht="13">
      <c r="B236" s="1734">
        <v>62</v>
      </c>
      <c r="C236" s="1735">
        <v>0.1</v>
      </c>
      <c r="D236" s="1736">
        <v>0.11</v>
      </c>
      <c r="E236" s="1710"/>
      <c r="F236" s="1710"/>
      <c r="G236" s="1710"/>
      <c r="H236" s="1710"/>
    </row>
    <row r="237" spans="2:8" ht="13">
      <c r="B237" s="1734">
        <v>63</v>
      </c>
      <c r="C237" s="1735">
        <v>0.1</v>
      </c>
      <c r="D237" s="1736">
        <v>0.05</v>
      </c>
      <c r="E237" s="1710"/>
      <c r="F237" s="1710"/>
      <c r="G237" s="1710"/>
      <c r="H237" s="1710"/>
    </row>
    <row r="238" spans="2:8" ht="13">
      <c r="B238" s="1734">
        <v>64</v>
      </c>
      <c r="C238" s="1735">
        <v>0.05</v>
      </c>
      <c r="D238" s="1736">
        <v>0.17</v>
      </c>
      <c r="E238" s="1710"/>
      <c r="F238" s="1710"/>
      <c r="G238" s="1710"/>
      <c r="H238" s="1710"/>
    </row>
    <row r="239" spans="2:8" ht="13">
      <c r="B239" s="1734">
        <v>65</v>
      </c>
      <c r="C239" s="1735">
        <v>0.05</v>
      </c>
      <c r="D239" s="1736">
        <v>0.14000000000000001</v>
      </c>
      <c r="E239" s="1710"/>
      <c r="F239" s="1710"/>
      <c r="G239" s="1710"/>
      <c r="H239" s="1710"/>
    </row>
    <row r="240" spans="2:8" ht="13">
      <c r="B240" s="1734">
        <v>66</v>
      </c>
      <c r="C240" s="1735">
        <v>0.05</v>
      </c>
      <c r="D240" s="1736">
        <v>0.11</v>
      </c>
      <c r="E240" s="1710"/>
      <c r="F240" s="1710"/>
      <c r="G240" s="1710"/>
      <c r="H240" s="1710"/>
    </row>
    <row r="241" spans="2:9" ht="13">
      <c r="B241" s="1734">
        <v>67</v>
      </c>
      <c r="C241" s="1735">
        <v>0.05</v>
      </c>
      <c r="D241" s="1736">
        <v>0.05</v>
      </c>
      <c r="E241" s="1710"/>
      <c r="F241" s="1710"/>
      <c r="G241" s="1710"/>
      <c r="H241" s="1710"/>
    </row>
    <row r="242" spans="2:9" ht="13">
      <c r="B242" s="1734">
        <v>68</v>
      </c>
      <c r="C242" s="974" t="s">
        <v>208</v>
      </c>
      <c r="D242" s="1736">
        <v>0.17</v>
      </c>
      <c r="E242" s="1710"/>
      <c r="F242" s="1710"/>
      <c r="G242" s="1710"/>
      <c r="H242" s="1710"/>
    </row>
    <row r="243" spans="2:9" ht="13">
      <c r="B243" s="1734">
        <v>69</v>
      </c>
      <c r="C243" s="974" t="s">
        <v>208</v>
      </c>
      <c r="D243" s="1736">
        <v>0.14000000000000001</v>
      </c>
      <c r="E243" s="1710"/>
      <c r="F243" s="1710"/>
      <c r="G243" s="1710"/>
      <c r="H243" s="1710"/>
    </row>
    <row r="244" spans="2:9" ht="13">
      <c r="B244" s="1734">
        <v>70</v>
      </c>
      <c r="C244" s="974" t="s">
        <v>208</v>
      </c>
      <c r="D244" s="1736">
        <v>0.11</v>
      </c>
      <c r="E244" s="1710"/>
      <c r="F244" s="1710"/>
      <c r="G244" s="1710"/>
      <c r="H244" s="1710"/>
    </row>
    <row r="245" spans="2:9" ht="13">
      <c r="B245" s="1737">
        <v>71</v>
      </c>
      <c r="C245" s="974" t="s">
        <v>208</v>
      </c>
      <c r="D245" s="1738">
        <v>0.05</v>
      </c>
      <c r="E245" s="1710"/>
      <c r="F245" s="1710"/>
      <c r="G245" s="1710"/>
      <c r="H245" s="1710"/>
    </row>
    <row r="246" spans="2:9" ht="13">
      <c r="B246" s="724">
        <v>72</v>
      </c>
      <c r="C246" s="993">
        <v>0.18</v>
      </c>
      <c r="D246" s="465">
        <v>0.14000000000000001</v>
      </c>
    </row>
    <row r="248" spans="2:9" ht="28" hidden="1">
      <c r="G248" s="1707" t="s">
        <v>20</v>
      </c>
      <c r="H248" s="1707" t="s">
        <v>1598</v>
      </c>
      <c r="I248" s="1707" t="s">
        <v>1599</v>
      </c>
    </row>
    <row r="249" spans="2:9" ht="13" hidden="1">
      <c r="G249" s="1686">
        <v>19</v>
      </c>
      <c r="H249" s="328">
        <v>0.05</v>
      </c>
      <c r="I249" s="1694"/>
    </row>
    <row r="250" spans="2:9" ht="13" hidden="1">
      <c r="G250" s="1686">
        <v>21</v>
      </c>
      <c r="H250" s="328">
        <v>0.1</v>
      </c>
      <c r="I250" s="1694"/>
    </row>
    <row r="251" spans="2:9" ht="13" hidden="1">
      <c r="G251" s="1686">
        <v>23</v>
      </c>
      <c r="H251" s="328">
        <v>0.12</v>
      </c>
      <c r="I251" s="1694"/>
    </row>
    <row r="252" spans="2:9" ht="13" hidden="1">
      <c r="G252" s="1686">
        <v>28</v>
      </c>
      <c r="H252" s="328">
        <v>0.15</v>
      </c>
      <c r="I252" s="1694"/>
    </row>
    <row r="253" spans="2:9" ht="13" hidden="1">
      <c r="G253" s="324">
        <v>52</v>
      </c>
      <c r="H253" s="137">
        <v>0.15</v>
      </c>
      <c r="I253" s="137">
        <v>0.17</v>
      </c>
    </row>
    <row r="254" spans="2:9" ht="13" hidden="1">
      <c r="G254" s="324">
        <v>53</v>
      </c>
      <c r="H254" s="137">
        <v>0.15</v>
      </c>
      <c r="I254" s="137">
        <v>0.14000000000000001</v>
      </c>
    </row>
    <row r="255" spans="2:9" ht="13" hidden="1">
      <c r="G255" s="324">
        <v>54</v>
      </c>
      <c r="H255" s="137">
        <v>0.15</v>
      </c>
      <c r="I255" s="137">
        <v>0.11</v>
      </c>
    </row>
    <row r="256" spans="2:9" ht="13" hidden="1">
      <c r="G256" s="324">
        <v>55</v>
      </c>
      <c r="H256" s="137">
        <v>0.15</v>
      </c>
      <c r="I256" s="137">
        <v>0.05</v>
      </c>
    </row>
    <row r="257" spans="7:9" ht="13" hidden="1">
      <c r="G257" s="324">
        <v>56</v>
      </c>
      <c r="H257" s="137">
        <v>0.12</v>
      </c>
      <c r="I257" s="137">
        <v>0.17</v>
      </c>
    </row>
    <row r="258" spans="7:9" ht="13" hidden="1">
      <c r="G258" s="324">
        <v>57</v>
      </c>
      <c r="H258" s="137">
        <v>0.12</v>
      </c>
      <c r="I258" s="137">
        <v>0.14000000000000001</v>
      </c>
    </row>
    <row r="259" spans="7:9" ht="13" hidden="1">
      <c r="G259" s="324">
        <v>58</v>
      </c>
      <c r="H259" s="137">
        <v>0.12</v>
      </c>
      <c r="I259" s="137">
        <v>0.11</v>
      </c>
    </row>
    <row r="260" spans="7:9" ht="13" hidden="1">
      <c r="G260" s="324">
        <v>59</v>
      </c>
      <c r="H260" s="137">
        <v>0.12</v>
      </c>
      <c r="I260" s="137">
        <v>0.05</v>
      </c>
    </row>
    <row r="261" spans="7:9" ht="13" hidden="1">
      <c r="G261" s="324">
        <v>60</v>
      </c>
      <c r="H261" s="137">
        <v>0.1</v>
      </c>
      <c r="I261" s="137">
        <v>0.17</v>
      </c>
    </row>
    <row r="262" spans="7:9" ht="13" hidden="1">
      <c r="G262" s="324">
        <v>61</v>
      </c>
      <c r="H262" s="137">
        <v>0.1</v>
      </c>
      <c r="I262" s="137">
        <v>0.14000000000000001</v>
      </c>
    </row>
    <row r="263" spans="7:9" ht="13" hidden="1">
      <c r="G263" s="324">
        <v>62</v>
      </c>
      <c r="H263" s="137">
        <v>0.1</v>
      </c>
      <c r="I263" s="137">
        <v>0.11</v>
      </c>
    </row>
    <row r="264" spans="7:9" ht="13" hidden="1">
      <c r="G264" s="324">
        <v>63</v>
      </c>
      <c r="H264" s="137">
        <v>0.1</v>
      </c>
      <c r="I264" s="137">
        <v>0.05</v>
      </c>
    </row>
    <row r="265" spans="7:9" ht="13" hidden="1">
      <c r="G265" s="324">
        <v>64</v>
      </c>
      <c r="H265" s="137">
        <v>0.05</v>
      </c>
      <c r="I265" s="137">
        <v>0.17</v>
      </c>
    </row>
    <row r="266" spans="7:9" ht="13" hidden="1">
      <c r="G266" s="852">
        <v>65</v>
      </c>
      <c r="H266" s="970">
        <v>0.05</v>
      </c>
      <c r="I266" s="137">
        <v>0.14000000000000001</v>
      </c>
    </row>
    <row r="267" spans="7:9" ht="13" hidden="1">
      <c r="G267" s="324">
        <v>66</v>
      </c>
      <c r="H267" s="137">
        <v>0.05</v>
      </c>
      <c r="I267" s="137">
        <v>0.11</v>
      </c>
    </row>
    <row r="268" spans="7:9" ht="13" hidden="1">
      <c r="G268" s="324">
        <v>67</v>
      </c>
      <c r="H268" s="137">
        <v>0.05</v>
      </c>
      <c r="I268" s="137">
        <v>0.05</v>
      </c>
    </row>
    <row r="269" spans="7:9" ht="13" hidden="1">
      <c r="G269" s="324">
        <v>68</v>
      </c>
      <c r="H269" s="324" t="s">
        <v>1606</v>
      </c>
      <c r="I269" s="137">
        <v>0.17</v>
      </c>
    </row>
    <row r="270" spans="7:9" ht="13" hidden="1">
      <c r="G270" s="324">
        <v>69</v>
      </c>
      <c r="H270" s="324" t="s">
        <v>1606</v>
      </c>
      <c r="I270" s="137">
        <v>0.14000000000000001</v>
      </c>
    </row>
    <row r="271" spans="7:9" ht="13" hidden="1">
      <c r="G271" s="324">
        <v>70</v>
      </c>
      <c r="H271" s="324" t="s">
        <v>1606</v>
      </c>
      <c r="I271" s="137">
        <v>0.11</v>
      </c>
    </row>
    <row r="272" spans="7:9" ht="13" hidden="1">
      <c r="G272" s="324">
        <v>71</v>
      </c>
      <c r="H272" s="324" t="s">
        <v>1606</v>
      </c>
      <c r="I272" s="137">
        <v>0.05</v>
      </c>
    </row>
  </sheetData>
  <mergeCells count="3">
    <mergeCell ref="B2:E2"/>
    <mergeCell ref="B73:H73"/>
    <mergeCell ref="B218:H218"/>
  </mergeCells>
  <conditionalFormatting sqref="C1 C3:C72 C74:C217 H155:H186 H195 C219 C221:C962 H225:H245 H249:H272">
    <cfRule type="cellIs" dxfId="25" priority="1" operator="equal">
      <formula>"18%"</formula>
    </cfRule>
    <cfRule type="cellIs" dxfId="24" priority="2" operator="equal">
      <formula>"15%"</formula>
    </cfRule>
    <cfRule type="cellIs" dxfId="23" priority="3" operator="equal">
      <formula>"12%"</formula>
    </cfRule>
    <cfRule type="cellIs" dxfId="22" priority="4" operator="equal">
      <formula>"5%"</formula>
    </cfRule>
    <cfRule type="cellIs" dxfId="21" priority="5" operator="equal">
      <formula>"10%"</formula>
    </cfRule>
  </conditionalFormatting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BS1002"/>
  <sheetViews>
    <sheetView showGridLines="0" topLeftCell="B1" workbookViewId="0"/>
  </sheetViews>
  <sheetFormatPr baseColWidth="10" defaultColWidth="12.6640625" defaultRowHeight="15.75" customHeight="1"/>
  <cols>
    <col min="1" max="1" width="10.6640625" hidden="1" customWidth="1"/>
    <col min="2" max="5" width="6.33203125" customWidth="1"/>
    <col min="6" max="6" width="40.6640625" customWidth="1"/>
    <col min="7" max="7" width="12.83203125" hidden="1" customWidth="1"/>
    <col min="8" max="8" width="11.6640625" customWidth="1"/>
    <col min="13" max="13" width="10.6640625" customWidth="1"/>
    <col min="14" max="14" width="12.6640625" hidden="1"/>
    <col min="20" max="20" width="10.6640625" customWidth="1"/>
    <col min="21" max="37" width="12.6640625" hidden="1"/>
    <col min="56" max="56" width="22.83203125" customWidth="1"/>
  </cols>
  <sheetData>
    <row r="1" spans="1:71" ht="15.75" customHeight="1">
      <c r="A1" s="1361" t="s">
        <v>19</v>
      </c>
      <c r="B1" s="1739" t="s">
        <v>20</v>
      </c>
      <c r="C1" s="1739" t="s">
        <v>21</v>
      </c>
      <c r="D1" s="1739" t="s">
        <v>22</v>
      </c>
      <c r="E1" s="1740" t="s">
        <v>23</v>
      </c>
      <c r="F1" s="1361" t="s">
        <v>24</v>
      </c>
      <c r="G1" s="1302">
        <v>45681</v>
      </c>
      <c r="H1" s="1741" t="s">
        <v>989</v>
      </c>
      <c r="I1" s="523" t="s">
        <v>26</v>
      </c>
      <c r="J1" s="79" t="s">
        <v>27</v>
      </c>
      <c r="K1" s="524" t="s">
        <v>28</v>
      </c>
      <c r="L1" s="525" t="s">
        <v>29</v>
      </c>
      <c r="M1" s="520" t="s">
        <v>30</v>
      </c>
      <c r="N1" s="1302">
        <v>45712</v>
      </c>
      <c r="O1" s="1742" t="s">
        <v>990</v>
      </c>
      <c r="P1" s="523" t="s">
        <v>26</v>
      </c>
      <c r="Q1" s="79" t="s">
        <v>27</v>
      </c>
      <c r="R1" s="524" t="s">
        <v>28</v>
      </c>
      <c r="S1" s="525" t="s">
        <v>29</v>
      </c>
      <c r="T1" s="520" t="s">
        <v>30</v>
      </c>
      <c r="U1" s="1302">
        <v>45740</v>
      </c>
      <c r="V1" s="1742" t="s">
        <v>679</v>
      </c>
      <c r="W1" s="523" t="s">
        <v>26</v>
      </c>
      <c r="X1" s="79" t="s">
        <v>27</v>
      </c>
      <c r="Y1" s="524" t="s">
        <v>28</v>
      </c>
      <c r="Z1" s="525" t="s">
        <v>29</v>
      </c>
      <c r="AA1" s="520" t="s">
        <v>30</v>
      </c>
      <c r="AB1" s="1743" t="s">
        <v>35</v>
      </c>
      <c r="AC1" s="536">
        <v>45771</v>
      </c>
      <c r="AD1" s="536">
        <v>45801</v>
      </c>
      <c r="AE1" s="536">
        <v>45832</v>
      </c>
      <c r="AF1" s="536">
        <v>45862</v>
      </c>
      <c r="AG1" s="536">
        <v>45893</v>
      </c>
      <c r="AH1" s="536">
        <v>45924</v>
      </c>
      <c r="AI1" s="536">
        <v>45954</v>
      </c>
      <c r="AJ1" s="536">
        <v>45985</v>
      </c>
      <c r="AK1" s="536">
        <v>46015</v>
      </c>
      <c r="AL1" s="82"/>
      <c r="AM1" s="1304" t="s">
        <v>250</v>
      </c>
      <c r="AN1" s="1304" t="s">
        <v>51</v>
      </c>
      <c r="AO1" s="1305" t="s">
        <v>52</v>
      </c>
      <c r="AP1" s="1744">
        <v>45737</v>
      </c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</row>
    <row r="2" spans="1:71" ht="15.75" customHeight="1">
      <c r="A2" s="325">
        <v>112014629</v>
      </c>
      <c r="B2" s="1527">
        <v>10</v>
      </c>
      <c r="C2" s="733">
        <f t="shared" ref="C2:C33" si="0">IFERROR(VLOOKUP(B2,DES,2,FALSE),"")</f>
        <v>0.15</v>
      </c>
      <c r="D2" s="733">
        <f t="shared" ref="D2:D33" si="1">IFERROR(VLOOKUP(B2,DES,3,FALSE),"")</f>
        <v>0.23</v>
      </c>
      <c r="E2" s="733">
        <f t="shared" ref="E2:E31" si="2">IFERROR(VLOOKUP(B2,DES,4,FALSE),"")</f>
        <v>0</v>
      </c>
      <c r="F2" s="1745" t="s">
        <v>1607</v>
      </c>
      <c r="G2" s="1466">
        <f t="shared" ref="G2:G31" si="3">IFERROR(VLOOKUP(F2,PEREZ,3,FALSE),"")</f>
        <v>0</v>
      </c>
      <c r="H2" s="1497">
        <v>3000000</v>
      </c>
      <c r="I2" s="1497"/>
      <c r="J2" s="1497"/>
      <c r="K2" s="1497"/>
      <c r="L2" s="1497"/>
      <c r="M2" s="1497"/>
      <c r="N2" s="1497">
        <f t="shared" ref="N2:N31" si="4">IFERROR(VLOOKUP(F2,PEREZ,4,FALSE),"")</f>
        <v>0</v>
      </c>
      <c r="O2" s="1497">
        <v>3000000</v>
      </c>
      <c r="P2" s="1497"/>
      <c r="Q2" s="1497"/>
      <c r="R2" s="1497"/>
      <c r="S2" s="1497"/>
      <c r="T2" s="1497"/>
      <c r="U2" s="1497">
        <f t="shared" ref="U2:U31" si="5">IFERROR(VLOOKUP(F2,PEREZ,5,FALSE),"")</f>
        <v>0</v>
      </c>
      <c r="V2" s="1497">
        <v>3000000</v>
      </c>
      <c r="W2" s="1497"/>
      <c r="X2" s="1497"/>
      <c r="Y2" s="1497"/>
      <c r="Z2" s="1497"/>
      <c r="AA2" s="1497"/>
      <c r="AB2" s="1746">
        <f t="shared" ref="AB2:AB31" si="6">H2+O2+V2</f>
        <v>9000000</v>
      </c>
      <c r="AC2" s="302">
        <f t="shared" ref="AC2:AC31" si="7">IFERROR(VLOOKUP(F2,PEREZ,6,FALSE),"")</f>
        <v>0</v>
      </c>
      <c r="AD2" s="302">
        <f t="shared" ref="AD2:AD31" si="8">IFERROR(VLOOKUP(F2,PEREZ,7,FALSE),"")</f>
        <v>0</v>
      </c>
      <c r="AE2" s="302">
        <f t="shared" ref="AE2:AE31" si="9">IFERROR(VLOOKUP(F2,PEREZ,8,FALSE),"")</f>
        <v>0</v>
      </c>
      <c r="AF2" s="302">
        <f t="shared" ref="AF2:AF31" si="10">IFERROR(VLOOKUP(F2,PEREZ,9,FALSE),"")</f>
        <v>0</v>
      </c>
      <c r="AG2" s="302">
        <f t="shared" ref="AG2:AG31" si="11">IFERROR(VLOOKUP(F2,PEREZ,10,FALSE),"")</f>
        <v>0</v>
      </c>
      <c r="AH2" s="302">
        <f t="shared" ref="AH2:AH31" si="12">IFERROR(VLOOKUP(F2,PEREZ,11,FALSE),"")</f>
        <v>0</v>
      </c>
      <c r="AI2" s="302">
        <f t="shared" ref="AI2:AI31" si="13">IFERROR(VLOOKUP(F2,PEREZ,12,FALSE),"")</f>
        <v>0</v>
      </c>
      <c r="AJ2" s="302">
        <f t="shared" ref="AJ2:AJ31" si="14">IFERROR(VLOOKUP(F2,PEREZ,13,FALSE),"")</f>
        <v>0</v>
      </c>
      <c r="AK2" s="302">
        <f t="shared" ref="AK2:AK31" si="15">IFERROR(VLOOKUP(F2,PEREZ,14,FALSE),"")</f>
        <v>1563462.88</v>
      </c>
      <c r="AM2" s="842"/>
      <c r="AN2" s="442"/>
      <c r="AO2" s="442"/>
      <c r="AP2" s="442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</row>
    <row r="3" spans="1:71" ht="15.75" customHeight="1">
      <c r="A3" s="325">
        <v>112011130</v>
      </c>
      <c r="B3" s="1510">
        <v>11</v>
      </c>
      <c r="C3" s="1511">
        <f t="shared" si="0"/>
        <v>0.15</v>
      </c>
      <c r="D3" s="1511">
        <f t="shared" si="1"/>
        <v>0.2</v>
      </c>
      <c r="E3" s="1511">
        <f t="shared" si="2"/>
        <v>0</v>
      </c>
      <c r="F3" s="1747" t="s">
        <v>1555</v>
      </c>
      <c r="G3" s="1467">
        <f t="shared" si="3"/>
        <v>396895.67</v>
      </c>
      <c r="H3" s="331">
        <v>3000000</v>
      </c>
      <c r="I3" s="331"/>
      <c r="J3" s="331"/>
      <c r="K3" s="331"/>
      <c r="L3" s="331"/>
      <c r="M3" s="331"/>
      <c r="N3" s="331">
        <f t="shared" si="4"/>
        <v>273350.95</v>
      </c>
      <c r="O3" s="331">
        <v>3000000</v>
      </c>
      <c r="P3" s="331"/>
      <c r="Q3" s="331"/>
      <c r="R3" s="331"/>
      <c r="S3" s="331"/>
      <c r="T3" s="331"/>
      <c r="U3" s="331">
        <f t="shared" si="5"/>
        <v>567657.04</v>
      </c>
      <c r="V3" s="331">
        <v>3000000</v>
      </c>
      <c r="W3" s="331"/>
      <c r="X3" s="331"/>
      <c r="Y3" s="331"/>
      <c r="Z3" s="331"/>
      <c r="AA3" s="331"/>
      <c r="AB3" s="330">
        <f t="shared" si="6"/>
        <v>9000000</v>
      </c>
      <c r="AC3" s="302">
        <f t="shared" si="7"/>
        <v>629582.32999999996</v>
      </c>
      <c r="AD3" s="302">
        <f t="shared" si="8"/>
        <v>432757.78</v>
      </c>
      <c r="AE3" s="302">
        <f t="shared" si="9"/>
        <v>81322.03</v>
      </c>
      <c r="AF3" s="302">
        <f t="shared" si="10"/>
        <v>299291.3</v>
      </c>
      <c r="AG3" s="302">
        <f t="shared" si="11"/>
        <v>158610.12</v>
      </c>
      <c r="AH3" s="302">
        <f t="shared" si="12"/>
        <v>168018.87</v>
      </c>
      <c r="AI3" s="302">
        <f t="shared" si="13"/>
        <v>122634.96</v>
      </c>
      <c r="AJ3" s="302">
        <f t="shared" si="14"/>
        <v>0</v>
      </c>
      <c r="AK3" s="302">
        <f t="shared" si="15"/>
        <v>111077.6</v>
      </c>
      <c r="AM3" s="190">
        <v>0.15</v>
      </c>
      <c r="AN3" s="442"/>
      <c r="AO3" s="442">
        <v>3</v>
      </c>
      <c r="AP3" s="442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</row>
    <row r="4" spans="1:71" ht="15.75" customHeight="1">
      <c r="A4" s="1748">
        <v>112012528</v>
      </c>
      <c r="B4" s="1749">
        <v>12</v>
      </c>
      <c r="C4" s="1750">
        <f t="shared" si="0"/>
        <v>0.15</v>
      </c>
      <c r="D4" s="1750">
        <f t="shared" si="1"/>
        <v>0.09</v>
      </c>
      <c r="E4" s="1750">
        <f t="shared" si="2"/>
        <v>0</v>
      </c>
      <c r="F4" s="1751" t="s">
        <v>684</v>
      </c>
      <c r="G4" s="1752">
        <f t="shared" si="3"/>
        <v>5719367.5</v>
      </c>
      <c r="H4" s="1753">
        <f>(G4*1.601)*1.05</f>
        <v>9614542.7358749993</v>
      </c>
      <c r="I4" s="1753"/>
      <c r="J4" s="1753"/>
      <c r="K4" s="1753"/>
      <c r="L4" s="1753"/>
      <c r="M4" s="1753"/>
      <c r="N4" s="1753">
        <f t="shared" si="4"/>
        <v>6204533.1299999999</v>
      </c>
      <c r="O4" s="1753">
        <f>(N4*1.7245)*1.03</f>
        <v>11020708.904165551</v>
      </c>
      <c r="P4" s="1753"/>
      <c r="Q4" s="1753"/>
      <c r="R4" s="1753"/>
      <c r="S4" s="1753"/>
      <c r="T4" s="1753"/>
      <c r="U4" s="1753">
        <f t="shared" si="5"/>
        <v>5071565.4000000004</v>
      </c>
      <c r="V4" s="1753">
        <f t="shared" ref="V4:V5" si="16">(U4*1.5955)*1.05</f>
        <v>8496266.7254850008</v>
      </c>
      <c r="W4" s="1753"/>
      <c r="X4" s="1753"/>
      <c r="Y4" s="1753"/>
      <c r="Z4" s="1753"/>
      <c r="AA4" s="1753"/>
      <c r="AB4" s="1754">
        <f t="shared" si="6"/>
        <v>29131518.365525551</v>
      </c>
      <c r="AC4" s="302">
        <f t="shared" si="7"/>
        <v>7120653.9299999997</v>
      </c>
      <c r="AD4" s="302">
        <f t="shared" si="8"/>
        <v>4576816.55</v>
      </c>
      <c r="AE4" s="302">
        <f t="shared" si="9"/>
        <v>3492987.83</v>
      </c>
      <c r="AF4" s="302">
        <f t="shared" si="10"/>
        <v>6598475.25</v>
      </c>
      <c r="AG4" s="302">
        <f t="shared" si="11"/>
        <v>4374336.3600000003</v>
      </c>
      <c r="AH4" s="302">
        <f t="shared" si="12"/>
        <v>6994195.3600000003</v>
      </c>
      <c r="AI4" s="302">
        <f t="shared" si="13"/>
        <v>4394085.6500000004</v>
      </c>
      <c r="AJ4" s="302">
        <f t="shared" si="14"/>
        <v>2567739.0499999998</v>
      </c>
      <c r="AK4" s="302">
        <f t="shared" si="15"/>
        <v>1698961.63</v>
      </c>
      <c r="AM4" s="847">
        <v>0.12</v>
      </c>
      <c r="AN4" s="442"/>
      <c r="AO4" s="442">
        <v>5</v>
      </c>
      <c r="AP4" s="442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</row>
    <row r="5" spans="1:71" ht="15.75" customHeight="1">
      <c r="A5" s="463">
        <v>112012613</v>
      </c>
      <c r="B5" s="1755">
        <v>25</v>
      </c>
      <c r="C5" s="1549">
        <f t="shared" si="0"/>
        <v>0.12</v>
      </c>
      <c r="D5" s="1549">
        <f t="shared" si="1"/>
        <v>0.2</v>
      </c>
      <c r="E5" s="1549">
        <f t="shared" si="2"/>
        <v>0</v>
      </c>
      <c r="F5" s="1756" t="s">
        <v>121</v>
      </c>
      <c r="G5" s="1550">
        <f t="shared" si="3"/>
        <v>907187.81</v>
      </c>
      <c r="H5" s="1515">
        <v>2500000</v>
      </c>
      <c r="I5" s="1515"/>
      <c r="J5" s="1515"/>
      <c r="K5" s="1515"/>
      <c r="L5" s="1515"/>
      <c r="M5" s="1515"/>
      <c r="N5" s="1515">
        <f t="shared" si="4"/>
        <v>1022630</v>
      </c>
      <c r="O5" s="331">
        <v>2500000</v>
      </c>
      <c r="P5" s="1515"/>
      <c r="Q5" s="1515"/>
      <c r="R5" s="1515"/>
      <c r="S5" s="1515"/>
      <c r="T5" s="1515"/>
      <c r="U5" s="1515">
        <f t="shared" si="5"/>
        <v>1931547.28</v>
      </c>
      <c r="V5" s="1515">
        <f t="shared" si="16"/>
        <v>3235872.869502</v>
      </c>
      <c r="W5" s="1515"/>
      <c r="X5" s="1515"/>
      <c r="Y5" s="1515"/>
      <c r="Z5" s="1515"/>
      <c r="AA5" s="1515"/>
      <c r="AB5" s="1757">
        <f t="shared" si="6"/>
        <v>8235872.8695020005</v>
      </c>
      <c r="AC5" s="302">
        <f t="shared" si="7"/>
        <v>648854.56000000006</v>
      </c>
      <c r="AD5" s="302">
        <f t="shared" si="8"/>
        <v>970049.38</v>
      </c>
      <c r="AE5" s="302">
        <f t="shared" si="9"/>
        <v>1017673.68</v>
      </c>
      <c r="AF5" s="302">
        <f t="shared" si="10"/>
        <v>1033643.29</v>
      </c>
      <c r="AG5" s="302">
        <f t="shared" si="11"/>
        <v>1959426.12</v>
      </c>
      <c r="AH5" s="302">
        <f t="shared" si="12"/>
        <v>1338211.71</v>
      </c>
      <c r="AI5" s="302">
        <f t="shared" si="13"/>
        <v>1422102.82</v>
      </c>
      <c r="AJ5" s="302">
        <f t="shared" si="14"/>
        <v>1561743.52</v>
      </c>
      <c r="AK5" s="302">
        <f t="shared" si="15"/>
        <v>341093.36</v>
      </c>
      <c r="AM5" s="848">
        <v>0.1</v>
      </c>
      <c r="AN5" s="442"/>
      <c r="AO5" s="442">
        <v>11</v>
      </c>
      <c r="AP5" s="442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</row>
    <row r="6" spans="1:71" ht="15.75" customHeight="1">
      <c r="A6" s="325">
        <v>112014488</v>
      </c>
      <c r="B6" s="1527">
        <v>25</v>
      </c>
      <c r="C6" s="733">
        <f t="shared" si="0"/>
        <v>0.12</v>
      </c>
      <c r="D6" s="733">
        <f t="shared" si="1"/>
        <v>0.2</v>
      </c>
      <c r="E6" s="733">
        <f t="shared" si="2"/>
        <v>0</v>
      </c>
      <c r="F6" s="1745" t="s">
        <v>703</v>
      </c>
      <c r="G6" s="1466">
        <f t="shared" si="3"/>
        <v>0</v>
      </c>
      <c r="H6" s="1497">
        <v>2500000</v>
      </c>
      <c r="I6" s="1497"/>
      <c r="J6" s="1497"/>
      <c r="K6" s="1497"/>
      <c r="L6" s="1497"/>
      <c r="M6" s="1497"/>
      <c r="N6" s="1497">
        <f t="shared" si="4"/>
        <v>0</v>
      </c>
      <c r="O6" s="1497">
        <v>2500000</v>
      </c>
      <c r="P6" s="1497"/>
      <c r="Q6" s="1497"/>
      <c r="R6" s="1497"/>
      <c r="S6" s="1497"/>
      <c r="T6" s="1497"/>
      <c r="U6" s="1497">
        <f t="shared" si="5"/>
        <v>0</v>
      </c>
      <c r="V6" s="1497">
        <v>2500000</v>
      </c>
      <c r="W6" s="1497"/>
      <c r="X6" s="1497"/>
      <c r="Y6" s="1497"/>
      <c r="Z6" s="1497"/>
      <c r="AA6" s="1497"/>
      <c r="AB6" s="1746">
        <f t="shared" si="6"/>
        <v>7500000</v>
      </c>
      <c r="AC6" s="302">
        <f t="shared" si="7"/>
        <v>0</v>
      </c>
      <c r="AD6" s="302">
        <f t="shared" si="8"/>
        <v>0</v>
      </c>
      <c r="AE6" s="302">
        <f t="shared" si="9"/>
        <v>0</v>
      </c>
      <c r="AF6" s="302">
        <f t="shared" si="10"/>
        <v>60625.15</v>
      </c>
      <c r="AG6" s="302">
        <f t="shared" si="11"/>
        <v>77561.100000000006</v>
      </c>
      <c r="AH6" s="302">
        <f t="shared" si="12"/>
        <v>0</v>
      </c>
      <c r="AI6" s="302">
        <f t="shared" si="13"/>
        <v>92101</v>
      </c>
      <c r="AJ6" s="302">
        <f t="shared" si="14"/>
        <v>0</v>
      </c>
      <c r="AK6" s="302">
        <f t="shared" si="15"/>
        <v>275865.25</v>
      </c>
      <c r="AM6" s="850">
        <v>0.05</v>
      </c>
      <c r="AN6" s="449"/>
      <c r="AO6" s="449">
        <v>7</v>
      </c>
      <c r="AP6" s="449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</row>
    <row r="7" spans="1:71" ht="15.75" customHeight="1">
      <c r="A7" s="325">
        <v>112014628</v>
      </c>
      <c r="B7" s="1510">
        <v>25</v>
      </c>
      <c r="C7" s="1511">
        <f t="shared" si="0"/>
        <v>0.12</v>
      </c>
      <c r="D7" s="1511">
        <f t="shared" si="1"/>
        <v>0.2</v>
      </c>
      <c r="E7" s="1511">
        <f t="shared" si="2"/>
        <v>0</v>
      </c>
      <c r="F7" s="1747" t="s">
        <v>1608</v>
      </c>
      <c r="G7" s="1467">
        <f t="shared" si="3"/>
        <v>0</v>
      </c>
      <c r="H7" s="331">
        <v>2500000</v>
      </c>
      <c r="I7" s="331"/>
      <c r="J7" s="331"/>
      <c r="K7" s="331"/>
      <c r="L7" s="331"/>
      <c r="M7" s="331"/>
      <c r="N7" s="331">
        <f t="shared" si="4"/>
        <v>0</v>
      </c>
      <c r="O7" s="331">
        <v>2500000</v>
      </c>
      <c r="P7" s="331"/>
      <c r="Q7" s="331"/>
      <c r="R7" s="331"/>
      <c r="S7" s="331"/>
      <c r="T7" s="331"/>
      <c r="U7" s="331">
        <f t="shared" si="5"/>
        <v>0</v>
      </c>
      <c r="V7" s="331">
        <v>2500000</v>
      </c>
      <c r="W7" s="331"/>
      <c r="X7" s="331"/>
      <c r="Y7" s="331"/>
      <c r="Z7" s="331"/>
      <c r="AA7" s="331"/>
      <c r="AB7" s="330">
        <f t="shared" si="6"/>
        <v>7500000</v>
      </c>
      <c r="AC7" s="302">
        <f t="shared" si="7"/>
        <v>0</v>
      </c>
      <c r="AD7" s="302">
        <f t="shared" si="8"/>
        <v>0</v>
      </c>
      <c r="AE7" s="302">
        <f t="shared" si="9"/>
        <v>0</v>
      </c>
      <c r="AF7" s="302">
        <f t="shared" si="10"/>
        <v>0</v>
      </c>
      <c r="AG7" s="302">
        <f t="shared" si="11"/>
        <v>0</v>
      </c>
      <c r="AH7" s="302">
        <f t="shared" si="12"/>
        <v>0</v>
      </c>
      <c r="AI7" s="302">
        <f t="shared" si="13"/>
        <v>0</v>
      </c>
      <c r="AJ7" s="302">
        <f t="shared" si="14"/>
        <v>0</v>
      </c>
      <c r="AK7" s="302">
        <f t="shared" si="15"/>
        <v>909844.65</v>
      </c>
      <c r="AM7" s="852" t="s">
        <v>4</v>
      </c>
      <c r="AN7" s="449">
        <v>14</v>
      </c>
      <c r="AO7" s="449">
        <v>57</v>
      </c>
      <c r="AP7" s="449">
        <v>14</v>
      </c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</row>
    <row r="8" spans="1:71" ht="15.75" customHeight="1">
      <c r="A8" s="325">
        <v>112014632</v>
      </c>
      <c r="B8" s="1527">
        <v>25</v>
      </c>
      <c r="C8" s="733">
        <f t="shared" si="0"/>
        <v>0.12</v>
      </c>
      <c r="D8" s="733">
        <f t="shared" si="1"/>
        <v>0.2</v>
      </c>
      <c r="E8" s="733">
        <f t="shared" si="2"/>
        <v>0</v>
      </c>
      <c r="F8" s="1745" t="s">
        <v>126</v>
      </c>
      <c r="G8" s="1466">
        <f t="shared" si="3"/>
        <v>0</v>
      </c>
      <c r="H8" s="1497">
        <v>2500000</v>
      </c>
      <c r="I8" s="1497"/>
      <c r="J8" s="1497"/>
      <c r="K8" s="1497"/>
      <c r="L8" s="1497"/>
      <c r="M8" s="1497"/>
      <c r="N8" s="1497">
        <f t="shared" si="4"/>
        <v>0</v>
      </c>
      <c r="O8" s="1497">
        <v>2500000</v>
      </c>
      <c r="P8" s="1497"/>
      <c r="Q8" s="1497"/>
      <c r="R8" s="1497"/>
      <c r="S8" s="1497"/>
      <c r="T8" s="1497"/>
      <c r="U8" s="1497">
        <f t="shared" si="5"/>
        <v>0</v>
      </c>
      <c r="V8" s="1497">
        <v>2500000</v>
      </c>
      <c r="W8" s="1497"/>
      <c r="X8" s="1497"/>
      <c r="Y8" s="1497"/>
      <c r="Z8" s="1497"/>
      <c r="AA8" s="1497"/>
      <c r="AB8" s="1746">
        <f t="shared" si="6"/>
        <v>7500000</v>
      </c>
      <c r="AC8" s="302">
        <f t="shared" si="7"/>
        <v>0</v>
      </c>
      <c r="AD8" s="302">
        <f t="shared" si="8"/>
        <v>0</v>
      </c>
      <c r="AE8" s="302">
        <f t="shared" si="9"/>
        <v>0</v>
      </c>
      <c r="AF8" s="302">
        <f t="shared" si="10"/>
        <v>0</v>
      </c>
      <c r="AG8" s="302">
        <f t="shared" si="11"/>
        <v>0</v>
      </c>
      <c r="AH8" s="302">
        <f t="shared" si="12"/>
        <v>0</v>
      </c>
      <c r="AI8" s="302">
        <f t="shared" si="13"/>
        <v>0</v>
      </c>
      <c r="AJ8" s="302">
        <f t="shared" si="14"/>
        <v>0</v>
      </c>
      <c r="AK8" s="302">
        <f t="shared" si="15"/>
        <v>66578.06</v>
      </c>
      <c r="AM8" s="853" t="s">
        <v>17</v>
      </c>
      <c r="AN8" s="854">
        <f t="shared" ref="AN8:AP8" si="17">SUM(AN2:AN7)</f>
        <v>14</v>
      </c>
      <c r="AO8" s="854">
        <f t="shared" si="17"/>
        <v>83</v>
      </c>
      <c r="AP8" s="854">
        <f t="shared" si="17"/>
        <v>14</v>
      </c>
      <c r="AQ8" s="455"/>
      <c r="AR8" s="455"/>
      <c r="AS8" s="455"/>
      <c r="AT8" s="455"/>
      <c r="AU8" s="455"/>
      <c r="AV8" s="455"/>
      <c r="AW8" s="455"/>
      <c r="AX8" s="455"/>
      <c r="AY8" s="455"/>
      <c r="AZ8" s="455"/>
      <c r="BA8" s="455"/>
      <c r="BB8" s="455"/>
      <c r="BC8" s="455"/>
      <c r="BD8" s="455"/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  <c r="BR8" s="455"/>
      <c r="BS8" s="455"/>
    </row>
    <row r="9" spans="1:71" ht="15.75" customHeight="1">
      <c r="A9" s="1758">
        <v>112012514</v>
      </c>
      <c r="B9" s="1759">
        <v>24</v>
      </c>
      <c r="C9" s="1760">
        <f t="shared" si="0"/>
        <v>0.12</v>
      </c>
      <c r="D9" s="1760">
        <f t="shared" si="1"/>
        <v>0.09</v>
      </c>
      <c r="E9" s="1760">
        <f t="shared" si="2"/>
        <v>0</v>
      </c>
      <c r="F9" s="1761" t="s">
        <v>541</v>
      </c>
      <c r="G9" s="1762">
        <f t="shared" si="3"/>
        <v>449017.57</v>
      </c>
      <c r="H9" s="1763">
        <v>2500000</v>
      </c>
      <c r="I9" s="1763"/>
      <c r="J9" s="1763"/>
      <c r="K9" s="1763"/>
      <c r="L9" s="1763"/>
      <c r="M9" s="1763"/>
      <c r="N9" s="1763">
        <f t="shared" si="4"/>
        <v>308375.34999999998</v>
      </c>
      <c r="O9" s="1763">
        <v>2500000</v>
      </c>
      <c r="P9" s="1763"/>
      <c r="Q9" s="1763"/>
      <c r="R9" s="1763"/>
      <c r="S9" s="1763"/>
      <c r="T9" s="1763"/>
      <c r="U9" s="1763">
        <f t="shared" si="5"/>
        <v>663943.61</v>
      </c>
      <c r="V9" s="1763">
        <v>2500000</v>
      </c>
      <c r="W9" s="1763"/>
      <c r="X9" s="1763"/>
      <c r="Y9" s="1763"/>
      <c r="Z9" s="1763"/>
      <c r="AA9" s="1763"/>
      <c r="AB9" s="1764">
        <f t="shared" si="6"/>
        <v>7500000</v>
      </c>
      <c r="AC9" s="302">
        <f t="shared" si="7"/>
        <v>458017.49</v>
      </c>
      <c r="AD9" s="302">
        <f t="shared" si="8"/>
        <v>649954.85</v>
      </c>
      <c r="AE9" s="302">
        <f t="shared" si="9"/>
        <v>568448.32999999996</v>
      </c>
      <c r="AF9" s="302">
        <f t="shared" si="10"/>
        <v>259383.73</v>
      </c>
      <c r="AG9" s="302">
        <f t="shared" si="11"/>
        <v>662838.29</v>
      </c>
      <c r="AH9" s="302">
        <f t="shared" si="12"/>
        <v>596956.88</v>
      </c>
      <c r="AI9" s="302">
        <f t="shared" si="13"/>
        <v>1097012.68</v>
      </c>
      <c r="AJ9" s="302">
        <f t="shared" si="14"/>
        <v>115649.53</v>
      </c>
      <c r="AK9" s="302">
        <f t="shared" si="15"/>
        <v>1446824.22</v>
      </c>
    </row>
    <row r="10" spans="1:71" ht="15.75" customHeight="1">
      <c r="A10" s="463">
        <v>112010639</v>
      </c>
      <c r="B10" s="1483">
        <v>7</v>
      </c>
      <c r="C10" s="1484">
        <f t="shared" si="0"/>
        <v>0.1</v>
      </c>
      <c r="D10" s="1484">
        <f t="shared" si="1"/>
        <v>0.2</v>
      </c>
      <c r="E10" s="1484">
        <f t="shared" si="2"/>
        <v>0</v>
      </c>
      <c r="F10" s="1765" t="s">
        <v>733</v>
      </c>
      <c r="G10" s="1482">
        <f t="shared" si="3"/>
        <v>0</v>
      </c>
      <c r="H10" s="1485">
        <v>1800000</v>
      </c>
      <c r="I10" s="1485"/>
      <c r="J10" s="1485"/>
      <c r="K10" s="1485"/>
      <c r="L10" s="1485"/>
      <c r="M10" s="1485"/>
      <c r="N10" s="1485">
        <f t="shared" si="4"/>
        <v>0</v>
      </c>
      <c r="O10" s="1485">
        <v>1800000</v>
      </c>
      <c r="P10" s="1485"/>
      <c r="Q10" s="1485"/>
      <c r="R10" s="1485"/>
      <c r="S10" s="1485"/>
      <c r="T10" s="1485"/>
      <c r="U10" s="1485">
        <f t="shared" si="5"/>
        <v>0</v>
      </c>
      <c r="V10" s="1485">
        <v>1800000</v>
      </c>
      <c r="W10" s="1485"/>
      <c r="X10" s="1485"/>
      <c r="Y10" s="1485"/>
      <c r="Z10" s="1485"/>
      <c r="AA10" s="1485"/>
      <c r="AB10" s="1766">
        <f t="shared" si="6"/>
        <v>5400000</v>
      </c>
      <c r="AC10" s="302">
        <f t="shared" si="7"/>
        <v>0</v>
      </c>
      <c r="AD10" s="302">
        <f t="shared" si="8"/>
        <v>0</v>
      </c>
      <c r="AE10" s="302">
        <f t="shared" si="9"/>
        <v>0</v>
      </c>
      <c r="AF10" s="302">
        <f t="shared" si="10"/>
        <v>0</v>
      </c>
      <c r="AG10" s="302">
        <f t="shared" si="11"/>
        <v>0</v>
      </c>
      <c r="AH10" s="302">
        <f t="shared" si="12"/>
        <v>0</v>
      </c>
      <c r="AI10" s="302">
        <f t="shared" si="13"/>
        <v>116504.46</v>
      </c>
      <c r="AJ10" s="302">
        <f t="shared" si="14"/>
        <v>0</v>
      </c>
      <c r="AK10" s="302">
        <f t="shared" si="15"/>
        <v>113763.35</v>
      </c>
    </row>
    <row r="11" spans="1:71" ht="15.75" customHeight="1">
      <c r="A11" s="325">
        <v>112010947</v>
      </c>
      <c r="B11" s="1510">
        <v>7</v>
      </c>
      <c r="C11" s="1511">
        <f t="shared" si="0"/>
        <v>0.1</v>
      </c>
      <c r="D11" s="1511">
        <f t="shared" si="1"/>
        <v>0.2</v>
      </c>
      <c r="E11" s="1511">
        <f t="shared" si="2"/>
        <v>0</v>
      </c>
      <c r="F11" s="1747" t="s">
        <v>604</v>
      </c>
      <c r="G11" s="1467">
        <f t="shared" si="3"/>
        <v>3303652.49</v>
      </c>
      <c r="H11" s="331">
        <f>(G11*1.601)*1.05</f>
        <v>5553605.0183145003</v>
      </c>
      <c r="I11" s="331"/>
      <c r="J11" s="331"/>
      <c r="K11" s="331"/>
      <c r="L11" s="331"/>
      <c r="M11" s="331"/>
      <c r="N11" s="331">
        <f t="shared" si="4"/>
        <v>8480475.5</v>
      </c>
      <c r="O11" s="331">
        <f>(N11*1.7245)*1.03</f>
        <v>15063317.399742499</v>
      </c>
      <c r="P11" s="331"/>
      <c r="Q11" s="331"/>
      <c r="R11" s="331"/>
      <c r="S11" s="331"/>
      <c r="T11" s="331"/>
      <c r="U11" s="331">
        <f t="shared" si="5"/>
        <v>9332962.7899999991</v>
      </c>
      <c r="V11" s="331">
        <f>(U11*1.5955)*1.05</f>
        <v>15635279.238017248</v>
      </c>
      <c r="W11" s="331"/>
      <c r="X11" s="331"/>
      <c r="Y11" s="331"/>
      <c r="Z11" s="331"/>
      <c r="AA11" s="331"/>
      <c r="AB11" s="330">
        <f t="shared" si="6"/>
        <v>36252201.656074248</v>
      </c>
      <c r="AC11" s="302">
        <f t="shared" si="7"/>
        <v>4773119.63</v>
      </c>
      <c r="AD11" s="302">
        <f t="shared" si="8"/>
        <v>6222389.4500000002</v>
      </c>
      <c r="AE11" s="302">
        <f t="shared" si="9"/>
        <v>5644689.8200000003</v>
      </c>
      <c r="AF11" s="302">
        <f t="shared" si="10"/>
        <v>8928079.8000000007</v>
      </c>
      <c r="AG11" s="302">
        <f t="shared" si="11"/>
        <v>3934209.04</v>
      </c>
      <c r="AH11" s="302">
        <f t="shared" si="12"/>
        <v>2462199.6</v>
      </c>
      <c r="AI11" s="302">
        <f t="shared" si="13"/>
        <v>5177845.9000000004</v>
      </c>
      <c r="AJ11" s="302">
        <f t="shared" si="14"/>
        <v>9481174.5899999999</v>
      </c>
      <c r="AK11" s="302">
        <f t="shared" si="15"/>
        <v>5455499.8600000003</v>
      </c>
    </row>
    <row r="12" spans="1:71" ht="15.75" customHeight="1">
      <c r="A12" s="325">
        <v>112012950</v>
      </c>
      <c r="B12" s="1527">
        <v>7</v>
      </c>
      <c r="C12" s="733">
        <f t="shared" si="0"/>
        <v>0.1</v>
      </c>
      <c r="D12" s="733">
        <f t="shared" si="1"/>
        <v>0.2</v>
      </c>
      <c r="E12" s="733">
        <f t="shared" si="2"/>
        <v>0</v>
      </c>
      <c r="F12" s="1745" t="s">
        <v>103</v>
      </c>
      <c r="G12" s="1466">
        <f t="shared" si="3"/>
        <v>0</v>
      </c>
      <c r="H12" s="1497">
        <v>1800000</v>
      </c>
      <c r="I12" s="1497"/>
      <c r="J12" s="1497"/>
      <c r="K12" s="1497"/>
      <c r="L12" s="1497"/>
      <c r="M12" s="1497"/>
      <c r="N12" s="1497">
        <f t="shared" si="4"/>
        <v>0</v>
      </c>
      <c r="O12" s="1497">
        <v>1800000</v>
      </c>
      <c r="P12" s="1497"/>
      <c r="Q12" s="1497"/>
      <c r="R12" s="1497"/>
      <c r="S12" s="1497"/>
      <c r="T12" s="1497"/>
      <c r="U12" s="1497">
        <f t="shared" si="5"/>
        <v>0</v>
      </c>
      <c r="V12" s="1497">
        <v>1800000</v>
      </c>
      <c r="W12" s="1497"/>
      <c r="X12" s="1497"/>
      <c r="Y12" s="1497"/>
      <c r="Z12" s="1497"/>
      <c r="AA12" s="1497"/>
      <c r="AB12" s="1746">
        <f t="shared" si="6"/>
        <v>5400000</v>
      </c>
      <c r="AC12" s="302">
        <f t="shared" si="7"/>
        <v>358637.12</v>
      </c>
      <c r="AD12" s="302">
        <f t="shared" si="8"/>
        <v>667494</v>
      </c>
      <c r="AE12" s="302">
        <f t="shared" si="9"/>
        <v>1053119.2</v>
      </c>
      <c r="AF12" s="302">
        <f t="shared" si="10"/>
        <v>991483.28</v>
      </c>
      <c r="AG12" s="302">
        <f t="shared" si="11"/>
        <v>2351545.6</v>
      </c>
      <c r="AH12" s="302">
        <f t="shared" si="12"/>
        <v>850764</v>
      </c>
      <c r="AI12" s="302">
        <f t="shared" si="13"/>
        <v>3935286.95</v>
      </c>
      <c r="AJ12" s="302">
        <f t="shared" si="14"/>
        <v>3753699.61</v>
      </c>
      <c r="AK12" s="302">
        <f t="shared" si="15"/>
        <v>5670000.2999999998</v>
      </c>
    </row>
    <row r="13" spans="1:71" ht="15.75" customHeight="1">
      <c r="A13" s="325">
        <v>112013132</v>
      </c>
      <c r="B13" s="1510">
        <v>7</v>
      </c>
      <c r="C13" s="1511">
        <f t="shared" si="0"/>
        <v>0.1</v>
      </c>
      <c r="D13" s="1511">
        <f t="shared" si="1"/>
        <v>0.2</v>
      </c>
      <c r="E13" s="1511">
        <f t="shared" si="2"/>
        <v>0</v>
      </c>
      <c r="F13" s="1747" t="s">
        <v>705</v>
      </c>
      <c r="G13" s="1467">
        <f t="shared" si="3"/>
        <v>1570641.24</v>
      </c>
      <c r="H13" s="331">
        <f>(G13*1.601)*1.05</f>
        <v>2640326.4565019999</v>
      </c>
      <c r="I13" s="331"/>
      <c r="J13" s="331"/>
      <c r="K13" s="331"/>
      <c r="L13" s="331"/>
      <c r="M13" s="331"/>
      <c r="N13" s="331">
        <f t="shared" si="4"/>
        <v>1400968.98</v>
      </c>
      <c r="O13" s="331">
        <f>(N13*1.7245)*1.03</f>
        <v>2488450.1361902999</v>
      </c>
      <c r="P13" s="331"/>
      <c r="Q13" s="331"/>
      <c r="R13" s="331"/>
      <c r="S13" s="331"/>
      <c r="T13" s="331"/>
      <c r="U13" s="331">
        <f t="shared" si="5"/>
        <v>1039724.74</v>
      </c>
      <c r="V13" s="331">
        <v>1800000</v>
      </c>
      <c r="W13" s="331"/>
      <c r="X13" s="331"/>
      <c r="Y13" s="331"/>
      <c r="Z13" s="331"/>
      <c r="AA13" s="331"/>
      <c r="AB13" s="330">
        <f t="shared" si="6"/>
        <v>6928776.5926922997</v>
      </c>
      <c r="AC13" s="302">
        <f t="shared" si="7"/>
        <v>1314941.8400000001</v>
      </c>
      <c r="AD13" s="302">
        <f t="shared" si="8"/>
        <v>962283.15</v>
      </c>
      <c r="AE13" s="302">
        <f t="shared" si="9"/>
        <v>845350.29</v>
      </c>
      <c r="AF13" s="302">
        <f t="shared" si="10"/>
        <v>993322.32</v>
      </c>
      <c r="AG13" s="302">
        <f t="shared" si="11"/>
        <v>1325245.6599999999</v>
      </c>
      <c r="AH13" s="302">
        <f t="shared" si="12"/>
        <v>1616143.33</v>
      </c>
      <c r="AI13" s="302">
        <f t="shared" si="13"/>
        <v>2388203.13</v>
      </c>
      <c r="AJ13" s="302">
        <f t="shared" si="14"/>
        <v>595893.34</v>
      </c>
      <c r="AK13" s="302">
        <f t="shared" si="15"/>
        <v>1175124.98</v>
      </c>
    </row>
    <row r="14" spans="1:71" ht="15.75" customHeight="1">
      <c r="A14" s="325">
        <v>112013734</v>
      </c>
      <c r="B14" s="1527">
        <v>7</v>
      </c>
      <c r="C14" s="733">
        <f t="shared" si="0"/>
        <v>0.1</v>
      </c>
      <c r="D14" s="733">
        <f t="shared" si="1"/>
        <v>0.2</v>
      </c>
      <c r="E14" s="733">
        <f t="shared" si="2"/>
        <v>0</v>
      </c>
      <c r="F14" s="1745" t="s">
        <v>702</v>
      </c>
      <c r="G14" s="1466">
        <f t="shared" si="3"/>
        <v>775800.11</v>
      </c>
      <c r="H14" s="1497">
        <v>1800000</v>
      </c>
      <c r="I14" s="1497"/>
      <c r="J14" s="1497"/>
      <c r="K14" s="1497"/>
      <c r="L14" s="1497"/>
      <c r="M14" s="1497"/>
      <c r="N14" s="1497">
        <f t="shared" si="4"/>
        <v>602642.82999999996</v>
      </c>
      <c r="O14" s="1497">
        <v>1800000</v>
      </c>
      <c r="P14" s="1497"/>
      <c r="Q14" s="1497"/>
      <c r="R14" s="1497"/>
      <c r="S14" s="1497"/>
      <c r="T14" s="1497"/>
      <c r="U14" s="1497">
        <f t="shared" si="5"/>
        <v>1049339.08</v>
      </c>
      <c r="V14" s="1497">
        <v>1800000</v>
      </c>
      <c r="W14" s="1497"/>
      <c r="X14" s="1497"/>
      <c r="Y14" s="1497"/>
      <c r="Z14" s="1497"/>
      <c r="AA14" s="1497"/>
      <c r="AB14" s="1746">
        <f t="shared" si="6"/>
        <v>5400000</v>
      </c>
      <c r="AC14" s="302">
        <f t="shared" si="7"/>
        <v>1299521.1100000001</v>
      </c>
      <c r="AD14" s="302">
        <f t="shared" si="8"/>
        <v>896703.07</v>
      </c>
      <c r="AE14" s="302">
        <f t="shared" si="9"/>
        <v>1845542.1</v>
      </c>
      <c r="AF14" s="302">
        <f t="shared" si="10"/>
        <v>3227120.71</v>
      </c>
      <c r="AG14" s="302">
        <f t="shared" si="11"/>
        <v>1502720.2</v>
      </c>
      <c r="AH14" s="302">
        <f t="shared" si="12"/>
        <v>2728993.71</v>
      </c>
      <c r="AI14" s="302">
        <f t="shared" si="13"/>
        <v>1354330.45</v>
      </c>
      <c r="AJ14" s="302">
        <f t="shared" si="14"/>
        <v>1606929.27</v>
      </c>
      <c r="AK14" s="302">
        <f t="shared" si="15"/>
        <v>444293.24</v>
      </c>
    </row>
    <row r="15" spans="1:71" ht="15.75" customHeight="1">
      <c r="A15" s="325">
        <v>112010514</v>
      </c>
      <c r="B15" s="1510">
        <v>22</v>
      </c>
      <c r="C15" s="1511">
        <f t="shared" si="0"/>
        <v>0.1</v>
      </c>
      <c r="D15" s="1511">
        <f t="shared" si="1"/>
        <v>0.09</v>
      </c>
      <c r="E15" s="1511">
        <f t="shared" si="2"/>
        <v>0</v>
      </c>
      <c r="F15" s="1747" t="s">
        <v>712</v>
      </c>
      <c r="G15" s="1467" t="str">
        <f t="shared" si="3"/>
        <v/>
      </c>
      <c r="H15" s="331">
        <v>1800000</v>
      </c>
      <c r="I15" s="331"/>
      <c r="J15" s="331"/>
      <c r="K15" s="331"/>
      <c r="L15" s="331"/>
      <c r="M15" s="331"/>
      <c r="N15" s="331" t="str">
        <f t="shared" si="4"/>
        <v/>
      </c>
      <c r="O15" s="331">
        <v>1800000</v>
      </c>
      <c r="P15" s="331"/>
      <c r="Q15" s="331"/>
      <c r="R15" s="331"/>
      <c r="S15" s="331"/>
      <c r="T15" s="331"/>
      <c r="U15" s="331" t="str">
        <f t="shared" si="5"/>
        <v/>
      </c>
      <c r="V15" s="331">
        <v>1800000</v>
      </c>
      <c r="W15" s="331"/>
      <c r="X15" s="331"/>
      <c r="Y15" s="331"/>
      <c r="Z15" s="331"/>
      <c r="AA15" s="331"/>
      <c r="AB15" s="330">
        <f t="shared" si="6"/>
        <v>5400000</v>
      </c>
      <c r="AC15" s="302" t="str">
        <f t="shared" si="7"/>
        <v/>
      </c>
      <c r="AD15" s="302" t="str">
        <f t="shared" si="8"/>
        <v/>
      </c>
      <c r="AE15" s="302" t="str">
        <f t="shared" si="9"/>
        <v/>
      </c>
      <c r="AF15" s="302" t="str">
        <f t="shared" si="10"/>
        <v/>
      </c>
      <c r="AG15" s="302" t="str">
        <f t="shared" si="11"/>
        <v/>
      </c>
      <c r="AH15" s="302" t="str">
        <f t="shared" si="12"/>
        <v/>
      </c>
      <c r="AI15" s="302" t="str">
        <f t="shared" si="13"/>
        <v/>
      </c>
      <c r="AJ15" s="302" t="str">
        <f t="shared" si="14"/>
        <v/>
      </c>
      <c r="AK15" s="302" t="str">
        <f t="shared" si="15"/>
        <v/>
      </c>
    </row>
    <row r="16" spans="1:71" ht="15.75" customHeight="1">
      <c r="A16" s="325">
        <v>112010644</v>
      </c>
      <c r="B16" s="1527">
        <v>22</v>
      </c>
      <c r="C16" s="733">
        <f t="shared" si="0"/>
        <v>0.1</v>
      </c>
      <c r="D16" s="733">
        <f t="shared" si="1"/>
        <v>0.09</v>
      </c>
      <c r="E16" s="733">
        <f t="shared" si="2"/>
        <v>0</v>
      </c>
      <c r="F16" s="1745" t="s">
        <v>1609</v>
      </c>
      <c r="G16" s="1466">
        <f t="shared" si="3"/>
        <v>3260338.51</v>
      </c>
      <c r="H16" s="1497">
        <f t="shared" ref="H16:H17" si="18">(G16*1.601)*1.05</f>
        <v>5480792.0522355</v>
      </c>
      <c r="I16" s="1497"/>
      <c r="J16" s="1497"/>
      <c r="K16" s="1497"/>
      <c r="L16" s="1497"/>
      <c r="M16" s="1497"/>
      <c r="N16" s="1497">
        <f t="shared" si="4"/>
        <v>2968505.52</v>
      </c>
      <c r="O16" s="1497">
        <f>(N16*1.7245)*1.03</f>
        <v>5272763.4023171999</v>
      </c>
      <c r="P16" s="1497"/>
      <c r="Q16" s="1497"/>
      <c r="R16" s="1497"/>
      <c r="S16" s="1497"/>
      <c r="T16" s="1497"/>
      <c r="U16" s="1497">
        <f t="shared" si="5"/>
        <v>1584338.16</v>
      </c>
      <c r="V16" s="1497">
        <f>(U16*1.5955)*1.05</f>
        <v>2654202.110994</v>
      </c>
      <c r="W16" s="1497"/>
      <c r="X16" s="1497"/>
      <c r="Y16" s="1497"/>
      <c r="Z16" s="1497"/>
      <c r="AA16" s="1497"/>
      <c r="AB16" s="1746">
        <f t="shared" si="6"/>
        <v>13407757.565546699</v>
      </c>
      <c r="AC16" s="302">
        <f t="shared" si="7"/>
        <v>3577781.99</v>
      </c>
      <c r="AD16" s="302">
        <f t="shared" si="8"/>
        <v>2049066.37</v>
      </c>
      <c r="AE16" s="302">
        <f t="shared" si="9"/>
        <v>1848158.88</v>
      </c>
      <c r="AF16" s="302">
        <f t="shared" si="10"/>
        <v>2472290.88</v>
      </c>
      <c r="AG16" s="302">
        <f t="shared" si="11"/>
        <v>1646218.59</v>
      </c>
      <c r="AH16" s="302">
        <f t="shared" si="12"/>
        <v>3253154.58</v>
      </c>
      <c r="AI16" s="302">
        <f t="shared" si="13"/>
        <v>5349936.26</v>
      </c>
      <c r="AJ16" s="302">
        <f t="shared" si="14"/>
        <v>3488647.55</v>
      </c>
      <c r="AK16" s="302">
        <f t="shared" si="15"/>
        <v>2743721.96</v>
      </c>
    </row>
    <row r="17" spans="1:37" ht="15.75" customHeight="1">
      <c r="A17" s="325">
        <v>112011754</v>
      </c>
      <c r="B17" s="1510">
        <v>22</v>
      </c>
      <c r="C17" s="1511">
        <f t="shared" si="0"/>
        <v>0.1</v>
      </c>
      <c r="D17" s="1511">
        <f t="shared" si="1"/>
        <v>0.09</v>
      </c>
      <c r="E17" s="1511">
        <f t="shared" si="2"/>
        <v>0</v>
      </c>
      <c r="F17" s="1747" t="s">
        <v>736</v>
      </c>
      <c r="G17" s="1467">
        <f t="shared" si="3"/>
        <v>1120774.74</v>
      </c>
      <c r="H17" s="331">
        <f t="shared" si="18"/>
        <v>1884078.3766770002</v>
      </c>
      <c r="I17" s="331"/>
      <c r="J17" s="331"/>
      <c r="K17" s="331"/>
      <c r="L17" s="331"/>
      <c r="M17" s="331"/>
      <c r="N17" s="331">
        <f t="shared" si="4"/>
        <v>898345.92</v>
      </c>
      <c r="O17" s="331">
        <v>1800000</v>
      </c>
      <c r="P17" s="331"/>
      <c r="Q17" s="331"/>
      <c r="R17" s="331"/>
      <c r="S17" s="331"/>
      <c r="T17" s="331"/>
      <c r="U17" s="331">
        <f t="shared" si="5"/>
        <v>383752.02</v>
      </c>
      <c r="V17" s="331">
        <v>1800000</v>
      </c>
      <c r="W17" s="331"/>
      <c r="X17" s="331"/>
      <c r="Y17" s="331"/>
      <c r="Z17" s="331"/>
      <c r="AA17" s="331"/>
      <c r="AB17" s="330">
        <f t="shared" si="6"/>
        <v>5484078.376677</v>
      </c>
      <c r="AC17" s="302">
        <f t="shared" si="7"/>
        <v>842345.6</v>
      </c>
      <c r="AD17" s="302">
        <f t="shared" si="8"/>
        <v>864969.77</v>
      </c>
      <c r="AE17" s="302">
        <f t="shared" si="9"/>
        <v>687165.76</v>
      </c>
      <c r="AF17" s="302">
        <f t="shared" si="10"/>
        <v>1012004.38</v>
      </c>
      <c r="AG17" s="302">
        <f t="shared" si="11"/>
        <v>682081.6</v>
      </c>
      <c r="AH17" s="302">
        <f t="shared" si="12"/>
        <v>921017.06</v>
      </c>
      <c r="AI17" s="302">
        <f t="shared" si="13"/>
        <v>1322897.04</v>
      </c>
      <c r="AJ17" s="302">
        <f t="shared" si="14"/>
        <v>260415.35</v>
      </c>
      <c r="AK17" s="302">
        <f t="shared" si="15"/>
        <v>1158061.6499999999</v>
      </c>
    </row>
    <row r="18" spans="1:37" ht="15.75" customHeight="1">
      <c r="A18" s="325">
        <v>112011891</v>
      </c>
      <c r="B18" s="1527">
        <v>22</v>
      </c>
      <c r="C18" s="733">
        <f t="shared" si="0"/>
        <v>0.1</v>
      </c>
      <c r="D18" s="733">
        <f t="shared" si="1"/>
        <v>0.09</v>
      </c>
      <c r="E18" s="733">
        <f t="shared" si="2"/>
        <v>0</v>
      </c>
      <c r="F18" s="1745" t="s">
        <v>735</v>
      </c>
      <c r="G18" s="1466">
        <f t="shared" si="3"/>
        <v>255274.07</v>
      </c>
      <c r="H18" s="1497">
        <v>1800000</v>
      </c>
      <c r="I18" s="1497"/>
      <c r="J18" s="1497"/>
      <c r="K18" s="1497"/>
      <c r="L18" s="1497"/>
      <c r="M18" s="1497"/>
      <c r="N18" s="1497">
        <f t="shared" si="4"/>
        <v>39595.589999999997</v>
      </c>
      <c r="O18" s="1497">
        <v>1800000</v>
      </c>
      <c r="P18" s="1497"/>
      <c r="Q18" s="1497"/>
      <c r="R18" s="1497"/>
      <c r="S18" s="1497"/>
      <c r="T18" s="1497"/>
      <c r="U18" s="1497">
        <f t="shared" si="5"/>
        <v>370762.55</v>
      </c>
      <c r="V18" s="1497">
        <v>1800000</v>
      </c>
      <c r="W18" s="1497"/>
      <c r="X18" s="1497"/>
      <c r="Y18" s="1497"/>
      <c r="Z18" s="1497"/>
      <c r="AA18" s="1497"/>
      <c r="AB18" s="1746">
        <f t="shared" si="6"/>
        <v>5400000</v>
      </c>
      <c r="AC18" s="302">
        <f t="shared" si="7"/>
        <v>425831.74</v>
      </c>
      <c r="AD18" s="302">
        <f t="shared" si="8"/>
        <v>647428.82999999996</v>
      </c>
      <c r="AE18" s="302">
        <f t="shared" si="9"/>
        <v>476594.84</v>
      </c>
      <c r="AF18" s="302">
        <f t="shared" si="10"/>
        <v>689899.51</v>
      </c>
      <c r="AG18" s="302">
        <f t="shared" si="11"/>
        <v>878022.19</v>
      </c>
      <c r="AH18" s="302">
        <f t="shared" si="12"/>
        <v>663933.04</v>
      </c>
      <c r="AI18" s="302">
        <f t="shared" si="13"/>
        <v>487909.19</v>
      </c>
      <c r="AJ18" s="302">
        <f t="shared" si="14"/>
        <v>568187.01</v>
      </c>
      <c r="AK18" s="302">
        <f t="shared" si="15"/>
        <v>285414.09999999998</v>
      </c>
    </row>
    <row r="19" spans="1:37" ht="15.75" customHeight="1">
      <c r="A19" s="325">
        <v>112012470</v>
      </c>
      <c r="B19" s="1510">
        <v>22</v>
      </c>
      <c r="C19" s="1511">
        <f t="shared" si="0"/>
        <v>0.1</v>
      </c>
      <c r="D19" s="1511">
        <f t="shared" si="1"/>
        <v>0.09</v>
      </c>
      <c r="E19" s="1511">
        <f t="shared" si="2"/>
        <v>0</v>
      </c>
      <c r="F19" s="1747" t="s">
        <v>540</v>
      </c>
      <c r="G19" s="1467">
        <f t="shared" si="3"/>
        <v>1004513.89</v>
      </c>
      <c r="H19" s="331">
        <v>1800000</v>
      </c>
      <c r="I19" s="331"/>
      <c r="J19" s="331"/>
      <c r="K19" s="331"/>
      <c r="L19" s="331"/>
      <c r="M19" s="331"/>
      <c r="N19" s="331">
        <f t="shared" si="4"/>
        <v>1914531.71</v>
      </c>
      <c r="O19" s="331">
        <f>(N19*1.7245)*1.03</f>
        <v>3400658.2319118497</v>
      </c>
      <c r="P19" s="331"/>
      <c r="Q19" s="331"/>
      <c r="R19" s="331"/>
      <c r="S19" s="331"/>
      <c r="T19" s="331"/>
      <c r="U19" s="331">
        <f t="shared" si="5"/>
        <v>1174696.3</v>
      </c>
      <c r="V19" s="331">
        <f>(U19*1.5955)*1.05</f>
        <v>1967939.3439825003</v>
      </c>
      <c r="W19" s="331"/>
      <c r="X19" s="331"/>
      <c r="Y19" s="331"/>
      <c r="Z19" s="331"/>
      <c r="AA19" s="331"/>
      <c r="AB19" s="330">
        <f t="shared" si="6"/>
        <v>7168597.5758943493</v>
      </c>
      <c r="AC19" s="302">
        <f t="shared" si="7"/>
        <v>1511971.44</v>
      </c>
      <c r="AD19" s="302">
        <f t="shared" si="8"/>
        <v>1045953.58</v>
      </c>
      <c r="AE19" s="302">
        <f t="shared" si="9"/>
        <v>1088634.1100000001</v>
      </c>
      <c r="AF19" s="302">
        <f t="shared" si="10"/>
        <v>1659411.42</v>
      </c>
      <c r="AG19" s="302">
        <f t="shared" si="11"/>
        <v>1151573.25</v>
      </c>
      <c r="AH19" s="302">
        <f t="shared" si="12"/>
        <v>1870251.33</v>
      </c>
      <c r="AI19" s="302">
        <f t="shared" si="13"/>
        <v>3053727.54</v>
      </c>
      <c r="AJ19" s="302">
        <f t="shared" si="14"/>
        <v>1234100.6599999999</v>
      </c>
      <c r="AK19" s="302">
        <f t="shared" si="15"/>
        <v>2561393.9700000002</v>
      </c>
    </row>
    <row r="20" spans="1:37" ht="15.75" customHeight="1">
      <c r="A20" s="1767">
        <v>112013606</v>
      </c>
      <c r="B20" s="1768">
        <v>22</v>
      </c>
      <c r="C20" s="1769">
        <f t="shared" si="0"/>
        <v>0.1</v>
      </c>
      <c r="D20" s="1769">
        <f t="shared" si="1"/>
        <v>0.09</v>
      </c>
      <c r="E20" s="1769">
        <f t="shared" si="2"/>
        <v>0</v>
      </c>
      <c r="F20" s="1770" t="s">
        <v>668</v>
      </c>
      <c r="G20" s="1771">
        <f t="shared" si="3"/>
        <v>143528.98000000001</v>
      </c>
      <c r="H20" s="1772">
        <v>1800000</v>
      </c>
      <c r="I20" s="1772"/>
      <c r="J20" s="1772"/>
      <c r="K20" s="1772"/>
      <c r="L20" s="1772"/>
      <c r="M20" s="1772"/>
      <c r="N20" s="1772">
        <f t="shared" si="4"/>
        <v>448421</v>
      </c>
      <c r="O20" s="1772">
        <v>1800000</v>
      </c>
      <c r="P20" s="1772"/>
      <c r="Q20" s="1772"/>
      <c r="R20" s="1772"/>
      <c r="S20" s="1772"/>
      <c r="T20" s="1772"/>
      <c r="U20" s="1772">
        <f t="shared" si="5"/>
        <v>265585.98</v>
      </c>
      <c r="V20" s="1772">
        <v>1800000</v>
      </c>
      <c r="W20" s="1772"/>
      <c r="X20" s="1772"/>
      <c r="Y20" s="1772"/>
      <c r="Z20" s="1772"/>
      <c r="AA20" s="1772"/>
      <c r="AB20" s="1773">
        <f t="shared" si="6"/>
        <v>5400000</v>
      </c>
      <c r="AC20" s="302">
        <f t="shared" si="7"/>
        <v>409231.24</v>
      </c>
      <c r="AD20" s="302">
        <f t="shared" si="8"/>
        <v>436058.33</v>
      </c>
      <c r="AE20" s="302">
        <f t="shared" si="9"/>
        <v>437463.42</v>
      </c>
      <c r="AF20" s="302">
        <f t="shared" si="10"/>
        <v>476391.26</v>
      </c>
      <c r="AG20" s="302">
        <f t="shared" si="11"/>
        <v>362457.01</v>
      </c>
      <c r="AH20" s="302">
        <f t="shared" si="12"/>
        <v>690590.18</v>
      </c>
      <c r="AI20" s="302">
        <f t="shared" si="13"/>
        <v>1028051.74</v>
      </c>
      <c r="AJ20" s="302">
        <f t="shared" si="14"/>
        <v>330989.90000000002</v>
      </c>
      <c r="AK20" s="302">
        <f t="shared" si="15"/>
        <v>218926.72</v>
      </c>
    </row>
    <row r="21" spans="1:37" ht="15.75" customHeight="1">
      <c r="A21" s="463">
        <v>112010681</v>
      </c>
      <c r="B21" s="1755">
        <v>29</v>
      </c>
      <c r="C21" s="1549">
        <f t="shared" si="0"/>
        <v>0.05</v>
      </c>
      <c r="D21" s="1549">
        <f t="shared" si="1"/>
        <v>0.2</v>
      </c>
      <c r="E21" s="1549">
        <f t="shared" si="2"/>
        <v>0</v>
      </c>
      <c r="F21" s="1756" t="s">
        <v>65</v>
      </c>
      <c r="G21" s="1550">
        <f t="shared" si="3"/>
        <v>1619054.63</v>
      </c>
      <c r="H21" s="1515">
        <f t="shared" ref="H21:H22" si="19">(G21*1.601)*1.05</f>
        <v>2721711.7857615002</v>
      </c>
      <c r="I21" s="1515"/>
      <c r="J21" s="1515"/>
      <c r="K21" s="1515"/>
      <c r="L21" s="1515"/>
      <c r="M21" s="1515"/>
      <c r="N21" s="1515">
        <f t="shared" si="4"/>
        <v>499675.99</v>
      </c>
      <c r="O21" s="1515">
        <v>1500000</v>
      </c>
      <c r="P21" s="1515"/>
      <c r="Q21" s="1515"/>
      <c r="R21" s="1515"/>
      <c r="S21" s="1515"/>
      <c r="T21" s="1515"/>
      <c r="U21" s="1515">
        <f t="shared" si="5"/>
        <v>633578.85</v>
      </c>
      <c r="V21" s="1515">
        <v>1500000</v>
      </c>
      <c r="W21" s="1515"/>
      <c r="X21" s="1515"/>
      <c r="Y21" s="1515"/>
      <c r="Z21" s="1515"/>
      <c r="AA21" s="1515"/>
      <c r="AB21" s="1757">
        <f t="shared" si="6"/>
        <v>5721711.7857614998</v>
      </c>
      <c r="AC21" s="302">
        <f t="shared" si="7"/>
        <v>1419591.26</v>
      </c>
      <c r="AD21" s="302">
        <f t="shared" si="8"/>
        <v>927780.34</v>
      </c>
      <c r="AE21" s="302">
        <f t="shared" si="9"/>
        <v>1193080.05</v>
      </c>
      <c r="AF21" s="302">
        <f t="shared" si="10"/>
        <v>3226023.51</v>
      </c>
      <c r="AG21" s="302">
        <f t="shared" si="11"/>
        <v>0</v>
      </c>
      <c r="AH21" s="302">
        <f t="shared" si="12"/>
        <v>393776.97</v>
      </c>
      <c r="AI21" s="302">
        <f t="shared" si="13"/>
        <v>2735282.92</v>
      </c>
      <c r="AJ21" s="302">
        <f t="shared" si="14"/>
        <v>747842.66</v>
      </c>
      <c r="AK21" s="302">
        <f t="shared" si="15"/>
        <v>0</v>
      </c>
    </row>
    <row r="22" spans="1:37" ht="15.75" customHeight="1">
      <c r="A22" s="325">
        <v>112010446</v>
      </c>
      <c r="B22" s="1527">
        <v>20</v>
      </c>
      <c r="C22" s="733">
        <f t="shared" si="0"/>
        <v>0.05</v>
      </c>
      <c r="D22" s="733">
        <f t="shared" si="1"/>
        <v>0.09</v>
      </c>
      <c r="E22" s="733">
        <f t="shared" si="2"/>
        <v>0</v>
      </c>
      <c r="F22" s="1745" t="s">
        <v>543</v>
      </c>
      <c r="G22" s="1466">
        <f t="shared" si="3"/>
        <v>1506555.06</v>
      </c>
      <c r="H22" s="1497">
        <f t="shared" si="19"/>
        <v>2532594.3836130002</v>
      </c>
      <c r="I22" s="1497"/>
      <c r="J22" s="1497"/>
      <c r="K22" s="1497"/>
      <c r="L22" s="1497"/>
      <c r="M22" s="1497"/>
      <c r="N22" s="1497">
        <f t="shared" si="4"/>
        <v>1467024.6</v>
      </c>
      <c r="O22" s="1497">
        <f>(N22*1.7245)*1.03</f>
        <v>2605780.4403810003</v>
      </c>
      <c r="P22" s="1497"/>
      <c r="Q22" s="1497"/>
      <c r="R22" s="1497"/>
      <c r="S22" s="1497"/>
      <c r="T22" s="1497"/>
      <c r="U22" s="1497">
        <f t="shared" si="5"/>
        <v>1114070.6000000001</v>
      </c>
      <c r="V22" s="1497">
        <f>(U22*1.5955)*1.05</f>
        <v>1866374.624415</v>
      </c>
      <c r="W22" s="1497"/>
      <c r="X22" s="1497"/>
      <c r="Y22" s="1497"/>
      <c r="Z22" s="1497"/>
      <c r="AA22" s="1497"/>
      <c r="AB22" s="1746">
        <f t="shared" si="6"/>
        <v>7004749.4484090004</v>
      </c>
      <c r="AC22" s="302">
        <f t="shared" si="7"/>
        <v>1540365.53</v>
      </c>
      <c r="AD22" s="302">
        <f t="shared" si="8"/>
        <v>1037347.68</v>
      </c>
      <c r="AE22" s="302">
        <f t="shared" si="9"/>
        <v>1027180.56</v>
      </c>
      <c r="AF22" s="302">
        <f t="shared" si="10"/>
        <v>1226022.3799999999</v>
      </c>
      <c r="AG22" s="302">
        <f t="shared" si="11"/>
        <v>593465.18000000005</v>
      </c>
      <c r="AH22" s="302">
        <f t="shared" si="12"/>
        <v>2747434.35</v>
      </c>
      <c r="AI22" s="302">
        <f t="shared" si="13"/>
        <v>3963754.22</v>
      </c>
      <c r="AJ22" s="302">
        <f t="shared" si="14"/>
        <v>1980181.24</v>
      </c>
      <c r="AK22" s="302">
        <f t="shared" si="15"/>
        <v>653382.04</v>
      </c>
    </row>
    <row r="23" spans="1:37" ht="15.75" customHeight="1">
      <c r="A23" s="325">
        <v>112010764</v>
      </c>
      <c r="B23" s="1510">
        <v>20</v>
      </c>
      <c r="C23" s="1511">
        <f t="shared" si="0"/>
        <v>0.05</v>
      </c>
      <c r="D23" s="1511">
        <f t="shared" si="1"/>
        <v>0.09</v>
      </c>
      <c r="E23" s="1511">
        <f t="shared" si="2"/>
        <v>0</v>
      </c>
      <c r="F23" s="1747" t="s">
        <v>105</v>
      </c>
      <c r="G23" s="1467">
        <f t="shared" si="3"/>
        <v>221719.69</v>
      </c>
      <c r="H23" s="331">
        <v>1500000</v>
      </c>
      <c r="I23" s="331"/>
      <c r="J23" s="331"/>
      <c r="K23" s="331"/>
      <c r="L23" s="331"/>
      <c r="M23" s="331"/>
      <c r="N23" s="331">
        <f t="shared" si="4"/>
        <v>143978.51999999999</v>
      </c>
      <c r="O23" s="331">
        <v>1500000</v>
      </c>
      <c r="P23" s="331"/>
      <c r="Q23" s="331"/>
      <c r="R23" s="331"/>
      <c r="S23" s="331"/>
      <c r="T23" s="331"/>
      <c r="U23" s="331">
        <f t="shared" si="5"/>
        <v>155200.71</v>
      </c>
      <c r="V23" s="331">
        <v>1500000</v>
      </c>
      <c r="W23" s="331"/>
      <c r="X23" s="331"/>
      <c r="Y23" s="331"/>
      <c r="Z23" s="331"/>
      <c r="AA23" s="331"/>
      <c r="AB23" s="330">
        <f t="shared" si="6"/>
        <v>4500000</v>
      </c>
      <c r="AC23" s="302">
        <f t="shared" si="7"/>
        <v>194984.21</v>
      </c>
      <c r="AD23" s="302">
        <f t="shared" si="8"/>
        <v>277576.09999999998</v>
      </c>
      <c r="AE23" s="302">
        <f t="shared" si="9"/>
        <v>266203.90999999997</v>
      </c>
      <c r="AF23" s="302">
        <f t="shared" si="10"/>
        <v>546186.09</v>
      </c>
      <c r="AG23" s="302">
        <f t="shared" si="11"/>
        <v>326256.53000000003</v>
      </c>
      <c r="AH23" s="302">
        <f t="shared" si="12"/>
        <v>161583.23000000001</v>
      </c>
      <c r="AI23" s="302">
        <f t="shared" si="13"/>
        <v>750570.78</v>
      </c>
      <c r="AJ23" s="302">
        <f t="shared" si="14"/>
        <v>568070</v>
      </c>
      <c r="AK23" s="302">
        <f t="shared" si="15"/>
        <v>172993.86</v>
      </c>
    </row>
    <row r="24" spans="1:37" ht="15.75" customHeight="1">
      <c r="A24" s="325">
        <v>112010927</v>
      </c>
      <c r="B24" s="1527">
        <v>20</v>
      </c>
      <c r="C24" s="733">
        <f t="shared" si="0"/>
        <v>0.05</v>
      </c>
      <c r="D24" s="733">
        <f t="shared" si="1"/>
        <v>0.09</v>
      </c>
      <c r="E24" s="733">
        <f t="shared" si="2"/>
        <v>0</v>
      </c>
      <c r="F24" s="1745" t="s">
        <v>742</v>
      </c>
      <c r="G24" s="1466">
        <f t="shared" si="3"/>
        <v>489078.74</v>
      </c>
      <c r="H24" s="1497">
        <v>1500000</v>
      </c>
      <c r="I24" s="1497"/>
      <c r="J24" s="1497"/>
      <c r="K24" s="1497"/>
      <c r="L24" s="1497"/>
      <c r="M24" s="1497"/>
      <c r="N24" s="1497">
        <f t="shared" si="4"/>
        <v>458879.49</v>
      </c>
      <c r="O24" s="1497">
        <f t="shared" ref="O24:O25" si="20">(N24*1.7245)*1.03</f>
        <v>815077.8109201499</v>
      </c>
      <c r="P24" s="1497"/>
      <c r="Q24" s="1497"/>
      <c r="R24" s="1497"/>
      <c r="S24" s="1497"/>
      <c r="T24" s="1497"/>
      <c r="U24" s="1497">
        <f t="shared" si="5"/>
        <v>529079.09</v>
      </c>
      <c r="V24" s="1497">
        <f t="shared" ref="V24:V25" si="21">(U24*1.5955)*1.05</f>
        <v>886352.97249974986</v>
      </c>
      <c r="W24" s="1497"/>
      <c r="X24" s="1497"/>
      <c r="Y24" s="1497"/>
      <c r="Z24" s="1497"/>
      <c r="AA24" s="1497"/>
      <c r="AB24" s="1746">
        <f t="shared" si="6"/>
        <v>3201430.7834198996</v>
      </c>
      <c r="AC24" s="302">
        <f t="shared" si="7"/>
        <v>483775.44</v>
      </c>
      <c r="AD24" s="302">
        <f t="shared" si="8"/>
        <v>479279.08</v>
      </c>
      <c r="AE24" s="302">
        <f t="shared" si="9"/>
        <v>446746.2</v>
      </c>
      <c r="AF24" s="302">
        <f t="shared" si="10"/>
        <v>836005.22</v>
      </c>
      <c r="AG24" s="302">
        <f t="shared" si="11"/>
        <v>391401.01</v>
      </c>
      <c r="AH24" s="302">
        <f t="shared" si="12"/>
        <v>997156.48</v>
      </c>
      <c r="AI24" s="302">
        <f t="shared" si="13"/>
        <v>536099.83999999997</v>
      </c>
      <c r="AJ24" s="302">
        <f t="shared" si="14"/>
        <v>234461.43</v>
      </c>
      <c r="AK24" s="302">
        <f t="shared" si="15"/>
        <v>123780.5</v>
      </c>
    </row>
    <row r="25" spans="1:37" ht="15.75" customHeight="1">
      <c r="A25" s="325">
        <v>112011463</v>
      </c>
      <c r="B25" s="1510">
        <v>20</v>
      </c>
      <c r="C25" s="1511">
        <f t="shared" si="0"/>
        <v>0.05</v>
      </c>
      <c r="D25" s="1511">
        <f t="shared" si="1"/>
        <v>0.09</v>
      </c>
      <c r="E25" s="1511">
        <f t="shared" si="2"/>
        <v>0</v>
      </c>
      <c r="F25" s="1747" t="s">
        <v>715</v>
      </c>
      <c r="G25" s="1467">
        <f t="shared" si="3"/>
        <v>1809807.63</v>
      </c>
      <c r="H25" s="331">
        <f>(G25*1.601)*1.05</f>
        <v>3042377.1164115001</v>
      </c>
      <c r="I25" s="331"/>
      <c r="J25" s="331"/>
      <c r="K25" s="331"/>
      <c r="L25" s="331"/>
      <c r="M25" s="331"/>
      <c r="N25" s="331">
        <f t="shared" si="4"/>
        <v>1473055.51</v>
      </c>
      <c r="O25" s="331">
        <f t="shared" si="20"/>
        <v>2616492.7538048499</v>
      </c>
      <c r="P25" s="331"/>
      <c r="Q25" s="331"/>
      <c r="R25" s="331"/>
      <c r="S25" s="331"/>
      <c r="T25" s="331"/>
      <c r="U25" s="331">
        <f t="shared" si="5"/>
        <v>1623645.06</v>
      </c>
      <c r="V25" s="331">
        <f t="shared" si="21"/>
        <v>2720051.9778915001</v>
      </c>
      <c r="W25" s="331"/>
      <c r="X25" s="331"/>
      <c r="Y25" s="331"/>
      <c r="Z25" s="331"/>
      <c r="AA25" s="331"/>
      <c r="AB25" s="330">
        <f t="shared" si="6"/>
        <v>8378921.8481078502</v>
      </c>
      <c r="AC25" s="302">
        <f t="shared" si="7"/>
        <v>1359116.12</v>
      </c>
      <c r="AD25" s="302">
        <f t="shared" si="8"/>
        <v>593910.96</v>
      </c>
      <c r="AE25" s="302">
        <f t="shared" si="9"/>
        <v>1561439.99</v>
      </c>
      <c r="AF25" s="302">
        <f t="shared" si="10"/>
        <v>2075707.62</v>
      </c>
      <c r="AG25" s="302">
        <f t="shared" si="11"/>
        <v>2221116.5099999998</v>
      </c>
      <c r="AH25" s="302">
        <f t="shared" si="12"/>
        <v>2638006.94</v>
      </c>
      <c r="AI25" s="302">
        <f t="shared" si="13"/>
        <v>1607691.85</v>
      </c>
      <c r="AJ25" s="302">
        <f t="shared" si="14"/>
        <v>1553875.09</v>
      </c>
      <c r="AK25" s="302">
        <f t="shared" si="15"/>
        <v>3355437.87</v>
      </c>
    </row>
    <row r="26" spans="1:37" ht="15.75" customHeight="1">
      <c r="A26" s="325">
        <v>112011776</v>
      </c>
      <c r="B26" s="1527">
        <v>20</v>
      </c>
      <c r="C26" s="733">
        <f t="shared" si="0"/>
        <v>0.05</v>
      </c>
      <c r="D26" s="733">
        <f t="shared" si="1"/>
        <v>0.09</v>
      </c>
      <c r="E26" s="733">
        <f t="shared" si="2"/>
        <v>0</v>
      </c>
      <c r="F26" s="1745" t="s">
        <v>622</v>
      </c>
      <c r="G26" s="1466">
        <f t="shared" si="3"/>
        <v>350618.2</v>
      </c>
      <c r="H26" s="1497">
        <v>1500000</v>
      </c>
      <c r="I26" s="1497"/>
      <c r="J26" s="1497"/>
      <c r="K26" s="1497"/>
      <c r="L26" s="1497"/>
      <c r="M26" s="1497"/>
      <c r="N26" s="1497">
        <f t="shared" si="4"/>
        <v>519190.71</v>
      </c>
      <c r="O26" s="1497">
        <v>1500000</v>
      </c>
      <c r="P26" s="1497"/>
      <c r="Q26" s="1497"/>
      <c r="R26" s="1497"/>
      <c r="S26" s="1497"/>
      <c r="T26" s="1497"/>
      <c r="U26" s="1497">
        <f t="shared" si="5"/>
        <v>225571.3</v>
      </c>
      <c r="V26" s="1497">
        <v>1500000</v>
      </c>
      <c r="W26" s="1497"/>
      <c r="X26" s="1497"/>
      <c r="Y26" s="1497"/>
      <c r="Z26" s="1497"/>
      <c r="AA26" s="1497"/>
      <c r="AB26" s="1746">
        <f t="shared" si="6"/>
        <v>4500000</v>
      </c>
      <c r="AC26" s="302">
        <f t="shared" si="7"/>
        <v>263007.39</v>
      </c>
      <c r="AD26" s="302">
        <f t="shared" si="8"/>
        <v>385707.76</v>
      </c>
      <c r="AE26" s="302">
        <f t="shared" si="9"/>
        <v>393856.92</v>
      </c>
      <c r="AF26" s="302">
        <f t="shared" si="10"/>
        <v>352430.51</v>
      </c>
      <c r="AG26" s="302">
        <f t="shared" si="11"/>
        <v>444458.49</v>
      </c>
      <c r="AH26" s="302">
        <f t="shared" si="12"/>
        <v>496733.13</v>
      </c>
      <c r="AI26" s="302">
        <f t="shared" si="13"/>
        <v>693476</v>
      </c>
      <c r="AJ26" s="302">
        <f t="shared" si="14"/>
        <v>615657.71</v>
      </c>
      <c r="AK26" s="302">
        <f t="shared" si="15"/>
        <v>330408.65000000002</v>
      </c>
    </row>
    <row r="27" spans="1:37" ht="15.75" customHeight="1">
      <c r="A27" s="1774">
        <v>112014101</v>
      </c>
      <c r="B27" s="1775">
        <v>20</v>
      </c>
      <c r="C27" s="1776">
        <f t="shared" si="0"/>
        <v>0.05</v>
      </c>
      <c r="D27" s="1776">
        <f t="shared" si="1"/>
        <v>0.09</v>
      </c>
      <c r="E27" s="1776">
        <f t="shared" si="2"/>
        <v>0</v>
      </c>
      <c r="F27" s="1777" t="s">
        <v>450</v>
      </c>
      <c r="G27" s="1778">
        <f t="shared" si="3"/>
        <v>26312.36</v>
      </c>
      <c r="H27" s="1561">
        <v>1500000</v>
      </c>
      <c r="I27" s="1561"/>
      <c r="J27" s="1561"/>
      <c r="K27" s="1561"/>
      <c r="L27" s="1561"/>
      <c r="M27" s="1561"/>
      <c r="N27" s="1561">
        <f t="shared" si="4"/>
        <v>109008.61</v>
      </c>
      <c r="O27" s="1561">
        <v>1500000</v>
      </c>
      <c r="P27" s="1561"/>
      <c r="Q27" s="1561"/>
      <c r="R27" s="1561"/>
      <c r="S27" s="1561"/>
      <c r="T27" s="1561"/>
      <c r="U27" s="1561">
        <f t="shared" si="5"/>
        <v>35266.6</v>
      </c>
      <c r="V27" s="1561">
        <v>1500000</v>
      </c>
      <c r="W27" s="1561"/>
      <c r="X27" s="1561"/>
      <c r="Y27" s="1561"/>
      <c r="Z27" s="1561"/>
      <c r="AA27" s="1561"/>
      <c r="AB27" s="1779">
        <f t="shared" si="6"/>
        <v>4500000</v>
      </c>
      <c r="AC27" s="302">
        <f t="shared" si="7"/>
        <v>100617.07</v>
      </c>
      <c r="AD27" s="302">
        <f t="shared" si="8"/>
        <v>139274.46</v>
      </c>
      <c r="AE27" s="302">
        <f t="shared" si="9"/>
        <v>40666.870000000003</v>
      </c>
      <c r="AF27" s="302">
        <f t="shared" si="10"/>
        <v>126339.62</v>
      </c>
      <c r="AG27" s="302">
        <f t="shared" si="11"/>
        <v>34410.379999999997</v>
      </c>
      <c r="AH27" s="302">
        <f t="shared" si="12"/>
        <v>13665.52</v>
      </c>
      <c r="AI27" s="302">
        <f t="shared" si="13"/>
        <v>82682.63</v>
      </c>
      <c r="AJ27" s="302">
        <f t="shared" si="14"/>
        <v>114779.16</v>
      </c>
      <c r="AK27" s="302">
        <f t="shared" si="15"/>
        <v>137205.41</v>
      </c>
    </row>
    <row r="28" spans="1:37" ht="15.75" customHeight="1">
      <c r="A28" s="463">
        <v>112013157</v>
      </c>
      <c r="B28" s="1483">
        <v>4</v>
      </c>
      <c r="C28" s="1484" t="str">
        <f t="shared" si="0"/>
        <v>Lista</v>
      </c>
      <c r="D28" s="1484">
        <f t="shared" si="1"/>
        <v>0.2</v>
      </c>
      <c r="E28" s="1484">
        <f t="shared" si="2"/>
        <v>0</v>
      </c>
      <c r="F28" s="1765" t="s">
        <v>1610</v>
      </c>
      <c r="G28" s="1482" t="str">
        <f t="shared" si="3"/>
        <v/>
      </c>
      <c r="H28" s="1485" t="e">
        <f t="shared" ref="H28:H31" si="22">(G28*1.601)*1.05</f>
        <v>#VALUE!</v>
      </c>
      <c r="I28" s="1485"/>
      <c r="J28" s="1485"/>
      <c r="K28" s="1485"/>
      <c r="L28" s="1485"/>
      <c r="M28" s="1485"/>
      <c r="N28" s="1485" t="str">
        <f t="shared" si="4"/>
        <v/>
      </c>
      <c r="O28" s="1485" t="e">
        <f t="shared" ref="O28:O31" si="23">(N28*1.7245)*1.03</f>
        <v>#VALUE!</v>
      </c>
      <c r="P28" s="1485"/>
      <c r="Q28" s="1485"/>
      <c r="R28" s="1485"/>
      <c r="S28" s="1485"/>
      <c r="T28" s="1485"/>
      <c r="U28" s="1485" t="str">
        <f t="shared" si="5"/>
        <v/>
      </c>
      <c r="V28" s="1485" t="e">
        <f t="shared" ref="V28:V31" si="24">(U28*1.5955)*1.05</f>
        <v>#VALUE!</v>
      </c>
      <c r="W28" s="1485"/>
      <c r="X28" s="1485"/>
      <c r="Y28" s="1485"/>
      <c r="Z28" s="1485"/>
      <c r="AA28" s="1485"/>
      <c r="AB28" s="1766" t="e">
        <f t="shared" si="6"/>
        <v>#VALUE!</v>
      </c>
      <c r="AC28" s="302" t="str">
        <f t="shared" si="7"/>
        <v/>
      </c>
      <c r="AD28" s="302" t="str">
        <f t="shared" si="8"/>
        <v/>
      </c>
      <c r="AE28" s="302" t="str">
        <f t="shared" si="9"/>
        <v/>
      </c>
      <c r="AF28" s="302" t="str">
        <f t="shared" si="10"/>
        <v/>
      </c>
      <c r="AG28" s="302" t="str">
        <f t="shared" si="11"/>
        <v/>
      </c>
      <c r="AH28" s="302" t="str">
        <f t="shared" si="12"/>
        <v/>
      </c>
      <c r="AI28" s="302" t="str">
        <f t="shared" si="13"/>
        <v/>
      </c>
      <c r="AJ28" s="302" t="str">
        <f t="shared" si="14"/>
        <v/>
      </c>
      <c r="AK28" s="302" t="str">
        <f t="shared" si="15"/>
        <v/>
      </c>
    </row>
    <row r="29" spans="1:37" ht="15.75" customHeight="1">
      <c r="A29" s="325">
        <v>112014474</v>
      </c>
      <c r="B29" s="1510">
        <v>4</v>
      </c>
      <c r="C29" s="1511" t="str">
        <f t="shared" si="0"/>
        <v>Lista</v>
      </c>
      <c r="D29" s="1511">
        <f t="shared" si="1"/>
        <v>0.2</v>
      </c>
      <c r="E29" s="1511">
        <f t="shared" si="2"/>
        <v>0</v>
      </c>
      <c r="F29" s="1747" t="s">
        <v>751</v>
      </c>
      <c r="G29" s="1467">
        <f t="shared" si="3"/>
        <v>0</v>
      </c>
      <c r="H29" s="331">
        <f t="shared" si="22"/>
        <v>0</v>
      </c>
      <c r="I29" s="331"/>
      <c r="J29" s="331"/>
      <c r="K29" s="331"/>
      <c r="L29" s="331"/>
      <c r="M29" s="331"/>
      <c r="N29" s="331">
        <f t="shared" si="4"/>
        <v>0</v>
      </c>
      <c r="O29" s="331">
        <f t="shared" si="23"/>
        <v>0</v>
      </c>
      <c r="P29" s="331"/>
      <c r="Q29" s="331"/>
      <c r="R29" s="331"/>
      <c r="S29" s="331"/>
      <c r="T29" s="331"/>
      <c r="U29" s="331">
        <f t="shared" si="5"/>
        <v>0</v>
      </c>
      <c r="V29" s="331">
        <f t="shared" si="24"/>
        <v>0</v>
      </c>
      <c r="W29" s="331"/>
      <c r="X29" s="331"/>
      <c r="Y29" s="331"/>
      <c r="Z29" s="331"/>
      <c r="AA29" s="331"/>
      <c r="AB29" s="330">
        <f t="shared" si="6"/>
        <v>0</v>
      </c>
      <c r="AC29" s="302">
        <f t="shared" si="7"/>
        <v>0</v>
      </c>
      <c r="AD29" s="302">
        <f t="shared" si="8"/>
        <v>0</v>
      </c>
      <c r="AE29" s="302">
        <f t="shared" si="9"/>
        <v>0</v>
      </c>
      <c r="AF29" s="302">
        <f t="shared" si="10"/>
        <v>0</v>
      </c>
      <c r="AG29" s="302">
        <f t="shared" si="11"/>
        <v>283209.59999999998</v>
      </c>
      <c r="AH29" s="302">
        <f t="shared" si="12"/>
        <v>316977.44</v>
      </c>
      <c r="AI29" s="302">
        <f t="shared" si="13"/>
        <v>381547.92</v>
      </c>
      <c r="AJ29" s="302">
        <f t="shared" si="14"/>
        <v>0</v>
      </c>
      <c r="AK29" s="302">
        <f t="shared" si="15"/>
        <v>0</v>
      </c>
    </row>
    <row r="30" spans="1:37" ht="15.75" customHeight="1">
      <c r="A30" s="325">
        <v>112010441</v>
      </c>
      <c r="B30" s="1527">
        <v>1</v>
      </c>
      <c r="C30" s="733" t="str">
        <f t="shared" si="0"/>
        <v>Lista</v>
      </c>
      <c r="D30" s="733">
        <f t="shared" si="1"/>
        <v>0.09</v>
      </c>
      <c r="E30" s="733">
        <f t="shared" si="2"/>
        <v>0</v>
      </c>
      <c r="F30" s="1745" t="s">
        <v>620</v>
      </c>
      <c r="G30" s="1466">
        <f t="shared" si="3"/>
        <v>0</v>
      </c>
      <c r="H30" s="1497">
        <f t="shared" si="22"/>
        <v>0</v>
      </c>
      <c r="I30" s="1497"/>
      <c r="J30" s="1497"/>
      <c r="K30" s="1497"/>
      <c r="L30" s="1497"/>
      <c r="M30" s="1497"/>
      <c r="N30" s="1497">
        <f t="shared" si="4"/>
        <v>0</v>
      </c>
      <c r="O30" s="1497">
        <f t="shared" si="23"/>
        <v>0</v>
      </c>
      <c r="P30" s="1497"/>
      <c r="Q30" s="1497"/>
      <c r="R30" s="1497"/>
      <c r="S30" s="1497"/>
      <c r="T30" s="1497"/>
      <c r="U30" s="1497">
        <f t="shared" si="5"/>
        <v>0</v>
      </c>
      <c r="V30" s="1497">
        <f t="shared" si="24"/>
        <v>0</v>
      </c>
      <c r="W30" s="1497"/>
      <c r="X30" s="1497"/>
      <c r="Y30" s="1497"/>
      <c r="Z30" s="1497"/>
      <c r="AA30" s="1497"/>
      <c r="AB30" s="1746">
        <f t="shared" si="6"/>
        <v>0</v>
      </c>
      <c r="AC30" s="302">
        <f t="shared" si="7"/>
        <v>105028.02</v>
      </c>
      <c r="AD30" s="302">
        <f t="shared" si="8"/>
        <v>140206.39000000001</v>
      </c>
      <c r="AE30" s="302">
        <f t="shared" si="9"/>
        <v>372242.38</v>
      </c>
      <c r="AF30" s="302">
        <f t="shared" si="10"/>
        <v>262279.18</v>
      </c>
      <c r="AG30" s="302">
        <f t="shared" si="11"/>
        <v>139731.35999999999</v>
      </c>
      <c r="AH30" s="302">
        <f t="shared" si="12"/>
        <v>263643.90999999997</v>
      </c>
      <c r="AI30" s="302">
        <f t="shared" si="13"/>
        <v>429747.68</v>
      </c>
      <c r="AJ30" s="302">
        <f t="shared" si="14"/>
        <v>139168.39000000001</v>
      </c>
      <c r="AK30" s="302">
        <f t="shared" si="15"/>
        <v>461711.59</v>
      </c>
    </row>
    <row r="31" spans="1:37" ht="15.75" customHeight="1">
      <c r="A31" s="325">
        <v>112010547</v>
      </c>
      <c r="B31" s="1510">
        <v>1</v>
      </c>
      <c r="C31" s="1511" t="str">
        <f t="shared" si="0"/>
        <v>Lista</v>
      </c>
      <c r="D31" s="1511">
        <f t="shared" si="1"/>
        <v>0.09</v>
      </c>
      <c r="E31" s="1511">
        <f t="shared" si="2"/>
        <v>0</v>
      </c>
      <c r="F31" s="1747" t="s">
        <v>794</v>
      </c>
      <c r="G31" s="1467">
        <f t="shared" si="3"/>
        <v>62618.6</v>
      </c>
      <c r="H31" s="331">
        <f t="shared" si="22"/>
        <v>105264.99753000001</v>
      </c>
      <c r="I31" s="331"/>
      <c r="J31" s="331"/>
      <c r="K31" s="331"/>
      <c r="L31" s="331"/>
      <c r="M31" s="331"/>
      <c r="N31" s="331">
        <f t="shared" si="4"/>
        <v>0</v>
      </c>
      <c r="O31" s="331">
        <f t="shared" si="23"/>
        <v>0</v>
      </c>
      <c r="P31" s="331"/>
      <c r="Q31" s="331"/>
      <c r="R31" s="331"/>
      <c r="S31" s="331"/>
      <c r="T31" s="331"/>
      <c r="U31" s="331">
        <f t="shared" si="5"/>
        <v>0</v>
      </c>
      <c r="V31" s="331">
        <f t="shared" si="24"/>
        <v>0</v>
      </c>
      <c r="W31" s="331"/>
      <c r="X31" s="331"/>
      <c r="Y31" s="331"/>
      <c r="Z31" s="331"/>
      <c r="AA31" s="331"/>
      <c r="AB31" s="330">
        <f t="shared" si="6"/>
        <v>105264.99753000001</v>
      </c>
      <c r="AC31" s="302">
        <f t="shared" si="7"/>
        <v>0</v>
      </c>
      <c r="AD31" s="302">
        <f t="shared" si="8"/>
        <v>0</v>
      </c>
      <c r="AE31" s="302">
        <f t="shared" si="9"/>
        <v>0</v>
      </c>
      <c r="AF31" s="302">
        <f t="shared" si="10"/>
        <v>0</v>
      </c>
      <c r="AG31" s="302">
        <f t="shared" si="11"/>
        <v>0</v>
      </c>
      <c r="AH31" s="302">
        <f t="shared" si="12"/>
        <v>0</v>
      </c>
      <c r="AI31" s="302">
        <f t="shared" si="13"/>
        <v>0</v>
      </c>
      <c r="AJ31" s="302">
        <f t="shared" si="14"/>
        <v>0</v>
      </c>
      <c r="AK31" s="302">
        <f t="shared" si="15"/>
        <v>0</v>
      </c>
    </row>
    <row r="32" spans="1:37" ht="15.75" customHeight="1">
      <c r="A32" s="925"/>
      <c r="B32" s="1527">
        <v>1</v>
      </c>
      <c r="C32" s="733" t="str">
        <f t="shared" si="0"/>
        <v>Lista</v>
      </c>
      <c r="D32" s="733">
        <f t="shared" si="1"/>
        <v>0.09</v>
      </c>
      <c r="E32" s="1780"/>
      <c r="F32" s="1781" t="s">
        <v>1611</v>
      </c>
      <c r="G32" s="1782"/>
      <c r="H32" s="1783"/>
      <c r="I32" s="1783"/>
      <c r="J32" s="1783"/>
      <c r="K32" s="1783"/>
      <c r="L32" s="1783"/>
      <c r="M32" s="1783"/>
      <c r="N32" s="1783"/>
      <c r="O32" s="1783"/>
      <c r="P32" s="1783"/>
      <c r="Q32" s="1783"/>
      <c r="R32" s="1783"/>
      <c r="S32" s="1783"/>
      <c r="T32" s="1783"/>
      <c r="U32" s="1783"/>
      <c r="V32" s="1783"/>
      <c r="W32" s="1783"/>
      <c r="X32" s="1783"/>
      <c r="Y32" s="1783"/>
      <c r="Z32" s="1783"/>
      <c r="AA32" s="1783"/>
      <c r="AB32" s="1784"/>
    </row>
    <row r="33" spans="1:37" ht="15.75" customHeight="1">
      <c r="A33" s="925"/>
      <c r="B33" s="1510">
        <v>1</v>
      </c>
      <c r="C33" s="1511" t="str">
        <f t="shared" si="0"/>
        <v>Lista</v>
      </c>
      <c r="D33" s="1511">
        <f t="shared" si="1"/>
        <v>0.09</v>
      </c>
      <c r="E33" s="1552"/>
      <c r="F33" s="1781" t="s">
        <v>1612</v>
      </c>
      <c r="G33" s="1553"/>
      <c r="H33" s="1554"/>
      <c r="I33" s="1554"/>
      <c r="J33" s="1554"/>
      <c r="K33" s="1554"/>
      <c r="L33" s="1554"/>
      <c r="M33" s="1554"/>
      <c r="N33" s="1554"/>
      <c r="O33" s="1554"/>
      <c r="P33" s="1554"/>
      <c r="Q33" s="1554"/>
      <c r="R33" s="1554"/>
      <c r="S33" s="1554"/>
      <c r="T33" s="1554"/>
      <c r="U33" s="1554"/>
      <c r="V33" s="1554"/>
      <c r="W33" s="1554"/>
      <c r="X33" s="1554"/>
      <c r="Y33" s="1554"/>
      <c r="Z33" s="1554"/>
      <c r="AA33" s="1554"/>
      <c r="AB33" s="1785"/>
    </row>
    <row r="34" spans="1:37" ht="15.75" customHeight="1">
      <c r="A34" s="325">
        <v>112010867</v>
      </c>
      <c r="B34" s="1527">
        <v>1</v>
      </c>
      <c r="C34" s="733" t="str">
        <f t="shared" ref="C34:C65" si="25">IFERROR(VLOOKUP(B34,DES,2,FALSE),"")</f>
        <v>Lista</v>
      </c>
      <c r="D34" s="733">
        <f t="shared" ref="D34:D65" si="26">IFERROR(VLOOKUP(B34,DES,3,FALSE),"")</f>
        <v>0.09</v>
      </c>
      <c r="E34" s="733">
        <f t="shared" ref="E34:E65" si="27">IFERROR(VLOOKUP(B34,DES,4,FALSE),"")</f>
        <v>0</v>
      </c>
      <c r="F34" s="1745" t="s">
        <v>781</v>
      </c>
      <c r="G34" s="1466">
        <f t="shared" ref="G34:G65" si="28">IFERROR(VLOOKUP(F34,PEREZ,3,FALSE),"")</f>
        <v>113958.58</v>
      </c>
      <c r="H34" s="1497">
        <f t="shared" ref="H34:H86" si="29">(G34*1.601)*1.05</f>
        <v>191570.07090900003</v>
      </c>
      <c r="I34" s="1497"/>
      <c r="J34" s="1497"/>
      <c r="K34" s="1497"/>
      <c r="L34" s="1497"/>
      <c r="M34" s="1497"/>
      <c r="N34" s="1497">
        <f t="shared" ref="N34:N65" si="30">IFERROR(VLOOKUP(F34,PEREZ,4,FALSE),"")</f>
        <v>226047.11</v>
      </c>
      <c r="O34" s="1497">
        <f t="shared" ref="O34:O86" si="31">(N34*1.7245)*1.03</f>
        <v>401512.78843084996</v>
      </c>
      <c r="P34" s="1497"/>
      <c r="Q34" s="1497"/>
      <c r="R34" s="1497"/>
      <c r="S34" s="1497"/>
      <c r="T34" s="1497"/>
      <c r="U34" s="1497">
        <f t="shared" ref="U34:U65" si="32">IFERROR(VLOOKUP(F34,PEREZ,5,FALSE),"")</f>
        <v>333940.77</v>
      </c>
      <c r="V34" s="1497">
        <f t="shared" ref="V34:V86" si="33">(U34*1.5955)*1.05</f>
        <v>559442.6234617501</v>
      </c>
      <c r="W34" s="1497"/>
      <c r="X34" s="1497"/>
      <c r="Y34" s="1497"/>
      <c r="Z34" s="1497"/>
      <c r="AA34" s="1497"/>
      <c r="AB34" s="1746">
        <f t="shared" ref="AB34:AB86" si="34">H34+O34+V34</f>
        <v>1152525.4828016001</v>
      </c>
      <c r="AC34" s="302">
        <f t="shared" ref="AC34:AC65" si="35">IFERROR(VLOOKUP(F34,PEREZ,6,FALSE),"")</f>
        <v>230143.5</v>
      </c>
      <c r="AD34" s="302">
        <f t="shared" ref="AD34:AD65" si="36">IFERROR(VLOOKUP(F34,PEREZ,7,FALSE),"")</f>
        <v>216226.71</v>
      </c>
      <c r="AE34" s="302">
        <f t="shared" ref="AE34:AE65" si="37">IFERROR(VLOOKUP(F34,PEREZ,8,FALSE),"")</f>
        <v>0</v>
      </c>
      <c r="AF34" s="302">
        <f t="shared" ref="AF34:AF65" si="38">IFERROR(VLOOKUP(F34,PEREZ,9,FALSE),"")</f>
        <v>422656.38</v>
      </c>
      <c r="AG34" s="302">
        <f t="shared" ref="AG34:AG65" si="39">IFERROR(VLOOKUP(F34,PEREZ,10,FALSE),"")</f>
        <v>141517.99</v>
      </c>
      <c r="AH34" s="302">
        <f t="shared" ref="AH34:AH65" si="40">IFERROR(VLOOKUP(F34,PEREZ,11,FALSE),"")</f>
        <v>578566.86</v>
      </c>
      <c r="AI34" s="302">
        <f t="shared" ref="AI34:AI65" si="41">IFERROR(VLOOKUP(F34,PEREZ,12,FALSE),"")</f>
        <v>218644.74</v>
      </c>
      <c r="AJ34" s="302">
        <f t="shared" ref="AJ34:AJ65" si="42">IFERROR(VLOOKUP(F34,PEREZ,13,FALSE),"")</f>
        <v>171752.85</v>
      </c>
      <c r="AK34" s="302">
        <f t="shared" ref="AK34:AK65" si="43">IFERROR(VLOOKUP(F34,PEREZ,14,FALSE),"")</f>
        <v>271070.93</v>
      </c>
    </row>
    <row r="35" spans="1:37" ht="15.75" customHeight="1">
      <c r="A35" s="325">
        <v>112010910</v>
      </c>
      <c r="B35" s="1510">
        <v>1</v>
      </c>
      <c r="C35" s="1511" t="str">
        <f t="shared" si="25"/>
        <v>Lista</v>
      </c>
      <c r="D35" s="1511">
        <f t="shared" si="26"/>
        <v>0.09</v>
      </c>
      <c r="E35" s="1511">
        <f t="shared" si="27"/>
        <v>0</v>
      </c>
      <c r="F35" s="1747" t="s">
        <v>1613</v>
      </c>
      <c r="G35" s="1467">
        <f t="shared" si="28"/>
        <v>0</v>
      </c>
      <c r="H35" s="331">
        <f t="shared" si="29"/>
        <v>0</v>
      </c>
      <c r="I35" s="331"/>
      <c r="J35" s="331"/>
      <c r="K35" s="331"/>
      <c r="L35" s="331"/>
      <c r="M35" s="331"/>
      <c r="N35" s="331">
        <f t="shared" si="30"/>
        <v>0</v>
      </c>
      <c r="O35" s="331">
        <f t="shared" si="31"/>
        <v>0</v>
      </c>
      <c r="P35" s="331"/>
      <c r="Q35" s="331"/>
      <c r="R35" s="331"/>
      <c r="S35" s="331"/>
      <c r="T35" s="331"/>
      <c r="U35" s="331">
        <f t="shared" si="32"/>
        <v>0</v>
      </c>
      <c r="V35" s="331">
        <f t="shared" si="33"/>
        <v>0</v>
      </c>
      <c r="W35" s="331"/>
      <c r="X35" s="331"/>
      <c r="Y35" s="331"/>
      <c r="Z35" s="331"/>
      <c r="AA35" s="331"/>
      <c r="AB35" s="330">
        <f t="shared" si="34"/>
        <v>0</v>
      </c>
      <c r="AC35" s="302">
        <f t="shared" si="35"/>
        <v>106500</v>
      </c>
      <c r="AD35" s="302">
        <f t="shared" si="36"/>
        <v>0</v>
      </c>
      <c r="AE35" s="302">
        <f t="shared" si="37"/>
        <v>0</v>
      </c>
      <c r="AF35" s="302">
        <f t="shared" si="38"/>
        <v>0</v>
      </c>
      <c r="AG35" s="302">
        <f t="shared" si="39"/>
        <v>0</v>
      </c>
      <c r="AH35" s="302">
        <f t="shared" si="40"/>
        <v>44784</v>
      </c>
      <c r="AI35" s="302">
        <f t="shared" si="41"/>
        <v>0</v>
      </c>
      <c r="AJ35" s="302">
        <f t="shared" si="42"/>
        <v>0</v>
      </c>
      <c r="AK35" s="302">
        <f t="shared" si="43"/>
        <v>0</v>
      </c>
    </row>
    <row r="36" spans="1:37" ht="15.75" customHeight="1">
      <c r="A36" s="325">
        <v>112011001</v>
      </c>
      <c r="B36" s="1527">
        <v>1</v>
      </c>
      <c r="C36" s="733" t="str">
        <f t="shared" si="25"/>
        <v>Lista</v>
      </c>
      <c r="D36" s="733">
        <f t="shared" si="26"/>
        <v>0.09</v>
      </c>
      <c r="E36" s="733">
        <f t="shared" si="27"/>
        <v>0</v>
      </c>
      <c r="F36" s="1745" t="s">
        <v>657</v>
      </c>
      <c r="G36" s="1466">
        <f t="shared" si="28"/>
        <v>0</v>
      </c>
      <c r="H36" s="1497">
        <f t="shared" si="29"/>
        <v>0</v>
      </c>
      <c r="I36" s="1497"/>
      <c r="J36" s="1497"/>
      <c r="K36" s="1497"/>
      <c r="L36" s="1497"/>
      <c r="M36" s="1497"/>
      <c r="N36" s="1497">
        <f t="shared" si="30"/>
        <v>0</v>
      </c>
      <c r="O36" s="1497">
        <f t="shared" si="31"/>
        <v>0</v>
      </c>
      <c r="P36" s="1497"/>
      <c r="Q36" s="1497"/>
      <c r="R36" s="1497"/>
      <c r="S36" s="1497"/>
      <c r="T36" s="1497"/>
      <c r="U36" s="1497">
        <f t="shared" si="32"/>
        <v>0</v>
      </c>
      <c r="V36" s="1497">
        <f t="shared" si="33"/>
        <v>0</v>
      </c>
      <c r="W36" s="1497"/>
      <c r="X36" s="1497"/>
      <c r="Y36" s="1497"/>
      <c r="Z36" s="1497"/>
      <c r="AA36" s="1497"/>
      <c r="AB36" s="1746">
        <f t="shared" si="34"/>
        <v>0</v>
      </c>
      <c r="AC36" s="302">
        <f t="shared" si="35"/>
        <v>0</v>
      </c>
      <c r="AD36" s="302">
        <f t="shared" si="36"/>
        <v>0</v>
      </c>
      <c r="AE36" s="302">
        <f t="shared" si="37"/>
        <v>15490.9</v>
      </c>
      <c r="AF36" s="302">
        <f t="shared" si="38"/>
        <v>0</v>
      </c>
      <c r="AG36" s="302">
        <f t="shared" si="39"/>
        <v>0</v>
      </c>
      <c r="AH36" s="302">
        <f t="shared" si="40"/>
        <v>0</v>
      </c>
      <c r="AI36" s="302">
        <f t="shared" si="41"/>
        <v>0</v>
      </c>
      <c r="AJ36" s="302">
        <f t="shared" si="42"/>
        <v>0</v>
      </c>
      <c r="AK36" s="302">
        <f t="shared" si="43"/>
        <v>0</v>
      </c>
    </row>
    <row r="37" spans="1:37" ht="15.75" customHeight="1">
      <c r="A37" s="325">
        <v>112011011</v>
      </c>
      <c r="B37" s="1510">
        <v>1</v>
      </c>
      <c r="C37" s="1511" t="str">
        <f t="shared" si="25"/>
        <v>Lista</v>
      </c>
      <c r="D37" s="1511">
        <f t="shared" si="26"/>
        <v>0.09</v>
      </c>
      <c r="E37" s="1511">
        <f t="shared" si="27"/>
        <v>0</v>
      </c>
      <c r="F37" s="1747" t="s">
        <v>1614</v>
      </c>
      <c r="G37" s="1467" t="str">
        <f t="shared" si="28"/>
        <v/>
      </c>
      <c r="H37" s="331" t="e">
        <f t="shared" si="29"/>
        <v>#VALUE!</v>
      </c>
      <c r="I37" s="331"/>
      <c r="J37" s="331"/>
      <c r="K37" s="331"/>
      <c r="L37" s="331"/>
      <c r="M37" s="331"/>
      <c r="N37" s="331" t="str">
        <f t="shared" si="30"/>
        <v/>
      </c>
      <c r="O37" s="331" t="e">
        <f t="shared" si="31"/>
        <v>#VALUE!</v>
      </c>
      <c r="P37" s="331"/>
      <c r="Q37" s="331"/>
      <c r="R37" s="331"/>
      <c r="S37" s="331"/>
      <c r="T37" s="331"/>
      <c r="U37" s="331" t="str">
        <f t="shared" si="32"/>
        <v/>
      </c>
      <c r="V37" s="331" t="e">
        <f t="shared" si="33"/>
        <v>#VALUE!</v>
      </c>
      <c r="W37" s="331"/>
      <c r="X37" s="331"/>
      <c r="Y37" s="331"/>
      <c r="Z37" s="331"/>
      <c r="AA37" s="331"/>
      <c r="AB37" s="330" t="e">
        <f t="shared" si="34"/>
        <v>#VALUE!</v>
      </c>
      <c r="AC37" s="302" t="str">
        <f t="shared" si="35"/>
        <v/>
      </c>
      <c r="AD37" s="302" t="str">
        <f t="shared" si="36"/>
        <v/>
      </c>
      <c r="AE37" s="302" t="str">
        <f t="shared" si="37"/>
        <v/>
      </c>
      <c r="AF37" s="302" t="str">
        <f t="shared" si="38"/>
        <v/>
      </c>
      <c r="AG37" s="302" t="str">
        <f t="shared" si="39"/>
        <v/>
      </c>
      <c r="AH37" s="302" t="str">
        <f t="shared" si="40"/>
        <v/>
      </c>
      <c r="AI37" s="302" t="str">
        <f t="shared" si="41"/>
        <v/>
      </c>
      <c r="AJ37" s="302" t="str">
        <f t="shared" si="42"/>
        <v/>
      </c>
      <c r="AK37" s="302" t="str">
        <f t="shared" si="43"/>
        <v/>
      </c>
    </row>
    <row r="38" spans="1:37" ht="15.75" customHeight="1">
      <c r="A38" s="325">
        <v>112011100</v>
      </c>
      <c r="B38" s="1527">
        <v>1</v>
      </c>
      <c r="C38" s="733" t="str">
        <f t="shared" si="25"/>
        <v>Lista</v>
      </c>
      <c r="D38" s="733">
        <f t="shared" si="26"/>
        <v>0.09</v>
      </c>
      <c r="E38" s="733">
        <f t="shared" si="27"/>
        <v>0</v>
      </c>
      <c r="F38" s="1745" t="s">
        <v>205</v>
      </c>
      <c r="G38" s="1466">
        <f t="shared" si="28"/>
        <v>137022.34</v>
      </c>
      <c r="H38" s="1497">
        <f t="shared" si="29"/>
        <v>230341.40465700001</v>
      </c>
      <c r="I38" s="1497"/>
      <c r="J38" s="1497"/>
      <c r="K38" s="1497"/>
      <c r="L38" s="1497"/>
      <c r="M38" s="1497"/>
      <c r="N38" s="1497">
        <f t="shared" si="30"/>
        <v>289360.13</v>
      </c>
      <c r="O38" s="1497">
        <f t="shared" si="31"/>
        <v>513971.59051055001</v>
      </c>
      <c r="P38" s="1497"/>
      <c r="Q38" s="1497"/>
      <c r="R38" s="1497"/>
      <c r="S38" s="1497"/>
      <c r="T38" s="1497"/>
      <c r="U38" s="1497">
        <f t="shared" si="32"/>
        <v>133263.99</v>
      </c>
      <c r="V38" s="1497">
        <f t="shared" si="33"/>
        <v>223253.83084724998</v>
      </c>
      <c r="W38" s="1497"/>
      <c r="X38" s="1497"/>
      <c r="Y38" s="1497"/>
      <c r="Z38" s="1497"/>
      <c r="AA38" s="1497"/>
      <c r="AB38" s="1746">
        <f t="shared" si="34"/>
        <v>967566.8260148</v>
      </c>
      <c r="AC38" s="302">
        <f t="shared" si="35"/>
        <v>162108.84</v>
      </c>
      <c r="AD38" s="302">
        <f t="shared" si="36"/>
        <v>207155.06</v>
      </c>
      <c r="AE38" s="302">
        <f t="shared" si="37"/>
        <v>83075.16</v>
      </c>
      <c r="AF38" s="302">
        <f t="shared" si="38"/>
        <v>311047.23</v>
      </c>
      <c r="AG38" s="302">
        <f t="shared" si="39"/>
        <v>205015.45</v>
      </c>
      <c r="AH38" s="302">
        <f t="shared" si="40"/>
        <v>77927.42</v>
      </c>
      <c r="AI38" s="302">
        <f t="shared" si="41"/>
        <v>120491.16</v>
      </c>
      <c r="AJ38" s="302">
        <f t="shared" si="42"/>
        <v>125447.8</v>
      </c>
      <c r="AK38" s="302">
        <f t="shared" si="43"/>
        <v>56405.51</v>
      </c>
    </row>
    <row r="39" spans="1:37" ht="15.75" customHeight="1">
      <c r="A39" s="325">
        <v>112011118</v>
      </c>
      <c r="B39" s="1510">
        <v>1</v>
      </c>
      <c r="C39" s="1511" t="str">
        <f t="shared" si="25"/>
        <v>Lista</v>
      </c>
      <c r="D39" s="1511">
        <f t="shared" si="26"/>
        <v>0.09</v>
      </c>
      <c r="E39" s="1511">
        <f t="shared" si="27"/>
        <v>0</v>
      </c>
      <c r="F39" s="1747" t="s">
        <v>652</v>
      </c>
      <c r="G39" s="1467">
        <f t="shared" si="28"/>
        <v>86256.9</v>
      </c>
      <c r="H39" s="331">
        <f t="shared" si="29"/>
        <v>145002.16174499999</v>
      </c>
      <c r="I39" s="331"/>
      <c r="J39" s="331"/>
      <c r="K39" s="331"/>
      <c r="L39" s="331"/>
      <c r="M39" s="331"/>
      <c r="N39" s="331">
        <f t="shared" si="30"/>
        <v>103379.58</v>
      </c>
      <c r="O39" s="331">
        <f t="shared" si="31"/>
        <v>183626.4282813</v>
      </c>
      <c r="P39" s="331"/>
      <c r="Q39" s="331"/>
      <c r="R39" s="331"/>
      <c r="S39" s="331"/>
      <c r="T39" s="331"/>
      <c r="U39" s="331">
        <f t="shared" si="32"/>
        <v>0</v>
      </c>
      <c r="V39" s="331">
        <f t="shared" si="33"/>
        <v>0</v>
      </c>
      <c r="W39" s="331"/>
      <c r="X39" s="331"/>
      <c r="Y39" s="331"/>
      <c r="Z39" s="331"/>
      <c r="AA39" s="331"/>
      <c r="AB39" s="330">
        <f t="shared" si="34"/>
        <v>328628.59002629999</v>
      </c>
      <c r="AC39" s="302">
        <f t="shared" si="35"/>
        <v>0</v>
      </c>
      <c r="AD39" s="302">
        <f t="shared" si="36"/>
        <v>80623.600000000006</v>
      </c>
      <c r="AE39" s="302">
        <f t="shared" si="37"/>
        <v>81340.240000000005</v>
      </c>
      <c r="AF39" s="302">
        <f t="shared" si="38"/>
        <v>94097.25</v>
      </c>
      <c r="AG39" s="302">
        <f t="shared" si="39"/>
        <v>52830.080000000002</v>
      </c>
      <c r="AH39" s="302">
        <f t="shared" si="40"/>
        <v>124800.04</v>
      </c>
      <c r="AI39" s="302">
        <f t="shared" si="41"/>
        <v>43930.69</v>
      </c>
      <c r="AJ39" s="302">
        <f t="shared" si="42"/>
        <v>0</v>
      </c>
      <c r="AK39" s="302">
        <f t="shared" si="43"/>
        <v>0</v>
      </c>
    </row>
    <row r="40" spans="1:37" ht="15.75" customHeight="1">
      <c r="A40" s="325">
        <v>112011416</v>
      </c>
      <c r="B40" s="1527">
        <v>1</v>
      </c>
      <c r="C40" s="733" t="str">
        <f t="shared" si="25"/>
        <v>Lista</v>
      </c>
      <c r="D40" s="733">
        <f t="shared" si="26"/>
        <v>0.09</v>
      </c>
      <c r="E40" s="733">
        <f t="shared" si="27"/>
        <v>0</v>
      </c>
      <c r="F40" s="1745" t="s">
        <v>779</v>
      </c>
      <c r="G40" s="1466">
        <f t="shared" si="28"/>
        <v>0</v>
      </c>
      <c r="H40" s="1497">
        <f t="shared" si="29"/>
        <v>0</v>
      </c>
      <c r="I40" s="1497"/>
      <c r="J40" s="1497"/>
      <c r="K40" s="1497"/>
      <c r="L40" s="1497"/>
      <c r="M40" s="1497"/>
      <c r="N40" s="1497">
        <f t="shared" si="30"/>
        <v>0</v>
      </c>
      <c r="O40" s="1497">
        <f t="shared" si="31"/>
        <v>0</v>
      </c>
      <c r="P40" s="1497"/>
      <c r="Q40" s="1497"/>
      <c r="R40" s="1497"/>
      <c r="S40" s="1497"/>
      <c r="T40" s="1497"/>
      <c r="U40" s="1497">
        <f t="shared" si="32"/>
        <v>0</v>
      </c>
      <c r="V40" s="1497">
        <f t="shared" si="33"/>
        <v>0</v>
      </c>
      <c r="W40" s="1497"/>
      <c r="X40" s="1497"/>
      <c r="Y40" s="1497"/>
      <c r="Z40" s="1497"/>
      <c r="AA40" s="1497"/>
      <c r="AB40" s="1746">
        <f t="shared" si="34"/>
        <v>0</v>
      </c>
      <c r="AC40" s="302">
        <f t="shared" si="35"/>
        <v>117752.64</v>
      </c>
      <c r="AD40" s="302">
        <f t="shared" si="36"/>
        <v>18927</v>
      </c>
      <c r="AE40" s="302">
        <f t="shared" si="37"/>
        <v>27489.759999999998</v>
      </c>
      <c r="AF40" s="302">
        <f t="shared" si="38"/>
        <v>140213.82</v>
      </c>
      <c r="AG40" s="302">
        <f t="shared" si="39"/>
        <v>0</v>
      </c>
      <c r="AH40" s="302">
        <f t="shared" si="40"/>
        <v>185009.38</v>
      </c>
      <c r="AI40" s="302">
        <f t="shared" si="41"/>
        <v>111219.36</v>
      </c>
      <c r="AJ40" s="302">
        <f t="shared" si="42"/>
        <v>69933.539999999994</v>
      </c>
      <c r="AK40" s="302">
        <f t="shared" si="43"/>
        <v>0</v>
      </c>
    </row>
    <row r="41" spans="1:37" ht="15.75" customHeight="1">
      <c r="A41" s="325">
        <v>112011473</v>
      </c>
      <c r="B41" s="1510">
        <v>1</v>
      </c>
      <c r="C41" s="1511" t="str">
        <f t="shared" si="25"/>
        <v>Lista</v>
      </c>
      <c r="D41" s="1511">
        <f t="shared" si="26"/>
        <v>0.09</v>
      </c>
      <c r="E41" s="1511">
        <f t="shared" si="27"/>
        <v>0</v>
      </c>
      <c r="F41" s="1747" t="s">
        <v>793</v>
      </c>
      <c r="G41" s="1467">
        <f t="shared" si="28"/>
        <v>0</v>
      </c>
      <c r="H41" s="331">
        <f t="shared" si="29"/>
        <v>0</v>
      </c>
      <c r="I41" s="331"/>
      <c r="J41" s="331"/>
      <c r="K41" s="331"/>
      <c r="L41" s="331"/>
      <c r="M41" s="331"/>
      <c r="N41" s="331">
        <f t="shared" si="30"/>
        <v>269696.67</v>
      </c>
      <c r="O41" s="331">
        <f t="shared" si="31"/>
        <v>479044.66463744995</v>
      </c>
      <c r="P41" s="331"/>
      <c r="Q41" s="331"/>
      <c r="R41" s="331"/>
      <c r="S41" s="331"/>
      <c r="T41" s="331"/>
      <c r="U41" s="331">
        <f t="shared" si="32"/>
        <v>0</v>
      </c>
      <c r="V41" s="331">
        <f t="shared" si="33"/>
        <v>0</v>
      </c>
      <c r="W41" s="331"/>
      <c r="X41" s="331"/>
      <c r="Y41" s="331"/>
      <c r="Z41" s="331"/>
      <c r="AA41" s="331"/>
      <c r="AB41" s="330">
        <f t="shared" si="34"/>
        <v>479044.66463744995</v>
      </c>
      <c r="AC41" s="302">
        <f t="shared" si="35"/>
        <v>185020.2</v>
      </c>
      <c r="AD41" s="302">
        <f t="shared" si="36"/>
        <v>372073.14</v>
      </c>
      <c r="AE41" s="302">
        <f t="shared" si="37"/>
        <v>185873.44</v>
      </c>
      <c r="AF41" s="302">
        <f t="shared" si="38"/>
        <v>824446.91</v>
      </c>
      <c r="AG41" s="302">
        <f t="shared" si="39"/>
        <v>150118</v>
      </c>
      <c r="AH41" s="302">
        <f t="shared" si="40"/>
        <v>269667.45</v>
      </c>
      <c r="AI41" s="302">
        <f t="shared" si="41"/>
        <v>415402.84</v>
      </c>
      <c r="AJ41" s="302">
        <f t="shared" si="42"/>
        <v>0</v>
      </c>
      <c r="AK41" s="302">
        <f t="shared" si="43"/>
        <v>1315475.6000000001</v>
      </c>
    </row>
    <row r="42" spans="1:37" ht="15.75" customHeight="1">
      <c r="A42" s="325">
        <v>112011588</v>
      </c>
      <c r="B42" s="1527">
        <v>1</v>
      </c>
      <c r="C42" s="733" t="str">
        <f t="shared" si="25"/>
        <v>Lista</v>
      </c>
      <c r="D42" s="733">
        <f t="shared" si="26"/>
        <v>0.09</v>
      </c>
      <c r="E42" s="733">
        <f t="shared" si="27"/>
        <v>0</v>
      </c>
      <c r="F42" s="1745" t="s">
        <v>765</v>
      </c>
      <c r="G42" s="1466">
        <f t="shared" si="28"/>
        <v>0</v>
      </c>
      <c r="H42" s="1497">
        <f t="shared" si="29"/>
        <v>0</v>
      </c>
      <c r="I42" s="1497"/>
      <c r="J42" s="1497"/>
      <c r="K42" s="1497"/>
      <c r="L42" s="1497"/>
      <c r="M42" s="1497"/>
      <c r="N42" s="1497">
        <f t="shared" si="30"/>
        <v>0</v>
      </c>
      <c r="O42" s="1497">
        <f t="shared" si="31"/>
        <v>0</v>
      </c>
      <c r="P42" s="1497"/>
      <c r="Q42" s="1497"/>
      <c r="R42" s="1497"/>
      <c r="S42" s="1497"/>
      <c r="T42" s="1497"/>
      <c r="U42" s="1497">
        <f t="shared" si="32"/>
        <v>0</v>
      </c>
      <c r="V42" s="1497">
        <f t="shared" si="33"/>
        <v>0</v>
      </c>
      <c r="W42" s="1497"/>
      <c r="X42" s="1497"/>
      <c r="Y42" s="1497"/>
      <c r="Z42" s="1497"/>
      <c r="AA42" s="1497"/>
      <c r="AB42" s="1746">
        <f t="shared" si="34"/>
        <v>0</v>
      </c>
      <c r="AC42" s="302">
        <f t="shared" si="35"/>
        <v>0</v>
      </c>
      <c r="AD42" s="302">
        <f t="shared" si="36"/>
        <v>66839.199999999997</v>
      </c>
      <c r="AE42" s="302">
        <f t="shared" si="37"/>
        <v>0</v>
      </c>
      <c r="AF42" s="302">
        <f t="shared" si="38"/>
        <v>0</v>
      </c>
      <c r="AG42" s="302">
        <f t="shared" si="39"/>
        <v>0</v>
      </c>
      <c r="AH42" s="302">
        <f t="shared" si="40"/>
        <v>0</v>
      </c>
      <c r="AI42" s="302">
        <f t="shared" si="41"/>
        <v>800408.25</v>
      </c>
      <c r="AJ42" s="302">
        <f t="shared" si="42"/>
        <v>92392</v>
      </c>
      <c r="AK42" s="302">
        <f t="shared" si="43"/>
        <v>0</v>
      </c>
    </row>
    <row r="43" spans="1:37" ht="13">
      <c r="A43" s="325">
        <v>112011726</v>
      </c>
      <c r="B43" s="1510">
        <v>1</v>
      </c>
      <c r="C43" s="1511" t="str">
        <f t="shared" si="25"/>
        <v>Lista</v>
      </c>
      <c r="D43" s="1511">
        <f t="shared" si="26"/>
        <v>0.09</v>
      </c>
      <c r="E43" s="1511">
        <f t="shared" si="27"/>
        <v>0</v>
      </c>
      <c r="F43" s="1747" t="s">
        <v>176</v>
      </c>
      <c r="G43" s="1467">
        <f t="shared" si="28"/>
        <v>0</v>
      </c>
      <c r="H43" s="331">
        <f t="shared" si="29"/>
        <v>0</v>
      </c>
      <c r="I43" s="331"/>
      <c r="J43" s="331"/>
      <c r="K43" s="331"/>
      <c r="L43" s="331"/>
      <c r="M43" s="331"/>
      <c r="N43" s="331">
        <f t="shared" si="30"/>
        <v>0</v>
      </c>
      <c r="O43" s="331">
        <f t="shared" si="31"/>
        <v>0</v>
      </c>
      <c r="P43" s="331"/>
      <c r="Q43" s="331"/>
      <c r="R43" s="331"/>
      <c r="S43" s="331"/>
      <c r="T43" s="331"/>
      <c r="U43" s="331">
        <f t="shared" si="32"/>
        <v>132556.4</v>
      </c>
      <c r="V43" s="331">
        <f t="shared" si="33"/>
        <v>222068.42301</v>
      </c>
      <c r="W43" s="331"/>
      <c r="X43" s="331"/>
      <c r="Y43" s="331"/>
      <c r="Z43" s="331"/>
      <c r="AA43" s="331"/>
      <c r="AB43" s="330">
        <f t="shared" si="34"/>
        <v>222068.42301</v>
      </c>
      <c r="AC43" s="302">
        <f t="shared" si="35"/>
        <v>0</v>
      </c>
      <c r="AD43" s="302">
        <f t="shared" si="36"/>
        <v>75450</v>
      </c>
      <c r="AE43" s="302">
        <f t="shared" si="37"/>
        <v>116224.82</v>
      </c>
      <c r="AF43" s="302">
        <f t="shared" si="38"/>
        <v>0</v>
      </c>
      <c r="AG43" s="302">
        <f t="shared" si="39"/>
        <v>127193.71</v>
      </c>
      <c r="AH43" s="302">
        <f t="shared" si="40"/>
        <v>0</v>
      </c>
      <c r="AI43" s="302">
        <f t="shared" si="41"/>
        <v>60864</v>
      </c>
      <c r="AJ43" s="302">
        <f t="shared" si="42"/>
        <v>0</v>
      </c>
      <c r="AK43" s="302">
        <f t="shared" si="43"/>
        <v>0</v>
      </c>
    </row>
    <row r="44" spans="1:37" ht="13">
      <c r="A44" s="325">
        <v>112011745</v>
      </c>
      <c r="B44" s="1527">
        <v>1</v>
      </c>
      <c r="C44" s="733" t="str">
        <f t="shared" si="25"/>
        <v>Lista</v>
      </c>
      <c r="D44" s="733">
        <f t="shared" si="26"/>
        <v>0.09</v>
      </c>
      <c r="E44" s="733">
        <f t="shared" si="27"/>
        <v>0</v>
      </c>
      <c r="F44" s="1745" t="s">
        <v>172</v>
      </c>
      <c r="G44" s="1466">
        <f t="shared" si="28"/>
        <v>130044.17</v>
      </c>
      <c r="H44" s="1497">
        <f t="shared" si="29"/>
        <v>218610.75197850002</v>
      </c>
      <c r="I44" s="1497"/>
      <c r="J44" s="1497"/>
      <c r="K44" s="1497"/>
      <c r="L44" s="1497"/>
      <c r="M44" s="1497"/>
      <c r="N44" s="1497">
        <f t="shared" si="30"/>
        <v>0</v>
      </c>
      <c r="O44" s="1497">
        <f t="shared" si="31"/>
        <v>0</v>
      </c>
      <c r="P44" s="1497"/>
      <c r="Q44" s="1497"/>
      <c r="R44" s="1497"/>
      <c r="S44" s="1497"/>
      <c r="T44" s="1497"/>
      <c r="U44" s="1497">
        <f t="shared" si="32"/>
        <v>0</v>
      </c>
      <c r="V44" s="1497">
        <f t="shared" si="33"/>
        <v>0</v>
      </c>
      <c r="W44" s="1497"/>
      <c r="X44" s="1497"/>
      <c r="Y44" s="1497"/>
      <c r="Z44" s="1497"/>
      <c r="AA44" s="1497"/>
      <c r="AB44" s="1746">
        <f t="shared" si="34"/>
        <v>218610.75197850002</v>
      </c>
      <c r="AC44" s="302">
        <f t="shared" si="35"/>
        <v>154663.14000000001</v>
      </c>
      <c r="AD44" s="302">
        <f t="shared" si="36"/>
        <v>133407.20000000001</v>
      </c>
      <c r="AE44" s="302">
        <f t="shared" si="37"/>
        <v>139602.48000000001</v>
      </c>
      <c r="AF44" s="302">
        <f t="shared" si="38"/>
        <v>158323.45000000001</v>
      </c>
      <c r="AG44" s="302">
        <f t="shared" si="39"/>
        <v>108231.1</v>
      </c>
      <c r="AH44" s="302">
        <f t="shared" si="40"/>
        <v>317414.44</v>
      </c>
      <c r="AI44" s="302">
        <f t="shared" si="41"/>
        <v>219214.38</v>
      </c>
      <c r="AJ44" s="302">
        <f t="shared" si="42"/>
        <v>0</v>
      </c>
      <c r="AK44" s="302">
        <f t="shared" si="43"/>
        <v>113838.16</v>
      </c>
    </row>
    <row r="45" spans="1:37" ht="13">
      <c r="A45" s="325">
        <v>112011879</v>
      </c>
      <c r="B45" s="1510">
        <v>1</v>
      </c>
      <c r="C45" s="1511" t="str">
        <f t="shared" si="25"/>
        <v>Lista</v>
      </c>
      <c r="D45" s="1511">
        <f t="shared" si="26"/>
        <v>0.09</v>
      </c>
      <c r="E45" s="1511">
        <f t="shared" si="27"/>
        <v>0</v>
      </c>
      <c r="F45" s="1747" t="s">
        <v>1615</v>
      </c>
      <c r="G45" s="1467" t="str">
        <f t="shared" si="28"/>
        <v/>
      </c>
      <c r="H45" s="331" t="e">
        <f t="shared" si="29"/>
        <v>#VALUE!</v>
      </c>
      <c r="I45" s="331"/>
      <c r="J45" s="331"/>
      <c r="K45" s="331"/>
      <c r="L45" s="331"/>
      <c r="M45" s="331"/>
      <c r="N45" s="331" t="str">
        <f t="shared" si="30"/>
        <v/>
      </c>
      <c r="O45" s="331" t="e">
        <f t="shared" si="31"/>
        <v>#VALUE!</v>
      </c>
      <c r="P45" s="331"/>
      <c r="Q45" s="331"/>
      <c r="R45" s="331"/>
      <c r="S45" s="331"/>
      <c r="T45" s="331"/>
      <c r="U45" s="331" t="str">
        <f t="shared" si="32"/>
        <v/>
      </c>
      <c r="V45" s="331" t="e">
        <f t="shared" si="33"/>
        <v>#VALUE!</v>
      </c>
      <c r="W45" s="331"/>
      <c r="X45" s="331"/>
      <c r="Y45" s="331"/>
      <c r="Z45" s="331"/>
      <c r="AA45" s="331"/>
      <c r="AB45" s="330" t="e">
        <f t="shared" si="34"/>
        <v>#VALUE!</v>
      </c>
      <c r="AC45" s="302" t="str">
        <f t="shared" si="35"/>
        <v/>
      </c>
      <c r="AD45" s="302" t="str">
        <f t="shared" si="36"/>
        <v/>
      </c>
      <c r="AE45" s="302" t="str">
        <f t="shared" si="37"/>
        <v/>
      </c>
      <c r="AF45" s="302" t="str">
        <f t="shared" si="38"/>
        <v/>
      </c>
      <c r="AG45" s="302" t="str">
        <f t="shared" si="39"/>
        <v/>
      </c>
      <c r="AH45" s="302" t="str">
        <f t="shared" si="40"/>
        <v/>
      </c>
      <c r="AI45" s="302" t="str">
        <f t="shared" si="41"/>
        <v/>
      </c>
      <c r="AJ45" s="302" t="str">
        <f t="shared" si="42"/>
        <v/>
      </c>
      <c r="AK45" s="302" t="str">
        <f t="shared" si="43"/>
        <v/>
      </c>
    </row>
    <row r="46" spans="1:37" ht="13">
      <c r="A46" s="325">
        <v>112011935</v>
      </c>
      <c r="B46" s="1527">
        <v>1</v>
      </c>
      <c r="C46" s="733" t="str">
        <f t="shared" si="25"/>
        <v>Lista</v>
      </c>
      <c r="D46" s="733">
        <f t="shared" si="26"/>
        <v>0.09</v>
      </c>
      <c r="E46" s="733">
        <f t="shared" si="27"/>
        <v>0</v>
      </c>
      <c r="F46" s="1745" t="s">
        <v>784</v>
      </c>
      <c r="G46" s="1466">
        <f t="shared" si="28"/>
        <v>14996.56</v>
      </c>
      <c r="H46" s="1497">
        <f t="shared" si="29"/>
        <v>25209.967187999999</v>
      </c>
      <c r="I46" s="1497"/>
      <c r="J46" s="1497"/>
      <c r="K46" s="1497"/>
      <c r="L46" s="1497"/>
      <c r="M46" s="1497"/>
      <c r="N46" s="1497">
        <f t="shared" si="30"/>
        <v>191560.41</v>
      </c>
      <c r="O46" s="1497">
        <f t="shared" si="31"/>
        <v>340256.30485635001</v>
      </c>
      <c r="P46" s="1497"/>
      <c r="Q46" s="1497"/>
      <c r="R46" s="1497"/>
      <c r="S46" s="1497"/>
      <c r="T46" s="1497"/>
      <c r="U46" s="1497">
        <f t="shared" si="32"/>
        <v>153828.10999999999</v>
      </c>
      <c r="V46" s="1497">
        <f t="shared" si="33"/>
        <v>257704.38698024995</v>
      </c>
      <c r="W46" s="1497"/>
      <c r="X46" s="1497"/>
      <c r="Y46" s="1497"/>
      <c r="Z46" s="1497"/>
      <c r="AA46" s="1497"/>
      <c r="AB46" s="1746">
        <f t="shared" si="34"/>
        <v>623170.65902459994</v>
      </c>
      <c r="AC46" s="302">
        <f t="shared" si="35"/>
        <v>244836.34</v>
      </c>
      <c r="AD46" s="302">
        <f t="shared" si="36"/>
        <v>0</v>
      </c>
      <c r="AE46" s="302">
        <f t="shared" si="37"/>
        <v>115893.89</v>
      </c>
      <c r="AF46" s="302">
        <f t="shared" si="38"/>
        <v>326342.15000000002</v>
      </c>
      <c r="AG46" s="302">
        <f t="shared" si="39"/>
        <v>225336.38</v>
      </c>
      <c r="AH46" s="302">
        <f t="shared" si="40"/>
        <v>278061.17</v>
      </c>
      <c r="AI46" s="302">
        <f t="shared" si="41"/>
        <v>265461.2</v>
      </c>
      <c r="AJ46" s="302">
        <f t="shared" si="42"/>
        <v>156215.07999999999</v>
      </c>
      <c r="AK46" s="302">
        <f t="shared" si="43"/>
        <v>264305.84000000003</v>
      </c>
    </row>
    <row r="47" spans="1:37" ht="13">
      <c r="A47" s="325">
        <v>112012050</v>
      </c>
      <c r="B47" s="1510">
        <v>1</v>
      </c>
      <c r="C47" s="1511" t="str">
        <f t="shared" si="25"/>
        <v>Lista</v>
      </c>
      <c r="D47" s="1511">
        <f t="shared" si="26"/>
        <v>0.09</v>
      </c>
      <c r="E47" s="1511">
        <f t="shared" si="27"/>
        <v>0</v>
      </c>
      <c r="F47" s="1747" t="s">
        <v>788</v>
      </c>
      <c r="G47" s="1467">
        <f t="shared" si="28"/>
        <v>214329.39</v>
      </c>
      <c r="H47" s="331">
        <f t="shared" si="29"/>
        <v>360298.42105950002</v>
      </c>
      <c r="I47" s="331"/>
      <c r="J47" s="331"/>
      <c r="K47" s="331"/>
      <c r="L47" s="331"/>
      <c r="M47" s="331"/>
      <c r="N47" s="331">
        <f t="shared" si="30"/>
        <v>148470.91</v>
      </c>
      <c r="O47" s="331">
        <f t="shared" si="31"/>
        <v>263719.22682385001</v>
      </c>
      <c r="P47" s="331"/>
      <c r="Q47" s="331"/>
      <c r="R47" s="331"/>
      <c r="S47" s="331"/>
      <c r="T47" s="331"/>
      <c r="U47" s="331">
        <f t="shared" si="32"/>
        <v>372304.05</v>
      </c>
      <c r="V47" s="331">
        <f t="shared" si="33"/>
        <v>623711.66736375005</v>
      </c>
      <c r="W47" s="331"/>
      <c r="X47" s="331"/>
      <c r="Y47" s="331"/>
      <c r="Z47" s="331"/>
      <c r="AA47" s="331"/>
      <c r="AB47" s="330">
        <f t="shared" si="34"/>
        <v>1247729.3152471001</v>
      </c>
      <c r="AC47" s="302">
        <f t="shared" si="35"/>
        <v>296098.89</v>
      </c>
      <c r="AD47" s="302">
        <f t="shared" si="36"/>
        <v>581831.39</v>
      </c>
      <c r="AE47" s="302">
        <f t="shared" si="37"/>
        <v>364510.35</v>
      </c>
      <c r="AF47" s="302">
        <f t="shared" si="38"/>
        <v>335668.85</v>
      </c>
      <c r="AG47" s="302">
        <f t="shared" si="39"/>
        <v>445219.77</v>
      </c>
      <c r="AH47" s="302">
        <f t="shared" si="40"/>
        <v>699856.43</v>
      </c>
      <c r="AI47" s="302">
        <f t="shared" si="41"/>
        <v>872032.11</v>
      </c>
      <c r="AJ47" s="302">
        <f t="shared" si="42"/>
        <v>833612.77</v>
      </c>
      <c r="AK47" s="302">
        <f t="shared" si="43"/>
        <v>578515.21</v>
      </c>
    </row>
    <row r="48" spans="1:37" ht="13">
      <c r="A48" s="325">
        <v>112012083</v>
      </c>
      <c r="B48" s="1527">
        <v>1</v>
      </c>
      <c r="C48" s="733" t="str">
        <f t="shared" si="25"/>
        <v>Lista</v>
      </c>
      <c r="D48" s="733">
        <f t="shared" si="26"/>
        <v>0.09</v>
      </c>
      <c r="E48" s="733">
        <f t="shared" si="27"/>
        <v>0</v>
      </c>
      <c r="F48" s="1745" t="s">
        <v>792</v>
      </c>
      <c r="G48" s="1466">
        <f t="shared" si="28"/>
        <v>1561026.36</v>
      </c>
      <c r="H48" s="1497">
        <f t="shared" si="29"/>
        <v>2624163.3624780001</v>
      </c>
      <c r="I48" s="1497"/>
      <c r="J48" s="1497"/>
      <c r="K48" s="1497"/>
      <c r="L48" s="1497"/>
      <c r="M48" s="1497"/>
      <c r="N48" s="1497">
        <f t="shared" si="30"/>
        <v>76740</v>
      </c>
      <c r="O48" s="1497">
        <f t="shared" si="31"/>
        <v>136308.2739</v>
      </c>
      <c r="P48" s="1497"/>
      <c r="Q48" s="1497"/>
      <c r="R48" s="1497"/>
      <c r="S48" s="1497"/>
      <c r="T48" s="1497"/>
      <c r="U48" s="1497">
        <f t="shared" si="32"/>
        <v>0</v>
      </c>
      <c r="V48" s="1497">
        <f t="shared" si="33"/>
        <v>0</v>
      </c>
      <c r="W48" s="1497"/>
      <c r="X48" s="1497"/>
      <c r="Y48" s="1497"/>
      <c r="Z48" s="1497"/>
      <c r="AA48" s="1497"/>
      <c r="AB48" s="1746">
        <f t="shared" si="34"/>
        <v>2760471.636378</v>
      </c>
      <c r="AC48" s="302">
        <f t="shared" si="35"/>
        <v>0</v>
      </c>
      <c r="AD48" s="302">
        <f t="shared" si="36"/>
        <v>580290.48</v>
      </c>
      <c r="AE48" s="302">
        <f t="shared" si="37"/>
        <v>0</v>
      </c>
      <c r="AF48" s="302">
        <f t="shared" si="38"/>
        <v>791244.78</v>
      </c>
      <c r="AG48" s="302">
        <f t="shared" si="39"/>
        <v>0</v>
      </c>
      <c r="AH48" s="302">
        <f t="shared" si="40"/>
        <v>0</v>
      </c>
      <c r="AI48" s="302">
        <f t="shared" si="41"/>
        <v>0</v>
      </c>
      <c r="AJ48" s="302">
        <f t="shared" si="42"/>
        <v>226560</v>
      </c>
      <c r="AK48" s="302">
        <f t="shared" si="43"/>
        <v>0</v>
      </c>
    </row>
    <row r="49" spans="1:37" ht="13">
      <c r="A49" s="325">
        <v>112012086</v>
      </c>
      <c r="B49" s="1510">
        <v>1</v>
      </c>
      <c r="C49" s="1511" t="str">
        <f t="shared" si="25"/>
        <v>Lista</v>
      </c>
      <c r="D49" s="1511">
        <f t="shared" si="26"/>
        <v>0.09</v>
      </c>
      <c r="E49" s="1511">
        <f t="shared" si="27"/>
        <v>0</v>
      </c>
      <c r="F49" s="1747" t="s">
        <v>773</v>
      </c>
      <c r="G49" s="1467">
        <f t="shared" si="28"/>
        <v>75621.67</v>
      </c>
      <c r="H49" s="331">
        <f t="shared" si="29"/>
        <v>127123.8083535</v>
      </c>
      <c r="I49" s="331"/>
      <c r="J49" s="331"/>
      <c r="K49" s="331"/>
      <c r="L49" s="331"/>
      <c r="M49" s="331"/>
      <c r="N49" s="331">
        <f t="shared" si="30"/>
        <v>0</v>
      </c>
      <c r="O49" s="331">
        <f t="shared" si="31"/>
        <v>0</v>
      </c>
      <c r="P49" s="331"/>
      <c r="Q49" s="331"/>
      <c r="R49" s="331"/>
      <c r="S49" s="331"/>
      <c r="T49" s="331"/>
      <c r="U49" s="331">
        <f t="shared" si="32"/>
        <v>145433.73000000001</v>
      </c>
      <c r="V49" s="331">
        <f t="shared" si="33"/>
        <v>243641.49202575002</v>
      </c>
      <c r="W49" s="331"/>
      <c r="X49" s="331"/>
      <c r="Y49" s="331"/>
      <c r="Z49" s="331"/>
      <c r="AA49" s="331"/>
      <c r="AB49" s="330">
        <f t="shared" si="34"/>
        <v>370765.30037925002</v>
      </c>
      <c r="AC49" s="302">
        <f t="shared" si="35"/>
        <v>90135.360000000001</v>
      </c>
      <c r="AD49" s="302">
        <f t="shared" si="36"/>
        <v>143621.18</v>
      </c>
      <c r="AE49" s="302">
        <f t="shared" si="37"/>
        <v>39709.800000000003</v>
      </c>
      <c r="AF49" s="302">
        <f t="shared" si="38"/>
        <v>42942.07</v>
      </c>
      <c r="AG49" s="302">
        <f t="shared" si="39"/>
        <v>26219.57</v>
      </c>
      <c r="AH49" s="302">
        <f t="shared" si="40"/>
        <v>64724.37</v>
      </c>
      <c r="AI49" s="302">
        <f t="shared" si="41"/>
        <v>58553.39</v>
      </c>
      <c r="AJ49" s="302">
        <f t="shared" si="42"/>
        <v>0</v>
      </c>
      <c r="AK49" s="302">
        <f t="shared" si="43"/>
        <v>0</v>
      </c>
    </row>
    <row r="50" spans="1:37" ht="13">
      <c r="A50" s="325">
        <v>112012099</v>
      </c>
      <c r="B50" s="1527">
        <v>1</v>
      </c>
      <c r="C50" s="733" t="str">
        <f t="shared" si="25"/>
        <v>Lista</v>
      </c>
      <c r="D50" s="733">
        <f t="shared" si="26"/>
        <v>0.09</v>
      </c>
      <c r="E50" s="733">
        <f t="shared" si="27"/>
        <v>0</v>
      </c>
      <c r="F50" s="1745" t="s">
        <v>117</v>
      </c>
      <c r="G50" s="1466">
        <f t="shared" si="28"/>
        <v>230720.81</v>
      </c>
      <c r="H50" s="1497">
        <f t="shared" si="29"/>
        <v>387853.21765050001</v>
      </c>
      <c r="I50" s="1497"/>
      <c r="J50" s="1497"/>
      <c r="K50" s="1497"/>
      <c r="L50" s="1497"/>
      <c r="M50" s="1497"/>
      <c r="N50" s="1497">
        <f t="shared" si="30"/>
        <v>124715.62</v>
      </c>
      <c r="O50" s="1497">
        <f t="shared" si="31"/>
        <v>221524.24929070001</v>
      </c>
      <c r="P50" s="1497"/>
      <c r="Q50" s="1497"/>
      <c r="R50" s="1497"/>
      <c r="S50" s="1497"/>
      <c r="T50" s="1497"/>
      <c r="U50" s="1497">
        <f t="shared" si="32"/>
        <v>62609.96</v>
      </c>
      <c r="V50" s="1497">
        <f t="shared" si="33"/>
        <v>104888.900739</v>
      </c>
      <c r="W50" s="1497"/>
      <c r="X50" s="1497"/>
      <c r="Y50" s="1497"/>
      <c r="Z50" s="1497"/>
      <c r="AA50" s="1497"/>
      <c r="AB50" s="1746">
        <f t="shared" si="34"/>
        <v>714266.36768019991</v>
      </c>
      <c r="AC50" s="302">
        <f t="shared" si="35"/>
        <v>175634.51</v>
      </c>
      <c r="AD50" s="302">
        <f t="shared" si="36"/>
        <v>190776.76</v>
      </c>
      <c r="AE50" s="302">
        <f t="shared" si="37"/>
        <v>40352.35</v>
      </c>
      <c r="AF50" s="302">
        <f t="shared" si="38"/>
        <v>247784.99</v>
      </c>
      <c r="AG50" s="302">
        <f t="shared" si="39"/>
        <v>126358.66</v>
      </c>
      <c r="AH50" s="302">
        <f t="shared" si="40"/>
        <v>140914.92000000001</v>
      </c>
      <c r="AI50" s="302">
        <f t="shared" si="41"/>
        <v>132077.64000000001</v>
      </c>
      <c r="AJ50" s="302">
        <f t="shared" si="42"/>
        <v>370899.53</v>
      </c>
      <c r="AK50" s="302">
        <f t="shared" si="43"/>
        <v>100803.63</v>
      </c>
    </row>
    <row r="51" spans="1:37" ht="13">
      <c r="A51" s="325">
        <v>112012133</v>
      </c>
      <c r="B51" s="1510">
        <v>1</v>
      </c>
      <c r="C51" s="1511" t="str">
        <f t="shared" si="25"/>
        <v>Lista</v>
      </c>
      <c r="D51" s="1511">
        <f t="shared" si="26"/>
        <v>0.09</v>
      </c>
      <c r="E51" s="1511">
        <f t="shared" si="27"/>
        <v>0</v>
      </c>
      <c r="F51" s="1747" t="s">
        <v>766</v>
      </c>
      <c r="G51" s="1467">
        <f t="shared" si="28"/>
        <v>0</v>
      </c>
      <c r="H51" s="331">
        <f t="shared" si="29"/>
        <v>0</v>
      </c>
      <c r="I51" s="331"/>
      <c r="J51" s="331"/>
      <c r="K51" s="331"/>
      <c r="L51" s="331"/>
      <c r="M51" s="331"/>
      <c r="N51" s="331">
        <f t="shared" si="30"/>
        <v>254796</v>
      </c>
      <c r="O51" s="331">
        <f t="shared" si="31"/>
        <v>452577.57306000002</v>
      </c>
      <c r="P51" s="331"/>
      <c r="Q51" s="331"/>
      <c r="R51" s="331"/>
      <c r="S51" s="331"/>
      <c r="T51" s="331"/>
      <c r="U51" s="331">
        <f t="shared" si="32"/>
        <v>0</v>
      </c>
      <c r="V51" s="331">
        <f t="shared" si="33"/>
        <v>0</v>
      </c>
      <c r="W51" s="331"/>
      <c r="X51" s="331"/>
      <c r="Y51" s="331"/>
      <c r="Z51" s="331"/>
      <c r="AA51" s="331"/>
      <c r="AB51" s="330">
        <f t="shared" si="34"/>
        <v>452577.57306000002</v>
      </c>
      <c r="AC51" s="302">
        <f t="shared" si="35"/>
        <v>510356.7</v>
      </c>
      <c r="AD51" s="302">
        <f t="shared" si="36"/>
        <v>48204.1</v>
      </c>
      <c r="AE51" s="302">
        <f t="shared" si="37"/>
        <v>129292.8</v>
      </c>
      <c r="AF51" s="302">
        <f t="shared" si="38"/>
        <v>294183.67999999999</v>
      </c>
      <c r="AG51" s="302">
        <f t="shared" si="39"/>
        <v>0</v>
      </c>
      <c r="AH51" s="302">
        <f t="shared" si="40"/>
        <v>0</v>
      </c>
      <c r="AI51" s="302">
        <f t="shared" si="41"/>
        <v>102086.52</v>
      </c>
      <c r="AJ51" s="302">
        <f t="shared" si="42"/>
        <v>0</v>
      </c>
      <c r="AK51" s="302">
        <f t="shared" si="43"/>
        <v>269476.38</v>
      </c>
    </row>
    <row r="52" spans="1:37" ht="13">
      <c r="A52" s="325">
        <v>112012197</v>
      </c>
      <c r="B52" s="1527">
        <v>1</v>
      </c>
      <c r="C52" s="733" t="str">
        <f t="shared" si="25"/>
        <v>Lista</v>
      </c>
      <c r="D52" s="733">
        <f t="shared" si="26"/>
        <v>0.09</v>
      </c>
      <c r="E52" s="733">
        <f t="shared" si="27"/>
        <v>0</v>
      </c>
      <c r="F52" s="1745" t="s">
        <v>201</v>
      </c>
      <c r="G52" s="1466">
        <f t="shared" si="28"/>
        <v>0</v>
      </c>
      <c r="H52" s="1497">
        <f t="shared" si="29"/>
        <v>0</v>
      </c>
      <c r="I52" s="1497"/>
      <c r="J52" s="1497"/>
      <c r="K52" s="1497"/>
      <c r="L52" s="1497"/>
      <c r="M52" s="1497"/>
      <c r="N52" s="1497">
        <f t="shared" si="30"/>
        <v>0</v>
      </c>
      <c r="O52" s="1497">
        <f t="shared" si="31"/>
        <v>0</v>
      </c>
      <c r="P52" s="1497"/>
      <c r="Q52" s="1497"/>
      <c r="R52" s="1497"/>
      <c r="S52" s="1497"/>
      <c r="T52" s="1497"/>
      <c r="U52" s="1497">
        <f t="shared" si="32"/>
        <v>0</v>
      </c>
      <c r="V52" s="1497">
        <f t="shared" si="33"/>
        <v>0</v>
      </c>
      <c r="W52" s="1497"/>
      <c r="X52" s="1497"/>
      <c r="Y52" s="1497"/>
      <c r="Z52" s="1497"/>
      <c r="AA52" s="1497"/>
      <c r="AB52" s="1746">
        <f t="shared" si="34"/>
        <v>0</v>
      </c>
      <c r="AC52" s="302">
        <f t="shared" si="35"/>
        <v>225277.29</v>
      </c>
      <c r="AD52" s="302">
        <f t="shared" si="36"/>
        <v>205657.82</v>
      </c>
      <c r="AE52" s="302">
        <f t="shared" si="37"/>
        <v>181028.44</v>
      </c>
      <c r="AF52" s="302">
        <f t="shared" si="38"/>
        <v>323594.15999999997</v>
      </c>
      <c r="AG52" s="302">
        <f t="shared" si="39"/>
        <v>260885.06</v>
      </c>
      <c r="AH52" s="302">
        <f t="shared" si="40"/>
        <v>412112.64000000001</v>
      </c>
      <c r="AI52" s="302">
        <f t="shared" si="41"/>
        <v>192709.88</v>
      </c>
      <c r="AJ52" s="302">
        <f t="shared" si="42"/>
        <v>104926.5</v>
      </c>
      <c r="AK52" s="302">
        <f t="shared" si="43"/>
        <v>58518.35</v>
      </c>
    </row>
    <row r="53" spans="1:37" ht="13">
      <c r="A53" s="325">
        <v>112012279</v>
      </c>
      <c r="B53" s="1510">
        <v>1</v>
      </c>
      <c r="C53" s="1511" t="str">
        <f t="shared" si="25"/>
        <v>Lista</v>
      </c>
      <c r="D53" s="1511">
        <f t="shared" si="26"/>
        <v>0.09</v>
      </c>
      <c r="E53" s="1511">
        <f t="shared" si="27"/>
        <v>0</v>
      </c>
      <c r="F53" s="1786" t="s">
        <v>1616</v>
      </c>
      <c r="G53" s="1467" t="str">
        <f t="shared" si="28"/>
        <v/>
      </c>
      <c r="H53" s="331" t="e">
        <f t="shared" si="29"/>
        <v>#VALUE!</v>
      </c>
      <c r="I53" s="331"/>
      <c r="J53" s="331"/>
      <c r="K53" s="331"/>
      <c r="L53" s="331"/>
      <c r="M53" s="331"/>
      <c r="N53" s="331" t="str">
        <f t="shared" si="30"/>
        <v/>
      </c>
      <c r="O53" s="331" t="e">
        <f t="shared" si="31"/>
        <v>#VALUE!</v>
      </c>
      <c r="P53" s="331"/>
      <c r="Q53" s="331"/>
      <c r="R53" s="331"/>
      <c r="S53" s="331"/>
      <c r="T53" s="331"/>
      <c r="U53" s="331" t="str">
        <f t="shared" si="32"/>
        <v/>
      </c>
      <c r="V53" s="331" t="e">
        <f t="shared" si="33"/>
        <v>#VALUE!</v>
      </c>
      <c r="W53" s="331"/>
      <c r="X53" s="331"/>
      <c r="Y53" s="331"/>
      <c r="Z53" s="331"/>
      <c r="AA53" s="331"/>
      <c r="AB53" s="330" t="e">
        <f t="shared" si="34"/>
        <v>#VALUE!</v>
      </c>
      <c r="AC53" s="302" t="str">
        <f t="shared" si="35"/>
        <v/>
      </c>
      <c r="AD53" s="302" t="str">
        <f t="shared" si="36"/>
        <v/>
      </c>
      <c r="AE53" s="302" t="str">
        <f t="shared" si="37"/>
        <v/>
      </c>
      <c r="AF53" s="302" t="str">
        <f t="shared" si="38"/>
        <v/>
      </c>
      <c r="AG53" s="302" t="str">
        <f t="shared" si="39"/>
        <v/>
      </c>
      <c r="AH53" s="302" t="str">
        <f t="shared" si="40"/>
        <v/>
      </c>
      <c r="AI53" s="302" t="str">
        <f t="shared" si="41"/>
        <v/>
      </c>
      <c r="AJ53" s="302" t="str">
        <f t="shared" si="42"/>
        <v/>
      </c>
      <c r="AK53" s="302" t="str">
        <f t="shared" si="43"/>
        <v/>
      </c>
    </row>
    <row r="54" spans="1:37" ht="13">
      <c r="A54" s="325">
        <v>112012345</v>
      </c>
      <c r="B54" s="1527">
        <v>1</v>
      </c>
      <c r="C54" s="733" t="str">
        <f t="shared" si="25"/>
        <v>Lista</v>
      </c>
      <c r="D54" s="733">
        <f t="shared" si="26"/>
        <v>0.09</v>
      </c>
      <c r="E54" s="733">
        <f t="shared" si="27"/>
        <v>0</v>
      </c>
      <c r="F54" s="1745" t="s">
        <v>79</v>
      </c>
      <c r="G54" s="1466">
        <f t="shared" si="28"/>
        <v>0</v>
      </c>
      <c r="H54" s="1497">
        <f t="shared" si="29"/>
        <v>0</v>
      </c>
      <c r="I54" s="1497"/>
      <c r="J54" s="1497"/>
      <c r="K54" s="1497"/>
      <c r="L54" s="1497"/>
      <c r="M54" s="1497"/>
      <c r="N54" s="1497">
        <f t="shared" si="30"/>
        <v>0</v>
      </c>
      <c r="O54" s="1497">
        <f t="shared" si="31"/>
        <v>0</v>
      </c>
      <c r="P54" s="1497"/>
      <c r="Q54" s="1497"/>
      <c r="R54" s="1497"/>
      <c r="S54" s="1497"/>
      <c r="T54" s="1497"/>
      <c r="U54" s="1497">
        <f t="shared" si="32"/>
        <v>30978</v>
      </c>
      <c r="V54" s="1497">
        <f t="shared" si="33"/>
        <v>51896.668949999999</v>
      </c>
      <c r="W54" s="1497"/>
      <c r="X54" s="1497"/>
      <c r="Y54" s="1497"/>
      <c r="Z54" s="1497"/>
      <c r="AA54" s="1497"/>
      <c r="AB54" s="1746">
        <f t="shared" si="34"/>
        <v>51896.668949999999</v>
      </c>
      <c r="AC54" s="302">
        <f t="shared" si="35"/>
        <v>0</v>
      </c>
      <c r="AD54" s="302">
        <f t="shared" si="36"/>
        <v>0</v>
      </c>
      <c r="AE54" s="302">
        <f t="shared" si="37"/>
        <v>0</v>
      </c>
      <c r="AF54" s="302">
        <f t="shared" si="38"/>
        <v>0</v>
      </c>
      <c r="AG54" s="302">
        <f t="shared" si="39"/>
        <v>0</v>
      </c>
      <c r="AH54" s="302">
        <f t="shared" si="40"/>
        <v>0</v>
      </c>
      <c r="AI54" s="302">
        <f t="shared" si="41"/>
        <v>0</v>
      </c>
      <c r="AJ54" s="302">
        <f t="shared" si="42"/>
        <v>0</v>
      </c>
      <c r="AK54" s="302">
        <f t="shared" si="43"/>
        <v>0</v>
      </c>
    </row>
    <row r="55" spans="1:37" ht="13">
      <c r="A55" s="325">
        <v>112012569</v>
      </c>
      <c r="B55" s="1510">
        <v>1</v>
      </c>
      <c r="C55" s="1511" t="str">
        <f t="shared" si="25"/>
        <v>Lista</v>
      </c>
      <c r="D55" s="1511">
        <f t="shared" si="26"/>
        <v>0.09</v>
      </c>
      <c r="E55" s="1511">
        <f t="shared" si="27"/>
        <v>0</v>
      </c>
      <c r="F55" s="1747" t="s">
        <v>1617</v>
      </c>
      <c r="G55" s="1467" t="str">
        <f t="shared" si="28"/>
        <v/>
      </c>
      <c r="H55" s="331" t="e">
        <f t="shared" si="29"/>
        <v>#VALUE!</v>
      </c>
      <c r="I55" s="331"/>
      <c r="J55" s="331"/>
      <c r="K55" s="331"/>
      <c r="L55" s="331"/>
      <c r="M55" s="331"/>
      <c r="N55" s="331" t="str">
        <f t="shared" si="30"/>
        <v/>
      </c>
      <c r="O55" s="331" t="e">
        <f t="shared" si="31"/>
        <v>#VALUE!</v>
      </c>
      <c r="P55" s="331"/>
      <c r="Q55" s="331"/>
      <c r="R55" s="331"/>
      <c r="S55" s="331"/>
      <c r="T55" s="331"/>
      <c r="U55" s="331" t="str">
        <f t="shared" si="32"/>
        <v/>
      </c>
      <c r="V55" s="331" t="e">
        <f t="shared" si="33"/>
        <v>#VALUE!</v>
      </c>
      <c r="W55" s="331"/>
      <c r="X55" s="331"/>
      <c r="Y55" s="331"/>
      <c r="Z55" s="331"/>
      <c r="AA55" s="331"/>
      <c r="AB55" s="330" t="e">
        <f t="shared" si="34"/>
        <v>#VALUE!</v>
      </c>
      <c r="AC55" s="302" t="str">
        <f t="shared" si="35"/>
        <v/>
      </c>
      <c r="AD55" s="302" t="str">
        <f t="shared" si="36"/>
        <v/>
      </c>
      <c r="AE55" s="302" t="str">
        <f t="shared" si="37"/>
        <v/>
      </c>
      <c r="AF55" s="302" t="str">
        <f t="shared" si="38"/>
        <v/>
      </c>
      <c r="AG55" s="302" t="str">
        <f t="shared" si="39"/>
        <v/>
      </c>
      <c r="AH55" s="302" t="str">
        <f t="shared" si="40"/>
        <v/>
      </c>
      <c r="AI55" s="302" t="str">
        <f t="shared" si="41"/>
        <v/>
      </c>
      <c r="AJ55" s="302" t="str">
        <f t="shared" si="42"/>
        <v/>
      </c>
      <c r="AK55" s="302" t="str">
        <f t="shared" si="43"/>
        <v/>
      </c>
    </row>
    <row r="56" spans="1:37" ht="13">
      <c r="A56" s="325">
        <v>112012868</v>
      </c>
      <c r="B56" s="1527">
        <v>1</v>
      </c>
      <c r="C56" s="733" t="str">
        <f t="shared" si="25"/>
        <v>Lista</v>
      </c>
      <c r="D56" s="733">
        <f t="shared" si="26"/>
        <v>0.09</v>
      </c>
      <c r="E56" s="733">
        <f t="shared" si="27"/>
        <v>0</v>
      </c>
      <c r="F56" s="1745" t="s">
        <v>654</v>
      </c>
      <c r="G56" s="1466">
        <f t="shared" si="28"/>
        <v>161296.14000000001</v>
      </c>
      <c r="H56" s="1497">
        <f t="shared" si="29"/>
        <v>271146.876147</v>
      </c>
      <c r="I56" s="1497"/>
      <c r="J56" s="1497"/>
      <c r="K56" s="1497"/>
      <c r="L56" s="1497"/>
      <c r="M56" s="1497"/>
      <c r="N56" s="1497">
        <f t="shared" si="30"/>
        <v>0</v>
      </c>
      <c r="O56" s="1497">
        <f t="shared" si="31"/>
        <v>0</v>
      </c>
      <c r="P56" s="1497"/>
      <c r="Q56" s="1497"/>
      <c r="R56" s="1497"/>
      <c r="S56" s="1497"/>
      <c r="T56" s="1497"/>
      <c r="U56" s="1497">
        <f t="shared" si="32"/>
        <v>104355.64</v>
      </c>
      <c r="V56" s="1497">
        <f t="shared" si="33"/>
        <v>174824.39480099999</v>
      </c>
      <c r="W56" s="1497"/>
      <c r="X56" s="1497"/>
      <c r="Y56" s="1497"/>
      <c r="Z56" s="1497"/>
      <c r="AA56" s="1497"/>
      <c r="AB56" s="1746">
        <f t="shared" si="34"/>
        <v>445971.27094800002</v>
      </c>
      <c r="AC56" s="302">
        <f t="shared" si="35"/>
        <v>334095.75</v>
      </c>
      <c r="AD56" s="302">
        <f t="shared" si="36"/>
        <v>334935.36</v>
      </c>
      <c r="AE56" s="302">
        <f t="shared" si="37"/>
        <v>98389.72</v>
      </c>
      <c r="AF56" s="302">
        <f t="shared" si="38"/>
        <v>17975</v>
      </c>
      <c r="AG56" s="302">
        <f t="shared" si="39"/>
        <v>62747.77</v>
      </c>
      <c r="AH56" s="302">
        <f t="shared" si="40"/>
        <v>149236.99</v>
      </c>
      <c r="AI56" s="302">
        <f t="shared" si="41"/>
        <v>264076.42</v>
      </c>
      <c r="AJ56" s="302">
        <f t="shared" si="42"/>
        <v>0</v>
      </c>
      <c r="AK56" s="302">
        <f t="shared" si="43"/>
        <v>182436.5</v>
      </c>
    </row>
    <row r="57" spans="1:37" ht="13">
      <c r="A57" s="325">
        <v>112013104</v>
      </c>
      <c r="B57" s="1510">
        <v>1</v>
      </c>
      <c r="C57" s="1511" t="str">
        <f t="shared" si="25"/>
        <v>Lista</v>
      </c>
      <c r="D57" s="1511">
        <f t="shared" si="26"/>
        <v>0.09</v>
      </c>
      <c r="E57" s="1511">
        <f t="shared" si="27"/>
        <v>0</v>
      </c>
      <c r="F57" s="1747" t="s">
        <v>769</v>
      </c>
      <c r="G57" s="1467">
        <f t="shared" si="28"/>
        <v>11339.93</v>
      </c>
      <c r="H57" s="331">
        <f t="shared" si="29"/>
        <v>19062.989326500003</v>
      </c>
      <c r="I57" s="331"/>
      <c r="J57" s="331"/>
      <c r="K57" s="331"/>
      <c r="L57" s="331"/>
      <c r="M57" s="331"/>
      <c r="N57" s="331">
        <f t="shared" si="30"/>
        <v>0</v>
      </c>
      <c r="O57" s="331">
        <f t="shared" si="31"/>
        <v>0</v>
      </c>
      <c r="P57" s="331"/>
      <c r="Q57" s="331"/>
      <c r="R57" s="331"/>
      <c r="S57" s="331"/>
      <c r="T57" s="331"/>
      <c r="U57" s="331">
        <f t="shared" si="32"/>
        <v>0</v>
      </c>
      <c r="V57" s="331">
        <f t="shared" si="33"/>
        <v>0</v>
      </c>
      <c r="W57" s="331"/>
      <c r="X57" s="331"/>
      <c r="Y57" s="331"/>
      <c r="Z57" s="331"/>
      <c r="AA57" s="331"/>
      <c r="AB57" s="330">
        <f t="shared" si="34"/>
        <v>19062.989326500003</v>
      </c>
      <c r="AC57" s="302">
        <f t="shared" si="35"/>
        <v>0</v>
      </c>
      <c r="AD57" s="302">
        <f t="shared" si="36"/>
        <v>0</v>
      </c>
      <c r="AE57" s="302">
        <f t="shared" si="37"/>
        <v>7033.02</v>
      </c>
      <c r="AF57" s="302">
        <f t="shared" si="38"/>
        <v>30710.03</v>
      </c>
      <c r="AG57" s="302">
        <f t="shared" si="39"/>
        <v>0</v>
      </c>
      <c r="AH57" s="302">
        <f t="shared" si="40"/>
        <v>0</v>
      </c>
      <c r="AI57" s="302">
        <f t="shared" si="41"/>
        <v>0</v>
      </c>
      <c r="AJ57" s="302">
        <f t="shared" si="42"/>
        <v>0</v>
      </c>
      <c r="AK57" s="302">
        <f t="shared" si="43"/>
        <v>0</v>
      </c>
    </row>
    <row r="58" spans="1:37" ht="13">
      <c r="A58" s="325">
        <v>112013196</v>
      </c>
      <c r="B58" s="1527">
        <v>1</v>
      </c>
      <c r="C58" s="733" t="str">
        <f t="shared" si="25"/>
        <v>Lista</v>
      </c>
      <c r="D58" s="733">
        <f t="shared" si="26"/>
        <v>0.09</v>
      </c>
      <c r="E58" s="733">
        <f t="shared" si="27"/>
        <v>0</v>
      </c>
      <c r="F58" s="1745" t="s">
        <v>790</v>
      </c>
      <c r="G58" s="1466">
        <f t="shared" si="28"/>
        <v>418163.35</v>
      </c>
      <c r="H58" s="1497">
        <f t="shared" si="29"/>
        <v>702953.49951749993</v>
      </c>
      <c r="I58" s="1497"/>
      <c r="J58" s="1497"/>
      <c r="K58" s="1497"/>
      <c r="L58" s="1497"/>
      <c r="M58" s="1497"/>
      <c r="N58" s="1497">
        <f t="shared" si="30"/>
        <v>255803.91</v>
      </c>
      <c r="O58" s="1497">
        <f t="shared" si="31"/>
        <v>454367.85807885003</v>
      </c>
      <c r="P58" s="1497"/>
      <c r="Q58" s="1497"/>
      <c r="R58" s="1497"/>
      <c r="S58" s="1497"/>
      <c r="T58" s="1497"/>
      <c r="U58" s="1497">
        <f t="shared" si="32"/>
        <v>377375.91</v>
      </c>
      <c r="V58" s="1497">
        <f t="shared" si="33"/>
        <v>632208.42762524995</v>
      </c>
      <c r="W58" s="1497"/>
      <c r="X58" s="1497"/>
      <c r="Y58" s="1497"/>
      <c r="Z58" s="1497"/>
      <c r="AA58" s="1497"/>
      <c r="AB58" s="1746">
        <f t="shared" si="34"/>
        <v>1789529.7852216</v>
      </c>
      <c r="AC58" s="302">
        <f t="shared" si="35"/>
        <v>244449.17</v>
      </c>
      <c r="AD58" s="302">
        <f t="shared" si="36"/>
        <v>90194.86</v>
      </c>
      <c r="AE58" s="302">
        <f t="shared" si="37"/>
        <v>146820.92000000001</v>
      </c>
      <c r="AF58" s="302">
        <f t="shared" si="38"/>
        <v>208427.15</v>
      </c>
      <c r="AG58" s="302">
        <f t="shared" si="39"/>
        <v>0</v>
      </c>
      <c r="AH58" s="302">
        <f t="shared" si="40"/>
        <v>0</v>
      </c>
      <c r="AI58" s="302">
        <f t="shared" si="41"/>
        <v>0</v>
      </c>
      <c r="AJ58" s="302">
        <f t="shared" si="42"/>
        <v>0</v>
      </c>
      <c r="AK58" s="302">
        <f t="shared" si="43"/>
        <v>0</v>
      </c>
    </row>
    <row r="59" spans="1:37" ht="13">
      <c r="A59" s="325">
        <v>112013566</v>
      </c>
      <c r="B59" s="1510">
        <v>1</v>
      </c>
      <c r="C59" s="1511" t="str">
        <f t="shared" si="25"/>
        <v>Lista</v>
      </c>
      <c r="D59" s="1511">
        <f t="shared" si="26"/>
        <v>0.09</v>
      </c>
      <c r="E59" s="1511">
        <f t="shared" si="27"/>
        <v>0</v>
      </c>
      <c r="F59" s="1747" t="s">
        <v>778</v>
      </c>
      <c r="G59" s="1467">
        <f t="shared" si="28"/>
        <v>0</v>
      </c>
      <c r="H59" s="331">
        <f t="shared" si="29"/>
        <v>0</v>
      </c>
      <c r="I59" s="331"/>
      <c r="J59" s="331"/>
      <c r="K59" s="331"/>
      <c r="L59" s="331"/>
      <c r="M59" s="331"/>
      <c r="N59" s="331">
        <f t="shared" si="30"/>
        <v>0</v>
      </c>
      <c r="O59" s="331">
        <f t="shared" si="31"/>
        <v>0</v>
      </c>
      <c r="P59" s="331"/>
      <c r="Q59" s="331"/>
      <c r="R59" s="331"/>
      <c r="S59" s="331"/>
      <c r="T59" s="331"/>
      <c r="U59" s="331">
        <f t="shared" si="32"/>
        <v>0</v>
      </c>
      <c r="V59" s="331">
        <f t="shared" si="33"/>
        <v>0</v>
      </c>
      <c r="W59" s="331"/>
      <c r="X59" s="331"/>
      <c r="Y59" s="331"/>
      <c r="Z59" s="331"/>
      <c r="AA59" s="331"/>
      <c r="AB59" s="330">
        <f t="shared" si="34"/>
        <v>0</v>
      </c>
      <c r="AC59" s="302">
        <f t="shared" si="35"/>
        <v>0</v>
      </c>
      <c r="AD59" s="302">
        <f t="shared" si="36"/>
        <v>0</v>
      </c>
      <c r="AE59" s="302">
        <f t="shared" si="37"/>
        <v>15380.32</v>
      </c>
      <c r="AF59" s="302">
        <f t="shared" si="38"/>
        <v>0</v>
      </c>
      <c r="AG59" s="302">
        <f t="shared" si="39"/>
        <v>0</v>
      </c>
      <c r="AH59" s="302">
        <f t="shared" si="40"/>
        <v>0</v>
      </c>
      <c r="AI59" s="302">
        <f t="shared" si="41"/>
        <v>0</v>
      </c>
      <c r="AJ59" s="302">
        <f t="shared" si="42"/>
        <v>0</v>
      </c>
      <c r="AK59" s="302">
        <f t="shared" si="43"/>
        <v>0</v>
      </c>
    </row>
    <row r="60" spans="1:37" ht="13">
      <c r="A60" s="325">
        <v>112013626</v>
      </c>
      <c r="B60" s="1527">
        <v>1</v>
      </c>
      <c r="C60" s="733" t="str">
        <f t="shared" si="25"/>
        <v>Lista</v>
      </c>
      <c r="D60" s="733">
        <f t="shared" si="26"/>
        <v>0.09</v>
      </c>
      <c r="E60" s="733">
        <f t="shared" si="27"/>
        <v>0</v>
      </c>
      <c r="F60" s="1745" t="s">
        <v>1570</v>
      </c>
      <c r="G60" s="1466">
        <f t="shared" si="28"/>
        <v>0</v>
      </c>
      <c r="H60" s="1497">
        <f t="shared" si="29"/>
        <v>0</v>
      </c>
      <c r="I60" s="1497"/>
      <c r="J60" s="1497"/>
      <c r="K60" s="1497"/>
      <c r="L60" s="1497"/>
      <c r="M60" s="1497"/>
      <c r="N60" s="1497">
        <f t="shared" si="30"/>
        <v>172698.5</v>
      </c>
      <c r="O60" s="1497">
        <f t="shared" si="31"/>
        <v>306753.12014750001</v>
      </c>
      <c r="P60" s="1497"/>
      <c r="Q60" s="1497"/>
      <c r="R60" s="1497"/>
      <c r="S60" s="1497"/>
      <c r="T60" s="1497"/>
      <c r="U60" s="1497">
        <f t="shared" si="32"/>
        <v>139590.48000000001</v>
      </c>
      <c r="V60" s="1497">
        <f t="shared" si="33"/>
        <v>233852.44138200002</v>
      </c>
      <c r="W60" s="1497"/>
      <c r="X60" s="1497"/>
      <c r="Y60" s="1497"/>
      <c r="Z60" s="1497"/>
      <c r="AA60" s="1497"/>
      <c r="AB60" s="1746">
        <f t="shared" si="34"/>
        <v>540605.56152950006</v>
      </c>
      <c r="AC60" s="302">
        <f t="shared" si="35"/>
        <v>275162.21999999997</v>
      </c>
      <c r="AD60" s="302">
        <f t="shared" si="36"/>
        <v>291755.23</v>
      </c>
      <c r="AE60" s="302">
        <f t="shared" si="37"/>
        <v>276646.09999999998</v>
      </c>
      <c r="AF60" s="302">
        <f t="shared" si="38"/>
        <v>474608.48</v>
      </c>
      <c r="AG60" s="302">
        <f t="shared" si="39"/>
        <v>-33723.46</v>
      </c>
      <c r="AH60" s="302">
        <f t="shared" si="40"/>
        <v>268140</v>
      </c>
      <c r="AI60" s="302">
        <f t="shared" si="41"/>
        <v>329273.40000000002</v>
      </c>
      <c r="AJ60" s="302">
        <f t="shared" si="42"/>
        <v>66582</v>
      </c>
      <c r="AK60" s="302">
        <f t="shared" si="43"/>
        <v>398426.33</v>
      </c>
    </row>
    <row r="61" spans="1:37" ht="13">
      <c r="A61" s="325">
        <v>112013710</v>
      </c>
      <c r="B61" s="1510">
        <v>1</v>
      </c>
      <c r="C61" s="1511" t="str">
        <f t="shared" si="25"/>
        <v>Lista</v>
      </c>
      <c r="D61" s="1511">
        <f t="shared" si="26"/>
        <v>0.09</v>
      </c>
      <c r="E61" s="1511">
        <f t="shared" si="27"/>
        <v>0</v>
      </c>
      <c r="F61" s="1747" t="s">
        <v>1618</v>
      </c>
      <c r="G61" s="1467" t="str">
        <f t="shared" si="28"/>
        <v/>
      </c>
      <c r="H61" s="331" t="e">
        <f t="shared" si="29"/>
        <v>#VALUE!</v>
      </c>
      <c r="I61" s="331"/>
      <c r="J61" s="331"/>
      <c r="K61" s="331"/>
      <c r="L61" s="331"/>
      <c r="M61" s="331"/>
      <c r="N61" s="331" t="str">
        <f t="shared" si="30"/>
        <v/>
      </c>
      <c r="O61" s="331" t="e">
        <f t="shared" si="31"/>
        <v>#VALUE!</v>
      </c>
      <c r="P61" s="331"/>
      <c r="Q61" s="331"/>
      <c r="R61" s="331"/>
      <c r="S61" s="331"/>
      <c r="T61" s="331"/>
      <c r="U61" s="331" t="str">
        <f t="shared" si="32"/>
        <v/>
      </c>
      <c r="V61" s="331" t="e">
        <f t="shared" si="33"/>
        <v>#VALUE!</v>
      </c>
      <c r="W61" s="331"/>
      <c r="X61" s="331"/>
      <c r="Y61" s="331"/>
      <c r="Z61" s="331"/>
      <c r="AA61" s="331"/>
      <c r="AB61" s="330" t="e">
        <f t="shared" si="34"/>
        <v>#VALUE!</v>
      </c>
      <c r="AC61" s="302" t="str">
        <f t="shared" si="35"/>
        <v/>
      </c>
      <c r="AD61" s="302" t="str">
        <f t="shared" si="36"/>
        <v/>
      </c>
      <c r="AE61" s="302" t="str">
        <f t="shared" si="37"/>
        <v/>
      </c>
      <c r="AF61" s="302" t="str">
        <f t="shared" si="38"/>
        <v/>
      </c>
      <c r="AG61" s="302" t="str">
        <f t="shared" si="39"/>
        <v/>
      </c>
      <c r="AH61" s="302" t="str">
        <f t="shared" si="40"/>
        <v/>
      </c>
      <c r="AI61" s="302" t="str">
        <f t="shared" si="41"/>
        <v/>
      </c>
      <c r="AJ61" s="302" t="str">
        <f t="shared" si="42"/>
        <v/>
      </c>
      <c r="AK61" s="302" t="str">
        <f t="shared" si="43"/>
        <v/>
      </c>
    </row>
    <row r="62" spans="1:37" ht="13">
      <c r="A62" s="325">
        <v>112013758</v>
      </c>
      <c r="B62" s="1527">
        <v>1</v>
      </c>
      <c r="C62" s="733" t="str">
        <f t="shared" si="25"/>
        <v>Lista</v>
      </c>
      <c r="D62" s="733">
        <f t="shared" si="26"/>
        <v>0.09</v>
      </c>
      <c r="E62" s="733">
        <f t="shared" si="27"/>
        <v>0</v>
      </c>
      <c r="F62" s="1745" t="s">
        <v>653</v>
      </c>
      <c r="G62" s="1466">
        <f t="shared" si="28"/>
        <v>44799.74</v>
      </c>
      <c r="H62" s="1497">
        <f t="shared" si="29"/>
        <v>75310.602927</v>
      </c>
      <c r="I62" s="1497"/>
      <c r="J62" s="1497"/>
      <c r="K62" s="1497"/>
      <c r="L62" s="1497"/>
      <c r="M62" s="1497"/>
      <c r="N62" s="1497">
        <f t="shared" si="30"/>
        <v>97992.38</v>
      </c>
      <c r="O62" s="1497">
        <f t="shared" si="31"/>
        <v>174057.49508930001</v>
      </c>
      <c r="P62" s="1497"/>
      <c r="Q62" s="1497"/>
      <c r="R62" s="1497"/>
      <c r="S62" s="1497"/>
      <c r="T62" s="1497"/>
      <c r="U62" s="1497">
        <f t="shared" si="32"/>
        <v>100647.16</v>
      </c>
      <c r="V62" s="1497">
        <f t="shared" si="33"/>
        <v>168611.67096900003</v>
      </c>
      <c r="W62" s="1497"/>
      <c r="X62" s="1497"/>
      <c r="Y62" s="1497"/>
      <c r="Z62" s="1497"/>
      <c r="AA62" s="1497"/>
      <c r="AB62" s="1746">
        <f t="shared" si="34"/>
        <v>417979.76898530003</v>
      </c>
      <c r="AC62" s="302">
        <f t="shared" si="35"/>
        <v>80578.92</v>
      </c>
      <c r="AD62" s="302">
        <f t="shared" si="36"/>
        <v>133900.74</v>
      </c>
      <c r="AE62" s="302">
        <f t="shared" si="37"/>
        <v>0</v>
      </c>
      <c r="AF62" s="302">
        <f t="shared" si="38"/>
        <v>92370.94</v>
      </c>
      <c r="AG62" s="302">
        <f t="shared" si="39"/>
        <v>66698.320000000007</v>
      </c>
      <c r="AH62" s="302">
        <f t="shared" si="40"/>
        <v>44996.9</v>
      </c>
      <c r="AI62" s="302">
        <f t="shared" si="41"/>
        <v>14481.75</v>
      </c>
      <c r="AJ62" s="302">
        <f t="shared" si="42"/>
        <v>51425.64</v>
      </c>
      <c r="AK62" s="302">
        <f t="shared" si="43"/>
        <v>0</v>
      </c>
    </row>
    <row r="63" spans="1:37" ht="13">
      <c r="A63" s="325">
        <v>112013930</v>
      </c>
      <c r="B63" s="1510">
        <v>1</v>
      </c>
      <c r="C63" s="1511" t="str">
        <f t="shared" si="25"/>
        <v>Lista</v>
      </c>
      <c r="D63" s="1511">
        <f t="shared" si="26"/>
        <v>0.09</v>
      </c>
      <c r="E63" s="1511">
        <f t="shared" si="27"/>
        <v>0</v>
      </c>
      <c r="F63" s="1747" t="s">
        <v>656</v>
      </c>
      <c r="G63" s="1467">
        <f t="shared" si="28"/>
        <v>40803.68</v>
      </c>
      <c r="H63" s="331">
        <f t="shared" si="29"/>
        <v>68593.026264</v>
      </c>
      <c r="I63" s="331"/>
      <c r="J63" s="331"/>
      <c r="K63" s="331"/>
      <c r="L63" s="331"/>
      <c r="M63" s="331"/>
      <c r="N63" s="331">
        <f t="shared" si="30"/>
        <v>117091.22</v>
      </c>
      <c r="O63" s="331">
        <f t="shared" si="31"/>
        <v>207981.52315669999</v>
      </c>
      <c r="P63" s="331"/>
      <c r="Q63" s="331"/>
      <c r="R63" s="331"/>
      <c r="S63" s="331"/>
      <c r="T63" s="331"/>
      <c r="U63" s="331">
        <f t="shared" si="32"/>
        <v>30205.59</v>
      </c>
      <c r="V63" s="331">
        <f t="shared" si="33"/>
        <v>50602.669787250001</v>
      </c>
      <c r="W63" s="331"/>
      <c r="X63" s="331"/>
      <c r="Y63" s="331"/>
      <c r="Z63" s="331"/>
      <c r="AA63" s="331"/>
      <c r="AB63" s="330">
        <f t="shared" si="34"/>
        <v>327177.21920794999</v>
      </c>
      <c r="AC63" s="302">
        <f t="shared" si="35"/>
        <v>221121.15</v>
      </c>
      <c r="AD63" s="302">
        <f t="shared" si="36"/>
        <v>486345.79</v>
      </c>
      <c r="AE63" s="302">
        <f t="shared" si="37"/>
        <v>467439.55</v>
      </c>
      <c r="AF63" s="302">
        <f t="shared" si="38"/>
        <v>469310.62</v>
      </c>
      <c r="AG63" s="302">
        <f t="shared" si="39"/>
        <v>393009.54</v>
      </c>
      <c r="AH63" s="302">
        <f t="shared" si="40"/>
        <v>513161.91</v>
      </c>
      <c r="AI63" s="302">
        <f t="shared" si="41"/>
        <v>846206.4</v>
      </c>
      <c r="AJ63" s="302">
        <f t="shared" si="42"/>
        <v>266184.53999999998</v>
      </c>
      <c r="AK63" s="302">
        <f t="shared" si="43"/>
        <v>1098441.8</v>
      </c>
    </row>
    <row r="64" spans="1:37" ht="13">
      <c r="A64" s="325">
        <v>112013932</v>
      </c>
      <c r="B64" s="1527">
        <v>1</v>
      </c>
      <c r="C64" s="733" t="str">
        <f t="shared" si="25"/>
        <v>Lista</v>
      </c>
      <c r="D64" s="733">
        <f t="shared" si="26"/>
        <v>0.09</v>
      </c>
      <c r="E64" s="733">
        <f t="shared" si="27"/>
        <v>0</v>
      </c>
      <c r="F64" s="1745" t="s">
        <v>1619</v>
      </c>
      <c r="G64" s="1466">
        <f t="shared" si="28"/>
        <v>11921</v>
      </c>
      <c r="H64" s="1497">
        <f t="shared" si="29"/>
        <v>20039.797050000001</v>
      </c>
      <c r="I64" s="1497"/>
      <c r="J64" s="1497"/>
      <c r="K64" s="1497"/>
      <c r="L64" s="1497"/>
      <c r="M64" s="1497"/>
      <c r="N64" s="1497">
        <f t="shared" si="30"/>
        <v>0</v>
      </c>
      <c r="O64" s="1497">
        <f t="shared" si="31"/>
        <v>0</v>
      </c>
      <c r="P64" s="1497"/>
      <c r="Q64" s="1497"/>
      <c r="R64" s="1497"/>
      <c r="S64" s="1497"/>
      <c r="T64" s="1497"/>
      <c r="U64" s="1497">
        <f t="shared" si="32"/>
        <v>0</v>
      </c>
      <c r="V64" s="1497">
        <f t="shared" si="33"/>
        <v>0</v>
      </c>
      <c r="W64" s="1497"/>
      <c r="X64" s="1497"/>
      <c r="Y64" s="1497"/>
      <c r="Z64" s="1497"/>
      <c r="AA64" s="1497"/>
      <c r="AB64" s="1746">
        <f t="shared" si="34"/>
        <v>20039.797050000001</v>
      </c>
      <c r="AC64" s="302">
        <f t="shared" si="35"/>
        <v>0</v>
      </c>
      <c r="AD64" s="302">
        <f t="shared" si="36"/>
        <v>0</v>
      </c>
      <c r="AE64" s="302">
        <f t="shared" si="37"/>
        <v>0</v>
      </c>
      <c r="AF64" s="302">
        <f t="shared" si="38"/>
        <v>0</v>
      </c>
      <c r="AG64" s="302">
        <f t="shared" si="39"/>
        <v>0</v>
      </c>
      <c r="AH64" s="302">
        <f t="shared" si="40"/>
        <v>0</v>
      </c>
      <c r="AI64" s="302">
        <f t="shared" si="41"/>
        <v>0</v>
      </c>
      <c r="AJ64" s="302">
        <f t="shared" si="42"/>
        <v>0</v>
      </c>
      <c r="AK64" s="302">
        <f t="shared" si="43"/>
        <v>0</v>
      </c>
    </row>
    <row r="65" spans="1:37" ht="13">
      <c r="A65" s="325">
        <v>112013989</v>
      </c>
      <c r="B65" s="1510">
        <v>1</v>
      </c>
      <c r="C65" s="1511" t="str">
        <f t="shared" si="25"/>
        <v>Lista</v>
      </c>
      <c r="D65" s="1511">
        <f t="shared" si="26"/>
        <v>0.09</v>
      </c>
      <c r="E65" s="1511">
        <f t="shared" si="27"/>
        <v>0</v>
      </c>
      <c r="F65" s="1747" t="s">
        <v>767</v>
      </c>
      <c r="G65" s="1467">
        <f t="shared" si="28"/>
        <v>56643.51</v>
      </c>
      <c r="H65" s="331">
        <f t="shared" si="29"/>
        <v>95220.572485500001</v>
      </c>
      <c r="I65" s="331"/>
      <c r="J65" s="331"/>
      <c r="K65" s="331"/>
      <c r="L65" s="331"/>
      <c r="M65" s="331"/>
      <c r="N65" s="331">
        <f t="shared" si="30"/>
        <v>301454.06</v>
      </c>
      <c r="O65" s="331">
        <f t="shared" si="31"/>
        <v>535453.25226410001</v>
      </c>
      <c r="P65" s="331"/>
      <c r="Q65" s="331"/>
      <c r="R65" s="331"/>
      <c r="S65" s="331"/>
      <c r="T65" s="331"/>
      <c r="U65" s="331">
        <f t="shared" si="32"/>
        <v>151603.34</v>
      </c>
      <c r="V65" s="331">
        <f t="shared" si="33"/>
        <v>253977.28541849999</v>
      </c>
      <c r="W65" s="331"/>
      <c r="X65" s="331"/>
      <c r="Y65" s="331"/>
      <c r="Z65" s="331"/>
      <c r="AA65" s="331"/>
      <c r="AB65" s="330">
        <f t="shared" si="34"/>
        <v>884651.11016809999</v>
      </c>
      <c r="AC65" s="302">
        <f t="shared" si="35"/>
        <v>177925.62</v>
      </c>
      <c r="AD65" s="302">
        <f t="shared" si="36"/>
        <v>142680.75</v>
      </c>
      <c r="AE65" s="302">
        <f t="shared" si="37"/>
        <v>78866.539999999994</v>
      </c>
      <c r="AF65" s="302">
        <f t="shared" si="38"/>
        <v>274405.53999999998</v>
      </c>
      <c r="AG65" s="302">
        <f t="shared" si="39"/>
        <v>231041.02</v>
      </c>
      <c r="AH65" s="302">
        <f t="shared" si="40"/>
        <v>104586.46</v>
      </c>
      <c r="AI65" s="302">
        <f t="shared" si="41"/>
        <v>382938.23</v>
      </c>
      <c r="AJ65" s="302">
        <f t="shared" si="42"/>
        <v>309571.03999999998</v>
      </c>
      <c r="AK65" s="302">
        <f t="shared" si="43"/>
        <v>30718.7</v>
      </c>
    </row>
    <row r="66" spans="1:37" ht="13">
      <c r="A66" s="325">
        <v>112014082</v>
      </c>
      <c r="B66" s="1527">
        <v>1</v>
      </c>
      <c r="C66" s="733" t="str">
        <f t="shared" ref="C66:C97" si="44">IFERROR(VLOOKUP(B66,DES,2,FALSE),"")</f>
        <v>Lista</v>
      </c>
      <c r="D66" s="733">
        <f t="shared" ref="D66:D86" si="45">IFERROR(VLOOKUP(B66,DES,3,FALSE),"")</f>
        <v>0.09</v>
      </c>
      <c r="E66" s="733">
        <f t="shared" ref="E66:E86" si="46">IFERROR(VLOOKUP(B66,DES,4,FALSE),"")</f>
        <v>0</v>
      </c>
      <c r="F66" s="1745" t="s">
        <v>655</v>
      </c>
      <c r="G66" s="1466">
        <f t="shared" ref="G66:G97" si="47">IFERROR(VLOOKUP(F66,PEREZ,3,FALSE),"")</f>
        <v>51264.5</v>
      </c>
      <c r="H66" s="1497">
        <f t="shared" si="29"/>
        <v>86178.187725000011</v>
      </c>
      <c r="I66" s="1497"/>
      <c r="J66" s="1497"/>
      <c r="K66" s="1497"/>
      <c r="L66" s="1497"/>
      <c r="M66" s="1497"/>
      <c r="N66" s="1497">
        <f t="shared" ref="N66:N86" si="48">IFERROR(VLOOKUP(F66,PEREZ,4,FALSE),"")</f>
        <v>24510</v>
      </c>
      <c r="O66" s="1497">
        <f t="shared" si="31"/>
        <v>43535.519849999997</v>
      </c>
      <c r="P66" s="1497"/>
      <c r="Q66" s="1497"/>
      <c r="R66" s="1497"/>
      <c r="S66" s="1497"/>
      <c r="T66" s="1497"/>
      <c r="U66" s="1497">
        <f t="shared" ref="U66:U86" si="49">IFERROR(VLOOKUP(F66,PEREZ,5,FALSE),"")</f>
        <v>0</v>
      </c>
      <c r="V66" s="1497">
        <f t="shared" si="33"/>
        <v>0</v>
      </c>
      <c r="W66" s="1497"/>
      <c r="X66" s="1497"/>
      <c r="Y66" s="1497"/>
      <c r="Z66" s="1497"/>
      <c r="AA66" s="1497"/>
      <c r="AB66" s="1746">
        <f t="shared" si="34"/>
        <v>129713.70757500001</v>
      </c>
      <c r="AC66" s="302">
        <f t="shared" ref="AC66:AC86" si="50">IFERROR(VLOOKUP(F66,PEREZ,6,FALSE),"")</f>
        <v>0</v>
      </c>
      <c r="AD66" s="302">
        <f t="shared" ref="AD66:AD86" si="51">IFERROR(VLOOKUP(F66,PEREZ,7,FALSE),"")</f>
        <v>0</v>
      </c>
      <c r="AE66" s="302">
        <f t="shared" ref="AE66:AE86" si="52">IFERROR(VLOOKUP(F66,PEREZ,8,FALSE),"")</f>
        <v>96375.08</v>
      </c>
      <c r="AF66" s="302">
        <f t="shared" ref="AF66:AF86" si="53">IFERROR(VLOOKUP(F66,PEREZ,9,FALSE),"")</f>
        <v>0</v>
      </c>
      <c r="AG66" s="302">
        <f t="shared" ref="AG66:AG86" si="54">IFERROR(VLOOKUP(F66,PEREZ,10,FALSE),"")</f>
        <v>38857.800000000003</v>
      </c>
      <c r="AH66" s="302">
        <f t="shared" ref="AH66:AH86" si="55">IFERROR(VLOOKUP(F66,PEREZ,11,FALSE),"")</f>
        <v>0</v>
      </c>
      <c r="AI66" s="302">
        <f t="shared" ref="AI66:AI86" si="56">IFERROR(VLOOKUP(F66,PEREZ,12,FALSE),"")</f>
        <v>0</v>
      </c>
      <c r="AJ66" s="302">
        <f t="shared" ref="AJ66:AJ86" si="57">IFERROR(VLOOKUP(F66,PEREZ,13,FALSE),"")</f>
        <v>0</v>
      </c>
      <c r="AK66" s="302">
        <f t="shared" ref="AK66:AK86" si="58">IFERROR(VLOOKUP(F66,PEREZ,14,FALSE),"")</f>
        <v>0</v>
      </c>
    </row>
    <row r="67" spans="1:37" ht="13">
      <c r="A67" s="325">
        <v>112014102</v>
      </c>
      <c r="B67" s="1510">
        <v>1</v>
      </c>
      <c r="C67" s="1511" t="str">
        <f t="shared" si="44"/>
        <v>Lista</v>
      </c>
      <c r="D67" s="1511">
        <f t="shared" si="45"/>
        <v>0.09</v>
      </c>
      <c r="E67" s="1511">
        <f t="shared" si="46"/>
        <v>0</v>
      </c>
      <c r="F67" s="1747" t="s">
        <v>770</v>
      </c>
      <c r="G67" s="1467">
        <f t="shared" si="47"/>
        <v>62654.8</v>
      </c>
      <c r="H67" s="331">
        <f t="shared" si="29"/>
        <v>105325.85154</v>
      </c>
      <c r="I67" s="331"/>
      <c r="J67" s="331"/>
      <c r="K67" s="331"/>
      <c r="L67" s="331"/>
      <c r="M67" s="331"/>
      <c r="N67" s="331">
        <f t="shared" si="48"/>
        <v>0</v>
      </c>
      <c r="O67" s="331">
        <f t="shared" si="31"/>
        <v>0</v>
      </c>
      <c r="P67" s="331"/>
      <c r="Q67" s="331"/>
      <c r="R67" s="331"/>
      <c r="S67" s="331"/>
      <c r="T67" s="331"/>
      <c r="U67" s="331">
        <f t="shared" si="49"/>
        <v>104885.2</v>
      </c>
      <c r="V67" s="331">
        <f t="shared" si="33"/>
        <v>175711.55343</v>
      </c>
      <c r="W67" s="331"/>
      <c r="X67" s="331"/>
      <c r="Y67" s="331"/>
      <c r="Z67" s="331"/>
      <c r="AA67" s="331"/>
      <c r="AB67" s="330">
        <f t="shared" si="34"/>
        <v>281037.40497000003</v>
      </c>
      <c r="AC67" s="302">
        <f t="shared" si="50"/>
        <v>108090.16</v>
      </c>
      <c r="AD67" s="302">
        <f t="shared" si="51"/>
        <v>298458.95</v>
      </c>
      <c r="AE67" s="302">
        <f t="shared" si="52"/>
        <v>114522.25</v>
      </c>
      <c r="AF67" s="302">
        <f t="shared" si="53"/>
        <v>245271.99</v>
      </c>
      <c r="AG67" s="302">
        <f t="shared" si="54"/>
        <v>186292.91</v>
      </c>
      <c r="AH67" s="302">
        <f t="shared" si="55"/>
        <v>450378.57</v>
      </c>
      <c r="AI67" s="302">
        <f t="shared" si="56"/>
        <v>254583.47</v>
      </c>
      <c r="AJ67" s="302">
        <f t="shared" si="57"/>
        <v>0</v>
      </c>
      <c r="AK67" s="302">
        <f t="shared" si="58"/>
        <v>229335.5</v>
      </c>
    </row>
    <row r="68" spans="1:37" ht="13">
      <c r="A68" s="325">
        <v>112014157</v>
      </c>
      <c r="B68" s="1527">
        <v>1</v>
      </c>
      <c r="C68" s="733" t="str">
        <f t="shared" si="44"/>
        <v>Lista</v>
      </c>
      <c r="D68" s="733">
        <f t="shared" si="45"/>
        <v>0.09</v>
      </c>
      <c r="E68" s="733">
        <f t="shared" si="46"/>
        <v>0</v>
      </c>
      <c r="F68" s="1745" t="s">
        <v>1620</v>
      </c>
      <c r="G68" s="1466" t="str">
        <f t="shared" si="47"/>
        <v/>
      </c>
      <c r="H68" s="1497" t="e">
        <f t="shared" si="29"/>
        <v>#VALUE!</v>
      </c>
      <c r="I68" s="1497"/>
      <c r="J68" s="1497"/>
      <c r="K68" s="1497"/>
      <c r="L68" s="1497"/>
      <c r="M68" s="1497"/>
      <c r="N68" s="1497" t="str">
        <f t="shared" si="48"/>
        <v/>
      </c>
      <c r="O68" s="1497" t="e">
        <f t="shared" si="31"/>
        <v>#VALUE!</v>
      </c>
      <c r="P68" s="1497"/>
      <c r="Q68" s="1497"/>
      <c r="R68" s="1497"/>
      <c r="S68" s="1497"/>
      <c r="T68" s="1497"/>
      <c r="U68" s="1497" t="str">
        <f t="shared" si="49"/>
        <v/>
      </c>
      <c r="V68" s="1497" t="e">
        <f t="shared" si="33"/>
        <v>#VALUE!</v>
      </c>
      <c r="W68" s="1497"/>
      <c r="X68" s="1497"/>
      <c r="Y68" s="1497"/>
      <c r="Z68" s="1497"/>
      <c r="AA68" s="1497"/>
      <c r="AB68" s="1746" t="e">
        <f t="shared" si="34"/>
        <v>#VALUE!</v>
      </c>
      <c r="AC68" s="302" t="str">
        <f t="shared" si="50"/>
        <v/>
      </c>
      <c r="AD68" s="302" t="str">
        <f t="shared" si="51"/>
        <v/>
      </c>
      <c r="AE68" s="302" t="str">
        <f t="shared" si="52"/>
        <v/>
      </c>
      <c r="AF68" s="302" t="str">
        <f t="shared" si="53"/>
        <v/>
      </c>
      <c r="AG68" s="302" t="str">
        <f t="shared" si="54"/>
        <v/>
      </c>
      <c r="AH68" s="302" t="str">
        <f t="shared" si="55"/>
        <v/>
      </c>
      <c r="AI68" s="302" t="str">
        <f t="shared" si="56"/>
        <v/>
      </c>
      <c r="AJ68" s="302" t="str">
        <f t="shared" si="57"/>
        <v/>
      </c>
      <c r="AK68" s="302" t="str">
        <f t="shared" si="58"/>
        <v/>
      </c>
    </row>
    <row r="69" spans="1:37" ht="13">
      <c r="A69" s="325">
        <v>112014255</v>
      </c>
      <c r="B69" s="1510">
        <v>1</v>
      </c>
      <c r="C69" s="1511" t="str">
        <f t="shared" si="44"/>
        <v>Lista</v>
      </c>
      <c r="D69" s="1511">
        <f t="shared" si="45"/>
        <v>0.09</v>
      </c>
      <c r="E69" s="1511">
        <f t="shared" si="46"/>
        <v>0</v>
      </c>
      <c r="F69" s="1747" t="s">
        <v>651</v>
      </c>
      <c r="G69" s="1467">
        <f t="shared" si="47"/>
        <v>0</v>
      </c>
      <c r="H69" s="331">
        <f t="shared" si="29"/>
        <v>0</v>
      </c>
      <c r="I69" s="331"/>
      <c r="J69" s="331"/>
      <c r="K69" s="331"/>
      <c r="L69" s="331"/>
      <c r="M69" s="331"/>
      <c r="N69" s="331">
        <f t="shared" si="48"/>
        <v>0</v>
      </c>
      <c r="O69" s="331">
        <f t="shared" si="31"/>
        <v>0</v>
      </c>
      <c r="P69" s="331"/>
      <c r="Q69" s="331"/>
      <c r="R69" s="331"/>
      <c r="S69" s="331"/>
      <c r="T69" s="331"/>
      <c r="U69" s="331">
        <f t="shared" si="49"/>
        <v>29392.93</v>
      </c>
      <c r="V69" s="331">
        <f t="shared" si="33"/>
        <v>49241.24080575</v>
      </c>
      <c r="W69" s="331"/>
      <c r="X69" s="331"/>
      <c r="Y69" s="331"/>
      <c r="Z69" s="331"/>
      <c r="AA69" s="331"/>
      <c r="AB69" s="330">
        <f t="shared" si="34"/>
        <v>49241.24080575</v>
      </c>
      <c r="AC69" s="302">
        <f t="shared" si="50"/>
        <v>181537.66</v>
      </c>
      <c r="AD69" s="302">
        <f t="shared" si="51"/>
        <v>0</v>
      </c>
      <c r="AE69" s="302">
        <f t="shared" si="52"/>
        <v>0</v>
      </c>
      <c r="AF69" s="302">
        <f t="shared" si="53"/>
        <v>223393.47</v>
      </c>
      <c r="AG69" s="302">
        <f t="shared" si="54"/>
        <v>0</v>
      </c>
      <c r="AH69" s="302">
        <f t="shared" si="55"/>
        <v>36072.51</v>
      </c>
      <c r="AI69" s="302">
        <f t="shared" si="56"/>
        <v>0</v>
      </c>
      <c r="AJ69" s="302">
        <f t="shared" si="57"/>
        <v>0</v>
      </c>
      <c r="AK69" s="302">
        <f t="shared" si="58"/>
        <v>0</v>
      </c>
    </row>
    <row r="70" spans="1:37" ht="13">
      <c r="A70" s="325">
        <v>112014384</v>
      </c>
      <c r="B70" s="1527">
        <v>1</v>
      </c>
      <c r="C70" s="733" t="str">
        <f t="shared" si="44"/>
        <v>Lista</v>
      </c>
      <c r="D70" s="733">
        <f t="shared" si="45"/>
        <v>0.09</v>
      </c>
      <c r="E70" s="733">
        <f t="shared" si="46"/>
        <v>0</v>
      </c>
      <c r="F70" s="1745" t="s">
        <v>240</v>
      </c>
      <c r="G70" s="1466">
        <f t="shared" si="47"/>
        <v>0</v>
      </c>
      <c r="H70" s="1497">
        <f t="shared" si="29"/>
        <v>0</v>
      </c>
      <c r="I70" s="1497"/>
      <c r="J70" s="1497"/>
      <c r="K70" s="1497"/>
      <c r="L70" s="1497"/>
      <c r="M70" s="1497"/>
      <c r="N70" s="1497">
        <f t="shared" si="48"/>
        <v>53796.15</v>
      </c>
      <c r="O70" s="1497">
        <f t="shared" si="31"/>
        <v>95554.604495249994</v>
      </c>
      <c r="P70" s="1497"/>
      <c r="Q70" s="1497"/>
      <c r="R70" s="1497"/>
      <c r="S70" s="1497"/>
      <c r="T70" s="1497"/>
      <c r="U70" s="1497">
        <f t="shared" si="49"/>
        <v>0</v>
      </c>
      <c r="V70" s="1497">
        <f t="shared" si="33"/>
        <v>0</v>
      </c>
      <c r="W70" s="1497"/>
      <c r="X70" s="1497"/>
      <c r="Y70" s="1497"/>
      <c r="Z70" s="1497"/>
      <c r="AA70" s="1497"/>
      <c r="AB70" s="1746">
        <f t="shared" si="34"/>
        <v>95554.604495249994</v>
      </c>
      <c r="AC70" s="302">
        <f t="shared" si="50"/>
        <v>0</v>
      </c>
      <c r="AD70" s="302">
        <f t="shared" si="51"/>
        <v>0</v>
      </c>
      <c r="AE70" s="302">
        <f t="shared" si="52"/>
        <v>0</v>
      </c>
      <c r="AF70" s="302">
        <f t="shared" si="53"/>
        <v>0</v>
      </c>
      <c r="AG70" s="302">
        <f t="shared" si="54"/>
        <v>0</v>
      </c>
      <c r="AH70" s="302">
        <f t="shared" si="55"/>
        <v>0</v>
      </c>
      <c r="AI70" s="302">
        <f t="shared" si="56"/>
        <v>0</v>
      </c>
      <c r="AJ70" s="302">
        <f t="shared" si="57"/>
        <v>69511.5</v>
      </c>
      <c r="AK70" s="302">
        <f t="shared" si="58"/>
        <v>0</v>
      </c>
    </row>
    <row r="71" spans="1:37" ht="13">
      <c r="A71" s="325">
        <v>112014385</v>
      </c>
      <c r="B71" s="1510">
        <v>1</v>
      </c>
      <c r="C71" s="1511" t="str">
        <f t="shared" si="44"/>
        <v>Lista</v>
      </c>
      <c r="D71" s="1511">
        <f t="shared" si="45"/>
        <v>0.09</v>
      </c>
      <c r="E71" s="1511">
        <f t="shared" si="46"/>
        <v>0</v>
      </c>
      <c r="F71" s="1747" t="s">
        <v>797</v>
      </c>
      <c r="G71" s="1467">
        <f t="shared" si="47"/>
        <v>0</v>
      </c>
      <c r="H71" s="331">
        <f t="shared" si="29"/>
        <v>0</v>
      </c>
      <c r="I71" s="331"/>
      <c r="J71" s="331"/>
      <c r="K71" s="331"/>
      <c r="L71" s="331"/>
      <c r="M71" s="331"/>
      <c r="N71" s="331">
        <f t="shared" si="48"/>
        <v>0</v>
      </c>
      <c r="O71" s="331">
        <f t="shared" si="31"/>
        <v>0</v>
      </c>
      <c r="P71" s="331"/>
      <c r="Q71" s="331"/>
      <c r="R71" s="331"/>
      <c r="S71" s="331"/>
      <c r="T71" s="331"/>
      <c r="U71" s="331">
        <f t="shared" si="49"/>
        <v>66634.69</v>
      </c>
      <c r="V71" s="331">
        <f t="shared" si="33"/>
        <v>111631.43028975</v>
      </c>
      <c r="W71" s="331"/>
      <c r="X71" s="331"/>
      <c r="Y71" s="331"/>
      <c r="Z71" s="331"/>
      <c r="AA71" s="331"/>
      <c r="AB71" s="330">
        <f t="shared" si="34"/>
        <v>111631.43028975</v>
      </c>
      <c r="AC71" s="302">
        <f t="shared" si="50"/>
        <v>0</v>
      </c>
      <c r="AD71" s="302">
        <f t="shared" si="51"/>
        <v>0</v>
      </c>
      <c r="AE71" s="302">
        <f t="shared" si="52"/>
        <v>0</v>
      </c>
      <c r="AF71" s="302">
        <f t="shared" si="53"/>
        <v>62391.5</v>
      </c>
      <c r="AG71" s="302">
        <f t="shared" si="54"/>
        <v>0</v>
      </c>
      <c r="AH71" s="302">
        <f t="shared" si="55"/>
        <v>76329.73</v>
      </c>
      <c r="AI71" s="302">
        <f t="shared" si="56"/>
        <v>0</v>
      </c>
      <c r="AJ71" s="302">
        <f t="shared" si="57"/>
        <v>56837.51</v>
      </c>
      <c r="AK71" s="302">
        <f t="shared" si="58"/>
        <v>45923.7</v>
      </c>
    </row>
    <row r="72" spans="1:37" ht="13">
      <c r="A72" s="325">
        <v>112014466</v>
      </c>
      <c r="B72" s="1527">
        <v>1</v>
      </c>
      <c r="C72" s="733" t="str">
        <f t="shared" si="44"/>
        <v>Lista</v>
      </c>
      <c r="D72" s="733">
        <f t="shared" si="45"/>
        <v>0.09</v>
      </c>
      <c r="E72" s="733">
        <f t="shared" si="46"/>
        <v>0</v>
      </c>
      <c r="F72" s="1745" t="s">
        <v>1621</v>
      </c>
      <c r="G72" s="1466" t="str">
        <f t="shared" si="47"/>
        <v/>
      </c>
      <c r="H72" s="1497" t="e">
        <f t="shared" si="29"/>
        <v>#VALUE!</v>
      </c>
      <c r="I72" s="1497"/>
      <c r="J72" s="1497"/>
      <c r="K72" s="1497"/>
      <c r="L72" s="1497"/>
      <c r="M72" s="1497"/>
      <c r="N72" s="1497" t="str">
        <f t="shared" si="48"/>
        <v/>
      </c>
      <c r="O72" s="1497" t="e">
        <f t="shared" si="31"/>
        <v>#VALUE!</v>
      </c>
      <c r="P72" s="1497"/>
      <c r="Q72" s="1497"/>
      <c r="R72" s="1497"/>
      <c r="S72" s="1497"/>
      <c r="T72" s="1497"/>
      <c r="U72" s="1497" t="str">
        <f t="shared" si="49"/>
        <v/>
      </c>
      <c r="V72" s="1497" t="e">
        <f t="shared" si="33"/>
        <v>#VALUE!</v>
      </c>
      <c r="W72" s="1497"/>
      <c r="X72" s="1497"/>
      <c r="Y72" s="1497"/>
      <c r="Z72" s="1497"/>
      <c r="AA72" s="1497"/>
      <c r="AB72" s="1746" t="e">
        <f t="shared" si="34"/>
        <v>#VALUE!</v>
      </c>
      <c r="AC72" s="302" t="str">
        <f t="shared" si="50"/>
        <v/>
      </c>
      <c r="AD72" s="302" t="str">
        <f t="shared" si="51"/>
        <v/>
      </c>
      <c r="AE72" s="302" t="str">
        <f t="shared" si="52"/>
        <v/>
      </c>
      <c r="AF72" s="302" t="str">
        <f t="shared" si="53"/>
        <v/>
      </c>
      <c r="AG72" s="302" t="str">
        <f t="shared" si="54"/>
        <v/>
      </c>
      <c r="AH72" s="302" t="str">
        <f t="shared" si="55"/>
        <v/>
      </c>
      <c r="AI72" s="302" t="str">
        <f t="shared" si="56"/>
        <v/>
      </c>
      <c r="AJ72" s="302" t="str">
        <f t="shared" si="57"/>
        <v/>
      </c>
      <c r="AK72" s="302" t="str">
        <f t="shared" si="58"/>
        <v/>
      </c>
    </row>
    <row r="73" spans="1:37" ht="13">
      <c r="A73" s="325">
        <v>112014547</v>
      </c>
      <c r="B73" s="1510">
        <v>1</v>
      </c>
      <c r="C73" s="1511" t="str">
        <f t="shared" si="44"/>
        <v>Lista</v>
      </c>
      <c r="D73" s="1511">
        <f t="shared" si="45"/>
        <v>0.09</v>
      </c>
      <c r="E73" s="1511">
        <f t="shared" si="46"/>
        <v>0</v>
      </c>
      <c r="F73" s="1747" t="s">
        <v>1622</v>
      </c>
      <c r="G73" s="1467" t="str">
        <f t="shared" si="47"/>
        <v/>
      </c>
      <c r="H73" s="331" t="e">
        <f t="shared" si="29"/>
        <v>#VALUE!</v>
      </c>
      <c r="I73" s="331"/>
      <c r="J73" s="331"/>
      <c r="K73" s="331"/>
      <c r="L73" s="331"/>
      <c r="M73" s="331"/>
      <c r="N73" s="331" t="str">
        <f t="shared" si="48"/>
        <v/>
      </c>
      <c r="O73" s="331" t="e">
        <f t="shared" si="31"/>
        <v>#VALUE!</v>
      </c>
      <c r="P73" s="331"/>
      <c r="Q73" s="331"/>
      <c r="R73" s="331"/>
      <c r="S73" s="331"/>
      <c r="T73" s="331"/>
      <c r="U73" s="331" t="str">
        <f t="shared" si="49"/>
        <v/>
      </c>
      <c r="V73" s="331" t="e">
        <f t="shared" si="33"/>
        <v>#VALUE!</v>
      </c>
      <c r="W73" s="331"/>
      <c r="X73" s="331"/>
      <c r="Y73" s="331"/>
      <c r="Z73" s="331"/>
      <c r="AA73" s="331"/>
      <c r="AB73" s="330" t="e">
        <f t="shared" si="34"/>
        <v>#VALUE!</v>
      </c>
      <c r="AC73" s="302" t="str">
        <f t="shared" si="50"/>
        <v/>
      </c>
      <c r="AD73" s="302" t="str">
        <f t="shared" si="51"/>
        <v/>
      </c>
      <c r="AE73" s="302" t="str">
        <f t="shared" si="52"/>
        <v/>
      </c>
      <c r="AF73" s="302" t="str">
        <f t="shared" si="53"/>
        <v/>
      </c>
      <c r="AG73" s="302" t="str">
        <f t="shared" si="54"/>
        <v/>
      </c>
      <c r="AH73" s="302" t="str">
        <f t="shared" si="55"/>
        <v/>
      </c>
      <c r="AI73" s="302" t="str">
        <f t="shared" si="56"/>
        <v/>
      </c>
      <c r="AJ73" s="302" t="str">
        <f t="shared" si="57"/>
        <v/>
      </c>
      <c r="AK73" s="302" t="str">
        <f t="shared" si="58"/>
        <v/>
      </c>
    </row>
    <row r="74" spans="1:37" ht="13">
      <c r="A74" s="325">
        <v>112010841</v>
      </c>
      <c r="B74" s="1527"/>
      <c r="C74" s="733" t="str">
        <f t="shared" si="44"/>
        <v/>
      </c>
      <c r="D74" s="733" t="str">
        <f t="shared" si="45"/>
        <v/>
      </c>
      <c r="E74" s="733" t="str">
        <f t="shared" si="46"/>
        <v/>
      </c>
      <c r="F74" s="1745" t="s">
        <v>664</v>
      </c>
      <c r="G74" s="1466">
        <f t="shared" si="47"/>
        <v>0</v>
      </c>
      <c r="H74" s="1497">
        <f t="shared" si="29"/>
        <v>0</v>
      </c>
      <c r="I74" s="1497"/>
      <c r="J74" s="1497"/>
      <c r="K74" s="1497"/>
      <c r="L74" s="1497"/>
      <c r="M74" s="1497"/>
      <c r="N74" s="1497">
        <f t="shared" si="48"/>
        <v>0</v>
      </c>
      <c r="O74" s="1497">
        <f t="shared" si="31"/>
        <v>0</v>
      </c>
      <c r="P74" s="1497"/>
      <c r="Q74" s="1497"/>
      <c r="R74" s="1497"/>
      <c r="S74" s="1497"/>
      <c r="T74" s="1497"/>
      <c r="U74" s="1497">
        <f t="shared" si="49"/>
        <v>0</v>
      </c>
      <c r="V74" s="1497">
        <f t="shared" si="33"/>
        <v>0</v>
      </c>
      <c r="W74" s="1497"/>
      <c r="X74" s="1497"/>
      <c r="Y74" s="1497"/>
      <c r="Z74" s="1497"/>
      <c r="AA74" s="1497"/>
      <c r="AB74" s="1746">
        <f t="shared" si="34"/>
        <v>0</v>
      </c>
      <c r="AC74" s="302">
        <f t="shared" si="50"/>
        <v>0</v>
      </c>
      <c r="AD74" s="302">
        <f t="shared" si="51"/>
        <v>0</v>
      </c>
      <c r="AE74" s="302">
        <f t="shared" si="52"/>
        <v>0</v>
      </c>
      <c r="AF74" s="302">
        <f t="shared" si="53"/>
        <v>0</v>
      </c>
      <c r="AG74" s="302">
        <f t="shared" si="54"/>
        <v>0</v>
      </c>
      <c r="AH74" s="302">
        <f t="shared" si="55"/>
        <v>0</v>
      </c>
      <c r="AI74" s="302">
        <f t="shared" si="56"/>
        <v>0</v>
      </c>
      <c r="AJ74" s="302">
        <f t="shared" si="57"/>
        <v>0</v>
      </c>
      <c r="AK74" s="302">
        <f t="shared" si="58"/>
        <v>1168622.06</v>
      </c>
    </row>
    <row r="75" spans="1:37" ht="13">
      <c r="A75" s="325">
        <v>112011285</v>
      </c>
      <c r="B75" s="1510"/>
      <c r="C75" s="1511" t="str">
        <f t="shared" si="44"/>
        <v/>
      </c>
      <c r="D75" s="1511" t="str">
        <f t="shared" si="45"/>
        <v/>
      </c>
      <c r="E75" s="1511" t="str">
        <f t="shared" si="46"/>
        <v/>
      </c>
      <c r="F75" s="1747" t="s">
        <v>1623</v>
      </c>
      <c r="G75" s="1467">
        <f t="shared" si="47"/>
        <v>0</v>
      </c>
      <c r="H75" s="331">
        <f t="shared" si="29"/>
        <v>0</v>
      </c>
      <c r="I75" s="331"/>
      <c r="J75" s="331"/>
      <c r="K75" s="331"/>
      <c r="L75" s="331"/>
      <c r="M75" s="331"/>
      <c r="N75" s="331">
        <f t="shared" si="48"/>
        <v>0</v>
      </c>
      <c r="O75" s="331">
        <f t="shared" si="31"/>
        <v>0</v>
      </c>
      <c r="P75" s="331"/>
      <c r="Q75" s="331"/>
      <c r="R75" s="331"/>
      <c r="S75" s="331"/>
      <c r="T75" s="331"/>
      <c r="U75" s="331">
        <f t="shared" si="49"/>
        <v>0</v>
      </c>
      <c r="V75" s="331">
        <f t="shared" si="33"/>
        <v>0</v>
      </c>
      <c r="W75" s="331"/>
      <c r="X75" s="331"/>
      <c r="Y75" s="331"/>
      <c r="Z75" s="331"/>
      <c r="AA75" s="331"/>
      <c r="AB75" s="330">
        <f t="shared" si="34"/>
        <v>0</v>
      </c>
      <c r="AC75" s="302">
        <f t="shared" si="50"/>
        <v>0</v>
      </c>
      <c r="AD75" s="302">
        <f t="shared" si="51"/>
        <v>0</v>
      </c>
      <c r="AE75" s="302">
        <f t="shared" si="52"/>
        <v>0</v>
      </c>
      <c r="AF75" s="302">
        <f t="shared" si="53"/>
        <v>0</v>
      </c>
      <c r="AG75" s="302">
        <f t="shared" si="54"/>
        <v>0</v>
      </c>
      <c r="AH75" s="302">
        <f t="shared" si="55"/>
        <v>0</v>
      </c>
      <c r="AI75" s="302">
        <f t="shared" si="56"/>
        <v>0</v>
      </c>
      <c r="AJ75" s="302">
        <f t="shared" si="57"/>
        <v>0</v>
      </c>
      <c r="AK75" s="302">
        <f t="shared" si="58"/>
        <v>0</v>
      </c>
    </row>
    <row r="76" spans="1:37" ht="13">
      <c r="A76" s="325">
        <v>112011653</v>
      </c>
      <c r="B76" s="1527"/>
      <c r="C76" s="733" t="str">
        <f t="shared" si="44"/>
        <v/>
      </c>
      <c r="D76" s="733" t="str">
        <f t="shared" si="45"/>
        <v/>
      </c>
      <c r="E76" s="733" t="str">
        <f t="shared" si="46"/>
        <v/>
      </c>
      <c r="F76" s="1745" t="s">
        <v>1624</v>
      </c>
      <c r="G76" s="1466" t="str">
        <f t="shared" si="47"/>
        <v/>
      </c>
      <c r="H76" s="1497" t="e">
        <f t="shared" si="29"/>
        <v>#VALUE!</v>
      </c>
      <c r="I76" s="1497"/>
      <c r="J76" s="1497"/>
      <c r="K76" s="1497"/>
      <c r="L76" s="1497"/>
      <c r="M76" s="1497"/>
      <c r="N76" s="1497" t="str">
        <f t="shared" si="48"/>
        <v/>
      </c>
      <c r="O76" s="1497" t="e">
        <f t="shared" si="31"/>
        <v>#VALUE!</v>
      </c>
      <c r="P76" s="1497"/>
      <c r="Q76" s="1497"/>
      <c r="R76" s="1497"/>
      <c r="S76" s="1497"/>
      <c r="T76" s="1497"/>
      <c r="U76" s="1497" t="str">
        <f t="shared" si="49"/>
        <v/>
      </c>
      <c r="V76" s="1497" t="e">
        <f t="shared" si="33"/>
        <v>#VALUE!</v>
      </c>
      <c r="W76" s="1497"/>
      <c r="X76" s="1497"/>
      <c r="Y76" s="1497"/>
      <c r="Z76" s="1497"/>
      <c r="AA76" s="1497"/>
      <c r="AB76" s="1746" t="e">
        <f t="shared" si="34"/>
        <v>#VALUE!</v>
      </c>
      <c r="AC76" s="302" t="str">
        <f t="shared" si="50"/>
        <v/>
      </c>
      <c r="AD76" s="302" t="str">
        <f t="shared" si="51"/>
        <v/>
      </c>
      <c r="AE76" s="302" t="str">
        <f t="shared" si="52"/>
        <v/>
      </c>
      <c r="AF76" s="302" t="str">
        <f t="shared" si="53"/>
        <v/>
      </c>
      <c r="AG76" s="302" t="str">
        <f t="shared" si="54"/>
        <v/>
      </c>
      <c r="AH76" s="302" t="str">
        <f t="shared" si="55"/>
        <v/>
      </c>
      <c r="AI76" s="302" t="str">
        <f t="shared" si="56"/>
        <v/>
      </c>
      <c r="AJ76" s="302" t="str">
        <f t="shared" si="57"/>
        <v/>
      </c>
      <c r="AK76" s="302" t="str">
        <f t="shared" si="58"/>
        <v/>
      </c>
    </row>
    <row r="77" spans="1:37" ht="13">
      <c r="A77" s="325">
        <v>112011823</v>
      </c>
      <c r="B77" s="1510"/>
      <c r="C77" s="1511" t="str">
        <f t="shared" si="44"/>
        <v/>
      </c>
      <c r="D77" s="1511" t="str">
        <f t="shared" si="45"/>
        <v/>
      </c>
      <c r="E77" s="1511" t="str">
        <f t="shared" si="46"/>
        <v/>
      </c>
      <c r="F77" s="1747" t="s">
        <v>810</v>
      </c>
      <c r="G77" s="1467">
        <f t="shared" si="47"/>
        <v>0</v>
      </c>
      <c r="H77" s="331">
        <f t="shared" si="29"/>
        <v>0</v>
      </c>
      <c r="I77" s="331"/>
      <c r="J77" s="331"/>
      <c r="K77" s="331"/>
      <c r="L77" s="331"/>
      <c r="M77" s="331"/>
      <c r="N77" s="331">
        <f t="shared" si="48"/>
        <v>0</v>
      </c>
      <c r="O77" s="331">
        <f t="shared" si="31"/>
        <v>0</v>
      </c>
      <c r="P77" s="331"/>
      <c r="Q77" s="331"/>
      <c r="R77" s="331"/>
      <c r="S77" s="331"/>
      <c r="T77" s="331"/>
      <c r="U77" s="331">
        <f t="shared" si="49"/>
        <v>0</v>
      </c>
      <c r="V77" s="331">
        <f t="shared" si="33"/>
        <v>0</v>
      </c>
      <c r="W77" s="331"/>
      <c r="X77" s="331"/>
      <c r="Y77" s="331"/>
      <c r="Z77" s="331"/>
      <c r="AA77" s="331"/>
      <c r="AB77" s="330">
        <f t="shared" si="34"/>
        <v>0</v>
      </c>
      <c r="AC77" s="302">
        <f t="shared" si="50"/>
        <v>0</v>
      </c>
      <c r="AD77" s="302">
        <f t="shared" si="51"/>
        <v>0</v>
      </c>
      <c r="AE77" s="302">
        <f t="shared" si="52"/>
        <v>0</v>
      </c>
      <c r="AF77" s="302">
        <f t="shared" si="53"/>
        <v>0</v>
      </c>
      <c r="AG77" s="302">
        <f t="shared" si="54"/>
        <v>84693.84</v>
      </c>
      <c r="AH77" s="302">
        <f t="shared" si="55"/>
        <v>0</v>
      </c>
      <c r="AI77" s="302">
        <f t="shared" si="56"/>
        <v>0</v>
      </c>
      <c r="AJ77" s="302">
        <f t="shared" si="57"/>
        <v>0</v>
      </c>
      <c r="AK77" s="302">
        <f t="shared" si="58"/>
        <v>0</v>
      </c>
    </row>
    <row r="78" spans="1:37" ht="13">
      <c r="A78" s="325">
        <v>112011888</v>
      </c>
      <c r="B78" s="1527"/>
      <c r="C78" s="733" t="str">
        <f t="shared" si="44"/>
        <v/>
      </c>
      <c r="D78" s="733" t="str">
        <f t="shared" si="45"/>
        <v/>
      </c>
      <c r="E78" s="733" t="str">
        <f t="shared" si="46"/>
        <v/>
      </c>
      <c r="F78" s="1745" t="s">
        <v>1625</v>
      </c>
      <c r="G78" s="1466" t="str">
        <f t="shared" si="47"/>
        <v/>
      </c>
      <c r="H78" s="1497" t="e">
        <f t="shared" si="29"/>
        <v>#VALUE!</v>
      </c>
      <c r="I78" s="1497"/>
      <c r="J78" s="1497"/>
      <c r="K78" s="1497"/>
      <c r="L78" s="1497"/>
      <c r="M78" s="1497"/>
      <c r="N78" s="1497" t="str">
        <f t="shared" si="48"/>
        <v/>
      </c>
      <c r="O78" s="1497" t="e">
        <f t="shared" si="31"/>
        <v>#VALUE!</v>
      </c>
      <c r="P78" s="1497"/>
      <c r="Q78" s="1497"/>
      <c r="R78" s="1497"/>
      <c r="S78" s="1497"/>
      <c r="T78" s="1497"/>
      <c r="U78" s="1497" t="str">
        <f t="shared" si="49"/>
        <v/>
      </c>
      <c r="V78" s="1497" t="e">
        <f t="shared" si="33"/>
        <v>#VALUE!</v>
      </c>
      <c r="W78" s="1497"/>
      <c r="X78" s="1497"/>
      <c r="Y78" s="1497"/>
      <c r="Z78" s="1497"/>
      <c r="AA78" s="1497"/>
      <c r="AB78" s="1746" t="e">
        <f t="shared" si="34"/>
        <v>#VALUE!</v>
      </c>
      <c r="AC78" s="302" t="str">
        <f t="shared" si="50"/>
        <v/>
      </c>
      <c r="AD78" s="302" t="str">
        <f t="shared" si="51"/>
        <v/>
      </c>
      <c r="AE78" s="302" t="str">
        <f t="shared" si="52"/>
        <v/>
      </c>
      <c r="AF78" s="302" t="str">
        <f t="shared" si="53"/>
        <v/>
      </c>
      <c r="AG78" s="302" t="str">
        <f t="shared" si="54"/>
        <v/>
      </c>
      <c r="AH78" s="302" t="str">
        <f t="shared" si="55"/>
        <v/>
      </c>
      <c r="AI78" s="302" t="str">
        <f t="shared" si="56"/>
        <v/>
      </c>
      <c r="AJ78" s="302" t="str">
        <f t="shared" si="57"/>
        <v/>
      </c>
      <c r="AK78" s="302" t="str">
        <f t="shared" si="58"/>
        <v/>
      </c>
    </row>
    <row r="79" spans="1:37" ht="13">
      <c r="A79" s="325">
        <v>112011938</v>
      </c>
      <c r="B79" s="1510"/>
      <c r="C79" s="1511" t="str">
        <f t="shared" si="44"/>
        <v/>
      </c>
      <c r="D79" s="1511" t="str">
        <f t="shared" si="45"/>
        <v/>
      </c>
      <c r="E79" s="1511" t="str">
        <f t="shared" si="46"/>
        <v/>
      </c>
      <c r="F79" s="1747" t="s">
        <v>665</v>
      </c>
      <c r="G79" s="1467">
        <f t="shared" si="47"/>
        <v>0</v>
      </c>
      <c r="H79" s="331">
        <f t="shared" si="29"/>
        <v>0</v>
      </c>
      <c r="I79" s="331"/>
      <c r="J79" s="331"/>
      <c r="K79" s="331"/>
      <c r="L79" s="331"/>
      <c r="M79" s="331"/>
      <c r="N79" s="331">
        <f t="shared" si="48"/>
        <v>0</v>
      </c>
      <c r="O79" s="331">
        <f t="shared" si="31"/>
        <v>0</v>
      </c>
      <c r="P79" s="331"/>
      <c r="Q79" s="331"/>
      <c r="R79" s="331"/>
      <c r="S79" s="331"/>
      <c r="T79" s="331"/>
      <c r="U79" s="331">
        <f t="shared" si="49"/>
        <v>0</v>
      </c>
      <c r="V79" s="331">
        <f t="shared" si="33"/>
        <v>0</v>
      </c>
      <c r="W79" s="331"/>
      <c r="X79" s="331"/>
      <c r="Y79" s="331"/>
      <c r="Z79" s="331"/>
      <c r="AA79" s="331"/>
      <c r="AB79" s="330">
        <f t="shared" si="34"/>
        <v>0</v>
      </c>
      <c r="AC79" s="302">
        <f t="shared" si="50"/>
        <v>0</v>
      </c>
      <c r="AD79" s="302">
        <f t="shared" si="51"/>
        <v>0</v>
      </c>
      <c r="AE79" s="302">
        <f t="shared" si="52"/>
        <v>0</v>
      </c>
      <c r="AF79" s="302">
        <f t="shared" si="53"/>
        <v>171179.8</v>
      </c>
      <c r="AG79" s="302">
        <f t="shared" si="54"/>
        <v>0</v>
      </c>
      <c r="AH79" s="302">
        <f t="shared" si="55"/>
        <v>0</v>
      </c>
      <c r="AI79" s="302">
        <f t="shared" si="56"/>
        <v>0</v>
      </c>
      <c r="AJ79" s="302">
        <f t="shared" si="57"/>
        <v>195915.51</v>
      </c>
      <c r="AK79" s="302">
        <f t="shared" si="58"/>
        <v>101588</v>
      </c>
    </row>
    <row r="80" spans="1:37" ht="13">
      <c r="A80" s="325">
        <v>112012899</v>
      </c>
      <c r="B80" s="1527"/>
      <c r="C80" s="733" t="str">
        <f t="shared" si="44"/>
        <v/>
      </c>
      <c r="D80" s="733" t="str">
        <f t="shared" si="45"/>
        <v/>
      </c>
      <c r="E80" s="733" t="str">
        <f t="shared" si="46"/>
        <v/>
      </c>
      <c r="F80" s="1745" t="s">
        <v>806</v>
      </c>
      <c r="G80" s="1466">
        <f t="shared" si="47"/>
        <v>0</v>
      </c>
      <c r="H80" s="1497">
        <f t="shared" si="29"/>
        <v>0</v>
      </c>
      <c r="I80" s="1497"/>
      <c r="J80" s="1497"/>
      <c r="K80" s="1497"/>
      <c r="L80" s="1497"/>
      <c r="M80" s="1497"/>
      <c r="N80" s="1497">
        <f t="shared" si="48"/>
        <v>542559.5</v>
      </c>
      <c r="O80" s="1497">
        <f t="shared" si="31"/>
        <v>963713.17348250002</v>
      </c>
      <c r="P80" s="1497"/>
      <c r="Q80" s="1497"/>
      <c r="R80" s="1497"/>
      <c r="S80" s="1497"/>
      <c r="T80" s="1497"/>
      <c r="U80" s="1497">
        <f t="shared" si="49"/>
        <v>0</v>
      </c>
      <c r="V80" s="1497">
        <f t="shared" si="33"/>
        <v>0</v>
      </c>
      <c r="W80" s="1497"/>
      <c r="X80" s="1497"/>
      <c r="Y80" s="1497"/>
      <c r="Z80" s="1497"/>
      <c r="AA80" s="1497"/>
      <c r="AB80" s="1746">
        <f t="shared" si="34"/>
        <v>963713.17348250002</v>
      </c>
      <c r="AC80" s="302">
        <f t="shared" si="50"/>
        <v>322124.78999999998</v>
      </c>
      <c r="AD80" s="302">
        <f t="shared" si="51"/>
        <v>0</v>
      </c>
      <c r="AE80" s="302">
        <f t="shared" si="52"/>
        <v>1138514.8799999999</v>
      </c>
      <c r="AF80" s="302">
        <f t="shared" si="53"/>
        <v>590950.41</v>
      </c>
      <c r="AG80" s="302">
        <f t="shared" si="54"/>
        <v>0</v>
      </c>
      <c r="AH80" s="302">
        <f t="shared" si="55"/>
        <v>1017239.67</v>
      </c>
      <c r="AI80" s="302">
        <f t="shared" si="56"/>
        <v>0</v>
      </c>
      <c r="AJ80" s="302">
        <f t="shared" si="57"/>
        <v>0</v>
      </c>
      <c r="AK80" s="302">
        <f t="shared" si="58"/>
        <v>506423.14</v>
      </c>
    </row>
    <row r="81" spans="1:71" ht="13">
      <c r="A81" s="325">
        <v>112013314</v>
      </c>
      <c r="B81" s="1510"/>
      <c r="C81" s="1511" t="str">
        <f t="shared" si="44"/>
        <v/>
      </c>
      <c r="D81" s="1511" t="str">
        <f t="shared" si="45"/>
        <v/>
      </c>
      <c r="E81" s="1511" t="str">
        <f t="shared" si="46"/>
        <v/>
      </c>
      <c r="F81" s="1747" t="s">
        <v>659</v>
      </c>
      <c r="G81" s="1467">
        <f t="shared" si="47"/>
        <v>134855.01</v>
      </c>
      <c r="H81" s="331">
        <f t="shared" si="29"/>
        <v>226698.01456050001</v>
      </c>
      <c r="I81" s="331"/>
      <c r="J81" s="331"/>
      <c r="K81" s="331"/>
      <c r="L81" s="331"/>
      <c r="M81" s="331"/>
      <c r="N81" s="331">
        <f t="shared" si="48"/>
        <v>0</v>
      </c>
      <c r="O81" s="331">
        <f t="shared" si="31"/>
        <v>0</v>
      </c>
      <c r="P81" s="331"/>
      <c r="Q81" s="331"/>
      <c r="R81" s="331"/>
      <c r="S81" s="331"/>
      <c r="T81" s="331"/>
      <c r="U81" s="331">
        <f t="shared" si="49"/>
        <v>0</v>
      </c>
      <c r="V81" s="331">
        <f t="shared" si="33"/>
        <v>0</v>
      </c>
      <c r="W81" s="331"/>
      <c r="X81" s="331"/>
      <c r="Y81" s="331"/>
      <c r="Z81" s="331"/>
      <c r="AA81" s="331"/>
      <c r="AB81" s="330">
        <f t="shared" si="34"/>
        <v>226698.01456050001</v>
      </c>
      <c r="AC81" s="302">
        <f t="shared" si="50"/>
        <v>176792.5</v>
      </c>
      <c r="AD81" s="302">
        <f t="shared" si="51"/>
        <v>251856.77</v>
      </c>
      <c r="AE81" s="302">
        <f t="shared" si="52"/>
        <v>66839.199999999997</v>
      </c>
      <c r="AF81" s="302">
        <f t="shared" si="53"/>
        <v>0</v>
      </c>
      <c r="AG81" s="302">
        <f t="shared" si="54"/>
        <v>157920.59</v>
      </c>
      <c r="AH81" s="302">
        <f t="shared" si="55"/>
        <v>0</v>
      </c>
      <c r="AI81" s="302">
        <f t="shared" si="56"/>
        <v>0</v>
      </c>
      <c r="AJ81" s="302">
        <f t="shared" si="57"/>
        <v>0</v>
      </c>
      <c r="AK81" s="302">
        <f t="shared" si="58"/>
        <v>0</v>
      </c>
    </row>
    <row r="82" spans="1:71" ht="13">
      <c r="A82" s="325">
        <v>112014159</v>
      </c>
      <c r="B82" s="1527"/>
      <c r="C82" s="733" t="str">
        <f t="shared" si="44"/>
        <v/>
      </c>
      <c r="D82" s="733" t="str">
        <f t="shared" si="45"/>
        <v/>
      </c>
      <c r="E82" s="733" t="str">
        <f t="shared" si="46"/>
        <v/>
      </c>
      <c r="F82" s="1745" t="s">
        <v>812</v>
      </c>
      <c r="G82" s="1466">
        <f t="shared" si="47"/>
        <v>122825.67</v>
      </c>
      <c r="H82" s="1497">
        <f t="shared" si="29"/>
        <v>206476.09255350003</v>
      </c>
      <c r="I82" s="1497"/>
      <c r="J82" s="1497"/>
      <c r="K82" s="1497"/>
      <c r="L82" s="1497"/>
      <c r="M82" s="1497"/>
      <c r="N82" s="1497">
        <f t="shared" si="48"/>
        <v>112044.23</v>
      </c>
      <c r="O82" s="1497">
        <f t="shared" si="31"/>
        <v>199016.88287404997</v>
      </c>
      <c r="P82" s="1497"/>
      <c r="Q82" s="1497"/>
      <c r="R82" s="1497"/>
      <c r="S82" s="1497"/>
      <c r="T82" s="1497"/>
      <c r="U82" s="1497">
        <f t="shared" si="49"/>
        <v>111386.14</v>
      </c>
      <c r="V82" s="1497">
        <f t="shared" si="33"/>
        <v>186602.41568849998</v>
      </c>
      <c r="W82" s="1497"/>
      <c r="X82" s="1497"/>
      <c r="Y82" s="1497"/>
      <c r="Z82" s="1497"/>
      <c r="AA82" s="1497"/>
      <c r="AB82" s="1746">
        <f t="shared" si="34"/>
        <v>592095.39111605007</v>
      </c>
      <c r="AC82" s="302">
        <f t="shared" si="50"/>
        <v>74993.14</v>
      </c>
      <c r="AD82" s="302">
        <f t="shared" si="51"/>
        <v>100897.52</v>
      </c>
      <c r="AE82" s="302">
        <f t="shared" si="52"/>
        <v>0</v>
      </c>
      <c r="AF82" s="302">
        <f t="shared" si="53"/>
        <v>73575.12</v>
      </c>
      <c r="AG82" s="302">
        <f t="shared" si="54"/>
        <v>79750.89</v>
      </c>
      <c r="AH82" s="302">
        <f t="shared" si="55"/>
        <v>54000.19</v>
      </c>
      <c r="AI82" s="302">
        <f t="shared" si="56"/>
        <v>213462.03</v>
      </c>
      <c r="AJ82" s="302">
        <f t="shared" si="57"/>
        <v>91993.26</v>
      </c>
      <c r="AK82" s="302">
        <f t="shared" si="58"/>
        <v>123724.48</v>
      </c>
    </row>
    <row r="83" spans="1:71" ht="13">
      <c r="A83" s="325">
        <v>112014166</v>
      </c>
      <c r="B83" s="1510"/>
      <c r="C83" s="1511" t="str">
        <f t="shared" si="44"/>
        <v/>
      </c>
      <c r="D83" s="1511" t="str">
        <f t="shared" si="45"/>
        <v/>
      </c>
      <c r="E83" s="1511" t="str">
        <f t="shared" si="46"/>
        <v/>
      </c>
      <c r="F83" s="1747" t="s">
        <v>803</v>
      </c>
      <c r="G83" s="1467" t="str">
        <f t="shared" si="47"/>
        <v/>
      </c>
      <c r="H83" s="331" t="e">
        <f t="shared" si="29"/>
        <v>#VALUE!</v>
      </c>
      <c r="I83" s="331"/>
      <c r="J83" s="331"/>
      <c r="K83" s="331"/>
      <c r="L83" s="331"/>
      <c r="M83" s="331"/>
      <c r="N83" s="331" t="str">
        <f t="shared" si="48"/>
        <v/>
      </c>
      <c r="O83" s="331" t="e">
        <f t="shared" si="31"/>
        <v>#VALUE!</v>
      </c>
      <c r="P83" s="331"/>
      <c r="Q83" s="331"/>
      <c r="R83" s="331"/>
      <c r="S83" s="331"/>
      <c r="T83" s="331"/>
      <c r="U83" s="331" t="str">
        <f t="shared" si="49"/>
        <v/>
      </c>
      <c r="V83" s="331" t="e">
        <f t="shared" si="33"/>
        <v>#VALUE!</v>
      </c>
      <c r="W83" s="331"/>
      <c r="X83" s="331"/>
      <c r="Y83" s="331"/>
      <c r="Z83" s="331"/>
      <c r="AA83" s="331"/>
      <c r="AB83" s="330" t="e">
        <f t="shared" si="34"/>
        <v>#VALUE!</v>
      </c>
      <c r="AC83" s="302" t="str">
        <f t="shared" si="50"/>
        <v/>
      </c>
      <c r="AD83" s="302" t="str">
        <f t="shared" si="51"/>
        <v/>
      </c>
      <c r="AE83" s="302" t="str">
        <f t="shared" si="52"/>
        <v/>
      </c>
      <c r="AF83" s="302" t="str">
        <f t="shared" si="53"/>
        <v/>
      </c>
      <c r="AG83" s="302" t="str">
        <f t="shared" si="54"/>
        <v/>
      </c>
      <c r="AH83" s="302" t="str">
        <f t="shared" si="55"/>
        <v/>
      </c>
      <c r="AI83" s="302" t="str">
        <f t="shared" si="56"/>
        <v/>
      </c>
      <c r="AJ83" s="302" t="str">
        <f t="shared" si="57"/>
        <v/>
      </c>
      <c r="AK83" s="302" t="str">
        <f t="shared" si="58"/>
        <v/>
      </c>
    </row>
    <row r="84" spans="1:71" ht="13">
      <c r="A84" s="325">
        <v>112014239</v>
      </c>
      <c r="B84" s="1527"/>
      <c r="C84" s="733" t="str">
        <f t="shared" si="44"/>
        <v/>
      </c>
      <c r="D84" s="733" t="str">
        <f t="shared" si="45"/>
        <v/>
      </c>
      <c r="E84" s="733" t="str">
        <f t="shared" si="46"/>
        <v/>
      </c>
      <c r="F84" s="1745" t="s">
        <v>482</v>
      </c>
      <c r="G84" s="1466" t="str">
        <f t="shared" si="47"/>
        <v/>
      </c>
      <c r="H84" s="1497" t="e">
        <f t="shared" si="29"/>
        <v>#VALUE!</v>
      </c>
      <c r="I84" s="1497"/>
      <c r="J84" s="1497"/>
      <c r="K84" s="1497"/>
      <c r="L84" s="1497"/>
      <c r="M84" s="1497"/>
      <c r="N84" s="1497" t="str">
        <f t="shared" si="48"/>
        <v/>
      </c>
      <c r="O84" s="1497" t="e">
        <f t="shared" si="31"/>
        <v>#VALUE!</v>
      </c>
      <c r="P84" s="1497"/>
      <c r="Q84" s="1497"/>
      <c r="R84" s="1497"/>
      <c r="S84" s="1497"/>
      <c r="T84" s="1497"/>
      <c r="U84" s="1497" t="str">
        <f t="shared" si="49"/>
        <v/>
      </c>
      <c r="V84" s="1497" t="e">
        <f t="shared" si="33"/>
        <v>#VALUE!</v>
      </c>
      <c r="W84" s="1497"/>
      <c r="X84" s="1497"/>
      <c r="Y84" s="1497"/>
      <c r="Z84" s="1497"/>
      <c r="AA84" s="1497"/>
      <c r="AB84" s="1746" t="e">
        <f t="shared" si="34"/>
        <v>#VALUE!</v>
      </c>
      <c r="AC84" s="302" t="str">
        <f t="shared" si="50"/>
        <v/>
      </c>
      <c r="AD84" s="302" t="str">
        <f t="shared" si="51"/>
        <v/>
      </c>
      <c r="AE84" s="302" t="str">
        <f t="shared" si="52"/>
        <v/>
      </c>
      <c r="AF84" s="302" t="str">
        <f t="shared" si="53"/>
        <v/>
      </c>
      <c r="AG84" s="302" t="str">
        <f t="shared" si="54"/>
        <v/>
      </c>
      <c r="AH84" s="302" t="str">
        <f t="shared" si="55"/>
        <v/>
      </c>
      <c r="AI84" s="302" t="str">
        <f t="shared" si="56"/>
        <v/>
      </c>
      <c r="AJ84" s="302" t="str">
        <f t="shared" si="57"/>
        <v/>
      </c>
      <c r="AK84" s="302" t="str">
        <f t="shared" si="58"/>
        <v/>
      </c>
    </row>
    <row r="85" spans="1:71" ht="13">
      <c r="A85" s="325">
        <v>112014386</v>
      </c>
      <c r="B85" s="1510"/>
      <c r="C85" s="1511" t="str">
        <f t="shared" si="44"/>
        <v/>
      </c>
      <c r="D85" s="1511" t="str">
        <f t="shared" si="45"/>
        <v/>
      </c>
      <c r="E85" s="1511" t="str">
        <f t="shared" si="46"/>
        <v/>
      </c>
      <c r="F85" s="1747" t="s">
        <v>807</v>
      </c>
      <c r="G85" s="1467">
        <f t="shared" si="47"/>
        <v>0</v>
      </c>
      <c r="H85" s="331">
        <f t="shared" si="29"/>
        <v>0</v>
      </c>
      <c r="I85" s="331"/>
      <c r="J85" s="331"/>
      <c r="K85" s="331"/>
      <c r="L85" s="331"/>
      <c r="M85" s="331"/>
      <c r="N85" s="331">
        <f t="shared" si="48"/>
        <v>0</v>
      </c>
      <c r="O85" s="331">
        <f t="shared" si="31"/>
        <v>0</v>
      </c>
      <c r="P85" s="331"/>
      <c r="Q85" s="331"/>
      <c r="R85" s="331"/>
      <c r="S85" s="331"/>
      <c r="T85" s="331"/>
      <c r="U85" s="331">
        <f t="shared" si="49"/>
        <v>0</v>
      </c>
      <c r="V85" s="331">
        <f t="shared" si="33"/>
        <v>0</v>
      </c>
      <c r="W85" s="331"/>
      <c r="X85" s="331"/>
      <c r="Y85" s="331"/>
      <c r="Z85" s="331"/>
      <c r="AA85" s="331"/>
      <c r="AB85" s="330">
        <f t="shared" si="34"/>
        <v>0</v>
      </c>
      <c r="AC85" s="302">
        <f t="shared" si="50"/>
        <v>187000.83</v>
      </c>
      <c r="AD85" s="302">
        <f t="shared" si="51"/>
        <v>15638.02</v>
      </c>
      <c r="AE85" s="302">
        <f t="shared" si="52"/>
        <v>59095.040000000001</v>
      </c>
      <c r="AF85" s="302">
        <f t="shared" si="53"/>
        <v>168721.49</v>
      </c>
      <c r="AG85" s="302">
        <f t="shared" si="54"/>
        <v>0</v>
      </c>
      <c r="AH85" s="302">
        <f t="shared" si="55"/>
        <v>0</v>
      </c>
      <c r="AI85" s="302">
        <f t="shared" si="56"/>
        <v>701304.96</v>
      </c>
      <c r="AJ85" s="302">
        <f t="shared" si="57"/>
        <v>864651.24</v>
      </c>
      <c r="AK85" s="302">
        <f t="shared" si="58"/>
        <v>0</v>
      </c>
    </row>
    <row r="86" spans="1:71" ht="13">
      <c r="A86" s="325">
        <v>112014638</v>
      </c>
      <c r="B86" s="1527"/>
      <c r="C86" s="733" t="str">
        <f t="shared" si="44"/>
        <v/>
      </c>
      <c r="D86" s="733" t="str">
        <f t="shared" si="45"/>
        <v/>
      </c>
      <c r="E86" s="733" t="str">
        <f t="shared" si="46"/>
        <v/>
      </c>
      <c r="F86" s="1745" t="s">
        <v>640</v>
      </c>
      <c r="G86" s="1466">
        <f t="shared" si="47"/>
        <v>0</v>
      </c>
      <c r="H86" s="1497">
        <f t="shared" si="29"/>
        <v>0</v>
      </c>
      <c r="I86" s="1497"/>
      <c r="J86" s="1497"/>
      <c r="K86" s="1497"/>
      <c r="L86" s="1497"/>
      <c r="M86" s="1497"/>
      <c r="N86" s="1497">
        <f t="shared" si="48"/>
        <v>0</v>
      </c>
      <c r="O86" s="1497">
        <f t="shared" si="31"/>
        <v>0</v>
      </c>
      <c r="P86" s="1497"/>
      <c r="Q86" s="1497"/>
      <c r="R86" s="1497"/>
      <c r="S86" s="1497"/>
      <c r="T86" s="1497"/>
      <c r="U86" s="1497">
        <f t="shared" si="49"/>
        <v>0</v>
      </c>
      <c r="V86" s="1497">
        <f t="shared" si="33"/>
        <v>0</v>
      </c>
      <c r="W86" s="1497"/>
      <c r="X86" s="1497"/>
      <c r="Y86" s="1497"/>
      <c r="Z86" s="1497"/>
      <c r="AA86" s="1497"/>
      <c r="AB86" s="1746">
        <f t="shared" si="34"/>
        <v>0</v>
      </c>
      <c r="AC86" s="302">
        <f t="shared" si="50"/>
        <v>0</v>
      </c>
      <c r="AD86" s="302">
        <f t="shared" si="51"/>
        <v>0</v>
      </c>
      <c r="AE86" s="302">
        <f t="shared" si="52"/>
        <v>0</v>
      </c>
      <c r="AF86" s="302">
        <f t="shared" si="53"/>
        <v>0</v>
      </c>
      <c r="AG86" s="302">
        <f t="shared" si="54"/>
        <v>0</v>
      </c>
      <c r="AH86" s="302">
        <f t="shared" si="55"/>
        <v>0</v>
      </c>
      <c r="AI86" s="302">
        <f t="shared" si="56"/>
        <v>0</v>
      </c>
      <c r="AJ86" s="302">
        <f t="shared" si="57"/>
        <v>0</v>
      </c>
      <c r="AK86" s="302">
        <f t="shared" si="58"/>
        <v>551886.35</v>
      </c>
    </row>
    <row r="87" spans="1:71" ht="13">
      <c r="A87" s="790"/>
      <c r="B87" s="1872" t="s">
        <v>1626</v>
      </c>
      <c r="C87" s="1873"/>
      <c r="D87" s="1873"/>
      <c r="E87" s="1873"/>
      <c r="F87" s="1874"/>
      <c r="G87" s="1787"/>
      <c r="H87" s="1788" t="e">
        <f t="shared" ref="H87:K87" si="59">SUM(H2:H86)</f>
        <v>#VALUE!</v>
      </c>
      <c r="I87" s="1788">
        <f t="shared" si="59"/>
        <v>0</v>
      </c>
      <c r="J87" s="1788">
        <f t="shared" si="59"/>
        <v>0</v>
      </c>
      <c r="K87" s="1788">
        <f t="shared" si="59"/>
        <v>0</v>
      </c>
      <c r="L87" s="1788"/>
      <c r="M87" s="1788"/>
      <c r="N87" s="1788">
        <f t="shared" ref="N87:O87" si="60">SUM(N2:N86)</f>
        <v>32595906.289999995</v>
      </c>
      <c r="O87" s="1788" t="e">
        <f t="shared" si="60"/>
        <v>#VALUE!</v>
      </c>
      <c r="P87" s="1788"/>
      <c r="Q87" s="1788"/>
      <c r="R87" s="1788"/>
      <c r="S87" s="1788"/>
      <c r="T87" s="1788"/>
      <c r="U87" s="1788">
        <f t="shared" ref="U87:V87" si="61">SUM(U2:U86)</f>
        <v>30333279.250000004</v>
      </c>
      <c r="V87" s="1788" t="e">
        <f t="shared" si="61"/>
        <v>#VALUE!</v>
      </c>
      <c r="W87" s="1788"/>
      <c r="X87" s="1788"/>
      <c r="Y87" s="1788"/>
      <c r="Z87" s="1788"/>
      <c r="AA87" s="1788"/>
      <c r="AB87" s="1788" t="e">
        <f>SUM(AB2:AB86)</f>
        <v>#VALUE!</v>
      </c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E87" s="188"/>
      <c r="BF87" s="188"/>
      <c r="BG87" s="188"/>
      <c r="BH87" s="188"/>
      <c r="BI87" s="188"/>
      <c r="BJ87" s="188"/>
      <c r="BK87" s="188"/>
      <c r="BL87" s="188"/>
      <c r="BM87" s="188"/>
      <c r="BN87" s="188"/>
      <c r="BO87" s="188"/>
      <c r="BP87" s="188"/>
      <c r="BQ87" s="188"/>
      <c r="BR87" s="188"/>
      <c r="BS87" s="188"/>
    </row>
    <row r="88" spans="1:71" ht="13">
      <c r="B88" s="294"/>
      <c r="C88" s="294"/>
      <c r="D88" s="294"/>
      <c r="E88" s="294"/>
      <c r="AB88" s="188"/>
    </row>
    <row r="89" spans="1:71" ht="13">
      <c r="B89" s="294"/>
      <c r="C89" s="294"/>
      <c r="D89" s="294"/>
      <c r="E89" s="294"/>
      <c r="AB89" s="188"/>
    </row>
    <row r="90" spans="1:71" ht="13">
      <c r="B90" s="294"/>
      <c r="C90" s="294"/>
      <c r="D90" s="294"/>
      <c r="E90" s="294"/>
      <c r="AB90" s="188"/>
    </row>
    <row r="91" spans="1:71" ht="13">
      <c r="B91" s="294"/>
      <c r="C91" s="294"/>
      <c r="D91" s="294"/>
      <c r="E91" s="294"/>
      <c r="AB91" s="188"/>
    </row>
    <row r="92" spans="1:71" ht="13">
      <c r="B92" s="294"/>
      <c r="C92" s="294"/>
      <c r="D92" s="294"/>
      <c r="E92" s="294"/>
      <c r="AB92" s="188"/>
    </row>
    <row r="93" spans="1:71" ht="13">
      <c r="B93" s="294"/>
      <c r="C93" s="294"/>
      <c r="D93" s="294"/>
      <c r="E93" s="294"/>
      <c r="AB93" s="188"/>
    </row>
    <row r="94" spans="1:71" ht="13">
      <c r="B94" s="294"/>
      <c r="C94" s="294"/>
      <c r="D94" s="294"/>
      <c r="E94" s="294"/>
      <c r="AB94" s="188"/>
    </row>
    <row r="95" spans="1:71" ht="13">
      <c r="B95" s="294"/>
      <c r="C95" s="294"/>
      <c r="D95" s="294"/>
      <c r="E95" s="294"/>
      <c r="AB95" s="188"/>
    </row>
    <row r="96" spans="1:71" ht="13">
      <c r="B96" s="294"/>
      <c r="C96" s="294"/>
      <c r="D96" s="294"/>
      <c r="E96" s="294"/>
      <c r="AB96" s="188"/>
    </row>
    <row r="97" spans="2:28" ht="13">
      <c r="B97" s="294"/>
      <c r="C97" s="294"/>
      <c r="D97" s="294"/>
      <c r="E97" s="294"/>
      <c r="AB97" s="188"/>
    </row>
    <row r="98" spans="2:28" ht="13">
      <c r="B98" s="294"/>
      <c r="C98" s="294"/>
      <c r="D98" s="294"/>
      <c r="E98" s="294"/>
      <c r="AB98" s="188"/>
    </row>
    <row r="99" spans="2:28" ht="13">
      <c r="B99" s="294"/>
      <c r="C99" s="294"/>
      <c r="D99" s="294"/>
      <c r="E99" s="294"/>
      <c r="AB99" s="188"/>
    </row>
    <row r="100" spans="2:28" ht="13">
      <c r="B100" s="294"/>
      <c r="C100" s="294"/>
      <c r="D100" s="294"/>
      <c r="E100" s="294"/>
      <c r="AB100" s="188"/>
    </row>
    <row r="101" spans="2:28" ht="13">
      <c r="B101" s="294"/>
      <c r="C101" s="294"/>
      <c r="D101" s="294"/>
      <c r="E101" s="294"/>
      <c r="AB101" s="188"/>
    </row>
    <row r="102" spans="2:28" ht="13">
      <c r="B102" s="294"/>
      <c r="C102" s="294"/>
      <c r="D102" s="294"/>
      <c r="E102" s="294"/>
      <c r="AB102" s="188"/>
    </row>
    <row r="103" spans="2:28" ht="13">
      <c r="B103" s="294"/>
      <c r="C103" s="294"/>
      <c r="D103" s="294"/>
      <c r="E103" s="294"/>
      <c r="AB103" s="188"/>
    </row>
    <row r="104" spans="2:28" ht="13">
      <c r="B104" s="294"/>
      <c r="C104" s="294"/>
      <c r="D104" s="294"/>
      <c r="E104" s="294"/>
      <c r="AB104" s="188"/>
    </row>
    <row r="105" spans="2:28" ht="13">
      <c r="B105" s="294"/>
      <c r="C105" s="294"/>
      <c r="D105" s="294"/>
      <c r="E105" s="294"/>
      <c r="AB105" s="188"/>
    </row>
    <row r="106" spans="2:28" ht="13">
      <c r="B106" s="294"/>
      <c r="C106" s="294"/>
      <c r="D106" s="294"/>
      <c r="E106" s="294"/>
      <c r="AB106" s="188"/>
    </row>
    <row r="107" spans="2:28" ht="13">
      <c r="B107" s="294"/>
      <c r="C107" s="294"/>
      <c r="D107" s="294"/>
      <c r="E107" s="294"/>
      <c r="AB107" s="188"/>
    </row>
    <row r="108" spans="2:28" ht="13">
      <c r="B108" s="294"/>
      <c r="C108" s="294"/>
      <c r="D108" s="294"/>
      <c r="E108" s="294"/>
      <c r="AB108" s="188"/>
    </row>
    <row r="109" spans="2:28" ht="13">
      <c r="B109" s="294"/>
      <c r="C109" s="294"/>
      <c r="D109" s="294"/>
      <c r="E109" s="294"/>
      <c r="AB109" s="188"/>
    </row>
    <row r="110" spans="2:28" ht="13">
      <c r="B110" s="294"/>
      <c r="C110" s="294"/>
      <c r="D110" s="294"/>
      <c r="E110" s="294"/>
      <c r="AB110" s="188"/>
    </row>
    <row r="111" spans="2:28" ht="13">
      <c r="B111" s="294"/>
      <c r="C111" s="294"/>
      <c r="D111" s="294"/>
      <c r="E111" s="294"/>
      <c r="AB111" s="188"/>
    </row>
    <row r="112" spans="2:28" ht="13">
      <c r="B112" s="294"/>
      <c r="C112" s="294"/>
      <c r="D112" s="294"/>
      <c r="E112" s="294"/>
      <c r="AB112" s="188"/>
    </row>
    <row r="113" spans="2:28" ht="13">
      <c r="B113" s="294"/>
      <c r="C113" s="294"/>
      <c r="D113" s="294"/>
      <c r="E113" s="294"/>
      <c r="AB113" s="188"/>
    </row>
    <row r="114" spans="2:28" ht="13">
      <c r="B114" s="294"/>
      <c r="C114" s="294"/>
      <c r="D114" s="294"/>
      <c r="E114" s="294"/>
      <c r="AB114" s="188"/>
    </row>
    <row r="115" spans="2:28" ht="13">
      <c r="B115" s="294"/>
      <c r="C115" s="294"/>
      <c r="D115" s="294"/>
      <c r="E115" s="294"/>
      <c r="AB115" s="188"/>
    </row>
    <row r="116" spans="2:28" ht="13">
      <c r="B116" s="294"/>
      <c r="C116" s="294"/>
      <c r="D116" s="294"/>
      <c r="E116" s="294"/>
      <c r="AB116" s="188"/>
    </row>
    <row r="117" spans="2:28" ht="13">
      <c r="B117" s="294"/>
      <c r="C117" s="294"/>
      <c r="D117" s="294"/>
      <c r="E117" s="294"/>
      <c r="AB117" s="188"/>
    </row>
    <row r="118" spans="2:28" ht="13">
      <c r="B118" s="294"/>
      <c r="C118" s="294"/>
      <c r="D118" s="294"/>
      <c r="E118" s="294"/>
      <c r="AB118" s="188"/>
    </row>
    <row r="119" spans="2:28" ht="13">
      <c r="B119" s="294"/>
      <c r="C119" s="294"/>
      <c r="D119" s="294"/>
      <c r="E119" s="294"/>
      <c r="AB119" s="188"/>
    </row>
    <row r="120" spans="2:28" ht="13">
      <c r="B120" s="294"/>
      <c r="C120" s="294"/>
      <c r="D120" s="294"/>
      <c r="E120" s="294"/>
      <c r="AB120" s="188"/>
    </row>
    <row r="121" spans="2:28" ht="13">
      <c r="B121" s="294"/>
      <c r="C121" s="294"/>
      <c r="D121" s="294"/>
      <c r="E121" s="294"/>
      <c r="AB121" s="188"/>
    </row>
    <row r="122" spans="2:28" ht="13">
      <c r="B122" s="294"/>
      <c r="C122" s="294"/>
      <c r="D122" s="294"/>
      <c r="E122" s="294"/>
      <c r="AB122" s="188"/>
    </row>
    <row r="123" spans="2:28" ht="13">
      <c r="B123" s="294"/>
      <c r="C123" s="294"/>
      <c r="D123" s="294"/>
      <c r="E123" s="294"/>
      <c r="AB123" s="188"/>
    </row>
    <row r="124" spans="2:28" ht="13">
      <c r="B124" s="294"/>
      <c r="C124" s="294"/>
      <c r="D124" s="294"/>
      <c r="E124" s="294"/>
      <c r="AB124" s="188"/>
    </row>
    <row r="125" spans="2:28" ht="13">
      <c r="B125" s="294"/>
      <c r="C125" s="294"/>
      <c r="D125" s="294"/>
      <c r="E125" s="294"/>
      <c r="AB125" s="188"/>
    </row>
    <row r="126" spans="2:28" ht="13">
      <c r="B126" s="294"/>
      <c r="C126" s="294"/>
      <c r="D126" s="294"/>
      <c r="E126" s="294"/>
      <c r="AB126" s="188"/>
    </row>
    <row r="127" spans="2:28" ht="13">
      <c r="B127" s="294"/>
      <c r="C127" s="294"/>
      <c r="D127" s="294"/>
      <c r="E127" s="294"/>
      <c r="AB127" s="188"/>
    </row>
    <row r="128" spans="2:28" ht="13">
      <c r="B128" s="294"/>
      <c r="C128" s="294"/>
      <c r="D128" s="294"/>
      <c r="E128" s="294"/>
      <c r="AB128" s="188"/>
    </row>
    <row r="129" spans="2:71" ht="13">
      <c r="B129" s="294"/>
      <c r="C129" s="294"/>
      <c r="D129" s="294"/>
      <c r="E129" s="294"/>
      <c r="AB129" s="188"/>
    </row>
    <row r="130" spans="2:71" ht="13">
      <c r="B130" s="294"/>
      <c r="C130" s="294"/>
      <c r="D130" s="294"/>
      <c r="E130" s="294"/>
      <c r="AB130" s="188"/>
    </row>
    <row r="131" spans="2:71" ht="13">
      <c r="B131" s="294"/>
      <c r="C131" s="294"/>
      <c r="D131" s="294"/>
      <c r="E131" s="294"/>
      <c r="AB131" s="188"/>
    </row>
    <row r="132" spans="2:71" ht="13">
      <c r="B132" s="294"/>
      <c r="C132" s="294"/>
      <c r="D132" s="294"/>
      <c r="E132" s="294"/>
      <c r="AB132" s="188"/>
      <c r="BC132" s="509">
        <v>0</v>
      </c>
      <c r="BD132" s="354">
        <v>1</v>
      </c>
      <c r="BE132" s="354">
        <v>2</v>
      </c>
      <c r="BF132" s="354">
        <v>3</v>
      </c>
      <c r="BG132" s="354">
        <v>4</v>
      </c>
      <c r="BH132" s="354">
        <v>5</v>
      </c>
      <c r="BI132" s="354">
        <v>6</v>
      </c>
      <c r="BJ132" s="354">
        <v>7</v>
      </c>
      <c r="BK132" s="354">
        <v>8</v>
      </c>
      <c r="BL132" s="354">
        <v>9</v>
      </c>
      <c r="BM132" s="354">
        <v>10</v>
      </c>
      <c r="BN132" s="354">
        <v>11</v>
      </c>
      <c r="BO132" s="354">
        <v>12</v>
      </c>
      <c r="BP132" s="354">
        <v>13</v>
      </c>
      <c r="BQ132" s="354">
        <v>14</v>
      </c>
      <c r="BR132" s="354">
        <v>15</v>
      </c>
      <c r="BS132" s="355">
        <v>16</v>
      </c>
    </row>
    <row r="133" spans="2:71" ht="13">
      <c r="B133" s="294"/>
      <c r="C133" s="294"/>
      <c r="D133" s="294"/>
      <c r="E133" s="294"/>
      <c r="AB133" s="188"/>
      <c r="BC133" s="510"/>
      <c r="BF133" s="357">
        <v>45658</v>
      </c>
      <c r="BG133" s="357">
        <v>45689</v>
      </c>
      <c r="BH133" s="357">
        <v>45717</v>
      </c>
      <c r="BI133" s="357">
        <v>45748</v>
      </c>
      <c r="BJ133" s="357">
        <v>45778</v>
      </c>
      <c r="BK133" s="357">
        <v>45809</v>
      </c>
      <c r="BL133" s="357">
        <v>45839</v>
      </c>
      <c r="BM133" s="357">
        <v>45870</v>
      </c>
      <c r="BN133" s="357">
        <v>45901</v>
      </c>
      <c r="BO133" s="357">
        <v>45931</v>
      </c>
      <c r="BP133" s="357">
        <v>45962</v>
      </c>
      <c r="BQ133" s="357">
        <v>45992</v>
      </c>
      <c r="BR133" s="357"/>
      <c r="BS133" s="358"/>
    </row>
    <row r="134" spans="2:71" ht="13">
      <c r="B134" s="294"/>
      <c r="C134" s="294"/>
      <c r="D134" s="294"/>
      <c r="E134" s="294"/>
      <c r="AB134" s="188"/>
      <c r="BC134" s="510"/>
      <c r="BD134" s="511"/>
      <c r="BE134" s="377" t="s">
        <v>241</v>
      </c>
      <c r="BF134" s="360">
        <v>45658</v>
      </c>
      <c r="BG134" s="360">
        <v>45689</v>
      </c>
      <c r="BH134" s="360"/>
      <c r="BI134" s="360"/>
      <c r="BJ134" s="360"/>
      <c r="BK134" s="360"/>
      <c r="BL134" s="360"/>
      <c r="BM134" s="360"/>
      <c r="BN134" s="360"/>
      <c r="BO134" s="360"/>
      <c r="BP134" s="360"/>
      <c r="BQ134" s="360"/>
      <c r="BR134" s="357"/>
      <c r="BS134" s="358"/>
    </row>
    <row r="135" spans="2:71" ht="13">
      <c r="B135" s="294"/>
      <c r="C135" s="294"/>
      <c r="D135" s="294"/>
      <c r="E135" s="294"/>
      <c r="AB135" s="188"/>
      <c r="BC135" s="510"/>
      <c r="BD135" s="359"/>
      <c r="BE135" s="361"/>
      <c r="BF135" s="361"/>
      <c r="BG135" s="361"/>
      <c r="BH135" s="361"/>
      <c r="BI135" s="361"/>
      <c r="BJ135" s="361"/>
      <c r="BK135" s="361"/>
      <c r="BL135" s="361"/>
      <c r="BM135" s="361"/>
      <c r="BN135" s="361"/>
      <c r="BO135" s="361"/>
      <c r="BP135" s="361"/>
      <c r="BQ135" s="361"/>
      <c r="BR135" s="361"/>
      <c r="BS135" s="362"/>
    </row>
    <row r="136" spans="2:71" ht="13">
      <c r="B136" s="294"/>
      <c r="C136" s="294"/>
      <c r="D136" s="294"/>
      <c r="E136" s="294"/>
      <c r="AB136" s="188"/>
      <c r="BC136" s="510">
        <v>1</v>
      </c>
      <c r="BD136" s="359"/>
      <c r="BE136" s="361"/>
      <c r="BF136" s="361"/>
      <c r="BG136" s="361"/>
      <c r="BH136" s="361"/>
      <c r="BI136" s="361"/>
      <c r="BJ136" s="361"/>
      <c r="BK136" s="361"/>
      <c r="BL136" s="361"/>
      <c r="BM136" s="361"/>
      <c r="BN136" s="361"/>
      <c r="BO136" s="361"/>
      <c r="BP136" s="361"/>
      <c r="BQ136" s="361"/>
      <c r="BR136" s="361"/>
      <c r="BS136" s="362"/>
    </row>
    <row r="137" spans="2:71" ht="13">
      <c r="B137" s="294"/>
      <c r="C137" s="294"/>
      <c r="D137" s="294"/>
      <c r="E137" s="294"/>
      <c r="AB137" s="188"/>
      <c r="BC137" s="510">
        <v>2</v>
      </c>
      <c r="BD137" s="359"/>
      <c r="BE137" s="361"/>
      <c r="BF137" s="361"/>
      <c r="BG137" s="361"/>
      <c r="BH137" s="361"/>
      <c r="BI137" s="361"/>
      <c r="BJ137" s="361"/>
      <c r="BK137" s="361"/>
      <c r="BL137" s="361"/>
      <c r="BM137" s="361"/>
      <c r="BN137" s="361"/>
      <c r="BO137" s="361"/>
      <c r="BP137" s="361"/>
      <c r="BQ137" s="361"/>
      <c r="BR137" s="361"/>
      <c r="BS137" s="362"/>
    </row>
    <row r="138" spans="2:71" ht="13">
      <c r="B138" s="294"/>
      <c r="C138" s="294"/>
      <c r="D138" s="294"/>
      <c r="E138" s="294"/>
      <c r="AB138" s="188"/>
      <c r="BC138" s="510">
        <v>3</v>
      </c>
      <c r="BD138" s="359"/>
      <c r="BE138" s="361"/>
      <c r="BF138" s="361"/>
      <c r="BG138" s="361"/>
      <c r="BH138" s="361"/>
      <c r="BI138" s="361"/>
      <c r="BJ138" s="361"/>
      <c r="BK138" s="361"/>
      <c r="BL138" s="361"/>
      <c r="BM138" s="361"/>
      <c r="BN138" s="361"/>
      <c r="BO138" s="361"/>
      <c r="BP138" s="361"/>
      <c r="BQ138" s="361"/>
      <c r="BR138" s="361"/>
      <c r="BS138" s="362"/>
    </row>
    <row r="139" spans="2:71" ht="13">
      <c r="B139" s="294"/>
      <c r="C139" s="294"/>
      <c r="D139" s="294"/>
      <c r="E139" s="294"/>
      <c r="AB139" s="188"/>
      <c r="BC139" s="510">
        <v>4</v>
      </c>
      <c r="BD139" s="359"/>
      <c r="BE139" s="361"/>
      <c r="BF139" s="361"/>
      <c r="BG139" s="361"/>
      <c r="BH139" s="361"/>
      <c r="BI139" s="361"/>
      <c r="BJ139" s="361"/>
      <c r="BK139" s="361"/>
      <c r="BL139" s="361"/>
      <c r="BM139" s="361"/>
      <c r="BN139" s="361"/>
      <c r="BO139" s="361"/>
      <c r="BP139" s="361"/>
      <c r="BQ139" s="361"/>
      <c r="BR139" s="361"/>
      <c r="BS139" s="362"/>
    </row>
    <row r="140" spans="2:71" ht="13">
      <c r="B140" s="294"/>
      <c r="C140" s="294"/>
      <c r="D140" s="294"/>
      <c r="E140" s="294"/>
      <c r="AB140" s="188"/>
      <c r="BC140" s="510">
        <v>5</v>
      </c>
      <c r="BD140" s="359"/>
      <c r="BE140" s="361"/>
      <c r="BF140" s="361"/>
      <c r="BG140" s="361"/>
      <c r="BH140" s="361"/>
      <c r="BI140" s="361"/>
      <c r="BJ140" s="361"/>
      <c r="BK140" s="361"/>
      <c r="BL140" s="361"/>
      <c r="BM140" s="361"/>
      <c r="BN140" s="361"/>
      <c r="BO140" s="361"/>
      <c r="BP140" s="361"/>
      <c r="BQ140" s="361"/>
      <c r="BR140" s="361"/>
      <c r="BS140" s="362"/>
    </row>
    <row r="141" spans="2:71" ht="13">
      <c r="B141" s="294"/>
      <c r="C141" s="294"/>
      <c r="D141" s="294"/>
      <c r="E141" s="294"/>
      <c r="AB141" s="188"/>
      <c r="BC141" s="510">
        <v>6</v>
      </c>
      <c r="BD141" s="359"/>
      <c r="BE141" s="361"/>
      <c r="BF141" s="361"/>
      <c r="BG141" s="361"/>
      <c r="BH141" s="361"/>
      <c r="BI141" s="361"/>
      <c r="BJ141" s="361"/>
      <c r="BK141" s="361"/>
      <c r="BL141" s="361"/>
      <c r="BM141" s="361"/>
      <c r="BN141" s="361"/>
      <c r="BO141" s="361"/>
      <c r="BP141" s="361"/>
      <c r="BQ141" s="361"/>
      <c r="BR141" s="361"/>
      <c r="BS141" s="362"/>
    </row>
    <row r="142" spans="2:71" ht="13">
      <c r="B142" s="294"/>
      <c r="C142" s="294"/>
      <c r="D142" s="294"/>
      <c r="E142" s="294"/>
      <c r="AB142" s="188"/>
      <c r="BC142" s="510">
        <v>7</v>
      </c>
      <c r="BD142" s="359"/>
      <c r="BE142" s="361"/>
      <c r="BF142" s="361"/>
      <c r="BG142" s="361"/>
      <c r="BH142" s="361"/>
      <c r="BI142" s="361"/>
      <c r="BJ142" s="361"/>
      <c r="BK142" s="361"/>
      <c r="BL142" s="361"/>
      <c r="BM142" s="361"/>
      <c r="BN142" s="361"/>
      <c r="BO142" s="361"/>
      <c r="BP142" s="361"/>
      <c r="BQ142" s="361"/>
      <c r="BR142" s="361"/>
      <c r="BS142" s="362"/>
    </row>
    <row r="143" spans="2:71" ht="13">
      <c r="B143" s="294"/>
      <c r="C143" s="294"/>
      <c r="D143" s="294"/>
      <c r="E143" s="294"/>
      <c r="AB143" s="188"/>
      <c r="BC143" s="510">
        <v>8</v>
      </c>
      <c r="BD143" s="359"/>
      <c r="BE143" s="361"/>
      <c r="BF143" s="361"/>
      <c r="BG143" s="361"/>
      <c r="BH143" s="361"/>
      <c r="BI143" s="361"/>
      <c r="BJ143" s="361"/>
      <c r="BK143" s="361"/>
      <c r="BL143" s="361"/>
      <c r="BM143" s="361"/>
      <c r="BN143" s="361"/>
      <c r="BO143" s="361"/>
      <c r="BP143" s="361"/>
      <c r="BQ143" s="361"/>
      <c r="BR143" s="361"/>
      <c r="BS143" s="362"/>
    </row>
    <row r="144" spans="2:71" ht="13">
      <c r="B144" s="294"/>
      <c r="C144" s="294"/>
      <c r="D144" s="294"/>
      <c r="E144" s="294"/>
      <c r="AB144" s="188"/>
      <c r="BC144" s="510">
        <v>9</v>
      </c>
      <c r="BD144" s="359"/>
      <c r="BE144" s="361"/>
      <c r="BF144" s="361"/>
      <c r="BG144" s="361"/>
      <c r="BH144" s="361"/>
      <c r="BI144" s="361"/>
      <c r="BJ144" s="361"/>
      <c r="BK144" s="361"/>
      <c r="BL144" s="361"/>
      <c r="BM144" s="361"/>
      <c r="BN144" s="361"/>
      <c r="BO144" s="361"/>
      <c r="BP144" s="361"/>
      <c r="BQ144" s="361"/>
      <c r="BR144" s="361"/>
      <c r="BS144" s="362"/>
    </row>
    <row r="145" spans="2:71" ht="13">
      <c r="B145" s="294"/>
      <c r="C145" s="294"/>
      <c r="D145" s="294"/>
      <c r="E145" s="294"/>
      <c r="AB145" s="188"/>
      <c r="BC145" s="510">
        <v>10</v>
      </c>
      <c r="BD145" s="359"/>
      <c r="BE145" s="361"/>
      <c r="BF145" s="361"/>
      <c r="BG145" s="361"/>
      <c r="BH145" s="361"/>
      <c r="BI145" s="361"/>
      <c r="BJ145" s="361"/>
      <c r="BK145" s="361"/>
      <c r="BL145" s="361"/>
      <c r="BM145" s="361"/>
      <c r="BN145" s="361"/>
      <c r="BO145" s="361"/>
      <c r="BP145" s="361"/>
      <c r="BQ145" s="361"/>
      <c r="BR145" s="361"/>
      <c r="BS145" s="362"/>
    </row>
    <row r="146" spans="2:71" ht="13">
      <c r="B146" s="294"/>
      <c r="C146" s="294"/>
      <c r="D146" s="294"/>
      <c r="E146" s="294"/>
      <c r="AB146" s="188"/>
      <c r="BC146" s="510">
        <v>11</v>
      </c>
      <c r="BD146" s="359"/>
      <c r="BE146" s="361"/>
      <c r="BF146" s="361"/>
      <c r="BG146" s="361"/>
      <c r="BH146" s="361"/>
      <c r="BI146" s="361"/>
      <c r="BJ146" s="361"/>
      <c r="BK146" s="361"/>
      <c r="BL146" s="361"/>
      <c r="BM146" s="361"/>
      <c r="BN146" s="361"/>
      <c r="BO146" s="361"/>
      <c r="BP146" s="361"/>
      <c r="BQ146" s="361"/>
      <c r="BR146" s="361"/>
      <c r="BS146" s="362"/>
    </row>
    <row r="147" spans="2:71" ht="13">
      <c r="B147" s="294"/>
      <c r="C147" s="294"/>
      <c r="D147" s="294"/>
      <c r="E147" s="294"/>
      <c r="AB147" s="188"/>
      <c r="BC147" s="510">
        <v>12</v>
      </c>
      <c r="BD147" s="359"/>
      <c r="BE147" s="361"/>
      <c r="BF147" s="361"/>
      <c r="BG147" s="361"/>
      <c r="BH147" s="361"/>
      <c r="BI147" s="361"/>
      <c r="BJ147" s="361"/>
      <c r="BK147" s="361"/>
      <c r="BL147" s="361"/>
      <c r="BM147" s="361"/>
      <c r="BN147" s="361"/>
      <c r="BO147" s="361"/>
      <c r="BP147" s="361"/>
      <c r="BQ147" s="361"/>
      <c r="BR147" s="361"/>
      <c r="BS147" s="362"/>
    </row>
    <row r="148" spans="2:71" ht="13">
      <c r="B148" s="294"/>
      <c r="C148" s="294"/>
      <c r="D148" s="294"/>
      <c r="E148" s="294"/>
      <c r="AB148" s="188"/>
      <c r="BC148" s="510">
        <v>13</v>
      </c>
      <c r="BD148" s="359"/>
      <c r="BE148" s="361"/>
      <c r="BF148" s="361"/>
      <c r="BG148" s="361"/>
      <c r="BH148" s="361"/>
      <c r="BI148" s="361"/>
      <c r="BJ148" s="361"/>
      <c r="BK148" s="361"/>
      <c r="BL148" s="361"/>
      <c r="BM148" s="361"/>
      <c r="BN148" s="361"/>
      <c r="BO148" s="361"/>
      <c r="BP148" s="361"/>
      <c r="BQ148" s="361"/>
      <c r="BR148" s="361"/>
      <c r="BS148" s="362"/>
    </row>
    <row r="149" spans="2:71" ht="13">
      <c r="B149" s="294"/>
      <c r="C149" s="294"/>
      <c r="D149" s="294"/>
      <c r="E149" s="294"/>
      <c r="AB149" s="188"/>
      <c r="BC149" s="510">
        <v>14</v>
      </c>
      <c r="BD149" s="359"/>
      <c r="BE149" s="361"/>
      <c r="BF149" s="361"/>
      <c r="BG149" s="361"/>
      <c r="BH149" s="361"/>
      <c r="BI149" s="361"/>
      <c r="BJ149" s="361"/>
      <c r="BK149" s="361"/>
      <c r="BL149" s="361"/>
      <c r="BM149" s="361"/>
      <c r="BN149" s="361"/>
      <c r="BO149" s="361"/>
      <c r="BP149" s="361"/>
      <c r="BQ149" s="361"/>
      <c r="BR149" s="361"/>
      <c r="BS149" s="362"/>
    </row>
    <row r="150" spans="2:71" ht="13">
      <c r="B150" s="294"/>
      <c r="C150" s="294"/>
      <c r="D150" s="294"/>
      <c r="E150" s="294"/>
      <c r="AB150" s="188"/>
      <c r="BC150" s="510">
        <v>15</v>
      </c>
      <c r="BD150" s="359"/>
      <c r="BE150" s="361"/>
      <c r="BF150" s="361"/>
      <c r="BG150" s="361"/>
      <c r="BH150" s="365"/>
      <c r="BI150" s="365"/>
      <c r="BJ150" s="365"/>
      <c r="BK150" s="365"/>
      <c r="BL150" s="365"/>
      <c r="BM150" s="365"/>
      <c r="BN150" s="365"/>
      <c r="BO150" s="365"/>
      <c r="BP150" s="365"/>
      <c r="BQ150" s="365"/>
      <c r="BR150" s="365"/>
      <c r="BS150" s="366"/>
    </row>
    <row r="151" spans="2:71" ht="13">
      <c r="B151" s="294"/>
      <c r="C151" s="294"/>
      <c r="D151" s="294"/>
      <c r="E151" s="294"/>
      <c r="AB151" s="188"/>
      <c r="BC151" s="510">
        <v>16</v>
      </c>
      <c r="BD151" s="359"/>
      <c r="BE151" s="361"/>
      <c r="BF151" s="361"/>
      <c r="BG151" s="361"/>
      <c r="BH151" s="361"/>
      <c r="BI151" s="361"/>
      <c r="BJ151" s="361"/>
      <c r="BK151" s="361"/>
      <c r="BL151" s="361"/>
      <c r="BM151" s="361"/>
      <c r="BN151" s="361"/>
      <c r="BO151" s="361"/>
      <c r="BP151" s="361"/>
      <c r="BQ151" s="361"/>
      <c r="BR151" s="361"/>
      <c r="BS151" s="362"/>
    </row>
    <row r="152" spans="2:71" ht="13">
      <c r="B152" s="294"/>
      <c r="C152" s="294"/>
      <c r="D152" s="294"/>
      <c r="E152" s="294"/>
      <c r="AB152" s="188"/>
      <c r="BC152" s="510">
        <v>17</v>
      </c>
      <c r="BD152" s="359"/>
      <c r="BE152" s="361"/>
      <c r="BF152" s="361"/>
      <c r="BG152" s="361"/>
      <c r="BH152" s="361"/>
      <c r="BI152" s="361"/>
      <c r="BJ152" s="361"/>
      <c r="BK152" s="361"/>
      <c r="BL152" s="361"/>
      <c r="BM152" s="361"/>
      <c r="BN152" s="361"/>
      <c r="BO152" s="361"/>
      <c r="BP152" s="361"/>
      <c r="BQ152" s="361"/>
      <c r="BR152" s="361"/>
      <c r="BS152" s="362"/>
    </row>
    <row r="153" spans="2:71" ht="13">
      <c r="B153" s="294"/>
      <c r="C153" s="294"/>
      <c r="D153" s="294"/>
      <c r="E153" s="294"/>
      <c r="AB153" s="188"/>
      <c r="BC153" s="510">
        <v>18</v>
      </c>
      <c r="BD153" s="359"/>
      <c r="BE153" s="361"/>
      <c r="BF153" s="361"/>
      <c r="BG153" s="361"/>
      <c r="BH153" s="361"/>
      <c r="BI153" s="361"/>
      <c r="BJ153" s="361"/>
      <c r="BK153" s="361"/>
      <c r="BL153" s="361"/>
      <c r="BM153" s="361"/>
      <c r="BN153" s="361"/>
      <c r="BO153" s="361"/>
      <c r="BP153" s="361"/>
      <c r="BQ153" s="361"/>
      <c r="BR153" s="361"/>
      <c r="BS153" s="362"/>
    </row>
    <row r="154" spans="2:71" ht="13">
      <c r="B154" s="294"/>
      <c r="C154" s="294"/>
      <c r="D154" s="294"/>
      <c r="E154" s="294"/>
      <c r="AB154" s="188"/>
      <c r="BC154" s="510">
        <v>19</v>
      </c>
      <c r="BD154" s="359"/>
      <c r="BE154" s="361"/>
      <c r="BF154" s="361"/>
      <c r="BG154" s="361"/>
      <c r="BH154" s="361"/>
      <c r="BI154" s="361"/>
      <c r="BJ154" s="361"/>
      <c r="BK154" s="361"/>
      <c r="BL154" s="361"/>
      <c r="BM154" s="361"/>
      <c r="BN154" s="361"/>
      <c r="BO154" s="361"/>
      <c r="BP154" s="361"/>
      <c r="BQ154" s="361"/>
      <c r="BR154" s="361"/>
      <c r="BS154" s="362"/>
    </row>
    <row r="155" spans="2:71" ht="13">
      <c r="B155" s="294"/>
      <c r="C155" s="294"/>
      <c r="D155" s="294"/>
      <c r="E155" s="294"/>
      <c r="AB155" s="188"/>
      <c r="BC155" s="510">
        <v>20</v>
      </c>
      <c r="BD155" s="359"/>
      <c r="BE155" s="361"/>
      <c r="BF155" s="361"/>
      <c r="BG155" s="361"/>
      <c r="BH155" s="361"/>
      <c r="BI155" s="361"/>
      <c r="BJ155" s="361"/>
      <c r="BK155" s="361"/>
      <c r="BL155" s="361"/>
      <c r="BM155" s="361"/>
      <c r="BN155" s="361"/>
      <c r="BO155" s="361"/>
      <c r="BP155" s="361"/>
      <c r="BQ155" s="361"/>
      <c r="BR155" s="361"/>
      <c r="BS155" s="362"/>
    </row>
    <row r="156" spans="2:71" ht="13">
      <c r="B156" s="294"/>
      <c r="C156" s="294"/>
      <c r="D156" s="294"/>
      <c r="E156" s="294"/>
      <c r="AB156" s="188"/>
      <c r="BC156" s="510">
        <v>21</v>
      </c>
      <c r="BD156" s="359"/>
      <c r="BE156" s="361"/>
      <c r="BF156" s="361"/>
      <c r="BG156" s="361"/>
      <c r="BH156" s="361"/>
      <c r="BI156" s="361"/>
      <c r="BJ156" s="361"/>
      <c r="BK156" s="361"/>
      <c r="BL156" s="361"/>
      <c r="BM156" s="361"/>
      <c r="BN156" s="361"/>
      <c r="BO156" s="361"/>
      <c r="BP156" s="361"/>
      <c r="BQ156" s="361"/>
      <c r="BR156" s="361"/>
      <c r="BS156" s="362"/>
    </row>
    <row r="157" spans="2:71" ht="13">
      <c r="B157" s="294"/>
      <c r="C157" s="294"/>
      <c r="D157" s="294"/>
      <c r="E157" s="294"/>
      <c r="AB157" s="188"/>
      <c r="BC157" s="510">
        <v>22</v>
      </c>
      <c r="BD157" s="359"/>
      <c r="BE157" s="361"/>
      <c r="BF157" s="361"/>
      <c r="BG157" s="361"/>
      <c r="BH157" s="361"/>
      <c r="BI157" s="361"/>
      <c r="BJ157" s="361"/>
      <c r="BK157" s="361"/>
      <c r="BL157" s="361"/>
      <c r="BM157" s="361"/>
      <c r="BN157" s="361"/>
      <c r="BO157" s="361"/>
      <c r="BP157" s="361"/>
      <c r="BQ157" s="361"/>
      <c r="BR157" s="361"/>
      <c r="BS157" s="362"/>
    </row>
    <row r="158" spans="2:71" ht="13">
      <c r="B158" s="294"/>
      <c r="C158" s="294"/>
      <c r="D158" s="294"/>
      <c r="E158" s="294"/>
      <c r="AB158" s="188"/>
      <c r="BC158" s="510">
        <v>23</v>
      </c>
      <c r="BD158" s="359"/>
      <c r="BE158" s="361"/>
      <c r="BF158" s="361"/>
      <c r="BG158" s="361"/>
      <c r="BH158" s="361"/>
      <c r="BI158" s="361"/>
      <c r="BJ158" s="361"/>
      <c r="BK158" s="361"/>
      <c r="BL158" s="361"/>
      <c r="BM158" s="361"/>
      <c r="BN158" s="361"/>
      <c r="BO158" s="361"/>
      <c r="BP158" s="361"/>
      <c r="BQ158" s="361"/>
      <c r="BR158" s="361"/>
      <c r="BS158" s="362"/>
    </row>
    <row r="159" spans="2:71" ht="13">
      <c r="B159" s="294"/>
      <c r="C159" s="294"/>
      <c r="D159" s="294"/>
      <c r="E159" s="294"/>
      <c r="AB159" s="188"/>
      <c r="BC159" s="510">
        <v>24</v>
      </c>
      <c r="BD159" s="359"/>
      <c r="BE159" s="361"/>
      <c r="BF159" s="361"/>
      <c r="BG159" s="361"/>
      <c r="BH159" s="361"/>
      <c r="BI159" s="361"/>
      <c r="BJ159" s="361"/>
      <c r="BK159" s="361"/>
      <c r="BL159" s="361"/>
      <c r="BM159" s="361"/>
      <c r="BN159" s="361"/>
      <c r="BO159" s="361"/>
      <c r="BP159" s="361"/>
      <c r="BQ159" s="361"/>
      <c r="BR159" s="361"/>
      <c r="BS159" s="362"/>
    </row>
    <row r="160" spans="2:71" ht="13">
      <c r="B160" s="294"/>
      <c r="C160" s="294"/>
      <c r="D160" s="294"/>
      <c r="E160" s="294"/>
      <c r="AB160" s="188"/>
      <c r="BC160" s="510">
        <v>25</v>
      </c>
      <c r="BD160" s="359"/>
      <c r="BE160" s="361"/>
      <c r="BF160" s="361"/>
      <c r="BG160" s="365"/>
      <c r="BH160" s="365"/>
      <c r="BI160" s="365"/>
      <c r="BJ160" s="365"/>
      <c r="BK160" s="365"/>
      <c r="BL160" s="365"/>
      <c r="BM160" s="365"/>
      <c r="BN160" s="365"/>
      <c r="BO160" s="365"/>
      <c r="BP160" s="365"/>
      <c r="BQ160" s="365"/>
      <c r="BR160" s="365"/>
      <c r="BS160" s="366"/>
    </row>
    <row r="161" spans="2:71" ht="13">
      <c r="B161" s="294"/>
      <c r="C161" s="294"/>
      <c r="D161" s="294"/>
      <c r="E161" s="294"/>
      <c r="AB161" s="188"/>
      <c r="BC161" s="510">
        <v>26</v>
      </c>
      <c r="BD161" s="359"/>
      <c r="BE161" s="361"/>
      <c r="BF161" s="361"/>
      <c r="BG161" s="361"/>
      <c r="BH161" s="361"/>
      <c r="BI161" s="361"/>
      <c r="BJ161" s="361"/>
      <c r="BK161" s="361"/>
      <c r="BL161" s="361"/>
      <c r="BM161" s="361"/>
      <c r="BN161" s="361"/>
      <c r="BO161" s="361"/>
      <c r="BP161" s="361"/>
      <c r="BQ161" s="361"/>
      <c r="BR161" s="361"/>
      <c r="BS161" s="362"/>
    </row>
    <row r="162" spans="2:71" ht="13">
      <c r="B162" s="294"/>
      <c r="C162" s="294"/>
      <c r="D162" s="294"/>
      <c r="E162" s="294"/>
      <c r="AB162" s="188"/>
      <c r="BC162" s="510">
        <v>27</v>
      </c>
      <c r="BD162" s="359"/>
      <c r="BE162" s="361"/>
      <c r="BF162" s="361"/>
      <c r="BG162" s="361"/>
      <c r="BH162" s="361"/>
      <c r="BI162" s="361"/>
      <c r="BJ162" s="361"/>
      <c r="BK162" s="361"/>
      <c r="BL162" s="361"/>
      <c r="BM162" s="361"/>
      <c r="BN162" s="361"/>
      <c r="BO162" s="361"/>
      <c r="BP162" s="361"/>
      <c r="BQ162" s="361"/>
      <c r="BR162" s="361"/>
      <c r="BS162" s="362"/>
    </row>
    <row r="163" spans="2:71" ht="13">
      <c r="B163" s="294"/>
      <c r="C163" s="294"/>
      <c r="D163" s="294"/>
      <c r="E163" s="294"/>
      <c r="AB163" s="188"/>
      <c r="BC163" s="510">
        <v>28</v>
      </c>
      <c r="BD163" s="359"/>
      <c r="BE163" s="361"/>
      <c r="BF163" s="361"/>
      <c r="BG163" s="361"/>
      <c r="BH163" s="361"/>
      <c r="BI163" s="361"/>
      <c r="BJ163" s="361"/>
      <c r="BK163" s="361"/>
      <c r="BL163" s="361"/>
      <c r="BM163" s="361"/>
      <c r="BN163" s="361"/>
      <c r="BO163" s="361"/>
      <c r="BP163" s="361"/>
      <c r="BQ163" s="361"/>
      <c r="BR163" s="361"/>
      <c r="BS163" s="362"/>
    </row>
    <row r="164" spans="2:71" ht="13">
      <c r="B164" s="294"/>
      <c r="C164" s="294"/>
      <c r="D164" s="294"/>
      <c r="E164" s="294"/>
      <c r="AB164" s="188"/>
      <c r="BC164" s="510">
        <v>29</v>
      </c>
      <c r="BD164" s="359"/>
      <c r="BE164" s="361"/>
      <c r="BF164" s="361"/>
      <c r="BG164" s="361"/>
      <c r="BH164" s="365"/>
      <c r="BI164" s="365"/>
      <c r="BJ164" s="365"/>
      <c r="BK164" s="365"/>
      <c r="BL164" s="365"/>
      <c r="BM164" s="365"/>
      <c r="BN164" s="365"/>
      <c r="BO164" s="365"/>
      <c r="BP164" s="365"/>
      <c r="BQ164" s="365"/>
      <c r="BR164" s="365"/>
      <c r="BS164" s="366"/>
    </row>
    <row r="165" spans="2:71" ht="13">
      <c r="B165" s="294"/>
      <c r="C165" s="294"/>
      <c r="D165" s="294"/>
      <c r="E165" s="294"/>
      <c r="AB165" s="188"/>
      <c r="BC165" s="510">
        <v>30</v>
      </c>
      <c r="BD165" s="359"/>
      <c r="BE165" s="361"/>
      <c r="BF165" s="361"/>
      <c r="BG165" s="361"/>
      <c r="BH165" s="361"/>
      <c r="BI165" s="361"/>
      <c r="BJ165" s="361"/>
      <c r="BK165" s="361"/>
      <c r="BL165" s="361"/>
      <c r="BM165" s="361"/>
      <c r="BN165" s="361"/>
      <c r="BO165" s="361"/>
      <c r="BP165" s="361"/>
      <c r="BQ165" s="361"/>
      <c r="BR165" s="361"/>
      <c r="BS165" s="362"/>
    </row>
    <row r="166" spans="2:71" ht="13">
      <c r="B166" s="294"/>
      <c r="C166" s="294"/>
      <c r="D166" s="294"/>
      <c r="E166" s="294"/>
      <c r="AB166" s="188"/>
      <c r="BC166" s="510">
        <v>31</v>
      </c>
      <c r="BD166" s="359"/>
      <c r="BE166" s="361"/>
      <c r="BF166" s="361"/>
      <c r="BG166" s="361"/>
      <c r="BH166" s="361"/>
      <c r="BI166" s="361"/>
      <c r="BJ166" s="361"/>
      <c r="BK166" s="361"/>
      <c r="BL166" s="361"/>
      <c r="BM166" s="361"/>
      <c r="BN166" s="361"/>
      <c r="BO166" s="361"/>
      <c r="BP166" s="361"/>
      <c r="BQ166" s="361"/>
      <c r="BR166" s="361"/>
      <c r="BS166" s="362"/>
    </row>
    <row r="167" spans="2:71" ht="13">
      <c r="B167" s="294"/>
      <c r="C167" s="294"/>
      <c r="D167" s="294"/>
      <c r="E167" s="294"/>
      <c r="AB167" s="188"/>
      <c r="BC167" s="510">
        <v>32</v>
      </c>
      <c r="BD167" s="359"/>
      <c r="BE167" s="361"/>
      <c r="BF167" s="361"/>
      <c r="BG167" s="361"/>
      <c r="BH167" s="361"/>
      <c r="BI167" s="361"/>
      <c r="BJ167" s="361"/>
      <c r="BK167" s="361"/>
      <c r="BL167" s="361"/>
      <c r="BM167" s="361"/>
      <c r="BN167" s="361"/>
      <c r="BO167" s="361"/>
      <c r="BP167" s="361"/>
      <c r="BQ167" s="361"/>
      <c r="BR167" s="361"/>
      <c r="BS167" s="362"/>
    </row>
    <row r="168" spans="2:71" ht="13">
      <c r="B168" s="294"/>
      <c r="C168" s="294"/>
      <c r="D168" s="294"/>
      <c r="E168" s="294"/>
      <c r="AB168" s="188"/>
      <c r="BC168" s="510">
        <v>33</v>
      </c>
      <c r="BD168" s="359"/>
      <c r="BE168" s="361"/>
      <c r="BF168" s="361"/>
      <c r="BG168" s="361"/>
      <c r="BH168" s="365"/>
      <c r="BI168" s="365"/>
      <c r="BJ168" s="365"/>
      <c r="BK168" s="365"/>
      <c r="BL168" s="365"/>
      <c r="BM168" s="365"/>
      <c r="BN168" s="365"/>
      <c r="BO168" s="365"/>
      <c r="BP168" s="365"/>
      <c r="BQ168" s="365"/>
      <c r="BR168" s="365"/>
      <c r="BS168" s="366"/>
    </row>
    <row r="169" spans="2:71" ht="13">
      <c r="B169" s="294"/>
      <c r="C169" s="294"/>
      <c r="D169" s="294"/>
      <c r="E169" s="294"/>
      <c r="AB169" s="188"/>
      <c r="BC169" s="510">
        <v>34</v>
      </c>
      <c r="BD169" s="359"/>
      <c r="BE169" s="361"/>
      <c r="BF169" s="361"/>
      <c r="BG169" s="361"/>
      <c r="BH169" s="361"/>
      <c r="BI169" s="361"/>
      <c r="BJ169" s="361"/>
      <c r="BK169" s="361"/>
      <c r="BL169" s="361"/>
      <c r="BM169" s="361"/>
      <c r="BN169" s="361"/>
      <c r="BO169" s="361"/>
      <c r="BP169" s="361"/>
      <c r="BQ169" s="361"/>
      <c r="BR169" s="361"/>
      <c r="BS169" s="362"/>
    </row>
    <row r="170" spans="2:71" ht="13">
      <c r="B170" s="294"/>
      <c r="C170" s="294"/>
      <c r="D170" s="294"/>
      <c r="E170" s="294"/>
      <c r="AB170" s="188"/>
      <c r="BC170" s="510">
        <v>35</v>
      </c>
      <c r="BD170" s="359"/>
      <c r="BE170" s="361"/>
      <c r="BF170" s="361"/>
      <c r="BG170" s="361"/>
      <c r="BH170" s="361"/>
      <c r="BI170" s="361"/>
      <c r="BJ170" s="361"/>
      <c r="BK170" s="361"/>
      <c r="BL170" s="361"/>
      <c r="BM170" s="361"/>
      <c r="BN170" s="361"/>
      <c r="BO170" s="361"/>
      <c r="BP170" s="361"/>
      <c r="BQ170" s="361"/>
      <c r="BR170" s="361"/>
      <c r="BS170" s="362"/>
    </row>
    <row r="171" spans="2:71" ht="13">
      <c r="B171" s="294"/>
      <c r="C171" s="294"/>
      <c r="D171" s="294"/>
      <c r="E171" s="294"/>
      <c r="AB171" s="188"/>
      <c r="BC171" s="510">
        <v>36</v>
      </c>
      <c r="BD171" s="359"/>
      <c r="BE171" s="361"/>
      <c r="BF171" s="361"/>
      <c r="BG171" s="361"/>
      <c r="BH171" s="361"/>
      <c r="BI171" s="361"/>
      <c r="BJ171" s="361"/>
      <c r="BK171" s="361"/>
      <c r="BL171" s="361"/>
      <c r="BM171" s="361"/>
      <c r="BN171" s="361"/>
      <c r="BO171" s="361"/>
      <c r="BP171" s="361"/>
      <c r="BQ171" s="361"/>
      <c r="BR171" s="361"/>
      <c r="BS171" s="362"/>
    </row>
    <row r="172" spans="2:71" ht="13">
      <c r="B172" s="294"/>
      <c r="C172" s="294"/>
      <c r="D172" s="294"/>
      <c r="E172" s="294"/>
      <c r="AB172" s="188"/>
      <c r="BC172" s="510">
        <v>37</v>
      </c>
      <c r="BD172" s="359"/>
      <c r="BE172" s="361"/>
      <c r="BF172" s="361"/>
      <c r="BG172" s="361"/>
      <c r="BH172" s="361"/>
      <c r="BI172" s="361"/>
      <c r="BJ172" s="361"/>
      <c r="BK172" s="361"/>
      <c r="BL172" s="361"/>
      <c r="BM172" s="361"/>
      <c r="BN172" s="361"/>
      <c r="BO172" s="361"/>
      <c r="BP172" s="361"/>
      <c r="BQ172" s="361"/>
      <c r="BR172" s="361"/>
      <c r="BS172" s="362"/>
    </row>
    <row r="173" spans="2:71" ht="13">
      <c r="B173" s="294"/>
      <c r="C173" s="294"/>
      <c r="D173" s="294"/>
      <c r="E173" s="294"/>
      <c r="AB173" s="188"/>
      <c r="BC173" s="510">
        <v>38</v>
      </c>
      <c r="BD173" s="359"/>
      <c r="BE173" s="361"/>
      <c r="BF173" s="361"/>
      <c r="BG173" s="361"/>
      <c r="BH173" s="361"/>
      <c r="BI173" s="361"/>
      <c r="BJ173" s="361"/>
      <c r="BK173" s="361"/>
      <c r="BL173" s="361"/>
      <c r="BM173" s="361"/>
      <c r="BN173" s="361"/>
      <c r="BO173" s="361"/>
      <c r="BP173" s="361"/>
      <c r="BQ173" s="361"/>
      <c r="BR173" s="361"/>
      <c r="BS173" s="362"/>
    </row>
    <row r="174" spans="2:71" ht="13">
      <c r="B174" s="294"/>
      <c r="C174" s="294"/>
      <c r="D174" s="294"/>
      <c r="E174" s="294"/>
      <c r="AB174" s="188"/>
      <c r="BC174" s="510">
        <v>39</v>
      </c>
      <c r="BD174" s="359"/>
      <c r="BE174" s="361"/>
      <c r="BF174" s="361"/>
      <c r="BG174" s="361"/>
      <c r="BH174" s="361"/>
      <c r="BI174" s="361"/>
      <c r="BJ174" s="361"/>
      <c r="BK174" s="361"/>
      <c r="BL174" s="361"/>
      <c r="BM174" s="361"/>
      <c r="BN174" s="361"/>
      <c r="BO174" s="361"/>
      <c r="BP174" s="361"/>
      <c r="BQ174" s="361"/>
      <c r="BR174" s="361"/>
      <c r="BS174" s="362"/>
    </row>
    <row r="175" spans="2:71" ht="13">
      <c r="B175" s="294"/>
      <c r="C175" s="294"/>
      <c r="D175" s="294"/>
      <c r="E175" s="294"/>
      <c r="AB175" s="188"/>
      <c r="BC175" s="510">
        <v>40</v>
      </c>
      <c r="BD175" s="359"/>
      <c r="BE175" s="361"/>
      <c r="BF175" s="361"/>
      <c r="BG175" s="361"/>
      <c r="BH175" s="361"/>
      <c r="BI175" s="361"/>
      <c r="BJ175" s="361"/>
      <c r="BK175" s="361"/>
      <c r="BL175" s="361"/>
      <c r="BM175" s="361"/>
      <c r="BN175" s="361"/>
      <c r="BO175" s="361"/>
      <c r="BP175" s="361"/>
      <c r="BQ175" s="361"/>
      <c r="BR175" s="361"/>
      <c r="BS175" s="362"/>
    </row>
    <row r="176" spans="2:71" ht="13">
      <c r="B176" s="294"/>
      <c r="C176" s="294"/>
      <c r="D176" s="294"/>
      <c r="E176" s="294"/>
      <c r="AB176" s="188"/>
      <c r="BC176" s="510">
        <v>41</v>
      </c>
      <c r="BD176" s="359"/>
      <c r="BE176" s="361"/>
      <c r="BF176" s="361"/>
      <c r="BG176" s="361"/>
      <c r="BH176" s="361"/>
      <c r="BI176" s="361"/>
      <c r="BJ176" s="361"/>
      <c r="BK176" s="361"/>
      <c r="BL176" s="361"/>
      <c r="BM176" s="361"/>
      <c r="BN176" s="361"/>
      <c r="BO176" s="361"/>
      <c r="BP176" s="361"/>
      <c r="BQ176" s="361"/>
      <c r="BR176" s="361"/>
      <c r="BS176" s="362"/>
    </row>
    <row r="177" spans="2:71" ht="13">
      <c r="B177" s="294"/>
      <c r="C177" s="294"/>
      <c r="D177" s="294"/>
      <c r="E177" s="294"/>
      <c r="AB177" s="188"/>
      <c r="BC177" s="510">
        <v>42</v>
      </c>
      <c r="BD177" s="359"/>
      <c r="BE177" s="361"/>
      <c r="BF177" s="361"/>
      <c r="BG177" s="361"/>
      <c r="BH177" s="361"/>
      <c r="BI177" s="361"/>
      <c r="BJ177" s="361"/>
      <c r="BK177" s="361"/>
      <c r="BL177" s="361"/>
      <c r="BM177" s="361"/>
      <c r="BN177" s="361"/>
      <c r="BO177" s="361"/>
      <c r="BP177" s="361"/>
      <c r="BQ177" s="361"/>
      <c r="BR177" s="361"/>
      <c r="BS177" s="362"/>
    </row>
    <row r="178" spans="2:71" ht="13">
      <c r="B178" s="294"/>
      <c r="C178" s="294"/>
      <c r="D178" s="294"/>
      <c r="E178" s="294"/>
      <c r="AB178" s="188"/>
      <c r="BC178" s="510">
        <v>43</v>
      </c>
      <c r="BD178" s="359"/>
      <c r="BE178" s="361"/>
      <c r="BF178" s="361"/>
      <c r="BG178" s="361"/>
      <c r="BH178" s="365"/>
      <c r="BI178" s="365"/>
      <c r="BJ178" s="365"/>
      <c r="BK178" s="365"/>
      <c r="BL178" s="365"/>
      <c r="BM178" s="365"/>
      <c r="BN178" s="365"/>
      <c r="BO178" s="365"/>
      <c r="BP178" s="365"/>
      <c r="BQ178" s="365"/>
      <c r="BR178" s="365"/>
      <c r="BS178" s="366"/>
    </row>
    <row r="179" spans="2:71" ht="13">
      <c r="B179" s="294"/>
      <c r="C179" s="294"/>
      <c r="D179" s="294"/>
      <c r="E179" s="294"/>
      <c r="AB179" s="188"/>
      <c r="BC179" s="510">
        <v>44</v>
      </c>
      <c r="BD179" s="359"/>
      <c r="BE179" s="361"/>
      <c r="BF179" s="361"/>
      <c r="BG179" s="361"/>
      <c r="BH179" s="361"/>
      <c r="BI179" s="361"/>
      <c r="BJ179" s="361"/>
      <c r="BK179" s="361"/>
      <c r="BL179" s="361"/>
      <c r="BM179" s="361"/>
      <c r="BN179" s="361"/>
      <c r="BO179" s="361"/>
      <c r="BP179" s="361"/>
      <c r="BQ179" s="361"/>
      <c r="BR179" s="361"/>
      <c r="BS179" s="362"/>
    </row>
    <row r="180" spans="2:71" ht="13">
      <c r="B180" s="294"/>
      <c r="C180" s="294"/>
      <c r="D180" s="294"/>
      <c r="E180" s="294"/>
      <c r="AB180" s="188"/>
      <c r="BC180" s="510">
        <v>45</v>
      </c>
      <c r="BD180" s="359"/>
      <c r="BE180" s="361"/>
      <c r="BF180" s="361"/>
      <c r="BG180" s="361"/>
      <c r="BH180" s="365"/>
      <c r="BI180" s="365"/>
      <c r="BJ180" s="365"/>
      <c r="BK180" s="365"/>
      <c r="BL180" s="365"/>
      <c r="BM180" s="365"/>
      <c r="BN180" s="365"/>
      <c r="BO180" s="365"/>
      <c r="BP180" s="365"/>
      <c r="BQ180" s="365"/>
      <c r="BR180" s="365"/>
      <c r="BS180" s="366"/>
    </row>
    <row r="181" spans="2:71" ht="13">
      <c r="B181" s="294"/>
      <c r="C181" s="294"/>
      <c r="D181" s="294"/>
      <c r="E181" s="294"/>
      <c r="AB181" s="188"/>
      <c r="BC181" s="510">
        <v>46</v>
      </c>
      <c r="BD181" s="359"/>
      <c r="BE181" s="361"/>
      <c r="BF181" s="361"/>
      <c r="BG181" s="361"/>
      <c r="BH181" s="361"/>
      <c r="BI181" s="361"/>
      <c r="BJ181" s="361"/>
      <c r="BK181" s="361"/>
      <c r="BL181" s="361"/>
      <c r="BM181" s="361"/>
      <c r="BN181" s="361"/>
      <c r="BO181" s="361"/>
      <c r="BP181" s="361"/>
      <c r="BQ181" s="361"/>
      <c r="BR181" s="361"/>
      <c r="BS181" s="362"/>
    </row>
    <row r="182" spans="2:71" ht="13">
      <c r="B182" s="294"/>
      <c r="C182" s="294"/>
      <c r="D182" s="294"/>
      <c r="E182" s="294"/>
      <c r="AB182" s="188"/>
      <c r="BC182" s="510">
        <v>47</v>
      </c>
      <c r="BD182" s="359"/>
      <c r="BE182" s="361"/>
      <c r="BF182" s="361"/>
      <c r="BG182" s="361"/>
      <c r="BH182" s="361"/>
      <c r="BI182" s="361"/>
      <c r="BJ182" s="361"/>
      <c r="BK182" s="361"/>
      <c r="BL182" s="361"/>
      <c r="BM182" s="361"/>
      <c r="BN182" s="361"/>
      <c r="BO182" s="361"/>
      <c r="BP182" s="361"/>
      <c r="BQ182" s="361"/>
      <c r="BR182" s="361"/>
      <c r="BS182" s="362"/>
    </row>
    <row r="183" spans="2:71" ht="13">
      <c r="B183" s="294"/>
      <c r="C183" s="294"/>
      <c r="D183" s="294"/>
      <c r="E183" s="294"/>
      <c r="AB183" s="188"/>
      <c r="BC183" s="510">
        <v>48</v>
      </c>
      <c r="BD183" s="359"/>
      <c r="BE183" s="361"/>
      <c r="BF183" s="361"/>
      <c r="BG183" s="361"/>
      <c r="BH183" s="361"/>
      <c r="BI183" s="361"/>
      <c r="BJ183" s="361"/>
      <c r="BK183" s="361"/>
      <c r="BL183" s="361"/>
      <c r="BM183" s="361"/>
      <c r="BN183" s="361"/>
      <c r="BO183" s="361"/>
      <c r="BP183" s="361"/>
      <c r="BQ183" s="361"/>
      <c r="BR183" s="361"/>
      <c r="BS183" s="362"/>
    </row>
    <row r="184" spans="2:71" ht="13">
      <c r="B184" s="294"/>
      <c r="C184" s="294"/>
      <c r="D184" s="294"/>
      <c r="E184" s="294"/>
      <c r="AB184" s="188"/>
      <c r="BC184" s="510">
        <v>49</v>
      </c>
      <c r="BD184" s="359"/>
      <c r="BE184" s="361"/>
      <c r="BF184" s="361"/>
      <c r="BG184" s="361"/>
      <c r="BH184" s="361"/>
      <c r="BI184" s="361"/>
      <c r="BJ184" s="361"/>
      <c r="BK184" s="361"/>
      <c r="BL184" s="361"/>
      <c r="BM184" s="361"/>
      <c r="BN184" s="361"/>
      <c r="BO184" s="361"/>
      <c r="BP184" s="361"/>
      <c r="BQ184" s="361"/>
      <c r="BR184" s="361"/>
      <c r="BS184" s="362"/>
    </row>
    <row r="185" spans="2:71" ht="13">
      <c r="B185" s="294"/>
      <c r="C185" s="294"/>
      <c r="D185" s="294"/>
      <c r="E185" s="294"/>
      <c r="AB185" s="188"/>
      <c r="BC185" s="510">
        <v>50</v>
      </c>
      <c r="BD185" s="359"/>
      <c r="BE185" s="361"/>
      <c r="BF185" s="361"/>
      <c r="BG185" s="361"/>
      <c r="BH185" s="361"/>
      <c r="BI185" s="361"/>
      <c r="BJ185" s="361"/>
      <c r="BK185" s="361"/>
      <c r="BL185" s="361"/>
      <c r="BM185" s="361"/>
      <c r="BN185" s="361"/>
      <c r="BO185" s="361"/>
      <c r="BP185" s="361"/>
      <c r="BQ185" s="361"/>
      <c r="BR185" s="361"/>
      <c r="BS185" s="362"/>
    </row>
    <row r="186" spans="2:71" ht="13">
      <c r="B186" s="294"/>
      <c r="C186" s="294"/>
      <c r="D186" s="294"/>
      <c r="E186" s="294"/>
      <c r="AB186" s="188"/>
      <c r="BC186" s="510">
        <v>51</v>
      </c>
      <c r="BD186" s="359"/>
      <c r="BE186" s="361"/>
      <c r="BF186" s="361"/>
      <c r="BG186" s="361"/>
      <c r="BH186" s="365"/>
      <c r="BI186" s="365"/>
      <c r="BJ186" s="365"/>
      <c r="BK186" s="365"/>
      <c r="BL186" s="365"/>
      <c r="BM186" s="365"/>
      <c r="BN186" s="365"/>
      <c r="BO186" s="365"/>
      <c r="BP186" s="365"/>
      <c r="BQ186" s="365"/>
      <c r="BR186" s="365"/>
      <c r="BS186" s="366"/>
    </row>
    <row r="187" spans="2:71" ht="13">
      <c r="B187" s="294"/>
      <c r="C187" s="294"/>
      <c r="D187" s="294"/>
      <c r="E187" s="294"/>
      <c r="AB187" s="188"/>
      <c r="BC187" s="510">
        <v>52</v>
      </c>
      <c r="BD187" s="359"/>
      <c r="BE187" s="361"/>
      <c r="BF187" s="361"/>
      <c r="BG187" s="361"/>
      <c r="BH187" s="361"/>
      <c r="BI187" s="361"/>
      <c r="BJ187" s="361"/>
      <c r="BK187" s="361"/>
      <c r="BL187" s="361"/>
      <c r="BM187" s="361"/>
      <c r="BN187" s="361"/>
      <c r="BO187" s="361"/>
      <c r="BP187" s="361"/>
      <c r="BQ187" s="361"/>
      <c r="BR187" s="361"/>
      <c r="BS187" s="362"/>
    </row>
    <row r="188" spans="2:71" ht="13">
      <c r="B188" s="294"/>
      <c r="C188" s="294"/>
      <c r="D188" s="294"/>
      <c r="E188" s="294"/>
      <c r="AB188" s="188"/>
      <c r="BC188" s="510">
        <v>53</v>
      </c>
      <c r="BD188" s="359"/>
      <c r="BE188" s="361"/>
      <c r="BF188" s="361"/>
      <c r="BG188" s="361"/>
      <c r="BH188" s="361"/>
      <c r="BI188" s="361"/>
      <c r="BJ188" s="361"/>
      <c r="BK188" s="361"/>
      <c r="BL188" s="361"/>
      <c r="BM188" s="361"/>
      <c r="BN188" s="361"/>
      <c r="BO188" s="361"/>
      <c r="BP188" s="361"/>
      <c r="BQ188" s="361"/>
      <c r="BR188" s="361"/>
      <c r="BS188" s="362"/>
    </row>
    <row r="189" spans="2:71" ht="13">
      <c r="B189" s="294"/>
      <c r="C189" s="294"/>
      <c r="D189" s="294"/>
      <c r="E189" s="294"/>
      <c r="AB189" s="188"/>
      <c r="BC189" s="510">
        <v>54</v>
      </c>
      <c r="BD189" s="359"/>
      <c r="BE189" s="361"/>
      <c r="BF189" s="361"/>
      <c r="BG189" s="361"/>
      <c r="BH189" s="361"/>
      <c r="BI189" s="361"/>
      <c r="BJ189" s="361"/>
      <c r="BK189" s="361"/>
      <c r="BL189" s="361"/>
      <c r="BM189" s="361"/>
      <c r="BN189" s="361"/>
      <c r="BO189" s="361"/>
      <c r="BP189" s="361"/>
      <c r="BQ189" s="361"/>
      <c r="BR189" s="361"/>
      <c r="BS189" s="362"/>
    </row>
    <row r="190" spans="2:71" ht="13">
      <c r="B190" s="294"/>
      <c r="C190" s="294"/>
      <c r="D190" s="294"/>
      <c r="E190" s="294"/>
      <c r="AB190" s="188"/>
      <c r="BC190" s="510">
        <v>55</v>
      </c>
      <c r="BD190" s="359"/>
      <c r="BE190" s="361"/>
      <c r="BF190" s="361"/>
      <c r="BG190" s="361"/>
      <c r="BH190" s="365"/>
      <c r="BI190" s="365"/>
      <c r="BJ190" s="365"/>
      <c r="BK190" s="365"/>
      <c r="BL190" s="365"/>
      <c r="BM190" s="365"/>
      <c r="BN190" s="365"/>
      <c r="BO190" s="365"/>
      <c r="BP190" s="365"/>
      <c r="BQ190" s="365"/>
      <c r="BR190" s="365"/>
      <c r="BS190" s="366"/>
    </row>
    <row r="191" spans="2:71" ht="13">
      <c r="B191" s="294"/>
      <c r="C191" s="294"/>
      <c r="D191" s="294"/>
      <c r="E191" s="294"/>
      <c r="AB191" s="188"/>
      <c r="BC191" s="510">
        <v>56</v>
      </c>
      <c r="BD191" s="359"/>
      <c r="BE191" s="361"/>
      <c r="BF191" s="361"/>
      <c r="BG191" s="361"/>
      <c r="BH191" s="365"/>
      <c r="BI191" s="365"/>
      <c r="BJ191" s="365"/>
      <c r="BK191" s="365"/>
      <c r="BL191" s="365"/>
      <c r="BM191" s="365"/>
      <c r="BN191" s="365"/>
      <c r="BO191" s="365"/>
      <c r="BP191" s="365"/>
      <c r="BQ191" s="365"/>
      <c r="BR191" s="365"/>
      <c r="BS191" s="366"/>
    </row>
    <row r="192" spans="2:71" ht="13">
      <c r="B192" s="294"/>
      <c r="C192" s="294"/>
      <c r="D192" s="294"/>
      <c r="E192" s="294"/>
      <c r="AB192" s="188"/>
      <c r="BC192" s="510">
        <v>57</v>
      </c>
      <c r="BD192" s="359"/>
      <c r="BE192" s="361"/>
      <c r="BF192" s="361"/>
      <c r="BG192" s="361"/>
      <c r="BH192" s="361"/>
      <c r="BI192" s="361"/>
      <c r="BJ192" s="361"/>
      <c r="BK192" s="361"/>
      <c r="BL192" s="361"/>
      <c r="BM192" s="361"/>
      <c r="BN192" s="361"/>
      <c r="BO192" s="361"/>
      <c r="BP192" s="361"/>
      <c r="BQ192" s="361"/>
      <c r="BR192" s="361"/>
      <c r="BS192" s="362"/>
    </row>
    <row r="193" spans="2:71" ht="13">
      <c r="B193" s="294"/>
      <c r="C193" s="294"/>
      <c r="D193" s="294"/>
      <c r="E193" s="294"/>
      <c r="AB193" s="188"/>
      <c r="BC193" s="510">
        <v>58</v>
      </c>
      <c r="BD193" s="359"/>
      <c r="BE193" s="361"/>
      <c r="BF193" s="361"/>
      <c r="BG193" s="361"/>
      <c r="BH193" s="361"/>
      <c r="BI193" s="361"/>
      <c r="BJ193" s="361"/>
      <c r="BK193" s="361"/>
      <c r="BL193" s="361"/>
      <c r="BM193" s="361"/>
      <c r="BN193" s="361"/>
      <c r="BO193" s="361"/>
      <c r="BP193" s="361"/>
      <c r="BQ193" s="361"/>
      <c r="BR193" s="361"/>
      <c r="BS193" s="362"/>
    </row>
    <row r="194" spans="2:71" ht="13">
      <c r="B194" s="294"/>
      <c r="C194" s="294"/>
      <c r="D194" s="294"/>
      <c r="E194" s="294"/>
      <c r="AB194" s="188"/>
      <c r="BC194" s="510">
        <v>59</v>
      </c>
      <c r="BD194" s="359"/>
      <c r="BE194" s="361"/>
      <c r="BF194" s="361"/>
      <c r="BG194" s="361"/>
      <c r="BH194" s="361"/>
      <c r="BI194" s="361"/>
      <c r="BJ194" s="361"/>
      <c r="BK194" s="361"/>
      <c r="BL194" s="361"/>
      <c r="BM194" s="361"/>
      <c r="BN194" s="361"/>
      <c r="BO194" s="361"/>
      <c r="BP194" s="361"/>
      <c r="BQ194" s="361"/>
      <c r="BR194" s="361"/>
      <c r="BS194" s="362"/>
    </row>
    <row r="195" spans="2:71" ht="13">
      <c r="B195" s="294"/>
      <c r="C195" s="294"/>
      <c r="D195" s="294"/>
      <c r="E195" s="294"/>
      <c r="AB195" s="188"/>
      <c r="BC195" s="510">
        <v>60</v>
      </c>
      <c r="BD195" s="359"/>
      <c r="BE195" s="361"/>
      <c r="BF195" s="361"/>
      <c r="BG195" s="361"/>
      <c r="BH195" s="361"/>
      <c r="BI195" s="361"/>
      <c r="BJ195" s="361"/>
      <c r="BK195" s="361"/>
      <c r="BL195" s="361"/>
      <c r="BM195" s="361"/>
      <c r="BN195" s="361"/>
      <c r="BO195" s="361"/>
      <c r="BP195" s="361"/>
      <c r="BQ195" s="361"/>
      <c r="BR195" s="361"/>
      <c r="BS195" s="362"/>
    </row>
    <row r="196" spans="2:71" ht="13">
      <c r="B196" s="294"/>
      <c r="C196" s="294"/>
      <c r="D196" s="294"/>
      <c r="E196" s="294"/>
      <c r="AB196" s="188"/>
      <c r="BC196" s="510">
        <v>61</v>
      </c>
      <c r="BD196" s="359"/>
      <c r="BE196" s="361"/>
      <c r="BF196" s="361"/>
      <c r="BG196" s="361"/>
      <c r="BH196" s="361"/>
      <c r="BI196" s="361"/>
      <c r="BJ196" s="361"/>
      <c r="BK196" s="361"/>
      <c r="BL196" s="361"/>
      <c r="BM196" s="361"/>
      <c r="BN196" s="361"/>
      <c r="BO196" s="361"/>
      <c r="BP196" s="361"/>
      <c r="BQ196" s="361"/>
      <c r="BR196" s="361"/>
      <c r="BS196" s="362"/>
    </row>
    <row r="197" spans="2:71" ht="13">
      <c r="B197" s="294"/>
      <c r="C197" s="294"/>
      <c r="D197" s="294"/>
      <c r="E197" s="294"/>
      <c r="AB197" s="188"/>
      <c r="BC197" s="510">
        <v>62</v>
      </c>
      <c r="BD197" s="359"/>
      <c r="BE197" s="361"/>
      <c r="BF197" s="361"/>
      <c r="BG197" s="361"/>
      <c r="BH197" s="361"/>
      <c r="BI197" s="361"/>
      <c r="BJ197" s="361"/>
      <c r="BK197" s="361"/>
      <c r="BL197" s="361"/>
      <c r="BM197" s="361"/>
      <c r="BN197" s="361"/>
      <c r="BO197" s="361"/>
      <c r="BP197" s="361"/>
      <c r="BQ197" s="361"/>
      <c r="BR197" s="361"/>
      <c r="BS197" s="362"/>
    </row>
    <row r="198" spans="2:71" ht="13">
      <c r="B198" s="294"/>
      <c r="C198" s="294"/>
      <c r="D198" s="294"/>
      <c r="E198" s="294"/>
      <c r="AB198" s="188"/>
      <c r="BC198" s="510">
        <v>63</v>
      </c>
      <c r="BD198" s="359"/>
      <c r="BE198" s="361"/>
      <c r="BF198" s="361"/>
      <c r="BG198" s="361"/>
      <c r="BH198" s="361"/>
      <c r="BI198" s="361"/>
      <c r="BJ198" s="361"/>
      <c r="BK198" s="361"/>
      <c r="BL198" s="361"/>
      <c r="BM198" s="361"/>
      <c r="BN198" s="361"/>
      <c r="BO198" s="361"/>
      <c r="BP198" s="361"/>
      <c r="BQ198" s="361"/>
      <c r="BR198" s="361"/>
      <c r="BS198" s="362"/>
    </row>
    <row r="199" spans="2:71" ht="13">
      <c r="B199" s="294"/>
      <c r="C199" s="294"/>
      <c r="D199" s="294"/>
      <c r="E199" s="294"/>
      <c r="AB199" s="188"/>
      <c r="BC199" s="510">
        <v>64</v>
      </c>
      <c r="BD199" s="359"/>
      <c r="BE199" s="361"/>
      <c r="BF199" s="361"/>
      <c r="BG199" s="365"/>
      <c r="BH199" s="365"/>
      <c r="BI199" s="365"/>
      <c r="BJ199" s="365"/>
      <c r="BK199" s="365"/>
      <c r="BL199" s="365"/>
      <c r="BM199" s="365"/>
      <c r="BN199" s="365"/>
      <c r="BO199" s="365"/>
      <c r="BP199" s="365"/>
      <c r="BQ199" s="365"/>
      <c r="BR199" s="365"/>
      <c r="BS199" s="366"/>
    </row>
    <row r="200" spans="2:71" ht="13">
      <c r="B200" s="294"/>
      <c r="C200" s="294"/>
      <c r="D200" s="294"/>
      <c r="E200" s="294"/>
      <c r="AB200" s="188"/>
      <c r="BC200" s="510">
        <v>65</v>
      </c>
      <c r="BD200" s="359"/>
      <c r="BE200" s="361"/>
      <c r="BF200" s="361"/>
      <c r="BG200" s="361"/>
      <c r="BH200" s="361"/>
      <c r="BI200" s="361"/>
      <c r="BJ200" s="361"/>
      <c r="BK200" s="361"/>
      <c r="BL200" s="361"/>
      <c r="BM200" s="361"/>
      <c r="BN200" s="361"/>
      <c r="BO200" s="361"/>
      <c r="BP200" s="361"/>
      <c r="BQ200" s="361"/>
      <c r="BR200" s="361"/>
      <c r="BS200" s="362"/>
    </row>
    <row r="201" spans="2:71" ht="13">
      <c r="B201" s="294"/>
      <c r="C201" s="294"/>
      <c r="D201" s="294"/>
      <c r="E201" s="294"/>
      <c r="AB201" s="188"/>
      <c r="BC201" s="510">
        <v>66</v>
      </c>
      <c r="BD201" s="359"/>
      <c r="BE201" s="361"/>
      <c r="BF201" s="361"/>
      <c r="BG201" s="361"/>
      <c r="BH201" s="361"/>
      <c r="BI201" s="361"/>
      <c r="BJ201" s="361"/>
      <c r="BK201" s="361"/>
      <c r="BL201" s="361"/>
      <c r="BM201" s="361"/>
      <c r="BN201" s="361"/>
      <c r="BO201" s="361"/>
      <c r="BP201" s="361"/>
      <c r="BQ201" s="361"/>
      <c r="BR201" s="361"/>
      <c r="BS201" s="362"/>
    </row>
    <row r="202" spans="2:71" ht="13">
      <c r="B202" s="294"/>
      <c r="C202" s="294"/>
      <c r="D202" s="294"/>
      <c r="E202" s="294"/>
      <c r="AB202" s="188"/>
      <c r="BC202" s="510">
        <v>67</v>
      </c>
      <c r="BD202" s="359"/>
      <c r="BE202" s="361"/>
      <c r="BF202" s="361"/>
      <c r="BG202" s="361"/>
      <c r="BH202" s="361"/>
      <c r="BI202" s="361"/>
      <c r="BJ202" s="361"/>
      <c r="BK202" s="361"/>
      <c r="BL202" s="361"/>
      <c r="BM202" s="361"/>
      <c r="BN202" s="361"/>
      <c r="BO202" s="361"/>
      <c r="BP202" s="361"/>
      <c r="BQ202" s="361"/>
      <c r="BR202" s="361"/>
      <c r="BS202" s="362"/>
    </row>
    <row r="203" spans="2:71" ht="13">
      <c r="B203" s="294"/>
      <c r="C203" s="294"/>
      <c r="D203" s="294"/>
      <c r="E203" s="294"/>
      <c r="AB203" s="188"/>
      <c r="BC203" s="510">
        <v>68</v>
      </c>
      <c r="BD203" s="359"/>
      <c r="BE203" s="361"/>
      <c r="BF203" s="361"/>
      <c r="BG203" s="361"/>
      <c r="BH203" s="365"/>
      <c r="BI203" s="365"/>
      <c r="BJ203" s="365"/>
      <c r="BK203" s="365"/>
      <c r="BL203" s="365"/>
      <c r="BM203" s="365"/>
      <c r="BN203" s="365"/>
      <c r="BO203" s="365"/>
      <c r="BP203" s="365"/>
      <c r="BQ203" s="365"/>
      <c r="BR203" s="365"/>
      <c r="BS203" s="366"/>
    </row>
    <row r="204" spans="2:71" ht="13">
      <c r="B204" s="294"/>
      <c r="C204" s="294"/>
      <c r="D204" s="294"/>
      <c r="E204" s="294"/>
      <c r="AB204" s="188"/>
      <c r="BC204" s="510">
        <v>69</v>
      </c>
      <c r="BD204" s="359"/>
      <c r="BE204" s="361"/>
      <c r="BF204" s="361"/>
      <c r="BG204" s="361"/>
      <c r="BH204" s="361"/>
      <c r="BI204" s="361"/>
      <c r="BJ204" s="361"/>
      <c r="BK204" s="361"/>
      <c r="BL204" s="361"/>
      <c r="BM204" s="361"/>
      <c r="BN204" s="361"/>
      <c r="BO204" s="361"/>
      <c r="BP204" s="361"/>
      <c r="BQ204" s="361"/>
      <c r="BR204" s="361"/>
      <c r="BS204" s="362"/>
    </row>
    <row r="205" spans="2:71" ht="13">
      <c r="B205" s="294"/>
      <c r="C205" s="294"/>
      <c r="D205" s="294"/>
      <c r="E205" s="294"/>
      <c r="AB205" s="188"/>
      <c r="BC205" s="510">
        <v>70</v>
      </c>
      <c r="BD205" s="359"/>
      <c r="BE205" s="361"/>
      <c r="BF205" s="361"/>
      <c r="BG205" s="361"/>
      <c r="BH205" s="361"/>
      <c r="BI205" s="361"/>
      <c r="BJ205" s="361"/>
      <c r="BK205" s="361"/>
      <c r="BL205" s="361"/>
      <c r="BM205" s="361"/>
      <c r="BN205" s="361"/>
      <c r="BO205" s="361"/>
      <c r="BP205" s="361"/>
      <c r="BQ205" s="361"/>
      <c r="BR205" s="361"/>
      <c r="BS205" s="362"/>
    </row>
    <row r="206" spans="2:71" ht="13">
      <c r="B206" s="294"/>
      <c r="C206" s="294"/>
      <c r="D206" s="294"/>
      <c r="E206" s="294"/>
      <c r="AB206" s="188"/>
      <c r="BC206" s="510">
        <v>71</v>
      </c>
      <c r="BD206" s="359"/>
      <c r="BE206" s="361"/>
      <c r="BF206" s="365"/>
      <c r="BG206" s="361"/>
      <c r="BH206" s="361"/>
      <c r="BI206" s="361"/>
      <c r="BJ206" s="361"/>
      <c r="BK206" s="361"/>
      <c r="BL206" s="361"/>
      <c r="BM206" s="361"/>
      <c r="BN206" s="361"/>
      <c r="BO206" s="361"/>
      <c r="BP206" s="361"/>
      <c r="BQ206" s="361"/>
      <c r="BR206" s="361"/>
      <c r="BS206" s="362"/>
    </row>
    <row r="207" spans="2:71" ht="13">
      <c r="B207" s="294"/>
      <c r="C207" s="294"/>
      <c r="D207" s="294"/>
      <c r="E207" s="294"/>
      <c r="AB207" s="188"/>
      <c r="BC207" s="510">
        <v>72</v>
      </c>
      <c r="BD207" s="359"/>
      <c r="BE207" s="361"/>
      <c r="BF207" s="361"/>
      <c r="BG207" s="361"/>
      <c r="BH207" s="361"/>
      <c r="BI207" s="361"/>
      <c r="BJ207" s="361"/>
      <c r="BK207" s="361"/>
      <c r="BL207" s="361"/>
      <c r="BM207" s="361"/>
      <c r="BN207" s="361"/>
      <c r="BO207" s="361"/>
      <c r="BP207" s="361"/>
      <c r="BQ207" s="361"/>
      <c r="BR207" s="361"/>
      <c r="BS207" s="362"/>
    </row>
    <row r="208" spans="2:71" ht="13">
      <c r="B208" s="294"/>
      <c r="C208" s="294"/>
      <c r="D208" s="294"/>
      <c r="E208" s="294"/>
      <c r="AB208" s="188"/>
      <c r="BC208" s="510">
        <v>73</v>
      </c>
      <c r="BD208" s="359"/>
      <c r="BE208" s="361"/>
      <c r="BF208" s="361"/>
      <c r="BG208" s="361"/>
      <c r="BH208" s="361"/>
      <c r="BI208" s="361"/>
      <c r="BJ208" s="361"/>
      <c r="BK208" s="361"/>
      <c r="BL208" s="361"/>
      <c r="BM208" s="361"/>
      <c r="BN208" s="361"/>
      <c r="BO208" s="361"/>
      <c r="BP208" s="361"/>
      <c r="BQ208" s="361"/>
      <c r="BR208" s="361"/>
      <c r="BS208" s="362"/>
    </row>
    <row r="209" spans="2:71" ht="13">
      <c r="B209" s="294"/>
      <c r="C209" s="294"/>
      <c r="D209" s="294"/>
      <c r="E209" s="294"/>
      <c r="AB209" s="188"/>
      <c r="BC209" s="510">
        <v>74</v>
      </c>
      <c r="BD209" s="359"/>
      <c r="BE209" s="361"/>
      <c r="BF209" s="361"/>
      <c r="BG209" s="361"/>
      <c r="BH209" s="365"/>
      <c r="BI209" s="365"/>
      <c r="BJ209" s="365"/>
      <c r="BK209" s="365"/>
      <c r="BL209" s="365"/>
      <c r="BM209" s="365"/>
      <c r="BN209" s="365"/>
      <c r="BO209" s="365"/>
      <c r="BP209" s="365"/>
      <c r="BQ209" s="365"/>
      <c r="BR209" s="365"/>
      <c r="BS209" s="366"/>
    </row>
    <row r="210" spans="2:71" ht="13">
      <c r="B210" s="294"/>
      <c r="C210" s="294"/>
      <c r="D210" s="294"/>
      <c r="E210" s="294"/>
      <c r="AB210" s="188"/>
      <c r="BC210" s="510">
        <v>75</v>
      </c>
      <c r="BD210" s="359"/>
      <c r="BE210" s="361"/>
      <c r="BF210" s="361"/>
      <c r="BG210" s="361"/>
      <c r="BH210" s="361"/>
      <c r="BI210" s="361"/>
      <c r="BJ210" s="361"/>
      <c r="BK210" s="361"/>
      <c r="BL210" s="361"/>
      <c r="BM210" s="361"/>
      <c r="BN210" s="361"/>
      <c r="BO210" s="361"/>
      <c r="BP210" s="361"/>
      <c r="BQ210" s="361"/>
      <c r="BR210" s="361"/>
      <c r="BS210" s="362"/>
    </row>
    <row r="211" spans="2:71" ht="13">
      <c r="B211" s="294"/>
      <c r="C211" s="294"/>
      <c r="D211" s="294"/>
      <c r="E211" s="294"/>
      <c r="AB211" s="188"/>
      <c r="BC211" s="510">
        <v>76</v>
      </c>
      <c r="BD211" s="359"/>
      <c r="BE211" s="361"/>
      <c r="BF211" s="361"/>
      <c r="BG211" s="361"/>
      <c r="BH211" s="361"/>
      <c r="BI211" s="361"/>
      <c r="BJ211" s="361"/>
      <c r="BK211" s="361"/>
      <c r="BL211" s="361"/>
      <c r="BM211" s="361"/>
      <c r="BN211" s="361"/>
      <c r="BO211" s="361"/>
      <c r="BP211" s="361"/>
      <c r="BQ211" s="361"/>
      <c r="BR211" s="361"/>
      <c r="BS211" s="362"/>
    </row>
    <row r="212" spans="2:71" ht="13">
      <c r="B212" s="294"/>
      <c r="C212" s="294"/>
      <c r="D212" s="294"/>
      <c r="E212" s="294"/>
      <c r="AB212" s="188"/>
      <c r="BC212" s="510">
        <v>77</v>
      </c>
      <c r="BD212" s="359"/>
      <c r="BE212" s="361"/>
      <c r="BF212" s="361"/>
      <c r="BG212" s="361"/>
      <c r="BH212" s="361"/>
      <c r="BI212" s="361"/>
      <c r="BJ212" s="361"/>
      <c r="BK212" s="361"/>
      <c r="BL212" s="361"/>
      <c r="BM212" s="361"/>
      <c r="BN212" s="361"/>
      <c r="BO212" s="361"/>
      <c r="BP212" s="361"/>
      <c r="BQ212" s="361"/>
      <c r="BR212" s="361"/>
      <c r="BS212" s="362"/>
    </row>
    <row r="213" spans="2:71" ht="13">
      <c r="B213" s="294"/>
      <c r="C213" s="294"/>
      <c r="D213" s="294"/>
      <c r="E213" s="294"/>
      <c r="AB213" s="188"/>
      <c r="BC213" s="510">
        <v>78</v>
      </c>
      <c r="BD213" s="359"/>
      <c r="BE213" s="361"/>
      <c r="BF213" s="361"/>
      <c r="BG213" s="361"/>
      <c r="BH213" s="361"/>
      <c r="BI213" s="361"/>
      <c r="BJ213" s="361"/>
      <c r="BK213" s="361"/>
      <c r="BL213" s="361"/>
      <c r="BM213" s="361"/>
      <c r="BN213" s="361"/>
      <c r="BO213" s="361"/>
      <c r="BP213" s="361"/>
      <c r="BQ213" s="361"/>
      <c r="BR213" s="361"/>
      <c r="BS213" s="362"/>
    </row>
    <row r="214" spans="2:71" ht="13">
      <c r="B214" s="294"/>
      <c r="C214" s="294"/>
      <c r="D214" s="294"/>
      <c r="E214" s="294"/>
      <c r="AB214" s="188"/>
      <c r="BC214" s="510">
        <v>79</v>
      </c>
      <c r="BD214" s="359"/>
      <c r="BE214" s="361"/>
      <c r="BF214" s="361"/>
      <c r="BG214" s="365"/>
      <c r="BH214" s="365"/>
      <c r="BI214" s="365"/>
      <c r="BJ214" s="365"/>
      <c r="BK214" s="365"/>
      <c r="BL214" s="365"/>
      <c r="BM214" s="365"/>
      <c r="BN214" s="365"/>
      <c r="BO214" s="365"/>
      <c r="BP214" s="365"/>
      <c r="BQ214" s="365"/>
      <c r="BR214" s="365"/>
      <c r="BS214" s="366"/>
    </row>
    <row r="215" spans="2:71" ht="13">
      <c r="B215" s="294"/>
      <c r="C215" s="294"/>
      <c r="D215" s="294"/>
      <c r="E215" s="294"/>
      <c r="AB215" s="188"/>
      <c r="BC215" s="510">
        <v>80</v>
      </c>
      <c r="BD215" s="359"/>
      <c r="BE215" s="361"/>
      <c r="BF215" s="361"/>
      <c r="BG215" s="361"/>
      <c r="BH215" s="361"/>
      <c r="BI215" s="361"/>
      <c r="BJ215" s="361"/>
      <c r="BK215" s="361"/>
      <c r="BL215" s="361"/>
      <c r="BM215" s="361"/>
      <c r="BN215" s="361"/>
      <c r="BO215" s="361"/>
      <c r="BP215" s="361"/>
      <c r="BQ215" s="361"/>
      <c r="BR215" s="361"/>
      <c r="BS215" s="362"/>
    </row>
    <row r="216" spans="2:71" ht="13">
      <c r="B216" s="294"/>
      <c r="C216" s="294"/>
      <c r="D216" s="294"/>
      <c r="E216" s="294"/>
      <c r="AB216" s="188"/>
      <c r="BC216" s="510">
        <v>81</v>
      </c>
      <c r="BD216" s="359"/>
      <c r="BE216" s="361"/>
      <c r="BF216" s="361"/>
      <c r="BG216" s="361"/>
      <c r="BH216" s="361"/>
      <c r="BI216" s="361"/>
      <c r="BJ216" s="361"/>
      <c r="BK216" s="361"/>
      <c r="BL216" s="361"/>
      <c r="BM216" s="361"/>
      <c r="BN216" s="361"/>
      <c r="BO216" s="361"/>
      <c r="BP216" s="361"/>
      <c r="BQ216" s="361"/>
      <c r="BR216" s="361"/>
      <c r="BS216" s="362"/>
    </row>
    <row r="217" spans="2:71" ht="13">
      <c r="B217" s="294"/>
      <c r="C217" s="294"/>
      <c r="D217" s="294"/>
      <c r="E217" s="294"/>
      <c r="AB217" s="188"/>
      <c r="BC217" s="510">
        <v>82</v>
      </c>
      <c r="BD217" s="359"/>
      <c r="BE217" s="361"/>
      <c r="BF217" s="361"/>
      <c r="BG217" s="365"/>
      <c r="BH217" s="365"/>
      <c r="BI217" s="365"/>
      <c r="BJ217" s="365"/>
      <c r="BK217" s="365"/>
      <c r="BL217" s="365"/>
      <c r="BM217" s="365"/>
      <c r="BN217" s="365"/>
      <c r="BO217" s="365"/>
      <c r="BP217" s="365"/>
      <c r="BQ217" s="365"/>
      <c r="BR217" s="365"/>
      <c r="BS217" s="366"/>
    </row>
    <row r="218" spans="2:71" ht="13">
      <c r="B218" s="294"/>
      <c r="C218" s="294"/>
      <c r="D218" s="294"/>
      <c r="E218" s="294"/>
      <c r="AB218" s="188"/>
      <c r="BC218" s="510">
        <v>83</v>
      </c>
      <c r="BD218" s="359"/>
      <c r="BE218" s="361"/>
      <c r="BF218" s="361"/>
      <c r="BG218" s="361"/>
      <c r="BH218" s="361"/>
      <c r="BI218" s="361"/>
      <c r="BJ218" s="361"/>
      <c r="BK218" s="361"/>
      <c r="BL218" s="361"/>
      <c r="BM218" s="361"/>
      <c r="BN218" s="361"/>
      <c r="BO218" s="361"/>
      <c r="BP218" s="361"/>
      <c r="BQ218" s="361"/>
      <c r="BR218" s="361"/>
      <c r="BS218" s="362"/>
    </row>
    <row r="219" spans="2:71" ht="13">
      <c r="B219" s="294"/>
      <c r="C219" s="294"/>
      <c r="D219" s="294"/>
      <c r="E219" s="294"/>
      <c r="AB219" s="188"/>
      <c r="BC219" s="510">
        <v>84</v>
      </c>
      <c r="BD219" s="359"/>
      <c r="BE219" s="361"/>
      <c r="BF219" s="361"/>
      <c r="BG219" s="361"/>
      <c r="BH219" s="365"/>
      <c r="BI219" s="365"/>
      <c r="BJ219" s="365"/>
      <c r="BK219" s="365"/>
      <c r="BL219" s="365"/>
      <c r="BM219" s="365"/>
      <c r="BN219" s="365"/>
      <c r="BO219" s="365"/>
      <c r="BP219" s="365"/>
      <c r="BQ219" s="365"/>
      <c r="BR219" s="365"/>
      <c r="BS219" s="366"/>
    </row>
    <row r="220" spans="2:71" ht="13">
      <c r="B220" s="294"/>
      <c r="C220" s="294"/>
      <c r="D220" s="294"/>
      <c r="E220" s="294"/>
      <c r="AB220" s="188"/>
      <c r="BC220" s="510">
        <v>85</v>
      </c>
      <c r="BD220" s="359"/>
      <c r="BE220" s="361"/>
      <c r="BF220" s="361"/>
      <c r="BG220" s="365"/>
      <c r="BH220" s="365"/>
      <c r="BI220" s="365"/>
      <c r="BJ220" s="365"/>
      <c r="BK220" s="365"/>
      <c r="BL220" s="365"/>
      <c r="BM220" s="365"/>
      <c r="BN220" s="365"/>
      <c r="BO220" s="365"/>
      <c r="BP220" s="365"/>
      <c r="BQ220" s="365"/>
      <c r="BR220" s="365"/>
      <c r="BS220" s="366"/>
    </row>
    <row r="221" spans="2:71" ht="13">
      <c r="B221" s="294"/>
      <c r="C221" s="294"/>
      <c r="D221" s="294"/>
      <c r="E221" s="294"/>
      <c r="AB221" s="188"/>
      <c r="BC221" s="510">
        <v>86</v>
      </c>
      <c r="BD221" s="359"/>
      <c r="BE221" s="361"/>
      <c r="BF221" s="361"/>
      <c r="BG221" s="365"/>
      <c r="BH221" s="365"/>
      <c r="BI221" s="365"/>
      <c r="BJ221" s="365"/>
      <c r="BK221" s="365"/>
      <c r="BL221" s="365"/>
      <c r="BM221" s="365"/>
      <c r="BN221" s="365"/>
      <c r="BO221" s="365"/>
      <c r="BP221" s="365"/>
      <c r="BQ221" s="365"/>
      <c r="BR221" s="365"/>
      <c r="BS221" s="366"/>
    </row>
    <row r="222" spans="2:71" ht="13">
      <c r="B222" s="294"/>
      <c r="C222" s="294"/>
      <c r="D222" s="294"/>
      <c r="E222" s="294"/>
      <c r="AB222" s="188"/>
      <c r="BC222" s="510">
        <v>87</v>
      </c>
      <c r="BD222" s="359"/>
      <c r="BE222" s="361"/>
      <c r="BF222" s="361"/>
      <c r="BG222" s="365"/>
      <c r="BH222" s="365"/>
      <c r="BI222" s="365"/>
      <c r="BJ222" s="365"/>
      <c r="BK222" s="365"/>
      <c r="BL222" s="365"/>
      <c r="BM222" s="365"/>
      <c r="BN222" s="365"/>
      <c r="BO222" s="365"/>
      <c r="BP222" s="365"/>
      <c r="BQ222" s="365"/>
      <c r="BR222" s="365"/>
      <c r="BS222" s="366"/>
    </row>
    <row r="223" spans="2:71" ht="13">
      <c r="B223" s="294"/>
      <c r="C223" s="294"/>
      <c r="D223" s="294"/>
      <c r="E223" s="294"/>
      <c r="AB223" s="188"/>
      <c r="BC223" s="510">
        <v>88</v>
      </c>
      <c r="BD223" s="359"/>
      <c r="BE223" s="361"/>
      <c r="BF223" s="365"/>
      <c r="BG223" s="361"/>
      <c r="BH223" s="361"/>
      <c r="BI223" s="361"/>
      <c r="BJ223" s="361"/>
      <c r="BK223" s="361"/>
      <c r="BL223" s="361"/>
      <c r="BM223" s="361"/>
      <c r="BN223" s="361"/>
      <c r="BO223" s="361"/>
      <c r="BP223" s="361"/>
      <c r="BQ223" s="361"/>
      <c r="BR223" s="361"/>
      <c r="BS223" s="362"/>
    </row>
    <row r="224" spans="2:71" ht="13">
      <c r="B224" s="294"/>
      <c r="C224" s="294"/>
      <c r="D224" s="294"/>
      <c r="E224" s="294"/>
      <c r="AB224" s="188"/>
      <c r="BC224" s="510">
        <v>89</v>
      </c>
      <c r="BS224" s="367"/>
    </row>
    <row r="225" spans="2:71" ht="13">
      <c r="B225" s="294"/>
      <c r="C225" s="294"/>
      <c r="D225" s="294"/>
      <c r="E225" s="294"/>
      <c r="AB225" s="188"/>
      <c r="BC225" s="510">
        <v>90</v>
      </c>
      <c r="BS225" s="367"/>
    </row>
    <row r="226" spans="2:71" ht="13">
      <c r="B226" s="294"/>
      <c r="C226" s="294"/>
      <c r="D226" s="294"/>
      <c r="E226" s="294"/>
      <c r="AB226" s="188"/>
      <c r="BC226" s="510">
        <v>91</v>
      </c>
      <c r="BS226" s="367"/>
    </row>
    <row r="227" spans="2:71" ht="13">
      <c r="B227" s="294"/>
      <c r="C227" s="294"/>
      <c r="D227" s="294"/>
      <c r="E227" s="294"/>
      <c r="AB227" s="188"/>
      <c r="BC227" s="510">
        <v>92</v>
      </c>
      <c r="BS227" s="367"/>
    </row>
    <row r="228" spans="2:71" ht="13">
      <c r="B228" s="294"/>
      <c r="C228" s="294"/>
      <c r="D228" s="294"/>
      <c r="E228" s="294"/>
      <c r="AB228" s="188"/>
      <c r="BC228" s="510">
        <v>93</v>
      </c>
      <c r="BS228" s="367"/>
    </row>
    <row r="229" spans="2:71" ht="13">
      <c r="B229" s="294"/>
      <c r="C229" s="294"/>
      <c r="D229" s="294"/>
      <c r="E229" s="294"/>
      <c r="AB229" s="188"/>
      <c r="BC229" s="510">
        <v>94</v>
      </c>
      <c r="BS229" s="367"/>
    </row>
    <row r="230" spans="2:71" ht="13">
      <c r="B230" s="294"/>
      <c r="C230" s="294"/>
      <c r="D230" s="294"/>
      <c r="E230" s="294"/>
      <c r="AB230" s="188"/>
      <c r="BC230" s="510">
        <v>95</v>
      </c>
      <c r="BS230" s="367"/>
    </row>
    <row r="231" spans="2:71" ht="13">
      <c r="B231" s="294"/>
      <c r="C231" s="294"/>
      <c r="D231" s="294"/>
      <c r="E231" s="294"/>
      <c r="AB231" s="188"/>
      <c r="BC231" s="510">
        <v>96</v>
      </c>
      <c r="BS231" s="367"/>
    </row>
    <row r="232" spans="2:71" ht="13">
      <c r="B232" s="294"/>
      <c r="C232" s="294"/>
      <c r="D232" s="294"/>
      <c r="E232" s="294"/>
      <c r="AB232" s="188"/>
      <c r="BC232" s="510">
        <v>97</v>
      </c>
      <c r="BS232" s="367"/>
    </row>
    <row r="233" spans="2:71" ht="13">
      <c r="B233" s="294"/>
      <c r="C233" s="294"/>
      <c r="D233" s="294"/>
      <c r="E233" s="294"/>
      <c r="AB233" s="188"/>
      <c r="BC233" s="510">
        <v>98</v>
      </c>
      <c r="BS233" s="367"/>
    </row>
    <row r="234" spans="2:71" ht="13">
      <c r="B234" s="294"/>
      <c r="C234" s="294"/>
      <c r="D234" s="294"/>
      <c r="E234" s="294"/>
      <c r="AB234" s="188"/>
      <c r="BC234" s="510">
        <v>99</v>
      </c>
      <c r="BS234" s="367"/>
    </row>
    <row r="235" spans="2:71" ht="13">
      <c r="B235" s="294"/>
      <c r="C235" s="294"/>
      <c r="D235" s="294"/>
      <c r="E235" s="294"/>
      <c r="AB235" s="188"/>
      <c r="BC235" s="510">
        <v>100</v>
      </c>
      <c r="BS235" s="367"/>
    </row>
    <row r="236" spans="2:71" ht="13">
      <c r="B236" s="294"/>
      <c r="C236" s="294"/>
      <c r="D236" s="294"/>
      <c r="E236" s="294"/>
      <c r="AB236" s="188"/>
      <c r="BC236" s="510">
        <v>101</v>
      </c>
      <c r="BS236" s="367"/>
    </row>
    <row r="237" spans="2:71" ht="13">
      <c r="B237" s="294"/>
      <c r="C237" s="294"/>
      <c r="D237" s="294"/>
      <c r="E237" s="294"/>
      <c r="AB237" s="188"/>
      <c r="BC237" s="510">
        <v>102</v>
      </c>
      <c r="BS237" s="367"/>
    </row>
    <row r="238" spans="2:71" ht="13">
      <c r="B238" s="294"/>
      <c r="C238" s="294"/>
      <c r="D238" s="294"/>
      <c r="E238" s="294"/>
      <c r="AB238" s="188"/>
      <c r="BC238" s="510">
        <v>103</v>
      </c>
      <c r="BS238" s="367"/>
    </row>
    <row r="239" spans="2:71" ht="13">
      <c r="B239" s="294"/>
      <c r="C239" s="294"/>
      <c r="D239" s="294"/>
      <c r="E239" s="294"/>
      <c r="AB239" s="188"/>
      <c r="BC239" s="510">
        <v>104</v>
      </c>
      <c r="BS239" s="367"/>
    </row>
    <row r="240" spans="2:71" ht="13">
      <c r="B240" s="294"/>
      <c r="C240" s="294"/>
      <c r="D240" s="294"/>
      <c r="E240" s="294"/>
      <c r="AB240" s="188"/>
      <c r="BC240" s="510">
        <v>105</v>
      </c>
      <c r="BS240" s="367"/>
    </row>
    <row r="241" spans="2:71" ht="13">
      <c r="B241" s="294"/>
      <c r="C241" s="294"/>
      <c r="D241" s="294"/>
      <c r="E241" s="294"/>
      <c r="AB241" s="188"/>
      <c r="BC241" s="510">
        <v>106</v>
      </c>
      <c r="BS241" s="367"/>
    </row>
    <row r="242" spans="2:71" ht="13">
      <c r="B242" s="294"/>
      <c r="C242" s="294"/>
      <c r="D242" s="294"/>
      <c r="E242" s="294"/>
      <c r="AB242" s="188"/>
      <c r="BC242" s="510">
        <v>107</v>
      </c>
      <c r="BS242" s="367"/>
    </row>
    <row r="243" spans="2:71" ht="13">
      <c r="B243" s="294"/>
      <c r="C243" s="294"/>
      <c r="D243" s="294"/>
      <c r="E243" s="294"/>
      <c r="AB243" s="188"/>
      <c r="BC243" s="510">
        <v>108</v>
      </c>
      <c r="BS243" s="367"/>
    </row>
    <row r="244" spans="2:71" ht="13">
      <c r="B244" s="294"/>
      <c r="C244" s="294"/>
      <c r="D244" s="294"/>
      <c r="E244" s="294"/>
      <c r="AB244" s="188"/>
      <c r="BC244" s="510">
        <v>109</v>
      </c>
      <c r="BS244" s="367"/>
    </row>
    <row r="245" spans="2:71" ht="13">
      <c r="B245" s="294"/>
      <c r="C245" s="294"/>
      <c r="D245" s="294"/>
      <c r="E245" s="294"/>
      <c r="AB245" s="188"/>
      <c r="BC245" s="510">
        <v>110</v>
      </c>
      <c r="BS245" s="367"/>
    </row>
    <row r="246" spans="2:71" ht="13">
      <c r="B246" s="294"/>
      <c r="C246" s="294"/>
      <c r="D246" s="294"/>
      <c r="E246" s="294"/>
      <c r="AB246" s="188"/>
      <c r="BC246" s="510">
        <v>111</v>
      </c>
      <c r="BS246" s="367"/>
    </row>
    <row r="247" spans="2:71" ht="13">
      <c r="B247" s="294"/>
      <c r="C247" s="294"/>
      <c r="D247" s="294"/>
      <c r="E247" s="294"/>
      <c r="AB247" s="188"/>
      <c r="BC247" s="510">
        <v>112</v>
      </c>
      <c r="BS247" s="367"/>
    </row>
    <row r="248" spans="2:71" ht="13">
      <c r="B248" s="294"/>
      <c r="C248" s="294"/>
      <c r="D248" s="294"/>
      <c r="E248" s="294"/>
      <c r="AB248" s="188"/>
      <c r="BC248" s="510">
        <v>113</v>
      </c>
      <c r="BS248" s="367"/>
    </row>
    <row r="249" spans="2:71" ht="13">
      <c r="B249" s="294"/>
      <c r="C249" s="294"/>
      <c r="D249" s="294"/>
      <c r="E249" s="294"/>
      <c r="AB249" s="188"/>
      <c r="BC249" s="510">
        <v>114</v>
      </c>
      <c r="BS249" s="367"/>
    </row>
    <row r="250" spans="2:71" ht="13">
      <c r="B250" s="294"/>
      <c r="C250" s="294"/>
      <c r="D250" s="294"/>
      <c r="E250" s="294"/>
      <c r="AB250" s="188"/>
      <c r="BC250" s="510">
        <v>115</v>
      </c>
      <c r="BS250" s="367"/>
    </row>
    <row r="251" spans="2:71" ht="13">
      <c r="B251" s="294"/>
      <c r="C251" s="294"/>
      <c r="D251" s="294"/>
      <c r="E251" s="294"/>
      <c r="AB251" s="188"/>
      <c r="BC251" s="510">
        <v>116</v>
      </c>
      <c r="BS251" s="367"/>
    </row>
    <row r="252" spans="2:71" ht="13">
      <c r="B252" s="294"/>
      <c r="C252" s="294"/>
      <c r="D252" s="294"/>
      <c r="E252" s="294"/>
      <c r="AB252" s="188"/>
      <c r="BC252" s="510">
        <v>117</v>
      </c>
      <c r="BS252" s="367"/>
    </row>
    <row r="253" spans="2:71" ht="13">
      <c r="B253" s="294"/>
      <c r="C253" s="294"/>
      <c r="D253" s="294"/>
      <c r="E253" s="294"/>
      <c r="AB253" s="188"/>
      <c r="BC253" s="510">
        <v>118</v>
      </c>
      <c r="BS253" s="367"/>
    </row>
    <row r="254" spans="2:71" ht="13">
      <c r="B254" s="294"/>
      <c r="C254" s="294"/>
      <c r="D254" s="294"/>
      <c r="E254" s="294"/>
      <c r="AB254" s="188"/>
      <c r="BC254" s="510">
        <v>119</v>
      </c>
      <c r="BS254" s="367"/>
    </row>
    <row r="255" spans="2:71" ht="13">
      <c r="B255" s="294"/>
      <c r="C255" s="294"/>
      <c r="D255" s="294"/>
      <c r="E255" s="294"/>
      <c r="AB255" s="188"/>
      <c r="BC255" s="510">
        <v>120</v>
      </c>
      <c r="BS255" s="367"/>
    </row>
    <row r="256" spans="2:71" ht="13">
      <c r="B256" s="294"/>
      <c r="C256" s="294"/>
      <c r="D256" s="294"/>
      <c r="E256" s="294"/>
      <c r="AB256" s="188"/>
      <c r="BC256" s="510">
        <v>121</v>
      </c>
      <c r="BS256" s="367"/>
    </row>
    <row r="257" spans="2:71" ht="13">
      <c r="B257" s="294"/>
      <c r="C257" s="294"/>
      <c r="D257" s="294"/>
      <c r="E257" s="294"/>
      <c r="AB257" s="188"/>
      <c r="BC257" s="510">
        <v>122</v>
      </c>
      <c r="BS257" s="367"/>
    </row>
    <row r="258" spans="2:71" ht="13">
      <c r="B258" s="294"/>
      <c r="C258" s="294"/>
      <c r="D258" s="294"/>
      <c r="E258" s="294"/>
      <c r="AB258" s="188"/>
      <c r="BC258" s="510">
        <v>123</v>
      </c>
      <c r="BS258" s="367"/>
    </row>
    <row r="259" spans="2:71" ht="13">
      <c r="B259" s="294"/>
      <c r="C259" s="294"/>
      <c r="D259" s="294"/>
      <c r="E259" s="294"/>
      <c r="AB259" s="188"/>
      <c r="BC259" s="510">
        <v>124</v>
      </c>
      <c r="BS259" s="367"/>
    </row>
    <row r="260" spans="2:71" ht="13">
      <c r="B260" s="294"/>
      <c r="C260" s="294"/>
      <c r="D260" s="294"/>
      <c r="E260" s="294"/>
      <c r="AB260" s="188"/>
      <c r="BC260" s="510">
        <v>125</v>
      </c>
      <c r="BS260" s="367"/>
    </row>
    <row r="261" spans="2:71" ht="13">
      <c r="B261" s="294"/>
      <c r="C261" s="294"/>
      <c r="D261" s="294"/>
      <c r="E261" s="294"/>
      <c r="AB261" s="188"/>
      <c r="BC261" s="510">
        <v>126</v>
      </c>
      <c r="BS261" s="367"/>
    </row>
    <row r="262" spans="2:71" ht="13">
      <c r="B262" s="294"/>
      <c r="C262" s="294"/>
      <c r="D262" s="294"/>
      <c r="E262" s="294"/>
      <c r="AB262" s="188"/>
      <c r="BC262" s="510">
        <v>127</v>
      </c>
      <c r="BS262" s="367"/>
    </row>
    <row r="263" spans="2:71" ht="13">
      <c r="B263" s="294"/>
      <c r="C263" s="294"/>
      <c r="D263" s="294"/>
      <c r="E263" s="294"/>
      <c r="AB263" s="188"/>
      <c r="BC263" s="510">
        <v>128</v>
      </c>
      <c r="BS263" s="367"/>
    </row>
    <row r="264" spans="2:71" ht="13">
      <c r="B264" s="294"/>
      <c r="C264" s="294"/>
      <c r="D264" s="294"/>
      <c r="E264" s="294"/>
      <c r="AB264" s="188"/>
      <c r="BC264" s="510">
        <v>129</v>
      </c>
      <c r="BS264" s="367"/>
    </row>
    <row r="265" spans="2:71" ht="13">
      <c r="B265" s="294"/>
      <c r="C265" s="294"/>
      <c r="D265" s="294"/>
      <c r="E265" s="294"/>
      <c r="AB265" s="188"/>
      <c r="BC265" s="510">
        <v>130</v>
      </c>
      <c r="BS265" s="367"/>
    </row>
    <row r="266" spans="2:71" ht="13">
      <c r="B266" s="294"/>
      <c r="C266" s="294"/>
      <c r="D266" s="294"/>
      <c r="E266" s="294"/>
      <c r="AB266" s="188"/>
      <c r="BC266" s="510">
        <v>131</v>
      </c>
      <c r="BS266" s="367"/>
    </row>
    <row r="267" spans="2:71" ht="13">
      <c r="B267" s="294"/>
      <c r="C267" s="294"/>
      <c r="D267" s="294"/>
      <c r="E267" s="294"/>
      <c r="AB267" s="188"/>
      <c r="BC267" s="510">
        <v>132</v>
      </c>
      <c r="BS267" s="367"/>
    </row>
    <row r="268" spans="2:71" ht="13">
      <c r="B268" s="294"/>
      <c r="C268" s="294"/>
      <c r="D268" s="294"/>
      <c r="E268" s="294"/>
      <c r="AB268" s="188"/>
      <c r="BC268" s="510">
        <v>133</v>
      </c>
      <c r="BS268" s="367"/>
    </row>
    <row r="269" spans="2:71" ht="13">
      <c r="B269" s="294"/>
      <c r="C269" s="294"/>
      <c r="D269" s="294"/>
      <c r="E269" s="294"/>
      <c r="AB269" s="188"/>
      <c r="BC269" s="510">
        <v>134</v>
      </c>
      <c r="BS269" s="367"/>
    </row>
    <row r="270" spans="2:71" ht="13">
      <c r="B270" s="294"/>
      <c r="C270" s="294"/>
      <c r="D270" s="294"/>
      <c r="E270" s="294"/>
      <c r="AB270" s="188"/>
      <c r="BC270" s="510">
        <v>135</v>
      </c>
      <c r="BS270" s="367"/>
    </row>
    <row r="271" spans="2:71" ht="13">
      <c r="B271" s="294"/>
      <c r="C271" s="294"/>
      <c r="D271" s="294"/>
      <c r="E271" s="294"/>
      <c r="AB271" s="188"/>
      <c r="BC271" s="510">
        <v>136</v>
      </c>
      <c r="BS271" s="367"/>
    </row>
    <row r="272" spans="2:71" ht="13">
      <c r="B272" s="294"/>
      <c r="C272" s="294"/>
      <c r="D272" s="294"/>
      <c r="E272" s="294"/>
      <c r="AB272" s="188"/>
      <c r="BC272" s="510">
        <v>137</v>
      </c>
      <c r="BS272" s="367"/>
    </row>
    <row r="273" spans="2:71" ht="13">
      <c r="B273" s="294"/>
      <c r="C273" s="294"/>
      <c r="D273" s="294"/>
      <c r="E273" s="294"/>
      <c r="AB273" s="188"/>
      <c r="BC273" s="510">
        <v>138</v>
      </c>
      <c r="BS273" s="367"/>
    </row>
    <row r="274" spans="2:71" ht="13">
      <c r="B274" s="294"/>
      <c r="C274" s="294"/>
      <c r="D274" s="294"/>
      <c r="E274" s="294"/>
      <c r="AB274" s="188"/>
      <c r="BC274" s="510">
        <v>139</v>
      </c>
      <c r="BS274" s="367"/>
    </row>
    <row r="275" spans="2:71" ht="13">
      <c r="B275" s="294"/>
      <c r="C275" s="294"/>
      <c r="D275" s="294"/>
      <c r="E275" s="294"/>
      <c r="AB275" s="188"/>
      <c r="BC275" s="510">
        <v>140</v>
      </c>
      <c r="BS275" s="367"/>
    </row>
    <row r="276" spans="2:71" ht="13">
      <c r="B276" s="294"/>
      <c r="C276" s="294"/>
      <c r="D276" s="294"/>
      <c r="E276" s="294"/>
      <c r="AB276" s="188"/>
      <c r="BC276" s="512">
        <v>141</v>
      </c>
      <c r="BD276" s="369"/>
      <c r="BE276" s="369"/>
      <c r="BF276" s="369"/>
      <c r="BG276" s="369"/>
      <c r="BH276" s="369"/>
      <c r="BI276" s="369"/>
      <c r="BJ276" s="369"/>
      <c r="BK276" s="369"/>
      <c r="BL276" s="369"/>
      <c r="BM276" s="369"/>
      <c r="BN276" s="369"/>
      <c r="BO276" s="369"/>
      <c r="BP276" s="369"/>
      <c r="BQ276" s="369"/>
      <c r="BR276" s="369"/>
      <c r="BS276" s="370"/>
    </row>
    <row r="277" spans="2:71" ht="13">
      <c r="B277" s="294"/>
      <c r="C277" s="294"/>
      <c r="D277" s="294"/>
      <c r="E277" s="294"/>
      <c r="AB277" s="188"/>
    </row>
    <row r="278" spans="2:71" ht="13">
      <c r="B278" s="294"/>
      <c r="C278" s="294"/>
      <c r="D278" s="294"/>
      <c r="E278" s="294"/>
      <c r="AB278" s="188"/>
    </row>
    <row r="279" spans="2:71" ht="13">
      <c r="B279" s="294"/>
      <c r="C279" s="294"/>
      <c r="D279" s="294"/>
      <c r="E279" s="294"/>
      <c r="AB279" s="188"/>
      <c r="BC279" s="371"/>
      <c r="BD279" s="372">
        <v>1</v>
      </c>
      <c r="BE279" s="372">
        <v>2</v>
      </c>
      <c r="BF279" s="372">
        <v>3</v>
      </c>
      <c r="BG279" s="372">
        <v>4</v>
      </c>
      <c r="BH279" s="372">
        <v>5</v>
      </c>
      <c r="BI279" s="372">
        <v>6</v>
      </c>
      <c r="BJ279" s="372">
        <v>7</v>
      </c>
      <c r="BK279" s="372">
        <v>8</v>
      </c>
      <c r="BL279" s="372">
        <v>9</v>
      </c>
      <c r="BM279" s="372">
        <v>10</v>
      </c>
      <c r="BN279" s="372">
        <v>11</v>
      </c>
      <c r="BO279" s="372">
        <v>12</v>
      </c>
      <c r="BP279" s="372">
        <v>13</v>
      </c>
      <c r="BQ279" s="372">
        <v>14</v>
      </c>
      <c r="BR279" s="372">
        <v>15</v>
      </c>
      <c r="BS279" s="373">
        <v>16</v>
      </c>
    </row>
    <row r="280" spans="2:71" ht="13">
      <c r="B280" s="294"/>
      <c r="C280" s="294"/>
      <c r="D280" s="294"/>
      <c r="E280" s="294"/>
      <c r="AB280" s="188"/>
      <c r="BC280" s="374"/>
      <c r="BF280" s="357">
        <v>45658</v>
      </c>
      <c r="BG280" s="357">
        <v>45689</v>
      </c>
      <c r="BH280" s="357">
        <v>45717</v>
      </c>
      <c r="BI280" s="357">
        <v>45748</v>
      </c>
      <c r="BJ280" s="357">
        <v>45778</v>
      </c>
      <c r="BK280" s="357">
        <v>45809</v>
      </c>
      <c r="BL280" s="357">
        <v>45839</v>
      </c>
      <c r="BM280" s="357">
        <v>45870</v>
      </c>
      <c r="BN280" s="357">
        <v>45901</v>
      </c>
      <c r="BO280" s="357">
        <v>45931</v>
      </c>
      <c r="BP280" s="357">
        <v>45962</v>
      </c>
      <c r="BQ280" s="357">
        <v>45992</v>
      </c>
      <c r="BR280" s="357"/>
      <c r="BS280" s="375"/>
    </row>
    <row r="281" spans="2:71" ht="13">
      <c r="B281" s="294"/>
      <c r="C281" s="294"/>
      <c r="D281" s="294"/>
      <c r="E281" s="294"/>
      <c r="AB281" s="188"/>
      <c r="BC281" s="374"/>
      <c r="BD281" s="376"/>
      <c r="BE281" s="377" t="s">
        <v>241</v>
      </c>
      <c r="BF281" s="360">
        <v>45658</v>
      </c>
      <c r="BG281" s="360">
        <v>45689</v>
      </c>
      <c r="BH281" s="360"/>
      <c r="BI281" s="360"/>
      <c r="BJ281" s="360"/>
      <c r="BK281" s="360"/>
      <c r="BL281" s="360"/>
      <c r="BM281" s="360"/>
      <c r="BN281" s="360"/>
      <c r="BO281" s="360"/>
      <c r="BP281" s="360"/>
      <c r="BQ281" s="360"/>
      <c r="BR281" s="357"/>
      <c r="BS281" s="375"/>
    </row>
    <row r="282" spans="2:71" ht="13">
      <c r="B282" s="294"/>
      <c r="C282" s="294"/>
      <c r="D282" s="294"/>
      <c r="E282" s="294"/>
      <c r="AB282" s="188"/>
      <c r="BC282" s="374"/>
      <c r="BD282" s="359" t="s">
        <v>241</v>
      </c>
      <c r="BE282" s="361"/>
      <c r="BF282" s="361"/>
      <c r="BG282" s="361"/>
      <c r="BH282" s="361"/>
      <c r="BI282" s="361"/>
      <c r="BJ282" s="361"/>
      <c r="BK282" s="361"/>
      <c r="BL282" s="361"/>
      <c r="BM282" s="361"/>
      <c r="BN282" s="361"/>
      <c r="BO282" s="361"/>
      <c r="BP282" s="361"/>
      <c r="BQ282" s="361"/>
      <c r="BR282" s="361"/>
      <c r="BS282" s="378"/>
    </row>
    <row r="283" spans="2:71" ht="13">
      <c r="B283" s="294"/>
      <c r="C283" s="294"/>
      <c r="D283" s="294"/>
      <c r="E283" s="294"/>
      <c r="AB283" s="188"/>
      <c r="BC283" s="374">
        <v>1</v>
      </c>
      <c r="BD283" s="359"/>
      <c r="BE283" s="361"/>
      <c r="BF283" s="361"/>
      <c r="BG283" s="361"/>
      <c r="BH283" s="361"/>
      <c r="BI283" s="361"/>
      <c r="BJ283" s="361"/>
      <c r="BK283" s="361"/>
      <c r="BL283" s="361"/>
      <c r="BM283" s="361"/>
      <c r="BN283" s="361"/>
      <c r="BO283" s="361"/>
      <c r="BP283" s="361"/>
      <c r="BQ283" s="361"/>
      <c r="BR283" s="361"/>
      <c r="BS283" s="378"/>
    </row>
    <row r="284" spans="2:71" ht="13">
      <c r="B284" s="294"/>
      <c r="C284" s="294"/>
      <c r="D284" s="294"/>
      <c r="E284" s="294"/>
      <c r="AB284" s="188"/>
      <c r="BC284" s="374">
        <v>2</v>
      </c>
      <c r="BD284" s="359"/>
      <c r="BE284" s="361"/>
      <c r="BF284" s="361"/>
      <c r="BG284" s="361"/>
      <c r="BH284" s="361"/>
      <c r="BI284" s="361"/>
      <c r="BJ284" s="361"/>
      <c r="BK284" s="361"/>
      <c r="BL284" s="361"/>
      <c r="BM284" s="361"/>
      <c r="BN284" s="361"/>
      <c r="BO284" s="361"/>
      <c r="BP284" s="361"/>
      <c r="BQ284" s="361"/>
      <c r="BR284" s="361"/>
      <c r="BS284" s="378"/>
    </row>
    <row r="285" spans="2:71" ht="13">
      <c r="B285" s="294"/>
      <c r="C285" s="294"/>
      <c r="D285" s="294"/>
      <c r="E285" s="294"/>
      <c r="AB285" s="188"/>
      <c r="BC285" s="374">
        <v>3</v>
      </c>
      <c r="BD285" s="359"/>
      <c r="BE285" s="361"/>
      <c r="BF285" s="361"/>
      <c r="BG285" s="361"/>
      <c r="BH285" s="361"/>
      <c r="BI285" s="361"/>
      <c r="BJ285" s="361"/>
      <c r="BK285" s="361"/>
      <c r="BL285" s="361"/>
      <c r="BM285" s="361"/>
      <c r="BN285" s="361"/>
      <c r="BO285" s="361"/>
      <c r="BP285" s="361"/>
      <c r="BQ285" s="361"/>
      <c r="BR285" s="361"/>
      <c r="BS285" s="378"/>
    </row>
    <row r="286" spans="2:71" ht="13">
      <c r="B286" s="294"/>
      <c r="C286" s="294"/>
      <c r="D286" s="294"/>
      <c r="E286" s="294"/>
      <c r="AB286" s="188"/>
      <c r="BC286" s="374">
        <v>4</v>
      </c>
      <c r="BD286" s="359"/>
      <c r="BE286" s="361"/>
      <c r="BF286" s="361"/>
      <c r="BG286" s="361"/>
      <c r="BH286" s="361"/>
      <c r="BI286" s="361"/>
      <c r="BJ286" s="361"/>
      <c r="BK286" s="361"/>
      <c r="BL286" s="361"/>
      <c r="BM286" s="361"/>
      <c r="BN286" s="361"/>
      <c r="BO286" s="361"/>
      <c r="BP286" s="361"/>
      <c r="BQ286" s="361"/>
      <c r="BR286" s="361"/>
      <c r="BS286" s="378"/>
    </row>
    <row r="287" spans="2:71" ht="13">
      <c r="B287" s="294"/>
      <c r="C287" s="294"/>
      <c r="D287" s="294"/>
      <c r="E287" s="294"/>
      <c r="AB287" s="188"/>
      <c r="BC287" s="374">
        <v>5</v>
      </c>
      <c r="BD287" s="359"/>
      <c r="BE287" s="361"/>
      <c r="BF287" s="361"/>
      <c r="BG287" s="361"/>
      <c r="BH287" s="361"/>
      <c r="BI287" s="361"/>
      <c r="BJ287" s="361"/>
      <c r="BK287" s="361"/>
      <c r="BL287" s="361"/>
      <c r="BM287" s="361"/>
      <c r="BN287" s="361"/>
      <c r="BO287" s="361"/>
      <c r="BP287" s="361"/>
      <c r="BQ287" s="361"/>
      <c r="BR287" s="361"/>
      <c r="BS287" s="378"/>
    </row>
    <row r="288" spans="2:71" ht="13">
      <c r="B288" s="294"/>
      <c r="C288" s="294"/>
      <c r="D288" s="294"/>
      <c r="E288" s="294"/>
      <c r="AB288" s="188"/>
      <c r="BC288" s="374">
        <v>6</v>
      </c>
      <c r="BD288" s="359"/>
      <c r="BE288" s="361"/>
      <c r="BF288" s="361"/>
      <c r="BG288" s="361"/>
      <c r="BH288" s="361"/>
      <c r="BI288" s="361"/>
      <c r="BJ288" s="361"/>
      <c r="BK288" s="361"/>
      <c r="BL288" s="361"/>
      <c r="BM288" s="361"/>
      <c r="BN288" s="361"/>
      <c r="BO288" s="361"/>
      <c r="BP288" s="361"/>
      <c r="BQ288" s="361"/>
      <c r="BR288" s="361"/>
      <c r="BS288" s="378"/>
    </row>
    <row r="289" spans="2:71" ht="13">
      <c r="B289" s="294"/>
      <c r="C289" s="294"/>
      <c r="D289" s="294"/>
      <c r="E289" s="294"/>
      <c r="AB289" s="188"/>
      <c r="BC289" s="374">
        <v>7</v>
      </c>
      <c r="BD289" s="359"/>
      <c r="BE289" s="361"/>
      <c r="BF289" s="361"/>
      <c r="BG289" s="361"/>
      <c r="BH289" s="361"/>
      <c r="BI289" s="361"/>
      <c r="BJ289" s="361"/>
      <c r="BK289" s="361"/>
      <c r="BL289" s="361"/>
      <c r="BM289" s="361"/>
      <c r="BN289" s="361"/>
      <c r="BO289" s="361"/>
      <c r="BP289" s="361"/>
      <c r="BQ289" s="361"/>
      <c r="BR289" s="361"/>
      <c r="BS289" s="378"/>
    </row>
    <row r="290" spans="2:71" ht="13">
      <c r="B290" s="294"/>
      <c r="C290" s="294"/>
      <c r="D290" s="294"/>
      <c r="E290" s="294"/>
      <c r="AB290" s="188"/>
      <c r="BC290" s="374">
        <v>8</v>
      </c>
      <c r="BD290" s="359"/>
      <c r="BE290" s="361"/>
      <c r="BF290" s="361"/>
      <c r="BG290" s="361"/>
      <c r="BH290" s="361"/>
      <c r="BI290" s="361"/>
      <c r="BJ290" s="361"/>
      <c r="BK290" s="361"/>
      <c r="BL290" s="361"/>
      <c r="BM290" s="361"/>
      <c r="BN290" s="361"/>
      <c r="BO290" s="361"/>
      <c r="BP290" s="361"/>
      <c r="BQ290" s="361"/>
      <c r="BR290" s="361"/>
      <c r="BS290" s="378"/>
    </row>
    <row r="291" spans="2:71" ht="13">
      <c r="B291" s="294"/>
      <c r="C291" s="294"/>
      <c r="D291" s="294"/>
      <c r="E291" s="294"/>
      <c r="AB291" s="188"/>
      <c r="BC291" s="374">
        <v>9</v>
      </c>
      <c r="BD291" s="359"/>
      <c r="BE291" s="361"/>
      <c r="BF291" s="361"/>
      <c r="BG291" s="361"/>
      <c r="BH291" s="361"/>
      <c r="BI291" s="361"/>
      <c r="BJ291" s="361"/>
      <c r="BK291" s="361"/>
      <c r="BL291" s="361"/>
      <c r="BM291" s="361"/>
      <c r="BN291" s="361"/>
      <c r="BO291" s="361"/>
      <c r="BP291" s="361"/>
      <c r="BQ291" s="361"/>
      <c r="BR291" s="361"/>
      <c r="BS291" s="378"/>
    </row>
    <row r="292" spans="2:71" ht="13">
      <c r="B292" s="294"/>
      <c r="C292" s="294"/>
      <c r="D292" s="294"/>
      <c r="E292" s="294"/>
      <c r="AB292" s="188"/>
      <c r="BC292" s="374">
        <v>10</v>
      </c>
      <c r="BD292" s="359"/>
      <c r="BE292" s="361"/>
      <c r="BF292" s="361"/>
      <c r="BG292" s="361"/>
      <c r="BH292" s="361"/>
      <c r="BI292" s="361"/>
      <c r="BJ292" s="361"/>
      <c r="BK292" s="361"/>
      <c r="BL292" s="361"/>
      <c r="BM292" s="361"/>
      <c r="BN292" s="361"/>
      <c r="BO292" s="361"/>
      <c r="BP292" s="361"/>
      <c r="BQ292" s="361"/>
      <c r="BR292" s="361"/>
      <c r="BS292" s="378"/>
    </row>
    <row r="293" spans="2:71" ht="13">
      <c r="B293" s="294"/>
      <c r="C293" s="294"/>
      <c r="D293" s="294"/>
      <c r="E293" s="294"/>
      <c r="AB293" s="188"/>
      <c r="BC293" s="374">
        <v>11</v>
      </c>
      <c r="BD293" s="359"/>
      <c r="BE293" s="361"/>
      <c r="BF293" s="361"/>
      <c r="BG293" s="361"/>
      <c r="BH293" s="361"/>
      <c r="BI293" s="361"/>
      <c r="BJ293" s="361"/>
      <c r="BK293" s="361"/>
      <c r="BL293" s="361"/>
      <c r="BM293" s="361"/>
      <c r="BN293" s="361"/>
      <c r="BO293" s="361"/>
      <c r="BP293" s="361"/>
      <c r="BQ293" s="361"/>
      <c r="BR293" s="361"/>
      <c r="BS293" s="378"/>
    </row>
    <row r="294" spans="2:71" ht="13">
      <c r="B294" s="294"/>
      <c r="C294" s="294"/>
      <c r="D294" s="294"/>
      <c r="E294" s="294"/>
      <c r="AB294" s="188"/>
      <c r="BC294" s="374">
        <v>12</v>
      </c>
      <c r="BD294" s="359"/>
      <c r="BE294" s="361"/>
      <c r="BF294" s="361"/>
      <c r="BG294" s="361"/>
      <c r="BH294" s="361"/>
      <c r="BI294" s="361"/>
      <c r="BJ294" s="361"/>
      <c r="BK294" s="361"/>
      <c r="BL294" s="361"/>
      <c r="BM294" s="361"/>
      <c r="BN294" s="361"/>
      <c r="BO294" s="361"/>
      <c r="BP294" s="361"/>
      <c r="BQ294" s="361"/>
      <c r="BR294" s="361"/>
      <c r="BS294" s="378"/>
    </row>
    <row r="295" spans="2:71" ht="13">
      <c r="B295" s="294"/>
      <c r="C295" s="294"/>
      <c r="D295" s="294"/>
      <c r="E295" s="294"/>
      <c r="AB295" s="188"/>
      <c r="BC295" s="374">
        <v>13</v>
      </c>
      <c r="BD295" s="359"/>
      <c r="BE295" s="361"/>
      <c r="BF295" s="361"/>
      <c r="BG295" s="361"/>
      <c r="BH295" s="361"/>
      <c r="BI295" s="361"/>
      <c r="BJ295" s="361"/>
      <c r="BK295" s="361"/>
      <c r="BL295" s="361"/>
      <c r="BM295" s="361"/>
      <c r="BN295" s="361"/>
      <c r="BO295" s="361"/>
      <c r="BP295" s="361"/>
      <c r="BQ295" s="361"/>
      <c r="BR295" s="361"/>
      <c r="BS295" s="378"/>
    </row>
    <row r="296" spans="2:71" ht="13">
      <c r="B296" s="294"/>
      <c r="C296" s="294"/>
      <c r="D296" s="294"/>
      <c r="E296" s="294"/>
      <c r="AB296" s="188"/>
      <c r="BC296" s="374">
        <v>14</v>
      </c>
      <c r="BD296" s="359"/>
      <c r="BE296" s="361"/>
      <c r="BF296" s="361"/>
      <c r="BG296" s="361"/>
      <c r="BH296" s="361"/>
      <c r="BI296" s="361"/>
      <c r="BJ296" s="361"/>
      <c r="BK296" s="361"/>
      <c r="BL296" s="361"/>
      <c r="BM296" s="361"/>
      <c r="BN296" s="361"/>
      <c r="BO296" s="361"/>
      <c r="BP296" s="361"/>
      <c r="BQ296" s="361"/>
      <c r="BR296" s="361"/>
      <c r="BS296" s="378"/>
    </row>
    <row r="297" spans="2:71" ht="13">
      <c r="B297" s="294"/>
      <c r="C297" s="294"/>
      <c r="D297" s="294"/>
      <c r="E297" s="294"/>
      <c r="AB297" s="188"/>
      <c r="BC297" s="374">
        <v>15</v>
      </c>
      <c r="BD297" s="359"/>
      <c r="BE297" s="361"/>
      <c r="BF297" s="361"/>
      <c r="BG297" s="361"/>
      <c r="BH297" s="365"/>
      <c r="BI297" s="365"/>
      <c r="BJ297" s="365"/>
      <c r="BK297" s="365"/>
      <c r="BL297" s="365"/>
      <c r="BM297" s="365"/>
      <c r="BN297" s="365"/>
      <c r="BO297" s="365"/>
      <c r="BP297" s="365"/>
      <c r="BQ297" s="365"/>
      <c r="BR297" s="365"/>
      <c r="BS297" s="379"/>
    </row>
    <row r="298" spans="2:71" ht="13">
      <c r="B298" s="294"/>
      <c r="C298" s="294"/>
      <c r="D298" s="294"/>
      <c r="E298" s="294"/>
      <c r="AB298" s="188"/>
      <c r="BC298" s="374">
        <v>16</v>
      </c>
      <c r="BD298" s="359"/>
      <c r="BE298" s="361"/>
      <c r="BF298" s="361"/>
      <c r="BG298" s="361"/>
      <c r="BH298" s="361"/>
      <c r="BI298" s="361"/>
      <c r="BJ298" s="361"/>
      <c r="BK298" s="361"/>
      <c r="BL298" s="361"/>
      <c r="BM298" s="361"/>
      <c r="BN298" s="361"/>
      <c r="BO298" s="361"/>
      <c r="BP298" s="361"/>
      <c r="BQ298" s="361"/>
      <c r="BR298" s="361"/>
      <c r="BS298" s="378"/>
    </row>
    <row r="299" spans="2:71" ht="13">
      <c r="B299" s="294"/>
      <c r="C299" s="294"/>
      <c r="D299" s="294"/>
      <c r="E299" s="294"/>
      <c r="AB299" s="188"/>
      <c r="BC299" s="374">
        <v>17</v>
      </c>
      <c r="BD299" s="359"/>
      <c r="BE299" s="361"/>
      <c r="BF299" s="361"/>
      <c r="BG299" s="361"/>
      <c r="BH299" s="361"/>
      <c r="BI299" s="361"/>
      <c r="BJ299" s="361"/>
      <c r="BK299" s="361"/>
      <c r="BL299" s="361"/>
      <c r="BM299" s="361"/>
      <c r="BN299" s="361"/>
      <c r="BO299" s="361"/>
      <c r="BP299" s="361"/>
      <c r="BQ299" s="361"/>
      <c r="BR299" s="361"/>
      <c r="BS299" s="378"/>
    </row>
    <row r="300" spans="2:71" ht="13">
      <c r="B300" s="294"/>
      <c r="C300" s="294"/>
      <c r="D300" s="294"/>
      <c r="E300" s="294"/>
      <c r="AB300" s="188"/>
      <c r="BC300" s="374">
        <v>18</v>
      </c>
      <c r="BD300" s="359"/>
      <c r="BE300" s="361"/>
      <c r="BF300" s="361"/>
      <c r="BG300" s="361"/>
      <c r="BH300" s="361"/>
      <c r="BI300" s="361"/>
      <c r="BJ300" s="361"/>
      <c r="BK300" s="361"/>
      <c r="BL300" s="361"/>
      <c r="BM300" s="361"/>
      <c r="BN300" s="361"/>
      <c r="BO300" s="361"/>
      <c r="BP300" s="361"/>
      <c r="BQ300" s="361"/>
      <c r="BR300" s="361"/>
      <c r="BS300" s="378"/>
    </row>
    <row r="301" spans="2:71" ht="13">
      <c r="B301" s="294"/>
      <c r="C301" s="294"/>
      <c r="D301" s="294"/>
      <c r="E301" s="294"/>
      <c r="AB301" s="188"/>
      <c r="BC301" s="374">
        <v>19</v>
      </c>
      <c r="BD301" s="359"/>
      <c r="BE301" s="361"/>
      <c r="BF301" s="361"/>
      <c r="BG301" s="361"/>
      <c r="BH301" s="361"/>
      <c r="BI301" s="361"/>
      <c r="BJ301" s="361"/>
      <c r="BK301" s="361"/>
      <c r="BL301" s="361"/>
      <c r="BM301" s="361"/>
      <c r="BN301" s="361"/>
      <c r="BO301" s="361"/>
      <c r="BP301" s="361"/>
      <c r="BQ301" s="361"/>
      <c r="BR301" s="361"/>
      <c r="BS301" s="378"/>
    </row>
    <row r="302" spans="2:71" ht="13">
      <c r="B302" s="294"/>
      <c r="C302" s="294"/>
      <c r="D302" s="294"/>
      <c r="E302" s="294"/>
      <c r="AB302" s="188"/>
      <c r="BC302" s="374">
        <v>20</v>
      </c>
      <c r="BD302" s="359"/>
      <c r="BE302" s="361"/>
      <c r="BF302" s="361"/>
      <c r="BG302" s="361"/>
      <c r="BH302" s="361"/>
      <c r="BI302" s="361"/>
      <c r="BJ302" s="361"/>
      <c r="BK302" s="361"/>
      <c r="BL302" s="361"/>
      <c r="BM302" s="361"/>
      <c r="BN302" s="361"/>
      <c r="BO302" s="361"/>
      <c r="BP302" s="361"/>
      <c r="BQ302" s="361"/>
      <c r="BR302" s="361"/>
      <c r="BS302" s="378"/>
    </row>
    <row r="303" spans="2:71" ht="13">
      <c r="B303" s="294"/>
      <c r="C303" s="294"/>
      <c r="D303" s="294"/>
      <c r="E303" s="294"/>
      <c r="AB303" s="188"/>
      <c r="BC303" s="374">
        <v>21</v>
      </c>
      <c r="BD303" s="359"/>
      <c r="BE303" s="361"/>
      <c r="BF303" s="361"/>
      <c r="BG303" s="361"/>
      <c r="BH303" s="361"/>
      <c r="BI303" s="361"/>
      <c r="BJ303" s="361"/>
      <c r="BK303" s="361"/>
      <c r="BL303" s="361"/>
      <c r="BM303" s="361"/>
      <c r="BN303" s="361"/>
      <c r="BO303" s="361"/>
      <c r="BP303" s="361"/>
      <c r="BQ303" s="361"/>
      <c r="BR303" s="361"/>
      <c r="BS303" s="378"/>
    </row>
    <row r="304" spans="2:71" ht="13">
      <c r="B304" s="294"/>
      <c r="C304" s="294"/>
      <c r="D304" s="294"/>
      <c r="E304" s="294"/>
      <c r="AB304" s="188"/>
      <c r="BC304" s="374">
        <v>22</v>
      </c>
      <c r="BD304" s="359"/>
      <c r="BE304" s="361"/>
      <c r="BF304" s="361"/>
      <c r="BG304" s="361"/>
      <c r="BH304" s="361"/>
      <c r="BI304" s="361"/>
      <c r="BJ304" s="361"/>
      <c r="BK304" s="361"/>
      <c r="BL304" s="361"/>
      <c r="BM304" s="361"/>
      <c r="BN304" s="361"/>
      <c r="BO304" s="361"/>
      <c r="BP304" s="361"/>
      <c r="BQ304" s="361"/>
      <c r="BR304" s="361"/>
      <c r="BS304" s="378"/>
    </row>
    <row r="305" spans="2:71" ht="13">
      <c r="B305" s="294"/>
      <c r="C305" s="294"/>
      <c r="D305" s="294"/>
      <c r="E305" s="294"/>
      <c r="AB305" s="188"/>
      <c r="BC305" s="374">
        <v>23</v>
      </c>
      <c r="BD305" s="359"/>
      <c r="BE305" s="361"/>
      <c r="BF305" s="361"/>
      <c r="BG305" s="361"/>
      <c r="BH305" s="361"/>
      <c r="BI305" s="361"/>
      <c r="BJ305" s="361"/>
      <c r="BK305" s="361"/>
      <c r="BL305" s="361"/>
      <c r="BM305" s="361"/>
      <c r="BN305" s="361"/>
      <c r="BO305" s="361"/>
      <c r="BP305" s="361"/>
      <c r="BQ305" s="361"/>
      <c r="BR305" s="361"/>
      <c r="BS305" s="378"/>
    </row>
    <row r="306" spans="2:71" ht="13">
      <c r="B306" s="294"/>
      <c r="C306" s="294"/>
      <c r="D306" s="294"/>
      <c r="E306" s="294"/>
      <c r="AB306" s="188"/>
      <c r="BC306" s="374">
        <v>24</v>
      </c>
      <c r="BD306" s="359"/>
      <c r="BE306" s="361"/>
      <c r="BF306" s="361"/>
      <c r="BG306" s="361"/>
      <c r="BH306" s="361"/>
      <c r="BI306" s="361"/>
      <c r="BJ306" s="361"/>
      <c r="BK306" s="361"/>
      <c r="BL306" s="361"/>
      <c r="BM306" s="361"/>
      <c r="BN306" s="361"/>
      <c r="BO306" s="361"/>
      <c r="BP306" s="361"/>
      <c r="BQ306" s="361"/>
      <c r="BR306" s="361"/>
      <c r="BS306" s="378"/>
    </row>
    <row r="307" spans="2:71" ht="13">
      <c r="B307" s="294"/>
      <c r="C307" s="294"/>
      <c r="D307" s="294"/>
      <c r="E307" s="294"/>
      <c r="AB307" s="188"/>
      <c r="BC307" s="374">
        <v>25</v>
      </c>
      <c r="BD307" s="359"/>
      <c r="BE307" s="361"/>
      <c r="BF307" s="361"/>
      <c r="BG307" s="361"/>
      <c r="BH307" s="365"/>
      <c r="BI307" s="365"/>
      <c r="BJ307" s="365"/>
      <c r="BK307" s="365"/>
      <c r="BL307" s="365"/>
      <c r="BM307" s="365"/>
      <c r="BN307" s="365"/>
      <c r="BO307" s="365"/>
      <c r="BP307" s="365"/>
      <c r="BQ307" s="365"/>
      <c r="BR307" s="365"/>
      <c r="BS307" s="379"/>
    </row>
    <row r="308" spans="2:71" ht="13">
      <c r="B308" s="294"/>
      <c r="C308" s="294"/>
      <c r="D308" s="294"/>
      <c r="E308" s="294"/>
      <c r="AB308" s="188"/>
      <c r="BC308" s="374">
        <v>26</v>
      </c>
      <c r="BD308" s="359"/>
      <c r="BE308" s="361"/>
      <c r="BF308" s="361"/>
      <c r="BG308" s="361"/>
      <c r="BH308" s="361"/>
      <c r="BI308" s="361"/>
      <c r="BJ308" s="361"/>
      <c r="BK308" s="361"/>
      <c r="BL308" s="361"/>
      <c r="BM308" s="361"/>
      <c r="BN308" s="361"/>
      <c r="BO308" s="361"/>
      <c r="BP308" s="361"/>
      <c r="BQ308" s="361"/>
      <c r="BR308" s="361"/>
      <c r="BS308" s="378"/>
    </row>
    <row r="309" spans="2:71" ht="13">
      <c r="B309" s="294"/>
      <c r="C309" s="294"/>
      <c r="D309" s="294"/>
      <c r="E309" s="294"/>
      <c r="AB309" s="188"/>
      <c r="BC309" s="374">
        <v>27</v>
      </c>
      <c r="BD309" s="359"/>
      <c r="BE309" s="361"/>
      <c r="BF309" s="361"/>
      <c r="BG309" s="361"/>
      <c r="BH309" s="361"/>
      <c r="BI309" s="361"/>
      <c r="BJ309" s="361"/>
      <c r="BK309" s="361"/>
      <c r="BL309" s="361"/>
      <c r="BM309" s="361"/>
      <c r="BN309" s="361"/>
      <c r="BO309" s="361"/>
      <c r="BP309" s="361"/>
      <c r="BQ309" s="361"/>
      <c r="BR309" s="361"/>
      <c r="BS309" s="378"/>
    </row>
    <row r="310" spans="2:71" ht="13">
      <c r="B310" s="294"/>
      <c r="C310" s="294"/>
      <c r="D310" s="294"/>
      <c r="E310" s="294"/>
      <c r="AB310" s="188"/>
      <c r="BC310" s="374">
        <v>28</v>
      </c>
      <c r="BD310" s="359"/>
      <c r="BE310" s="361"/>
      <c r="BF310" s="361"/>
      <c r="BG310" s="361"/>
      <c r="BH310" s="361"/>
      <c r="BI310" s="361"/>
      <c r="BJ310" s="361"/>
      <c r="BK310" s="361"/>
      <c r="BL310" s="361"/>
      <c r="BM310" s="361"/>
      <c r="BN310" s="361"/>
      <c r="BO310" s="361"/>
      <c r="BP310" s="361"/>
      <c r="BQ310" s="361"/>
      <c r="BR310" s="361"/>
      <c r="BS310" s="378"/>
    </row>
    <row r="311" spans="2:71" ht="13">
      <c r="B311" s="294"/>
      <c r="C311" s="294"/>
      <c r="D311" s="294"/>
      <c r="E311" s="294"/>
      <c r="AB311" s="188"/>
      <c r="BC311" s="374">
        <v>29</v>
      </c>
      <c r="BD311" s="359"/>
      <c r="BE311" s="361"/>
      <c r="BF311" s="361"/>
      <c r="BG311" s="361"/>
      <c r="BH311" s="365"/>
      <c r="BI311" s="365"/>
      <c r="BJ311" s="365"/>
      <c r="BK311" s="365"/>
      <c r="BL311" s="365"/>
      <c r="BM311" s="365"/>
      <c r="BN311" s="365"/>
      <c r="BO311" s="365"/>
      <c r="BP311" s="365"/>
      <c r="BQ311" s="365"/>
      <c r="BR311" s="365"/>
      <c r="BS311" s="379"/>
    </row>
    <row r="312" spans="2:71" ht="13">
      <c r="B312" s="294"/>
      <c r="C312" s="294"/>
      <c r="D312" s="294"/>
      <c r="E312" s="294"/>
      <c r="AB312" s="188"/>
      <c r="BC312" s="374">
        <v>30</v>
      </c>
      <c r="BD312" s="359"/>
      <c r="BE312" s="361"/>
      <c r="BF312" s="361"/>
      <c r="BG312" s="361"/>
      <c r="BH312" s="361"/>
      <c r="BI312" s="361"/>
      <c r="BJ312" s="361"/>
      <c r="BK312" s="361"/>
      <c r="BL312" s="361"/>
      <c r="BM312" s="361"/>
      <c r="BN312" s="361"/>
      <c r="BO312" s="361"/>
      <c r="BP312" s="361"/>
      <c r="BQ312" s="361"/>
      <c r="BR312" s="361"/>
      <c r="BS312" s="378"/>
    </row>
    <row r="313" spans="2:71" ht="13">
      <c r="B313" s="294"/>
      <c r="C313" s="294"/>
      <c r="D313" s="294"/>
      <c r="E313" s="294"/>
      <c r="AB313" s="188"/>
      <c r="BC313" s="374">
        <v>31</v>
      </c>
      <c r="BD313" s="359"/>
      <c r="BE313" s="361"/>
      <c r="BF313" s="361"/>
      <c r="BG313" s="361"/>
      <c r="BH313" s="361"/>
      <c r="BI313" s="361"/>
      <c r="BJ313" s="361"/>
      <c r="BK313" s="361"/>
      <c r="BL313" s="361"/>
      <c r="BM313" s="361"/>
      <c r="BN313" s="361"/>
      <c r="BO313" s="361"/>
      <c r="BP313" s="361"/>
      <c r="BQ313" s="361"/>
      <c r="BR313" s="361"/>
      <c r="BS313" s="378"/>
    </row>
    <row r="314" spans="2:71" ht="13">
      <c r="B314" s="294"/>
      <c r="C314" s="294"/>
      <c r="D314" s="294"/>
      <c r="E314" s="294"/>
      <c r="AB314" s="188"/>
      <c r="BC314" s="374">
        <v>32</v>
      </c>
      <c r="BD314" s="359"/>
      <c r="BE314" s="361"/>
      <c r="BF314" s="361"/>
      <c r="BG314" s="361"/>
      <c r="BH314" s="361"/>
      <c r="BI314" s="361"/>
      <c r="BJ314" s="361"/>
      <c r="BK314" s="361"/>
      <c r="BL314" s="361"/>
      <c r="BM314" s="361"/>
      <c r="BN314" s="361"/>
      <c r="BO314" s="361"/>
      <c r="BP314" s="361"/>
      <c r="BQ314" s="361"/>
      <c r="BR314" s="361"/>
      <c r="BS314" s="378"/>
    </row>
    <row r="315" spans="2:71" ht="13">
      <c r="B315" s="294"/>
      <c r="C315" s="294"/>
      <c r="D315" s="294"/>
      <c r="E315" s="294"/>
      <c r="AB315" s="188"/>
      <c r="BC315" s="374">
        <v>33</v>
      </c>
      <c r="BD315" s="359"/>
      <c r="BE315" s="361"/>
      <c r="BF315" s="361"/>
      <c r="BG315" s="361"/>
      <c r="BH315" s="365"/>
      <c r="BI315" s="365"/>
      <c r="BJ315" s="365"/>
      <c r="BK315" s="365"/>
      <c r="BL315" s="365"/>
      <c r="BM315" s="365"/>
      <c r="BN315" s="365"/>
      <c r="BO315" s="365"/>
      <c r="BP315" s="365"/>
      <c r="BQ315" s="365"/>
      <c r="BR315" s="365"/>
      <c r="BS315" s="379"/>
    </row>
    <row r="316" spans="2:71" ht="13">
      <c r="B316" s="294"/>
      <c r="C316" s="294"/>
      <c r="D316" s="294"/>
      <c r="E316" s="294"/>
      <c r="AB316" s="188"/>
      <c r="BC316" s="374">
        <v>34</v>
      </c>
      <c r="BD316" s="359"/>
      <c r="BE316" s="361"/>
      <c r="BF316" s="361"/>
      <c r="BG316" s="361"/>
      <c r="BH316" s="361"/>
      <c r="BI316" s="361"/>
      <c r="BJ316" s="361"/>
      <c r="BK316" s="361"/>
      <c r="BL316" s="361"/>
      <c r="BM316" s="361"/>
      <c r="BN316" s="361"/>
      <c r="BO316" s="361"/>
      <c r="BP316" s="361"/>
      <c r="BQ316" s="361"/>
      <c r="BR316" s="361"/>
      <c r="BS316" s="378"/>
    </row>
    <row r="317" spans="2:71" ht="13">
      <c r="B317" s="294"/>
      <c r="C317" s="294"/>
      <c r="D317" s="294"/>
      <c r="E317" s="294"/>
      <c r="AB317" s="188"/>
      <c r="BC317" s="374">
        <v>35</v>
      </c>
      <c r="BD317" s="359"/>
      <c r="BE317" s="361"/>
      <c r="BF317" s="361"/>
      <c r="BG317" s="361"/>
      <c r="BH317" s="361"/>
      <c r="BI317" s="361"/>
      <c r="BJ317" s="361"/>
      <c r="BK317" s="361"/>
      <c r="BL317" s="361"/>
      <c r="BM317" s="361"/>
      <c r="BN317" s="361"/>
      <c r="BO317" s="361"/>
      <c r="BP317" s="361"/>
      <c r="BQ317" s="361"/>
      <c r="BR317" s="361"/>
      <c r="BS317" s="378"/>
    </row>
    <row r="318" spans="2:71" ht="13">
      <c r="B318" s="294"/>
      <c r="C318" s="294"/>
      <c r="D318" s="294"/>
      <c r="E318" s="294"/>
      <c r="AB318" s="188"/>
      <c r="BC318" s="374">
        <v>36</v>
      </c>
      <c r="BD318" s="359"/>
      <c r="BE318" s="361"/>
      <c r="BF318" s="361"/>
      <c r="BG318" s="361"/>
      <c r="BH318" s="361"/>
      <c r="BI318" s="361"/>
      <c r="BJ318" s="361"/>
      <c r="BK318" s="361"/>
      <c r="BL318" s="361"/>
      <c r="BM318" s="361"/>
      <c r="BN318" s="361"/>
      <c r="BO318" s="361"/>
      <c r="BP318" s="361"/>
      <c r="BQ318" s="361"/>
      <c r="BR318" s="361"/>
      <c r="BS318" s="378"/>
    </row>
    <row r="319" spans="2:71" ht="13">
      <c r="B319" s="294"/>
      <c r="C319" s="294"/>
      <c r="D319" s="294"/>
      <c r="E319" s="294"/>
      <c r="AB319" s="188"/>
      <c r="BC319" s="374">
        <v>37</v>
      </c>
      <c r="BD319" s="359"/>
      <c r="BE319" s="361"/>
      <c r="BF319" s="361"/>
      <c r="BG319" s="361"/>
      <c r="BH319" s="361"/>
      <c r="BI319" s="361"/>
      <c r="BJ319" s="361"/>
      <c r="BK319" s="361"/>
      <c r="BL319" s="361"/>
      <c r="BM319" s="361"/>
      <c r="BN319" s="361"/>
      <c r="BO319" s="361"/>
      <c r="BP319" s="361"/>
      <c r="BQ319" s="361"/>
      <c r="BR319" s="361"/>
      <c r="BS319" s="378"/>
    </row>
    <row r="320" spans="2:71" ht="13">
      <c r="B320" s="294"/>
      <c r="C320" s="294"/>
      <c r="D320" s="294"/>
      <c r="E320" s="294"/>
      <c r="AB320" s="188"/>
      <c r="BC320" s="374">
        <v>38</v>
      </c>
      <c r="BD320" s="359"/>
      <c r="BE320" s="361"/>
      <c r="BF320" s="361"/>
      <c r="BG320" s="361"/>
      <c r="BH320" s="361"/>
      <c r="BI320" s="361"/>
      <c r="BJ320" s="361"/>
      <c r="BK320" s="361"/>
      <c r="BL320" s="361"/>
      <c r="BM320" s="361"/>
      <c r="BN320" s="361"/>
      <c r="BO320" s="361"/>
      <c r="BP320" s="361"/>
      <c r="BQ320" s="361"/>
      <c r="BR320" s="361"/>
      <c r="BS320" s="378"/>
    </row>
    <row r="321" spans="2:71" ht="13">
      <c r="B321" s="294"/>
      <c r="C321" s="294"/>
      <c r="D321" s="294"/>
      <c r="E321" s="294"/>
      <c r="AB321" s="188"/>
      <c r="BC321" s="374">
        <v>39</v>
      </c>
      <c r="BD321" s="359"/>
      <c r="BE321" s="361"/>
      <c r="BF321" s="361"/>
      <c r="BG321" s="361"/>
      <c r="BH321" s="361"/>
      <c r="BI321" s="361"/>
      <c r="BJ321" s="361"/>
      <c r="BK321" s="361"/>
      <c r="BL321" s="361"/>
      <c r="BM321" s="361"/>
      <c r="BN321" s="361"/>
      <c r="BO321" s="361"/>
      <c r="BP321" s="361"/>
      <c r="BQ321" s="361"/>
      <c r="BR321" s="361"/>
      <c r="BS321" s="378"/>
    </row>
    <row r="322" spans="2:71" ht="13">
      <c r="B322" s="294"/>
      <c r="C322" s="294"/>
      <c r="D322" s="294"/>
      <c r="E322" s="294"/>
      <c r="AB322" s="188"/>
      <c r="BC322" s="374">
        <v>40</v>
      </c>
      <c r="BD322" s="359"/>
      <c r="BE322" s="361"/>
      <c r="BF322" s="361"/>
      <c r="BG322" s="361"/>
      <c r="BH322" s="361"/>
      <c r="BI322" s="361"/>
      <c r="BJ322" s="361"/>
      <c r="BK322" s="361"/>
      <c r="BL322" s="361"/>
      <c r="BM322" s="361"/>
      <c r="BN322" s="361"/>
      <c r="BO322" s="361"/>
      <c r="BP322" s="361"/>
      <c r="BQ322" s="361"/>
      <c r="BR322" s="361"/>
      <c r="BS322" s="378"/>
    </row>
    <row r="323" spans="2:71" ht="13">
      <c r="B323" s="294"/>
      <c r="C323" s="294"/>
      <c r="D323" s="294"/>
      <c r="E323" s="294"/>
      <c r="AB323" s="188"/>
      <c r="BC323" s="374">
        <v>41</v>
      </c>
      <c r="BD323" s="359"/>
      <c r="BE323" s="361"/>
      <c r="BF323" s="361"/>
      <c r="BG323" s="361"/>
      <c r="BH323" s="361"/>
      <c r="BI323" s="361"/>
      <c r="BJ323" s="361"/>
      <c r="BK323" s="361"/>
      <c r="BL323" s="361"/>
      <c r="BM323" s="361"/>
      <c r="BN323" s="361"/>
      <c r="BO323" s="361"/>
      <c r="BP323" s="361"/>
      <c r="BQ323" s="361"/>
      <c r="BR323" s="361"/>
      <c r="BS323" s="378"/>
    </row>
    <row r="324" spans="2:71" ht="13">
      <c r="B324" s="294"/>
      <c r="C324" s="294"/>
      <c r="D324" s="294"/>
      <c r="E324" s="294"/>
      <c r="AB324" s="188"/>
      <c r="BC324" s="374">
        <v>42</v>
      </c>
      <c r="BD324" s="359"/>
      <c r="BE324" s="361"/>
      <c r="BF324" s="361"/>
      <c r="BG324" s="361"/>
      <c r="BH324" s="361"/>
      <c r="BI324" s="361"/>
      <c r="BJ324" s="361"/>
      <c r="BK324" s="361"/>
      <c r="BL324" s="361"/>
      <c r="BM324" s="361"/>
      <c r="BN324" s="361"/>
      <c r="BO324" s="361"/>
      <c r="BP324" s="361"/>
      <c r="BQ324" s="361"/>
      <c r="BR324" s="361"/>
      <c r="BS324" s="378"/>
    </row>
    <row r="325" spans="2:71" ht="13">
      <c r="B325" s="294"/>
      <c r="C325" s="294"/>
      <c r="D325" s="294"/>
      <c r="E325" s="294"/>
      <c r="AB325" s="188"/>
      <c r="BC325" s="374">
        <v>43</v>
      </c>
      <c r="BD325" s="359"/>
      <c r="BE325" s="361"/>
      <c r="BF325" s="361"/>
      <c r="BG325" s="361"/>
      <c r="BH325" s="365"/>
      <c r="BI325" s="365"/>
      <c r="BJ325" s="365"/>
      <c r="BK325" s="365"/>
      <c r="BL325" s="365"/>
      <c r="BM325" s="365"/>
      <c r="BN325" s="365"/>
      <c r="BO325" s="365"/>
      <c r="BP325" s="365"/>
      <c r="BQ325" s="365"/>
      <c r="BR325" s="365"/>
      <c r="BS325" s="379"/>
    </row>
    <row r="326" spans="2:71" ht="13">
      <c r="B326" s="294"/>
      <c r="C326" s="294"/>
      <c r="D326" s="294"/>
      <c r="E326" s="294"/>
      <c r="AB326" s="188"/>
      <c r="BC326" s="374">
        <v>44</v>
      </c>
      <c r="BD326" s="359"/>
      <c r="BE326" s="361"/>
      <c r="BF326" s="361"/>
      <c r="BG326" s="361"/>
      <c r="BH326" s="361"/>
      <c r="BI326" s="361"/>
      <c r="BJ326" s="361"/>
      <c r="BK326" s="361"/>
      <c r="BL326" s="361"/>
      <c r="BM326" s="361"/>
      <c r="BN326" s="361"/>
      <c r="BO326" s="361"/>
      <c r="BP326" s="361"/>
      <c r="BQ326" s="361"/>
      <c r="BR326" s="361"/>
      <c r="BS326" s="378"/>
    </row>
    <row r="327" spans="2:71" ht="13">
      <c r="B327" s="294"/>
      <c r="C327" s="294"/>
      <c r="D327" s="294"/>
      <c r="E327" s="294"/>
      <c r="AB327" s="188"/>
      <c r="BC327" s="374">
        <v>45</v>
      </c>
      <c r="BD327" s="359"/>
      <c r="BE327" s="361"/>
      <c r="BF327" s="361"/>
      <c r="BG327" s="361"/>
      <c r="BH327" s="365"/>
      <c r="BI327" s="365"/>
      <c r="BJ327" s="365"/>
      <c r="BK327" s="365"/>
      <c r="BL327" s="365"/>
      <c r="BM327" s="365"/>
      <c r="BN327" s="365"/>
      <c r="BO327" s="365"/>
      <c r="BP327" s="365"/>
      <c r="BQ327" s="365"/>
      <c r="BR327" s="365"/>
      <c r="BS327" s="379"/>
    </row>
    <row r="328" spans="2:71" ht="13">
      <c r="B328" s="294"/>
      <c r="C328" s="294"/>
      <c r="D328" s="294"/>
      <c r="E328" s="294"/>
      <c r="AB328" s="188"/>
      <c r="BC328" s="374">
        <v>46</v>
      </c>
      <c r="BD328" s="359"/>
      <c r="BE328" s="361"/>
      <c r="BF328" s="361"/>
      <c r="BG328" s="361"/>
      <c r="BH328" s="361"/>
      <c r="BI328" s="361"/>
      <c r="BJ328" s="361"/>
      <c r="BK328" s="361"/>
      <c r="BL328" s="361"/>
      <c r="BM328" s="361"/>
      <c r="BN328" s="361"/>
      <c r="BO328" s="361"/>
      <c r="BP328" s="361"/>
      <c r="BQ328" s="361"/>
      <c r="BR328" s="361"/>
      <c r="BS328" s="378"/>
    </row>
    <row r="329" spans="2:71" ht="13">
      <c r="B329" s="294"/>
      <c r="C329" s="294"/>
      <c r="D329" s="294"/>
      <c r="E329" s="294"/>
      <c r="AB329" s="188"/>
      <c r="BC329" s="374">
        <v>47</v>
      </c>
      <c r="BD329" s="359"/>
      <c r="BE329" s="361"/>
      <c r="BF329" s="361"/>
      <c r="BG329" s="361"/>
      <c r="BH329" s="361"/>
      <c r="BI329" s="361"/>
      <c r="BJ329" s="361"/>
      <c r="BK329" s="361"/>
      <c r="BL329" s="361"/>
      <c r="BM329" s="361"/>
      <c r="BN329" s="361"/>
      <c r="BO329" s="361"/>
      <c r="BP329" s="361"/>
      <c r="BQ329" s="361"/>
      <c r="BR329" s="361"/>
      <c r="BS329" s="378"/>
    </row>
    <row r="330" spans="2:71" ht="13">
      <c r="B330" s="294"/>
      <c r="C330" s="294"/>
      <c r="D330" s="294"/>
      <c r="E330" s="294"/>
      <c r="AB330" s="188"/>
      <c r="BC330" s="374">
        <v>48</v>
      </c>
      <c r="BD330" s="359"/>
      <c r="BE330" s="361"/>
      <c r="BF330" s="361"/>
      <c r="BG330" s="361"/>
      <c r="BH330" s="361"/>
      <c r="BI330" s="361"/>
      <c r="BJ330" s="361"/>
      <c r="BK330" s="361"/>
      <c r="BL330" s="361"/>
      <c r="BM330" s="361"/>
      <c r="BN330" s="361"/>
      <c r="BO330" s="361"/>
      <c r="BP330" s="361"/>
      <c r="BQ330" s="361"/>
      <c r="BR330" s="361"/>
      <c r="BS330" s="378"/>
    </row>
    <row r="331" spans="2:71" ht="13">
      <c r="B331" s="294"/>
      <c r="C331" s="294"/>
      <c r="D331" s="294"/>
      <c r="E331" s="294"/>
      <c r="AB331" s="188"/>
      <c r="BC331" s="374">
        <v>49</v>
      </c>
      <c r="BD331" s="359"/>
      <c r="BE331" s="361"/>
      <c r="BF331" s="361"/>
      <c r="BG331" s="361"/>
      <c r="BH331" s="361"/>
      <c r="BI331" s="361"/>
      <c r="BJ331" s="361"/>
      <c r="BK331" s="361"/>
      <c r="BL331" s="361"/>
      <c r="BM331" s="361"/>
      <c r="BN331" s="361"/>
      <c r="BO331" s="361"/>
      <c r="BP331" s="361"/>
      <c r="BQ331" s="361"/>
      <c r="BR331" s="361"/>
      <c r="BS331" s="378"/>
    </row>
    <row r="332" spans="2:71" ht="13">
      <c r="B332" s="294"/>
      <c r="C332" s="294"/>
      <c r="D332" s="294"/>
      <c r="E332" s="294"/>
      <c r="AB332" s="188"/>
      <c r="BC332" s="374">
        <v>50</v>
      </c>
      <c r="BD332" s="359"/>
      <c r="BE332" s="361"/>
      <c r="BF332" s="361"/>
      <c r="BG332" s="361"/>
      <c r="BH332" s="361"/>
      <c r="BI332" s="361"/>
      <c r="BJ332" s="361"/>
      <c r="BK332" s="361"/>
      <c r="BL332" s="361"/>
      <c r="BM332" s="361"/>
      <c r="BN332" s="361"/>
      <c r="BO332" s="361"/>
      <c r="BP332" s="361"/>
      <c r="BQ332" s="361"/>
      <c r="BR332" s="361"/>
      <c r="BS332" s="378"/>
    </row>
    <row r="333" spans="2:71" ht="13">
      <c r="B333" s="294"/>
      <c r="C333" s="294"/>
      <c r="D333" s="294"/>
      <c r="E333" s="294"/>
      <c r="AB333" s="188"/>
      <c r="BC333" s="374">
        <v>51</v>
      </c>
      <c r="BD333" s="359"/>
      <c r="BE333" s="361"/>
      <c r="BF333" s="361"/>
      <c r="BG333" s="361"/>
      <c r="BH333" s="365"/>
      <c r="BI333" s="365"/>
      <c r="BJ333" s="365"/>
      <c r="BK333" s="365"/>
      <c r="BL333" s="365"/>
      <c r="BM333" s="365"/>
      <c r="BN333" s="365"/>
      <c r="BO333" s="365"/>
      <c r="BP333" s="365"/>
      <c r="BQ333" s="365"/>
      <c r="BR333" s="365"/>
      <c r="BS333" s="379"/>
    </row>
    <row r="334" spans="2:71" ht="13">
      <c r="B334" s="294"/>
      <c r="C334" s="294"/>
      <c r="D334" s="294"/>
      <c r="E334" s="294"/>
      <c r="AB334" s="188"/>
      <c r="BC334" s="374">
        <v>52</v>
      </c>
      <c r="BD334" s="359"/>
      <c r="BE334" s="361"/>
      <c r="BF334" s="361"/>
      <c r="BG334" s="361"/>
      <c r="BH334" s="361"/>
      <c r="BI334" s="361"/>
      <c r="BJ334" s="361"/>
      <c r="BK334" s="361"/>
      <c r="BL334" s="361"/>
      <c r="BM334" s="361"/>
      <c r="BN334" s="361"/>
      <c r="BO334" s="361"/>
      <c r="BP334" s="361"/>
      <c r="BQ334" s="361"/>
      <c r="BR334" s="361"/>
      <c r="BS334" s="378"/>
    </row>
    <row r="335" spans="2:71" ht="13">
      <c r="B335" s="294"/>
      <c r="C335" s="294"/>
      <c r="D335" s="294"/>
      <c r="E335" s="294"/>
      <c r="AB335" s="188"/>
      <c r="BC335" s="374">
        <v>53</v>
      </c>
      <c r="BD335" s="359"/>
      <c r="BE335" s="361"/>
      <c r="BF335" s="361"/>
      <c r="BG335" s="361"/>
      <c r="BH335" s="361"/>
      <c r="BI335" s="361"/>
      <c r="BJ335" s="361"/>
      <c r="BK335" s="361"/>
      <c r="BL335" s="361"/>
      <c r="BM335" s="361"/>
      <c r="BN335" s="361"/>
      <c r="BO335" s="361"/>
      <c r="BP335" s="361"/>
      <c r="BQ335" s="361"/>
      <c r="BR335" s="361"/>
      <c r="BS335" s="378"/>
    </row>
    <row r="336" spans="2:71" ht="13">
      <c r="B336" s="294"/>
      <c r="C336" s="294"/>
      <c r="D336" s="294"/>
      <c r="E336" s="294"/>
      <c r="AB336" s="188"/>
      <c r="BC336" s="374">
        <v>54</v>
      </c>
      <c r="BD336" s="359"/>
      <c r="BE336" s="361"/>
      <c r="BF336" s="361"/>
      <c r="BG336" s="361"/>
      <c r="BH336" s="361"/>
      <c r="BI336" s="361"/>
      <c r="BJ336" s="361"/>
      <c r="BK336" s="361"/>
      <c r="BL336" s="361"/>
      <c r="BM336" s="361"/>
      <c r="BN336" s="361"/>
      <c r="BO336" s="361"/>
      <c r="BP336" s="361"/>
      <c r="BQ336" s="361"/>
      <c r="BR336" s="361"/>
      <c r="BS336" s="378"/>
    </row>
    <row r="337" spans="2:71" ht="13">
      <c r="B337" s="294"/>
      <c r="C337" s="294"/>
      <c r="D337" s="294"/>
      <c r="E337" s="294"/>
      <c r="AB337" s="188"/>
      <c r="BC337" s="374">
        <v>55</v>
      </c>
      <c r="BD337" s="359"/>
      <c r="BE337" s="361"/>
      <c r="BF337" s="361"/>
      <c r="BG337" s="361"/>
      <c r="BH337" s="365"/>
      <c r="BI337" s="365"/>
      <c r="BJ337" s="365"/>
      <c r="BK337" s="365"/>
      <c r="BL337" s="365"/>
      <c r="BM337" s="365"/>
      <c r="BN337" s="365"/>
      <c r="BO337" s="365"/>
      <c r="BP337" s="365"/>
      <c r="BQ337" s="365"/>
      <c r="BR337" s="365"/>
      <c r="BS337" s="379"/>
    </row>
    <row r="338" spans="2:71" ht="13">
      <c r="B338" s="294"/>
      <c r="C338" s="294"/>
      <c r="D338" s="294"/>
      <c r="E338" s="294"/>
      <c r="AB338" s="188"/>
      <c r="BC338" s="374">
        <v>56</v>
      </c>
      <c r="BD338" s="359"/>
      <c r="BE338" s="361"/>
      <c r="BF338" s="361"/>
      <c r="BG338" s="361"/>
      <c r="BH338" s="365"/>
      <c r="BI338" s="365"/>
      <c r="BJ338" s="365"/>
      <c r="BK338" s="365"/>
      <c r="BL338" s="365"/>
      <c r="BM338" s="365"/>
      <c r="BN338" s="365"/>
      <c r="BO338" s="365"/>
      <c r="BP338" s="365"/>
      <c r="BQ338" s="365"/>
      <c r="BR338" s="365"/>
      <c r="BS338" s="379"/>
    </row>
    <row r="339" spans="2:71" ht="13">
      <c r="B339" s="294"/>
      <c r="C339" s="294"/>
      <c r="D339" s="294"/>
      <c r="E339" s="294"/>
      <c r="AB339" s="188"/>
      <c r="BC339" s="374">
        <v>57</v>
      </c>
      <c r="BD339" s="359"/>
      <c r="BE339" s="361"/>
      <c r="BF339" s="361"/>
      <c r="BG339" s="361"/>
      <c r="BH339" s="361"/>
      <c r="BI339" s="361"/>
      <c r="BJ339" s="361"/>
      <c r="BK339" s="361"/>
      <c r="BL339" s="361"/>
      <c r="BM339" s="361"/>
      <c r="BN339" s="361"/>
      <c r="BO339" s="361"/>
      <c r="BP339" s="361"/>
      <c r="BQ339" s="361"/>
      <c r="BR339" s="361"/>
      <c r="BS339" s="378"/>
    </row>
    <row r="340" spans="2:71" ht="13">
      <c r="B340" s="294"/>
      <c r="C340" s="294"/>
      <c r="D340" s="294"/>
      <c r="E340" s="294"/>
      <c r="AB340" s="188"/>
      <c r="BC340" s="374">
        <v>58</v>
      </c>
      <c r="BD340" s="359"/>
      <c r="BE340" s="361"/>
      <c r="BF340" s="361"/>
      <c r="BG340" s="361"/>
      <c r="BH340" s="361"/>
      <c r="BI340" s="361"/>
      <c r="BJ340" s="361"/>
      <c r="BK340" s="361"/>
      <c r="BL340" s="361"/>
      <c r="BM340" s="361"/>
      <c r="BN340" s="361"/>
      <c r="BO340" s="361"/>
      <c r="BP340" s="361"/>
      <c r="BQ340" s="361"/>
      <c r="BR340" s="361"/>
      <c r="BS340" s="378"/>
    </row>
    <row r="341" spans="2:71" ht="13">
      <c r="B341" s="294"/>
      <c r="C341" s="294"/>
      <c r="D341" s="294"/>
      <c r="E341" s="294"/>
      <c r="AB341" s="188"/>
      <c r="BC341" s="374">
        <v>59</v>
      </c>
      <c r="BD341" s="359"/>
      <c r="BE341" s="361"/>
      <c r="BF341" s="361"/>
      <c r="BG341" s="361"/>
      <c r="BH341" s="361"/>
      <c r="BI341" s="361"/>
      <c r="BJ341" s="361"/>
      <c r="BK341" s="361"/>
      <c r="BL341" s="361"/>
      <c r="BM341" s="361"/>
      <c r="BN341" s="361"/>
      <c r="BO341" s="361"/>
      <c r="BP341" s="361"/>
      <c r="BQ341" s="361"/>
      <c r="BR341" s="361"/>
      <c r="BS341" s="378"/>
    </row>
    <row r="342" spans="2:71" ht="13">
      <c r="B342" s="294"/>
      <c r="C342" s="294"/>
      <c r="D342" s="294"/>
      <c r="E342" s="294"/>
      <c r="AB342" s="188"/>
      <c r="BC342" s="374">
        <v>60</v>
      </c>
      <c r="BD342" s="359"/>
      <c r="BE342" s="361"/>
      <c r="BF342" s="361"/>
      <c r="BG342" s="361"/>
      <c r="BH342" s="361"/>
      <c r="BI342" s="361"/>
      <c r="BJ342" s="361"/>
      <c r="BK342" s="361"/>
      <c r="BL342" s="361"/>
      <c r="BM342" s="361"/>
      <c r="BN342" s="361"/>
      <c r="BO342" s="361"/>
      <c r="BP342" s="361"/>
      <c r="BQ342" s="361"/>
      <c r="BR342" s="361"/>
      <c r="BS342" s="378"/>
    </row>
    <row r="343" spans="2:71" ht="13">
      <c r="B343" s="294"/>
      <c r="C343" s="294"/>
      <c r="D343" s="294"/>
      <c r="E343" s="294"/>
      <c r="AB343" s="188"/>
      <c r="BC343" s="374">
        <v>61</v>
      </c>
      <c r="BD343" s="359"/>
      <c r="BE343" s="361"/>
      <c r="BF343" s="361"/>
      <c r="BG343" s="361"/>
      <c r="BH343" s="361"/>
      <c r="BI343" s="361"/>
      <c r="BJ343" s="361"/>
      <c r="BK343" s="361"/>
      <c r="BL343" s="361"/>
      <c r="BM343" s="361"/>
      <c r="BN343" s="361"/>
      <c r="BO343" s="361"/>
      <c r="BP343" s="361"/>
      <c r="BQ343" s="361"/>
      <c r="BR343" s="361"/>
      <c r="BS343" s="378"/>
    </row>
    <row r="344" spans="2:71" ht="13">
      <c r="B344" s="294"/>
      <c r="C344" s="294"/>
      <c r="D344" s="294"/>
      <c r="E344" s="294"/>
      <c r="AB344" s="188"/>
      <c r="BC344" s="374">
        <v>62</v>
      </c>
      <c r="BD344" s="359"/>
      <c r="BE344" s="361"/>
      <c r="BF344" s="361"/>
      <c r="BG344" s="361"/>
      <c r="BH344" s="361"/>
      <c r="BI344" s="361"/>
      <c r="BJ344" s="361"/>
      <c r="BK344" s="361"/>
      <c r="BL344" s="361"/>
      <c r="BM344" s="361"/>
      <c r="BN344" s="361"/>
      <c r="BO344" s="361"/>
      <c r="BP344" s="361"/>
      <c r="BQ344" s="361"/>
      <c r="BR344" s="361"/>
      <c r="BS344" s="378"/>
    </row>
    <row r="345" spans="2:71" ht="13">
      <c r="B345" s="294"/>
      <c r="C345" s="294"/>
      <c r="D345" s="294"/>
      <c r="E345" s="294"/>
      <c r="AB345" s="188"/>
      <c r="BC345" s="374">
        <v>63</v>
      </c>
      <c r="BD345" s="359"/>
      <c r="BE345" s="361"/>
      <c r="BF345" s="361"/>
      <c r="BG345" s="361"/>
      <c r="BH345" s="361"/>
      <c r="BI345" s="361"/>
      <c r="BJ345" s="361"/>
      <c r="BK345" s="361"/>
      <c r="BL345" s="361"/>
      <c r="BM345" s="361"/>
      <c r="BN345" s="361"/>
      <c r="BO345" s="361"/>
      <c r="BP345" s="361"/>
      <c r="BQ345" s="361"/>
      <c r="BR345" s="361"/>
      <c r="BS345" s="378"/>
    </row>
    <row r="346" spans="2:71" ht="13">
      <c r="B346" s="294"/>
      <c r="C346" s="294"/>
      <c r="D346" s="294"/>
      <c r="E346" s="294"/>
      <c r="AB346" s="188"/>
      <c r="BC346" s="374">
        <v>64</v>
      </c>
      <c r="BD346" s="359"/>
      <c r="BE346" s="361"/>
      <c r="BF346" s="361"/>
      <c r="BG346" s="365"/>
      <c r="BH346" s="365"/>
      <c r="BI346" s="365"/>
      <c r="BJ346" s="365"/>
      <c r="BK346" s="365"/>
      <c r="BL346" s="365"/>
      <c r="BM346" s="365"/>
      <c r="BN346" s="365"/>
      <c r="BO346" s="365"/>
      <c r="BP346" s="365"/>
      <c r="BQ346" s="365"/>
      <c r="BR346" s="365"/>
      <c r="BS346" s="379"/>
    </row>
    <row r="347" spans="2:71" ht="13">
      <c r="B347" s="294"/>
      <c r="C347" s="294"/>
      <c r="D347" s="294"/>
      <c r="E347" s="294"/>
      <c r="AB347" s="188"/>
      <c r="BC347" s="374">
        <v>65</v>
      </c>
      <c r="BD347" s="359"/>
      <c r="BE347" s="361"/>
      <c r="BF347" s="361"/>
      <c r="BG347" s="361"/>
      <c r="BH347" s="361"/>
      <c r="BI347" s="361"/>
      <c r="BJ347" s="361"/>
      <c r="BK347" s="361"/>
      <c r="BL347" s="361"/>
      <c r="BM347" s="361"/>
      <c r="BN347" s="361"/>
      <c r="BO347" s="361"/>
      <c r="BP347" s="361"/>
      <c r="BQ347" s="361"/>
      <c r="BR347" s="361"/>
      <c r="BS347" s="378"/>
    </row>
    <row r="348" spans="2:71" ht="13">
      <c r="B348" s="294"/>
      <c r="C348" s="294"/>
      <c r="D348" s="294"/>
      <c r="E348" s="294"/>
      <c r="AB348" s="188"/>
      <c r="BC348" s="374">
        <v>66</v>
      </c>
      <c r="BD348" s="359"/>
      <c r="BE348" s="361"/>
      <c r="BF348" s="361"/>
      <c r="BG348" s="361"/>
      <c r="BH348" s="361"/>
      <c r="BI348" s="361"/>
      <c r="BJ348" s="361"/>
      <c r="BK348" s="361"/>
      <c r="BL348" s="361"/>
      <c r="BM348" s="361"/>
      <c r="BN348" s="361"/>
      <c r="BO348" s="361"/>
      <c r="BP348" s="361"/>
      <c r="BQ348" s="361"/>
      <c r="BR348" s="361"/>
      <c r="BS348" s="378"/>
    </row>
    <row r="349" spans="2:71" ht="13">
      <c r="B349" s="294"/>
      <c r="C349" s="294"/>
      <c r="D349" s="294"/>
      <c r="E349" s="294"/>
      <c r="AB349" s="188"/>
      <c r="BC349" s="374">
        <v>67</v>
      </c>
      <c r="BD349" s="359"/>
      <c r="BE349" s="361"/>
      <c r="BF349" s="361"/>
      <c r="BG349" s="361"/>
      <c r="BH349" s="361"/>
      <c r="BI349" s="361"/>
      <c r="BJ349" s="361"/>
      <c r="BK349" s="361"/>
      <c r="BL349" s="361"/>
      <c r="BM349" s="361"/>
      <c r="BN349" s="361"/>
      <c r="BO349" s="361"/>
      <c r="BP349" s="361"/>
      <c r="BQ349" s="361"/>
      <c r="BR349" s="361"/>
      <c r="BS349" s="378"/>
    </row>
    <row r="350" spans="2:71" ht="13">
      <c r="B350" s="294"/>
      <c r="C350" s="294"/>
      <c r="D350" s="294"/>
      <c r="E350" s="294"/>
      <c r="AB350" s="188"/>
      <c r="BC350" s="374">
        <v>68</v>
      </c>
      <c r="BD350" s="359"/>
      <c r="BE350" s="361"/>
      <c r="BF350" s="361"/>
      <c r="BG350" s="361"/>
      <c r="BH350" s="365"/>
      <c r="BI350" s="365"/>
      <c r="BJ350" s="365"/>
      <c r="BK350" s="365"/>
      <c r="BL350" s="365"/>
      <c r="BM350" s="365"/>
      <c r="BN350" s="365"/>
      <c r="BO350" s="365"/>
      <c r="BP350" s="365"/>
      <c r="BQ350" s="365"/>
      <c r="BR350" s="365"/>
      <c r="BS350" s="379"/>
    </row>
    <row r="351" spans="2:71" ht="13">
      <c r="B351" s="294"/>
      <c r="C351" s="294"/>
      <c r="D351" s="294"/>
      <c r="E351" s="294"/>
      <c r="AB351" s="188"/>
      <c r="BC351" s="374">
        <v>69</v>
      </c>
      <c r="BD351" s="359"/>
      <c r="BE351" s="361"/>
      <c r="BF351" s="361"/>
      <c r="BG351" s="361"/>
      <c r="BH351" s="361"/>
      <c r="BI351" s="361"/>
      <c r="BJ351" s="361"/>
      <c r="BK351" s="361"/>
      <c r="BL351" s="361"/>
      <c r="BM351" s="361"/>
      <c r="BN351" s="361"/>
      <c r="BO351" s="361"/>
      <c r="BP351" s="361"/>
      <c r="BQ351" s="361"/>
      <c r="BR351" s="361"/>
      <c r="BS351" s="378"/>
    </row>
    <row r="352" spans="2:71" ht="13">
      <c r="B352" s="294"/>
      <c r="C352" s="294"/>
      <c r="D352" s="294"/>
      <c r="E352" s="294"/>
      <c r="AB352" s="188"/>
      <c r="BC352" s="374">
        <v>70</v>
      </c>
      <c r="BD352" s="359"/>
      <c r="BE352" s="361"/>
      <c r="BF352" s="361"/>
      <c r="BG352" s="361"/>
      <c r="BH352" s="361"/>
      <c r="BI352" s="361"/>
      <c r="BJ352" s="361"/>
      <c r="BK352" s="361"/>
      <c r="BL352" s="361"/>
      <c r="BM352" s="361"/>
      <c r="BN352" s="361"/>
      <c r="BO352" s="361"/>
      <c r="BP352" s="361"/>
      <c r="BQ352" s="361"/>
      <c r="BR352" s="361"/>
      <c r="BS352" s="378"/>
    </row>
    <row r="353" spans="2:71" ht="13">
      <c r="B353" s="294"/>
      <c r="C353" s="294"/>
      <c r="D353" s="294"/>
      <c r="E353" s="294"/>
      <c r="AB353" s="188"/>
      <c r="BC353" s="374">
        <v>71</v>
      </c>
      <c r="BD353" s="359"/>
      <c r="BE353" s="361"/>
      <c r="BF353" s="365"/>
      <c r="BG353" s="361"/>
      <c r="BH353" s="361"/>
      <c r="BI353" s="361"/>
      <c r="BJ353" s="361"/>
      <c r="BK353" s="361"/>
      <c r="BL353" s="361"/>
      <c r="BM353" s="361"/>
      <c r="BN353" s="361"/>
      <c r="BO353" s="361"/>
      <c r="BP353" s="361"/>
      <c r="BQ353" s="361"/>
      <c r="BR353" s="361"/>
      <c r="BS353" s="378"/>
    </row>
    <row r="354" spans="2:71" ht="13">
      <c r="B354" s="294"/>
      <c r="C354" s="294"/>
      <c r="D354" s="294"/>
      <c r="E354" s="294"/>
      <c r="AB354" s="188"/>
      <c r="BC354" s="374">
        <v>72</v>
      </c>
      <c r="BD354" s="359"/>
      <c r="BE354" s="361"/>
      <c r="BF354" s="361"/>
      <c r="BG354" s="361"/>
      <c r="BH354" s="361"/>
      <c r="BI354" s="361"/>
      <c r="BJ354" s="361"/>
      <c r="BK354" s="361"/>
      <c r="BL354" s="361"/>
      <c r="BM354" s="361"/>
      <c r="BN354" s="361"/>
      <c r="BO354" s="361"/>
      <c r="BP354" s="361"/>
      <c r="BQ354" s="361"/>
      <c r="BR354" s="361"/>
      <c r="BS354" s="378"/>
    </row>
    <row r="355" spans="2:71" ht="13">
      <c r="B355" s="294"/>
      <c r="C355" s="294"/>
      <c r="D355" s="294"/>
      <c r="E355" s="294"/>
      <c r="AB355" s="188"/>
      <c r="BC355" s="374">
        <v>73</v>
      </c>
      <c r="BD355" s="359"/>
      <c r="BE355" s="361"/>
      <c r="BF355" s="361"/>
      <c r="BG355" s="361"/>
      <c r="BH355" s="361"/>
      <c r="BI355" s="361"/>
      <c r="BJ355" s="361"/>
      <c r="BK355" s="361"/>
      <c r="BL355" s="361"/>
      <c r="BM355" s="361"/>
      <c r="BN355" s="361"/>
      <c r="BO355" s="361"/>
      <c r="BP355" s="361"/>
      <c r="BQ355" s="361"/>
      <c r="BR355" s="361"/>
      <c r="BS355" s="378"/>
    </row>
    <row r="356" spans="2:71" ht="13">
      <c r="B356" s="294"/>
      <c r="C356" s="294"/>
      <c r="D356" s="294"/>
      <c r="E356" s="294"/>
      <c r="AB356" s="188"/>
      <c r="BC356" s="374">
        <v>74</v>
      </c>
      <c r="BD356" s="359"/>
      <c r="BE356" s="361"/>
      <c r="BF356" s="361"/>
      <c r="BG356" s="361"/>
      <c r="BH356" s="365"/>
      <c r="BI356" s="365"/>
      <c r="BJ356" s="365"/>
      <c r="BK356" s="365"/>
      <c r="BL356" s="365"/>
      <c r="BM356" s="365"/>
      <c r="BN356" s="365"/>
      <c r="BO356" s="365"/>
      <c r="BP356" s="365"/>
      <c r="BQ356" s="365"/>
      <c r="BR356" s="365"/>
      <c r="BS356" s="379"/>
    </row>
    <row r="357" spans="2:71" ht="13">
      <c r="B357" s="294"/>
      <c r="C357" s="294"/>
      <c r="D357" s="294"/>
      <c r="E357" s="294"/>
      <c r="AB357" s="188"/>
      <c r="BC357" s="374">
        <v>75</v>
      </c>
      <c r="BD357" s="359"/>
      <c r="BE357" s="361"/>
      <c r="BF357" s="361"/>
      <c r="BG357" s="361"/>
      <c r="BH357" s="361"/>
      <c r="BI357" s="361"/>
      <c r="BJ357" s="361"/>
      <c r="BK357" s="361"/>
      <c r="BL357" s="361"/>
      <c r="BM357" s="361"/>
      <c r="BN357" s="361"/>
      <c r="BO357" s="361"/>
      <c r="BP357" s="361"/>
      <c r="BQ357" s="361"/>
      <c r="BR357" s="361"/>
      <c r="BS357" s="378"/>
    </row>
    <row r="358" spans="2:71" ht="13">
      <c r="B358" s="294"/>
      <c r="C358" s="294"/>
      <c r="D358" s="294"/>
      <c r="E358" s="294"/>
      <c r="AB358" s="188"/>
      <c r="BC358" s="374">
        <v>76</v>
      </c>
      <c r="BD358" s="359"/>
      <c r="BE358" s="361"/>
      <c r="BF358" s="361"/>
      <c r="BG358" s="361"/>
      <c r="BH358" s="361"/>
      <c r="BI358" s="361"/>
      <c r="BJ358" s="361"/>
      <c r="BK358" s="361"/>
      <c r="BL358" s="361"/>
      <c r="BM358" s="361"/>
      <c r="BN358" s="361"/>
      <c r="BO358" s="361"/>
      <c r="BP358" s="361"/>
      <c r="BQ358" s="361"/>
      <c r="BR358" s="361"/>
      <c r="BS358" s="378"/>
    </row>
    <row r="359" spans="2:71" ht="13">
      <c r="B359" s="294"/>
      <c r="C359" s="294"/>
      <c r="D359" s="294"/>
      <c r="E359" s="294"/>
      <c r="AB359" s="188"/>
      <c r="BC359" s="374">
        <v>77</v>
      </c>
      <c r="BD359" s="359"/>
      <c r="BE359" s="361"/>
      <c r="BF359" s="361"/>
      <c r="BG359" s="361"/>
      <c r="BH359" s="361"/>
      <c r="BI359" s="361"/>
      <c r="BJ359" s="361"/>
      <c r="BK359" s="361"/>
      <c r="BL359" s="361"/>
      <c r="BM359" s="361"/>
      <c r="BN359" s="361"/>
      <c r="BO359" s="361"/>
      <c r="BP359" s="361"/>
      <c r="BQ359" s="361"/>
      <c r="BR359" s="361"/>
      <c r="BS359" s="378"/>
    </row>
    <row r="360" spans="2:71" ht="13">
      <c r="B360" s="294"/>
      <c r="C360" s="294"/>
      <c r="D360" s="294"/>
      <c r="E360" s="294"/>
      <c r="AB360" s="188"/>
      <c r="BC360" s="374">
        <v>78</v>
      </c>
      <c r="BD360" s="359"/>
      <c r="BE360" s="361"/>
      <c r="BF360" s="361"/>
      <c r="BG360" s="361"/>
      <c r="BH360" s="361"/>
      <c r="BI360" s="361"/>
      <c r="BJ360" s="361"/>
      <c r="BK360" s="361"/>
      <c r="BL360" s="361"/>
      <c r="BM360" s="361"/>
      <c r="BN360" s="361"/>
      <c r="BO360" s="361"/>
      <c r="BP360" s="361"/>
      <c r="BQ360" s="361"/>
      <c r="BR360" s="361"/>
      <c r="BS360" s="378"/>
    </row>
    <row r="361" spans="2:71" ht="13">
      <c r="B361" s="294"/>
      <c r="C361" s="294"/>
      <c r="D361" s="294"/>
      <c r="E361" s="294"/>
      <c r="AB361" s="188"/>
      <c r="BC361" s="374">
        <v>79</v>
      </c>
      <c r="BD361" s="359"/>
      <c r="BE361" s="361"/>
      <c r="BF361" s="361"/>
      <c r="BG361" s="365"/>
      <c r="BH361" s="365"/>
      <c r="BI361" s="365"/>
      <c r="BJ361" s="365"/>
      <c r="BK361" s="365"/>
      <c r="BL361" s="365"/>
      <c r="BM361" s="365"/>
      <c r="BN361" s="365"/>
      <c r="BO361" s="365"/>
      <c r="BP361" s="365"/>
      <c r="BQ361" s="365"/>
      <c r="BR361" s="365"/>
      <c r="BS361" s="379"/>
    </row>
    <row r="362" spans="2:71" ht="13">
      <c r="B362" s="294"/>
      <c r="C362" s="294"/>
      <c r="D362" s="294"/>
      <c r="E362" s="294"/>
      <c r="AB362" s="188"/>
      <c r="BC362" s="374">
        <v>80</v>
      </c>
      <c r="BD362" s="359"/>
      <c r="BE362" s="361"/>
      <c r="BF362" s="361"/>
      <c r="BG362" s="361"/>
      <c r="BH362" s="361"/>
      <c r="BI362" s="361"/>
      <c r="BJ362" s="361"/>
      <c r="BK362" s="361"/>
      <c r="BL362" s="361"/>
      <c r="BM362" s="361"/>
      <c r="BN362" s="361"/>
      <c r="BO362" s="361"/>
      <c r="BP362" s="361"/>
      <c r="BQ362" s="361"/>
      <c r="BR362" s="361"/>
      <c r="BS362" s="378"/>
    </row>
    <row r="363" spans="2:71" ht="13">
      <c r="B363" s="294"/>
      <c r="C363" s="294"/>
      <c r="D363" s="294"/>
      <c r="E363" s="294"/>
      <c r="AB363" s="188"/>
      <c r="BC363" s="374">
        <v>81</v>
      </c>
      <c r="BD363" s="359"/>
      <c r="BE363" s="361"/>
      <c r="BF363" s="361"/>
      <c r="BG363" s="361"/>
      <c r="BH363" s="361"/>
      <c r="BI363" s="361"/>
      <c r="BJ363" s="361"/>
      <c r="BK363" s="361"/>
      <c r="BL363" s="361"/>
      <c r="BM363" s="361"/>
      <c r="BN363" s="361"/>
      <c r="BO363" s="361"/>
      <c r="BP363" s="361"/>
      <c r="BQ363" s="361"/>
      <c r="BR363" s="361"/>
      <c r="BS363" s="378"/>
    </row>
    <row r="364" spans="2:71" ht="13">
      <c r="B364" s="294"/>
      <c r="C364" s="294"/>
      <c r="D364" s="294"/>
      <c r="E364" s="294"/>
      <c r="AB364" s="188"/>
      <c r="BC364" s="374">
        <v>82</v>
      </c>
      <c r="BD364" s="359"/>
      <c r="BE364" s="361"/>
      <c r="BF364" s="361"/>
      <c r="BG364" s="365"/>
      <c r="BH364" s="365"/>
      <c r="BI364" s="365"/>
      <c r="BJ364" s="365"/>
      <c r="BK364" s="365"/>
      <c r="BL364" s="365"/>
      <c r="BM364" s="365"/>
      <c r="BN364" s="365"/>
      <c r="BO364" s="365"/>
      <c r="BP364" s="365"/>
      <c r="BQ364" s="365"/>
      <c r="BR364" s="365"/>
      <c r="BS364" s="379"/>
    </row>
    <row r="365" spans="2:71" ht="13">
      <c r="B365" s="294"/>
      <c r="C365" s="294"/>
      <c r="D365" s="294"/>
      <c r="E365" s="294"/>
      <c r="AB365" s="188"/>
      <c r="BC365" s="374">
        <v>83</v>
      </c>
      <c r="BD365" s="359"/>
      <c r="BE365" s="361"/>
      <c r="BF365" s="361"/>
      <c r="BG365" s="361"/>
      <c r="BH365" s="361"/>
      <c r="BI365" s="361"/>
      <c r="BJ365" s="361"/>
      <c r="BK365" s="361"/>
      <c r="BL365" s="361"/>
      <c r="BM365" s="361"/>
      <c r="BN365" s="361"/>
      <c r="BO365" s="361"/>
      <c r="BP365" s="361"/>
      <c r="BQ365" s="361"/>
      <c r="BR365" s="361"/>
      <c r="BS365" s="378"/>
    </row>
    <row r="366" spans="2:71" ht="13">
      <c r="B366" s="294"/>
      <c r="C366" s="294"/>
      <c r="D366" s="294"/>
      <c r="E366" s="294"/>
      <c r="AB366" s="188"/>
      <c r="BC366" s="374">
        <v>84</v>
      </c>
      <c r="BD366" s="359"/>
      <c r="BE366" s="361"/>
      <c r="BF366" s="361"/>
      <c r="BG366" s="361"/>
      <c r="BH366" s="365"/>
      <c r="BI366" s="365"/>
      <c r="BJ366" s="365"/>
      <c r="BK366" s="365"/>
      <c r="BL366" s="365"/>
      <c r="BM366" s="365"/>
      <c r="BN366" s="365"/>
      <c r="BO366" s="365"/>
      <c r="BP366" s="365"/>
      <c r="BQ366" s="365"/>
      <c r="BR366" s="365"/>
      <c r="BS366" s="379"/>
    </row>
    <row r="367" spans="2:71" ht="13">
      <c r="B367" s="294"/>
      <c r="C367" s="294"/>
      <c r="D367" s="294"/>
      <c r="E367" s="294"/>
      <c r="AB367" s="188"/>
      <c r="BC367" s="374">
        <v>85</v>
      </c>
      <c r="BD367" s="359"/>
      <c r="BE367" s="361"/>
      <c r="BF367" s="361"/>
      <c r="BG367" s="365"/>
      <c r="BH367" s="365"/>
      <c r="BI367" s="365"/>
      <c r="BJ367" s="365"/>
      <c r="BK367" s="365"/>
      <c r="BL367" s="365"/>
      <c r="BM367" s="365"/>
      <c r="BN367" s="365"/>
      <c r="BO367" s="365"/>
      <c r="BP367" s="365"/>
      <c r="BQ367" s="365"/>
      <c r="BR367" s="365"/>
      <c r="BS367" s="379"/>
    </row>
    <row r="368" spans="2:71" ht="13">
      <c r="B368" s="294"/>
      <c r="C368" s="294"/>
      <c r="D368" s="294"/>
      <c r="E368" s="294"/>
      <c r="AB368" s="188"/>
      <c r="BC368" s="374">
        <v>86</v>
      </c>
      <c r="BD368" s="359"/>
      <c r="BE368" s="361"/>
      <c r="BF368" s="361"/>
      <c r="BG368" s="365"/>
      <c r="BH368" s="365"/>
      <c r="BI368" s="365"/>
      <c r="BJ368" s="365"/>
      <c r="BK368" s="365"/>
      <c r="BL368" s="365"/>
      <c r="BM368" s="365"/>
      <c r="BN368" s="365"/>
      <c r="BO368" s="365"/>
      <c r="BP368" s="365"/>
      <c r="BQ368" s="365"/>
      <c r="BR368" s="365"/>
      <c r="BS368" s="379"/>
    </row>
    <row r="369" spans="2:71" ht="13">
      <c r="B369" s="294"/>
      <c r="C369" s="294"/>
      <c r="D369" s="294"/>
      <c r="E369" s="294"/>
      <c r="AB369" s="188"/>
      <c r="BC369" s="374">
        <v>87</v>
      </c>
      <c r="BD369" s="359"/>
      <c r="BE369" s="361"/>
      <c r="BF369" s="361"/>
      <c r="BG369" s="365"/>
      <c r="BH369" s="365"/>
      <c r="BI369" s="365"/>
      <c r="BJ369" s="365"/>
      <c r="BK369" s="365"/>
      <c r="BL369" s="365"/>
      <c r="BM369" s="365"/>
      <c r="BN369" s="365"/>
      <c r="BO369" s="365"/>
      <c r="BP369" s="365"/>
      <c r="BQ369" s="365"/>
      <c r="BR369" s="365"/>
      <c r="BS369" s="379"/>
    </row>
    <row r="370" spans="2:71" ht="13">
      <c r="B370" s="294"/>
      <c r="C370" s="294"/>
      <c r="D370" s="294"/>
      <c r="E370" s="294"/>
      <c r="AB370" s="188"/>
      <c r="BC370" s="374">
        <v>88</v>
      </c>
      <c r="BD370" s="359"/>
      <c r="BE370" s="361"/>
      <c r="BF370" s="365"/>
      <c r="BG370" s="361"/>
      <c r="BH370" s="361"/>
      <c r="BI370" s="361"/>
      <c r="BJ370" s="361"/>
      <c r="BK370" s="361"/>
      <c r="BL370" s="361"/>
      <c r="BM370" s="361"/>
      <c r="BN370" s="361"/>
      <c r="BO370" s="361"/>
      <c r="BP370" s="361"/>
      <c r="BQ370" s="361"/>
      <c r="BR370" s="361"/>
      <c r="BS370" s="378"/>
    </row>
    <row r="371" spans="2:71" ht="13">
      <c r="B371" s="294"/>
      <c r="C371" s="294"/>
      <c r="D371" s="294"/>
      <c r="E371" s="294"/>
      <c r="AB371" s="188"/>
      <c r="BC371" s="374">
        <v>89</v>
      </c>
      <c r="BS371" s="380"/>
    </row>
    <row r="372" spans="2:71" ht="13">
      <c r="B372" s="294"/>
      <c r="C372" s="294"/>
      <c r="D372" s="294"/>
      <c r="E372" s="294"/>
      <c r="AB372" s="188"/>
      <c r="BC372" s="374">
        <v>90</v>
      </c>
      <c r="BS372" s="380"/>
    </row>
    <row r="373" spans="2:71" ht="13">
      <c r="B373" s="294"/>
      <c r="C373" s="294"/>
      <c r="D373" s="294"/>
      <c r="E373" s="294"/>
      <c r="AB373" s="188"/>
      <c r="BC373" s="374">
        <v>91</v>
      </c>
      <c r="BS373" s="380"/>
    </row>
    <row r="374" spans="2:71" ht="13">
      <c r="B374" s="294"/>
      <c r="C374" s="294"/>
      <c r="D374" s="294"/>
      <c r="E374" s="294"/>
      <c r="AB374" s="188"/>
      <c r="BC374" s="374">
        <v>92</v>
      </c>
      <c r="BS374" s="380"/>
    </row>
    <row r="375" spans="2:71" ht="13">
      <c r="B375" s="294"/>
      <c r="C375" s="294"/>
      <c r="D375" s="294"/>
      <c r="E375" s="294"/>
      <c r="AB375" s="188"/>
      <c r="BC375" s="374">
        <v>93</v>
      </c>
      <c r="BS375" s="380"/>
    </row>
    <row r="376" spans="2:71" ht="13">
      <c r="B376" s="294"/>
      <c r="C376" s="294"/>
      <c r="D376" s="294"/>
      <c r="E376" s="294"/>
      <c r="AB376" s="188"/>
      <c r="BC376" s="374">
        <v>94</v>
      </c>
      <c r="BS376" s="380"/>
    </row>
    <row r="377" spans="2:71" ht="13">
      <c r="B377" s="294"/>
      <c r="C377" s="294"/>
      <c r="D377" s="294"/>
      <c r="E377" s="294"/>
      <c r="AB377" s="188"/>
      <c r="BC377" s="374">
        <v>95</v>
      </c>
      <c r="BS377" s="380"/>
    </row>
    <row r="378" spans="2:71" ht="13">
      <c r="B378" s="294"/>
      <c r="C378" s="294"/>
      <c r="D378" s="294"/>
      <c r="E378" s="294"/>
      <c r="AB378" s="188"/>
      <c r="BC378" s="374">
        <v>96</v>
      </c>
      <c r="BS378" s="380"/>
    </row>
    <row r="379" spans="2:71" ht="13">
      <c r="B379" s="294"/>
      <c r="C379" s="294"/>
      <c r="D379" s="294"/>
      <c r="E379" s="294"/>
      <c r="AB379" s="188"/>
      <c r="BC379" s="374">
        <v>97</v>
      </c>
      <c r="BS379" s="380"/>
    </row>
    <row r="380" spans="2:71" ht="13">
      <c r="B380" s="294"/>
      <c r="C380" s="294"/>
      <c r="D380" s="294"/>
      <c r="E380" s="294"/>
      <c r="AB380" s="188"/>
      <c r="BC380" s="374">
        <v>98</v>
      </c>
      <c r="BS380" s="380"/>
    </row>
    <row r="381" spans="2:71" ht="13">
      <c r="B381" s="294"/>
      <c r="C381" s="294"/>
      <c r="D381" s="294"/>
      <c r="E381" s="294"/>
      <c r="AB381" s="188"/>
      <c r="BC381" s="374">
        <v>99</v>
      </c>
      <c r="BS381" s="380"/>
    </row>
    <row r="382" spans="2:71" ht="13">
      <c r="B382" s="294"/>
      <c r="C382" s="294"/>
      <c r="D382" s="294"/>
      <c r="E382" s="294"/>
      <c r="AB382" s="188"/>
      <c r="BC382" s="374">
        <v>100</v>
      </c>
      <c r="BS382" s="380"/>
    </row>
    <row r="383" spans="2:71" ht="13">
      <c r="B383" s="294"/>
      <c r="C383" s="294"/>
      <c r="D383" s="294"/>
      <c r="E383" s="294"/>
      <c r="AB383" s="188"/>
      <c r="BC383" s="374">
        <v>101</v>
      </c>
      <c r="BS383" s="380"/>
    </row>
    <row r="384" spans="2:71" ht="13">
      <c r="B384" s="294"/>
      <c r="C384" s="294"/>
      <c r="D384" s="294"/>
      <c r="E384" s="294"/>
      <c r="AB384" s="188"/>
      <c r="BC384" s="374">
        <v>102</v>
      </c>
      <c r="BS384" s="380"/>
    </row>
    <row r="385" spans="2:71" ht="13">
      <c r="B385" s="294"/>
      <c r="C385" s="294"/>
      <c r="D385" s="294"/>
      <c r="E385" s="294"/>
      <c r="AB385" s="188"/>
      <c r="BC385" s="374">
        <v>103</v>
      </c>
      <c r="BS385" s="380"/>
    </row>
    <row r="386" spans="2:71" ht="13">
      <c r="B386" s="294"/>
      <c r="C386" s="294"/>
      <c r="D386" s="294"/>
      <c r="E386" s="294"/>
      <c r="AB386" s="188"/>
      <c r="BC386" s="374">
        <v>104</v>
      </c>
      <c r="BS386" s="380"/>
    </row>
    <row r="387" spans="2:71" ht="13">
      <c r="B387" s="294"/>
      <c r="C387" s="294"/>
      <c r="D387" s="294"/>
      <c r="E387" s="294"/>
      <c r="AB387" s="188"/>
      <c r="BC387" s="374">
        <v>105</v>
      </c>
      <c r="BS387" s="380"/>
    </row>
    <row r="388" spans="2:71" ht="13">
      <c r="B388" s="294"/>
      <c r="C388" s="294"/>
      <c r="D388" s="294"/>
      <c r="E388" s="294"/>
      <c r="AB388" s="188"/>
      <c r="BC388" s="374">
        <v>106</v>
      </c>
      <c r="BS388" s="380"/>
    </row>
    <row r="389" spans="2:71" ht="13">
      <c r="B389" s="294"/>
      <c r="C389" s="294"/>
      <c r="D389" s="294"/>
      <c r="E389" s="294"/>
      <c r="AB389" s="188"/>
      <c r="BC389" s="374">
        <v>107</v>
      </c>
      <c r="BS389" s="380"/>
    </row>
    <row r="390" spans="2:71" ht="13">
      <c r="B390" s="294"/>
      <c r="C390" s="294"/>
      <c r="D390" s="294"/>
      <c r="E390" s="294"/>
      <c r="AB390" s="188"/>
      <c r="BC390" s="374">
        <v>108</v>
      </c>
      <c r="BS390" s="380"/>
    </row>
    <row r="391" spans="2:71" ht="13">
      <c r="B391" s="294"/>
      <c r="C391" s="294"/>
      <c r="D391" s="294"/>
      <c r="E391" s="294"/>
      <c r="AB391" s="188"/>
      <c r="BC391" s="374">
        <v>109</v>
      </c>
      <c r="BS391" s="380"/>
    </row>
    <row r="392" spans="2:71" ht="13">
      <c r="B392" s="294"/>
      <c r="C392" s="294"/>
      <c r="D392" s="294"/>
      <c r="E392" s="294"/>
      <c r="AB392" s="188"/>
      <c r="BC392" s="374">
        <v>110</v>
      </c>
      <c r="BS392" s="380"/>
    </row>
    <row r="393" spans="2:71" ht="13">
      <c r="B393" s="294"/>
      <c r="C393" s="294"/>
      <c r="D393" s="294"/>
      <c r="E393" s="294"/>
      <c r="AB393" s="188"/>
      <c r="BC393" s="374">
        <v>111</v>
      </c>
      <c r="BS393" s="380"/>
    </row>
    <row r="394" spans="2:71" ht="13">
      <c r="B394" s="294"/>
      <c r="C394" s="294"/>
      <c r="D394" s="294"/>
      <c r="E394" s="294"/>
      <c r="AB394" s="188"/>
      <c r="BC394" s="374">
        <v>112</v>
      </c>
      <c r="BS394" s="380"/>
    </row>
    <row r="395" spans="2:71" ht="13">
      <c r="B395" s="294"/>
      <c r="C395" s="294"/>
      <c r="D395" s="294"/>
      <c r="E395" s="294"/>
      <c r="AB395" s="188"/>
      <c r="BC395" s="374">
        <v>113</v>
      </c>
      <c r="BS395" s="380"/>
    </row>
    <row r="396" spans="2:71" ht="13">
      <c r="B396" s="294"/>
      <c r="C396" s="294"/>
      <c r="D396" s="294"/>
      <c r="E396" s="294"/>
      <c r="AB396" s="188"/>
      <c r="BC396" s="374">
        <v>114</v>
      </c>
      <c r="BS396" s="380"/>
    </row>
    <row r="397" spans="2:71" ht="13">
      <c r="B397" s="294"/>
      <c r="C397" s="294"/>
      <c r="D397" s="294"/>
      <c r="E397" s="294"/>
      <c r="AB397" s="188"/>
      <c r="BC397" s="374">
        <v>115</v>
      </c>
      <c r="BS397" s="380"/>
    </row>
    <row r="398" spans="2:71" ht="13">
      <c r="B398" s="294"/>
      <c r="C398" s="294"/>
      <c r="D398" s="294"/>
      <c r="E398" s="294"/>
      <c r="AB398" s="188"/>
      <c r="BC398" s="374">
        <v>116</v>
      </c>
      <c r="BS398" s="380"/>
    </row>
    <row r="399" spans="2:71" ht="13">
      <c r="B399" s="294"/>
      <c r="C399" s="294"/>
      <c r="D399" s="294"/>
      <c r="E399" s="294"/>
      <c r="AB399" s="188"/>
      <c r="BC399" s="374">
        <v>117</v>
      </c>
      <c r="BS399" s="380"/>
    </row>
    <row r="400" spans="2:71" ht="13">
      <c r="B400" s="294"/>
      <c r="C400" s="294"/>
      <c r="D400" s="294"/>
      <c r="E400" s="294"/>
      <c r="AB400" s="188"/>
      <c r="BC400" s="374">
        <v>118</v>
      </c>
      <c r="BS400" s="380"/>
    </row>
    <row r="401" spans="2:71" ht="13">
      <c r="B401" s="294"/>
      <c r="C401" s="294"/>
      <c r="D401" s="294"/>
      <c r="E401" s="294"/>
      <c r="AB401" s="188"/>
      <c r="BC401" s="374">
        <v>119</v>
      </c>
      <c r="BS401" s="380"/>
    </row>
    <row r="402" spans="2:71" ht="13">
      <c r="B402" s="294"/>
      <c r="C402" s="294"/>
      <c r="D402" s="294"/>
      <c r="E402" s="294"/>
      <c r="AB402" s="188"/>
      <c r="BC402" s="374">
        <v>120</v>
      </c>
      <c r="BS402" s="380"/>
    </row>
    <row r="403" spans="2:71" ht="13">
      <c r="B403" s="294"/>
      <c r="C403" s="294"/>
      <c r="D403" s="294"/>
      <c r="E403" s="294"/>
      <c r="AB403" s="188"/>
      <c r="BC403" s="374">
        <v>121</v>
      </c>
      <c r="BS403" s="380"/>
    </row>
    <row r="404" spans="2:71" ht="13">
      <c r="B404" s="294"/>
      <c r="C404" s="294"/>
      <c r="D404" s="294"/>
      <c r="E404" s="294"/>
      <c r="AB404" s="188"/>
      <c r="BC404" s="374">
        <v>122</v>
      </c>
      <c r="BS404" s="380"/>
    </row>
    <row r="405" spans="2:71" ht="13">
      <c r="B405" s="294"/>
      <c r="C405" s="294"/>
      <c r="D405" s="294"/>
      <c r="E405" s="294"/>
      <c r="AB405" s="188"/>
      <c r="BC405" s="374">
        <v>123</v>
      </c>
      <c r="BS405" s="380"/>
    </row>
    <row r="406" spans="2:71" ht="13">
      <c r="B406" s="294"/>
      <c r="C406" s="294"/>
      <c r="D406" s="294"/>
      <c r="E406" s="294"/>
      <c r="AB406" s="188"/>
      <c r="BC406" s="374">
        <v>124</v>
      </c>
      <c r="BS406" s="380"/>
    </row>
    <row r="407" spans="2:71" ht="13">
      <c r="B407" s="294"/>
      <c r="C407" s="294"/>
      <c r="D407" s="294"/>
      <c r="E407" s="294"/>
      <c r="AB407" s="188"/>
      <c r="BC407" s="374">
        <v>125</v>
      </c>
      <c r="BS407" s="380"/>
    </row>
    <row r="408" spans="2:71" ht="13">
      <c r="B408" s="294"/>
      <c r="C408" s="294"/>
      <c r="D408" s="294"/>
      <c r="E408" s="294"/>
      <c r="AB408" s="188"/>
      <c r="BC408" s="374">
        <v>126</v>
      </c>
      <c r="BS408" s="380"/>
    </row>
    <row r="409" spans="2:71" ht="13">
      <c r="B409" s="294"/>
      <c r="C409" s="294"/>
      <c r="D409" s="294"/>
      <c r="E409" s="294"/>
      <c r="AB409" s="188"/>
      <c r="BC409" s="374">
        <v>127</v>
      </c>
      <c r="BS409" s="380"/>
    </row>
    <row r="410" spans="2:71" ht="13">
      <c r="B410" s="294"/>
      <c r="C410" s="294"/>
      <c r="D410" s="294"/>
      <c r="E410" s="294"/>
      <c r="AB410" s="188"/>
      <c r="BC410" s="374">
        <v>128</v>
      </c>
      <c r="BS410" s="380"/>
    </row>
    <row r="411" spans="2:71" ht="13">
      <c r="B411" s="294"/>
      <c r="C411" s="294"/>
      <c r="D411" s="294"/>
      <c r="E411" s="294"/>
      <c r="AB411" s="188"/>
      <c r="BC411" s="374">
        <v>129</v>
      </c>
      <c r="BS411" s="380"/>
    </row>
    <row r="412" spans="2:71" ht="13">
      <c r="B412" s="294"/>
      <c r="C412" s="294"/>
      <c r="D412" s="294"/>
      <c r="E412" s="294"/>
      <c r="AB412" s="188"/>
      <c r="BC412" s="374">
        <v>130</v>
      </c>
      <c r="BS412" s="380"/>
    </row>
    <row r="413" spans="2:71" ht="13">
      <c r="B413" s="294"/>
      <c r="C413" s="294"/>
      <c r="D413" s="294"/>
      <c r="E413" s="294"/>
      <c r="AB413" s="188"/>
      <c r="BC413" s="374">
        <v>131</v>
      </c>
      <c r="BS413" s="380"/>
    </row>
    <row r="414" spans="2:71" ht="13">
      <c r="B414" s="294"/>
      <c r="C414" s="294"/>
      <c r="D414" s="294"/>
      <c r="E414" s="294"/>
      <c r="AB414" s="188"/>
      <c r="BC414" s="374">
        <v>132</v>
      </c>
      <c r="BS414" s="380"/>
    </row>
    <row r="415" spans="2:71" ht="13">
      <c r="B415" s="294"/>
      <c r="C415" s="294"/>
      <c r="D415" s="294"/>
      <c r="E415" s="294"/>
      <c r="AB415" s="188"/>
      <c r="BC415" s="374">
        <v>133</v>
      </c>
      <c r="BS415" s="380"/>
    </row>
    <row r="416" spans="2:71" ht="13">
      <c r="B416" s="294"/>
      <c r="C416" s="294"/>
      <c r="D416" s="294"/>
      <c r="E416" s="294"/>
      <c r="AB416" s="188"/>
      <c r="BC416" s="374">
        <v>134</v>
      </c>
      <c r="BS416" s="380"/>
    </row>
    <row r="417" spans="2:71" ht="13">
      <c r="B417" s="294"/>
      <c r="C417" s="294"/>
      <c r="D417" s="294"/>
      <c r="E417" s="294"/>
      <c r="AB417" s="188"/>
      <c r="BC417" s="374">
        <v>135</v>
      </c>
      <c r="BS417" s="380"/>
    </row>
    <row r="418" spans="2:71" ht="13">
      <c r="B418" s="294"/>
      <c r="C418" s="294"/>
      <c r="D418" s="294"/>
      <c r="E418" s="294"/>
      <c r="AB418" s="188"/>
      <c r="BC418" s="374">
        <v>136</v>
      </c>
      <c r="BS418" s="380"/>
    </row>
    <row r="419" spans="2:71" ht="13">
      <c r="B419" s="294"/>
      <c r="C419" s="294"/>
      <c r="D419" s="294"/>
      <c r="E419" s="294"/>
      <c r="AB419" s="188"/>
      <c r="BC419" s="374">
        <v>137</v>
      </c>
      <c r="BS419" s="380"/>
    </row>
    <row r="420" spans="2:71" ht="13">
      <c r="B420" s="294"/>
      <c r="C420" s="294"/>
      <c r="D420" s="294"/>
      <c r="E420" s="294"/>
      <c r="AB420" s="188"/>
      <c r="BC420" s="374">
        <v>138</v>
      </c>
      <c r="BS420" s="380"/>
    </row>
    <row r="421" spans="2:71" ht="13">
      <c r="B421" s="294"/>
      <c r="C421" s="294"/>
      <c r="D421" s="294"/>
      <c r="E421" s="294"/>
      <c r="AB421" s="188"/>
      <c r="BC421" s="374">
        <v>139</v>
      </c>
      <c r="BS421" s="380"/>
    </row>
    <row r="422" spans="2:71" ht="13">
      <c r="B422" s="294"/>
      <c r="C422" s="294"/>
      <c r="D422" s="294"/>
      <c r="E422" s="294"/>
      <c r="AB422" s="188"/>
      <c r="BC422" s="381">
        <v>140</v>
      </c>
      <c r="BD422" s="382"/>
      <c r="BE422" s="382"/>
      <c r="BF422" s="382"/>
      <c r="BG422" s="382"/>
      <c r="BH422" s="382"/>
      <c r="BI422" s="382"/>
      <c r="BJ422" s="382"/>
      <c r="BK422" s="382"/>
      <c r="BL422" s="382"/>
      <c r="BM422" s="382"/>
      <c r="BN422" s="382"/>
      <c r="BO422" s="382"/>
      <c r="BP422" s="382"/>
      <c r="BQ422" s="382"/>
      <c r="BR422" s="382"/>
      <c r="BS422" s="383"/>
    </row>
    <row r="423" spans="2:71" ht="13">
      <c r="B423" s="294"/>
      <c r="C423" s="294"/>
      <c r="D423" s="294"/>
      <c r="E423" s="294"/>
      <c r="AB423" s="188"/>
    </row>
    <row r="424" spans="2:71" ht="13">
      <c r="B424" s="294"/>
      <c r="C424" s="294"/>
      <c r="D424" s="294"/>
      <c r="E424" s="294"/>
      <c r="AB424" s="188"/>
    </row>
    <row r="425" spans="2:71" ht="13">
      <c r="B425" s="294"/>
      <c r="C425" s="294"/>
      <c r="D425" s="294"/>
      <c r="E425" s="294"/>
      <c r="AB425" s="188"/>
    </row>
    <row r="426" spans="2:71" ht="13">
      <c r="B426" s="294"/>
      <c r="C426" s="294"/>
      <c r="D426" s="294"/>
      <c r="E426" s="294"/>
      <c r="AB426" s="188"/>
    </row>
    <row r="427" spans="2:71" ht="13">
      <c r="B427" s="294"/>
      <c r="C427" s="294"/>
      <c r="D427" s="294"/>
      <c r="E427" s="294"/>
      <c r="AB427" s="188"/>
    </row>
    <row r="428" spans="2:71" ht="13">
      <c r="B428" s="294"/>
      <c r="C428" s="294"/>
      <c r="D428" s="294"/>
      <c r="E428" s="294"/>
      <c r="AB428" s="188"/>
    </row>
    <row r="429" spans="2:71" ht="13">
      <c r="B429" s="294"/>
      <c r="C429" s="294"/>
      <c r="D429" s="294"/>
      <c r="E429" s="294"/>
      <c r="AB429" s="188"/>
    </row>
    <row r="430" spans="2:71" ht="13">
      <c r="B430" s="294"/>
      <c r="C430" s="294"/>
      <c r="D430" s="294"/>
      <c r="E430" s="294"/>
      <c r="AB430" s="188"/>
    </row>
    <row r="431" spans="2:71" ht="13">
      <c r="B431" s="294"/>
      <c r="C431" s="294"/>
      <c r="D431" s="294"/>
      <c r="E431" s="294"/>
      <c r="AB431" s="188"/>
    </row>
    <row r="432" spans="2:71" ht="13">
      <c r="B432" s="294"/>
      <c r="C432" s="294"/>
      <c r="D432" s="294"/>
      <c r="E432" s="294"/>
      <c r="AB432" s="188"/>
    </row>
    <row r="433" spans="2:28" ht="13">
      <c r="B433" s="294"/>
      <c r="C433" s="294"/>
      <c r="D433" s="294"/>
      <c r="E433" s="294"/>
      <c r="AB433" s="188"/>
    </row>
    <row r="434" spans="2:28" ht="13">
      <c r="B434" s="294"/>
      <c r="C434" s="294"/>
      <c r="D434" s="294"/>
      <c r="E434" s="294"/>
      <c r="AB434" s="188"/>
    </row>
    <row r="435" spans="2:28" ht="13">
      <c r="B435" s="294"/>
      <c r="C435" s="294"/>
      <c r="D435" s="294"/>
      <c r="E435" s="294"/>
      <c r="AB435" s="188"/>
    </row>
    <row r="436" spans="2:28" ht="13">
      <c r="B436" s="294"/>
      <c r="C436" s="294"/>
      <c r="D436" s="294"/>
      <c r="E436" s="294"/>
      <c r="AB436" s="188"/>
    </row>
    <row r="437" spans="2:28" ht="13">
      <c r="B437" s="294"/>
      <c r="C437" s="294"/>
      <c r="D437" s="294"/>
      <c r="E437" s="294"/>
      <c r="AB437" s="188"/>
    </row>
    <row r="438" spans="2:28" ht="13">
      <c r="B438" s="294"/>
      <c r="C438" s="294"/>
      <c r="D438" s="294"/>
      <c r="E438" s="294"/>
      <c r="AB438" s="188"/>
    </row>
    <row r="439" spans="2:28" ht="13">
      <c r="B439" s="294"/>
      <c r="C439" s="294"/>
      <c r="D439" s="294"/>
      <c r="E439" s="294"/>
      <c r="AB439" s="188"/>
    </row>
    <row r="440" spans="2:28" ht="13">
      <c r="B440" s="294"/>
      <c r="C440" s="294"/>
      <c r="D440" s="294"/>
      <c r="E440" s="294"/>
      <c r="AB440" s="188"/>
    </row>
    <row r="441" spans="2:28" ht="13">
      <c r="B441" s="294"/>
      <c r="C441" s="294"/>
      <c r="D441" s="294"/>
      <c r="E441" s="294"/>
      <c r="AB441" s="188"/>
    </row>
    <row r="442" spans="2:28" ht="13">
      <c r="B442" s="294"/>
      <c r="C442" s="294"/>
      <c r="D442" s="294"/>
      <c r="E442" s="294"/>
      <c r="AB442" s="188"/>
    </row>
    <row r="443" spans="2:28" ht="13">
      <c r="B443" s="294"/>
      <c r="C443" s="294"/>
      <c r="D443" s="294"/>
      <c r="E443" s="294"/>
      <c r="AB443" s="188"/>
    </row>
    <row r="444" spans="2:28" ht="13">
      <c r="B444" s="294"/>
      <c r="C444" s="294"/>
      <c r="D444" s="294"/>
      <c r="E444" s="294"/>
      <c r="AB444" s="188"/>
    </row>
    <row r="445" spans="2:28" ht="13">
      <c r="B445" s="294"/>
      <c r="C445" s="294"/>
      <c r="D445" s="294"/>
      <c r="E445" s="294"/>
      <c r="AB445" s="188"/>
    </row>
    <row r="446" spans="2:28" ht="13">
      <c r="B446" s="294"/>
      <c r="C446" s="294"/>
      <c r="D446" s="294"/>
      <c r="E446" s="294"/>
      <c r="AB446" s="188"/>
    </row>
    <row r="447" spans="2:28" ht="13">
      <c r="B447" s="294"/>
      <c r="C447" s="294"/>
      <c r="D447" s="294"/>
      <c r="E447" s="294"/>
      <c r="AB447" s="188"/>
    </row>
    <row r="448" spans="2:28" ht="13">
      <c r="B448" s="294"/>
      <c r="C448" s="294"/>
      <c r="D448" s="294"/>
      <c r="E448" s="294"/>
      <c r="AB448" s="188"/>
    </row>
    <row r="449" spans="2:28" ht="13">
      <c r="B449" s="294"/>
      <c r="C449" s="294"/>
      <c r="D449" s="294"/>
      <c r="E449" s="294"/>
      <c r="AB449" s="188"/>
    </row>
    <row r="450" spans="2:28" ht="13">
      <c r="B450" s="294"/>
      <c r="C450" s="294"/>
      <c r="D450" s="294"/>
      <c r="E450" s="294"/>
      <c r="AB450" s="188"/>
    </row>
    <row r="451" spans="2:28" ht="13">
      <c r="B451" s="294"/>
      <c r="C451" s="294"/>
      <c r="D451" s="294"/>
      <c r="E451" s="294"/>
      <c r="AB451" s="188"/>
    </row>
    <row r="452" spans="2:28" ht="13">
      <c r="B452" s="294"/>
      <c r="C452" s="294"/>
      <c r="D452" s="294"/>
      <c r="E452" s="294"/>
      <c r="AB452" s="188"/>
    </row>
    <row r="453" spans="2:28" ht="13">
      <c r="B453" s="294"/>
      <c r="C453" s="294"/>
      <c r="D453" s="294"/>
      <c r="E453" s="294"/>
      <c r="AB453" s="188"/>
    </row>
    <row r="454" spans="2:28" ht="13">
      <c r="B454" s="294"/>
      <c r="C454" s="294"/>
      <c r="D454" s="294"/>
      <c r="E454" s="294"/>
      <c r="AB454" s="188"/>
    </row>
    <row r="455" spans="2:28" ht="13">
      <c r="B455" s="294"/>
      <c r="C455" s="294"/>
      <c r="D455" s="294"/>
      <c r="E455" s="294"/>
      <c r="AB455" s="188"/>
    </row>
    <row r="456" spans="2:28" ht="13">
      <c r="B456" s="294"/>
      <c r="C456" s="294"/>
      <c r="D456" s="294"/>
      <c r="E456" s="294"/>
      <c r="AB456" s="188"/>
    </row>
    <row r="457" spans="2:28" ht="13">
      <c r="B457" s="294"/>
      <c r="C457" s="294"/>
      <c r="D457" s="294"/>
      <c r="E457" s="294"/>
      <c r="AB457" s="188"/>
    </row>
    <row r="458" spans="2:28" ht="13">
      <c r="B458" s="294"/>
      <c r="C458" s="294"/>
      <c r="D458" s="294"/>
      <c r="E458" s="294"/>
      <c r="AB458" s="188"/>
    </row>
    <row r="459" spans="2:28" ht="13">
      <c r="B459" s="294"/>
      <c r="C459" s="294"/>
      <c r="D459" s="294"/>
      <c r="E459" s="294"/>
      <c r="AB459" s="188"/>
    </row>
    <row r="460" spans="2:28" ht="13">
      <c r="B460" s="294"/>
      <c r="C460" s="294"/>
      <c r="D460" s="294"/>
      <c r="E460" s="294"/>
      <c r="AB460" s="188"/>
    </row>
    <row r="461" spans="2:28" ht="13">
      <c r="B461" s="294"/>
      <c r="C461" s="294"/>
      <c r="D461" s="294"/>
      <c r="E461" s="294"/>
      <c r="AB461" s="188"/>
    </row>
    <row r="462" spans="2:28" ht="13">
      <c r="B462" s="294"/>
      <c r="C462" s="294"/>
      <c r="D462" s="294"/>
      <c r="E462" s="294"/>
      <c r="AB462" s="188"/>
    </row>
    <row r="463" spans="2:28" ht="13">
      <c r="B463" s="294"/>
      <c r="C463" s="294"/>
      <c r="D463" s="294"/>
      <c r="E463" s="294"/>
      <c r="AB463" s="188"/>
    </row>
    <row r="464" spans="2:28" ht="13">
      <c r="B464" s="294"/>
      <c r="C464" s="294"/>
      <c r="D464" s="294"/>
      <c r="E464" s="294"/>
      <c r="AB464" s="188"/>
    </row>
    <row r="465" spans="2:28" ht="13">
      <c r="B465" s="294"/>
      <c r="C465" s="294"/>
      <c r="D465" s="294"/>
      <c r="E465" s="294"/>
      <c r="AB465" s="188"/>
    </row>
    <row r="466" spans="2:28" ht="13">
      <c r="B466" s="294"/>
      <c r="C466" s="294"/>
      <c r="D466" s="294"/>
      <c r="E466" s="294"/>
      <c r="AB466" s="188"/>
    </row>
    <row r="467" spans="2:28" ht="13">
      <c r="B467" s="294"/>
      <c r="C467" s="294"/>
      <c r="D467" s="294"/>
      <c r="E467" s="294"/>
      <c r="AB467" s="188"/>
    </row>
    <row r="468" spans="2:28" ht="13">
      <c r="B468" s="294"/>
      <c r="C468" s="294"/>
      <c r="D468" s="294"/>
      <c r="E468" s="294"/>
      <c r="AB468" s="188"/>
    </row>
    <row r="469" spans="2:28" ht="13">
      <c r="B469" s="294"/>
      <c r="C469" s="294"/>
      <c r="D469" s="294"/>
      <c r="E469" s="294"/>
      <c r="AB469" s="188"/>
    </row>
    <row r="470" spans="2:28" ht="13">
      <c r="B470" s="294"/>
      <c r="C470" s="294"/>
      <c r="D470" s="294"/>
      <c r="E470" s="294"/>
      <c r="AB470" s="188"/>
    </row>
    <row r="471" spans="2:28" ht="13">
      <c r="B471" s="294"/>
      <c r="C471" s="294"/>
      <c r="D471" s="294"/>
      <c r="E471" s="294"/>
      <c r="AB471" s="188"/>
    </row>
    <row r="472" spans="2:28" ht="13">
      <c r="B472" s="294"/>
      <c r="C472" s="294"/>
      <c r="D472" s="294"/>
      <c r="E472" s="294"/>
      <c r="AB472" s="188"/>
    </row>
    <row r="473" spans="2:28" ht="13">
      <c r="B473" s="294"/>
      <c r="C473" s="294"/>
      <c r="D473" s="294"/>
      <c r="E473" s="294"/>
      <c r="AB473" s="188"/>
    </row>
    <row r="474" spans="2:28" ht="13">
      <c r="B474" s="294"/>
      <c r="C474" s="294"/>
      <c r="D474" s="294"/>
      <c r="E474" s="294"/>
      <c r="AB474" s="188"/>
    </row>
    <row r="475" spans="2:28" ht="13">
      <c r="B475" s="294"/>
      <c r="C475" s="294"/>
      <c r="D475" s="294"/>
      <c r="E475" s="294"/>
      <c r="AB475" s="188"/>
    </row>
    <row r="476" spans="2:28" ht="13">
      <c r="B476" s="294"/>
      <c r="C476" s="294"/>
      <c r="D476" s="294"/>
      <c r="E476" s="294"/>
      <c r="AB476" s="188"/>
    </row>
    <row r="477" spans="2:28" ht="13">
      <c r="B477" s="294"/>
      <c r="C477" s="294"/>
      <c r="D477" s="294"/>
      <c r="E477" s="294"/>
      <c r="AB477" s="188"/>
    </row>
    <row r="478" spans="2:28" ht="13">
      <c r="B478" s="294"/>
      <c r="C478" s="294"/>
      <c r="D478" s="294"/>
      <c r="E478" s="294"/>
      <c r="AB478" s="188"/>
    </row>
    <row r="479" spans="2:28" ht="13">
      <c r="B479" s="294"/>
      <c r="C479" s="294"/>
      <c r="D479" s="294"/>
      <c r="E479" s="294"/>
      <c r="AB479" s="188"/>
    </row>
    <row r="480" spans="2:28" ht="13">
      <c r="B480" s="294"/>
      <c r="C480" s="294"/>
      <c r="D480" s="294"/>
      <c r="E480" s="294"/>
      <c r="AB480" s="188"/>
    </row>
    <row r="481" spans="2:28" ht="13">
      <c r="B481" s="294"/>
      <c r="C481" s="294"/>
      <c r="D481" s="294"/>
      <c r="E481" s="294"/>
      <c r="AB481" s="188"/>
    </row>
    <row r="482" spans="2:28" ht="13">
      <c r="B482" s="294"/>
      <c r="C482" s="294"/>
      <c r="D482" s="294"/>
      <c r="E482" s="294"/>
      <c r="AB482" s="188"/>
    </row>
    <row r="483" spans="2:28" ht="13">
      <c r="B483" s="294"/>
      <c r="C483" s="294"/>
      <c r="D483" s="294"/>
      <c r="E483" s="294"/>
      <c r="AB483" s="188"/>
    </row>
    <row r="484" spans="2:28" ht="13">
      <c r="B484" s="294"/>
      <c r="C484" s="294"/>
      <c r="D484" s="294"/>
      <c r="E484" s="294"/>
      <c r="AB484" s="188"/>
    </row>
    <row r="485" spans="2:28" ht="13">
      <c r="B485" s="294"/>
      <c r="C485" s="294"/>
      <c r="D485" s="294"/>
      <c r="E485" s="294"/>
      <c r="AB485" s="188"/>
    </row>
    <row r="486" spans="2:28" ht="13">
      <c r="B486" s="294"/>
      <c r="C486" s="294"/>
      <c r="D486" s="294"/>
      <c r="E486" s="294"/>
      <c r="AB486" s="188"/>
    </row>
    <row r="487" spans="2:28" ht="13">
      <c r="B487" s="294"/>
      <c r="C487" s="294"/>
      <c r="D487" s="294"/>
      <c r="E487" s="294"/>
      <c r="AB487" s="188"/>
    </row>
    <row r="488" spans="2:28" ht="13">
      <c r="B488" s="294"/>
      <c r="C488" s="294"/>
      <c r="D488" s="294"/>
      <c r="E488" s="294"/>
      <c r="AB488" s="188"/>
    </row>
    <row r="489" spans="2:28" ht="13">
      <c r="B489" s="294"/>
      <c r="C489" s="294"/>
      <c r="D489" s="294"/>
      <c r="E489" s="294"/>
      <c r="AB489" s="188"/>
    </row>
    <row r="490" spans="2:28" ht="13">
      <c r="B490" s="294"/>
      <c r="C490" s="294"/>
      <c r="D490" s="294"/>
      <c r="E490" s="294"/>
      <c r="AB490" s="188"/>
    </row>
    <row r="491" spans="2:28" ht="13">
      <c r="B491" s="294"/>
      <c r="C491" s="294"/>
      <c r="D491" s="294"/>
      <c r="E491" s="294"/>
      <c r="AB491" s="188"/>
    </row>
    <row r="492" spans="2:28" ht="13">
      <c r="B492" s="294"/>
      <c r="C492" s="294"/>
      <c r="D492" s="294"/>
      <c r="E492" s="294"/>
      <c r="AB492" s="188"/>
    </row>
    <row r="493" spans="2:28" ht="13">
      <c r="B493" s="294"/>
      <c r="C493" s="294"/>
      <c r="D493" s="294"/>
      <c r="E493" s="294"/>
      <c r="AB493" s="188"/>
    </row>
    <row r="494" spans="2:28" ht="13">
      <c r="B494" s="294"/>
      <c r="C494" s="294"/>
      <c r="D494" s="294"/>
      <c r="E494" s="294"/>
      <c r="AB494" s="188"/>
    </row>
    <row r="495" spans="2:28" ht="13">
      <c r="B495" s="294"/>
      <c r="C495" s="294"/>
      <c r="D495" s="294"/>
      <c r="E495" s="294"/>
      <c r="AB495" s="188"/>
    </row>
    <row r="496" spans="2:28" ht="13">
      <c r="B496" s="294"/>
      <c r="C496" s="294"/>
      <c r="D496" s="294"/>
      <c r="E496" s="294"/>
      <c r="AB496" s="188"/>
    </row>
    <row r="497" spans="2:28" ht="13">
      <c r="B497" s="294"/>
      <c r="C497" s="294"/>
      <c r="D497" s="294"/>
      <c r="E497" s="294"/>
      <c r="AB497" s="188"/>
    </row>
    <row r="498" spans="2:28" ht="13">
      <c r="B498" s="294"/>
      <c r="C498" s="294"/>
      <c r="D498" s="294"/>
      <c r="E498" s="294"/>
      <c r="AB498" s="188"/>
    </row>
    <row r="499" spans="2:28" ht="13">
      <c r="B499" s="294"/>
      <c r="C499" s="294"/>
      <c r="D499" s="294"/>
      <c r="E499" s="294"/>
      <c r="AB499" s="188"/>
    </row>
    <row r="500" spans="2:28" ht="13">
      <c r="B500" s="294"/>
      <c r="C500" s="294"/>
      <c r="D500" s="294"/>
      <c r="E500" s="294"/>
      <c r="AB500" s="188"/>
    </row>
    <row r="501" spans="2:28" ht="13">
      <c r="B501" s="294"/>
      <c r="C501" s="294"/>
      <c r="D501" s="294"/>
      <c r="E501" s="294"/>
      <c r="AB501" s="188"/>
    </row>
    <row r="502" spans="2:28" ht="13">
      <c r="B502" s="294"/>
      <c r="C502" s="294"/>
      <c r="D502" s="294"/>
      <c r="E502" s="294"/>
      <c r="AB502" s="188"/>
    </row>
    <row r="503" spans="2:28" ht="13">
      <c r="B503" s="294"/>
      <c r="C503" s="294"/>
      <c r="D503" s="294"/>
      <c r="E503" s="294"/>
      <c r="AB503" s="188"/>
    </row>
    <row r="504" spans="2:28" ht="13">
      <c r="B504" s="294"/>
      <c r="C504" s="294"/>
      <c r="D504" s="294"/>
      <c r="E504" s="294"/>
      <c r="AB504" s="188"/>
    </row>
    <row r="505" spans="2:28" ht="13">
      <c r="B505" s="294"/>
      <c r="C505" s="294"/>
      <c r="D505" s="294"/>
      <c r="E505" s="294"/>
      <c r="AB505" s="188"/>
    </row>
    <row r="506" spans="2:28" ht="13">
      <c r="B506" s="294"/>
      <c r="C506" s="294"/>
      <c r="D506" s="294"/>
      <c r="E506" s="294"/>
      <c r="AB506" s="188"/>
    </row>
    <row r="507" spans="2:28" ht="13">
      <c r="B507" s="294"/>
      <c r="C507" s="294"/>
      <c r="D507" s="294"/>
      <c r="E507" s="294"/>
      <c r="AB507" s="188"/>
    </row>
    <row r="508" spans="2:28" ht="13">
      <c r="B508" s="294"/>
      <c r="C508" s="294"/>
      <c r="D508" s="294"/>
      <c r="E508" s="294"/>
      <c r="AB508" s="188"/>
    </row>
    <row r="509" spans="2:28" ht="13">
      <c r="B509" s="294"/>
      <c r="C509" s="294"/>
      <c r="D509" s="294"/>
      <c r="E509" s="294"/>
      <c r="AB509" s="188"/>
    </row>
    <row r="510" spans="2:28" ht="13">
      <c r="B510" s="294"/>
      <c r="C510" s="294"/>
      <c r="D510" s="294"/>
      <c r="E510" s="294"/>
      <c r="AB510" s="188"/>
    </row>
    <row r="511" spans="2:28" ht="13">
      <c r="B511" s="294"/>
      <c r="C511" s="294"/>
      <c r="D511" s="294"/>
      <c r="E511" s="294"/>
      <c r="AB511" s="188"/>
    </row>
    <row r="512" spans="2:28" ht="13">
      <c r="B512" s="294"/>
      <c r="C512" s="294"/>
      <c r="D512" s="294"/>
      <c r="E512" s="294"/>
      <c r="AB512" s="188"/>
    </row>
    <row r="513" spans="2:28" ht="13">
      <c r="B513" s="294"/>
      <c r="C513" s="294"/>
      <c r="D513" s="294"/>
      <c r="E513" s="294"/>
      <c r="AB513" s="188"/>
    </row>
    <row r="514" spans="2:28" ht="13">
      <c r="B514" s="294"/>
      <c r="C514" s="294"/>
      <c r="D514" s="294"/>
      <c r="E514" s="294"/>
      <c r="AB514" s="188"/>
    </row>
    <row r="515" spans="2:28" ht="13">
      <c r="B515" s="294"/>
      <c r="C515" s="294"/>
      <c r="D515" s="294"/>
      <c r="E515" s="294"/>
      <c r="AB515" s="188"/>
    </row>
    <row r="516" spans="2:28" ht="13">
      <c r="B516" s="294"/>
      <c r="C516" s="294"/>
      <c r="D516" s="294"/>
      <c r="E516" s="294"/>
      <c r="AB516" s="188"/>
    </row>
    <row r="517" spans="2:28" ht="13">
      <c r="B517" s="294"/>
      <c r="C517" s="294"/>
      <c r="D517" s="294"/>
      <c r="E517" s="294"/>
      <c r="AB517" s="188"/>
    </row>
    <row r="518" spans="2:28" ht="13">
      <c r="B518" s="294"/>
      <c r="C518" s="294"/>
      <c r="D518" s="294"/>
      <c r="E518" s="294"/>
      <c r="AB518" s="188"/>
    </row>
    <row r="519" spans="2:28" ht="13">
      <c r="B519" s="294"/>
      <c r="C519" s="294"/>
      <c r="D519" s="294"/>
      <c r="E519" s="294"/>
      <c r="AB519" s="188"/>
    </row>
    <row r="520" spans="2:28" ht="13">
      <c r="B520" s="294"/>
      <c r="C520" s="294"/>
      <c r="D520" s="294"/>
      <c r="E520" s="294"/>
      <c r="AB520" s="188"/>
    </row>
    <row r="521" spans="2:28" ht="13">
      <c r="B521" s="294"/>
      <c r="C521" s="294"/>
      <c r="D521" s="294"/>
      <c r="E521" s="294"/>
      <c r="AB521" s="188"/>
    </row>
    <row r="522" spans="2:28" ht="13">
      <c r="B522" s="294"/>
      <c r="C522" s="294"/>
      <c r="D522" s="294"/>
      <c r="E522" s="294"/>
      <c r="AB522" s="188"/>
    </row>
    <row r="523" spans="2:28" ht="13">
      <c r="B523" s="294"/>
      <c r="C523" s="294"/>
      <c r="D523" s="294"/>
      <c r="E523" s="294"/>
      <c r="AB523" s="188"/>
    </row>
    <row r="524" spans="2:28" ht="13">
      <c r="B524" s="294"/>
      <c r="C524" s="294"/>
      <c r="D524" s="294"/>
      <c r="E524" s="294"/>
      <c r="AB524" s="188"/>
    </row>
    <row r="525" spans="2:28" ht="13">
      <c r="B525" s="294"/>
      <c r="C525" s="294"/>
      <c r="D525" s="294"/>
      <c r="E525" s="294"/>
      <c r="AB525" s="188"/>
    </row>
    <row r="526" spans="2:28" ht="13">
      <c r="B526" s="294"/>
      <c r="C526" s="294"/>
      <c r="D526" s="294"/>
      <c r="E526" s="294"/>
      <c r="AB526" s="188"/>
    </row>
    <row r="527" spans="2:28" ht="13">
      <c r="B527" s="294"/>
      <c r="C527" s="294"/>
      <c r="D527" s="294"/>
      <c r="E527" s="294"/>
      <c r="AB527" s="188"/>
    </row>
    <row r="528" spans="2:28" ht="13">
      <c r="B528" s="294"/>
      <c r="C528" s="294"/>
      <c r="D528" s="294"/>
      <c r="E528" s="294"/>
      <c r="AB528" s="188"/>
    </row>
    <row r="529" spans="2:28" ht="13">
      <c r="B529" s="294"/>
      <c r="C529" s="294"/>
      <c r="D529" s="294"/>
      <c r="E529" s="294"/>
      <c r="AB529" s="188"/>
    </row>
    <row r="530" spans="2:28" ht="13">
      <c r="B530" s="294"/>
      <c r="C530" s="294"/>
      <c r="D530" s="294"/>
      <c r="E530" s="294"/>
      <c r="AB530" s="188"/>
    </row>
    <row r="531" spans="2:28" ht="13">
      <c r="B531" s="294"/>
      <c r="C531" s="294"/>
      <c r="D531" s="294"/>
      <c r="E531" s="294"/>
      <c r="AB531" s="188"/>
    </row>
    <row r="532" spans="2:28" ht="13">
      <c r="B532" s="294"/>
      <c r="C532" s="294"/>
      <c r="D532" s="294"/>
      <c r="E532" s="294"/>
      <c r="AB532" s="188"/>
    </row>
    <row r="533" spans="2:28" ht="13">
      <c r="B533" s="294"/>
      <c r="C533" s="294"/>
      <c r="D533" s="294"/>
      <c r="E533" s="294"/>
      <c r="AB533" s="188"/>
    </row>
    <row r="534" spans="2:28" ht="13">
      <c r="B534" s="294"/>
      <c r="C534" s="294"/>
      <c r="D534" s="294"/>
      <c r="E534" s="294"/>
      <c r="AB534" s="188"/>
    </row>
    <row r="535" spans="2:28" ht="13">
      <c r="B535" s="294"/>
      <c r="C535" s="294"/>
      <c r="D535" s="294"/>
      <c r="E535" s="294"/>
      <c r="AB535" s="188"/>
    </row>
    <row r="536" spans="2:28" ht="13">
      <c r="B536" s="294"/>
      <c r="C536" s="294"/>
      <c r="D536" s="294"/>
      <c r="E536" s="294"/>
      <c r="AB536" s="188"/>
    </row>
    <row r="537" spans="2:28" ht="13">
      <c r="B537" s="294"/>
      <c r="C537" s="294"/>
      <c r="D537" s="294"/>
      <c r="E537" s="294"/>
      <c r="AB537" s="188"/>
    </row>
    <row r="538" spans="2:28" ht="13">
      <c r="B538" s="294"/>
      <c r="C538" s="294"/>
      <c r="D538" s="294"/>
      <c r="E538" s="294"/>
      <c r="AB538" s="188"/>
    </row>
    <row r="539" spans="2:28" ht="13">
      <c r="B539" s="294"/>
      <c r="C539" s="294"/>
      <c r="D539" s="294"/>
      <c r="E539" s="294"/>
      <c r="AB539" s="188"/>
    </row>
    <row r="540" spans="2:28" ht="13">
      <c r="B540" s="294"/>
      <c r="C540" s="294"/>
      <c r="D540" s="294"/>
      <c r="E540" s="294"/>
      <c r="AB540" s="188"/>
    </row>
    <row r="541" spans="2:28" ht="13">
      <c r="B541" s="294"/>
      <c r="C541" s="294"/>
      <c r="D541" s="294"/>
      <c r="E541" s="294"/>
      <c r="AB541" s="188"/>
    </row>
    <row r="542" spans="2:28" ht="13">
      <c r="B542" s="294"/>
      <c r="C542" s="294"/>
      <c r="D542" s="294"/>
      <c r="E542" s="294"/>
      <c r="AB542" s="188"/>
    </row>
    <row r="543" spans="2:28" ht="13">
      <c r="B543" s="294"/>
      <c r="C543" s="294"/>
      <c r="D543" s="294"/>
      <c r="E543" s="294"/>
      <c r="AB543" s="188"/>
    </row>
    <row r="544" spans="2:28" ht="13">
      <c r="B544" s="294"/>
      <c r="C544" s="294"/>
      <c r="D544" s="294"/>
      <c r="E544" s="294"/>
      <c r="AB544" s="188"/>
    </row>
    <row r="545" spans="2:28" ht="13">
      <c r="B545" s="294"/>
      <c r="C545" s="294"/>
      <c r="D545" s="294"/>
      <c r="E545" s="294"/>
      <c r="AB545" s="188"/>
    </row>
    <row r="546" spans="2:28" ht="13">
      <c r="B546" s="294"/>
      <c r="C546" s="294"/>
      <c r="D546" s="294"/>
      <c r="E546" s="294"/>
      <c r="AB546" s="188"/>
    </row>
    <row r="547" spans="2:28" ht="13">
      <c r="B547" s="294"/>
      <c r="C547" s="294"/>
      <c r="D547" s="294"/>
      <c r="E547" s="294"/>
      <c r="AB547" s="188"/>
    </row>
    <row r="548" spans="2:28" ht="13">
      <c r="B548" s="294"/>
      <c r="C548" s="294"/>
      <c r="D548" s="294"/>
      <c r="E548" s="294"/>
      <c r="AB548" s="188"/>
    </row>
    <row r="549" spans="2:28" ht="13">
      <c r="B549" s="294"/>
      <c r="C549" s="294"/>
      <c r="D549" s="294"/>
      <c r="E549" s="294"/>
      <c r="AB549" s="188"/>
    </row>
    <row r="550" spans="2:28" ht="13">
      <c r="B550" s="294"/>
      <c r="C550" s="294"/>
      <c r="D550" s="294"/>
      <c r="E550" s="294"/>
      <c r="AB550" s="188"/>
    </row>
    <row r="551" spans="2:28" ht="13">
      <c r="B551" s="294"/>
      <c r="C551" s="294"/>
      <c r="D551" s="294"/>
      <c r="E551" s="294"/>
      <c r="AB551" s="188"/>
    </row>
    <row r="552" spans="2:28" ht="13">
      <c r="B552" s="294"/>
      <c r="C552" s="294"/>
      <c r="D552" s="294"/>
      <c r="E552" s="294"/>
      <c r="AB552" s="188"/>
    </row>
    <row r="553" spans="2:28" ht="13">
      <c r="B553" s="294"/>
      <c r="C553" s="294"/>
      <c r="D553" s="294"/>
      <c r="E553" s="294"/>
      <c r="AB553" s="188"/>
    </row>
    <row r="554" spans="2:28" ht="13">
      <c r="B554" s="294"/>
      <c r="C554" s="294"/>
      <c r="D554" s="294"/>
      <c r="E554" s="294"/>
      <c r="AB554" s="188"/>
    </row>
    <row r="555" spans="2:28" ht="13">
      <c r="B555" s="294"/>
      <c r="C555" s="294"/>
      <c r="D555" s="294"/>
      <c r="E555" s="294"/>
      <c r="AB555" s="188"/>
    </row>
    <row r="556" spans="2:28" ht="13">
      <c r="B556" s="294"/>
      <c r="C556" s="294"/>
      <c r="D556" s="294"/>
      <c r="E556" s="294"/>
      <c r="AB556" s="188"/>
    </row>
    <row r="557" spans="2:28" ht="13">
      <c r="B557" s="294"/>
      <c r="C557" s="294"/>
      <c r="D557" s="294"/>
      <c r="E557" s="294"/>
      <c r="AB557" s="188"/>
    </row>
    <row r="558" spans="2:28" ht="13">
      <c r="B558" s="294"/>
      <c r="C558" s="294"/>
      <c r="D558" s="294"/>
      <c r="E558" s="294"/>
      <c r="AB558" s="188"/>
    </row>
    <row r="559" spans="2:28" ht="13">
      <c r="B559" s="294"/>
      <c r="C559" s="294"/>
      <c r="D559" s="294"/>
      <c r="E559" s="294"/>
      <c r="AB559" s="188"/>
    </row>
    <row r="560" spans="2:28" ht="13">
      <c r="B560" s="294"/>
      <c r="C560" s="294"/>
      <c r="D560" s="294"/>
      <c r="E560" s="294"/>
      <c r="AB560" s="188"/>
    </row>
    <row r="561" spans="2:28" ht="13">
      <c r="B561" s="294"/>
      <c r="C561" s="294"/>
      <c r="D561" s="294"/>
      <c r="E561" s="294"/>
      <c r="AB561" s="188"/>
    </row>
    <row r="562" spans="2:28" ht="13">
      <c r="B562" s="294"/>
      <c r="C562" s="294"/>
      <c r="D562" s="294"/>
      <c r="E562" s="294"/>
      <c r="AB562" s="188"/>
    </row>
    <row r="563" spans="2:28" ht="13">
      <c r="B563" s="294"/>
      <c r="C563" s="294"/>
      <c r="D563" s="294"/>
      <c r="E563" s="294"/>
      <c r="AB563" s="188"/>
    </row>
    <row r="564" spans="2:28" ht="13">
      <c r="B564" s="294"/>
      <c r="C564" s="294"/>
      <c r="D564" s="294"/>
      <c r="E564" s="294"/>
      <c r="AB564" s="188"/>
    </row>
    <row r="565" spans="2:28" ht="13">
      <c r="B565" s="294"/>
      <c r="C565" s="294"/>
      <c r="D565" s="294"/>
      <c r="E565" s="294"/>
      <c r="AB565" s="188"/>
    </row>
    <row r="566" spans="2:28" ht="13">
      <c r="B566" s="294"/>
      <c r="C566" s="294"/>
      <c r="D566" s="294"/>
      <c r="E566" s="294"/>
      <c r="AB566" s="188"/>
    </row>
    <row r="567" spans="2:28" ht="13">
      <c r="B567" s="294"/>
      <c r="C567" s="294"/>
      <c r="D567" s="294"/>
      <c r="E567" s="294"/>
      <c r="AB567" s="188"/>
    </row>
    <row r="568" spans="2:28" ht="13">
      <c r="B568" s="294"/>
      <c r="C568" s="294"/>
      <c r="D568" s="294"/>
      <c r="E568" s="294"/>
      <c r="AB568" s="188"/>
    </row>
    <row r="569" spans="2:28" ht="13">
      <c r="B569" s="294"/>
      <c r="C569" s="294"/>
      <c r="D569" s="294"/>
      <c r="E569" s="294"/>
      <c r="AB569" s="188"/>
    </row>
    <row r="570" spans="2:28" ht="13">
      <c r="B570" s="294"/>
      <c r="C570" s="294"/>
      <c r="D570" s="294"/>
      <c r="E570" s="294"/>
      <c r="AB570" s="188"/>
    </row>
    <row r="571" spans="2:28" ht="13">
      <c r="B571" s="294"/>
      <c r="C571" s="294"/>
      <c r="D571" s="294"/>
      <c r="E571" s="294"/>
      <c r="AB571" s="188"/>
    </row>
    <row r="572" spans="2:28" ht="13">
      <c r="B572" s="294"/>
      <c r="C572" s="294"/>
      <c r="D572" s="294"/>
      <c r="E572" s="294"/>
      <c r="AB572" s="188"/>
    </row>
    <row r="573" spans="2:28" ht="13">
      <c r="B573" s="294"/>
      <c r="C573" s="294"/>
      <c r="D573" s="294"/>
      <c r="E573" s="294"/>
      <c r="AB573" s="188"/>
    </row>
    <row r="574" spans="2:28" ht="13">
      <c r="B574" s="294"/>
      <c r="C574" s="294"/>
      <c r="D574" s="294"/>
      <c r="E574" s="294"/>
      <c r="AB574" s="188"/>
    </row>
    <row r="575" spans="2:28" ht="13">
      <c r="B575" s="294"/>
      <c r="C575" s="294"/>
      <c r="D575" s="294"/>
      <c r="E575" s="294"/>
      <c r="AB575" s="188"/>
    </row>
    <row r="576" spans="2:28" ht="13">
      <c r="B576" s="294"/>
      <c r="C576" s="294"/>
      <c r="D576" s="294"/>
      <c r="E576" s="294"/>
      <c r="AB576" s="188"/>
    </row>
    <row r="577" spans="2:28" ht="13">
      <c r="B577" s="294"/>
      <c r="C577" s="294"/>
      <c r="D577" s="294"/>
      <c r="E577" s="294"/>
      <c r="AB577" s="188"/>
    </row>
    <row r="578" spans="2:28" ht="13">
      <c r="B578" s="294"/>
      <c r="C578" s="294"/>
      <c r="D578" s="294"/>
      <c r="E578" s="294"/>
      <c r="AB578" s="188"/>
    </row>
    <row r="579" spans="2:28" ht="13">
      <c r="B579" s="294"/>
      <c r="C579" s="294"/>
      <c r="D579" s="294"/>
      <c r="E579" s="294"/>
      <c r="AB579" s="188"/>
    </row>
    <row r="580" spans="2:28" ht="13">
      <c r="B580" s="294"/>
      <c r="C580" s="294"/>
      <c r="D580" s="294"/>
      <c r="E580" s="294"/>
      <c r="AB580" s="188"/>
    </row>
    <row r="581" spans="2:28" ht="13">
      <c r="B581" s="294"/>
      <c r="C581" s="294"/>
      <c r="D581" s="294"/>
      <c r="E581" s="294"/>
      <c r="AB581" s="188"/>
    </row>
    <row r="582" spans="2:28" ht="13">
      <c r="B582" s="294"/>
      <c r="C582" s="294"/>
      <c r="D582" s="294"/>
      <c r="E582" s="294"/>
      <c r="AB582" s="188"/>
    </row>
    <row r="583" spans="2:28" ht="13">
      <c r="B583" s="294"/>
      <c r="C583" s="294"/>
      <c r="D583" s="294"/>
      <c r="E583" s="294"/>
      <c r="AB583" s="188"/>
    </row>
    <row r="584" spans="2:28" ht="13">
      <c r="B584" s="294"/>
      <c r="C584" s="294"/>
      <c r="D584" s="294"/>
      <c r="E584" s="294"/>
      <c r="AB584" s="188"/>
    </row>
    <row r="585" spans="2:28" ht="13">
      <c r="B585" s="294"/>
      <c r="C585" s="294"/>
      <c r="D585" s="294"/>
      <c r="E585" s="294"/>
      <c r="AB585" s="188"/>
    </row>
    <row r="586" spans="2:28" ht="13">
      <c r="B586" s="294"/>
      <c r="C586" s="294"/>
      <c r="D586" s="294"/>
      <c r="E586" s="294"/>
      <c r="AB586" s="188"/>
    </row>
    <row r="587" spans="2:28" ht="13">
      <c r="B587" s="294"/>
      <c r="C587" s="294"/>
      <c r="D587" s="294"/>
      <c r="E587" s="294"/>
      <c r="AB587" s="188"/>
    </row>
    <row r="588" spans="2:28" ht="13">
      <c r="B588" s="294"/>
      <c r="C588" s="294"/>
      <c r="D588" s="294"/>
      <c r="E588" s="294"/>
      <c r="AB588" s="188"/>
    </row>
    <row r="589" spans="2:28" ht="13">
      <c r="B589" s="294"/>
      <c r="C589" s="294"/>
      <c r="D589" s="294"/>
      <c r="E589" s="294"/>
      <c r="AB589" s="188"/>
    </row>
    <row r="590" spans="2:28" ht="13">
      <c r="B590" s="294"/>
      <c r="C590" s="294"/>
      <c r="D590" s="294"/>
      <c r="E590" s="294"/>
      <c r="AB590" s="188"/>
    </row>
    <row r="591" spans="2:28" ht="13">
      <c r="B591" s="294"/>
      <c r="C591" s="294"/>
      <c r="D591" s="294"/>
      <c r="E591" s="294"/>
      <c r="AB591" s="188"/>
    </row>
    <row r="592" spans="2:28" ht="13">
      <c r="B592" s="294"/>
      <c r="C592" s="294"/>
      <c r="D592" s="294"/>
      <c r="E592" s="294"/>
      <c r="AB592" s="188"/>
    </row>
    <row r="593" spans="2:28" ht="13">
      <c r="B593" s="294"/>
      <c r="C593" s="294"/>
      <c r="D593" s="294"/>
      <c r="E593" s="294"/>
      <c r="AB593" s="188"/>
    </row>
    <row r="594" spans="2:28" ht="13">
      <c r="B594" s="294"/>
      <c r="C594" s="294"/>
      <c r="D594" s="294"/>
      <c r="E594" s="294"/>
      <c r="AB594" s="188"/>
    </row>
    <row r="595" spans="2:28" ht="13">
      <c r="B595" s="294"/>
      <c r="C595" s="294"/>
      <c r="D595" s="294"/>
      <c r="E595" s="294"/>
      <c r="AB595" s="188"/>
    </row>
    <row r="596" spans="2:28" ht="13">
      <c r="B596" s="294"/>
      <c r="C596" s="294"/>
      <c r="D596" s="294"/>
      <c r="E596" s="294"/>
      <c r="AB596" s="188"/>
    </row>
    <row r="597" spans="2:28" ht="13">
      <c r="B597" s="294"/>
      <c r="C597" s="294"/>
      <c r="D597" s="294"/>
      <c r="E597" s="294"/>
      <c r="AB597" s="188"/>
    </row>
    <row r="598" spans="2:28" ht="13">
      <c r="B598" s="294"/>
      <c r="C598" s="294"/>
      <c r="D598" s="294"/>
      <c r="E598" s="294"/>
      <c r="AB598" s="188"/>
    </row>
    <row r="599" spans="2:28" ht="13">
      <c r="B599" s="294"/>
      <c r="C599" s="294"/>
      <c r="D599" s="294"/>
      <c r="E599" s="294"/>
      <c r="AB599" s="188"/>
    </row>
    <row r="600" spans="2:28" ht="13">
      <c r="B600" s="294"/>
      <c r="C600" s="294"/>
      <c r="D600" s="294"/>
      <c r="E600" s="294"/>
      <c r="AB600" s="188"/>
    </row>
    <row r="601" spans="2:28" ht="13">
      <c r="B601" s="294"/>
      <c r="C601" s="294"/>
      <c r="D601" s="294"/>
      <c r="E601" s="294"/>
      <c r="AB601" s="188"/>
    </row>
    <row r="602" spans="2:28" ht="13">
      <c r="B602" s="294"/>
      <c r="C602" s="294"/>
      <c r="D602" s="294"/>
      <c r="E602" s="294"/>
      <c r="AB602" s="188"/>
    </row>
    <row r="603" spans="2:28" ht="13">
      <c r="B603" s="294"/>
      <c r="C603" s="294"/>
      <c r="D603" s="294"/>
      <c r="E603" s="294"/>
      <c r="AB603" s="188"/>
    </row>
    <row r="604" spans="2:28" ht="13">
      <c r="B604" s="294"/>
      <c r="C604" s="294"/>
      <c r="D604" s="294"/>
      <c r="E604" s="294"/>
      <c r="AB604" s="188"/>
    </row>
    <row r="605" spans="2:28" ht="13">
      <c r="B605" s="294"/>
      <c r="C605" s="294"/>
      <c r="D605" s="294"/>
      <c r="E605" s="294"/>
      <c r="AB605" s="188"/>
    </row>
    <row r="606" spans="2:28" ht="13">
      <c r="B606" s="294"/>
      <c r="C606" s="294"/>
      <c r="D606" s="294"/>
      <c r="E606" s="294"/>
      <c r="AB606" s="188"/>
    </row>
    <row r="607" spans="2:28" ht="13">
      <c r="B607" s="294"/>
      <c r="C607" s="294"/>
      <c r="D607" s="294"/>
      <c r="E607" s="294"/>
      <c r="AB607" s="188"/>
    </row>
    <row r="608" spans="2:28" ht="13">
      <c r="B608" s="294"/>
      <c r="C608" s="294"/>
      <c r="D608" s="294"/>
      <c r="E608" s="294"/>
      <c r="AB608" s="188"/>
    </row>
    <row r="609" spans="2:28" ht="13">
      <c r="B609" s="294"/>
      <c r="C609" s="294"/>
      <c r="D609" s="294"/>
      <c r="E609" s="294"/>
      <c r="AB609" s="188"/>
    </row>
    <row r="610" spans="2:28" ht="13">
      <c r="B610" s="294"/>
      <c r="C610" s="294"/>
      <c r="D610" s="294"/>
      <c r="E610" s="294"/>
      <c r="AB610" s="188"/>
    </row>
    <row r="611" spans="2:28" ht="13">
      <c r="B611" s="294"/>
      <c r="C611" s="294"/>
      <c r="D611" s="294"/>
      <c r="E611" s="294"/>
      <c r="AB611" s="188"/>
    </row>
    <row r="612" spans="2:28" ht="13">
      <c r="B612" s="294"/>
      <c r="C612" s="294"/>
      <c r="D612" s="294"/>
      <c r="E612" s="294"/>
      <c r="AB612" s="188"/>
    </row>
    <row r="613" spans="2:28" ht="13">
      <c r="B613" s="294"/>
      <c r="C613" s="294"/>
      <c r="D613" s="294"/>
      <c r="E613" s="294"/>
      <c r="AB613" s="188"/>
    </row>
    <row r="614" spans="2:28" ht="13">
      <c r="B614" s="294"/>
      <c r="C614" s="294"/>
      <c r="D614" s="294"/>
      <c r="E614" s="294"/>
      <c r="AB614" s="188"/>
    </row>
    <row r="615" spans="2:28" ht="13">
      <c r="B615" s="294"/>
      <c r="C615" s="294"/>
      <c r="D615" s="294"/>
      <c r="E615" s="294"/>
      <c r="AB615" s="188"/>
    </row>
    <row r="616" spans="2:28" ht="13">
      <c r="B616" s="294"/>
      <c r="C616" s="294"/>
      <c r="D616" s="294"/>
      <c r="E616" s="294"/>
      <c r="AB616" s="188"/>
    </row>
    <row r="617" spans="2:28" ht="13">
      <c r="B617" s="294"/>
      <c r="C617" s="294"/>
      <c r="D617" s="294"/>
      <c r="E617" s="294"/>
      <c r="AB617" s="188"/>
    </row>
    <row r="618" spans="2:28" ht="13">
      <c r="B618" s="294"/>
      <c r="C618" s="294"/>
      <c r="D618" s="294"/>
      <c r="E618" s="294"/>
      <c r="AB618" s="188"/>
    </row>
    <row r="619" spans="2:28" ht="13">
      <c r="B619" s="294"/>
      <c r="C619" s="294"/>
      <c r="D619" s="294"/>
      <c r="E619" s="294"/>
      <c r="AB619" s="188"/>
    </row>
    <row r="620" spans="2:28" ht="13">
      <c r="B620" s="294"/>
      <c r="C620" s="294"/>
      <c r="D620" s="294"/>
      <c r="E620" s="294"/>
      <c r="AB620" s="188"/>
    </row>
    <row r="621" spans="2:28" ht="13">
      <c r="B621" s="294"/>
      <c r="C621" s="294"/>
      <c r="D621" s="294"/>
      <c r="E621" s="294"/>
      <c r="AB621" s="188"/>
    </row>
    <row r="622" spans="2:28" ht="13">
      <c r="B622" s="294"/>
      <c r="C622" s="294"/>
      <c r="D622" s="294"/>
      <c r="E622" s="294"/>
      <c r="AB622" s="188"/>
    </row>
    <row r="623" spans="2:28" ht="13">
      <c r="B623" s="294"/>
      <c r="C623" s="294"/>
      <c r="D623" s="294"/>
      <c r="E623" s="294"/>
      <c r="AB623" s="188"/>
    </row>
    <row r="624" spans="2:28" ht="13">
      <c r="B624" s="294"/>
      <c r="C624" s="294"/>
      <c r="D624" s="294"/>
      <c r="E624" s="294"/>
      <c r="AB624" s="188"/>
    </row>
    <row r="625" spans="2:28" ht="13">
      <c r="B625" s="294"/>
      <c r="C625" s="294"/>
      <c r="D625" s="294"/>
      <c r="E625" s="294"/>
      <c r="AB625" s="188"/>
    </row>
    <row r="626" spans="2:28" ht="13">
      <c r="B626" s="294"/>
      <c r="C626" s="294"/>
      <c r="D626" s="294"/>
      <c r="E626" s="294"/>
      <c r="AB626" s="188"/>
    </row>
    <row r="627" spans="2:28" ht="13">
      <c r="B627" s="294"/>
      <c r="C627" s="294"/>
      <c r="D627" s="294"/>
      <c r="E627" s="294"/>
      <c r="AB627" s="188"/>
    </row>
    <row r="628" spans="2:28" ht="13">
      <c r="B628" s="294"/>
      <c r="C628" s="294"/>
      <c r="D628" s="294"/>
      <c r="E628" s="294"/>
      <c r="AB628" s="188"/>
    </row>
    <row r="629" spans="2:28" ht="13">
      <c r="B629" s="294"/>
      <c r="C629" s="294"/>
      <c r="D629" s="294"/>
      <c r="E629" s="294"/>
      <c r="AB629" s="188"/>
    </row>
    <row r="630" spans="2:28" ht="13">
      <c r="B630" s="294"/>
      <c r="C630" s="294"/>
      <c r="D630" s="294"/>
      <c r="E630" s="294"/>
      <c r="AB630" s="188"/>
    </row>
    <row r="631" spans="2:28" ht="13">
      <c r="B631" s="294"/>
      <c r="C631" s="294"/>
      <c r="D631" s="294"/>
      <c r="E631" s="294"/>
      <c r="AB631" s="188"/>
    </row>
    <row r="632" spans="2:28" ht="13">
      <c r="B632" s="294"/>
      <c r="C632" s="294"/>
      <c r="D632" s="294"/>
      <c r="E632" s="294"/>
      <c r="AB632" s="188"/>
    </row>
    <row r="633" spans="2:28" ht="13">
      <c r="B633" s="294"/>
      <c r="C633" s="294"/>
      <c r="D633" s="294"/>
      <c r="E633" s="294"/>
      <c r="AB633" s="188"/>
    </row>
    <row r="634" spans="2:28" ht="13">
      <c r="B634" s="294"/>
      <c r="C634" s="294"/>
      <c r="D634" s="294"/>
      <c r="E634" s="294"/>
      <c r="AB634" s="188"/>
    </row>
    <row r="635" spans="2:28" ht="13">
      <c r="B635" s="294"/>
      <c r="C635" s="294"/>
      <c r="D635" s="294"/>
      <c r="E635" s="294"/>
      <c r="AB635" s="188"/>
    </row>
    <row r="636" spans="2:28" ht="13">
      <c r="B636" s="294"/>
      <c r="C636" s="294"/>
      <c r="D636" s="294"/>
      <c r="E636" s="294"/>
      <c r="AB636" s="188"/>
    </row>
    <row r="637" spans="2:28" ht="13">
      <c r="B637" s="294"/>
      <c r="C637" s="294"/>
      <c r="D637" s="294"/>
      <c r="E637" s="294"/>
      <c r="AB637" s="188"/>
    </row>
    <row r="638" spans="2:28" ht="13">
      <c r="B638" s="294"/>
      <c r="C638" s="294"/>
      <c r="D638" s="294"/>
      <c r="E638" s="294"/>
      <c r="AB638" s="188"/>
    </row>
    <row r="639" spans="2:28" ht="13">
      <c r="B639" s="294"/>
      <c r="C639" s="294"/>
      <c r="D639" s="294"/>
      <c r="E639" s="294"/>
      <c r="AB639" s="188"/>
    </row>
    <row r="640" spans="2:28" ht="13">
      <c r="B640" s="294"/>
      <c r="C640" s="294"/>
      <c r="D640" s="294"/>
      <c r="E640" s="294"/>
      <c r="AB640" s="188"/>
    </row>
    <row r="641" spans="2:28" ht="13">
      <c r="B641" s="294"/>
      <c r="C641" s="294"/>
      <c r="D641" s="294"/>
      <c r="E641" s="294"/>
      <c r="AB641" s="188"/>
    </row>
    <row r="642" spans="2:28" ht="13">
      <c r="B642" s="294"/>
      <c r="C642" s="294"/>
      <c r="D642" s="294"/>
      <c r="E642" s="294"/>
      <c r="AB642" s="188"/>
    </row>
    <row r="643" spans="2:28" ht="13">
      <c r="B643" s="294"/>
      <c r="C643" s="294"/>
      <c r="D643" s="294"/>
      <c r="E643" s="294"/>
      <c r="AB643" s="188"/>
    </row>
    <row r="644" spans="2:28" ht="13">
      <c r="B644" s="294"/>
      <c r="C644" s="294"/>
      <c r="D644" s="294"/>
      <c r="E644" s="294"/>
      <c r="AB644" s="188"/>
    </row>
    <row r="645" spans="2:28" ht="13">
      <c r="B645" s="294"/>
      <c r="C645" s="294"/>
      <c r="D645" s="294"/>
      <c r="E645" s="294"/>
      <c r="AB645" s="188"/>
    </row>
    <row r="646" spans="2:28" ht="13">
      <c r="B646" s="294"/>
      <c r="C646" s="294"/>
      <c r="D646" s="294"/>
      <c r="E646" s="294"/>
      <c r="AB646" s="188"/>
    </row>
    <row r="647" spans="2:28" ht="13">
      <c r="B647" s="294"/>
      <c r="C647" s="294"/>
      <c r="D647" s="294"/>
      <c r="E647" s="294"/>
      <c r="AB647" s="188"/>
    </row>
    <row r="648" spans="2:28" ht="13">
      <c r="B648" s="294"/>
      <c r="C648" s="294"/>
      <c r="D648" s="294"/>
      <c r="E648" s="294"/>
      <c r="AB648" s="188"/>
    </row>
    <row r="649" spans="2:28" ht="13">
      <c r="B649" s="294"/>
      <c r="C649" s="294"/>
      <c r="D649" s="294"/>
      <c r="E649" s="294"/>
      <c r="AB649" s="188"/>
    </row>
    <row r="650" spans="2:28" ht="13">
      <c r="B650" s="294"/>
      <c r="C650" s="294"/>
      <c r="D650" s="294"/>
      <c r="E650" s="294"/>
      <c r="AB650" s="188"/>
    </row>
    <row r="651" spans="2:28" ht="13">
      <c r="B651" s="294"/>
      <c r="C651" s="294"/>
      <c r="D651" s="294"/>
      <c r="E651" s="294"/>
      <c r="AB651" s="188"/>
    </row>
    <row r="652" spans="2:28" ht="13">
      <c r="B652" s="294"/>
      <c r="C652" s="294"/>
      <c r="D652" s="294"/>
      <c r="E652" s="294"/>
      <c r="AB652" s="188"/>
    </row>
    <row r="653" spans="2:28" ht="13">
      <c r="B653" s="294"/>
      <c r="C653" s="294"/>
      <c r="D653" s="294"/>
      <c r="E653" s="294"/>
      <c r="AB653" s="188"/>
    </row>
    <row r="654" spans="2:28" ht="13">
      <c r="B654" s="294"/>
      <c r="C654" s="294"/>
      <c r="D654" s="294"/>
      <c r="E654" s="294"/>
      <c r="AB654" s="188"/>
    </row>
    <row r="655" spans="2:28" ht="13">
      <c r="B655" s="294"/>
      <c r="C655" s="294"/>
      <c r="D655" s="294"/>
      <c r="E655" s="294"/>
      <c r="AB655" s="188"/>
    </row>
    <row r="656" spans="2:28" ht="13">
      <c r="B656" s="294"/>
      <c r="C656" s="294"/>
      <c r="D656" s="294"/>
      <c r="E656" s="294"/>
      <c r="AB656" s="188"/>
    </row>
    <row r="657" spans="2:28" ht="13">
      <c r="B657" s="294"/>
      <c r="C657" s="294"/>
      <c r="D657" s="294"/>
      <c r="E657" s="294"/>
      <c r="AB657" s="188"/>
    </row>
    <row r="658" spans="2:28" ht="13">
      <c r="B658" s="294"/>
      <c r="C658" s="294"/>
      <c r="D658" s="294"/>
      <c r="E658" s="294"/>
      <c r="AB658" s="188"/>
    </row>
    <row r="659" spans="2:28" ht="13">
      <c r="B659" s="294"/>
      <c r="C659" s="294"/>
      <c r="D659" s="294"/>
      <c r="E659" s="294"/>
      <c r="AB659" s="188"/>
    </row>
    <row r="660" spans="2:28" ht="13">
      <c r="B660" s="294"/>
      <c r="C660" s="294"/>
      <c r="D660" s="294"/>
      <c r="E660" s="294"/>
      <c r="AB660" s="188"/>
    </row>
    <row r="661" spans="2:28" ht="13">
      <c r="B661" s="294"/>
      <c r="C661" s="294"/>
      <c r="D661" s="294"/>
      <c r="E661" s="294"/>
      <c r="AB661" s="188"/>
    </row>
    <row r="662" spans="2:28" ht="13">
      <c r="B662" s="294"/>
      <c r="C662" s="294"/>
      <c r="D662" s="294"/>
      <c r="E662" s="294"/>
      <c r="AB662" s="188"/>
    </row>
    <row r="663" spans="2:28" ht="13">
      <c r="B663" s="294"/>
      <c r="C663" s="294"/>
      <c r="D663" s="294"/>
      <c r="E663" s="294"/>
      <c r="AB663" s="188"/>
    </row>
    <row r="664" spans="2:28" ht="13">
      <c r="B664" s="294"/>
      <c r="C664" s="294"/>
      <c r="D664" s="294"/>
      <c r="E664" s="294"/>
      <c r="AB664" s="188"/>
    </row>
    <row r="665" spans="2:28" ht="13">
      <c r="B665" s="294"/>
      <c r="C665" s="294"/>
      <c r="D665" s="294"/>
      <c r="E665" s="294"/>
      <c r="AB665" s="188"/>
    </row>
    <row r="666" spans="2:28" ht="13">
      <c r="B666" s="294"/>
      <c r="C666" s="294"/>
      <c r="D666" s="294"/>
      <c r="E666" s="294"/>
      <c r="AB666" s="188"/>
    </row>
    <row r="667" spans="2:28" ht="13">
      <c r="B667" s="294"/>
      <c r="C667" s="294"/>
      <c r="D667" s="294"/>
      <c r="E667" s="294"/>
      <c r="AB667" s="188"/>
    </row>
    <row r="668" spans="2:28" ht="13">
      <c r="B668" s="294"/>
      <c r="C668" s="294"/>
      <c r="D668" s="294"/>
      <c r="E668" s="294"/>
      <c r="AB668" s="188"/>
    </row>
    <row r="669" spans="2:28" ht="13">
      <c r="B669" s="294"/>
      <c r="C669" s="294"/>
      <c r="D669" s="294"/>
      <c r="E669" s="294"/>
      <c r="AB669" s="188"/>
    </row>
    <row r="670" spans="2:28" ht="13">
      <c r="B670" s="294"/>
      <c r="C670" s="294"/>
      <c r="D670" s="294"/>
      <c r="E670" s="294"/>
      <c r="AB670" s="188"/>
    </row>
    <row r="671" spans="2:28" ht="13">
      <c r="B671" s="294"/>
      <c r="C671" s="294"/>
      <c r="D671" s="294"/>
      <c r="E671" s="294"/>
      <c r="AB671" s="188"/>
    </row>
    <row r="672" spans="2:28" ht="13">
      <c r="B672" s="294"/>
      <c r="C672" s="294"/>
      <c r="D672" s="294"/>
      <c r="E672" s="294"/>
      <c r="AB672" s="188"/>
    </row>
    <row r="673" spans="2:28" ht="13">
      <c r="B673" s="294"/>
      <c r="C673" s="294"/>
      <c r="D673" s="294"/>
      <c r="E673" s="294"/>
      <c r="AB673" s="188"/>
    </row>
    <row r="674" spans="2:28" ht="13">
      <c r="B674" s="294"/>
      <c r="C674" s="294"/>
      <c r="D674" s="294"/>
      <c r="E674" s="294"/>
      <c r="AB674" s="188"/>
    </row>
    <row r="675" spans="2:28" ht="13">
      <c r="B675" s="294"/>
      <c r="C675" s="294"/>
      <c r="D675" s="294"/>
      <c r="E675" s="294"/>
      <c r="AB675" s="188"/>
    </row>
    <row r="676" spans="2:28" ht="13">
      <c r="B676" s="294"/>
      <c r="C676" s="294"/>
      <c r="D676" s="294"/>
      <c r="E676" s="294"/>
      <c r="AB676" s="188"/>
    </row>
    <row r="677" spans="2:28" ht="13">
      <c r="B677" s="294"/>
      <c r="C677" s="294"/>
      <c r="D677" s="294"/>
      <c r="E677" s="294"/>
      <c r="AB677" s="188"/>
    </row>
    <row r="678" spans="2:28" ht="13">
      <c r="B678" s="294"/>
      <c r="C678" s="294"/>
      <c r="D678" s="294"/>
      <c r="E678" s="294"/>
      <c r="AB678" s="188"/>
    </row>
    <row r="679" spans="2:28" ht="13">
      <c r="B679" s="294"/>
      <c r="C679" s="294"/>
      <c r="D679" s="294"/>
      <c r="E679" s="294"/>
      <c r="AB679" s="188"/>
    </row>
    <row r="680" spans="2:28" ht="13">
      <c r="B680" s="294"/>
      <c r="C680" s="294"/>
      <c r="D680" s="294"/>
      <c r="E680" s="294"/>
      <c r="AB680" s="188"/>
    </row>
    <row r="681" spans="2:28" ht="13">
      <c r="B681" s="294"/>
      <c r="C681" s="294"/>
      <c r="D681" s="294"/>
      <c r="E681" s="294"/>
      <c r="AB681" s="188"/>
    </row>
    <row r="682" spans="2:28" ht="13">
      <c r="B682" s="294"/>
      <c r="C682" s="294"/>
      <c r="D682" s="294"/>
      <c r="E682" s="294"/>
      <c r="AB682" s="188"/>
    </row>
    <row r="683" spans="2:28" ht="13">
      <c r="B683" s="294"/>
      <c r="C683" s="294"/>
      <c r="D683" s="294"/>
      <c r="E683" s="294"/>
      <c r="AB683" s="188"/>
    </row>
    <row r="684" spans="2:28" ht="13">
      <c r="B684" s="294"/>
      <c r="C684" s="294"/>
      <c r="D684" s="294"/>
      <c r="E684" s="294"/>
      <c r="AB684" s="188"/>
    </row>
    <row r="685" spans="2:28" ht="13">
      <c r="B685" s="294"/>
      <c r="C685" s="294"/>
      <c r="D685" s="294"/>
      <c r="E685" s="294"/>
      <c r="AB685" s="188"/>
    </row>
    <row r="686" spans="2:28" ht="13">
      <c r="B686" s="294"/>
      <c r="C686" s="294"/>
      <c r="D686" s="294"/>
      <c r="E686" s="294"/>
      <c r="AB686" s="188"/>
    </row>
    <row r="687" spans="2:28" ht="13">
      <c r="B687" s="294"/>
      <c r="C687" s="294"/>
      <c r="D687" s="294"/>
      <c r="E687" s="294"/>
      <c r="AB687" s="188"/>
    </row>
    <row r="688" spans="2:28" ht="13">
      <c r="B688" s="294"/>
      <c r="C688" s="294"/>
      <c r="D688" s="294"/>
      <c r="E688" s="294"/>
      <c r="AB688" s="188"/>
    </row>
    <row r="689" spans="2:28" ht="13">
      <c r="B689" s="294"/>
      <c r="C689" s="294"/>
      <c r="D689" s="294"/>
      <c r="E689" s="294"/>
      <c r="AB689" s="188"/>
    </row>
    <row r="690" spans="2:28" ht="13">
      <c r="B690" s="294"/>
      <c r="C690" s="294"/>
      <c r="D690" s="294"/>
      <c r="E690" s="294"/>
      <c r="AB690" s="188"/>
    </row>
    <row r="691" spans="2:28" ht="13">
      <c r="B691" s="294"/>
      <c r="C691" s="294"/>
      <c r="D691" s="294"/>
      <c r="E691" s="294"/>
      <c r="AB691" s="188"/>
    </row>
    <row r="692" spans="2:28" ht="13">
      <c r="B692" s="294"/>
      <c r="C692" s="294"/>
      <c r="D692" s="294"/>
      <c r="E692" s="294"/>
      <c r="AB692" s="188"/>
    </row>
    <row r="693" spans="2:28" ht="13">
      <c r="B693" s="294"/>
      <c r="C693" s="294"/>
      <c r="D693" s="294"/>
      <c r="E693" s="294"/>
      <c r="AB693" s="188"/>
    </row>
    <row r="694" spans="2:28" ht="13">
      <c r="B694" s="294"/>
      <c r="C694" s="294"/>
      <c r="D694" s="294"/>
      <c r="E694" s="294"/>
      <c r="AB694" s="188"/>
    </row>
    <row r="695" spans="2:28" ht="13">
      <c r="B695" s="294"/>
      <c r="C695" s="294"/>
      <c r="D695" s="294"/>
      <c r="E695" s="294"/>
      <c r="AB695" s="188"/>
    </row>
    <row r="696" spans="2:28" ht="13">
      <c r="B696" s="294"/>
      <c r="C696" s="294"/>
      <c r="D696" s="294"/>
      <c r="E696" s="294"/>
      <c r="AB696" s="188"/>
    </row>
    <row r="697" spans="2:28" ht="13">
      <c r="B697" s="294"/>
      <c r="C697" s="294"/>
      <c r="D697" s="294"/>
      <c r="E697" s="294"/>
      <c r="AB697" s="188"/>
    </row>
    <row r="698" spans="2:28" ht="13">
      <c r="B698" s="294"/>
      <c r="C698" s="294"/>
      <c r="D698" s="294"/>
      <c r="E698" s="294"/>
      <c r="AB698" s="188"/>
    </row>
    <row r="699" spans="2:28" ht="13">
      <c r="B699" s="294"/>
      <c r="C699" s="294"/>
      <c r="D699" s="294"/>
      <c r="E699" s="294"/>
      <c r="AB699" s="188"/>
    </row>
    <row r="700" spans="2:28" ht="13">
      <c r="B700" s="294"/>
      <c r="C700" s="294"/>
      <c r="D700" s="294"/>
      <c r="E700" s="294"/>
      <c r="AB700" s="188"/>
    </row>
    <row r="701" spans="2:28" ht="13">
      <c r="B701" s="294"/>
      <c r="C701" s="294"/>
      <c r="D701" s="294"/>
      <c r="E701" s="294"/>
      <c r="AB701" s="188"/>
    </row>
    <row r="702" spans="2:28" ht="13">
      <c r="B702" s="294"/>
      <c r="C702" s="294"/>
      <c r="D702" s="294"/>
      <c r="E702" s="294"/>
      <c r="AB702" s="188"/>
    </row>
    <row r="703" spans="2:28" ht="13">
      <c r="B703" s="294"/>
      <c r="C703" s="294"/>
      <c r="D703" s="294"/>
      <c r="E703" s="294"/>
      <c r="AB703" s="188"/>
    </row>
    <row r="704" spans="2:28" ht="13">
      <c r="B704" s="294"/>
      <c r="C704" s="294"/>
      <c r="D704" s="294"/>
      <c r="E704" s="294"/>
      <c r="AB704" s="188"/>
    </row>
    <row r="705" spans="2:28" ht="13">
      <c r="B705" s="294"/>
      <c r="C705" s="294"/>
      <c r="D705" s="294"/>
      <c r="E705" s="294"/>
      <c r="AB705" s="188"/>
    </row>
    <row r="706" spans="2:28" ht="13">
      <c r="B706" s="294"/>
      <c r="C706" s="294"/>
      <c r="D706" s="294"/>
      <c r="E706" s="294"/>
      <c r="AB706" s="188"/>
    </row>
    <row r="707" spans="2:28" ht="13">
      <c r="B707" s="294"/>
      <c r="C707" s="294"/>
      <c r="D707" s="294"/>
      <c r="E707" s="294"/>
      <c r="AB707" s="188"/>
    </row>
    <row r="708" spans="2:28" ht="13">
      <c r="B708" s="294"/>
      <c r="C708" s="294"/>
      <c r="D708" s="294"/>
      <c r="E708" s="294"/>
      <c r="AB708" s="188"/>
    </row>
    <row r="709" spans="2:28" ht="13">
      <c r="B709" s="294"/>
      <c r="C709" s="294"/>
      <c r="D709" s="294"/>
      <c r="E709" s="294"/>
      <c r="AB709" s="188"/>
    </row>
    <row r="710" spans="2:28" ht="13">
      <c r="B710" s="294"/>
      <c r="C710" s="294"/>
      <c r="D710" s="294"/>
      <c r="E710" s="294"/>
      <c r="AB710" s="188"/>
    </row>
    <row r="711" spans="2:28" ht="13">
      <c r="B711" s="294"/>
      <c r="C711" s="294"/>
      <c r="D711" s="294"/>
      <c r="E711" s="294"/>
      <c r="AB711" s="188"/>
    </row>
    <row r="712" spans="2:28" ht="13">
      <c r="B712" s="294"/>
      <c r="C712" s="294"/>
      <c r="D712" s="294"/>
      <c r="E712" s="294"/>
      <c r="AB712" s="188"/>
    </row>
    <row r="713" spans="2:28" ht="13">
      <c r="B713" s="294"/>
      <c r="C713" s="294"/>
      <c r="D713" s="294"/>
      <c r="E713" s="294"/>
      <c r="AB713" s="188"/>
    </row>
    <row r="714" spans="2:28" ht="13">
      <c r="B714" s="294"/>
      <c r="C714" s="294"/>
      <c r="D714" s="294"/>
      <c r="E714" s="294"/>
      <c r="AB714" s="188"/>
    </row>
    <row r="715" spans="2:28" ht="13">
      <c r="B715" s="294"/>
      <c r="C715" s="294"/>
      <c r="D715" s="294"/>
      <c r="E715" s="294"/>
      <c r="AB715" s="188"/>
    </row>
    <row r="716" spans="2:28" ht="13">
      <c r="B716" s="294"/>
      <c r="C716" s="294"/>
      <c r="D716" s="294"/>
      <c r="E716" s="294"/>
      <c r="AB716" s="188"/>
    </row>
    <row r="717" spans="2:28" ht="13">
      <c r="B717" s="294"/>
      <c r="C717" s="294"/>
      <c r="D717" s="294"/>
      <c r="E717" s="294"/>
      <c r="AB717" s="188"/>
    </row>
    <row r="718" spans="2:28" ht="13">
      <c r="B718" s="294"/>
      <c r="C718" s="294"/>
      <c r="D718" s="294"/>
      <c r="E718" s="294"/>
      <c r="AB718" s="188"/>
    </row>
    <row r="719" spans="2:28" ht="13">
      <c r="B719" s="294"/>
      <c r="C719" s="294"/>
      <c r="D719" s="294"/>
      <c r="E719" s="294"/>
      <c r="AB719" s="188"/>
    </row>
    <row r="720" spans="2:28" ht="13">
      <c r="B720" s="294"/>
      <c r="C720" s="294"/>
      <c r="D720" s="294"/>
      <c r="E720" s="294"/>
      <c r="AB720" s="188"/>
    </row>
    <row r="721" spans="2:28" ht="13">
      <c r="B721" s="294"/>
      <c r="C721" s="294"/>
      <c r="D721" s="294"/>
      <c r="E721" s="294"/>
      <c r="AB721" s="188"/>
    </row>
    <row r="722" spans="2:28" ht="13">
      <c r="B722" s="294"/>
      <c r="C722" s="294"/>
      <c r="D722" s="294"/>
      <c r="E722" s="294"/>
      <c r="AB722" s="188"/>
    </row>
    <row r="723" spans="2:28" ht="13">
      <c r="B723" s="294"/>
      <c r="C723" s="294"/>
      <c r="D723" s="294"/>
      <c r="E723" s="294"/>
      <c r="AB723" s="188"/>
    </row>
    <row r="724" spans="2:28" ht="13">
      <c r="B724" s="294"/>
      <c r="C724" s="294"/>
      <c r="D724" s="294"/>
      <c r="E724" s="294"/>
      <c r="AB724" s="188"/>
    </row>
    <row r="725" spans="2:28" ht="13">
      <c r="B725" s="294"/>
      <c r="C725" s="294"/>
      <c r="D725" s="294"/>
      <c r="E725" s="294"/>
      <c r="AB725" s="188"/>
    </row>
    <row r="726" spans="2:28" ht="13">
      <c r="B726" s="294"/>
      <c r="C726" s="294"/>
      <c r="D726" s="294"/>
      <c r="E726" s="294"/>
      <c r="AB726" s="188"/>
    </row>
    <row r="727" spans="2:28" ht="13">
      <c r="B727" s="294"/>
      <c r="C727" s="294"/>
      <c r="D727" s="294"/>
      <c r="E727" s="294"/>
      <c r="AB727" s="188"/>
    </row>
    <row r="728" spans="2:28" ht="13">
      <c r="B728" s="294"/>
      <c r="C728" s="294"/>
      <c r="D728" s="294"/>
      <c r="E728" s="294"/>
      <c r="AB728" s="188"/>
    </row>
    <row r="729" spans="2:28" ht="13">
      <c r="B729" s="294"/>
      <c r="C729" s="294"/>
      <c r="D729" s="294"/>
      <c r="E729" s="294"/>
      <c r="AB729" s="188"/>
    </row>
    <row r="730" spans="2:28" ht="13">
      <c r="B730" s="294"/>
      <c r="C730" s="294"/>
      <c r="D730" s="294"/>
      <c r="E730" s="294"/>
      <c r="AB730" s="188"/>
    </row>
    <row r="731" spans="2:28" ht="13">
      <c r="B731" s="294"/>
      <c r="C731" s="294"/>
      <c r="D731" s="294"/>
      <c r="E731" s="294"/>
      <c r="AB731" s="188"/>
    </row>
    <row r="732" spans="2:28" ht="13">
      <c r="B732" s="294"/>
      <c r="C732" s="294"/>
      <c r="D732" s="294"/>
      <c r="E732" s="294"/>
      <c r="AB732" s="188"/>
    </row>
    <row r="733" spans="2:28" ht="13">
      <c r="B733" s="294"/>
      <c r="C733" s="294"/>
      <c r="D733" s="294"/>
      <c r="E733" s="294"/>
      <c r="AB733" s="188"/>
    </row>
    <row r="734" spans="2:28" ht="13">
      <c r="B734" s="294"/>
      <c r="C734" s="294"/>
      <c r="D734" s="294"/>
      <c r="E734" s="294"/>
      <c r="AB734" s="188"/>
    </row>
    <row r="735" spans="2:28" ht="13">
      <c r="B735" s="294"/>
      <c r="C735" s="294"/>
      <c r="D735" s="294"/>
      <c r="E735" s="294"/>
      <c r="AB735" s="188"/>
    </row>
    <row r="736" spans="2:28" ht="13">
      <c r="B736" s="294"/>
      <c r="C736" s="294"/>
      <c r="D736" s="294"/>
      <c r="E736" s="294"/>
      <c r="AB736" s="188"/>
    </row>
    <row r="737" spans="2:28" ht="13">
      <c r="B737" s="294"/>
      <c r="C737" s="294"/>
      <c r="D737" s="294"/>
      <c r="E737" s="294"/>
      <c r="AB737" s="188"/>
    </row>
    <row r="738" spans="2:28" ht="13">
      <c r="B738" s="294"/>
      <c r="C738" s="294"/>
      <c r="D738" s="294"/>
      <c r="E738" s="294"/>
      <c r="AB738" s="188"/>
    </row>
    <row r="739" spans="2:28" ht="13">
      <c r="B739" s="294"/>
      <c r="C739" s="294"/>
      <c r="D739" s="294"/>
      <c r="E739" s="294"/>
      <c r="AB739" s="188"/>
    </row>
    <row r="740" spans="2:28" ht="13">
      <c r="B740" s="294"/>
      <c r="C740" s="294"/>
      <c r="D740" s="294"/>
      <c r="E740" s="294"/>
      <c r="AB740" s="188"/>
    </row>
    <row r="741" spans="2:28" ht="13">
      <c r="B741" s="294"/>
      <c r="C741" s="294"/>
      <c r="D741" s="294"/>
      <c r="E741" s="294"/>
      <c r="AB741" s="188"/>
    </row>
    <row r="742" spans="2:28" ht="13">
      <c r="B742" s="294"/>
      <c r="C742" s="294"/>
      <c r="D742" s="294"/>
      <c r="E742" s="294"/>
      <c r="AB742" s="188"/>
    </row>
    <row r="743" spans="2:28" ht="13">
      <c r="B743" s="294"/>
      <c r="C743" s="294"/>
      <c r="D743" s="294"/>
      <c r="E743" s="294"/>
      <c r="AB743" s="188"/>
    </row>
    <row r="744" spans="2:28" ht="13">
      <c r="B744" s="294"/>
      <c r="C744" s="294"/>
      <c r="D744" s="294"/>
      <c r="E744" s="294"/>
      <c r="AB744" s="188"/>
    </row>
    <row r="745" spans="2:28" ht="13">
      <c r="B745" s="294"/>
      <c r="C745" s="294"/>
      <c r="D745" s="294"/>
      <c r="E745" s="294"/>
      <c r="AB745" s="188"/>
    </row>
    <row r="746" spans="2:28" ht="13">
      <c r="B746" s="294"/>
      <c r="C746" s="294"/>
      <c r="D746" s="294"/>
      <c r="E746" s="294"/>
      <c r="AB746" s="188"/>
    </row>
    <row r="747" spans="2:28" ht="13">
      <c r="B747" s="294"/>
      <c r="C747" s="294"/>
      <c r="D747" s="294"/>
      <c r="E747" s="294"/>
      <c r="AB747" s="188"/>
    </row>
    <row r="748" spans="2:28" ht="13">
      <c r="B748" s="294"/>
      <c r="C748" s="294"/>
      <c r="D748" s="294"/>
      <c r="E748" s="294"/>
      <c r="AB748" s="188"/>
    </row>
    <row r="749" spans="2:28" ht="13">
      <c r="B749" s="294"/>
      <c r="C749" s="294"/>
      <c r="D749" s="294"/>
      <c r="E749" s="294"/>
      <c r="AB749" s="188"/>
    </row>
    <row r="750" spans="2:28" ht="13">
      <c r="B750" s="294"/>
      <c r="C750" s="294"/>
      <c r="D750" s="294"/>
      <c r="E750" s="294"/>
      <c r="AB750" s="188"/>
    </row>
    <row r="751" spans="2:28" ht="13">
      <c r="B751" s="294"/>
      <c r="C751" s="294"/>
      <c r="D751" s="294"/>
      <c r="E751" s="294"/>
      <c r="AB751" s="188"/>
    </row>
    <row r="752" spans="2:28" ht="13">
      <c r="B752" s="294"/>
      <c r="C752" s="294"/>
      <c r="D752" s="294"/>
      <c r="E752" s="294"/>
      <c r="AB752" s="188"/>
    </row>
    <row r="753" spans="2:28" ht="13">
      <c r="B753" s="294"/>
      <c r="C753" s="294"/>
      <c r="D753" s="294"/>
      <c r="E753" s="294"/>
      <c r="AB753" s="188"/>
    </row>
    <row r="754" spans="2:28" ht="13">
      <c r="B754" s="294"/>
      <c r="C754" s="294"/>
      <c r="D754" s="294"/>
      <c r="E754" s="294"/>
      <c r="AB754" s="188"/>
    </row>
    <row r="755" spans="2:28" ht="13">
      <c r="B755" s="294"/>
      <c r="C755" s="294"/>
      <c r="D755" s="294"/>
      <c r="E755" s="294"/>
      <c r="AB755" s="188"/>
    </row>
    <row r="756" spans="2:28" ht="13">
      <c r="B756" s="294"/>
      <c r="C756" s="294"/>
      <c r="D756" s="294"/>
      <c r="E756" s="294"/>
      <c r="AB756" s="188"/>
    </row>
    <row r="757" spans="2:28" ht="13">
      <c r="B757" s="294"/>
      <c r="C757" s="294"/>
      <c r="D757" s="294"/>
      <c r="E757" s="294"/>
      <c r="AB757" s="188"/>
    </row>
    <row r="758" spans="2:28" ht="13">
      <c r="B758" s="294"/>
      <c r="C758" s="294"/>
      <c r="D758" s="294"/>
      <c r="E758" s="294"/>
      <c r="AB758" s="188"/>
    </row>
    <row r="759" spans="2:28" ht="13">
      <c r="B759" s="294"/>
      <c r="C759" s="294"/>
      <c r="D759" s="294"/>
      <c r="E759" s="294"/>
      <c r="AB759" s="188"/>
    </row>
    <row r="760" spans="2:28" ht="13">
      <c r="B760" s="294"/>
      <c r="C760" s="294"/>
      <c r="D760" s="294"/>
      <c r="E760" s="294"/>
      <c r="AB760" s="188"/>
    </row>
    <row r="761" spans="2:28" ht="13">
      <c r="B761" s="294"/>
      <c r="C761" s="294"/>
      <c r="D761" s="294"/>
      <c r="E761" s="294"/>
      <c r="AB761" s="188"/>
    </row>
    <row r="762" spans="2:28" ht="13">
      <c r="B762" s="294"/>
      <c r="C762" s="294"/>
      <c r="D762" s="294"/>
      <c r="E762" s="294"/>
      <c r="AB762" s="188"/>
    </row>
    <row r="763" spans="2:28" ht="13">
      <c r="B763" s="294"/>
      <c r="C763" s="294"/>
      <c r="D763" s="294"/>
      <c r="E763" s="294"/>
      <c r="AB763" s="188"/>
    </row>
    <row r="764" spans="2:28" ht="13">
      <c r="B764" s="294"/>
      <c r="C764" s="294"/>
      <c r="D764" s="294"/>
      <c r="E764" s="294"/>
      <c r="AB764" s="188"/>
    </row>
    <row r="765" spans="2:28" ht="13">
      <c r="B765" s="294"/>
      <c r="C765" s="294"/>
      <c r="D765" s="294"/>
      <c r="E765" s="294"/>
      <c r="AB765" s="188"/>
    </row>
    <row r="766" spans="2:28" ht="13">
      <c r="B766" s="294"/>
      <c r="C766" s="294"/>
      <c r="D766" s="294"/>
      <c r="E766" s="294"/>
      <c r="AB766" s="188"/>
    </row>
    <row r="767" spans="2:28" ht="13">
      <c r="B767" s="294"/>
      <c r="C767" s="294"/>
      <c r="D767" s="294"/>
      <c r="E767" s="294"/>
      <c r="AB767" s="188"/>
    </row>
    <row r="768" spans="2:28" ht="13">
      <c r="B768" s="294"/>
      <c r="C768" s="294"/>
      <c r="D768" s="294"/>
      <c r="E768" s="294"/>
      <c r="AB768" s="188"/>
    </row>
    <row r="769" spans="2:28" ht="13">
      <c r="B769" s="294"/>
      <c r="C769" s="294"/>
      <c r="D769" s="294"/>
      <c r="E769" s="294"/>
      <c r="AB769" s="188"/>
    </row>
    <row r="770" spans="2:28" ht="13">
      <c r="B770" s="294"/>
      <c r="C770" s="294"/>
      <c r="D770" s="294"/>
      <c r="E770" s="294"/>
      <c r="AB770" s="188"/>
    </row>
    <row r="771" spans="2:28" ht="13">
      <c r="B771" s="294"/>
      <c r="C771" s="294"/>
      <c r="D771" s="294"/>
      <c r="E771" s="294"/>
      <c r="AB771" s="188"/>
    </row>
    <row r="772" spans="2:28" ht="13">
      <c r="B772" s="294"/>
      <c r="C772" s="294"/>
      <c r="D772" s="294"/>
      <c r="E772" s="294"/>
      <c r="AB772" s="188"/>
    </row>
    <row r="773" spans="2:28" ht="13">
      <c r="B773" s="294"/>
      <c r="C773" s="294"/>
      <c r="D773" s="294"/>
      <c r="E773" s="294"/>
      <c r="AB773" s="188"/>
    </row>
    <row r="774" spans="2:28" ht="13">
      <c r="B774" s="294"/>
      <c r="C774" s="294"/>
      <c r="D774" s="294"/>
      <c r="E774" s="294"/>
      <c r="AB774" s="188"/>
    </row>
    <row r="775" spans="2:28" ht="13">
      <c r="B775" s="294"/>
      <c r="C775" s="294"/>
      <c r="D775" s="294"/>
      <c r="E775" s="294"/>
      <c r="AB775" s="188"/>
    </row>
    <row r="776" spans="2:28" ht="13">
      <c r="B776" s="294"/>
      <c r="C776" s="294"/>
      <c r="D776" s="294"/>
      <c r="E776" s="294"/>
      <c r="AB776" s="188"/>
    </row>
    <row r="777" spans="2:28" ht="13">
      <c r="B777" s="294"/>
      <c r="C777" s="294"/>
      <c r="D777" s="294"/>
      <c r="E777" s="294"/>
      <c r="AB777" s="188"/>
    </row>
    <row r="778" spans="2:28" ht="13">
      <c r="B778" s="294"/>
      <c r="C778" s="294"/>
      <c r="D778" s="294"/>
      <c r="E778" s="294"/>
      <c r="AB778" s="188"/>
    </row>
    <row r="779" spans="2:28" ht="13">
      <c r="B779" s="294"/>
      <c r="C779" s="294"/>
      <c r="D779" s="294"/>
      <c r="E779" s="294"/>
      <c r="AB779" s="188"/>
    </row>
    <row r="780" spans="2:28" ht="13">
      <c r="B780" s="294"/>
      <c r="C780" s="294"/>
      <c r="D780" s="294"/>
      <c r="E780" s="294"/>
      <c r="AB780" s="188"/>
    </row>
    <row r="781" spans="2:28" ht="13">
      <c r="B781" s="294"/>
      <c r="C781" s="294"/>
      <c r="D781" s="294"/>
      <c r="E781" s="294"/>
      <c r="AB781" s="188"/>
    </row>
    <row r="782" spans="2:28" ht="13">
      <c r="B782" s="294"/>
      <c r="C782" s="294"/>
      <c r="D782" s="294"/>
      <c r="E782" s="294"/>
      <c r="AB782" s="188"/>
    </row>
    <row r="783" spans="2:28" ht="13">
      <c r="B783" s="294"/>
      <c r="C783" s="294"/>
      <c r="D783" s="294"/>
      <c r="E783" s="294"/>
      <c r="AB783" s="188"/>
    </row>
    <row r="784" spans="2:28" ht="13">
      <c r="B784" s="294"/>
      <c r="C784" s="294"/>
      <c r="D784" s="294"/>
      <c r="E784" s="294"/>
      <c r="AB784" s="188"/>
    </row>
    <row r="785" spans="2:28" ht="13">
      <c r="B785" s="294"/>
      <c r="C785" s="294"/>
      <c r="D785" s="294"/>
      <c r="E785" s="294"/>
      <c r="AB785" s="188"/>
    </row>
    <row r="786" spans="2:28" ht="13">
      <c r="B786" s="294"/>
      <c r="C786" s="294"/>
      <c r="D786" s="294"/>
      <c r="E786" s="294"/>
      <c r="AB786" s="188"/>
    </row>
    <row r="787" spans="2:28" ht="13">
      <c r="B787" s="294"/>
      <c r="C787" s="294"/>
      <c r="D787" s="294"/>
      <c r="E787" s="294"/>
      <c r="AB787" s="188"/>
    </row>
    <row r="788" spans="2:28" ht="13">
      <c r="B788" s="294"/>
      <c r="C788" s="294"/>
      <c r="D788" s="294"/>
      <c r="E788" s="294"/>
      <c r="AB788" s="188"/>
    </row>
    <row r="789" spans="2:28" ht="13">
      <c r="B789" s="294"/>
      <c r="C789" s="294"/>
      <c r="D789" s="294"/>
      <c r="E789" s="294"/>
      <c r="AB789" s="188"/>
    </row>
    <row r="790" spans="2:28" ht="13">
      <c r="B790" s="294"/>
      <c r="C790" s="294"/>
      <c r="D790" s="294"/>
      <c r="E790" s="294"/>
      <c r="AB790" s="188"/>
    </row>
    <row r="791" spans="2:28" ht="13">
      <c r="B791" s="294"/>
      <c r="C791" s="294"/>
      <c r="D791" s="294"/>
      <c r="E791" s="294"/>
      <c r="AB791" s="188"/>
    </row>
    <row r="792" spans="2:28" ht="13">
      <c r="B792" s="294"/>
      <c r="C792" s="294"/>
      <c r="D792" s="294"/>
      <c r="E792" s="294"/>
      <c r="AB792" s="188"/>
    </row>
    <row r="793" spans="2:28" ht="13">
      <c r="B793" s="294"/>
      <c r="C793" s="294"/>
      <c r="D793" s="294"/>
      <c r="E793" s="294"/>
      <c r="AB793" s="188"/>
    </row>
    <row r="794" spans="2:28" ht="13">
      <c r="B794" s="294"/>
      <c r="C794" s="294"/>
      <c r="D794" s="294"/>
      <c r="E794" s="294"/>
      <c r="AB794" s="188"/>
    </row>
    <row r="795" spans="2:28" ht="13">
      <c r="B795" s="294"/>
      <c r="C795" s="294"/>
      <c r="D795" s="294"/>
      <c r="E795" s="294"/>
      <c r="AB795" s="188"/>
    </row>
    <row r="796" spans="2:28" ht="13">
      <c r="B796" s="294"/>
      <c r="C796" s="294"/>
      <c r="D796" s="294"/>
      <c r="E796" s="294"/>
      <c r="AB796" s="188"/>
    </row>
    <row r="797" spans="2:28" ht="13">
      <c r="B797" s="294"/>
      <c r="C797" s="294"/>
      <c r="D797" s="294"/>
      <c r="E797" s="294"/>
      <c r="AB797" s="188"/>
    </row>
    <row r="798" spans="2:28" ht="13">
      <c r="B798" s="294"/>
      <c r="C798" s="294"/>
      <c r="D798" s="294"/>
      <c r="E798" s="294"/>
      <c r="AB798" s="188"/>
    </row>
    <row r="799" spans="2:28" ht="13">
      <c r="B799" s="294"/>
      <c r="C799" s="294"/>
      <c r="D799" s="294"/>
      <c r="E799" s="294"/>
      <c r="AB799" s="188"/>
    </row>
    <row r="800" spans="2:28" ht="13">
      <c r="B800" s="294"/>
      <c r="C800" s="294"/>
      <c r="D800" s="294"/>
      <c r="E800" s="294"/>
      <c r="AB800" s="188"/>
    </row>
    <row r="801" spans="2:28" ht="13">
      <c r="B801" s="294"/>
      <c r="C801" s="294"/>
      <c r="D801" s="294"/>
      <c r="E801" s="294"/>
      <c r="AB801" s="188"/>
    </row>
    <row r="802" spans="2:28" ht="13">
      <c r="B802" s="294"/>
      <c r="C802" s="294"/>
      <c r="D802" s="294"/>
      <c r="E802" s="294"/>
      <c r="AB802" s="188"/>
    </row>
    <row r="803" spans="2:28" ht="13">
      <c r="B803" s="294"/>
      <c r="C803" s="294"/>
      <c r="D803" s="294"/>
      <c r="E803" s="294"/>
      <c r="AB803" s="188"/>
    </row>
    <row r="804" spans="2:28" ht="13">
      <c r="B804" s="294"/>
      <c r="C804" s="294"/>
      <c r="D804" s="294"/>
      <c r="E804" s="294"/>
      <c r="AB804" s="188"/>
    </row>
    <row r="805" spans="2:28" ht="13">
      <c r="B805" s="294"/>
      <c r="C805" s="294"/>
      <c r="D805" s="294"/>
      <c r="E805" s="294"/>
      <c r="AB805" s="188"/>
    </row>
    <row r="806" spans="2:28" ht="13">
      <c r="B806" s="294"/>
      <c r="C806" s="294"/>
      <c r="D806" s="294"/>
      <c r="E806" s="294"/>
      <c r="AB806" s="188"/>
    </row>
    <row r="807" spans="2:28" ht="13">
      <c r="B807" s="294"/>
      <c r="C807" s="294"/>
      <c r="D807" s="294"/>
      <c r="E807" s="294"/>
      <c r="AB807" s="188"/>
    </row>
    <row r="808" spans="2:28" ht="13">
      <c r="B808" s="294"/>
      <c r="C808" s="294"/>
      <c r="D808" s="294"/>
      <c r="E808" s="294"/>
      <c r="AB808" s="188"/>
    </row>
    <row r="809" spans="2:28" ht="13">
      <c r="B809" s="294"/>
      <c r="C809" s="294"/>
      <c r="D809" s="294"/>
      <c r="E809" s="294"/>
      <c r="AB809" s="188"/>
    </row>
    <row r="810" spans="2:28" ht="13">
      <c r="B810" s="294"/>
      <c r="C810" s="294"/>
      <c r="D810" s="294"/>
      <c r="E810" s="294"/>
      <c r="AB810" s="188"/>
    </row>
    <row r="811" spans="2:28" ht="13">
      <c r="B811" s="294"/>
      <c r="C811" s="294"/>
      <c r="D811" s="294"/>
      <c r="E811" s="294"/>
      <c r="AB811" s="188"/>
    </row>
    <row r="812" spans="2:28" ht="13">
      <c r="B812" s="294"/>
      <c r="C812" s="294"/>
      <c r="D812" s="294"/>
      <c r="E812" s="294"/>
      <c r="AB812" s="188"/>
    </row>
    <row r="813" spans="2:28" ht="13">
      <c r="B813" s="294"/>
      <c r="C813" s="294"/>
      <c r="D813" s="294"/>
      <c r="E813" s="294"/>
      <c r="AB813" s="188"/>
    </row>
    <row r="814" spans="2:28" ht="13">
      <c r="B814" s="294"/>
      <c r="C814" s="294"/>
      <c r="D814" s="294"/>
      <c r="E814" s="294"/>
      <c r="AB814" s="188"/>
    </row>
    <row r="815" spans="2:28" ht="13">
      <c r="B815" s="294"/>
      <c r="C815" s="294"/>
      <c r="D815" s="294"/>
      <c r="E815" s="294"/>
      <c r="AB815" s="188"/>
    </row>
    <row r="816" spans="2:28" ht="13">
      <c r="B816" s="294"/>
      <c r="C816" s="294"/>
      <c r="D816" s="294"/>
      <c r="E816" s="294"/>
      <c r="AB816" s="188"/>
    </row>
    <row r="817" spans="2:28" ht="13">
      <c r="B817" s="294"/>
      <c r="C817" s="294"/>
      <c r="D817" s="294"/>
      <c r="E817" s="294"/>
      <c r="AB817" s="188"/>
    </row>
    <row r="818" spans="2:28" ht="13">
      <c r="B818" s="294"/>
      <c r="C818" s="294"/>
      <c r="D818" s="294"/>
      <c r="E818" s="294"/>
      <c r="AB818" s="188"/>
    </row>
    <row r="819" spans="2:28" ht="13">
      <c r="B819" s="294"/>
      <c r="C819" s="294"/>
      <c r="D819" s="294"/>
      <c r="E819" s="294"/>
      <c r="AB819" s="188"/>
    </row>
    <row r="820" spans="2:28" ht="13">
      <c r="B820" s="294"/>
      <c r="C820" s="294"/>
      <c r="D820" s="294"/>
      <c r="E820" s="294"/>
      <c r="AB820" s="188"/>
    </row>
    <row r="821" spans="2:28" ht="13">
      <c r="B821" s="294"/>
      <c r="C821" s="294"/>
      <c r="D821" s="294"/>
      <c r="E821" s="294"/>
      <c r="AB821" s="188"/>
    </row>
    <row r="822" spans="2:28" ht="13">
      <c r="B822" s="294"/>
      <c r="C822" s="294"/>
      <c r="D822" s="294"/>
      <c r="E822" s="294"/>
      <c r="AB822" s="188"/>
    </row>
    <row r="823" spans="2:28" ht="13">
      <c r="B823" s="294"/>
      <c r="C823" s="294"/>
      <c r="D823" s="294"/>
      <c r="E823" s="294"/>
      <c r="AB823" s="188"/>
    </row>
    <row r="824" spans="2:28" ht="13">
      <c r="B824" s="294"/>
      <c r="C824" s="294"/>
      <c r="D824" s="294"/>
      <c r="E824" s="294"/>
      <c r="AB824" s="188"/>
    </row>
    <row r="825" spans="2:28" ht="13">
      <c r="B825" s="294"/>
      <c r="C825" s="294"/>
      <c r="D825" s="294"/>
      <c r="E825" s="294"/>
      <c r="AB825" s="188"/>
    </row>
    <row r="826" spans="2:28" ht="13">
      <c r="B826" s="294"/>
      <c r="C826" s="294"/>
      <c r="D826" s="294"/>
      <c r="E826" s="294"/>
      <c r="AB826" s="188"/>
    </row>
    <row r="827" spans="2:28" ht="13">
      <c r="B827" s="294"/>
      <c r="C827" s="294"/>
      <c r="D827" s="294"/>
      <c r="E827" s="294"/>
      <c r="AB827" s="188"/>
    </row>
    <row r="828" spans="2:28" ht="13">
      <c r="B828" s="294"/>
      <c r="C828" s="294"/>
      <c r="D828" s="294"/>
      <c r="E828" s="294"/>
      <c r="AB828" s="188"/>
    </row>
    <row r="829" spans="2:28" ht="13">
      <c r="B829" s="294"/>
      <c r="C829" s="294"/>
      <c r="D829" s="294"/>
      <c r="E829" s="294"/>
      <c r="AB829" s="188"/>
    </row>
    <row r="830" spans="2:28" ht="13">
      <c r="B830" s="294"/>
      <c r="C830" s="294"/>
      <c r="D830" s="294"/>
      <c r="E830" s="294"/>
      <c r="AB830" s="188"/>
    </row>
    <row r="831" spans="2:28" ht="13">
      <c r="B831" s="294"/>
      <c r="C831" s="294"/>
      <c r="D831" s="294"/>
      <c r="E831" s="294"/>
      <c r="AB831" s="188"/>
    </row>
    <row r="832" spans="2:28" ht="13">
      <c r="B832" s="294"/>
      <c r="C832" s="294"/>
      <c r="D832" s="294"/>
      <c r="E832" s="294"/>
      <c r="AB832" s="188"/>
    </row>
    <row r="833" spans="2:28" ht="13">
      <c r="B833" s="294"/>
      <c r="C833" s="294"/>
      <c r="D833" s="294"/>
      <c r="E833" s="294"/>
      <c r="AB833" s="188"/>
    </row>
    <row r="834" spans="2:28" ht="13">
      <c r="B834" s="294"/>
      <c r="C834" s="294"/>
      <c r="D834" s="294"/>
      <c r="E834" s="294"/>
      <c r="AB834" s="188"/>
    </row>
    <row r="835" spans="2:28" ht="13">
      <c r="B835" s="294"/>
      <c r="C835" s="294"/>
      <c r="D835" s="294"/>
      <c r="E835" s="294"/>
      <c r="AB835" s="188"/>
    </row>
    <row r="836" spans="2:28" ht="13">
      <c r="B836" s="294"/>
      <c r="C836" s="294"/>
      <c r="D836" s="294"/>
      <c r="E836" s="294"/>
      <c r="AB836" s="188"/>
    </row>
    <row r="837" spans="2:28" ht="13">
      <c r="B837" s="294"/>
      <c r="C837" s="294"/>
      <c r="D837" s="294"/>
      <c r="E837" s="294"/>
      <c r="AB837" s="188"/>
    </row>
    <row r="838" spans="2:28" ht="13">
      <c r="B838" s="294"/>
      <c r="C838" s="294"/>
      <c r="D838" s="294"/>
      <c r="E838" s="294"/>
      <c r="AB838" s="188"/>
    </row>
    <row r="839" spans="2:28" ht="13">
      <c r="B839" s="294"/>
      <c r="C839" s="294"/>
      <c r="D839" s="294"/>
      <c r="E839" s="294"/>
      <c r="AB839" s="188"/>
    </row>
    <row r="840" spans="2:28" ht="13">
      <c r="B840" s="294"/>
      <c r="C840" s="294"/>
      <c r="D840" s="294"/>
      <c r="E840" s="294"/>
      <c r="AB840" s="188"/>
    </row>
    <row r="841" spans="2:28" ht="13">
      <c r="B841" s="294"/>
      <c r="C841" s="294"/>
      <c r="D841" s="294"/>
      <c r="E841" s="294"/>
      <c r="AB841" s="188"/>
    </row>
    <row r="842" spans="2:28" ht="13">
      <c r="B842" s="294"/>
      <c r="C842" s="294"/>
      <c r="D842" s="294"/>
      <c r="E842" s="294"/>
      <c r="AB842" s="188"/>
    </row>
    <row r="843" spans="2:28" ht="13">
      <c r="B843" s="294"/>
      <c r="C843" s="294"/>
      <c r="D843" s="294"/>
      <c r="E843" s="294"/>
      <c r="AB843" s="188"/>
    </row>
    <row r="844" spans="2:28" ht="13">
      <c r="B844" s="294"/>
      <c r="C844" s="294"/>
      <c r="D844" s="294"/>
      <c r="E844" s="294"/>
      <c r="AB844" s="188"/>
    </row>
    <row r="845" spans="2:28" ht="13">
      <c r="B845" s="294"/>
      <c r="C845" s="294"/>
      <c r="D845" s="294"/>
      <c r="E845" s="294"/>
      <c r="AB845" s="188"/>
    </row>
    <row r="846" spans="2:28" ht="13">
      <c r="B846" s="294"/>
      <c r="C846" s="294"/>
      <c r="D846" s="294"/>
      <c r="E846" s="294"/>
      <c r="AB846" s="188"/>
    </row>
    <row r="847" spans="2:28" ht="13">
      <c r="B847" s="294"/>
      <c r="C847" s="294"/>
      <c r="D847" s="294"/>
      <c r="E847" s="294"/>
      <c r="AB847" s="188"/>
    </row>
    <row r="848" spans="2:28" ht="13">
      <c r="B848" s="294"/>
      <c r="C848" s="294"/>
      <c r="D848" s="294"/>
      <c r="E848" s="294"/>
      <c r="AB848" s="188"/>
    </row>
    <row r="849" spans="2:28" ht="13">
      <c r="B849" s="294"/>
      <c r="C849" s="294"/>
      <c r="D849" s="294"/>
      <c r="E849" s="294"/>
      <c r="AB849" s="188"/>
    </row>
    <row r="850" spans="2:28" ht="13">
      <c r="B850" s="294"/>
      <c r="C850" s="294"/>
      <c r="D850" s="294"/>
      <c r="E850" s="294"/>
      <c r="AB850" s="188"/>
    </row>
    <row r="851" spans="2:28" ht="13">
      <c r="B851" s="294"/>
      <c r="C851" s="294"/>
      <c r="D851" s="294"/>
      <c r="E851" s="294"/>
      <c r="AB851" s="188"/>
    </row>
    <row r="852" spans="2:28" ht="13">
      <c r="B852" s="294"/>
      <c r="C852" s="294"/>
      <c r="D852" s="294"/>
      <c r="E852" s="294"/>
      <c r="AB852" s="188"/>
    </row>
    <row r="853" spans="2:28" ht="13">
      <c r="B853" s="294"/>
      <c r="C853" s="294"/>
      <c r="D853" s="294"/>
      <c r="E853" s="294"/>
      <c r="AB853" s="188"/>
    </row>
    <row r="854" spans="2:28" ht="13">
      <c r="B854" s="294"/>
      <c r="C854" s="294"/>
      <c r="D854" s="294"/>
      <c r="E854" s="294"/>
      <c r="AB854" s="188"/>
    </row>
    <row r="855" spans="2:28" ht="13">
      <c r="B855" s="294"/>
      <c r="C855" s="294"/>
      <c r="D855" s="294"/>
      <c r="E855" s="294"/>
      <c r="AB855" s="188"/>
    </row>
    <row r="856" spans="2:28" ht="13">
      <c r="B856" s="294"/>
      <c r="C856" s="294"/>
      <c r="D856" s="294"/>
      <c r="E856" s="294"/>
      <c r="AB856" s="188"/>
    </row>
    <row r="857" spans="2:28" ht="13">
      <c r="B857" s="294"/>
      <c r="C857" s="294"/>
      <c r="D857" s="294"/>
      <c r="E857" s="294"/>
      <c r="AB857" s="188"/>
    </row>
    <row r="858" spans="2:28" ht="13">
      <c r="B858" s="294"/>
      <c r="C858" s="294"/>
      <c r="D858" s="294"/>
      <c r="E858" s="294"/>
      <c r="AB858" s="188"/>
    </row>
    <row r="859" spans="2:28" ht="13">
      <c r="B859" s="294"/>
      <c r="C859" s="294"/>
      <c r="D859" s="294"/>
      <c r="E859" s="294"/>
      <c r="AB859" s="188"/>
    </row>
    <row r="860" spans="2:28" ht="13">
      <c r="B860" s="294"/>
      <c r="C860" s="294"/>
      <c r="D860" s="294"/>
      <c r="E860" s="294"/>
      <c r="AB860" s="188"/>
    </row>
    <row r="861" spans="2:28" ht="13">
      <c r="B861" s="294"/>
      <c r="C861" s="294"/>
      <c r="D861" s="294"/>
      <c r="E861" s="294"/>
      <c r="AB861" s="188"/>
    </row>
    <row r="862" spans="2:28" ht="13">
      <c r="B862" s="294"/>
      <c r="C862" s="294"/>
      <c r="D862" s="294"/>
      <c r="E862" s="294"/>
      <c r="AB862" s="188"/>
    </row>
    <row r="863" spans="2:28" ht="13">
      <c r="B863" s="294"/>
      <c r="C863" s="294"/>
      <c r="D863" s="294"/>
      <c r="E863" s="294"/>
      <c r="AB863" s="188"/>
    </row>
    <row r="864" spans="2:28" ht="13">
      <c r="B864" s="294"/>
      <c r="C864" s="294"/>
      <c r="D864" s="294"/>
      <c r="E864" s="294"/>
      <c r="AB864" s="188"/>
    </row>
    <row r="865" spans="2:28" ht="13">
      <c r="B865" s="294"/>
      <c r="C865" s="294"/>
      <c r="D865" s="294"/>
      <c r="E865" s="294"/>
      <c r="AB865" s="188"/>
    </row>
    <row r="866" spans="2:28" ht="13">
      <c r="B866" s="294"/>
      <c r="C866" s="294"/>
      <c r="D866" s="294"/>
      <c r="E866" s="294"/>
      <c r="AB866" s="188"/>
    </row>
    <row r="867" spans="2:28" ht="13">
      <c r="B867" s="294"/>
      <c r="C867" s="294"/>
      <c r="D867" s="294"/>
      <c r="E867" s="294"/>
      <c r="AB867" s="188"/>
    </row>
    <row r="868" spans="2:28" ht="13">
      <c r="B868" s="294"/>
      <c r="C868" s="294"/>
      <c r="D868" s="294"/>
      <c r="E868" s="294"/>
      <c r="AB868" s="188"/>
    </row>
    <row r="869" spans="2:28" ht="13">
      <c r="B869" s="294"/>
      <c r="C869" s="294"/>
      <c r="D869" s="294"/>
      <c r="E869" s="294"/>
      <c r="AB869" s="188"/>
    </row>
    <row r="870" spans="2:28" ht="13">
      <c r="B870" s="294"/>
      <c r="C870" s="294"/>
      <c r="D870" s="294"/>
      <c r="E870" s="294"/>
      <c r="AB870" s="188"/>
    </row>
    <row r="871" spans="2:28" ht="13">
      <c r="B871" s="294"/>
      <c r="C871" s="294"/>
      <c r="D871" s="294"/>
      <c r="E871" s="294"/>
      <c r="AB871" s="188"/>
    </row>
    <row r="872" spans="2:28" ht="13">
      <c r="B872" s="294"/>
      <c r="C872" s="294"/>
      <c r="D872" s="294"/>
      <c r="E872" s="294"/>
      <c r="AB872" s="188"/>
    </row>
    <row r="873" spans="2:28" ht="13">
      <c r="B873" s="294"/>
      <c r="C873" s="294"/>
      <c r="D873" s="294"/>
      <c r="E873" s="294"/>
      <c r="AB873" s="188"/>
    </row>
    <row r="874" spans="2:28" ht="13">
      <c r="B874" s="294"/>
      <c r="C874" s="294"/>
      <c r="D874" s="294"/>
      <c r="E874" s="294"/>
      <c r="AB874" s="188"/>
    </row>
    <row r="875" spans="2:28" ht="13">
      <c r="B875" s="294"/>
      <c r="C875" s="294"/>
      <c r="D875" s="294"/>
      <c r="E875" s="294"/>
      <c r="AB875" s="188"/>
    </row>
    <row r="876" spans="2:28" ht="13">
      <c r="B876" s="294"/>
      <c r="C876" s="294"/>
      <c r="D876" s="294"/>
      <c r="E876" s="294"/>
      <c r="AB876" s="188"/>
    </row>
    <row r="877" spans="2:28" ht="13">
      <c r="B877" s="294"/>
      <c r="C877" s="294"/>
      <c r="D877" s="294"/>
      <c r="E877" s="294"/>
      <c r="AB877" s="188"/>
    </row>
    <row r="878" spans="2:28" ht="13">
      <c r="B878" s="294"/>
      <c r="C878" s="294"/>
      <c r="D878" s="294"/>
      <c r="E878" s="294"/>
      <c r="AB878" s="188"/>
    </row>
    <row r="879" spans="2:28" ht="13">
      <c r="B879" s="294"/>
      <c r="C879" s="294"/>
      <c r="D879" s="294"/>
      <c r="E879" s="294"/>
      <c r="AB879" s="188"/>
    </row>
    <row r="880" spans="2:28" ht="13">
      <c r="B880" s="294"/>
      <c r="C880" s="294"/>
      <c r="D880" s="294"/>
      <c r="E880" s="294"/>
      <c r="AB880" s="188"/>
    </row>
    <row r="881" spans="2:28" ht="13">
      <c r="B881" s="294"/>
      <c r="C881" s="294"/>
      <c r="D881" s="294"/>
      <c r="E881" s="294"/>
      <c r="AB881" s="188"/>
    </row>
    <row r="882" spans="2:28" ht="13">
      <c r="B882" s="294"/>
      <c r="C882" s="294"/>
      <c r="D882" s="294"/>
      <c r="E882" s="294"/>
      <c r="AB882" s="188"/>
    </row>
    <row r="883" spans="2:28" ht="13">
      <c r="B883" s="294"/>
      <c r="C883" s="294"/>
      <c r="D883" s="294"/>
      <c r="E883" s="294"/>
      <c r="AB883" s="188"/>
    </row>
    <row r="884" spans="2:28" ht="13">
      <c r="B884" s="294"/>
      <c r="C884" s="294"/>
      <c r="D884" s="294"/>
      <c r="E884" s="294"/>
      <c r="AB884" s="188"/>
    </row>
    <row r="885" spans="2:28" ht="13">
      <c r="B885" s="294"/>
      <c r="C885" s="294"/>
      <c r="D885" s="294"/>
      <c r="E885" s="294"/>
      <c r="AB885" s="188"/>
    </row>
    <row r="886" spans="2:28" ht="13">
      <c r="B886" s="294"/>
      <c r="C886" s="294"/>
      <c r="D886" s="294"/>
      <c r="E886" s="294"/>
      <c r="AB886" s="188"/>
    </row>
    <row r="887" spans="2:28" ht="13">
      <c r="B887" s="294"/>
      <c r="C887" s="294"/>
      <c r="D887" s="294"/>
      <c r="E887" s="294"/>
      <c r="AB887" s="188"/>
    </row>
    <row r="888" spans="2:28" ht="13">
      <c r="B888" s="294"/>
      <c r="C888" s="294"/>
      <c r="D888" s="294"/>
      <c r="E888" s="294"/>
      <c r="AB888" s="188"/>
    </row>
    <row r="889" spans="2:28" ht="13">
      <c r="B889" s="294"/>
      <c r="C889" s="294"/>
      <c r="D889" s="294"/>
      <c r="E889" s="294"/>
      <c r="AB889" s="188"/>
    </row>
    <row r="890" spans="2:28" ht="13">
      <c r="B890" s="294"/>
      <c r="C890" s="294"/>
      <c r="D890" s="294"/>
      <c r="E890" s="294"/>
      <c r="AB890" s="188"/>
    </row>
    <row r="891" spans="2:28" ht="13">
      <c r="B891" s="294"/>
      <c r="C891" s="294"/>
      <c r="D891" s="294"/>
      <c r="E891" s="294"/>
      <c r="AB891" s="188"/>
    </row>
    <row r="892" spans="2:28" ht="13">
      <c r="B892" s="294"/>
      <c r="C892" s="294"/>
      <c r="D892" s="294"/>
      <c r="E892" s="294"/>
      <c r="AB892" s="188"/>
    </row>
    <row r="893" spans="2:28" ht="13">
      <c r="B893" s="294"/>
      <c r="C893" s="294"/>
      <c r="D893" s="294"/>
      <c r="E893" s="294"/>
      <c r="AB893" s="188"/>
    </row>
    <row r="894" spans="2:28" ht="13">
      <c r="B894" s="294"/>
      <c r="C894" s="294"/>
      <c r="D894" s="294"/>
      <c r="E894" s="294"/>
      <c r="AB894" s="188"/>
    </row>
    <row r="895" spans="2:28" ht="13">
      <c r="B895" s="294"/>
      <c r="C895" s="294"/>
      <c r="D895" s="294"/>
      <c r="E895" s="294"/>
      <c r="AB895" s="188"/>
    </row>
    <row r="896" spans="2:28" ht="13">
      <c r="B896" s="294"/>
      <c r="C896" s="294"/>
      <c r="D896" s="294"/>
      <c r="E896" s="294"/>
      <c r="AB896" s="188"/>
    </row>
    <row r="897" spans="2:28" ht="13">
      <c r="B897" s="294"/>
      <c r="C897" s="294"/>
      <c r="D897" s="294"/>
      <c r="E897" s="294"/>
      <c r="AB897" s="188"/>
    </row>
    <row r="898" spans="2:28" ht="13">
      <c r="B898" s="294"/>
      <c r="C898" s="294"/>
      <c r="D898" s="294"/>
      <c r="E898" s="294"/>
      <c r="AB898" s="188"/>
    </row>
    <row r="899" spans="2:28" ht="13">
      <c r="B899" s="294"/>
      <c r="C899" s="294"/>
      <c r="D899" s="294"/>
      <c r="E899" s="294"/>
      <c r="AB899" s="188"/>
    </row>
    <row r="900" spans="2:28" ht="13">
      <c r="B900" s="294"/>
      <c r="C900" s="294"/>
      <c r="D900" s="294"/>
      <c r="E900" s="294"/>
      <c r="AB900" s="188"/>
    </row>
    <row r="901" spans="2:28" ht="13">
      <c r="B901" s="294"/>
      <c r="C901" s="294"/>
      <c r="D901" s="294"/>
      <c r="E901" s="294"/>
      <c r="AB901" s="188"/>
    </row>
    <row r="902" spans="2:28" ht="13">
      <c r="B902" s="294"/>
      <c r="C902" s="294"/>
      <c r="D902" s="294"/>
      <c r="E902" s="294"/>
      <c r="AB902" s="188"/>
    </row>
    <row r="903" spans="2:28" ht="13">
      <c r="B903" s="294"/>
      <c r="C903" s="294"/>
      <c r="D903" s="294"/>
      <c r="E903" s="294"/>
      <c r="AB903" s="188"/>
    </row>
    <row r="904" spans="2:28" ht="13">
      <c r="B904" s="294"/>
      <c r="C904" s="294"/>
      <c r="D904" s="294"/>
      <c r="E904" s="294"/>
      <c r="AB904" s="188"/>
    </row>
    <row r="905" spans="2:28" ht="13">
      <c r="B905" s="294"/>
      <c r="C905" s="294"/>
      <c r="D905" s="294"/>
      <c r="E905" s="294"/>
      <c r="AB905" s="188"/>
    </row>
    <row r="906" spans="2:28" ht="13">
      <c r="B906" s="294"/>
      <c r="C906" s="294"/>
      <c r="D906" s="294"/>
      <c r="E906" s="294"/>
      <c r="AB906" s="188"/>
    </row>
    <row r="907" spans="2:28" ht="13">
      <c r="B907" s="294"/>
      <c r="C907" s="294"/>
      <c r="D907" s="294"/>
      <c r="E907" s="294"/>
      <c r="AB907" s="188"/>
    </row>
    <row r="908" spans="2:28" ht="13">
      <c r="B908" s="294"/>
      <c r="C908" s="294"/>
      <c r="D908" s="294"/>
      <c r="E908" s="294"/>
      <c r="AB908" s="188"/>
    </row>
    <row r="909" spans="2:28" ht="13">
      <c r="B909" s="294"/>
      <c r="C909" s="294"/>
      <c r="D909" s="294"/>
      <c r="E909" s="294"/>
      <c r="AB909" s="188"/>
    </row>
    <row r="910" spans="2:28" ht="13">
      <c r="B910" s="294"/>
      <c r="C910" s="294"/>
      <c r="D910" s="294"/>
      <c r="E910" s="294"/>
      <c r="AB910" s="188"/>
    </row>
    <row r="911" spans="2:28" ht="13">
      <c r="B911" s="294"/>
      <c r="C911" s="294"/>
      <c r="D911" s="294"/>
      <c r="E911" s="294"/>
      <c r="AB911" s="188"/>
    </row>
    <row r="912" spans="2:28" ht="13">
      <c r="B912" s="294"/>
      <c r="C912" s="294"/>
      <c r="D912" s="294"/>
      <c r="E912" s="294"/>
      <c r="AB912" s="188"/>
    </row>
    <row r="913" spans="2:28" ht="13">
      <c r="B913" s="294"/>
      <c r="C913" s="294"/>
      <c r="D913" s="294"/>
      <c r="E913" s="294"/>
      <c r="AB913" s="188"/>
    </row>
    <row r="914" spans="2:28" ht="13">
      <c r="B914" s="294"/>
      <c r="C914" s="294"/>
      <c r="D914" s="294"/>
      <c r="E914" s="294"/>
      <c r="AB914" s="188"/>
    </row>
    <row r="915" spans="2:28" ht="13">
      <c r="B915" s="294"/>
      <c r="C915" s="294"/>
      <c r="D915" s="294"/>
      <c r="E915" s="294"/>
      <c r="AB915" s="188"/>
    </row>
    <row r="916" spans="2:28" ht="13">
      <c r="B916" s="294"/>
      <c r="C916" s="294"/>
      <c r="D916" s="294"/>
      <c r="E916" s="294"/>
      <c r="AB916" s="188"/>
    </row>
    <row r="917" spans="2:28" ht="13">
      <c r="B917" s="294"/>
      <c r="C917" s="294"/>
      <c r="D917" s="294"/>
      <c r="E917" s="294"/>
      <c r="AB917" s="188"/>
    </row>
    <row r="918" spans="2:28" ht="13">
      <c r="B918" s="294"/>
      <c r="C918" s="294"/>
      <c r="D918" s="294"/>
      <c r="E918" s="294"/>
      <c r="AB918" s="188"/>
    </row>
    <row r="919" spans="2:28" ht="13">
      <c r="B919" s="294"/>
      <c r="C919" s="294"/>
      <c r="D919" s="294"/>
      <c r="E919" s="294"/>
      <c r="AB919" s="188"/>
    </row>
    <row r="920" spans="2:28" ht="13">
      <c r="B920" s="294"/>
      <c r="C920" s="294"/>
      <c r="D920" s="294"/>
      <c r="E920" s="294"/>
      <c r="AB920" s="188"/>
    </row>
    <row r="921" spans="2:28" ht="13">
      <c r="B921" s="294"/>
      <c r="C921" s="294"/>
      <c r="D921" s="294"/>
      <c r="E921" s="294"/>
      <c r="AB921" s="188"/>
    </row>
    <row r="922" spans="2:28" ht="13">
      <c r="B922" s="294"/>
      <c r="C922" s="294"/>
      <c r="D922" s="294"/>
      <c r="E922" s="294"/>
      <c r="AB922" s="188"/>
    </row>
    <row r="923" spans="2:28" ht="13">
      <c r="B923" s="294"/>
      <c r="C923" s="294"/>
      <c r="D923" s="294"/>
      <c r="E923" s="294"/>
      <c r="AB923" s="188"/>
    </row>
    <row r="924" spans="2:28" ht="13">
      <c r="B924" s="294"/>
      <c r="C924" s="294"/>
      <c r="D924" s="294"/>
      <c r="E924" s="294"/>
      <c r="AB924" s="188"/>
    </row>
    <row r="925" spans="2:28" ht="13">
      <c r="B925" s="294"/>
      <c r="C925" s="294"/>
      <c r="D925" s="294"/>
      <c r="E925" s="294"/>
      <c r="AB925" s="188"/>
    </row>
    <row r="926" spans="2:28" ht="13">
      <c r="B926" s="294"/>
      <c r="C926" s="294"/>
      <c r="D926" s="294"/>
      <c r="E926" s="294"/>
      <c r="AB926" s="188"/>
    </row>
    <row r="927" spans="2:28" ht="13">
      <c r="B927" s="294"/>
      <c r="C927" s="294"/>
      <c r="D927" s="294"/>
      <c r="E927" s="294"/>
      <c r="AB927" s="188"/>
    </row>
    <row r="928" spans="2:28" ht="13">
      <c r="B928" s="294"/>
      <c r="C928" s="294"/>
      <c r="D928" s="294"/>
      <c r="E928" s="294"/>
      <c r="AB928" s="188"/>
    </row>
    <row r="929" spans="2:28" ht="13">
      <c r="B929" s="294"/>
      <c r="C929" s="294"/>
      <c r="D929" s="294"/>
      <c r="E929" s="294"/>
      <c r="AB929" s="188"/>
    </row>
    <row r="930" spans="2:28" ht="13">
      <c r="B930" s="294"/>
      <c r="C930" s="294"/>
      <c r="D930" s="294"/>
      <c r="E930" s="294"/>
      <c r="AB930" s="188"/>
    </row>
    <row r="931" spans="2:28" ht="13">
      <c r="B931" s="294"/>
      <c r="C931" s="294"/>
      <c r="D931" s="294"/>
      <c r="E931" s="294"/>
      <c r="AB931" s="188"/>
    </row>
    <row r="932" spans="2:28" ht="13">
      <c r="B932" s="294"/>
      <c r="C932" s="294"/>
      <c r="D932" s="294"/>
      <c r="E932" s="294"/>
      <c r="AB932" s="188"/>
    </row>
    <row r="933" spans="2:28" ht="13">
      <c r="B933" s="294"/>
      <c r="C933" s="294"/>
      <c r="D933" s="294"/>
      <c r="E933" s="294"/>
      <c r="AB933" s="188"/>
    </row>
    <row r="934" spans="2:28" ht="13">
      <c r="B934" s="294"/>
      <c r="C934" s="294"/>
      <c r="D934" s="294"/>
      <c r="E934" s="294"/>
      <c r="AB934" s="188"/>
    </row>
    <row r="935" spans="2:28" ht="13">
      <c r="B935" s="294"/>
      <c r="C935" s="294"/>
      <c r="D935" s="294"/>
      <c r="E935" s="294"/>
      <c r="AB935" s="188"/>
    </row>
    <row r="936" spans="2:28" ht="13">
      <c r="B936" s="294"/>
      <c r="C936" s="294"/>
      <c r="D936" s="294"/>
      <c r="E936" s="294"/>
      <c r="AB936" s="188"/>
    </row>
    <row r="937" spans="2:28" ht="13">
      <c r="B937" s="294"/>
      <c r="C937" s="294"/>
      <c r="D937" s="294"/>
      <c r="E937" s="294"/>
      <c r="AB937" s="188"/>
    </row>
    <row r="938" spans="2:28" ht="13">
      <c r="B938" s="294"/>
      <c r="C938" s="294"/>
      <c r="D938" s="294"/>
      <c r="E938" s="294"/>
      <c r="AB938" s="188"/>
    </row>
    <row r="939" spans="2:28" ht="13">
      <c r="B939" s="294"/>
      <c r="C939" s="294"/>
      <c r="D939" s="294"/>
      <c r="E939" s="294"/>
      <c r="AB939" s="188"/>
    </row>
    <row r="940" spans="2:28" ht="13">
      <c r="B940" s="294"/>
      <c r="C940" s="294"/>
      <c r="D940" s="294"/>
      <c r="E940" s="294"/>
      <c r="AB940" s="188"/>
    </row>
    <row r="941" spans="2:28" ht="13">
      <c r="B941" s="294"/>
      <c r="C941" s="294"/>
      <c r="D941" s="294"/>
      <c r="E941" s="294"/>
      <c r="AB941" s="188"/>
    </row>
    <row r="942" spans="2:28" ht="13">
      <c r="B942" s="294"/>
      <c r="C942" s="294"/>
      <c r="D942" s="294"/>
      <c r="E942" s="294"/>
      <c r="AB942" s="188"/>
    </row>
    <row r="943" spans="2:28" ht="13">
      <c r="B943" s="294"/>
      <c r="C943" s="294"/>
      <c r="D943" s="294"/>
      <c r="E943" s="294"/>
      <c r="AB943" s="188"/>
    </row>
    <row r="944" spans="2:28" ht="13">
      <c r="B944" s="294"/>
      <c r="C944" s="294"/>
      <c r="D944" s="294"/>
      <c r="E944" s="294"/>
      <c r="AB944" s="188"/>
    </row>
    <row r="945" spans="2:28" ht="13">
      <c r="B945" s="294"/>
      <c r="C945" s="294"/>
      <c r="D945" s="294"/>
      <c r="E945" s="294"/>
      <c r="AB945" s="188"/>
    </row>
    <row r="946" spans="2:28" ht="13">
      <c r="B946" s="294"/>
      <c r="C946" s="294"/>
      <c r="D946" s="294"/>
      <c r="E946" s="294"/>
      <c r="AB946" s="188"/>
    </row>
    <row r="947" spans="2:28" ht="13">
      <c r="B947" s="294"/>
      <c r="C947" s="294"/>
      <c r="D947" s="294"/>
      <c r="E947" s="294"/>
      <c r="AB947" s="188"/>
    </row>
    <row r="948" spans="2:28" ht="13">
      <c r="B948" s="294"/>
      <c r="C948" s="294"/>
      <c r="D948" s="294"/>
      <c r="E948" s="294"/>
      <c r="AB948" s="188"/>
    </row>
    <row r="949" spans="2:28" ht="13">
      <c r="B949" s="294"/>
      <c r="C949" s="294"/>
      <c r="D949" s="294"/>
      <c r="E949" s="294"/>
      <c r="AB949" s="188"/>
    </row>
    <row r="950" spans="2:28" ht="13">
      <c r="B950" s="294"/>
      <c r="C950" s="294"/>
      <c r="D950" s="294"/>
      <c r="E950" s="294"/>
      <c r="AB950" s="188"/>
    </row>
    <row r="951" spans="2:28" ht="13">
      <c r="B951" s="294"/>
      <c r="C951" s="294"/>
      <c r="D951" s="294"/>
      <c r="E951" s="294"/>
      <c r="AB951" s="188"/>
    </row>
    <row r="952" spans="2:28" ht="13">
      <c r="B952" s="294"/>
      <c r="C952" s="294"/>
      <c r="D952" s="294"/>
      <c r="E952" s="294"/>
      <c r="AB952" s="188"/>
    </row>
    <row r="953" spans="2:28" ht="13">
      <c r="B953" s="294"/>
      <c r="C953" s="294"/>
      <c r="D953" s="294"/>
      <c r="E953" s="294"/>
      <c r="AB953" s="188"/>
    </row>
    <row r="954" spans="2:28" ht="13">
      <c r="B954" s="294"/>
      <c r="C954" s="294"/>
      <c r="D954" s="294"/>
      <c r="E954" s="294"/>
      <c r="AB954" s="188"/>
    </row>
    <row r="955" spans="2:28" ht="13">
      <c r="B955" s="294"/>
      <c r="C955" s="294"/>
      <c r="D955" s="294"/>
      <c r="E955" s="294"/>
      <c r="AB955" s="188"/>
    </row>
    <row r="956" spans="2:28" ht="13">
      <c r="B956" s="294"/>
      <c r="C956" s="294"/>
      <c r="D956" s="294"/>
      <c r="E956" s="294"/>
      <c r="AB956" s="188"/>
    </row>
    <row r="957" spans="2:28" ht="13">
      <c r="B957" s="294"/>
      <c r="C957" s="294"/>
      <c r="D957" s="294"/>
      <c r="E957" s="294"/>
      <c r="AB957" s="188"/>
    </row>
    <row r="958" spans="2:28" ht="13">
      <c r="B958" s="294"/>
      <c r="C958" s="294"/>
      <c r="D958" s="294"/>
      <c r="E958" s="294"/>
      <c r="AB958" s="188"/>
    </row>
    <row r="959" spans="2:28" ht="13">
      <c r="B959" s="294"/>
      <c r="C959" s="294"/>
      <c r="D959" s="294"/>
      <c r="E959" s="294"/>
      <c r="AB959" s="188"/>
    </row>
    <row r="960" spans="2:28" ht="13">
      <c r="B960" s="294"/>
      <c r="C960" s="294"/>
      <c r="D960" s="294"/>
      <c r="E960" s="294"/>
      <c r="AB960" s="188"/>
    </row>
    <row r="961" spans="2:28" ht="13">
      <c r="B961" s="294"/>
      <c r="C961" s="294"/>
      <c r="D961" s="294"/>
      <c r="E961" s="294"/>
      <c r="AB961" s="188"/>
    </row>
    <row r="962" spans="2:28" ht="13">
      <c r="B962" s="294"/>
      <c r="C962" s="294"/>
      <c r="D962" s="294"/>
      <c r="E962" s="294"/>
      <c r="AB962" s="188"/>
    </row>
    <row r="963" spans="2:28" ht="13">
      <c r="B963" s="294"/>
      <c r="C963" s="294"/>
      <c r="D963" s="294"/>
      <c r="E963" s="294"/>
      <c r="AB963" s="188"/>
    </row>
    <row r="964" spans="2:28" ht="13">
      <c r="B964" s="294"/>
      <c r="C964" s="294"/>
      <c r="D964" s="294"/>
      <c r="E964" s="294"/>
      <c r="AB964" s="188"/>
    </row>
    <row r="965" spans="2:28" ht="13">
      <c r="B965" s="294"/>
      <c r="C965" s="294"/>
      <c r="D965" s="294"/>
      <c r="E965" s="294"/>
      <c r="AB965" s="188"/>
    </row>
    <row r="966" spans="2:28" ht="13">
      <c r="B966" s="294"/>
      <c r="C966" s="294"/>
      <c r="D966" s="294"/>
      <c r="E966" s="294"/>
      <c r="AB966" s="188"/>
    </row>
    <row r="967" spans="2:28" ht="13">
      <c r="B967" s="294"/>
      <c r="C967" s="294"/>
      <c r="D967" s="294"/>
      <c r="E967" s="294"/>
      <c r="AB967" s="188"/>
    </row>
    <row r="968" spans="2:28" ht="13">
      <c r="B968" s="294"/>
      <c r="C968" s="294"/>
      <c r="D968" s="294"/>
      <c r="E968" s="294"/>
      <c r="AB968" s="188"/>
    </row>
    <row r="969" spans="2:28" ht="13">
      <c r="B969" s="294"/>
      <c r="C969" s="294"/>
      <c r="D969" s="294"/>
      <c r="E969" s="294"/>
      <c r="AB969" s="188"/>
    </row>
    <row r="970" spans="2:28" ht="13">
      <c r="B970" s="294"/>
      <c r="C970" s="294"/>
      <c r="D970" s="294"/>
      <c r="E970" s="294"/>
      <c r="AB970" s="188"/>
    </row>
    <row r="971" spans="2:28" ht="13">
      <c r="B971" s="294"/>
      <c r="C971" s="294"/>
      <c r="D971" s="294"/>
      <c r="E971" s="294"/>
      <c r="AB971" s="188"/>
    </row>
    <row r="972" spans="2:28" ht="13">
      <c r="B972" s="294"/>
      <c r="C972" s="294"/>
      <c r="D972" s="294"/>
      <c r="E972" s="294"/>
      <c r="AB972" s="188"/>
    </row>
    <row r="973" spans="2:28" ht="13">
      <c r="B973" s="294"/>
      <c r="C973" s="294"/>
      <c r="D973" s="294"/>
      <c r="E973" s="294"/>
      <c r="AB973" s="188"/>
    </row>
    <row r="974" spans="2:28" ht="13">
      <c r="B974" s="294"/>
      <c r="C974" s="294"/>
      <c r="D974" s="294"/>
      <c r="E974" s="294"/>
      <c r="AB974" s="188"/>
    </row>
    <row r="975" spans="2:28" ht="13">
      <c r="B975" s="294"/>
      <c r="C975" s="294"/>
      <c r="D975" s="294"/>
      <c r="E975" s="294"/>
      <c r="AB975" s="188"/>
    </row>
    <row r="976" spans="2:28" ht="13">
      <c r="B976" s="294"/>
      <c r="C976" s="294"/>
      <c r="D976" s="294"/>
      <c r="E976" s="294"/>
      <c r="AB976" s="188"/>
    </row>
    <row r="977" spans="2:28" ht="13">
      <c r="B977" s="294"/>
      <c r="C977" s="294"/>
      <c r="D977" s="294"/>
      <c r="E977" s="294"/>
      <c r="AB977" s="188"/>
    </row>
    <row r="978" spans="2:28" ht="13">
      <c r="B978" s="294"/>
      <c r="C978" s="294"/>
      <c r="D978" s="294"/>
      <c r="E978" s="294"/>
      <c r="AB978" s="188"/>
    </row>
    <row r="979" spans="2:28" ht="13">
      <c r="B979" s="294"/>
      <c r="C979" s="294"/>
      <c r="D979" s="294"/>
      <c r="E979" s="294"/>
      <c r="AB979" s="188"/>
    </row>
    <row r="980" spans="2:28" ht="13">
      <c r="B980" s="294"/>
      <c r="C980" s="294"/>
      <c r="D980" s="294"/>
      <c r="E980" s="294"/>
      <c r="AB980" s="188"/>
    </row>
    <row r="981" spans="2:28" ht="13">
      <c r="B981" s="294"/>
      <c r="C981" s="294"/>
      <c r="D981" s="294"/>
      <c r="E981" s="294"/>
      <c r="AB981" s="188"/>
    </row>
    <row r="982" spans="2:28" ht="13">
      <c r="B982" s="294"/>
      <c r="C982" s="294"/>
      <c r="D982" s="294"/>
      <c r="E982" s="294"/>
      <c r="AB982" s="188"/>
    </row>
    <row r="983" spans="2:28" ht="13">
      <c r="B983" s="294"/>
      <c r="C983" s="294"/>
      <c r="D983" s="294"/>
      <c r="E983" s="294"/>
      <c r="AB983" s="188"/>
    </row>
    <row r="984" spans="2:28" ht="13">
      <c r="B984" s="294"/>
      <c r="C984" s="294"/>
      <c r="D984" s="294"/>
      <c r="E984" s="294"/>
      <c r="AB984" s="188"/>
    </row>
    <row r="985" spans="2:28" ht="13">
      <c r="B985" s="294"/>
      <c r="C985" s="294"/>
      <c r="D985" s="294"/>
      <c r="E985" s="294"/>
      <c r="AB985" s="188"/>
    </row>
    <row r="986" spans="2:28" ht="13">
      <c r="B986" s="294"/>
      <c r="C986" s="294"/>
      <c r="D986" s="294"/>
      <c r="E986" s="294"/>
      <c r="AB986" s="188"/>
    </row>
    <row r="987" spans="2:28" ht="13">
      <c r="B987" s="294"/>
      <c r="C987" s="294"/>
      <c r="D987" s="294"/>
      <c r="E987" s="294"/>
      <c r="AB987" s="188"/>
    </row>
    <row r="988" spans="2:28" ht="13">
      <c r="B988" s="294"/>
      <c r="C988" s="294"/>
      <c r="D988" s="294"/>
      <c r="E988" s="294"/>
      <c r="AB988" s="188"/>
    </row>
    <row r="989" spans="2:28" ht="13">
      <c r="B989" s="294"/>
      <c r="C989" s="294"/>
      <c r="D989" s="294"/>
      <c r="E989" s="294"/>
      <c r="AB989" s="188"/>
    </row>
    <row r="990" spans="2:28" ht="13">
      <c r="B990" s="294"/>
      <c r="C990" s="294"/>
      <c r="D990" s="294"/>
      <c r="E990" s="294"/>
      <c r="AB990" s="188"/>
    </row>
    <row r="991" spans="2:28" ht="13">
      <c r="B991" s="294"/>
      <c r="C991" s="294"/>
      <c r="D991" s="294"/>
      <c r="E991" s="294"/>
      <c r="AB991" s="188"/>
    </row>
    <row r="992" spans="2:28" ht="13">
      <c r="B992" s="294"/>
      <c r="C992" s="294"/>
      <c r="D992" s="294"/>
      <c r="E992" s="294"/>
      <c r="AB992" s="188"/>
    </row>
    <row r="993" spans="2:28" ht="13">
      <c r="B993" s="294"/>
      <c r="C993" s="294"/>
      <c r="D993" s="294"/>
      <c r="E993" s="294"/>
      <c r="AB993" s="188"/>
    </row>
    <row r="994" spans="2:28" ht="13">
      <c r="B994" s="294"/>
      <c r="C994" s="294"/>
      <c r="D994" s="294"/>
      <c r="E994" s="294"/>
      <c r="AB994" s="188"/>
    </row>
    <row r="995" spans="2:28" ht="13">
      <c r="B995" s="294"/>
      <c r="C995" s="294"/>
      <c r="D995" s="294"/>
      <c r="E995" s="294"/>
      <c r="AB995" s="188"/>
    </row>
    <row r="996" spans="2:28" ht="13">
      <c r="B996" s="294"/>
      <c r="C996" s="294"/>
      <c r="D996" s="294"/>
      <c r="E996" s="294"/>
      <c r="AB996" s="188"/>
    </row>
    <row r="997" spans="2:28" ht="13">
      <c r="B997" s="294"/>
      <c r="C997" s="294"/>
      <c r="D997" s="294"/>
      <c r="E997" s="294"/>
      <c r="AB997" s="188"/>
    </row>
    <row r="998" spans="2:28" ht="13">
      <c r="B998" s="294"/>
      <c r="C998" s="294"/>
      <c r="D998" s="294"/>
      <c r="E998" s="294"/>
      <c r="AB998" s="188"/>
    </row>
    <row r="999" spans="2:28" ht="13">
      <c r="B999" s="294"/>
      <c r="C999" s="294"/>
      <c r="D999" s="294"/>
      <c r="E999" s="294"/>
      <c r="AB999" s="188"/>
    </row>
    <row r="1000" spans="2:28" ht="13">
      <c r="B1000" s="294"/>
      <c r="C1000" s="294"/>
      <c r="D1000" s="294"/>
      <c r="E1000" s="294"/>
      <c r="AB1000" s="188"/>
    </row>
    <row r="1001" spans="2:28" ht="13">
      <c r="B1001" s="294"/>
      <c r="C1001" s="294"/>
      <c r="D1001" s="294"/>
      <c r="E1001" s="294"/>
      <c r="AB1001" s="188"/>
    </row>
    <row r="1002" spans="2:28" ht="13">
      <c r="B1002" s="294"/>
      <c r="C1002" s="294"/>
      <c r="D1002" s="294"/>
      <c r="E1002" s="294"/>
      <c r="AB1002" s="188"/>
    </row>
  </sheetData>
  <mergeCells count="1">
    <mergeCell ref="B87:F87"/>
  </mergeCells>
  <conditionalFormatting sqref="C1:C86">
    <cfRule type="cellIs" dxfId="20" priority="5" operator="equal">
      <formula>"18%"</formula>
    </cfRule>
    <cfRule type="cellIs" dxfId="19" priority="6" operator="equal">
      <formula>"15%"</formula>
    </cfRule>
    <cfRule type="cellIs" dxfId="18" priority="7" operator="equal">
      <formula>"12%"</formula>
    </cfRule>
    <cfRule type="cellIs" dxfId="17" priority="8" operator="equal">
      <formula>"5%"</formula>
    </cfRule>
    <cfRule type="cellIs" dxfId="16" priority="9" operator="equal">
      <formula>"10%"</formula>
    </cfRule>
  </conditionalFormatting>
  <conditionalFormatting sqref="H10:AA20">
    <cfRule type="cellIs" dxfId="15" priority="10" operator="lessThanOrEqual">
      <formula>1800000</formula>
    </cfRule>
  </conditionalFormatting>
  <conditionalFormatting sqref="H21:AA27">
    <cfRule type="cellIs" dxfId="14" priority="11" operator="lessThanOrEqual">
      <formula>1500000</formula>
    </cfRule>
  </conditionalFormatting>
  <conditionalFormatting sqref="L1 S1 Z1">
    <cfRule type="cellIs" dxfId="13" priority="1" operator="lessThan">
      <formula>0</formula>
    </cfRule>
  </conditionalFormatting>
  <conditionalFormatting sqref="M1 T1 AA1">
    <cfRule type="cellIs" dxfId="12" priority="2" operator="lessThan">
      <formula>"90%"</formula>
    </cfRule>
    <cfRule type="cellIs" dxfId="11" priority="3" operator="greaterThanOrEqual">
      <formula>"100%"</formula>
    </cfRule>
    <cfRule type="cellIs" dxfId="10" priority="4" operator="lessThan">
      <formula>"100%"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E981"/>
  <sheetViews>
    <sheetView workbookViewId="0"/>
  </sheetViews>
  <sheetFormatPr baseColWidth="10" defaultColWidth="12.6640625" defaultRowHeight="15.75" customHeight="1"/>
  <cols>
    <col min="1" max="1" width="47.1640625" customWidth="1"/>
    <col min="2" max="2" width="14.83203125" customWidth="1"/>
    <col min="3" max="3" width="14.6640625" customWidth="1"/>
    <col min="4" max="4" width="15" customWidth="1"/>
    <col min="5" max="5" width="16.33203125" customWidth="1"/>
  </cols>
  <sheetData>
    <row r="1" spans="1:5" ht="15.75" customHeight="1">
      <c r="B1" s="302" t="s">
        <v>241</v>
      </c>
      <c r="C1" s="364">
        <v>45566</v>
      </c>
      <c r="D1" s="364">
        <v>45597</v>
      </c>
      <c r="E1" s="364">
        <v>45627</v>
      </c>
    </row>
    <row r="2" spans="1:5" ht="15.75" customHeight="1">
      <c r="A2" s="302" t="s">
        <v>241</v>
      </c>
      <c r="B2" s="352">
        <v>3814192596.98</v>
      </c>
      <c r="C2" s="352">
        <v>1263041345.9100001</v>
      </c>
      <c r="D2" s="352">
        <v>1260705084.1800001</v>
      </c>
      <c r="E2" s="352">
        <v>1290446166.8900001</v>
      </c>
    </row>
    <row r="3" spans="1:5" ht="15.75" customHeight="1">
      <c r="A3" s="302"/>
      <c r="B3" s="352"/>
      <c r="C3" s="352"/>
      <c r="D3" s="352"/>
      <c r="E3" s="352"/>
    </row>
    <row r="4" spans="1:5" ht="15.75" customHeight="1">
      <c r="A4" s="302" t="s">
        <v>841</v>
      </c>
      <c r="B4" s="352">
        <v>12765278.310000001</v>
      </c>
      <c r="C4" s="352">
        <v>5826619.5099999998</v>
      </c>
      <c r="D4" s="352">
        <v>3035560.82</v>
      </c>
      <c r="E4" s="352">
        <v>3903097.98</v>
      </c>
    </row>
    <row r="5" spans="1:5" ht="15.75" customHeight="1">
      <c r="A5" s="302" t="s">
        <v>697</v>
      </c>
      <c r="B5" s="352">
        <v>7070127.0700000003</v>
      </c>
      <c r="C5" s="352">
        <v>3167579.36</v>
      </c>
      <c r="D5" s="352">
        <v>2371637.17</v>
      </c>
      <c r="E5" s="352">
        <v>1530910.54</v>
      </c>
    </row>
    <row r="6" spans="1:5" ht="15.75" customHeight="1">
      <c r="A6" s="302" t="s">
        <v>288</v>
      </c>
      <c r="B6" s="352">
        <v>9417952.2100000009</v>
      </c>
      <c r="C6" s="352">
        <v>2629635.0699999998</v>
      </c>
      <c r="D6" s="352">
        <v>3212770.41</v>
      </c>
      <c r="E6" s="352">
        <v>3575546.73</v>
      </c>
    </row>
    <row r="7" spans="1:5" ht="15.75" customHeight="1">
      <c r="A7" s="302" t="s">
        <v>1627</v>
      </c>
      <c r="B7" s="352">
        <v>147116.5</v>
      </c>
      <c r="C7" s="352">
        <v>147116.5</v>
      </c>
      <c r="D7" s="302">
        <v>0</v>
      </c>
      <c r="E7" s="302">
        <v>0</v>
      </c>
    </row>
    <row r="8" spans="1:5" ht="15.75" customHeight="1">
      <c r="A8" s="302" t="s">
        <v>310</v>
      </c>
      <c r="B8" s="352">
        <v>135800.66</v>
      </c>
      <c r="C8" s="352">
        <v>27675.65</v>
      </c>
      <c r="D8" s="352">
        <v>101013.78</v>
      </c>
      <c r="E8" s="352">
        <v>7111.23</v>
      </c>
    </row>
    <row r="9" spans="1:5" ht="15.75" customHeight="1">
      <c r="A9" s="302" t="s">
        <v>475</v>
      </c>
      <c r="B9" s="352">
        <v>1546508.45</v>
      </c>
      <c r="C9" s="352">
        <v>726551.32</v>
      </c>
      <c r="D9" s="352">
        <v>373700.22</v>
      </c>
      <c r="E9" s="352">
        <v>446256.91</v>
      </c>
    </row>
    <row r="10" spans="1:5" ht="15.75" customHeight="1">
      <c r="A10" s="302" t="s">
        <v>636</v>
      </c>
      <c r="B10" s="352">
        <v>609420.16</v>
      </c>
      <c r="C10" s="352">
        <v>193675.2</v>
      </c>
      <c r="D10" s="302">
        <v>0</v>
      </c>
      <c r="E10" s="352">
        <v>415744.96</v>
      </c>
    </row>
    <row r="11" spans="1:5" ht="15.75" customHeight="1">
      <c r="A11" s="302" t="s">
        <v>958</v>
      </c>
      <c r="B11" s="352">
        <v>482228.74</v>
      </c>
      <c r="C11" s="352">
        <v>131120.06</v>
      </c>
      <c r="D11" s="352">
        <v>84287.74</v>
      </c>
      <c r="E11" s="352">
        <v>266820.94</v>
      </c>
    </row>
    <row r="12" spans="1:5" ht="15.75" customHeight="1">
      <c r="A12" s="302" t="s">
        <v>125</v>
      </c>
      <c r="B12" s="352">
        <v>4101486.59</v>
      </c>
      <c r="C12" s="352">
        <v>946809.75</v>
      </c>
      <c r="D12" s="352">
        <v>1930590.29</v>
      </c>
      <c r="E12" s="352">
        <v>1224086.54</v>
      </c>
    </row>
    <row r="13" spans="1:5" ht="15.75" customHeight="1">
      <c r="A13" s="302" t="s">
        <v>954</v>
      </c>
      <c r="B13" s="352">
        <v>1275681.3500000001</v>
      </c>
      <c r="C13" s="352">
        <v>331165.68</v>
      </c>
      <c r="D13" s="352">
        <v>542215.48</v>
      </c>
      <c r="E13" s="352">
        <v>402300.19</v>
      </c>
    </row>
    <row r="14" spans="1:5" ht="15.75" customHeight="1">
      <c r="A14" s="302" t="s">
        <v>865</v>
      </c>
      <c r="B14" s="352">
        <v>2337286.2200000002</v>
      </c>
      <c r="C14" s="352">
        <v>680643.26</v>
      </c>
      <c r="D14" s="352">
        <v>596923.99</v>
      </c>
      <c r="E14" s="352">
        <v>1059718.98</v>
      </c>
    </row>
    <row r="15" spans="1:5" ht="15.75" customHeight="1">
      <c r="A15" s="302" t="s">
        <v>304</v>
      </c>
      <c r="B15" s="352">
        <v>689271.67</v>
      </c>
      <c r="C15" s="352">
        <v>179297.07</v>
      </c>
      <c r="D15" s="352">
        <v>146608</v>
      </c>
      <c r="E15" s="352">
        <v>363366.6</v>
      </c>
    </row>
    <row r="16" spans="1:5" ht="15.75" customHeight="1">
      <c r="A16" s="302" t="s">
        <v>765</v>
      </c>
      <c r="B16" s="352">
        <v>892800.25</v>
      </c>
      <c r="C16" s="352">
        <v>800408.25</v>
      </c>
      <c r="D16" s="352">
        <v>92392</v>
      </c>
      <c r="E16" s="302">
        <v>0</v>
      </c>
    </row>
    <row r="17" spans="1:5" ht="15.75" customHeight="1">
      <c r="A17" s="302" t="s">
        <v>73</v>
      </c>
      <c r="B17" s="352">
        <v>7115878.2400000002</v>
      </c>
      <c r="C17" s="352">
        <v>2391440.9500000002</v>
      </c>
      <c r="D17" s="352">
        <v>2092798.61</v>
      </c>
      <c r="E17" s="352">
        <v>2631638.6800000002</v>
      </c>
    </row>
    <row r="18" spans="1:5" ht="15.75" customHeight="1">
      <c r="A18" s="302" t="s">
        <v>766</v>
      </c>
      <c r="B18" s="352">
        <v>371562.9</v>
      </c>
      <c r="C18" s="352">
        <v>102086.52</v>
      </c>
      <c r="D18" s="302">
        <v>0</v>
      </c>
      <c r="E18" s="352">
        <v>269476.38</v>
      </c>
    </row>
    <row r="19" spans="1:5" ht="15.75" customHeight="1">
      <c r="A19" s="302" t="s">
        <v>1397</v>
      </c>
      <c r="B19" s="352">
        <v>1457097.51</v>
      </c>
      <c r="C19" s="352">
        <v>445477.11</v>
      </c>
      <c r="D19" s="352">
        <v>285853.19</v>
      </c>
      <c r="E19" s="352">
        <v>725767.22</v>
      </c>
    </row>
    <row r="20" spans="1:5" ht="15.75" customHeight="1">
      <c r="A20" s="302" t="s">
        <v>263</v>
      </c>
      <c r="B20" s="352">
        <v>20990537.27</v>
      </c>
      <c r="C20" s="352">
        <v>3569193.91</v>
      </c>
      <c r="D20" s="352">
        <v>14998435.83</v>
      </c>
      <c r="E20" s="352">
        <v>2422907.5299999998</v>
      </c>
    </row>
    <row r="21" spans="1:5" ht="15.75" customHeight="1">
      <c r="A21" s="302" t="s">
        <v>72</v>
      </c>
      <c r="B21" s="352">
        <v>82418715.400000006</v>
      </c>
      <c r="C21" s="352">
        <v>10028173.6</v>
      </c>
      <c r="D21" s="352">
        <v>40167347.829999998</v>
      </c>
      <c r="E21" s="352">
        <v>32223193.969999999</v>
      </c>
    </row>
    <row r="22" spans="1:5" ht="15.75" customHeight="1">
      <c r="A22" s="302" t="s">
        <v>488</v>
      </c>
      <c r="B22" s="352">
        <v>113278</v>
      </c>
      <c r="C22" s="352">
        <v>113278</v>
      </c>
      <c r="D22" s="302">
        <v>0</v>
      </c>
      <c r="E22" s="302">
        <v>0</v>
      </c>
    </row>
    <row r="23" spans="1:5" ht="15.75" customHeight="1">
      <c r="A23" s="302" t="s">
        <v>887</v>
      </c>
      <c r="B23" s="352">
        <v>262687.89</v>
      </c>
      <c r="C23" s="352">
        <v>93350.13</v>
      </c>
      <c r="D23" s="352">
        <v>169337.77</v>
      </c>
      <c r="E23" s="302">
        <v>0</v>
      </c>
    </row>
    <row r="24" spans="1:5" ht="15.75" customHeight="1">
      <c r="A24" s="302" t="s">
        <v>663</v>
      </c>
      <c r="B24" s="352">
        <v>-84843.6</v>
      </c>
      <c r="C24" s="352">
        <v>-84843.6</v>
      </c>
      <c r="D24" s="302">
        <v>0</v>
      </c>
      <c r="E24" s="302">
        <v>0</v>
      </c>
    </row>
    <row r="25" spans="1:5" ht="15.75" customHeight="1">
      <c r="A25" s="302" t="s">
        <v>523</v>
      </c>
      <c r="B25" s="352">
        <v>9189001.0399999991</v>
      </c>
      <c r="C25" s="352">
        <v>2077107.25</v>
      </c>
      <c r="D25" s="352">
        <v>2169394.0499999998</v>
      </c>
      <c r="E25" s="352">
        <v>4942499.75</v>
      </c>
    </row>
    <row r="26" spans="1:5" ht="15.75" customHeight="1">
      <c r="A26" s="302" t="s">
        <v>170</v>
      </c>
      <c r="B26" s="352">
        <v>35321.53</v>
      </c>
      <c r="C26" s="302">
        <v>0</v>
      </c>
      <c r="D26" s="352">
        <v>35321.53</v>
      </c>
      <c r="E26" s="302">
        <v>0</v>
      </c>
    </row>
    <row r="27" spans="1:5" ht="15.75" customHeight="1">
      <c r="A27" s="302" t="s">
        <v>970</v>
      </c>
      <c r="B27" s="352">
        <v>33420.11</v>
      </c>
      <c r="C27" s="302">
        <v>0</v>
      </c>
      <c r="D27" s="302">
        <v>0</v>
      </c>
      <c r="E27" s="352">
        <v>33420.11</v>
      </c>
    </row>
    <row r="28" spans="1:5" ht="15.75" customHeight="1">
      <c r="A28" s="302" t="s">
        <v>1380</v>
      </c>
      <c r="B28" s="352">
        <v>151163.96</v>
      </c>
      <c r="C28" s="352">
        <v>128526.19</v>
      </c>
      <c r="D28" s="352">
        <v>22637.77</v>
      </c>
      <c r="E28" s="302">
        <v>0</v>
      </c>
    </row>
    <row r="29" spans="1:5" ht="15.75" customHeight="1">
      <c r="A29" s="302" t="s">
        <v>713</v>
      </c>
      <c r="B29" s="352">
        <v>1436198.77</v>
      </c>
      <c r="C29" s="352">
        <v>51756.55</v>
      </c>
      <c r="D29" s="352">
        <v>865558.92</v>
      </c>
      <c r="E29" s="352">
        <v>518883.3</v>
      </c>
    </row>
    <row r="30" spans="1:5" ht="15.75" customHeight="1">
      <c r="A30" s="302" t="s">
        <v>1194</v>
      </c>
      <c r="B30" s="352">
        <v>635761.31999999995</v>
      </c>
      <c r="C30" s="352">
        <v>165043.85</v>
      </c>
      <c r="D30" s="352">
        <v>250076.95</v>
      </c>
      <c r="E30" s="352">
        <v>220640.52</v>
      </c>
    </row>
    <row r="31" spans="1:5" ht="15.75" customHeight="1">
      <c r="A31" s="302" t="s">
        <v>724</v>
      </c>
      <c r="B31" s="352">
        <v>3275372.43</v>
      </c>
      <c r="C31" s="352">
        <v>1208412.56</v>
      </c>
      <c r="D31" s="352">
        <v>1154987.72</v>
      </c>
      <c r="E31" s="352">
        <v>911972.16</v>
      </c>
    </row>
    <row r="32" spans="1:5" ht="15.75" customHeight="1">
      <c r="A32" s="302" t="s">
        <v>1083</v>
      </c>
      <c r="B32" s="352">
        <v>181770.3</v>
      </c>
      <c r="C32" s="302">
        <v>0</v>
      </c>
      <c r="D32" s="352">
        <v>67969</v>
      </c>
      <c r="E32" s="352">
        <v>113801.3</v>
      </c>
    </row>
    <row r="33" spans="1:5" ht="15.75" customHeight="1">
      <c r="A33" s="302" t="s">
        <v>1288</v>
      </c>
      <c r="B33" s="352">
        <v>3803811.7</v>
      </c>
      <c r="C33" s="352">
        <v>1835173.23</v>
      </c>
      <c r="D33" s="352">
        <v>462859.94</v>
      </c>
      <c r="E33" s="352">
        <v>1505778.52</v>
      </c>
    </row>
    <row r="34" spans="1:5" ht="15.75" customHeight="1">
      <c r="A34" s="302" t="s">
        <v>1331</v>
      </c>
      <c r="B34" s="352">
        <v>1439607.72</v>
      </c>
      <c r="C34" s="302">
        <v>0</v>
      </c>
      <c r="D34" s="352">
        <v>1439607.72</v>
      </c>
      <c r="E34" s="302">
        <v>0</v>
      </c>
    </row>
    <row r="35" spans="1:5" ht="15.75" customHeight="1">
      <c r="A35" s="302" t="s">
        <v>231</v>
      </c>
      <c r="B35" s="352">
        <v>735657.63</v>
      </c>
      <c r="C35" s="352">
        <v>682871.89</v>
      </c>
      <c r="D35" s="352">
        <v>48043.34</v>
      </c>
      <c r="E35" s="352">
        <v>4742.3999999999996</v>
      </c>
    </row>
    <row r="36" spans="1:5" ht="15.75" customHeight="1">
      <c r="A36" s="302" t="s">
        <v>127</v>
      </c>
      <c r="B36" s="352">
        <v>2435872.21</v>
      </c>
      <c r="C36" s="352">
        <v>724564.38</v>
      </c>
      <c r="D36" s="352">
        <v>1177014.1499999999</v>
      </c>
      <c r="E36" s="352">
        <v>534293.68000000005</v>
      </c>
    </row>
    <row r="37" spans="1:5" ht="15.75" customHeight="1">
      <c r="A37" s="302" t="s">
        <v>1275</v>
      </c>
      <c r="B37" s="352">
        <v>7787117.1600000001</v>
      </c>
      <c r="C37" s="352">
        <v>1161817.0900000001</v>
      </c>
      <c r="D37" s="352">
        <v>3115164.04</v>
      </c>
      <c r="E37" s="352">
        <v>3510136.03</v>
      </c>
    </row>
    <row r="38" spans="1:5" ht="15.75" customHeight="1">
      <c r="A38" s="302" t="s">
        <v>137</v>
      </c>
      <c r="B38" s="352">
        <v>1132122.99</v>
      </c>
      <c r="C38" s="352">
        <v>105495.01</v>
      </c>
      <c r="D38" s="352">
        <v>597274.12</v>
      </c>
      <c r="E38" s="352">
        <v>429353.86</v>
      </c>
    </row>
    <row r="39" spans="1:5" ht="15.75" customHeight="1">
      <c r="A39" s="302" t="s">
        <v>1628</v>
      </c>
      <c r="B39" s="352">
        <v>1538906.4</v>
      </c>
      <c r="C39" s="352">
        <v>756903.1</v>
      </c>
      <c r="D39" s="352">
        <v>249534</v>
      </c>
      <c r="E39" s="352">
        <v>532469.30000000005</v>
      </c>
    </row>
    <row r="40" spans="1:5" ht="15.75" customHeight="1">
      <c r="A40" s="302" t="s">
        <v>238</v>
      </c>
      <c r="B40" s="352">
        <v>17842312.77</v>
      </c>
      <c r="C40" s="352">
        <v>6105882.9900000002</v>
      </c>
      <c r="D40" s="352">
        <v>5583897.2699999996</v>
      </c>
      <c r="E40" s="352">
        <v>6152532.5099999998</v>
      </c>
    </row>
    <row r="41" spans="1:5" ht="15.75" customHeight="1">
      <c r="A41" s="302" t="s">
        <v>1629</v>
      </c>
      <c r="B41" s="352">
        <v>1775956.1</v>
      </c>
      <c r="C41" s="352">
        <v>346302.41</v>
      </c>
      <c r="D41" s="352">
        <v>1012070.45</v>
      </c>
      <c r="E41" s="352">
        <v>417583.24</v>
      </c>
    </row>
    <row r="42" spans="1:5" ht="15.75" customHeight="1">
      <c r="A42" s="302" t="s">
        <v>1431</v>
      </c>
      <c r="B42" s="352">
        <v>668105.78</v>
      </c>
      <c r="C42" s="352">
        <v>123876</v>
      </c>
      <c r="D42" s="352">
        <v>427816.6</v>
      </c>
      <c r="E42" s="352">
        <v>116413.18</v>
      </c>
    </row>
    <row r="43" spans="1:5" ht="13">
      <c r="A43" s="302" t="s">
        <v>767</v>
      </c>
      <c r="B43" s="352">
        <v>723227.97</v>
      </c>
      <c r="C43" s="352">
        <v>382938.23</v>
      </c>
      <c r="D43" s="352">
        <v>309571.03999999998</v>
      </c>
      <c r="E43" s="352">
        <v>30718.7</v>
      </c>
    </row>
    <row r="44" spans="1:5" ht="13">
      <c r="A44" s="302" t="s">
        <v>1199</v>
      </c>
      <c r="B44" s="352">
        <v>1084561.1000000001</v>
      </c>
      <c r="C44" s="352">
        <v>390723.34</v>
      </c>
      <c r="D44" s="352">
        <v>241643.68</v>
      </c>
      <c r="E44" s="352">
        <v>452194.08</v>
      </c>
    </row>
    <row r="45" spans="1:5" ht="13">
      <c r="A45" s="302" t="s">
        <v>308</v>
      </c>
      <c r="B45" s="352">
        <v>840681.63</v>
      </c>
      <c r="C45" s="352">
        <v>311138.19</v>
      </c>
      <c r="D45" s="352">
        <v>305010.53999999998</v>
      </c>
      <c r="E45" s="352">
        <v>224532.9</v>
      </c>
    </row>
    <row r="46" spans="1:5" ht="13">
      <c r="A46" s="302" t="s">
        <v>418</v>
      </c>
      <c r="B46" s="352">
        <v>741313.26</v>
      </c>
      <c r="C46" s="302">
        <v>0</v>
      </c>
      <c r="D46" s="352">
        <v>240663.87</v>
      </c>
      <c r="E46" s="352">
        <v>500649.39</v>
      </c>
    </row>
    <row r="47" spans="1:5" ht="13">
      <c r="A47" s="302" t="s">
        <v>283</v>
      </c>
      <c r="B47" s="352">
        <v>6279300.9400000004</v>
      </c>
      <c r="C47" s="352">
        <v>1716796.8</v>
      </c>
      <c r="D47" s="352">
        <v>2721971.26</v>
      </c>
      <c r="E47" s="352">
        <v>1840532.88</v>
      </c>
    </row>
    <row r="48" spans="1:5" ht="13">
      <c r="A48" s="302" t="s">
        <v>1174</v>
      </c>
      <c r="B48" s="352">
        <v>198665.08</v>
      </c>
      <c r="C48" s="352">
        <v>198665.08</v>
      </c>
      <c r="D48" s="302">
        <v>0</v>
      </c>
      <c r="E48" s="302">
        <v>0</v>
      </c>
    </row>
    <row r="49" spans="1:5" ht="13">
      <c r="A49" s="302" t="s">
        <v>1008</v>
      </c>
      <c r="B49" s="352">
        <v>5249440.7300000004</v>
      </c>
      <c r="C49" s="352">
        <v>1605706.1</v>
      </c>
      <c r="D49" s="352">
        <v>2171003.58</v>
      </c>
      <c r="E49" s="352">
        <v>1472731.05</v>
      </c>
    </row>
    <row r="50" spans="1:5" ht="13">
      <c r="A50" s="302" t="s">
        <v>171</v>
      </c>
      <c r="B50" s="352">
        <v>1934926.36</v>
      </c>
      <c r="C50" s="352">
        <v>519900.04</v>
      </c>
      <c r="D50" s="352">
        <v>1001161.28</v>
      </c>
      <c r="E50" s="352">
        <v>413865.04</v>
      </c>
    </row>
    <row r="51" spans="1:5" ht="13">
      <c r="A51" s="302" t="s">
        <v>1405</v>
      </c>
      <c r="B51" s="352">
        <v>2260451.9</v>
      </c>
      <c r="C51" s="352">
        <v>632154</v>
      </c>
      <c r="D51" s="352">
        <v>1026074.4</v>
      </c>
      <c r="E51" s="352">
        <v>602223.5</v>
      </c>
    </row>
    <row r="52" spans="1:5" ht="13">
      <c r="A52" s="302" t="s">
        <v>555</v>
      </c>
      <c r="B52" s="352">
        <v>11889124.130000001</v>
      </c>
      <c r="C52" s="352">
        <v>4375642.07</v>
      </c>
      <c r="D52" s="352">
        <v>2685906.38</v>
      </c>
      <c r="E52" s="352">
        <v>4827575.6900000004</v>
      </c>
    </row>
    <row r="53" spans="1:5" ht="13">
      <c r="A53" s="302" t="s">
        <v>296</v>
      </c>
      <c r="B53" s="352">
        <v>285899.96000000002</v>
      </c>
      <c r="C53" s="352">
        <v>285899.96000000002</v>
      </c>
      <c r="D53" s="302">
        <v>0</v>
      </c>
      <c r="E53" s="302">
        <v>0</v>
      </c>
    </row>
    <row r="54" spans="1:5" ht="13">
      <c r="A54" s="302" t="s">
        <v>289</v>
      </c>
      <c r="B54" s="352">
        <v>5063998.9800000004</v>
      </c>
      <c r="C54" s="352">
        <v>1591278.83</v>
      </c>
      <c r="D54" s="352">
        <v>1687083.97</v>
      </c>
      <c r="E54" s="352">
        <v>1785636.19</v>
      </c>
    </row>
    <row r="55" spans="1:5" ht="13">
      <c r="A55" s="302" t="s">
        <v>1308</v>
      </c>
      <c r="B55" s="352">
        <v>2390631.62</v>
      </c>
      <c r="C55" s="352">
        <v>553916</v>
      </c>
      <c r="D55" s="352">
        <v>1230797.46</v>
      </c>
      <c r="E55" s="352">
        <v>605918.16</v>
      </c>
    </row>
    <row r="56" spans="1:5" ht="13">
      <c r="A56" s="302" t="s">
        <v>1345</v>
      </c>
      <c r="B56" s="352">
        <v>586784.35</v>
      </c>
      <c r="C56" s="352">
        <v>213367.67999999999</v>
      </c>
      <c r="D56" s="352">
        <v>196613.3</v>
      </c>
      <c r="E56" s="352">
        <v>176803.38</v>
      </c>
    </row>
    <row r="57" spans="1:5" ht="13">
      <c r="A57" s="302" t="s">
        <v>139</v>
      </c>
      <c r="B57" s="352">
        <v>639592.24</v>
      </c>
      <c r="C57" s="352">
        <v>236497.12</v>
      </c>
      <c r="D57" s="352">
        <v>262245.52</v>
      </c>
      <c r="E57" s="352">
        <v>140849.60000000001</v>
      </c>
    </row>
    <row r="58" spans="1:5" ht="13">
      <c r="A58" s="302" t="s">
        <v>848</v>
      </c>
      <c r="B58" s="352">
        <v>2705945.6</v>
      </c>
      <c r="C58" s="352">
        <v>1271700.78</v>
      </c>
      <c r="D58" s="352">
        <v>288472.05</v>
      </c>
      <c r="E58" s="352">
        <v>1145772.77</v>
      </c>
    </row>
    <row r="59" spans="1:5" ht="13">
      <c r="A59" s="302" t="s">
        <v>269</v>
      </c>
      <c r="B59" s="352">
        <v>1295040.49</v>
      </c>
      <c r="C59" s="302">
        <v>0</v>
      </c>
      <c r="D59" s="352">
        <v>404074.97</v>
      </c>
      <c r="E59" s="352">
        <v>890965.52</v>
      </c>
    </row>
    <row r="60" spans="1:5" ht="13">
      <c r="A60" s="302" t="s">
        <v>1200</v>
      </c>
      <c r="B60" s="352">
        <v>35083.53</v>
      </c>
      <c r="C60" s="352">
        <v>19721.34</v>
      </c>
      <c r="D60" s="302">
        <v>0</v>
      </c>
      <c r="E60" s="352">
        <v>15362.19</v>
      </c>
    </row>
    <row r="61" spans="1:5" ht="13">
      <c r="A61" s="302" t="s">
        <v>620</v>
      </c>
      <c r="B61" s="352">
        <v>1030627.65</v>
      </c>
      <c r="C61" s="352">
        <v>429747.68</v>
      </c>
      <c r="D61" s="352">
        <v>139168.39000000001</v>
      </c>
      <c r="E61" s="352">
        <v>461711.59</v>
      </c>
    </row>
    <row r="62" spans="1:5" ht="13">
      <c r="A62" s="302" t="s">
        <v>172</v>
      </c>
      <c r="B62" s="352">
        <v>333052.53999999998</v>
      </c>
      <c r="C62" s="352">
        <v>219214.38</v>
      </c>
      <c r="D62" s="302">
        <v>0</v>
      </c>
      <c r="E62" s="352">
        <v>113838.16</v>
      </c>
    </row>
    <row r="63" spans="1:5" ht="13">
      <c r="A63" s="302" t="s">
        <v>570</v>
      </c>
      <c r="B63" s="352">
        <v>1553650.13</v>
      </c>
      <c r="C63" s="352">
        <v>408264.93</v>
      </c>
      <c r="D63" s="352">
        <v>586790.59</v>
      </c>
      <c r="E63" s="352">
        <v>558594.61</v>
      </c>
    </row>
    <row r="64" spans="1:5" ht="13">
      <c r="A64" s="302" t="s">
        <v>173</v>
      </c>
      <c r="B64" s="352">
        <v>1108637.81</v>
      </c>
      <c r="C64" s="352">
        <v>292803.8</v>
      </c>
      <c r="D64" s="352">
        <v>387578.17</v>
      </c>
      <c r="E64" s="352">
        <v>428255.84</v>
      </c>
    </row>
    <row r="65" spans="1:5" ht="13">
      <c r="A65" s="302" t="s">
        <v>1121</v>
      </c>
      <c r="B65" s="352">
        <v>78719.89</v>
      </c>
      <c r="C65" s="352">
        <v>6400.11</v>
      </c>
      <c r="D65" s="352">
        <v>54599.47</v>
      </c>
      <c r="E65" s="352">
        <v>17720.310000000001</v>
      </c>
    </row>
    <row r="66" spans="1:5" ht="13">
      <c r="A66" s="302" t="s">
        <v>960</v>
      </c>
      <c r="B66" s="352">
        <v>1034032.8</v>
      </c>
      <c r="C66" s="352">
        <v>195998.24</v>
      </c>
      <c r="D66" s="352">
        <v>422723.76</v>
      </c>
      <c r="E66" s="352">
        <v>415310.8</v>
      </c>
    </row>
    <row r="67" spans="1:5" ht="13">
      <c r="A67" s="302" t="s">
        <v>984</v>
      </c>
      <c r="B67" s="352">
        <v>27096.6</v>
      </c>
      <c r="C67" s="352">
        <v>27096.6</v>
      </c>
      <c r="D67" s="302">
        <v>0</v>
      </c>
      <c r="E67" s="302">
        <v>0</v>
      </c>
    </row>
    <row r="68" spans="1:5" ht="13">
      <c r="A68" s="302" t="s">
        <v>900</v>
      </c>
      <c r="B68" s="352">
        <v>319513.03999999998</v>
      </c>
      <c r="C68" s="352">
        <v>167742.98000000001</v>
      </c>
      <c r="D68" s="352">
        <v>106954.47</v>
      </c>
      <c r="E68" s="352">
        <v>44815.59</v>
      </c>
    </row>
    <row r="69" spans="1:5" ht="13">
      <c r="A69" s="302" t="s">
        <v>174</v>
      </c>
      <c r="B69" s="352">
        <v>118041.98</v>
      </c>
      <c r="C69" s="352">
        <v>7842</v>
      </c>
      <c r="D69" s="352">
        <v>51144.02</v>
      </c>
      <c r="E69" s="352">
        <v>59055.96</v>
      </c>
    </row>
    <row r="70" spans="1:5" ht="13">
      <c r="A70" s="302" t="s">
        <v>634</v>
      </c>
      <c r="B70" s="352">
        <v>3988350.86</v>
      </c>
      <c r="C70" s="352">
        <v>1024208.08</v>
      </c>
      <c r="D70" s="352">
        <v>1818606.05</v>
      </c>
      <c r="E70" s="352">
        <v>1145536.74</v>
      </c>
    </row>
    <row r="71" spans="1:5" ht="13">
      <c r="A71" s="302" t="s">
        <v>1042</v>
      </c>
      <c r="B71" s="352">
        <v>383539.87</v>
      </c>
      <c r="C71" s="352">
        <v>29502.32</v>
      </c>
      <c r="D71" s="352">
        <v>137128.14000000001</v>
      </c>
      <c r="E71" s="352">
        <v>216909.41</v>
      </c>
    </row>
    <row r="72" spans="1:5" ht="13">
      <c r="A72" s="302" t="s">
        <v>506</v>
      </c>
      <c r="B72" s="352">
        <v>10390518.4</v>
      </c>
      <c r="C72" s="352">
        <v>3973756.49</v>
      </c>
      <c r="D72" s="352">
        <v>6416761.9100000001</v>
      </c>
      <c r="E72" s="302">
        <v>0</v>
      </c>
    </row>
    <row r="73" spans="1:5" ht="13">
      <c r="A73" s="302" t="s">
        <v>1134</v>
      </c>
      <c r="B73" s="352">
        <v>20552222.149999999</v>
      </c>
      <c r="C73" s="352">
        <v>10600055.630000001</v>
      </c>
      <c r="D73" s="352">
        <v>2300355.75</v>
      </c>
      <c r="E73" s="352">
        <v>7651810.7699999996</v>
      </c>
    </row>
    <row r="74" spans="1:5" ht="13">
      <c r="A74" s="302" t="s">
        <v>1416</v>
      </c>
      <c r="B74" s="352">
        <v>229241.04</v>
      </c>
      <c r="C74" s="302">
        <v>0</v>
      </c>
      <c r="D74" s="302">
        <v>0</v>
      </c>
      <c r="E74" s="352">
        <v>229241.04</v>
      </c>
    </row>
    <row r="75" spans="1:5" ht="13">
      <c r="A75" s="302" t="s">
        <v>176</v>
      </c>
      <c r="B75" s="352">
        <v>60864</v>
      </c>
      <c r="C75" s="352">
        <v>60864</v>
      </c>
      <c r="D75" s="302">
        <v>0</v>
      </c>
      <c r="E75" s="302">
        <v>0</v>
      </c>
    </row>
    <row r="76" spans="1:5" ht="13">
      <c r="A76" s="302" t="s">
        <v>256</v>
      </c>
      <c r="B76" s="352">
        <v>24083404.890000001</v>
      </c>
      <c r="C76" s="352">
        <v>7465151.6399999997</v>
      </c>
      <c r="D76" s="352">
        <v>8403318.0299999993</v>
      </c>
      <c r="E76" s="352">
        <v>8214935.2199999997</v>
      </c>
    </row>
    <row r="77" spans="1:5" ht="13">
      <c r="A77" s="302" t="s">
        <v>257</v>
      </c>
      <c r="B77" s="352">
        <v>1315738.25</v>
      </c>
      <c r="C77" s="352">
        <v>364559.17</v>
      </c>
      <c r="D77" s="352">
        <v>503921.55</v>
      </c>
      <c r="E77" s="352">
        <v>447257.54</v>
      </c>
    </row>
    <row r="78" spans="1:5" ht="13">
      <c r="A78" s="302" t="s">
        <v>258</v>
      </c>
      <c r="B78" s="352">
        <v>5124490.01</v>
      </c>
      <c r="C78" s="352">
        <v>419268.22</v>
      </c>
      <c r="D78" s="352">
        <v>755792.97</v>
      </c>
      <c r="E78" s="352">
        <v>3949428.82</v>
      </c>
    </row>
    <row r="79" spans="1:5" ht="13">
      <c r="A79" s="302" t="s">
        <v>1630</v>
      </c>
      <c r="B79" s="352">
        <v>5011077.08</v>
      </c>
      <c r="C79" s="352">
        <v>1894438.84</v>
      </c>
      <c r="D79" s="352">
        <v>1370036.03</v>
      </c>
      <c r="E79" s="352">
        <v>1746602.21</v>
      </c>
    </row>
    <row r="80" spans="1:5" ht="13">
      <c r="A80" s="302" t="s">
        <v>1021</v>
      </c>
      <c r="B80" s="352">
        <v>4302018.66</v>
      </c>
      <c r="C80" s="352">
        <v>1444616.39</v>
      </c>
      <c r="D80" s="352">
        <v>1667185.04</v>
      </c>
      <c r="E80" s="352">
        <v>1190217.23</v>
      </c>
    </row>
    <row r="81" spans="1:5" ht="13">
      <c r="A81" s="302" t="s">
        <v>401</v>
      </c>
      <c r="B81" s="352">
        <v>6272930.9299999997</v>
      </c>
      <c r="C81" s="352">
        <v>1806830.17</v>
      </c>
      <c r="D81" s="352">
        <v>2020486.56</v>
      </c>
      <c r="E81" s="352">
        <v>2445614.2000000002</v>
      </c>
    </row>
    <row r="82" spans="1:5" ht="13">
      <c r="A82" s="302" t="s">
        <v>373</v>
      </c>
      <c r="B82" s="352">
        <v>62736974.030000001</v>
      </c>
      <c r="C82" s="352">
        <v>21927677.670000002</v>
      </c>
      <c r="D82" s="352">
        <v>14386715.279999999</v>
      </c>
      <c r="E82" s="352">
        <v>26422581.079999998</v>
      </c>
    </row>
    <row r="83" spans="1:5" ht="13">
      <c r="A83" s="302" t="s">
        <v>1631</v>
      </c>
      <c r="B83" s="352">
        <v>95046628.519999996</v>
      </c>
      <c r="C83" s="352">
        <v>26783391.539999999</v>
      </c>
      <c r="D83" s="352">
        <v>32346412.399999999</v>
      </c>
      <c r="E83" s="352">
        <v>35916824.579999998</v>
      </c>
    </row>
    <row r="84" spans="1:5" ht="13">
      <c r="A84" s="302" t="s">
        <v>403</v>
      </c>
      <c r="B84" s="352">
        <v>35634419.950000003</v>
      </c>
      <c r="C84" s="352">
        <v>14205104.689999999</v>
      </c>
      <c r="D84" s="352">
        <v>12876938.01</v>
      </c>
      <c r="E84" s="352">
        <v>8552377.2400000002</v>
      </c>
    </row>
    <row r="85" spans="1:5" ht="13">
      <c r="A85" s="302" t="s">
        <v>458</v>
      </c>
      <c r="B85" s="352">
        <v>1923973.06</v>
      </c>
      <c r="C85" s="352">
        <v>766292.39</v>
      </c>
      <c r="D85" s="352">
        <v>614352.93999999994</v>
      </c>
      <c r="E85" s="352">
        <v>543327.73</v>
      </c>
    </row>
    <row r="86" spans="1:5" ht="13">
      <c r="A86" s="302" t="s">
        <v>648</v>
      </c>
      <c r="B86" s="352">
        <v>428672.28</v>
      </c>
      <c r="C86" s="352">
        <v>161256.51</v>
      </c>
      <c r="D86" s="352">
        <v>145419.76999999999</v>
      </c>
      <c r="E86" s="352">
        <v>121996</v>
      </c>
    </row>
    <row r="87" spans="1:5" ht="13">
      <c r="A87" s="302" t="s">
        <v>419</v>
      </c>
      <c r="B87" s="352">
        <v>4478059.92</v>
      </c>
      <c r="C87" s="352">
        <v>1057839.47</v>
      </c>
      <c r="D87" s="352">
        <v>2105626.21</v>
      </c>
      <c r="E87" s="352">
        <v>1314594.23</v>
      </c>
    </row>
    <row r="88" spans="1:5" ht="13">
      <c r="A88" s="302" t="s">
        <v>1201</v>
      </c>
      <c r="B88" s="352">
        <v>413326.33</v>
      </c>
      <c r="C88" s="352">
        <v>116833.4</v>
      </c>
      <c r="D88" s="352">
        <v>122774.46</v>
      </c>
      <c r="E88" s="352">
        <v>173718.46</v>
      </c>
    </row>
    <row r="89" spans="1:5" ht="13">
      <c r="A89" s="302" t="s">
        <v>375</v>
      </c>
      <c r="B89" s="352">
        <v>4686385.75</v>
      </c>
      <c r="C89" s="352">
        <v>2127120.84</v>
      </c>
      <c r="D89" s="352">
        <v>2196519.56</v>
      </c>
      <c r="E89" s="352">
        <v>362745.35</v>
      </c>
    </row>
    <row r="90" spans="1:5" ht="13">
      <c r="A90" s="302" t="s">
        <v>479</v>
      </c>
      <c r="B90" s="352">
        <v>90526</v>
      </c>
      <c r="C90" s="302">
        <v>0</v>
      </c>
      <c r="D90" s="352">
        <v>90526</v>
      </c>
      <c r="E90" s="302">
        <v>0</v>
      </c>
    </row>
    <row r="91" spans="1:5" ht="13">
      <c r="A91" s="302" t="s">
        <v>1202</v>
      </c>
      <c r="B91" s="352">
        <v>1753115.2</v>
      </c>
      <c r="C91" s="352">
        <v>392558.37</v>
      </c>
      <c r="D91" s="352">
        <v>704845.98</v>
      </c>
      <c r="E91" s="352">
        <v>655710.86</v>
      </c>
    </row>
    <row r="92" spans="1:5" ht="13">
      <c r="A92" s="302" t="s">
        <v>854</v>
      </c>
      <c r="B92" s="352">
        <v>976850.3</v>
      </c>
      <c r="C92" s="352">
        <v>527006.54</v>
      </c>
      <c r="D92" s="352">
        <v>306402.95</v>
      </c>
      <c r="E92" s="352">
        <v>143440.79999999999</v>
      </c>
    </row>
    <row r="93" spans="1:5" ht="13">
      <c r="A93" s="302" t="s">
        <v>1276</v>
      </c>
      <c r="B93" s="352">
        <v>2074761.08</v>
      </c>
      <c r="C93" s="352">
        <v>506564.06</v>
      </c>
      <c r="D93" s="352">
        <v>1230139.97</v>
      </c>
      <c r="E93" s="352">
        <v>338057.05</v>
      </c>
    </row>
    <row r="94" spans="1:5" ht="13">
      <c r="A94" s="302" t="s">
        <v>1067</v>
      </c>
      <c r="B94" s="352">
        <v>411864.11</v>
      </c>
      <c r="C94" s="352">
        <v>59268.7</v>
      </c>
      <c r="D94" s="352">
        <v>211057.57</v>
      </c>
      <c r="E94" s="352">
        <v>141537.84</v>
      </c>
    </row>
    <row r="95" spans="1:5" ht="13">
      <c r="A95" s="302" t="s">
        <v>1009</v>
      </c>
      <c r="B95" s="352">
        <v>2595934.27</v>
      </c>
      <c r="C95" s="352">
        <v>1203079.5900000001</v>
      </c>
      <c r="D95" s="352">
        <v>701522.04</v>
      </c>
      <c r="E95" s="352">
        <v>691332.64</v>
      </c>
    </row>
    <row r="96" spans="1:5" ht="13">
      <c r="A96" s="302" t="s">
        <v>1632</v>
      </c>
      <c r="B96" s="352">
        <v>178280.16</v>
      </c>
      <c r="C96" s="352">
        <v>118132.48</v>
      </c>
      <c r="D96" s="302">
        <v>0</v>
      </c>
      <c r="E96" s="352">
        <v>60147.68</v>
      </c>
    </row>
    <row r="97" spans="1:5" ht="13">
      <c r="A97" s="302" t="s">
        <v>1633</v>
      </c>
      <c r="B97" s="352">
        <v>324061.99</v>
      </c>
      <c r="C97" s="352">
        <v>324061.99</v>
      </c>
      <c r="D97" s="302">
        <v>0</v>
      </c>
      <c r="E97" s="302">
        <v>0</v>
      </c>
    </row>
    <row r="98" spans="1:5" ht="13">
      <c r="A98" s="302" t="s">
        <v>688</v>
      </c>
      <c r="B98" s="352">
        <v>33407734.32</v>
      </c>
      <c r="C98" s="352">
        <v>6023177.1600000001</v>
      </c>
      <c r="D98" s="352">
        <v>6920873.4400000004</v>
      </c>
      <c r="E98" s="352">
        <v>20463683.719999999</v>
      </c>
    </row>
    <row r="99" spans="1:5" ht="13">
      <c r="A99" s="302" t="s">
        <v>1203</v>
      </c>
      <c r="B99" s="352">
        <v>566156.96</v>
      </c>
      <c r="C99" s="352">
        <v>119299.6</v>
      </c>
      <c r="D99" s="352">
        <v>230296.95999999999</v>
      </c>
      <c r="E99" s="352">
        <v>216560.4</v>
      </c>
    </row>
    <row r="100" spans="1:5" ht="13">
      <c r="A100" s="302" t="s">
        <v>543</v>
      </c>
      <c r="B100" s="352">
        <v>6597317.5</v>
      </c>
      <c r="C100" s="352">
        <v>3963754.22</v>
      </c>
      <c r="D100" s="352">
        <v>1980181.24</v>
      </c>
      <c r="E100" s="352">
        <v>653382.04</v>
      </c>
    </row>
    <row r="101" spans="1:5" ht="13">
      <c r="A101" s="302" t="s">
        <v>1176</v>
      </c>
      <c r="B101" s="352">
        <v>428155.69</v>
      </c>
      <c r="C101" s="352">
        <v>113559.76</v>
      </c>
      <c r="D101" s="352">
        <v>259781.15</v>
      </c>
      <c r="E101" s="352">
        <v>54814.79</v>
      </c>
    </row>
    <row r="102" spans="1:5" ht="13">
      <c r="A102" s="302" t="s">
        <v>293</v>
      </c>
      <c r="B102" s="352">
        <v>6505702.0800000001</v>
      </c>
      <c r="C102" s="352">
        <v>1526609.38</v>
      </c>
      <c r="D102" s="352">
        <v>2779402.59</v>
      </c>
      <c r="E102" s="352">
        <v>2199690.1</v>
      </c>
    </row>
    <row r="103" spans="1:5" ht="13">
      <c r="A103" s="302" t="s">
        <v>311</v>
      </c>
      <c r="B103" s="352">
        <v>217103.62</v>
      </c>
      <c r="C103" s="352">
        <v>144959.70000000001</v>
      </c>
      <c r="D103" s="352">
        <v>72143.92</v>
      </c>
      <c r="E103" s="302">
        <v>0</v>
      </c>
    </row>
    <row r="104" spans="1:5" ht="13">
      <c r="A104" s="302" t="s">
        <v>421</v>
      </c>
      <c r="B104" s="352">
        <v>4655686.12</v>
      </c>
      <c r="C104" s="352">
        <v>1239475.9099999999</v>
      </c>
      <c r="D104" s="352">
        <v>2369392.1</v>
      </c>
      <c r="E104" s="352">
        <v>1046818.11</v>
      </c>
    </row>
    <row r="105" spans="1:5" ht="13">
      <c r="A105" s="302" t="s">
        <v>1078</v>
      </c>
      <c r="B105" s="352">
        <v>258958.43</v>
      </c>
      <c r="C105" s="302">
        <v>0</v>
      </c>
      <c r="D105" s="352">
        <v>56525.37</v>
      </c>
      <c r="E105" s="352">
        <v>202433.06</v>
      </c>
    </row>
    <row r="106" spans="1:5" ht="13">
      <c r="A106" s="302" t="s">
        <v>312</v>
      </c>
      <c r="B106" s="352">
        <v>2161347.91</v>
      </c>
      <c r="C106" s="352">
        <v>794738.37</v>
      </c>
      <c r="D106" s="352">
        <v>631762.31000000006</v>
      </c>
      <c r="E106" s="352">
        <v>734847.23</v>
      </c>
    </row>
    <row r="107" spans="1:5" ht="13">
      <c r="A107" s="302" t="s">
        <v>1432</v>
      </c>
      <c r="B107" s="352">
        <v>593719.47</v>
      </c>
      <c r="C107" s="352">
        <v>370780.82</v>
      </c>
      <c r="D107" s="302">
        <v>0</v>
      </c>
      <c r="E107" s="352">
        <v>222938.65</v>
      </c>
    </row>
    <row r="108" spans="1:5" ht="13">
      <c r="A108" s="302" t="s">
        <v>116</v>
      </c>
      <c r="B108" s="352">
        <v>1473877.74</v>
      </c>
      <c r="C108" s="352">
        <v>535352.01</v>
      </c>
      <c r="D108" s="352">
        <v>359544.11</v>
      </c>
      <c r="E108" s="352">
        <v>578981.62</v>
      </c>
    </row>
    <row r="109" spans="1:5" ht="13">
      <c r="A109" s="302" t="s">
        <v>313</v>
      </c>
      <c r="B109" s="352">
        <v>2279626.39</v>
      </c>
      <c r="C109" s="352">
        <v>957980.85</v>
      </c>
      <c r="D109" s="352">
        <v>775582.9</v>
      </c>
      <c r="E109" s="352">
        <v>546062.64</v>
      </c>
    </row>
    <row r="110" spans="1:5" ht="13">
      <c r="A110" s="302" t="s">
        <v>472</v>
      </c>
      <c r="B110" s="352">
        <v>1508892.57</v>
      </c>
      <c r="C110" s="352">
        <v>749409.14</v>
      </c>
      <c r="D110" s="352">
        <v>514591.23</v>
      </c>
      <c r="E110" s="352">
        <v>244892.2</v>
      </c>
    </row>
    <row r="111" spans="1:5" ht="13">
      <c r="A111" s="302" t="s">
        <v>1013</v>
      </c>
      <c r="B111" s="352">
        <v>6317401.4199999999</v>
      </c>
      <c r="C111" s="352">
        <v>1861071.11</v>
      </c>
      <c r="D111" s="352">
        <v>2091426.57</v>
      </c>
      <c r="E111" s="352">
        <v>2364903.7400000002</v>
      </c>
    </row>
    <row r="112" spans="1:5" ht="13">
      <c r="A112" s="302" t="s">
        <v>141</v>
      </c>
      <c r="B112" s="352">
        <v>2302166.17</v>
      </c>
      <c r="C112" s="352">
        <v>835228.01</v>
      </c>
      <c r="D112" s="352">
        <v>754800.56</v>
      </c>
      <c r="E112" s="352">
        <v>712137.6</v>
      </c>
    </row>
    <row r="113" spans="1:5" ht="13">
      <c r="A113" s="302" t="s">
        <v>699</v>
      </c>
      <c r="B113" s="352">
        <v>10443424.4</v>
      </c>
      <c r="C113" s="352">
        <v>3169427.14</v>
      </c>
      <c r="D113" s="352">
        <v>3663867.64</v>
      </c>
      <c r="E113" s="352">
        <v>3610129.62</v>
      </c>
    </row>
    <row r="114" spans="1:5" ht="13">
      <c r="A114" s="302" t="s">
        <v>770</v>
      </c>
      <c r="B114" s="352">
        <v>483918.98</v>
      </c>
      <c r="C114" s="352">
        <v>254583.47</v>
      </c>
      <c r="D114" s="302">
        <v>0</v>
      </c>
      <c r="E114" s="352">
        <v>229335.5</v>
      </c>
    </row>
    <row r="115" spans="1:5" ht="13">
      <c r="A115" s="302" t="s">
        <v>571</v>
      </c>
      <c r="B115" s="352">
        <v>737557.02</v>
      </c>
      <c r="C115" s="352">
        <v>337180.13</v>
      </c>
      <c r="D115" s="352">
        <v>101412.06</v>
      </c>
      <c r="E115" s="352">
        <v>298964.83</v>
      </c>
    </row>
    <row r="116" spans="1:5" ht="13">
      <c r="A116" s="302" t="s">
        <v>635</v>
      </c>
      <c r="B116" s="352">
        <v>3325507.2</v>
      </c>
      <c r="C116" s="352">
        <v>1365177.12</v>
      </c>
      <c r="D116" s="352">
        <v>926339.28</v>
      </c>
      <c r="E116" s="352">
        <v>1033990.8</v>
      </c>
    </row>
    <row r="117" spans="1:5" ht="13">
      <c r="A117" s="302" t="s">
        <v>346</v>
      </c>
      <c r="B117" s="352">
        <v>350010.42</v>
      </c>
      <c r="C117" s="352">
        <v>202509.03</v>
      </c>
      <c r="D117" s="352">
        <v>147501.39000000001</v>
      </c>
      <c r="E117" s="302">
        <v>0</v>
      </c>
    </row>
    <row r="118" spans="1:5" ht="13">
      <c r="A118" s="302" t="s">
        <v>314</v>
      </c>
      <c r="B118" s="352">
        <v>42764.35</v>
      </c>
      <c r="C118" s="352">
        <v>42764.35</v>
      </c>
      <c r="D118" s="302">
        <v>0</v>
      </c>
      <c r="E118" s="302">
        <v>0</v>
      </c>
    </row>
    <row r="119" spans="1:5" ht="13">
      <c r="A119" s="302" t="s">
        <v>881</v>
      </c>
      <c r="B119" s="352">
        <v>1429069.33</v>
      </c>
      <c r="C119" s="352">
        <v>783963.12</v>
      </c>
      <c r="D119" s="352">
        <v>307811.96999999997</v>
      </c>
      <c r="E119" s="352">
        <v>337294.24</v>
      </c>
    </row>
    <row r="120" spans="1:5" ht="13">
      <c r="A120" s="302" t="s">
        <v>978</v>
      </c>
      <c r="B120" s="352">
        <v>243316.47</v>
      </c>
      <c r="C120" s="302">
        <v>0</v>
      </c>
      <c r="D120" s="352">
        <v>243316.47</v>
      </c>
      <c r="E120" s="302">
        <v>0</v>
      </c>
    </row>
    <row r="121" spans="1:5" ht="13">
      <c r="A121" s="302" t="s">
        <v>1634</v>
      </c>
      <c r="B121" s="352">
        <v>2964968.24</v>
      </c>
      <c r="C121" s="352">
        <v>698039.82</v>
      </c>
      <c r="D121" s="352">
        <v>1065867.6100000001</v>
      </c>
      <c r="E121" s="352">
        <v>1201060.81</v>
      </c>
    </row>
    <row r="122" spans="1:5" ht="13">
      <c r="A122" s="302" t="s">
        <v>117</v>
      </c>
      <c r="B122" s="352">
        <v>603780.80000000005</v>
      </c>
      <c r="C122" s="352">
        <v>132077.64000000001</v>
      </c>
      <c r="D122" s="352">
        <v>370899.53</v>
      </c>
      <c r="E122" s="352">
        <v>100803.63</v>
      </c>
    </row>
    <row r="123" spans="1:5" ht="13">
      <c r="A123" s="302" t="s">
        <v>1635</v>
      </c>
      <c r="B123" s="352">
        <v>810925.35</v>
      </c>
      <c r="C123" s="352">
        <v>810925.35</v>
      </c>
      <c r="D123" s="302">
        <v>0</v>
      </c>
      <c r="E123" s="302">
        <v>0</v>
      </c>
    </row>
    <row r="124" spans="1:5" ht="13">
      <c r="A124" s="302" t="s">
        <v>1488</v>
      </c>
      <c r="B124" s="352">
        <v>4788187.4000000004</v>
      </c>
      <c r="C124" s="302">
        <v>0</v>
      </c>
      <c r="D124" s="352">
        <v>3721523.24</v>
      </c>
      <c r="E124" s="352">
        <v>1066664.1599999999</v>
      </c>
    </row>
    <row r="125" spans="1:5" ht="13">
      <c r="A125" s="302" t="s">
        <v>979</v>
      </c>
      <c r="B125" s="352">
        <v>446774.45</v>
      </c>
      <c r="C125" s="352">
        <v>340598.13</v>
      </c>
      <c r="D125" s="352">
        <v>36684.92</v>
      </c>
      <c r="E125" s="352">
        <v>69491.399999999994</v>
      </c>
    </row>
    <row r="126" spans="1:5" ht="13">
      <c r="A126" s="302" t="s">
        <v>1354</v>
      </c>
      <c r="B126" s="352">
        <v>413740.98</v>
      </c>
      <c r="C126" s="352">
        <v>81431.3</v>
      </c>
      <c r="D126" s="352">
        <v>130707.48</v>
      </c>
      <c r="E126" s="352">
        <v>201602.2</v>
      </c>
    </row>
    <row r="127" spans="1:5" ht="13">
      <c r="A127" s="302" t="s">
        <v>557</v>
      </c>
      <c r="B127" s="352">
        <v>1650344.66</v>
      </c>
      <c r="C127" s="352">
        <v>379926.19</v>
      </c>
      <c r="D127" s="352">
        <v>701113.8</v>
      </c>
      <c r="E127" s="352">
        <v>569304.68000000005</v>
      </c>
    </row>
    <row r="128" spans="1:5" ht="13">
      <c r="A128" s="302" t="s">
        <v>1554</v>
      </c>
      <c r="B128" s="352">
        <v>22362366.030000001</v>
      </c>
      <c r="C128" s="352">
        <v>8383163.5899999999</v>
      </c>
      <c r="D128" s="352">
        <v>8183504.25</v>
      </c>
      <c r="E128" s="352">
        <v>5795698.1900000004</v>
      </c>
    </row>
    <row r="129" spans="1:5" ht="13">
      <c r="A129" s="302" t="s">
        <v>896</v>
      </c>
      <c r="B129" s="352">
        <v>1697561.8</v>
      </c>
      <c r="C129" s="352">
        <v>230071.17</v>
      </c>
      <c r="D129" s="352">
        <v>576350.5</v>
      </c>
      <c r="E129" s="352">
        <v>891140.13</v>
      </c>
    </row>
    <row r="130" spans="1:5" ht="13">
      <c r="A130" s="302" t="s">
        <v>1473</v>
      </c>
      <c r="B130" s="352">
        <v>615630.43000000005</v>
      </c>
      <c r="C130" s="352">
        <v>373132.01</v>
      </c>
      <c r="D130" s="352">
        <v>242498.42</v>
      </c>
      <c r="E130" s="302">
        <v>0</v>
      </c>
    </row>
    <row r="131" spans="1:5" ht="13">
      <c r="A131" s="302" t="s">
        <v>951</v>
      </c>
      <c r="B131" s="352">
        <v>754998.52</v>
      </c>
      <c r="C131" s="352">
        <v>291014.46999999997</v>
      </c>
      <c r="D131" s="352">
        <v>79567.44</v>
      </c>
      <c r="E131" s="352">
        <v>384416.62</v>
      </c>
    </row>
    <row r="132" spans="1:5" ht="13">
      <c r="A132" s="302" t="s">
        <v>994</v>
      </c>
      <c r="B132" s="352">
        <v>10716011.779999999</v>
      </c>
      <c r="C132" s="352">
        <v>3156596.43</v>
      </c>
      <c r="D132" s="352">
        <v>3909939.21</v>
      </c>
      <c r="E132" s="352">
        <v>3649476.15</v>
      </c>
    </row>
    <row r="133" spans="1:5" ht="13">
      <c r="A133" s="302" t="s">
        <v>405</v>
      </c>
      <c r="B133" s="352">
        <v>9762804.5500000007</v>
      </c>
      <c r="C133" s="352">
        <v>3334120.18</v>
      </c>
      <c r="D133" s="352">
        <v>3853171.46</v>
      </c>
      <c r="E133" s="352">
        <v>2575512.92</v>
      </c>
    </row>
    <row r="134" spans="1:5" ht="13">
      <c r="A134" s="302" t="s">
        <v>744</v>
      </c>
      <c r="B134" s="352">
        <v>133778.4</v>
      </c>
      <c r="C134" s="352">
        <v>46011.6</v>
      </c>
      <c r="D134" s="352">
        <v>87766.8</v>
      </c>
      <c r="E134" s="302">
        <v>0</v>
      </c>
    </row>
    <row r="135" spans="1:5" ht="13">
      <c r="A135" s="302" t="s">
        <v>1636</v>
      </c>
      <c r="B135" s="352">
        <v>41332304.07</v>
      </c>
      <c r="C135" s="352">
        <v>12326663.300000001</v>
      </c>
      <c r="D135" s="352">
        <v>13972009.710000001</v>
      </c>
      <c r="E135" s="352">
        <v>15033631.060000001</v>
      </c>
    </row>
    <row r="136" spans="1:5" ht="13">
      <c r="A136" s="302" t="s">
        <v>1230</v>
      </c>
      <c r="B136" s="352">
        <v>465969.81</v>
      </c>
      <c r="C136" s="352">
        <v>59053.16</v>
      </c>
      <c r="D136" s="352">
        <v>277743.40999999997</v>
      </c>
      <c r="E136" s="352">
        <v>129173.23</v>
      </c>
    </row>
    <row r="137" spans="1:5" ht="13">
      <c r="A137" s="302" t="s">
        <v>1388</v>
      </c>
      <c r="B137" s="352">
        <v>1246824.97</v>
      </c>
      <c r="C137" s="352">
        <v>629711.81999999995</v>
      </c>
      <c r="D137" s="302">
        <v>0</v>
      </c>
      <c r="E137" s="352">
        <v>617113.15</v>
      </c>
    </row>
    <row r="138" spans="1:5" ht="13">
      <c r="A138" s="302" t="s">
        <v>1637</v>
      </c>
      <c r="B138" s="352">
        <v>797565.45</v>
      </c>
      <c r="C138" s="302">
        <v>0</v>
      </c>
      <c r="D138" s="352">
        <v>797565.45</v>
      </c>
      <c r="E138" s="302">
        <v>0</v>
      </c>
    </row>
    <row r="139" spans="1:5" ht="13">
      <c r="A139" s="302" t="s">
        <v>423</v>
      </c>
      <c r="B139" s="352">
        <v>11109565.73</v>
      </c>
      <c r="C139" s="352">
        <v>5273213.3499999996</v>
      </c>
      <c r="D139" s="352">
        <v>2919650.74</v>
      </c>
      <c r="E139" s="352">
        <v>2916701.64</v>
      </c>
    </row>
    <row r="140" spans="1:5" ht="13">
      <c r="A140" s="302" t="s">
        <v>524</v>
      </c>
      <c r="B140" s="352">
        <v>4400672.47</v>
      </c>
      <c r="C140" s="352">
        <v>1329540.25</v>
      </c>
      <c r="D140" s="352">
        <v>1938698.37</v>
      </c>
      <c r="E140" s="352">
        <v>1132433.8500000001</v>
      </c>
    </row>
    <row r="141" spans="1:5" ht="13">
      <c r="A141" s="302" t="s">
        <v>471</v>
      </c>
      <c r="B141" s="352">
        <v>480783.53</v>
      </c>
      <c r="C141" s="352">
        <v>168976.16</v>
      </c>
      <c r="D141" s="352">
        <v>37880.74</v>
      </c>
      <c r="E141" s="352">
        <v>273926.63</v>
      </c>
    </row>
    <row r="142" spans="1:5" ht="13">
      <c r="A142" s="302" t="s">
        <v>315</v>
      </c>
      <c r="B142" s="352">
        <v>400460.37</v>
      </c>
      <c r="C142" s="352">
        <v>59600.42</v>
      </c>
      <c r="D142" s="352">
        <v>234381.32</v>
      </c>
      <c r="E142" s="352">
        <v>106478.64</v>
      </c>
    </row>
    <row r="143" spans="1:5" ht="13">
      <c r="A143" s="302" t="s">
        <v>1093</v>
      </c>
      <c r="B143" s="352">
        <v>1039248.74</v>
      </c>
      <c r="C143" s="352">
        <v>286455.40000000002</v>
      </c>
      <c r="D143" s="352">
        <v>525755.43999999994</v>
      </c>
      <c r="E143" s="352">
        <v>227037.89</v>
      </c>
    </row>
    <row r="144" spans="1:5" ht="13">
      <c r="A144" s="302" t="s">
        <v>745</v>
      </c>
      <c r="B144" s="352">
        <v>642612.11</v>
      </c>
      <c r="C144" s="352">
        <v>310232.78000000003</v>
      </c>
      <c r="D144" s="352">
        <v>171840.33</v>
      </c>
      <c r="E144" s="352">
        <v>160539</v>
      </c>
    </row>
    <row r="145" spans="1:5" ht="13">
      <c r="A145" s="302" t="s">
        <v>1355</v>
      </c>
      <c r="B145" s="352">
        <v>180929.19</v>
      </c>
      <c r="C145" s="302">
        <v>0</v>
      </c>
      <c r="D145" s="352">
        <v>98995.96</v>
      </c>
      <c r="E145" s="352">
        <v>81933.23</v>
      </c>
    </row>
    <row r="146" spans="1:5" ht="13">
      <c r="A146" s="302" t="s">
        <v>143</v>
      </c>
      <c r="B146" s="352">
        <v>2343500.46</v>
      </c>
      <c r="C146" s="352">
        <v>617582.93000000005</v>
      </c>
      <c r="D146" s="352">
        <v>575893.39</v>
      </c>
      <c r="E146" s="352">
        <v>1150024.1399999999</v>
      </c>
    </row>
    <row r="147" spans="1:5" ht="13">
      <c r="A147" s="302" t="s">
        <v>771</v>
      </c>
      <c r="B147" s="352">
        <v>121718.08</v>
      </c>
      <c r="C147" s="352">
        <v>121718.08</v>
      </c>
      <c r="D147" s="302">
        <v>0</v>
      </c>
      <c r="E147" s="302">
        <v>0</v>
      </c>
    </row>
    <row r="148" spans="1:5" ht="13">
      <c r="A148" s="302" t="s">
        <v>551</v>
      </c>
      <c r="B148" s="352">
        <v>4190726.49</v>
      </c>
      <c r="C148" s="352">
        <v>1336609.1000000001</v>
      </c>
      <c r="D148" s="352">
        <v>1454793.37</v>
      </c>
      <c r="E148" s="352">
        <v>1399324.03</v>
      </c>
    </row>
    <row r="149" spans="1:5" ht="13">
      <c r="A149" s="302" t="s">
        <v>1291</v>
      </c>
      <c r="B149" s="352">
        <v>1247558.19</v>
      </c>
      <c r="C149" s="352">
        <v>402704.59</v>
      </c>
      <c r="D149" s="352">
        <v>461384.2</v>
      </c>
      <c r="E149" s="352">
        <v>383469.4</v>
      </c>
    </row>
    <row r="150" spans="1:5" ht="13">
      <c r="A150" s="302" t="s">
        <v>746</v>
      </c>
      <c r="B150" s="352">
        <v>305740.15999999997</v>
      </c>
      <c r="C150" s="352">
        <v>305740.15999999997</v>
      </c>
      <c r="D150" s="302">
        <v>0</v>
      </c>
      <c r="E150" s="302">
        <v>0</v>
      </c>
    </row>
    <row r="151" spans="1:5" ht="13">
      <c r="A151" s="302" t="s">
        <v>517</v>
      </c>
      <c r="B151" s="352">
        <v>3119322.59</v>
      </c>
      <c r="C151" s="352">
        <v>2758034.33</v>
      </c>
      <c r="D151" s="352">
        <v>361288.26</v>
      </c>
      <c r="E151" s="302">
        <v>0</v>
      </c>
    </row>
    <row r="152" spans="1:5" ht="13">
      <c r="A152" s="302" t="s">
        <v>747</v>
      </c>
      <c r="B152" s="352">
        <v>1658958.32</v>
      </c>
      <c r="C152" s="352">
        <v>489234.96</v>
      </c>
      <c r="D152" s="352">
        <v>518351.92</v>
      </c>
      <c r="E152" s="352">
        <v>651371.43999999994</v>
      </c>
    </row>
    <row r="153" spans="1:5" ht="13">
      <c r="A153" s="302" t="s">
        <v>270</v>
      </c>
      <c r="B153" s="352">
        <v>3779036.72</v>
      </c>
      <c r="C153" s="352">
        <v>1675427.8</v>
      </c>
      <c r="D153" s="352">
        <v>1053848.1499999999</v>
      </c>
      <c r="E153" s="352">
        <v>1049760.77</v>
      </c>
    </row>
    <row r="154" spans="1:5" ht="13">
      <c r="A154" s="302" t="s">
        <v>1081</v>
      </c>
      <c r="B154" s="352">
        <v>676014.9</v>
      </c>
      <c r="C154" s="352">
        <v>204967.7</v>
      </c>
      <c r="D154" s="352">
        <v>313522.2</v>
      </c>
      <c r="E154" s="352">
        <v>157525</v>
      </c>
    </row>
    <row r="155" spans="1:5" ht="13">
      <c r="A155" s="302" t="s">
        <v>1532</v>
      </c>
      <c r="B155" s="352">
        <v>12921135.74</v>
      </c>
      <c r="C155" s="352">
        <v>4971930.8499999996</v>
      </c>
      <c r="D155" s="352">
        <v>4079068.27</v>
      </c>
      <c r="E155" s="352">
        <v>3870136.62</v>
      </c>
    </row>
    <row r="156" spans="1:5" ht="13">
      <c r="A156" s="302" t="s">
        <v>923</v>
      </c>
      <c r="B156" s="352">
        <v>367850.08</v>
      </c>
      <c r="C156" s="352">
        <v>268661.59000000003</v>
      </c>
      <c r="D156" s="352">
        <v>99188.5</v>
      </c>
      <c r="E156" s="302">
        <v>0</v>
      </c>
    </row>
    <row r="157" spans="1:5" ht="13">
      <c r="A157" s="302" t="s">
        <v>558</v>
      </c>
      <c r="B157" s="352">
        <v>3183237.78</v>
      </c>
      <c r="C157" s="302">
        <v>0</v>
      </c>
      <c r="D157" s="352">
        <v>659519.1</v>
      </c>
      <c r="E157" s="352">
        <v>2523718.6800000002</v>
      </c>
    </row>
    <row r="158" spans="1:5" ht="13">
      <c r="A158" s="302" t="s">
        <v>448</v>
      </c>
      <c r="B158" s="352">
        <v>2952927.97</v>
      </c>
      <c r="C158" s="352">
        <v>1261739.8</v>
      </c>
      <c r="D158" s="352">
        <v>733364.39</v>
      </c>
      <c r="E158" s="352">
        <v>957823.78</v>
      </c>
    </row>
    <row r="159" spans="1:5" ht="13">
      <c r="A159" s="302" t="s">
        <v>1142</v>
      </c>
      <c r="B159" s="352">
        <v>1242478.24</v>
      </c>
      <c r="C159" s="352">
        <v>651454.4</v>
      </c>
      <c r="D159" s="352">
        <v>222723.82</v>
      </c>
      <c r="E159" s="352">
        <v>368300.01</v>
      </c>
    </row>
    <row r="160" spans="1:5" ht="13">
      <c r="A160" s="302" t="s">
        <v>1311</v>
      </c>
      <c r="B160" s="352">
        <v>189294.07999999999</v>
      </c>
      <c r="C160" s="302">
        <v>0</v>
      </c>
      <c r="D160" s="352">
        <v>189294.07999999999</v>
      </c>
      <c r="E160" s="302">
        <v>0</v>
      </c>
    </row>
    <row r="161" spans="1:5" ht="13">
      <c r="A161" s="302" t="s">
        <v>772</v>
      </c>
      <c r="B161" s="352">
        <v>1740443.4</v>
      </c>
      <c r="C161" s="352">
        <v>774741.04</v>
      </c>
      <c r="D161" s="352">
        <v>741436.06</v>
      </c>
      <c r="E161" s="352">
        <v>224266.3</v>
      </c>
    </row>
    <row r="162" spans="1:5" ht="13">
      <c r="A162" s="302" t="s">
        <v>1177</v>
      </c>
      <c r="B162" s="352">
        <v>326617.2</v>
      </c>
      <c r="C162" s="352">
        <v>23805</v>
      </c>
      <c r="D162" s="352">
        <v>103153.60000000001</v>
      </c>
      <c r="E162" s="352">
        <v>199658.6</v>
      </c>
    </row>
    <row r="163" spans="1:5" ht="13">
      <c r="A163" s="302" t="s">
        <v>129</v>
      </c>
      <c r="B163" s="352">
        <v>1206488.6299999999</v>
      </c>
      <c r="C163" s="352">
        <v>287281.91999999998</v>
      </c>
      <c r="D163" s="352">
        <v>514193.44</v>
      </c>
      <c r="E163" s="352">
        <v>405013.27</v>
      </c>
    </row>
    <row r="164" spans="1:5" ht="13">
      <c r="A164" s="302" t="s">
        <v>629</v>
      </c>
      <c r="B164" s="352">
        <v>348793.32</v>
      </c>
      <c r="C164" s="352">
        <v>243432.76</v>
      </c>
      <c r="D164" s="352">
        <v>105360.56</v>
      </c>
      <c r="E164" s="302">
        <v>0</v>
      </c>
    </row>
    <row r="165" spans="1:5" ht="13">
      <c r="A165" s="302" t="s">
        <v>219</v>
      </c>
      <c r="B165" s="352">
        <v>343598.25</v>
      </c>
      <c r="C165" s="302">
        <v>0</v>
      </c>
      <c r="D165" s="352">
        <v>121812</v>
      </c>
      <c r="E165" s="352">
        <v>221786.25</v>
      </c>
    </row>
    <row r="166" spans="1:5" ht="13">
      <c r="A166" s="302" t="s">
        <v>1346</v>
      </c>
      <c r="B166" s="352">
        <v>712398.59</v>
      </c>
      <c r="C166" s="352">
        <v>466144.91</v>
      </c>
      <c r="D166" s="352">
        <v>70004.55</v>
      </c>
      <c r="E166" s="352">
        <v>176249.13</v>
      </c>
    </row>
    <row r="167" spans="1:5" ht="13">
      <c r="A167" s="302" t="s">
        <v>725</v>
      </c>
      <c r="B167" s="352">
        <v>864033.01</v>
      </c>
      <c r="C167" s="352">
        <v>480156.37</v>
      </c>
      <c r="D167" s="352">
        <v>189188.95</v>
      </c>
      <c r="E167" s="352">
        <v>194687.69</v>
      </c>
    </row>
    <row r="168" spans="1:5" ht="13">
      <c r="A168" s="302" t="s">
        <v>735</v>
      </c>
      <c r="B168" s="352">
        <v>1341510.29</v>
      </c>
      <c r="C168" s="352">
        <v>487909.19</v>
      </c>
      <c r="D168" s="352">
        <v>568187.01</v>
      </c>
      <c r="E168" s="352">
        <v>285414.09999999998</v>
      </c>
    </row>
    <row r="169" spans="1:5" ht="13">
      <c r="A169" s="302" t="s">
        <v>1204</v>
      </c>
      <c r="B169" s="352">
        <v>212259.16</v>
      </c>
      <c r="C169" s="352">
        <v>148785.76</v>
      </c>
      <c r="D169" s="352">
        <v>63473.4</v>
      </c>
      <c r="E169" s="302">
        <v>0</v>
      </c>
    </row>
    <row r="170" spans="1:5" ht="13">
      <c r="A170" s="302" t="s">
        <v>685</v>
      </c>
      <c r="B170" s="352">
        <v>25796523.190000001</v>
      </c>
      <c r="C170" s="352">
        <v>9964265.8300000001</v>
      </c>
      <c r="D170" s="352">
        <v>7161781.0999999996</v>
      </c>
      <c r="E170" s="352">
        <v>8670476.2599999998</v>
      </c>
    </row>
    <row r="171" spans="1:5" ht="13">
      <c r="A171" s="302" t="s">
        <v>716</v>
      </c>
      <c r="B171" s="352">
        <v>1971367.02</v>
      </c>
      <c r="C171" s="352">
        <v>598353.37</v>
      </c>
      <c r="D171" s="352">
        <v>864634.63</v>
      </c>
      <c r="E171" s="352">
        <v>508379.03</v>
      </c>
    </row>
    <row r="172" spans="1:5" ht="13">
      <c r="A172" s="302" t="s">
        <v>1178</v>
      </c>
      <c r="B172" s="352">
        <v>335197.95</v>
      </c>
      <c r="C172" s="352">
        <v>222597.89</v>
      </c>
      <c r="D172" s="352">
        <v>86350.32</v>
      </c>
      <c r="E172" s="352">
        <v>26249.75</v>
      </c>
    </row>
    <row r="173" spans="1:5" ht="13">
      <c r="A173" s="302" t="s">
        <v>1329</v>
      </c>
      <c r="B173" s="352">
        <v>8781854.0899999999</v>
      </c>
      <c r="C173" s="352">
        <v>2150300.4900000002</v>
      </c>
      <c r="D173" s="352">
        <v>5052113.03</v>
      </c>
      <c r="E173" s="352">
        <v>1579440.58</v>
      </c>
    </row>
    <row r="174" spans="1:5" ht="13">
      <c r="A174" s="302" t="s">
        <v>686</v>
      </c>
      <c r="B174" s="352">
        <v>50303549.18</v>
      </c>
      <c r="C174" s="352">
        <v>16396098.029999999</v>
      </c>
      <c r="D174" s="352">
        <v>27548437.620000001</v>
      </c>
      <c r="E174" s="352">
        <v>6359013.5300000003</v>
      </c>
    </row>
    <row r="175" spans="1:5" ht="13">
      <c r="A175" s="302" t="s">
        <v>953</v>
      </c>
      <c r="B175" s="352">
        <v>583622.99</v>
      </c>
      <c r="C175" s="352">
        <v>117251.84</v>
      </c>
      <c r="D175" s="352">
        <v>233185.58</v>
      </c>
      <c r="E175" s="352">
        <v>233185.58</v>
      </c>
    </row>
    <row r="176" spans="1:5" ht="13">
      <c r="A176" s="302" t="s">
        <v>424</v>
      </c>
      <c r="B176" s="352">
        <v>5497669.3499999996</v>
      </c>
      <c r="C176" s="352">
        <v>1797997.11</v>
      </c>
      <c r="D176" s="352">
        <v>2414545.3199999998</v>
      </c>
      <c r="E176" s="352">
        <v>1285126.9099999999</v>
      </c>
    </row>
    <row r="177" spans="1:5" ht="13">
      <c r="A177" s="302" t="s">
        <v>145</v>
      </c>
      <c r="B177" s="352">
        <v>37303.4</v>
      </c>
      <c r="C177" s="302">
        <v>0</v>
      </c>
      <c r="D177" s="352">
        <v>37303.4</v>
      </c>
      <c r="E177" s="302">
        <v>0</v>
      </c>
    </row>
    <row r="178" spans="1:5" ht="13">
      <c r="A178" s="302" t="s">
        <v>177</v>
      </c>
      <c r="B178" s="352">
        <v>1244894.45</v>
      </c>
      <c r="C178" s="352">
        <v>356609.33</v>
      </c>
      <c r="D178" s="352">
        <v>406716.45</v>
      </c>
      <c r="E178" s="352">
        <v>481568.66</v>
      </c>
    </row>
    <row r="179" spans="1:5" ht="13">
      <c r="A179" s="302" t="s">
        <v>718</v>
      </c>
      <c r="B179" s="352">
        <v>1159380.48</v>
      </c>
      <c r="C179" s="352">
        <v>358078.89</v>
      </c>
      <c r="D179" s="302">
        <v>0</v>
      </c>
      <c r="E179" s="352">
        <v>801301.59</v>
      </c>
    </row>
    <row r="180" spans="1:5" ht="13">
      <c r="A180" s="302" t="s">
        <v>1347</v>
      </c>
      <c r="B180" s="352">
        <v>64013.91</v>
      </c>
      <c r="C180" s="302">
        <v>0</v>
      </c>
      <c r="D180" s="302">
        <v>0</v>
      </c>
      <c r="E180" s="352">
        <v>64013.91</v>
      </c>
    </row>
    <row r="181" spans="1:5" ht="13">
      <c r="A181" s="302" t="s">
        <v>894</v>
      </c>
      <c r="B181" s="352">
        <v>118419.74</v>
      </c>
      <c r="C181" s="352">
        <v>56396.4</v>
      </c>
      <c r="D181" s="352">
        <v>21487.64</v>
      </c>
      <c r="E181" s="352">
        <v>40535.71</v>
      </c>
    </row>
    <row r="182" spans="1:5" ht="13">
      <c r="A182" s="302" t="s">
        <v>1055</v>
      </c>
      <c r="B182" s="352">
        <v>295188.55</v>
      </c>
      <c r="C182" s="352">
        <v>295188.55</v>
      </c>
      <c r="D182" s="302">
        <v>0</v>
      </c>
      <c r="E182" s="302">
        <v>0</v>
      </c>
    </row>
    <row r="183" spans="1:5" ht="13">
      <c r="A183" s="302" t="s">
        <v>773</v>
      </c>
      <c r="B183" s="352">
        <v>58553.39</v>
      </c>
      <c r="C183" s="352">
        <v>58553.39</v>
      </c>
      <c r="D183" s="302">
        <v>0</v>
      </c>
      <c r="E183" s="302">
        <v>0</v>
      </c>
    </row>
    <row r="184" spans="1:5" ht="13">
      <c r="A184" s="302" t="s">
        <v>1056</v>
      </c>
      <c r="B184" s="352">
        <v>982138.16</v>
      </c>
      <c r="C184" s="352">
        <v>547881.93000000005</v>
      </c>
      <c r="D184" s="352">
        <v>220265.43</v>
      </c>
      <c r="E184" s="352">
        <v>213990.8</v>
      </c>
    </row>
    <row r="185" spans="1:5" ht="13">
      <c r="A185" s="302" t="s">
        <v>1049</v>
      </c>
      <c r="B185" s="352">
        <v>866637.21</v>
      </c>
      <c r="C185" s="352">
        <v>368209.3</v>
      </c>
      <c r="D185" s="352">
        <v>333171.28000000003</v>
      </c>
      <c r="E185" s="352">
        <v>165256.63</v>
      </c>
    </row>
    <row r="186" spans="1:5" ht="13">
      <c r="A186" s="302" t="s">
        <v>1145</v>
      </c>
      <c r="B186" s="352">
        <v>3391808.31</v>
      </c>
      <c r="C186" s="352">
        <v>1041812.02</v>
      </c>
      <c r="D186" s="352">
        <v>636836.67000000004</v>
      </c>
      <c r="E186" s="352">
        <v>1713159.62</v>
      </c>
    </row>
    <row r="187" spans="1:5" ht="13">
      <c r="A187" s="302" t="s">
        <v>83</v>
      </c>
      <c r="B187" s="352">
        <v>3690357.45</v>
      </c>
      <c r="C187" s="352">
        <v>2361855.1</v>
      </c>
      <c r="D187" s="352">
        <v>734907.39</v>
      </c>
      <c r="E187" s="352">
        <v>593594.96</v>
      </c>
    </row>
    <row r="188" spans="1:5" ht="13">
      <c r="A188" s="302" t="s">
        <v>146</v>
      </c>
      <c r="B188" s="352">
        <v>386634.72</v>
      </c>
      <c r="C188" s="352">
        <v>169814.64</v>
      </c>
      <c r="D188" s="352">
        <v>107134.96</v>
      </c>
      <c r="E188" s="352">
        <v>109685.12</v>
      </c>
    </row>
    <row r="189" spans="1:5" ht="13">
      <c r="A189" s="302" t="s">
        <v>147</v>
      </c>
      <c r="B189" s="352">
        <v>464794</v>
      </c>
      <c r="C189" s="352">
        <v>168266.56</v>
      </c>
      <c r="D189" s="352">
        <v>53468.800000000003</v>
      </c>
      <c r="E189" s="352">
        <v>243058.64</v>
      </c>
    </row>
    <row r="190" spans="1:5" ht="13">
      <c r="A190" s="302" t="s">
        <v>297</v>
      </c>
      <c r="B190" s="352">
        <v>993560.75</v>
      </c>
      <c r="C190" s="352">
        <v>462196.71</v>
      </c>
      <c r="D190" s="352">
        <v>411035.84</v>
      </c>
      <c r="E190" s="352">
        <v>120328.19</v>
      </c>
    </row>
    <row r="191" spans="1:5" ht="13">
      <c r="A191" s="302" t="s">
        <v>1638</v>
      </c>
      <c r="B191" s="352">
        <v>4004844.11</v>
      </c>
      <c r="C191" s="352">
        <v>1592243.57</v>
      </c>
      <c r="D191" s="352">
        <v>835698.22</v>
      </c>
      <c r="E191" s="352">
        <v>1576902.31</v>
      </c>
    </row>
    <row r="192" spans="1:5" ht="13">
      <c r="A192" s="302" t="s">
        <v>1050</v>
      </c>
      <c r="B192" s="352">
        <v>736130.41</v>
      </c>
      <c r="C192" s="352">
        <v>125442.69</v>
      </c>
      <c r="D192" s="352">
        <v>430317.34</v>
      </c>
      <c r="E192" s="352">
        <v>180370.38</v>
      </c>
    </row>
    <row r="193" spans="1:5" ht="13">
      <c r="A193" s="302" t="s">
        <v>1508</v>
      </c>
      <c r="B193" s="352">
        <v>268049.46000000002</v>
      </c>
      <c r="C193" s="352">
        <v>268049.46000000002</v>
      </c>
      <c r="D193" s="302">
        <v>0</v>
      </c>
      <c r="E193" s="302">
        <v>0</v>
      </c>
    </row>
    <row r="194" spans="1:5" ht="13">
      <c r="A194" s="302" t="s">
        <v>298</v>
      </c>
      <c r="B194" s="352">
        <v>2748611.65</v>
      </c>
      <c r="C194" s="352">
        <v>1013526.52</v>
      </c>
      <c r="D194" s="352">
        <v>558743.84</v>
      </c>
      <c r="E194" s="352">
        <v>1176341.3</v>
      </c>
    </row>
    <row r="195" spans="1:5" ht="13">
      <c r="A195" s="302" t="s">
        <v>1357</v>
      </c>
      <c r="B195" s="352">
        <v>2285194.75</v>
      </c>
      <c r="C195" s="352">
        <v>353716.21</v>
      </c>
      <c r="D195" s="352">
        <v>879007.4</v>
      </c>
      <c r="E195" s="352">
        <v>1052471.1299999999</v>
      </c>
    </row>
    <row r="196" spans="1:5" ht="13">
      <c r="A196" s="302" t="s">
        <v>974</v>
      </c>
      <c r="B196" s="352">
        <v>159013.04999999999</v>
      </c>
      <c r="C196" s="352">
        <v>78978.12</v>
      </c>
      <c r="D196" s="302">
        <v>0</v>
      </c>
      <c r="E196" s="352">
        <v>80034.929999999993</v>
      </c>
    </row>
    <row r="197" spans="1:5" ht="13">
      <c r="A197" s="302" t="s">
        <v>722</v>
      </c>
      <c r="B197" s="352">
        <v>2613137.5699999998</v>
      </c>
      <c r="C197" s="352">
        <v>427607.67</v>
      </c>
      <c r="D197" s="352">
        <v>1141521.24</v>
      </c>
      <c r="E197" s="352">
        <v>1044008.67</v>
      </c>
    </row>
    <row r="198" spans="1:5" ht="13">
      <c r="A198" s="302" t="s">
        <v>1029</v>
      </c>
      <c r="B198" s="352">
        <v>1057445.74</v>
      </c>
      <c r="C198" s="352">
        <v>642099.78</v>
      </c>
      <c r="D198" s="352">
        <v>28500</v>
      </c>
      <c r="E198" s="352">
        <v>386845.96</v>
      </c>
    </row>
    <row r="199" spans="1:5" ht="13">
      <c r="A199" s="302" t="s">
        <v>1292</v>
      </c>
      <c r="B199" s="352">
        <v>2423599.4700000002</v>
      </c>
      <c r="C199" s="352">
        <v>1620330.91</v>
      </c>
      <c r="D199" s="352">
        <v>664236.56999999995</v>
      </c>
      <c r="E199" s="352">
        <v>139031.98000000001</v>
      </c>
    </row>
    <row r="200" spans="1:5" ht="13">
      <c r="A200" s="302" t="s">
        <v>518</v>
      </c>
      <c r="B200" s="352">
        <v>4332755.1100000003</v>
      </c>
      <c r="C200" s="352">
        <v>914140.06</v>
      </c>
      <c r="D200" s="352">
        <v>1248943.33</v>
      </c>
      <c r="E200" s="352">
        <v>2169671.7200000002</v>
      </c>
    </row>
    <row r="201" spans="1:5" ht="13">
      <c r="A201" s="302" t="s">
        <v>407</v>
      </c>
      <c r="B201" s="352">
        <v>564641.55000000005</v>
      </c>
      <c r="C201" s="352">
        <v>564641.55000000005</v>
      </c>
      <c r="D201" s="302">
        <v>0</v>
      </c>
      <c r="E201" s="302">
        <v>0</v>
      </c>
    </row>
    <row r="202" spans="1:5" ht="13">
      <c r="A202" s="302" t="s">
        <v>507</v>
      </c>
      <c r="B202" s="352">
        <v>11546034.199999999</v>
      </c>
      <c r="C202" s="352">
        <v>3886285.27</v>
      </c>
      <c r="D202" s="352">
        <v>3583984.36</v>
      </c>
      <c r="E202" s="352">
        <v>4075764.57</v>
      </c>
    </row>
    <row r="203" spans="1:5" ht="13">
      <c r="A203" s="302" t="s">
        <v>1358</v>
      </c>
      <c r="B203" s="352">
        <v>279932.94</v>
      </c>
      <c r="C203" s="352">
        <v>118655.37</v>
      </c>
      <c r="D203" s="352">
        <v>93708.79</v>
      </c>
      <c r="E203" s="352">
        <v>67568.78</v>
      </c>
    </row>
    <row r="204" spans="1:5" ht="13">
      <c r="A204" s="302" t="s">
        <v>1433</v>
      </c>
      <c r="B204" s="352">
        <v>1524563.73</v>
      </c>
      <c r="C204" s="302">
        <v>0</v>
      </c>
      <c r="D204" s="352">
        <v>1524563.73</v>
      </c>
      <c r="E204" s="302">
        <v>0</v>
      </c>
    </row>
    <row r="205" spans="1:5" ht="13">
      <c r="A205" s="302" t="s">
        <v>1386</v>
      </c>
      <c r="B205" s="352">
        <v>23172.94</v>
      </c>
      <c r="C205" s="352">
        <v>23172.94</v>
      </c>
      <c r="D205" s="302">
        <v>0</v>
      </c>
      <c r="E205" s="302">
        <v>0</v>
      </c>
    </row>
    <row r="206" spans="1:5" ht="13">
      <c r="A206" s="302" t="s">
        <v>1427</v>
      </c>
      <c r="B206" s="352">
        <v>296140.37</v>
      </c>
      <c r="C206" s="302">
        <v>0</v>
      </c>
      <c r="D206" s="352">
        <v>296140.37</v>
      </c>
      <c r="E206" s="302">
        <v>0</v>
      </c>
    </row>
    <row r="207" spans="1:5" ht="13">
      <c r="A207" s="302" t="s">
        <v>1348</v>
      </c>
      <c r="B207" s="352">
        <v>581793.31000000006</v>
      </c>
      <c r="C207" s="352">
        <v>112861.09</v>
      </c>
      <c r="D207" s="302">
        <v>0</v>
      </c>
      <c r="E207" s="352">
        <v>468932.22</v>
      </c>
    </row>
    <row r="208" spans="1:5" ht="13">
      <c r="A208" s="302" t="s">
        <v>1077</v>
      </c>
      <c r="B208" s="352">
        <v>611445.61</v>
      </c>
      <c r="C208" s="352">
        <v>171901.9</v>
      </c>
      <c r="D208" s="352">
        <v>217635.93</v>
      </c>
      <c r="E208" s="352">
        <v>221907.78</v>
      </c>
    </row>
    <row r="209" spans="1:5" ht="13">
      <c r="A209" s="302" t="s">
        <v>852</v>
      </c>
      <c r="B209" s="352">
        <v>2535974.39</v>
      </c>
      <c r="C209" s="352">
        <v>719463.07</v>
      </c>
      <c r="D209" s="352">
        <v>958506.76</v>
      </c>
      <c r="E209" s="352">
        <v>858004.56</v>
      </c>
    </row>
    <row r="210" spans="1:5" ht="13">
      <c r="A210" s="302" t="s">
        <v>317</v>
      </c>
      <c r="B210" s="352">
        <v>978063.61</v>
      </c>
      <c r="C210" s="352">
        <v>392666.59</v>
      </c>
      <c r="D210" s="352">
        <v>357981.75</v>
      </c>
      <c r="E210" s="352">
        <v>227415.28</v>
      </c>
    </row>
    <row r="211" spans="1:5" ht="13">
      <c r="A211" s="302" t="s">
        <v>742</v>
      </c>
      <c r="B211" s="352">
        <v>894341.76</v>
      </c>
      <c r="C211" s="352">
        <v>536099.83999999997</v>
      </c>
      <c r="D211" s="352">
        <v>234461.43</v>
      </c>
      <c r="E211" s="352">
        <v>123780.5</v>
      </c>
    </row>
    <row r="212" spans="1:5" ht="13">
      <c r="A212" s="302" t="s">
        <v>1293</v>
      </c>
      <c r="B212" s="352">
        <v>4475729.7699999996</v>
      </c>
      <c r="C212" s="352">
        <v>1510059.92</v>
      </c>
      <c r="D212" s="352">
        <v>1390687.64</v>
      </c>
      <c r="E212" s="352">
        <v>1574982.21</v>
      </c>
    </row>
    <row r="213" spans="1:5" ht="13">
      <c r="A213" s="302" t="s">
        <v>1222</v>
      </c>
      <c r="B213" s="352">
        <v>1060134.25</v>
      </c>
      <c r="C213" s="352">
        <v>359056.07</v>
      </c>
      <c r="D213" s="352">
        <v>357152.1</v>
      </c>
      <c r="E213" s="352">
        <v>343926.08</v>
      </c>
    </row>
    <row r="214" spans="1:5" ht="13">
      <c r="A214" s="302" t="s">
        <v>775</v>
      </c>
      <c r="B214" s="352">
        <v>286686.15999999997</v>
      </c>
      <c r="C214" s="352">
        <v>81167.28</v>
      </c>
      <c r="D214" s="352">
        <v>205518.89</v>
      </c>
      <c r="E214" s="302">
        <v>0</v>
      </c>
    </row>
    <row r="215" spans="1:5" ht="13">
      <c r="A215" s="302" t="s">
        <v>1639</v>
      </c>
      <c r="B215" s="352">
        <v>78551304.200000003</v>
      </c>
      <c r="C215" s="352">
        <v>42723278.039999999</v>
      </c>
      <c r="D215" s="352">
        <v>14845319.220000001</v>
      </c>
      <c r="E215" s="352">
        <v>20982706.940000001</v>
      </c>
    </row>
    <row r="216" spans="1:5" ht="13">
      <c r="A216" s="302" t="s">
        <v>1111</v>
      </c>
      <c r="B216" s="352">
        <v>1753800.54</v>
      </c>
      <c r="C216" s="352">
        <v>346988.91</v>
      </c>
      <c r="D216" s="352">
        <v>593764.68999999994</v>
      </c>
      <c r="E216" s="352">
        <v>813046.94</v>
      </c>
    </row>
    <row r="217" spans="1:5" ht="13">
      <c r="A217" s="302" t="s">
        <v>875</v>
      </c>
      <c r="B217" s="352">
        <v>2696819.06</v>
      </c>
      <c r="C217" s="352">
        <v>779008.88</v>
      </c>
      <c r="D217" s="352">
        <v>600966.80000000005</v>
      </c>
      <c r="E217" s="352">
        <v>1316843.3799999999</v>
      </c>
    </row>
    <row r="218" spans="1:5" ht="13">
      <c r="A218" s="302" t="s">
        <v>318</v>
      </c>
      <c r="B218" s="352">
        <v>4661955.97</v>
      </c>
      <c r="C218" s="352">
        <v>580499.5</v>
      </c>
      <c r="D218" s="352">
        <v>2605151.89</v>
      </c>
      <c r="E218" s="352">
        <v>1476304.58</v>
      </c>
    </row>
    <row r="219" spans="1:5" ht="13">
      <c r="A219" s="302" t="s">
        <v>1234</v>
      </c>
      <c r="B219" s="352">
        <v>1215262.8799999999</v>
      </c>
      <c r="C219" s="352">
        <v>436799.2</v>
      </c>
      <c r="D219" s="352">
        <v>444594.4</v>
      </c>
      <c r="E219" s="352">
        <v>333869.28000000003</v>
      </c>
    </row>
    <row r="220" spans="1:5" ht="13">
      <c r="A220" s="302" t="s">
        <v>1088</v>
      </c>
      <c r="B220" s="352">
        <v>793237.43</v>
      </c>
      <c r="C220" s="352">
        <v>67369.64</v>
      </c>
      <c r="D220" s="352">
        <v>294353.89</v>
      </c>
      <c r="E220" s="352">
        <v>431513.9</v>
      </c>
    </row>
    <row r="221" spans="1:5" ht="13">
      <c r="A221" s="302" t="s">
        <v>1640</v>
      </c>
      <c r="B221" s="352">
        <v>113395.71</v>
      </c>
      <c r="C221" s="352">
        <v>69759.460000000006</v>
      </c>
      <c r="D221" s="302">
        <v>0</v>
      </c>
      <c r="E221" s="352">
        <v>43636.25</v>
      </c>
    </row>
    <row r="222" spans="1:5" ht="13">
      <c r="A222" s="302" t="s">
        <v>995</v>
      </c>
      <c r="B222" s="352">
        <v>1057384.6399999999</v>
      </c>
      <c r="C222" s="352">
        <v>343000.92</v>
      </c>
      <c r="D222" s="352">
        <v>617075.03</v>
      </c>
      <c r="E222" s="352">
        <v>97308.69</v>
      </c>
    </row>
    <row r="223" spans="1:5" ht="13">
      <c r="A223" s="302" t="s">
        <v>1641</v>
      </c>
      <c r="B223" s="352">
        <v>4750825.3600000003</v>
      </c>
      <c r="C223" s="352">
        <v>1926451.74</v>
      </c>
      <c r="D223" s="352">
        <v>2591404.4300000002</v>
      </c>
      <c r="E223" s="352">
        <v>232969.19</v>
      </c>
    </row>
    <row r="224" spans="1:5" ht="13">
      <c r="A224" s="302" t="s">
        <v>1642</v>
      </c>
      <c r="B224" s="352">
        <v>4859632.5</v>
      </c>
      <c r="C224" s="352">
        <v>1736790.32</v>
      </c>
      <c r="D224" s="352">
        <v>1350836.89</v>
      </c>
      <c r="E224" s="352">
        <v>1772005.29</v>
      </c>
    </row>
    <row r="225" spans="1:5" ht="13">
      <c r="A225" s="302" t="s">
        <v>1643</v>
      </c>
      <c r="B225" s="352">
        <v>45725986.509999998</v>
      </c>
      <c r="C225" s="352">
        <v>23678471.18</v>
      </c>
      <c r="D225" s="352">
        <v>9961951.1500000004</v>
      </c>
      <c r="E225" s="352">
        <v>12085564.18</v>
      </c>
    </row>
    <row r="226" spans="1:5" ht="13">
      <c r="A226" s="302" t="s">
        <v>1218</v>
      </c>
      <c r="B226" s="352">
        <v>1607232.26</v>
      </c>
      <c r="C226" s="352">
        <v>424970</v>
      </c>
      <c r="D226" s="352">
        <v>585607.36</v>
      </c>
      <c r="E226" s="352">
        <v>596654.9</v>
      </c>
    </row>
    <row r="227" spans="1:5" ht="13">
      <c r="A227" s="302" t="s">
        <v>860</v>
      </c>
      <c r="B227" s="352">
        <v>658508.68999999994</v>
      </c>
      <c r="C227" s="352">
        <v>15774.84</v>
      </c>
      <c r="D227" s="352">
        <v>61783.8</v>
      </c>
      <c r="E227" s="352">
        <v>580950.05000000005</v>
      </c>
    </row>
    <row r="228" spans="1:5" ht="13">
      <c r="A228" s="302" t="s">
        <v>935</v>
      </c>
      <c r="B228" s="352">
        <v>3253863.34</v>
      </c>
      <c r="C228" s="352">
        <v>1261182.23</v>
      </c>
      <c r="D228" s="352">
        <v>1008374.14</v>
      </c>
      <c r="E228" s="352">
        <v>984306.97</v>
      </c>
    </row>
    <row r="229" spans="1:5" ht="13">
      <c r="A229" s="302" t="s">
        <v>1644</v>
      </c>
      <c r="B229" s="352">
        <v>29904137.670000002</v>
      </c>
      <c r="C229" s="352">
        <v>11900850.359999999</v>
      </c>
      <c r="D229" s="352">
        <v>15252806.52</v>
      </c>
      <c r="E229" s="352">
        <v>2750480.78</v>
      </c>
    </row>
    <row r="230" spans="1:5" ht="13">
      <c r="A230" s="302" t="s">
        <v>1229</v>
      </c>
      <c r="B230" s="352">
        <v>284319.71000000002</v>
      </c>
      <c r="C230" s="352">
        <v>60885.45</v>
      </c>
      <c r="D230" s="352">
        <v>223434.26</v>
      </c>
      <c r="E230" s="302">
        <v>0</v>
      </c>
    </row>
    <row r="231" spans="1:5" ht="13">
      <c r="A231" s="302" t="s">
        <v>645</v>
      </c>
      <c r="B231" s="352">
        <v>220828</v>
      </c>
      <c r="C231" s="352">
        <v>71368</v>
      </c>
      <c r="D231" s="352">
        <v>71368</v>
      </c>
      <c r="E231" s="352">
        <v>78092</v>
      </c>
    </row>
    <row r="232" spans="1:5" ht="13">
      <c r="A232" s="302" t="s">
        <v>264</v>
      </c>
      <c r="B232" s="352">
        <v>11847160.960000001</v>
      </c>
      <c r="C232" s="352">
        <v>3521699.45</v>
      </c>
      <c r="D232" s="352">
        <v>5546050.7300000004</v>
      </c>
      <c r="E232" s="352">
        <v>2779410.78</v>
      </c>
    </row>
    <row r="233" spans="1:5" ht="13">
      <c r="A233" s="302" t="s">
        <v>1235</v>
      </c>
      <c r="B233" s="352">
        <v>356565.36</v>
      </c>
      <c r="C233" s="352">
        <v>177442.8</v>
      </c>
      <c r="D233" s="302">
        <v>0</v>
      </c>
      <c r="E233" s="352">
        <v>179122.56</v>
      </c>
    </row>
    <row r="234" spans="1:5" ht="13">
      <c r="A234" s="302" t="s">
        <v>1434</v>
      </c>
      <c r="B234" s="352">
        <v>2146367.94</v>
      </c>
      <c r="C234" s="352">
        <v>481067.99</v>
      </c>
      <c r="D234" s="352">
        <v>839821.72</v>
      </c>
      <c r="E234" s="352">
        <v>825478.23</v>
      </c>
    </row>
    <row r="235" spans="1:5" ht="13">
      <c r="A235" s="302" t="s">
        <v>748</v>
      </c>
      <c r="B235" s="352">
        <v>244495.76</v>
      </c>
      <c r="C235" s="352">
        <v>31257.52</v>
      </c>
      <c r="D235" s="352">
        <v>157180.53</v>
      </c>
      <c r="E235" s="352">
        <v>56057.71</v>
      </c>
    </row>
    <row r="236" spans="1:5" ht="13">
      <c r="A236" s="302" t="s">
        <v>700</v>
      </c>
      <c r="B236" s="352">
        <v>3255275.93</v>
      </c>
      <c r="C236" s="352">
        <v>1146797.5900000001</v>
      </c>
      <c r="D236" s="352">
        <v>1188192.1299999999</v>
      </c>
      <c r="E236" s="352">
        <v>920286.21</v>
      </c>
    </row>
    <row r="237" spans="1:5" ht="13">
      <c r="A237" s="302" t="s">
        <v>378</v>
      </c>
      <c r="B237" s="352">
        <v>10735214.98</v>
      </c>
      <c r="C237" s="352">
        <v>3411620.77</v>
      </c>
      <c r="D237" s="352">
        <v>3397401.74</v>
      </c>
      <c r="E237" s="352">
        <v>3926192.48</v>
      </c>
    </row>
    <row r="238" spans="1:5" ht="13">
      <c r="A238" s="302" t="s">
        <v>1313</v>
      </c>
      <c r="B238" s="352">
        <v>5538785.1600000001</v>
      </c>
      <c r="C238" s="352">
        <v>864852.45</v>
      </c>
      <c r="D238" s="352">
        <v>2946112.97</v>
      </c>
      <c r="E238" s="352">
        <v>1727819.73</v>
      </c>
    </row>
    <row r="239" spans="1:5" ht="13">
      <c r="A239" s="302" t="s">
        <v>319</v>
      </c>
      <c r="B239" s="352">
        <v>2110930.84</v>
      </c>
      <c r="C239" s="352">
        <v>690245.01</v>
      </c>
      <c r="D239" s="352">
        <v>761093.47</v>
      </c>
      <c r="E239" s="352">
        <v>659592.37</v>
      </c>
    </row>
    <row r="240" spans="1:5" ht="13">
      <c r="A240" s="302" t="s">
        <v>473</v>
      </c>
      <c r="B240" s="352">
        <v>366446.27</v>
      </c>
      <c r="C240" s="352">
        <v>116172.62</v>
      </c>
      <c r="D240" s="352">
        <v>86821.2</v>
      </c>
      <c r="E240" s="352">
        <v>163452.45000000001</v>
      </c>
    </row>
    <row r="241" spans="1:5" ht="13">
      <c r="A241" s="302" t="s">
        <v>1507</v>
      </c>
      <c r="B241" s="352">
        <v>692401.37</v>
      </c>
      <c r="C241" s="352">
        <v>446230.78</v>
      </c>
      <c r="D241" s="302">
        <v>0</v>
      </c>
      <c r="E241" s="352">
        <v>246170.59</v>
      </c>
    </row>
    <row r="242" spans="1:5" ht="13">
      <c r="A242" s="302" t="s">
        <v>221</v>
      </c>
      <c r="B242" s="352">
        <v>901507.05</v>
      </c>
      <c r="C242" s="352">
        <v>277584</v>
      </c>
      <c r="D242" s="352">
        <v>217712.1</v>
      </c>
      <c r="E242" s="352">
        <v>406210.94</v>
      </c>
    </row>
    <row r="243" spans="1:5" ht="13">
      <c r="A243" s="302" t="s">
        <v>667</v>
      </c>
      <c r="B243" s="352">
        <v>614793.38</v>
      </c>
      <c r="C243" s="352">
        <v>183878.38</v>
      </c>
      <c r="D243" s="352">
        <v>61176.2</v>
      </c>
      <c r="E243" s="352">
        <v>369738.8</v>
      </c>
    </row>
    <row r="244" spans="1:5" ht="13">
      <c r="A244" s="302" t="s">
        <v>1028</v>
      </c>
      <c r="B244" s="352">
        <v>2004931.12</v>
      </c>
      <c r="C244" s="352">
        <v>641675.5</v>
      </c>
      <c r="D244" s="352">
        <v>1078048.21</v>
      </c>
      <c r="E244" s="352">
        <v>285207.40999999997</v>
      </c>
    </row>
    <row r="245" spans="1:5" ht="13">
      <c r="A245" s="302" t="s">
        <v>776</v>
      </c>
      <c r="B245" s="352">
        <v>2683173.21</v>
      </c>
      <c r="C245" s="352">
        <v>1166147.51</v>
      </c>
      <c r="D245" s="352">
        <v>1351447.93</v>
      </c>
      <c r="E245" s="352">
        <v>165577.76</v>
      </c>
    </row>
    <row r="246" spans="1:5" ht="13">
      <c r="A246" s="302" t="s">
        <v>1417</v>
      </c>
      <c r="B246" s="352">
        <v>3654873.81</v>
      </c>
      <c r="C246" s="352">
        <v>481194.34</v>
      </c>
      <c r="D246" s="352">
        <v>1083236.6000000001</v>
      </c>
      <c r="E246" s="352">
        <v>2090442.87</v>
      </c>
    </row>
    <row r="247" spans="1:5" ht="13">
      <c r="A247" s="302" t="s">
        <v>1239</v>
      </c>
      <c r="B247" s="352">
        <v>1165865.2</v>
      </c>
      <c r="C247" s="302">
        <v>0</v>
      </c>
      <c r="D247" s="352">
        <v>1165865.2</v>
      </c>
      <c r="E247" s="302">
        <v>0</v>
      </c>
    </row>
    <row r="248" spans="1:5" ht="13">
      <c r="A248" s="302" t="s">
        <v>955</v>
      </c>
      <c r="B248" s="352">
        <v>126178.27</v>
      </c>
      <c r="C248" s="302">
        <v>0</v>
      </c>
      <c r="D248" s="352">
        <v>126178.27</v>
      </c>
      <c r="E248" s="302">
        <v>0</v>
      </c>
    </row>
    <row r="249" spans="1:5" ht="13">
      <c r="A249" s="302" t="s">
        <v>1147</v>
      </c>
      <c r="B249" s="352">
        <v>7242686.3799999999</v>
      </c>
      <c r="C249" s="352">
        <v>2172445.6800000002</v>
      </c>
      <c r="D249" s="352">
        <v>2004876.86</v>
      </c>
      <c r="E249" s="352">
        <v>3065363.84</v>
      </c>
    </row>
    <row r="250" spans="1:5" ht="13">
      <c r="A250" s="302" t="s">
        <v>1555</v>
      </c>
      <c r="B250" s="352">
        <v>233712.56</v>
      </c>
      <c r="C250" s="352">
        <v>122634.96</v>
      </c>
      <c r="D250" s="302">
        <v>0</v>
      </c>
      <c r="E250" s="352">
        <v>111077.6</v>
      </c>
    </row>
    <row r="251" spans="1:5" ht="13">
      <c r="A251" s="302" t="s">
        <v>131</v>
      </c>
      <c r="B251" s="352">
        <v>1057731.99</v>
      </c>
      <c r="C251" s="352">
        <v>153910.37</v>
      </c>
      <c r="D251" s="352">
        <v>222025.5</v>
      </c>
      <c r="E251" s="352">
        <v>681796.12</v>
      </c>
    </row>
    <row r="252" spans="1:5" ht="13">
      <c r="A252" s="302" t="s">
        <v>1006</v>
      </c>
      <c r="B252" s="352">
        <v>4412193.3600000003</v>
      </c>
      <c r="C252" s="352">
        <v>1266065.8899999999</v>
      </c>
      <c r="D252" s="352">
        <v>1760727.41</v>
      </c>
      <c r="E252" s="352">
        <v>1385400.07</v>
      </c>
    </row>
    <row r="253" spans="1:5" ht="13">
      <c r="A253" s="302" t="s">
        <v>508</v>
      </c>
      <c r="B253" s="352">
        <v>8046764.25</v>
      </c>
      <c r="C253" s="352">
        <v>1017776.22</v>
      </c>
      <c r="D253" s="352">
        <v>2656539.64</v>
      </c>
      <c r="E253" s="352">
        <v>4372448.4000000004</v>
      </c>
    </row>
    <row r="254" spans="1:5" ht="13">
      <c r="A254" s="302" t="s">
        <v>578</v>
      </c>
      <c r="B254" s="352">
        <v>3554852.19</v>
      </c>
      <c r="C254" s="352">
        <v>1082147</v>
      </c>
      <c r="D254" s="352">
        <v>885654.26</v>
      </c>
      <c r="E254" s="352">
        <v>1587050.93</v>
      </c>
    </row>
    <row r="255" spans="1:5" ht="13">
      <c r="A255" s="302" t="s">
        <v>387</v>
      </c>
      <c r="B255" s="352">
        <v>8485003.6999999993</v>
      </c>
      <c r="C255" s="352">
        <v>3147117.3</v>
      </c>
      <c r="D255" s="352">
        <v>3218676.15</v>
      </c>
      <c r="E255" s="352">
        <v>2119210.25</v>
      </c>
    </row>
    <row r="256" spans="1:5" ht="13">
      <c r="A256" s="302" t="s">
        <v>726</v>
      </c>
      <c r="B256" s="352">
        <v>4914460.92</v>
      </c>
      <c r="C256" s="352">
        <v>1426781.41</v>
      </c>
      <c r="D256" s="352">
        <v>1437350.17</v>
      </c>
      <c r="E256" s="352">
        <v>2050329.34</v>
      </c>
    </row>
    <row r="257" spans="1:5" ht="13">
      <c r="A257" s="302" t="s">
        <v>320</v>
      </c>
      <c r="B257" s="352">
        <v>1065332.6000000001</v>
      </c>
      <c r="C257" s="352">
        <v>453623.22</v>
      </c>
      <c r="D257" s="352">
        <v>357236.27</v>
      </c>
      <c r="E257" s="352">
        <v>254473.1</v>
      </c>
    </row>
    <row r="258" spans="1:5" ht="13">
      <c r="A258" s="302" t="s">
        <v>1223</v>
      </c>
      <c r="B258" s="352">
        <v>897265.22</v>
      </c>
      <c r="C258" s="352">
        <v>322211.90000000002</v>
      </c>
      <c r="D258" s="352">
        <v>339434.64</v>
      </c>
      <c r="E258" s="352">
        <v>235618.68</v>
      </c>
    </row>
    <row r="259" spans="1:5" ht="13">
      <c r="A259" s="302" t="s">
        <v>1435</v>
      </c>
      <c r="B259" s="352">
        <v>818501.91</v>
      </c>
      <c r="C259" s="352">
        <v>533504.96</v>
      </c>
      <c r="D259" s="302">
        <v>0</v>
      </c>
      <c r="E259" s="352">
        <v>284996.95</v>
      </c>
    </row>
    <row r="260" spans="1:5" ht="13">
      <c r="A260" s="302" t="s">
        <v>1429</v>
      </c>
      <c r="B260" s="352">
        <v>887716.62</v>
      </c>
      <c r="C260" s="352">
        <v>139290.73000000001</v>
      </c>
      <c r="D260" s="352">
        <v>504998.39</v>
      </c>
      <c r="E260" s="352">
        <v>243427.51</v>
      </c>
    </row>
    <row r="261" spans="1:5" ht="13">
      <c r="A261" s="302" t="s">
        <v>559</v>
      </c>
      <c r="B261" s="352">
        <v>2274507.96</v>
      </c>
      <c r="C261" s="352">
        <v>346193.34</v>
      </c>
      <c r="D261" s="352">
        <v>1188507.6100000001</v>
      </c>
      <c r="E261" s="352">
        <v>739807.01</v>
      </c>
    </row>
    <row r="262" spans="1:5" ht="13">
      <c r="A262" s="302" t="s">
        <v>85</v>
      </c>
      <c r="B262" s="352">
        <v>14497757.550000001</v>
      </c>
      <c r="C262" s="352">
        <v>3409270.85</v>
      </c>
      <c r="D262" s="352">
        <v>3889074.06</v>
      </c>
      <c r="E262" s="352">
        <v>7199412.6299999999</v>
      </c>
    </row>
    <row r="263" spans="1:5" ht="13">
      <c r="A263" s="302" t="s">
        <v>626</v>
      </c>
      <c r="B263" s="352">
        <v>441756.02</v>
      </c>
      <c r="C263" s="352">
        <v>119281.56</v>
      </c>
      <c r="D263" s="352">
        <v>116316.4</v>
      </c>
      <c r="E263" s="352">
        <v>206158.06</v>
      </c>
    </row>
    <row r="264" spans="1:5" ht="13">
      <c r="A264" s="302" t="s">
        <v>1037</v>
      </c>
      <c r="B264" s="352">
        <v>1184042.3999999999</v>
      </c>
      <c r="C264" s="302">
        <v>0</v>
      </c>
      <c r="D264" s="352">
        <v>1184042.3999999999</v>
      </c>
      <c r="E264" s="302">
        <v>0</v>
      </c>
    </row>
    <row r="265" spans="1:5" ht="13">
      <c r="A265" s="302" t="s">
        <v>630</v>
      </c>
      <c r="B265" s="352">
        <v>3042793.81</v>
      </c>
      <c r="C265" s="352">
        <v>1567180.8</v>
      </c>
      <c r="D265" s="352">
        <v>512782.05</v>
      </c>
      <c r="E265" s="352">
        <v>962830.96</v>
      </c>
    </row>
    <row r="266" spans="1:5" ht="13">
      <c r="A266" s="302" t="s">
        <v>719</v>
      </c>
      <c r="B266" s="352">
        <v>3296134.54</v>
      </c>
      <c r="C266" s="352">
        <v>1085633.55</v>
      </c>
      <c r="D266" s="302">
        <v>0</v>
      </c>
      <c r="E266" s="352">
        <v>2210500.9900000002</v>
      </c>
    </row>
    <row r="267" spans="1:5" ht="13">
      <c r="A267" s="302" t="s">
        <v>1645</v>
      </c>
      <c r="B267" s="352">
        <v>112545.53</v>
      </c>
      <c r="C267" s="352">
        <v>112545.53</v>
      </c>
      <c r="D267" s="302">
        <v>0</v>
      </c>
      <c r="E267" s="302">
        <v>0</v>
      </c>
    </row>
    <row r="268" spans="1:5" ht="13">
      <c r="A268" s="302" t="s">
        <v>516</v>
      </c>
      <c r="B268" s="352">
        <v>5922191.7400000002</v>
      </c>
      <c r="C268" s="352">
        <v>2495040.5299999998</v>
      </c>
      <c r="D268" s="352">
        <v>1277396.52</v>
      </c>
      <c r="E268" s="352">
        <v>2149754.69</v>
      </c>
    </row>
    <row r="269" spans="1:5" ht="13">
      <c r="A269" s="302" t="s">
        <v>961</v>
      </c>
      <c r="B269" s="352">
        <v>108564.26</v>
      </c>
      <c r="C269" s="352">
        <v>73351.86</v>
      </c>
      <c r="D269" s="302">
        <v>0</v>
      </c>
      <c r="E269" s="352">
        <v>35212.400000000001</v>
      </c>
    </row>
    <row r="270" spans="1:5" ht="13">
      <c r="A270" s="302" t="s">
        <v>910</v>
      </c>
      <c r="B270" s="352">
        <v>1065984.3799999999</v>
      </c>
      <c r="C270" s="352">
        <v>297450.51</v>
      </c>
      <c r="D270" s="352">
        <v>295615.58</v>
      </c>
      <c r="E270" s="352">
        <v>472918.29</v>
      </c>
    </row>
    <row r="271" spans="1:5" ht="13">
      <c r="A271" s="302" t="s">
        <v>1231</v>
      </c>
      <c r="B271" s="352">
        <v>891973.73</v>
      </c>
      <c r="C271" s="352">
        <v>171322.84</v>
      </c>
      <c r="D271" s="352">
        <v>423043.2</v>
      </c>
      <c r="E271" s="352">
        <v>297607.69</v>
      </c>
    </row>
    <row r="272" spans="1:5" ht="13">
      <c r="A272" s="302" t="s">
        <v>1224</v>
      </c>
      <c r="B272" s="352">
        <v>1383791.3</v>
      </c>
      <c r="C272" s="352">
        <v>334236.11</v>
      </c>
      <c r="D272" s="352">
        <v>789528.78</v>
      </c>
      <c r="E272" s="352">
        <v>260026.41</v>
      </c>
    </row>
    <row r="273" spans="1:5" ht="13">
      <c r="A273" s="302" t="s">
        <v>1064</v>
      </c>
      <c r="B273" s="352">
        <v>1301176.76</v>
      </c>
      <c r="C273" s="352">
        <v>452373.84</v>
      </c>
      <c r="D273" s="352">
        <v>431112.91</v>
      </c>
      <c r="E273" s="352">
        <v>417690.01</v>
      </c>
    </row>
    <row r="274" spans="1:5" ht="13">
      <c r="A274" s="302" t="s">
        <v>997</v>
      </c>
      <c r="B274" s="352">
        <v>4941404.04</v>
      </c>
      <c r="C274" s="352">
        <v>1818151.48</v>
      </c>
      <c r="D274" s="352">
        <v>1235025.51</v>
      </c>
      <c r="E274" s="352">
        <v>1888227.04</v>
      </c>
    </row>
    <row r="275" spans="1:5" ht="13">
      <c r="A275" s="302" t="s">
        <v>1646</v>
      </c>
      <c r="B275" s="352">
        <v>236619.93</v>
      </c>
      <c r="C275" s="352">
        <v>236619.93</v>
      </c>
      <c r="D275" s="302">
        <v>0</v>
      </c>
      <c r="E275" s="302">
        <v>0</v>
      </c>
    </row>
    <row r="276" spans="1:5" ht="13">
      <c r="A276" s="302" t="s">
        <v>1314</v>
      </c>
      <c r="B276" s="352">
        <v>1154065.28</v>
      </c>
      <c r="C276" s="302">
        <v>0</v>
      </c>
      <c r="D276" s="352">
        <v>711266.18</v>
      </c>
      <c r="E276" s="352">
        <v>442799.1</v>
      </c>
    </row>
    <row r="277" spans="1:5" ht="13">
      <c r="A277" s="302" t="s">
        <v>693</v>
      </c>
      <c r="B277" s="352">
        <v>11948114.33</v>
      </c>
      <c r="C277" s="352">
        <v>1996001.11</v>
      </c>
      <c r="D277" s="352">
        <v>6018461.7999999998</v>
      </c>
      <c r="E277" s="352">
        <v>3933651.42</v>
      </c>
    </row>
    <row r="278" spans="1:5" ht="13">
      <c r="A278" s="302" t="s">
        <v>1074</v>
      </c>
      <c r="B278" s="352">
        <v>884139.99</v>
      </c>
      <c r="C278" s="352">
        <v>584286.18000000005</v>
      </c>
      <c r="D278" s="302">
        <v>0</v>
      </c>
      <c r="E278" s="352">
        <v>299853.81</v>
      </c>
    </row>
    <row r="279" spans="1:5" ht="13">
      <c r="A279" s="302" t="s">
        <v>1436</v>
      </c>
      <c r="B279" s="352">
        <v>1765010.07</v>
      </c>
      <c r="C279" s="352">
        <v>699675.59</v>
      </c>
      <c r="D279" s="352">
        <v>753264.47</v>
      </c>
      <c r="E279" s="352">
        <v>312070.01</v>
      </c>
    </row>
    <row r="280" spans="1:5" ht="13">
      <c r="A280" s="302" t="s">
        <v>1437</v>
      </c>
      <c r="B280" s="352">
        <v>1461097.47</v>
      </c>
      <c r="C280" s="352">
        <v>374986.88</v>
      </c>
      <c r="D280" s="352">
        <v>729889.48</v>
      </c>
      <c r="E280" s="352">
        <v>356221.11</v>
      </c>
    </row>
    <row r="281" spans="1:5" ht="13">
      <c r="A281" s="302" t="s">
        <v>1094</v>
      </c>
      <c r="B281" s="352">
        <v>844094.19</v>
      </c>
      <c r="C281" s="352">
        <v>385630.53</v>
      </c>
      <c r="D281" s="352">
        <v>315990.12</v>
      </c>
      <c r="E281" s="352">
        <v>142473.54</v>
      </c>
    </row>
    <row r="282" spans="1:5" ht="13">
      <c r="A282" s="302" t="s">
        <v>299</v>
      </c>
      <c r="B282" s="352">
        <v>2794939.05</v>
      </c>
      <c r="C282" s="352">
        <v>329904.14</v>
      </c>
      <c r="D282" s="352">
        <v>1439024.16</v>
      </c>
      <c r="E282" s="352">
        <v>1026010.75</v>
      </c>
    </row>
    <row r="283" spans="1:5" ht="13">
      <c r="A283" s="302" t="s">
        <v>178</v>
      </c>
      <c r="B283" s="352">
        <v>3320667.56</v>
      </c>
      <c r="C283" s="352">
        <v>710574.75</v>
      </c>
      <c r="D283" s="352">
        <v>642684.84</v>
      </c>
      <c r="E283" s="352">
        <v>1967407.98</v>
      </c>
    </row>
    <row r="284" spans="1:5" ht="13">
      <c r="A284" s="302" t="s">
        <v>1016</v>
      </c>
      <c r="B284" s="352">
        <v>3621589.95</v>
      </c>
      <c r="C284" s="352">
        <v>722568.28</v>
      </c>
      <c r="D284" s="352">
        <v>1620859.92</v>
      </c>
      <c r="E284" s="352">
        <v>1278161.75</v>
      </c>
    </row>
    <row r="285" spans="1:5" ht="13">
      <c r="A285" s="302" t="s">
        <v>1110</v>
      </c>
      <c r="B285" s="352">
        <v>6671179.5099999998</v>
      </c>
      <c r="C285" s="352">
        <v>1318258.3600000001</v>
      </c>
      <c r="D285" s="352">
        <v>2758179.48</v>
      </c>
      <c r="E285" s="352">
        <v>2594741.67</v>
      </c>
    </row>
    <row r="286" spans="1:5" ht="13">
      <c r="A286" s="302" t="s">
        <v>777</v>
      </c>
      <c r="B286" s="352">
        <v>151940.79999999999</v>
      </c>
      <c r="C286" s="352">
        <v>151940.79999999999</v>
      </c>
      <c r="D286" s="302">
        <v>0</v>
      </c>
      <c r="E286" s="302">
        <v>0</v>
      </c>
    </row>
    <row r="287" spans="1:5" ht="13">
      <c r="A287" s="302" t="s">
        <v>87</v>
      </c>
      <c r="B287" s="352">
        <v>4106524.22</v>
      </c>
      <c r="C287" s="352">
        <v>1667225.58</v>
      </c>
      <c r="D287" s="352">
        <v>1891176.49</v>
      </c>
      <c r="E287" s="352">
        <v>548122.15</v>
      </c>
    </row>
    <row r="288" spans="1:5" ht="13">
      <c r="A288" s="302" t="s">
        <v>1027</v>
      </c>
      <c r="B288" s="352">
        <v>8026597.7699999996</v>
      </c>
      <c r="C288" s="352">
        <v>4685967.24</v>
      </c>
      <c r="D288" s="352">
        <v>1373663.38</v>
      </c>
      <c r="E288" s="352">
        <v>1966967.16</v>
      </c>
    </row>
    <row r="289" spans="1:5" ht="13">
      <c r="A289" s="302" t="s">
        <v>1509</v>
      </c>
      <c r="B289" s="352">
        <v>250500</v>
      </c>
      <c r="C289" s="352">
        <v>250500</v>
      </c>
      <c r="D289" s="302">
        <v>0</v>
      </c>
      <c r="E289" s="302">
        <v>0</v>
      </c>
    </row>
    <row r="290" spans="1:5" ht="13">
      <c r="A290" s="302" t="s">
        <v>1647</v>
      </c>
      <c r="B290" s="352">
        <v>48505.39</v>
      </c>
      <c r="C290" s="352">
        <v>48505.39</v>
      </c>
      <c r="D290" s="302">
        <v>0</v>
      </c>
      <c r="E290" s="302">
        <v>0</v>
      </c>
    </row>
    <row r="291" spans="1:5" ht="13">
      <c r="A291" s="302" t="s">
        <v>1080</v>
      </c>
      <c r="B291" s="352">
        <v>255848.88</v>
      </c>
      <c r="C291" s="352">
        <v>65876.679999999993</v>
      </c>
      <c r="D291" s="352">
        <v>37635.589999999997</v>
      </c>
      <c r="E291" s="352">
        <v>152336.60999999999</v>
      </c>
    </row>
    <row r="292" spans="1:5" ht="13">
      <c r="A292" s="302" t="s">
        <v>890</v>
      </c>
      <c r="B292" s="352">
        <v>470743.16</v>
      </c>
      <c r="C292" s="352">
        <v>335570.44</v>
      </c>
      <c r="D292" s="352">
        <v>135172.72</v>
      </c>
      <c r="E292" s="302">
        <v>0</v>
      </c>
    </row>
    <row r="293" spans="1:5" ht="13">
      <c r="A293" s="302" t="s">
        <v>1648</v>
      </c>
      <c r="B293" s="352">
        <v>548052.89</v>
      </c>
      <c r="C293" s="302">
        <v>0</v>
      </c>
      <c r="D293" s="302">
        <v>0</v>
      </c>
      <c r="E293" s="352">
        <v>548052.89</v>
      </c>
    </row>
    <row r="294" spans="1:5" ht="13">
      <c r="A294" s="302" t="s">
        <v>179</v>
      </c>
      <c r="B294" s="352">
        <v>534555.02</v>
      </c>
      <c r="C294" s="302">
        <v>0</v>
      </c>
      <c r="D294" s="352">
        <v>534555.02</v>
      </c>
      <c r="E294" s="302">
        <v>0</v>
      </c>
    </row>
    <row r="295" spans="1:5" ht="13">
      <c r="A295" s="302" t="s">
        <v>1330</v>
      </c>
      <c r="B295" s="352">
        <v>9280921.9800000004</v>
      </c>
      <c r="C295" s="352">
        <v>1474892.35</v>
      </c>
      <c r="D295" s="352">
        <v>4361601.18</v>
      </c>
      <c r="E295" s="352">
        <v>3444428.45</v>
      </c>
    </row>
    <row r="296" spans="1:5" ht="13">
      <c r="A296" s="302" t="s">
        <v>291</v>
      </c>
      <c r="B296" s="352">
        <v>7413136.79</v>
      </c>
      <c r="C296" s="352">
        <v>919279.88</v>
      </c>
      <c r="D296" s="352">
        <v>1015906.8</v>
      </c>
      <c r="E296" s="352">
        <v>5477950.1100000003</v>
      </c>
    </row>
    <row r="297" spans="1:5" ht="13">
      <c r="A297" s="302" t="s">
        <v>540</v>
      </c>
      <c r="B297" s="352">
        <v>6849222.1699999999</v>
      </c>
      <c r="C297" s="352">
        <v>3053727.54</v>
      </c>
      <c r="D297" s="352">
        <v>1234100.6599999999</v>
      </c>
      <c r="E297" s="352">
        <v>2561393.9700000002</v>
      </c>
    </row>
    <row r="298" spans="1:5" ht="13">
      <c r="A298" s="302" t="s">
        <v>966</v>
      </c>
      <c r="B298" s="352">
        <v>77450.73</v>
      </c>
      <c r="C298" s="352">
        <v>18478.5</v>
      </c>
      <c r="D298" s="352">
        <v>32000.49</v>
      </c>
      <c r="E298" s="352">
        <v>26971.74</v>
      </c>
    </row>
    <row r="299" spans="1:5" ht="13">
      <c r="A299" s="302" t="s">
        <v>180</v>
      </c>
      <c r="B299" s="352">
        <v>45854.64</v>
      </c>
      <c r="C299" s="352">
        <v>45854.64</v>
      </c>
      <c r="D299" s="302">
        <v>0</v>
      </c>
      <c r="E299" s="302">
        <v>0</v>
      </c>
    </row>
    <row r="300" spans="1:5" ht="13">
      <c r="A300" s="302" t="s">
        <v>527</v>
      </c>
      <c r="B300" s="352">
        <v>3883786.35</v>
      </c>
      <c r="C300" s="352">
        <v>2047418.48</v>
      </c>
      <c r="D300" s="352">
        <v>1215335.75</v>
      </c>
      <c r="E300" s="352">
        <v>621032.12</v>
      </c>
    </row>
    <row r="301" spans="1:5" ht="13">
      <c r="A301" s="302" t="s">
        <v>1263</v>
      </c>
      <c r="B301" s="352">
        <v>5714165.3099999996</v>
      </c>
      <c r="C301" s="352">
        <v>1592577.49</v>
      </c>
      <c r="D301" s="302">
        <v>0</v>
      </c>
      <c r="E301" s="352">
        <v>4121587.83</v>
      </c>
    </row>
    <row r="302" spans="1:5" ht="13">
      <c r="A302" s="302" t="s">
        <v>260</v>
      </c>
      <c r="B302" s="352">
        <v>18940200.219999999</v>
      </c>
      <c r="C302" s="352">
        <v>6603558.3200000003</v>
      </c>
      <c r="D302" s="352">
        <v>7628761.9000000004</v>
      </c>
      <c r="E302" s="352">
        <v>4707880</v>
      </c>
    </row>
    <row r="303" spans="1:5" ht="13">
      <c r="A303" s="302" t="s">
        <v>673</v>
      </c>
      <c r="B303" s="352">
        <v>294951.84000000003</v>
      </c>
      <c r="C303" s="352">
        <v>294951.84000000003</v>
      </c>
      <c r="D303" s="302">
        <v>0</v>
      </c>
      <c r="E303" s="302">
        <v>0</v>
      </c>
    </row>
    <row r="304" spans="1:5" ht="13">
      <c r="A304" s="302" t="s">
        <v>1649</v>
      </c>
      <c r="B304" s="352">
        <v>35746376.759999998</v>
      </c>
      <c r="C304" s="352">
        <v>13538665.560000001</v>
      </c>
      <c r="D304" s="352">
        <v>1947110.3999999999</v>
      </c>
      <c r="E304" s="352">
        <v>20260600.800000001</v>
      </c>
    </row>
    <row r="305" spans="1:5" ht="13">
      <c r="A305" s="302" t="s">
        <v>181</v>
      </c>
      <c r="B305" s="352">
        <v>3149453.41</v>
      </c>
      <c r="C305" s="352">
        <v>859059.04</v>
      </c>
      <c r="D305" s="352">
        <v>967036.91</v>
      </c>
      <c r="E305" s="352">
        <v>1323357.46</v>
      </c>
    </row>
    <row r="306" spans="1:5" ht="13">
      <c r="A306" s="302" t="s">
        <v>182</v>
      </c>
      <c r="B306" s="352">
        <v>4959879.16</v>
      </c>
      <c r="C306" s="352">
        <v>2107598.12</v>
      </c>
      <c r="D306" s="352">
        <v>1354291.26</v>
      </c>
      <c r="E306" s="352">
        <v>1497989.79</v>
      </c>
    </row>
    <row r="307" spans="1:5" ht="13">
      <c r="A307" s="302" t="s">
        <v>148</v>
      </c>
      <c r="B307" s="352">
        <v>1763.6</v>
      </c>
      <c r="C307" s="352">
        <v>-42238.400000000001</v>
      </c>
      <c r="D307" s="302">
        <v>0</v>
      </c>
      <c r="E307" s="352">
        <v>44002</v>
      </c>
    </row>
    <row r="308" spans="1:5" ht="13">
      <c r="A308" s="302" t="s">
        <v>496</v>
      </c>
      <c r="B308" s="352">
        <v>4646114.57</v>
      </c>
      <c r="C308" s="352">
        <v>1487202.98</v>
      </c>
      <c r="D308" s="352">
        <v>1413078.28</v>
      </c>
      <c r="E308" s="352">
        <v>1745833.31</v>
      </c>
    </row>
    <row r="309" spans="1:5" ht="13">
      <c r="A309" s="302" t="s">
        <v>149</v>
      </c>
      <c r="B309" s="352">
        <v>4275846.71</v>
      </c>
      <c r="C309" s="352">
        <v>1113804.1000000001</v>
      </c>
      <c r="D309" s="352">
        <v>1160387.04</v>
      </c>
      <c r="E309" s="352">
        <v>2001655.58</v>
      </c>
    </row>
    <row r="310" spans="1:5" ht="13">
      <c r="A310" s="302" t="s">
        <v>1400</v>
      </c>
      <c r="B310" s="352">
        <v>11249694.93</v>
      </c>
      <c r="C310" s="302">
        <v>0</v>
      </c>
      <c r="D310" s="302">
        <v>0</v>
      </c>
      <c r="E310" s="352">
        <v>11249694.93</v>
      </c>
    </row>
    <row r="311" spans="1:5" ht="13">
      <c r="A311" s="302" t="s">
        <v>150</v>
      </c>
      <c r="B311" s="352">
        <v>160904</v>
      </c>
      <c r="C311" s="352">
        <v>90479.2</v>
      </c>
      <c r="D311" s="352">
        <v>70424.800000000003</v>
      </c>
      <c r="E311" s="302">
        <v>0</v>
      </c>
    </row>
    <row r="312" spans="1:5" ht="13">
      <c r="A312" s="302" t="s">
        <v>151</v>
      </c>
      <c r="B312" s="352">
        <v>303329.68</v>
      </c>
      <c r="C312" s="352">
        <v>154824.32000000001</v>
      </c>
      <c r="D312" s="302">
        <v>0</v>
      </c>
      <c r="E312" s="352">
        <v>148505.35999999999</v>
      </c>
    </row>
    <row r="313" spans="1:5" ht="13">
      <c r="A313" s="302" t="s">
        <v>882</v>
      </c>
      <c r="B313" s="352">
        <v>3086950.27</v>
      </c>
      <c r="C313" s="352">
        <v>998807.13</v>
      </c>
      <c r="D313" s="352">
        <v>864916.91</v>
      </c>
      <c r="E313" s="352">
        <v>1223226.24</v>
      </c>
    </row>
    <row r="314" spans="1:5" ht="13">
      <c r="A314" s="302" t="s">
        <v>70</v>
      </c>
      <c r="B314" s="352">
        <v>14303962.92</v>
      </c>
      <c r="C314" s="352">
        <v>4568330.59</v>
      </c>
      <c r="D314" s="352">
        <v>4468315.25</v>
      </c>
      <c r="E314" s="352">
        <v>5267317.08</v>
      </c>
    </row>
    <row r="315" spans="1:5" ht="13">
      <c r="A315" s="302" t="s">
        <v>183</v>
      </c>
      <c r="B315" s="352">
        <v>349625.25</v>
      </c>
      <c r="C315" s="352">
        <v>77442.3</v>
      </c>
      <c r="D315" s="352">
        <v>47476.31</v>
      </c>
      <c r="E315" s="352">
        <v>224706.64</v>
      </c>
    </row>
    <row r="316" spans="1:5" ht="13">
      <c r="A316" s="302" t="s">
        <v>779</v>
      </c>
      <c r="B316" s="352">
        <v>181152.9</v>
      </c>
      <c r="C316" s="352">
        <v>111219.36</v>
      </c>
      <c r="D316" s="352">
        <v>69933.539999999994</v>
      </c>
      <c r="E316" s="302">
        <v>0</v>
      </c>
    </row>
    <row r="317" spans="1:5" ht="13">
      <c r="A317" s="302" t="s">
        <v>261</v>
      </c>
      <c r="B317" s="352">
        <v>30636626.870000001</v>
      </c>
      <c r="C317" s="352">
        <v>10891489.48</v>
      </c>
      <c r="D317" s="352">
        <v>5305187.05</v>
      </c>
      <c r="E317" s="352">
        <v>14439950.34</v>
      </c>
    </row>
    <row r="318" spans="1:5" ht="13">
      <c r="A318" s="302" t="s">
        <v>76</v>
      </c>
      <c r="B318" s="352">
        <v>6455394.8200000003</v>
      </c>
      <c r="C318" s="352">
        <v>2198564.29</v>
      </c>
      <c r="D318" s="352">
        <v>1800247.16</v>
      </c>
      <c r="E318" s="352">
        <v>2456583.36</v>
      </c>
    </row>
    <row r="319" spans="1:5" ht="13">
      <c r="A319" s="302" t="s">
        <v>1004</v>
      </c>
      <c r="B319" s="352">
        <v>1669502.22</v>
      </c>
      <c r="C319" s="352">
        <v>1080206.28</v>
      </c>
      <c r="D319" s="352">
        <v>567535.94999999995</v>
      </c>
      <c r="E319" s="352">
        <v>21760</v>
      </c>
    </row>
    <row r="320" spans="1:5" ht="13">
      <c r="A320" s="302" t="s">
        <v>1650</v>
      </c>
      <c r="B320" s="352">
        <v>497444.1</v>
      </c>
      <c r="C320" s="352">
        <v>497444.1</v>
      </c>
      <c r="D320" s="302">
        <v>0</v>
      </c>
      <c r="E320" s="302">
        <v>0</v>
      </c>
    </row>
    <row r="321" spans="1:5" ht="13">
      <c r="A321" s="302" t="s">
        <v>1556</v>
      </c>
      <c r="B321" s="352">
        <v>2817752.91</v>
      </c>
      <c r="C321" s="352">
        <v>911565.94</v>
      </c>
      <c r="D321" s="352">
        <v>1006272.94</v>
      </c>
      <c r="E321" s="352">
        <v>899914.04</v>
      </c>
    </row>
    <row r="322" spans="1:5" ht="13">
      <c r="A322" s="302" t="s">
        <v>1651</v>
      </c>
      <c r="B322" s="352">
        <v>8924461.5</v>
      </c>
      <c r="C322" s="352">
        <v>3036484.96</v>
      </c>
      <c r="D322" s="352">
        <v>2196843.88</v>
      </c>
      <c r="E322" s="352">
        <v>3691132.66</v>
      </c>
    </row>
    <row r="323" spans="1:5" ht="13">
      <c r="A323" s="302" t="s">
        <v>1075</v>
      </c>
      <c r="B323" s="352">
        <v>398555.88</v>
      </c>
      <c r="C323" s="352">
        <v>90847.86</v>
      </c>
      <c r="D323" s="352">
        <v>242022.16</v>
      </c>
      <c r="E323" s="352">
        <v>65685.86</v>
      </c>
    </row>
    <row r="324" spans="1:5" ht="13">
      <c r="A324" s="302" t="s">
        <v>665</v>
      </c>
      <c r="B324" s="352">
        <v>297503.51</v>
      </c>
      <c r="C324" s="302">
        <v>0</v>
      </c>
      <c r="D324" s="352">
        <v>195915.51</v>
      </c>
      <c r="E324" s="352">
        <v>101588</v>
      </c>
    </row>
    <row r="325" spans="1:5" ht="13">
      <c r="A325" s="302" t="s">
        <v>541</v>
      </c>
      <c r="B325" s="352">
        <v>2659486.4300000002</v>
      </c>
      <c r="C325" s="352">
        <v>1097012.68</v>
      </c>
      <c r="D325" s="352">
        <v>115649.53</v>
      </c>
      <c r="E325" s="352">
        <v>1446824.22</v>
      </c>
    </row>
    <row r="326" spans="1:5" ht="13">
      <c r="A326" s="302" t="s">
        <v>1652</v>
      </c>
      <c r="B326" s="352">
        <v>3143146.01</v>
      </c>
      <c r="C326" s="302">
        <v>0</v>
      </c>
      <c r="D326" s="352">
        <v>2996874.9</v>
      </c>
      <c r="E326" s="352">
        <v>146271.10999999999</v>
      </c>
    </row>
    <row r="327" spans="1:5" ht="13">
      <c r="A327" s="302" t="s">
        <v>1653</v>
      </c>
      <c r="B327" s="352">
        <v>4565305.95</v>
      </c>
      <c r="C327" s="352">
        <v>1301189.79</v>
      </c>
      <c r="D327" s="352">
        <v>2495713.36</v>
      </c>
      <c r="E327" s="352">
        <v>768402.79</v>
      </c>
    </row>
    <row r="328" spans="1:5" ht="13">
      <c r="A328" s="302" t="s">
        <v>1277</v>
      </c>
      <c r="B328" s="352">
        <v>2025343.69</v>
      </c>
      <c r="C328" s="352">
        <v>414252.66</v>
      </c>
      <c r="D328" s="352">
        <v>885768.37</v>
      </c>
      <c r="E328" s="352">
        <v>725322.66</v>
      </c>
    </row>
    <row r="329" spans="1:5" ht="13">
      <c r="A329" s="302" t="s">
        <v>1654</v>
      </c>
      <c r="B329" s="352">
        <v>7604969.3600000003</v>
      </c>
      <c r="C329" s="352">
        <v>2274771.2799999998</v>
      </c>
      <c r="D329" s="352">
        <v>2604576.2400000002</v>
      </c>
      <c r="E329" s="352">
        <v>2725621.84</v>
      </c>
    </row>
    <row r="330" spans="1:5" ht="13">
      <c r="A330" s="302" t="s">
        <v>898</v>
      </c>
      <c r="B330" s="352">
        <v>1139744.1399999999</v>
      </c>
      <c r="C330" s="352">
        <v>419754.03</v>
      </c>
      <c r="D330" s="352">
        <v>298908.88</v>
      </c>
      <c r="E330" s="352">
        <v>421081.23</v>
      </c>
    </row>
    <row r="331" spans="1:5" ht="13">
      <c r="A331" s="302" t="s">
        <v>859</v>
      </c>
      <c r="B331" s="352">
        <v>1731873.42</v>
      </c>
      <c r="C331" s="352">
        <v>200086.2</v>
      </c>
      <c r="D331" s="352">
        <v>402071.12</v>
      </c>
      <c r="E331" s="352">
        <v>1129716.1000000001</v>
      </c>
    </row>
    <row r="332" spans="1:5" ht="13">
      <c r="A332" s="302" t="s">
        <v>1240</v>
      </c>
      <c r="B332" s="352">
        <v>960354.56</v>
      </c>
      <c r="C332" s="352">
        <v>509844.96</v>
      </c>
      <c r="D332" s="352">
        <v>103603.28</v>
      </c>
      <c r="E332" s="352">
        <v>346906.32</v>
      </c>
    </row>
    <row r="333" spans="1:5" ht="13">
      <c r="A333" s="302" t="s">
        <v>1265</v>
      </c>
      <c r="B333" s="352">
        <v>5114487.78</v>
      </c>
      <c r="C333" s="352">
        <v>1621635.63</v>
      </c>
      <c r="D333" s="352">
        <v>1583725.49</v>
      </c>
      <c r="E333" s="352">
        <v>1909126.66</v>
      </c>
    </row>
    <row r="334" spans="1:5" ht="13">
      <c r="A334" s="302" t="s">
        <v>937</v>
      </c>
      <c r="B334" s="352">
        <v>612240.21</v>
      </c>
      <c r="C334" s="352">
        <v>152257.21</v>
      </c>
      <c r="D334" s="352">
        <v>58768.47</v>
      </c>
      <c r="E334" s="352">
        <v>401214.54</v>
      </c>
    </row>
    <row r="335" spans="1:5" ht="13">
      <c r="A335" s="302" t="s">
        <v>751</v>
      </c>
      <c r="B335" s="352">
        <v>381547.92</v>
      </c>
      <c r="C335" s="352">
        <v>381547.92</v>
      </c>
      <c r="D335" s="302">
        <v>0</v>
      </c>
      <c r="E335" s="302">
        <v>0</v>
      </c>
    </row>
    <row r="336" spans="1:5" ht="13">
      <c r="A336" s="302" t="s">
        <v>611</v>
      </c>
      <c r="B336" s="352">
        <v>264280.32000000001</v>
      </c>
      <c r="C336" s="352">
        <v>264280.32000000001</v>
      </c>
      <c r="D336" s="302">
        <v>0</v>
      </c>
      <c r="E336" s="302">
        <v>0</v>
      </c>
    </row>
    <row r="337" spans="1:5" ht="13">
      <c r="A337" s="302" t="s">
        <v>727</v>
      </c>
      <c r="B337" s="352">
        <v>5004914.38</v>
      </c>
      <c r="C337" s="352">
        <v>2277423.58</v>
      </c>
      <c r="D337" s="352">
        <v>1270712.8</v>
      </c>
      <c r="E337" s="352">
        <v>1456778</v>
      </c>
    </row>
    <row r="338" spans="1:5" ht="13">
      <c r="A338" s="302" t="s">
        <v>1349</v>
      </c>
      <c r="B338" s="352">
        <v>743107.14</v>
      </c>
      <c r="C338" s="352">
        <v>404377.48</v>
      </c>
      <c r="D338" s="352">
        <v>338729.66</v>
      </c>
      <c r="E338" s="302">
        <v>0</v>
      </c>
    </row>
    <row r="339" spans="1:5" ht="13">
      <c r="A339" s="302" t="s">
        <v>1389</v>
      </c>
      <c r="B339" s="352">
        <v>410612.36</v>
      </c>
      <c r="C339" s="302">
        <v>0</v>
      </c>
      <c r="D339" s="352">
        <v>120043.36</v>
      </c>
      <c r="E339" s="352">
        <v>290569</v>
      </c>
    </row>
    <row r="340" spans="1:5" ht="13">
      <c r="A340" s="302" t="s">
        <v>1245</v>
      </c>
      <c r="B340" s="352">
        <v>701789.7</v>
      </c>
      <c r="C340" s="352">
        <v>148654.43</v>
      </c>
      <c r="D340" s="352">
        <v>226154.84</v>
      </c>
      <c r="E340" s="352">
        <v>326980.43</v>
      </c>
    </row>
    <row r="341" spans="1:5" ht="13">
      <c r="A341" s="302" t="s">
        <v>426</v>
      </c>
      <c r="B341" s="352">
        <v>3884548.64</v>
      </c>
      <c r="C341" s="352">
        <v>1461726.33</v>
      </c>
      <c r="D341" s="352">
        <v>1003206.35</v>
      </c>
      <c r="E341" s="352">
        <v>1419615.96</v>
      </c>
    </row>
    <row r="342" spans="1:5" ht="13">
      <c r="A342" s="302" t="s">
        <v>561</v>
      </c>
      <c r="B342" s="352">
        <v>2353521.2400000002</v>
      </c>
      <c r="C342" s="352">
        <v>2240592.9300000002</v>
      </c>
      <c r="D342" s="352">
        <v>112928.31</v>
      </c>
      <c r="E342" s="302">
        <v>0</v>
      </c>
    </row>
    <row r="343" spans="1:5" ht="13">
      <c r="A343" s="302" t="s">
        <v>581</v>
      </c>
      <c r="B343" s="352">
        <v>81917.42</v>
      </c>
      <c r="C343" s="302">
        <v>0</v>
      </c>
      <c r="D343" s="352">
        <v>81917.42</v>
      </c>
      <c r="E343" s="302">
        <v>0</v>
      </c>
    </row>
    <row r="344" spans="1:5" ht="13">
      <c r="A344" s="302" t="s">
        <v>908</v>
      </c>
      <c r="B344" s="352">
        <v>1580831.01</v>
      </c>
      <c r="C344" s="352">
        <v>1393995.53</v>
      </c>
      <c r="D344" s="302">
        <v>0</v>
      </c>
      <c r="E344" s="352">
        <v>186835.49</v>
      </c>
    </row>
    <row r="345" spans="1:5" ht="13">
      <c r="A345" s="302" t="s">
        <v>1655</v>
      </c>
      <c r="B345" s="352">
        <v>51794.28</v>
      </c>
      <c r="C345" s="352">
        <v>51794.28</v>
      </c>
      <c r="D345" s="302">
        <v>0</v>
      </c>
      <c r="E345" s="302">
        <v>0</v>
      </c>
    </row>
    <row r="346" spans="1:5" ht="13">
      <c r="A346" s="302" t="s">
        <v>1268</v>
      </c>
      <c r="B346" s="352">
        <v>2752914.46</v>
      </c>
      <c r="C346" s="352">
        <v>939111.72</v>
      </c>
      <c r="D346" s="352">
        <v>498255.4</v>
      </c>
      <c r="E346" s="352">
        <v>1315547.3400000001</v>
      </c>
    </row>
    <row r="347" spans="1:5" ht="13">
      <c r="A347" s="302" t="s">
        <v>449</v>
      </c>
      <c r="B347" s="352">
        <v>1505273.59</v>
      </c>
      <c r="C347" s="352">
        <v>435637.67</v>
      </c>
      <c r="D347" s="352">
        <v>455459.68</v>
      </c>
      <c r="E347" s="352">
        <v>614176.23</v>
      </c>
    </row>
    <row r="348" spans="1:5" ht="13">
      <c r="A348" s="302" t="s">
        <v>184</v>
      </c>
      <c r="B348" s="352">
        <v>382699.66</v>
      </c>
      <c r="C348" s="352">
        <v>126507.82</v>
      </c>
      <c r="D348" s="352">
        <v>80467.05</v>
      </c>
      <c r="E348" s="352">
        <v>175724.79</v>
      </c>
    </row>
    <row r="349" spans="1:5" ht="13">
      <c r="A349" s="302" t="s">
        <v>1139</v>
      </c>
      <c r="B349" s="352">
        <v>3719527.31</v>
      </c>
      <c r="C349" s="352">
        <v>1335374.22</v>
      </c>
      <c r="D349" s="352">
        <v>1362951.5</v>
      </c>
      <c r="E349" s="352">
        <v>1021201.59</v>
      </c>
    </row>
    <row r="350" spans="1:5" ht="13">
      <c r="A350" s="302" t="s">
        <v>1413</v>
      </c>
      <c r="B350" s="352">
        <v>1261382.55</v>
      </c>
      <c r="C350" s="352">
        <v>342241.88</v>
      </c>
      <c r="D350" s="352">
        <v>412307.38</v>
      </c>
      <c r="E350" s="352">
        <v>506833.3</v>
      </c>
    </row>
    <row r="351" spans="1:5" ht="13">
      <c r="A351" s="302" t="s">
        <v>124</v>
      </c>
      <c r="B351" s="352">
        <v>7183941.7699999996</v>
      </c>
      <c r="C351" s="352">
        <v>1786202.64</v>
      </c>
      <c r="D351" s="352">
        <v>2623779.27</v>
      </c>
      <c r="E351" s="352">
        <v>2773959.86</v>
      </c>
    </row>
    <row r="352" spans="1:5" ht="13">
      <c r="A352" s="302" t="s">
        <v>1011</v>
      </c>
      <c r="B352" s="352">
        <v>1710291.53</v>
      </c>
      <c r="C352" s="352">
        <v>643740.71</v>
      </c>
      <c r="D352" s="352">
        <v>742210.62</v>
      </c>
      <c r="E352" s="352">
        <v>324340.2</v>
      </c>
    </row>
    <row r="353" spans="1:5" ht="13">
      <c r="A353" s="302" t="s">
        <v>89</v>
      </c>
      <c r="B353" s="352">
        <v>1779489.44</v>
      </c>
      <c r="C353" s="352">
        <v>1290441.8600000001</v>
      </c>
      <c r="D353" s="302">
        <v>0</v>
      </c>
      <c r="E353" s="352">
        <v>489047.58</v>
      </c>
    </row>
    <row r="354" spans="1:5" ht="13">
      <c r="A354" s="302" t="s">
        <v>186</v>
      </c>
      <c r="B354" s="352">
        <v>1650788.83</v>
      </c>
      <c r="C354" s="352">
        <v>470832.6</v>
      </c>
      <c r="D354" s="352">
        <v>489222.93</v>
      </c>
      <c r="E354" s="352">
        <v>690733.3</v>
      </c>
    </row>
    <row r="355" spans="1:5" ht="13">
      <c r="A355" s="302" t="s">
        <v>1452</v>
      </c>
      <c r="B355" s="352">
        <v>108890.15</v>
      </c>
      <c r="C355" s="352">
        <v>48834</v>
      </c>
      <c r="D355" s="352">
        <v>60056.15</v>
      </c>
      <c r="E355" s="302">
        <v>0</v>
      </c>
    </row>
    <row r="356" spans="1:5" ht="13">
      <c r="A356" s="302" t="s">
        <v>515</v>
      </c>
      <c r="B356" s="352">
        <v>6838766.9699999997</v>
      </c>
      <c r="C356" s="352">
        <v>2872160.78</v>
      </c>
      <c r="D356" s="352">
        <v>1117822.28</v>
      </c>
      <c r="E356" s="352">
        <v>2848783.92</v>
      </c>
    </row>
    <row r="357" spans="1:5" ht="13">
      <c r="A357" s="302" t="s">
        <v>1515</v>
      </c>
      <c r="B357" s="352">
        <v>262170</v>
      </c>
      <c r="C357" s="352">
        <v>262170</v>
      </c>
      <c r="D357" s="302">
        <v>0</v>
      </c>
      <c r="E357" s="302">
        <v>0</v>
      </c>
    </row>
    <row r="358" spans="1:5" ht="13">
      <c r="A358" s="302" t="s">
        <v>1211</v>
      </c>
      <c r="B358" s="352">
        <v>1601600.2</v>
      </c>
      <c r="C358" s="352">
        <v>808094.81</v>
      </c>
      <c r="D358" s="352">
        <v>242676.85</v>
      </c>
      <c r="E358" s="352">
        <v>550828.55000000005</v>
      </c>
    </row>
    <row r="359" spans="1:5" ht="13">
      <c r="A359" s="302" t="s">
        <v>1656</v>
      </c>
      <c r="B359" s="352">
        <v>720867.01</v>
      </c>
      <c r="C359" s="302">
        <v>0</v>
      </c>
      <c r="D359" s="352">
        <v>441810.6</v>
      </c>
      <c r="E359" s="352">
        <v>279056.40999999997</v>
      </c>
    </row>
    <row r="360" spans="1:5" ht="13">
      <c r="A360" s="302" t="s">
        <v>964</v>
      </c>
      <c r="B360" s="352">
        <v>834882.93</v>
      </c>
      <c r="C360" s="352">
        <v>156261.97</v>
      </c>
      <c r="D360" s="352">
        <v>336090.08</v>
      </c>
      <c r="E360" s="352">
        <v>342530.88</v>
      </c>
    </row>
    <row r="361" spans="1:5" ht="13">
      <c r="A361" s="302" t="s">
        <v>933</v>
      </c>
      <c r="B361" s="352">
        <v>110238</v>
      </c>
      <c r="C361" s="352">
        <v>110238</v>
      </c>
      <c r="D361" s="302">
        <v>0</v>
      </c>
      <c r="E361" s="302">
        <v>0</v>
      </c>
    </row>
    <row r="362" spans="1:5" ht="13">
      <c r="A362" s="302" t="s">
        <v>381</v>
      </c>
      <c r="B362" s="352">
        <v>10926969.810000001</v>
      </c>
      <c r="C362" s="352">
        <v>3105987.21</v>
      </c>
      <c r="D362" s="352">
        <v>4706171.8899999997</v>
      </c>
      <c r="E362" s="352">
        <v>3114810.71</v>
      </c>
    </row>
    <row r="363" spans="1:5" ht="13">
      <c r="A363" s="302" t="s">
        <v>469</v>
      </c>
      <c r="B363" s="352">
        <v>1018522.34</v>
      </c>
      <c r="C363" s="352">
        <v>180075.06</v>
      </c>
      <c r="D363" s="352">
        <v>638958.04</v>
      </c>
      <c r="E363" s="352">
        <v>199489.24</v>
      </c>
    </row>
    <row r="364" spans="1:5" ht="13">
      <c r="A364" s="302" t="s">
        <v>664</v>
      </c>
      <c r="B364" s="352">
        <v>1168622.06</v>
      </c>
      <c r="C364" s="302">
        <v>0</v>
      </c>
      <c r="D364" s="302">
        <v>0</v>
      </c>
      <c r="E364" s="352">
        <v>1168622.06</v>
      </c>
    </row>
    <row r="365" spans="1:5" ht="13">
      <c r="A365" s="302" t="s">
        <v>77</v>
      </c>
      <c r="B365" s="352">
        <v>2473307.54</v>
      </c>
      <c r="C365" s="302">
        <v>0</v>
      </c>
      <c r="D365" s="302">
        <v>0</v>
      </c>
      <c r="E365" s="352">
        <v>2473307.54</v>
      </c>
    </row>
    <row r="366" spans="1:5" ht="13">
      <c r="A366" s="302" t="s">
        <v>91</v>
      </c>
      <c r="B366" s="352">
        <v>2481624.1800000002</v>
      </c>
      <c r="C366" s="352">
        <v>996763.82</v>
      </c>
      <c r="D366" s="352">
        <v>547631.04</v>
      </c>
      <c r="E366" s="352">
        <v>937229.32</v>
      </c>
    </row>
    <row r="367" spans="1:5" ht="13">
      <c r="A367" s="302" t="s">
        <v>1294</v>
      </c>
      <c r="B367" s="352">
        <v>5511044.8799999999</v>
      </c>
      <c r="C367" s="352">
        <v>1748367.61</v>
      </c>
      <c r="D367" s="352">
        <v>2558860.2400000002</v>
      </c>
      <c r="E367" s="352">
        <v>1203817.03</v>
      </c>
    </row>
    <row r="368" spans="1:5" ht="13">
      <c r="A368" s="302" t="s">
        <v>638</v>
      </c>
      <c r="B368" s="352">
        <v>278215.48</v>
      </c>
      <c r="C368" s="302">
        <v>0</v>
      </c>
      <c r="D368" s="352">
        <v>159222.51999999999</v>
      </c>
      <c r="E368" s="352">
        <v>118992.96000000001</v>
      </c>
    </row>
    <row r="369" spans="1:5" ht="13">
      <c r="A369" s="302" t="s">
        <v>93</v>
      </c>
      <c r="B369" s="352">
        <v>4748869.24</v>
      </c>
      <c r="C369" s="352">
        <v>1268485.6200000001</v>
      </c>
      <c r="D369" s="352">
        <v>2101157.63</v>
      </c>
      <c r="E369" s="352">
        <v>1379226</v>
      </c>
    </row>
    <row r="370" spans="1:5" ht="13">
      <c r="A370" s="302" t="s">
        <v>529</v>
      </c>
      <c r="B370" s="352">
        <v>2297316.2999999998</v>
      </c>
      <c r="C370" s="352">
        <v>789364.84</v>
      </c>
      <c r="D370" s="352">
        <v>1398656.34</v>
      </c>
      <c r="E370" s="352">
        <v>109295.12</v>
      </c>
    </row>
    <row r="371" spans="1:5" ht="13">
      <c r="A371" s="302" t="s">
        <v>105</v>
      </c>
      <c r="B371" s="352">
        <v>1491634.64</v>
      </c>
      <c r="C371" s="352">
        <v>750570.78</v>
      </c>
      <c r="D371" s="352">
        <v>568070</v>
      </c>
      <c r="E371" s="352">
        <v>172993.86</v>
      </c>
    </row>
    <row r="372" spans="1:5" ht="13">
      <c r="A372" s="302" t="s">
        <v>286</v>
      </c>
      <c r="B372" s="352">
        <v>384390.9</v>
      </c>
      <c r="C372" s="302">
        <v>0</v>
      </c>
      <c r="D372" s="352">
        <v>165685.5</v>
      </c>
      <c r="E372" s="352">
        <v>218705.4</v>
      </c>
    </row>
    <row r="373" spans="1:5" ht="13">
      <c r="A373" s="302" t="s">
        <v>702</v>
      </c>
      <c r="B373" s="352">
        <v>3405552.96</v>
      </c>
      <c r="C373" s="352">
        <v>1354330.45</v>
      </c>
      <c r="D373" s="352">
        <v>1606929.27</v>
      </c>
      <c r="E373" s="352">
        <v>444293.24</v>
      </c>
    </row>
    <row r="374" spans="1:5" ht="13">
      <c r="A374" s="302" t="s">
        <v>1657</v>
      </c>
      <c r="B374" s="352">
        <v>192582</v>
      </c>
      <c r="C374" s="302">
        <v>0</v>
      </c>
      <c r="D374" s="302">
        <v>0</v>
      </c>
      <c r="E374" s="352">
        <v>192582</v>
      </c>
    </row>
    <row r="375" spans="1:5" ht="13">
      <c r="A375" s="302" t="s">
        <v>1609</v>
      </c>
      <c r="B375" s="352">
        <v>11582305.779999999</v>
      </c>
      <c r="C375" s="352">
        <v>5349936.26</v>
      </c>
      <c r="D375" s="352">
        <v>3488647.55</v>
      </c>
      <c r="E375" s="352">
        <v>2743721.96</v>
      </c>
    </row>
    <row r="376" spans="1:5" ht="13">
      <c r="A376" s="302" t="s">
        <v>1353</v>
      </c>
      <c r="B376" s="352">
        <v>488535.75</v>
      </c>
      <c r="C376" s="352">
        <v>145050.35999999999</v>
      </c>
      <c r="D376" s="352">
        <v>50981.68</v>
      </c>
      <c r="E376" s="352">
        <v>292503.71000000002</v>
      </c>
    </row>
    <row r="377" spans="1:5" ht="13">
      <c r="A377" s="302" t="s">
        <v>888</v>
      </c>
      <c r="B377" s="352">
        <v>4236889.76</v>
      </c>
      <c r="C377" s="352">
        <v>1381638.36</v>
      </c>
      <c r="D377" s="352">
        <v>1298285.08</v>
      </c>
      <c r="E377" s="352">
        <v>1556966.32</v>
      </c>
    </row>
    <row r="378" spans="1:5" ht="13">
      <c r="A378" s="302" t="s">
        <v>1084</v>
      </c>
      <c r="B378" s="352">
        <v>395582.36</v>
      </c>
      <c r="C378" s="352">
        <v>103225.43</v>
      </c>
      <c r="D378" s="352">
        <v>220391.55</v>
      </c>
      <c r="E378" s="352">
        <v>71965.39</v>
      </c>
    </row>
    <row r="379" spans="1:5" ht="13">
      <c r="A379" s="302" t="s">
        <v>940</v>
      </c>
      <c r="B379" s="352">
        <v>898229.56</v>
      </c>
      <c r="C379" s="302">
        <v>0</v>
      </c>
      <c r="D379" s="352">
        <v>547106.93999999994</v>
      </c>
      <c r="E379" s="352">
        <v>351122.62</v>
      </c>
    </row>
    <row r="380" spans="1:5" ht="13">
      <c r="A380" s="302" t="s">
        <v>1658</v>
      </c>
      <c r="B380" s="352">
        <v>980971.99</v>
      </c>
      <c r="C380" s="352">
        <v>325279.74</v>
      </c>
      <c r="D380" s="352">
        <v>349502.85</v>
      </c>
      <c r="E380" s="352">
        <v>306189.40000000002</v>
      </c>
    </row>
    <row r="381" spans="1:5" ht="13">
      <c r="A381" s="302" t="s">
        <v>1510</v>
      </c>
      <c r="B381" s="352">
        <v>647246.22</v>
      </c>
      <c r="C381" s="352">
        <v>399943.86</v>
      </c>
      <c r="D381" s="302">
        <v>0</v>
      </c>
      <c r="E381" s="352">
        <v>247302.36</v>
      </c>
    </row>
    <row r="382" spans="1:5" ht="13">
      <c r="A382" s="302" t="s">
        <v>428</v>
      </c>
      <c r="B382" s="352">
        <v>2856191.87</v>
      </c>
      <c r="C382" s="352">
        <v>1186519.93</v>
      </c>
      <c r="D382" s="352">
        <v>1123623.8899999999</v>
      </c>
      <c r="E382" s="352">
        <v>546048.05000000005</v>
      </c>
    </row>
    <row r="383" spans="1:5" ht="13">
      <c r="A383" s="302" t="s">
        <v>429</v>
      </c>
      <c r="B383" s="352">
        <v>6937590.9000000004</v>
      </c>
      <c r="C383" s="352">
        <v>2197012.62</v>
      </c>
      <c r="D383" s="352">
        <v>2020580.4</v>
      </c>
      <c r="E383" s="352">
        <v>2719997.89</v>
      </c>
    </row>
    <row r="384" spans="1:5" ht="13">
      <c r="A384" s="302" t="s">
        <v>552</v>
      </c>
      <c r="B384" s="352">
        <v>1117575.29</v>
      </c>
      <c r="C384" s="352">
        <v>433915.92</v>
      </c>
      <c r="D384" s="352">
        <v>331064.34999999998</v>
      </c>
      <c r="E384" s="352">
        <v>352595.03</v>
      </c>
    </row>
    <row r="385" spans="1:5" ht="13">
      <c r="A385" s="302" t="s">
        <v>358</v>
      </c>
      <c r="B385" s="352">
        <v>178346.69</v>
      </c>
      <c r="C385" s="302">
        <v>0</v>
      </c>
      <c r="D385" s="352">
        <v>85701.96</v>
      </c>
      <c r="E385" s="352">
        <v>92644.73</v>
      </c>
    </row>
    <row r="386" spans="1:5" ht="13">
      <c r="A386" s="302" t="s">
        <v>1295</v>
      </c>
      <c r="B386" s="352">
        <v>1765700.64</v>
      </c>
      <c r="C386" s="302">
        <v>0</v>
      </c>
      <c r="D386" s="352">
        <v>658525.01</v>
      </c>
      <c r="E386" s="352">
        <v>1107175.6200000001</v>
      </c>
    </row>
    <row r="387" spans="1:5" ht="13">
      <c r="A387" s="302" t="s">
        <v>818</v>
      </c>
      <c r="B387" s="352">
        <v>222833.84</v>
      </c>
      <c r="C387" s="352">
        <v>134891.99</v>
      </c>
      <c r="D387" s="352">
        <v>87941.85</v>
      </c>
      <c r="E387" s="302">
        <v>0</v>
      </c>
    </row>
    <row r="388" spans="1:5" ht="13">
      <c r="A388" s="302" t="s">
        <v>962</v>
      </c>
      <c r="B388" s="352">
        <v>1136325.44</v>
      </c>
      <c r="C388" s="352">
        <v>256015.44</v>
      </c>
      <c r="D388" s="352">
        <v>176062</v>
      </c>
      <c r="E388" s="352">
        <v>704248</v>
      </c>
    </row>
    <row r="389" spans="1:5" ht="13">
      <c r="A389" s="302" t="s">
        <v>1410</v>
      </c>
      <c r="B389" s="352">
        <v>4931524.2699999996</v>
      </c>
      <c r="C389" s="352">
        <v>1153007.3500000001</v>
      </c>
      <c r="D389" s="352">
        <v>1705172.28</v>
      </c>
      <c r="E389" s="352">
        <v>2073344.64</v>
      </c>
    </row>
    <row r="390" spans="1:5" ht="13">
      <c r="A390" s="302" t="s">
        <v>840</v>
      </c>
      <c r="B390" s="352">
        <v>4840937.34</v>
      </c>
      <c r="C390" s="352">
        <v>1688322.66</v>
      </c>
      <c r="D390" s="352">
        <v>1950554.82</v>
      </c>
      <c r="E390" s="352">
        <v>1202059.8600000001</v>
      </c>
    </row>
    <row r="391" spans="1:5" ht="13">
      <c r="A391" s="302" t="s">
        <v>271</v>
      </c>
      <c r="B391" s="352">
        <v>3628630.61</v>
      </c>
      <c r="C391" s="352">
        <v>1168567.25</v>
      </c>
      <c r="D391" s="352">
        <v>1202408.4099999999</v>
      </c>
      <c r="E391" s="352">
        <v>1257654.95</v>
      </c>
    </row>
    <row r="392" spans="1:5" ht="13">
      <c r="A392" s="302" t="s">
        <v>625</v>
      </c>
      <c r="B392" s="352">
        <v>4137180.36</v>
      </c>
      <c r="C392" s="352">
        <v>1528396.8</v>
      </c>
      <c r="D392" s="352">
        <v>1413147.19</v>
      </c>
      <c r="E392" s="352">
        <v>1195636.3700000001</v>
      </c>
    </row>
    <row r="393" spans="1:5" ht="13">
      <c r="A393" s="302" t="s">
        <v>187</v>
      </c>
      <c r="B393" s="352">
        <v>180349.53</v>
      </c>
      <c r="C393" s="352">
        <v>59637.78</v>
      </c>
      <c r="D393" s="352">
        <v>38536.85</v>
      </c>
      <c r="E393" s="352">
        <v>82174.899999999994</v>
      </c>
    </row>
    <row r="394" spans="1:5" ht="13">
      <c r="A394" s="302" t="s">
        <v>1414</v>
      </c>
      <c r="B394" s="352">
        <v>246633.1</v>
      </c>
      <c r="C394" s="352">
        <v>156953.65</v>
      </c>
      <c r="D394" s="352">
        <v>37122.199999999997</v>
      </c>
      <c r="E394" s="352">
        <v>52557.25</v>
      </c>
    </row>
    <row r="395" spans="1:5" ht="13">
      <c r="A395" s="302" t="s">
        <v>1241</v>
      </c>
      <c r="B395" s="352">
        <v>931530.56</v>
      </c>
      <c r="C395" s="352">
        <v>353873.4</v>
      </c>
      <c r="D395" s="352">
        <v>269182.15999999997</v>
      </c>
      <c r="E395" s="352">
        <v>308475</v>
      </c>
    </row>
    <row r="396" spans="1:5" ht="13">
      <c r="A396" s="302" t="s">
        <v>1212</v>
      </c>
      <c r="B396" s="352">
        <v>1566319.91</v>
      </c>
      <c r="C396" s="352">
        <v>355774.74</v>
      </c>
      <c r="D396" s="352">
        <v>637086.99</v>
      </c>
      <c r="E396" s="352">
        <v>573458.18000000005</v>
      </c>
    </row>
    <row r="397" spans="1:5" ht="13">
      <c r="A397" s="302" t="s">
        <v>463</v>
      </c>
      <c r="B397" s="352">
        <v>1897788.87</v>
      </c>
      <c r="C397" s="352">
        <v>578809.19999999995</v>
      </c>
      <c r="D397" s="352">
        <v>688494.37</v>
      </c>
      <c r="E397" s="352">
        <v>630485.30000000005</v>
      </c>
    </row>
    <row r="398" spans="1:5" ht="13">
      <c r="A398" s="302" t="s">
        <v>461</v>
      </c>
      <c r="B398" s="352">
        <v>196243.49</v>
      </c>
      <c r="C398" s="352">
        <v>43901.85</v>
      </c>
      <c r="D398" s="302">
        <v>0</v>
      </c>
      <c r="E398" s="352">
        <v>152341.64000000001</v>
      </c>
    </row>
    <row r="399" spans="1:5" ht="13">
      <c r="A399" s="302" t="s">
        <v>154</v>
      </c>
      <c r="B399" s="352">
        <v>2291039.44</v>
      </c>
      <c r="C399" s="352">
        <v>598794.56000000006</v>
      </c>
      <c r="D399" s="352">
        <v>766235.6</v>
      </c>
      <c r="E399" s="352">
        <v>926009.28</v>
      </c>
    </row>
    <row r="400" spans="1:5" ht="13">
      <c r="A400" s="302" t="s">
        <v>999</v>
      </c>
      <c r="B400" s="352">
        <v>2912390.59</v>
      </c>
      <c r="C400" s="352">
        <v>603416.44999999995</v>
      </c>
      <c r="D400" s="352">
        <v>759486.87</v>
      </c>
      <c r="E400" s="352">
        <v>1549487.27</v>
      </c>
    </row>
    <row r="401" spans="1:5" ht="13">
      <c r="A401" s="302" t="s">
        <v>1361</v>
      </c>
      <c r="B401" s="352">
        <v>66258.55</v>
      </c>
      <c r="C401" s="302">
        <v>0</v>
      </c>
      <c r="D401" s="302">
        <v>0</v>
      </c>
      <c r="E401" s="352">
        <v>66258.55</v>
      </c>
    </row>
    <row r="402" spans="1:5" ht="13">
      <c r="A402" s="302" t="s">
        <v>321</v>
      </c>
      <c r="B402" s="352">
        <v>7973</v>
      </c>
      <c r="C402" s="352">
        <v>7973</v>
      </c>
      <c r="D402" s="302">
        <v>0</v>
      </c>
      <c r="E402" s="302">
        <v>0</v>
      </c>
    </row>
    <row r="403" spans="1:5" ht="13">
      <c r="A403" s="302" t="s">
        <v>322</v>
      </c>
      <c r="B403" s="352">
        <v>3947806.32</v>
      </c>
      <c r="C403" s="352">
        <v>1167723.74</v>
      </c>
      <c r="D403" s="352">
        <v>1424754.2</v>
      </c>
      <c r="E403" s="352">
        <v>1355328.38</v>
      </c>
    </row>
    <row r="404" spans="1:5" ht="13">
      <c r="A404" s="302" t="s">
        <v>695</v>
      </c>
      <c r="B404" s="352">
        <v>12799929.65</v>
      </c>
      <c r="C404" s="352">
        <v>4023930.44</v>
      </c>
      <c r="D404" s="352">
        <v>3611572.63</v>
      </c>
      <c r="E404" s="352">
        <v>5164426.59</v>
      </c>
    </row>
    <row r="405" spans="1:5" ht="13">
      <c r="A405" s="302" t="s">
        <v>1010</v>
      </c>
      <c r="B405" s="352">
        <v>4805408.2699999996</v>
      </c>
      <c r="C405" s="352">
        <v>1368837.39</v>
      </c>
      <c r="D405" s="352">
        <v>1671387.19</v>
      </c>
      <c r="E405" s="352">
        <v>1765183.69</v>
      </c>
    </row>
    <row r="406" spans="1:5" ht="13">
      <c r="A406" s="302" t="s">
        <v>478</v>
      </c>
      <c r="B406" s="352">
        <v>143125.35</v>
      </c>
      <c r="C406" s="302">
        <v>0</v>
      </c>
      <c r="D406" s="352">
        <v>143125.35</v>
      </c>
      <c r="E406" s="302">
        <v>0</v>
      </c>
    </row>
    <row r="407" spans="1:5" ht="13">
      <c r="A407" s="302" t="s">
        <v>462</v>
      </c>
      <c r="B407" s="352">
        <v>220649.53</v>
      </c>
      <c r="C407" s="352">
        <v>54192.7</v>
      </c>
      <c r="D407" s="352">
        <v>98175.03</v>
      </c>
      <c r="E407" s="352">
        <v>68281.8</v>
      </c>
    </row>
    <row r="408" spans="1:5" ht="13">
      <c r="A408" s="302" t="s">
        <v>323</v>
      </c>
      <c r="B408" s="352">
        <v>2179834.42</v>
      </c>
      <c r="C408" s="352">
        <v>778497.29</v>
      </c>
      <c r="D408" s="352">
        <v>543929.25</v>
      </c>
      <c r="E408" s="352">
        <v>857407.88</v>
      </c>
    </row>
    <row r="409" spans="1:5" ht="13">
      <c r="A409" s="302" t="s">
        <v>188</v>
      </c>
      <c r="B409" s="352">
        <v>823608.85</v>
      </c>
      <c r="C409" s="352">
        <v>175698.8</v>
      </c>
      <c r="D409" s="352">
        <v>64399.81</v>
      </c>
      <c r="E409" s="352">
        <v>583510.25</v>
      </c>
    </row>
    <row r="410" spans="1:5" ht="13">
      <c r="A410" s="302" t="s">
        <v>1007</v>
      </c>
      <c r="B410" s="352">
        <v>2140421.16</v>
      </c>
      <c r="C410" s="352">
        <v>1049374.57</v>
      </c>
      <c r="D410" s="352">
        <v>412711.86</v>
      </c>
      <c r="E410" s="352">
        <v>678334.73</v>
      </c>
    </row>
    <row r="411" spans="1:5" ht="13">
      <c r="A411" s="302" t="s">
        <v>925</v>
      </c>
      <c r="B411" s="352">
        <v>3621825.33</v>
      </c>
      <c r="C411" s="352">
        <v>86924</v>
      </c>
      <c r="D411" s="352">
        <v>3070347.53</v>
      </c>
      <c r="E411" s="352">
        <v>464553.81</v>
      </c>
    </row>
    <row r="412" spans="1:5" ht="13">
      <c r="A412" s="302" t="s">
        <v>1659</v>
      </c>
      <c r="B412" s="352">
        <v>3250582.31</v>
      </c>
      <c r="C412" s="352">
        <v>761345.51</v>
      </c>
      <c r="D412" s="352">
        <v>1922266.55</v>
      </c>
      <c r="E412" s="352">
        <v>566970.26</v>
      </c>
    </row>
    <row r="413" spans="1:5" ht="13">
      <c r="A413" s="302" t="s">
        <v>395</v>
      </c>
      <c r="B413" s="352">
        <v>4284660.96</v>
      </c>
      <c r="C413" s="352">
        <v>1854144.22</v>
      </c>
      <c r="D413" s="352">
        <v>1793178.5</v>
      </c>
      <c r="E413" s="352">
        <v>637338.24</v>
      </c>
    </row>
    <row r="414" spans="1:5" ht="13">
      <c r="A414" s="302" t="s">
        <v>582</v>
      </c>
      <c r="B414" s="352">
        <v>713293.03</v>
      </c>
      <c r="C414" s="352">
        <v>224056</v>
      </c>
      <c r="D414" s="302">
        <v>0</v>
      </c>
      <c r="E414" s="352">
        <v>489237.03</v>
      </c>
    </row>
    <row r="415" spans="1:5" ht="13">
      <c r="A415" s="302" t="s">
        <v>842</v>
      </c>
      <c r="B415" s="352">
        <v>9786612.4700000007</v>
      </c>
      <c r="C415" s="352">
        <v>3323322.08</v>
      </c>
      <c r="D415" s="352">
        <v>331749.45</v>
      </c>
      <c r="E415" s="352">
        <v>6131540.9400000004</v>
      </c>
    </row>
    <row r="416" spans="1:5" ht="13">
      <c r="A416" s="302" t="s">
        <v>843</v>
      </c>
      <c r="B416" s="352">
        <v>861100.14</v>
      </c>
      <c r="C416" s="352">
        <v>339829.52</v>
      </c>
      <c r="D416" s="352">
        <v>124781.05</v>
      </c>
      <c r="E416" s="352">
        <v>396489.57</v>
      </c>
    </row>
    <row r="417" spans="1:5" ht="13">
      <c r="A417" s="302" t="s">
        <v>1019</v>
      </c>
      <c r="B417" s="352">
        <v>885111.34</v>
      </c>
      <c r="C417" s="352">
        <v>220457.34</v>
      </c>
      <c r="D417" s="302">
        <v>0</v>
      </c>
      <c r="E417" s="352">
        <v>664654</v>
      </c>
    </row>
    <row r="418" spans="1:5" ht="13">
      <c r="A418" s="302" t="s">
        <v>1137</v>
      </c>
      <c r="B418" s="352">
        <v>4370334.03</v>
      </c>
      <c r="C418" s="352">
        <v>1460073.36</v>
      </c>
      <c r="D418" s="352">
        <v>947116.3</v>
      </c>
      <c r="E418" s="352">
        <v>1963144.37</v>
      </c>
    </row>
    <row r="419" spans="1:5" ht="13">
      <c r="A419" s="302" t="s">
        <v>858</v>
      </c>
      <c r="B419" s="352">
        <v>2378804.7799999998</v>
      </c>
      <c r="C419" s="352">
        <v>996313.34</v>
      </c>
      <c r="D419" s="352">
        <v>689124.3</v>
      </c>
      <c r="E419" s="352">
        <v>693367.15</v>
      </c>
    </row>
    <row r="420" spans="1:5" ht="13">
      <c r="A420" s="302" t="s">
        <v>294</v>
      </c>
      <c r="B420" s="352">
        <v>416951.06</v>
      </c>
      <c r="C420" s="302">
        <v>0</v>
      </c>
      <c r="D420" s="352">
        <v>416951.06</v>
      </c>
      <c r="E420" s="302">
        <v>0</v>
      </c>
    </row>
    <row r="421" spans="1:5" ht="13">
      <c r="A421" s="302" t="s">
        <v>267</v>
      </c>
      <c r="B421" s="352">
        <v>16166318.58</v>
      </c>
      <c r="C421" s="352">
        <v>6092325.8600000003</v>
      </c>
      <c r="D421" s="352">
        <v>7257106.0099999998</v>
      </c>
      <c r="E421" s="352">
        <v>2816886.71</v>
      </c>
    </row>
    <row r="422" spans="1:5" ht="13">
      <c r="A422" s="302" t="s">
        <v>287</v>
      </c>
      <c r="B422" s="352">
        <v>2764985</v>
      </c>
      <c r="C422" s="352">
        <v>898143.62</v>
      </c>
      <c r="D422" s="352">
        <v>470422.16</v>
      </c>
      <c r="E422" s="352">
        <v>1396419.22</v>
      </c>
    </row>
    <row r="423" spans="1:5" ht="13">
      <c r="A423" s="302" t="s">
        <v>324</v>
      </c>
      <c r="B423" s="352">
        <v>1705061.03</v>
      </c>
      <c r="C423" s="352">
        <v>554910.75</v>
      </c>
      <c r="D423" s="352">
        <v>408712.28</v>
      </c>
      <c r="E423" s="352">
        <v>741438</v>
      </c>
    </row>
    <row r="424" spans="1:5" ht="13">
      <c r="A424" s="302" t="s">
        <v>95</v>
      </c>
      <c r="B424" s="352">
        <v>2138302.06</v>
      </c>
      <c r="C424" s="352">
        <v>800917.3</v>
      </c>
      <c r="D424" s="352">
        <v>820891.53</v>
      </c>
      <c r="E424" s="352">
        <v>516493.23</v>
      </c>
    </row>
    <row r="425" spans="1:5" ht="13">
      <c r="A425" s="302" t="s">
        <v>996</v>
      </c>
      <c r="B425" s="352">
        <v>5935649.6399999997</v>
      </c>
      <c r="C425" s="352">
        <v>1992588.99</v>
      </c>
      <c r="D425" s="352">
        <v>1269219.48</v>
      </c>
      <c r="E425" s="352">
        <v>2673841.17</v>
      </c>
    </row>
    <row r="426" spans="1:5" ht="13">
      <c r="A426" s="302" t="s">
        <v>868</v>
      </c>
      <c r="B426" s="352">
        <v>1308405.79</v>
      </c>
      <c r="C426" s="352">
        <v>399051.85</v>
      </c>
      <c r="D426" s="352">
        <v>394537.83</v>
      </c>
      <c r="E426" s="352">
        <v>514816.12</v>
      </c>
    </row>
    <row r="427" spans="1:5" ht="13">
      <c r="A427" s="302" t="s">
        <v>1242</v>
      </c>
      <c r="B427" s="352">
        <v>483450.32</v>
      </c>
      <c r="C427" s="352">
        <v>313987.28000000003</v>
      </c>
      <c r="D427" s="302">
        <v>0</v>
      </c>
      <c r="E427" s="352">
        <v>169463.04000000001</v>
      </c>
    </row>
    <row r="428" spans="1:5" ht="13">
      <c r="A428" s="302" t="s">
        <v>1105</v>
      </c>
      <c r="B428" s="352">
        <v>1489162.4</v>
      </c>
      <c r="C428" s="352">
        <v>683105.92</v>
      </c>
      <c r="D428" s="352">
        <v>522518.8</v>
      </c>
      <c r="E428" s="352">
        <v>283537.68</v>
      </c>
    </row>
    <row r="429" spans="1:5" ht="13">
      <c r="A429" s="302" t="s">
        <v>753</v>
      </c>
      <c r="B429" s="352">
        <v>5870892.6500000004</v>
      </c>
      <c r="C429" s="352">
        <v>2269204.0699999998</v>
      </c>
      <c r="D429" s="352">
        <v>1766756.57</v>
      </c>
      <c r="E429" s="352">
        <v>1834932.01</v>
      </c>
    </row>
    <row r="430" spans="1:5" ht="13">
      <c r="A430" s="302" t="s">
        <v>190</v>
      </c>
      <c r="B430" s="352">
        <v>7110399.2999999998</v>
      </c>
      <c r="C430" s="352">
        <v>1846661.46</v>
      </c>
      <c r="D430" s="352">
        <v>2372533.9</v>
      </c>
      <c r="E430" s="352">
        <v>2891203.95</v>
      </c>
    </row>
    <row r="431" spans="1:5" ht="13">
      <c r="A431" s="302" t="s">
        <v>1337</v>
      </c>
      <c r="B431" s="352">
        <v>4466220.6100000003</v>
      </c>
      <c r="C431" s="352">
        <v>619647.25</v>
      </c>
      <c r="D431" s="352">
        <v>3304847.27</v>
      </c>
      <c r="E431" s="352">
        <v>541726.1</v>
      </c>
    </row>
    <row r="432" spans="1:5" ht="13">
      <c r="A432" s="302" t="s">
        <v>1085</v>
      </c>
      <c r="B432" s="352">
        <v>288355.75</v>
      </c>
      <c r="C432" s="302">
        <v>0</v>
      </c>
      <c r="D432" s="352">
        <v>136254.23000000001</v>
      </c>
      <c r="E432" s="352">
        <v>152101.53</v>
      </c>
    </row>
    <row r="433" spans="1:5" ht="13">
      <c r="A433" s="302" t="s">
        <v>191</v>
      </c>
      <c r="B433" s="352">
        <v>1542425.8</v>
      </c>
      <c r="C433" s="352">
        <v>579467.18000000005</v>
      </c>
      <c r="D433" s="352">
        <v>540249.52</v>
      </c>
      <c r="E433" s="352">
        <v>422709.1</v>
      </c>
    </row>
    <row r="434" spans="1:5" ht="13">
      <c r="A434" s="302" t="s">
        <v>430</v>
      </c>
      <c r="B434" s="352">
        <v>3590553.38</v>
      </c>
      <c r="C434" s="352">
        <v>846622.4</v>
      </c>
      <c r="D434" s="352">
        <v>1007571.02</v>
      </c>
      <c r="E434" s="352">
        <v>1736359.96</v>
      </c>
    </row>
    <row r="435" spans="1:5" ht="13">
      <c r="A435" s="302" t="s">
        <v>855</v>
      </c>
      <c r="B435" s="352">
        <v>17197614.719999999</v>
      </c>
      <c r="C435" s="352">
        <v>6019658.46</v>
      </c>
      <c r="D435" s="352">
        <v>6050063.8399999999</v>
      </c>
      <c r="E435" s="352">
        <v>5127892.41</v>
      </c>
    </row>
    <row r="436" spans="1:5" ht="13">
      <c r="A436" s="302" t="s">
        <v>1316</v>
      </c>
      <c r="B436" s="352">
        <v>1390929.18</v>
      </c>
      <c r="C436" s="352">
        <v>276909.7</v>
      </c>
      <c r="D436" s="352">
        <v>489571.43</v>
      </c>
      <c r="E436" s="352">
        <v>624448.05000000005</v>
      </c>
    </row>
    <row r="437" spans="1:5" ht="13">
      <c r="A437" s="302" t="s">
        <v>1315</v>
      </c>
      <c r="B437" s="352">
        <v>7791369.7599999998</v>
      </c>
      <c r="C437" s="352">
        <v>3697483.93</v>
      </c>
      <c r="D437" s="352">
        <v>2251032.9300000002</v>
      </c>
      <c r="E437" s="352">
        <v>1842852.9</v>
      </c>
    </row>
    <row r="438" spans="1:5" ht="13">
      <c r="A438" s="302" t="s">
        <v>756</v>
      </c>
      <c r="B438" s="352">
        <v>1929987.04</v>
      </c>
      <c r="C438" s="352">
        <v>568442.48</v>
      </c>
      <c r="D438" s="352">
        <v>533229.76</v>
      </c>
      <c r="E438" s="352">
        <v>828314.8</v>
      </c>
    </row>
    <row r="439" spans="1:5" ht="13">
      <c r="A439" s="302" t="s">
        <v>1132</v>
      </c>
      <c r="B439" s="352">
        <v>13482104.199999999</v>
      </c>
      <c r="C439" s="352">
        <v>9827319.4199999999</v>
      </c>
      <c r="D439" s="352">
        <v>2405719.02</v>
      </c>
      <c r="E439" s="352">
        <v>1249065.75</v>
      </c>
    </row>
    <row r="440" spans="1:5" ht="13">
      <c r="A440" s="302" t="s">
        <v>1411</v>
      </c>
      <c r="B440" s="352">
        <v>2132989.87</v>
      </c>
      <c r="C440" s="352">
        <v>369463.02</v>
      </c>
      <c r="D440" s="352">
        <v>941927.28</v>
      </c>
      <c r="E440" s="352">
        <v>821599.57</v>
      </c>
    </row>
    <row r="441" spans="1:5" ht="13">
      <c r="A441" s="302" t="s">
        <v>1233</v>
      </c>
      <c r="B441" s="352">
        <v>129587.22</v>
      </c>
      <c r="C441" s="302">
        <v>0</v>
      </c>
      <c r="D441" s="302">
        <v>0</v>
      </c>
      <c r="E441" s="352">
        <v>129587.22</v>
      </c>
    </row>
    <row r="442" spans="1:5" ht="13">
      <c r="A442" s="302" t="s">
        <v>612</v>
      </c>
      <c r="B442" s="352">
        <v>336366.6</v>
      </c>
      <c r="C442" s="352">
        <v>208744.21</v>
      </c>
      <c r="D442" s="352">
        <v>127622.38</v>
      </c>
      <c r="E442" s="302">
        <v>0</v>
      </c>
    </row>
    <row r="443" spans="1:5" ht="13">
      <c r="A443" s="302" t="s">
        <v>300</v>
      </c>
      <c r="B443" s="352">
        <v>28197.52</v>
      </c>
      <c r="C443" s="302">
        <v>0</v>
      </c>
      <c r="D443" s="352">
        <v>28197.52</v>
      </c>
      <c r="E443" s="302">
        <v>0</v>
      </c>
    </row>
    <row r="444" spans="1:5" ht="13">
      <c r="A444" s="302" t="s">
        <v>1073</v>
      </c>
      <c r="B444" s="352">
        <v>161166.5</v>
      </c>
      <c r="C444" s="352">
        <v>125919.71</v>
      </c>
      <c r="D444" s="302">
        <v>0</v>
      </c>
      <c r="E444" s="352">
        <v>35246.79</v>
      </c>
    </row>
    <row r="445" spans="1:5" ht="13">
      <c r="A445" s="302" t="s">
        <v>1148</v>
      </c>
      <c r="B445" s="352">
        <v>6461472.3700000001</v>
      </c>
      <c r="C445" s="352">
        <v>1870765.61</v>
      </c>
      <c r="D445" s="352">
        <v>1942829.37</v>
      </c>
      <c r="E445" s="352">
        <v>2647877.39</v>
      </c>
    </row>
    <row r="446" spans="1:5" ht="13">
      <c r="A446" s="302" t="s">
        <v>1623</v>
      </c>
      <c r="B446" s="302">
        <v>0</v>
      </c>
      <c r="C446" s="302">
        <v>0</v>
      </c>
      <c r="D446" s="302">
        <v>0</v>
      </c>
      <c r="E446" s="302">
        <v>0</v>
      </c>
    </row>
    <row r="447" spans="1:5" ht="13">
      <c r="A447" s="302" t="s">
        <v>1439</v>
      </c>
      <c r="B447" s="352">
        <v>343526.5</v>
      </c>
      <c r="C447" s="352">
        <v>343526.5</v>
      </c>
      <c r="D447" s="302">
        <v>0</v>
      </c>
      <c r="E447" s="302">
        <v>0</v>
      </c>
    </row>
    <row r="448" spans="1:5" ht="13">
      <c r="A448" s="302" t="s">
        <v>1040</v>
      </c>
      <c r="B448" s="352">
        <v>1878832.06</v>
      </c>
      <c r="C448" s="352">
        <v>990224.36</v>
      </c>
      <c r="D448" s="352">
        <v>602342.5</v>
      </c>
      <c r="E448" s="352">
        <v>286265.2</v>
      </c>
    </row>
    <row r="449" spans="1:5" ht="13">
      <c r="A449" s="302" t="s">
        <v>1296</v>
      </c>
      <c r="B449" s="352">
        <v>1762021.05</v>
      </c>
      <c r="C449" s="352">
        <v>514829.44</v>
      </c>
      <c r="D449" s="352">
        <v>646090.30000000005</v>
      </c>
      <c r="E449" s="352">
        <v>601101.31000000006</v>
      </c>
    </row>
    <row r="450" spans="1:5" ht="13">
      <c r="A450" s="302" t="s">
        <v>192</v>
      </c>
      <c r="B450" s="352">
        <v>160885.12</v>
      </c>
      <c r="C450" s="352">
        <v>46531.199999999997</v>
      </c>
      <c r="D450" s="352">
        <v>65699.3</v>
      </c>
      <c r="E450" s="352">
        <v>48654.62</v>
      </c>
    </row>
    <row r="451" spans="1:5" ht="13">
      <c r="A451" s="302" t="s">
        <v>119</v>
      </c>
      <c r="B451" s="352">
        <v>174562.12</v>
      </c>
      <c r="C451" s="352">
        <v>29692.720000000001</v>
      </c>
      <c r="D451" s="302">
        <v>0</v>
      </c>
      <c r="E451" s="352">
        <v>144869.4</v>
      </c>
    </row>
    <row r="452" spans="1:5" ht="13">
      <c r="A452" s="302" t="s">
        <v>408</v>
      </c>
      <c r="B452" s="352">
        <v>6242183.8600000003</v>
      </c>
      <c r="C452" s="352">
        <v>1740327.37</v>
      </c>
      <c r="D452" s="352">
        <v>1677774</v>
      </c>
      <c r="E452" s="352">
        <v>2824082.48</v>
      </c>
    </row>
    <row r="453" spans="1:5" ht="13">
      <c r="A453" s="302" t="s">
        <v>1516</v>
      </c>
      <c r="B453" s="352">
        <v>159976.09</v>
      </c>
      <c r="C453" s="352">
        <v>159976.09</v>
      </c>
      <c r="D453" s="302">
        <v>0</v>
      </c>
      <c r="E453" s="302">
        <v>0</v>
      </c>
    </row>
    <row r="454" spans="1:5" ht="13">
      <c r="A454" s="302" t="s">
        <v>1453</v>
      </c>
      <c r="B454" s="352">
        <v>825387.38</v>
      </c>
      <c r="C454" s="352">
        <v>250355.59</v>
      </c>
      <c r="D454" s="352">
        <v>291764.95</v>
      </c>
      <c r="E454" s="352">
        <v>283266.84000000003</v>
      </c>
    </row>
    <row r="455" spans="1:5" ht="13">
      <c r="A455" s="302" t="s">
        <v>1160</v>
      </c>
      <c r="B455" s="352">
        <v>184024.32000000001</v>
      </c>
      <c r="C455" s="352">
        <v>184024.32000000001</v>
      </c>
      <c r="D455" s="302">
        <v>0</v>
      </c>
      <c r="E455" s="302">
        <v>0</v>
      </c>
    </row>
    <row r="456" spans="1:5" ht="13">
      <c r="A456" s="302" t="s">
        <v>583</v>
      </c>
      <c r="B456" s="352">
        <v>358411.28</v>
      </c>
      <c r="C456" s="352">
        <v>202571.68</v>
      </c>
      <c r="D456" s="302">
        <v>0</v>
      </c>
      <c r="E456" s="352">
        <v>155839.6</v>
      </c>
    </row>
    <row r="457" spans="1:5" ht="13">
      <c r="A457" s="302" t="s">
        <v>193</v>
      </c>
      <c r="B457" s="352">
        <v>37118.400000000001</v>
      </c>
      <c r="C457" s="352">
        <v>37118.400000000001</v>
      </c>
      <c r="D457" s="302">
        <v>0</v>
      </c>
      <c r="E457" s="302">
        <v>0</v>
      </c>
    </row>
    <row r="458" spans="1:5" ht="13">
      <c r="A458" s="302" t="s">
        <v>897</v>
      </c>
      <c r="B458" s="352">
        <v>1043248.67</v>
      </c>
      <c r="C458" s="352">
        <v>637089.47</v>
      </c>
      <c r="D458" s="352">
        <v>253218.76</v>
      </c>
      <c r="E458" s="352">
        <v>152940.44</v>
      </c>
    </row>
    <row r="459" spans="1:5" ht="13">
      <c r="A459" s="302" t="s">
        <v>781</v>
      </c>
      <c r="B459" s="352">
        <v>661468.52</v>
      </c>
      <c r="C459" s="352">
        <v>218644.74</v>
      </c>
      <c r="D459" s="352">
        <v>171752.85</v>
      </c>
      <c r="E459" s="352">
        <v>271070.93</v>
      </c>
    </row>
    <row r="460" spans="1:5" ht="13">
      <c r="A460" s="302" t="s">
        <v>838</v>
      </c>
      <c r="B460" s="352">
        <v>70184586.299999997</v>
      </c>
      <c r="C460" s="352">
        <v>21720630.199999999</v>
      </c>
      <c r="D460" s="352">
        <v>19991728.510000002</v>
      </c>
      <c r="E460" s="352">
        <v>28472227.59</v>
      </c>
    </row>
    <row r="461" spans="1:5" ht="13">
      <c r="A461" s="302" t="s">
        <v>391</v>
      </c>
      <c r="B461" s="352">
        <v>9341188.3399999999</v>
      </c>
      <c r="C461" s="352">
        <v>2051475.78</v>
      </c>
      <c r="D461" s="352">
        <v>3369042.48</v>
      </c>
      <c r="E461" s="352">
        <v>3920670.07</v>
      </c>
    </row>
    <row r="462" spans="1:5" ht="13">
      <c r="A462" s="302" t="s">
        <v>1529</v>
      </c>
      <c r="B462" s="352">
        <v>83475.88</v>
      </c>
      <c r="C462" s="302">
        <v>0</v>
      </c>
      <c r="D462" s="352">
        <v>83475.88</v>
      </c>
      <c r="E462" s="302">
        <v>0</v>
      </c>
    </row>
    <row r="463" spans="1:5" ht="13">
      <c r="A463" s="302" t="s">
        <v>380</v>
      </c>
      <c r="B463" s="352">
        <v>1564875.08</v>
      </c>
      <c r="C463" s="352">
        <v>43284.33</v>
      </c>
      <c r="D463" s="352">
        <v>1208759.1299999999</v>
      </c>
      <c r="E463" s="352">
        <v>312831.62</v>
      </c>
    </row>
    <row r="464" spans="1:5" ht="13">
      <c r="A464" s="302" t="s">
        <v>1408</v>
      </c>
      <c r="B464" s="352">
        <v>1608998.92</v>
      </c>
      <c r="C464" s="352">
        <v>342477.85</v>
      </c>
      <c r="D464" s="352">
        <v>258187.45</v>
      </c>
      <c r="E464" s="352">
        <v>1008333.61</v>
      </c>
    </row>
    <row r="465" spans="1:5" ht="13">
      <c r="A465" s="302" t="s">
        <v>1065</v>
      </c>
      <c r="B465" s="352">
        <v>508332.05</v>
      </c>
      <c r="C465" s="352">
        <v>243508.85</v>
      </c>
      <c r="D465" s="302">
        <v>0</v>
      </c>
      <c r="E465" s="352">
        <v>264823.2</v>
      </c>
    </row>
    <row r="466" spans="1:5" ht="13">
      <c r="A466" s="302" t="s">
        <v>1317</v>
      </c>
      <c r="B466" s="352">
        <v>4695995.75</v>
      </c>
      <c r="C466" s="352">
        <v>2539193.58</v>
      </c>
      <c r="D466" s="352">
        <v>1795981.01</v>
      </c>
      <c r="E466" s="352">
        <v>360821.17</v>
      </c>
    </row>
    <row r="467" spans="1:5" ht="13">
      <c r="A467" s="302" t="s">
        <v>1521</v>
      </c>
      <c r="B467" s="352">
        <v>76277.86</v>
      </c>
      <c r="C467" s="352">
        <v>-10447.709999999999</v>
      </c>
      <c r="D467" s="352">
        <v>16788.240000000002</v>
      </c>
      <c r="E467" s="352">
        <v>69937.320000000007</v>
      </c>
    </row>
    <row r="468" spans="1:5" ht="13">
      <c r="A468" s="302" t="s">
        <v>782</v>
      </c>
      <c r="B468" s="352">
        <v>578862.73</v>
      </c>
      <c r="C468" s="352">
        <v>124680.34</v>
      </c>
      <c r="D468" s="352">
        <v>73924.740000000005</v>
      </c>
      <c r="E468" s="352">
        <v>380257.66</v>
      </c>
    </row>
    <row r="469" spans="1:5" ht="13">
      <c r="A469" s="302" t="s">
        <v>909</v>
      </c>
      <c r="B469" s="352">
        <v>291106.32</v>
      </c>
      <c r="C469" s="352">
        <v>291106.32</v>
      </c>
      <c r="D469" s="302">
        <v>0</v>
      </c>
      <c r="E469" s="302">
        <v>0</v>
      </c>
    </row>
    <row r="470" spans="1:5" ht="13">
      <c r="A470" s="302" t="s">
        <v>409</v>
      </c>
      <c r="B470" s="352">
        <v>16598.52</v>
      </c>
      <c r="C470" s="302">
        <v>0</v>
      </c>
      <c r="D470" s="352">
        <v>16598.52</v>
      </c>
      <c r="E470" s="302">
        <v>0</v>
      </c>
    </row>
    <row r="471" spans="1:5" ht="13">
      <c r="A471" s="302" t="s">
        <v>669</v>
      </c>
      <c r="B471" s="352">
        <v>794281.73</v>
      </c>
      <c r="C471" s="352">
        <v>329273.40000000002</v>
      </c>
      <c r="D471" s="352">
        <v>66582</v>
      </c>
      <c r="E471" s="352">
        <v>398426.33</v>
      </c>
    </row>
    <row r="472" spans="1:5" ht="13">
      <c r="A472" s="302" t="s">
        <v>68</v>
      </c>
      <c r="B472" s="352">
        <v>24953340.27</v>
      </c>
      <c r="C472" s="352">
        <v>7359598.0499999998</v>
      </c>
      <c r="D472" s="352">
        <v>8741529.3300000001</v>
      </c>
      <c r="E472" s="352">
        <v>8852212.8900000006</v>
      </c>
    </row>
    <row r="473" spans="1:5" ht="13">
      <c r="A473" s="302" t="s">
        <v>783</v>
      </c>
      <c r="B473" s="352">
        <v>272653.28000000003</v>
      </c>
      <c r="C473" s="352">
        <v>88645.87</v>
      </c>
      <c r="D473" s="352">
        <v>113277.4</v>
      </c>
      <c r="E473" s="352">
        <v>70730.009999999995</v>
      </c>
    </row>
    <row r="474" spans="1:5" ht="13">
      <c r="A474" s="302" t="s">
        <v>1454</v>
      </c>
      <c r="B474" s="352">
        <v>2976783.06</v>
      </c>
      <c r="C474" s="352">
        <v>1251332.52</v>
      </c>
      <c r="D474" s="352">
        <v>1725450.54</v>
      </c>
      <c r="E474" s="302">
        <v>0</v>
      </c>
    </row>
    <row r="475" spans="1:5" ht="13">
      <c r="A475" s="302" t="s">
        <v>113</v>
      </c>
      <c r="B475" s="352">
        <v>11659391.609999999</v>
      </c>
      <c r="C475" s="352">
        <v>2466973.36</v>
      </c>
      <c r="D475" s="352">
        <v>5067564.8899999997</v>
      </c>
      <c r="E475" s="352">
        <v>4124853.36</v>
      </c>
    </row>
    <row r="476" spans="1:5" ht="13">
      <c r="A476" s="302" t="s">
        <v>389</v>
      </c>
      <c r="B476" s="352">
        <v>5354929.13</v>
      </c>
      <c r="C476" s="352">
        <v>1349334.69</v>
      </c>
      <c r="D476" s="352">
        <v>2180926.31</v>
      </c>
      <c r="E476" s="352">
        <v>1824668.13</v>
      </c>
    </row>
    <row r="477" spans="1:5" ht="13">
      <c r="A477" s="302" t="s">
        <v>1558</v>
      </c>
      <c r="B477" s="352">
        <v>5653387.2000000002</v>
      </c>
      <c r="C477" s="302">
        <v>0</v>
      </c>
      <c r="D477" s="352">
        <v>4225488</v>
      </c>
      <c r="E477" s="352">
        <v>1427899.2</v>
      </c>
    </row>
    <row r="478" spans="1:5" ht="13">
      <c r="A478" s="302" t="s">
        <v>1440</v>
      </c>
      <c r="B478" s="352">
        <v>280521.43</v>
      </c>
      <c r="C478" s="352">
        <v>123291.45</v>
      </c>
      <c r="D478" s="302">
        <v>0</v>
      </c>
      <c r="E478" s="352">
        <v>157229.98000000001</v>
      </c>
    </row>
    <row r="479" spans="1:5" ht="13">
      <c r="A479" s="302" t="s">
        <v>1103</v>
      </c>
      <c r="B479" s="352">
        <v>1476099.39</v>
      </c>
      <c r="C479" s="352">
        <v>554177.18000000005</v>
      </c>
      <c r="D479" s="352">
        <v>310607.46999999997</v>
      </c>
      <c r="E479" s="352">
        <v>611314.74</v>
      </c>
    </row>
    <row r="480" spans="1:5" ht="13">
      <c r="A480" s="302" t="s">
        <v>919</v>
      </c>
      <c r="B480" s="352">
        <v>715630.83</v>
      </c>
      <c r="C480" s="352">
        <v>276086</v>
      </c>
      <c r="D480" s="352">
        <v>287233.68</v>
      </c>
      <c r="E480" s="352">
        <v>152311.15</v>
      </c>
    </row>
    <row r="481" spans="1:5" ht="13">
      <c r="A481" s="302" t="s">
        <v>1393</v>
      </c>
      <c r="B481" s="352">
        <v>34367.919999999998</v>
      </c>
      <c r="C481" s="352">
        <v>34367.919999999998</v>
      </c>
      <c r="D481" s="302">
        <v>0</v>
      </c>
      <c r="E481" s="302">
        <v>0</v>
      </c>
    </row>
    <row r="482" spans="1:5" ht="13">
      <c r="A482" s="302" t="s">
        <v>584</v>
      </c>
      <c r="B482" s="352">
        <v>182655.35999999999</v>
      </c>
      <c r="C482" s="302">
        <v>0</v>
      </c>
      <c r="D482" s="352">
        <v>182655.35999999999</v>
      </c>
      <c r="E482" s="302">
        <v>0</v>
      </c>
    </row>
    <row r="483" spans="1:5" ht="13">
      <c r="A483" s="302" t="s">
        <v>614</v>
      </c>
      <c r="B483" s="352">
        <v>350114.62</v>
      </c>
      <c r="C483" s="352">
        <v>278955.65999999997</v>
      </c>
      <c r="D483" s="352">
        <v>71158.960000000006</v>
      </c>
      <c r="E483" s="302">
        <v>0</v>
      </c>
    </row>
    <row r="484" spans="1:5" ht="13">
      <c r="A484" s="302" t="s">
        <v>196</v>
      </c>
      <c r="B484" s="352">
        <v>142524.9</v>
      </c>
      <c r="C484" s="352">
        <v>27550.82</v>
      </c>
      <c r="D484" s="352">
        <v>30030.39</v>
      </c>
      <c r="E484" s="352">
        <v>84943.69</v>
      </c>
    </row>
    <row r="485" spans="1:5" ht="13">
      <c r="A485" s="302" t="s">
        <v>1344</v>
      </c>
      <c r="B485" s="352">
        <v>197571.51</v>
      </c>
      <c r="C485" s="302">
        <v>0</v>
      </c>
      <c r="D485" s="352">
        <v>197571.51</v>
      </c>
      <c r="E485" s="302">
        <v>0</v>
      </c>
    </row>
    <row r="486" spans="1:5" ht="13">
      <c r="A486" s="302" t="s">
        <v>531</v>
      </c>
      <c r="B486" s="352">
        <v>7139775.8300000001</v>
      </c>
      <c r="C486" s="352">
        <v>4075575.81</v>
      </c>
      <c r="D486" s="352">
        <v>1637205.91</v>
      </c>
      <c r="E486" s="352">
        <v>1426994.1</v>
      </c>
    </row>
    <row r="487" spans="1:5" ht="13">
      <c r="A487" s="302" t="s">
        <v>1149</v>
      </c>
      <c r="B487" s="352">
        <v>1112850.56</v>
      </c>
      <c r="C487" s="352">
        <v>216061.6</v>
      </c>
      <c r="D487" s="352">
        <v>381943.2</v>
      </c>
      <c r="E487" s="352">
        <v>514845.76</v>
      </c>
    </row>
    <row r="488" spans="1:5" ht="13">
      <c r="A488" s="302" t="s">
        <v>1660</v>
      </c>
      <c r="B488" s="352">
        <v>17963.349999999999</v>
      </c>
      <c r="C488" s="302">
        <v>0</v>
      </c>
      <c r="D488" s="352">
        <v>17963.349999999999</v>
      </c>
      <c r="E488" s="302">
        <v>0</v>
      </c>
    </row>
    <row r="489" spans="1:5" ht="13">
      <c r="A489" s="302" t="s">
        <v>1362</v>
      </c>
      <c r="B489" s="352">
        <v>822461.6</v>
      </c>
      <c r="C489" s="352">
        <v>188023.46</v>
      </c>
      <c r="D489" s="352">
        <v>156792.34</v>
      </c>
      <c r="E489" s="352">
        <v>477645.8</v>
      </c>
    </row>
    <row r="490" spans="1:5" ht="13">
      <c r="A490" s="302" t="s">
        <v>326</v>
      </c>
      <c r="B490" s="352">
        <v>607740.42000000004</v>
      </c>
      <c r="C490" s="352">
        <v>545022.48</v>
      </c>
      <c r="D490" s="352">
        <v>62717.94</v>
      </c>
      <c r="E490" s="302">
        <v>0</v>
      </c>
    </row>
    <row r="491" spans="1:5" ht="13">
      <c r="A491" s="302" t="s">
        <v>728</v>
      </c>
      <c r="B491" s="352">
        <v>236611.48</v>
      </c>
      <c r="C491" s="302">
        <v>0</v>
      </c>
      <c r="D491" s="352">
        <v>124736.67</v>
      </c>
      <c r="E491" s="352">
        <v>111874.81</v>
      </c>
    </row>
    <row r="492" spans="1:5" ht="13">
      <c r="A492" s="302" t="s">
        <v>849</v>
      </c>
      <c r="B492" s="352">
        <v>3094152.66</v>
      </c>
      <c r="C492" s="352">
        <v>1404409.18</v>
      </c>
      <c r="D492" s="352">
        <v>837684.22</v>
      </c>
      <c r="E492" s="352">
        <v>852059.25</v>
      </c>
    </row>
    <row r="493" spans="1:5" ht="13">
      <c r="A493" s="302" t="s">
        <v>895</v>
      </c>
      <c r="B493" s="352">
        <v>1250000</v>
      </c>
      <c r="C493" s="352">
        <v>1250000</v>
      </c>
      <c r="D493" s="302">
        <v>0</v>
      </c>
      <c r="E493" s="302">
        <v>0</v>
      </c>
    </row>
    <row r="494" spans="1:5" ht="13">
      <c r="A494" s="302" t="s">
        <v>1287</v>
      </c>
      <c r="B494" s="352">
        <v>1728228.35</v>
      </c>
      <c r="C494" s="352">
        <v>530048.11</v>
      </c>
      <c r="D494" s="352">
        <v>504332.14</v>
      </c>
      <c r="E494" s="352">
        <v>693848.1</v>
      </c>
    </row>
    <row r="495" spans="1:5" ht="13">
      <c r="A495" s="302" t="s">
        <v>1096</v>
      </c>
      <c r="B495" s="352">
        <v>5477.48</v>
      </c>
      <c r="C495" s="302">
        <v>0</v>
      </c>
      <c r="D495" s="352">
        <v>5477.48</v>
      </c>
      <c r="E495" s="302">
        <v>0</v>
      </c>
    </row>
    <row r="496" spans="1:5" ht="13">
      <c r="A496" s="302" t="s">
        <v>459</v>
      </c>
      <c r="B496" s="352">
        <v>4232618.75</v>
      </c>
      <c r="C496" s="352">
        <v>1784619.03</v>
      </c>
      <c r="D496" s="352">
        <v>1311119.95</v>
      </c>
      <c r="E496" s="352">
        <v>1136879.77</v>
      </c>
    </row>
    <row r="497" spans="1:5" ht="13">
      <c r="A497" s="302" t="s">
        <v>585</v>
      </c>
      <c r="B497" s="352">
        <v>638753.81000000006</v>
      </c>
      <c r="C497" s="352">
        <v>284342.19</v>
      </c>
      <c r="D497" s="352">
        <v>283660.42</v>
      </c>
      <c r="E497" s="352">
        <v>70751.199999999997</v>
      </c>
    </row>
    <row r="498" spans="1:5" ht="13">
      <c r="A498" s="302" t="s">
        <v>301</v>
      </c>
      <c r="B498" s="352">
        <v>2085218.78</v>
      </c>
      <c r="C498" s="352">
        <v>980566.55</v>
      </c>
      <c r="D498" s="352">
        <v>1104652.23</v>
      </c>
      <c r="E498" s="302">
        <v>0</v>
      </c>
    </row>
    <row r="499" spans="1:5" ht="13">
      <c r="A499" s="302" t="s">
        <v>1424</v>
      </c>
      <c r="B499" s="352">
        <v>389400.71</v>
      </c>
      <c r="C499" s="302">
        <v>0</v>
      </c>
      <c r="D499" s="352">
        <v>135665.32999999999</v>
      </c>
      <c r="E499" s="352">
        <v>253735.38</v>
      </c>
    </row>
    <row r="500" spans="1:5" ht="13">
      <c r="A500" s="302" t="s">
        <v>950</v>
      </c>
      <c r="B500" s="352">
        <v>1050758.6399999999</v>
      </c>
      <c r="C500" s="352">
        <v>95144.08</v>
      </c>
      <c r="D500" s="352">
        <v>469892.94</v>
      </c>
      <c r="E500" s="352">
        <v>485721.61</v>
      </c>
    </row>
    <row r="501" spans="1:5" ht="13">
      <c r="A501" s="302" t="s">
        <v>691</v>
      </c>
      <c r="B501" s="352">
        <v>19765248.219999999</v>
      </c>
      <c r="C501" s="352">
        <v>9265298.4100000001</v>
      </c>
      <c r="D501" s="352">
        <v>7317398.9699999997</v>
      </c>
      <c r="E501" s="352">
        <v>3182550.85</v>
      </c>
    </row>
    <row r="502" spans="1:5" ht="13">
      <c r="A502" s="302" t="s">
        <v>1206</v>
      </c>
      <c r="B502" s="352">
        <v>254551.05</v>
      </c>
      <c r="C502" s="352">
        <v>38279.83</v>
      </c>
      <c r="D502" s="352">
        <v>21216.85</v>
      </c>
      <c r="E502" s="352">
        <v>195054.37</v>
      </c>
    </row>
    <row r="503" spans="1:5" ht="13">
      <c r="A503" s="302" t="s">
        <v>1455</v>
      </c>
      <c r="B503" s="352">
        <v>47579.25</v>
      </c>
      <c r="C503" s="302">
        <v>0</v>
      </c>
      <c r="D503" s="302">
        <v>0</v>
      </c>
      <c r="E503" s="352">
        <v>47579.25</v>
      </c>
    </row>
    <row r="504" spans="1:5" ht="13">
      <c r="A504" s="302" t="s">
        <v>586</v>
      </c>
      <c r="B504" s="352">
        <v>1609794.19</v>
      </c>
      <c r="C504" s="302">
        <v>0</v>
      </c>
      <c r="D504" s="352">
        <v>456080.83</v>
      </c>
      <c r="E504" s="352">
        <v>1153713.3600000001</v>
      </c>
    </row>
    <row r="505" spans="1:5" ht="13">
      <c r="A505" s="302" t="s">
        <v>356</v>
      </c>
      <c r="B505" s="352">
        <v>430764.68</v>
      </c>
      <c r="C505" s="352">
        <v>430764.68</v>
      </c>
      <c r="D505" s="302">
        <v>0</v>
      </c>
      <c r="E505" s="302">
        <v>0</v>
      </c>
    </row>
    <row r="506" spans="1:5" ht="13">
      <c r="A506" s="302" t="s">
        <v>1661</v>
      </c>
      <c r="B506" s="352">
        <v>1014151.54</v>
      </c>
      <c r="C506" s="352">
        <v>738494.01</v>
      </c>
      <c r="D506" s="352">
        <v>275657.53999999998</v>
      </c>
      <c r="E506" s="302">
        <v>0</v>
      </c>
    </row>
    <row r="507" spans="1:5" ht="13">
      <c r="A507" s="302" t="s">
        <v>533</v>
      </c>
      <c r="B507" s="352">
        <v>1138209.96</v>
      </c>
      <c r="C507" s="352">
        <v>287148.3</v>
      </c>
      <c r="D507" s="352">
        <v>292729.67</v>
      </c>
      <c r="E507" s="352">
        <v>558331.99</v>
      </c>
    </row>
    <row r="508" spans="1:5" ht="13">
      <c r="A508" s="302" t="s">
        <v>804</v>
      </c>
      <c r="B508" s="352">
        <v>830669.45</v>
      </c>
      <c r="C508" s="352">
        <v>254245.7</v>
      </c>
      <c r="D508" s="352">
        <v>290786.65000000002</v>
      </c>
      <c r="E508" s="352">
        <v>285637.09999999998</v>
      </c>
    </row>
    <row r="509" spans="1:5" ht="13">
      <c r="A509" s="302" t="s">
        <v>1571</v>
      </c>
      <c r="B509" s="352">
        <v>14342207.59</v>
      </c>
      <c r="C509" s="352">
        <v>3121929.37</v>
      </c>
      <c r="D509" s="352">
        <v>11220278.220000001</v>
      </c>
      <c r="E509" s="302">
        <v>0</v>
      </c>
    </row>
    <row r="510" spans="1:5" ht="13">
      <c r="A510" s="302" t="s">
        <v>892</v>
      </c>
      <c r="B510" s="352">
        <v>589965.55000000005</v>
      </c>
      <c r="C510" s="352">
        <v>272608</v>
      </c>
      <c r="D510" s="352">
        <v>96502.2</v>
      </c>
      <c r="E510" s="352">
        <v>220855.35</v>
      </c>
    </row>
    <row r="511" spans="1:5" ht="13">
      <c r="A511" s="302" t="s">
        <v>819</v>
      </c>
      <c r="B511" s="352">
        <v>1004347.1</v>
      </c>
      <c r="C511" s="352">
        <v>343270.55</v>
      </c>
      <c r="D511" s="352">
        <v>279007.3</v>
      </c>
      <c r="E511" s="352">
        <v>382069.25</v>
      </c>
    </row>
    <row r="512" spans="1:5" ht="13">
      <c r="A512" s="302" t="s">
        <v>856</v>
      </c>
      <c r="B512" s="352">
        <v>4991291.87</v>
      </c>
      <c r="C512" s="302">
        <v>0</v>
      </c>
      <c r="D512" s="352">
        <v>1857959.8</v>
      </c>
      <c r="E512" s="352">
        <v>3133332.07</v>
      </c>
    </row>
    <row r="513" spans="1:5" ht="13">
      <c r="A513" s="302" t="s">
        <v>1412</v>
      </c>
      <c r="B513" s="352">
        <v>152023.03</v>
      </c>
      <c r="C513" s="352">
        <v>152023.03</v>
      </c>
      <c r="D513" s="302">
        <v>0</v>
      </c>
      <c r="E513" s="302">
        <v>0</v>
      </c>
    </row>
    <row r="514" spans="1:5" ht="13">
      <c r="A514" s="302" t="s">
        <v>1418</v>
      </c>
      <c r="B514" s="352">
        <v>302571.51</v>
      </c>
      <c r="C514" s="352">
        <v>194172.1</v>
      </c>
      <c r="D514" s="302">
        <v>0</v>
      </c>
      <c r="E514" s="352">
        <v>108399.42</v>
      </c>
    </row>
    <row r="515" spans="1:5" ht="13">
      <c r="A515" s="302" t="s">
        <v>284</v>
      </c>
      <c r="B515" s="352">
        <v>789418.69</v>
      </c>
      <c r="C515" s="352">
        <v>130710.32</v>
      </c>
      <c r="D515" s="352">
        <v>392391.98</v>
      </c>
      <c r="E515" s="352">
        <v>266316.38</v>
      </c>
    </row>
    <row r="516" spans="1:5" ht="13">
      <c r="A516" s="302" t="s">
        <v>965</v>
      </c>
      <c r="B516" s="352">
        <v>617307.96</v>
      </c>
      <c r="C516" s="352">
        <v>316295.03999999998</v>
      </c>
      <c r="D516" s="352">
        <v>78668.160000000003</v>
      </c>
      <c r="E516" s="352">
        <v>222344.76</v>
      </c>
    </row>
    <row r="517" spans="1:5" ht="13">
      <c r="A517" s="302" t="s">
        <v>1219</v>
      </c>
      <c r="B517" s="352">
        <v>1804221.09</v>
      </c>
      <c r="C517" s="352">
        <v>603188.64</v>
      </c>
      <c r="D517" s="352">
        <v>575448.18000000005</v>
      </c>
      <c r="E517" s="352">
        <v>625584.27</v>
      </c>
    </row>
    <row r="518" spans="1:5" ht="13">
      <c r="A518" s="302" t="s">
        <v>431</v>
      </c>
      <c r="B518" s="352">
        <v>4249208.0999999996</v>
      </c>
      <c r="C518" s="352">
        <v>1577702.03</v>
      </c>
      <c r="D518" s="352">
        <v>1364095.65</v>
      </c>
      <c r="E518" s="352">
        <v>1307410.42</v>
      </c>
    </row>
    <row r="519" spans="1:5" ht="13">
      <c r="A519" s="302" t="s">
        <v>1271</v>
      </c>
      <c r="B519" s="352">
        <v>4510022.1900000004</v>
      </c>
      <c r="C519" s="352">
        <v>1989411.6</v>
      </c>
      <c r="D519" s="352">
        <v>1030618.32</v>
      </c>
      <c r="E519" s="352">
        <v>1489992.27</v>
      </c>
    </row>
    <row r="520" spans="1:5" ht="13">
      <c r="A520" s="302" t="s">
        <v>729</v>
      </c>
      <c r="B520" s="352">
        <v>1209879.48</v>
      </c>
      <c r="C520" s="352">
        <v>321130.18</v>
      </c>
      <c r="D520" s="352">
        <v>412279.89</v>
      </c>
      <c r="E520" s="352">
        <v>476469.4</v>
      </c>
    </row>
    <row r="521" spans="1:5" ht="13">
      <c r="A521" s="302" t="s">
        <v>1486</v>
      </c>
      <c r="B521" s="352">
        <v>227690.44</v>
      </c>
      <c r="C521" s="352">
        <v>187051.49</v>
      </c>
      <c r="D521" s="352">
        <v>40638.949999999997</v>
      </c>
      <c r="E521" s="302">
        <v>0</v>
      </c>
    </row>
    <row r="522" spans="1:5" ht="13">
      <c r="A522" s="302" t="s">
        <v>757</v>
      </c>
      <c r="B522" s="352">
        <v>420746.88</v>
      </c>
      <c r="C522" s="352">
        <v>420746.88</v>
      </c>
      <c r="D522" s="302">
        <v>0</v>
      </c>
      <c r="E522" s="302">
        <v>0</v>
      </c>
    </row>
    <row r="523" spans="1:5" ht="13">
      <c r="A523" s="302" t="s">
        <v>1441</v>
      </c>
      <c r="B523" s="352">
        <v>2899016.26</v>
      </c>
      <c r="C523" s="352">
        <v>1264195.92</v>
      </c>
      <c r="D523" s="352">
        <v>1168782.8899999999</v>
      </c>
      <c r="E523" s="352">
        <v>466037.45</v>
      </c>
    </row>
    <row r="524" spans="1:5" ht="13">
      <c r="A524" s="302" t="s">
        <v>587</v>
      </c>
      <c r="B524" s="352">
        <v>136353.65</v>
      </c>
      <c r="C524" s="302">
        <v>0</v>
      </c>
      <c r="D524" s="352">
        <v>136353.65</v>
      </c>
      <c r="E524" s="302">
        <v>0</v>
      </c>
    </row>
    <row r="525" spans="1:5" ht="13">
      <c r="A525" s="302" t="s">
        <v>410</v>
      </c>
      <c r="B525" s="352">
        <v>3424392.86</v>
      </c>
      <c r="C525" s="352">
        <v>1666958.18</v>
      </c>
      <c r="D525" s="352">
        <v>791777.7</v>
      </c>
      <c r="E525" s="352">
        <v>965656.98</v>
      </c>
    </row>
    <row r="526" spans="1:5" ht="13">
      <c r="A526" s="302" t="s">
        <v>1382</v>
      </c>
      <c r="B526" s="352">
        <v>2005249.59</v>
      </c>
      <c r="C526" s="302">
        <v>0</v>
      </c>
      <c r="D526" s="302">
        <v>0</v>
      </c>
      <c r="E526" s="352">
        <v>2005249.59</v>
      </c>
    </row>
    <row r="527" spans="1:5" ht="13">
      <c r="A527" s="302" t="s">
        <v>302</v>
      </c>
      <c r="B527" s="352">
        <v>10556976.949999999</v>
      </c>
      <c r="C527" s="352">
        <v>1834367.17</v>
      </c>
      <c r="D527" s="352">
        <v>3988182.73</v>
      </c>
      <c r="E527" s="352">
        <v>4734427.0599999996</v>
      </c>
    </row>
    <row r="528" spans="1:5" ht="13">
      <c r="A528" s="302" t="s">
        <v>432</v>
      </c>
      <c r="B528" s="352">
        <v>126568.5</v>
      </c>
      <c r="C528" s="302">
        <v>0</v>
      </c>
      <c r="D528" s="352">
        <v>126568.5</v>
      </c>
      <c r="E528" s="302">
        <v>0</v>
      </c>
    </row>
    <row r="529" spans="1:5" ht="13">
      <c r="A529" s="302" t="s">
        <v>1165</v>
      </c>
      <c r="B529" s="352">
        <v>783021.56</v>
      </c>
      <c r="C529" s="352">
        <v>129139.28</v>
      </c>
      <c r="D529" s="352">
        <v>289466.56</v>
      </c>
      <c r="E529" s="352">
        <v>364415.72</v>
      </c>
    </row>
    <row r="530" spans="1:5" ht="13">
      <c r="A530" s="302" t="s">
        <v>453</v>
      </c>
      <c r="B530" s="352">
        <v>6708601.9400000004</v>
      </c>
      <c r="C530" s="352">
        <v>2524584.16</v>
      </c>
      <c r="D530" s="352">
        <v>2120001.1</v>
      </c>
      <c r="E530" s="352">
        <v>2064016.68</v>
      </c>
    </row>
    <row r="531" spans="1:5" ht="13">
      <c r="A531" s="302" t="s">
        <v>1264</v>
      </c>
      <c r="B531" s="352">
        <v>2783749.11</v>
      </c>
      <c r="C531" s="352">
        <v>1375078.3</v>
      </c>
      <c r="D531" s="352">
        <v>999219.81</v>
      </c>
      <c r="E531" s="352">
        <v>409451</v>
      </c>
    </row>
    <row r="532" spans="1:5" ht="13">
      <c r="A532" s="302" t="s">
        <v>1662</v>
      </c>
      <c r="B532" s="352">
        <v>117585.60000000001</v>
      </c>
      <c r="C532" s="302">
        <v>0</v>
      </c>
      <c r="D532" s="302">
        <v>0</v>
      </c>
      <c r="E532" s="352">
        <v>117585.60000000001</v>
      </c>
    </row>
    <row r="533" spans="1:5" ht="13">
      <c r="A533" s="302" t="s">
        <v>963</v>
      </c>
      <c r="B533" s="352">
        <v>775662.64</v>
      </c>
      <c r="C533" s="352">
        <v>283411.21999999997</v>
      </c>
      <c r="D533" s="352">
        <v>141391.57999999999</v>
      </c>
      <c r="E533" s="352">
        <v>350859.84</v>
      </c>
    </row>
    <row r="534" spans="1:5" ht="13">
      <c r="A534" s="302" t="s">
        <v>534</v>
      </c>
      <c r="B534" s="352">
        <v>2445479.2400000002</v>
      </c>
      <c r="C534" s="352">
        <v>677026.44</v>
      </c>
      <c r="D534" s="352">
        <v>790408.88</v>
      </c>
      <c r="E534" s="352">
        <v>978043.92</v>
      </c>
    </row>
    <row r="535" spans="1:5" ht="13">
      <c r="A535" s="302" t="s">
        <v>703</v>
      </c>
      <c r="B535" s="352">
        <v>367966.25</v>
      </c>
      <c r="C535" s="352">
        <v>92101</v>
      </c>
      <c r="D535" s="302">
        <v>0</v>
      </c>
      <c r="E535" s="352">
        <v>275865.25</v>
      </c>
    </row>
    <row r="536" spans="1:5" ht="13">
      <c r="A536" s="302" t="s">
        <v>967</v>
      </c>
      <c r="B536" s="352">
        <v>37945.599999999999</v>
      </c>
      <c r="C536" s="302">
        <v>0</v>
      </c>
      <c r="D536" s="352">
        <v>18972.8</v>
      </c>
      <c r="E536" s="352">
        <v>18972.8</v>
      </c>
    </row>
    <row r="537" spans="1:5" ht="13">
      <c r="A537" s="302" t="s">
        <v>1504</v>
      </c>
      <c r="B537" s="352">
        <v>207651.84</v>
      </c>
      <c r="C537" s="302">
        <v>0</v>
      </c>
      <c r="D537" s="302">
        <v>0</v>
      </c>
      <c r="E537" s="352">
        <v>207651.84</v>
      </c>
    </row>
    <row r="538" spans="1:5" ht="13">
      <c r="A538" s="302" t="s">
        <v>1115</v>
      </c>
      <c r="B538" s="352">
        <v>353818.88</v>
      </c>
      <c r="C538" s="352">
        <v>78253.600000000006</v>
      </c>
      <c r="D538" s="352">
        <v>91897.279999999999</v>
      </c>
      <c r="E538" s="352">
        <v>183668</v>
      </c>
    </row>
    <row r="539" spans="1:5" ht="13">
      <c r="A539" s="302" t="s">
        <v>784</v>
      </c>
      <c r="B539" s="352">
        <v>685982.12</v>
      </c>
      <c r="C539" s="352">
        <v>265461.2</v>
      </c>
      <c r="D539" s="352">
        <v>156215.07999999999</v>
      </c>
      <c r="E539" s="352">
        <v>264305.84000000003</v>
      </c>
    </row>
    <row r="540" spans="1:5" ht="13">
      <c r="A540" s="302" t="s">
        <v>1179</v>
      </c>
      <c r="B540" s="352">
        <v>155786.21</v>
      </c>
      <c r="C540" s="352">
        <v>67503</v>
      </c>
      <c r="D540" s="352">
        <v>44794.47</v>
      </c>
      <c r="E540" s="352">
        <v>43488.74</v>
      </c>
    </row>
    <row r="541" spans="1:5" ht="13">
      <c r="A541" s="302" t="s">
        <v>1166</v>
      </c>
      <c r="B541" s="352">
        <v>752159.04</v>
      </c>
      <c r="C541" s="352">
        <v>256462.32</v>
      </c>
      <c r="D541" s="352">
        <v>278047.35999999999</v>
      </c>
      <c r="E541" s="352">
        <v>217649.36</v>
      </c>
    </row>
    <row r="542" spans="1:5" ht="13">
      <c r="A542" s="302" t="s">
        <v>637</v>
      </c>
      <c r="B542" s="352">
        <v>199946.06</v>
      </c>
      <c r="C542" s="302">
        <v>0</v>
      </c>
      <c r="D542" s="352">
        <v>131298.66</v>
      </c>
      <c r="E542" s="352">
        <v>68647.399999999994</v>
      </c>
    </row>
    <row r="543" spans="1:5" ht="13">
      <c r="A543" s="302" t="s">
        <v>1456</v>
      </c>
      <c r="B543" s="352">
        <v>781332.38</v>
      </c>
      <c r="C543" s="352">
        <v>781332.38</v>
      </c>
      <c r="D543" s="302">
        <v>0</v>
      </c>
      <c r="E543" s="302">
        <v>0</v>
      </c>
    </row>
    <row r="544" spans="1:5" ht="13">
      <c r="A544" s="302" t="s">
        <v>730</v>
      </c>
      <c r="B544" s="352">
        <v>1807203.75</v>
      </c>
      <c r="C544" s="352">
        <v>787220.87</v>
      </c>
      <c r="D544" s="352">
        <v>176852.18</v>
      </c>
      <c r="E544" s="352">
        <v>843130.7</v>
      </c>
    </row>
    <row r="545" spans="1:5" ht="13">
      <c r="A545" s="302" t="s">
        <v>434</v>
      </c>
      <c r="B545" s="352">
        <v>7264404.7000000002</v>
      </c>
      <c r="C545" s="352">
        <v>2321582.87</v>
      </c>
      <c r="D545" s="352">
        <v>2013499.41</v>
      </c>
      <c r="E545" s="352">
        <v>2929322.41</v>
      </c>
    </row>
    <row r="546" spans="1:5" ht="13">
      <c r="A546" s="302" t="s">
        <v>1663</v>
      </c>
      <c r="B546" s="352">
        <v>111619.9</v>
      </c>
      <c r="C546" s="352">
        <v>41259.75</v>
      </c>
      <c r="D546" s="302">
        <v>0</v>
      </c>
      <c r="E546" s="352">
        <v>70360.149999999994</v>
      </c>
    </row>
    <row r="547" spans="1:5" ht="13">
      <c r="A547" s="302" t="s">
        <v>397</v>
      </c>
      <c r="B547" s="352">
        <v>3999418.5</v>
      </c>
      <c r="C547" s="352">
        <v>836889.75</v>
      </c>
      <c r="D547" s="352">
        <v>2266119.38</v>
      </c>
      <c r="E547" s="352">
        <v>896409.38</v>
      </c>
    </row>
    <row r="548" spans="1:5" ht="13">
      <c r="A548" s="302" t="s">
        <v>110</v>
      </c>
      <c r="B548" s="352">
        <v>2541132.62</v>
      </c>
      <c r="C548" s="352">
        <v>368004.46</v>
      </c>
      <c r="D548" s="352">
        <v>1312660.42</v>
      </c>
      <c r="E548" s="352">
        <v>860467.74</v>
      </c>
    </row>
    <row r="549" spans="1:5" ht="13">
      <c r="A549" s="302" t="s">
        <v>1030</v>
      </c>
      <c r="B549" s="352">
        <v>4588378.5199999996</v>
      </c>
      <c r="C549" s="352">
        <v>1633397.62</v>
      </c>
      <c r="D549" s="352">
        <v>1310039.8899999999</v>
      </c>
      <c r="E549" s="352">
        <v>1644941.01</v>
      </c>
    </row>
    <row r="550" spans="1:5" ht="13">
      <c r="A550" s="302" t="s">
        <v>646</v>
      </c>
      <c r="B550" s="352">
        <v>865519.16</v>
      </c>
      <c r="C550" s="352">
        <v>296987.64</v>
      </c>
      <c r="D550" s="352">
        <v>76665.36</v>
      </c>
      <c r="E550" s="352">
        <v>491866.16</v>
      </c>
    </row>
    <row r="551" spans="1:5" ht="13">
      <c r="A551" s="302" t="s">
        <v>1299</v>
      </c>
      <c r="B551" s="352">
        <v>559309.91</v>
      </c>
      <c r="C551" s="302">
        <v>0</v>
      </c>
      <c r="D551" s="352">
        <v>166471.29</v>
      </c>
      <c r="E551" s="352">
        <v>392838.62</v>
      </c>
    </row>
    <row r="552" spans="1:5" ht="13">
      <c r="A552" s="302" t="s">
        <v>1336</v>
      </c>
      <c r="B552" s="352">
        <v>2487373.44</v>
      </c>
      <c r="C552" s="352">
        <v>573234.09</v>
      </c>
      <c r="D552" s="302">
        <v>0</v>
      </c>
      <c r="E552" s="352">
        <v>1914139.34</v>
      </c>
    </row>
    <row r="553" spans="1:5" ht="13">
      <c r="A553" s="302" t="s">
        <v>1106</v>
      </c>
      <c r="B553" s="352">
        <v>517234.68</v>
      </c>
      <c r="C553" s="352">
        <v>195939.91</v>
      </c>
      <c r="D553" s="352">
        <v>115049.41</v>
      </c>
      <c r="E553" s="352">
        <v>206245.36</v>
      </c>
    </row>
    <row r="554" spans="1:5" ht="13">
      <c r="A554" s="302" t="s">
        <v>273</v>
      </c>
      <c r="B554" s="352">
        <v>3216107.64</v>
      </c>
      <c r="C554" s="352">
        <v>1186208.3999999999</v>
      </c>
      <c r="D554" s="352">
        <v>1547616.96</v>
      </c>
      <c r="E554" s="352">
        <v>482282.28</v>
      </c>
    </row>
    <row r="555" spans="1:5" ht="13">
      <c r="A555" s="302" t="s">
        <v>1220</v>
      </c>
      <c r="B555" s="352">
        <v>414803.96</v>
      </c>
      <c r="C555" s="352">
        <v>189150.04</v>
      </c>
      <c r="D555" s="352">
        <v>145708.22</v>
      </c>
      <c r="E555" s="352">
        <v>79945.7</v>
      </c>
    </row>
    <row r="556" spans="1:5" ht="13">
      <c r="A556" s="302" t="s">
        <v>1319</v>
      </c>
      <c r="B556" s="352">
        <v>3468201.76</v>
      </c>
      <c r="C556" s="352">
        <v>884707.82</v>
      </c>
      <c r="D556" s="352">
        <v>1809533.94</v>
      </c>
      <c r="E556" s="352">
        <v>773960.01</v>
      </c>
    </row>
    <row r="557" spans="1:5" ht="13">
      <c r="A557" s="302" t="s">
        <v>197</v>
      </c>
      <c r="B557" s="352">
        <v>1238473.6100000001</v>
      </c>
      <c r="C557" s="352">
        <v>632813.77</v>
      </c>
      <c r="D557" s="352">
        <v>271767.48</v>
      </c>
      <c r="E557" s="352">
        <v>333892.36</v>
      </c>
    </row>
    <row r="558" spans="1:5" ht="13">
      <c r="A558" s="302" t="s">
        <v>233</v>
      </c>
      <c r="B558" s="352">
        <v>13870380.98</v>
      </c>
      <c r="C558" s="352">
        <v>5975389.5</v>
      </c>
      <c r="D558" s="352">
        <v>3279916.75</v>
      </c>
      <c r="E558" s="352">
        <v>4615074.7300000004</v>
      </c>
    </row>
    <row r="559" spans="1:5" ht="13">
      <c r="A559" s="302" t="s">
        <v>285</v>
      </c>
      <c r="B559" s="352">
        <v>10662122.18</v>
      </c>
      <c r="C559" s="352">
        <v>4704293.1500000004</v>
      </c>
      <c r="D559" s="352">
        <v>4350956.54</v>
      </c>
      <c r="E559" s="352">
        <v>1606872.49</v>
      </c>
    </row>
    <row r="560" spans="1:5" ht="13">
      <c r="A560" s="302" t="s">
        <v>1415</v>
      </c>
      <c r="B560" s="352">
        <v>760420.13</v>
      </c>
      <c r="C560" s="352">
        <v>94963.07</v>
      </c>
      <c r="D560" s="352">
        <v>287426.56</v>
      </c>
      <c r="E560" s="352">
        <v>378030.49</v>
      </c>
    </row>
    <row r="561" spans="1:5" ht="13">
      <c r="A561" s="302" t="s">
        <v>328</v>
      </c>
      <c r="B561" s="352">
        <v>30846</v>
      </c>
      <c r="C561" s="302">
        <v>0</v>
      </c>
      <c r="D561" s="302">
        <v>0</v>
      </c>
      <c r="E561" s="352">
        <v>30846</v>
      </c>
    </row>
    <row r="562" spans="1:5" ht="13">
      <c r="A562" s="302" t="s">
        <v>460</v>
      </c>
      <c r="B562" s="352">
        <v>930501.13</v>
      </c>
      <c r="C562" s="352">
        <v>312532.46000000002</v>
      </c>
      <c r="D562" s="352">
        <v>369081.75</v>
      </c>
      <c r="E562" s="352">
        <v>248886.92</v>
      </c>
    </row>
    <row r="563" spans="1:5" ht="13">
      <c r="A563" s="302" t="s">
        <v>1047</v>
      </c>
      <c r="B563" s="352">
        <v>1027703.8</v>
      </c>
      <c r="C563" s="352">
        <v>604461.76</v>
      </c>
      <c r="D563" s="352">
        <v>335945.72</v>
      </c>
      <c r="E563" s="352">
        <v>87296.320000000007</v>
      </c>
    </row>
    <row r="564" spans="1:5" ht="13">
      <c r="A564" s="302" t="s">
        <v>292</v>
      </c>
      <c r="B564" s="352">
        <v>2445982.88</v>
      </c>
      <c r="C564" s="302">
        <v>0</v>
      </c>
      <c r="D564" s="302">
        <v>0</v>
      </c>
      <c r="E564" s="352">
        <v>2445982.88</v>
      </c>
    </row>
    <row r="565" spans="1:5" ht="13">
      <c r="A565" s="302" t="s">
        <v>1060</v>
      </c>
      <c r="B565" s="352">
        <v>514529.73</v>
      </c>
      <c r="C565" s="302">
        <v>0</v>
      </c>
      <c r="D565" s="352">
        <v>269099.15000000002</v>
      </c>
      <c r="E565" s="352">
        <v>245430.57</v>
      </c>
    </row>
    <row r="566" spans="1:5" ht="13">
      <c r="A566" s="302" t="s">
        <v>1082</v>
      </c>
      <c r="B566" s="352">
        <v>146493.20000000001</v>
      </c>
      <c r="C566" s="352">
        <v>54193.2</v>
      </c>
      <c r="D566" s="302">
        <v>0</v>
      </c>
      <c r="E566" s="352">
        <v>92300</v>
      </c>
    </row>
    <row r="567" spans="1:5" ht="13">
      <c r="A567" s="302" t="s">
        <v>743</v>
      </c>
      <c r="B567" s="352">
        <v>3604637.02</v>
      </c>
      <c r="C567" s="352">
        <v>1181296.95</v>
      </c>
      <c r="D567" s="352">
        <v>1276291.71</v>
      </c>
      <c r="E567" s="352">
        <v>1147048.3600000001</v>
      </c>
    </row>
    <row r="568" spans="1:5" ht="13">
      <c r="A568" s="302" t="s">
        <v>934</v>
      </c>
      <c r="B568" s="352">
        <v>440143.32</v>
      </c>
      <c r="C568" s="352">
        <v>191312.24</v>
      </c>
      <c r="D568" s="352">
        <v>132631.06</v>
      </c>
      <c r="E568" s="352">
        <v>116200.02</v>
      </c>
    </row>
    <row r="569" spans="1:5" ht="13">
      <c r="A569" s="302" t="s">
        <v>869</v>
      </c>
      <c r="B569" s="352">
        <v>1171361.95</v>
      </c>
      <c r="C569" s="352">
        <v>231963.12</v>
      </c>
      <c r="D569" s="352">
        <v>852629.11</v>
      </c>
      <c r="E569" s="352">
        <v>86769.72</v>
      </c>
    </row>
    <row r="570" spans="1:5" ht="13">
      <c r="A570" s="302" t="s">
        <v>1457</v>
      </c>
      <c r="B570" s="352">
        <v>4361819.4400000004</v>
      </c>
      <c r="C570" s="352">
        <v>772973.2</v>
      </c>
      <c r="D570" s="352">
        <v>1762157.99</v>
      </c>
      <c r="E570" s="352">
        <v>1826688.26</v>
      </c>
    </row>
    <row r="571" spans="1:5" ht="13">
      <c r="A571" s="302" t="s">
        <v>274</v>
      </c>
      <c r="B571" s="352">
        <v>718189.5</v>
      </c>
      <c r="C571" s="352">
        <v>162091.69</v>
      </c>
      <c r="D571" s="352">
        <v>492601.91</v>
      </c>
      <c r="E571" s="352">
        <v>63495.9</v>
      </c>
    </row>
    <row r="572" spans="1:5" ht="13">
      <c r="A572" s="302" t="s">
        <v>262</v>
      </c>
      <c r="B572" s="352">
        <v>83357702.030000001</v>
      </c>
      <c r="C572" s="352">
        <v>26731973.899999999</v>
      </c>
      <c r="D572" s="352">
        <v>33299777.920000002</v>
      </c>
      <c r="E572" s="352">
        <v>23325950.210000001</v>
      </c>
    </row>
    <row r="573" spans="1:5" ht="13">
      <c r="A573" s="302" t="s">
        <v>1363</v>
      </c>
      <c r="B573" s="352">
        <v>4958610.13</v>
      </c>
      <c r="C573" s="352">
        <v>909561.85</v>
      </c>
      <c r="D573" s="352">
        <v>1898022.44</v>
      </c>
      <c r="E573" s="352">
        <v>2151025.84</v>
      </c>
    </row>
    <row r="574" spans="1:5" ht="13">
      <c r="A574" s="302" t="s">
        <v>1320</v>
      </c>
      <c r="B574" s="352">
        <v>6250429.1799999997</v>
      </c>
      <c r="C574" s="352">
        <v>2397100.38</v>
      </c>
      <c r="D574" s="352">
        <v>2629949.02</v>
      </c>
      <c r="E574" s="352">
        <v>1223379.78</v>
      </c>
    </row>
    <row r="575" spans="1:5" ht="13">
      <c r="A575" s="302" t="s">
        <v>133</v>
      </c>
      <c r="B575" s="352">
        <v>4369879.7699999996</v>
      </c>
      <c r="C575" s="352">
        <v>1426406.25</v>
      </c>
      <c r="D575" s="352">
        <v>1883661</v>
      </c>
      <c r="E575" s="352">
        <v>1059812.51</v>
      </c>
    </row>
    <row r="576" spans="1:5" ht="13">
      <c r="A576" s="302" t="s">
        <v>589</v>
      </c>
      <c r="B576" s="352">
        <v>1715762.54</v>
      </c>
      <c r="C576" s="302">
        <v>0</v>
      </c>
      <c r="D576" s="352">
        <v>467551.13</v>
      </c>
      <c r="E576" s="352">
        <v>1248211.3999999999</v>
      </c>
    </row>
    <row r="577" spans="1:5" ht="13">
      <c r="A577" s="302" t="s">
        <v>1170</v>
      </c>
      <c r="B577" s="352">
        <v>182601.27</v>
      </c>
      <c r="C577" s="302">
        <v>0</v>
      </c>
      <c r="D577" s="352">
        <v>84155.37</v>
      </c>
      <c r="E577" s="352">
        <v>98445.9</v>
      </c>
    </row>
    <row r="578" spans="1:5" ht="13">
      <c r="A578" s="302" t="s">
        <v>106</v>
      </c>
      <c r="B578" s="352">
        <v>1667407.5</v>
      </c>
      <c r="C578" s="352">
        <v>527577.56000000006</v>
      </c>
      <c r="D578" s="352">
        <v>744479.17</v>
      </c>
      <c r="E578" s="352">
        <v>395350.77</v>
      </c>
    </row>
    <row r="579" spans="1:5" ht="13">
      <c r="A579" s="302" t="s">
        <v>1143</v>
      </c>
      <c r="B579" s="352">
        <v>7488115.3499999996</v>
      </c>
      <c r="C579" s="352">
        <v>2099653.9900000002</v>
      </c>
      <c r="D579" s="352">
        <v>1793743.08</v>
      </c>
      <c r="E579" s="352">
        <v>3594718.29</v>
      </c>
    </row>
    <row r="580" spans="1:5" ht="13">
      <c r="A580" s="302" t="s">
        <v>1228</v>
      </c>
      <c r="B580" s="352">
        <v>830910.13</v>
      </c>
      <c r="C580" s="352">
        <v>373549.44</v>
      </c>
      <c r="D580" s="352">
        <v>173100.05</v>
      </c>
      <c r="E580" s="352">
        <v>284260.64</v>
      </c>
    </row>
    <row r="581" spans="1:5" ht="13">
      <c r="A581" s="302" t="s">
        <v>1364</v>
      </c>
      <c r="B581" s="352">
        <v>603738.86</v>
      </c>
      <c r="C581" s="352">
        <v>131624.49</v>
      </c>
      <c r="D581" s="352">
        <v>323864.76</v>
      </c>
      <c r="E581" s="352">
        <v>148249.60999999999</v>
      </c>
    </row>
    <row r="582" spans="1:5" ht="13">
      <c r="A582" s="302" t="s">
        <v>708</v>
      </c>
      <c r="B582" s="352">
        <v>7582611.4199999999</v>
      </c>
      <c r="C582" s="352">
        <v>2184227.34</v>
      </c>
      <c r="D582" s="352">
        <v>2142146.87</v>
      </c>
      <c r="E582" s="352">
        <v>3256237.21</v>
      </c>
    </row>
    <row r="583" spans="1:5" ht="13">
      <c r="A583" s="302" t="s">
        <v>1664</v>
      </c>
      <c r="B583" s="352">
        <v>10770894.52</v>
      </c>
      <c r="C583" s="352">
        <v>8300916.3600000003</v>
      </c>
      <c r="D583" s="352">
        <v>2469978.16</v>
      </c>
      <c r="E583" s="302">
        <v>0</v>
      </c>
    </row>
    <row r="584" spans="1:5" ht="13">
      <c r="A584" s="302" t="s">
        <v>510</v>
      </c>
      <c r="B584" s="352">
        <v>6533752.4100000001</v>
      </c>
      <c r="C584" s="302">
        <v>0</v>
      </c>
      <c r="D584" s="302">
        <v>0</v>
      </c>
      <c r="E584" s="352">
        <v>6533752.4100000001</v>
      </c>
    </row>
    <row r="585" spans="1:5" ht="13">
      <c r="A585" s="302" t="s">
        <v>1091</v>
      </c>
      <c r="B585" s="352">
        <v>214731.58</v>
      </c>
      <c r="C585" s="352">
        <v>90215.18</v>
      </c>
      <c r="D585" s="352">
        <v>124516.4</v>
      </c>
      <c r="E585" s="302">
        <v>0</v>
      </c>
    </row>
    <row r="586" spans="1:5" ht="13">
      <c r="A586" s="302" t="s">
        <v>97</v>
      </c>
      <c r="B586" s="352">
        <v>988274.71</v>
      </c>
      <c r="C586" s="352">
        <v>412733.35</v>
      </c>
      <c r="D586" s="352">
        <v>462349.54</v>
      </c>
      <c r="E586" s="352">
        <v>113191.82</v>
      </c>
    </row>
    <row r="587" spans="1:5" ht="13">
      <c r="A587" s="302" t="s">
        <v>1089</v>
      </c>
      <c r="B587" s="352">
        <v>50996</v>
      </c>
      <c r="C587" s="352">
        <v>50996</v>
      </c>
      <c r="D587" s="302">
        <v>0</v>
      </c>
      <c r="E587" s="302">
        <v>0</v>
      </c>
    </row>
    <row r="588" spans="1:5" ht="13">
      <c r="A588" s="302" t="s">
        <v>870</v>
      </c>
      <c r="B588" s="352">
        <v>19391045.859999999</v>
      </c>
      <c r="C588" s="352">
        <v>2974203.74</v>
      </c>
      <c r="D588" s="352">
        <v>6718090.1500000004</v>
      </c>
      <c r="E588" s="352">
        <v>9698751.9600000009</v>
      </c>
    </row>
    <row r="589" spans="1:5" ht="13">
      <c r="A589" s="302" t="s">
        <v>126</v>
      </c>
      <c r="B589" s="352">
        <v>66578.06</v>
      </c>
      <c r="C589" s="302">
        <v>0</v>
      </c>
      <c r="D589" s="302">
        <v>0</v>
      </c>
      <c r="E589" s="352">
        <v>66578.06</v>
      </c>
    </row>
    <row r="590" spans="1:5" ht="13">
      <c r="A590" s="302" t="s">
        <v>786</v>
      </c>
      <c r="B590" s="352">
        <v>58712.1</v>
      </c>
      <c r="C590" s="352">
        <v>13548.95</v>
      </c>
      <c r="D590" s="352">
        <v>45163.15</v>
      </c>
      <c r="E590" s="302">
        <v>0</v>
      </c>
    </row>
    <row r="591" spans="1:5" ht="13">
      <c r="A591" s="302" t="s">
        <v>969</v>
      </c>
      <c r="B591" s="352">
        <v>425757.98</v>
      </c>
      <c r="C591" s="352">
        <v>205410.85</v>
      </c>
      <c r="D591" s="302">
        <v>0</v>
      </c>
      <c r="E591" s="352">
        <v>220347.13</v>
      </c>
    </row>
    <row r="592" spans="1:5" ht="13">
      <c r="A592" s="302" t="s">
        <v>874</v>
      </c>
      <c r="B592" s="352">
        <v>9219096.1300000008</v>
      </c>
      <c r="C592" s="352">
        <v>4728090.6500000004</v>
      </c>
      <c r="D592" s="352">
        <v>4451653.58</v>
      </c>
      <c r="E592" s="352">
        <v>39351.9</v>
      </c>
    </row>
    <row r="593" spans="1:5" ht="13">
      <c r="A593" s="302" t="s">
        <v>1022</v>
      </c>
      <c r="B593" s="352">
        <v>8652880.9700000007</v>
      </c>
      <c r="C593" s="352">
        <v>3055698.1</v>
      </c>
      <c r="D593" s="352">
        <v>4418536.25</v>
      </c>
      <c r="E593" s="352">
        <v>1178646.6200000001</v>
      </c>
    </row>
    <row r="594" spans="1:5" ht="13">
      <c r="A594" s="302" t="s">
        <v>1051</v>
      </c>
      <c r="B594" s="352">
        <v>663492.68000000005</v>
      </c>
      <c r="C594" s="352">
        <v>50999.29</v>
      </c>
      <c r="D594" s="352">
        <v>386110.79</v>
      </c>
      <c r="E594" s="352">
        <v>226382.6</v>
      </c>
    </row>
    <row r="595" spans="1:5" ht="13">
      <c r="A595" s="302" t="s">
        <v>1023</v>
      </c>
      <c r="B595" s="352">
        <v>2621778.7599999998</v>
      </c>
      <c r="C595" s="302">
        <v>0</v>
      </c>
      <c r="D595" s="302">
        <v>0</v>
      </c>
      <c r="E595" s="352">
        <v>2621778.7599999998</v>
      </c>
    </row>
    <row r="596" spans="1:5" ht="13">
      <c r="A596" s="302" t="s">
        <v>1300</v>
      </c>
      <c r="B596" s="352">
        <v>2813043.24</v>
      </c>
      <c r="C596" s="352">
        <v>1175549.02</v>
      </c>
      <c r="D596" s="352">
        <v>595391.81999999995</v>
      </c>
      <c r="E596" s="352">
        <v>1042102.4</v>
      </c>
    </row>
    <row r="597" spans="1:5" ht="13">
      <c r="A597" s="302" t="s">
        <v>494</v>
      </c>
      <c r="B597" s="352">
        <v>4042267.33</v>
      </c>
      <c r="C597" s="352">
        <v>1325438.76</v>
      </c>
      <c r="D597" s="352">
        <v>834900.12</v>
      </c>
      <c r="E597" s="352">
        <v>1881928.44</v>
      </c>
    </row>
    <row r="598" spans="1:5" ht="13">
      <c r="A598" s="302" t="s">
        <v>329</v>
      </c>
      <c r="B598" s="352">
        <v>908473.14</v>
      </c>
      <c r="C598" s="352">
        <v>283274.18</v>
      </c>
      <c r="D598" s="302">
        <v>0</v>
      </c>
      <c r="E598" s="352">
        <v>625198.96</v>
      </c>
    </row>
    <row r="599" spans="1:5" ht="13">
      <c r="A599" s="302" t="s">
        <v>330</v>
      </c>
      <c r="B599" s="352">
        <v>601695.74</v>
      </c>
      <c r="C599" s="352">
        <v>101650</v>
      </c>
      <c r="D599" s="352">
        <v>312882.74</v>
      </c>
      <c r="E599" s="352">
        <v>187163</v>
      </c>
    </row>
    <row r="600" spans="1:5" ht="13">
      <c r="A600" s="302" t="s">
        <v>975</v>
      </c>
      <c r="B600" s="352">
        <v>439218.94</v>
      </c>
      <c r="C600" s="352">
        <v>439218.94</v>
      </c>
      <c r="D600" s="302">
        <v>0</v>
      </c>
      <c r="E600" s="302">
        <v>0</v>
      </c>
    </row>
    <row r="601" spans="1:5" ht="13">
      <c r="A601" s="302" t="s">
        <v>1138</v>
      </c>
      <c r="B601" s="352">
        <v>5936611.4299999997</v>
      </c>
      <c r="C601" s="352">
        <v>2354967.86</v>
      </c>
      <c r="D601" s="352">
        <v>1401655.94</v>
      </c>
      <c r="E601" s="352">
        <v>2179987.63</v>
      </c>
    </row>
    <row r="602" spans="1:5" ht="13">
      <c r="A602" s="302" t="s">
        <v>1365</v>
      </c>
      <c r="B602" s="352">
        <v>915998.31</v>
      </c>
      <c r="C602" s="352">
        <v>915998.31</v>
      </c>
      <c r="D602" s="302">
        <v>0</v>
      </c>
      <c r="E602" s="302">
        <v>0</v>
      </c>
    </row>
    <row r="603" spans="1:5" ht="13">
      <c r="A603" s="302" t="s">
        <v>1366</v>
      </c>
      <c r="B603" s="352">
        <v>588636.48</v>
      </c>
      <c r="C603" s="302">
        <v>0</v>
      </c>
      <c r="D603" s="352">
        <v>285542.40999999997</v>
      </c>
      <c r="E603" s="352">
        <v>303094.07</v>
      </c>
    </row>
    <row r="604" spans="1:5" ht="13">
      <c r="A604" s="302" t="s">
        <v>454</v>
      </c>
      <c r="B604" s="352">
        <v>1301110.32</v>
      </c>
      <c r="C604" s="352">
        <v>287846.71999999997</v>
      </c>
      <c r="D604" s="352">
        <v>763967.92</v>
      </c>
      <c r="E604" s="352">
        <v>249295.68</v>
      </c>
    </row>
    <row r="605" spans="1:5" ht="13">
      <c r="A605" s="302" t="s">
        <v>465</v>
      </c>
      <c r="B605" s="352">
        <v>883800.02</v>
      </c>
      <c r="C605" s="302">
        <v>0</v>
      </c>
      <c r="D605" s="302">
        <v>0</v>
      </c>
      <c r="E605" s="352">
        <v>883800.02</v>
      </c>
    </row>
    <row r="606" spans="1:5" ht="13">
      <c r="A606" s="302" t="s">
        <v>696</v>
      </c>
      <c r="B606" s="352">
        <v>1457773.53</v>
      </c>
      <c r="C606" s="352">
        <v>586579.65</v>
      </c>
      <c r="D606" s="352">
        <v>718505.74</v>
      </c>
      <c r="E606" s="352">
        <v>152688.14000000001</v>
      </c>
    </row>
    <row r="607" spans="1:5" ht="13">
      <c r="A607" s="302" t="s">
        <v>1665</v>
      </c>
      <c r="B607" s="352">
        <v>1660618.95</v>
      </c>
      <c r="C607" s="352">
        <v>714779.12</v>
      </c>
      <c r="D607" s="352">
        <v>559738.71</v>
      </c>
      <c r="E607" s="352">
        <v>386101.12</v>
      </c>
    </row>
    <row r="608" spans="1:5" ht="13">
      <c r="A608" s="302" t="s">
        <v>631</v>
      </c>
      <c r="B608" s="352">
        <v>3270387.14</v>
      </c>
      <c r="C608" s="352">
        <v>1059337.93</v>
      </c>
      <c r="D608" s="352">
        <v>1460624.29</v>
      </c>
      <c r="E608" s="352">
        <v>750424.92</v>
      </c>
    </row>
    <row r="609" spans="1:5" ht="13">
      <c r="A609" s="302" t="s">
        <v>918</v>
      </c>
      <c r="B609" s="352">
        <v>151839.76</v>
      </c>
      <c r="C609" s="302">
        <v>0</v>
      </c>
      <c r="D609" s="302">
        <v>0</v>
      </c>
      <c r="E609" s="352">
        <v>151839.76</v>
      </c>
    </row>
    <row r="610" spans="1:5" ht="13">
      <c r="A610" s="302" t="s">
        <v>872</v>
      </c>
      <c r="B610" s="352">
        <v>6868031.0899999999</v>
      </c>
      <c r="C610" s="352">
        <v>3243018.33</v>
      </c>
      <c r="D610" s="352">
        <v>1339504.6399999999</v>
      </c>
      <c r="E610" s="352">
        <v>2285508.12</v>
      </c>
    </row>
    <row r="611" spans="1:5" ht="13">
      <c r="A611" s="302" t="s">
        <v>1459</v>
      </c>
      <c r="B611" s="352">
        <v>343826.04</v>
      </c>
      <c r="C611" s="302">
        <v>0</v>
      </c>
      <c r="D611" s="302">
        <v>0</v>
      </c>
      <c r="E611" s="352">
        <v>343826.04</v>
      </c>
    </row>
    <row r="612" spans="1:5" ht="13">
      <c r="A612" s="302" t="s">
        <v>1207</v>
      </c>
      <c r="B612" s="352">
        <v>102434.57</v>
      </c>
      <c r="C612" s="352">
        <v>102434.57</v>
      </c>
      <c r="D612" s="302">
        <v>0</v>
      </c>
      <c r="E612" s="302">
        <v>0</v>
      </c>
    </row>
    <row r="613" spans="1:5" ht="13">
      <c r="A613" s="302" t="s">
        <v>1666</v>
      </c>
      <c r="B613" s="352">
        <v>2877963.01</v>
      </c>
      <c r="C613" s="352">
        <v>1440068.32</v>
      </c>
      <c r="D613" s="352">
        <v>730699.44</v>
      </c>
      <c r="E613" s="352">
        <v>707195.25</v>
      </c>
    </row>
    <row r="614" spans="1:5" ht="13">
      <c r="A614" s="302" t="s">
        <v>446</v>
      </c>
      <c r="B614" s="352">
        <v>7057402.8399999999</v>
      </c>
      <c r="C614" s="352">
        <v>3677545.1</v>
      </c>
      <c r="D614" s="352">
        <v>1580115.1</v>
      </c>
      <c r="E614" s="352">
        <v>1799742.64</v>
      </c>
    </row>
    <row r="615" spans="1:5" ht="13">
      <c r="A615" s="302" t="s">
        <v>1002</v>
      </c>
      <c r="B615" s="352">
        <v>1295470.77</v>
      </c>
      <c r="C615" s="302">
        <v>0</v>
      </c>
      <c r="D615" s="352">
        <v>897116.12</v>
      </c>
      <c r="E615" s="352">
        <v>398354.65</v>
      </c>
    </row>
    <row r="616" spans="1:5" ht="13">
      <c r="A616" s="302" t="s">
        <v>1272</v>
      </c>
      <c r="B616" s="352">
        <v>1874977.23</v>
      </c>
      <c r="C616" s="352">
        <v>947452.16</v>
      </c>
      <c r="D616" s="352">
        <v>703612.41</v>
      </c>
      <c r="E616" s="352">
        <v>223912.65</v>
      </c>
    </row>
    <row r="617" spans="1:5" ht="13">
      <c r="A617" s="302" t="s">
        <v>903</v>
      </c>
      <c r="B617" s="352">
        <v>19111.63</v>
      </c>
      <c r="C617" s="352">
        <v>19111.63</v>
      </c>
      <c r="D617" s="302">
        <v>0</v>
      </c>
      <c r="E617" s="302">
        <v>0</v>
      </c>
    </row>
    <row r="618" spans="1:5" ht="13">
      <c r="A618" s="302" t="s">
        <v>947</v>
      </c>
      <c r="B618" s="352">
        <v>1540040.29</v>
      </c>
      <c r="C618" s="352">
        <v>391384.88</v>
      </c>
      <c r="D618" s="352">
        <v>351377.12</v>
      </c>
      <c r="E618" s="352">
        <v>797278.29</v>
      </c>
    </row>
    <row r="619" spans="1:5" ht="13">
      <c r="A619" s="302" t="s">
        <v>758</v>
      </c>
      <c r="B619" s="352">
        <v>1636774.64</v>
      </c>
      <c r="C619" s="352">
        <v>534257.76</v>
      </c>
      <c r="D619" s="352">
        <v>468715.68</v>
      </c>
      <c r="E619" s="352">
        <v>633801.19999999995</v>
      </c>
    </row>
    <row r="620" spans="1:5" ht="13">
      <c r="A620" s="302" t="s">
        <v>846</v>
      </c>
      <c r="B620" s="352">
        <v>2683138.52</v>
      </c>
      <c r="C620" s="352">
        <v>1180351.98</v>
      </c>
      <c r="D620" s="352">
        <v>991301.95</v>
      </c>
      <c r="E620" s="352">
        <v>511484.6</v>
      </c>
    </row>
    <row r="621" spans="1:5" ht="13">
      <c r="A621" s="302" t="s">
        <v>1383</v>
      </c>
      <c r="B621" s="352">
        <v>247016.57</v>
      </c>
      <c r="C621" s="302">
        <v>0</v>
      </c>
      <c r="D621" s="352">
        <v>247016.57</v>
      </c>
      <c r="E621" s="302">
        <v>0</v>
      </c>
    </row>
    <row r="622" spans="1:5" ht="13">
      <c r="A622" s="302" t="s">
        <v>877</v>
      </c>
      <c r="B622" s="352">
        <v>1204348.26</v>
      </c>
      <c r="C622" s="352">
        <v>528737.93999999994</v>
      </c>
      <c r="D622" s="352">
        <v>510370.4</v>
      </c>
      <c r="E622" s="352">
        <v>165239.92000000001</v>
      </c>
    </row>
    <row r="623" spans="1:5" ht="13">
      <c r="A623" s="302" t="s">
        <v>1477</v>
      </c>
      <c r="B623" s="352">
        <v>434052.83</v>
      </c>
      <c r="C623" s="352">
        <v>434052.83</v>
      </c>
      <c r="D623" s="302">
        <v>0</v>
      </c>
      <c r="E623" s="302">
        <v>0</v>
      </c>
    </row>
    <row r="624" spans="1:5" ht="13">
      <c r="A624" s="302" t="s">
        <v>850</v>
      </c>
      <c r="B624" s="352">
        <v>1882662.78</v>
      </c>
      <c r="C624" s="352">
        <v>446324.68</v>
      </c>
      <c r="D624" s="352">
        <v>524483.59</v>
      </c>
      <c r="E624" s="352">
        <v>911854.51</v>
      </c>
    </row>
    <row r="625" spans="1:5" ht="13">
      <c r="A625" s="302" t="s">
        <v>1404</v>
      </c>
      <c r="B625" s="352">
        <v>7335885.4100000001</v>
      </c>
      <c r="C625" s="352">
        <v>2759751.76</v>
      </c>
      <c r="D625" s="352">
        <v>4041961.99</v>
      </c>
      <c r="E625" s="352">
        <v>534171.66</v>
      </c>
    </row>
    <row r="626" spans="1:5" ht="13">
      <c r="A626" s="302" t="s">
        <v>731</v>
      </c>
      <c r="B626" s="352">
        <v>10098152.26</v>
      </c>
      <c r="C626" s="352">
        <v>3193146.08</v>
      </c>
      <c r="D626" s="352">
        <v>3332379.6</v>
      </c>
      <c r="E626" s="352">
        <v>3572626.58</v>
      </c>
    </row>
    <row r="627" spans="1:5" ht="13">
      <c r="A627" s="302" t="s">
        <v>1133</v>
      </c>
      <c r="B627" s="352">
        <v>2603650.9500000002</v>
      </c>
      <c r="C627" s="352">
        <v>744736.91</v>
      </c>
      <c r="D627" s="352">
        <v>854023.23</v>
      </c>
      <c r="E627" s="352">
        <v>1004890.81</v>
      </c>
    </row>
    <row r="628" spans="1:5" ht="13">
      <c r="A628" s="302" t="s">
        <v>878</v>
      </c>
      <c r="B628" s="352">
        <v>2554740.35</v>
      </c>
      <c r="C628" s="352">
        <v>784132.83</v>
      </c>
      <c r="D628" s="352">
        <v>946598.64</v>
      </c>
      <c r="E628" s="352">
        <v>824008.88</v>
      </c>
    </row>
    <row r="629" spans="1:5" ht="13">
      <c r="A629" s="302" t="s">
        <v>1180</v>
      </c>
      <c r="B629" s="352">
        <v>203857.07</v>
      </c>
      <c r="C629" s="352">
        <v>77973.72</v>
      </c>
      <c r="D629" s="352">
        <v>96271.52</v>
      </c>
      <c r="E629" s="352">
        <v>29611.84</v>
      </c>
    </row>
    <row r="630" spans="1:5" ht="13">
      <c r="A630" s="302" t="s">
        <v>199</v>
      </c>
      <c r="B630" s="352">
        <v>1885882.19</v>
      </c>
      <c r="C630" s="352">
        <v>563678.30000000005</v>
      </c>
      <c r="D630" s="352">
        <v>750061.55</v>
      </c>
      <c r="E630" s="352">
        <v>572142.34</v>
      </c>
    </row>
    <row r="631" spans="1:5" ht="13">
      <c r="A631" s="302" t="s">
        <v>435</v>
      </c>
      <c r="B631" s="352">
        <v>2490588.56</v>
      </c>
      <c r="C631" s="352">
        <v>1010088.28</v>
      </c>
      <c r="D631" s="352">
        <v>518118.54</v>
      </c>
      <c r="E631" s="352">
        <v>962381.75</v>
      </c>
    </row>
    <row r="632" spans="1:5" ht="13">
      <c r="A632" s="302" t="s">
        <v>563</v>
      </c>
      <c r="B632" s="352">
        <v>3345697.43</v>
      </c>
      <c r="C632" s="352">
        <v>480087.84</v>
      </c>
      <c r="D632" s="352">
        <v>1212119.54</v>
      </c>
      <c r="E632" s="352">
        <v>1653490.05</v>
      </c>
    </row>
    <row r="633" spans="1:5" ht="13">
      <c r="A633" s="302" t="s">
        <v>759</v>
      </c>
      <c r="B633" s="352">
        <v>321180.44</v>
      </c>
      <c r="C633" s="352">
        <v>61124.56</v>
      </c>
      <c r="D633" s="352">
        <v>135557.4</v>
      </c>
      <c r="E633" s="352">
        <v>124498.48</v>
      </c>
    </row>
    <row r="634" spans="1:5" ht="13">
      <c r="A634" s="302" t="s">
        <v>159</v>
      </c>
      <c r="B634" s="352">
        <v>352059.28</v>
      </c>
      <c r="C634" s="302">
        <v>0</v>
      </c>
      <c r="D634" s="352">
        <v>177864.05</v>
      </c>
      <c r="E634" s="352">
        <v>174195.23</v>
      </c>
    </row>
    <row r="635" spans="1:5" ht="13">
      <c r="A635" s="302" t="s">
        <v>844</v>
      </c>
      <c r="B635" s="352">
        <v>5568107.7699999996</v>
      </c>
      <c r="C635" s="352">
        <v>1426111.8</v>
      </c>
      <c r="D635" s="352">
        <v>2728335.02</v>
      </c>
      <c r="E635" s="352">
        <v>1413660.94</v>
      </c>
    </row>
    <row r="636" spans="1:5" ht="13">
      <c r="A636" s="302" t="s">
        <v>200</v>
      </c>
      <c r="B636" s="352">
        <v>619263.97</v>
      </c>
      <c r="C636" s="352">
        <v>355215.56</v>
      </c>
      <c r="D636" s="352">
        <v>147785.09</v>
      </c>
      <c r="E636" s="352">
        <v>116263.31</v>
      </c>
    </row>
    <row r="637" spans="1:5" ht="13">
      <c r="A637" s="302" t="s">
        <v>928</v>
      </c>
      <c r="B637" s="352">
        <v>1696670.28</v>
      </c>
      <c r="C637" s="352">
        <v>694565.05</v>
      </c>
      <c r="D637" s="352">
        <v>586365.47</v>
      </c>
      <c r="E637" s="352">
        <v>415739.76</v>
      </c>
    </row>
    <row r="638" spans="1:5" ht="13">
      <c r="A638" s="302" t="s">
        <v>1667</v>
      </c>
      <c r="B638" s="352">
        <v>263138.23</v>
      </c>
      <c r="C638" s="352">
        <v>263138.23</v>
      </c>
      <c r="D638" s="302">
        <v>0</v>
      </c>
      <c r="E638" s="302">
        <v>0</v>
      </c>
    </row>
    <row r="639" spans="1:5" ht="13">
      <c r="A639" s="302" t="s">
        <v>805</v>
      </c>
      <c r="B639" s="352">
        <v>14851.5</v>
      </c>
      <c r="C639" s="352">
        <v>14851.5</v>
      </c>
      <c r="D639" s="302">
        <v>0</v>
      </c>
      <c r="E639" s="302">
        <v>0</v>
      </c>
    </row>
    <row r="640" spans="1:5" ht="13">
      <c r="A640" s="302" t="s">
        <v>760</v>
      </c>
      <c r="B640" s="352">
        <v>696974.96</v>
      </c>
      <c r="C640" s="352">
        <v>260663.76</v>
      </c>
      <c r="D640" s="352">
        <v>131752</v>
      </c>
      <c r="E640" s="352">
        <v>304559.2</v>
      </c>
    </row>
    <row r="641" spans="1:5" ht="13">
      <c r="A641" s="302" t="s">
        <v>920</v>
      </c>
      <c r="B641" s="352">
        <v>75941.100000000006</v>
      </c>
      <c r="C641" s="302">
        <v>0</v>
      </c>
      <c r="D641" s="352">
        <v>37970.550000000003</v>
      </c>
      <c r="E641" s="352">
        <v>37970.550000000003</v>
      </c>
    </row>
    <row r="642" spans="1:5" ht="13">
      <c r="A642" s="302" t="s">
        <v>1071</v>
      </c>
      <c r="B642" s="352">
        <v>291004.84000000003</v>
      </c>
      <c r="C642" s="352">
        <v>142206.20000000001</v>
      </c>
      <c r="D642" s="302">
        <v>0</v>
      </c>
      <c r="E642" s="352">
        <v>148798.64000000001</v>
      </c>
    </row>
    <row r="643" spans="1:5" ht="13">
      <c r="A643" s="302" t="s">
        <v>1338</v>
      </c>
      <c r="B643" s="352">
        <v>242878.6</v>
      </c>
      <c r="C643" s="352">
        <v>50868.68</v>
      </c>
      <c r="D643" s="302">
        <v>0</v>
      </c>
      <c r="E643" s="352">
        <v>192009.92</v>
      </c>
    </row>
    <row r="644" spans="1:5" ht="13">
      <c r="A644" s="302" t="s">
        <v>927</v>
      </c>
      <c r="B644" s="352">
        <v>3067214.91</v>
      </c>
      <c r="C644" s="352">
        <v>799028.98</v>
      </c>
      <c r="D644" s="352">
        <v>84199.52</v>
      </c>
      <c r="E644" s="352">
        <v>2183986.41</v>
      </c>
    </row>
    <row r="645" spans="1:5" ht="13">
      <c r="A645" s="302" t="s">
        <v>1017</v>
      </c>
      <c r="B645" s="352">
        <v>1874588.77</v>
      </c>
      <c r="C645" s="352">
        <v>716960.57</v>
      </c>
      <c r="D645" s="352">
        <v>514720.36</v>
      </c>
      <c r="E645" s="352">
        <v>642907.85</v>
      </c>
    </row>
    <row r="646" spans="1:5" ht="13">
      <c r="A646" s="302" t="s">
        <v>761</v>
      </c>
      <c r="B646" s="352">
        <v>1576917.33</v>
      </c>
      <c r="C646" s="352">
        <v>524902.76</v>
      </c>
      <c r="D646" s="352">
        <v>636175.29</v>
      </c>
      <c r="E646" s="352">
        <v>415839.28</v>
      </c>
    </row>
    <row r="647" spans="1:5" ht="13">
      <c r="A647" s="302" t="s">
        <v>536</v>
      </c>
      <c r="B647" s="352">
        <v>11439771.949999999</v>
      </c>
      <c r="C647" s="352">
        <v>3023813.07</v>
      </c>
      <c r="D647" s="352">
        <v>3339311.52</v>
      </c>
      <c r="E647" s="352">
        <v>5076647.37</v>
      </c>
    </row>
    <row r="648" spans="1:5" ht="13">
      <c r="A648" s="302" t="s">
        <v>873</v>
      </c>
      <c r="B648" s="352">
        <v>1726999.92</v>
      </c>
      <c r="C648" s="352">
        <v>519699.77</v>
      </c>
      <c r="D648" s="352">
        <v>545934.96</v>
      </c>
      <c r="E648" s="352">
        <v>661365.19999999995</v>
      </c>
    </row>
    <row r="649" spans="1:5" ht="13">
      <c r="A649" s="302" t="s">
        <v>542</v>
      </c>
      <c r="B649" s="352">
        <v>2947924.08</v>
      </c>
      <c r="C649" s="352">
        <v>852328.45</v>
      </c>
      <c r="D649" s="352">
        <v>1495662.29</v>
      </c>
      <c r="E649" s="352">
        <v>599933.34</v>
      </c>
    </row>
    <row r="650" spans="1:5" ht="13">
      <c r="A650" s="302" t="s">
        <v>715</v>
      </c>
      <c r="B650" s="352">
        <v>6517004.8099999996</v>
      </c>
      <c r="C650" s="352">
        <v>1607691.85</v>
      </c>
      <c r="D650" s="352">
        <v>1553875.09</v>
      </c>
      <c r="E650" s="352">
        <v>3355437.87</v>
      </c>
    </row>
    <row r="651" spans="1:5" ht="13">
      <c r="A651" s="302" t="s">
        <v>1208</v>
      </c>
      <c r="B651" s="352">
        <v>87588.74</v>
      </c>
      <c r="C651" s="352">
        <v>87588.74</v>
      </c>
      <c r="D651" s="302">
        <v>0</v>
      </c>
      <c r="E651" s="302">
        <v>0</v>
      </c>
    </row>
    <row r="652" spans="1:5" ht="13">
      <c r="A652" s="302" t="s">
        <v>1322</v>
      </c>
      <c r="B652" s="352">
        <v>1383415.5</v>
      </c>
      <c r="C652" s="352">
        <v>486536.44</v>
      </c>
      <c r="D652" s="352">
        <v>610043.76</v>
      </c>
      <c r="E652" s="352">
        <v>286835.3</v>
      </c>
    </row>
    <row r="653" spans="1:5" ht="13">
      <c r="A653" s="302" t="s">
        <v>436</v>
      </c>
      <c r="B653" s="352">
        <v>4657882.8</v>
      </c>
      <c r="C653" s="352">
        <v>1643317.79</v>
      </c>
      <c r="D653" s="352">
        <v>1491336.11</v>
      </c>
      <c r="E653" s="352">
        <v>1523228.9</v>
      </c>
    </row>
    <row r="654" spans="1:5" ht="13">
      <c r="A654" s="302" t="s">
        <v>1274</v>
      </c>
      <c r="B654" s="352">
        <v>494701.34</v>
      </c>
      <c r="C654" s="352">
        <v>175277.89</v>
      </c>
      <c r="D654" s="302">
        <v>0</v>
      </c>
      <c r="E654" s="352">
        <v>319423.45</v>
      </c>
    </row>
    <row r="655" spans="1:5" ht="13">
      <c r="A655" s="302" t="s">
        <v>668</v>
      </c>
      <c r="B655" s="352">
        <v>1577968.36</v>
      </c>
      <c r="C655" s="352">
        <v>1028051.74</v>
      </c>
      <c r="D655" s="352">
        <v>330989.90000000002</v>
      </c>
      <c r="E655" s="352">
        <v>218926.72</v>
      </c>
    </row>
    <row r="656" spans="1:5" ht="13">
      <c r="A656" s="302" t="s">
        <v>1492</v>
      </c>
      <c r="B656" s="352">
        <v>6204545.4500000002</v>
      </c>
      <c r="C656" s="352">
        <v>3722727.27</v>
      </c>
      <c r="D656" s="352">
        <v>2481818.1800000002</v>
      </c>
      <c r="E656" s="302">
        <v>0</v>
      </c>
    </row>
    <row r="657" spans="1:5" ht="13">
      <c r="A657" s="302" t="s">
        <v>333</v>
      </c>
      <c r="B657" s="352">
        <v>516776.03</v>
      </c>
      <c r="C657" s="352">
        <v>199177.69</v>
      </c>
      <c r="D657" s="302">
        <v>0</v>
      </c>
      <c r="E657" s="352">
        <v>317598.34999999998</v>
      </c>
    </row>
    <row r="658" spans="1:5" ht="13">
      <c r="A658" s="302" t="s">
        <v>1117</v>
      </c>
      <c r="B658" s="352">
        <v>387522.31</v>
      </c>
      <c r="C658" s="302">
        <v>0</v>
      </c>
      <c r="D658" s="352">
        <v>387522.31</v>
      </c>
      <c r="E658" s="302">
        <v>0</v>
      </c>
    </row>
    <row r="659" spans="1:5" ht="13">
      <c r="A659" s="302" t="s">
        <v>1494</v>
      </c>
      <c r="B659" s="352">
        <v>422966.12</v>
      </c>
      <c r="C659" s="352">
        <v>422966.12</v>
      </c>
      <c r="D659" s="302">
        <v>0</v>
      </c>
      <c r="E659" s="302">
        <v>0</v>
      </c>
    </row>
    <row r="660" spans="1:5" ht="13">
      <c r="A660" s="302" t="s">
        <v>1495</v>
      </c>
      <c r="B660" s="352">
        <v>659355.37</v>
      </c>
      <c r="C660" s="352">
        <v>720740.5</v>
      </c>
      <c r="D660" s="302">
        <v>0</v>
      </c>
      <c r="E660" s="352">
        <v>-61385.120000000003</v>
      </c>
    </row>
    <row r="661" spans="1:5" ht="13">
      <c r="A661" s="302" t="s">
        <v>224</v>
      </c>
      <c r="B661" s="352">
        <v>19421487.600000001</v>
      </c>
      <c r="C661" s="302">
        <v>0</v>
      </c>
      <c r="D661" s="352">
        <v>19421487.600000001</v>
      </c>
      <c r="E661" s="302">
        <v>0</v>
      </c>
    </row>
    <row r="662" spans="1:5" ht="13">
      <c r="A662" s="302" t="s">
        <v>1498</v>
      </c>
      <c r="B662" s="352">
        <v>502443.8</v>
      </c>
      <c r="C662" s="302">
        <v>0</v>
      </c>
      <c r="D662" s="352">
        <v>149419.01</v>
      </c>
      <c r="E662" s="352">
        <v>353024.79</v>
      </c>
    </row>
    <row r="663" spans="1:5" ht="13">
      <c r="A663" s="302" t="s">
        <v>806</v>
      </c>
      <c r="B663" s="352">
        <v>506423.14</v>
      </c>
      <c r="C663" s="302">
        <v>0</v>
      </c>
      <c r="D663" s="302">
        <v>0</v>
      </c>
      <c r="E663" s="352">
        <v>506423.14</v>
      </c>
    </row>
    <row r="664" spans="1:5" ht="13">
      <c r="A664" s="302" t="s">
        <v>1499</v>
      </c>
      <c r="B664" s="352">
        <v>228727.27</v>
      </c>
      <c r="C664" s="302">
        <v>0</v>
      </c>
      <c r="D664" s="302">
        <v>0</v>
      </c>
      <c r="E664" s="352">
        <v>228727.27</v>
      </c>
    </row>
    <row r="665" spans="1:5" ht="13">
      <c r="A665" s="302" t="s">
        <v>807</v>
      </c>
      <c r="B665" s="352">
        <v>1565956.2</v>
      </c>
      <c r="C665" s="352">
        <v>701304.96</v>
      </c>
      <c r="D665" s="352">
        <v>864651.24</v>
      </c>
      <c r="E665" s="302">
        <v>0</v>
      </c>
    </row>
    <row r="666" spans="1:5" ht="13">
      <c r="A666" s="302" t="s">
        <v>1503</v>
      </c>
      <c r="B666" s="352">
        <v>1259380.99</v>
      </c>
      <c r="C666" s="302">
        <v>0</v>
      </c>
      <c r="D666" s="352">
        <v>1385182.64</v>
      </c>
      <c r="E666" s="352">
        <v>-125801.65</v>
      </c>
    </row>
    <row r="667" spans="1:5" ht="13">
      <c r="A667" s="302" t="s">
        <v>1668</v>
      </c>
      <c r="B667" s="352">
        <v>1234554.2</v>
      </c>
      <c r="C667" s="302">
        <v>0</v>
      </c>
      <c r="D667" s="352">
        <v>504880.2</v>
      </c>
      <c r="E667" s="352">
        <v>729674</v>
      </c>
    </row>
    <row r="668" spans="1:5" ht="13">
      <c r="A668" s="302" t="s">
        <v>593</v>
      </c>
      <c r="B668" s="352">
        <v>1750350.37</v>
      </c>
      <c r="C668" s="352">
        <v>468210.75</v>
      </c>
      <c r="D668" s="352">
        <v>938748.87</v>
      </c>
      <c r="E668" s="352">
        <v>343390.75</v>
      </c>
    </row>
    <row r="669" spans="1:5" ht="13">
      <c r="A669" s="302" t="s">
        <v>1335</v>
      </c>
      <c r="B669" s="352">
        <v>220846.45</v>
      </c>
      <c r="C669" s="352">
        <v>139779.85999999999</v>
      </c>
      <c r="D669" s="302">
        <v>0</v>
      </c>
      <c r="E669" s="352">
        <v>81066.59</v>
      </c>
    </row>
    <row r="670" spans="1:5" ht="13">
      <c r="A670" s="302" t="s">
        <v>862</v>
      </c>
      <c r="B670" s="352">
        <v>3562315.53</v>
      </c>
      <c r="C670" s="352">
        <v>1875253.78</v>
      </c>
      <c r="D670" s="352">
        <v>1342831.83</v>
      </c>
      <c r="E670" s="352">
        <v>344229.93</v>
      </c>
    </row>
    <row r="671" spans="1:5" ht="13">
      <c r="A671" s="302" t="s">
        <v>201</v>
      </c>
      <c r="B671" s="352">
        <v>356154.73</v>
      </c>
      <c r="C671" s="352">
        <v>192709.88</v>
      </c>
      <c r="D671" s="352">
        <v>104926.5</v>
      </c>
      <c r="E671" s="352">
        <v>58518.35</v>
      </c>
    </row>
    <row r="672" spans="1:5" ht="13">
      <c r="A672" s="302" t="s">
        <v>519</v>
      </c>
      <c r="B672" s="352">
        <v>3531341.1</v>
      </c>
      <c r="C672" s="352">
        <v>758154.6</v>
      </c>
      <c r="D672" s="352">
        <v>970747.2</v>
      </c>
      <c r="E672" s="352">
        <v>1802439.3</v>
      </c>
    </row>
    <row r="673" spans="1:5" ht="13">
      <c r="A673" s="302" t="s">
        <v>1150</v>
      </c>
      <c r="B673" s="352">
        <v>324106.65999999997</v>
      </c>
      <c r="C673" s="352">
        <v>287173.98</v>
      </c>
      <c r="D673" s="302">
        <v>0</v>
      </c>
      <c r="E673" s="352">
        <v>36932.68</v>
      </c>
    </row>
    <row r="674" spans="1:5" ht="13">
      <c r="A674" s="302" t="s">
        <v>160</v>
      </c>
      <c r="B674" s="352">
        <v>718186.57</v>
      </c>
      <c r="C674" s="302">
        <v>0</v>
      </c>
      <c r="D674" s="352">
        <v>416095.96</v>
      </c>
      <c r="E674" s="352">
        <v>302090.61</v>
      </c>
    </row>
    <row r="675" spans="1:5" ht="13">
      <c r="A675" s="302" t="s">
        <v>1669</v>
      </c>
      <c r="B675" s="352">
        <v>21528627.390000001</v>
      </c>
      <c r="C675" s="352">
        <v>12086975.41</v>
      </c>
      <c r="D675" s="352">
        <v>2031794.55</v>
      </c>
      <c r="E675" s="352">
        <v>7409857.4299999997</v>
      </c>
    </row>
    <row r="676" spans="1:5" ht="13">
      <c r="A676" s="302" t="s">
        <v>847</v>
      </c>
      <c r="B676" s="352">
        <v>12089733.08</v>
      </c>
      <c r="C676" s="352">
        <v>3675996.84</v>
      </c>
      <c r="D676" s="352">
        <v>4621544.67</v>
      </c>
      <c r="E676" s="352">
        <v>3792191.56</v>
      </c>
    </row>
    <row r="677" spans="1:5" ht="13">
      <c r="A677" s="302" t="s">
        <v>942</v>
      </c>
      <c r="B677" s="352">
        <v>53445.31</v>
      </c>
      <c r="C677" s="302">
        <v>0</v>
      </c>
      <c r="D677" s="302">
        <v>0</v>
      </c>
      <c r="E677" s="352">
        <v>53445.31</v>
      </c>
    </row>
    <row r="678" spans="1:5" ht="13">
      <c r="A678" s="302" t="s">
        <v>1670</v>
      </c>
      <c r="B678" s="352">
        <v>7758900.7199999997</v>
      </c>
      <c r="C678" s="352">
        <v>147219.6</v>
      </c>
      <c r="D678" s="352">
        <v>7488016.7999999998</v>
      </c>
      <c r="E678" s="352">
        <v>123664.32000000001</v>
      </c>
    </row>
    <row r="679" spans="1:5" ht="13">
      <c r="A679" s="302" t="s">
        <v>704</v>
      </c>
      <c r="B679" s="352">
        <v>1344098.38</v>
      </c>
      <c r="C679" s="352">
        <v>229370.32</v>
      </c>
      <c r="D679" s="352">
        <v>422991.73</v>
      </c>
      <c r="E679" s="352">
        <v>691736.33</v>
      </c>
    </row>
    <row r="680" spans="1:5" ht="13">
      <c r="A680" s="302" t="s">
        <v>808</v>
      </c>
      <c r="B680" s="352">
        <v>2138748.62</v>
      </c>
      <c r="C680" s="352">
        <v>757302.93</v>
      </c>
      <c r="D680" s="352">
        <v>651414.73</v>
      </c>
      <c r="E680" s="352">
        <v>730030.97</v>
      </c>
    </row>
    <row r="681" spans="1:5" ht="13">
      <c r="A681" s="302" t="s">
        <v>1104</v>
      </c>
      <c r="B681" s="352">
        <v>1723912.54</v>
      </c>
      <c r="C681" s="352">
        <v>381364.55</v>
      </c>
      <c r="D681" s="352">
        <v>933861.64</v>
      </c>
      <c r="E681" s="352">
        <v>408686.35</v>
      </c>
    </row>
    <row r="682" spans="1:5" ht="13">
      <c r="A682" s="302" t="s">
        <v>1278</v>
      </c>
      <c r="B682" s="352">
        <v>4555570.4000000004</v>
      </c>
      <c r="C682" s="352">
        <v>1683287.27</v>
      </c>
      <c r="D682" s="352">
        <v>1720928.69</v>
      </c>
      <c r="E682" s="352">
        <v>1151354.43</v>
      </c>
    </row>
    <row r="683" spans="1:5" ht="13">
      <c r="A683" s="302" t="s">
        <v>639</v>
      </c>
      <c r="B683" s="352">
        <v>30250.799999999999</v>
      </c>
      <c r="C683" s="302">
        <v>0</v>
      </c>
      <c r="D683" s="352">
        <v>30250.799999999999</v>
      </c>
      <c r="E683" s="302">
        <v>0</v>
      </c>
    </row>
    <row r="684" spans="1:5" ht="13">
      <c r="A684" s="302" t="s">
        <v>1323</v>
      </c>
      <c r="B684" s="352">
        <v>1074616.1299999999</v>
      </c>
      <c r="C684" s="302">
        <v>0</v>
      </c>
      <c r="D684" s="352">
        <v>407804.44</v>
      </c>
      <c r="E684" s="352">
        <v>666811.69999999995</v>
      </c>
    </row>
    <row r="685" spans="1:5" ht="13">
      <c r="A685" s="302" t="s">
        <v>489</v>
      </c>
      <c r="B685" s="352">
        <v>1802935.88</v>
      </c>
      <c r="C685" s="352">
        <v>614921.84</v>
      </c>
      <c r="D685" s="352">
        <v>854316.52</v>
      </c>
      <c r="E685" s="352">
        <v>333697.52</v>
      </c>
    </row>
    <row r="686" spans="1:5" ht="13">
      <c r="A686" s="302" t="s">
        <v>1014</v>
      </c>
      <c r="B686" s="352">
        <v>932097.02</v>
      </c>
      <c r="C686" s="302">
        <v>0</v>
      </c>
      <c r="D686" s="352">
        <v>391748.05</v>
      </c>
      <c r="E686" s="352">
        <v>540348.97</v>
      </c>
    </row>
    <row r="687" spans="1:5" ht="13">
      <c r="A687" s="302" t="s">
        <v>1402</v>
      </c>
      <c r="B687" s="352">
        <v>322935.08</v>
      </c>
      <c r="C687" s="352">
        <v>322935.08</v>
      </c>
      <c r="D687" s="302">
        <v>0</v>
      </c>
      <c r="E687" s="302">
        <v>0</v>
      </c>
    </row>
    <row r="688" spans="1:5" ht="13">
      <c r="A688" s="302" t="s">
        <v>1301</v>
      </c>
      <c r="B688" s="352">
        <v>4677827.7</v>
      </c>
      <c r="C688" s="352">
        <v>914686.01</v>
      </c>
      <c r="D688" s="352">
        <v>2525875.58</v>
      </c>
      <c r="E688" s="352">
        <v>1237266.1100000001</v>
      </c>
    </row>
    <row r="689" spans="1:5" ht="13">
      <c r="A689" s="302" t="s">
        <v>67</v>
      </c>
      <c r="B689" s="352">
        <v>97043915.120000005</v>
      </c>
      <c r="C689" s="352">
        <v>27477442.77</v>
      </c>
      <c r="D689" s="352">
        <v>27210427.34</v>
      </c>
      <c r="E689" s="352">
        <v>42356045.020000003</v>
      </c>
    </row>
    <row r="690" spans="1:5" ht="13">
      <c r="A690" s="302" t="s">
        <v>1302</v>
      </c>
      <c r="B690" s="352">
        <v>1173690</v>
      </c>
      <c r="C690" s="302">
        <v>0</v>
      </c>
      <c r="D690" s="302">
        <v>0</v>
      </c>
      <c r="E690" s="352">
        <v>1173690</v>
      </c>
    </row>
    <row r="691" spans="1:5" ht="13">
      <c r="A691" s="302" t="s">
        <v>732</v>
      </c>
      <c r="B691" s="352">
        <v>4448301.25</v>
      </c>
      <c r="C691" s="352">
        <v>1302136.22</v>
      </c>
      <c r="D691" s="352">
        <v>1426229.05</v>
      </c>
      <c r="E691" s="352">
        <v>1719935.98</v>
      </c>
    </row>
    <row r="692" spans="1:5" ht="13">
      <c r="A692" s="302" t="s">
        <v>1187</v>
      </c>
      <c r="B692" s="352">
        <v>1107073.57</v>
      </c>
      <c r="C692" s="352">
        <v>483899.21</v>
      </c>
      <c r="D692" s="352">
        <v>265709.15000000002</v>
      </c>
      <c r="E692" s="352">
        <v>357465.21</v>
      </c>
    </row>
    <row r="693" spans="1:5" ht="13">
      <c r="A693" s="302" t="s">
        <v>1024</v>
      </c>
      <c r="B693" s="352">
        <v>1096151.75</v>
      </c>
      <c r="C693" s="352">
        <v>392900.28</v>
      </c>
      <c r="D693" s="352">
        <v>433819.28</v>
      </c>
      <c r="E693" s="352">
        <v>269432.18</v>
      </c>
    </row>
    <row r="694" spans="1:5" ht="13">
      <c r="A694" s="302" t="s">
        <v>564</v>
      </c>
      <c r="B694" s="352">
        <v>2015135.7</v>
      </c>
      <c r="C694" s="352">
        <v>985061.15</v>
      </c>
      <c r="D694" s="352">
        <v>812199.4</v>
      </c>
      <c r="E694" s="352">
        <v>217875.16</v>
      </c>
    </row>
    <row r="695" spans="1:5" ht="13">
      <c r="A695" s="302" t="s">
        <v>161</v>
      </c>
      <c r="B695" s="352">
        <v>1265611.54</v>
      </c>
      <c r="C695" s="352">
        <v>514309.68</v>
      </c>
      <c r="D695" s="352">
        <v>429352.16</v>
      </c>
      <c r="E695" s="352">
        <v>321949.7</v>
      </c>
    </row>
    <row r="696" spans="1:5" ht="13">
      <c r="A696" s="302" t="s">
        <v>1151</v>
      </c>
      <c r="B696" s="352">
        <v>5012615.38</v>
      </c>
      <c r="C696" s="352">
        <v>1417021.7</v>
      </c>
      <c r="D696" s="352">
        <v>1766414.36</v>
      </c>
      <c r="E696" s="352">
        <v>1829179.32</v>
      </c>
    </row>
    <row r="697" spans="1:5" ht="13">
      <c r="A697" s="302" t="s">
        <v>788</v>
      </c>
      <c r="B697" s="352">
        <v>2284160.09</v>
      </c>
      <c r="C697" s="352">
        <v>872032.11</v>
      </c>
      <c r="D697" s="352">
        <v>833612.77</v>
      </c>
      <c r="E697" s="352">
        <v>578515.21</v>
      </c>
    </row>
    <row r="698" spans="1:5" ht="13">
      <c r="A698" s="302" t="s">
        <v>334</v>
      </c>
      <c r="B698" s="352">
        <v>6735927.7999999998</v>
      </c>
      <c r="C698" s="352">
        <v>2516600.67</v>
      </c>
      <c r="D698" s="352">
        <v>1263236.74</v>
      </c>
      <c r="E698" s="352">
        <v>2956090.4</v>
      </c>
    </row>
    <row r="699" spans="1:5" ht="13">
      <c r="A699" s="302" t="s">
        <v>1181</v>
      </c>
      <c r="B699" s="352">
        <v>394608.9</v>
      </c>
      <c r="C699" s="352">
        <v>277511.05</v>
      </c>
      <c r="D699" s="302">
        <v>0</v>
      </c>
      <c r="E699" s="352">
        <v>117097.85</v>
      </c>
    </row>
    <row r="700" spans="1:5" ht="13">
      <c r="A700" s="302" t="s">
        <v>1217</v>
      </c>
      <c r="B700" s="352">
        <v>798239.73</v>
      </c>
      <c r="C700" s="352">
        <v>572511.99</v>
      </c>
      <c r="D700" s="352">
        <v>209618.17</v>
      </c>
      <c r="E700" s="352">
        <v>16109.57</v>
      </c>
    </row>
    <row r="701" spans="1:5" ht="13">
      <c r="A701" s="302" t="s">
        <v>1159</v>
      </c>
      <c r="B701" s="352">
        <v>215455.45</v>
      </c>
      <c r="C701" s="352">
        <v>109818.34</v>
      </c>
      <c r="D701" s="352">
        <v>105637.11</v>
      </c>
      <c r="E701" s="302">
        <v>0</v>
      </c>
    </row>
    <row r="702" spans="1:5" ht="13">
      <c r="A702" s="302" t="s">
        <v>1303</v>
      </c>
      <c r="B702" s="352">
        <v>5568177.5</v>
      </c>
      <c r="C702" s="352">
        <v>1199306.7</v>
      </c>
      <c r="D702" s="352">
        <v>1184224.82</v>
      </c>
      <c r="E702" s="352">
        <v>3184645.98</v>
      </c>
    </row>
    <row r="703" spans="1:5" ht="13">
      <c r="A703" s="302" t="s">
        <v>1162</v>
      </c>
      <c r="B703" s="352">
        <v>635051.04</v>
      </c>
      <c r="C703" s="352">
        <v>121089.18</v>
      </c>
      <c r="D703" s="352">
        <v>265537.3</v>
      </c>
      <c r="E703" s="352">
        <v>248424.57</v>
      </c>
    </row>
    <row r="704" spans="1:5" ht="13">
      <c r="A704" s="302" t="s">
        <v>1350</v>
      </c>
      <c r="B704" s="352">
        <v>350183.21</v>
      </c>
      <c r="C704" s="352">
        <v>127027.24</v>
      </c>
      <c r="D704" s="352">
        <v>154366.20000000001</v>
      </c>
      <c r="E704" s="352">
        <v>68789.77</v>
      </c>
    </row>
    <row r="705" spans="1:5" ht="13">
      <c r="A705" s="302" t="s">
        <v>684</v>
      </c>
      <c r="B705" s="352">
        <v>8660786.3200000003</v>
      </c>
      <c r="C705" s="352">
        <v>4394085.6500000004</v>
      </c>
      <c r="D705" s="352">
        <v>2567739.0499999998</v>
      </c>
      <c r="E705" s="352">
        <v>1698961.63</v>
      </c>
    </row>
    <row r="706" spans="1:5" ht="13">
      <c r="A706" s="302" t="s">
        <v>1031</v>
      </c>
      <c r="B706" s="352">
        <v>2861766.37</v>
      </c>
      <c r="C706" s="352">
        <v>892906.42</v>
      </c>
      <c r="D706" s="352">
        <v>800877.09</v>
      </c>
      <c r="E706" s="352">
        <v>1167982.8600000001</v>
      </c>
    </row>
    <row r="707" spans="1:5" ht="13">
      <c r="A707" s="302" t="s">
        <v>1368</v>
      </c>
      <c r="B707" s="352">
        <v>303411.18</v>
      </c>
      <c r="C707" s="352">
        <v>60951.41</v>
      </c>
      <c r="D707" s="352">
        <v>242459.77</v>
      </c>
      <c r="E707" s="302">
        <v>0</v>
      </c>
    </row>
    <row r="708" spans="1:5" ht="13">
      <c r="A708" s="302" t="s">
        <v>948</v>
      </c>
      <c r="B708" s="352">
        <v>94599.5</v>
      </c>
      <c r="C708" s="302">
        <v>0</v>
      </c>
      <c r="D708" s="352">
        <v>82012</v>
      </c>
      <c r="E708" s="352">
        <v>12587.5</v>
      </c>
    </row>
    <row r="709" spans="1:5" ht="13">
      <c r="A709" s="302" t="s">
        <v>1099</v>
      </c>
      <c r="B709" s="352">
        <v>3412229.32</v>
      </c>
      <c r="C709" s="352">
        <v>1032310.65</v>
      </c>
      <c r="D709" s="352">
        <v>1694942.89</v>
      </c>
      <c r="E709" s="352">
        <v>684975.78</v>
      </c>
    </row>
    <row r="710" spans="1:5" ht="13">
      <c r="A710" s="302" t="s">
        <v>1671</v>
      </c>
      <c r="B710" s="352">
        <v>11355132.140000001</v>
      </c>
      <c r="C710" s="352">
        <v>3564860.58</v>
      </c>
      <c r="D710" s="352">
        <v>3702448.65</v>
      </c>
      <c r="E710" s="352">
        <v>4087822.91</v>
      </c>
    </row>
    <row r="711" spans="1:5" ht="13">
      <c r="A711" s="302" t="s">
        <v>616</v>
      </c>
      <c r="B711" s="352">
        <v>368444.2</v>
      </c>
      <c r="C711" s="352">
        <v>66519</v>
      </c>
      <c r="D711" s="352">
        <v>168111.31</v>
      </c>
      <c r="E711" s="352">
        <v>133813.89000000001</v>
      </c>
    </row>
    <row r="712" spans="1:5" ht="13">
      <c r="A712" s="302" t="s">
        <v>1460</v>
      </c>
      <c r="B712" s="352">
        <v>388230.56</v>
      </c>
      <c r="C712" s="352">
        <v>58231.24</v>
      </c>
      <c r="D712" s="352">
        <v>146682.73000000001</v>
      </c>
      <c r="E712" s="352">
        <v>183316.59</v>
      </c>
    </row>
    <row r="713" spans="1:5" ht="13">
      <c r="A713" s="302" t="s">
        <v>1225</v>
      </c>
      <c r="B713" s="352">
        <v>905154.64</v>
      </c>
      <c r="C713" s="352">
        <v>313845.65999999997</v>
      </c>
      <c r="D713" s="352">
        <v>315201.11</v>
      </c>
      <c r="E713" s="352">
        <v>276107.87</v>
      </c>
    </row>
    <row r="714" spans="1:5" ht="13">
      <c r="A714" s="302" t="s">
        <v>268</v>
      </c>
      <c r="B714" s="352">
        <v>8189635.6699999999</v>
      </c>
      <c r="C714" s="352">
        <v>2524802.73</v>
      </c>
      <c r="D714" s="352">
        <v>2670879.16</v>
      </c>
      <c r="E714" s="352">
        <v>2993953.78</v>
      </c>
    </row>
    <row r="715" spans="1:5" ht="13">
      <c r="A715" s="302" t="s">
        <v>891</v>
      </c>
      <c r="B715" s="352">
        <v>1754973.41</v>
      </c>
      <c r="C715" s="352">
        <v>619079.75</v>
      </c>
      <c r="D715" s="352">
        <v>820633.19</v>
      </c>
      <c r="E715" s="352">
        <v>315260.46999999997</v>
      </c>
    </row>
    <row r="716" spans="1:5" ht="13">
      <c r="A716" s="302" t="s">
        <v>1164</v>
      </c>
      <c r="B716" s="352">
        <v>44002</v>
      </c>
      <c r="C716" s="302">
        <v>0</v>
      </c>
      <c r="D716" s="352">
        <v>44002</v>
      </c>
      <c r="E716" s="302">
        <v>0</v>
      </c>
    </row>
    <row r="717" spans="1:5" ht="13">
      <c r="A717" s="302" t="s">
        <v>1018</v>
      </c>
      <c r="B717" s="352">
        <v>2195198.7999999998</v>
      </c>
      <c r="C717" s="352">
        <v>369177.23</v>
      </c>
      <c r="D717" s="352">
        <v>643279.01</v>
      </c>
      <c r="E717" s="352">
        <v>1182742.57</v>
      </c>
    </row>
    <row r="718" spans="1:5" ht="13">
      <c r="A718" s="302" t="s">
        <v>1560</v>
      </c>
      <c r="B718" s="352">
        <v>343340.94</v>
      </c>
      <c r="C718" s="302">
        <v>0</v>
      </c>
      <c r="D718" s="352">
        <v>151835.09</v>
      </c>
      <c r="E718" s="352">
        <v>191505.85</v>
      </c>
    </row>
    <row r="719" spans="1:5" ht="13">
      <c r="A719" s="302" t="s">
        <v>1280</v>
      </c>
      <c r="B719" s="352">
        <v>1025886.92</v>
      </c>
      <c r="C719" s="352">
        <v>829595.95</v>
      </c>
      <c r="D719" s="352">
        <v>196290.96</v>
      </c>
      <c r="E719" s="302">
        <v>0</v>
      </c>
    </row>
    <row r="720" spans="1:5" ht="13">
      <c r="A720" s="302" t="s">
        <v>656</v>
      </c>
      <c r="B720" s="352">
        <v>2210832.7400000002</v>
      </c>
      <c r="C720" s="352">
        <v>846206.4</v>
      </c>
      <c r="D720" s="352">
        <v>266184.53999999998</v>
      </c>
      <c r="E720" s="352">
        <v>1098441.8</v>
      </c>
    </row>
    <row r="721" spans="1:5" ht="13">
      <c r="A721" s="302" t="s">
        <v>521</v>
      </c>
      <c r="B721" s="352">
        <v>14054648.01</v>
      </c>
      <c r="C721" s="352">
        <v>5618106.3799999999</v>
      </c>
      <c r="D721" s="352">
        <v>3423494.87</v>
      </c>
      <c r="E721" s="352">
        <v>5013046.76</v>
      </c>
    </row>
    <row r="722" spans="1:5" ht="13">
      <c r="A722" s="302" t="s">
        <v>595</v>
      </c>
      <c r="B722" s="352">
        <v>915645.31</v>
      </c>
      <c r="C722" s="352">
        <v>461032.35</v>
      </c>
      <c r="D722" s="352">
        <v>283142.65000000002</v>
      </c>
      <c r="E722" s="352">
        <v>171470.31</v>
      </c>
    </row>
    <row r="723" spans="1:5" ht="13">
      <c r="A723" s="302" t="s">
        <v>1461</v>
      </c>
      <c r="B723" s="352">
        <v>4333533.08</v>
      </c>
      <c r="C723" s="352">
        <v>1261308.33</v>
      </c>
      <c r="D723" s="352">
        <v>1165985.8899999999</v>
      </c>
      <c r="E723" s="352">
        <v>1906238.86</v>
      </c>
    </row>
    <row r="724" spans="1:5" ht="13">
      <c r="A724" s="302" t="s">
        <v>1079</v>
      </c>
      <c r="B724" s="352">
        <v>847912.26</v>
      </c>
      <c r="C724" s="352">
        <v>322385.86</v>
      </c>
      <c r="D724" s="352">
        <v>315315.84000000003</v>
      </c>
      <c r="E724" s="352">
        <v>210210.56</v>
      </c>
    </row>
    <row r="725" spans="1:5" ht="13">
      <c r="A725" s="302" t="s">
        <v>466</v>
      </c>
      <c r="B725" s="352">
        <v>3564512.18</v>
      </c>
      <c r="C725" s="352">
        <v>1329685.52</v>
      </c>
      <c r="D725" s="352">
        <v>1196175.48</v>
      </c>
      <c r="E725" s="352">
        <v>1038651.19</v>
      </c>
    </row>
    <row r="726" spans="1:5" ht="13">
      <c r="A726" s="302" t="s">
        <v>305</v>
      </c>
      <c r="B726" s="352">
        <v>1236677.83</v>
      </c>
      <c r="C726" s="352">
        <v>312687.59999999998</v>
      </c>
      <c r="D726" s="352">
        <v>494295.44</v>
      </c>
      <c r="E726" s="352">
        <v>429694.8</v>
      </c>
    </row>
    <row r="727" spans="1:5" ht="13">
      <c r="A727" s="302" t="s">
        <v>789</v>
      </c>
      <c r="B727" s="352">
        <v>72825</v>
      </c>
      <c r="C727" s="302">
        <v>0</v>
      </c>
      <c r="D727" s="352">
        <v>72825</v>
      </c>
      <c r="E727" s="302">
        <v>0</v>
      </c>
    </row>
    <row r="728" spans="1:5" ht="13">
      <c r="A728" s="302" t="s">
        <v>121</v>
      </c>
      <c r="B728" s="352">
        <v>3324939.7</v>
      </c>
      <c r="C728" s="352">
        <v>1422102.82</v>
      </c>
      <c r="D728" s="352">
        <v>1561743.52</v>
      </c>
      <c r="E728" s="352">
        <v>341093.36</v>
      </c>
    </row>
    <row r="729" spans="1:5" ht="13">
      <c r="A729" s="302" t="s">
        <v>335</v>
      </c>
      <c r="B729" s="352">
        <v>95441.93</v>
      </c>
      <c r="C729" s="302">
        <v>0</v>
      </c>
      <c r="D729" s="352">
        <v>71924.929999999993</v>
      </c>
      <c r="E729" s="352">
        <v>23517</v>
      </c>
    </row>
    <row r="730" spans="1:5" ht="13">
      <c r="A730" s="302" t="s">
        <v>1236</v>
      </c>
      <c r="B730" s="352">
        <v>1382203.94</v>
      </c>
      <c r="C730" s="352">
        <v>691922.43</v>
      </c>
      <c r="D730" s="352">
        <v>292728.53999999998</v>
      </c>
      <c r="E730" s="352">
        <v>397552.97</v>
      </c>
    </row>
    <row r="731" spans="1:5" ht="13">
      <c r="A731" s="302" t="s">
        <v>107</v>
      </c>
      <c r="B731" s="352">
        <v>4965069.96</v>
      </c>
      <c r="C731" s="352">
        <v>1791239.52</v>
      </c>
      <c r="D731" s="352">
        <v>1166210.43</v>
      </c>
      <c r="E731" s="352">
        <v>2007620.01</v>
      </c>
    </row>
    <row r="732" spans="1:5" ht="13">
      <c r="A732" s="302" t="s">
        <v>99</v>
      </c>
      <c r="B732" s="352">
        <v>4989537.6900000004</v>
      </c>
      <c r="C732" s="352">
        <v>2703172.67</v>
      </c>
      <c r="D732" s="352">
        <v>1455626.08</v>
      </c>
      <c r="E732" s="352">
        <v>830738.93</v>
      </c>
    </row>
    <row r="733" spans="1:5" ht="13">
      <c r="A733" s="302" t="s">
        <v>336</v>
      </c>
      <c r="B733" s="352">
        <v>677013.03</v>
      </c>
      <c r="C733" s="352">
        <v>50308.95</v>
      </c>
      <c r="D733" s="352">
        <v>328859.23</v>
      </c>
      <c r="E733" s="352">
        <v>297844.84999999998</v>
      </c>
    </row>
    <row r="734" spans="1:5" ht="13">
      <c r="A734" s="302" t="s">
        <v>1182</v>
      </c>
      <c r="B734" s="352">
        <v>883580.41</v>
      </c>
      <c r="C734" s="352">
        <v>207616.64000000001</v>
      </c>
      <c r="D734" s="352">
        <v>330348.61</v>
      </c>
      <c r="E734" s="352">
        <v>345615.17</v>
      </c>
    </row>
    <row r="735" spans="1:5" ht="13">
      <c r="A735" s="302" t="s">
        <v>511</v>
      </c>
      <c r="B735" s="352">
        <v>23583658.82</v>
      </c>
      <c r="C735" s="352">
        <v>4994375.01</v>
      </c>
      <c r="D735" s="352">
        <v>11190398.359999999</v>
      </c>
      <c r="E735" s="352">
        <v>7398885.4500000002</v>
      </c>
    </row>
    <row r="736" spans="1:5" ht="13">
      <c r="A736" s="302" t="s">
        <v>1226</v>
      </c>
      <c r="B736" s="352">
        <v>1102597.68</v>
      </c>
      <c r="C736" s="352">
        <v>320965.3</v>
      </c>
      <c r="D736" s="352">
        <v>432734.5</v>
      </c>
      <c r="E736" s="352">
        <v>348897.89</v>
      </c>
    </row>
    <row r="737" spans="1:5" ht="13">
      <c r="A737" s="302" t="s">
        <v>1586</v>
      </c>
      <c r="B737" s="352">
        <v>160885.56</v>
      </c>
      <c r="C737" s="302">
        <v>0</v>
      </c>
      <c r="D737" s="352">
        <v>160885.56</v>
      </c>
      <c r="E737" s="302">
        <v>0</v>
      </c>
    </row>
    <row r="738" spans="1:5" ht="13">
      <c r="A738" s="302" t="s">
        <v>1672</v>
      </c>
      <c r="B738" s="352">
        <v>6922.65</v>
      </c>
      <c r="C738" s="352">
        <v>6922.65</v>
      </c>
      <c r="D738" s="302">
        <v>0</v>
      </c>
      <c r="E738" s="302">
        <v>0</v>
      </c>
    </row>
    <row r="739" spans="1:5" ht="13">
      <c r="A739" s="302" t="s">
        <v>839</v>
      </c>
      <c r="B739" s="352">
        <v>13792922.859999999</v>
      </c>
      <c r="C739" s="352">
        <v>5249674.58</v>
      </c>
      <c r="D739" s="352">
        <v>3439188.18</v>
      </c>
      <c r="E739" s="352">
        <v>5104060.0999999996</v>
      </c>
    </row>
    <row r="740" spans="1:5" ht="13">
      <c r="A740" s="302" t="s">
        <v>1673</v>
      </c>
      <c r="B740" s="352">
        <v>24361823.449999999</v>
      </c>
      <c r="C740" s="352">
        <v>7701827.7699999996</v>
      </c>
      <c r="D740" s="352">
        <v>11521283.59</v>
      </c>
      <c r="E740" s="352">
        <v>5138712.09</v>
      </c>
    </row>
    <row r="741" spans="1:5" ht="13">
      <c r="A741" s="302" t="s">
        <v>165</v>
      </c>
      <c r="B741" s="352">
        <v>551432.99</v>
      </c>
      <c r="C741" s="352">
        <v>139535.92000000001</v>
      </c>
      <c r="D741" s="352">
        <v>167313.21</v>
      </c>
      <c r="E741" s="352">
        <v>244583.86</v>
      </c>
    </row>
    <row r="742" spans="1:5" ht="13">
      <c r="A742" s="302" t="s">
        <v>904</v>
      </c>
      <c r="B742" s="352">
        <v>418385.84</v>
      </c>
      <c r="C742" s="352">
        <v>145403.84</v>
      </c>
      <c r="D742" s="352">
        <v>193702.56</v>
      </c>
      <c r="E742" s="352">
        <v>79279.44</v>
      </c>
    </row>
    <row r="743" spans="1:5" ht="13">
      <c r="A743" s="302" t="s">
        <v>1216</v>
      </c>
      <c r="B743" s="352">
        <v>218010.4</v>
      </c>
      <c r="C743" s="352">
        <v>109068.11</v>
      </c>
      <c r="D743" s="352">
        <v>36651.97</v>
      </c>
      <c r="E743" s="352">
        <v>72290.320000000007</v>
      </c>
    </row>
    <row r="744" spans="1:5" ht="13">
      <c r="A744" s="302" t="s">
        <v>893</v>
      </c>
      <c r="B744" s="352">
        <v>59806.28</v>
      </c>
      <c r="C744" s="302">
        <v>0</v>
      </c>
      <c r="D744" s="302">
        <v>0</v>
      </c>
      <c r="E744" s="352">
        <v>59806.28</v>
      </c>
    </row>
    <row r="745" spans="1:5" ht="13">
      <c r="A745" s="302" t="s">
        <v>202</v>
      </c>
      <c r="B745" s="352">
        <v>359696.04</v>
      </c>
      <c r="C745" s="302">
        <v>0</v>
      </c>
      <c r="D745" s="352">
        <v>45446.13</v>
      </c>
      <c r="E745" s="352">
        <v>314249.90999999997</v>
      </c>
    </row>
    <row r="746" spans="1:5" ht="13">
      <c r="A746" s="302" t="s">
        <v>720</v>
      </c>
      <c r="B746" s="352">
        <v>212076.38</v>
      </c>
      <c r="C746" s="302">
        <v>0</v>
      </c>
      <c r="D746" s="302">
        <v>0</v>
      </c>
      <c r="E746" s="352">
        <v>212076.38</v>
      </c>
    </row>
    <row r="747" spans="1:5" ht="13">
      <c r="A747" s="302" t="s">
        <v>1261</v>
      </c>
      <c r="B747" s="352">
        <v>63871049.740000002</v>
      </c>
      <c r="C747" s="352">
        <v>18771174.59</v>
      </c>
      <c r="D747" s="352">
        <v>22242847.699999999</v>
      </c>
      <c r="E747" s="352">
        <v>22857027.449999999</v>
      </c>
    </row>
    <row r="748" spans="1:5" ht="13">
      <c r="A748" s="302" t="s">
        <v>1197</v>
      </c>
      <c r="B748" s="352">
        <v>894818.45</v>
      </c>
      <c r="C748" s="352">
        <v>485606.97</v>
      </c>
      <c r="D748" s="352">
        <v>54292.160000000003</v>
      </c>
      <c r="E748" s="352">
        <v>354919.32</v>
      </c>
    </row>
    <row r="749" spans="1:5" ht="13">
      <c r="A749" s="302" t="s">
        <v>1005</v>
      </c>
      <c r="B749" s="352">
        <v>4593006.8600000003</v>
      </c>
      <c r="C749" s="352">
        <v>1390116.23</v>
      </c>
      <c r="D749" s="352">
        <v>2046981.68</v>
      </c>
      <c r="E749" s="352">
        <v>1155908.95</v>
      </c>
    </row>
    <row r="750" spans="1:5" ht="13">
      <c r="A750" s="302" t="s">
        <v>1674</v>
      </c>
      <c r="B750" s="352">
        <v>95151938.950000003</v>
      </c>
      <c r="C750" s="352">
        <v>32178316.280000001</v>
      </c>
      <c r="D750" s="352">
        <v>36849687.539999999</v>
      </c>
      <c r="E750" s="352">
        <v>26123935.129999999</v>
      </c>
    </row>
    <row r="751" spans="1:5" ht="13">
      <c r="A751" s="302" t="s">
        <v>1227</v>
      </c>
      <c r="B751" s="352">
        <v>345120.45</v>
      </c>
      <c r="C751" s="302">
        <v>0</v>
      </c>
      <c r="D751" s="302">
        <v>0</v>
      </c>
      <c r="E751" s="352">
        <v>345120.45</v>
      </c>
    </row>
    <row r="752" spans="1:5" ht="13">
      <c r="A752" s="302" t="s">
        <v>710</v>
      </c>
      <c r="B752" s="352">
        <v>2252960.64</v>
      </c>
      <c r="C752" s="352">
        <v>139937.79999999999</v>
      </c>
      <c r="D752" s="352">
        <v>919560.16</v>
      </c>
      <c r="E752" s="352">
        <v>1193462.67</v>
      </c>
    </row>
    <row r="753" spans="1:5" ht="13">
      <c r="A753" s="302" t="s">
        <v>1447</v>
      </c>
      <c r="B753" s="352">
        <v>1832542.29</v>
      </c>
      <c r="C753" s="352">
        <v>1087918.51</v>
      </c>
      <c r="D753" s="352">
        <v>100548.07</v>
      </c>
      <c r="E753" s="352">
        <v>644075.71</v>
      </c>
    </row>
    <row r="754" spans="1:5" ht="13">
      <c r="A754" s="302" t="s">
        <v>1675</v>
      </c>
      <c r="B754" s="352">
        <v>1488146.06</v>
      </c>
      <c r="C754" s="352">
        <v>372760.31</v>
      </c>
      <c r="D754" s="352">
        <v>520666.58</v>
      </c>
      <c r="E754" s="352">
        <v>594719.17000000004</v>
      </c>
    </row>
    <row r="755" spans="1:5" ht="13">
      <c r="A755" s="302" t="s">
        <v>762</v>
      </c>
      <c r="B755" s="352">
        <v>628424.31999999995</v>
      </c>
      <c r="C755" s="352">
        <v>350788.72</v>
      </c>
      <c r="D755" s="302">
        <v>0</v>
      </c>
      <c r="E755" s="352">
        <v>277635.59999999998</v>
      </c>
    </row>
    <row r="756" spans="1:5" ht="13">
      <c r="A756" s="302" t="s">
        <v>1351</v>
      </c>
      <c r="B756" s="352">
        <v>118775.6</v>
      </c>
      <c r="C756" s="352">
        <v>49124.76</v>
      </c>
      <c r="D756" s="352">
        <v>69650.84</v>
      </c>
      <c r="E756" s="302">
        <v>0</v>
      </c>
    </row>
    <row r="757" spans="1:5" ht="13">
      <c r="A757" s="302" t="s">
        <v>1172</v>
      </c>
      <c r="B757" s="352">
        <v>330241.76</v>
      </c>
      <c r="C757" s="352">
        <v>146726.88</v>
      </c>
      <c r="D757" s="352">
        <v>183514.88</v>
      </c>
      <c r="E757" s="302">
        <v>0</v>
      </c>
    </row>
    <row r="758" spans="1:5" ht="13">
      <c r="A758" s="302" t="s">
        <v>1269</v>
      </c>
      <c r="B758" s="352">
        <v>5036311.5599999996</v>
      </c>
      <c r="C758" s="352">
        <v>1230185.25</v>
      </c>
      <c r="D758" s="352">
        <v>1884805.38</v>
      </c>
      <c r="E758" s="352">
        <v>1921320.93</v>
      </c>
    </row>
    <row r="759" spans="1:5" ht="13">
      <c r="A759" s="302" t="s">
        <v>1332</v>
      </c>
      <c r="B759" s="352">
        <v>7114373.5099999998</v>
      </c>
      <c r="C759" s="352">
        <v>2045052.8</v>
      </c>
      <c r="D759" s="352">
        <v>1788508.82</v>
      </c>
      <c r="E759" s="352">
        <v>3280811.89</v>
      </c>
    </row>
    <row r="760" spans="1:5" ht="13">
      <c r="A760" s="302" t="s">
        <v>1281</v>
      </c>
      <c r="B760" s="352">
        <v>3977696.07</v>
      </c>
      <c r="C760" s="352">
        <v>918283.04</v>
      </c>
      <c r="D760" s="352">
        <v>1591572.67</v>
      </c>
      <c r="E760" s="352">
        <v>1467840.36</v>
      </c>
    </row>
    <row r="761" spans="1:5" ht="13">
      <c r="A761" s="302" t="s">
        <v>617</v>
      </c>
      <c r="B761" s="352">
        <v>169672.13</v>
      </c>
      <c r="C761" s="352">
        <v>169672.13</v>
      </c>
      <c r="D761" s="302">
        <v>0</v>
      </c>
      <c r="E761" s="302">
        <v>0</v>
      </c>
    </row>
    <row r="762" spans="1:5" ht="13">
      <c r="A762" s="302" t="s">
        <v>337</v>
      </c>
      <c r="B762" s="352">
        <v>2128507.2599999998</v>
      </c>
      <c r="C762" s="352">
        <v>998341.78</v>
      </c>
      <c r="D762" s="352">
        <v>562801.4</v>
      </c>
      <c r="E762" s="352">
        <v>567364.07999999996</v>
      </c>
    </row>
    <row r="763" spans="1:5" ht="13">
      <c r="A763" s="302" t="s">
        <v>1173</v>
      </c>
      <c r="B763" s="352">
        <v>1487962.37</v>
      </c>
      <c r="C763" s="352">
        <v>627103.88</v>
      </c>
      <c r="D763" s="352">
        <v>550442.80000000005</v>
      </c>
      <c r="E763" s="352">
        <v>310415.69</v>
      </c>
    </row>
    <row r="764" spans="1:5" ht="13">
      <c r="A764" s="302" t="s">
        <v>1043</v>
      </c>
      <c r="B764" s="352">
        <v>1337121.3799999999</v>
      </c>
      <c r="C764" s="352">
        <v>1337121.3799999999</v>
      </c>
      <c r="D764" s="302">
        <v>0</v>
      </c>
      <c r="E764" s="302">
        <v>0</v>
      </c>
    </row>
    <row r="765" spans="1:5" ht="13">
      <c r="A765" s="302" t="s">
        <v>791</v>
      </c>
      <c r="B765" s="352">
        <v>466460.05</v>
      </c>
      <c r="C765" s="352">
        <v>66883.64</v>
      </c>
      <c r="D765" s="352">
        <v>82241.210000000006</v>
      </c>
      <c r="E765" s="352">
        <v>317335.2</v>
      </c>
    </row>
    <row r="766" spans="1:5" ht="13">
      <c r="A766" s="302" t="s">
        <v>522</v>
      </c>
      <c r="B766" s="352">
        <v>15503715</v>
      </c>
      <c r="C766" s="352">
        <v>11690910.85</v>
      </c>
      <c r="D766" s="352">
        <v>2362607.7200000002</v>
      </c>
      <c r="E766" s="352">
        <v>1450196.43</v>
      </c>
    </row>
    <row r="767" spans="1:5" ht="13">
      <c r="A767" s="302" t="s">
        <v>949</v>
      </c>
      <c r="B767" s="352">
        <v>1418391.57</v>
      </c>
      <c r="C767" s="352">
        <v>323049.59999999998</v>
      </c>
      <c r="D767" s="352">
        <v>63062.9</v>
      </c>
      <c r="E767" s="352">
        <v>1032279.07</v>
      </c>
    </row>
    <row r="768" spans="1:5" ht="13">
      <c r="A768" s="302" t="s">
        <v>1282</v>
      </c>
      <c r="B768" s="352">
        <v>6085691.7999999998</v>
      </c>
      <c r="C768" s="352">
        <v>2687591.25</v>
      </c>
      <c r="D768" s="352">
        <v>816722.99</v>
      </c>
      <c r="E768" s="352">
        <v>2581377.56</v>
      </c>
    </row>
    <row r="769" spans="1:5" ht="13">
      <c r="A769" s="302" t="s">
        <v>102</v>
      </c>
      <c r="B769" s="352">
        <v>2670036.86</v>
      </c>
      <c r="C769" s="352">
        <v>723735</v>
      </c>
      <c r="D769" s="352">
        <v>980849.14</v>
      </c>
      <c r="E769" s="352">
        <v>965452.72</v>
      </c>
    </row>
    <row r="770" spans="1:5" ht="13">
      <c r="A770" s="302" t="s">
        <v>514</v>
      </c>
      <c r="B770" s="352">
        <v>5098465.72</v>
      </c>
      <c r="C770" s="352">
        <v>1689170.41</v>
      </c>
      <c r="D770" s="352">
        <v>1816484.29</v>
      </c>
      <c r="E770" s="352">
        <v>1592811.03</v>
      </c>
    </row>
    <row r="771" spans="1:5" ht="13">
      <c r="A771" s="302" t="s">
        <v>618</v>
      </c>
      <c r="B771" s="352">
        <v>2288819.8199999998</v>
      </c>
      <c r="C771" s="352">
        <v>896430.98</v>
      </c>
      <c r="D771" s="352">
        <v>653003.89</v>
      </c>
      <c r="E771" s="352">
        <v>739384.95</v>
      </c>
    </row>
    <row r="772" spans="1:5" ht="13">
      <c r="A772" s="302" t="s">
        <v>792</v>
      </c>
      <c r="B772" s="352">
        <v>226560</v>
      </c>
      <c r="C772" s="302">
        <v>0</v>
      </c>
      <c r="D772" s="352">
        <v>226560</v>
      </c>
      <c r="E772" s="302">
        <v>0</v>
      </c>
    </row>
    <row r="773" spans="1:5" ht="13">
      <c r="A773" s="302" t="s">
        <v>1403</v>
      </c>
      <c r="B773" s="352">
        <v>18135126.309999999</v>
      </c>
      <c r="C773" s="352">
        <v>5554794.8300000001</v>
      </c>
      <c r="D773" s="352">
        <v>6526345.9800000004</v>
      </c>
      <c r="E773" s="352">
        <v>6053985.5</v>
      </c>
    </row>
    <row r="774" spans="1:5" ht="13">
      <c r="A774" s="302" t="s">
        <v>687</v>
      </c>
      <c r="B774" s="352">
        <v>22363521.010000002</v>
      </c>
      <c r="C774" s="352">
        <v>4949119.38</v>
      </c>
      <c r="D774" s="352">
        <v>7528627.0999999996</v>
      </c>
      <c r="E774" s="352">
        <v>9885774.5199999996</v>
      </c>
    </row>
    <row r="775" spans="1:5" ht="13">
      <c r="A775" s="302" t="s">
        <v>1135</v>
      </c>
      <c r="B775" s="352">
        <v>3080992.64</v>
      </c>
      <c r="C775" s="352">
        <v>1191507.31</v>
      </c>
      <c r="D775" s="352">
        <v>853718.45</v>
      </c>
      <c r="E775" s="352">
        <v>1035766.88</v>
      </c>
    </row>
    <row r="776" spans="1:5" ht="13">
      <c r="A776" s="302" t="s">
        <v>1086</v>
      </c>
      <c r="B776" s="352">
        <v>653184.01</v>
      </c>
      <c r="C776" s="352">
        <v>361836.44</v>
      </c>
      <c r="D776" s="352">
        <v>291347.57</v>
      </c>
      <c r="E776" s="302">
        <v>0</v>
      </c>
    </row>
    <row r="777" spans="1:5" ht="13">
      <c r="A777" s="302" t="s">
        <v>1015</v>
      </c>
      <c r="B777" s="352">
        <v>5989692.8700000001</v>
      </c>
      <c r="C777" s="352">
        <v>1513231.15</v>
      </c>
      <c r="D777" s="352">
        <v>1811125</v>
      </c>
      <c r="E777" s="352">
        <v>2665336.7200000002</v>
      </c>
    </row>
    <row r="778" spans="1:5" ht="13">
      <c r="A778" s="302" t="s">
        <v>338</v>
      </c>
      <c r="B778" s="352">
        <v>905708.82</v>
      </c>
      <c r="C778" s="352">
        <v>221336.19</v>
      </c>
      <c r="D778" s="352">
        <v>389079.18</v>
      </c>
      <c r="E778" s="352">
        <v>295293.45</v>
      </c>
    </row>
    <row r="779" spans="1:5" ht="13">
      <c r="A779" s="302" t="s">
        <v>438</v>
      </c>
      <c r="B779" s="352">
        <v>1051630.78</v>
      </c>
      <c r="C779" s="352">
        <v>278183.84999999998</v>
      </c>
      <c r="D779" s="352">
        <v>438930.95</v>
      </c>
      <c r="E779" s="352">
        <v>334515.96999999997</v>
      </c>
    </row>
    <row r="780" spans="1:5" ht="13">
      <c r="A780" s="302" t="s">
        <v>383</v>
      </c>
      <c r="B780" s="352">
        <v>11029021.189999999</v>
      </c>
      <c r="C780" s="352">
        <v>6129775.7000000002</v>
      </c>
      <c r="D780" s="352">
        <v>2955417.35</v>
      </c>
      <c r="E780" s="352">
        <v>1943828.13</v>
      </c>
    </row>
    <row r="781" spans="1:5" ht="13">
      <c r="A781" s="302" t="s">
        <v>985</v>
      </c>
      <c r="B781" s="352">
        <v>2628000.4900000002</v>
      </c>
      <c r="C781" s="352">
        <v>1024321.36</v>
      </c>
      <c r="D781" s="352">
        <v>678596.8</v>
      </c>
      <c r="E781" s="352">
        <v>925082.33</v>
      </c>
    </row>
    <row r="782" spans="1:5" ht="13">
      <c r="A782" s="302" t="s">
        <v>412</v>
      </c>
      <c r="B782" s="352">
        <v>8135101.5199999996</v>
      </c>
      <c r="C782" s="352">
        <v>3426247.64</v>
      </c>
      <c r="D782" s="352">
        <v>2236561.2599999998</v>
      </c>
      <c r="E782" s="352">
        <v>2472292.62</v>
      </c>
    </row>
    <row r="783" spans="1:5" ht="13">
      <c r="A783" s="302" t="s">
        <v>414</v>
      </c>
      <c r="B783" s="352">
        <v>11316018.35</v>
      </c>
      <c r="C783" s="352">
        <v>5724747.5899999999</v>
      </c>
      <c r="D783" s="352">
        <v>1594936.88</v>
      </c>
      <c r="E783" s="352">
        <v>3996333.87</v>
      </c>
    </row>
    <row r="784" spans="1:5" ht="13">
      <c r="A784" s="302" t="s">
        <v>1108</v>
      </c>
      <c r="B784" s="352">
        <v>5387012.1100000003</v>
      </c>
      <c r="C784" s="352">
        <v>1319458.31</v>
      </c>
      <c r="D784" s="352">
        <v>1142588.6399999999</v>
      </c>
      <c r="E784" s="352">
        <v>2924965.15</v>
      </c>
    </row>
    <row r="785" spans="1:5" ht="13">
      <c r="A785" s="302" t="s">
        <v>1209</v>
      </c>
      <c r="B785" s="352">
        <v>539920.64000000001</v>
      </c>
      <c r="C785" s="352">
        <v>274094.99</v>
      </c>
      <c r="D785" s="352">
        <v>234293.26</v>
      </c>
      <c r="E785" s="352">
        <v>31532.400000000001</v>
      </c>
    </row>
    <row r="786" spans="1:5" ht="13">
      <c r="A786" s="302" t="s">
        <v>1333</v>
      </c>
      <c r="B786" s="352">
        <v>2710162.07</v>
      </c>
      <c r="C786" s="302">
        <v>0</v>
      </c>
      <c r="D786" s="352">
        <v>964397.02</v>
      </c>
      <c r="E786" s="352">
        <v>1745765.06</v>
      </c>
    </row>
    <row r="787" spans="1:5" ht="13">
      <c r="A787" s="302" t="s">
        <v>280</v>
      </c>
      <c r="B787" s="352">
        <v>1693686.1</v>
      </c>
      <c r="C787" s="352">
        <v>732689.65</v>
      </c>
      <c r="D787" s="352">
        <v>782289.5</v>
      </c>
      <c r="E787" s="352">
        <v>178706.95</v>
      </c>
    </row>
    <row r="788" spans="1:5" ht="13">
      <c r="A788" s="302" t="s">
        <v>1327</v>
      </c>
      <c r="B788" s="352">
        <v>3019841.53</v>
      </c>
      <c r="C788" s="352">
        <v>1289165.4099999999</v>
      </c>
      <c r="D788" s="352">
        <v>-40902.839999999997</v>
      </c>
      <c r="E788" s="352">
        <v>1771578.96</v>
      </c>
    </row>
    <row r="789" spans="1:5" ht="13">
      <c r="A789" s="302" t="s">
        <v>439</v>
      </c>
      <c r="B789" s="352">
        <v>2389981.7599999998</v>
      </c>
      <c r="C789" s="352">
        <v>697708.42</v>
      </c>
      <c r="D789" s="352">
        <v>443055.83</v>
      </c>
      <c r="E789" s="352">
        <v>1249217.52</v>
      </c>
    </row>
    <row r="790" spans="1:5" ht="13">
      <c r="A790" s="302" t="s">
        <v>1116</v>
      </c>
      <c r="B790" s="352">
        <v>82523.12</v>
      </c>
      <c r="C790" s="302">
        <v>0</v>
      </c>
      <c r="D790" s="352">
        <v>19600.22</v>
      </c>
      <c r="E790" s="352">
        <v>62922.9</v>
      </c>
    </row>
    <row r="791" spans="1:5" ht="13">
      <c r="A791" s="302" t="s">
        <v>1136</v>
      </c>
      <c r="B791" s="352">
        <v>12419579.48</v>
      </c>
      <c r="C791" s="352">
        <v>4428193.6500000004</v>
      </c>
      <c r="D791" s="352">
        <v>4288400.21</v>
      </c>
      <c r="E791" s="352">
        <v>3702985.61</v>
      </c>
    </row>
    <row r="792" spans="1:5" ht="13">
      <c r="A792" s="302" t="s">
        <v>275</v>
      </c>
      <c r="B792" s="352">
        <v>5382014.3899999997</v>
      </c>
      <c r="C792" s="352">
        <v>1589100.61</v>
      </c>
      <c r="D792" s="352">
        <v>1695037.93</v>
      </c>
      <c r="E792" s="352">
        <v>2097875.85</v>
      </c>
    </row>
    <row r="793" spans="1:5" ht="13">
      <c r="A793" s="302" t="s">
        <v>721</v>
      </c>
      <c r="B793" s="352">
        <v>1822382.95</v>
      </c>
      <c r="C793" s="352">
        <v>399659.86</v>
      </c>
      <c r="D793" s="352">
        <v>543680.82999999996</v>
      </c>
      <c r="E793" s="352">
        <v>879042.27</v>
      </c>
    </row>
    <row r="794" spans="1:5" ht="13">
      <c r="A794" s="302" t="s">
        <v>1369</v>
      </c>
      <c r="B794" s="352">
        <v>345624.32000000001</v>
      </c>
      <c r="C794" s="302">
        <v>0</v>
      </c>
      <c r="D794" s="352">
        <v>106452.08</v>
      </c>
      <c r="E794" s="352">
        <v>239172.24</v>
      </c>
    </row>
    <row r="795" spans="1:5" ht="13">
      <c r="A795" s="302" t="s">
        <v>926</v>
      </c>
      <c r="B795" s="352">
        <v>2137324.3199999998</v>
      </c>
      <c r="C795" s="302">
        <v>0</v>
      </c>
      <c r="D795" s="352">
        <v>391920.08</v>
      </c>
      <c r="E795" s="352">
        <v>1745404.24</v>
      </c>
    </row>
    <row r="796" spans="1:5" ht="13">
      <c r="A796" s="302" t="s">
        <v>793</v>
      </c>
      <c r="B796" s="352">
        <v>1730878.44</v>
      </c>
      <c r="C796" s="352">
        <v>415402.84</v>
      </c>
      <c r="D796" s="302">
        <v>0</v>
      </c>
      <c r="E796" s="352">
        <v>1315475.6000000001</v>
      </c>
    </row>
    <row r="797" spans="1:5" ht="13">
      <c r="A797" s="302" t="s">
        <v>1188</v>
      </c>
      <c r="B797" s="352">
        <v>236514.72</v>
      </c>
      <c r="C797" s="302">
        <v>0</v>
      </c>
      <c r="D797" s="352">
        <v>34143.15</v>
      </c>
      <c r="E797" s="352">
        <v>202371.57</v>
      </c>
    </row>
    <row r="798" spans="1:5" ht="13">
      <c r="A798" s="302" t="s">
        <v>736</v>
      </c>
      <c r="B798" s="352">
        <v>2741374.05</v>
      </c>
      <c r="C798" s="352">
        <v>1322897.04</v>
      </c>
      <c r="D798" s="352">
        <v>260415.35</v>
      </c>
      <c r="E798" s="352">
        <v>1158061.6499999999</v>
      </c>
    </row>
    <row r="799" spans="1:5" ht="13">
      <c r="A799" s="302" t="s">
        <v>952</v>
      </c>
      <c r="B799" s="352">
        <v>63864.35</v>
      </c>
      <c r="C799" s="352">
        <v>23849.9</v>
      </c>
      <c r="D799" s="352">
        <v>40014.449999999997</v>
      </c>
      <c r="E799" s="302">
        <v>0</v>
      </c>
    </row>
    <row r="800" spans="1:5" ht="13">
      <c r="A800" s="302" t="s">
        <v>103</v>
      </c>
      <c r="B800" s="352">
        <v>13358986.85</v>
      </c>
      <c r="C800" s="352">
        <v>3935286.95</v>
      </c>
      <c r="D800" s="352">
        <v>3753699.61</v>
      </c>
      <c r="E800" s="352">
        <v>5670000.2999999998</v>
      </c>
    </row>
    <row r="801" spans="1:5" ht="13">
      <c r="A801" s="302" t="s">
        <v>1183</v>
      </c>
      <c r="B801" s="352">
        <v>99931.839999999997</v>
      </c>
      <c r="C801" s="352">
        <v>16194</v>
      </c>
      <c r="D801" s="302">
        <v>0</v>
      </c>
      <c r="E801" s="352">
        <v>83737.84</v>
      </c>
    </row>
    <row r="802" spans="1:5" ht="13">
      <c r="A802" s="302" t="s">
        <v>266</v>
      </c>
      <c r="B802" s="352">
        <v>8069711.0300000003</v>
      </c>
      <c r="C802" s="352">
        <v>2484854.16</v>
      </c>
      <c r="D802" s="352">
        <v>3130166.29</v>
      </c>
      <c r="E802" s="352">
        <v>2454690.58</v>
      </c>
    </row>
    <row r="803" spans="1:5" ht="13">
      <c r="A803" s="302" t="s">
        <v>763</v>
      </c>
      <c r="B803" s="352">
        <v>221114.23</v>
      </c>
      <c r="C803" s="352">
        <v>64245.56</v>
      </c>
      <c r="D803" s="352">
        <v>147694.97</v>
      </c>
      <c r="E803" s="352">
        <v>9173.7000000000007</v>
      </c>
    </row>
    <row r="804" spans="1:5" ht="13">
      <c r="A804" s="302" t="s">
        <v>622</v>
      </c>
      <c r="B804" s="352">
        <v>1639542.36</v>
      </c>
      <c r="C804" s="352">
        <v>693476</v>
      </c>
      <c r="D804" s="352">
        <v>615657.71</v>
      </c>
      <c r="E804" s="352">
        <v>330408.65000000002</v>
      </c>
    </row>
    <row r="805" spans="1:5" ht="13">
      <c r="A805" s="302" t="s">
        <v>352</v>
      </c>
      <c r="B805" s="352">
        <v>631771.06000000006</v>
      </c>
      <c r="C805" s="352">
        <v>205444.73</v>
      </c>
      <c r="D805" s="352">
        <v>189160</v>
      </c>
      <c r="E805" s="352">
        <v>237166.33</v>
      </c>
    </row>
    <row r="806" spans="1:5" ht="13">
      <c r="A806" s="302" t="s">
        <v>537</v>
      </c>
      <c r="B806" s="352">
        <v>3048553.39</v>
      </c>
      <c r="C806" s="352">
        <v>722534.13</v>
      </c>
      <c r="D806" s="352">
        <v>1114062.6599999999</v>
      </c>
      <c r="E806" s="352">
        <v>1211956.6000000001</v>
      </c>
    </row>
    <row r="807" spans="1:5" ht="13">
      <c r="A807" s="302" t="s">
        <v>598</v>
      </c>
      <c r="B807" s="352">
        <v>498393.34</v>
      </c>
      <c r="C807" s="302">
        <v>0</v>
      </c>
      <c r="D807" s="352">
        <v>342568.58</v>
      </c>
      <c r="E807" s="352">
        <v>155824.76</v>
      </c>
    </row>
    <row r="808" spans="1:5" ht="13">
      <c r="A808" s="302" t="s">
        <v>512</v>
      </c>
      <c r="B808" s="352">
        <v>23455886.100000001</v>
      </c>
      <c r="C808" s="352">
        <v>9745612.2799999993</v>
      </c>
      <c r="D808" s="352">
        <v>8400291.0299999993</v>
      </c>
      <c r="E808" s="352">
        <v>5309982.79</v>
      </c>
    </row>
    <row r="809" spans="1:5" ht="13">
      <c r="A809" s="302" t="s">
        <v>400</v>
      </c>
      <c r="B809" s="352">
        <v>6517315.7699999996</v>
      </c>
      <c r="C809" s="352">
        <v>2418680.69</v>
      </c>
      <c r="D809" s="352">
        <v>1797279.58</v>
      </c>
      <c r="E809" s="352">
        <v>2301355.4900000002</v>
      </c>
    </row>
    <row r="810" spans="1:5" ht="13">
      <c r="A810" s="302" t="s">
        <v>447</v>
      </c>
      <c r="B810" s="352">
        <v>463425.35</v>
      </c>
      <c r="C810" s="352">
        <v>120079.89</v>
      </c>
      <c r="D810" s="352">
        <v>85750.34</v>
      </c>
      <c r="E810" s="352">
        <v>257595.12</v>
      </c>
    </row>
    <row r="811" spans="1:5" ht="13">
      <c r="A811" s="302" t="s">
        <v>203</v>
      </c>
      <c r="B811" s="352">
        <v>717050.11</v>
      </c>
      <c r="C811" s="352">
        <v>328689.5</v>
      </c>
      <c r="D811" s="352">
        <v>90321.49</v>
      </c>
      <c r="E811" s="352">
        <v>298039.12</v>
      </c>
    </row>
    <row r="812" spans="1:5" ht="13">
      <c r="A812" s="302" t="s">
        <v>65</v>
      </c>
      <c r="B812" s="352">
        <v>3483125.58</v>
      </c>
      <c r="C812" s="352">
        <v>2735282.92</v>
      </c>
      <c r="D812" s="352">
        <v>747842.66</v>
      </c>
      <c r="E812" s="302">
        <v>0</v>
      </c>
    </row>
    <row r="813" spans="1:5" ht="13">
      <c r="A813" s="302" t="s">
        <v>1066</v>
      </c>
      <c r="B813" s="352">
        <v>849030.56</v>
      </c>
      <c r="C813" s="352">
        <v>643920.93999999994</v>
      </c>
      <c r="D813" s="352">
        <v>121623.49</v>
      </c>
      <c r="E813" s="352">
        <v>83486.13</v>
      </c>
    </row>
    <row r="814" spans="1:5" ht="13">
      <c r="A814" s="302" t="s">
        <v>1676</v>
      </c>
      <c r="B814" s="302">
        <v>0</v>
      </c>
      <c r="C814" s="302">
        <v>0</v>
      </c>
      <c r="D814" s="302">
        <v>0</v>
      </c>
      <c r="E814" s="302">
        <v>0</v>
      </c>
    </row>
    <row r="815" spans="1:5" ht="13">
      <c r="A815" s="302" t="s">
        <v>901</v>
      </c>
      <c r="B815" s="352">
        <v>100114.48</v>
      </c>
      <c r="C815" s="352">
        <v>33230.080000000002</v>
      </c>
      <c r="D815" s="302">
        <v>0</v>
      </c>
      <c r="E815" s="352">
        <v>66884.399999999994</v>
      </c>
    </row>
    <row r="816" spans="1:5" ht="13">
      <c r="A816" s="302" t="s">
        <v>339</v>
      </c>
      <c r="B816" s="352">
        <v>42452.82</v>
      </c>
      <c r="C816" s="302">
        <v>0</v>
      </c>
      <c r="D816" s="302">
        <v>0</v>
      </c>
      <c r="E816" s="352">
        <v>42452.82</v>
      </c>
    </row>
    <row r="817" spans="1:5" ht="13">
      <c r="A817" s="302" t="s">
        <v>941</v>
      </c>
      <c r="B817" s="352">
        <v>1064845.58</v>
      </c>
      <c r="C817" s="352">
        <v>369543.55</v>
      </c>
      <c r="D817" s="352">
        <v>364857.43</v>
      </c>
      <c r="E817" s="352">
        <v>330444.59999999998</v>
      </c>
    </row>
    <row r="818" spans="1:5" ht="13">
      <c r="A818" s="302" t="s">
        <v>1407</v>
      </c>
      <c r="B818" s="352">
        <v>8276602.21</v>
      </c>
      <c r="C818" s="352">
        <v>3201175.23</v>
      </c>
      <c r="D818" s="352">
        <v>1898165.55</v>
      </c>
      <c r="E818" s="352">
        <v>3177261.42</v>
      </c>
    </row>
    <row r="819" spans="1:5" ht="13">
      <c r="A819" s="302" t="s">
        <v>520</v>
      </c>
      <c r="B819" s="352">
        <v>8902212.6999999993</v>
      </c>
      <c r="C819" s="352">
        <v>2751094.47</v>
      </c>
      <c r="D819" s="352">
        <v>2677189.4</v>
      </c>
      <c r="E819" s="352">
        <v>3473928.83</v>
      </c>
    </row>
    <row r="820" spans="1:5" ht="13">
      <c r="A820" s="302" t="s">
        <v>599</v>
      </c>
      <c r="B820" s="352">
        <v>731566.1</v>
      </c>
      <c r="C820" s="302">
        <v>0</v>
      </c>
      <c r="D820" s="352">
        <v>731566.1</v>
      </c>
      <c r="E820" s="302">
        <v>0</v>
      </c>
    </row>
    <row r="821" spans="1:5" ht="13">
      <c r="A821" s="302" t="s">
        <v>1154</v>
      </c>
      <c r="B821" s="352">
        <v>1191533.2</v>
      </c>
      <c r="C821" s="352">
        <v>646099.19999999995</v>
      </c>
      <c r="D821" s="302">
        <v>0</v>
      </c>
      <c r="E821" s="352">
        <v>545434</v>
      </c>
    </row>
    <row r="822" spans="1:5" ht="13">
      <c r="A822" s="302" t="s">
        <v>1270</v>
      </c>
      <c r="B822" s="352">
        <v>5147028.79</v>
      </c>
      <c r="C822" s="352">
        <v>2147098.54</v>
      </c>
      <c r="D822" s="352">
        <v>1091974.52</v>
      </c>
      <c r="E822" s="352">
        <v>1907955.73</v>
      </c>
    </row>
    <row r="823" spans="1:5" ht="13">
      <c r="A823" s="302" t="s">
        <v>1041</v>
      </c>
      <c r="B823" s="352">
        <v>1585572.41</v>
      </c>
      <c r="C823" s="352">
        <v>463918.12</v>
      </c>
      <c r="D823" s="352">
        <v>957226.72</v>
      </c>
      <c r="E823" s="352">
        <v>164427.56</v>
      </c>
    </row>
    <row r="824" spans="1:5" ht="13">
      <c r="A824" s="302" t="s">
        <v>1184</v>
      </c>
      <c r="B824" s="352">
        <v>80028.98</v>
      </c>
      <c r="C824" s="302">
        <v>0</v>
      </c>
      <c r="D824" s="352">
        <v>80028.98</v>
      </c>
      <c r="E824" s="302">
        <v>0</v>
      </c>
    </row>
    <row r="825" spans="1:5" ht="13">
      <c r="A825" s="302" t="s">
        <v>1113</v>
      </c>
      <c r="B825" s="352">
        <v>13259583.35</v>
      </c>
      <c r="C825" s="352">
        <v>3610973.54</v>
      </c>
      <c r="D825" s="352">
        <v>3730792.3</v>
      </c>
      <c r="E825" s="352">
        <v>5917817.5099999998</v>
      </c>
    </row>
    <row r="826" spans="1:5" ht="13">
      <c r="A826" s="302" t="s">
        <v>871</v>
      </c>
      <c r="B826" s="352">
        <v>1594991.34</v>
      </c>
      <c r="C826" s="352">
        <v>513823.09</v>
      </c>
      <c r="D826" s="352">
        <v>526083.06999999995</v>
      </c>
      <c r="E826" s="352">
        <v>555085.18000000005</v>
      </c>
    </row>
    <row r="827" spans="1:5" ht="13">
      <c r="A827" s="302" t="s">
        <v>1038</v>
      </c>
      <c r="B827" s="352">
        <v>1155132</v>
      </c>
      <c r="C827" s="352">
        <v>385827.44</v>
      </c>
      <c r="D827" s="352">
        <v>499439.28</v>
      </c>
      <c r="E827" s="352">
        <v>269865.28000000003</v>
      </c>
    </row>
    <row r="828" spans="1:5" ht="13">
      <c r="A828" s="302" t="s">
        <v>1213</v>
      </c>
      <c r="B828" s="352">
        <v>1189885.8500000001</v>
      </c>
      <c r="C828" s="352">
        <v>382750.48</v>
      </c>
      <c r="D828" s="352">
        <v>433048.04</v>
      </c>
      <c r="E828" s="352">
        <v>374087.32</v>
      </c>
    </row>
    <row r="829" spans="1:5" ht="13">
      <c r="A829" s="302" t="s">
        <v>1109</v>
      </c>
      <c r="B829" s="352">
        <v>1614917.72</v>
      </c>
      <c r="C829" s="352">
        <v>707549.81</v>
      </c>
      <c r="D829" s="352">
        <v>462022.67</v>
      </c>
      <c r="E829" s="352">
        <v>445345.24</v>
      </c>
    </row>
    <row r="830" spans="1:5" ht="13">
      <c r="A830" s="302" t="s">
        <v>1035</v>
      </c>
      <c r="B830" s="352">
        <v>8420480.7400000002</v>
      </c>
      <c r="C830" s="352">
        <v>3645863.04</v>
      </c>
      <c r="D830" s="352">
        <v>2144972.59</v>
      </c>
      <c r="E830" s="352">
        <v>2629645.12</v>
      </c>
    </row>
    <row r="831" spans="1:5" ht="13">
      <c r="A831" s="302" t="s">
        <v>1095</v>
      </c>
      <c r="B831" s="352">
        <v>2371082.2400000002</v>
      </c>
      <c r="C831" s="352">
        <v>821858.3</v>
      </c>
      <c r="D831" s="352">
        <v>837038.62</v>
      </c>
      <c r="E831" s="352">
        <v>712185.32</v>
      </c>
    </row>
    <row r="832" spans="1:5" ht="13">
      <c r="A832" s="302" t="s">
        <v>1048</v>
      </c>
      <c r="B832" s="352">
        <v>1856591.08</v>
      </c>
      <c r="C832" s="352">
        <v>459824.08</v>
      </c>
      <c r="D832" s="352">
        <v>453345.92</v>
      </c>
      <c r="E832" s="352">
        <v>943421.08</v>
      </c>
    </row>
    <row r="833" spans="1:5" ht="13">
      <c r="A833" s="302" t="s">
        <v>1279</v>
      </c>
      <c r="B833" s="352">
        <v>16133168.92</v>
      </c>
      <c r="C833" s="352">
        <v>5600731.8899999997</v>
      </c>
      <c r="D833" s="352">
        <v>5300929.3</v>
      </c>
      <c r="E833" s="352">
        <v>5231507.74</v>
      </c>
    </row>
    <row r="834" spans="1:5" ht="13">
      <c r="A834" s="302" t="s">
        <v>450</v>
      </c>
      <c r="B834" s="352">
        <v>334667.2</v>
      </c>
      <c r="C834" s="352">
        <v>82682.63</v>
      </c>
      <c r="D834" s="352">
        <v>114779.16</v>
      </c>
      <c r="E834" s="352">
        <v>137205.41</v>
      </c>
    </row>
    <row r="835" spans="1:5" ht="13">
      <c r="A835" s="302" t="s">
        <v>640</v>
      </c>
      <c r="B835" s="352">
        <v>551886.35</v>
      </c>
      <c r="C835" s="302">
        <v>0</v>
      </c>
      <c r="D835" s="302">
        <v>0</v>
      </c>
      <c r="E835" s="352">
        <v>551886.35</v>
      </c>
    </row>
    <row r="836" spans="1:5" ht="13">
      <c r="A836" s="302" t="s">
        <v>1107</v>
      </c>
      <c r="B836" s="352">
        <v>13842169.08</v>
      </c>
      <c r="C836" s="352">
        <v>3494650.04</v>
      </c>
      <c r="D836" s="352">
        <v>2166991.27</v>
      </c>
      <c r="E836" s="352">
        <v>8180527.7699999996</v>
      </c>
    </row>
    <row r="837" spans="1:5" ht="13">
      <c r="A837" s="302" t="s">
        <v>1677</v>
      </c>
      <c r="B837" s="352">
        <v>26276.32</v>
      </c>
      <c r="C837" s="352">
        <v>26276.32</v>
      </c>
      <c r="D837" s="302">
        <v>0</v>
      </c>
      <c r="E837" s="302">
        <v>0</v>
      </c>
    </row>
    <row r="838" spans="1:5" ht="13">
      <c r="A838" s="302" t="s">
        <v>492</v>
      </c>
      <c r="B838" s="352">
        <v>5997362.9699999997</v>
      </c>
      <c r="C838" s="352">
        <v>2211038.33</v>
      </c>
      <c r="D838" s="352">
        <v>2440477.42</v>
      </c>
      <c r="E838" s="352">
        <v>1345847.22</v>
      </c>
    </row>
    <row r="839" spans="1:5" ht="13">
      <c r="A839" s="302" t="s">
        <v>340</v>
      </c>
      <c r="B839" s="352">
        <v>2270224.58</v>
      </c>
      <c r="C839" s="352">
        <v>1488049.84</v>
      </c>
      <c r="D839" s="352">
        <v>443384.1</v>
      </c>
      <c r="E839" s="352">
        <v>338790.64</v>
      </c>
    </row>
    <row r="840" spans="1:5" ht="13">
      <c r="A840" s="302" t="s">
        <v>972</v>
      </c>
      <c r="B840" s="352">
        <v>165243.85</v>
      </c>
      <c r="C840" s="352">
        <v>72701.100000000006</v>
      </c>
      <c r="D840" s="352">
        <v>92542.75</v>
      </c>
      <c r="E840" s="302">
        <v>0</v>
      </c>
    </row>
    <row r="841" spans="1:5" ht="13">
      <c r="A841" s="302" t="s">
        <v>864</v>
      </c>
      <c r="B841" s="352">
        <v>3366094.18</v>
      </c>
      <c r="C841" s="352">
        <v>828982.66</v>
      </c>
      <c r="D841" s="352">
        <v>1161065.8700000001</v>
      </c>
      <c r="E841" s="352">
        <v>1376045.65</v>
      </c>
    </row>
    <row r="842" spans="1:5" ht="13">
      <c r="A842" s="302" t="s">
        <v>455</v>
      </c>
      <c r="B842" s="352">
        <v>225052.45</v>
      </c>
      <c r="C842" s="352">
        <v>188912.5</v>
      </c>
      <c r="D842" s="302">
        <v>0</v>
      </c>
      <c r="E842" s="352">
        <v>36139.949999999997</v>
      </c>
    </row>
    <row r="843" spans="1:5" ht="13">
      <c r="A843" s="302" t="s">
        <v>341</v>
      </c>
      <c r="B843" s="352">
        <v>544692.63</v>
      </c>
      <c r="C843" s="352">
        <v>94445.28</v>
      </c>
      <c r="D843" s="352">
        <v>276436.12</v>
      </c>
      <c r="E843" s="352">
        <v>173811.23</v>
      </c>
    </row>
    <row r="844" spans="1:5" ht="13">
      <c r="A844" s="302" t="s">
        <v>1097</v>
      </c>
      <c r="B844" s="352">
        <v>461164.08</v>
      </c>
      <c r="C844" s="352">
        <v>164446.88</v>
      </c>
      <c r="D844" s="352">
        <v>77988.039999999994</v>
      </c>
      <c r="E844" s="352">
        <v>218729.16</v>
      </c>
    </row>
    <row r="845" spans="1:5" ht="13">
      <c r="A845" s="302" t="s">
        <v>1678</v>
      </c>
      <c r="B845" s="352">
        <v>328983</v>
      </c>
      <c r="C845" s="352">
        <v>328983</v>
      </c>
      <c r="D845" s="302">
        <v>0</v>
      </c>
      <c r="E845" s="302">
        <v>0</v>
      </c>
    </row>
    <row r="846" spans="1:5" ht="13">
      <c r="A846" s="302" t="s">
        <v>464</v>
      </c>
      <c r="B846" s="352">
        <v>870469.34</v>
      </c>
      <c r="C846" s="352">
        <v>67149.8</v>
      </c>
      <c r="D846" s="352">
        <v>191288.45</v>
      </c>
      <c r="E846" s="352">
        <v>612031.09</v>
      </c>
    </row>
    <row r="847" spans="1:5" ht="13">
      <c r="A847" s="302" t="s">
        <v>812</v>
      </c>
      <c r="B847" s="352">
        <v>429179.77</v>
      </c>
      <c r="C847" s="352">
        <v>213462.03</v>
      </c>
      <c r="D847" s="352">
        <v>91993.26</v>
      </c>
      <c r="E847" s="352">
        <v>123724.48</v>
      </c>
    </row>
    <row r="848" spans="1:5" ht="13">
      <c r="A848" s="302" t="s">
        <v>1462</v>
      </c>
      <c r="B848" s="352">
        <v>658687.15</v>
      </c>
      <c r="C848" s="302">
        <v>-0.02</v>
      </c>
      <c r="D848" s="302">
        <v>0</v>
      </c>
      <c r="E848" s="352">
        <v>658687.17000000004</v>
      </c>
    </row>
    <row r="849" spans="1:5" ht="13">
      <c r="A849" s="302" t="s">
        <v>957</v>
      </c>
      <c r="B849" s="352">
        <v>825459.92</v>
      </c>
      <c r="C849" s="352">
        <v>435652.4</v>
      </c>
      <c r="D849" s="352">
        <v>159066.4</v>
      </c>
      <c r="E849" s="352">
        <v>230741.12</v>
      </c>
    </row>
    <row r="850" spans="1:5" ht="13">
      <c r="A850" s="302" t="s">
        <v>851</v>
      </c>
      <c r="B850" s="352">
        <v>2671665.98</v>
      </c>
      <c r="C850" s="352">
        <v>1158701.74</v>
      </c>
      <c r="D850" s="352">
        <v>620278.5</v>
      </c>
      <c r="E850" s="352">
        <v>892685.73</v>
      </c>
    </row>
    <row r="851" spans="1:5" ht="13">
      <c r="A851" s="302" t="s">
        <v>717</v>
      </c>
      <c r="B851" s="352">
        <v>7597154.9500000002</v>
      </c>
      <c r="C851" s="352">
        <v>2171398.54</v>
      </c>
      <c r="D851" s="352">
        <v>1656609.57</v>
      </c>
      <c r="E851" s="352">
        <v>3769146.84</v>
      </c>
    </row>
    <row r="852" spans="1:5" ht="13">
      <c r="A852" s="302" t="s">
        <v>108</v>
      </c>
      <c r="B852" s="352">
        <v>8032997.0899999999</v>
      </c>
      <c r="C852" s="352">
        <v>3129514.16</v>
      </c>
      <c r="D852" s="352">
        <v>2148288.52</v>
      </c>
      <c r="E852" s="352">
        <v>2755194.41</v>
      </c>
    </row>
    <row r="853" spans="1:5" ht="13">
      <c r="A853" s="302" t="s">
        <v>739</v>
      </c>
      <c r="B853" s="352">
        <v>26859.919999999998</v>
      </c>
      <c r="C853" s="352">
        <v>26859.919999999998</v>
      </c>
      <c r="D853" s="302">
        <v>0</v>
      </c>
      <c r="E853" s="302">
        <v>0</v>
      </c>
    </row>
    <row r="854" spans="1:5" ht="13">
      <c r="A854" s="302" t="s">
        <v>240</v>
      </c>
      <c r="B854" s="352">
        <v>69511.5</v>
      </c>
      <c r="C854" s="302">
        <v>0</v>
      </c>
      <c r="D854" s="352">
        <v>69511.5</v>
      </c>
      <c r="E854" s="302">
        <v>0</v>
      </c>
    </row>
    <row r="855" spans="1:5" ht="13">
      <c r="A855" s="302" t="s">
        <v>565</v>
      </c>
      <c r="B855" s="352">
        <v>11773573.720000001</v>
      </c>
      <c r="C855" s="352">
        <v>3383389.05</v>
      </c>
      <c r="D855" s="352">
        <v>3796804.05</v>
      </c>
      <c r="E855" s="352">
        <v>4593380.62</v>
      </c>
    </row>
    <row r="856" spans="1:5" ht="13">
      <c r="A856" s="302" t="s">
        <v>487</v>
      </c>
      <c r="B856" s="352">
        <v>249754.04</v>
      </c>
      <c r="C856" s="302">
        <v>0</v>
      </c>
      <c r="D856" s="302">
        <v>0</v>
      </c>
      <c r="E856" s="352">
        <v>249754.04</v>
      </c>
    </row>
    <row r="857" spans="1:5" ht="13">
      <c r="A857" s="302" t="s">
        <v>276</v>
      </c>
      <c r="B857" s="352">
        <v>2156489.67</v>
      </c>
      <c r="C857" s="352">
        <v>660117.78</v>
      </c>
      <c r="D857" s="352">
        <v>690944.56</v>
      </c>
      <c r="E857" s="352">
        <v>805427.32</v>
      </c>
    </row>
    <row r="858" spans="1:5" ht="13">
      <c r="A858" s="302" t="s">
        <v>795</v>
      </c>
      <c r="B858" s="352">
        <v>39899.08</v>
      </c>
      <c r="C858" s="302">
        <v>0</v>
      </c>
      <c r="D858" s="352">
        <v>39899.08</v>
      </c>
      <c r="E858" s="302">
        <v>0</v>
      </c>
    </row>
    <row r="859" spans="1:5" ht="13">
      <c r="A859" s="302" t="s">
        <v>1370</v>
      </c>
      <c r="B859" s="352">
        <v>814588.5</v>
      </c>
      <c r="C859" s="352">
        <v>345219.37</v>
      </c>
      <c r="D859" s="352">
        <v>282553.12</v>
      </c>
      <c r="E859" s="352">
        <v>186816.01</v>
      </c>
    </row>
    <row r="860" spans="1:5" ht="13">
      <c r="A860" s="302" t="s">
        <v>306</v>
      </c>
      <c r="B860" s="352">
        <v>69696</v>
      </c>
      <c r="C860" s="352">
        <v>69696</v>
      </c>
      <c r="D860" s="302">
        <v>0</v>
      </c>
      <c r="E860" s="302">
        <v>0</v>
      </c>
    </row>
    <row r="861" spans="1:5" ht="13">
      <c r="A861" s="302" t="s">
        <v>1463</v>
      </c>
      <c r="B861" s="352">
        <v>954170.11</v>
      </c>
      <c r="C861" s="352">
        <v>83325.62</v>
      </c>
      <c r="D861" s="352">
        <v>290704.76</v>
      </c>
      <c r="E861" s="352">
        <v>580139.73</v>
      </c>
    </row>
    <row r="862" spans="1:5" ht="13">
      <c r="A862" s="302" t="s">
        <v>912</v>
      </c>
      <c r="B862" s="352">
        <v>161753.47</v>
      </c>
      <c r="C862" s="302">
        <v>0</v>
      </c>
      <c r="D862" s="352">
        <v>161753.47</v>
      </c>
      <c r="E862" s="302">
        <v>0</v>
      </c>
    </row>
    <row r="863" spans="1:5" ht="13">
      <c r="A863" s="302" t="s">
        <v>1196</v>
      </c>
      <c r="B863" s="352">
        <v>415193.65</v>
      </c>
      <c r="C863" s="352">
        <v>97941.6</v>
      </c>
      <c r="D863" s="352">
        <v>143722.18</v>
      </c>
      <c r="E863" s="352">
        <v>173529.86</v>
      </c>
    </row>
    <row r="864" spans="1:5" ht="13">
      <c r="A864" s="302" t="s">
        <v>1120</v>
      </c>
      <c r="B864" s="352">
        <v>140911.57999999999</v>
      </c>
      <c r="C864" s="352">
        <v>2974</v>
      </c>
      <c r="D864" s="352">
        <v>55468.78</v>
      </c>
      <c r="E864" s="352">
        <v>82468.800000000003</v>
      </c>
    </row>
    <row r="865" spans="1:5" ht="13">
      <c r="A865" s="302" t="s">
        <v>1679</v>
      </c>
      <c r="B865" s="352">
        <v>5468831.8899999997</v>
      </c>
      <c r="C865" s="352">
        <v>1270489.6000000001</v>
      </c>
      <c r="D865" s="352">
        <v>2472239.2000000002</v>
      </c>
      <c r="E865" s="352">
        <v>1726103.09</v>
      </c>
    </row>
    <row r="866" spans="1:5" ht="13">
      <c r="A866" s="302" t="s">
        <v>1122</v>
      </c>
      <c r="B866" s="352">
        <v>169890</v>
      </c>
      <c r="C866" s="352">
        <v>169890</v>
      </c>
      <c r="D866" s="302">
        <v>0</v>
      </c>
      <c r="E866" s="302">
        <v>0</v>
      </c>
    </row>
    <row r="867" spans="1:5" ht="13">
      <c r="A867" s="302" t="s">
        <v>342</v>
      </c>
      <c r="B867" s="352">
        <v>1858515.83</v>
      </c>
      <c r="C867" s="352">
        <v>664822.54</v>
      </c>
      <c r="D867" s="352">
        <v>1071014</v>
      </c>
      <c r="E867" s="352">
        <v>122679.29</v>
      </c>
    </row>
    <row r="868" spans="1:5" ht="13">
      <c r="A868" s="302" t="s">
        <v>467</v>
      </c>
      <c r="B868" s="352">
        <v>288724.15999999997</v>
      </c>
      <c r="C868" s="352">
        <v>22899.77</v>
      </c>
      <c r="D868" s="352">
        <v>265824.39</v>
      </c>
      <c r="E868" s="302">
        <v>0</v>
      </c>
    </row>
    <row r="869" spans="1:5" ht="13">
      <c r="A869" s="302" t="s">
        <v>1026</v>
      </c>
      <c r="B869" s="352">
        <v>3497876.61</v>
      </c>
      <c r="C869" s="352">
        <v>1148523.98</v>
      </c>
      <c r="D869" s="352">
        <v>1452397.41</v>
      </c>
      <c r="E869" s="352">
        <v>896955.23</v>
      </c>
    </row>
    <row r="870" spans="1:5" ht="13">
      <c r="A870" s="302" t="s">
        <v>277</v>
      </c>
      <c r="B870" s="352">
        <v>1394432.9</v>
      </c>
      <c r="C870" s="352">
        <v>573943.6</v>
      </c>
      <c r="D870" s="352">
        <v>525506.36</v>
      </c>
      <c r="E870" s="352">
        <v>294982.95</v>
      </c>
    </row>
    <row r="871" spans="1:5" ht="13">
      <c r="A871" s="302" t="s">
        <v>1112</v>
      </c>
      <c r="B871" s="352">
        <v>16578127.27</v>
      </c>
      <c r="C871" s="352">
        <v>6932781.8499999996</v>
      </c>
      <c r="D871" s="352">
        <v>4643166.2699999996</v>
      </c>
      <c r="E871" s="352">
        <v>5002179.1500000004</v>
      </c>
    </row>
    <row r="872" spans="1:5" ht="13">
      <c r="A872" s="302" t="s">
        <v>1448</v>
      </c>
      <c r="B872" s="352">
        <v>258181.71</v>
      </c>
      <c r="C872" s="352">
        <v>120970.57</v>
      </c>
      <c r="D872" s="352">
        <v>70518.210000000006</v>
      </c>
      <c r="E872" s="352">
        <v>66692.929999999993</v>
      </c>
    </row>
    <row r="873" spans="1:5" ht="13">
      <c r="A873" s="302" t="s">
        <v>1324</v>
      </c>
      <c r="B873" s="352">
        <v>417500</v>
      </c>
      <c r="C873" s="352">
        <v>417500</v>
      </c>
      <c r="D873" s="302">
        <v>0</v>
      </c>
      <c r="E873" s="302">
        <v>0</v>
      </c>
    </row>
    <row r="874" spans="1:5" ht="13">
      <c r="A874" s="302" t="s">
        <v>205</v>
      </c>
      <c r="B874" s="352">
        <v>302344.46999999997</v>
      </c>
      <c r="C874" s="352">
        <v>120491.16</v>
      </c>
      <c r="D874" s="352">
        <v>125447.8</v>
      </c>
      <c r="E874" s="352">
        <v>56405.51</v>
      </c>
    </row>
    <row r="875" spans="1:5" ht="13">
      <c r="A875" s="302" t="s">
        <v>1304</v>
      </c>
      <c r="B875" s="352">
        <v>2132383.9900000002</v>
      </c>
      <c r="C875" s="352">
        <v>587915.07999999996</v>
      </c>
      <c r="D875" s="352">
        <v>523317.25</v>
      </c>
      <c r="E875" s="352">
        <v>1021151.67</v>
      </c>
    </row>
    <row r="876" spans="1:5" ht="13">
      <c r="A876" s="302" t="s">
        <v>1210</v>
      </c>
      <c r="B876" s="352">
        <v>194028.94</v>
      </c>
      <c r="C876" s="352">
        <v>7100.62</v>
      </c>
      <c r="D876" s="352">
        <v>166791.35999999999</v>
      </c>
      <c r="E876" s="352">
        <v>20136.96</v>
      </c>
    </row>
    <row r="877" spans="1:5" ht="13">
      <c r="A877" s="302" t="s">
        <v>1012</v>
      </c>
      <c r="B877" s="352">
        <v>1305583.93</v>
      </c>
      <c r="C877" s="352">
        <v>504796.68</v>
      </c>
      <c r="D877" s="352">
        <v>349158.14</v>
      </c>
      <c r="E877" s="352">
        <v>451629.11</v>
      </c>
    </row>
    <row r="878" spans="1:5" ht="13">
      <c r="A878" s="302" t="s">
        <v>290</v>
      </c>
      <c r="B878" s="352">
        <v>754720.58</v>
      </c>
      <c r="C878" s="352">
        <v>191095.84</v>
      </c>
      <c r="D878" s="352">
        <v>532062.69999999995</v>
      </c>
      <c r="E878" s="352">
        <v>31562.04</v>
      </c>
    </row>
    <row r="879" spans="1:5" ht="13">
      <c r="A879" s="302" t="s">
        <v>796</v>
      </c>
      <c r="B879" s="352">
        <v>407020.53</v>
      </c>
      <c r="C879" s="302">
        <v>0</v>
      </c>
      <c r="D879" s="352">
        <v>118967.88</v>
      </c>
      <c r="E879" s="352">
        <v>288052.65000000002</v>
      </c>
    </row>
    <row r="880" spans="1:5" ht="13">
      <c r="A880" s="302" t="s">
        <v>641</v>
      </c>
      <c r="B880" s="352">
        <v>2268237.7799999998</v>
      </c>
      <c r="C880" s="352">
        <v>729026.12</v>
      </c>
      <c r="D880" s="352">
        <v>1148928.43</v>
      </c>
      <c r="E880" s="352">
        <v>390283.23</v>
      </c>
    </row>
    <row r="881" spans="1:5" ht="13">
      <c r="A881" s="302" t="s">
        <v>166</v>
      </c>
      <c r="B881" s="352">
        <v>2341909.38</v>
      </c>
      <c r="C881" s="352">
        <v>623395.69999999995</v>
      </c>
      <c r="D881" s="352">
        <v>622451.01</v>
      </c>
      <c r="E881" s="352">
        <v>1096062.67</v>
      </c>
    </row>
    <row r="882" spans="1:5" ht="13">
      <c r="A882" s="302" t="s">
        <v>1155</v>
      </c>
      <c r="B882" s="352">
        <v>4040474.4</v>
      </c>
      <c r="C882" s="352">
        <v>445024.96</v>
      </c>
      <c r="D882" s="352">
        <v>2031677.4399999999</v>
      </c>
      <c r="E882" s="352">
        <v>1563772</v>
      </c>
    </row>
    <row r="883" spans="1:5" ht="13">
      <c r="A883" s="302" t="s">
        <v>705</v>
      </c>
      <c r="B883" s="352">
        <v>4159221.46</v>
      </c>
      <c r="C883" s="352">
        <v>2388203.13</v>
      </c>
      <c r="D883" s="352">
        <v>595893.34</v>
      </c>
      <c r="E883" s="352">
        <v>1175124.98</v>
      </c>
    </row>
    <row r="884" spans="1:5" ht="13">
      <c r="A884" s="302" t="s">
        <v>601</v>
      </c>
      <c r="B884" s="352">
        <v>998447.52</v>
      </c>
      <c r="C884" s="352">
        <v>486534.32</v>
      </c>
      <c r="D884" s="302">
        <v>0</v>
      </c>
      <c r="E884" s="352">
        <v>511913.2</v>
      </c>
    </row>
    <row r="885" spans="1:5" ht="13">
      <c r="A885" s="302" t="s">
        <v>971</v>
      </c>
      <c r="B885" s="352">
        <v>346795.83</v>
      </c>
      <c r="C885" s="352">
        <v>196450.91</v>
      </c>
      <c r="D885" s="352">
        <v>150344.92000000001</v>
      </c>
      <c r="E885" s="302">
        <v>0</v>
      </c>
    </row>
    <row r="886" spans="1:5" ht="13">
      <c r="A886" s="302" t="s">
        <v>1000</v>
      </c>
      <c r="B886" s="352">
        <v>56582</v>
      </c>
      <c r="C886" s="302">
        <v>0</v>
      </c>
      <c r="D886" s="302">
        <v>0</v>
      </c>
      <c r="E886" s="352">
        <v>56582</v>
      </c>
    </row>
    <row r="887" spans="1:5" ht="13">
      <c r="A887" s="302" t="s">
        <v>1680</v>
      </c>
      <c r="B887" s="352">
        <v>31275.11</v>
      </c>
      <c r="C887" s="352">
        <v>31275.11</v>
      </c>
      <c r="D887" s="302">
        <v>0</v>
      </c>
      <c r="E887" s="302">
        <v>0</v>
      </c>
    </row>
    <row r="888" spans="1:5" ht="13">
      <c r="A888" s="302" t="s">
        <v>566</v>
      </c>
      <c r="B888" s="352">
        <v>7372421.6799999997</v>
      </c>
      <c r="C888" s="352">
        <v>1460935.07</v>
      </c>
      <c r="D888" s="352">
        <v>2332170.41</v>
      </c>
      <c r="E888" s="352">
        <v>3579316.19</v>
      </c>
    </row>
    <row r="889" spans="1:5" ht="13">
      <c r="A889" s="302" t="s">
        <v>1144</v>
      </c>
      <c r="B889" s="352">
        <v>1944096.96</v>
      </c>
      <c r="C889" s="352">
        <v>796634.63</v>
      </c>
      <c r="D889" s="352">
        <v>558649.02</v>
      </c>
      <c r="E889" s="352">
        <v>588813.31000000006</v>
      </c>
    </row>
    <row r="890" spans="1:5" ht="13">
      <c r="A890" s="302" t="s">
        <v>64</v>
      </c>
      <c r="B890" s="352">
        <v>9461313.0099999998</v>
      </c>
      <c r="C890" s="352">
        <v>2248182.61</v>
      </c>
      <c r="D890" s="352">
        <v>2973025.52</v>
      </c>
      <c r="E890" s="352">
        <v>4240104.88</v>
      </c>
    </row>
    <row r="891" spans="1:5" ht="13">
      <c r="A891" s="302" t="s">
        <v>206</v>
      </c>
      <c r="B891" s="352">
        <v>124953.98</v>
      </c>
      <c r="C891" s="352">
        <v>24990.799999999999</v>
      </c>
      <c r="D891" s="352">
        <v>99963.18</v>
      </c>
      <c r="E891" s="302">
        <v>0</v>
      </c>
    </row>
    <row r="892" spans="1:5" ht="13">
      <c r="A892" s="302" t="s">
        <v>1059</v>
      </c>
      <c r="B892" s="352">
        <v>624281.26</v>
      </c>
      <c r="C892" s="352">
        <v>624281.26</v>
      </c>
      <c r="D892" s="302">
        <v>0</v>
      </c>
      <c r="E892" s="302">
        <v>0</v>
      </c>
    </row>
    <row r="893" spans="1:5" ht="13">
      <c r="A893" s="302" t="s">
        <v>225</v>
      </c>
      <c r="B893" s="352">
        <v>1095499.58</v>
      </c>
      <c r="C893" s="352">
        <v>324784.46000000002</v>
      </c>
      <c r="D893" s="352">
        <v>230387.3</v>
      </c>
      <c r="E893" s="352">
        <v>540327.81999999995</v>
      </c>
    </row>
    <row r="894" spans="1:5" ht="13">
      <c r="A894" s="302" t="s">
        <v>1102</v>
      </c>
      <c r="B894" s="352">
        <v>2001412.45</v>
      </c>
      <c r="C894" s="352">
        <v>1087327.1000000001</v>
      </c>
      <c r="D894" s="352">
        <v>327857.05</v>
      </c>
      <c r="E894" s="352">
        <v>586228.29</v>
      </c>
    </row>
    <row r="895" spans="1:5" ht="13">
      <c r="A895" s="302" t="s">
        <v>1372</v>
      </c>
      <c r="B895" s="352">
        <v>295149.19</v>
      </c>
      <c r="C895" s="352">
        <v>231617.1</v>
      </c>
      <c r="D895" s="352">
        <v>63532.09</v>
      </c>
      <c r="E895" s="302">
        <v>0</v>
      </c>
    </row>
    <row r="896" spans="1:5" ht="13">
      <c r="A896" s="302" t="s">
        <v>513</v>
      </c>
      <c r="B896" s="352">
        <v>60539814.979999997</v>
      </c>
      <c r="C896" s="352">
        <v>21285908.489999998</v>
      </c>
      <c r="D896" s="352">
        <v>21623755.27</v>
      </c>
      <c r="E896" s="352">
        <v>17630151.210000001</v>
      </c>
    </row>
    <row r="897" spans="1:5" ht="13">
      <c r="A897" s="302" t="s">
        <v>207</v>
      </c>
      <c r="B897" s="352">
        <v>4967.55</v>
      </c>
      <c r="C897" s="352">
        <v>4967.55</v>
      </c>
      <c r="D897" s="302">
        <v>0</v>
      </c>
      <c r="E897" s="302">
        <v>0</v>
      </c>
    </row>
    <row r="898" spans="1:5" ht="13">
      <c r="A898" s="302" t="s">
        <v>857</v>
      </c>
      <c r="B898" s="352">
        <v>4350940.2</v>
      </c>
      <c r="C898" s="352">
        <v>1411326.69</v>
      </c>
      <c r="D898" s="352">
        <v>944875.61</v>
      </c>
      <c r="E898" s="352">
        <v>1994737.9</v>
      </c>
    </row>
    <row r="899" spans="1:5" ht="13">
      <c r="A899" s="302" t="s">
        <v>628</v>
      </c>
      <c r="B899" s="352">
        <v>2046607.3600000001</v>
      </c>
      <c r="C899" s="352">
        <v>879536.16</v>
      </c>
      <c r="D899" s="352">
        <v>412462.8</v>
      </c>
      <c r="E899" s="352">
        <v>754608.4</v>
      </c>
    </row>
    <row r="900" spans="1:5" ht="13">
      <c r="A900" s="302" t="s">
        <v>1517</v>
      </c>
      <c r="B900" s="352">
        <v>260565.02</v>
      </c>
      <c r="C900" s="352">
        <v>175050</v>
      </c>
      <c r="D900" s="302">
        <v>0</v>
      </c>
      <c r="E900" s="352">
        <v>85515.02</v>
      </c>
    </row>
    <row r="901" spans="1:5" ht="13">
      <c r="A901" s="302" t="s">
        <v>135</v>
      </c>
      <c r="B901" s="352">
        <v>1889024.94</v>
      </c>
      <c r="C901" s="352">
        <v>395454.21</v>
      </c>
      <c r="D901" s="352">
        <v>731776.38</v>
      </c>
      <c r="E901" s="352">
        <v>761794.34</v>
      </c>
    </row>
    <row r="902" spans="1:5" ht="13">
      <c r="A902" s="302" t="s">
        <v>737</v>
      </c>
      <c r="B902" s="352">
        <v>243165.7</v>
      </c>
      <c r="C902" s="352">
        <v>243165.7</v>
      </c>
      <c r="D902" s="302">
        <v>0</v>
      </c>
      <c r="E902" s="302">
        <v>0</v>
      </c>
    </row>
    <row r="903" spans="1:5" ht="13">
      <c r="A903" s="302" t="s">
        <v>845</v>
      </c>
      <c r="B903" s="352">
        <v>8422575.9600000009</v>
      </c>
      <c r="C903" s="352">
        <v>3700393.81</v>
      </c>
      <c r="D903" s="352">
        <v>1959177.66</v>
      </c>
      <c r="E903" s="352">
        <v>2763004.49</v>
      </c>
    </row>
    <row r="904" spans="1:5" ht="13">
      <c r="A904" s="302" t="s">
        <v>1483</v>
      </c>
      <c r="B904" s="352">
        <v>50513.599999999999</v>
      </c>
      <c r="C904" s="302">
        <v>0</v>
      </c>
      <c r="D904" s="352">
        <v>50513.599999999999</v>
      </c>
      <c r="E904" s="302">
        <v>0</v>
      </c>
    </row>
    <row r="905" spans="1:5" ht="13">
      <c r="A905" s="302" t="s">
        <v>343</v>
      </c>
      <c r="B905" s="352">
        <v>1421362.23</v>
      </c>
      <c r="C905" s="352">
        <v>225039.78</v>
      </c>
      <c r="D905" s="352">
        <v>791504.53</v>
      </c>
      <c r="E905" s="352">
        <v>404817.91999999998</v>
      </c>
    </row>
    <row r="906" spans="1:5" ht="13">
      <c r="A906" s="302" t="s">
        <v>880</v>
      </c>
      <c r="B906" s="352">
        <v>3273151.44</v>
      </c>
      <c r="C906" s="352">
        <v>867102.88</v>
      </c>
      <c r="D906" s="352">
        <v>1199779.76</v>
      </c>
      <c r="E906" s="352">
        <v>1206268.8</v>
      </c>
    </row>
    <row r="907" spans="1:5" ht="13">
      <c r="A907" s="302" t="s">
        <v>211</v>
      </c>
      <c r="B907" s="352">
        <v>807099.13</v>
      </c>
      <c r="C907" s="352">
        <v>522880.09</v>
      </c>
      <c r="D907" s="302">
        <v>0</v>
      </c>
      <c r="E907" s="352">
        <v>284219.03999999998</v>
      </c>
    </row>
    <row r="908" spans="1:5" ht="13">
      <c r="A908" s="302" t="s">
        <v>1420</v>
      </c>
      <c r="B908" s="352">
        <v>134208.60999999999</v>
      </c>
      <c r="C908" s="352">
        <v>75213.33</v>
      </c>
      <c r="D908" s="352">
        <v>58995.28</v>
      </c>
      <c r="E908" s="302">
        <v>0</v>
      </c>
    </row>
    <row r="909" spans="1:5" ht="13">
      <c r="A909" s="302" t="s">
        <v>956</v>
      </c>
      <c r="B909" s="352">
        <v>315222.62</v>
      </c>
      <c r="C909" s="352">
        <v>82230.259999999995</v>
      </c>
      <c r="D909" s="352">
        <v>232992.36</v>
      </c>
      <c r="E909" s="302">
        <v>0</v>
      </c>
    </row>
    <row r="910" spans="1:5" ht="13">
      <c r="A910" s="302" t="s">
        <v>567</v>
      </c>
      <c r="B910" s="352">
        <v>390839.53</v>
      </c>
      <c r="C910" s="352">
        <v>175295.74</v>
      </c>
      <c r="D910" s="352">
        <v>74821.36</v>
      </c>
      <c r="E910" s="352">
        <v>140722.43</v>
      </c>
    </row>
    <row r="911" spans="1:5" ht="13">
      <c r="A911" s="302" t="s">
        <v>1681</v>
      </c>
      <c r="B911" s="352">
        <v>18797679.879999999</v>
      </c>
      <c r="C911" s="302">
        <v>0</v>
      </c>
      <c r="D911" s="302">
        <v>0</v>
      </c>
      <c r="E911" s="352">
        <v>18797679.879999999</v>
      </c>
    </row>
    <row r="912" spans="1:5" ht="13">
      <c r="A912" s="302" t="s">
        <v>652</v>
      </c>
      <c r="B912" s="352">
        <v>43930.69</v>
      </c>
      <c r="C912" s="352">
        <v>43930.69</v>
      </c>
      <c r="D912" s="302">
        <v>0</v>
      </c>
      <c r="E912" s="302">
        <v>0</v>
      </c>
    </row>
    <row r="913" spans="1:5" ht="13">
      <c r="A913" s="302" t="s">
        <v>109</v>
      </c>
      <c r="B913" s="352">
        <v>2017946.45</v>
      </c>
      <c r="C913" s="352">
        <v>588582.37</v>
      </c>
      <c r="D913" s="352">
        <v>381002.57</v>
      </c>
      <c r="E913" s="352">
        <v>1048361.5</v>
      </c>
    </row>
    <row r="914" spans="1:5" ht="13">
      <c r="A914" s="302" t="s">
        <v>603</v>
      </c>
      <c r="B914" s="352">
        <v>168071.15</v>
      </c>
      <c r="C914" s="352">
        <v>168071.15</v>
      </c>
      <c r="D914" s="302">
        <v>0</v>
      </c>
      <c r="E914" s="302">
        <v>0</v>
      </c>
    </row>
    <row r="915" spans="1:5" ht="13">
      <c r="A915" s="302" t="s">
        <v>711</v>
      </c>
      <c r="B915" s="352">
        <v>836118.45</v>
      </c>
      <c r="C915" s="352">
        <v>503935.99</v>
      </c>
      <c r="D915" s="352">
        <v>203361.44</v>
      </c>
      <c r="E915" s="352">
        <v>128821.01</v>
      </c>
    </row>
    <row r="916" spans="1:5" ht="13">
      <c r="A916" s="302" t="s">
        <v>440</v>
      </c>
      <c r="B916" s="352">
        <v>4166643.38</v>
      </c>
      <c r="C916" s="352">
        <v>1443986.98</v>
      </c>
      <c r="D916" s="352">
        <v>1479786.88</v>
      </c>
      <c r="E916" s="352">
        <v>1242869.52</v>
      </c>
    </row>
    <row r="917" spans="1:5" ht="13">
      <c r="A917" s="302" t="s">
        <v>1044</v>
      </c>
      <c r="B917" s="352">
        <v>583942.53</v>
      </c>
      <c r="C917" s="302">
        <v>0</v>
      </c>
      <c r="D917" s="352">
        <v>275390.87</v>
      </c>
      <c r="E917" s="352">
        <v>308551.65999999997</v>
      </c>
    </row>
    <row r="918" spans="1:5" ht="13">
      <c r="A918" s="302" t="s">
        <v>797</v>
      </c>
      <c r="B918" s="352">
        <v>102761.21</v>
      </c>
      <c r="C918" s="302">
        <v>0</v>
      </c>
      <c r="D918" s="352">
        <v>56837.51</v>
      </c>
      <c r="E918" s="352">
        <v>45923.7</v>
      </c>
    </row>
    <row r="919" spans="1:5" ht="13">
      <c r="A919" s="302" t="s">
        <v>889</v>
      </c>
      <c r="B919" s="352">
        <v>924856.91</v>
      </c>
      <c r="C919" s="352">
        <v>110611.84</v>
      </c>
      <c r="D919" s="352">
        <v>404064.96</v>
      </c>
      <c r="E919" s="352">
        <v>410180.11</v>
      </c>
    </row>
    <row r="920" spans="1:5" ht="13">
      <c r="A920" s="302" t="s">
        <v>111</v>
      </c>
      <c r="B920" s="352">
        <v>2507408.3199999998</v>
      </c>
      <c r="C920" s="352">
        <v>884630.52</v>
      </c>
      <c r="D920" s="352">
        <v>1115091.07</v>
      </c>
      <c r="E920" s="352">
        <v>507686.74</v>
      </c>
    </row>
    <row r="921" spans="1:5" ht="13">
      <c r="A921" s="302" t="s">
        <v>723</v>
      </c>
      <c r="B921" s="352">
        <v>1716517.08</v>
      </c>
      <c r="C921" s="352">
        <v>780699.83</v>
      </c>
      <c r="D921" s="352">
        <v>397014.3</v>
      </c>
      <c r="E921" s="352">
        <v>538802.94999999995</v>
      </c>
    </row>
    <row r="922" spans="1:5" ht="13">
      <c r="A922" s="302" t="s">
        <v>415</v>
      </c>
      <c r="B922" s="352">
        <v>1706988.01</v>
      </c>
      <c r="C922" s="352">
        <v>255439.22</v>
      </c>
      <c r="D922" s="352">
        <v>552684.43000000005</v>
      </c>
      <c r="E922" s="352">
        <v>898864.37</v>
      </c>
    </row>
    <row r="923" spans="1:5" ht="13">
      <c r="A923" s="302" t="s">
        <v>344</v>
      </c>
      <c r="B923" s="352">
        <v>2353197.4700000002</v>
      </c>
      <c r="C923" s="352">
        <v>363193.52</v>
      </c>
      <c r="D923" s="352">
        <v>1067033.72</v>
      </c>
      <c r="E923" s="352">
        <v>922970.23</v>
      </c>
    </row>
    <row r="924" spans="1:5" ht="13">
      <c r="A924" s="302" t="s">
        <v>1306</v>
      </c>
      <c r="B924" s="352">
        <v>2658144.61</v>
      </c>
      <c r="C924" s="352">
        <v>692382.36</v>
      </c>
      <c r="D924" s="352">
        <v>1066313.67</v>
      </c>
      <c r="E924" s="352">
        <v>899448.58</v>
      </c>
    </row>
    <row r="925" spans="1:5" ht="13">
      <c r="A925" s="302" t="s">
        <v>1387</v>
      </c>
      <c r="B925" s="352">
        <v>425847.06</v>
      </c>
      <c r="C925" s="352">
        <v>111103.25</v>
      </c>
      <c r="D925" s="352">
        <v>213971.68</v>
      </c>
      <c r="E925" s="352">
        <v>100772.14</v>
      </c>
    </row>
    <row r="926" spans="1:5" ht="13">
      <c r="A926" s="302" t="s">
        <v>1563</v>
      </c>
      <c r="B926" s="352">
        <v>448276.98</v>
      </c>
      <c r="C926" s="352">
        <v>448276.98</v>
      </c>
      <c r="D926" s="302">
        <v>0</v>
      </c>
      <c r="E926" s="302">
        <v>0</v>
      </c>
    </row>
    <row r="927" spans="1:5" ht="13">
      <c r="A927" s="302" t="s">
        <v>1385</v>
      </c>
      <c r="B927" s="352">
        <v>178317.04</v>
      </c>
      <c r="C927" s="302">
        <v>0</v>
      </c>
      <c r="D927" s="302">
        <v>0</v>
      </c>
      <c r="E927" s="352">
        <v>178317.04</v>
      </c>
    </row>
    <row r="928" spans="1:5" ht="13">
      <c r="A928" s="302" t="s">
        <v>604</v>
      </c>
      <c r="B928" s="352">
        <v>20114520.350000001</v>
      </c>
      <c r="C928" s="352">
        <v>5177845.9000000004</v>
      </c>
      <c r="D928" s="352">
        <v>9481174.5899999999</v>
      </c>
      <c r="E928" s="352">
        <v>5455499.8600000003</v>
      </c>
    </row>
    <row r="929" spans="1:5" ht="13">
      <c r="A929" s="302" t="s">
        <v>653</v>
      </c>
      <c r="B929" s="352">
        <v>65907.39</v>
      </c>
      <c r="C929" s="352">
        <v>14481.75</v>
      </c>
      <c r="D929" s="352">
        <v>51425.64</v>
      </c>
      <c r="E929" s="302">
        <v>0</v>
      </c>
    </row>
    <row r="930" spans="1:5" ht="13">
      <c r="A930" s="302" t="s">
        <v>654</v>
      </c>
      <c r="B930" s="352">
        <v>446512.92</v>
      </c>
      <c r="C930" s="352">
        <v>264076.42</v>
      </c>
      <c r="D930" s="302">
        <v>0</v>
      </c>
      <c r="E930" s="352">
        <v>182436.5</v>
      </c>
    </row>
    <row r="931" spans="1:5" ht="13">
      <c r="A931" s="302" t="s">
        <v>943</v>
      </c>
      <c r="B931" s="352">
        <v>1261047.55</v>
      </c>
      <c r="C931" s="352">
        <v>311140.09999999998</v>
      </c>
      <c r="D931" s="352">
        <v>523402.44</v>
      </c>
      <c r="E931" s="352">
        <v>426505.02</v>
      </c>
    </row>
    <row r="932" spans="1:5" ht="13">
      <c r="A932" s="302" t="s">
        <v>1374</v>
      </c>
      <c r="B932" s="352">
        <v>98356.25</v>
      </c>
      <c r="C932" s="302">
        <v>0</v>
      </c>
      <c r="D932" s="352">
        <v>98356.25</v>
      </c>
      <c r="E932" s="302">
        <v>0</v>
      </c>
    </row>
    <row r="933" spans="1:5" ht="13">
      <c r="A933" s="302" t="s">
        <v>212</v>
      </c>
      <c r="B933" s="352">
        <v>116623.29</v>
      </c>
      <c r="C933" s="352">
        <v>80441.84</v>
      </c>
      <c r="D933" s="302">
        <v>0</v>
      </c>
      <c r="E933" s="352">
        <v>36181.449999999997</v>
      </c>
    </row>
    <row r="934" spans="1:5" ht="13">
      <c r="A934" s="302" t="s">
        <v>568</v>
      </c>
      <c r="B934" s="352">
        <v>2415408</v>
      </c>
      <c r="C934" s="302">
        <v>0</v>
      </c>
      <c r="D934" s="352">
        <v>406703.22</v>
      </c>
      <c r="E934" s="352">
        <v>2008704.78</v>
      </c>
    </row>
    <row r="935" spans="1:5" ht="13">
      <c r="A935" s="302" t="s">
        <v>123</v>
      </c>
      <c r="B935" s="352">
        <v>2717350.98</v>
      </c>
      <c r="C935" s="352">
        <v>2068908.94</v>
      </c>
      <c r="D935" s="352">
        <v>146154.6</v>
      </c>
      <c r="E935" s="352">
        <v>502287.44</v>
      </c>
    </row>
    <row r="936" spans="1:5" ht="13">
      <c r="A936" s="302" t="s">
        <v>917</v>
      </c>
      <c r="B936" s="302">
        <v>0</v>
      </c>
      <c r="C936" s="302">
        <v>0</v>
      </c>
      <c r="D936" s="302">
        <v>0</v>
      </c>
      <c r="E936" s="302">
        <v>0</v>
      </c>
    </row>
    <row r="937" spans="1:5" ht="13">
      <c r="A937" s="302" t="s">
        <v>605</v>
      </c>
      <c r="B937" s="352">
        <v>328499.20000000001</v>
      </c>
      <c r="C937" s="302">
        <v>0</v>
      </c>
      <c r="D937" s="302">
        <v>0</v>
      </c>
      <c r="E937" s="352">
        <v>328499.20000000001</v>
      </c>
    </row>
    <row r="938" spans="1:5" ht="13">
      <c r="A938" s="302" t="s">
        <v>1307</v>
      </c>
      <c r="B938" s="352">
        <v>8171839.3600000003</v>
      </c>
      <c r="C938" s="302">
        <v>0</v>
      </c>
      <c r="D938" s="352">
        <v>8171839.3600000003</v>
      </c>
      <c r="E938" s="302">
        <v>0</v>
      </c>
    </row>
    <row r="939" spans="1:5" ht="13">
      <c r="A939" s="302" t="s">
        <v>741</v>
      </c>
      <c r="B939" s="352">
        <v>124431.54</v>
      </c>
      <c r="C939" s="302">
        <v>0</v>
      </c>
      <c r="D939" s="352">
        <v>124431.54</v>
      </c>
      <c r="E939" s="302">
        <v>0</v>
      </c>
    </row>
    <row r="940" spans="1:5" ht="13">
      <c r="A940" s="302" t="s">
        <v>477</v>
      </c>
      <c r="B940" s="352">
        <v>209701</v>
      </c>
      <c r="C940" s="302">
        <v>0</v>
      </c>
      <c r="D940" s="352">
        <v>209701</v>
      </c>
      <c r="E940" s="302">
        <v>0</v>
      </c>
    </row>
    <row r="941" spans="1:5" ht="13">
      <c r="A941" s="302" t="s">
        <v>278</v>
      </c>
      <c r="B941" s="352">
        <v>1286335.27</v>
      </c>
      <c r="C941" s="352">
        <v>252076.46</v>
      </c>
      <c r="D941" s="302">
        <v>0</v>
      </c>
      <c r="E941" s="352">
        <v>1034258.81</v>
      </c>
    </row>
    <row r="942" spans="1:5" ht="13">
      <c r="A942" s="302" t="s">
        <v>1285</v>
      </c>
      <c r="B942" s="352">
        <v>3596302.39</v>
      </c>
      <c r="C942" s="352">
        <v>1021319.88</v>
      </c>
      <c r="D942" s="352">
        <v>1232169.8600000001</v>
      </c>
      <c r="E942" s="352">
        <v>1342812.65</v>
      </c>
    </row>
    <row r="943" spans="1:5" ht="13">
      <c r="A943" s="302" t="s">
        <v>1682</v>
      </c>
      <c r="B943" s="352">
        <v>5490853.5499999998</v>
      </c>
      <c r="C943" s="352">
        <v>1675012.46</v>
      </c>
      <c r="D943" s="352">
        <v>1421602.71</v>
      </c>
      <c r="E943" s="352">
        <v>2394238.38</v>
      </c>
    </row>
    <row r="944" spans="1:5" ht="13">
      <c r="A944" s="302" t="s">
        <v>569</v>
      </c>
      <c r="B944" s="352">
        <v>2435913.25</v>
      </c>
      <c r="C944" s="352">
        <v>610262.27</v>
      </c>
      <c r="D944" s="352">
        <v>934345.72</v>
      </c>
      <c r="E944" s="352">
        <v>891305.26</v>
      </c>
    </row>
    <row r="945" spans="1:5" ht="13">
      <c r="A945" s="302" t="s">
        <v>1092</v>
      </c>
      <c r="B945" s="352">
        <v>1164612.95</v>
      </c>
      <c r="C945" s="302">
        <v>0</v>
      </c>
      <c r="D945" s="302">
        <v>0</v>
      </c>
      <c r="E945" s="352">
        <v>1164612.95</v>
      </c>
    </row>
    <row r="946" spans="1:5" ht="13">
      <c r="A946" s="302" t="s">
        <v>1683</v>
      </c>
      <c r="B946" s="352">
        <v>1265267.68</v>
      </c>
      <c r="C946" s="352">
        <v>777068.55</v>
      </c>
      <c r="D946" s="352">
        <v>256426.29</v>
      </c>
      <c r="E946" s="352">
        <v>231772.84</v>
      </c>
    </row>
    <row r="947" spans="1:5" ht="13">
      <c r="A947" s="302" t="s">
        <v>1001</v>
      </c>
      <c r="B947" s="352">
        <v>2607239.5099999998</v>
      </c>
      <c r="C947" s="352">
        <v>1558116.3</v>
      </c>
      <c r="D947" s="352">
        <v>1049123.21</v>
      </c>
      <c r="E947" s="302">
        <v>0</v>
      </c>
    </row>
    <row r="948" spans="1:5" ht="13">
      <c r="A948" s="302" t="s">
        <v>1045</v>
      </c>
      <c r="B948" s="352">
        <v>2633018.34</v>
      </c>
      <c r="C948" s="352">
        <v>854846.79</v>
      </c>
      <c r="D948" s="352">
        <v>1302239.8600000001</v>
      </c>
      <c r="E948" s="352">
        <v>475931.69</v>
      </c>
    </row>
    <row r="949" spans="1:5" ht="13">
      <c r="A949" s="302" t="s">
        <v>633</v>
      </c>
      <c r="B949" s="352">
        <v>466012.91</v>
      </c>
      <c r="C949" s="302">
        <v>0</v>
      </c>
      <c r="D949" s="352">
        <v>305525.39</v>
      </c>
      <c r="E949" s="352">
        <v>160487.51999999999</v>
      </c>
    </row>
    <row r="950" spans="1:5" ht="13">
      <c r="A950" s="302" t="s">
        <v>214</v>
      </c>
      <c r="B950" s="352">
        <v>333659.89</v>
      </c>
      <c r="C950" s="302">
        <v>0</v>
      </c>
      <c r="D950" s="302">
        <v>0</v>
      </c>
      <c r="E950" s="352">
        <v>333659.89</v>
      </c>
    </row>
    <row r="951" spans="1:5" ht="13">
      <c r="A951" s="302" t="s">
        <v>441</v>
      </c>
      <c r="B951" s="352">
        <v>1781266.8</v>
      </c>
      <c r="C951" s="352">
        <v>730743.02</v>
      </c>
      <c r="D951" s="352">
        <v>476326.49</v>
      </c>
      <c r="E951" s="352">
        <v>574197.29</v>
      </c>
    </row>
    <row r="952" spans="1:5" ht="13">
      <c r="A952" s="302" t="s">
        <v>1684</v>
      </c>
      <c r="B952" s="352">
        <v>347528.66</v>
      </c>
      <c r="C952" s="302">
        <v>0</v>
      </c>
      <c r="D952" s="352">
        <v>142944.51999999999</v>
      </c>
      <c r="E952" s="352">
        <v>204584.15</v>
      </c>
    </row>
    <row r="953" spans="1:5" ht="13">
      <c r="A953" s="302" t="s">
        <v>279</v>
      </c>
      <c r="B953" s="352">
        <v>8443206.4000000004</v>
      </c>
      <c r="C953" s="352">
        <v>2971294.8</v>
      </c>
      <c r="D953" s="352">
        <v>2919008.1</v>
      </c>
      <c r="E953" s="352">
        <v>2552903.5</v>
      </c>
    </row>
    <row r="954" spans="1:5" ht="13">
      <c r="A954" s="302" t="s">
        <v>1284</v>
      </c>
      <c r="B954" s="352">
        <v>2075970.6</v>
      </c>
      <c r="C954" s="302">
        <v>0</v>
      </c>
      <c r="D954" s="302">
        <v>0</v>
      </c>
      <c r="E954" s="352">
        <v>2075970.6</v>
      </c>
    </row>
    <row r="955" spans="1:5" ht="13">
      <c r="A955" s="302" t="s">
        <v>490</v>
      </c>
      <c r="B955" s="352">
        <v>12421722.609999999</v>
      </c>
      <c r="C955" s="352">
        <v>3167410.12</v>
      </c>
      <c r="D955" s="352">
        <v>3855410.36</v>
      </c>
      <c r="E955" s="352">
        <v>5398902.1299999999</v>
      </c>
    </row>
    <row r="956" spans="1:5" ht="13">
      <c r="A956" s="302" t="s">
        <v>442</v>
      </c>
      <c r="B956" s="352">
        <v>10249443.300000001</v>
      </c>
      <c r="C956" s="352">
        <v>2459716.91</v>
      </c>
      <c r="D956" s="352">
        <v>3976477.65</v>
      </c>
      <c r="E956" s="352">
        <v>3813248.74</v>
      </c>
    </row>
    <row r="957" spans="1:5" ht="13">
      <c r="A957" s="302" t="s">
        <v>1450</v>
      </c>
      <c r="B957" s="352">
        <v>464971.43</v>
      </c>
      <c r="C957" s="352">
        <v>152559.9</v>
      </c>
      <c r="D957" s="352">
        <v>207018.29</v>
      </c>
      <c r="E957" s="352">
        <v>105393.24</v>
      </c>
    </row>
    <row r="958" spans="1:5" ht="13">
      <c r="A958" s="302" t="s">
        <v>457</v>
      </c>
      <c r="B958" s="352">
        <v>824451.79</v>
      </c>
      <c r="C958" s="352">
        <v>162842.70000000001</v>
      </c>
      <c r="D958" s="352">
        <v>357906.29</v>
      </c>
      <c r="E958" s="352">
        <v>303702.8</v>
      </c>
    </row>
    <row r="959" spans="1:5" ht="13">
      <c r="A959" s="302" t="s">
        <v>167</v>
      </c>
      <c r="B959" s="352">
        <v>696071.91</v>
      </c>
      <c r="C959" s="352">
        <v>696071.91</v>
      </c>
      <c r="D959" s="302">
        <v>0</v>
      </c>
      <c r="E959" s="302">
        <v>0</v>
      </c>
    </row>
    <row r="960" spans="1:5" ht="13">
      <c r="A960" s="302" t="s">
        <v>1451</v>
      </c>
      <c r="B960" s="352">
        <v>327780.47999999998</v>
      </c>
      <c r="C960" s="352">
        <v>327780.47999999998</v>
      </c>
      <c r="D960" s="302">
        <v>0</v>
      </c>
      <c r="E960" s="302">
        <v>0</v>
      </c>
    </row>
    <row r="961" spans="1:5" ht="13">
      <c r="A961" s="302" t="s">
        <v>168</v>
      </c>
      <c r="B961" s="352">
        <v>313213.36</v>
      </c>
      <c r="C961" s="352">
        <v>313213.36</v>
      </c>
      <c r="D961" s="302">
        <v>0</v>
      </c>
      <c r="E961" s="302">
        <v>0</v>
      </c>
    </row>
    <row r="962" spans="1:5" ht="13">
      <c r="A962" s="302" t="s">
        <v>733</v>
      </c>
      <c r="B962" s="352">
        <v>230267.81</v>
      </c>
      <c r="C962" s="352">
        <v>116504.46</v>
      </c>
      <c r="D962" s="302">
        <v>0</v>
      </c>
      <c r="E962" s="352">
        <v>113763.35</v>
      </c>
    </row>
    <row r="963" spans="1:5" ht="13">
      <c r="A963" s="302" t="s">
        <v>1325</v>
      </c>
      <c r="B963" s="352">
        <v>19834483.699999999</v>
      </c>
      <c r="C963" s="352">
        <v>11235464.880000001</v>
      </c>
      <c r="D963" s="352">
        <v>743400.95999999996</v>
      </c>
      <c r="E963" s="352">
        <v>7855617.8600000003</v>
      </c>
    </row>
    <row r="964" spans="1:5" ht="13">
      <c r="A964" s="302" t="s">
        <v>295</v>
      </c>
      <c r="B964" s="352">
        <v>326037.15000000002</v>
      </c>
      <c r="C964" s="302">
        <v>0</v>
      </c>
      <c r="D964" s="302">
        <v>0</v>
      </c>
      <c r="E964" s="352">
        <v>326037.15000000002</v>
      </c>
    </row>
    <row r="965" spans="1:5" ht="13">
      <c r="A965" s="302" t="s">
        <v>554</v>
      </c>
      <c r="B965" s="352">
        <v>2966317.84</v>
      </c>
      <c r="C965" s="352">
        <v>490442.4</v>
      </c>
      <c r="D965" s="352">
        <v>1265155.99</v>
      </c>
      <c r="E965" s="352">
        <v>1210719.45</v>
      </c>
    </row>
    <row r="966" spans="1:5" ht="13">
      <c r="A966" s="302" t="s">
        <v>619</v>
      </c>
      <c r="B966" s="352">
        <v>1130672.6299999999</v>
      </c>
      <c r="C966" s="352">
        <v>301317.3</v>
      </c>
      <c r="D966" s="352">
        <v>355769.11</v>
      </c>
      <c r="E966" s="352">
        <v>473586.22</v>
      </c>
    </row>
    <row r="967" spans="1:5" ht="13">
      <c r="A967" s="302" t="s">
        <v>608</v>
      </c>
      <c r="B967" s="352">
        <v>510596.22</v>
      </c>
      <c r="C967" s="302">
        <v>0</v>
      </c>
      <c r="D967" s="352">
        <v>510596.22</v>
      </c>
      <c r="E967" s="302">
        <v>0</v>
      </c>
    </row>
    <row r="968" spans="1:5" ht="13">
      <c r="A968" s="302" t="s">
        <v>452</v>
      </c>
      <c r="B968" s="352">
        <v>2083787.78</v>
      </c>
      <c r="C968" s="352">
        <v>1240057.32</v>
      </c>
      <c r="D968" s="352">
        <v>367285.59</v>
      </c>
      <c r="E968" s="352">
        <v>476444.87</v>
      </c>
    </row>
    <row r="969" spans="1:5" ht="13">
      <c r="A969" s="302" t="s">
        <v>734</v>
      </c>
      <c r="B969" s="352">
        <v>1734085.31</v>
      </c>
      <c r="C969" s="352">
        <v>549415.98</v>
      </c>
      <c r="D969" s="352">
        <v>538014.63</v>
      </c>
      <c r="E969" s="352">
        <v>646654.69999999995</v>
      </c>
    </row>
    <row r="970" spans="1:5" ht="13">
      <c r="A970" s="302" t="s">
        <v>416</v>
      </c>
      <c r="B970" s="352">
        <v>5040915.3899999997</v>
      </c>
      <c r="C970" s="352">
        <v>2105253.08</v>
      </c>
      <c r="D970" s="352">
        <v>574864.91</v>
      </c>
      <c r="E970" s="352">
        <v>2360797.4</v>
      </c>
    </row>
    <row r="971" spans="1:5" ht="13">
      <c r="A971" s="302" t="s">
        <v>1375</v>
      </c>
      <c r="B971" s="352">
        <v>237118.7</v>
      </c>
      <c r="C971" s="352">
        <v>111260.89</v>
      </c>
      <c r="D971" s="352">
        <v>27312.26</v>
      </c>
      <c r="E971" s="352">
        <v>98545.55</v>
      </c>
    </row>
    <row r="972" spans="1:5" ht="13">
      <c r="A972" s="302" t="s">
        <v>885</v>
      </c>
      <c r="B972" s="352">
        <v>1807992.28</v>
      </c>
      <c r="C972" s="352">
        <v>422188.62</v>
      </c>
      <c r="D972" s="352">
        <v>610297.38</v>
      </c>
      <c r="E972" s="352">
        <v>775506.28</v>
      </c>
    </row>
    <row r="973" spans="1:5" ht="13">
      <c r="A973" s="302" t="s">
        <v>1036</v>
      </c>
      <c r="B973" s="352">
        <v>3946883.59</v>
      </c>
      <c r="C973" s="352">
        <v>677754.07</v>
      </c>
      <c r="D973" s="302">
        <v>0</v>
      </c>
      <c r="E973" s="352">
        <v>3269129.52</v>
      </c>
    </row>
    <row r="974" spans="1:5" ht="13">
      <c r="A974" s="302" t="s">
        <v>1003</v>
      </c>
      <c r="B974" s="352">
        <v>23055725.48</v>
      </c>
      <c r="C974" s="352">
        <v>10192377.5</v>
      </c>
      <c r="D974" s="352">
        <v>7627468.5999999996</v>
      </c>
      <c r="E974" s="352">
        <v>5235879.38</v>
      </c>
    </row>
    <row r="975" spans="1:5" ht="13">
      <c r="A975" s="302" t="s">
        <v>1214</v>
      </c>
      <c r="B975" s="352">
        <v>1653017.44</v>
      </c>
      <c r="C975" s="352">
        <v>682009.16</v>
      </c>
      <c r="D975" s="352">
        <v>381711.22</v>
      </c>
      <c r="E975" s="352">
        <v>589297.06000000006</v>
      </c>
    </row>
    <row r="976" spans="1:5" ht="13">
      <c r="A976" s="302" t="s">
        <v>1157</v>
      </c>
      <c r="B976" s="352">
        <v>2722550.05</v>
      </c>
      <c r="C976" s="352">
        <v>1323742.8700000001</v>
      </c>
      <c r="D976" s="352">
        <v>1140238.76</v>
      </c>
      <c r="E976" s="352">
        <v>258568.42</v>
      </c>
    </row>
    <row r="977" spans="1:5" ht="13">
      <c r="A977" s="302" t="s">
        <v>1119</v>
      </c>
      <c r="B977" s="352">
        <v>158335.21</v>
      </c>
      <c r="C977" s="352">
        <v>98371.34</v>
      </c>
      <c r="D977" s="352">
        <v>13429.96</v>
      </c>
      <c r="E977" s="352">
        <v>46533.91</v>
      </c>
    </row>
    <row r="978" spans="1:5" ht="13">
      <c r="A978" s="302" t="s">
        <v>1215</v>
      </c>
      <c r="B978" s="352">
        <v>404942.37</v>
      </c>
      <c r="C978" s="352">
        <v>124273.41</v>
      </c>
      <c r="D978" s="352">
        <v>168098.49</v>
      </c>
      <c r="E978" s="352">
        <v>112570.47</v>
      </c>
    </row>
    <row r="979" spans="1:5" ht="13">
      <c r="A979" s="302" t="s">
        <v>1190</v>
      </c>
      <c r="B979" s="352">
        <v>129219.84</v>
      </c>
      <c r="C979" s="352">
        <v>129219.84</v>
      </c>
      <c r="D979" s="302">
        <v>0</v>
      </c>
      <c r="E979" s="302">
        <v>0</v>
      </c>
    </row>
    <row r="980" spans="1:5" ht="13">
      <c r="A980" s="302" t="s">
        <v>493</v>
      </c>
      <c r="B980" s="352">
        <v>1704375.75</v>
      </c>
      <c r="C980" s="352">
        <v>357161.18</v>
      </c>
      <c r="D980" s="352">
        <v>812742.31</v>
      </c>
      <c r="E980" s="352">
        <v>534472.27</v>
      </c>
    </row>
    <row r="981" spans="1:5" ht="13">
      <c r="A981" s="302" t="s">
        <v>1340</v>
      </c>
      <c r="B981" s="352">
        <v>1414075.01</v>
      </c>
      <c r="C981" s="352">
        <v>1414075.01</v>
      </c>
      <c r="D981" s="302">
        <v>0</v>
      </c>
      <c r="E981" s="302">
        <v>0</v>
      </c>
    </row>
  </sheetData>
  <autoFilter ref="A3:E981" xr:uid="{00000000-0009-0000-0000-000014000000}">
    <sortState xmlns:xlrd2="http://schemas.microsoft.com/office/spreadsheetml/2017/richdata2" ref="A3:E981">
      <sortCondition ref="A3:A981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2:K148"/>
  <sheetViews>
    <sheetView workbookViewId="0"/>
  </sheetViews>
  <sheetFormatPr baseColWidth="10" defaultColWidth="12.6640625" defaultRowHeight="15.75" customHeight="1"/>
  <cols>
    <col min="2" max="2" width="6.6640625" customWidth="1"/>
    <col min="6" max="6" width="46.1640625" customWidth="1"/>
    <col min="10" max="10" width="36.5" customWidth="1"/>
  </cols>
  <sheetData>
    <row r="2" spans="1:11" ht="15.75" customHeight="1">
      <c r="A2" s="302">
        <v>112012493</v>
      </c>
      <c r="B2" s="302">
        <v>28</v>
      </c>
      <c r="C2" s="94">
        <f t="shared" ref="C2:C33" si="0">IFERROR(VLOOKUP(B2,DES,2,FALSE),"")</f>
        <v>0.15</v>
      </c>
      <c r="D2" s="94">
        <f t="shared" ref="D2:D33" si="1">IFERROR(VLOOKUP(B2,DES,3,FALSE),"")</f>
        <v>0</v>
      </c>
      <c r="E2" s="501">
        <f t="shared" ref="E2:E33" si="2">IFERROR(VLOOKUP(B2,DES,4,FALSE),"")</f>
        <v>0</v>
      </c>
      <c r="F2" s="302" t="s">
        <v>1400</v>
      </c>
      <c r="I2" s="302">
        <v>112013514</v>
      </c>
      <c r="J2" s="302" t="s">
        <v>1282</v>
      </c>
      <c r="K2" s="302">
        <v>7</v>
      </c>
    </row>
    <row r="3" spans="1:11" ht="15.75" customHeight="1">
      <c r="A3" s="302">
        <v>112013962</v>
      </c>
      <c r="B3" s="302">
        <v>28</v>
      </c>
      <c r="C3" s="94">
        <f t="shared" si="0"/>
        <v>0.15</v>
      </c>
      <c r="D3" s="94">
        <f t="shared" si="1"/>
        <v>0</v>
      </c>
      <c r="E3" s="501">
        <f t="shared" si="2"/>
        <v>0</v>
      </c>
      <c r="F3" s="302" t="s">
        <v>1403</v>
      </c>
      <c r="I3" s="302">
        <v>112013331</v>
      </c>
      <c r="J3" s="302" t="s">
        <v>1423</v>
      </c>
      <c r="K3" s="302">
        <v>7</v>
      </c>
    </row>
    <row r="4" spans="1:11" ht="15.75" customHeight="1">
      <c r="A4" s="302">
        <v>112013493</v>
      </c>
      <c r="B4" s="302">
        <v>14</v>
      </c>
      <c r="C4" s="94">
        <f t="shared" si="0"/>
        <v>0.15</v>
      </c>
      <c r="D4" s="94">
        <f t="shared" si="1"/>
        <v>0.2</v>
      </c>
      <c r="E4" s="501">
        <f t="shared" si="2"/>
        <v>0.23</v>
      </c>
      <c r="F4" s="302" t="s">
        <v>994</v>
      </c>
      <c r="I4" s="302">
        <v>112013516</v>
      </c>
      <c r="J4" s="302" t="s">
        <v>1021</v>
      </c>
      <c r="K4" s="302">
        <v>7</v>
      </c>
    </row>
    <row r="5" spans="1:11" ht="15.75" customHeight="1">
      <c r="A5" s="302">
        <v>112013711</v>
      </c>
      <c r="B5" s="302">
        <v>12</v>
      </c>
      <c r="C5" s="94">
        <f t="shared" si="0"/>
        <v>0.15</v>
      </c>
      <c r="D5" s="94">
        <f t="shared" si="1"/>
        <v>0.09</v>
      </c>
      <c r="E5" s="501">
        <f t="shared" si="2"/>
        <v>0</v>
      </c>
      <c r="F5" s="302" t="s">
        <v>1532</v>
      </c>
      <c r="I5" s="302">
        <v>112013605</v>
      </c>
      <c r="J5" s="302" t="s">
        <v>587</v>
      </c>
      <c r="K5" s="302">
        <v>7</v>
      </c>
    </row>
    <row r="6" spans="1:11" ht="15.75" customHeight="1">
      <c r="A6" s="302">
        <v>112010365</v>
      </c>
      <c r="B6" s="302">
        <v>12</v>
      </c>
      <c r="C6" s="94">
        <f t="shared" si="0"/>
        <v>0.15</v>
      </c>
      <c r="D6" s="94">
        <f t="shared" si="1"/>
        <v>0.09</v>
      </c>
      <c r="E6" s="501">
        <f t="shared" si="2"/>
        <v>0</v>
      </c>
      <c r="F6" s="302" t="s">
        <v>1270</v>
      </c>
      <c r="I6" s="302">
        <v>112013788</v>
      </c>
      <c r="J6" s="302" t="s">
        <v>1281</v>
      </c>
      <c r="K6" s="302">
        <v>7</v>
      </c>
    </row>
    <row r="7" spans="1:11" ht="15.75" customHeight="1">
      <c r="A7" s="302">
        <v>112012353</v>
      </c>
      <c r="B7" s="302">
        <v>12</v>
      </c>
      <c r="C7" s="94">
        <f t="shared" si="0"/>
        <v>0.15</v>
      </c>
      <c r="D7" s="94">
        <f t="shared" si="1"/>
        <v>0.09</v>
      </c>
      <c r="E7" s="501">
        <f t="shared" si="2"/>
        <v>0</v>
      </c>
      <c r="F7" s="302" t="s">
        <v>1269</v>
      </c>
      <c r="I7" s="302">
        <v>112013982</v>
      </c>
      <c r="J7" s="302" t="s">
        <v>1422</v>
      </c>
      <c r="K7" s="302">
        <v>7</v>
      </c>
    </row>
    <row r="8" spans="1:11" ht="15.75" customHeight="1">
      <c r="A8" s="302">
        <v>112012985</v>
      </c>
      <c r="B8" s="302">
        <v>12</v>
      </c>
      <c r="C8" s="94">
        <f t="shared" si="0"/>
        <v>0.15</v>
      </c>
      <c r="D8" s="94">
        <f t="shared" si="1"/>
        <v>0.09</v>
      </c>
      <c r="E8" s="501">
        <f t="shared" si="2"/>
        <v>0</v>
      </c>
      <c r="F8" s="302" t="s">
        <v>1398</v>
      </c>
      <c r="I8" s="302">
        <v>112014524</v>
      </c>
      <c r="J8" s="302" t="s">
        <v>1022</v>
      </c>
      <c r="K8" s="302">
        <v>7</v>
      </c>
    </row>
    <row r="9" spans="1:11" ht="15.75" customHeight="1">
      <c r="A9" s="302">
        <v>112013167</v>
      </c>
      <c r="B9" s="302">
        <v>12</v>
      </c>
      <c r="C9" s="94">
        <f t="shared" si="0"/>
        <v>0.15</v>
      </c>
      <c r="D9" s="94">
        <f t="shared" si="1"/>
        <v>0.09</v>
      </c>
      <c r="E9" s="501">
        <f t="shared" si="2"/>
        <v>0</v>
      </c>
      <c r="F9" s="302" t="s">
        <v>1337</v>
      </c>
      <c r="I9" s="302">
        <v>112014259</v>
      </c>
      <c r="J9" s="302" t="s">
        <v>641</v>
      </c>
      <c r="K9" s="302">
        <v>4</v>
      </c>
    </row>
    <row r="10" spans="1:11" ht="15.75" customHeight="1">
      <c r="A10" s="302">
        <v>112013323</v>
      </c>
      <c r="B10" s="302">
        <v>12</v>
      </c>
      <c r="C10" s="94">
        <f t="shared" si="0"/>
        <v>0.15</v>
      </c>
      <c r="D10" s="94">
        <f t="shared" si="1"/>
        <v>0.09</v>
      </c>
      <c r="E10" s="501">
        <f t="shared" si="2"/>
        <v>0</v>
      </c>
      <c r="F10" s="302" t="s">
        <v>1340</v>
      </c>
      <c r="I10" s="302">
        <v>112014670</v>
      </c>
      <c r="J10" s="302" t="s">
        <v>1039</v>
      </c>
      <c r="K10" s="302">
        <v>4</v>
      </c>
    </row>
    <row r="11" spans="1:11" ht="15.75" customHeight="1">
      <c r="A11" s="302">
        <v>112013507</v>
      </c>
      <c r="B11" s="302">
        <v>12</v>
      </c>
      <c r="C11" s="94">
        <f t="shared" si="0"/>
        <v>0.15</v>
      </c>
      <c r="D11" s="94">
        <f t="shared" si="1"/>
        <v>0.09</v>
      </c>
      <c r="E11" s="501">
        <f t="shared" si="2"/>
        <v>0</v>
      </c>
      <c r="F11" s="302" t="s">
        <v>1268</v>
      </c>
      <c r="I11" s="302">
        <v>112013964</v>
      </c>
      <c r="J11" s="302" t="s">
        <v>1274</v>
      </c>
      <c r="K11" s="302">
        <v>31</v>
      </c>
    </row>
    <row r="12" spans="1:11" ht="15.75" customHeight="1">
      <c r="A12" s="302">
        <v>112013512</v>
      </c>
      <c r="B12" s="302">
        <v>12</v>
      </c>
      <c r="C12" s="94">
        <f t="shared" si="0"/>
        <v>0.15</v>
      </c>
      <c r="D12" s="94">
        <f t="shared" si="1"/>
        <v>0.09</v>
      </c>
      <c r="E12" s="501">
        <f t="shared" si="2"/>
        <v>0</v>
      </c>
      <c r="F12" s="302" t="s">
        <v>1401</v>
      </c>
      <c r="I12" s="302">
        <v>112014128</v>
      </c>
      <c r="J12" s="302" t="s">
        <v>1273</v>
      </c>
      <c r="K12" s="302">
        <v>31</v>
      </c>
    </row>
    <row r="13" spans="1:11" ht="15.75" customHeight="1">
      <c r="A13" s="302">
        <v>112013513</v>
      </c>
      <c r="B13" s="302">
        <v>12</v>
      </c>
      <c r="C13" s="94">
        <f t="shared" si="0"/>
        <v>0.15</v>
      </c>
      <c r="D13" s="94">
        <f t="shared" si="1"/>
        <v>0.09</v>
      </c>
      <c r="E13" s="501">
        <f t="shared" si="2"/>
        <v>0</v>
      </c>
      <c r="F13" s="302" t="s">
        <v>1402</v>
      </c>
      <c r="I13" s="302">
        <v>112012493</v>
      </c>
      <c r="J13" s="302" t="s">
        <v>1400</v>
      </c>
      <c r="K13" s="302">
        <v>28</v>
      </c>
    </row>
    <row r="14" spans="1:11" ht="15.75" customHeight="1">
      <c r="A14" s="302">
        <v>112013551</v>
      </c>
      <c r="B14" s="302">
        <v>12</v>
      </c>
      <c r="C14" s="94">
        <f t="shared" si="0"/>
        <v>0.15</v>
      </c>
      <c r="D14" s="94">
        <f t="shared" si="1"/>
        <v>0.09</v>
      </c>
      <c r="E14" s="501">
        <f t="shared" si="2"/>
        <v>0</v>
      </c>
      <c r="F14" s="302" t="s">
        <v>1286</v>
      </c>
      <c r="I14" s="302">
        <v>112013962</v>
      </c>
      <c r="J14" s="302" t="s">
        <v>1403</v>
      </c>
      <c r="K14" s="302">
        <v>28</v>
      </c>
    </row>
    <row r="15" spans="1:11" ht="15.75" customHeight="1">
      <c r="A15" s="302">
        <v>112014254</v>
      </c>
      <c r="B15" s="302">
        <v>12</v>
      </c>
      <c r="C15" s="94">
        <f t="shared" si="0"/>
        <v>0.15</v>
      </c>
      <c r="D15" s="94">
        <f t="shared" si="1"/>
        <v>0.09</v>
      </c>
      <c r="E15" s="501">
        <f t="shared" si="2"/>
        <v>0</v>
      </c>
      <c r="F15" s="302" t="s">
        <v>997</v>
      </c>
      <c r="I15" s="302">
        <v>112013451</v>
      </c>
      <c r="J15" s="302" t="s">
        <v>1056</v>
      </c>
      <c r="K15" s="302">
        <v>22</v>
      </c>
    </row>
    <row r="16" spans="1:11" ht="15.75" customHeight="1">
      <c r="A16" s="302">
        <v>112014363</v>
      </c>
      <c r="B16" s="302">
        <v>12</v>
      </c>
      <c r="C16" s="94">
        <f t="shared" si="0"/>
        <v>0.15</v>
      </c>
      <c r="D16" s="94">
        <f t="shared" si="1"/>
        <v>0.09</v>
      </c>
      <c r="E16" s="501">
        <f t="shared" si="2"/>
        <v>0</v>
      </c>
      <c r="F16" s="302" t="s">
        <v>1267</v>
      </c>
      <c r="I16" s="302">
        <v>112013856</v>
      </c>
      <c r="J16" s="302" t="s">
        <v>1313</v>
      </c>
      <c r="K16" s="302">
        <v>22</v>
      </c>
    </row>
    <row r="17" spans="1:11" ht="15.75" customHeight="1">
      <c r="A17" s="302">
        <v>112014546</v>
      </c>
      <c r="B17" s="302">
        <v>12</v>
      </c>
      <c r="C17" s="94">
        <f t="shared" si="0"/>
        <v>0.15</v>
      </c>
      <c r="D17" s="94">
        <f t="shared" si="1"/>
        <v>0.09</v>
      </c>
      <c r="E17" s="501">
        <f t="shared" si="2"/>
        <v>0</v>
      </c>
      <c r="F17" s="302" t="s">
        <v>1339</v>
      </c>
      <c r="I17" s="302">
        <v>112014035</v>
      </c>
      <c r="J17" s="302" t="s">
        <v>1315</v>
      </c>
      <c r="K17" s="302">
        <v>22</v>
      </c>
    </row>
    <row r="18" spans="1:11" ht="15.75" customHeight="1">
      <c r="A18" s="302">
        <v>112010407</v>
      </c>
      <c r="B18" s="302">
        <v>11</v>
      </c>
      <c r="C18" s="94">
        <f t="shared" si="0"/>
        <v>0.15</v>
      </c>
      <c r="D18" s="94">
        <f t="shared" si="1"/>
        <v>0.2</v>
      </c>
      <c r="E18" s="501">
        <f t="shared" si="2"/>
        <v>0</v>
      </c>
      <c r="F18" s="302" t="s">
        <v>1332</v>
      </c>
      <c r="I18" s="302">
        <v>112013343</v>
      </c>
      <c r="J18" s="302" t="s">
        <v>1440</v>
      </c>
      <c r="K18" s="302">
        <v>22</v>
      </c>
    </row>
    <row r="19" spans="1:11" ht="15.75" customHeight="1">
      <c r="A19" s="302">
        <v>112014120</v>
      </c>
      <c r="B19" s="302">
        <v>11</v>
      </c>
      <c r="C19" s="94">
        <f t="shared" si="0"/>
        <v>0.15</v>
      </c>
      <c r="D19" s="94">
        <f t="shared" si="1"/>
        <v>0.2</v>
      </c>
      <c r="E19" s="501">
        <f t="shared" si="2"/>
        <v>0</v>
      </c>
      <c r="F19" s="302" t="s">
        <v>1399</v>
      </c>
      <c r="I19" s="302">
        <v>112014557</v>
      </c>
      <c r="J19" s="302" t="s">
        <v>1059</v>
      </c>
      <c r="K19" s="302">
        <v>22</v>
      </c>
    </row>
    <row r="20" spans="1:11" ht="15.75" customHeight="1">
      <c r="A20" s="302">
        <v>112014637</v>
      </c>
      <c r="B20" s="302">
        <v>10</v>
      </c>
      <c r="C20" s="94">
        <f t="shared" si="0"/>
        <v>0.15</v>
      </c>
      <c r="D20" s="94">
        <f t="shared" si="1"/>
        <v>0.23</v>
      </c>
      <c r="E20" s="501">
        <f t="shared" si="2"/>
        <v>0</v>
      </c>
      <c r="F20" s="302" t="s">
        <v>1330</v>
      </c>
      <c r="I20" s="302">
        <v>112010568</v>
      </c>
      <c r="J20" s="302" t="s">
        <v>1320</v>
      </c>
      <c r="K20" s="302">
        <v>22</v>
      </c>
    </row>
    <row r="21" spans="1:11" ht="15.75" customHeight="1">
      <c r="A21" s="302">
        <v>112011732</v>
      </c>
      <c r="B21" s="302">
        <v>10</v>
      </c>
      <c r="C21" s="94">
        <f t="shared" si="0"/>
        <v>0.15</v>
      </c>
      <c r="D21" s="94">
        <f t="shared" si="1"/>
        <v>0.23</v>
      </c>
      <c r="E21" s="501">
        <f t="shared" si="2"/>
        <v>0</v>
      </c>
      <c r="F21" s="302" t="s">
        <v>1264</v>
      </c>
      <c r="I21" s="302">
        <v>112011216</v>
      </c>
      <c r="J21" s="302" t="s">
        <v>1317</v>
      </c>
      <c r="K21" s="302">
        <v>22</v>
      </c>
    </row>
    <row r="22" spans="1:11" ht="15.75" customHeight="1">
      <c r="A22" s="302">
        <v>112013925</v>
      </c>
      <c r="B22" s="302">
        <v>10</v>
      </c>
      <c r="C22" s="94">
        <f t="shared" si="0"/>
        <v>0.15</v>
      </c>
      <c r="D22" s="94">
        <f t="shared" si="1"/>
        <v>0.23</v>
      </c>
      <c r="E22" s="501">
        <f t="shared" si="2"/>
        <v>0</v>
      </c>
      <c r="F22" s="302" t="s">
        <v>1338</v>
      </c>
      <c r="I22" s="302">
        <v>112011749</v>
      </c>
      <c r="J22" s="302" t="s">
        <v>1450</v>
      </c>
      <c r="K22" s="302">
        <v>22</v>
      </c>
    </row>
    <row r="23" spans="1:11" ht="15.75" customHeight="1">
      <c r="A23" s="302">
        <v>112013514</v>
      </c>
      <c r="B23" s="302">
        <v>7</v>
      </c>
      <c r="C23" s="94">
        <f t="shared" si="0"/>
        <v>0.1</v>
      </c>
      <c r="D23" s="94">
        <f t="shared" si="1"/>
        <v>0.2</v>
      </c>
      <c r="E23" s="501">
        <f t="shared" si="2"/>
        <v>0</v>
      </c>
      <c r="F23" s="302" t="s">
        <v>1282</v>
      </c>
      <c r="I23" s="302">
        <v>112012277</v>
      </c>
      <c r="J23" s="302" t="s">
        <v>1449</v>
      </c>
      <c r="K23" s="302">
        <v>22</v>
      </c>
    </row>
    <row r="24" spans="1:11" ht="15.75" customHeight="1">
      <c r="A24" s="302">
        <v>112013331</v>
      </c>
      <c r="B24" s="302">
        <v>7</v>
      </c>
      <c r="C24" s="94">
        <f t="shared" si="0"/>
        <v>0.1</v>
      </c>
      <c r="D24" s="94">
        <f t="shared" si="1"/>
        <v>0.2</v>
      </c>
      <c r="E24" s="501">
        <f t="shared" si="2"/>
        <v>0</v>
      </c>
      <c r="F24" s="302" t="s">
        <v>1423</v>
      </c>
      <c r="I24" s="302">
        <v>112012334</v>
      </c>
      <c r="J24" s="302" t="s">
        <v>1436</v>
      </c>
      <c r="K24" s="302">
        <v>22</v>
      </c>
    </row>
    <row r="25" spans="1:11" ht="15.75" customHeight="1">
      <c r="A25" s="302">
        <v>112013516</v>
      </c>
      <c r="B25" s="302">
        <v>7</v>
      </c>
      <c r="C25" s="94">
        <f t="shared" si="0"/>
        <v>0.1</v>
      </c>
      <c r="D25" s="94">
        <f t="shared" si="1"/>
        <v>0.2</v>
      </c>
      <c r="E25" s="501">
        <f t="shared" si="2"/>
        <v>0</v>
      </c>
      <c r="F25" s="302" t="s">
        <v>1021</v>
      </c>
      <c r="I25" s="302">
        <v>112013144</v>
      </c>
      <c r="J25" s="302" t="s">
        <v>1443</v>
      </c>
      <c r="K25" s="302">
        <v>22</v>
      </c>
    </row>
    <row r="26" spans="1:11" ht="15.75" customHeight="1">
      <c r="A26" s="302">
        <v>112013605</v>
      </c>
      <c r="B26" s="302">
        <v>7</v>
      </c>
      <c r="C26" s="94">
        <f t="shared" si="0"/>
        <v>0.1</v>
      </c>
      <c r="D26" s="94">
        <f t="shared" si="1"/>
        <v>0.2</v>
      </c>
      <c r="E26" s="501">
        <f t="shared" si="2"/>
        <v>0</v>
      </c>
      <c r="F26" s="302" t="s">
        <v>587</v>
      </c>
      <c r="I26" s="302">
        <v>112013460</v>
      </c>
      <c r="J26" s="302" t="s">
        <v>1029</v>
      </c>
      <c r="K26" s="302">
        <v>22</v>
      </c>
    </row>
    <row r="27" spans="1:11" ht="15.75" customHeight="1">
      <c r="A27" s="302">
        <v>112013788</v>
      </c>
      <c r="B27" s="302">
        <v>7</v>
      </c>
      <c r="C27" s="94">
        <f t="shared" si="0"/>
        <v>0.1</v>
      </c>
      <c r="D27" s="94">
        <f t="shared" si="1"/>
        <v>0.2</v>
      </c>
      <c r="E27" s="501">
        <f t="shared" si="2"/>
        <v>0</v>
      </c>
      <c r="F27" s="302" t="s">
        <v>1281</v>
      </c>
      <c r="I27" s="302">
        <v>112013464</v>
      </c>
      <c r="J27" s="302" t="s">
        <v>1028</v>
      </c>
      <c r="K27" s="302">
        <v>22</v>
      </c>
    </row>
    <row r="28" spans="1:11" ht="15.75" customHeight="1">
      <c r="A28" s="302">
        <v>112013982</v>
      </c>
      <c r="B28" s="302">
        <v>7</v>
      </c>
      <c r="C28" s="94">
        <f t="shared" si="0"/>
        <v>0.1</v>
      </c>
      <c r="D28" s="94">
        <f t="shared" si="1"/>
        <v>0.2</v>
      </c>
      <c r="E28" s="501">
        <f t="shared" si="2"/>
        <v>0</v>
      </c>
      <c r="F28" s="302" t="s">
        <v>1422</v>
      </c>
      <c r="I28" s="302">
        <v>112013474</v>
      </c>
      <c r="J28" s="302" t="s">
        <v>1019</v>
      </c>
      <c r="K28" s="302">
        <v>22</v>
      </c>
    </row>
    <row r="29" spans="1:11" ht="15.75" customHeight="1">
      <c r="A29" s="302">
        <v>112014524</v>
      </c>
      <c r="B29" s="302">
        <v>7</v>
      </c>
      <c r="C29" s="94">
        <f t="shared" si="0"/>
        <v>0.1</v>
      </c>
      <c r="D29" s="94">
        <f t="shared" si="1"/>
        <v>0.2</v>
      </c>
      <c r="E29" s="501">
        <f t="shared" si="2"/>
        <v>0</v>
      </c>
      <c r="F29" s="302" t="s">
        <v>1022</v>
      </c>
      <c r="I29" s="302">
        <v>112013478</v>
      </c>
      <c r="J29" s="302" t="s">
        <v>1027</v>
      </c>
      <c r="K29" s="302">
        <v>22</v>
      </c>
    </row>
    <row r="30" spans="1:11" ht="15.75" customHeight="1">
      <c r="A30" s="302">
        <v>112013964</v>
      </c>
      <c r="B30" s="302">
        <v>31</v>
      </c>
      <c r="C30" s="94">
        <f t="shared" si="0"/>
        <v>0.1</v>
      </c>
      <c r="D30" s="94">
        <f t="shared" si="1"/>
        <v>0.23</v>
      </c>
      <c r="E30" s="501">
        <f t="shared" si="2"/>
        <v>0</v>
      </c>
      <c r="F30" s="302" t="s">
        <v>1274</v>
      </c>
      <c r="I30" s="302">
        <v>112013486</v>
      </c>
      <c r="J30" s="302" t="s">
        <v>1312</v>
      </c>
      <c r="K30" s="302">
        <v>22</v>
      </c>
    </row>
    <row r="31" spans="1:11" ht="15.75" customHeight="1">
      <c r="A31" s="302">
        <v>112014128</v>
      </c>
      <c r="B31" s="302">
        <v>31</v>
      </c>
      <c r="C31" s="94">
        <f t="shared" si="0"/>
        <v>0.1</v>
      </c>
      <c r="D31" s="94">
        <f t="shared" si="1"/>
        <v>0.23</v>
      </c>
      <c r="E31" s="501">
        <f t="shared" si="2"/>
        <v>0</v>
      </c>
      <c r="F31" s="302" t="s">
        <v>1273</v>
      </c>
      <c r="I31" s="302">
        <v>112013490</v>
      </c>
      <c r="J31" s="302" t="s">
        <v>1058</v>
      </c>
      <c r="K31" s="302">
        <v>22</v>
      </c>
    </row>
    <row r="32" spans="1:11" ht="15.75" customHeight="1">
      <c r="A32" s="302">
        <v>112013451</v>
      </c>
      <c r="B32" s="302">
        <v>22</v>
      </c>
      <c r="C32" s="94">
        <f t="shared" si="0"/>
        <v>0.1</v>
      </c>
      <c r="D32" s="94">
        <f t="shared" si="1"/>
        <v>0.09</v>
      </c>
      <c r="E32" s="501">
        <f t="shared" si="2"/>
        <v>0</v>
      </c>
      <c r="F32" s="302" t="s">
        <v>1056</v>
      </c>
      <c r="I32" s="302">
        <v>112013508</v>
      </c>
      <c r="J32" s="302" t="s">
        <v>1309</v>
      </c>
      <c r="K32" s="302">
        <v>22</v>
      </c>
    </row>
    <row r="33" spans="1:11" ht="15.75" customHeight="1">
      <c r="A33" s="302">
        <v>112013856</v>
      </c>
      <c r="B33" s="302">
        <v>22</v>
      </c>
      <c r="C33" s="94">
        <f t="shared" si="0"/>
        <v>0.1</v>
      </c>
      <c r="D33" s="94">
        <f t="shared" si="1"/>
        <v>0.09</v>
      </c>
      <c r="E33" s="501">
        <f t="shared" si="2"/>
        <v>0</v>
      </c>
      <c r="F33" s="302" t="s">
        <v>1313</v>
      </c>
      <c r="I33" s="302">
        <v>112013525</v>
      </c>
      <c r="J33" s="302" t="s">
        <v>1311</v>
      </c>
      <c r="K33" s="302">
        <v>22</v>
      </c>
    </row>
    <row r="34" spans="1:11" ht="15.75" customHeight="1">
      <c r="A34" s="302">
        <v>112014035</v>
      </c>
      <c r="B34" s="302">
        <v>22</v>
      </c>
      <c r="C34" s="94">
        <f t="shared" ref="C34:C65" si="3">IFERROR(VLOOKUP(B34,DES,2,FALSE),"")</f>
        <v>0.1</v>
      </c>
      <c r="D34" s="94">
        <f t="shared" ref="D34:D65" si="4">IFERROR(VLOOKUP(B34,DES,3,FALSE),"")</f>
        <v>0.09</v>
      </c>
      <c r="E34" s="501">
        <f t="shared" ref="E34:E65" si="5">IFERROR(VLOOKUP(B34,DES,4,FALSE),"")</f>
        <v>0</v>
      </c>
      <c r="F34" s="302" t="s">
        <v>1315</v>
      </c>
      <c r="I34" s="302">
        <v>112013545</v>
      </c>
      <c r="J34" s="302" t="s">
        <v>1319</v>
      </c>
      <c r="K34" s="302">
        <v>22</v>
      </c>
    </row>
    <row r="35" spans="1:11" ht="15.75" customHeight="1">
      <c r="A35" s="302">
        <v>112013343</v>
      </c>
      <c r="B35" s="302">
        <v>22</v>
      </c>
      <c r="C35" s="94">
        <f t="shared" si="3"/>
        <v>0.1</v>
      </c>
      <c r="D35" s="94">
        <f t="shared" si="4"/>
        <v>0.09</v>
      </c>
      <c r="E35" s="501">
        <f t="shared" si="5"/>
        <v>0</v>
      </c>
      <c r="F35" s="302" t="s">
        <v>1440</v>
      </c>
      <c r="I35" s="302">
        <v>112013617</v>
      </c>
      <c r="J35" s="302" t="s">
        <v>1308</v>
      </c>
      <c r="K35" s="302">
        <v>22</v>
      </c>
    </row>
    <row r="36" spans="1:11" ht="15.75" customHeight="1">
      <c r="A36" s="302">
        <v>112014557</v>
      </c>
      <c r="B36" s="302">
        <v>22</v>
      </c>
      <c r="C36" s="94">
        <f t="shared" si="3"/>
        <v>0.1</v>
      </c>
      <c r="D36" s="94">
        <f t="shared" si="4"/>
        <v>0.09</v>
      </c>
      <c r="E36" s="501">
        <f t="shared" si="5"/>
        <v>0</v>
      </c>
      <c r="F36" s="302" t="s">
        <v>1059</v>
      </c>
      <c r="I36" s="302">
        <v>112013622</v>
      </c>
      <c r="J36" s="302" t="s">
        <v>1441</v>
      </c>
      <c r="K36" s="302">
        <v>22</v>
      </c>
    </row>
    <row r="37" spans="1:11" ht="15.75" customHeight="1">
      <c r="A37" s="302">
        <v>112010568</v>
      </c>
      <c r="B37" s="302">
        <v>22</v>
      </c>
      <c r="C37" s="94">
        <f t="shared" si="3"/>
        <v>0.1</v>
      </c>
      <c r="D37" s="94">
        <f t="shared" si="4"/>
        <v>0.09</v>
      </c>
      <c r="E37" s="501">
        <f t="shared" si="5"/>
        <v>0</v>
      </c>
      <c r="F37" s="302" t="s">
        <v>1320</v>
      </c>
      <c r="I37" s="302">
        <v>112013625</v>
      </c>
      <c r="J37" s="302" t="s">
        <v>1057</v>
      </c>
      <c r="K37" s="302">
        <v>22</v>
      </c>
    </row>
    <row r="38" spans="1:11" ht="15.75" customHeight="1">
      <c r="A38" s="302">
        <v>112011216</v>
      </c>
      <c r="B38" s="302">
        <v>22</v>
      </c>
      <c r="C38" s="94">
        <f t="shared" si="3"/>
        <v>0.1</v>
      </c>
      <c r="D38" s="94">
        <f t="shared" si="4"/>
        <v>0.09</v>
      </c>
      <c r="E38" s="501">
        <f t="shared" si="5"/>
        <v>0</v>
      </c>
      <c r="F38" s="302" t="s">
        <v>1317</v>
      </c>
      <c r="I38" s="302">
        <v>112013648</v>
      </c>
      <c r="J38" s="302" t="s">
        <v>1052</v>
      </c>
      <c r="K38" s="302">
        <v>22</v>
      </c>
    </row>
    <row r="39" spans="1:11" ht="15.75" customHeight="1">
      <c r="A39" s="302">
        <v>112011749</v>
      </c>
      <c r="B39" s="302">
        <v>22</v>
      </c>
      <c r="C39" s="94">
        <f t="shared" si="3"/>
        <v>0.1</v>
      </c>
      <c r="D39" s="94">
        <f t="shared" si="4"/>
        <v>0.09</v>
      </c>
      <c r="E39" s="501">
        <f t="shared" si="5"/>
        <v>0</v>
      </c>
      <c r="F39" s="302" t="s">
        <v>1450</v>
      </c>
      <c r="I39" s="302">
        <v>112013659</v>
      </c>
      <c r="J39" s="302" t="s">
        <v>1536</v>
      </c>
      <c r="K39" s="302">
        <v>22</v>
      </c>
    </row>
    <row r="40" spans="1:11" ht="15.75" customHeight="1">
      <c r="A40" s="302">
        <v>112012277</v>
      </c>
      <c r="B40" s="302">
        <v>22</v>
      </c>
      <c r="C40" s="94">
        <f t="shared" si="3"/>
        <v>0.1</v>
      </c>
      <c r="D40" s="94">
        <f t="shared" si="4"/>
        <v>0.09</v>
      </c>
      <c r="E40" s="501">
        <f t="shared" si="5"/>
        <v>0</v>
      </c>
      <c r="F40" s="302" t="s">
        <v>1449</v>
      </c>
      <c r="I40" s="302">
        <v>112013682</v>
      </c>
      <c r="J40" s="302" t="s">
        <v>1437</v>
      </c>
      <c r="K40" s="302">
        <v>22</v>
      </c>
    </row>
    <row r="41" spans="1:11" ht="15.75" customHeight="1">
      <c r="A41" s="302">
        <v>112012334</v>
      </c>
      <c r="B41" s="302">
        <v>22</v>
      </c>
      <c r="C41" s="94">
        <f t="shared" si="3"/>
        <v>0.1</v>
      </c>
      <c r="D41" s="94">
        <f t="shared" si="4"/>
        <v>0.09</v>
      </c>
      <c r="E41" s="501">
        <f t="shared" si="5"/>
        <v>0</v>
      </c>
      <c r="F41" s="302" t="s">
        <v>1436</v>
      </c>
      <c r="I41" s="302">
        <v>112013706</v>
      </c>
      <c r="J41" s="302" t="s">
        <v>1055</v>
      </c>
      <c r="K41" s="302">
        <v>22</v>
      </c>
    </row>
    <row r="42" spans="1:11" ht="15.75" customHeight="1">
      <c r="A42" s="302">
        <v>112013144</v>
      </c>
      <c r="B42" s="302">
        <v>22</v>
      </c>
      <c r="C42" s="94">
        <f t="shared" si="3"/>
        <v>0.1</v>
      </c>
      <c r="D42" s="94">
        <f t="shared" si="4"/>
        <v>0.09</v>
      </c>
      <c r="E42" s="501">
        <f t="shared" si="5"/>
        <v>0</v>
      </c>
      <c r="F42" s="302" t="s">
        <v>1443</v>
      </c>
      <c r="I42" s="302">
        <v>112013714</v>
      </c>
      <c r="J42" s="302" t="s">
        <v>1438</v>
      </c>
      <c r="K42" s="302">
        <v>22</v>
      </c>
    </row>
    <row r="43" spans="1:11" ht="13">
      <c r="A43" s="302">
        <v>112013460</v>
      </c>
      <c r="B43" s="302">
        <v>22</v>
      </c>
      <c r="C43" s="94">
        <f t="shared" si="3"/>
        <v>0.1</v>
      </c>
      <c r="D43" s="94">
        <f t="shared" si="4"/>
        <v>0.09</v>
      </c>
      <c r="E43" s="501">
        <f t="shared" si="5"/>
        <v>0</v>
      </c>
      <c r="F43" s="302" t="s">
        <v>1029</v>
      </c>
      <c r="I43" s="302">
        <v>112013730</v>
      </c>
      <c r="J43" s="302" t="s">
        <v>1323</v>
      </c>
      <c r="K43" s="302">
        <v>22</v>
      </c>
    </row>
    <row r="44" spans="1:11" ht="13">
      <c r="A44" s="302">
        <v>112013464</v>
      </c>
      <c r="B44" s="302">
        <v>22</v>
      </c>
      <c r="C44" s="94">
        <f t="shared" si="3"/>
        <v>0.1</v>
      </c>
      <c r="D44" s="94">
        <f t="shared" si="4"/>
        <v>0.09</v>
      </c>
      <c r="E44" s="501">
        <f t="shared" si="5"/>
        <v>0</v>
      </c>
      <c r="F44" s="302" t="s">
        <v>1028</v>
      </c>
      <c r="I44" s="302">
        <v>112013765</v>
      </c>
      <c r="J44" s="302" t="s">
        <v>1439</v>
      </c>
      <c r="K44" s="302">
        <v>22</v>
      </c>
    </row>
    <row r="45" spans="1:11" ht="13">
      <c r="A45" s="302">
        <v>112013474</v>
      </c>
      <c r="B45" s="302">
        <v>22</v>
      </c>
      <c r="C45" s="94">
        <f t="shared" si="3"/>
        <v>0.1</v>
      </c>
      <c r="D45" s="94">
        <f t="shared" si="4"/>
        <v>0.09</v>
      </c>
      <c r="E45" s="501">
        <f t="shared" si="5"/>
        <v>0</v>
      </c>
      <c r="F45" s="302" t="s">
        <v>1019</v>
      </c>
      <c r="I45" s="302">
        <v>112013773</v>
      </c>
      <c r="J45" s="302" t="s">
        <v>1432</v>
      </c>
      <c r="K45" s="302">
        <v>22</v>
      </c>
    </row>
    <row r="46" spans="1:11" ht="13">
      <c r="A46" s="302">
        <v>112013478</v>
      </c>
      <c r="B46" s="302">
        <v>22</v>
      </c>
      <c r="C46" s="94">
        <f t="shared" si="3"/>
        <v>0.1</v>
      </c>
      <c r="D46" s="94">
        <f t="shared" si="4"/>
        <v>0.09</v>
      </c>
      <c r="E46" s="501">
        <f t="shared" si="5"/>
        <v>0</v>
      </c>
      <c r="F46" s="302" t="s">
        <v>1027</v>
      </c>
      <c r="I46" s="302">
        <v>112013852</v>
      </c>
      <c r="J46" s="302" t="s">
        <v>1451</v>
      </c>
      <c r="K46" s="302">
        <v>22</v>
      </c>
    </row>
    <row r="47" spans="1:11" ht="13">
      <c r="A47" s="302">
        <v>112013486</v>
      </c>
      <c r="B47" s="302">
        <v>22</v>
      </c>
      <c r="C47" s="94">
        <f t="shared" si="3"/>
        <v>0.1</v>
      </c>
      <c r="D47" s="94">
        <f t="shared" si="4"/>
        <v>0.09</v>
      </c>
      <c r="E47" s="501">
        <f t="shared" si="5"/>
        <v>0</v>
      </c>
      <c r="F47" s="302" t="s">
        <v>1312</v>
      </c>
      <c r="I47" s="302">
        <v>112013858</v>
      </c>
      <c r="J47" s="302" t="s">
        <v>1445</v>
      </c>
      <c r="K47" s="302">
        <v>22</v>
      </c>
    </row>
    <row r="48" spans="1:11" ht="13">
      <c r="A48" s="302">
        <v>112013490</v>
      </c>
      <c r="B48" s="302">
        <v>22</v>
      </c>
      <c r="C48" s="94">
        <f t="shared" si="3"/>
        <v>0.1</v>
      </c>
      <c r="D48" s="94">
        <f t="shared" si="4"/>
        <v>0.09</v>
      </c>
      <c r="E48" s="501">
        <f t="shared" si="5"/>
        <v>0</v>
      </c>
      <c r="F48" s="302" t="s">
        <v>1058</v>
      </c>
      <c r="I48" s="302">
        <v>112013865</v>
      </c>
      <c r="J48" s="302" t="s">
        <v>1446</v>
      </c>
      <c r="K48" s="302">
        <v>22</v>
      </c>
    </row>
    <row r="49" spans="1:11" ht="13">
      <c r="A49" s="302">
        <v>112013508</v>
      </c>
      <c r="B49" s="302">
        <v>22</v>
      </c>
      <c r="C49" s="94">
        <f t="shared" si="3"/>
        <v>0.1</v>
      </c>
      <c r="D49" s="94">
        <f t="shared" si="4"/>
        <v>0.09</v>
      </c>
      <c r="E49" s="501">
        <f t="shared" si="5"/>
        <v>0</v>
      </c>
      <c r="F49" s="302" t="s">
        <v>1309</v>
      </c>
      <c r="I49" s="302">
        <v>112013882</v>
      </c>
      <c r="J49" s="302" t="s">
        <v>1322</v>
      </c>
      <c r="K49" s="302">
        <v>22</v>
      </c>
    </row>
    <row r="50" spans="1:11" ht="13">
      <c r="A50" s="302">
        <v>112013525</v>
      </c>
      <c r="B50" s="302">
        <v>22</v>
      </c>
      <c r="C50" s="94">
        <f t="shared" si="3"/>
        <v>0.1</v>
      </c>
      <c r="D50" s="94">
        <f t="shared" si="4"/>
        <v>0.09</v>
      </c>
      <c r="E50" s="501">
        <f t="shared" si="5"/>
        <v>0</v>
      </c>
      <c r="F50" s="302" t="s">
        <v>1311</v>
      </c>
      <c r="I50" s="302">
        <v>112013891</v>
      </c>
      <c r="J50" s="302" t="s">
        <v>1473</v>
      </c>
      <c r="K50" s="302">
        <v>22</v>
      </c>
    </row>
    <row r="51" spans="1:11" ht="13">
      <c r="A51" s="302">
        <v>112013545</v>
      </c>
      <c r="B51" s="302">
        <v>22</v>
      </c>
      <c r="C51" s="94">
        <f t="shared" si="3"/>
        <v>0.1</v>
      </c>
      <c r="D51" s="94">
        <f t="shared" si="4"/>
        <v>0.09</v>
      </c>
      <c r="E51" s="501">
        <f t="shared" si="5"/>
        <v>0</v>
      </c>
      <c r="F51" s="302" t="s">
        <v>1319</v>
      </c>
      <c r="I51" s="302">
        <v>112013897</v>
      </c>
      <c r="J51" s="302" t="s">
        <v>1314</v>
      </c>
      <c r="K51" s="302">
        <v>22</v>
      </c>
    </row>
    <row r="52" spans="1:11" ht="13">
      <c r="A52" s="302">
        <v>112013617</v>
      </c>
      <c r="B52" s="302">
        <v>22</v>
      </c>
      <c r="C52" s="94">
        <f t="shared" si="3"/>
        <v>0.1</v>
      </c>
      <c r="D52" s="94">
        <f t="shared" si="4"/>
        <v>0.09</v>
      </c>
      <c r="E52" s="501">
        <f t="shared" si="5"/>
        <v>0</v>
      </c>
      <c r="F52" s="302" t="s">
        <v>1308</v>
      </c>
      <c r="I52" s="302">
        <v>112013948</v>
      </c>
      <c r="J52" s="302" t="s">
        <v>1318</v>
      </c>
      <c r="K52" s="302">
        <v>22</v>
      </c>
    </row>
    <row r="53" spans="1:11" ht="13">
      <c r="A53" s="302">
        <v>112013622</v>
      </c>
      <c r="B53" s="302">
        <v>22</v>
      </c>
      <c r="C53" s="94">
        <f t="shared" si="3"/>
        <v>0.1</v>
      </c>
      <c r="D53" s="94">
        <f t="shared" si="4"/>
        <v>0.09</v>
      </c>
      <c r="E53" s="501">
        <f t="shared" si="5"/>
        <v>0</v>
      </c>
      <c r="F53" s="302" t="s">
        <v>1441</v>
      </c>
      <c r="I53" s="302">
        <v>112013984</v>
      </c>
      <c r="J53" s="302" t="s">
        <v>1533</v>
      </c>
      <c r="K53" s="302">
        <v>22</v>
      </c>
    </row>
    <row r="54" spans="1:11" ht="13">
      <c r="A54" s="302">
        <v>112013625</v>
      </c>
      <c r="B54" s="302">
        <v>22</v>
      </c>
      <c r="C54" s="94">
        <f t="shared" si="3"/>
        <v>0.1</v>
      </c>
      <c r="D54" s="94">
        <f t="shared" si="4"/>
        <v>0.09</v>
      </c>
      <c r="E54" s="501">
        <f t="shared" si="5"/>
        <v>0</v>
      </c>
      <c r="F54" s="302" t="s">
        <v>1057</v>
      </c>
      <c r="I54" s="302">
        <v>112013987</v>
      </c>
      <c r="J54" s="302" t="s">
        <v>1448</v>
      </c>
      <c r="K54" s="302">
        <v>22</v>
      </c>
    </row>
    <row r="55" spans="1:11" ht="13">
      <c r="A55" s="302">
        <v>112013648</v>
      </c>
      <c r="B55" s="302">
        <v>22</v>
      </c>
      <c r="C55" s="94">
        <f t="shared" si="3"/>
        <v>0.1</v>
      </c>
      <c r="D55" s="94">
        <f t="shared" si="4"/>
        <v>0.09</v>
      </c>
      <c r="E55" s="501">
        <f t="shared" si="5"/>
        <v>0</v>
      </c>
      <c r="F55" s="302" t="s">
        <v>1052</v>
      </c>
      <c r="I55" s="302">
        <v>112014045</v>
      </c>
      <c r="J55" s="302" t="s">
        <v>1324</v>
      </c>
      <c r="K55" s="302">
        <v>22</v>
      </c>
    </row>
    <row r="56" spans="1:11" ht="13">
      <c r="A56" s="302">
        <v>112013659</v>
      </c>
      <c r="B56" s="302">
        <v>22</v>
      </c>
      <c r="C56" s="94">
        <f t="shared" si="3"/>
        <v>0.1</v>
      </c>
      <c r="D56" s="94">
        <f t="shared" si="4"/>
        <v>0.09</v>
      </c>
      <c r="E56" s="501">
        <f t="shared" si="5"/>
        <v>0</v>
      </c>
      <c r="F56" s="302" t="s">
        <v>1536</v>
      </c>
      <c r="I56" s="302">
        <v>112014189</v>
      </c>
      <c r="J56" s="302" t="s">
        <v>1433</v>
      </c>
      <c r="K56" s="302">
        <v>22</v>
      </c>
    </row>
    <row r="57" spans="1:11" ht="13">
      <c r="A57" s="302">
        <v>112013682</v>
      </c>
      <c r="B57" s="302">
        <v>22</v>
      </c>
      <c r="C57" s="94">
        <f t="shared" si="3"/>
        <v>0.1</v>
      </c>
      <c r="D57" s="94">
        <f t="shared" si="4"/>
        <v>0.09</v>
      </c>
      <c r="E57" s="501">
        <f t="shared" si="5"/>
        <v>0</v>
      </c>
      <c r="F57" s="302" t="s">
        <v>1437</v>
      </c>
      <c r="I57" s="302">
        <v>112014222</v>
      </c>
      <c r="J57" s="302" t="s">
        <v>1537</v>
      </c>
      <c r="K57" s="302">
        <v>22</v>
      </c>
    </row>
    <row r="58" spans="1:11" ht="13">
      <c r="A58" s="302">
        <v>112013706</v>
      </c>
      <c r="B58" s="302">
        <v>22</v>
      </c>
      <c r="C58" s="94">
        <f t="shared" si="3"/>
        <v>0.1</v>
      </c>
      <c r="D58" s="94">
        <f t="shared" si="4"/>
        <v>0.09</v>
      </c>
      <c r="E58" s="501">
        <f t="shared" si="5"/>
        <v>0</v>
      </c>
      <c r="F58" s="302" t="s">
        <v>1055</v>
      </c>
      <c r="I58" s="302">
        <v>112014274</v>
      </c>
      <c r="J58" s="302" t="s">
        <v>1442</v>
      </c>
      <c r="K58" s="302">
        <v>22</v>
      </c>
    </row>
    <row r="59" spans="1:11" ht="13">
      <c r="A59" s="302">
        <v>112013714</v>
      </c>
      <c r="B59" s="302">
        <v>22</v>
      </c>
      <c r="C59" s="94">
        <f t="shared" si="3"/>
        <v>0.1</v>
      </c>
      <c r="D59" s="94">
        <f t="shared" si="4"/>
        <v>0.09</v>
      </c>
      <c r="E59" s="501">
        <f t="shared" si="5"/>
        <v>0</v>
      </c>
      <c r="F59" s="302" t="s">
        <v>1438</v>
      </c>
      <c r="I59" s="302">
        <v>112014288</v>
      </c>
      <c r="J59" s="302" t="s">
        <v>1434</v>
      </c>
      <c r="K59" s="302">
        <v>22</v>
      </c>
    </row>
    <row r="60" spans="1:11" ht="13">
      <c r="A60" s="302">
        <v>112013730</v>
      </c>
      <c r="B60" s="302">
        <v>22</v>
      </c>
      <c r="C60" s="94">
        <f t="shared" si="3"/>
        <v>0.1</v>
      </c>
      <c r="D60" s="94">
        <f t="shared" si="4"/>
        <v>0.09</v>
      </c>
      <c r="E60" s="501">
        <f t="shared" si="5"/>
        <v>0</v>
      </c>
      <c r="F60" s="302" t="s">
        <v>1323</v>
      </c>
      <c r="I60" s="302">
        <v>112014342</v>
      </c>
      <c r="J60" s="302" t="s">
        <v>1444</v>
      </c>
      <c r="K60" s="302">
        <v>22</v>
      </c>
    </row>
    <row r="61" spans="1:11" ht="13">
      <c r="A61" s="302">
        <v>112013765</v>
      </c>
      <c r="B61" s="302">
        <v>22</v>
      </c>
      <c r="C61" s="94">
        <f t="shared" si="3"/>
        <v>0.1</v>
      </c>
      <c r="D61" s="94">
        <f t="shared" si="4"/>
        <v>0.09</v>
      </c>
      <c r="E61" s="501">
        <f t="shared" si="5"/>
        <v>0</v>
      </c>
      <c r="F61" s="302" t="s">
        <v>1439</v>
      </c>
      <c r="I61" s="302">
        <v>112014387</v>
      </c>
      <c r="J61" s="302" t="s">
        <v>1431</v>
      </c>
      <c r="K61" s="302">
        <v>22</v>
      </c>
    </row>
    <row r="62" spans="1:11" ht="13">
      <c r="A62" s="302">
        <v>112013773</v>
      </c>
      <c r="B62" s="302">
        <v>22</v>
      </c>
      <c r="C62" s="94">
        <f t="shared" si="3"/>
        <v>0.1</v>
      </c>
      <c r="D62" s="94">
        <f t="shared" si="4"/>
        <v>0.09</v>
      </c>
      <c r="E62" s="501">
        <f t="shared" si="5"/>
        <v>0</v>
      </c>
      <c r="F62" s="302" t="s">
        <v>1432</v>
      </c>
      <c r="I62" s="302">
        <v>112014400</v>
      </c>
      <c r="J62" s="302" t="s">
        <v>1447</v>
      </c>
      <c r="K62" s="302">
        <v>22</v>
      </c>
    </row>
    <row r="63" spans="1:11" ht="13">
      <c r="A63" s="302">
        <v>112013852</v>
      </c>
      <c r="B63" s="302">
        <v>22</v>
      </c>
      <c r="C63" s="94">
        <f t="shared" si="3"/>
        <v>0.1</v>
      </c>
      <c r="D63" s="94">
        <f t="shared" si="4"/>
        <v>0.09</v>
      </c>
      <c r="E63" s="501">
        <f t="shared" si="5"/>
        <v>0</v>
      </c>
      <c r="F63" s="302" t="s">
        <v>1451</v>
      </c>
      <c r="I63" s="302">
        <v>112014425</v>
      </c>
      <c r="J63" s="302" t="s">
        <v>1054</v>
      </c>
      <c r="K63" s="302">
        <v>22</v>
      </c>
    </row>
    <row r="64" spans="1:11" ht="13">
      <c r="A64" s="302">
        <v>112013858</v>
      </c>
      <c r="B64" s="302">
        <v>22</v>
      </c>
      <c r="C64" s="94">
        <f t="shared" si="3"/>
        <v>0.1</v>
      </c>
      <c r="D64" s="94">
        <f t="shared" si="4"/>
        <v>0.09</v>
      </c>
      <c r="E64" s="501">
        <f t="shared" si="5"/>
        <v>0</v>
      </c>
      <c r="F64" s="302" t="s">
        <v>1445</v>
      </c>
      <c r="I64" s="302">
        <v>112014470</v>
      </c>
      <c r="J64" s="302" t="s">
        <v>1026</v>
      </c>
      <c r="K64" s="302">
        <v>22</v>
      </c>
    </row>
    <row r="65" spans="1:11" ht="13">
      <c r="A65" s="302">
        <v>112013865</v>
      </c>
      <c r="B65" s="302">
        <v>22</v>
      </c>
      <c r="C65" s="94">
        <f t="shared" si="3"/>
        <v>0.1</v>
      </c>
      <c r="D65" s="94">
        <f t="shared" si="4"/>
        <v>0.09</v>
      </c>
      <c r="E65" s="501">
        <f t="shared" si="5"/>
        <v>0</v>
      </c>
      <c r="F65" s="302" t="s">
        <v>1446</v>
      </c>
      <c r="I65" s="302">
        <v>112014479</v>
      </c>
      <c r="J65" s="302" t="s">
        <v>1430</v>
      </c>
      <c r="K65" s="302">
        <v>22</v>
      </c>
    </row>
    <row r="66" spans="1:11" ht="13">
      <c r="A66" s="302">
        <v>112013882</v>
      </c>
      <c r="B66" s="302">
        <v>22</v>
      </c>
      <c r="C66" s="94">
        <f t="shared" ref="C66:C97" si="6">IFERROR(VLOOKUP(B66,DES,2,FALSE),"")</f>
        <v>0.1</v>
      </c>
      <c r="D66" s="94">
        <f t="shared" ref="D66:D97" si="7">IFERROR(VLOOKUP(B66,DES,3,FALSE),"")</f>
        <v>0.09</v>
      </c>
      <c r="E66" s="501">
        <f t="shared" ref="E66:E97" si="8">IFERROR(VLOOKUP(B66,DES,4,FALSE),"")</f>
        <v>0</v>
      </c>
      <c r="F66" s="302" t="s">
        <v>1322</v>
      </c>
      <c r="I66" s="302">
        <v>112014501</v>
      </c>
      <c r="J66" s="302" t="s">
        <v>1024</v>
      </c>
      <c r="K66" s="302">
        <v>22</v>
      </c>
    </row>
    <row r="67" spans="1:11" ht="13">
      <c r="A67" s="302">
        <v>112013891</v>
      </c>
      <c r="B67" s="302">
        <v>22</v>
      </c>
      <c r="C67" s="94">
        <f t="shared" si="6"/>
        <v>0.1</v>
      </c>
      <c r="D67" s="94">
        <f t="shared" si="7"/>
        <v>0.09</v>
      </c>
      <c r="E67" s="501">
        <f t="shared" si="8"/>
        <v>0</v>
      </c>
      <c r="F67" s="302" t="s">
        <v>1473</v>
      </c>
      <c r="I67" s="302">
        <v>112014555</v>
      </c>
      <c r="J67" s="302" t="s">
        <v>1435</v>
      </c>
      <c r="K67" s="302">
        <v>22</v>
      </c>
    </row>
    <row r="68" spans="1:11" ht="13">
      <c r="A68" s="302">
        <v>112013897</v>
      </c>
      <c r="B68" s="302">
        <v>22</v>
      </c>
      <c r="C68" s="94">
        <f t="shared" si="6"/>
        <v>0.1</v>
      </c>
      <c r="D68" s="94">
        <f t="shared" si="7"/>
        <v>0.09</v>
      </c>
      <c r="E68" s="501">
        <f t="shared" si="8"/>
        <v>0</v>
      </c>
      <c r="F68" s="302" t="s">
        <v>1314</v>
      </c>
      <c r="I68" s="302">
        <v>112014627</v>
      </c>
      <c r="J68" s="302" t="s">
        <v>1023</v>
      </c>
      <c r="K68" s="302">
        <v>22</v>
      </c>
    </row>
    <row r="69" spans="1:11" ht="13">
      <c r="A69" s="302">
        <v>112013948</v>
      </c>
      <c r="B69" s="302">
        <v>22</v>
      </c>
      <c r="C69" s="94">
        <f t="shared" si="6"/>
        <v>0.1</v>
      </c>
      <c r="D69" s="94">
        <f t="shared" si="7"/>
        <v>0.09</v>
      </c>
      <c r="E69" s="501">
        <f t="shared" si="8"/>
        <v>0</v>
      </c>
      <c r="F69" s="302" t="s">
        <v>1318</v>
      </c>
      <c r="I69" s="302">
        <v>112014645</v>
      </c>
      <c r="J69" s="302" t="s">
        <v>1025</v>
      </c>
      <c r="K69" s="302">
        <v>22</v>
      </c>
    </row>
    <row r="70" spans="1:11" ht="13">
      <c r="A70" s="302">
        <v>112013984</v>
      </c>
      <c r="B70" s="302">
        <v>22</v>
      </c>
      <c r="C70" s="94">
        <f t="shared" si="6"/>
        <v>0.1</v>
      </c>
      <c r="D70" s="94">
        <f t="shared" si="7"/>
        <v>0.09</v>
      </c>
      <c r="E70" s="501">
        <f t="shared" si="8"/>
        <v>0</v>
      </c>
      <c r="F70" s="302" t="s">
        <v>1533</v>
      </c>
      <c r="I70" s="302">
        <v>112014647</v>
      </c>
      <c r="J70" s="302" t="s">
        <v>1310</v>
      </c>
      <c r="K70" s="302">
        <v>22</v>
      </c>
    </row>
    <row r="71" spans="1:11" ht="13">
      <c r="A71" s="302">
        <v>112013987</v>
      </c>
      <c r="B71" s="302">
        <v>22</v>
      </c>
      <c r="C71" s="94">
        <f t="shared" si="6"/>
        <v>0.1</v>
      </c>
      <c r="D71" s="94">
        <f t="shared" si="7"/>
        <v>0.09</v>
      </c>
      <c r="E71" s="501">
        <f t="shared" si="8"/>
        <v>0</v>
      </c>
      <c r="F71" s="302" t="s">
        <v>1448</v>
      </c>
      <c r="I71" s="302">
        <v>112011567</v>
      </c>
      <c r="J71" s="302" t="s">
        <v>1065</v>
      </c>
      <c r="K71" s="302">
        <v>20</v>
      </c>
    </row>
    <row r="72" spans="1:11" ht="13">
      <c r="A72" s="302">
        <v>112014045</v>
      </c>
      <c r="B72" s="302">
        <v>22</v>
      </c>
      <c r="C72" s="94">
        <f t="shared" si="6"/>
        <v>0.1</v>
      </c>
      <c r="D72" s="94">
        <f t="shared" si="7"/>
        <v>0.09</v>
      </c>
      <c r="E72" s="501">
        <f t="shared" si="8"/>
        <v>0</v>
      </c>
      <c r="F72" s="302" t="s">
        <v>1324</v>
      </c>
      <c r="I72" s="302">
        <v>112012803</v>
      </c>
      <c r="J72" s="302" t="s">
        <v>886</v>
      </c>
      <c r="K72" s="302">
        <v>20</v>
      </c>
    </row>
    <row r="73" spans="1:11" ht="13">
      <c r="A73" s="302">
        <v>112014189</v>
      </c>
      <c r="B73" s="302">
        <v>22</v>
      </c>
      <c r="C73" s="94">
        <f t="shared" si="6"/>
        <v>0.1</v>
      </c>
      <c r="D73" s="94">
        <f t="shared" si="7"/>
        <v>0.09</v>
      </c>
      <c r="E73" s="501">
        <f t="shared" si="8"/>
        <v>0</v>
      </c>
      <c r="F73" s="302" t="s">
        <v>1433</v>
      </c>
      <c r="I73" s="302">
        <v>112013469</v>
      </c>
      <c r="J73" s="302" t="s">
        <v>1062</v>
      </c>
      <c r="K73" s="302">
        <v>20</v>
      </c>
    </row>
    <row r="74" spans="1:11" ht="13">
      <c r="A74" s="302">
        <v>112014222</v>
      </c>
      <c r="B74" s="302">
        <v>22</v>
      </c>
      <c r="C74" s="94">
        <f t="shared" si="6"/>
        <v>0.1</v>
      </c>
      <c r="D74" s="94">
        <f t="shared" si="7"/>
        <v>0.09</v>
      </c>
      <c r="E74" s="501">
        <f t="shared" si="8"/>
        <v>0</v>
      </c>
      <c r="F74" s="302" t="s">
        <v>1537</v>
      </c>
      <c r="I74" s="302">
        <v>112013542</v>
      </c>
      <c r="J74" s="302" t="s">
        <v>1063</v>
      </c>
      <c r="K74" s="302">
        <v>20</v>
      </c>
    </row>
    <row r="75" spans="1:11" ht="13">
      <c r="A75" s="302">
        <v>112014274</v>
      </c>
      <c r="B75" s="302">
        <v>22</v>
      </c>
      <c r="C75" s="94">
        <f t="shared" si="6"/>
        <v>0.1</v>
      </c>
      <c r="D75" s="94">
        <f t="shared" si="7"/>
        <v>0.09</v>
      </c>
      <c r="E75" s="501">
        <f t="shared" si="8"/>
        <v>0</v>
      </c>
      <c r="F75" s="302" t="s">
        <v>1442</v>
      </c>
      <c r="I75" s="302">
        <v>112013698</v>
      </c>
      <c r="J75" s="302" t="s">
        <v>948</v>
      </c>
      <c r="K75" s="302">
        <v>20</v>
      </c>
    </row>
    <row r="76" spans="1:11" ht="13">
      <c r="A76" s="302">
        <v>112014288</v>
      </c>
      <c r="B76" s="302">
        <v>22</v>
      </c>
      <c r="C76" s="94">
        <f t="shared" si="6"/>
        <v>0.1</v>
      </c>
      <c r="D76" s="94">
        <f t="shared" si="7"/>
        <v>0.09</v>
      </c>
      <c r="E76" s="501">
        <f t="shared" si="8"/>
        <v>0</v>
      </c>
      <c r="F76" s="302" t="s">
        <v>1434</v>
      </c>
      <c r="I76" s="302">
        <v>112013809</v>
      </c>
      <c r="J76" s="302" t="s">
        <v>1061</v>
      </c>
      <c r="K76" s="302">
        <v>20</v>
      </c>
    </row>
    <row r="77" spans="1:11" ht="13">
      <c r="A77" s="302">
        <v>112014342</v>
      </c>
      <c r="B77" s="302">
        <v>22</v>
      </c>
      <c r="C77" s="94">
        <f t="shared" si="6"/>
        <v>0.1</v>
      </c>
      <c r="D77" s="94">
        <f t="shared" si="7"/>
        <v>0.09</v>
      </c>
      <c r="E77" s="501">
        <f t="shared" si="8"/>
        <v>0</v>
      </c>
      <c r="F77" s="302" t="s">
        <v>1444</v>
      </c>
      <c r="I77" s="302">
        <v>112013947</v>
      </c>
      <c r="J77" s="302" t="s">
        <v>1344</v>
      </c>
      <c r="K77" s="302">
        <v>20</v>
      </c>
    </row>
    <row r="78" spans="1:11" ht="13">
      <c r="A78" s="302">
        <v>112014387</v>
      </c>
      <c r="B78" s="302">
        <v>22</v>
      </c>
      <c r="C78" s="94">
        <f t="shared" si="6"/>
        <v>0.1</v>
      </c>
      <c r="D78" s="94">
        <f t="shared" si="7"/>
        <v>0.09</v>
      </c>
      <c r="E78" s="501">
        <f t="shared" si="8"/>
        <v>0</v>
      </c>
      <c r="F78" s="302" t="s">
        <v>1431</v>
      </c>
      <c r="I78" s="302">
        <v>112014644</v>
      </c>
      <c r="J78" s="302" t="s">
        <v>1472</v>
      </c>
      <c r="K78" s="302">
        <v>20</v>
      </c>
    </row>
    <row r="79" spans="1:11" ht="13">
      <c r="A79" s="302">
        <v>112014400</v>
      </c>
      <c r="B79" s="302">
        <v>22</v>
      </c>
      <c r="C79" s="94">
        <f t="shared" si="6"/>
        <v>0.1</v>
      </c>
      <c r="D79" s="94">
        <f t="shared" si="7"/>
        <v>0.09</v>
      </c>
      <c r="E79" s="501">
        <f t="shared" si="8"/>
        <v>0</v>
      </c>
      <c r="F79" s="302" t="s">
        <v>1447</v>
      </c>
      <c r="I79" s="302">
        <v>112013493</v>
      </c>
      <c r="J79" s="302" t="s">
        <v>994</v>
      </c>
      <c r="K79" s="302">
        <v>14</v>
      </c>
    </row>
    <row r="80" spans="1:11" ht="13">
      <c r="A80" s="302">
        <v>112014425</v>
      </c>
      <c r="B80" s="302">
        <v>22</v>
      </c>
      <c r="C80" s="94">
        <f t="shared" si="6"/>
        <v>0.1</v>
      </c>
      <c r="D80" s="94">
        <f t="shared" si="7"/>
        <v>0.09</v>
      </c>
      <c r="E80" s="501">
        <f t="shared" si="8"/>
        <v>0</v>
      </c>
      <c r="F80" s="302" t="s">
        <v>1054</v>
      </c>
      <c r="I80" s="302">
        <v>112013711</v>
      </c>
      <c r="J80" s="302" t="s">
        <v>1532</v>
      </c>
      <c r="K80" s="302">
        <v>12</v>
      </c>
    </row>
    <row r="81" spans="1:11" ht="13">
      <c r="A81" s="302">
        <v>112014470</v>
      </c>
      <c r="B81" s="302">
        <v>22</v>
      </c>
      <c r="C81" s="94">
        <f t="shared" si="6"/>
        <v>0.1</v>
      </c>
      <c r="D81" s="94">
        <f t="shared" si="7"/>
        <v>0.09</v>
      </c>
      <c r="E81" s="501">
        <f t="shared" si="8"/>
        <v>0</v>
      </c>
      <c r="F81" s="302" t="s">
        <v>1026</v>
      </c>
      <c r="I81" s="302">
        <v>112010365</v>
      </c>
      <c r="J81" s="302" t="s">
        <v>1270</v>
      </c>
      <c r="K81" s="302">
        <v>12</v>
      </c>
    </row>
    <row r="82" spans="1:11" ht="13">
      <c r="A82" s="302">
        <v>112014479</v>
      </c>
      <c r="B82" s="302">
        <v>22</v>
      </c>
      <c r="C82" s="94">
        <f t="shared" si="6"/>
        <v>0.1</v>
      </c>
      <c r="D82" s="94">
        <f t="shared" si="7"/>
        <v>0.09</v>
      </c>
      <c r="E82" s="501">
        <f t="shared" si="8"/>
        <v>0</v>
      </c>
      <c r="F82" s="302" t="s">
        <v>1430</v>
      </c>
      <c r="I82" s="302">
        <v>112012353</v>
      </c>
      <c r="J82" s="302" t="s">
        <v>1269</v>
      </c>
      <c r="K82" s="302">
        <v>12</v>
      </c>
    </row>
    <row r="83" spans="1:11" ht="13">
      <c r="A83" s="302">
        <v>112014501</v>
      </c>
      <c r="B83" s="302">
        <v>22</v>
      </c>
      <c r="C83" s="94">
        <f t="shared" si="6"/>
        <v>0.1</v>
      </c>
      <c r="D83" s="94">
        <f t="shared" si="7"/>
        <v>0.09</v>
      </c>
      <c r="E83" s="501">
        <f t="shared" si="8"/>
        <v>0</v>
      </c>
      <c r="F83" s="302" t="s">
        <v>1024</v>
      </c>
      <c r="I83" s="302">
        <v>112012985</v>
      </c>
      <c r="J83" s="302" t="s">
        <v>1398</v>
      </c>
      <c r="K83" s="302">
        <v>12</v>
      </c>
    </row>
    <row r="84" spans="1:11" ht="13">
      <c r="A84" s="302">
        <v>112014555</v>
      </c>
      <c r="B84" s="302">
        <v>22</v>
      </c>
      <c r="C84" s="94">
        <f t="shared" si="6"/>
        <v>0.1</v>
      </c>
      <c r="D84" s="94">
        <f t="shared" si="7"/>
        <v>0.09</v>
      </c>
      <c r="E84" s="501">
        <f t="shared" si="8"/>
        <v>0</v>
      </c>
      <c r="F84" s="302" t="s">
        <v>1435</v>
      </c>
      <c r="I84" s="302">
        <v>112013167</v>
      </c>
      <c r="J84" s="302" t="s">
        <v>1337</v>
      </c>
      <c r="K84" s="302">
        <v>12</v>
      </c>
    </row>
    <row r="85" spans="1:11" ht="13">
      <c r="A85" s="302">
        <v>112014627</v>
      </c>
      <c r="B85" s="302">
        <v>22</v>
      </c>
      <c r="C85" s="94">
        <f t="shared" si="6"/>
        <v>0.1</v>
      </c>
      <c r="D85" s="94">
        <f t="shared" si="7"/>
        <v>0.09</v>
      </c>
      <c r="E85" s="501">
        <f t="shared" si="8"/>
        <v>0</v>
      </c>
      <c r="F85" s="302" t="s">
        <v>1023</v>
      </c>
      <c r="I85" s="302">
        <v>112013323</v>
      </c>
      <c r="J85" s="302" t="s">
        <v>1340</v>
      </c>
      <c r="K85" s="302">
        <v>12</v>
      </c>
    </row>
    <row r="86" spans="1:11" ht="13">
      <c r="A86" s="302">
        <v>112014645</v>
      </c>
      <c r="B86" s="302">
        <v>22</v>
      </c>
      <c r="C86" s="94">
        <f t="shared" si="6"/>
        <v>0.1</v>
      </c>
      <c r="D86" s="94">
        <f t="shared" si="7"/>
        <v>0.09</v>
      </c>
      <c r="E86" s="501">
        <f t="shared" si="8"/>
        <v>0</v>
      </c>
      <c r="F86" s="302" t="s">
        <v>1025</v>
      </c>
      <c r="I86" s="302">
        <v>112013507</v>
      </c>
      <c r="J86" s="302" t="s">
        <v>1268</v>
      </c>
      <c r="K86" s="302">
        <v>12</v>
      </c>
    </row>
    <row r="87" spans="1:11" ht="13">
      <c r="A87" s="302">
        <v>112014647</v>
      </c>
      <c r="B87" s="302">
        <v>22</v>
      </c>
      <c r="C87" s="94">
        <f t="shared" si="6"/>
        <v>0.1</v>
      </c>
      <c r="D87" s="94">
        <f t="shared" si="7"/>
        <v>0.09</v>
      </c>
      <c r="E87" s="501">
        <f t="shared" si="8"/>
        <v>0</v>
      </c>
      <c r="F87" s="302" t="s">
        <v>1310</v>
      </c>
      <c r="I87" s="302">
        <v>112013512</v>
      </c>
      <c r="J87" s="302" t="s">
        <v>1401</v>
      </c>
      <c r="K87" s="302">
        <v>12</v>
      </c>
    </row>
    <row r="88" spans="1:11" ht="13">
      <c r="A88" s="302">
        <v>112011567</v>
      </c>
      <c r="B88" s="302">
        <v>20</v>
      </c>
      <c r="C88" s="94">
        <f t="shared" si="6"/>
        <v>0.05</v>
      </c>
      <c r="D88" s="94">
        <f t="shared" si="7"/>
        <v>0.09</v>
      </c>
      <c r="E88" s="501">
        <f t="shared" si="8"/>
        <v>0</v>
      </c>
      <c r="F88" s="302" t="s">
        <v>1065</v>
      </c>
      <c r="I88" s="302">
        <v>112013513</v>
      </c>
      <c r="J88" s="302" t="s">
        <v>1402</v>
      </c>
      <c r="K88" s="302">
        <v>12</v>
      </c>
    </row>
    <row r="89" spans="1:11" ht="13">
      <c r="A89" s="302">
        <v>112012803</v>
      </c>
      <c r="B89" s="302">
        <v>20</v>
      </c>
      <c r="C89" s="94">
        <f t="shared" si="6"/>
        <v>0.05</v>
      </c>
      <c r="D89" s="94">
        <f t="shared" si="7"/>
        <v>0.09</v>
      </c>
      <c r="E89" s="501">
        <f t="shared" si="8"/>
        <v>0</v>
      </c>
      <c r="F89" s="302" t="s">
        <v>886</v>
      </c>
      <c r="I89" s="302">
        <v>112013551</v>
      </c>
      <c r="J89" s="302" t="s">
        <v>1286</v>
      </c>
      <c r="K89" s="302">
        <v>12</v>
      </c>
    </row>
    <row r="90" spans="1:11" ht="13">
      <c r="A90" s="302">
        <v>112013469</v>
      </c>
      <c r="B90" s="302">
        <v>20</v>
      </c>
      <c r="C90" s="94">
        <f t="shared" si="6"/>
        <v>0.05</v>
      </c>
      <c r="D90" s="94">
        <f t="shared" si="7"/>
        <v>0.09</v>
      </c>
      <c r="E90" s="501">
        <f t="shared" si="8"/>
        <v>0</v>
      </c>
      <c r="F90" s="302" t="s">
        <v>1062</v>
      </c>
      <c r="I90" s="302">
        <v>112014254</v>
      </c>
      <c r="J90" s="302" t="s">
        <v>997</v>
      </c>
      <c r="K90" s="302">
        <v>12</v>
      </c>
    </row>
    <row r="91" spans="1:11" ht="13">
      <c r="A91" s="302">
        <v>112013542</v>
      </c>
      <c r="B91" s="302">
        <v>20</v>
      </c>
      <c r="C91" s="94">
        <f t="shared" si="6"/>
        <v>0.05</v>
      </c>
      <c r="D91" s="94">
        <f t="shared" si="7"/>
        <v>0.09</v>
      </c>
      <c r="E91" s="501">
        <f t="shared" si="8"/>
        <v>0</v>
      </c>
      <c r="F91" s="302" t="s">
        <v>1063</v>
      </c>
      <c r="I91" s="302">
        <v>112014363</v>
      </c>
      <c r="J91" s="302" t="s">
        <v>1267</v>
      </c>
      <c r="K91" s="302">
        <v>12</v>
      </c>
    </row>
    <row r="92" spans="1:11" ht="13">
      <c r="A92" s="302">
        <v>112013698</v>
      </c>
      <c r="B92" s="302">
        <v>20</v>
      </c>
      <c r="C92" s="94">
        <f t="shared" si="6"/>
        <v>0.05</v>
      </c>
      <c r="D92" s="94">
        <f t="shared" si="7"/>
        <v>0.09</v>
      </c>
      <c r="E92" s="501">
        <f t="shared" si="8"/>
        <v>0</v>
      </c>
      <c r="F92" s="302" t="s">
        <v>948</v>
      </c>
      <c r="I92" s="302">
        <v>112014546</v>
      </c>
      <c r="J92" s="302" t="s">
        <v>1339</v>
      </c>
      <c r="K92" s="302">
        <v>12</v>
      </c>
    </row>
    <row r="93" spans="1:11" ht="13">
      <c r="A93" s="302">
        <v>112013809</v>
      </c>
      <c r="B93" s="302">
        <v>20</v>
      </c>
      <c r="C93" s="94">
        <f t="shared" si="6"/>
        <v>0.05</v>
      </c>
      <c r="D93" s="94">
        <f t="shared" si="7"/>
        <v>0.09</v>
      </c>
      <c r="E93" s="501">
        <f t="shared" si="8"/>
        <v>0</v>
      </c>
      <c r="F93" s="302" t="s">
        <v>1061</v>
      </c>
      <c r="I93" s="302">
        <v>112010407</v>
      </c>
      <c r="J93" s="302" t="s">
        <v>1332</v>
      </c>
      <c r="K93" s="302">
        <v>11</v>
      </c>
    </row>
    <row r="94" spans="1:11" ht="13">
      <c r="A94" s="302">
        <v>112013947</v>
      </c>
      <c r="B94" s="302">
        <v>20</v>
      </c>
      <c r="C94" s="94">
        <f t="shared" si="6"/>
        <v>0.05</v>
      </c>
      <c r="D94" s="94">
        <f t="shared" si="7"/>
        <v>0.09</v>
      </c>
      <c r="E94" s="501">
        <f t="shared" si="8"/>
        <v>0</v>
      </c>
      <c r="F94" s="302" t="s">
        <v>1344</v>
      </c>
      <c r="I94" s="302">
        <v>112014120</v>
      </c>
      <c r="J94" s="302" t="s">
        <v>1399</v>
      </c>
      <c r="K94" s="302">
        <v>11</v>
      </c>
    </row>
    <row r="95" spans="1:11" ht="13">
      <c r="A95" s="302">
        <v>112014644</v>
      </c>
      <c r="B95" s="302">
        <v>20</v>
      </c>
      <c r="C95" s="94">
        <f t="shared" si="6"/>
        <v>0.05</v>
      </c>
      <c r="D95" s="94">
        <f t="shared" si="7"/>
        <v>0.09</v>
      </c>
      <c r="E95" s="501">
        <f t="shared" si="8"/>
        <v>0</v>
      </c>
      <c r="F95" s="302" t="s">
        <v>1472</v>
      </c>
      <c r="I95" s="302">
        <v>112014637</v>
      </c>
      <c r="J95" s="302" t="s">
        <v>1330</v>
      </c>
      <c r="K95" s="302">
        <v>10</v>
      </c>
    </row>
    <row r="96" spans="1:11" ht="13">
      <c r="A96" s="302">
        <v>112014259</v>
      </c>
      <c r="B96" s="302">
        <v>4</v>
      </c>
      <c r="C96" s="94" t="str">
        <f t="shared" si="6"/>
        <v>Lista</v>
      </c>
      <c r="D96" s="94">
        <f t="shared" si="7"/>
        <v>0.2</v>
      </c>
      <c r="E96" s="501">
        <f t="shared" si="8"/>
        <v>0</v>
      </c>
      <c r="F96" s="302" t="s">
        <v>641</v>
      </c>
      <c r="I96" s="302">
        <v>112011732</v>
      </c>
      <c r="J96" s="302" t="s">
        <v>1264</v>
      </c>
      <c r="K96" s="302">
        <v>10</v>
      </c>
    </row>
    <row r="97" spans="1:11" ht="13">
      <c r="A97" s="302">
        <v>112014670</v>
      </c>
      <c r="B97" s="302">
        <v>4</v>
      </c>
      <c r="C97" s="94" t="str">
        <f t="shared" si="6"/>
        <v>Lista</v>
      </c>
      <c r="D97" s="94">
        <f t="shared" si="7"/>
        <v>0.2</v>
      </c>
      <c r="E97" s="501">
        <f t="shared" si="8"/>
        <v>0</v>
      </c>
      <c r="F97" s="302" t="s">
        <v>1039</v>
      </c>
      <c r="I97" s="302">
        <v>112013925</v>
      </c>
      <c r="J97" s="302" t="s">
        <v>1338</v>
      </c>
      <c r="K97" s="302">
        <v>10</v>
      </c>
    </row>
    <row r="98" spans="1:11" ht="13">
      <c r="A98" s="302">
        <v>112012824</v>
      </c>
      <c r="B98" s="302">
        <v>1</v>
      </c>
      <c r="C98" s="94" t="str">
        <f t="shared" ref="C98:C129" si="9">IFERROR(VLOOKUP(B98,DES,2,FALSE),"")</f>
        <v>Lista</v>
      </c>
      <c r="D98" s="94">
        <f t="shared" ref="D98:D129" si="10">IFERROR(VLOOKUP(B98,DES,3,FALSE),"")</f>
        <v>0.09</v>
      </c>
      <c r="E98" s="501">
        <f t="shared" ref="E98:E129" si="11">IFERROR(VLOOKUP(B98,DES,4,FALSE),"")</f>
        <v>0</v>
      </c>
      <c r="F98" s="302" t="s">
        <v>1481</v>
      </c>
      <c r="I98" s="302">
        <v>112012824</v>
      </c>
      <c r="J98" s="302" t="s">
        <v>1481</v>
      </c>
      <c r="K98" s="302">
        <v>1</v>
      </c>
    </row>
    <row r="99" spans="1:11" ht="13">
      <c r="A99" s="302">
        <v>112010676</v>
      </c>
      <c r="B99" s="302">
        <v>1</v>
      </c>
      <c r="C99" s="94" t="str">
        <f t="shared" si="9"/>
        <v>Lista</v>
      </c>
      <c r="D99" s="94">
        <f t="shared" si="10"/>
        <v>0.09</v>
      </c>
      <c r="E99" s="501">
        <f t="shared" si="11"/>
        <v>0</v>
      </c>
      <c r="F99" s="302" t="s">
        <v>1529</v>
      </c>
      <c r="I99" s="302">
        <v>112010676</v>
      </c>
      <c r="J99" s="302" t="s">
        <v>1529</v>
      </c>
      <c r="K99" s="302">
        <v>1</v>
      </c>
    </row>
    <row r="100" spans="1:11" ht="13">
      <c r="A100" s="302">
        <v>112010784</v>
      </c>
      <c r="B100" s="302">
        <v>1</v>
      </c>
      <c r="C100" s="94" t="str">
        <f t="shared" si="9"/>
        <v>Lista</v>
      </c>
      <c r="D100" s="94">
        <f t="shared" si="10"/>
        <v>0.09</v>
      </c>
      <c r="E100" s="501">
        <f t="shared" si="11"/>
        <v>0</v>
      </c>
      <c r="F100" s="302" t="s">
        <v>1513</v>
      </c>
      <c r="I100" s="302">
        <v>112010784</v>
      </c>
      <c r="J100" s="302" t="s">
        <v>1513</v>
      </c>
      <c r="K100" s="302">
        <v>1</v>
      </c>
    </row>
    <row r="101" spans="1:11" ht="13">
      <c r="A101" s="302">
        <v>112011962</v>
      </c>
      <c r="B101" s="302">
        <v>1</v>
      </c>
      <c r="C101" s="94" t="str">
        <f t="shared" si="9"/>
        <v>Lista</v>
      </c>
      <c r="D101" s="94">
        <f t="shared" si="10"/>
        <v>0.09</v>
      </c>
      <c r="E101" s="501">
        <f t="shared" si="11"/>
        <v>0</v>
      </c>
      <c r="F101" s="302" t="s">
        <v>1534</v>
      </c>
      <c r="I101" s="302">
        <v>112011962</v>
      </c>
      <c r="J101" s="302" t="s">
        <v>1534</v>
      </c>
      <c r="K101" s="302">
        <v>1</v>
      </c>
    </row>
    <row r="102" spans="1:11" ht="13">
      <c r="A102" s="302">
        <v>112013143</v>
      </c>
      <c r="B102" s="302">
        <v>1</v>
      </c>
      <c r="C102" s="94" t="str">
        <f t="shared" si="9"/>
        <v>Lista</v>
      </c>
      <c r="D102" s="94">
        <f t="shared" si="10"/>
        <v>0.09</v>
      </c>
      <c r="E102" s="501">
        <f t="shared" si="11"/>
        <v>0</v>
      </c>
      <c r="F102" s="302" t="s">
        <v>1405</v>
      </c>
      <c r="I102" s="302">
        <v>112013143</v>
      </c>
      <c r="J102" s="302" t="s">
        <v>1405</v>
      </c>
      <c r="K102" s="302">
        <v>1</v>
      </c>
    </row>
    <row r="103" spans="1:11" ht="13">
      <c r="A103" s="302">
        <v>112013917</v>
      </c>
      <c r="B103" s="302">
        <v>1</v>
      </c>
      <c r="C103" s="94" t="str">
        <f t="shared" si="9"/>
        <v>Lista</v>
      </c>
      <c r="D103" s="94">
        <f t="shared" si="10"/>
        <v>0.09</v>
      </c>
      <c r="E103" s="501">
        <f t="shared" si="11"/>
        <v>0</v>
      </c>
      <c r="F103" s="302" t="s">
        <v>1475</v>
      </c>
      <c r="I103" s="302">
        <v>112013917</v>
      </c>
      <c r="J103" s="302" t="s">
        <v>1475</v>
      </c>
      <c r="K103" s="302">
        <v>1</v>
      </c>
    </row>
    <row r="104" spans="1:11" ht="13">
      <c r="A104" s="302">
        <v>112014310</v>
      </c>
      <c r="B104" s="302">
        <v>1</v>
      </c>
      <c r="C104" s="94" t="str">
        <f t="shared" si="9"/>
        <v>Lista</v>
      </c>
      <c r="D104" s="94">
        <f t="shared" si="10"/>
        <v>0.09</v>
      </c>
      <c r="E104" s="501">
        <f t="shared" si="11"/>
        <v>0</v>
      </c>
      <c r="F104" s="302" t="s">
        <v>1539</v>
      </c>
      <c r="I104" s="302">
        <v>112014310</v>
      </c>
      <c r="J104" s="302" t="s">
        <v>1539</v>
      </c>
      <c r="K104" s="302">
        <v>1</v>
      </c>
    </row>
    <row r="105" spans="1:11" ht="13">
      <c r="A105" s="302">
        <v>112014357</v>
      </c>
      <c r="B105" s="302">
        <v>1</v>
      </c>
      <c r="C105" s="94" t="str">
        <f t="shared" si="9"/>
        <v>Lista</v>
      </c>
      <c r="D105" s="94">
        <f t="shared" si="10"/>
        <v>0.09</v>
      </c>
      <c r="E105" s="501">
        <f t="shared" si="11"/>
        <v>0</v>
      </c>
      <c r="F105" s="302" t="s">
        <v>1477</v>
      </c>
      <c r="I105" s="302">
        <v>112014357</v>
      </c>
      <c r="J105" s="302" t="s">
        <v>1477</v>
      </c>
      <c r="K105" s="302">
        <v>1</v>
      </c>
    </row>
    <row r="106" spans="1:11" ht="13">
      <c r="A106" s="302">
        <v>112011824</v>
      </c>
      <c r="C106" s="94" t="str">
        <f t="shared" si="9"/>
        <v/>
      </c>
      <c r="D106" s="94" t="str">
        <f t="shared" si="10"/>
        <v/>
      </c>
      <c r="E106" s="501" t="str">
        <f t="shared" si="11"/>
        <v/>
      </c>
      <c r="F106" s="302" t="s">
        <v>1495</v>
      </c>
      <c r="I106" s="302">
        <v>112011824</v>
      </c>
      <c r="J106" s="302" t="s">
        <v>1495</v>
      </c>
    </row>
    <row r="107" spans="1:11" ht="13">
      <c r="A107" s="302">
        <v>112011985</v>
      </c>
      <c r="C107" s="94" t="str">
        <f t="shared" si="9"/>
        <v/>
      </c>
      <c r="D107" s="94" t="str">
        <f t="shared" si="10"/>
        <v/>
      </c>
      <c r="E107" s="501" t="str">
        <f t="shared" si="11"/>
        <v/>
      </c>
      <c r="F107" s="302" t="s">
        <v>1501</v>
      </c>
      <c r="I107" s="302">
        <v>112011985</v>
      </c>
      <c r="J107" s="302" t="s">
        <v>1501</v>
      </c>
    </row>
    <row r="108" spans="1:11" ht="13">
      <c r="A108" s="302">
        <v>112012527</v>
      </c>
      <c r="C108" s="94" t="str">
        <f t="shared" si="9"/>
        <v/>
      </c>
      <c r="D108" s="94" t="str">
        <f t="shared" si="10"/>
        <v/>
      </c>
      <c r="E108" s="501" t="str">
        <f t="shared" si="11"/>
        <v/>
      </c>
      <c r="F108" s="302" t="s">
        <v>1492</v>
      </c>
      <c r="I108" s="302">
        <v>112012527</v>
      </c>
      <c r="J108" s="302" t="s">
        <v>1492</v>
      </c>
    </row>
    <row r="109" spans="1:11" ht="13">
      <c r="A109" s="302">
        <v>112012864</v>
      </c>
      <c r="C109" s="94" t="str">
        <f t="shared" si="9"/>
        <v/>
      </c>
      <c r="D109" s="94" t="str">
        <f t="shared" si="10"/>
        <v/>
      </c>
      <c r="E109" s="501" t="str">
        <f t="shared" si="11"/>
        <v/>
      </c>
      <c r="F109" s="302" t="s">
        <v>1499</v>
      </c>
      <c r="I109" s="302">
        <v>112012864</v>
      </c>
      <c r="J109" s="302" t="s">
        <v>1499</v>
      </c>
    </row>
    <row r="110" spans="1:11" ht="13">
      <c r="A110" s="302">
        <v>112013199</v>
      </c>
      <c r="C110" s="94" t="str">
        <f t="shared" si="9"/>
        <v/>
      </c>
      <c r="D110" s="94" t="str">
        <f t="shared" si="10"/>
        <v/>
      </c>
      <c r="E110" s="501" t="str">
        <f t="shared" si="11"/>
        <v/>
      </c>
      <c r="F110" s="302" t="s">
        <v>1493</v>
      </c>
      <c r="I110" s="302">
        <v>112013199</v>
      </c>
      <c r="J110" s="302" t="s">
        <v>1493</v>
      </c>
    </row>
    <row r="111" spans="1:11" ht="13">
      <c r="A111" s="302">
        <v>112013210</v>
      </c>
      <c r="C111" s="94" t="str">
        <f t="shared" si="9"/>
        <v/>
      </c>
      <c r="D111" s="94" t="str">
        <f t="shared" si="10"/>
        <v/>
      </c>
      <c r="E111" s="501" t="str">
        <f t="shared" si="11"/>
        <v/>
      </c>
      <c r="F111" s="302" t="s">
        <v>661</v>
      </c>
      <c r="I111" s="302">
        <v>112013210</v>
      </c>
      <c r="J111" s="302" t="s">
        <v>661</v>
      </c>
    </row>
    <row r="112" spans="1:11" ht="13">
      <c r="A112" s="302">
        <v>112013388</v>
      </c>
      <c r="C112" s="94" t="str">
        <f t="shared" si="9"/>
        <v/>
      </c>
      <c r="D112" s="94" t="str">
        <f t="shared" si="10"/>
        <v/>
      </c>
      <c r="E112" s="501" t="str">
        <f t="shared" si="11"/>
        <v/>
      </c>
      <c r="F112" s="302" t="s">
        <v>1377</v>
      </c>
      <c r="I112" s="302">
        <v>112013388</v>
      </c>
      <c r="J112" s="302" t="s">
        <v>1377</v>
      </c>
    </row>
    <row r="113" spans="1:10" ht="13">
      <c r="A113" s="302">
        <v>112013455</v>
      </c>
      <c r="C113" s="94" t="str">
        <f t="shared" si="9"/>
        <v/>
      </c>
      <c r="D113" s="94" t="str">
        <f t="shared" si="10"/>
        <v/>
      </c>
      <c r="E113" s="501" t="str">
        <f t="shared" si="11"/>
        <v/>
      </c>
      <c r="F113" s="302" t="s">
        <v>1535</v>
      </c>
      <c r="I113" s="302">
        <v>112013455</v>
      </c>
      <c r="J113" s="302" t="s">
        <v>1535</v>
      </c>
    </row>
    <row r="114" spans="1:10" ht="13">
      <c r="A114" s="302">
        <v>112013723</v>
      </c>
      <c r="C114" s="94" t="str">
        <f t="shared" si="9"/>
        <v/>
      </c>
      <c r="D114" s="94" t="str">
        <f t="shared" si="10"/>
        <v/>
      </c>
      <c r="E114" s="501" t="str">
        <f t="shared" si="11"/>
        <v/>
      </c>
      <c r="F114" s="302" t="s">
        <v>1498</v>
      </c>
      <c r="I114" s="302">
        <v>112013723</v>
      </c>
      <c r="J114" s="302" t="s">
        <v>1498</v>
      </c>
    </row>
    <row r="115" spans="1:10" ht="13">
      <c r="A115" s="302">
        <v>112013901</v>
      </c>
      <c r="C115" s="94" t="str">
        <f t="shared" si="9"/>
        <v/>
      </c>
      <c r="D115" s="94" t="str">
        <f t="shared" si="10"/>
        <v/>
      </c>
      <c r="E115" s="501" t="str">
        <f t="shared" si="11"/>
        <v/>
      </c>
      <c r="F115" s="302" t="s">
        <v>1491</v>
      </c>
      <c r="I115" s="302">
        <v>112013901</v>
      </c>
      <c r="J115" s="302" t="s">
        <v>1491</v>
      </c>
    </row>
    <row r="116" spans="1:10" ht="13">
      <c r="A116" s="302">
        <v>112014076</v>
      </c>
      <c r="C116" s="94" t="str">
        <f t="shared" si="9"/>
        <v/>
      </c>
      <c r="D116" s="94" t="str">
        <f t="shared" si="10"/>
        <v/>
      </c>
      <c r="E116" s="501" t="str">
        <f t="shared" si="11"/>
        <v/>
      </c>
      <c r="F116" s="302" t="s">
        <v>1494</v>
      </c>
      <c r="I116" s="302">
        <v>112014076</v>
      </c>
      <c r="J116" s="302" t="s">
        <v>1494</v>
      </c>
    </row>
    <row r="117" spans="1:10" ht="13">
      <c r="A117" s="302">
        <v>112014228</v>
      </c>
      <c r="C117" s="94" t="str">
        <f t="shared" si="9"/>
        <v/>
      </c>
      <c r="D117" s="94" t="str">
        <f t="shared" si="10"/>
        <v/>
      </c>
      <c r="E117" s="501" t="str">
        <f t="shared" si="11"/>
        <v/>
      </c>
      <c r="F117" s="302" t="s">
        <v>1500</v>
      </c>
      <c r="I117" s="302">
        <v>112014228</v>
      </c>
      <c r="J117" s="302" t="s">
        <v>1500</v>
      </c>
    </row>
    <row r="118" spans="1:10" ht="13">
      <c r="A118" s="302">
        <v>112014289</v>
      </c>
      <c r="C118" s="94" t="str">
        <f t="shared" si="9"/>
        <v/>
      </c>
      <c r="D118" s="94" t="str">
        <f t="shared" si="10"/>
        <v/>
      </c>
      <c r="E118" s="501" t="str">
        <f t="shared" si="11"/>
        <v/>
      </c>
      <c r="F118" s="302" t="s">
        <v>1540</v>
      </c>
      <c r="I118" s="302">
        <v>112014289</v>
      </c>
      <c r="J118" s="302" t="s">
        <v>1540</v>
      </c>
    </row>
    <row r="119" spans="1:10" ht="13">
      <c r="A119" s="302">
        <v>112014292</v>
      </c>
      <c r="C119" s="94" t="str">
        <f t="shared" si="9"/>
        <v/>
      </c>
      <c r="D119" s="94" t="str">
        <f t="shared" si="10"/>
        <v/>
      </c>
      <c r="E119" s="501" t="str">
        <f t="shared" si="11"/>
        <v/>
      </c>
      <c r="F119" s="302" t="s">
        <v>1538</v>
      </c>
      <c r="I119" s="302">
        <v>112014292</v>
      </c>
      <c r="J119" s="302" t="s">
        <v>1538</v>
      </c>
    </row>
    <row r="120" spans="1:10" ht="13">
      <c r="A120" s="302">
        <v>112014657</v>
      </c>
      <c r="C120" s="94" t="str">
        <f t="shared" si="9"/>
        <v/>
      </c>
      <c r="D120" s="94" t="str">
        <f t="shared" si="10"/>
        <v/>
      </c>
      <c r="E120" s="501" t="str">
        <f t="shared" si="11"/>
        <v/>
      </c>
      <c r="F120" s="302" t="s">
        <v>1497</v>
      </c>
      <c r="I120" s="302">
        <v>112014657</v>
      </c>
      <c r="J120" s="302" t="s">
        <v>1497</v>
      </c>
    </row>
    <row r="121" spans="1:10" ht="13">
      <c r="C121" s="94" t="str">
        <f t="shared" si="9"/>
        <v/>
      </c>
      <c r="D121" s="94" t="str">
        <f t="shared" si="10"/>
        <v/>
      </c>
      <c r="E121" s="501" t="str">
        <f t="shared" si="11"/>
        <v/>
      </c>
    </row>
    <row r="122" spans="1:10" ht="13">
      <c r="C122" s="94" t="str">
        <f t="shared" si="9"/>
        <v/>
      </c>
      <c r="D122" s="94" t="str">
        <f t="shared" si="10"/>
        <v/>
      </c>
      <c r="E122" s="501" t="str">
        <f t="shared" si="11"/>
        <v/>
      </c>
    </row>
    <row r="123" spans="1:10" ht="13">
      <c r="C123" s="94" t="str">
        <f t="shared" si="9"/>
        <v/>
      </c>
      <c r="D123" s="94" t="str">
        <f t="shared" si="10"/>
        <v/>
      </c>
      <c r="E123" s="501" t="str">
        <f t="shared" si="11"/>
        <v/>
      </c>
    </row>
    <row r="124" spans="1:10" ht="13">
      <c r="C124" s="94" t="str">
        <f t="shared" si="9"/>
        <v/>
      </c>
      <c r="D124" s="94" t="str">
        <f t="shared" si="10"/>
        <v/>
      </c>
      <c r="E124" s="501" t="str">
        <f t="shared" si="11"/>
        <v/>
      </c>
    </row>
    <row r="125" spans="1:10" ht="13">
      <c r="C125" s="94" t="str">
        <f t="shared" si="9"/>
        <v/>
      </c>
      <c r="D125" s="94" t="str">
        <f t="shared" si="10"/>
        <v/>
      </c>
      <c r="E125" s="501" t="str">
        <f t="shared" si="11"/>
        <v/>
      </c>
    </row>
    <row r="126" spans="1:10" ht="13">
      <c r="C126" s="94" t="str">
        <f t="shared" si="9"/>
        <v/>
      </c>
      <c r="D126" s="94" t="str">
        <f t="shared" si="10"/>
        <v/>
      </c>
      <c r="E126" s="501" t="str">
        <f t="shared" si="11"/>
        <v/>
      </c>
    </row>
    <row r="127" spans="1:10" ht="13">
      <c r="C127" s="94" t="str">
        <f t="shared" si="9"/>
        <v/>
      </c>
      <c r="D127" s="94" t="str">
        <f t="shared" si="10"/>
        <v/>
      </c>
      <c r="E127" s="501" t="str">
        <f t="shared" si="11"/>
        <v/>
      </c>
    </row>
    <row r="128" spans="1:10" ht="13">
      <c r="C128" s="94" t="str">
        <f t="shared" si="9"/>
        <v/>
      </c>
      <c r="D128" s="94" t="str">
        <f t="shared" si="10"/>
        <v/>
      </c>
      <c r="E128" s="501" t="str">
        <f t="shared" si="11"/>
        <v/>
      </c>
    </row>
    <row r="129" spans="3:5" ht="13">
      <c r="C129" s="94" t="str">
        <f t="shared" si="9"/>
        <v/>
      </c>
      <c r="D129" s="94" t="str">
        <f t="shared" si="10"/>
        <v/>
      </c>
      <c r="E129" s="501" t="str">
        <f t="shared" si="11"/>
        <v/>
      </c>
    </row>
    <row r="130" spans="3:5" ht="13">
      <c r="C130" s="94" t="str">
        <f t="shared" ref="C130:C161" si="12">IFERROR(VLOOKUP(B130,DES,2,FALSE),"")</f>
        <v/>
      </c>
      <c r="D130" s="94" t="str">
        <f t="shared" ref="D130:D148" si="13">IFERROR(VLOOKUP(B130,DES,3,FALSE),"")</f>
        <v/>
      </c>
      <c r="E130" s="501" t="str">
        <f t="shared" ref="E130:E148" si="14">IFERROR(VLOOKUP(B130,DES,4,FALSE),"")</f>
        <v/>
      </c>
    </row>
    <row r="131" spans="3:5" ht="13">
      <c r="C131" s="94" t="str">
        <f t="shared" si="12"/>
        <v/>
      </c>
      <c r="D131" s="94" t="str">
        <f t="shared" si="13"/>
        <v/>
      </c>
      <c r="E131" s="501" t="str">
        <f t="shared" si="14"/>
        <v/>
      </c>
    </row>
    <row r="132" spans="3:5" ht="13">
      <c r="C132" s="94" t="str">
        <f t="shared" si="12"/>
        <v/>
      </c>
      <c r="D132" s="94" t="str">
        <f t="shared" si="13"/>
        <v/>
      </c>
      <c r="E132" s="501" t="str">
        <f t="shared" si="14"/>
        <v/>
      </c>
    </row>
    <row r="133" spans="3:5" ht="13">
      <c r="C133" s="94" t="str">
        <f t="shared" si="12"/>
        <v/>
      </c>
      <c r="D133" s="94" t="str">
        <f t="shared" si="13"/>
        <v/>
      </c>
      <c r="E133" s="501" t="str">
        <f t="shared" si="14"/>
        <v/>
      </c>
    </row>
    <row r="134" spans="3:5" ht="13">
      <c r="C134" s="94" t="str">
        <f t="shared" si="12"/>
        <v/>
      </c>
      <c r="D134" s="94" t="str">
        <f t="shared" si="13"/>
        <v/>
      </c>
      <c r="E134" s="501" t="str">
        <f t="shared" si="14"/>
        <v/>
      </c>
    </row>
    <row r="135" spans="3:5" ht="13">
      <c r="C135" s="94" t="str">
        <f t="shared" si="12"/>
        <v/>
      </c>
      <c r="D135" s="94" t="str">
        <f t="shared" si="13"/>
        <v/>
      </c>
      <c r="E135" s="501" t="str">
        <f t="shared" si="14"/>
        <v/>
      </c>
    </row>
    <row r="136" spans="3:5" ht="13">
      <c r="C136" s="94" t="str">
        <f t="shared" si="12"/>
        <v/>
      </c>
      <c r="D136" s="94" t="str">
        <f t="shared" si="13"/>
        <v/>
      </c>
      <c r="E136" s="501" t="str">
        <f t="shared" si="14"/>
        <v/>
      </c>
    </row>
    <row r="137" spans="3:5" ht="13">
      <c r="C137" s="94" t="str">
        <f t="shared" si="12"/>
        <v/>
      </c>
      <c r="D137" s="94" t="str">
        <f t="shared" si="13"/>
        <v/>
      </c>
      <c r="E137" s="501" t="str">
        <f t="shared" si="14"/>
        <v/>
      </c>
    </row>
    <row r="138" spans="3:5" ht="13">
      <c r="C138" s="94" t="str">
        <f t="shared" si="12"/>
        <v/>
      </c>
      <c r="D138" s="94" t="str">
        <f t="shared" si="13"/>
        <v/>
      </c>
      <c r="E138" s="501" t="str">
        <f t="shared" si="14"/>
        <v/>
      </c>
    </row>
    <row r="139" spans="3:5" ht="13">
      <c r="C139" s="94" t="str">
        <f t="shared" si="12"/>
        <v/>
      </c>
      <c r="D139" s="94" t="str">
        <f t="shared" si="13"/>
        <v/>
      </c>
      <c r="E139" s="501" t="str">
        <f t="shared" si="14"/>
        <v/>
      </c>
    </row>
    <row r="140" spans="3:5" ht="13">
      <c r="C140" s="94" t="str">
        <f t="shared" si="12"/>
        <v/>
      </c>
      <c r="D140" s="94" t="str">
        <f t="shared" si="13"/>
        <v/>
      </c>
      <c r="E140" s="501" t="str">
        <f t="shared" si="14"/>
        <v/>
      </c>
    </row>
    <row r="141" spans="3:5" ht="13">
      <c r="C141" s="94" t="str">
        <f t="shared" si="12"/>
        <v/>
      </c>
      <c r="D141" s="94" t="str">
        <f t="shared" si="13"/>
        <v/>
      </c>
      <c r="E141" s="501" t="str">
        <f t="shared" si="14"/>
        <v/>
      </c>
    </row>
    <row r="142" spans="3:5" ht="13">
      <c r="C142" s="94" t="str">
        <f t="shared" si="12"/>
        <v/>
      </c>
      <c r="D142" s="94" t="str">
        <f t="shared" si="13"/>
        <v/>
      </c>
      <c r="E142" s="501" t="str">
        <f t="shared" si="14"/>
        <v/>
      </c>
    </row>
    <row r="143" spans="3:5" ht="13">
      <c r="C143" s="94" t="str">
        <f t="shared" si="12"/>
        <v/>
      </c>
      <c r="D143" s="94" t="str">
        <f t="shared" si="13"/>
        <v/>
      </c>
      <c r="E143" s="501" t="str">
        <f t="shared" si="14"/>
        <v/>
      </c>
    </row>
    <row r="144" spans="3:5" ht="13">
      <c r="C144" s="94" t="str">
        <f t="shared" si="12"/>
        <v/>
      </c>
      <c r="D144" s="94" t="str">
        <f t="shared" si="13"/>
        <v/>
      </c>
      <c r="E144" s="501" t="str">
        <f t="shared" si="14"/>
        <v/>
      </c>
    </row>
    <row r="145" spans="3:5" ht="13">
      <c r="C145" s="94" t="str">
        <f t="shared" si="12"/>
        <v/>
      </c>
      <c r="D145" s="94" t="str">
        <f t="shared" si="13"/>
        <v/>
      </c>
      <c r="E145" s="501" t="str">
        <f t="shared" si="14"/>
        <v/>
      </c>
    </row>
    <row r="146" spans="3:5" ht="13">
      <c r="C146" s="94" t="str">
        <f t="shared" si="12"/>
        <v/>
      </c>
      <c r="D146" s="94" t="str">
        <f t="shared" si="13"/>
        <v/>
      </c>
      <c r="E146" s="501" t="str">
        <f t="shared" si="14"/>
        <v/>
      </c>
    </row>
    <row r="147" spans="3:5" ht="13">
      <c r="C147" s="94" t="str">
        <f t="shared" si="12"/>
        <v/>
      </c>
      <c r="D147" s="94" t="str">
        <f t="shared" si="13"/>
        <v/>
      </c>
      <c r="E147" s="501" t="str">
        <f t="shared" si="14"/>
        <v/>
      </c>
    </row>
    <row r="148" spans="3:5" ht="13">
      <c r="C148" s="94" t="str">
        <f t="shared" si="12"/>
        <v/>
      </c>
      <c r="D148" s="94" t="str">
        <f t="shared" si="13"/>
        <v/>
      </c>
      <c r="E148" s="501" t="str">
        <f t="shared" si="14"/>
        <v/>
      </c>
    </row>
  </sheetData>
  <conditionalFormatting sqref="C2:C148">
    <cfRule type="cellIs" dxfId="9" priority="1" operator="equal">
      <formula>"18%"</formula>
    </cfRule>
    <cfRule type="cellIs" dxfId="8" priority="2" operator="equal">
      <formula>"15%"</formula>
    </cfRule>
    <cfRule type="cellIs" dxfId="7" priority="3" operator="equal">
      <formula>"12%"</formula>
    </cfRule>
    <cfRule type="cellIs" dxfId="6" priority="4" operator="equal">
      <formula>"5%"</formula>
    </cfRule>
    <cfRule type="cellIs" dxfId="5" priority="5" operator="equal">
      <formula>"10%"</formula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2109"/>
  <sheetViews>
    <sheetView workbookViewId="0"/>
  </sheetViews>
  <sheetFormatPr baseColWidth="10" defaultColWidth="12.6640625" defaultRowHeight="15.75" customHeight="1"/>
  <cols>
    <col min="1" max="1" width="38.6640625" customWidth="1"/>
    <col min="2" max="2" width="37.33203125" customWidth="1"/>
  </cols>
  <sheetData>
    <row r="1" spans="1:26" ht="15.75" customHeight="1">
      <c r="B1" s="553"/>
      <c r="C1" s="1789"/>
    </row>
    <row r="2" spans="1:26" ht="15.75" customHeight="1">
      <c r="A2" s="1790" t="s">
        <v>5</v>
      </c>
      <c r="B2" s="1791" t="s">
        <v>241</v>
      </c>
      <c r="C2" s="1792">
        <v>45292</v>
      </c>
      <c r="D2" s="1793">
        <v>45323</v>
      </c>
      <c r="E2" s="1793">
        <v>45352</v>
      </c>
      <c r="F2" s="1793">
        <v>45383</v>
      </c>
      <c r="G2" s="1793">
        <v>45413</v>
      </c>
      <c r="H2" s="1793">
        <v>45444</v>
      </c>
      <c r="I2" s="1793">
        <v>45474</v>
      </c>
      <c r="J2" s="1793">
        <v>45505</v>
      </c>
      <c r="K2" s="1794">
        <v>45536</v>
      </c>
      <c r="L2" s="1794">
        <v>45566</v>
      </c>
      <c r="M2" s="1794">
        <v>45597</v>
      </c>
      <c r="N2" s="1795">
        <v>45627</v>
      </c>
    </row>
    <row r="3" spans="1:26" ht="15.75" customHeight="1">
      <c r="A3" s="1796" t="s">
        <v>241</v>
      </c>
      <c r="B3" s="1797">
        <v>1510630630.3399999</v>
      </c>
      <c r="C3" s="1798">
        <v>86840774.609999999</v>
      </c>
      <c r="D3" s="1799">
        <v>86249598.090000004</v>
      </c>
      <c r="E3" s="1799">
        <v>82336579.049999997</v>
      </c>
      <c r="F3" s="1799">
        <v>92433762.549999997</v>
      </c>
      <c r="G3" s="1799">
        <v>145126194.43000001</v>
      </c>
      <c r="H3" s="1799">
        <v>100846957.76000001</v>
      </c>
      <c r="I3" s="1799">
        <v>104564962.93000001</v>
      </c>
      <c r="J3" s="1799">
        <v>151244686.41999999</v>
      </c>
      <c r="K3" s="1799">
        <v>98068373.709999993</v>
      </c>
      <c r="L3" s="1799">
        <v>156429282.02000001</v>
      </c>
      <c r="M3" s="1799">
        <v>210722284.41999999</v>
      </c>
      <c r="N3" s="1800">
        <v>195767174.34999999</v>
      </c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spans="1:26" ht="15.75" customHeight="1">
      <c r="A4" s="742" t="s">
        <v>67</v>
      </c>
      <c r="B4" s="1801">
        <v>299524448.41000003</v>
      </c>
      <c r="C4" s="1802">
        <v>14230056.75</v>
      </c>
      <c r="D4" s="352">
        <v>14727077.93</v>
      </c>
      <c r="E4" s="352">
        <v>27181916.780000001</v>
      </c>
      <c r="F4" s="352">
        <v>25421450.609999999</v>
      </c>
      <c r="G4" s="352">
        <v>18456604.280000001</v>
      </c>
      <c r="H4" s="352">
        <v>21238449.370000001</v>
      </c>
      <c r="I4" s="352">
        <v>27455166.559999999</v>
      </c>
      <c r="J4" s="352">
        <v>33141853.309999999</v>
      </c>
      <c r="K4" s="352">
        <v>20627957.710000001</v>
      </c>
      <c r="L4" s="352">
        <v>27477442.77</v>
      </c>
      <c r="M4" s="352">
        <v>27210427.34</v>
      </c>
      <c r="N4" s="1803">
        <v>42356045.020000003</v>
      </c>
    </row>
    <row r="5" spans="1:26" ht="15.75" customHeight="1">
      <c r="A5" s="742" t="s">
        <v>1674</v>
      </c>
      <c r="B5" s="1801">
        <v>212062941.66999999</v>
      </c>
      <c r="C5" s="1802">
        <v>16932062.190000001</v>
      </c>
      <c r="D5" s="352">
        <v>10537905.109999999</v>
      </c>
      <c r="E5" s="352">
        <v>5507390.75</v>
      </c>
      <c r="F5" s="352">
        <v>3643641.46</v>
      </c>
      <c r="G5" s="352">
        <v>14664093.390000001</v>
      </c>
      <c r="H5" s="352">
        <v>22349643.050000001</v>
      </c>
      <c r="I5" s="352">
        <v>1778407.89</v>
      </c>
      <c r="J5" s="352">
        <v>29191819.379999999</v>
      </c>
      <c r="K5" s="352">
        <v>12306039.5</v>
      </c>
      <c r="L5" s="352">
        <v>32178316.280000001</v>
      </c>
      <c r="M5" s="352">
        <v>36849687.539999999</v>
      </c>
      <c r="N5" s="1803">
        <v>26123935.129999999</v>
      </c>
    </row>
    <row r="6" spans="1:26" ht="15.75" customHeight="1">
      <c r="A6" s="742" t="s">
        <v>72</v>
      </c>
      <c r="B6" s="1801">
        <v>167730225.21000001</v>
      </c>
      <c r="C6" s="1802">
        <v>3108853.47</v>
      </c>
      <c r="D6" s="352">
        <v>302700.09999999998</v>
      </c>
      <c r="E6" s="352">
        <v>0</v>
      </c>
      <c r="F6" s="352">
        <v>7604676.3799999999</v>
      </c>
      <c r="G6" s="352">
        <v>58563251.520000003</v>
      </c>
      <c r="H6" s="352">
        <v>0</v>
      </c>
      <c r="I6" s="352">
        <v>3552404.67</v>
      </c>
      <c r="J6" s="352">
        <v>8667925.9900000002</v>
      </c>
      <c r="K6" s="352">
        <v>3511697.68</v>
      </c>
      <c r="L6" s="352">
        <v>10028173.6</v>
      </c>
      <c r="M6" s="352">
        <v>40167347.829999998</v>
      </c>
      <c r="N6" s="1803">
        <v>32223193.969999999</v>
      </c>
    </row>
    <row r="7" spans="1:26" ht="15.75" customHeight="1">
      <c r="A7" s="742" t="s">
        <v>68</v>
      </c>
      <c r="B7" s="1801">
        <v>82207830.140000001</v>
      </c>
      <c r="C7" s="1802">
        <v>3625306.2</v>
      </c>
      <c r="D7" s="352">
        <v>7557763.0899999999</v>
      </c>
      <c r="E7" s="352">
        <v>9972714.6699999999</v>
      </c>
      <c r="F7" s="352">
        <v>4172537.6</v>
      </c>
      <c r="G7" s="352">
        <v>8078157.9299999997</v>
      </c>
      <c r="H7" s="352">
        <v>4165889.43</v>
      </c>
      <c r="I7" s="352">
        <v>9517876.6400000006</v>
      </c>
      <c r="J7" s="352">
        <v>4362355.72</v>
      </c>
      <c r="K7" s="352">
        <v>5801888.5899999999</v>
      </c>
      <c r="L7" s="352">
        <v>7359598.0499999998</v>
      </c>
      <c r="M7" s="352">
        <v>8741529.3300000001</v>
      </c>
      <c r="N7" s="1803">
        <v>8852212.8900000006</v>
      </c>
    </row>
    <row r="8" spans="1:26" ht="15.75" customHeight="1">
      <c r="A8" s="742" t="s">
        <v>238</v>
      </c>
      <c r="B8" s="1801">
        <v>64867249.490000002</v>
      </c>
      <c r="C8" s="1802">
        <v>3941730.61</v>
      </c>
      <c r="D8" s="352">
        <v>8418325.5899999999</v>
      </c>
      <c r="E8" s="352">
        <v>3394140.44</v>
      </c>
      <c r="F8" s="352">
        <v>3550873.72</v>
      </c>
      <c r="G8" s="352">
        <v>4168703.81</v>
      </c>
      <c r="H8" s="352">
        <v>6883355.54</v>
      </c>
      <c r="I8" s="352">
        <v>5165723.1100000003</v>
      </c>
      <c r="J8" s="352">
        <v>8064221.5099999998</v>
      </c>
      <c r="K8" s="352">
        <v>3437862.39</v>
      </c>
      <c r="L8" s="352">
        <v>6105882.9900000002</v>
      </c>
      <c r="M8" s="352">
        <v>5583897.2699999996</v>
      </c>
      <c r="N8" s="1803">
        <v>6152532.5099999998</v>
      </c>
    </row>
    <row r="9" spans="1:26" ht="15.75" customHeight="1">
      <c r="A9" s="742" t="s">
        <v>233</v>
      </c>
      <c r="B9" s="1801">
        <v>43120082.130000003</v>
      </c>
      <c r="C9" s="1802">
        <v>1132243.69</v>
      </c>
      <c r="D9" s="352">
        <v>5499805.1500000004</v>
      </c>
      <c r="E9" s="352">
        <v>1112580.8999999999</v>
      </c>
      <c r="F9" s="352">
        <v>702332.8</v>
      </c>
      <c r="G9" s="352">
        <v>2348673.9300000002</v>
      </c>
      <c r="H9" s="352">
        <v>3334597.98</v>
      </c>
      <c r="I9" s="352">
        <v>4067675.85</v>
      </c>
      <c r="J9" s="352">
        <v>8566542.0700000003</v>
      </c>
      <c r="K9" s="352">
        <v>2485248.7999999998</v>
      </c>
      <c r="L9" s="352">
        <v>5975389.5</v>
      </c>
      <c r="M9" s="352">
        <v>3279916.75</v>
      </c>
      <c r="N9" s="1803">
        <v>4615074.7300000004</v>
      </c>
    </row>
    <row r="10" spans="1:26" ht="15.75" customHeight="1">
      <c r="A10" s="742" t="s">
        <v>85</v>
      </c>
      <c r="B10" s="1801">
        <v>37801190.640000001</v>
      </c>
      <c r="C10" s="1802">
        <v>1577310.95</v>
      </c>
      <c r="D10" s="352">
        <v>2374619.66</v>
      </c>
      <c r="E10" s="352">
        <v>3635729.18</v>
      </c>
      <c r="F10" s="352">
        <v>2021494.32</v>
      </c>
      <c r="G10" s="352">
        <v>3375735.28</v>
      </c>
      <c r="H10" s="352">
        <v>1657477.54</v>
      </c>
      <c r="I10" s="352">
        <v>2352425.7000000002</v>
      </c>
      <c r="J10" s="352">
        <v>3428497.8</v>
      </c>
      <c r="K10" s="352">
        <v>2880142.68</v>
      </c>
      <c r="L10" s="352">
        <v>3409270.85</v>
      </c>
      <c r="M10" s="352">
        <v>3889074.06</v>
      </c>
      <c r="N10" s="1803">
        <v>7199412.6299999999</v>
      </c>
    </row>
    <row r="11" spans="1:26" ht="15.75" customHeight="1">
      <c r="A11" s="742" t="s">
        <v>113</v>
      </c>
      <c r="B11" s="1801">
        <v>29637084.379999999</v>
      </c>
      <c r="C11" s="1789">
        <v>0</v>
      </c>
      <c r="D11" s="302">
        <v>0</v>
      </c>
      <c r="E11" s="302">
        <v>0</v>
      </c>
      <c r="F11" s="352">
        <v>0</v>
      </c>
      <c r="G11" s="352">
        <v>1741660.85</v>
      </c>
      <c r="H11" s="352">
        <v>2937461.45</v>
      </c>
      <c r="I11" s="352">
        <v>4390699.1900000004</v>
      </c>
      <c r="J11" s="352">
        <v>5403442.6600000001</v>
      </c>
      <c r="K11" s="352">
        <v>3504428.62</v>
      </c>
      <c r="L11" s="352">
        <v>2466973.36</v>
      </c>
      <c r="M11" s="352">
        <v>5067564.8899999997</v>
      </c>
      <c r="N11" s="1803">
        <v>4124853.36</v>
      </c>
    </row>
    <row r="12" spans="1:26" ht="15.75" customHeight="1">
      <c r="A12" s="742" t="s">
        <v>76</v>
      </c>
      <c r="B12" s="1801">
        <v>27671030.010000002</v>
      </c>
      <c r="C12" s="1802">
        <v>2301571.2000000002</v>
      </c>
      <c r="D12" s="352">
        <v>2242152.62</v>
      </c>
      <c r="E12" s="352">
        <v>2042682.76</v>
      </c>
      <c r="F12" s="352">
        <v>1429559.74</v>
      </c>
      <c r="G12" s="352">
        <v>2040779.66</v>
      </c>
      <c r="H12" s="352">
        <v>1216559.27</v>
      </c>
      <c r="I12" s="352">
        <v>4035191.85</v>
      </c>
      <c r="J12" s="352">
        <v>4471137.68</v>
      </c>
      <c r="K12" s="352">
        <v>1436000.41</v>
      </c>
      <c r="L12" s="352">
        <v>2198564.29</v>
      </c>
      <c r="M12" s="352">
        <v>1800247.16</v>
      </c>
      <c r="N12" s="1803">
        <v>2456583.36</v>
      </c>
    </row>
    <row r="13" spans="1:26" ht="15.75" customHeight="1">
      <c r="A13" s="742" t="s">
        <v>70</v>
      </c>
      <c r="B13" s="1801">
        <v>26143059.600000001</v>
      </c>
      <c r="C13" s="1802">
        <v>2146106.98</v>
      </c>
      <c r="D13" s="352">
        <v>1009713.95</v>
      </c>
      <c r="E13" s="352">
        <v>1230548.68</v>
      </c>
      <c r="F13" s="352">
        <v>703328.37</v>
      </c>
      <c r="G13" s="352">
        <v>1141074.8799999999</v>
      </c>
      <c r="H13" s="352">
        <v>1264239.24</v>
      </c>
      <c r="I13" s="352">
        <v>597191.5</v>
      </c>
      <c r="J13" s="352">
        <v>2084940.76</v>
      </c>
      <c r="K13" s="352">
        <v>1661952.31</v>
      </c>
      <c r="L13" s="352">
        <v>4568330.59</v>
      </c>
      <c r="M13" s="352">
        <v>4468315.25</v>
      </c>
      <c r="N13" s="1803">
        <v>5267317.08</v>
      </c>
    </row>
    <row r="14" spans="1:26" ht="15.75" customHeight="1">
      <c r="A14" s="742" t="s">
        <v>190</v>
      </c>
      <c r="B14" s="1801">
        <v>22985092.77</v>
      </c>
      <c r="C14" s="1802">
        <v>1087315.8899999999</v>
      </c>
      <c r="D14" s="352">
        <v>1306376.3600000001</v>
      </c>
      <c r="E14" s="352">
        <v>999904.25</v>
      </c>
      <c r="F14" s="352">
        <v>2068756.82</v>
      </c>
      <c r="G14" s="352">
        <v>1073790.54</v>
      </c>
      <c r="H14" s="352">
        <v>2557110.86</v>
      </c>
      <c r="I14" s="352">
        <v>2839099.04</v>
      </c>
      <c r="J14" s="352">
        <v>2888013.89</v>
      </c>
      <c r="K14" s="352">
        <v>1054325.8</v>
      </c>
      <c r="L14" s="352">
        <v>1846661.46</v>
      </c>
      <c r="M14" s="352">
        <v>2372533.9</v>
      </c>
      <c r="N14" s="1803">
        <v>2891203.95</v>
      </c>
    </row>
    <row r="15" spans="1:26" ht="15.75" customHeight="1">
      <c r="A15" s="742" t="s">
        <v>108</v>
      </c>
      <c r="B15" s="1801">
        <v>22279941.359999999</v>
      </c>
      <c r="C15" s="1802">
        <v>1663677.17</v>
      </c>
      <c r="D15" s="352">
        <v>1510393.81</v>
      </c>
      <c r="E15" s="352">
        <v>952974.97</v>
      </c>
      <c r="F15" s="352">
        <v>1810219.42</v>
      </c>
      <c r="G15" s="352">
        <v>1545920.23</v>
      </c>
      <c r="H15" s="352">
        <v>1361684.13</v>
      </c>
      <c r="I15" s="352">
        <v>1066247.96</v>
      </c>
      <c r="J15" s="352">
        <v>2757725.21</v>
      </c>
      <c r="K15" s="352">
        <v>1578101.37</v>
      </c>
      <c r="L15" s="352">
        <v>3129514.16</v>
      </c>
      <c r="M15" s="352">
        <v>2148288.52</v>
      </c>
      <c r="N15" s="1803">
        <v>2755194.41</v>
      </c>
    </row>
    <row r="16" spans="1:26" ht="15.75" customHeight="1">
      <c r="A16" s="742" t="s">
        <v>87</v>
      </c>
      <c r="B16" s="1801">
        <v>20861336.969999999</v>
      </c>
      <c r="C16" s="1802">
        <v>1417158.45</v>
      </c>
      <c r="D16" s="352">
        <v>2129019.04</v>
      </c>
      <c r="E16" s="352">
        <v>1949096.37</v>
      </c>
      <c r="F16" s="352">
        <v>2567245.36</v>
      </c>
      <c r="G16" s="352">
        <v>1330861.83</v>
      </c>
      <c r="H16" s="352">
        <v>1460935.27</v>
      </c>
      <c r="I16" s="352">
        <v>2512625.98</v>
      </c>
      <c r="J16" s="352">
        <v>2114202.9300000002</v>
      </c>
      <c r="K16" s="352">
        <v>1273667.52</v>
      </c>
      <c r="L16" s="352">
        <v>1667225.58</v>
      </c>
      <c r="M16" s="352">
        <v>1891176.49</v>
      </c>
      <c r="N16" s="1803">
        <v>548122.15</v>
      </c>
    </row>
    <row r="17" spans="1:14" ht="15.75" customHeight="1">
      <c r="A17" s="742" t="s">
        <v>224</v>
      </c>
      <c r="B17" s="1801">
        <v>19421487.600000001</v>
      </c>
      <c r="C17" s="1789">
        <v>0</v>
      </c>
      <c r="D17" s="302">
        <v>0</v>
      </c>
      <c r="E17" s="302">
        <v>0</v>
      </c>
      <c r="F17" s="302">
        <v>0</v>
      </c>
      <c r="G17" s="302">
        <v>0</v>
      </c>
      <c r="H17" s="302">
        <v>0</v>
      </c>
      <c r="I17" s="302">
        <v>0</v>
      </c>
      <c r="J17" s="302">
        <v>0</v>
      </c>
      <c r="K17" s="302">
        <v>0</v>
      </c>
      <c r="L17" s="352">
        <v>0</v>
      </c>
      <c r="M17" s="352">
        <v>19421487.600000001</v>
      </c>
      <c r="N17" s="1803">
        <v>0</v>
      </c>
    </row>
    <row r="18" spans="1:14" ht="15.75" customHeight="1">
      <c r="A18" s="742" t="s">
        <v>124</v>
      </c>
      <c r="B18" s="1801">
        <v>19066496.48</v>
      </c>
      <c r="C18" s="1802">
        <v>1733725.43</v>
      </c>
      <c r="D18" s="352">
        <v>328426.13</v>
      </c>
      <c r="E18" s="352">
        <v>1869000.05</v>
      </c>
      <c r="F18" s="352">
        <v>1461650.98</v>
      </c>
      <c r="G18" s="352">
        <v>1187495.27</v>
      </c>
      <c r="H18" s="352">
        <v>885976.28</v>
      </c>
      <c r="I18" s="352">
        <v>1625282.17</v>
      </c>
      <c r="J18" s="352">
        <v>996919.65</v>
      </c>
      <c r="K18" s="352">
        <v>1794078.76</v>
      </c>
      <c r="L18" s="352">
        <v>1786202.64</v>
      </c>
      <c r="M18" s="352">
        <v>2623779.27</v>
      </c>
      <c r="N18" s="1803">
        <v>2773959.86</v>
      </c>
    </row>
    <row r="19" spans="1:14" ht="15.75" customHeight="1">
      <c r="A19" s="742" t="s">
        <v>99</v>
      </c>
      <c r="B19" s="1801">
        <v>18288064.649999999</v>
      </c>
      <c r="C19" s="1802">
        <v>212346.9</v>
      </c>
      <c r="D19" s="352">
        <v>1574012.61</v>
      </c>
      <c r="E19" s="352">
        <v>800613.48</v>
      </c>
      <c r="F19" s="352">
        <v>2108306.9700000002</v>
      </c>
      <c r="G19" s="352">
        <v>1140078.31</v>
      </c>
      <c r="H19" s="352">
        <v>2413895.85</v>
      </c>
      <c r="I19" s="352">
        <v>2404184.89</v>
      </c>
      <c r="J19" s="352">
        <v>643464.02</v>
      </c>
      <c r="K19" s="352">
        <v>2001623.94</v>
      </c>
      <c r="L19" s="352">
        <v>2703172.67</v>
      </c>
      <c r="M19" s="352">
        <v>1455626.08</v>
      </c>
      <c r="N19" s="1803">
        <v>830738.93</v>
      </c>
    </row>
    <row r="20" spans="1:14" ht="15.75" customHeight="1">
      <c r="A20" s="742" t="s">
        <v>73</v>
      </c>
      <c r="B20" s="1801">
        <v>18156644.57</v>
      </c>
      <c r="C20" s="1802">
        <v>1407272.76</v>
      </c>
      <c r="D20" s="352">
        <v>834450.92</v>
      </c>
      <c r="E20" s="352">
        <v>1112505.3600000001</v>
      </c>
      <c r="F20" s="352">
        <v>948238.82</v>
      </c>
      <c r="G20" s="352">
        <v>1084593.3</v>
      </c>
      <c r="H20" s="352">
        <v>1218462.33</v>
      </c>
      <c r="I20" s="352">
        <v>1133106.67</v>
      </c>
      <c r="J20" s="352">
        <v>1561418.64</v>
      </c>
      <c r="K20" s="352">
        <v>1740717.53</v>
      </c>
      <c r="L20" s="352">
        <v>2391440.9500000002</v>
      </c>
      <c r="M20" s="352">
        <v>2092798.61</v>
      </c>
      <c r="N20" s="1803">
        <v>2631638.6800000002</v>
      </c>
    </row>
    <row r="21" spans="1:14" ht="15.75" customHeight="1">
      <c r="A21" s="742" t="s">
        <v>125</v>
      </c>
      <c r="B21" s="1801">
        <v>15728200.85</v>
      </c>
      <c r="C21" s="1802">
        <v>1262728.25</v>
      </c>
      <c r="D21" s="352">
        <v>682955.57</v>
      </c>
      <c r="E21" s="352">
        <v>1421903.59</v>
      </c>
      <c r="F21" s="352">
        <v>945514.9</v>
      </c>
      <c r="G21" s="352">
        <v>1336344.77</v>
      </c>
      <c r="H21" s="352">
        <v>1171666.29</v>
      </c>
      <c r="I21" s="352">
        <v>1950302.8</v>
      </c>
      <c r="J21" s="352">
        <v>1891129.6</v>
      </c>
      <c r="K21" s="352">
        <v>964168.49</v>
      </c>
      <c r="L21" s="352">
        <v>946809.75</v>
      </c>
      <c r="M21" s="352">
        <v>1930590.29</v>
      </c>
      <c r="N21" s="1803">
        <v>1224086.54</v>
      </c>
    </row>
    <row r="22" spans="1:14" ht="15.75" customHeight="1">
      <c r="A22" s="742" t="s">
        <v>149</v>
      </c>
      <c r="B22" s="1801">
        <v>15373945.75</v>
      </c>
      <c r="C22" s="1802">
        <v>1198356.8</v>
      </c>
      <c r="D22" s="352">
        <v>1219148.96</v>
      </c>
      <c r="E22" s="352">
        <v>104371.33</v>
      </c>
      <c r="F22" s="352">
        <v>2748910.05</v>
      </c>
      <c r="G22" s="352">
        <v>486109.6</v>
      </c>
      <c r="H22" s="352">
        <v>1524434.72</v>
      </c>
      <c r="I22" s="352">
        <v>1514708.06</v>
      </c>
      <c r="J22" s="352">
        <v>598973.19999999995</v>
      </c>
      <c r="K22" s="352">
        <v>1703086.32</v>
      </c>
      <c r="L22" s="352">
        <v>1113804.1000000001</v>
      </c>
      <c r="M22" s="352">
        <v>1160387.04</v>
      </c>
      <c r="N22" s="1803">
        <v>2001655.58</v>
      </c>
    </row>
    <row r="23" spans="1:14" ht="15.75" customHeight="1">
      <c r="A23" s="742" t="s">
        <v>110</v>
      </c>
      <c r="B23" s="1801">
        <v>14712494.960000001</v>
      </c>
      <c r="C23" s="1802">
        <v>1827241.47</v>
      </c>
      <c r="D23" s="352">
        <v>855394.18</v>
      </c>
      <c r="E23" s="352">
        <v>544099.71</v>
      </c>
      <c r="F23" s="352">
        <v>2006930.47</v>
      </c>
      <c r="G23" s="352">
        <v>1714123.63</v>
      </c>
      <c r="H23" s="352">
        <v>471576.41</v>
      </c>
      <c r="I23" s="352">
        <v>1930802.14</v>
      </c>
      <c r="J23" s="352">
        <v>1826941.41</v>
      </c>
      <c r="K23" s="352">
        <v>994252.91</v>
      </c>
      <c r="L23" s="352">
        <v>368004.46</v>
      </c>
      <c r="M23" s="352">
        <v>1312660.42</v>
      </c>
      <c r="N23" s="1803">
        <v>860467.74</v>
      </c>
    </row>
    <row r="24" spans="1:14" ht="15.75" customHeight="1">
      <c r="A24" s="742" t="s">
        <v>1630</v>
      </c>
      <c r="B24" s="1801">
        <v>14472794.359999999</v>
      </c>
      <c r="C24" s="1802">
        <v>1287666.1399999999</v>
      </c>
      <c r="D24" s="352">
        <v>553372.06999999995</v>
      </c>
      <c r="E24" s="352">
        <v>869057.73</v>
      </c>
      <c r="F24" s="352">
        <v>1615690.46</v>
      </c>
      <c r="G24" s="352">
        <v>1000033.99</v>
      </c>
      <c r="H24" s="352">
        <v>831491.72</v>
      </c>
      <c r="I24" s="352">
        <v>980016.51</v>
      </c>
      <c r="J24" s="352">
        <v>1913840.9</v>
      </c>
      <c r="K24" s="352">
        <v>410547.77</v>
      </c>
      <c r="L24" s="352">
        <v>1894438.84</v>
      </c>
      <c r="M24" s="352">
        <v>1370036.03</v>
      </c>
      <c r="N24" s="1803">
        <v>1746602.21</v>
      </c>
    </row>
    <row r="25" spans="1:14" ht="15.75" customHeight="1">
      <c r="A25" s="742" t="s">
        <v>83</v>
      </c>
      <c r="B25" s="1801">
        <v>14132821.68</v>
      </c>
      <c r="C25" s="1802">
        <v>1137654.6599999999</v>
      </c>
      <c r="D25" s="352">
        <v>814382.31</v>
      </c>
      <c r="E25" s="352">
        <v>1391480.11</v>
      </c>
      <c r="F25" s="352">
        <v>1120630.23</v>
      </c>
      <c r="G25" s="352">
        <v>1178306.54</v>
      </c>
      <c r="H25" s="352">
        <v>1088045.19</v>
      </c>
      <c r="I25" s="352">
        <v>1543828.88</v>
      </c>
      <c r="J25" s="352">
        <v>1146705.83</v>
      </c>
      <c r="K25" s="352">
        <v>1021430.5</v>
      </c>
      <c r="L25" s="352">
        <v>2361855.1</v>
      </c>
      <c r="M25" s="352">
        <v>734907.39</v>
      </c>
      <c r="N25" s="1803">
        <v>593594.96</v>
      </c>
    </row>
    <row r="26" spans="1:14" ht="15.75" customHeight="1">
      <c r="A26" s="742" t="s">
        <v>64</v>
      </c>
      <c r="B26" s="1801">
        <v>12764956.67</v>
      </c>
      <c r="C26" s="1789">
        <v>0</v>
      </c>
      <c r="D26" s="302">
        <v>0</v>
      </c>
      <c r="E26" s="302">
        <v>0</v>
      </c>
      <c r="F26" s="302">
        <v>0</v>
      </c>
      <c r="G26" s="302">
        <v>0</v>
      </c>
      <c r="H26" s="302">
        <v>0</v>
      </c>
      <c r="I26" s="352">
        <v>0</v>
      </c>
      <c r="J26" s="352">
        <v>1264274.6100000001</v>
      </c>
      <c r="K26" s="352">
        <v>2039369.05</v>
      </c>
      <c r="L26" s="352">
        <v>2248182.61</v>
      </c>
      <c r="M26" s="352">
        <v>2973025.52</v>
      </c>
      <c r="N26" s="1803">
        <v>4240104.88</v>
      </c>
    </row>
    <row r="27" spans="1:14" ht="15.75" customHeight="1">
      <c r="A27" s="742" t="s">
        <v>182</v>
      </c>
      <c r="B27" s="1801">
        <v>11459145.09</v>
      </c>
      <c r="C27" s="1802">
        <v>563286.72</v>
      </c>
      <c r="D27" s="352">
        <v>703191.53</v>
      </c>
      <c r="E27" s="352">
        <v>364197.7</v>
      </c>
      <c r="F27" s="352">
        <v>489171.15</v>
      </c>
      <c r="G27" s="352">
        <v>506796.89</v>
      </c>
      <c r="H27" s="352">
        <v>838648.79</v>
      </c>
      <c r="I27" s="352">
        <v>1173938.18</v>
      </c>
      <c r="J27" s="352">
        <v>762437.4</v>
      </c>
      <c r="K27" s="352">
        <v>1097597.58</v>
      </c>
      <c r="L27" s="352">
        <v>2107598.12</v>
      </c>
      <c r="M27" s="352">
        <v>1354291.26</v>
      </c>
      <c r="N27" s="1803">
        <v>1497989.79</v>
      </c>
    </row>
    <row r="28" spans="1:14" ht="15.75" customHeight="1">
      <c r="A28" s="742" t="s">
        <v>93</v>
      </c>
      <c r="B28" s="1801">
        <v>10393194.789999999</v>
      </c>
      <c r="C28" s="1802">
        <v>1647368.01</v>
      </c>
      <c r="D28" s="352">
        <v>301518.8</v>
      </c>
      <c r="E28" s="352">
        <v>30634.32</v>
      </c>
      <c r="F28" s="352">
        <v>380182.28</v>
      </c>
      <c r="G28" s="352">
        <v>262077.46</v>
      </c>
      <c r="H28" s="352">
        <v>758385.82</v>
      </c>
      <c r="I28" s="352">
        <v>1048103.88</v>
      </c>
      <c r="J28" s="352">
        <v>726045.36</v>
      </c>
      <c r="K28" s="352">
        <v>490009.62</v>
      </c>
      <c r="L28" s="352">
        <v>1268485.6200000001</v>
      </c>
      <c r="M28" s="352">
        <v>2101157.63</v>
      </c>
      <c r="N28" s="1803">
        <v>1379226</v>
      </c>
    </row>
    <row r="29" spans="1:14" ht="15.75" customHeight="1">
      <c r="A29" s="742" t="s">
        <v>133</v>
      </c>
      <c r="B29" s="1801">
        <v>9882198.3000000007</v>
      </c>
      <c r="C29" s="1802">
        <v>1717896.44</v>
      </c>
      <c r="D29" s="352">
        <v>814105.29</v>
      </c>
      <c r="E29" s="352">
        <v>416501.94</v>
      </c>
      <c r="F29" s="352">
        <v>276821.65000000002</v>
      </c>
      <c r="G29" s="352">
        <v>422184.31</v>
      </c>
      <c r="H29" s="352">
        <v>630412.65</v>
      </c>
      <c r="I29" s="352">
        <v>115586.79</v>
      </c>
      <c r="J29" s="352">
        <v>839991.47</v>
      </c>
      <c r="K29" s="352">
        <v>278818</v>
      </c>
      <c r="L29" s="352">
        <v>1426406.25</v>
      </c>
      <c r="M29" s="352">
        <v>1883661</v>
      </c>
      <c r="N29" s="1803">
        <v>1059812.51</v>
      </c>
    </row>
    <row r="30" spans="1:14" ht="15.75" customHeight="1">
      <c r="A30" s="742" t="s">
        <v>1634</v>
      </c>
      <c r="B30" s="1801">
        <v>9873392.7300000004</v>
      </c>
      <c r="C30" s="1802">
        <v>1159387.58</v>
      </c>
      <c r="D30" s="352">
        <v>948686.3</v>
      </c>
      <c r="E30" s="352">
        <v>72240.53</v>
      </c>
      <c r="F30" s="352">
        <v>828920.4</v>
      </c>
      <c r="G30" s="352">
        <v>103923.93</v>
      </c>
      <c r="H30" s="352">
        <v>454875.34</v>
      </c>
      <c r="I30" s="352">
        <v>648181.38</v>
      </c>
      <c r="J30" s="352">
        <v>1845568.96</v>
      </c>
      <c r="K30" s="352">
        <v>846640.07</v>
      </c>
      <c r="L30" s="352">
        <v>698039.82</v>
      </c>
      <c r="M30" s="352">
        <v>1065867.6100000001</v>
      </c>
      <c r="N30" s="1803">
        <v>1201060.81</v>
      </c>
    </row>
    <row r="31" spans="1:14" ht="15.75" customHeight="1">
      <c r="A31" s="742" t="s">
        <v>107</v>
      </c>
      <c r="B31" s="1801">
        <v>9783735.9900000002</v>
      </c>
      <c r="C31" s="1802">
        <v>841248.94</v>
      </c>
      <c r="D31" s="352">
        <v>446164.33</v>
      </c>
      <c r="E31" s="352">
        <v>420796.93</v>
      </c>
      <c r="F31" s="352">
        <v>157124.49</v>
      </c>
      <c r="G31" s="352">
        <v>754564.18</v>
      </c>
      <c r="H31" s="352">
        <v>417120.9</v>
      </c>
      <c r="I31" s="352">
        <v>772792.02</v>
      </c>
      <c r="J31" s="352">
        <v>556570.72</v>
      </c>
      <c r="K31" s="352">
        <v>452283.53</v>
      </c>
      <c r="L31" s="352">
        <v>1791239.52</v>
      </c>
      <c r="M31" s="352">
        <v>1166210.43</v>
      </c>
      <c r="N31" s="1803">
        <v>2007620.01</v>
      </c>
    </row>
    <row r="32" spans="1:14" ht="15.75" customHeight="1">
      <c r="A32" s="742" t="s">
        <v>166</v>
      </c>
      <c r="B32" s="1801">
        <v>9100772.7300000004</v>
      </c>
      <c r="C32" s="1802">
        <v>879668.23</v>
      </c>
      <c r="D32" s="352">
        <v>616509.89</v>
      </c>
      <c r="E32" s="352">
        <v>402047.74</v>
      </c>
      <c r="F32" s="352">
        <v>1016151.17</v>
      </c>
      <c r="G32" s="352">
        <v>543426.02</v>
      </c>
      <c r="H32" s="352">
        <v>768746.55</v>
      </c>
      <c r="I32" s="352">
        <v>1238150.57</v>
      </c>
      <c r="J32" s="352">
        <v>811127.84</v>
      </c>
      <c r="K32" s="352">
        <v>483035.34</v>
      </c>
      <c r="L32" s="352">
        <v>623395.69999999995</v>
      </c>
      <c r="M32" s="352">
        <v>622451.01</v>
      </c>
      <c r="N32" s="1803">
        <v>1096062.67</v>
      </c>
    </row>
    <row r="33" spans="1:14" ht="15.75" customHeight="1">
      <c r="A33" s="742" t="s">
        <v>141</v>
      </c>
      <c r="B33" s="1801">
        <v>8628731.5999999996</v>
      </c>
      <c r="C33" s="1802">
        <v>392517.97</v>
      </c>
      <c r="D33" s="352">
        <v>649243.82999999996</v>
      </c>
      <c r="E33" s="352">
        <v>441815.66</v>
      </c>
      <c r="F33" s="352">
        <v>1177078.99</v>
      </c>
      <c r="G33" s="352">
        <v>524411.19999999995</v>
      </c>
      <c r="H33" s="352">
        <v>711702.52</v>
      </c>
      <c r="I33" s="352">
        <v>738128.73</v>
      </c>
      <c r="J33" s="352">
        <v>812442.84</v>
      </c>
      <c r="K33" s="352">
        <v>879223.69</v>
      </c>
      <c r="L33" s="352">
        <v>835228.01</v>
      </c>
      <c r="M33" s="352">
        <v>754800.56</v>
      </c>
      <c r="N33" s="1803">
        <v>712137.6</v>
      </c>
    </row>
    <row r="34" spans="1:14" ht="15.75" customHeight="1">
      <c r="A34" s="742" t="s">
        <v>131</v>
      </c>
      <c r="B34" s="1801">
        <v>8511658.0199999996</v>
      </c>
      <c r="C34" s="1802">
        <v>916970.4</v>
      </c>
      <c r="D34" s="352">
        <v>1066178</v>
      </c>
      <c r="E34" s="352">
        <v>945948.06</v>
      </c>
      <c r="F34" s="352">
        <v>375697.63</v>
      </c>
      <c r="G34" s="352">
        <v>187200.09</v>
      </c>
      <c r="H34" s="352">
        <v>537340.42000000004</v>
      </c>
      <c r="I34" s="352">
        <v>1110801</v>
      </c>
      <c r="J34" s="352">
        <v>1298800.04</v>
      </c>
      <c r="K34" s="352">
        <v>1014990.4</v>
      </c>
      <c r="L34" s="352">
        <v>153910.37</v>
      </c>
      <c r="M34" s="352">
        <v>222025.5</v>
      </c>
      <c r="N34" s="1803">
        <v>681796.12</v>
      </c>
    </row>
    <row r="35" spans="1:14" ht="15.75" customHeight="1">
      <c r="A35" s="742" t="s">
        <v>95</v>
      </c>
      <c r="B35" s="1801">
        <v>8333242.0999999996</v>
      </c>
      <c r="C35" s="1802">
        <v>739358.81</v>
      </c>
      <c r="D35" s="352">
        <v>806814.16</v>
      </c>
      <c r="E35" s="352">
        <v>886860.80000000005</v>
      </c>
      <c r="F35" s="352">
        <v>1030088.06</v>
      </c>
      <c r="G35" s="352">
        <v>642210.44999999995</v>
      </c>
      <c r="H35" s="352">
        <v>783610.5</v>
      </c>
      <c r="I35" s="352">
        <v>680504.52</v>
      </c>
      <c r="J35" s="352">
        <v>291266.15999999997</v>
      </c>
      <c r="K35" s="352">
        <v>334226.58</v>
      </c>
      <c r="L35" s="352">
        <v>800917.3</v>
      </c>
      <c r="M35" s="352">
        <v>820891.53</v>
      </c>
      <c r="N35" s="1803">
        <v>516493.23</v>
      </c>
    </row>
    <row r="36" spans="1:14" ht="15.75" customHeight="1">
      <c r="A36" s="742" t="s">
        <v>181</v>
      </c>
      <c r="B36" s="1801">
        <v>8102824.0199999996</v>
      </c>
      <c r="C36" s="1802">
        <v>744414.86</v>
      </c>
      <c r="D36" s="352">
        <v>681494.64</v>
      </c>
      <c r="E36" s="352">
        <v>0</v>
      </c>
      <c r="F36" s="352">
        <v>863322.73</v>
      </c>
      <c r="G36" s="352">
        <v>1123569.47</v>
      </c>
      <c r="H36" s="352">
        <v>541727.37</v>
      </c>
      <c r="I36" s="352">
        <v>0</v>
      </c>
      <c r="J36" s="352">
        <v>364999.61</v>
      </c>
      <c r="K36" s="352">
        <v>633841.93999999994</v>
      </c>
      <c r="L36" s="352">
        <v>859059.04</v>
      </c>
      <c r="M36" s="352">
        <v>967036.91</v>
      </c>
      <c r="N36" s="1803">
        <v>1323357.46</v>
      </c>
    </row>
    <row r="37" spans="1:14" ht="15.75" customHeight="1">
      <c r="A37" s="742" t="s">
        <v>178</v>
      </c>
      <c r="B37" s="1801">
        <v>8102689.8399999999</v>
      </c>
      <c r="C37" s="1802">
        <v>267266.15999999997</v>
      </c>
      <c r="D37" s="352">
        <v>431482.98</v>
      </c>
      <c r="E37" s="352">
        <v>594231.42000000004</v>
      </c>
      <c r="F37" s="352">
        <v>1003787.81</v>
      </c>
      <c r="G37" s="352">
        <v>60583.85</v>
      </c>
      <c r="H37" s="352">
        <v>0</v>
      </c>
      <c r="I37" s="352">
        <v>887324.37</v>
      </c>
      <c r="J37" s="352">
        <v>402377.57</v>
      </c>
      <c r="K37" s="352">
        <v>1134968.1200000001</v>
      </c>
      <c r="L37" s="352">
        <v>710574.75</v>
      </c>
      <c r="M37" s="352">
        <v>642684.84</v>
      </c>
      <c r="N37" s="1803">
        <v>1967407.98</v>
      </c>
    </row>
    <row r="38" spans="1:14" ht="15.75" customHeight="1">
      <c r="A38" s="742" t="s">
        <v>154</v>
      </c>
      <c r="B38" s="1801">
        <v>7180026.0999999996</v>
      </c>
      <c r="C38" s="1802">
        <v>669856.56000000006</v>
      </c>
      <c r="D38" s="352">
        <v>622719.23</v>
      </c>
      <c r="E38" s="352">
        <v>177425.2</v>
      </c>
      <c r="F38" s="352">
        <v>984529.12</v>
      </c>
      <c r="G38" s="352">
        <v>691436.07</v>
      </c>
      <c r="H38" s="352">
        <v>711252.72</v>
      </c>
      <c r="I38" s="352">
        <v>298913.06</v>
      </c>
      <c r="J38" s="352">
        <v>356228.56</v>
      </c>
      <c r="K38" s="352">
        <v>376626.15</v>
      </c>
      <c r="L38" s="352">
        <v>598794.56000000006</v>
      </c>
      <c r="M38" s="352">
        <v>766235.6</v>
      </c>
      <c r="N38" s="1803">
        <v>926009.28</v>
      </c>
    </row>
    <row r="39" spans="1:14" ht="15.75" customHeight="1">
      <c r="A39" s="742" t="s">
        <v>127</v>
      </c>
      <c r="B39" s="1801">
        <v>7002480.8099999996</v>
      </c>
      <c r="C39" s="1789">
        <v>0</v>
      </c>
      <c r="D39" s="352">
        <v>0</v>
      </c>
      <c r="E39" s="352">
        <v>662188.69999999995</v>
      </c>
      <c r="F39" s="352">
        <v>920307.44</v>
      </c>
      <c r="G39" s="352">
        <v>110286.48</v>
      </c>
      <c r="H39" s="352">
        <v>539967.19999999995</v>
      </c>
      <c r="I39" s="352">
        <v>830221.1</v>
      </c>
      <c r="J39" s="352">
        <v>501545.13</v>
      </c>
      <c r="K39" s="352">
        <v>1002092.55</v>
      </c>
      <c r="L39" s="352">
        <v>724564.38</v>
      </c>
      <c r="M39" s="352">
        <v>1177014.1499999999</v>
      </c>
      <c r="N39" s="1803">
        <v>534293.68000000005</v>
      </c>
    </row>
    <row r="40" spans="1:14" ht="15.75" customHeight="1">
      <c r="A40" s="742" t="s">
        <v>102</v>
      </c>
      <c r="B40" s="1801">
        <v>6970629.5499999998</v>
      </c>
      <c r="C40" s="1789">
        <v>0</v>
      </c>
      <c r="D40" s="302">
        <v>0</v>
      </c>
      <c r="E40" s="302">
        <v>0</v>
      </c>
      <c r="F40" s="302">
        <v>0</v>
      </c>
      <c r="G40" s="302">
        <v>0</v>
      </c>
      <c r="H40" s="352">
        <v>0</v>
      </c>
      <c r="I40" s="352">
        <v>487737.12</v>
      </c>
      <c r="J40" s="352">
        <v>1908273.09</v>
      </c>
      <c r="K40" s="352">
        <v>1904582.49</v>
      </c>
      <c r="L40" s="352">
        <v>723735</v>
      </c>
      <c r="M40" s="352">
        <v>980849.14</v>
      </c>
      <c r="N40" s="1803">
        <v>965452.72</v>
      </c>
    </row>
    <row r="41" spans="1:14" ht="15.75" customHeight="1">
      <c r="A41" s="742" t="s">
        <v>1685</v>
      </c>
      <c r="B41" s="1801">
        <v>6871479.1200000001</v>
      </c>
      <c r="C41" s="1802">
        <v>0</v>
      </c>
      <c r="D41" s="352">
        <v>1250994.58</v>
      </c>
      <c r="E41" s="352">
        <v>684829.5</v>
      </c>
      <c r="F41" s="352">
        <v>1388644.87</v>
      </c>
      <c r="G41" s="352">
        <v>1155454.18</v>
      </c>
      <c r="H41" s="352">
        <v>1676162.48</v>
      </c>
      <c r="I41" s="352">
        <v>715393.52</v>
      </c>
      <c r="J41" s="302">
        <v>0</v>
      </c>
      <c r="K41" s="302">
        <v>0</v>
      </c>
      <c r="L41" s="302">
        <v>0</v>
      </c>
      <c r="M41" s="302">
        <v>0</v>
      </c>
      <c r="N41" s="1803">
        <v>0</v>
      </c>
    </row>
    <row r="42" spans="1:14" ht="15.75" customHeight="1">
      <c r="A42" s="742" t="s">
        <v>111</v>
      </c>
      <c r="B42" s="1801">
        <v>6577103.0499999998</v>
      </c>
      <c r="C42" s="1802">
        <v>863606.49</v>
      </c>
      <c r="D42" s="352">
        <v>250508.72</v>
      </c>
      <c r="E42" s="352">
        <v>253237.9</v>
      </c>
      <c r="F42" s="352">
        <v>1308878.78</v>
      </c>
      <c r="G42" s="352">
        <v>23469.72</v>
      </c>
      <c r="H42" s="352">
        <v>126614.67</v>
      </c>
      <c r="I42" s="352">
        <v>327675.17</v>
      </c>
      <c r="J42" s="352">
        <v>428427.1</v>
      </c>
      <c r="K42" s="352">
        <v>487276.18</v>
      </c>
      <c r="L42" s="352">
        <v>884630.52</v>
      </c>
      <c r="M42" s="352">
        <v>1115091.07</v>
      </c>
      <c r="N42" s="1803">
        <v>507686.74</v>
      </c>
    </row>
    <row r="43" spans="1:14" ht="13">
      <c r="A43" s="742" t="s">
        <v>160</v>
      </c>
      <c r="B43" s="1801">
        <v>6069005.4000000004</v>
      </c>
      <c r="C43" s="1802">
        <v>582995.6</v>
      </c>
      <c r="D43" s="352">
        <v>1146073.2</v>
      </c>
      <c r="E43" s="352">
        <v>440910.8</v>
      </c>
      <c r="F43" s="352">
        <v>1218852.0900000001</v>
      </c>
      <c r="G43" s="352">
        <v>186208.26</v>
      </c>
      <c r="H43" s="352">
        <v>407301.6</v>
      </c>
      <c r="I43" s="352">
        <v>519477.6</v>
      </c>
      <c r="J43" s="352">
        <v>0</v>
      </c>
      <c r="K43" s="352">
        <v>848999.68</v>
      </c>
      <c r="L43" s="352">
        <v>0</v>
      </c>
      <c r="M43" s="352">
        <v>416095.96</v>
      </c>
      <c r="N43" s="1803">
        <v>302090.61</v>
      </c>
    </row>
    <row r="44" spans="1:14" ht="13">
      <c r="A44" s="742" t="s">
        <v>177</v>
      </c>
      <c r="B44" s="1801">
        <v>6033184.8799999999</v>
      </c>
      <c r="C44" s="1802">
        <v>891631.78</v>
      </c>
      <c r="D44" s="352">
        <v>568604.31999999995</v>
      </c>
      <c r="E44" s="352">
        <v>560470.23</v>
      </c>
      <c r="F44" s="352">
        <v>640622.47</v>
      </c>
      <c r="G44" s="352">
        <v>527146.14</v>
      </c>
      <c r="H44" s="352">
        <v>413132.47</v>
      </c>
      <c r="I44" s="352">
        <v>401311.91</v>
      </c>
      <c r="J44" s="352">
        <v>338199.08</v>
      </c>
      <c r="K44" s="352">
        <v>447172.03</v>
      </c>
      <c r="L44" s="352">
        <v>356609.33</v>
      </c>
      <c r="M44" s="352">
        <v>406716.45</v>
      </c>
      <c r="N44" s="1803">
        <v>481568.66</v>
      </c>
    </row>
    <row r="45" spans="1:14" ht="13">
      <c r="A45" s="742" t="s">
        <v>91</v>
      </c>
      <c r="B45" s="1801">
        <v>5930716.5800000001</v>
      </c>
      <c r="C45" s="1802">
        <v>321402.59999999998</v>
      </c>
      <c r="D45" s="352">
        <v>198858.98</v>
      </c>
      <c r="E45" s="352">
        <v>416666.65</v>
      </c>
      <c r="F45" s="352">
        <v>226855.16</v>
      </c>
      <c r="G45" s="352">
        <v>504679.67</v>
      </c>
      <c r="H45" s="352">
        <v>405668.77</v>
      </c>
      <c r="I45" s="352">
        <v>263631</v>
      </c>
      <c r="J45" s="352">
        <v>681493.59</v>
      </c>
      <c r="K45" s="352">
        <v>429835.98</v>
      </c>
      <c r="L45" s="352">
        <v>996763.82</v>
      </c>
      <c r="M45" s="352">
        <v>547631.04</v>
      </c>
      <c r="N45" s="1803">
        <v>937229.32</v>
      </c>
    </row>
    <row r="46" spans="1:14" ht="13">
      <c r="A46" s="742" t="s">
        <v>129</v>
      </c>
      <c r="B46" s="1801">
        <v>5773085.4800000004</v>
      </c>
      <c r="C46" s="1802">
        <v>580579.31000000006</v>
      </c>
      <c r="D46" s="352">
        <v>550664.27</v>
      </c>
      <c r="E46" s="352">
        <v>234215.81</v>
      </c>
      <c r="F46" s="352">
        <v>513060.7</v>
      </c>
      <c r="G46" s="352">
        <v>749879.58</v>
      </c>
      <c r="H46" s="352">
        <v>363697.04</v>
      </c>
      <c r="I46" s="352">
        <v>557852.25</v>
      </c>
      <c r="J46" s="352">
        <v>623116.36</v>
      </c>
      <c r="K46" s="352">
        <v>393531.54</v>
      </c>
      <c r="L46" s="352">
        <v>287281.91999999998</v>
      </c>
      <c r="M46" s="352">
        <v>514193.44</v>
      </c>
      <c r="N46" s="1803">
        <v>405013.27</v>
      </c>
    </row>
    <row r="47" spans="1:14" ht="13">
      <c r="A47" s="742" t="s">
        <v>171</v>
      </c>
      <c r="B47" s="1801">
        <v>5518802.8099999996</v>
      </c>
      <c r="C47" s="1802">
        <v>81210.45</v>
      </c>
      <c r="D47" s="352">
        <v>507552.58</v>
      </c>
      <c r="E47" s="352">
        <v>340777.42</v>
      </c>
      <c r="F47" s="352">
        <v>449304.23</v>
      </c>
      <c r="G47" s="352">
        <v>466550.19</v>
      </c>
      <c r="H47" s="352">
        <v>380445.67</v>
      </c>
      <c r="I47" s="352">
        <v>444341.91</v>
      </c>
      <c r="J47" s="352">
        <v>604294.76</v>
      </c>
      <c r="K47" s="352">
        <v>309399.23</v>
      </c>
      <c r="L47" s="352">
        <v>519900.04</v>
      </c>
      <c r="M47" s="352">
        <v>1001161.28</v>
      </c>
      <c r="N47" s="1803">
        <v>413865.04</v>
      </c>
    </row>
    <row r="48" spans="1:14" ht="13">
      <c r="A48" s="742" t="s">
        <v>116</v>
      </c>
      <c r="B48" s="1801">
        <v>5514608.1900000004</v>
      </c>
      <c r="C48" s="1802">
        <v>290461.28000000003</v>
      </c>
      <c r="D48" s="352">
        <v>648368.77</v>
      </c>
      <c r="E48" s="352">
        <v>700395.87</v>
      </c>
      <c r="F48" s="352">
        <v>341258.02</v>
      </c>
      <c r="G48" s="352">
        <v>356180.97</v>
      </c>
      <c r="H48" s="352">
        <v>243543.13</v>
      </c>
      <c r="I48" s="352">
        <v>382478.27</v>
      </c>
      <c r="J48" s="352">
        <v>496102.28</v>
      </c>
      <c r="K48" s="352">
        <v>581941.86</v>
      </c>
      <c r="L48" s="352">
        <v>535352.01</v>
      </c>
      <c r="M48" s="352">
        <v>359544.11</v>
      </c>
      <c r="N48" s="1803">
        <v>578981.62</v>
      </c>
    </row>
    <row r="49" spans="1:14" ht="13">
      <c r="A49" s="742" t="s">
        <v>109</v>
      </c>
      <c r="B49" s="1801">
        <v>5399104.1200000001</v>
      </c>
      <c r="C49" s="1802">
        <v>461254.08</v>
      </c>
      <c r="D49" s="352">
        <v>239012.65</v>
      </c>
      <c r="E49" s="302">
        <v>0</v>
      </c>
      <c r="F49" s="352">
        <v>0</v>
      </c>
      <c r="G49" s="352">
        <v>141916.51999999999</v>
      </c>
      <c r="H49" s="352">
        <v>485001.88</v>
      </c>
      <c r="I49" s="352">
        <v>501576.31</v>
      </c>
      <c r="J49" s="352">
        <v>413187.42</v>
      </c>
      <c r="K49" s="352">
        <v>1139208.82</v>
      </c>
      <c r="L49" s="352">
        <v>588582.37</v>
      </c>
      <c r="M49" s="352">
        <v>381002.57</v>
      </c>
      <c r="N49" s="1803">
        <v>1048361.5</v>
      </c>
    </row>
    <row r="50" spans="1:14" ht="13">
      <c r="A50" s="742" t="s">
        <v>1675</v>
      </c>
      <c r="B50" s="1801">
        <v>5291931.3</v>
      </c>
      <c r="C50" s="1802">
        <v>417164.04</v>
      </c>
      <c r="D50" s="352">
        <v>377593.47</v>
      </c>
      <c r="E50" s="352">
        <v>776298.75</v>
      </c>
      <c r="F50" s="352">
        <v>271687.87</v>
      </c>
      <c r="G50" s="352">
        <v>230043.75</v>
      </c>
      <c r="H50" s="352">
        <v>263398.38</v>
      </c>
      <c r="I50" s="352">
        <v>473633.41</v>
      </c>
      <c r="J50" s="352">
        <v>566981</v>
      </c>
      <c r="K50" s="352">
        <v>426984.59</v>
      </c>
      <c r="L50" s="352">
        <v>372760.31</v>
      </c>
      <c r="M50" s="352">
        <v>520666.58</v>
      </c>
      <c r="N50" s="1803">
        <v>594719.17000000004</v>
      </c>
    </row>
    <row r="51" spans="1:14" ht="13">
      <c r="A51" s="742" t="s">
        <v>135</v>
      </c>
      <c r="B51" s="1801">
        <v>5079527.8499999996</v>
      </c>
      <c r="C51" s="1789">
        <v>0</v>
      </c>
      <c r="D51" s="352">
        <v>0</v>
      </c>
      <c r="E51" s="352">
        <v>245179.45</v>
      </c>
      <c r="F51" s="352">
        <v>362462.29</v>
      </c>
      <c r="G51" s="352">
        <v>547673.81999999995</v>
      </c>
      <c r="H51" s="352">
        <v>739044.24</v>
      </c>
      <c r="I51" s="352">
        <v>815724.79</v>
      </c>
      <c r="J51" s="352">
        <v>375499.2</v>
      </c>
      <c r="K51" s="352">
        <v>104919.12</v>
      </c>
      <c r="L51" s="352">
        <v>395454.21</v>
      </c>
      <c r="M51" s="352">
        <v>731776.38</v>
      </c>
      <c r="N51" s="1803">
        <v>761794.34</v>
      </c>
    </row>
    <row r="52" spans="1:14" ht="13">
      <c r="A52" s="742" t="s">
        <v>199</v>
      </c>
      <c r="B52" s="1801">
        <v>4892003.07</v>
      </c>
      <c r="C52" s="1802">
        <v>426619.8</v>
      </c>
      <c r="D52" s="352">
        <v>141225.91</v>
      </c>
      <c r="E52" s="302">
        <v>0</v>
      </c>
      <c r="F52" s="352">
        <v>0</v>
      </c>
      <c r="G52" s="352">
        <v>536046.93999999994</v>
      </c>
      <c r="H52" s="352">
        <v>262582.99</v>
      </c>
      <c r="I52" s="352">
        <v>715755.81</v>
      </c>
      <c r="J52" s="352">
        <v>571071.06000000006</v>
      </c>
      <c r="K52" s="352">
        <v>352818.36</v>
      </c>
      <c r="L52" s="352">
        <v>563678.30000000005</v>
      </c>
      <c r="M52" s="352">
        <v>750061.55</v>
      </c>
      <c r="N52" s="1803">
        <v>572142.34</v>
      </c>
    </row>
    <row r="53" spans="1:14" ht="13">
      <c r="A53" s="742" t="s">
        <v>186</v>
      </c>
      <c r="B53" s="1801">
        <v>4540079.5999999996</v>
      </c>
      <c r="C53" s="1802">
        <v>387601.95</v>
      </c>
      <c r="D53" s="352">
        <v>178841.36</v>
      </c>
      <c r="E53" s="352">
        <v>71745.66</v>
      </c>
      <c r="F53" s="352">
        <v>463533.54</v>
      </c>
      <c r="G53" s="352">
        <v>320380.33</v>
      </c>
      <c r="H53" s="352">
        <v>240372.11</v>
      </c>
      <c r="I53" s="352">
        <v>485012.98</v>
      </c>
      <c r="J53" s="352">
        <v>343549.82</v>
      </c>
      <c r="K53" s="352">
        <v>398253.01</v>
      </c>
      <c r="L53" s="352">
        <v>470832.6</v>
      </c>
      <c r="M53" s="352">
        <v>489222.93</v>
      </c>
      <c r="N53" s="1803">
        <v>690733.3</v>
      </c>
    </row>
    <row r="54" spans="1:14" ht="13">
      <c r="A54" s="742" t="s">
        <v>143</v>
      </c>
      <c r="B54" s="1801">
        <v>4343558.04</v>
      </c>
      <c r="C54" s="1802">
        <v>231521.07</v>
      </c>
      <c r="D54" s="352">
        <v>84756.64</v>
      </c>
      <c r="E54" s="352">
        <v>223670.36</v>
      </c>
      <c r="F54" s="352">
        <v>156419.34</v>
      </c>
      <c r="G54" s="352">
        <v>384994.33</v>
      </c>
      <c r="H54" s="352">
        <v>150536.60999999999</v>
      </c>
      <c r="I54" s="352">
        <v>565628.56000000006</v>
      </c>
      <c r="J54" s="352">
        <v>0</v>
      </c>
      <c r="K54" s="352">
        <v>202530.67</v>
      </c>
      <c r="L54" s="352">
        <v>617582.93000000005</v>
      </c>
      <c r="M54" s="352">
        <v>575893.39</v>
      </c>
      <c r="N54" s="1803">
        <v>1150024.1399999999</v>
      </c>
    </row>
    <row r="55" spans="1:14" ht="13">
      <c r="A55" s="742" t="s">
        <v>197</v>
      </c>
      <c r="B55" s="1801">
        <v>4269347.25</v>
      </c>
      <c r="C55" s="1802">
        <v>388790.03</v>
      </c>
      <c r="D55" s="352">
        <v>284939.61</v>
      </c>
      <c r="E55" s="352">
        <v>184715.19</v>
      </c>
      <c r="F55" s="352">
        <v>287191</v>
      </c>
      <c r="G55" s="352">
        <v>347691.61</v>
      </c>
      <c r="H55" s="352">
        <v>326748.96000000002</v>
      </c>
      <c r="I55" s="352">
        <v>413522.09</v>
      </c>
      <c r="J55" s="352">
        <v>356054.01</v>
      </c>
      <c r="K55" s="352">
        <v>441221.14</v>
      </c>
      <c r="L55" s="352">
        <v>632813.77</v>
      </c>
      <c r="M55" s="352">
        <v>271767.48</v>
      </c>
      <c r="N55" s="1803">
        <v>333892.36</v>
      </c>
    </row>
    <row r="56" spans="1:14" ht="13">
      <c r="A56" s="742" t="s">
        <v>161</v>
      </c>
      <c r="B56" s="1801">
        <v>3900303.95</v>
      </c>
      <c r="C56" s="1802">
        <v>0</v>
      </c>
      <c r="D56" s="352">
        <v>481743.44</v>
      </c>
      <c r="E56" s="352">
        <v>181257.60000000001</v>
      </c>
      <c r="F56" s="352">
        <v>630884.49</v>
      </c>
      <c r="G56" s="352">
        <v>912319.2</v>
      </c>
      <c r="H56" s="302">
        <v>0</v>
      </c>
      <c r="I56" s="352">
        <v>0</v>
      </c>
      <c r="J56" s="352">
        <v>327201.84000000003</v>
      </c>
      <c r="K56" s="352">
        <v>101285.84</v>
      </c>
      <c r="L56" s="352">
        <v>514309.68</v>
      </c>
      <c r="M56" s="352">
        <v>429352.16</v>
      </c>
      <c r="N56" s="1803">
        <v>321949.7</v>
      </c>
    </row>
    <row r="57" spans="1:14" ht="13">
      <c r="A57" s="742" t="s">
        <v>231</v>
      </c>
      <c r="B57" s="1801">
        <v>3858056.82</v>
      </c>
      <c r="C57" s="1802">
        <v>262396.76</v>
      </c>
      <c r="D57" s="352">
        <v>461725.5</v>
      </c>
      <c r="E57" s="352">
        <v>135564.98000000001</v>
      </c>
      <c r="F57" s="352">
        <v>198655.07</v>
      </c>
      <c r="G57" s="352">
        <v>324141.53999999998</v>
      </c>
      <c r="H57" s="352">
        <v>578265.86</v>
      </c>
      <c r="I57" s="352">
        <v>295448.08</v>
      </c>
      <c r="J57" s="352">
        <v>520273.35</v>
      </c>
      <c r="K57" s="352">
        <v>345928.05</v>
      </c>
      <c r="L57" s="352">
        <v>682871.89</v>
      </c>
      <c r="M57" s="352">
        <v>48043.34</v>
      </c>
      <c r="N57" s="1803">
        <v>4742.3999999999996</v>
      </c>
    </row>
    <row r="58" spans="1:14" ht="13">
      <c r="A58" s="742" t="s">
        <v>1633</v>
      </c>
      <c r="B58" s="1801">
        <v>3806467.48</v>
      </c>
      <c r="C58" s="1789">
        <v>0</v>
      </c>
      <c r="D58" s="302">
        <v>0</v>
      </c>
      <c r="E58" s="352">
        <v>0</v>
      </c>
      <c r="F58" s="352">
        <v>1335146.67</v>
      </c>
      <c r="G58" s="352">
        <v>196603</v>
      </c>
      <c r="H58" s="352">
        <v>310676.47999999998</v>
      </c>
      <c r="I58" s="352">
        <v>716676.9</v>
      </c>
      <c r="J58" s="352">
        <v>369008.68</v>
      </c>
      <c r="K58" s="352">
        <v>554293.76000000001</v>
      </c>
      <c r="L58" s="352">
        <v>324061.99</v>
      </c>
      <c r="M58" s="302">
        <v>0</v>
      </c>
      <c r="N58" s="1803">
        <v>0</v>
      </c>
    </row>
    <row r="59" spans="1:14" ht="13">
      <c r="A59" s="742" t="s">
        <v>225</v>
      </c>
      <c r="B59" s="1801">
        <v>3803016.15</v>
      </c>
      <c r="C59" s="1802">
        <v>217487.93</v>
      </c>
      <c r="D59" s="352">
        <v>277874.77</v>
      </c>
      <c r="E59" s="352">
        <v>240614.5</v>
      </c>
      <c r="F59" s="352">
        <v>346280.46</v>
      </c>
      <c r="G59" s="352">
        <v>52095.06</v>
      </c>
      <c r="H59" s="352">
        <v>310838.78999999998</v>
      </c>
      <c r="I59" s="352">
        <v>234897.7</v>
      </c>
      <c r="J59" s="352">
        <v>463687.53</v>
      </c>
      <c r="K59" s="352">
        <v>563739.82999999996</v>
      </c>
      <c r="L59" s="352">
        <v>324784.46000000002</v>
      </c>
      <c r="M59" s="352">
        <v>230387.3</v>
      </c>
      <c r="N59" s="1803">
        <v>540327.81999999995</v>
      </c>
    </row>
    <row r="60" spans="1:14" ht="13">
      <c r="A60" s="742" t="s">
        <v>137</v>
      </c>
      <c r="B60" s="1801">
        <v>3754337.14</v>
      </c>
      <c r="C60" s="1802">
        <v>378170.12</v>
      </c>
      <c r="D60" s="352">
        <v>423667.03</v>
      </c>
      <c r="E60" s="352">
        <v>400906</v>
      </c>
      <c r="F60" s="352">
        <v>436384.81</v>
      </c>
      <c r="G60" s="352">
        <v>165423.63</v>
      </c>
      <c r="H60" s="352">
        <v>41385.33</v>
      </c>
      <c r="I60" s="352">
        <v>220133.68</v>
      </c>
      <c r="J60" s="352">
        <v>57478</v>
      </c>
      <c r="K60" s="352">
        <v>498665.55</v>
      </c>
      <c r="L60" s="352">
        <v>105495.01</v>
      </c>
      <c r="M60" s="352">
        <v>597274.12</v>
      </c>
      <c r="N60" s="1803">
        <v>429353.86</v>
      </c>
    </row>
    <row r="61" spans="1:14" ht="13">
      <c r="A61" s="742" t="s">
        <v>123</v>
      </c>
      <c r="B61" s="1801">
        <v>3198072.98</v>
      </c>
      <c r="C61" s="1789">
        <v>0</v>
      </c>
      <c r="D61" s="302">
        <v>0</v>
      </c>
      <c r="E61" s="302">
        <v>0</v>
      </c>
      <c r="F61" s="302">
        <v>0</v>
      </c>
      <c r="G61" s="352">
        <v>0</v>
      </c>
      <c r="H61" s="352">
        <v>379814.18</v>
      </c>
      <c r="I61" s="302">
        <v>0</v>
      </c>
      <c r="J61" s="352">
        <v>0</v>
      </c>
      <c r="K61" s="352">
        <v>100907.83</v>
      </c>
      <c r="L61" s="352">
        <v>2068908.94</v>
      </c>
      <c r="M61" s="352">
        <v>146154.6</v>
      </c>
      <c r="N61" s="1803">
        <v>502287.44</v>
      </c>
    </row>
    <row r="62" spans="1:14" ht="13">
      <c r="A62" s="742" t="s">
        <v>139</v>
      </c>
      <c r="B62" s="1801">
        <v>3144823.84</v>
      </c>
      <c r="C62" s="1802">
        <v>291298.39</v>
      </c>
      <c r="D62" s="352">
        <v>456658.64</v>
      </c>
      <c r="E62" s="352">
        <v>12891.13</v>
      </c>
      <c r="F62" s="352">
        <v>246841.1</v>
      </c>
      <c r="G62" s="352">
        <v>190990.18</v>
      </c>
      <c r="H62" s="352">
        <v>426822.48</v>
      </c>
      <c r="I62" s="352">
        <v>0</v>
      </c>
      <c r="J62" s="352">
        <v>666068.56000000006</v>
      </c>
      <c r="K62" s="352">
        <v>213661.12</v>
      </c>
      <c r="L62" s="352">
        <v>236497.12</v>
      </c>
      <c r="M62" s="352">
        <v>262245.52</v>
      </c>
      <c r="N62" s="1803">
        <v>140849.60000000001</v>
      </c>
    </row>
    <row r="63" spans="1:14" ht="13">
      <c r="A63" s="742" t="s">
        <v>1652</v>
      </c>
      <c r="B63" s="1801">
        <v>3143146.01</v>
      </c>
      <c r="C63" s="1789">
        <v>0</v>
      </c>
      <c r="D63" s="302">
        <v>0</v>
      </c>
      <c r="E63" s="302">
        <v>0</v>
      </c>
      <c r="F63" s="302">
        <v>0</v>
      </c>
      <c r="G63" s="302">
        <v>0</v>
      </c>
      <c r="H63" s="302">
        <v>0</v>
      </c>
      <c r="I63" s="302">
        <v>0</v>
      </c>
      <c r="J63" s="302">
        <v>0</v>
      </c>
      <c r="K63" s="302">
        <v>0</v>
      </c>
      <c r="L63" s="352">
        <v>0</v>
      </c>
      <c r="M63" s="352">
        <v>2996874.9</v>
      </c>
      <c r="N63" s="1803">
        <v>146271.10999999999</v>
      </c>
    </row>
    <row r="64" spans="1:14" ht="13">
      <c r="A64" s="742" t="s">
        <v>106</v>
      </c>
      <c r="B64" s="1801">
        <v>3118028.9</v>
      </c>
      <c r="C64" s="1789">
        <v>0</v>
      </c>
      <c r="D64" s="302">
        <v>0</v>
      </c>
      <c r="E64" s="302">
        <v>0</v>
      </c>
      <c r="F64" s="302">
        <v>0</v>
      </c>
      <c r="G64" s="352">
        <v>0</v>
      </c>
      <c r="H64" s="352">
        <v>158336.45000000001</v>
      </c>
      <c r="I64" s="352">
        <v>439761.13</v>
      </c>
      <c r="J64" s="352">
        <v>407389.41</v>
      </c>
      <c r="K64" s="352">
        <v>445134.41</v>
      </c>
      <c r="L64" s="352">
        <v>527577.56000000006</v>
      </c>
      <c r="M64" s="352">
        <v>744479.17</v>
      </c>
      <c r="N64" s="1803">
        <v>395350.77</v>
      </c>
    </row>
    <row r="65" spans="1:14" ht="13">
      <c r="A65" s="742" t="s">
        <v>159</v>
      </c>
      <c r="B65" s="1801">
        <v>3000964.82</v>
      </c>
      <c r="C65" s="1802">
        <v>265582.40000000002</v>
      </c>
      <c r="D65" s="352">
        <v>251088.8</v>
      </c>
      <c r="E65" s="352">
        <v>449491.83</v>
      </c>
      <c r="F65" s="352">
        <v>308370.40000000002</v>
      </c>
      <c r="G65" s="352">
        <v>461866.09</v>
      </c>
      <c r="H65" s="302">
        <v>0</v>
      </c>
      <c r="I65" s="352">
        <v>0</v>
      </c>
      <c r="J65" s="352">
        <v>723105.62</v>
      </c>
      <c r="K65" s="352">
        <v>189400.4</v>
      </c>
      <c r="L65" s="352">
        <v>0</v>
      </c>
      <c r="M65" s="352">
        <v>177864.05</v>
      </c>
      <c r="N65" s="1803">
        <v>174195.23</v>
      </c>
    </row>
    <row r="66" spans="1:14" ht="13">
      <c r="A66" s="742" t="s">
        <v>179</v>
      </c>
      <c r="B66" s="1801">
        <v>2772541.47</v>
      </c>
      <c r="C66" s="1802">
        <v>914689.56</v>
      </c>
      <c r="D66" s="302">
        <v>0</v>
      </c>
      <c r="E66" s="302">
        <v>0</v>
      </c>
      <c r="F66" s="302">
        <v>0</v>
      </c>
      <c r="G66" s="352">
        <v>0</v>
      </c>
      <c r="H66" s="352">
        <v>1323296.8899999999</v>
      </c>
      <c r="I66" s="302">
        <v>0</v>
      </c>
      <c r="J66" s="302">
        <v>0</v>
      </c>
      <c r="K66" s="302">
        <v>0</v>
      </c>
      <c r="L66" s="352">
        <v>0</v>
      </c>
      <c r="M66" s="352">
        <v>534555.02</v>
      </c>
      <c r="N66" s="1803">
        <v>0</v>
      </c>
    </row>
    <row r="67" spans="1:14" ht="13">
      <c r="A67" s="742" t="s">
        <v>167</v>
      </c>
      <c r="B67" s="1801">
        <v>2748542.98</v>
      </c>
      <c r="C67" s="1802">
        <v>325367.21999999997</v>
      </c>
      <c r="D67" s="352">
        <v>276454.21999999997</v>
      </c>
      <c r="E67" s="352">
        <v>1118345.93</v>
      </c>
      <c r="F67" s="302">
        <v>0</v>
      </c>
      <c r="G67" s="302">
        <v>0</v>
      </c>
      <c r="H67" s="352">
        <v>0</v>
      </c>
      <c r="I67" s="352">
        <v>280077.83</v>
      </c>
      <c r="J67" s="352">
        <v>52225.87</v>
      </c>
      <c r="K67" s="352">
        <v>0</v>
      </c>
      <c r="L67" s="352">
        <v>696071.91</v>
      </c>
      <c r="M67" s="302">
        <v>0</v>
      </c>
      <c r="N67" s="1803">
        <v>0</v>
      </c>
    </row>
    <row r="68" spans="1:14" ht="13">
      <c r="A68" s="742" t="s">
        <v>173</v>
      </c>
      <c r="B68" s="1801">
        <v>2740954.48</v>
      </c>
      <c r="C68" s="1802">
        <v>333670.36</v>
      </c>
      <c r="D68" s="352">
        <v>108889.09</v>
      </c>
      <c r="E68" s="352">
        <v>33436.879999999997</v>
      </c>
      <c r="F68" s="352">
        <v>79970.929999999993</v>
      </c>
      <c r="G68" s="352">
        <v>66412.7</v>
      </c>
      <c r="H68" s="352">
        <v>423088.51</v>
      </c>
      <c r="I68" s="352">
        <v>180622.28</v>
      </c>
      <c r="J68" s="352">
        <v>68773.5</v>
      </c>
      <c r="K68" s="352">
        <v>337452.42</v>
      </c>
      <c r="L68" s="352">
        <v>292803.8</v>
      </c>
      <c r="M68" s="352">
        <v>387578.17</v>
      </c>
      <c r="N68" s="1803">
        <v>428255.84</v>
      </c>
    </row>
    <row r="69" spans="1:14" ht="13">
      <c r="A69" s="742" t="s">
        <v>168</v>
      </c>
      <c r="B69" s="1801">
        <v>2702941.97</v>
      </c>
      <c r="C69" s="1802">
        <v>513819.61</v>
      </c>
      <c r="D69" s="352">
        <v>345772.32</v>
      </c>
      <c r="E69" s="352">
        <v>159992.42000000001</v>
      </c>
      <c r="F69" s="352">
        <v>471280.6</v>
      </c>
      <c r="G69" s="352">
        <v>126245.04</v>
      </c>
      <c r="H69" s="302">
        <v>0</v>
      </c>
      <c r="I69" s="352">
        <v>0</v>
      </c>
      <c r="J69" s="352">
        <v>361728.3</v>
      </c>
      <c r="K69" s="352">
        <v>410890.32</v>
      </c>
      <c r="L69" s="352">
        <v>313213.36</v>
      </c>
      <c r="M69" s="302">
        <v>0</v>
      </c>
      <c r="N69" s="1803">
        <v>0</v>
      </c>
    </row>
    <row r="70" spans="1:14" ht="13">
      <c r="A70" s="742" t="s">
        <v>89</v>
      </c>
      <c r="B70" s="1801">
        <v>2178119.6800000002</v>
      </c>
      <c r="C70" s="1789">
        <v>0</v>
      </c>
      <c r="D70" s="302">
        <v>0</v>
      </c>
      <c r="E70" s="302">
        <v>0</v>
      </c>
      <c r="F70" s="302">
        <v>0</v>
      </c>
      <c r="G70" s="302">
        <v>0</v>
      </c>
      <c r="H70" s="302">
        <v>0</v>
      </c>
      <c r="I70" s="302">
        <v>0</v>
      </c>
      <c r="J70" s="352">
        <v>0</v>
      </c>
      <c r="K70" s="352">
        <v>398630.24</v>
      </c>
      <c r="L70" s="352">
        <v>1290441.8600000001</v>
      </c>
      <c r="M70" s="352">
        <v>0</v>
      </c>
      <c r="N70" s="1803">
        <v>489047.58</v>
      </c>
    </row>
    <row r="71" spans="1:14" ht="13">
      <c r="A71" s="742" t="s">
        <v>162</v>
      </c>
      <c r="B71" s="1801">
        <v>2141102.9500000002</v>
      </c>
      <c r="C71" s="1802">
        <v>466542.6</v>
      </c>
      <c r="D71" s="352">
        <v>593773.34</v>
      </c>
      <c r="E71" s="352">
        <v>456218.4</v>
      </c>
      <c r="F71" s="352">
        <v>517042.54</v>
      </c>
      <c r="G71" s="352">
        <v>0</v>
      </c>
      <c r="H71" s="352">
        <v>107526.06</v>
      </c>
      <c r="I71" s="302">
        <v>0</v>
      </c>
      <c r="J71" s="302">
        <v>0</v>
      </c>
      <c r="K71" s="302">
        <v>0</v>
      </c>
      <c r="L71" s="302">
        <v>0</v>
      </c>
      <c r="M71" s="302">
        <v>0</v>
      </c>
      <c r="N71" s="1803">
        <v>0</v>
      </c>
    </row>
    <row r="72" spans="1:14" ht="13">
      <c r="A72" s="742" t="s">
        <v>202</v>
      </c>
      <c r="B72" s="1801">
        <v>1955617.93</v>
      </c>
      <c r="C72" s="1802">
        <v>378791.95</v>
      </c>
      <c r="D72" s="352">
        <v>151503.07999999999</v>
      </c>
      <c r="E72" s="352">
        <v>264669.83</v>
      </c>
      <c r="F72" s="352">
        <v>0</v>
      </c>
      <c r="G72" s="352">
        <v>184857.96</v>
      </c>
      <c r="H72" s="302">
        <v>0</v>
      </c>
      <c r="I72" s="352">
        <v>0</v>
      </c>
      <c r="J72" s="352">
        <v>616099.06999999995</v>
      </c>
      <c r="K72" s="302">
        <v>0</v>
      </c>
      <c r="L72" s="352">
        <v>0</v>
      </c>
      <c r="M72" s="352">
        <v>45446.13</v>
      </c>
      <c r="N72" s="1803">
        <v>314249.90999999997</v>
      </c>
    </row>
    <row r="73" spans="1:14" ht="13">
      <c r="A73" s="742" t="s">
        <v>191</v>
      </c>
      <c r="B73" s="1801">
        <v>1886799.33</v>
      </c>
      <c r="C73" s="1789">
        <v>0</v>
      </c>
      <c r="D73" s="302">
        <v>0</v>
      </c>
      <c r="E73" s="302">
        <v>0</v>
      </c>
      <c r="F73" s="302">
        <v>0</v>
      </c>
      <c r="G73" s="302">
        <v>0</v>
      </c>
      <c r="H73" s="302">
        <v>0</v>
      </c>
      <c r="I73" s="352">
        <v>0</v>
      </c>
      <c r="J73" s="352">
        <v>15848.1</v>
      </c>
      <c r="K73" s="352">
        <v>328525.43</v>
      </c>
      <c r="L73" s="352">
        <v>579467.18000000005</v>
      </c>
      <c r="M73" s="352">
        <v>540249.52</v>
      </c>
      <c r="N73" s="1803">
        <v>422709.1</v>
      </c>
    </row>
    <row r="74" spans="1:14" ht="13">
      <c r="A74" s="742" t="s">
        <v>1632</v>
      </c>
      <c r="B74" s="1801">
        <v>1837179.28</v>
      </c>
      <c r="C74" s="1802">
        <v>221351.04000000001</v>
      </c>
      <c r="D74" s="352">
        <v>464565.36</v>
      </c>
      <c r="E74" s="352">
        <v>433048</v>
      </c>
      <c r="F74" s="352">
        <v>329584.02</v>
      </c>
      <c r="G74" s="352">
        <v>172310.7</v>
      </c>
      <c r="H74" s="352">
        <v>0</v>
      </c>
      <c r="I74" s="352">
        <v>38040</v>
      </c>
      <c r="J74" s="302">
        <v>0</v>
      </c>
      <c r="K74" s="352">
        <v>0</v>
      </c>
      <c r="L74" s="352">
        <v>118132.48</v>
      </c>
      <c r="M74" s="352">
        <v>0</v>
      </c>
      <c r="N74" s="1803">
        <v>60147.68</v>
      </c>
    </row>
    <row r="75" spans="1:14" ht="13">
      <c r="A75" s="742" t="s">
        <v>211</v>
      </c>
      <c r="B75" s="1801">
        <v>1664624.35</v>
      </c>
      <c r="C75" s="1802">
        <v>72344.28</v>
      </c>
      <c r="D75" s="352">
        <v>0</v>
      </c>
      <c r="E75" s="352">
        <v>89916.25</v>
      </c>
      <c r="F75" s="352">
        <v>16004.8</v>
      </c>
      <c r="G75" s="352">
        <v>30914.880000000001</v>
      </c>
      <c r="H75" s="352">
        <v>128895.6</v>
      </c>
      <c r="I75" s="352">
        <v>207350.32</v>
      </c>
      <c r="J75" s="352">
        <v>22198.400000000001</v>
      </c>
      <c r="K75" s="352">
        <v>289900.69</v>
      </c>
      <c r="L75" s="352">
        <v>522880.09</v>
      </c>
      <c r="M75" s="352">
        <v>0</v>
      </c>
      <c r="N75" s="1803">
        <v>284219.03999999998</v>
      </c>
    </row>
    <row r="76" spans="1:14" ht="13">
      <c r="A76" s="742" t="s">
        <v>188</v>
      </c>
      <c r="B76" s="1801">
        <v>1651996.02</v>
      </c>
      <c r="C76" s="1802">
        <v>0</v>
      </c>
      <c r="D76" s="352">
        <v>116184.81</v>
      </c>
      <c r="E76" s="352">
        <v>50553.43</v>
      </c>
      <c r="F76" s="352">
        <v>61813.279999999999</v>
      </c>
      <c r="G76" s="352">
        <v>121634.98</v>
      </c>
      <c r="H76" s="352">
        <v>297522.71999999997</v>
      </c>
      <c r="I76" s="352">
        <v>50324.74</v>
      </c>
      <c r="J76" s="352">
        <v>62371.55</v>
      </c>
      <c r="K76" s="352">
        <v>67981.66</v>
      </c>
      <c r="L76" s="352">
        <v>175698.8</v>
      </c>
      <c r="M76" s="352">
        <v>64399.81</v>
      </c>
      <c r="N76" s="1803">
        <v>583510.25</v>
      </c>
    </row>
    <row r="77" spans="1:14" ht="13">
      <c r="A77" s="742" t="s">
        <v>221</v>
      </c>
      <c r="B77" s="1801">
        <v>1649176.74</v>
      </c>
      <c r="C77" s="1802">
        <v>26796.400000000001</v>
      </c>
      <c r="D77" s="352">
        <v>87667.8</v>
      </c>
      <c r="E77" s="352">
        <v>146365.5</v>
      </c>
      <c r="F77" s="352">
        <v>0</v>
      </c>
      <c r="G77" s="352">
        <v>113241.35</v>
      </c>
      <c r="H77" s="352">
        <v>0</v>
      </c>
      <c r="I77" s="352">
        <v>159459.29999999999</v>
      </c>
      <c r="J77" s="352">
        <v>136682.70000000001</v>
      </c>
      <c r="K77" s="352">
        <v>77456.639999999999</v>
      </c>
      <c r="L77" s="352">
        <v>277584</v>
      </c>
      <c r="M77" s="352">
        <v>217712.1</v>
      </c>
      <c r="N77" s="1803">
        <v>406210.94</v>
      </c>
    </row>
    <row r="78" spans="1:14" ht="13">
      <c r="A78" s="742" t="s">
        <v>184</v>
      </c>
      <c r="B78" s="1801">
        <v>1517454.38</v>
      </c>
      <c r="C78" s="1802">
        <v>495352.18</v>
      </c>
      <c r="D78" s="302">
        <v>0</v>
      </c>
      <c r="E78" s="302">
        <v>0</v>
      </c>
      <c r="F78" s="302">
        <v>0</v>
      </c>
      <c r="G78" s="352">
        <v>0</v>
      </c>
      <c r="H78" s="352">
        <v>276712.09000000003</v>
      </c>
      <c r="I78" s="352">
        <v>216652.39</v>
      </c>
      <c r="J78" s="352">
        <v>146038.06</v>
      </c>
      <c r="K78" s="352">
        <v>0</v>
      </c>
      <c r="L78" s="352">
        <v>126507.82</v>
      </c>
      <c r="M78" s="352">
        <v>80467.05</v>
      </c>
      <c r="N78" s="1803">
        <v>175724.79</v>
      </c>
    </row>
    <row r="79" spans="1:14" ht="13">
      <c r="A79" s="742" t="s">
        <v>200</v>
      </c>
      <c r="B79" s="1801">
        <v>1448239.4</v>
      </c>
      <c r="C79" s="1802">
        <v>42306</v>
      </c>
      <c r="D79" s="352">
        <v>43810.36</v>
      </c>
      <c r="E79" s="352">
        <v>0</v>
      </c>
      <c r="F79" s="352">
        <v>51658.22</v>
      </c>
      <c r="G79" s="352">
        <v>62081.94</v>
      </c>
      <c r="H79" s="352">
        <v>129050.34</v>
      </c>
      <c r="I79" s="352">
        <v>128394.4</v>
      </c>
      <c r="J79" s="352">
        <v>150009.70000000001</v>
      </c>
      <c r="K79" s="352">
        <v>221664.49</v>
      </c>
      <c r="L79" s="352">
        <v>355215.56</v>
      </c>
      <c r="M79" s="352">
        <v>147785.09</v>
      </c>
      <c r="N79" s="1803">
        <v>116263.31</v>
      </c>
    </row>
    <row r="80" spans="1:14" ht="13">
      <c r="A80" s="742" t="s">
        <v>151</v>
      </c>
      <c r="B80" s="1801">
        <v>1418514.74</v>
      </c>
      <c r="C80" s="1802">
        <v>60767.44</v>
      </c>
      <c r="D80" s="352">
        <v>109997.75999999999</v>
      </c>
      <c r="E80" s="352">
        <v>81461.22</v>
      </c>
      <c r="F80" s="352">
        <v>191797.92</v>
      </c>
      <c r="G80" s="352">
        <v>187559.92</v>
      </c>
      <c r="H80" s="352">
        <v>131115.35999999999</v>
      </c>
      <c r="I80" s="352">
        <v>51952.480000000003</v>
      </c>
      <c r="J80" s="352">
        <v>300532.96000000002</v>
      </c>
      <c r="K80" s="352">
        <v>0</v>
      </c>
      <c r="L80" s="352">
        <v>154824.32000000001</v>
      </c>
      <c r="M80" s="352">
        <v>0</v>
      </c>
      <c r="N80" s="1803">
        <v>148505.35999999999</v>
      </c>
    </row>
    <row r="81" spans="1:14" ht="13">
      <c r="A81" s="742" t="s">
        <v>146</v>
      </c>
      <c r="B81" s="1801">
        <v>1390142.33</v>
      </c>
      <c r="C81" s="1789">
        <v>0</v>
      </c>
      <c r="D81" s="302">
        <v>0</v>
      </c>
      <c r="E81" s="352">
        <v>0</v>
      </c>
      <c r="F81" s="352">
        <v>108771.05</v>
      </c>
      <c r="G81" s="352">
        <v>136550.32</v>
      </c>
      <c r="H81" s="352">
        <v>264789.28000000003</v>
      </c>
      <c r="I81" s="352">
        <v>247553.52</v>
      </c>
      <c r="J81" s="352">
        <v>97211.839999999997</v>
      </c>
      <c r="K81" s="352">
        <v>148631.6</v>
      </c>
      <c r="L81" s="352">
        <v>169814.64</v>
      </c>
      <c r="M81" s="352">
        <v>107134.96</v>
      </c>
      <c r="N81" s="1803">
        <v>109685.12</v>
      </c>
    </row>
    <row r="82" spans="1:14" ht="13">
      <c r="A82" s="742" t="s">
        <v>1667</v>
      </c>
      <c r="B82" s="1801">
        <v>1383754.4</v>
      </c>
      <c r="C82" s="1802">
        <v>0</v>
      </c>
      <c r="D82" s="352">
        <v>226892.36</v>
      </c>
      <c r="E82" s="352">
        <v>0</v>
      </c>
      <c r="F82" s="352">
        <v>283282.5</v>
      </c>
      <c r="G82" s="352">
        <v>216783.96</v>
      </c>
      <c r="H82" s="352">
        <v>111411.26</v>
      </c>
      <c r="I82" s="352">
        <v>147250.29999999999</v>
      </c>
      <c r="J82" s="352">
        <v>134995.78</v>
      </c>
      <c r="K82" s="352">
        <v>0</v>
      </c>
      <c r="L82" s="352">
        <v>263138.23</v>
      </c>
      <c r="M82" s="302">
        <v>0</v>
      </c>
      <c r="N82" s="1803">
        <v>0</v>
      </c>
    </row>
    <row r="83" spans="1:14" ht="13">
      <c r="A83" s="742" t="s">
        <v>97</v>
      </c>
      <c r="B83" s="1801">
        <v>1166564.47</v>
      </c>
      <c r="C83" s="1789">
        <v>0</v>
      </c>
      <c r="D83" s="302">
        <v>0</v>
      </c>
      <c r="E83" s="302">
        <v>0</v>
      </c>
      <c r="F83" s="302">
        <v>0</v>
      </c>
      <c r="G83" s="302">
        <v>0</v>
      </c>
      <c r="H83" s="302">
        <v>0</v>
      </c>
      <c r="I83" s="352">
        <v>0</v>
      </c>
      <c r="J83" s="352">
        <v>129952.11</v>
      </c>
      <c r="K83" s="352">
        <v>48337.65</v>
      </c>
      <c r="L83" s="352">
        <v>412733.35</v>
      </c>
      <c r="M83" s="352">
        <v>462349.54</v>
      </c>
      <c r="N83" s="1803">
        <v>113191.82</v>
      </c>
    </row>
    <row r="84" spans="1:14" ht="13">
      <c r="A84" s="742" t="s">
        <v>203</v>
      </c>
      <c r="B84" s="1801">
        <v>1147212.43</v>
      </c>
      <c r="C84" s="1802">
        <v>71026.91</v>
      </c>
      <c r="D84" s="352">
        <v>192049.96</v>
      </c>
      <c r="E84" s="352">
        <v>0</v>
      </c>
      <c r="F84" s="352">
        <v>140684.45000000001</v>
      </c>
      <c r="G84" s="352">
        <v>26401</v>
      </c>
      <c r="H84" s="302">
        <v>0</v>
      </c>
      <c r="I84" s="302">
        <v>0</v>
      </c>
      <c r="J84" s="302">
        <v>0</v>
      </c>
      <c r="K84" s="352">
        <v>0</v>
      </c>
      <c r="L84" s="352">
        <v>328689.5</v>
      </c>
      <c r="M84" s="352">
        <v>90321.49</v>
      </c>
      <c r="N84" s="1803">
        <v>298039.12</v>
      </c>
    </row>
    <row r="85" spans="1:14" ht="13">
      <c r="A85" s="742" t="s">
        <v>187</v>
      </c>
      <c r="B85" s="1801">
        <v>1072473.28</v>
      </c>
      <c r="C85" s="1802">
        <v>65131.48</v>
      </c>
      <c r="D85" s="352">
        <v>242707</v>
      </c>
      <c r="E85" s="352">
        <v>76528.06</v>
      </c>
      <c r="F85" s="352">
        <v>38288.400000000001</v>
      </c>
      <c r="G85" s="352">
        <v>179301.24</v>
      </c>
      <c r="H85" s="352">
        <v>34479.839999999997</v>
      </c>
      <c r="I85" s="352">
        <v>128844.54</v>
      </c>
      <c r="J85" s="352">
        <v>0</v>
      </c>
      <c r="K85" s="352">
        <v>126843.22</v>
      </c>
      <c r="L85" s="352">
        <v>59637.78</v>
      </c>
      <c r="M85" s="352">
        <v>38536.85</v>
      </c>
      <c r="N85" s="1803">
        <v>82174.899999999994</v>
      </c>
    </row>
    <row r="86" spans="1:14" ht="13">
      <c r="A86" s="742" t="s">
        <v>212</v>
      </c>
      <c r="B86" s="1801">
        <v>981007.84</v>
      </c>
      <c r="C86" s="1802">
        <v>314087.09999999998</v>
      </c>
      <c r="D86" s="352">
        <v>15143.88</v>
      </c>
      <c r="E86" s="352">
        <v>100433.26</v>
      </c>
      <c r="F86" s="352">
        <v>94809.95</v>
      </c>
      <c r="G86" s="352">
        <v>25248.65</v>
      </c>
      <c r="H86" s="352">
        <v>277810.34000000003</v>
      </c>
      <c r="I86" s="352">
        <v>0</v>
      </c>
      <c r="J86" s="352">
        <v>14970.7</v>
      </c>
      <c r="K86" s="352">
        <v>21880.67</v>
      </c>
      <c r="L86" s="352">
        <v>80441.84</v>
      </c>
      <c r="M86" s="352">
        <v>0</v>
      </c>
      <c r="N86" s="1803">
        <v>36181.449999999997</v>
      </c>
    </row>
    <row r="87" spans="1:14" ht="13">
      <c r="A87" s="742" t="s">
        <v>1686</v>
      </c>
      <c r="B87" s="1801">
        <v>954205.85</v>
      </c>
      <c r="C87" s="1802">
        <v>54197.64</v>
      </c>
      <c r="D87" s="352">
        <v>365246.49</v>
      </c>
      <c r="E87" s="352">
        <v>199387.69</v>
      </c>
      <c r="F87" s="352">
        <v>335374.03999999998</v>
      </c>
      <c r="G87" s="302">
        <v>0</v>
      </c>
      <c r="H87" s="302">
        <v>0</v>
      </c>
      <c r="I87" s="302">
        <v>0</v>
      </c>
      <c r="J87" s="302">
        <v>0</v>
      </c>
      <c r="K87" s="302">
        <v>0</v>
      </c>
      <c r="L87" s="302">
        <v>0</v>
      </c>
      <c r="M87" s="302">
        <v>0</v>
      </c>
      <c r="N87" s="1803">
        <v>0</v>
      </c>
    </row>
    <row r="88" spans="1:14" ht="13">
      <c r="A88" s="742" t="s">
        <v>1559</v>
      </c>
      <c r="B88" s="1801">
        <v>860934.08</v>
      </c>
      <c r="C88" s="1802">
        <v>131714.88</v>
      </c>
      <c r="D88" s="352">
        <v>729219.2</v>
      </c>
      <c r="E88" s="302">
        <v>0</v>
      </c>
      <c r="F88" s="302">
        <v>0</v>
      </c>
      <c r="G88" s="302">
        <v>0</v>
      </c>
      <c r="H88" s="302">
        <v>0</v>
      </c>
      <c r="I88" s="302">
        <v>0</v>
      </c>
      <c r="J88" s="302">
        <v>0</v>
      </c>
      <c r="K88" s="302">
        <v>0</v>
      </c>
      <c r="L88" s="302">
        <v>0</v>
      </c>
      <c r="M88" s="302">
        <v>0</v>
      </c>
      <c r="N88" s="1803">
        <v>0</v>
      </c>
    </row>
    <row r="89" spans="1:14" ht="13">
      <c r="A89" s="742" t="s">
        <v>1687</v>
      </c>
      <c r="B89" s="1801">
        <v>829372.5</v>
      </c>
      <c r="C89" s="1802">
        <v>97103.51</v>
      </c>
      <c r="D89" s="352">
        <v>217470.56</v>
      </c>
      <c r="E89" s="352">
        <v>179989.97</v>
      </c>
      <c r="F89" s="352">
        <v>28154.68</v>
      </c>
      <c r="G89" s="352">
        <v>87451.76</v>
      </c>
      <c r="H89" s="352">
        <v>21110.85</v>
      </c>
      <c r="I89" s="352">
        <v>24932.39</v>
      </c>
      <c r="J89" s="352">
        <v>173158.78</v>
      </c>
      <c r="K89" s="302">
        <v>0</v>
      </c>
      <c r="L89" s="302">
        <v>0</v>
      </c>
      <c r="M89" s="302">
        <v>0</v>
      </c>
      <c r="N89" s="1803">
        <v>0</v>
      </c>
    </row>
    <row r="90" spans="1:14" ht="13">
      <c r="A90" s="742" t="s">
        <v>206</v>
      </c>
      <c r="B90" s="1801">
        <v>797861.71</v>
      </c>
      <c r="C90" s="1802">
        <v>45259.18</v>
      </c>
      <c r="D90" s="352">
        <v>79393.25</v>
      </c>
      <c r="E90" s="352">
        <v>124520.43</v>
      </c>
      <c r="F90" s="352">
        <v>19321.099999999999</v>
      </c>
      <c r="G90" s="352">
        <v>121643.22</v>
      </c>
      <c r="H90" s="352">
        <v>63687.09</v>
      </c>
      <c r="I90" s="352">
        <v>84916.12</v>
      </c>
      <c r="J90" s="352">
        <v>42458.06</v>
      </c>
      <c r="K90" s="352">
        <v>91709.28</v>
      </c>
      <c r="L90" s="352">
        <v>24990.799999999999</v>
      </c>
      <c r="M90" s="352">
        <v>99963.18</v>
      </c>
      <c r="N90" s="1803">
        <v>0</v>
      </c>
    </row>
    <row r="91" spans="1:14" ht="13">
      <c r="A91" s="742" t="s">
        <v>183</v>
      </c>
      <c r="B91" s="1801">
        <v>745192.14</v>
      </c>
      <c r="C91" s="1802">
        <v>0</v>
      </c>
      <c r="D91" s="352">
        <v>66100.84</v>
      </c>
      <c r="E91" s="352">
        <v>28459.1</v>
      </c>
      <c r="F91" s="352">
        <v>96744.38</v>
      </c>
      <c r="G91" s="352">
        <v>9870</v>
      </c>
      <c r="H91" s="352">
        <v>70746.429999999993</v>
      </c>
      <c r="I91" s="352">
        <v>0</v>
      </c>
      <c r="J91" s="352">
        <v>98048.88</v>
      </c>
      <c r="K91" s="352">
        <v>25597.26</v>
      </c>
      <c r="L91" s="352">
        <v>77442.3</v>
      </c>
      <c r="M91" s="352">
        <v>47476.31</v>
      </c>
      <c r="N91" s="1803">
        <v>224706.64</v>
      </c>
    </row>
    <row r="92" spans="1:14" ht="13">
      <c r="A92" s="742" t="s">
        <v>165</v>
      </c>
      <c r="B92" s="1801">
        <v>742844.72</v>
      </c>
      <c r="C92" s="1789">
        <v>0</v>
      </c>
      <c r="D92" s="302">
        <v>0</v>
      </c>
      <c r="E92" s="302">
        <v>0</v>
      </c>
      <c r="F92" s="302">
        <v>0</v>
      </c>
      <c r="G92" s="302">
        <v>0</v>
      </c>
      <c r="H92" s="302">
        <v>0</v>
      </c>
      <c r="I92" s="352">
        <v>0</v>
      </c>
      <c r="J92" s="352">
        <v>191411.73</v>
      </c>
      <c r="K92" s="352">
        <v>0</v>
      </c>
      <c r="L92" s="352">
        <v>139535.92000000001</v>
      </c>
      <c r="M92" s="352">
        <v>167313.21</v>
      </c>
      <c r="N92" s="1803">
        <v>244583.86</v>
      </c>
    </row>
    <row r="93" spans="1:14" ht="13">
      <c r="A93" s="742" t="s">
        <v>1656</v>
      </c>
      <c r="B93" s="1801">
        <v>720867.01</v>
      </c>
      <c r="C93" s="1789">
        <v>0</v>
      </c>
      <c r="D93" s="302">
        <v>0</v>
      </c>
      <c r="E93" s="302">
        <v>0</v>
      </c>
      <c r="F93" s="302">
        <v>0</v>
      </c>
      <c r="G93" s="302">
        <v>0</v>
      </c>
      <c r="H93" s="302">
        <v>0</v>
      </c>
      <c r="I93" s="302">
        <v>0</v>
      </c>
      <c r="J93" s="302">
        <v>0</v>
      </c>
      <c r="K93" s="302">
        <v>0</v>
      </c>
      <c r="L93" s="352">
        <v>0</v>
      </c>
      <c r="M93" s="352">
        <v>441810.6</v>
      </c>
      <c r="N93" s="1803">
        <v>279056.40999999997</v>
      </c>
    </row>
    <row r="94" spans="1:14" ht="13">
      <c r="A94" s="742" t="s">
        <v>148</v>
      </c>
      <c r="B94" s="1801">
        <v>685349.7</v>
      </c>
      <c r="C94" s="1802">
        <v>49782</v>
      </c>
      <c r="D94" s="352">
        <v>0</v>
      </c>
      <c r="E94" s="352">
        <v>47929.83</v>
      </c>
      <c r="F94" s="302">
        <v>0</v>
      </c>
      <c r="G94" s="352">
        <v>0</v>
      </c>
      <c r="H94" s="352">
        <v>169541.95</v>
      </c>
      <c r="I94" s="352">
        <v>46490.3</v>
      </c>
      <c r="J94" s="352">
        <v>192623.22</v>
      </c>
      <c r="K94" s="352">
        <v>177218.8</v>
      </c>
      <c r="L94" s="352">
        <v>-42238.400000000001</v>
      </c>
      <c r="M94" s="352">
        <v>0</v>
      </c>
      <c r="N94" s="1803">
        <v>44002</v>
      </c>
    </row>
    <row r="95" spans="1:14" ht="13">
      <c r="A95" s="742" t="s">
        <v>219</v>
      </c>
      <c r="B95" s="1801">
        <v>662183.66</v>
      </c>
      <c r="C95" s="1802">
        <v>60343.57</v>
      </c>
      <c r="D95" s="302">
        <v>0</v>
      </c>
      <c r="E95" s="352">
        <v>0.04</v>
      </c>
      <c r="F95" s="352">
        <v>205150</v>
      </c>
      <c r="G95" s="352">
        <v>53091.81</v>
      </c>
      <c r="H95" s="302">
        <v>0</v>
      </c>
      <c r="I95" s="302">
        <v>0</v>
      </c>
      <c r="J95" s="302">
        <v>0</v>
      </c>
      <c r="K95" s="302">
        <v>0</v>
      </c>
      <c r="L95" s="352">
        <v>0</v>
      </c>
      <c r="M95" s="352">
        <v>121812</v>
      </c>
      <c r="N95" s="1803">
        <v>221786.25</v>
      </c>
    </row>
    <row r="96" spans="1:14" ht="13">
      <c r="A96" s="742" t="s">
        <v>196</v>
      </c>
      <c r="B96" s="1801">
        <v>632387.59</v>
      </c>
      <c r="C96" s="1802">
        <v>38381.11</v>
      </c>
      <c r="D96" s="352">
        <v>25305.43</v>
      </c>
      <c r="E96" s="352">
        <v>75673.3</v>
      </c>
      <c r="F96" s="352">
        <v>92491.49</v>
      </c>
      <c r="G96" s="352">
        <v>25046.25</v>
      </c>
      <c r="H96" s="352">
        <v>41696.14</v>
      </c>
      <c r="I96" s="352">
        <v>71083.22</v>
      </c>
      <c r="J96" s="352">
        <v>68074.320000000007</v>
      </c>
      <c r="K96" s="352">
        <v>52111.43</v>
      </c>
      <c r="L96" s="352">
        <v>27550.82</v>
      </c>
      <c r="M96" s="352">
        <v>30030.39</v>
      </c>
      <c r="N96" s="1803">
        <v>84943.69</v>
      </c>
    </row>
    <row r="97" spans="1:14" ht="13">
      <c r="A97" s="742" t="s">
        <v>193</v>
      </c>
      <c r="B97" s="1801">
        <v>631537.01</v>
      </c>
      <c r="C97" s="1802">
        <v>213851.35</v>
      </c>
      <c r="D97" s="352">
        <v>0</v>
      </c>
      <c r="E97" s="352">
        <v>69624.149999999994</v>
      </c>
      <c r="F97" s="352">
        <v>110834.15</v>
      </c>
      <c r="G97" s="302">
        <v>0</v>
      </c>
      <c r="H97" s="352">
        <v>0</v>
      </c>
      <c r="I97" s="352">
        <v>57963.64</v>
      </c>
      <c r="J97" s="352">
        <v>142145.32999999999</v>
      </c>
      <c r="K97" s="352">
        <v>0</v>
      </c>
      <c r="L97" s="352">
        <v>37118.400000000001</v>
      </c>
      <c r="M97" s="302">
        <v>0</v>
      </c>
      <c r="N97" s="1803">
        <v>0</v>
      </c>
    </row>
    <row r="98" spans="1:14" ht="13">
      <c r="A98" s="742" t="s">
        <v>153</v>
      </c>
      <c r="B98" s="1801">
        <v>616554.57999999996</v>
      </c>
      <c r="C98" s="1789">
        <v>0</v>
      </c>
      <c r="D98" s="302">
        <v>0</v>
      </c>
      <c r="E98" s="302">
        <v>0</v>
      </c>
      <c r="F98" s="352">
        <v>0</v>
      </c>
      <c r="G98" s="352">
        <v>616554.57999999996</v>
      </c>
      <c r="H98" s="302">
        <v>0</v>
      </c>
      <c r="I98" s="302">
        <v>0</v>
      </c>
      <c r="J98" s="302">
        <v>0</v>
      </c>
      <c r="K98" s="302">
        <v>0</v>
      </c>
      <c r="L98" s="302">
        <v>0</v>
      </c>
      <c r="M98" s="302">
        <v>0</v>
      </c>
      <c r="N98" s="1803">
        <v>0</v>
      </c>
    </row>
    <row r="99" spans="1:14" ht="13">
      <c r="A99" s="742" t="s">
        <v>147</v>
      </c>
      <c r="B99" s="1801">
        <v>615106.48</v>
      </c>
      <c r="C99" s="1789">
        <v>0</v>
      </c>
      <c r="D99" s="302">
        <v>0</v>
      </c>
      <c r="E99" s="302">
        <v>0</v>
      </c>
      <c r="F99" s="302">
        <v>0</v>
      </c>
      <c r="G99" s="302">
        <v>0</v>
      </c>
      <c r="H99" s="302">
        <v>0</v>
      </c>
      <c r="I99" s="352">
        <v>0</v>
      </c>
      <c r="J99" s="352">
        <v>70536</v>
      </c>
      <c r="K99" s="352">
        <v>79776.479999999996</v>
      </c>
      <c r="L99" s="352">
        <v>168266.56</v>
      </c>
      <c r="M99" s="352">
        <v>53468.800000000003</v>
      </c>
      <c r="N99" s="1803">
        <v>243058.64</v>
      </c>
    </row>
    <row r="100" spans="1:14" ht="13">
      <c r="A100" s="742" t="s">
        <v>119</v>
      </c>
      <c r="B100" s="1801">
        <v>578441.94999999995</v>
      </c>
      <c r="C100" s="1789">
        <v>0</v>
      </c>
      <c r="D100" s="302">
        <v>0</v>
      </c>
      <c r="E100" s="302">
        <v>0</v>
      </c>
      <c r="F100" s="352">
        <v>0</v>
      </c>
      <c r="G100" s="352">
        <v>39075.08</v>
      </c>
      <c r="H100" s="352">
        <v>38262.5</v>
      </c>
      <c r="I100" s="352">
        <v>249373.46</v>
      </c>
      <c r="J100" s="352">
        <v>0</v>
      </c>
      <c r="K100" s="352">
        <v>77168.789999999994</v>
      </c>
      <c r="L100" s="352">
        <v>29692.720000000001</v>
      </c>
      <c r="M100" s="352">
        <v>0</v>
      </c>
      <c r="N100" s="1803">
        <v>144869.4</v>
      </c>
    </row>
    <row r="101" spans="1:14" ht="13">
      <c r="A101" s="742" t="s">
        <v>112</v>
      </c>
      <c r="B101" s="1801">
        <v>550248</v>
      </c>
      <c r="C101" s="1802">
        <v>312645.59999999998</v>
      </c>
      <c r="D101" s="302">
        <v>0</v>
      </c>
      <c r="E101" s="302">
        <v>0</v>
      </c>
      <c r="F101" s="302">
        <v>0</v>
      </c>
      <c r="G101" s="352">
        <v>0</v>
      </c>
      <c r="H101" s="352">
        <v>237602.4</v>
      </c>
      <c r="I101" s="302">
        <v>0</v>
      </c>
      <c r="J101" s="302">
        <v>0</v>
      </c>
      <c r="K101" s="302">
        <v>0</v>
      </c>
      <c r="L101" s="302">
        <v>0</v>
      </c>
      <c r="M101" s="302">
        <v>0</v>
      </c>
      <c r="N101" s="1803">
        <v>0</v>
      </c>
    </row>
    <row r="102" spans="1:14" ht="13">
      <c r="A102" s="742" t="s">
        <v>174</v>
      </c>
      <c r="B102" s="1801">
        <v>540902.25</v>
      </c>
      <c r="C102" s="1802">
        <v>108673.86</v>
      </c>
      <c r="D102" s="352">
        <v>10282.4</v>
      </c>
      <c r="E102" s="352">
        <v>36780.160000000003</v>
      </c>
      <c r="F102" s="352">
        <v>17849.37</v>
      </c>
      <c r="G102" s="352">
        <v>17276.18</v>
      </c>
      <c r="H102" s="352">
        <v>36995.68</v>
      </c>
      <c r="I102" s="352">
        <v>59935.49</v>
      </c>
      <c r="J102" s="352">
        <v>88372.24</v>
      </c>
      <c r="K102" s="352">
        <v>46694.89</v>
      </c>
      <c r="L102" s="352">
        <v>7842</v>
      </c>
      <c r="M102" s="352">
        <v>51144.02</v>
      </c>
      <c r="N102" s="1803">
        <v>59055.96</v>
      </c>
    </row>
    <row r="103" spans="1:14" ht="13">
      <c r="A103" s="742" t="s">
        <v>150</v>
      </c>
      <c r="B103" s="1801">
        <v>386680.88</v>
      </c>
      <c r="C103" s="1802">
        <v>0</v>
      </c>
      <c r="D103" s="352">
        <v>50490.400000000001</v>
      </c>
      <c r="E103" s="352">
        <v>53827.040000000001</v>
      </c>
      <c r="F103" s="302">
        <v>0</v>
      </c>
      <c r="G103" s="302">
        <v>0</v>
      </c>
      <c r="H103" s="352">
        <v>0</v>
      </c>
      <c r="I103" s="352">
        <v>71859.12</v>
      </c>
      <c r="J103" s="352">
        <v>0</v>
      </c>
      <c r="K103" s="352">
        <v>49600.32</v>
      </c>
      <c r="L103" s="352">
        <v>90479.2</v>
      </c>
      <c r="M103" s="352">
        <v>70424.800000000003</v>
      </c>
      <c r="N103" s="1803">
        <v>0</v>
      </c>
    </row>
    <row r="104" spans="1:14" ht="13">
      <c r="A104" s="742" t="s">
        <v>192</v>
      </c>
      <c r="B104" s="1801">
        <v>350075.58</v>
      </c>
      <c r="C104" s="1802">
        <v>55577.27</v>
      </c>
      <c r="D104" s="352">
        <v>0</v>
      </c>
      <c r="E104" s="352">
        <v>63523.1</v>
      </c>
      <c r="F104" s="352">
        <v>9927.59</v>
      </c>
      <c r="G104" s="352">
        <v>29163.02</v>
      </c>
      <c r="H104" s="352">
        <v>30999.49</v>
      </c>
      <c r="I104" s="302">
        <v>0</v>
      </c>
      <c r="J104" s="302">
        <v>0</v>
      </c>
      <c r="K104" s="352">
        <v>0</v>
      </c>
      <c r="L104" s="352">
        <v>46531.199999999997</v>
      </c>
      <c r="M104" s="352">
        <v>65699.3</v>
      </c>
      <c r="N104" s="1803">
        <v>48654.62</v>
      </c>
    </row>
    <row r="105" spans="1:14" ht="13">
      <c r="A105" s="742" t="s">
        <v>214</v>
      </c>
      <c r="B105" s="1801">
        <v>333659.89</v>
      </c>
      <c r="C105" s="1789">
        <v>0</v>
      </c>
      <c r="D105" s="302">
        <v>0</v>
      </c>
      <c r="E105" s="302">
        <v>0</v>
      </c>
      <c r="F105" s="302">
        <v>0</v>
      </c>
      <c r="G105" s="302">
        <v>0</v>
      </c>
      <c r="H105" s="302">
        <v>0</v>
      </c>
      <c r="I105" s="302">
        <v>0</v>
      </c>
      <c r="J105" s="302">
        <v>0</v>
      </c>
      <c r="K105" s="302">
        <v>0</v>
      </c>
      <c r="L105" s="302">
        <v>0</v>
      </c>
      <c r="M105" s="352">
        <v>0</v>
      </c>
      <c r="N105" s="1803">
        <v>333659.89</v>
      </c>
    </row>
    <row r="106" spans="1:14" ht="13">
      <c r="A106" s="742" t="s">
        <v>180</v>
      </c>
      <c r="B106" s="1801">
        <v>308726.17</v>
      </c>
      <c r="C106" s="1802">
        <v>0</v>
      </c>
      <c r="D106" s="352">
        <v>169633.46</v>
      </c>
      <c r="E106" s="302">
        <v>0</v>
      </c>
      <c r="F106" s="352">
        <v>0</v>
      </c>
      <c r="G106" s="352">
        <v>21229.03</v>
      </c>
      <c r="H106" s="302">
        <v>0</v>
      </c>
      <c r="I106" s="352">
        <v>0</v>
      </c>
      <c r="J106" s="352">
        <v>72009.03</v>
      </c>
      <c r="K106" s="352">
        <v>0</v>
      </c>
      <c r="L106" s="352">
        <v>45854.64</v>
      </c>
      <c r="M106" s="302">
        <v>0</v>
      </c>
      <c r="N106" s="1803">
        <v>0</v>
      </c>
    </row>
    <row r="107" spans="1:14" ht="13">
      <c r="A107" s="742" t="s">
        <v>1688</v>
      </c>
      <c r="B107" s="1801">
        <v>307346.32</v>
      </c>
      <c r="C107" s="1802">
        <v>108745.85</v>
      </c>
      <c r="D107" s="352">
        <v>149839.01999999999</v>
      </c>
      <c r="E107" s="302">
        <v>0</v>
      </c>
      <c r="F107" s="352">
        <v>0</v>
      </c>
      <c r="G107" s="352">
        <v>48761.46</v>
      </c>
      <c r="H107" s="302">
        <v>0</v>
      </c>
      <c r="I107" s="302">
        <v>0</v>
      </c>
      <c r="J107" s="302">
        <v>0</v>
      </c>
      <c r="K107" s="302">
        <v>0</v>
      </c>
      <c r="L107" s="302">
        <v>0</v>
      </c>
      <c r="M107" s="302">
        <v>0</v>
      </c>
      <c r="N107" s="1803">
        <v>0</v>
      </c>
    </row>
    <row r="108" spans="1:14" ht="13">
      <c r="A108" s="742" t="s">
        <v>189</v>
      </c>
      <c r="B108" s="1801">
        <v>261904.67</v>
      </c>
      <c r="C108" s="1802">
        <v>69794.98</v>
      </c>
      <c r="D108" s="302">
        <v>0</v>
      </c>
      <c r="E108" s="352">
        <v>0</v>
      </c>
      <c r="F108" s="352">
        <v>108516.05</v>
      </c>
      <c r="G108" s="302">
        <v>0</v>
      </c>
      <c r="H108" s="352">
        <v>0</v>
      </c>
      <c r="I108" s="352">
        <v>83593.649999999994</v>
      </c>
      <c r="J108" s="302">
        <v>0</v>
      </c>
      <c r="K108" s="302">
        <v>0</v>
      </c>
      <c r="L108" s="302">
        <v>0</v>
      </c>
      <c r="M108" s="302">
        <v>0</v>
      </c>
      <c r="N108" s="1803">
        <v>0</v>
      </c>
    </row>
    <row r="109" spans="1:14" ht="13">
      <c r="A109" s="742" t="s">
        <v>170</v>
      </c>
      <c r="B109" s="1801">
        <v>258323.27</v>
      </c>
      <c r="C109" s="1802">
        <v>13425.88</v>
      </c>
      <c r="D109" s="352">
        <v>27235.48</v>
      </c>
      <c r="E109" s="352">
        <v>56656</v>
      </c>
      <c r="F109" s="352">
        <v>22776.959999999999</v>
      </c>
      <c r="G109" s="352">
        <v>36668.769999999997</v>
      </c>
      <c r="H109" s="352">
        <v>0</v>
      </c>
      <c r="I109" s="352">
        <v>45009.63</v>
      </c>
      <c r="J109" s="352">
        <v>0</v>
      </c>
      <c r="K109" s="352">
        <v>21229.03</v>
      </c>
      <c r="L109" s="352">
        <v>0</v>
      </c>
      <c r="M109" s="352">
        <v>35321.53</v>
      </c>
      <c r="N109" s="1803">
        <v>0</v>
      </c>
    </row>
    <row r="110" spans="1:14" ht="13">
      <c r="A110" s="742" t="s">
        <v>152</v>
      </c>
      <c r="B110" s="1801">
        <v>234438.72</v>
      </c>
      <c r="C110" s="1789">
        <v>0</v>
      </c>
      <c r="D110" s="302">
        <v>0</v>
      </c>
      <c r="E110" s="302">
        <v>0</v>
      </c>
      <c r="F110" s="302">
        <v>0</v>
      </c>
      <c r="G110" s="302">
        <v>0</v>
      </c>
      <c r="H110" s="302">
        <v>0</v>
      </c>
      <c r="I110" s="302">
        <v>0</v>
      </c>
      <c r="J110" s="352">
        <v>0</v>
      </c>
      <c r="K110" s="352">
        <v>234438.72</v>
      </c>
      <c r="L110" s="302">
        <v>0</v>
      </c>
      <c r="M110" s="302">
        <v>0</v>
      </c>
      <c r="N110" s="1803">
        <v>0</v>
      </c>
    </row>
    <row r="111" spans="1:14" ht="13">
      <c r="A111" s="742" t="s">
        <v>1689</v>
      </c>
      <c r="B111" s="1801">
        <v>213483.66</v>
      </c>
      <c r="C111" s="1789">
        <v>0</v>
      </c>
      <c r="D111" s="302">
        <v>0</v>
      </c>
      <c r="E111" s="302">
        <v>0</v>
      </c>
      <c r="F111" s="302">
        <v>0</v>
      </c>
      <c r="G111" s="352">
        <v>0</v>
      </c>
      <c r="H111" s="352">
        <v>213483.66</v>
      </c>
      <c r="I111" s="302">
        <v>0</v>
      </c>
      <c r="J111" s="302">
        <v>0</v>
      </c>
      <c r="K111" s="302">
        <v>0</v>
      </c>
      <c r="L111" s="302">
        <v>0</v>
      </c>
      <c r="M111" s="302">
        <v>0</v>
      </c>
      <c r="N111" s="1803">
        <v>0</v>
      </c>
    </row>
    <row r="112" spans="1:14" ht="13">
      <c r="A112" s="742" t="s">
        <v>1690</v>
      </c>
      <c r="B112" s="1801">
        <v>69833.100000000006</v>
      </c>
      <c r="C112" s="1802">
        <v>69833.100000000006</v>
      </c>
      <c r="D112" s="302">
        <v>0</v>
      </c>
      <c r="E112" s="302">
        <v>0</v>
      </c>
      <c r="F112" s="302">
        <v>0</v>
      </c>
      <c r="G112" s="302">
        <v>0</v>
      </c>
      <c r="H112" s="302">
        <v>0</v>
      </c>
      <c r="I112" s="302">
        <v>0</v>
      </c>
      <c r="J112" s="302">
        <v>0</v>
      </c>
      <c r="K112" s="302">
        <v>0</v>
      </c>
      <c r="L112" s="302">
        <v>0</v>
      </c>
      <c r="M112" s="302">
        <v>0</v>
      </c>
      <c r="N112" s="1803">
        <v>0</v>
      </c>
    </row>
    <row r="113" spans="1:14" ht="13">
      <c r="A113" s="742" t="s">
        <v>207</v>
      </c>
      <c r="B113" s="1801">
        <v>47895.26</v>
      </c>
      <c r="C113" s="1789">
        <v>0</v>
      </c>
      <c r="D113" s="352">
        <v>0</v>
      </c>
      <c r="E113" s="352">
        <v>22100.639999999999</v>
      </c>
      <c r="F113" s="352">
        <v>20827.07</v>
      </c>
      <c r="G113" s="302">
        <v>0</v>
      </c>
      <c r="H113" s="302">
        <v>0</v>
      </c>
      <c r="I113" s="302">
        <v>0</v>
      </c>
      <c r="J113" s="302">
        <v>0</v>
      </c>
      <c r="K113" s="352">
        <v>0</v>
      </c>
      <c r="L113" s="352">
        <v>4967.55</v>
      </c>
      <c r="M113" s="302">
        <v>0</v>
      </c>
      <c r="N113" s="1803">
        <v>0</v>
      </c>
    </row>
    <row r="114" spans="1:14" ht="13">
      <c r="A114" s="742" t="s">
        <v>145</v>
      </c>
      <c r="B114" s="1801">
        <v>37303.4</v>
      </c>
      <c r="C114" s="1789">
        <v>0</v>
      </c>
      <c r="D114" s="302">
        <v>0</v>
      </c>
      <c r="E114" s="302">
        <v>0</v>
      </c>
      <c r="F114" s="302">
        <v>0</v>
      </c>
      <c r="G114" s="302">
        <v>0</v>
      </c>
      <c r="H114" s="302">
        <v>0</v>
      </c>
      <c r="I114" s="302">
        <v>0</v>
      </c>
      <c r="J114" s="302">
        <v>0</v>
      </c>
      <c r="K114" s="302">
        <v>0</v>
      </c>
      <c r="L114" s="352">
        <v>0</v>
      </c>
      <c r="M114" s="352">
        <v>37303.4</v>
      </c>
      <c r="N114" s="1803">
        <v>0</v>
      </c>
    </row>
    <row r="115" spans="1:14" ht="13">
      <c r="A115" s="742" t="s">
        <v>194</v>
      </c>
      <c r="B115" s="1801">
        <v>37112.85</v>
      </c>
      <c r="C115" s="1802">
        <v>0</v>
      </c>
      <c r="D115" s="352">
        <v>37112.85</v>
      </c>
      <c r="E115" s="302">
        <v>0</v>
      </c>
      <c r="F115" s="302">
        <v>0</v>
      </c>
      <c r="G115" s="302">
        <v>0</v>
      </c>
      <c r="H115" s="302">
        <v>0</v>
      </c>
      <c r="I115" s="302">
        <v>0</v>
      </c>
      <c r="J115" s="302">
        <v>0</v>
      </c>
      <c r="K115" s="302">
        <v>0</v>
      </c>
      <c r="L115" s="302">
        <v>0</v>
      </c>
      <c r="M115" s="302">
        <v>0</v>
      </c>
      <c r="N115" s="1803">
        <v>0</v>
      </c>
    </row>
    <row r="116" spans="1:14" ht="13">
      <c r="A116" s="742" t="s">
        <v>138</v>
      </c>
      <c r="B116" s="553">
        <v>0</v>
      </c>
      <c r="C116" s="1789">
        <v>0</v>
      </c>
      <c r="D116" s="352">
        <v>0</v>
      </c>
      <c r="E116" s="352">
        <v>305698.73</v>
      </c>
      <c r="F116" s="352">
        <v>-305698.73</v>
      </c>
      <c r="G116" s="302">
        <v>0</v>
      </c>
      <c r="H116" s="302">
        <v>0</v>
      </c>
      <c r="I116" s="302">
        <v>0</v>
      </c>
      <c r="J116" s="302">
        <v>0</v>
      </c>
      <c r="K116" s="302">
        <v>0</v>
      </c>
      <c r="L116" s="302">
        <v>0</v>
      </c>
      <c r="M116" s="302">
        <v>0</v>
      </c>
      <c r="N116" s="1804">
        <v>0</v>
      </c>
    </row>
    <row r="117" spans="1:14" ht="13">
      <c r="A117" s="742" t="s">
        <v>222</v>
      </c>
      <c r="B117" s="553">
        <v>0</v>
      </c>
      <c r="C117" s="1789">
        <v>0</v>
      </c>
      <c r="D117" s="302">
        <v>0</v>
      </c>
      <c r="E117" s="302">
        <v>0</v>
      </c>
      <c r="F117" s="302">
        <v>0</v>
      </c>
      <c r="G117" s="302">
        <v>0</v>
      </c>
      <c r="H117" s="302">
        <v>0</v>
      </c>
      <c r="I117" s="302">
        <v>0</v>
      </c>
      <c r="J117" s="302">
        <v>0</v>
      </c>
      <c r="K117" s="302">
        <v>0</v>
      </c>
      <c r="L117" s="302">
        <v>0</v>
      </c>
      <c r="M117" s="302">
        <v>0</v>
      </c>
      <c r="N117" s="1804">
        <v>0</v>
      </c>
    </row>
    <row r="118" spans="1:14" ht="13">
      <c r="A118" s="1805" t="s">
        <v>240</v>
      </c>
      <c r="B118" s="1806" t="s">
        <v>1691</v>
      </c>
      <c r="C118" s="922">
        <v>0</v>
      </c>
      <c r="D118" s="1807">
        <v>53796.15</v>
      </c>
      <c r="E118" s="922">
        <v>0</v>
      </c>
      <c r="F118" s="922">
        <v>0</v>
      </c>
      <c r="G118" s="922">
        <v>0</v>
      </c>
      <c r="H118" s="922">
        <v>0</v>
      </c>
      <c r="I118" s="922">
        <v>0</v>
      </c>
      <c r="J118" s="922">
        <v>0</v>
      </c>
      <c r="K118" s="922">
        <v>0</v>
      </c>
      <c r="L118" s="922">
        <v>0</v>
      </c>
      <c r="M118" s="1807">
        <v>69511.5</v>
      </c>
      <c r="N118" s="1808">
        <v>0</v>
      </c>
    </row>
    <row r="119" spans="1:14" ht="13">
      <c r="A119" s="1805" t="s">
        <v>176</v>
      </c>
      <c r="B119" s="1806" t="s">
        <v>1691</v>
      </c>
      <c r="C119" s="922">
        <v>0</v>
      </c>
      <c r="D119" s="922">
        <v>0</v>
      </c>
      <c r="E119" s="1807">
        <v>132556.4</v>
      </c>
      <c r="F119" s="922">
        <v>0</v>
      </c>
      <c r="G119" s="1807">
        <v>75450</v>
      </c>
      <c r="H119" s="1807">
        <v>116224.82</v>
      </c>
      <c r="I119" s="922">
        <v>0</v>
      </c>
      <c r="J119" s="1807">
        <v>127193.71</v>
      </c>
      <c r="K119" s="922">
        <v>0</v>
      </c>
      <c r="L119" s="1807">
        <v>60864</v>
      </c>
      <c r="M119" s="922">
        <v>0</v>
      </c>
      <c r="N119" s="1808">
        <v>0</v>
      </c>
    </row>
    <row r="120" spans="1:14" ht="13">
      <c r="A120" s="1805" t="s">
        <v>105</v>
      </c>
      <c r="B120" s="1806" t="s">
        <v>1691</v>
      </c>
      <c r="C120" s="1807">
        <v>221719.69</v>
      </c>
      <c r="D120" s="1807">
        <v>143978.51999999999</v>
      </c>
      <c r="E120" s="1807">
        <v>155200.71</v>
      </c>
      <c r="F120" s="1807">
        <v>194984.21</v>
      </c>
      <c r="G120" s="1807">
        <v>277576.09999999998</v>
      </c>
      <c r="H120" s="1807">
        <v>266203.90999999997</v>
      </c>
      <c r="I120" s="1807">
        <v>546186.09</v>
      </c>
      <c r="J120" s="1807">
        <v>326256.53000000003</v>
      </c>
      <c r="K120" s="1807">
        <v>161583.23000000001</v>
      </c>
      <c r="L120" s="1807">
        <v>750570.78</v>
      </c>
      <c r="M120" s="1807">
        <v>568070</v>
      </c>
      <c r="N120" s="1809">
        <v>172993.86</v>
      </c>
    </row>
    <row r="121" spans="1:14" ht="13">
      <c r="A121" s="1805" t="s">
        <v>201</v>
      </c>
      <c r="B121" s="1806" t="s">
        <v>1691</v>
      </c>
      <c r="C121" s="922">
        <v>0</v>
      </c>
      <c r="D121" s="922">
        <v>0</v>
      </c>
      <c r="E121" s="922">
        <v>0</v>
      </c>
      <c r="F121" s="1807">
        <v>225277.29</v>
      </c>
      <c r="G121" s="1807">
        <v>205657.82</v>
      </c>
      <c r="H121" s="1807">
        <v>181028.44</v>
      </c>
      <c r="I121" s="1807">
        <v>323594.15999999997</v>
      </c>
      <c r="J121" s="1807">
        <v>260885.06</v>
      </c>
      <c r="K121" s="1807">
        <v>412112.64000000001</v>
      </c>
      <c r="L121" s="1807">
        <v>192709.88</v>
      </c>
      <c r="M121" s="1807">
        <v>104926.5</v>
      </c>
      <c r="N121" s="1809">
        <v>58518.35</v>
      </c>
    </row>
    <row r="122" spans="1:14" ht="13">
      <c r="A122" s="1805" t="s">
        <v>659</v>
      </c>
      <c r="B122" s="1806" t="s">
        <v>1691</v>
      </c>
      <c r="C122" s="1807">
        <v>134855.01</v>
      </c>
      <c r="D122" s="922">
        <v>0</v>
      </c>
      <c r="E122" s="922">
        <v>0</v>
      </c>
      <c r="F122" s="1807">
        <v>176792.5</v>
      </c>
      <c r="G122" s="1807">
        <v>251856.77</v>
      </c>
      <c r="H122" s="1807">
        <v>66839.199999999997</v>
      </c>
      <c r="I122" s="922">
        <v>0</v>
      </c>
      <c r="J122" s="1807">
        <v>157920.59</v>
      </c>
      <c r="K122" s="922">
        <v>0</v>
      </c>
      <c r="L122" s="922">
        <v>0</v>
      </c>
      <c r="M122" s="922">
        <v>0</v>
      </c>
      <c r="N122" s="1808">
        <v>0</v>
      </c>
    </row>
    <row r="123" spans="1:14" ht="13">
      <c r="A123" s="1805" t="s">
        <v>117</v>
      </c>
      <c r="B123" s="1806" t="s">
        <v>1691</v>
      </c>
      <c r="C123" s="1807">
        <v>230720.81</v>
      </c>
      <c r="D123" s="1807">
        <v>124715.62</v>
      </c>
      <c r="E123" s="1807">
        <v>62609.96</v>
      </c>
      <c r="F123" s="1807">
        <v>175634.51</v>
      </c>
      <c r="G123" s="1807">
        <v>190776.76</v>
      </c>
      <c r="H123" s="1807">
        <v>40352.35</v>
      </c>
      <c r="I123" s="1807">
        <v>247784.99</v>
      </c>
      <c r="J123" s="1807">
        <v>126358.66</v>
      </c>
      <c r="K123" s="1807">
        <v>140914.92000000001</v>
      </c>
      <c r="L123" s="1807">
        <v>132077.64000000001</v>
      </c>
      <c r="M123" s="1807">
        <v>370899.53</v>
      </c>
      <c r="N123" s="1809">
        <v>100803.63</v>
      </c>
    </row>
    <row r="124" spans="1:14" ht="13">
      <c r="A124" s="1805" t="s">
        <v>79</v>
      </c>
      <c r="B124" s="1806" t="s">
        <v>1691</v>
      </c>
      <c r="C124" s="922">
        <v>0</v>
      </c>
      <c r="D124" s="922">
        <v>0</v>
      </c>
      <c r="E124" s="1807">
        <v>30978</v>
      </c>
      <c r="F124" s="922">
        <v>0</v>
      </c>
      <c r="G124" s="922">
        <v>0</v>
      </c>
      <c r="H124" s="922">
        <v>0</v>
      </c>
      <c r="I124" s="922">
        <v>0</v>
      </c>
      <c r="J124" s="922">
        <v>0</v>
      </c>
      <c r="K124" s="922">
        <v>0</v>
      </c>
      <c r="L124" s="922">
        <v>0</v>
      </c>
      <c r="M124" s="922">
        <v>0</v>
      </c>
      <c r="N124" s="1808">
        <v>0</v>
      </c>
    </row>
    <row r="125" spans="1:14" ht="13">
      <c r="A125" s="1805" t="s">
        <v>103</v>
      </c>
      <c r="B125" s="1806" t="s">
        <v>1691</v>
      </c>
      <c r="C125" s="1807">
        <v>3008620.7</v>
      </c>
      <c r="D125" s="1807">
        <v>1373851.73</v>
      </c>
      <c r="E125" s="1807">
        <v>3503450.34</v>
      </c>
      <c r="F125" s="1807">
        <v>583493.12</v>
      </c>
      <c r="G125" s="1807">
        <v>667494</v>
      </c>
      <c r="H125" s="1807">
        <v>1053119.2</v>
      </c>
      <c r="I125" s="1807">
        <v>991483.28</v>
      </c>
      <c r="J125" s="1807">
        <v>2351545.6</v>
      </c>
      <c r="K125" s="1807">
        <v>850764</v>
      </c>
      <c r="L125" s="1807">
        <v>3935286.95</v>
      </c>
      <c r="M125" s="1807">
        <v>3753699.61</v>
      </c>
      <c r="N125" s="1809">
        <v>5670000.2999999998</v>
      </c>
    </row>
    <row r="126" spans="1:14" ht="13">
      <c r="A126" s="1805" t="s">
        <v>1607</v>
      </c>
      <c r="B126" s="1806" t="s">
        <v>1691</v>
      </c>
      <c r="C126" s="922">
        <v>0</v>
      </c>
      <c r="D126" s="922">
        <v>0</v>
      </c>
      <c r="E126" s="922">
        <v>0</v>
      </c>
      <c r="F126" s="922">
        <v>0</v>
      </c>
      <c r="G126" s="922">
        <v>0</v>
      </c>
      <c r="H126" s="922">
        <v>0</v>
      </c>
      <c r="I126" s="922">
        <v>0</v>
      </c>
      <c r="J126" s="922">
        <v>0</v>
      </c>
      <c r="K126" s="922">
        <v>0</v>
      </c>
      <c r="L126" s="922">
        <v>0</v>
      </c>
      <c r="M126" s="922">
        <v>0</v>
      </c>
      <c r="N126" s="1809">
        <v>1563462.88</v>
      </c>
    </row>
    <row r="127" spans="1:14" ht="13">
      <c r="A127" s="1805" t="s">
        <v>172</v>
      </c>
      <c r="B127" s="1806" t="s">
        <v>1691</v>
      </c>
      <c r="C127" s="1807">
        <v>130044.17</v>
      </c>
      <c r="D127" s="922">
        <v>0</v>
      </c>
      <c r="E127" s="922">
        <v>0</v>
      </c>
      <c r="F127" s="1807">
        <v>154663.14000000001</v>
      </c>
      <c r="G127" s="1807">
        <v>133407.20000000001</v>
      </c>
      <c r="H127" s="1807">
        <v>139602.48000000001</v>
      </c>
      <c r="I127" s="1807">
        <v>158323.45000000001</v>
      </c>
      <c r="J127" s="1807">
        <v>108231.1</v>
      </c>
      <c r="K127" s="1807">
        <v>317414.44</v>
      </c>
      <c r="L127" s="1807">
        <v>219214.38</v>
      </c>
      <c r="M127" s="922">
        <v>0</v>
      </c>
      <c r="N127" s="1809">
        <v>113838.16</v>
      </c>
    </row>
    <row r="128" spans="1:14" ht="13">
      <c r="A128" s="1805" t="s">
        <v>205</v>
      </c>
      <c r="B128" s="1806" t="s">
        <v>1691</v>
      </c>
      <c r="C128" s="1807">
        <v>137022.34</v>
      </c>
      <c r="D128" s="1807">
        <v>289360.13</v>
      </c>
      <c r="E128" s="1807">
        <v>133263.99</v>
      </c>
      <c r="F128" s="1807">
        <v>162108.84</v>
      </c>
      <c r="G128" s="1807">
        <v>207155.06</v>
      </c>
      <c r="H128" s="1807">
        <v>83075.16</v>
      </c>
      <c r="I128" s="1807">
        <v>311047.23</v>
      </c>
      <c r="J128" s="1807">
        <v>205015.45</v>
      </c>
      <c r="K128" s="1807">
        <v>77927.42</v>
      </c>
      <c r="L128" s="1807">
        <v>120491.16</v>
      </c>
      <c r="M128" s="1807">
        <v>125447.8</v>
      </c>
      <c r="N128" s="1809">
        <v>56405.51</v>
      </c>
    </row>
    <row r="129" spans="1:14" ht="13">
      <c r="A129" s="1805" t="s">
        <v>126</v>
      </c>
      <c r="B129" s="1806" t="s">
        <v>1691</v>
      </c>
      <c r="C129" s="922">
        <v>0</v>
      </c>
      <c r="D129" s="922">
        <v>0</v>
      </c>
      <c r="E129" s="922">
        <v>0</v>
      </c>
      <c r="F129" s="922">
        <v>0</v>
      </c>
      <c r="G129" s="922">
        <v>0</v>
      </c>
      <c r="H129" s="922">
        <v>0</v>
      </c>
      <c r="I129" s="922">
        <v>0</v>
      </c>
      <c r="J129" s="922">
        <v>0</v>
      </c>
      <c r="K129" s="922">
        <v>0</v>
      </c>
      <c r="L129" s="922">
        <v>0</v>
      </c>
      <c r="M129" s="922">
        <v>0</v>
      </c>
      <c r="N129" s="1809">
        <v>66578.06</v>
      </c>
    </row>
    <row r="130" spans="1:14" ht="13">
      <c r="A130" s="1805" t="s">
        <v>1608</v>
      </c>
      <c r="B130" s="1806" t="s">
        <v>1691</v>
      </c>
      <c r="C130" s="922">
        <v>0</v>
      </c>
      <c r="D130" s="922">
        <v>0</v>
      </c>
      <c r="E130" s="922">
        <v>0</v>
      </c>
      <c r="F130" s="922">
        <v>0</v>
      </c>
      <c r="G130" s="922">
        <v>0</v>
      </c>
      <c r="H130" s="922">
        <v>0</v>
      </c>
      <c r="I130" s="922">
        <v>0</v>
      </c>
      <c r="J130" s="922">
        <v>0</v>
      </c>
      <c r="K130" s="922">
        <v>0</v>
      </c>
      <c r="L130" s="922">
        <v>0</v>
      </c>
      <c r="M130" s="922">
        <v>0</v>
      </c>
      <c r="N130" s="1809">
        <v>909844.65</v>
      </c>
    </row>
    <row r="131" spans="1:14" ht="13">
      <c r="A131" s="1805" t="s">
        <v>65</v>
      </c>
      <c r="B131" s="1806" t="s">
        <v>1691</v>
      </c>
      <c r="C131" s="1807">
        <v>1619054.63</v>
      </c>
      <c r="D131" s="1807">
        <v>499675.99</v>
      </c>
      <c r="E131" s="1807">
        <v>633578.85</v>
      </c>
      <c r="F131" s="1807">
        <v>1419591.26</v>
      </c>
      <c r="G131" s="1807">
        <v>927780.34</v>
      </c>
      <c r="H131" s="1807">
        <v>1193080.05</v>
      </c>
      <c r="I131" s="1807">
        <v>3226023.51</v>
      </c>
      <c r="J131" s="922">
        <v>0</v>
      </c>
      <c r="K131" s="1807">
        <v>393776.97</v>
      </c>
      <c r="L131" s="1807">
        <v>2735282.92</v>
      </c>
      <c r="M131" s="1807">
        <v>747842.66</v>
      </c>
      <c r="N131" s="1808">
        <v>0</v>
      </c>
    </row>
    <row r="132" spans="1:14" ht="13">
      <c r="A132" s="1805" t="s">
        <v>121</v>
      </c>
      <c r="B132" s="1806" t="s">
        <v>1691</v>
      </c>
      <c r="C132" s="1807">
        <v>907187.81</v>
      </c>
      <c r="D132" s="1807">
        <v>1022630</v>
      </c>
      <c r="E132" s="1807">
        <v>1931547.28</v>
      </c>
      <c r="F132" s="1807">
        <v>648854.56000000006</v>
      </c>
      <c r="G132" s="1807">
        <v>970049.38</v>
      </c>
      <c r="H132" s="1807">
        <v>1017673.68</v>
      </c>
      <c r="I132" s="1807">
        <v>1033643.29</v>
      </c>
      <c r="J132" s="1807">
        <v>1959426.12</v>
      </c>
      <c r="K132" s="1807">
        <v>1338211.71</v>
      </c>
      <c r="L132" s="1807">
        <v>1422102.82</v>
      </c>
      <c r="M132" s="1807">
        <v>1561743.52</v>
      </c>
      <c r="N132" s="1809">
        <v>341093.36</v>
      </c>
    </row>
    <row r="133" spans="1:14" ht="13">
      <c r="A133" s="420"/>
      <c r="B133" s="1810"/>
      <c r="C133" s="1811"/>
      <c r="D133" s="419"/>
      <c r="E133" s="419"/>
      <c r="F133" s="419"/>
      <c r="G133" s="419"/>
      <c r="H133" s="419"/>
      <c r="I133" s="419"/>
      <c r="J133" s="419"/>
      <c r="K133" s="419"/>
      <c r="L133" s="419"/>
      <c r="M133" s="419"/>
      <c r="N133" s="703"/>
    </row>
    <row r="134" spans="1:14" ht="13">
      <c r="B134" s="553"/>
      <c r="C134" s="1789"/>
    </row>
    <row r="135" spans="1:14" ht="13">
      <c r="B135" s="553"/>
      <c r="C135" s="1789"/>
    </row>
    <row r="136" spans="1:14" ht="13">
      <c r="B136" s="553"/>
      <c r="C136" s="1789"/>
    </row>
    <row r="137" spans="1:14" ht="13">
      <c r="B137" s="553"/>
      <c r="C137" s="1789"/>
    </row>
    <row r="138" spans="1:14" ht="13">
      <c r="A138" s="1812" t="s">
        <v>6</v>
      </c>
      <c r="B138" s="1813" t="s">
        <v>241</v>
      </c>
      <c r="C138" s="1814">
        <v>45292</v>
      </c>
      <c r="D138" s="1815">
        <v>45323</v>
      </c>
      <c r="E138" s="1815">
        <v>45352</v>
      </c>
      <c r="F138" s="1815">
        <v>45383</v>
      </c>
      <c r="G138" s="1815">
        <v>45413</v>
      </c>
      <c r="H138" s="1815">
        <v>45444</v>
      </c>
      <c r="I138" s="1815">
        <v>45474</v>
      </c>
      <c r="J138" s="1815">
        <v>45505</v>
      </c>
      <c r="K138" s="1815">
        <v>45536</v>
      </c>
      <c r="L138" s="1816">
        <v>45566</v>
      </c>
      <c r="M138" s="1816">
        <v>45597</v>
      </c>
      <c r="N138" s="1817">
        <v>45627</v>
      </c>
    </row>
    <row r="139" spans="1:14" ht="13">
      <c r="A139" s="1818" t="s">
        <v>241</v>
      </c>
      <c r="B139" s="1819">
        <v>1334624039.72</v>
      </c>
      <c r="C139" s="1820">
        <v>86222709.609999999</v>
      </c>
      <c r="D139" s="361">
        <v>93752594.459999993</v>
      </c>
      <c r="E139" s="361">
        <v>85823682.25</v>
      </c>
      <c r="F139" s="361">
        <v>100725071.98999999</v>
      </c>
      <c r="G139" s="361">
        <v>93326463.120000005</v>
      </c>
      <c r="H139" s="361">
        <v>79131674.310000002</v>
      </c>
      <c r="I139" s="361">
        <v>118438588.39</v>
      </c>
      <c r="J139" s="361">
        <v>101482362.23</v>
      </c>
      <c r="K139" s="361">
        <v>118302119.34</v>
      </c>
      <c r="L139" s="361">
        <v>140036333.44999999</v>
      </c>
      <c r="M139" s="361">
        <v>170204152.55000001</v>
      </c>
      <c r="N139" s="1821">
        <v>147178288.03</v>
      </c>
    </row>
    <row r="140" spans="1:14" ht="13">
      <c r="A140" s="1818" t="s">
        <v>262</v>
      </c>
      <c r="B140" s="1819">
        <v>243377161.88</v>
      </c>
      <c r="C140" s="1820">
        <v>12565326.119999999</v>
      </c>
      <c r="D140" s="361">
        <v>15505524.92</v>
      </c>
      <c r="E140" s="361">
        <v>26391318.969999999</v>
      </c>
      <c r="F140" s="361">
        <v>12832285.550000001</v>
      </c>
      <c r="G140" s="361">
        <v>17326608.960000001</v>
      </c>
      <c r="H140" s="361">
        <v>16234173.949999999</v>
      </c>
      <c r="I140" s="361">
        <v>18861332.879999999</v>
      </c>
      <c r="J140" s="361">
        <v>14656666.74</v>
      </c>
      <c r="K140" s="361">
        <v>25646221.780000001</v>
      </c>
      <c r="L140" s="361">
        <v>26731973.899999999</v>
      </c>
      <c r="M140" s="361">
        <v>33299777.920000002</v>
      </c>
      <c r="N140" s="1821">
        <v>23325950.210000001</v>
      </c>
    </row>
    <row r="141" spans="1:14" ht="13">
      <c r="A141" s="1818" t="s">
        <v>1636</v>
      </c>
      <c r="B141" s="1819">
        <v>104278190.45</v>
      </c>
      <c r="C141" s="1820">
        <v>6520435.21</v>
      </c>
      <c r="D141" s="361">
        <v>10718390.51</v>
      </c>
      <c r="E141" s="361">
        <v>4361822.8899999997</v>
      </c>
      <c r="F141" s="361">
        <v>7061070.7000000002</v>
      </c>
      <c r="G141" s="361">
        <v>7756436.2400000002</v>
      </c>
      <c r="H141" s="361">
        <v>3208681.71</v>
      </c>
      <c r="I141" s="361">
        <v>6800634.3200000003</v>
      </c>
      <c r="J141" s="361">
        <v>9524601.4700000007</v>
      </c>
      <c r="K141" s="361">
        <v>6993813.3300000001</v>
      </c>
      <c r="L141" s="361">
        <v>12326663.300000001</v>
      </c>
      <c r="M141" s="361">
        <v>13972009.710000001</v>
      </c>
      <c r="N141" s="1821">
        <v>15033631.060000001</v>
      </c>
    </row>
    <row r="142" spans="1:14" ht="13">
      <c r="A142" s="1818" t="s">
        <v>263</v>
      </c>
      <c r="B142" s="1819">
        <v>78657378.75</v>
      </c>
      <c r="C142" s="1820">
        <v>8649842.2899999991</v>
      </c>
      <c r="D142" s="361">
        <v>3662666.44</v>
      </c>
      <c r="E142" s="361">
        <v>4098389.3</v>
      </c>
      <c r="F142" s="361">
        <v>3249150.33</v>
      </c>
      <c r="G142" s="361">
        <v>14504644.18</v>
      </c>
      <c r="H142" s="361">
        <v>4533752.9400000004</v>
      </c>
      <c r="I142" s="361">
        <v>9129780.7100000009</v>
      </c>
      <c r="J142" s="361">
        <v>3974417.28</v>
      </c>
      <c r="K142" s="361">
        <v>5864198</v>
      </c>
      <c r="L142" s="361">
        <v>3569193.91</v>
      </c>
      <c r="M142" s="361">
        <v>14998435.83</v>
      </c>
      <c r="N142" s="1821">
        <v>2422907.5299999998</v>
      </c>
    </row>
    <row r="143" spans="1:14" ht="13">
      <c r="A143" s="1818" t="s">
        <v>261</v>
      </c>
      <c r="B143" s="1819">
        <v>75110773.900000006</v>
      </c>
      <c r="C143" s="1820">
        <v>5797902.0800000001</v>
      </c>
      <c r="D143" s="361">
        <v>5653394.3099999996</v>
      </c>
      <c r="E143" s="361">
        <v>2336937.04</v>
      </c>
      <c r="F143" s="361">
        <v>7085752.5499999998</v>
      </c>
      <c r="G143" s="361">
        <v>2566976.2799999998</v>
      </c>
      <c r="H143" s="361">
        <v>977888.01</v>
      </c>
      <c r="I143" s="361">
        <v>9180414.2400000002</v>
      </c>
      <c r="J143" s="361">
        <v>7799027.7300000004</v>
      </c>
      <c r="K143" s="361">
        <v>3075854.79</v>
      </c>
      <c r="L143" s="361">
        <v>10891489.48</v>
      </c>
      <c r="M143" s="361">
        <v>5305187.05</v>
      </c>
      <c r="N143" s="1821">
        <v>14439950.34</v>
      </c>
    </row>
    <row r="144" spans="1:14" ht="13">
      <c r="A144" s="1818" t="s">
        <v>256</v>
      </c>
      <c r="B144" s="1819">
        <v>63469879.100000001</v>
      </c>
      <c r="C144" s="1820">
        <v>4141401.77</v>
      </c>
      <c r="D144" s="361">
        <v>2353303.0099999998</v>
      </c>
      <c r="E144" s="361">
        <v>3054385.34</v>
      </c>
      <c r="F144" s="361">
        <v>5751488.6900000004</v>
      </c>
      <c r="G144" s="361">
        <v>3970025.9</v>
      </c>
      <c r="H144" s="361">
        <v>3320364.71</v>
      </c>
      <c r="I144" s="361">
        <v>5863199.8399999999</v>
      </c>
      <c r="J144" s="361">
        <v>7663994.8700000001</v>
      </c>
      <c r="K144" s="361">
        <v>3268310.1</v>
      </c>
      <c r="L144" s="361">
        <v>7465151.6399999997</v>
      </c>
      <c r="M144" s="361">
        <v>8403318.0299999993</v>
      </c>
      <c r="N144" s="1821">
        <v>8214935.2199999997</v>
      </c>
    </row>
    <row r="145" spans="1:14" ht="13">
      <c r="A145" s="1818" t="s">
        <v>260</v>
      </c>
      <c r="B145" s="1819">
        <v>51512050.850000001</v>
      </c>
      <c r="C145" s="1820">
        <v>3953337.56</v>
      </c>
      <c r="D145" s="361">
        <v>3106789.23</v>
      </c>
      <c r="E145" s="361">
        <v>3219113.11</v>
      </c>
      <c r="F145" s="361">
        <v>3428638.86</v>
      </c>
      <c r="G145" s="361">
        <v>4241732.01</v>
      </c>
      <c r="H145" s="361">
        <v>1786452.86</v>
      </c>
      <c r="I145" s="361">
        <v>4720895.5199999996</v>
      </c>
      <c r="J145" s="361">
        <v>3389800.71</v>
      </c>
      <c r="K145" s="361">
        <v>4725090.7699999996</v>
      </c>
      <c r="L145" s="361">
        <v>6603558.3200000003</v>
      </c>
      <c r="M145" s="361">
        <v>7628761.9000000004</v>
      </c>
      <c r="N145" s="1821">
        <v>4707880</v>
      </c>
    </row>
    <row r="146" spans="1:14" ht="13">
      <c r="A146" s="1818" t="s">
        <v>285</v>
      </c>
      <c r="B146" s="1819">
        <v>51264479.670000002</v>
      </c>
      <c r="C146" s="1820">
        <v>2733644.08</v>
      </c>
      <c r="D146" s="361">
        <v>6742201.3499999996</v>
      </c>
      <c r="E146" s="361">
        <v>5703320.2800000003</v>
      </c>
      <c r="F146" s="361">
        <v>6780864.4400000004</v>
      </c>
      <c r="G146" s="361">
        <v>658468.78</v>
      </c>
      <c r="H146" s="361">
        <v>6480004.3200000003</v>
      </c>
      <c r="I146" s="361">
        <v>4034731.71</v>
      </c>
      <c r="J146" s="361">
        <v>1012171.91</v>
      </c>
      <c r="K146" s="361">
        <v>6456950.6200000001</v>
      </c>
      <c r="L146" s="361">
        <v>4704293.1500000004</v>
      </c>
      <c r="M146" s="361">
        <v>4350956.54</v>
      </c>
      <c r="N146" s="1821">
        <v>1606872.49</v>
      </c>
    </row>
    <row r="147" spans="1:14" ht="13">
      <c r="A147" s="1818" t="s">
        <v>266</v>
      </c>
      <c r="B147" s="1819">
        <v>51021234.539999999</v>
      </c>
      <c r="C147" s="1820">
        <v>1441159.37</v>
      </c>
      <c r="D147" s="361">
        <v>3509978.66</v>
      </c>
      <c r="E147" s="361">
        <v>1729690.15</v>
      </c>
      <c r="F147" s="361">
        <v>6106511.3099999996</v>
      </c>
      <c r="G147" s="361">
        <v>6392855.2199999997</v>
      </c>
      <c r="H147" s="361">
        <v>6690288.2000000002</v>
      </c>
      <c r="I147" s="361">
        <v>8085094.9400000004</v>
      </c>
      <c r="J147" s="361">
        <v>2332170.75</v>
      </c>
      <c r="K147" s="361">
        <v>6663774.9000000004</v>
      </c>
      <c r="L147" s="361">
        <v>2484854.16</v>
      </c>
      <c r="M147" s="361">
        <v>3130166.29</v>
      </c>
      <c r="N147" s="1821">
        <v>2454690.58</v>
      </c>
    </row>
    <row r="148" spans="1:14" ht="13">
      <c r="A148" s="1818" t="s">
        <v>1673</v>
      </c>
      <c r="B148" s="1819">
        <v>42794967.899999999</v>
      </c>
      <c r="C148" s="1820">
        <v>2705520.93</v>
      </c>
      <c r="D148" s="361">
        <v>3346319.05</v>
      </c>
      <c r="E148" s="361">
        <v>2287926.9500000002</v>
      </c>
      <c r="F148" s="361">
        <v>1749809.49</v>
      </c>
      <c r="G148" s="361">
        <v>130187.87</v>
      </c>
      <c r="H148" s="361">
        <v>1200308.8899999999</v>
      </c>
      <c r="I148" s="361">
        <v>1723139.42</v>
      </c>
      <c r="J148" s="361">
        <v>2811099.46</v>
      </c>
      <c r="K148" s="361">
        <v>2478832.39</v>
      </c>
      <c r="L148" s="361">
        <v>7701827.7699999996</v>
      </c>
      <c r="M148" s="361">
        <v>11521283.59</v>
      </c>
      <c r="N148" s="1821">
        <v>5138712.09</v>
      </c>
    </row>
    <row r="149" spans="1:14" ht="13">
      <c r="A149" s="1818" t="s">
        <v>291</v>
      </c>
      <c r="B149" s="1819">
        <v>31811318.300000001</v>
      </c>
      <c r="C149" s="1820">
        <v>1370180.31</v>
      </c>
      <c r="D149" s="361">
        <v>981061.36</v>
      </c>
      <c r="E149" s="361">
        <v>3015235.9</v>
      </c>
      <c r="F149" s="361">
        <v>7976738.5499999998</v>
      </c>
      <c r="G149" s="361">
        <v>1014706.64</v>
      </c>
      <c r="H149" s="361">
        <v>462414.83</v>
      </c>
      <c r="I149" s="361">
        <v>1599594.32</v>
      </c>
      <c r="J149" s="361">
        <v>4631632.55</v>
      </c>
      <c r="K149" s="361">
        <v>3346617.08</v>
      </c>
      <c r="L149" s="361">
        <v>919279.88</v>
      </c>
      <c r="M149" s="361">
        <v>1015906.8</v>
      </c>
      <c r="N149" s="1821">
        <v>5477950.1100000003</v>
      </c>
    </row>
    <row r="150" spans="1:14" ht="13">
      <c r="A150" s="1818" t="s">
        <v>302</v>
      </c>
      <c r="B150" s="1819">
        <v>31495731.93</v>
      </c>
      <c r="C150" s="1820">
        <v>2431937.4900000002</v>
      </c>
      <c r="D150" s="361">
        <v>2841206.4</v>
      </c>
      <c r="E150" s="361">
        <v>1162467.96</v>
      </c>
      <c r="F150" s="361">
        <v>2425000.85</v>
      </c>
      <c r="G150" s="361">
        <v>2378030.66</v>
      </c>
      <c r="H150" s="361">
        <v>2014644.69</v>
      </c>
      <c r="I150" s="361">
        <v>3211505.62</v>
      </c>
      <c r="J150" s="361">
        <v>2580923.17</v>
      </c>
      <c r="K150" s="361">
        <v>1893038.13</v>
      </c>
      <c r="L150" s="361">
        <v>1834367.17</v>
      </c>
      <c r="M150" s="361">
        <v>3988182.73</v>
      </c>
      <c r="N150" s="1821">
        <v>4734427.0599999996</v>
      </c>
    </row>
    <row r="151" spans="1:14" ht="13">
      <c r="A151" s="1818" t="s">
        <v>268</v>
      </c>
      <c r="B151" s="1819">
        <v>31194642.719999999</v>
      </c>
      <c r="C151" s="1820">
        <v>2253947.5099999998</v>
      </c>
      <c r="D151" s="361">
        <v>5929672.4199999999</v>
      </c>
      <c r="E151" s="361">
        <v>1356091.35</v>
      </c>
      <c r="F151" s="361">
        <v>2326610.6</v>
      </c>
      <c r="G151" s="361">
        <v>1938448.39</v>
      </c>
      <c r="H151" s="361">
        <v>2237414.2999999998</v>
      </c>
      <c r="I151" s="361">
        <v>1573086.17</v>
      </c>
      <c r="J151" s="361">
        <v>1215524.47</v>
      </c>
      <c r="K151" s="361">
        <v>4174211.85</v>
      </c>
      <c r="L151" s="361">
        <v>2524802.73</v>
      </c>
      <c r="M151" s="361">
        <v>2670879.16</v>
      </c>
      <c r="N151" s="1821">
        <v>2993953.78</v>
      </c>
    </row>
    <row r="152" spans="1:14" ht="13">
      <c r="A152" s="1818" t="s">
        <v>279</v>
      </c>
      <c r="B152" s="1819">
        <v>30539132.960000001</v>
      </c>
      <c r="C152" s="1820">
        <v>1253986.6000000001</v>
      </c>
      <c r="D152" s="361">
        <v>1445120.45</v>
      </c>
      <c r="E152" s="361">
        <v>2441702.66</v>
      </c>
      <c r="F152" s="361">
        <v>2161987.66</v>
      </c>
      <c r="G152" s="361">
        <v>1092052.6000000001</v>
      </c>
      <c r="H152" s="361">
        <v>879295.79</v>
      </c>
      <c r="I152" s="361">
        <v>7996791.2300000004</v>
      </c>
      <c r="J152" s="361">
        <v>1803188.89</v>
      </c>
      <c r="K152" s="361">
        <v>3021800.68</v>
      </c>
      <c r="L152" s="361">
        <v>2971294.8</v>
      </c>
      <c r="M152" s="361">
        <v>2919008.1</v>
      </c>
      <c r="N152" s="1821">
        <v>2552903.5</v>
      </c>
    </row>
    <row r="153" spans="1:14" ht="13">
      <c r="A153" s="1818" t="s">
        <v>334</v>
      </c>
      <c r="B153" s="1819">
        <v>25627915.530000001</v>
      </c>
      <c r="C153" s="1820">
        <v>1304062</v>
      </c>
      <c r="D153" s="361">
        <v>1284281.08</v>
      </c>
      <c r="E153" s="361">
        <v>2878017.13</v>
      </c>
      <c r="F153" s="361">
        <v>857508.74</v>
      </c>
      <c r="G153" s="361">
        <v>2900257.12</v>
      </c>
      <c r="H153" s="361">
        <v>3312018.15</v>
      </c>
      <c r="I153" s="361">
        <v>3010923.11</v>
      </c>
      <c r="J153" s="361">
        <v>303551.31</v>
      </c>
      <c r="K153" s="361">
        <v>3041369.08</v>
      </c>
      <c r="L153" s="361">
        <v>2516600.67</v>
      </c>
      <c r="M153" s="361">
        <v>1263236.74</v>
      </c>
      <c r="N153" s="1821">
        <v>2956090.4</v>
      </c>
    </row>
    <row r="154" spans="1:14" ht="13">
      <c r="A154" s="1818" t="s">
        <v>267</v>
      </c>
      <c r="B154" s="1819">
        <v>25620391.789999999</v>
      </c>
      <c r="C154" s="1822">
        <v>0</v>
      </c>
      <c r="D154" s="361">
        <v>1414406.6</v>
      </c>
      <c r="E154" s="361">
        <v>507609.53</v>
      </c>
      <c r="F154" s="361">
        <v>3178725.19</v>
      </c>
      <c r="G154" s="361">
        <v>575182.69999999995</v>
      </c>
      <c r="H154" s="361">
        <v>173142</v>
      </c>
      <c r="I154" s="361">
        <v>697222.12</v>
      </c>
      <c r="J154" s="361">
        <v>2757314.78</v>
      </c>
      <c r="K154" s="361">
        <v>150470.28</v>
      </c>
      <c r="L154" s="361">
        <v>6092325.8600000003</v>
      </c>
      <c r="M154" s="361">
        <v>7257106.0099999998</v>
      </c>
      <c r="N154" s="1821">
        <v>2816886.71</v>
      </c>
    </row>
    <row r="155" spans="1:14" ht="13">
      <c r="A155" s="1818" t="s">
        <v>283</v>
      </c>
      <c r="B155" s="1819">
        <v>25461891.640000001</v>
      </c>
      <c r="C155" s="1820">
        <v>1598728.48</v>
      </c>
      <c r="D155" s="361">
        <v>2057429.89</v>
      </c>
      <c r="E155" s="361">
        <v>857971.28</v>
      </c>
      <c r="F155" s="361">
        <v>1406051.29</v>
      </c>
      <c r="G155" s="361">
        <v>1640770.3</v>
      </c>
      <c r="H155" s="361">
        <v>1411241.74</v>
      </c>
      <c r="I155" s="361">
        <v>3470677.37</v>
      </c>
      <c r="J155" s="361">
        <v>3673125.19</v>
      </c>
      <c r="K155" s="361">
        <v>3066595.15</v>
      </c>
      <c r="L155" s="361">
        <v>1716796.8</v>
      </c>
      <c r="M155" s="361">
        <v>2721971.26</v>
      </c>
      <c r="N155" s="1821">
        <v>1840532.88</v>
      </c>
    </row>
    <row r="156" spans="1:14" ht="13">
      <c r="A156" s="1818" t="s">
        <v>288</v>
      </c>
      <c r="B156" s="1819">
        <v>22933522.170000002</v>
      </c>
      <c r="C156" s="1820">
        <v>1886660.25</v>
      </c>
      <c r="D156" s="361">
        <v>1133116.74</v>
      </c>
      <c r="E156" s="361">
        <v>1151224.94</v>
      </c>
      <c r="F156" s="361">
        <v>1215851.01</v>
      </c>
      <c r="G156" s="361">
        <v>1233868.17</v>
      </c>
      <c r="H156" s="361">
        <v>1498838.75</v>
      </c>
      <c r="I156" s="361">
        <v>1398943.71</v>
      </c>
      <c r="J156" s="361">
        <v>1842725.85</v>
      </c>
      <c r="K156" s="361">
        <v>2154340.54</v>
      </c>
      <c r="L156" s="361">
        <v>2629635.0699999998</v>
      </c>
      <c r="M156" s="361">
        <v>3212770.41</v>
      </c>
      <c r="N156" s="1821">
        <v>3575546.73</v>
      </c>
    </row>
    <row r="157" spans="1:14" ht="13">
      <c r="A157" s="1818" t="s">
        <v>264</v>
      </c>
      <c r="B157" s="1819">
        <v>18851256.41</v>
      </c>
      <c r="C157" s="1822">
        <v>0</v>
      </c>
      <c r="D157" s="361">
        <v>1897524.87</v>
      </c>
      <c r="E157" s="365">
        <v>0</v>
      </c>
      <c r="F157" s="365">
        <v>0</v>
      </c>
      <c r="G157" s="361">
        <v>2429407.36</v>
      </c>
      <c r="H157" s="365">
        <v>1.19</v>
      </c>
      <c r="I157" s="365">
        <v>0</v>
      </c>
      <c r="J157" s="365">
        <v>0</v>
      </c>
      <c r="K157" s="361">
        <v>2677162.04</v>
      </c>
      <c r="L157" s="361">
        <v>3521699.45</v>
      </c>
      <c r="M157" s="361">
        <v>5546050.7300000004</v>
      </c>
      <c r="N157" s="1821">
        <v>2779410.78</v>
      </c>
    </row>
    <row r="158" spans="1:14" ht="13">
      <c r="A158" s="1818" t="s">
        <v>293</v>
      </c>
      <c r="B158" s="1819">
        <v>16598617.609999999</v>
      </c>
      <c r="C158" s="1820">
        <v>1458494.97</v>
      </c>
      <c r="D158" s="361">
        <v>911424.06</v>
      </c>
      <c r="E158" s="361">
        <v>646155.43000000005</v>
      </c>
      <c r="F158" s="361">
        <v>1808204.16</v>
      </c>
      <c r="G158" s="361">
        <v>673241.91</v>
      </c>
      <c r="H158" s="361">
        <v>509215.37</v>
      </c>
      <c r="I158" s="361">
        <v>904132.61</v>
      </c>
      <c r="J158" s="361">
        <v>915351.71</v>
      </c>
      <c r="K158" s="361">
        <v>2266695.3199999998</v>
      </c>
      <c r="L158" s="361">
        <v>1526609.38</v>
      </c>
      <c r="M158" s="361">
        <v>2779402.59</v>
      </c>
      <c r="N158" s="1821">
        <v>2199690.1</v>
      </c>
    </row>
    <row r="159" spans="1:14" ht="13">
      <c r="A159" s="1818" t="s">
        <v>258</v>
      </c>
      <c r="B159" s="1819">
        <v>16298017.890000001</v>
      </c>
      <c r="C159" s="1820">
        <v>289957.57</v>
      </c>
      <c r="D159" s="361">
        <v>573815.18999999994</v>
      </c>
      <c r="E159" s="361">
        <v>1939247.44</v>
      </c>
      <c r="F159" s="361">
        <v>2867502.42</v>
      </c>
      <c r="G159" s="361">
        <v>514186.9</v>
      </c>
      <c r="H159" s="361">
        <v>38307.5</v>
      </c>
      <c r="I159" s="361">
        <v>2580101.1200000001</v>
      </c>
      <c r="J159" s="361">
        <v>2099250.2599999998</v>
      </c>
      <c r="K159" s="361">
        <v>271159.5</v>
      </c>
      <c r="L159" s="361">
        <v>419268.22</v>
      </c>
      <c r="M159" s="361">
        <v>755792.97</v>
      </c>
      <c r="N159" s="1821">
        <v>3949428.82</v>
      </c>
    </row>
    <row r="160" spans="1:14" ht="13">
      <c r="A160" s="1818" t="s">
        <v>318</v>
      </c>
      <c r="B160" s="1819">
        <v>16041715.93</v>
      </c>
      <c r="C160" s="1820">
        <v>1433584.6</v>
      </c>
      <c r="D160" s="361">
        <v>483844.6</v>
      </c>
      <c r="E160" s="361">
        <v>533639.76</v>
      </c>
      <c r="F160" s="361">
        <v>1200935</v>
      </c>
      <c r="G160" s="361">
        <v>1523155.9</v>
      </c>
      <c r="H160" s="361">
        <v>3972470.47</v>
      </c>
      <c r="I160" s="361">
        <v>231073.74</v>
      </c>
      <c r="J160" s="361">
        <v>1063880.7</v>
      </c>
      <c r="K160" s="361">
        <v>937175.19</v>
      </c>
      <c r="L160" s="361">
        <v>580499.5</v>
      </c>
      <c r="M160" s="361">
        <v>2605151.89</v>
      </c>
      <c r="N160" s="1821">
        <v>1476304.58</v>
      </c>
    </row>
    <row r="161" spans="1:14" ht="13">
      <c r="A161" s="1818" t="s">
        <v>275</v>
      </c>
      <c r="B161" s="1819">
        <v>14333727.58</v>
      </c>
      <c r="C161" s="1820">
        <v>839508.84</v>
      </c>
      <c r="D161" s="361">
        <v>607395.56000000006</v>
      </c>
      <c r="E161" s="361">
        <v>777219.01</v>
      </c>
      <c r="F161" s="361">
        <v>1748424.19</v>
      </c>
      <c r="G161" s="361">
        <v>1049760.82</v>
      </c>
      <c r="H161" s="361">
        <v>663778.31000000006</v>
      </c>
      <c r="I161" s="361">
        <v>976281.08</v>
      </c>
      <c r="J161" s="361">
        <v>1634429.75</v>
      </c>
      <c r="K161" s="361">
        <v>654915.64</v>
      </c>
      <c r="L161" s="361">
        <v>1589100.61</v>
      </c>
      <c r="M161" s="361">
        <v>1695037.93</v>
      </c>
      <c r="N161" s="1821">
        <v>2097875.85</v>
      </c>
    </row>
    <row r="162" spans="1:14" ht="13">
      <c r="A162" s="1818" t="s">
        <v>289</v>
      </c>
      <c r="B162" s="1819">
        <v>13800681.48</v>
      </c>
      <c r="C162" s="1820">
        <v>1759632.86</v>
      </c>
      <c r="D162" s="361">
        <v>757850.29</v>
      </c>
      <c r="E162" s="361">
        <v>981782.43</v>
      </c>
      <c r="F162" s="361">
        <v>709266.94</v>
      </c>
      <c r="G162" s="361">
        <v>739299.67</v>
      </c>
      <c r="H162" s="361">
        <v>477246.31</v>
      </c>
      <c r="I162" s="361">
        <v>736092.41</v>
      </c>
      <c r="J162" s="361">
        <v>1149601.58</v>
      </c>
      <c r="K162" s="361">
        <v>1425910.02</v>
      </c>
      <c r="L162" s="361">
        <v>1591278.83</v>
      </c>
      <c r="M162" s="361">
        <v>1687083.97</v>
      </c>
      <c r="N162" s="1821">
        <v>1785636.19</v>
      </c>
    </row>
    <row r="163" spans="1:14" ht="13">
      <c r="A163" s="1818" t="s">
        <v>1651</v>
      </c>
      <c r="B163" s="1819">
        <v>13523180.039999999</v>
      </c>
      <c r="C163" s="1820">
        <v>514875.64</v>
      </c>
      <c r="D163" s="361">
        <v>710444.4</v>
      </c>
      <c r="E163" s="361">
        <v>-130894.87</v>
      </c>
      <c r="F163" s="361">
        <v>1034443.13</v>
      </c>
      <c r="G163" s="365">
        <v>0</v>
      </c>
      <c r="H163" s="361">
        <v>514279.38</v>
      </c>
      <c r="I163" s="361">
        <v>361935.02</v>
      </c>
      <c r="J163" s="361">
        <v>525065.44999999995</v>
      </c>
      <c r="K163" s="361">
        <v>1068570.3999999999</v>
      </c>
      <c r="L163" s="361">
        <v>3036484.96</v>
      </c>
      <c r="M163" s="361">
        <v>2196843.88</v>
      </c>
      <c r="N163" s="1821">
        <v>3691132.66</v>
      </c>
    </row>
    <row r="164" spans="1:14" ht="13">
      <c r="A164" s="1818" t="s">
        <v>287</v>
      </c>
      <c r="B164" s="1819">
        <v>12754232.460000001</v>
      </c>
      <c r="C164" s="1820">
        <v>1130682.79</v>
      </c>
      <c r="D164" s="361">
        <v>1022462.49</v>
      </c>
      <c r="E164" s="361">
        <v>495803.08</v>
      </c>
      <c r="F164" s="361">
        <v>1040511.49</v>
      </c>
      <c r="G164" s="361">
        <v>1538097.55</v>
      </c>
      <c r="H164" s="361">
        <v>3664665.52</v>
      </c>
      <c r="I164" s="361">
        <v>214528.9</v>
      </c>
      <c r="J164" s="361">
        <v>614593.92000000004</v>
      </c>
      <c r="K164" s="361">
        <v>267901.71999999997</v>
      </c>
      <c r="L164" s="361">
        <v>898143.62</v>
      </c>
      <c r="M164" s="361">
        <v>470422.16</v>
      </c>
      <c r="N164" s="1821">
        <v>1396419.22</v>
      </c>
    </row>
    <row r="165" spans="1:14" ht="13">
      <c r="A165" s="1818" t="s">
        <v>299</v>
      </c>
      <c r="B165" s="1819">
        <v>11955826.960000001</v>
      </c>
      <c r="C165" s="1820">
        <v>1293448.8799999999</v>
      </c>
      <c r="D165" s="361">
        <v>1246998.1499999999</v>
      </c>
      <c r="E165" s="361">
        <v>1173842.1000000001</v>
      </c>
      <c r="F165" s="361">
        <v>549666.12</v>
      </c>
      <c r="G165" s="361">
        <v>840665.87</v>
      </c>
      <c r="H165" s="361">
        <v>675972.24</v>
      </c>
      <c r="I165" s="361">
        <v>506424.28</v>
      </c>
      <c r="J165" s="361">
        <v>1738244</v>
      </c>
      <c r="K165" s="361">
        <v>1135626.26</v>
      </c>
      <c r="L165" s="361">
        <v>329904.14</v>
      </c>
      <c r="M165" s="361">
        <v>1439024.16</v>
      </c>
      <c r="N165" s="1821">
        <v>1026010.75</v>
      </c>
    </row>
    <row r="166" spans="1:14" ht="13">
      <c r="A166" s="1818" t="s">
        <v>322</v>
      </c>
      <c r="B166" s="1819">
        <v>11685513.960000001</v>
      </c>
      <c r="C166" s="1820">
        <v>886750.86</v>
      </c>
      <c r="D166" s="361">
        <v>977045.3</v>
      </c>
      <c r="E166" s="361">
        <v>669123.86</v>
      </c>
      <c r="F166" s="361">
        <v>792454.6</v>
      </c>
      <c r="G166" s="361">
        <v>837438.2</v>
      </c>
      <c r="H166" s="361">
        <v>586267.43999999994</v>
      </c>
      <c r="I166" s="361">
        <v>1515083.83</v>
      </c>
      <c r="J166" s="361">
        <v>631406.56999999995</v>
      </c>
      <c r="K166" s="361">
        <v>842137</v>
      </c>
      <c r="L166" s="361">
        <v>1167723.74</v>
      </c>
      <c r="M166" s="361">
        <v>1424754.2</v>
      </c>
      <c r="N166" s="1821">
        <v>1355328.38</v>
      </c>
    </row>
    <row r="167" spans="1:14" ht="13">
      <c r="A167" s="1818" t="s">
        <v>323</v>
      </c>
      <c r="B167" s="1819">
        <v>11467873.689999999</v>
      </c>
      <c r="C167" s="1820">
        <v>1571076.62</v>
      </c>
      <c r="D167" s="361">
        <v>255463.15</v>
      </c>
      <c r="E167" s="361">
        <v>591730.6</v>
      </c>
      <c r="F167" s="361">
        <v>183444.58</v>
      </c>
      <c r="G167" s="361">
        <v>283897.5</v>
      </c>
      <c r="H167" s="361">
        <v>431988.06</v>
      </c>
      <c r="I167" s="361">
        <v>3156825.91</v>
      </c>
      <c r="J167" s="361">
        <v>186266.42</v>
      </c>
      <c r="K167" s="361">
        <v>2627346.44</v>
      </c>
      <c r="L167" s="361">
        <v>778497.29</v>
      </c>
      <c r="M167" s="361">
        <v>543929.25</v>
      </c>
      <c r="N167" s="1821">
        <v>857407.88</v>
      </c>
    </row>
    <row r="168" spans="1:14" ht="13">
      <c r="A168" s="1818" t="s">
        <v>271</v>
      </c>
      <c r="B168" s="1819">
        <v>10063543.560000001</v>
      </c>
      <c r="C168" s="1820">
        <v>1285107.33</v>
      </c>
      <c r="D168" s="361">
        <v>255524.23</v>
      </c>
      <c r="E168" s="361">
        <v>746419</v>
      </c>
      <c r="F168" s="361">
        <v>904632.6</v>
      </c>
      <c r="G168" s="361">
        <v>565997.30000000005</v>
      </c>
      <c r="H168" s="361">
        <v>344685.72</v>
      </c>
      <c r="I168" s="361">
        <v>542159.03</v>
      </c>
      <c r="J168" s="361">
        <v>1141408.32</v>
      </c>
      <c r="K168" s="361">
        <v>648979.41</v>
      </c>
      <c r="L168" s="361">
        <v>1168567.25</v>
      </c>
      <c r="M168" s="361">
        <v>1202408.4099999999</v>
      </c>
      <c r="N168" s="1821">
        <v>1257654.95</v>
      </c>
    </row>
    <row r="169" spans="1:14" ht="13">
      <c r="A169" s="1818" t="s">
        <v>270</v>
      </c>
      <c r="B169" s="1819">
        <v>8712797.9299999997</v>
      </c>
      <c r="C169" s="1820">
        <v>489855.39</v>
      </c>
      <c r="D169" s="361">
        <v>365964.36</v>
      </c>
      <c r="E169" s="361">
        <v>442840.25</v>
      </c>
      <c r="F169" s="361">
        <v>165464.19</v>
      </c>
      <c r="G169" s="361">
        <v>619613.38</v>
      </c>
      <c r="H169" s="361">
        <v>493241.35</v>
      </c>
      <c r="I169" s="361">
        <v>1241768.74</v>
      </c>
      <c r="J169" s="361">
        <v>359025.52</v>
      </c>
      <c r="K169" s="361">
        <v>755988.03</v>
      </c>
      <c r="L169" s="361">
        <v>1675427.8</v>
      </c>
      <c r="M169" s="361">
        <v>1053848.1499999999</v>
      </c>
      <c r="N169" s="1821">
        <v>1049760.77</v>
      </c>
    </row>
    <row r="170" spans="1:14" ht="13">
      <c r="A170" s="1818" t="s">
        <v>273</v>
      </c>
      <c r="B170" s="1819">
        <v>8130282.6799999997</v>
      </c>
      <c r="C170" s="1820">
        <v>157865.46</v>
      </c>
      <c r="D170" s="361">
        <v>185753.53</v>
      </c>
      <c r="E170" s="361">
        <v>796013.6</v>
      </c>
      <c r="F170" s="361">
        <v>635921.9</v>
      </c>
      <c r="G170" s="361">
        <v>392911.96</v>
      </c>
      <c r="H170" s="361">
        <v>318215.15000000002</v>
      </c>
      <c r="I170" s="361">
        <v>559420.84</v>
      </c>
      <c r="J170" s="361">
        <v>687686.82</v>
      </c>
      <c r="K170" s="361">
        <v>1180385.78</v>
      </c>
      <c r="L170" s="361">
        <v>1186208.3999999999</v>
      </c>
      <c r="M170" s="361">
        <v>1547616.96</v>
      </c>
      <c r="N170" s="1821">
        <v>482282.28</v>
      </c>
    </row>
    <row r="171" spans="1:14" ht="13">
      <c r="A171" s="1818" t="s">
        <v>344</v>
      </c>
      <c r="B171" s="1819">
        <v>7787629.7000000002</v>
      </c>
      <c r="C171" s="1820">
        <v>626875.18000000005</v>
      </c>
      <c r="D171" s="361">
        <v>1041816.34</v>
      </c>
      <c r="E171" s="361">
        <v>195787.92</v>
      </c>
      <c r="F171" s="361">
        <v>1324717.7</v>
      </c>
      <c r="G171" s="361">
        <v>484507.9</v>
      </c>
      <c r="H171" s="361">
        <v>270490.07</v>
      </c>
      <c r="I171" s="361">
        <v>305792.8</v>
      </c>
      <c r="J171" s="361">
        <v>777776.06</v>
      </c>
      <c r="K171" s="361">
        <v>406668.26</v>
      </c>
      <c r="L171" s="361">
        <v>363193.52</v>
      </c>
      <c r="M171" s="361">
        <v>1067033.72</v>
      </c>
      <c r="N171" s="1821">
        <v>922970.23</v>
      </c>
    </row>
    <row r="172" spans="1:14" ht="13">
      <c r="A172" s="1818" t="s">
        <v>340</v>
      </c>
      <c r="B172" s="1819">
        <v>7644166.0099999998</v>
      </c>
      <c r="C172" s="1820">
        <v>709253.17</v>
      </c>
      <c r="D172" s="361">
        <v>173872.1</v>
      </c>
      <c r="E172" s="361">
        <v>375042.37</v>
      </c>
      <c r="F172" s="361">
        <v>113267.77</v>
      </c>
      <c r="G172" s="361">
        <v>720802.61</v>
      </c>
      <c r="H172" s="361">
        <v>961622.91</v>
      </c>
      <c r="I172" s="361">
        <v>1100193.1299999999</v>
      </c>
      <c r="J172" s="361">
        <v>1219887.3600000001</v>
      </c>
      <c r="K172" s="365">
        <v>0</v>
      </c>
      <c r="L172" s="361">
        <v>1488049.84</v>
      </c>
      <c r="M172" s="361">
        <v>443384.1</v>
      </c>
      <c r="N172" s="1821">
        <v>338790.64</v>
      </c>
    </row>
    <row r="173" spans="1:14" ht="13">
      <c r="A173" s="1818" t="s">
        <v>298</v>
      </c>
      <c r="B173" s="1819">
        <v>7257119.1500000004</v>
      </c>
      <c r="C173" s="1822">
        <v>0</v>
      </c>
      <c r="D173" s="365">
        <v>0</v>
      </c>
      <c r="E173" s="365">
        <v>0</v>
      </c>
      <c r="F173" s="361">
        <v>570897.53</v>
      </c>
      <c r="G173" s="361">
        <v>539561.88</v>
      </c>
      <c r="H173" s="361">
        <v>672319.49</v>
      </c>
      <c r="I173" s="361">
        <v>802458.84</v>
      </c>
      <c r="J173" s="361">
        <v>1301482.47</v>
      </c>
      <c r="K173" s="361">
        <v>621787.29</v>
      </c>
      <c r="L173" s="361">
        <v>1013526.52</v>
      </c>
      <c r="M173" s="361">
        <v>558743.84</v>
      </c>
      <c r="N173" s="1821">
        <v>1176341.3</v>
      </c>
    </row>
    <row r="174" spans="1:14" ht="13">
      <c r="A174" s="1818" t="s">
        <v>301</v>
      </c>
      <c r="B174" s="1819">
        <v>7009686.0899999999</v>
      </c>
      <c r="C174" s="1820">
        <v>682201.67</v>
      </c>
      <c r="D174" s="361">
        <v>856334.79</v>
      </c>
      <c r="E174" s="361">
        <v>677143.6</v>
      </c>
      <c r="F174" s="361">
        <v>210449.57</v>
      </c>
      <c r="G174" s="361">
        <v>281564.32</v>
      </c>
      <c r="H174" s="361">
        <v>431588.32</v>
      </c>
      <c r="I174" s="361">
        <v>90003.22</v>
      </c>
      <c r="J174" s="361">
        <v>849707.87</v>
      </c>
      <c r="K174" s="361">
        <v>845473.95</v>
      </c>
      <c r="L174" s="361">
        <v>980566.55</v>
      </c>
      <c r="M174" s="361">
        <v>1104652.23</v>
      </c>
      <c r="N174" s="1823">
        <v>0</v>
      </c>
    </row>
    <row r="175" spans="1:14" ht="13">
      <c r="A175" s="1818" t="s">
        <v>276</v>
      </c>
      <c r="B175" s="1819">
        <v>6766100.7400000002</v>
      </c>
      <c r="C175" s="1820">
        <v>690502.35</v>
      </c>
      <c r="D175" s="361">
        <v>305941.55</v>
      </c>
      <c r="E175" s="361">
        <v>652487.96</v>
      </c>
      <c r="F175" s="361">
        <v>438147.62</v>
      </c>
      <c r="G175" s="361">
        <v>557693.41</v>
      </c>
      <c r="H175" s="361">
        <v>230535.88</v>
      </c>
      <c r="I175" s="361">
        <v>510405.01</v>
      </c>
      <c r="J175" s="361">
        <v>882281.59</v>
      </c>
      <c r="K175" s="361">
        <v>341615.72</v>
      </c>
      <c r="L175" s="361">
        <v>660117.78</v>
      </c>
      <c r="M175" s="361">
        <v>690944.56</v>
      </c>
      <c r="N175" s="1821">
        <v>805427.32</v>
      </c>
    </row>
    <row r="176" spans="1:14" ht="13">
      <c r="A176" s="1818" t="s">
        <v>343</v>
      </c>
      <c r="B176" s="1819">
        <v>6680455.0999999996</v>
      </c>
      <c r="C176" s="1820">
        <v>581622.72</v>
      </c>
      <c r="D176" s="361">
        <v>708344.8</v>
      </c>
      <c r="E176" s="361">
        <v>513310.53</v>
      </c>
      <c r="F176" s="361">
        <v>1039364.9</v>
      </c>
      <c r="G176" s="361">
        <v>368595.52</v>
      </c>
      <c r="H176" s="361">
        <v>187104.29</v>
      </c>
      <c r="I176" s="361">
        <v>45252.77</v>
      </c>
      <c r="J176" s="361">
        <v>454945.72</v>
      </c>
      <c r="K176" s="361">
        <v>1360551.63</v>
      </c>
      <c r="L176" s="361">
        <v>225039.78</v>
      </c>
      <c r="M176" s="361">
        <v>791504.53</v>
      </c>
      <c r="N176" s="1821">
        <v>404817.91999999998</v>
      </c>
    </row>
    <row r="177" spans="1:14" ht="13">
      <c r="A177" s="1818" t="s">
        <v>337</v>
      </c>
      <c r="B177" s="1819">
        <v>6386760.1299999999</v>
      </c>
      <c r="C177" s="1820">
        <v>493492.18</v>
      </c>
      <c r="D177" s="361">
        <v>860774.31</v>
      </c>
      <c r="E177" s="361">
        <v>540904.5</v>
      </c>
      <c r="F177" s="361">
        <v>83900.7</v>
      </c>
      <c r="G177" s="361">
        <v>75450.03</v>
      </c>
      <c r="H177" s="361">
        <v>387019.93</v>
      </c>
      <c r="I177" s="361">
        <v>203285.98</v>
      </c>
      <c r="J177" s="361">
        <v>1140035</v>
      </c>
      <c r="K177" s="361">
        <v>473390.24</v>
      </c>
      <c r="L177" s="361">
        <v>998341.78</v>
      </c>
      <c r="M177" s="361">
        <v>562801.4</v>
      </c>
      <c r="N177" s="1821">
        <v>567364.07999999996</v>
      </c>
    </row>
    <row r="178" spans="1:14" ht="13">
      <c r="A178" s="1818" t="s">
        <v>313</v>
      </c>
      <c r="B178" s="1819">
        <v>6070287.1600000001</v>
      </c>
      <c r="C178" s="1820">
        <v>112104.34</v>
      </c>
      <c r="D178" s="361">
        <v>394541</v>
      </c>
      <c r="E178" s="361">
        <v>517409.77</v>
      </c>
      <c r="F178" s="361">
        <v>187319.72</v>
      </c>
      <c r="G178" s="361">
        <v>164784.71</v>
      </c>
      <c r="H178" s="361">
        <v>514248.05</v>
      </c>
      <c r="I178" s="361">
        <v>438096.73</v>
      </c>
      <c r="J178" s="361">
        <v>719283.74</v>
      </c>
      <c r="K178" s="361">
        <v>742872.7</v>
      </c>
      <c r="L178" s="361">
        <v>957980.85</v>
      </c>
      <c r="M178" s="361">
        <v>775582.9</v>
      </c>
      <c r="N178" s="1821">
        <v>546062.64</v>
      </c>
    </row>
    <row r="179" spans="1:14" ht="13">
      <c r="A179" s="1818" t="s">
        <v>312</v>
      </c>
      <c r="B179" s="1819">
        <v>5834687.75</v>
      </c>
      <c r="C179" s="1820">
        <v>412690.65</v>
      </c>
      <c r="D179" s="361">
        <v>132854.94</v>
      </c>
      <c r="E179" s="361">
        <v>153219.84</v>
      </c>
      <c r="F179" s="361">
        <v>454788.47</v>
      </c>
      <c r="G179" s="361">
        <v>360489.28</v>
      </c>
      <c r="H179" s="361">
        <v>341335.05</v>
      </c>
      <c r="I179" s="361">
        <v>364126.1</v>
      </c>
      <c r="J179" s="361">
        <v>630960.01</v>
      </c>
      <c r="K179" s="361">
        <v>822875.51</v>
      </c>
      <c r="L179" s="361">
        <v>794738.37</v>
      </c>
      <c r="M179" s="361">
        <v>631762.31000000006</v>
      </c>
      <c r="N179" s="1821">
        <v>734847.23</v>
      </c>
    </row>
    <row r="180" spans="1:14" ht="13">
      <c r="A180" s="1818" t="s">
        <v>319</v>
      </c>
      <c r="B180" s="1819">
        <v>5789326.9100000001</v>
      </c>
      <c r="C180" s="1820">
        <v>529881.59999999998</v>
      </c>
      <c r="D180" s="361">
        <v>437301.1</v>
      </c>
      <c r="E180" s="361">
        <v>552274.91</v>
      </c>
      <c r="F180" s="361">
        <v>-78794.95</v>
      </c>
      <c r="G180" s="361">
        <v>464892.08</v>
      </c>
      <c r="H180" s="361">
        <v>360322.13</v>
      </c>
      <c r="I180" s="361">
        <v>748502.91</v>
      </c>
      <c r="J180" s="361">
        <v>290873.58</v>
      </c>
      <c r="K180" s="361">
        <v>373142.73</v>
      </c>
      <c r="L180" s="361">
        <v>690245.01</v>
      </c>
      <c r="M180" s="361">
        <v>761093.47</v>
      </c>
      <c r="N180" s="1821">
        <v>659592.37</v>
      </c>
    </row>
    <row r="181" spans="1:14" ht="13">
      <c r="A181" s="1818" t="s">
        <v>324</v>
      </c>
      <c r="B181" s="1819">
        <v>5658238.54</v>
      </c>
      <c r="C181" s="1820">
        <v>517114.07</v>
      </c>
      <c r="D181" s="361">
        <v>415976.1</v>
      </c>
      <c r="E181" s="361">
        <v>323174.58</v>
      </c>
      <c r="F181" s="361">
        <v>1035046.94</v>
      </c>
      <c r="G181" s="361">
        <v>222455.23</v>
      </c>
      <c r="H181" s="361">
        <v>105037.63</v>
      </c>
      <c r="I181" s="361">
        <v>250106.41</v>
      </c>
      <c r="J181" s="365">
        <v>0.41</v>
      </c>
      <c r="K181" s="361">
        <v>1084266.1399999999</v>
      </c>
      <c r="L181" s="361">
        <v>554910.75</v>
      </c>
      <c r="M181" s="361">
        <v>408712.28</v>
      </c>
      <c r="N181" s="1821">
        <v>741438</v>
      </c>
    </row>
    <row r="182" spans="1:14" ht="13">
      <c r="A182" s="1818" t="s">
        <v>280</v>
      </c>
      <c r="B182" s="1819">
        <v>4734716.87</v>
      </c>
      <c r="C182" s="1820">
        <v>622116.32999999996</v>
      </c>
      <c r="D182" s="361">
        <v>228956.4</v>
      </c>
      <c r="E182" s="361">
        <v>114883.69</v>
      </c>
      <c r="F182" s="361">
        <v>77623.59</v>
      </c>
      <c r="G182" s="365">
        <v>0</v>
      </c>
      <c r="H182" s="361">
        <v>366027.74</v>
      </c>
      <c r="I182" s="361">
        <v>1386455.64</v>
      </c>
      <c r="J182" s="361">
        <v>185416.22</v>
      </c>
      <c r="K182" s="361">
        <v>59551.16</v>
      </c>
      <c r="L182" s="361">
        <v>732689.65</v>
      </c>
      <c r="M182" s="361">
        <v>782289.5</v>
      </c>
      <c r="N182" s="1821">
        <v>178706.95</v>
      </c>
    </row>
    <row r="183" spans="1:14" ht="13">
      <c r="A183" s="1818" t="s">
        <v>305</v>
      </c>
      <c r="B183" s="1819">
        <v>4429931.41</v>
      </c>
      <c r="C183" s="1820">
        <v>185312.9</v>
      </c>
      <c r="D183" s="361">
        <v>219725.72</v>
      </c>
      <c r="E183" s="361">
        <v>298796.13</v>
      </c>
      <c r="F183" s="361">
        <v>793094.19</v>
      </c>
      <c r="G183" s="361">
        <v>567496.53</v>
      </c>
      <c r="H183" s="361">
        <v>81593.88</v>
      </c>
      <c r="I183" s="361">
        <v>262104.13</v>
      </c>
      <c r="J183" s="361">
        <v>525788.48</v>
      </c>
      <c r="K183" s="361">
        <v>259341.61</v>
      </c>
      <c r="L183" s="361">
        <v>312687.59999999998</v>
      </c>
      <c r="M183" s="361">
        <v>494295.44</v>
      </c>
      <c r="N183" s="1821">
        <v>429694.8</v>
      </c>
    </row>
    <row r="184" spans="1:14" ht="13">
      <c r="A184" s="1818" t="s">
        <v>308</v>
      </c>
      <c r="B184" s="1819">
        <v>4217813.22</v>
      </c>
      <c r="C184" s="1822">
        <v>0</v>
      </c>
      <c r="D184" s="365">
        <v>0</v>
      </c>
      <c r="E184" s="361">
        <v>421917.23</v>
      </c>
      <c r="F184" s="361">
        <v>458266.82</v>
      </c>
      <c r="G184" s="361">
        <v>520713.7</v>
      </c>
      <c r="H184" s="361">
        <v>685582.88</v>
      </c>
      <c r="I184" s="361">
        <v>653005.41</v>
      </c>
      <c r="J184" s="361">
        <v>40526.6</v>
      </c>
      <c r="K184" s="361">
        <v>597118.94999999995</v>
      </c>
      <c r="L184" s="361">
        <v>311138.19</v>
      </c>
      <c r="M184" s="361">
        <v>305010.53999999998</v>
      </c>
      <c r="N184" s="1821">
        <v>224532.9</v>
      </c>
    </row>
    <row r="185" spans="1:14" ht="13">
      <c r="A185" s="1818" t="s">
        <v>257</v>
      </c>
      <c r="B185" s="1819">
        <v>4162704.01</v>
      </c>
      <c r="C185" s="1820">
        <v>366892.57</v>
      </c>
      <c r="D185" s="361">
        <v>288013.18</v>
      </c>
      <c r="E185" s="361">
        <v>133535.66</v>
      </c>
      <c r="F185" s="361">
        <v>361133.41</v>
      </c>
      <c r="G185" s="361">
        <v>347574.73</v>
      </c>
      <c r="H185" s="361">
        <v>70322.2</v>
      </c>
      <c r="I185" s="361">
        <v>372710.5</v>
      </c>
      <c r="J185" s="361">
        <v>387393.04</v>
      </c>
      <c r="K185" s="361">
        <v>519390.47</v>
      </c>
      <c r="L185" s="361">
        <v>364559.17</v>
      </c>
      <c r="M185" s="361">
        <v>503921.55</v>
      </c>
      <c r="N185" s="1821">
        <v>447257.54</v>
      </c>
    </row>
    <row r="186" spans="1:14" ht="13">
      <c r="A186" s="1818" t="s">
        <v>358</v>
      </c>
      <c r="B186" s="1819">
        <v>4120561.08</v>
      </c>
      <c r="C186" s="1820">
        <v>386057.49</v>
      </c>
      <c r="D186" s="361">
        <v>352570.85</v>
      </c>
      <c r="E186" s="361">
        <v>354014.07</v>
      </c>
      <c r="F186" s="361">
        <v>1205187.18</v>
      </c>
      <c r="G186" s="361">
        <v>95412.41</v>
      </c>
      <c r="H186" s="361">
        <v>341570.56</v>
      </c>
      <c r="I186" s="361">
        <v>202725.82</v>
      </c>
      <c r="J186" s="361">
        <v>570015.64</v>
      </c>
      <c r="K186" s="361">
        <v>434660.37</v>
      </c>
      <c r="L186" s="365">
        <v>0</v>
      </c>
      <c r="M186" s="361">
        <v>85701.96</v>
      </c>
      <c r="N186" s="1821">
        <v>92644.73</v>
      </c>
    </row>
    <row r="187" spans="1:14" ht="13">
      <c r="A187" s="1818" t="s">
        <v>290</v>
      </c>
      <c r="B187" s="1819">
        <v>3963150.3</v>
      </c>
      <c r="C187" s="1820">
        <v>478577.99</v>
      </c>
      <c r="D187" s="361">
        <v>382079.88</v>
      </c>
      <c r="E187" s="361">
        <v>669853.6</v>
      </c>
      <c r="F187" s="361">
        <v>193508.5</v>
      </c>
      <c r="G187" s="361">
        <v>192821.39</v>
      </c>
      <c r="H187" s="361">
        <v>297266.28999999998</v>
      </c>
      <c r="I187" s="361">
        <v>95364.29</v>
      </c>
      <c r="J187" s="361">
        <v>493821.27</v>
      </c>
      <c r="K187" s="361">
        <v>405136.51</v>
      </c>
      <c r="L187" s="361">
        <v>191095.84</v>
      </c>
      <c r="M187" s="361">
        <v>532062.69999999995</v>
      </c>
      <c r="N187" s="1821">
        <v>31562.04</v>
      </c>
    </row>
    <row r="188" spans="1:14" ht="13">
      <c r="A188" s="1818" t="s">
        <v>1692</v>
      </c>
      <c r="B188" s="1819">
        <v>3946309.02</v>
      </c>
      <c r="C188" s="1820">
        <v>1292050.1499999999</v>
      </c>
      <c r="D188" s="361">
        <v>763207.63</v>
      </c>
      <c r="E188" s="361">
        <v>576787.74</v>
      </c>
      <c r="F188" s="361">
        <v>681909.69</v>
      </c>
      <c r="G188" s="361">
        <v>385489.75</v>
      </c>
      <c r="H188" s="361">
        <v>246864.06</v>
      </c>
      <c r="I188" s="365">
        <v>0</v>
      </c>
      <c r="J188" s="365">
        <v>0</v>
      </c>
      <c r="K188" s="365">
        <v>0</v>
      </c>
      <c r="L188" s="365">
        <v>0</v>
      </c>
      <c r="M188" s="365">
        <v>0</v>
      </c>
      <c r="N188" s="1823">
        <v>0</v>
      </c>
    </row>
    <row r="189" spans="1:14" ht="13">
      <c r="A189" s="1818" t="s">
        <v>342</v>
      </c>
      <c r="B189" s="1819">
        <v>3748917.42</v>
      </c>
      <c r="C189" s="1820">
        <v>103265.34</v>
      </c>
      <c r="D189" s="361">
        <v>73358.64</v>
      </c>
      <c r="E189" s="361">
        <v>35705.339999999997</v>
      </c>
      <c r="F189" s="361">
        <v>59751.14</v>
      </c>
      <c r="G189" s="361">
        <v>242379.9</v>
      </c>
      <c r="H189" s="361">
        <v>19070.330000000002</v>
      </c>
      <c r="I189" s="361">
        <v>282613.58</v>
      </c>
      <c r="J189" s="361">
        <v>732026.56</v>
      </c>
      <c r="K189" s="361">
        <v>342230.76</v>
      </c>
      <c r="L189" s="361">
        <v>664822.54</v>
      </c>
      <c r="M189" s="361">
        <v>1071014</v>
      </c>
      <c r="N189" s="1821">
        <v>122679.29</v>
      </c>
    </row>
    <row r="190" spans="1:14" ht="13">
      <c r="A190" s="1818" t="s">
        <v>329</v>
      </c>
      <c r="B190" s="1819">
        <v>3706407.9</v>
      </c>
      <c r="C190" s="1820">
        <v>352936.53</v>
      </c>
      <c r="D190" s="361">
        <v>440383.59</v>
      </c>
      <c r="E190" s="361">
        <v>252590.14</v>
      </c>
      <c r="F190" s="361">
        <v>37337.32</v>
      </c>
      <c r="G190" s="361">
        <v>347010.88</v>
      </c>
      <c r="H190" s="361">
        <v>138633.04</v>
      </c>
      <c r="I190" s="361">
        <v>906238.2</v>
      </c>
      <c r="J190" s="361">
        <v>190576.28</v>
      </c>
      <c r="K190" s="361">
        <v>132228.78</v>
      </c>
      <c r="L190" s="361">
        <v>283274.18</v>
      </c>
      <c r="M190" s="365">
        <v>0</v>
      </c>
      <c r="N190" s="1821">
        <v>625198.96</v>
      </c>
    </row>
    <row r="191" spans="1:14" ht="13">
      <c r="A191" s="1818" t="s">
        <v>304</v>
      </c>
      <c r="B191" s="1819">
        <v>3393997.11</v>
      </c>
      <c r="C191" s="1820">
        <v>62778.11</v>
      </c>
      <c r="D191" s="361">
        <v>313305.24</v>
      </c>
      <c r="E191" s="361">
        <v>321878.43</v>
      </c>
      <c r="F191" s="361">
        <v>411742.98</v>
      </c>
      <c r="G191" s="361">
        <v>99159.47</v>
      </c>
      <c r="H191" s="361">
        <v>246500.55</v>
      </c>
      <c r="I191" s="361">
        <v>413079.9</v>
      </c>
      <c r="J191" s="361">
        <v>283033.26</v>
      </c>
      <c r="K191" s="361">
        <v>553247.51</v>
      </c>
      <c r="L191" s="361">
        <v>179297.07</v>
      </c>
      <c r="M191" s="361">
        <v>146608</v>
      </c>
      <c r="N191" s="1821">
        <v>363366.6</v>
      </c>
    </row>
    <row r="192" spans="1:14" ht="13">
      <c r="A192" s="1818" t="s">
        <v>278</v>
      </c>
      <c r="B192" s="1819">
        <v>3261125.78</v>
      </c>
      <c r="C192" s="1822">
        <v>0</v>
      </c>
      <c r="D192" s="361">
        <v>499561.2</v>
      </c>
      <c r="E192" s="365">
        <v>0</v>
      </c>
      <c r="F192" s="365">
        <v>0</v>
      </c>
      <c r="G192" s="361">
        <v>547571.52</v>
      </c>
      <c r="H192" s="361">
        <v>320119.8</v>
      </c>
      <c r="I192" s="361">
        <v>414097.18</v>
      </c>
      <c r="J192" s="361">
        <v>193440.81</v>
      </c>
      <c r="K192" s="365">
        <v>0</v>
      </c>
      <c r="L192" s="361">
        <v>252076.46</v>
      </c>
      <c r="M192" s="365">
        <v>0</v>
      </c>
      <c r="N192" s="1821">
        <v>1034258.81</v>
      </c>
    </row>
    <row r="193" spans="1:14" ht="13">
      <c r="A193" s="1818" t="s">
        <v>320</v>
      </c>
      <c r="B193" s="1819">
        <v>3227034.73</v>
      </c>
      <c r="C193" s="1820">
        <v>398497.12</v>
      </c>
      <c r="D193" s="361">
        <v>154837.48000000001</v>
      </c>
      <c r="E193" s="361">
        <v>199653.86</v>
      </c>
      <c r="F193" s="361">
        <v>261735.2</v>
      </c>
      <c r="G193" s="361">
        <v>73207.41</v>
      </c>
      <c r="H193" s="361">
        <v>235225.35</v>
      </c>
      <c r="I193" s="361">
        <v>272882.93</v>
      </c>
      <c r="J193" s="361">
        <v>128206.26</v>
      </c>
      <c r="K193" s="361">
        <v>437456.53</v>
      </c>
      <c r="L193" s="361">
        <v>453623.22</v>
      </c>
      <c r="M193" s="361">
        <v>357236.27</v>
      </c>
      <c r="N193" s="1821">
        <v>254473.1</v>
      </c>
    </row>
    <row r="194" spans="1:14" ht="13">
      <c r="A194" s="1818" t="s">
        <v>277</v>
      </c>
      <c r="B194" s="1819">
        <v>3025954.56</v>
      </c>
      <c r="C194" s="1822">
        <v>0</v>
      </c>
      <c r="D194" s="365">
        <v>0</v>
      </c>
      <c r="E194" s="365">
        <v>0</v>
      </c>
      <c r="F194" s="365">
        <v>0</v>
      </c>
      <c r="G194" s="365">
        <v>0</v>
      </c>
      <c r="H194" s="365">
        <v>0</v>
      </c>
      <c r="I194" s="361">
        <v>143959.22</v>
      </c>
      <c r="J194" s="361">
        <v>869944.06</v>
      </c>
      <c r="K194" s="361">
        <v>617618.37</v>
      </c>
      <c r="L194" s="361">
        <v>573943.6</v>
      </c>
      <c r="M194" s="361">
        <v>525506.36</v>
      </c>
      <c r="N194" s="1821">
        <v>294982.95</v>
      </c>
    </row>
    <row r="195" spans="1:14" ht="13">
      <c r="A195" s="1818" t="s">
        <v>317</v>
      </c>
      <c r="B195" s="1819">
        <v>2899588.73</v>
      </c>
      <c r="C195" s="1820">
        <v>204602.27</v>
      </c>
      <c r="D195" s="361">
        <v>150687.85999999999</v>
      </c>
      <c r="E195" s="361">
        <v>76694.52</v>
      </c>
      <c r="F195" s="361">
        <v>205520.68</v>
      </c>
      <c r="G195" s="361">
        <v>232466.82</v>
      </c>
      <c r="H195" s="361">
        <v>234827.12</v>
      </c>
      <c r="I195" s="361">
        <v>304332.96000000002</v>
      </c>
      <c r="J195" s="361">
        <v>472150.71</v>
      </c>
      <c r="K195" s="361">
        <v>40242.18</v>
      </c>
      <c r="L195" s="361">
        <v>392666.59</v>
      </c>
      <c r="M195" s="361">
        <v>357981.75</v>
      </c>
      <c r="N195" s="1821">
        <v>227415.28</v>
      </c>
    </row>
    <row r="196" spans="1:14" ht="13">
      <c r="A196" s="1818" t="s">
        <v>338</v>
      </c>
      <c r="B196" s="1819">
        <v>2880854.8</v>
      </c>
      <c r="C196" s="1820">
        <v>299733.94</v>
      </c>
      <c r="D196" s="361">
        <v>644724.71</v>
      </c>
      <c r="E196" s="361">
        <v>199086.1</v>
      </c>
      <c r="F196" s="361">
        <v>92021.34</v>
      </c>
      <c r="G196" s="361">
        <v>122200.14</v>
      </c>
      <c r="H196" s="361">
        <v>197805.93</v>
      </c>
      <c r="I196" s="361">
        <v>22315.65</v>
      </c>
      <c r="J196" s="361">
        <v>183465.16</v>
      </c>
      <c r="K196" s="361">
        <v>213793.02</v>
      </c>
      <c r="L196" s="361">
        <v>221336.19</v>
      </c>
      <c r="M196" s="361">
        <v>389079.18</v>
      </c>
      <c r="N196" s="1821">
        <v>295293.45</v>
      </c>
    </row>
    <row r="197" spans="1:14" ht="13">
      <c r="A197" s="1818" t="s">
        <v>284</v>
      </c>
      <c r="B197" s="1819">
        <v>2875221.25</v>
      </c>
      <c r="C197" s="1822">
        <v>0</v>
      </c>
      <c r="D197" s="365">
        <v>0</v>
      </c>
      <c r="E197" s="365">
        <v>0</v>
      </c>
      <c r="F197" s="365">
        <v>0</v>
      </c>
      <c r="G197" s="361">
        <v>990979.28</v>
      </c>
      <c r="H197" s="365">
        <v>0.03</v>
      </c>
      <c r="I197" s="361">
        <v>514962.96</v>
      </c>
      <c r="J197" s="361">
        <v>213063.98</v>
      </c>
      <c r="K197" s="361">
        <v>366796.32</v>
      </c>
      <c r="L197" s="361">
        <v>130710.32</v>
      </c>
      <c r="M197" s="361">
        <v>392391.98</v>
      </c>
      <c r="N197" s="1821">
        <v>266316.38</v>
      </c>
    </row>
    <row r="198" spans="1:14" ht="13">
      <c r="A198" s="1818" t="s">
        <v>274</v>
      </c>
      <c r="B198" s="1819">
        <v>2552840.09</v>
      </c>
      <c r="C198" s="1820">
        <v>226300.64</v>
      </c>
      <c r="D198" s="361">
        <v>48587.85</v>
      </c>
      <c r="E198" s="361">
        <v>156985.82999999999</v>
      </c>
      <c r="F198" s="365">
        <v>0</v>
      </c>
      <c r="G198" s="361">
        <v>242218.29</v>
      </c>
      <c r="H198" s="361">
        <v>53457.03</v>
      </c>
      <c r="I198" s="361">
        <v>314480.90999999997</v>
      </c>
      <c r="J198" s="361">
        <v>576620.01</v>
      </c>
      <c r="K198" s="361">
        <v>216000.03</v>
      </c>
      <c r="L198" s="361">
        <v>162091.69</v>
      </c>
      <c r="M198" s="361">
        <v>492601.91</v>
      </c>
      <c r="N198" s="1821">
        <v>63495.9</v>
      </c>
    </row>
    <row r="199" spans="1:14" ht="13">
      <c r="A199" s="1818" t="s">
        <v>292</v>
      </c>
      <c r="B199" s="1819">
        <v>2445982.88</v>
      </c>
      <c r="C199" s="1822">
        <v>0</v>
      </c>
      <c r="D199" s="365">
        <v>0</v>
      </c>
      <c r="E199" s="365">
        <v>0</v>
      </c>
      <c r="F199" s="365">
        <v>0</v>
      </c>
      <c r="G199" s="365">
        <v>0</v>
      </c>
      <c r="H199" s="365">
        <v>0</v>
      </c>
      <c r="I199" s="365">
        <v>0</v>
      </c>
      <c r="J199" s="365">
        <v>0</v>
      </c>
      <c r="K199" s="365">
        <v>0</v>
      </c>
      <c r="L199" s="365">
        <v>0</v>
      </c>
      <c r="M199" s="365">
        <v>0</v>
      </c>
      <c r="N199" s="1821">
        <v>2445982.88</v>
      </c>
    </row>
    <row r="200" spans="1:14" ht="13">
      <c r="A200" s="1818" t="s">
        <v>330</v>
      </c>
      <c r="B200" s="1819">
        <v>2377604.96</v>
      </c>
      <c r="C200" s="1820">
        <v>362680.42</v>
      </c>
      <c r="D200" s="361">
        <v>290499.11</v>
      </c>
      <c r="E200" s="361">
        <v>98029.51</v>
      </c>
      <c r="F200" s="361">
        <v>261514.75</v>
      </c>
      <c r="G200" s="361">
        <v>96808.93</v>
      </c>
      <c r="H200" s="361">
        <v>67173.009999999995</v>
      </c>
      <c r="I200" s="361">
        <v>99561.62</v>
      </c>
      <c r="J200" s="361">
        <v>219150.06</v>
      </c>
      <c r="K200" s="361">
        <v>280491.8</v>
      </c>
      <c r="L200" s="361">
        <v>101650</v>
      </c>
      <c r="M200" s="361">
        <v>312882.74</v>
      </c>
      <c r="N200" s="1821">
        <v>187163</v>
      </c>
    </row>
    <row r="201" spans="1:14" ht="13">
      <c r="A201" s="1818" t="s">
        <v>336</v>
      </c>
      <c r="B201" s="1819">
        <v>1867559.35</v>
      </c>
      <c r="C201" s="1820">
        <v>129757.12</v>
      </c>
      <c r="D201" s="361">
        <v>128812.66</v>
      </c>
      <c r="E201" s="361">
        <v>53430.75</v>
      </c>
      <c r="F201" s="361">
        <v>79692.539999999994</v>
      </c>
      <c r="G201" s="361">
        <v>64660.38</v>
      </c>
      <c r="H201" s="361">
        <v>50371.77</v>
      </c>
      <c r="I201" s="361">
        <v>39934.199999999997</v>
      </c>
      <c r="J201" s="361">
        <v>180518.36</v>
      </c>
      <c r="K201" s="361">
        <v>463368.55</v>
      </c>
      <c r="L201" s="361">
        <v>50308.95</v>
      </c>
      <c r="M201" s="361">
        <v>328859.23</v>
      </c>
      <c r="N201" s="1821">
        <v>297844.84999999998</v>
      </c>
    </row>
    <row r="202" spans="1:14" ht="13">
      <c r="A202" s="1818" t="s">
        <v>297</v>
      </c>
      <c r="B202" s="1819">
        <v>1801725.97</v>
      </c>
      <c r="C202" s="1820">
        <v>42949.120000000003</v>
      </c>
      <c r="D202" s="365">
        <v>0</v>
      </c>
      <c r="E202" s="361">
        <v>50312.160000000003</v>
      </c>
      <c r="F202" s="365">
        <v>0</v>
      </c>
      <c r="G202" s="361">
        <v>131871.81</v>
      </c>
      <c r="H202" s="361">
        <v>127720.4</v>
      </c>
      <c r="I202" s="361">
        <v>176062.7</v>
      </c>
      <c r="J202" s="361">
        <v>239265.5</v>
      </c>
      <c r="K202" s="361">
        <v>39983.519999999997</v>
      </c>
      <c r="L202" s="361">
        <v>462196.71</v>
      </c>
      <c r="M202" s="361">
        <v>411035.84</v>
      </c>
      <c r="N202" s="1821">
        <v>120328.19</v>
      </c>
    </row>
    <row r="203" spans="1:14" ht="13">
      <c r="A203" s="1818" t="s">
        <v>333</v>
      </c>
      <c r="B203" s="1819">
        <v>1627833.88</v>
      </c>
      <c r="C203" s="1822">
        <v>0</v>
      </c>
      <c r="D203" s="361">
        <v>91120.66</v>
      </c>
      <c r="E203" s="361">
        <v>154165.29</v>
      </c>
      <c r="F203" s="361">
        <v>249866.94</v>
      </c>
      <c r="G203" s="365">
        <v>0</v>
      </c>
      <c r="H203" s="361">
        <v>247642.98</v>
      </c>
      <c r="I203" s="365">
        <v>0</v>
      </c>
      <c r="J203" s="365">
        <v>0</v>
      </c>
      <c r="K203" s="361">
        <v>368261.98</v>
      </c>
      <c r="L203" s="361">
        <v>199177.69</v>
      </c>
      <c r="M203" s="365">
        <v>0</v>
      </c>
      <c r="N203" s="1821">
        <v>317598.34999999998</v>
      </c>
    </row>
    <row r="204" spans="1:14" ht="13">
      <c r="A204" s="1818" t="s">
        <v>286</v>
      </c>
      <c r="B204" s="1819">
        <v>1589237.13</v>
      </c>
      <c r="C204" s="1822">
        <v>0</v>
      </c>
      <c r="D204" s="365">
        <v>0</v>
      </c>
      <c r="E204" s="365">
        <v>0</v>
      </c>
      <c r="F204" s="365">
        <v>0</v>
      </c>
      <c r="G204" s="365">
        <v>0</v>
      </c>
      <c r="H204" s="365">
        <v>0</v>
      </c>
      <c r="I204" s="361">
        <v>379478.55</v>
      </c>
      <c r="J204" s="361">
        <v>382816.8</v>
      </c>
      <c r="K204" s="361">
        <v>442550.88</v>
      </c>
      <c r="L204" s="365">
        <v>0</v>
      </c>
      <c r="M204" s="361">
        <v>165685.5</v>
      </c>
      <c r="N204" s="1821">
        <v>218705.4</v>
      </c>
    </row>
    <row r="205" spans="1:14" ht="13">
      <c r="A205" s="1818" t="s">
        <v>294</v>
      </c>
      <c r="B205" s="1819">
        <v>1520635.69</v>
      </c>
      <c r="C205" s="1822">
        <v>0</v>
      </c>
      <c r="D205" s="365">
        <v>0</v>
      </c>
      <c r="E205" s="365">
        <v>0</v>
      </c>
      <c r="F205" s="365">
        <v>0</v>
      </c>
      <c r="G205" s="361">
        <v>886594.72</v>
      </c>
      <c r="H205" s="365">
        <v>0</v>
      </c>
      <c r="I205" s="361">
        <v>217089.91</v>
      </c>
      <c r="J205" s="365">
        <v>0</v>
      </c>
      <c r="K205" s="365">
        <v>0</v>
      </c>
      <c r="L205" s="365">
        <v>0</v>
      </c>
      <c r="M205" s="361">
        <v>416951.06</v>
      </c>
      <c r="N205" s="1823">
        <v>0</v>
      </c>
    </row>
    <row r="206" spans="1:14" ht="13">
      <c r="A206" s="1818" t="s">
        <v>341</v>
      </c>
      <c r="B206" s="1819">
        <v>1519939.75</v>
      </c>
      <c r="C206" s="1820">
        <v>104333.74</v>
      </c>
      <c r="D206" s="361">
        <v>114504.36</v>
      </c>
      <c r="E206" s="361">
        <v>47665.09</v>
      </c>
      <c r="F206" s="361">
        <v>117084.38</v>
      </c>
      <c r="G206" s="361">
        <v>128054.28</v>
      </c>
      <c r="H206" s="361">
        <v>162888.13</v>
      </c>
      <c r="I206" s="361">
        <v>112985.84</v>
      </c>
      <c r="J206" s="361">
        <v>113974.61</v>
      </c>
      <c r="K206" s="361">
        <v>73756.69</v>
      </c>
      <c r="L206" s="361">
        <v>94445.28</v>
      </c>
      <c r="M206" s="361">
        <v>276436.12</v>
      </c>
      <c r="N206" s="1821">
        <v>173811.23</v>
      </c>
    </row>
    <row r="207" spans="1:14" ht="13">
      <c r="A207" s="1818" t="s">
        <v>1684</v>
      </c>
      <c r="B207" s="1819">
        <v>1502186.49</v>
      </c>
      <c r="C207" s="1820">
        <v>154417.81</v>
      </c>
      <c r="D207" s="361">
        <v>74088.81</v>
      </c>
      <c r="E207" s="365">
        <v>0</v>
      </c>
      <c r="F207" s="361">
        <v>69096.539999999994</v>
      </c>
      <c r="G207" s="361">
        <v>135760.78</v>
      </c>
      <c r="H207" s="361">
        <v>162640.79</v>
      </c>
      <c r="I207" s="365">
        <v>0</v>
      </c>
      <c r="J207" s="361">
        <v>215166.48</v>
      </c>
      <c r="K207" s="361">
        <v>343486.62</v>
      </c>
      <c r="L207" s="365">
        <v>0</v>
      </c>
      <c r="M207" s="361">
        <v>142944.51999999999</v>
      </c>
      <c r="N207" s="1821">
        <v>204584.15</v>
      </c>
    </row>
    <row r="208" spans="1:14" ht="13">
      <c r="A208" s="1818" t="s">
        <v>352</v>
      </c>
      <c r="B208" s="1819">
        <v>1476206.92</v>
      </c>
      <c r="C208" s="1820">
        <v>205893.79</v>
      </c>
      <c r="D208" s="361">
        <v>148654.5</v>
      </c>
      <c r="E208" s="361">
        <v>12725.2</v>
      </c>
      <c r="F208" s="365">
        <v>0</v>
      </c>
      <c r="G208" s="365">
        <v>0</v>
      </c>
      <c r="H208" s="361">
        <v>113325.38</v>
      </c>
      <c r="I208" s="361">
        <v>73870</v>
      </c>
      <c r="J208" s="361">
        <v>116513.82</v>
      </c>
      <c r="K208" s="361">
        <v>173453.17</v>
      </c>
      <c r="L208" s="361">
        <v>205444.73</v>
      </c>
      <c r="M208" s="361">
        <v>189160</v>
      </c>
      <c r="N208" s="1821">
        <v>237166.33</v>
      </c>
    </row>
    <row r="209" spans="1:14" ht="13">
      <c r="A209" s="1818" t="s">
        <v>326</v>
      </c>
      <c r="B209" s="1819">
        <v>1392013.2</v>
      </c>
      <c r="C209" s="1820">
        <v>233706.88</v>
      </c>
      <c r="D209" s="365">
        <v>0</v>
      </c>
      <c r="E209" s="361">
        <v>107619.06</v>
      </c>
      <c r="F209" s="361">
        <v>65513.32</v>
      </c>
      <c r="G209" s="365">
        <v>0</v>
      </c>
      <c r="H209" s="365">
        <v>0</v>
      </c>
      <c r="I209" s="361">
        <v>113701.75999999999</v>
      </c>
      <c r="J209" s="361">
        <v>99805.06</v>
      </c>
      <c r="K209" s="361">
        <v>163926.70000000001</v>
      </c>
      <c r="L209" s="361">
        <v>545022.48</v>
      </c>
      <c r="M209" s="361">
        <v>62717.94</v>
      </c>
      <c r="N209" s="1823">
        <v>0</v>
      </c>
    </row>
    <row r="210" spans="1:14" ht="13">
      <c r="A210" s="1818" t="s">
        <v>269</v>
      </c>
      <c r="B210" s="1819">
        <v>1295040.49</v>
      </c>
      <c r="C210" s="1822">
        <v>0</v>
      </c>
      <c r="D210" s="365">
        <v>0</v>
      </c>
      <c r="E210" s="365">
        <v>0</v>
      </c>
      <c r="F210" s="365">
        <v>0</v>
      </c>
      <c r="G210" s="365">
        <v>0</v>
      </c>
      <c r="H210" s="365">
        <v>0</v>
      </c>
      <c r="I210" s="365">
        <v>0</v>
      </c>
      <c r="J210" s="365">
        <v>0</v>
      </c>
      <c r="K210" s="365">
        <v>0</v>
      </c>
      <c r="L210" s="365">
        <v>0</v>
      </c>
      <c r="M210" s="361">
        <v>404074.97</v>
      </c>
      <c r="N210" s="1821">
        <v>890965.52</v>
      </c>
    </row>
    <row r="211" spans="1:14" ht="13">
      <c r="A211" s="1818" t="s">
        <v>360</v>
      </c>
      <c r="B211" s="1819">
        <v>1284687.92</v>
      </c>
      <c r="C211" s="1820">
        <v>129953.25</v>
      </c>
      <c r="D211" s="361">
        <v>83417.460000000006</v>
      </c>
      <c r="E211" s="361">
        <v>100540.93</v>
      </c>
      <c r="F211" s="361">
        <v>27301.48</v>
      </c>
      <c r="G211" s="361">
        <v>13695.38</v>
      </c>
      <c r="H211" s="361">
        <v>298995.15000000002</v>
      </c>
      <c r="I211" s="361">
        <v>367304.42</v>
      </c>
      <c r="J211" s="361">
        <v>83497.600000000006</v>
      </c>
      <c r="K211" s="361">
        <v>179982.25</v>
      </c>
      <c r="L211" s="365">
        <v>0</v>
      </c>
      <c r="M211" s="365">
        <v>0</v>
      </c>
      <c r="N211" s="1823">
        <v>0</v>
      </c>
    </row>
    <row r="212" spans="1:14" ht="13">
      <c r="A212" s="1818" t="s">
        <v>296</v>
      </c>
      <c r="B212" s="1819">
        <v>1042476.04</v>
      </c>
      <c r="C212" s="1820">
        <v>144665.35999999999</v>
      </c>
      <c r="D212" s="361">
        <v>44537.120000000003</v>
      </c>
      <c r="E212" s="365">
        <v>0</v>
      </c>
      <c r="F212" s="365">
        <v>0</v>
      </c>
      <c r="G212" s="361">
        <v>83910</v>
      </c>
      <c r="H212" s="361">
        <v>64831.199999999997</v>
      </c>
      <c r="I212" s="361">
        <v>166736.4</v>
      </c>
      <c r="J212" s="361">
        <v>155860</v>
      </c>
      <c r="K212" s="361">
        <v>96036</v>
      </c>
      <c r="L212" s="361">
        <v>285899.96000000002</v>
      </c>
      <c r="M212" s="365">
        <v>0</v>
      </c>
      <c r="N212" s="1823">
        <v>0</v>
      </c>
    </row>
    <row r="213" spans="1:14" ht="13">
      <c r="A213" s="1818" t="s">
        <v>310</v>
      </c>
      <c r="B213" s="1819">
        <v>902914.18</v>
      </c>
      <c r="C213" s="1820">
        <v>81056.98</v>
      </c>
      <c r="D213" s="361">
        <v>155851.85</v>
      </c>
      <c r="E213" s="361">
        <v>84243.97</v>
      </c>
      <c r="F213" s="361">
        <v>109380.36</v>
      </c>
      <c r="G213" s="361">
        <v>68369.67</v>
      </c>
      <c r="H213" s="361">
        <v>63480.37</v>
      </c>
      <c r="I213" s="361">
        <v>77263.83</v>
      </c>
      <c r="J213" s="361">
        <v>39339.949999999997</v>
      </c>
      <c r="K213" s="361">
        <v>88126.53</v>
      </c>
      <c r="L213" s="361">
        <v>27675.65</v>
      </c>
      <c r="M213" s="361">
        <v>101013.78</v>
      </c>
      <c r="N213" s="1821">
        <v>7111.23</v>
      </c>
    </row>
    <row r="214" spans="1:14" ht="13">
      <c r="A214" s="1818" t="s">
        <v>346</v>
      </c>
      <c r="B214" s="1819">
        <v>892161.93</v>
      </c>
      <c r="C214" s="1822">
        <v>0</v>
      </c>
      <c r="D214" s="365">
        <v>0</v>
      </c>
      <c r="E214" s="361">
        <v>92431.07</v>
      </c>
      <c r="F214" s="361">
        <v>96453.55</v>
      </c>
      <c r="G214" s="361">
        <v>58033.24</v>
      </c>
      <c r="H214" s="361">
        <v>83524.95</v>
      </c>
      <c r="I214" s="365">
        <v>0</v>
      </c>
      <c r="J214" s="361">
        <v>46418.7</v>
      </c>
      <c r="K214" s="361">
        <v>165290.01</v>
      </c>
      <c r="L214" s="361">
        <v>202509.03</v>
      </c>
      <c r="M214" s="361">
        <v>147501.39000000001</v>
      </c>
      <c r="N214" s="1823">
        <v>0</v>
      </c>
    </row>
    <row r="215" spans="1:14" ht="13">
      <c r="A215" s="1818" t="s">
        <v>300</v>
      </c>
      <c r="B215" s="1819">
        <v>889066.31</v>
      </c>
      <c r="C215" s="1820">
        <v>64076.4</v>
      </c>
      <c r="D215" s="361">
        <v>427830.09</v>
      </c>
      <c r="E215" s="361">
        <v>83597.59</v>
      </c>
      <c r="F215" s="361">
        <v>65654.81</v>
      </c>
      <c r="G215" s="365">
        <v>0</v>
      </c>
      <c r="H215" s="361">
        <v>79836.160000000003</v>
      </c>
      <c r="I215" s="361">
        <v>139873.75</v>
      </c>
      <c r="J215" s="365">
        <v>0</v>
      </c>
      <c r="K215" s="365">
        <v>0</v>
      </c>
      <c r="L215" s="365">
        <v>0</v>
      </c>
      <c r="M215" s="361">
        <v>28197.52</v>
      </c>
      <c r="N215" s="1823">
        <v>0</v>
      </c>
    </row>
    <row r="216" spans="1:14" ht="13">
      <c r="A216" s="1818" t="s">
        <v>315</v>
      </c>
      <c r="B216" s="1819">
        <v>710831.08</v>
      </c>
      <c r="C216" s="1822">
        <v>0</v>
      </c>
      <c r="D216" s="361">
        <v>112494.9</v>
      </c>
      <c r="E216" s="365">
        <v>0</v>
      </c>
      <c r="F216" s="361">
        <v>17040</v>
      </c>
      <c r="G216" s="361">
        <v>82278.42</v>
      </c>
      <c r="H216" s="361">
        <v>28260</v>
      </c>
      <c r="I216" s="365">
        <v>0</v>
      </c>
      <c r="J216" s="361">
        <v>70297.39</v>
      </c>
      <c r="K216" s="365">
        <v>0</v>
      </c>
      <c r="L216" s="361">
        <v>59600.42</v>
      </c>
      <c r="M216" s="361">
        <v>234381.32</v>
      </c>
      <c r="N216" s="1821">
        <v>106478.64</v>
      </c>
    </row>
    <row r="217" spans="1:14" ht="13">
      <c r="A217" s="1818" t="s">
        <v>311</v>
      </c>
      <c r="B217" s="1819">
        <v>673452.63</v>
      </c>
      <c r="C217" s="1822">
        <v>0</v>
      </c>
      <c r="D217" s="365">
        <v>0</v>
      </c>
      <c r="E217" s="361">
        <v>203463.77</v>
      </c>
      <c r="F217" s="365">
        <v>0</v>
      </c>
      <c r="G217" s="365">
        <v>0</v>
      </c>
      <c r="H217" s="365">
        <v>0</v>
      </c>
      <c r="I217" s="361">
        <v>155337.76</v>
      </c>
      <c r="J217" s="365">
        <v>0</v>
      </c>
      <c r="K217" s="361">
        <v>97547.48</v>
      </c>
      <c r="L217" s="361">
        <v>144959.70000000001</v>
      </c>
      <c r="M217" s="361">
        <v>72143.92</v>
      </c>
      <c r="N217" s="1823">
        <v>0</v>
      </c>
    </row>
    <row r="218" spans="1:14" ht="13">
      <c r="A218" s="1818" t="s">
        <v>356</v>
      </c>
      <c r="B218" s="1819">
        <v>430764.68</v>
      </c>
      <c r="C218" s="1822">
        <v>0</v>
      </c>
      <c r="D218" s="365">
        <v>0</v>
      </c>
      <c r="E218" s="365">
        <v>0</v>
      </c>
      <c r="F218" s="365">
        <v>0</v>
      </c>
      <c r="G218" s="365">
        <v>0</v>
      </c>
      <c r="H218" s="365">
        <v>0</v>
      </c>
      <c r="I218" s="365">
        <v>0</v>
      </c>
      <c r="J218" s="365">
        <v>0</v>
      </c>
      <c r="K218" s="365">
        <v>0</v>
      </c>
      <c r="L218" s="361">
        <v>430764.68</v>
      </c>
      <c r="M218" s="365">
        <v>0</v>
      </c>
      <c r="N218" s="1823">
        <v>0</v>
      </c>
    </row>
    <row r="219" spans="1:14" ht="13">
      <c r="A219" s="1818" t="s">
        <v>309</v>
      </c>
      <c r="B219" s="1819">
        <v>422614.9</v>
      </c>
      <c r="C219" s="1822">
        <v>0</v>
      </c>
      <c r="D219" s="365">
        <v>0</v>
      </c>
      <c r="E219" s="365">
        <v>0</v>
      </c>
      <c r="F219" s="365">
        <v>0</v>
      </c>
      <c r="G219" s="365">
        <v>0</v>
      </c>
      <c r="H219" s="365">
        <v>0</v>
      </c>
      <c r="I219" s="365">
        <v>0</v>
      </c>
      <c r="J219" s="361">
        <v>298240.8</v>
      </c>
      <c r="K219" s="361">
        <v>124374.1</v>
      </c>
      <c r="L219" s="365">
        <v>0</v>
      </c>
      <c r="M219" s="365">
        <v>0</v>
      </c>
      <c r="N219" s="1823">
        <v>0</v>
      </c>
    </row>
    <row r="220" spans="1:14" ht="13">
      <c r="A220" s="1818" t="s">
        <v>314</v>
      </c>
      <c r="B220" s="1819">
        <v>405566.09</v>
      </c>
      <c r="C220" s="1820">
        <v>30672.78</v>
      </c>
      <c r="D220" s="365">
        <v>0</v>
      </c>
      <c r="E220" s="361">
        <v>62940.55</v>
      </c>
      <c r="F220" s="365">
        <v>0</v>
      </c>
      <c r="G220" s="365">
        <v>0</v>
      </c>
      <c r="H220" s="365">
        <v>0</v>
      </c>
      <c r="I220" s="365">
        <v>0</v>
      </c>
      <c r="J220" s="361">
        <v>151248.09</v>
      </c>
      <c r="K220" s="361">
        <v>117940.33</v>
      </c>
      <c r="L220" s="361">
        <v>42764.35</v>
      </c>
      <c r="M220" s="365">
        <v>0</v>
      </c>
      <c r="N220" s="1823">
        <v>0</v>
      </c>
    </row>
    <row r="221" spans="1:14" ht="13">
      <c r="A221" s="1818" t="s">
        <v>331</v>
      </c>
      <c r="B221" s="1819">
        <v>395283.94</v>
      </c>
      <c r="C221" s="1820">
        <v>365387.82</v>
      </c>
      <c r="D221" s="361">
        <v>29896.12</v>
      </c>
      <c r="E221" s="365">
        <v>0</v>
      </c>
      <c r="F221" s="365">
        <v>0</v>
      </c>
      <c r="G221" s="365">
        <v>0</v>
      </c>
      <c r="H221" s="365">
        <v>0</v>
      </c>
      <c r="I221" s="365">
        <v>0</v>
      </c>
      <c r="J221" s="365">
        <v>0</v>
      </c>
      <c r="K221" s="365">
        <v>0</v>
      </c>
      <c r="L221" s="365">
        <v>0</v>
      </c>
      <c r="M221" s="365">
        <v>0</v>
      </c>
      <c r="N221" s="1823">
        <v>0</v>
      </c>
    </row>
    <row r="222" spans="1:14" ht="13">
      <c r="A222" s="1818" t="s">
        <v>335</v>
      </c>
      <c r="B222" s="1819">
        <v>365428.87</v>
      </c>
      <c r="C222" s="1820">
        <v>53261.98</v>
      </c>
      <c r="D222" s="361">
        <v>116951.27</v>
      </c>
      <c r="E222" s="365">
        <v>0</v>
      </c>
      <c r="F222" s="365">
        <v>0</v>
      </c>
      <c r="G222" s="365">
        <v>0</v>
      </c>
      <c r="H222" s="361">
        <v>63992.959999999999</v>
      </c>
      <c r="I222" s="365">
        <v>0</v>
      </c>
      <c r="J222" s="361">
        <v>35780.720000000001</v>
      </c>
      <c r="K222" s="365">
        <v>0</v>
      </c>
      <c r="L222" s="365">
        <v>0</v>
      </c>
      <c r="M222" s="361">
        <v>71924.929999999993</v>
      </c>
      <c r="N222" s="1821">
        <v>23517</v>
      </c>
    </row>
    <row r="223" spans="1:14" ht="13">
      <c r="A223" s="1818" t="s">
        <v>349</v>
      </c>
      <c r="B223" s="1819">
        <v>357708.88</v>
      </c>
      <c r="C223" s="1822">
        <v>0</v>
      </c>
      <c r="D223" s="365">
        <v>0</v>
      </c>
      <c r="E223" s="365">
        <v>0</v>
      </c>
      <c r="F223" s="365">
        <v>0</v>
      </c>
      <c r="G223" s="365">
        <v>0</v>
      </c>
      <c r="H223" s="361">
        <v>357708.88</v>
      </c>
      <c r="I223" s="365">
        <v>0</v>
      </c>
      <c r="J223" s="365">
        <v>0</v>
      </c>
      <c r="K223" s="365">
        <v>0</v>
      </c>
      <c r="L223" s="365">
        <v>0</v>
      </c>
      <c r="M223" s="365">
        <v>0</v>
      </c>
      <c r="N223" s="1823">
        <v>0</v>
      </c>
    </row>
    <row r="224" spans="1:14" ht="13">
      <c r="A224" s="1818" t="s">
        <v>295</v>
      </c>
      <c r="B224" s="1819">
        <v>326037.15000000002</v>
      </c>
      <c r="C224" s="1822">
        <v>0</v>
      </c>
      <c r="D224" s="365">
        <v>0</v>
      </c>
      <c r="E224" s="365">
        <v>0</v>
      </c>
      <c r="F224" s="365">
        <v>0</v>
      </c>
      <c r="G224" s="365">
        <v>0</v>
      </c>
      <c r="H224" s="365">
        <v>0</v>
      </c>
      <c r="I224" s="365">
        <v>0</v>
      </c>
      <c r="J224" s="365">
        <v>0</v>
      </c>
      <c r="K224" s="365">
        <v>0</v>
      </c>
      <c r="L224" s="365">
        <v>0</v>
      </c>
      <c r="M224" s="365">
        <v>0</v>
      </c>
      <c r="N224" s="1821">
        <v>326037.15000000002</v>
      </c>
    </row>
    <row r="225" spans="1:14" ht="13">
      <c r="A225" s="1818" t="s">
        <v>339</v>
      </c>
      <c r="B225" s="1819">
        <v>227896.03</v>
      </c>
      <c r="C225" s="1822">
        <v>0</v>
      </c>
      <c r="D225" s="361">
        <v>36541.300000000003</v>
      </c>
      <c r="E225" s="361">
        <v>35283.699999999997</v>
      </c>
      <c r="F225" s="361">
        <v>113618.21</v>
      </c>
      <c r="G225" s="365">
        <v>0</v>
      </c>
      <c r="H225" s="365">
        <v>0</v>
      </c>
      <c r="I225" s="365">
        <v>0</v>
      </c>
      <c r="J225" s="365">
        <v>0</v>
      </c>
      <c r="K225" s="365">
        <v>0</v>
      </c>
      <c r="L225" s="365">
        <v>0</v>
      </c>
      <c r="M225" s="365">
        <v>0</v>
      </c>
      <c r="N225" s="1821">
        <v>42452.82</v>
      </c>
    </row>
    <row r="226" spans="1:14" ht="13">
      <c r="A226" s="1818" t="s">
        <v>306</v>
      </c>
      <c r="B226" s="1819">
        <v>209686.58</v>
      </c>
      <c r="C226" s="1820">
        <v>53814.99</v>
      </c>
      <c r="D226" s="365">
        <v>0</v>
      </c>
      <c r="E226" s="365">
        <v>0</v>
      </c>
      <c r="F226" s="365">
        <v>0</v>
      </c>
      <c r="G226" s="365">
        <v>0</v>
      </c>
      <c r="H226" s="361">
        <v>51531.8</v>
      </c>
      <c r="I226" s="365">
        <v>0</v>
      </c>
      <c r="J226" s="365">
        <v>0</v>
      </c>
      <c r="K226" s="361">
        <v>34643.79</v>
      </c>
      <c r="L226" s="361">
        <v>69696</v>
      </c>
      <c r="M226" s="365">
        <v>0</v>
      </c>
      <c r="N226" s="1823">
        <v>0</v>
      </c>
    </row>
    <row r="227" spans="1:14" ht="13">
      <c r="A227" s="1818" t="s">
        <v>357</v>
      </c>
      <c r="B227" s="1819">
        <v>127586.59</v>
      </c>
      <c r="C227" s="1822">
        <v>0</v>
      </c>
      <c r="D227" s="365">
        <v>0</v>
      </c>
      <c r="E227" s="361">
        <v>107948.82</v>
      </c>
      <c r="F227" s="365">
        <v>0</v>
      </c>
      <c r="G227" s="365">
        <v>0</v>
      </c>
      <c r="H227" s="365">
        <v>0</v>
      </c>
      <c r="I227" s="361">
        <v>16039.77</v>
      </c>
      <c r="J227" s="361">
        <v>3598</v>
      </c>
      <c r="K227" s="365">
        <v>0</v>
      </c>
      <c r="L227" s="365">
        <v>0</v>
      </c>
      <c r="M227" s="365">
        <v>0</v>
      </c>
      <c r="N227" s="1823">
        <v>0</v>
      </c>
    </row>
    <row r="228" spans="1:14" ht="13">
      <c r="A228" s="1818" t="s">
        <v>325</v>
      </c>
      <c r="B228" s="1819">
        <v>73264.399999999994</v>
      </c>
      <c r="C228" s="1822">
        <v>0</v>
      </c>
      <c r="D228" s="361">
        <v>73264.399999999994</v>
      </c>
      <c r="E228" s="365">
        <v>0</v>
      </c>
      <c r="F228" s="365">
        <v>0</v>
      </c>
      <c r="G228" s="365">
        <v>0</v>
      </c>
      <c r="H228" s="365">
        <v>0</v>
      </c>
      <c r="I228" s="365">
        <v>0</v>
      </c>
      <c r="J228" s="365">
        <v>0</v>
      </c>
      <c r="K228" s="365">
        <v>0</v>
      </c>
      <c r="L228" s="365">
        <v>0</v>
      </c>
      <c r="M228" s="365">
        <v>0</v>
      </c>
      <c r="N228" s="1823">
        <v>0</v>
      </c>
    </row>
    <row r="229" spans="1:14" ht="13">
      <c r="A229" s="1818" t="s">
        <v>328</v>
      </c>
      <c r="B229" s="1819">
        <v>30846</v>
      </c>
      <c r="C229" s="1822">
        <v>0</v>
      </c>
      <c r="D229" s="365">
        <v>0</v>
      </c>
      <c r="E229" s="365">
        <v>0</v>
      </c>
      <c r="F229" s="365">
        <v>0</v>
      </c>
      <c r="G229" s="365">
        <v>0</v>
      </c>
      <c r="H229" s="365">
        <v>0</v>
      </c>
      <c r="I229" s="365">
        <v>0</v>
      </c>
      <c r="J229" s="365">
        <v>0</v>
      </c>
      <c r="K229" s="365">
        <v>0</v>
      </c>
      <c r="L229" s="365">
        <v>0</v>
      </c>
      <c r="M229" s="365">
        <v>0</v>
      </c>
      <c r="N229" s="1821">
        <v>30846</v>
      </c>
    </row>
    <row r="230" spans="1:14" ht="13">
      <c r="A230" s="1818" t="s">
        <v>345</v>
      </c>
      <c r="B230" s="1819">
        <v>12308</v>
      </c>
      <c r="C230" s="1820">
        <v>12308</v>
      </c>
      <c r="D230" s="365">
        <v>0</v>
      </c>
      <c r="E230" s="365">
        <v>0</v>
      </c>
      <c r="F230" s="365">
        <v>0</v>
      </c>
      <c r="G230" s="365">
        <v>0</v>
      </c>
      <c r="H230" s="365">
        <v>0</v>
      </c>
      <c r="I230" s="365">
        <v>0</v>
      </c>
      <c r="J230" s="365">
        <v>0</v>
      </c>
      <c r="K230" s="365">
        <v>0</v>
      </c>
      <c r="L230" s="365">
        <v>0</v>
      </c>
      <c r="M230" s="365">
        <v>0</v>
      </c>
      <c r="N230" s="1823">
        <v>0</v>
      </c>
    </row>
    <row r="231" spans="1:14" ht="13">
      <c r="A231" s="1818" t="s">
        <v>321</v>
      </c>
      <c r="B231" s="1819">
        <v>7973</v>
      </c>
      <c r="C231" s="1822">
        <v>0</v>
      </c>
      <c r="D231" s="365">
        <v>0</v>
      </c>
      <c r="E231" s="365">
        <v>0</v>
      </c>
      <c r="F231" s="365">
        <v>0</v>
      </c>
      <c r="G231" s="365">
        <v>0</v>
      </c>
      <c r="H231" s="365">
        <v>0</v>
      </c>
      <c r="I231" s="365">
        <v>0</v>
      </c>
      <c r="J231" s="365">
        <v>0</v>
      </c>
      <c r="K231" s="365">
        <v>0</v>
      </c>
      <c r="L231" s="361">
        <v>7973</v>
      </c>
      <c r="M231" s="365">
        <v>0</v>
      </c>
      <c r="N231" s="1823">
        <v>0</v>
      </c>
    </row>
    <row r="232" spans="1:14" ht="13">
      <c r="A232" s="742"/>
      <c r="B232" s="553"/>
      <c r="C232" s="1789"/>
      <c r="N232" s="1804"/>
    </row>
    <row r="233" spans="1:14" ht="13">
      <c r="A233" s="742"/>
      <c r="B233" s="553"/>
      <c r="C233" s="1789"/>
      <c r="N233" s="1804"/>
    </row>
    <row r="234" spans="1:14" ht="13">
      <c r="A234" s="742"/>
      <c r="B234" s="553"/>
      <c r="C234" s="1789"/>
      <c r="N234" s="1804"/>
    </row>
    <row r="235" spans="1:14" ht="13">
      <c r="A235" s="742"/>
      <c r="B235" s="553"/>
      <c r="C235" s="1789"/>
      <c r="N235" s="1804"/>
    </row>
    <row r="236" spans="1:14" ht="13">
      <c r="A236" s="742"/>
      <c r="B236" s="553"/>
      <c r="C236" s="1789"/>
      <c r="N236" s="1804"/>
    </row>
    <row r="237" spans="1:14" ht="13">
      <c r="A237" s="742"/>
      <c r="B237" s="553"/>
      <c r="C237" s="1789"/>
      <c r="N237" s="1804"/>
    </row>
    <row r="238" spans="1:14" ht="13">
      <c r="A238" s="742"/>
      <c r="B238" s="553"/>
      <c r="C238" s="1789"/>
      <c r="N238" s="1804"/>
    </row>
    <row r="239" spans="1:14" ht="13">
      <c r="A239" s="742"/>
      <c r="B239" s="553"/>
      <c r="C239" s="1789"/>
      <c r="N239" s="1804"/>
    </row>
    <row r="240" spans="1:14" ht="13">
      <c r="A240" s="742"/>
      <c r="B240" s="553"/>
      <c r="C240" s="1789"/>
      <c r="N240" s="1804"/>
    </row>
    <row r="241" spans="1:14" ht="13">
      <c r="A241" s="420"/>
      <c r="B241" s="1810"/>
      <c r="C241" s="1811"/>
      <c r="D241" s="419"/>
      <c r="E241" s="419"/>
      <c r="F241" s="419"/>
      <c r="G241" s="419"/>
      <c r="H241" s="419"/>
      <c r="I241" s="419"/>
      <c r="J241" s="419"/>
      <c r="K241" s="419"/>
      <c r="L241" s="419"/>
      <c r="M241" s="419"/>
      <c r="N241" s="703"/>
    </row>
    <row r="242" spans="1:14" ht="13">
      <c r="B242" s="553"/>
      <c r="C242" s="1789"/>
    </row>
    <row r="243" spans="1:14" ht="13">
      <c r="B243" s="553"/>
      <c r="C243" s="1789"/>
    </row>
    <row r="244" spans="1:14" ht="13">
      <c r="B244" s="553"/>
      <c r="C244" s="1789"/>
    </row>
    <row r="245" spans="1:14" ht="13">
      <c r="B245" s="553"/>
      <c r="C245" s="1789"/>
    </row>
    <row r="246" spans="1:14" ht="13">
      <c r="B246" s="553"/>
      <c r="C246" s="1789"/>
    </row>
    <row r="247" spans="1:14" ht="13">
      <c r="B247" s="553"/>
      <c r="C247" s="1789"/>
    </row>
    <row r="248" spans="1:14" ht="13">
      <c r="A248" s="1812" t="s">
        <v>7</v>
      </c>
      <c r="B248" s="1813" t="s">
        <v>241</v>
      </c>
      <c r="C248" s="1814">
        <v>45292</v>
      </c>
      <c r="D248" s="1815">
        <v>45323</v>
      </c>
      <c r="E248" s="1815">
        <v>45352</v>
      </c>
      <c r="F248" s="1815">
        <v>45383</v>
      </c>
      <c r="G248" s="1815">
        <v>45413</v>
      </c>
      <c r="H248" s="1815">
        <v>45444</v>
      </c>
      <c r="I248" s="1815">
        <v>45474</v>
      </c>
      <c r="J248" s="1815">
        <v>45505</v>
      </c>
      <c r="K248" s="1815">
        <v>45536</v>
      </c>
      <c r="L248" s="1816">
        <v>45566</v>
      </c>
      <c r="M248" s="1816">
        <v>45597</v>
      </c>
      <c r="N248" s="1817">
        <v>45627</v>
      </c>
    </row>
    <row r="249" spans="1:14" ht="13">
      <c r="A249" s="1818" t="s">
        <v>241</v>
      </c>
      <c r="B249" s="1819">
        <v>1270504513.3599999</v>
      </c>
      <c r="C249" s="1820">
        <v>93739158.739999995</v>
      </c>
      <c r="D249" s="361">
        <v>89644129.280000001</v>
      </c>
      <c r="E249" s="361">
        <v>82183797.109999999</v>
      </c>
      <c r="F249" s="361">
        <v>100393123.47</v>
      </c>
      <c r="G249" s="361">
        <v>91419778.189999998</v>
      </c>
      <c r="H249" s="361">
        <v>79827212.569999993</v>
      </c>
      <c r="I249" s="361">
        <v>100635599.58</v>
      </c>
      <c r="J249" s="361">
        <v>115294727.25</v>
      </c>
      <c r="K249" s="361">
        <v>91128282.689999998</v>
      </c>
      <c r="L249" s="361">
        <v>151998890.93000001</v>
      </c>
      <c r="M249" s="361">
        <v>139664903.69999999</v>
      </c>
      <c r="N249" s="1821">
        <v>134574909.83000001</v>
      </c>
    </row>
    <row r="250" spans="1:14" ht="13">
      <c r="A250" s="1818" t="s">
        <v>373</v>
      </c>
      <c r="B250" s="1819">
        <v>157218459.87</v>
      </c>
      <c r="C250" s="1820">
        <v>6746816.2199999997</v>
      </c>
      <c r="D250" s="361">
        <v>10124274.779999999</v>
      </c>
      <c r="E250" s="361">
        <v>9894248.6699999999</v>
      </c>
      <c r="F250" s="361">
        <v>12056771.5</v>
      </c>
      <c r="G250" s="361">
        <v>6570822.4900000002</v>
      </c>
      <c r="H250" s="361">
        <v>6426690.4400000004</v>
      </c>
      <c r="I250" s="361">
        <v>15150703.470000001</v>
      </c>
      <c r="J250" s="361">
        <v>22929537.289999999</v>
      </c>
      <c r="K250" s="361">
        <v>4581621</v>
      </c>
      <c r="L250" s="361">
        <v>21927677.670000002</v>
      </c>
      <c r="M250" s="361">
        <v>14386715.279999999</v>
      </c>
      <c r="N250" s="1821">
        <v>26422581.079999998</v>
      </c>
    </row>
    <row r="251" spans="1:14" ht="13">
      <c r="A251" s="1818" t="s">
        <v>1644</v>
      </c>
      <c r="B251" s="1819">
        <v>97008843.290000007</v>
      </c>
      <c r="C251" s="1820">
        <v>8551847.4499999993</v>
      </c>
      <c r="D251" s="361">
        <v>6661678.7599999998</v>
      </c>
      <c r="E251" s="361">
        <v>4105298.88</v>
      </c>
      <c r="F251" s="361">
        <v>6501169.3499999996</v>
      </c>
      <c r="G251" s="361">
        <v>11647347.699999999</v>
      </c>
      <c r="H251" s="361">
        <v>15066093.18</v>
      </c>
      <c r="I251" s="361">
        <v>2827083.58</v>
      </c>
      <c r="J251" s="361">
        <v>6632768.9100000001</v>
      </c>
      <c r="K251" s="361">
        <v>5111417.8099999996</v>
      </c>
      <c r="L251" s="361">
        <v>11900850.359999999</v>
      </c>
      <c r="M251" s="361">
        <v>15252806.52</v>
      </c>
      <c r="N251" s="1821">
        <v>2750480.78</v>
      </c>
    </row>
    <row r="252" spans="1:14" ht="13">
      <c r="A252" s="1818" t="s">
        <v>403</v>
      </c>
      <c r="B252" s="1819">
        <v>89904246.579999998</v>
      </c>
      <c r="C252" s="1820">
        <v>6696057.9699999997</v>
      </c>
      <c r="D252" s="361">
        <v>3661876.62</v>
      </c>
      <c r="E252" s="361">
        <v>7572506.7699999996</v>
      </c>
      <c r="F252" s="361">
        <v>5713874.3600000003</v>
      </c>
      <c r="G252" s="361">
        <v>9186810.4000000004</v>
      </c>
      <c r="H252" s="361">
        <v>2656641.7400000002</v>
      </c>
      <c r="I252" s="361">
        <v>8796083.9600000009</v>
      </c>
      <c r="J252" s="361">
        <v>3812579.54</v>
      </c>
      <c r="K252" s="361">
        <v>6173395.2599999998</v>
      </c>
      <c r="L252" s="361">
        <v>14205104.689999999</v>
      </c>
      <c r="M252" s="361">
        <v>12876938.01</v>
      </c>
      <c r="N252" s="1821">
        <v>8552377.2400000002</v>
      </c>
    </row>
    <row r="253" spans="1:14" ht="13">
      <c r="A253" s="1818" t="s">
        <v>490</v>
      </c>
      <c r="B253" s="1819">
        <v>48408250.640000001</v>
      </c>
      <c r="C253" s="1820">
        <v>4941689.29</v>
      </c>
      <c r="D253" s="361">
        <v>2407706.73</v>
      </c>
      <c r="E253" s="361">
        <v>3422474.28</v>
      </c>
      <c r="F253" s="361">
        <v>5939163.9900000002</v>
      </c>
      <c r="G253" s="361">
        <v>3602915.56</v>
      </c>
      <c r="H253" s="361">
        <v>4504507.5199999996</v>
      </c>
      <c r="I253" s="361">
        <v>2525040.7799999998</v>
      </c>
      <c r="J253" s="361">
        <v>3356838.15</v>
      </c>
      <c r="K253" s="361">
        <v>5286191.72</v>
      </c>
      <c r="L253" s="361">
        <v>3167410.12</v>
      </c>
      <c r="M253" s="361">
        <v>3855410.36</v>
      </c>
      <c r="N253" s="1821">
        <v>5398902.1299999999</v>
      </c>
    </row>
    <row r="254" spans="1:14" ht="13">
      <c r="A254" s="1818" t="s">
        <v>383</v>
      </c>
      <c r="B254" s="1819">
        <v>40960546.93</v>
      </c>
      <c r="C254" s="1820">
        <v>2313254.12</v>
      </c>
      <c r="D254" s="361">
        <v>3779589.63</v>
      </c>
      <c r="E254" s="361">
        <v>2499616.2999999998</v>
      </c>
      <c r="F254" s="361">
        <v>4700482.29</v>
      </c>
      <c r="G254" s="361">
        <v>6124727.2599999998</v>
      </c>
      <c r="H254" s="361">
        <v>3026683.02</v>
      </c>
      <c r="I254" s="361">
        <v>2781992.59</v>
      </c>
      <c r="J254" s="361">
        <v>2730548.25</v>
      </c>
      <c r="K254" s="361">
        <v>1974632.28</v>
      </c>
      <c r="L254" s="361">
        <v>6129775.7000000002</v>
      </c>
      <c r="M254" s="361">
        <v>2955417.35</v>
      </c>
      <c r="N254" s="1821">
        <v>1943828.13</v>
      </c>
    </row>
    <row r="255" spans="1:14" ht="13">
      <c r="A255" s="1818" t="s">
        <v>395</v>
      </c>
      <c r="B255" s="1819">
        <v>34532415.640000001</v>
      </c>
      <c r="C255" s="1820">
        <v>1726135.75</v>
      </c>
      <c r="D255" s="361">
        <v>1905058.16</v>
      </c>
      <c r="E255" s="361">
        <v>5887247.79</v>
      </c>
      <c r="F255" s="361">
        <v>6932356.79</v>
      </c>
      <c r="G255" s="365">
        <v>0</v>
      </c>
      <c r="H255" s="361">
        <v>2415371.19</v>
      </c>
      <c r="I255" s="361">
        <v>3418798</v>
      </c>
      <c r="J255" s="361">
        <v>2773649.63</v>
      </c>
      <c r="K255" s="361">
        <v>5189137.38</v>
      </c>
      <c r="L255" s="361">
        <v>1854144.22</v>
      </c>
      <c r="M255" s="361">
        <v>1793178.5</v>
      </c>
      <c r="N255" s="1821">
        <v>637338.24</v>
      </c>
    </row>
    <row r="256" spans="1:14" ht="13">
      <c r="A256" s="1818" t="s">
        <v>378</v>
      </c>
      <c r="B256" s="1819">
        <v>34318224.729999997</v>
      </c>
      <c r="C256" s="1820">
        <v>2218120.87</v>
      </c>
      <c r="D256" s="361">
        <v>2589868</v>
      </c>
      <c r="E256" s="361">
        <v>2588753.71</v>
      </c>
      <c r="F256" s="361">
        <v>3117607.08</v>
      </c>
      <c r="G256" s="361">
        <v>1617874.16</v>
      </c>
      <c r="H256" s="361">
        <v>2127716.46</v>
      </c>
      <c r="I256" s="361">
        <v>3172578.75</v>
      </c>
      <c r="J256" s="361">
        <v>3718387.97</v>
      </c>
      <c r="K256" s="361">
        <v>2432102.77</v>
      </c>
      <c r="L256" s="361">
        <v>3411620.77</v>
      </c>
      <c r="M256" s="361">
        <v>3397401.74</v>
      </c>
      <c r="N256" s="1821">
        <v>3926192.48</v>
      </c>
    </row>
    <row r="257" spans="1:14" ht="13">
      <c r="A257" s="1818" t="s">
        <v>442</v>
      </c>
      <c r="B257" s="1819">
        <v>34284480.469999999</v>
      </c>
      <c r="C257" s="1820">
        <v>3888268.21</v>
      </c>
      <c r="D257" s="361">
        <v>1994238.79</v>
      </c>
      <c r="E257" s="361">
        <v>2787379.72</v>
      </c>
      <c r="F257" s="361">
        <v>2692116.4</v>
      </c>
      <c r="G257" s="361">
        <v>1615248.52</v>
      </c>
      <c r="H257" s="361">
        <v>2017952.66</v>
      </c>
      <c r="I257" s="361">
        <v>2471626.94</v>
      </c>
      <c r="J257" s="361">
        <v>2708040.54</v>
      </c>
      <c r="K257" s="361">
        <v>3860165.4</v>
      </c>
      <c r="L257" s="361">
        <v>2459716.91</v>
      </c>
      <c r="M257" s="361">
        <v>3976477.65</v>
      </c>
      <c r="N257" s="1821">
        <v>3813248.74</v>
      </c>
    </row>
    <row r="258" spans="1:14" ht="13">
      <c r="A258" s="1818" t="s">
        <v>391</v>
      </c>
      <c r="B258" s="1819">
        <v>33899172.520000003</v>
      </c>
      <c r="C258" s="1820">
        <v>3471533.85</v>
      </c>
      <c r="D258" s="361">
        <v>3322657.59</v>
      </c>
      <c r="E258" s="361">
        <v>4530475.12</v>
      </c>
      <c r="F258" s="361">
        <v>2609833.7200000002</v>
      </c>
      <c r="G258" s="361">
        <v>2835294.25</v>
      </c>
      <c r="H258" s="361">
        <v>2039625.9</v>
      </c>
      <c r="I258" s="361">
        <v>1661288.59</v>
      </c>
      <c r="J258" s="361">
        <v>3112080</v>
      </c>
      <c r="K258" s="361">
        <v>975195.16</v>
      </c>
      <c r="L258" s="361">
        <v>2051475.78</v>
      </c>
      <c r="M258" s="361">
        <v>3369042.48</v>
      </c>
      <c r="N258" s="1821">
        <v>3920670.07</v>
      </c>
    </row>
    <row r="259" spans="1:14" ht="13">
      <c r="A259" s="1818" t="s">
        <v>1671</v>
      </c>
      <c r="B259" s="1819">
        <v>32518782.91</v>
      </c>
      <c r="C259" s="1820">
        <v>3562193.1</v>
      </c>
      <c r="D259" s="361">
        <v>1643153</v>
      </c>
      <c r="E259" s="361">
        <v>1667631.23</v>
      </c>
      <c r="F259" s="361">
        <v>2273780.19</v>
      </c>
      <c r="G259" s="361">
        <v>1571427.94</v>
      </c>
      <c r="H259" s="361">
        <v>1710427.14</v>
      </c>
      <c r="I259" s="361">
        <v>3087599.75</v>
      </c>
      <c r="J259" s="361">
        <v>3441598.25</v>
      </c>
      <c r="K259" s="361">
        <v>2205840.17</v>
      </c>
      <c r="L259" s="361">
        <v>3564860.58</v>
      </c>
      <c r="M259" s="361">
        <v>3702448.65</v>
      </c>
      <c r="N259" s="1821">
        <v>4087822.91</v>
      </c>
    </row>
    <row r="260" spans="1:14" ht="13">
      <c r="A260" s="1818" t="s">
        <v>423</v>
      </c>
      <c r="B260" s="1819">
        <v>30477478.579999998</v>
      </c>
      <c r="C260" s="1820">
        <v>1977976.1</v>
      </c>
      <c r="D260" s="361">
        <v>2871787.12</v>
      </c>
      <c r="E260" s="361">
        <v>2615577.89</v>
      </c>
      <c r="F260" s="361">
        <v>1938989.36</v>
      </c>
      <c r="G260" s="361">
        <v>1840093.95</v>
      </c>
      <c r="H260" s="361">
        <v>1619597.45</v>
      </c>
      <c r="I260" s="361">
        <v>1475531.01</v>
      </c>
      <c r="J260" s="361">
        <v>2648138.35</v>
      </c>
      <c r="K260" s="361">
        <v>2380221.63</v>
      </c>
      <c r="L260" s="361">
        <v>5273213.3499999996</v>
      </c>
      <c r="M260" s="361">
        <v>2919650.74</v>
      </c>
      <c r="N260" s="1821">
        <v>2916701.64</v>
      </c>
    </row>
    <row r="261" spans="1:14" ht="13">
      <c r="A261" s="1818" t="s">
        <v>387</v>
      </c>
      <c r="B261" s="1819">
        <v>27998181.52</v>
      </c>
      <c r="C261" s="1820">
        <v>2034530.1</v>
      </c>
      <c r="D261" s="361">
        <v>2609458.89</v>
      </c>
      <c r="E261" s="361">
        <v>1907442.37</v>
      </c>
      <c r="F261" s="361">
        <v>2163914.6</v>
      </c>
      <c r="G261" s="361">
        <v>2175270.54</v>
      </c>
      <c r="H261" s="361">
        <v>1850343.47</v>
      </c>
      <c r="I261" s="361">
        <v>2118658.35</v>
      </c>
      <c r="J261" s="361">
        <v>2216687.83</v>
      </c>
      <c r="K261" s="361">
        <v>2436871.66</v>
      </c>
      <c r="L261" s="361">
        <v>3147117.3</v>
      </c>
      <c r="M261" s="361">
        <v>3218676.15</v>
      </c>
      <c r="N261" s="1821">
        <v>2119210.25</v>
      </c>
    </row>
    <row r="262" spans="1:14" ht="13">
      <c r="A262" s="1818" t="s">
        <v>414</v>
      </c>
      <c r="B262" s="1819">
        <v>26662423.059999999</v>
      </c>
      <c r="C262" s="1820">
        <v>4428402.59</v>
      </c>
      <c r="D262" s="361">
        <v>957300.07</v>
      </c>
      <c r="E262" s="361">
        <v>998102.06</v>
      </c>
      <c r="F262" s="361">
        <v>339680.41</v>
      </c>
      <c r="G262" s="361">
        <v>2262923.0099999998</v>
      </c>
      <c r="H262" s="361">
        <v>1214736.52</v>
      </c>
      <c r="I262" s="361">
        <v>1880999.5</v>
      </c>
      <c r="J262" s="361">
        <v>1442468.58</v>
      </c>
      <c r="K262" s="361">
        <v>1821791.95</v>
      </c>
      <c r="L262" s="361">
        <v>5724747.5899999999</v>
      </c>
      <c r="M262" s="361">
        <v>1594936.88</v>
      </c>
      <c r="N262" s="1821">
        <v>3996333.87</v>
      </c>
    </row>
    <row r="263" spans="1:14" ht="13">
      <c r="A263" s="1818" t="s">
        <v>412</v>
      </c>
      <c r="B263" s="1819">
        <v>25841261.030000001</v>
      </c>
      <c r="C263" s="1820">
        <v>1435538.72</v>
      </c>
      <c r="D263" s="361">
        <v>2164939.83</v>
      </c>
      <c r="E263" s="361">
        <v>1343053.32</v>
      </c>
      <c r="F263" s="361">
        <v>1807884.15</v>
      </c>
      <c r="G263" s="361">
        <v>2014126.33</v>
      </c>
      <c r="H263" s="361">
        <v>588873.49</v>
      </c>
      <c r="I263" s="361">
        <v>2467392.61</v>
      </c>
      <c r="J263" s="361">
        <v>4306799.41</v>
      </c>
      <c r="K263" s="361">
        <v>1577551.66</v>
      </c>
      <c r="L263" s="361">
        <v>3426247.64</v>
      </c>
      <c r="M263" s="361">
        <v>2236561.2599999998</v>
      </c>
      <c r="N263" s="1821">
        <v>2472292.62</v>
      </c>
    </row>
    <row r="264" spans="1:14" ht="13">
      <c r="A264" s="1818" t="s">
        <v>393</v>
      </c>
      <c r="B264" s="1819">
        <v>25396378.149999999</v>
      </c>
      <c r="C264" s="1822">
        <v>0</v>
      </c>
      <c r="D264" s="365">
        <v>0</v>
      </c>
      <c r="E264" s="365">
        <v>0</v>
      </c>
      <c r="F264" s="361">
        <v>7385323.5999999996</v>
      </c>
      <c r="G264" s="365">
        <v>0</v>
      </c>
      <c r="H264" s="361">
        <v>384635.25</v>
      </c>
      <c r="I264" s="361">
        <v>3592752.3</v>
      </c>
      <c r="J264" s="361">
        <v>6600546.75</v>
      </c>
      <c r="K264" s="361">
        <v>7433120.25</v>
      </c>
      <c r="L264" s="365">
        <v>0</v>
      </c>
      <c r="M264" s="365">
        <v>0</v>
      </c>
      <c r="N264" s="1823">
        <v>0</v>
      </c>
    </row>
    <row r="265" spans="1:14" ht="13">
      <c r="A265" s="1818" t="s">
        <v>400</v>
      </c>
      <c r="B265" s="1819">
        <v>23586801.359999999</v>
      </c>
      <c r="C265" s="1820">
        <v>1039781.95</v>
      </c>
      <c r="D265" s="361">
        <v>1443831.56</v>
      </c>
      <c r="E265" s="361">
        <v>1341680.02</v>
      </c>
      <c r="F265" s="361">
        <v>1818422.16</v>
      </c>
      <c r="G265" s="361">
        <v>2854263.34</v>
      </c>
      <c r="H265" s="361">
        <v>1450129.45</v>
      </c>
      <c r="I265" s="361">
        <v>2363677.29</v>
      </c>
      <c r="J265" s="361">
        <v>2217118.58</v>
      </c>
      <c r="K265" s="361">
        <v>2540581.25</v>
      </c>
      <c r="L265" s="361">
        <v>2418680.69</v>
      </c>
      <c r="M265" s="361">
        <v>1797279.58</v>
      </c>
      <c r="N265" s="1821">
        <v>2301355.4900000002</v>
      </c>
    </row>
    <row r="266" spans="1:14" ht="13">
      <c r="A266" s="1818" t="s">
        <v>405</v>
      </c>
      <c r="B266" s="1819">
        <v>23396447.440000001</v>
      </c>
      <c r="C266" s="1820">
        <v>1047891.2</v>
      </c>
      <c r="D266" s="361">
        <v>2147709.38</v>
      </c>
      <c r="E266" s="361">
        <v>1172001.28</v>
      </c>
      <c r="F266" s="361">
        <v>1546637.55</v>
      </c>
      <c r="G266" s="361">
        <v>1604797.75</v>
      </c>
      <c r="H266" s="361">
        <v>1660079.79</v>
      </c>
      <c r="I266" s="361">
        <v>914908.49</v>
      </c>
      <c r="J266" s="361">
        <v>2153441.9</v>
      </c>
      <c r="K266" s="361">
        <v>1386175.55</v>
      </c>
      <c r="L266" s="361">
        <v>3334120.18</v>
      </c>
      <c r="M266" s="361">
        <v>3853171.46</v>
      </c>
      <c r="N266" s="1821">
        <v>2575512.92</v>
      </c>
    </row>
    <row r="267" spans="1:14" ht="13">
      <c r="A267" s="1818" t="s">
        <v>381</v>
      </c>
      <c r="B267" s="1819">
        <v>21209431.140000001</v>
      </c>
      <c r="C267" s="1820">
        <v>567042.77</v>
      </c>
      <c r="D267" s="361">
        <v>1825204.89</v>
      </c>
      <c r="E267" s="361">
        <v>1089311.53</v>
      </c>
      <c r="F267" s="361">
        <v>989750.34</v>
      </c>
      <c r="G267" s="361">
        <v>817152.57</v>
      </c>
      <c r="H267" s="361">
        <v>1987832.05</v>
      </c>
      <c r="I267" s="361">
        <v>1022077.12</v>
      </c>
      <c r="J267" s="361">
        <v>1640944.37</v>
      </c>
      <c r="K267" s="361">
        <v>343145.7</v>
      </c>
      <c r="L267" s="361">
        <v>3105987.21</v>
      </c>
      <c r="M267" s="361">
        <v>4706171.8899999997</v>
      </c>
      <c r="N267" s="1821">
        <v>3114810.71</v>
      </c>
    </row>
    <row r="268" spans="1:14" ht="13">
      <c r="A268" s="1818" t="s">
        <v>401</v>
      </c>
      <c r="B268" s="1819">
        <v>20228958.670000002</v>
      </c>
      <c r="C268" s="1820">
        <v>1652831.95</v>
      </c>
      <c r="D268" s="361">
        <v>1910844.43</v>
      </c>
      <c r="E268" s="361">
        <v>1511501.8</v>
      </c>
      <c r="F268" s="361">
        <v>1581272.98</v>
      </c>
      <c r="G268" s="361">
        <v>1306715.99</v>
      </c>
      <c r="H268" s="361">
        <v>1210685.1000000001</v>
      </c>
      <c r="I268" s="361">
        <v>1742026.51</v>
      </c>
      <c r="J268" s="361">
        <v>1493022.55</v>
      </c>
      <c r="K268" s="361">
        <v>1547126.43</v>
      </c>
      <c r="L268" s="361">
        <v>1806830.17</v>
      </c>
      <c r="M268" s="361">
        <v>2020486.56</v>
      </c>
      <c r="N268" s="1821">
        <v>2445614.2000000002</v>
      </c>
    </row>
    <row r="269" spans="1:14" ht="13">
      <c r="A269" s="1818" t="s">
        <v>492</v>
      </c>
      <c r="B269" s="1819">
        <v>19500163.550000001</v>
      </c>
      <c r="C269" s="1820">
        <v>3217536.07</v>
      </c>
      <c r="D269" s="361">
        <v>1475072.24</v>
      </c>
      <c r="E269" s="361">
        <v>1436857.71</v>
      </c>
      <c r="F269" s="361">
        <v>1589142.62</v>
      </c>
      <c r="G269" s="361">
        <v>1042823.31</v>
      </c>
      <c r="H269" s="361">
        <v>1241482.49</v>
      </c>
      <c r="I269" s="361">
        <v>1454425.92</v>
      </c>
      <c r="J269" s="361">
        <v>1303444.23</v>
      </c>
      <c r="K269" s="361">
        <v>742015.99</v>
      </c>
      <c r="L269" s="361">
        <v>2211038.33</v>
      </c>
      <c r="M269" s="361">
        <v>2440477.42</v>
      </c>
      <c r="N269" s="1821">
        <v>1345847.22</v>
      </c>
    </row>
    <row r="270" spans="1:14" ht="13">
      <c r="A270" s="1818" t="s">
        <v>434</v>
      </c>
      <c r="B270" s="1819">
        <v>19293170.170000002</v>
      </c>
      <c r="C270" s="1820">
        <v>2145546.1800000002</v>
      </c>
      <c r="D270" s="361">
        <v>1043638.98</v>
      </c>
      <c r="E270" s="361">
        <v>1106455.72</v>
      </c>
      <c r="F270" s="361">
        <v>1452774.21</v>
      </c>
      <c r="G270" s="361">
        <v>798783.96</v>
      </c>
      <c r="H270" s="361">
        <v>835167.33</v>
      </c>
      <c r="I270" s="361">
        <v>1333346.54</v>
      </c>
      <c r="J270" s="361">
        <v>1623988.86</v>
      </c>
      <c r="K270" s="361">
        <v>1689063.7</v>
      </c>
      <c r="L270" s="361">
        <v>2321582.87</v>
      </c>
      <c r="M270" s="361">
        <v>2013499.41</v>
      </c>
      <c r="N270" s="1821">
        <v>2929322.41</v>
      </c>
    </row>
    <row r="271" spans="1:14" ht="13">
      <c r="A271" s="1818" t="s">
        <v>375</v>
      </c>
      <c r="B271" s="1819">
        <v>18598674.359999999</v>
      </c>
      <c r="C271" s="1822">
        <v>0</v>
      </c>
      <c r="D271" s="361">
        <v>3004305.32</v>
      </c>
      <c r="E271" s="361">
        <v>1320276.6299999999</v>
      </c>
      <c r="F271" s="361">
        <v>104029.77</v>
      </c>
      <c r="G271" s="361">
        <v>1977615.86</v>
      </c>
      <c r="H271" s="361">
        <v>32000.799999999999</v>
      </c>
      <c r="I271" s="361">
        <v>4066555.78</v>
      </c>
      <c r="J271" s="361">
        <v>48545.49</v>
      </c>
      <c r="K271" s="361">
        <v>3358958.97</v>
      </c>
      <c r="L271" s="361">
        <v>2127120.84</v>
      </c>
      <c r="M271" s="361">
        <v>2196519.56</v>
      </c>
      <c r="N271" s="1821">
        <v>362745.35</v>
      </c>
    </row>
    <row r="272" spans="1:14" ht="13">
      <c r="A272" s="1818" t="s">
        <v>408</v>
      </c>
      <c r="B272" s="1819">
        <v>18510925.25</v>
      </c>
      <c r="C272" s="1820">
        <v>1832293.27</v>
      </c>
      <c r="D272" s="361">
        <v>1420860.61</v>
      </c>
      <c r="E272" s="361">
        <v>1202454.97</v>
      </c>
      <c r="F272" s="361">
        <v>1461135.32</v>
      </c>
      <c r="G272" s="361">
        <v>990873.3</v>
      </c>
      <c r="H272" s="361">
        <v>1633342.93</v>
      </c>
      <c r="I272" s="361">
        <v>1613028.34</v>
      </c>
      <c r="J272" s="361">
        <v>1271406.21</v>
      </c>
      <c r="K272" s="361">
        <v>843346.43</v>
      </c>
      <c r="L272" s="361">
        <v>1740327.37</v>
      </c>
      <c r="M272" s="361">
        <v>1677774</v>
      </c>
      <c r="N272" s="1821">
        <v>2824082.48</v>
      </c>
    </row>
    <row r="273" spans="1:14" ht="13">
      <c r="A273" s="1818" t="s">
        <v>453</v>
      </c>
      <c r="B273" s="1819">
        <v>18447453.850000001</v>
      </c>
      <c r="C273" s="1820">
        <v>1038903.56</v>
      </c>
      <c r="D273" s="361">
        <v>2207038.12</v>
      </c>
      <c r="E273" s="361">
        <v>841544.25</v>
      </c>
      <c r="F273" s="361">
        <v>1232979.8700000001</v>
      </c>
      <c r="G273" s="361">
        <v>903285.74</v>
      </c>
      <c r="H273" s="361">
        <v>1438551.97</v>
      </c>
      <c r="I273" s="361">
        <v>1534410.36</v>
      </c>
      <c r="J273" s="361">
        <v>1370051.28</v>
      </c>
      <c r="K273" s="361">
        <v>1172086.76</v>
      </c>
      <c r="L273" s="361">
        <v>2524584.16</v>
      </c>
      <c r="M273" s="361">
        <v>2120001.1</v>
      </c>
      <c r="N273" s="1821">
        <v>2064016.68</v>
      </c>
    </row>
    <row r="274" spans="1:14" ht="13">
      <c r="A274" s="1818" t="s">
        <v>494</v>
      </c>
      <c r="B274" s="1819">
        <v>17296431.59</v>
      </c>
      <c r="C274" s="1820">
        <v>999478.02</v>
      </c>
      <c r="D274" s="361">
        <v>4772114.18</v>
      </c>
      <c r="E274" s="361">
        <v>67189.55</v>
      </c>
      <c r="F274" s="361">
        <v>715723.31</v>
      </c>
      <c r="G274" s="361">
        <v>1531048.33</v>
      </c>
      <c r="H274" s="361">
        <v>1065282.01</v>
      </c>
      <c r="I274" s="361">
        <v>1385700.18</v>
      </c>
      <c r="J274" s="361">
        <v>2717622.68</v>
      </c>
      <c r="K274" s="365">
        <v>6</v>
      </c>
      <c r="L274" s="361">
        <v>1325438.76</v>
      </c>
      <c r="M274" s="361">
        <v>834900.12</v>
      </c>
      <c r="N274" s="1821">
        <v>1881928.44</v>
      </c>
    </row>
    <row r="275" spans="1:14" ht="13">
      <c r="A275" s="1818" t="s">
        <v>429</v>
      </c>
      <c r="B275" s="1819">
        <v>15997593.189999999</v>
      </c>
      <c r="C275" s="1820">
        <v>1010145.87</v>
      </c>
      <c r="D275" s="361">
        <v>1190597.96</v>
      </c>
      <c r="E275" s="361">
        <v>537512.87</v>
      </c>
      <c r="F275" s="361">
        <v>1193791.3999999999</v>
      </c>
      <c r="G275" s="361">
        <v>909889.29</v>
      </c>
      <c r="H275" s="361">
        <v>892456.59</v>
      </c>
      <c r="I275" s="361">
        <v>1706482.42</v>
      </c>
      <c r="J275" s="361">
        <v>398126.58</v>
      </c>
      <c r="K275" s="361">
        <v>1220999.32</v>
      </c>
      <c r="L275" s="361">
        <v>2197012.62</v>
      </c>
      <c r="M275" s="361">
        <v>2020580.4</v>
      </c>
      <c r="N275" s="1821">
        <v>2719997.89</v>
      </c>
    </row>
    <row r="276" spans="1:14" ht="13">
      <c r="A276" s="1818" t="s">
        <v>446</v>
      </c>
      <c r="B276" s="1819">
        <v>15649465.83</v>
      </c>
      <c r="C276" s="1820">
        <v>1139020.3</v>
      </c>
      <c r="D276" s="361">
        <v>1008001.88</v>
      </c>
      <c r="E276" s="361">
        <v>1095700.07</v>
      </c>
      <c r="F276" s="361">
        <v>559355.53</v>
      </c>
      <c r="G276" s="361">
        <v>485720.61</v>
      </c>
      <c r="H276" s="361">
        <v>1035669.23</v>
      </c>
      <c r="I276" s="361">
        <v>1716244.3</v>
      </c>
      <c r="J276" s="361">
        <v>813636.25</v>
      </c>
      <c r="K276" s="361">
        <v>738714.82</v>
      </c>
      <c r="L276" s="361">
        <v>3677545.1</v>
      </c>
      <c r="M276" s="361">
        <v>1580115.1</v>
      </c>
      <c r="N276" s="1821">
        <v>1799742.64</v>
      </c>
    </row>
    <row r="277" spans="1:14" ht="13">
      <c r="A277" s="1818" t="s">
        <v>421</v>
      </c>
      <c r="B277" s="1819">
        <v>13807671.960000001</v>
      </c>
      <c r="C277" s="1820">
        <v>1070359.79</v>
      </c>
      <c r="D277" s="361">
        <v>588694.31999999995</v>
      </c>
      <c r="E277" s="361">
        <v>1010004.39</v>
      </c>
      <c r="F277" s="361">
        <v>1027317.57</v>
      </c>
      <c r="G277" s="361">
        <v>908843.43</v>
      </c>
      <c r="H277" s="361">
        <v>1396572.34</v>
      </c>
      <c r="I277" s="361">
        <v>855050.76</v>
      </c>
      <c r="J277" s="361">
        <v>1233360.54</v>
      </c>
      <c r="K277" s="361">
        <v>1061782.7</v>
      </c>
      <c r="L277" s="361">
        <v>1239475.9099999999</v>
      </c>
      <c r="M277" s="361">
        <v>2369392.1</v>
      </c>
      <c r="N277" s="1821">
        <v>1046818.11</v>
      </c>
    </row>
    <row r="278" spans="1:14" ht="13">
      <c r="A278" s="1818" t="s">
        <v>424</v>
      </c>
      <c r="B278" s="1819">
        <v>12958289.029999999</v>
      </c>
      <c r="C278" s="1820">
        <v>233145.57</v>
      </c>
      <c r="D278" s="361">
        <v>506546.77</v>
      </c>
      <c r="E278" s="361">
        <v>1032784.76</v>
      </c>
      <c r="F278" s="361">
        <v>453272.67</v>
      </c>
      <c r="G278" s="361">
        <v>1125634.6599999999</v>
      </c>
      <c r="H278" s="361">
        <v>687216.35</v>
      </c>
      <c r="I278" s="361">
        <v>723683.09</v>
      </c>
      <c r="J278" s="361">
        <v>2636244.02</v>
      </c>
      <c r="K278" s="361">
        <v>62091.81</v>
      </c>
      <c r="L278" s="361">
        <v>1797997.11</v>
      </c>
      <c r="M278" s="361">
        <v>2414545.3199999998</v>
      </c>
      <c r="N278" s="1821">
        <v>1285126.9099999999</v>
      </c>
    </row>
    <row r="279" spans="1:14" ht="13">
      <c r="A279" s="1818" t="s">
        <v>380</v>
      </c>
      <c r="B279" s="1819">
        <v>12710711.390000001</v>
      </c>
      <c r="C279" s="1820">
        <v>2288965.13</v>
      </c>
      <c r="D279" s="361">
        <v>446263.4</v>
      </c>
      <c r="E279" s="361">
        <v>338612.79</v>
      </c>
      <c r="F279" s="361">
        <v>469809</v>
      </c>
      <c r="G279" s="361">
        <v>1446670.54</v>
      </c>
      <c r="H279" s="361">
        <v>2151174.7599999998</v>
      </c>
      <c r="I279" s="361">
        <v>180854.95</v>
      </c>
      <c r="J279" s="361">
        <v>1965202.72</v>
      </c>
      <c r="K279" s="361">
        <v>1858283.04</v>
      </c>
      <c r="L279" s="361">
        <v>43284.33</v>
      </c>
      <c r="M279" s="361">
        <v>1208759.1299999999</v>
      </c>
      <c r="N279" s="1821">
        <v>312831.62</v>
      </c>
    </row>
    <row r="280" spans="1:14" ht="13">
      <c r="A280" s="1818" t="s">
        <v>410</v>
      </c>
      <c r="B280" s="1819">
        <v>12602359.050000001</v>
      </c>
      <c r="C280" s="1820">
        <v>966363.47</v>
      </c>
      <c r="D280" s="361">
        <v>830634.44</v>
      </c>
      <c r="E280" s="361">
        <v>897455.52</v>
      </c>
      <c r="F280" s="361">
        <v>1133828.93</v>
      </c>
      <c r="G280" s="361">
        <v>860743.67</v>
      </c>
      <c r="H280" s="361">
        <v>982346.61</v>
      </c>
      <c r="I280" s="361">
        <v>792919.06</v>
      </c>
      <c r="J280" s="361">
        <v>1730151.64</v>
      </c>
      <c r="K280" s="361">
        <v>983522.86</v>
      </c>
      <c r="L280" s="361">
        <v>1666958.18</v>
      </c>
      <c r="M280" s="361">
        <v>791777.7</v>
      </c>
      <c r="N280" s="1821">
        <v>965656.98</v>
      </c>
    </row>
    <row r="281" spans="1:14" ht="13">
      <c r="A281" s="1818" t="s">
        <v>436</v>
      </c>
      <c r="B281" s="1819">
        <v>12243383.26</v>
      </c>
      <c r="C281" s="1820">
        <v>1150009.1299999999</v>
      </c>
      <c r="D281" s="361">
        <v>887636.19</v>
      </c>
      <c r="E281" s="361">
        <v>542863.93000000005</v>
      </c>
      <c r="F281" s="361">
        <v>661503.65</v>
      </c>
      <c r="G281" s="361">
        <v>573546.01</v>
      </c>
      <c r="H281" s="361">
        <v>769244.15</v>
      </c>
      <c r="I281" s="361">
        <v>886974.94</v>
      </c>
      <c r="J281" s="361">
        <v>986654.42</v>
      </c>
      <c r="K281" s="361">
        <v>1127068.04</v>
      </c>
      <c r="L281" s="361">
        <v>1643317.79</v>
      </c>
      <c r="M281" s="361">
        <v>1491336.11</v>
      </c>
      <c r="N281" s="1821">
        <v>1523228.9</v>
      </c>
    </row>
    <row r="282" spans="1:14" ht="13">
      <c r="A282" s="1818" t="s">
        <v>431</v>
      </c>
      <c r="B282" s="1819">
        <v>11481413.949999999</v>
      </c>
      <c r="C282" s="1820">
        <v>955267.88</v>
      </c>
      <c r="D282" s="361">
        <v>1017351.63</v>
      </c>
      <c r="E282" s="361">
        <v>744158.44</v>
      </c>
      <c r="F282" s="361">
        <v>323334.61</v>
      </c>
      <c r="G282" s="361">
        <v>954320.46</v>
      </c>
      <c r="H282" s="361">
        <v>630230.81999999995</v>
      </c>
      <c r="I282" s="361">
        <v>854601.28</v>
      </c>
      <c r="J282" s="361">
        <v>1069248.22</v>
      </c>
      <c r="K282" s="361">
        <v>683692.52</v>
      </c>
      <c r="L282" s="361">
        <v>1577702.03</v>
      </c>
      <c r="M282" s="361">
        <v>1364095.65</v>
      </c>
      <c r="N282" s="1821">
        <v>1307410.42</v>
      </c>
    </row>
    <row r="283" spans="1:14" ht="13">
      <c r="A283" s="1818" t="s">
        <v>459</v>
      </c>
      <c r="B283" s="1819">
        <v>11249382.130000001</v>
      </c>
      <c r="C283" s="1820">
        <v>1064989.8799999999</v>
      </c>
      <c r="D283" s="361">
        <v>711331.67</v>
      </c>
      <c r="E283" s="361">
        <v>742049.74</v>
      </c>
      <c r="F283" s="361">
        <v>1330474.51</v>
      </c>
      <c r="G283" s="361">
        <v>794000.17</v>
      </c>
      <c r="H283" s="361">
        <v>559807.18000000005</v>
      </c>
      <c r="I283" s="361">
        <v>495209.92</v>
      </c>
      <c r="J283" s="361">
        <v>491108.7</v>
      </c>
      <c r="K283" s="361">
        <v>827791.59</v>
      </c>
      <c r="L283" s="361">
        <v>1784619.03</v>
      </c>
      <c r="M283" s="361">
        <v>1311119.95</v>
      </c>
      <c r="N283" s="1821">
        <v>1136879.77</v>
      </c>
    </row>
    <row r="284" spans="1:14" ht="13">
      <c r="A284" s="1818" t="s">
        <v>397</v>
      </c>
      <c r="B284" s="1819">
        <v>11213754.529999999</v>
      </c>
      <c r="C284" s="1822">
        <v>0</v>
      </c>
      <c r="D284" s="365">
        <v>0</v>
      </c>
      <c r="E284" s="365">
        <v>0</v>
      </c>
      <c r="F284" s="365">
        <v>0</v>
      </c>
      <c r="G284" s="361">
        <v>2265715.5</v>
      </c>
      <c r="H284" s="365">
        <v>0</v>
      </c>
      <c r="I284" s="361">
        <v>1755287.1</v>
      </c>
      <c r="J284" s="361">
        <v>450972.3</v>
      </c>
      <c r="K284" s="361">
        <v>2742361.13</v>
      </c>
      <c r="L284" s="361">
        <v>836889.75</v>
      </c>
      <c r="M284" s="361">
        <v>2266119.38</v>
      </c>
      <c r="N284" s="1821">
        <v>896409.38</v>
      </c>
    </row>
    <row r="285" spans="1:14" ht="13">
      <c r="A285" s="1818" t="s">
        <v>430</v>
      </c>
      <c r="B285" s="1819">
        <v>11147699.41</v>
      </c>
      <c r="C285" s="1820">
        <v>1183983.53</v>
      </c>
      <c r="D285" s="361">
        <v>427188.57</v>
      </c>
      <c r="E285" s="361">
        <v>817676.79</v>
      </c>
      <c r="F285" s="361">
        <v>623787.02</v>
      </c>
      <c r="G285" s="361">
        <v>646142.24</v>
      </c>
      <c r="H285" s="361">
        <v>575995.87</v>
      </c>
      <c r="I285" s="361">
        <v>1030974.23</v>
      </c>
      <c r="J285" s="361">
        <v>1053622.74</v>
      </c>
      <c r="K285" s="361">
        <v>1197775.03</v>
      </c>
      <c r="L285" s="361">
        <v>846622.4</v>
      </c>
      <c r="M285" s="361">
        <v>1007571.02</v>
      </c>
      <c r="N285" s="1821">
        <v>1736359.96</v>
      </c>
    </row>
    <row r="286" spans="1:14" ht="13">
      <c r="A286" s="1818" t="s">
        <v>426</v>
      </c>
      <c r="B286" s="1819">
        <v>11004808.83</v>
      </c>
      <c r="C286" s="1820">
        <v>693390.61</v>
      </c>
      <c r="D286" s="361">
        <v>1035294.67</v>
      </c>
      <c r="E286" s="361">
        <v>345907.71</v>
      </c>
      <c r="F286" s="361">
        <v>1042126.48</v>
      </c>
      <c r="G286" s="361">
        <v>1139371.18</v>
      </c>
      <c r="H286" s="361">
        <v>330868.63</v>
      </c>
      <c r="I286" s="361">
        <v>656064.61</v>
      </c>
      <c r="J286" s="361">
        <v>1128907.17</v>
      </c>
      <c r="K286" s="361">
        <v>748329.13</v>
      </c>
      <c r="L286" s="361">
        <v>1461726.33</v>
      </c>
      <c r="M286" s="361">
        <v>1003206.35</v>
      </c>
      <c r="N286" s="1821">
        <v>1419615.96</v>
      </c>
    </row>
    <row r="287" spans="1:14" ht="13">
      <c r="A287" s="1818" t="s">
        <v>440</v>
      </c>
      <c r="B287" s="1819">
        <v>10598733.449999999</v>
      </c>
      <c r="C287" s="1820">
        <v>339657.91</v>
      </c>
      <c r="D287" s="361">
        <v>826367.89</v>
      </c>
      <c r="E287" s="361">
        <v>662397.64</v>
      </c>
      <c r="F287" s="361">
        <v>720683.24</v>
      </c>
      <c r="G287" s="361">
        <v>492968.1</v>
      </c>
      <c r="H287" s="361">
        <v>428855.7</v>
      </c>
      <c r="I287" s="361">
        <v>1917096.7</v>
      </c>
      <c r="J287" s="361">
        <v>341661.38</v>
      </c>
      <c r="K287" s="361">
        <v>702401.52</v>
      </c>
      <c r="L287" s="361">
        <v>1443986.98</v>
      </c>
      <c r="M287" s="361">
        <v>1479786.88</v>
      </c>
      <c r="N287" s="1821">
        <v>1242869.52</v>
      </c>
    </row>
    <row r="288" spans="1:14" ht="13">
      <c r="A288" s="1818" t="s">
        <v>496</v>
      </c>
      <c r="B288" s="1819">
        <v>10243882.5</v>
      </c>
      <c r="C288" s="1820">
        <v>1294800.77</v>
      </c>
      <c r="D288" s="361">
        <v>839611.53</v>
      </c>
      <c r="E288" s="361">
        <v>492927.62</v>
      </c>
      <c r="F288" s="361">
        <v>366150.35</v>
      </c>
      <c r="G288" s="361">
        <v>786869.63</v>
      </c>
      <c r="H288" s="361">
        <v>216000.48</v>
      </c>
      <c r="I288" s="361">
        <v>851029.37</v>
      </c>
      <c r="J288" s="361">
        <v>578148.06000000006</v>
      </c>
      <c r="K288" s="361">
        <v>172230.12</v>
      </c>
      <c r="L288" s="361">
        <v>1487202.98</v>
      </c>
      <c r="M288" s="361">
        <v>1413078.28</v>
      </c>
      <c r="N288" s="1821">
        <v>1745833.31</v>
      </c>
    </row>
    <row r="289" spans="1:14" ht="13">
      <c r="A289" s="1818" t="s">
        <v>419</v>
      </c>
      <c r="B289" s="1819">
        <v>9398774.9399999995</v>
      </c>
      <c r="C289" s="1820">
        <v>1475931.21</v>
      </c>
      <c r="D289" s="361">
        <v>70806.600000000006</v>
      </c>
      <c r="E289" s="361">
        <v>216943.48</v>
      </c>
      <c r="F289" s="361">
        <v>97865.65</v>
      </c>
      <c r="G289" s="361">
        <v>822567.15</v>
      </c>
      <c r="H289" s="361">
        <v>441924.17</v>
      </c>
      <c r="I289" s="361">
        <v>255169.6</v>
      </c>
      <c r="J289" s="361">
        <v>1299526.31</v>
      </c>
      <c r="K289" s="361">
        <v>239980.85</v>
      </c>
      <c r="L289" s="361">
        <v>1057839.47</v>
      </c>
      <c r="M289" s="361">
        <v>2105626.21</v>
      </c>
      <c r="N289" s="1821">
        <v>1314594.23</v>
      </c>
    </row>
    <row r="290" spans="1:14" ht="13">
      <c r="A290" s="1818" t="s">
        <v>489</v>
      </c>
      <c r="B290" s="1819">
        <v>9223092.9199999999</v>
      </c>
      <c r="C290" s="1820">
        <v>1862528.19</v>
      </c>
      <c r="D290" s="361">
        <v>627628.32999999996</v>
      </c>
      <c r="E290" s="361">
        <v>535634.18999999994</v>
      </c>
      <c r="F290" s="361">
        <v>874198.56</v>
      </c>
      <c r="G290" s="361">
        <v>703046.27</v>
      </c>
      <c r="H290" s="361">
        <v>1082165.92</v>
      </c>
      <c r="I290" s="361">
        <v>367907.64</v>
      </c>
      <c r="J290" s="361">
        <v>871036.66</v>
      </c>
      <c r="K290" s="361">
        <v>496011.28</v>
      </c>
      <c r="L290" s="361">
        <v>614921.84</v>
      </c>
      <c r="M290" s="361">
        <v>854316.52</v>
      </c>
      <c r="N290" s="1821">
        <v>333697.52</v>
      </c>
    </row>
    <row r="291" spans="1:14" ht="13">
      <c r="A291" s="1818" t="s">
        <v>428</v>
      </c>
      <c r="B291" s="1819">
        <v>8797042.2400000002</v>
      </c>
      <c r="C291" s="1820">
        <v>595717.5</v>
      </c>
      <c r="D291" s="361">
        <v>442191.01</v>
      </c>
      <c r="E291" s="361">
        <v>392016.56</v>
      </c>
      <c r="F291" s="361">
        <v>823960.16</v>
      </c>
      <c r="G291" s="361">
        <v>497557.42</v>
      </c>
      <c r="H291" s="361">
        <v>630597.76</v>
      </c>
      <c r="I291" s="361">
        <v>830462.27</v>
      </c>
      <c r="J291" s="361">
        <v>1010923.89</v>
      </c>
      <c r="K291" s="361">
        <v>717423.8</v>
      </c>
      <c r="L291" s="361">
        <v>1186519.93</v>
      </c>
      <c r="M291" s="361">
        <v>1123623.8899999999</v>
      </c>
      <c r="N291" s="1821">
        <v>546048.05000000005</v>
      </c>
    </row>
    <row r="292" spans="1:14" ht="13">
      <c r="A292" s="1818" t="s">
        <v>466</v>
      </c>
      <c r="B292" s="1819">
        <v>8458988.8800000008</v>
      </c>
      <c r="C292" s="1820">
        <v>530941.56999999995</v>
      </c>
      <c r="D292" s="361">
        <v>940470.73</v>
      </c>
      <c r="E292" s="361">
        <v>429710.35</v>
      </c>
      <c r="F292" s="361">
        <v>299494.81</v>
      </c>
      <c r="G292" s="361">
        <v>854434.91</v>
      </c>
      <c r="H292" s="361">
        <v>521423.91</v>
      </c>
      <c r="I292" s="361">
        <v>607652.29</v>
      </c>
      <c r="J292" s="361">
        <v>338738.38</v>
      </c>
      <c r="K292" s="361">
        <v>371609.75</v>
      </c>
      <c r="L292" s="361">
        <v>1329685.52</v>
      </c>
      <c r="M292" s="361">
        <v>1196175.48</v>
      </c>
      <c r="N292" s="1821">
        <v>1038651.19</v>
      </c>
    </row>
    <row r="293" spans="1:14" ht="13">
      <c r="A293" s="1818" t="s">
        <v>452</v>
      </c>
      <c r="B293" s="1819">
        <v>7944705.6699999999</v>
      </c>
      <c r="C293" s="1820">
        <v>740561.31</v>
      </c>
      <c r="D293" s="361">
        <v>220117.91</v>
      </c>
      <c r="E293" s="361">
        <v>1065574.26</v>
      </c>
      <c r="F293" s="361">
        <v>876513.12</v>
      </c>
      <c r="G293" s="361">
        <v>572548.62</v>
      </c>
      <c r="H293" s="361">
        <v>439184.85</v>
      </c>
      <c r="I293" s="361">
        <v>1321721.3500000001</v>
      </c>
      <c r="J293" s="361">
        <v>624696.47</v>
      </c>
      <c r="K293" s="365">
        <v>0</v>
      </c>
      <c r="L293" s="361">
        <v>1240057.32</v>
      </c>
      <c r="M293" s="361">
        <v>367285.59</v>
      </c>
      <c r="N293" s="1821">
        <v>476444.87</v>
      </c>
    </row>
    <row r="294" spans="1:14" ht="13">
      <c r="A294" s="1818" t="s">
        <v>435</v>
      </c>
      <c r="B294" s="1819">
        <v>7249272.7199999997</v>
      </c>
      <c r="C294" s="1820">
        <v>210301.1</v>
      </c>
      <c r="D294" s="361">
        <v>573718.03</v>
      </c>
      <c r="E294" s="361">
        <v>932129.28000000003</v>
      </c>
      <c r="F294" s="361">
        <v>1239658.49</v>
      </c>
      <c r="G294" s="361">
        <v>277967.40999999997</v>
      </c>
      <c r="H294" s="361">
        <v>256730.65</v>
      </c>
      <c r="I294" s="361">
        <v>459230.42</v>
      </c>
      <c r="J294" s="361">
        <v>381121.85</v>
      </c>
      <c r="K294" s="361">
        <v>427826.92</v>
      </c>
      <c r="L294" s="361">
        <v>1010088.28</v>
      </c>
      <c r="M294" s="361">
        <v>518118.54</v>
      </c>
      <c r="N294" s="1821">
        <v>962381.75</v>
      </c>
    </row>
    <row r="295" spans="1:14" ht="13">
      <c r="A295" s="1818" t="s">
        <v>439</v>
      </c>
      <c r="B295" s="1819">
        <v>7173920.2199999997</v>
      </c>
      <c r="C295" s="1820">
        <v>526562.31999999995</v>
      </c>
      <c r="D295" s="361">
        <v>855897.31</v>
      </c>
      <c r="E295" s="361">
        <v>413923.09</v>
      </c>
      <c r="F295" s="361">
        <v>504021.89</v>
      </c>
      <c r="G295" s="361">
        <v>277153.49</v>
      </c>
      <c r="H295" s="361">
        <v>688371.44</v>
      </c>
      <c r="I295" s="361">
        <v>295222.61</v>
      </c>
      <c r="J295" s="361">
        <v>841607.08</v>
      </c>
      <c r="K295" s="361">
        <v>381179.25</v>
      </c>
      <c r="L295" s="361">
        <v>697708.42</v>
      </c>
      <c r="M295" s="361">
        <v>443055.83</v>
      </c>
      <c r="N295" s="1821">
        <v>1249217.52</v>
      </c>
    </row>
    <row r="296" spans="1:14" ht="13">
      <c r="A296" s="1818" t="s">
        <v>493</v>
      </c>
      <c r="B296" s="1819">
        <v>7141315.2699999996</v>
      </c>
      <c r="C296" s="1820">
        <v>334523.34000000003</v>
      </c>
      <c r="D296" s="361">
        <v>1019381.06</v>
      </c>
      <c r="E296" s="361">
        <v>243974.09</v>
      </c>
      <c r="F296" s="361">
        <v>1311344.1299999999</v>
      </c>
      <c r="G296" s="361">
        <v>288676.09999999998</v>
      </c>
      <c r="H296" s="361">
        <v>77896.479999999996</v>
      </c>
      <c r="I296" s="361">
        <v>1265289.8400000001</v>
      </c>
      <c r="J296" s="365">
        <v>0</v>
      </c>
      <c r="K296" s="361">
        <v>895854.48</v>
      </c>
      <c r="L296" s="361">
        <v>357161.18</v>
      </c>
      <c r="M296" s="361">
        <v>812742.31</v>
      </c>
      <c r="N296" s="1821">
        <v>534472.27</v>
      </c>
    </row>
    <row r="297" spans="1:14" ht="13">
      <c r="A297" s="1818" t="s">
        <v>389</v>
      </c>
      <c r="B297" s="1819">
        <v>7069626.2699999996</v>
      </c>
      <c r="C297" s="1822">
        <v>0</v>
      </c>
      <c r="D297" s="365">
        <v>0</v>
      </c>
      <c r="E297" s="365">
        <v>0</v>
      </c>
      <c r="F297" s="365">
        <v>0</v>
      </c>
      <c r="G297" s="365">
        <v>0</v>
      </c>
      <c r="H297" s="365">
        <v>0</v>
      </c>
      <c r="I297" s="365">
        <v>0</v>
      </c>
      <c r="J297" s="365">
        <v>0</v>
      </c>
      <c r="K297" s="361">
        <v>1714697.14</v>
      </c>
      <c r="L297" s="361">
        <v>1349334.69</v>
      </c>
      <c r="M297" s="361">
        <v>2180926.31</v>
      </c>
      <c r="N297" s="1821">
        <v>1824668.13</v>
      </c>
    </row>
    <row r="298" spans="1:14" ht="13">
      <c r="A298" s="1818" t="s">
        <v>472</v>
      </c>
      <c r="B298" s="1819">
        <v>6482986.6399999997</v>
      </c>
      <c r="C298" s="1820">
        <v>308187.96999999997</v>
      </c>
      <c r="D298" s="361">
        <v>1758921.43</v>
      </c>
      <c r="E298" s="361">
        <v>152707.75</v>
      </c>
      <c r="F298" s="361">
        <v>802079.46</v>
      </c>
      <c r="G298" s="361">
        <v>313067.90999999997</v>
      </c>
      <c r="H298" s="361">
        <v>283013.34999999998</v>
      </c>
      <c r="I298" s="361">
        <v>404665.27</v>
      </c>
      <c r="J298" s="361">
        <v>309406.74</v>
      </c>
      <c r="K298" s="361">
        <v>642044.18999999994</v>
      </c>
      <c r="L298" s="361">
        <v>749409.14</v>
      </c>
      <c r="M298" s="361">
        <v>514591.23</v>
      </c>
      <c r="N298" s="1821">
        <v>244892.2</v>
      </c>
    </row>
    <row r="299" spans="1:14" ht="13">
      <c r="A299" s="1818" t="s">
        <v>448</v>
      </c>
      <c r="B299" s="1819">
        <v>6177233.2599999998</v>
      </c>
      <c r="C299" s="1820">
        <v>875034.21</v>
      </c>
      <c r="D299" s="361">
        <v>189441.22</v>
      </c>
      <c r="E299" s="361">
        <v>378865.69</v>
      </c>
      <c r="F299" s="361">
        <v>204160.59</v>
      </c>
      <c r="G299" s="361">
        <v>208098.87</v>
      </c>
      <c r="H299" s="361">
        <v>619743.04</v>
      </c>
      <c r="I299" s="361">
        <v>121402.48</v>
      </c>
      <c r="J299" s="361">
        <v>400864.92</v>
      </c>
      <c r="K299" s="361">
        <v>226694.27</v>
      </c>
      <c r="L299" s="361">
        <v>1261739.8</v>
      </c>
      <c r="M299" s="361">
        <v>733364.39</v>
      </c>
      <c r="N299" s="1821">
        <v>957823.78</v>
      </c>
    </row>
    <row r="300" spans="1:14" ht="13">
      <c r="A300" s="1818" t="s">
        <v>458</v>
      </c>
      <c r="B300" s="1819">
        <v>5984695.6100000003</v>
      </c>
      <c r="C300" s="1820">
        <v>518745.03</v>
      </c>
      <c r="D300" s="361">
        <v>378818.26</v>
      </c>
      <c r="E300" s="361">
        <v>341378.07</v>
      </c>
      <c r="F300" s="361">
        <v>435778.71</v>
      </c>
      <c r="G300" s="361">
        <v>503187.07</v>
      </c>
      <c r="H300" s="361">
        <v>366816.16</v>
      </c>
      <c r="I300" s="361">
        <v>571416.61</v>
      </c>
      <c r="J300" s="361">
        <v>766602.62</v>
      </c>
      <c r="K300" s="361">
        <v>177980.03</v>
      </c>
      <c r="L300" s="361">
        <v>766292.39</v>
      </c>
      <c r="M300" s="361">
        <v>614352.93999999994</v>
      </c>
      <c r="N300" s="1821">
        <v>543327.73</v>
      </c>
    </row>
    <row r="301" spans="1:14" ht="13">
      <c r="A301" s="1818" t="s">
        <v>441</v>
      </c>
      <c r="B301" s="1819">
        <v>5401214.1799999997</v>
      </c>
      <c r="C301" s="1820">
        <v>410404.97</v>
      </c>
      <c r="D301" s="361">
        <v>268085.71000000002</v>
      </c>
      <c r="E301" s="361">
        <v>208938.55</v>
      </c>
      <c r="F301" s="361">
        <v>198851.79</v>
      </c>
      <c r="G301" s="361">
        <v>385977.96</v>
      </c>
      <c r="H301" s="361">
        <v>281223.92</v>
      </c>
      <c r="I301" s="361">
        <v>715654.51</v>
      </c>
      <c r="J301" s="361">
        <v>470880.1</v>
      </c>
      <c r="K301" s="361">
        <v>679929.86</v>
      </c>
      <c r="L301" s="361">
        <v>730743.02</v>
      </c>
      <c r="M301" s="361">
        <v>476326.49</v>
      </c>
      <c r="N301" s="1821">
        <v>574197.29</v>
      </c>
    </row>
    <row r="302" spans="1:14" ht="13">
      <c r="A302" s="1818" t="s">
        <v>416</v>
      </c>
      <c r="B302" s="1819">
        <v>5040915.3899999997</v>
      </c>
      <c r="C302" s="1822">
        <v>0</v>
      </c>
      <c r="D302" s="365">
        <v>0</v>
      </c>
      <c r="E302" s="365">
        <v>0</v>
      </c>
      <c r="F302" s="365">
        <v>0</v>
      </c>
      <c r="G302" s="365">
        <v>0</v>
      </c>
      <c r="H302" s="365">
        <v>0</v>
      </c>
      <c r="I302" s="365">
        <v>0</v>
      </c>
      <c r="J302" s="365">
        <v>0</v>
      </c>
      <c r="K302" s="365">
        <v>0</v>
      </c>
      <c r="L302" s="361">
        <v>2105253.08</v>
      </c>
      <c r="M302" s="361">
        <v>574864.91</v>
      </c>
      <c r="N302" s="1821">
        <v>2360797.4</v>
      </c>
    </row>
    <row r="303" spans="1:14" ht="13">
      <c r="A303" s="1818" t="s">
        <v>463</v>
      </c>
      <c r="B303" s="1819">
        <v>4959796.5199999996</v>
      </c>
      <c r="C303" s="1820">
        <v>472603.71</v>
      </c>
      <c r="D303" s="361">
        <v>243147.7</v>
      </c>
      <c r="E303" s="361">
        <v>295093.59000000003</v>
      </c>
      <c r="F303" s="361">
        <v>216028.93</v>
      </c>
      <c r="G303" s="361">
        <v>276816.62</v>
      </c>
      <c r="H303" s="361">
        <v>283137.52</v>
      </c>
      <c r="I303" s="361">
        <v>436185.93</v>
      </c>
      <c r="J303" s="361">
        <v>414090.76</v>
      </c>
      <c r="K303" s="361">
        <v>424902.89</v>
      </c>
      <c r="L303" s="361">
        <v>578809.19999999995</v>
      </c>
      <c r="M303" s="361">
        <v>688494.37</v>
      </c>
      <c r="N303" s="1821">
        <v>630485.30000000005</v>
      </c>
    </row>
    <row r="304" spans="1:14" ht="13">
      <c r="A304" s="1818" t="s">
        <v>449</v>
      </c>
      <c r="B304" s="1819">
        <v>4126645.45</v>
      </c>
      <c r="C304" s="1820">
        <v>237684.96</v>
      </c>
      <c r="D304" s="361">
        <v>309225.26</v>
      </c>
      <c r="E304" s="361">
        <v>210317.51</v>
      </c>
      <c r="F304" s="361">
        <v>185660.47</v>
      </c>
      <c r="G304" s="361">
        <v>229693.9</v>
      </c>
      <c r="H304" s="361">
        <v>149388.56</v>
      </c>
      <c r="I304" s="361">
        <v>360214.08</v>
      </c>
      <c r="J304" s="361">
        <v>651123.46</v>
      </c>
      <c r="K304" s="361">
        <v>288063.65000000002</v>
      </c>
      <c r="L304" s="361">
        <v>435637.67</v>
      </c>
      <c r="M304" s="361">
        <v>455459.68</v>
      </c>
      <c r="N304" s="1821">
        <v>614176.23</v>
      </c>
    </row>
    <row r="305" spans="1:14" ht="13">
      <c r="A305" s="1818" t="s">
        <v>415</v>
      </c>
      <c r="B305" s="1819">
        <v>3735055.35</v>
      </c>
      <c r="C305" s="1820">
        <v>107116.02</v>
      </c>
      <c r="D305" s="361">
        <v>80343.37</v>
      </c>
      <c r="E305" s="361">
        <v>17532.18</v>
      </c>
      <c r="F305" s="361">
        <v>346320.16</v>
      </c>
      <c r="G305" s="361">
        <v>374597.76</v>
      </c>
      <c r="H305" s="361">
        <v>150007.57999999999</v>
      </c>
      <c r="I305" s="361">
        <v>201199.51</v>
      </c>
      <c r="J305" s="361">
        <v>257300.4</v>
      </c>
      <c r="K305" s="361">
        <v>493650.36</v>
      </c>
      <c r="L305" s="361">
        <v>255439.22</v>
      </c>
      <c r="M305" s="361">
        <v>552684.43000000005</v>
      </c>
      <c r="N305" s="1821">
        <v>898864.37</v>
      </c>
    </row>
    <row r="306" spans="1:14" ht="13">
      <c r="A306" s="1818" t="s">
        <v>460</v>
      </c>
      <c r="B306" s="1819">
        <v>3544556.55</v>
      </c>
      <c r="C306" s="1820">
        <v>280604.46000000002</v>
      </c>
      <c r="D306" s="361">
        <v>149935.09</v>
      </c>
      <c r="E306" s="361">
        <v>310890.8</v>
      </c>
      <c r="F306" s="361">
        <v>158567.18</v>
      </c>
      <c r="G306" s="361">
        <v>336764.06</v>
      </c>
      <c r="H306" s="361">
        <v>413505.65</v>
      </c>
      <c r="I306" s="361">
        <v>317454.15000000002</v>
      </c>
      <c r="J306" s="361">
        <v>426467.04</v>
      </c>
      <c r="K306" s="361">
        <v>219866.98</v>
      </c>
      <c r="L306" s="361">
        <v>312532.46000000002</v>
      </c>
      <c r="M306" s="361">
        <v>369081.75</v>
      </c>
      <c r="N306" s="1821">
        <v>248886.92</v>
      </c>
    </row>
    <row r="307" spans="1:14" ht="13">
      <c r="A307" s="1818" t="s">
        <v>438</v>
      </c>
      <c r="B307" s="1819">
        <v>3543437.57</v>
      </c>
      <c r="C307" s="1820">
        <v>160070.78</v>
      </c>
      <c r="D307" s="361">
        <v>211808.38</v>
      </c>
      <c r="E307" s="361">
        <v>263367.8</v>
      </c>
      <c r="F307" s="365">
        <v>0</v>
      </c>
      <c r="G307" s="361">
        <v>576499.21</v>
      </c>
      <c r="H307" s="361">
        <v>204849.92000000001</v>
      </c>
      <c r="I307" s="361">
        <v>467474.14</v>
      </c>
      <c r="J307" s="361">
        <v>62349.919999999998</v>
      </c>
      <c r="K307" s="361">
        <v>545386.65</v>
      </c>
      <c r="L307" s="361">
        <v>278183.84999999998</v>
      </c>
      <c r="M307" s="361">
        <v>438930.95</v>
      </c>
      <c r="N307" s="1821">
        <v>334515.96999999997</v>
      </c>
    </row>
    <row r="308" spans="1:14" ht="13">
      <c r="A308" s="1818" t="s">
        <v>457</v>
      </c>
      <c r="B308" s="1819">
        <v>3149055.33</v>
      </c>
      <c r="C308" s="1820">
        <v>331808.58</v>
      </c>
      <c r="D308" s="361">
        <v>302931</v>
      </c>
      <c r="E308" s="361">
        <v>416152.18</v>
      </c>
      <c r="F308" s="361">
        <v>97213.55</v>
      </c>
      <c r="G308" s="361">
        <v>213425.8</v>
      </c>
      <c r="H308" s="361">
        <v>159743.76</v>
      </c>
      <c r="I308" s="361">
        <v>408208.6</v>
      </c>
      <c r="J308" s="361">
        <v>259373.96</v>
      </c>
      <c r="K308" s="361">
        <v>135746.1</v>
      </c>
      <c r="L308" s="361">
        <v>162842.70000000001</v>
      </c>
      <c r="M308" s="361">
        <v>357906.29</v>
      </c>
      <c r="N308" s="1821">
        <v>303702.8</v>
      </c>
    </row>
    <row r="309" spans="1:14" ht="13">
      <c r="A309" s="1818" t="s">
        <v>464</v>
      </c>
      <c r="B309" s="1819">
        <v>2836859.15</v>
      </c>
      <c r="C309" s="1820">
        <v>207272.01</v>
      </c>
      <c r="D309" s="361">
        <v>230847.48</v>
      </c>
      <c r="E309" s="361">
        <v>660279.36</v>
      </c>
      <c r="F309" s="361">
        <v>399313.14</v>
      </c>
      <c r="G309" s="361">
        <v>110040.6</v>
      </c>
      <c r="H309" s="361">
        <v>57832.2</v>
      </c>
      <c r="I309" s="365">
        <v>0</v>
      </c>
      <c r="J309" s="361">
        <v>204056.35</v>
      </c>
      <c r="K309" s="361">
        <v>96748.67</v>
      </c>
      <c r="L309" s="361">
        <v>67149.8</v>
      </c>
      <c r="M309" s="361">
        <v>191288.45</v>
      </c>
      <c r="N309" s="1821">
        <v>612031.09</v>
      </c>
    </row>
    <row r="310" spans="1:14" ht="13">
      <c r="A310" s="1818" t="s">
        <v>469</v>
      </c>
      <c r="B310" s="1819">
        <v>2797295.11</v>
      </c>
      <c r="C310" s="1820">
        <v>398930.17</v>
      </c>
      <c r="D310" s="361">
        <v>21042.06</v>
      </c>
      <c r="E310" s="361">
        <v>140461.76000000001</v>
      </c>
      <c r="F310" s="361">
        <v>387166.71999999997</v>
      </c>
      <c r="G310" s="365">
        <v>0</v>
      </c>
      <c r="H310" s="361">
        <v>69964.149999999994</v>
      </c>
      <c r="I310" s="361">
        <v>473102.7</v>
      </c>
      <c r="J310" s="361">
        <v>128318.1</v>
      </c>
      <c r="K310" s="361">
        <v>159787.10999999999</v>
      </c>
      <c r="L310" s="361">
        <v>180075.06</v>
      </c>
      <c r="M310" s="361">
        <v>638958.04</v>
      </c>
      <c r="N310" s="1821">
        <v>199489.24</v>
      </c>
    </row>
    <row r="311" spans="1:14" ht="13">
      <c r="A311" s="1818" t="s">
        <v>475</v>
      </c>
      <c r="B311" s="1819">
        <v>2777327.15</v>
      </c>
      <c r="C311" s="1820">
        <v>83747.62</v>
      </c>
      <c r="D311" s="361">
        <v>245059.06</v>
      </c>
      <c r="E311" s="361">
        <v>169553.2</v>
      </c>
      <c r="F311" s="365">
        <v>0</v>
      </c>
      <c r="G311" s="361">
        <v>248611.57</v>
      </c>
      <c r="H311" s="361">
        <v>113300.2</v>
      </c>
      <c r="I311" s="361">
        <v>110196.76</v>
      </c>
      <c r="J311" s="361">
        <v>174648.38</v>
      </c>
      <c r="K311" s="361">
        <v>85701.9</v>
      </c>
      <c r="L311" s="361">
        <v>726551.32</v>
      </c>
      <c r="M311" s="361">
        <v>373700.22</v>
      </c>
      <c r="N311" s="1821">
        <v>446256.91</v>
      </c>
    </row>
    <row r="312" spans="1:14" ht="13">
      <c r="A312" s="1818" t="s">
        <v>470</v>
      </c>
      <c r="B312" s="1819">
        <v>2360648.7599999998</v>
      </c>
      <c r="C312" s="1822">
        <v>0</v>
      </c>
      <c r="D312" s="365">
        <v>0</v>
      </c>
      <c r="E312" s="361">
        <v>1156589.26</v>
      </c>
      <c r="F312" s="365">
        <v>0</v>
      </c>
      <c r="G312" s="365">
        <v>0</v>
      </c>
      <c r="H312" s="361">
        <v>145111.57</v>
      </c>
      <c r="I312" s="361">
        <v>668126.44999999995</v>
      </c>
      <c r="J312" s="361">
        <v>390821.49</v>
      </c>
      <c r="K312" s="365">
        <v>0</v>
      </c>
      <c r="L312" s="365">
        <v>0</v>
      </c>
      <c r="M312" s="365">
        <v>0</v>
      </c>
      <c r="N312" s="1823">
        <v>0</v>
      </c>
    </row>
    <row r="313" spans="1:14" ht="13">
      <c r="A313" s="1818" t="s">
        <v>418</v>
      </c>
      <c r="B313" s="1819">
        <v>2310475.56</v>
      </c>
      <c r="C313" s="1822">
        <v>0</v>
      </c>
      <c r="D313" s="365">
        <v>0</v>
      </c>
      <c r="E313" s="365">
        <v>0</v>
      </c>
      <c r="F313" s="361">
        <v>669832.52</v>
      </c>
      <c r="G313" s="361">
        <v>446830.91</v>
      </c>
      <c r="H313" s="365">
        <v>0</v>
      </c>
      <c r="I313" s="361">
        <v>190607.54</v>
      </c>
      <c r="J313" s="361">
        <v>261891.32</v>
      </c>
      <c r="K313" s="365">
        <v>0</v>
      </c>
      <c r="L313" s="365">
        <v>0</v>
      </c>
      <c r="M313" s="361">
        <v>240663.87</v>
      </c>
      <c r="N313" s="1821">
        <v>500649.39</v>
      </c>
    </row>
    <row r="314" spans="1:14" ht="13">
      <c r="A314" s="1818" t="s">
        <v>447</v>
      </c>
      <c r="B314" s="1819">
        <v>2195316.44</v>
      </c>
      <c r="C314" s="1820">
        <v>357268.7</v>
      </c>
      <c r="D314" s="361">
        <v>226108.79999999999</v>
      </c>
      <c r="E314" s="361">
        <v>95280.1</v>
      </c>
      <c r="F314" s="361">
        <v>188853.21</v>
      </c>
      <c r="G314" s="361">
        <v>258793.52</v>
      </c>
      <c r="H314" s="361">
        <v>295816.01</v>
      </c>
      <c r="I314" s="361">
        <v>67792.429999999993</v>
      </c>
      <c r="J314" s="361">
        <v>233106.94</v>
      </c>
      <c r="K314" s="361">
        <v>8871.3700000000008</v>
      </c>
      <c r="L314" s="361">
        <v>120079.89</v>
      </c>
      <c r="M314" s="361">
        <v>85750.34</v>
      </c>
      <c r="N314" s="1821">
        <v>257595.12</v>
      </c>
    </row>
    <row r="315" spans="1:14" ht="13">
      <c r="A315" s="1818" t="s">
        <v>432</v>
      </c>
      <c r="B315" s="1819">
        <v>2136353.83</v>
      </c>
      <c r="C315" s="1820">
        <v>348940.31</v>
      </c>
      <c r="D315" s="361">
        <v>325917.19</v>
      </c>
      <c r="E315" s="361">
        <v>21907.25</v>
      </c>
      <c r="F315" s="365">
        <v>0</v>
      </c>
      <c r="G315" s="361">
        <v>478384.28</v>
      </c>
      <c r="H315" s="361">
        <v>606339.93000000005</v>
      </c>
      <c r="I315" s="361">
        <v>122446.63</v>
      </c>
      <c r="J315" s="361">
        <v>105849.74</v>
      </c>
      <c r="K315" s="365">
        <v>0</v>
      </c>
      <c r="L315" s="365">
        <v>0</v>
      </c>
      <c r="M315" s="361">
        <v>126568.5</v>
      </c>
      <c r="N315" s="1823">
        <v>0</v>
      </c>
    </row>
    <row r="316" spans="1:14" ht="13">
      <c r="A316" s="1818" t="s">
        <v>454</v>
      </c>
      <c r="B316" s="1819">
        <v>1693405.91</v>
      </c>
      <c r="C316" s="1820">
        <v>273283.59000000003</v>
      </c>
      <c r="D316" s="365">
        <v>0</v>
      </c>
      <c r="E316" s="365">
        <v>0</v>
      </c>
      <c r="F316" s="365">
        <v>0</v>
      </c>
      <c r="G316" s="365">
        <v>0</v>
      </c>
      <c r="H316" s="365">
        <v>0</v>
      </c>
      <c r="I316" s="365">
        <v>0</v>
      </c>
      <c r="J316" s="365">
        <v>0</v>
      </c>
      <c r="K316" s="361">
        <v>119012</v>
      </c>
      <c r="L316" s="361">
        <v>287846.71999999997</v>
      </c>
      <c r="M316" s="361">
        <v>763967.92</v>
      </c>
      <c r="N316" s="1821">
        <v>249295.68</v>
      </c>
    </row>
    <row r="317" spans="1:14" ht="13">
      <c r="A317" s="1818" t="s">
        <v>467</v>
      </c>
      <c r="B317" s="1819">
        <v>1641655.2</v>
      </c>
      <c r="C317" s="1820">
        <v>166604.53</v>
      </c>
      <c r="D317" s="361">
        <v>202294.93</v>
      </c>
      <c r="E317" s="361">
        <v>62465.79</v>
      </c>
      <c r="F317" s="361">
        <v>149846.68</v>
      </c>
      <c r="G317" s="361">
        <v>256120.15</v>
      </c>
      <c r="H317" s="361">
        <v>151674.38</v>
      </c>
      <c r="I317" s="361">
        <v>57332.76</v>
      </c>
      <c r="J317" s="361">
        <v>286916.77</v>
      </c>
      <c r="K317" s="361">
        <v>19675.04</v>
      </c>
      <c r="L317" s="361">
        <v>22899.77</v>
      </c>
      <c r="M317" s="361">
        <v>265824.39</v>
      </c>
      <c r="N317" s="1823">
        <v>0</v>
      </c>
    </row>
    <row r="318" spans="1:14" ht="13">
      <c r="A318" s="1818" t="s">
        <v>471</v>
      </c>
      <c r="B318" s="1819">
        <v>1622243.15</v>
      </c>
      <c r="C318" s="1820">
        <v>267863.33</v>
      </c>
      <c r="D318" s="361">
        <v>132689.35</v>
      </c>
      <c r="E318" s="361">
        <v>167255.87</v>
      </c>
      <c r="F318" s="361">
        <v>97191.17</v>
      </c>
      <c r="G318" s="361">
        <v>180695.05</v>
      </c>
      <c r="H318" s="361">
        <v>147032.71</v>
      </c>
      <c r="I318" s="365">
        <v>0</v>
      </c>
      <c r="J318" s="361">
        <v>65487.64</v>
      </c>
      <c r="K318" s="361">
        <v>83244.5</v>
      </c>
      <c r="L318" s="361">
        <v>168976.16</v>
      </c>
      <c r="M318" s="361">
        <v>37880.74</v>
      </c>
      <c r="N318" s="1821">
        <v>273926.63</v>
      </c>
    </row>
    <row r="319" spans="1:14" ht="13">
      <c r="A319" s="1818" t="s">
        <v>1648</v>
      </c>
      <c r="B319" s="1819">
        <v>1542550.4</v>
      </c>
      <c r="C319" s="1822">
        <v>0</v>
      </c>
      <c r="D319" s="361">
        <v>618874.1</v>
      </c>
      <c r="E319" s="365">
        <v>0</v>
      </c>
      <c r="F319" s="361">
        <v>375623.4</v>
      </c>
      <c r="G319" s="365">
        <v>0</v>
      </c>
      <c r="H319" s="365">
        <v>0</v>
      </c>
      <c r="I319" s="365">
        <v>0</v>
      </c>
      <c r="J319" s="365">
        <v>0</v>
      </c>
      <c r="K319" s="365">
        <v>0</v>
      </c>
      <c r="L319" s="365">
        <v>0</v>
      </c>
      <c r="M319" s="365">
        <v>0</v>
      </c>
      <c r="N319" s="1821">
        <v>548052.89</v>
      </c>
    </row>
    <row r="320" spans="1:14" ht="13">
      <c r="A320" s="1818" t="s">
        <v>461</v>
      </c>
      <c r="B320" s="1819">
        <v>1200657.5</v>
      </c>
      <c r="C320" s="1822">
        <v>0</v>
      </c>
      <c r="D320" s="361">
        <v>33435.9</v>
      </c>
      <c r="E320" s="361">
        <v>98537.2</v>
      </c>
      <c r="F320" s="361">
        <v>239380.92</v>
      </c>
      <c r="G320" s="361">
        <v>633059.99</v>
      </c>
      <c r="H320" s="365">
        <v>0</v>
      </c>
      <c r="I320" s="365">
        <v>0</v>
      </c>
      <c r="J320" s="365">
        <v>0</v>
      </c>
      <c r="K320" s="365">
        <v>0</v>
      </c>
      <c r="L320" s="361">
        <v>43901.85</v>
      </c>
      <c r="M320" s="365">
        <v>0</v>
      </c>
      <c r="N320" s="1821">
        <v>152341.64000000001</v>
      </c>
    </row>
    <row r="321" spans="1:14" ht="13">
      <c r="A321" s="1818" t="s">
        <v>473</v>
      </c>
      <c r="B321" s="1819">
        <v>1114263.6299999999</v>
      </c>
      <c r="C321" s="1822">
        <v>0</v>
      </c>
      <c r="D321" s="361">
        <v>176504.94</v>
      </c>
      <c r="E321" s="365">
        <v>0</v>
      </c>
      <c r="F321" s="365">
        <v>0</v>
      </c>
      <c r="G321" s="361">
        <v>74685.77</v>
      </c>
      <c r="H321" s="361">
        <v>116194.95</v>
      </c>
      <c r="I321" s="361">
        <v>186158.78</v>
      </c>
      <c r="J321" s="361">
        <v>67982.5</v>
      </c>
      <c r="K321" s="361">
        <v>126290.42</v>
      </c>
      <c r="L321" s="361">
        <v>116172.62</v>
      </c>
      <c r="M321" s="361">
        <v>86821.2</v>
      </c>
      <c r="N321" s="1821">
        <v>163452.45000000001</v>
      </c>
    </row>
    <row r="322" spans="1:14" ht="13">
      <c r="A322" s="1818" t="s">
        <v>487</v>
      </c>
      <c r="B322" s="1819">
        <v>1064600</v>
      </c>
      <c r="C322" s="1822">
        <v>0</v>
      </c>
      <c r="D322" s="361">
        <v>144062.20000000001</v>
      </c>
      <c r="E322" s="361">
        <v>145861.29</v>
      </c>
      <c r="F322" s="361">
        <v>69624.100000000006</v>
      </c>
      <c r="G322" s="361">
        <v>52324.12</v>
      </c>
      <c r="H322" s="361">
        <v>122469.77</v>
      </c>
      <c r="I322" s="361">
        <v>72544.759999999995</v>
      </c>
      <c r="J322" s="361">
        <v>207959.72</v>
      </c>
      <c r="K322" s="365">
        <v>0</v>
      </c>
      <c r="L322" s="365">
        <v>0</v>
      </c>
      <c r="M322" s="365">
        <v>0</v>
      </c>
      <c r="N322" s="1821">
        <v>249754.04</v>
      </c>
    </row>
    <row r="323" spans="1:14" ht="13">
      <c r="A323" s="1818" t="s">
        <v>465</v>
      </c>
      <c r="B323" s="1819">
        <v>1055746.78</v>
      </c>
      <c r="C323" s="1822">
        <v>0</v>
      </c>
      <c r="D323" s="365">
        <v>0</v>
      </c>
      <c r="E323" s="365">
        <v>0</v>
      </c>
      <c r="F323" s="361">
        <v>102926.51</v>
      </c>
      <c r="G323" s="361">
        <v>69020.25</v>
      </c>
      <c r="H323" s="365">
        <v>0</v>
      </c>
      <c r="I323" s="365">
        <v>0</v>
      </c>
      <c r="J323" s="365">
        <v>0</v>
      </c>
      <c r="K323" s="365">
        <v>0</v>
      </c>
      <c r="L323" s="365">
        <v>0</v>
      </c>
      <c r="M323" s="365">
        <v>0</v>
      </c>
      <c r="N323" s="1821">
        <v>883800.02</v>
      </c>
    </row>
    <row r="324" spans="1:14" ht="13">
      <c r="A324" s="1818" t="s">
        <v>409</v>
      </c>
      <c r="B324" s="1819">
        <v>948788.85</v>
      </c>
      <c r="C324" s="1822">
        <v>0</v>
      </c>
      <c r="D324" s="361">
        <v>12188.48</v>
      </c>
      <c r="E324" s="361">
        <v>35485.019999999997</v>
      </c>
      <c r="F324" s="365">
        <v>0</v>
      </c>
      <c r="G324" s="361">
        <v>431541.4</v>
      </c>
      <c r="H324" s="365">
        <v>0</v>
      </c>
      <c r="I324" s="365">
        <v>0</v>
      </c>
      <c r="J324" s="361">
        <v>326984.21000000002</v>
      </c>
      <c r="K324" s="361">
        <v>125991.23</v>
      </c>
      <c r="L324" s="365">
        <v>0</v>
      </c>
      <c r="M324" s="361">
        <v>16598.52</v>
      </c>
      <c r="N324" s="1823">
        <v>0</v>
      </c>
    </row>
    <row r="325" spans="1:14" ht="13">
      <c r="A325" s="1818" t="s">
        <v>407</v>
      </c>
      <c r="B325" s="1819">
        <v>871934.73</v>
      </c>
      <c r="C325" s="1822">
        <v>0</v>
      </c>
      <c r="D325" s="365">
        <v>0</v>
      </c>
      <c r="E325" s="365">
        <v>0</v>
      </c>
      <c r="F325" s="365">
        <v>0</v>
      </c>
      <c r="G325" s="365">
        <v>0</v>
      </c>
      <c r="H325" s="365">
        <v>0</v>
      </c>
      <c r="I325" s="365">
        <v>0</v>
      </c>
      <c r="J325" s="361">
        <v>307293.18</v>
      </c>
      <c r="K325" s="365">
        <v>0</v>
      </c>
      <c r="L325" s="361">
        <v>564641.55000000005</v>
      </c>
      <c r="M325" s="365">
        <v>0</v>
      </c>
      <c r="N325" s="1823">
        <v>0</v>
      </c>
    </row>
    <row r="326" spans="1:14" ht="13">
      <c r="A326" s="1818" t="s">
        <v>462</v>
      </c>
      <c r="B326" s="1819">
        <v>825544.22</v>
      </c>
      <c r="C326" s="1820">
        <v>98084.22</v>
      </c>
      <c r="D326" s="361">
        <v>185450.37</v>
      </c>
      <c r="E326" s="365">
        <v>0</v>
      </c>
      <c r="F326" s="361">
        <v>37449.300000000003</v>
      </c>
      <c r="G326" s="361">
        <v>248605.3</v>
      </c>
      <c r="H326" s="365">
        <v>0</v>
      </c>
      <c r="I326" s="365">
        <v>0</v>
      </c>
      <c r="J326" s="365">
        <v>0</v>
      </c>
      <c r="K326" s="361">
        <v>35305.5</v>
      </c>
      <c r="L326" s="361">
        <v>54192.7</v>
      </c>
      <c r="M326" s="361">
        <v>98175.03</v>
      </c>
      <c r="N326" s="1821">
        <v>68281.8</v>
      </c>
    </row>
    <row r="327" spans="1:14" ht="13">
      <c r="A327" s="1818" t="s">
        <v>479</v>
      </c>
      <c r="B327" s="1819">
        <v>535489.5</v>
      </c>
      <c r="C327" s="1820">
        <v>380268</v>
      </c>
      <c r="D327" s="365">
        <v>0</v>
      </c>
      <c r="E327" s="365">
        <v>0</v>
      </c>
      <c r="F327" s="361">
        <v>64695.5</v>
      </c>
      <c r="G327" s="365">
        <v>0</v>
      </c>
      <c r="H327" s="365">
        <v>0</v>
      </c>
      <c r="I327" s="365">
        <v>0</v>
      </c>
      <c r="J327" s="365">
        <v>0</v>
      </c>
      <c r="K327" s="365">
        <v>0</v>
      </c>
      <c r="L327" s="365">
        <v>0</v>
      </c>
      <c r="M327" s="361">
        <v>90526</v>
      </c>
      <c r="N327" s="1823">
        <v>0</v>
      </c>
    </row>
    <row r="328" spans="1:14" ht="13">
      <c r="A328" s="1818" t="s">
        <v>477</v>
      </c>
      <c r="B328" s="1819">
        <v>388232.8</v>
      </c>
      <c r="C328" s="1822">
        <v>0</v>
      </c>
      <c r="D328" s="361">
        <v>87667.8</v>
      </c>
      <c r="E328" s="365">
        <v>0</v>
      </c>
      <c r="F328" s="365">
        <v>0</v>
      </c>
      <c r="G328" s="365">
        <v>0</v>
      </c>
      <c r="H328" s="361">
        <v>90864</v>
      </c>
      <c r="I328" s="365">
        <v>0</v>
      </c>
      <c r="J328" s="365">
        <v>0</v>
      </c>
      <c r="K328" s="365">
        <v>0</v>
      </c>
      <c r="L328" s="365">
        <v>0</v>
      </c>
      <c r="M328" s="361">
        <v>209701</v>
      </c>
      <c r="N328" s="1823">
        <v>0</v>
      </c>
    </row>
    <row r="329" spans="1:14" ht="13">
      <c r="A329" s="1818" t="s">
        <v>455</v>
      </c>
      <c r="B329" s="1819">
        <v>376182.45</v>
      </c>
      <c r="C329" s="1822">
        <v>0</v>
      </c>
      <c r="D329" s="365">
        <v>0</v>
      </c>
      <c r="E329" s="365">
        <v>0</v>
      </c>
      <c r="F329" s="361">
        <v>151130</v>
      </c>
      <c r="G329" s="365">
        <v>0</v>
      </c>
      <c r="H329" s="365">
        <v>0</v>
      </c>
      <c r="I329" s="365">
        <v>0</v>
      </c>
      <c r="J329" s="365">
        <v>0</v>
      </c>
      <c r="K329" s="365">
        <v>0</v>
      </c>
      <c r="L329" s="361">
        <v>188912.5</v>
      </c>
      <c r="M329" s="365">
        <v>0</v>
      </c>
      <c r="N329" s="1821">
        <v>36139.949999999997</v>
      </c>
    </row>
    <row r="330" spans="1:14" ht="13">
      <c r="A330" s="1818" t="s">
        <v>488</v>
      </c>
      <c r="B330" s="1819">
        <v>355374.58</v>
      </c>
      <c r="C330" s="1822">
        <v>0</v>
      </c>
      <c r="D330" s="361">
        <v>87667.8</v>
      </c>
      <c r="E330" s="365">
        <v>0</v>
      </c>
      <c r="F330" s="361">
        <v>154428.78</v>
      </c>
      <c r="G330" s="365">
        <v>0</v>
      </c>
      <c r="H330" s="365">
        <v>0</v>
      </c>
      <c r="I330" s="365">
        <v>0</v>
      </c>
      <c r="J330" s="365">
        <v>0</v>
      </c>
      <c r="K330" s="365">
        <v>0</v>
      </c>
      <c r="L330" s="361">
        <v>113278</v>
      </c>
      <c r="M330" s="365">
        <v>0</v>
      </c>
      <c r="N330" s="1823">
        <v>0</v>
      </c>
    </row>
    <row r="331" spans="1:14" ht="13">
      <c r="A331" s="1818" t="s">
        <v>1693</v>
      </c>
      <c r="B331" s="1819">
        <v>335329.09999999998</v>
      </c>
      <c r="C331" s="1822">
        <v>0</v>
      </c>
      <c r="D331" s="365">
        <v>0</v>
      </c>
      <c r="E331" s="361">
        <v>335329.09999999998</v>
      </c>
      <c r="F331" s="361">
        <v>63692.99</v>
      </c>
      <c r="G331" s="361">
        <v>-63692.99</v>
      </c>
      <c r="H331" s="365">
        <v>0</v>
      </c>
      <c r="I331" s="365">
        <v>0</v>
      </c>
      <c r="J331" s="365">
        <v>0</v>
      </c>
      <c r="K331" s="365">
        <v>0</v>
      </c>
      <c r="L331" s="365">
        <v>0</v>
      </c>
      <c r="M331" s="365">
        <v>0</v>
      </c>
      <c r="N331" s="1823">
        <v>0</v>
      </c>
    </row>
    <row r="332" spans="1:14" ht="13">
      <c r="A332" s="1818" t="s">
        <v>437</v>
      </c>
      <c r="B332" s="1819">
        <v>264337.71999999997</v>
      </c>
      <c r="C332" s="1820">
        <v>152107.20000000001</v>
      </c>
      <c r="D332" s="361">
        <v>11721.84</v>
      </c>
      <c r="E332" s="361">
        <v>100508.68</v>
      </c>
      <c r="F332" s="365">
        <v>0</v>
      </c>
      <c r="G332" s="365">
        <v>0</v>
      </c>
      <c r="H332" s="365">
        <v>0</v>
      </c>
      <c r="I332" s="365">
        <v>0</v>
      </c>
      <c r="J332" s="365">
        <v>0</v>
      </c>
      <c r="K332" s="365">
        <v>0</v>
      </c>
      <c r="L332" s="365">
        <v>0</v>
      </c>
      <c r="M332" s="365">
        <v>0</v>
      </c>
      <c r="N332" s="1823">
        <v>0</v>
      </c>
    </row>
    <row r="333" spans="1:14" ht="13">
      <c r="A333" s="1818" t="s">
        <v>478</v>
      </c>
      <c r="B333" s="1819">
        <v>143125.35</v>
      </c>
      <c r="C333" s="1822">
        <v>0</v>
      </c>
      <c r="D333" s="365">
        <v>0</v>
      </c>
      <c r="E333" s="365">
        <v>0</v>
      </c>
      <c r="F333" s="365">
        <v>0</v>
      </c>
      <c r="G333" s="365">
        <v>0</v>
      </c>
      <c r="H333" s="365">
        <v>0</v>
      </c>
      <c r="I333" s="365">
        <v>0</v>
      </c>
      <c r="J333" s="365">
        <v>0</v>
      </c>
      <c r="K333" s="365">
        <v>0</v>
      </c>
      <c r="L333" s="365">
        <v>0</v>
      </c>
      <c r="M333" s="361">
        <v>143125.35</v>
      </c>
      <c r="N333" s="1823">
        <v>0</v>
      </c>
    </row>
    <row r="334" spans="1:14" ht="13">
      <c r="A334" s="1818" t="s">
        <v>480</v>
      </c>
      <c r="B334" s="1819">
        <v>101692.69</v>
      </c>
      <c r="C334" s="1820">
        <v>101692.69</v>
      </c>
      <c r="D334" s="365">
        <v>0</v>
      </c>
      <c r="E334" s="365">
        <v>0</v>
      </c>
      <c r="F334" s="365">
        <v>0</v>
      </c>
      <c r="G334" s="365">
        <v>0</v>
      </c>
      <c r="H334" s="365">
        <v>0</v>
      </c>
      <c r="I334" s="365">
        <v>0</v>
      </c>
      <c r="J334" s="365">
        <v>0</v>
      </c>
      <c r="K334" s="365">
        <v>0</v>
      </c>
      <c r="L334" s="365">
        <v>0</v>
      </c>
      <c r="M334" s="365">
        <v>0</v>
      </c>
      <c r="N334" s="1823">
        <v>0</v>
      </c>
    </row>
    <row r="335" spans="1:14" ht="13">
      <c r="A335" s="1818" t="s">
        <v>1694</v>
      </c>
      <c r="B335" s="1824">
        <v>0.03</v>
      </c>
      <c r="C335" s="1822">
        <v>0</v>
      </c>
      <c r="D335" s="365">
        <v>0</v>
      </c>
      <c r="E335" s="365">
        <v>0</v>
      </c>
      <c r="F335" s="365">
        <v>0</v>
      </c>
      <c r="G335" s="365">
        <v>0</v>
      </c>
      <c r="H335" s="365">
        <v>0.03</v>
      </c>
      <c r="I335" s="365">
        <v>0</v>
      </c>
      <c r="J335" s="365">
        <v>0</v>
      </c>
      <c r="K335" s="365">
        <v>0</v>
      </c>
      <c r="L335" s="365">
        <v>0</v>
      </c>
      <c r="M335" s="365">
        <v>0</v>
      </c>
      <c r="N335" s="1823">
        <v>0</v>
      </c>
    </row>
    <row r="336" spans="1:14" ht="13">
      <c r="A336" s="742"/>
      <c r="B336" s="553"/>
      <c r="C336" s="1789"/>
      <c r="N336" s="1804"/>
    </row>
    <row r="337" spans="1:14" ht="13">
      <c r="A337" s="742"/>
      <c r="B337" s="553"/>
      <c r="C337" s="1789"/>
      <c r="N337" s="1804"/>
    </row>
    <row r="338" spans="1:14" ht="13">
      <c r="A338" s="742"/>
      <c r="B338" s="553"/>
      <c r="C338" s="1789"/>
      <c r="N338" s="1804"/>
    </row>
    <row r="339" spans="1:14" ht="13">
      <c r="A339" s="742"/>
      <c r="B339" s="553"/>
      <c r="C339" s="1789"/>
      <c r="N339" s="1804"/>
    </row>
    <row r="340" spans="1:14" ht="13">
      <c r="A340" s="742"/>
      <c r="B340" s="553"/>
      <c r="C340" s="1789"/>
      <c r="N340" s="1804"/>
    </row>
    <row r="341" spans="1:14" ht="13">
      <c r="A341" s="742"/>
      <c r="B341" s="553"/>
      <c r="C341" s="1789"/>
      <c r="N341" s="1804"/>
    </row>
    <row r="342" spans="1:14" ht="13">
      <c r="A342" s="742"/>
      <c r="B342" s="553"/>
      <c r="C342" s="1789"/>
      <c r="N342" s="1804"/>
    </row>
    <row r="343" spans="1:14" ht="13">
      <c r="A343" s="742"/>
      <c r="B343" s="553"/>
      <c r="C343" s="1789"/>
      <c r="N343" s="1804"/>
    </row>
    <row r="344" spans="1:14" ht="13">
      <c r="A344" s="742"/>
      <c r="B344" s="553"/>
      <c r="C344" s="1789"/>
      <c r="N344" s="1804"/>
    </row>
    <row r="345" spans="1:14" ht="13">
      <c r="A345" s="742"/>
      <c r="B345" s="553"/>
      <c r="C345" s="1789"/>
      <c r="N345" s="1804"/>
    </row>
    <row r="346" spans="1:14" ht="13">
      <c r="A346" s="742"/>
      <c r="B346" s="553"/>
      <c r="C346" s="1789"/>
      <c r="N346" s="1804"/>
    </row>
    <row r="347" spans="1:14" ht="13">
      <c r="A347" s="742"/>
      <c r="B347" s="553"/>
      <c r="C347" s="1789"/>
      <c r="N347" s="1804"/>
    </row>
    <row r="348" spans="1:14" ht="13">
      <c r="A348" s="742"/>
      <c r="B348" s="553"/>
      <c r="C348" s="1789"/>
      <c r="N348" s="1804"/>
    </row>
    <row r="349" spans="1:14" ht="13">
      <c r="A349" s="420"/>
      <c r="B349" s="1810"/>
      <c r="C349" s="1811"/>
      <c r="D349" s="419"/>
      <c r="E349" s="419"/>
      <c r="F349" s="419"/>
      <c r="G349" s="419"/>
      <c r="H349" s="419"/>
      <c r="I349" s="419"/>
      <c r="J349" s="419"/>
      <c r="K349" s="419"/>
      <c r="L349" s="419"/>
      <c r="M349" s="419"/>
      <c r="N349" s="703"/>
    </row>
    <row r="350" spans="1:14" ht="13">
      <c r="B350" s="553"/>
      <c r="C350" s="1789"/>
    </row>
    <row r="351" spans="1:14" ht="13">
      <c r="B351" s="553"/>
      <c r="C351" s="1789"/>
    </row>
    <row r="352" spans="1:14" ht="13">
      <c r="B352" s="553"/>
      <c r="C352" s="1789"/>
    </row>
    <row r="353" spans="1:14" ht="13">
      <c r="B353" s="553"/>
      <c r="C353" s="1789"/>
    </row>
    <row r="354" spans="1:14" ht="13">
      <c r="B354" s="553"/>
      <c r="C354" s="1789"/>
    </row>
    <row r="355" spans="1:14" ht="13">
      <c r="A355" s="1812" t="s">
        <v>1695</v>
      </c>
      <c r="B355" s="1813" t="s">
        <v>241</v>
      </c>
      <c r="C355" s="1814">
        <v>45292</v>
      </c>
      <c r="D355" s="1815">
        <v>45323</v>
      </c>
      <c r="E355" s="1815">
        <v>45352</v>
      </c>
      <c r="F355" s="1815">
        <v>45383</v>
      </c>
      <c r="G355" s="1815">
        <v>45413</v>
      </c>
      <c r="H355" s="1815">
        <v>45444</v>
      </c>
      <c r="I355" s="1815">
        <v>45474</v>
      </c>
      <c r="J355" s="1815">
        <v>45505</v>
      </c>
      <c r="K355" s="1815">
        <v>45536</v>
      </c>
      <c r="L355" s="1816">
        <v>45566</v>
      </c>
      <c r="M355" s="1816">
        <v>45597</v>
      </c>
      <c r="N355" s="1817">
        <v>45627</v>
      </c>
    </row>
    <row r="356" spans="1:14" ht="13">
      <c r="A356" s="1818" t="s">
        <v>241</v>
      </c>
      <c r="B356" s="1819">
        <v>1047641290.88</v>
      </c>
      <c r="C356" s="1820">
        <v>50335479.130000003</v>
      </c>
      <c r="D356" s="361">
        <v>50557440.759999998</v>
      </c>
      <c r="E356" s="361">
        <v>53584987.780000001</v>
      </c>
      <c r="F356" s="361">
        <v>60858697.859999999</v>
      </c>
      <c r="G356" s="361">
        <v>72628372.930000007</v>
      </c>
      <c r="H356" s="361">
        <v>69079005.019999996</v>
      </c>
      <c r="I356" s="361">
        <v>88137849.640000001</v>
      </c>
      <c r="J356" s="361">
        <v>99151720.400000006</v>
      </c>
      <c r="K356" s="361">
        <v>107539390.97</v>
      </c>
      <c r="L356" s="361">
        <v>136936226.84</v>
      </c>
      <c r="M356" s="361">
        <v>133624393.51000001</v>
      </c>
      <c r="N356" s="1821">
        <v>125207726.03</v>
      </c>
    </row>
    <row r="357" spans="1:14" ht="13">
      <c r="A357" s="1818" t="s">
        <v>513</v>
      </c>
      <c r="B357" s="1819">
        <v>147170668.52000001</v>
      </c>
      <c r="C357" s="1820">
        <v>6343519.0300000003</v>
      </c>
      <c r="D357" s="361">
        <v>6352893.0800000001</v>
      </c>
      <c r="E357" s="361">
        <v>10494399.15</v>
      </c>
      <c r="F357" s="361">
        <v>6497664.9000000004</v>
      </c>
      <c r="G357" s="361">
        <v>5937338.0300000003</v>
      </c>
      <c r="H357" s="361">
        <v>17274999.359999999</v>
      </c>
      <c r="I357" s="361">
        <v>8304650.5499999998</v>
      </c>
      <c r="J357" s="361">
        <v>13886521.34</v>
      </c>
      <c r="K357" s="361">
        <v>11538868.109999999</v>
      </c>
      <c r="L357" s="361">
        <v>21285908.489999998</v>
      </c>
      <c r="M357" s="361">
        <v>21623755.27</v>
      </c>
      <c r="N357" s="1821">
        <v>17630151.210000001</v>
      </c>
    </row>
    <row r="358" spans="1:14" ht="13">
      <c r="A358" s="1818" t="s">
        <v>506</v>
      </c>
      <c r="B358" s="1819">
        <v>51779878.43</v>
      </c>
      <c r="C358" s="1822">
        <v>0</v>
      </c>
      <c r="D358" s="365">
        <v>0</v>
      </c>
      <c r="E358" s="365">
        <v>0</v>
      </c>
      <c r="F358" s="361">
        <v>1330689</v>
      </c>
      <c r="G358" s="361">
        <v>6026370.9000000004</v>
      </c>
      <c r="H358" s="361">
        <v>2816133</v>
      </c>
      <c r="I358" s="361">
        <v>4206515.13</v>
      </c>
      <c r="J358" s="365">
        <v>0</v>
      </c>
      <c r="K358" s="361">
        <v>27009652</v>
      </c>
      <c r="L358" s="361">
        <v>3973756.49</v>
      </c>
      <c r="M358" s="361">
        <v>6416761.9100000001</v>
      </c>
      <c r="N358" s="1823">
        <v>0</v>
      </c>
    </row>
    <row r="359" spans="1:14" ht="13">
      <c r="A359" s="1818" t="s">
        <v>512</v>
      </c>
      <c r="B359" s="1819">
        <v>47178637.649999999</v>
      </c>
      <c r="C359" s="1820">
        <v>2366393.85</v>
      </c>
      <c r="D359" s="361">
        <v>2167502.6800000002</v>
      </c>
      <c r="E359" s="361">
        <v>2849818.84</v>
      </c>
      <c r="F359" s="361">
        <v>1212353.26</v>
      </c>
      <c r="G359" s="361">
        <v>3411122.12</v>
      </c>
      <c r="H359" s="361">
        <v>819583.38</v>
      </c>
      <c r="I359" s="361">
        <v>5256314.76</v>
      </c>
      <c r="J359" s="361">
        <v>3629846.93</v>
      </c>
      <c r="K359" s="361">
        <v>2009815.74</v>
      </c>
      <c r="L359" s="361">
        <v>9745612.2799999993</v>
      </c>
      <c r="M359" s="361">
        <v>8400291.0299999993</v>
      </c>
      <c r="N359" s="1821">
        <v>5309982.79</v>
      </c>
    </row>
    <row r="360" spans="1:14" ht="13">
      <c r="A360" s="1818" t="s">
        <v>511</v>
      </c>
      <c r="B360" s="1819">
        <v>46048736.119999997</v>
      </c>
      <c r="C360" s="1820">
        <v>1690465.99</v>
      </c>
      <c r="D360" s="361">
        <v>1318321.8799999999</v>
      </c>
      <c r="E360" s="361">
        <v>818832.88</v>
      </c>
      <c r="F360" s="361">
        <v>1495550.16</v>
      </c>
      <c r="G360" s="361">
        <v>3169838.21</v>
      </c>
      <c r="H360" s="361">
        <v>1295942.94</v>
      </c>
      <c r="I360" s="361">
        <v>3372547.72</v>
      </c>
      <c r="J360" s="361">
        <v>4166014.98</v>
      </c>
      <c r="K360" s="361">
        <v>5137562.54</v>
      </c>
      <c r="L360" s="361">
        <v>4994375.01</v>
      </c>
      <c r="M360" s="361">
        <v>11190398.359999999</v>
      </c>
      <c r="N360" s="1821">
        <v>7398885.4500000002</v>
      </c>
    </row>
    <row r="361" spans="1:14" ht="13">
      <c r="A361" s="1818" t="s">
        <v>1664</v>
      </c>
      <c r="B361" s="1819">
        <v>45648229.640000001</v>
      </c>
      <c r="C361" s="1820">
        <v>5892764.2199999997</v>
      </c>
      <c r="D361" s="361">
        <v>1482573.2</v>
      </c>
      <c r="E361" s="361">
        <v>2645873.7599999998</v>
      </c>
      <c r="F361" s="361">
        <v>3830344.44</v>
      </c>
      <c r="G361" s="361">
        <v>8452751.7599999998</v>
      </c>
      <c r="H361" s="361">
        <v>1306163.19</v>
      </c>
      <c r="I361" s="361">
        <v>7351049.25</v>
      </c>
      <c r="J361" s="361">
        <v>3604880.06</v>
      </c>
      <c r="K361" s="361">
        <v>310935.24</v>
      </c>
      <c r="L361" s="361">
        <v>8300916.3600000003</v>
      </c>
      <c r="M361" s="361">
        <v>2469978.16</v>
      </c>
      <c r="N361" s="1823">
        <v>0</v>
      </c>
    </row>
    <row r="362" spans="1:14" ht="13">
      <c r="A362" s="1818" t="s">
        <v>536</v>
      </c>
      <c r="B362" s="1819">
        <v>32945264.059999999</v>
      </c>
      <c r="C362" s="1820">
        <v>2768129.87</v>
      </c>
      <c r="D362" s="361">
        <v>2122044.71</v>
      </c>
      <c r="E362" s="361">
        <v>1603389.24</v>
      </c>
      <c r="F362" s="361">
        <v>3489105.52</v>
      </c>
      <c r="G362" s="361">
        <v>1933118.06</v>
      </c>
      <c r="H362" s="361">
        <v>2372914.33</v>
      </c>
      <c r="I362" s="361">
        <v>2378955.31</v>
      </c>
      <c r="J362" s="361">
        <v>2077832.03</v>
      </c>
      <c r="K362" s="361">
        <v>2760003.05</v>
      </c>
      <c r="L362" s="361">
        <v>3023813.07</v>
      </c>
      <c r="M362" s="361">
        <v>3339311.52</v>
      </c>
      <c r="N362" s="1821">
        <v>5076647.37</v>
      </c>
    </row>
    <row r="363" spans="1:14" ht="13">
      <c r="A363" s="1818" t="s">
        <v>555</v>
      </c>
      <c r="B363" s="1819">
        <v>31512270.91</v>
      </c>
      <c r="C363" s="1822">
        <v>0</v>
      </c>
      <c r="D363" s="361">
        <v>2701583.64</v>
      </c>
      <c r="E363" s="361">
        <v>2950697.18</v>
      </c>
      <c r="F363" s="365">
        <v>0</v>
      </c>
      <c r="G363" s="365">
        <v>0</v>
      </c>
      <c r="H363" s="361">
        <v>2545702.65</v>
      </c>
      <c r="I363" s="361">
        <v>3750978.36</v>
      </c>
      <c r="J363" s="361">
        <v>5097240.09</v>
      </c>
      <c r="K363" s="361">
        <v>2576944.88</v>
      </c>
      <c r="L363" s="361">
        <v>4375642.07</v>
      </c>
      <c r="M363" s="361">
        <v>2685906.38</v>
      </c>
      <c r="N363" s="1821">
        <v>4827575.6900000004</v>
      </c>
    </row>
    <row r="364" spans="1:14" ht="13">
      <c r="A364" s="1818" t="s">
        <v>507</v>
      </c>
      <c r="B364" s="1819">
        <v>30071944.620000001</v>
      </c>
      <c r="C364" s="1820">
        <v>901036.01</v>
      </c>
      <c r="D364" s="361">
        <v>919836.26</v>
      </c>
      <c r="E364" s="361">
        <v>1250895.55</v>
      </c>
      <c r="F364" s="361">
        <v>2340544.73</v>
      </c>
      <c r="G364" s="361">
        <v>1298578.32</v>
      </c>
      <c r="H364" s="361">
        <v>2372595.5699999998</v>
      </c>
      <c r="I364" s="361">
        <v>3630869.92</v>
      </c>
      <c r="J364" s="361">
        <v>2053740.25</v>
      </c>
      <c r="K364" s="361">
        <v>3757813.8</v>
      </c>
      <c r="L364" s="361">
        <v>3886285.27</v>
      </c>
      <c r="M364" s="361">
        <v>3583984.36</v>
      </c>
      <c r="N364" s="1821">
        <v>4075764.57</v>
      </c>
    </row>
    <row r="365" spans="1:14" ht="13">
      <c r="A365" s="1818" t="s">
        <v>508</v>
      </c>
      <c r="B365" s="1819">
        <v>29596017.440000001</v>
      </c>
      <c r="C365" s="1820">
        <v>855269.19</v>
      </c>
      <c r="D365" s="361">
        <v>285199.11</v>
      </c>
      <c r="E365" s="361">
        <v>805592.45</v>
      </c>
      <c r="F365" s="361">
        <v>2188524</v>
      </c>
      <c r="G365" s="361">
        <v>4287323.5999999996</v>
      </c>
      <c r="H365" s="361">
        <v>5295385.29</v>
      </c>
      <c r="I365" s="361">
        <v>1815076.34</v>
      </c>
      <c r="J365" s="361">
        <v>2257239.86</v>
      </c>
      <c r="K365" s="361">
        <v>3759643.37</v>
      </c>
      <c r="L365" s="361">
        <v>1017776.22</v>
      </c>
      <c r="M365" s="361">
        <v>2656539.64</v>
      </c>
      <c r="N365" s="1821">
        <v>4372448.4000000004</v>
      </c>
    </row>
    <row r="366" spans="1:14" ht="13">
      <c r="A366" s="1818" t="s">
        <v>565</v>
      </c>
      <c r="B366" s="1819">
        <v>28334581.559999999</v>
      </c>
      <c r="C366" s="1822">
        <v>0</v>
      </c>
      <c r="D366" s="365">
        <v>0</v>
      </c>
      <c r="E366" s="365">
        <v>0</v>
      </c>
      <c r="F366" s="365">
        <v>0</v>
      </c>
      <c r="G366" s="361">
        <v>2189533.35</v>
      </c>
      <c r="H366" s="361">
        <v>3031635.05</v>
      </c>
      <c r="I366" s="361">
        <v>4477228.05</v>
      </c>
      <c r="J366" s="361">
        <v>4132976.03</v>
      </c>
      <c r="K366" s="361">
        <v>2729635.35</v>
      </c>
      <c r="L366" s="361">
        <v>3383389.05</v>
      </c>
      <c r="M366" s="361">
        <v>3796804.05</v>
      </c>
      <c r="N366" s="1821">
        <v>4593380.62</v>
      </c>
    </row>
    <row r="367" spans="1:14" ht="13">
      <c r="A367" s="1818" t="s">
        <v>521</v>
      </c>
      <c r="B367" s="1819">
        <v>26078353.920000002</v>
      </c>
      <c r="C367" s="1820">
        <v>777224.94</v>
      </c>
      <c r="D367" s="361">
        <v>2085703.86</v>
      </c>
      <c r="E367" s="361">
        <v>977456.76</v>
      </c>
      <c r="F367" s="361">
        <v>164401.78</v>
      </c>
      <c r="G367" s="361">
        <v>1584565.16</v>
      </c>
      <c r="H367" s="361">
        <v>1334734.02</v>
      </c>
      <c r="I367" s="361">
        <v>1259365.32</v>
      </c>
      <c r="J367" s="361">
        <v>1898781.59</v>
      </c>
      <c r="K367" s="361">
        <v>1941472.49</v>
      </c>
      <c r="L367" s="361">
        <v>5618106.3799999999</v>
      </c>
      <c r="M367" s="361">
        <v>3423494.87</v>
      </c>
      <c r="N367" s="1821">
        <v>5013046.76</v>
      </c>
    </row>
    <row r="368" spans="1:14" ht="13">
      <c r="A368" s="1818" t="s">
        <v>1571</v>
      </c>
      <c r="B368" s="1819">
        <v>23028172.699999999</v>
      </c>
      <c r="C368" s="1822">
        <v>0</v>
      </c>
      <c r="D368" s="365">
        <v>0</v>
      </c>
      <c r="E368" s="365">
        <v>0</v>
      </c>
      <c r="F368" s="365">
        <v>0</v>
      </c>
      <c r="G368" s="365">
        <v>0</v>
      </c>
      <c r="H368" s="365">
        <v>0</v>
      </c>
      <c r="I368" s="361">
        <v>3052756.4</v>
      </c>
      <c r="J368" s="361">
        <v>2875531.31</v>
      </c>
      <c r="K368" s="361">
        <v>2757677.41</v>
      </c>
      <c r="L368" s="361">
        <v>3121929.37</v>
      </c>
      <c r="M368" s="361">
        <v>11220278.220000001</v>
      </c>
      <c r="N368" s="1823">
        <v>0</v>
      </c>
    </row>
    <row r="369" spans="1:14" ht="13">
      <c r="A369" s="1818" t="s">
        <v>522</v>
      </c>
      <c r="B369" s="1819">
        <v>23024859.699999999</v>
      </c>
      <c r="C369" s="1822">
        <v>0</v>
      </c>
      <c r="D369" s="365">
        <v>0</v>
      </c>
      <c r="E369" s="365">
        <v>0</v>
      </c>
      <c r="F369" s="365">
        <v>0</v>
      </c>
      <c r="G369" s="365">
        <v>0</v>
      </c>
      <c r="H369" s="365">
        <v>0</v>
      </c>
      <c r="I369" s="361">
        <v>411222.99</v>
      </c>
      <c r="J369" s="361">
        <v>5410815.6500000004</v>
      </c>
      <c r="K369" s="361">
        <v>1699106.06</v>
      </c>
      <c r="L369" s="361">
        <v>11690910.85</v>
      </c>
      <c r="M369" s="361">
        <v>2362607.7200000002</v>
      </c>
      <c r="N369" s="1821">
        <v>1450196.43</v>
      </c>
    </row>
    <row r="370" spans="1:14" ht="13">
      <c r="A370" s="1818" t="s">
        <v>520</v>
      </c>
      <c r="B370" s="1819">
        <v>21892792.760000002</v>
      </c>
      <c r="C370" s="1820">
        <v>1032462.57</v>
      </c>
      <c r="D370" s="361">
        <v>1134872.73</v>
      </c>
      <c r="E370" s="361">
        <v>768780.93</v>
      </c>
      <c r="F370" s="361">
        <v>1504275.38</v>
      </c>
      <c r="G370" s="361">
        <v>1513237.22</v>
      </c>
      <c r="H370" s="361">
        <v>1580638.98</v>
      </c>
      <c r="I370" s="361">
        <v>1642458.33</v>
      </c>
      <c r="J370" s="361">
        <v>2489587.7400000002</v>
      </c>
      <c r="K370" s="361">
        <v>1324266.21</v>
      </c>
      <c r="L370" s="361">
        <v>2751094.47</v>
      </c>
      <c r="M370" s="361">
        <v>2677189.4</v>
      </c>
      <c r="N370" s="1821">
        <v>3473928.83</v>
      </c>
    </row>
    <row r="371" spans="1:14" ht="13">
      <c r="A371" s="1818" t="s">
        <v>523</v>
      </c>
      <c r="B371" s="1819">
        <v>21204332.809999999</v>
      </c>
      <c r="C371" s="1820">
        <v>933857.83</v>
      </c>
      <c r="D371" s="361">
        <v>1761499.21</v>
      </c>
      <c r="E371" s="361">
        <v>1712994.9</v>
      </c>
      <c r="F371" s="361">
        <v>1556453.29</v>
      </c>
      <c r="G371" s="361">
        <v>997137.39</v>
      </c>
      <c r="H371" s="361">
        <v>1315715.3799999999</v>
      </c>
      <c r="I371" s="361">
        <v>1097625.1100000001</v>
      </c>
      <c r="J371" s="361">
        <v>1473596.64</v>
      </c>
      <c r="K371" s="361">
        <v>1166452.01</v>
      </c>
      <c r="L371" s="361">
        <v>2077107.25</v>
      </c>
      <c r="M371" s="361">
        <v>2169394.0499999998</v>
      </c>
      <c r="N371" s="1821">
        <v>4942499.75</v>
      </c>
    </row>
    <row r="372" spans="1:14" ht="13">
      <c r="A372" s="1818" t="s">
        <v>516</v>
      </c>
      <c r="B372" s="1819">
        <v>16474614.560000001</v>
      </c>
      <c r="C372" s="1820">
        <v>1104111.51</v>
      </c>
      <c r="D372" s="361">
        <v>1435891.41</v>
      </c>
      <c r="E372" s="361">
        <v>759568.02</v>
      </c>
      <c r="F372" s="361">
        <v>1011900.5</v>
      </c>
      <c r="G372" s="361">
        <v>1559618.83</v>
      </c>
      <c r="H372" s="361">
        <v>721266.88</v>
      </c>
      <c r="I372" s="361">
        <v>951981.45</v>
      </c>
      <c r="J372" s="361">
        <v>2313393.7000000002</v>
      </c>
      <c r="K372" s="361">
        <v>694690.53</v>
      </c>
      <c r="L372" s="361">
        <v>2495040.5299999998</v>
      </c>
      <c r="M372" s="361">
        <v>1277396.52</v>
      </c>
      <c r="N372" s="1821">
        <v>2149754.69</v>
      </c>
    </row>
    <row r="373" spans="1:14" ht="13">
      <c r="A373" s="1818" t="s">
        <v>514</v>
      </c>
      <c r="B373" s="1819">
        <v>16012231.199999999</v>
      </c>
      <c r="C373" s="1820">
        <v>1210009.42</v>
      </c>
      <c r="D373" s="361">
        <v>2554106.54</v>
      </c>
      <c r="E373" s="361">
        <v>972327.62</v>
      </c>
      <c r="F373" s="361">
        <v>984813.99</v>
      </c>
      <c r="G373" s="361">
        <v>882037.47</v>
      </c>
      <c r="H373" s="361">
        <v>636574.49</v>
      </c>
      <c r="I373" s="361">
        <v>1069142.8600000001</v>
      </c>
      <c r="J373" s="361">
        <v>1247460.77</v>
      </c>
      <c r="K373" s="361">
        <v>1357292.31</v>
      </c>
      <c r="L373" s="361">
        <v>1689170.41</v>
      </c>
      <c r="M373" s="361">
        <v>1816484.29</v>
      </c>
      <c r="N373" s="1821">
        <v>1592811.03</v>
      </c>
    </row>
    <row r="374" spans="1:14" ht="13">
      <c r="A374" s="1818" t="s">
        <v>531</v>
      </c>
      <c r="B374" s="1819">
        <v>15441420.560000001</v>
      </c>
      <c r="C374" s="1822">
        <v>0</v>
      </c>
      <c r="D374" s="361">
        <v>258821.08</v>
      </c>
      <c r="E374" s="361">
        <v>1862997.62</v>
      </c>
      <c r="F374" s="361">
        <v>311409.09999999998</v>
      </c>
      <c r="G374" s="361">
        <v>857773.18</v>
      </c>
      <c r="H374" s="361">
        <v>1279877.6399999999</v>
      </c>
      <c r="I374" s="361">
        <v>982662.67</v>
      </c>
      <c r="J374" s="361">
        <v>1068312.26</v>
      </c>
      <c r="K374" s="361">
        <v>1679791.18</v>
      </c>
      <c r="L374" s="361">
        <v>4075575.81</v>
      </c>
      <c r="M374" s="361">
        <v>1637205.91</v>
      </c>
      <c r="N374" s="1821">
        <v>1426994.1</v>
      </c>
    </row>
    <row r="375" spans="1:14" ht="13">
      <c r="A375" s="1818" t="s">
        <v>517</v>
      </c>
      <c r="B375" s="1819">
        <v>14809832.01</v>
      </c>
      <c r="C375" s="1820">
        <v>948407.39</v>
      </c>
      <c r="D375" s="361">
        <v>1054682.44</v>
      </c>
      <c r="E375" s="361">
        <v>1642141.87</v>
      </c>
      <c r="F375" s="361">
        <v>689272.01</v>
      </c>
      <c r="G375" s="361">
        <v>2664286.65</v>
      </c>
      <c r="H375" s="361">
        <v>509575.32</v>
      </c>
      <c r="I375" s="361">
        <v>413705.64</v>
      </c>
      <c r="J375" s="361">
        <v>2161122.1800000002</v>
      </c>
      <c r="K375" s="361">
        <v>1607315.91</v>
      </c>
      <c r="L375" s="361">
        <v>2758034.33</v>
      </c>
      <c r="M375" s="361">
        <v>361288.26</v>
      </c>
      <c r="N375" s="1823">
        <v>0</v>
      </c>
    </row>
    <row r="376" spans="1:14" ht="13">
      <c r="A376" s="1818" t="s">
        <v>1679</v>
      </c>
      <c r="B376" s="1819">
        <v>14715982.189999999</v>
      </c>
      <c r="C376" s="1820">
        <v>327547.78000000003</v>
      </c>
      <c r="D376" s="361">
        <v>227548.13</v>
      </c>
      <c r="E376" s="361">
        <v>530612.34</v>
      </c>
      <c r="F376" s="361">
        <v>1120528.97</v>
      </c>
      <c r="G376" s="361">
        <v>956510.35</v>
      </c>
      <c r="H376" s="361">
        <v>1013221.66</v>
      </c>
      <c r="I376" s="361">
        <v>2406963.5699999998</v>
      </c>
      <c r="J376" s="361">
        <v>1087531.08</v>
      </c>
      <c r="K376" s="361">
        <v>1576686.41</v>
      </c>
      <c r="L376" s="361">
        <v>1270489.6000000001</v>
      </c>
      <c r="M376" s="361">
        <v>2472239.2000000002</v>
      </c>
      <c r="N376" s="1821">
        <v>1726103.09</v>
      </c>
    </row>
    <row r="377" spans="1:14" ht="13">
      <c r="A377" s="1818" t="s">
        <v>625</v>
      </c>
      <c r="B377" s="1819">
        <v>14277400.58</v>
      </c>
      <c r="C377" s="1820">
        <v>475866.08</v>
      </c>
      <c r="D377" s="361">
        <v>842522.38</v>
      </c>
      <c r="E377" s="361">
        <v>1292106.8</v>
      </c>
      <c r="F377" s="361">
        <v>1647465.89</v>
      </c>
      <c r="G377" s="361">
        <v>1207198.33</v>
      </c>
      <c r="H377" s="361">
        <v>1317705.7</v>
      </c>
      <c r="I377" s="361">
        <v>920029.16</v>
      </c>
      <c r="J377" s="361">
        <v>1142735.92</v>
      </c>
      <c r="K377" s="361">
        <v>1294589.97</v>
      </c>
      <c r="L377" s="361">
        <v>1528396.8</v>
      </c>
      <c r="M377" s="361">
        <v>1413147.19</v>
      </c>
      <c r="N377" s="1821">
        <v>1195636.3700000001</v>
      </c>
    </row>
    <row r="378" spans="1:14" ht="13">
      <c r="A378" s="1818" t="s">
        <v>634</v>
      </c>
      <c r="B378" s="1819">
        <v>14039507.970000001</v>
      </c>
      <c r="C378" s="1820">
        <v>251593.60000000001</v>
      </c>
      <c r="D378" s="361">
        <v>1644412.48</v>
      </c>
      <c r="E378" s="361">
        <v>668583.66</v>
      </c>
      <c r="F378" s="361">
        <v>2157814.27</v>
      </c>
      <c r="G378" s="361">
        <v>831735.65</v>
      </c>
      <c r="H378" s="361">
        <v>1228432.56</v>
      </c>
      <c r="I378" s="361">
        <v>817052.46</v>
      </c>
      <c r="J378" s="361">
        <v>1196969.04</v>
      </c>
      <c r="K378" s="361">
        <v>1254563.3799999999</v>
      </c>
      <c r="L378" s="361">
        <v>1024208.08</v>
      </c>
      <c r="M378" s="361">
        <v>1818606.05</v>
      </c>
      <c r="N378" s="1821">
        <v>1145536.74</v>
      </c>
    </row>
    <row r="379" spans="1:14" ht="13">
      <c r="A379" s="1818" t="s">
        <v>524</v>
      </c>
      <c r="B379" s="1819">
        <v>13941782.689999999</v>
      </c>
      <c r="C379" s="1820">
        <v>355665.03</v>
      </c>
      <c r="D379" s="361">
        <v>854337.62</v>
      </c>
      <c r="E379" s="361">
        <v>816043.56</v>
      </c>
      <c r="F379" s="361">
        <v>1331543.05</v>
      </c>
      <c r="G379" s="361">
        <v>347527.83</v>
      </c>
      <c r="H379" s="361">
        <v>1484024.2</v>
      </c>
      <c r="I379" s="361">
        <v>1203309.79</v>
      </c>
      <c r="J379" s="361">
        <v>1790835.63</v>
      </c>
      <c r="K379" s="361">
        <v>1357823.53</v>
      </c>
      <c r="L379" s="361">
        <v>1329540.25</v>
      </c>
      <c r="M379" s="361">
        <v>1938698.37</v>
      </c>
      <c r="N379" s="1821">
        <v>1132433.8500000001</v>
      </c>
    </row>
    <row r="380" spans="1:14" ht="13">
      <c r="A380" s="1818" t="s">
        <v>631</v>
      </c>
      <c r="B380" s="1819">
        <v>13340561.99</v>
      </c>
      <c r="C380" s="1820">
        <v>1262737.19</v>
      </c>
      <c r="D380" s="361">
        <v>1374680.62</v>
      </c>
      <c r="E380" s="361">
        <v>713510.04</v>
      </c>
      <c r="F380" s="361">
        <v>922332.76</v>
      </c>
      <c r="G380" s="361">
        <v>1359604.9</v>
      </c>
      <c r="H380" s="361">
        <v>573229.43999999994</v>
      </c>
      <c r="I380" s="361">
        <v>1377867.03</v>
      </c>
      <c r="J380" s="361">
        <v>1365977.59</v>
      </c>
      <c r="K380" s="361">
        <v>1120235.28</v>
      </c>
      <c r="L380" s="361">
        <v>1059337.93</v>
      </c>
      <c r="M380" s="361">
        <v>1460624.29</v>
      </c>
      <c r="N380" s="1821">
        <v>750424.92</v>
      </c>
    </row>
    <row r="381" spans="1:14" ht="13">
      <c r="A381" s="1818" t="s">
        <v>566</v>
      </c>
      <c r="B381" s="1819">
        <v>12851441.66</v>
      </c>
      <c r="C381" s="1822">
        <v>0</v>
      </c>
      <c r="D381" s="365">
        <v>0</v>
      </c>
      <c r="E381" s="365">
        <v>0</v>
      </c>
      <c r="F381" s="365">
        <v>0</v>
      </c>
      <c r="G381" s="365">
        <v>0</v>
      </c>
      <c r="H381" s="361">
        <v>836046.67</v>
      </c>
      <c r="I381" s="361">
        <v>564960.4</v>
      </c>
      <c r="J381" s="361">
        <v>904127.26</v>
      </c>
      <c r="K381" s="361">
        <v>3173885.65</v>
      </c>
      <c r="L381" s="361">
        <v>1460935.07</v>
      </c>
      <c r="M381" s="361">
        <v>2332170.41</v>
      </c>
      <c r="N381" s="1821">
        <v>3579316.19</v>
      </c>
    </row>
    <row r="382" spans="1:14" ht="13">
      <c r="A382" s="1818" t="s">
        <v>527</v>
      </c>
      <c r="B382" s="1819">
        <v>12771045.880000001</v>
      </c>
      <c r="C382" s="1820">
        <v>855760.04</v>
      </c>
      <c r="D382" s="361">
        <v>698100.11</v>
      </c>
      <c r="E382" s="361">
        <v>1128092.3999999999</v>
      </c>
      <c r="F382" s="361">
        <v>672664.18</v>
      </c>
      <c r="G382" s="361">
        <v>1160891.25</v>
      </c>
      <c r="H382" s="361">
        <v>938755.9</v>
      </c>
      <c r="I382" s="361">
        <v>1204957.1499999999</v>
      </c>
      <c r="J382" s="361">
        <v>1189318.3500000001</v>
      </c>
      <c r="K382" s="361">
        <v>1038720.16</v>
      </c>
      <c r="L382" s="361">
        <v>2047418.48</v>
      </c>
      <c r="M382" s="361">
        <v>1215335.75</v>
      </c>
      <c r="N382" s="1821">
        <v>621032.12</v>
      </c>
    </row>
    <row r="383" spans="1:14" ht="13">
      <c r="A383" s="1818" t="s">
        <v>558</v>
      </c>
      <c r="B383" s="1819">
        <v>11819050.300000001</v>
      </c>
      <c r="C383" s="1820">
        <v>884290.4</v>
      </c>
      <c r="D383" s="365">
        <v>0</v>
      </c>
      <c r="E383" s="365">
        <v>0</v>
      </c>
      <c r="F383" s="361">
        <v>1818327.59</v>
      </c>
      <c r="G383" s="365">
        <v>0</v>
      </c>
      <c r="H383" s="361">
        <v>97863.53</v>
      </c>
      <c r="I383" s="361">
        <v>3461078.21</v>
      </c>
      <c r="J383" s="361">
        <v>2013505.8</v>
      </c>
      <c r="K383" s="361">
        <v>360747</v>
      </c>
      <c r="L383" s="365">
        <v>0</v>
      </c>
      <c r="M383" s="361">
        <v>659519.1</v>
      </c>
      <c r="N383" s="1821">
        <v>2523718.6800000002</v>
      </c>
    </row>
    <row r="384" spans="1:14" ht="13">
      <c r="A384" s="1818" t="s">
        <v>542</v>
      </c>
      <c r="B384" s="1819">
        <v>11713796.51</v>
      </c>
      <c r="C384" s="1820">
        <v>922243.19</v>
      </c>
      <c r="D384" s="361">
        <v>639215.16</v>
      </c>
      <c r="E384" s="361">
        <v>1639860.68</v>
      </c>
      <c r="F384" s="361">
        <v>2260685.58</v>
      </c>
      <c r="G384" s="361">
        <v>544825.64</v>
      </c>
      <c r="H384" s="361">
        <v>225444.34</v>
      </c>
      <c r="I384" s="361">
        <v>225881.89</v>
      </c>
      <c r="J384" s="361">
        <v>1143213.1000000001</v>
      </c>
      <c r="K384" s="361">
        <v>1164502.8400000001</v>
      </c>
      <c r="L384" s="361">
        <v>852328.45</v>
      </c>
      <c r="M384" s="361">
        <v>1495662.29</v>
      </c>
      <c r="N384" s="1821">
        <v>599933.34</v>
      </c>
    </row>
    <row r="385" spans="1:14" ht="13">
      <c r="A385" s="1818" t="s">
        <v>563</v>
      </c>
      <c r="B385" s="1819">
        <v>11410620.199999999</v>
      </c>
      <c r="C385" s="1820">
        <v>166328.74</v>
      </c>
      <c r="D385" s="361">
        <v>443276.6</v>
      </c>
      <c r="E385" s="361">
        <v>610254.47</v>
      </c>
      <c r="F385" s="361">
        <v>1808172.66</v>
      </c>
      <c r="G385" s="361">
        <v>691902.29</v>
      </c>
      <c r="H385" s="361">
        <v>705963.79</v>
      </c>
      <c r="I385" s="361">
        <v>791478.12</v>
      </c>
      <c r="J385" s="361">
        <v>2187633.54</v>
      </c>
      <c r="K385" s="361">
        <v>659912.56000000006</v>
      </c>
      <c r="L385" s="361">
        <v>480087.84</v>
      </c>
      <c r="M385" s="361">
        <v>1212119.54</v>
      </c>
      <c r="N385" s="1821">
        <v>1653490.05</v>
      </c>
    </row>
    <row r="386" spans="1:14" ht="13">
      <c r="A386" s="1818" t="s">
        <v>518</v>
      </c>
      <c r="B386" s="1819">
        <v>11124749.17</v>
      </c>
      <c r="C386" s="1820">
        <v>1007939.21</v>
      </c>
      <c r="D386" s="361">
        <v>772428.64</v>
      </c>
      <c r="E386" s="361">
        <v>670912.91</v>
      </c>
      <c r="F386" s="361">
        <v>1011997.19</v>
      </c>
      <c r="G386" s="361">
        <v>714181.1</v>
      </c>
      <c r="H386" s="361">
        <v>217427.03</v>
      </c>
      <c r="I386" s="361">
        <v>965072.5</v>
      </c>
      <c r="J386" s="361">
        <v>695104.89</v>
      </c>
      <c r="K386" s="361">
        <v>736930.59</v>
      </c>
      <c r="L386" s="361">
        <v>914140.06</v>
      </c>
      <c r="M386" s="361">
        <v>1248943.33</v>
      </c>
      <c r="N386" s="1821">
        <v>2169671.7200000002</v>
      </c>
    </row>
    <row r="387" spans="1:14" ht="13">
      <c r="A387" s="1818" t="s">
        <v>578</v>
      </c>
      <c r="B387" s="1819">
        <v>10267749.41</v>
      </c>
      <c r="C387" s="1820">
        <v>895366.91</v>
      </c>
      <c r="D387" s="361">
        <v>386012.88</v>
      </c>
      <c r="E387" s="361">
        <v>488027.52</v>
      </c>
      <c r="F387" s="361">
        <v>864184.02</v>
      </c>
      <c r="G387" s="361">
        <v>680951.57</v>
      </c>
      <c r="H387" s="361">
        <v>573180.16000000003</v>
      </c>
      <c r="I387" s="361">
        <v>1101382.81</v>
      </c>
      <c r="J387" s="361">
        <v>887260.96</v>
      </c>
      <c r="K387" s="361">
        <v>836530.39</v>
      </c>
      <c r="L387" s="361">
        <v>1082147</v>
      </c>
      <c r="M387" s="361">
        <v>885654.26</v>
      </c>
      <c r="N387" s="1821">
        <v>1587050.93</v>
      </c>
    </row>
    <row r="388" spans="1:14" ht="13">
      <c r="A388" s="1818" t="s">
        <v>551</v>
      </c>
      <c r="B388" s="1819">
        <v>10254991.34</v>
      </c>
      <c r="C388" s="1820">
        <v>268820.53999999998</v>
      </c>
      <c r="D388" s="361">
        <v>1028021.17</v>
      </c>
      <c r="E388" s="361">
        <v>755129.51</v>
      </c>
      <c r="F388" s="361">
        <v>346597.23</v>
      </c>
      <c r="G388" s="361">
        <v>563289.61</v>
      </c>
      <c r="H388" s="365">
        <v>0</v>
      </c>
      <c r="I388" s="361">
        <v>686689.01</v>
      </c>
      <c r="J388" s="361">
        <v>1637411.99</v>
      </c>
      <c r="K388" s="361">
        <v>778305.77</v>
      </c>
      <c r="L388" s="361">
        <v>1336609.1000000001</v>
      </c>
      <c r="M388" s="361">
        <v>1454793.37</v>
      </c>
      <c r="N388" s="1821">
        <v>1399324.03</v>
      </c>
    </row>
    <row r="389" spans="1:14" ht="13">
      <c r="A389" s="1818" t="s">
        <v>537</v>
      </c>
      <c r="B389" s="1819">
        <v>10237208.07</v>
      </c>
      <c r="C389" s="1820">
        <v>1280099.81</v>
      </c>
      <c r="D389" s="361">
        <v>261394.32</v>
      </c>
      <c r="E389" s="361">
        <v>203510.1</v>
      </c>
      <c r="F389" s="361">
        <v>1580152.83</v>
      </c>
      <c r="G389" s="361">
        <v>493482.71</v>
      </c>
      <c r="H389" s="361">
        <v>1114100.8799999999</v>
      </c>
      <c r="I389" s="361">
        <v>893559.09</v>
      </c>
      <c r="J389" s="361">
        <v>839556.89</v>
      </c>
      <c r="K389" s="361">
        <v>522798.04</v>
      </c>
      <c r="L389" s="361">
        <v>722534.13</v>
      </c>
      <c r="M389" s="361">
        <v>1114062.6599999999</v>
      </c>
      <c r="N389" s="1821">
        <v>1211956.6000000001</v>
      </c>
    </row>
    <row r="390" spans="1:14" ht="13">
      <c r="A390" s="1818" t="s">
        <v>670</v>
      </c>
      <c r="B390" s="1819">
        <v>10157547.939999999</v>
      </c>
      <c r="C390" s="1820">
        <v>1953873.89</v>
      </c>
      <c r="D390" s="361">
        <v>561267.19999999995</v>
      </c>
      <c r="E390" s="361">
        <v>2195825.3199999998</v>
      </c>
      <c r="F390" s="361">
        <v>1524050.8</v>
      </c>
      <c r="G390" s="361">
        <v>3922530.73</v>
      </c>
      <c r="H390" s="365">
        <v>0</v>
      </c>
      <c r="I390" s="365">
        <v>0</v>
      </c>
      <c r="J390" s="365">
        <v>0</v>
      </c>
      <c r="K390" s="365">
        <v>0</v>
      </c>
      <c r="L390" s="365">
        <v>0</v>
      </c>
      <c r="M390" s="365">
        <v>0</v>
      </c>
      <c r="N390" s="1823">
        <v>0</v>
      </c>
    </row>
    <row r="391" spans="1:14" ht="13">
      <c r="A391" s="1818" t="s">
        <v>635</v>
      </c>
      <c r="B391" s="1819">
        <v>9447838.3300000001</v>
      </c>
      <c r="C391" s="1820">
        <v>170826.4</v>
      </c>
      <c r="D391" s="361">
        <v>927664.56</v>
      </c>
      <c r="E391" s="361">
        <v>204577.92000000001</v>
      </c>
      <c r="F391" s="361">
        <v>1046562.47</v>
      </c>
      <c r="G391" s="361">
        <v>953594.4</v>
      </c>
      <c r="H391" s="361">
        <v>612899.56999999995</v>
      </c>
      <c r="I391" s="361">
        <v>884081.57</v>
      </c>
      <c r="J391" s="361">
        <v>928039.6</v>
      </c>
      <c r="K391" s="361">
        <v>394084.64</v>
      </c>
      <c r="L391" s="361">
        <v>1365177.12</v>
      </c>
      <c r="M391" s="361">
        <v>926339.28</v>
      </c>
      <c r="N391" s="1821">
        <v>1033990.8</v>
      </c>
    </row>
    <row r="392" spans="1:14" ht="13">
      <c r="A392" s="1818" t="s">
        <v>561</v>
      </c>
      <c r="B392" s="1819">
        <v>9271307.3000000007</v>
      </c>
      <c r="C392" s="1820">
        <v>754352.53</v>
      </c>
      <c r="D392" s="361">
        <v>453509.6</v>
      </c>
      <c r="E392" s="361">
        <v>760093.36</v>
      </c>
      <c r="F392" s="361">
        <v>536747.19999999995</v>
      </c>
      <c r="G392" s="361">
        <v>173368.44</v>
      </c>
      <c r="H392" s="361">
        <v>943060.4</v>
      </c>
      <c r="I392" s="361">
        <v>975537.6</v>
      </c>
      <c r="J392" s="361">
        <v>1236099.1200000001</v>
      </c>
      <c r="K392" s="361">
        <v>1085017.82</v>
      </c>
      <c r="L392" s="361">
        <v>2240592.9300000002</v>
      </c>
      <c r="M392" s="361">
        <v>112928.31</v>
      </c>
      <c r="N392" s="1823">
        <v>0</v>
      </c>
    </row>
    <row r="393" spans="1:14" ht="13">
      <c r="A393" s="1818" t="s">
        <v>630</v>
      </c>
      <c r="B393" s="1819">
        <v>9214494.6500000004</v>
      </c>
      <c r="C393" s="1820">
        <v>964268.24</v>
      </c>
      <c r="D393" s="361">
        <v>501690.73</v>
      </c>
      <c r="E393" s="361">
        <v>573108.68000000005</v>
      </c>
      <c r="F393" s="361">
        <v>750038.66</v>
      </c>
      <c r="G393" s="361">
        <v>545027.82999999996</v>
      </c>
      <c r="H393" s="361">
        <v>492427.98</v>
      </c>
      <c r="I393" s="361">
        <v>900790.74</v>
      </c>
      <c r="J393" s="361">
        <v>784513.07</v>
      </c>
      <c r="K393" s="361">
        <v>659834.93000000005</v>
      </c>
      <c r="L393" s="361">
        <v>1567180.8</v>
      </c>
      <c r="M393" s="361">
        <v>512782.05</v>
      </c>
      <c r="N393" s="1821">
        <v>962830.96</v>
      </c>
    </row>
    <row r="394" spans="1:14" ht="13">
      <c r="A394" s="1818" t="s">
        <v>628</v>
      </c>
      <c r="B394" s="1819">
        <v>8899769.4000000004</v>
      </c>
      <c r="C394" s="1820">
        <v>898111.62</v>
      </c>
      <c r="D394" s="361">
        <v>263253.2</v>
      </c>
      <c r="E394" s="361">
        <v>685361.76</v>
      </c>
      <c r="F394" s="361">
        <v>1178451.76</v>
      </c>
      <c r="G394" s="361">
        <v>903495.42</v>
      </c>
      <c r="H394" s="361">
        <v>500453.78</v>
      </c>
      <c r="I394" s="361">
        <v>1187351.06</v>
      </c>
      <c r="J394" s="361">
        <v>601372.24</v>
      </c>
      <c r="K394" s="361">
        <v>635311.19999999995</v>
      </c>
      <c r="L394" s="361">
        <v>879536.16</v>
      </c>
      <c r="M394" s="361">
        <v>412462.8</v>
      </c>
      <c r="N394" s="1821">
        <v>754608.4</v>
      </c>
    </row>
    <row r="395" spans="1:14" ht="13">
      <c r="A395" s="1818" t="s">
        <v>554</v>
      </c>
      <c r="B395" s="1819">
        <v>8732673.7200000007</v>
      </c>
      <c r="C395" s="1820">
        <v>740449.05</v>
      </c>
      <c r="D395" s="361">
        <v>360734.21</v>
      </c>
      <c r="E395" s="361">
        <v>85510</v>
      </c>
      <c r="F395" s="361">
        <v>911312.33</v>
      </c>
      <c r="G395" s="361">
        <v>742038.47</v>
      </c>
      <c r="H395" s="365">
        <v>0</v>
      </c>
      <c r="I395" s="361">
        <v>1067505.76</v>
      </c>
      <c r="J395" s="361">
        <v>1101369.71</v>
      </c>
      <c r="K395" s="361">
        <v>757436.36</v>
      </c>
      <c r="L395" s="361">
        <v>490442.4</v>
      </c>
      <c r="M395" s="361">
        <v>1265155.99</v>
      </c>
      <c r="N395" s="1821">
        <v>1210719.45</v>
      </c>
    </row>
    <row r="396" spans="1:14" ht="13">
      <c r="A396" s="1818" t="s">
        <v>519</v>
      </c>
      <c r="B396" s="1819">
        <v>8527665.3900000006</v>
      </c>
      <c r="C396" s="1822">
        <v>0</v>
      </c>
      <c r="D396" s="361">
        <v>755849.33</v>
      </c>
      <c r="E396" s="361">
        <v>1166471.48</v>
      </c>
      <c r="F396" s="365">
        <v>0</v>
      </c>
      <c r="G396" s="361">
        <v>347240.38</v>
      </c>
      <c r="H396" s="361">
        <v>575806</v>
      </c>
      <c r="I396" s="361">
        <v>431854.5</v>
      </c>
      <c r="J396" s="361">
        <v>575806</v>
      </c>
      <c r="K396" s="361">
        <v>1143296.6100000001</v>
      </c>
      <c r="L396" s="361">
        <v>758154.6</v>
      </c>
      <c r="M396" s="361">
        <v>970747.2</v>
      </c>
      <c r="N396" s="1821">
        <v>1802439.3</v>
      </c>
    </row>
    <row r="397" spans="1:14" ht="13">
      <c r="A397" s="1818" t="s">
        <v>534</v>
      </c>
      <c r="B397" s="1819">
        <v>8290631.1399999997</v>
      </c>
      <c r="C397" s="1820">
        <v>497379.36</v>
      </c>
      <c r="D397" s="361">
        <v>614332.88</v>
      </c>
      <c r="E397" s="361">
        <v>506043.6</v>
      </c>
      <c r="F397" s="361">
        <v>585553.52</v>
      </c>
      <c r="G397" s="361">
        <v>667002.30000000005</v>
      </c>
      <c r="H397" s="361">
        <v>570362.61</v>
      </c>
      <c r="I397" s="361">
        <v>979946.16</v>
      </c>
      <c r="J397" s="361">
        <v>843314.19</v>
      </c>
      <c r="K397" s="361">
        <v>581217.28000000003</v>
      </c>
      <c r="L397" s="361">
        <v>677026.44</v>
      </c>
      <c r="M397" s="361">
        <v>790408.88</v>
      </c>
      <c r="N397" s="1821">
        <v>978043.92</v>
      </c>
    </row>
    <row r="398" spans="1:14" ht="13">
      <c r="A398" s="1818" t="s">
        <v>515</v>
      </c>
      <c r="B398" s="1819">
        <v>6838766.9699999997</v>
      </c>
      <c r="C398" s="1822">
        <v>0</v>
      </c>
      <c r="D398" s="365">
        <v>0</v>
      </c>
      <c r="E398" s="365">
        <v>0</v>
      </c>
      <c r="F398" s="365">
        <v>0</v>
      </c>
      <c r="G398" s="365">
        <v>0</v>
      </c>
      <c r="H398" s="365">
        <v>0</v>
      </c>
      <c r="I398" s="365">
        <v>0</v>
      </c>
      <c r="J398" s="365">
        <v>0</v>
      </c>
      <c r="K398" s="365">
        <v>0</v>
      </c>
      <c r="L398" s="361">
        <v>2872160.78</v>
      </c>
      <c r="M398" s="361">
        <v>1117822.28</v>
      </c>
      <c r="N398" s="1821">
        <v>2848783.92</v>
      </c>
    </row>
    <row r="399" spans="1:14" ht="13">
      <c r="A399" s="1818" t="s">
        <v>510</v>
      </c>
      <c r="B399" s="1819">
        <v>6533752.4100000001</v>
      </c>
      <c r="C399" s="1822">
        <v>0</v>
      </c>
      <c r="D399" s="365">
        <v>0</v>
      </c>
      <c r="E399" s="365">
        <v>0</v>
      </c>
      <c r="F399" s="365">
        <v>0</v>
      </c>
      <c r="G399" s="365">
        <v>0</v>
      </c>
      <c r="H399" s="365">
        <v>0</v>
      </c>
      <c r="I399" s="365">
        <v>0</v>
      </c>
      <c r="J399" s="365">
        <v>0</v>
      </c>
      <c r="K399" s="365">
        <v>0</v>
      </c>
      <c r="L399" s="365">
        <v>0</v>
      </c>
      <c r="M399" s="365">
        <v>0</v>
      </c>
      <c r="N399" s="1821">
        <v>6533752.4100000001</v>
      </c>
    </row>
    <row r="400" spans="1:14" ht="13">
      <c r="A400" s="1818" t="s">
        <v>618</v>
      </c>
      <c r="B400" s="1819">
        <v>6330848.2400000002</v>
      </c>
      <c r="C400" s="1820">
        <v>937535.38</v>
      </c>
      <c r="D400" s="361">
        <v>567740.87</v>
      </c>
      <c r="E400" s="361">
        <v>366516.03</v>
      </c>
      <c r="F400" s="361">
        <v>373787.03</v>
      </c>
      <c r="G400" s="361">
        <v>190580.75</v>
      </c>
      <c r="H400" s="361">
        <v>324483.75</v>
      </c>
      <c r="I400" s="361">
        <v>143634.82999999999</v>
      </c>
      <c r="J400" s="361">
        <v>519498.76</v>
      </c>
      <c r="K400" s="361">
        <v>618251.02</v>
      </c>
      <c r="L400" s="361">
        <v>896430.98</v>
      </c>
      <c r="M400" s="361">
        <v>653003.89</v>
      </c>
      <c r="N400" s="1821">
        <v>739384.95</v>
      </c>
    </row>
    <row r="401" spans="1:14" ht="13">
      <c r="A401" s="1818" t="s">
        <v>564</v>
      </c>
      <c r="B401" s="1819">
        <v>6198882.7199999997</v>
      </c>
      <c r="C401" s="1822">
        <v>0</v>
      </c>
      <c r="D401" s="365">
        <v>0</v>
      </c>
      <c r="E401" s="365">
        <v>0</v>
      </c>
      <c r="F401" s="361">
        <v>247290.35</v>
      </c>
      <c r="G401" s="361">
        <v>795200.98</v>
      </c>
      <c r="H401" s="361">
        <v>819497.86</v>
      </c>
      <c r="I401" s="361">
        <v>1003611.37</v>
      </c>
      <c r="J401" s="361">
        <v>706665.95</v>
      </c>
      <c r="K401" s="361">
        <v>611480.5</v>
      </c>
      <c r="L401" s="361">
        <v>985061.15</v>
      </c>
      <c r="M401" s="361">
        <v>812199.4</v>
      </c>
      <c r="N401" s="1821">
        <v>217875.16</v>
      </c>
    </row>
    <row r="402" spans="1:14" ht="13">
      <c r="A402" s="1818" t="s">
        <v>552</v>
      </c>
      <c r="B402" s="1819">
        <v>5811072.7199999997</v>
      </c>
      <c r="C402" s="1820">
        <v>279555.46999999997</v>
      </c>
      <c r="D402" s="361">
        <v>311608.69</v>
      </c>
      <c r="E402" s="361">
        <v>283613.65999999997</v>
      </c>
      <c r="F402" s="361">
        <v>766021.64</v>
      </c>
      <c r="G402" s="361">
        <v>777842.9</v>
      </c>
      <c r="H402" s="361">
        <v>488721.03</v>
      </c>
      <c r="I402" s="361">
        <v>381561.31</v>
      </c>
      <c r="J402" s="361">
        <v>623931.89</v>
      </c>
      <c r="K402" s="361">
        <v>780640.84</v>
      </c>
      <c r="L402" s="361">
        <v>433915.92</v>
      </c>
      <c r="M402" s="361">
        <v>331064.34999999998</v>
      </c>
      <c r="N402" s="1821">
        <v>352595.03</v>
      </c>
    </row>
    <row r="403" spans="1:14" ht="13">
      <c r="A403" s="1818" t="s">
        <v>529</v>
      </c>
      <c r="B403" s="1819">
        <v>5769622.7300000004</v>
      </c>
      <c r="C403" s="1822">
        <v>0</v>
      </c>
      <c r="D403" s="361">
        <v>953674.08</v>
      </c>
      <c r="E403" s="365">
        <v>0</v>
      </c>
      <c r="F403" s="365">
        <v>0</v>
      </c>
      <c r="G403" s="361">
        <v>143718.24</v>
      </c>
      <c r="H403" s="361">
        <v>1144966.58</v>
      </c>
      <c r="I403" s="365">
        <v>0</v>
      </c>
      <c r="J403" s="365">
        <v>0</v>
      </c>
      <c r="K403" s="361">
        <v>1229947.52</v>
      </c>
      <c r="L403" s="361">
        <v>789364.84</v>
      </c>
      <c r="M403" s="361">
        <v>1398656.34</v>
      </c>
      <c r="N403" s="1821">
        <v>109295.12</v>
      </c>
    </row>
    <row r="404" spans="1:14" ht="13">
      <c r="A404" s="1818" t="s">
        <v>569</v>
      </c>
      <c r="B404" s="1819">
        <v>4424654.8</v>
      </c>
      <c r="C404" s="1822">
        <v>0</v>
      </c>
      <c r="D404" s="365">
        <v>0</v>
      </c>
      <c r="E404" s="365">
        <v>0</v>
      </c>
      <c r="F404" s="365">
        <v>0</v>
      </c>
      <c r="G404" s="365">
        <v>0</v>
      </c>
      <c r="H404" s="365">
        <v>0</v>
      </c>
      <c r="I404" s="361">
        <v>465489.36</v>
      </c>
      <c r="J404" s="361">
        <v>826988.86</v>
      </c>
      <c r="K404" s="361">
        <v>696263.33</v>
      </c>
      <c r="L404" s="361">
        <v>610262.27</v>
      </c>
      <c r="M404" s="361">
        <v>934345.72</v>
      </c>
      <c r="N404" s="1821">
        <v>891305.26</v>
      </c>
    </row>
    <row r="405" spans="1:14" ht="13">
      <c r="A405" s="1818" t="s">
        <v>559</v>
      </c>
      <c r="B405" s="1819">
        <v>3986357.36</v>
      </c>
      <c r="C405" s="1822">
        <v>0</v>
      </c>
      <c r="D405" s="365">
        <v>0</v>
      </c>
      <c r="E405" s="365">
        <v>0</v>
      </c>
      <c r="F405" s="365">
        <v>0</v>
      </c>
      <c r="G405" s="365">
        <v>0</v>
      </c>
      <c r="H405" s="361">
        <v>182568.38</v>
      </c>
      <c r="I405" s="361">
        <v>392647.56</v>
      </c>
      <c r="J405" s="361">
        <v>862363.64</v>
      </c>
      <c r="K405" s="361">
        <v>274269.82</v>
      </c>
      <c r="L405" s="361">
        <v>346193.34</v>
      </c>
      <c r="M405" s="361">
        <v>1188507.6100000001</v>
      </c>
      <c r="N405" s="1821">
        <v>739807.01</v>
      </c>
    </row>
    <row r="406" spans="1:14" ht="13">
      <c r="A406" s="1818" t="s">
        <v>570</v>
      </c>
      <c r="B406" s="1819">
        <v>3766658.1</v>
      </c>
      <c r="C406" s="1822">
        <v>0</v>
      </c>
      <c r="D406" s="361">
        <v>489445.6</v>
      </c>
      <c r="E406" s="361">
        <v>271402.8</v>
      </c>
      <c r="F406" s="361">
        <v>223725.7</v>
      </c>
      <c r="G406" s="361">
        <v>321110.59999999998</v>
      </c>
      <c r="H406" s="361">
        <v>231943.01</v>
      </c>
      <c r="I406" s="361">
        <v>315013.03999999998</v>
      </c>
      <c r="J406" s="361">
        <v>213946.22</v>
      </c>
      <c r="K406" s="361">
        <v>146421</v>
      </c>
      <c r="L406" s="361">
        <v>408264.93</v>
      </c>
      <c r="M406" s="361">
        <v>586790.59</v>
      </c>
      <c r="N406" s="1821">
        <v>558594.61</v>
      </c>
    </row>
    <row r="407" spans="1:14" ht="13">
      <c r="A407" s="1818" t="s">
        <v>646</v>
      </c>
      <c r="B407" s="1819">
        <v>3758962.41</v>
      </c>
      <c r="C407" s="1820">
        <v>578256.64000000001</v>
      </c>
      <c r="D407" s="361">
        <v>148085.29999999999</v>
      </c>
      <c r="E407" s="361">
        <v>279745.48</v>
      </c>
      <c r="F407" s="361">
        <v>260972.79</v>
      </c>
      <c r="G407" s="361">
        <v>262756.31</v>
      </c>
      <c r="H407" s="361">
        <v>179043.74</v>
      </c>
      <c r="I407" s="361">
        <v>441145.96</v>
      </c>
      <c r="J407" s="361">
        <v>592992.43000000005</v>
      </c>
      <c r="K407" s="361">
        <v>150444.6</v>
      </c>
      <c r="L407" s="361">
        <v>296987.64</v>
      </c>
      <c r="M407" s="361">
        <v>76665.36</v>
      </c>
      <c r="N407" s="1821">
        <v>491866.16</v>
      </c>
    </row>
    <row r="408" spans="1:14" ht="13">
      <c r="A408" s="1818" t="s">
        <v>593</v>
      </c>
      <c r="B408" s="1819">
        <v>3618521.12</v>
      </c>
      <c r="C408" s="1822">
        <v>0</v>
      </c>
      <c r="D408" s="361">
        <v>558617.37</v>
      </c>
      <c r="E408" s="361">
        <v>315724.59999999998</v>
      </c>
      <c r="F408" s="361">
        <v>90062.49</v>
      </c>
      <c r="G408" s="361">
        <v>427141.25</v>
      </c>
      <c r="H408" s="365">
        <v>0</v>
      </c>
      <c r="I408" s="361">
        <v>237663.35999999999</v>
      </c>
      <c r="J408" s="361">
        <v>191942.37</v>
      </c>
      <c r="K408" s="361">
        <v>47019.31</v>
      </c>
      <c r="L408" s="361">
        <v>468210.75</v>
      </c>
      <c r="M408" s="361">
        <v>938748.87</v>
      </c>
      <c r="N408" s="1821">
        <v>343390.75</v>
      </c>
    </row>
    <row r="409" spans="1:14" ht="13">
      <c r="A409" s="1818" t="s">
        <v>619</v>
      </c>
      <c r="B409" s="1819">
        <v>3349505.02</v>
      </c>
      <c r="C409" s="1820">
        <v>266418.45</v>
      </c>
      <c r="D409" s="361">
        <v>321401.94</v>
      </c>
      <c r="E409" s="361">
        <v>405111.47</v>
      </c>
      <c r="F409" s="361">
        <v>266993.76</v>
      </c>
      <c r="G409" s="361">
        <v>329488.81</v>
      </c>
      <c r="H409" s="361">
        <v>207582.43</v>
      </c>
      <c r="I409" s="361">
        <v>207303.76</v>
      </c>
      <c r="J409" s="365">
        <v>0</v>
      </c>
      <c r="K409" s="361">
        <v>214531.77</v>
      </c>
      <c r="L409" s="361">
        <v>301317.3</v>
      </c>
      <c r="M409" s="361">
        <v>355769.11</v>
      </c>
      <c r="N409" s="1821">
        <v>473586.22</v>
      </c>
    </row>
    <row r="410" spans="1:14" ht="13">
      <c r="A410" s="1818" t="s">
        <v>568</v>
      </c>
      <c r="B410" s="1819">
        <v>3200807.38</v>
      </c>
      <c r="C410" s="1822">
        <v>0</v>
      </c>
      <c r="D410" s="365">
        <v>0</v>
      </c>
      <c r="E410" s="365">
        <v>0</v>
      </c>
      <c r="F410" s="365">
        <v>0</v>
      </c>
      <c r="G410" s="365">
        <v>0</v>
      </c>
      <c r="H410" s="365">
        <v>0</v>
      </c>
      <c r="I410" s="365">
        <v>0</v>
      </c>
      <c r="J410" s="361">
        <v>287903</v>
      </c>
      <c r="K410" s="361">
        <v>497496.38</v>
      </c>
      <c r="L410" s="365">
        <v>0</v>
      </c>
      <c r="M410" s="361">
        <v>406703.22</v>
      </c>
      <c r="N410" s="1821">
        <v>2008704.78</v>
      </c>
    </row>
    <row r="411" spans="1:14" ht="13">
      <c r="A411" s="1818" t="s">
        <v>633</v>
      </c>
      <c r="B411" s="1819">
        <v>2969793.4</v>
      </c>
      <c r="C411" s="1820">
        <v>486908.85</v>
      </c>
      <c r="D411" s="361">
        <v>229826.13</v>
      </c>
      <c r="E411" s="361">
        <v>255921.28</v>
      </c>
      <c r="F411" s="361">
        <v>331665.21000000002</v>
      </c>
      <c r="G411" s="361">
        <v>125687.28</v>
      </c>
      <c r="H411" s="361">
        <v>296449.58</v>
      </c>
      <c r="I411" s="361">
        <v>200793.86</v>
      </c>
      <c r="J411" s="361">
        <v>353196.3</v>
      </c>
      <c r="K411" s="361">
        <v>223332</v>
      </c>
      <c r="L411" s="365">
        <v>0</v>
      </c>
      <c r="M411" s="361">
        <v>305525.39</v>
      </c>
      <c r="N411" s="1821">
        <v>160487.51999999999</v>
      </c>
    </row>
    <row r="412" spans="1:14" ht="13">
      <c r="A412" s="1818" t="s">
        <v>599</v>
      </c>
      <c r="B412" s="1819">
        <v>2907502.59</v>
      </c>
      <c r="C412" s="1820">
        <v>547323.53</v>
      </c>
      <c r="D412" s="361">
        <v>301488.75</v>
      </c>
      <c r="E412" s="361">
        <v>110259.45</v>
      </c>
      <c r="F412" s="361">
        <v>374481.26</v>
      </c>
      <c r="G412" s="361">
        <v>282019.69</v>
      </c>
      <c r="H412" s="361">
        <v>250925.66</v>
      </c>
      <c r="I412" s="365">
        <v>0</v>
      </c>
      <c r="J412" s="361">
        <v>226980.25</v>
      </c>
      <c r="K412" s="361">
        <v>82457.899999999994</v>
      </c>
      <c r="L412" s="365">
        <v>0</v>
      </c>
      <c r="M412" s="361">
        <v>731566.1</v>
      </c>
      <c r="N412" s="1823">
        <v>0</v>
      </c>
    </row>
    <row r="413" spans="1:14" ht="13">
      <c r="A413" s="1818" t="s">
        <v>629</v>
      </c>
      <c r="B413" s="1819">
        <v>2730769.94</v>
      </c>
      <c r="C413" s="1820">
        <v>597242.37</v>
      </c>
      <c r="D413" s="361">
        <v>244794.1</v>
      </c>
      <c r="E413" s="361">
        <v>263008.62</v>
      </c>
      <c r="F413" s="361">
        <v>322280.51</v>
      </c>
      <c r="G413" s="361">
        <v>77553.119999999995</v>
      </c>
      <c r="H413" s="361">
        <v>97486.04</v>
      </c>
      <c r="I413" s="361">
        <v>217015.76</v>
      </c>
      <c r="J413" s="361">
        <v>216211.25</v>
      </c>
      <c r="K413" s="361">
        <v>346384.84</v>
      </c>
      <c r="L413" s="361">
        <v>243432.76</v>
      </c>
      <c r="M413" s="361">
        <v>105360.56</v>
      </c>
      <c r="N413" s="1823">
        <v>0</v>
      </c>
    </row>
    <row r="414" spans="1:14" ht="13">
      <c r="A414" s="1818" t="s">
        <v>553</v>
      </c>
      <c r="B414" s="1819">
        <v>2677143.12</v>
      </c>
      <c r="C414" s="1820">
        <v>224530.12</v>
      </c>
      <c r="D414" s="361">
        <v>334704.33</v>
      </c>
      <c r="E414" s="361">
        <v>245290.32</v>
      </c>
      <c r="F414" s="365">
        <v>0</v>
      </c>
      <c r="G414" s="361">
        <v>493482.75</v>
      </c>
      <c r="H414" s="361">
        <v>952091.42</v>
      </c>
      <c r="I414" s="361">
        <v>66735</v>
      </c>
      <c r="J414" s="361">
        <v>360309.19</v>
      </c>
      <c r="K414" s="365">
        <v>0</v>
      </c>
      <c r="L414" s="365">
        <v>0</v>
      </c>
      <c r="M414" s="365">
        <v>0</v>
      </c>
      <c r="N414" s="1823">
        <v>0</v>
      </c>
    </row>
    <row r="415" spans="1:14" ht="13">
      <c r="A415" s="1818" t="s">
        <v>636</v>
      </c>
      <c r="B415" s="1819">
        <v>2661196.66</v>
      </c>
      <c r="C415" s="1820">
        <v>139933.20000000001</v>
      </c>
      <c r="D415" s="361">
        <v>360965.96</v>
      </c>
      <c r="E415" s="361">
        <v>280510.64</v>
      </c>
      <c r="F415" s="361">
        <v>304807.76</v>
      </c>
      <c r="G415" s="361">
        <v>184315.16</v>
      </c>
      <c r="H415" s="361">
        <v>257291.92</v>
      </c>
      <c r="I415" s="361">
        <v>283429.71999999997</v>
      </c>
      <c r="J415" s="361">
        <v>240522.14</v>
      </c>
      <c r="K415" s="365">
        <v>0</v>
      </c>
      <c r="L415" s="361">
        <v>193675.2</v>
      </c>
      <c r="M415" s="365">
        <v>0</v>
      </c>
      <c r="N415" s="1821">
        <v>415744.96</v>
      </c>
    </row>
    <row r="416" spans="1:14" ht="13">
      <c r="A416" s="1818" t="s">
        <v>626</v>
      </c>
      <c r="B416" s="1819">
        <v>2554339.9</v>
      </c>
      <c r="C416" s="1820">
        <v>154066.56</v>
      </c>
      <c r="D416" s="361">
        <v>394899.18</v>
      </c>
      <c r="E416" s="361">
        <v>217411.71</v>
      </c>
      <c r="F416" s="361">
        <v>258241.79</v>
      </c>
      <c r="G416" s="361">
        <v>133140.32</v>
      </c>
      <c r="H416" s="361">
        <v>249362.96</v>
      </c>
      <c r="I416" s="361">
        <v>159805.44</v>
      </c>
      <c r="J416" s="361">
        <v>430860.32</v>
      </c>
      <c r="K416" s="361">
        <v>114795.6</v>
      </c>
      <c r="L416" s="361">
        <v>119281.56</v>
      </c>
      <c r="M416" s="361">
        <v>116316.4</v>
      </c>
      <c r="N416" s="1821">
        <v>206158.06</v>
      </c>
    </row>
    <row r="417" spans="1:14" ht="13">
      <c r="A417" s="1818" t="s">
        <v>675</v>
      </c>
      <c r="B417" s="1819">
        <v>2384968.08</v>
      </c>
      <c r="C417" s="1822">
        <v>0</v>
      </c>
      <c r="D417" s="365">
        <v>0</v>
      </c>
      <c r="E417" s="365">
        <v>0</v>
      </c>
      <c r="F417" s="365">
        <v>0</v>
      </c>
      <c r="G417" s="361">
        <v>781588.69</v>
      </c>
      <c r="H417" s="365">
        <v>0</v>
      </c>
      <c r="I417" s="361">
        <v>990652.82</v>
      </c>
      <c r="J417" s="361">
        <v>612726.57999999996</v>
      </c>
      <c r="K417" s="365">
        <v>0</v>
      </c>
      <c r="L417" s="365">
        <v>0</v>
      </c>
      <c r="M417" s="365">
        <v>0</v>
      </c>
      <c r="N417" s="1823">
        <v>0</v>
      </c>
    </row>
    <row r="418" spans="1:14" ht="13">
      <c r="A418" s="1818" t="s">
        <v>557</v>
      </c>
      <c r="B418" s="1819">
        <v>2352833.06</v>
      </c>
      <c r="C418" s="1822">
        <v>0</v>
      </c>
      <c r="D418" s="365">
        <v>0</v>
      </c>
      <c r="E418" s="365">
        <v>0</v>
      </c>
      <c r="F418" s="365">
        <v>0</v>
      </c>
      <c r="G418" s="365">
        <v>0</v>
      </c>
      <c r="H418" s="365">
        <v>0</v>
      </c>
      <c r="I418" s="365">
        <v>0</v>
      </c>
      <c r="J418" s="361">
        <v>382379.85</v>
      </c>
      <c r="K418" s="361">
        <v>320108.55</v>
      </c>
      <c r="L418" s="361">
        <v>379926.19</v>
      </c>
      <c r="M418" s="361">
        <v>701113.8</v>
      </c>
      <c r="N418" s="1821">
        <v>569304.68000000005</v>
      </c>
    </row>
    <row r="419" spans="1:14" ht="13">
      <c r="A419" s="1818" t="s">
        <v>582</v>
      </c>
      <c r="B419" s="1819">
        <v>2339632.62</v>
      </c>
      <c r="C419" s="1822">
        <v>0</v>
      </c>
      <c r="D419" s="365">
        <v>0</v>
      </c>
      <c r="E419" s="361">
        <v>144304.4</v>
      </c>
      <c r="F419" s="361">
        <v>672250.19</v>
      </c>
      <c r="G419" s="361">
        <v>176714.88</v>
      </c>
      <c r="H419" s="365">
        <v>0</v>
      </c>
      <c r="I419" s="365">
        <v>0</v>
      </c>
      <c r="J419" s="361">
        <v>633070.12</v>
      </c>
      <c r="K419" s="365">
        <v>0</v>
      </c>
      <c r="L419" s="361">
        <v>224056</v>
      </c>
      <c r="M419" s="365">
        <v>0</v>
      </c>
      <c r="N419" s="1821">
        <v>489237.03</v>
      </c>
    </row>
    <row r="420" spans="1:14" ht="13">
      <c r="A420" s="1818" t="s">
        <v>601</v>
      </c>
      <c r="B420" s="1819">
        <v>2306902.98</v>
      </c>
      <c r="C420" s="1822">
        <v>0</v>
      </c>
      <c r="D420" s="365">
        <v>0</v>
      </c>
      <c r="E420" s="365">
        <v>0</v>
      </c>
      <c r="F420" s="361">
        <v>116904</v>
      </c>
      <c r="G420" s="365">
        <v>0</v>
      </c>
      <c r="H420" s="361">
        <v>208562.24</v>
      </c>
      <c r="I420" s="361">
        <v>473920.74</v>
      </c>
      <c r="J420" s="361">
        <v>233080.72</v>
      </c>
      <c r="K420" s="361">
        <v>275987.76</v>
      </c>
      <c r="L420" s="361">
        <v>486534.32</v>
      </c>
      <c r="M420" s="365">
        <v>0</v>
      </c>
      <c r="N420" s="1821">
        <v>511913.2</v>
      </c>
    </row>
    <row r="421" spans="1:14" ht="13">
      <c r="A421" s="1818" t="s">
        <v>586</v>
      </c>
      <c r="B421" s="1819">
        <v>2264715.04</v>
      </c>
      <c r="C421" s="1822">
        <v>0</v>
      </c>
      <c r="D421" s="365">
        <v>0</v>
      </c>
      <c r="E421" s="365">
        <v>0</v>
      </c>
      <c r="F421" s="365">
        <v>0</v>
      </c>
      <c r="G421" s="365">
        <v>0</v>
      </c>
      <c r="H421" s="365">
        <v>0</v>
      </c>
      <c r="I421" s="365">
        <v>0</v>
      </c>
      <c r="J421" s="361">
        <v>654920.86</v>
      </c>
      <c r="K421" s="365">
        <v>0</v>
      </c>
      <c r="L421" s="365">
        <v>0</v>
      </c>
      <c r="M421" s="361">
        <v>456080.83</v>
      </c>
      <c r="N421" s="1821">
        <v>1153713.3600000001</v>
      </c>
    </row>
    <row r="422" spans="1:14" ht="13">
      <c r="A422" s="1818" t="s">
        <v>585</v>
      </c>
      <c r="B422" s="1819">
        <v>2224737.9700000002</v>
      </c>
      <c r="C422" s="1820">
        <v>178114.65</v>
      </c>
      <c r="D422" s="361">
        <v>208566.89</v>
      </c>
      <c r="E422" s="361">
        <v>2563.29</v>
      </c>
      <c r="F422" s="361">
        <v>315746.8</v>
      </c>
      <c r="G422" s="361">
        <v>28953</v>
      </c>
      <c r="H422" s="361">
        <v>274752.28999999998</v>
      </c>
      <c r="I422" s="361">
        <v>334459.32</v>
      </c>
      <c r="J422" s="365">
        <v>0</v>
      </c>
      <c r="K422" s="361">
        <v>242827.92</v>
      </c>
      <c r="L422" s="361">
        <v>284342.19</v>
      </c>
      <c r="M422" s="361">
        <v>283660.42</v>
      </c>
      <c r="N422" s="1821">
        <v>70751.199999999997</v>
      </c>
    </row>
    <row r="423" spans="1:14" ht="13">
      <c r="A423" s="1818" t="s">
        <v>676</v>
      </c>
      <c r="B423" s="1819">
        <v>2168195.39</v>
      </c>
      <c r="C423" s="1820">
        <v>764217.28</v>
      </c>
      <c r="D423" s="361">
        <v>114379.01</v>
      </c>
      <c r="E423" s="361">
        <v>782931.7</v>
      </c>
      <c r="F423" s="365">
        <v>0</v>
      </c>
      <c r="G423" s="365">
        <v>0</v>
      </c>
      <c r="H423" s="365">
        <v>0</v>
      </c>
      <c r="I423" s="361">
        <v>506667.41</v>
      </c>
      <c r="J423" s="365">
        <v>0</v>
      </c>
      <c r="K423" s="365">
        <v>0</v>
      </c>
      <c r="L423" s="365">
        <v>0</v>
      </c>
      <c r="M423" s="365">
        <v>0</v>
      </c>
      <c r="N423" s="1823">
        <v>0</v>
      </c>
    </row>
    <row r="424" spans="1:14" ht="13">
      <c r="A424" s="1818" t="s">
        <v>598</v>
      </c>
      <c r="B424" s="1819">
        <v>2065827.63</v>
      </c>
      <c r="C424" s="1820">
        <v>90941.94</v>
      </c>
      <c r="D424" s="361">
        <v>262320.93</v>
      </c>
      <c r="E424" s="361">
        <v>171240.78</v>
      </c>
      <c r="F424" s="361">
        <v>250491.31</v>
      </c>
      <c r="G424" s="361">
        <v>58941.23</v>
      </c>
      <c r="H424" s="365">
        <v>0</v>
      </c>
      <c r="I424" s="361">
        <v>140814.76999999999</v>
      </c>
      <c r="J424" s="361">
        <v>258826.94</v>
      </c>
      <c r="K424" s="361">
        <v>333856.39</v>
      </c>
      <c r="L424" s="365">
        <v>0</v>
      </c>
      <c r="M424" s="361">
        <v>342568.58</v>
      </c>
      <c r="N424" s="1821">
        <v>155824.76</v>
      </c>
    </row>
    <row r="425" spans="1:14" ht="13">
      <c r="A425" s="1818" t="s">
        <v>673</v>
      </c>
      <c r="B425" s="1819">
        <v>1875424.08</v>
      </c>
      <c r="C425" s="1822">
        <v>0</v>
      </c>
      <c r="D425" s="361">
        <v>153929.04</v>
      </c>
      <c r="E425" s="361">
        <v>358003.68</v>
      </c>
      <c r="F425" s="361">
        <v>151426.32</v>
      </c>
      <c r="G425" s="361">
        <v>341439.2</v>
      </c>
      <c r="H425" s="361">
        <v>99848.320000000007</v>
      </c>
      <c r="I425" s="361">
        <v>99848.320000000007</v>
      </c>
      <c r="J425" s="361">
        <v>217586.4</v>
      </c>
      <c r="K425" s="361">
        <v>158390.96</v>
      </c>
      <c r="L425" s="361">
        <v>294951.84000000003</v>
      </c>
      <c r="M425" s="365">
        <v>0</v>
      </c>
      <c r="N425" s="1823">
        <v>0</v>
      </c>
    </row>
    <row r="426" spans="1:14" ht="13">
      <c r="A426" s="1818" t="s">
        <v>589</v>
      </c>
      <c r="B426" s="1819">
        <v>1715762.54</v>
      </c>
      <c r="C426" s="1822">
        <v>0</v>
      </c>
      <c r="D426" s="365">
        <v>0</v>
      </c>
      <c r="E426" s="365">
        <v>0</v>
      </c>
      <c r="F426" s="365">
        <v>0</v>
      </c>
      <c r="G426" s="365">
        <v>0</v>
      </c>
      <c r="H426" s="365">
        <v>0</v>
      </c>
      <c r="I426" s="365">
        <v>0</v>
      </c>
      <c r="J426" s="365">
        <v>0</v>
      </c>
      <c r="K426" s="365">
        <v>0</v>
      </c>
      <c r="L426" s="365">
        <v>0</v>
      </c>
      <c r="M426" s="361">
        <v>467551.13</v>
      </c>
      <c r="N426" s="1821">
        <v>1248211.3999999999</v>
      </c>
    </row>
    <row r="427" spans="1:14" ht="13">
      <c r="A427" s="1818" t="s">
        <v>591</v>
      </c>
      <c r="B427" s="1819">
        <v>1528521.44</v>
      </c>
      <c r="C427" s="1822">
        <v>0</v>
      </c>
      <c r="D427" s="365">
        <v>0</v>
      </c>
      <c r="E427" s="361">
        <v>266099.90000000002</v>
      </c>
      <c r="F427" s="361">
        <v>500293.31</v>
      </c>
      <c r="G427" s="361">
        <v>301376.08</v>
      </c>
      <c r="H427" s="361">
        <v>234685.12</v>
      </c>
      <c r="I427" s="365">
        <v>0</v>
      </c>
      <c r="J427" s="361">
        <v>226067.02</v>
      </c>
      <c r="K427" s="365">
        <v>0</v>
      </c>
      <c r="L427" s="365">
        <v>0</v>
      </c>
      <c r="M427" s="365">
        <v>0</v>
      </c>
      <c r="N427" s="1823">
        <v>0</v>
      </c>
    </row>
    <row r="428" spans="1:14" ht="13">
      <c r="A428" s="1818" t="s">
        <v>614</v>
      </c>
      <c r="B428" s="1819">
        <v>1523408.31</v>
      </c>
      <c r="C428" s="1822">
        <v>0</v>
      </c>
      <c r="D428" s="361">
        <v>78639.259999999995</v>
      </c>
      <c r="E428" s="365">
        <v>0</v>
      </c>
      <c r="F428" s="365">
        <v>0</v>
      </c>
      <c r="G428" s="361">
        <v>193536.57</v>
      </c>
      <c r="H428" s="361">
        <v>36904.239999999998</v>
      </c>
      <c r="I428" s="361">
        <v>587588.82999999996</v>
      </c>
      <c r="J428" s="361">
        <v>276624.78999999998</v>
      </c>
      <c r="K428" s="365">
        <v>0</v>
      </c>
      <c r="L428" s="361">
        <v>278955.65999999997</v>
      </c>
      <c r="M428" s="361">
        <v>71158.960000000006</v>
      </c>
      <c r="N428" s="1823">
        <v>0</v>
      </c>
    </row>
    <row r="429" spans="1:14" ht="13">
      <c r="A429" s="1818" t="s">
        <v>584</v>
      </c>
      <c r="B429" s="1819">
        <v>1518080.91</v>
      </c>
      <c r="C429" s="1820">
        <v>200121.34</v>
      </c>
      <c r="D429" s="361">
        <v>11927.7</v>
      </c>
      <c r="E429" s="361">
        <v>52305.98</v>
      </c>
      <c r="F429" s="361">
        <v>223824.87</v>
      </c>
      <c r="G429" s="361">
        <v>28734.959999999999</v>
      </c>
      <c r="H429" s="361">
        <v>168613.84</v>
      </c>
      <c r="I429" s="361">
        <v>183071.8</v>
      </c>
      <c r="J429" s="361">
        <v>426701.27</v>
      </c>
      <c r="K429" s="361">
        <v>40123.800000000003</v>
      </c>
      <c r="L429" s="365">
        <v>0</v>
      </c>
      <c r="M429" s="361">
        <v>182655.35999999999</v>
      </c>
      <c r="N429" s="1823">
        <v>0</v>
      </c>
    </row>
    <row r="430" spans="1:14" ht="13">
      <c r="A430" s="1818" t="s">
        <v>583</v>
      </c>
      <c r="B430" s="1819">
        <v>1493716.91</v>
      </c>
      <c r="C430" s="1820">
        <v>309247</v>
      </c>
      <c r="D430" s="361">
        <v>115066.01</v>
      </c>
      <c r="E430" s="365">
        <v>0</v>
      </c>
      <c r="F430" s="361">
        <v>156293.38</v>
      </c>
      <c r="G430" s="361">
        <v>213229.01</v>
      </c>
      <c r="H430" s="361">
        <v>187566.4</v>
      </c>
      <c r="I430" s="361">
        <v>89736</v>
      </c>
      <c r="J430" s="365">
        <v>0</v>
      </c>
      <c r="K430" s="361">
        <v>64167.82</v>
      </c>
      <c r="L430" s="361">
        <v>202571.68</v>
      </c>
      <c r="M430" s="365">
        <v>0</v>
      </c>
      <c r="N430" s="1821">
        <v>155839.6</v>
      </c>
    </row>
    <row r="431" spans="1:14" ht="13">
      <c r="A431" s="1818" t="s">
        <v>532</v>
      </c>
      <c r="B431" s="1819">
        <v>1448636.67</v>
      </c>
      <c r="C431" s="1820">
        <v>307259.57</v>
      </c>
      <c r="D431" s="361">
        <v>272706.03999999998</v>
      </c>
      <c r="E431" s="361">
        <v>164224</v>
      </c>
      <c r="F431" s="361">
        <v>159558.39999999999</v>
      </c>
      <c r="G431" s="361">
        <v>104479.67999999999</v>
      </c>
      <c r="H431" s="361">
        <v>48687.44</v>
      </c>
      <c r="I431" s="361">
        <v>229985.66</v>
      </c>
      <c r="J431" s="361">
        <v>161735.87</v>
      </c>
      <c r="K431" s="365">
        <v>0</v>
      </c>
      <c r="L431" s="365">
        <v>0</v>
      </c>
      <c r="M431" s="365">
        <v>0</v>
      </c>
      <c r="N431" s="1823">
        <v>0</v>
      </c>
    </row>
    <row r="432" spans="1:14" ht="13">
      <c r="A432" s="1818" t="s">
        <v>608</v>
      </c>
      <c r="B432" s="1819">
        <v>1448121.49</v>
      </c>
      <c r="C432" s="1822">
        <v>0</v>
      </c>
      <c r="D432" s="365">
        <v>0</v>
      </c>
      <c r="E432" s="365">
        <v>0</v>
      </c>
      <c r="F432" s="365">
        <v>0</v>
      </c>
      <c r="G432" s="365">
        <v>0</v>
      </c>
      <c r="H432" s="361">
        <v>214612.84</v>
      </c>
      <c r="I432" s="361">
        <v>73781.7</v>
      </c>
      <c r="J432" s="361">
        <v>490358.95</v>
      </c>
      <c r="K432" s="361">
        <v>158771.79</v>
      </c>
      <c r="L432" s="365">
        <v>0</v>
      </c>
      <c r="M432" s="361">
        <v>510596.22</v>
      </c>
      <c r="N432" s="1823">
        <v>0</v>
      </c>
    </row>
    <row r="433" spans="1:14" ht="13">
      <c r="A433" s="1818" t="s">
        <v>615</v>
      </c>
      <c r="B433" s="1819">
        <v>1411372.11</v>
      </c>
      <c r="C433" s="1820">
        <v>151224.63</v>
      </c>
      <c r="D433" s="365">
        <v>0</v>
      </c>
      <c r="E433" s="365">
        <v>0</v>
      </c>
      <c r="F433" s="365">
        <v>0</v>
      </c>
      <c r="G433" s="365">
        <v>0</v>
      </c>
      <c r="H433" s="361">
        <v>284184.5</v>
      </c>
      <c r="I433" s="361">
        <v>332274.03999999998</v>
      </c>
      <c r="J433" s="361">
        <v>190449.68</v>
      </c>
      <c r="K433" s="361">
        <v>453239.26</v>
      </c>
      <c r="L433" s="365">
        <v>0</v>
      </c>
      <c r="M433" s="365">
        <v>0</v>
      </c>
      <c r="N433" s="1823">
        <v>0</v>
      </c>
    </row>
    <row r="434" spans="1:14" ht="13">
      <c r="A434" s="1818" t="s">
        <v>632</v>
      </c>
      <c r="B434" s="1819">
        <v>1247019.06</v>
      </c>
      <c r="C434" s="1820">
        <v>169888.46</v>
      </c>
      <c r="D434" s="361">
        <v>194813.36</v>
      </c>
      <c r="E434" s="365">
        <v>0</v>
      </c>
      <c r="F434" s="361">
        <v>237784.75</v>
      </c>
      <c r="G434" s="365">
        <v>0</v>
      </c>
      <c r="H434" s="361">
        <v>574176.99</v>
      </c>
      <c r="I434" s="365">
        <v>0</v>
      </c>
      <c r="J434" s="365">
        <v>0</v>
      </c>
      <c r="K434" s="361">
        <v>70355.5</v>
      </c>
      <c r="L434" s="365">
        <v>0</v>
      </c>
      <c r="M434" s="365">
        <v>0</v>
      </c>
      <c r="N434" s="1823">
        <v>0</v>
      </c>
    </row>
    <row r="435" spans="1:14" ht="13">
      <c r="A435" s="1818" t="s">
        <v>611</v>
      </c>
      <c r="B435" s="1819">
        <v>1208161.3799999999</v>
      </c>
      <c r="C435" s="1822">
        <v>0</v>
      </c>
      <c r="D435" s="365">
        <v>0</v>
      </c>
      <c r="E435" s="365">
        <v>0</v>
      </c>
      <c r="F435" s="361">
        <v>232041.38</v>
      </c>
      <c r="G435" s="361">
        <v>141243.5</v>
      </c>
      <c r="H435" s="365">
        <v>0</v>
      </c>
      <c r="I435" s="365">
        <v>0</v>
      </c>
      <c r="J435" s="361">
        <v>444905.46</v>
      </c>
      <c r="K435" s="361">
        <v>125690.72</v>
      </c>
      <c r="L435" s="361">
        <v>264280.32000000001</v>
      </c>
      <c r="M435" s="365">
        <v>0</v>
      </c>
      <c r="N435" s="1823">
        <v>0</v>
      </c>
    </row>
    <row r="436" spans="1:14" ht="13">
      <c r="A436" s="1818" t="s">
        <v>637</v>
      </c>
      <c r="B436" s="1819">
        <v>1146917.18</v>
      </c>
      <c r="C436" s="1820">
        <v>75719.92</v>
      </c>
      <c r="D436" s="361">
        <v>201692.72</v>
      </c>
      <c r="E436" s="361">
        <v>52753.52</v>
      </c>
      <c r="F436" s="361">
        <v>53827.040000000001</v>
      </c>
      <c r="G436" s="361">
        <v>114382.9</v>
      </c>
      <c r="H436" s="361">
        <v>94052.1</v>
      </c>
      <c r="I436" s="361">
        <v>126005.88</v>
      </c>
      <c r="J436" s="361">
        <v>143570.76</v>
      </c>
      <c r="K436" s="361">
        <v>84966.28</v>
      </c>
      <c r="L436" s="365">
        <v>0</v>
      </c>
      <c r="M436" s="361">
        <v>131298.66</v>
      </c>
      <c r="N436" s="1821">
        <v>68647.399999999994</v>
      </c>
    </row>
    <row r="437" spans="1:14" ht="13">
      <c r="A437" s="1818" t="s">
        <v>533</v>
      </c>
      <c r="B437" s="1819">
        <v>1138209.96</v>
      </c>
      <c r="C437" s="1822">
        <v>0</v>
      </c>
      <c r="D437" s="365">
        <v>0</v>
      </c>
      <c r="E437" s="365">
        <v>0</v>
      </c>
      <c r="F437" s="365">
        <v>0</v>
      </c>
      <c r="G437" s="365">
        <v>0</v>
      </c>
      <c r="H437" s="365">
        <v>0</v>
      </c>
      <c r="I437" s="365">
        <v>0</v>
      </c>
      <c r="J437" s="365">
        <v>0</v>
      </c>
      <c r="K437" s="365">
        <v>0</v>
      </c>
      <c r="L437" s="361">
        <v>287148.3</v>
      </c>
      <c r="M437" s="361">
        <v>292729.67</v>
      </c>
      <c r="N437" s="1821">
        <v>558331.99</v>
      </c>
    </row>
    <row r="438" spans="1:14" ht="13">
      <c r="A438" s="1818" t="s">
        <v>648</v>
      </c>
      <c r="B438" s="1819">
        <v>1036486.49</v>
      </c>
      <c r="C438" s="1820">
        <v>105664.37</v>
      </c>
      <c r="D438" s="361">
        <v>107038.62</v>
      </c>
      <c r="E438" s="365">
        <v>0</v>
      </c>
      <c r="F438" s="361">
        <v>171848.52</v>
      </c>
      <c r="G438" s="361">
        <v>65418.53</v>
      </c>
      <c r="H438" s="365">
        <v>0</v>
      </c>
      <c r="I438" s="361">
        <v>78582.039999999994</v>
      </c>
      <c r="J438" s="361">
        <v>79262.13</v>
      </c>
      <c r="K438" s="365">
        <v>0</v>
      </c>
      <c r="L438" s="361">
        <v>161256.51</v>
      </c>
      <c r="M438" s="361">
        <v>145419.76999999999</v>
      </c>
      <c r="N438" s="1821">
        <v>121996</v>
      </c>
    </row>
    <row r="439" spans="1:14" ht="13">
      <c r="A439" s="1818" t="s">
        <v>671</v>
      </c>
      <c r="B439" s="1819">
        <v>998792.11</v>
      </c>
      <c r="C439" s="1820">
        <v>753872.64</v>
      </c>
      <c r="D439" s="361">
        <v>244919.48</v>
      </c>
      <c r="E439" s="365">
        <v>0</v>
      </c>
      <c r="F439" s="365">
        <v>0</v>
      </c>
      <c r="G439" s="365">
        <v>0</v>
      </c>
      <c r="H439" s="365">
        <v>0</v>
      </c>
      <c r="I439" s="365">
        <v>0</v>
      </c>
      <c r="J439" s="365">
        <v>0</v>
      </c>
      <c r="K439" s="365">
        <v>0</v>
      </c>
      <c r="L439" s="365">
        <v>0</v>
      </c>
      <c r="M439" s="365">
        <v>0</v>
      </c>
      <c r="N439" s="1823">
        <v>0</v>
      </c>
    </row>
    <row r="440" spans="1:14" ht="13">
      <c r="A440" s="1818" t="s">
        <v>667</v>
      </c>
      <c r="B440" s="1819">
        <v>951864.67</v>
      </c>
      <c r="C440" s="1822">
        <v>0</v>
      </c>
      <c r="D440" s="365">
        <v>0</v>
      </c>
      <c r="E440" s="365">
        <v>0</v>
      </c>
      <c r="F440" s="365">
        <v>0</v>
      </c>
      <c r="G440" s="365">
        <v>0</v>
      </c>
      <c r="H440" s="365">
        <v>0</v>
      </c>
      <c r="I440" s="365">
        <v>0</v>
      </c>
      <c r="J440" s="361">
        <v>83765.37</v>
      </c>
      <c r="K440" s="361">
        <v>253305.92</v>
      </c>
      <c r="L440" s="361">
        <v>183878.38</v>
      </c>
      <c r="M440" s="361">
        <v>61176.2</v>
      </c>
      <c r="N440" s="1821">
        <v>369738.8</v>
      </c>
    </row>
    <row r="441" spans="1:14" ht="13">
      <c r="A441" s="1818" t="s">
        <v>595</v>
      </c>
      <c r="B441" s="1819">
        <v>915645.31</v>
      </c>
      <c r="C441" s="1822">
        <v>0</v>
      </c>
      <c r="D441" s="365">
        <v>0</v>
      </c>
      <c r="E441" s="365">
        <v>0</v>
      </c>
      <c r="F441" s="365">
        <v>0</v>
      </c>
      <c r="G441" s="365">
        <v>0</v>
      </c>
      <c r="H441" s="365">
        <v>0</v>
      </c>
      <c r="I441" s="365">
        <v>0</v>
      </c>
      <c r="J441" s="365">
        <v>0</v>
      </c>
      <c r="K441" s="365">
        <v>0</v>
      </c>
      <c r="L441" s="361">
        <v>461032.35</v>
      </c>
      <c r="M441" s="361">
        <v>283142.65000000002</v>
      </c>
      <c r="N441" s="1821">
        <v>171470.31</v>
      </c>
    </row>
    <row r="442" spans="1:14" ht="13">
      <c r="A442" s="1818" t="s">
        <v>616</v>
      </c>
      <c r="B442" s="1819">
        <v>893468.95</v>
      </c>
      <c r="C442" s="1822">
        <v>0</v>
      </c>
      <c r="D442" s="361">
        <v>152577.60000000001</v>
      </c>
      <c r="E442" s="365">
        <v>0</v>
      </c>
      <c r="F442" s="361">
        <v>27702</v>
      </c>
      <c r="G442" s="365">
        <v>0</v>
      </c>
      <c r="H442" s="361">
        <v>194240.57</v>
      </c>
      <c r="I442" s="365">
        <v>0</v>
      </c>
      <c r="J442" s="365">
        <v>0</v>
      </c>
      <c r="K442" s="361">
        <v>150504.59</v>
      </c>
      <c r="L442" s="361">
        <v>66519</v>
      </c>
      <c r="M442" s="361">
        <v>168111.31</v>
      </c>
      <c r="N442" s="1821">
        <v>133813.89000000001</v>
      </c>
    </row>
    <row r="443" spans="1:14" ht="13">
      <c r="A443" s="1818" t="s">
        <v>612</v>
      </c>
      <c r="B443" s="1819">
        <v>881411.72</v>
      </c>
      <c r="C443" s="1822">
        <v>0</v>
      </c>
      <c r="D443" s="365">
        <v>0</v>
      </c>
      <c r="E443" s="365">
        <v>0</v>
      </c>
      <c r="F443" s="361">
        <v>195378.73</v>
      </c>
      <c r="G443" s="361">
        <v>60155.28</v>
      </c>
      <c r="H443" s="365">
        <v>0</v>
      </c>
      <c r="I443" s="365">
        <v>0</v>
      </c>
      <c r="J443" s="361">
        <v>289511.12</v>
      </c>
      <c r="K443" s="365">
        <v>0</v>
      </c>
      <c r="L443" s="361">
        <v>208744.21</v>
      </c>
      <c r="M443" s="361">
        <v>127622.38</v>
      </c>
      <c r="N443" s="1823">
        <v>0</v>
      </c>
    </row>
    <row r="444" spans="1:14" ht="13">
      <c r="A444" s="1818" t="s">
        <v>638</v>
      </c>
      <c r="B444" s="1819">
        <v>844581.27</v>
      </c>
      <c r="C444" s="1820">
        <v>85917.22</v>
      </c>
      <c r="D444" s="361">
        <v>103057.77</v>
      </c>
      <c r="E444" s="365">
        <v>0</v>
      </c>
      <c r="F444" s="365">
        <v>0</v>
      </c>
      <c r="G444" s="361">
        <v>110860.16</v>
      </c>
      <c r="H444" s="361">
        <v>64831.199999999997</v>
      </c>
      <c r="I444" s="361">
        <v>43955.28</v>
      </c>
      <c r="J444" s="365">
        <v>0</v>
      </c>
      <c r="K444" s="361">
        <v>157744.16</v>
      </c>
      <c r="L444" s="365">
        <v>0</v>
      </c>
      <c r="M444" s="361">
        <v>159222.51999999999</v>
      </c>
      <c r="N444" s="1821">
        <v>118992.96000000001</v>
      </c>
    </row>
    <row r="445" spans="1:14" ht="13">
      <c r="A445" s="1818" t="s">
        <v>602</v>
      </c>
      <c r="B445" s="1819">
        <v>835036.31</v>
      </c>
      <c r="C445" s="1820">
        <v>220491.19</v>
      </c>
      <c r="D445" s="361">
        <v>211817.1</v>
      </c>
      <c r="E445" s="365">
        <v>0</v>
      </c>
      <c r="F445" s="361">
        <v>180784.8</v>
      </c>
      <c r="G445" s="365">
        <v>0</v>
      </c>
      <c r="H445" s="365">
        <v>0</v>
      </c>
      <c r="I445" s="361">
        <v>221943.22</v>
      </c>
      <c r="J445" s="365">
        <v>0</v>
      </c>
      <c r="K445" s="365">
        <v>0</v>
      </c>
      <c r="L445" s="365">
        <v>0</v>
      </c>
      <c r="M445" s="365">
        <v>0</v>
      </c>
      <c r="N445" s="1823">
        <v>0</v>
      </c>
    </row>
    <row r="446" spans="1:14" ht="13">
      <c r="A446" s="1818" t="s">
        <v>571</v>
      </c>
      <c r="B446" s="1819">
        <v>737557.02</v>
      </c>
      <c r="C446" s="1822">
        <v>0</v>
      </c>
      <c r="D446" s="365">
        <v>0</v>
      </c>
      <c r="E446" s="365">
        <v>0</v>
      </c>
      <c r="F446" s="365">
        <v>0</v>
      </c>
      <c r="G446" s="365">
        <v>0</v>
      </c>
      <c r="H446" s="365">
        <v>0</v>
      </c>
      <c r="I446" s="365">
        <v>0</v>
      </c>
      <c r="J446" s="365">
        <v>0</v>
      </c>
      <c r="K446" s="365">
        <v>0</v>
      </c>
      <c r="L446" s="361">
        <v>337180.13</v>
      </c>
      <c r="M446" s="361">
        <v>101412.06</v>
      </c>
      <c r="N446" s="1821">
        <v>298964.83</v>
      </c>
    </row>
    <row r="447" spans="1:14" ht="13">
      <c r="A447" s="1818" t="s">
        <v>605</v>
      </c>
      <c r="B447" s="1819">
        <v>722383.12</v>
      </c>
      <c r="C447" s="1822">
        <v>0</v>
      </c>
      <c r="D447" s="365">
        <v>0</v>
      </c>
      <c r="E447" s="365">
        <v>0</v>
      </c>
      <c r="F447" s="365">
        <v>0</v>
      </c>
      <c r="G447" s="361">
        <v>393883.92</v>
      </c>
      <c r="H447" s="365">
        <v>0</v>
      </c>
      <c r="I447" s="365">
        <v>0</v>
      </c>
      <c r="J447" s="365">
        <v>0</v>
      </c>
      <c r="K447" s="365">
        <v>0</v>
      </c>
      <c r="L447" s="365">
        <v>0</v>
      </c>
      <c r="M447" s="365">
        <v>0</v>
      </c>
      <c r="N447" s="1821">
        <v>328499.20000000001</v>
      </c>
    </row>
    <row r="448" spans="1:14" ht="13">
      <c r="A448" s="1818" t="s">
        <v>581</v>
      </c>
      <c r="B448" s="1819">
        <v>689272.97</v>
      </c>
      <c r="C448" s="1822">
        <v>0</v>
      </c>
      <c r="D448" s="361">
        <v>433959.69</v>
      </c>
      <c r="E448" s="365">
        <v>0</v>
      </c>
      <c r="F448" s="361">
        <v>71922.720000000001</v>
      </c>
      <c r="G448" s="365">
        <v>0</v>
      </c>
      <c r="H448" s="365">
        <v>0</v>
      </c>
      <c r="I448" s="361">
        <v>62570.400000000001</v>
      </c>
      <c r="J448" s="361">
        <v>38902.74</v>
      </c>
      <c r="K448" s="365">
        <v>0</v>
      </c>
      <c r="L448" s="365">
        <v>0</v>
      </c>
      <c r="M448" s="361">
        <v>81917.42</v>
      </c>
      <c r="N448" s="1823">
        <v>0</v>
      </c>
    </row>
    <row r="449" spans="1:14" ht="13">
      <c r="A449" s="1818" t="s">
        <v>567</v>
      </c>
      <c r="B449" s="1819">
        <v>688883.18</v>
      </c>
      <c r="C449" s="1822">
        <v>0</v>
      </c>
      <c r="D449" s="365">
        <v>0</v>
      </c>
      <c r="E449" s="365">
        <v>0</v>
      </c>
      <c r="F449" s="365">
        <v>0</v>
      </c>
      <c r="G449" s="365">
        <v>0</v>
      </c>
      <c r="H449" s="365">
        <v>0</v>
      </c>
      <c r="I449" s="361">
        <v>205028.67</v>
      </c>
      <c r="J449" s="361">
        <v>28351.47</v>
      </c>
      <c r="K449" s="361">
        <v>64663.519999999997</v>
      </c>
      <c r="L449" s="361">
        <v>175295.74</v>
      </c>
      <c r="M449" s="361">
        <v>74821.36</v>
      </c>
      <c r="N449" s="1821">
        <v>140722.43</v>
      </c>
    </row>
    <row r="450" spans="1:14" ht="13">
      <c r="A450" s="1818" t="s">
        <v>663</v>
      </c>
      <c r="B450" s="1819">
        <v>681390.56</v>
      </c>
      <c r="C450" s="1822">
        <v>0</v>
      </c>
      <c r="D450" s="361">
        <v>277529.76</v>
      </c>
      <c r="E450" s="365">
        <v>0</v>
      </c>
      <c r="F450" s="365">
        <v>0</v>
      </c>
      <c r="G450" s="365">
        <v>0</v>
      </c>
      <c r="H450" s="365">
        <v>0</v>
      </c>
      <c r="I450" s="365">
        <v>0</v>
      </c>
      <c r="J450" s="365">
        <v>0</v>
      </c>
      <c r="K450" s="361">
        <v>488704.4</v>
      </c>
      <c r="L450" s="361">
        <v>-84843.6</v>
      </c>
      <c r="M450" s="365">
        <v>0</v>
      </c>
      <c r="N450" s="1823">
        <v>0</v>
      </c>
    </row>
    <row r="451" spans="1:14" ht="13">
      <c r="A451" s="1818" t="s">
        <v>613</v>
      </c>
      <c r="B451" s="1819">
        <v>587020.41</v>
      </c>
      <c r="C451" s="1820">
        <v>280460.90999999997</v>
      </c>
      <c r="D451" s="361">
        <v>306559.5</v>
      </c>
      <c r="E451" s="365">
        <v>0</v>
      </c>
      <c r="F451" s="365">
        <v>0</v>
      </c>
      <c r="G451" s="365">
        <v>0</v>
      </c>
      <c r="H451" s="365">
        <v>0</v>
      </c>
      <c r="I451" s="365">
        <v>0</v>
      </c>
      <c r="J451" s="365">
        <v>0</v>
      </c>
      <c r="K451" s="365">
        <v>0</v>
      </c>
      <c r="L451" s="365">
        <v>0</v>
      </c>
      <c r="M451" s="365">
        <v>0</v>
      </c>
      <c r="N451" s="1823">
        <v>0</v>
      </c>
    </row>
    <row r="452" spans="1:14" ht="13">
      <c r="A452" s="1818" t="s">
        <v>623</v>
      </c>
      <c r="B452" s="1819">
        <v>575806</v>
      </c>
      <c r="C452" s="1822">
        <v>0</v>
      </c>
      <c r="D452" s="365">
        <v>0</v>
      </c>
      <c r="E452" s="365">
        <v>0</v>
      </c>
      <c r="F452" s="365">
        <v>0</v>
      </c>
      <c r="G452" s="365">
        <v>0</v>
      </c>
      <c r="H452" s="365">
        <v>0</v>
      </c>
      <c r="I452" s="361">
        <v>287903</v>
      </c>
      <c r="J452" s="361">
        <v>287903</v>
      </c>
      <c r="K452" s="365">
        <v>0</v>
      </c>
      <c r="L452" s="365">
        <v>0</v>
      </c>
      <c r="M452" s="365">
        <v>0</v>
      </c>
      <c r="N452" s="1823">
        <v>0</v>
      </c>
    </row>
    <row r="453" spans="1:14" ht="13">
      <c r="A453" s="1818" t="s">
        <v>603</v>
      </c>
      <c r="B453" s="1819">
        <v>566438.87</v>
      </c>
      <c r="C453" s="1822">
        <v>0</v>
      </c>
      <c r="D453" s="365">
        <v>0</v>
      </c>
      <c r="E453" s="365">
        <v>0</v>
      </c>
      <c r="F453" s="365">
        <v>0</v>
      </c>
      <c r="G453" s="361">
        <v>398367.72</v>
      </c>
      <c r="H453" s="365">
        <v>0</v>
      </c>
      <c r="I453" s="365">
        <v>0</v>
      </c>
      <c r="J453" s="365">
        <v>0</v>
      </c>
      <c r="K453" s="365">
        <v>0</v>
      </c>
      <c r="L453" s="361">
        <v>168071.15</v>
      </c>
      <c r="M453" s="365">
        <v>0</v>
      </c>
      <c r="N453" s="1823">
        <v>0</v>
      </c>
    </row>
    <row r="454" spans="1:14" ht="13">
      <c r="A454" s="1818" t="s">
        <v>624</v>
      </c>
      <c r="B454" s="1819">
        <v>549141.32999999996</v>
      </c>
      <c r="C454" s="1822">
        <v>0</v>
      </c>
      <c r="D454" s="365">
        <v>0</v>
      </c>
      <c r="E454" s="365">
        <v>0</v>
      </c>
      <c r="F454" s="365">
        <v>0</v>
      </c>
      <c r="G454" s="365">
        <v>0</v>
      </c>
      <c r="H454" s="365">
        <v>0</v>
      </c>
      <c r="I454" s="365">
        <v>0</v>
      </c>
      <c r="J454" s="365">
        <v>0</v>
      </c>
      <c r="K454" s="361">
        <v>549141.32999999996</v>
      </c>
      <c r="L454" s="365">
        <v>0</v>
      </c>
      <c r="M454" s="365">
        <v>0</v>
      </c>
      <c r="N454" s="1823">
        <v>0</v>
      </c>
    </row>
    <row r="455" spans="1:14" ht="13">
      <c r="A455" s="1818" t="s">
        <v>617</v>
      </c>
      <c r="B455" s="1819">
        <v>521439.53</v>
      </c>
      <c r="C455" s="1822">
        <v>0</v>
      </c>
      <c r="D455" s="361">
        <v>83260.2</v>
      </c>
      <c r="E455" s="361">
        <v>83260.2</v>
      </c>
      <c r="F455" s="365">
        <v>0</v>
      </c>
      <c r="G455" s="365">
        <v>0</v>
      </c>
      <c r="H455" s="365">
        <v>0</v>
      </c>
      <c r="I455" s="365">
        <v>0</v>
      </c>
      <c r="J455" s="361">
        <v>111069</v>
      </c>
      <c r="K455" s="361">
        <v>74178</v>
      </c>
      <c r="L455" s="361">
        <v>169672.13</v>
      </c>
      <c r="M455" s="365">
        <v>0</v>
      </c>
      <c r="N455" s="1823">
        <v>0</v>
      </c>
    </row>
    <row r="456" spans="1:14" ht="13">
      <c r="A456" s="1818" t="s">
        <v>674</v>
      </c>
      <c r="B456" s="1819">
        <v>487557.27</v>
      </c>
      <c r="C456" s="1822">
        <v>0</v>
      </c>
      <c r="D456" s="365">
        <v>0</v>
      </c>
      <c r="E456" s="365">
        <v>0</v>
      </c>
      <c r="F456" s="365">
        <v>0</v>
      </c>
      <c r="G456" s="365">
        <v>0</v>
      </c>
      <c r="H456" s="365">
        <v>0</v>
      </c>
      <c r="I456" s="365">
        <v>0</v>
      </c>
      <c r="J456" s="365">
        <v>0</v>
      </c>
      <c r="K456" s="361">
        <v>487557.27</v>
      </c>
      <c r="L456" s="365">
        <v>0</v>
      </c>
      <c r="M456" s="365">
        <v>0</v>
      </c>
      <c r="N456" s="1823">
        <v>0</v>
      </c>
    </row>
    <row r="457" spans="1:14" ht="13">
      <c r="A457" s="1818" t="s">
        <v>1696</v>
      </c>
      <c r="B457" s="1819">
        <v>476216.1</v>
      </c>
      <c r="C457" s="1820">
        <v>25145.9</v>
      </c>
      <c r="D457" s="361">
        <v>263143.95</v>
      </c>
      <c r="E457" s="361">
        <v>187926.24</v>
      </c>
      <c r="F457" s="365">
        <v>0</v>
      </c>
      <c r="G457" s="365">
        <v>0</v>
      </c>
      <c r="H457" s="365">
        <v>0</v>
      </c>
      <c r="I457" s="365">
        <v>0</v>
      </c>
      <c r="J457" s="365">
        <v>0</v>
      </c>
      <c r="K457" s="365">
        <v>0</v>
      </c>
      <c r="L457" s="365">
        <v>0</v>
      </c>
      <c r="M457" s="365">
        <v>0</v>
      </c>
      <c r="N457" s="1823">
        <v>0</v>
      </c>
    </row>
    <row r="458" spans="1:14" ht="13">
      <c r="A458" s="1818" t="s">
        <v>677</v>
      </c>
      <c r="B458" s="1819">
        <v>463340.87</v>
      </c>
      <c r="C458" s="1820">
        <v>194397.23</v>
      </c>
      <c r="D458" s="365">
        <v>0</v>
      </c>
      <c r="E458" s="361">
        <v>139017.04</v>
      </c>
      <c r="F458" s="361">
        <v>129926.59</v>
      </c>
      <c r="G458" s="365">
        <v>0</v>
      </c>
      <c r="H458" s="365">
        <v>0</v>
      </c>
      <c r="I458" s="365">
        <v>0</v>
      </c>
      <c r="J458" s="365">
        <v>0</v>
      </c>
      <c r="K458" s="365">
        <v>0</v>
      </c>
      <c r="L458" s="365">
        <v>0</v>
      </c>
      <c r="M458" s="365">
        <v>0</v>
      </c>
      <c r="N458" s="1823">
        <v>0</v>
      </c>
    </row>
    <row r="459" spans="1:14" ht="13">
      <c r="A459" s="1818" t="s">
        <v>645</v>
      </c>
      <c r="B459" s="1819">
        <v>317814.44</v>
      </c>
      <c r="C459" s="1820">
        <v>96986.44</v>
      </c>
      <c r="D459" s="365">
        <v>0</v>
      </c>
      <c r="E459" s="365">
        <v>0</v>
      </c>
      <c r="F459" s="365">
        <v>0</v>
      </c>
      <c r="G459" s="365">
        <v>0</v>
      </c>
      <c r="H459" s="365">
        <v>0</v>
      </c>
      <c r="I459" s="365">
        <v>0</v>
      </c>
      <c r="J459" s="365">
        <v>0</v>
      </c>
      <c r="K459" s="365">
        <v>0</v>
      </c>
      <c r="L459" s="361">
        <v>71368</v>
      </c>
      <c r="M459" s="361">
        <v>71368</v>
      </c>
      <c r="N459" s="1821">
        <v>78092</v>
      </c>
    </row>
    <row r="460" spans="1:14" ht="13">
      <c r="A460" s="1818" t="s">
        <v>1697</v>
      </c>
      <c r="B460" s="1819">
        <v>223678.61</v>
      </c>
      <c r="C460" s="1820">
        <v>73013.3</v>
      </c>
      <c r="D460" s="365">
        <v>0</v>
      </c>
      <c r="E460" s="365">
        <v>0</v>
      </c>
      <c r="F460" s="361">
        <v>150665.31</v>
      </c>
      <c r="G460" s="365">
        <v>0</v>
      </c>
      <c r="H460" s="365">
        <v>0</v>
      </c>
      <c r="I460" s="365">
        <v>0</v>
      </c>
      <c r="J460" s="365">
        <v>0</v>
      </c>
      <c r="K460" s="365">
        <v>0</v>
      </c>
      <c r="L460" s="365">
        <v>0</v>
      </c>
      <c r="M460" s="365">
        <v>0</v>
      </c>
      <c r="N460" s="1823">
        <v>0</v>
      </c>
    </row>
    <row r="461" spans="1:14" ht="13">
      <c r="A461" s="1818" t="s">
        <v>573</v>
      </c>
      <c r="B461" s="1819">
        <v>169801.85</v>
      </c>
      <c r="C461" s="1822">
        <v>0</v>
      </c>
      <c r="D461" s="365">
        <v>0</v>
      </c>
      <c r="E461" s="361">
        <v>76438.13</v>
      </c>
      <c r="F461" s="361">
        <v>93363.71</v>
      </c>
      <c r="G461" s="365">
        <v>0</v>
      </c>
      <c r="H461" s="365">
        <v>0</v>
      </c>
      <c r="I461" s="365">
        <v>0</v>
      </c>
      <c r="J461" s="365">
        <v>0</v>
      </c>
      <c r="K461" s="365">
        <v>0</v>
      </c>
      <c r="L461" s="365">
        <v>0</v>
      </c>
      <c r="M461" s="365">
        <v>0</v>
      </c>
      <c r="N461" s="1823">
        <v>0</v>
      </c>
    </row>
    <row r="462" spans="1:14" ht="13">
      <c r="A462" s="1818" t="s">
        <v>1698</v>
      </c>
      <c r="B462" s="1819">
        <v>168729.92</v>
      </c>
      <c r="C462" s="1822">
        <v>0</v>
      </c>
      <c r="D462" s="361">
        <v>168729.92</v>
      </c>
      <c r="E462" s="365">
        <v>0</v>
      </c>
      <c r="F462" s="365">
        <v>0</v>
      </c>
      <c r="G462" s="365">
        <v>0</v>
      </c>
      <c r="H462" s="365">
        <v>0</v>
      </c>
      <c r="I462" s="365">
        <v>0</v>
      </c>
      <c r="J462" s="365">
        <v>0</v>
      </c>
      <c r="K462" s="365">
        <v>0</v>
      </c>
      <c r="L462" s="365">
        <v>0</v>
      </c>
      <c r="M462" s="365">
        <v>0</v>
      </c>
      <c r="N462" s="1823">
        <v>0</v>
      </c>
    </row>
    <row r="463" spans="1:14" ht="13">
      <c r="A463" s="1818" t="s">
        <v>647</v>
      </c>
      <c r="B463" s="1819">
        <v>163655.54999999999</v>
      </c>
      <c r="C463" s="1822">
        <v>0</v>
      </c>
      <c r="D463" s="365">
        <v>0</v>
      </c>
      <c r="E463" s="365">
        <v>0</v>
      </c>
      <c r="F463" s="365">
        <v>0</v>
      </c>
      <c r="G463" s="365">
        <v>0</v>
      </c>
      <c r="H463" s="365">
        <v>0</v>
      </c>
      <c r="I463" s="365">
        <v>0</v>
      </c>
      <c r="J463" s="361">
        <v>163655.54999999999</v>
      </c>
      <c r="K463" s="365">
        <v>0</v>
      </c>
      <c r="L463" s="365">
        <v>0</v>
      </c>
      <c r="M463" s="365">
        <v>0</v>
      </c>
      <c r="N463" s="1823">
        <v>0</v>
      </c>
    </row>
    <row r="464" spans="1:14" ht="13">
      <c r="A464" s="1818" t="s">
        <v>572</v>
      </c>
      <c r="B464" s="1819">
        <v>142593.20000000001</v>
      </c>
      <c r="C464" s="1822">
        <v>0</v>
      </c>
      <c r="D464" s="365">
        <v>0</v>
      </c>
      <c r="E464" s="365">
        <v>0</v>
      </c>
      <c r="F464" s="361">
        <v>142593.20000000001</v>
      </c>
      <c r="G464" s="365">
        <v>0</v>
      </c>
      <c r="H464" s="365">
        <v>0</v>
      </c>
      <c r="I464" s="365">
        <v>0</v>
      </c>
      <c r="J464" s="365">
        <v>0</v>
      </c>
      <c r="K464" s="365">
        <v>0</v>
      </c>
      <c r="L464" s="365">
        <v>0</v>
      </c>
      <c r="M464" s="365">
        <v>0</v>
      </c>
      <c r="N464" s="1823">
        <v>0</v>
      </c>
    </row>
    <row r="465" spans="1:14" ht="13">
      <c r="A465" s="1818" t="s">
        <v>577</v>
      </c>
      <c r="B465" s="1819">
        <v>127770.29</v>
      </c>
      <c r="C465" s="1822">
        <v>0</v>
      </c>
      <c r="D465" s="361">
        <v>127770.29</v>
      </c>
      <c r="E465" s="365">
        <v>0</v>
      </c>
      <c r="F465" s="365">
        <v>0</v>
      </c>
      <c r="G465" s="365">
        <v>0</v>
      </c>
      <c r="H465" s="365">
        <v>0</v>
      </c>
      <c r="I465" s="365">
        <v>0</v>
      </c>
      <c r="J465" s="365">
        <v>0</v>
      </c>
      <c r="K465" s="365">
        <v>0</v>
      </c>
      <c r="L465" s="365">
        <v>0</v>
      </c>
      <c r="M465" s="365">
        <v>0</v>
      </c>
      <c r="N465" s="1823">
        <v>0</v>
      </c>
    </row>
    <row r="466" spans="1:14" ht="13">
      <c r="A466" s="1818" t="s">
        <v>1699</v>
      </c>
      <c r="B466" s="1819">
        <v>121255.2</v>
      </c>
      <c r="C466" s="1822">
        <v>0</v>
      </c>
      <c r="D466" s="365">
        <v>0</v>
      </c>
      <c r="E466" s="365">
        <v>0</v>
      </c>
      <c r="F466" s="361">
        <v>121255.2</v>
      </c>
      <c r="G466" s="365">
        <v>0</v>
      </c>
      <c r="H466" s="365">
        <v>0</v>
      </c>
      <c r="I466" s="365">
        <v>0</v>
      </c>
      <c r="J466" s="365">
        <v>0</v>
      </c>
      <c r="K466" s="365">
        <v>0</v>
      </c>
      <c r="L466" s="365">
        <v>0</v>
      </c>
      <c r="M466" s="365">
        <v>0</v>
      </c>
      <c r="N466" s="1823">
        <v>0</v>
      </c>
    </row>
    <row r="467" spans="1:14" ht="13">
      <c r="A467" s="1818" t="s">
        <v>576</v>
      </c>
      <c r="B467" s="1819">
        <v>118134.67</v>
      </c>
      <c r="C467" s="1822">
        <v>0</v>
      </c>
      <c r="D467" s="365">
        <v>0</v>
      </c>
      <c r="E467" s="365">
        <v>0</v>
      </c>
      <c r="F467" s="365">
        <v>0</v>
      </c>
      <c r="G467" s="365">
        <v>0</v>
      </c>
      <c r="H467" s="361">
        <v>71741.7</v>
      </c>
      <c r="I467" s="361">
        <v>46392.97</v>
      </c>
      <c r="J467" s="365">
        <v>0</v>
      </c>
      <c r="K467" s="365">
        <v>0</v>
      </c>
      <c r="L467" s="365">
        <v>0</v>
      </c>
      <c r="M467" s="365">
        <v>0</v>
      </c>
      <c r="N467" s="1823">
        <v>0</v>
      </c>
    </row>
    <row r="468" spans="1:14" ht="13">
      <c r="A468" s="1818" t="s">
        <v>1700</v>
      </c>
      <c r="B468" s="1819">
        <v>111733.73</v>
      </c>
      <c r="C468" s="1820">
        <v>111733.73</v>
      </c>
      <c r="D468" s="365">
        <v>0</v>
      </c>
      <c r="E468" s="365">
        <v>0</v>
      </c>
      <c r="F468" s="365">
        <v>0</v>
      </c>
      <c r="G468" s="365">
        <v>0</v>
      </c>
      <c r="H468" s="365">
        <v>0</v>
      </c>
      <c r="I468" s="365">
        <v>0</v>
      </c>
      <c r="J468" s="365">
        <v>0</v>
      </c>
      <c r="K468" s="365">
        <v>0</v>
      </c>
      <c r="L468" s="365">
        <v>0</v>
      </c>
      <c r="M468" s="365">
        <v>0</v>
      </c>
      <c r="N468" s="1823">
        <v>0</v>
      </c>
    </row>
    <row r="469" spans="1:14" ht="13">
      <c r="A469" s="1818" t="s">
        <v>550</v>
      </c>
      <c r="B469" s="1819">
        <v>109161.51</v>
      </c>
      <c r="C469" s="1820">
        <v>109161.51</v>
      </c>
      <c r="D469" s="365">
        <v>0</v>
      </c>
      <c r="E469" s="365">
        <v>0</v>
      </c>
      <c r="F469" s="365">
        <v>0</v>
      </c>
      <c r="G469" s="365">
        <v>0</v>
      </c>
      <c r="H469" s="365">
        <v>0</v>
      </c>
      <c r="I469" s="365">
        <v>0</v>
      </c>
      <c r="J469" s="365">
        <v>0</v>
      </c>
      <c r="K469" s="365">
        <v>0</v>
      </c>
      <c r="L469" s="365">
        <v>0</v>
      </c>
      <c r="M469" s="365">
        <v>0</v>
      </c>
      <c r="N469" s="1823">
        <v>0</v>
      </c>
    </row>
    <row r="470" spans="1:14" ht="13">
      <c r="A470" s="1818" t="s">
        <v>574</v>
      </c>
      <c r="B470" s="1819">
        <v>73052.240000000005</v>
      </c>
      <c r="C470" s="1822">
        <v>0</v>
      </c>
      <c r="D470" s="365">
        <v>0</v>
      </c>
      <c r="E470" s="365">
        <v>0</v>
      </c>
      <c r="F470" s="365">
        <v>0</v>
      </c>
      <c r="G470" s="365">
        <v>0</v>
      </c>
      <c r="H470" s="361">
        <v>73052.240000000005</v>
      </c>
      <c r="I470" s="365">
        <v>0</v>
      </c>
      <c r="J470" s="365">
        <v>0</v>
      </c>
      <c r="K470" s="365">
        <v>0</v>
      </c>
      <c r="L470" s="365">
        <v>0</v>
      </c>
      <c r="M470" s="365">
        <v>0</v>
      </c>
      <c r="N470" s="1823">
        <v>0</v>
      </c>
    </row>
    <row r="471" spans="1:14" ht="13">
      <c r="A471" s="1818" t="s">
        <v>560</v>
      </c>
      <c r="B471" s="1819">
        <v>66122.62</v>
      </c>
      <c r="C471" s="1822">
        <v>0</v>
      </c>
      <c r="D471" s="365">
        <v>0</v>
      </c>
      <c r="E471" s="365">
        <v>0</v>
      </c>
      <c r="F471" s="365">
        <v>0</v>
      </c>
      <c r="G471" s="365">
        <v>0</v>
      </c>
      <c r="H471" s="361">
        <v>36234.97</v>
      </c>
      <c r="I471" s="361">
        <v>29887.65</v>
      </c>
      <c r="J471" s="365">
        <v>0</v>
      </c>
      <c r="K471" s="365">
        <v>0</v>
      </c>
      <c r="L471" s="365">
        <v>0</v>
      </c>
      <c r="M471" s="365">
        <v>0</v>
      </c>
      <c r="N471" s="1823">
        <v>0</v>
      </c>
    </row>
    <row r="472" spans="1:14" ht="13">
      <c r="A472" s="1818" t="s">
        <v>649</v>
      </c>
      <c r="B472" s="1819">
        <v>65392.81</v>
      </c>
      <c r="C472" s="1822">
        <v>0</v>
      </c>
      <c r="D472" s="365">
        <v>0</v>
      </c>
      <c r="E472" s="365">
        <v>0</v>
      </c>
      <c r="F472" s="365">
        <v>0</v>
      </c>
      <c r="G472" s="365">
        <v>0</v>
      </c>
      <c r="H472" s="365">
        <v>0</v>
      </c>
      <c r="I472" s="365">
        <v>0</v>
      </c>
      <c r="J472" s="361">
        <v>65392.81</v>
      </c>
      <c r="K472" s="365">
        <v>0</v>
      </c>
      <c r="L472" s="365">
        <v>0</v>
      </c>
      <c r="M472" s="365">
        <v>0</v>
      </c>
      <c r="N472" s="1823">
        <v>0</v>
      </c>
    </row>
    <row r="473" spans="1:14" ht="13">
      <c r="A473" s="1818" t="s">
        <v>627</v>
      </c>
      <c r="B473" s="1819">
        <v>62957.919999999998</v>
      </c>
      <c r="C473" s="1820">
        <v>62957.919999999998</v>
      </c>
      <c r="D473" s="365">
        <v>0</v>
      </c>
      <c r="E473" s="365">
        <v>0</v>
      </c>
      <c r="F473" s="365">
        <v>0</v>
      </c>
      <c r="G473" s="365">
        <v>0</v>
      </c>
      <c r="H473" s="365">
        <v>0</v>
      </c>
      <c r="I473" s="365">
        <v>0</v>
      </c>
      <c r="J473" s="365">
        <v>0</v>
      </c>
      <c r="K473" s="365">
        <v>0</v>
      </c>
      <c r="L473" s="365">
        <v>0</v>
      </c>
      <c r="M473" s="365">
        <v>0</v>
      </c>
      <c r="N473" s="1823">
        <v>0</v>
      </c>
    </row>
    <row r="474" spans="1:14" ht="13">
      <c r="A474" s="1818" t="s">
        <v>639</v>
      </c>
      <c r="B474" s="1819">
        <v>30250.799999999999</v>
      </c>
      <c r="C474" s="1822">
        <v>0</v>
      </c>
      <c r="D474" s="365">
        <v>0</v>
      </c>
      <c r="E474" s="365">
        <v>0</v>
      </c>
      <c r="F474" s="365">
        <v>0</v>
      </c>
      <c r="G474" s="365">
        <v>0</v>
      </c>
      <c r="H474" s="365">
        <v>0</v>
      </c>
      <c r="I474" s="365">
        <v>0</v>
      </c>
      <c r="J474" s="365">
        <v>0</v>
      </c>
      <c r="K474" s="365">
        <v>0</v>
      </c>
      <c r="L474" s="365">
        <v>0</v>
      </c>
      <c r="M474" s="361">
        <v>30250.799999999999</v>
      </c>
      <c r="N474" s="1823">
        <v>0</v>
      </c>
    </row>
    <row r="475" spans="1:14" ht="13">
      <c r="A475" s="1818" t="s">
        <v>606</v>
      </c>
      <c r="B475" s="1819">
        <v>4474.0600000000004</v>
      </c>
      <c r="C475" s="1822">
        <v>0</v>
      </c>
      <c r="D475" s="365">
        <v>0</v>
      </c>
      <c r="E475" s="365">
        <v>0</v>
      </c>
      <c r="F475" s="365">
        <v>0</v>
      </c>
      <c r="G475" s="365">
        <v>0</v>
      </c>
      <c r="H475" s="365">
        <v>0</v>
      </c>
      <c r="I475" s="361">
        <v>4474.0600000000004</v>
      </c>
      <c r="J475" s="365">
        <v>0</v>
      </c>
      <c r="K475" s="365">
        <v>0</v>
      </c>
      <c r="L475" s="365">
        <v>0</v>
      </c>
      <c r="M475" s="365">
        <v>0</v>
      </c>
      <c r="N475" s="1823">
        <v>0</v>
      </c>
    </row>
    <row r="476" spans="1:14" ht="13">
      <c r="A476" s="1805" t="s">
        <v>543</v>
      </c>
      <c r="B476" s="1806">
        <v>18856783.440000001</v>
      </c>
      <c r="C476" s="1807">
        <v>1506555.06</v>
      </c>
      <c r="D476" s="1807">
        <v>1467024.6</v>
      </c>
      <c r="E476" s="1807">
        <v>1114070.6000000001</v>
      </c>
      <c r="F476" s="1807">
        <v>1540365.53</v>
      </c>
      <c r="G476" s="1807">
        <v>1037347.68</v>
      </c>
      <c r="H476" s="1807">
        <v>1027180.56</v>
      </c>
      <c r="I476" s="1807">
        <v>1226022.3799999999</v>
      </c>
      <c r="J476" s="1807">
        <v>593465.18000000005</v>
      </c>
      <c r="K476" s="1807">
        <v>2747434.35</v>
      </c>
      <c r="L476" s="1807">
        <v>3963754.22</v>
      </c>
      <c r="M476" s="1807">
        <v>1980181.24</v>
      </c>
      <c r="N476" s="1809">
        <v>653382.04</v>
      </c>
    </row>
    <row r="477" spans="1:14" ht="13">
      <c r="A477" s="1805" t="s">
        <v>640</v>
      </c>
      <c r="B477" s="1806">
        <v>551886.35</v>
      </c>
      <c r="C477" s="922">
        <v>0</v>
      </c>
      <c r="D477" s="922">
        <v>0</v>
      </c>
      <c r="E477" s="922">
        <v>0</v>
      </c>
      <c r="F477" s="922">
        <v>0</v>
      </c>
      <c r="G477" s="922">
        <v>0</v>
      </c>
      <c r="H477" s="922">
        <v>0</v>
      </c>
      <c r="I477" s="922">
        <v>0</v>
      </c>
      <c r="J477" s="922">
        <v>0</v>
      </c>
      <c r="K477" s="922">
        <v>0</v>
      </c>
      <c r="L477" s="922">
        <v>0</v>
      </c>
      <c r="M477" s="922">
        <v>0</v>
      </c>
      <c r="N477" s="1809">
        <v>551886.35</v>
      </c>
    </row>
    <row r="478" spans="1:14" ht="13">
      <c r="A478" s="1805" t="s">
        <v>450</v>
      </c>
      <c r="B478" s="1806">
        <v>960228.69</v>
      </c>
      <c r="C478" s="1807">
        <v>26312.36</v>
      </c>
      <c r="D478" s="1807">
        <v>109008.61</v>
      </c>
      <c r="E478" s="1807">
        <v>35266.6</v>
      </c>
      <c r="F478" s="1807">
        <v>100617.07</v>
      </c>
      <c r="G478" s="1807">
        <v>139274.46</v>
      </c>
      <c r="H478" s="1807">
        <v>40666.870000000003</v>
      </c>
      <c r="I478" s="1807">
        <v>126339.62</v>
      </c>
      <c r="J478" s="1807">
        <v>34410.379999999997</v>
      </c>
      <c r="K478" s="1807">
        <v>13665.52</v>
      </c>
      <c r="L478" s="1807">
        <v>82682.63</v>
      </c>
      <c r="M478" s="1807">
        <v>114779.16</v>
      </c>
      <c r="N478" s="1809">
        <v>137205.41</v>
      </c>
    </row>
    <row r="479" spans="1:14" ht="13">
      <c r="A479" s="1805" t="s">
        <v>651</v>
      </c>
      <c r="B479" s="1806">
        <v>470396.57</v>
      </c>
      <c r="C479" s="922">
        <v>0</v>
      </c>
      <c r="D479" s="922">
        <v>0</v>
      </c>
      <c r="E479" s="1807">
        <v>29392.93</v>
      </c>
      <c r="F479" s="1807">
        <v>181537.66</v>
      </c>
      <c r="G479" s="922">
        <v>0</v>
      </c>
      <c r="H479" s="922">
        <v>0</v>
      </c>
      <c r="I479" s="1807">
        <v>223393.47</v>
      </c>
      <c r="J479" s="922">
        <v>0</v>
      </c>
      <c r="K479" s="1807">
        <v>36072.51</v>
      </c>
      <c r="L479" s="922">
        <v>0</v>
      </c>
      <c r="M479" s="922">
        <v>0</v>
      </c>
      <c r="N479" s="1808">
        <v>0</v>
      </c>
    </row>
    <row r="480" spans="1:14" ht="13">
      <c r="A480" s="1805" t="s">
        <v>540</v>
      </c>
      <c r="B480" s="1806">
        <v>19270759.199999999</v>
      </c>
      <c r="C480" s="1807">
        <v>1004513.89</v>
      </c>
      <c r="D480" s="1807">
        <v>1914531.71</v>
      </c>
      <c r="E480" s="1807">
        <v>1174696.3</v>
      </c>
      <c r="F480" s="1807">
        <v>1511971.44</v>
      </c>
      <c r="G480" s="1807">
        <v>1045953.58</v>
      </c>
      <c r="H480" s="1807">
        <v>1088634.1100000001</v>
      </c>
      <c r="I480" s="1807">
        <v>1659411.42</v>
      </c>
      <c r="J480" s="1807">
        <v>1151573.25</v>
      </c>
      <c r="K480" s="1807">
        <v>1870251.33</v>
      </c>
      <c r="L480" s="1807">
        <v>3053727.54</v>
      </c>
      <c r="M480" s="1807">
        <v>1234100.6599999999</v>
      </c>
      <c r="N480" s="1809">
        <v>2561393.9700000002</v>
      </c>
    </row>
    <row r="481" spans="1:14" ht="13">
      <c r="A481" s="1805" t="s">
        <v>664</v>
      </c>
      <c r="B481" s="1806">
        <v>1168622.06</v>
      </c>
      <c r="C481" s="922">
        <v>0</v>
      </c>
      <c r="D481" s="922">
        <v>0</v>
      </c>
      <c r="E481" s="922">
        <v>0</v>
      </c>
      <c r="F481" s="922">
        <v>0</v>
      </c>
      <c r="G481" s="922">
        <v>0</v>
      </c>
      <c r="H481" s="922">
        <v>0</v>
      </c>
      <c r="I481" s="922">
        <v>0</v>
      </c>
      <c r="J481" s="922">
        <v>0</v>
      </c>
      <c r="K481" s="922">
        <v>0</v>
      </c>
      <c r="L481" s="922">
        <v>0</v>
      </c>
      <c r="M481" s="922">
        <v>0</v>
      </c>
      <c r="N481" s="1809">
        <v>1168622.06</v>
      </c>
    </row>
    <row r="482" spans="1:14" ht="13">
      <c r="A482" s="1805" t="s">
        <v>668</v>
      </c>
      <c r="B482" s="1806">
        <v>5247695.7699999996</v>
      </c>
      <c r="C482" s="1807">
        <v>143528.98000000001</v>
      </c>
      <c r="D482" s="1807">
        <v>448421</v>
      </c>
      <c r="E482" s="1807">
        <v>265585.98</v>
      </c>
      <c r="F482" s="1807">
        <v>409231.24</v>
      </c>
      <c r="G482" s="1807">
        <v>436058.33</v>
      </c>
      <c r="H482" s="1807">
        <v>437463.42</v>
      </c>
      <c r="I482" s="1807">
        <v>476391.26</v>
      </c>
      <c r="J482" s="1807">
        <v>362457.01</v>
      </c>
      <c r="K482" s="1807">
        <v>690590.18</v>
      </c>
      <c r="L482" s="1807">
        <v>1028051.74</v>
      </c>
      <c r="M482" s="1807">
        <v>330989.90000000002</v>
      </c>
      <c r="N482" s="1809">
        <v>218926.72</v>
      </c>
    </row>
    <row r="483" spans="1:14" ht="13">
      <c r="A483" s="1805" t="s">
        <v>652</v>
      </c>
      <c r="B483" s="1806">
        <v>667258.38</v>
      </c>
      <c r="C483" s="1807">
        <v>86256.9</v>
      </c>
      <c r="D483" s="1807">
        <v>103379.58</v>
      </c>
      <c r="E483" s="922">
        <v>0</v>
      </c>
      <c r="F483" s="922">
        <v>0</v>
      </c>
      <c r="G483" s="1807">
        <v>80623.600000000006</v>
      </c>
      <c r="H483" s="1807">
        <v>81340.240000000005</v>
      </c>
      <c r="I483" s="1807">
        <v>94097.25</v>
      </c>
      <c r="J483" s="1807">
        <v>52830.080000000002</v>
      </c>
      <c r="K483" s="1807">
        <v>124800.04</v>
      </c>
      <c r="L483" s="1807">
        <v>43930.69</v>
      </c>
      <c r="M483" s="922">
        <v>0</v>
      </c>
      <c r="N483" s="1808">
        <v>0</v>
      </c>
    </row>
    <row r="484" spans="1:14" ht="13">
      <c r="A484" s="1805" t="s">
        <v>653</v>
      </c>
      <c r="B484" s="1806">
        <v>727892.47999999998</v>
      </c>
      <c r="C484" s="1807">
        <v>44799.74</v>
      </c>
      <c r="D484" s="1807">
        <v>97992.38</v>
      </c>
      <c r="E484" s="1807">
        <v>100647.16</v>
      </c>
      <c r="F484" s="1807">
        <v>80578.92</v>
      </c>
      <c r="G484" s="1807">
        <v>133900.74</v>
      </c>
      <c r="H484" s="922">
        <v>0</v>
      </c>
      <c r="I484" s="1807">
        <v>92370.94</v>
      </c>
      <c r="J484" s="1807">
        <v>66698.320000000007</v>
      </c>
      <c r="K484" s="1807">
        <v>44996.9</v>
      </c>
      <c r="L484" s="1807">
        <v>14481.75</v>
      </c>
      <c r="M484" s="1807">
        <v>51425.64</v>
      </c>
      <c r="N484" s="1808">
        <v>0</v>
      </c>
    </row>
    <row r="485" spans="1:14" ht="13">
      <c r="A485" s="1805" t="s">
        <v>654</v>
      </c>
      <c r="B485" s="1806">
        <v>1709545.29</v>
      </c>
      <c r="C485" s="1807">
        <v>161296.14000000001</v>
      </c>
      <c r="D485" s="922">
        <v>0</v>
      </c>
      <c r="E485" s="1807">
        <v>104355.64</v>
      </c>
      <c r="F485" s="1807">
        <v>334095.75</v>
      </c>
      <c r="G485" s="1807">
        <v>334935.36</v>
      </c>
      <c r="H485" s="1807">
        <v>98389.72</v>
      </c>
      <c r="I485" s="1807">
        <v>17975</v>
      </c>
      <c r="J485" s="1807">
        <v>62747.77</v>
      </c>
      <c r="K485" s="1807">
        <v>149236.99</v>
      </c>
      <c r="L485" s="1807">
        <v>264076.42</v>
      </c>
      <c r="M485" s="922">
        <v>0</v>
      </c>
      <c r="N485" s="1809">
        <v>182436.5</v>
      </c>
    </row>
    <row r="486" spans="1:14" ht="13">
      <c r="A486" s="1805" t="s">
        <v>1570</v>
      </c>
      <c r="B486" s="1806">
        <v>2659159.27</v>
      </c>
      <c r="C486" s="922">
        <v>0</v>
      </c>
      <c r="D486" s="1807">
        <v>172698.5</v>
      </c>
      <c r="E486" s="1807">
        <v>139590.48000000001</v>
      </c>
      <c r="F486" s="1807">
        <v>275162.21999999997</v>
      </c>
      <c r="G486" s="1807">
        <v>291755.23</v>
      </c>
      <c r="H486" s="1807">
        <v>276646.09999999998</v>
      </c>
      <c r="I486" s="1807">
        <v>474608.48</v>
      </c>
      <c r="J486" s="1807">
        <v>-33723.46</v>
      </c>
      <c r="K486" s="1807">
        <v>268140</v>
      </c>
      <c r="L486" s="1807">
        <v>329273.40000000002</v>
      </c>
      <c r="M486" s="1807">
        <v>66582</v>
      </c>
      <c r="N486" s="1809">
        <v>398426.33</v>
      </c>
    </row>
    <row r="487" spans="1:14" ht="13">
      <c r="A487" s="1805" t="s">
        <v>655</v>
      </c>
      <c r="B487" s="1806">
        <v>211007.38</v>
      </c>
      <c r="C487" s="1807">
        <v>51264.5</v>
      </c>
      <c r="D487" s="1807">
        <v>24510</v>
      </c>
      <c r="E487" s="922">
        <v>0</v>
      </c>
      <c r="F487" s="922">
        <v>0</v>
      </c>
      <c r="G487" s="922">
        <v>0</v>
      </c>
      <c r="H487" s="1807">
        <v>96375.08</v>
      </c>
      <c r="I487" s="922">
        <v>0</v>
      </c>
      <c r="J487" s="1807">
        <v>38857.800000000003</v>
      </c>
      <c r="K487" s="922">
        <v>0</v>
      </c>
      <c r="L487" s="922">
        <v>0</v>
      </c>
      <c r="M487" s="922">
        <v>0</v>
      </c>
      <c r="N487" s="1808">
        <v>0</v>
      </c>
    </row>
    <row r="488" spans="1:14" ht="13">
      <c r="A488" s="1805" t="s">
        <v>620</v>
      </c>
      <c r="B488" s="1806">
        <v>2313758.89</v>
      </c>
      <c r="C488" s="922">
        <v>0</v>
      </c>
      <c r="D488" s="922">
        <v>0</v>
      </c>
      <c r="E488" s="922">
        <v>0</v>
      </c>
      <c r="F488" s="1807">
        <v>105028.02</v>
      </c>
      <c r="G488" s="1807">
        <v>140206.39000000001</v>
      </c>
      <c r="H488" s="1807">
        <v>372242.38</v>
      </c>
      <c r="I488" s="1807">
        <v>262279.18</v>
      </c>
      <c r="J488" s="1807">
        <v>139731.35999999999</v>
      </c>
      <c r="K488" s="1807">
        <v>263643.90999999997</v>
      </c>
      <c r="L488" s="1807">
        <v>429747.68</v>
      </c>
      <c r="M488" s="1807">
        <v>139168.39000000001</v>
      </c>
      <c r="N488" s="1809">
        <v>461711.59</v>
      </c>
    </row>
    <row r="489" spans="1:14" ht="13">
      <c r="A489" s="1805" t="s">
        <v>665</v>
      </c>
      <c r="B489" s="1806">
        <v>468683.31</v>
      </c>
      <c r="C489" s="922">
        <v>0</v>
      </c>
      <c r="D489" s="922">
        <v>0</v>
      </c>
      <c r="E489" s="922">
        <v>0</v>
      </c>
      <c r="F489" s="922">
        <v>0</v>
      </c>
      <c r="G489" s="922">
        <v>0</v>
      </c>
      <c r="H489" s="922">
        <v>0</v>
      </c>
      <c r="I489" s="1807">
        <v>171179.8</v>
      </c>
      <c r="J489" s="922">
        <v>0</v>
      </c>
      <c r="K489" s="922">
        <v>0</v>
      </c>
      <c r="L489" s="922">
        <v>0</v>
      </c>
      <c r="M489" s="1807">
        <v>195915.51</v>
      </c>
      <c r="N489" s="1809">
        <v>101588</v>
      </c>
    </row>
    <row r="490" spans="1:14" ht="13">
      <c r="A490" s="1805" t="s">
        <v>541</v>
      </c>
      <c r="B490" s="1806">
        <v>7276422.5199999996</v>
      </c>
      <c r="C490" s="1807">
        <v>449017.57</v>
      </c>
      <c r="D490" s="1807">
        <v>308375.34999999998</v>
      </c>
      <c r="E490" s="1807">
        <v>663943.61</v>
      </c>
      <c r="F490" s="1807">
        <v>458017.49</v>
      </c>
      <c r="G490" s="1807">
        <v>649954.85</v>
      </c>
      <c r="H490" s="1807">
        <v>568448.32999999996</v>
      </c>
      <c r="I490" s="1807">
        <v>259383.73</v>
      </c>
      <c r="J490" s="1807">
        <v>662838.29</v>
      </c>
      <c r="K490" s="1807">
        <v>596956.88</v>
      </c>
      <c r="L490" s="1807">
        <v>1097012.68</v>
      </c>
      <c r="M490" s="1807">
        <v>115649.53</v>
      </c>
      <c r="N490" s="1809">
        <v>1446824.22</v>
      </c>
    </row>
    <row r="491" spans="1:14" ht="13">
      <c r="A491" s="1805" t="s">
        <v>656</v>
      </c>
      <c r="B491" s="1806">
        <v>4949321.8</v>
      </c>
      <c r="C491" s="1807">
        <v>40803.68</v>
      </c>
      <c r="D491" s="1807">
        <v>117091.22</v>
      </c>
      <c r="E491" s="1807">
        <v>30205.59</v>
      </c>
      <c r="F491" s="1807">
        <v>221121.15</v>
      </c>
      <c r="G491" s="1807">
        <v>486345.79</v>
      </c>
      <c r="H491" s="1807">
        <v>467439.55</v>
      </c>
      <c r="I491" s="1807">
        <v>469310.62</v>
      </c>
      <c r="J491" s="1807">
        <v>393009.54</v>
      </c>
      <c r="K491" s="1807">
        <v>513161.91</v>
      </c>
      <c r="L491" s="1807">
        <v>846206.4</v>
      </c>
      <c r="M491" s="1807">
        <v>266184.53999999998</v>
      </c>
      <c r="N491" s="1809">
        <v>1098441.8</v>
      </c>
    </row>
    <row r="492" spans="1:14" ht="13">
      <c r="A492" s="1805" t="s">
        <v>622</v>
      </c>
      <c r="B492" s="1806">
        <v>5071116.78</v>
      </c>
      <c r="C492" s="1807">
        <v>350618.2</v>
      </c>
      <c r="D492" s="1807">
        <v>519190.71</v>
      </c>
      <c r="E492" s="1807">
        <v>225571.3</v>
      </c>
      <c r="F492" s="1807">
        <v>263007.39</v>
      </c>
      <c r="G492" s="1807">
        <v>385707.76</v>
      </c>
      <c r="H492" s="1807">
        <v>393856.92</v>
      </c>
      <c r="I492" s="1807">
        <v>352430.51</v>
      </c>
      <c r="J492" s="1807">
        <v>444458.49</v>
      </c>
      <c r="K492" s="1807">
        <v>496733.13</v>
      </c>
      <c r="L492" s="1807">
        <v>693476</v>
      </c>
      <c r="M492" s="1807">
        <v>615657.71</v>
      </c>
      <c r="N492" s="1809">
        <v>330408.65000000002</v>
      </c>
    </row>
    <row r="493" spans="1:14" ht="13">
      <c r="A493" s="1805" t="s">
        <v>657</v>
      </c>
      <c r="B493" s="1806">
        <v>15490.9</v>
      </c>
      <c r="C493" s="922">
        <v>0</v>
      </c>
      <c r="D493" s="922">
        <v>0</v>
      </c>
      <c r="E493" s="922">
        <v>0</v>
      </c>
      <c r="F493" s="922">
        <v>0</v>
      </c>
      <c r="G493" s="922">
        <v>0</v>
      </c>
      <c r="H493" s="1807">
        <v>15490.9</v>
      </c>
      <c r="I493" s="922">
        <v>0</v>
      </c>
      <c r="J493" s="922">
        <v>0</v>
      </c>
      <c r="K493" s="922">
        <v>0</v>
      </c>
      <c r="L493" s="922">
        <v>0</v>
      </c>
      <c r="M493" s="922">
        <v>0</v>
      </c>
      <c r="N493" s="1808">
        <v>0</v>
      </c>
    </row>
    <row r="494" spans="1:14" ht="13">
      <c r="A494" s="1805" t="s">
        <v>604</v>
      </c>
      <c r="B494" s="1806">
        <v>73196298.469999999</v>
      </c>
      <c r="C494" s="1807">
        <v>3303652.49</v>
      </c>
      <c r="D494" s="1807">
        <v>8480475.5</v>
      </c>
      <c r="E494" s="1807">
        <v>9332962.7899999991</v>
      </c>
      <c r="F494" s="1807">
        <v>4773119.63</v>
      </c>
      <c r="G494" s="1807">
        <v>6222389.4500000002</v>
      </c>
      <c r="H494" s="1807">
        <v>5644689.8200000003</v>
      </c>
      <c r="I494" s="1807">
        <v>8928079.8000000007</v>
      </c>
      <c r="J494" s="1807">
        <v>3934209.04</v>
      </c>
      <c r="K494" s="1807">
        <v>2462199.6</v>
      </c>
      <c r="L494" s="1807">
        <v>5177845.9000000004</v>
      </c>
      <c r="M494" s="1807">
        <v>9481174.5899999999</v>
      </c>
      <c r="N494" s="1809">
        <v>5455499.8600000003</v>
      </c>
    </row>
    <row r="495" spans="1:14" ht="13">
      <c r="A495" s="742"/>
      <c r="B495" s="553"/>
      <c r="C495" s="1789"/>
      <c r="N495" s="1804"/>
    </row>
    <row r="496" spans="1:14" ht="13">
      <c r="A496" s="742"/>
      <c r="B496" s="553"/>
      <c r="C496" s="1789"/>
      <c r="N496" s="1804"/>
    </row>
    <row r="497" spans="1:14" ht="13">
      <c r="A497" s="742"/>
      <c r="B497" s="553"/>
      <c r="C497" s="1789"/>
      <c r="N497" s="1804"/>
    </row>
    <row r="498" spans="1:14" ht="13">
      <c r="A498" s="742"/>
      <c r="B498" s="553"/>
      <c r="C498" s="1789"/>
      <c r="N498" s="1804"/>
    </row>
    <row r="499" spans="1:14" ht="13">
      <c r="A499" s="420"/>
      <c r="B499" s="1810"/>
      <c r="C499" s="1811"/>
      <c r="D499" s="419"/>
      <c r="E499" s="419"/>
      <c r="F499" s="419"/>
      <c r="G499" s="419"/>
      <c r="H499" s="419"/>
      <c r="I499" s="419"/>
      <c r="J499" s="419"/>
      <c r="K499" s="419"/>
      <c r="L499" s="419"/>
      <c r="M499" s="419"/>
      <c r="N499" s="703"/>
    </row>
    <row r="500" spans="1:14" ht="13">
      <c r="B500" s="553"/>
      <c r="C500" s="1789"/>
    </row>
    <row r="501" spans="1:14" ht="13">
      <c r="B501" s="553"/>
      <c r="C501" s="1789"/>
    </row>
    <row r="502" spans="1:14" ht="13">
      <c r="B502" s="553"/>
      <c r="C502" s="1789"/>
    </row>
    <row r="503" spans="1:14" ht="13">
      <c r="A503" s="1790" t="s">
        <v>9</v>
      </c>
      <c r="B503" s="1791" t="s">
        <v>241</v>
      </c>
      <c r="C503" s="1792">
        <v>45292</v>
      </c>
      <c r="D503" s="1793">
        <v>45323</v>
      </c>
      <c r="E503" s="1793">
        <v>45352</v>
      </c>
      <c r="F503" s="1793">
        <v>45383</v>
      </c>
      <c r="G503" s="1793">
        <v>45413</v>
      </c>
      <c r="H503" s="1793">
        <v>45444</v>
      </c>
      <c r="I503" s="1793">
        <v>45474</v>
      </c>
      <c r="J503" s="1793">
        <v>45505</v>
      </c>
      <c r="K503" s="1793">
        <v>45536</v>
      </c>
      <c r="L503" s="1794">
        <v>45566</v>
      </c>
      <c r="M503" s="1794">
        <v>45597</v>
      </c>
      <c r="N503" s="1795">
        <v>45627</v>
      </c>
    </row>
    <row r="504" spans="1:14" ht="13">
      <c r="A504" s="742" t="s">
        <v>241</v>
      </c>
      <c r="B504" s="1801">
        <v>838183390.51999998</v>
      </c>
      <c r="C504" s="1802">
        <v>61718219.560000002</v>
      </c>
      <c r="D504" s="352">
        <v>66615421.060000002</v>
      </c>
      <c r="E504" s="352">
        <v>51611235.829999998</v>
      </c>
      <c r="F504" s="352">
        <v>59025689.170000002</v>
      </c>
      <c r="G504" s="352">
        <v>70481318.989999995</v>
      </c>
      <c r="H504" s="352">
        <v>53242947.100000001</v>
      </c>
      <c r="I504" s="352">
        <v>46804771.229999997</v>
      </c>
      <c r="J504" s="352">
        <v>61745943.960000001</v>
      </c>
      <c r="K504" s="352">
        <v>69736767.430000007</v>
      </c>
      <c r="L504" s="352">
        <v>92812077.359999999</v>
      </c>
      <c r="M504" s="352">
        <v>103490821.19</v>
      </c>
      <c r="N504" s="1803">
        <v>100898177.65000001</v>
      </c>
    </row>
    <row r="505" spans="1:14" ht="13">
      <c r="A505" s="742" t="s">
        <v>686</v>
      </c>
      <c r="B505" s="1801">
        <v>127652807.86</v>
      </c>
      <c r="C505" s="1802">
        <v>5171221.58</v>
      </c>
      <c r="D505" s="352">
        <v>14959432.34</v>
      </c>
      <c r="E505" s="352">
        <v>2198584.13</v>
      </c>
      <c r="F505" s="352">
        <v>7147043.8499999996</v>
      </c>
      <c r="G505" s="352">
        <v>14488613.73</v>
      </c>
      <c r="H505" s="352">
        <v>12021545.689999999</v>
      </c>
      <c r="I505" s="352">
        <v>1838233.2</v>
      </c>
      <c r="J505" s="352">
        <v>6998473.7300000004</v>
      </c>
      <c r="K505" s="352">
        <v>12526110.439999999</v>
      </c>
      <c r="L505" s="352">
        <v>16396098.029999999</v>
      </c>
      <c r="M505" s="352">
        <v>27548437.620000001</v>
      </c>
      <c r="N505" s="1803">
        <v>6359013.5300000003</v>
      </c>
    </row>
    <row r="506" spans="1:14" ht="13">
      <c r="A506" s="742" t="s">
        <v>1701</v>
      </c>
      <c r="B506" s="1801">
        <v>74343927.739999995</v>
      </c>
      <c r="C506" s="1802">
        <v>3425676.63</v>
      </c>
      <c r="D506" s="352">
        <v>3728709.15</v>
      </c>
      <c r="E506" s="352">
        <v>4956006.88</v>
      </c>
      <c r="F506" s="352">
        <v>6603231.9900000002</v>
      </c>
      <c r="G506" s="352">
        <v>4024353.2</v>
      </c>
      <c r="H506" s="352">
        <v>9220318.5299999993</v>
      </c>
      <c r="I506" s="352">
        <v>4239107.72</v>
      </c>
      <c r="J506" s="352">
        <v>4897226.8899999997</v>
      </c>
      <c r="K506" s="352">
        <v>10885775.74</v>
      </c>
      <c r="L506" s="352">
        <v>4949119.38</v>
      </c>
      <c r="M506" s="352">
        <v>7528627.0999999996</v>
      </c>
      <c r="N506" s="1803">
        <v>9885774.5199999996</v>
      </c>
    </row>
    <row r="507" spans="1:14" ht="13">
      <c r="A507" s="742" t="s">
        <v>685</v>
      </c>
      <c r="B507" s="1801">
        <v>69407462.390000001</v>
      </c>
      <c r="C507" s="1802">
        <v>7216590.04</v>
      </c>
      <c r="D507" s="352">
        <v>5207779.1900000004</v>
      </c>
      <c r="E507" s="352">
        <v>6585421.9900000002</v>
      </c>
      <c r="F507" s="352">
        <v>6114528.3200000003</v>
      </c>
      <c r="G507" s="352">
        <v>1563871</v>
      </c>
      <c r="H507" s="352">
        <v>657107.62</v>
      </c>
      <c r="I507" s="352">
        <v>5232391.22</v>
      </c>
      <c r="J507" s="352">
        <v>3866229.87</v>
      </c>
      <c r="K507" s="352">
        <v>7167019.96</v>
      </c>
      <c r="L507" s="352">
        <v>9964265.8300000001</v>
      </c>
      <c r="M507" s="352">
        <v>7161781.0999999996</v>
      </c>
      <c r="N507" s="1803">
        <v>8670476.2599999998</v>
      </c>
    </row>
    <row r="508" spans="1:14" ht="13">
      <c r="A508" s="742" t="s">
        <v>688</v>
      </c>
      <c r="B508" s="1801">
        <v>58374897.520000003</v>
      </c>
      <c r="C508" s="1802">
        <v>5591904.3300000001</v>
      </c>
      <c r="D508" s="352">
        <v>4183244.14</v>
      </c>
      <c r="E508" s="352">
        <v>1674229.78</v>
      </c>
      <c r="F508" s="352">
        <v>3628875.07</v>
      </c>
      <c r="G508" s="352">
        <v>6053986.29</v>
      </c>
      <c r="H508" s="352">
        <v>2199843.23</v>
      </c>
      <c r="I508" s="302">
        <v>0</v>
      </c>
      <c r="J508" s="352">
        <v>1139839.3700000001</v>
      </c>
      <c r="K508" s="352">
        <v>495240.99</v>
      </c>
      <c r="L508" s="352">
        <v>6023177.1600000001</v>
      </c>
      <c r="M508" s="352">
        <v>6920873.4400000004</v>
      </c>
      <c r="N508" s="1803">
        <v>20463683.719999999</v>
      </c>
    </row>
    <row r="509" spans="1:14" ht="13">
      <c r="A509" s="742" t="s">
        <v>693</v>
      </c>
      <c r="B509" s="1801">
        <v>50479945.770000003</v>
      </c>
      <c r="C509" s="1802">
        <v>4010056.93</v>
      </c>
      <c r="D509" s="352">
        <v>1099692.6000000001</v>
      </c>
      <c r="E509" s="352">
        <v>4216543.6900000004</v>
      </c>
      <c r="F509" s="352">
        <v>2401917.19</v>
      </c>
      <c r="G509" s="352">
        <v>10642738.66</v>
      </c>
      <c r="H509" s="352">
        <v>3717698.73</v>
      </c>
      <c r="I509" s="352">
        <v>2419380.08</v>
      </c>
      <c r="J509" s="352">
        <v>5564601.7199999997</v>
      </c>
      <c r="K509" s="352">
        <v>4459201.84</v>
      </c>
      <c r="L509" s="352">
        <v>1996001.11</v>
      </c>
      <c r="M509" s="352">
        <v>6018461.7999999998</v>
      </c>
      <c r="N509" s="1803">
        <v>3933651.42</v>
      </c>
    </row>
    <row r="510" spans="1:14" ht="13">
      <c r="A510" s="742" t="s">
        <v>695</v>
      </c>
      <c r="B510" s="1801">
        <v>38576528.009999998</v>
      </c>
      <c r="C510" s="1802">
        <v>2331080.4</v>
      </c>
      <c r="D510" s="352">
        <v>3191262.39</v>
      </c>
      <c r="E510" s="352">
        <v>3187212.54</v>
      </c>
      <c r="F510" s="352">
        <v>2400847.25</v>
      </c>
      <c r="G510" s="352">
        <v>2894238.94</v>
      </c>
      <c r="H510" s="352">
        <v>2758147.01</v>
      </c>
      <c r="I510" s="352">
        <v>3495891.07</v>
      </c>
      <c r="J510" s="352">
        <v>3033927.37</v>
      </c>
      <c r="K510" s="352">
        <v>2483991.37</v>
      </c>
      <c r="L510" s="352">
        <v>4023930.44</v>
      </c>
      <c r="M510" s="352">
        <v>3611572.63</v>
      </c>
      <c r="N510" s="1803">
        <v>5164426.59</v>
      </c>
    </row>
    <row r="511" spans="1:14" ht="13">
      <c r="A511" s="742" t="s">
        <v>731</v>
      </c>
      <c r="B511" s="1801">
        <v>34712805.219999999</v>
      </c>
      <c r="C511" s="1802">
        <v>2656336.2400000002</v>
      </c>
      <c r="D511" s="352">
        <v>1974514</v>
      </c>
      <c r="E511" s="352">
        <v>2840151.36</v>
      </c>
      <c r="F511" s="352">
        <v>3192410.56</v>
      </c>
      <c r="G511" s="352">
        <v>3232944.86</v>
      </c>
      <c r="H511" s="352">
        <v>1845254.82</v>
      </c>
      <c r="I511" s="352">
        <v>3494586.16</v>
      </c>
      <c r="J511" s="352">
        <v>3195061.92</v>
      </c>
      <c r="K511" s="352">
        <v>2183393.04</v>
      </c>
      <c r="L511" s="352">
        <v>3193146.08</v>
      </c>
      <c r="M511" s="352">
        <v>3332379.6</v>
      </c>
      <c r="N511" s="1803">
        <v>3572626.58</v>
      </c>
    </row>
    <row r="512" spans="1:14" ht="13">
      <c r="A512" s="742" t="s">
        <v>717</v>
      </c>
      <c r="B512" s="1801">
        <v>27844460.190000001</v>
      </c>
      <c r="C512" s="1802">
        <v>2838688.85</v>
      </c>
      <c r="D512" s="352">
        <v>4127510.44</v>
      </c>
      <c r="E512" s="352">
        <v>2154456.92</v>
      </c>
      <c r="F512" s="352">
        <v>2727341</v>
      </c>
      <c r="G512" s="352">
        <v>908073.66</v>
      </c>
      <c r="H512" s="302">
        <v>0</v>
      </c>
      <c r="I512" s="352">
        <v>2018668.58</v>
      </c>
      <c r="J512" s="352">
        <v>3055110.14</v>
      </c>
      <c r="K512" s="352">
        <v>2417455.66</v>
      </c>
      <c r="L512" s="352">
        <v>2171398.54</v>
      </c>
      <c r="M512" s="352">
        <v>1656609.57</v>
      </c>
      <c r="N512" s="1803">
        <v>3769146.84</v>
      </c>
    </row>
    <row r="513" spans="1:14" ht="13">
      <c r="A513" s="742" t="s">
        <v>699</v>
      </c>
      <c r="B513" s="1801">
        <v>22704857.280000001</v>
      </c>
      <c r="C513" s="1802">
        <v>1124800.43</v>
      </c>
      <c r="D513" s="352">
        <v>653844.85</v>
      </c>
      <c r="E513" s="352">
        <v>963526.05</v>
      </c>
      <c r="F513" s="352">
        <v>704395.16</v>
      </c>
      <c r="G513" s="352">
        <v>1224864.08</v>
      </c>
      <c r="H513" s="352">
        <v>888098.14</v>
      </c>
      <c r="I513" s="352">
        <v>2049400.42</v>
      </c>
      <c r="J513" s="352">
        <v>2980101.13</v>
      </c>
      <c r="K513" s="352">
        <v>1672402.61</v>
      </c>
      <c r="L513" s="352">
        <v>3169427.14</v>
      </c>
      <c r="M513" s="352">
        <v>3663867.64</v>
      </c>
      <c r="N513" s="1803">
        <v>3610129.62</v>
      </c>
    </row>
    <row r="514" spans="1:14" ht="13">
      <c r="A514" s="742" t="s">
        <v>691</v>
      </c>
      <c r="B514" s="1801">
        <v>22520325.829999998</v>
      </c>
      <c r="C514" s="1789">
        <v>0</v>
      </c>
      <c r="D514" s="302">
        <v>0</v>
      </c>
      <c r="E514" s="302">
        <v>0</v>
      </c>
      <c r="F514" s="302">
        <v>0</v>
      </c>
      <c r="G514" s="302">
        <v>0</v>
      </c>
      <c r="H514" s="352">
        <v>261836.76</v>
      </c>
      <c r="I514" s="352">
        <v>274199.95</v>
      </c>
      <c r="J514" s="302">
        <v>0</v>
      </c>
      <c r="K514" s="352">
        <v>2219040.9</v>
      </c>
      <c r="L514" s="352">
        <v>9265298.4100000001</v>
      </c>
      <c r="M514" s="352">
        <v>7317398.9699999997</v>
      </c>
      <c r="N514" s="1803">
        <v>3182550.85</v>
      </c>
    </row>
    <row r="515" spans="1:14" ht="13">
      <c r="A515" s="742" t="s">
        <v>732</v>
      </c>
      <c r="B515" s="1801">
        <v>20099518.640000001</v>
      </c>
      <c r="C515" s="1802">
        <v>1129090.18</v>
      </c>
      <c r="D515" s="352">
        <v>2085788.6</v>
      </c>
      <c r="E515" s="352">
        <v>2038961.69</v>
      </c>
      <c r="F515" s="352">
        <v>1396375.27</v>
      </c>
      <c r="G515" s="352">
        <v>2961620.03</v>
      </c>
      <c r="H515" s="352">
        <v>1940897.31</v>
      </c>
      <c r="I515" s="352">
        <v>1222845.68</v>
      </c>
      <c r="J515" s="352">
        <v>1291791.03</v>
      </c>
      <c r="K515" s="352">
        <v>1583847.61</v>
      </c>
      <c r="L515" s="352">
        <v>1302136.22</v>
      </c>
      <c r="M515" s="352">
        <v>1426229.05</v>
      </c>
      <c r="N515" s="1803">
        <v>1719935.98</v>
      </c>
    </row>
    <row r="516" spans="1:14" ht="13">
      <c r="A516" s="742" t="s">
        <v>753</v>
      </c>
      <c r="B516" s="1801">
        <v>19656076.859999999</v>
      </c>
      <c r="C516" s="1802">
        <v>1350284.48</v>
      </c>
      <c r="D516" s="352">
        <v>1732345.71</v>
      </c>
      <c r="E516" s="352">
        <v>1194454.6100000001</v>
      </c>
      <c r="F516" s="352">
        <v>1831152.49</v>
      </c>
      <c r="G516" s="352">
        <v>1265350.17</v>
      </c>
      <c r="H516" s="352">
        <v>1398083.26</v>
      </c>
      <c r="I516" s="352">
        <v>1719943.36</v>
      </c>
      <c r="J516" s="352">
        <v>1748087.12</v>
      </c>
      <c r="K516" s="352">
        <v>1545483.02</v>
      </c>
      <c r="L516" s="352">
        <v>2269204.0699999998</v>
      </c>
      <c r="M516" s="352">
        <v>1766756.57</v>
      </c>
      <c r="N516" s="1803">
        <v>1834932.01</v>
      </c>
    </row>
    <row r="517" spans="1:14" ht="13">
      <c r="A517" s="742" t="s">
        <v>719</v>
      </c>
      <c r="B517" s="1801">
        <v>18256522.02</v>
      </c>
      <c r="C517" s="1802">
        <v>1556208.04</v>
      </c>
      <c r="D517" s="352">
        <v>3453423.75</v>
      </c>
      <c r="E517" s="352">
        <v>683087.02</v>
      </c>
      <c r="F517" s="352">
        <v>1979725.14</v>
      </c>
      <c r="G517" s="352">
        <v>4023755.92</v>
      </c>
      <c r="H517" s="352">
        <v>221020.03</v>
      </c>
      <c r="I517" s="352">
        <v>874734.63</v>
      </c>
      <c r="J517" s="302">
        <v>0</v>
      </c>
      <c r="K517" s="352">
        <v>2168432.96</v>
      </c>
      <c r="L517" s="352">
        <v>1085633.55</v>
      </c>
      <c r="M517" s="302">
        <v>0</v>
      </c>
      <c r="N517" s="1803">
        <v>2210500.9900000002</v>
      </c>
    </row>
    <row r="518" spans="1:14" ht="13">
      <c r="A518" s="742" t="s">
        <v>708</v>
      </c>
      <c r="B518" s="1801">
        <v>15985759.07</v>
      </c>
      <c r="C518" s="1802">
        <v>330160.48</v>
      </c>
      <c r="D518" s="352">
        <v>560993.75</v>
      </c>
      <c r="E518" s="352">
        <v>547132.68999999994</v>
      </c>
      <c r="F518" s="352">
        <v>649213.46</v>
      </c>
      <c r="G518" s="352">
        <v>605799.07999999996</v>
      </c>
      <c r="H518" s="352">
        <v>825456.57</v>
      </c>
      <c r="I518" s="352">
        <v>1286316.1399999999</v>
      </c>
      <c r="J518" s="352">
        <v>1805100.1</v>
      </c>
      <c r="K518" s="352">
        <v>1792975.38</v>
      </c>
      <c r="L518" s="352">
        <v>2184227.34</v>
      </c>
      <c r="M518" s="352">
        <v>2142146.87</v>
      </c>
      <c r="N518" s="1803">
        <v>3256237.21</v>
      </c>
    </row>
    <row r="519" spans="1:14" ht="13">
      <c r="A519" s="742" t="s">
        <v>726</v>
      </c>
      <c r="B519" s="1801">
        <v>14999452.07</v>
      </c>
      <c r="C519" s="1802">
        <v>820676.7</v>
      </c>
      <c r="D519" s="352">
        <v>1608823.98</v>
      </c>
      <c r="E519" s="352">
        <v>668373.61</v>
      </c>
      <c r="F519" s="352">
        <v>1315176.96</v>
      </c>
      <c r="G519" s="352">
        <v>891694.56</v>
      </c>
      <c r="H519" s="352">
        <v>1554176.95</v>
      </c>
      <c r="I519" s="352">
        <v>643605.59</v>
      </c>
      <c r="J519" s="352">
        <v>1253228.68</v>
      </c>
      <c r="K519" s="352">
        <v>1329234.1299999999</v>
      </c>
      <c r="L519" s="352">
        <v>1426781.41</v>
      </c>
      <c r="M519" s="352">
        <v>1437350.17</v>
      </c>
      <c r="N519" s="1803">
        <v>2050329.34</v>
      </c>
    </row>
    <row r="520" spans="1:14" ht="13">
      <c r="A520" s="742" t="s">
        <v>743</v>
      </c>
      <c r="B520" s="1801">
        <v>14792786.65</v>
      </c>
      <c r="C520" s="1802">
        <v>386964.72</v>
      </c>
      <c r="D520" s="352">
        <v>1167565.31</v>
      </c>
      <c r="E520" s="352">
        <v>1030954.93</v>
      </c>
      <c r="F520" s="352">
        <v>1575321.6000000001</v>
      </c>
      <c r="G520" s="352">
        <v>1781396.42</v>
      </c>
      <c r="H520" s="352">
        <v>1101667.98</v>
      </c>
      <c r="I520" s="352">
        <v>1305341.42</v>
      </c>
      <c r="J520" s="352">
        <v>1542234.16</v>
      </c>
      <c r="K520" s="352">
        <v>1296703.1000000001</v>
      </c>
      <c r="L520" s="352">
        <v>1181296.95</v>
      </c>
      <c r="M520" s="352">
        <v>1276291.71</v>
      </c>
      <c r="N520" s="1803">
        <v>1147048.3600000001</v>
      </c>
    </row>
    <row r="521" spans="1:14" ht="13">
      <c r="A521" s="742" t="s">
        <v>727</v>
      </c>
      <c r="B521" s="1801">
        <v>13729343.890000001</v>
      </c>
      <c r="C521" s="1802">
        <v>965482.8</v>
      </c>
      <c r="D521" s="352">
        <v>471178.8</v>
      </c>
      <c r="E521" s="352">
        <v>480630.8</v>
      </c>
      <c r="F521" s="352">
        <v>1425143.47</v>
      </c>
      <c r="G521" s="352">
        <v>380158.44</v>
      </c>
      <c r="H521" s="352">
        <v>918704.8</v>
      </c>
      <c r="I521" s="352">
        <v>1398925.2</v>
      </c>
      <c r="J521" s="352">
        <v>1700752.4</v>
      </c>
      <c r="K521" s="352">
        <v>983452.8</v>
      </c>
      <c r="L521" s="352">
        <v>2277423.58</v>
      </c>
      <c r="M521" s="352">
        <v>1270712.8</v>
      </c>
      <c r="N521" s="1803">
        <v>1456778</v>
      </c>
    </row>
    <row r="522" spans="1:14" ht="13">
      <c r="A522" s="742" t="s">
        <v>697</v>
      </c>
      <c r="B522" s="1801">
        <v>11849181.630000001</v>
      </c>
      <c r="C522" s="1802">
        <v>2040870.48</v>
      </c>
      <c r="D522" s="352">
        <v>246233.44</v>
      </c>
      <c r="E522" s="352">
        <v>153231.76</v>
      </c>
      <c r="F522" s="352">
        <v>249152.01</v>
      </c>
      <c r="G522" s="352">
        <v>61950.78</v>
      </c>
      <c r="H522" s="352">
        <v>58308.71</v>
      </c>
      <c r="I522" s="352">
        <v>108973.96</v>
      </c>
      <c r="J522" s="352">
        <v>645925.34</v>
      </c>
      <c r="K522" s="352">
        <v>1214408.1000000001</v>
      </c>
      <c r="L522" s="352">
        <v>3167579.36</v>
      </c>
      <c r="M522" s="352">
        <v>2371637.17</v>
      </c>
      <c r="N522" s="1803">
        <v>1530910.54</v>
      </c>
    </row>
    <row r="523" spans="1:14" ht="13">
      <c r="A523" s="742" t="s">
        <v>700</v>
      </c>
      <c r="B523" s="1801">
        <v>11633913.810000001</v>
      </c>
      <c r="C523" s="1802">
        <v>1029754.19</v>
      </c>
      <c r="D523" s="352">
        <v>232697.16</v>
      </c>
      <c r="E523" s="352">
        <v>980318.02</v>
      </c>
      <c r="F523" s="352">
        <v>909111.29</v>
      </c>
      <c r="G523" s="352">
        <v>917977.62</v>
      </c>
      <c r="H523" s="352">
        <v>1236068.3400000001</v>
      </c>
      <c r="I523" s="352">
        <v>934454</v>
      </c>
      <c r="J523" s="352">
        <v>1633354.67</v>
      </c>
      <c r="K523" s="352">
        <v>504902.59</v>
      </c>
      <c r="L523" s="352">
        <v>1146797.5900000001</v>
      </c>
      <c r="M523" s="352">
        <v>1188192.1299999999</v>
      </c>
      <c r="N523" s="1803">
        <v>920286.21</v>
      </c>
    </row>
    <row r="524" spans="1:14" ht="13">
      <c r="A524" s="742" t="s">
        <v>722</v>
      </c>
      <c r="B524" s="1801">
        <v>11030216.380000001</v>
      </c>
      <c r="C524" s="1802">
        <v>1724405.95</v>
      </c>
      <c r="D524" s="352">
        <v>864668.43</v>
      </c>
      <c r="E524" s="352">
        <v>152775.16</v>
      </c>
      <c r="F524" s="352">
        <v>850522.97</v>
      </c>
      <c r="G524" s="352">
        <v>1062841.31</v>
      </c>
      <c r="H524" s="352">
        <v>1569484.26</v>
      </c>
      <c r="I524" s="352">
        <v>420442.11</v>
      </c>
      <c r="J524" s="352">
        <v>1541760.19</v>
      </c>
      <c r="K524" s="352">
        <v>230178.42</v>
      </c>
      <c r="L524" s="352">
        <v>427607.67</v>
      </c>
      <c r="M524" s="352">
        <v>1141521.24</v>
      </c>
      <c r="N524" s="1803">
        <v>1044008.67</v>
      </c>
    </row>
    <row r="525" spans="1:14" ht="13">
      <c r="A525" s="742" t="s">
        <v>756</v>
      </c>
      <c r="B525" s="1801">
        <v>10027769.109999999</v>
      </c>
      <c r="C525" s="1802">
        <v>619984.72</v>
      </c>
      <c r="D525" s="352">
        <v>443533.76</v>
      </c>
      <c r="E525" s="352">
        <v>807438.48</v>
      </c>
      <c r="F525" s="352">
        <v>1012690.68</v>
      </c>
      <c r="G525" s="352">
        <v>983664.73</v>
      </c>
      <c r="H525" s="352">
        <v>870920.26</v>
      </c>
      <c r="I525" s="352">
        <v>1224332.72</v>
      </c>
      <c r="J525" s="352">
        <v>1262896.32</v>
      </c>
      <c r="K525" s="352">
        <v>872320.4</v>
      </c>
      <c r="L525" s="352">
        <v>568442.48</v>
      </c>
      <c r="M525" s="352">
        <v>533229.76</v>
      </c>
      <c r="N525" s="1803">
        <v>828314.8</v>
      </c>
    </row>
    <row r="526" spans="1:14" ht="13">
      <c r="A526" s="742" t="s">
        <v>721</v>
      </c>
      <c r="B526" s="1801">
        <v>9019958</v>
      </c>
      <c r="C526" s="1802">
        <v>1027922.24</v>
      </c>
      <c r="D526" s="352">
        <v>439182.96</v>
      </c>
      <c r="E526" s="352">
        <v>614063.49</v>
      </c>
      <c r="F526" s="352">
        <v>580842.30000000005</v>
      </c>
      <c r="G526" s="352">
        <v>866334.45</v>
      </c>
      <c r="H526" s="352">
        <v>556684.67000000004</v>
      </c>
      <c r="I526" s="352">
        <v>442931.18</v>
      </c>
      <c r="J526" s="352">
        <v>1768084.17</v>
      </c>
      <c r="K526" s="352">
        <v>901529.59</v>
      </c>
      <c r="L526" s="352">
        <v>399659.86</v>
      </c>
      <c r="M526" s="352">
        <v>543680.82999999996</v>
      </c>
      <c r="N526" s="1803">
        <v>879042.27</v>
      </c>
    </row>
    <row r="527" spans="1:14" ht="13">
      <c r="A527" s="742" t="s">
        <v>724</v>
      </c>
      <c r="B527" s="1801">
        <v>8952174.75</v>
      </c>
      <c r="C527" s="1802">
        <v>613486.97</v>
      </c>
      <c r="D527" s="352">
        <v>663346.34</v>
      </c>
      <c r="E527" s="352">
        <v>390222.08000000002</v>
      </c>
      <c r="F527" s="352">
        <v>459570.24</v>
      </c>
      <c r="G527" s="352">
        <v>375132.48</v>
      </c>
      <c r="H527" s="352">
        <v>387201.4</v>
      </c>
      <c r="I527" s="352">
        <v>816517.28</v>
      </c>
      <c r="J527" s="352">
        <v>912413.2</v>
      </c>
      <c r="K527" s="352">
        <v>1058912.32</v>
      </c>
      <c r="L527" s="352">
        <v>1208412.56</v>
      </c>
      <c r="M527" s="352">
        <v>1154987.72</v>
      </c>
      <c r="N527" s="1803">
        <v>911972.16</v>
      </c>
    </row>
    <row r="528" spans="1:14" ht="13">
      <c r="A528" s="742" t="s">
        <v>1263</v>
      </c>
      <c r="B528" s="1801">
        <v>8346383.4500000002</v>
      </c>
      <c r="C528" s="1802">
        <v>2372777.2000000002</v>
      </c>
      <c r="D528" s="352">
        <v>3479388.61</v>
      </c>
      <c r="E528" s="352">
        <v>2494217.65</v>
      </c>
      <c r="F528" s="302">
        <v>0</v>
      </c>
      <c r="G528" s="302">
        <v>0</v>
      </c>
      <c r="H528" s="302">
        <v>0</v>
      </c>
      <c r="I528" s="302">
        <v>0</v>
      </c>
      <c r="J528" s="302">
        <v>0</v>
      </c>
      <c r="K528" s="302">
        <v>0</v>
      </c>
      <c r="L528" s="302">
        <v>0</v>
      </c>
      <c r="M528" s="302">
        <v>0</v>
      </c>
      <c r="N528" s="1804">
        <v>0</v>
      </c>
    </row>
    <row r="529" spans="1:14" ht="13">
      <c r="A529" s="742" t="s">
        <v>730</v>
      </c>
      <c r="B529" s="1801">
        <v>6800922.5099999998</v>
      </c>
      <c r="C529" s="1802">
        <v>886450.98</v>
      </c>
      <c r="D529" s="352">
        <v>593341.65</v>
      </c>
      <c r="E529" s="352">
        <v>324427.15000000002</v>
      </c>
      <c r="F529" s="352">
        <v>1228849.49</v>
      </c>
      <c r="G529" s="352">
        <v>154922.72</v>
      </c>
      <c r="H529" s="352">
        <v>123024.54</v>
      </c>
      <c r="I529" s="352">
        <v>842257.62</v>
      </c>
      <c r="J529" s="352">
        <v>500608.22</v>
      </c>
      <c r="K529" s="352">
        <v>339836.4</v>
      </c>
      <c r="L529" s="352">
        <v>787220.87</v>
      </c>
      <c r="M529" s="352">
        <v>176852.18</v>
      </c>
      <c r="N529" s="1803">
        <v>843130.7</v>
      </c>
    </row>
    <row r="530" spans="1:14" ht="13">
      <c r="A530" s="742" t="s">
        <v>723</v>
      </c>
      <c r="B530" s="1801">
        <v>6717507.0199999996</v>
      </c>
      <c r="C530" s="1802">
        <v>925502.87</v>
      </c>
      <c r="D530" s="352">
        <v>302339.73</v>
      </c>
      <c r="E530" s="352">
        <v>1480282.25</v>
      </c>
      <c r="F530" s="352">
        <v>263608.46999999997</v>
      </c>
      <c r="G530" s="352">
        <v>562093.72</v>
      </c>
      <c r="H530" s="302">
        <v>0</v>
      </c>
      <c r="I530" s="352">
        <v>596724.84</v>
      </c>
      <c r="J530" s="352">
        <v>745602</v>
      </c>
      <c r="K530" s="352">
        <v>124836.07</v>
      </c>
      <c r="L530" s="352">
        <v>780699.83</v>
      </c>
      <c r="M530" s="352">
        <v>397014.3</v>
      </c>
      <c r="N530" s="1803">
        <v>538802.94999999995</v>
      </c>
    </row>
    <row r="531" spans="1:14" ht="13">
      <c r="A531" s="742" t="s">
        <v>761</v>
      </c>
      <c r="B531" s="1801">
        <v>6436362.3200000003</v>
      </c>
      <c r="C531" s="1802">
        <v>272531.40000000002</v>
      </c>
      <c r="D531" s="352">
        <v>884321.56</v>
      </c>
      <c r="E531" s="352">
        <v>585066.34</v>
      </c>
      <c r="F531" s="352">
        <v>483105.92</v>
      </c>
      <c r="G531" s="352">
        <v>426147.12</v>
      </c>
      <c r="H531" s="352">
        <v>367183.38</v>
      </c>
      <c r="I531" s="352">
        <v>464292.46</v>
      </c>
      <c r="J531" s="352">
        <v>585605.9</v>
      </c>
      <c r="K531" s="352">
        <v>791190.9</v>
      </c>
      <c r="L531" s="352">
        <v>524902.76</v>
      </c>
      <c r="M531" s="352">
        <v>636175.29</v>
      </c>
      <c r="N531" s="1803">
        <v>415839.28</v>
      </c>
    </row>
    <row r="532" spans="1:14" ht="13">
      <c r="A532" s="742" t="s">
        <v>772</v>
      </c>
      <c r="B532" s="1801">
        <v>6345191.1500000004</v>
      </c>
      <c r="C532" s="1802">
        <v>994801.58</v>
      </c>
      <c r="D532" s="352">
        <v>-303541.26</v>
      </c>
      <c r="E532" s="352">
        <v>271152.68</v>
      </c>
      <c r="F532" s="352">
        <v>231485.44</v>
      </c>
      <c r="G532" s="352">
        <v>649734.26</v>
      </c>
      <c r="H532" s="352">
        <v>459524.07</v>
      </c>
      <c r="I532" s="352">
        <v>713090.84</v>
      </c>
      <c r="J532" s="352">
        <v>777003.74</v>
      </c>
      <c r="K532" s="352">
        <v>811496.4</v>
      </c>
      <c r="L532" s="352">
        <v>774741.04</v>
      </c>
      <c r="M532" s="352">
        <v>741436.06</v>
      </c>
      <c r="N532" s="1803">
        <v>224266.3</v>
      </c>
    </row>
    <row r="533" spans="1:14" ht="13">
      <c r="A533" s="742" t="s">
        <v>758</v>
      </c>
      <c r="B533" s="1801">
        <v>6234278.1299999999</v>
      </c>
      <c r="C533" s="1802">
        <v>476847.54</v>
      </c>
      <c r="D533" s="352">
        <v>590116.16</v>
      </c>
      <c r="E533" s="352">
        <v>291218.32</v>
      </c>
      <c r="F533" s="352">
        <v>630012.18999999994</v>
      </c>
      <c r="G533" s="352">
        <v>707939.38</v>
      </c>
      <c r="H533" s="352">
        <v>409446.23</v>
      </c>
      <c r="I533" s="352">
        <v>629475.12</v>
      </c>
      <c r="J533" s="352">
        <v>367638.62</v>
      </c>
      <c r="K533" s="352">
        <v>494809.92</v>
      </c>
      <c r="L533" s="352">
        <v>534257.76</v>
      </c>
      <c r="M533" s="352">
        <v>468715.68</v>
      </c>
      <c r="N533" s="1803">
        <v>633801.19999999995</v>
      </c>
    </row>
    <row r="534" spans="1:14" ht="13">
      <c r="A534" s="742" t="s">
        <v>734</v>
      </c>
      <c r="B534" s="1801">
        <v>6181296.5899999999</v>
      </c>
      <c r="C534" s="1802">
        <v>1129015.6599999999</v>
      </c>
      <c r="D534" s="352">
        <v>596585.62</v>
      </c>
      <c r="E534" s="302">
        <v>0</v>
      </c>
      <c r="F534" s="352">
        <v>405694.43</v>
      </c>
      <c r="G534" s="352">
        <v>1097873.81</v>
      </c>
      <c r="H534" s="302">
        <v>0</v>
      </c>
      <c r="I534" s="352">
        <v>448205.24</v>
      </c>
      <c r="J534" s="352">
        <v>769836.53</v>
      </c>
      <c r="K534" s="302">
        <v>0</v>
      </c>
      <c r="L534" s="352">
        <v>549415.98</v>
      </c>
      <c r="M534" s="352">
        <v>538014.63</v>
      </c>
      <c r="N534" s="1803">
        <v>646654.69999999995</v>
      </c>
    </row>
    <row r="535" spans="1:14" ht="13">
      <c r="A535" s="742" t="s">
        <v>716</v>
      </c>
      <c r="B535" s="1801">
        <v>6097597.04</v>
      </c>
      <c r="C535" s="1802">
        <v>449408.4</v>
      </c>
      <c r="D535" s="352">
        <v>1637355.23</v>
      </c>
      <c r="E535" s="352">
        <v>1069534.82</v>
      </c>
      <c r="F535" s="352">
        <v>390969.67</v>
      </c>
      <c r="G535" s="302">
        <v>0</v>
      </c>
      <c r="H535" s="302">
        <v>0</v>
      </c>
      <c r="I535" s="302">
        <v>0</v>
      </c>
      <c r="J535" s="302">
        <v>0</v>
      </c>
      <c r="K535" s="352">
        <v>578961.91</v>
      </c>
      <c r="L535" s="352">
        <v>598353.37</v>
      </c>
      <c r="M535" s="352">
        <v>864634.63</v>
      </c>
      <c r="N535" s="1803">
        <v>508379.03</v>
      </c>
    </row>
    <row r="536" spans="1:14" ht="13">
      <c r="A536" s="742" t="s">
        <v>713</v>
      </c>
      <c r="B536" s="1801">
        <v>5598708.5899999999</v>
      </c>
      <c r="C536" s="1802">
        <v>459987.23</v>
      </c>
      <c r="D536" s="352">
        <v>796307.05</v>
      </c>
      <c r="E536" s="352">
        <v>246010.89</v>
      </c>
      <c r="F536" s="352">
        <v>183977.1</v>
      </c>
      <c r="G536" s="352">
        <v>259438.47</v>
      </c>
      <c r="H536" s="352">
        <v>352754.79</v>
      </c>
      <c r="I536" s="352">
        <v>597844.92000000004</v>
      </c>
      <c r="J536" s="352">
        <v>545651.1</v>
      </c>
      <c r="K536" s="352">
        <v>720538.28</v>
      </c>
      <c r="L536" s="352">
        <v>51756.55</v>
      </c>
      <c r="M536" s="352">
        <v>865558.92</v>
      </c>
      <c r="N536" s="1803">
        <v>518883.3</v>
      </c>
    </row>
    <row r="537" spans="1:14" ht="13">
      <c r="A537" s="742" t="s">
        <v>747</v>
      </c>
      <c r="B537" s="1801">
        <v>5400997.5199999996</v>
      </c>
      <c r="C537" s="1802">
        <v>345498.65</v>
      </c>
      <c r="D537" s="352">
        <v>597095.52</v>
      </c>
      <c r="E537" s="352">
        <v>506042.12</v>
      </c>
      <c r="F537" s="352">
        <v>424822.81</v>
      </c>
      <c r="G537" s="352">
        <v>411022.66</v>
      </c>
      <c r="H537" s="352">
        <v>316279.53999999998</v>
      </c>
      <c r="I537" s="352">
        <v>508853.36</v>
      </c>
      <c r="J537" s="352">
        <v>339205.66</v>
      </c>
      <c r="K537" s="352">
        <v>293218.88</v>
      </c>
      <c r="L537" s="352">
        <v>489234.96</v>
      </c>
      <c r="M537" s="352">
        <v>518351.92</v>
      </c>
      <c r="N537" s="1803">
        <v>651371.43999999994</v>
      </c>
    </row>
    <row r="538" spans="1:14" ht="13">
      <c r="A538" s="742" t="s">
        <v>808</v>
      </c>
      <c r="B538" s="1801">
        <v>5357942.83</v>
      </c>
      <c r="C538" s="1802">
        <v>326174.39</v>
      </c>
      <c r="D538" s="352">
        <v>331723.87</v>
      </c>
      <c r="E538" s="352">
        <v>104049.2</v>
      </c>
      <c r="F538" s="352">
        <v>364563.20000000001</v>
      </c>
      <c r="G538" s="352">
        <v>183195.29</v>
      </c>
      <c r="H538" s="352">
        <v>342676.91</v>
      </c>
      <c r="I538" s="352">
        <v>496988.82</v>
      </c>
      <c r="J538" s="352">
        <v>528191.59</v>
      </c>
      <c r="K538" s="352">
        <v>541630.93000000005</v>
      </c>
      <c r="L538" s="352">
        <v>757302.93</v>
      </c>
      <c r="M538" s="352">
        <v>651414.73</v>
      </c>
      <c r="N538" s="1803">
        <v>730030.97</v>
      </c>
    </row>
    <row r="539" spans="1:14" ht="13">
      <c r="A539" s="742" t="s">
        <v>776</v>
      </c>
      <c r="B539" s="1801">
        <v>5218209.62</v>
      </c>
      <c r="C539" s="1802">
        <v>495250.16</v>
      </c>
      <c r="D539" s="352">
        <v>315333.15999999997</v>
      </c>
      <c r="E539" s="352">
        <v>261101.29</v>
      </c>
      <c r="F539" s="352">
        <v>412794.14</v>
      </c>
      <c r="G539" s="352">
        <v>577446.26</v>
      </c>
      <c r="H539" s="352">
        <v>209879.51</v>
      </c>
      <c r="I539" s="302">
        <v>0</v>
      </c>
      <c r="J539" s="352">
        <v>47013.27</v>
      </c>
      <c r="K539" s="352">
        <v>216218.64</v>
      </c>
      <c r="L539" s="352">
        <v>1166147.51</v>
      </c>
      <c r="M539" s="352">
        <v>1351447.93</v>
      </c>
      <c r="N539" s="1803">
        <v>165577.76</v>
      </c>
    </row>
    <row r="540" spans="1:14" ht="13">
      <c r="A540" s="742" t="s">
        <v>718</v>
      </c>
      <c r="B540" s="1801">
        <v>4332824.2</v>
      </c>
      <c r="C540" s="1802">
        <v>330099.90000000002</v>
      </c>
      <c r="D540" s="352">
        <v>378799.93</v>
      </c>
      <c r="E540" s="352">
        <v>460643.2</v>
      </c>
      <c r="F540" s="352">
        <v>67949.81</v>
      </c>
      <c r="G540" s="352">
        <v>259548.11</v>
      </c>
      <c r="H540" s="352">
        <v>104032.2</v>
      </c>
      <c r="I540" s="352">
        <v>332701.61</v>
      </c>
      <c r="J540" s="352">
        <v>1092641.68</v>
      </c>
      <c r="K540" s="352">
        <v>147027.26999999999</v>
      </c>
      <c r="L540" s="352">
        <v>358078.89</v>
      </c>
      <c r="M540" s="302">
        <v>0</v>
      </c>
      <c r="N540" s="1803">
        <v>801301.59</v>
      </c>
    </row>
    <row r="541" spans="1:14" ht="13">
      <c r="A541" s="742" t="s">
        <v>1702</v>
      </c>
      <c r="B541" s="1801">
        <v>2991660.42</v>
      </c>
      <c r="C541" s="1802">
        <v>296016</v>
      </c>
      <c r="D541" s="302">
        <v>0</v>
      </c>
      <c r="E541" s="352">
        <v>675537.35</v>
      </c>
      <c r="F541" s="302">
        <v>0</v>
      </c>
      <c r="G541" s="352">
        <v>703186.75</v>
      </c>
      <c r="H541" s="352">
        <v>1316920.3200000001</v>
      </c>
      <c r="I541" s="302">
        <v>0</v>
      </c>
      <c r="J541" s="302">
        <v>0</v>
      </c>
      <c r="K541" s="302">
        <v>0</v>
      </c>
      <c r="L541" s="302">
        <v>0</v>
      </c>
      <c r="M541" s="302">
        <v>0</v>
      </c>
      <c r="N541" s="1804">
        <v>0</v>
      </c>
    </row>
    <row r="542" spans="1:14" ht="13">
      <c r="A542" s="742" t="s">
        <v>711</v>
      </c>
      <c r="B542" s="1801">
        <v>2948251.39</v>
      </c>
      <c r="C542" s="1802">
        <v>117929.46</v>
      </c>
      <c r="D542" s="352">
        <v>138541.74</v>
      </c>
      <c r="E542" s="352">
        <v>242218.5</v>
      </c>
      <c r="F542" s="352">
        <v>315779.77</v>
      </c>
      <c r="G542" s="352">
        <v>58506.41</v>
      </c>
      <c r="H542" s="352">
        <v>663082.37</v>
      </c>
      <c r="I542" s="352">
        <v>170797.6</v>
      </c>
      <c r="J542" s="352">
        <v>80724.990000000005</v>
      </c>
      <c r="K542" s="352">
        <v>324552.09999999998</v>
      </c>
      <c r="L542" s="352">
        <v>503935.99</v>
      </c>
      <c r="M542" s="352">
        <v>203361.44</v>
      </c>
      <c r="N542" s="1803">
        <v>128821.01</v>
      </c>
    </row>
    <row r="543" spans="1:14" ht="13">
      <c r="A543" s="742" t="s">
        <v>782</v>
      </c>
      <c r="B543" s="1801">
        <v>2745669.32</v>
      </c>
      <c r="C543" s="1802">
        <v>165918.62</v>
      </c>
      <c r="D543" s="352">
        <v>188362.66</v>
      </c>
      <c r="E543" s="352">
        <v>431448.77</v>
      </c>
      <c r="F543" s="352">
        <v>230090.21</v>
      </c>
      <c r="G543" s="352">
        <v>363834.46</v>
      </c>
      <c r="H543" s="352">
        <v>269910.71999999997</v>
      </c>
      <c r="I543" s="352">
        <v>117164.34</v>
      </c>
      <c r="J543" s="352">
        <v>169952.51</v>
      </c>
      <c r="K543" s="352">
        <v>230124.31</v>
      </c>
      <c r="L543" s="352">
        <v>124680.34</v>
      </c>
      <c r="M543" s="352">
        <v>73924.740000000005</v>
      </c>
      <c r="N543" s="1803">
        <v>380257.66</v>
      </c>
    </row>
    <row r="544" spans="1:14" ht="13">
      <c r="A544" s="742" t="s">
        <v>760</v>
      </c>
      <c r="B544" s="1801">
        <v>2636881.89</v>
      </c>
      <c r="C544" s="1802">
        <v>343296.64</v>
      </c>
      <c r="D544" s="302">
        <v>0</v>
      </c>
      <c r="E544" s="352">
        <v>437665.68</v>
      </c>
      <c r="F544" s="352">
        <v>274678.99</v>
      </c>
      <c r="G544" s="352">
        <v>155693.38</v>
      </c>
      <c r="H544" s="352">
        <v>177089.6</v>
      </c>
      <c r="I544" s="352">
        <v>167879.76</v>
      </c>
      <c r="J544" s="352">
        <v>85490.8</v>
      </c>
      <c r="K544" s="352">
        <v>298112.08</v>
      </c>
      <c r="L544" s="352">
        <v>260663.76</v>
      </c>
      <c r="M544" s="352">
        <v>131752</v>
      </c>
      <c r="N544" s="1803">
        <v>304559.2</v>
      </c>
    </row>
    <row r="545" spans="1:14" ht="13">
      <c r="A545" s="742" t="s">
        <v>819</v>
      </c>
      <c r="B545" s="1801">
        <v>2508004.2799999998</v>
      </c>
      <c r="C545" s="1802">
        <v>166940.98000000001</v>
      </c>
      <c r="D545" s="352">
        <v>133749.15</v>
      </c>
      <c r="E545" s="352">
        <v>156014.98000000001</v>
      </c>
      <c r="F545" s="352">
        <v>240212.89</v>
      </c>
      <c r="G545" s="352">
        <v>188329.78</v>
      </c>
      <c r="H545" s="352">
        <v>153873.14000000001</v>
      </c>
      <c r="I545" s="352">
        <v>100989.86</v>
      </c>
      <c r="J545" s="352">
        <v>156235.68</v>
      </c>
      <c r="K545" s="352">
        <v>207310.73</v>
      </c>
      <c r="L545" s="352">
        <v>343270.55</v>
      </c>
      <c r="M545" s="352">
        <v>279007.3</v>
      </c>
      <c r="N545" s="1803">
        <v>382069.25</v>
      </c>
    </row>
    <row r="546" spans="1:14" ht="13">
      <c r="A546" s="742" t="s">
        <v>762</v>
      </c>
      <c r="B546" s="1801">
        <v>2350027.79</v>
      </c>
      <c r="C546" s="1802">
        <v>105386.5</v>
      </c>
      <c r="D546" s="352">
        <v>309370.40000000002</v>
      </c>
      <c r="E546" s="352">
        <v>243726.96</v>
      </c>
      <c r="F546" s="352">
        <v>148089.20000000001</v>
      </c>
      <c r="G546" s="352">
        <v>197197.44</v>
      </c>
      <c r="H546" s="352">
        <v>129291.24</v>
      </c>
      <c r="I546" s="352">
        <v>263232.69</v>
      </c>
      <c r="J546" s="352">
        <v>39052.559999999998</v>
      </c>
      <c r="K546" s="352">
        <v>286256.48</v>
      </c>
      <c r="L546" s="352">
        <v>350788.72</v>
      </c>
      <c r="M546" s="302">
        <v>0</v>
      </c>
      <c r="N546" s="1803">
        <v>277635.59999999998</v>
      </c>
    </row>
    <row r="547" spans="1:14" ht="13">
      <c r="A547" s="742" t="s">
        <v>710</v>
      </c>
      <c r="B547" s="1801">
        <v>2252960.64</v>
      </c>
      <c r="C547" s="1789">
        <v>0</v>
      </c>
      <c r="D547" s="302">
        <v>0</v>
      </c>
      <c r="E547" s="302">
        <v>0</v>
      </c>
      <c r="F547" s="302">
        <v>0</v>
      </c>
      <c r="G547" s="302">
        <v>0</v>
      </c>
      <c r="H547" s="302">
        <v>0</v>
      </c>
      <c r="I547" s="302">
        <v>0</v>
      </c>
      <c r="J547" s="302">
        <v>0</v>
      </c>
      <c r="K547" s="302">
        <v>0</v>
      </c>
      <c r="L547" s="352">
        <v>139937.79999999999</v>
      </c>
      <c r="M547" s="352">
        <v>919560.16</v>
      </c>
      <c r="N547" s="1803">
        <v>1193462.67</v>
      </c>
    </row>
    <row r="548" spans="1:14" ht="13">
      <c r="A548" s="742" t="s">
        <v>749</v>
      </c>
      <c r="B548" s="1801">
        <v>2120862.15</v>
      </c>
      <c r="C548" s="1802">
        <v>252632.4</v>
      </c>
      <c r="D548" s="352">
        <v>160200.79999999999</v>
      </c>
      <c r="E548" s="302">
        <v>0</v>
      </c>
      <c r="F548" s="352">
        <v>520503.78</v>
      </c>
      <c r="G548" s="352">
        <v>532376.51</v>
      </c>
      <c r="H548" s="302">
        <v>0</v>
      </c>
      <c r="I548" s="352">
        <v>247390.4</v>
      </c>
      <c r="J548" s="352">
        <v>407758.26</v>
      </c>
      <c r="K548" s="302">
        <v>0</v>
      </c>
      <c r="L548" s="302">
        <v>0</v>
      </c>
      <c r="M548" s="302">
        <v>0</v>
      </c>
      <c r="N548" s="1804">
        <v>0</v>
      </c>
    </row>
    <row r="549" spans="1:14" ht="13">
      <c r="A549" s="742" t="s">
        <v>804</v>
      </c>
      <c r="B549" s="1801">
        <v>1988373.58</v>
      </c>
      <c r="C549" s="1802">
        <v>131837.64000000001</v>
      </c>
      <c r="D549" s="352">
        <v>107674.06</v>
      </c>
      <c r="E549" s="352">
        <v>98195.23</v>
      </c>
      <c r="F549" s="352">
        <v>130720.08</v>
      </c>
      <c r="G549" s="352">
        <v>98538.64</v>
      </c>
      <c r="H549" s="352">
        <v>92377.9</v>
      </c>
      <c r="I549" s="352">
        <v>113337.82</v>
      </c>
      <c r="J549" s="352">
        <v>191329.65</v>
      </c>
      <c r="K549" s="352">
        <v>193693.11</v>
      </c>
      <c r="L549" s="352">
        <v>254245.7</v>
      </c>
      <c r="M549" s="352">
        <v>290786.65000000002</v>
      </c>
      <c r="N549" s="1803">
        <v>285637.09999999998</v>
      </c>
    </row>
    <row r="550" spans="1:14" ht="13">
      <c r="A550" s="742" t="s">
        <v>791</v>
      </c>
      <c r="B550" s="1801">
        <v>1978554.87</v>
      </c>
      <c r="C550" s="1802">
        <v>405871.7</v>
      </c>
      <c r="D550" s="352">
        <v>111408.86</v>
      </c>
      <c r="E550" s="302">
        <v>0</v>
      </c>
      <c r="F550" s="352">
        <v>324229.87</v>
      </c>
      <c r="G550" s="352">
        <v>211840.53</v>
      </c>
      <c r="H550" s="352">
        <v>37350.83</v>
      </c>
      <c r="I550" s="352">
        <v>171566.94</v>
      </c>
      <c r="J550" s="352">
        <v>249826.1</v>
      </c>
      <c r="K550" s="302">
        <v>0</v>
      </c>
      <c r="L550" s="352">
        <v>66883.64</v>
      </c>
      <c r="M550" s="352">
        <v>82241.210000000006</v>
      </c>
      <c r="N550" s="1803">
        <v>317335.2</v>
      </c>
    </row>
    <row r="551" spans="1:14" ht="13">
      <c r="A551" s="742" t="s">
        <v>729</v>
      </c>
      <c r="B551" s="1801">
        <v>1896475.13</v>
      </c>
      <c r="C551" s="1789">
        <v>0</v>
      </c>
      <c r="D551" s="302">
        <v>0</v>
      </c>
      <c r="E551" s="302">
        <v>0</v>
      </c>
      <c r="F551" s="302">
        <v>0</v>
      </c>
      <c r="G551" s="302">
        <v>0</v>
      </c>
      <c r="H551" s="302">
        <v>0</v>
      </c>
      <c r="I551" s="352">
        <v>405724</v>
      </c>
      <c r="J551" s="352">
        <v>137617.23000000001</v>
      </c>
      <c r="K551" s="352">
        <v>143254.42000000001</v>
      </c>
      <c r="L551" s="352">
        <v>321130.18</v>
      </c>
      <c r="M551" s="352">
        <v>412279.89</v>
      </c>
      <c r="N551" s="1803">
        <v>476469.4</v>
      </c>
    </row>
    <row r="552" spans="1:14" ht="13">
      <c r="A552" s="742" t="s">
        <v>757</v>
      </c>
      <c r="B552" s="1801">
        <v>1693973.79</v>
      </c>
      <c r="C552" s="1789">
        <v>0</v>
      </c>
      <c r="D552" s="352">
        <v>244809.92</v>
      </c>
      <c r="E552" s="302">
        <v>0</v>
      </c>
      <c r="F552" s="352">
        <v>444670.88</v>
      </c>
      <c r="G552" s="352">
        <v>82518.75</v>
      </c>
      <c r="H552" s="302">
        <v>0</v>
      </c>
      <c r="I552" s="352">
        <v>416115.52</v>
      </c>
      <c r="J552" s="352">
        <v>85111.84</v>
      </c>
      <c r="K552" s="302">
        <v>0</v>
      </c>
      <c r="L552" s="352">
        <v>420746.88</v>
      </c>
      <c r="M552" s="302">
        <v>0</v>
      </c>
      <c r="N552" s="1804">
        <v>0</v>
      </c>
    </row>
    <row r="553" spans="1:14" ht="13">
      <c r="A553" s="742" t="s">
        <v>696</v>
      </c>
      <c r="B553" s="1801">
        <v>1582334.2</v>
      </c>
      <c r="C553" s="1789">
        <v>0</v>
      </c>
      <c r="D553" s="302">
        <v>0</v>
      </c>
      <c r="E553" s="302">
        <v>0</v>
      </c>
      <c r="F553" s="352">
        <v>85284.800000000003</v>
      </c>
      <c r="G553" s="352">
        <v>39275.879999999997</v>
      </c>
      <c r="H553" s="302">
        <v>0</v>
      </c>
      <c r="I553" s="302">
        <v>0</v>
      </c>
      <c r="J553" s="302">
        <v>0</v>
      </c>
      <c r="K553" s="302">
        <v>0</v>
      </c>
      <c r="L553" s="352">
        <v>586579.65</v>
      </c>
      <c r="M553" s="352">
        <v>718505.74</v>
      </c>
      <c r="N553" s="1803">
        <v>152688.14000000001</v>
      </c>
    </row>
    <row r="554" spans="1:14" ht="13">
      <c r="A554" s="742" t="s">
        <v>725</v>
      </c>
      <c r="B554" s="1801">
        <v>1572282.22</v>
      </c>
      <c r="C554" s="1789">
        <v>0</v>
      </c>
      <c r="D554" s="302">
        <v>0</v>
      </c>
      <c r="E554" s="302">
        <v>0</v>
      </c>
      <c r="F554" s="302">
        <v>0</v>
      </c>
      <c r="G554" s="302">
        <v>0</v>
      </c>
      <c r="H554" s="352">
        <v>103526.89</v>
      </c>
      <c r="I554" s="352">
        <v>184271.66</v>
      </c>
      <c r="J554" s="352">
        <v>192448.4</v>
      </c>
      <c r="K554" s="352">
        <v>228002.26</v>
      </c>
      <c r="L554" s="352">
        <v>480156.37</v>
      </c>
      <c r="M554" s="352">
        <v>189188.95</v>
      </c>
      <c r="N554" s="1803">
        <v>194687.69</v>
      </c>
    </row>
    <row r="555" spans="1:14" ht="13">
      <c r="A555" s="742" t="s">
        <v>796</v>
      </c>
      <c r="B555" s="1801">
        <v>1498993.31</v>
      </c>
      <c r="C555" s="1802">
        <v>140773.47</v>
      </c>
      <c r="D555" s="352">
        <v>186429.37</v>
      </c>
      <c r="E555" s="352">
        <v>162174.9</v>
      </c>
      <c r="F555" s="302">
        <v>0.02</v>
      </c>
      <c r="G555" s="302">
        <v>0</v>
      </c>
      <c r="H555" s="352">
        <v>393925.25</v>
      </c>
      <c r="I555" s="352">
        <v>208669.76</v>
      </c>
      <c r="J555" s="302">
        <v>0</v>
      </c>
      <c r="K555" s="302">
        <v>0</v>
      </c>
      <c r="L555" s="302">
        <v>0</v>
      </c>
      <c r="M555" s="352">
        <v>118967.88</v>
      </c>
      <c r="N555" s="1803">
        <v>288052.65000000002</v>
      </c>
    </row>
    <row r="556" spans="1:14" ht="13">
      <c r="A556" s="742" t="s">
        <v>748</v>
      </c>
      <c r="B556" s="1801">
        <v>1456237.5</v>
      </c>
      <c r="C556" s="1802">
        <v>111229.84</v>
      </c>
      <c r="D556" s="352">
        <v>133739.64000000001</v>
      </c>
      <c r="E556" s="352">
        <v>110411.26</v>
      </c>
      <c r="F556" s="352">
        <v>216301.46</v>
      </c>
      <c r="G556" s="352">
        <v>234017.91</v>
      </c>
      <c r="H556" s="352">
        <v>115723.48</v>
      </c>
      <c r="I556" s="352">
        <v>194229.68</v>
      </c>
      <c r="J556" s="352">
        <v>29822.14</v>
      </c>
      <c r="K556" s="352">
        <v>66266.320000000007</v>
      </c>
      <c r="L556" s="352">
        <v>31257.52</v>
      </c>
      <c r="M556" s="352">
        <v>157180.53</v>
      </c>
      <c r="N556" s="1803">
        <v>56057.71</v>
      </c>
    </row>
    <row r="557" spans="1:14" ht="13">
      <c r="A557" s="742" t="s">
        <v>746</v>
      </c>
      <c r="B557" s="1801">
        <v>1344367.04</v>
      </c>
      <c r="C557" s="1789">
        <v>0</v>
      </c>
      <c r="D557" s="302">
        <v>0</v>
      </c>
      <c r="E557" s="302">
        <v>0</v>
      </c>
      <c r="F557" s="302">
        <v>0</v>
      </c>
      <c r="G557" s="302">
        <v>0</v>
      </c>
      <c r="H557" s="302">
        <v>0</v>
      </c>
      <c r="I557" s="302">
        <v>0</v>
      </c>
      <c r="J557" s="352">
        <v>1038626.88</v>
      </c>
      <c r="K557" s="302">
        <v>0</v>
      </c>
      <c r="L557" s="352">
        <v>305740.15999999997</v>
      </c>
      <c r="M557" s="302">
        <v>0</v>
      </c>
      <c r="N557" s="1804">
        <v>0</v>
      </c>
    </row>
    <row r="558" spans="1:14" ht="13">
      <c r="A558" s="742" t="s">
        <v>704</v>
      </c>
      <c r="B558" s="1801">
        <v>1344098.38</v>
      </c>
      <c r="C558" s="1789">
        <v>0</v>
      </c>
      <c r="D558" s="302">
        <v>0</v>
      </c>
      <c r="E558" s="302">
        <v>0</v>
      </c>
      <c r="F558" s="302">
        <v>0</v>
      </c>
      <c r="G558" s="302">
        <v>0</v>
      </c>
      <c r="H558" s="302">
        <v>0</v>
      </c>
      <c r="I558" s="302">
        <v>0</v>
      </c>
      <c r="J558" s="302">
        <v>0</v>
      </c>
      <c r="K558" s="302">
        <v>0</v>
      </c>
      <c r="L558" s="352">
        <v>229370.32</v>
      </c>
      <c r="M558" s="352">
        <v>422991.73</v>
      </c>
      <c r="N558" s="1803">
        <v>691736.33</v>
      </c>
    </row>
    <row r="559" spans="1:14" ht="13">
      <c r="A559" s="742" t="s">
        <v>759</v>
      </c>
      <c r="B559" s="1801">
        <v>1333672.21</v>
      </c>
      <c r="C559" s="1802">
        <v>220739.38</v>
      </c>
      <c r="D559" s="352">
        <v>-18673.27</v>
      </c>
      <c r="E559" s="352">
        <v>88925.28</v>
      </c>
      <c r="F559" s="352">
        <v>144844.54</v>
      </c>
      <c r="G559" s="352">
        <v>182914.02</v>
      </c>
      <c r="H559" s="352">
        <v>134098.19</v>
      </c>
      <c r="I559" s="352">
        <v>96004.59</v>
      </c>
      <c r="J559" s="352">
        <v>163639.04000000001</v>
      </c>
      <c r="K559" s="302">
        <v>0</v>
      </c>
      <c r="L559" s="352">
        <v>61124.56</v>
      </c>
      <c r="M559" s="352">
        <v>135557.4</v>
      </c>
      <c r="N559" s="1803">
        <v>124498.48</v>
      </c>
    </row>
    <row r="560" spans="1:14" ht="13">
      <c r="A560" s="742" t="s">
        <v>745</v>
      </c>
      <c r="B560" s="1801">
        <v>1219394.3999999999</v>
      </c>
      <c r="C560" s="1802">
        <v>55593.77</v>
      </c>
      <c r="D560" s="302">
        <v>0</v>
      </c>
      <c r="E560" s="352">
        <v>17276.18</v>
      </c>
      <c r="F560" s="302">
        <v>0</v>
      </c>
      <c r="G560" s="352">
        <v>115161.08</v>
      </c>
      <c r="H560" s="302">
        <v>0</v>
      </c>
      <c r="I560" s="352">
        <v>149560</v>
      </c>
      <c r="J560" s="352">
        <v>149560</v>
      </c>
      <c r="K560" s="352">
        <v>89631.26</v>
      </c>
      <c r="L560" s="352">
        <v>310232.78000000003</v>
      </c>
      <c r="M560" s="352">
        <v>171840.33</v>
      </c>
      <c r="N560" s="1803">
        <v>160539</v>
      </c>
    </row>
    <row r="561" spans="1:14" ht="13">
      <c r="A561" s="742" t="s">
        <v>774</v>
      </c>
      <c r="B561" s="1801">
        <v>1206190.96</v>
      </c>
      <c r="C561" s="1802">
        <v>198447.22</v>
      </c>
      <c r="D561" s="352">
        <v>124601.9</v>
      </c>
      <c r="E561" s="352">
        <v>404768.74</v>
      </c>
      <c r="F561" s="352">
        <v>164372.25</v>
      </c>
      <c r="G561" s="352">
        <v>222700.78</v>
      </c>
      <c r="H561" s="302">
        <v>0</v>
      </c>
      <c r="I561" s="352">
        <v>91300.06</v>
      </c>
      <c r="J561" s="302">
        <v>0</v>
      </c>
      <c r="K561" s="302">
        <v>0</v>
      </c>
      <c r="L561" s="302">
        <v>0</v>
      </c>
      <c r="M561" s="302">
        <v>0</v>
      </c>
      <c r="N561" s="1804">
        <v>0</v>
      </c>
    </row>
    <row r="562" spans="1:14" ht="13">
      <c r="A562" s="742" t="s">
        <v>1703</v>
      </c>
      <c r="B562" s="1801">
        <v>1167732.05</v>
      </c>
      <c r="C562" s="1789">
        <v>0</v>
      </c>
      <c r="D562" s="302">
        <v>0</v>
      </c>
      <c r="E562" s="352">
        <v>355257.62</v>
      </c>
      <c r="F562" s="352">
        <v>436291.69</v>
      </c>
      <c r="G562" s="352">
        <v>29949.96</v>
      </c>
      <c r="H562" s="352">
        <v>274805.57</v>
      </c>
      <c r="I562" s="352">
        <v>71427.199999999997</v>
      </c>
      <c r="J562" s="302">
        <v>0</v>
      </c>
      <c r="K562" s="302">
        <v>0</v>
      </c>
      <c r="L562" s="302">
        <v>0</v>
      </c>
      <c r="M562" s="302">
        <v>0</v>
      </c>
      <c r="N562" s="1804">
        <v>0</v>
      </c>
    </row>
    <row r="563" spans="1:14" ht="13">
      <c r="A563" s="742" t="s">
        <v>744</v>
      </c>
      <c r="B563" s="1801">
        <v>1156066.6200000001</v>
      </c>
      <c r="C563" s="1802">
        <v>110944.4</v>
      </c>
      <c r="D563" s="352">
        <v>248090.88</v>
      </c>
      <c r="E563" s="302">
        <v>0</v>
      </c>
      <c r="F563" s="352">
        <v>272719.25</v>
      </c>
      <c r="G563" s="352">
        <v>88046.53</v>
      </c>
      <c r="H563" s="352">
        <v>57884.4</v>
      </c>
      <c r="I563" s="302">
        <v>0</v>
      </c>
      <c r="J563" s="352">
        <v>101567.76</v>
      </c>
      <c r="K563" s="352">
        <v>143035</v>
      </c>
      <c r="L563" s="352">
        <v>46011.6</v>
      </c>
      <c r="M563" s="352">
        <v>87766.8</v>
      </c>
      <c r="N563" s="1804">
        <v>0</v>
      </c>
    </row>
    <row r="564" spans="1:14" ht="13">
      <c r="A564" s="742" t="s">
        <v>737</v>
      </c>
      <c r="B564" s="1801">
        <v>1066999.43</v>
      </c>
      <c r="C564" s="1802">
        <v>117181.77</v>
      </c>
      <c r="D564" s="352">
        <v>146028.12</v>
      </c>
      <c r="E564" s="352">
        <v>200091.95</v>
      </c>
      <c r="F564" s="352">
        <v>143812.98000000001</v>
      </c>
      <c r="G564" s="352">
        <v>216718.91</v>
      </c>
      <c r="H564" s="302">
        <v>0</v>
      </c>
      <c r="I564" s="302">
        <v>0</v>
      </c>
      <c r="J564" s="302">
        <v>0</v>
      </c>
      <c r="K564" s="302">
        <v>0</v>
      </c>
      <c r="L564" s="352">
        <v>243165.7</v>
      </c>
      <c r="M564" s="302">
        <v>0</v>
      </c>
      <c r="N564" s="1804">
        <v>0</v>
      </c>
    </row>
    <row r="565" spans="1:14" ht="13">
      <c r="A565" s="742" t="s">
        <v>1704</v>
      </c>
      <c r="B565" s="1801">
        <v>928366.31</v>
      </c>
      <c r="C565" s="1802">
        <v>547894.31000000006</v>
      </c>
      <c r="D565" s="302">
        <v>0</v>
      </c>
      <c r="E565" s="352">
        <v>324490.15000000002</v>
      </c>
      <c r="F565" s="302">
        <v>0.05</v>
      </c>
      <c r="G565" s="302">
        <v>0</v>
      </c>
      <c r="H565" s="302">
        <v>0</v>
      </c>
      <c r="I565" s="302">
        <v>0</v>
      </c>
      <c r="J565" s="352">
        <v>55981.8</v>
      </c>
      <c r="K565" s="302">
        <v>0</v>
      </c>
      <c r="L565" s="302">
        <v>0</v>
      </c>
      <c r="M565" s="302">
        <v>0</v>
      </c>
      <c r="N565" s="1804">
        <v>0</v>
      </c>
    </row>
    <row r="566" spans="1:14" ht="13">
      <c r="A566" s="742" t="s">
        <v>720</v>
      </c>
      <c r="B566" s="1801">
        <v>849659.94</v>
      </c>
      <c r="C566" s="1789">
        <v>0</v>
      </c>
      <c r="D566" s="302">
        <v>0</v>
      </c>
      <c r="E566" s="302">
        <v>0</v>
      </c>
      <c r="F566" s="302">
        <v>0</v>
      </c>
      <c r="G566" s="352">
        <v>82712.039999999994</v>
      </c>
      <c r="H566" s="352">
        <v>140212.35</v>
      </c>
      <c r="I566" s="352">
        <v>180153.15</v>
      </c>
      <c r="J566" s="352">
        <v>39940.65</v>
      </c>
      <c r="K566" s="352">
        <v>194565.38</v>
      </c>
      <c r="L566" s="302">
        <v>0</v>
      </c>
      <c r="M566" s="302">
        <v>0</v>
      </c>
      <c r="N566" s="1803">
        <v>212076.38</v>
      </c>
    </row>
    <row r="567" spans="1:14" ht="13">
      <c r="A567" s="742" t="s">
        <v>775</v>
      </c>
      <c r="B567" s="1801">
        <v>827739.39</v>
      </c>
      <c r="C567" s="1802">
        <v>119467.76</v>
      </c>
      <c r="D567" s="352">
        <v>6024.31</v>
      </c>
      <c r="E567" s="352">
        <v>123766.81</v>
      </c>
      <c r="F567" s="302">
        <v>0</v>
      </c>
      <c r="G567" s="302">
        <v>0</v>
      </c>
      <c r="H567" s="302">
        <v>0</v>
      </c>
      <c r="I567" s="352">
        <v>129459.8</v>
      </c>
      <c r="J567" s="352">
        <v>81167.28</v>
      </c>
      <c r="K567" s="352">
        <v>81167.28</v>
      </c>
      <c r="L567" s="352">
        <v>81167.28</v>
      </c>
      <c r="M567" s="352">
        <v>205518.89</v>
      </c>
      <c r="N567" s="1804">
        <v>0</v>
      </c>
    </row>
    <row r="568" spans="1:14" ht="13">
      <c r="A568" s="742" t="s">
        <v>783</v>
      </c>
      <c r="B568" s="1801">
        <v>821939.03</v>
      </c>
      <c r="C568" s="1802">
        <v>57137.2</v>
      </c>
      <c r="D568" s="352">
        <v>138227.99</v>
      </c>
      <c r="E568" s="352">
        <v>61315.19</v>
      </c>
      <c r="F568" s="352">
        <v>75591.05</v>
      </c>
      <c r="G568" s="352">
        <v>60085.93</v>
      </c>
      <c r="H568" s="352">
        <v>26094.720000000001</v>
      </c>
      <c r="I568" s="352">
        <v>17887.41</v>
      </c>
      <c r="J568" s="352">
        <v>52099.02</v>
      </c>
      <c r="K568" s="352">
        <v>60847.24</v>
      </c>
      <c r="L568" s="352">
        <v>88645.87</v>
      </c>
      <c r="M568" s="352">
        <v>113277.4</v>
      </c>
      <c r="N568" s="1803">
        <v>70730.009999999995</v>
      </c>
    </row>
    <row r="569" spans="1:14" ht="13">
      <c r="A569" s="742" t="s">
        <v>821</v>
      </c>
      <c r="B569" s="1801">
        <v>678907.92</v>
      </c>
      <c r="C569" s="1802">
        <v>272319.7</v>
      </c>
      <c r="D569" s="352">
        <v>109884.42</v>
      </c>
      <c r="E569" s="352">
        <v>83679.5</v>
      </c>
      <c r="F569" s="352">
        <v>213024.3</v>
      </c>
      <c r="G569" s="302">
        <v>0</v>
      </c>
      <c r="H569" s="302">
        <v>0</v>
      </c>
      <c r="I569" s="302">
        <v>0</v>
      </c>
      <c r="J569" s="302">
        <v>0</v>
      </c>
      <c r="K569" s="302">
        <v>0</v>
      </c>
      <c r="L569" s="302">
        <v>0</v>
      </c>
      <c r="M569" s="302">
        <v>0</v>
      </c>
      <c r="N569" s="1804">
        <v>0</v>
      </c>
    </row>
    <row r="570" spans="1:14" ht="13">
      <c r="A570" s="742" t="s">
        <v>828</v>
      </c>
      <c r="B570" s="1801">
        <v>648820.93000000005</v>
      </c>
      <c r="C570" s="1802">
        <v>66872.72</v>
      </c>
      <c r="D570" s="302">
        <v>0</v>
      </c>
      <c r="E570" s="352">
        <v>455626.41</v>
      </c>
      <c r="F570" s="352">
        <v>126321.8</v>
      </c>
      <c r="G570" s="302">
        <v>0</v>
      </c>
      <c r="H570" s="302">
        <v>0</v>
      </c>
      <c r="I570" s="302">
        <v>0</v>
      </c>
      <c r="J570" s="302">
        <v>0</v>
      </c>
      <c r="K570" s="302">
        <v>0</v>
      </c>
      <c r="L570" s="302">
        <v>0</v>
      </c>
      <c r="M570" s="302">
        <v>0</v>
      </c>
      <c r="N570" s="1804">
        <v>0</v>
      </c>
    </row>
    <row r="571" spans="1:14" ht="13">
      <c r="A571" s="742" t="s">
        <v>764</v>
      </c>
      <c r="B571" s="1801">
        <v>633319.4</v>
      </c>
      <c r="C571" s="1802">
        <v>129390.56</v>
      </c>
      <c r="D571" s="352">
        <v>118634.38</v>
      </c>
      <c r="E571" s="352">
        <v>141940.16</v>
      </c>
      <c r="F571" s="302">
        <v>0</v>
      </c>
      <c r="G571" s="302">
        <v>0</v>
      </c>
      <c r="H571" s="352">
        <v>243354.3</v>
      </c>
      <c r="I571" s="302">
        <v>0</v>
      </c>
      <c r="J571" s="302">
        <v>0</v>
      </c>
      <c r="K571" s="302">
        <v>0</v>
      </c>
      <c r="L571" s="302">
        <v>0</v>
      </c>
      <c r="M571" s="302">
        <v>0</v>
      </c>
      <c r="N571" s="1804">
        <v>0</v>
      </c>
    </row>
    <row r="572" spans="1:14" ht="13">
      <c r="A572" s="742" t="s">
        <v>777</v>
      </c>
      <c r="B572" s="1801">
        <v>575020.66</v>
      </c>
      <c r="C572" s="1789">
        <v>0</v>
      </c>
      <c r="D572" s="352">
        <v>78599.64</v>
      </c>
      <c r="E572" s="302">
        <v>0</v>
      </c>
      <c r="F572" s="352">
        <v>165223.79999999999</v>
      </c>
      <c r="G572" s="302">
        <v>0</v>
      </c>
      <c r="H572" s="302">
        <v>0</v>
      </c>
      <c r="I572" s="352">
        <v>88091.94</v>
      </c>
      <c r="J572" s="302">
        <v>0</v>
      </c>
      <c r="K572" s="352">
        <v>91164.479999999996</v>
      </c>
      <c r="L572" s="352">
        <v>151940.79999999999</v>
      </c>
      <c r="M572" s="302">
        <v>0</v>
      </c>
      <c r="N572" s="1804">
        <v>0</v>
      </c>
    </row>
    <row r="573" spans="1:14" ht="13">
      <c r="A573" s="742" t="s">
        <v>763</v>
      </c>
      <c r="B573" s="1801">
        <v>474914.79</v>
      </c>
      <c r="C573" s="1802">
        <v>113195.84</v>
      </c>
      <c r="D573" s="352">
        <v>57832.3</v>
      </c>
      <c r="E573" s="352">
        <v>3425.13</v>
      </c>
      <c r="F573" s="352">
        <v>1527.76</v>
      </c>
      <c r="G573" s="352">
        <v>1527.76</v>
      </c>
      <c r="H573" s="352">
        <v>20099.61</v>
      </c>
      <c r="I573" s="352">
        <v>9185.7199999999993</v>
      </c>
      <c r="J573" s="302">
        <v>0</v>
      </c>
      <c r="K573" s="352">
        <v>47006.43</v>
      </c>
      <c r="L573" s="352">
        <v>64245.56</v>
      </c>
      <c r="M573" s="352">
        <v>147694.97</v>
      </c>
      <c r="N573" s="1803">
        <v>9173.7000000000007</v>
      </c>
    </row>
    <row r="574" spans="1:14" ht="13">
      <c r="A574" s="742" t="s">
        <v>741</v>
      </c>
      <c r="B574" s="1801">
        <v>472619.74</v>
      </c>
      <c r="C574" s="1802">
        <v>45208.33</v>
      </c>
      <c r="D574" s="352">
        <v>49475.53</v>
      </c>
      <c r="E574" s="352">
        <v>65734.02</v>
      </c>
      <c r="F574" s="302">
        <v>0</v>
      </c>
      <c r="G574" s="352">
        <v>115463.33</v>
      </c>
      <c r="H574" s="302">
        <v>0</v>
      </c>
      <c r="I574" s="302">
        <v>0</v>
      </c>
      <c r="J574" s="352">
        <v>72307</v>
      </c>
      <c r="K574" s="302">
        <v>0</v>
      </c>
      <c r="L574" s="302">
        <v>0</v>
      </c>
      <c r="M574" s="352">
        <v>124431.54</v>
      </c>
      <c r="N574" s="1804">
        <v>0</v>
      </c>
    </row>
    <row r="575" spans="1:14" ht="13">
      <c r="A575" s="742" t="s">
        <v>1705</v>
      </c>
      <c r="B575" s="1801">
        <v>427952.87</v>
      </c>
      <c r="C575" s="1789">
        <v>0</v>
      </c>
      <c r="D575" s="352">
        <v>295793.46000000002</v>
      </c>
      <c r="E575" s="352">
        <v>132159.41</v>
      </c>
      <c r="F575" s="302">
        <v>0</v>
      </c>
      <c r="G575" s="302">
        <v>0</v>
      </c>
      <c r="H575" s="302">
        <v>0</v>
      </c>
      <c r="I575" s="302">
        <v>0</v>
      </c>
      <c r="J575" s="302">
        <v>0</v>
      </c>
      <c r="K575" s="302">
        <v>0</v>
      </c>
      <c r="L575" s="302">
        <v>0</v>
      </c>
      <c r="M575" s="302">
        <v>0</v>
      </c>
      <c r="N575" s="1804">
        <v>0</v>
      </c>
    </row>
    <row r="576" spans="1:14" ht="13">
      <c r="A576" s="742" t="s">
        <v>811</v>
      </c>
      <c r="B576" s="1801">
        <v>301527.86</v>
      </c>
      <c r="C576" s="1789">
        <v>0</v>
      </c>
      <c r="D576" s="352">
        <v>226708.43</v>
      </c>
      <c r="E576" s="352">
        <v>-34133.4</v>
      </c>
      <c r="F576" s="302">
        <v>0</v>
      </c>
      <c r="G576" s="302">
        <v>0</v>
      </c>
      <c r="H576" s="302">
        <v>0</v>
      </c>
      <c r="I576" s="352">
        <v>108952.83</v>
      </c>
      <c r="J576" s="302">
        <v>0</v>
      </c>
      <c r="K576" s="302">
        <v>0</v>
      </c>
      <c r="L576" s="302">
        <v>0</v>
      </c>
      <c r="M576" s="302">
        <v>0</v>
      </c>
      <c r="N576" s="1804">
        <v>0</v>
      </c>
    </row>
    <row r="577" spans="1:14" ht="13">
      <c r="A577" s="742" t="s">
        <v>728</v>
      </c>
      <c r="B577" s="1801">
        <v>236611.48</v>
      </c>
      <c r="C577" s="1789">
        <v>0</v>
      </c>
      <c r="D577" s="302">
        <v>0</v>
      </c>
      <c r="E577" s="302">
        <v>0</v>
      </c>
      <c r="F577" s="302">
        <v>0</v>
      </c>
      <c r="G577" s="302">
        <v>0</v>
      </c>
      <c r="H577" s="302">
        <v>0</v>
      </c>
      <c r="I577" s="302">
        <v>0</v>
      </c>
      <c r="J577" s="302">
        <v>0</v>
      </c>
      <c r="K577" s="302">
        <v>0</v>
      </c>
      <c r="L577" s="302">
        <v>0</v>
      </c>
      <c r="M577" s="352">
        <v>124736.67</v>
      </c>
      <c r="N577" s="1803">
        <v>111874.81</v>
      </c>
    </row>
    <row r="578" spans="1:14" ht="13">
      <c r="A578" s="742" t="s">
        <v>771</v>
      </c>
      <c r="B578" s="1801">
        <v>121718.08</v>
      </c>
      <c r="C578" s="1789">
        <v>0</v>
      </c>
      <c r="D578" s="302">
        <v>0</v>
      </c>
      <c r="E578" s="302">
        <v>0</v>
      </c>
      <c r="F578" s="302">
        <v>0</v>
      </c>
      <c r="G578" s="302">
        <v>0</v>
      </c>
      <c r="H578" s="302">
        <v>0</v>
      </c>
      <c r="I578" s="302">
        <v>0</v>
      </c>
      <c r="J578" s="302">
        <v>0</v>
      </c>
      <c r="K578" s="302">
        <v>0</v>
      </c>
      <c r="L578" s="352">
        <v>121718.08</v>
      </c>
      <c r="M578" s="302">
        <v>0</v>
      </c>
      <c r="N578" s="1804">
        <v>0</v>
      </c>
    </row>
    <row r="579" spans="1:14" ht="13">
      <c r="A579" s="742" t="s">
        <v>789</v>
      </c>
      <c r="B579" s="1801">
        <v>72825</v>
      </c>
      <c r="C579" s="1789">
        <v>0</v>
      </c>
      <c r="D579" s="302">
        <v>0</v>
      </c>
      <c r="E579" s="302">
        <v>0</v>
      </c>
      <c r="F579" s="302">
        <v>0</v>
      </c>
      <c r="G579" s="302">
        <v>0</v>
      </c>
      <c r="H579" s="302">
        <v>0</v>
      </c>
      <c r="I579" s="302">
        <v>0</v>
      </c>
      <c r="J579" s="302">
        <v>0</v>
      </c>
      <c r="K579" s="302">
        <v>0</v>
      </c>
      <c r="L579" s="302">
        <v>0</v>
      </c>
      <c r="M579" s="352">
        <v>72825</v>
      </c>
      <c r="N579" s="1804">
        <v>0</v>
      </c>
    </row>
    <row r="580" spans="1:14" ht="13">
      <c r="A580" s="742" t="s">
        <v>795</v>
      </c>
      <c r="B580" s="1801">
        <v>67151.28</v>
      </c>
      <c r="C580" s="1789">
        <v>0</v>
      </c>
      <c r="D580" s="302">
        <v>0</v>
      </c>
      <c r="E580" s="302">
        <v>0</v>
      </c>
      <c r="F580" s="352">
        <v>17530.2</v>
      </c>
      <c r="G580" s="302">
        <v>0</v>
      </c>
      <c r="H580" s="302">
        <v>0</v>
      </c>
      <c r="I580" s="352">
        <v>9722</v>
      </c>
      <c r="J580" s="302">
        <v>0</v>
      </c>
      <c r="K580" s="302">
        <v>0</v>
      </c>
      <c r="L580" s="302">
        <v>0</v>
      </c>
      <c r="M580" s="352">
        <v>39899.08</v>
      </c>
      <c r="N580" s="1804">
        <v>0</v>
      </c>
    </row>
    <row r="581" spans="1:14" ht="13">
      <c r="A581" s="742" t="s">
        <v>786</v>
      </c>
      <c r="B581" s="1801">
        <v>58712.1</v>
      </c>
      <c r="C581" s="1789">
        <v>0</v>
      </c>
      <c r="D581" s="302">
        <v>0</v>
      </c>
      <c r="E581" s="302">
        <v>0</v>
      </c>
      <c r="F581" s="302">
        <v>0</v>
      </c>
      <c r="G581" s="302">
        <v>0</v>
      </c>
      <c r="H581" s="302">
        <v>0</v>
      </c>
      <c r="I581" s="302">
        <v>0</v>
      </c>
      <c r="J581" s="302">
        <v>0</v>
      </c>
      <c r="K581" s="302">
        <v>0</v>
      </c>
      <c r="L581" s="352">
        <v>13548.95</v>
      </c>
      <c r="M581" s="352">
        <v>45163.15</v>
      </c>
      <c r="N581" s="1804">
        <v>0</v>
      </c>
    </row>
    <row r="582" spans="1:14" ht="13">
      <c r="A582" s="742" t="s">
        <v>739</v>
      </c>
      <c r="B582" s="1801">
        <v>53321.42</v>
      </c>
      <c r="C582" s="1789">
        <v>0</v>
      </c>
      <c r="D582" s="352">
        <v>8466</v>
      </c>
      <c r="E582" s="352">
        <v>17995.5</v>
      </c>
      <c r="F582" s="302">
        <v>0</v>
      </c>
      <c r="G582" s="302">
        <v>0</v>
      </c>
      <c r="H582" s="302">
        <v>0</v>
      </c>
      <c r="I582" s="302">
        <v>0</v>
      </c>
      <c r="J582" s="302">
        <v>0</v>
      </c>
      <c r="K582" s="302">
        <v>0</v>
      </c>
      <c r="L582" s="352">
        <v>26859.919999999998</v>
      </c>
      <c r="M582" s="302">
        <v>0</v>
      </c>
      <c r="N582" s="1804">
        <v>0</v>
      </c>
    </row>
    <row r="583" spans="1:14" ht="13">
      <c r="A583" s="742" t="s">
        <v>809</v>
      </c>
      <c r="B583" s="1801">
        <v>47696.6</v>
      </c>
      <c r="C583" s="1789">
        <v>0</v>
      </c>
      <c r="D583" s="302">
        <v>0</v>
      </c>
      <c r="E583" s="302">
        <v>0</v>
      </c>
      <c r="F583" s="352">
        <v>47696.6</v>
      </c>
      <c r="G583" s="302">
        <v>0</v>
      </c>
      <c r="H583" s="302">
        <v>0</v>
      </c>
      <c r="I583" s="302">
        <v>0</v>
      </c>
      <c r="J583" s="302">
        <v>0</v>
      </c>
      <c r="K583" s="302">
        <v>0</v>
      </c>
      <c r="L583" s="302">
        <v>0</v>
      </c>
      <c r="M583" s="302">
        <v>0</v>
      </c>
      <c r="N583" s="1804">
        <v>0</v>
      </c>
    </row>
    <row r="584" spans="1:14" ht="13">
      <c r="A584" s="742" t="s">
        <v>825</v>
      </c>
      <c r="B584" s="1801">
        <v>30692.86</v>
      </c>
      <c r="C584" s="1789">
        <v>0</v>
      </c>
      <c r="D584" s="352">
        <v>16502.46</v>
      </c>
      <c r="E584" s="302">
        <v>0</v>
      </c>
      <c r="F584" s="352">
        <v>14190.4</v>
      </c>
      <c r="G584" s="302">
        <v>0</v>
      </c>
      <c r="H584" s="302">
        <v>0</v>
      </c>
      <c r="I584" s="302">
        <v>0</v>
      </c>
      <c r="J584" s="302">
        <v>0</v>
      </c>
      <c r="K584" s="302">
        <v>0</v>
      </c>
      <c r="L584" s="302">
        <v>0</v>
      </c>
      <c r="M584" s="302">
        <v>0</v>
      </c>
      <c r="N584" s="1804">
        <v>0</v>
      </c>
    </row>
    <row r="585" spans="1:14" ht="13">
      <c r="A585" s="742" t="s">
        <v>785</v>
      </c>
      <c r="B585" s="1801">
        <v>30486.55</v>
      </c>
      <c r="C585" s="1789">
        <v>0</v>
      </c>
      <c r="D585" s="302">
        <v>0</v>
      </c>
      <c r="E585" s="302">
        <v>0</v>
      </c>
      <c r="F585" s="302">
        <v>0</v>
      </c>
      <c r="G585" s="302">
        <v>0</v>
      </c>
      <c r="H585" s="302">
        <v>0</v>
      </c>
      <c r="I585" s="302">
        <v>0</v>
      </c>
      <c r="J585" s="352">
        <v>30486.55</v>
      </c>
      <c r="K585" s="302">
        <v>0</v>
      </c>
      <c r="L585" s="302">
        <v>0</v>
      </c>
      <c r="M585" s="302">
        <v>0</v>
      </c>
      <c r="N585" s="1804">
        <v>0</v>
      </c>
    </row>
    <row r="586" spans="1:14" ht="13">
      <c r="A586" s="742" t="s">
        <v>801</v>
      </c>
      <c r="B586" s="1801">
        <v>29559.599999999999</v>
      </c>
      <c r="C586" s="1789">
        <v>0</v>
      </c>
      <c r="D586" s="302">
        <v>0</v>
      </c>
      <c r="E586" s="302">
        <v>0</v>
      </c>
      <c r="F586" s="352">
        <v>29559.599999999999</v>
      </c>
      <c r="G586" s="302">
        <v>0</v>
      </c>
      <c r="H586" s="302">
        <v>0</v>
      </c>
      <c r="I586" s="302">
        <v>0</v>
      </c>
      <c r="J586" s="302">
        <v>0</v>
      </c>
      <c r="K586" s="302">
        <v>0</v>
      </c>
      <c r="L586" s="302">
        <v>0</v>
      </c>
      <c r="M586" s="302">
        <v>0</v>
      </c>
      <c r="N586" s="1804">
        <v>0</v>
      </c>
    </row>
    <row r="587" spans="1:14" ht="13">
      <c r="A587" s="742" t="s">
        <v>805</v>
      </c>
      <c r="B587" s="1801">
        <v>14851.5</v>
      </c>
      <c r="C587" s="1789">
        <v>0</v>
      </c>
      <c r="D587" s="302">
        <v>0</v>
      </c>
      <c r="E587" s="302">
        <v>0</v>
      </c>
      <c r="F587" s="302">
        <v>0</v>
      </c>
      <c r="G587" s="302">
        <v>0</v>
      </c>
      <c r="H587" s="302">
        <v>0</v>
      </c>
      <c r="I587" s="302">
        <v>0</v>
      </c>
      <c r="J587" s="302">
        <v>0</v>
      </c>
      <c r="K587" s="302">
        <v>0</v>
      </c>
      <c r="L587" s="352">
        <v>14851.5</v>
      </c>
      <c r="M587" s="302">
        <v>0</v>
      </c>
      <c r="N587" s="1804">
        <v>0</v>
      </c>
    </row>
    <row r="588" spans="1:14" ht="13">
      <c r="A588" s="742" t="s">
        <v>1094</v>
      </c>
      <c r="B588" s="553">
        <v>0</v>
      </c>
      <c r="C588" s="1789">
        <v>0</v>
      </c>
      <c r="D588" s="302">
        <v>0</v>
      </c>
      <c r="E588" s="302">
        <v>0</v>
      </c>
      <c r="F588" s="302">
        <v>0</v>
      </c>
      <c r="G588" s="302">
        <v>0</v>
      </c>
      <c r="H588" s="302">
        <v>0</v>
      </c>
      <c r="I588" s="302">
        <v>0</v>
      </c>
      <c r="J588" s="302">
        <v>0</v>
      </c>
      <c r="K588" s="302">
        <v>0</v>
      </c>
      <c r="L588" s="302">
        <v>0</v>
      </c>
      <c r="M588" s="302">
        <v>0</v>
      </c>
      <c r="N588" s="1804">
        <v>0</v>
      </c>
    </row>
    <row r="589" spans="1:14" ht="13">
      <c r="A589" s="1805" t="s">
        <v>797</v>
      </c>
      <c r="B589" s="1806">
        <v>308117.13</v>
      </c>
      <c r="C589" s="922">
        <v>0</v>
      </c>
      <c r="D589" s="922">
        <v>0</v>
      </c>
      <c r="E589" s="1807">
        <v>66634.69</v>
      </c>
      <c r="F589" s="922">
        <v>0</v>
      </c>
      <c r="G589" s="922">
        <v>0</v>
      </c>
      <c r="H589" s="922">
        <v>0</v>
      </c>
      <c r="I589" s="1807">
        <v>62391.5</v>
      </c>
      <c r="J589" s="922">
        <v>0</v>
      </c>
      <c r="K589" s="1807">
        <v>76329.73</v>
      </c>
      <c r="L589" s="922">
        <v>0</v>
      </c>
      <c r="M589" s="1807">
        <v>56837.51</v>
      </c>
      <c r="N589" s="1809">
        <v>45923.7</v>
      </c>
    </row>
    <row r="590" spans="1:14" ht="13">
      <c r="A590" s="1805" t="s">
        <v>1613</v>
      </c>
      <c r="B590" s="1806">
        <v>151284</v>
      </c>
      <c r="C590" s="922">
        <v>0</v>
      </c>
      <c r="D590" s="922">
        <v>0</v>
      </c>
      <c r="E590" s="922">
        <v>0</v>
      </c>
      <c r="F590" s="1807">
        <v>106500</v>
      </c>
      <c r="G590" s="922">
        <v>0</v>
      </c>
      <c r="H590" s="922">
        <v>0</v>
      </c>
      <c r="I590" s="922">
        <v>0</v>
      </c>
      <c r="J590" s="922">
        <v>0</v>
      </c>
      <c r="K590" s="1807">
        <v>44784</v>
      </c>
      <c r="L590" s="922">
        <v>0</v>
      </c>
      <c r="M590" s="922">
        <v>0</v>
      </c>
      <c r="N590" s="1808">
        <v>0</v>
      </c>
    </row>
    <row r="591" spans="1:14" ht="13">
      <c r="A591" s="1805" t="s">
        <v>482</v>
      </c>
      <c r="B591" s="1806">
        <v>247228</v>
      </c>
      <c r="C591" s="922">
        <v>0</v>
      </c>
      <c r="D591" s="922">
        <v>0</v>
      </c>
      <c r="E591" s="922">
        <v>0</v>
      </c>
      <c r="F591" s="922">
        <v>0</v>
      </c>
      <c r="G591" s="922">
        <v>0</v>
      </c>
      <c r="H591" s="922">
        <v>0</v>
      </c>
      <c r="I591" s="1807">
        <v>24394.16</v>
      </c>
      <c r="J591" s="922">
        <v>0</v>
      </c>
      <c r="K591" s="922">
        <v>0</v>
      </c>
      <c r="L591" s="1807">
        <v>134891.99</v>
      </c>
      <c r="M591" s="1807">
        <v>87941.85</v>
      </c>
      <c r="N591" s="1808">
        <v>0</v>
      </c>
    </row>
    <row r="592" spans="1:14" ht="13">
      <c r="A592" s="1805" t="s">
        <v>794</v>
      </c>
      <c r="B592" s="1806">
        <v>62618.6</v>
      </c>
      <c r="C592" s="1807">
        <v>62618.6</v>
      </c>
      <c r="D592" s="922">
        <v>0</v>
      </c>
      <c r="E592" s="922">
        <v>0</v>
      </c>
      <c r="F592" s="922">
        <v>0</v>
      </c>
      <c r="G592" s="922">
        <v>0</v>
      </c>
      <c r="H592" s="922">
        <v>0</v>
      </c>
      <c r="I592" s="922">
        <v>0</v>
      </c>
      <c r="J592" s="922">
        <v>0</v>
      </c>
      <c r="K592" s="922">
        <v>0</v>
      </c>
      <c r="L592" s="922">
        <v>0</v>
      </c>
      <c r="M592" s="922">
        <v>0</v>
      </c>
      <c r="N592" s="1808">
        <v>0</v>
      </c>
    </row>
    <row r="593" spans="1:14" ht="13">
      <c r="A593" s="1805" t="s">
        <v>770</v>
      </c>
      <c r="B593" s="1806">
        <v>2054473.81</v>
      </c>
      <c r="C593" s="1807">
        <v>62654.8</v>
      </c>
      <c r="D593" s="922">
        <v>0</v>
      </c>
      <c r="E593" s="1807">
        <v>104885.2</v>
      </c>
      <c r="F593" s="1807">
        <v>108090.16</v>
      </c>
      <c r="G593" s="1807">
        <v>298458.95</v>
      </c>
      <c r="H593" s="1807">
        <v>114522.25</v>
      </c>
      <c r="I593" s="1807">
        <v>245271.99</v>
      </c>
      <c r="J593" s="1807">
        <v>186292.91</v>
      </c>
      <c r="K593" s="1807">
        <v>450378.57</v>
      </c>
      <c r="L593" s="1807">
        <v>254583.47</v>
      </c>
      <c r="M593" s="922">
        <v>0</v>
      </c>
      <c r="N593" s="1809">
        <v>229335.5</v>
      </c>
    </row>
    <row r="594" spans="1:14" ht="13">
      <c r="A594" s="1805" t="s">
        <v>742</v>
      </c>
      <c r="B594" s="1806">
        <v>6005742.5199999996</v>
      </c>
      <c r="C594" s="1807">
        <v>489078.74</v>
      </c>
      <c r="D594" s="1807">
        <v>458879.49</v>
      </c>
      <c r="E594" s="1807">
        <v>529079.09</v>
      </c>
      <c r="F594" s="1807">
        <v>483775.44</v>
      </c>
      <c r="G594" s="1807">
        <v>479279.08</v>
      </c>
      <c r="H594" s="1807">
        <v>446746.2</v>
      </c>
      <c r="I594" s="1807">
        <v>836005.22</v>
      </c>
      <c r="J594" s="1807">
        <v>391401.01</v>
      </c>
      <c r="K594" s="1807">
        <v>997156.48</v>
      </c>
      <c r="L594" s="1807">
        <v>536099.83999999997</v>
      </c>
      <c r="M594" s="1807">
        <v>234461.43</v>
      </c>
      <c r="N594" s="1809">
        <v>123780.5</v>
      </c>
    </row>
    <row r="595" spans="1:14" ht="13">
      <c r="A595" s="1805" t="s">
        <v>1555</v>
      </c>
      <c r="B595" s="1806">
        <v>3241198.65</v>
      </c>
      <c r="C595" s="1807">
        <v>396895.67</v>
      </c>
      <c r="D595" s="1807">
        <v>273350.95</v>
      </c>
      <c r="E595" s="1807">
        <v>567657.04</v>
      </c>
      <c r="F595" s="1807">
        <v>629582.32999999996</v>
      </c>
      <c r="G595" s="1807">
        <v>432757.78</v>
      </c>
      <c r="H595" s="1807">
        <v>81322.03</v>
      </c>
      <c r="I595" s="1807">
        <v>299291.3</v>
      </c>
      <c r="J595" s="1807">
        <v>158610.12</v>
      </c>
      <c r="K595" s="1807">
        <v>168018.87</v>
      </c>
      <c r="L595" s="1807">
        <v>122634.96</v>
      </c>
      <c r="M595" s="922">
        <v>0</v>
      </c>
      <c r="N595" s="1809">
        <v>111077.6</v>
      </c>
    </row>
    <row r="596" spans="1:14" ht="13">
      <c r="A596" s="1805" t="s">
        <v>751</v>
      </c>
      <c r="B596" s="1806">
        <v>981734.96</v>
      </c>
      <c r="C596" s="922">
        <v>0</v>
      </c>
      <c r="D596" s="922">
        <v>0</v>
      </c>
      <c r="E596" s="922">
        <v>0</v>
      </c>
      <c r="F596" s="922">
        <v>0</v>
      </c>
      <c r="G596" s="922">
        <v>0</v>
      </c>
      <c r="H596" s="922">
        <v>0</v>
      </c>
      <c r="I596" s="922">
        <v>0</v>
      </c>
      <c r="J596" s="1807">
        <v>283209.59999999998</v>
      </c>
      <c r="K596" s="1807">
        <v>316977.44</v>
      </c>
      <c r="L596" s="1807">
        <v>381547.92</v>
      </c>
      <c r="M596" s="922">
        <v>0</v>
      </c>
      <c r="N596" s="1808">
        <v>0</v>
      </c>
    </row>
    <row r="597" spans="1:14" ht="13">
      <c r="A597" s="1805" t="s">
        <v>702</v>
      </c>
      <c r="B597" s="1806">
        <v>17333935.890000001</v>
      </c>
      <c r="C597" s="1807">
        <v>775800.11</v>
      </c>
      <c r="D597" s="1807">
        <v>602642.82999999996</v>
      </c>
      <c r="E597" s="1807">
        <v>1049339.08</v>
      </c>
      <c r="F597" s="1807">
        <v>1299521.1100000001</v>
      </c>
      <c r="G597" s="1807">
        <v>896703.07</v>
      </c>
      <c r="H597" s="1807">
        <v>1845542.1</v>
      </c>
      <c r="I597" s="1807">
        <v>3227120.71</v>
      </c>
      <c r="J597" s="1807">
        <v>1502720.2</v>
      </c>
      <c r="K597" s="1807">
        <v>2728993.71</v>
      </c>
      <c r="L597" s="1807">
        <v>1354330.45</v>
      </c>
      <c r="M597" s="1807">
        <v>1606929.27</v>
      </c>
      <c r="N597" s="1809">
        <v>444293.24</v>
      </c>
    </row>
    <row r="598" spans="1:14" ht="13">
      <c r="A598" s="1825" t="s">
        <v>781</v>
      </c>
      <c r="B598" s="1826">
        <v>2924526.41</v>
      </c>
      <c r="C598" s="1827">
        <v>113958.58</v>
      </c>
      <c r="D598" s="1827">
        <v>226047.11</v>
      </c>
      <c r="E598" s="1827">
        <v>333940.77</v>
      </c>
      <c r="F598" s="1827">
        <v>230143.5</v>
      </c>
      <c r="G598" s="1827">
        <v>216226.71</v>
      </c>
      <c r="H598" s="1828">
        <v>0</v>
      </c>
      <c r="I598" s="1827">
        <v>422656.38</v>
      </c>
      <c r="J598" s="1827">
        <v>141517.99</v>
      </c>
      <c r="K598" s="1827">
        <v>578566.86</v>
      </c>
      <c r="L598" s="1827">
        <v>218644.74</v>
      </c>
      <c r="M598" s="1827">
        <v>171752.85</v>
      </c>
      <c r="N598" s="1829">
        <v>271070.93</v>
      </c>
    </row>
    <row r="599" spans="1:14" ht="13">
      <c r="A599" s="922" t="s">
        <v>784</v>
      </c>
      <c r="B599" s="1806">
        <v>2236837.12</v>
      </c>
      <c r="C599" s="1807">
        <v>14996.56</v>
      </c>
      <c r="D599" s="1807">
        <v>191560.41</v>
      </c>
      <c r="E599" s="1807">
        <v>153828.10999999999</v>
      </c>
      <c r="F599" s="1807">
        <v>244836.34</v>
      </c>
      <c r="G599" s="922">
        <v>0</v>
      </c>
      <c r="H599" s="1807">
        <v>115893.89</v>
      </c>
      <c r="I599" s="1807">
        <v>326342.15000000002</v>
      </c>
      <c r="J599" s="1807">
        <v>225336.38</v>
      </c>
      <c r="K599" s="1807">
        <v>278061.17</v>
      </c>
      <c r="L599" s="1807">
        <v>265461.2</v>
      </c>
      <c r="M599" s="1807">
        <v>156215.07999999999</v>
      </c>
      <c r="N599" s="1807">
        <v>264305.84000000003</v>
      </c>
    </row>
    <row r="600" spans="1:14" ht="13">
      <c r="A600" s="922" t="s">
        <v>792</v>
      </c>
      <c r="B600" s="1806">
        <v>3235861.62</v>
      </c>
      <c r="C600" s="1807">
        <v>1561026.36</v>
      </c>
      <c r="D600" s="1807">
        <v>76740</v>
      </c>
      <c r="E600" s="922">
        <v>0</v>
      </c>
      <c r="F600" s="922">
        <v>0</v>
      </c>
      <c r="G600" s="1807">
        <v>580290.48</v>
      </c>
      <c r="H600" s="922">
        <v>0</v>
      </c>
      <c r="I600" s="1807">
        <v>791244.78</v>
      </c>
      <c r="J600" s="922">
        <v>0</v>
      </c>
      <c r="K600" s="922">
        <v>0</v>
      </c>
      <c r="L600" s="922">
        <v>0</v>
      </c>
      <c r="M600" s="1807">
        <v>226560</v>
      </c>
      <c r="N600" s="922">
        <v>0</v>
      </c>
    </row>
    <row r="601" spans="1:14" ht="13">
      <c r="A601" s="922" t="s">
        <v>733</v>
      </c>
      <c r="B601" s="1806">
        <v>230267.81</v>
      </c>
      <c r="C601" s="922">
        <v>0</v>
      </c>
      <c r="D601" s="922">
        <v>0</v>
      </c>
      <c r="E601" s="922">
        <v>0</v>
      </c>
      <c r="F601" s="922">
        <v>0</v>
      </c>
      <c r="G601" s="922">
        <v>0</v>
      </c>
      <c r="H601" s="922">
        <v>0</v>
      </c>
      <c r="I601" s="922">
        <v>0</v>
      </c>
      <c r="J601" s="922">
        <v>0</v>
      </c>
      <c r="K601" s="922">
        <v>0</v>
      </c>
      <c r="L601" s="1807">
        <v>116504.46</v>
      </c>
      <c r="M601" s="922">
        <v>0</v>
      </c>
      <c r="N601" s="1807">
        <v>113763.35</v>
      </c>
    </row>
    <row r="602" spans="1:14" ht="13">
      <c r="A602" s="922" t="s">
        <v>773</v>
      </c>
      <c r="B602" s="1806">
        <v>686961.12</v>
      </c>
      <c r="C602" s="1807">
        <v>75621.67</v>
      </c>
      <c r="D602" s="922">
        <v>0</v>
      </c>
      <c r="E602" s="1807">
        <v>145433.73000000001</v>
      </c>
      <c r="F602" s="1807">
        <v>90135.360000000001</v>
      </c>
      <c r="G602" s="1807">
        <v>143621.18</v>
      </c>
      <c r="H602" s="1807">
        <v>39709.800000000003</v>
      </c>
      <c r="I602" s="1807">
        <v>42942.07</v>
      </c>
      <c r="J602" s="1807">
        <v>26219.57</v>
      </c>
      <c r="K602" s="1807">
        <v>64724.37</v>
      </c>
      <c r="L602" s="1807">
        <v>58553.39</v>
      </c>
      <c r="M602" s="922">
        <v>0</v>
      </c>
      <c r="N602" s="922">
        <v>0</v>
      </c>
    </row>
    <row r="603" spans="1:14" ht="13">
      <c r="A603" s="922" t="s">
        <v>735</v>
      </c>
      <c r="B603" s="1806">
        <v>5788852.6500000004</v>
      </c>
      <c r="C603" s="1807">
        <v>255274.07</v>
      </c>
      <c r="D603" s="1807">
        <v>39595.589999999997</v>
      </c>
      <c r="E603" s="1807">
        <v>370762.55</v>
      </c>
      <c r="F603" s="1807">
        <v>425831.74</v>
      </c>
      <c r="G603" s="1807">
        <v>647428.82999999996</v>
      </c>
      <c r="H603" s="1807">
        <v>476594.84</v>
      </c>
      <c r="I603" s="1807">
        <v>689899.51</v>
      </c>
      <c r="J603" s="1807">
        <v>878022.19</v>
      </c>
      <c r="K603" s="1807">
        <v>663933.04</v>
      </c>
      <c r="L603" s="1807">
        <v>487909.19</v>
      </c>
      <c r="M603" s="1807">
        <v>568187.01</v>
      </c>
      <c r="N603" s="1807">
        <v>285414.09999999998</v>
      </c>
    </row>
    <row r="604" spans="1:14" ht="13">
      <c r="A604" s="922" t="s">
        <v>765</v>
      </c>
      <c r="B604" s="1806">
        <v>959639.45</v>
      </c>
      <c r="C604" s="922">
        <v>0</v>
      </c>
      <c r="D604" s="922">
        <v>0</v>
      </c>
      <c r="E604" s="922">
        <v>0</v>
      </c>
      <c r="F604" s="922">
        <v>0</v>
      </c>
      <c r="G604" s="1807">
        <v>66839.199999999997</v>
      </c>
      <c r="H604" s="922">
        <v>0</v>
      </c>
      <c r="I604" s="922">
        <v>0</v>
      </c>
      <c r="J604" s="922">
        <v>0</v>
      </c>
      <c r="K604" s="922">
        <v>0</v>
      </c>
      <c r="L604" s="1807">
        <v>800408.25</v>
      </c>
      <c r="M604" s="1807">
        <v>92392</v>
      </c>
      <c r="N604" s="922">
        <v>0</v>
      </c>
    </row>
    <row r="605" spans="1:14" ht="13">
      <c r="A605" s="922" t="s">
        <v>769</v>
      </c>
      <c r="B605" s="1806">
        <v>49082.98</v>
      </c>
      <c r="C605" s="1807">
        <v>11339.93</v>
      </c>
      <c r="D605" s="922">
        <v>0</v>
      </c>
      <c r="E605" s="922">
        <v>0</v>
      </c>
      <c r="F605" s="922">
        <v>0</v>
      </c>
      <c r="G605" s="922">
        <v>0</v>
      </c>
      <c r="H605" s="1807">
        <v>7033.02</v>
      </c>
      <c r="I605" s="1807">
        <v>30710.03</v>
      </c>
      <c r="J605" s="922">
        <v>0</v>
      </c>
      <c r="K605" s="922">
        <v>0</v>
      </c>
      <c r="L605" s="922">
        <v>0</v>
      </c>
      <c r="M605" s="922">
        <v>0</v>
      </c>
      <c r="N605" s="922">
        <v>0</v>
      </c>
    </row>
    <row r="606" spans="1:14" ht="13">
      <c r="A606" s="922" t="s">
        <v>736</v>
      </c>
      <c r="B606" s="1806">
        <v>10153830.92</v>
      </c>
      <c r="C606" s="1807">
        <v>1120774.74</v>
      </c>
      <c r="D606" s="1807">
        <v>898345.92</v>
      </c>
      <c r="E606" s="1807">
        <v>383752.02</v>
      </c>
      <c r="F606" s="1807">
        <v>842345.6</v>
      </c>
      <c r="G606" s="1807">
        <v>864969.77</v>
      </c>
      <c r="H606" s="1807">
        <v>687165.76</v>
      </c>
      <c r="I606" s="1807">
        <v>1012004.38</v>
      </c>
      <c r="J606" s="1807">
        <v>682081.6</v>
      </c>
      <c r="K606" s="1807">
        <v>921017.06</v>
      </c>
      <c r="L606" s="1807">
        <v>1322897.04</v>
      </c>
      <c r="M606" s="1807">
        <v>260415.35</v>
      </c>
      <c r="N606" s="1807">
        <v>1158061.6499999999</v>
      </c>
    </row>
    <row r="607" spans="1:14" ht="13">
      <c r="A607" s="922" t="s">
        <v>778</v>
      </c>
      <c r="B607" s="1806">
        <v>15380.32</v>
      </c>
      <c r="C607" s="922">
        <v>0</v>
      </c>
      <c r="D607" s="922">
        <v>0</v>
      </c>
      <c r="E607" s="922">
        <v>0</v>
      </c>
      <c r="F607" s="922">
        <v>0</v>
      </c>
      <c r="G607" s="922">
        <v>0</v>
      </c>
      <c r="H607" s="1807">
        <v>15380.32</v>
      </c>
      <c r="I607" s="922">
        <v>0</v>
      </c>
      <c r="J607" s="922">
        <v>0</v>
      </c>
      <c r="K607" s="922">
        <v>0</v>
      </c>
      <c r="L607" s="922">
        <v>0</v>
      </c>
      <c r="M607" s="922">
        <v>0</v>
      </c>
      <c r="N607" s="922">
        <v>0</v>
      </c>
    </row>
    <row r="608" spans="1:14" ht="13">
      <c r="A608" s="922" t="s">
        <v>779</v>
      </c>
      <c r="B608" s="1806">
        <v>670545.49</v>
      </c>
      <c r="C608" s="922">
        <v>0</v>
      </c>
      <c r="D608" s="922">
        <v>0</v>
      </c>
      <c r="E608" s="922">
        <v>0</v>
      </c>
      <c r="F608" s="1807">
        <v>117752.64</v>
      </c>
      <c r="G608" s="1807">
        <v>18927</v>
      </c>
      <c r="H608" s="1807">
        <v>27489.759999999998</v>
      </c>
      <c r="I608" s="1807">
        <v>140213.82</v>
      </c>
      <c r="J608" s="922">
        <v>0</v>
      </c>
      <c r="K608" s="1807">
        <v>185009.38</v>
      </c>
      <c r="L608" s="1807">
        <v>111219.36</v>
      </c>
      <c r="M608" s="1807">
        <v>69933.539999999994</v>
      </c>
      <c r="N608" s="922">
        <v>0</v>
      </c>
    </row>
    <row r="609" spans="1:14" ht="13">
      <c r="A609" s="922" t="s">
        <v>703</v>
      </c>
      <c r="B609" s="1806">
        <v>506152.5</v>
      </c>
      <c r="C609" s="922">
        <v>0</v>
      </c>
      <c r="D609" s="922">
        <v>0</v>
      </c>
      <c r="E609" s="922">
        <v>0</v>
      </c>
      <c r="F609" s="922">
        <v>0</v>
      </c>
      <c r="G609" s="922">
        <v>0</v>
      </c>
      <c r="H609" s="922">
        <v>0</v>
      </c>
      <c r="I609" s="1807">
        <v>60625.15</v>
      </c>
      <c r="J609" s="1807">
        <v>77561.100000000006</v>
      </c>
      <c r="K609" s="922">
        <v>0</v>
      </c>
      <c r="L609" s="1807">
        <v>92101</v>
      </c>
      <c r="M609" s="922">
        <v>0</v>
      </c>
      <c r="N609" s="1807">
        <v>275865.25</v>
      </c>
    </row>
    <row r="610" spans="1:14" ht="13">
      <c r="A610" s="922" t="s">
        <v>684</v>
      </c>
      <c r="B610" s="1806">
        <v>58813717.630000003</v>
      </c>
      <c r="C610" s="1807">
        <v>5719367.5</v>
      </c>
      <c r="D610" s="1807">
        <v>6204533.1299999999</v>
      </c>
      <c r="E610" s="1807">
        <v>5071565.4000000004</v>
      </c>
      <c r="F610" s="1807">
        <v>7120653.9299999997</v>
      </c>
      <c r="G610" s="1807">
        <v>4576816.55</v>
      </c>
      <c r="H610" s="1807">
        <v>3492987.83</v>
      </c>
      <c r="I610" s="1807">
        <v>6598475.25</v>
      </c>
      <c r="J610" s="1807">
        <v>4374336.3600000003</v>
      </c>
      <c r="K610" s="1807">
        <v>6994195.3600000003</v>
      </c>
      <c r="L610" s="1807">
        <v>4394085.6500000004</v>
      </c>
      <c r="M610" s="1807">
        <v>2567739.0499999998</v>
      </c>
      <c r="N610" s="1807">
        <v>1698961.63</v>
      </c>
    </row>
    <row r="611" spans="1:14" ht="13">
      <c r="A611" s="922" t="s">
        <v>793</v>
      </c>
      <c r="B611" s="1806">
        <v>3987774.25</v>
      </c>
      <c r="C611" s="922">
        <v>0</v>
      </c>
      <c r="D611" s="1807">
        <v>269696.67</v>
      </c>
      <c r="E611" s="922">
        <v>0</v>
      </c>
      <c r="F611" s="1807">
        <v>185020.2</v>
      </c>
      <c r="G611" s="1807">
        <v>372073.14</v>
      </c>
      <c r="H611" s="1807">
        <v>185873.44</v>
      </c>
      <c r="I611" s="1807">
        <v>824446.91</v>
      </c>
      <c r="J611" s="1807">
        <v>150118</v>
      </c>
      <c r="K611" s="1807">
        <v>269667.45</v>
      </c>
      <c r="L611" s="1807">
        <v>415402.84</v>
      </c>
      <c r="M611" s="922">
        <v>0</v>
      </c>
      <c r="N611" s="1807">
        <v>1315475.6000000001</v>
      </c>
    </row>
    <row r="612" spans="1:14" ht="13">
      <c r="A612" s="922" t="s">
        <v>705</v>
      </c>
      <c r="B612" s="1806">
        <v>15227843</v>
      </c>
      <c r="C612" s="1807">
        <v>1570641.24</v>
      </c>
      <c r="D612" s="1807">
        <v>1400968.98</v>
      </c>
      <c r="E612" s="1807">
        <v>1039724.74</v>
      </c>
      <c r="F612" s="1807">
        <v>1314941.8400000001</v>
      </c>
      <c r="G612" s="1807">
        <v>962283.15</v>
      </c>
      <c r="H612" s="1807">
        <v>845350.29</v>
      </c>
      <c r="I612" s="1807">
        <v>993322.32</v>
      </c>
      <c r="J612" s="1807">
        <v>1325245.6599999999</v>
      </c>
      <c r="K612" s="1807">
        <v>1616143.33</v>
      </c>
      <c r="L612" s="1807">
        <v>2388203.13</v>
      </c>
      <c r="M612" s="1807">
        <v>595893.34</v>
      </c>
      <c r="N612" s="1807">
        <v>1175124.98</v>
      </c>
    </row>
    <row r="613" spans="1:14" ht="13">
      <c r="A613" s="922" t="s">
        <v>766</v>
      </c>
      <c r="B613" s="1806">
        <v>1608396.18</v>
      </c>
      <c r="C613" s="922">
        <v>0</v>
      </c>
      <c r="D613" s="1807">
        <v>254796</v>
      </c>
      <c r="E613" s="922">
        <v>0</v>
      </c>
      <c r="F613" s="1807">
        <v>510356.7</v>
      </c>
      <c r="G613" s="1807">
        <v>48204.1</v>
      </c>
      <c r="H613" s="1807">
        <v>129292.8</v>
      </c>
      <c r="I613" s="1807">
        <v>294183.67999999999</v>
      </c>
      <c r="J613" s="922">
        <v>0</v>
      </c>
      <c r="K613" s="922">
        <v>0</v>
      </c>
      <c r="L613" s="1807">
        <v>102086.52</v>
      </c>
      <c r="M613" s="922">
        <v>0</v>
      </c>
      <c r="N613" s="1807">
        <v>269476.38</v>
      </c>
    </row>
    <row r="614" spans="1:14" ht="13">
      <c r="A614" s="922" t="s">
        <v>715</v>
      </c>
      <c r="B614" s="1806">
        <v>21872811.16</v>
      </c>
      <c r="C614" s="1807">
        <v>1809807.63</v>
      </c>
      <c r="D614" s="1807">
        <v>1473055.51</v>
      </c>
      <c r="E614" s="1807">
        <v>1623645.06</v>
      </c>
      <c r="F614" s="1807">
        <v>1359116.12</v>
      </c>
      <c r="G614" s="1807">
        <v>593910.96</v>
      </c>
      <c r="H614" s="1807">
        <v>1561439.99</v>
      </c>
      <c r="I614" s="1807">
        <v>2075707.62</v>
      </c>
      <c r="J614" s="1807">
        <v>2221116.5099999998</v>
      </c>
      <c r="K614" s="1807">
        <v>2638006.94</v>
      </c>
      <c r="L614" s="1807">
        <v>1607691.85</v>
      </c>
      <c r="M614" s="1807">
        <v>1553875.09</v>
      </c>
      <c r="N614" s="1807">
        <v>3355437.87</v>
      </c>
    </row>
    <row r="615" spans="1:14" ht="13">
      <c r="A615" s="922" t="s">
        <v>806</v>
      </c>
      <c r="B615" s="1806">
        <v>4117812.4</v>
      </c>
      <c r="C615" s="922">
        <v>0</v>
      </c>
      <c r="D615" s="1807">
        <v>542559.5</v>
      </c>
      <c r="E615" s="922">
        <v>0</v>
      </c>
      <c r="F615" s="1807">
        <v>322124.78999999998</v>
      </c>
      <c r="G615" s="922">
        <v>0</v>
      </c>
      <c r="H615" s="1807">
        <v>1138514.8799999999</v>
      </c>
      <c r="I615" s="1807">
        <v>590950.41</v>
      </c>
      <c r="J615" s="922">
        <v>0</v>
      </c>
      <c r="K615" s="1807">
        <v>1017239.67</v>
      </c>
      <c r="L615" s="922">
        <v>0</v>
      </c>
      <c r="M615" s="922">
        <v>0</v>
      </c>
      <c r="N615" s="1807">
        <v>506423.14</v>
      </c>
    </row>
    <row r="616" spans="1:14" ht="13">
      <c r="A616" s="922" t="s">
        <v>790</v>
      </c>
      <c r="B616" s="1806">
        <v>1741235.26</v>
      </c>
      <c r="C616" s="1807">
        <v>418163.35</v>
      </c>
      <c r="D616" s="1807">
        <v>255803.91</v>
      </c>
      <c r="E616" s="1807">
        <v>377375.91</v>
      </c>
      <c r="F616" s="1807">
        <v>244449.17</v>
      </c>
      <c r="G616" s="1807">
        <v>90194.86</v>
      </c>
      <c r="H616" s="1807">
        <v>146820.92000000001</v>
      </c>
      <c r="I616" s="1807">
        <v>208427.15</v>
      </c>
      <c r="J616" s="922">
        <v>0</v>
      </c>
      <c r="K616" s="922">
        <v>0</v>
      </c>
      <c r="L616" s="922">
        <v>0</v>
      </c>
      <c r="M616" s="922">
        <v>0</v>
      </c>
      <c r="N616" s="922">
        <v>0</v>
      </c>
    </row>
    <row r="617" spans="1:14" ht="13">
      <c r="A617" s="922" t="s">
        <v>767</v>
      </c>
      <c r="B617" s="1806">
        <v>2242434.81</v>
      </c>
      <c r="C617" s="1807">
        <v>56643.51</v>
      </c>
      <c r="D617" s="1807">
        <v>301454.06</v>
      </c>
      <c r="E617" s="1807">
        <v>151603.34</v>
      </c>
      <c r="F617" s="1807">
        <v>177925.62</v>
      </c>
      <c r="G617" s="1807">
        <v>142680.75</v>
      </c>
      <c r="H617" s="1807">
        <v>78866.539999999994</v>
      </c>
      <c r="I617" s="1807">
        <v>274405.53999999998</v>
      </c>
      <c r="J617" s="1807">
        <v>231041.02</v>
      </c>
      <c r="K617" s="1807">
        <v>104586.46</v>
      </c>
      <c r="L617" s="1807">
        <v>382938.23</v>
      </c>
      <c r="M617" s="1807">
        <v>309571.03999999998</v>
      </c>
      <c r="N617" s="1807">
        <v>30718.7</v>
      </c>
    </row>
    <row r="618" spans="1:14" ht="13">
      <c r="A618" s="922" t="s">
        <v>807</v>
      </c>
      <c r="B618" s="1806">
        <v>1996411.57</v>
      </c>
      <c r="C618" s="922">
        <v>0</v>
      </c>
      <c r="D618" s="922">
        <v>0</v>
      </c>
      <c r="E618" s="922">
        <v>0</v>
      </c>
      <c r="F618" s="1807">
        <v>187000.83</v>
      </c>
      <c r="G618" s="1807">
        <v>15638.02</v>
      </c>
      <c r="H618" s="1807">
        <v>59095.040000000001</v>
      </c>
      <c r="I618" s="1807">
        <v>168721.49</v>
      </c>
      <c r="J618" s="922">
        <v>0</v>
      </c>
      <c r="K618" s="922">
        <v>0</v>
      </c>
      <c r="L618" s="1807">
        <v>701304.96</v>
      </c>
      <c r="M618" s="1807">
        <v>864651.24</v>
      </c>
      <c r="N618" s="922">
        <v>0</v>
      </c>
    </row>
    <row r="619" spans="1:14" ht="13">
      <c r="A619" s="922" t="s">
        <v>788</v>
      </c>
      <c r="B619" s="1806">
        <v>5742450.1100000003</v>
      </c>
      <c r="C619" s="1807">
        <v>214329.39</v>
      </c>
      <c r="D619" s="1807">
        <v>148470.91</v>
      </c>
      <c r="E619" s="1807">
        <v>372304.05</v>
      </c>
      <c r="F619" s="1807">
        <v>296098.89</v>
      </c>
      <c r="G619" s="1807">
        <v>581831.39</v>
      </c>
      <c r="H619" s="1807">
        <v>364510.35</v>
      </c>
      <c r="I619" s="1807">
        <v>335668.85</v>
      </c>
      <c r="J619" s="1807">
        <v>445219.77</v>
      </c>
      <c r="K619" s="1807">
        <v>699856.43</v>
      </c>
      <c r="L619" s="1807">
        <v>872032.11</v>
      </c>
      <c r="M619" s="1807">
        <v>833612.77</v>
      </c>
      <c r="N619" s="1807">
        <v>578515.21</v>
      </c>
    </row>
    <row r="620" spans="1:14" ht="13">
      <c r="A620" s="922" t="s">
        <v>712</v>
      </c>
      <c r="B620" s="1806">
        <v>18151865.390000001</v>
      </c>
      <c r="C620" s="1807">
        <v>1255840.05</v>
      </c>
      <c r="D620" s="1807">
        <v>1509609.52</v>
      </c>
      <c r="E620" s="1807">
        <v>1411941.17</v>
      </c>
      <c r="F620" s="1807">
        <v>1292215.6000000001</v>
      </c>
      <c r="G620" s="1807">
        <v>996500.35</v>
      </c>
      <c r="H620" s="1807">
        <v>1185654.72</v>
      </c>
      <c r="I620" s="1807">
        <v>1879226.47</v>
      </c>
      <c r="J620" s="1807">
        <v>905736.36</v>
      </c>
      <c r="K620" s="1807">
        <v>2224287.59</v>
      </c>
      <c r="L620" s="1807">
        <v>1675012.46</v>
      </c>
      <c r="M620" s="1807">
        <v>1421602.71</v>
      </c>
      <c r="N620" s="1807">
        <v>2394238.38</v>
      </c>
    </row>
    <row r="621" spans="1:14" ht="13">
      <c r="A621" s="922" t="s">
        <v>812</v>
      </c>
      <c r="B621" s="1806">
        <v>1158652.67</v>
      </c>
      <c r="C621" s="1807">
        <v>122825.67</v>
      </c>
      <c r="D621" s="1807">
        <v>112044.23</v>
      </c>
      <c r="E621" s="1807">
        <v>111386.14</v>
      </c>
      <c r="F621" s="1807">
        <v>74993.14</v>
      </c>
      <c r="G621" s="1807">
        <v>100897.52</v>
      </c>
      <c r="H621" s="922">
        <v>0</v>
      </c>
      <c r="I621" s="1807">
        <v>73575.12</v>
      </c>
      <c r="J621" s="1807">
        <v>79750.89</v>
      </c>
      <c r="K621" s="1807">
        <v>54000.19</v>
      </c>
      <c r="L621" s="1807">
        <v>213462.03</v>
      </c>
      <c r="M621" s="1807">
        <v>91993.26</v>
      </c>
      <c r="N621" s="1807">
        <v>123724.48</v>
      </c>
    </row>
    <row r="622" spans="1:14" ht="13">
      <c r="A622" s="922" t="s">
        <v>810</v>
      </c>
      <c r="B622" s="1806">
        <v>84693.84</v>
      </c>
      <c r="C622" s="922">
        <v>0</v>
      </c>
      <c r="D622" s="922">
        <v>0</v>
      </c>
      <c r="E622" s="922">
        <v>0</v>
      </c>
      <c r="F622" s="922">
        <v>0</v>
      </c>
      <c r="G622" s="922">
        <v>0</v>
      </c>
      <c r="H622" s="922">
        <v>0</v>
      </c>
      <c r="I622" s="922">
        <v>0</v>
      </c>
      <c r="J622" s="1807">
        <v>84693.84</v>
      </c>
      <c r="K622" s="922">
        <v>0</v>
      </c>
      <c r="L622" s="922">
        <v>0</v>
      </c>
      <c r="M622" s="922">
        <v>0</v>
      </c>
      <c r="N622" s="922">
        <v>0</v>
      </c>
    </row>
    <row r="623" spans="1:14" ht="13">
      <c r="B623" s="553"/>
      <c r="C623" s="1789"/>
    </row>
    <row r="624" spans="1:14" ht="13">
      <c r="B624" s="553"/>
      <c r="C624" s="1789"/>
    </row>
    <row r="625" spans="1:14" ht="13">
      <c r="B625" s="553"/>
      <c r="C625" s="1789"/>
    </row>
    <row r="626" spans="1:14" ht="13">
      <c r="B626" s="553"/>
      <c r="C626" s="1789"/>
    </row>
    <row r="627" spans="1:14" ht="13">
      <c r="B627" s="553"/>
      <c r="C627" s="1789"/>
    </row>
    <row r="628" spans="1:14" ht="13">
      <c r="B628" s="553"/>
      <c r="C628" s="1789"/>
    </row>
    <row r="629" spans="1:14" ht="13">
      <c r="B629" s="553"/>
      <c r="C629" s="1789"/>
    </row>
    <row r="630" spans="1:14" ht="13">
      <c r="A630" s="1812" t="s">
        <v>10</v>
      </c>
      <c r="B630" s="1813" t="s">
        <v>241</v>
      </c>
      <c r="C630" s="1814">
        <v>45292</v>
      </c>
      <c r="D630" s="1815">
        <v>45323</v>
      </c>
      <c r="E630" s="1815">
        <v>45352</v>
      </c>
      <c r="F630" s="1815">
        <v>45383</v>
      </c>
      <c r="G630" s="1815">
        <v>45413</v>
      </c>
      <c r="H630" s="1815">
        <v>45444</v>
      </c>
      <c r="I630" s="1815">
        <v>45474</v>
      </c>
      <c r="J630" s="1815">
        <v>45505</v>
      </c>
      <c r="K630" s="1815">
        <v>45536</v>
      </c>
      <c r="L630" s="1816">
        <v>45566</v>
      </c>
      <c r="M630" s="1816">
        <v>45597</v>
      </c>
      <c r="N630" s="1817">
        <v>45627</v>
      </c>
    </row>
    <row r="631" spans="1:14" ht="13">
      <c r="A631" s="1818" t="s">
        <v>241</v>
      </c>
      <c r="B631" s="1819">
        <v>718459616.46000004</v>
      </c>
      <c r="C631" s="1820">
        <v>42968109.57</v>
      </c>
      <c r="D631" s="361">
        <v>46155197.539999999</v>
      </c>
      <c r="E631" s="361">
        <v>38968983.789999999</v>
      </c>
      <c r="F631" s="361">
        <v>55483533.469999999</v>
      </c>
      <c r="G631" s="361">
        <v>48332562.479999997</v>
      </c>
      <c r="H631" s="361">
        <v>43714313.479999997</v>
      </c>
      <c r="I631" s="361">
        <v>60219227.890000001</v>
      </c>
      <c r="J631" s="361">
        <v>75670692.290000007</v>
      </c>
      <c r="K631" s="361">
        <v>64215271.170000002</v>
      </c>
      <c r="L631" s="361">
        <v>81901715.590000004</v>
      </c>
      <c r="M631" s="361">
        <v>75162624.219999999</v>
      </c>
      <c r="N631" s="1821">
        <v>85667384.969999999</v>
      </c>
    </row>
    <row r="632" spans="1:14" ht="13">
      <c r="A632" s="1818" t="s">
        <v>838</v>
      </c>
      <c r="B632" s="1819">
        <v>192275420.12</v>
      </c>
      <c r="C632" s="1820">
        <v>9267761.5500000007</v>
      </c>
      <c r="D632" s="361">
        <v>11744122.75</v>
      </c>
      <c r="E632" s="361">
        <v>10684985.48</v>
      </c>
      <c r="F632" s="361">
        <v>17855790.890000001</v>
      </c>
      <c r="G632" s="361">
        <v>12960737.51</v>
      </c>
      <c r="H632" s="361">
        <v>11016822.119999999</v>
      </c>
      <c r="I632" s="361">
        <v>14745929.789999999</v>
      </c>
      <c r="J632" s="361">
        <v>19836722.57</v>
      </c>
      <c r="K632" s="361">
        <v>13977961.16</v>
      </c>
      <c r="L632" s="361">
        <v>21720630.199999999</v>
      </c>
      <c r="M632" s="361">
        <v>19991728.510000002</v>
      </c>
      <c r="N632" s="1821">
        <v>28472227.59</v>
      </c>
    </row>
    <row r="633" spans="1:14" ht="13">
      <c r="A633" s="1818" t="s">
        <v>855</v>
      </c>
      <c r="B633" s="1819">
        <v>53434890.200000003</v>
      </c>
      <c r="C633" s="1820">
        <v>2793521.9</v>
      </c>
      <c r="D633" s="361">
        <v>3316881.23</v>
      </c>
      <c r="E633" s="361">
        <v>3270572.64</v>
      </c>
      <c r="F633" s="361">
        <v>3404915.62</v>
      </c>
      <c r="G633" s="361">
        <v>3942353.68</v>
      </c>
      <c r="H633" s="361">
        <v>3090813.4</v>
      </c>
      <c r="I633" s="361">
        <v>5409997.2999999998</v>
      </c>
      <c r="J633" s="361">
        <v>5242853.13</v>
      </c>
      <c r="K633" s="361">
        <v>5765366.5800000001</v>
      </c>
      <c r="L633" s="361">
        <v>6019658.46</v>
      </c>
      <c r="M633" s="361">
        <v>6050063.8399999999</v>
      </c>
      <c r="N633" s="1821">
        <v>5127892.41</v>
      </c>
    </row>
    <row r="634" spans="1:14" ht="13">
      <c r="A634" s="1818" t="s">
        <v>839</v>
      </c>
      <c r="B634" s="1819">
        <v>41185326.509999998</v>
      </c>
      <c r="C634" s="1820">
        <v>2289377.09</v>
      </c>
      <c r="D634" s="361">
        <v>3494570.6</v>
      </c>
      <c r="E634" s="361">
        <v>1235114.03</v>
      </c>
      <c r="F634" s="361">
        <v>3200540.57</v>
      </c>
      <c r="G634" s="361">
        <v>3251510.82</v>
      </c>
      <c r="H634" s="361">
        <v>1569415.05</v>
      </c>
      <c r="I634" s="361">
        <v>6861842.4900000002</v>
      </c>
      <c r="J634" s="361">
        <v>5344121.8499999996</v>
      </c>
      <c r="K634" s="361">
        <v>145911.15</v>
      </c>
      <c r="L634" s="361">
        <v>5249674.58</v>
      </c>
      <c r="M634" s="361">
        <v>3439188.18</v>
      </c>
      <c r="N634" s="1821">
        <v>5104060.0999999996</v>
      </c>
    </row>
    <row r="635" spans="1:14" ht="13">
      <c r="A635" s="1818" t="s">
        <v>847</v>
      </c>
      <c r="B635" s="1819">
        <v>31668627.609999999</v>
      </c>
      <c r="C635" s="1820">
        <v>1278593.6399999999</v>
      </c>
      <c r="D635" s="361">
        <v>1214728.3</v>
      </c>
      <c r="E635" s="361">
        <v>2899077.94</v>
      </c>
      <c r="F635" s="361">
        <v>592575.76</v>
      </c>
      <c r="G635" s="361">
        <v>3087884.72</v>
      </c>
      <c r="H635" s="361">
        <v>2635741.44</v>
      </c>
      <c r="I635" s="361">
        <v>1999967.12</v>
      </c>
      <c r="J635" s="361">
        <v>3370078.72</v>
      </c>
      <c r="K635" s="361">
        <v>2500246.9</v>
      </c>
      <c r="L635" s="361">
        <v>3675996.84</v>
      </c>
      <c r="M635" s="361">
        <v>4621544.67</v>
      </c>
      <c r="N635" s="1821">
        <v>3792191.56</v>
      </c>
    </row>
    <row r="636" spans="1:14" ht="13">
      <c r="A636" s="1818" t="s">
        <v>874</v>
      </c>
      <c r="B636" s="1819">
        <v>26897655.579999998</v>
      </c>
      <c r="C636" s="1822">
        <v>0</v>
      </c>
      <c r="D636" s="365">
        <v>0</v>
      </c>
      <c r="E636" s="365">
        <v>0</v>
      </c>
      <c r="F636" s="365">
        <v>0</v>
      </c>
      <c r="G636" s="365">
        <v>0</v>
      </c>
      <c r="H636" s="365">
        <v>0</v>
      </c>
      <c r="I636" s="361">
        <v>6906713.25</v>
      </c>
      <c r="J636" s="361">
        <v>8228631.6799999997</v>
      </c>
      <c r="K636" s="361">
        <v>2543214.5299999998</v>
      </c>
      <c r="L636" s="361">
        <v>4728090.6500000004</v>
      </c>
      <c r="M636" s="361">
        <v>4451653.58</v>
      </c>
      <c r="N636" s="1821">
        <v>39351.9</v>
      </c>
    </row>
    <row r="637" spans="1:14" ht="13">
      <c r="A637" s="1818" t="s">
        <v>845</v>
      </c>
      <c r="B637" s="1819">
        <v>24244246.850000001</v>
      </c>
      <c r="C637" s="1820">
        <v>2217957.06</v>
      </c>
      <c r="D637" s="361">
        <v>2111515.04</v>
      </c>
      <c r="E637" s="361">
        <v>1206710.6499999999</v>
      </c>
      <c r="F637" s="361">
        <v>3128790.1</v>
      </c>
      <c r="G637" s="361">
        <v>1704265.31</v>
      </c>
      <c r="H637" s="361">
        <v>1520866.88</v>
      </c>
      <c r="I637" s="361">
        <v>1392739.81</v>
      </c>
      <c r="J637" s="361">
        <v>1609630.65</v>
      </c>
      <c r="K637" s="361">
        <v>1891099.47</v>
      </c>
      <c r="L637" s="361">
        <v>2965443.34</v>
      </c>
      <c r="M637" s="361">
        <v>1732224.05</v>
      </c>
      <c r="N637" s="1821">
        <v>2763004.49</v>
      </c>
    </row>
    <row r="638" spans="1:14" ht="13">
      <c r="A638" s="1818" t="s">
        <v>844</v>
      </c>
      <c r="B638" s="1819">
        <v>20473706.420000002</v>
      </c>
      <c r="C638" s="1820">
        <v>3568021.65</v>
      </c>
      <c r="D638" s="361">
        <v>2408517.33</v>
      </c>
      <c r="E638" s="361">
        <v>1181915.75</v>
      </c>
      <c r="F638" s="361">
        <v>1155180.31</v>
      </c>
      <c r="G638" s="361">
        <v>1871707.81</v>
      </c>
      <c r="H638" s="361">
        <v>1001789.91</v>
      </c>
      <c r="I638" s="361">
        <v>1270710.49</v>
      </c>
      <c r="J638" s="361">
        <v>1019682.11</v>
      </c>
      <c r="K638" s="361">
        <v>1428073.3</v>
      </c>
      <c r="L638" s="361">
        <v>1426111.8</v>
      </c>
      <c r="M638" s="361">
        <v>2728335.02</v>
      </c>
      <c r="N638" s="1821">
        <v>1413660.94</v>
      </c>
    </row>
    <row r="639" spans="1:14" ht="13">
      <c r="A639" s="1818" t="s">
        <v>925</v>
      </c>
      <c r="B639" s="1819">
        <v>17174007.550000001</v>
      </c>
      <c r="C639" s="1820">
        <v>260614.25</v>
      </c>
      <c r="D639" s="361">
        <v>1590666.88</v>
      </c>
      <c r="E639" s="361">
        <v>102083.7</v>
      </c>
      <c r="F639" s="361">
        <v>1146533.47</v>
      </c>
      <c r="G639" s="361">
        <v>1871200.71</v>
      </c>
      <c r="H639" s="361">
        <v>1626564.79</v>
      </c>
      <c r="I639" s="361">
        <v>1770774.13</v>
      </c>
      <c r="J639" s="361">
        <v>1953964.12</v>
      </c>
      <c r="K639" s="361">
        <v>3229780.18</v>
      </c>
      <c r="L639" s="361">
        <v>86924</v>
      </c>
      <c r="M639" s="361">
        <v>3070347.53</v>
      </c>
      <c r="N639" s="1821">
        <v>464553.81</v>
      </c>
    </row>
    <row r="640" spans="1:14" ht="13">
      <c r="A640" s="1818" t="s">
        <v>1638</v>
      </c>
      <c r="B640" s="1819">
        <v>16724366.609999999</v>
      </c>
      <c r="C640" s="1820">
        <v>1154279.1000000001</v>
      </c>
      <c r="D640" s="361">
        <v>1343791.62</v>
      </c>
      <c r="E640" s="361">
        <v>752772.01</v>
      </c>
      <c r="F640" s="361">
        <v>930125.69</v>
      </c>
      <c r="G640" s="361">
        <v>1783898.93</v>
      </c>
      <c r="H640" s="361">
        <v>2555920.39</v>
      </c>
      <c r="I640" s="361">
        <v>50385.120000000003</v>
      </c>
      <c r="J640" s="361">
        <v>2335141.34</v>
      </c>
      <c r="K640" s="361">
        <v>1813208.3</v>
      </c>
      <c r="L640" s="361">
        <v>1592243.57</v>
      </c>
      <c r="M640" s="361">
        <v>835698.22</v>
      </c>
      <c r="N640" s="1821">
        <v>1576902.31</v>
      </c>
    </row>
    <row r="641" spans="1:14" ht="13">
      <c r="A641" s="1818" t="s">
        <v>840</v>
      </c>
      <c r="B641" s="1819">
        <v>12727636.33</v>
      </c>
      <c r="C641" s="1820">
        <v>941653.52</v>
      </c>
      <c r="D641" s="361">
        <v>1195933.05</v>
      </c>
      <c r="E641" s="361">
        <v>1534721.86</v>
      </c>
      <c r="F641" s="361">
        <v>1311063.3999999999</v>
      </c>
      <c r="G641" s="361">
        <v>611455.54</v>
      </c>
      <c r="H641" s="361">
        <v>479381.61</v>
      </c>
      <c r="I641" s="361">
        <v>850729.67</v>
      </c>
      <c r="J641" s="361">
        <v>856673.97</v>
      </c>
      <c r="K641" s="361">
        <v>105086.36</v>
      </c>
      <c r="L641" s="361">
        <v>1688322.66</v>
      </c>
      <c r="M641" s="361">
        <v>1950554.82</v>
      </c>
      <c r="N641" s="1821">
        <v>1202059.8600000001</v>
      </c>
    </row>
    <row r="642" spans="1:14" ht="13">
      <c r="A642" s="1818" t="s">
        <v>857</v>
      </c>
      <c r="B642" s="1819">
        <v>12436720.08</v>
      </c>
      <c r="C642" s="1820">
        <v>386401.71</v>
      </c>
      <c r="D642" s="361">
        <v>548400.23</v>
      </c>
      <c r="E642" s="361">
        <v>2203009.67</v>
      </c>
      <c r="F642" s="361">
        <v>1782754.25</v>
      </c>
      <c r="G642" s="361">
        <v>414624.25</v>
      </c>
      <c r="H642" s="361">
        <v>272592.61</v>
      </c>
      <c r="I642" s="361">
        <v>493252.71</v>
      </c>
      <c r="J642" s="361">
        <v>506698.26</v>
      </c>
      <c r="K642" s="361">
        <v>1478046.19</v>
      </c>
      <c r="L642" s="361">
        <v>1411326.69</v>
      </c>
      <c r="M642" s="361">
        <v>944875.61</v>
      </c>
      <c r="N642" s="1821">
        <v>1994737.9</v>
      </c>
    </row>
    <row r="643" spans="1:14" ht="13">
      <c r="A643" s="1818" t="s">
        <v>862</v>
      </c>
      <c r="B643" s="1819">
        <v>11799998.5</v>
      </c>
      <c r="C643" s="1820">
        <v>1607756.26</v>
      </c>
      <c r="D643" s="361">
        <v>757843.99</v>
      </c>
      <c r="E643" s="361">
        <v>678809.28</v>
      </c>
      <c r="F643" s="361">
        <v>1834320.42</v>
      </c>
      <c r="G643" s="361">
        <v>200850.93</v>
      </c>
      <c r="H643" s="361">
        <v>766332.01</v>
      </c>
      <c r="I643" s="361">
        <v>767680.06</v>
      </c>
      <c r="J643" s="361">
        <v>1063914.81</v>
      </c>
      <c r="K643" s="361">
        <v>560175.21</v>
      </c>
      <c r="L643" s="361">
        <v>1875253.78</v>
      </c>
      <c r="M643" s="361">
        <v>1342831.83</v>
      </c>
      <c r="N643" s="1821">
        <v>344229.93</v>
      </c>
    </row>
    <row r="644" spans="1:14" ht="13">
      <c r="A644" s="1818" t="s">
        <v>848</v>
      </c>
      <c r="B644" s="1819">
        <v>11023655.35</v>
      </c>
      <c r="C644" s="1820">
        <v>754197.82</v>
      </c>
      <c r="D644" s="361">
        <v>588675.17000000004</v>
      </c>
      <c r="E644" s="361">
        <v>579244.59</v>
      </c>
      <c r="F644" s="361">
        <v>1878065.03</v>
      </c>
      <c r="G644" s="361">
        <v>622133.68000000005</v>
      </c>
      <c r="H644" s="361">
        <v>313572.02</v>
      </c>
      <c r="I644" s="361">
        <v>1346109.26</v>
      </c>
      <c r="J644" s="361">
        <v>1125305.07</v>
      </c>
      <c r="K644" s="361">
        <v>1110407.1100000001</v>
      </c>
      <c r="L644" s="361">
        <v>1271700.78</v>
      </c>
      <c r="M644" s="361">
        <v>288472.05</v>
      </c>
      <c r="N644" s="1821">
        <v>1145772.77</v>
      </c>
    </row>
    <row r="645" spans="1:14" ht="13">
      <c r="A645" s="1818" t="s">
        <v>926</v>
      </c>
      <c r="B645" s="1819">
        <v>10145025.710000001</v>
      </c>
      <c r="C645" s="1820">
        <v>1236321.46</v>
      </c>
      <c r="D645" s="361">
        <v>207067.12</v>
      </c>
      <c r="E645" s="361">
        <v>227897.72</v>
      </c>
      <c r="F645" s="361">
        <v>1013007.39</v>
      </c>
      <c r="G645" s="361">
        <v>483915.23</v>
      </c>
      <c r="H645" s="361">
        <v>568127.49</v>
      </c>
      <c r="I645" s="361">
        <v>745645.49</v>
      </c>
      <c r="J645" s="361">
        <v>344385.65</v>
      </c>
      <c r="K645" s="361">
        <v>3181333.84</v>
      </c>
      <c r="L645" s="365">
        <v>0</v>
      </c>
      <c r="M645" s="361">
        <v>391920.08</v>
      </c>
      <c r="N645" s="1821">
        <v>1745404.24</v>
      </c>
    </row>
    <row r="646" spans="1:14" ht="13">
      <c r="A646" s="1818" t="s">
        <v>935</v>
      </c>
      <c r="B646" s="1819">
        <v>8937831.9600000009</v>
      </c>
      <c r="C646" s="1820">
        <v>524884.67000000004</v>
      </c>
      <c r="D646" s="361">
        <v>444038.43</v>
      </c>
      <c r="E646" s="361">
        <v>510687.49</v>
      </c>
      <c r="F646" s="361">
        <v>808327.17</v>
      </c>
      <c r="G646" s="361">
        <v>587355.94999999995</v>
      </c>
      <c r="H646" s="361">
        <v>497226.01</v>
      </c>
      <c r="I646" s="361">
        <v>457780.87</v>
      </c>
      <c r="J646" s="361">
        <v>1237590.73</v>
      </c>
      <c r="K646" s="361">
        <v>616077.30000000005</v>
      </c>
      <c r="L646" s="361">
        <v>1261182.23</v>
      </c>
      <c r="M646" s="361">
        <v>1008374.14</v>
      </c>
      <c r="N646" s="1821">
        <v>984306.97</v>
      </c>
    </row>
    <row r="647" spans="1:14" ht="13">
      <c r="A647" s="1818" t="s">
        <v>846</v>
      </c>
      <c r="B647" s="1819">
        <v>8195434.2199999997</v>
      </c>
      <c r="C647" s="1822">
        <v>0</v>
      </c>
      <c r="D647" s="365">
        <v>0</v>
      </c>
      <c r="E647" s="365">
        <v>0</v>
      </c>
      <c r="F647" s="361">
        <v>794111.82</v>
      </c>
      <c r="G647" s="361">
        <v>299238.65000000002</v>
      </c>
      <c r="H647" s="361">
        <v>889003.83</v>
      </c>
      <c r="I647" s="361">
        <v>252197.94</v>
      </c>
      <c r="J647" s="361">
        <v>967114.02</v>
      </c>
      <c r="K647" s="361">
        <v>2310629.42</v>
      </c>
      <c r="L647" s="361">
        <v>1180351.98</v>
      </c>
      <c r="M647" s="361">
        <v>991301.95</v>
      </c>
      <c r="N647" s="1821">
        <v>511484.6</v>
      </c>
    </row>
    <row r="648" spans="1:14" ht="13">
      <c r="A648" s="1818" t="s">
        <v>852</v>
      </c>
      <c r="B648" s="1819">
        <v>7662003.2699999996</v>
      </c>
      <c r="C648" s="1820">
        <v>513715.01</v>
      </c>
      <c r="D648" s="361">
        <v>404918.53</v>
      </c>
      <c r="E648" s="361">
        <v>485147.36</v>
      </c>
      <c r="F648" s="361">
        <v>1057646.0800000001</v>
      </c>
      <c r="G648" s="361">
        <v>243392.02</v>
      </c>
      <c r="H648" s="361">
        <v>457742.07</v>
      </c>
      <c r="I648" s="361">
        <v>639994.66</v>
      </c>
      <c r="J648" s="361">
        <v>647281.81999999995</v>
      </c>
      <c r="K648" s="361">
        <v>676191.32</v>
      </c>
      <c r="L648" s="361">
        <v>719463.07</v>
      </c>
      <c r="M648" s="361">
        <v>958506.76</v>
      </c>
      <c r="N648" s="1821">
        <v>858004.56</v>
      </c>
    </row>
    <row r="649" spans="1:14" ht="13">
      <c r="A649" s="1818" t="s">
        <v>864</v>
      </c>
      <c r="B649" s="1819">
        <v>7495693.8700000001</v>
      </c>
      <c r="C649" s="1820">
        <v>256160.57</v>
      </c>
      <c r="D649" s="361">
        <v>316849.25</v>
      </c>
      <c r="E649" s="361">
        <v>345718.47</v>
      </c>
      <c r="F649" s="361">
        <v>169392.56</v>
      </c>
      <c r="G649" s="361">
        <v>328616.99</v>
      </c>
      <c r="H649" s="361">
        <v>491383.37</v>
      </c>
      <c r="I649" s="361">
        <v>423809.3</v>
      </c>
      <c r="J649" s="361">
        <v>697353.24</v>
      </c>
      <c r="K649" s="361">
        <v>1100315.95</v>
      </c>
      <c r="L649" s="361">
        <v>828982.66</v>
      </c>
      <c r="M649" s="361">
        <v>1161065.8700000001</v>
      </c>
      <c r="N649" s="1821">
        <v>1376045.65</v>
      </c>
    </row>
    <row r="650" spans="1:14" ht="13">
      <c r="A650" s="1818" t="s">
        <v>851</v>
      </c>
      <c r="B650" s="1819">
        <v>7248956.3099999996</v>
      </c>
      <c r="C650" s="1820">
        <v>732077.24</v>
      </c>
      <c r="D650" s="361">
        <v>591667.86</v>
      </c>
      <c r="E650" s="361">
        <v>129281.45</v>
      </c>
      <c r="F650" s="361">
        <v>490734.37</v>
      </c>
      <c r="G650" s="361">
        <v>378681.54</v>
      </c>
      <c r="H650" s="361">
        <v>429783.88</v>
      </c>
      <c r="I650" s="361">
        <v>548376.05000000005</v>
      </c>
      <c r="J650" s="361">
        <v>562861.25</v>
      </c>
      <c r="K650" s="361">
        <v>713826.7</v>
      </c>
      <c r="L650" s="361">
        <v>1158701.74</v>
      </c>
      <c r="M650" s="361">
        <v>620278.5</v>
      </c>
      <c r="N650" s="1821">
        <v>892685.73</v>
      </c>
    </row>
    <row r="651" spans="1:14" ht="13">
      <c r="A651" s="1818" t="s">
        <v>858</v>
      </c>
      <c r="B651" s="1819">
        <v>7009627.7300000004</v>
      </c>
      <c r="C651" s="1820">
        <v>191534.6</v>
      </c>
      <c r="D651" s="361">
        <v>439466.6</v>
      </c>
      <c r="E651" s="361">
        <v>525156.25</v>
      </c>
      <c r="F651" s="361">
        <v>461023.85</v>
      </c>
      <c r="G651" s="361">
        <v>140403.19</v>
      </c>
      <c r="H651" s="361">
        <v>465294.19</v>
      </c>
      <c r="I651" s="361">
        <v>683333.34</v>
      </c>
      <c r="J651" s="361">
        <v>1185845.6000000001</v>
      </c>
      <c r="K651" s="361">
        <v>538765.32999999996</v>
      </c>
      <c r="L651" s="361">
        <v>996313.34</v>
      </c>
      <c r="M651" s="361">
        <v>689124.3</v>
      </c>
      <c r="N651" s="1821">
        <v>693367.15</v>
      </c>
    </row>
    <row r="652" spans="1:14" ht="13">
      <c r="A652" s="1818" t="s">
        <v>908</v>
      </c>
      <c r="B652" s="1819">
        <v>6836666.5199999996</v>
      </c>
      <c r="C652" s="1822">
        <v>0</v>
      </c>
      <c r="D652" s="365">
        <v>0</v>
      </c>
      <c r="E652" s="365">
        <v>0</v>
      </c>
      <c r="F652" s="365">
        <v>0</v>
      </c>
      <c r="G652" s="365">
        <v>0</v>
      </c>
      <c r="H652" s="365">
        <v>0</v>
      </c>
      <c r="I652" s="365">
        <v>0</v>
      </c>
      <c r="J652" s="361">
        <v>2763235.05</v>
      </c>
      <c r="K652" s="361">
        <v>2492600.46</v>
      </c>
      <c r="L652" s="361">
        <v>1393995.53</v>
      </c>
      <c r="M652" s="365">
        <v>0</v>
      </c>
      <c r="N652" s="1821">
        <v>186835.49</v>
      </c>
    </row>
    <row r="653" spans="1:14" ht="13">
      <c r="A653" s="1818" t="s">
        <v>849</v>
      </c>
      <c r="B653" s="1819">
        <v>6683322.0199999996</v>
      </c>
      <c r="C653" s="1820">
        <v>441483.6</v>
      </c>
      <c r="D653" s="361">
        <v>241201.38</v>
      </c>
      <c r="E653" s="361">
        <v>368000.78</v>
      </c>
      <c r="F653" s="361">
        <v>544077.06000000006</v>
      </c>
      <c r="G653" s="361">
        <v>152366.82</v>
      </c>
      <c r="H653" s="361">
        <v>512720.03</v>
      </c>
      <c r="I653" s="361">
        <v>697302.56</v>
      </c>
      <c r="J653" s="361">
        <v>353559.38</v>
      </c>
      <c r="K653" s="361">
        <v>278457.75</v>
      </c>
      <c r="L653" s="361">
        <v>1404409.18</v>
      </c>
      <c r="M653" s="361">
        <v>837684.22</v>
      </c>
      <c r="N653" s="1821">
        <v>852059.25</v>
      </c>
    </row>
    <row r="654" spans="1:14" ht="13">
      <c r="A654" s="1818" t="s">
        <v>1665</v>
      </c>
      <c r="B654" s="1819">
        <v>6635345.7000000002</v>
      </c>
      <c r="C654" s="1820">
        <v>482759.88</v>
      </c>
      <c r="D654" s="361">
        <v>583950.88</v>
      </c>
      <c r="E654" s="361">
        <v>474286.6</v>
      </c>
      <c r="F654" s="361">
        <v>342150.18</v>
      </c>
      <c r="G654" s="361">
        <v>779286.72</v>
      </c>
      <c r="H654" s="361">
        <v>288180.73</v>
      </c>
      <c r="I654" s="361">
        <v>755867.01</v>
      </c>
      <c r="J654" s="361">
        <v>705411.65</v>
      </c>
      <c r="K654" s="361">
        <v>562833.1</v>
      </c>
      <c r="L654" s="361">
        <v>714779.12</v>
      </c>
      <c r="M654" s="361">
        <v>559738.71</v>
      </c>
      <c r="N654" s="1821">
        <v>386101.12</v>
      </c>
    </row>
    <row r="655" spans="1:14" ht="13">
      <c r="A655" s="1818" t="s">
        <v>927</v>
      </c>
      <c r="B655" s="1819">
        <v>6478972.6299999999</v>
      </c>
      <c r="C655" s="1820">
        <v>559558</v>
      </c>
      <c r="D655" s="361">
        <v>215119.41</v>
      </c>
      <c r="E655" s="361">
        <v>265933.15000000002</v>
      </c>
      <c r="F655" s="361">
        <v>258063.55</v>
      </c>
      <c r="G655" s="361">
        <v>598904.17000000004</v>
      </c>
      <c r="H655" s="361">
        <v>92239.52</v>
      </c>
      <c r="I655" s="365">
        <v>0</v>
      </c>
      <c r="J655" s="361">
        <v>1142155.77</v>
      </c>
      <c r="K655" s="361">
        <v>279784.14</v>
      </c>
      <c r="L655" s="361">
        <v>799028.98</v>
      </c>
      <c r="M655" s="361">
        <v>84199.52</v>
      </c>
      <c r="N655" s="1821">
        <v>2183986.41</v>
      </c>
    </row>
    <row r="656" spans="1:14" ht="13">
      <c r="A656" s="1818" t="s">
        <v>949</v>
      </c>
      <c r="B656" s="1819">
        <v>6343709.6200000001</v>
      </c>
      <c r="C656" s="1820">
        <v>473934.29</v>
      </c>
      <c r="D656" s="361">
        <v>351813.6</v>
      </c>
      <c r="E656" s="361">
        <v>1419071.07</v>
      </c>
      <c r="F656" s="361">
        <v>527196.4</v>
      </c>
      <c r="G656" s="361">
        <v>165429.51</v>
      </c>
      <c r="H656" s="361">
        <v>163294.01</v>
      </c>
      <c r="I656" s="361">
        <v>417122.03</v>
      </c>
      <c r="J656" s="361">
        <v>586250.65</v>
      </c>
      <c r="K656" s="361">
        <v>821206.5</v>
      </c>
      <c r="L656" s="361">
        <v>323049.59999999998</v>
      </c>
      <c r="M656" s="361">
        <v>63062.9</v>
      </c>
      <c r="N656" s="1821">
        <v>1032279.07</v>
      </c>
    </row>
    <row r="657" spans="1:14" ht="13">
      <c r="A657" s="1818" t="s">
        <v>896</v>
      </c>
      <c r="B657" s="1819">
        <v>6229391.4500000002</v>
      </c>
      <c r="C657" s="1820">
        <v>343432.8</v>
      </c>
      <c r="D657" s="361">
        <v>1063706.51</v>
      </c>
      <c r="E657" s="361">
        <v>526052.27</v>
      </c>
      <c r="F657" s="361">
        <v>168963.64</v>
      </c>
      <c r="G657" s="361">
        <v>396372.76</v>
      </c>
      <c r="H657" s="361">
        <v>473173.37</v>
      </c>
      <c r="I657" s="361">
        <v>423453.01</v>
      </c>
      <c r="J657" s="361">
        <v>218349.48</v>
      </c>
      <c r="K657" s="361">
        <v>918325.81</v>
      </c>
      <c r="L657" s="361">
        <v>230071.17</v>
      </c>
      <c r="M657" s="361">
        <v>576350.5</v>
      </c>
      <c r="N657" s="1821">
        <v>891140.13</v>
      </c>
    </row>
    <row r="658" spans="1:14" ht="13">
      <c r="A658" s="1818" t="s">
        <v>947</v>
      </c>
      <c r="B658" s="1819">
        <v>5929226.29</v>
      </c>
      <c r="C658" s="1820">
        <v>139983.79</v>
      </c>
      <c r="D658" s="361">
        <v>1245772.72</v>
      </c>
      <c r="E658" s="361">
        <v>136044.4</v>
      </c>
      <c r="F658" s="361">
        <v>322361.74</v>
      </c>
      <c r="G658" s="361">
        <v>756108.1</v>
      </c>
      <c r="H658" s="361">
        <v>583681.74</v>
      </c>
      <c r="I658" s="361">
        <v>440096.58</v>
      </c>
      <c r="J658" s="361">
        <v>376871.89</v>
      </c>
      <c r="K658" s="361">
        <v>388265.04</v>
      </c>
      <c r="L658" s="361">
        <v>391384.88</v>
      </c>
      <c r="M658" s="361">
        <v>351377.12</v>
      </c>
      <c r="N658" s="1821">
        <v>797278.29</v>
      </c>
    </row>
    <row r="659" spans="1:14" ht="13">
      <c r="A659" s="1818" t="s">
        <v>865</v>
      </c>
      <c r="B659" s="1819">
        <v>5300128.33</v>
      </c>
      <c r="C659" s="1820">
        <v>183916.73</v>
      </c>
      <c r="D659" s="361">
        <v>185942.45</v>
      </c>
      <c r="E659" s="361">
        <v>121370.79</v>
      </c>
      <c r="F659" s="361">
        <v>333405.82</v>
      </c>
      <c r="G659" s="361">
        <v>451702.88</v>
      </c>
      <c r="H659" s="361">
        <v>514027.32</v>
      </c>
      <c r="I659" s="361">
        <v>263752.93</v>
      </c>
      <c r="J659" s="361">
        <v>448662.05</v>
      </c>
      <c r="K659" s="361">
        <v>460061.15</v>
      </c>
      <c r="L659" s="361">
        <v>680643.26</v>
      </c>
      <c r="M659" s="361">
        <v>596923.99</v>
      </c>
      <c r="N659" s="1821">
        <v>1059718.98</v>
      </c>
    </row>
    <row r="660" spans="1:14" ht="13">
      <c r="A660" s="1818" t="s">
        <v>882</v>
      </c>
      <c r="B660" s="1819">
        <v>5080495.6900000004</v>
      </c>
      <c r="C660" s="1820">
        <v>49994.46</v>
      </c>
      <c r="D660" s="361">
        <v>25711.200000000001</v>
      </c>
      <c r="E660" s="361">
        <v>179945.39</v>
      </c>
      <c r="F660" s="361">
        <v>191651.64</v>
      </c>
      <c r="G660" s="361">
        <v>128697.1</v>
      </c>
      <c r="H660" s="361">
        <v>342404.13</v>
      </c>
      <c r="I660" s="361">
        <v>136641.54</v>
      </c>
      <c r="J660" s="361">
        <v>397024.53</v>
      </c>
      <c r="K660" s="361">
        <v>541475.43000000005</v>
      </c>
      <c r="L660" s="361">
        <v>998807.13</v>
      </c>
      <c r="M660" s="361">
        <v>864916.91</v>
      </c>
      <c r="N660" s="1821">
        <v>1223226.24</v>
      </c>
    </row>
    <row r="661" spans="1:14" ht="13">
      <c r="A661" s="1818" t="s">
        <v>856</v>
      </c>
      <c r="B661" s="1819">
        <v>4991291.87</v>
      </c>
      <c r="C661" s="1822">
        <v>0</v>
      </c>
      <c r="D661" s="365">
        <v>0</v>
      </c>
      <c r="E661" s="365">
        <v>0</v>
      </c>
      <c r="F661" s="365">
        <v>0</v>
      </c>
      <c r="G661" s="365">
        <v>0</v>
      </c>
      <c r="H661" s="365">
        <v>0</v>
      </c>
      <c r="I661" s="365">
        <v>0</v>
      </c>
      <c r="J661" s="365">
        <v>0</v>
      </c>
      <c r="K661" s="365">
        <v>0</v>
      </c>
      <c r="L661" s="365">
        <v>0</v>
      </c>
      <c r="M661" s="361">
        <v>1857959.8</v>
      </c>
      <c r="N661" s="1821">
        <v>3133332.07</v>
      </c>
    </row>
    <row r="662" spans="1:14" ht="13">
      <c r="A662" s="1818" t="s">
        <v>859</v>
      </c>
      <c r="B662" s="1819">
        <v>4934860.4800000004</v>
      </c>
      <c r="C662" s="1820">
        <v>200683.58</v>
      </c>
      <c r="D662" s="361">
        <v>30559.15</v>
      </c>
      <c r="E662" s="365">
        <v>0</v>
      </c>
      <c r="F662" s="361">
        <v>682508.33</v>
      </c>
      <c r="G662" s="361">
        <v>784910.3</v>
      </c>
      <c r="H662" s="361">
        <v>739798.11</v>
      </c>
      <c r="I662" s="361">
        <v>384350.79</v>
      </c>
      <c r="J662" s="361">
        <v>26624.05</v>
      </c>
      <c r="K662" s="361">
        <v>353552.75</v>
      </c>
      <c r="L662" s="361">
        <v>200086.2</v>
      </c>
      <c r="M662" s="361">
        <v>402071.12</v>
      </c>
      <c r="N662" s="1821">
        <v>1129716.1000000001</v>
      </c>
    </row>
    <row r="663" spans="1:14" ht="13">
      <c r="A663" s="1818" t="s">
        <v>885</v>
      </c>
      <c r="B663" s="1819">
        <v>4921406.83</v>
      </c>
      <c r="C663" s="1820">
        <v>161025.68</v>
      </c>
      <c r="D663" s="361">
        <v>327311.90999999997</v>
      </c>
      <c r="E663" s="361">
        <v>218001</v>
      </c>
      <c r="F663" s="361">
        <v>106701.89</v>
      </c>
      <c r="G663" s="361">
        <v>387648.44</v>
      </c>
      <c r="H663" s="361">
        <v>206059.18</v>
      </c>
      <c r="I663" s="361">
        <v>238749.18</v>
      </c>
      <c r="J663" s="361">
        <v>473708.66</v>
      </c>
      <c r="K663" s="361">
        <v>994208.6</v>
      </c>
      <c r="L663" s="361">
        <v>422188.62</v>
      </c>
      <c r="M663" s="361">
        <v>610297.38</v>
      </c>
      <c r="N663" s="1821">
        <v>775506.28</v>
      </c>
    </row>
    <row r="664" spans="1:14" ht="13">
      <c r="A664" s="1818" t="s">
        <v>881</v>
      </c>
      <c r="B664" s="1819">
        <v>4754728.47</v>
      </c>
      <c r="C664" s="1820">
        <v>335793.58</v>
      </c>
      <c r="D664" s="361">
        <v>103252.86</v>
      </c>
      <c r="E664" s="361">
        <v>585163.68999999994</v>
      </c>
      <c r="F664" s="361">
        <v>544017.03</v>
      </c>
      <c r="G664" s="361">
        <v>666453.74</v>
      </c>
      <c r="H664" s="361">
        <v>446481.5</v>
      </c>
      <c r="I664" s="361">
        <v>88911.79</v>
      </c>
      <c r="J664" s="361">
        <v>168686.13</v>
      </c>
      <c r="K664" s="361">
        <v>386898.82</v>
      </c>
      <c r="L664" s="361">
        <v>783963.12</v>
      </c>
      <c r="M664" s="361">
        <v>307811.96999999997</v>
      </c>
      <c r="N664" s="1821">
        <v>337294.24</v>
      </c>
    </row>
    <row r="665" spans="1:14" ht="13">
      <c r="A665" s="1818" t="s">
        <v>928</v>
      </c>
      <c r="B665" s="1819">
        <v>4608124.97</v>
      </c>
      <c r="C665" s="1820">
        <v>158903.28</v>
      </c>
      <c r="D665" s="361">
        <v>346450.38</v>
      </c>
      <c r="E665" s="361">
        <v>122689.09</v>
      </c>
      <c r="F665" s="361">
        <v>199223.81</v>
      </c>
      <c r="G665" s="361">
        <v>461443.41</v>
      </c>
      <c r="H665" s="361">
        <v>341085.63</v>
      </c>
      <c r="I665" s="361">
        <v>545214.27</v>
      </c>
      <c r="J665" s="361">
        <v>482619.03</v>
      </c>
      <c r="K665" s="361">
        <v>253825.79</v>
      </c>
      <c r="L665" s="361">
        <v>694565.05</v>
      </c>
      <c r="M665" s="361">
        <v>586365.47</v>
      </c>
      <c r="N665" s="1821">
        <v>415739.76</v>
      </c>
    </row>
    <row r="666" spans="1:14" ht="13">
      <c r="A666" s="1818" t="s">
        <v>985</v>
      </c>
      <c r="B666" s="1819">
        <v>4238776.29</v>
      </c>
      <c r="C666" s="1822">
        <v>0</v>
      </c>
      <c r="D666" s="361">
        <v>59185.41</v>
      </c>
      <c r="E666" s="361">
        <v>171904.63</v>
      </c>
      <c r="F666" s="361">
        <v>31306.29</v>
      </c>
      <c r="G666" s="361">
        <v>247798.8</v>
      </c>
      <c r="H666" s="361">
        <v>127956.03</v>
      </c>
      <c r="I666" s="361">
        <v>17000</v>
      </c>
      <c r="J666" s="361">
        <v>308599.38</v>
      </c>
      <c r="K666" s="361">
        <v>647025.28</v>
      </c>
      <c r="L666" s="361">
        <v>1024321.36</v>
      </c>
      <c r="M666" s="361">
        <v>678596.8</v>
      </c>
      <c r="N666" s="1821">
        <v>925082.33</v>
      </c>
    </row>
    <row r="667" spans="1:14" ht="13">
      <c r="A667" s="1818" t="s">
        <v>962</v>
      </c>
      <c r="B667" s="1819">
        <v>4024160.01</v>
      </c>
      <c r="C667" s="1820">
        <v>260718.96</v>
      </c>
      <c r="D667" s="361">
        <v>204716.72</v>
      </c>
      <c r="E667" s="361">
        <v>177425.2</v>
      </c>
      <c r="F667" s="361">
        <v>354850.4</v>
      </c>
      <c r="G667" s="361">
        <v>466814.97</v>
      </c>
      <c r="H667" s="361">
        <v>418885.2</v>
      </c>
      <c r="I667" s="361">
        <v>314318.32</v>
      </c>
      <c r="J667" s="361">
        <v>588681.19999999995</v>
      </c>
      <c r="K667" s="361">
        <v>101423.6</v>
      </c>
      <c r="L667" s="361">
        <v>256015.44</v>
      </c>
      <c r="M667" s="361">
        <v>176062</v>
      </c>
      <c r="N667" s="1821">
        <v>704248</v>
      </c>
    </row>
    <row r="668" spans="1:14" ht="13">
      <c r="A668" s="1818" t="s">
        <v>889</v>
      </c>
      <c r="B668" s="1819">
        <v>3784698.71</v>
      </c>
      <c r="C668" s="1820">
        <v>236780.5</v>
      </c>
      <c r="D668" s="361">
        <v>529816.66</v>
      </c>
      <c r="E668" s="361">
        <v>306642.83</v>
      </c>
      <c r="F668" s="361">
        <v>279647.03999999998</v>
      </c>
      <c r="G668" s="361">
        <v>501852.35</v>
      </c>
      <c r="H668" s="361">
        <v>142451.68</v>
      </c>
      <c r="I668" s="361">
        <v>487545.34</v>
      </c>
      <c r="J668" s="361">
        <v>215716.91</v>
      </c>
      <c r="K668" s="361">
        <v>159388.48000000001</v>
      </c>
      <c r="L668" s="361">
        <v>110611.84</v>
      </c>
      <c r="M668" s="361">
        <v>404064.96</v>
      </c>
      <c r="N668" s="1821">
        <v>410180.11</v>
      </c>
    </row>
    <row r="669" spans="1:14" ht="13">
      <c r="A669" s="1818" t="s">
        <v>877</v>
      </c>
      <c r="B669" s="1819">
        <v>3750888.42</v>
      </c>
      <c r="C669" s="1820">
        <v>250063.19</v>
      </c>
      <c r="D669" s="361">
        <v>223924.47</v>
      </c>
      <c r="E669" s="361">
        <v>352858.19</v>
      </c>
      <c r="F669" s="361">
        <v>465254.81</v>
      </c>
      <c r="G669" s="361">
        <v>230877.05</v>
      </c>
      <c r="H669" s="361">
        <v>198410.95</v>
      </c>
      <c r="I669" s="361">
        <v>319376.74</v>
      </c>
      <c r="J669" s="361">
        <v>220238.31</v>
      </c>
      <c r="K669" s="361">
        <v>285536.45</v>
      </c>
      <c r="L669" s="361">
        <v>528737.93999999994</v>
      </c>
      <c r="M669" s="361">
        <v>510370.4</v>
      </c>
      <c r="N669" s="1821">
        <v>165239.92000000001</v>
      </c>
    </row>
    <row r="670" spans="1:14" ht="13">
      <c r="A670" s="1818" t="s">
        <v>941</v>
      </c>
      <c r="B670" s="1819">
        <v>3713081.43</v>
      </c>
      <c r="C670" s="1820">
        <v>200348.89</v>
      </c>
      <c r="D670" s="361">
        <v>142229.79</v>
      </c>
      <c r="E670" s="361">
        <v>316243.24</v>
      </c>
      <c r="F670" s="361">
        <v>218309.93</v>
      </c>
      <c r="G670" s="361">
        <v>219788.7</v>
      </c>
      <c r="H670" s="361">
        <v>564901.18000000005</v>
      </c>
      <c r="I670" s="361">
        <v>516131.28</v>
      </c>
      <c r="J670" s="361">
        <v>239527.75</v>
      </c>
      <c r="K670" s="361">
        <v>230755.08</v>
      </c>
      <c r="L670" s="361">
        <v>369543.55</v>
      </c>
      <c r="M670" s="361">
        <v>364857.43</v>
      </c>
      <c r="N670" s="1821">
        <v>330444.59999999998</v>
      </c>
    </row>
    <row r="671" spans="1:14" ht="13">
      <c r="A671" s="1818" t="s">
        <v>950</v>
      </c>
      <c r="B671" s="1819">
        <v>3663062.86</v>
      </c>
      <c r="C671" s="1820">
        <v>261957.7</v>
      </c>
      <c r="D671" s="361">
        <v>213488.91</v>
      </c>
      <c r="E671" s="361">
        <v>258327.84</v>
      </c>
      <c r="F671" s="361">
        <v>303485.21000000002</v>
      </c>
      <c r="G671" s="365">
        <v>0</v>
      </c>
      <c r="H671" s="361">
        <v>611221.67000000004</v>
      </c>
      <c r="I671" s="361">
        <v>319687.28000000003</v>
      </c>
      <c r="J671" s="361">
        <v>204875.77</v>
      </c>
      <c r="K671" s="361">
        <v>439259.84</v>
      </c>
      <c r="L671" s="361">
        <v>95144.08</v>
      </c>
      <c r="M671" s="361">
        <v>469892.94</v>
      </c>
      <c r="N671" s="1821">
        <v>485721.61</v>
      </c>
    </row>
    <row r="672" spans="1:14" ht="13">
      <c r="A672" s="1818" t="s">
        <v>891</v>
      </c>
      <c r="B672" s="1819">
        <v>3643856.28</v>
      </c>
      <c r="C672" s="1820">
        <v>473790.89</v>
      </c>
      <c r="D672" s="361">
        <v>112660.2</v>
      </c>
      <c r="E672" s="361">
        <v>42180.480000000003</v>
      </c>
      <c r="F672" s="361">
        <v>122523.84</v>
      </c>
      <c r="G672" s="361">
        <v>213938.15</v>
      </c>
      <c r="H672" s="361">
        <v>40850.6</v>
      </c>
      <c r="I672" s="361">
        <v>236582.1</v>
      </c>
      <c r="J672" s="361">
        <v>138707.12</v>
      </c>
      <c r="K672" s="361">
        <v>507649.49</v>
      </c>
      <c r="L672" s="361">
        <v>619079.75</v>
      </c>
      <c r="M672" s="361">
        <v>820633.19</v>
      </c>
      <c r="N672" s="1821">
        <v>315260.46999999997</v>
      </c>
    </row>
    <row r="673" spans="1:14" ht="13">
      <c r="A673" s="1818" t="s">
        <v>960</v>
      </c>
      <c r="B673" s="1819">
        <v>3411727.39</v>
      </c>
      <c r="C673" s="1820">
        <v>164130.34</v>
      </c>
      <c r="D673" s="361">
        <v>230954.23999999999</v>
      </c>
      <c r="E673" s="361">
        <v>402797.68</v>
      </c>
      <c r="F673" s="361">
        <v>324524.88</v>
      </c>
      <c r="G673" s="361">
        <v>223358.64</v>
      </c>
      <c r="H673" s="361">
        <v>357502.59</v>
      </c>
      <c r="I673" s="361">
        <v>272783.31</v>
      </c>
      <c r="J673" s="361">
        <v>100912.19</v>
      </c>
      <c r="K673" s="361">
        <v>300730.71999999997</v>
      </c>
      <c r="L673" s="361">
        <v>195998.24</v>
      </c>
      <c r="M673" s="361">
        <v>422723.76</v>
      </c>
      <c r="N673" s="1821">
        <v>415310.8</v>
      </c>
    </row>
    <row r="674" spans="1:14" ht="13">
      <c r="A674" s="1818" t="s">
        <v>911</v>
      </c>
      <c r="B674" s="1819">
        <v>3325613.14</v>
      </c>
      <c r="C674" s="1822">
        <v>0</v>
      </c>
      <c r="D674" s="365">
        <v>0</v>
      </c>
      <c r="E674" s="365">
        <v>0</v>
      </c>
      <c r="F674" s="361">
        <v>248370.82</v>
      </c>
      <c r="G674" s="361">
        <v>173216.64000000001</v>
      </c>
      <c r="H674" s="361">
        <v>496194.14</v>
      </c>
      <c r="I674" s="361">
        <v>485540.67</v>
      </c>
      <c r="J674" s="361">
        <v>328253.57</v>
      </c>
      <c r="K674" s="361">
        <v>632133.21</v>
      </c>
      <c r="L674" s="361">
        <v>734950.47</v>
      </c>
      <c r="M674" s="361">
        <v>226953.61</v>
      </c>
      <c r="N674" s="1823">
        <v>0</v>
      </c>
    </row>
    <row r="675" spans="1:14" ht="13">
      <c r="A675" s="1818" t="s">
        <v>943</v>
      </c>
      <c r="B675" s="1819">
        <v>3140114.66</v>
      </c>
      <c r="C675" s="1820">
        <v>184260.44</v>
      </c>
      <c r="D675" s="361">
        <v>230376.35</v>
      </c>
      <c r="E675" s="361">
        <v>157070.22</v>
      </c>
      <c r="F675" s="361">
        <v>175071.53</v>
      </c>
      <c r="G675" s="361">
        <v>292671.40999999997</v>
      </c>
      <c r="H675" s="361">
        <v>167378.26</v>
      </c>
      <c r="I675" s="361">
        <v>204512.55</v>
      </c>
      <c r="J675" s="361">
        <v>132042.57999999999</v>
      </c>
      <c r="K675" s="361">
        <v>335683.77</v>
      </c>
      <c r="L675" s="361">
        <v>311140.09999999998</v>
      </c>
      <c r="M675" s="361">
        <v>523402.44</v>
      </c>
      <c r="N675" s="1821">
        <v>426505.02</v>
      </c>
    </row>
    <row r="676" spans="1:14" ht="13">
      <c r="A676" s="1818" t="s">
        <v>951</v>
      </c>
      <c r="B676" s="1819">
        <v>3094441.66</v>
      </c>
      <c r="C676" s="1820">
        <v>316896.13</v>
      </c>
      <c r="D676" s="361">
        <v>436208.88</v>
      </c>
      <c r="E676" s="361">
        <v>220206.05</v>
      </c>
      <c r="F676" s="361">
        <v>388635.88</v>
      </c>
      <c r="G676" s="361">
        <v>222213.57</v>
      </c>
      <c r="H676" s="361">
        <v>122166.24</v>
      </c>
      <c r="I676" s="361">
        <v>368802.95</v>
      </c>
      <c r="J676" s="361">
        <v>138599.28</v>
      </c>
      <c r="K676" s="361">
        <v>125714.16</v>
      </c>
      <c r="L676" s="361">
        <v>291014.46999999997</v>
      </c>
      <c r="M676" s="361">
        <v>79567.44</v>
      </c>
      <c r="N676" s="1821">
        <v>384416.62</v>
      </c>
    </row>
    <row r="677" spans="1:14" ht="13">
      <c r="A677" s="1818" t="s">
        <v>937</v>
      </c>
      <c r="B677" s="1819">
        <v>3086271.43</v>
      </c>
      <c r="C677" s="1820">
        <v>80200.800000000003</v>
      </c>
      <c r="D677" s="361">
        <v>586017.26</v>
      </c>
      <c r="E677" s="361">
        <v>184406.32</v>
      </c>
      <c r="F677" s="361">
        <v>397475.76</v>
      </c>
      <c r="G677" s="361">
        <v>184516.02</v>
      </c>
      <c r="H677" s="361">
        <v>387328.78</v>
      </c>
      <c r="I677" s="361">
        <v>61008.63</v>
      </c>
      <c r="J677" s="361">
        <v>558308.74</v>
      </c>
      <c r="K677" s="361">
        <v>34768.910000000003</v>
      </c>
      <c r="L677" s="361">
        <v>152257.21</v>
      </c>
      <c r="M677" s="361">
        <v>58768.47</v>
      </c>
      <c r="N677" s="1821">
        <v>401214.54</v>
      </c>
    </row>
    <row r="678" spans="1:14" ht="13">
      <c r="A678" s="1818" t="s">
        <v>964</v>
      </c>
      <c r="B678" s="1819">
        <v>2751472.55</v>
      </c>
      <c r="C678" s="1822">
        <v>0</v>
      </c>
      <c r="D678" s="361">
        <v>69355.839999999997</v>
      </c>
      <c r="E678" s="361">
        <v>64834.8</v>
      </c>
      <c r="F678" s="361">
        <v>230879.98</v>
      </c>
      <c r="G678" s="361">
        <v>171307.28</v>
      </c>
      <c r="H678" s="361">
        <v>274395.36</v>
      </c>
      <c r="I678" s="361">
        <v>355142.82</v>
      </c>
      <c r="J678" s="361">
        <v>328541.03999999998</v>
      </c>
      <c r="K678" s="361">
        <v>422132.5</v>
      </c>
      <c r="L678" s="361">
        <v>156261.97</v>
      </c>
      <c r="M678" s="361">
        <v>336090.08</v>
      </c>
      <c r="N678" s="1821">
        <v>342530.88</v>
      </c>
    </row>
    <row r="679" spans="1:14" ht="13">
      <c r="A679" s="1818" t="s">
        <v>958</v>
      </c>
      <c r="B679" s="1819">
        <v>2739690.31</v>
      </c>
      <c r="C679" s="1820">
        <v>590319.32999999996</v>
      </c>
      <c r="D679" s="361">
        <v>319513.34000000003</v>
      </c>
      <c r="E679" s="365">
        <v>0</v>
      </c>
      <c r="F679" s="361">
        <v>15760.8</v>
      </c>
      <c r="G679" s="361">
        <v>204119.16</v>
      </c>
      <c r="H679" s="361">
        <v>295614.81</v>
      </c>
      <c r="I679" s="361">
        <v>130882.5</v>
      </c>
      <c r="J679" s="361">
        <v>325846.89</v>
      </c>
      <c r="K679" s="361">
        <v>375404.74</v>
      </c>
      <c r="L679" s="361">
        <v>131120.06</v>
      </c>
      <c r="M679" s="361">
        <v>84287.74</v>
      </c>
      <c r="N679" s="1821">
        <v>266820.94</v>
      </c>
    </row>
    <row r="680" spans="1:14" ht="13">
      <c r="A680" s="1818" t="s">
        <v>954</v>
      </c>
      <c r="B680" s="1819">
        <v>2690167.49</v>
      </c>
      <c r="C680" s="1820">
        <v>227371.72</v>
      </c>
      <c r="D680" s="361">
        <v>301425.56</v>
      </c>
      <c r="E680" s="365">
        <v>0</v>
      </c>
      <c r="F680" s="361">
        <v>48172.5</v>
      </c>
      <c r="G680" s="361">
        <v>312595.48</v>
      </c>
      <c r="H680" s="361">
        <v>108437.97</v>
      </c>
      <c r="I680" s="361">
        <v>92848.35</v>
      </c>
      <c r="J680" s="361">
        <v>106564.5</v>
      </c>
      <c r="K680" s="361">
        <v>217070.06</v>
      </c>
      <c r="L680" s="361">
        <v>331165.68</v>
      </c>
      <c r="M680" s="361">
        <v>542215.48</v>
      </c>
      <c r="N680" s="1821">
        <v>402300.19</v>
      </c>
    </row>
    <row r="681" spans="1:14" ht="13">
      <c r="A681" s="1818" t="s">
        <v>898</v>
      </c>
      <c r="B681" s="1819">
        <v>2532794.94</v>
      </c>
      <c r="C681" s="1820">
        <v>29485.759999999998</v>
      </c>
      <c r="D681" s="365">
        <v>0</v>
      </c>
      <c r="E681" s="361">
        <v>219753.51</v>
      </c>
      <c r="F681" s="361">
        <v>294553.49</v>
      </c>
      <c r="G681" s="365">
        <v>0</v>
      </c>
      <c r="H681" s="361">
        <v>168878.58</v>
      </c>
      <c r="I681" s="361">
        <v>152463.5</v>
      </c>
      <c r="J681" s="361">
        <v>276749.94</v>
      </c>
      <c r="K681" s="361">
        <v>251166.02</v>
      </c>
      <c r="L681" s="361">
        <v>419754.03</v>
      </c>
      <c r="M681" s="361">
        <v>298908.88</v>
      </c>
      <c r="N681" s="1821">
        <v>421081.23</v>
      </c>
    </row>
    <row r="682" spans="1:14" ht="13">
      <c r="A682" s="1818" t="s">
        <v>974</v>
      </c>
      <c r="B682" s="1819">
        <v>2503544.98</v>
      </c>
      <c r="C682" s="1820">
        <v>310555.84999999998</v>
      </c>
      <c r="D682" s="361">
        <v>354286.06</v>
      </c>
      <c r="E682" s="361">
        <v>287922.65000000002</v>
      </c>
      <c r="F682" s="361">
        <v>209595.32</v>
      </c>
      <c r="G682" s="361">
        <v>71498.66</v>
      </c>
      <c r="H682" s="361">
        <v>364260.52</v>
      </c>
      <c r="I682" s="361">
        <v>199809.07</v>
      </c>
      <c r="J682" s="361">
        <v>136304.01999999999</v>
      </c>
      <c r="K682" s="361">
        <v>410299.79</v>
      </c>
      <c r="L682" s="361">
        <v>78978.12</v>
      </c>
      <c r="M682" s="365">
        <v>0</v>
      </c>
      <c r="N682" s="1821">
        <v>80034.929999999993</v>
      </c>
    </row>
    <row r="683" spans="1:14" ht="13">
      <c r="A683" s="1818" t="s">
        <v>957</v>
      </c>
      <c r="B683" s="1819">
        <v>2499335.36</v>
      </c>
      <c r="C683" s="1822">
        <v>0</v>
      </c>
      <c r="D683" s="365">
        <v>0</v>
      </c>
      <c r="E683" s="361">
        <v>499626.64</v>
      </c>
      <c r="F683" s="361">
        <v>570372.80000000005</v>
      </c>
      <c r="G683" s="365">
        <v>0</v>
      </c>
      <c r="H683" s="361">
        <v>299120</v>
      </c>
      <c r="I683" s="365">
        <v>0</v>
      </c>
      <c r="J683" s="361">
        <v>146517.6</v>
      </c>
      <c r="K683" s="361">
        <v>158238.39999999999</v>
      </c>
      <c r="L683" s="361">
        <v>435652.4</v>
      </c>
      <c r="M683" s="361">
        <v>159066.4</v>
      </c>
      <c r="N683" s="1821">
        <v>230741.12</v>
      </c>
    </row>
    <row r="684" spans="1:14" ht="13">
      <c r="A684" s="1818" t="s">
        <v>919</v>
      </c>
      <c r="B684" s="1819">
        <v>2340430.4300000002</v>
      </c>
      <c r="C684" s="1822">
        <v>0</v>
      </c>
      <c r="D684" s="365">
        <v>0</v>
      </c>
      <c r="E684" s="361">
        <v>140067.28</v>
      </c>
      <c r="F684" s="361">
        <v>285822.8</v>
      </c>
      <c r="G684" s="361">
        <v>328539.76</v>
      </c>
      <c r="H684" s="361">
        <v>200137.28</v>
      </c>
      <c r="I684" s="361">
        <v>158813.20000000001</v>
      </c>
      <c r="J684" s="361">
        <v>315258.15999999997</v>
      </c>
      <c r="K684" s="361">
        <v>196161.12</v>
      </c>
      <c r="L684" s="361">
        <v>276086</v>
      </c>
      <c r="M684" s="361">
        <v>287233.68</v>
      </c>
      <c r="N684" s="1821">
        <v>152311.15</v>
      </c>
    </row>
    <row r="685" spans="1:14" ht="13">
      <c r="A685" s="1818" t="s">
        <v>963</v>
      </c>
      <c r="B685" s="1819">
        <v>2328157.96</v>
      </c>
      <c r="C685" s="1820">
        <v>402289.05</v>
      </c>
      <c r="D685" s="361">
        <v>168656.97</v>
      </c>
      <c r="E685" s="361">
        <v>198190.77</v>
      </c>
      <c r="F685" s="361">
        <v>146893.82</v>
      </c>
      <c r="G685" s="365">
        <v>0</v>
      </c>
      <c r="H685" s="361">
        <v>180419.9</v>
      </c>
      <c r="I685" s="365">
        <v>0</v>
      </c>
      <c r="J685" s="361">
        <v>342574.49</v>
      </c>
      <c r="K685" s="361">
        <v>113470.32</v>
      </c>
      <c r="L685" s="361">
        <v>283411.21999999997</v>
      </c>
      <c r="M685" s="361">
        <v>141391.57999999999</v>
      </c>
      <c r="N685" s="1821">
        <v>350859.84</v>
      </c>
    </row>
    <row r="686" spans="1:14" ht="13">
      <c r="A686" s="1818" t="s">
        <v>910</v>
      </c>
      <c r="B686" s="1819">
        <v>2268930.34</v>
      </c>
      <c r="C686" s="1820">
        <v>180100.42</v>
      </c>
      <c r="D686" s="365">
        <v>0</v>
      </c>
      <c r="E686" s="361">
        <v>127179.88</v>
      </c>
      <c r="F686" s="361">
        <v>141986.35</v>
      </c>
      <c r="G686" s="361">
        <v>123145.28</v>
      </c>
      <c r="H686" s="361">
        <v>96251.26</v>
      </c>
      <c r="I686" s="361">
        <v>152266.98000000001</v>
      </c>
      <c r="J686" s="361">
        <v>252174.33</v>
      </c>
      <c r="K686" s="361">
        <v>129841.48</v>
      </c>
      <c r="L686" s="361">
        <v>297450.51</v>
      </c>
      <c r="M686" s="361">
        <v>295615.58</v>
      </c>
      <c r="N686" s="1821">
        <v>472918.29</v>
      </c>
    </row>
    <row r="687" spans="1:14" ht="13">
      <c r="A687" s="1818" t="s">
        <v>934</v>
      </c>
      <c r="B687" s="1819">
        <v>2200547.0699999998</v>
      </c>
      <c r="C687" s="1820">
        <v>303331.13</v>
      </c>
      <c r="D687" s="361">
        <v>274305.61</v>
      </c>
      <c r="E687" s="361">
        <v>17046.919999999998</v>
      </c>
      <c r="F687" s="361">
        <v>88481.62</v>
      </c>
      <c r="G687" s="361">
        <v>174434.86</v>
      </c>
      <c r="H687" s="361">
        <v>329477.7</v>
      </c>
      <c r="I687" s="361">
        <v>226504.57</v>
      </c>
      <c r="J687" s="361">
        <v>148620.92000000001</v>
      </c>
      <c r="K687" s="361">
        <v>198200.43</v>
      </c>
      <c r="L687" s="361">
        <v>191312.24</v>
      </c>
      <c r="M687" s="361">
        <v>132631.06</v>
      </c>
      <c r="N687" s="1821">
        <v>116200.02</v>
      </c>
    </row>
    <row r="688" spans="1:14" ht="13">
      <c r="A688" s="1818" t="s">
        <v>897</v>
      </c>
      <c r="B688" s="1819">
        <v>2071267.49</v>
      </c>
      <c r="C688" s="1820">
        <v>372037.84</v>
      </c>
      <c r="D688" s="361">
        <v>42057.43</v>
      </c>
      <c r="E688" s="365">
        <v>0</v>
      </c>
      <c r="F688" s="361">
        <v>190477.81</v>
      </c>
      <c r="G688" s="361">
        <v>134690.85</v>
      </c>
      <c r="H688" s="361">
        <v>47659.839999999997</v>
      </c>
      <c r="I688" s="361">
        <v>40325.72</v>
      </c>
      <c r="J688" s="361">
        <v>154425.95000000001</v>
      </c>
      <c r="K688" s="361">
        <v>46343.38</v>
      </c>
      <c r="L688" s="361">
        <v>637089.47</v>
      </c>
      <c r="M688" s="361">
        <v>253218.76</v>
      </c>
      <c r="N688" s="1821">
        <v>152940.44</v>
      </c>
    </row>
    <row r="689" spans="1:14" ht="13">
      <c r="A689" s="1818" t="s">
        <v>907</v>
      </c>
      <c r="B689" s="1819">
        <v>2028182.36</v>
      </c>
      <c r="C689" s="1820">
        <v>246963.88</v>
      </c>
      <c r="D689" s="361">
        <v>559876.53</v>
      </c>
      <c r="E689" s="365">
        <v>0</v>
      </c>
      <c r="F689" s="361">
        <v>354850.4</v>
      </c>
      <c r="G689" s="361">
        <v>638358.82999999996</v>
      </c>
      <c r="H689" s="361">
        <v>125802.72</v>
      </c>
      <c r="I689" s="361">
        <v>102330</v>
      </c>
      <c r="J689" s="365">
        <v>0</v>
      </c>
      <c r="K689" s="365">
        <v>0</v>
      </c>
      <c r="L689" s="365">
        <v>0</v>
      </c>
      <c r="M689" s="365">
        <v>0</v>
      </c>
      <c r="N689" s="1823">
        <v>0</v>
      </c>
    </row>
    <row r="690" spans="1:14" ht="13">
      <c r="A690" s="1818" t="s">
        <v>890</v>
      </c>
      <c r="B690" s="1819">
        <v>1991271.91</v>
      </c>
      <c r="C690" s="1820">
        <v>99499.4</v>
      </c>
      <c r="D690" s="361">
        <v>106005.02</v>
      </c>
      <c r="E690" s="361">
        <v>136035.99</v>
      </c>
      <c r="F690" s="361">
        <v>169535.24</v>
      </c>
      <c r="G690" s="361">
        <v>168704.36</v>
      </c>
      <c r="H690" s="361">
        <v>135166.53</v>
      </c>
      <c r="I690" s="361">
        <v>73662.899999999994</v>
      </c>
      <c r="J690" s="361">
        <v>389080.23</v>
      </c>
      <c r="K690" s="361">
        <v>242839.07</v>
      </c>
      <c r="L690" s="361">
        <v>335570.44</v>
      </c>
      <c r="M690" s="361">
        <v>135172.72</v>
      </c>
      <c r="N690" s="1823">
        <v>0</v>
      </c>
    </row>
    <row r="691" spans="1:14" ht="13">
      <c r="A691" s="1818" t="s">
        <v>909</v>
      </c>
      <c r="B691" s="1819">
        <v>1974472.74</v>
      </c>
      <c r="C691" s="1822">
        <v>0</v>
      </c>
      <c r="D691" s="365">
        <v>0</v>
      </c>
      <c r="E691" s="365">
        <v>0</v>
      </c>
      <c r="F691" s="365">
        <v>0</v>
      </c>
      <c r="G691" s="361">
        <v>102698.96</v>
      </c>
      <c r="H691" s="361">
        <v>281902.46000000002</v>
      </c>
      <c r="I691" s="361">
        <v>185313.97</v>
      </c>
      <c r="J691" s="361">
        <v>761287.95</v>
      </c>
      <c r="K691" s="361">
        <v>352163.09</v>
      </c>
      <c r="L691" s="361">
        <v>291106.32</v>
      </c>
      <c r="M691" s="365">
        <v>0</v>
      </c>
      <c r="N691" s="1823">
        <v>0</v>
      </c>
    </row>
    <row r="692" spans="1:14" ht="13">
      <c r="A692" s="1818" t="s">
        <v>971</v>
      </c>
      <c r="B692" s="1819">
        <v>1955972.41</v>
      </c>
      <c r="C692" s="1820">
        <v>145192.5</v>
      </c>
      <c r="D692" s="361">
        <v>93926.3</v>
      </c>
      <c r="E692" s="361">
        <v>124373.14</v>
      </c>
      <c r="F692" s="361">
        <v>234938.68</v>
      </c>
      <c r="G692" s="361">
        <v>271700.82</v>
      </c>
      <c r="H692" s="361">
        <v>161296.29999999999</v>
      </c>
      <c r="I692" s="361">
        <v>172092.17</v>
      </c>
      <c r="J692" s="361">
        <v>160336.25</v>
      </c>
      <c r="K692" s="361">
        <v>245320.43</v>
      </c>
      <c r="L692" s="361">
        <v>196450.91</v>
      </c>
      <c r="M692" s="361">
        <v>150344.92000000001</v>
      </c>
      <c r="N692" s="1823">
        <v>0</v>
      </c>
    </row>
    <row r="693" spans="1:14" ht="13">
      <c r="A693" s="1818" t="s">
        <v>850</v>
      </c>
      <c r="B693" s="1819">
        <v>1882662.78</v>
      </c>
      <c r="C693" s="1822">
        <v>0</v>
      </c>
      <c r="D693" s="365">
        <v>0</v>
      </c>
      <c r="E693" s="365">
        <v>0</v>
      </c>
      <c r="F693" s="365">
        <v>0</v>
      </c>
      <c r="G693" s="365">
        <v>0</v>
      </c>
      <c r="H693" s="365">
        <v>0</v>
      </c>
      <c r="I693" s="365">
        <v>0</v>
      </c>
      <c r="J693" s="365">
        <v>0</v>
      </c>
      <c r="K693" s="365">
        <v>0</v>
      </c>
      <c r="L693" s="361">
        <v>446324.68</v>
      </c>
      <c r="M693" s="361">
        <v>524483.59</v>
      </c>
      <c r="N693" s="1821">
        <v>911854.51</v>
      </c>
    </row>
    <row r="694" spans="1:14" ht="13">
      <c r="A694" s="1818" t="s">
        <v>913</v>
      </c>
      <c r="B694" s="1819">
        <v>1715518.44</v>
      </c>
      <c r="C694" s="1820">
        <v>335322.23999999999</v>
      </c>
      <c r="D694" s="361">
        <v>105386.88</v>
      </c>
      <c r="E694" s="361">
        <v>80018.64</v>
      </c>
      <c r="F694" s="361">
        <v>52701.11</v>
      </c>
      <c r="G694" s="361">
        <v>322302.53000000003</v>
      </c>
      <c r="H694" s="361">
        <v>203957.28</v>
      </c>
      <c r="I694" s="361">
        <v>273496.40000000002</v>
      </c>
      <c r="J694" s="361">
        <v>342333.36</v>
      </c>
      <c r="K694" s="365">
        <v>0</v>
      </c>
      <c r="L694" s="365">
        <v>0</v>
      </c>
      <c r="M694" s="365">
        <v>0</v>
      </c>
      <c r="N694" s="1823">
        <v>0</v>
      </c>
    </row>
    <row r="695" spans="1:14" ht="13">
      <c r="A695" s="1818" t="s">
        <v>975</v>
      </c>
      <c r="B695" s="1819">
        <v>1672457.21</v>
      </c>
      <c r="C695" s="1820">
        <v>328987.28000000003</v>
      </c>
      <c r="D695" s="361">
        <v>166520.4</v>
      </c>
      <c r="E695" s="361">
        <v>79408.62</v>
      </c>
      <c r="F695" s="361">
        <v>113033.95</v>
      </c>
      <c r="G695" s="365">
        <v>0</v>
      </c>
      <c r="H695" s="361">
        <v>123323</v>
      </c>
      <c r="I695" s="361">
        <v>194198.77</v>
      </c>
      <c r="J695" s="361">
        <v>126224.3</v>
      </c>
      <c r="K695" s="361">
        <v>101541.95</v>
      </c>
      <c r="L695" s="361">
        <v>439218.94</v>
      </c>
      <c r="M695" s="365">
        <v>0</v>
      </c>
      <c r="N695" s="1823">
        <v>0</v>
      </c>
    </row>
    <row r="696" spans="1:14" ht="13">
      <c r="A696" s="1818" t="s">
        <v>955</v>
      </c>
      <c r="B696" s="1819">
        <v>1661729.46</v>
      </c>
      <c r="C696" s="1820">
        <v>358756.62</v>
      </c>
      <c r="D696" s="361">
        <v>338755.6</v>
      </c>
      <c r="E696" s="361">
        <v>77508.850000000006</v>
      </c>
      <c r="F696" s="361">
        <v>24446.81</v>
      </c>
      <c r="G696" s="361">
        <v>50820.12</v>
      </c>
      <c r="H696" s="361">
        <v>247729.28</v>
      </c>
      <c r="I696" s="361">
        <v>252411.83</v>
      </c>
      <c r="J696" s="361">
        <v>131409.07999999999</v>
      </c>
      <c r="K696" s="361">
        <v>53713</v>
      </c>
      <c r="L696" s="365">
        <v>0</v>
      </c>
      <c r="M696" s="361">
        <v>126178.27</v>
      </c>
      <c r="N696" s="1823">
        <v>0</v>
      </c>
    </row>
    <row r="697" spans="1:14" ht="13">
      <c r="A697" s="1818" t="s">
        <v>1706</v>
      </c>
      <c r="B697" s="1819">
        <v>1627979.34</v>
      </c>
      <c r="C697" s="1820">
        <v>363738.07</v>
      </c>
      <c r="D697" s="361">
        <v>1017639.41</v>
      </c>
      <c r="E697" s="361">
        <v>246601.85</v>
      </c>
      <c r="F697" s="365">
        <v>0</v>
      </c>
      <c r="G697" s="365">
        <v>0</v>
      </c>
      <c r="H697" s="365">
        <v>0</v>
      </c>
      <c r="I697" s="365">
        <v>0</v>
      </c>
      <c r="J697" s="365">
        <v>0</v>
      </c>
      <c r="K697" s="365">
        <v>0</v>
      </c>
      <c r="L697" s="365">
        <v>0</v>
      </c>
      <c r="M697" s="365">
        <v>0</v>
      </c>
      <c r="N697" s="1823">
        <v>0</v>
      </c>
    </row>
    <row r="698" spans="1:14" ht="13">
      <c r="A698" s="1818" t="s">
        <v>904</v>
      </c>
      <c r="B698" s="1819">
        <v>1551286.36</v>
      </c>
      <c r="C698" s="1822">
        <v>0</v>
      </c>
      <c r="D698" s="361">
        <v>219905.76</v>
      </c>
      <c r="E698" s="365">
        <v>0</v>
      </c>
      <c r="F698" s="361">
        <v>283880.32000000001</v>
      </c>
      <c r="G698" s="361">
        <v>103904.96000000001</v>
      </c>
      <c r="H698" s="361">
        <v>111776.48</v>
      </c>
      <c r="I698" s="361">
        <v>120484.2</v>
      </c>
      <c r="J698" s="361">
        <v>163728.95999999999</v>
      </c>
      <c r="K698" s="361">
        <v>129219.84</v>
      </c>
      <c r="L698" s="361">
        <v>145403.84</v>
      </c>
      <c r="M698" s="361">
        <v>193702.56</v>
      </c>
      <c r="N698" s="1821">
        <v>79279.44</v>
      </c>
    </row>
    <row r="699" spans="1:14" ht="13">
      <c r="A699" s="1818" t="s">
        <v>956</v>
      </c>
      <c r="B699" s="1819">
        <v>1550694.79</v>
      </c>
      <c r="C699" s="1822">
        <v>0</v>
      </c>
      <c r="D699" s="361">
        <v>45926.26</v>
      </c>
      <c r="E699" s="361">
        <v>87787.76</v>
      </c>
      <c r="F699" s="361">
        <v>113982.16</v>
      </c>
      <c r="G699" s="361">
        <v>253754.27</v>
      </c>
      <c r="H699" s="361">
        <v>138713.93</v>
      </c>
      <c r="I699" s="361">
        <v>180810.36</v>
      </c>
      <c r="J699" s="361">
        <v>73085.7</v>
      </c>
      <c r="K699" s="361">
        <v>341411.73</v>
      </c>
      <c r="L699" s="361">
        <v>82230.259999999995</v>
      </c>
      <c r="M699" s="361">
        <v>232992.36</v>
      </c>
      <c r="N699" s="1823">
        <v>0</v>
      </c>
    </row>
    <row r="700" spans="1:14" ht="13">
      <c r="A700" s="1818" t="s">
        <v>912</v>
      </c>
      <c r="B700" s="1819">
        <v>1330012.21</v>
      </c>
      <c r="C700" s="1822">
        <v>0</v>
      </c>
      <c r="D700" s="361">
        <v>161359.57999999999</v>
      </c>
      <c r="E700" s="361">
        <v>341548.96</v>
      </c>
      <c r="F700" s="361">
        <v>396348.5</v>
      </c>
      <c r="G700" s="361">
        <v>143552.26</v>
      </c>
      <c r="H700" s="365">
        <v>0</v>
      </c>
      <c r="I700" s="361">
        <v>74837.279999999999</v>
      </c>
      <c r="J700" s="365">
        <v>0</v>
      </c>
      <c r="K700" s="361">
        <v>50612.160000000003</v>
      </c>
      <c r="L700" s="365">
        <v>0</v>
      </c>
      <c r="M700" s="361">
        <v>161753.47</v>
      </c>
      <c r="N700" s="1823">
        <v>0</v>
      </c>
    </row>
    <row r="701" spans="1:14" ht="13">
      <c r="A701" s="1818" t="s">
        <v>906</v>
      </c>
      <c r="B701" s="1819">
        <v>1305635.23</v>
      </c>
      <c r="C701" s="1820">
        <v>410180.27</v>
      </c>
      <c r="D701" s="361">
        <v>55386</v>
      </c>
      <c r="E701" s="361">
        <v>124857.47</v>
      </c>
      <c r="F701" s="361">
        <v>27794.48</v>
      </c>
      <c r="G701" s="361">
        <v>58237.94</v>
      </c>
      <c r="H701" s="361">
        <v>446751.87</v>
      </c>
      <c r="I701" s="361">
        <v>17503.650000000001</v>
      </c>
      <c r="J701" s="361">
        <v>164923.56</v>
      </c>
      <c r="K701" s="365">
        <v>0</v>
      </c>
      <c r="L701" s="365">
        <v>0</v>
      </c>
      <c r="M701" s="365">
        <v>0</v>
      </c>
      <c r="N701" s="1823">
        <v>0</v>
      </c>
    </row>
    <row r="702" spans="1:14" ht="13">
      <c r="A702" s="1818" t="s">
        <v>895</v>
      </c>
      <c r="B702" s="1819">
        <v>1250000</v>
      </c>
      <c r="C702" s="1822">
        <v>0</v>
      </c>
      <c r="D702" s="365">
        <v>0</v>
      </c>
      <c r="E702" s="365">
        <v>0</v>
      </c>
      <c r="F702" s="365">
        <v>0</v>
      </c>
      <c r="G702" s="365">
        <v>0</v>
      </c>
      <c r="H702" s="365">
        <v>0</v>
      </c>
      <c r="I702" s="365">
        <v>0</v>
      </c>
      <c r="J702" s="365">
        <v>0</v>
      </c>
      <c r="K702" s="365">
        <v>0</v>
      </c>
      <c r="L702" s="361">
        <v>1250000</v>
      </c>
      <c r="M702" s="365">
        <v>0</v>
      </c>
      <c r="N702" s="1823">
        <v>0</v>
      </c>
    </row>
    <row r="703" spans="1:14" ht="13">
      <c r="A703" s="1818" t="s">
        <v>914</v>
      </c>
      <c r="B703" s="1819">
        <v>1150154.44</v>
      </c>
      <c r="C703" s="1820">
        <v>77391.05</v>
      </c>
      <c r="D703" s="361">
        <v>226412.18</v>
      </c>
      <c r="E703" s="361">
        <v>44906.22</v>
      </c>
      <c r="F703" s="361">
        <v>156006</v>
      </c>
      <c r="G703" s="365">
        <v>0</v>
      </c>
      <c r="H703" s="365">
        <v>0</v>
      </c>
      <c r="I703" s="361">
        <v>28424</v>
      </c>
      <c r="J703" s="365">
        <v>0</v>
      </c>
      <c r="K703" s="361">
        <v>617015</v>
      </c>
      <c r="L703" s="365">
        <v>0</v>
      </c>
      <c r="M703" s="365">
        <v>0</v>
      </c>
      <c r="N703" s="1823">
        <v>0</v>
      </c>
    </row>
    <row r="704" spans="1:14" ht="13">
      <c r="A704" s="1818" t="s">
        <v>900</v>
      </c>
      <c r="B704" s="1819">
        <v>1121692.8500000001</v>
      </c>
      <c r="C704" s="1820">
        <v>113798.35</v>
      </c>
      <c r="D704" s="361">
        <v>14411.06</v>
      </c>
      <c r="E704" s="361">
        <v>40985.040000000001</v>
      </c>
      <c r="F704" s="361">
        <v>162541.51999999999</v>
      </c>
      <c r="G704" s="361">
        <v>96336.53</v>
      </c>
      <c r="H704" s="361">
        <v>22040.46</v>
      </c>
      <c r="I704" s="361">
        <v>134879.22</v>
      </c>
      <c r="J704" s="361">
        <v>152860.06</v>
      </c>
      <c r="K704" s="361">
        <v>64327.56</v>
      </c>
      <c r="L704" s="361">
        <v>167742.98000000001</v>
      </c>
      <c r="M704" s="361">
        <v>106954.47</v>
      </c>
      <c r="N704" s="1821">
        <v>44815.59</v>
      </c>
    </row>
    <row r="705" spans="1:14" ht="13">
      <c r="A705" s="1818" t="s">
        <v>953</v>
      </c>
      <c r="B705" s="1819">
        <v>1061791.79</v>
      </c>
      <c r="C705" s="1822">
        <v>0</v>
      </c>
      <c r="D705" s="361">
        <v>161421.6</v>
      </c>
      <c r="E705" s="365">
        <v>0</v>
      </c>
      <c r="F705" s="365">
        <v>0</v>
      </c>
      <c r="G705" s="361">
        <v>108828.16</v>
      </c>
      <c r="H705" s="365">
        <v>0</v>
      </c>
      <c r="I705" s="361">
        <v>90667.199999999997</v>
      </c>
      <c r="J705" s="361">
        <v>117251.84</v>
      </c>
      <c r="K705" s="365">
        <v>0</v>
      </c>
      <c r="L705" s="361">
        <v>117251.84</v>
      </c>
      <c r="M705" s="361">
        <v>233185.58</v>
      </c>
      <c r="N705" s="1821">
        <v>233185.58</v>
      </c>
    </row>
    <row r="706" spans="1:14" ht="13">
      <c r="A706" s="1818" t="s">
        <v>892</v>
      </c>
      <c r="B706" s="1819">
        <v>976638.25</v>
      </c>
      <c r="C706" s="1822">
        <v>0</v>
      </c>
      <c r="D706" s="365">
        <v>0</v>
      </c>
      <c r="E706" s="365">
        <v>0</v>
      </c>
      <c r="F706" s="365">
        <v>0</v>
      </c>
      <c r="G706" s="365">
        <v>0</v>
      </c>
      <c r="H706" s="365">
        <v>0</v>
      </c>
      <c r="I706" s="361">
        <v>228203.54</v>
      </c>
      <c r="J706" s="361">
        <v>24360.41</v>
      </c>
      <c r="K706" s="361">
        <v>134108.76</v>
      </c>
      <c r="L706" s="361">
        <v>272608</v>
      </c>
      <c r="M706" s="361">
        <v>96502.2</v>
      </c>
      <c r="N706" s="1821">
        <v>220855.35</v>
      </c>
    </row>
    <row r="707" spans="1:14" ht="13">
      <c r="A707" s="1818" t="s">
        <v>903</v>
      </c>
      <c r="B707" s="1819">
        <v>974717.5</v>
      </c>
      <c r="C707" s="1820">
        <v>259646.33</v>
      </c>
      <c r="D707" s="361">
        <v>68055.87</v>
      </c>
      <c r="E707" s="361">
        <v>97168.42</v>
      </c>
      <c r="F707" s="361">
        <v>128217.73</v>
      </c>
      <c r="G707" s="361">
        <v>96107.5</v>
      </c>
      <c r="H707" s="361">
        <v>38934.07</v>
      </c>
      <c r="I707" s="361">
        <v>106195.46</v>
      </c>
      <c r="J707" s="361">
        <v>161280.49</v>
      </c>
      <c r="K707" s="365">
        <v>0</v>
      </c>
      <c r="L707" s="361">
        <v>19111.63</v>
      </c>
      <c r="M707" s="365">
        <v>0</v>
      </c>
      <c r="N707" s="1823">
        <v>0</v>
      </c>
    </row>
    <row r="708" spans="1:14" ht="13">
      <c r="A708" s="1818" t="s">
        <v>933</v>
      </c>
      <c r="B708" s="1819">
        <v>960191.84</v>
      </c>
      <c r="C708" s="1820">
        <v>498759.76</v>
      </c>
      <c r="D708" s="361">
        <v>18885.150000000001</v>
      </c>
      <c r="E708" s="361">
        <v>69162.7</v>
      </c>
      <c r="F708" s="361">
        <v>102965.2</v>
      </c>
      <c r="G708" s="361">
        <v>89549.07</v>
      </c>
      <c r="H708" s="361">
        <v>27126</v>
      </c>
      <c r="I708" s="361">
        <v>7700.84</v>
      </c>
      <c r="J708" s="361">
        <v>35805.120000000003</v>
      </c>
      <c r="K708" s="365">
        <v>0</v>
      </c>
      <c r="L708" s="361">
        <v>110238</v>
      </c>
      <c r="M708" s="365">
        <v>0</v>
      </c>
      <c r="N708" s="1823">
        <v>0</v>
      </c>
    </row>
    <row r="709" spans="1:14" ht="13">
      <c r="A709" s="1818" t="s">
        <v>940</v>
      </c>
      <c r="B709" s="1819">
        <v>898229.56</v>
      </c>
      <c r="C709" s="1822">
        <v>0</v>
      </c>
      <c r="D709" s="365">
        <v>0</v>
      </c>
      <c r="E709" s="365">
        <v>0</v>
      </c>
      <c r="F709" s="365">
        <v>0</v>
      </c>
      <c r="G709" s="365">
        <v>0</v>
      </c>
      <c r="H709" s="365">
        <v>0</v>
      </c>
      <c r="I709" s="365">
        <v>0</v>
      </c>
      <c r="J709" s="365">
        <v>0</v>
      </c>
      <c r="K709" s="365">
        <v>0</v>
      </c>
      <c r="L709" s="365">
        <v>0</v>
      </c>
      <c r="M709" s="361">
        <v>547106.93999999994</v>
      </c>
      <c r="N709" s="1821">
        <v>351122.62</v>
      </c>
    </row>
    <row r="710" spans="1:14" ht="13">
      <c r="A710" s="1818" t="s">
        <v>965</v>
      </c>
      <c r="B710" s="1819">
        <v>857405.13</v>
      </c>
      <c r="C710" s="1822">
        <v>0</v>
      </c>
      <c r="D710" s="365">
        <v>0</v>
      </c>
      <c r="E710" s="365">
        <v>0</v>
      </c>
      <c r="F710" s="365">
        <v>0</v>
      </c>
      <c r="G710" s="365">
        <v>0</v>
      </c>
      <c r="H710" s="365">
        <v>0</v>
      </c>
      <c r="I710" s="365">
        <v>0</v>
      </c>
      <c r="J710" s="365">
        <v>0</v>
      </c>
      <c r="K710" s="361">
        <v>240097.17</v>
      </c>
      <c r="L710" s="361">
        <v>316295.03999999998</v>
      </c>
      <c r="M710" s="361">
        <v>78668.160000000003</v>
      </c>
      <c r="N710" s="1821">
        <v>222344.76</v>
      </c>
    </row>
    <row r="711" spans="1:14" ht="13">
      <c r="A711" s="1818" t="s">
        <v>923</v>
      </c>
      <c r="B711" s="1819">
        <v>726720.59</v>
      </c>
      <c r="C711" s="1820">
        <v>49016.95</v>
      </c>
      <c r="D711" s="361">
        <v>53608.2</v>
      </c>
      <c r="E711" s="361">
        <v>38403.519999999997</v>
      </c>
      <c r="F711" s="365">
        <v>0</v>
      </c>
      <c r="G711" s="361">
        <v>134169.12</v>
      </c>
      <c r="H711" s="365">
        <v>0</v>
      </c>
      <c r="I711" s="365">
        <v>0</v>
      </c>
      <c r="J711" s="365">
        <v>0</v>
      </c>
      <c r="K711" s="361">
        <v>83672.72</v>
      </c>
      <c r="L711" s="361">
        <v>268661.59000000003</v>
      </c>
      <c r="M711" s="361">
        <v>99188.5</v>
      </c>
      <c r="N711" s="1823">
        <v>0</v>
      </c>
    </row>
    <row r="712" spans="1:14" ht="13">
      <c r="A712" s="1818" t="s">
        <v>905</v>
      </c>
      <c r="B712" s="1819">
        <v>684309.26</v>
      </c>
      <c r="C712" s="1822">
        <v>0</v>
      </c>
      <c r="D712" s="365">
        <v>0</v>
      </c>
      <c r="E712" s="365">
        <v>0</v>
      </c>
      <c r="F712" s="361">
        <v>196452.84</v>
      </c>
      <c r="G712" s="361">
        <v>203543.75</v>
      </c>
      <c r="H712" s="365">
        <v>0</v>
      </c>
      <c r="I712" s="365">
        <v>0</v>
      </c>
      <c r="J712" s="361">
        <v>173347.12</v>
      </c>
      <c r="K712" s="361">
        <v>110965.56</v>
      </c>
      <c r="L712" s="365">
        <v>0</v>
      </c>
      <c r="M712" s="365">
        <v>0</v>
      </c>
      <c r="N712" s="1823">
        <v>0</v>
      </c>
    </row>
    <row r="713" spans="1:14" ht="13">
      <c r="A713" s="1818" t="s">
        <v>969</v>
      </c>
      <c r="B713" s="1819">
        <v>626524.43999999994</v>
      </c>
      <c r="C713" s="1822">
        <v>0</v>
      </c>
      <c r="D713" s="365">
        <v>0</v>
      </c>
      <c r="E713" s="365">
        <v>0</v>
      </c>
      <c r="F713" s="365">
        <v>0</v>
      </c>
      <c r="G713" s="365">
        <v>0</v>
      </c>
      <c r="H713" s="365">
        <v>0</v>
      </c>
      <c r="I713" s="365">
        <v>0</v>
      </c>
      <c r="J713" s="365">
        <v>0</v>
      </c>
      <c r="K713" s="361">
        <v>200766.46</v>
      </c>
      <c r="L713" s="361">
        <v>205410.85</v>
      </c>
      <c r="M713" s="365">
        <v>0</v>
      </c>
      <c r="N713" s="1821">
        <v>220347.13</v>
      </c>
    </row>
    <row r="714" spans="1:14" ht="13">
      <c r="A714" s="1818" t="s">
        <v>986</v>
      </c>
      <c r="B714" s="1819">
        <v>614722.1</v>
      </c>
      <c r="C714" s="1822">
        <v>0</v>
      </c>
      <c r="D714" s="361">
        <v>201675.73</v>
      </c>
      <c r="E714" s="365">
        <v>0</v>
      </c>
      <c r="F714" s="365">
        <v>0</v>
      </c>
      <c r="G714" s="365">
        <v>0</v>
      </c>
      <c r="H714" s="365">
        <v>0</v>
      </c>
      <c r="I714" s="365">
        <v>0</v>
      </c>
      <c r="J714" s="361">
        <v>123416.17</v>
      </c>
      <c r="K714" s="361">
        <v>289630.2</v>
      </c>
      <c r="L714" s="365">
        <v>0</v>
      </c>
      <c r="M714" s="365">
        <v>0</v>
      </c>
      <c r="N714" s="1823">
        <v>0</v>
      </c>
    </row>
    <row r="715" spans="1:14" ht="13">
      <c r="A715" s="1818" t="s">
        <v>1707</v>
      </c>
      <c r="B715" s="1819">
        <v>587531.29</v>
      </c>
      <c r="C715" s="1822">
        <v>0</v>
      </c>
      <c r="D715" s="365">
        <v>0</v>
      </c>
      <c r="E715" s="365">
        <v>0</v>
      </c>
      <c r="F715" s="365">
        <v>0</v>
      </c>
      <c r="G715" s="361">
        <v>260261.21</v>
      </c>
      <c r="H715" s="361">
        <v>21040.18</v>
      </c>
      <c r="I715" s="361">
        <v>306229.90000000002</v>
      </c>
      <c r="J715" s="365">
        <v>0</v>
      </c>
      <c r="K715" s="365">
        <v>0</v>
      </c>
      <c r="L715" s="365">
        <v>0</v>
      </c>
      <c r="M715" s="365">
        <v>0</v>
      </c>
      <c r="N715" s="1823">
        <v>0</v>
      </c>
    </row>
    <row r="716" spans="1:14" ht="13">
      <c r="A716" s="1818" t="s">
        <v>972</v>
      </c>
      <c r="B716" s="1819">
        <v>570125.17000000004</v>
      </c>
      <c r="C716" s="1820">
        <v>40853.25</v>
      </c>
      <c r="D716" s="361">
        <v>133789.04999999999</v>
      </c>
      <c r="E716" s="365">
        <v>0</v>
      </c>
      <c r="F716" s="361">
        <v>58893.3</v>
      </c>
      <c r="G716" s="365">
        <v>0</v>
      </c>
      <c r="H716" s="361">
        <v>31686.7</v>
      </c>
      <c r="I716" s="361">
        <v>34749.24</v>
      </c>
      <c r="J716" s="361">
        <v>80938.179999999993</v>
      </c>
      <c r="K716" s="361">
        <v>23971.61</v>
      </c>
      <c r="L716" s="361">
        <v>72701.100000000006</v>
      </c>
      <c r="M716" s="361">
        <v>92542.75</v>
      </c>
      <c r="N716" s="1823">
        <v>0</v>
      </c>
    </row>
    <row r="717" spans="1:14" ht="13">
      <c r="A717" s="1818" t="s">
        <v>1708</v>
      </c>
      <c r="B717" s="1819">
        <v>557767.75</v>
      </c>
      <c r="C717" s="1820">
        <v>557767.75</v>
      </c>
      <c r="D717" s="365">
        <v>0</v>
      </c>
      <c r="E717" s="365">
        <v>0</v>
      </c>
      <c r="F717" s="365">
        <v>0</v>
      </c>
      <c r="G717" s="365">
        <v>0</v>
      </c>
      <c r="H717" s="365">
        <v>0</v>
      </c>
      <c r="I717" s="365">
        <v>0</v>
      </c>
      <c r="J717" s="365">
        <v>0</v>
      </c>
      <c r="K717" s="365">
        <v>0</v>
      </c>
      <c r="L717" s="365">
        <v>0</v>
      </c>
      <c r="M717" s="365">
        <v>0</v>
      </c>
      <c r="N717" s="1823">
        <v>0</v>
      </c>
    </row>
    <row r="718" spans="1:14" ht="13">
      <c r="A718" s="1818" t="s">
        <v>973</v>
      </c>
      <c r="B718" s="1819">
        <v>541059.56000000006</v>
      </c>
      <c r="C718" s="1822">
        <v>0</v>
      </c>
      <c r="D718" s="361">
        <v>17873.46</v>
      </c>
      <c r="E718" s="365">
        <v>0</v>
      </c>
      <c r="F718" s="361">
        <v>32009.599999999999</v>
      </c>
      <c r="G718" s="361">
        <v>120920.17</v>
      </c>
      <c r="H718" s="361">
        <v>188072.69</v>
      </c>
      <c r="I718" s="361">
        <v>100746.37</v>
      </c>
      <c r="J718" s="365">
        <v>0</v>
      </c>
      <c r="K718" s="361">
        <v>81437.27</v>
      </c>
      <c r="L718" s="365">
        <v>0</v>
      </c>
      <c r="M718" s="365">
        <v>0</v>
      </c>
      <c r="N718" s="1823">
        <v>0</v>
      </c>
    </row>
    <row r="719" spans="1:14" ht="13">
      <c r="A719" s="1818" t="s">
        <v>961</v>
      </c>
      <c r="B719" s="1819">
        <v>525967.55000000005</v>
      </c>
      <c r="C719" s="1820">
        <v>64686.74</v>
      </c>
      <c r="D719" s="361">
        <v>89839.58</v>
      </c>
      <c r="E719" s="365">
        <v>0</v>
      </c>
      <c r="F719" s="365">
        <v>0</v>
      </c>
      <c r="G719" s="361">
        <v>17276.18</v>
      </c>
      <c r="H719" s="361">
        <v>57574.68</v>
      </c>
      <c r="I719" s="365">
        <v>0</v>
      </c>
      <c r="J719" s="361">
        <v>123416.25</v>
      </c>
      <c r="K719" s="361">
        <v>64609.86</v>
      </c>
      <c r="L719" s="361">
        <v>73351.86</v>
      </c>
      <c r="M719" s="365">
        <v>0</v>
      </c>
      <c r="N719" s="1821">
        <v>35212.400000000001</v>
      </c>
    </row>
    <row r="720" spans="1:14" ht="13">
      <c r="A720" s="1818" t="s">
        <v>893</v>
      </c>
      <c r="B720" s="1819">
        <v>469439.94</v>
      </c>
      <c r="C720" s="1820">
        <v>81272</v>
      </c>
      <c r="D720" s="365">
        <v>0</v>
      </c>
      <c r="E720" s="361">
        <v>173460.53</v>
      </c>
      <c r="F720" s="365">
        <v>0</v>
      </c>
      <c r="G720" s="361">
        <v>75261.899999999994</v>
      </c>
      <c r="H720" s="365">
        <v>0</v>
      </c>
      <c r="I720" s="361">
        <v>46472.35</v>
      </c>
      <c r="J720" s="365">
        <v>0</v>
      </c>
      <c r="K720" s="361">
        <v>33166.879999999997</v>
      </c>
      <c r="L720" s="365">
        <v>0</v>
      </c>
      <c r="M720" s="365">
        <v>0</v>
      </c>
      <c r="N720" s="1821">
        <v>59806.28</v>
      </c>
    </row>
    <row r="721" spans="1:14" ht="13">
      <c r="A721" s="1818" t="s">
        <v>1645</v>
      </c>
      <c r="B721" s="1819">
        <v>366844.15</v>
      </c>
      <c r="C721" s="1820">
        <v>48178.87</v>
      </c>
      <c r="D721" s="361">
        <v>19639.490000000002</v>
      </c>
      <c r="E721" s="365">
        <v>0</v>
      </c>
      <c r="F721" s="361">
        <v>47345.35</v>
      </c>
      <c r="G721" s="365">
        <v>0</v>
      </c>
      <c r="H721" s="365">
        <v>0</v>
      </c>
      <c r="I721" s="361">
        <v>139134.91</v>
      </c>
      <c r="J721" s="365">
        <v>0</v>
      </c>
      <c r="K721" s="365">
        <v>0</v>
      </c>
      <c r="L721" s="361">
        <v>112545.53</v>
      </c>
      <c r="M721" s="365">
        <v>0</v>
      </c>
      <c r="N721" s="1823">
        <v>0</v>
      </c>
    </row>
    <row r="722" spans="1:14" ht="13">
      <c r="A722" s="1818" t="s">
        <v>918</v>
      </c>
      <c r="B722" s="1819">
        <v>346995.04</v>
      </c>
      <c r="C722" s="1820">
        <v>195155.28</v>
      </c>
      <c r="D722" s="365">
        <v>0</v>
      </c>
      <c r="E722" s="365">
        <v>0</v>
      </c>
      <c r="F722" s="365">
        <v>0</v>
      </c>
      <c r="G722" s="365">
        <v>0</v>
      </c>
      <c r="H722" s="365">
        <v>0</v>
      </c>
      <c r="I722" s="365">
        <v>0</v>
      </c>
      <c r="J722" s="365">
        <v>0</v>
      </c>
      <c r="K722" s="365">
        <v>0</v>
      </c>
      <c r="L722" s="365">
        <v>0</v>
      </c>
      <c r="M722" s="365">
        <v>0</v>
      </c>
      <c r="N722" s="1821">
        <v>151839.76</v>
      </c>
    </row>
    <row r="723" spans="1:14" ht="13">
      <c r="A723" s="1818" t="s">
        <v>942</v>
      </c>
      <c r="B723" s="1819">
        <v>256886.74</v>
      </c>
      <c r="C723" s="1822">
        <v>0</v>
      </c>
      <c r="D723" s="365">
        <v>0</v>
      </c>
      <c r="E723" s="365">
        <v>0</v>
      </c>
      <c r="F723" s="365">
        <v>0</v>
      </c>
      <c r="G723" s="365">
        <v>0</v>
      </c>
      <c r="H723" s="365">
        <v>0</v>
      </c>
      <c r="I723" s="361">
        <v>171309.6</v>
      </c>
      <c r="J723" s="361">
        <v>32131.83</v>
      </c>
      <c r="K723" s="365">
        <v>0</v>
      </c>
      <c r="L723" s="365">
        <v>0</v>
      </c>
      <c r="M723" s="365">
        <v>0</v>
      </c>
      <c r="N723" s="1821">
        <v>53445.31</v>
      </c>
    </row>
    <row r="724" spans="1:14" ht="13">
      <c r="A724" s="1818" t="s">
        <v>1709</v>
      </c>
      <c r="B724" s="1819">
        <v>210100.08</v>
      </c>
      <c r="C724" s="1822">
        <v>0</v>
      </c>
      <c r="D724" s="361">
        <v>91658.81</v>
      </c>
      <c r="E724" s="361">
        <v>67448.33</v>
      </c>
      <c r="F724" s="361">
        <v>50992.94</v>
      </c>
      <c r="G724" s="365">
        <v>0</v>
      </c>
      <c r="H724" s="365">
        <v>0</v>
      </c>
      <c r="I724" s="365">
        <v>0</v>
      </c>
      <c r="J724" s="365">
        <v>0</v>
      </c>
      <c r="K724" s="365">
        <v>0</v>
      </c>
      <c r="L724" s="365">
        <v>0</v>
      </c>
      <c r="M724" s="365">
        <v>0</v>
      </c>
      <c r="N724" s="1823">
        <v>0</v>
      </c>
    </row>
    <row r="725" spans="1:14" ht="13">
      <c r="A725" s="1818" t="s">
        <v>901</v>
      </c>
      <c r="B725" s="1819">
        <v>198679.6</v>
      </c>
      <c r="C725" s="1822">
        <v>0</v>
      </c>
      <c r="D725" s="361">
        <v>31414</v>
      </c>
      <c r="E725" s="365">
        <v>0</v>
      </c>
      <c r="F725" s="365">
        <v>0</v>
      </c>
      <c r="G725" s="365">
        <v>0</v>
      </c>
      <c r="H725" s="365">
        <v>0</v>
      </c>
      <c r="I725" s="365">
        <v>0</v>
      </c>
      <c r="J725" s="361">
        <v>67151.12</v>
      </c>
      <c r="K725" s="365">
        <v>0</v>
      </c>
      <c r="L725" s="361">
        <v>33230.080000000002</v>
      </c>
      <c r="M725" s="365">
        <v>0</v>
      </c>
      <c r="N725" s="1821">
        <v>66884.399999999994</v>
      </c>
    </row>
    <row r="726" spans="1:14" ht="13">
      <c r="A726" s="1818" t="s">
        <v>920</v>
      </c>
      <c r="B726" s="1819">
        <v>175758.74</v>
      </c>
      <c r="C726" s="1822">
        <v>0</v>
      </c>
      <c r="D726" s="365">
        <v>0</v>
      </c>
      <c r="E726" s="365">
        <v>0</v>
      </c>
      <c r="F726" s="365">
        <v>0</v>
      </c>
      <c r="G726" s="365">
        <v>0</v>
      </c>
      <c r="H726" s="365">
        <v>0</v>
      </c>
      <c r="I726" s="361">
        <v>55597.29</v>
      </c>
      <c r="J726" s="361">
        <v>44220.35</v>
      </c>
      <c r="K726" s="365">
        <v>0</v>
      </c>
      <c r="L726" s="365">
        <v>0</v>
      </c>
      <c r="M726" s="361">
        <v>37970.550000000003</v>
      </c>
      <c r="N726" s="1821">
        <v>37970.550000000003</v>
      </c>
    </row>
    <row r="727" spans="1:14" ht="13">
      <c r="A727" s="1818" t="s">
        <v>894</v>
      </c>
      <c r="B727" s="1819">
        <v>170659.54</v>
      </c>
      <c r="C727" s="1822">
        <v>0</v>
      </c>
      <c r="D727" s="365">
        <v>0</v>
      </c>
      <c r="E727" s="365">
        <v>0</v>
      </c>
      <c r="F727" s="365">
        <v>0</v>
      </c>
      <c r="G727" s="365">
        <v>0</v>
      </c>
      <c r="H727" s="365">
        <v>0</v>
      </c>
      <c r="I727" s="365">
        <v>0</v>
      </c>
      <c r="J727" s="361">
        <v>52239.8</v>
      </c>
      <c r="K727" s="365">
        <v>0</v>
      </c>
      <c r="L727" s="361">
        <v>56396.4</v>
      </c>
      <c r="M727" s="361">
        <v>21487.64</v>
      </c>
      <c r="N727" s="1821">
        <v>40535.71</v>
      </c>
    </row>
    <row r="728" spans="1:14" ht="13">
      <c r="A728" s="1818" t="s">
        <v>1710</v>
      </c>
      <c r="B728" s="1819">
        <v>148654.5</v>
      </c>
      <c r="C728" s="1822">
        <v>0</v>
      </c>
      <c r="D728" s="361">
        <v>148654.5</v>
      </c>
      <c r="E728" s="365">
        <v>0</v>
      </c>
      <c r="F728" s="365">
        <v>0</v>
      </c>
      <c r="G728" s="365">
        <v>0</v>
      </c>
      <c r="H728" s="365">
        <v>0</v>
      </c>
      <c r="I728" s="365">
        <v>0</v>
      </c>
      <c r="J728" s="365">
        <v>0</v>
      </c>
      <c r="K728" s="365">
        <v>0</v>
      </c>
      <c r="L728" s="365">
        <v>0</v>
      </c>
      <c r="M728" s="365">
        <v>0</v>
      </c>
      <c r="N728" s="1823">
        <v>0</v>
      </c>
    </row>
    <row r="729" spans="1:14" ht="13">
      <c r="A729" s="1818" t="s">
        <v>921</v>
      </c>
      <c r="B729" s="1819">
        <v>132210.34</v>
      </c>
      <c r="C729" s="1822">
        <v>0</v>
      </c>
      <c r="D729" s="365">
        <v>0</v>
      </c>
      <c r="E729" s="365">
        <v>0</v>
      </c>
      <c r="F729" s="365">
        <v>0</v>
      </c>
      <c r="G729" s="365">
        <v>0</v>
      </c>
      <c r="H729" s="365">
        <v>0</v>
      </c>
      <c r="I729" s="365">
        <v>0</v>
      </c>
      <c r="J729" s="361">
        <v>132210.34</v>
      </c>
      <c r="K729" s="365">
        <v>0</v>
      </c>
      <c r="L729" s="365">
        <v>0</v>
      </c>
      <c r="M729" s="365">
        <v>0</v>
      </c>
      <c r="N729" s="1823">
        <v>0</v>
      </c>
    </row>
    <row r="730" spans="1:14" ht="13">
      <c r="A730" s="1818" t="s">
        <v>1711</v>
      </c>
      <c r="B730" s="1819">
        <v>105139.86</v>
      </c>
      <c r="C730" s="1820">
        <v>105139.86</v>
      </c>
      <c r="D730" s="365">
        <v>0</v>
      </c>
      <c r="E730" s="365">
        <v>0</v>
      </c>
      <c r="F730" s="365">
        <v>0</v>
      </c>
      <c r="G730" s="365">
        <v>0</v>
      </c>
      <c r="H730" s="365">
        <v>0</v>
      </c>
      <c r="I730" s="365">
        <v>0</v>
      </c>
      <c r="J730" s="365">
        <v>0</v>
      </c>
      <c r="K730" s="365">
        <v>0</v>
      </c>
      <c r="L730" s="365">
        <v>0</v>
      </c>
      <c r="M730" s="365">
        <v>0</v>
      </c>
      <c r="N730" s="1823">
        <v>0</v>
      </c>
    </row>
    <row r="731" spans="1:14" ht="13">
      <c r="A731" s="1818" t="s">
        <v>984</v>
      </c>
      <c r="B731" s="1819">
        <v>92279.35</v>
      </c>
      <c r="C731" s="1820">
        <v>31696.9</v>
      </c>
      <c r="D731" s="365">
        <v>0</v>
      </c>
      <c r="E731" s="361">
        <v>14413.85</v>
      </c>
      <c r="F731" s="365">
        <v>0</v>
      </c>
      <c r="G731" s="365">
        <v>0</v>
      </c>
      <c r="H731" s="365">
        <v>0</v>
      </c>
      <c r="I731" s="365">
        <v>0</v>
      </c>
      <c r="J731" s="365">
        <v>0</v>
      </c>
      <c r="K731" s="361">
        <v>19072</v>
      </c>
      <c r="L731" s="361">
        <v>27096.6</v>
      </c>
      <c r="M731" s="365">
        <v>0</v>
      </c>
      <c r="N731" s="1823">
        <v>0</v>
      </c>
    </row>
    <row r="732" spans="1:14" ht="13">
      <c r="A732" s="1818" t="s">
        <v>1712</v>
      </c>
      <c r="B732" s="1819">
        <v>92089.5</v>
      </c>
      <c r="C732" s="1820">
        <v>92089.5</v>
      </c>
      <c r="D732" s="365">
        <v>0</v>
      </c>
      <c r="E732" s="365">
        <v>0</v>
      </c>
      <c r="F732" s="365">
        <v>0</v>
      </c>
      <c r="G732" s="365">
        <v>0</v>
      </c>
      <c r="H732" s="365">
        <v>0</v>
      </c>
      <c r="I732" s="365">
        <v>0</v>
      </c>
      <c r="J732" s="365">
        <v>0</v>
      </c>
      <c r="K732" s="365">
        <v>0</v>
      </c>
      <c r="L732" s="365">
        <v>0</v>
      </c>
      <c r="M732" s="365">
        <v>0</v>
      </c>
      <c r="N732" s="1823">
        <v>0</v>
      </c>
    </row>
    <row r="733" spans="1:14" ht="13">
      <c r="A733" s="1818" t="s">
        <v>952</v>
      </c>
      <c r="B733" s="1819">
        <v>91281.35</v>
      </c>
      <c r="C733" s="1822">
        <v>0</v>
      </c>
      <c r="D733" s="365">
        <v>0</v>
      </c>
      <c r="E733" s="365">
        <v>0</v>
      </c>
      <c r="F733" s="365">
        <v>0</v>
      </c>
      <c r="G733" s="365">
        <v>0</v>
      </c>
      <c r="H733" s="365">
        <v>0</v>
      </c>
      <c r="I733" s="365">
        <v>0</v>
      </c>
      <c r="J733" s="361">
        <v>27417</v>
      </c>
      <c r="K733" s="365">
        <v>0</v>
      </c>
      <c r="L733" s="361">
        <v>23849.9</v>
      </c>
      <c r="M733" s="361">
        <v>40014.449999999997</v>
      </c>
      <c r="N733" s="1823">
        <v>0</v>
      </c>
    </row>
    <row r="734" spans="1:14" ht="13">
      <c r="A734" s="1818" t="s">
        <v>922</v>
      </c>
      <c r="B734" s="1819">
        <v>82743.86</v>
      </c>
      <c r="C734" s="1820">
        <v>32687.41</v>
      </c>
      <c r="D734" s="361">
        <v>30388.43</v>
      </c>
      <c r="E734" s="361">
        <v>10744.2</v>
      </c>
      <c r="F734" s="361">
        <v>8923.82</v>
      </c>
      <c r="G734" s="365">
        <v>0</v>
      </c>
      <c r="H734" s="365">
        <v>0</v>
      </c>
      <c r="I734" s="365">
        <v>0</v>
      </c>
      <c r="J734" s="365">
        <v>0</v>
      </c>
      <c r="K734" s="365">
        <v>0</v>
      </c>
      <c r="L734" s="365">
        <v>0</v>
      </c>
      <c r="M734" s="365">
        <v>0</v>
      </c>
      <c r="N734" s="1823">
        <v>0</v>
      </c>
    </row>
    <row r="735" spans="1:14" ht="13">
      <c r="A735" s="1818" t="s">
        <v>966</v>
      </c>
      <c r="B735" s="1819">
        <v>77450.73</v>
      </c>
      <c r="C735" s="1822">
        <v>0</v>
      </c>
      <c r="D735" s="365">
        <v>0</v>
      </c>
      <c r="E735" s="365">
        <v>0</v>
      </c>
      <c r="F735" s="365">
        <v>0</v>
      </c>
      <c r="G735" s="365">
        <v>0</v>
      </c>
      <c r="H735" s="365">
        <v>0</v>
      </c>
      <c r="I735" s="365">
        <v>0</v>
      </c>
      <c r="J735" s="365">
        <v>0</v>
      </c>
      <c r="K735" s="365">
        <v>0</v>
      </c>
      <c r="L735" s="361">
        <v>18478.5</v>
      </c>
      <c r="M735" s="361">
        <v>32000.49</v>
      </c>
      <c r="N735" s="1821">
        <v>26971.74</v>
      </c>
    </row>
    <row r="736" spans="1:14" ht="13">
      <c r="A736" s="1818" t="s">
        <v>1713</v>
      </c>
      <c r="B736" s="1819">
        <v>59940.76</v>
      </c>
      <c r="C736" s="1820">
        <v>59940.76</v>
      </c>
      <c r="D736" s="365">
        <v>0</v>
      </c>
      <c r="E736" s="365">
        <v>0</v>
      </c>
      <c r="F736" s="365">
        <v>0</v>
      </c>
      <c r="G736" s="365">
        <v>0</v>
      </c>
      <c r="H736" s="365">
        <v>0</v>
      </c>
      <c r="I736" s="365">
        <v>0</v>
      </c>
      <c r="J736" s="365">
        <v>0</v>
      </c>
      <c r="K736" s="365">
        <v>0</v>
      </c>
      <c r="L736" s="365">
        <v>0</v>
      </c>
      <c r="M736" s="365">
        <v>0</v>
      </c>
      <c r="N736" s="1823">
        <v>0</v>
      </c>
    </row>
    <row r="737" spans="1:14" ht="13">
      <c r="A737" s="1818" t="s">
        <v>967</v>
      </c>
      <c r="B737" s="1819">
        <v>37945.599999999999</v>
      </c>
      <c r="C737" s="1822">
        <v>0</v>
      </c>
      <c r="D737" s="365">
        <v>0</v>
      </c>
      <c r="E737" s="365">
        <v>0</v>
      </c>
      <c r="F737" s="365">
        <v>0</v>
      </c>
      <c r="G737" s="365">
        <v>0</v>
      </c>
      <c r="H737" s="365">
        <v>0</v>
      </c>
      <c r="I737" s="365">
        <v>0</v>
      </c>
      <c r="J737" s="365">
        <v>0</v>
      </c>
      <c r="K737" s="365">
        <v>0</v>
      </c>
      <c r="L737" s="365">
        <v>0</v>
      </c>
      <c r="M737" s="361">
        <v>18972.8</v>
      </c>
      <c r="N737" s="1821">
        <v>18972.8</v>
      </c>
    </row>
    <row r="738" spans="1:14" ht="13">
      <c r="A738" s="1818" t="s">
        <v>1714</v>
      </c>
      <c r="B738" s="1819">
        <v>37156.58</v>
      </c>
      <c r="C738" s="1822">
        <v>0</v>
      </c>
      <c r="D738" s="361">
        <v>37156.58</v>
      </c>
      <c r="E738" s="365">
        <v>0</v>
      </c>
      <c r="F738" s="365">
        <v>0</v>
      </c>
      <c r="G738" s="365">
        <v>0</v>
      </c>
      <c r="H738" s="365">
        <v>0</v>
      </c>
      <c r="I738" s="365">
        <v>0</v>
      </c>
      <c r="J738" s="365">
        <v>0</v>
      </c>
      <c r="K738" s="365">
        <v>0</v>
      </c>
      <c r="L738" s="365">
        <v>0</v>
      </c>
      <c r="M738" s="365">
        <v>0</v>
      </c>
      <c r="N738" s="1823">
        <v>0</v>
      </c>
    </row>
    <row r="739" spans="1:14" ht="13">
      <c r="A739" s="1818" t="s">
        <v>970</v>
      </c>
      <c r="B739" s="1819">
        <v>33420.11</v>
      </c>
      <c r="C739" s="1822">
        <v>0</v>
      </c>
      <c r="D739" s="365">
        <v>0</v>
      </c>
      <c r="E739" s="365">
        <v>0</v>
      </c>
      <c r="F739" s="365">
        <v>0</v>
      </c>
      <c r="G739" s="365">
        <v>0</v>
      </c>
      <c r="H739" s="365">
        <v>0</v>
      </c>
      <c r="I739" s="365">
        <v>0</v>
      </c>
      <c r="J739" s="365">
        <v>0</v>
      </c>
      <c r="K739" s="365">
        <v>0</v>
      </c>
      <c r="L739" s="365">
        <v>0</v>
      </c>
      <c r="M739" s="365">
        <v>0</v>
      </c>
      <c r="N739" s="1821">
        <v>33420.11</v>
      </c>
    </row>
    <row r="740" spans="1:14" ht="13">
      <c r="A740" s="1818" t="s">
        <v>916</v>
      </c>
      <c r="B740" s="1819">
        <v>28532.080000000002</v>
      </c>
      <c r="C740" s="1822">
        <v>0</v>
      </c>
      <c r="D740" s="365">
        <v>0</v>
      </c>
      <c r="E740" s="365">
        <v>0</v>
      </c>
      <c r="F740" s="365">
        <v>0</v>
      </c>
      <c r="G740" s="361">
        <v>5344.8</v>
      </c>
      <c r="H740" s="365">
        <v>0</v>
      </c>
      <c r="I740" s="365">
        <v>0</v>
      </c>
      <c r="J740" s="361">
        <v>23187.279999999999</v>
      </c>
      <c r="K740" s="365">
        <v>0</v>
      </c>
      <c r="L740" s="365">
        <v>0</v>
      </c>
      <c r="M740" s="365">
        <v>0</v>
      </c>
      <c r="N740" s="1823">
        <v>0</v>
      </c>
    </row>
    <row r="741" spans="1:14" ht="13">
      <c r="A741" s="1818" t="s">
        <v>1715</v>
      </c>
      <c r="B741" s="1819">
        <v>12393</v>
      </c>
      <c r="C741" s="1820">
        <v>12393</v>
      </c>
      <c r="D741" s="365">
        <v>0</v>
      </c>
      <c r="E741" s="365">
        <v>0</v>
      </c>
      <c r="F741" s="365">
        <v>0</v>
      </c>
      <c r="G741" s="365">
        <v>0</v>
      </c>
      <c r="H741" s="365">
        <v>0</v>
      </c>
      <c r="I741" s="365">
        <v>0</v>
      </c>
      <c r="J741" s="365">
        <v>0</v>
      </c>
      <c r="K741" s="365">
        <v>0</v>
      </c>
      <c r="L741" s="365">
        <v>0</v>
      </c>
      <c r="M741" s="365">
        <v>0</v>
      </c>
      <c r="N741" s="1823">
        <v>0</v>
      </c>
    </row>
    <row r="742" spans="1:14" ht="13">
      <c r="A742" s="1818" t="s">
        <v>1716</v>
      </c>
      <c r="B742" s="1819">
        <v>8057.85</v>
      </c>
      <c r="C742" s="1820">
        <v>8057.85</v>
      </c>
      <c r="D742" s="365">
        <v>0</v>
      </c>
      <c r="E742" s="365">
        <v>0</v>
      </c>
      <c r="F742" s="365">
        <v>0</v>
      </c>
      <c r="G742" s="365">
        <v>0</v>
      </c>
      <c r="H742" s="365">
        <v>0</v>
      </c>
      <c r="I742" s="365">
        <v>0</v>
      </c>
      <c r="J742" s="365">
        <v>0</v>
      </c>
      <c r="K742" s="365">
        <v>0</v>
      </c>
      <c r="L742" s="365">
        <v>0</v>
      </c>
      <c r="M742" s="365">
        <v>0</v>
      </c>
      <c r="N742" s="1823">
        <v>0</v>
      </c>
    </row>
    <row r="743" spans="1:14" ht="13">
      <c r="A743" s="1818" t="s">
        <v>917</v>
      </c>
      <c r="B743" s="1824">
        <v>0</v>
      </c>
      <c r="C743" s="1822">
        <v>0</v>
      </c>
      <c r="D743" s="365">
        <v>0</v>
      </c>
      <c r="E743" s="365">
        <v>0</v>
      </c>
      <c r="F743" s="365">
        <v>0</v>
      </c>
      <c r="G743" s="365">
        <v>0</v>
      </c>
      <c r="H743" s="365">
        <v>0</v>
      </c>
      <c r="I743" s="365">
        <v>0</v>
      </c>
      <c r="J743" s="365">
        <v>0</v>
      </c>
      <c r="K743" s="365">
        <v>0</v>
      </c>
      <c r="L743" s="365">
        <v>0</v>
      </c>
      <c r="M743" s="365">
        <v>0</v>
      </c>
      <c r="N743" s="1823">
        <v>0</v>
      </c>
    </row>
    <row r="744" spans="1:14" ht="13">
      <c r="A744" s="742"/>
      <c r="B744" s="553"/>
      <c r="C744" s="1789"/>
      <c r="N744" s="1804"/>
    </row>
    <row r="745" spans="1:14" ht="13">
      <c r="A745" s="742"/>
      <c r="B745" s="553"/>
      <c r="C745" s="1789"/>
      <c r="N745" s="1804"/>
    </row>
    <row r="746" spans="1:14" ht="13">
      <c r="A746" s="742"/>
      <c r="B746" s="553"/>
      <c r="C746" s="1789"/>
      <c r="N746" s="1804"/>
    </row>
    <row r="747" spans="1:14" ht="13">
      <c r="A747" s="742"/>
      <c r="B747" s="553"/>
      <c r="C747" s="1789"/>
      <c r="N747" s="1804"/>
    </row>
    <row r="748" spans="1:14" ht="13">
      <c r="A748" s="742"/>
      <c r="B748" s="553"/>
      <c r="C748" s="1789"/>
      <c r="N748" s="1804"/>
    </row>
    <row r="749" spans="1:14" ht="13">
      <c r="A749" s="742"/>
      <c r="B749" s="553"/>
      <c r="C749" s="1789"/>
      <c r="N749" s="1804"/>
    </row>
    <row r="750" spans="1:14" ht="13">
      <c r="A750" s="742"/>
      <c r="B750" s="553"/>
      <c r="C750" s="1789"/>
      <c r="N750" s="1804"/>
    </row>
    <row r="751" spans="1:14" ht="13">
      <c r="A751" s="742"/>
      <c r="B751" s="553"/>
      <c r="C751" s="1789"/>
      <c r="N751" s="1804"/>
    </row>
    <row r="752" spans="1:14" ht="13">
      <c r="A752" s="742"/>
      <c r="B752" s="553"/>
      <c r="C752" s="1789"/>
      <c r="N752" s="1804"/>
    </row>
    <row r="753" spans="1:26" ht="13">
      <c r="A753" s="742"/>
      <c r="B753" s="553"/>
      <c r="C753" s="1789"/>
      <c r="N753" s="1804"/>
    </row>
    <row r="754" spans="1:26" ht="13">
      <c r="A754" s="742"/>
      <c r="B754" s="553"/>
      <c r="C754" s="1789"/>
      <c r="N754" s="1804"/>
    </row>
    <row r="755" spans="1:26" ht="13">
      <c r="A755" s="742"/>
      <c r="B755" s="553"/>
      <c r="C755" s="1789"/>
      <c r="N755" s="1804"/>
    </row>
    <row r="756" spans="1:26" ht="13">
      <c r="A756" s="420"/>
      <c r="B756" s="1810"/>
      <c r="C756" s="1811"/>
      <c r="D756" s="419"/>
      <c r="E756" s="419"/>
      <c r="F756" s="419"/>
      <c r="G756" s="419"/>
      <c r="H756" s="419"/>
      <c r="I756" s="419"/>
      <c r="J756" s="419"/>
      <c r="K756" s="419"/>
      <c r="L756" s="419"/>
      <c r="M756" s="419"/>
      <c r="N756" s="703"/>
    </row>
    <row r="757" spans="1:26" ht="13">
      <c r="B757" s="553"/>
      <c r="C757" s="1789"/>
    </row>
    <row r="758" spans="1:26" ht="13">
      <c r="B758" s="553"/>
      <c r="C758" s="1789"/>
    </row>
    <row r="759" spans="1:26" ht="13">
      <c r="B759" s="553"/>
      <c r="C759" s="1789"/>
    </row>
    <row r="760" spans="1:26" ht="13">
      <c r="B760" s="553"/>
      <c r="C760" s="1789"/>
    </row>
    <row r="761" spans="1:26" ht="13">
      <c r="A761" s="1790" t="s">
        <v>1550</v>
      </c>
      <c r="B761" s="1830" t="s">
        <v>241</v>
      </c>
      <c r="C761" s="1831">
        <v>45292</v>
      </c>
      <c r="D761" s="1832">
        <v>45323</v>
      </c>
      <c r="E761" s="1832">
        <v>45352</v>
      </c>
      <c r="F761" s="1832">
        <v>45383</v>
      </c>
      <c r="G761" s="1832">
        <v>45413</v>
      </c>
      <c r="H761" s="1832">
        <v>45444</v>
      </c>
      <c r="I761" s="1832">
        <v>45474</v>
      </c>
      <c r="J761" s="1832">
        <v>45505</v>
      </c>
      <c r="K761" s="1832">
        <v>45536</v>
      </c>
      <c r="L761" s="1833">
        <v>45566</v>
      </c>
      <c r="M761" s="1833">
        <v>45597</v>
      </c>
      <c r="N761" s="1834">
        <v>45627</v>
      </c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</row>
    <row r="762" spans="1:26" ht="13">
      <c r="A762" s="742" t="s">
        <v>241</v>
      </c>
      <c r="B762" s="1801">
        <v>704747863.88</v>
      </c>
      <c r="C762" s="1802">
        <v>48586549.299999997</v>
      </c>
      <c r="D762" s="352">
        <v>53306056.340000004</v>
      </c>
      <c r="E762" s="352">
        <v>40452183.920000002</v>
      </c>
      <c r="F762" s="352">
        <v>53874217.390000001</v>
      </c>
      <c r="G762" s="352">
        <v>48225754.18</v>
      </c>
      <c r="H762" s="352">
        <v>35343990.93</v>
      </c>
      <c r="I762" s="352">
        <v>52899697.880000003</v>
      </c>
      <c r="J762" s="352">
        <v>61088885.289999999</v>
      </c>
      <c r="K762" s="352">
        <v>64161605.579999998</v>
      </c>
      <c r="L762" s="352">
        <v>78601763.340000004</v>
      </c>
      <c r="M762" s="352">
        <v>76010898.790000007</v>
      </c>
      <c r="N762" s="1803">
        <v>92196260.950000003</v>
      </c>
    </row>
    <row r="763" spans="1:26" ht="13">
      <c r="A763" s="742" t="s">
        <v>1003</v>
      </c>
      <c r="B763" s="1801">
        <v>53764997.729999997</v>
      </c>
      <c r="C763" s="1802">
        <v>-318595.63</v>
      </c>
      <c r="D763" s="352">
        <v>2040070.13</v>
      </c>
      <c r="E763" s="352">
        <v>5025408.1900000004</v>
      </c>
      <c r="F763" s="352">
        <v>3971015.07</v>
      </c>
      <c r="G763" s="352">
        <v>3020789.69</v>
      </c>
      <c r="H763" s="352">
        <v>3134569.43</v>
      </c>
      <c r="I763" s="352">
        <v>3224694.94</v>
      </c>
      <c r="J763" s="352">
        <v>4405559.62</v>
      </c>
      <c r="K763" s="352">
        <v>6205760.7999999998</v>
      </c>
      <c r="L763" s="352">
        <v>10192377.5</v>
      </c>
      <c r="M763" s="352">
        <v>7627468.5999999996</v>
      </c>
      <c r="N763" s="1803">
        <v>5235879.38</v>
      </c>
    </row>
    <row r="764" spans="1:26" ht="13">
      <c r="A764" s="742" t="s">
        <v>1107</v>
      </c>
      <c r="B764" s="1801">
        <v>43515916.640000001</v>
      </c>
      <c r="C764" s="1802">
        <v>2934961.96</v>
      </c>
      <c r="D764" s="352">
        <v>3043048.15</v>
      </c>
      <c r="E764" s="352">
        <v>2109822.12</v>
      </c>
      <c r="F764" s="352">
        <v>2968108.12</v>
      </c>
      <c r="G764" s="352">
        <v>7468023.5599999996</v>
      </c>
      <c r="H764" s="352">
        <v>4566795.0999999996</v>
      </c>
      <c r="I764" s="352">
        <v>3424902.07</v>
      </c>
      <c r="J764" s="352">
        <v>1344442.77</v>
      </c>
      <c r="K764" s="352">
        <v>1813643.73</v>
      </c>
      <c r="L764" s="352">
        <v>3494650.04</v>
      </c>
      <c r="M764" s="352">
        <v>2166991.27</v>
      </c>
      <c r="N764" s="1803">
        <v>8180527.7699999996</v>
      </c>
    </row>
    <row r="765" spans="1:26" ht="13">
      <c r="A765" s="742" t="s">
        <v>1113</v>
      </c>
      <c r="B765" s="1801">
        <v>36079382.600000001</v>
      </c>
      <c r="C765" s="1802">
        <v>3584158.28</v>
      </c>
      <c r="D765" s="352">
        <v>5869442.6600000001</v>
      </c>
      <c r="E765" s="352">
        <v>2852244.43</v>
      </c>
      <c r="F765" s="352">
        <v>972922.64</v>
      </c>
      <c r="G765" s="352">
        <v>653075.01</v>
      </c>
      <c r="H765" s="352">
        <v>1243253.92</v>
      </c>
      <c r="I765" s="352">
        <v>2341003.73</v>
      </c>
      <c r="J765" s="352">
        <v>4246836.68</v>
      </c>
      <c r="K765" s="352">
        <v>1056861.9099999999</v>
      </c>
      <c r="L765" s="352">
        <v>3610973.54</v>
      </c>
      <c r="M765" s="352">
        <v>3730792.3</v>
      </c>
      <c r="N765" s="1803">
        <v>5917817.5099999998</v>
      </c>
    </row>
    <row r="766" spans="1:26" ht="13">
      <c r="A766" s="742" t="s">
        <v>1112</v>
      </c>
      <c r="B766" s="1801">
        <v>35306881.390000001</v>
      </c>
      <c r="C766" s="1802">
        <v>2018810.13</v>
      </c>
      <c r="D766" s="352">
        <v>2080726.43</v>
      </c>
      <c r="E766" s="352">
        <v>593510.04</v>
      </c>
      <c r="F766" s="352">
        <v>1022040.55</v>
      </c>
      <c r="G766" s="352">
        <v>522613.36</v>
      </c>
      <c r="H766" s="352">
        <v>1327459.18</v>
      </c>
      <c r="I766" s="352">
        <v>1038804.3</v>
      </c>
      <c r="J766" s="352">
        <v>4015883.65</v>
      </c>
      <c r="K766" s="352">
        <v>6108906.4900000002</v>
      </c>
      <c r="L766" s="352">
        <v>6932781.8499999996</v>
      </c>
      <c r="M766" s="352">
        <v>4643166.2699999996</v>
      </c>
      <c r="N766" s="1803">
        <v>5002179.1500000004</v>
      </c>
    </row>
    <row r="767" spans="1:26" ht="13">
      <c r="A767" s="742" t="s">
        <v>842</v>
      </c>
      <c r="B767" s="1801">
        <v>35080394.530000001</v>
      </c>
      <c r="C767" s="1802">
        <v>3162266.68</v>
      </c>
      <c r="D767" s="352">
        <v>3079492.4</v>
      </c>
      <c r="E767" s="352">
        <v>2808995.14</v>
      </c>
      <c r="F767" s="352">
        <v>2754921.72</v>
      </c>
      <c r="G767" s="352">
        <v>715413.88</v>
      </c>
      <c r="H767" s="352">
        <v>659883.61</v>
      </c>
      <c r="I767" s="352">
        <v>3187952.15</v>
      </c>
      <c r="J767" s="352">
        <v>5558423.4299999997</v>
      </c>
      <c r="K767" s="352">
        <v>3366433.05</v>
      </c>
      <c r="L767" s="352">
        <v>3323322.08</v>
      </c>
      <c r="M767" s="352">
        <v>331749.45</v>
      </c>
      <c r="N767" s="1803">
        <v>6131540.9400000004</v>
      </c>
    </row>
    <row r="768" spans="1:26" ht="13">
      <c r="A768" s="742" t="s">
        <v>870</v>
      </c>
      <c r="B768" s="1801">
        <v>31873051.920000002</v>
      </c>
      <c r="C768" s="1789">
        <v>0</v>
      </c>
      <c r="D768" s="302">
        <v>0</v>
      </c>
      <c r="E768" s="302">
        <v>0</v>
      </c>
      <c r="F768" s="352">
        <v>634527.77</v>
      </c>
      <c r="G768" s="352">
        <v>4701647.25</v>
      </c>
      <c r="H768" s="352">
        <v>1052659.57</v>
      </c>
      <c r="I768" s="352">
        <v>1838642.29</v>
      </c>
      <c r="J768" s="352">
        <v>2602834.2200000002</v>
      </c>
      <c r="K768" s="352">
        <v>1651694.96</v>
      </c>
      <c r="L768" s="352">
        <v>2974203.74</v>
      </c>
      <c r="M768" s="352">
        <v>6718090.1500000004</v>
      </c>
      <c r="N768" s="1803">
        <v>9698751.9600000009</v>
      </c>
    </row>
    <row r="769" spans="1:14" ht="13">
      <c r="A769" s="742" t="s">
        <v>1110</v>
      </c>
      <c r="B769" s="1801">
        <v>18552171.690000001</v>
      </c>
      <c r="C769" s="1802">
        <v>816116.06</v>
      </c>
      <c r="D769" s="352">
        <v>2033851.88</v>
      </c>
      <c r="E769" s="352">
        <v>1747980.73</v>
      </c>
      <c r="F769" s="352">
        <v>1349931.65</v>
      </c>
      <c r="G769" s="352">
        <v>1284259.8700000001</v>
      </c>
      <c r="H769" s="352">
        <v>1283655.51</v>
      </c>
      <c r="I769" s="352">
        <v>1423072.22</v>
      </c>
      <c r="J769" s="352">
        <v>1425799.52</v>
      </c>
      <c r="K769" s="352">
        <v>516324.72</v>
      </c>
      <c r="L769" s="352">
        <v>1318258.3600000001</v>
      </c>
      <c r="M769" s="352">
        <v>2758179.48</v>
      </c>
      <c r="N769" s="1803">
        <v>2594741.67</v>
      </c>
    </row>
    <row r="770" spans="1:14" ht="13">
      <c r="A770" s="742" t="s">
        <v>1013</v>
      </c>
      <c r="B770" s="1801">
        <v>18281283.289999999</v>
      </c>
      <c r="C770" s="1802">
        <v>1566394.65</v>
      </c>
      <c r="D770" s="352">
        <v>1190790.18</v>
      </c>
      <c r="E770" s="352">
        <v>1507503.14</v>
      </c>
      <c r="F770" s="352">
        <v>1417871.18</v>
      </c>
      <c r="G770" s="352">
        <v>938112.03</v>
      </c>
      <c r="H770" s="352">
        <v>1166975.56</v>
      </c>
      <c r="I770" s="352">
        <v>1544759.62</v>
      </c>
      <c r="J770" s="352">
        <v>1486878.17</v>
      </c>
      <c r="K770" s="352">
        <v>1144597.33</v>
      </c>
      <c r="L770" s="352">
        <v>1861071.11</v>
      </c>
      <c r="M770" s="352">
        <v>2091426.57</v>
      </c>
      <c r="N770" s="1803">
        <v>2364903.7400000002</v>
      </c>
    </row>
    <row r="771" spans="1:14" ht="13">
      <c r="A771" s="742" t="s">
        <v>1008</v>
      </c>
      <c r="B771" s="1801">
        <v>16796821.890000001</v>
      </c>
      <c r="C771" s="1802">
        <v>1647172.23</v>
      </c>
      <c r="D771" s="352">
        <v>2105737.79</v>
      </c>
      <c r="E771" s="352">
        <v>564893.91</v>
      </c>
      <c r="F771" s="352">
        <v>2015148.7</v>
      </c>
      <c r="G771" s="352">
        <v>662993.34</v>
      </c>
      <c r="H771" s="352">
        <v>878379.87</v>
      </c>
      <c r="I771" s="352">
        <v>820207.42</v>
      </c>
      <c r="J771" s="352">
        <v>1778816.88</v>
      </c>
      <c r="K771" s="352">
        <v>1074031.02</v>
      </c>
      <c r="L771" s="352">
        <v>1605706.1</v>
      </c>
      <c r="M771" s="352">
        <v>2171003.58</v>
      </c>
      <c r="N771" s="1803">
        <v>1472731.05</v>
      </c>
    </row>
    <row r="772" spans="1:14" ht="13">
      <c r="A772" s="742" t="s">
        <v>1015</v>
      </c>
      <c r="B772" s="1801">
        <v>16138403.41</v>
      </c>
      <c r="C772" s="1802">
        <v>1080929.74</v>
      </c>
      <c r="D772" s="352">
        <v>1172899.54</v>
      </c>
      <c r="E772" s="352">
        <v>957894.94</v>
      </c>
      <c r="F772" s="352">
        <v>895385.66</v>
      </c>
      <c r="G772" s="352">
        <v>867300.55</v>
      </c>
      <c r="H772" s="352">
        <v>1017553.55</v>
      </c>
      <c r="I772" s="352">
        <v>1384076.26</v>
      </c>
      <c r="J772" s="352">
        <v>1408794.86</v>
      </c>
      <c r="K772" s="352">
        <v>1363875.44</v>
      </c>
      <c r="L772" s="352">
        <v>1513231.15</v>
      </c>
      <c r="M772" s="352">
        <v>1811125</v>
      </c>
      <c r="N772" s="1803">
        <v>2665336.7200000002</v>
      </c>
    </row>
    <row r="773" spans="1:14" ht="13">
      <c r="A773" s="742" t="s">
        <v>1005</v>
      </c>
      <c r="B773" s="1801">
        <v>14694702.609999999</v>
      </c>
      <c r="C773" s="1802">
        <v>1032754.77</v>
      </c>
      <c r="D773" s="352">
        <v>1624734.13</v>
      </c>
      <c r="E773" s="352">
        <v>1231426.3799999999</v>
      </c>
      <c r="F773" s="352">
        <v>1023917.21</v>
      </c>
      <c r="G773" s="352">
        <v>843894.13</v>
      </c>
      <c r="H773" s="352">
        <v>829018.07</v>
      </c>
      <c r="I773" s="352">
        <v>1041125.48</v>
      </c>
      <c r="J773" s="352">
        <v>617919.79</v>
      </c>
      <c r="K773" s="352">
        <v>1856905.8</v>
      </c>
      <c r="L773" s="352">
        <v>1390116.23</v>
      </c>
      <c r="M773" s="352">
        <v>2046981.68</v>
      </c>
      <c r="N773" s="1803">
        <v>1155908.95</v>
      </c>
    </row>
    <row r="774" spans="1:14" ht="13">
      <c r="A774" s="742" t="s">
        <v>1030</v>
      </c>
      <c r="B774" s="1801">
        <v>14496144.5</v>
      </c>
      <c r="C774" s="1802">
        <v>1324787.08</v>
      </c>
      <c r="D774" s="352">
        <v>837078.14</v>
      </c>
      <c r="E774" s="352">
        <v>1466115.33</v>
      </c>
      <c r="F774" s="352">
        <v>1559405.11</v>
      </c>
      <c r="G774" s="352">
        <v>504715.32</v>
      </c>
      <c r="H774" s="352">
        <v>351044.25</v>
      </c>
      <c r="I774" s="352">
        <v>757781.97</v>
      </c>
      <c r="J774" s="352">
        <v>580457.88</v>
      </c>
      <c r="K774" s="352">
        <v>2526380.91</v>
      </c>
      <c r="L774" s="352">
        <v>1633397.62</v>
      </c>
      <c r="M774" s="352">
        <v>1310039.8899999999</v>
      </c>
      <c r="N774" s="1803">
        <v>1644941.01</v>
      </c>
    </row>
    <row r="775" spans="1:14" ht="13">
      <c r="A775" s="742" t="s">
        <v>996</v>
      </c>
      <c r="B775" s="1801">
        <v>14184656.6</v>
      </c>
      <c r="C775" s="1802">
        <v>440052.77</v>
      </c>
      <c r="D775" s="352">
        <v>1847808.81</v>
      </c>
      <c r="E775" s="352">
        <v>1170662.8</v>
      </c>
      <c r="F775" s="352">
        <v>200375.36</v>
      </c>
      <c r="G775" s="352">
        <v>1174188.52</v>
      </c>
      <c r="H775" s="352">
        <v>520900.71</v>
      </c>
      <c r="I775" s="352">
        <v>806608.63</v>
      </c>
      <c r="J775" s="352">
        <v>851625.79</v>
      </c>
      <c r="K775" s="352">
        <v>1236783.57</v>
      </c>
      <c r="L775" s="352">
        <v>1992588.99</v>
      </c>
      <c r="M775" s="352">
        <v>1269219.48</v>
      </c>
      <c r="N775" s="1803">
        <v>2673841.17</v>
      </c>
    </row>
    <row r="776" spans="1:14" ht="13">
      <c r="A776" s="742" t="s">
        <v>1035</v>
      </c>
      <c r="B776" s="1801">
        <v>14156027.4</v>
      </c>
      <c r="C776" s="1802">
        <v>0</v>
      </c>
      <c r="D776" s="352">
        <v>0</v>
      </c>
      <c r="E776" s="352">
        <v>0</v>
      </c>
      <c r="F776" s="352">
        <v>3062410.89</v>
      </c>
      <c r="G776" s="352">
        <v>148515.44</v>
      </c>
      <c r="H776" s="352">
        <v>0</v>
      </c>
      <c r="I776" s="352">
        <v>938604.21</v>
      </c>
      <c r="J776" s="352">
        <v>255617.82</v>
      </c>
      <c r="K776" s="352">
        <v>1330398.3</v>
      </c>
      <c r="L776" s="352">
        <v>3645863.04</v>
      </c>
      <c r="M776" s="352">
        <v>2144972.59</v>
      </c>
      <c r="N776" s="1803">
        <v>2629645.12</v>
      </c>
    </row>
    <row r="777" spans="1:14" ht="13">
      <c r="A777" s="742" t="s">
        <v>1010</v>
      </c>
      <c r="B777" s="1801">
        <v>14034090.369999999</v>
      </c>
      <c r="C777" s="1802">
        <v>1206003.32</v>
      </c>
      <c r="D777" s="352">
        <v>796920.25</v>
      </c>
      <c r="E777" s="352">
        <v>1289177.43</v>
      </c>
      <c r="F777" s="352">
        <v>934943.82</v>
      </c>
      <c r="G777" s="352">
        <v>877930.09</v>
      </c>
      <c r="H777" s="352">
        <v>691321.21</v>
      </c>
      <c r="I777" s="352">
        <v>1063259.24</v>
      </c>
      <c r="J777" s="352">
        <v>840275.43</v>
      </c>
      <c r="K777" s="352">
        <v>1528851.32</v>
      </c>
      <c r="L777" s="352">
        <v>1368837.39</v>
      </c>
      <c r="M777" s="352">
        <v>1671387.19</v>
      </c>
      <c r="N777" s="1803">
        <v>1765183.69</v>
      </c>
    </row>
    <row r="778" spans="1:14" ht="13">
      <c r="A778" s="742" t="s">
        <v>1036</v>
      </c>
      <c r="B778" s="1801">
        <v>13954104.779999999</v>
      </c>
      <c r="C778" s="1802">
        <v>1842253.08</v>
      </c>
      <c r="D778" s="352">
        <v>622589.15</v>
      </c>
      <c r="E778" s="352">
        <v>284010.84999999998</v>
      </c>
      <c r="F778" s="352">
        <v>1537418.08</v>
      </c>
      <c r="G778" s="352">
        <v>0</v>
      </c>
      <c r="H778" s="352">
        <v>934068</v>
      </c>
      <c r="I778" s="352">
        <v>1041938.8</v>
      </c>
      <c r="J778" s="352">
        <v>1401102</v>
      </c>
      <c r="K778" s="352">
        <v>2343841.2400000002</v>
      </c>
      <c r="L778" s="352">
        <v>677754.07</v>
      </c>
      <c r="M778" s="352">
        <v>0</v>
      </c>
      <c r="N778" s="1803">
        <v>3269129.52</v>
      </c>
    </row>
    <row r="779" spans="1:14" ht="13">
      <c r="A779" s="742" t="s">
        <v>1108</v>
      </c>
      <c r="B779" s="1801">
        <v>13585361.130000001</v>
      </c>
      <c r="C779" s="1802">
        <v>1319121.69</v>
      </c>
      <c r="D779" s="352">
        <v>275840.43</v>
      </c>
      <c r="E779" s="352">
        <v>1295615.57</v>
      </c>
      <c r="F779" s="352">
        <v>856610.88</v>
      </c>
      <c r="G779" s="352">
        <v>587443.19999999995</v>
      </c>
      <c r="H779" s="352">
        <v>446236.42</v>
      </c>
      <c r="I779" s="352">
        <v>1381922.08</v>
      </c>
      <c r="J779" s="352">
        <v>1293086.72</v>
      </c>
      <c r="K779" s="352">
        <v>742472.03</v>
      </c>
      <c r="L779" s="352">
        <v>1319458.31</v>
      </c>
      <c r="M779" s="352">
        <v>1142588.6399999999</v>
      </c>
      <c r="N779" s="1803">
        <v>2924965.15</v>
      </c>
    </row>
    <row r="780" spans="1:14" ht="13">
      <c r="A780" s="742" t="s">
        <v>1018</v>
      </c>
      <c r="B780" s="1801">
        <v>10745086.67</v>
      </c>
      <c r="C780" s="1802">
        <v>1100737.57</v>
      </c>
      <c r="D780" s="352">
        <v>2494471.61</v>
      </c>
      <c r="E780" s="352">
        <v>558714.93999999994</v>
      </c>
      <c r="F780" s="352">
        <v>1720292.03</v>
      </c>
      <c r="G780" s="352">
        <v>27064.2</v>
      </c>
      <c r="H780" s="352">
        <v>444875.41</v>
      </c>
      <c r="I780" s="352">
        <v>105981.55</v>
      </c>
      <c r="J780" s="352">
        <v>1325188.3500000001</v>
      </c>
      <c r="K780" s="352">
        <v>772562.21</v>
      </c>
      <c r="L780" s="352">
        <v>369177.23</v>
      </c>
      <c r="M780" s="352">
        <v>643279.01</v>
      </c>
      <c r="N780" s="1803">
        <v>1182742.57</v>
      </c>
    </row>
    <row r="781" spans="1:14" ht="13">
      <c r="A781" s="742" t="s">
        <v>1016</v>
      </c>
      <c r="B781" s="1801">
        <v>10425393.619999999</v>
      </c>
      <c r="C781" s="1802">
        <v>692266.47</v>
      </c>
      <c r="D781" s="352">
        <v>368149.78</v>
      </c>
      <c r="E781" s="352">
        <v>295848.84999999998</v>
      </c>
      <c r="F781" s="352">
        <v>1508746.5</v>
      </c>
      <c r="G781" s="352">
        <v>430054.71</v>
      </c>
      <c r="H781" s="352">
        <v>0.12</v>
      </c>
      <c r="I781" s="352">
        <v>1950787.98</v>
      </c>
      <c r="J781" s="352">
        <v>1184102.9099999999</v>
      </c>
      <c r="K781" s="352">
        <v>373846.35</v>
      </c>
      <c r="L781" s="352">
        <v>722568.28</v>
      </c>
      <c r="M781" s="352">
        <v>1620859.92</v>
      </c>
      <c r="N781" s="1803">
        <v>1278161.75</v>
      </c>
    </row>
    <row r="782" spans="1:14" ht="13">
      <c r="A782" s="742" t="s">
        <v>1009</v>
      </c>
      <c r="B782" s="1801">
        <v>10356698.210000001</v>
      </c>
      <c r="C782" s="1802">
        <v>1849062.63</v>
      </c>
      <c r="D782" s="352">
        <v>618990.79</v>
      </c>
      <c r="E782" s="352">
        <v>590353.74</v>
      </c>
      <c r="F782" s="352">
        <v>917031.26</v>
      </c>
      <c r="G782" s="352">
        <v>528067.80000000005</v>
      </c>
      <c r="H782" s="352">
        <v>728479.65</v>
      </c>
      <c r="I782" s="352">
        <v>925049.5</v>
      </c>
      <c r="J782" s="352">
        <v>781004.97</v>
      </c>
      <c r="K782" s="352">
        <v>822723.61</v>
      </c>
      <c r="L782" s="352">
        <v>1203079.5900000001</v>
      </c>
      <c r="M782" s="352">
        <v>701522.04</v>
      </c>
      <c r="N782" s="1803">
        <v>691332.64</v>
      </c>
    </row>
    <row r="783" spans="1:14" ht="13">
      <c r="A783" s="742" t="s">
        <v>1045</v>
      </c>
      <c r="B783" s="1801">
        <v>9963262.8699999992</v>
      </c>
      <c r="C783" s="1802">
        <v>0</v>
      </c>
      <c r="D783" s="352">
        <v>513422.74</v>
      </c>
      <c r="E783" s="352">
        <v>661389.23</v>
      </c>
      <c r="F783" s="352">
        <v>183431.93</v>
      </c>
      <c r="G783" s="352">
        <v>728860.98</v>
      </c>
      <c r="H783" s="352">
        <v>776516.79</v>
      </c>
      <c r="I783" s="352">
        <v>1737201.76</v>
      </c>
      <c r="J783" s="352">
        <v>1925862.12</v>
      </c>
      <c r="K783" s="352">
        <v>803559</v>
      </c>
      <c r="L783" s="352">
        <v>854846.79</v>
      </c>
      <c r="M783" s="352">
        <v>1302239.8600000001</v>
      </c>
      <c r="N783" s="1803">
        <v>475931.69</v>
      </c>
    </row>
    <row r="784" spans="1:14" ht="13">
      <c r="A784" s="742" t="s">
        <v>1006</v>
      </c>
      <c r="B784" s="1801">
        <v>9930388.0199999996</v>
      </c>
      <c r="C784" s="1802">
        <v>406695.48</v>
      </c>
      <c r="D784" s="352">
        <v>388514.4</v>
      </c>
      <c r="E784" s="352">
        <v>288545.99</v>
      </c>
      <c r="F784" s="352">
        <v>538800.41</v>
      </c>
      <c r="G784" s="352">
        <v>584747.28</v>
      </c>
      <c r="H784" s="352">
        <v>589156.1</v>
      </c>
      <c r="I784" s="352">
        <v>619739.91</v>
      </c>
      <c r="J784" s="352">
        <v>1186997.04</v>
      </c>
      <c r="K784" s="352">
        <v>914998.05</v>
      </c>
      <c r="L784" s="352">
        <v>1266065.8899999999</v>
      </c>
      <c r="M784" s="352">
        <v>1760727.41</v>
      </c>
      <c r="N784" s="1803">
        <v>1385400.07</v>
      </c>
    </row>
    <row r="785" spans="1:14" ht="13">
      <c r="A785" s="742" t="s">
        <v>1717</v>
      </c>
      <c r="B785" s="1801">
        <v>9542529.9800000004</v>
      </c>
      <c r="C785" s="1802">
        <v>3388353.9</v>
      </c>
      <c r="D785" s="352">
        <v>2493572.3199999998</v>
      </c>
      <c r="E785" s="352">
        <v>1956838.67</v>
      </c>
      <c r="F785" s="352">
        <v>1703765.09</v>
      </c>
      <c r="G785" s="352">
        <v>0</v>
      </c>
      <c r="H785" s="352">
        <v>0</v>
      </c>
      <c r="I785" s="352">
        <v>0</v>
      </c>
      <c r="J785" s="352">
        <v>0</v>
      </c>
      <c r="K785" s="352">
        <v>0</v>
      </c>
      <c r="L785" s="352">
        <v>0</v>
      </c>
      <c r="M785" s="352">
        <v>0</v>
      </c>
      <c r="N785" s="1803">
        <v>0</v>
      </c>
    </row>
    <row r="786" spans="1:14" ht="13">
      <c r="A786" s="742" t="s">
        <v>1031</v>
      </c>
      <c r="B786" s="1801">
        <v>9134096.4199999999</v>
      </c>
      <c r="C786" s="1802">
        <v>751974.55</v>
      </c>
      <c r="D786" s="352">
        <v>956370.52</v>
      </c>
      <c r="E786" s="352">
        <v>454579.32</v>
      </c>
      <c r="F786" s="352">
        <v>705850.31</v>
      </c>
      <c r="G786" s="352">
        <v>664320.74</v>
      </c>
      <c r="H786" s="352">
        <v>702412.7</v>
      </c>
      <c r="I786" s="352">
        <v>639075.92000000004</v>
      </c>
      <c r="J786" s="352">
        <v>676866.84</v>
      </c>
      <c r="K786" s="352">
        <v>720879.15</v>
      </c>
      <c r="L786" s="352">
        <v>892906.42</v>
      </c>
      <c r="M786" s="352">
        <v>800877.09</v>
      </c>
      <c r="N786" s="1803">
        <v>1167982.8600000001</v>
      </c>
    </row>
    <row r="787" spans="1:14" ht="13">
      <c r="A787" s="742" t="s">
        <v>995</v>
      </c>
      <c r="B787" s="1801">
        <v>8570305.6400000006</v>
      </c>
      <c r="C787" s="1802">
        <v>285397.15999999997</v>
      </c>
      <c r="D787" s="352">
        <v>406625.84</v>
      </c>
      <c r="E787" s="302">
        <v>0</v>
      </c>
      <c r="F787" s="352">
        <v>2915888.55</v>
      </c>
      <c r="G787" s="352">
        <v>1158357.93</v>
      </c>
      <c r="H787" s="352">
        <v>93289.2</v>
      </c>
      <c r="I787" s="352">
        <v>690000</v>
      </c>
      <c r="J787" s="352">
        <v>1838332.24</v>
      </c>
      <c r="K787" s="352">
        <v>125030.08</v>
      </c>
      <c r="L787" s="352">
        <v>343000.92</v>
      </c>
      <c r="M787" s="352">
        <v>617075.03</v>
      </c>
      <c r="N787" s="1803">
        <v>97308.69</v>
      </c>
    </row>
    <row r="788" spans="1:14" ht="13">
      <c r="A788" s="742" t="s">
        <v>999</v>
      </c>
      <c r="B788" s="1801">
        <v>8567258.1300000008</v>
      </c>
      <c r="C788" s="1802">
        <v>0</v>
      </c>
      <c r="D788" s="352">
        <v>0</v>
      </c>
      <c r="E788" s="352">
        <v>0</v>
      </c>
      <c r="F788" s="352">
        <v>0</v>
      </c>
      <c r="G788" s="352">
        <v>0</v>
      </c>
      <c r="H788" s="352">
        <v>0</v>
      </c>
      <c r="I788" s="352">
        <v>2032336.25</v>
      </c>
      <c r="J788" s="352">
        <v>1438155.84</v>
      </c>
      <c r="K788" s="352">
        <v>2184375.4500000002</v>
      </c>
      <c r="L788" s="352">
        <v>603416.44999999995</v>
      </c>
      <c r="M788" s="352">
        <v>759486.87</v>
      </c>
      <c r="N788" s="1803">
        <v>1549487.27</v>
      </c>
    </row>
    <row r="789" spans="1:14" ht="13">
      <c r="A789" s="742" t="s">
        <v>1099</v>
      </c>
      <c r="B789" s="1801">
        <v>8228703.5899999999</v>
      </c>
      <c r="C789" s="1802">
        <v>423626.55</v>
      </c>
      <c r="D789" s="352">
        <v>261645.95</v>
      </c>
      <c r="E789" s="352">
        <v>396925.62</v>
      </c>
      <c r="F789" s="352">
        <v>420797.12</v>
      </c>
      <c r="G789" s="352">
        <v>1811151.63</v>
      </c>
      <c r="H789" s="352">
        <v>194718.69</v>
      </c>
      <c r="I789" s="352">
        <v>375667.49</v>
      </c>
      <c r="J789" s="352">
        <v>308581</v>
      </c>
      <c r="K789" s="352">
        <v>623360.22</v>
      </c>
      <c r="L789" s="352">
        <v>1032310.65</v>
      </c>
      <c r="M789" s="352">
        <v>1694942.89</v>
      </c>
      <c r="N789" s="1803">
        <v>684975.78</v>
      </c>
    </row>
    <row r="790" spans="1:14" ht="13">
      <c r="A790" s="742" t="s">
        <v>1095</v>
      </c>
      <c r="B790" s="1801">
        <v>7082929.7999999998</v>
      </c>
      <c r="C790" s="1802">
        <v>414650.53</v>
      </c>
      <c r="D790" s="352">
        <v>165156.82999999999</v>
      </c>
      <c r="E790" s="352">
        <v>458730.9</v>
      </c>
      <c r="F790" s="352">
        <v>658959.67000000004</v>
      </c>
      <c r="G790" s="352">
        <v>545044.93000000005</v>
      </c>
      <c r="H790" s="352">
        <v>558252.09</v>
      </c>
      <c r="I790" s="352">
        <v>621972.80000000005</v>
      </c>
      <c r="J790" s="352">
        <v>676209.87</v>
      </c>
      <c r="K790" s="352">
        <v>612869.93000000005</v>
      </c>
      <c r="L790" s="352">
        <v>821858.3</v>
      </c>
      <c r="M790" s="352">
        <v>837038.62</v>
      </c>
      <c r="N790" s="1803">
        <v>712185.32</v>
      </c>
    </row>
    <row r="791" spans="1:14" ht="13">
      <c r="A791" s="742" t="s">
        <v>1105</v>
      </c>
      <c r="B791" s="1801">
        <v>6675479.9699999997</v>
      </c>
      <c r="C791" s="1802">
        <v>181038.17</v>
      </c>
      <c r="D791" s="352">
        <v>459318.48</v>
      </c>
      <c r="E791" s="352">
        <v>616616.07999999996</v>
      </c>
      <c r="F791" s="352">
        <v>867627.9</v>
      </c>
      <c r="G791" s="352">
        <v>204553.52</v>
      </c>
      <c r="H791" s="352">
        <v>522912.03</v>
      </c>
      <c r="I791" s="352">
        <v>926368.82</v>
      </c>
      <c r="J791" s="352">
        <v>878299.14</v>
      </c>
      <c r="K791" s="352">
        <v>529583.43999999994</v>
      </c>
      <c r="L791" s="352">
        <v>683105.92</v>
      </c>
      <c r="M791" s="352">
        <v>522518.8</v>
      </c>
      <c r="N791" s="1803">
        <v>283537.68</v>
      </c>
    </row>
    <row r="792" spans="1:14" ht="13">
      <c r="A792" s="742" t="s">
        <v>1041</v>
      </c>
      <c r="B792" s="1801">
        <v>6583155.9699999997</v>
      </c>
      <c r="C792" s="1802">
        <v>494038.76</v>
      </c>
      <c r="D792" s="352">
        <v>1199040.78</v>
      </c>
      <c r="E792" s="352">
        <v>231681.38</v>
      </c>
      <c r="F792" s="302">
        <v>0</v>
      </c>
      <c r="G792" s="352">
        <v>918254.33</v>
      </c>
      <c r="H792" s="352">
        <v>661307.56999999995</v>
      </c>
      <c r="I792" s="302">
        <v>0</v>
      </c>
      <c r="J792" s="352">
        <v>703551.72</v>
      </c>
      <c r="K792" s="352">
        <v>789709.03</v>
      </c>
      <c r="L792" s="352">
        <v>463918.12</v>
      </c>
      <c r="M792" s="352">
        <v>957226.72</v>
      </c>
      <c r="N792" s="1803">
        <v>164427.56</v>
      </c>
    </row>
    <row r="793" spans="1:14" ht="13">
      <c r="A793" s="742" t="s">
        <v>873</v>
      </c>
      <c r="B793" s="1801">
        <v>6531826.6699999999</v>
      </c>
      <c r="C793" s="1802">
        <v>508451.36</v>
      </c>
      <c r="D793" s="352">
        <v>597070.51</v>
      </c>
      <c r="E793" s="352">
        <v>646035.16</v>
      </c>
      <c r="F793" s="352">
        <v>567109.68999999994</v>
      </c>
      <c r="G793" s="352">
        <v>768013.28</v>
      </c>
      <c r="H793" s="352">
        <v>109962.57</v>
      </c>
      <c r="I793" s="352">
        <v>590644.4</v>
      </c>
      <c r="J793" s="352">
        <v>496417.02</v>
      </c>
      <c r="K793" s="352">
        <v>521122.75</v>
      </c>
      <c r="L793" s="352">
        <v>519699.77</v>
      </c>
      <c r="M793" s="352">
        <v>545934.96</v>
      </c>
      <c r="N793" s="1803">
        <v>661365.19999999995</v>
      </c>
    </row>
    <row r="794" spans="1:14" ht="13">
      <c r="A794" s="742" t="s">
        <v>1104</v>
      </c>
      <c r="B794" s="1801">
        <v>6430287.9000000004</v>
      </c>
      <c r="C794" s="1802">
        <v>714376.94</v>
      </c>
      <c r="D794" s="352">
        <v>463619.92</v>
      </c>
      <c r="E794" s="352">
        <v>669804.22</v>
      </c>
      <c r="F794" s="352">
        <v>549606.85</v>
      </c>
      <c r="G794" s="352">
        <v>439328.27</v>
      </c>
      <c r="H794" s="352">
        <v>475379.44</v>
      </c>
      <c r="I794" s="352">
        <v>510090.63</v>
      </c>
      <c r="J794" s="352">
        <v>449655.33</v>
      </c>
      <c r="K794" s="352">
        <v>434513.74</v>
      </c>
      <c r="L794" s="352">
        <v>381364.55</v>
      </c>
      <c r="M794" s="352">
        <v>933861.64</v>
      </c>
      <c r="N794" s="1803">
        <v>408686.35</v>
      </c>
    </row>
    <row r="795" spans="1:14" ht="13">
      <c r="A795" s="742" t="s">
        <v>1011</v>
      </c>
      <c r="B795" s="1801">
        <v>6300377.1399999997</v>
      </c>
      <c r="C795" s="1802">
        <v>508709.43</v>
      </c>
      <c r="D795" s="352">
        <v>476536.74</v>
      </c>
      <c r="E795" s="352">
        <v>536883.74</v>
      </c>
      <c r="F795" s="352">
        <v>1163378.42</v>
      </c>
      <c r="G795" s="352">
        <v>157982.15</v>
      </c>
      <c r="H795" s="352">
        <v>115460.41</v>
      </c>
      <c r="I795" s="352">
        <v>657535.89</v>
      </c>
      <c r="J795" s="352">
        <v>525303.6</v>
      </c>
      <c r="K795" s="352">
        <v>448295.24</v>
      </c>
      <c r="L795" s="352">
        <v>643740.71</v>
      </c>
      <c r="M795" s="352">
        <v>742210.62</v>
      </c>
      <c r="N795" s="1803">
        <v>324340.2</v>
      </c>
    </row>
    <row r="796" spans="1:14" ht="13">
      <c r="A796" s="742" t="s">
        <v>1102</v>
      </c>
      <c r="B796" s="1801">
        <v>6122402.1100000003</v>
      </c>
      <c r="C796" s="1802">
        <v>744270.98</v>
      </c>
      <c r="D796" s="352">
        <v>608088.68000000005</v>
      </c>
      <c r="E796" s="352">
        <v>354648.81</v>
      </c>
      <c r="F796" s="352">
        <v>638444.43000000005</v>
      </c>
      <c r="G796" s="352">
        <v>529895.49</v>
      </c>
      <c r="H796" s="302">
        <v>0</v>
      </c>
      <c r="I796" s="352">
        <v>406269.52</v>
      </c>
      <c r="J796" s="352">
        <v>454602.14</v>
      </c>
      <c r="K796" s="352">
        <v>384769.61</v>
      </c>
      <c r="L796" s="352">
        <v>1087327.1000000001</v>
      </c>
      <c r="M796" s="352">
        <v>327857.05</v>
      </c>
      <c r="N796" s="1803">
        <v>586228.29</v>
      </c>
    </row>
    <row r="797" spans="1:14" ht="13">
      <c r="A797" s="742" t="s">
        <v>1040</v>
      </c>
      <c r="B797" s="1801">
        <v>5932659.5599999996</v>
      </c>
      <c r="C797" s="1802">
        <v>218845.22</v>
      </c>
      <c r="D797" s="352">
        <v>1505415.21</v>
      </c>
      <c r="E797" s="352">
        <v>70679.13</v>
      </c>
      <c r="F797" s="352">
        <v>271199.65000000002</v>
      </c>
      <c r="G797" s="352">
        <v>264435.64</v>
      </c>
      <c r="H797" s="352">
        <v>325027.13</v>
      </c>
      <c r="I797" s="352">
        <v>1020301.63</v>
      </c>
      <c r="J797" s="352">
        <v>45900</v>
      </c>
      <c r="K797" s="352">
        <v>332023.88</v>
      </c>
      <c r="L797" s="352">
        <v>990224.36</v>
      </c>
      <c r="M797" s="352">
        <v>602342.5</v>
      </c>
      <c r="N797" s="1803">
        <v>286265.2</v>
      </c>
    </row>
    <row r="798" spans="1:14" ht="13">
      <c r="A798" s="742" t="s">
        <v>1004</v>
      </c>
      <c r="B798" s="1801">
        <v>5454558.6799999997</v>
      </c>
      <c r="C798" s="1789">
        <v>0</v>
      </c>
      <c r="D798" s="302">
        <v>0</v>
      </c>
      <c r="E798" s="302">
        <v>0</v>
      </c>
      <c r="F798" s="302">
        <v>0</v>
      </c>
      <c r="G798" s="352">
        <v>439155.29</v>
      </c>
      <c r="H798" s="352">
        <v>204337.44</v>
      </c>
      <c r="I798" s="352">
        <v>1147712.95</v>
      </c>
      <c r="J798" s="352">
        <v>662856.73</v>
      </c>
      <c r="K798" s="352">
        <v>1330994.06</v>
      </c>
      <c r="L798" s="352">
        <v>1080206.28</v>
      </c>
      <c r="M798" s="352">
        <v>567535.94999999995</v>
      </c>
      <c r="N798" s="1803">
        <v>21760</v>
      </c>
    </row>
    <row r="799" spans="1:14" ht="13">
      <c r="A799" s="742" t="s">
        <v>1017</v>
      </c>
      <c r="B799" s="1801">
        <v>5057745.0599999996</v>
      </c>
      <c r="C799" s="1802">
        <v>605227.49</v>
      </c>
      <c r="D799" s="352">
        <v>481211.2</v>
      </c>
      <c r="E799" s="352">
        <v>0</v>
      </c>
      <c r="F799" s="352">
        <v>338089.62</v>
      </c>
      <c r="G799" s="352">
        <v>1146413.98</v>
      </c>
      <c r="H799" s="352">
        <v>72160.039999999994</v>
      </c>
      <c r="I799" s="352">
        <v>191694.25</v>
      </c>
      <c r="J799" s="352">
        <v>123000.7</v>
      </c>
      <c r="K799" s="352">
        <v>225359.01</v>
      </c>
      <c r="L799" s="352">
        <v>716960.57</v>
      </c>
      <c r="M799" s="352">
        <v>514720.36</v>
      </c>
      <c r="N799" s="1803">
        <v>642907.85</v>
      </c>
    </row>
    <row r="800" spans="1:14" ht="13">
      <c r="A800" s="742" t="s">
        <v>1103</v>
      </c>
      <c r="B800" s="1801">
        <v>5033260.51</v>
      </c>
      <c r="C800" s="1802">
        <v>0</v>
      </c>
      <c r="D800" s="352">
        <v>827130.87</v>
      </c>
      <c r="E800" s="302">
        <v>0</v>
      </c>
      <c r="F800" s="352">
        <v>720375.26</v>
      </c>
      <c r="G800" s="352">
        <v>715649.36</v>
      </c>
      <c r="H800" s="352">
        <v>327011.77</v>
      </c>
      <c r="I800" s="352">
        <v>182375.89</v>
      </c>
      <c r="J800" s="352">
        <v>376252.8</v>
      </c>
      <c r="K800" s="352">
        <v>408365.18</v>
      </c>
      <c r="L800" s="352">
        <v>554177.18000000005</v>
      </c>
      <c r="M800" s="352">
        <v>310607.46999999997</v>
      </c>
      <c r="N800" s="1803">
        <v>611314.74</v>
      </c>
    </row>
    <row r="801" spans="1:14" ht="13">
      <c r="A801" s="742" t="s">
        <v>1037</v>
      </c>
      <c r="B801" s="1801">
        <v>5011063.5999999996</v>
      </c>
      <c r="C801" s="1802">
        <v>573322.80000000005</v>
      </c>
      <c r="D801" s="352">
        <v>788504.8</v>
      </c>
      <c r="E801" s="302">
        <v>0</v>
      </c>
      <c r="F801" s="352">
        <v>1086414.3999999999</v>
      </c>
      <c r="G801" s="352">
        <v>0</v>
      </c>
      <c r="H801" s="352">
        <v>560440.80000000005</v>
      </c>
      <c r="I801" s="352">
        <v>0</v>
      </c>
      <c r="J801" s="352">
        <v>818338.4</v>
      </c>
      <c r="K801" s="352">
        <v>0</v>
      </c>
      <c r="L801" s="352">
        <v>0</v>
      </c>
      <c r="M801" s="352">
        <v>1184042.3999999999</v>
      </c>
      <c r="N801" s="1803">
        <v>0</v>
      </c>
    </row>
    <row r="802" spans="1:14" ht="13">
      <c r="A802" s="742" t="s">
        <v>869</v>
      </c>
      <c r="B802" s="1801">
        <v>4870190.97</v>
      </c>
      <c r="C802" s="1802">
        <v>336261.8</v>
      </c>
      <c r="D802" s="352">
        <v>222596.6</v>
      </c>
      <c r="E802" s="352">
        <v>110979.63</v>
      </c>
      <c r="F802" s="352">
        <v>265314.62</v>
      </c>
      <c r="G802" s="352">
        <v>649130.34</v>
      </c>
      <c r="H802" s="352">
        <v>469784.68</v>
      </c>
      <c r="I802" s="352">
        <v>455554.79</v>
      </c>
      <c r="J802" s="352">
        <v>916120.15</v>
      </c>
      <c r="K802" s="352">
        <v>273086.40999999997</v>
      </c>
      <c r="L802" s="352">
        <v>231963.12</v>
      </c>
      <c r="M802" s="352">
        <v>852629.11</v>
      </c>
      <c r="N802" s="1803">
        <v>86769.72</v>
      </c>
    </row>
    <row r="803" spans="1:14" ht="13">
      <c r="A803" s="742" t="s">
        <v>1050</v>
      </c>
      <c r="B803" s="1801">
        <v>4583235.21</v>
      </c>
      <c r="C803" s="1802">
        <v>830773.13</v>
      </c>
      <c r="D803" s="352">
        <v>1129471.3700000001</v>
      </c>
      <c r="E803" s="352">
        <v>433856.24</v>
      </c>
      <c r="F803" s="352">
        <v>376293.65</v>
      </c>
      <c r="G803" s="352">
        <v>160297.4</v>
      </c>
      <c r="H803" s="352">
        <v>222452.53</v>
      </c>
      <c r="I803" s="352">
        <v>172249.16</v>
      </c>
      <c r="J803" s="352">
        <v>181901.09</v>
      </c>
      <c r="K803" s="352">
        <v>339810.22</v>
      </c>
      <c r="L803" s="352">
        <v>125442.69</v>
      </c>
      <c r="M803" s="352">
        <v>430317.34</v>
      </c>
      <c r="N803" s="1803">
        <v>180370.38</v>
      </c>
    </row>
    <row r="804" spans="1:14" ht="13">
      <c r="A804" s="742" t="s">
        <v>1048</v>
      </c>
      <c r="B804" s="1801">
        <v>4327892.99</v>
      </c>
      <c r="C804" s="1802">
        <v>559501.61</v>
      </c>
      <c r="D804" s="352">
        <v>277418.7</v>
      </c>
      <c r="E804" s="352">
        <v>236130.88</v>
      </c>
      <c r="F804" s="352">
        <v>307908.73</v>
      </c>
      <c r="G804" s="352">
        <v>265079.36</v>
      </c>
      <c r="H804" s="352">
        <v>91294.07</v>
      </c>
      <c r="I804" s="352">
        <v>154625.96</v>
      </c>
      <c r="J804" s="352">
        <v>191143.47</v>
      </c>
      <c r="K804" s="352">
        <v>388199.13</v>
      </c>
      <c r="L804" s="352">
        <v>459824.08</v>
      </c>
      <c r="M804" s="352">
        <v>453345.92</v>
      </c>
      <c r="N804" s="1803">
        <v>943421.08</v>
      </c>
    </row>
    <row r="805" spans="1:14" ht="13">
      <c r="A805" s="742" t="s">
        <v>1064</v>
      </c>
      <c r="B805" s="1801">
        <v>4206662.76</v>
      </c>
      <c r="C805" s="1802">
        <v>176232.48</v>
      </c>
      <c r="D805" s="352">
        <v>348116.65</v>
      </c>
      <c r="E805" s="352">
        <v>222738.76</v>
      </c>
      <c r="F805" s="352">
        <v>614027.09</v>
      </c>
      <c r="G805" s="352">
        <v>279469.03000000003</v>
      </c>
      <c r="H805" s="352">
        <v>360165.93</v>
      </c>
      <c r="I805" s="352">
        <v>380660.03</v>
      </c>
      <c r="J805" s="352">
        <v>98451.83</v>
      </c>
      <c r="K805" s="352">
        <v>425624.22</v>
      </c>
      <c r="L805" s="352">
        <v>452373.84</v>
      </c>
      <c r="M805" s="352">
        <v>431112.91</v>
      </c>
      <c r="N805" s="1803">
        <v>417690.01</v>
      </c>
    </row>
    <row r="806" spans="1:14" ht="13">
      <c r="A806" s="742" t="s">
        <v>1109</v>
      </c>
      <c r="B806" s="1801">
        <v>4176616.86</v>
      </c>
      <c r="C806" s="1802">
        <v>256933.33</v>
      </c>
      <c r="D806" s="352">
        <v>189127.32</v>
      </c>
      <c r="E806" s="352">
        <v>0</v>
      </c>
      <c r="F806" s="352">
        <v>278667.18</v>
      </c>
      <c r="G806" s="352">
        <v>402571.42</v>
      </c>
      <c r="H806" s="352">
        <v>407864.87</v>
      </c>
      <c r="I806" s="352">
        <v>245954.42</v>
      </c>
      <c r="J806" s="352">
        <v>340479.39</v>
      </c>
      <c r="K806" s="352">
        <v>440101.22</v>
      </c>
      <c r="L806" s="352">
        <v>707549.81</v>
      </c>
      <c r="M806" s="352">
        <v>462022.67</v>
      </c>
      <c r="N806" s="1803">
        <v>445345.24</v>
      </c>
    </row>
    <row r="807" spans="1:14" ht="13">
      <c r="A807" s="742" t="s">
        <v>871</v>
      </c>
      <c r="B807" s="1801">
        <v>4158372</v>
      </c>
      <c r="C807" s="1802">
        <v>199655.21</v>
      </c>
      <c r="D807" s="352">
        <v>245795.52</v>
      </c>
      <c r="E807" s="352">
        <v>274472.46000000002</v>
      </c>
      <c r="F807" s="352">
        <v>327547.62</v>
      </c>
      <c r="G807" s="352">
        <v>272420.87</v>
      </c>
      <c r="H807" s="352">
        <v>307587.98</v>
      </c>
      <c r="I807" s="352">
        <v>347096.12</v>
      </c>
      <c r="J807" s="352">
        <v>270639.89</v>
      </c>
      <c r="K807" s="352">
        <v>318165</v>
      </c>
      <c r="L807" s="352">
        <v>513823.09</v>
      </c>
      <c r="M807" s="352">
        <v>526083.06999999995</v>
      </c>
      <c r="N807" s="1803">
        <v>555085.18000000005</v>
      </c>
    </row>
    <row r="808" spans="1:14" ht="13">
      <c r="A808" s="742" t="s">
        <v>1111</v>
      </c>
      <c r="B808" s="1801">
        <v>4077629.43</v>
      </c>
      <c r="C808" s="1802">
        <v>0</v>
      </c>
      <c r="D808" s="352">
        <v>26458.2</v>
      </c>
      <c r="E808" s="352">
        <v>72582.59</v>
      </c>
      <c r="F808" s="352">
        <v>496080.38</v>
      </c>
      <c r="G808" s="352">
        <v>238865.78</v>
      </c>
      <c r="H808" s="352">
        <v>282531.82</v>
      </c>
      <c r="I808" s="352">
        <v>473534.32</v>
      </c>
      <c r="J808" s="352">
        <v>343688.39</v>
      </c>
      <c r="K808" s="352">
        <v>390087.42</v>
      </c>
      <c r="L808" s="352">
        <v>346988.91</v>
      </c>
      <c r="M808" s="352">
        <v>593764.68999999994</v>
      </c>
      <c r="N808" s="1803">
        <v>813046.94</v>
      </c>
    </row>
    <row r="809" spans="1:14" ht="13">
      <c r="A809" s="742" t="s">
        <v>1002</v>
      </c>
      <c r="B809" s="1801">
        <v>4033630.07</v>
      </c>
      <c r="C809" s="1789">
        <v>0</v>
      </c>
      <c r="D809" s="352">
        <v>0</v>
      </c>
      <c r="E809" s="352">
        <v>0</v>
      </c>
      <c r="F809" s="352">
        <v>0</v>
      </c>
      <c r="G809" s="352">
        <v>441184</v>
      </c>
      <c r="H809" s="352">
        <v>1133949.43</v>
      </c>
      <c r="I809" s="352">
        <v>1042781.34</v>
      </c>
      <c r="J809" s="352">
        <v>0</v>
      </c>
      <c r="K809" s="352">
        <v>120244.54</v>
      </c>
      <c r="L809" s="352">
        <v>0</v>
      </c>
      <c r="M809" s="352">
        <v>897116.12</v>
      </c>
      <c r="N809" s="1803">
        <v>398354.65</v>
      </c>
    </row>
    <row r="810" spans="1:14" ht="13">
      <c r="A810" s="742" t="s">
        <v>868</v>
      </c>
      <c r="B810" s="1801">
        <v>3886925.91</v>
      </c>
      <c r="C810" s="1802">
        <v>273050.7</v>
      </c>
      <c r="D810" s="352">
        <v>280029.82</v>
      </c>
      <c r="E810" s="352">
        <v>223015.43</v>
      </c>
      <c r="F810" s="352">
        <v>206302.77</v>
      </c>
      <c r="G810" s="352">
        <v>183101.62</v>
      </c>
      <c r="H810" s="352">
        <v>305926.09999999998</v>
      </c>
      <c r="I810" s="352">
        <v>235204.36</v>
      </c>
      <c r="J810" s="352">
        <v>267586.90000000002</v>
      </c>
      <c r="K810" s="352">
        <v>604302.43000000005</v>
      </c>
      <c r="L810" s="352">
        <v>399051.85</v>
      </c>
      <c r="M810" s="352">
        <v>394537.83</v>
      </c>
      <c r="N810" s="1803">
        <v>514816.12</v>
      </c>
    </row>
    <row r="811" spans="1:14" ht="13">
      <c r="A811" s="742" t="s">
        <v>1007</v>
      </c>
      <c r="B811" s="1801">
        <v>3753062.04</v>
      </c>
      <c r="C811" s="1802">
        <v>0</v>
      </c>
      <c r="D811" s="352">
        <v>0</v>
      </c>
      <c r="E811" s="352">
        <v>0</v>
      </c>
      <c r="F811" s="352">
        <v>0</v>
      </c>
      <c r="G811" s="352">
        <v>0</v>
      </c>
      <c r="H811" s="352">
        <v>215752.02</v>
      </c>
      <c r="I811" s="352">
        <v>404325.63</v>
      </c>
      <c r="J811" s="352">
        <v>671704.98</v>
      </c>
      <c r="K811" s="352">
        <v>320858.25</v>
      </c>
      <c r="L811" s="352">
        <v>1049374.57</v>
      </c>
      <c r="M811" s="352">
        <v>412711.86</v>
      </c>
      <c r="N811" s="1803">
        <v>678334.73</v>
      </c>
    </row>
    <row r="812" spans="1:14" ht="13">
      <c r="A812" s="742" t="s">
        <v>1012</v>
      </c>
      <c r="B812" s="1801">
        <v>3735954.23</v>
      </c>
      <c r="C812" s="1802">
        <v>201954.74</v>
      </c>
      <c r="D812" s="352">
        <v>142676.07999999999</v>
      </c>
      <c r="E812" s="352">
        <v>239787.74</v>
      </c>
      <c r="F812" s="352">
        <v>379055.85</v>
      </c>
      <c r="G812" s="352">
        <v>205108.74</v>
      </c>
      <c r="H812" s="352">
        <v>152948.13</v>
      </c>
      <c r="I812" s="352">
        <v>518390.05</v>
      </c>
      <c r="J812" s="352">
        <v>389389.64</v>
      </c>
      <c r="K812" s="352">
        <v>201059.33</v>
      </c>
      <c r="L812" s="352">
        <v>504796.68</v>
      </c>
      <c r="M812" s="352">
        <v>349158.14</v>
      </c>
      <c r="N812" s="1803">
        <v>451629.11</v>
      </c>
    </row>
    <row r="813" spans="1:14" ht="13">
      <c r="A813" s="742" t="s">
        <v>1123</v>
      </c>
      <c r="B813" s="1801">
        <v>3595772.85</v>
      </c>
      <c r="C813" s="1802">
        <v>0</v>
      </c>
      <c r="D813" s="352">
        <v>703163.6</v>
      </c>
      <c r="E813" s="352">
        <v>122221.07</v>
      </c>
      <c r="F813" s="352">
        <v>378175.2</v>
      </c>
      <c r="G813" s="352">
        <v>849710.24</v>
      </c>
      <c r="H813" s="352">
        <v>0</v>
      </c>
      <c r="I813" s="352">
        <v>0</v>
      </c>
      <c r="J813" s="352">
        <v>993391.87</v>
      </c>
      <c r="K813" s="352">
        <v>549110.88</v>
      </c>
      <c r="L813" s="352">
        <v>0</v>
      </c>
      <c r="M813" s="352">
        <v>0</v>
      </c>
      <c r="N813" s="1803">
        <v>0</v>
      </c>
    </row>
    <row r="814" spans="1:14" ht="13">
      <c r="A814" s="742" t="s">
        <v>1049</v>
      </c>
      <c r="B814" s="1801">
        <v>3591013.56</v>
      </c>
      <c r="C814" s="1802">
        <v>417280.56</v>
      </c>
      <c r="D814" s="352">
        <v>341876.76</v>
      </c>
      <c r="E814" s="352">
        <v>352002.43</v>
      </c>
      <c r="F814" s="352">
        <v>156849.75</v>
      </c>
      <c r="G814" s="352">
        <v>178515.82</v>
      </c>
      <c r="H814" s="352">
        <v>262016.9</v>
      </c>
      <c r="I814" s="352">
        <v>321805.65999999997</v>
      </c>
      <c r="J814" s="352">
        <v>330433.96999999997</v>
      </c>
      <c r="K814" s="352">
        <v>363594.51</v>
      </c>
      <c r="L814" s="352">
        <v>368209.3</v>
      </c>
      <c r="M814" s="352">
        <v>333171.28000000003</v>
      </c>
      <c r="N814" s="1803">
        <v>165256.63</v>
      </c>
    </row>
    <row r="815" spans="1:14" ht="13">
      <c r="A815" s="742" t="s">
        <v>1043</v>
      </c>
      <c r="B815" s="1801">
        <v>3493133.8</v>
      </c>
      <c r="C815" s="1802">
        <v>245546.2</v>
      </c>
      <c r="D815" s="352">
        <v>751653.62</v>
      </c>
      <c r="E815" s="352">
        <v>0</v>
      </c>
      <c r="F815" s="352">
        <v>0</v>
      </c>
      <c r="G815" s="352">
        <v>272916.63</v>
      </c>
      <c r="H815" s="352">
        <v>451889.36</v>
      </c>
      <c r="I815" s="352">
        <v>434006.62</v>
      </c>
      <c r="J815" s="352">
        <v>0</v>
      </c>
      <c r="K815" s="352">
        <v>0</v>
      </c>
      <c r="L815" s="352">
        <v>1337121.3799999999</v>
      </c>
      <c r="M815" s="352">
        <v>0</v>
      </c>
      <c r="N815" s="1803">
        <v>0</v>
      </c>
    </row>
    <row r="816" spans="1:14" ht="13">
      <c r="A816" s="742" t="s">
        <v>1093</v>
      </c>
      <c r="B816" s="1801">
        <v>3476791.21</v>
      </c>
      <c r="C816" s="1802">
        <v>0</v>
      </c>
      <c r="D816" s="352">
        <v>0</v>
      </c>
      <c r="E816" s="352">
        <v>5796.31</v>
      </c>
      <c r="F816" s="352">
        <v>501502.64</v>
      </c>
      <c r="G816" s="352">
        <v>252732.01</v>
      </c>
      <c r="H816" s="352">
        <v>395521.09</v>
      </c>
      <c r="I816" s="352">
        <v>365395.49</v>
      </c>
      <c r="J816" s="352">
        <v>423471.64</v>
      </c>
      <c r="K816" s="352">
        <v>493123.3</v>
      </c>
      <c r="L816" s="352">
        <v>286455.40000000002</v>
      </c>
      <c r="M816" s="352">
        <v>525755.43999999994</v>
      </c>
      <c r="N816" s="1803">
        <v>227037.89</v>
      </c>
    </row>
    <row r="817" spans="1:14" ht="13">
      <c r="A817" s="742" t="s">
        <v>1087</v>
      </c>
      <c r="B817" s="1801">
        <v>3385685.89</v>
      </c>
      <c r="C817" s="1802">
        <v>1749232.8</v>
      </c>
      <c r="D817" s="352">
        <v>85883.49</v>
      </c>
      <c r="E817" s="352">
        <v>132069.6</v>
      </c>
      <c r="F817" s="352">
        <v>0</v>
      </c>
      <c r="G817" s="352">
        <v>0</v>
      </c>
      <c r="H817" s="352">
        <v>0</v>
      </c>
      <c r="I817" s="352">
        <v>0</v>
      </c>
      <c r="J817" s="352">
        <v>0</v>
      </c>
      <c r="K817" s="352">
        <v>1418500</v>
      </c>
      <c r="L817" s="352">
        <v>0</v>
      </c>
      <c r="M817" s="352">
        <v>0</v>
      </c>
      <c r="N817" s="1803">
        <v>0</v>
      </c>
    </row>
    <row r="818" spans="1:14" ht="13">
      <c r="A818" s="742" t="s">
        <v>1094</v>
      </c>
      <c r="B818" s="1801">
        <v>3296409.45</v>
      </c>
      <c r="C818" s="1802">
        <v>196790.65</v>
      </c>
      <c r="D818" s="352">
        <v>311069.12</v>
      </c>
      <c r="E818" s="352">
        <v>251972.52</v>
      </c>
      <c r="F818" s="352">
        <v>149982.92000000001</v>
      </c>
      <c r="G818" s="352">
        <v>295802.7</v>
      </c>
      <c r="H818" s="352">
        <v>160698.46</v>
      </c>
      <c r="I818" s="352">
        <v>220266.57</v>
      </c>
      <c r="J818" s="352">
        <v>302565.61</v>
      </c>
      <c r="K818" s="352">
        <v>563166.71</v>
      </c>
      <c r="L818" s="352">
        <v>385630.53</v>
      </c>
      <c r="M818" s="352">
        <v>315990.12</v>
      </c>
      <c r="N818" s="1803">
        <v>142473.54</v>
      </c>
    </row>
    <row r="819" spans="1:14" ht="13">
      <c r="A819" s="742" t="s">
        <v>1047</v>
      </c>
      <c r="B819" s="1801">
        <v>2842155.2</v>
      </c>
      <c r="C819" s="1802">
        <v>232761.44</v>
      </c>
      <c r="D819" s="352">
        <v>112977.85</v>
      </c>
      <c r="E819" s="352">
        <v>460486.35</v>
      </c>
      <c r="F819" s="352">
        <v>314564.09000000003</v>
      </c>
      <c r="G819" s="352">
        <v>35371.25</v>
      </c>
      <c r="H819" s="352">
        <v>0</v>
      </c>
      <c r="I819" s="352">
        <v>167265.71</v>
      </c>
      <c r="J819" s="352">
        <v>312305.99</v>
      </c>
      <c r="K819" s="352">
        <v>178718.72</v>
      </c>
      <c r="L819" s="352">
        <v>604461.76</v>
      </c>
      <c r="M819" s="352">
        <v>335945.72</v>
      </c>
      <c r="N819" s="1803">
        <v>87296.320000000007</v>
      </c>
    </row>
    <row r="820" spans="1:14" ht="13">
      <c r="A820" s="742" t="s">
        <v>1079</v>
      </c>
      <c r="B820" s="1801">
        <v>2704465.03</v>
      </c>
      <c r="C820" s="1802">
        <v>238892.31</v>
      </c>
      <c r="D820" s="352">
        <v>114286.08</v>
      </c>
      <c r="E820" s="352">
        <v>268636.95</v>
      </c>
      <c r="F820" s="352">
        <v>243542.78</v>
      </c>
      <c r="G820" s="352">
        <v>149583.18</v>
      </c>
      <c r="H820" s="352">
        <v>143283.07999999999</v>
      </c>
      <c r="I820" s="352">
        <v>362563.94</v>
      </c>
      <c r="J820" s="352">
        <v>144640.32000000001</v>
      </c>
      <c r="K820" s="352">
        <v>191124.12</v>
      </c>
      <c r="L820" s="352">
        <v>322385.86</v>
      </c>
      <c r="M820" s="352">
        <v>315315.84000000003</v>
      </c>
      <c r="N820" s="1803">
        <v>210210.56</v>
      </c>
    </row>
    <row r="821" spans="1:14" ht="13">
      <c r="A821" s="742" t="s">
        <v>1001</v>
      </c>
      <c r="B821" s="1801">
        <v>2607239.5099999998</v>
      </c>
      <c r="C821" s="1802">
        <v>0</v>
      </c>
      <c r="D821" s="352">
        <v>0</v>
      </c>
      <c r="E821" s="352">
        <v>0</v>
      </c>
      <c r="F821" s="302">
        <v>0</v>
      </c>
      <c r="G821" s="302">
        <v>0</v>
      </c>
      <c r="H821" s="302">
        <v>0</v>
      </c>
      <c r="I821" s="352">
        <v>0</v>
      </c>
      <c r="J821" s="302">
        <v>0</v>
      </c>
      <c r="K821" s="352">
        <v>0</v>
      </c>
      <c r="L821" s="352">
        <v>1558116.3</v>
      </c>
      <c r="M821" s="352">
        <v>1049123.21</v>
      </c>
      <c r="N821" s="1804">
        <v>0</v>
      </c>
    </row>
    <row r="822" spans="1:14" ht="13">
      <c r="A822" s="742" t="s">
        <v>1074</v>
      </c>
      <c r="B822" s="1801">
        <v>2417831.7400000002</v>
      </c>
      <c r="C822" s="1802">
        <v>189618.28</v>
      </c>
      <c r="D822" s="352">
        <v>105500.92</v>
      </c>
      <c r="E822" s="352">
        <v>98921.2</v>
      </c>
      <c r="F822" s="352">
        <v>157124.67000000001</v>
      </c>
      <c r="G822" s="352">
        <v>159545.06</v>
      </c>
      <c r="H822" s="352">
        <v>261071.43</v>
      </c>
      <c r="I822" s="352">
        <v>330147.12</v>
      </c>
      <c r="J822" s="352">
        <v>118460.97</v>
      </c>
      <c r="K822" s="352">
        <v>113302.1</v>
      </c>
      <c r="L822" s="352">
        <v>584286.18000000005</v>
      </c>
      <c r="M822" s="352">
        <v>0</v>
      </c>
      <c r="N822" s="1803">
        <v>299853.81</v>
      </c>
    </row>
    <row r="823" spans="1:14" ht="13">
      <c r="A823" s="742" t="s">
        <v>979</v>
      </c>
      <c r="B823" s="1801">
        <v>2404504.9300000002</v>
      </c>
      <c r="C823" s="1789">
        <v>0</v>
      </c>
      <c r="D823" s="352">
        <v>370176</v>
      </c>
      <c r="E823" s="302">
        <v>0</v>
      </c>
      <c r="F823" s="302">
        <v>0</v>
      </c>
      <c r="G823" s="302">
        <v>0</v>
      </c>
      <c r="H823" s="302">
        <v>0</v>
      </c>
      <c r="I823" s="302">
        <v>0</v>
      </c>
      <c r="J823" s="352">
        <v>0</v>
      </c>
      <c r="K823" s="352">
        <v>1587554.48</v>
      </c>
      <c r="L823" s="352">
        <v>340598.13</v>
      </c>
      <c r="M823" s="352">
        <v>36684.92</v>
      </c>
      <c r="N823" s="1803">
        <v>69491.399999999994</v>
      </c>
    </row>
    <row r="824" spans="1:14" ht="13">
      <c r="A824" s="742" t="s">
        <v>1672</v>
      </c>
      <c r="B824" s="1801">
        <v>2389236.33</v>
      </c>
      <c r="C824" s="1802">
        <v>0</v>
      </c>
      <c r="D824" s="352">
        <v>0</v>
      </c>
      <c r="E824" s="352">
        <v>0</v>
      </c>
      <c r="F824" s="352">
        <v>0</v>
      </c>
      <c r="G824" s="352">
        <v>2072848.5</v>
      </c>
      <c r="H824" s="352">
        <v>0</v>
      </c>
      <c r="I824" s="352">
        <v>175137.75</v>
      </c>
      <c r="J824" s="352">
        <v>106145.15</v>
      </c>
      <c r="K824" s="352">
        <v>28182.28</v>
      </c>
      <c r="L824" s="352">
        <v>6922.65</v>
      </c>
      <c r="M824" s="302">
        <v>0</v>
      </c>
      <c r="N824" s="1803">
        <v>0</v>
      </c>
    </row>
    <row r="825" spans="1:14" ht="13">
      <c r="A825" s="742" t="s">
        <v>1086</v>
      </c>
      <c r="B825" s="1801">
        <v>2271988.2000000002</v>
      </c>
      <c r="C825" s="1802">
        <v>250649.17</v>
      </c>
      <c r="D825" s="352">
        <v>293663.78999999998</v>
      </c>
      <c r="E825" s="352">
        <v>77418.929999999993</v>
      </c>
      <c r="F825" s="302">
        <v>0</v>
      </c>
      <c r="G825" s="352">
        <v>307269.89</v>
      </c>
      <c r="H825" s="352">
        <v>142468.32999999999</v>
      </c>
      <c r="I825" s="352">
        <v>390379.07</v>
      </c>
      <c r="J825" s="302">
        <v>0</v>
      </c>
      <c r="K825" s="352">
        <v>156955.03</v>
      </c>
      <c r="L825" s="352">
        <v>361836.44</v>
      </c>
      <c r="M825" s="352">
        <v>291347.57</v>
      </c>
      <c r="N825" s="1803">
        <v>0</v>
      </c>
    </row>
    <row r="826" spans="1:14" ht="13">
      <c r="A826" s="742" t="s">
        <v>1066</v>
      </c>
      <c r="B826" s="1801">
        <v>2215084.23</v>
      </c>
      <c r="C826" s="1789">
        <v>0</v>
      </c>
      <c r="D826" s="352">
        <v>389132.42</v>
      </c>
      <c r="E826" s="352">
        <v>49987.31</v>
      </c>
      <c r="F826" s="352">
        <v>467236.12</v>
      </c>
      <c r="G826" s="352">
        <v>0</v>
      </c>
      <c r="H826" s="352">
        <v>69748.789999999994</v>
      </c>
      <c r="I826" s="352">
        <v>0</v>
      </c>
      <c r="J826" s="352">
        <v>134703.26999999999</v>
      </c>
      <c r="K826" s="352">
        <v>255245.76</v>
      </c>
      <c r="L826" s="352">
        <v>643920.93999999994</v>
      </c>
      <c r="M826" s="352">
        <v>121623.49</v>
      </c>
      <c r="N826" s="1803">
        <v>83486.13</v>
      </c>
    </row>
    <row r="827" spans="1:14" ht="13">
      <c r="A827" s="742" t="s">
        <v>1077</v>
      </c>
      <c r="B827" s="1801">
        <v>1973912.87</v>
      </c>
      <c r="C827" s="1802">
        <v>261089.69</v>
      </c>
      <c r="D827" s="352">
        <v>340133.93</v>
      </c>
      <c r="E827" s="352">
        <v>53318</v>
      </c>
      <c r="F827" s="352">
        <v>282921.36</v>
      </c>
      <c r="G827" s="352">
        <v>0</v>
      </c>
      <c r="H827" s="352">
        <v>47039.03</v>
      </c>
      <c r="I827" s="352">
        <v>133648.57</v>
      </c>
      <c r="J827" s="352">
        <v>230113.35</v>
      </c>
      <c r="K827" s="352">
        <v>14203.33</v>
      </c>
      <c r="L827" s="352">
        <v>171901.9</v>
      </c>
      <c r="M827" s="352">
        <v>217635.93</v>
      </c>
      <c r="N827" s="1803">
        <v>221907.78</v>
      </c>
    </row>
    <row r="828" spans="1:14" ht="13">
      <c r="A828" s="742" t="s">
        <v>1067</v>
      </c>
      <c r="B828" s="1801">
        <v>1957266.74</v>
      </c>
      <c r="C828" s="1802">
        <v>220862.44</v>
      </c>
      <c r="D828" s="352">
        <v>14427.21</v>
      </c>
      <c r="E828" s="352">
        <v>293600.53999999998</v>
      </c>
      <c r="F828" s="352">
        <v>161127.85</v>
      </c>
      <c r="G828" s="352">
        <v>69198.490000000005</v>
      </c>
      <c r="H828" s="352">
        <v>171114.92</v>
      </c>
      <c r="I828" s="352">
        <v>205123.38</v>
      </c>
      <c r="J828" s="352">
        <v>135430.88</v>
      </c>
      <c r="K828" s="352">
        <v>274516.90999999997</v>
      </c>
      <c r="L828" s="352">
        <v>59268.7</v>
      </c>
      <c r="M828" s="352">
        <v>211057.57</v>
      </c>
      <c r="N828" s="1803">
        <v>141537.84</v>
      </c>
    </row>
    <row r="829" spans="1:14" ht="13">
      <c r="A829" s="742" t="s">
        <v>1718</v>
      </c>
      <c r="B829" s="1801">
        <v>1803761.74</v>
      </c>
      <c r="C829" s="1802">
        <v>781105.02</v>
      </c>
      <c r="D829" s="302">
        <v>0</v>
      </c>
      <c r="E829" s="352">
        <v>288419.03999999998</v>
      </c>
      <c r="F829" s="352">
        <v>734237.68</v>
      </c>
      <c r="G829" s="302">
        <v>0</v>
      </c>
      <c r="H829" s="302">
        <v>0</v>
      </c>
      <c r="I829" s="352">
        <v>0</v>
      </c>
      <c r="J829" s="352">
        <v>0</v>
      </c>
      <c r="K829" s="352">
        <v>0</v>
      </c>
      <c r="L829" s="352">
        <v>0</v>
      </c>
      <c r="M829" s="352">
        <v>0</v>
      </c>
      <c r="N829" s="1804">
        <v>0</v>
      </c>
    </row>
    <row r="830" spans="1:14" ht="13">
      <c r="A830" s="742" t="s">
        <v>1114</v>
      </c>
      <c r="B830" s="1801">
        <v>1790465.92</v>
      </c>
      <c r="C830" s="1802">
        <v>0</v>
      </c>
      <c r="D830" s="352">
        <v>0</v>
      </c>
      <c r="E830" s="352">
        <v>0</v>
      </c>
      <c r="F830" s="352">
        <v>0</v>
      </c>
      <c r="G830" s="352">
        <v>1632335.35</v>
      </c>
      <c r="H830" s="352">
        <v>0</v>
      </c>
      <c r="I830" s="352">
        <v>0</v>
      </c>
      <c r="J830" s="352">
        <v>258308.22</v>
      </c>
      <c r="K830" s="352">
        <v>-100177.65</v>
      </c>
      <c r="L830" s="352">
        <v>0</v>
      </c>
      <c r="M830" s="352">
        <v>0</v>
      </c>
      <c r="N830" s="1803">
        <v>0</v>
      </c>
    </row>
    <row r="831" spans="1:14" ht="13">
      <c r="A831" s="742" t="s">
        <v>1038</v>
      </c>
      <c r="B831" s="1801">
        <v>1782154.46</v>
      </c>
      <c r="C831" s="1802">
        <v>0</v>
      </c>
      <c r="D831" s="302">
        <v>0</v>
      </c>
      <c r="E831" s="352">
        <v>0</v>
      </c>
      <c r="F831" s="352">
        <v>0</v>
      </c>
      <c r="G831" s="302">
        <v>0</v>
      </c>
      <c r="H831" s="302">
        <v>0</v>
      </c>
      <c r="I831" s="302">
        <v>0</v>
      </c>
      <c r="J831" s="352">
        <v>208840.3</v>
      </c>
      <c r="K831" s="352">
        <v>418182.16</v>
      </c>
      <c r="L831" s="352">
        <v>385827.44</v>
      </c>
      <c r="M831" s="352">
        <v>499439.28</v>
      </c>
      <c r="N831" s="1803">
        <v>269865.28000000003</v>
      </c>
    </row>
    <row r="832" spans="1:14" ht="13">
      <c r="A832" s="742" t="s">
        <v>1088</v>
      </c>
      <c r="B832" s="1801">
        <v>1673256.23</v>
      </c>
      <c r="C832" s="1789">
        <v>0</v>
      </c>
      <c r="D832" s="302">
        <v>0</v>
      </c>
      <c r="E832" s="302">
        <v>0</v>
      </c>
      <c r="F832" s="352">
        <v>11756.2</v>
      </c>
      <c r="G832" s="352">
        <v>100135.55</v>
      </c>
      <c r="H832" s="352">
        <v>220880.38</v>
      </c>
      <c r="I832" s="352">
        <v>239430.56</v>
      </c>
      <c r="J832" s="352">
        <v>172401.5</v>
      </c>
      <c r="K832" s="352">
        <v>135414.62</v>
      </c>
      <c r="L832" s="352">
        <v>67369.64</v>
      </c>
      <c r="M832" s="352">
        <v>294353.89</v>
      </c>
      <c r="N832" s="1803">
        <v>431513.9</v>
      </c>
    </row>
    <row r="833" spans="1:14" ht="13">
      <c r="A833" s="742" t="s">
        <v>843</v>
      </c>
      <c r="B833" s="1801">
        <v>1670564.35</v>
      </c>
      <c r="C833" s="1789">
        <v>0</v>
      </c>
      <c r="D833" s="302">
        <v>0</v>
      </c>
      <c r="E833" s="302">
        <v>0</v>
      </c>
      <c r="F833" s="352">
        <v>121177.41</v>
      </c>
      <c r="G833" s="302">
        <v>0</v>
      </c>
      <c r="H833" s="352">
        <v>218999.03</v>
      </c>
      <c r="I833" s="352">
        <v>262494.96000000002</v>
      </c>
      <c r="J833" s="352">
        <v>188708.22</v>
      </c>
      <c r="K833" s="352">
        <v>18084.599999999999</v>
      </c>
      <c r="L833" s="352">
        <v>339829.52</v>
      </c>
      <c r="M833" s="352">
        <v>124781.05</v>
      </c>
      <c r="N833" s="1803">
        <v>396489.57</v>
      </c>
    </row>
    <row r="834" spans="1:14" ht="13">
      <c r="A834" s="742" t="s">
        <v>1092</v>
      </c>
      <c r="B834" s="1801">
        <v>1648233.18</v>
      </c>
      <c r="C834" s="1802">
        <v>295293.77</v>
      </c>
      <c r="D834" s="302">
        <v>0</v>
      </c>
      <c r="E834" s="302">
        <v>0</v>
      </c>
      <c r="F834" s="352">
        <v>83357.61</v>
      </c>
      <c r="G834" s="352">
        <v>104968.85</v>
      </c>
      <c r="H834" s="352">
        <v>0</v>
      </c>
      <c r="I834" s="352">
        <v>0</v>
      </c>
      <c r="J834" s="352">
        <v>0</v>
      </c>
      <c r="K834" s="352">
        <v>0</v>
      </c>
      <c r="L834" s="352">
        <v>0</v>
      </c>
      <c r="M834" s="352">
        <v>0</v>
      </c>
      <c r="N834" s="1803">
        <v>1164612.95</v>
      </c>
    </row>
    <row r="835" spans="1:14" ht="13">
      <c r="A835" s="742" t="s">
        <v>887</v>
      </c>
      <c r="B835" s="1801">
        <v>1636009.64</v>
      </c>
      <c r="C835" s="1802">
        <v>152266.74</v>
      </c>
      <c r="D835" s="352">
        <v>135390.9</v>
      </c>
      <c r="E835" s="352">
        <v>172400.18</v>
      </c>
      <c r="F835" s="352">
        <v>187045.98</v>
      </c>
      <c r="G835" s="352">
        <v>114650.09</v>
      </c>
      <c r="H835" s="352">
        <v>0</v>
      </c>
      <c r="I835" s="352">
        <v>330326.73</v>
      </c>
      <c r="J835" s="352">
        <v>149895.48000000001</v>
      </c>
      <c r="K835" s="352">
        <v>131345.66</v>
      </c>
      <c r="L835" s="352">
        <v>93350.13</v>
      </c>
      <c r="M835" s="352">
        <v>169337.77</v>
      </c>
      <c r="N835" s="1803">
        <v>0</v>
      </c>
    </row>
    <row r="836" spans="1:14" ht="13">
      <c r="A836" s="742" t="s">
        <v>1044</v>
      </c>
      <c r="B836" s="1801">
        <v>1622181.35</v>
      </c>
      <c r="C836" s="1802">
        <v>168787.9</v>
      </c>
      <c r="D836" s="352">
        <v>125900.46</v>
      </c>
      <c r="E836" s="302">
        <v>0</v>
      </c>
      <c r="F836" s="352">
        <v>193250.85</v>
      </c>
      <c r="G836" s="352">
        <v>0</v>
      </c>
      <c r="H836" s="302">
        <v>0</v>
      </c>
      <c r="I836" s="302">
        <v>0</v>
      </c>
      <c r="J836" s="352">
        <v>152548</v>
      </c>
      <c r="K836" s="352">
        <v>397751.62</v>
      </c>
      <c r="L836" s="302">
        <v>0</v>
      </c>
      <c r="M836" s="352">
        <v>275390.87</v>
      </c>
      <c r="N836" s="1803">
        <v>308551.65999999997</v>
      </c>
    </row>
    <row r="837" spans="1:14" ht="13">
      <c r="A837" s="742" t="s">
        <v>1097</v>
      </c>
      <c r="B837" s="1801">
        <v>1603313.51</v>
      </c>
      <c r="C837" s="1802">
        <v>17463.599999999999</v>
      </c>
      <c r="D837" s="352">
        <v>162914.5</v>
      </c>
      <c r="E837" s="352">
        <v>118330.72</v>
      </c>
      <c r="F837" s="352">
        <v>154965.01999999999</v>
      </c>
      <c r="G837" s="352">
        <v>84697.45</v>
      </c>
      <c r="H837" s="352">
        <v>123193.16</v>
      </c>
      <c r="I837" s="352">
        <v>163733.34</v>
      </c>
      <c r="J837" s="352">
        <v>144050.91</v>
      </c>
      <c r="K837" s="352">
        <v>172800.73</v>
      </c>
      <c r="L837" s="352">
        <v>164446.88</v>
      </c>
      <c r="M837" s="352">
        <v>77988.039999999994</v>
      </c>
      <c r="N837" s="1803">
        <v>218729.16</v>
      </c>
    </row>
    <row r="838" spans="1:14" ht="13">
      <c r="A838" s="742" t="s">
        <v>1078</v>
      </c>
      <c r="B838" s="1801">
        <v>1483013.99</v>
      </c>
      <c r="C838" s="1802">
        <v>56705.4</v>
      </c>
      <c r="D838" s="352">
        <v>174570.65</v>
      </c>
      <c r="E838" s="352">
        <v>56705.4</v>
      </c>
      <c r="F838" s="352">
        <v>201869.4</v>
      </c>
      <c r="G838" s="352">
        <v>129035.8</v>
      </c>
      <c r="H838" s="352">
        <v>86372.56</v>
      </c>
      <c r="I838" s="352">
        <v>244412.12</v>
      </c>
      <c r="J838" s="352">
        <v>195307.54</v>
      </c>
      <c r="K838" s="352">
        <v>79076.7</v>
      </c>
      <c r="L838" s="302">
        <v>0</v>
      </c>
      <c r="M838" s="352">
        <v>56525.37</v>
      </c>
      <c r="N838" s="1803">
        <v>202433.06</v>
      </c>
    </row>
    <row r="839" spans="1:14" ht="13">
      <c r="A839" s="742" t="s">
        <v>1084</v>
      </c>
      <c r="B839" s="1801">
        <v>1446616.64</v>
      </c>
      <c r="C839" s="1802">
        <v>464447.19</v>
      </c>
      <c r="D839" s="352">
        <v>0</v>
      </c>
      <c r="E839" s="352">
        <v>0</v>
      </c>
      <c r="F839" s="352">
        <v>49679.5</v>
      </c>
      <c r="G839" s="352">
        <v>6490.62</v>
      </c>
      <c r="H839" s="352">
        <v>101457.68</v>
      </c>
      <c r="I839" s="352">
        <v>48102.5</v>
      </c>
      <c r="J839" s="352">
        <v>125023.83</v>
      </c>
      <c r="K839" s="352">
        <v>255832.95999999999</v>
      </c>
      <c r="L839" s="352">
        <v>103225.43</v>
      </c>
      <c r="M839" s="352">
        <v>220391.55</v>
      </c>
      <c r="N839" s="1803">
        <v>71965.39</v>
      </c>
    </row>
    <row r="840" spans="1:14" ht="13">
      <c r="A840" s="742" t="s">
        <v>1075</v>
      </c>
      <c r="B840" s="1801">
        <v>1443100.42</v>
      </c>
      <c r="C840" s="1802">
        <v>52479.68</v>
      </c>
      <c r="D840" s="352">
        <v>102910.84</v>
      </c>
      <c r="E840" s="352">
        <v>0</v>
      </c>
      <c r="F840" s="352">
        <v>60890.35</v>
      </c>
      <c r="G840" s="352">
        <v>30193.89</v>
      </c>
      <c r="H840" s="352">
        <v>32017.26</v>
      </c>
      <c r="I840" s="352">
        <v>242265.01</v>
      </c>
      <c r="J840" s="352">
        <v>223152.5</v>
      </c>
      <c r="K840" s="352">
        <v>300635.01</v>
      </c>
      <c r="L840" s="352">
        <v>90847.86</v>
      </c>
      <c r="M840" s="352">
        <v>242022.16</v>
      </c>
      <c r="N840" s="1803">
        <v>65685.86</v>
      </c>
    </row>
    <row r="841" spans="1:14" ht="13">
      <c r="A841" s="742" t="s">
        <v>1106</v>
      </c>
      <c r="B841" s="1801">
        <v>1388989.52</v>
      </c>
      <c r="C841" s="1802">
        <v>0</v>
      </c>
      <c r="D841" s="302">
        <v>0</v>
      </c>
      <c r="E841" s="302">
        <v>0</v>
      </c>
      <c r="F841" s="352">
        <v>0</v>
      </c>
      <c r="G841" s="352">
        <v>119635.87</v>
      </c>
      <c r="H841" s="352">
        <v>63563</v>
      </c>
      <c r="I841" s="352">
        <v>211599.51</v>
      </c>
      <c r="J841" s="352">
        <v>163627.54999999999</v>
      </c>
      <c r="K841" s="352">
        <v>313328.90999999997</v>
      </c>
      <c r="L841" s="352">
        <v>195939.91</v>
      </c>
      <c r="M841" s="352">
        <v>115049.41</v>
      </c>
      <c r="N841" s="1803">
        <v>206245.36</v>
      </c>
    </row>
    <row r="842" spans="1:14" ht="13">
      <c r="A842" s="742" t="s">
        <v>1071</v>
      </c>
      <c r="B842" s="1801">
        <v>1379462.97</v>
      </c>
      <c r="C842" s="1802">
        <v>178407.46</v>
      </c>
      <c r="D842" s="352">
        <v>0</v>
      </c>
      <c r="E842" s="352">
        <v>89624.06</v>
      </c>
      <c r="F842" s="352">
        <v>0</v>
      </c>
      <c r="G842" s="352">
        <v>244798.92</v>
      </c>
      <c r="H842" s="352">
        <v>0</v>
      </c>
      <c r="I842" s="352">
        <v>185364.71</v>
      </c>
      <c r="J842" s="352">
        <v>112795.23</v>
      </c>
      <c r="K842" s="352">
        <v>277467.75</v>
      </c>
      <c r="L842" s="352">
        <v>142206.20000000001</v>
      </c>
      <c r="M842" s="352">
        <v>0</v>
      </c>
      <c r="N842" s="1803">
        <v>148798.64000000001</v>
      </c>
    </row>
    <row r="843" spans="1:14" ht="13">
      <c r="A843" s="742" t="s">
        <v>1115</v>
      </c>
      <c r="B843" s="1801">
        <v>1365105.52</v>
      </c>
      <c r="C843" s="1802">
        <v>61921.279999999999</v>
      </c>
      <c r="D843" s="352">
        <v>148871.92000000001</v>
      </c>
      <c r="E843" s="352">
        <v>138257.60000000001</v>
      </c>
      <c r="F843" s="352">
        <v>112588.56</v>
      </c>
      <c r="G843" s="352">
        <v>94084.08</v>
      </c>
      <c r="H843" s="352">
        <v>19020</v>
      </c>
      <c r="I843" s="352">
        <v>162036.07999999999</v>
      </c>
      <c r="J843" s="352">
        <v>203557.76000000001</v>
      </c>
      <c r="K843" s="352">
        <v>70949.36</v>
      </c>
      <c r="L843" s="352">
        <v>78253.600000000006</v>
      </c>
      <c r="M843" s="352">
        <v>91897.279999999999</v>
      </c>
      <c r="N843" s="1803">
        <v>183668</v>
      </c>
    </row>
    <row r="844" spans="1:14" ht="13">
      <c r="A844" s="742" t="s">
        <v>1051</v>
      </c>
      <c r="B844" s="1801">
        <v>1257146.75</v>
      </c>
      <c r="C844" s="1802">
        <v>0</v>
      </c>
      <c r="D844" s="302">
        <v>0</v>
      </c>
      <c r="E844" s="352">
        <v>0</v>
      </c>
      <c r="F844" s="302">
        <v>0</v>
      </c>
      <c r="G844" s="352">
        <v>0</v>
      </c>
      <c r="H844" s="302">
        <v>0</v>
      </c>
      <c r="I844" s="352">
        <v>0</v>
      </c>
      <c r="J844" s="352">
        <v>71694.320000000007</v>
      </c>
      <c r="K844" s="352">
        <v>521959.75</v>
      </c>
      <c r="L844" s="352">
        <v>50999.29</v>
      </c>
      <c r="M844" s="352">
        <v>386110.79</v>
      </c>
      <c r="N844" s="1803">
        <v>226382.6</v>
      </c>
    </row>
    <row r="845" spans="1:14" ht="13">
      <c r="A845" s="742" t="s">
        <v>860</v>
      </c>
      <c r="B845" s="1801">
        <v>1248832.18</v>
      </c>
      <c r="C845" s="1802">
        <v>85084.18</v>
      </c>
      <c r="D845" s="352">
        <v>53627.59</v>
      </c>
      <c r="E845" s="352">
        <v>197399.39</v>
      </c>
      <c r="F845" s="352">
        <v>55631</v>
      </c>
      <c r="G845" s="352">
        <v>150418.07999999999</v>
      </c>
      <c r="H845" s="352">
        <v>27477</v>
      </c>
      <c r="I845" s="352">
        <v>0</v>
      </c>
      <c r="J845" s="352">
        <v>0</v>
      </c>
      <c r="K845" s="352">
        <v>20686.25</v>
      </c>
      <c r="L845" s="352">
        <v>15774.84</v>
      </c>
      <c r="M845" s="352">
        <v>61783.8</v>
      </c>
      <c r="N845" s="1803">
        <v>580950.05000000005</v>
      </c>
    </row>
    <row r="846" spans="1:14" ht="13">
      <c r="A846" s="742" t="s">
        <v>1014</v>
      </c>
      <c r="B846" s="1801">
        <v>1200562.58</v>
      </c>
      <c r="C846" s="1802">
        <v>0</v>
      </c>
      <c r="D846" s="302">
        <v>0</v>
      </c>
      <c r="E846" s="352">
        <v>0</v>
      </c>
      <c r="F846" s="352">
        <v>0</v>
      </c>
      <c r="G846" s="352">
        <v>0</v>
      </c>
      <c r="H846" s="352">
        <v>0</v>
      </c>
      <c r="I846" s="352">
        <v>201870.79</v>
      </c>
      <c r="J846" s="352">
        <v>66594.77</v>
      </c>
      <c r="K846" s="352">
        <v>0</v>
      </c>
      <c r="L846" s="352">
        <v>0</v>
      </c>
      <c r="M846" s="352">
        <v>391748.05</v>
      </c>
      <c r="N846" s="1803">
        <v>540348.97</v>
      </c>
    </row>
    <row r="847" spans="1:14" ht="13">
      <c r="A847" s="742" t="s">
        <v>1091</v>
      </c>
      <c r="B847" s="1801">
        <v>1194365.82</v>
      </c>
      <c r="C847" s="1802">
        <v>219952.53</v>
      </c>
      <c r="D847" s="352">
        <v>52702.22</v>
      </c>
      <c r="E847" s="352">
        <v>165208.82</v>
      </c>
      <c r="F847" s="352">
        <v>104205.31</v>
      </c>
      <c r="G847" s="352">
        <v>42210.41</v>
      </c>
      <c r="H847" s="352">
        <v>111902.18</v>
      </c>
      <c r="I847" s="352">
        <v>17000</v>
      </c>
      <c r="J847" s="352">
        <v>12257.53</v>
      </c>
      <c r="K847" s="352">
        <v>254195.25</v>
      </c>
      <c r="L847" s="352">
        <v>90215.18</v>
      </c>
      <c r="M847" s="352">
        <v>124516.4</v>
      </c>
      <c r="N847" s="1803">
        <v>0</v>
      </c>
    </row>
    <row r="848" spans="1:14" ht="13">
      <c r="A848" s="742" t="s">
        <v>1081</v>
      </c>
      <c r="B848" s="1801">
        <v>1132459.75</v>
      </c>
      <c r="C848" s="1802">
        <v>76761.7</v>
      </c>
      <c r="D848" s="352">
        <v>108220.87</v>
      </c>
      <c r="E848" s="352">
        <v>0</v>
      </c>
      <c r="F848" s="352">
        <v>34552.36</v>
      </c>
      <c r="G848" s="352">
        <v>0</v>
      </c>
      <c r="H848" s="352">
        <v>88321.24</v>
      </c>
      <c r="I848" s="352">
        <v>15270.7</v>
      </c>
      <c r="J848" s="352">
        <v>133317.98000000001</v>
      </c>
      <c r="K848" s="352">
        <v>0</v>
      </c>
      <c r="L848" s="352">
        <v>204967.7</v>
      </c>
      <c r="M848" s="352">
        <v>313522.2</v>
      </c>
      <c r="N848" s="1803">
        <v>157525</v>
      </c>
    </row>
    <row r="849" spans="1:14" ht="13">
      <c r="A849" s="742" t="s">
        <v>1076</v>
      </c>
      <c r="B849" s="1801">
        <v>1109514.1000000001</v>
      </c>
      <c r="C849" s="1789">
        <v>0</v>
      </c>
      <c r="D849" s="302">
        <v>0</v>
      </c>
      <c r="E849" s="352">
        <v>704998.47</v>
      </c>
      <c r="F849" s="352">
        <v>62194.3</v>
      </c>
      <c r="G849" s="302">
        <v>0</v>
      </c>
      <c r="H849" s="302">
        <v>0</v>
      </c>
      <c r="I849" s="352">
        <v>0</v>
      </c>
      <c r="J849" s="352">
        <v>0</v>
      </c>
      <c r="K849" s="352">
        <v>342321.33</v>
      </c>
      <c r="L849" s="302">
        <v>0</v>
      </c>
      <c r="M849" s="352">
        <v>0</v>
      </c>
      <c r="N849" s="1803">
        <v>0</v>
      </c>
    </row>
    <row r="850" spans="1:14" ht="13">
      <c r="A850" s="742" t="s">
        <v>1042</v>
      </c>
      <c r="B850" s="1801">
        <v>867634.44</v>
      </c>
      <c r="C850" s="1802">
        <v>28404.45</v>
      </c>
      <c r="D850" s="352">
        <v>34177.629999999997</v>
      </c>
      <c r="E850" s="352">
        <v>40964.639999999999</v>
      </c>
      <c r="F850" s="352">
        <v>10911.1</v>
      </c>
      <c r="G850" s="352">
        <v>100448.86</v>
      </c>
      <c r="H850" s="352">
        <v>164326.35999999999</v>
      </c>
      <c r="I850" s="352">
        <v>70537.52</v>
      </c>
      <c r="J850" s="352">
        <v>0</v>
      </c>
      <c r="K850" s="352">
        <v>34324.019999999997</v>
      </c>
      <c r="L850" s="352">
        <v>29502.32</v>
      </c>
      <c r="M850" s="352">
        <v>137128.14000000001</v>
      </c>
      <c r="N850" s="1803">
        <v>216909.41</v>
      </c>
    </row>
    <row r="851" spans="1:14" ht="13">
      <c r="A851" s="742" t="s">
        <v>1719</v>
      </c>
      <c r="B851" s="1801">
        <v>760536</v>
      </c>
      <c r="C851" s="1802">
        <v>760536</v>
      </c>
      <c r="D851" s="352">
        <v>0</v>
      </c>
      <c r="E851" s="302">
        <v>0</v>
      </c>
      <c r="F851" s="352">
        <v>0</v>
      </c>
      <c r="G851" s="302">
        <v>0</v>
      </c>
      <c r="H851" s="352">
        <v>0</v>
      </c>
      <c r="I851" s="352">
        <v>0</v>
      </c>
      <c r="J851" s="352">
        <v>0</v>
      </c>
      <c r="K851" s="302">
        <v>0</v>
      </c>
      <c r="L851" s="352">
        <v>0</v>
      </c>
      <c r="M851" s="352">
        <v>0</v>
      </c>
      <c r="N851" s="1803">
        <v>0</v>
      </c>
    </row>
    <row r="852" spans="1:14" ht="13">
      <c r="A852" s="742" t="s">
        <v>1070</v>
      </c>
      <c r="B852" s="1801">
        <v>665760.56000000006</v>
      </c>
      <c r="C852" s="1802">
        <v>15758.07</v>
      </c>
      <c r="D852" s="352">
        <v>223742.38</v>
      </c>
      <c r="E852" s="352">
        <v>0</v>
      </c>
      <c r="F852" s="352">
        <v>92439.6</v>
      </c>
      <c r="G852" s="352">
        <v>101956.14</v>
      </c>
      <c r="H852" s="352">
        <v>103500.67</v>
      </c>
      <c r="I852" s="352">
        <v>38978.42</v>
      </c>
      <c r="J852" s="352">
        <v>89385.279999999999</v>
      </c>
      <c r="K852" s="352">
        <v>0</v>
      </c>
      <c r="L852" s="302">
        <v>0</v>
      </c>
      <c r="M852" s="302">
        <v>0</v>
      </c>
      <c r="N852" s="1804">
        <v>0</v>
      </c>
    </row>
    <row r="853" spans="1:14" ht="13">
      <c r="A853" s="742" t="s">
        <v>1080</v>
      </c>
      <c r="B853" s="1801">
        <v>626385.82999999996</v>
      </c>
      <c r="C853" s="1802">
        <v>30364.91</v>
      </c>
      <c r="D853" s="352">
        <v>0</v>
      </c>
      <c r="E853" s="352">
        <v>56599.18</v>
      </c>
      <c r="F853" s="352">
        <v>0</v>
      </c>
      <c r="G853" s="352">
        <v>48364.2</v>
      </c>
      <c r="H853" s="352">
        <v>112705.18</v>
      </c>
      <c r="I853" s="352">
        <v>52235.1</v>
      </c>
      <c r="J853" s="352">
        <v>23925</v>
      </c>
      <c r="K853" s="352">
        <v>46343.38</v>
      </c>
      <c r="L853" s="352">
        <v>65876.679999999993</v>
      </c>
      <c r="M853" s="352">
        <v>37635.589999999997</v>
      </c>
      <c r="N853" s="1803">
        <v>152336.60999999999</v>
      </c>
    </row>
    <row r="854" spans="1:14" ht="13">
      <c r="A854" s="742" t="s">
        <v>1663</v>
      </c>
      <c r="B854" s="1801">
        <v>613931.72</v>
      </c>
      <c r="C854" s="1802">
        <v>34926.67</v>
      </c>
      <c r="D854" s="352">
        <v>78757.929999999993</v>
      </c>
      <c r="E854" s="352">
        <v>247760.74</v>
      </c>
      <c r="F854" s="352">
        <v>30230.14</v>
      </c>
      <c r="G854" s="352">
        <v>19020</v>
      </c>
      <c r="H854" s="302">
        <v>0</v>
      </c>
      <c r="I854" s="352">
        <v>91616.34</v>
      </c>
      <c r="J854" s="302">
        <v>0</v>
      </c>
      <c r="K854" s="302">
        <v>0</v>
      </c>
      <c r="L854" s="352">
        <v>41259.75</v>
      </c>
      <c r="M854" s="352">
        <v>0</v>
      </c>
      <c r="N854" s="1803">
        <v>70360.149999999994</v>
      </c>
    </row>
    <row r="855" spans="1:14" ht="13">
      <c r="A855" s="742" t="s">
        <v>1720</v>
      </c>
      <c r="B855" s="1801">
        <v>607748.18999999994</v>
      </c>
      <c r="C855" s="1802">
        <v>0</v>
      </c>
      <c r="D855" s="302">
        <v>0</v>
      </c>
      <c r="E855" s="352">
        <v>5965.92</v>
      </c>
      <c r="F855" s="352">
        <v>58093.89</v>
      </c>
      <c r="G855" s="352">
        <v>16966.41</v>
      </c>
      <c r="H855" s="302">
        <v>0</v>
      </c>
      <c r="I855" s="302">
        <v>0</v>
      </c>
      <c r="J855" s="352">
        <v>14960.72</v>
      </c>
      <c r="K855" s="352">
        <v>511761.25</v>
      </c>
      <c r="L855" s="302">
        <v>0</v>
      </c>
      <c r="M855" s="302">
        <v>0</v>
      </c>
      <c r="N855" s="1804">
        <v>0</v>
      </c>
    </row>
    <row r="856" spans="1:14" ht="13">
      <c r="A856" s="742" t="s">
        <v>1117</v>
      </c>
      <c r="B856" s="1801">
        <v>605971.9</v>
      </c>
      <c r="C856" s="1802">
        <v>0</v>
      </c>
      <c r="D856" s="352">
        <v>218449.59</v>
      </c>
      <c r="E856" s="302">
        <v>0</v>
      </c>
      <c r="F856" s="352">
        <v>0</v>
      </c>
      <c r="G856" s="352">
        <v>0</v>
      </c>
      <c r="H856" s="352">
        <v>0</v>
      </c>
      <c r="I856" s="352">
        <v>0</v>
      </c>
      <c r="J856" s="352">
        <v>0</v>
      </c>
      <c r="K856" s="302">
        <v>0</v>
      </c>
      <c r="L856" s="302">
        <v>0</v>
      </c>
      <c r="M856" s="352">
        <v>387522.31</v>
      </c>
      <c r="N856" s="1804">
        <v>0</v>
      </c>
    </row>
    <row r="857" spans="1:14" ht="13">
      <c r="A857" s="742" t="s">
        <v>1072</v>
      </c>
      <c r="B857" s="1801">
        <v>571896.34</v>
      </c>
      <c r="C857" s="1802">
        <v>410689.4</v>
      </c>
      <c r="D857" s="302">
        <v>0</v>
      </c>
      <c r="E857" s="352">
        <v>0</v>
      </c>
      <c r="F857" s="352">
        <v>161206.94</v>
      </c>
      <c r="G857" s="352">
        <v>0</v>
      </c>
      <c r="H857" s="352">
        <v>0</v>
      </c>
      <c r="I857" s="352">
        <v>0</v>
      </c>
      <c r="J857" s="352">
        <v>0</v>
      </c>
      <c r="K857" s="352">
        <v>0</v>
      </c>
      <c r="L857" s="352">
        <v>0</v>
      </c>
      <c r="M857" s="352">
        <v>0</v>
      </c>
      <c r="N857" s="1803">
        <v>0</v>
      </c>
    </row>
    <row r="858" spans="1:14" ht="13">
      <c r="A858" s="742" t="s">
        <v>1120</v>
      </c>
      <c r="B858" s="1801">
        <v>566272.43999999994</v>
      </c>
      <c r="C858" s="1802">
        <v>17253.330000000002</v>
      </c>
      <c r="D858" s="352">
        <v>0</v>
      </c>
      <c r="E858" s="352">
        <v>0</v>
      </c>
      <c r="F858" s="352">
        <v>186719.49</v>
      </c>
      <c r="G858" s="352">
        <v>86270.83</v>
      </c>
      <c r="H858" s="302">
        <v>0</v>
      </c>
      <c r="I858" s="352">
        <v>0</v>
      </c>
      <c r="J858" s="352">
        <v>68486.95</v>
      </c>
      <c r="K858" s="352">
        <v>66630.259999999995</v>
      </c>
      <c r="L858" s="352">
        <v>2974</v>
      </c>
      <c r="M858" s="352">
        <v>55468.78</v>
      </c>
      <c r="N858" s="1803">
        <v>82468.800000000003</v>
      </c>
    </row>
    <row r="859" spans="1:14" ht="13">
      <c r="A859" s="742" t="s">
        <v>1119</v>
      </c>
      <c r="B859" s="1801">
        <v>543087.79</v>
      </c>
      <c r="C859" s="1802">
        <v>30163.360000000001</v>
      </c>
      <c r="D859" s="352">
        <v>0</v>
      </c>
      <c r="E859" s="352">
        <v>56705.4</v>
      </c>
      <c r="F859" s="352">
        <v>0</v>
      </c>
      <c r="G859" s="352">
        <v>4860.9799999999996</v>
      </c>
      <c r="H859" s="352">
        <v>29988.16</v>
      </c>
      <c r="I859" s="352">
        <v>57952.58</v>
      </c>
      <c r="J859" s="352">
        <v>117237.63</v>
      </c>
      <c r="K859" s="352">
        <v>87844.47</v>
      </c>
      <c r="L859" s="352">
        <v>98371.34</v>
      </c>
      <c r="M859" s="352">
        <v>13429.96</v>
      </c>
      <c r="N859" s="1803">
        <v>46533.91</v>
      </c>
    </row>
    <row r="860" spans="1:14" ht="13">
      <c r="A860" s="742" t="s">
        <v>1060</v>
      </c>
      <c r="B860" s="1801">
        <v>514529.73</v>
      </c>
      <c r="C860" s="1789">
        <v>0</v>
      </c>
      <c r="D860" s="302">
        <v>0</v>
      </c>
      <c r="E860" s="352">
        <v>0</v>
      </c>
      <c r="F860" s="352">
        <v>0</v>
      </c>
      <c r="G860" s="352">
        <v>0</v>
      </c>
      <c r="H860" s="302">
        <v>0</v>
      </c>
      <c r="I860" s="302">
        <v>0</v>
      </c>
      <c r="J860" s="352">
        <v>0</v>
      </c>
      <c r="K860" s="352">
        <v>0</v>
      </c>
      <c r="L860" s="302">
        <v>0</v>
      </c>
      <c r="M860" s="352">
        <v>269099.15000000002</v>
      </c>
      <c r="N860" s="1803">
        <v>245430.57</v>
      </c>
    </row>
    <row r="861" spans="1:14" ht="13">
      <c r="A861" s="742" t="s">
        <v>1073</v>
      </c>
      <c r="B861" s="1801">
        <v>477324.21</v>
      </c>
      <c r="C861" s="1802">
        <v>34674.01</v>
      </c>
      <c r="D861" s="352">
        <v>0</v>
      </c>
      <c r="E861" s="302">
        <v>0</v>
      </c>
      <c r="F861" s="352">
        <v>56989.48</v>
      </c>
      <c r="G861" s="302">
        <v>0</v>
      </c>
      <c r="H861" s="352">
        <v>51232.83</v>
      </c>
      <c r="I861" s="302">
        <v>0</v>
      </c>
      <c r="J861" s="352">
        <v>54167.48</v>
      </c>
      <c r="K861" s="352">
        <v>119093.91</v>
      </c>
      <c r="L861" s="352">
        <v>125919.71</v>
      </c>
      <c r="M861" s="352">
        <v>0</v>
      </c>
      <c r="N861" s="1803">
        <v>35246.79</v>
      </c>
    </row>
    <row r="862" spans="1:14" ht="13">
      <c r="A862" s="742" t="s">
        <v>1082</v>
      </c>
      <c r="B862" s="1801">
        <v>470785.46</v>
      </c>
      <c r="C862" s="1802">
        <v>18020.93</v>
      </c>
      <c r="D862" s="352">
        <v>51034.86</v>
      </c>
      <c r="E862" s="352">
        <v>47427.3</v>
      </c>
      <c r="F862" s="352">
        <v>13253</v>
      </c>
      <c r="G862" s="352">
        <v>157302.24</v>
      </c>
      <c r="H862" s="302">
        <v>0</v>
      </c>
      <c r="I862" s="302">
        <v>0</v>
      </c>
      <c r="J862" s="352">
        <v>37253.919999999998</v>
      </c>
      <c r="K862" s="302">
        <v>0</v>
      </c>
      <c r="L862" s="352">
        <v>54193.2</v>
      </c>
      <c r="M862" s="302">
        <v>0</v>
      </c>
      <c r="N862" s="1803">
        <v>92300</v>
      </c>
    </row>
    <row r="863" spans="1:14" ht="13">
      <c r="A863" s="742" t="s">
        <v>1083</v>
      </c>
      <c r="B863" s="1801">
        <v>432072.93</v>
      </c>
      <c r="C863" s="1802">
        <v>0</v>
      </c>
      <c r="D863" s="352">
        <v>48766.18</v>
      </c>
      <c r="E863" s="302">
        <v>0</v>
      </c>
      <c r="F863" s="352">
        <v>0</v>
      </c>
      <c r="G863" s="352">
        <v>0</v>
      </c>
      <c r="H863" s="302">
        <v>0</v>
      </c>
      <c r="I863" s="302">
        <v>0</v>
      </c>
      <c r="J863" s="352">
        <v>0</v>
      </c>
      <c r="K863" s="352">
        <v>201536.45</v>
      </c>
      <c r="L863" s="352">
        <v>0</v>
      </c>
      <c r="M863" s="352">
        <v>67969</v>
      </c>
      <c r="N863" s="1803">
        <v>113801.3</v>
      </c>
    </row>
    <row r="864" spans="1:14" ht="13">
      <c r="A864" s="742" t="s">
        <v>1096</v>
      </c>
      <c r="B864" s="1801">
        <v>401185.05</v>
      </c>
      <c r="C864" s="1802">
        <v>0</v>
      </c>
      <c r="D864" s="302">
        <v>0</v>
      </c>
      <c r="E864" s="352">
        <v>0</v>
      </c>
      <c r="F864" s="352">
        <v>116602.24000000001</v>
      </c>
      <c r="G864" s="352">
        <v>0</v>
      </c>
      <c r="H864" s="352">
        <v>115000.04</v>
      </c>
      <c r="I864" s="352">
        <v>17862.96</v>
      </c>
      <c r="J864" s="352">
        <v>121274.52</v>
      </c>
      <c r="K864" s="352">
        <v>24967.8</v>
      </c>
      <c r="L864" s="352">
        <v>0</v>
      </c>
      <c r="M864" s="352">
        <v>5477.48</v>
      </c>
      <c r="N864" s="1803">
        <v>0</v>
      </c>
    </row>
    <row r="865" spans="1:14" ht="13">
      <c r="A865" s="742" t="s">
        <v>1085</v>
      </c>
      <c r="B865" s="1801">
        <v>383750.95</v>
      </c>
      <c r="C865" s="1789">
        <v>0</v>
      </c>
      <c r="D865" s="302">
        <v>0</v>
      </c>
      <c r="E865" s="302">
        <v>0</v>
      </c>
      <c r="F865" s="302">
        <v>0</v>
      </c>
      <c r="G865" s="302">
        <v>0</v>
      </c>
      <c r="H865" s="302">
        <v>0</v>
      </c>
      <c r="I865" s="302">
        <v>0</v>
      </c>
      <c r="J865" s="302">
        <v>0</v>
      </c>
      <c r="K865" s="352">
        <v>95395.199999999997</v>
      </c>
      <c r="L865" s="302">
        <v>0</v>
      </c>
      <c r="M865" s="352">
        <v>136254.23000000001</v>
      </c>
      <c r="N865" s="1803">
        <v>152101.53</v>
      </c>
    </row>
    <row r="866" spans="1:14" ht="13">
      <c r="A866" s="742" t="s">
        <v>978</v>
      </c>
      <c r="B866" s="1801">
        <v>335425.90000000002</v>
      </c>
      <c r="C866" s="1802">
        <v>0</v>
      </c>
      <c r="D866" s="302">
        <v>0</v>
      </c>
      <c r="E866" s="352">
        <v>17657.25</v>
      </c>
      <c r="F866" s="352">
        <v>13715.01</v>
      </c>
      <c r="G866" s="352">
        <v>34969</v>
      </c>
      <c r="H866" s="352">
        <v>0</v>
      </c>
      <c r="I866" s="302">
        <v>0</v>
      </c>
      <c r="J866" s="352">
        <v>25768.18</v>
      </c>
      <c r="K866" s="352">
        <v>0</v>
      </c>
      <c r="L866" s="352">
        <v>0</v>
      </c>
      <c r="M866" s="352">
        <v>243316.47</v>
      </c>
      <c r="N866" s="1803">
        <v>0</v>
      </c>
    </row>
    <row r="867" spans="1:14" ht="13">
      <c r="A867" s="742" t="s">
        <v>1122</v>
      </c>
      <c r="B867" s="1801">
        <v>304048.46000000002</v>
      </c>
      <c r="C867" s="1802">
        <v>33436.36</v>
      </c>
      <c r="D867" s="352">
        <v>0</v>
      </c>
      <c r="E867" s="352">
        <v>0</v>
      </c>
      <c r="F867" s="352">
        <v>50631.54</v>
      </c>
      <c r="G867" s="352">
        <v>6210.16</v>
      </c>
      <c r="H867" s="302">
        <v>0</v>
      </c>
      <c r="I867" s="302">
        <v>0</v>
      </c>
      <c r="J867" s="352">
        <v>43880.4</v>
      </c>
      <c r="K867" s="302">
        <v>0</v>
      </c>
      <c r="L867" s="352">
        <v>169890</v>
      </c>
      <c r="M867" s="302">
        <v>0</v>
      </c>
      <c r="N867" s="1803">
        <v>0</v>
      </c>
    </row>
    <row r="868" spans="1:14" ht="13">
      <c r="A868" s="742" t="s">
        <v>917</v>
      </c>
      <c r="B868" s="1801">
        <v>277895.23</v>
      </c>
      <c r="C868" s="1802">
        <v>98500.53</v>
      </c>
      <c r="D868" s="352">
        <v>0</v>
      </c>
      <c r="E868" s="302">
        <v>0</v>
      </c>
      <c r="F868" s="352">
        <v>179394.7</v>
      </c>
      <c r="G868" s="302">
        <v>0</v>
      </c>
      <c r="H868" s="302">
        <v>0</v>
      </c>
      <c r="I868" s="302">
        <v>0</v>
      </c>
      <c r="J868" s="302">
        <v>0</v>
      </c>
      <c r="K868" s="352">
        <v>0</v>
      </c>
      <c r="L868" s="302">
        <v>0</v>
      </c>
      <c r="M868" s="352">
        <v>0</v>
      </c>
      <c r="N868" s="1803">
        <v>0</v>
      </c>
    </row>
    <row r="869" spans="1:14" ht="13">
      <c r="A869" s="742" t="s">
        <v>1721</v>
      </c>
      <c r="B869" s="1801">
        <v>274151.8</v>
      </c>
      <c r="C869" s="1789">
        <v>0</v>
      </c>
      <c r="D869" s="302">
        <v>0</v>
      </c>
      <c r="E869" s="352">
        <v>274151.8</v>
      </c>
      <c r="F869" s="352">
        <v>0</v>
      </c>
      <c r="G869" s="302">
        <v>0</v>
      </c>
      <c r="H869" s="352">
        <v>0</v>
      </c>
      <c r="I869" s="352">
        <v>0</v>
      </c>
      <c r="J869" s="352">
        <v>0</v>
      </c>
      <c r="K869" s="352">
        <v>0</v>
      </c>
      <c r="L869" s="302">
        <v>0</v>
      </c>
      <c r="M869" s="352">
        <v>0</v>
      </c>
      <c r="N869" s="1804">
        <v>0</v>
      </c>
    </row>
    <row r="870" spans="1:14" ht="13">
      <c r="A870" s="742" t="s">
        <v>1116</v>
      </c>
      <c r="B870" s="1801">
        <v>216443.28</v>
      </c>
      <c r="C870" s="1789">
        <v>0</v>
      </c>
      <c r="D870" s="302">
        <v>0</v>
      </c>
      <c r="E870" s="302">
        <v>0</v>
      </c>
      <c r="F870" s="302">
        <v>0</v>
      </c>
      <c r="G870" s="352">
        <v>22741.32</v>
      </c>
      <c r="H870" s="352">
        <v>53451.35</v>
      </c>
      <c r="I870" s="302">
        <v>0</v>
      </c>
      <c r="J870" s="302">
        <v>0</v>
      </c>
      <c r="K870" s="352">
        <v>57727.49</v>
      </c>
      <c r="L870" s="302">
        <v>0</v>
      </c>
      <c r="M870" s="352">
        <v>19600.22</v>
      </c>
      <c r="N870" s="1803">
        <v>62922.9</v>
      </c>
    </row>
    <row r="871" spans="1:14" ht="13">
      <c r="A871" s="742" t="s">
        <v>1121</v>
      </c>
      <c r="B871" s="1801">
        <v>131810.89000000001</v>
      </c>
      <c r="C871" s="1789">
        <v>0</v>
      </c>
      <c r="D871" s="302">
        <v>0</v>
      </c>
      <c r="E871" s="352">
        <v>0</v>
      </c>
      <c r="F871" s="352">
        <v>0</v>
      </c>
      <c r="G871" s="352">
        <v>0</v>
      </c>
      <c r="H871" s="302">
        <v>0</v>
      </c>
      <c r="I871" s="302">
        <v>0</v>
      </c>
      <c r="J871" s="352">
        <v>0</v>
      </c>
      <c r="K871" s="352">
        <v>53091</v>
      </c>
      <c r="L871" s="352">
        <v>6400.11</v>
      </c>
      <c r="M871" s="352">
        <v>54599.47</v>
      </c>
      <c r="N871" s="1803">
        <v>17720.310000000001</v>
      </c>
    </row>
    <row r="872" spans="1:14" ht="13">
      <c r="A872" s="742" t="s">
        <v>1000</v>
      </c>
      <c r="B872" s="1801">
        <v>115283.31</v>
      </c>
      <c r="C872" s="1802">
        <v>0</v>
      </c>
      <c r="D872" s="302">
        <v>0</v>
      </c>
      <c r="E872" s="352">
        <v>21200.49</v>
      </c>
      <c r="F872" s="352">
        <v>19639.98</v>
      </c>
      <c r="G872" s="352">
        <v>0</v>
      </c>
      <c r="H872" s="302">
        <v>0</v>
      </c>
      <c r="I872" s="302">
        <v>0</v>
      </c>
      <c r="J872" s="352">
        <v>17860.84</v>
      </c>
      <c r="K872" s="302">
        <v>0</v>
      </c>
      <c r="L872" s="352">
        <v>0</v>
      </c>
      <c r="M872" s="302">
        <v>0</v>
      </c>
      <c r="N872" s="1803">
        <v>56582</v>
      </c>
    </row>
    <row r="873" spans="1:14" ht="13">
      <c r="A873" s="742" t="s">
        <v>1089</v>
      </c>
      <c r="B873" s="1801">
        <v>86072.14</v>
      </c>
      <c r="C873" s="1802">
        <v>0</v>
      </c>
      <c r="D873" s="302">
        <v>0</v>
      </c>
      <c r="E873" s="302">
        <v>0</v>
      </c>
      <c r="F873" s="352">
        <v>0</v>
      </c>
      <c r="G873" s="302">
        <v>0</v>
      </c>
      <c r="H873" s="302">
        <v>0</v>
      </c>
      <c r="I873" s="352">
        <v>17579.66</v>
      </c>
      <c r="J873" s="302">
        <v>0</v>
      </c>
      <c r="K873" s="352">
        <v>17496.47</v>
      </c>
      <c r="L873" s="352">
        <v>50996</v>
      </c>
      <c r="M873" s="302">
        <v>0</v>
      </c>
      <c r="N873" s="1804">
        <v>0</v>
      </c>
    </row>
    <row r="874" spans="1:14" ht="13">
      <c r="A874" s="742" t="s">
        <v>980</v>
      </c>
      <c r="B874" s="1801">
        <v>78997.75</v>
      </c>
      <c r="C874" s="1789">
        <v>0</v>
      </c>
      <c r="D874" s="302">
        <v>0</v>
      </c>
      <c r="E874" s="352">
        <v>0</v>
      </c>
      <c r="F874" s="302">
        <v>0</v>
      </c>
      <c r="G874" s="302">
        <v>0</v>
      </c>
      <c r="H874" s="302">
        <v>0</v>
      </c>
      <c r="I874" s="352">
        <v>78997.75</v>
      </c>
      <c r="J874" s="302">
        <v>0</v>
      </c>
      <c r="K874" s="302">
        <v>0</v>
      </c>
      <c r="L874" s="302">
        <v>0</v>
      </c>
      <c r="M874" s="302">
        <v>0</v>
      </c>
      <c r="N874" s="1804">
        <v>0</v>
      </c>
    </row>
    <row r="875" spans="1:14" ht="13">
      <c r="A875" s="742" t="s">
        <v>942</v>
      </c>
      <c r="B875" s="1801">
        <v>78875.820000000007</v>
      </c>
      <c r="C875" s="1789">
        <v>0</v>
      </c>
      <c r="D875" s="302">
        <v>0</v>
      </c>
      <c r="E875" s="352">
        <v>78875.820000000007</v>
      </c>
      <c r="F875" s="302">
        <v>0</v>
      </c>
      <c r="G875" s="302">
        <v>0</v>
      </c>
      <c r="H875" s="352">
        <v>0</v>
      </c>
      <c r="I875" s="302">
        <v>0</v>
      </c>
      <c r="J875" s="302">
        <v>0</v>
      </c>
      <c r="K875" s="302">
        <v>0</v>
      </c>
      <c r="L875" s="302">
        <v>0</v>
      </c>
      <c r="M875" s="302">
        <v>0</v>
      </c>
      <c r="N875" s="1803">
        <v>0</v>
      </c>
    </row>
    <row r="876" spans="1:14" ht="13">
      <c r="A876" s="742" t="s">
        <v>1722</v>
      </c>
      <c r="B876" s="1801">
        <v>76208.27</v>
      </c>
      <c r="C876" s="1802">
        <v>61540.34</v>
      </c>
      <c r="D876" s="352">
        <v>14667.93</v>
      </c>
      <c r="E876" s="302">
        <v>0</v>
      </c>
      <c r="F876" s="302">
        <v>0</v>
      </c>
      <c r="G876" s="352">
        <v>0</v>
      </c>
      <c r="H876" s="352">
        <v>0</v>
      </c>
      <c r="I876" s="302">
        <v>0</v>
      </c>
      <c r="J876" s="302">
        <v>0</v>
      </c>
      <c r="K876" s="352">
        <v>0</v>
      </c>
      <c r="L876" s="302">
        <v>0</v>
      </c>
      <c r="M876" s="352">
        <v>0</v>
      </c>
      <c r="N876" s="1803">
        <v>0</v>
      </c>
    </row>
    <row r="877" spans="1:14" ht="13">
      <c r="A877" s="742" t="s">
        <v>1723</v>
      </c>
      <c r="B877" s="1801">
        <v>65909.710000000006</v>
      </c>
      <c r="C877" s="1789">
        <v>0</v>
      </c>
      <c r="D877" s="352">
        <v>65909.710000000006</v>
      </c>
      <c r="E877" s="302">
        <v>0</v>
      </c>
      <c r="F877" s="302">
        <v>0</v>
      </c>
      <c r="G877" s="302">
        <v>0</v>
      </c>
      <c r="H877" s="302">
        <v>0</v>
      </c>
      <c r="I877" s="302">
        <v>0</v>
      </c>
      <c r="J877" s="352">
        <v>0</v>
      </c>
      <c r="K877" s="302">
        <v>0</v>
      </c>
      <c r="L877" s="302">
        <v>0</v>
      </c>
      <c r="M877" s="352">
        <v>0</v>
      </c>
      <c r="N877" s="1804">
        <v>0</v>
      </c>
    </row>
    <row r="878" spans="1:14" ht="13">
      <c r="A878" s="742" t="s">
        <v>1677</v>
      </c>
      <c r="B878" s="1801">
        <v>50028.28</v>
      </c>
      <c r="C878" s="1789">
        <v>0</v>
      </c>
      <c r="D878" s="302">
        <v>0</v>
      </c>
      <c r="E878" s="302">
        <v>0</v>
      </c>
      <c r="F878" s="302">
        <v>0</v>
      </c>
      <c r="G878" s="302">
        <v>0</v>
      </c>
      <c r="H878" s="302">
        <v>0</v>
      </c>
      <c r="I878" s="352">
        <v>23751.96</v>
      </c>
      <c r="J878" s="302">
        <v>0</v>
      </c>
      <c r="K878" s="352">
        <v>0</v>
      </c>
      <c r="L878" s="352">
        <v>26276.32</v>
      </c>
      <c r="M878" s="352">
        <v>0</v>
      </c>
      <c r="N878" s="1803">
        <v>0</v>
      </c>
    </row>
    <row r="879" spans="1:14" ht="13">
      <c r="A879" s="742" t="s">
        <v>1724</v>
      </c>
      <c r="B879" s="1801">
        <v>46285.18</v>
      </c>
      <c r="C879" s="1802">
        <v>46285.18</v>
      </c>
      <c r="D879" s="302">
        <v>0</v>
      </c>
      <c r="E879" s="352">
        <v>0</v>
      </c>
      <c r="F879" s="352">
        <v>0</v>
      </c>
      <c r="G879" s="302">
        <v>0</v>
      </c>
      <c r="H879" s="302">
        <v>0</v>
      </c>
      <c r="I879" s="302">
        <v>0</v>
      </c>
      <c r="J879" s="352">
        <v>0</v>
      </c>
      <c r="K879" s="302">
        <v>0</v>
      </c>
      <c r="L879" s="302">
        <v>0</v>
      </c>
      <c r="M879" s="302">
        <v>0</v>
      </c>
      <c r="N879" s="1803">
        <v>0</v>
      </c>
    </row>
    <row r="880" spans="1:14" ht="13">
      <c r="A880" s="742" t="s">
        <v>1725</v>
      </c>
      <c r="B880" s="1801">
        <v>15917.07</v>
      </c>
      <c r="C880" s="1789">
        <v>0</v>
      </c>
      <c r="D880" s="352">
        <v>15917.07</v>
      </c>
      <c r="E880" s="302">
        <v>0</v>
      </c>
      <c r="F880" s="302">
        <v>0</v>
      </c>
      <c r="G880" s="302">
        <v>0</v>
      </c>
      <c r="H880" s="302">
        <v>0</v>
      </c>
      <c r="I880" s="352">
        <v>0</v>
      </c>
      <c r="J880" s="302">
        <v>0</v>
      </c>
      <c r="K880" s="352">
        <v>0</v>
      </c>
      <c r="L880" s="352">
        <v>0</v>
      </c>
      <c r="M880" s="302">
        <v>0</v>
      </c>
      <c r="N880" s="1804">
        <v>0</v>
      </c>
    </row>
    <row r="881" spans="1:14" ht="13">
      <c r="A881" s="742" t="s">
        <v>1726</v>
      </c>
      <c r="B881" s="1801">
        <v>0</v>
      </c>
      <c r="C881" s="1789">
        <v>0</v>
      </c>
      <c r="D881" s="302">
        <v>0</v>
      </c>
      <c r="E881" s="302">
        <v>0</v>
      </c>
      <c r="F881" s="302">
        <v>0</v>
      </c>
      <c r="G881" s="302">
        <v>0</v>
      </c>
      <c r="H881" s="302">
        <v>0</v>
      </c>
      <c r="I881" s="302">
        <v>0</v>
      </c>
      <c r="J881" s="302">
        <v>0</v>
      </c>
      <c r="K881" s="302">
        <v>0</v>
      </c>
      <c r="L881" s="302">
        <v>0</v>
      </c>
      <c r="M881" s="352">
        <v>0</v>
      </c>
      <c r="N881" s="1804">
        <v>0</v>
      </c>
    </row>
    <row r="882" spans="1:14" ht="13">
      <c r="A882" s="742"/>
      <c r="B882" s="1801"/>
      <c r="C882" s="1789"/>
      <c r="I882" s="352"/>
      <c r="N882" s="1804"/>
    </row>
    <row r="883" spans="1:14" ht="13">
      <c r="A883" s="742"/>
      <c r="B883" s="1801"/>
      <c r="C883" s="1789"/>
      <c r="E883" s="352"/>
      <c r="N883" s="1804"/>
    </row>
    <row r="884" spans="1:14" ht="13">
      <c r="A884" s="742"/>
      <c r="B884" s="1801"/>
      <c r="C884" s="1802"/>
      <c r="D884" s="352"/>
      <c r="N884" s="1804"/>
    </row>
    <row r="885" spans="1:14" ht="13">
      <c r="A885" s="742"/>
      <c r="B885" s="1801"/>
      <c r="C885" s="1789"/>
      <c r="M885" s="352"/>
      <c r="N885" s="1803"/>
    </row>
    <row r="886" spans="1:14" ht="13">
      <c r="A886" s="742"/>
      <c r="B886" s="1801"/>
      <c r="C886" s="1789"/>
      <c r="D886" s="352"/>
      <c r="N886" s="1804"/>
    </row>
    <row r="887" spans="1:14" ht="13">
      <c r="A887" s="742"/>
      <c r="B887" s="1801"/>
      <c r="C887" s="1789"/>
      <c r="I887" s="352"/>
      <c r="L887" s="352"/>
      <c r="N887" s="1804"/>
    </row>
    <row r="888" spans="1:14" ht="13">
      <c r="A888" s="742"/>
      <c r="B888" s="1801"/>
      <c r="C888" s="1802"/>
      <c r="N888" s="1804"/>
    </row>
    <row r="889" spans="1:14" ht="13">
      <c r="A889" s="742"/>
      <c r="B889" s="1801"/>
      <c r="C889" s="1789"/>
      <c r="D889" s="352"/>
      <c r="N889" s="1804"/>
    </row>
    <row r="890" spans="1:14" ht="13">
      <c r="A890" s="742"/>
      <c r="B890" s="553"/>
      <c r="C890" s="1789"/>
      <c r="N890" s="1804"/>
    </row>
    <row r="891" spans="1:14" ht="13">
      <c r="A891" s="742"/>
      <c r="B891" s="553"/>
      <c r="C891" s="1789"/>
      <c r="N891" s="1804"/>
    </row>
    <row r="892" spans="1:14" ht="13">
      <c r="A892" s="742"/>
      <c r="B892" s="553"/>
      <c r="C892" s="1789"/>
      <c r="N892" s="1804"/>
    </row>
    <row r="893" spans="1:14" ht="13">
      <c r="A893" s="742"/>
      <c r="B893" s="553"/>
      <c r="C893" s="1789"/>
      <c r="N893" s="1804"/>
    </row>
    <row r="894" spans="1:14" ht="13">
      <c r="A894" s="742"/>
      <c r="B894" s="553"/>
      <c r="C894" s="1789"/>
      <c r="N894" s="1804"/>
    </row>
    <row r="895" spans="1:14" ht="13">
      <c r="A895" s="742"/>
      <c r="B895" s="553"/>
      <c r="C895" s="1789"/>
      <c r="N895" s="1804"/>
    </row>
    <row r="896" spans="1:14" ht="13">
      <c r="A896" s="742"/>
      <c r="B896" s="553"/>
      <c r="C896" s="1789"/>
      <c r="N896" s="1804"/>
    </row>
    <row r="897" spans="1:14" ht="13">
      <c r="A897" s="742"/>
      <c r="B897" s="553"/>
      <c r="C897" s="1789"/>
      <c r="N897" s="1804"/>
    </row>
    <row r="898" spans="1:14" ht="13">
      <c r="A898" s="742"/>
      <c r="B898" s="553"/>
      <c r="C898" s="1789"/>
      <c r="N898" s="1804"/>
    </row>
    <row r="899" spans="1:14" ht="13">
      <c r="A899" s="742"/>
      <c r="B899" s="553"/>
      <c r="C899" s="1789"/>
      <c r="N899" s="1804"/>
    </row>
    <row r="900" spans="1:14" ht="13">
      <c r="A900" s="742"/>
      <c r="B900" s="553"/>
      <c r="C900" s="1789"/>
      <c r="N900" s="1804"/>
    </row>
    <row r="901" spans="1:14" ht="13">
      <c r="A901" s="742"/>
      <c r="B901" s="553"/>
      <c r="C901" s="1789"/>
      <c r="N901" s="1804"/>
    </row>
    <row r="902" spans="1:14" ht="13">
      <c r="A902" s="420"/>
      <c r="B902" s="1810"/>
      <c r="C902" s="1811"/>
      <c r="D902" s="419"/>
      <c r="E902" s="419"/>
      <c r="F902" s="419"/>
      <c r="G902" s="419"/>
      <c r="H902" s="419"/>
      <c r="I902" s="419"/>
      <c r="J902" s="419"/>
      <c r="K902" s="419"/>
      <c r="L902" s="419"/>
      <c r="M902" s="419"/>
      <c r="N902" s="703"/>
    </row>
    <row r="903" spans="1:14" ht="13">
      <c r="B903" s="553"/>
      <c r="C903" s="1789"/>
    </row>
    <row r="904" spans="1:14" ht="13">
      <c r="B904" s="553"/>
      <c r="C904" s="1789"/>
    </row>
    <row r="905" spans="1:14" ht="13">
      <c r="B905" s="553"/>
      <c r="C905" s="1789"/>
    </row>
    <row r="906" spans="1:14" ht="13">
      <c r="B906" s="553"/>
      <c r="C906" s="1789"/>
    </row>
    <row r="907" spans="1:14" ht="13">
      <c r="A907" s="1790" t="s">
        <v>1727</v>
      </c>
      <c r="B907" s="1791" t="s">
        <v>241</v>
      </c>
      <c r="C907" s="1792">
        <v>45292</v>
      </c>
      <c r="D907" s="1793">
        <v>45323</v>
      </c>
      <c r="E907" s="1793">
        <v>45352</v>
      </c>
      <c r="F907" s="1793">
        <v>45383</v>
      </c>
      <c r="G907" s="1793">
        <v>45413</v>
      </c>
      <c r="H907" s="1793">
        <v>45444</v>
      </c>
      <c r="I907" s="1793">
        <v>45474</v>
      </c>
      <c r="J907" s="1793">
        <v>45505</v>
      </c>
      <c r="K907" s="1793">
        <v>45536</v>
      </c>
      <c r="L907" s="1794">
        <v>45566</v>
      </c>
      <c r="M907" s="1794">
        <v>45597</v>
      </c>
      <c r="N907" s="1795">
        <v>45627</v>
      </c>
    </row>
    <row r="908" spans="1:14" ht="13">
      <c r="A908" s="742" t="s">
        <v>241</v>
      </c>
      <c r="B908" s="1801">
        <v>595231960.08000004</v>
      </c>
      <c r="C908" s="1802">
        <v>39694146.200000003</v>
      </c>
      <c r="D908" s="352">
        <v>45617983.850000001</v>
      </c>
      <c r="E908" s="352">
        <v>38952939.420000002</v>
      </c>
      <c r="F908" s="352">
        <v>44940842.310000002</v>
      </c>
      <c r="G908" s="352">
        <v>39864896.799999997</v>
      </c>
      <c r="H908" s="352">
        <v>34029635.899999999</v>
      </c>
      <c r="I908" s="352">
        <v>53559711.25</v>
      </c>
      <c r="J908" s="352">
        <v>59287985.200000003</v>
      </c>
      <c r="K908" s="352">
        <v>42372509.670000002</v>
      </c>
      <c r="L908" s="352">
        <v>75029921.950000003</v>
      </c>
      <c r="M908" s="352">
        <v>57510801.780000001</v>
      </c>
      <c r="N908" s="1803">
        <v>64370585.75</v>
      </c>
    </row>
    <row r="909" spans="1:14" ht="13">
      <c r="A909" s="742" t="s">
        <v>1134</v>
      </c>
      <c r="B909" s="1801">
        <v>74228796.650000006</v>
      </c>
      <c r="C909" s="1802">
        <v>5944591.1200000001</v>
      </c>
      <c r="D909" s="352">
        <v>5993881.9199999999</v>
      </c>
      <c r="E909" s="352">
        <v>6283148</v>
      </c>
      <c r="F909" s="352">
        <v>7648200.3899999997</v>
      </c>
      <c r="G909" s="352">
        <v>2054534.4</v>
      </c>
      <c r="H909" s="352">
        <v>2564683.71</v>
      </c>
      <c r="I909" s="352">
        <v>11691796.08</v>
      </c>
      <c r="J909" s="352">
        <v>7625423.4400000004</v>
      </c>
      <c r="K909" s="352">
        <v>3870315.44</v>
      </c>
      <c r="L909" s="352">
        <v>10600055.630000001</v>
      </c>
      <c r="M909" s="352">
        <v>2300355.75</v>
      </c>
      <c r="N909" s="1803">
        <v>7651810.7699999996</v>
      </c>
    </row>
    <row r="910" spans="1:14" ht="13">
      <c r="A910" s="742" t="s">
        <v>1132</v>
      </c>
      <c r="B910" s="1801">
        <v>46609162.189999998</v>
      </c>
      <c r="C910" s="1802">
        <v>5191982.2300000004</v>
      </c>
      <c r="D910" s="352">
        <v>5372316.6500000004</v>
      </c>
      <c r="E910" s="352">
        <v>1749662.11</v>
      </c>
      <c r="F910" s="352">
        <v>2624418.16</v>
      </c>
      <c r="G910" s="352">
        <v>2316975.2999999998</v>
      </c>
      <c r="H910" s="352">
        <v>4310654.91</v>
      </c>
      <c r="I910" s="352">
        <v>4800321.3600000003</v>
      </c>
      <c r="J910" s="352">
        <v>5667067.9699999997</v>
      </c>
      <c r="K910" s="352">
        <v>1093659.29</v>
      </c>
      <c r="L910" s="352">
        <v>9827319.4199999999</v>
      </c>
      <c r="M910" s="352">
        <v>2405719.02</v>
      </c>
      <c r="N910" s="1803">
        <v>1249065.75</v>
      </c>
    </row>
    <row r="911" spans="1:14" ht="13">
      <c r="A911" s="742" t="s">
        <v>841</v>
      </c>
      <c r="B911" s="1801">
        <v>39983181.380000003</v>
      </c>
      <c r="C911" s="1802">
        <v>2603398.9700000002</v>
      </c>
      <c r="D911" s="352">
        <v>1828741.07</v>
      </c>
      <c r="E911" s="352">
        <v>2870595.54</v>
      </c>
      <c r="F911" s="352">
        <v>5339348.74</v>
      </c>
      <c r="G911" s="352">
        <v>4428641.91</v>
      </c>
      <c r="H911" s="352">
        <v>3356849.19</v>
      </c>
      <c r="I911" s="352">
        <v>2281914.1800000002</v>
      </c>
      <c r="J911" s="352">
        <v>1807532.38</v>
      </c>
      <c r="K911" s="352">
        <v>2700881.08</v>
      </c>
      <c r="L911" s="352">
        <v>5826619.5099999998</v>
      </c>
      <c r="M911" s="352">
        <v>3035560.82</v>
      </c>
      <c r="N911" s="1803">
        <v>3903097.98</v>
      </c>
    </row>
    <row r="912" spans="1:14" ht="13">
      <c r="A912" s="742" t="s">
        <v>1136</v>
      </c>
      <c r="B912" s="1801">
        <v>28501103.109999999</v>
      </c>
      <c r="C912" s="1802">
        <v>1721307.98</v>
      </c>
      <c r="D912" s="352">
        <v>1868473.77</v>
      </c>
      <c r="E912" s="352">
        <v>1482631.17</v>
      </c>
      <c r="F912" s="352">
        <v>1502438.54</v>
      </c>
      <c r="G912" s="352">
        <v>1567044.87</v>
      </c>
      <c r="H912" s="352">
        <v>1132829.55</v>
      </c>
      <c r="I912" s="352">
        <v>1664445.33</v>
      </c>
      <c r="J912" s="352">
        <v>3197843.3</v>
      </c>
      <c r="K912" s="352">
        <v>1944509.11</v>
      </c>
      <c r="L912" s="352">
        <v>4428193.6500000004</v>
      </c>
      <c r="M912" s="352">
        <v>4288400.21</v>
      </c>
      <c r="N912" s="1803">
        <v>3702985.61</v>
      </c>
    </row>
    <row r="913" spans="1:14" ht="13">
      <c r="A913" s="742" t="s">
        <v>1148</v>
      </c>
      <c r="B913" s="1801">
        <v>21349651.579999998</v>
      </c>
      <c r="C913" s="1802">
        <v>1501128.54</v>
      </c>
      <c r="D913" s="352">
        <v>2430667.42</v>
      </c>
      <c r="E913" s="352">
        <v>938135.39</v>
      </c>
      <c r="F913" s="352">
        <v>1204110.24</v>
      </c>
      <c r="G913" s="352">
        <v>1712047.06</v>
      </c>
      <c r="H913" s="352">
        <v>1204564.6399999999</v>
      </c>
      <c r="I913" s="352">
        <v>1626179.72</v>
      </c>
      <c r="J913" s="352">
        <v>1757953.39</v>
      </c>
      <c r="K913" s="352">
        <v>2513392.7999999998</v>
      </c>
      <c r="L913" s="352">
        <v>1870765.61</v>
      </c>
      <c r="M913" s="352">
        <v>1942829.37</v>
      </c>
      <c r="N913" s="1803">
        <v>2647877.39</v>
      </c>
    </row>
    <row r="914" spans="1:14" ht="13">
      <c r="A914" s="742" t="s">
        <v>1143</v>
      </c>
      <c r="B914" s="1801">
        <v>20871029.359999999</v>
      </c>
      <c r="C914" s="1802">
        <v>1465553.72</v>
      </c>
      <c r="D914" s="352">
        <v>913003.96</v>
      </c>
      <c r="E914" s="352">
        <v>1275636.17</v>
      </c>
      <c r="F914" s="352">
        <v>2724890.66</v>
      </c>
      <c r="G914" s="352">
        <v>901010.86</v>
      </c>
      <c r="H914" s="352">
        <v>1189494.52</v>
      </c>
      <c r="I914" s="352">
        <v>1580185.12</v>
      </c>
      <c r="J914" s="352">
        <v>1824414.34</v>
      </c>
      <c r="K914" s="352">
        <v>1508724.66</v>
      </c>
      <c r="L914" s="352">
        <v>2099653.9900000002</v>
      </c>
      <c r="M914" s="352">
        <v>1793743.08</v>
      </c>
      <c r="N914" s="1803">
        <v>3594718.29</v>
      </c>
    </row>
    <row r="915" spans="1:14" ht="13">
      <c r="A915" s="742" t="s">
        <v>1147</v>
      </c>
      <c r="B915" s="1801">
        <v>20296666.199999999</v>
      </c>
      <c r="C915" s="1802">
        <v>1286572.8</v>
      </c>
      <c r="D915" s="352">
        <v>1201326</v>
      </c>
      <c r="E915" s="352">
        <v>2686087.6</v>
      </c>
      <c r="F915" s="352">
        <v>852864</v>
      </c>
      <c r="G915" s="352">
        <v>1671901.82</v>
      </c>
      <c r="H915" s="352">
        <v>595736</v>
      </c>
      <c r="I915" s="352">
        <v>1604816.8</v>
      </c>
      <c r="J915" s="352">
        <v>1861452.8</v>
      </c>
      <c r="K915" s="352">
        <v>1293222</v>
      </c>
      <c r="L915" s="352">
        <v>2172445.6800000002</v>
      </c>
      <c r="M915" s="352">
        <v>2004876.86</v>
      </c>
      <c r="N915" s="1803">
        <v>3065363.84</v>
      </c>
    </row>
    <row r="916" spans="1:14" ht="13">
      <c r="A916" s="742" t="s">
        <v>1151</v>
      </c>
      <c r="B916" s="1801">
        <v>17554262.760000002</v>
      </c>
      <c r="C916" s="1802">
        <v>1014567.94</v>
      </c>
      <c r="D916" s="352">
        <v>1414786.42</v>
      </c>
      <c r="E916" s="302">
        <v>0</v>
      </c>
      <c r="F916" s="352">
        <v>610946.42000000004</v>
      </c>
      <c r="G916" s="352">
        <v>2507311.86</v>
      </c>
      <c r="H916" s="352">
        <v>1730959.21</v>
      </c>
      <c r="I916" s="352">
        <v>934368.96</v>
      </c>
      <c r="J916" s="352">
        <v>2789326.1</v>
      </c>
      <c r="K916" s="352">
        <v>1539380.46</v>
      </c>
      <c r="L916" s="352">
        <v>1417021.7</v>
      </c>
      <c r="M916" s="352">
        <v>1766414.36</v>
      </c>
      <c r="N916" s="1803">
        <v>1829179.32</v>
      </c>
    </row>
    <row r="917" spans="1:14" ht="13">
      <c r="A917" s="742" t="s">
        <v>872</v>
      </c>
      <c r="B917" s="1801">
        <v>14811200.27</v>
      </c>
      <c r="C917" s="1802">
        <v>617950.05000000005</v>
      </c>
      <c r="D917" s="352">
        <v>1191952.96</v>
      </c>
      <c r="E917" s="352">
        <v>991124.13</v>
      </c>
      <c r="F917" s="352">
        <v>673836.49</v>
      </c>
      <c r="G917" s="352">
        <v>1014895.11</v>
      </c>
      <c r="H917" s="352">
        <v>979621.57</v>
      </c>
      <c r="I917" s="352">
        <v>1039326.12</v>
      </c>
      <c r="J917" s="352">
        <v>166277.19</v>
      </c>
      <c r="K917" s="352">
        <v>1268185.55</v>
      </c>
      <c r="L917" s="352">
        <v>3243018.33</v>
      </c>
      <c r="M917" s="352">
        <v>1339504.6399999999</v>
      </c>
      <c r="N917" s="1803">
        <v>2285508.12</v>
      </c>
    </row>
    <row r="918" spans="1:14" ht="13">
      <c r="A918" s="742" t="s">
        <v>1155</v>
      </c>
      <c r="B918" s="1801">
        <v>14255820.189999999</v>
      </c>
      <c r="C918" s="1802">
        <v>347818.56</v>
      </c>
      <c r="D918" s="352">
        <v>456755.6</v>
      </c>
      <c r="E918" s="352">
        <v>1012939.42</v>
      </c>
      <c r="F918" s="352">
        <v>892015.96</v>
      </c>
      <c r="G918" s="352">
        <v>1427394.1</v>
      </c>
      <c r="H918" s="352">
        <v>298239.84000000003</v>
      </c>
      <c r="I918" s="352">
        <v>2036274.77</v>
      </c>
      <c r="J918" s="352">
        <v>3549826.35</v>
      </c>
      <c r="K918" s="352">
        <v>194081.19</v>
      </c>
      <c r="L918" s="352">
        <v>445024.96</v>
      </c>
      <c r="M918" s="352">
        <v>2031677.4399999999</v>
      </c>
      <c r="N918" s="1803">
        <v>1563772</v>
      </c>
    </row>
    <row r="919" spans="1:14" ht="13">
      <c r="A919" s="742" t="s">
        <v>880</v>
      </c>
      <c r="B919" s="1801">
        <v>13541813.970000001</v>
      </c>
      <c r="C919" s="1802">
        <v>1236716.48</v>
      </c>
      <c r="D919" s="352">
        <v>1064254.72</v>
      </c>
      <c r="E919" s="352">
        <v>1150639.17</v>
      </c>
      <c r="F919" s="352">
        <v>1033068.88</v>
      </c>
      <c r="G919" s="352">
        <v>1331384.21</v>
      </c>
      <c r="H919" s="352">
        <v>429344.27</v>
      </c>
      <c r="I919" s="352">
        <v>1844127.39</v>
      </c>
      <c r="J919" s="352">
        <v>1156505.68</v>
      </c>
      <c r="K919" s="352">
        <v>1022621.72</v>
      </c>
      <c r="L919" s="352">
        <v>867102.88</v>
      </c>
      <c r="M919" s="352">
        <v>1199779.76</v>
      </c>
      <c r="N919" s="1803">
        <v>1206268.8</v>
      </c>
    </row>
    <row r="920" spans="1:14" ht="13">
      <c r="A920" s="742" t="s">
        <v>1157</v>
      </c>
      <c r="B920" s="1801">
        <v>13529733.98</v>
      </c>
      <c r="C920" s="1802">
        <v>1644228.89</v>
      </c>
      <c r="D920" s="352">
        <v>1601224.44</v>
      </c>
      <c r="E920" s="352">
        <v>1116889.1200000001</v>
      </c>
      <c r="F920" s="352">
        <v>1128702.72</v>
      </c>
      <c r="G920" s="352">
        <v>1437665.78</v>
      </c>
      <c r="H920" s="352">
        <v>282858.03999999998</v>
      </c>
      <c r="I920" s="352">
        <v>940071.72</v>
      </c>
      <c r="J920" s="352">
        <v>1303424.77</v>
      </c>
      <c r="K920" s="352">
        <v>1352118.46</v>
      </c>
      <c r="L920" s="352">
        <v>1323742.8700000001</v>
      </c>
      <c r="M920" s="352">
        <v>1140238.76</v>
      </c>
      <c r="N920" s="1803">
        <v>258568.42</v>
      </c>
    </row>
    <row r="921" spans="1:14" ht="13">
      <c r="A921" s="742" t="s">
        <v>888</v>
      </c>
      <c r="B921" s="1801">
        <v>11874696.029999999</v>
      </c>
      <c r="C921" s="1802">
        <v>873481.06</v>
      </c>
      <c r="D921" s="352">
        <v>544399.92000000004</v>
      </c>
      <c r="E921" s="352">
        <v>690243.68</v>
      </c>
      <c r="F921" s="352">
        <v>574072.03</v>
      </c>
      <c r="G921" s="352">
        <v>606679.48</v>
      </c>
      <c r="H921" s="352">
        <v>644505.18000000005</v>
      </c>
      <c r="I921" s="352">
        <v>845301.21</v>
      </c>
      <c r="J921" s="352">
        <v>1412186.76</v>
      </c>
      <c r="K921" s="352">
        <v>1446936.95</v>
      </c>
      <c r="L921" s="352">
        <v>1381638.36</v>
      </c>
      <c r="M921" s="352">
        <v>1298285.08</v>
      </c>
      <c r="N921" s="1803">
        <v>1556966.32</v>
      </c>
    </row>
    <row r="922" spans="1:14" ht="13">
      <c r="A922" s="742" t="s">
        <v>875</v>
      </c>
      <c r="B922" s="1801">
        <v>10996285.210000001</v>
      </c>
      <c r="C922" s="1802">
        <v>676714.24</v>
      </c>
      <c r="D922" s="352">
        <v>1041634.32</v>
      </c>
      <c r="E922" s="352">
        <v>1048071.84</v>
      </c>
      <c r="F922" s="352">
        <v>1334172.6200000001</v>
      </c>
      <c r="G922" s="352">
        <v>651237.84</v>
      </c>
      <c r="H922" s="352">
        <v>757031.2</v>
      </c>
      <c r="I922" s="352">
        <v>868455.76</v>
      </c>
      <c r="J922" s="352">
        <v>1399198.4</v>
      </c>
      <c r="K922" s="352">
        <v>522949.92</v>
      </c>
      <c r="L922" s="352">
        <v>779008.88</v>
      </c>
      <c r="M922" s="352">
        <v>600966.80000000005</v>
      </c>
      <c r="N922" s="1803">
        <v>1316843.3799999999</v>
      </c>
    </row>
    <row r="923" spans="1:14" ht="13">
      <c r="A923" s="742" t="s">
        <v>1145</v>
      </c>
      <c r="B923" s="1801">
        <v>10217106.26</v>
      </c>
      <c r="C923" s="1802">
        <v>502717.78</v>
      </c>
      <c r="D923" s="352">
        <v>1588726.01</v>
      </c>
      <c r="E923" s="352">
        <v>609403.56000000006</v>
      </c>
      <c r="F923" s="352">
        <v>293679.49</v>
      </c>
      <c r="G923" s="352">
        <v>859114.06</v>
      </c>
      <c r="H923" s="352">
        <v>556209.96</v>
      </c>
      <c r="I923" s="352">
        <v>616884.75</v>
      </c>
      <c r="J923" s="352">
        <v>989650.12</v>
      </c>
      <c r="K923" s="352">
        <v>808912.23</v>
      </c>
      <c r="L923" s="352">
        <v>1041812.02</v>
      </c>
      <c r="M923" s="352">
        <v>636836.67000000004</v>
      </c>
      <c r="N923" s="1803">
        <v>1713159.62</v>
      </c>
    </row>
    <row r="924" spans="1:14" ht="13">
      <c r="A924" s="742" t="s">
        <v>1137</v>
      </c>
      <c r="B924" s="1801">
        <v>10187874.32</v>
      </c>
      <c r="C924" s="1802">
        <v>789719.81</v>
      </c>
      <c r="D924" s="352">
        <v>740469.06</v>
      </c>
      <c r="E924" s="352">
        <v>237695.54</v>
      </c>
      <c r="F924" s="352">
        <v>1065847.2</v>
      </c>
      <c r="G924" s="352">
        <v>416797.22</v>
      </c>
      <c r="H924" s="352">
        <v>370570.19</v>
      </c>
      <c r="I924" s="352">
        <v>442230.01</v>
      </c>
      <c r="J924" s="352">
        <v>510665.15</v>
      </c>
      <c r="K924" s="352">
        <v>1243546.1100000001</v>
      </c>
      <c r="L924" s="352">
        <v>1460073.36</v>
      </c>
      <c r="M924" s="352">
        <v>947116.3</v>
      </c>
      <c r="N924" s="1803">
        <v>1963144.37</v>
      </c>
    </row>
    <row r="925" spans="1:14" ht="13">
      <c r="A925" s="742" t="s">
        <v>1139</v>
      </c>
      <c r="B925" s="1801">
        <v>9834528.6999999993</v>
      </c>
      <c r="C925" s="1789">
        <v>0</v>
      </c>
      <c r="D925" s="352">
        <v>580396.44999999995</v>
      </c>
      <c r="E925" s="352">
        <v>962450.81</v>
      </c>
      <c r="F925" s="352">
        <v>859369.39</v>
      </c>
      <c r="G925" s="352">
        <v>445230.05</v>
      </c>
      <c r="H925" s="352">
        <v>537012.65</v>
      </c>
      <c r="I925" s="352">
        <v>892458.45</v>
      </c>
      <c r="J925" s="352">
        <v>1431069.72</v>
      </c>
      <c r="K925" s="352">
        <v>407013.86</v>
      </c>
      <c r="L925" s="352">
        <v>1335374.22</v>
      </c>
      <c r="M925" s="352">
        <v>1362951.5</v>
      </c>
      <c r="N925" s="1803">
        <v>1021201.59</v>
      </c>
    </row>
    <row r="926" spans="1:14" ht="13">
      <c r="A926" s="742" t="s">
        <v>1659</v>
      </c>
      <c r="B926" s="1801">
        <v>9724462.4299999997</v>
      </c>
      <c r="C926" s="1802">
        <v>121923.86</v>
      </c>
      <c r="D926" s="352">
        <v>1064227.8500000001</v>
      </c>
      <c r="E926" s="352">
        <v>817154.2</v>
      </c>
      <c r="F926" s="352">
        <v>607867.86</v>
      </c>
      <c r="G926" s="352">
        <v>412871.09</v>
      </c>
      <c r="H926" s="352">
        <v>800757.07</v>
      </c>
      <c r="I926" s="352">
        <v>336469.14</v>
      </c>
      <c r="J926" s="352">
        <v>1360698.68</v>
      </c>
      <c r="K926" s="352">
        <v>951910.37</v>
      </c>
      <c r="L926" s="352">
        <v>761345.51</v>
      </c>
      <c r="M926" s="352">
        <v>1922266.55</v>
      </c>
      <c r="N926" s="1803">
        <v>566970.26</v>
      </c>
    </row>
    <row r="927" spans="1:14" ht="13">
      <c r="A927" s="742" t="s">
        <v>878</v>
      </c>
      <c r="B927" s="1801">
        <v>8716483.0299999993</v>
      </c>
      <c r="C927" s="1802">
        <v>420306.38</v>
      </c>
      <c r="D927" s="352">
        <v>364270.72</v>
      </c>
      <c r="E927" s="352">
        <v>670283.72</v>
      </c>
      <c r="F927" s="352">
        <v>645662.18000000005</v>
      </c>
      <c r="G927" s="352">
        <v>593695.55000000005</v>
      </c>
      <c r="H927" s="352">
        <v>350915.75</v>
      </c>
      <c r="I927" s="352">
        <v>1067280.8799999999</v>
      </c>
      <c r="J927" s="352">
        <v>1432628.05</v>
      </c>
      <c r="K927" s="352">
        <v>616699.46</v>
      </c>
      <c r="L927" s="352">
        <v>784132.83</v>
      </c>
      <c r="M927" s="352">
        <v>946598.64</v>
      </c>
      <c r="N927" s="1803">
        <v>824008.88</v>
      </c>
    </row>
    <row r="928" spans="1:14" ht="13">
      <c r="A928" s="742" t="s">
        <v>1556</v>
      </c>
      <c r="B928" s="1801">
        <v>6995976.7599999998</v>
      </c>
      <c r="C928" s="1802">
        <v>182005.2</v>
      </c>
      <c r="D928" s="352">
        <v>745779.62</v>
      </c>
      <c r="E928" s="352">
        <v>507500.15</v>
      </c>
      <c r="F928" s="352">
        <v>648798.28</v>
      </c>
      <c r="G928" s="352">
        <v>19800</v>
      </c>
      <c r="H928" s="352">
        <v>369635.17</v>
      </c>
      <c r="I928" s="352">
        <v>688553.64</v>
      </c>
      <c r="J928" s="352">
        <v>577635.65</v>
      </c>
      <c r="K928" s="352">
        <v>438516.14</v>
      </c>
      <c r="L928" s="352">
        <v>911565.94</v>
      </c>
      <c r="M928" s="352">
        <v>1006272.94</v>
      </c>
      <c r="N928" s="1803">
        <v>899914.04</v>
      </c>
    </row>
    <row r="929" spans="1:14" ht="13">
      <c r="A929" s="742" t="s">
        <v>1138</v>
      </c>
      <c r="B929" s="1801">
        <v>6172796.5099999998</v>
      </c>
      <c r="C929" s="1789">
        <v>0</v>
      </c>
      <c r="D929" s="302">
        <v>0</v>
      </c>
      <c r="E929" s="302">
        <v>0</v>
      </c>
      <c r="F929" s="302">
        <v>0</v>
      </c>
      <c r="G929" s="302">
        <v>0</v>
      </c>
      <c r="H929" s="302">
        <v>0</v>
      </c>
      <c r="I929" s="302">
        <v>0</v>
      </c>
      <c r="J929" s="302">
        <v>0</v>
      </c>
      <c r="K929" s="352">
        <v>236185.08</v>
      </c>
      <c r="L929" s="352">
        <v>2354967.86</v>
      </c>
      <c r="M929" s="352">
        <v>1401655.94</v>
      </c>
      <c r="N929" s="1803">
        <v>2179987.63</v>
      </c>
    </row>
    <row r="930" spans="1:14" ht="13">
      <c r="A930" s="742" t="s">
        <v>1133</v>
      </c>
      <c r="B930" s="1801">
        <v>5922768.2400000002</v>
      </c>
      <c r="C930" s="1789">
        <v>0</v>
      </c>
      <c r="D930" s="302">
        <v>0</v>
      </c>
      <c r="E930" s="352">
        <v>331852.42</v>
      </c>
      <c r="F930" s="352">
        <v>525383.24</v>
      </c>
      <c r="G930" s="352">
        <v>192694.85</v>
      </c>
      <c r="H930" s="352">
        <v>87460.79</v>
      </c>
      <c r="I930" s="352">
        <v>640682.02</v>
      </c>
      <c r="J930" s="352">
        <v>778897.67</v>
      </c>
      <c r="K930" s="352">
        <v>762146.3</v>
      </c>
      <c r="L930" s="352">
        <v>744736.91</v>
      </c>
      <c r="M930" s="352">
        <v>854023.23</v>
      </c>
      <c r="N930" s="1803">
        <v>1004890.81</v>
      </c>
    </row>
    <row r="931" spans="1:14" ht="13">
      <c r="A931" s="742" t="s">
        <v>1558</v>
      </c>
      <c r="B931" s="1801">
        <v>5653387.2000000002</v>
      </c>
      <c r="C931" s="1789">
        <v>0</v>
      </c>
      <c r="D931" s="302">
        <v>0</v>
      </c>
      <c r="E931" s="302">
        <v>0</v>
      </c>
      <c r="F931" s="302">
        <v>0</v>
      </c>
      <c r="G931" s="302">
        <v>0</v>
      </c>
      <c r="H931" s="302">
        <v>0</v>
      </c>
      <c r="I931" s="302">
        <v>0</v>
      </c>
      <c r="J931" s="302">
        <v>0</v>
      </c>
      <c r="K931" s="302">
        <v>0</v>
      </c>
      <c r="L931" s="302">
        <v>0</v>
      </c>
      <c r="M931" s="352">
        <v>4225488</v>
      </c>
      <c r="N931" s="1803">
        <v>1427899.2</v>
      </c>
    </row>
    <row r="932" spans="1:14" ht="13">
      <c r="A932" s="742" t="s">
        <v>1214</v>
      </c>
      <c r="B932" s="1801">
        <v>5634502.96</v>
      </c>
      <c r="C932" s="1802">
        <v>142808.63</v>
      </c>
      <c r="D932" s="352">
        <v>173878.78</v>
      </c>
      <c r="E932" s="352">
        <v>760937.76</v>
      </c>
      <c r="F932" s="352">
        <v>222612.46</v>
      </c>
      <c r="G932" s="352">
        <v>961359.15</v>
      </c>
      <c r="H932" s="352">
        <v>260437.72</v>
      </c>
      <c r="I932" s="352">
        <v>379873.5</v>
      </c>
      <c r="J932" s="352">
        <v>960701.91</v>
      </c>
      <c r="K932" s="352">
        <v>118875.62</v>
      </c>
      <c r="L932" s="352">
        <v>682009.16</v>
      </c>
      <c r="M932" s="352">
        <v>381711.22</v>
      </c>
      <c r="N932" s="1803">
        <v>589297.06000000006</v>
      </c>
    </row>
    <row r="933" spans="1:14" ht="13">
      <c r="A933" s="742" t="s">
        <v>1173</v>
      </c>
      <c r="B933" s="1801">
        <v>5280057.99</v>
      </c>
      <c r="C933" s="1802">
        <v>396202.47</v>
      </c>
      <c r="D933" s="352">
        <v>566841.81999999995</v>
      </c>
      <c r="E933" s="352">
        <v>233260.23</v>
      </c>
      <c r="F933" s="352">
        <v>181427.5</v>
      </c>
      <c r="G933" s="352">
        <v>324424.86</v>
      </c>
      <c r="H933" s="352">
        <v>332698.05</v>
      </c>
      <c r="I933" s="352">
        <v>450492.25</v>
      </c>
      <c r="J933" s="352">
        <v>725959.94</v>
      </c>
      <c r="K933" s="352">
        <v>580788.5</v>
      </c>
      <c r="L933" s="352">
        <v>627103.88</v>
      </c>
      <c r="M933" s="352">
        <v>550442.80000000005</v>
      </c>
      <c r="N933" s="1803">
        <v>310415.69</v>
      </c>
    </row>
    <row r="934" spans="1:14" ht="13">
      <c r="A934" s="742" t="s">
        <v>1728</v>
      </c>
      <c r="B934" s="1801">
        <v>5252366.57</v>
      </c>
      <c r="C934" s="1802">
        <v>301812.53999999998</v>
      </c>
      <c r="D934" s="352">
        <v>305916.36</v>
      </c>
      <c r="E934" s="352">
        <v>188867.42</v>
      </c>
      <c r="F934" s="352">
        <v>224663.7</v>
      </c>
      <c r="G934" s="352">
        <v>129737.06</v>
      </c>
      <c r="H934" s="352">
        <v>146025.24</v>
      </c>
      <c r="I934" s="352">
        <v>239670.92</v>
      </c>
      <c r="J934" s="352">
        <v>325232.73</v>
      </c>
      <c r="K934" s="352">
        <v>309447.96999999997</v>
      </c>
      <c r="L934" s="352">
        <v>1191507.31</v>
      </c>
      <c r="M934" s="352">
        <v>853718.45</v>
      </c>
      <c r="N934" s="1803">
        <v>1035766.88</v>
      </c>
    </row>
    <row r="935" spans="1:14" ht="13">
      <c r="A935" s="742" t="s">
        <v>1224</v>
      </c>
      <c r="B935" s="1801">
        <v>5218562.3</v>
      </c>
      <c r="C935" s="1802">
        <v>570216.44999999995</v>
      </c>
      <c r="D935" s="352">
        <v>431205.53</v>
      </c>
      <c r="E935" s="352">
        <v>148699.23000000001</v>
      </c>
      <c r="F935" s="352">
        <v>524260.43</v>
      </c>
      <c r="G935" s="352">
        <v>61749.88</v>
      </c>
      <c r="H935" s="352">
        <v>290181.89</v>
      </c>
      <c r="I935" s="352">
        <v>607372.98</v>
      </c>
      <c r="J935" s="352">
        <v>1032704.33</v>
      </c>
      <c r="K935" s="352">
        <v>168380.29</v>
      </c>
      <c r="L935" s="352">
        <v>334236.11</v>
      </c>
      <c r="M935" s="352">
        <v>789528.78</v>
      </c>
      <c r="N935" s="1803">
        <v>260026.41</v>
      </c>
    </row>
    <row r="936" spans="1:14" ht="13">
      <c r="A936" s="742" t="s">
        <v>1219</v>
      </c>
      <c r="B936" s="1801">
        <v>5057732</v>
      </c>
      <c r="C936" s="1802">
        <v>415655.42</v>
      </c>
      <c r="D936" s="352">
        <v>503344.5</v>
      </c>
      <c r="E936" s="352">
        <v>356569.69</v>
      </c>
      <c r="F936" s="352">
        <v>332488.24</v>
      </c>
      <c r="G936" s="352">
        <v>237387.78</v>
      </c>
      <c r="H936" s="352">
        <v>564916.23</v>
      </c>
      <c r="I936" s="352">
        <v>91666.5</v>
      </c>
      <c r="J936" s="352">
        <v>482432.83</v>
      </c>
      <c r="K936" s="352">
        <v>269049.71999999997</v>
      </c>
      <c r="L936" s="352">
        <v>603188.64</v>
      </c>
      <c r="M936" s="352">
        <v>575448.18000000005</v>
      </c>
      <c r="N936" s="1803">
        <v>625584.27</v>
      </c>
    </row>
    <row r="937" spans="1:14" ht="13">
      <c r="A937" s="742" t="s">
        <v>1202</v>
      </c>
      <c r="B937" s="1801">
        <v>5022435.4400000004</v>
      </c>
      <c r="C937" s="1802">
        <v>42105.8</v>
      </c>
      <c r="D937" s="352">
        <v>444311.19</v>
      </c>
      <c r="E937" s="352">
        <v>269556.23</v>
      </c>
      <c r="F937" s="352">
        <v>215225.44</v>
      </c>
      <c r="G937" s="352">
        <v>552789.31999999995</v>
      </c>
      <c r="H937" s="352">
        <v>257123.39</v>
      </c>
      <c r="I937" s="352">
        <v>528360.04</v>
      </c>
      <c r="J937" s="352">
        <v>380143.17</v>
      </c>
      <c r="K937" s="352">
        <v>579705.66</v>
      </c>
      <c r="L937" s="352">
        <v>392558.37</v>
      </c>
      <c r="M937" s="352">
        <v>704845.98</v>
      </c>
      <c r="N937" s="1803">
        <v>655710.86</v>
      </c>
    </row>
    <row r="938" spans="1:14" ht="13">
      <c r="A938" s="742" t="s">
        <v>1144</v>
      </c>
      <c r="B938" s="1801">
        <v>4969478.2699999996</v>
      </c>
      <c r="C938" s="1802">
        <v>286123.17</v>
      </c>
      <c r="D938" s="352">
        <v>391476.32</v>
      </c>
      <c r="E938" s="352">
        <v>169058.44</v>
      </c>
      <c r="F938" s="352">
        <v>439025.32</v>
      </c>
      <c r="G938" s="352">
        <v>271302.84000000003</v>
      </c>
      <c r="H938" s="352">
        <v>386296.27</v>
      </c>
      <c r="I938" s="352">
        <v>363687.85</v>
      </c>
      <c r="J938" s="352">
        <v>483360.11</v>
      </c>
      <c r="K938" s="352">
        <v>235050.99</v>
      </c>
      <c r="L938" s="352">
        <v>796634.63</v>
      </c>
      <c r="M938" s="352">
        <v>558649.02</v>
      </c>
      <c r="N938" s="1803">
        <v>588813.31000000006</v>
      </c>
    </row>
    <row r="939" spans="1:14" ht="13">
      <c r="A939" s="742" t="s">
        <v>1218</v>
      </c>
      <c r="B939" s="1801">
        <v>4664644.25</v>
      </c>
      <c r="C939" s="1802">
        <v>382329.65</v>
      </c>
      <c r="D939" s="352">
        <v>340205.46</v>
      </c>
      <c r="E939" s="352">
        <v>323311.55</v>
      </c>
      <c r="F939" s="352">
        <v>264199.28000000003</v>
      </c>
      <c r="G939" s="352">
        <v>292655.69</v>
      </c>
      <c r="H939" s="352">
        <v>242175.76</v>
      </c>
      <c r="I939" s="352">
        <v>396397.88</v>
      </c>
      <c r="J939" s="352">
        <v>328311.23</v>
      </c>
      <c r="K939" s="352">
        <v>487825.49</v>
      </c>
      <c r="L939" s="352">
        <v>424970</v>
      </c>
      <c r="M939" s="352">
        <v>585607.36</v>
      </c>
      <c r="N939" s="1803">
        <v>596654.9</v>
      </c>
    </row>
    <row r="940" spans="1:14" ht="13">
      <c r="A940" s="742" t="s">
        <v>1154</v>
      </c>
      <c r="B940" s="1801">
        <v>4545916</v>
      </c>
      <c r="C940" s="1789">
        <v>0</v>
      </c>
      <c r="D940" s="352">
        <v>376943.04</v>
      </c>
      <c r="E940" s="352">
        <v>674215.76</v>
      </c>
      <c r="F940" s="302">
        <v>0</v>
      </c>
      <c r="G940" s="352">
        <v>598240</v>
      </c>
      <c r="H940" s="352">
        <v>448680</v>
      </c>
      <c r="I940" s="352">
        <v>149560</v>
      </c>
      <c r="J940" s="352">
        <v>299120</v>
      </c>
      <c r="K940" s="352">
        <v>807624</v>
      </c>
      <c r="L940" s="352">
        <v>646099.19999999995</v>
      </c>
      <c r="M940" s="302">
        <v>0</v>
      </c>
      <c r="N940" s="1803">
        <v>545434</v>
      </c>
    </row>
    <row r="941" spans="1:14" ht="13">
      <c r="A941" s="742" t="s">
        <v>1188</v>
      </c>
      <c r="B941" s="1801">
        <v>4458930.5199999996</v>
      </c>
      <c r="C941" s="1802">
        <v>490728.17</v>
      </c>
      <c r="D941" s="352">
        <v>425204.6</v>
      </c>
      <c r="E941" s="352">
        <v>421485.33</v>
      </c>
      <c r="F941" s="352">
        <v>679381.39</v>
      </c>
      <c r="G941" s="352">
        <v>591449.73</v>
      </c>
      <c r="H941" s="352">
        <v>401222.34</v>
      </c>
      <c r="I941" s="352">
        <v>627769.42000000004</v>
      </c>
      <c r="J941" s="352">
        <v>512426.62</v>
      </c>
      <c r="K941" s="352">
        <v>72748.2</v>
      </c>
      <c r="L941" s="302">
        <v>0</v>
      </c>
      <c r="M941" s="352">
        <v>34143.15</v>
      </c>
      <c r="N941" s="1803">
        <v>202371.57</v>
      </c>
    </row>
    <row r="942" spans="1:14" ht="13">
      <c r="A942" s="742" t="s">
        <v>1236</v>
      </c>
      <c r="B942" s="1801">
        <v>4139802.93</v>
      </c>
      <c r="C942" s="1802">
        <v>240228.27</v>
      </c>
      <c r="D942" s="352">
        <v>305219.13</v>
      </c>
      <c r="E942" s="352">
        <v>103662.84</v>
      </c>
      <c r="F942" s="352">
        <v>165479.72</v>
      </c>
      <c r="G942" s="352">
        <v>474653.4</v>
      </c>
      <c r="H942" s="352">
        <v>115587.36</v>
      </c>
      <c r="I942" s="352">
        <v>442680.29</v>
      </c>
      <c r="J942" s="352">
        <v>449069.84</v>
      </c>
      <c r="K942" s="352">
        <v>461018.14</v>
      </c>
      <c r="L942" s="352">
        <v>691922.43</v>
      </c>
      <c r="M942" s="352">
        <v>292728.53999999998</v>
      </c>
      <c r="N942" s="1803">
        <v>397552.97</v>
      </c>
    </row>
    <row r="943" spans="1:14" ht="13">
      <c r="A943" s="742" t="s">
        <v>1199</v>
      </c>
      <c r="B943" s="1801">
        <v>3980915.17</v>
      </c>
      <c r="C943" s="1802">
        <v>171589.36</v>
      </c>
      <c r="D943" s="352">
        <v>318578.32</v>
      </c>
      <c r="E943" s="352">
        <v>78830.8</v>
      </c>
      <c r="F943" s="352">
        <v>359516.96</v>
      </c>
      <c r="G943" s="352">
        <v>282493.2</v>
      </c>
      <c r="H943" s="352">
        <v>425617.03</v>
      </c>
      <c r="I943" s="352">
        <v>458483.68</v>
      </c>
      <c r="J943" s="352">
        <v>597549.04</v>
      </c>
      <c r="K943" s="352">
        <v>203695.68</v>
      </c>
      <c r="L943" s="352">
        <v>390723.34</v>
      </c>
      <c r="M943" s="352">
        <v>241643.68</v>
      </c>
      <c r="N943" s="1803">
        <v>452194.08</v>
      </c>
    </row>
    <row r="944" spans="1:14" ht="13">
      <c r="A944" s="742" t="s">
        <v>1212</v>
      </c>
      <c r="B944" s="1801">
        <v>3924041.09</v>
      </c>
      <c r="C944" s="1802">
        <v>283184.90000000002</v>
      </c>
      <c r="D944" s="352">
        <v>217383.26</v>
      </c>
      <c r="E944" s="352">
        <v>166685.01</v>
      </c>
      <c r="F944" s="302">
        <v>0</v>
      </c>
      <c r="G944" s="352">
        <v>389504.54</v>
      </c>
      <c r="H944" s="352">
        <v>295283.69</v>
      </c>
      <c r="I944" s="352">
        <v>207111.89</v>
      </c>
      <c r="J944" s="352">
        <v>368455.93</v>
      </c>
      <c r="K944" s="352">
        <v>430111.96</v>
      </c>
      <c r="L944" s="352">
        <v>355774.74</v>
      </c>
      <c r="M944" s="352">
        <v>637086.99</v>
      </c>
      <c r="N944" s="1803">
        <v>573458.18000000005</v>
      </c>
    </row>
    <row r="945" spans="1:14" ht="13">
      <c r="A945" s="742" t="s">
        <v>1217</v>
      </c>
      <c r="B945" s="1801">
        <v>3814851.49</v>
      </c>
      <c r="C945" s="1802">
        <v>264603.32</v>
      </c>
      <c r="D945" s="352">
        <v>143892.79999999999</v>
      </c>
      <c r="E945" s="352">
        <v>356381.08</v>
      </c>
      <c r="F945" s="352">
        <v>501425.46</v>
      </c>
      <c r="G945" s="352">
        <v>497598.95</v>
      </c>
      <c r="H945" s="352">
        <v>455504.95</v>
      </c>
      <c r="I945" s="352">
        <v>327861.26</v>
      </c>
      <c r="J945" s="352">
        <v>365150.98</v>
      </c>
      <c r="K945" s="352">
        <v>104192.96000000001</v>
      </c>
      <c r="L945" s="352">
        <v>572511.99</v>
      </c>
      <c r="M945" s="352">
        <v>209618.17</v>
      </c>
      <c r="N945" s="1803">
        <v>16109.57</v>
      </c>
    </row>
    <row r="946" spans="1:14" ht="13">
      <c r="A946" s="742" t="s">
        <v>1239</v>
      </c>
      <c r="B946" s="1801">
        <v>3737070.4</v>
      </c>
      <c r="C946" s="1802">
        <v>267336</v>
      </c>
      <c r="D946" s="302">
        <v>0</v>
      </c>
      <c r="E946" s="352">
        <v>640036.80000000005</v>
      </c>
      <c r="F946" s="302">
        <v>0</v>
      </c>
      <c r="G946" s="352">
        <v>675553.2</v>
      </c>
      <c r="H946" s="302">
        <v>0</v>
      </c>
      <c r="I946" s="352">
        <v>418885.2</v>
      </c>
      <c r="J946" s="352">
        <v>256668</v>
      </c>
      <c r="K946" s="352">
        <v>312726</v>
      </c>
      <c r="L946" s="302">
        <v>0</v>
      </c>
      <c r="M946" s="352">
        <v>1165865.2</v>
      </c>
      <c r="N946" s="1804">
        <v>0</v>
      </c>
    </row>
    <row r="947" spans="1:14" ht="13">
      <c r="A947" s="742" t="s">
        <v>1186</v>
      </c>
      <c r="B947" s="1801">
        <v>3732755.78</v>
      </c>
      <c r="C947" s="1802">
        <v>352286.33</v>
      </c>
      <c r="D947" s="352">
        <v>571895.89</v>
      </c>
      <c r="E947" s="352">
        <v>297528.03000000003</v>
      </c>
      <c r="F947" s="352">
        <v>675488.1</v>
      </c>
      <c r="G947" s="352">
        <v>515161.22</v>
      </c>
      <c r="H947" s="352">
        <v>274769.90000000002</v>
      </c>
      <c r="I947" s="352">
        <v>250866.7</v>
      </c>
      <c r="J947" s="352">
        <v>383920.7</v>
      </c>
      <c r="K947" s="352">
        <v>410838.9</v>
      </c>
      <c r="L947" s="302">
        <v>0</v>
      </c>
      <c r="M947" s="302">
        <v>0</v>
      </c>
      <c r="N947" s="1804">
        <v>0</v>
      </c>
    </row>
    <row r="948" spans="1:14" ht="13">
      <c r="A948" s="742" t="s">
        <v>1213</v>
      </c>
      <c r="B948" s="1801">
        <v>3615465.84</v>
      </c>
      <c r="C948" s="1802">
        <v>248025.44</v>
      </c>
      <c r="D948" s="352">
        <v>461812.94</v>
      </c>
      <c r="E948" s="352">
        <v>149907.71</v>
      </c>
      <c r="F948" s="352">
        <v>184512.09</v>
      </c>
      <c r="G948" s="352">
        <v>227643.86</v>
      </c>
      <c r="H948" s="352">
        <v>276150.12</v>
      </c>
      <c r="I948" s="352">
        <v>283987.09000000003</v>
      </c>
      <c r="J948" s="352">
        <v>222204.61</v>
      </c>
      <c r="K948" s="352">
        <v>371336.13</v>
      </c>
      <c r="L948" s="352">
        <v>382750.48</v>
      </c>
      <c r="M948" s="352">
        <v>433048.04</v>
      </c>
      <c r="N948" s="1803">
        <v>374087.32</v>
      </c>
    </row>
    <row r="949" spans="1:14" ht="13">
      <c r="A949" s="742" t="s">
        <v>854</v>
      </c>
      <c r="B949" s="1801">
        <v>3599995.42</v>
      </c>
      <c r="C949" s="1789">
        <v>0</v>
      </c>
      <c r="D949" s="352">
        <v>33658.47</v>
      </c>
      <c r="E949" s="352">
        <v>419058.87</v>
      </c>
      <c r="F949" s="352">
        <v>340134.71</v>
      </c>
      <c r="G949" s="352">
        <v>121449.3</v>
      </c>
      <c r="H949" s="352">
        <v>332024.8</v>
      </c>
      <c r="I949" s="352">
        <v>211747.02</v>
      </c>
      <c r="J949" s="352">
        <v>686464.86</v>
      </c>
      <c r="K949" s="352">
        <v>478607.09</v>
      </c>
      <c r="L949" s="352">
        <v>527006.54</v>
      </c>
      <c r="M949" s="352">
        <v>306402.95</v>
      </c>
      <c r="N949" s="1803">
        <v>143440.79999999999</v>
      </c>
    </row>
    <row r="950" spans="1:14" ht="13">
      <c r="A950" s="742" t="s">
        <v>1226</v>
      </c>
      <c r="B950" s="1801">
        <v>3570540.22</v>
      </c>
      <c r="C950" s="1802">
        <v>317657.31</v>
      </c>
      <c r="D950" s="352">
        <v>440787.33</v>
      </c>
      <c r="E950" s="352">
        <v>252190.28</v>
      </c>
      <c r="F950" s="352">
        <v>167289.01</v>
      </c>
      <c r="G950" s="352">
        <v>445585.73</v>
      </c>
      <c r="H950" s="352">
        <v>205279.45</v>
      </c>
      <c r="I950" s="352">
        <v>165441.9</v>
      </c>
      <c r="J950" s="352">
        <v>152474.35999999999</v>
      </c>
      <c r="K950" s="352">
        <v>321237.17</v>
      </c>
      <c r="L950" s="352">
        <v>320965.3</v>
      </c>
      <c r="M950" s="352">
        <v>432734.5</v>
      </c>
      <c r="N950" s="1803">
        <v>348897.89</v>
      </c>
    </row>
    <row r="951" spans="1:14" ht="13">
      <c r="A951" s="742" t="s">
        <v>1234</v>
      </c>
      <c r="B951" s="1801">
        <v>3548156.6</v>
      </c>
      <c r="C951" s="1802">
        <v>233672.46</v>
      </c>
      <c r="D951" s="302">
        <v>0</v>
      </c>
      <c r="E951" s="352">
        <v>429354.46</v>
      </c>
      <c r="F951" s="352">
        <v>348535.32</v>
      </c>
      <c r="G951" s="352">
        <v>478145.23</v>
      </c>
      <c r="H951" s="352">
        <v>119648</v>
      </c>
      <c r="I951" s="352">
        <v>169796</v>
      </c>
      <c r="J951" s="352">
        <v>305014.84000000003</v>
      </c>
      <c r="K951" s="352">
        <v>248727.4</v>
      </c>
      <c r="L951" s="352">
        <v>436799.2</v>
      </c>
      <c r="M951" s="352">
        <v>444594.4</v>
      </c>
      <c r="N951" s="1803">
        <v>333869.28000000003</v>
      </c>
    </row>
    <row r="952" spans="1:14" ht="13">
      <c r="A952" s="742" t="s">
        <v>1223</v>
      </c>
      <c r="B952" s="1801">
        <v>3282359.81</v>
      </c>
      <c r="C952" s="1802">
        <v>159437.71</v>
      </c>
      <c r="D952" s="352">
        <v>103956.89</v>
      </c>
      <c r="E952" s="352">
        <v>356943.88</v>
      </c>
      <c r="F952" s="352">
        <v>225253.3</v>
      </c>
      <c r="G952" s="352">
        <v>173687.34</v>
      </c>
      <c r="H952" s="352">
        <v>247970.88</v>
      </c>
      <c r="I952" s="352">
        <v>346159.86</v>
      </c>
      <c r="J952" s="352">
        <v>357888.22</v>
      </c>
      <c r="K952" s="352">
        <v>413796.49</v>
      </c>
      <c r="L952" s="352">
        <v>322211.90000000002</v>
      </c>
      <c r="M952" s="352">
        <v>339434.64</v>
      </c>
      <c r="N952" s="1803">
        <v>235618.68</v>
      </c>
    </row>
    <row r="953" spans="1:14" ht="13">
      <c r="A953" s="742" t="s">
        <v>1211</v>
      </c>
      <c r="B953" s="1801">
        <v>3226965.63</v>
      </c>
      <c r="C953" s="1802">
        <v>78748.28</v>
      </c>
      <c r="D953" s="352">
        <v>544144.59</v>
      </c>
      <c r="E953" s="352">
        <v>45220.7</v>
      </c>
      <c r="F953" s="352">
        <v>559620.39</v>
      </c>
      <c r="G953" s="352">
        <v>60155.28</v>
      </c>
      <c r="H953" s="302">
        <v>0</v>
      </c>
      <c r="I953" s="352">
        <v>56140.29</v>
      </c>
      <c r="J953" s="352">
        <v>158349.09</v>
      </c>
      <c r="K953" s="352">
        <v>122986.81</v>
      </c>
      <c r="L953" s="352">
        <v>808094.81</v>
      </c>
      <c r="M953" s="352">
        <v>242676.85</v>
      </c>
      <c r="N953" s="1803">
        <v>550828.55000000005</v>
      </c>
    </row>
    <row r="954" spans="1:14" ht="13">
      <c r="A954" s="742" t="s">
        <v>1220</v>
      </c>
      <c r="B954" s="1801">
        <v>3195043.08</v>
      </c>
      <c r="C954" s="1802">
        <v>141695.4</v>
      </c>
      <c r="D954" s="352">
        <v>234585.74</v>
      </c>
      <c r="E954" s="352">
        <v>261340.85</v>
      </c>
      <c r="F954" s="352">
        <v>145083.37</v>
      </c>
      <c r="G954" s="352">
        <v>469788</v>
      </c>
      <c r="H954" s="352">
        <v>382242.34</v>
      </c>
      <c r="I954" s="352">
        <v>433945.72</v>
      </c>
      <c r="J954" s="352">
        <v>531774.26</v>
      </c>
      <c r="K954" s="352">
        <v>179783.44</v>
      </c>
      <c r="L954" s="352">
        <v>189150.04</v>
      </c>
      <c r="M954" s="352">
        <v>145708.22</v>
      </c>
      <c r="N954" s="1803">
        <v>79945.7</v>
      </c>
    </row>
    <row r="955" spans="1:14" ht="13">
      <c r="A955" s="742" t="s">
        <v>1222</v>
      </c>
      <c r="B955" s="1801">
        <v>2874417.57</v>
      </c>
      <c r="C955" s="1802">
        <v>214403.14</v>
      </c>
      <c r="D955" s="352">
        <v>236744.15</v>
      </c>
      <c r="E955" s="352">
        <v>112785.33</v>
      </c>
      <c r="F955" s="352">
        <v>181023.64</v>
      </c>
      <c r="G955" s="352">
        <v>275446.09000000003</v>
      </c>
      <c r="H955" s="352">
        <v>127118.22</v>
      </c>
      <c r="I955" s="352">
        <v>165774.70000000001</v>
      </c>
      <c r="J955" s="352">
        <v>282550.03999999998</v>
      </c>
      <c r="K955" s="352">
        <v>218438.01</v>
      </c>
      <c r="L955" s="352">
        <v>359056.07</v>
      </c>
      <c r="M955" s="352">
        <v>357152.1</v>
      </c>
      <c r="N955" s="1803">
        <v>343926.08</v>
      </c>
    </row>
    <row r="956" spans="1:14" ht="13">
      <c r="A956" s="742" t="s">
        <v>1225</v>
      </c>
      <c r="B956" s="1801">
        <v>2861241.6</v>
      </c>
      <c r="C956" s="1802">
        <v>174033.35</v>
      </c>
      <c r="D956" s="352">
        <v>306230.38</v>
      </c>
      <c r="E956" s="352">
        <v>209397.23</v>
      </c>
      <c r="F956" s="352">
        <v>108168.27</v>
      </c>
      <c r="G956" s="352">
        <v>238670.79</v>
      </c>
      <c r="H956" s="352">
        <v>194609.83</v>
      </c>
      <c r="I956" s="352">
        <v>247247.75</v>
      </c>
      <c r="J956" s="352">
        <v>229643.69</v>
      </c>
      <c r="K956" s="352">
        <v>248085.68</v>
      </c>
      <c r="L956" s="352">
        <v>313845.65999999997</v>
      </c>
      <c r="M956" s="352">
        <v>315201.11</v>
      </c>
      <c r="N956" s="1803">
        <v>276107.87</v>
      </c>
    </row>
    <row r="957" spans="1:14" ht="13">
      <c r="A957" s="742" t="s">
        <v>1166</v>
      </c>
      <c r="B957" s="1801">
        <v>2800310.25</v>
      </c>
      <c r="C957" s="1802">
        <v>160401.51999999999</v>
      </c>
      <c r="D957" s="352">
        <v>185501.87</v>
      </c>
      <c r="E957" s="352">
        <v>212876.68</v>
      </c>
      <c r="F957" s="352">
        <v>187195.68</v>
      </c>
      <c r="G957" s="352">
        <v>100564.24</v>
      </c>
      <c r="H957" s="352">
        <v>154280.70000000001</v>
      </c>
      <c r="I957" s="352">
        <v>494608.08</v>
      </c>
      <c r="J957" s="352">
        <v>365188.08</v>
      </c>
      <c r="K957" s="352">
        <v>187534.36</v>
      </c>
      <c r="L957" s="352">
        <v>256462.32</v>
      </c>
      <c r="M957" s="352">
        <v>278047.35999999999</v>
      </c>
      <c r="N957" s="1803">
        <v>217649.36</v>
      </c>
    </row>
    <row r="958" spans="1:14" ht="13">
      <c r="A958" s="742" t="s">
        <v>1149</v>
      </c>
      <c r="B958" s="1801">
        <v>2761514.99</v>
      </c>
      <c r="C958" s="1789">
        <v>0</v>
      </c>
      <c r="D958" s="302">
        <v>0</v>
      </c>
      <c r="E958" s="352">
        <v>287929.52</v>
      </c>
      <c r="F958" s="352">
        <v>152833.23000000001</v>
      </c>
      <c r="G958" s="302">
        <v>0</v>
      </c>
      <c r="H958" s="352">
        <v>156590.72</v>
      </c>
      <c r="I958" s="352">
        <v>608909.28</v>
      </c>
      <c r="J958" s="352">
        <v>180033.36</v>
      </c>
      <c r="K958" s="352">
        <v>262368.32</v>
      </c>
      <c r="L958" s="352">
        <v>216061.6</v>
      </c>
      <c r="M958" s="352">
        <v>381943.2</v>
      </c>
      <c r="N958" s="1803">
        <v>514845.76</v>
      </c>
    </row>
    <row r="959" spans="1:14" ht="13">
      <c r="A959" s="742" t="s">
        <v>1142</v>
      </c>
      <c r="B959" s="1801">
        <v>2743741.73</v>
      </c>
      <c r="C959" s="1802">
        <v>159337.73000000001</v>
      </c>
      <c r="D959" s="352">
        <v>49508.65</v>
      </c>
      <c r="E959" s="352">
        <v>48691.5</v>
      </c>
      <c r="F959" s="352">
        <v>192760.84</v>
      </c>
      <c r="G959" s="352">
        <v>60864.5</v>
      </c>
      <c r="H959" s="352">
        <v>232420.23</v>
      </c>
      <c r="I959" s="352">
        <v>209846.16</v>
      </c>
      <c r="J959" s="352">
        <v>127085.04</v>
      </c>
      <c r="K959" s="352">
        <v>420748.86</v>
      </c>
      <c r="L959" s="352">
        <v>651454.4</v>
      </c>
      <c r="M959" s="352">
        <v>222723.82</v>
      </c>
      <c r="N959" s="1803">
        <v>368300.01</v>
      </c>
    </row>
    <row r="960" spans="1:14" ht="13">
      <c r="A960" s="742" t="s">
        <v>1165</v>
      </c>
      <c r="B960" s="1801">
        <v>2667792.4</v>
      </c>
      <c r="C960" s="1802">
        <v>173546.61</v>
      </c>
      <c r="D960" s="352">
        <v>319685.09999999998</v>
      </c>
      <c r="E960" s="302">
        <v>0</v>
      </c>
      <c r="F960" s="352">
        <v>222546.5</v>
      </c>
      <c r="G960" s="352">
        <v>174080.02</v>
      </c>
      <c r="H960" s="352">
        <v>59824</v>
      </c>
      <c r="I960" s="352">
        <v>493565.81</v>
      </c>
      <c r="J960" s="352">
        <v>167808.32</v>
      </c>
      <c r="K960" s="352">
        <v>273714.48</v>
      </c>
      <c r="L960" s="352">
        <v>129139.28</v>
      </c>
      <c r="M960" s="352">
        <v>289466.56</v>
      </c>
      <c r="N960" s="1803">
        <v>364415.72</v>
      </c>
    </row>
    <row r="961" spans="1:14" ht="13">
      <c r="A961" s="742" t="s">
        <v>1241</v>
      </c>
      <c r="B961" s="1801">
        <v>2632590.1800000002</v>
      </c>
      <c r="C961" s="1802">
        <v>169716.8</v>
      </c>
      <c r="D961" s="352">
        <v>112073.60000000001</v>
      </c>
      <c r="E961" s="352">
        <v>262074.04</v>
      </c>
      <c r="F961" s="352">
        <v>209585.58</v>
      </c>
      <c r="G961" s="352">
        <v>149320.17000000001</v>
      </c>
      <c r="H961" s="352">
        <v>109388.57</v>
      </c>
      <c r="I961" s="352">
        <v>192158.09</v>
      </c>
      <c r="J961" s="352">
        <v>107758.94</v>
      </c>
      <c r="K961" s="352">
        <v>388983.84</v>
      </c>
      <c r="L961" s="352">
        <v>353873.4</v>
      </c>
      <c r="M961" s="352">
        <v>269182.15999999997</v>
      </c>
      <c r="N961" s="1803">
        <v>308475</v>
      </c>
    </row>
    <row r="962" spans="1:14" ht="13">
      <c r="A962" s="742" t="s">
        <v>1228</v>
      </c>
      <c r="B962" s="1801">
        <v>2627242.77</v>
      </c>
      <c r="C962" s="1802">
        <v>165683.98000000001</v>
      </c>
      <c r="D962" s="352">
        <v>184351.04</v>
      </c>
      <c r="E962" s="352">
        <v>207521.05</v>
      </c>
      <c r="F962" s="352">
        <v>220850.6</v>
      </c>
      <c r="G962" s="302">
        <v>0</v>
      </c>
      <c r="H962" s="352">
        <v>178147.05</v>
      </c>
      <c r="I962" s="352">
        <v>370810.93</v>
      </c>
      <c r="J962" s="352">
        <v>146335.01</v>
      </c>
      <c r="K962" s="352">
        <v>322632.98</v>
      </c>
      <c r="L962" s="352">
        <v>373549.44</v>
      </c>
      <c r="M962" s="352">
        <v>173100.05</v>
      </c>
      <c r="N962" s="1803">
        <v>284260.64</v>
      </c>
    </row>
    <row r="963" spans="1:14" ht="13">
      <c r="A963" s="742" t="s">
        <v>1205</v>
      </c>
      <c r="B963" s="1801">
        <v>2623243.86</v>
      </c>
      <c r="C963" s="1802">
        <v>553528.66</v>
      </c>
      <c r="D963" s="352">
        <v>309262</v>
      </c>
      <c r="E963" s="352">
        <v>404529.36</v>
      </c>
      <c r="F963" s="352">
        <v>274621.92</v>
      </c>
      <c r="G963" s="352">
        <v>35656.959999999999</v>
      </c>
      <c r="H963" s="352">
        <v>295005.44</v>
      </c>
      <c r="I963" s="352">
        <v>750639.52</v>
      </c>
      <c r="J963" s="302">
        <v>0</v>
      </c>
      <c r="K963" s="302">
        <v>0</v>
      </c>
      <c r="L963" s="302">
        <v>0</v>
      </c>
      <c r="M963" s="302">
        <v>0</v>
      </c>
      <c r="N963" s="1804">
        <v>0</v>
      </c>
    </row>
    <row r="964" spans="1:14" ht="13">
      <c r="A964" s="742" t="s">
        <v>1231</v>
      </c>
      <c r="B964" s="1801">
        <v>2622766.27</v>
      </c>
      <c r="C964" s="1802">
        <v>114926.34</v>
      </c>
      <c r="D964" s="352">
        <v>123751.81</v>
      </c>
      <c r="E964" s="352">
        <v>224021.5</v>
      </c>
      <c r="F964" s="352">
        <v>158696.04</v>
      </c>
      <c r="G964" s="352">
        <v>328490.62</v>
      </c>
      <c r="H964" s="352">
        <v>249179.18</v>
      </c>
      <c r="I964" s="352">
        <v>118796.69</v>
      </c>
      <c r="J964" s="352">
        <v>125780.01</v>
      </c>
      <c r="K964" s="352">
        <v>287150.34999999998</v>
      </c>
      <c r="L964" s="352">
        <v>171322.84</v>
      </c>
      <c r="M964" s="352">
        <v>423043.2</v>
      </c>
      <c r="N964" s="1803">
        <v>297607.69</v>
      </c>
    </row>
    <row r="965" spans="1:14" ht="13">
      <c r="A965" s="742" t="s">
        <v>1245</v>
      </c>
      <c r="B965" s="1801">
        <v>2374337.4900000002</v>
      </c>
      <c r="C965" s="1802">
        <v>209455.57</v>
      </c>
      <c r="D965" s="352">
        <v>212178.61</v>
      </c>
      <c r="E965" s="352">
        <v>239304.67</v>
      </c>
      <c r="F965" s="352">
        <v>217771.12</v>
      </c>
      <c r="G965" s="352">
        <v>346677.65</v>
      </c>
      <c r="H965" s="302">
        <v>0</v>
      </c>
      <c r="I965" s="352">
        <v>136392.24</v>
      </c>
      <c r="J965" s="302">
        <v>0</v>
      </c>
      <c r="K965" s="352">
        <v>310767.92</v>
      </c>
      <c r="L965" s="352">
        <v>148654.43</v>
      </c>
      <c r="M965" s="352">
        <v>226154.84</v>
      </c>
      <c r="N965" s="1803">
        <v>326980.43</v>
      </c>
    </row>
    <row r="966" spans="1:14" ht="13">
      <c r="A966" s="742" t="s">
        <v>1160</v>
      </c>
      <c r="B966" s="1801">
        <v>2332072.4</v>
      </c>
      <c r="C966" s="1802">
        <v>275978.56</v>
      </c>
      <c r="D966" s="352">
        <v>213881.28</v>
      </c>
      <c r="E966" s="352">
        <v>233215.6</v>
      </c>
      <c r="F966" s="352">
        <v>105399.2</v>
      </c>
      <c r="G966" s="352">
        <v>247834.08</v>
      </c>
      <c r="H966" s="352">
        <v>310167.84000000003</v>
      </c>
      <c r="I966" s="352">
        <v>289474.32</v>
      </c>
      <c r="J966" s="352">
        <v>320989.68</v>
      </c>
      <c r="K966" s="352">
        <v>151107.51999999999</v>
      </c>
      <c r="L966" s="352">
        <v>184024.32000000001</v>
      </c>
      <c r="M966" s="302">
        <v>0</v>
      </c>
      <c r="N966" s="1804">
        <v>0</v>
      </c>
    </row>
    <row r="967" spans="1:14" ht="13">
      <c r="A967" s="742" t="s">
        <v>1240</v>
      </c>
      <c r="B967" s="1801">
        <v>2281499.2000000002</v>
      </c>
      <c r="C967" s="1789">
        <v>0</v>
      </c>
      <c r="D967" s="352">
        <v>314119.2</v>
      </c>
      <c r="E967" s="302">
        <v>0</v>
      </c>
      <c r="F967" s="302">
        <v>0</v>
      </c>
      <c r="G967" s="302">
        <v>0</v>
      </c>
      <c r="H967" s="302">
        <v>0</v>
      </c>
      <c r="I967" s="352">
        <v>383660.56</v>
      </c>
      <c r="J967" s="352">
        <v>269130.8</v>
      </c>
      <c r="K967" s="352">
        <v>354234.08</v>
      </c>
      <c r="L967" s="352">
        <v>509844.96</v>
      </c>
      <c r="M967" s="352">
        <v>103603.28</v>
      </c>
      <c r="N967" s="1803">
        <v>346906.32</v>
      </c>
    </row>
    <row r="968" spans="1:14" ht="13">
      <c r="A968" s="742" t="s">
        <v>1182</v>
      </c>
      <c r="B968" s="1801">
        <v>2115067.7999999998</v>
      </c>
      <c r="C968" s="1802">
        <v>18828.12</v>
      </c>
      <c r="D968" s="352">
        <v>55714.19</v>
      </c>
      <c r="E968" s="352">
        <v>25552.07</v>
      </c>
      <c r="F968" s="352">
        <v>243660.12</v>
      </c>
      <c r="G968" s="352">
        <v>102553.72</v>
      </c>
      <c r="H968" s="352">
        <v>192146.89</v>
      </c>
      <c r="I968" s="352">
        <v>81280.759999999995</v>
      </c>
      <c r="J968" s="352">
        <v>200951.67</v>
      </c>
      <c r="K968" s="352">
        <v>310799.84999999998</v>
      </c>
      <c r="L968" s="352">
        <v>207616.64000000001</v>
      </c>
      <c r="M968" s="352">
        <v>330348.61</v>
      </c>
      <c r="N968" s="1803">
        <v>345615.17</v>
      </c>
    </row>
    <row r="969" spans="1:14" ht="13">
      <c r="A969" s="742" t="s">
        <v>1209</v>
      </c>
      <c r="B969" s="1801">
        <v>2075337.57</v>
      </c>
      <c r="C969" s="1802">
        <v>122383.77</v>
      </c>
      <c r="D969" s="352">
        <v>341435.96</v>
      </c>
      <c r="E969" s="352">
        <v>38604.239999999998</v>
      </c>
      <c r="F969" s="352">
        <v>268676.90000000002</v>
      </c>
      <c r="G969" s="352">
        <v>124210.64</v>
      </c>
      <c r="H969" s="352">
        <v>214643.95</v>
      </c>
      <c r="I969" s="352">
        <v>229173.35</v>
      </c>
      <c r="J969" s="352">
        <v>40166.160000000003</v>
      </c>
      <c r="K969" s="352">
        <v>156121.95000000001</v>
      </c>
      <c r="L969" s="352">
        <v>274094.99</v>
      </c>
      <c r="M969" s="352">
        <v>234293.26</v>
      </c>
      <c r="N969" s="1803">
        <v>31532.400000000001</v>
      </c>
    </row>
    <row r="970" spans="1:14" ht="13">
      <c r="A970" s="742" t="s">
        <v>1197</v>
      </c>
      <c r="B970" s="1801">
        <v>2011134.67</v>
      </c>
      <c r="C970" s="1802">
        <v>229451.74</v>
      </c>
      <c r="D970" s="352">
        <v>99793.52</v>
      </c>
      <c r="E970" s="352">
        <v>106455.12</v>
      </c>
      <c r="F970" s="352">
        <v>135142.72</v>
      </c>
      <c r="G970" s="352">
        <v>20492.560000000001</v>
      </c>
      <c r="H970" s="352">
        <v>73865.62</v>
      </c>
      <c r="I970" s="352">
        <v>386505.02</v>
      </c>
      <c r="J970" s="302">
        <v>0</v>
      </c>
      <c r="K970" s="352">
        <v>64609.919999999998</v>
      </c>
      <c r="L970" s="352">
        <v>485606.97</v>
      </c>
      <c r="M970" s="352">
        <v>54292.160000000003</v>
      </c>
      <c r="N970" s="1803">
        <v>354919.32</v>
      </c>
    </row>
    <row r="971" spans="1:14" ht="13">
      <c r="A971" s="742" t="s">
        <v>1235</v>
      </c>
      <c r="B971" s="1801">
        <v>1794192.74</v>
      </c>
      <c r="C971" s="1802">
        <v>364590.74</v>
      </c>
      <c r="D971" s="352">
        <v>156023.28</v>
      </c>
      <c r="E971" s="352">
        <v>190200</v>
      </c>
      <c r="F971" s="352">
        <v>194253.36</v>
      </c>
      <c r="G971" s="352">
        <v>190200</v>
      </c>
      <c r="H971" s="352">
        <v>190200</v>
      </c>
      <c r="I971" s="302">
        <v>0</v>
      </c>
      <c r="J971" s="352">
        <v>152160</v>
      </c>
      <c r="K971" s="302">
        <v>0</v>
      </c>
      <c r="L971" s="352">
        <v>177442.8</v>
      </c>
      <c r="M971" s="302">
        <v>0</v>
      </c>
      <c r="N971" s="1803">
        <v>179122.56</v>
      </c>
    </row>
    <row r="972" spans="1:14" ht="13">
      <c r="A972" s="742" t="s">
        <v>1194</v>
      </c>
      <c r="B972" s="1801">
        <v>1684622.62</v>
      </c>
      <c r="C972" s="1802">
        <v>174731.11</v>
      </c>
      <c r="D972" s="352">
        <v>182826.51</v>
      </c>
      <c r="E972" s="352">
        <v>197789.56</v>
      </c>
      <c r="F972" s="352">
        <v>172809.83</v>
      </c>
      <c r="G972" s="302">
        <v>0</v>
      </c>
      <c r="H972" s="352">
        <v>182531.72</v>
      </c>
      <c r="I972" s="302">
        <v>0</v>
      </c>
      <c r="J972" s="352">
        <v>40630.94</v>
      </c>
      <c r="K972" s="352">
        <v>97541.63</v>
      </c>
      <c r="L972" s="352">
        <v>165043.85</v>
      </c>
      <c r="M972" s="352">
        <v>250076.95</v>
      </c>
      <c r="N972" s="1803">
        <v>220640.52</v>
      </c>
    </row>
    <row r="973" spans="1:14" ht="13">
      <c r="A973" s="742" t="s">
        <v>1203</v>
      </c>
      <c r="B973" s="1801">
        <v>1551797.15</v>
      </c>
      <c r="C973" s="1802">
        <v>171335.25</v>
      </c>
      <c r="D973" s="302">
        <v>0</v>
      </c>
      <c r="E973" s="302">
        <v>0</v>
      </c>
      <c r="F973" s="352">
        <v>53757.81</v>
      </c>
      <c r="G973" s="352">
        <v>58266.61</v>
      </c>
      <c r="H973" s="352">
        <v>117863.14</v>
      </c>
      <c r="I973" s="352">
        <v>45533.02</v>
      </c>
      <c r="J973" s="352">
        <v>383074.05</v>
      </c>
      <c r="K973" s="352">
        <v>155810.32</v>
      </c>
      <c r="L973" s="352">
        <v>119299.6</v>
      </c>
      <c r="M973" s="352">
        <v>230296.95999999999</v>
      </c>
      <c r="N973" s="1803">
        <v>216560.4</v>
      </c>
    </row>
    <row r="974" spans="1:14" ht="13">
      <c r="A974" s="742" t="s">
        <v>1215</v>
      </c>
      <c r="B974" s="1801">
        <v>1366847.47</v>
      </c>
      <c r="C974" s="1802">
        <v>63226.98</v>
      </c>
      <c r="D974" s="352">
        <v>153488.37</v>
      </c>
      <c r="E974" s="352">
        <v>101006.84</v>
      </c>
      <c r="F974" s="302">
        <v>0</v>
      </c>
      <c r="G974" s="352">
        <v>60007.12</v>
      </c>
      <c r="H974" s="352">
        <v>129982.85</v>
      </c>
      <c r="I974" s="352">
        <v>135205.03</v>
      </c>
      <c r="J974" s="352">
        <v>175279.27</v>
      </c>
      <c r="K974" s="352">
        <v>143708.65</v>
      </c>
      <c r="L974" s="352">
        <v>124273.41</v>
      </c>
      <c r="M974" s="352">
        <v>168098.49</v>
      </c>
      <c r="N974" s="1803">
        <v>112570.47</v>
      </c>
    </row>
    <row r="975" spans="1:14" ht="13">
      <c r="A975" s="742" t="s">
        <v>1187</v>
      </c>
      <c r="B975" s="1801">
        <v>1326973.1499999999</v>
      </c>
      <c r="C975" s="1802">
        <v>26940.240000000002</v>
      </c>
      <c r="D975" s="302">
        <v>0</v>
      </c>
      <c r="E975" s="302">
        <v>0</v>
      </c>
      <c r="F975" s="302">
        <v>0</v>
      </c>
      <c r="G975" s="302">
        <v>0</v>
      </c>
      <c r="H975" s="302">
        <v>0</v>
      </c>
      <c r="I975" s="302">
        <v>0</v>
      </c>
      <c r="J975" s="302">
        <v>0</v>
      </c>
      <c r="K975" s="352">
        <v>192959.34</v>
      </c>
      <c r="L975" s="352">
        <v>483899.21</v>
      </c>
      <c r="M975" s="352">
        <v>265709.15000000002</v>
      </c>
      <c r="N975" s="1803">
        <v>357465.21</v>
      </c>
    </row>
    <row r="976" spans="1:14" ht="13">
      <c r="A976" s="742" t="s">
        <v>1159</v>
      </c>
      <c r="B976" s="1801">
        <v>1262383.4099999999</v>
      </c>
      <c r="C976" s="1802">
        <v>118501.6</v>
      </c>
      <c r="D976" s="352">
        <v>147892.81</v>
      </c>
      <c r="E976" s="302">
        <v>0</v>
      </c>
      <c r="F976" s="352">
        <v>70970.039999999994</v>
      </c>
      <c r="G976" s="352">
        <v>89735.91</v>
      </c>
      <c r="H976" s="302">
        <v>0</v>
      </c>
      <c r="I976" s="352">
        <v>130724.87</v>
      </c>
      <c r="J976" s="352">
        <v>489102.73</v>
      </c>
      <c r="K976" s="302">
        <v>0</v>
      </c>
      <c r="L976" s="352">
        <v>109818.34</v>
      </c>
      <c r="M976" s="352">
        <v>105637.11</v>
      </c>
      <c r="N976" s="1804">
        <v>0</v>
      </c>
    </row>
    <row r="977" spans="1:14" ht="13">
      <c r="A977" s="742" t="s">
        <v>1216</v>
      </c>
      <c r="B977" s="1801">
        <v>1256598</v>
      </c>
      <c r="C977" s="1789">
        <v>0</v>
      </c>
      <c r="D977" s="302">
        <v>0</v>
      </c>
      <c r="E977" s="302">
        <v>0</v>
      </c>
      <c r="F977" s="302">
        <v>0</v>
      </c>
      <c r="G977" s="302">
        <v>0</v>
      </c>
      <c r="H977" s="352">
        <v>142489.06</v>
      </c>
      <c r="I977" s="352">
        <v>300334.56</v>
      </c>
      <c r="J977" s="352">
        <v>370690.55</v>
      </c>
      <c r="K977" s="352">
        <v>225073.43</v>
      </c>
      <c r="L977" s="352">
        <v>109068.11</v>
      </c>
      <c r="M977" s="352">
        <v>36651.97</v>
      </c>
      <c r="N977" s="1803">
        <v>72290.320000000007</v>
      </c>
    </row>
    <row r="978" spans="1:14" ht="13">
      <c r="A978" s="742" t="s">
        <v>1172</v>
      </c>
      <c r="B978" s="1801">
        <v>1232059.6299999999</v>
      </c>
      <c r="C978" s="1802">
        <v>62627.14</v>
      </c>
      <c r="D978" s="352">
        <v>163376.88</v>
      </c>
      <c r="E978" s="302">
        <v>0</v>
      </c>
      <c r="F978" s="352">
        <v>204684.79999999999</v>
      </c>
      <c r="G978" s="352">
        <v>74725.440000000002</v>
      </c>
      <c r="H978" s="352">
        <v>93406.8</v>
      </c>
      <c r="I978" s="352">
        <v>131883.22</v>
      </c>
      <c r="J978" s="352">
        <v>171113.60000000001</v>
      </c>
      <c r="K978" s="302">
        <v>0</v>
      </c>
      <c r="L978" s="352">
        <v>146726.88</v>
      </c>
      <c r="M978" s="352">
        <v>183514.88</v>
      </c>
      <c r="N978" s="1804">
        <v>0</v>
      </c>
    </row>
    <row r="979" spans="1:14" ht="13">
      <c r="A979" s="742" t="s">
        <v>1196</v>
      </c>
      <c r="B979" s="1801">
        <v>1227598.94</v>
      </c>
      <c r="C979" s="1802">
        <v>39645.85</v>
      </c>
      <c r="D979" s="352">
        <v>109018.24000000001</v>
      </c>
      <c r="E979" s="352">
        <v>77925.039999999994</v>
      </c>
      <c r="F979" s="352">
        <v>69621.600000000006</v>
      </c>
      <c r="G979" s="352">
        <v>112613.71</v>
      </c>
      <c r="H979" s="352">
        <v>96746.7</v>
      </c>
      <c r="I979" s="352">
        <v>22011.63</v>
      </c>
      <c r="J979" s="352">
        <v>122666.56</v>
      </c>
      <c r="K979" s="352">
        <v>162155.96</v>
      </c>
      <c r="L979" s="352">
        <v>97941.6</v>
      </c>
      <c r="M979" s="352">
        <v>143722.18</v>
      </c>
      <c r="N979" s="1803">
        <v>173529.86</v>
      </c>
    </row>
    <row r="980" spans="1:14" ht="13">
      <c r="A980" s="742" t="s">
        <v>1244</v>
      </c>
      <c r="B980" s="1801">
        <v>1197651.99</v>
      </c>
      <c r="C980" s="1802">
        <v>392228.78</v>
      </c>
      <c r="D980" s="352">
        <v>139157.10999999999</v>
      </c>
      <c r="E980" s="352">
        <v>185641.72</v>
      </c>
      <c r="F980" s="302">
        <v>0</v>
      </c>
      <c r="G980" s="302">
        <v>0</v>
      </c>
      <c r="H980" s="352">
        <v>223019.33</v>
      </c>
      <c r="I980" s="352">
        <v>145686.32</v>
      </c>
      <c r="J980" s="302">
        <v>0</v>
      </c>
      <c r="K980" s="352">
        <v>111918.74</v>
      </c>
      <c r="L980" s="302">
        <v>0</v>
      </c>
      <c r="M980" s="302">
        <v>0</v>
      </c>
      <c r="N980" s="1804">
        <v>0</v>
      </c>
    </row>
    <row r="981" spans="1:14" ht="13">
      <c r="A981" s="742" t="s">
        <v>1242</v>
      </c>
      <c r="B981" s="1801">
        <v>1160394.8799999999</v>
      </c>
      <c r="C981" s="1789">
        <v>0</v>
      </c>
      <c r="D981" s="302">
        <v>0</v>
      </c>
      <c r="E981" s="302">
        <v>0</v>
      </c>
      <c r="F981" s="352">
        <v>100217.60000000001</v>
      </c>
      <c r="G981" s="352">
        <v>195696.4</v>
      </c>
      <c r="H981" s="302">
        <v>0</v>
      </c>
      <c r="I981" s="352">
        <v>189279.84</v>
      </c>
      <c r="J981" s="352">
        <v>99999.360000000001</v>
      </c>
      <c r="K981" s="352">
        <v>91751.360000000001</v>
      </c>
      <c r="L981" s="352">
        <v>313987.28000000003</v>
      </c>
      <c r="M981" s="302">
        <v>0</v>
      </c>
      <c r="N981" s="1803">
        <v>169463.04000000001</v>
      </c>
    </row>
    <row r="982" spans="1:14" ht="13">
      <c r="A982" s="742" t="s">
        <v>1208</v>
      </c>
      <c r="B982" s="1801">
        <v>1125532.04</v>
      </c>
      <c r="C982" s="1802">
        <v>172045.69</v>
      </c>
      <c r="D982" s="352">
        <v>57524.480000000003</v>
      </c>
      <c r="E982" s="352">
        <v>25635.65</v>
      </c>
      <c r="F982" s="352">
        <v>373003.76</v>
      </c>
      <c r="G982" s="302">
        <v>0</v>
      </c>
      <c r="H982" s="352">
        <v>116513.82</v>
      </c>
      <c r="I982" s="302">
        <v>0</v>
      </c>
      <c r="J982" s="352">
        <v>114301.26</v>
      </c>
      <c r="K982" s="352">
        <v>178918.64</v>
      </c>
      <c r="L982" s="352">
        <v>87588.74</v>
      </c>
      <c r="M982" s="302">
        <v>0</v>
      </c>
      <c r="N982" s="1804">
        <v>0</v>
      </c>
    </row>
    <row r="983" spans="1:14" ht="13">
      <c r="A983" s="742" t="s">
        <v>1729</v>
      </c>
      <c r="B983" s="1801">
        <v>1101834.8700000001</v>
      </c>
      <c r="C983" s="1789">
        <v>0</v>
      </c>
      <c r="D983" s="352">
        <v>226151.11</v>
      </c>
      <c r="E983" s="352">
        <v>122076.05</v>
      </c>
      <c r="F983" s="352">
        <v>192664.09</v>
      </c>
      <c r="G983" s="302">
        <v>0</v>
      </c>
      <c r="H983" s="352">
        <v>296712.14</v>
      </c>
      <c r="I983" s="302">
        <v>0</v>
      </c>
      <c r="J983" s="352">
        <v>137196.85</v>
      </c>
      <c r="K983" s="352">
        <v>127034.62</v>
      </c>
      <c r="L983" s="302">
        <v>0</v>
      </c>
      <c r="M983" s="302">
        <v>0</v>
      </c>
      <c r="N983" s="1804">
        <v>0</v>
      </c>
    </row>
    <row r="984" spans="1:14" ht="13">
      <c r="A984" s="742" t="s">
        <v>1210</v>
      </c>
      <c r="B984" s="1801">
        <v>1033211.87</v>
      </c>
      <c r="C984" s="1802">
        <v>41276.230000000003</v>
      </c>
      <c r="D984" s="352">
        <v>199875.84</v>
      </c>
      <c r="E984" s="352">
        <v>82497.279999999999</v>
      </c>
      <c r="F984" s="352">
        <v>34740.51</v>
      </c>
      <c r="G984" s="352">
        <v>48188.26</v>
      </c>
      <c r="H984" s="352">
        <v>19620.189999999999</v>
      </c>
      <c r="I984" s="352">
        <v>174812.02</v>
      </c>
      <c r="J984" s="352">
        <v>64995.87</v>
      </c>
      <c r="K984" s="352">
        <v>173176.73</v>
      </c>
      <c r="L984" s="352">
        <v>7100.62</v>
      </c>
      <c r="M984" s="352">
        <v>166791.35999999999</v>
      </c>
      <c r="N984" s="1803">
        <v>20136.96</v>
      </c>
    </row>
    <row r="985" spans="1:14" ht="13">
      <c r="A985" s="742" t="s">
        <v>1181</v>
      </c>
      <c r="B985" s="1801">
        <v>999562.22</v>
      </c>
      <c r="C985" s="1802">
        <v>72765</v>
      </c>
      <c r="D985" s="352">
        <v>214174.32</v>
      </c>
      <c r="E985" s="352">
        <v>84524.14</v>
      </c>
      <c r="F985" s="352">
        <v>83679.5</v>
      </c>
      <c r="G985" s="352">
        <v>117138.5</v>
      </c>
      <c r="H985" s="302">
        <v>0</v>
      </c>
      <c r="I985" s="352">
        <v>32671.86</v>
      </c>
      <c r="J985" s="302">
        <v>0</v>
      </c>
      <c r="K985" s="302">
        <v>0</v>
      </c>
      <c r="L985" s="352">
        <v>277511.05</v>
      </c>
      <c r="M985" s="302">
        <v>0</v>
      </c>
      <c r="N985" s="1803">
        <v>117097.85</v>
      </c>
    </row>
    <row r="986" spans="1:14" ht="13">
      <c r="A986" s="742" t="s">
        <v>1162</v>
      </c>
      <c r="B986" s="1801">
        <v>990026.42</v>
      </c>
      <c r="C986" s="1789">
        <v>0</v>
      </c>
      <c r="D986" s="302">
        <v>0</v>
      </c>
      <c r="E986" s="302">
        <v>0</v>
      </c>
      <c r="F986" s="302">
        <v>0</v>
      </c>
      <c r="G986" s="302">
        <v>0</v>
      </c>
      <c r="H986" s="302">
        <v>0</v>
      </c>
      <c r="I986" s="302">
        <v>0</v>
      </c>
      <c r="J986" s="302">
        <v>0</v>
      </c>
      <c r="K986" s="352">
        <v>354975.38</v>
      </c>
      <c r="L986" s="352">
        <v>121089.18</v>
      </c>
      <c r="M986" s="352">
        <v>265537.3</v>
      </c>
      <c r="N986" s="1803">
        <v>248424.57</v>
      </c>
    </row>
    <row r="987" spans="1:14" ht="13">
      <c r="A987" s="742" t="s">
        <v>1230</v>
      </c>
      <c r="B987" s="1801">
        <v>974086.86</v>
      </c>
      <c r="C987" s="1802">
        <v>52074.31</v>
      </c>
      <c r="D987" s="352">
        <v>37922.99</v>
      </c>
      <c r="E987" s="302">
        <v>0</v>
      </c>
      <c r="F987" s="352">
        <v>69405.929999999993</v>
      </c>
      <c r="G987" s="352">
        <v>7659.9</v>
      </c>
      <c r="H987" s="352">
        <v>43599.99</v>
      </c>
      <c r="I987" s="352">
        <v>20288.23</v>
      </c>
      <c r="J987" s="352">
        <v>219593.98</v>
      </c>
      <c r="K987" s="352">
        <v>57571.72</v>
      </c>
      <c r="L987" s="352">
        <v>59053.16</v>
      </c>
      <c r="M987" s="352">
        <v>277743.40999999997</v>
      </c>
      <c r="N987" s="1803">
        <v>129173.23</v>
      </c>
    </row>
    <row r="988" spans="1:14" ht="13">
      <c r="A988" s="742" t="s">
        <v>1176</v>
      </c>
      <c r="B988" s="1801">
        <v>971054.92</v>
      </c>
      <c r="C988" s="1802">
        <v>121765.13</v>
      </c>
      <c r="D988" s="352">
        <v>64240.49</v>
      </c>
      <c r="E988" s="352">
        <v>17849.37</v>
      </c>
      <c r="F988" s="352">
        <v>32009.599999999999</v>
      </c>
      <c r="G988" s="302">
        <v>0</v>
      </c>
      <c r="H988" s="352">
        <v>18738.72</v>
      </c>
      <c r="I988" s="352">
        <v>153762.32</v>
      </c>
      <c r="J988" s="352">
        <v>45099.11</v>
      </c>
      <c r="K988" s="352">
        <v>89434.5</v>
      </c>
      <c r="L988" s="352">
        <v>113559.76</v>
      </c>
      <c r="M988" s="352">
        <v>259781.15</v>
      </c>
      <c r="N988" s="1803">
        <v>54814.79</v>
      </c>
    </row>
    <row r="989" spans="1:14" ht="13">
      <c r="A989" s="742" t="s">
        <v>1229</v>
      </c>
      <c r="B989" s="1801">
        <v>968634.97</v>
      </c>
      <c r="C989" s="1789">
        <v>0</v>
      </c>
      <c r="D989" s="302">
        <v>0</v>
      </c>
      <c r="E989" s="302">
        <v>0</v>
      </c>
      <c r="F989" s="302">
        <v>0</v>
      </c>
      <c r="G989" s="302">
        <v>0</v>
      </c>
      <c r="H989" s="352">
        <v>40911.11</v>
      </c>
      <c r="I989" s="352">
        <v>261408.75</v>
      </c>
      <c r="J989" s="352">
        <v>335205.56</v>
      </c>
      <c r="K989" s="352">
        <v>46789.84</v>
      </c>
      <c r="L989" s="352">
        <v>60885.45</v>
      </c>
      <c r="M989" s="352">
        <v>223434.26</v>
      </c>
      <c r="N989" s="1804">
        <v>0</v>
      </c>
    </row>
    <row r="990" spans="1:14" ht="13">
      <c r="A990" s="742" t="s">
        <v>1185</v>
      </c>
      <c r="B990" s="1801">
        <v>891407.93</v>
      </c>
      <c r="C990" s="1802">
        <v>440250.96</v>
      </c>
      <c r="D990" s="302">
        <v>-0.44</v>
      </c>
      <c r="E990" s="302">
        <v>0</v>
      </c>
      <c r="F990" s="302">
        <v>0</v>
      </c>
      <c r="G990" s="352">
        <v>250075.96</v>
      </c>
      <c r="H990" s="352">
        <v>125037.98</v>
      </c>
      <c r="I990" s="302">
        <v>0</v>
      </c>
      <c r="J990" s="352">
        <v>27538.47</v>
      </c>
      <c r="K990" s="352">
        <v>48505</v>
      </c>
      <c r="L990" s="302">
        <v>0</v>
      </c>
      <c r="M990" s="302">
        <v>0</v>
      </c>
      <c r="N990" s="1804">
        <v>0</v>
      </c>
    </row>
    <row r="991" spans="1:14" ht="13">
      <c r="A991" s="742" t="s">
        <v>1177</v>
      </c>
      <c r="B991" s="1801">
        <v>876229.45</v>
      </c>
      <c r="C991" s="1802">
        <v>106088.99</v>
      </c>
      <c r="D991" s="352">
        <v>46301.7</v>
      </c>
      <c r="E991" s="302">
        <v>0</v>
      </c>
      <c r="F991" s="352">
        <v>99503.56</v>
      </c>
      <c r="G991" s="352">
        <v>41641.879999999997</v>
      </c>
      <c r="H991" s="352">
        <v>40795.14</v>
      </c>
      <c r="I991" s="352">
        <v>69418.679999999993</v>
      </c>
      <c r="J991" s="352">
        <v>51975.85</v>
      </c>
      <c r="K991" s="352">
        <v>93886.46</v>
      </c>
      <c r="L991" s="352">
        <v>23805</v>
      </c>
      <c r="M991" s="352">
        <v>103153.60000000001</v>
      </c>
      <c r="N991" s="1803">
        <v>199658.6</v>
      </c>
    </row>
    <row r="992" spans="1:14" ht="13">
      <c r="A992" s="742" t="s">
        <v>1206</v>
      </c>
      <c r="B992" s="1801">
        <v>874085.47</v>
      </c>
      <c r="C992" s="1802">
        <v>71629.75</v>
      </c>
      <c r="D992" s="352">
        <v>17961.89</v>
      </c>
      <c r="E992" s="352">
        <v>23632.880000000001</v>
      </c>
      <c r="F992" s="352">
        <v>60883.45</v>
      </c>
      <c r="G992" s="352">
        <v>166459.88</v>
      </c>
      <c r="H992" s="352">
        <v>139539.63</v>
      </c>
      <c r="I992" s="352">
        <v>26952.36</v>
      </c>
      <c r="J992" s="352">
        <v>66886.75</v>
      </c>
      <c r="K992" s="352">
        <v>45587.83</v>
      </c>
      <c r="L992" s="352">
        <v>38279.83</v>
      </c>
      <c r="M992" s="352">
        <v>21216.85</v>
      </c>
      <c r="N992" s="1803">
        <v>195054.37</v>
      </c>
    </row>
    <row r="993" spans="1:14" ht="13">
      <c r="A993" s="742" t="s">
        <v>1204</v>
      </c>
      <c r="B993" s="1801">
        <v>848653.22</v>
      </c>
      <c r="C993" s="1802">
        <v>98920.960000000006</v>
      </c>
      <c r="D993" s="352">
        <v>118914.08</v>
      </c>
      <c r="E993" s="302">
        <v>0</v>
      </c>
      <c r="F993" s="352">
        <v>88470.64</v>
      </c>
      <c r="G993" s="302">
        <v>0</v>
      </c>
      <c r="H993" s="352">
        <v>135166.38</v>
      </c>
      <c r="I993" s="302">
        <v>0</v>
      </c>
      <c r="J993" s="352">
        <v>194922</v>
      </c>
      <c r="K993" s="302">
        <v>0</v>
      </c>
      <c r="L993" s="352">
        <v>148785.76</v>
      </c>
      <c r="M993" s="352">
        <v>63473.4</v>
      </c>
      <c r="N993" s="1804">
        <v>0</v>
      </c>
    </row>
    <row r="994" spans="1:14" ht="13">
      <c r="A994" s="742" t="s">
        <v>1178</v>
      </c>
      <c r="B994" s="1801">
        <v>847134.86</v>
      </c>
      <c r="C994" s="1789">
        <v>0</v>
      </c>
      <c r="D994" s="352">
        <v>62101.89</v>
      </c>
      <c r="E994" s="302">
        <v>0</v>
      </c>
      <c r="F994" s="302">
        <v>0</v>
      </c>
      <c r="G994" s="352">
        <v>48583.58</v>
      </c>
      <c r="H994" s="352">
        <v>70449.89</v>
      </c>
      <c r="I994" s="352">
        <v>241348.11</v>
      </c>
      <c r="J994" s="302">
        <v>0</v>
      </c>
      <c r="K994" s="352">
        <v>89453.440000000002</v>
      </c>
      <c r="L994" s="352">
        <v>222597.89</v>
      </c>
      <c r="M994" s="352">
        <v>86350.32</v>
      </c>
      <c r="N994" s="1803">
        <v>26249.75</v>
      </c>
    </row>
    <row r="995" spans="1:14" ht="13">
      <c r="A995" s="742" t="s">
        <v>1150</v>
      </c>
      <c r="B995" s="1801">
        <v>808464.29</v>
      </c>
      <c r="C995" s="1802">
        <v>38505.78</v>
      </c>
      <c r="D995" s="352">
        <v>56908.05</v>
      </c>
      <c r="E995" s="302">
        <v>0</v>
      </c>
      <c r="F995" s="352">
        <v>98714.25</v>
      </c>
      <c r="G995" s="352">
        <v>173235.68</v>
      </c>
      <c r="H995" s="302">
        <v>0</v>
      </c>
      <c r="I995" s="302">
        <v>0</v>
      </c>
      <c r="J995" s="352">
        <v>116993.87</v>
      </c>
      <c r="K995" s="302">
        <v>0</v>
      </c>
      <c r="L995" s="352">
        <v>287173.98</v>
      </c>
      <c r="M995" s="302">
        <v>0</v>
      </c>
      <c r="N995" s="1803">
        <v>36932.68</v>
      </c>
    </row>
    <row r="996" spans="1:14" ht="13">
      <c r="A996" s="742" t="s">
        <v>1190</v>
      </c>
      <c r="B996" s="1801">
        <v>804967.16</v>
      </c>
      <c r="C996" s="1789">
        <v>0</v>
      </c>
      <c r="D996" s="352">
        <v>157059.6</v>
      </c>
      <c r="E996" s="352">
        <v>177425.2</v>
      </c>
      <c r="F996" s="352">
        <v>177425.2</v>
      </c>
      <c r="G996" s="302">
        <v>0</v>
      </c>
      <c r="H996" s="302">
        <v>0</v>
      </c>
      <c r="I996" s="352">
        <v>119648</v>
      </c>
      <c r="J996" s="352">
        <v>44189.32</v>
      </c>
      <c r="K996" s="302">
        <v>0</v>
      </c>
      <c r="L996" s="352">
        <v>129219.84</v>
      </c>
      <c r="M996" s="302">
        <v>0</v>
      </c>
      <c r="N996" s="1804">
        <v>0</v>
      </c>
    </row>
    <row r="997" spans="1:14" ht="13">
      <c r="A997" s="742" t="s">
        <v>1174</v>
      </c>
      <c r="B997" s="1801">
        <v>598607.23</v>
      </c>
      <c r="C997" s="1789">
        <v>0</v>
      </c>
      <c r="D997" s="352">
        <v>10124.57</v>
      </c>
      <c r="E997" s="302">
        <v>0</v>
      </c>
      <c r="F997" s="352">
        <v>113106.91</v>
      </c>
      <c r="G997" s="352">
        <v>20628</v>
      </c>
      <c r="H997" s="302">
        <v>0</v>
      </c>
      <c r="I997" s="302">
        <v>0</v>
      </c>
      <c r="J997" s="352">
        <v>115036.43</v>
      </c>
      <c r="K997" s="352">
        <v>141046.24</v>
      </c>
      <c r="L997" s="352">
        <v>198665.08</v>
      </c>
      <c r="M997" s="302">
        <v>0</v>
      </c>
      <c r="N997" s="1804">
        <v>0</v>
      </c>
    </row>
    <row r="998" spans="1:14" ht="13">
      <c r="A998" s="742" t="s">
        <v>1180</v>
      </c>
      <c r="B998" s="1801">
        <v>598009.26</v>
      </c>
      <c r="C998" s="1802">
        <v>33436.36</v>
      </c>
      <c r="D998" s="352">
        <v>49596.87</v>
      </c>
      <c r="E998" s="352">
        <v>117139.57</v>
      </c>
      <c r="F998" s="352">
        <v>17310</v>
      </c>
      <c r="G998" s="352">
        <v>37007.4</v>
      </c>
      <c r="H998" s="352">
        <v>42875.88</v>
      </c>
      <c r="I998" s="302">
        <v>0</v>
      </c>
      <c r="J998" s="352">
        <v>39629.120000000003</v>
      </c>
      <c r="K998" s="352">
        <v>57157</v>
      </c>
      <c r="L998" s="352">
        <v>77973.72</v>
      </c>
      <c r="M998" s="352">
        <v>96271.52</v>
      </c>
      <c r="N998" s="1803">
        <v>29611.84</v>
      </c>
    </row>
    <row r="999" spans="1:14" ht="13">
      <c r="A999" s="742" t="s">
        <v>1184</v>
      </c>
      <c r="B999" s="1801">
        <v>552207.78</v>
      </c>
      <c r="C999" s="1802">
        <v>142782.88</v>
      </c>
      <c r="D999" s="302">
        <v>0</v>
      </c>
      <c r="E999" s="302">
        <v>0</v>
      </c>
      <c r="F999" s="302">
        <v>0</v>
      </c>
      <c r="G999" s="352">
        <v>73317.66</v>
      </c>
      <c r="H999" s="352">
        <v>120704.9</v>
      </c>
      <c r="I999" s="352">
        <v>33991.25</v>
      </c>
      <c r="J999" s="352">
        <v>67982.5</v>
      </c>
      <c r="K999" s="352">
        <v>33399.61</v>
      </c>
      <c r="L999" s="302">
        <v>0</v>
      </c>
      <c r="M999" s="352">
        <v>80028.98</v>
      </c>
      <c r="N999" s="1804">
        <v>0</v>
      </c>
    </row>
    <row r="1000" spans="1:14" ht="13">
      <c r="A1000" s="742" t="s">
        <v>1179</v>
      </c>
      <c r="B1000" s="1801">
        <v>535261.11</v>
      </c>
      <c r="C1000" s="1789">
        <v>0</v>
      </c>
      <c r="D1000" s="352">
        <v>59254.94</v>
      </c>
      <c r="E1000" s="352">
        <v>37355.72</v>
      </c>
      <c r="F1000" s="352">
        <v>29480.99</v>
      </c>
      <c r="G1000" s="352">
        <v>35810.19</v>
      </c>
      <c r="H1000" s="302">
        <v>0</v>
      </c>
      <c r="I1000" s="352">
        <v>56495.64</v>
      </c>
      <c r="J1000" s="352">
        <v>61128.55</v>
      </c>
      <c r="K1000" s="352">
        <v>99948.86</v>
      </c>
      <c r="L1000" s="352">
        <v>67503</v>
      </c>
      <c r="M1000" s="352">
        <v>44794.47</v>
      </c>
      <c r="N1000" s="1803">
        <v>43488.74</v>
      </c>
    </row>
    <row r="1001" spans="1:14" ht="13">
      <c r="A1001" s="742" t="s">
        <v>1201</v>
      </c>
      <c r="B1001" s="1801">
        <v>478591.33</v>
      </c>
      <c r="C1001" s="1789">
        <v>0</v>
      </c>
      <c r="D1001" s="302">
        <v>0</v>
      </c>
      <c r="E1001" s="302">
        <v>0</v>
      </c>
      <c r="F1001" s="302">
        <v>0</v>
      </c>
      <c r="G1001" s="302">
        <v>0</v>
      </c>
      <c r="H1001" s="302">
        <v>0</v>
      </c>
      <c r="I1001" s="302">
        <v>0</v>
      </c>
      <c r="J1001" s="302">
        <v>0</v>
      </c>
      <c r="K1001" s="352">
        <v>65265</v>
      </c>
      <c r="L1001" s="352">
        <v>116833.4</v>
      </c>
      <c r="M1001" s="352">
        <v>122774.46</v>
      </c>
      <c r="N1001" s="1803">
        <v>173718.46</v>
      </c>
    </row>
    <row r="1002" spans="1:14" ht="13">
      <c r="A1002" s="742" t="s">
        <v>1170</v>
      </c>
      <c r="B1002" s="1801">
        <v>470772.16</v>
      </c>
      <c r="C1002" s="1802">
        <v>53039.24</v>
      </c>
      <c r="D1002" s="352">
        <v>57748.82</v>
      </c>
      <c r="E1002" s="352">
        <v>27040.959999999999</v>
      </c>
      <c r="F1002" s="352">
        <v>58553.9</v>
      </c>
      <c r="G1002" s="352">
        <v>54802.239999999998</v>
      </c>
      <c r="H1002" s="302">
        <v>0</v>
      </c>
      <c r="I1002" s="302">
        <v>0</v>
      </c>
      <c r="J1002" s="352">
        <v>36985.730000000003</v>
      </c>
      <c r="K1002" s="302">
        <v>0</v>
      </c>
      <c r="L1002" s="302">
        <v>0</v>
      </c>
      <c r="M1002" s="352">
        <v>84155.37</v>
      </c>
      <c r="N1002" s="1803">
        <v>98445.9</v>
      </c>
    </row>
    <row r="1003" spans="1:14" ht="13">
      <c r="A1003" s="742" t="s">
        <v>1730</v>
      </c>
      <c r="B1003" s="1801">
        <v>396283.09</v>
      </c>
      <c r="C1003" s="1802">
        <v>28562.86</v>
      </c>
      <c r="D1003" s="352">
        <v>367720.23</v>
      </c>
      <c r="E1003" s="302">
        <v>0</v>
      </c>
      <c r="F1003" s="302">
        <v>0</v>
      </c>
      <c r="G1003" s="302">
        <v>0</v>
      </c>
      <c r="H1003" s="302">
        <v>0</v>
      </c>
      <c r="I1003" s="302">
        <v>0</v>
      </c>
      <c r="J1003" s="302">
        <v>0</v>
      </c>
      <c r="K1003" s="302">
        <v>0</v>
      </c>
      <c r="L1003" s="302">
        <v>0</v>
      </c>
      <c r="M1003" s="302">
        <v>0</v>
      </c>
      <c r="N1003" s="1804">
        <v>0</v>
      </c>
    </row>
    <row r="1004" spans="1:14" ht="13">
      <c r="A1004" s="742" t="s">
        <v>1227</v>
      </c>
      <c r="B1004" s="1801">
        <v>345120.45</v>
      </c>
      <c r="C1004" s="1789">
        <v>0</v>
      </c>
      <c r="D1004" s="302">
        <v>0</v>
      </c>
      <c r="E1004" s="302">
        <v>0</v>
      </c>
      <c r="F1004" s="302">
        <v>0</v>
      </c>
      <c r="G1004" s="302">
        <v>0</v>
      </c>
      <c r="H1004" s="302">
        <v>0</v>
      </c>
      <c r="I1004" s="302">
        <v>0</v>
      </c>
      <c r="J1004" s="302">
        <v>0</v>
      </c>
      <c r="K1004" s="302">
        <v>0</v>
      </c>
      <c r="L1004" s="302">
        <v>0</v>
      </c>
      <c r="M1004" s="302">
        <v>0</v>
      </c>
      <c r="N1004" s="1803">
        <v>345120.45</v>
      </c>
    </row>
    <row r="1005" spans="1:14" ht="13">
      <c r="A1005" s="742" t="s">
        <v>1560</v>
      </c>
      <c r="B1005" s="1801">
        <v>343340.94</v>
      </c>
      <c r="C1005" s="1789">
        <v>0</v>
      </c>
      <c r="D1005" s="302">
        <v>0</v>
      </c>
      <c r="E1005" s="302">
        <v>0</v>
      </c>
      <c r="F1005" s="302">
        <v>0</v>
      </c>
      <c r="G1005" s="302">
        <v>0</v>
      </c>
      <c r="H1005" s="302">
        <v>0</v>
      </c>
      <c r="I1005" s="302">
        <v>0</v>
      </c>
      <c r="J1005" s="302">
        <v>0</v>
      </c>
      <c r="K1005" s="302">
        <v>0</v>
      </c>
      <c r="L1005" s="302">
        <v>0</v>
      </c>
      <c r="M1005" s="352">
        <v>151835.09</v>
      </c>
      <c r="N1005" s="1803">
        <v>191505.85</v>
      </c>
    </row>
    <row r="1006" spans="1:14" ht="13">
      <c r="A1006" s="742" t="s">
        <v>1164</v>
      </c>
      <c r="B1006" s="1801">
        <v>317044.43</v>
      </c>
      <c r="C1006" s="1802">
        <v>45365.83</v>
      </c>
      <c r="D1006" s="352">
        <v>29985.39</v>
      </c>
      <c r="E1006" s="352">
        <v>23988.31</v>
      </c>
      <c r="F1006" s="352">
        <v>17310.11</v>
      </c>
      <c r="G1006" s="302">
        <v>0</v>
      </c>
      <c r="H1006" s="352">
        <v>48210.75</v>
      </c>
      <c r="I1006" s="352">
        <v>40629.26</v>
      </c>
      <c r="J1006" s="352">
        <v>67552.77</v>
      </c>
      <c r="K1006" s="302">
        <v>0</v>
      </c>
      <c r="L1006" s="302">
        <v>0</v>
      </c>
      <c r="M1006" s="352">
        <v>44002</v>
      </c>
      <c r="N1006" s="1804">
        <v>0</v>
      </c>
    </row>
    <row r="1007" spans="1:14" ht="13">
      <c r="A1007" s="742" t="s">
        <v>1731</v>
      </c>
      <c r="B1007" s="1801">
        <v>296474.03999999998</v>
      </c>
      <c r="C1007" s="1789">
        <v>0</v>
      </c>
      <c r="D1007" s="302">
        <v>0</v>
      </c>
      <c r="E1007" s="352">
        <v>144080.85999999999</v>
      </c>
      <c r="F1007" s="302">
        <v>0</v>
      </c>
      <c r="G1007" s="352">
        <v>152393.18</v>
      </c>
      <c r="H1007" s="302">
        <v>0</v>
      </c>
      <c r="I1007" s="302">
        <v>0</v>
      </c>
      <c r="J1007" s="302">
        <v>0</v>
      </c>
      <c r="K1007" s="302">
        <v>0</v>
      </c>
      <c r="L1007" s="302">
        <v>0</v>
      </c>
      <c r="M1007" s="302">
        <v>0</v>
      </c>
      <c r="N1007" s="1804">
        <v>0</v>
      </c>
    </row>
    <row r="1008" spans="1:14" ht="13">
      <c r="A1008" s="742" t="s">
        <v>1207</v>
      </c>
      <c r="B1008" s="1801">
        <v>257537.34</v>
      </c>
      <c r="C1008" s="1789">
        <v>0</v>
      </c>
      <c r="D1008" s="352">
        <v>54156.36</v>
      </c>
      <c r="E1008" s="352">
        <v>54156.31</v>
      </c>
      <c r="F1008" s="302">
        <v>0</v>
      </c>
      <c r="G1008" s="302">
        <v>0</v>
      </c>
      <c r="H1008" s="302">
        <v>0</v>
      </c>
      <c r="I1008" s="302">
        <v>0</v>
      </c>
      <c r="J1008" s="302">
        <v>0</v>
      </c>
      <c r="K1008" s="352">
        <v>46790.11</v>
      </c>
      <c r="L1008" s="352">
        <v>102434.57</v>
      </c>
      <c r="M1008" s="302">
        <v>0</v>
      </c>
      <c r="N1008" s="1804">
        <v>0</v>
      </c>
    </row>
    <row r="1009" spans="1:14" ht="13">
      <c r="A1009" s="742" t="s">
        <v>1183</v>
      </c>
      <c r="B1009" s="1801">
        <v>210723.66</v>
      </c>
      <c r="C1009" s="1789">
        <v>0</v>
      </c>
      <c r="D1009" s="352">
        <v>23909.79</v>
      </c>
      <c r="E1009" s="302">
        <v>0</v>
      </c>
      <c r="F1009" s="302">
        <v>0</v>
      </c>
      <c r="G1009" s="352">
        <v>69218.09</v>
      </c>
      <c r="H1009" s="302">
        <v>0</v>
      </c>
      <c r="I1009" s="302">
        <v>0</v>
      </c>
      <c r="J1009" s="352">
        <v>17663.939999999999</v>
      </c>
      <c r="K1009" s="302">
        <v>0</v>
      </c>
      <c r="L1009" s="352">
        <v>16194</v>
      </c>
      <c r="M1009" s="302">
        <v>0</v>
      </c>
      <c r="N1009" s="1803">
        <v>83737.84</v>
      </c>
    </row>
    <row r="1010" spans="1:14" ht="13">
      <c r="A1010" s="742" t="s">
        <v>1246</v>
      </c>
      <c r="B1010" s="1801">
        <v>200356</v>
      </c>
      <c r="C1010" s="1789">
        <v>0</v>
      </c>
      <c r="D1010" s="352">
        <v>18268.8</v>
      </c>
      <c r="E1010" s="352">
        <v>20043.52</v>
      </c>
      <c r="F1010" s="352">
        <v>20043.52</v>
      </c>
      <c r="G1010" s="352">
        <v>48593.36</v>
      </c>
      <c r="H1010" s="352">
        <v>37362.720000000001</v>
      </c>
      <c r="I1010" s="352">
        <v>18681.36</v>
      </c>
      <c r="J1010" s="352">
        <v>37362.720000000001</v>
      </c>
      <c r="K1010" s="302">
        <v>0</v>
      </c>
      <c r="L1010" s="302">
        <v>0</v>
      </c>
      <c r="M1010" s="302">
        <v>0</v>
      </c>
      <c r="N1010" s="1804">
        <v>0</v>
      </c>
    </row>
    <row r="1011" spans="1:14" ht="13">
      <c r="A1011" s="742" t="s">
        <v>1195</v>
      </c>
      <c r="B1011" s="1801">
        <v>178942.11</v>
      </c>
      <c r="C1011" s="1802">
        <v>59072.26</v>
      </c>
      <c r="D1011" s="302">
        <v>0</v>
      </c>
      <c r="E1011" s="352">
        <v>94725.84</v>
      </c>
      <c r="F1011" s="302">
        <v>0</v>
      </c>
      <c r="G1011" s="352">
        <v>132592.84</v>
      </c>
      <c r="H1011" s="302">
        <v>0</v>
      </c>
      <c r="I1011" s="302">
        <v>0</v>
      </c>
      <c r="J1011" s="352">
        <v>-107448.83</v>
      </c>
      <c r="K1011" s="302">
        <v>0</v>
      </c>
      <c r="L1011" s="302">
        <v>0</v>
      </c>
      <c r="M1011" s="302">
        <v>0</v>
      </c>
      <c r="N1011" s="1804">
        <v>0</v>
      </c>
    </row>
    <row r="1012" spans="1:14" ht="13">
      <c r="A1012" s="742" t="s">
        <v>1732</v>
      </c>
      <c r="B1012" s="1801">
        <v>149926.95000000001</v>
      </c>
      <c r="C1012" s="1789">
        <v>0</v>
      </c>
      <c r="D1012" s="352">
        <v>149926.95000000001</v>
      </c>
      <c r="E1012" s="302">
        <v>0</v>
      </c>
      <c r="F1012" s="302">
        <v>0</v>
      </c>
      <c r="G1012" s="302">
        <v>0</v>
      </c>
      <c r="H1012" s="302">
        <v>0</v>
      </c>
      <c r="I1012" s="302">
        <v>0</v>
      </c>
      <c r="J1012" s="302">
        <v>0</v>
      </c>
      <c r="K1012" s="302">
        <v>0</v>
      </c>
      <c r="L1012" s="302">
        <v>0</v>
      </c>
      <c r="M1012" s="302">
        <v>0</v>
      </c>
      <c r="N1012" s="1804">
        <v>0</v>
      </c>
    </row>
    <row r="1013" spans="1:14" ht="13">
      <c r="A1013" s="742" t="s">
        <v>1733</v>
      </c>
      <c r="B1013" s="1801">
        <v>142774.43</v>
      </c>
      <c r="C1013" s="1802">
        <v>19637.939999999999</v>
      </c>
      <c r="D1013" s="352">
        <v>79608.72</v>
      </c>
      <c r="E1013" s="302">
        <v>0</v>
      </c>
      <c r="F1013" s="352">
        <v>43527.78</v>
      </c>
      <c r="G1013" s="302">
        <v>0</v>
      </c>
      <c r="H1013" s="302">
        <v>0</v>
      </c>
      <c r="I1013" s="302">
        <v>0</v>
      </c>
      <c r="J1013" s="302">
        <v>0</v>
      </c>
      <c r="K1013" s="302">
        <v>0</v>
      </c>
      <c r="L1013" s="302">
        <v>0</v>
      </c>
      <c r="M1013" s="302">
        <v>0</v>
      </c>
      <c r="N1013" s="1804">
        <v>0</v>
      </c>
    </row>
    <row r="1014" spans="1:14" ht="13">
      <c r="A1014" s="742" t="s">
        <v>1233</v>
      </c>
      <c r="B1014" s="1801">
        <v>129587.22</v>
      </c>
      <c r="C1014" s="1789">
        <v>0</v>
      </c>
      <c r="D1014" s="302">
        <v>0</v>
      </c>
      <c r="E1014" s="302">
        <v>0</v>
      </c>
      <c r="F1014" s="302">
        <v>0</v>
      </c>
      <c r="G1014" s="302">
        <v>0</v>
      </c>
      <c r="H1014" s="302">
        <v>0</v>
      </c>
      <c r="I1014" s="302">
        <v>0</v>
      </c>
      <c r="J1014" s="302">
        <v>0</v>
      </c>
      <c r="K1014" s="302">
        <v>0</v>
      </c>
      <c r="L1014" s="302">
        <v>0</v>
      </c>
      <c r="M1014" s="302">
        <v>0</v>
      </c>
      <c r="N1014" s="1803">
        <v>129587.22</v>
      </c>
    </row>
    <row r="1015" spans="1:14" ht="13">
      <c r="A1015" s="742" t="s">
        <v>1200</v>
      </c>
      <c r="B1015" s="1801">
        <v>64395.15</v>
      </c>
      <c r="C1015" s="1789">
        <v>0</v>
      </c>
      <c r="D1015" s="302">
        <v>0</v>
      </c>
      <c r="E1015" s="302">
        <v>0</v>
      </c>
      <c r="F1015" s="302">
        <v>0</v>
      </c>
      <c r="G1015" s="302">
        <v>0</v>
      </c>
      <c r="H1015" s="302">
        <v>0</v>
      </c>
      <c r="I1015" s="302">
        <v>0</v>
      </c>
      <c r="J1015" s="302">
        <v>0</v>
      </c>
      <c r="K1015" s="352">
        <v>29311.62</v>
      </c>
      <c r="L1015" s="352">
        <v>19721.34</v>
      </c>
      <c r="M1015" s="302">
        <v>0</v>
      </c>
      <c r="N1015" s="1803">
        <v>15362.19</v>
      </c>
    </row>
    <row r="1016" spans="1:14" ht="13">
      <c r="A1016" s="742" t="s">
        <v>1734</v>
      </c>
      <c r="B1016" s="1801">
        <v>40445.53</v>
      </c>
      <c r="C1016" s="1789">
        <v>0</v>
      </c>
      <c r="D1016" s="302">
        <v>0</v>
      </c>
      <c r="E1016" s="302">
        <v>0</v>
      </c>
      <c r="F1016" s="352">
        <v>40445.53</v>
      </c>
      <c r="G1016" s="302">
        <v>0</v>
      </c>
      <c r="H1016" s="302">
        <v>0</v>
      </c>
      <c r="I1016" s="302">
        <v>0</v>
      </c>
      <c r="J1016" s="302">
        <v>0</v>
      </c>
      <c r="K1016" s="302">
        <v>0</v>
      </c>
      <c r="L1016" s="302">
        <v>0</v>
      </c>
      <c r="M1016" s="302">
        <v>0</v>
      </c>
      <c r="N1016" s="1804">
        <v>0</v>
      </c>
    </row>
    <row r="1017" spans="1:14" ht="13">
      <c r="A1017" s="742" t="s">
        <v>1243</v>
      </c>
      <c r="B1017" s="1801">
        <v>31576.74</v>
      </c>
      <c r="C1017" s="1789">
        <v>0</v>
      </c>
      <c r="D1017" s="302">
        <v>0</v>
      </c>
      <c r="E1017" s="302">
        <v>0</v>
      </c>
      <c r="F1017" s="302">
        <v>0</v>
      </c>
      <c r="G1017" s="302">
        <v>0</v>
      </c>
      <c r="H1017" s="302">
        <v>0</v>
      </c>
      <c r="I1017" s="302">
        <v>0</v>
      </c>
      <c r="J1017" s="302">
        <v>0</v>
      </c>
      <c r="K1017" s="352">
        <v>31576.74</v>
      </c>
      <c r="L1017" s="302">
        <v>0</v>
      </c>
      <c r="M1017" s="302">
        <v>0</v>
      </c>
      <c r="N1017" s="1804">
        <v>0</v>
      </c>
    </row>
    <row r="1018" spans="1:14" ht="13">
      <c r="A1018" s="742" t="s">
        <v>1735</v>
      </c>
      <c r="B1018" s="1801">
        <v>12289.79</v>
      </c>
      <c r="C1018" s="1802">
        <v>12289.79</v>
      </c>
      <c r="D1018" s="302">
        <v>0</v>
      </c>
      <c r="E1018" s="302">
        <v>0</v>
      </c>
      <c r="F1018" s="302">
        <v>0</v>
      </c>
      <c r="G1018" s="302">
        <v>0</v>
      </c>
      <c r="H1018" s="302">
        <v>0</v>
      </c>
      <c r="I1018" s="302">
        <v>0</v>
      </c>
      <c r="J1018" s="302">
        <v>0</v>
      </c>
      <c r="K1018" s="302">
        <v>0</v>
      </c>
      <c r="L1018" s="302">
        <v>0</v>
      </c>
      <c r="M1018" s="302">
        <v>0</v>
      </c>
      <c r="N1018" s="1804">
        <v>0</v>
      </c>
    </row>
    <row r="1019" spans="1:14" ht="13">
      <c r="A1019" s="742"/>
      <c r="B1019" s="553"/>
      <c r="C1019" s="1789"/>
      <c r="N1019" s="1804"/>
    </row>
    <row r="1020" spans="1:14" ht="13">
      <c r="A1020" s="742"/>
      <c r="B1020" s="553"/>
      <c r="C1020" s="1789"/>
      <c r="N1020" s="1804"/>
    </row>
    <row r="1021" spans="1:14" ht="13">
      <c r="A1021" s="742"/>
      <c r="B1021" s="553"/>
      <c r="C1021" s="1789"/>
      <c r="N1021" s="1804"/>
    </row>
    <row r="1022" spans="1:14" ht="13">
      <c r="A1022" s="742"/>
      <c r="B1022" s="553"/>
      <c r="C1022" s="1789"/>
      <c r="N1022" s="1804"/>
    </row>
    <row r="1023" spans="1:14" ht="13">
      <c r="A1023" s="742"/>
      <c r="B1023" s="553"/>
      <c r="C1023" s="1789"/>
      <c r="N1023" s="1804"/>
    </row>
    <row r="1024" spans="1:14" ht="13">
      <c r="A1024" s="742"/>
      <c r="B1024" s="553"/>
      <c r="C1024" s="1789"/>
      <c r="N1024" s="1804"/>
    </row>
    <row r="1025" spans="1:14" ht="13">
      <c r="A1025" s="742"/>
      <c r="B1025" s="553"/>
      <c r="C1025" s="1789"/>
      <c r="N1025" s="1804"/>
    </row>
    <row r="1026" spans="1:14" ht="13">
      <c r="A1026" s="742"/>
      <c r="B1026" s="553"/>
      <c r="C1026" s="1789"/>
      <c r="N1026" s="1804"/>
    </row>
    <row r="1027" spans="1:14" ht="13">
      <c r="A1027" s="742"/>
      <c r="B1027" s="553"/>
      <c r="C1027" s="1789"/>
      <c r="N1027" s="1804"/>
    </row>
    <row r="1028" spans="1:14" ht="13">
      <c r="A1028" s="742"/>
      <c r="B1028" s="553"/>
      <c r="C1028" s="1789"/>
      <c r="N1028" s="1804"/>
    </row>
    <row r="1029" spans="1:14" ht="13">
      <c r="A1029" s="742"/>
      <c r="B1029" s="553"/>
      <c r="C1029" s="1789"/>
      <c r="N1029" s="1804"/>
    </row>
    <row r="1030" spans="1:14" ht="13">
      <c r="A1030" s="742"/>
      <c r="B1030" s="553"/>
      <c r="C1030" s="1789"/>
      <c r="N1030" s="1804"/>
    </row>
    <row r="1031" spans="1:14" ht="13">
      <c r="A1031" s="420"/>
      <c r="B1031" s="1810"/>
      <c r="C1031" s="1811"/>
      <c r="D1031" s="419"/>
      <c r="E1031" s="419"/>
      <c r="F1031" s="419"/>
      <c r="G1031" s="419"/>
      <c r="H1031" s="419"/>
      <c r="I1031" s="419"/>
      <c r="J1031" s="419"/>
      <c r="K1031" s="419"/>
      <c r="L1031" s="419"/>
      <c r="M1031" s="419"/>
      <c r="N1031" s="703"/>
    </row>
    <row r="1032" spans="1:14" ht="13">
      <c r="B1032" s="553"/>
      <c r="C1032" s="1789"/>
    </row>
    <row r="1033" spans="1:14" ht="13">
      <c r="B1033" s="553"/>
      <c r="C1033" s="1789"/>
    </row>
    <row r="1034" spans="1:14" ht="13">
      <c r="B1034" s="553"/>
      <c r="C1034" s="1789"/>
    </row>
    <row r="1035" spans="1:14" ht="13">
      <c r="A1035" s="1835" t="s">
        <v>1736</v>
      </c>
      <c r="B1035" s="1813" t="s">
        <v>241</v>
      </c>
      <c r="C1035" s="1814">
        <v>45292</v>
      </c>
      <c r="D1035" s="1815">
        <v>45323</v>
      </c>
      <c r="E1035" s="1815">
        <v>45352</v>
      </c>
      <c r="F1035" s="1815">
        <v>45383</v>
      </c>
      <c r="G1035" s="1815">
        <v>45413</v>
      </c>
      <c r="H1035" s="1815">
        <v>45444</v>
      </c>
      <c r="I1035" s="1815">
        <v>45474</v>
      </c>
      <c r="J1035" s="1815">
        <v>45505</v>
      </c>
      <c r="K1035" s="1815">
        <v>45536</v>
      </c>
      <c r="L1035" s="1816">
        <v>45566</v>
      </c>
      <c r="M1035" s="1816">
        <v>45597</v>
      </c>
      <c r="N1035" s="1817">
        <v>45627</v>
      </c>
    </row>
    <row r="1036" spans="1:14" ht="13">
      <c r="A1036" s="1818" t="s">
        <v>241</v>
      </c>
      <c r="B1036" s="1819">
        <v>449446162.82999998</v>
      </c>
      <c r="C1036" s="1820">
        <v>37383021.659999996</v>
      </c>
      <c r="D1036" s="361">
        <v>35479367.560000002</v>
      </c>
      <c r="E1036" s="361">
        <v>35248670.740000002</v>
      </c>
      <c r="F1036" s="361">
        <v>35236445.950000003</v>
      </c>
      <c r="G1036" s="361">
        <v>30467255.879999999</v>
      </c>
      <c r="H1036" s="361">
        <v>29660028.93</v>
      </c>
      <c r="I1036" s="361">
        <v>46671874.329999998</v>
      </c>
      <c r="J1036" s="361">
        <v>29542845.539999999</v>
      </c>
      <c r="K1036" s="361">
        <v>40315677.229999997</v>
      </c>
      <c r="L1036" s="361">
        <v>50952810.840000004</v>
      </c>
      <c r="M1036" s="361">
        <v>37153161.93</v>
      </c>
      <c r="N1036" s="1821">
        <v>41335002.25</v>
      </c>
    </row>
    <row r="1037" spans="1:14" ht="13">
      <c r="A1037" s="1818" t="s">
        <v>604</v>
      </c>
      <c r="B1037" s="1819">
        <v>73196298.469999999</v>
      </c>
      <c r="C1037" s="1820">
        <v>3303652.49</v>
      </c>
      <c r="D1037" s="361">
        <v>8480475.5</v>
      </c>
      <c r="E1037" s="361">
        <v>9332962.7899999991</v>
      </c>
      <c r="F1037" s="361">
        <v>4773119.63</v>
      </c>
      <c r="G1037" s="361">
        <v>6222389.4500000002</v>
      </c>
      <c r="H1037" s="361">
        <v>5644689.8200000003</v>
      </c>
      <c r="I1037" s="361">
        <v>8928079.8000000007</v>
      </c>
      <c r="J1037" s="361">
        <v>3934209.04</v>
      </c>
      <c r="K1037" s="361">
        <v>2462199.6</v>
      </c>
      <c r="L1037" s="361">
        <v>5177845.9000000004</v>
      </c>
      <c r="M1037" s="361">
        <v>9481174.5899999999</v>
      </c>
      <c r="N1037" s="1821">
        <v>5455499.8600000003</v>
      </c>
    </row>
    <row r="1038" spans="1:14" ht="13">
      <c r="A1038" s="1818" t="s">
        <v>684</v>
      </c>
      <c r="B1038" s="1819">
        <v>58813717.630000003</v>
      </c>
      <c r="C1038" s="1820">
        <v>5719367.5</v>
      </c>
      <c r="D1038" s="361">
        <v>6204533.1299999999</v>
      </c>
      <c r="E1038" s="361">
        <v>5071565.4000000004</v>
      </c>
      <c r="F1038" s="361">
        <v>7120653.9299999997</v>
      </c>
      <c r="G1038" s="361">
        <v>4576816.55</v>
      </c>
      <c r="H1038" s="361">
        <v>3492987.83</v>
      </c>
      <c r="I1038" s="361">
        <v>6598475.25</v>
      </c>
      <c r="J1038" s="361">
        <v>4374336.3600000003</v>
      </c>
      <c r="K1038" s="361">
        <v>6994195.3600000003</v>
      </c>
      <c r="L1038" s="361">
        <v>4394085.6500000004</v>
      </c>
      <c r="M1038" s="361">
        <v>2567739.0499999998</v>
      </c>
      <c r="N1038" s="1821">
        <v>1698961.63</v>
      </c>
    </row>
    <row r="1039" spans="1:14" ht="13">
      <c r="A1039" s="1818" t="s">
        <v>1609</v>
      </c>
      <c r="B1039" s="1819">
        <v>34242159.25</v>
      </c>
      <c r="C1039" s="1820">
        <v>3260338.51</v>
      </c>
      <c r="D1039" s="361">
        <v>2968505.52</v>
      </c>
      <c r="E1039" s="361">
        <v>1584338.16</v>
      </c>
      <c r="F1039" s="361">
        <v>3577781.99</v>
      </c>
      <c r="G1039" s="361">
        <v>2049066.37</v>
      </c>
      <c r="H1039" s="361">
        <v>1848158.88</v>
      </c>
      <c r="I1039" s="361">
        <v>2472290.88</v>
      </c>
      <c r="J1039" s="361">
        <v>1646218.59</v>
      </c>
      <c r="K1039" s="361">
        <v>3253154.58</v>
      </c>
      <c r="L1039" s="361">
        <v>5349936.26</v>
      </c>
      <c r="M1039" s="361">
        <v>3488647.55</v>
      </c>
      <c r="N1039" s="1821">
        <v>2743721.96</v>
      </c>
    </row>
    <row r="1040" spans="1:14" ht="13">
      <c r="A1040" s="1818" t="s">
        <v>715</v>
      </c>
      <c r="B1040" s="1819">
        <v>21872811.16</v>
      </c>
      <c r="C1040" s="1820">
        <v>1809807.63</v>
      </c>
      <c r="D1040" s="361">
        <v>1473055.51</v>
      </c>
      <c r="E1040" s="361">
        <v>1623645.06</v>
      </c>
      <c r="F1040" s="361">
        <v>1359116.12</v>
      </c>
      <c r="G1040" s="361">
        <v>593910.96</v>
      </c>
      <c r="H1040" s="361">
        <v>1561439.99</v>
      </c>
      <c r="I1040" s="361">
        <v>2075707.62</v>
      </c>
      <c r="J1040" s="361">
        <v>2221116.5099999998</v>
      </c>
      <c r="K1040" s="361">
        <v>2638006.94</v>
      </c>
      <c r="L1040" s="361">
        <v>1607691.85</v>
      </c>
      <c r="M1040" s="361">
        <v>1553875.09</v>
      </c>
      <c r="N1040" s="1821">
        <v>3355437.87</v>
      </c>
    </row>
    <row r="1041" spans="1:14" ht="13">
      <c r="A1041" s="1818" t="s">
        <v>103</v>
      </c>
      <c r="B1041" s="1819">
        <v>19632030.050000001</v>
      </c>
      <c r="C1041" s="1822">
        <v>0</v>
      </c>
      <c r="D1041" s="365">
        <v>0</v>
      </c>
      <c r="E1041" s="365">
        <v>0</v>
      </c>
      <c r="F1041" s="361">
        <v>358637.12</v>
      </c>
      <c r="G1041" s="361">
        <v>667494</v>
      </c>
      <c r="H1041" s="361">
        <v>1053119.2</v>
      </c>
      <c r="I1041" s="361">
        <v>991483.28</v>
      </c>
      <c r="J1041" s="361">
        <v>2351545.6</v>
      </c>
      <c r="K1041" s="361">
        <v>850764</v>
      </c>
      <c r="L1041" s="361">
        <v>3935286.95</v>
      </c>
      <c r="M1041" s="361">
        <v>3753699.61</v>
      </c>
      <c r="N1041" s="1821">
        <v>5670000.2999999998</v>
      </c>
    </row>
    <row r="1042" spans="1:14" ht="13">
      <c r="A1042" s="1818" t="s">
        <v>540</v>
      </c>
      <c r="B1042" s="1819">
        <v>19270759.199999999</v>
      </c>
      <c r="C1042" s="1820">
        <v>1004513.89</v>
      </c>
      <c r="D1042" s="361">
        <v>1914531.71</v>
      </c>
      <c r="E1042" s="361">
        <v>1174696.3</v>
      </c>
      <c r="F1042" s="361">
        <v>1511971.44</v>
      </c>
      <c r="G1042" s="361">
        <v>1045953.58</v>
      </c>
      <c r="H1042" s="361">
        <v>1088634.1100000001</v>
      </c>
      <c r="I1042" s="361">
        <v>1659411.42</v>
      </c>
      <c r="J1042" s="361">
        <v>1151573.25</v>
      </c>
      <c r="K1042" s="361">
        <v>1870251.33</v>
      </c>
      <c r="L1042" s="361">
        <v>3053727.54</v>
      </c>
      <c r="M1042" s="361">
        <v>1234100.6599999999</v>
      </c>
      <c r="N1042" s="1821">
        <v>2561393.9700000002</v>
      </c>
    </row>
    <row r="1043" spans="1:14" ht="13">
      <c r="A1043" s="1818" t="s">
        <v>543</v>
      </c>
      <c r="B1043" s="1819">
        <v>18856783.440000001</v>
      </c>
      <c r="C1043" s="1820">
        <v>1506555.06</v>
      </c>
      <c r="D1043" s="361">
        <v>1467024.6</v>
      </c>
      <c r="E1043" s="361">
        <v>1114070.6000000001</v>
      </c>
      <c r="F1043" s="361">
        <v>1540365.53</v>
      </c>
      <c r="G1043" s="361">
        <v>1037347.68</v>
      </c>
      <c r="H1043" s="361">
        <v>1027180.56</v>
      </c>
      <c r="I1043" s="361">
        <v>1226022.3799999999</v>
      </c>
      <c r="J1043" s="361">
        <v>593465.18000000005</v>
      </c>
      <c r="K1043" s="361">
        <v>2747434.35</v>
      </c>
      <c r="L1043" s="361">
        <v>3963754.22</v>
      </c>
      <c r="M1043" s="361">
        <v>1980181.24</v>
      </c>
      <c r="N1043" s="1821">
        <v>653382.04</v>
      </c>
    </row>
    <row r="1044" spans="1:14" ht="13">
      <c r="A1044" s="1818" t="s">
        <v>1682</v>
      </c>
      <c r="B1044" s="1819">
        <v>18151865.390000001</v>
      </c>
      <c r="C1044" s="1820">
        <v>1255840.05</v>
      </c>
      <c r="D1044" s="361">
        <v>1509609.52</v>
      </c>
      <c r="E1044" s="361">
        <v>1411941.17</v>
      </c>
      <c r="F1044" s="361">
        <v>1292215.6000000001</v>
      </c>
      <c r="G1044" s="361">
        <v>996500.35</v>
      </c>
      <c r="H1044" s="361">
        <v>1185654.72</v>
      </c>
      <c r="I1044" s="361">
        <v>1879226.47</v>
      </c>
      <c r="J1044" s="361">
        <v>905736.36</v>
      </c>
      <c r="K1044" s="361">
        <v>2224287.59</v>
      </c>
      <c r="L1044" s="361">
        <v>1675012.46</v>
      </c>
      <c r="M1044" s="361">
        <v>1421602.71</v>
      </c>
      <c r="N1044" s="1821">
        <v>2394238.38</v>
      </c>
    </row>
    <row r="1045" spans="1:14" ht="13">
      <c r="A1045" s="1818" t="s">
        <v>702</v>
      </c>
      <c r="B1045" s="1819">
        <v>17333935.890000001</v>
      </c>
      <c r="C1045" s="1820">
        <v>775800.11</v>
      </c>
      <c r="D1045" s="361">
        <v>602642.82999999996</v>
      </c>
      <c r="E1045" s="361">
        <v>1049339.08</v>
      </c>
      <c r="F1045" s="361">
        <v>1299521.1100000001</v>
      </c>
      <c r="G1045" s="361">
        <v>896703.07</v>
      </c>
      <c r="H1045" s="361">
        <v>1845542.1</v>
      </c>
      <c r="I1045" s="361">
        <v>3227120.71</v>
      </c>
      <c r="J1045" s="361">
        <v>1502720.2</v>
      </c>
      <c r="K1045" s="361">
        <v>2728993.71</v>
      </c>
      <c r="L1045" s="361">
        <v>1354330.45</v>
      </c>
      <c r="M1045" s="361">
        <v>1606929.27</v>
      </c>
      <c r="N1045" s="1821">
        <v>444293.24</v>
      </c>
    </row>
    <row r="1046" spans="1:14" ht="13">
      <c r="A1046" s="1818" t="s">
        <v>705</v>
      </c>
      <c r="B1046" s="1819">
        <v>15227843</v>
      </c>
      <c r="C1046" s="1820">
        <v>1570641.24</v>
      </c>
      <c r="D1046" s="361">
        <v>1400968.98</v>
      </c>
      <c r="E1046" s="361">
        <v>1039724.74</v>
      </c>
      <c r="F1046" s="361">
        <v>1314941.8400000001</v>
      </c>
      <c r="G1046" s="361">
        <v>962283.15</v>
      </c>
      <c r="H1046" s="361">
        <v>845350.29</v>
      </c>
      <c r="I1046" s="361">
        <v>993322.32</v>
      </c>
      <c r="J1046" s="361">
        <v>1325245.6599999999</v>
      </c>
      <c r="K1046" s="361">
        <v>1616143.33</v>
      </c>
      <c r="L1046" s="361">
        <v>2388203.13</v>
      </c>
      <c r="M1046" s="361">
        <v>595893.34</v>
      </c>
      <c r="N1046" s="1821">
        <v>1175124.98</v>
      </c>
    </row>
    <row r="1047" spans="1:14" ht="13">
      <c r="A1047" s="1818" t="s">
        <v>121</v>
      </c>
      <c r="B1047" s="1819">
        <v>14154163.529999999</v>
      </c>
      <c r="C1047" s="1820">
        <v>907187.81</v>
      </c>
      <c r="D1047" s="361">
        <v>1022630</v>
      </c>
      <c r="E1047" s="361">
        <v>1931547.28</v>
      </c>
      <c r="F1047" s="361">
        <v>648854.56000000006</v>
      </c>
      <c r="G1047" s="361">
        <v>970049.38</v>
      </c>
      <c r="H1047" s="361">
        <v>1017673.68</v>
      </c>
      <c r="I1047" s="361">
        <v>1033643.29</v>
      </c>
      <c r="J1047" s="361">
        <v>1959426.12</v>
      </c>
      <c r="K1047" s="361">
        <v>1338211.71</v>
      </c>
      <c r="L1047" s="361">
        <v>1422102.82</v>
      </c>
      <c r="M1047" s="361">
        <v>1561743.52</v>
      </c>
      <c r="N1047" s="1821">
        <v>341093.36</v>
      </c>
    </row>
    <row r="1048" spans="1:14" ht="13">
      <c r="A1048" s="1818" t="s">
        <v>65</v>
      </c>
      <c r="B1048" s="1819">
        <v>13395687.18</v>
      </c>
      <c r="C1048" s="1820">
        <v>1619054.63</v>
      </c>
      <c r="D1048" s="361">
        <v>499675.99</v>
      </c>
      <c r="E1048" s="361">
        <v>633578.85</v>
      </c>
      <c r="F1048" s="361">
        <v>1419591.26</v>
      </c>
      <c r="G1048" s="361">
        <v>927780.34</v>
      </c>
      <c r="H1048" s="361">
        <v>1193080.05</v>
      </c>
      <c r="I1048" s="361">
        <v>3226023.51</v>
      </c>
      <c r="J1048" s="365">
        <v>0</v>
      </c>
      <c r="K1048" s="361">
        <v>393776.97</v>
      </c>
      <c r="L1048" s="361">
        <v>2735282.92</v>
      </c>
      <c r="M1048" s="361">
        <v>747842.66</v>
      </c>
      <c r="N1048" s="1823">
        <v>0</v>
      </c>
    </row>
    <row r="1049" spans="1:14" ht="13">
      <c r="A1049" s="1818" t="s">
        <v>736</v>
      </c>
      <c r="B1049" s="1819">
        <v>10153830.92</v>
      </c>
      <c r="C1049" s="1820">
        <v>1120774.74</v>
      </c>
      <c r="D1049" s="361">
        <v>898345.92</v>
      </c>
      <c r="E1049" s="361">
        <v>383752.02</v>
      </c>
      <c r="F1049" s="361">
        <v>842345.6</v>
      </c>
      <c r="G1049" s="361">
        <v>864969.77</v>
      </c>
      <c r="H1049" s="361">
        <v>687165.76</v>
      </c>
      <c r="I1049" s="361">
        <v>1012004.38</v>
      </c>
      <c r="J1049" s="361">
        <v>682081.6</v>
      </c>
      <c r="K1049" s="361">
        <v>921017.06</v>
      </c>
      <c r="L1049" s="361">
        <v>1322897.04</v>
      </c>
      <c r="M1049" s="361">
        <v>260415.35</v>
      </c>
      <c r="N1049" s="1821">
        <v>1158061.6499999999</v>
      </c>
    </row>
    <row r="1050" spans="1:14" ht="13">
      <c r="A1050" s="1818" t="s">
        <v>1737</v>
      </c>
      <c r="B1050" s="1819">
        <v>8110778.7599999998</v>
      </c>
      <c r="C1050" s="1820">
        <v>3008620.7</v>
      </c>
      <c r="D1050" s="361">
        <v>1373851.73</v>
      </c>
      <c r="E1050" s="361">
        <v>3503450.34</v>
      </c>
      <c r="F1050" s="361">
        <v>224856</v>
      </c>
      <c r="G1050" s="365">
        <v>0</v>
      </c>
      <c r="H1050" s="365">
        <v>0</v>
      </c>
      <c r="I1050" s="365">
        <v>0</v>
      </c>
      <c r="J1050" s="365">
        <v>0</v>
      </c>
      <c r="K1050" s="365">
        <v>0</v>
      </c>
      <c r="L1050" s="365">
        <v>0</v>
      </c>
      <c r="M1050" s="365">
        <v>0</v>
      </c>
      <c r="N1050" s="1823">
        <v>0</v>
      </c>
    </row>
    <row r="1051" spans="1:14" ht="13">
      <c r="A1051" s="1818" t="s">
        <v>541</v>
      </c>
      <c r="B1051" s="1819">
        <v>7276422.5199999996</v>
      </c>
      <c r="C1051" s="1820">
        <v>449017.57</v>
      </c>
      <c r="D1051" s="361">
        <v>308375.34999999998</v>
      </c>
      <c r="E1051" s="361">
        <v>663943.61</v>
      </c>
      <c r="F1051" s="361">
        <v>458017.49</v>
      </c>
      <c r="G1051" s="361">
        <v>649954.85</v>
      </c>
      <c r="H1051" s="361">
        <v>568448.32999999996</v>
      </c>
      <c r="I1051" s="361">
        <v>259383.73</v>
      </c>
      <c r="J1051" s="361">
        <v>662838.29</v>
      </c>
      <c r="K1051" s="361">
        <v>596956.88</v>
      </c>
      <c r="L1051" s="361">
        <v>1097012.68</v>
      </c>
      <c r="M1051" s="361">
        <v>115649.53</v>
      </c>
      <c r="N1051" s="1821">
        <v>1446824.22</v>
      </c>
    </row>
    <row r="1052" spans="1:14" ht="13">
      <c r="A1052" s="1818" t="s">
        <v>742</v>
      </c>
      <c r="B1052" s="1819">
        <v>6005742.5199999996</v>
      </c>
      <c r="C1052" s="1820">
        <v>489078.74</v>
      </c>
      <c r="D1052" s="361">
        <v>458879.49</v>
      </c>
      <c r="E1052" s="361">
        <v>529079.09</v>
      </c>
      <c r="F1052" s="361">
        <v>483775.44</v>
      </c>
      <c r="G1052" s="361">
        <v>479279.08</v>
      </c>
      <c r="H1052" s="361">
        <v>446746.2</v>
      </c>
      <c r="I1052" s="361">
        <v>836005.22</v>
      </c>
      <c r="J1052" s="361">
        <v>391401.01</v>
      </c>
      <c r="K1052" s="361">
        <v>997156.48</v>
      </c>
      <c r="L1052" s="361">
        <v>536099.83999999997</v>
      </c>
      <c r="M1052" s="361">
        <v>234461.43</v>
      </c>
      <c r="N1052" s="1821">
        <v>123780.5</v>
      </c>
    </row>
    <row r="1053" spans="1:14" ht="13">
      <c r="A1053" s="1818" t="s">
        <v>735</v>
      </c>
      <c r="B1053" s="1819">
        <v>5788852.6500000004</v>
      </c>
      <c r="C1053" s="1820">
        <v>255274.07</v>
      </c>
      <c r="D1053" s="361">
        <v>39595.589999999997</v>
      </c>
      <c r="E1053" s="361">
        <v>370762.55</v>
      </c>
      <c r="F1053" s="361">
        <v>425831.74</v>
      </c>
      <c r="G1053" s="361">
        <v>647428.82999999996</v>
      </c>
      <c r="H1053" s="361">
        <v>476594.84</v>
      </c>
      <c r="I1053" s="361">
        <v>689899.51</v>
      </c>
      <c r="J1053" s="361">
        <v>878022.19</v>
      </c>
      <c r="K1053" s="361">
        <v>663933.04</v>
      </c>
      <c r="L1053" s="361">
        <v>487909.19</v>
      </c>
      <c r="M1053" s="361">
        <v>568187.01</v>
      </c>
      <c r="N1053" s="1821">
        <v>285414.09999999998</v>
      </c>
    </row>
    <row r="1054" spans="1:14" ht="13">
      <c r="A1054" s="1818" t="s">
        <v>788</v>
      </c>
      <c r="B1054" s="1819">
        <v>5742450.1100000003</v>
      </c>
      <c r="C1054" s="1820">
        <v>214329.39</v>
      </c>
      <c r="D1054" s="361">
        <v>148470.91</v>
      </c>
      <c r="E1054" s="361">
        <v>372304.05</v>
      </c>
      <c r="F1054" s="361">
        <v>296098.89</v>
      </c>
      <c r="G1054" s="361">
        <v>581831.39</v>
      </c>
      <c r="H1054" s="361">
        <v>364510.35</v>
      </c>
      <c r="I1054" s="361">
        <v>335668.85</v>
      </c>
      <c r="J1054" s="361">
        <v>445219.77</v>
      </c>
      <c r="K1054" s="361">
        <v>699856.43</v>
      </c>
      <c r="L1054" s="361">
        <v>872032.11</v>
      </c>
      <c r="M1054" s="361">
        <v>833612.77</v>
      </c>
      <c r="N1054" s="1821">
        <v>578515.21</v>
      </c>
    </row>
    <row r="1055" spans="1:14" ht="13">
      <c r="A1055" s="1818" t="s">
        <v>668</v>
      </c>
      <c r="B1055" s="1819">
        <v>5247695.7699999996</v>
      </c>
      <c r="C1055" s="1820">
        <v>143528.98000000001</v>
      </c>
      <c r="D1055" s="361">
        <v>448421</v>
      </c>
      <c r="E1055" s="361">
        <v>265585.98</v>
      </c>
      <c r="F1055" s="361">
        <v>409231.24</v>
      </c>
      <c r="G1055" s="361">
        <v>436058.33</v>
      </c>
      <c r="H1055" s="361">
        <v>437463.42</v>
      </c>
      <c r="I1055" s="361">
        <v>476391.26</v>
      </c>
      <c r="J1055" s="361">
        <v>362457.01</v>
      </c>
      <c r="K1055" s="361">
        <v>690590.18</v>
      </c>
      <c r="L1055" s="361">
        <v>1028051.74</v>
      </c>
      <c r="M1055" s="361">
        <v>330989.90000000002</v>
      </c>
      <c r="N1055" s="1821">
        <v>218926.72</v>
      </c>
    </row>
    <row r="1056" spans="1:14" ht="13">
      <c r="A1056" s="1818" t="s">
        <v>622</v>
      </c>
      <c r="B1056" s="1819">
        <v>5071116.78</v>
      </c>
      <c r="C1056" s="1820">
        <v>350618.2</v>
      </c>
      <c r="D1056" s="361">
        <v>519190.71</v>
      </c>
      <c r="E1056" s="361">
        <v>225571.3</v>
      </c>
      <c r="F1056" s="361">
        <v>263007.39</v>
      </c>
      <c r="G1056" s="361">
        <v>385707.76</v>
      </c>
      <c r="H1056" s="361">
        <v>393856.92</v>
      </c>
      <c r="I1056" s="361">
        <v>352430.51</v>
      </c>
      <c r="J1056" s="361">
        <v>444458.49</v>
      </c>
      <c r="K1056" s="361">
        <v>496733.13</v>
      </c>
      <c r="L1056" s="361">
        <v>693476</v>
      </c>
      <c r="M1056" s="361">
        <v>615657.71</v>
      </c>
      <c r="N1056" s="1821">
        <v>330408.65000000002</v>
      </c>
    </row>
    <row r="1057" spans="1:14" ht="13">
      <c r="A1057" s="1818" t="s">
        <v>656</v>
      </c>
      <c r="B1057" s="1819">
        <v>4949321.8</v>
      </c>
      <c r="C1057" s="1820">
        <v>40803.68</v>
      </c>
      <c r="D1057" s="361">
        <v>117091.22</v>
      </c>
      <c r="E1057" s="361">
        <v>30205.59</v>
      </c>
      <c r="F1057" s="361">
        <v>221121.15</v>
      </c>
      <c r="G1057" s="361">
        <v>486345.79</v>
      </c>
      <c r="H1057" s="361">
        <v>467439.55</v>
      </c>
      <c r="I1057" s="361">
        <v>469310.62</v>
      </c>
      <c r="J1057" s="361">
        <v>393009.54</v>
      </c>
      <c r="K1057" s="361">
        <v>513161.91</v>
      </c>
      <c r="L1057" s="361">
        <v>846206.4</v>
      </c>
      <c r="M1057" s="361">
        <v>266184.53999999998</v>
      </c>
      <c r="N1057" s="1821">
        <v>1098441.8</v>
      </c>
    </row>
    <row r="1058" spans="1:14" ht="13">
      <c r="A1058" s="1818" t="s">
        <v>1003</v>
      </c>
      <c r="B1058" s="1819">
        <v>4445259.32</v>
      </c>
      <c r="C1058" s="1820">
        <v>4445259.32</v>
      </c>
      <c r="D1058" s="365">
        <v>0</v>
      </c>
      <c r="E1058" s="365">
        <v>0</v>
      </c>
      <c r="F1058" s="365">
        <v>0</v>
      </c>
      <c r="G1058" s="365">
        <v>0</v>
      </c>
      <c r="H1058" s="365">
        <v>0</v>
      </c>
      <c r="I1058" s="365">
        <v>0</v>
      </c>
      <c r="J1058" s="365">
        <v>0</v>
      </c>
      <c r="K1058" s="365">
        <v>0</v>
      </c>
      <c r="L1058" s="365">
        <v>0</v>
      </c>
      <c r="M1058" s="365">
        <v>0</v>
      </c>
      <c r="N1058" s="1823">
        <v>0</v>
      </c>
    </row>
    <row r="1059" spans="1:14" ht="13">
      <c r="A1059" s="1818" t="s">
        <v>806</v>
      </c>
      <c r="B1059" s="1819">
        <v>4117812.4</v>
      </c>
      <c r="C1059" s="1822">
        <v>0</v>
      </c>
      <c r="D1059" s="361">
        <v>542559.5</v>
      </c>
      <c r="E1059" s="365">
        <v>0</v>
      </c>
      <c r="F1059" s="361">
        <v>322124.78999999998</v>
      </c>
      <c r="G1059" s="365">
        <v>0</v>
      </c>
      <c r="H1059" s="361">
        <v>1138514.8799999999</v>
      </c>
      <c r="I1059" s="361">
        <v>590950.41</v>
      </c>
      <c r="J1059" s="365">
        <v>0</v>
      </c>
      <c r="K1059" s="361">
        <v>1017239.67</v>
      </c>
      <c r="L1059" s="365">
        <v>0</v>
      </c>
      <c r="M1059" s="365">
        <v>0</v>
      </c>
      <c r="N1059" s="1821">
        <v>506423.14</v>
      </c>
    </row>
    <row r="1060" spans="1:14" ht="13">
      <c r="A1060" s="1818" t="s">
        <v>793</v>
      </c>
      <c r="B1060" s="1819">
        <v>3987774.25</v>
      </c>
      <c r="C1060" s="1822">
        <v>0</v>
      </c>
      <c r="D1060" s="361">
        <v>269696.67</v>
      </c>
      <c r="E1060" s="365">
        <v>0</v>
      </c>
      <c r="F1060" s="361">
        <v>185020.2</v>
      </c>
      <c r="G1060" s="361">
        <v>372073.14</v>
      </c>
      <c r="H1060" s="361">
        <v>185873.44</v>
      </c>
      <c r="I1060" s="361">
        <v>824446.91</v>
      </c>
      <c r="J1060" s="361">
        <v>150118</v>
      </c>
      <c r="K1060" s="361">
        <v>269667.45</v>
      </c>
      <c r="L1060" s="361">
        <v>415402.84</v>
      </c>
      <c r="M1060" s="365">
        <v>0</v>
      </c>
      <c r="N1060" s="1821">
        <v>1315475.6000000001</v>
      </c>
    </row>
    <row r="1061" spans="1:14" ht="13">
      <c r="A1061" s="1818" t="s">
        <v>105</v>
      </c>
      <c r="B1061" s="1819">
        <v>3785323.64</v>
      </c>
      <c r="C1061" s="1820">
        <v>221719.69</v>
      </c>
      <c r="D1061" s="361">
        <v>143978.51999999999</v>
      </c>
      <c r="E1061" s="361">
        <v>155200.71</v>
      </c>
      <c r="F1061" s="361">
        <v>194984.21</v>
      </c>
      <c r="G1061" s="361">
        <v>277576.09999999998</v>
      </c>
      <c r="H1061" s="361">
        <v>266203.90999999997</v>
      </c>
      <c r="I1061" s="361">
        <v>546186.09</v>
      </c>
      <c r="J1061" s="361">
        <v>326256.53000000003</v>
      </c>
      <c r="K1061" s="361">
        <v>161583.23000000001</v>
      </c>
      <c r="L1061" s="361">
        <v>750570.78</v>
      </c>
      <c r="M1061" s="361">
        <v>568070</v>
      </c>
      <c r="N1061" s="1821">
        <v>172993.86</v>
      </c>
    </row>
    <row r="1062" spans="1:14" ht="13">
      <c r="A1062" s="1818" t="s">
        <v>1555</v>
      </c>
      <c r="B1062" s="1819">
        <v>3241198.65</v>
      </c>
      <c r="C1062" s="1820">
        <v>396895.67</v>
      </c>
      <c r="D1062" s="361">
        <v>273350.95</v>
      </c>
      <c r="E1062" s="361">
        <v>567657.04</v>
      </c>
      <c r="F1062" s="361">
        <v>629582.32999999996</v>
      </c>
      <c r="G1062" s="361">
        <v>432757.78</v>
      </c>
      <c r="H1062" s="361">
        <v>81322.03</v>
      </c>
      <c r="I1062" s="361">
        <v>299291.3</v>
      </c>
      <c r="J1062" s="361">
        <v>158610.12</v>
      </c>
      <c r="K1062" s="361">
        <v>168018.87</v>
      </c>
      <c r="L1062" s="361">
        <v>122634.96</v>
      </c>
      <c r="M1062" s="365">
        <v>0</v>
      </c>
      <c r="N1062" s="1821">
        <v>111077.6</v>
      </c>
    </row>
    <row r="1063" spans="1:14" ht="13">
      <c r="A1063" s="1818" t="s">
        <v>792</v>
      </c>
      <c r="B1063" s="1819">
        <v>3235861.62</v>
      </c>
      <c r="C1063" s="1820">
        <v>1561026.36</v>
      </c>
      <c r="D1063" s="361">
        <v>76740</v>
      </c>
      <c r="E1063" s="365">
        <v>0</v>
      </c>
      <c r="F1063" s="365">
        <v>0</v>
      </c>
      <c r="G1063" s="361">
        <v>580290.48</v>
      </c>
      <c r="H1063" s="365">
        <v>0</v>
      </c>
      <c r="I1063" s="361">
        <v>791244.78</v>
      </c>
      <c r="J1063" s="365">
        <v>0</v>
      </c>
      <c r="K1063" s="365">
        <v>0</v>
      </c>
      <c r="L1063" s="365">
        <v>0</v>
      </c>
      <c r="M1063" s="361">
        <v>226560</v>
      </c>
      <c r="N1063" s="1823">
        <v>0</v>
      </c>
    </row>
    <row r="1064" spans="1:14" ht="13">
      <c r="A1064" s="1818" t="s">
        <v>781</v>
      </c>
      <c r="B1064" s="1819">
        <v>2924526.41</v>
      </c>
      <c r="C1064" s="1820">
        <v>113958.58</v>
      </c>
      <c r="D1064" s="361">
        <v>226047.11</v>
      </c>
      <c r="E1064" s="361">
        <v>333940.77</v>
      </c>
      <c r="F1064" s="361">
        <v>230143.5</v>
      </c>
      <c r="G1064" s="361">
        <v>216226.71</v>
      </c>
      <c r="H1064" s="365">
        <v>0</v>
      </c>
      <c r="I1064" s="361">
        <v>422656.38</v>
      </c>
      <c r="J1064" s="361">
        <v>141517.99</v>
      </c>
      <c r="K1064" s="361">
        <v>578566.86</v>
      </c>
      <c r="L1064" s="361">
        <v>218644.74</v>
      </c>
      <c r="M1064" s="361">
        <v>171752.85</v>
      </c>
      <c r="N1064" s="1821">
        <v>271070.93</v>
      </c>
    </row>
    <row r="1065" spans="1:14" ht="13">
      <c r="A1065" s="1818" t="s">
        <v>1570</v>
      </c>
      <c r="B1065" s="1819">
        <v>2659159.27</v>
      </c>
      <c r="C1065" s="1822">
        <v>0</v>
      </c>
      <c r="D1065" s="361">
        <v>172698.5</v>
      </c>
      <c r="E1065" s="361">
        <v>139590.48000000001</v>
      </c>
      <c r="F1065" s="361">
        <v>275162.21999999997</v>
      </c>
      <c r="G1065" s="361">
        <v>291755.23</v>
      </c>
      <c r="H1065" s="361">
        <v>276646.09999999998</v>
      </c>
      <c r="I1065" s="361">
        <v>474608.48</v>
      </c>
      <c r="J1065" s="361">
        <v>-33723.46</v>
      </c>
      <c r="K1065" s="361">
        <v>268140</v>
      </c>
      <c r="L1065" s="361">
        <v>329273.40000000002</v>
      </c>
      <c r="M1065" s="361">
        <v>66582</v>
      </c>
      <c r="N1065" s="1821">
        <v>398426.33</v>
      </c>
    </row>
    <row r="1066" spans="1:14" ht="13">
      <c r="A1066" s="1818" t="s">
        <v>620</v>
      </c>
      <c r="B1066" s="1819">
        <v>2313758.89</v>
      </c>
      <c r="C1066" s="1822">
        <v>0</v>
      </c>
      <c r="D1066" s="365">
        <v>0</v>
      </c>
      <c r="E1066" s="365">
        <v>0</v>
      </c>
      <c r="F1066" s="361">
        <v>105028.02</v>
      </c>
      <c r="G1066" s="361">
        <v>140206.39000000001</v>
      </c>
      <c r="H1066" s="361">
        <v>372242.38</v>
      </c>
      <c r="I1066" s="361">
        <v>262279.18</v>
      </c>
      <c r="J1066" s="361">
        <v>139731.35999999999</v>
      </c>
      <c r="K1066" s="361">
        <v>263643.90999999997</v>
      </c>
      <c r="L1066" s="361">
        <v>429747.68</v>
      </c>
      <c r="M1066" s="361">
        <v>139168.39000000001</v>
      </c>
      <c r="N1066" s="1821">
        <v>461711.59</v>
      </c>
    </row>
    <row r="1067" spans="1:14" ht="13">
      <c r="A1067" s="1818" t="s">
        <v>767</v>
      </c>
      <c r="B1067" s="1819">
        <v>2242434.81</v>
      </c>
      <c r="C1067" s="1820">
        <v>56643.51</v>
      </c>
      <c r="D1067" s="361">
        <v>301454.06</v>
      </c>
      <c r="E1067" s="361">
        <v>151603.34</v>
      </c>
      <c r="F1067" s="361">
        <v>177925.62</v>
      </c>
      <c r="G1067" s="361">
        <v>142680.75</v>
      </c>
      <c r="H1067" s="361">
        <v>78866.539999999994</v>
      </c>
      <c r="I1067" s="361">
        <v>274405.53999999998</v>
      </c>
      <c r="J1067" s="361">
        <v>231041.02</v>
      </c>
      <c r="K1067" s="361">
        <v>104586.46</v>
      </c>
      <c r="L1067" s="361">
        <v>382938.23</v>
      </c>
      <c r="M1067" s="361">
        <v>309571.03999999998</v>
      </c>
      <c r="N1067" s="1821">
        <v>30718.7</v>
      </c>
    </row>
    <row r="1068" spans="1:14" ht="13">
      <c r="A1068" s="1818" t="s">
        <v>784</v>
      </c>
      <c r="B1068" s="1819">
        <v>2236837.12</v>
      </c>
      <c r="C1068" s="1820">
        <v>14996.56</v>
      </c>
      <c r="D1068" s="361">
        <v>191560.41</v>
      </c>
      <c r="E1068" s="361">
        <v>153828.10999999999</v>
      </c>
      <c r="F1068" s="361">
        <v>244836.34</v>
      </c>
      <c r="G1068" s="365">
        <v>0</v>
      </c>
      <c r="H1068" s="361">
        <v>115893.89</v>
      </c>
      <c r="I1068" s="361">
        <v>326342.15000000002</v>
      </c>
      <c r="J1068" s="361">
        <v>225336.38</v>
      </c>
      <c r="K1068" s="361">
        <v>278061.17</v>
      </c>
      <c r="L1068" s="361">
        <v>265461.2</v>
      </c>
      <c r="M1068" s="361">
        <v>156215.07999999999</v>
      </c>
      <c r="N1068" s="1821">
        <v>264305.84000000003</v>
      </c>
    </row>
    <row r="1069" spans="1:14" ht="13">
      <c r="A1069" s="1818" t="s">
        <v>770</v>
      </c>
      <c r="B1069" s="1819">
        <v>2054473.81</v>
      </c>
      <c r="C1069" s="1820">
        <v>62654.8</v>
      </c>
      <c r="D1069" s="365">
        <v>0</v>
      </c>
      <c r="E1069" s="361">
        <v>104885.2</v>
      </c>
      <c r="F1069" s="361">
        <v>108090.16</v>
      </c>
      <c r="G1069" s="361">
        <v>298458.95</v>
      </c>
      <c r="H1069" s="361">
        <v>114522.25</v>
      </c>
      <c r="I1069" s="361">
        <v>245271.99</v>
      </c>
      <c r="J1069" s="361">
        <v>186292.91</v>
      </c>
      <c r="K1069" s="361">
        <v>450378.57</v>
      </c>
      <c r="L1069" s="361">
        <v>254583.47</v>
      </c>
      <c r="M1069" s="365">
        <v>0</v>
      </c>
      <c r="N1069" s="1821">
        <v>229335.5</v>
      </c>
    </row>
    <row r="1070" spans="1:14" ht="13">
      <c r="A1070" s="1818" t="s">
        <v>807</v>
      </c>
      <c r="B1070" s="1819">
        <v>1996411.57</v>
      </c>
      <c r="C1070" s="1822">
        <v>0</v>
      </c>
      <c r="D1070" s="365">
        <v>0</v>
      </c>
      <c r="E1070" s="365">
        <v>0</v>
      </c>
      <c r="F1070" s="361">
        <v>187000.83</v>
      </c>
      <c r="G1070" s="361">
        <v>15638.02</v>
      </c>
      <c r="H1070" s="361">
        <v>59095.040000000001</v>
      </c>
      <c r="I1070" s="361">
        <v>168721.49</v>
      </c>
      <c r="J1070" s="365">
        <v>0</v>
      </c>
      <c r="K1070" s="365">
        <v>0</v>
      </c>
      <c r="L1070" s="361">
        <v>701304.96</v>
      </c>
      <c r="M1070" s="361">
        <v>864651.24</v>
      </c>
      <c r="N1070" s="1823">
        <v>0</v>
      </c>
    </row>
    <row r="1071" spans="1:14" ht="13">
      <c r="A1071" s="1818" t="s">
        <v>201</v>
      </c>
      <c r="B1071" s="1819">
        <v>1964710.14</v>
      </c>
      <c r="C1071" s="1822">
        <v>0</v>
      </c>
      <c r="D1071" s="365">
        <v>0</v>
      </c>
      <c r="E1071" s="365">
        <v>0</v>
      </c>
      <c r="F1071" s="361">
        <v>225277.29</v>
      </c>
      <c r="G1071" s="361">
        <v>205657.82</v>
      </c>
      <c r="H1071" s="361">
        <v>181028.44</v>
      </c>
      <c r="I1071" s="361">
        <v>323594.15999999997</v>
      </c>
      <c r="J1071" s="361">
        <v>260885.06</v>
      </c>
      <c r="K1071" s="361">
        <v>412112.64000000001</v>
      </c>
      <c r="L1071" s="361">
        <v>192709.88</v>
      </c>
      <c r="M1071" s="361">
        <v>104926.5</v>
      </c>
      <c r="N1071" s="1821">
        <v>58518.35</v>
      </c>
    </row>
    <row r="1072" spans="1:14" ht="13">
      <c r="A1072" s="1818" t="s">
        <v>117</v>
      </c>
      <c r="B1072" s="1819">
        <v>1943649.38</v>
      </c>
      <c r="C1072" s="1820">
        <v>230720.81</v>
      </c>
      <c r="D1072" s="361">
        <v>124715.62</v>
      </c>
      <c r="E1072" s="361">
        <v>62609.96</v>
      </c>
      <c r="F1072" s="361">
        <v>175634.51</v>
      </c>
      <c r="G1072" s="361">
        <v>190776.76</v>
      </c>
      <c r="H1072" s="361">
        <v>40352.35</v>
      </c>
      <c r="I1072" s="361">
        <v>247784.99</v>
      </c>
      <c r="J1072" s="361">
        <v>126358.66</v>
      </c>
      <c r="K1072" s="361">
        <v>140914.92000000001</v>
      </c>
      <c r="L1072" s="361">
        <v>132077.64000000001</v>
      </c>
      <c r="M1072" s="361">
        <v>370899.53</v>
      </c>
      <c r="N1072" s="1821">
        <v>100803.63</v>
      </c>
    </row>
    <row r="1073" spans="1:14" ht="13">
      <c r="A1073" s="1818" t="s">
        <v>205</v>
      </c>
      <c r="B1073" s="1819">
        <v>1908320.07</v>
      </c>
      <c r="C1073" s="1820">
        <v>137022.34</v>
      </c>
      <c r="D1073" s="361">
        <v>289360.13</v>
      </c>
      <c r="E1073" s="361">
        <v>133263.99</v>
      </c>
      <c r="F1073" s="361">
        <v>162108.84</v>
      </c>
      <c r="G1073" s="361">
        <v>207155.06</v>
      </c>
      <c r="H1073" s="361">
        <v>83075.16</v>
      </c>
      <c r="I1073" s="361">
        <v>311047.23</v>
      </c>
      <c r="J1073" s="361">
        <v>205015.45</v>
      </c>
      <c r="K1073" s="361">
        <v>77927.42</v>
      </c>
      <c r="L1073" s="361">
        <v>120491.16</v>
      </c>
      <c r="M1073" s="361">
        <v>125447.8</v>
      </c>
      <c r="N1073" s="1821">
        <v>56405.51</v>
      </c>
    </row>
    <row r="1074" spans="1:14" ht="13">
      <c r="A1074" s="1818" t="s">
        <v>790</v>
      </c>
      <c r="B1074" s="1819">
        <v>1741235.26</v>
      </c>
      <c r="C1074" s="1820">
        <v>418163.35</v>
      </c>
      <c r="D1074" s="361">
        <v>255803.91</v>
      </c>
      <c r="E1074" s="361">
        <v>377375.91</v>
      </c>
      <c r="F1074" s="361">
        <v>244449.17</v>
      </c>
      <c r="G1074" s="361">
        <v>90194.86</v>
      </c>
      <c r="H1074" s="361">
        <v>146820.92000000001</v>
      </c>
      <c r="I1074" s="361">
        <v>208427.15</v>
      </c>
      <c r="J1074" s="365">
        <v>0</v>
      </c>
      <c r="K1074" s="365">
        <v>0</v>
      </c>
      <c r="L1074" s="365">
        <v>0</v>
      </c>
      <c r="M1074" s="365">
        <v>0</v>
      </c>
      <c r="N1074" s="1823">
        <v>0</v>
      </c>
    </row>
    <row r="1075" spans="1:14" ht="13">
      <c r="A1075" s="1818" t="s">
        <v>654</v>
      </c>
      <c r="B1075" s="1819">
        <v>1709545.29</v>
      </c>
      <c r="C1075" s="1820">
        <v>161296.14000000001</v>
      </c>
      <c r="D1075" s="365">
        <v>0</v>
      </c>
      <c r="E1075" s="361">
        <v>104355.64</v>
      </c>
      <c r="F1075" s="361">
        <v>334095.75</v>
      </c>
      <c r="G1075" s="361">
        <v>334935.36</v>
      </c>
      <c r="H1075" s="361">
        <v>98389.72</v>
      </c>
      <c r="I1075" s="361">
        <v>17975</v>
      </c>
      <c r="J1075" s="361">
        <v>62747.77</v>
      </c>
      <c r="K1075" s="361">
        <v>149236.99</v>
      </c>
      <c r="L1075" s="361">
        <v>264076.42</v>
      </c>
      <c r="M1075" s="365">
        <v>0</v>
      </c>
      <c r="N1075" s="1821">
        <v>182436.5</v>
      </c>
    </row>
    <row r="1076" spans="1:14" ht="13">
      <c r="A1076" s="1818" t="s">
        <v>766</v>
      </c>
      <c r="B1076" s="1819">
        <v>1608396.18</v>
      </c>
      <c r="C1076" s="1822">
        <v>0</v>
      </c>
      <c r="D1076" s="361">
        <v>254796</v>
      </c>
      <c r="E1076" s="365">
        <v>0</v>
      </c>
      <c r="F1076" s="361">
        <v>510356.7</v>
      </c>
      <c r="G1076" s="361">
        <v>48204.1</v>
      </c>
      <c r="H1076" s="361">
        <v>129292.8</v>
      </c>
      <c r="I1076" s="361">
        <v>294183.67999999999</v>
      </c>
      <c r="J1076" s="365">
        <v>0</v>
      </c>
      <c r="K1076" s="365">
        <v>0</v>
      </c>
      <c r="L1076" s="361">
        <v>102086.52</v>
      </c>
      <c r="M1076" s="365">
        <v>0</v>
      </c>
      <c r="N1076" s="1821">
        <v>269476.38</v>
      </c>
    </row>
    <row r="1077" spans="1:14" ht="13">
      <c r="A1077" s="1818" t="s">
        <v>1607</v>
      </c>
      <c r="B1077" s="1819">
        <v>1563462.88</v>
      </c>
      <c r="C1077" s="1822">
        <v>0</v>
      </c>
      <c r="D1077" s="365">
        <v>0</v>
      </c>
      <c r="E1077" s="365">
        <v>0</v>
      </c>
      <c r="F1077" s="365">
        <v>0</v>
      </c>
      <c r="G1077" s="365">
        <v>0</v>
      </c>
      <c r="H1077" s="365">
        <v>0</v>
      </c>
      <c r="I1077" s="365">
        <v>0</v>
      </c>
      <c r="J1077" s="365">
        <v>0</v>
      </c>
      <c r="K1077" s="365">
        <v>0</v>
      </c>
      <c r="L1077" s="365">
        <v>0</v>
      </c>
      <c r="M1077" s="365">
        <v>0</v>
      </c>
      <c r="N1077" s="1821">
        <v>1563462.88</v>
      </c>
    </row>
    <row r="1078" spans="1:14" ht="13">
      <c r="A1078" s="1818" t="s">
        <v>172</v>
      </c>
      <c r="B1078" s="1819">
        <v>1474738.53</v>
      </c>
      <c r="C1078" s="1820">
        <v>130044.17</v>
      </c>
      <c r="D1078" s="365">
        <v>0</v>
      </c>
      <c r="E1078" s="365">
        <v>0</v>
      </c>
      <c r="F1078" s="361">
        <v>154663.14000000001</v>
      </c>
      <c r="G1078" s="361">
        <v>133407.20000000001</v>
      </c>
      <c r="H1078" s="361">
        <v>139602.48000000001</v>
      </c>
      <c r="I1078" s="361">
        <v>158323.45000000001</v>
      </c>
      <c r="J1078" s="361">
        <v>108231.1</v>
      </c>
      <c r="K1078" s="361">
        <v>317414.44</v>
      </c>
      <c r="L1078" s="361">
        <v>219214.38</v>
      </c>
      <c r="M1078" s="365">
        <v>0</v>
      </c>
      <c r="N1078" s="1821">
        <v>113838.16</v>
      </c>
    </row>
    <row r="1079" spans="1:14" ht="13">
      <c r="A1079" s="1818" t="s">
        <v>664</v>
      </c>
      <c r="B1079" s="1819">
        <v>1168622.06</v>
      </c>
      <c r="C1079" s="1822">
        <v>0</v>
      </c>
      <c r="D1079" s="365">
        <v>0</v>
      </c>
      <c r="E1079" s="365">
        <v>0</v>
      </c>
      <c r="F1079" s="365">
        <v>0</v>
      </c>
      <c r="G1079" s="365">
        <v>0</v>
      </c>
      <c r="H1079" s="365">
        <v>0</v>
      </c>
      <c r="I1079" s="365">
        <v>0</v>
      </c>
      <c r="J1079" s="365">
        <v>0</v>
      </c>
      <c r="K1079" s="365">
        <v>0</v>
      </c>
      <c r="L1079" s="365">
        <v>0</v>
      </c>
      <c r="M1079" s="365">
        <v>0</v>
      </c>
      <c r="N1079" s="1821">
        <v>1168622.06</v>
      </c>
    </row>
    <row r="1080" spans="1:14" ht="13">
      <c r="A1080" s="1818" t="s">
        <v>812</v>
      </c>
      <c r="B1080" s="1819">
        <v>1158652.67</v>
      </c>
      <c r="C1080" s="1820">
        <v>122825.67</v>
      </c>
      <c r="D1080" s="361">
        <v>112044.23</v>
      </c>
      <c r="E1080" s="361">
        <v>111386.14</v>
      </c>
      <c r="F1080" s="361">
        <v>74993.14</v>
      </c>
      <c r="G1080" s="361">
        <v>100897.52</v>
      </c>
      <c r="H1080" s="365">
        <v>0</v>
      </c>
      <c r="I1080" s="361">
        <v>73575.12</v>
      </c>
      <c r="J1080" s="361">
        <v>79750.89</v>
      </c>
      <c r="K1080" s="361">
        <v>54000.19</v>
      </c>
      <c r="L1080" s="361">
        <v>213462.03</v>
      </c>
      <c r="M1080" s="361">
        <v>91993.26</v>
      </c>
      <c r="N1080" s="1821">
        <v>123724.48</v>
      </c>
    </row>
    <row r="1081" spans="1:14" ht="13">
      <c r="A1081" s="1818" t="s">
        <v>751</v>
      </c>
      <c r="B1081" s="1819">
        <v>981734.96</v>
      </c>
      <c r="C1081" s="1822">
        <v>0</v>
      </c>
      <c r="D1081" s="365">
        <v>0</v>
      </c>
      <c r="E1081" s="365">
        <v>0</v>
      </c>
      <c r="F1081" s="365">
        <v>0</v>
      </c>
      <c r="G1081" s="365">
        <v>0</v>
      </c>
      <c r="H1081" s="365">
        <v>0</v>
      </c>
      <c r="I1081" s="365">
        <v>0</v>
      </c>
      <c r="J1081" s="361">
        <v>283209.59999999998</v>
      </c>
      <c r="K1081" s="361">
        <v>316977.44</v>
      </c>
      <c r="L1081" s="361">
        <v>381547.92</v>
      </c>
      <c r="M1081" s="365">
        <v>0</v>
      </c>
      <c r="N1081" s="1823">
        <v>0</v>
      </c>
    </row>
    <row r="1082" spans="1:14" ht="13">
      <c r="A1082" s="1818" t="s">
        <v>450</v>
      </c>
      <c r="B1082" s="1819">
        <v>960228.69</v>
      </c>
      <c r="C1082" s="1820">
        <v>26312.36</v>
      </c>
      <c r="D1082" s="361">
        <v>109008.61</v>
      </c>
      <c r="E1082" s="361">
        <v>35266.6</v>
      </c>
      <c r="F1082" s="361">
        <v>100617.07</v>
      </c>
      <c r="G1082" s="361">
        <v>139274.46</v>
      </c>
      <c r="H1082" s="361">
        <v>40666.870000000003</v>
      </c>
      <c r="I1082" s="361">
        <v>126339.62</v>
      </c>
      <c r="J1082" s="361">
        <v>34410.379999999997</v>
      </c>
      <c r="K1082" s="361">
        <v>13665.52</v>
      </c>
      <c r="L1082" s="361">
        <v>82682.63</v>
      </c>
      <c r="M1082" s="361">
        <v>114779.16</v>
      </c>
      <c r="N1082" s="1821">
        <v>137205.41</v>
      </c>
    </row>
    <row r="1083" spans="1:14" ht="13">
      <c r="A1083" s="1818" t="s">
        <v>765</v>
      </c>
      <c r="B1083" s="1819">
        <v>959639.45</v>
      </c>
      <c r="C1083" s="1822">
        <v>0</v>
      </c>
      <c r="D1083" s="365">
        <v>0</v>
      </c>
      <c r="E1083" s="365">
        <v>0</v>
      </c>
      <c r="F1083" s="365">
        <v>0</v>
      </c>
      <c r="G1083" s="361">
        <v>66839.199999999997</v>
      </c>
      <c r="H1083" s="365">
        <v>0</v>
      </c>
      <c r="I1083" s="365">
        <v>0</v>
      </c>
      <c r="J1083" s="365">
        <v>0</v>
      </c>
      <c r="K1083" s="365">
        <v>0</v>
      </c>
      <c r="L1083" s="361">
        <v>800408.25</v>
      </c>
      <c r="M1083" s="361">
        <v>92392</v>
      </c>
      <c r="N1083" s="1823">
        <v>0</v>
      </c>
    </row>
    <row r="1084" spans="1:14" ht="13">
      <c r="A1084" s="1818" t="s">
        <v>1608</v>
      </c>
      <c r="B1084" s="1819">
        <v>909844.65</v>
      </c>
      <c r="C1084" s="1822">
        <v>0</v>
      </c>
      <c r="D1084" s="365">
        <v>0</v>
      </c>
      <c r="E1084" s="365">
        <v>0</v>
      </c>
      <c r="F1084" s="365">
        <v>0</v>
      </c>
      <c r="G1084" s="365">
        <v>0</v>
      </c>
      <c r="H1084" s="365">
        <v>0</v>
      </c>
      <c r="I1084" s="365">
        <v>0</v>
      </c>
      <c r="J1084" s="365">
        <v>0</v>
      </c>
      <c r="K1084" s="365">
        <v>0</v>
      </c>
      <c r="L1084" s="365">
        <v>0</v>
      </c>
      <c r="M1084" s="365">
        <v>0</v>
      </c>
      <c r="N1084" s="1821">
        <v>909844.65</v>
      </c>
    </row>
    <row r="1085" spans="1:14" ht="13">
      <c r="A1085" s="1818" t="s">
        <v>659</v>
      </c>
      <c r="B1085" s="1819">
        <v>788264.08</v>
      </c>
      <c r="C1085" s="1820">
        <v>134855.01</v>
      </c>
      <c r="D1085" s="365">
        <v>0</v>
      </c>
      <c r="E1085" s="365">
        <v>0</v>
      </c>
      <c r="F1085" s="361">
        <v>176792.5</v>
      </c>
      <c r="G1085" s="361">
        <v>251856.77</v>
      </c>
      <c r="H1085" s="361">
        <v>66839.199999999997</v>
      </c>
      <c r="I1085" s="365">
        <v>0</v>
      </c>
      <c r="J1085" s="361">
        <v>157920.59</v>
      </c>
      <c r="K1085" s="365">
        <v>0</v>
      </c>
      <c r="L1085" s="365">
        <v>0</v>
      </c>
      <c r="M1085" s="365">
        <v>0</v>
      </c>
      <c r="N1085" s="1823">
        <v>0</v>
      </c>
    </row>
    <row r="1086" spans="1:14" ht="13">
      <c r="A1086" s="1818" t="s">
        <v>653</v>
      </c>
      <c r="B1086" s="1819">
        <v>727892.47999999998</v>
      </c>
      <c r="C1086" s="1820">
        <v>44799.74</v>
      </c>
      <c r="D1086" s="361">
        <v>97992.38</v>
      </c>
      <c r="E1086" s="361">
        <v>100647.16</v>
      </c>
      <c r="F1086" s="361">
        <v>80578.92</v>
      </c>
      <c r="G1086" s="361">
        <v>133900.74</v>
      </c>
      <c r="H1086" s="365">
        <v>0</v>
      </c>
      <c r="I1086" s="361">
        <v>92370.94</v>
      </c>
      <c r="J1086" s="361">
        <v>66698.320000000007</v>
      </c>
      <c r="K1086" s="361">
        <v>44996.9</v>
      </c>
      <c r="L1086" s="361">
        <v>14481.75</v>
      </c>
      <c r="M1086" s="361">
        <v>51425.64</v>
      </c>
      <c r="N1086" s="1823">
        <v>0</v>
      </c>
    </row>
    <row r="1087" spans="1:14" ht="13">
      <c r="A1087" s="1818" t="s">
        <v>773</v>
      </c>
      <c r="B1087" s="1819">
        <v>686961.12</v>
      </c>
      <c r="C1087" s="1820">
        <v>75621.67</v>
      </c>
      <c r="D1087" s="365">
        <v>0</v>
      </c>
      <c r="E1087" s="361">
        <v>145433.73000000001</v>
      </c>
      <c r="F1087" s="361">
        <v>90135.360000000001</v>
      </c>
      <c r="G1087" s="361">
        <v>143621.18</v>
      </c>
      <c r="H1087" s="361">
        <v>39709.800000000003</v>
      </c>
      <c r="I1087" s="361">
        <v>42942.07</v>
      </c>
      <c r="J1087" s="361">
        <v>26219.57</v>
      </c>
      <c r="K1087" s="361">
        <v>64724.37</v>
      </c>
      <c r="L1087" s="361">
        <v>58553.39</v>
      </c>
      <c r="M1087" s="365">
        <v>0</v>
      </c>
      <c r="N1087" s="1823">
        <v>0</v>
      </c>
    </row>
    <row r="1088" spans="1:14" ht="13">
      <c r="A1088" s="1818" t="s">
        <v>779</v>
      </c>
      <c r="B1088" s="1819">
        <v>670545.49</v>
      </c>
      <c r="C1088" s="1822">
        <v>0</v>
      </c>
      <c r="D1088" s="365">
        <v>0</v>
      </c>
      <c r="E1088" s="365">
        <v>0</v>
      </c>
      <c r="F1088" s="361">
        <v>117752.64</v>
      </c>
      <c r="G1088" s="361">
        <v>18927</v>
      </c>
      <c r="H1088" s="361">
        <v>27489.759999999998</v>
      </c>
      <c r="I1088" s="361">
        <v>140213.82</v>
      </c>
      <c r="J1088" s="365">
        <v>0</v>
      </c>
      <c r="K1088" s="361">
        <v>185009.38</v>
      </c>
      <c r="L1088" s="361">
        <v>111219.36</v>
      </c>
      <c r="M1088" s="361">
        <v>69933.539999999994</v>
      </c>
      <c r="N1088" s="1823">
        <v>0</v>
      </c>
    </row>
    <row r="1089" spans="1:14" ht="13">
      <c r="A1089" s="1818" t="s">
        <v>652</v>
      </c>
      <c r="B1089" s="1819">
        <v>667258.38</v>
      </c>
      <c r="C1089" s="1820">
        <v>86256.9</v>
      </c>
      <c r="D1089" s="361">
        <v>103379.58</v>
      </c>
      <c r="E1089" s="365">
        <v>0</v>
      </c>
      <c r="F1089" s="365">
        <v>0</v>
      </c>
      <c r="G1089" s="361">
        <v>80623.600000000006</v>
      </c>
      <c r="H1089" s="361">
        <v>81340.240000000005</v>
      </c>
      <c r="I1089" s="361">
        <v>94097.25</v>
      </c>
      <c r="J1089" s="361">
        <v>52830.080000000002</v>
      </c>
      <c r="K1089" s="361">
        <v>124800.04</v>
      </c>
      <c r="L1089" s="361">
        <v>43930.69</v>
      </c>
      <c r="M1089" s="365">
        <v>0</v>
      </c>
      <c r="N1089" s="1823">
        <v>0</v>
      </c>
    </row>
    <row r="1090" spans="1:14" ht="13">
      <c r="A1090" s="1818" t="s">
        <v>640</v>
      </c>
      <c r="B1090" s="1819">
        <v>551886.35</v>
      </c>
      <c r="C1090" s="1822">
        <v>0</v>
      </c>
      <c r="D1090" s="365">
        <v>0</v>
      </c>
      <c r="E1090" s="365">
        <v>0</v>
      </c>
      <c r="F1090" s="365">
        <v>0</v>
      </c>
      <c r="G1090" s="365">
        <v>0</v>
      </c>
      <c r="H1090" s="365">
        <v>0</v>
      </c>
      <c r="I1090" s="365">
        <v>0</v>
      </c>
      <c r="J1090" s="365">
        <v>0</v>
      </c>
      <c r="K1090" s="365">
        <v>0</v>
      </c>
      <c r="L1090" s="365">
        <v>0</v>
      </c>
      <c r="M1090" s="365">
        <v>0</v>
      </c>
      <c r="N1090" s="1821">
        <v>551886.35</v>
      </c>
    </row>
    <row r="1091" spans="1:14" ht="13">
      <c r="A1091" s="1818" t="s">
        <v>176</v>
      </c>
      <c r="B1091" s="1819">
        <v>512288.93</v>
      </c>
      <c r="C1091" s="1822">
        <v>0</v>
      </c>
      <c r="D1091" s="365">
        <v>0</v>
      </c>
      <c r="E1091" s="361">
        <v>132556.4</v>
      </c>
      <c r="F1091" s="365">
        <v>0</v>
      </c>
      <c r="G1091" s="361">
        <v>75450</v>
      </c>
      <c r="H1091" s="361">
        <v>116224.82</v>
      </c>
      <c r="I1091" s="365">
        <v>0</v>
      </c>
      <c r="J1091" s="361">
        <v>127193.71</v>
      </c>
      <c r="K1091" s="365">
        <v>0</v>
      </c>
      <c r="L1091" s="361">
        <v>60864</v>
      </c>
      <c r="M1091" s="365">
        <v>0</v>
      </c>
      <c r="N1091" s="1823">
        <v>0</v>
      </c>
    </row>
    <row r="1092" spans="1:14" ht="13">
      <c r="A1092" s="1818" t="s">
        <v>703</v>
      </c>
      <c r="B1092" s="1819">
        <v>506152.5</v>
      </c>
      <c r="C1092" s="1822">
        <v>0</v>
      </c>
      <c r="D1092" s="365">
        <v>0</v>
      </c>
      <c r="E1092" s="365">
        <v>0</v>
      </c>
      <c r="F1092" s="365">
        <v>0</v>
      </c>
      <c r="G1092" s="365">
        <v>0</v>
      </c>
      <c r="H1092" s="365">
        <v>0</v>
      </c>
      <c r="I1092" s="361">
        <v>60625.15</v>
      </c>
      <c r="J1092" s="361">
        <v>77561.100000000006</v>
      </c>
      <c r="K1092" s="365">
        <v>0</v>
      </c>
      <c r="L1092" s="361">
        <v>92101</v>
      </c>
      <c r="M1092" s="365">
        <v>0</v>
      </c>
      <c r="N1092" s="1821">
        <v>275865.25</v>
      </c>
    </row>
    <row r="1093" spans="1:14" ht="13">
      <c r="A1093" s="1818" t="s">
        <v>651</v>
      </c>
      <c r="B1093" s="1819">
        <v>470396.57</v>
      </c>
      <c r="C1093" s="1822">
        <v>0</v>
      </c>
      <c r="D1093" s="365">
        <v>0</v>
      </c>
      <c r="E1093" s="361">
        <v>29392.93</v>
      </c>
      <c r="F1093" s="361">
        <v>181537.66</v>
      </c>
      <c r="G1093" s="365">
        <v>0</v>
      </c>
      <c r="H1093" s="365">
        <v>0</v>
      </c>
      <c r="I1093" s="361">
        <v>223393.47</v>
      </c>
      <c r="J1093" s="365">
        <v>0</v>
      </c>
      <c r="K1093" s="361">
        <v>36072.51</v>
      </c>
      <c r="L1093" s="365">
        <v>0</v>
      </c>
      <c r="M1093" s="365">
        <v>0</v>
      </c>
      <c r="N1093" s="1823">
        <v>0</v>
      </c>
    </row>
    <row r="1094" spans="1:14" ht="13">
      <c r="A1094" s="1818" t="s">
        <v>665</v>
      </c>
      <c r="B1094" s="1819">
        <v>468683.31</v>
      </c>
      <c r="C1094" s="1822">
        <v>0</v>
      </c>
      <c r="D1094" s="365">
        <v>0</v>
      </c>
      <c r="E1094" s="365">
        <v>0</v>
      </c>
      <c r="F1094" s="365">
        <v>0</v>
      </c>
      <c r="G1094" s="365">
        <v>0</v>
      </c>
      <c r="H1094" s="365">
        <v>0</v>
      </c>
      <c r="I1094" s="361">
        <v>171179.8</v>
      </c>
      <c r="J1094" s="365">
        <v>0</v>
      </c>
      <c r="K1094" s="365">
        <v>0</v>
      </c>
      <c r="L1094" s="365">
        <v>0</v>
      </c>
      <c r="M1094" s="361">
        <v>195915.51</v>
      </c>
      <c r="N1094" s="1821">
        <v>101588</v>
      </c>
    </row>
    <row r="1095" spans="1:14" ht="13">
      <c r="A1095" s="1818" t="s">
        <v>797</v>
      </c>
      <c r="B1095" s="1819">
        <v>308117.13</v>
      </c>
      <c r="C1095" s="1822">
        <v>0</v>
      </c>
      <c r="D1095" s="365">
        <v>0</v>
      </c>
      <c r="E1095" s="361">
        <v>66634.69</v>
      </c>
      <c r="F1095" s="365">
        <v>0</v>
      </c>
      <c r="G1095" s="365">
        <v>0</v>
      </c>
      <c r="H1095" s="365">
        <v>0</v>
      </c>
      <c r="I1095" s="361">
        <v>62391.5</v>
      </c>
      <c r="J1095" s="365">
        <v>0</v>
      </c>
      <c r="K1095" s="361">
        <v>76329.73</v>
      </c>
      <c r="L1095" s="365">
        <v>0</v>
      </c>
      <c r="M1095" s="361">
        <v>56837.51</v>
      </c>
      <c r="N1095" s="1821">
        <v>45923.7</v>
      </c>
    </row>
    <row r="1096" spans="1:14" ht="13">
      <c r="A1096" s="1818" t="s">
        <v>818</v>
      </c>
      <c r="B1096" s="1819">
        <v>247228</v>
      </c>
      <c r="C1096" s="1822">
        <v>0</v>
      </c>
      <c r="D1096" s="365">
        <v>0</v>
      </c>
      <c r="E1096" s="365">
        <v>0</v>
      </c>
      <c r="F1096" s="365">
        <v>0</v>
      </c>
      <c r="G1096" s="365">
        <v>0</v>
      </c>
      <c r="H1096" s="365">
        <v>0</v>
      </c>
      <c r="I1096" s="361">
        <v>24394.16</v>
      </c>
      <c r="J1096" s="365">
        <v>0</v>
      </c>
      <c r="K1096" s="365">
        <v>0</v>
      </c>
      <c r="L1096" s="361">
        <v>134891.99</v>
      </c>
      <c r="M1096" s="361">
        <v>87941.85</v>
      </c>
      <c r="N1096" s="1823">
        <v>0</v>
      </c>
    </row>
    <row r="1097" spans="1:14" ht="13">
      <c r="A1097" s="1818" t="s">
        <v>733</v>
      </c>
      <c r="B1097" s="1819">
        <v>230267.81</v>
      </c>
      <c r="C1097" s="1822">
        <v>0</v>
      </c>
      <c r="D1097" s="365">
        <v>0</v>
      </c>
      <c r="E1097" s="365">
        <v>0</v>
      </c>
      <c r="F1097" s="365">
        <v>0</v>
      </c>
      <c r="G1097" s="365">
        <v>0</v>
      </c>
      <c r="H1097" s="365">
        <v>0</v>
      </c>
      <c r="I1097" s="365">
        <v>0</v>
      </c>
      <c r="J1097" s="365">
        <v>0</v>
      </c>
      <c r="K1097" s="365">
        <v>0</v>
      </c>
      <c r="L1097" s="361">
        <v>116504.46</v>
      </c>
      <c r="M1097" s="365">
        <v>0</v>
      </c>
      <c r="N1097" s="1821">
        <v>113763.35</v>
      </c>
    </row>
    <row r="1098" spans="1:14" ht="13">
      <c r="A1098" s="1818" t="s">
        <v>655</v>
      </c>
      <c r="B1098" s="1819">
        <v>211007.38</v>
      </c>
      <c r="C1098" s="1820">
        <v>51264.5</v>
      </c>
      <c r="D1098" s="361">
        <v>24510</v>
      </c>
      <c r="E1098" s="365">
        <v>0</v>
      </c>
      <c r="F1098" s="365">
        <v>0</v>
      </c>
      <c r="G1098" s="365">
        <v>0</v>
      </c>
      <c r="H1098" s="361">
        <v>96375.08</v>
      </c>
      <c r="I1098" s="365">
        <v>0</v>
      </c>
      <c r="J1098" s="361">
        <v>38857.800000000003</v>
      </c>
      <c r="K1098" s="365">
        <v>0</v>
      </c>
      <c r="L1098" s="365">
        <v>0</v>
      </c>
      <c r="M1098" s="365">
        <v>0</v>
      </c>
      <c r="N1098" s="1823">
        <v>0</v>
      </c>
    </row>
    <row r="1099" spans="1:14" ht="13">
      <c r="A1099" s="1818" t="s">
        <v>1613</v>
      </c>
      <c r="B1099" s="1819">
        <v>151284</v>
      </c>
      <c r="C1099" s="1822">
        <v>0</v>
      </c>
      <c r="D1099" s="365">
        <v>0</v>
      </c>
      <c r="E1099" s="365">
        <v>0</v>
      </c>
      <c r="F1099" s="361">
        <v>106500</v>
      </c>
      <c r="G1099" s="365">
        <v>0</v>
      </c>
      <c r="H1099" s="365">
        <v>0</v>
      </c>
      <c r="I1099" s="365">
        <v>0</v>
      </c>
      <c r="J1099" s="365">
        <v>0</v>
      </c>
      <c r="K1099" s="361">
        <v>44784</v>
      </c>
      <c r="L1099" s="365">
        <v>0</v>
      </c>
      <c r="M1099" s="365">
        <v>0</v>
      </c>
      <c r="N1099" s="1823">
        <v>0</v>
      </c>
    </row>
    <row r="1100" spans="1:14" ht="13">
      <c r="A1100" s="1818" t="s">
        <v>240</v>
      </c>
      <c r="B1100" s="1819">
        <v>123307.65</v>
      </c>
      <c r="C1100" s="1822">
        <v>0</v>
      </c>
      <c r="D1100" s="361">
        <v>53796.15</v>
      </c>
      <c r="E1100" s="365">
        <v>0</v>
      </c>
      <c r="F1100" s="365">
        <v>0</v>
      </c>
      <c r="G1100" s="365">
        <v>0</v>
      </c>
      <c r="H1100" s="365">
        <v>0</v>
      </c>
      <c r="I1100" s="365">
        <v>0</v>
      </c>
      <c r="J1100" s="365">
        <v>0</v>
      </c>
      <c r="K1100" s="365">
        <v>0</v>
      </c>
      <c r="L1100" s="365">
        <v>0</v>
      </c>
      <c r="M1100" s="361">
        <v>69511.5</v>
      </c>
      <c r="N1100" s="1823">
        <v>0</v>
      </c>
    </row>
    <row r="1101" spans="1:14" ht="13">
      <c r="A1101" s="1818" t="s">
        <v>810</v>
      </c>
      <c r="B1101" s="1819">
        <v>84693.84</v>
      </c>
      <c r="C1101" s="1822">
        <v>0</v>
      </c>
      <c r="D1101" s="365">
        <v>0</v>
      </c>
      <c r="E1101" s="365">
        <v>0</v>
      </c>
      <c r="F1101" s="365">
        <v>0</v>
      </c>
      <c r="G1101" s="365">
        <v>0</v>
      </c>
      <c r="H1101" s="365">
        <v>0</v>
      </c>
      <c r="I1101" s="365">
        <v>0</v>
      </c>
      <c r="J1101" s="361">
        <v>84693.84</v>
      </c>
      <c r="K1101" s="365">
        <v>0</v>
      </c>
      <c r="L1101" s="365">
        <v>0</v>
      </c>
      <c r="M1101" s="365">
        <v>0</v>
      </c>
      <c r="N1101" s="1823">
        <v>0</v>
      </c>
    </row>
    <row r="1102" spans="1:14" ht="13">
      <c r="A1102" s="1818" t="s">
        <v>126</v>
      </c>
      <c r="B1102" s="1819">
        <v>66578.06</v>
      </c>
      <c r="C1102" s="1822">
        <v>0</v>
      </c>
      <c r="D1102" s="365">
        <v>0</v>
      </c>
      <c r="E1102" s="365">
        <v>0</v>
      </c>
      <c r="F1102" s="365">
        <v>0</v>
      </c>
      <c r="G1102" s="365">
        <v>0</v>
      </c>
      <c r="H1102" s="365">
        <v>0</v>
      </c>
      <c r="I1102" s="365">
        <v>0</v>
      </c>
      <c r="J1102" s="365">
        <v>0</v>
      </c>
      <c r="K1102" s="365">
        <v>0</v>
      </c>
      <c r="L1102" s="365">
        <v>0</v>
      </c>
      <c r="M1102" s="365">
        <v>0</v>
      </c>
      <c r="N1102" s="1821">
        <v>66578.06</v>
      </c>
    </row>
    <row r="1103" spans="1:14" ht="13">
      <c r="A1103" s="1818" t="s">
        <v>794</v>
      </c>
      <c r="B1103" s="1819">
        <v>62618.6</v>
      </c>
      <c r="C1103" s="1820">
        <v>62618.6</v>
      </c>
      <c r="D1103" s="365">
        <v>0</v>
      </c>
      <c r="E1103" s="365">
        <v>0</v>
      </c>
      <c r="F1103" s="365">
        <v>0</v>
      </c>
      <c r="G1103" s="365">
        <v>0</v>
      </c>
      <c r="H1103" s="365">
        <v>0</v>
      </c>
      <c r="I1103" s="365">
        <v>0</v>
      </c>
      <c r="J1103" s="365">
        <v>0</v>
      </c>
      <c r="K1103" s="365">
        <v>0</v>
      </c>
      <c r="L1103" s="365">
        <v>0</v>
      </c>
      <c r="M1103" s="365">
        <v>0</v>
      </c>
      <c r="N1103" s="1823">
        <v>0</v>
      </c>
    </row>
    <row r="1104" spans="1:14" ht="13">
      <c r="A1104" s="1818" t="s">
        <v>769</v>
      </c>
      <c r="B1104" s="1819">
        <v>49082.98</v>
      </c>
      <c r="C1104" s="1820">
        <v>11339.93</v>
      </c>
      <c r="D1104" s="365">
        <v>0</v>
      </c>
      <c r="E1104" s="365">
        <v>0</v>
      </c>
      <c r="F1104" s="365">
        <v>0</v>
      </c>
      <c r="G1104" s="365">
        <v>0</v>
      </c>
      <c r="H1104" s="361">
        <v>7033.02</v>
      </c>
      <c r="I1104" s="361">
        <v>30710.03</v>
      </c>
      <c r="J1104" s="365">
        <v>0</v>
      </c>
      <c r="K1104" s="365">
        <v>0</v>
      </c>
      <c r="L1104" s="365">
        <v>0</v>
      </c>
      <c r="M1104" s="365">
        <v>0</v>
      </c>
      <c r="N1104" s="1823">
        <v>0</v>
      </c>
    </row>
    <row r="1105" spans="1:14" ht="13">
      <c r="A1105" s="1818" t="s">
        <v>79</v>
      </c>
      <c r="B1105" s="1819">
        <v>30978</v>
      </c>
      <c r="C1105" s="1822">
        <v>0</v>
      </c>
      <c r="D1105" s="365">
        <v>0</v>
      </c>
      <c r="E1105" s="361">
        <v>30978</v>
      </c>
      <c r="F1105" s="365">
        <v>0</v>
      </c>
      <c r="G1105" s="365">
        <v>0</v>
      </c>
      <c r="H1105" s="365">
        <v>0</v>
      </c>
      <c r="I1105" s="365">
        <v>0</v>
      </c>
      <c r="J1105" s="365">
        <v>0</v>
      </c>
      <c r="K1105" s="365">
        <v>0</v>
      </c>
      <c r="L1105" s="365">
        <v>0</v>
      </c>
      <c r="M1105" s="365">
        <v>0</v>
      </c>
      <c r="N1105" s="1823">
        <v>0</v>
      </c>
    </row>
    <row r="1106" spans="1:14" ht="13">
      <c r="A1106" s="1818" t="s">
        <v>657</v>
      </c>
      <c r="B1106" s="1819">
        <v>15490.9</v>
      </c>
      <c r="C1106" s="1822">
        <v>0</v>
      </c>
      <c r="D1106" s="365">
        <v>0</v>
      </c>
      <c r="E1106" s="365">
        <v>0</v>
      </c>
      <c r="F1106" s="365">
        <v>0</v>
      </c>
      <c r="G1106" s="365">
        <v>0</v>
      </c>
      <c r="H1106" s="361">
        <v>15490.9</v>
      </c>
      <c r="I1106" s="365">
        <v>0</v>
      </c>
      <c r="J1106" s="365">
        <v>0</v>
      </c>
      <c r="K1106" s="365">
        <v>0</v>
      </c>
      <c r="L1106" s="365">
        <v>0</v>
      </c>
      <c r="M1106" s="365">
        <v>0</v>
      </c>
      <c r="N1106" s="1823">
        <v>0</v>
      </c>
    </row>
    <row r="1107" spans="1:14" ht="13">
      <c r="A1107" s="1818" t="s">
        <v>778</v>
      </c>
      <c r="B1107" s="1819">
        <v>15380.32</v>
      </c>
      <c r="C1107" s="1822">
        <v>0</v>
      </c>
      <c r="D1107" s="365">
        <v>0</v>
      </c>
      <c r="E1107" s="365">
        <v>0</v>
      </c>
      <c r="F1107" s="365">
        <v>0</v>
      </c>
      <c r="G1107" s="365">
        <v>0</v>
      </c>
      <c r="H1107" s="361">
        <v>15380.32</v>
      </c>
      <c r="I1107" s="365">
        <v>0</v>
      </c>
      <c r="J1107" s="365">
        <v>0</v>
      </c>
      <c r="K1107" s="365">
        <v>0</v>
      </c>
      <c r="L1107" s="365">
        <v>0</v>
      </c>
      <c r="M1107" s="365">
        <v>0</v>
      </c>
      <c r="N1107" s="1823">
        <v>0</v>
      </c>
    </row>
    <row r="1108" spans="1:14" ht="13">
      <c r="A1108" s="1818" t="s">
        <v>1619</v>
      </c>
      <c r="B1108" s="1819">
        <v>11921</v>
      </c>
      <c r="C1108" s="1820">
        <v>11921</v>
      </c>
      <c r="D1108" s="365">
        <v>0</v>
      </c>
      <c r="E1108" s="365">
        <v>0</v>
      </c>
      <c r="F1108" s="365">
        <v>0</v>
      </c>
      <c r="G1108" s="365">
        <v>0</v>
      </c>
      <c r="H1108" s="365">
        <v>0</v>
      </c>
      <c r="I1108" s="365">
        <v>0</v>
      </c>
      <c r="J1108" s="365">
        <v>0</v>
      </c>
      <c r="K1108" s="365">
        <v>0</v>
      </c>
      <c r="L1108" s="365">
        <v>0</v>
      </c>
      <c r="M1108" s="365">
        <v>0</v>
      </c>
      <c r="N1108" s="1823">
        <v>0</v>
      </c>
    </row>
    <row r="1109" spans="1:14" ht="13">
      <c r="A1109" s="1818" t="s">
        <v>1623</v>
      </c>
      <c r="B1109" s="1824">
        <v>0</v>
      </c>
      <c r="C1109" s="1822">
        <v>0</v>
      </c>
      <c r="D1109" s="365">
        <v>0</v>
      </c>
      <c r="E1109" s="365">
        <v>0</v>
      </c>
      <c r="F1109" s="365">
        <v>0</v>
      </c>
      <c r="G1109" s="365">
        <v>0</v>
      </c>
      <c r="H1109" s="365">
        <v>0</v>
      </c>
      <c r="I1109" s="365">
        <v>0</v>
      </c>
      <c r="J1109" s="365">
        <v>0</v>
      </c>
      <c r="K1109" s="365">
        <v>0</v>
      </c>
      <c r="L1109" s="365">
        <v>0</v>
      </c>
      <c r="M1109" s="365">
        <v>0</v>
      </c>
      <c r="N1109" s="1823">
        <v>0</v>
      </c>
    </row>
    <row r="1110" spans="1:14" ht="13">
      <c r="A1110" s="1818"/>
      <c r="B1110" s="1824"/>
      <c r="C1110" s="1822"/>
      <c r="D1110" s="365"/>
      <c r="E1110" s="365"/>
      <c r="F1110" s="365"/>
      <c r="G1110" s="365"/>
      <c r="H1110" s="365"/>
      <c r="I1110" s="365"/>
      <c r="J1110" s="365"/>
      <c r="K1110" s="365"/>
      <c r="L1110" s="365"/>
      <c r="M1110" s="365"/>
      <c r="N1110" s="1823"/>
    </row>
    <row r="1111" spans="1:14" ht="13">
      <c r="A1111" s="1818"/>
      <c r="B1111" s="1824"/>
      <c r="C1111" s="1822"/>
      <c r="D1111" s="365"/>
      <c r="E1111" s="365"/>
      <c r="F1111" s="365"/>
      <c r="G1111" s="365"/>
      <c r="H1111" s="365"/>
      <c r="I1111" s="365"/>
      <c r="J1111" s="365"/>
      <c r="K1111" s="365"/>
      <c r="L1111" s="365"/>
      <c r="M1111" s="365"/>
      <c r="N1111" s="1823"/>
    </row>
    <row r="1112" spans="1:14" ht="13">
      <c r="A1112" s="1818"/>
      <c r="B1112" s="1824"/>
      <c r="C1112" s="1822"/>
      <c r="D1112" s="365"/>
      <c r="E1112" s="365"/>
      <c r="F1112" s="365"/>
      <c r="G1112" s="365"/>
      <c r="H1112" s="365"/>
      <c r="I1112" s="365"/>
      <c r="J1112" s="365"/>
      <c r="K1112" s="365"/>
      <c r="L1112" s="365"/>
      <c r="M1112" s="365"/>
      <c r="N1112" s="1823"/>
    </row>
    <row r="1113" spans="1:14" ht="13">
      <c r="A1113" s="1818"/>
      <c r="B1113" s="1824"/>
      <c r="C1113" s="1822"/>
      <c r="D1113" s="365"/>
      <c r="E1113" s="365"/>
      <c r="F1113" s="365"/>
      <c r="G1113" s="365"/>
      <c r="H1113" s="365"/>
      <c r="I1113" s="365"/>
      <c r="J1113" s="365"/>
      <c r="K1113" s="365"/>
      <c r="L1113" s="365"/>
      <c r="M1113" s="365"/>
      <c r="N1113" s="1823"/>
    </row>
    <row r="1114" spans="1:14" ht="13">
      <c r="A1114" s="1818"/>
      <c r="B1114" s="1824"/>
      <c r="C1114" s="1822"/>
      <c r="D1114" s="365"/>
      <c r="E1114" s="365"/>
      <c r="F1114" s="365"/>
      <c r="G1114" s="365"/>
      <c r="H1114" s="365"/>
      <c r="I1114" s="365"/>
      <c r="J1114" s="365"/>
      <c r="K1114" s="365"/>
      <c r="L1114" s="365"/>
      <c r="M1114" s="365"/>
      <c r="N1114" s="1823"/>
    </row>
    <row r="1115" spans="1:14" ht="13">
      <c r="A1115" s="1818"/>
      <c r="B1115" s="1824"/>
      <c r="C1115" s="1822"/>
      <c r="D1115" s="365"/>
      <c r="E1115" s="365"/>
      <c r="F1115" s="365"/>
      <c r="G1115" s="365"/>
      <c r="H1115" s="365"/>
      <c r="I1115" s="365"/>
      <c r="J1115" s="365"/>
      <c r="K1115" s="365"/>
      <c r="L1115" s="365"/>
      <c r="M1115" s="365"/>
      <c r="N1115" s="1823"/>
    </row>
    <row r="1116" spans="1:14" ht="13">
      <c r="A1116" s="1818"/>
      <c r="B1116" s="1824"/>
      <c r="C1116" s="1822"/>
      <c r="D1116" s="365"/>
      <c r="E1116" s="365"/>
      <c r="F1116" s="365"/>
      <c r="G1116" s="365"/>
      <c r="H1116" s="365"/>
      <c r="I1116" s="365"/>
      <c r="J1116" s="365"/>
      <c r="K1116" s="365"/>
      <c r="L1116" s="365"/>
      <c r="M1116" s="365"/>
      <c r="N1116" s="1823"/>
    </row>
    <row r="1117" spans="1:14" ht="13">
      <c r="A1117" s="1818"/>
      <c r="B1117" s="1824"/>
      <c r="C1117" s="1822"/>
      <c r="D1117" s="365"/>
      <c r="E1117" s="365"/>
      <c r="F1117" s="365"/>
      <c r="G1117" s="365"/>
      <c r="H1117" s="365"/>
      <c r="I1117" s="365"/>
      <c r="J1117" s="365"/>
      <c r="K1117" s="365"/>
      <c r="L1117" s="365"/>
      <c r="M1117" s="365"/>
      <c r="N1117" s="1823"/>
    </row>
    <row r="1118" spans="1:14" ht="13">
      <c r="A1118" s="1818"/>
      <c r="B1118" s="1824"/>
      <c r="C1118" s="1822"/>
      <c r="D1118" s="365"/>
      <c r="E1118" s="365"/>
      <c r="F1118" s="365"/>
      <c r="G1118" s="365"/>
      <c r="H1118" s="365"/>
      <c r="I1118" s="365"/>
      <c r="J1118" s="365"/>
      <c r="K1118" s="365"/>
      <c r="L1118" s="365"/>
      <c r="M1118" s="365"/>
      <c r="N1118" s="1823"/>
    </row>
    <row r="1119" spans="1:14" ht="13">
      <c r="A1119" s="1818"/>
      <c r="B1119" s="1824"/>
      <c r="C1119" s="1822"/>
      <c r="D1119" s="365"/>
      <c r="E1119" s="365"/>
      <c r="F1119" s="365"/>
      <c r="G1119" s="365"/>
      <c r="H1119" s="365"/>
      <c r="I1119" s="365"/>
      <c r="J1119" s="365"/>
      <c r="K1119" s="365"/>
      <c r="L1119" s="365"/>
      <c r="M1119" s="365"/>
      <c r="N1119" s="1823"/>
    </row>
    <row r="1120" spans="1:14" ht="13">
      <c r="A1120" s="1836"/>
      <c r="B1120" s="1837"/>
      <c r="C1120" s="1838"/>
      <c r="D1120" s="1839"/>
      <c r="E1120" s="1839"/>
      <c r="F1120" s="1839"/>
      <c r="G1120" s="1839"/>
      <c r="H1120" s="1839"/>
      <c r="I1120" s="1839"/>
      <c r="J1120" s="1839"/>
      <c r="K1120" s="1839"/>
      <c r="L1120" s="1839"/>
      <c r="M1120" s="1839"/>
      <c r="N1120" s="1840"/>
    </row>
    <row r="1121" spans="1:14" ht="13">
      <c r="A1121" s="359"/>
      <c r="B1121" s="1824"/>
      <c r="C1121" s="1822"/>
      <c r="D1121" s="365"/>
      <c r="E1121" s="365"/>
      <c r="F1121" s="365"/>
      <c r="G1121" s="365"/>
      <c r="H1121" s="365"/>
      <c r="I1121" s="365"/>
      <c r="J1121" s="365"/>
      <c r="K1121" s="365"/>
      <c r="L1121" s="365"/>
      <c r="M1121" s="365"/>
      <c r="N1121" s="365"/>
    </row>
    <row r="1122" spans="1:14" ht="13">
      <c r="A1122" s="359"/>
      <c r="B1122" s="1824"/>
      <c r="C1122" s="1822"/>
      <c r="D1122" s="365"/>
      <c r="E1122" s="365"/>
      <c r="F1122" s="365"/>
      <c r="G1122" s="365"/>
      <c r="H1122" s="365"/>
      <c r="I1122" s="365"/>
      <c r="J1122" s="365"/>
      <c r="K1122" s="365"/>
      <c r="L1122" s="365"/>
      <c r="M1122" s="365"/>
      <c r="N1122" s="365"/>
    </row>
    <row r="1123" spans="1:14" ht="13">
      <c r="A1123" s="359"/>
      <c r="B1123" s="1824"/>
      <c r="C1123" s="1822"/>
      <c r="D1123" s="365"/>
      <c r="E1123" s="365"/>
      <c r="F1123" s="365"/>
      <c r="G1123" s="365"/>
      <c r="H1123" s="365"/>
      <c r="I1123" s="365"/>
      <c r="J1123" s="365"/>
      <c r="K1123" s="365"/>
      <c r="L1123" s="365"/>
      <c r="M1123" s="365"/>
      <c r="N1123" s="365"/>
    </row>
    <row r="1124" spans="1:14" ht="13">
      <c r="A1124" s="1812" t="s">
        <v>15</v>
      </c>
      <c r="B1124" s="1813" t="s">
        <v>241</v>
      </c>
      <c r="C1124" s="1814">
        <v>45292</v>
      </c>
      <c r="D1124" s="1815">
        <v>45323</v>
      </c>
      <c r="E1124" s="1815">
        <v>45352</v>
      </c>
      <c r="F1124" s="1815">
        <v>45383</v>
      </c>
      <c r="G1124" s="1815">
        <v>45413</v>
      </c>
      <c r="H1124" s="1815">
        <v>45444</v>
      </c>
      <c r="I1124" s="1815">
        <v>45474</v>
      </c>
      <c r="J1124" s="1815">
        <v>45505</v>
      </c>
      <c r="K1124" s="1815">
        <v>45536</v>
      </c>
      <c r="L1124" s="1816">
        <v>45566</v>
      </c>
      <c r="M1124" s="1816">
        <v>45597</v>
      </c>
      <c r="N1124" s="1817">
        <v>45627</v>
      </c>
    </row>
    <row r="1125" spans="1:14" ht="13">
      <c r="A1125" s="1818" t="s">
        <v>241</v>
      </c>
      <c r="B1125" s="1819">
        <v>488081833.58999997</v>
      </c>
      <c r="C1125" s="1820">
        <v>24213190.789999999</v>
      </c>
      <c r="D1125" s="361">
        <v>20495478.57</v>
      </c>
      <c r="E1125" s="361">
        <v>27365421.239999998</v>
      </c>
      <c r="F1125" s="361">
        <v>25083802.050000001</v>
      </c>
      <c r="G1125" s="361">
        <v>28551384.219999999</v>
      </c>
      <c r="H1125" s="361">
        <v>42264963.039999999</v>
      </c>
      <c r="I1125" s="361">
        <v>27886979.300000001</v>
      </c>
      <c r="J1125" s="361">
        <v>38138848.810000002</v>
      </c>
      <c r="K1125" s="361">
        <v>42347822.369999997</v>
      </c>
      <c r="L1125" s="361">
        <v>72544154.159999996</v>
      </c>
      <c r="M1125" s="361">
        <v>71560323.439999998</v>
      </c>
      <c r="N1125" s="1821">
        <v>67629465.590000004</v>
      </c>
    </row>
    <row r="1126" spans="1:14" ht="13">
      <c r="A1126" s="1818" t="s">
        <v>1403</v>
      </c>
      <c r="B1126" s="1819">
        <v>45109117.090000004</v>
      </c>
      <c r="C1126" s="1820">
        <v>1657695.09</v>
      </c>
      <c r="D1126" s="361">
        <v>1760478.65</v>
      </c>
      <c r="E1126" s="361">
        <v>2466139.21</v>
      </c>
      <c r="F1126" s="361">
        <v>4249116.5999999996</v>
      </c>
      <c r="G1126" s="361">
        <v>936277.52</v>
      </c>
      <c r="H1126" s="361">
        <v>4496461.07</v>
      </c>
      <c r="I1126" s="361">
        <v>5167474.3499999996</v>
      </c>
      <c r="J1126" s="361">
        <v>3601676.02</v>
      </c>
      <c r="K1126" s="361">
        <v>2638672.27</v>
      </c>
      <c r="L1126" s="361">
        <v>5554794.8300000001</v>
      </c>
      <c r="M1126" s="361">
        <v>6526345.9800000004</v>
      </c>
      <c r="N1126" s="1821">
        <v>6053985.5</v>
      </c>
    </row>
    <row r="1127" spans="1:14" ht="13">
      <c r="A1127" s="1818" t="s">
        <v>1022</v>
      </c>
      <c r="B1127" s="1819">
        <v>24601657.27</v>
      </c>
      <c r="C1127" s="1822">
        <v>0</v>
      </c>
      <c r="D1127" s="365">
        <v>0</v>
      </c>
      <c r="E1127" s="365">
        <v>0</v>
      </c>
      <c r="F1127" s="365">
        <v>0</v>
      </c>
      <c r="G1127" s="365">
        <v>0</v>
      </c>
      <c r="H1127" s="365">
        <v>0</v>
      </c>
      <c r="I1127" s="365">
        <v>0</v>
      </c>
      <c r="J1127" s="361">
        <v>9074353.9800000004</v>
      </c>
      <c r="K1127" s="361">
        <v>6874422.3200000003</v>
      </c>
      <c r="L1127" s="361">
        <v>3055698.1</v>
      </c>
      <c r="M1127" s="361">
        <v>4418536.25</v>
      </c>
      <c r="N1127" s="1821">
        <v>1178646.6200000001</v>
      </c>
    </row>
    <row r="1128" spans="1:14" ht="13">
      <c r="A1128" s="1818" t="s">
        <v>994</v>
      </c>
      <c r="B1128" s="1819">
        <v>24566530.989999998</v>
      </c>
      <c r="C1128" s="1820">
        <v>1135038.3500000001</v>
      </c>
      <c r="D1128" s="361">
        <v>1313446.28</v>
      </c>
      <c r="E1128" s="361">
        <v>1777045.85</v>
      </c>
      <c r="F1128" s="361">
        <v>1902612.84</v>
      </c>
      <c r="G1128" s="361">
        <v>1732978.68</v>
      </c>
      <c r="H1128" s="361">
        <v>1623288.67</v>
      </c>
      <c r="I1128" s="361">
        <v>2006475.03</v>
      </c>
      <c r="J1128" s="361">
        <v>1423467.83</v>
      </c>
      <c r="K1128" s="361">
        <v>936165.68</v>
      </c>
      <c r="L1128" s="361">
        <v>3156596.43</v>
      </c>
      <c r="M1128" s="361">
        <v>3909939.21</v>
      </c>
      <c r="N1128" s="1821">
        <v>3649476.15</v>
      </c>
    </row>
    <row r="1129" spans="1:14" ht="13">
      <c r="A1129" s="1818" t="s">
        <v>1400</v>
      </c>
      <c r="B1129" s="1819">
        <v>19519242.219999999</v>
      </c>
      <c r="C1129" s="1822">
        <v>0</v>
      </c>
      <c r="D1129" s="365">
        <v>0</v>
      </c>
      <c r="E1129" s="365">
        <v>0</v>
      </c>
      <c r="F1129" s="365">
        <v>0</v>
      </c>
      <c r="G1129" s="365">
        <v>0</v>
      </c>
      <c r="H1129" s="361">
        <v>8478107.3300000001</v>
      </c>
      <c r="I1129" s="361">
        <v>-208560.04</v>
      </c>
      <c r="J1129" s="365">
        <v>0</v>
      </c>
      <c r="K1129" s="365">
        <v>0</v>
      </c>
      <c r="L1129" s="365">
        <v>0</v>
      </c>
      <c r="M1129" s="365">
        <v>0</v>
      </c>
      <c r="N1129" s="1821">
        <v>11249694.93</v>
      </c>
    </row>
    <row r="1130" spans="1:14" ht="13">
      <c r="A1130" s="1818" t="s">
        <v>1268</v>
      </c>
      <c r="B1130" s="1819">
        <v>17968671.510000002</v>
      </c>
      <c r="C1130" s="1822">
        <v>0</v>
      </c>
      <c r="D1130" s="361">
        <v>1748668.12</v>
      </c>
      <c r="E1130" s="361">
        <v>385678.98</v>
      </c>
      <c r="F1130" s="365">
        <v>0</v>
      </c>
      <c r="G1130" s="361">
        <v>4364156.24</v>
      </c>
      <c r="H1130" s="361">
        <v>2540996.13</v>
      </c>
      <c r="I1130" s="361">
        <v>1811051.76</v>
      </c>
      <c r="J1130" s="361">
        <v>2262900.86</v>
      </c>
      <c r="K1130" s="361">
        <v>2102304.96</v>
      </c>
      <c r="L1130" s="361">
        <v>939111.72</v>
      </c>
      <c r="M1130" s="361">
        <v>498255.4</v>
      </c>
      <c r="N1130" s="1821">
        <v>1315547.3400000001</v>
      </c>
    </row>
    <row r="1131" spans="1:14" ht="13">
      <c r="A1131" s="1818" t="s">
        <v>1027</v>
      </c>
      <c r="B1131" s="1819">
        <v>17621575.550000001</v>
      </c>
      <c r="C1131" s="1820">
        <v>1072060.5</v>
      </c>
      <c r="D1131" s="361">
        <v>609509.42000000004</v>
      </c>
      <c r="E1131" s="361">
        <v>1335533.24</v>
      </c>
      <c r="F1131" s="361">
        <v>510503.57</v>
      </c>
      <c r="G1131" s="361">
        <v>418164.06</v>
      </c>
      <c r="H1131" s="361">
        <v>1881613.05</v>
      </c>
      <c r="I1131" s="361">
        <v>1289946.6399999999</v>
      </c>
      <c r="J1131" s="361">
        <v>382724.01</v>
      </c>
      <c r="K1131" s="361">
        <v>2094923.29</v>
      </c>
      <c r="L1131" s="361">
        <v>4685967.24</v>
      </c>
      <c r="M1131" s="361">
        <v>1373663.38</v>
      </c>
      <c r="N1131" s="1821">
        <v>1966967.16</v>
      </c>
    </row>
    <row r="1132" spans="1:14" ht="13">
      <c r="A1132" s="1818" t="s">
        <v>1641</v>
      </c>
      <c r="B1132" s="1819">
        <v>14366149.27</v>
      </c>
      <c r="C1132" s="1820">
        <v>2364812.21</v>
      </c>
      <c r="D1132" s="361">
        <v>485925.32</v>
      </c>
      <c r="E1132" s="361">
        <v>1484554.82</v>
      </c>
      <c r="F1132" s="361">
        <v>225756.79999999999</v>
      </c>
      <c r="G1132" s="361">
        <v>565367.98</v>
      </c>
      <c r="H1132" s="361">
        <v>1361304.92</v>
      </c>
      <c r="I1132" s="361">
        <v>883922.82</v>
      </c>
      <c r="J1132" s="361">
        <v>979598.03</v>
      </c>
      <c r="K1132" s="361">
        <v>1264081.01</v>
      </c>
      <c r="L1132" s="361">
        <v>1926451.74</v>
      </c>
      <c r="M1132" s="361">
        <v>2591404.4300000002</v>
      </c>
      <c r="N1132" s="1821">
        <v>232969.19</v>
      </c>
    </row>
    <row r="1133" spans="1:14" ht="13">
      <c r="A1133" s="1818" t="s">
        <v>1282</v>
      </c>
      <c r="B1133" s="1819">
        <v>14304858.890000001</v>
      </c>
      <c r="C1133" s="1820">
        <v>331109.37</v>
      </c>
      <c r="D1133" s="361">
        <v>1817295.67</v>
      </c>
      <c r="E1133" s="361">
        <v>506499.56</v>
      </c>
      <c r="F1133" s="361">
        <v>678819.95</v>
      </c>
      <c r="G1133" s="361">
        <v>913877.55</v>
      </c>
      <c r="H1133" s="361">
        <v>1143957.5</v>
      </c>
      <c r="I1133" s="361">
        <v>1275728.17</v>
      </c>
      <c r="J1133" s="361">
        <v>656689.56999999995</v>
      </c>
      <c r="K1133" s="361">
        <v>895189.73</v>
      </c>
      <c r="L1133" s="361">
        <v>2687591.25</v>
      </c>
      <c r="M1133" s="361">
        <v>816722.99</v>
      </c>
      <c r="N1133" s="1821">
        <v>2581377.56</v>
      </c>
    </row>
    <row r="1134" spans="1:14" ht="13">
      <c r="A1134" s="1818" t="s">
        <v>1021</v>
      </c>
      <c r="B1134" s="1819">
        <v>14196793.35</v>
      </c>
      <c r="C1134" s="1820">
        <v>1870211.82</v>
      </c>
      <c r="D1134" s="361">
        <v>1201394.48</v>
      </c>
      <c r="E1134" s="361">
        <v>855407.98</v>
      </c>
      <c r="F1134" s="361">
        <v>714462.6</v>
      </c>
      <c r="G1134" s="361">
        <v>327657.28999999998</v>
      </c>
      <c r="H1134" s="361">
        <v>1560384.41</v>
      </c>
      <c r="I1134" s="361">
        <v>1137818.55</v>
      </c>
      <c r="J1134" s="361">
        <v>1339112.32</v>
      </c>
      <c r="K1134" s="361">
        <v>888325.24</v>
      </c>
      <c r="L1134" s="361">
        <v>1444616.39</v>
      </c>
      <c r="M1134" s="361">
        <v>1667185.04</v>
      </c>
      <c r="N1134" s="1821">
        <v>1190217.23</v>
      </c>
    </row>
    <row r="1135" spans="1:14" ht="13">
      <c r="A1135" s="1818" t="s">
        <v>1405</v>
      </c>
      <c r="B1135" s="1819">
        <v>11720476.35</v>
      </c>
      <c r="C1135" s="1820">
        <v>1688766.3</v>
      </c>
      <c r="D1135" s="365">
        <v>0</v>
      </c>
      <c r="E1135" s="361">
        <v>813648</v>
      </c>
      <c r="F1135" s="361">
        <v>1224608.3</v>
      </c>
      <c r="G1135" s="361">
        <v>663088.5</v>
      </c>
      <c r="H1135" s="365">
        <v>0</v>
      </c>
      <c r="I1135" s="361">
        <v>2376709.7000000002</v>
      </c>
      <c r="J1135" s="361">
        <v>1460002</v>
      </c>
      <c r="K1135" s="361">
        <v>1233201.6499999999</v>
      </c>
      <c r="L1135" s="361">
        <v>632154</v>
      </c>
      <c r="M1135" s="361">
        <v>1026074.4</v>
      </c>
      <c r="N1135" s="1821">
        <v>602223.5</v>
      </c>
    </row>
    <row r="1136" spans="1:14" ht="13">
      <c r="A1136" s="1818" t="s">
        <v>1319</v>
      </c>
      <c r="B1136" s="1819">
        <v>11634002.380000001</v>
      </c>
      <c r="C1136" s="1820">
        <v>1144761.8</v>
      </c>
      <c r="D1136" s="361">
        <v>1191999.6000000001</v>
      </c>
      <c r="E1136" s="361">
        <v>207902.46</v>
      </c>
      <c r="F1136" s="361">
        <v>986650.28</v>
      </c>
      <c r="G1136" s="361">
        <v>1373471.86</v>
      </c>
      <c r="H1136" s="361">
        <v>416300.36</v>
      </c>
      <c r="I1136" s="361">
        <v>194746.46</v>
      </c>
      <c r="J1136" s="361">
        <v>952444.48</v>
      </c>
      <c r="K1136" s="361">
        <v>1697523.31</v>
      </c>
      <c r="L1136" s="361">
        <v>884707.82</v>
      </c>
      <c r="M1136" s="361">
        <v>1809533.94</v>
      </c>
      <c r="N1136" s="1821">
        <v>773960.01</v>
      </c>
    </row>
    <row r="1137" spans="1:14" ht="13">
      <c r="A1137" s="1818" t="s">
        <v>1738</v>
      </c>
      <c r="B1137" s="1819">
        <v>10814082.32</v>
      </c>
      <c r="C1137" s="1822">
        <v>0</v>
      </c>
      <c r="D1137" s="365">
        <v>0</v>
      </c>
      <c r="E1137" s="365">
        <v>0</v>
      </c>
      <c r="F1137" s="365">
        <v>0</v>
      </c>
      <c r="G1137" s="365">
        <v>0</v>
      </c>
      <c r="H1137" s="365">
        <v>0</v>
      </c>
      <c r="I1137" s="365">
        <v>0</v>
      </c>
      <c r="J1137" s="365">
        <v>0</v>
      </c>
      <c r="K1137" s="365">
        <v>0</v>
      </c>
      <c r="L1137" s="361">
        <v>2864877.43</v>
      </c>
      <c r="M1137" s="361">
        <v>4079068.27</v>
      </c>
      <c r="N1137" s="1821">
        <v>3870136.62</v>
      </c>
    </row>
    <row r="1138" spans="1:14" ht="13">
      <c r="A1138" s="1818" t="s">
        <v>1315</v>
      </c>
      <c r="B1138" s="1819">
        <v>10302308.66</v>
      </c>
      <c r="C1138" s="1822">
        <v>0</v>
      </c>
      <c r="D1138" s="365">
        <v>0</v>
      </c>
      <c r="E1138" s="365">
        <v>0</v>
      </c>
      <c r="F1138" s="365">
        <v>0</v>
      </c>
      <c r="G1138" s="365">
        <v>0</v>
      </c>
      <c r="H1138" s="365">
        <v>0</v>
      </c>
      <c r="I1138" s="361">
        <v>108868.37</v>
      </c>
      <c r="J1138" s="361">
        <v>881489.54</v>
      </c>
      <c r="K1138" s="361">
        <v>1520580.99</v>
      </c>
      <c r="L1138" s="361">
        <v>3697483.93</v>
      </c>
      <c r="M1138" s="361">
        <v>2251032.9300000002</v>
      </c>
      <c r="N1138" s="1821">
        <v>1842852.9</v>
      </c>
    </row>
    <row r="1139" spans="1:14" ht="13">
      <c r="A1139" s="1818" t="s">
        <v>1281</v>
      </c>
      <c r="B1139" s="1819">
        <v>9823242.7899999991</v>
      </c>
      <c r="C1139" s="1820">
        <v>419229.51</v>
      </c>
      <c r="D1139" s="361">
        <v>703865.35</v>
      </c>
      <c r="E1139" s="361">
        <v>679068.59</v>
      </c>
      <c r="F1139" s="365">
        <v>0</v>
      </c>
      <c r="G1139" s="361">
        <v>1103780.3899999999</v>
      </c>
      <c r="H1139" s="361">
        <v>425419.81</v>
      </c>
      <c r="I1139" s="361">
        <v>497038.11</v>
      </c>
      <c r="J1139" s="361">
        <v>944962.92</v>
      </c>
      <c r="K1139" s="361">
        <v>1072182.04</v>
      </c>
      <c r="L1139" s="361">
        <v>918283.04</v>
      </c>
      <c r="M1139" s="361">
        <v>1591572.67</v>
      </c>
      <c r="N1139" s="1821">
        <v>1467840.36</v>
      </c>
    </row>
    <row r="1140" spans="1:14" ht="13">
      <c r="A1140" s="1818" t="s">
        <v>1436</v>
      </c>
      <c r="B1140" s="1819">
        <v>9624890.2100000009</v>
      </c>
      <c r="C1140" s="1820">
        <v>780135.13</v>
      </c>
      <c r="D1140" s="361">
        <v>590153.43000000005</v>
      </c>
      <c r="E1140" s="361">
        <v>1066891.69</v>
      </c>
      <c r="F1140" s="361">
        <v>1765654.08</v>
      </c>
      <c r="G1140" s="365">
        <v>0</v>
      </c>
      <c r="H1140" s="361">
        <v>1667712.26</v>
      </c>
      <c r="I1140" s="361">
        <v>238159.19</v>
      </c>
      <c r="J1140" s="361">
        <v>1228115.1299999999</v>
      </c>
      <c r="K1140" s="361">
        <v>523059.22</v>
      </c>
      <c r="L1140" s="361">
        <v>699675.59</v>
      </c>
      <c r="M1140" s="361">
        <v>753264.47</v>
      </c>
      <c r="N1140" s="1821">
        <v>312070.01</v>
      </c>
    </row>
    <row r="1141" spans="1:14" ht="13">
      <c r="A1141" s="1818" t="s">
        <v>1441</v>
      </c>
      <c r="B1141" s="1819">
        <v>9356303.6400000006</v>
      </c>
      <c r="C1141" s="1820">
        <v>509782.98</v>
      </c>
      <c r="D1141" s="361">
        <v>440054.41</v>
      </c>
      <c r="E1141" s="361">
        <v>435189.59</v>
      </c>
      <c r="F1141" s="361">
        <v>833454.78</v>
      </c>
      <c r="G1141" s="361">
        <v>843269.57</v>
      </c>
      <c r="H1141" s="361">
        <v>464695.81</v>
      </c>
      <c r="I1141" s="361">
        <v>1289546.67</v>
      </c>
      <c r="J1141" s="361">
        <v>1135467.78</v>
      </c>
      <c r="K1141" s="361">
        <v>505825.78</v>
      </c>
      <c r="L1141" s="361">
        <v>1264195.92</v>
      </c>
      <c r="M1141" s="361">
        <v>1168782.8899999999</v>
      </c>
      <c r="N1141" s="1821">
        <v>466037.45</v>
      </c>
    </row>
    <row r="1142" spans="1:14" ht="13">
      <c r="A1142" s="1818" t="s">
        <v>641</v>
      </c>
      <c r="B1142" s="1819">
        <v>9261205.1999999993</v>
      </c>
      <c r="C1142" s="1820">
        <v>527819.42000000004</v>
      </c>
      <c r="D1142" s="361">
        <v>32982.480000000003</v>
      </c>
      <c r="E1142" s="361">
        <v>959725.42</v>
      </c>
      <c r="F1142" s="361">
        <v>1446449.14</v>
      </c>
      <c r="G1142" s="361">
        <v>822950.18</v>
      </c>
      <c r="H1142" s="361">
        <v>776213.98</v>
      </c>
      <c r="I1142" s="361">
        <v>625680.41</v>
      </c>
      <c r="J1142" s="361">
        <v>1186225.6100000001</v>
      </c>
      <c r="K1142" s="361">
        <v>614920.77</v>
      </c>
      <c r="L1142" s="361">
        <v>729026.12</v>
      </c>
      <c r="M1142" s="361">
        <v>1148928.43</v>
      </c>
      <c r="N1142" s="1821">
        <v>390283.23</v>
      </c>
    </row>
    <row r="1143" spans="1:14" ht="13">
      <c r="A1143" s="1818" t="s">
        <v>997</v>
      </c>
      <c r="B1143" s="1819">
        <v>9101276.7799999993</v>
      </c>
      <c r="C1143" s="1820">
        <v>340253.98</v>
      </c>
      <c r="D1143" s="361">
        <v>81398.83</v>
      </c>
      <c r="E1143" s="365">
        <v>0</v>
      </c>
      <c r="F1143" s="361">
        <v>222329.94</v>
      </c>
      <c r="G1143" s="361">
        <v>198359.31</v>
      </c>
      <c r="H1143" s="361">
        <v>778798.31</v>
      </c>
      <c r="I1143" s="361">
        <v>1445614.8</v>
      </c>
      <c r="J1143" s="361">
        <v>603030.38</v>
      </c>
      <c r="K1143" s="361">
        <v>490087.2</v>
      </c>
      <c r="L1143" s="361">
        <v>1818151.48</v>
      </c>
      <c r="M1143" s="361">
        <v>1235025.51</v>
      </c>
      <c r="N1143" s="1821">
        <v>1888227.04</v>
      </c>
    </row>
    <row r="1144" spans="1:14" ht="13">
      <c r="A1144" s="1818" t="s">
        <v>1332</v>
      </c>
      <c r="B1144" s="1819">
        <v>8863430.9299999997</v>
      </c>
      <c r="C1144" s="1822">
        <v>0</v>
      </c>
      <c r="D1144" s="365">
        <v>0</v>
      </c>
      <c r="E1144" s="365">
        <v>0</v>
      </c>
      <c r="F1144" s="365">
        <v>0</v>
      </c>
      <c r="G1144" s="365">
        <v>0</v>
      </c>
      <c r="H1144" s="365">
        <v>0</v>
      </c>
      <c r="I1144" s="365">
        <v>0</v>
      </c>
      <c r="J1144" s="361">
        <v>289253.63</v>
      </c>
      <c r="K1144" s="361">
        <v>1459803.79</v>
      </c>
      <c r="L1144" s="361">
        <v>2045052.8</v>
      </c>
      <c r="M1144" s="361">
        <v>1788508.82</v>
      </c>
      <c r="N1144" s="1821">
        <v>3280811.89</v>
      </c>
    </row>
    <row r="1145" spans="1:14" ht="13">
      <c r="A1145" s="1818" t="s">
        <v>1575</v>
      </c>
      <c r="B1145" s="1819">
        <v>7635083.0099999998</v>
      </c>
      <c r="C1145" s="1822">
        <v>0</v>
      </c>
      <c r="D1145" s="365">
        <v>0</v>
      </c>
      <c r="E1145" s="365">
        <v>0</v>
      </c>
      <c r="F1145" s="365">
        <v>0</v>
      </c>
      <c r="G1145" s="365">
        <v>0</v>
      </c>
      <c r="H1145" s="365">
        <v>0</v>
      </c>
      <c r="I1145" s="365">
        <v>0</v>
      </c>
      <c r="J1145" s="361">
        <v>1408979.83</v>
      </c>
      <c r="K1145" s="361">
        <v>807899.04</v>
      </c>
      <c r="L1145" s="361">
        <v>744271.44</v>
      </c>
      <c r="M1145" s="361">
        <v>2946112.97</v>
      </c>
      <c r="N1145" s="1821">
        <v>1727819.73</v>
      </c>
    </row>
    <row r="1146" spans="1:14" ht="13">
      <c r="A1146" s="1818" t="s">
        <v>1578</v>
      </c>
      <c r="B1146" s="1819">
        <v>7393879.5999999996</v>
      </c>
      <c r="C1146" s="1822">
        <v>0</v>
      </c>
      <c r="D1146" s="365">
        <v>0</v>
      </c>
      <c r="E1146" s="365">
        <v>0</v>
      </c>
      <c r="F1146" s="365">
        <v>0</v>
      </c>
      <c r="G1146" s="365">
        <v>0</v>
      </c>
      <c r="H1146" s="365">
        <v>0</v>
      </c>
      <c r="I1146" s="365">
        <v>0</v>
      </c>
      <c r="J1146" s="365">
        <v>0</v>
      </c>
      <c r="K1146" s="365">
        <v>0</v>
      </c>
      <c r="L1146" s="361">
        <v>1474892.35</v>
      </c>
      <c r="M1146" s="361">
        <v>4361601.18</v>
      </c>
      <c r="N1146" s="1821">
        <v>1557386.08</v>
      </c>
    </row>
    <row r="1147" spans="1:14" ht="13">
      <c r="A1147" s="1818" t="s">
        <v>1437</v>
      </c>
      <c r="B1147" s="1819">
        <v>6820826.9199999999</v>
      </c>
      <c r="C1147" s="1820">
        <v>199959.01</v>
      </c>
      <c r="D1147" s="361">
        <v>603826.28</v>
      </c>
      <c r="E1147" s="361">
        <v>612242.68000000005</v>
      </c>
      <c r="F1147" s="361">
        <v>1607984.51</v>
      </c>
      <c r="G1147" s="361">
        <v>211571.05</v>
      </c>
      <c r="H1147" s="361">
        <v>549099.41</v>
      </c>
      <c r="I1147" s="361">
        <v>467993.93</v>
      </c>
      <c r="J1147" s="361">
        <v>491416.57</v>
      </c>
      <c r="K1147" s="361">
        <v>615636.01</v>
      </c>
      <c r="L1147" s="361">
        <v>374986.88</v>
      </c>
      <c r="M1147" s="361">
        <v>729889.48</v>
      </c>
      <c r="N1147" s="1821">
        <v>356221.11</v>
      </c>
    </row>
    <row r="1148" spans="1:14" ht="13">
      <c r="A1148" s="1818" t="s">
        <v>1320</v>
      </c>
      <c r="B1148" s="1819">
        <v>6377372.4100000001</v>
      </c>
      <c r="C1148" s="1822">
        <v>0</v>
      </c>
      <c r="D1148" s="365">
        <v>0</v>
      </c>
      <c r="E1148" s="365">
        <v>0</v>
      </c>
      <c r="F1148" s="365">
        <v>0</v>
      </c>
      <c r="G1148" s="365">
        <v>0</v>
      </c>
      <c r="H1148" s="365">
        <v>0</v>
      </c>
      <c r="I1148" s="365">
        <v>0</v>
      </c>
      <c r="J1148" s="365">
        <v>0</v>
      </c>
      <c r="K1148" s="361">
        <v>126943.23</v>
      </c>
      <c r="L1148" s="361">
        <v>2397100.38</v>
      </c>
      <c r="M1148" s="361">
        <v>2629949.02</v>
      </c>
      <c r="N1148" s="1821">
        <v>1223379.78</v>
      </c>
    </row>
    <row r="1149" spans="1:14" ht="13">
      <c r="A1149" s="1818" t="s">
        <v>1398</v>
      </c>
      <c r="B1149" s="1819">
        <v>6244465.0199999996</v>
      </c>
      <c r="C1149" s="1822">
        <v>0</v>
      </c>
      <c r="D1149" s="365">
        <v>0</v>
      </c>
      <c r="E1149" s="361">
        <v>6207982.2000000002</v>
      </c>
      <c r="F1149" s="365">
        <v>0</v>
      </c>
      <c r="G1149" s="365">
        <v>0</v>
      </c>
      <c r="H1149" s="361">
        <v>36482.82</v>
      </c>
      <c r="I1149" s="365">
        <v>0</v>
      </c>
      <c r="J1149" s="365">
        <v>0</v>
      </c>
      <c r="K1149" s="365">
        <v>0</v>
      </c>
      <c r="L1149" s="365">
        <v>0</v>
      </c>
      <c r="M1149" s="365">
        <v>0</v>
      </c>
      <c r="N1149" s="1823">
        <v>0</v>
      </c>
    </row>
    <row r="1150" spans="1:14" ht="13">
      <c r="A1150" s="1818" t="s">
        <v>1492</v>
      </c>
      <c r="B1150" s="1819">
        <v>6204545.4500000002</v>
      </c>
      <c r="C1150" s="1822">
        <v>0</v>
      </c>
      <c r="D1150" s="365">
        <v>0</v>
      </c>
      <c r="E1150" s="365">
        <v>0</v>
      </c>
      <c r="F1150" s="365">
        <v>0</v>
      </c>
      <c r="G1150" s="365">
        <v>0</v>
      </c>
      <c r="H1150" s="365">
        <v>0</v>
      </c>
      <c r="I1150" s="365">
        <v>0</v>
      </c>
      <c r="J1150" s="365">
        <v>0</v>
      </c>
      <c r="K1150" s="365">
        <v>0</v>
      </c>
      <c r="L1150" s="361">
        <v>3722727.27</v>
      </c>
      <c r="M1150" s="361">
        <v>2481818.1800000002</v>
      </c>
      <c r="N1150" s="1823">
        <v>0</v>
      </c>
    </row>
    <row r="1151" spans="1:14" ht="13">
      <c r="A1151" s="1818" t="s">
        <v>1028</v>
      </c>
      <c r="B1151" s="1819">
        <v>6109387.0499999998</v>
      </c>
      <c r="C1151" s="1820">
        <v>662127.12</v>
      </c>
      <c r="D1151" s="361">
        <v>284554.65999999997</v>
      </c>
      <c r="E1151" s="361">
        <v>902886.37</v>
      </c>
      <c r="F1151" s="361">
        <v>491689.68</v>
      </c>
      <c r="G1151" s="361">
        <v>652249.62</v>
      </c>
      <c r="H1151" s="365">
        <v>0</v>
      </c>
      <c r="I1151" s="361">
        <v>578417.55000000005</v>
      </c>
      <c r="J1151" s="361">
        <v>277421.27</v>
      </c>
      <c r="K1151" s="361">
        <v>255109.65</v>
      </c>
      <c r="L1151" s="361">
        <v>641675.5</v>
      </c>
      <c r="M1151" s="361">
        <v>1078048.21</v>
      </c>
      <c r="N1151" s="1821">
        <v>285207.40999999997</v>
      </c>
    </row>
    <row r="1152" spans="1:14" ht="13">
      <c r="A1152" s="1818" t="s">
        <v>1402</v>
      </c>
      <c r="B1152" s="1819">
        <v>6092420.3200000003</v>
      </c>
      <c r="C1152" s="1822">
        <v>0</v>
      </c>
      <c r="D1152" s="365">
        <v>0</v>
      </c>
      <c r="E1152" s="365">
        <v>0</v>
      </c>
      <c r="F1152" s="365">
        <v>0</v>
      </c>
      <c r="G1152" s="361">
        <v>3570000</v>
      </c>
      <c r="H1152" s="361">
        <v>2100000.0499999998</v>
      </c>
      <c r="I1152" s="365">
        <v>0</v>
      </c>
      <c r="J1152" s="365">
        <v>0</v>
      </c>
      <c r="K1152" s="361">
        <v>99485.18</v>
      </c>
      <c r="L1152" s="361">
        <v>322935.08</v>
      </c>
      <c r="M1152" s="365">
        <v>0</v>
      </c>
      <c r="N1152" s="1823">
        <v>0</v>
      </c>
    </row>
    <row r="1153" spans="1:14" ht="13">
      <c r="A1153" s="1818" t="s">
        <v>1026</v>
      </c>
      <c r="B1153" s="1819">
        <v>5904314.7000000002</v>
      </c>
      <c r="C1153" s="1822">
        <v>0</v>
      </c>
      <c r="D1153" s="365">
        <v>0</v>
      </c>
      <c r="E1153" s="365">
        <v>0</v>
      </c>
      <c r="F1153" s="365">
        <v>0</v>
      </c>
      <c r="G1153" s="365">
        <v>0</v>
      </c>
      <c r="H1153" s="361">
        <v>522543.66</v>
      </c>
      <c r="I1153" s="361">
        <v>468801.69</v>
      </c>
      <c r="J1153" s="361">
        <v>495532.65</v>
      </c>
      <c r="K1153" s="361">
        <v>919560.1</v>
      </c>
      <c r="L1153" s="361">
        <v>1148523.98</v>
      </c>
      <c r="M1153" s="361">
        <v>1452397.41</v>
      </c>
      <c r="N1153" s="1821">
        <v>896955.23</v>
      </c>
    </row>
    <row r="1154" spans="1:14" ht="13">
      <c r="A1154" s="1818" t="s">
        <v>1399</v>
      </c>
      <c r="B1154" s="1819">
        <v>5901208.1600000001</v>
      </c>
      <c r="C1154" s="1822">
        <v>0</v>
      </c>
      <c r="D1154" s="365">
        <v>0</v>
      </c>
      <c r="E1154" s="365">
        <v>0</v>
      </c>
      <c r="F1154" s="365">
        <v>0</v>
      </c>
      <c r="G1154" s="365">
        <v>0</v>
      </c>
      <c r="H1154" s="361">
        <v>5428693.1600000001</v>
      </c>
      <c r="I1154" s="361">
        <v>472515</v>
      </c>
      <c r="J1154" s="365">
        <v>0</v>
      </c>
      <c r="K1154" s="365">
        <v>0</v>
      </c>
      <c r="L1154" s="365">
        <v>0</v>
      </c>
      <c r="M1154" s="365">
        <v>0</v>
      </c>
      <c r="N1154" s="1823">
        <v>0</v>
      </c>
    </row>
    <row r="1155" spans="1:14" ht="13">
      <c r="A1155" s="1818" t="s">
        <v>1308</v>
      </c>
      <c r="B1155" s="1819">
        <v>5669346.29</v>
      </c>
      <c r="C1155" s="1820">
        <v>253445.48</v>
      </c>
      <c r="D1155" s="361">
        <v>327151.90000000002</v>
      </c>
      <c r="E1155" s="361">
        <v>1808601.21</v>
      </c>
      <c r="F1155" s="361">
        <v>272386.26</v>
      </c>
      <c r="G1155" s="361">
        <v>74016.899999999994</v>
      </c>
      <c r="H1155" s="361">
        <v>234123.35</v>
      </c>
      <c r="I1155" s="361">
        <v>186757.51</v>
      </c>
      <c r="J1155" s="361">
        <v>122232.06</v>
      </c>
      <c r="K1155" s="365">
        <v>0</v>
      </c>
      <c r="L1155" s="361">
        <v>553916</v>
      </c>
      <c r="M1155" s="361">
        <v>1230797.46</v>
      </c>
      <c r="N1155" s="1821">
        <v>605918.16</v>
      </c>
    </row>
    <row r="1156" spans="1:14" ht="13">
      <c r="A1156" s="1818" t="s">
        <v>1337</v>
      </c>
      <c r="B1156" s="1819">
        <v>5522743.2599999998</v>
      </c>
      <c r="C1156" s="1822">
        <v>0</v>
      </c>
      <c r="D1156" s="365">
        <v>0</v>
      </c>
      <c r="E1156" s="365">
        <v>0</v>
      </c>
      <c r="F1156" s="365">
        <v>0</v>
      </c>
      <c r="G1156" s="365">
        <v>0</v>
      </c>
      <c r="H1156" s="365">
        <v>0</v>
      </c>
      <c r="I1156" s="365">
        <v>0</v>
      </c>
      <c r="J1156" s="365">
        <v>0</v>
      </c>
      <c r="K1156" s="361">
        <v>1056522.6499999999</v>
      </c>
      <c r="L1156" s="361">
        <v>619647.25</v>
      </c>
      <c r="M1156" s="361">
        <v>3304847.27</v>
      </c>
      <c r="N1156" s="1821">
        <v>541726.1</v>
      </c>
    </row>
    <row r="1157" spans="1:14" ht="13">
      <c r="A1157" s="1818" t="s">
        <v>1322</v>
      </c>
      <c r="B1157" s="1819">
        <v>5496231.0999999996</v>
      </c>
      <c r="C1157" s="1820">
        <v>426597.09</v>
      </c>
      <c r="D1157" s="361">
        <v>740662.06</v>
      </c>
      <c r="E1157" s="361">
        <v>-20639.12</v>
      </c>
      <c r="F1157" s="361">
        <v>1267697.3999999999</v>
      </c>
      <c r="G1157" s="365">
        <v>0</v>
      </c>
      <c r="H1157" s="361">
        <v>405633.54</v>
      </c>
      <c r="I1157" s="361">
        <v>216557.43</v>
      </c>
      <c r="J1157" s="361">
        <v>754492.14</v>
      </c>
      <c r="K1157" s="361">
        <v>321815.07</v>
      </c>
      <c r="L1157" s="361">
        <v>486536.44</v>
      </c>
      <c r="M1157" s="361">
        <v>610043.76</v>
      </c>
      <c r="N1157" s="1821">
        <v>286835.3</v>
      </c>
    </row>
    <row r="1158" spans="1:14" ht="13">
      <c r="A1158" s="1818" t="s">
        <v>1434</v>
      </c>
      <c r="B1158" s="1819">
        <v>5479365.3200000003</v>
      </c>
      <c r="C1158" s="1820">
        <v>170920.55</v>
      </c>
      <c r="D1158" s="361">
        <v>139402.88</v>
      </c>
      <c r="E1158" s="365">
        <v>0</v>
      </c>
      <c r="F1158" s="361">
        <v>475446.41</v>
      </c>
      <c r="G1158" s="361">
        <v>530134.91</v>
      </c>
      <c r="H1158" s="365">
        <v>0</v>
      </c>
      <c r="I1158" s="361">
        <v>631952.91</v>
      </c>
      <c r="J1158" s="361">
        <v>619294.56999999995</v>
      </c>
      <c r="K1158" s="361">
        <v>765845.16</v>
      </c>
      <c r="L1158" s="361">
        <v>481067.99</v>
      </c>
      <c r="M1158" s="361">
        <v>839821.72</v>
      </c>
      <c r="N1158" s="1821">
        <v>825478.23</v>
      </c>
    </row>
    <row r="1159" spans="1:14" ht="13">
      <c r="A1159" s="1818" t="s">
        <v>1270</v>
      </c>
      <c r="B1159" s="1819">
        <v>5466154.6399999997</v>
      </c>
      <c r="C1159" s="1822">
        <v>0</v>
      </c>
      <c r="D1159" s="365">
        <v>0</v>
      </c>
      <c r="E1159" s="365">
        <v>0</v>
      </c>
      <c r="F1159" s="365">
        <v>0</v>
      </c>
      <c r="G1159" s="365">
        <v>0</v>
      </c>
      <c r="H1159" s="365">
        <v>0</v>
      </c>
      <c r="I1159" s="365">
        <v>0</v>
      </c>
      <c r="J1159" s="365">
        <v>0</v>
      </c>
      <c r="K1159" s="361">
        <v>319125.84999999998</v>
      </c>
      <c r="L1159" s="361">
        <v>2147098.54</v>
      </c>
      <c r="M1159" s="361">
        <v>1091974.52</v>
      </c>
      <c r="N1159" s="1821">
        <v>1907955.73</v>
      </c>
    </row>
    <row r="1160" spans="1:14" ht="13">
      <c r="A1160" s="1818" t="s">
        <v>1269</v>
      </c>
      <c r="B1160" s="1819">
        <v>5036311.5599999996</v>
      </c>
      <c r="C1160" s="1822">
        <v>0</v>
      </c>
      <c r="D1160" s="365">
        <v>0</v>
      </c>
      <c r="E1160" s="365">
        <v>0</v>
      </c>
      <c r="F1160" s="365">
        <v>0</v>
      </c>
      <c r="G1160" s="365">
        <v>0</v>
      </c>
      <c r="H1160" s="365">
        <v>0</v>
      </c>
      <c r="I1160" s="365">
        <v>0</v>
      </c>
      <c r="J1160" s="365">
        <v>0</v>
      </c>
      <c r="K1160" s="365">
        <v>0</v>
      </c>
      <c r="L1160" s="361">
        <v>1230185.25</v>
      </c>
      <c r="M1160" s="361">
        <v>1884805.38</v>
      </c>
      <c r="N1160" s="1821">
        <v>1921320.93</v>
      </c>
    </row>
    <row r="1161" spans="1:14" ht="13">
      <c r="A1161" s="1818" t="s">
        <v>1317</v>
      </c>
      <c r="B1161" s="1819">
        <v>4804602.72</v>
      </c>
      <c r="C1161" s="1822">
        <v>0</v>
      </c>
      <c r="D1161" s="365">
        <v>0</v>
      </c>
      <c r="E1161" s="365">
        <v>0</v>
      </c>
      <c r="F1161" s="365">
        <v>0</v>
      </c>
      <c r="G1161" s="365">
        <v>0</v>
      </c>
      <c r="H1161" s="365">
        <v>0</v>
      </c>
      <c r="I1161" s="365">
        <v>0</v>
      </c>
      <c r="J1161" s="365">
        <v>0</v>
      </c>
      <c r="K1161" s="361">
        <v>108606.97</v>
      </c>
      <c r="L1161" s="361">
        <v>2539193.58</v>
      </c>
      <c r="M1161" s="361">
        <v>1795981.01</v>
      </c>
      <c r="N1161" s="1821">
        <v>360821.17</v>
      </c>
    </row>
    <row r="1162" spans="1:14" ht="13">
      <c r="A1162" s="1818" t="s">
        <v>1447</v>
      </c>
      <c r="B1162" s="1819">
        <v>4652789.66</v>
      </c>
      <c r="C1162" s="1822">
        <v>0</v>
      </c>
      <c r="D1162" s="365">
        <v>0</v>
      </c>
      <c r="E1162" s="361">
        <v>330605.74</v>
      </c>
      <c r="F1162" s="361">
        <v>108384.17</v>
      </c>
      <c r="G1162" s="361">
        <v>732516.7</v>
      </c>
      <c r="H1162" s="365">
        <v>0</v>
      </c>
      <c r="I1162" s="361">
        <v>917548.94</v>
      </c>
      <c r="J1162" s="361">
        <v>508096.47</v>
      </c>
      <c r="K1162" s="361">
        <v>223095.35</v>
      </c>
      <c r="L1162" s="361">
        <v>1087918.51</v>
      </c>
      <c r="M1162" s="361">
        <v>100548.07</v>
      </c>
      <c r="N1162" s="1821">
        <v>644075.71</v>
      </c>
    </row>
    <row r="1163" spans="1:14" ht="13">
      <c r="A1163" s="1818" t="s">
        <v>1029</v>
      </c>
      <c r="B1163" s="1819">
        <v>4448261.08</v>
      </c>
      <c r="C1163" s="1820">
        <v>223953.88</v>
      </c>
      <c r="D1163" s="365">
        <v>0</v>
      </c>
      <c r="E1163" s="361">
        <v>683995.5</v>
      </c>
      <c r="F1163" s="361">
        <v>947707.21</v>
      </c>
      <c r="G1163" s="361">
        <v>40662.25</v>
      </c>
      <c r="H1163" s="361">
        <v>644206.78</v>
      </c>
      <c r="I1163" s="361">
        <v>128297.25</v>
      </c>
      <c r="J1163" s="361">
        <v>246677.36</v>
      </c>
      <c r="K1163" s="361">
        <v>475315.12</v>
      </c>
      <c r="L1163" s="361">
        <v>642099.78</v>
      </c>
      <c r="M1163" s="361">
        <v>28500</v>
      </c>
      <c r="N1163" s="1821">
        <v>386845.96</v>
      </c>
    </row>
    <row r="1164" spans="1:14" ht="13">
      <c r="A1164" s="1818" t="s">
        <v>1314</v>
      </c>
      <c r="B1164" s="1819">
        <v>3927807.52</v>
      </c>
      <c r="C1164" s="1820">
        <v>248026.07</v>
      </c>
      <c r="D1164" s="361">
        <v>117254.54</v>
      </c>
      <c r="E1164" s="361">
        <v>685981.06</v>
      </c>
      <c r="F1164" s="365">
        <v>0</v>
      </c>
      <c r="G1164" s="361">
        <v>530985.67000000004</v>
      </c>
      <c r="H1164" s="365">
        <v>0</v>
      </c>
      <c r="I1164" s="361">
        <v>340552.88</v>
      </c>
      <c r="J1164" s="361">
        <v>637962.54</v>
      </c>
      <c r="K1164" s="361">
        <v>212979.48</v>
      </c>
      <c r="L1164" s="365">
        <v>0</v>
      </c>
      <c r="M1164" s="361">
        <v>711266.18</v>
      </c>
      <c r="N1164" s="1821">
        <v>442799.1</v>
      </c>
    </row>
    <row r="1165" spans="1:14" ht="13">
      <c r="A1165" s="1818" t="s">
        <v>1052</v>
      </c>
      <c r="B1165" s="1819">
        <v>3909448.76</v>
      </c>
      <c r="C1165" s="1822">
        <v>0</v>
      </c>
      <c r="D1165" s="361">
        <v>1657262.17</v>
      </c>
      <c r="E1165" s="361">
        <v>92119.14</v>
      </c>
      <c r="F1165" s="365">
        <v>0</v>
      </c>
      <c r="G1165" s="361">
        <v>991075.7</v>
      </c>
      <c r="H1165" s="361">
        <v>369731.12</v>
      </c>
      <c r="I1165" s="361">
        <v>587850.62</v>
      </c>
      <c r="J1165" s="361">
        <v>211410</v>
      </c>
      <c r="K1165" s="365">
        <v>0</v>
      </c>
      <c r="L1165" s="365">
        <v>0</v>
      </c>
      <c r="M1165" s="365">
        <v>0</v>
      </c>
      <c r="N1165" s="1823">
        <v>0</v>
      </c>
    </row>
    <row r="1166" spans="1:14" ht="13">
      <c r="A1166" s="1818" t="s">
        <v>1495</v>
      </c>
      <c r="B1166" s="1819">
        <v>3591257.85</v>
      </c>
      <c r="C1166" s="1822">
        <v>0</v>
      </c>
      <c r="D1166" s="361">
        <v>357426.45</v>
      </c>
      <c r="E1166" s="365">
        <v>0</v>
      </c>
      <c r="F1166" s="361">
        <v>721710.74</v>
      </c>
      <c r="G1166" s="365">
        <v>0</v>
      </c>
      <c r="H1166" s="361">
        <v>564814.05000000005</v>
      </c>
      <c r="I1166" s="365">
        <v>0</v>
      </c>
      <c r="J1166" s="361">
        <v>876433.88</v>
      </c>
      <c r="K1166" s="361">
        <v>411517.36</v>
      </c>
      <c r="L1166" s="361">
        <v>720740.5</v>
      </c>
      <c r="M1166" s="365">
        <v>0</v>
      </c>
      <c r="N1166" s="1821">
        <v>-61385.120000000003</v>
      </c>
    </row>
    <row r="1167" spans="1:14" ht="13">
      <c r="A1167" s="1818" t="s">
        <v>1577</v>
      </c>
      <c r="B1167" s="1819">
        <v>3499088.45</v>
      </c>
      <c r="C1167" s="1822">
        <v>0</v>
      </c>
      <c r="D1167" s="365">
        <v>0</v>
      </c>
      <c r="E1167" s="365">
        <v>0</v>
      </c>
      <c r="F1167" s="365">
        <v>0</v>
      </c>
      <c r="G1167" s="365">
        <v>0</v>
      </c>
      <c r="H1167" s="365">
        <v>0</v>
      </c>
      <c r="I1167" s="365">
        <v>0</v>
      </c>
      <c r="J1167" s="365">
        <v>0</v>
      </c>
      <c r="K1167" s="361">
        <v>1392035.03</v>
      </c>
      <c r="L1167" s="361">
        <v>2107053.42</v>
      </c>
      <c r="M1167" s="365">
        <v>0</v>
      </c>
      <c r="N1167" s="1823">
        <v>0</v>
      </c>
    </row>
    <row r="1168" spans="1:14" ht="13">
      <c r="A1168" s="1818" t="s">
        <v>1338</v>
      </c>
      <c r="B1168" s="1819">
        <v>3167964.47</v>
      </c>
      <c r="C1168" s="1822">
        <v>0</v>
      </c>
      <c r="D1168" s="365">
        <v>0</v>
      </c>
      <c r="E1168" s="365">
        <v>0</v>
      </c>
      <c r="F1168" s="365">
        <v>0</v>
      </c>
      <c r="G1168" s="365">
        <v>0</v>
      </c>
      <c r="H1168" s="365">
        <v>0</v>
      </c>
      <c r="I1168" s="365">
        <v>0</v>
      </c>
      <c r="J1168" s="361">
        <v>126488.47</v>
      </c>
      <c r="K1168" s="361">
        <v>2798597.41</v>
      </c>
      <c r="L1168" s="361">
        <v>50868.68</v>
      </c>
      <c r="M1168" s="365">
        <v>0</v>
      </c>
      <c r="N1168" s="1821">
        <v>192009.92</v>
      </c>
    </row>
    <row r="1169" spans="1:14" ht="13">
      <c r="A1169" s="1818" t="s">
        <v>1473</v>
      </c>
      <c r="B1169" s="1819">
        <v>3053970.9</v>
      </c>
      <c r="C1169" s="1822">
        <v>0</v>
      </c>
      <c r="D1169" s="361">
        <v>206478</v>
      </c>
      <c r="E1169" s="361">
        <v>334075.28999999998</v>
      </c>
      <c r="F1169" s="361">
        <v>198961.75</v>
      </c>
      <c r="G1169" s="361">
        <v>421966.48</v>
      </c>
      <c r="H1169" s="361">
        <v>441347.6</v>
      </c>
      <c r="I1169" s="361">
        <v>550919.18000000005</v>
      </c>
      <c r="J1169" s="365">
        <v>0</v>
      </c>
      <c r="K1169" s="361">
        <v>284592.17</v>
      </c>
      <c r="L1169" s="361">
        <v>373132.01</v>
      </c>
      <c r="M1169" s="361">
        <v>242498.42</v>
      </c>
      <c r="N1169" s="1823">
        <v>0</v>
      </c>
    </row>
    <row r="1170" spans="1:14" ht="13">
      <c r="A1170" s="1818" t="s">
        <v>1683</v>
      </c>
      <c r="B1170" s="1819">
        <v>3049578.87</v>
      </c>
      <c r="C1170" s="1822">
        <v>0</v>
      </c>
      <c r="D1170" s="365">
        <v>0</v>
      </c>
      <c r="E1170" s="365">
        <v>0</v>
      </c>
      <c r="F1170" s="365">
        <v>0</v>
      </c>
      <c r="G1170" s="365">
        <v>0</v>
      </c>
      <c r="H1170" s="365">
        <v>0</v>
      </c>
      <c r="I1170" s="365">
        <v>0</v>
      </c>
      <c r="J1170" s="361">
        <v>264865.25</v>
      </c>
      <c r="K1170" s="361">
        <v>1519445.94</v>
      </c>
      <c r="L1170" s="361">
        <v>777068.55</v>
      </c>
      <c r="M1170" s="361">
        <v>256426.29</v>
      </c>
      <c r="N1170" s="1821">
        <v>231772.84</v>
      </c>
    </row>
    <row r="1171" spans="1:14" ht="13">
      <c r="A1171" s="1818" t="s">
        <v>1264</v>
      </c>
      <c r="B1171" s="1819">
        <v>2783749.11</v>
      </c>
      <c r="C1171" s="1822">
        <v>0</v>
      </c>
      <c r="D1171" s="365">
        <v>0</v>
      </c>
      <c r="E1171" s="365">
        <v>0</v>
      </c>
      <c r="F1171" s="365">
        <v>0</v>
      </c>
      <c r="G1171" s="365">
        <v>0</v>
      </c>
      <c r="H1171" s="365">
        <v>0</v>
      </c>
      <c r="I1171" s="365">
        <v>0</v>
      </c>
      <c r="J1171" s="365">
        <v>0</v>
      </c>
      <c r="K1171" s="365">
        <v>0</v>
      </c>
      <c r="L1171" s="361">
        <v>1375078.3</v>
      </c>
      <c r="M1171" s="361">
        <v>999219.81</v>
      </c>
      <c r="N1171" s="1821">
        <v>409451</v>
      </c>
    </row>
    <row r="1172" spans="1:14" ht="13">
      <c r="A1172" s="1818" t="s">
        <v>1063</v>
      </c>
      <c r="B1172" s="1819">
        <v>2747344.39</v>
      </c>
      <c r="C1172" s="1820">
        <v>344342.07</v>
      </c>
      <c r="D1172" s="361">
        <v>747180.38</v>
      </c>
      <c r="E1172" s="361">
        <v>446217.57</v>
      </c>
      <c r="F1172" s="365">
        <v>0</v>
      </c>
      <c r="G1172" s="361">
        <v>1025454.03</v>
      </c>
      <c r="H1172" s="361">
        <v>184150.3</v>
      </c>
      <c r="I1172" s="365">
        <v>0.03</v>
      </c>
      <c r="J1172" s="365">
        <v>0</v>
      </c>
      <c r="K1172" s="365">
        <v>0</v>
      </c>
      <c r="L1172" s="365">
        <v>0</v>
      </c>
      <c r="M1172" s="365">
        <v>0</v>
      </c>
      <c r="N1172" s="1823">
        <v>0</v>
      </c>
    </row>
    <row r="1173" spans="1:14" ht="13">
      <c r="A1173" s="1818" t="s">
        <v>1023</v>
      </c>
      <c r="B1173" s="1819">
        <v>2621778.7599999998</v>
      </c>
      <c r="C1173" s="1822">
        <v>0</v>
      </c>
      <c r="D1173" s="365">
        <v>0</v>
      </c>
      <c r="E1173" s="365">
        <v>0</v>
      </c>
      <c r="F1173" s="365">
        <v>0</v>
      </c>
      <c r="G1173" s="365">
        <v>0</v>
      </c>
      <c r="H1173" s="365">
        <v>0</v>
      </c>
      <c r="I1173" s="365">
        <v>0</v>
      </c>
      <c r="J1173" s="365">
        <v>0</v>
      </c>
      <c r="K1173" s="365">
        <v>0</v>
      </c>
      <c r="L1173" s="365">
        <v>0</v>
      </c>
      <c r="M1173" s="365">
        <v>0</v>
      </c>
      <c r="N1173" s="1821">
        <v>2621778.7599999998</v>
      </c>
    </row>
    <row r="1174" spans="1:14" ht="13">
      <c r="A1174" s="1818" t="s">
        <v>1323</v>
      </c>
      <c r="B1174" s="1819">
        <v>2573065.79</v>
      </c>
      <c r="C1174" s="1820">
        <v>144766.38</v>
      </c>
      <c r="D1174" s="365">
        <v>0</v>
      </c>
      <c r="E1174" s="365">
        <v>0</v>
      </c>
      <c r="F1174" s="361">
        <v>282720.49</v>
      </c>
      <c r="G1174" s="361">
        <v>234990.69</v>
      </c>
      <c r="H1174" s="361">
        <v>314711.65000000002</v>
      </c>
      <c r="I1174" s="365">
        <v>0</v>
      </c>
      <c r="J1174" s="365">
        <v>0</v>
      </c>
      <c r="K1174" s="361">
        <v>521260.45</v>
      </c>
      <c r="L1174" s="365">
        <v>0</v>
      </c>
      <c r="M1174" s="361">
        <v>407804.44</v>
      </c>
      <c r="N1174" s="1821">
        <v>666811.69999999995</v>
      </c>
    </row>
    <row r="1175" spans="1:14" ht="13">
      <c r="A1175" s="1818" t="s">
        <v>1433</v>
      </c>
      <c r="B1175" s="1819">
        <v>2495576.64</v>
      </c>
      <c r="C1175" s="1822">
        <v>0</v>
      </c>
      <c r="D1175" s="365">
        <v>0</v>
      </c>
      <c r="E1175" s="365">
        <v>0</v>
      </c>
      <c r="F1175" s="361">
        <v>732733.02</v>
      </c>
      <c r="G1175" s="361">
        <v>238279.9</v>
      </c>
      <c r="H1175" s="365">
        <v>0</v>
      </c>
      <c r="I1175" s="365">
        <v>0</v>
      </c>
      <c r="J1175" s="365">
        <v>0</v>
      </c>
      <c r="K1175" s="365">
        <v>0</v>
      </c>
      <c r="L1175" s="365">
        <v>0</v>
      </c>
      <c r="M1175" s="361">
        <v>1524563.73</v>
      </c>
      <c r="N1175" s="1823">
        <v>0</v>
      </c>
    </row>
    <row r="1176" spans="1:14" ht="13">
      <c r="A1176" s="1818" t="s">
        <v>1019</v>
      </c>
      <c r="B1176" s="1819">
        <v>2424173.5099999998</v>
      </c>
      <c r="C1176" s="1820">
        <v>431272.2</v>
      </c>
      <c r="D1176" s="361">
        <v>241417.66</v>
      </c>
      <c r="E1176" s="365">
        <v>0</v>
      </c>
      <c r="F1176" s="365">
        <v>0</v>
      </c>
      <c r="G1176" s="361">
        <v>109748.63</v>
      </c>
      <c r="H1176" s="361">
        <v>213187.79</v>
      </c>
      <c r="I1176" s="361">
        <v>47409.120000000003</v>
      </c>
      <c r="J1176" s="361">
        <v>490563.17</v>
      </c>
      <c r="K1176" s="361">
        <v>5463.59</v>
      </c>
      <c r="L1176" s="361">
        <v>220457.34</v>
      </c>
      <c r="M1176" s="365">
        <v>0</v>
      </c>
      <c r="N1176" s="1821">
        <v>664654</v>
      </c>
    </row>
    <row r="1177" spans="1:14" ht="13">
      <c r="A1177" s="1818" t="s">
        <v>1446</v>
      </c>
      <c r="B1177" s="1819">
        <v>2334293.2599999998</v>
      </c>
      <c r="C1177" s="1820">
        <v>335492.55</v>
      </c>
      <c r="D1177" s="365">
        <v>0</v>
      </c>
      <c r="E1177" s="361">
        <v>155553.70000000001</v>
      </c>
      <c r="F1177" s="365">
        <v>0</v>
      </c>
      <c r="G1177" s="361">
        <v>1500376.51</v>
      </c>
      <c r="H1177" s="361">
        <v>223365.42</v>
      </c>
      <c r="I1177" s="361">
        <v>119505.09</v>
      </c>
      <c r="J1177" s="365">
        <v>0</v>
      </c>
      <c r="K1177" s="365">
        <v>0</v>
      </c>
      <c r="L1177" s="365">
        <v>0</v>
      </c>
      <c r="M1177" s="365">
        <v>0</v>
      </c>
      <c r="N1177" s="1823">
        <v>0</v>
      </c>
    </row>
    <row r="1178" spans="1:14" ht="13">
      <c r="A1178" s="1818" t="s">
        <v>1646</v>
      </c>
      <c r="B1178" s="1819">
        <v>2271533.86</v>
      </c>
      <c r="C1178" s="1822">
        <v>0</v>
      </c>
      <c r="D1178" s="361">
        <v>758524.4</v>
      </c>
      <c r="E1178" s="361">
        <v>301485.51</v>
      </c>
      <c r="F1178" s="365">
        <v>0</v>
      </c>
      <c r="G1178" s="361">
        <v>252956</v>
      </c>
      <c r="H1178" s="361">
        <v>721948.02</v>
      </c>
      <c r="I1178" s="365">
        <v>0</v>
      </c>
      <c r="J1178" s="365">
        <v>0</v>
      </c>
      <c r="K1178" s="365">
        <v>0</v>
      </c>
      <c r="L1178" s="361">
        <v>236619.93</v>
      </c>
      <c r="M1178" s="365">
        <v>0</v>
      </c>
      <c r="N1178" s="1823">
        <v>0</v>
      </c>
    </row>
    <row r="1179" spans="1:14" ht="13">
      <c r="A1179" s="1818" t="s">
        <v>1056</v>
      </c>
      <c r="B1179" s="1819">
        <v>1931345.72</v>
      </c>
      <c r="C1179" s="1820">
        <v>409344.19</v>
      </c>
      <c r="D1179" s="361">
        <v>184534.94</v>
      </c>
      <c r="E1179" s="365">
        <v>0</v>
      </c>
      <c r="F1179" s="365">
        <v>0</v>
      </c>
      <c r="G1179" s="361">
        <v>83486.34</v>
      </c>
      <c r="H1179" s="365">
        <v>0</v>
      </c>
      <c r="I1179" s="365">
        <v>0</v>
      </c>
      <c r="J1179" s="361">
        <v>210515.27</v>
      </c>
      <c r="K1179" s="361">
        <v>61326.82</v>
      </c>
      <c r="L1179" s="361">
        <v>547881.93000000005</v>
      </c>
      <c r="M1179" s="361">
        <v>220265.43</v>
      </c>
      <c r="N1179" s="1821">
        <v>213990.8</v>
      </c>
    </row>
    <row r="1180" spans="1:14" ht="13">
      <c r="A1180" s="1818" t="s">
        <v>1739</v>
      </c>
      <c r="B1180" s="1819">
        <v>1887042.38</v>
      </c>
      <c r="C1180" s="1822">
        <v>0</v>
      </c>
      <c r="D1180" s="365">
        <v>0</v>
      </c>
      <c r="E1180" s="365">
        <v>0</v>
      </c>
      <c r="F1180" s="365">
        <v>0</v>
      </c>
      <c r="G1180" s="365">
        <v>0</v>
      </c>
      <c r="H1180" s="365">
        <v>0</v>
      </c>
      <c r="I1180" s="365">
        <v>0</v>
      </c>
      <c r="J1180" s="365">
        <v>0</v>
      </c>
      <c r="K1180" s="365">
        <v>0</v>
      </c>
      <c r="L1180" s="365">
        <v>0</v>
      </c>
      <c r="M1180" s="365">
        <v>0</v>
      </c>
      <c r="N1180" s="1821">
        <v>1887042.38</v>
      </c>
    </row>
    <row r="1181" spans="1:14" ht="13">
      <c r="A1181" s="1818" t="s">
        <v>1340</v>
      </c>
      <c r="B1181" s="1819">
        <v>1711754.44</v>
      </c>
      <c r="C1181" s="1822">
        <v>0</v>
      </c>
      <c r="D1181" s="365">
        <v>0</v>
      </c>
      <c r="E1181" s="365">
        <v>0</v>
      </c>
      <c r="F1181" s="365">
        <v>0</v>
      </c>
      <c r="G1181" s="365">
        <v>0</v>
      </c>
      <c r="H1181" s="365">
        <v>0</v>
      </c>
      <c r="I1181" s="365">
        <v>0</v>
      </c>
      <c r="J1181" s="361">
        <v>297679.43</v>
      </c>
      <c r="K1181" s="365">
        <v>0</v>
      </c>
      <c r="L1181" s="361">
        <v>1414075.01</v>
      </c>
      <c r="M1181" s="365">
        <v>0</v>
      </c>
      <c r="N1181" s="1823">
        <v>0</v>
      </c>
    </row>
    <row r="1182" spans="1:14" ht="13">
      <c r="A1182" s="1818" t="s">
        <v>1537</v>
      </c>
      <c r="B1182" s="1819">
        <v>1524788.92</v>
      </c>
      <c r="C1182" s="1820">
        <v>1293030</v>
      </c>
      <c r="D1182" s="361">
        <v>231758.92</v>
      </c>
      <c r="E1182" s="365">
        <v>0</v>
      </c>
      <c r="F1182" s="365">
        <v>0</v>
      </c>
      <c r="G1182" s="365">
        <v>0</v>
      </c>
      <c r="H1182" s="365">
        <v>0</v>
      </c>
      <c r="I1182" s="365">
        <v>0</v>
      </c>
      <c r="J1182" s="365">
        <v>0</v>
      </c>
      <c r="K1182" s="365">
        <v>0</v>
      </c>
      <c r="L1182" s="365">
        <v>0</v>
      </c>
      <c r="M1182" s="365">
        <v>0</v>
      </c>
      <c r="N1182" s="1823">
        <v>0</v>
      </c>
    </row>
    <row r="1183" spans="1:14" ht="13">
      <c r="A1183" s="1818" t="s">
        <v>1435</v>
      </c>
      <c r="B1183" s="1819">
        <v>1443027.22</v>
      </c>
      <c r="C1183" s="1822">
        <v>0</v>
      </c>
      <c r="D1183" s="365">
        <v>0</v>
      </c>
      <c r="E1183" s="365">
        <v>0</v>
      </c>
      <c r="F1183" s="365">
        <v>0</v>
      </c>
      <c r="G1183" s="365">
        <v>0</v>
      </c>
      <c r="H1183" s="365">
        <v>0</v>
      </c>
      <c r="I1183" s="365">
        <v>0</v>
      </c>
      <c r="J1183" s="365">
        <v>0</v>
      </c>
      <c r="K1183" s="361">
        <v>624525.31000000006</v>
      </c>
      <c r="L1183" s="361">
        <v>533504.96</v>
      </c>
      <c r="M1183" s="365">
        <v>0</v>
      </c>
      <c r="N1183" s="1821">
        <v>284996.95</v>
      </c>
    </row>
    <row r="1184" spans="1:14" ht="13">
      <c r="A1184" s="1818" t="s">
        <v>1024</v>
      </c>
      <c r="B1184" s="1819">
        <v>1420719.56</v>
      </c>
      <c r="C1184" s="1822">
        <v>0</v>
      </c>
      <c r="D1184" s="365">
        <v>0</v>
      </c>
      <c r="E1184" s="365">
        <v>0</v>
      </c>
      <c r="F1184" s="365">
        <v>0</v>
      </c>
      <c r="G1184" s="365">
        <v>0</v>
      </c>
      <c r="H1184" s="365">
        <v>0</v>
      </c>
      <c r="I1184" s="361">
        <v>163931.48000000001</v>
      </c>
      <c r="J1184" s="365">
        <v>0</v>
      </c>
      <c r="K1184" s="361">
        <v>160636.32999999999</v>
      </c>
      <c r="L1184" s="361">
        <v>392900.28</v>
      </c>
      <c r="M1184" s="361">
        <v>433819.28</v>
      </c>
      <c r="N1184" s="1821">
        <v>269432.18</v>
      </c>
    </row>
    <row r="1185" spans="1:14" ht="13">
      <c r="A1185" s="1818" t="s">
        <v>1055</v>
      </c>
      <c r="B1185" s="1819">
        <v>1419436.95</v>
      </c>
      <c r="C1185" s="1820">
        <v>172404.37</v>
      </c>
      <c r="D1185" s="365">
        <v>0</v>
      </c>
      <c r="E1185" s="361">
        <v>377524.35</v>
      </c>
      <c r="F1185" s="361">
        <v>61496.55</v>
      </c>
      <c r="G1185" s="361">
        <v>133664.41</v>
      </c>
      <c r="H1185" s="365">
        <v>0</v>
      </c>
      <c r="I1185" s="361">
        <v>146131.07999999999</v>
      </c>
      <c r="J1185" s="361">
        <v>233027.64</v>
      </c>
      <c r="K1185" s="365">
        <v>0</v>
      </c>
      <c r="L1185" s="361">
        <v>295188.55</v>
      </c>
      <c r="M1185" s="365">
        <v>0</v>
      </c>
      <c r="N1185" s="1823">
        <v>0</v>
      </c>
    </row>
    <row r="1186" spans="1:14" ht="13">
      <c r="A1186" s="1818" t="s">
        <v>1450</v>
      </c>
      <c r="B1186" s="1819">
        <v>1338779.29</v>
      </c>
      <c r="C1186" s="1820">
        <v>136925.07</v>
      </c>
      <c r="D1186" s="361">
        <v>137406.04999999999</v>
      </c>
      <c r="E1186" s="365">
        <v>0</v>
      </c>
      <c r="F1186" s="361">
        <v>107698.05</v>
      </c>
      <c r="G1186" s="361">
        <v>41112.74</v>
      </c>
      <c r="H1186" s="361">
        <v>233027.64</v>
      </c>
      <c r="I1186" s="361">
        <v>87369.77</v>
      </c>
      <c r="J1186" s="361">
        <v>109643.84</v>
      </c>
      <c r="K1186" s="361">
        <v>20624.7</v>
      </c>
      <c r="L1186" s="361">
        <v>152559.9</v>
      </c>
      <c r="M1186" s="361">
        <v>207018.29</v>
      </c>
      <c r="N1186" s="1821">
        <v>105393.24</v>
      </c>
    </row>
    <row r="1187" spans="1:14" ht="13">
      <c r="A1187" s="1818" t="s">
        <v>1431</v>
      </c>
      <c r="B1187" s="1819">
        <v>1239952.8799999999</v>
      </c>
      <c r="C1187" s="1822">
        <v>0</v>
      </c>
      <c r="D1187" s="365">
        <v>0</v>
      </c>
      <c r="E1187" s="365">
        <v>0</v>
      </c>
      <c r="F1187" s="365">
        <v>0</v>
      </c>
      <c r="G1187" s="361">
        <v>82626.070000000007</v>
      </c>
      <c r="H1187" s="361">
        <v>118745.03</v>
      </c>
      <c r="I1187" s="361">
        <v>132741.29999999999</v>
      </c>
      <c r="J1187" s="365">
        <v>0</v>
      </c>
      <c r="K1187" s="361">
        <v>237734.7</v>
      </c>
      <c r="L1187" s="361">
        <v>123876</v>
      </c>
      <c r="M1187" s="361">
        <v>427816.6</v>
      </c>
      <c r="N1187" s="1821">
        <v>116413.18</v>
      </c>
    </row>
    <row r="1188" spans="1:14" ht="13">
      <c r="A1188" s="1818" t="s">
        <v>1432</v>
      </c>
      <c r="B1188" s="1819">
        <v>1203811.8600000001</v>
      </c>
      <c r="C1188" s="1820">
        <v>316319.65000000002</v>
      </c>
      <c r="D1188" s="365">
        <v>0</v>
      </c>
      <c r="E1188" s="365">
        <v>0</v>
      </c>
      <c r="F1188" s="365">
        <v>0</v>
      </c>
      <c r="G1188" s="365">
        <v>0</v>
      </c>
      <c r="H1188" s="365">
        <v>0</v>
      </c>
      <c r="I1188" s="361">
        <v>293772.74</v>
      </c>
      <c r="J1188" s="365">
        <v>0</v>
      </c>
      <c r="K1188" s="365">
        <v>0</v>
      </c>
      <c r="L1188" s="361">
        <v>370780.82</v>
      </c>
      <c r="M1188" s="365">
        <v>0</v>
      </c>
      <c r="N1188" s="1821">
        <v>222938.65</v>
      </c>
    </row>
    <row r="1189" spans="1:14" ht="13">
      <c r="A1189" s="1818" t="s">
        <v>1740</v>
      </c>
      <c r="B1189" s="1819">
        <v>1195628.78</v>
      </c>
      <c r="C1189" s="1822">
        <v>0</v>
      </c>
      <c r="D1189" s="365">
        <v>0</v>
      </c>
      <c r="E1189" s="365">
        <v>0</v>
      </c>
      <c r="F1189" s="361">
        <v>361338.64</v>
      </c>
      <c r="G1189" s="361">
        <v>339604.92</v>
      </c>
      <c r="H1189" s="361">
        <v>93137.45</v>
      </c>
      <c r="I1189" s="361">
        <v>148453.51999999999</v>
      </c>
      <c r="J1189" s="365">
        <v>0</v>
      </c>
      <c r="K1189" s="361">
        <v>129802.8</v>
      </c>
      <c r="L1189" s="361">
        <v>123291.45</v>
      </c>
      <c r="M1189" s="365">
        <v>0</v>
      </c>
      <c r="N1189" s="1823">
        <v>0</v>
      </c>
    </row>
    <row r="1190" spans="1:14" ht="13">
      <c r="A1190" s="1818" t="s">
        <v>1499</v>
      </c>
      <c r="B1190" s="1819">
        <v>1114190.08</v>
      </c>
      <c r="C1190" s="1822">
        <v>0</v>
      </c>
      <c r="D1190" s="365">
        <v>0</v>
      </c>
      <c r="E1190" s="365">
        <v>0</v>
      </c>
      <c r="F1190" s="365">
        <v>0</v>
      </c>
      <c r="G1190" s="361">
        <v>885462.81</v>
      </c>
      <c r="H1190" s="361">
        <v>63929.75</v>
      </c>
      <c r="I1190" s="361">
        <v>-63929.75</v>
      </c>
      <c r="J1190" s="365">
        <v>0</v>
      </c>
      <c r="K1190" s="365">
        <v>0</v>
      </c>
      <c r="L1190" s="365">
        <v>0</v>
      </c>
      <c r="M1190" s="365">
        <v>0</v>
      </c>
      <c r="N1190" s="1821">
        <v>228727.27</v>
      </c>
    </row>
    <row r="1191" spans="1:14" ht="13">
      <c r="A1191" s="1818" t="s">
        <v>1438</v>
      </c>
      <c r="B1191" s="1819">
        <v>1103724.32</v>
      </c>
      <c r="C1191" s="1822">
        <v>0</v>
      </c>
      <c r="D1191" s="365">
        <v>0</v>
      </c>
      <c r="E1191" s="365">
        <v>0</v>
      </c>
      <c r="F1191" s="361">
        <v>1103724.32</v>
      </c>
      <c r="G1191" s="365">
        <v>0</v>
      </c>
      <c r="H1191" s="365">
        <v>0</v>
      </c>
      <c r="I1191" s="365">
        <v>0</v>
      </c>
      <c r="J1191" s="365">
        <v>0</v>
      </c>
      <c r="K1191" s="365">
        <v>0</v>
      </c>
      <c r="L1191" s="365">
        <v>0</v>
      </c>
      <c r="M1191" s="365">
        <v>0</v>
      </c>
      <c r="N1191" s="1823">
        <v>0</v>
      </c>
    </row>
    <row r="1192" spans="1:14" ht="13">
      <c r="A1192" s="1818" t="s">
        <v>1444</v>
      </c>
      <c r="B1192" s="1819">
        <v>1079798.2</v>
      </c>
      <c r="C1192" s="1820">
        <v>370711.67</v>
      </c>
      <c r="D1192" s="365">
        <v>0</v>
      </c>
      <c r="E1192" s="365">
        <v>0</v>
      </c>
      <c r="F1192" s="365">
        <v>0</v>
      </c>
      <c r="G1192" s="365">
        <v>0</v>
      </c>
      <c r="H1192" s="361">
        <v>344212.75</v>
      </c>
      <c r="I1192" s="365">
        <v>0</v>
      </c>
      <c r="J1192" s="361">
        <v>364873.77</v>
      </c>
      <c r="K1192" s="365">
        <v>0</v>
      </c>
      <c r="L1192" s="365">
        <v>0</v>
      </c>
      <c r="M1192" s="365">
        <v>0</v>
      </c>
      <c r="N1192" s="1823">
        <v>0</v>
      </c>
    </row>
    <row r="1193" spans="1:14" ht="13">
      <c r="A1193" s="1818" t="s">
        <v>1498</v>
      </c>
      <c r="B1193" s="1819">
        <v>985555.37</v>
      </c>
      <c r="C1193" s="1822">
        <v>0</v>
      </c>
      <c r="D1193" s="361">
        <v>45756.2</v>
      </c>
      <c r="E1193" s="365">
        <v>0</v>
      </c>
      <c r="F1193" s="361">
        <v>116314.88</v>
      </c>
      <c r="G1193" s="365">
        <v>0</v>
      </c>
      <c r="H1193" s="365">
        <v>0</v>
      </c>
      <c r="I1193" s="361">
        <v>218660.33</v>
      </c>
      <c r="J1193" s="365">
        <v>0</v>
      </c>
      <c r="K1193" s="361">
        <v>102380.17</v>
      </c>
      <c r="L1193" s="365">
        <v>0</v>
      </c>
      <c r="M1193" s="361">
        <v>149419.01</v>
      </c>
      <c r="N1193" s="1821">
        <v>353024.79</v>
      </c>
    </row>
    <row r="1194" spans="1:14" ht="13">
      <c r="A1194" s="1818" t="s">
        <v>1065</v>
      </c>
      <c r="B1194" s="1819">
        <v>972888.49</v>
      </c>
      <c r="C1194" s="1820">
        <v>407412.44</v>
      </c>
      <c r="D1194" s="361">
        <v>19613.400000000001</v>
      </c>
      <c r="E1194" s="365">
        <v>0</v>
      </c>
      <c r="F1194" s="365">
        <v>0</v>
      </c>
      <c r="G1194" s="365">
        <v>0</v>
      </c>
      <c r="H1194" s="365">
        <v>0</v>
      </c>
      <c r="I1194" s="361">
        <v>37530.6</v>
      </c>
      <c r="J1194" s="365">
        <v>0</v>
      </c>
      <c r="K1194" s="365">
        <v>0</v>
      </c>
      <c r="L1194" s="361">
        <v>243508.85</v>
      </c>
      <c r="M1194" s="365">
        <v>0</v>
      </c>
      <c r="N1194" s="1821">
        <v>264823.2</v>
      </c>
    </row>
    <row r="1195" spans="1:14" ht="13">
      <c r="A1195" s="1818" t="s">
        <v>1448</v>
      </c>
      <c r="B1195" s="1819">
        <v>880147.9</v>
      </c>
      <c r="C1195" s="1822">
        <v>0</v>
      </c>
      <c r="D1195" s="361">
        <v>62801.36</v>
      </c>
      <c r="E1195" s="361">
        <v>7238.43</v>
      </c>
      <c r="F1195" s="361">
        <v>173735.44</v>
      </c>
      <c r="G1195" s="365">
        <v>0</v>
      </c>
      <c r="H1195" s="361">
        <v>113667.24</v>
      </c>
      <c r="I1195" s="361">
        <v>73979.09</v>
      </c>
      <c r="J1195" s="365">
        <v>0</v>
      </c>
      <c r="K1195" s="361">
        <v>190544.63</v>
      </c>
      <c r="L1195" s="361">
        <v>120970.57</v>
      </c>
      <c r="M1195" s="361">
        <v>70518.210000000006</v>
      </c>
      <c r="N1195" s="1821">
        <v>66692.929999999993</v>
      </c>
    </row>
    <row r="1196" spans="1:14" ht="13">
      <c r="A1196" s="1818" t="s">
        <v>1422</v>
      </c>
      <c r="B1196" s="1819">
        <v>852045.58</v>
      </c>
      <c r="C1196" s="1822">
        <v>0</v>
      </c>
      <c r="D1196" s="361">
        <v>512543.68</v>
      </c>
      <c r="E1196" s="365">
        <v>0</v>
      </c>
      <c r="F1196" s="365">
        <v>0</v>
      </c>
      <c r="G1196" s="365">
        <v>0</v>
      </c>
      <c r="H1196" s="365">
        <v>0</v>
      </c>
      <c r="I1196" s="361">
        <v>339501.89</v>
      </c>
      <c r="J1196" s="365">
        <v>0</v>
      </c>
      <c r="K1196" s="365">
        <v>0</v>
      </c>
      <c r="L1196" s="365">
        <v>0</v>
      </c>
      <c r="M1196" s="365">
        <v>0</v>
      </c>
      <c r="N1196" s="1823">
        <v>0</v>
      </c>
    </row>
    <row r="1197" spans="1:14" ht="13">
      <c r="A1197" s="1818" t="s">
        <v>1312</v>
      </c>
      <c r="B1197" s="1819">
        <v>842042.95</v>
      </c>
      <c r="C1197" s="1820">
        <v>842042.95</v>
      </c>
      <c r="D1197" s="365">
        <v>0</v>
      </c>
      <c r="E1197" s="365">
        <v>0</v>
      </c>
      <c r="F1197" s="365">
        <v>0</v>
      </c>
      <c r="G1197" s="365">
        <v>0</v>
      </c>
      <c r="H1197" s="365">
        <v>0</v>
      </c>
      <c r="I1197" s="365">
        <v>0</v>
      </c>
      <c r="J1197" s="365">
        <v>0</v>
      </c>
      <c r="K1197" s="365">
        <v>0</v>
      </c>
      <c r="L1197" s="365">
        <v>0</v>
      </c>
      <c r="M1197" s="365">
        <v>0</v>
      </c>
      <c r="N1197" s="1823">
        <v>0</v>
      </c>
    </row>
    <row r="1198" spans="1:14" ht="13">
      <c r="A1198" s="1818" t="s">
        <v>1058</v>
      </c>
      <c r="B1198" s="1819">
        <v>836479.01</v>
      </c>
      <c r="C1198" s="1822">
        <v>0</v>
      </c>
      <c r="D1198" s="361">
        <v>352890.99</v>
      </c>
      <c r="E1198" s="361">
        <v>307620.37</v>
      </c>
      <c r="F1198" s="361">
        <v>175967.64</v>
      </c>
      <c r="G1198" s="365">
        <v>0</v>
      </c>
      <c r="H1198" s="365">
        <v>0</v>
      </c>
      <c r="I1198" s="365">
        <v>0</v>
      </c>
      <c r="J1198" s="365">
        <v>0</v>
      </c>
      <c r="K1198" s="365">
        <v>0</v>
      </c>
      <c r="L1198" s="365">
        <v>0</v>
      </c>
      <c r="M1198" s="365">
        <v>0</v>
      </c>
      <c r="N1198" s="1823">
        <v>0</v>
      </c>
    </row>
    <row r="1199" spans="1:14" ht="13">
      <c r="A1199" s="1818" t="s">
        <v>1741</v>
      </c>
      <c r="B1199" s="1819">
        <v>774458.75</v>
      </c>
      <c r="C1199" s="1820">
        <v>448641.58</v>
      </c>
      <c r="D1199" s="361">
        <v>234736.24</v>
      </c>
      <c r="E1199" s="361">
        <v>91080.94</v>
      </c>
      <c r="F1199" s="365">
        <v>0</v>
      </c>
      <c r="G1199" s="365">
        <v>0</v>
      </c>
      <c r="H1199" s="365">
        <v>0</v>
      </c>
      <c r="I1199" s="365">
        <v>0</v>
      </c>
      <c r="J1199" s="365">
        <v>0</v>
      </c>
      <c r="K1199" s="365">
        <v>0</v>
      </c>
      <c r="L1199" s="365">
        <v>0</v>
      </c>
      <c r="M1199" s="365">
        <v>0</v>
      </c>
      <c r="N1199" s="1823">
        <v>0</v>
      </c>
    </row>
    <row r="1200" spans="1:14" ht="13">
      <c r="A1200" s="1818" t="s">
        <v>1344</v>
      </c>
      <c r="B1200" s="1819">
        <v>744641.55</v>
      </c>
      <c r="C1200" s="1820">
        <v>152569.82999999999</v>
      </c>
      <c r="D1200" s="365">
        <v>0</v>
      </c>
      <c r="E1200" s="361">
        <v>239417.61</v>
      </c>
      <c r="F1200" s="365">
        <v>0</v>
      </c>
      <c r="G1200" s="365">
        <v>0</v>
      </c>
      <c r="H1200" s="361">
        <v>155082.6</v>
      </c>
      <c r="I1200" s="365">
        <v>0</v>
      </c>
      <c r="J1200" s="365">
        <v>0</v>
      </c>
      <c r="K1200" s="365">
        <v>0</v>
      </c>
      <c r="L1200" s="365">
        <v>0</v>
      </c>
      <c r="M1200" s="361">
        <v>197571.51</v>
      </c>
      <c r="N1200" s="1823">
        <v>0</v>
      </c>
    </row>
    <row r="1201" spans="1:14" ht="13">
      <c r="A1201" s="1818" t="s">
        <v>1324</v>
      </c>
      <c r="B1201" s="1819">
        <v>710631.62</v>
      </c>
      <c r="C1201" s="1820">
        <v>293131.62</v>
      </c>
      <c r="D1201" s="365">
        <v>0</v>
      </c>
      <c r="E1201" s="365">
        <v>0</v>
      </c>
      <c r="F1201" s="365">
        <v>0</v>
      </c>
      <c r="G1201" s="365">
        <v>0</v>
      </c>
      <c r="H1201" s="365">
        <v>0</v>
      </c>
      <c r="I1201" s="365">
        <v>0</v>
      </c>
      <c r="J1201" s="365">
        <v>0</v>
      </c>
      <c r="K1201" s="365">
        <v>0</v>
      </c>
      <c r="L1201" s="361">
        <v>417500</v>
      </c>
      <c r="M1201" s="365">
        <v>0</v>
      </c>
      <c r="N1201" s="1823">
        <v>0</v>
      </c>
    </row>
    <row r="1202" spans="1:14" ht="13">
      <c r="A1202" s="1818" t="s">
        <v>1054</v>
      </c>
      <c r="B1202" s="1819">
        <v>699501.43</v>
      </c>
      <c r="C1202" s="1822">
        <v>0</v>
      </c>
      <c r="D1202" s="365">
        <v>0</v>
      </c>
      <c r="E1202" s="365">
        <v>0</v>
      </c>
      <c r="F1202" s="365">
        <v>0</v>
      </c>
      <c r="G1202" s="361">
        <v>241388.54</v>
      </c>
      <c r="H1202" s="361">
        <v>232831.69</v>
      </c>
      <c r="I1202" s="365">
        <v>0</v>
      </c>
      <c r="J1202" s="361">
        <v>225281.21</v>
      </c>
      <c r="K1202" s="365">
        <v>0</v>
      </c>
      <c r="L1202" s="365">
        <v>0</v>
      </c>
      <c r="M1202" s="365">
        <v>0</v>
      </c>
      <c r="N1202" s="1823">
        <v>0</v>
      </c>
    </row>
    <row r="1203" spans="1:14" ht="13">
      <c r="A1203" s="1818" t="s">
        <v>1662</v>
      </c>
      <c r="B1203" s="1819">
        <v>690963.62</v>
      </c>
      <c r="C1203" s="1822">
        <v>0</v>
      </c>
      <c r="D1203" s="365">
        <v>0</v>
      </c>
      <c r="E1203" s="365">
        <v>0</v>
      </c>
      <c r="F1203" s="365">
        <v>0</v>
      </c>
      <c r="G1203" s="361">
        <v>392650.84</v>
      </c>
      <c r="H1203" s="361">
        <v>180727.19</v>
      </c>
      <c r="I1203" s="365">
        <v>0</v>
      </c>
      <c r="J1203" s="365">
        <v>0</v>
      </c>
      <c r="K1203" s="365">
        <v>0</v>
      </c>
      <c r="L1203" s="365">
        <v>0</v>
      </c>
      <c r="M1203" s="365">
        <v>0</v>
      </c>
      <c r="N1203" s="1821">
        <v>117585.60000000001</v>
      </c>
    </row>
    <row r="1204" spans="1:14" ht="13">
      <c r="A1204" s="1818" t="s">
        <v>1309</v>
      </c>
      <c r="B1204" s="1819">
        <v>611689.75</v>
      </c>
      <c r="C1204" s="1822">
        <v>0</v>
      </c>
      <c r="D1204" s="365">
        <v>0</v>
      </c>
      <c r="E1204" s="365">
        <v>0</v>
      </c>
      <c r="F1204" s="361">
        <v>611689.75</v>
      </c>
      <c r="G1204" s="365">
        <v>0</v>
      </c>
      <c r="H1204" s="365">
        <v>0</v>
      </c>
      <c r="I1204" s="365">
        <v>0</v>
      </c>
      <c r="J1204" s="365">
        <v>0</v>
      </c>
      <c r="K1204" s="365">
        <v>0</v>
      </c>
      <c r="L1204" s="365">
        <v>0</v>
      </c>
      <c r="M1204" s="365">
        <v>0</v>
      </c>
      <c r="N1204" s="1823">
        <v>0</v>
      </c>
    </row>
    <row r="1205" spans="1:14" ht="13">
      <c r="A1205" s="1818" t="s">
        <v>1451</v>
      </c>
      <c r="B1205" s="1819">
        <v>578757.02</v>
      </c>
      <c r="C1205" s="1820">
        <v>250976.54</v>
      </c>
      <c r="D1205" s="365">
        <v>0</v>
      </c>
      <c r="E1205" s="365">
        <v>0</v>
      </c>
      <c r="F1205" s="365">
        <v>0</v>
      </c>
      <c r="G1205" s="365">
        <v>0</v>
      </c>
      <c r="H1205" s="365">
        <v>0</v>
      </c>
      <c r="I1205" s="365">
        <v>0</v>
      </c>
      <c r="J1205" s="365">
        <v>0</v>
      </c>
      <c r="K1205" s="365">
        <v>0</v>
      </c>
      <c r="L1205" s="361">
        <v>327780.47999999998</v>
      </c>
      <c r="M1205" s="365">
        <v>0</v>
      </c>
      <c r="N1205" s="1823">
        <v>0</v>
      </c>
    </row>
    <row r="1206" spans="1:14" ht="13">
      <c r="A1206" s="1818" t="s">
        <v>1742</v>
      </c>
      <c r="B1206" s="1819">
        <v>571739.52</v>
      </c>
      <c r="C1206" s="1822">
        <v>0</v>
      </c>
      <c r="D1206" s="365">
        <v>0</v>
      </c>
      <c r="E1206" s="365">
        <v>0</v>
      </c>
      <c r="F1206" s="365">
        <v>0</v>
      </c>
      <c r="G1206" s="361">
        <v>571739.52</v>
      </c>
      <c r="H1206" s="365">
        <v>0</v>
      </c>
      <c r="I1206" s="365">
        <v>0</v>
      </c>
      <c r="J1206" s="365">
        <v>0</v>
      </c>
      <c r="K1206" s="365">
        <v>0</v>
      </c>
      <c r="L1206" s="365">
        <v>0</v>
      </c>
      <c r="M1206" s="365">
        <v>0</v>
      </c>
      <c r="N1206" s="1823">
        <v>0</v>
      </c>
    </row>
    <row r="1207" spans="1:14" ht="13">
      <c r="A1207" s="1818" t="s">
        <v>1439</v>
      </c>
      <c r="B1207" s="1819">
        <v>549234.65</v>
      </c>
      <c r="C1207" s="1822">
        <v>0</v>
      </c>
      <c r="D1207" s="361">
        <v>205708.15</v>
      </c>
      <c r="E1207" s="365">
        <v>0</v>
      </c>
      <c r="F1207" s="365">
        <v>0</v>
      </c>
      <c r="G1207" s="365">
        <v>0</v>
      </c>
      <c r="H1207" s="365">
        <v>0</v>
      </c>
      <c r="I1207" s="365">
        <v>0</v>
      </c>
      <c r="J1207" s="365">
        <v>0</v>
      </c>
      <c r="K1207" s="365">
        <v>0</v>
      </c>
      <c r="L1207" s="361">
        <v>343526.5</v>
      </c>
      <c r="M1207" s="365">
        <v>0</v>
      </c>
      <c r="N1207" s="1823">
        <v>0</v>
      </c>
    </row>
    <row r="1208" spans="1:14" ht="13">
      <c r="A1208" s="1818" t="s">
        <v>1743</v>
      </c>
      <c r="B1208" s="1819">
        <v>530185.71</v>
      </c>
      <c r="C1208" s="1820">
        <v>530185.71</v>
      </c>
      <c r="D1208" s="365">
        <v>0</v>
      </c>
      <c r="E1208" s="365">
        <v>0</v>
      </c>
      <c r="F1208" s="365">
        <v>0</v>
      </c>
      <c r="G1208" s="365">
        <v>0</v>
      </c>
      <c r="H1208" s="365">
        <v>0</v>
      </c>
      <c r="I1208" s="365">
        <v>0</v>
      </c>
      <c r="J1208" s="365">
        <v>0</v>
      </c>
      <c r="K1208" s="365">
        <v>0</v>
      </c>
      <c r="L1208" s="365">
        <v>0</v>
      </c>
      <c r="M1208" s="365">
        <v>0</v>
      </c>
      <c r="N1208" s="1823">
        <v>0</v>
      </c>
    </row>
    <row r="1209" spans="1:14" ht="13">
      <c r="A1209" s="1818" t="s">
        <v>1274</v>
      </c>
      <c r="B1209" s="1819">
        <v>514298.84</v>
      </c>
      <c r="C1209" s="1822">
        <v>0</v>
      </c>
      <c r="D1209" s="365">
        <v>0</v>
      </c>
      <c r="E1209" s="365">
        <v>0</v>
      </c>
      <c r="F1209" s="365">
        <v>0</v>
      </c>
      <c r="G1209" s="365">
        <v>0</v>
      </c>
      <c r="H1209" s="365">
        <v>0</v>
      </c>
      <c r="I1209" s="365">
        <v>0</v>
      </c>
      <c r="J1209" s="365">
        <v>0</v>
      </c>
      <c r="K1209" s="361">
        <v>19597.5</v>
      </c>
      <c r="L1209" s="361">
        <v>175277.89</v>
      </c>
      <c r="M1209" s="365">
        <v>0</v>
      </c>
      <c r="N1209" s="1821">
        <v>319423.45</v>
      </c>
    </row>
    <row r="1210" spans="1:14" ht="13">
      <c r="A1210" s="1818" t="s">
        <v>1744</v>
      </c>
      <c r="B1210" s="1819">
        <v>510155.04</v>
      </c>
      <c r="C1210" s="1822">
        <v>0</v>
      </c>
      <c r="D1210" s="365">
        <v>0</v>
      </c>
      <c r="E1210" s="361">
        <v>314141.92</v>
      </c>
      <c r="F1210" s="365">
        <v>0</v>
      </c>
      <c r="G1210" s="365">
        <v>0</v>
      </c>
      <c r="H1210" s="365">
        <v>0</v>
      </c>
      <c r="I1210" s="365">
        <v>0</v>
      </c>
      <c r="J1210" s="365">
        <v>0</v>
      </c>
      <c r="K1210" s="361">
        <v>196013.12</v>
      </c>
      <c r="L1210" s="365">
        <v>0</v>
      </c>
      <c r="M1210" s="365">
        <v>0</v>
      </c>
      <c r="N1210" s="1823">
        <v>0</v>
      </c>
    </row>
    <row r="1211" spans="1:14" ht="13">
      <c r="A1211" s="1818" t="s">
        <v>1745</v>
      </c>
      <c r="B1211" s="1819">
        <v>492163.3</v>
      </c>
      <c r="C1211" s="1822">
        <v>0</v>
      </c>
      <c r="D1211" s="365">
        <v>0</v>
      </c>
      <c r="E1211" s="365">
        <v>0</v>
      </c>
      <c r="F1211" s="365">
        <v>0</v>
      </c>
      <c r="G1211" s="365">
        <v>0</v>
      </c>
      <c r="H1211" s="365">
        <v>0</v>
      </c>
      <c r="I1211" s="365">
        <v>0</v>
      </c>
      <c r="J1211" s="361">
        <v>207551.91</v>
      </c>
      <c r="K1211" s="361">
        <v>127381.41</v>
      </c>
      <c r="L1211" s="365">
        <v>0</v>
      </c>
      <c r="M1211" s="365">
        <v>0</v>
      </c>
      <c r="N1211" s="1821">
        <v>157229.98000000001</v>
      </c>
    </row>
    <row r="1212" spans="1:14" ht="13">
      <c r="A1212" s="1818" t="s">
        <v>1746</v>
      </c>
      <c r="B1212" s="1819">
        <v>483866.48</v>
      </c>
      <c r="C1212" s="1822">
        <v>0</v>
      </c>
      <c r="D1212" s="365">
        <v>0</v>
      </c>
      <c r="E1212" s="365">
        <v>0</v>
      </c>
      <c r="F1212" s="365">
        <v>0</v>
      </c>
      <c r="G1212" s="365">
        <v>0</v>
      </c>
      <c r="H1212" s="365">
        <v>0</v>
      </c>
      <c r="I1212" s="365">
        <v>0</v>
      </c>
      <c r="J1212" s="365">
        <v>0</v>
      </c>
      <c r="K1212" s="361">
        <v>158428.6</v>
      </c>
      <c r="L1212" s="361">
        <v>325437.88</v>
      </c>
      <c r="M1212" s="365">
        <v>0</v>
      </c>
      <c r="N1212" s="1823">
        <v>0</v>
      </c>
    </row>
    <row r="1213" spans="1:14" ht="13">
      <c r="A1213" s="1818" t="s">
        <v>1747</v>
      </c>
      <c r="B1213" s="1819">
        <v>461805.97</v>
      </c>
      <c r="C1213" s="1822">
        <v>0</v>
      </c>
      <c r="D1213" s="365">
        <v>0</v>
      </c>
      <c r="E1213" s="365">
        <v>0</v>
      </c>
      <c r="F1213" s="365">
        <v>0</v>
      </c>
      <c r="G1213" s="365">
        <v>0</v>
      </c>
      <c r="H1213" s="365">
        <v>0</v>
      </c>
      <c r="I1213" s="365">
        <v>0</v>
      </c>
      <c r="J1213" s="365">
        <v>0</v>
      </c>
      <c r="K1213" s="361">
        <v>162962.59</v>
      </c>
      <c r="L1213" s="361">
        <v>298843.38</v>
      </c>
      <c r="M1213" s="365">
        <v>0</v>
      </c>
      <c r="N1213" s="1823">
        <v>0</v>
      </c>
    </row>
    <row r="1214" spans="1:14" ht="13">
      <c r="A1214" s="1818" t="s">
        <v>1062</v>
      </c>
      <c r="B1214" s="1819">
        <v>453776.5</v>
      </c>
      <c r="C1214" s="1822">
        <v>0</v>
      </c>
      <c r="D1214" s="365">
        <v>0</v>
      </c>
      <c r="E1214" s="361">
        <v>81655.78</v>
      </c>
      <c r="F1214" s="361">
        <v>148654.5</v>
      </c>
      <c r="G1214" s="365">
        <v>0</v>
      </c>
      <c r="H1214" s="361">
        <v>167325.93</v>
      </c>
      <c r="I1214" s="361">
        <v>56140.29</v>
      </c>
      <c r="J1214" s="365">
        <v>0</v>
      </c>
      <c r="K1214" s="365">
        <v>0</v>
      </c>
      <c r="L1214" s="365">
        <v>0</v>
      </c>
      <c r="M1214" s="365">
        <v>0</v>
      </c>
      <c r="N1214" s="1823">
        <v>0</v>
      </c>
    </row>
    <row r="1215" spans="1:14" ht="13">
      <c r="A1215" s="1818" t="s">
        <v>1443</v>
      </c>
      <c r="B1215" s="1819">
        <v>451077.78</v>
      </c>
      <c r="C1215" s="1822">
        <v>0</v>
      </c>
      <c r="D1215" s="365">
        <v>0</v>
      </c>
      <c r="E1215" s="361">
        <v>330348.61</v>
      </c>
      <c r="F1215" s="361">
        <v>120729.18</v>
      </c>
      <c r="G1215" s="365">
        <v>0</v>
      </c>
      <c r="H1215" s="365">
        <v>0</v>
      </c>
      <c r="I1215" s="365">
        <v>0</v>
      </c>
      <c r="J1215" s="365">
        <v>0</v>
      </c>
      <c r="K1215" s="365">
        <v>0</v>
      </c>
      <c r="L1215" s="365">
        <v>0</v>
      </c>
      <c r="M1215" s="365">
        <v>0</v>
      </c>
      <c r="N1215" s="1823">
        <v>0</v>
      </c>
    </row>
    <row r="1216" spans="1:14" ht="13">
      <c r="A1216" s="1818" t="s">
        <v>1477</v>
      </c>
      <c r="B1216" s="1819">
        <v>434052.83</v>
      </c>
      <c r="C1216" s="1822">
        <v>0</v>
      </c>
      <c r="D1216" s="365">
        <v>0</v>
      </c>
      <c r="E1216" s="365">
        <v>0</v>
      </c>
      <c r="F1216" s="365">
        <v>0</v>
      </c>
      <c r="G1216" s="365">
        <v>0</v>
      </c>
      <c r="H1216" s="365">
        <v>0</v>
      </c>
      <c r="I1216" s="365">
        <v>0</v>
      </c>
      <c r="J1216" s="365">
        <v>0</v>
      </c>
      <c r="K1216" s="365">
        <v>0</v>
      </c>
      <c r="L1216" s="361">
        <v>434052.83</v>
      </c>
      <c r="M1216" s="365">
        <v>0</v>
      </c>
      <c r="N1216" s="1823">
        <v>0</v>
      </c>
    </row>
    <row r="1217" spans="1:14" ht="13">
      <c r="A1217" s="1818" t="s">
        <v>1061</v>
      </c>
      <c r="B1217" s="1819">
        <v>432707.84000000003</v>
      </c>
      <c r="C1217" s="1820">
        <v>56979</v>
      </c>
      <c r="D1217" s="365">
        <v>0</v>
      </c>
      <c r="E1217" s="365">
        <v>0</v>
      </c>
      <c r="F1217" s="365">
        <v>0</v>
      </c>
      <c r="G1217" s="361">
        <v>180499.91</v>
      </c>
      <c r="H1217" s="365">
        <v>0</v>
      </c>
      <c r="I1217" s="361">
        <v>195228.93</v>
      </c>
      <c r="J1217" s="365">
        <v>0</v>
      </c>
      <c r="K1217" s="365">
        <v>0</v>
      </c>
      <c r="L1217" s="365">
        <v>0</v>
      </c>
      <c r="M1217" s="365">
        <v>0</v>
      </c>
      <c r="N1217" s="1823">
        <v>0</v>
      </c>
    </row>
    <row r="1218" spans="1:14" ht="13">
      <c r="A1218" s="1818" t="s">
        <v>1501</v>
      </c>
      <c r="B1218" s="1819">
        <v>428280.92</v>
      </c>
      <c r="C1218" s="1822">
        <v>0</v>
      </c>
      <c r="D1218" s="365">
        <v>0</v>
      </c>
      <c r="E1218" s="365">
        <v>0</v>
      </c>
      <c r="F1218" s="365">
        <v>0</v>
      </c>
      <c r="G1218" s="365">
        <v>0</v>
      </c>
      <c r="H1218" s="365">
        <v>0</v>
      </c>
      <c r="I1218" s="365">
        <v>0</v>
      </c>
      <c r="J1218" s="361">
        <v>428280.92</v>
      </c>
      <c r="K1218" s="365">
        <v>0</v>
      </c>
      <c r="L1218" s="365">
        <v>0</v>
      </c>
      <c r="M1218" s="365">
        <v>0</v>
      </c>
      <c r="N1218" s="1823">
        <v>0</v>
      </c>
    </row>
    <row r="1219" spans="1:14" ht="13">
      <c r="A1219" s="1818" t="s">
        <v>1494</v>
      </c>
      <c r="B1219" s="1819">
        <v>422966.12</v>
      </c>
      <c r="C1219" s="1822">
        <v>0</v>
      </c>
      <c r="D1219" s="365">
        <v>0</v>
      </c>
      <c r="E1219" s="365">
        <v>0</v>
      </c>
      <c r="F1219" s="365">
        <v>0</v>
      </c>
      <c r="G1219" s="365">
        <v>0</v>
      </c>
      <c r="H1219" s="365">
        <v>0</v>
      </c>
      <c r="I1219" s="365">
        <v>0</v>
      </c>
      <c r="J1219" s="365">
        <v>0</v>
      </c>
      <c r="K1219" s="365">
        <v>0</v>
      </c>
      <c r="L1219" s="361">
        <v>422966.12</v>
      </c>
      <c r="M1219" s="365">
        <v>0</v>
      </c>
      <c r="N1219" s="1823">
        <v>0</v>
      </c>
    </row>
    <row r="1220" spans="1:14" ht="13">
      <c r="A1220" s="1818" t="s">
        <v>1533</v>
      </c>
      <c r="B1220" s="1819">
        <v>415443.88</v>
      </c>
      <c r="C1220" s="1820">
        <v>415443.88</v>
      </c>
      <c r="D1220" s="365">
        <v>0</v>
      </c>
      <c r="E1220" s="365">
        <v>0</v>
      </c>
      <c r="F1220" s="365">
        <v>0</v>
      </c>
      <c r="G1220" s="365">
        <v>0</v>
      </c>
      <c r="H1220" s="365">
        <v>0</v>
      </c>
      <c r="I1220" s="365">
        <v>0</v>
      </c>
      <c r="J1220" s="365">
        <v>0</v>
      </c>
      <c r="K1220" s="365">
        <v>0</v>
      </c>
      <c r="L1220" s="365">
        <v>0</v>
      </c>
      <c r="M1220" s="365">
        <v>0</v>
      </c>
      <c r="N1220" s="1823">
        <v>0</v>
      </c>
    </row>
    <row r="1221" spans="1:14" ht="13">
      <c r="A1221" s="1818" t="s">
        <v>1529</v>
      </c>
      <c r="B1221" s="1819">
        <v>405567.91</v>
      </c>
      <c r="C1221" s="1820">
        <v>24304.5</v>
      </c>
      <c r="D1221" s="365">
        <v>0</v>
      </c>
      <c r="E1221" s="365">
        <v>0</v>
      </c>
      <c r="F1221" s="361">
        <v>48491.81</v>
      </c>
      <c r="G1221" s="361">
        <v>17001.599999999999</v>
      </c>
      <c r="H1221" s="361">
        <v>204550.45</v>
      </c>
      <c r="I1221" s="365">
        <v>0</v>
      </c>
      <c r="J1221" s="365">
        <v>0</v>
      </c>
      <c r="K1221" s="361">
        <v>27743.68</v>
      </c>
      <c r="L1221" s="365">
        <v>0</v>
      </c>
      <c r="M1221" s="361">
        <v>83475.88</v>
      </c>
      <c r="N1221" s="1823">
        <v>0</v>
      </c>
    </row>
    <row r="1222" spans="1:14" ht="13">
      <c r="A1222" s="1818" t="s">
        <v>1748</v>
      </c>
      <c r="B1222" s="1819">
        <v>387361.44</v>
      </c>
      <c r="C1222" s="1820">
        <v>387361.44</v>
      </c>
      <c r="D1222" s="365">
        <v>0</v>
      </c>
      <c r="E1222" s="365">
        <v>0</v>
      </c>
      <c r="F1222" s="365">
        <v>0</v>
      </c>
      <c r="G1222" s="365">
        <v>0</v>
      </c>
      <c r="H1222" s="365">
        <v>0</v>
      </c>
      <c r="I1222" s="365">
        <v>0</v>
      </c>
      <c r="J1222" s="365">
        <v>0</v>
      </c>
      <c r="K1222" s="365">
        <v>0</v>
      </c>
      <c r="L1222" s="365">
        <v>0</v>
      </c>
      <c r="M1222" s="365">
        <v>0</v>
      </c>
      <c r="N1222" s="1823">
        <v>0</v>
      </c>
    </row>
    <row r="1223" spans="1:14" ht="13">
      <c r="A1223" s="1818" t="s">
        <v>1536</v>
      </c>
      <c r="B1223" s="1819">
        <v>280609.28000000003</v>
      </c>
      <c r="C1223" s="1822">
        <v>0</v>
      </c>
      <c r="D1223" s="361">
        <v>178608.3</v>
      </c>
      <c r="E1223" s="361">
        <v>102000.98</v>
      </c>
      <c r="F1223" s="365">
        <v>0</v>
      </c>
      <c r="G1223" s="365">
        <v>0</v>
      </c>
      <c r="H1223" s="365">
        <v>0</v>
      </c>
      <c r="I1223" s="365">
        <v>0</v>
      </c>
      <c r="J1223" s="365">
        <v>0</v>
      </c>
      <c r="K1223" s="365">
        <v>0</v>
      </c>
      <c r="L1223" s="365">
        <v>0</v>
      </c>
      <c r="M1223" s="365">
        <v>0</v>
      </c>
      <c r="N1223" s="1823">
        <v>0</v>
      </c>
    </row>
    <row r="1224" spans="1:14" ht="13">
      <c r="A1224" s="1818" t="s">
        <v>1513</v>
      </c>
      <c r="B1224" s="1819">
        <v>201565.35</v>
      </c>
      <c r="C1224" s="1820">
        <v>51787.88</v>
      </c>
      <c r="D1224" s="361">
        <v>-4760.25</v>
      </c>
      <c r="E1224" s="365">
        <v>0</v>
      </c>
      <c r="F1224" s="365">
        <v>0</v>
      </c>
      <c r="G1224" s="361">
        <v>90029.92</v>
      </c>
      <c r="H1224" s="365">
        <v>0</v>
      </c>
      <c r="I1224" s="361">
        <v>64507.8</v>
      </c>
      <c r="J1224" s="365">
        <v>0</v>
      </c>
      <c r="K1224" s="365">
        <v>0</v>
      </c>
      <c r="L1224" s="365">
        <v>0</v>
      </c>
      <c r="M1224" s="365">
        <v>0</v>
      </c>
      <c r="N1224" s="1823">
        <v>0</v>
      </c>
    </row>
    <row r="1225" spans="1:14" ht="13">
      <c r="A1225" s="1818" t="s">
        <v>1311</v>
      </c>
      <c r="B1225" s="1819">
        <v>189294.07999999999</v>
      </c>
      <c r="C1225" s="1822">
        <v>0</v>
      </c>
      <c r="D1225" s="365">
        <v>0</v>
      </c>
      <c r="E1225" s="365">
        <v>0</v>
      </c>
      <c r="F1225" s="365">
        <v>0</v>
      </c>
      <c r="G1225" s="365">
        <v>0</v>
      </c>
      <c r="H1225" s="365">
        <v>0</v>
      </c>
      <c r="I1225" s="365">
        <v>0</v>
      </c>
      <c r="J1225" s="365">
        <v>0</v>
      </c>
      <c r="K1225" s="365">
        <v>0</v>
      </c>
      <c r="L1225" s="365">
        <v>0</v>
      </c>
      <c r="M1225" s="361">
        <v>189294.07999999999</v>
      </c>
      <c r="N1225" s="1823">
        <v>0</v>
      </c>
    </row>
    <row r="1226" spans="1:14" ht="13">
      <c r="A1226" s="1818" t="s">
        <v>948</v>
      </c>
      <c r="B1226" s="1819">
        <v>185279.62</v>
      </c>
      <c r="C1226" s="1820">
        <v>50429.57</v>
      </c>
      <c r="D1226" s="365">
        <v>0</v>
      </c>
      <c r="E1226" s="365">
        <v>0</v>
      </c>
      <c r="F1226" s="361">
        <v>22510.69</v>
      </c>
      <c r="G1226" s="361">
        <v>17739.86</v>
      </c>
      <c r="H1226" s="365">
        <v>0</v>
      </c>
      <c r="I1226" s="365">
        <v>0</v>
      </c>
      <c r="J1226" s="365">
        <v>0</v>
      </c>
      <c r="K1226" s="365">
        <v>0</v>
      </c>
      <c r="L1226" s="365">
        <v>0</v>
      </c>
      <c r="M1226" s="361">
        <v>82012</v>
      </c>
      <c r="N1226" s="1821">
        <v>12587.5</v>
      </c>
    </row>
    <row r="1227" spans="1:14" ht="13">
      <c r="A1227" s="1818" t="s">
        <v>1749</v>
      </c>
      <c r="B1227" s="1819">
        <v>168221.73</v>
      </c>
      <c r="C1227" s="1822">
        <v>0</v>
      </c>
      <c r="D1227" s="361">
        <v>168221.73</v>
      </c>
      <c r="E1227" s="365">
        <v>0</v>
      </c>
      <c r="F1227" s="365">
        <v>0</v>
      </c>
      <c r="G1227" s="365">
        <v>0</v>
      </c>
      <c r="H1227" s="365">
        <v>0</v>
      </c>
      <c r="I1227" s="365">
        <v>0</v>
      </c>
      <c r="J1227" s="365">
        <v>0</v>
      </c>
      <c r="K1227" s="365">
        <v>0</v>
      </c>
      <c r="L1227" s="365">
        <v>0</v>
      </c>
      <c r="M1227" s="365">
        <v>0</v>
      </c>
      <c r="N1227" s="1823">
        <v>0</v>
      </c>
    </row>
    <row r="1228" spans="1:14" ht="13">
      <c r="A1228" s="1818" t="s">
        <v>1750</v>
      </c>
      <c r="B1228" s="1819">
        <v>166551.43</v>
      </c>
      <c r="C1228" s="1820">
        <v>120515.77</v>
      </c>
      <c r="D1228" s="365">
        <v>0</v>
      </c>
      <c r="E1228" s="365">
        <v>0</v>
      </c>
      <c r="F1228" s="361">
        <v>46035.66</v>
      </c>
      <c r="G1228" s="365">
        <v>0</v>
      </c>
      <c r="H1228" s="365">
        <v>0</v>
      </c>
      <c r="I1228" s="365">
        <v>0</v>
      </c>
      <c r="J1228" s="365">
        <v>0</v>
      </c>
      <c r="K1228" s="365">
        <v>0</v>
      </c>
      <c r="L1228" s="365">
        <v>0</v>
      </c>
      <c r="M1228" s="365">
        <v>0</v>
      </c>
      <c r="N1228" s="1823">
        <v>0</v>
      </c>
    </row>
    <row r="1229" spans="1:14" ht="13">
      <c r="A1229" s="1818" t="s">
        <v>587</v>
      </c>
      <c r="B1229" s="1819">
        <v>136353.65</v>
      </c>
      <c r="C1229" s="1822">
        <v>0</v>
      </c>
      <c r="D1229" s="365">
        <v>0</v>
      </c>
      <c r="E1229" s="365">
        <v>0</v>
      </c>
      <c r="F1229" s="365">
        <v>0</v>
      </c>
      <c r="G1229" s="365">
        <v>0</v>
      </c>
      <c r="H1229" s="365">
        <v>0</v>
      </c>
      <c r="I1229" s="365">
        <v>0</v>
      </c>
      <c r="J1229" s="365">
        <v>0</v>
      </c>
      <c r="K1229" s="365">
        <v>0</v>
      </c>
      <c r="L1229" s="365">
        <v>0</v>
      </c>
      <c r="M1229" s="361">
        <v>136353.65</v>
      </c>
      <c r="N1229" s="1823">
        <v>0</v>
      </c>
    </row>
    <row r="1230" spans="1:14" ht="13">
      <c r="A1230" s="1818" t="s">
        <v>1534</v>
      </c>
      <c r="B1230" s="1819">
        <v>128614.52</v>
      </c>
      <c r="C1230" s="1822">
        <v>0</v>
      </c>
      <c r="D1230" s="365">
        <v>0</v>
      </c>
      <c r="E1230" s="365">
        <v>0</v>
      </c>
      <c r="F1230" s="365">
        <v>0</v>
      </c>
      <c r="G1230" s="365">
        <v>0</v>
      </c>
      <c r="H1230" s="365">
        <v>0</v>
      </c>
      <c r="I1230" s="365">
        <v>0</v>
      </c>
      <c r="J1230" s="361">
        <v>128614.52</v>
      </c>
      <c r="K1230" s="365">
        <v>0</v>
      </c>
      <c r="L1230" s="365">
        <v>0</v>
      </c>
      <c r="M1230" s="365">
        <v>0</v>
      </c>
      <c r="N1230" s="1823">
        <v>0</v>
      </c>
    </row>
    <row r="1231" spans="1:14" ht="13">
      <c r="A1231" s="1818" t="s">
        <v>1481</v>
      </c>
      <c r="B1231" s="1819">
        <v>108853.78</v>
      </c>
      <c r="C1231" s="1822">
        <v>0</v>
      </c>
      <c r="D1231" s="361">
        <v>37030.58</v>
      </c>
      <c r="E1231" s="365">
        <v>0</v>
      </c>
      <c r="F1231" s="365">
        <v>0</v>
      </c>
      <c r="G1231" s="365">
        <v>0</v>
      </c>
      <c r="H1231" s="365">
        <v>0</v>
      </c>
      <c r="I1231" s="361">
        <v>71823.199999999997</v>
      </c>
      <c r="J1231" s="365">
        <v>0</v>
      </c>
      <c r="K1231" s="365">
        <v>0</v>
      </c>
      <c r="L1231" s="365">
        <v>0</v>
      </c>
      <c r="M1231" s="365">
        <v>0</v>
      </c>
      <c r="N1231" s="1823">
        <v>0</v>
      </c>
    </row>
    <row r="1232" spans="1:14" ht="13">
      <c r="A1232" s="1818" t="s">
        <v>1751</v>
      </c>
      <c r="B1232" s="1819">
        <v>88994.51</v>
      </c>
      <c r="C1232" s="1820">
        <v>118679.65</v>
      </c>
      <c r="D1232" s="361">
        <v>-29685.14</v>
      </c>
      <c r="E1232" s="365">
        <v>0</v>
      </c>
      <c r="F1232" s="365">
        <v>0</v>
      </c>
      <c r="G1232" s="365">
        <v>0</v>
      </c>
      <c r="H1232" s="365">
        <v>0</v>
      </c>
      <c r="I1232" s="365">
        <v>0</v>
      </c>
      <c r="J1232" s="365">
        <v>0</v>
      </c>
      <c r="K1232" s="365">
        <v>0</v>
      </c>
      <c r="L1232" s="365">
        <v>0</v>
      </c>
      <c r="M1232" s="365">
        <v>0</v>
      </c>
      <c r="N1232" s="1823">
        <v>0</v>
      </c>
    </row>
    <row r="1233" spans="1:14" ht="13">
      <c r="A1233" s="1818" t="s">
        <v>1752</v>
      </c>
      <c r="B1233" s="1819">
        <v>81414.600000000006</v>
      </c>
      <c r="C1233" s="1820">
        <v>81414.600000000006</v>
      </c>
      <c r="D1233" s="365">
        <v>0</v>
      </c>
      <c r="E1233" s="365">
        <v>0</v>
      </c>
      <c r="F1233" s="361">
        <v>117574.43</v>
      </c>
      <c r="G1233" s="361">
        <v>-117574.43</v>
      </c>
      <c r="H1233" s="365">
        <v>0</v>
      </c>
      <c r="I1233" s="365">
        <v>0</v>
      </c>
      <c r="J1233" s="365">
        <v>0</v>
      </c>
      <c r="K1233" s="365">
        <v>0</v>
      </c>
      <c r="L1233" s="365">
        <v>0</v>
      </c>
      <c r="M1233" s="365">
        <v>0</v>
      </c>
      <c r="N1233" s="1823">
        <v>0</v>
      </c>
    </row>
    <row r="1234" spans="1:14" ht="13">
      <c r="A1234" s="1818" t="s">
        <v>1445</v>
      </c>
      <c r="B1234" s="1819">
        <v>76000</v>
      </c>
      <c r="C1234" s="1822">
        <v>0</v>
      </c>
      <c r="D1234" s="365">
        <v>0</v>
      </c>
      <c r="E1234" s="365">
        <v>0</v>
      </c>
      <c r="F1234" s="365">
        <v>0</v>
      </c>
      <c r="G1234" s="365">
        <v>0</v>
      </c>
      <c r="H1234" s="365">
        <v>0</v>
      </c>
      <c r="I1234" s="365">
        <v>0</v>
      </c>
      <c r="J1234" s="365">
        <v>0</v>
      </c>
      <c r="K1234" s="361">
        <v>76000</v>
      </c>
      <c r="L1234" s="365">
        <v>0</v>
      </c>
      <c r="M1234" s="365">
        <v>0</v>
      </c>
      <c r="N1234" s="1823">
        <v>0</v>
      </c>
    </row>
    <row r="1235" spans="1:14" ht="13">
      <c r="A1235" s="1818" t="s">
        <v>1430</v>
      </c>
      <c r="B1235" s="1819">
        <v>65836.92</v>
      </c>
      <c r="C1235" s="1822">
        <v>0</v>
      </c>
      <c r="D1235" s="365">
        <v>0</v>
      </c>
      <c r="E1235" s="365">
        <v>0</v>
      </c>
      <c r="F1235" s="365">
        <v>0</v>
      </c>
      <c r="G1235" s="365">
        <v>0</v>
      </c>
      <c r="H1235" s="365">
        <v>0</v>
      </c>
      <c r="I1235" s="361">
        <v>65836.92</v>
      </c>
      <c r="J1235" s="365">
        <v>0</v>
      </c>
      <c r="K1235" s="365">
        <v>0</v>
      </c>
      <c r="L1235" s="365">
        <v>0</v>
      </c>
      <c r="M1235" s="365">
        <v>0</v>
      </c>
      <c r="N1235" s="1823">
        <v>0</v>
      </c>
    </row>
    <row r="1236" spans="1:14" ht="13">
      <c r="A1236" s="1818" t="s">
        <v>1753</v>
      </c>
      <c r="B1236" s="1824">
        <v>0</v>
      </c>
      <c r="C1236" s="1822">
        <v>0</v>
      </c>
      <c r="D1236" s="365">
        <v>0</v>
      </c>
      <c r="E1236" s="365">
        <v>0</v>
      </c>
      <c r="F1236" s="365">
        <v>0</v>
      </c>
      <c r="G1236" s="361">
        <v>211567.02</v>
      </c>
      <c r="H1236" s="361">
        <v>-211567.02</v>
      </c>
      <c r="I1236" s="365">
        <v>0</v>
      </c>
      <c r="J1236" s="365">
        <v>0</v>
      </c>
      <c r="K1236" s="365">
        <v>0</v>
      </c>
      <c r="L1236" s="365">
        <v>0</v>
      </c>
      <c r="M1236" s="365">
        <v>0</v>
      </c>
      <c r="N1236" s="1823">
        <v>0</v>
      </c>
    </row>
    <row r="1237" spans="1:14" ht="13">
      <c r="A1237" s="1818"/>
      <c r="B1237" s="1824"/>
      <c r="C1237" s="1841"/>
      <c r="D1237" s="359"/>
      <c r="E1237" s="359"/>
      <c r="F1237" s="359"/>
      <c r="G1237" s="359"/>
      <c r="H1237" s="359"/>
      <c r="I1237" s="359"/>
      <c r="J1237" s="359"/>
      <c r="K1237" s="359"/>
      <c r="L1237" s="359"/>
      <c r="M1237" s="359"/>
      <c r="N1237" s="1842"/>
    </row>
    <row r="1238" spans="1:14" ht="13">
      <c r="A1238" s="1818"/>
      <c r="B1238" s="1824"/>
      <c r="C1238" s="1841"/>
      <c r="D1238" s="359"/>
      <c r="E1238" s="359"/>
      <c r="F1238" s="359"/>
      <c r="G1238" s="359"/>
      <c r="H1238" s="359"/>
      <c r="I1238" s="359"/>
      <c r="J1238" s="359"/>
      <c r="K1238" s="359"/>
      <c r="L1238" s="359"/>
      <c r="M1238" s="359"/>
      <c r="N1238" s="1842"/>
    </row>
    <row r="1239" spans="1:14" ht="13">
      <c r="A1239" s="1818"/>
      <c r="B1239" s="1824"/>
      <c r="C1239" s="1822"/>
      <c r="D1239" s="365"/>
      <c r="E1239" s="365"/>
      <c r="F1239" s="365"/>
      <c r="G1239" s="365"/>
      <c r="H1239" s="365"/>
      <c r="I1239" s="365"/>
      <c r="J1239" s="365"/>
      <c r="K1239" s="365"/>
      <c r="L1239" s="365"/>
      <c r="M1239" s="365"/>
      <c r="N1239" s="1823"/>
    </row>
    <row r="1240" spans="1:14" ht="13">
      <c r="A1240" s="1818"/>
      <c r="B1240" s="1824"/>
      <c r="C1240" s="1822"/>
      <c r="D1240" s="365"/>
      <c r="E1240" s="365"/>
      <c r="F1240" s="365"/>
      <c r="G1240" s="365"/>
      <c r="H1240" s="365"/>
      <c r="I1240" s="365"/>
      <c r="J1240" s="365"/>
      <c r="K1240" s="365"/>
      <c r="L1240" s="365"/>
      <c r="M1240" s="365"/>
      <c r="N1240" s="1823"/>
    </row>
    <row r="1241" spans="1:14" ht="13">
      <c r="A1241" s="1818"/>
      <c r="B1241" s="1824"/>
      <c r="C1241" s="1822"/>
      <c r="D1241" s="365"/>
      <c r="E1241" s="365"/>
      <c r="F1241" s="365"/>
      <c r="G1241" s="365"/>
      <c r="H1241" s="365"/>
      <c r="I1241" s="365"/>
      <c r="J1241" s="365"/>
      <c r="K1241" s="365"/>
      <c r="L1241" s="365"/>
      <c r="M1241" s="365"/>
      <c r="N1241" s="1823"/>
    </row>
    <row r="1242" spans="1:14" ht="13">
      <c r="A1242" s="1818"/>
      <c r="B1242" s="1824"/>
      <c r="C1242" s="1822"/>
      <c r="D1242" s="365"/>
      <c r="E1242" s="365"/>
      <c r="F1242" s="365"/>
      <c r="G1242" s="365"/>
      <c r="H1242" s="365"/>
      <c r="I1242" s="365"/>
      <c r="J1242" s="365"/>
      <c r="K1242" s="365"/>
      <c r="L1242" s="365"/>
      <c r="M1242" s="365"/>
      <c r="N1242" s="1823"/>
    </row>
    <row r="1243" spans="1:14" ht="13">
      <c r="A1243" s="1818"/>
      <c r="B1243" s="1824"/>
      <c r="C1243" s="1822"/>
      <c r="D1243" s="365"/>
      <c r="E1243" s="365"/>
      <c r="F1243" s="365"/>
      <c r="G1243" s="365"/>
      <c r="H1243" s="365"/>
      <c r="I1243" s="365"/>
      <c r="J1243" s="365"/>
      <c r="K1243" s="365"/>
      <c r="L1243" s="365"/>
      <c r="M1243" s="365"/>
      <c r="N1243" s="1823"/>
    </row>
    <row r="1244" spans="1:14" ht="13">
      <c r="A1244" s="1836"/>
      <c r="B1244" s="1837"/>
      <c r="C1244" s="1838"/>
      <c r="D1244" s="1839"/>
      <c r="E1244" s="1839"/>
      <c r="F1244" s="1839"/>
      <c r="G1244" s="1839"/>
      <c r="H1244" s="1839"/>
      <c r="I1244" s="1839"/>
      <c r="J1244" s="1839"/>
      <c r="K1244" s="1839"/>
      <c r="L1244" s="1839"/>
      <c r="M1244" s="1839"/>
      <c r="N1244" s="1840"/>
    </row>
    <row r="1245" spans="1:14" ht="13">
      <c r="A1245" s="359"/>
      <c r="B1245" s="1824"/>
      <c r="C1245" s="1822"/>
      <c r="D1245" s="365"/>
      <c r="E1245" s="365"/>
      <c r="F1245" s="365"/>
      <c r="G1245" s="365"/>
      <c r="H1245" s="365"/>
      <c r="I1245" s="365"/>
      <c r="J1245" s="365"/>
      <c r="K1245" s="365"/>
      <c r="L1245" s="365"/>
      <c r="M1245" s="365"/>
      <c r="N1245" s="365"/>
    </row>
    <row r="1246" spans="1:14" ht="13">
      <c r="A1246" s="359"/>
      <c r="B1246" s="1824"/>
      <c r="C1246" s="1822"/>
      <c r="D1246" s="365"/>
      <c r="E1246" s="365"/>
      <c r="F1246" s="365"/>
      <c r="G1246" s="365"/>
      <c r="H1246" s="365"/>
      <c r="I1246" s="365"/>
      <c r="J1246" s="365"/>
      <c r="K1246" s="365"/>
      <c r="L1246" s="365"/>
      <c r="M1246" s="365"/>
      <c r="N1246" s="365"/>
    </row>
    <row r="1247" spans="1:14" ht="13">
      <c r="A1247" s="359"/>
      <c r="B1247" s="1824"/>
      <c r="C1247" s="1822"/>
      <c r="D1247" s="365"/>
      <c r="E1247" s="365"/>
      <c r="F1247" s="365"/>
      <c r="G1247" s="365"/>
      <c r="H1247" s="365"/>
      <c r="I1247" s="365"/>
      <c r="J1247" s="365"/>
      <c r="K1247" s="365"/>
      <c r="L1247" s="365"/>
      <c r="M1247" s="365"/>
      <c r="N1247" s="365"/>
    </row>
    <row r="1248" spans="1:14" ht="13">
      <c r="A1248" s="359"/>
      <c r="B1248" s="1824"/>
      <c r="C1248" s="1822"/>
      <c r="D1248" s="365"/>
      <c r="E1248" s="365"/>
      <c r="F1248" s="365"/>
      <c r="G1248" s="365"/>
      <c r="H1248" s="365"/>
      <c r="I1248" s="365"/>
      <c r="J1248" s="365"/>
      <c r="K1248" s="365"/>
      <c r="L1248" s="365"/>
      <c r="M1248" s="365"/>
      <c r="N1248" s="365"/>
    </row>
    <row r="1249" spans="1:14" ht="13">
      <c r="A1249" s="359"/>
      <c r="B1249" s="1824"/>
      <c r="C1249" s="1822"/>
      <c r="D1249" s="365"/>
      <c r="E1249" s="365"/>
      <c r="F1249" s="365"/>
      <c r="G1249" s="365"/>
      <c r="H1249" s="365"/>
      <c r="I1249" s="365"/>
      <c r="J1249" s="365"/>
      <c r="K1249" s="365"/>
      <c r="L1249" s="365"/>
      <c r="M1249" s="365"/>
      <c r="N1249" s="365"/>
    </row>
    <row r="1250" spans="1:14" ht="13">
      <c r="A1250" s="359"/>
      <c r="B1250" s="1824"/>
      <c r="C1250" s="1822"/>
      <c r="D1250" s="365"/>
      <c r="E1250" s="365"/>
      <c r="F1250" s="365"/>
      <c r="G1250" s="365"/>
      <c r="H1250" s="365"/>
      <c r="I1250" s="365"/>
      <c r="J1250" s="365"/>
      <c r="K1250" s="365"/>
      <c r="L1250" s="365"/>
      <c r="M1250" s="365"/>
      <c r="N1250" s="365"/>
    </row>
    <row r="1251" spans="1:14" ht="13">
      <c r="A1251" s="1812" t="s">
        <v>12</v>
      </c>
      <c r="B1251" s="1813" t="s">
        <v>241</v>
      </c>
      <c r="C1251" s="1814">
        <v>45292</v>
      </c>
      <c r="D1251" s="1815">
        <v>45323</v>
      </c>
      <c r="E1251" s="1815">
        <v>45352</v>
      </c>
      <c r="F1251" s="1815">
        <v>45383</v>
      </c>
      <c r="G1251" s="1815">
        <v>45413</v>
      </c>
      <c r="H1251" s="1815">
        <v>45444</v>
      </c>
      <c r="I1251" s="1815">
        <v>45474</v>
      </c>
      <c r="J1251" s="1815">
        <v>45505</v>
      </c>
      <c r="K1251" s="1815">
        <v>45536</v>
      </c>
      <c r="L1251" s="1816">
        <v>45566</v>
      </c>
      <c r="M1251" s="1816">
        <v>45597</v>
      </c>
      <c r="N1251" s="1817">
        <v>45627</v>
      </c>
    </row>
    <row r="1252" spans="1:14" ht="13">
      <c r="A1252" s="1818" t="s">
        <v>241</v>
      </c>
      <c r="B1252" s="1819">
        <v>690117290.20000005</v>
      </c>
      <c r="C1252" s="1820">
        <v>43986822.850000001</v>
      </c>
      <c r="D1252" s="361">
        <v>48442394.68</v>
      </c>
      <c r="E1252" s="361">
        <v>28774673.399999999</v>
      </c>
      <c r="F1252" s="361">
        <v>44996009.880000003</v>
      </c>
      <c r="G1252" s="361">
        <v>47166133.189999998</v>
      </c>
      <c r="H1252" s="361">
        <v>47054326.310000002</v>
      </c>
      <c r="I1252" s="361">
        <v>63101952.659999996</v>
      </c>
      <c r="J1252" s="361">
        <v>44334916.549999997</v>
      </c>
      <c r="K1252" s="361">
        <v>57170351.719999999</v>
      </c>
      <c r="L1252" s="361">
        <v>82668301.379999995</v>
      </c>
      <c r="M1252" s="361">
        <v>87577854.900000006</v>
      </c>
      <c r="N1252" s="1821">
        <v>94843552.680000007</v>
      </c>
    </row>
    <row r="1253" spans="1:14" ht="13">
      <c r="A1253" s="1818" t="s">
        <v>1261</v>
      </c>
      <c r="B1253" s="1819">
        <v>132110952.83</v>
      </c>
      <c r="C1253" s="1820">
        <v>7525240.0599999996</v>
      </c>
      <c r="D1253" s="361">
        <v>6165588.2300000004</v>
      </c>
      <c r="E1253" s="361">
        <v>3414621.03</v>
      </c>
      <c r="F1253" s="361">
        <v>7909958.1500000004</v>
      </c>
      <c r="G1253" s="361">
        <v>11448172.449999999</v>
      </c>
      <c r="H1253" s="361">
        <v>4567882.18</v>
      </c>
      <c r="I1253" s="361">
        <v>17821530.48</v>
      </c>
      <c r="J1253" s="361">
        <v>3382922.51</v>
      </c>
      <c r="K1253" s="361">
        <v>6003987.9900000002</v>
      </c>
      <c r="L1253" s="361">
        <v>18771174.59</v>
      </c>
      <c r="M1253" s="361">
        <v>22242847.699999999</v>
      </c>
      <c r="N1253" s="1821">
        <v>22857027.449999999</v>
      </c>
    </row>
    <row r="1254" spans="1:14" ht="13">
      <c r="A1254" s="1818" t="s">
        <v>1554</v>
      </c>
      <c r="B1254" s="1819">
        <v>39384409.969999999</v>
      </c>
      <c r="C1254" s="1820">
        <v>1667066.42</v>
      </c>
      <c r="D1254" s="361">
        <v>1945331.96</v>
      </c>
      <c r="E1254" s="361">
        <v>2358816.75</v>
      </c>
      <c r="F1254" s="361">
        <v>2375587.4900000002</v>
      </c>
      <c r="G1254" s="361">
        <v>1947018.84</v>
      </c>
      <c r="H1254" s="361">
        <v>1094239.57</v>
      </c>
      <c r="I1254" s="361">
        <v>160795.12</v>
      </c>
      <c r="J1254" s="361">
        <v>1486106.94</v>
      </c>
      <c r="K1254" s="361">
        <v>3987080.85</v>
      </c>
      <c r="L1254" s="361">
        <v>8383163.5899999999</v>
      </c>
      <c r="M1254" s="361">
        <v>8183504.25</v>
      </c>
      <c r="N1254" s="1821">
        <v>5795698.1900000004</v>
      </c>
    </row>
    <row r="1255" spans="1:14" ht="13">
      <c r="A1255" s="1818" t="s">
        <v>1325</v>
      </c>
      <c r="B1255" s="1819">
        <v>39031673.770000003</v>
      </c>
      <c r="C1255" s="1820">
        <v>189589.49</v>
      </c>
      <c r="D1255" s="361">
        <v>214682.42</v>
      </c>
      <c r="E1255" s="361">
        <v>250064.66</v>
      </c>
      <c r="F1255" s="361">
        <v>4436080.8099999996</v>
      </c>
      <c r="G1255" s="361">
        <v>396893.84</v>
      </c>
      <c r="H1255" s="361">
        <v>1138832.96</v>
      </c>
      <c r="I1255" s="361">
        <v>259319.02</v>
      </c>
      <c r="J1255" s="361">
        <v>758328.57</v>
      </c>
      <c r="K1255" s="361">
        <v>11553398.300000001</v>
      </c>
      <c r="L1255" s="361">
        <v>11235464.880000001</v>
      </c>
      <c r="M1255" s="361">
        <v>743400.95999999996</v>
      </c>
      <c r="N1255" s="1821">
        <v>7855617.8600000003</v>
      </c>
    </row>
    <row r="1256" spans="1:14" ht="13">
      <c r="A1256" s="1818" t="s">
        <v>1279</v>
      </c>
      <c r="B1256" s="1819">
        <v>32718655.309999999</v>
      </c>
      <c r="C1256" s="1820">
        <v>619301.97</v>
      </c>
      <c r="D1256" s="361">
        <v>1451767.12</v>
      </c>
      <c r="E1256" s="361">
        <v>2573721.39</v>
      </c>
      <c r="F1256" s="361">
        <v>1711081.37</v>
      </c>
      <c r="G1256" s="361">
        <v>2178433.9500000002</v>
      </c>
      <c r="H1256" s="361">
        <v>1441769.66</v>
      </c>
      <c r="I1256" s="361">
        <v>2619092.2599999998</v>
      </c>
      <c r="J1256" s="361">
        <v>1035559.36</v>
      </c>
      <c r="K1256" s="361">
        <v>2954759.3</v>
      </c>
      <c r="L1256" s="361">
        <v>5600731.8899999997</v>
      </c>
      <c r="M1256" s="361">
        <v>5300929.3</v>
      </c>
      <c r="N1256" s="1821">
        <v>5231507.74</v>
      </c>
    </row>
    <row r="1257" spans="1:14" ht="13">
      <c r="A1257" s="1818" t="s">
        <v>1329</v>
      </c>
      <c r="B1257" s="1819">
        <v>28496516.890000001</v>
      </c>
      <c r="C1257" s="1820">
        <v>1042526.26</v>
      </c>
      <c r="D1257" s="361">
        <v>2474521.96</v>
      </c>
      <c r="E1257" s="361">
        <v>4530569.57</v>
      </c>
      <c r="F1257" s="361">
        <v>2555883.9700000002</v>
      </c>
      <c r="G1257" s="361">
        <v>1770576.43</v>
      </c>
      <c r="H1257" s="361">
        <v>1486299.38</v>
      </c>
      <c r="I1257" s="361">
        <v>2357876.67</v>
      </c>
      <c r="J1257" s="361">
        <v>2062404.07</v>
      </c>
      <c r="K1257" s="361">
        <v>1434004.48</v>
      </c>
      <c r="L1257" s="361">
        <v>2150300.4900000002</v>
      </c>
      <c r="M1257" s="361">
        <v>5052113.03</v>
      </c>
      <c r="N1257" s="1821">
        <v>1579440.58</v>
      </c>
    </row>
    <row r="1258" spans="1:14" ht="13">
      <c r="A1258" s="1818" t="s">
        <v>1271</v>
      </c>
      <c r="B1258" s="1819">
        <v>24574160.789999999</v>
      </c>
      <c r="C1258" s="1820">
        <v>1220645.6299999999</v>
      </c>
      <c r="D1258" s="361">
        <v>1279730.48</v>
      </c>
      <c r="E1258" s="361">
        <v>1583849.84</v>
      </c>
      <c r="F1258" s="361">
        <v>1854237.28</v>
      </c>
      <c r="G1258" s="361">
        <v>3275588.71</v>
      </c>
      <c r="H1258" s="361">
        <v>3123805.51</v>
      </c>
      <c r="I1258" s="361">
        <v>3415165.63</v>
      </c>
      <c r="J1258" s="361">
        <v>2659548.15</v>
      </c>
      <c r="K1258" s="361">
        <v>1651567.38</v>
      </c>
      <c r="L1258" s="361">
        <v>1989411.6</v>
      </c>
      <c r="M1258" s="361">
        <v>1030618.32</v>
      </c>
      <c r="N1258" s="1821">
        <v>1489992.27</v>
      </c>
    </row>
    <row r="1259" spans="1:14" ht="13">
      <c r="A1259" s="1818" t="s">
        <v>1280</v>
      </c>
      <c r="B1259" s="1819">
        <v>17083815.43</v>
      </c>
      <c r="C1259" s="1820">
        <v>1751578.37</v>
      </c>
      <c r="D1259" s="361">
        <v>3883951.88</v>
      </c>
      <c r="E1259" s="361">
        <v>1480023.21</v>
      </c>
      <c r="F1259" s="361">
        <v>2274780.9900000002</v>
      </c>
      <c r="G1259" s="361">
        <v>920204.29</v>
      </c>
      <c r="H1259" s="361">
        <v>1254425.99</v>
      </c>
      <c r="I1259" s="361">
        <v>2088768.9</v>
      </c>
      <c r="J1259" s="361">
        <v>1732933.28</v>
      </c>
      <c r="K1259" s="361">
        <v>671261.62</v>
      </c>
      <c r="L1259" s="361">
        <v>829595.95</v>
      </c>
      <c r="M1259" s="361">
        <v>196290.96</v>
      </c>
      <c r="N1259" s="1823">
        <v>0</v>
      </c>
    </row>
    <row r="1260" spans="1:14" ht="13">
      <c r="A1260" s="1818" t="s">
        <v>1754</v>
      </c>
      <c r="B1260" s="1819">
        <v>16882589.670000002</v>
      </c>
      <c r="C1260" s="1820">
        <v>4913205.2699999996</v>
      </c>
      <c r="D1260" s="361">
        <v>12126221.1</v>
      </c>
      <c r="E1260" s="361">
        <v>-5547041.0999999996</v>
      </c>
      <c r="F1260" s="365">
        <v>0</v>
      </c>
      <c r="G1260" s="365">
        <v>0</v>
      </c>
      <c r="H1260" s="361">
        <v>4013982</v>
      </c>
      <c r="I1260" s="361">
        <v>1376222.4</v>
      </c>
      <c r="J1260" s="365">
        <v>0</v>
      </c>
      <c r="K1260" s="365">
        <v>0</v>
      </c>
      <c r="L1260" s="365">
        <v>0</v>
      </c>
      <c r="M1260" s="365">
        <v>0</v>
      </c>
      <c r="N1260" s="1823">
        <v>0</v>
      </c>
    </row>
    <row r="1261" spans="1:14" ht="13">
      <c r="A1261" s="1818" t="s">
        <v>1654</v>
      </c>
      <c r="B1261" s="1819">
        <v>16575406.630000001</v>
      </c>
      <c r="C1261" s="1822">
        <v>0</v>
      </c>
      <c r="D1261" s="365">
        <v>0</v>
      </c>
      <c r="E1261" s="365">
        <v>0</v>
      </c>
      <c r="F1261" s="361">
        <v>237625.59</v>
      </c>
      <c r="G1261" s="361">
        <v>1080649.58</v>
      </c>
      <c r="H1261" s="361">
        <v>1317345.92</v>
      </c>
      <c r="I1261" s="361">
        <v>2264563.8199999998</v>
      </c>
      <c r="J1261" s="361">
        <v>2555785.48</v>
      </c>
      <c r="K1261" s="361">
        <v>1514466.88</v>
      </c>
      <c r="L1261" s="361">
        <v>2274771.2799999998</v>
      </c>
      <c r="M1261" s="361">
        <v>2604576.2400000002</v>
      </c>
      <c r="N1261" s="1821">
        <v>2725621.84</v>
      </c>
    </row>
    <row r="1262" spans="1:14" ht="13">
      <c r="A1262" s="1818" t="s">
        <v>1275</v>
      </c>
      <c r="B1262" s="1819">
        <v>16208985.689999999</v>
      </c>
      <c r="C1262" s="1820">
        <v>724632.36</v>
      </c>
      <c r="D1262" s="361">
        <v>420958.56</v>
      </c>
      <c r="E1262" s="361">
        <v>615522.76</v>
      </c>
      <c r="F1262" s="361">
        <v>667738.62</v>
      </c>
      <c r="G1262" s="361">
        <v>1132925.73</v>
      </c>
      <c r="H1262" s="361">
        <v>1032780.13</v>
      </c>
      <c r="I1262" s="361">
        <v>900889.61</v>
      </c>
      <c r="J1262" s="361">
        <v>1268583.76</v>
      </c>
      <c r="K1262" s="361">
        <v>1657837</v>
      </c>
      <c r="L1262" s="361">
        <v>1161817.0900000001</v>
      </c>
      <c r="M1262" s="361">
        <v>3115164.04</v>
      </c>
      <c r="N1262" s="1821">
        <v>3510136.03</v>
      </c>
    </row>
    <row r="1263" spans="1:14" ht="13">
      <c r="A1263" s="1818" t="s">
        <v>1294</v>
      </c>
      <c r="B1263" s="1819">
        <v>14831801.73</v>
      </c>
      <c r="C1263" s="1820">
        <v>1392025.92</v>
      </c>
      <c r="D1263" s="361">
        <v>2133082.38</v>
      </c>
      <c r="E1263" s="361">
        <v>1088891.21</v>
      </c>
      <c r="F1263" s="361">
        <v>481409</v>
      </c>
      <c r="G1263" s="361">
        <v>408477.74</v>
      </c>
      <c r="H1263" s="361">
        <v>376128.83</v>
      </c>
      <c r="I1263" s="361">
        <v>275656.15000000002</v>
      </c>
      <c r="J1263" s="361">
        <v>1333057.6200000001</v>
      </c>
      <c r="K1263" s="361">
        <v>1832028</v>
      </c>
      <c r="L1263" s="361">
        <v>1748367.61</v>
      </c>
      <c r="M1263" s="361">
        <v>2558860.2400000002</v>
      </c>
      <c r="N1263" s="1821">
        <v>1203817.03</v>
      </c>
    </row>
    <row r="1264" spans="1:14" ht="13">
      <c r="A1264" s="1818" t="s">
        <v>1303</v>
      </c>
      <c r="B1264" s="1819">
        <v>14357841</v>
      </c>
      <c r="C1264" s="1820">
        <v>1350205.76</v>
      </c>
      <c r="D1264" s="361">
        <v>1261822.3700000001</v>
      </c>
      <c r="E1264" s="361">
        <v>1259626.21</v>
      </c>
      <c r="F1264" s="361">
        <v>1062529.43</v>
      </c>
      <c r="G1264" s="361">
        <v>363192.89</v>
      </c>
      <c r="H1264" s="361">
        <v>422959.87</v>
      </c>
      <c r="I1264" s="361">
        <v>1092745.77</v>
      </c>
      <c r="J1264" s="361">
        <v>879889.97</v>
      </c>
      <c r="K1264" s="361">
        <v>1096691.22</v>
      </c>
      <c r="L1264" s="361">
        <v>1199306.7</v>
      </c>
      <c r="M1264" s="361">
        <v>1184224.82</v>
      </c>
      <c r="N1264" s="1821">
        <v>3184645.98</v>
      </c>
    </row>
    <row r="1265" spans="1:14" ht="13">
      <c r="A1265" s="1818" t="s">
        <v>1301</v>
      </c>
      <c r="B1265" s="1819">
        <v>13347255</v>
      </c>
      <c r="C1265" s="1822">
        <v>0</v>
      </c>
      <c r="D1265" s="365">
        <v>0</v>
      </c>
      <c r="E1265" s="365">
        <v>0</v>
      </c>
      <c r="F1265" s="365">
        <v>0</v>
      </c>
      <c r="G1265" s="361">
        <v>2121174.31</v>
      </c>
      <c r="H1265" s="365">
        <v>0</v>
      </c>
      <c r="I1265" s="361">
        <v>5674317.7400000002</v>
      </c>
      <c r="J1265" s="361">
        <v>212025.38</v>
      </c>
      <c r="K1265" s="361">
        <v>661909.88</v>
      </c>
      <c r="L1265" s="361">
        <v>914686.01</v>
      </c>
      <c r="M1265" s="361">
        <v>2525875.58</v>
      </c>
      <c r="N1265" s="1821">
        <v>1237266.1100000001</v>
      </c>
    </row>
    <row r="1266" spans="1:14" ht="13">
      <c r="A1266" s="1818" t="s">
        <v>1363</v>
      </c>
      <c r="B1266" s="1819">
        <v>11929802.27</v>
      </c>
      <c r="C1266" s="1820">
        <v>624064.87</v>
      </c>
      <c r="D1266" s="361">
        <v>337505.55</v>
      </c>
      <c r="E1266" s="361">
        <v>997194.32</v>
      </c>
      <c r="F1266" s="361">
        <v>1399867.22</v>
      </c>
      <c r="G1266" s="361">
        <v>1009973.9</v>
      </c>
      <c r="H1266" s="361">
        <v>1115759.8899999999</v>
      </c>
      <c r="I1266" s="361">
        <v>586398.69999999995</v>
      </c>
      <c r="J1266" s="361">
        <v>785126.93</v>
      </c>
      <c r="K1266" s="361">
        <v>115300.75</v>
      </c>
      <c r="L1266" s="361">
        <v>909561.85</v>
      </c>
      <c r="M1266" s="361">
        <v>1898022.44</v>
      </c>
      <c r="N1266" s="1821">
        <v>2151025.84</v>
      </c>
    </row>
    <row r="1267" spans="1:14" ht="13">
      <c r="A1267" s="1818" t="s">
        <v>1265</v>
      </c>
      <c r="B1267" s="1819">
        <v>11595230.859999999</v>
      </c>
      <c r="C1267" s="1820">
        <v>978427.52</v>
      </c>
      <c r="D1267" s="361">
        <v>926375.51</v>
      </c>
      <c r="E1267" s="361">
        <v>726795.25</v>
      </c>
      <c r="F1267" s="361">
        <v>335537.76</v>
      </c>
      <c r="G1267" s="361">
        <v>807644.38</v>
      </c>
      <c r="H1267" s="361">
        <v>621944.56000000006</v>
      </c>
      <c r="I1267" s="361">
        <v>825050.87</v>
      </c>
      <c r="J1267" s="361">
        <v>490289</v>
      </c>
      <c r="K1267" s="361">
        <v>768678.23</v>
      </c>
      <c r="L1267" s="361">
        <v>1621635.63</v>
      </c>
      <c r="M1267" s="361">
        <v>1583725.49</v>
      </c>
      <c r="N1267" s="1821">
        <v>1909126.66</v>
      </c>
    </row>
    <row r="1268" spans="1:14" ht="13">
      <c r="A1268" s="1818" t="s">
        <v>1263</v>
      </c>
      <c r="B1268" s="1819">
        <v>11581932.390000001</v>
      </c>
      <c r="C1268" s="1822">
        <v>0</v>
      </c>
      <c r="D1268" s="365">
        <v>0</v>
      </c>
      <c r="E1268" s="365">
        <v>0</v>
      </c>
      <c r="F1268" s="365">
        <v>0</v>
      </c>
      <c r="G1268" s="361">
        <v>1354537.25</v>
      </c>
      <c r="H1268" s="365">
        <v>0</v>
      </c>
      <c r="I1268" s="361">
        <v>1663730.06</v>
      </c>
      <c r="J1268" s="361">
        <v>1185697.1000000001</v>
      </c>
      <c r="K1268" s="361">
        <v>1663802.67</v>
      </c>
      <c r="L1268" s="361">
        <v>1592577.49</v>
      </c>
      <c r="M1268" s="365">
        <v>0</v>
      </c>
      <c r="N1268" s="1821">
        <v>4121587.83</v>
      </c>
    </row>
    <row r="1269" spans="1:14" ht="13">
      <c r="A1269" s="1818" t="s">
        <v>1343</v>
      </c>
      <c r="B1269" s="1819">
        <v>11211893.59</v>
      </c>
      <c r="C1269" s="1822">
        <v>0</v>
      </c>
      <c r="D1269" s="365">
        <v>0</v>
      </c>
      <c r="E1269" s="365">
        <v>0</v>
      </c>
      <c r="F1269" s="365">
        <v>0</v>
      </c>
      <c r="G1269" s="365">
        <v>0</v>
      </c>
      <c r="H1269" s="361">
        <v>11138143.77</v>
      </c>
      <c r="I1269" s="365">
        <v>0</v>
      </c>
      <c r="J1269" s="361">
        <v>65180.7</v>
      </c>
      <c r="K1269" s="361">
        <v>8569.1299999999992</v>
      </c>
      <c r="L1269" s="365">
        <v>0</v>
      </c>
      <c r="M1269" s="365">
        <v>0</v>
      </c>
      <c r="N1269" s="1823">
        <v>0</v>
      </c>
    </row>
    <row r="1270" spans="1:14" ht="13">
      <c r="A1270" s="1818" t="s">
        <v>1333</v>
      </c>
      <c r="B1270" s="1819">
        <v>11087910.07</v>
      </c>
      <c r="C1270" s="1820">
        <v>775507.78</v>
      </c>
      <c r="D1270" s="361">
        <v>1137573.58</v>
      </c>
      <c r="E1270" s="361">
        <v>2939479.54</v>
      </c>
      <c r="F1270" s="361">
        <v>633053.04</v>
      </c>
      <c r="G1270" s="361">
        <v>376727.84</v>
      </c>
      <c r="H1270" s="361">
        <v>460110.14</v>
      </c>
      <c r="I1270" s="361">
        <v>1114197.93</v>
      </c>
      <c r="J1270" s="361">
        <v>941098.16</v>
      </c>
      <c r="K1270" s="365">
        <v>0</v>
      </c>
      <c r="L1270" s="365">
        <v>0</v>
      </c>
      <c r="M1270" s="361">
        <v>964397.02</v>
      </c>
      <c r="N1270" s="1821">
        <v>1745765.06</v>
      </c>
    </row>
    <row r="1271" spans="1:14" ht="13">
      <c r="A1271" s="1818" t="s">
        <v>1285</v>
      </c>
      <c r="B1271" s="1819">
        <v>11002006.869999999</v>
      </c>
      <c r="C1271" s="1820">
        <v>930156.71</v>
      </c>
      <c r="D1271" s="361">
        <v>520312.17</v>
      </c>
      <c r="E1271" s="361">
        <v>288219.65999999997</v>
      </c>
      <c r="F1271" s="361">
        <v>1699038.95</v>
      </c>
      <c r="G1271" s="361">
        <v>604359.97</v>
      </c>
      <c r="H1271" s="361">
        <v>380561.75</v>
      </c>
      <c r="I1271" s="361">
        <v>745505.95</v>
      </c>
      <c r="J1271" s="361">
        <v>1260025.3500000001</v>
      </c>
      <c r="K1271" s="361">
        <v>977523.96</v>
      </c>
      <c r="L1271" s="361">
        <v>1021319.88</v>
      </c>
      <c r="M1271" s="361">
        <v>1232169.8600000001</v>
      </c>
      <c r="N1271" s="1821">
        <v>1342812.65</v>
      </c>
    </row>
    <row r="1272" spans="1:14" ht="13">
      <c r="A1272" s="1818" t="s">
        <v>1676</v>
      </c>
      <c r="B1272" s="1819">
        <v>10026056.51</v>
      </c>
      <c r="C1272" s="1820">
        <v>1815985.03</v>
      </c>
      <c r="D1272" s="361">
        <v>2077550.07</v>
      </c>
      <c r="E1272" s="365">
        <v>-630.13</v>
      </c>
      <c r="F1272" s="365">
        <v>0</v>
      </c>
      <c r="G1272" s="361">
        <v>1803770.72</v>
      </c>
      <c r="H1272" s="361">
        <v>789006.83</v>
      </c>
      <c r="I1272" s="361">
        <v>1839286.21</v>
      </c>
      <c r="J1272" s="361">
        <v>683126.04</v>
      </c>
      <c r="K1272" s="361">
        <v>1017961.74</v>
      </c>
      <c r="L1272" s="365">
        <v>0</v>
      </c>
      <c r="M1272" s="365">
        <v>0</v>
      </c>
      <c r="N1272" s="1823">
        <v>0</v>
      </c>
    </row>
    <row r="1273" spans="1:14" ht="13">
      <c r="A1273" s="1818" t="s">
        <v>1284</v>
      </c>
      <c r="B1273" s="1819">
        <v>9107298.8699999992</v>
      </c>
      <c r="C1273" s="1820">
        <v>833969.63</v>
      </c>
      <c r="D1273" s="361">
        <v>920331.92</v>
      </c>
      <c r="E1273" s="361">
        <v>230376.6</v>
      </c>
      <c r="F1273" s="361">
        <v>1648731.71</v>
      </c>
      <c r="G1273" s="361">
        <v>1159944.28</v>
      </c>
      <c r="H1273" s="361">
        <v>127808.3</v>
      </c>
      <c r="I1273" s="365">
        <v>0</v>
      </c>
      <c r="J1273" s="361">
        <v>2035013.77</v>
      </c>
      <c r="K1273" s="361">
        <v>75152.039999999994</v>
      </c>
      <c r="L1273" s="365">
        <v>0</v>
      </c>
      <c r="M1273" s="365">
        <v>0</v>
      </c>
      <c r="N1273" s="1821">
        <v>2075970.6</v>
      </c>
    </row>
    <row r="1274" spans="1:14" ht="13">
      <c r="A1274" s="1818" t="s">
        <v>1288</v>
      </c>
      <c r="B1274" s="1819">
        <v>8733602.1300000008</v>
      </c>
      <c r="C1274" s="1820">
        <v>49436.98</v>
      </c>
      <c r="D1274" s="361">
        <v>211539.35</v>
      </c>
      <c r="E1274" s="365">
        <v>0</v>
      </c>
      <c r="F1274" s="361">
        <v>330450.53000000003</v>
      </c>
      <c r="G1274" s="361">
        <v>416002.05</v>
      </c>
      <c r="H1274" s="361">
        <v>761172.83</v>
      </c>
      <c r="I1274" s="361">
        <v>1744291.53</v>
      </c>
      <c r="J1274" s="361">
        <v>379540.13</v>
      </c>
      <c r="K1274" s="361">
        <v>1037357.04</v>
      </c>
      <c r="L1274" s="361">
        <v>1835173.23</v>
      </c>
      <c r="M1274" s="361">
        <v>462859.94</v>
      </c>
      <c r="N1274" s="1821">
        <v>1505778.52</v>
      </c>
    </row>
    <row r="1275" spans="1:14" ht="13">
      <c r="A1275" s="1818" t="s">
        <v>1307</v>
      </c>
      <c r="B1275" s="1819">
        <v>8669234.9299999997</v>
      </c>
      <c r="C1275" s="1822">
        <v>0</v>
      </c>
      <c r="D1275" s="365">
        <v>0</v>
      </c>
      <c r="E1275" s="365">
        <v>0</v>
      </c>
      <c r="F1275" s="365">
        <v>0</v>
      </c>
      <c r="G1275" s="365">
        <v>0</v>
      </c>
      <c r="H1275" s="365">
        <v>0</v>
      </c>
      <c r="I1275" s="365">
        <v>0</v>
      </c>
      <c r="J1275" s="361">
        <v>497395.57</v>
      </c>
      <c r="K1275" s="365">
        <v>0</v>
      </c>
      <c r="L1275" s="365">
        <v>0</v>
      </c>
      <c r="M1275" s="361">
        <v>8171839.3600000003</v>
      </c>
      <c r="N1275" s="1823">
        <v>0</v>
      </c>
    </row>
    <row r="1276" spans="1:14" ht="13">
      <c r="A1276" s="1818" t="s">
        <v>1292</v>
      </c>
      <c r="B1276" s="1819">
        <v>8108238.6200000001</v>
      </c>
      <c r="C1276" s="1820">
        <v>138584.74</v>
      </c>
      <c r="D1276" s="361">
        <v>374696.39</v>
      </c>
      <c r="E1276" s="361">
        <v>1294168</v>
      </c>
      <c r="F1276" s="361">
        <v>830031.45</v>
      </c>
      <c r="G1276" s="361">
        <v>125776.19</v>
      </c>
      <c r="H1276" s="361">
        <v>447046.14</v>
      </c>
      <c r="I1276" s="361">
        <v>853664.88</v>
      </c>
      <c r="J1276" s="361">
        <v>480469.11</v>
      </c>
      <c r="K1276" s="361">
        <v>1140202.26</v>
      </c>
      <c r="L1276" s="361">
        <v>1620330.91</v>
      </c>
      <c r="M1276" s="361">
        <v>664236.56999999995</v>
      </c>
      <c r="N1276" s="1821">
        <v>139031.98000000001</v>
      </c>
    </row>
    <row r="1277" spans="1:14" ht="13">
      <c r="A1277" s="1818" t="s">
        <v>1336</v>
      </c>
      <c r="B1277" s="1819">
        <v>7754594.0899999999</v>
      </c>
      <c r="C1277" s="1822">
        <v>0</v>
      </c>
      <c r="D1277" s="365">
        <v>0</v>
      </c>
      <c r="E1277" s="361">
        <v>281424.77</v>
      </c>
      <c r="F1277" s="361">
        <v>957432.74</v>
      </c>
      <c r="G1277" s="361">
        <v>1892562.26</v>
      </c>
      <c r="H1277" s="365">
        <v>0</v>
      </c>
      <c r="I1277" s="361">
        <v>959115.99</v>
      </c>
      <c r="J1277" s="365">
        <v>0</v>
      </c>
      <c r="K1277" s="361">
        <v>1176684.8899999999</v>
      </c>
      <c r="L1277" s="361">
        <v>573234.09</v>
      </c>
      <c r="M1277" s="365">
        <v>0</v>
      </c>
      <c r="N1277" s="1821">
        <v>1914139.34</v>
      </c>
    </row>
    <row r="1278" spans="1:14" ht="13">
      <c r="A1278" s="1818" t="s">
        <v>1295</v>
      </c>
      <c r="B1278" s="1819">
        <v>7359510.5199999996</v>
      </c>
      <c r="C1278" s="1820">
        <v>738726.86</v>
      </c>
      <c r="D1278" s="361">
        <v>949925.47</v>
      </c>
      <c r="E1278" s="361">
        <v>769130.63</v>
      </c>
      <c r="F1278" s="361">
        <v>520319.54</v>
      </c>
      <c r="G1278" s="361">
        <v>529718.09</v>
      </c>
      <c r="H1278" s="361">
        <v>298669.26</v>
      </c>
      <c r="I1278" s="361">
        <v>517840.92</v>
      </c>
      <c r="J1278" s="361">
        <v>733801.54</v>
      </c>
      <c r="K1278" s="361">
        <v>535677.56999999995</v>
      </c>
      <c r="L1278" s="365">
        <v>0</v>
      </c>
      <c r="M1278" s="361">
        <v>658525.01</v>
      </c>
      <c r="N1278" s="1821">
        <v>1107175.6200000001</v>
      </c>
    </row>
    <row r="1279" spans="1:14" ht="13">
      <c r="A1279" s="1818" t="s">
        <v>1304</v>
      </c>
      <c r="B1279" s="1819">
        <v>7177104.3300000001</v>
      </c>
      <c r="C1279" s="1820">
        <v>1137017.04</v>
      </c>
      <c r="D1279" s="361">
        <v>1083654.8799999999</v>
      </c>
      <c r="E1279" s="361">
        <v>116116.16</v>
      </c>
      <c r="F1279" s="361">
        <v>524264.66</v>
      </c>
      <c r="G1279" s="361">
        <v>336318.12</v>
      </c>
      <c r="H1279" s="361">
        <v>480463.95</v>
      </c>
      <c r="I1279" s="361">
        <v>413998.06</v>
      </c>
      <c r="J1279" s="361">
        <v>644810.80000000005</v>
      </c>
      <c r="K1279" s="361">
        <v>308076.65999999997</v>
      </c>
      <c r="L1279" s="361">
        <v>587915.07999999996</v>
      </c>
      <c r="M1279" s="361">
        <v>523317.25</v>
      </c>
      <c r="N1279" s="1821">
        <v>1021151.67</v>
      </c>
    </row>
    <row r="1280" spans="1:14" ht="13">
      <c r="A1280" s="1818" t="s">
        <v>1629</v>
      </c>
      <c r="B1280" s="1819">
        <v>6728471.6600000001</v>
      </c>
      <c r="C1280" s="1820">
        <v>698124.27</v>
      </c>
      <c r="D1280" s="365">
        <v>0</v>
      </c>
      <c r="E1280" s="361">
        <v>633468.28</v>
      </c>
      <c r="F1280" s="361">
        <v>658055.74</v>
      </c>
      <c r="G1280" s="361">
        <v>873883.45</v>
      </c>
      <c r="H1280" s="361">
        <v>627976.26</v>
      </c>
      <c r="I1280" s="361">
        <v>729242.73</v>
      </c>
      <c r="J1280" s="361">
        <v>731764.83</v>
      </c>
      <c r="K1280" s="365">
        <v>0</v>
      </c>
      <c r="L1280" s="361">
        <v>346302.41</v>
      </c>
      <c r="M1280" s="361">
        <v>1012070.45</v>
      </c>
      <c r="N1280" s="1821">
        <v>417583.24</v>
      </c>
    </row>
    <row r="1281" spans="1:14" ht="13">
      <c r="A1281" s="1818" t="s">
        <v>1390</v>
      </c>
      <c r="B1281" s="1819">
        <v>6518765.5300000003</v>
      </c>
      <c r="C1281" s="1822">
        <v>0</v>
      </c>
      <c r="D1281" s="365">
        <v>0</v>
      </c>
      <c r="E1281" s="365">
        <v>0</v>
      </c>
      <c r="F1281" s="361">
        <v>743636.43</v>
      </c>
      <c r="G1281" s="361">
        <v>990772.65</v>
      </c>
      <c r="H1281" s="361">
        <v>757410.05</v>
      </c>
      <c r="I1281" s="361">
        <v>351053.4</v>
      </c>
      <c r="J1281" s="361">
        <v>2808860.8</v>
      </c>
      <c r="K1281" s="361">
        <v>867032.2</v>
      </c>
      <c r="L1281" s="365">
        <v>0</v>
      </c>
      <c r="M1281" s="365">
        <v>0</v>
      </c>
      <c r="N1281" s="1823">
        <v>0</v>
      </c>
    </row>
    <row r="1282" spans="1:14" ht="13">
      <c r="A1282" s="1818" t="s">
        <v>1296</v>
      </c>
      <c r="B1282" s="1819">
        <v>5614112.7999999998</v>
      </c>
      <c r="C1282" s="1820">
        <v>767153.87</v>
      </c>
      <c r="D1282" s="361">
        <v>549117.80000000005</v>
      </c>
      <c r="E1282" s="361">
        <v>347342.87</v>
      </c>
      <c r="F1282" s="361">
        <v>366769.49</v>
      </c>
      <c r="G1282" s="361">
        <v>297608.71000000002</v>
      </c>
      <c r="H1282" s="361">
        <v>282644.61</v>
      </c>
      <c r="I1282" s="361">
        <v>317974.52</v>
      </c>
      <c r="J1282" s="361">
        <v>498807.58</v>
      </c>
      <c r="K1282" s="361">
        <v>424672.31</v>
      </c>
      <c r="L1282" s="361">
        <v>514829.44</v>
      </c>
      <c r="M1282" s="361">
        <v>646090.30000000005</v>
      </c>
      <c r="N1282" s="1821">
        <v>601101.31000000006</v>
      </c>
    </row>
    <row r="1283" spans="1:14" ht="13">
      <c r="A1283" s="1818" t="s">
        <v>1382</v>
      </c>
      <c r="B1283" s="1819">
        <v>5501342.9299999997</v>
      </c>
      <c r="C1283" s="1820">
        <v>5051.6499999999996</v>
      </c>
      <c r="D1283" s="361">
        <v>850759.84</v>
      </c>
      <c r="E1283" s="365">
        <v>0</v>
      </c>
      <c r="F1283" s="361">
        <v>1118080.3600000001</v>
      </c>
      <c r="G1283" s="365">
        <v>0</v>
      </c>
      <c r="H1283" s="361">
        <v>55428.7</v>
      </c>
      <c r="I1283" s="361">
        <v>328776.95</v>
      </c>
      <c r="J1283" s="361">
        <v>1137995.8500000001</v>
      </c>
      <c r="K1283" s="365">
        <v>0</v>
      </c>
      <c r="L1283" s="365">
        <v>0</v>
      </c>
      <c r="M1283" s="365">
        <v>0</v>
      </c>
      <c r="N1283" s="1821">
        <v>2005249.59</v>
      </c>
    </row>
    <row r="1284" spans="1:14" ht="13">
      <c r="A1284" s="1818" t="s">
        <v>1293</v>
      </c>
      <c r="B1284" s="1819">
        <v>5444929.75</v>
      </c>
      <c r="C1284" s="1822">
        <v>0</v>
      </c>
      <c r="D1284" s="365">
        <v>0</v>
      </c>
      <c r="E1284" s="365">
        <v>0</v>
      </c>
      <c r="F1284" s="365">
        <v>0</v>
      </c>
      <c r="G1284" s="365">
        <v>0</v>
      </c>
      <c r="H1284" s="365">
        <v>0</v>
      </c>
      <c r="I1284" s="365">
        <v>0</v>
      </c>
      <c r="J1284" s="361">
        <v>240723.74</v>
      </c>
      <c r="K1284" s="361">
        <v>728476.25</v>
      </c>
      <c r="L1284" s="361">
        <v>1510059.92</v>
      </c>
      <c r="M1284" s="361">
        <v>1390687.64</v>
      </c>
      <c r="N1284" s="1821">
        <v>1574982.21</v>
      </c>
    </row>
    <row r="1285" spans="1:14" ht="13">
      <c r="A1285" s="1818" t="s">
        <v>1327</v>
      </c>
      <c r="B1285" s="1819">
        <v>4865896.2</v>
      </c>
      <c r="C1285" s="1822">
        <v>0</v>
      </c>
      <c r="D1285" s="365">
        <v>0</v>
      </c>
      <c r="E1285" s="365">
        <v>0</v>
      </c>
      <c r="F1285" s="365">
        <v>0</v>
      </c>
      <c r="G1285" s="365">
        <v>0</v>
      </c>
      <c r="H1285" s="365">
        <v>0</v>
      </c>
      <c r="I1285" s="365">
        <v>0</v>
      </c>
      <c r="J1285" s="365">
        <v>0</v>
      </c>
      <c r="K1285" s="361">
        <v>1846054.67</v>
      </c>
      <c r="L1285" s="361">
        <v>1289165.4099999999</v>
      </c>
      <c r="M1285" s="361">
        <v>-40902.839999999997</v>
      </c>
      <c r="N1285" s="1821">
        <v>1771578.96</v>
      </c>
    </row>
    <row r="1286" spans="1:14" ht="13">
      <c r="A1286" s="1818" t="s">
        <v>1291</v>
      </c>
      <c r="B1286" s="1819">
        <v>4848073.3499999996</v>
      </c>
      <c r="C1286" s="1820">
        <v>610405.98</v>
      </c>
      <c r="D1286" s="361">
        <v>376651.24</v>
      </c>
      <c r="E1286" s="361">
        <v>368055.58</v>
      </c>
      <c r="F1286" s="365">
        <v>0</v>
      </c>
      <c r="G1286" s="361">
        <v>236545.87</v>
      </c>
      <c r="H1286" s="361">
        <v>366633.2</v>
      </c>
      <c r="I1286" s="361">
        <v>285716.06</v>
      </c>
      <c r="J1286" s="361">
        <v>710652.76</v>
      </c>
      <c r="K1286" s="361">
        <v>645854.49</v>
      </c>
      <c r="L1286" s="361">
        <v>402704.59</v>
      </c>
      <c r="M1286" s="361">
        <v>461384.2</v>
      </c>
      <c r="N1286" s="1821">
        <v>383469.4</v>
      </c>
    </row>
    <row r="1287" spans="1:14" ht="13">
      <c r="A1287" s="1818" t="s">
        <v>1298</v>
      </c>
      <c r="B1287" s="1819">
        <v>4824627.79</v>
      </c>
      <c r="C1287" s="1822">
        <v>0</v>
      </c>
      <c r="D1287" s="365">
        <v>0</v>
      </c>
      <c r="E1287" s="361">
        <v>415748.11</v>
      </c>
      <c r="F1287" s="365">
        <v>0</v>
      </c>
      <c r="G1287" s="361">
        <v>2204439.84</v>
      </c>
      <c r="H1287" s="365">
        <v>0</v>
      </c>
      <c r="I1287" s="361">
        <v>881775.94</v>
      </c>
      <c r="J1287" s="361">
        <v>1322663.8999999999</v>
      </c>
      <c r="K1287" s="365">
        <v>0</v>
      </c>
      <c r="L1287" s="365">
        <v>0</v>
      </c>
      <c r="M1287" s="365">
        <v>0</v>
      </c>
      <c r="N1287" s="1823">
        <v>0</v>
      </c>
    </row>
    <row r="1288" spans="1:14" ht="13">
      <c r="A1288" s="1818" t="s">
        <v>1278</v>
      </c>
      <c r="B1288" s="1819">
        <v>4555570.4000000004</v>
      </c>
      <c r="C1288" s="1822">
        <v>0</v>
      </c>
      <c r="D1288" s="365">
        <v>0</v>
      </c>
      <c r="E1288" s="365">
        <v>0</v>
      </c>
      <c r="F1288" s="365">
        <v>0</v>
      </c>
      <c r="G1288" s="365">
        <v>0</v>
      </c>
      <c r="H1288" s="365">
        <v>0</v>
      </c>
      <c r="I1288" s="365">
        <v>0</v>
      </c>
      <c r="J1288" s="365">
        <v>0</v>
      </c>
      <c r="K1288" s="365">
        <v>0</v>
      </c>
      <c r="L1288" s="361">
        <v>1683287.27</v>
      </c>
      <c r="M1288" s="361">
        <v>1720928.69</v>
      </c>
      <c r="N1288" s="1821">
        <v>1151354.43</v>
      </c>
    </row>
    <row r="1289" spans="1:14" ht="13">
      <c r="A1289" s="1818" t="s">
        <v>1287</v>
      </c>
      <c r="B1289" s="1819">
        <v>4415215.01</v>
      </c>
      <c r="C1289" s="1820">
        <v>232694.77</v>
      </c>
      <c r="D1289" s="361">
        <v>275772.33</v>
      </c>
      <c r="E1289" s="361">
        <v>223617.08</v>
      </c>
      <c r="F1289" s="361">
        <v>299490.58</v>
      </c>
      <c r="G1289" s="361">
        <v>202399.07</v>
      </c>
      <c r="H1289" s="361">
        <v>403017.3</v>
      </c>
      <c r="I1289" s="361">
        <v>308022.46000000002</v>
      </c>
      <c r="J1289" s="361">
        <v>291104.44</v>
      </c>
      <c r="K1289" s="361">
        <v>450868.63</v>
      </c>
      <c r="L1289" s="361">
        <v>530048.11</v>
      </c>
      <c r="M1289" s="361">
        <v>504332.14</v>
      </c>
      <c r="N1289" s="1821">
        <v>693848.1</v>
      </c>
    </row>
    <row r="1290" spans="1:14" ht="13">
      <c r="A1290" s="1818" t="s">
        <v>1357</v>
      </c>
      <c r="B1290" s="1819">
        <v>4294437.32</v>
      </c>
      <c r="C1290" s="1820">
        <v>300246.84000000003</v>
      </c>
      <c r="D1290" s="361">
        <v>306925.02</v>
      </c>
      <c r="E1290" s="361">
        <v>270373.07</v>
      </c>
      <c r="F1290" s="361">
        <v>70580</v>
      </c>
      <c r="G1290" s="361">
        <v>238754.07</v>
      </c>
      <c r="H1290" s="361">
        <v>178688.91</v>
      </c>
      <c r="I1290" s="361">
        <v>177054.07999999999</v>
      </c>
      <c r="J1290" s="361">
        <v>120452.76</v>
      </c>
      <c r="K1290" s="361">
        <v>346167.83</v>
      </c>
      <c r="L1290" s="361">
        <v>353716.21</v>
      </c>
      <c r="M1290" s="361">
        <v>879007.4</v>
      </c>
      <c r="N1290" s="1821">
        <v>1052471.1299999999</v>
      </c>
    </row>
    <row r="1291" spans="1:14" ht="13">
      <c r="A1291" s="1818" t="s">
        <v>1272</v>
      </c>
      <c r="B1291" s="1819">
        <v>3957651.91</v>
      </c>
      <c r="C1291" s="1822">
        <v>0</v>
      </c>
      <c r="D1291" s="365">
        <v>0</v>
      </c>
      <c r="E1291" s="365">
        <v>0</v>
      </c>
      <c r="F1291" s="365">
        <v>0</v>
      </c>
      <c r="G1291" s="365">
        <v>0</v>
      </c>
      <c r="H1291" s="365">
        <v>0</v>
      </c>
      <c r="I1291" s="365">
        <v>0</v>
      </c>
      <c r="J1291" s="361">
        <v>1220753.1000000001</v>
      </c>
      <c r="K1291" s="361">
        <v>861921.58</v>
      </c>
      <c r="L1291" s="361">
        <v>947452.16</v>
      </c>
      <c r="M1291" s="361">
        <v>703612.41</v>
      </c>
      <c r="N1291" s="1821">
        <v>223912.65</v>
      </c>
    </row>
    <row r="1292" spans="1:14" ht="13">
      <c r="A1292" s="1818" t="s">
        <v>1365</v>
      </c>
      <c r="B1292" s="1819">
        <v>3808746.32</v>
      </c>
      <c r="C1292" s="1820">
        <v>337638.59</v>
      </c>
      <c r="D1292" s="361">
        <v>40847.120000000003</v>
      </c>
      <c r="E1292" s="361">
        <v>822233.43</v>
      </c>
      <c r="F1292" s="361">
        <v>71831.070000000007</v>
      </c>
      <c r="G1292" s="361">
        <v>342274.21</v>
      </c>
      <c r="H1292" s="361">
        <v>281835.78000000003</v>
      </c>
      <c r="I1292" s="361">
        <v>621311.9</v>
      </c>
      <c r="J1292" s="361">
        <v>374775.92</v>
      </c>
      <c r="K1292" s="365">
        <v>0</v>
      </c>
      <c r="L1292" s="361">
        <v>915998.31</v>
      </c>
      <c r="M1292" s="365">
        <v>0</v>
      </c>
      <c r="N1292" s="1823">
        <v>0</v>
      </c>
    </row>
    <row r="1293" spans="1:14" ht="13">
      <c r="A1293" s="1818" t="s">
        <v>1557</v>
      </c>
      <c r="B1293" s="1819">
        <v>3652512.85</v>
      </c>
      <c r="C1293" s="1820">
        <v>152814.59</v>
      </c>
      <c r="D1293" s="361">
        <v>346248.93</v>
      </c>
      <c r="E1293" s="361">
        <v>436762.78</v>
      </c>
      <c r="F1293" s="361">
        <v>224421.94</v>
      </c>
      <c r="G1293" s="361">
        <v>191214.25</v>
      </c>
      <c r="H1293" s="361">
        <v>87551.2</v>
      </c>
      <c r="I1293" s="361">
        <v>418017.06</v>
      </c>
      <c r="J1293" s="361">
        <v>521424.5</v>
      </c>
      <c r="K1293" s="361">
        <v>785521.85</v>
      </c>
      <c r="L1293" s="361">
        <v>145050.35999999999</v>
      </c>
      <c r="M1293" s="361">
        <v>50981.68</v>
      </c>
      <c r="N1293" s="1821">
        <v>292503.71000000002</v>
      </c>
    </row>
    <row r="1294" spans="1:14" ht="13">
      <c r="A1294" s="1818" t="s">
        <v>1276</v>
      </c>
      <c r="B1294" s="1819">
        <v>3598005.39</v>
      </c>
      <c r="C1294" s="1822">
        <v>0</v>
      </c>
      <c r="D1294" s="365">
        <v>0</v>
      </c>
      <c r="E1294" s="365">
        <v>0</v>
      </c>
      <c r="F1294" s="361">
        <v>186685.14</v>
      </c>
      <c r="G1294" s="361">
        <v>266453.51</v>
      </c>
      <c r="H1294" s="361">
        <v>79827.38</v>
      </c>
      <c r="I1294" s="361">
        <v>649327.75</v>
      </c>
      <c r="J1294" s="361">
        <v>317983.96999999997</v>
      </c>
      <c r="K1294" s="361">
        <v>22966.560000000001</v>
      </c>
      <c r="L1294" s="361">
        <v>506564.06</v>
      </c>
      <c r="M1294" s="361">
        <v>1230139.97</v>
      </c>
      <c r="N1294" s="1821">
        <v>338057.05</v>
      </c>
    </row>
    <row r="1295" spans="1:14" ht="13">
      <c r="A1295" s="1818" t="s">
        <v>1289</v>
      </c>
      <c r="B1295" s="1819">
        <v>3498995.05</v>
      </c>
      <c r="C1295" s="1822">
        <v>0</v>
      </c>
      <c r="D1295" s="365">
        <v>0</v>
      </c>
      <c r="E1295" s="365">
        <v>0</v>
      </c>
      <c r="F1295" s="361">
        <v>1708281.49</v>
      </c>
      <c r="G1295" s="365">
        <v>0</v>
      </c>
      <c r="H1295" s="365">
        <v>0</v>
      </c>
      <c r="I1295" s="361">
        <v>754604.85</v>
      </c>
      <c r="J1295" s="361">
        <v>528564.77</v>
      </c>
      <c r="K1295" s="361">
        <v>507543.95</v>
      </c>
      <c r="L1295" s="365">
        <v>0</v>
      </c>
      <c r="M1295" s="365">
        <v>0</v>
      </c>
      <c r="N1295" s="1823">
        <v>0</v>
      </c>
    </row>
    <row r="1296" spans="1:14" ht="13">
      <c r="A1296" s="1818" t="s">
        <v>1305</v>
      </c>
      <c r="B1296" s="1819">
        <v>3336493.49</v>
      </c>
      <c r="C1296" s="1820">
        <v>310807.25</v>
      </c>
      <c r="D1296" s="361">
        <v>180914.47</v>
      </c>
      <c r="E1296" s="365">
        <v>0</v>
      </c>
      <c r="F1296" s="361">
        <v>943326.79</v>
      </c>
      <c r="G1296" s="365">
        <v>0</v>
      </c>
      <c r="H1296" s="361">
        <v>1179533.58</v>
      </c>
      <c r="I1296" s="365">
        <v>0</v>
      </c>
      <c r="J1296" s="361">
        <v>311610.43</v>
      </c>
      <c r="K1296" s="361">
        <v>410300.97</v>
      </c>
      <c r="L1296" s="365">
        <v>0</v>
      </c>
      <c r="M1296" s="365">
        <v>0</v>
      </c>
      <c r="N1296" s="1823">
        <v>0</v>
      </c>
    </row>
    <row r="1297" spans="1:14" ht="13">
      <c r="A1297" s="1818" t="s">
        <v>1306</v>
      </c>
      <c r="B1297" s="1819">
        <v>3077371.65</v>
      </c>
      <c r="C1297" s="1822">
        <v>0</v>
      </c>
      <c r="D1297" s="365">
        <v>0</v>
      </c>
      <c r="E1297" s="365">
        <v>0</v>
      </c>
      <c r="F1297" s="365">
        <v>0</v>
      </c>
      <c r="G1297" s="365">
        <v>0</v>
      </c>
      <c r="H1297" s="365">
        <v>0</v>
      </c>
      <c r="I1297" s="365">
        <v>0</v>
      </c>
      <c r="J1297" s="365">
        <v>0</v>
      </c>
      <c r="K1297" s="361">
        <v>419227.04</v>
      </c>
      <c r="L1297" s="361">
        <v>692382.36</v>
      </c>
      <c r="M1297" s="361">
        <v>1066313.67</v>
      </c>
      <c r="N1297" s="1821">
        <v>899448.58</v>
      </c>
    </row>
    <row r="1298" spans="1:14" ht="13">
      <c r="A1298" s="1818" t="s">
        <v>1300</v>
      </c>
      <c r="B1298" s="1819">
        <v>2813043.24</v>
      </c>
      <c r="C1298" s="1822">
        <v>0</v>
      </c>
      <c r="D1298" s="365">
        <v>0</v>
      </c>
      <c r="E1298" s="365">
        <v>0</v>
      </c>
      <c r="F1298" s="365">
        <v>0</v>
      </c>
      <c r="G1298" s="365">
        <v>0</v>
      </c>
      <c r="H1298" s="365">
        <v>0</v>
      </c>
      <c r="I1298" s="365">
        <v>0</v>
      </c>
      <c r="J1298" s="365">
        <v>0</v>
      </c>
      <c r="K1298" s="365">
        <v>0</v>
      </c>
      <c r="L1298" s="361">
        <v>1175549.02</v>
      </c>
      <c r="M1298" s="361">
        <v>595391.81999999995</v>
      </c>
      <c r="N1298" s="1821">
        <v>1042102.4</v>
      </c>
    </row>
    <row r="1299" spans="1:14" ht="13">
      <c r="A1299" s="1818" t="s">
        <v>1370</v>
      </c>
      <c r="B1299" s="1819">
        <v>2708685.96</v>
      </c>
      <c r="C1299" s="1820">
        <v>260987.61</v>
      </c>
      <c r="D1299" s="361">
        <v>423356.85</v>
      </c>
      <c r="E1299" s="361">
        <v>385392.66</v>
      </c>
      <c r="F1299" s="361">
        <v>108704.59</v>
      </c>
      <c r="G1299" s="361">
        <v>123085.33</v>
      </c>
      <c r="H1299" s="361">
        <v>164416.68</v>
      </c>
      <c r="I1299" s="361">
        <v>264574.7</v>
      </c>
      <c r="J1299" s="365">
        <v>0</v>
      </c>
      <c r="K1299" s="361">
        <v>163579.04999999999</v>
      </c>
      <c r="L1299" s="361">
        <v>345219.37</v>
      </c>
      <c r="M1299" s="361">
        <v>282553.12</v>
      </c>
      <c r="N1299" s="1821">
        <v>186816.01</v>
      </c>
    </row>
    <row r="1300" spans="1:14" ht="13">
      <c r="A1300" s="1818" t="s">
        <v>1350</v>
      </c>
      <c r="B1300" s="1819">
        <v>2497329.23</v>
      </c>
      <c r="C1300" s="1822">
        <v>0</v>
      </c>
      <c r="D1300" s="365">
        <v>0</v>
      </c>
      <c r="E1300" s="365">
        <v>0</v>
      </c>
      <c r="F1300" s="361">
        <v>191074.13</v>
      </c>
      <c r="G1300" s="361">
        <v>612771.67000000004</v>
      </c>
      <c r="H1300" s="361">
        <v>727277.68</v>
      </c>
      <c r="I1300" s="361">
        <v>49245.62</v>
      </c>
      <c r="J1300" s="365">
        <v>0</v>
      </c>
      <c r="K1300" s="361">
        <v>566776.91</v>
      </c>
      <c r="L1300" s="361">
        <v>127027.24</v>
      </c>
      <c r="M1300" s="361">
        <v>154366.20000000001</v>
      </c>
      <c r="N1300" s="1821">
        <v>68789.77</v>
      </c>
    </row>
    <row r="1301" spans="1:14" ht="13">
      <c r="A1301" s="1818" t="s">
        <v>1349</v>
      </c>
      <c r="B1301" s="1819">
        <v>2477216.7400000002</v>
      </c>
      <c r="C1301" s="1822">
        <v>0</v>
      </c>
      <c r="D1301" s="365">
        <v>0</v>
      </c>
      <c r="E1301" s="361">
        <v>548371.38</v>
      </c>
      <c r="F1301" s="361">
        <v>266418.38</v>
      </c>
      <c r="G1301" s="365">
        <v>0</v>
      </c>
      <c r="H1301" s="361">
        <v>175467.27</v>
      </c>
      <c r="I1301" s="361">
        <v>34651.26</v>
      </c>
      <c r="J1301" s="361">
        <v>163268.70000000001</v>
      </c>
      <c r="K1301" s="361">
        <v>545932.62</v>
      </c>
      <c r="L1301" s="361">
        <v>404377.48</v>
      </c>
      <c r="M1301" s="361">
        <v>338729.66</v>
      </c>
      <c r="N1301" s="1823">
        <v>0</v>
      </c>
    </row>
    <row r="1302" spans="1:14" ht="13">
      <c r="A1302" s="1818" t="s">
        <v>1299</v>
      </c>
      <c r="B1302" s="1819">
        <v>2430056.5099999998</v>
      </c>
      <c r="C1302" s="1820">
        <v>261852.61</v>
      </c>
      <c r="D1302" s="361">
        <v>279180.77</v>
      </c>
      <c r="E1302" s="361">
        <v>398134.06</v>
      </c>
      <c r="F1302" s="361">
        <v>144335.41</v>
      </c>
      <c r="G1302" s="361">
        <v>300343.40000000002</v>
      </c>
      <c r="H1302" s="361">
        <v>111618.87</v>
      </c>
      <c r="I1302" s="361">
        <v>57157.38</v>
      </c>
      <c r="J1302" s="361">
        <v>318124.11</v>
      </c>
      <c r="K1302" s="365">
        <v>0</v>
      </c>
      <c r="L1302" s="365">
        <v>0</v>
      </c>
      <c r="M1302" s="361">
        <v>166471.29</v>
      </c>
      <c r="N1302" s="1821">
        <v>392838.62</v>
      </c>
    </row>
    <row r="1303" spans="1:14" ht="13">
      <c r="A1303" s="1818" t="s">
        <v>1392</v>
      </c>
      <c r="B1303" s="1819">
        <v>2318701.86</v>
      </c>
      <c r="C1303" s="1822">
        <v>0</v>
      </c>
      <c r="D1303" s="365">
        <v>0</v>
      </c>
      <c r="E1303" s="365">
        <v>0</v>
      </c>
      <c r="F1303" s="365">
        <v>0</v>
      </c>
      <c r="G1303" s="365">
        <v>0</v>
      </c>
      <c r="H1303" s="361">
        <v>710593.52</v>
      </c>
      <c r="I1303" s="361">
        <v>1265811.7</v>
      </c>
      <c r="J1303" s="361">
        <v>138856.53</v>
      </c>
      <c r="K1303" s="361">
        <v>203440.12</v>
      </c>
      <c r="L1303" s="365">
        <v>0</v>
      </c>
      <c r="M1303" s="365">
        <v>0</v>
      </c>
      <c r="N1303" s="1823">
        <v>0</v>
      </c>
    </row>
    <row r="1304" spans="1:14" ht="13">
      <c r="A1304" s="1818" t="s">
        <v>1362</v>
      </c>
      <c r="B1304" s="1819">
        <v>2247529.77</v>
      </c>
      <c r="C1304" s="1820">
        <v>236717.72</v>
      </c>
      <c r="D1304" s="361">
        <v>72724.37</v>
      </c>
      <c r="E1304" s="361">
        <v>168727.33</v>
      </c>
      <c r="F1304" s="361">
        <v>224811.18</v>
      </c>
      <c r="G1304" s="365">
        <v>0</v>
      </c>
      <c r="H1304" s="361">
        <v>323472.19</v>
      </c>
      <c r="I1304" s="361">
        <v>131062.35</v>
      </c>
      <c r="J1304" s="361">
        <v>88377.35</v>
      </c>
      <c r="K1304" s="361">
        <v>179175.69</v>
      </c>
      <c r="L1304" s="361">
        <v>188023.46</v>
      </c>
      <c r="M1304" s="361">
        <v>156792.34</v>
      </c>
      <c r="N1304" s="1821">
        <v>477645.8</v>
      </c>
    </row>
    <row r="1305" spans="1:14" ht="13">
      <c r="A1305" s="1818" t="s">
        <v>1755</v>
      </c>
      <c r="B1305" s="1819">
        <v>2129500.7999999998</v>
      </c>
      <c r="C1305" s="1820">
        <v>2129500.7999999998</v>
      </c>
      <c r="D1305" s="365">
        <v>0</v>
      </c>
      <c r="E1305" s="365">
        <v>0</v>
      </c>
      <c r="F1305" s="365">
        <v>0</v>
      </c>
      <c r="G1305" s="365">
        <v>0</v>
      </c>
      <c r="H1305" s="365">
        <v>0</v>
      </c>
      <c r="I1305" s="365">
        <v>0</v>
      </c>
      <c r="J1305" s="365">
        <v>0</v>
      </c>
      <c r="K1305" s="365">
        <v>0</v>
      </c>
      <c r="L1305" s="365">
        <v>0</v>
      </c>
      <c r="M1305" s="365">
        <v>0</v>
      </c>
      <c r="N1305" s="1823">
        <v>0</v>
      </c>
    </row>
    <row r="1306" spans="1:14" ht="13">
      <c r="A1306" s="1818" t="s">
        <v>1345</v>
      </c>
      <c r="B1306" s="1819">
        <v>2099652.4700000002</v>
      </c>
      <c r="C1306" s="1820">
        <v>322712.13</v>
      </c>
      <c r="D1306" s="361">
        <v>108798.16</v>
      </c>
      <c r="E1306" s="361">
        <v>81399.75</v>
      </c>
      <c r="F1306" s="361">
        <v>50831.65</v>
      </c>
      <c r="G1306" s="361">
        <v>41330.129999999997</v>
      </c>
      <c r="H1306" s="361">
        <v>235668.97</v>
      </c>
      <c r="I1306" s="361">
        <v>224005.23</v>
      </c>
      <c r="J1306" s="361">
        <v>338823.23</v>
      </c>
      <c r="K1306" s="361">
        <v>109298.87</v>
      </c>
      <c r="L1306" s="361">
        <v>213367.67999999999</v>
      </c>
      <c r="M1306" s="361">
        <v>196613.3</v>
      </c>
      <c r="N1306" s="1821">
        <v>176803.38</v>
      </c>
    </row>
    <row r="1307" spans="1:14" ht="13">
      <c r="A1307" s="1818" t="s">
        <v>1346</v>
      </c>
      <c r="B1307" s="1819">
        <v>2084014.45</v>
      </c>
      <c r="C1307" s="1822">
        <v>0</v>
      </c>
      <c r="D1307" s="361">
        <v>90886.73</v>
      </c>
      <c r="E1307" s="361">
        <v>159328.04999999999</v>
      </c>
      <c r="F1307" s="361">
        <v>376062.16</v>
      </c>
      <c r="G1307" s="365">
        <v>0</v>
      </c>
      <c r="H1307" s="361">
        <v>166649.97</v>
      </c>
      <c r="I1307" s="361">
        <v>227483.74</v>
      </c>
      <c r="J1307" s="361">
        <v>185460.94</v>
      </c>
      <c r="K1307" s="361">
        <v>165744.26999999999</v>
      </c>
      <c r="L1307" s="361">
        <v>466144.91</v>
      </c>
      <c r="M1307" s="361">
        <v>70004.55</v>
      </c>
      <c r="N1307" s="1821">
        <v>176249.13</v>
      </c>
    </row>
    <row r="1308" spans="1:14" ht="13">
      <c r="A1308" s="1818" t="s">
        <v>1348</v>
      </c>
      <c r="B1308" s="1819">
        <v>2069057.34</v>
      </c>
      <c r="C1308" s="1820">
        <v>292187.03999999998</v>
      </c>
      <c r="D1308" s="361">
        <v>106475.04</v>
      </c>
      <c r="E1308" s="361">
        <v>264060.36</v>
      </c>
      <c r="F1308" s="365">
        <v>0</v>
      </c>
      <c r="G1308" s="361">
        <v>110508.75</v>
      </c>
      <c r="H1308" s="361">
        <v>140234.87</v>
      </c>
      <c r="I1308" s="365">
        <v>0</v>
      </c>
      <c r="J1308" s="361">
        <v>228067.99</v>
      </c>
      <c r="K1308" s="361">
        <v>345729.98</v>
      </c>
      <c r="L1308" s="361">
        <v>112861.09</v>
      </c>
      <c r="M1308" s="365">
        <v>0</v>
      </c>
      <c r="N1308" s="1821">
        <v>468932.22</v>
      </c>
    </row>
    <row r="1309" spans="1:14" ht="13">
      <c r="A1309" s="1818" t="s">
        <v>1277</v>
      </c>
      <c r="B1309" s="1819">
        <v>2025343.69</v>
      </c>
      <c r="C1309" s="1822">
        <v>0</v>
      </c>
      <c r="D1309" s="365">
        <v>0</v>
      </c>
      <c r="E1309" s="365">
        <v>0</v>
      </c>
      <c r="F1309" s="365">
        <v>0</v>
      </c>
      <c r="G1309" s="365">
        <v>0</v>
      </c>
      <c r="H1309" s="365">
        <v>0</v>
      </c>
      <c r="I1309" s="365">
        <v>0</v>
      </c>
      <c r="J1309" s="365">
        <v>0</v>
      </c>
      <c r="K1309" s="365">
        <v>0</v>
      </c>
      <c r="L1309" s="361">
        <v>414252.66</v>
      </c>
      <c r="M1309" s="361">
        <v>885768.37</v>
      </c>
      <c r="N1309" s="1821">
        <v>725322.66</v>
      </c>
    </row>
    <row r="1310" spans="1:14" ht="13">
      <c r="A1310" s="1818" t="s">
        <v>1389</v>
      </c>
      <c r="B1310" s="1819">
        <v>1985521.26</v>
      </c>
      <c r="C1310" s="1820">
        <v>331885.31</v>
      </c>
      <c r="D1310" s="361">
        <v>98991.28</v>
      </c>
      <c r="E1310" s="361">
        <v>191902.96</v>
      </c>
      <c r="F1310" s="361">
        <v>55647.56</v>
      </c>
      <c r="G1310" s="361">
        <v>433818.4</v>
      </c>
      <c r="H1310" s="361">
        <v>135964.85</v>
      </c>
      <c r="I1310" s="361">
        <v>103280.96000000001</v>
      </c>
      <c r="J1310" s="365">
        <v>0</v>
      </c>
      <c r="K1310" s="361">
        <v>223417.58</v>
      </c>
      <c r="L1310" s="365">
        <v>0</v>
      </c>
      <c r="M1310" s="361">
        <v>120043.36</v>
      </c>
      <c r="N1310" s="1821">
        <v>290569</v>
      </c>
    </row>
    <row r="1311" spans="1:14" ht="13">
      <c r="A1311" s="1818" t="s">
        <v>1341</v>
      </c>
      <c r="B1311" s="1819">
        <v>1957891.44</v>
      </c>
      <c r="C1311" s="1822">
        <v>0</v>
      </c>
      <c r="D1311" s="365">
        <v>0</v>
      </c>
      <c r="E1311" s="365">
        <v>0</v>
      </c>
      <c r="F1311" s="361">
        <v>290141.59000000003</v>
      </c>
      <c r="G1311" s="361">
        <v>845130.58</v>
      </c>
      <c r="H1311" s="361">
        <v>822619.27</v>
      </c>
      <c r="I1311" s="365">
        <v>0</v>
      </c>
      <c r="J1311" s="365">
        <v>0</v>
      </c>
      <c r="K1311" s="365">
        <v>0</v>
      </c>
      <c r="L1311" s="365">
        <v>0</v>
      </c>
      <c r="M1311" s="365">
        <v>0</v>
      </c>
      <c r="N1311" s="1823">
        <v>0</v>
      </c>
    </row>
    <row r="1312" spans="1:14" ht="13">
      <c r="A1312" s="1818" t="s">
        <v>1658</v>
      </c>
      <c r="B1312" s="1819">
        <v>1786769.72</v>
      </c>
      <c r="C1312" s="1822">
        <v>0</v>
      </c>
      <c r="D1312" s="361">
        <v>176549</v>
      </c>
      <c r="E1312" s="361">
        <v>141929.45000000001</v>
      </c>
      <c r="F1312" s="361">
        <v>119657.28</v>
      </c>
      <c r="G1312" s="365">
        <v>0</v>
      </c>
      <c r="H1312" s="365">
        <v>0</v>
      </c>
      <c r="I1312" s="361">
        <v>367662</v>
      </c>
      <c r="J1312" s="365">
        <v>0</v>
      </c>
      <c r="K1312" s="365">
        <v>0</v>
      </c>
      <c r="L1312" s="361">
        <v>325279.74</v>
      </c>
      <c r="M1312" s="361">
        <v>349502.85</v>
      </c>
      <c r="N1312" s="1821">
        <v>306189.40000000002</v>
      </c>
    </row>
    <row r="1313" spans="1:14" ht="13">
      <c r="A1313" s="1818" t="s">
        <v>1354</v>
      </c>
      <c r="B1313" s="1819">
        <v>1720403.94</v>
      </c>
      <c r="C1313" s="1822">
        <v>0</v>
      </c>
      <c r="D1313" s="361">
        <v>89194.79</v>
      </c>
      <c r="E1313" s="361">
        <v>160338.16</v>
      </c>
      <c r="F1313" s="365">
        <v>0</v>
      </c>
      <c r="G1313" s="365">
        <v>0</v>
      </c>
      <c r="H1313" s="365">
        <v>0</v>
      </c>
      <c r="I1313" s="361">
        <v>45269.52</v>
      </c>
      <c r="J1313" s="361">
        <v>103591.8</v>
      </c>
      <c r="K1313" s="361">
        <v>908268.7</v>
      </c>
      <c r="L1313" s="361">
        <v>81431.3</v>
      </c>
      <c r="M1313" s="361">
        <v>130707.48</v>
      </c>
      <c r="N1313" s="1821">
        <v>201602.2</v>
      </c>
    </row>
    <row r="1314" spans="1:14" ht="13">
      <c r="A1314" s="1818" t="s">
        <v>1368</v>
      </c>
      <c r="B1314" s="1819">
        <v>1719746.02</v>
      </c>
      <c r="C1314" s="1822">
        <v>0</v>
      </c>
      <c r="D1314" s="361">
        <v>196336.54</v>
      </c>
      <c r="E1314" s="361">
        <v>276365.52</v>
      </c>
      <c r="F1314" s="361">
        <v>214402.98</v>
      </c>
      <c r="G1314" s="365">
        <v>0</v>
      </c>
      <c r="H1314" s="361">
        <v>280791.90000000002</v>
      </c>
      <c r="I1314" s="361">
        <v>198005.56</v>
      </c>
      <c r="J1314" s="361">
        <v>111902.92</v>
      </c>
      <c r="K1314" s="361">
        <v>138529.43</v>
      </c>
      <c r="L1314" s="361">
        <v>60951.41</v>
      </c>
      <c r="M1314" s="361">
        <v>242459.77</v>
      </c>
      <c r="N1314" s="1823">
        <v>0</v>
      </c>
    </row>
    <row r="1315" spans="1:14" ht="13">
      <c r="A1315" s="1818" t="s">
        <v>1756</v>
      </c>
      <c r="B1315" s="1819">
        <v>1659019.12</v>
      </c>
      <c r="C1315" s="1820">
        <v>1659019.12</v>
      </c>
      <c r="D1315" s="365">
        <v>0</v>
      </c>
      <c r="E1315" s="365">
        <v>0</v>
      </c>
      <c r="F1315" s="365">
        <v>0</v>
      </c>
      <c r="G1315" s="365">
        <v>0</v>
      </c>
      <c r="H1315" s="365">
        <v>0</v>
      </c>
      <c r="I1315" s="365">
        <v>0</v>
      </c>
      <c r="J1315" s="365">
        <v>0</v>
      </c>
      <c r="K1315" s="365">
        <v>0</v>
      </c>
      <c r="L1315" s="365">
        <v>0</v>
      </c>
      <c r="M1315" s="365">
        <v>0</v>
      </c>
      <c r="N1315" s="1823">
        <v>0</v>
      </c>
    </row>
    <row r="1316" spans="1:14" ht="13">
      <c r="A1316" s="1818" t="s">
        <v>1757</v>
      </c>
      <c r="B1316" s="1819">
        <v>1642370.26</v>
      </c>
      <c r="C1316" s="1820">
        <v>1642370.26</v>
      </c>
      <c r="D1316" s="365">
        <v>0</v>
      </c>
      <c r="E1316" s="365">
        <v>0</v>
      </c>
      <c r="F1316" s="365">
        <v>0</v>
      </c>
      <c r="G1316" s="365">
        <v>0</v>
      </c>
      <c r="H1316" s="365">
        <v>0</v>
      </c>
      <c r="I1316" s="365">
        <v>0</v>
      </c>
      <c r="J1316" s="365">
        <v>0</v>
      </c>
      <c r="K1316" s="365">
        <v>0</v>
      </c>
      <c r="L1316" s="365">
        <v>0</v>
      </c>
      <c r="M1316" s="365">
        <v>0</v>
      </c>
      <c r="N1316" s="1823">
        <v>0</v>
      </c>
    </row>
    <row r="1317" spans="1:14" ht="13">
      <c r="A1317" s="1818" t="s">
        <v>1297</v>
      </c>
      <c r="B1317" s="1819">
        <v>1542089.25</v>
      </c>
      <c r="C1317" s="1822">
        <v>0</v>
      </c>
      <c r="D1317" s="365">
        <v>0</v>
      </c>
      <c r="E1317" s="365">
        <v>0</v>
      </c>
      <c r="F1317" s="361">
        <v>341412.97</v>
      </c>
      <c r="G1317" s="365">
        <v>0</v>
      </c>
      <c r="H1317" s="365">
        <v>0</v>
      </c>
      <c r="I1317" s="361">
        <v>1200676.28</v>
      </c>
      <c r="J1317" s="365">
        <v>0</v>
      </c>
      <c r="K1317" s="365">
        <v>0</v>
      </c>
      <c r="L1317" s="365">
        <v>0</v>
      </c>
      <c r="M1317" s="365">
        <v>0</v>
      </c>
      <c r="N1317" s="1823">
        <v>0</v>
      </c>
    </row>
    <row r="1318" spans="1:14" ht="13">
      <c r="A1318" s="1818" t="s">
        <v>1758</v>
      </c>
      <c r="B1318" s="1819">
        <v>1526888.79</v>
      </c>
      <c r="C1318" s="1820">
        <v>162452.78</v>
      </c>
      <c r="D1318" s="365">
        <v>0</v>
      </c>
      <c r="E1318" s="361">
        <v>402282.48</v>
      </c>
      <c r="F1318" s="365">
        <v>0</v>
      </c>
      <c r="G1318" s="365">
        <v>0</v>
      </c>
      <c r="H1318" s="365">
        <v>0</v>
      </c>
      <c r="I1318" s="365">
        <v>0</v>
      </c>
      <c r="J1318" s="361">
        <v>459769.12</v>
      </c>
      <c r="K1318" s="361">
        <v>207409.84</v>
      </c>
      <c r="L1318" s="361">
        <v>180159.8</v>
      </c>
      <c r="M1318" s="365">
        <v>0</v>
      </c>
      <c r="N1318" s="1821">
        <v>114814.76</v>
      </c>
    </row>
    <row r="1319" spans="1:14" ht="13">
      <c r="A1319" s="1818" t="s">
        <v>1331</v>
      </c>
      <c r="B1319" s="1819">
        <v>1439607.72</v>
      </c>
      <c r="C1319" s="1822">
        <v>0</v>
      </c>
      <c r="D1319" s="365">
        <v>0</v>
      </c>
      <c r="E1319" s="365">
        <v>0</v>
      </c>
      <c r="F1319" s="365">
        <v>0</v>
      </c>
      <c r="G1319" s="365">
        <v>0</v>
      </c>
      <c r="H1319" s="365">
        <v>0</v>
      </c>
      <c r="I1319" s="365">
        <v>0</v>
      </c>
      <c r="J1319" s="365">
        <v>0</v>
      </c>
      <c r="K1319" s="365">
        <v>0</v>
      </c>
      <c r="L1319" s="365">
        <v>0</v>
      </c>
      <c r="M1319" s="361">
        <v>1439607.72</v>
      </c>
      <c r="N1319" s="1823">
        <v>0</v>
      </c>
    </row>
    <row r="1320" spans="1:14" ht="13">
      <c r="A1320" s="1818" t="s">
        <v>1759</v>
      </c>
      <c r="B1320" s="1819">
        <v>1362862.66</v>
      </c>
      <c r="C1320" s="1820">
        <v>39798.550000000003</v>
      </c>
      <c r="D1320" s="365">
        <v>0</v>
      </c>
      <c r="E1320" s="361">
        <v>70897.88</v>
      </c>
      <c r="F1320" s="365">
        <v>0</v>
      </c>
      <c r="G1320" s="365">
        <v>0</v>
      </c>
      <c r="H1320" s="365">
        <v>0</v>
      </c>
      <c r="I1320" s="361">
        <v>147059.46</v>
      </c>
      <c r="J1320" s="361">
        <v>153256.37</v>
      </c>
      <c r="K1320" s="365">
        <v>0</v>
      </c>
      <c r="L1320" s="361">
        <v>449552.02</v>
      </c>
      <c r="M1320" s="365">
        <v>0</v>
      </c>
      <c r="N1320" s="1821">
        <v>502298.39</v>
      </c>
    </row>
    <row r="1321" spans="1:14" ht="13">
      <c r="A1321" s="1818" t="s">
        <v>1347</v>
      </c>
      <c r="B1321" s="1819">
        <v>1325221.6499999999</v>
      </c>
      <c r="C1321" s="1820">
        <v>215118.1</v>
      </c>
      <c r="D1321" s="361">
        <v>131052.14</v>
      </c>
      <c r="E1321" s="361">
        <v>79682.11</v>
      </c>
      <c r="F1321" s="361">
        <v>113179.74</v>
      </c>
      <c r="G1321" s="361">
        <v>103304.4</v>
      </c>
      <c r="H1321" s="361">
        <v>243281.77</v>
      </c>
      <c r="I1321" s="361">
        <v>192979.91</v>
      </c>
      <c r="J1321" s="361">
        <v>148705.12</v>
      </c>
      <c r="K1321" s="361">
        <v>33904.449999999997</v>
      </c>
      <c r="L1321" s="365">
        <v>0</v>
      </c>
      <c r="M1321" s="365">
        <v>0</v>
      </c>
      <c r="N1321" s="1821">
        <v>64013.91</v>
      </c>
    </row>
    <row r="1322" spans="1:14" ht="13">
      <c r="A1322" s="1818" t="s">
        <v>1387</v>
      </c>
      <c r="B1322" s="1819">
        <v>1193969.7</v>
      </c>
      <c r="C1322" s="1820">
        <v>107206.08</v>
      </c>
      <c r="D1322" s="365">
        <v>0</v>
      </c>
      <c r="E1322" s="361">
        <v>35132.25</v>
      </c>
      <c r="F1322" s="361">
        <v>62073.98</v>
      </c>
      <c r="G1322" s="361">
        <v>19763.14</v>
      </c>
      <c r="H1322" s="365">
        <v>0</v>
      </c>
      <c r="I1322" s="365">
        <v>0</v>
      </c>
      <c r="J1322" s="361">
        <v>322324.12</v>
      </c>
      <c r="K1322" s="361">
        <v>221623.07</v>
      </c>
      <c r="L1322" s="361">
        <v>111103.25</v>
      </c>
      <c r="M1322" s="361">
        <v>213971.68</v>
      </c>
      <c r="N1322" s="1821">
        <v>100772.14</v>
      </c>
    </row>
    <row r="1323" spans="1:14" ht="13">
      <c r="A1323" s="1818" t="s">
        <v>1302</v>
      </c>
      <c r="B1323" s="1819">
        <v>1173690</v>
      </c>
      <c r="C1323" s="1822">
        <v>0</v>
      </c>
      <c r="D1323" s="365">
        <v>0</v>
      </c>
      <c r="E1323" s="365">
        <v>0</v>
      </c>
      <c r="F1323" s="365">
        <v>0</v>
      </c>
      <c r="G1323" s="365">
        <v>0</v>
      </c>
      <c r="H1323" s="365">
        <v>0</v>
      </c>
      <c r="I1323" s="365">
        <v>0</v>
      </c>
      <c r="J1323" s="365">
        <v>0</v>
      </c>
      <c r="K1323" s="365">
        <v>0</v>
      </c>
      <c r="L1323" s="365">
        <v>0</v>
      </c>
      <c r="M1323" s="365">
        <v>0</v>
      </c>
      <c r="N1323" s="1821">
        <v>1173690</v>
      </c>
    </row>
    <row r="1324" spans="1:14" ht="13">
      <c r="A1324" s="1818" t="s">
        <v>1760</v>
      </c>
      <c r="B1324" s="1819">
        <v>1147746.02</v>
      </c>
      <c r="C1324" s="1820">
        <v>480283.83</v>
      </c>
      <c r="D1324" s="361">
        <v>667462.18000000005</v>
      </c>
      <c r="E1324" s="365">
        <v>0</v>
      </c>
      <c r="F1324" s="365">
        <v>0</v>
      </c>
      <c r="G1324" s="365">
        <v>0</v>
      </c>
      <c r="H1324" s="365">
        <v>0</v>
      </c>
      <c r="I1324" s="365">
        <v>0</v>
      </c>
      <c r="J1324" s="365">
        <v>0</v>
      </c>
      <c r="K1324" s="365">
        <v>0</v>
      </c>
      <c r="L1324" s="365">
        <v>0</v>
      </c>
      <c r="M1324" s="365">
        <v>0</v>
      </c>
      <c r="N1324" s="1823">
        <v>0</v>
      </c>
    </row>
    <row r="1325" spans="1:14" ht="13">
      <c r="A1325" s="1818" t="s">
        <v>1369</v>
      </c>
      <c r="B1325" s="1819">
        <v>1125662.53</v>
      </c>
      <c r="C1325" s="1820">
        <v>304214.40000000002</v>
      </c>
      <c r="D1325" s="361">
        <v>154373.65</v>
      </c>
      <c r="E1325" s="365">
        <v>0</v>
      </c>
      <c r="F1325" s="365">
        <v>0</v>
      </c>
      <c r="G1325" s="361">
        <v>150705.35</v>
      </c>
      <c r="H1325" s="365">
        <v>0</v>
      </c>
      <c r="I1325" s="365">
        <v>0</v>
      </c>
      <c r="J1325" s="361">
        <v>170744.81</v>
      </c>
      <c r="K1325" s="365">
        <v>0</v>
      </c>
      <c r="L1325" s="365">
        <v>0</v>
      </c>
      <c r="M1325" s="361">
        <v>106452.08</v>
      </c>
      <c r="N1325" s="1821">
        <v>239172.24</v>
      </c>
    </row>
    <row r="1326" spans="1:14" ht="13">
      <c r="A1326" s="1818" t="s">
        <v>1464</v>
      </c>
      <c r="B1326" s="1819">
        <v>1028370.44</v>
      </c>
      <c r="C1326" s="1822">
        <v>0</v>
      </c>
      <c r="D1326" s="365">
        <v>0</v>
      </c>
      <c r="E1326" s="365">
        <v>0</v>
      </c>
      <c r="F1326" s="361">
        <v>1028370.44</v>
      </c>
      <c r="G1326" s="365">
        <v>0</v>
      </c>
      <c r="H1326" s="365">
        <v>0</v>
      </c>
      <c r="I1326" s="365">
        <v>0</v>
      </c>
      <c r="J1326" s="365">
        <v>0</v>
      </c>
      <c r="K1326" s="365">
        <v>0</v>
      </c>
      <c r="L1326" s="365">
        <v>0</v>
      </c>
      <c r="M1326" s="365">
        <v>0</v>
      </c>
      <c r="N1326" s="1823">
        <v>0</v>
      </c>
    </row>
    <row r="1327" spans="1:14" ht="13">
      <c r="A1327" s="1818" t="s">
        <v>1335</v>
      </c>
      <c r="B1327" s="1819">
        <v>1022237.97</v>
      </c>
      <c r="C1327" s="1820">
        <v>37394.26</v>
      </c>
      <c r="D1327" s="361">
        <v>77312.94</v>
      </c>
      <c r="E1327" s="361">
        <v>46474.879999999997</v>
      </c>
      <c r="F1327" s="361">
        <v>91715.34</v>
      </c>
      <c r="G1327" s="361">
        <v>275080.40999999997</v>
      </c>
      <c r="H1327" s="361">
        <v>91090.57</v>
      </c>
      <c r="I1327" s="361">
        <v>69050.11</v>
      </c>
      <c r="J1327" s="361">
        <v>113273.02</v>
      </c>
      <c r="K1327" s="365">
        <v>0</v>
      </c>
      <c r="L1327" s="361">
        <v>139779.85999999999</v>
      </c>
      <c r="M1327" s="365">
        <v>0</v>
      </c>
      <c r="N1327" s="1821">
        <v>81066.59</v>
      </c>
    </row>
    <row r="1328" spans="1:14" ht="13">
      <c r="A1328" s="1818" t="s">
        <v>1661</v>
      </c>
      <c r="B1328" s="1819">
        <v>1014151.54</v>
      </c>
      <c r="C1328" s="1822">
        <v>0</v>
      </c>
      <c r="D1328" s="365">
        <v>0</v>
      </c>
      <c r="E1328" s="365">
        <v>0</v>
      </c>
      <c r="F1328" s="365">
        <v>0</v>
      </c>
      <c r="G1328" s="365">
        <v>0</v>
      </c>
      <c r="H1328" s="365">
        <v>0</v>
      </c>
      <c r="I1328" s="365">
        <v>0</v>
      </c>
      <c r="J1328" s="365">
        <v>0</v>
      </c>
      <c r="K1328" s="365">
        <v>0</v>
      </c>
      <c r="L1328" s="361">
        <v>738494.01</v>
      </c>
      <c r="M1328" s="361">
        <v>275657.53999999998</v>
      </c>
      <c r="N1328" s="1823">
        <v>0</v>
      </c>
    </row>
    <row r="1329" spans="1:14" ht="13">
      <c r="A1329" s="1818" t="s">
        <v>1563</v>
      </c>
      <c r="B1329" s="1819">
        <v>883930.81</v>
      </c>
      <c r="C1329" s="1820">
        <v>18852.68</v>
      </c>
      <c r="D1329" s="365">
        <v>0</v>
      </c>
      <c r="E1329" s="365">
        <v>0</v>
      </c>
      <c r="F1329" s="361">
        <v>104575.02</v>
      </c>
      <c r="G1329" s="365">
        <v>0</v>
      </c>
      <c r="H1329" s="365">
        <v>0</v>
      </c>
      <c r="I1329" s="365">
        <v>0</v>
      </c>
      <c r="J1329" s="361">
        <v>262994.13</v>
      </c>
      <c r="K1329" s="361">
        <v>49232</v>
      </c>
      <c r="L1329" s="361">
        <v>448276.98</v>
      </c>
      <c r="M1329" s="365">
        <v>0</v>
      </c>
      <c r="N1329" s="1823">
        <v>0</v>
      </c>
    </row>
    <row r="1330" spans="1:14" ht="13">
      <c r="A1330" s="1818" t="s">
        <v>1469</v>
      </c>
      <c r="B1330" s="1819">
        <v>854938.79</v>
      </c>
      <c r="C1330" s="1820">
        <v>854938.79</v>
      </c>
      <c r="D1330" s="365">
        <v>0</v>
      </c>
      <c r="E1330" s="365">
        <v>0</v>
      </c>
      <c r="F1330" s="365">
        <v>0</v>
      </c>
      <c r="G1330" s="365">
        <v>0</v>
      </c>
      <c r="H1330" s="365">
        <v>0</v>
      </c>
      <c r="I1330" s="365">
        <v>0</v>
      </c>
      <c r="J1330" s="365">
        <v>0</v>
      </c>
      <c r="K1330" s="365">
        <v>0</v>
      </c>
      <c r="L1330" s="365">
        <v>0</v>
      </c>
      <c r="M1330" s="365">
        <v>0</v>
      </c>
      <c r="N1330" s="1823">
        <v>0</v>
      </c>
    </row>
    <row r="1331" spans="1:14" ht="13">
      <c r="A1331" s="1818" t="s">
        <v>1761</v>
      </c>
      <c r="B1331" s="1819">
        <v>782677.05</v>
      </c>
      <c r="C1331" s="1822">
        <v>0</v>
      </c>
      <c r="D1331" s="365">
        <v>0</v>
      </c>
      <c r="E1331" s="361">
        <v>205984.54</v>
      </c>
      <c r="F1331" s="365">
        <v>0</v>
      </c>
      <c r="G1331" s="361">
        <v>217686.46</v>
      </c>
      <c r="H1331" s="365">
        <v>0</v>
      </c>
      <c r="I1331" s="361">
        <v>141810.35</v>
      </c>
      <c r="J1331" s="365">
        <v>0</v>
      </c>
      <c r="K1331" s="361">
        <v>217195.71</v>
      </c>
      <c r="L1331" s="365">
        <v>0</v>
      </c>
      <c r="M1331" s="365">
        <v>0</v>
      </c>
      <c r="N1331" s="1823">
        <v>0</v>
      </c>
    </row>
    <row r="1332" spans="1:14" ht="13">
      <c r="A1332" s="1818" t="s">
        <v>1359</v>
      </c>
      <c r="B1332" s="1819">
        <v>769822.88</v>
      </c>
      <c r="C1332" s="1822">
        <v>0</v>
      </c>
      <c r="D1332" s="361">
        <v>324019.74</v>
      </c>
      <c r="E1332" s="361">
        <v>7659.23</v>
      </c>
      <c r="F1332" s="361">
        <v>97899.22</v>
      </c>
      <c r="G1332" s="365">
        <v>0</v>
      </c>
      <c r="H1332" s="365">
        <v>0</v>
      </c>
      <c r="I1332" s="361">
        <v>340244.68</v>
      </c>
      <c r="J1332" s="365">
        <v>0</v>
      </c>
      <c r="K1332" s="365">
        <v>0</v>
      </c>
      <c r="L1332" s="365">
        <v>0</v>
      </c>
      <c r="M1332" s="365">
        <v>0</v>
      </c>
      <c r="N1332" s="1823">
        <v>0</v>
      </c>
    </row>
    <row r="1333" spans="1:14" ht="13">
      <c r="A1333" s="1818" t="s">
        <v>1364</v>
      </c>
      <c r="B1333" s="1819">
        <v>723124.21</v>
      </c>
      <c r="C1333" s="1822">
        <v>0</v>
      </c>
      <c r="D1333" s="365">
        <v>0</v>
      </c>
      <c r="E1333" s="365">
        <v>0</v>
      </c>
      <c r="F1333" s="365">
        <v>0</v>
      </c>
      <c r="G1333" s="365">
        <v>0</v>
      </c>
      <c r="H1333" s="365">
        <v>0</v>
      </c>
      <c r="I1333" s="365">
        <v>0</v>
      </c>
      <c r="J1333" s="365">
        <v>0</v>
      </c>
      <c r="K1333" s="361">
        <v>119385.36</v>
      </c>
      <c r="L1333" s="361">
        <v>131624.49</v>
      </c>
      <c r="M1333" s="361">
        <v>323864.76</v>
      </c>
      <c r="N1333" s="1821">
        <v>148249.60999999999</v>
      </c>
    </row>
    <row r="1334" spans="1:14" ht="13">
      <c r="A1334" s="1818" t="s">
        <v>1762</v>
      </c>
      <c r="B1334" s="1819">
        <v>689955.54</v>
      </c>
      <c r="C1334" s="1820">
        <v>26082.080000000002</v>
      </c>
      <c r="D1334" s="361">
        <v>68140.240000000005</v>
      </c>
      <c r="E1334" s="361">
        <v>224273.14</v>
      </c>
      <c r="F1334" s="365">
        <v>0</v>
      </c>
      <c r="G1334" s="361">
        <v>371460.07</v>
      </c>
      <c r="H1334" s="365">
        <v>0</v>
      </c>
      <c r="I1334" s="365">
        <v>0</v>
      </c>
      <c r="J1334" s="365">
        <v>0</v>
      </c>
      <c r="K1334" s="365">
        <v>0</v>
      </c>
      <c r="L1334" s="365">
        <v>0</v>
      </c>
      <c r="M1334" s="365">
        <v>0</v>
      </c>
      <c r="N1334" s="1823">
        <v>0</v>
      </c>
    </row>
    <row r="1335" spans="1:14" ht="13">
      <c r="A1335" s="1818" t="s">
        <v>1763</v>
      </c>
      <c r="B1335" s="1819">
        <v>684482.4</v>
      </c>
      <c r="C1335" s="1820">
        <v>684482.4</v>
      </c>
      <c r="D1335" s="365">
        <v>0</v>
      </c>
      <c r="E1335" s="365">
        <v>0</v>
      </c>
      <c r="F1335" s="365">
        <v>0</v>
      </c>
      <c r="G1335" s="365">
        <v>0</v>
      </c>
      <c r="H1335" s="365">
        <v>0</v>
      </c>
      <c r="I1335" s="365">
        <v>0</v>
      </c>
      <c r="J1335" s="365">
        <v>0</v>
      </c>
      <c r="K1335" s="365">
        <v>0</v>
      </c>
      <c r="L1335" s="365">
        <v>0</v>
      </c>
      <c r="M1335" s="365">
        <v>0</v>
      </c>
      <c r="N1335" s="1823">
        <v>0</v>
      </c>
    </row>
    <row r="1336" spans="1:14" ht="13">
      <c r="A1336" s="1818" t="s">
        <v>1380</v>
      </c>
      <c r="B1336" s="1819">
        <v>589510.79</v>
      </c>
      <c r="C1336" s="1820">
        <v>23202.62</v>
      </c>
      <c r="D1336" s="361">
        <v>11833.6</v>
      </c>
      <c r="E1336" s="361">
        <v>23764.77</v>
      </c>
      <c r="F1336" s="365">
        <v>0</v>
      </c>
      <c r="G1336" s="361">
        <v>18054.27</v>
      </c>
      <c r="H1336" s="361">
        <v>67414.06</v>
      </c>
      <c r="I1336" s="361">
        <v>145998.5</v>
      </c>
      <c r="J1336" s="361">
        <v>67189.02</v>
      </c>
      <c r="K1336" s="361">
        <v>80889.990000000005</v>
      </c>
      <c r="L1336" s="361">
        <v>128526.19</v>
      </c>
      <c r="M1336" s="361">
        <v>22637.77</v>
      </c>
      <c r="N1336" s="1823">
        <v>0</v>
      </c>
    </row>
    <row r="1337" spans="1:14" ht="13">
      <c r="A1337" s="1818" t="s">
        <v>1366</v>
      </c>
      <c r="B1337" s="1819">
        <v>588636.48</v>
      </c>
      <c r="C1337" s="1822">
        <v>0</v>
      </c>
      <c r="D1337" s="365">
        <v>0</v>
      </c>
      <c r="E1337" s="365">
        <v>0</v>
      </c>
      <c r="F1337" s="365">
        <v>0</v>
      </c>
      <c r="G1337" s="365">
        <v>0</v>
      </c>
      <c r="H1337" s="365">
        <v>0</v>
      </c>
      <c r="I1337" s="365">
        <v>0</v>
      </c>
      <c r="J1337" s="365">
        <v>0</v>
      </c>
      <c r="K1337" s="365">
        <v>0</v>
      </c>
      <c r="L1337" s="365">
        <v>0</v>
      </c>
      <c r="M1337" s="361">
        <v>285542.40999999997</v>
      </c>
      <c r="N1337" s="1821">
        <v>303094.07</v>
      </c>
    </row>
    <row r="1338" spans="1:14" ht="13">
      <c r="A1338" s="1818" t="s">
        <v>1385</v>
      </c>
      <c r="B1338" s="1819">
        <v>539246.76</v>
      </c>
      <c r="C1338" s="1822">
        <v>0</v>
      </c>
      <c r="D1338" s="361">
        <v>86785.35</v>
      </c>
      <c r="E1338" s="365">
        <v>0</v>
      </c>
      <c r="F1338" s="361">
        <v>167126.69</v>
      </c>
      <c r="G1338" s="365">
        <v>0</v>
      </c>
      <c r="H1338" s="365">
        <v>0</v>
      </c>
      <c r="I1338" s="365">
        <v>0</v>
      </c>
      <c r="J1338" s="361">
        <v>107017.68</v>
      </c>
      <c r="K1338" s="365">
        <v>0</v>
      </c>
      <c r="L1338" s="365">
        <v>0</v>
      </c>
      <c r="M1338" s="365">
        <v>0</v>
      </c>
      <c r="N1338" s="1821">
        <v>178317.04</v>
      </c>
    </row>
    <row r="1339" spans="1:14" ht="13">
      <c r="A1339" s="1818" t="s">
        <v>1355</v>
      </c>
      <c r="B1339" s="1819">
        <v>519093.57</v>
      </c>
      <c r="C1339" s="1820">
        <v>47170.97</v>
      </c>
      <c r="D1339" s="365">
        <v>0</v>
      </c>
      <c r="E1339" s="361">
        <v>19641.849999999999</v>
      </c>
      <c r="F1339" s="361">
        <v>69690.45</v>
      </c>
      <c r="G1339" s="365">
        <v>0</v>
      </c>
      <c r="H1339" s="361">
        <v>64584.19</v>
      </c>
      <c r="I1339" s="361">
        <v>46965.04</v>
      </c>
      <c r="J1339" s="361">
        <v>51808.1</v>
      </c>
      <c r="K1339" s="361">
        <v>38303.78</v>
      </c>
      <c r="L1339" s="365">
        <v>0</v>
      </c>
      <c r="M1339" s="361">
        <v>98995.96</v>
      </c>
      <c r="N1339" s="1821">
        <v>81933.23</v>
      </c>
    </row>
    <row r="1340" spans="1:14" ht="13">
      <c r="A1340" s="1818" t="s">
        <v>1375</v>
      </c>
      <c r="B1340" s="1819">
        <v>470029.54</v>
      </c>
      <c r="C1340" s="1822">
        <v>0</v>
      </c>
      <c r="D1340" s="361">
        <v>71422.289999999994</v>
      </c>
      <c r="E1340" s="365">
        <v>0</v>
      </c>
      <c r="F1340" s="365">
        <v>0</v>
      </c>
      <c r="G1340" s="361">
        <v>45849.54</v>
      </c>
      <c r="H1340" s="365">
        <v>0</v>
      </c>
      <c r="I1340" s="361">
        <v>33361.879999999997</v>
      </c>
      <c r="J1340" s="361">
        <v>13701.83</v>
      </c>
      <c r="K1340" s="361">
        <v>68575.3</v>
      </c>
      <c r="L1340" s="361">
        <v>111260.89</v>
      </c>
      <c r="M1340" s="361">
        <v>27312.26</v>
      </c>
      <c r="N1340" s="1821">
        <v>98545.55</v>
      </c>
    </row>
    <row r="1341" spans="1:14" ht="13">
      <c r="A1341" s="1818" t="s">
        <v>1372</v>
      </c>
      <c r="B1341" s="1819">
        <v>435712.27</v>
      </c>
      <c r="C1341" s="1822">
        <v>0</v>
      </c>
      <c r="D1341" s="365">
        <v>0</v>
      </c>
      <c r="E1341" s="365">
        <v>0</v>
      </c>
      <c r="F1341" s="365">
        <v>0</v>
      </c>
      <c r="G1341" s="365">
        <v>0</v>
      </c>
      <c r="H1341" s="365">
        <v>0</v>
      </c>
      <c r="I1341" s="365">
        <v>0</v>
      </c>
      <c r="J1341" s="365">
        <v>0</v>
      </c>
      <c r="K1341" s="361">
        <v>140563.07999999999</v>
      </c>
      <c r="L1341" s="361">
        <v>231617.1</v>
      </c>
      <c r="M1341" s="361">
        <v>63532.09</v>
      </c>
      <c r="N1341" s="1823">
        <v>0</v>
      </c>
    </row>
    <row r="1342" spans="1:14" ht="13">
      <c r="A1342" s="1818" t="s">
        <v>1351</v>
      </c>
      <c r="B1342" s="1819">
        <v>432914.11</v>
      </c>
      <c r="C1342" s="1822">
        <v>0</v>
      </c>
      <c r="D1342" s="361">
        <v>45591.360000000001</v>
      </c>
      <c r="E1342" s="361">
        <v>23570.639999999999</v>
      </c>
      <c r="F1342" s="365">
        <v>0</v>
      </c>
      <c r="G1342" s="361">
        <v>50538.61</v>
      </c>
      <c r="H1342" s="361">
        <v>40152.51</v>
      </c>
      <c r="I1342" s="361">
        <v>109991.43</v>
      </c>
      <c r="J1342" s="365">
        <v>0</v>
      </c>
      <c r="K1342" s="361">
        <v>44293.96</v>
      </c>
      <c r="L1342" s="361">
        <v>49124.76</v>
      </c>
      <c r="M1342" s="361">
        <v>69650.84</v>
      </c>
      <c r="N1342" s="1823">
        <v>0</v>
      </c>
    </row>
    <row r="1343" spans="1:14" ht="13">
      <c r="A1343" s="1818" t="s">
        <v>1374</v>
      </c>
      <c r="B1343" s="1819">
        <v>425762.92</v>
      </c>
      <c r="C1343" s="1822">
        <v>0</v>
      </c>
      <c r="D1343" s="361">
        <v>134782.1</v>
      </c>
      <c r="E1343" s="365">
        <v>0</v>
      </c>
      <c r="F1343" s="365">
        <v>0</v>
      </c>
      <c r="G1343" s="361">
        <v>38563.19</v>
      </c>
      <c r="H1343" s="365">
        <v>0</v>
      </c>
      <c r="I1343" s="361">
        <v>132627.54</v>
      </c>
      <c r="J1343" s="361">
        <v>21433.84</v>
      </c>
      <c r="K1343" s="365">
        <v>0</v>
      </c>
      <c r="L1343" s="365">
        <v>0</v>
      </c>
      <c r="M1343" s="361">
        <v>98356.25</v>
      </c>
      <c r="N1343" s="1823">
        <v>0</v>
      </c>
    </row>
    <row r="1344" spans="1:14" ht="13">
      <c r="A1344" s="1818" t="s">
        <v>1386</v>
      </c>
      <c r="B1344" s="1819">
        <v>357921.3</v>
      </c>
      <c r="C1344" s="1822">
        <v>0</v>
      </c>
      <c r="D1344" s="365">
        <v>0</v>
      </c>
      <c r="E1344" s="361">
        <v>44290.400000000001</v>
      </c>
      <c r="F1344" s="361">
        <v>34878.6</v>
      </c>
      <c r="G1344" s="365">
        <v>0</v>
      </c>
      <c r="H1344" s="361">
        <v>38752.25</v>
      </c>
      <c r="I1344" s="361">
        <v>124761</v>
      </c>
      <c r="J1344" s="365">
        <v>0</v>
      </c>
      <c r="K1344" s="361">
        <v>92066.11</v>
      </c>
      <c r="L1344" s="361">
        <v>23172.94</v>
      </c>
      <c r="M1344" s="365">
        <v>0</v>
      </c>
      <c r="N1344" s="1823">
        <v>0</v>
      </c>
    </row>
    <row r="1345" spans="1:14" ht="13">
      <c r="A1345" s="1818" t="s">
        <v>1371</v>
      </c>
      <c r="B1345" s="1819">
        <v>301359.53000000003</v>
      </c>
      <c r="C1345" s="1822">
        <v>0</v>
      </c>
      <c r="D1345" s="365">
        <v>0</v>
      </c>
      <c r="E1345" s="365">
        <v>0</v>
      </c>
      <c r="F1345" s="365">
        <v>0</v>
      </c>
      <c r="G1345" s="365">
        <v>0</v>
      </c>
      <c r="H1345" s="361">
        <v>301359.53000000003</v>
      </c>
      <c r="I1345" s="365">
        <v>0</v>
      </c>
      <c r="J1345" s="365">
        <v>0</v>
      </c>
      <c r="K1345" s="365">
        <v>0</v>
      </c>
      <c r="L1345" s="365">
        <v>0</v>
      </c>
      <c r="M1345" s="365">
        <v>0</v>
      </c>
      <c r="N1345" s="1823">
        <v>0</v>
      </c>
    </row>
    <row r="1346" spans="1:14" ht="13">
      <c r="A1346" s="1818" t="s">
        <v>1358</v>
      </c>
      <c r="B1346" s="1819">
        <v>279932.94</v>
      </c>
      <c r="C1346" s="1822">
        <v>0</v>
      </c>
      <c r="D1346" s="365">
        <v>0</v>
      </c>
      <c r="E1346" s="365">
        <v>0</v>
      </c>
      <c r="F1346" s="365">
        <v>0</v>
      </c>
      <c r="G1346" s="365">
        <v>0</v>
      </c>
      <c r="H1346" s="365">
        <v>0</v>
      </c>
      <c r="I1346" s="365">
        <v>0</v>
      </c>
      <c r="J1346" s="365">
        <v>0</v>
      </c>
      <c r="K1346" s="365">
        <v>0</v>
      </c>
      <c r="L1346" s="361">
        <v>118655.37</v>
      </c>
      <c r="M1346" s="361">
        <v>93708.79</v>
      </c>
      <c r="N1346" s="1821">
        <v>67568.78</v>
      </c>
    </row>
    <row r="1347" spans="1:14" ht="13">
      <c r="A1347" s="1818" t="s">
        <v>1383</v>
      </c>
      <c r="B1347" s="1819">
        <v>247016.57</v>
      </c>
      <c r="C1347" s="1822">
        <v>0</v>
      </c>
      <c r="D1347" s="365">
        <v>0</v>
      </c>
      <c r="E1347" s="365">
        <v>0</v>
      </c>
      <c r="F1347" s="365">
        <v>0</v>
      </c>
      <c r="G1347" s="365">
        <v>0</v>
      </c>
      <c r="H1347" s="365">
        <v>0</v>
      </c>
      <c r="I1347" s="365">
        <v>0</v>
      </c>
      <c r="J1347" s="365">
        <v>0</v>
      </c>
      <c r="K1347" s="365">
        <v>0</v>
      </c>
      <c r="L1347" s="365">
        <v>0</v>
      </c>
      <c r="M1347" s="361">
        <v>247016.57</v>
      </c>
      <c r="N1347" s="1823">
        <v>0</v>
      </c>
    </row>
    <row r="1348" spans="1:14" ht="13">
      <c r="A1348" s="1818" t="s">
        <v>1764</v>
      </c>
      <c r="B1348" s="1819">
        <v>202765.45</v>
      </c>
      <c r="C1348" s="1822">
        <v>0</v>
      </c>
      <c r="D1348" s="361">
        <v>202765.45</v>
      </c>
      <c r="E1348" s="365">
        <v>0</v>
      </c>
      <c r="F1348" s="365">
        <v>0</v>
      </c>
      <c r="G1348" s="365">
        <v>0</v>
      </c>
      <c r="H1348" s="365">
        <v>0</v>
      </c>
      <c r="I1348" s="365">
        <v>0</v>
      </c>
      <c r="J1348" s="365">
        <v>0</v>
      </c>
      <c r="K1348" s="365">
        <v>0</v>
      </c>
      <c r="L1348" s="365">
        <v>0</v>
      </c>
      <c r="M1348" s="365">
        <v>0</v>
      </c>
      <c r="N1348" s="1823">
        <v>0</v>
      </c>
    </row>
    <row r="1349" spans="1:14" ht="13">
      <c r="A1349" s="1818" t="s">
        <v>1765</v>
      </c>
      <c r="B1349" s="1819">
        <v>183923.24</v>
      </c>
      <c r="C1349" s="1822">
        <v>0</v>
      </c>
      <c r="D1349" s="365">
        <v>0</v>
      </c>
      <c r="E1349" s="365">
        <v>0</v>
      </c>
      <c r="F1349" s="365">
        <v>0</v>
      </c>
      <c r="G1349" s="361">
        <v>72740.94</v>
      </c>
      <c r="H1349" s="365">
        <v>0</v>
      </c>
      <c r="I1349" s="361">
        <v>31815.119999999999</v>
      </c>
      <c r="J1349" s="361">
        <v>79367.179999999993</v>
      </c>
      <c r="K1349" s="365">
        <v>0</v>
      </c>
      <c r="L1349" s="365">
        <v>0</v>
      </c>
      <c r="M1349" s="365">
        <v>0</v>
      </c>
      <c r="N1349" s="1823">
        <v>0</v>
      </c>
    </row>
    <row r="1350" spans="1:14" ht="13">
      <c r="A1350" s="1818" t="s">
        <v>1766</v>
      </c>
      <c r="B1350" s="1819">
        <v>146427.73000000001</v>
      </c>
      <c r="C1350" s="1822">
        <v>0</v>
      </c>
      <c r="D1350" s="365">
        <v>0</v>
      </c>
      <c r="E1350" s="365">
        <v>0</v>
      </c>
      <c r="F1350" s="365">
        <v>0</v>
      </c>
      <c r="G1350" s="365">
        <v>0</v>
      </c>
      <c r="H1350" s="365">
        <v>0</v>
      </c>
      <c r="I1350" s="365">
        <v>0</v>
      </c>
      <c r="J1350" s="365">
        <v>0</v>
      </c>
      <c r="K1350" s="361">
        <v>146427.73000000001</v>
      </c>
      <c r="L1350" s="365">
        <v>0</v>
      </c>
      <c r="M1350" s="365">
        <v>0</v>
      </c>
      <c r="N1350" s="1823">
        <v>0</v>
      </c>
    </row>
    <row r="1351" spans="1:14" ht="13">
      <c r="A1351" s="1818" t="s">
        <v>1767</v>
      </c>
      <c r="B1351" s="1819">
        <v>104367.33</v>
      </c>
      <c r="C1351" s="1822">
        <v>0</v>
      </c>
      <c r="D1351" s="365">
        <v>0</v>
      </c>
      <c r="E1351" s="361">
        <v>46528.01</v>
      </c>
      <c r="F1351" s="361">
        <v>6201.2</v>
      </c>
      <c r="G1351" s="361">
        <v>30409.119999999999</v>
      </c>
      <c r="H1351" s="361">
        <v>21229</v>
      </c>
      <c r="I1351" s="365">
        <v>0</v>
      </c>
      <c r="J1351" s="365">
        <v>0</v>
      </c>
      <c r="K1351" s="365">
        <v>0</v>
      </c>
      <c r="L1351" s="365">
        <v>0</v>
      </c>
      <c r="M1351" s="365">
        <v>0</v>
      </c>
      <c r="N1351" s="1823">
        <v>0</v>
      </c>
    </row>
    <row r="1352" spans="1:14" ht="13">
      <c r="A1352" s="1818" t="s">
        <v>1361</v>
      </c>
      <c r="B1352" s="1819">
        <v>66258.55</v>
      </c>
      <c r="C1352" s="1822">
        <v>0</v>
      </c>
      <c r="D1352" s="365">
        <v>0</v>
      </c>
      <c r="E1352" s="365">
        <v>0</v>
      </c>
      <c r="F1352" s="365">
        <v>0</v>
      </c>
      <c r="G1352" s="365">
        <v>0</v>
      </c>
      <c r="H1352" s="365">
        <v>0</v>
      </c>
      <c r="I1352" s="365">
        <v>0</v>
      </c>
      <c r="J1352" s="365">
        <v>0</v>
      </c>
      <c r="K1352" s="365">
        <v>0</v>
      </c>
      <c r="L1352" s="365">
        <v>0</v>
      </c>
      <c r="M1352" s="365">
        <v>0</v>
      </c>
      <c r="N1352" s="1821">
        <v>66258.55</v>
      </c>
    </row>
    <row r="1353" spans="1:14" ht="13">
      <c r="A1353" s="1818" t="s">
        <v>1393</v>
      </c>
      <c r="B1353" s="1819">
        <v>34367.919999999998</v>
      </c>
      <c r="C1353" s="1822">
        <v>0</v>
      </c>
      <c r="D1353" s="365">
        <v>0</v>
      </c>
      <c r="E1353" s="365">
        <v>0</v>
      </c>
      <c r="F1353" s="365">
        <v>0</v>
      </c>
      <c r="G1353" s="365">
        <v>0</v>
      </c>
      <c r="H1353" s="365">
        <v>0</v>
      </c>
      <c r="I1353" s="365">
        <v>0</v>
      </c>
      <c r="J1353" s="365">
        <v>0</v>
      </c>
      <c r="K1353" s="365">
        <v>0</v>
      </c>
      <c r="L1353" s="361">
        <v>34367.919999999998</v>
      </c>
      <c r="M1353" s="365">
        <v>0</v>
      </c>
      <c r="N1353" s="1823">
        <v>0</v>
      </c>
    </row>
    <row r="1354" spans="1:14" ht="13">
      <c r="A1354" s="1818" t="s">
        <v>1768</v>
      </c>
      <c r="B1354" s="1819">
        <v>30379.360000000001</v>
      </c>
      <c r="C1354" s="1820">
        <v>30379.360000000001</v>
      </c>
      <c r="D1354" s="365">
        <v>0</v>
      </c>
      <c r="E1354" s="365">
        <v>0</v>
      </c>
      <c r="F1354" s="365">
        <v>0</v>
      </c>
      <c r="G1354" s="365">
        <v>0</v>
      </c>
      <c r="H1354" s="365">
        <v>0</v>
      </c>
      <c r="I1354" s="365">
        <v>0</v>
      </c>
      <c r="J1354" s="365">
        <v>0</v>
      </c>
      <c r="K1354" s="365">
        <v>0</v>
      </c>
      <c r="L1354" s="365">
        <v>0</v>
      </c>
      <c r="M1354" s="365">
        <v>0</v>
      </c>
      <c r="N1354" s="1823">
        <v>0</v>
      </c>
    </row>
    <row r="1355" spans="1:14" ht="13">
      <c r="A1355" s="1818" t="s">
        <v>1391</v>
      </c>
      <c r="B1355" s="1819">
        <v>23499</v>
      </c>
      <c r="C1355" s="1822">
        <v>0</v>
      </c>
      <c r="D1355" s="365">
        <v>0</v>
      </c>
      <c r="E1355" s="365">
        <v>0</v>
      </c>
      <c r="F1355" s="365">
        <v>0</v>
      </c>
      <c r="G1355" s="365">
        <v>0</v>
      </c>
      <c r="H1355" s="365">
        <v>0</v>
      </c>
      <c r="I1355" s="361">
        <v>23499</v>
      </c>
      <c r="J1355" s="365">
        <v>0</v>
      </c>
      <c r="K1355" s="365">
        <v>0</v>
      </c>
      <c r="L1355" s="365">
        <v>0</v>
      </c>
      <c r="M1355" s="365">
        <v>0</v>
      </c>
      <c r="N1355" s="1823">
        <v>0</v>
      </c>
    </row>
    <row r="1356" spans="1:14" ht="13">
      <c r="A1356" s="1818" t="s">
        <v>916</v>
      </c>
      <c r="B1356" s="1819">
        <v>-14819.11</v>
      </c>
      <c r="C1356" s="1820">
        <v>-14819.11</v>
      </c>
      <c r="D1356" s="365">
        <v>0</v>
      </c>
      <c r="E1356" s="365">
        <v>0</v>
      </c>
      <c r="F1356" s="365">
        <v>0</v>
      </c>
      <c r="G1356" s="365">
        <v>0</v>
      </c>
      <c r="H1356" s="365">
        <v>0</v>
      </c>
      <c r="I1356" s="365">
        <v>0</v>
      </c>
      <c r="J1356" s="365">
        <v>0</v>
      </c>
      <c r="K1356" s="365">
        <v>0</v>
      </c>
      <c r="L1356" s="365">
        <v>0</v>
      </c>
      <c r="M1356" s="365">
        <v>0</v>
      </c>
      <c r="N1356" s="1823">
        <v>0</v>
      </c>
    </row>
    <row r="1357" spans="1:14" ht="13">
      <c r="A1357" s="1818"/>
      <c r="B1357" s="1824"/>
      <c r="C1357" s="1822"/>
      <c r="D1357" s="365"/>
      <c r="E1357" s="365"/>
      <c r="F1357" s="365"/>
      <c r="G1357" s="365"/>
      <c r="H1357" s="365"/>
      <c r="I1357" s="365"/>
      <c r="J1357" s="365"/>
      <c r="K1357" s="365"/>
      <c r="L1357" s="365"/>
      <c r="M1357" s="365"/>
      <c r="N1357" s="1823"/>
    </row>
    <row r="1358" spans="1:14" ht="13">
      <c r="A1358" s="1818"/>
      <c r="B1358" s="1824"/>
      <c r="C1358" s="1822"/>
      <c r="D1358" s="365"/>
      <c r="E1358" s="365"/>
      <c r="F1358" s="365"/>
      <c r="G1358" s="365"/>
      <c r="H1358" s="365"/>
      <c r="I1358" s="365"/>
      <c r="J1358" s="365"/>
      <c r="K1358" s="365"/>
      <c r="L1358" s="365"/>
      <c r="M1358" s="365"/>
      <c r="N1358" s="1823"/>
    </row>
    <row r="1359" spans="1:14" ht="13">
      <c r="A1359" s="1818"/>
      <c r="B1359" s="1824"/>
      <c r="C1359" s="1822"/>
      <c r="D1359" s="365"/>
      <c r="E1359" s="365"/>
      <c r="F1359" s="365"/>
      <c r="G1359" s="365"/>
      <c r="H1359" s="365"/>
      <c r="I1359" s="365"/>
      <c r="J1359" s="365"/>
      <c r="K1359" s="365"/>
      <c r="L1359" s="365"/>
      <c r="M1359" s="365"/>
      <c r="N1359" s="1823"/>
    </row>
    <row r="1360" spans="1:14" ht="13">
      <c r="A1360" s="1818"/>
      <c r="B1360" s="1824"/>
      <c r="C1360" s="1822"/>
      <c r="D1360" s="365"/>
      <c r="E1360" s="365"/>
      <c r="F1360" s="365"/>
      <c r="G1360" s="365"/>
      <c r="H1360" s="365"/>
      <c r="I1360" s="365"/>
      <c r="J1360" s="365"/>
      <c r="K1360" s="365"/>
      <c r="L1360" s="365"/>
      <c r="M1360" s="365"/>
      <c r="N1360" s="1823"/>
    </row>
    <row r="1361" spans="1:14" ht="13">
      <c r="A1361" s="1818"/>
      <c r="B1361" s="1824"/>
      <c r="C1361" s="1822"/>
      <c r="D1361" s="365"/>
      <c r="E1361" s="365"/>
      <c r="F1361" s="365"/>
      <c r="G1361" s="365"/>
      <c r="H1361" s="365"/>
      <c r="I1361" s="365"/>
      <c r="J1361" s="365"/>
      <c r="K1361" s="365"/>
      <c r="L1361" s="365"/>
      <c r="M1361" s="365"/>
      <c r="N1361" s="1823"/>
    </row>
    <row r="1362" spans="1:14" ht="13">
      <c r="A1362" s="1818"/>
      <c r="B1362" s="1824"/>
      <c r="C1362" s="1822"/>
      <c r="D1362" s="365"/>
      <c r="E1362" s="365"/>
      <c r="F1362" s="365"/>
      <c r="G1362" s="365"/>
      <c r="H1362" s="365"/>
      <c r="I1362" s="365"/>
      <c r="J1362" s="365"/>
      <c r="K1362" s="365"/>
      <c r="L1362" s="365"/>
      <c r="M1362" s="365"/>
      <c r="N1362" s="1823"/>
    </row>
    <row r="1363" spans="1:14" ht="13">
      <c r="A1363" s="1818"/>
      <c r="B1363" s="1824"/>
      <c r="C1363" s="1822"/>
      <c r="D1363" s="365"/>
      <c r="E1363" s="365"/>
      <c r="F1363" s="365"/>
      <c r="G1363" s="365"/>
      <c r="H1363" s="365"/>
      <c r="I1363" s="365"/>
      <c r="J1363" s="365"/>
      <c r="K1363" s="365"/>
      <c r="L1363" s="365"/>
      <c r="M1363" s="365"/>
      <c r="N1363" s="1823"/>
    </row>
    <row r="1364" spans="1:14" ht="13">
      <c r="A1364" s="1818"/>
      <c r="B1364" s="1824"/>
      <c r="C1364" s="1822"/>
      <c r="D1364" s="365"/>
      <c r="E1364" s="365"/>
      <c r="F1364" s="365"/>
      <c r="G1364" s="365"/>
      <c r="H1364" s="365"/>
      <c r="I1364" s="365"/>
      <c r="J1364" s="365"/>
      <c r="K1364" s="365"/>
      <c r="L1364" s="365"/>
      <c r="M1364" s="365"/>
      <c r="N1364" s="1823"/>
    </row>
    <row r="1365" spans="1:14" ht="13">
      <c r="A1365" s="1818"/>
      <c r="B1365" s="1824"/>
      <c r="C1365" s="1822"/>
      <c r="D1365" s="365"/>
      <c r="E1365" s="365"/>
      <c r="F1365" s="365"/>
      <c r="G1365" s="365"/>
      <c r="H1365" s="365"/>
      <c r="I1365" s="365"/>
      <c r="J1365" s="365"/>
      <c r="K1365" s="365"/>
      <c r="L1365" s="365"/>
      <c r="M1365" s="365"/>
      <c r="N1365" s="1823"/>
    </row>
    <row r="1366" spans="1:14" ht="13">
      <c r="A1366" s="1818"/>
      <c r="B1366" s="1824"/>
      <c r="C1366" s="1822"/>
      <c r="D1366" s="365"/>
      <c r="E1366" s="365"/>
      <c r="F1366" s="365"/>
      <c r="G1366" s="365"/>
      <c r="H1366" s="365"/>
      <c r="I1366" s="365"/>
      <c r="J1366" s="365"/>
      <c r="K1366" s="365"/>
      <c r="L1366" s="365"/>
      <c r="M1366" s="365"/>
      <c r="N1366" s="1823"/>
    </row>
    <row r="1367" spans="1:14" ht="13">
      <c r="A1367" s="1836"/>
      <c r="B1367" s="1837"/>
      <c r="C1367" s="1838"/>
      <c r="D1367" s="1839"/>
      <c r="E1367" s="1839"/>
      <c r="F1367" s="1839"/>
      <c r="G1367" s="1839"/>
      <c r="H1367" s="1839"/>
      <c r="I1367" s="1839"/>
      <c r="J1367" s="1839"/>
      <c r="K1367" s="1839"/>
      <c r="L1367" s="1839"/>
      <c r="M1367" s="1839"/>
      <c r="N1367" s="1840"/>
    </row>
    <row r="1368" spans="1:14" ht="13">
      <c r="A1368" s="359"/>
      <c r="B1368" s="1824"/>
      <c r="C1368" s="1822"/>
      <c r="D1368" s="365"/>
      <c r="E1368" s="365"/>
      <c r="F1368" s="365"/>
      <c r="G1368" s="365"/>
      <c r="H1368" s="365"/>
      <c r="I1368" s="365"/>
      <c r="J1368" s="365"/>
      <c r="K1368" s="365"/>
      <c r="L1368" s="365"/>
      <c r="M1368" s="365"/>
      <c r="N1368" s="365"/>
    </row>
    <row r="1369" spans="1:14" ht="13">
      <c r="A1369" s="359"/>
      <c r="B1369" s="1824"/>
      <c r="C1369" s="1822"/>
      <c r="D1369" s="365"/>
      <c r="E1369" s="365"/>
      <c r="F1369" s="365"/>
      <c r="G1369" s="365"/>
      <c r="H1369" s="365"/>
      <c r="I1369" s="365"/>
      <c r="J1369" s="365"/>
      <c r="K1369" s="365"/>
      <c r="L1369" s="365"/>
      <c r="M1369" s="365"/>
      <c r="N1369" s="365"/>
    </row>
    <row r="1370" spans="1:14" ht="13">
      <c r="A1370" s="359"/>
      <c r="B1370" s="1824"/>
      <c r="C1370" s="1822"/>
      <c r="D1370" s="365"/>
      <c r="E1370" s="365"/>
      <c r="F1370" s="365"/>
      <c r="G1370" s="365"/>
      <c r="H1370" s="365"/>
      <c r="I1370" s="365"/>
      <c r="J1370" s="365"/>
      <c r="K1370" s="365"/>
      <c r="L1370" s="365"/>
      <c r="M1370" s="365"/>
      <c r="N1370" s="365"/>
    </row>
    <row r="1371" spans="1:14" ht="13">
      <c r="A1371" s="359"/>
      <c r="B1371" s="1824"/>
      <c r="C1371" s="1822"/>
      <c r="D1371" s="365"/>
      <c r="E1371" s="365"/>
      <c r="F1371" s="365"/>
      <c r="G1371" s="365"/>
      <c r="H1371" s="365"/>
      <c r="I1371" s="365"/>
      <c r="J1371" s="365"/>
      <c r="K1371" s="365"/>
      <c r="L1371" s="365"/>
      <c r="M1371" s="365"/>
      <c r="N1371" s="365"/>
    </row>
    <row r="1372" spans="1:14" ht="13">
      <c r="A1372" s="1843"/>
      <c r="B1372" s="1813"/>
      <c r="C1372" s="1844"/>
      <c r="D1372" s="1845"/>
      <c r="E1372" s="1845"/>
      <c r="F1372" s="1845"/>
      <c r="G1372" s="1845"/>
      <c r="H1372" s="1845"/>
      <c r="I1372" s="1845"/>
      <c r="J1372" s="1845"/>
      <c r="K1372" s="1845"/>
      <c r="L1372" s="1845"/>
      <c r="M1372" s="1845"/>
      <c r="N1372" s="1846"/>
    </row>
    <row r="1373" spans="1:14" ht="13">
      <c r="A1373" s="1847" t="s">
        <v>1595</v>
      </c>
      <c r="B1373" s="1824" t="s">
        <v>241</v>
      </c>
      <c r="C1373" s="1848">
        <v>45292</v>
      </c>
      <c r="D1373" s="357">
        <v>45323</v>
      </c>
      <c r="E1373" s="357">
        <v>45352</v>
      </c>
      <c r="F1373" s="357">
        <v>45383</v>
      </c>
      <c r="G1373" s="357">
        <v>45413</v>
      </c>
      <c r="H1373" s="357">
        <v>45444</v>
      </c>
      <c r="I1373" s="357">
        <v>45474</v>
      </c>
      <c r="J1373" s="357">
        <v>45505</v>
      </c>
      <c r="K1373" s="357">
        <v>45536</v>
      </c>
      <c r="L1373" s="365"/>
      <c r="M1373" s="365"/>
      <c r="N1373" s="1823"/>
    </row>
    <row r="1374" spans="1:14" ht="13">
      <c r="A1374" s="1818" t="s">
        <v>241</v>
      </c>
      <c r="B1374" s="1819">
        <v>266067226.59</v>
      </c>
      <c r="C1374" s="1820">
        <v>33303282.440000001</v>
      </c>
      <c r="D1374" s="361">
        <v>34878750.579999998</v>
      </c>
      <c r="E1374" s="361">
        <v>30101498.960000001</v>
      </c>
      <c r="F1374" s="361">
        <v>17351442.760000002</v>
      </c>
      <c r="G1374" s="361">
        <v>34686135.079999998</v>
      </c>
      <c r="H1374" s="361">
        <v>24362015.73</v>
      </c>
      <c r="I1374" s="361">
        <v>43840029.039999999</v>
      </c>
      <c r="J1374" s="361">
        <v>33264714.170000002</v>
      </c>
      <c r="K1374" s="361">
        <v>14279357.84</v>
      </c>
      <c r="L1374" s="365"/>
      <c r="M1374" s="365"/>
      <c r="N1374" s="1823"/>
    </row>
    <row r="1375" spans="1:14" ht="13">
      <c r="A1375" s="1818" t="s">
        <v>1340</v>
      </c>
      <c r="B1375" s="1819">
        <v>26850982.02</v>
      </c>
      <c r="C1375" s="1820">
        <v>3280289.2</v>
      </c>
      <c r="D1375" s="361">
        <v>5440848.5099999998</v>
      </c>
      <c r="E1375" s="361">
        <v>582888.5</v>
      </c>
      <c r="F1375" s="365">
        <v>0</v>
      </c>
      <c r="G1375" s="361">
        <v>9719210.2899999991</v>
      </c>
      <c r="H1375" s="361">
        <v>3437417.3</v>
      </c>
      <c r="I1375" s="361">
        <v>4110677.48</v>
      </c>
      <c r="J1375" s="361">
        <v>279650.74</v>
      </c>
      <c r="K1375" s="365">
        <v>0</v>
      </c>
      <c r="L1375" s="365"/>
      <c r="M1375" s="365"/>
      <c r="N1375" s="1823"/>
    </row>
    <row r="1376" spans="1:14" ht="13">
      <c r="A1376" s="1818" t="s">
        <v>1337</v>
      </c>
      <c r="B1376" s="1819">
        <v>20892024.170000002</v>
      </c>
      <c r="C1376" s="1820">
        <v>523353.83</v>
      </c>
      <c r="D1376" s="361">
        <v>1884928.85</v>
      </c>
      <c r="E1376" s="361">
        <v>641102.97</v>
      </c>
      <c r="F1376" s="361">
        <v>297270.63</v>
      </c>
      <c r="G1376" s="365">
        <v>0</v>
      </c>
      <c r="H1376" s="361">
        <v>446492.51</v>
      </c>
      <c r="I1376" s="361">
        <v>7306971.7999999998</v>
      </c>
      <c r="J1376" s="361">
        <v>9375043.1799999997</v>
      </c>
      <c r="K1376" s="361">
        <v>416860.4</v>
      </c>
      <c r="L1376" s="365"/>
      <c r="M1376" s="365"/>
      <c r="N1376" s="1823"/>
    </row>
    <row r="1377" spans="1:14" ht="13">
      <c r="A1377" s="1818" t="s">
        <v>1577</v>
      </c>
      <c r="B1377" s="1819">
        <v>14415609</v>
      </c>
      <c r="C1377" s="1820">
        <v>1380788.59</v>
      </c>
      <c r="D1377" s="361">
        <v>612019.78</v>
      </c>
      <c r="E1377" s="361">
        <v>1872005.2</v>
      </c>
      <c r="F1377" s="361">
        <v>733312.1</v>
      </c>
      <c r="G1377" s="361">
        <v>1108246.25</v>
      </c>
      <c r="H1377" s="361">
        <v>1048959.3799999999</v>
      </c>
      <c r="I1377" s="361">
        <v>4417929.3099999996</v>
      </c>
      <c r="J1377" s="361">
        <v>2640743.1</v>
      </c>
      <c r="K1377" s="361">
        <v>601605.29</v>
      </c>
      <c r="L1377" s="365"/>
      <c r="M1377" s="365"/>
      <c r="N1377" s="1823"/>
    </row>
    <row r="1378" spans="1:14" ht="13">
      <c r="A1378" s="1818" t="s">
        <v>1578</v>
      </c>
      <c r="B1378" s="1819">
        <v>14404240.99</v>
      </c>
      <c r="C1378" s="1820">
        <v>3586767.98</v>
      </c>
      <c r="D1378" s="361">
        <v>3046515.95</v>
      </c>
      <c r="E1378" s="361">
        <v>1099845.3700000001</v>
      </c>
      <c r="F1378" s="361">
        <v>592929.18999999994</v>
      </c>
      <c r="G1378" s="361">
        <v>729590.4</v>
      </c>
      <c r="H1378" s="361">
        <v>3936339.83</v>
      </c>
      <c r="I1378" s="361">
        <v>1412252.25</v>
      </c>
      <c r="J1378" s="365">
        <v>0</v>
      </c>
      <c r="K1378" s="365">
        <v>0</v>
      </c>
      <c r="L1378" s="365"/>
      <c r="M1378" s="365"/>
      <c r="N1378" s="1823"/>
    </row>
    <row r="1379" spans="1:14" ht="13">
      <c r="A1379" s="1818" t="s">
        <v>1317</v>
      </c>
      <c r="B1379" s="1819">
        <v>12905056.93</v>
      </c>
      <c r="C1379" s="1820">
        <v>701382.19</v>
      </c>
      <c r="D1379" s="361">
        <v>1870126.72</v>
      </c>
      <c r="E1379" s="361">
        <v>634799.74</v>
      </c>
      <c r="F1379" s="361">
        <v>471603.32</v>
      </c>
      <c r="G1379" s="361">
        <v>2566230.4300000002</v>
      </c>
      <c r="H1379" s="361">
        <v>515316.77</v>
      </c>
      <c r="I1379" s="361">
        <v>2809485.61</v>
      </c>
      <c r="J1379" s="361">
        <v>1613591.64</v>
      </c>
      <c r="K1379" s="361">
        <v>1722520.51</v>
      </c>
      <c r="L1379" s="365"/>
      <c r="M1379" s="365"/>
      <c r="N1379" s="1823"/>
    </row>
    <row r="1380" spans="1:14" ht="13">
      <c r="A1380" s="1818" t="s">
        <v>1332</v>
      </c>
      <c r="B1380" s="1819">
        <v>10590228.720000001</v>
      </c>
      <c r="C1380" s="1820">
        <v>1029363.33</v>
      </c>
      <c r="D1380" s="361">
        <v>1264218.42</v>
      </c>
      <c r="E1380" s="361">
        <v>1357839.31</v>
      </c>
      <c r="F1380" s="361">
        <v>1289690.6499999999</v>
      </c>
      <c r="G1380" s="361">
        <v>1614461.08</v>
      </c>
      <c r="H1380" s="361">
        <v>960131.6</v>
      </c>
      <c r="I1380" s="361">
        <v>2030458.02</v>
      </c>
      <c r="J1380" s="361">
        <v>1044066.3</v>
      </c>
      <c r="K1380" s="365">
        <v>0</v>
      </c>
      <c r="L1380" s="365"/>
      <c r="M1380" s="365"/>
      <c r="N1380" s="1823"/>
    </row>
    <row r="1381" spans="1:14" ht="13">
      <c r="A1381" s="1818" t="s">
        <v>1264</v>
      </c>
      <c r="B1381" s="1819">
        <v>9373430.6400000006</v>
      </c>
      <c r="C1381" s="1820">
        <v>775044.1</v>
      </c>
      <c r="D1381" s="361">
        <v>2391023.7999999998</v>
      </c>
      <c r="E1381" s="361">
        <v>541164.73</v>
      </c>
      <c r="F1381" s="361">
        <v>469101.03</v>
      </c>
      <c r="G1381" s="361">
        <v>1037557.36</v>
      </c>
      <c r="H1381" s="361">
        <v>835682.73</v>
      </c>
      <c r="I1381" s="361">
        <v>656896.56999999995</v>
      </c>
      <c r="J1381" s="361">
        <v>1339531.94</v>
      </c>
      <c r="K1381" s="361">
        <v>1327428.3700000001</v>
      </c>
      <c r="L1381" s="365"/>
      <c r="M1381" s="365"/>
      <c r="N1381" s="1823"/>
    </row>
    <row r="1382" spans="1:14" ht="13">
      <c r="A1382" s="1818" t="s">
        <v>1270</v>
      </c>
      <c r="B1382" s="1819">
        <v>9255567.7599999998</v>
      </c>
      <c r="C1382" s="1820">
        <v>1351429.36</v>
      </c>
      <c r="D1382" s="361">
        <v>1198973.2</v>
      </c>
      <c r="E1382" s="361">
        <v>876228.2</v>
      </c>
      <c r="F1382" s="361">
        <v>851643.76</v>
      </c>
      <c r="G1382" s="361">
        <v>986193.32</v>
      </c>
      <c r="H1382" s="361">
        <v>461168.96</v>
      </c>
      <c r="I1382" s="361">
        <v>771412.72</v>
      </c>
      <c r="J1382" s="361">
        <v>2399676.4700000002</v>
      </c>
      <c r="K1382" s="361">
        <v>358841.78</v>
      </c>
      <c r="L1382" s="365"/>
      <c r="M1382" s="365"/>
      <c r="N1382" s="1823"/>
    </row>
    <row r="1383" spans="1:14" ht="13">
      <c r="A1383" s="1818" t="s">
        <v>1315</v>
      </c>
      <c r="B1383" s="1819">
        <v>8660859.6699999999</v>
      </c>
      <c r="C1383" s="1820">
        <v>1537979.64</v>
      </c>
      <c r="D1383" s="361">
        <v>1036534.78</v>
      </c>
      <c r="E1383" s="361">
        <v>1739587.39</v>
      </c>
      <c r="F1383" s="361">
        <v>1200259.53</v>
      </c>
      <c r="G1383" s="361">
        <v>2080850.24</v>
      </c>
      <c r="H1383" s="361">
        <v>662882.27</v>
      </c>
      <c r="I1383" s="361">
        <v>358910.83</v>
      </c>
      <c r="J1383" s="361">
        <v>43854.98</v>
      </c>
      <c r="K1383" s="365">
        <v>0</v>
      </c>
      <c r="L1383" s="365"/>
      <c r="M1383" s="365"/>
      <c r="N1383" s="1823"/>
    </row>
    <row r="1384" spans="1:14" ht="13">
      <c r="A1384" s="1818" t="s">
        <v>1320</v>
      </c>
      <c r="B1384" s="1819">
        <v>8326868.7800000003</v>
      </c>
      <c r="C1384" s="1820">
        <v>990797.71</v>
      </c>
      <c r="D1384" s="361">
        <v>307081.03999999998</v>
      </c>
      <c r="E1384" s="361">
        <v>1275811.2</v>
      </c>
      <c r="F1384" s="361">
        <v>520982.39</v>
      </c>
      <c r="G1384" s="361">
        <v>1673915.6</v>
      </c>
      <c r="H1384" s="361">
        <v>264540.78000000003</v>
      </c>
      <c r="I1384" s="361">
        <v>772745.5</v>
      </c>
      <c r="J1384" s="361">
        <v>1907127.97</v>
      </c>
      <c r="K1384" s="361">
        <v>613866.59</v>
      </c>
      <c r="L1384" s="365"/>
      <c r="M1384" s="365"/>
      <c r="N1384" s="1823"/>
    </row>
    <row r="1385" spans="1:14" ht="13">
      <c r="A1385" s="1818" t="s">
        <v>1274</v>
      </c>
      <c r="B1385" s="1819">
        <v>7168768.4500000002</v>
      </c>
      <c r="C1385" s="1820">
        <v>1467234.9</v>
      </c>
      <c r="D1385" s="361">
        <v>1224476.95</v>
      </c>
      <c r="E1385" s="361">
        <v>326215.59999999998</v>
      </c>
      <c r="F1385" s="361">
        <v>1145954.18</v>
      </c>
      <c r="G1385" s="361">
        <v>159109.70000000001</v>
      </c>
      <c r="H1385" s="361">
        <v>587235.19999999995</v>
      </c>
      <c r="I1385" s="361">
        <v>1341913.49</v>
      </c>
      <c r="J1385" s="361">
        <v>472356.43</v>
      </c>
      <c r="K1385" s="361">
        <v>444272</v>
      </c>
      <c r="L1385" s="365"/>
      <c r="M1385" s="365"/>
      <c r="N1385" s="1823"/>
    </row>
    <row r="1386" spans="1:14" ht="13">
      <c r="A1386" s="1818" t="s">
        <v>1269</v>
      </c>
      <c r="B1386" s="1819">
        <v>6726451.3799999999</v>
      </c>
      <c r="C1386" s="1820">
        <v>888425.24</v>
      </c>
      <c r="D1386" s="361">
        <v>381117.19</v>
      </c>
      <c r="E1386" s="361">
        <v>598497.31999999995</v>
      </c>
      <c r="F1386" s="361">
        <v>808790.68</v>
      </c>
      <c r="G1386" s="361">
        <v>878912.38</v>
      </c>
      <c r="H1386" s="361">
        <v>787039.12</v>
      </c>
      <c r="I1386" s="361">
        <v>929537.32</v>
      </c>
      <c r="J1386" s="361">
        <v>1221004.49</v>
      </c>
      <c r="K1386" s="361">
        <v>233127.64</v>
      </c>
      <c r="L1386" s="365"/>
      <c r="M1386" s="365"/>
      <c r="N1386" s="1823"/>
    </row>
    <row r="1387" spans="1:14" ht="13">
      <c r="A1387" s="1818" t="s">
        <v>1423</v>
      </c>
      <c r="B1387" s="1819">
        <v>6181391.1299999999</v>
      </c>
      <c r="C1387" s="1820">
        <v>128105.63</v>
      </c>
      <c r="D1387" s="365">
        <v>0</v>
      </c>
      <c r="E1387" s="361">
        <v>2074498.98</v>
      </c>
      <c r="F1387" s="361">
        <v>181152.92</v>
      </c>
      <c r="G1387" s="361">
        <v>2047522.91</v>
      </c>
      <c r="H1387" s="361">
        <v>1240983.53</v>
      </c>
      <c r="I1387" s="361">
        <v>386282.15</v>
      </c>
      <c r="J1387" s="361">
        <v>122845.01</v>
      </c>
      <c r="K1387" s="365">
        <v>0</v>
      </c>
      <c r="L1387" s="365"/>
      <c r="M1387" s="365"/>
      <c r="N1387" s="1823"/>
    </row>
    <row r="1388" spans="1:14" ht="13">
      <c r="A1388" s="1818" t="s">
        <v>1273</v>
      </c>
      <c r="B1388" s="1819">
        <v>5963292.8600000003</v>
      </c>
      <c r="C1388" s="1820">
        <v>1754387.25</v>
      </c>
      <c r="D1388" s="361">
        <v>2128623.11</v>
      </c>
      <c r="E1388" s="361">
        <v>2080282.5</v>
      </c>
      <c r="F1388" s="365">
        <v>0</v>
      </c>
      <c r="G1388" s="365">
        <v>0</v>
      </c>
      <c r="H1388" s="365">
        <v>0</v>
      </c>
      <c r="I1388" s="365">
        <v>0</v>
      </c>
      <c r="J1388" s="365">
        <v>0</v>
      </c>
      <c r="K1388" s="365">
        <v>0</v>
      </c>
      <c r="L1388" s="365"/>
      <c r="M1388" s="365"/>
      <c r="N1388" s="1823"/>
    </row>
    <row r="1389" spans="1:14" ht="13">
      <c r="A1389" s="1818" t="s">
        <v>1307</v>
      </c>
      <c r="B1389" s="1819">
        <v>5043081.18</v>
      </c>
      <c r="C1389" s="1820">
        <v>311334.03000000003</v>
      </c>
      <c r="D1389" s="361">
        <v>1693146.99</v>
      </c>
      <c r="E1389" s="361">
        <v>177984.79</v>
      </c>
      <c r="F1389" s="365">
        <v>0</v>
      </c>
      <c r="G1389" s="365">
        <v>0</v>
      </c>
      <c r="H1389" s="361">
        <v>619232.91</v>
      </c>
      <c r="I1389" s="361">
        <v>2241382.4500000002</v>
      </c>
      <c r="J1389" s="365">
        <v>0</v>
      </c>
      <c r="K1389" s="365">
        <v>0</v>
      </c>
      <c r="L1389" s="365"/>
      <c r="M1389" s="365"/>
      <c r="N1389" s="1823"/>
    </row>
    <row r="1390" spans="1:14" ht="13">
      <c r="A1390" s="1818" t="s">
        <v>1278</v>
      </c>
      <c r="B1390" s="1819">
        <v>5041765.08</v>
      </c>
      <c r="C1390" s="1820">
        <v>684047.29</v>
      </c>
      <c r="D1390" s="361">
        <v>411467.66</v>
      </c>
      <c r="E1390" s="361">
        <v>592183.36</v>
      </c>
      <c r="F1390" s="361">
        <v>648035.32999999996</v>
      </c>
      <c r="G1390" s="361">
        <v>351056.16</v>
      </c>
      <c r="H1390" s="361">
        <v>315176.55</v>
      </c>
      <c r="I1390" s="361">
        <v>762390.19</v>
      </c>
      <c r="J1390" s="361">
        <v>641408.34</v>
      </c>
      <c r="K1390" s="361">
        <v>636000.19999999995</v>
      </c>
      <c r="L1390" s="365"/>
      <c r="M1390" s="365"/>
      <c r="N1390" s="1823"/>
    </row>
    <row r="1391" spans="1:14" ht="13">
      <c r="A1391" s="1818" t="s">
        <v>1331</v>
      </c>
      <c r="B1391" s="1819">
        <v>4282170.7699999996</v>
      </c>
      <c r="C1391" s="1822">
        <v>0</v>
      </c>
      <c r="D1391" s="365">
        <v>0</v>
      </c>
      <c r="E1391" s="365">
        <v>0</v>
      </c>
      <c r="F1391" s="365">
        <v>0</v>
      </c>
      <c r="G1391" s="365">
        <v>0</v>
      </c>
      <c r="H1391" s="361">
        <v>689517.06</v>
      </c>
      <c r="I1391" s="361">
        <v>1072278.28</v>
      </c>
      <c r="J1391" s="361">
        <v>1561013.7</v>
      </c>
      <c r="K1391" s="361">
        <v>959361.72</v>
      </c>
      <c r="L1391" s="365"/>
      <c r="M1391" s="365"/>
      <c r="N1391" s="1823"/>
    </row>
    <row r="1392" spans="1:14" ht="13">
      <c r="A1392" s="1818" t="s">
        <v>1277</v>
      </c>
      <c r="B1392" s="1819">
        <v>4246216.92</v>
      </c>
      <c r="C1392" s="1820">
        <v>427127.65</v>
      </c>
      <c r="D1392" s="361">
        <v>484350.32</v>
      </c>
      <c r="E1392" s="361">
        <v>214433.48</v>
      </c>
      <c r="F1392" s="361">
        <v>408570.06</v>
      </c>
      <c r="G1392" s="361">
        <v>328948.51</v>
      </c>
      <c r="H1392" s="361">
        <v>656846.62</v>
      </c>
      <c r="I1392" s="361">
        <v>93487.59</v>
      </c>
      <c r="J1392" s="361">
        <v>920902.63</v>
      </c>
      <c r="K1392" s="361">
        <v>711550.07</v>
      </c>
      <c r="L1392" s="365"/>
      <c r="M1392" s="365"/>
      <c r="N1392" s="1823"/>
    </row>
    <row r="1393" spans="1:14" ht="13">
      <c r="A1393" s="1818" t="s">
        <v>1576</v>
      </c>
      <c r="B1393" s="1819">
        <v>4116369.34</v>
      </c>
      <c r="C1393" s="1820">
        <v>755182.44</v>
      </c>
      <c r="D1393" s="361">
        <v>297309.71000000002</v>
      </c>
      <c r="E1393" s="361">
        <v>941863.08</v>
      </c>
      <c r="F1393" s="361">
        <v>852163.04</v>
      </c>
      <c r="G1393" s="361">
        <v>509163.74</v>
      </c>
      <c r="H1393" s="361">
        <v>512975.92</v>
      </c>
      <c r="I1393" s="365">
        <v>0</v>
      </c>
      <c r="J1393" s="361">
        <v>209502.22</v>
      </c>
      <c r="K1393" s="361">
        <v>38209.199999999997</v>
      </c>
      <c r="L1393" s="365"/>
      <c r="M1393" s="365"/>
      <c r="N1393" s="1823"/>
    </row>
    <row r="1394" spans="1:14" ht="13">
      <c r="A1394" s="1818" t="s">
        <v>1306</v>
      </c>
      <c r="B1394" s="1819">
        <v>3909908.71</v>
      </c>
      <c r="C1394" s="1820">
        <v>173623.26</v>
      </c>
      <c r="D1394" s="361">
        <v>922913.52</v>
      </c>
      <c r="E1394" s="361">
        <v>812500.13</v>
      </c>
      <c r="F1394" s="361">
        <v>402661.88</v>
      </c>
      <c r="G1394" s="361">
        <v>976879.23</v>
      </c>
      <c r="H1394" s="361">
        <v>621330.68999999994</v>
      </c>
      <c r="I1394" s="365">
        <v>0</v>
      </c>
      <c r="J1394" s="365">
        <v>0</v>
      </c>
      <c r="K1394" s="365">
        <v>0</v>
      </c>
      <c r="L1394" s="365"/>
      <c r="M1394" s="365"/>
      <c r="N1394" s="1823"/>
    </row>
    <row r="1395" spans="1:14" ht="13">
      <c r="A1395" s="1818" t="s">
        <v>1300</v>
      </c>
      <c r="B1395" s="1819">
        <v>3876207.03</v>
      </c>
      <c r="C1395" s="1820">
        <v>223455.54</v>
      </c>
      <c r="D1395" s="361">
        <v>323178.78000000003</v>
      </c>
      <c r="E1395" s="361">
        <v>666222.9</v>
      </c>
      <c r="F1395" s="361">
        <v>390719.49</v>
      </c>
      <c r="G1395" s="361">
        <v>454529.63</v>
      </c>
      <c r="H1395" s="361">
        <v>463970</v>
      </c>
      <c r="I1395" s="361">
        <v>439181.4</v>
      </c>
      <c r="J1395" s="361">
        <v>351068.54</v>
      </c>
      <c r="K1395" s="361">
        <v>563880.75</v>
      </c>
      <c r="L1395" s="365"/>
      <c r="M1395" s="365"/>
      <c r="N1395" s="1823"/>
    </row>
    <row r="1396" spans="1:14" ht="13">
      <c r="A1396" s="1818" t="s">
        <v>1575</v>
      </c>
      <c r="B1396" s="1819">
        <v>3764087.23</v>
      </c>
      <c r="C1396" s="1820">
        <v>1319000.6499999999</v>
      </c>
      <c r="D1396" s="361">
        <v>318379.67</v>
      </c>
      <c r="E1396" s="365">
        <v>0</v>
      </c>
      <c r="F1396" s="361">
        <v>616089.26</v>
      </c>
      <c r="G1396" s="365">
        <v>0</v>
      </c>
      <c r="H1396" s="365">
        <v>0</v>
      </c>
      <c r="I1396" s="361">
        <v>1003580.83</v>
      </c>
      <c r="J1396" s="361">
        <v>507036.82</v>
      </c>
      <c r="K1396" s="365">
        <v>0</v>
      </c>
      <c r="L1396" s="365"/>
      <c r="M1396" s="365"/>
      <c r="N1396" s="1823"/>
    </row>
    <row r="1397" spans="1:14" ht="13">
      <c r="A1397" s="1818" t="s">
        <v>1410</v>
      </c>
      <c r="B1397" s="1819">
        <v>3710591.96</v>
      </c>
      <c r="C1397" s="1822">
        <v>0</v>
      </c>
      <c r="D1397" s="365">
        <v>0</v>
      </c>
      <c r="E1397" s="365">
        <v>0</v>
      </c>
      <c r="F1397" s="365">
        <v>0</v>
      </c>
      <c r="G1397" s="365">
        <v>0</v>
      </c>
      <c r="H1397" s="361">
        <v>701785.08</v>
      </c>
      <c r="I1397" s="361">
        <v>758722.43</v>
      </c>
      <c r="J1397" s="361">
        <v>1191891.5</v>
      </c>
      <c r="K1397" s="361">
        <v>1058192.95</v>
      </c>
      <c r="L1397" s="365"/>
      <c r="M1397" s="365"/>
      <c r="N1397" s="1823"/>
    </row>
    <row r="1398" spans="1:14" ht="13">
      <c r="A1398" s="1818" t="s">
        <v>1272</v>
      </c>
      <c r="B1398" s="1819">
        <v>3620838</v>
      </c>
      <c r="C1398" s="1820">
        <v>795548.46</v>
      </c>
      <c r="D1398" s="361">
        <v>194530.58</v>
      </c>
      <c r="E1398" s="361">
        <v>875808.84</v>
      </c>
      <c r="F1398" s="361">
        <v>486101.83</v>
      </c>
      <c r="G1398" s="361">
        <v>619012.04</v>
      </c>
      <c r="H1398" s="361">
        <v>191693.62</v>
      </c>
      <c r="I1398" s="361">
        <v>458142.63</v>
      </c>
      <c r="J1398" s="365">
        <v>0</v>
      </c>
      <c r="K1398" s="365">
        <v>0</v>
      </c>
      <c r="L1398" s="365"/>
      <c r="M1398" s="365"/>
      <c r="N1398" s="1823"/>
    </row>
    <row r="1399" spans="1:14" ht="13">
      <c r="A1399" s="1818" t="s">
        <v>1496</v>
      </c>
      <c r="B1399" s="1819">
        <v>3572684.27</v>
      </c>
      <c r="C1399" s="1820">
        <v>369277.41</v>
      </c>
      <c r="D1399" s="365">
        <v>0</v>
      </c>
      <c r="E1399" s="365">
        <v>0</v>
      </c>
      <c r="F1399" s="365">
        <v>0</v>
      </c>
      <c r="G1399" s="365">
        <v>0</v>
      </c>
      <c r="H1399" s="365">
        <v>0</v>
      </c>
      <c r="I1399" s="361">
        <v>3203406.86</v>
      </c>
      <c r="J1399" s="365">
        <v>0</v>
      </c>
      <c r="K1399" s="365">
        <v>0</v>
      </c>
      <c r="L1399" s="365"/>
      <c r="M1399" s="365"/>
      <c r="N1399" s="1823"/>
    </row>
    <row r="1400" spans="1:14" ht="13">
      <c r="A1400" s="1818" t="s">
        <v>1407</v>
      </c>
      <c r="B1400" s="1819">
        <v>3521062.88</v>
      </c>
      <c r="C1400" s="1820">
        <v>526980.34</v>
      </c>
      <c r="D1400" s="361">
        <v>805070.57</v>
      </c>
      <c r="E1400" s="365">
        <v>0</v>
      </c>
      <c r="F1400" s="361">
        <v>126534.01</v>
      </c>
      <c r="G1400" s="365">
        <v>0</v>
      </c>
      <c r="H1400" s="361">
        <v>319102.94</v>
      </c>
      <c r="I1400" s="361">
        <v>1061307.0900000001</v>
      </c>
      <c r="J1400" s="361">
        <v>320588.73</v>
      </c>
      <c r="K1400" s="361">
        <v>361479.2</v>
      </c>
      <c r="L1400" s="365"/>
      <c r="M1400" s="365"/>
      <c r="N1400" s="1823"/>
    </row>
    <row r="1401" spans="1:14" ht="13">
      <c r="A1401" s="1818" t="s">
        <v>1338</v>
      </c>
      <c r="B1401" s="1819">
        <v>3442898.68</v>
      </c>
      <c r="C1401" s="1820">
        <v>894537.16</v>
      </c>
      <c r="D1401" s="365">
        <v>0</v>
      </c>
      <c r="E1401" s="361">
        <v>677277.54</v>
      </c>
      <c r="F1401" s="361">
        <v>143941.28</v>
      </c>
      <c r="G1401" s="361">
        <v>496042.92</v>
      </c>
      <c r="H1401" s="361">
        <v>138306.72</v>
      </c>
      <c r="I1401" s="361">
        <v>181361.53</v>
      </c>
      <c r="J1401" s="361">
        <v>401245.47</v>
      </c>
      <c r="K1401" s="361">
        <v>510186.06</v>
      </c>
      <c r="L1401" s="365"/>
      <c r="M1401" s="365"/>
      <c r="N1401" s="1823"/>
    </row>
    <row r="1402" spans="1:14" ht="13">
      <c r="A1402" s="1818" t="s">
        <v>1404</v>
      </c>
      <c r="B1402" s="1819">
        <v>3267339.12</v>
      </c>
      <c r="C1402" s="1822">
        <v>0</v>
      </c>
      <c r="D1402" s="365">
        <v>0</v>
      </c>
      <c r="E1402" s="361">
        <v>3267339.12</v>
      </c>
      <c r="F1402" s="365">
        <v>0</v>
      </c>
      <c r="G1402" s="365">
        <v>0</v>
      </c>
      <c r="H1402" s="365">
        <v>0</v>
      </c>
      <c r="I1402" s="365">
        <v>0</v>
      </c>
      <c r="J1402" s="365">
        <v>0</v>
      </c>
      <c r="K1402" s="365">
        <v>0</v>
      </c>
      <c r="L1402" s="365"/>
      <c r="M1402" s="365"/>
      <c r="N1402" s="1823"/>
    </row>
    <row r="1403" spans="1:14" ht="13">
      <c r="A1403" s="1818" t="s">
        <v>1408</v>
      </c>
      <c r="B1403" s="1819">
        <v>2915511.96</v>
      </c>
      <c r="C1403" s="1820">
        <v>34787.800000000003</v>
      </c>
      <c r="D1403" s="361">
        <v>346541.38</v>
      </c>
      <c r="E1403" s="361">
        <v>581439.91</v>
      </c>
      <c r="F1403" s="361">
        <v>193063.32</v>
      </c>
      <c r="G1403" s="361">
        <v>160477.4</v>
      </c>
      <c r="H1403" s="361">
        <v>448513.11</v>
      </c>
      <c r="I1403" s="361">
        <v>316619.11</v>
      </c>
      <c r="J1403" s="361">
        <v>634581.12</v>
      </c>
      <c r="K1403" s="361">
        <v>199488.81</v>
      </c>
      <c r="L1403" s="365"/>
      <c r="M1403" s="365"/>
      <c r="N1403" s="1823"/>
    </row>
    <row r="1404" spans="1:14" ht="13">
      <c r="A1404" s="1818" t="s">
        <v>1316</v>
      </c>
      <c r="B1404" s="1819">
        <v>2814933.52</v>
      </c>
      <c r="C1404" s="1820">
        <v>761063.49</v>
      </c>
      <c r="D1404" s="361">
        <v>203388.96</v>
      </c>
      <c r="E1404" s="361">
        <v>206170.82</v>
      </c>
      <c r="F1404" s="361">
        <v>303008.59999999998</v>
      </c>
      <c r="G1404" s="361">
        <v>343993.23</v>
      </c>
      <c r="H1404" s="361">
        <v>149597.82</v>
      </c>
      <c r="I1404" s="361">
        <v>390599.5</v>
      </c>
      <c r="J1404" s="361">
        <v>215483.46</v>
      </c>
      <c r="K1404" s="361">
        <v>241627.64</v>
      </c>
      <c r="L1404" s="365"/>
      <c r="M1404" s="365"/>
      <c r="N1404" s="1823"/>
    </row>
    <row r="1405" spans="1:14" ht="13">
      <c r="A1405" s="1818" t="s">
        <v>1582</v>
      </c>
      <c r="B1405" s="1819">
        <v>2712970.8</v>
      </c>
      <c r="C1405" s="1820">
        <v>655464.93000000005</v>
      </c>
      <c r="D1405" s="361">
        <v>1138014.67</v>
      </c>
      <c r="E1405" s="365">
        <v>0</v>
      </c>
      <c r="F1405" s="365">
        <v>0</v>
      </c>
      <c r="G1405" s="361">
        <v>919491.2</v>
      </c>
      <c r="H1405" s="365">
        <v>0</v>
      </c>
      <c r="I1405" s="365">
        <v>0</v>
      </c>
      <c r="J1405" s="365">
        <v>0</v>
      </c>
      <c r="K1405" s="365">
        <v>0</v>
      </c>
      <c r="L1405" s="365"/>
      <c r="M1405" s="365"/>
      <c r="N1405" s="1823"/>
    </row>
    <row r="1406" spans="1:14" ht="13">
      <c r="A1406" s="1818" t="s">
        <v>1327</v>
      </c>
      <c r="B1406" s="1819">
        <v>2496955.5</v>
      </c>
      <c r="C1406" s="1822">
        <v>0</v>
      </c>
      <c r="D1406" s="365">
        <v>0</v>
      </c>
      <c r="E1406" s="365">
        <v>0</v>
      </c>
      <c r="F1406" s="365">
        <v>0</v>
      </c>
      <c r="G1406" s="365">
        <v>0</v>
      </c>
      <c r="H1406" s="361">
        <v>1197310.1200000001</v>
      </c>
      <c r="I1406" s="361">
        <v>787025.65</v>
      </c>
      <c r="J1406" s="361">
        <v>227257.99</v>
      </c>
      <c r="K1406" s="361">
        <v>285361.74</v>
      </c>
      <c r="L1406" s="365"/>
      <c r="M1406" s="365"/>
      <c r="N1406" s="1823"/>
    </row>
    <row r="1407" spans="1:14" ht="13">
      <c r="A1407" s="1818" t="s">
        <v>1411</v>
      </c>
      <c r="B1407" s="1819">
        <v>2472160.35</v>
      </c>
      <c r="C1407" s="1820">
        <v>576794.1</v>
      </c>
      <c r="D1407" s="361">
        <v>127997.73</v>
      </c>
      <c r="E1407" s="365">
        <v>0</v>
      </c>
      <c r="F1407" s="361">
        <v>258346.25</v>
      </c>
      <c r="G1407" s="361">
        <v>277023.24</v>
      </c>
      <c r="H1407" s="361">
        <v>326308.36</v>
      </c>
      <c r="I1407" s="361">
        <v>534647.09</v>
      </c>
      <c r="J1407" s="365">
        <v>0</v>
      </c>
      <c r="K1407" s="361">
        <v>371043.57</v>
      </c>
      <c r="L1407" s="365"/>
      <c r="M1407" s="365"/>
      <c r="N1407" s="1823"/>
    </row>
    <row r="1408" spans="1:14" ht="13">
      <c r="A1408" s="1818" t="s">
        <v>1587</v>
      </c>
      <c r="B1408" s="1819">
        <v>2336828.65</v>
      </c>
      <c r="C1408" s="1820">
        <v>-73270.320000000007</v>
      </c>
      <c r="D1408" s="361">
        <v>726466.66</v>
      </c>
      <c r="E1408" s="365">
        <v>0</v>
      </c>
      <c r="F1408" s="361">
        <v>944132.73</v>
      </c>
      <c r="G1408" s="365">
        <v>0</v>
      </c>
      <c r="H1408" s="361">
        <v>341804.12</v>
      </c>
      <c r="I1408" s="361">
        <v>397695.45</v>
      </c>
      <c r="J1408" s="365">
        <v>0</v>
      </c>
      <c r="K1408" s="365">
        <v>0</v>
      </c>
      <c r="L1408" s="365"/>
      <c r="M1408" s="365"/>
      <c r="N1408" s="1823"/>
    </row>
    <row r="1409" spans="1:14" ht="13">
      <c r="A1409" s="1818" t="s">
        <v>1635</v>
      </c>
      <c r="B1409" s="1819">
        <v>2329755.67</v>
      </c>
      <c r="C1409" s="1822">
        <v>0</v>
      </c>
      <c r="D1409" s="365">
        <v>0</v>
      </c>
      <c r="E1409" s="365">
        <v>0</v>
      </c>
      <c r="F1409" s="365">
        <v>0</v>
      </c>
      <c r="G1409" s="361">
        <v>1694544.33</v>
      </c>
      <c r="H1409" s="361">
        <v>144126.57</v>
      </c>
      <c r="I1409" s="365">
        <v>0</v>
      </c>
      <c r="J1409" s="361">
        <v>491084.77</v>
      </c>
      <c r="K1409" s="365">
        <v>0</v>
      </c>
      <c r="L1409" s="365"/>
      <c r="M1409" s="365"/>
      <c r="N1409" s="1823"/>
    </row>
    <row r="1410" spans="1:14" ht="13">
      <c r="A1410" s="1818" t="s">
        <v>1581</v>
      </c>
      <c r="B1410" s="1819">
        <v>2039580.92</v>
      </c>
      <c r="C1410" s="1820">
        <v>710240.26</v>
      </c>
      <c r="D1410" s="365">
        <v>0</v>
      </c>
      <c r="E1410" s="361">
        <v>920682.16</v>
      </c>
      <c r="F1410" s="361">
        <v>344558.63</v>
      </c>
      <c r="G1410" s="365">
        <v>0</v>
      </c>
      <c r="H1410" s="365">
        <v>0</v>
      </c>
      <c r="I1410" s="361">
        <v>64099.87</v>
      </c>
      <c r="J1410" s="365">
        <v>0</v>
      </c>
      <c r="K1410" s="365">
        <v>0</v>
      </c>
      <c r="L1410" s="365"/>
      <c r="M1410" s="365"/>
      <c r="N1410" s="1823"/>
    </row>
    <row r="1411" spans="1:14" ht="13">
      <c r="A1411" s="1818" t="s">
        <v>1414</v>
      </c>
      <c r="B1411" s="1819">
        <v>1995021.82</v>
      </c>
      <c r="C1411" s="1820">
        <v>390120.82</v>
      </c>
      <c r="D1411" s="361">
        <v>169873.35</v>
      </c>
      <c r="E1411" s="361">
        <v>400261.97</v>
      </c>
      <c r="F1411" s="361">
        <v>227840.28</v>
      </c>
      <c r="G1411" s="365">
        <v>0</v>
      </c>
      <c r="H1411" s="361">
        <v>261112.63</v>
      </c>
      <c r="I1411" s="361">
        <v>89605.96</v>
      </c>
      <c r="J1411" s="361">
        <v>313150.78999999998</v>
      </c>
      <c r="K1411" s="361">
        <v>143056.03</v>
      </c>
      <c r="L1411" s="365"/>
      <c r="M1411" s="365"/>
      <c r="N1411" s="1823"/>
    </row>
    <row r="1412" spans="1:14" ht="13">
      <c r="A1412" s="1818" t="s">
        <v>1461</v>
      </c>
      <c r="B1412" s="1819">
        <v>1871662.21</v>
      </c>
      <c r="C1412" s="1820">
        <v>351867.91</v>
      </c>
      <c r="D1412" s="361">
        <v>182511.24</v>
      </c>
      <c r="E1412" s="361">
        <v>399602.26</v>
      </c>
      <c r="F1412" s="365">
        <v>0</v>
      </c>
      <c r="G1412" s="365">
        <v>0</v>
      </c>
      <c r="H1412" s="365">
        <v>0</v>
      </c>
      <c r="I1412" s="361">
        <v>377832.43</v>
      </c>
      <c r="J1412" s="361">
        <v>512857.58</v>
      </c>
      <c r="K1412" s="361">
        <v>46990.8</v>
      </c>
      <c r="L1412" s="365"/>
      <c r="M1412" s="365"/>
      <c r="N1412" s="1823"/>
    </row>
    <row r="1413" spans="1:14" ht="13">
      <c r="A1413" s="1818" t="s">
        <v>1415</v>
      </c>
      <c r="B1413" s="1819">
        <v>1773084.15</v>
      </c>
      <c r="C1413" s="1822">
        <v>0</v>
      </c>
      <c r="D1413" s="361">
        <v>581339.59</v>
      </c>
      <c r="E1413" s="361">
        <v>63721.78</v>
      </c>
      <c r="F1413" s="361">
        <v>344607.61</v>
      </c>
      <c r="G1413" s="361">
        <v>265819.58</v>
      </c>
      <c r="H1413" s="361">
        <v>66383.14</v>
      </c>
      <c r="I1413" s="365">
        <v>0</v>
      </c>
      <c r="J1413" s="361">
        <v>451212.45</v>
      </c>
      <c r="K1413" s="365">
        <v>0</v>
      </c>
      <c r="L1413" s="365"/>
      <c r="M1413" s="365"/>
      <c r="N1413" s="1823"/>
    </row>
    <row r="1414" spans="1:14" ht="13">
      <c r="A1414" s="1818" t="s">
        <v>1574</v>
      </c>
      <c r="B1414" s="1819">
        <v>1723564.98</v>
      </c>
      <c r="C1414" s="1820">
        <v>275645.95</v>
      </c>
      <c r="D1414" s="361">
        <v>25263</v>
      </c>
      <c r="E1414" s="365">
        <v>0</v>
      </c>
      <c r="F1414" s="361">
        <v>304778.15000000002</v>
      </c>
      <c r="G1414" s="361">
        <v>307597.65999999997</v>
      </c>
      <c r="H1414" s="365">
        <v>0</v>
      </c>
      <c r="I1414" s="361">
        <v>476313.78</v>
      </c>
      <c r="J1414" s="361">
        <v>333966.44</v>
      </c>
      <c r="K1414" s="365">
        <v>0</v>
      </c>
      <c r="L1414" s="365"/>
      <c r="M1414" s="365"/>
      <c r="N1414" s="1823"/>
    </row>
    <row r="1415" spans="1:14" ht="13">
      <c r="A1415" s="1818" t="s">
        <v>1397</v>
      </c>
      <c r="B1415" s="1819">
        <v>1609443.81</v>
      </c>
      <c r="C1415" s="1822">
        <v>0</v>
      </c>
      <c r="D1415" s="365">
        <v>0</v>
      </c>
      <c r="E1415" s="365">
        <v>0</v>
      </c>
      <c r="F1415" s="365">
        <v>0</v>
      </c>
      <c r="G1415" s="365">
        <v>0</v>
      </c>
      <c r="H1415" s="365">
        <v>0</v>
      </c>
      <c r="I1415" s="361">
        <v>885842.23</v>
      </c>
      <c r="J1415" s="361">
        <v>403744.91</v>
      </c>
      <c r="K1415" s="361">
        <v>319856.67</v>
      </c>
      <c r="L1415" s="365"/>
      <c r="M1415" s="365"/>
      <c r="N1415" s="1823"/>
    </row>
    <row r="1416" spans="1:14" ht="13">
      <c r="A1416" s="1818" t="s">
        <v>1586</v>
      </c>
      <c r="B1416" s="1819">
        <v>1288510.5</v>
      </c>
      <c r="C1416" s="1822">
        <v>0</v>
      </c>
      <c r="D1416" s="361">
        <v>250406.54</v>
      </c>
      <c r="E1416" s="361">
        <v>1038103.96</v>
      </c>
      <c r="F1416" s="365">
        <v>0</v>
      </c>
      <c r="G1416" s="365">
        <v>0</v>
      </c>
      <c r="H1416" s="365">
        <v>0</v>
      </c>
      <c r="I1416" s="365">
        <v>0</v>
      </c>
      <c r="J1416" s="365">
        <v>0</v>
      </c>
      <c r="K1416" s="365">
        <v>0</v>
      </c>
      <c r="L1416" s="365"/>
      <c r="M1416" s="365"/>
      <c r="N1416" s="1823"/>
    </row>
    <row r="1417" spans="1:14" ht="13">
      <c r="A1417" s="1818" t="s">
        <v>1508</v>
      </c>
      <c r="B1417" s="1819">
        <v>1225675.3400000001</v>
      </c>
      <c r="C1417" s="1820">
        <v>58619.93</v>
      </c>
      <c r="D1417" s="365">
        <v>0</v>
      </c>
      <c r="E1417" s="361">
        <v>385056.6</v>
      </c>
      <c r="F1417" s="361">
        <v>66204.36</v>
      </c>
      <c r="G1417" s="361">
        <v>715794.44</v>
      </c>
      <c r="H1417" s="365">
        <v>0</v>
      </c>
      <c r="I1417" s="365">
        <v>0</v>
      </c>
      <c r="J1417" s="365">
        <v>0</v>
      </c>
      <c r="K1417" s="365">
        <v>0</v>
      </c>
      <c r="L1417" s="365"/>
      <c r="M1417" s="365"/>
      <c r="N1417" s="1823"/>
    </row>
    <row r="1418" spans="1:14" ht="13">
      <c r="A1418" s="1818" t="s">
        <v>1462</v>
      </c>
      <c r="B1418" s="1819">
        <v>1166908.5900000001</v>
      </c>
      <c r="C1418" s="1822">
        <v>0</v>
      </c>
      <c r="D1418" s="365">
        <v>0</v>
      </c>
      <c r="E1418" s="361">
        <v>518325.02</v>
      </c>
      <c r="F1418" s="365">
        <v>0</v>
      </c>
      <c r="G1418" s="361">
        <v>648583.56999999995</v>
      </c>
      <c r="H1418" s="365">
        <v>0</v>
      </c>
      <c r="I1418" s="365">
        <v>0</v>
      </c>
      <c r="J1418" s="365">
        <v>0</v>
      </c>
      <c r="K1418" s="365">
        <v>0</v>
      </c>
      <c r="L1418" s="365"/>
      <c r="M1418" s="365"/>
      <c r="N1418" s="1823"/>
    </row>
    <row r="1419" spans="1:14" ht="13">
      <c r="A1419" s="1818" t="s">
        <v>1457</v>
      </c>
      <c r="B1419" s="1819">
        <v>1066467.73</v>
      </c>
      <c r="C1419" s="1822">
        <v>0</v>
      </c>
      <c r="D1419" s="361">
        <v>402082.93</v>
      </c>
      <c r="E1419" s="361">
        <v>304370.84000000003</v>
      </c>
      <c r="F1419" s="361">
        <v>267523.13</v>
      </c>
      <c r="G1419" s="365">
        <v>0</v>
      </c>
      <c r="H1419" s="361">
        <v>92490.82</v>
      </c>
      <c r="I1419" s="365">
        <v>0</v>
      </c>
      <c r="J1419" s="365">
        <v>0</v>
      </c>
      <c r="K1419" s="365">
        <v>0</v>
      </c>
      <c r="L1419" s="365"/>
      <c r="M1419" s="365"/>
      <c r="N1419" s="1823"/>
    </row>
    <row r="1420" spans="1:14" ht="13">
      <c r="A1420" s="1818" t="s">
        <v>1419</v>
      </c>
      <c r="B1420" s="1819">
        <v>1059520.51</v>
      </c>
      <c r="C1420" s="1820">
        <v>481629.74</v>
      </c>
      <c r="D1420" s="361">
        <v>26114.92</v>
      </c>
      <c r="E1420" s="361">
        <v>230483.72</v>
      </c>
      <c r="F1420" s="365">
        <v>0</v>
      </c>
      <c r="G1420" s="365">
        <v>0</v>
      </c>
      <c r="H1420" s="365">
        <v>0</v>
      </c>
      <c r="I1420" s="361">
        <v>321292.13</v>
      </c>
      <c r="J1420" s="365">
        <v>0</v>
      </c>
      <c r="K1420" s="365">
        <v>0</v>
      </c>
      <c r="L1420" s="365"/>
      <c r="M1420" s="365"/>
      <c r="N1420" s="1823"/>
    </row>
    <row r="1421" spans="1:14" ht="13">
      <c r="A1421" s="1818" t="s">
        <v>1453</v>
      </c>
      <c r="B1421" s="1819">
        <v>1029621.34</v>
      </c>
      <c r="C1421" s="1822">
        <v>0</v>
      </c>
      <c r="D1421" s="361">
        <v>263060.34000000003</v>
      </c>
      <c r="E1421" s="365">
        <v>0</v>
      </c>
      <c r="F1421" s="361">
        <v>192786.85</v>
      </c>
      <c r="G1421" s="361">
        <v>149215.41</v>
      </c>
      <c r="H1421" s="365">
        <v>0</v>
      </c>
      <c r="I1421" s="361">
        <v>254257.71</v>
      </c>
      <c r="J1421" s="361">
        <v>170301.03</v>
      </c>
      <c r="K1421" s="365">
        <v>0</v>
      </c>
      <c r="L1421" s="365"/>
      <c r="M1421" s="365"/>
      <c r="N1421" s="1823"/>
    </row>
    <row r="1422" spans="1:14" ht="13">
      <c r="A1422" s="1818" t="s">
        <v>1424</v>
      </c>
      <c r="B1422" s="1819">
        <v>997994.74</v>
      </c>
      <c r="C1422" s="1822">
        <v>0</v>
      </c>
      <c r="D1422" s="365">
        <v>0</v>
      </c>
      <c r="E1422" s="365">
        <v>0</v>
      </c>
      <c r="F1422" s="365">
        <v>0</v>
      </c>
      <c r="G1422" s="365">
        <v>0</v>
      </c>
      <c r="H1422" s="365">
        <v>0</v>
      </c>
      <c r="I1422" s="365">
        <v>0</v>
      </c>
      <c r="J1422" s="361">
        <v>689706.97</v>
      </c>
      <c r="K1422" s="361">
        <v>308287.77</v>
      </c>
      <c r="L1422" s="365"/>
      <c r="M1422" s="365"/>
      <c r="N1422" s="1823"/>
    </row>
    <row r="1423" spans="1:14" ht="13">
      <c r="A1423" s="1818" t="s">
        <v>1510</v>
      </c>
      <c r="B1423" s="1819">
        <v>927479.2</v>
      </c>
      <c r="C1423" s="1822">
        <v>0</v>
      </c>
      <c r="D1423" s="361">
        <v>251261.17</v>
      </c>
      <c r="E1423" s="361">
        <v>139874</v>
      </c>
      <c r="F1423" s="361">
        <v>268813.73</v>
      </c>
      <c r="G1423" s="365">
        <v>0</v>
      </c>
      <c r="H1423" s="361">
        <v>267530.31</v>
      </c>
      <c r="I1423" s="365">
        <v>0</v>
      </c>
      <c r="J1423" s="365">
        <v>0</v>
      </c>
      <c r="K1423" s="365">
        <v>0</v>
      </c>
      <c r="L1423" s="365"/>
      <c r="M1423" s="365"/>
      <c r="N1423" s="1823"/>
    </row>
    <row r="1424" spans="1:14" ht="13">
      <c r="A1424" s="1818" t="s">
        <v>1523</v>
      </c>
      <c r="B1424" s="1819">
        <v>836853.47</v>
      </c>
      <c r="C1424" s="1820">
        <v>183232.41</v>
      </c>
      <c r="D1424" s="361">
        <v>195263.01</v>
      </c>
      <c r="E1424" s="361">
        <v>198594.09</v>
      </c>
      <c r="F1424" s="365">
        <v>0</v>
      </c>
      <c r="G1424" s="361">
        <v>259763.96</v>
      </c>
      <c r="H1424" s="365">
        <v>0</v>
      </c>
      <c r="I1424" s="365">
        <v>0</v>
      </c>
      <c r="J1424" s="365">
        <v>0</v>
      </c>
      <c r="K1424" s="365">
        <v>0</v>
      </c>
      <c r="L1424" s="365"/>
      <c r="M1424" s="365"/>
      <c r="N1424" s="1823"/>
    </row>
    <row r="1425" spans="1:14" ht="13">
      <c r="A1425" s="1818" t="s">
        <v>1769</v>
      </c>
      <c r="B1425" s="1819">
        <v>820078.03</v>
      </c>
      <c r="C1425" s="1820">
        <v>509609.34</v>
      </c>
      <c r="D1425" s="361">
        <v>310468.68</v>
      </c>
      <c r="E1425" s="365">
        <v>0</v>
      </c>
      <c r="F1425" s="365">
        <v>0</v>
      </c>
      <c r="G1425" s="365">
        <v>0</v>
      </c>
      <c r="H1425" s="365">
        <v>0</v>
      </c>
      <c r="I1425" s="365">
        <v>0</v>
      </c>
      <c r="J1425" s="365">
        <v>0</v>
      </c>
      <c r="K1425" s="365">
        <v>0</v>
      </c>
      <c r="L1425" s="365"/>
      <c r="M1425" s="365"/>
      <c r="N1425" s="1823"/>
    </row>
    <row r="1426" spans="1:14" ht="13">
      <c r="A1426" s="1818" t="s">
        <v>1770</v>
      </c>
      <c r="B1426" s="1819">
        <v>794404.6</v>
      </c>
      <c r="C1426" s="1820">
        <v>677704.6</v>
      </c>
      <c r="D1426" s="365">
        <v>0</v>
      </c>
      <c r="E1426" s="365">
        <v>0</v>
      </c>
      <c r="F1426" s="365">
        <v>0</v>
      </c>
      <c r="G1426" s="365">
        <v>0</v>
      </c>
      <c r="H1426" s="365">
        <v>0</v>
      </c>
      <c r="I1426" s="365">
        <v>0</v>
      </c>
      <c r="J1426" s="365">
        <v>0</v>
      </c>
      <c r="K1426" s="361">
        <v>116700</v>
      </c>
      <c r="L1426" s="365"/>
      <c r="M1426" s="365"/>
      <c r="N1426" s="1823"/>
    </row>
    <row r="1427" spans="1:14" ht="13">
      <c r="A1427" s="1818" t="s">
        <v>1427</v>
      </c>
      <c r="B1427" s="1819">
        <v>785811.83</v>
      </c>
      <c r="C1427" s="1822">
        <v>0</v>
      </c>
      <c r="D1427" s="365">
        <v>0</v>
      </c>
      <c r="E1427" s="365">
        <v>0</v>
      </c>
      <c r="F1427" s="365">
        <v>0</v>
      </c>
      <c r="G1427" s="365">
        <v>0</v>
      </c>
      <c r="H1427" s="361">
        <v>157162.37</v>
      </c>
      <c r="I1427" s="365">
        <v>0</v>
      </c>
      <c r="J1427" s="365">
        <v>0</v>
      </c>
      <c r="K1427" s="361">
        <v>628649.46</v>
      </c>
      <c r="L1427" s="365"/>
      <c r="M1427" s="365"/>
      <c r="N1427" s="1823"/>
    </row>
    <row r="1428" spans="1:14" ht="13">
      <c r="A1428" s="1818" t="s">
        <v>1412</v>
      </c>
      <c r="B1428" s="1819">
        <v>701988.86</v>
      </c>
      <c r="C1428" s="1822">
        <v>0</v>
      </c>
      <c r="D1428" s="365">
        <v>0</v>
      </c>
      <c r="E1428" s="365">
        <v>0</v>
      </c>
      <c r="F1428" s="365">
        <v>0</v>
      </c>
      <c r="G1428" s="361">
        <v>67005.55</v>
      </c>
      <c r="H1428" s="361">
        <v>40834.639999999999</v>
      </c>
      <c r="I1428" s="361">
        <v>188941.07</v>
      </c>
      <c r="J1428" s="361">
        <v>92005.75</v>
      </c>
      <c r="K1428" s="361">
        <v>313201.84999999998</v>
      </c>
      <c r="L1428" s="365"/>
      <c r="M1428" s="365"/>
      <c r="N1428" s="1823"/>
    </row>
    <row r="1429" spans="1:14" ht="13">
      <c r="A1429" s="1818" t="s">
        <v>1417</v>
      </c>
      <c r="B1429" s="1819">
        <v>577599.51</v>
      </c>
      <c r="C1429" s="1820">
        <v>189233.39</v>
      </c>
      <c r="D1429" s="365">
        <v>0</v>
      </c>
      <c r="E1429" s="365">
        <v>0</v>
      </c>
      <c r="F1429" s="361">
        <v>158089.01</v>
      </c>
      <c r="G1429" s="361">
        <v>93798.75</v>
      </c>
      <c r="H1429" s="361">
        <v>50389.31</v>
      </c>
      <c r="I1429" s="361">
        <v>37669.33</v>
      </c>
      <c r="J1429" s="361">
        <v>48419.72</v>
      </c>
      <c r="K1429" s="365">
        <v>0</v>
      </c>
      <c r="L1429" s="365"/>
      <c r="M1429" s="365"/>
      <c r="N1429" s="1823"/>
    </row>
    <row r="1430" spans="1:14" ht="13">
      <c r="A1430" s="1818" t="s">
        <v>1588</v>
      </c>
      <c r="B1430" s="1819">
        <v>567875.54</v>
      </c>
      <c r="C1430" s="1820">
        <v>193464.65</v>
      </c>
      <c r="D1430" s="361">
        <v>52867.62</v>
      </c>
      <c r="E1430" s="361">
        <v>86273.69</v>
      </c>
      <c r="F1430" s="361">
        <v>103528.29</v>
      </c>
      <c r="G1430" s="361">
        <v>48976.41</v>
      </c>
      <c r="H1430" s="365">
        <v>0</v>
      </c>
      <c r="I1430" s="361">
        <v>82764.88</v>
      </c>
      <c r="J1430" s="365">
        <v>0</v>
      </c>
      <c r="K1430" s="365">
        <v>0</v>
      </c>
      <c r="L1430" s="365"/>
      <c r="M1430" s="365"/>
      <c r="N1430" s="1823"/>
    </row>
    <row r="1431" spans="1:14" ht="13">
      <c r="A1431" s="1818" t="s">
        <v>1482</v>
      </c>
      <c r="B1431" s="1819">
        <v>567146.12</v>
      </c>
      <c r="C1431" s="1820">
        <v>131620.34</v>
      </c>
      <c r="D1431" s="361">
        <v>547093.38</v>
      </c>
      <c r="E1431" s="361">
        <v>-111567.6</v>
      </c>
      <c r="F1431" s="365">
        <v>0</v>
      </c>
      <c r="G1431" s="365">
        <v>0</v>
      </c>
      <c r="H1431" s="365">
        <v>0</v>
      </c>
      <c r="I1431" s="365">
        <v>0</v>
      </c>
      <c r="J1431" s="365">
        <v>0</v>
      </c>
      <c r="K1431" s="365">
        <v>0</v>
      </c>
      <c r="L1431" s="365"/>
      <c r="M1431" s="365"/>
      <c r="N1431" s="1823"/>
    </row>
    <row r="1432" spans="1:14" ht="13">
      <c r="A1432" s="1818" t="s">
        <v>1477</v>
      </c>
      <c r="B1432" s="1819">
        <v>553794.79</v>
      </c>
      <c r="C1432" s="1822">
        <v>0</v>
      </c>
      <c r="D1432" s="361">
        <v>576648.4</v>
      </c>
      <c r="E1432" s="361">
        <v>-22853.61</v>
      </c>
      <c r="F1432" s="365">
        <v>0</v>
      </c>
      <c r="G1432" s="365">
        <v>0</v>
      </c>
      <c r="H1432" s="365">
        <v>0</v>
      </c>
      <c r="I1432" s="365">
        <v>0</v>
      </c>
      <c r="J1432" s="365">
        <v>0</v>
      </c>
      <c r="K1432" s="365">
        <v>0</v>
      </c>
      <c r="L1432" s="365"/>
      <c r="M1432" s="365"/>
      <c r="N1432" s="1823"/>
    </row>
    <row r="1433" spans="1:14" ht="13">
      <c r="A1433" s="1818" t="s">
        <v>1511</v>
      </c>
      <c r="B1433" s="1819">
        <v>544240.42000000004</v>
      </c>
      <c r="C1433" s="1822">
        <v>0</v>
      </c>
      <c r="D1433" s="361">
        <v>191653.66</v>
      </c>
      <c r="E1433" s="365">
        <v>0</v>
      </c>
      <c r="F1433" s="365">
        <v>0</v>
      </c>
      <c r="G1433" s="361">
        <v>70207.78</v>
      </c>
      <c r="H1433" s="361">
        <v>41129.1</v>
      </c>
      <c r="I1433" s="365">
        <v>0</v>
      </c>
      <c r="J1433" s="365">
        <v>0</v>
      </c>
      <c r="K1433" s="361">
        <v>241249.89</v>
      </c>
      <c r="L1433" s="365"/>
      <c r="M1433" s="365"/>
      <c r="N1433" s="1823"/>
    </row>
    <row r="1434" spans="1:14" ht="13">
      <c r="A1434" s="1818" t="s">
        <v>1425</v>
      </c>
      <c r="B1434" s="1819">
        <v>484260.23</v>
      </c>
      <c r="C1434" s="1822">
        <v>0</v>
      </c>
      <c r="D1434" s="365">
        <v>0</v>
      </c>
      <c r="E1434" s="365">
        <v>0</v>
      </c>
      <c r="F1434" s="365">
        <v>0</v>
      </c>
      <c r="G1434" s="361">
        <v>121065</v>
      </c>
      <c r="H1434" s="361">
        <v>363195.23</v>
      </c>
      <c r="I1434" s="365">
        <v>0</v>
      </c>
      <c r="J1434" s="365">
        <v>0</v>
      </c>
      <c r="K1434" s="365">
        <v>0</v>
      </c>
      <c r="L1434" s="365"/>
      <c r="M1434" s="365"/>
      <c r="N1434" s="1823"/>
    </row>
    <row r="1435" spans="1:14" ht="13">
      <c r="A1435" s="1818" t="s">
        <v>1516</v>
      </c>
      <c r="B1435" s="1819">
        <v>466661.52</v>
      </c>
      <c r="C1435" s="1822">
        <v>0</v>
      </c>
      <c r="D1435" s="365">
        <v>0</v>
      </c>
      <c r="E1435" s="361">
        <v>466661.52</v>
      </c>
      <c r="F1435" s="365">
        <v>0</v>
      </c>
      <c r="G1435" s="365">
        <v>0</v>
      </c>
      <c r="H1435" s="365">
        <v>0</v>
      </c>
      <c r="I1435" s="365">
        <v>0</v>
      </c>
      <c r="J1435" s="365">
        <v>0</v>
      </c>
      <c r="K1435" s="365">
        <v>0</v>
      </c>
      <c r="L1435" s="365"/>
      <c r="M1435" s="365"/>
      <c r="N1435" s="1823"/>
    </row>
    <row r="1436" spans="1:14" ht="13">
      <c r="A1436" s="1818" t="s">
        <v>1426</v>
      </c>
      <c r="B1436" s="1819">
        <v>411145.44</v>
      </c>
      <c r="C1436" s="1822">
        <v>0</v>
      </c>
      <c r="D1436" s="365">
        <v>0</v>
      </c>
      <c r="E1436" s="365">
        <v>0</v>
      </c>
      <c r="F1436" s="361">
        <v>411145.44</v>
      </c>
      <c r="G1436" s="365">
        <v>0</v>
      </c>
      <c r="H1436" s="365">
        <v>0</v>
      </c>
      <c r="I1436" s="365">
        <v>0</v>
      </c>
      <c r="J1436" s="365">
        <v>0</v>
      </c>
      <c r="K1436" s="365">
        <v>0</v>
      </c>
      <c r="L1436" s="365"/>
      <c r="M1436" s="365"/>
      <c r="N1436" s="1823"/>
    </row>
    <row r="1437" spans="1:14" ht="13">
      <c r="A1437" s="1818" t="s">
        <v>1589</v>
      </c>
      <c r="B1437" s="1819">
        <v>405463.2</v>
      </c>
      <c r="C1437" s="1820">
        <v>714661.2</v>
      </c>
      <c r="D1437" s="361">
        <v>-309198</v>
      </c>
      <c r="E1437" s="365">
        <v>0</v>
      </c>
      <c r="F1437" s="361">
        <v>177425.2</v>
      </c>
      <c r="G1437" s="361">
        <v>-177425.2</v>
      </c>
      <c r="H1437" s="365">
        <v>0</v>
      </c>
      <c r="I1437" s="365">
        <v>0</v>
      </c>
      <c r="J1437" s="365">
        <v>0</v>
      </c>
      <c r="K1437" s="365">
        <v>0</v>
      </c>
      <c r="L1437" s="365"/>
      <c r="M1437" s="365"/>
      <c r="N1437" s="1823"/>
    </row>
    <row r="1438" spans="1:14" ht="13">
      <c r="A1438" s="1818" t="s">
        <v>1520</v>
      </c>
      <c r="B1438" s="1819">
        <v>369917.56</v>
      </c>
      <c r="C1438" s="1822">
        <v>0</v>
      </c>
      <c r="D1438" s="365">
        <v>0</v>
      </c>
      <c r="E1438" s="361">
        <v>369917.56</v>
      </c>
      <c r="F1438" s="365">
        <v>0</v>
      </c>
      <c r="G1438" s="365">
        <v>0</v>
      </c>
      <c r="H1438" s="365">
        <v>0</v>
      </c>
      <c r="I1438" s="365">
        <v>0</v>
      </c>
      <c r="J1438" s="365">
        <v>0</v>
      </c>
      <c r="K1438" s="365">
        <v>0</v>
      </c>
      <c r="L1438" s="365"/>
      <c r="M1438" s="365"/>
      <c r="N1438" s="1823"/>
    </row>
    <row r="1439" spans="1:14" ht="13">
      <c r="A1439" s="1818" t="s">
        <v>1515</v>
      </c>
      <c r="B1439" s="1819">
        <v>341030.18</v>
      </c>
      <c r="C1439" s="1822">
        <v>0</v>
      </c>
      <c r="D1439" s="361">
        <v>341030.18</v>
      </c>
      <c r="E1439" s="365">
        <v>0</v>
      </c>
      <c r="F1439" s="365">
        <v>0</v>
      </c>
      <c r="G1439" s="365">
        <v>0</v>
      </c>
      <c r="H1439" s="365">
        <v>0</v>
      </c>
      <c r="I1439" s="365">
        <v>0</v>
      </c>
      <c r="J1439" s="365">
        <v>0</v>
      </c>
      <c r="K1439" s="365">
        <v>0</v>
      </c>
      <c r="L1439" s="365"/>
      <c r="M1439" s="365"/>
      <c r="N1439" s="1823"/>
    </row>
    <row r="1440" spans="1:14" ht="13">
      <c r="A1440" s="1818" t="s">
        <v>1771</v>
      </c>
      <c r="B1440" s="1819">
        <v>306221.43</v>
      </c>
      <c r="C1440" s="1822">
        <v>0</v>
      </c>
      <c r="D1440" s="365">
        <v>0</v>
      </c>
      <c r="E1440" s="365">
        <v>0</v>
      </c>
      <c r="F1440" s="365">
        <v>0</v>
      </c>
      <c r="G1440" s="365">
        <v>0</v>
      </c>
      <c r="H1440" s="365">
        <v>0</v>
      </c>
      <c r="I1440" s="365">
        <v>0</v>
      </c>
      <c r="J1440" s="365">
        <v>0</v>
      </c>
      <c r="K1440" s="361">
        <v>306221.43</v>
      </c>
      <c r="L1440" s="365"/>
      <c r="M1440" s="365"/>
      <c r="N1440" s="1823"/>
    </row>
    <row r="1441" spans="1:14" ht="13">
      <c r="A1441" s="1818" t="s">
        <v>1592</v>
      </c>
      <c r="B1441" s="1819">
        <v>285905.96999999997</v>
      </c>
      <c r="C1441" s="1822">
        <v>0</v>
      </c>
      <c r="D1441" s="365">
        <v>0</v>
      </c>
      <c r="E1441" s="365">
        <v>0</v>
      </c>
      <c r="F1441" s="365">
        <v>0</v>
      </c>
      <c r="G1441" s="361">
        <v>285905.96999999997</v>
      </c>
      <c r="H1441" s="365">
        <v>0</v>
      </c>
      <c r="I1441" s="365">
        <v>0</v>
      </c>
      <c r="J1441" s="365">
        <v>0</v>
      </c>
      <c r="K1441" s="365">
        <v>0</v>
      </c>
      <c r="L1441" s="365"/>
      <c r="M1441" s="365"/>
      <c r="N1441" s="1823"/>
    </row>
    <row r="1442" spans="1:14" ht="13">
      <c r="A1442" s="1818" t="s">
        <v>1456</v>
      </c>
      <c r="B1442" s="1819">
        <v>273636.90000000002</v>
      </c>
      <c r="C1442" s="1820">
        <v>273636.90000000002</v>
      </c>
      <c r="D1442" s="365">
        <v>0</v>
      </c>
      <c r="E1442" s="365">
        <v>0</v>
      </c>
      <c r="F1442" s="365">
        <v>0</v>
      </c>
      <c r="G1442" s="365">
        <v>0</v>
      </c>
      <c r="H1442" s="365">
        <v>0</v>
      </c>
      <c r="I1442" s="365">
        <v>0</v>
      </c>
      <c r="J1442" s="365">
        <v>0</v>
      </c>
      <c r="K1442" s="365">
        <v>0</v>
      </c>
      <c r="L1442" s="365"/>
      <c r="M1442" s="365"/>
      <c r="N1442" s="1823"/>
    </row>
    <row r="1443" spans="1:14" ht="13">
      <c r="A1443" s="1818" t="s">
        <v>1583</v>
      </c>
      <c r="B1443" s="1819">
        <v>235541.48</v>
      </c>
      <c r="C1443" s="1822">
        <v>0</v>
      </c>
      <c r="D1443" s="365">
        <v>0</v>
      </c>
      <c r="E1443" s="365">
        <v>0</v>
      </c>
      <c r="F1443" s="365">
        <v>0</v>
      </c>
      <c r="G1443" s="365">
        <v>0</v>
      </c>
      <c r="H1443" s="365">
        <v>0</v>
      </c>
      <c r="I1443" s="365">
        <v>0</v>
      </c>
      <c r="J1443" s="365">
        <v>0</v>
      </c>
      <c r="K1443" s="361">
        <v>235541.48</v>
      </c>
      <c r="L1443" s="365"/>
      <c r="M1443" s="365"/>
      <c r="N1443" s="1823"/>
    </row>
    <row r="1444" spans="1:14" ht="13">
      <c r="A1444" s="1818" t="s">
        <v>1591</v>
      </c>
      <c r="B1444" s="1819">
        <v>232462.07999999999</v>
      </c>
      <c r="C1444" s="1822">
        <v>0</v>
      </c>
      <c r="D1444" s="365">
        <v>0</v>
      </c>
      <c r="E1444" s="365">
        <v>0</v>
      </c>
      <c r="F1444" s="365">
        <v>0</v>
      </c>
      <c r="G1444" s="361">
        <v>96864.61</v>
      </c>
      <c r="H1444" s="365">
        <v>0</v>
      </c>
      <c r="I1444" s="361">
        <v>54108.51</v>
      </c>
      <c r="J1444" s="361">
        <v>116791</v>
      </c>
      <c r="K1444" s="361">
        <v>-35302.04</v>
      </c>
      <c r="L1444" s="365"/>
      <c r="M1444" s="365"/>
      <c r="N1444" s="1823"/>
    </row>
    <row r="1445" spans="1:14" ht="13">
      <c r="A1445" s="1818" t="s">
        <v>1772</v>
      </c>
      <c r="B1445" s="1819">
        <v>220798.38</v>
      </c>
      <c r="C1445" s="1820">
        <v>220798.38</v>
      </c>
      <c r="D1445" s="365">
        <v>0</v>
      </c>
      <c r="E1445" s="365">
        <v>0</v>
      </c>
      <c r="F1445" s="365">
        <v>0</v>
      </c>
      <c r="G1445" s="365">
        <v>0</v>
      </c>
      <c r="H1445" s="365">
        <v>0</v>
      </c>
      <c r="I1445" s="365">
        <v>0</v>
      </c>
      <c r="J1445" s="365">
        <v>0</v>
      </c>
      <c r="K1445" s="365">
        <v>0</v>
      </c>
      <c r="L1445" s="365"/>
      <c r="M1445" s="365"/>
      <c r="N1445" s="1823"/>
    </row>
    <row r="1446" spans="1:14" ht="13">
      <c r="A1446" s="1818" t="s">
        <v>1517</v>
      </c>
      <c r="B1446" s="1819">
        <v>162705.21</v>
      </c>
      <c r="C1446" s="1820">
        <v>28539</v>
      </c>
      <c r="D1446" s="361">
        <v>41765.050000000003</v>
      </c>
      <c r="E1446" s="365">
        <v>0</v>
      </c>
      <c r="F1446" s="361">
        <v>92401.16</v>
      </c>
      <c r="G1446" s="365">
        <v>0</v>
      </c>
      <c r="H1446" s="365">
        <v>0</v>
      </c>
      <c r="I1446" s="365">
        <v>0</v>
      </c>
      <c r="J1446" s="365">
        <v>0</v>
      </c>
      <c r="K1446" s="365">
        <v>0</v>
      </c>
      <c r="L1446" s="365"/>
      <c r="M1446" s="365"/>
      <c r="N1446" s="1823"/>
    </row>
    <row r="1447" spans="1:14" ht="13">
      <c r="A1447" s="1818" t="s">
        <v>1585</v>
      </c>
      <c r="B1447" s="1819">
        <v>82354.44</v>
      </c>
      <c r="C1447" s="1820">
        <v>82354.44</v>
      </c>
      <c r="D1447" s="365">
        <v>0</v>
      </c>
      <c r="E1447" s="365">
        <v>0</v>
      </c>
      <c r="F1447" s="365">
        <v>0</v>
      </c>
      <c r="G1447" s="365">
        <v>0</v>
      </c>
      <c r="H1447" s="365">
        <v>0</v>
      </c>
      <c r="I1447" s="365">
        <v>0</v>
      </c>
      <c r="J1447" s="365">
        <v>0</v>
      </c>
      <c r="K1447" s="365">
        <v>0</v>
      </c>
      <c r="L1447" s="365"/>
      <c r="M1447" s="365"/>
      <c r="N1447" s="1823"/>
    </row>
    <row r="1448" spans="1:14" ht="13">
      <c r="A1448" s="1818" t="s">
        <v>1584</v>
      </c>
      <c r="B1448" s="1819">
        <v>55683.45</v>
      </c>
      <c r="C1448" s="1822">
        <v>0</v>
      </c>
      <c r="D1448" s="365">
        <v>0</v>
      </c>
      <c r="E1448" s="365">
        <v>0</v>
      </c>
      <c r="F1448" s="361">
        <v>55683.45</v>
      </c>
      <c r="G1448" s="365">
        <v>0</v>
      </c>
      <c r="H1448" s="365">
        <v>0</v>
      </c>
      <c r="I1448" s="365">
        <v>0</v>
      </c>
      <c r="J1448" s="365">
        <v>0</v>
      </c>
      <c r="K1448" s="365">
        <v>0</v>
      </c>
      <c r="L1448" s="365"/>
      <c r="M1448" s="365"/>
      <c r="N1448" s="1823"/>
    </row>
    <row r="1449" spans="1:14" ht="13">
      <c r="A1449" s="1818" t="s">
        <v>1474</v>
      </c>
      <c r="B1449" s="1824">
        <v>0</v>
      </c>
      <c r="C1449" s="1822">
        <v>0</v>
      </c>
      <c r="D1449" s="365">
        <v>0</v>
      </c>
      <c r="E1449" s="365">
        <v>0</v>
      </c>
      <c r="F1449" s="365">
        <v>0</v>
      </c>
      <c r="G1449" s="365">
        <v>0</v>
      </c>
      <c r="H1449" s="365">
        <v>0</v>
      </c>
      <c r="I1449" s="365">
        <v>0</v>
      </c>
      <c r="J1449" s="365">
        <v>0</v>
      </c>
      <c r="K1449" s="365">
        <v>0</v>
      </c>
      <c r="L1449" s="365"/>
      <c r="M1449" s="365"/>
      <c r="N1449" s="1823"/>
    </row>
    <row r="1450" spans="1:14" ht="13">
      <c r="A1450" s="1818" t="s">
        <v>1485</v>
      </c>
      <c r="B1450" s="1824">
        <v>0</v>
      </c>
      <c r="C1450" s="1822">
        <v>0</v>
      </c>
      <c r="D1450" s="365">
        <v>0</v>
      </c>
      <c r="E1450" s="365">
        <v>0</v>
      </c>
      <c r="F1450" s="365">
        <v>0</v>
      </c>
      <c r="G1450" s="365">
        <v>0</v>
      </c>
      <c r="H1450" s="365">
        <v>0</v>
      </c>
      <c r="I1450" s="365">
        <v>0</v>
      </c>
      <c r="J1450" s="365">
        <v>0</v>
      </c>
      <c r="K1450" s="365">
        <v>0</v>
      </c>
      <c r="L1450" s="365"/>
      <c r="M1450" s="365"/>
      <c r="N1450" s="1823"/>
    </row>
    <row r="1451" spans="1:14" ht="13">
      <c r="A1451" s="1818"/>
      <c r="B1451" s="1824"/>
      <c r="C1451" s="1822"/>
      <c r="D1451" s="365"/>
      <c r="E1451" s="365"/>
      <c r="F1451" s="365"/>
      <c r="G1451" s="365"/>
      <c r="H1451" s="365"/>
      <c r="I1451" s="365"/>
      <c r="J1451" s="365"/>
      <c r="K1451" s="365"/>
      <c r="L1451" s="365"/>
      <c r="M1451" s="365"/>
      <c r="N1451" s="1823"/>
    </row>
    <row r="1452" spans="1:14" ht="13">
      <c r="A1452" s="1818"/>
      <c r="B1452" s="1824"/>
      <c r="C1452" s="1822"/>
      <c r="D1452" s="365"/>
      <c r="E1452" s="365"/>
      <c r="F1452" s="365"/>
      <c r="G1452" s="365"/>
      <c r="H1452" s="365"/>
      <c r="I1452" s="365"/>
      <c r="J1452" s="365"/>
      <c r="K1452" s="365"/>
      <c r="L1452" s="365"/>
      <c r="M1452" s="365"/>
      <c r="N1452" s="1823"/>
    </row>
    <row r="1453" spans="1:14" ht="13">
      <c r="A1453" s="1818"/>
      <c r="B1453" s="1824"/>
      <c r="C1453" s="1822"/>
      <c r="D1453" s="365"/>
      <c r="E1453" s="365"/>
      <c r="F1453" s="365"/>
      <c r="G1453" s="365"/>
      <c r="H1453" s="365"/>
      <c r="I1453" s="365"/>
      <c r="J1453" s="365"/>
      <c r="K1453" s="365"/>
      <c r="L1453" s="365"/>
      <c r="M1453" s="365"/>
      <c r="N1453" s="1823"/>
    </row>
    <row r="1454" spans="1:14" ht="13">
      <c r="A1454" s="1818"/>
      <c r="B1454" s="1824"/>
      <c r="C1454" s="1822"/>
      <c r="D1454" s="365"/>
      <c r="E1454" s="365"/>
      <c r="F1454" s="365"/>
      <c r="G1454" s="365"/>
      <c r="H1454" s="365"/>
      <c r="I1454" s="365"/>
      <c r="J1454" s="365"/>
      <c r="K1454" s="365"/>
      <c r="L1454" s="365"/>
      <c r="M1454" s="365"/>
      <c r="N1454" s="1823"/>
    </row>
    <row r="1455" spans="1:14" ht="13">
      <c r="A1455" s="1818"/>
      <c r="B1455" s="1824"/>
      <c r="C1455" s="1822"/>
      <c r="D1455" s="365"/>
      <c r="E1455" s="365"/>
      <c r="F1455" s="365"/>
      <c r="G1455" s="365"/>
      <c r="H1455" s="365"/>
      <c r="I1455" s="365"/>
      <c r="J1455" s="365"/>
      <c r="K1455" s="365"/>
      <c r="L1455" s="365"/>
      <c r="M1455" s="365"/>
      <c r="N1455" s="1823"/>
    </row>
    <row r="1456" spans="1:14" ht="13">
      <c r="A1456" s="1818"/>
      <c r="B1456" s="1824"/>
      <c r="C1456" s="1822"/>
      <c r="D1456" s="365"/>
      <c r="E1456" s="365"/>
      <c r="F1456" s="365"/>
      <c r="G1456" s="365"/>
      <c r="H1456" s="365"/>
      <c r="I1456" s="365"/>
      <c r="J1456" s="365"/>
      <c r="K1456" s="365"/>
      <c r="L1456" s="365"/>
      <c r="M1456" s="365"/>
      <c r="N1456" s="1823"/>
    </row>
    <row r="1457" spans="1:15" ht="13">
      <c r="A1457" s="1818"/>
      <c r="B1457" s="1824"/>
      <c r="C1457" s="1822"/>
      <c r="D1457" s="365"/>
      <c r="E1457" s="365"/>
      <c r="F1457" s="365"/>
      <c r="G1457" s="365"/>
      <c r="H1457" s="365"/>
      <c r="I1457" s="365"/>
      <c r="J1457" s="365"/>
      <c r="K1457" s="365"/>
      <c r="L1457" s="365"/>
      <c r="M1457" s="365"/>
      <c r="N1457" s="1823"/>
    </row>
    <row r="1458" spans="1:15" ht="13">
      <c r="A1458" s="1818"/>
      <c r="B1458" s="1824"/>
      <c r="C1458" s="1822"/>
      <c r="D1458" s="365"/>
      <c r="E1458" s="365"/>
      <c r="F1458" s="365"/>
      <c r="G1458" s="365"/>
      <c r="H1458" s="365"/>
      <c r="I1458" s="365"/>
      <c r="J1458" s="365"/>
      <c r="K1458" s="365"/>
      <c r="L1458" s="365"/>
      <c r="M1458" s="365"/>
      <c r="N1458" s="1823"/>
    </row>
    <row r="1459" spans="1:15" ht="13">
      <c r="A1459" s="1818"/>
      <c r="B1459" s="1824"/>
      <c r="C1459" s="1822"/>
      <c r="D1459" s="365"/>
      <c r="E1459" s="365"/>
      <c r="F1459" s="365"/>
      <c r="G1459" s="365"/>
      <c r="H1459" s="365"/>
      <c r="I1459" s="365"/>
      <c r="J1459" s="365"/>
      <c r="K1459" s="365"/>
      <c r="L1459" s="365"/>
      <c r="M1459" s="365"/>
      <c r="N1459" s="1823"/>
    </row>
    <row r="1460" spans="1:15" ht="13">
      <c r="A1460" s="1818"/>
      <c r="B1460" s="1824"/>
      <c r="C1460" s="1822"/>
      <c r="D1460" s="365"/>
      <c r="E1460" s="365"/>
      <c r="F1460" s="365"/>
      <c r="G1460" s="365"/>
      <c r="H1460" s="365"/>
      <c r="I1460" s="365"/>
      <c r="J1460" s="365"/>
      <c r="K1460" s="365"/>
      <c r="L1460" s="365"/>
      <c r="M1460" s="365"/>
      <c r="N1460" s="1823"/>
    </row>
    <row r="1461" spans="1:15" ht="13">
      <c r="A1461" s="1818"/>
      <c r="B1461" s="1824"/>
      <c r="C1461" s="1822"/>
      <c r="D1461" s="365"/>
      <c r="E1461" s="365"/>
      <c r="F1461" s="365"/>
      <c r="G1461" s="365"/>
      <c r="H1461" s="365"/>
      <c r="I1461" s="365"/>
      <c r="J1461" s="365"/>
      <c r="K1461" s="365"/>
      <c r="L1461" s="365"/>
      <c r="M1461" s="365"/>
      <c r="N1461" s="1823"/>
    </row>
    <row r="1462" spans="1:15" ht="13">
      <c r="A1462" s="1818"/>
      <c r="B1462" s="1824"/>
      <c r="C1462" s="1822"/>
      <c r="D1462" s="365"/>
      <c r="E1462" s="365"/>
      <c r="F1462" s="365"/>
      <c r="G1462" s="365"/>
      <c r="H1462" s="365"/>
      <c r="I1462" s="365"/>
      <c r="J1462" s="365"/>
      <c r="K1462" s="365"/>
      <c r="L1462" s="365"/>
      <c r="M1462" s="365"/>
      <c r="N1462" s="1823"/>
    </row>
    <row r="1463" spans="1:15" ht="13">
      <c r="A1463" s="1818"/>
      <c r="B1463" s="1824"/>
      <c r="C1463" s="1822"/>
      <c r="D1463" s="365"/>
      <c r="E1463" s="365"/>
      <c r="F1463" s="365"/>
      <c r="G1463" s="365"/>
      <c r="H1463" s="365"/>
      <c r="I1463" s="365"/>
      <c r="J1463" s="365"/>
      <c r="K1463" s="365"/>
      <c r="L1463" s="365"/>
      <c r="M1463" s="365"/>
      <c r="N1463" s="1823"/>
    </row>
    <row r="1464" spans="1:15" ht="13">
      <c r="A1464" s="1818"/>
      <c r="B1464" s="1824"/>
      <c r="C1464" s="1822"/>
      <c r="D1464" s="365"/>
      <c r="E1464" s="365"/>
      <c r="F1464" s="365"/>
      <c r="G1464" s="365"/>
      <c r="H1464" s="365"/>
      <c r="I1464" s="365"/>
      <c r="J1464" s="365"/>
      <c r="K1464" s="365"/>
      <c r="L1464" s="365"/>
      <c r="M1464" s="365"/>
      <c r="N1464" s="1823"/>
    </row>
    <row r="1465" spans="1:15" ht="13">
      <c r="A1465" s="1836"/>
      <c r="B1465" s="1837"/>
      <c r="C1465" s="1838"/>
      <c r="D1465" s="1839"/>
      <c r="E1465" s="1839"/>
      <c r="F1465" s="1839"/>
      <c r="G1465" s="1839"/>
      <c r="H1465" s="1839"/>
      <c r="I1465" s="1839"/>
      <c r="J1465" s="1839"/>
      <c r="K1465" s="1839"/>
      <c r="L1465" s="1839"/>
      <c r="M1465" s="1839"/>
      <c r="N1465" s="1840"/>
    </row>
    <row r="1466" spans="1:15" ht="13">
      <c r="A1466" s="359"/>
      <c r="B1466" s="1824"/>
      <c r="C1466" s="1822"/>
      <c r="D1466" s="365"/>
      <c r="E1466" s="365"/>
      <c r="F1466" s="365"/>
      <c r="G1466" s="365"/>
      <c r="H1466" s="365"/>
      <c r="I1466" s="365"/>
      <c r="J1466" s="365"/>
      <c r="K1466" s="365"/>
      <c r="L1466" s="365"/>
      <c r="M1466" s="365"/>
      <c r="N1466" s="365"/>
    </row>
    <row r="1467" spans="1:15" ht="13">
      <c r="A1467" s="359"/>
      <c r="B1467" s="1824"/>
      <c r="C1467" s="1822"/>
      <c r="D1467" s="365"/>
      <c r="E1467" s="365"/>
      <c r="F1467" s="365"/>
      <c r="G1467" s="365"/>
      <c r="H1467" s="365"/>
      <c r="I1467" s="365"/>
      <c r="J1467" s="365"/>
      <c r="K1467" s="365"/>
      <c r="L1467" s="365"/>
      <c r="M1467" s="365"/>
      <c r="N1467" s="365"/>
    </row>
    <row r="1468" spans="1:15" ht="13">
      <c r="A1468" s="359"/>
      <c r="B1468" s="1824"/>
      <c r="C1468" s="1822"/>
      <c r="D1468" s="365"/>
      <c r="E1468" s="365"/>
      <c r="F1468" s="365"/>
      <c r="G1468" s="365"/>
      <c r="H1468" s="365"/>
      <c r="I1468" s="365"/>
      <c r="J1468" s="365"/>
      <c r="K1468" s="365"/>
      <c r="L1468" s="365"/>
      <c r="M1468" s="365"/>
      <c r="N1468" s="365"/>
    </row>
    <row r="1469" spans="1:15" ht="13">
      <c r="A1469" s="359"/>
      <c r="B1469" s="1824"/>
      <c r="C1469" s="1822"/>
      <c r="D1469" s="365"/>
      <c r="E1469" s="365"/>
      <c r="F1469" s="365"/>
      <c r="G1469" s="365"/>
      <c r="H1469" s="365"/>
      <c r="I1469" s="365"/>
      <c r="J1469" s="365"/>
      <c r="K1469" s="365"/>
      <c r="L1469" s="365"/>
      <c r="M1469" s="365"/>
      <c r="N1469" s="365"/>
    </row>
    <row r="1470" spans="1:15" ht="13">
      <c r="A1470" s="359"/>
      <c r="B1470" s="1824"/>
      <c r="C1470" s="1822" t="s">
        <v>241</v>
      </c>
      <c r="D1470" s="1849">
        <v>45292</v>
      </c>
      <c r="E1470" s="1849">
        <v>45323</v>
      </c>
      <c r="F1470" s="1849">
        <v>45352</v>
      </c>
      <c r="G1470" s="1849">
        <v>45383</v>
      </c>
      <c r="H1470" s="1849">
        <v>45413</v>
      </c>
      <c r="I1470" s="1849">
        <v>45444</v>
      </c>
      <c r="J1470" s="1849">
        <v>45474</v>
      </c>
      <c r="K1470" s="1849">
        <v>45505</v>
      </c>
      <c r="L1470" s="1849">
        <v>45536</v>
      </c>
      <c r="M1470" s="1850">
        <v>45566</v>
      </c>
      <c r="N1470" s="1850">
        <v>45597</v>
      </c>
      <c r="O1470" s="364">
        <v>45627</v>
      </c>
    </row>
    <row r="1471" spans="1:15" ht="13">
      <c r="A1471" s="359" t="s">
        <v>1773</v>
      </c>
      <c r="B1471" s="1824"/>
      <c r="C1471" s="1820">
        <v>1520254497.5</v>
      </c>
      <c r="D1471" s="361">
        <v>101996007.63</v>
      </c>
      <c r="E1471" s="361">
        <v>104896447.51000001</v>
      </c>
      <c r="F1471" s="361">
        <v>87226283.430000007</v>
      </c>
      <c r="G1471" s="361">
        <v>87654095.079999998</v>
      </c>
      <c r="H1471" s="361">
        <v>110578632.09999999</v>
      </c>
      <c r="I1471" s="361">
        <v>113866115.78</v>
      </c>
      <c r="J1471" s="361">
        <v>136093640.61000001</v>
      </c>
      <c r="K1471" s="361">
        <v>117994793.28</v>
      </c>
      <c r="L1471" s="361">
        <v>121521375.48999999</v>
      </c>
      <c r="M1471" s="361">
        <v>173106067.65000001</v>
      </c>
      <c r="N1471" s="361">
        <v>182393244.88</v>
      </c>
      <c r="O1471" s="352">
        <v>182927794.06999999</v>
      </c>
    </row>
    <row r="1472" spans="1:15" ht="13">
      <c r="A1472" s="359">
        <v>19</v>
      </c>
      <c r="B1472" s="1824" t="s">
        <v>1307</v>
      </c>
      <c r="C1472" s="1820">
        <v>13712316.1</v>
      </c>
      <c r="D1472" s="361">
        <v>311334.03000000003</v>
      </c>
      <c r="E1472" s="361">
        <v>1693146.99</v>
      </c>
      <c r="F1472" s="361">
        <v>177984.79</v>
      </c>
      <c r="G1472" s="365">
        <v>0</v>
      </c>
      <c r="H1472" s="365">
        <v>0</v>
      </c>
      <c r="I1472" s="361">
        <v>619232.91</v>
      </c>
      <c r="J1472" s="361">
        <v>2241382.4500000002</v>
      </c>
      <c r="K1472" s="361">
        <v>497395.57</v>
      </c>
      <c r="L1472" s="365">
        <v>0</v>
      </c>
      <c r="M1472" s="365">
        <v>0</v>
      </c>
      <c r="N1472" s="361">
        <v>8171839.3600000003</v>
      </c>
      <c r="O1472" s="302">
        <v>0</v>
      </c>
    </row>
    <row r="1473" spans="1:15" ht="13">
      <c r="A1473" s="359"/>
      <c r="B1473" s="1824" t="s">
        <v>1756</v>
      </c>
      <c r="C1473" s="1820">
        <v>1659019.12</v>
      </c>
      <c r="D1473" s="361">
        <v>1659019.12</v>
      </c>
      <c r="E1473" s="365">
        <v>0</v>
      </c>
      <c r="F1473" s="365">
        <v>0</v>
      </c>
      <c r="G1473" s="365">
        <v>0</v>
      </c>
      <c r="H1473" s="365">
        <v>0</v>
      </c>
      <c r="I1473" s="365">
        <v>0</v>
      </c>
      <c r="J1473" s="365">
        <v>0</v>
      </c>
      <c r="K1473" s="365">
        <v>0</v>
      </c>
      <c r="L1473" s="365">
        <v>0</v>
      </c>
      <c r="M1473" s="365">
        <v>0</v>
      </c>
      <c r="N1473" s="365">
        <v>0</v>
      </c>
      <c r="O1473" s="302">
        <v>0</v>
      </c>
    </row>
    <row r="1474" spans="1:15" ht="13">
      <c r="A1474" s="359"/>
      <c r="B1474" s="1824" t="s">
        <v>1325</v>
      </c>
      <c r="C1474" s="1820">
        <v>39031673.770000003</v>
      </c>
      <c r="D1474" s="361">
        <v>189589.49</v>
      </c>
      <c r="E1474" s="361">
        <v>214682.42</v>
      </c>
      <c r="F1474" s="361">
        <v>250064.66</v>
      </c>
      <c r="G1474" s="361">
        <v>4436080.8099999996</v>
      </c>
      <c r="H1474" s="361">
        <v>396893.84</v>
      </c>
      <c r="I1474" s="361">
        <v>1138832.96</v>
      </c>
      <c r="J1474" s="361">
        <v>259319.02</v>
      </c>
      <c r="K1474" s="361">
        <v>758328.57</v>
      </c>
      <c r="L1474" s="361">
        <v>11553398.300000001</v>
      </c>
      <c r="M1474" s="361">
        <v>11235464.880000001</v>
      </c>
      <c r="N1474" s="361">
        <v>743400.95999999996</v>
      </c>
      <c r="O1474" s="352">
        <v>7855617.8600000003</v>
      </c>
    </row>
    <row r="1475" spans="1:15" ht="13">
      <c r="A1475" s="359"/>
      <c r="B1475" s="1824" t="s">
        <v>1774</v>
      </c>
      <c r="C1475" s="1820">
        <v>4357239.26</v>
      </c>
      <c r="D1475" s="361">
        <v>232694.77</v>
      </c>
      <c r="E1475" s="361">
        <v>275772.33</v>
      </c>
      <c r="F1475" s="361">
        <v>223617.08</v>
      </c>
      <c r="G1475" s="361">
        <v>299490.58</v>
      </c>
      <c r="H1475" s="361">
        <v>202399.07</v>
      </c>
      <c r="I1475" s="361">
        <v>365895</v>
      </c>
      <c r="J1475" s="361">
        <v>308022.46000000002</v>
      </c>
      <c r="K1475" s="361">
        <v>291104.44</v>
      </c>
      <c r="L1475" s="361">
        <v>450868.63</v>
      </c>
      <c r="M1475" s="361">
        <v>530048.11</v>
      </c>
      <c r="N1475" s="361">
        <v>504332.14</v>
      </c>
      <c r="O1475" s="352">
        <v>672994.65</v>
      </c>
    </row>
    <row r="1476" spans="1:15" ht="13">
      <c r="A1476" s="359"/>
      <c r="B1476" s="1824" t="s">
        <v>1382</v>
      </c>
      <c r="C1476" s="1820">
        <v>5501342.9299999997</v>
      </c>
      <c r="D1476" s="361">
        <v>5051.6499999999996</v>
      </c>
      <c r="E1476" s="361">
        <v>850759.84</v>
      </c>
      <c r="F1476" s="365">
        <v>0</v>
      </c>
      <c r="G1476" s="361">
        <v>1118080.3600000001</v>
      </c>
      <c r="H1476" s="365">
        <v>0</v>
      </c>
      <c r="I1476" s="361">
        <v>55428.7</v>
      </c>
      <c r="J1476" s="361">
        <v>328776.95</v>
      </c>
      <c r="K1476" s="361">
        <v>1137995.8500000001</v>
      </c>
      <c r="L1476" s="365">
        <v>0</v>
      </c>
      <c r="M1476" s="365">
        <v>0</v>
      </c>
      <c r="N1476" s="365">
        <v>0</v>
      </c>
      <c r="O1476" s="352">
        <v>2005249.59</v>
      </c>
    </row>
    <row r="1477" spans="1:15" ht="13">
      <c r="A1477" s="359"/>
      <c r="B1477" s="1824" t="s">
        <v>1343</v>
      </c>
      <c r="C1477" s="1820">
        <v>11211893.59</v>
      </c>
      <c r="D1477" s="365">
        <v>0</v>
      </c>
      <c r="E1477" s="365">
        <v>0</v>
      </c>
      <c r="F1477" s="365">
        <v>0</v>
      </c>
      <c r="G1477" s="365">
        <v>0</v>
      </c>
      <c r="H1477" s="365">
        <v>0</v>
      </c>
      <c r="I1477" s="361">
        <v>11138143.77</v>
      </c>
      <c r="J1477" s="365">
        <v>0</v>
      </c>
      <c r="K1477" s="361">
        <v>65180.7</v>
      </c>
      <c r="L1477" s="361">
        <v>8569.1299999999992</v>
      </c>
      <c r="M1477" s="365">
        <v>0</v>
      </c>
      <c r="N1477" s="365">
        <v>0</v>
      </c>
      <c r="O1477" s="302">
        <v>0</v>
      </c>
    </row>
    <row r="1478" spans="1:15" ht="13">
      <c r="A1478" s="359"/>
      <c r="B1478" s="1824" t="s">
        <v>1775</v>
      </c>
      <c r="C1478" s="1820">
        <v>8539193.2599999998</v>
      </c>
      <c r="D1478" s="361">
        <v>649443.81999999995</v>
      </c>
      <c r="E1478" s="361">
        <v>585360.85</v>
      </c>
      <c r="F1478" s="361">
        <v>2329399.9500000002</v>
      </c>
      <c r="G1478" s="361">
        <v>474921.51</v>
      </c>
      <c r="H1478" s="361">
        <v>244628.35</v>
      </c>
      <c r="I1478" s="361">
        <v>448748.82</v>
      </c>
      <c r="J1478" s="361">
        <v>477132.21</v>
      </c>
      <c r="K1478" s="361">
        <v>912695.92</v>
      </c>
      <c r="L1478" s="365">
        <v>0</v>
      </c>
      <c r="M1478" s="365">
        <v>0</v>
      </c>
      <c r="N1478" s="361">
        <v>914244.31</v>
      </c>
      <c r="O1478" s="352">
        <v>1502617.5</v>
      </c>
    </row>
    <row r="1479" spans="1:15" ht="13">
      <c r="A1479" s="359"/>
      <c r="B1479" s="1824" t="s">
        <v>1354</v>
      </c>
      <c r="C1479" s="1820">
        <v>1720403.94</v>
      </c>
      <c r="D1479" s="365">
        <v>0</v>
      </c>
      <c r="E1479" s="361">
        <v>89194.79</v>
      </c>
      <c r="F1479" s="361">
        <v>160338.16</v>
      </c>
      <c r="G1479" s="365">
        <v>0</v>
      </c>
      <c r="H1479" s="365">
        <v>0</v>
      </c>
      <c r="I1479" s="365">
        <v>0</v>
      </c>
      <c r="J1479" s="361">
        <v>45269.52</v>
      </c>
      <c r="K1479" s="361">
        <v>103591.8</v>
      </c>
      <c r="L1479" s="361">
        <v>908268.7</v>
      </c>
      <c r="M1479" s="361">
        <v>81431.3</v>
      </c>
      <c r="N1479" s="361">
        <v>130707.48</v>
      </c>
      <c r="O1479" s="352">
        <v>201602.2</v>
      </c>
    </row>
    <row r="1480" spans="1:15" ht="13">
      <c r="A1480" s="359"/>
      <c r="B1480" s="1824" t="s">
        <v>1759</v>
      </c>
      <c r="C1480" s="1820">
        <v>1362862.66</v>
      </c>
      <c r="D1480" s="361">
        <v>39798.550000000003</v>
      </c>
      <c r="E1480" s="365">
        <v>0</v>
      </c>
      <c r="F1480" s="361">
        <v>70897.88</v>
      </c>
      <c r="G1480" s="365">
        <v>0</v>
      </c>
      <c r="H1480" s="365">
        <v>0</v>
      </c>
      <c r="I1480" s="365">
        <v>0</v>
      </c>
      <c r="J1480" s="361">
        <v>147059.46</v>
      </c>
      <c r="K1480" s="361">
        <v>153256.37</v>
      </c>
      <c r="L1480" s="365">
        <v>0</v>
      </c>
      <c r="M1480" s="361">
        <v>449552.02</v>
      </c>
      <c r="N1480" s="365">
        <v>0</v>
      </c>
      <c r="O1480" s="352">
        <v>502298.39</v>
      </c>
    </row>
    <row r="1481" spans="1:15" ht="13">
      <c r="A1481" s="359"/>
      <c r="B1481" s="1824" t="s">
        <v>1762</v>
      </c>
      <c r="C1481" s="1820">
        <v>689955.54</v>
      </c>
      <c r="D1481" s="361">
        <v>26082.080000000002</v>
      </c>
      <c r="E1481" s="361">
        <v>68140.240000000005</v>
      </c>
      <c r="F1481" s="361">
        <v>224273.14</v>
      </c>
      <c r="G1481" s="365">
        <v>0</v>
      </c>
      <c r="H1481" s="361">
        <v>371460.07</v>
      </c>
      <c r="I1481" s="365">
        <v>0</v>
      </c>
      <c r="J1481" s="365">
        <v>0</v>
      </c>
      <c r="K1481" s="365">
        <v>0</v>
      </c>
      <c r="L1481" s="365">
        <v>0</v>
      </c>
      <c r="M1481" s="365">
        <v>0</v>
      </c>
      <c r="N1481" s="365">
        <v>0</v>
      </c>
      <c r="O1481" s="302">
        <v>0</v>
      </c>
    </row>
    <row r="1482" spans="1:15" ht="13">
      <c r="A1482" s="359"/>
      <c r="B1482" s="1824" t="s">
        <v>1335</v>
      </c>
      <c r="C1482" s="1820">
        <v>1022237.97</v>
      </c>
      <c r="D1482" s="361">
        <v>37394.26</v>
      </c>
      <c r="E1482" s="361">
        <v>77312.94</v>
      </c>
      <c r="F1482" s="361">
        <v>46474.879999999997</v>
      </c>
      <c r="G1482" s="361">
        <v>91715.34</v>
      </c>
      <c r="H1482" s="361">
        <v>275080.40999999997</v>
      </c>
      <c r="I1482" s="361">
        <v>91090.57</v>
      </c>
      <c r="J1482" s="361">
        <v>69050.11</v>
      </c>
      <c r="K1482" s="361">
        <v>113273.02</v>
      </c>
      <c r="L1482" s="365">
        <v>0</v>
      </c>
      <c r="M1482" s="361">
        <v>139779.85999999999</v>
      </c>
      <c r="N1482" s="365">
        <v>0</v>
      </c>
      <c r="O1482" s="352">
        <v>81066.59</v>
      </c>
    </row>
    <row r="1483" spans="1:15" ht="13">
      <c r="A1483" s="359"/>
      <c r="B1483" s="1824" t="s">
        <v>1629</v>
      </c>
      <c r="C1483" s="1820">
        <v>6728471.6600000001</v>
      </c>
      <c r="D1483" s="361">
        <v>698124.27</v>
      </c>
      <c r="E1483" s="365">
        <v>0</v>
      </c>
      <c r="F1483" s="361">
        <v>633468.28</v>
      </c>
      <c r="G1483" s="361">
        <v>658055.74</v>
      </c>
      <c r="H1483" s="361">
        <v>873883.45</v>
      </c>
      <c r="I1483" s="361">
        <v>627976.26</v>
      </c>
      <c r="J1483" s="361">
        <v>729242.73</v>
      </c>
      <c r="K1483" s="361">
        <v>731764.83</v>
      </c>
      <c r="L1483" s="365">
        <v>0</v>
      </c>
      <c r="M1483" s="361">
        <v>346302.41</v>
      </c>
      <c r="N1483" s="361">
        <v>1012070.45</v>
      </c>
      <c r="O1483" s="352">
        <v>417583.24</v>
      </c>
    </row>
    <row r="1484" spans="1:15" ht="13">
      <c r="A1484" s="359"/>
      <c r="B1484" s="1824" t="s">
        <v>1299</v>
      </c>
      <c r="C1484" s="1820">
        <v>2430056.5099999998</v>
      </c>
      <c r="D1484" s="361">
        <v>261852.61</v>
      </c>
      <c r="E1484" s="361">
        <v>279180.77</v>
      </c>
      <c r="F1484" s="361">
        <v>398134.06</v>
      </c>
      <c r="G1484" s="361">
        <v>144335.41</v>
      </c>
      <c r="H1484" s="361">
        <v>300343.40000000002</v>
      </c>
      <c r="I1484" s="361">
        <v>111618.87</v>
      </c>
      <c r="J1484" s="361">
        <v>57157.38</v>
      </c>
      <c r="K1484" s="361">
        <v>318124.11</v>
      </c>
      <c r="L1484" s="365">
        <v>0</v>
      </c>
      <c r="M1484" s="365">
        <v>0</v>
      </c>
      <c r="N1484" s="361">
        <v>166471.29</v>
      </c>
      <c r="O1484" s="352">
        <v>392838.62</v>
      </c>
    </row>
    <row r="1485" spans="1:15" ht="13">
      <c r="A1485" s="359"/>
      <c r="B1485" s="1824" t="s">
        <v>1389</v>
      </c>
      <c r="C1485" s="1820">
        <v>1985521.26</v>
      </c>
      <c r="D1485" s="361">
        <v>331885.31</v>
      </c>
      <c r="E1485" s="361">
        <v>98991.28</v>
      </c>
      <c r="F1485" s="361">
        <v>191902.96</v>
      </c>
      <c r="G1485" s="361">
        <v>55647.56</v>
      </c>
      <c r="H1485" s="361">
        <v>433818.4</v>
      </c>
      <c r="I1485" s="361">
        <v>135964.85</v>
      </c>
      <c r="J1485" s="361">
        <v>103280.96000000001</v>
      </c>
      <c r="K1485" s="365">
        <v>0</v>
      </c>
      <c r="L1485" s="361">
        <v>223417.58</v>
      </c>
      <c r="M1485" s="365">
        <v>0</v>
      </c>
      <c r="N1485" s="361">
        <v>120043.36</v>
      </c>
      <c r="O1485" s="352">
        <v>290569</v>
      </c>
    </row>
    <row r="1486" spans="1:15" ht="13">
      <c r="A1486" s="359"/>
      <c r="B1486" s="1824" t="s">
        <v>1300</v>
      </c>
      <c r="C1486" s="1820">
        <v>6689250.2699999996</v>
      </c>
      <c r="D1486" s="361">
        <v>223455.54</v>
      </c>
      <c r="E1486" s="361">
        <v>323178.78000000003</v>
      </c>
      <c r="F1486" s="361">
        <v>666222.9</v>
      </c>
      <c r="G1486" s="361">
        <v>390719.49</v>
      </c>
      <c r="H1486" s="361">
        <v>454529.63</v>
      </c>
      <c r="I1486" s="361">
        <v>463970</v>
      </c>
      <c r="J1486" s="361">
        <v>439181.4</v>
      </c>
      <c r="K1486" s="361">
        <v>351068.54</v>
      </c>
      <c r="L1486" s="361">
        <v>563880.75</v>
      </c>
      <c r="M1486" s="361">
        <v>1175549.02</v>
      </c>
      <c r="N1486" s="361">
        <v>595391.81999999995</v>
      </c>
      <c r="O1486" s="352">
        <v>1042102.4</v>
      </c>
    </row>
    <row r="1487" spans="1:15" ht="13">
      <c r="A1487" s="359"/>
      <c r="B1487" s="1824" t="s">
        <v>1272</v>
      </c>
      <c r="C1487" s="1820">
        <v>7578489.9100000001</v>
      </c>
      <c r="D1487" s="361">
        <v>795548.46</v>
      </c>
      <c r="E1487" s="361">
        <v>194530.58</v>
      </c>
      <c r="F1487" s="361">
        <v>875808.84</v>
      </c>
      <c r="G1487" s="361">
        <v>486101.83</v>
      </c>
      <c r="H1487" s="361">
        <v>619012.04</v>
      </c>
      <c r="I1487" s="361">
        <v>191693.62</v>
      </c>
      <c r="J1487" s="361">
        <v>458142.63</v>
      </c>
      <c r="K1487" s="361">
        <v>1220753.1000000001</v>
      </c>
      <c r="L1487" s="361">
        <v>861921.58</v>
      </c>
      <c r="M1487" s="361">
        <v>947452.16</v>
      </c>
      <c r="N1487" s="361">
        <v>703612.41</v>
      </c>
      <c r="O1487" s="352">
        <v>223912.65</v>
      </c>
    </row>
    <row r="1488" spans="1:15" ht="13">
      <c r="A1488" s="359"/>
      <c r="B1488" s="1824" t="s">
        <v>1306</v>
      </c>
      <c r="C1488" s="1820">
        <v>6987280.3700000001</v>
      </c>
      <c r="D1488" s="361">
        <v>173623.26</v>
      </c>
      <c r="E1488" s="361">
        <v>922913.52</v>
      </c>
      <c r="F1488" s="361">
        <v>812500.13</v>
      </c>
      <c r="G1488" s="361">
        <v>402661.88</v>
      </c>
      <c r="H1488" s="361">
        <v>976879.23</v>
      </c>
      <c r="I1488" s="361">
        <v>621330.68999999994</v>
      </c>
      <c r="J1488" s="365">
        <v>0</v>
      </c>
      <c r="K1488" s="365">
        <v>0</v>
      </c>
      <c r="L1488" s="361">
        <v>419227.04</v>
      </c>
      <c r="M1488" s="361">
        <v>692382.36</v>
      </c>
      <c r="N1488" s="361">
        <v>1066313.67</v>
      </c>
      <c r="O1488" s="352">
        <v>899448.58</v>
      </c>
    </row>
    <row r="1489" spans="1:15" ht="13">
      <c r="A1489" s="359"/>
      <c r="B1489" s="1824" t="s">
        <v>1271</v>
      </c>
      <c r="C1489" s="1820">
        <v>24574160.789999999</v>
      </c>
      <c r="D1489" s="361">
        <v>1220645.6299999999</v>
      </c>
      <c r="E1489" s="361">
        <v>1279730.48</v>
      </c>
      <c r="F1489" s="361">
        <v>1583849.84</v>
      </c>
      <c r="G1489" s="361">
        <v>1854237.28</v>
      </c>
      <c r="H1489" s="361">
        <v>3275588.71</v>
      </c>
      <c r="I1489" s="361">
        <v>3123805.51</v>
      </c>
      <c r="J1489" s="361">
        <v>3415165.63</v>
      </c>
      <c r="K1489" s="361">
        <v>2659548.15</v>
      </c>
      <c r="L1489" s="361">
        <v>1651567.38</v>
      </c>
      <c r="M1489" s="361">
        <v>1989411.6</v>
      </c>
      <c r="N1489" s="361">
        <v>1030618.32</v>
      </c>
      <c r="O1489" s="352">
        <v>1489992.27</v>
      </c>
    </row>
    <row r="1490" spans="1:15" ht="13">
      <c r="A1490" s="359"/>
      <c r="B1490" s="1824" t="s">
        <v>1280</v>
      </c>
      <c r="C1490" s="1820">
        <v>17083815.43</v>
      </c>
      <c r="D1490" s="361">
        <v>1751578.37</v>
      </c>
      <c r="E1490" s="361">
        <v>3883951.88</v>
      </c>
      <c r="F1490" s="361">
        <v>1480023.21</v>
      </c>
      <c r="G1490" s="361">
        <v>2274780.9900000002</v>
      </c>
      <c r="H1490" s="361">
        <v>920204.29</v>
      </c>
      <c r="I1490" s="361">
        <v>1254425.99</v>
      </c>
      <c r="J1490" s="361">
        <v>2088768.9</v>
      </c>
      <c r="K1490" s="361">
        <v>1732933.28</v>
      </c>
      <c r="L1490" s="361">
        <v>671261.62</v>
      </c>
      <c r="M1490" s="361">
        <v>829595.95</v>
      </c>
      <c r="N1490" s="361">
        <v>196290.96</v>
      </c>
      <c r="O1490" s="302">
        <v>0</v>
      </c>
    </row>
    <row r="1491" spans="1:15" ht="13">
      <c r="A1491" s="359"/>
      <c r="B1491" s="1824" t="s">
        <v>1336</v>
      </c>
      <c r="C1491" s="1820">
        <v>7754594.0899999999</v>
      </c>
      <c r="D1491" s="365">
        <v>0</v>
      </c>
      <c r="E1491" s="365">
        <v>0</v>
      </c>
      <c r="F1491" s="361">
        <v>281424.77</v>
      </c>
      <c r="G1491" s="361">
        <v>957432.74</v>
      </c>
      <c r="H1491" s="361">
        <v>1892562.26</v>
      </c>
      <c r="I1491" s="365">
        <v>0</v>
      </c>
      <c r="J1491" s="361">
        <v>959115.99</v>
      </c>
      <c r="K1491" s="365">
        <v>0</v>
      </c>
      <c r="L1491" s="361">
        <v>1176684.8899999999</v>
      </c>
      <c r="M1491" s="361">
        <v>573234.09</v>
      </c>
      <c r="N1491" s="365">
        <v>0</v>
      </c>
      <c r="O1491" s="352">
        <v>1914139.34</v>
      </c>
    </row>
    <row r="1492" spans="1:15" ht="13">
      <c r="A1492" s="359"/>
      <c r="B1492" s="1824" t="s">
        <v>1765</v>
      </c>
      <c r="C1492" s="1820">
        <v>183923.24</v>
      </c>
      <c r="D1492" s="365">
        <v>0</v>
      </c>
      <c r="E1492" s="365">
        <v>0</v>
      </c>
      <c r="F1492" s="365">
        <v>0</v>
      </c>
      <c r="G1492" s="365">
        <v>0</v>
      </c>
      <c r="H1492" s="361">
        <v>72740.94</v>
      </c>
      <c r="I1492" s="365">
        <v>0</v>
      </c>
      <c r="J1492" s="361">
        <v>31815.119999999999</v>
      </c>
      <c r="K1492" s="361">
        <v>79367.179999999993</v>
      </c>
      <c r="L1492" s="365">
        <v>0</v>
      </c>
      <c r="M1492" s="365">
        <v>0</v>
      </c>
      <c r="N1492" s="365">
        <v>0</v>
      </c>
      <c r="O1492" s="302">
        <v>0</v>
      </c>
    </row>
    <row r="1493" spans="1:15" ht="13">
      <c r="A1493" s="359"/>
      <c r="B1493" s="1824" t="s">
        <v>1368</v>
      </c>
      <c r="C1493" s="1820">
        <v>1719746.02</v>
      </c>
      <c r="D1493" s="365">
        <v>0</v>
      </c>
      <c r="E1493" s="361">
        <v>196336.54</v>
      </c>
      <c r="F1493" s="361">
        <v>276365.52</v>
      </c>
      <c r="G1493" s="361">
        <v>214402.98</v>
      </c>
      <c r="H1493" s="365">
        <v>0</v>
      </c>
      <c r="I1493" s="361">
        <v>280791.90000000002</v>
      </c>
      <c r="J1493" s="361">
        <v>198005.56</v>
      </c>
      <c r="K1493" s="361">
        <v>111902.92</v>
      </c>
      <c r="L1493" s="361">
        <v>138529.43</v>
      </c>
      <c r="M1493" s="361">
        <v>60951.41</v>
      </c>
      <c r="N1493" s="361">
        <v>242459.77</v>
      </c>
      <c r="O1493" s="302">
        <v>0</v>
      </c>
    </row>
    <row r="1494" spans="1:15" ht="13">
      <c r="A1494" s="359"/>
      <c r="B1494" s="1824" t="s">
        <v>1292</v>
      </c>
      <c r="C1494" s="1820">
        <v>8108238.6200000001</v>
      </c>
      <c r="D1494" s="361">
        <v>138584.74</v>
      </c>
      <c r="E1494" s="361">
        <v>374696.39</v>
      </c>
      <c r="F1494" s="361">
        <v>1294168</v>
      </c>
      <c r="G1494" s="361">
        <v>830031.45</v>
      </c>
      <c r="H1494" s="361">
        <v>125776.19</v>
      </c>
      <c r="I1494" s="361">
        <v>447046.14</v>
      </c>
      <c r="J1494" s="361">
        <v>853664.88</v>
      </c>
      <c r="K1494" s="361">
        <v>480469.11</v>
      </c>
      <c r="L1494" s="361">
        <v>1140202.26</v>
      </c>
      <c r="M1494" s="361">
        <v>1620330.91</v>
      </c>
      <c r="N1494" s="361">
        <v>664236.56999999995</v>
      </c>
      <c r="O1494" s="352">
        <v>139031.98000000001</v>
      </c>
    </row>
    <row r="1495" spans="1:15" ht="13">
      <c r="A1495" s="359"/>
      <c r="B1495" s="1824" t="s">
        <v>1284</v>
      </c>
      <c r="C1495" s="1820">
        <v>9107298.8699999992</v>
      </c>
      <c r="D1495" s="361">
        <v>833969.63</v>
      </c>
      <c r="E1495" s="361">
        <v>920331.92</v>
      </c>
      <c r="F1495" s="361">
        <v>230376.6</v>
      </c>
      <c r="G1495" s="361">
        <v>1648731.71</v>
      </c>
      <c r="H1495" s="361">
        <v>1159944.28</v>
      </c>
      <c r="I1495" s="361">
        <v>127808.3</v>
      </c>
      <c r="J1495" s="365">
        <v>0</v>
      </c>
      <c r="K1495" s="361">
        <v>2035013.77</v>
      </c>
      <c r="L1495" s="361">
        <v>75152.039999999994</v>
      </c>
      <c r="M1495" s="365">
        <v>0</v>
      </c>
      <c r="N1495" s="365">
        <v>0</v>
      </c>
      <c r="O1495" s="352">
        <v>2075970.6</v>
      </c>
    </row>
    <row r="1496" spans="1:15" ht="13">
      <c r="A1496" s="359"/>
      <c r="B1496" s="1824" t="s">
        <v>1676</v>
      </c>
      <c r="C1496" s="1820">
        <v>10026056.51</v>
      </c>
      <c r="D1496" s="361">
        <v>1815985.03</v>
      </c>
      <c r="E1496" s="361">
        <v>2077550.07</v>
      </c>
      <c r="F1496" s="365">
        <v>-630.13</v>
      </c>
      <c r="G1496" s="365">
        <v>0</v>
      </c>
      <c r="H1496" s="361">
        <v>1803770.72</v>
      </c>
      <c r="I1496" s="361">
        <v>789006.83</v>
      </c>
      <c r="J1496" s="361">
        <v>1839286.21</v>
      </c>
      <c r="K1496" s="361">
        <v>683126.04</v>
      </c>
      <c r="L1496" s="361">
        <v>1017961.74</v>
      </c>
      <c r="M1496" s="365">
        <v>0</v>
      </c>
      <c r="N1496" s="365">
        <v>0</v>
      </c>
      <c r="O1496" s="302">
        <v>0</v>
      </c>
    </row>
    <row r="1497" spans="1:15" ht="13">
      <c r="A1497" s="359"/>
      <c r="B1497" s="1824" t="s">
        <v>1764</v>
      </c>
      <c r="C1497" s="1820">
        <v>202765.45</v>
      </c>
      <c r="D1497" s="365">
        <v>0</v>
      </c>
      <c r="E1497" s="361">
        <v>202765.45</v>
      </c>
      <c r="F1497" s="365">
        <v>0</v>
      </c>
      <c r="G1497" s="365">
        <v>0</v>
      </c>
      <c r="H1497" s="365">
        <v>0</v>
      </c>
      <c r="I1497" s="365">
        <v>0</v>
      </c>
      <c r="J1497" s="365">
        <v>0</v>
      </c>
      <c r="K1497" s="365">
        <v>0</v>
      </c>
      <c r="L1497" s="365">
        <v>0</v>
      </c>
      <c r="M1497" s="365">
        <v>0</v>
      </c>
      <c r="N1497" s="365">
        <v>0</v>
      </c>
      <c r="O1497" s="302">
        <v>0</v>
      </c>
    </row>
    <row r="1498" spans="1:15" ht="13">
      <c r="A1498" s="359"/>
      <c r="B1498" s="1824" t="s">
        <v>1776</v>
      </c>
      <c r="C1498" s="1820">
        <v>1957891.44</v>
      </c>
      <c r="D1498" s="365">
        <v>0</v>
      </c>
      <c r="E1498" s="365">
        <v>0</v>
      </c>
      <c r="F1498" s="365">
        <v>0</v>
      </c>
      <c r="G1498" s="361">
        <v>290141.59000000003</v>
      </c>
      <c r="H1498" s="361">
        <v>845130.58</v>
      </c>
      <c r="I1498" s="361">
        <v>822619.27</v>
      </c>
      <c r="J1498" s="365">
        <v>0</v>
      </c>
      <c r="K1498" s="365">
        <v>0</v>
      </c>
      <c r="L1498" s="365">
        <v>0</v>
      </c>
      <c r="M1498" s="365">
        <v>0</v>
      </c>
      <c r="N1498" s="365">
        <v>0</v>
      </c>
      <c r="O1498" s="302">
        <v>0</v>
      </c>
    </row>
    <row r="1499" spans="1:15" ht="13">
      <c r="A1499" s="359"/>
      <c r="B1499" s="1824" t="s">
        <v>1296</v>
      </c>
      <c r="C1499" s="1820">
        <v>5614112.7999999998</v>
      </c>
      <c r="D1499" s="361">
        <v>767153.87</v>
      </c>
      <c r="E1499" s="361">
        <v>549117.80000000005</v>
      </c>
      <c r="F1499" s="361">
        <v>347342.87</v>
      </c>
      <c r="G1499" s="361">
        <v>366769.49</v>
      </c>
      <c r="H1499" s="361">
        <v>297608.71000000002</v>
      </c>
      <c r="I1499" s="361">
        <v>282644.61</v>
      </c>
      <c r="J1499" s="361">
        <v>317974.52</v>
      </c>
      <c r="K1499" s="361">
        <v>498807.58</v>
      </c>
      <c r="L1499" s="361">
        <v>424672.31</v>
      </c>
      <c r="M1499" s="361">
        <v>514829.44</v>
      </c>
      <c r="N1499" s="361">
        <v>646090.30000000005</v>
      </c>
      <c r="O1499" s="352">
        <v>601101.31000000006</v>
      </c>
    </row>
    <row r="1500" spans="1:15" ht="13">
      <c r="A1500" s="359"/>
      <c r="B1500" s="1824" t="s">
        <v>1359</v>
      </c>
      <c r="C1500" s="1820">
        <v>769822.88</v>
      </c>
      <c r="D1500" s="365">
        <v>0</v>
      </c>
      <c r="E1500" s="361">
        <v>324019.74</v>
      </c>
      <c r="F1500" s="361">
        <v>7659.23</v>
      </c>
      <c r="G1500" s="361">
        <v>97899.22</v>
      </c>
      <c r="H1500" s="365">
        <v>0</v>
      </c>
      <c r="I1500" s="365">
        <v>0</v>
      </c>
      <c r="J1500" s="361">
        <v>340244.68</v>
      </c>
      <c r="K1500" s="365">
        <v>0</v>
      </c>
      <c r="L1500" s="365">
        <v>0</v>
      </c>
      <c r="M1500" s="365">
        <v>0</v>
      </c>
      <c r="N1500" s="365">
        <v>0</v>
      </c>
      <c r="O1500" s="302">
        <v>0</v>
      </c>
    </row>
    <row r="1501" spans="1:15" ht="13">
      <c r="A1501" s="359"/>
      <c r="B1501" s="1824" t="s">
        <v>1293</v>
      </c>
      <c r="C1501" s="1820">
        <v>5444929.75</v>
      </c>
      <c r="D1501" s="365">
        <v>0</v>
      </c>
      <c r="E1501" s="365">
        <v>0</v>
      </c>
      <c r="F1501" s="365">
        <v>0</v>
      </c>
      <c r="G1501" s="365">
        <v>0</v>
      </c>
      <c r="H1501" s="365">
        <v>0</v>
      </c>
      <c r="I1501" s="365">
        <v>0</v>
      </c>
      <c r="J1501" s="365">
        <v>0</v>
      </c>
      <c r="K1501" s="361">
        <v>240723.74</v>
      </c>
      <c r="L1501" s="361">
        <v>728476.25</v>
      </c>
      <c r="M1501" s="361">
        <v>1510059.92</v>
      </c>
      <c r="N1501" s="361">
        <v>1390687.64</v>
      </c>
      <c r="O1501" s="352">
        <v>1574982.21</v>
      </c>
    </row>
    <row r="1502" spans="1:15" ht="13">
      <c r="A1502" s="359"/>
      <c r="B1502" s="1824" t="s">
        <v>1364</v>
      </c>
      <c r="C1502" s="1820">
        <v>723124.21</v>
      </c>
      <c r="D1502" s="365">
        <v>0</v>
      </c>
      <c r="E1502" s="365">
        <v>0</v>
      </c>
      <c r="F1502" s="365">
        <v>0</v>
      </c>
      <c r="G1502" s="365">
        <v>0</v>
      </c>
      <c r="H1502" s="365">
        <v>0</v>
      </c>
      <c r="I1502" s="365">
        <v>0</v>
      </c>
      <c r="J1502" s="365">
        <v>0</v>
      </c>
      <c r="K1502" s="365">
        <v>0</v>
      </c>
      <c r="L1502" s="361">
        <v>119385.36</v>
      </c>
      <c r="M1502" s="361">
        <v>131624.49</v>
      </c>
      <c r="N1502" s="361">
        <v>323864.76</v>
      </c>
      <c r="O1502" s="352">
        <v>148249.60999999999</v>
      </c>
    </row>
    <row r="1503" spans="1:15" ht="13">
      <c r="A1503" s="359"/>
      <c r="B1503" s="1824" t="s">
        <v>1289</v>
      </c>
      <c r="C1503" s="1820">
        <v>3498995.05</v>
      </c>
      <c r="D1503" s="365">
        <v>0</v>
      </c>
      <c r="E1503" s="365">
        <v>0</v>
      </c>
      <c r="F1503" s="365">
        <v>0</v>
      </c>
      <c r="G1503" s="361">
        <v>1708281.49</v>
      </c>
      <c r="H1503" s="365">
        <v>0</v>
      </c>
      <c r="I1503" s="365">
        <v>0</v>
      </c>
      <c r="J1503" s="361">
        <v>754604.85</v>
      </c>
      <c r="K1503" s="361">
        <v>528564.77</v>
      </c>
      <c r="L1503" s="361">
        <v>507543.95</v>
      </c>
      <c r="M1503" s="365">
        <v>0</v>
      </c>
      <c r="N1503" s="365">
        <v>0</v>
      </c>
      <c r="O1503" s="302">
        <v>0</v>
      </c>
    </row>
    <row r="1504" spans="1:15" ht="13">
      <c r="A1504" s="359"/>
      <c r="B1504" s="1824" t="s">
        <v>1761</v>
      </c>
      <c r="C1504" s="1820">
        <v>782677.05</v>
      </c>
      <c r="D1504" s="365">
        <v>0</v>
      </c>
      <c r="E1504" s="365">
        <v>0</v>
      </c>
      <c r="F1504" s="361">
        <v>205984.54</v>
      </c>
      <c r="G1504" s="365">
        <v>0</v>
      </c>
      <c r="H1504" s="361">
        <v>217686.46</v>
      </c>
      <c r="I1504" s="365">
        <v>0</v>
      </c>
      <c r="J1504" s="361">
        <v>141810.35</v>
      </c>
      <c r="K1504" s="365">
        <v>0</v>
      </c>
      <c r="L1504" s="361">
        <v>217195.71</v>
      </c>
      <c r="M1504" s="365">
        <v>0</v>
      </c>
      <c r="N1504" s="365">
        <v>0</v>
      </c>
      <c r="O1504" s="302">
        <v>0</v>
      </c>
    </row>
    <row r="1505" spans="1:15" ht="13">
      <c r="A1505" s="359"/>
      <c r="B1505" s="1824" t="s">
        <v>1661</v>
      </c>
      <c r="C1505" s="1820">
        <v>1014151.54</v>
      </c>
      <c r="D1505" s="365">
        <v>0</v>
      </c>
      <c r="E1505" s="365">
        <v>0</v>
      </c>
      <c r="F1505" s="365">
        <v>0</v>
      </c>
      <c r="G1505" s="365">
        <v>0</v>
      </c>
      <c r="H1505" s="365">
        <v>0</v>
      </c>
      <c r="I1505" s="365">
        <v>0</v>
      </c>
      <c r="J1505" s="365">
        <v>0</v>
      </c>
      <c r="K1505" s="365">
        <v>0</v>
      </c>
      <c r="L1505" s="365">
        <v>0</v>
      </c>
      <c r="M1505" s="361">
        <v>738494.01</v>
      </c>
      <c r="N1505" s="361">
        <v>275657.53999999998</v>
      </c>
      <c r="O1505" s="302">
        <v>0</v>
      </c>
    </row>
    <row r="1506" spans="1:15" ht="13">
      <c r="A1506" s="359"/>
      <c r="B1506" s="1824" t="s">
        <v>1288</v>
      </c>
      <c r="C1506" s="1820">
        <v>8733602.1300000008</v>
      </c>
      <c r="D1506" s="361">
        <v>49436.98</v>
      </c>
      <c r="E1506" s="361">
        <v>211539.35</v>
      </c>
      <c r="F1506" s="365">
        <v>0</v>
      </c>
      <c r="G1506" s="361">
        <v>330450.53000000003</v>
      </c>
      <c r="H1506" s="361">
        <v>416002.05</v>
      </c>
      <c r="I1506" s="361">
        <v>761172.83</v>
      </c>
      <c r="J1506" s="361">
        <v>1744291.53</v>
      </c>
      <c r="K1506" s="361">
        <v>379540.13</v>
      </c>
      <c r="L1506" s="361">
        <v>1037357.04</v>
      </c>
      <c r="M1506" s="361">
        <v>1835173.23</v>
      </c>
      <c r="N1506" s="361">
        <v>462859.94</v>
      </c>
      <c r="O1506" s="352">
        <v>1505778.52</v>
      </c>
    </row>
    <row r="1507" spans="1:15" ht="13">
      <c r="A1507" s="359"/>
      <c r="B1507" s="1824" t="s">
        <v>1760</v>
      </c>
      <c r="C1507" s="1820">
        <v>1147746.02</v>
      </c>
      <c r="D1507" s="361">
        <v>480283.83</v>
      </c>
      <c r="E1507" s="361">
        <v>667462.18000000005</v>
      </c>
      <c r="F1507" s="365">
        <v>0</v>
      </c>
      <c r="G1507" s="365">
        <v>0</v>
      </c>
      <c r="H1507" s="365">
        <v>0</v>
      </c>
      <c r="I1507" s="365">
        <v>0</v>
      </c>
      <c r="J1507" s="365">
        <v>0</v>
      </c>
      <c r="K1507" s="365">
        <v>0</v>
      </c>
      <c r="L1507" s="365">
        <v>0</v>
      </c>
      <c r="M1507" s="365">
        <v>0</v>
      </c>
      <c r="N1507" s="365">
        <v>0</v>
      </c>
      <c r="O1507" s="302">
        <v>0</v>
      </c>
    </row>
    <row r="1508" spans="1:15" ht="13">
      <c r="A1508" s="359"/>
      <c r="B1508" s="1824" t="s">
        <v>1301</v>
      </c>
      <c r="C1508" s="1820">
        <v>13347255</v>
      </c>
      <c r="D1508" s="365">
        <v>0</v>
      </c>
      <c r="E1508" s="365">
        <v>0</v>
      </c>
      <c r="F1508" s="365">
        <v>0</v>
      </c>
      <c r="G1508" s="365">
        <v>0</v>
      </c>
      <c r="H1508" s="361">
        <v>2121174.31</v>
      </c>
      <c r="I1508" s="365">
        <v>0</v>
      </c>
      <c r="J1508" s="361">
        <v>5674317.7400000002</v>
      </c>
      <c r="K1508" s="361">
        <v>212025.38</v>
      </c>
      <c r="L1508" s="361">
        <v>661909.88</v>
      </c>
      <c r="M1508" s="361">
        <v>914686.01</v>
      </c>
      <c r="N1508" s="361">
        <v>2525875.58</v>
      </c>
      <c r="O1508" s="352">
        <v>1237266.1100000001</v>
      </c>
    </row>
    <row r="1509" spans="1:15" ht="13">
      <c r="A1509" s="359"/>
      <c r="B1509" s="1824" t="s">
        <v>1654</v>
      </c>
      <c r="C1509" s="1820">
        <v>16575406.630000001</v>
      </c>
      <c r="D1509" s="365">
        <v>0</v>
      </c>
      <c r="E1509" s="365">
        <v>0</v>
      </c>
      <c r="F1509" s="365">
        <v>0</v>
      </c>
      <c r="G1509" s="361">
        <v>237625.59</v>
      </c>
      <c r="H1509" s="361">
        <v>1080649.58</v>
      </c>
      <c r="I1509" s="361">
        <v>1317345.92</v>
      </c>
      <c r="J1509" s="361">
        <v>2264563.8199999998</v>
      </c>
      <c r="K1509" s="361">
        <v>2555785.48</v>
      </c>
      <c r="L1509" s="361">
        <v>1514466.88</v>
      </c>
      <c r="M1509" s="361">
        <v>2274771.2799999998</v>
      </c>
      <c r="N1509" s="361">
        <v>2604576.2400000002</v>
      </c>
      <c r="O1509" s="352">
        <v>2725621.84</v>
      </c>
    </row>
    <row r="1510" spans="1:15" ht="13">
      <c r="A1510" s="359"/>
      <c r="B1510" s="1824" t="s">
        <v>1294</v>
      </c>
      <c r="C1510" s="1820">
        <v>14831801.73</v>
      </c>
      <c r="D1510" s="361">
        <v>1392025.92</v>
      </c>
      <c r="E1510" s="361">
        <v>2133082.38</v>
      </c>
      <c r="F1510" s="361">
        <v>1088891.21</v>
      </c>
      <c r="G1510" s="361">
        <v>481409</v>
      </c>
      <c r="H1510" s="361">
        <v>408477.74</v>
      </c>
      <c r="I1510" s="361">
        <v>376128.83</v>
      </c>
      <c r="J1510" s="361">
        <v>275656.15000000002</v>
      </c>
      <c r="K1510" s="361">
        <v>1333057.6200000001</v>
      </c>
      <c r="L1510" s="361">
        <v>1832028</v>
      </c>
      <c r="M1510" s="361">
        <v>1748367.61</v>
      </c>
      <c r="N1510" s="361">
        <v>2558860.2400000002</v>
      </c>
      <c r="O1510" s="352">
        <v>1203817.03</v>
      </c>
    </row>
    <row r="1511" spans="1:15" ht="13">
      <c r="A1511" s="359"/>
      <c r="B1511" s="1824" t="s">
        <v>1777</v>
      </c>
      <c r="C1511" s="1820">
        <v>580937.06999999995</v>
      </c>
      <c r="D1511" s="365">
        <v>0</v>
      </c>
      <c r="E1511" s="365">
        <v>0</v>
      </c>
      <c r="F1511" s="365">
        <v>0</v>
      </c>
      <c r="G1511" s="365">
        <v>0</v>
      </c>
      <c r="H1511" s="365">
        <v>0</v>
      </c>
      <c r="I1511" s="365">
        <v>0</v>
      </c>
      <c r="J1511" s="365">
        <v>0</v>
      </c>
      <c r="K1511" s="365">
        <v>0</v>
      </c>
      <c r="L1511" s="361">
        <v>580937.06999999995</v>
      </c>
      <c r="M1511" s="365">
        <v>0</v>
      </c>
      <c r="N1511" s="365">
        <v>0</v>
      </c>
      <c r="O1511" s="302">
        <v>0</v>
      </c>
    </row>
    <row r="1512" spans="1:15" ht="13">
      <c r="A1512" s="359"/>
      <c r="B1512" s="1824" t="s">
        <v>1392</v>
      </c>
      <c r="C1512" s="1820">
        <v>2318701.86</v>
      </c>
      <c r="D1512" s="365">
        <v>0</v>
      </c>
      <c r="E1512" s="365">
        <v>0</v>
      </c>
      <c r="F1512" s="365">
        <v>0</v>
      </c>
      <c r="G1512" s="365">
        <v>0</v>
      </c>
      <c r="H1512" s="365">
        <v>0</v>
      </c>
      <c r="I1512" s="361">
        <v>710593.52</v>
      </c>
      <c r="J1512" s="361">
        <v>1265811.7</v>
      </c>
      <c r="K1512" s="361">
        <v>138856.53</v>
      </c>
      <c r="L1512" s="361">
        <v>203440.12</v>
      </c>
      <c r="M1512" s="365">
        <v>0</v>
      </c>
      <c r="N1512" s="365">
        <v>0</v>
      </c>
      <c r="O1512" s="302">
        <v>0</v>
      </c>
    </row>
    <row r="1513" spans="1:15" ht="13">
      <c r="A1513" s="359"/>
      <c r="B1513" s="1824" t="s">
        <v>1778</v>
      </c>
      <c r="C1513" s="1820">
        <v>57975.75</v>
      </c>
      <c r="D1513" s="365">
        <v>0</v>
      </c>
      <c r="E1513" s="365">
        <v>0</v>
      </c>
      <c r="F1513" s="365">
        <v>0</v>
      </c>
      <c r="G1513" s="365">
        <v>0</v>
      </c>
      <c r="H1513" s="365">
        <v>0</v>
      </c>
      <c r="I1513" s="361">
        <v>37122.300000000003</v>
      </c>
      <c r="J1513" s="365">
        <v>0</v>
      </c>
      <c r="K1513" s="365">
        <v>0</v>
      </c>
      <c r="L1513" s="365">
        <v>0</v>
      </c>
      <c r="M1513" s="365">
        <v>0</v>
      </c>
      <c r="N1513" s="365">
        <v>0</v>
      </c>
      <c r="O1513" s="352">
        <v>20853.45</v>
      </c>
    </row>
    <row r="1514" spans="1:15" ht="13">
      <c r="A1514" s="359"/>
      <c r="B1514" s="1824" t="s">
        <v>1298</v>
      </c>
      <c r="C1514" s="1820">
        <v>4824627.79</v>
      </c>
      <c r="D1514" s="365">
        <v>0</v>
      </c>
      <c r="E1514" s="365">
        <v>0</v>
      </c>
      <c r="F1514" s="361">
        <v>415748.11</v>
      </c>
      <c r="G1514" s="365">
        <v>0</v>
      </c>
      <c r="H1514" s="361">
        <v>2204439.84</v>
      </c>
      <c r="I1514" s="365">
        <v>0</v>
      </c>
      <c r="J1514" s="361">
        <v>881775.94</v>
      </c>
      <c r="K1514" s="361">
        <v>1322663.8999999999</v>
      </c>
      <c r="L1514" s="365">
        <v>0</v>
      </c>
      <c r="M1514" s="365">
        <v>0</v>
      </c>
      <c r="N1514" s="365">
        <v>0</v>
      </c>
      <c r="O1514" s="302">
        <v>0</v>
      </c>
    </row>
    <row r="1515" spans="1:15" ht="13">
      <c r="A1515" s="359"/>
      <c r="B1515" s="1824" t="s">
        <v>1779</v>
      </c>
      <c r="C1515" s="1820">
        <v>3071575.78</v>
      </c>
      <c r="D1515" s="361">
        <v>152814.59</v>
      </c>
      <c r="E1515" s="361">
        <v>346248.93</v>
      </c>
      <c r="F1515" s="361">
        <v>436762.78</v>
      </c>
      <c r="G1515" s="361">
        <v>224421.94</v>
      </c>
      <c r="H1515" s="361">
        <v>191214.25</v>
      </c>
      <c r="I1515" s="361">
        <v>87551.2</v>
      </c>
      <c r="J1515" s="361">
        <v>418017.06</v>
      </c>
      <c r="K1515" s="361">
        <v>521424.5</v>
      </c>
      <c r="L1515" s="361">
        <v>204584.78</v>
      </c>
      <c r="M1515" s="361">
        <v>145050.35999999999</v>
      </c>
      <c r="N1515" s="361">
        <v>50981.68</v>
      </c>
      <c r="O1515" s="352">
        <v>292503.71000000002</v>
      </c>
    </row>
    <row r="1516" spans="1:15" ht="13">
      <c r="A1516" s="359"/>
      <c r="B1516" s="1824" t="s">
        <v>1369</v>
      </c>
      <c r="C1516" s="1820">
        <v>1125662.53</v>
      </c>
      <c r="D1516" s="361">
        <v>304214.40000000002</v>
      </c>
      <c r="E1516" s="361">
        <v>154373.65</v>
      </c>
      <c r="F1516" s="365">
        <v>0</v>
      </c>
      <c r="G1516" s="365">
        <v>0</v>
      </c>
      <c r="H1516" s="361">
        <v>150705.35</v>
      </c>
      <c r="I1516" s="365">
        <v>0</v>
      </c>
      <c r="J1516" s="365">
        <v>0</v>
      </c>
      <c r="K1516" s="361">
        <v>170744.81</v>
      </c>
      <c r="L1516" s="365">
        <v>0</v>
      </c>
      <c r="M1516" s="365">
        <v>0</v>
      </c>
      <c r="N1516" s="361">
        <v>106452.08</v>
      </c>
      <c r="O1516" s="352">
        <v>239172.24</v>
      </c>
    </row>
    <row r="1517" spans="1:15" ht="13">
      <c r="A1517" s="359"/>
      <c r="B1517" s="1824" t="s">
        <v>1372</v>
      </c>
      <c r="C1517" s="1820">
        <v>435712.27</v>
      </c>
      <c r="D1517" s="365">
        <v>0</v>
      </c>
      <c r="E1517" s="365">
        <v>0</v>
      </c>
      <c r="F1517" s="365">
        <v>0</v>
      </c>
      <c r="G1517" s="365">
        <v>0</v>
      </c>
      <c r="H1517" s="365">
        <v>0</v>
      </c>
      <c r="I1517" s="365">
        <v>0</v>
      </c>
      <c r="J1517" s="365">
        <v>0</v>
      </c>
      <c r="K1517" s="365">
        <v>0</v>
      </c>
      <c r="L1517" s="361">
        <v>140563.07999999999</v>
      </c>
      <c r="M1517" s="361">
        <v>231617.1</v>
      </c>
      <c r="N1517" s="361">
        <v>63532.09</v>
      </c>
      <c r="O1517" s="302">
        <v>0</v>
      </c>
    </row>
    <row r="1518" spans="1:15" ht="13">
      <c r="A1518" s="359"/>
      <c r="B1518" s="1824" t="s">
        <v>1277</v>
      </c>
      <c r="C1518" s="1820">
        <v>6271560.6100000003</v>
      </c>
      <c r="D1518" s="361">
        <v>427127.65</v>
      </c>
      <c r="E1518" s="361">
        <v>484350.32</v>
      </c>
      <c r="F1518" s="361">
        <v>214433.48</v>
      </c>
      <c r="G1518" s="361">
        <v>408570.06</v>
      </c>
      <c r="H1518" s="361">
        <v>328948.51</v>
      </c>
      <c r="I1518" s="361">
        <v>656846.62</v>
      </c>
      <c r="J1518" s="361">
        <v>93487.59</v>
      </c>
      <c r="K1518" s="361">
        <v>920902.63</v>
      </c>
      <c r="L1518" s="361">
        <v>711550.07</v>
      </c>
      <c r="M1518" s="361">
        <v>414252.66</v>
      </c>
      <c r="N1518" s="361">
        <v>885768.37</v>
      </c>
      <c r="O1518" s="352">
        <v>725322.66</v>
      </c>
    </row>
    <row r="1519" spans="1:15" ht="13">
      <c r="A1519" s="359"/>
      <c r="B1519" s="1824" t="s">
        <v>1329</v>
      </c>
      <c r="C1519" s="1820">
        <v>28496516.890000001</v>
      </c>
      <c r="D1519" s="361">
        <v>1042526.26</v>
      </c>
      <c r="E1519" s="361">
        <v>2474521.96</v>
      </c>
      <c r="F1519" s="361">
        <v>4530569.57</v>
      </c>
      <c r="G1519" s="361">
        <v>2555883.9700000002</v>
      </c>
      <c r="H1519" s="361">
        <v>1770576.43</v>
      </c>
      <c r="I1519" s="361">
        <v>1486299.38</v>
      </c>
      <c r="J1519" s="361">
        <v>2357876.67</v>
      </c>
      <c r="K1519" s="361">
        <v>2062404.07</v>
      </c>
      <c r="L1519" s="361">
        <v>1434004.48</v>
      </c>
      <c r="M1519" s="361">
        <v>2150300.4900000002</v>
      </c>
      <c r="N1519" s="361">
        <v>5052113.03</v>
      </c>
      <c r="O1519" s="352">
        <v>1579440.58</v>
      </c>
    </row>
    <row r="1520" spans="1:15" ht="13">
      <c r="A1520" s="359"/>
      <c r="B1520" s="1824" t="s">
        <v>1345</v>
      </c>
      <c r="C1520" s="1820">
        <v>2099652.4700000002</v>
      </c>
      <c r="D1520" s="361">
        <v>322712.13</v>
      </c>
      <c r="E1520" s="361">
        <v>108798.16</v>
      </c>
      <c r="F1520" s="361">
        <v>81399.75</v>
      </c>
      <c r="G1520" s="361">
        <v>50831.65</v>
      </c>
      <c r="H1520" s="361">
        <v>41330.129999999997</v>
      </c>
      <c r="I1520" s="361">
        <v>235668.97</v>
      </c>
      <c r="J1520" s="361">
        <v>224005.23</v>
      </c>
      <c r="K1520" s="361">
        <v>338823.23</v>
      </c>
      <c r="L1520" s="361">
        <v>109298.87</v>
      </c>
      <c r="M1520" s="361">
        <v>213367.67999999999</v>
      </c>
      <c r="N1520" s="361">
        <v>196613.3</v>
      </c>
      <c r="O1520" s="352">
        <v>176803.38</v>
      </c>
    </row>
    <row r="1521" spans="1:15" ht="13">
      <c r="A1521" s="359"/>
      <c r="B1521" s="1824" t="s">
        <v>1355</v>
      </c>
      <c r="C1521" s="1820">
        <v>519093.57</v>
      </c>
      <c r="D1521" s="361">
        <v>47170.97</v>
      </c>
      <c r="E1521" s="365">
        <v>0</v>
      </c>
      <c r="F1521" s="361">
        <v>19641.849999999999</v>
      </c>
      <c r="G1521" s="361">
        <v>69690.45</v>
      </c>
      <c r="H1521" s="365">
        <v>0</v>
      </c>
      <c r="I1521" s="361">
        <v>64584.19</v>
      </c>
      <c r="J1521" s="361">
        <v>46965.04</v>
      </c>
      <c r="K1521" s="361">
        <v>51808.1</v>
      </c>
      <c r="L1521" s="361">
        <v>38303.78</v>
      </c>
      <c r="M1521" s="365">
        <v>0</v>
      </c>
      <c r="N1521" s="361">
        <v>98995.96</v>
      </c>
      <c r="O1521" s="352">
        <v>81933.23</v>
      </c>
    </row>
    <row r="1522" spans="1:15" ht="13">
      <c r="A1522" s="359"/>
      <c r="B1522" s="1824" t="s">
        <v>1371</v>
      </c>
      <c r="C1522" s="1820">
        <v>301359.53000000003</v>
      </c>
      <c r="D1522" s="365">
        <v>0</v>
      </c>
      <c r="E1522" s="365">
        <v>0</v>
      </c>
      <c r="F1522" s="365">
        <v>0</v>
      </c>
      <c r="G1522" s="365">
        <v>0</v>
      </c>
      <c r="H1522" s="365">
        <v>0</v>
      </c>
      <c r="I1522" s="361">
        <v>301359.53000000003</v>
      </c>
      <c r="J1522" s="365">
        <v>0</v>
      </c>
      <c r="K1522" s="365">
        <v>0</v>
      </c>
      <c r="L1522" s="365">
        <v>0</v>
      </c>
      <c r="M1522" s="365">
        <v>0</v>
      </c>
      <c r="N1522" s="365">
        <v>0</v>
      </c>
      <c r="O1522" s="302">
        <v>0</v>
      </c>
    </row>
    <row r="1523" spans="1:15" ht="13">
      <c r="A1523" s="359"/>
      <c r="B1523" s="1824" t="s">
        <v>1360</v>
      </c>
      <c r="C1523" s="1820">
        <v>1786769.72</v>
      </c>
      <c r="D1523" s="365">
        <v>0</v>
      </c>
      <c r="E1523" s="361">
        <v>176549</v>
      </c>
      <c r="F1523" s="361">
        <v>141929.45000000001</v>
      </c>
      <c r="G1523" s="361">
        <v>119657.28</v>
      </c>
      <c r="H1523" s="365">
        <v>0</v>
      </c>
      <c r="I1523" s="365">
        <v>0</v>
      </c>
      <c r="J1523" s="361">
        <v>367662</v>
      </c>
      <c r="K1523" s="365">
        <v>0</v>
      </c>
      <c r="L1523" s="365">
        <v>0</v>
      </c>
      <c r="M1523" s="361">
        <v>325279.74</v>
      </c>
      <c r="N1523" s="361">
        <v>349502.85</v>
      </c>
      <c r="O1523" s="352">
        <v>306189.40000000002</v>
      </c>
    </row>
    <row r="1524" spans="1:15" ht="13">
      <c r="A1524" s="359"/>
      <c r="B1524" s="1824" t="s">
        <v>1387</v>
      </c>
      <c r="C1524" s="1820">
        <v>1193969.7</v>
      </c>
      <c r="D1524" s="361">
        <v>107206.08</v>
      </c>
      <c r="E1524" s="365">
        <v>0</v>
      </c>
      <c r="F1524" s="361">
        <v>35132.25</v>
      </c>
      <c r="G1524" s="361">
        <v>62073.98</v>
      </c>
      <c r="H1524" s="361">
        <v>19763.14</v>
      </c>
      <c r="I1524" s="365">
        <v>0</v>
      </c>
      <c r="J1524" s="365">
        <v>0</v>
      </c>
      <c r="K1524" s="361">
        <v>322324.12</v>
      </c>
      <c r="L1524" s="361">
        <v>221623.07</v>
      </c>
      <c r="M1524" s="361">
        <v>111103.25</v>
      </c>
      <c r="N1524" s="361">
        <v>213971.68</v>
      </c>
      <c r="O1524" s="352">
        <v>100772.14</v>
      </c>
    </row>
    <row r="1525" spans="1:15" ht="13">
      <c r="A1525" s="359"/>
      <c r="B1525" s="1824" t="s">
        <v>1390</v>
      </c>
      <c r="C1525" s="1820">
        <v>6518765.5300000003</v>
      </c>
      <c r="D1525" s="365">
        <v>0</v>
      </c>
      <c r="E1525" s="365">
        <v>0</v>
      </c>
      <c r="F1525" s="365">
        <v>0</v>
      </c>
      <c r="G1525" s="361">
        <v>743636.43</v>
      </c>
      <c r="H1525" s="361">
        <v>990772.65</v>
      </c>
      <c r="I1525" s="361">
        <v>757410.05</v>
      </c>
      <c r="J1525" s="361">
        <v>351053.4</v>
      </c>
      <c r="K1525" s="361">
        <v>2808860.8</v>
      </c>
      <c r="L1525" s="361">
        <v>867032.2</v>
      </c>
      <c r="M1525" s="365">
        <v>0</v>
      </c>
      <c r="N1525" s="365">
        <v>0</v>
      </c>
      <c r="O1525" s="302">
        <v>0</v>
      </c>
    </row>
    <row r="1526" spans="1:15" ht="13">
      <c r="A1526" s="359"/>
      <c r="B1526" s="1824" t="s">
        <v>1391</v>
      </c>
      <c r="C1526" s="1820">
        <v>23499</v>
      </c>
      <c r="D1526" s="365">
        <v>0</v>
      </c>
      <c r="E1526" s="365">
        <v>0</v>
      </c>
      <c r="F1526" s="365">
        <v>0</v>
      </c>
      <c r="G1526" s="365">
        <v>0</v>
      </c>
      <c r="H1526" s="365">
        <v>0</v>
      </c>
      <c r="I1526" s="365">
        <v>0</v>
      </c>
      <c r="J1526" s="361">
        <v>23499</v>
      </c>
      <c r="K1526" s="365">
        <v>0</v>
      </c>
      <c r="L1526" s="365">
        <v>0</v>
      </c>
      <c r="M1526" s="365">
        <v>0</v>
      </c>
      <c r="N1526" s="365">
        <v>0</v>
      </c>
      <c r="O1526" s="302">
        <v>0</v>
      </c>
    </row>
    <row r="1527" spans="1:15" ht="13">
      <c r="A1527" s="359"/>
      <c r="B1527" s="1824" t="s">
        <v>1386</v>
      </c>
      <c r="C1527" s="1820">
        <v>357921.3</v>
      </c>
      <c r="D1527" s="365">
        <v>0</v>
      </c>
      <c r="E1527" s="365">
        <v>0</v>
      </c>
      <c r="F1527" s="361">
        <v>44290.400000000001</v>
      </c>
      <c r="G1527" s="361">
        <v>34878.6</v>
      </c>
      <c r="H1527" s="365">
        <v>0</v>
      </c>
      <c r="I1527" s="361">
        <v>38752.25</v>
      </c>
      <c r="J1527" s="361">
        <v>124761</v>
      </c>
      <c r="K1527" s="365">
        <v>0</v>
      </c>
      <c r="L1527" s="361">
        <v>92066.11</v>
      </c>
      <c r="M1527" s="361">
        <v>23172.94</v>
      </c>
      <c r="N1527" s="365">
        <v>0</v>
      </c>
      <c r="O1527" s="302">
        <v>0</v>
      </c>
    </row>
    <row r="1528" spans="1:15" ht="13">
      <c r="A1528" s="359"/>
      <c r="B1528" s="1824" t="s">
        <v>1291</v>
      </c>
      <c r="C1528" s="1820">
        <v>4848073.3499999996</v>
      </c>
      <c r="D1528" s="361">
        <v>610405.98</v>
      </c>
      <c r="E1528" s="361">
        <v>376651.24</v>
      </c>
      <c r="F1528" s="361">
        <v>368055.58</v>
      </c>
      <c r="G1528" s="365">
        <v>0</v>
      </c>
      <c r="H1528" s="361">
        <v>236545.87</v>
      </c>
      <c r="I1528" s="361">
        <v>366633.2</v>
      </c>
      <c r="J1528" s="361">
        <v>285716.06</v>
      </c>
      <c r="K1528" s="361">
        <v>710652.76</v>
      </c>
      <c r="L1528" s="361">
        <v>645854.49</v>
      </c>
      <c r="M1528" s="361">
        <v>402704.59</v>
      </c>
      <c r="N1528" s="361">
        <v>461384.2</v>
      </c>
      <c r="O1528" s="352">
        <v>383469.4</v>
      </c>
    </row>
    <row r="1529" spans="1:15" ht="13">
      <c r="A1529" s="359"/>
      <c r="B1529" s="1824" t="s">
        <v>1261</v>
      </c>
      <c r="C1529" s="1820">
        <v>111500836.87</v>
      </c>
      <c r="D1529" s="361">
        <v>3994406.94</v>
      </c>
      <c r="E1529" s="361">
        <v>5897456.9900000002</v>
      </c>
      <c r="F1529" s="361">
        <v>3414621.03</v>
      </c>
      <c r="G1529" s="361">
        <v>7596556.9299999997</v>
      </c>
      <c r="H1529" s="361">
        <v>9482316.3200000003</v>
      </c>
      <c r="I1529" s="361">
        <v>2284804.7799999998</v>
      </c>
      <c r="J1529" s="361">
        <v>16148689.76</v>
      </c>
      <c r="K1529" s="361">
        <v>1944272.5</v>
      </c>
      <c r="L1529" s="361">
        <v>3173961.27</v>
      </c>
      <c r="M1529" s="361">
        <v>17653105.390000001</v>
      </c>
      <c r="N1529" s="361">
        <v>17053617.510000002</v>
      </c>
      <c r="O1529" s="352">
        <v>22857027.449999999</v>
      </c>
    </row>
    <row r="1530" spans="1:15" ht="13">
      <c r="A1530" s="359"/>
      <c r="B1530" s="1824" t="s">
        <v>1780</v>
      </c>
      <c r="C1530" s="1820">
        <v>2277766.27</v>
      </c>
      <c r="D1530" s="365">
        <v>0</v>
      </c>
      <c r="E1530" s="365">
        <v>0</v>
      </c>
      <c r="F1530" s="365">
        <v>0</v>
      </c>
      <c r="G1530" s="365">
        <v>0</v>
      </c>
      <c r="H1530" s="361">
        <v>181772.67</v>
      </c>
      <c r="I1530" s="361">
        <v>369048.93</v>
      </c>
      <c r="J1530" s="361">
        <v>149194.60999999999</v>
      </c>
      <c r="K1530" s="361">
        <v>28020.59</v>
      </c>
      <c r="L1530" s="361">
        <v>447964.89</v>
      </c>
      <c r="M1530" s="361">
        <v>100568.12</v>
      </c>
      <c r="N1530" s="361">
        <v>1001196.45</v>
      </c>
      <c r="O1530" s="302">
        <v>0</v>
      </c>
    </row>
    <row r="1531" spans="1:15" ht="13">
      <c r="A1531" s="359"/>
      <c r="B1531" s="1824" t="s">
        <v>1781</v>
      </c>
      <c r="C1531" s="1820">
        <v>2034896.66</v>
      </c>
      <c r="D1531" s="365">
        <v>0</v>
      </c>
      <c r="E1531" s="365">
        <v>0</v>
      </c>
      <c r="F1531" s="365">
        <v>0</v>
      </c>
      <c r="G1531" s="365">
        <v>0</v>
      </c>
      <c r="H1531" s="361">
        <v>499317.68</v>
      </c>
      <c r="I1531" s="361">
        <v>112005.75999999999</v>
      </c>
      <c r="J1531" s="361">
        <v>153216.75</v>
      </c>
      <c r="K1531" s="361">
        <v>477489.4</v>
      </c>
      <c r="L1531" s="361">
        <v>152863.88</v>
      </c>
      <c r="M1531" s="361">
        <v>206062.66</v>
      </c>
      <c r="N1531" s="361">
        <v>433940.55</v>
      </c>
      <c r="O1531" s="302">
        <v>0</v>
      </c>
    </row>
    <row r="1532" spans="1:15" ht="13">
      <c r="A1532" s="359"/>
      <c r="B1532" s="1824" t="s">
        <v>1782</v>
      </c>
      <c r="C1532" s="1820">
        <v>577976.19999999995</v>
      </c>
      <c r="D1532" s="365">
        <v>0</v>
      </c>
      <c r="E1532" s="365">
        <v>0</v>
      </c>
      <c r="F1532" s="365">
        <v>0</v>
      </c>
      <c r="G1532" s="365">
        <v>0</v>
      </c>
      <c r="H1532" s="365">
        <v>0</v>
      </c>
      <c r="I1532" s="361">
        <v>86284.35</v>
      </c>
      <c r="J1532" s="361">
        <v>14352.01</v>
      </c>
      <c r="K1532" s="365">
        <v>0</v>
      </c>
      <c r="L1532" s="361">
        <v>84143.42</v>
      </c>
      <c r="M1532" s="361">
        <v>136306.62</v>
      </c>
      <c r="N1532" s="361">
        <v>256889.79</v>
      </c>
      <c r="O1532" s="302">
        <v>0</v>
      </c>
    </row>
    <row r="1533" spans="1:15" ht="13">
      <c r="A1533" s="359"/>
      <c r="B1533" s="1824" t="s">
        <v>1783</v>
      </c>
      <c r="C1533" s="1820">
        <v>2811016.14</v>
      </c>
      <c r="D1533" s="365">
        <v>0</v>
      </c>
      <c r="E1533" s="365">
        <v>0</v>
      </c>
      <c r="F1533" s="365">
        <v>0</v>
      </c>
      <c r="G1533" s="365">
        <v>0</v>
      </c>
      <c r="H1533" s="365">
        <v>0</v>
      </c>
      <c r="I1533" s="361">
        <v>463545.67</v>
      </c>
      <c r="J1533" s="361">
        <v>325283.82</v>
      </c>
      <c r="K1533" s="361">
        <v>172450.1</v>
      </c>
      <c r="L1533" s="361">
        <v>666940.9</v>
      </c>
      <c r="M1533" s="361">
        <v>239537.14</v>
      </c>
      <c r="N1533" s="361">
        <v>943258.51</v>
      </c>
      <c r="O1533" s="302">
        <v>0</v>
      </c>
    </row>
    <row r="1534" spans="1:15" ht="13">
      <c r="A1534" s="359"/>
      <c r="B1534" s="1824" t="s">
        <v>1784</v>
      </c>
      <c r="C1534" s="1820">
        <v>2454657.41</v>
      </c>
      <c r="D1534" s="365">
        <v>0</v>
      </c>
      <c r="E1534" s="365">
        <v>0</v>
      </c>
      <c r="F1534" s="365">
        <v>0</v>
      </c>
      <c r="G1534" s="365">
        <v>0</v>
      </c>
      <c r="H1534" s="361">
        <v>499807.1</v>
      </c>
      <c r="I1534" s="361">
        <v>348371.15</v>
      </c>
      <c r="J1534" s="361">
        <v>366614.69</v>
      </c>
      <c r="K1534" s="361">
        <v>102781.17</v>
      </c>
      <c r="L1534" s="361">
        <v>254177.96</v>
      </c>
      <c r="M1534" s="361">
        <v>82410.080000000002</v>
      </c>
      <c r="N1534" s="361">
        <v>800495.25</v>
      </c>
      <c r="O1534" s="302">
        <v>0</v>
      </c>
    </row>
    <row r="1535" spans="1:15" ht="13">
      <c r="A1535" s="359"/>
      <c r="B1535" s="1824" t="s">
        <v>1785</v>
      </c>
      <c r="C1535" s="1820">
        <v>1851635.56</v>
      </c>
      <c r="D1535" s="365">
        <v>0</v>
      </c>
      <c r="E1535" s="365">
        <v>0</v>
      </c>
      <c r="F1535" s="365">
        <v>0</v>
      </c>
      <c r="G1535" s="365">
        <v>0</v>
      </c>
      <c r="H1535" s="361">
        <v>221174.31</v>
      </c>
      <c r="I1535" s="361">
        <v>526147.71</v>
      </c>
      <c r="J1535" s="361">
        <v>311275.36</v>
      </c>
      <c r="K1535" s="361">
        <v>242537.62</v>
      </c>
      <c r="L1535" s="361">
        <v>284083.7</v>
      </c>
      <c r="M1535" s="361">
        <v>100414.71</v>
      </c>
      <c r="N1535" s="361">
        <v>166002.14000000001</v>
      </c>
      <c r="O1535" s="302">
        <v>0</v>
      </c>
    </row>
    <row r="1536" spans="1:15" ht="13">
      <c r="A1536" s="359"/>
      <c r="B1536" s="1824" t="s">
        <v>1786</v>
      </c>
      <c r="C1536" s="1820">
        <v>7320801.5599999996</v>
      </c>
      <c r="D1536" s="361">
        <v>3530833.12</v>
      </c>
      <c r="E1536" s="361">
        <v>268131.24</v>
      </c>
      <c r="F1536" s="365">
        <v>0</v>
      </c>
      <c r="G1536" s="361">
        <v>313401.21999999997</v>
      </c>
      <c r="H1536" s="361">
        <v>563784.38</v>
      </c>
      <c r="I1536" s="361">
        <v>377673.84</v>
      </c>
      <c r="J1536" s="361">
        <v>352903.47</v>
      </c>
      <c r="K1536" s="361">
        <v>269612.48</v>
      </c>
      <c r="L1536" s="361">
        <v>728165.75</v>
      </c>
      <c r="M1536" s="361">
        <v>158293.54999999999</v>
      </c>
      <c r="N1536" s="361">
        <v>758002.51</v>
      </c>
      <c r="O1536" s="302">
        <v>0</v>
      </c>
    </row>
    <row r="1537" spans="1:15" ht="13">
      <c r="A1537" s="359"/>
      <c r="B1537" s="1824" t="s">
        <v>1787</v>
      </c>
      <c r="C1537" s="1820">
        <v>518941.25</v>
      </c>
      <c r="D1537" s="365">
        <v>0</v>
      </c>
      <c r="E1537" s="365">
        <v>0</v>
      </c>
      <c r="F1537" s="365">
        <v>0</v>
      </c>
      <c r="G1537" s="365">
        <v>0</v>
      </c>
      <c r="H1537" s="365">
        <v>0</v>
      </c>
      <c r="I1537" s="365">
        <v>0</v>
      </c>
      <c r="J1537" s="365">
        <v>0</v>
      </c>
      <c r="K1537" s="361">
        <v>43055.72</v>
      </c>
      <c r="L1537" s="361">
        <v>78093.64</v>
      </c>
      <c r="M1537" s="361">
        <v>63476.21</v>
      </c>
      <c r="N1537" s="361">
        <v>334315.67</v>
      </c>
      <c r="O1537" s="302">
        <v>0</v>
      </c>
    </row>
    <row r="1538" spans="1:15" ht="13">
      <c r="A1538" s="359"/>
      <c r="B1538" s="1824" t="s">
        <v>1788</v>
      </c>
      <c r="C1538" s="1820">
        <v>390340.01</v>
      </c>
      <c r="D1538" s="365">
        <v>0</v>
      </c>
      <c r="E1538" s="365">
        <v>0</v>
      </c>
      <c r="F1538" s="365">
        <v>0</v>
      </c>
      <c r="G1538" s="365">
        <v>0</v>
      </c>
      <c r="H1538" s="365">
        <v>0</v>
      </c>
      <c r="I1538" s="365">
        <v>0</v>
      </c>
      <c r="J1538" s="365">
        <v>0</v>
      </c>
      <c r="K1538" s="361">
        <v>102702.92</v>
      </c>
      <c r="L1538" s="361">
        <v>44530.58</v>
      </c>
      <c r="M1538" s="361">
        <v>31000.11</v>
      </c>
      <c r="N1538" s="361">
        <v>212106.4</v>
      </c>
      <c r="O1538" s="302">
        <v>0</v>
      </c>
    </row>
    <row r="1539" spans="1:15" ht="13">
      <c r="A1539" s="359"/>
      <c r="B1539" s="1824" t="s">
        <v>1789</v>
      </c>
      <c r="C1539" s="1820">
        <v>372084.9</v>
      </c>
      <c r="D1539" s="365">
        <v>0</v>
      </c>
      <c r="E1539" s="365">
        <v>0</v>
      </c>
      <c r="F1539" s="365">
        <v>0</v>
      </c>
      <c r="G1539" s="365">
        <v>0</v>
      </c>
      <c r="H1539" s="365">
        <v>0</v>
      </c>
      <c r="I1539" s="365">
        <v>0</v>
      </c>
      <c r="J1539" s="365">
        <v>0</v>
      </c>
      <c r="K1539" s="365">
        <v>0</v>
      </c>
      <c r="L1539" s="361">
        <v>89061.99</v>
      </c>
      <c r="M1539" s="365">
        <v>0</v>
      </c>
      <c r="N1539" s="361">
        <v>283022.90999999997</v>
      </c>
      <c r="O1539" s="302">
        <v>0</v>
      </c>
    </row>
    <row r="1540" spans="1:15" ht="13">
      <c r="A1540" s="359"/>
      <c r="B1540" s="1824" t="s">
        <v>1278</v>
      </c>
      <c r="C1540" s="1820">
        <v>9597335.4700000007</v>
      </c>
      <c r="D1540" s="361">
        <v>684047.29</v>
      </c>
      <c r="E1540" s="361">
        <v>411467.66</v>
      </c>
      <c r="F1540" s="361">
        <v>592183.36</v>
      </c>
      <c r="G1540" s="361">
        <v>648035.32999999996</v>
      </c>
      <c r="H1540" s="361">
        <v>351056.16</v>
      </c>
      <c r="I1540" s="361">
        <v>315176.55</v>
      </c>
      <c r="J1540" s="361">
        <v>762390.19</v>
      </c>
      <c r="K1540" s="361">
        <v>641408.34</v>
      </c>
      <c r="L1540" s="361">
        <v>636000.19999999995</v>
      </c>
      <c r="M1540" s="361">
        <v>1683287.27</v>
      </c>
      <c r="N1540" s="361">
        <v>1720928.69</v>
      </c>
      <c r="O1540" s="352">
        <v>1151354.43</v>
      </c>
    </row>
    <row r="1541" spans="1:15" ht="13">
      <c r="A1541" s="359"/>
      <c r="B1541" s="1824" t="s">
        <v>1758</v>
      </c>
      <c r="C1541" s="1820">
        <v>1526888.79</v>
      </c>
      <c r="D1541" s="361">
        <v>162452.78</v>
      </c>
      <c r="E1541" s="365">
        <v>0</v>
      </c>
      <c r="F1541" s="361">
        <v>402282.48</v>
      </c>
      <c r="G1541" s="365">
        <v>0</v>
      </c>
      <c r="H1541" s="365">
        <v>0</v>
      </c>
      <c r="I1541" s="365">
        <v>0</v>
      </c>
      <c r="J1541" s="365">
        <v>0</v>
      </c>
      <c r="K1541" s="361">
        <v>459769.12</v>
      </c>
      <c r="L1541" s="361">
        <v>207409.84</v>
      </c>
      <c r="M1541" s="361">
        <v>180159.8</v>
      </c>
      <c r="N1541" s="365">
        <v>0</v>
      </c>
      <c r="O1541" s="352">
        <v>114814.76</v>
      </c>
    </row>
    <row r="1542" spans="1:15" ht="13">
      <c r="A1542" s="359"/>
      <c r="B1542" s="1824" t="s">
        <v>1346</v>
      </c>
      <c r="C1542" s="1820">
        <v>2084014.45</v>
      </c>
      <c r="D1542" s="365">
        <v>0</v>
      </c>
      <c r="E1542" s="361">
        <v>90886.73</v>
      </c>
      <c r="F1542" s="361">
        <v>159328.04999999999</v>
      </c>
      <c r="G1542" s="361">
        <v>376062.16</v>
      </c>
      <c r="H1542" s="365">
        <v>0</v>
      </c>
      <c r="I1542" s="361">
        <v>166649.97</v>
      </c>
      <c r="J1542" s="361">
        <v>227483.74</v>
      </c>
      <c r="K1542" s="361">
        <v>185460.94</v>
      </c>
      <c r="L1542" s="361">
        <v>165744.26999999999</v>
      </c>
      <c r="M1542" s="361">
        <v>466144.91</v>
      </c>
      <c r="N1542" s="361">
        <v>70004.55</v>
      </c>
      <c r="O1542" s="352">
        <v>176249.13</v>
      </c>
    </row>
    <row r="1543" spans="1:15" ht="13">
      <c r="A1543" s="359"/>
      <c r="B1543" s="1824" t="s">
        <v>1327</v>
      </c>
      <c r="C1543" s="1820">
        <v>7362851.7000000002</v>
      </c>
      <c r="D1543" s="365">
        <v>0</v>
      </c>
      <c r="E1543" s="365">
        <v>0</v>
      </c>
      <c r="F1543" s="365">
        <v>0</v>
      </c>
      <c r="G1543" s="365">
        <v>0</v>
      </c>
      <c r="H1543" s="365">
        <v>0</v>
      </c>
      <c r="I1543" s="361">
        <v>1197310.1200000001</v>
      </c>
      <c r="J1543" s="361">
        <v>787025.65</v>
      </c>
      <c r="K1543" s="361">
        <v>227257.99</v>
      </c>
      <c r="L1543" s="361">
        <v>2131416.41</v>
      </c>
      <c r="M1543" s="361">
        <v>1289165.4099999999</v>
      </c>
      <c r="N1543" s="361">
        <v>-40902.839999999997</v>
      </c>
      <c r="O1543" s="352">
        <v>1771578.96</v>
      </c>
    </row>
    <row r="1544" spans="1:15" ht="13">
      <c r="A1544" s="359"/>
      <c r="B1544" s="1824" t="s">
        <v>1790</v>
      </c>
      <c r="C1544" s="1820">
        <v>2548716.8199999998</v>
      </c>
      <c r="D1544" s="361">
        <v>126063.95</v>
      </c>
      <c r="E1544" s="361">
        <v>552212.74</v>
      </c>
      <c r="F1544" s="361">
        <v>610079.57999999996</v>
      </c>
      <c r="G1544" s="361">
        <v>158131.53</v>
      </c>
      <c r="H1544" s="361">
        <v>132099.49</v>
      </c>
      <c r="I1544" s="361">
        <v>11361.31</v>
      </c>
      <c r="J1544" s="361">
        <v>637065.72</v>
      </c>
      <c r="K1544" s="361">
        <v>28402.240000000002</v>
      </c>
      <c r="L1544" s="365">
        <v>0</v>
      </c>
      <c r="M1544" s="365">
        <v>0</v>
      </c>
      <c r="N1544" s="361">
        <v>50152.7</v>
      </c>
      <c r="O1544" s="352">
        <v>243147.55</v>
      </c>
    </row>
    <row r="1545" spans="1:15" ht="13">
      <c r="A1545" s="359"/>
      <c r="B1545" s="1824" t="s">
        <v>1766</v>
      </c>
      <c r="C1545" s="1820">
        <v>146427.73000000001</v>
      </c>
      <c r="D1545" s="365">
        <v>0</v>
      </c>
      <c r="E1545" s="365">
        <v>0</v>
      </c>
      <c r="F1545" s="365">
        <v>0</v>
      </c>
      <c r="G1545" s="365">
        <v>0</v>
      </c>
      <c r="H1545" s="365">
        <v>0</v>
      </c>
      <c r="I1545" s="365">
        <v>0</v>
      </c>
      <c r="J1545" s="365">
        <v>0</v>
      </c>
      <c r="K1545" s="365">
        <v>0</v>
      </c>
      <c r="L1545" s="361">
        <v>146427.73000000001</v>
      </c>
      <c r="M1545" s="365">
        <v>0</v>
      </c>
      <c r="N1545" s="365">
        <v>0</v>
      </c>
      <c r="O1545" s="302">
        <v>0</v>
      </c>
    </row>
    <row r="1546" spans="1:15" ht="13">
      <c r="A1546" s="359"/>
      <c r="B1546" s="1824" t="s">
        <v>1357</v>
      </c>
      <c r="C1546" s="1820">
        <v>4294437.32</v>
      </c>
      <c r="D1546" s="361">
        <v>300246.84000000003</v>
      </c>
      <c r="E1546" s="361">
        <v>306925.02</v>
      </c>
      <c r="F1546" s="361">
        <v>270373.07</v>
      </c>
      <c r="G1546" s="361">
        <v>70580</v>
      </c>
      <c r="H1546" s="361">
        <v>238754.07</v>
      </c>
      <c r="I1546" s="361">
        <v>178688.91</v>
      </c>
      <c r="J1546" s="361">
        <v>177054.07999999999</v>
      </c>
      <c r="K1546" s="361">
        <v>120452.76</v>
      </c>
      <c r="L1546" s="361">
        <v>346167.83</v>
      </c>
      <c r="M1546" s="361">
        <v>353716.21</v>
      </c>
      <c r="N1546" s="361">
        <v>879007.4</v>
      </c>
      <c r="O1546" s="352">
        <v>1052471.1299999999</v>
      </c>
    </row>
    <row r="1547" spans="1:15" ht="13">
      <c r="A1547" s="359"/>
      <c r="B1547" s="1824" t="s">
        <v>1755</v>
      </c>
      <c r="C1547" s="1820">
        <v>2129500.7999999998</v>
      </c>
      <c r="D1547" s="361">
        <v>2129500.7999999998</v>
      </c>
      <c r="E1547" s="365">
        <v>0</v>
      </c>
      <c r="F1547" s="365">
        <v>0</v>
      </c>
      <c r="G1547" s="365">
        <v>0</v>
      </c>
      <c r="H1547" s="365">
        <v>0</v>
      </c>
      <c r="I1547" s="365">
        <v>0</v>
      </c>
      <c r="J1547" s="365">
        <v>0</v>
      </c>
      <c r="K1547" s="365">
        <v>0</v>
      </c>
      <c r="L1547" s="365">
        <v>0</v>
      </c>
      <c r="M1547" s="365">
        <v>0</v>
      </c>
      <c r="N1547" s="365">
        <v>0</v>
      </c>
      <c r="O1547" s="302">
        <v>0</v>
      </c>
    </row>
    <row r="1548" spans="1:15" ht="13">
      <c r="A1548" s="359"/>
      <c r="B1548" s="1824" t="s">
        <v>1331</v>
      </c>
      <c r="C1548" s="1820">
        <v>5721778.4800000004</v>
      </c>
      <c r="D1548" s="365">
        <v>0</v>
      </c>
      <c r="E1548" s="365">
        <v>0</v>
      </c>
      <c r="F1548" s="365">
        <v>0</v>
      </c>
      <c r="G1548" s="365">
        <v>0</v>
      </c>
      <c r="H1548" s="365">
        <v>0</v>
      </c>
      <c r="I1548" s="361">
        <v>689517.06</v>
      </c>
      <c r="J1548" s="361">
        <v>1072278.28</v>
      </c>
      <c r="K1548" s="361">
        <v>1561013.7</v>
      </c>
      <c r="L1548" s="361">
        <v>959361.72</v>
      </c>
      <c r="M1548" s="365">
        <v>0</v>
      </c>
      <c r="N1548" s="361">
        <v>1439607.72</v>
      </c>
      <c r="O1548" s="302">
        <v>0</v>
      </c>
    </row>
    <row r="1549" spans="1:15" ht="13">
      <c r="A1549" s="359"/>
      <c r="B1549" s="1824" t="s">
        <v>1554</v>
      </c>
      <c r="C1549" s="1820">
        <v>39384409.969999999</v>
      </c>
      <c r="D1549" s="361">
        <v>1667066.42</v>
      </c>
      <c r="E1549" s="361">
        <v>1945331.96</v>
      </c>
      <c r="F1549" s="361">
        <v>2358816.75</v>
      </c>
      <c r="G1549" s="361">
        <v>2375587.4900000002</v>
      </c>
      <c r="H1549" s="361">
        <v>1947018.84</v>
      </c>
      <c r="I1549" s="361">
        <v>1094239.57</v>
      </c>
      <c r="J1549" s="361">
        <v>160795.12</v>
      </c>
      <c r="K1549" s="361">
        <v>1486106.94</v>
      </c>
      <c r="L1549" s="361">
        <v>3987080.85</v>
      </c>
      <c r="M1549" s="361">
        <v>8383163.5899999999</v>
      </c>
      <c r="N1549" s="361">
        <v>8183504.25</v>
      </c>
      <c r="O1549" s="352">
        <v>5795698.1900000004</v>
      </c>
    </row>
    <row r="1550" spans="1:15" ht="13">
      <c r="A1550" s="359"/>
      <c r="B1550" s="1824" t="s">
        <v>1295</v>
      </c>
      <c r="C1550" s="1820">
        <v>7359510.5199999996</v>
      </c>
      <c r="D1550" s="361">
        <v>738726.86</v>
      </c>
      <c r="E1550" s="361">
        <v>949925.47</v>
      </c>
      <c r="F1550" s="361">
        <v>769130.63</v>
      </c>
      <c r="G1550" s="361">
        <v>520319.54</v>
      </c>
      <c r="H1550" s="361">
        <v>529718.09</v>
      </c>
      <c r="I1550" s="361">
        <v>298669.26</v>
      </c>
      <c r="J1550" s="361">
        <v>517840.92</v>
      </c>
      <c r="K1550" s="361">
        <v>733801.54</v>
      </c>
      <c r="L1550" s="361">
        <v>535677.56999999995</v>
      </c>
      <c r="M1550" s="365">
        <v>0</v>
      </c>
      <c r="N1550" s="361">
        <v>658525.01</v>
      </c>
      <c r="O1550" s="352">
        <v>1107175.6200000001</v>
      </c>
    </row>
    <row r="1551" spans="1:15" ht="13">
      <c r="A1551" s="359"/>
      <c r="B1551" s="1824" t="s">
        <v>1297</v>
      </c>
      <c r="C1551" s="1820">
        <v>1542089.25</v>
      </c>
      <c r="D1551" s="365">
        <v>0</v>
      </c>
      <c r="E1551" s="365">
        <v>0</v>
      </c>
      <c r="F1551" s="365">
        <v>0</v>
      </c>
      <c r="G1551" s="361">
        <v>341412.97</v>
      </c>
      <c r="H1551" s="365">
        <v>0</v>
      </c>
      <c r="I1551" s="365">
        <v>0</v>
      </c>
      <c r="J1551" s="361">
        <v>1200676.28</v>
      </c>
      <c r="K1551" s="365">
        <v>0</v>
      </c>
      <c r="L1551" s="365">
        <v>0</v>
      </c>
      <c r="M1551" s="365">
        <v>0</v>
      </c>
      <c r="N1551" s="365">
        <v>0</v>
      </c>
      <c r="O1551" s="302">
        <v>0</v>
      </c>
    </row>
    <row r="1552" spans="1:15" ht="13">
      <c r="A1552" s="359"/>
      <c r="B1552" s="1824" t="s">
        <v>1363</v>
      </c>
      <c r="C1552" s="1820">
        <v>11929802.27</v>
      </c>
      <c r="D1552" s="361">
        <v>624064.87</v>
      </c>
      <c r="E1552" s="361">
        <v>337505.55</v>
      </c>
      <c r="F1552" s="361">
        <v>997194.32</v>
      </c>
      <c r="G1552" s="361">
        <v>1399867.22</v>
      </c>
      <c r="H1552" s="361">
        <v>1009973.9</v>
      </c>
      <c r="I1552" s="361">
        <v>1115759.8899999999</v>
      </c>
      <c r="J1552" s="361">
        <v>586398.69999999995</v>
      </c>
      <c r="K1552" s="361">
        <v>785126.93</v>
      </c>
      <c r="L1552" s="361">
        <v>115300.75</v>
      </c>
      <c r="M1552" s="361">
        <v>909561.85</v>
      </c>
      <c r="N1552" s="361">
        <v>1898022.44</v>
      </c>
      <c r="O1552" s="352">
        <v>2151025.84</v>
      </c>
    </row>
    <row r="1553" spans="1:15" ht="13">
      <c r="A1553" s="359"/>
      <c r="B1553" s="1824" t="s">
        <v>1365</v>
      </c>
      <c r="C1553" s="1820">
        <v>3808746.32</v>
      </c>
      <c r="D1553" s="361">
        <v>337638.59</v>
      </c>
      <c r="E1553" s="361">
        <v>40847.120000000003</v>
      </c>
      <c r="F1553" s="361">
        <v>822233.43</v>
      </c>
      <c r="G1553" s="361">
        <v>71831.070000000007</v>
      </c>
      <c r="H1553" s="361">
        <v>342274.21</v>
      </c>
      <c r="I1553" s="361">
        <v>281835.78000000003</v>
      </c>
      <c r="J1553" s="361">
        <v>621311.9</v>
      </c>
      <c r="K1553" s="361">
        <v>374775.92</v>
      </c>
      <c r="L1553" s="365">
        <v>0</v>
      </c>
      <c r="M1553" s="361">
        <v>915998.31</v>
      </c>
      <c r="N1553" s="365">
        <v>0</v>
      </c>
      <c r="O1553" s="302">
        <v>0</v>
      </c>
    </row>
    <row r="1554" spans="1:15" ht="13">
      <c r="A1554" s="359"/>
      <c r="B1554" s="1824" t="s">
        <v>1366</v>
      </c>
      <c r="C1554" s="1820">
        <v>588636.48</v>
      </c>
      <c r="D1554" s="365">
        <v>0</v>
      </c>
      <c r="E1554" s="365">
        <v>0</v>
      </c>
      <c r="F1554" s="365">
        <v>0</v>
      </c>
      <c r="G1554" s="365">
        <v>0</v>
      </c>
      <c r="H1554" s="365">
        <v>0</v>
      </c>
      <c r="I1554" s="365">
        <v>0</v>
      </c>
      <c r="J1554" s="365">
        <v>0</v>
      </c>
      <c r="K1554" s="365">
        <v>0</v>
      </c>
      <c r="L1554" s="365">
        <v>0</v>
      </c>
      <c r="M1554" s="365">
        <v>0</v>
      </c>
      <c r="N1554" s="361">
        <v>285542.40999999997</v>
      </c>
      <c r="O1554" s="352">
        <v>303094.07</v>
      </c>
    </row>
    <row r="1555" spans="1:15" ht="13">
      <c r="A1555" s="359"/>
      <c r="B1555" s="1824" t="s">
        <v>1754</v>
      </c>
      <c r="C1555" s="1820">
        <v>16882589.670000002</v>
      </c>
      <c r="D1555" s="361">
        <v>4913205.2699999996</v>
      </c>
      <c r="E1555" s="361">
        <v>12126221.1</v>
      </c>
      <c r="F1555" s="361">
        <v>-5547041.0999999996</v>
      </c>
      <c r="G1555" s="365">
        <v>0</v>
      </c>
      <c r="H1555" s="365">
        <v>0</v>
      </c>
      <c r="I1555" s="361">
        <v>4013982</v>
      </c>
      <c r="J1555" s="361">
        <v>1376222.4</v>
      </c>
      <c r="K1555" s="365">
        <v>0</v>
      </c>
      <c r="L1555" s="365">
        <v>0</v>
      </c>
      <c r="M1555" s="365">
        <v>0</v>
      </c>
      <c r="N1555" s="365">
        <v>0</v>
      </c>
      <c r="O1555" s="302">
        <v>0</v>
      </c>
    </row>
    <row r="1556" spans="1:15" ht="13">
      <c r="A1556" s="359"/>
      <c r="B1556" s="1824" t="s">
        <v>1757</v>
      </c>
      <c r="C1556" s="1820">
        <v>1642370.26</v>
      </c>
      <c r="D1556" s="361">
        <v>1642370.26</v>
      </c>
      <c r="E1556" s="365">
        <v>0</v>
      </c>
      <c r="F1556" s="365">
        <v>0</v>
      </c>
      <c r="G1556" s="365">
        <v>0</v>
      </c>
      <c r="H1556" s="365">
        <v>0</v>
      </c>
      <c r="I1556" s="365">
        <v>0</v>
      </c>
      <c r="J1556" s="365">
        <v>0</v>
      </c>
      <c r="K1556" s="365">
        <v>0</v>
      </c>
      <c r="L1556" s="365">
        <v>0</v>
      </c>
      <c r="M1556" s="365">
        <v>0</v>
      </c>
      <c r="N1556" s="365">
        <v>0</v>
      </c>
      <c r="O1556" s="302">
        <v>0</v>
      </c>
    </row>
    <row r="1557" spans="1:15" ht="13">
      <c r="A1557" s="359"/>
      <c r="B1557" s="1824" t="s">
        <v>1374</v>
      </c>
      <c r="C1557" s="1820">
        <v>425762.92</v>
      </c>
      <c r="D1557" s="365">
        <v>0</v>
      </c>
      <c r="E1557" s="361">
        <v>134782.1</v>
      </c>
      <c r="F1557" s="365">
        <v>0</v>
      </c>
      <c r="G1557" s="365">
        <v>0</v>
      </c>
      <c r="H1557" s="361">
        <v>38563.19</v>
      </c>
      <c r="I1557" s="365">
        <v>0</v>
      </c>
      <c r="J1557" s="361">
        <v>132627.54</v>
      </c>
      <c r="K1557" s="361">
        <v>21433.84</v>
      </c>
      <c r="L1557" s="365">
        <v>0</v>
      </c>
      <c r="M1557" s="365">
        <v>0</v>
      </c>
      <c r="N1557" s="361">
        <v>98356.25</v>
      </c>
      <c r="O1557" s="302">
        <v>0</v>
      </c>
    </row>
    <row r="1558" spans="1:15" ht="13">
      <c r="A1558" s="359"/>
      <c r="B1558" s="1824" t="s">
        <v>1563</v>
      </c>
      <c r="C1558" s="1820">
        <v>883930.81</v>
      </c>
      <c r="D1558" s="361">
        <v>18852.68</v>
      </c>
      <c r="E1558" s="365">
        <v>0</v>
      </c>
      <c r="F1558" s="365">
        <v>0</v>
      </c>
      <c r="G1558" s="361">
        <v>104575.02</v>
      </c>
      <c r="H1558" s="365">
        <v>0</v>
      </c>
      <c r="I1558" s="365">
        <v>0</v>
      </c>
      <c r="J1558" s="365">
        <v>0</v>
      </c>
      <c r="K1558" s="361">
        <v>262994.13</v>
      </c>
      <c r="L1558" s="361">
        <v>49232</v>
      </c>
      <c r="M1558" s="361">
        <v>448276.98</v>
      </c>
      <c r="N1558" s="365">
        <v>0</v>
      </c>
      <c r="O1558" s="302">
        <v>0</v>
      </c>
    </row>
    <row r="1559" spans="1:15" ht="13">
      <c r="A1559" s="359"/>
      <c r="B1559" s="1824" t="s">
        <v>1385</v>
      </c>
      <c r="C1559" s="1820">
        <v>539246.76</v>
      </c>
      <c r="D1559" s="365">
        <v>0</v>
      </c>
      <c r="E1559" s="361">
        <v>86785.35</v>
      </c>
      <c r="F1559" s="365">
        <v>0</v>
      </c>
      <c r="G1559" s="361">
        <v>167126.69</v>
      </c>
      <c r="H1559" s="365">
        <v>0</v>
      </c>
      <c r="I1559" s="365">
        <v>0</v>
      </c>
      <c r="J1559" s="365">
        <v>0</v>
      </c>
      <c r="K1559" s="361">
        <v>107017.68</v>
      </c>
      <c r="L1559" s="365">
        <v>0</v>
      </c>
      <c r="M1559" s="365">
        <v>0</v>
      </c>
      <c r="N1559" s="365">
        <v>0</v>
      </c>
      <c r="O1559" s="352">
        <v>178317.04</v>
      </c>
    </row>
    <row r="1560" spans="1:15" ht="13">
      <c r="A1560" s="359"/>
      <c r="B1560" s="1824" t="s">
        <v>1768</v>
      </c>
      <c r="C1560" s="1820">
        <v>30379.360000000001</v>
      </c>
      <c r="D1560" s="361">
        <v>30379.360000000001</v>
      </c>
      <c r="E1560" s="365">
        <v>0</v>
      </c>
      <c r="F1560" s="365">
        <v>0</v>
      </c>
      <c r="G1560" s="365">
        <v>0</v>
      </c>
      <c r="H1560" s="365">
        <v>0</v>
      </c>
      <c r="I1560" s="365">
        <v>0</v>
      </c>
      <c r="J1560" s="365">
        <v>0</v>
      </c>
      <c r="K1560" s="365">
        <v>0</v>
      </c>
      <c r="L1560" s="365">
        <v>0</v>
      </c>
      <c r="M1560" s="365">
        <v>0</v>
      </c>
      <c r="N1560" s="365">
        <v>0</v>
      </c>
      <c r="O1560" s="302">
        <v>0</v>
      </c>
    </row>
    <row r="1561" spans="1:15" ht="13">
      <c r="A1561" s="359"/>
      <c r="B1561" s="1824" t="s">
        <v>1383</v>
      </c>
      <c r="C1561" s="1820">
        <v>247016.57</v>
      </c>
      <c r="D1561" s="365">
        <v>0</v>
      </c>
      <c r="E1561" s="365">
        <v>0</v>
      </c>
      <c r="F1561" s="365">
        <v>0</v>
      </c>
      <c r="G1561" s="365">
        <v>0</v>
      </c>
      <c r="H1561" s="365">
        <v>0</v>
      </c>
      <c r="I1561" s="365">
        <v>0</v>
      </c>
      <c r="J1561" s="365">
        <v>0</v>
      </c>
      <c r="K1561" s="365">
        <v>0</v>
      </c>
      <c r="L1561" s="365">
        <v>0</v>
      </c>
      <c r="M1561" s="365">
        <v>0</v>
      </c>
      <c r="N1561" s="361">
        <v>247016.57</v>
      </c>
      <c r="O1561" s="302">
        <v>0</v>
      </c>
    </row>
    <row r="1562" spans="1:15" ht="13">
      <c r="A1562" s="359"/>
      <c r="B1562" s="1824" t="s">
        <v>1302</v>
      </c>
      <c r="C1562" s="1820">
        <v>1173690</v>
      </c>
      <c r="D1562" s="365">
        <v>0</v>
      </c>
      <c r="E1562" s="365">
        <v>0</v>
      </c>
      <c r="F1562" s="365">
        <v>0</v>
      </c>
      <c r="G1562" s="365">
        <v>0</v>
      </c>
      <c r="H1562" s="365">
        <v>0</v>
      </c>
      <c r="I1562" s="365">
        <v>0</v>
      </c>
      <c r="J1562" s="365">
        <v>0</v>
      </c>
      <c r="K1562" s="365">
        <v>0</v>
      </c>
      <c r="L1562" s="365">
        <v>0</v>
      </c>
      <c r="M1562" s="365">
        <v>0</v>
      </c>
      <c r="N1562" s="365">
        <v>0</v>
      </c>
      <c r="O1562" s="352">
        <v>1173690</v>
      </c>
    </row>
    <row r="1563" spans="1:15" ht="13">
      <c r="A1563" s="359"/>
      <c r="B1563" s="1824" t="s">
        <v>1285</v>
      </c>
      <c r="C1563" s="1820">
        <v>11002006.869999999</v>
      </c>
      <c r="D1563" s="361">
        <v>930156.71</v>
      </c>
      <c r="E1563" s="361">
        <v>520312.17</v>
      </c>
      <c r="F1563" s="361">
        <v>288219.65999999997</v>
      </c>
      <c r="G1563" s="361">
        <v>1699038.95</v>
      </c>
      <c r="H1563" s="361">
        <v>604359.97</v>
      </c>
      <c r="I1563" s="361">
        <v>380561.75</v>
      </c>
      <c r="J1563" s="361">
        <v>745505.95</v>
      </c>
      <c r="K1563" s="361">
        <v>1260025.3500000001</v>
      </c>
      <c r="L1563" s="361">
        <v>977523.96</v>
      </c>
      <c r="M1563" s="361">
        <v>1021319.88</v>
      </c>
      <c r="N1563" s="361">
        <v>1232169.8600000001</v>
      </c>
      <c r="O1563" s="352">
        <v>1342812.65</v>
      </c>
    </row>
    <row r="1564" spans="1:15" ht="13">
      <c r="A1564" s="359"/>
      <c r="B1564" s="1824" t="s">
        <v>1393</v>
      </c>
      <c r="C1564" s="1820">
        <v>34367.919999999998</v>
      </c>
      <c r="D1564" s="365">
        <v>0</v>
      </c>
      <c r="E1564" s="365">
        <v>0</v>
      </c>
      <c r="F1564" s="365">
        <v>0</v>
      </c>
      <c r="G1564" s="365">
        <v>0</v>
      </c>
      <c r="H1564" s="365">
        <v>0</v>
      </c>
      <c r="I1564" s="365">
        <v>0</v>
      </c>
      <c r="J1564" s="365">
        <v>0</v>
      </c>
      <c r="K1564" s="365">
        <v>0</v>
      </c>
      <c r="L1564" s="365">
        <v>0</v>
      </c>
      <c r="M1564" s="361">
        <v>34367.919999999998</v>
      </c>
      <c r="N1564" s="365">
        <v>0</v>
      </c>
      <c r="O1564" s="302">
        <v>0</v>
      </c>
    </row>
    <row r="1565" spans="1:15" ht="13">
      <c r="A1565" s="359"/>
      <c r="B1565" s="1824" t="s">
        <v>1362</v>
      </c>
      <c r="C1565" s="1820">
        <v>2247529.77</v>
      </c>
      <c r="D1565" s="361">
        <v>236717.72</v>
      </c>
      <c r="E1565" s="361">
        <v>72724.37</v>
      </c>
      <c r="F1565" s="361">
        <v>168727.33</v>
      </c>
      <c r="G1565" s="361">
        <v>224811.18</v>
      </c>
      <c r="H1565" s="365">
        <v>0</v>
      </c>
      <c r="I1565" s="361">
        <v>323472.19</v>
      </c>
      <c r="J1565" s="361">
        <v>131062.35</v>
      </c>
      <c r="K1565" s="361">
        <v>88377.35</v>
      </c>
      <c r="L1565" s="361">
        <v>179175.69</v>
      </c>
      <c r="M1565" s="361">
        <v>188023.46</v>
      </c>
      <c r="N1565" s="361">
        <v>156792.34</v>
      </c>
      <c r="O1565" s="352">
        <v>477645.8</v>
      </c>
    </row>
    <row r="1566" spans="1:15" ht="13">
      <c r="A1566" s="359"/>
      <c r="B1566" s="1824" t="s">
        <v>1370</v>
      </c>
      <c r="C1566" s="1820">
        <v>2708685.96</v>
      </c>
      <c r="D1566" s="361">
        <v>260987.61</v>
      </c>
      <c r="E1566" s="361">
        <v>423356.85</v>
      </c>
      <c r="F1566" s="361">
        <v>385392.66</v>
      </c>
      <c r="G1566" s="361">
        <v>108704.59</v>
      </c>
      <c r="H1566" s="361">
        <v>123085.33</v>
      </c>
      <c r="I1566" s="361">
        <v>164416.68</v>
      </c>
      <c r="J1566" s="361">
        <v>264574.7</v>
      </c>
      <c r="K1566" s="365">
        <v>0</v>
      </c>
      <c r="L1566" s="361">
        <v>163579.04999999999</v>
      </c>
      <c r="M1566" s="361">
        <v>345219.37</v>
      </c>
      <c r="N1566" s="361">
        <v>282553.12</v>
      </c>
      <c r="O1566" s="352">
        <v>186816.01</v>
      </c>
    </row>
    <row r="1567" spans="1:15" ht="13">
      <c r="A1567" s="359"/>
      <c r="B1567" s="1824" t="s">
        <v>1791</v>
      </c>
      <c r="C1567" s="1820">
        <v>7177104.3300000001</v>
      </c>
      <c r="D1567" s="361">
        <v>1137017.04</v>
      </c>
      <c r="E1567" s="361">
        <v>1083654.8799999999</v>
      </c>
      <c r="F1567" s="361">
        <v>116116.16</v>
      </c>
      <c r="G1567" s="361">
        <v>524264.66</v>
      </c>
      <c r="H1567" s="361">
        <v>336318.12</v>
      </c>
      <c r="I1567" s="361">
        <v>480463.95</v>
      </c>
      <c r="J1567" s="361">
        <v>413998.06</v>
      </c>
      <c r="K1567" s="361">
        <v>644810.80000000005</v>
      </c>
      <c r="L1567" s="361">
        <v>308076.65999999997</v>
      </c>
      <c r="M1567" s="361">
        <v>587915.07999999996</v>
      </c>
      <c r="N1567" s="361">
        <v>523317.25</v>
      </c>
      <c r="O1567" s="352">
        <v>1021151.67</v>
      </c>
    </row>
    <row r="1568" spans="1:15" ht="13">
      <c r="A1568" s="359"/>
      <c r="B1568" s="1824" t="s">
        <v>1358</v>
      </c>
      <c r="C1568" s="1820">
        <v>279932.94</v>
      </c>
      <c r="D1568" s="365">
        <v>0</v>
      </c>
      <c r="E1568" s="365">
        <v>0</v>
      </c>
      <c r="F1568" s="365">
        <v>0</v>
      </c>
      <c r="G1568" s="365">
        <v>0</v>
      </c>
      <c r="H1568" s="365">
        <v>0</v>
      </c>
      <c r="I1568" s="365">
        <v>0</v>
      </c>
      <c r="J1568" s="365">
        <v>0</v>
      </c>
      <c r="K1568" s="365">
        <v>0</v>
      </c>
      <c r="L1568" s="365">
        <v>0</v>
      </c>
      <c r="M1568" s="361">
        <v>118655.37</v>
      </c>
      <c r="N1568" s="361">
        <v>93708.79</v>
      </c>
      <c r="O1568" s="352">
        <v>67568.78</v>
      </c>
    </row>
    <row r="1569" spans="1:15" ht="13">
      <c r="A1569" s="359"/>
      <c r="B1569" s="1824" t="s">
        <v>1469</v>
      </c>
      <c r="C1569" s="1820">
        <v>854938.79</v>
      </c>
      <c r="D1569" s="361">
        <v>854938.79</v>
      </c>
      <c r="E1569" s="365">
        <v>0</v>
      </c>
      <c r="F1569" s="365">
        <v>0</v>
      </c>
      <c r="G1569" s="365">
        <v>0</v>
      </c>
      <c r="H1569" s="365">
        <v>0</v>
      </c>
      <c r="I1569" s="365">
        <v>0</v>
      </c>
      <c r="J1569" s="365">
        <v>0</v>
      </c>
      <c r="K1569" s="365">
        <v>0</v>
      </c>
      <c r="L1569" s="365">
        <v>0</v>
      </c>
      <c r="M1569" s="365">
        <v>0</v>
      </c>
      <c r="N1569" s="365">
        <v>0</v>
      </c>
      <c r="O1569" s="302">
        <v>0</v>
      </c>
    </row>
    <row r="1570" spans="1:15" ht="13">
      <c r="A1570" s="359"/>
      <c r="B1570" s="1824" t="s">
        <v>1767</v>
      </c>
      <c r="C1570" s="1820">
        <v>104367.33</v>
      </c>
      <c r="D1570" s="365">
        <v>0</v>
      </c>
      <c r="E1570" s="365">
        <v>0</v>
      </c>
      <c r="F1570" s="361">
        <v>46528.01</v>
      </c>
      <c r="G1570" s="361">
        <v>6201.2</v>
      </c>
      <c r="H1570" s="361">
        <v>30409.119999999999</v>
      </c>
      <c r="I1570" s="361">
        <v>21229</v>
      </c>
      <c r="J1570" s="365">
        <v>0</v>
      </c>
      <c r="K1570" s="365">
        <v>0</v>
      </c>
      <c r="L1570" s="365">
        <v>0</v>
      </c>
      <c r="M1570" s="365">
        <v>0</v>
      </c>
      <c r="N1570" s="365">
        <v>0</v>
      </c>
      <c r="O1570" s="302">
        <v>0</v>
      </c>
    </row>
    <row r="1571" spans="1:15" ht="13">
      <c r="A1571" s="359"/>
      <c r="B1571" s="1824" t="s">
        <v>1361</v>
      </c>
      <c r="C1571" s="1820">
        <v>66258.55</v>
      </c>
      <c r="D1571" s="365">
        <v>0</v>
      </c>
      <c r="E1571" s="365">
        <v>0</v>
      </c>
      <c r="F1571" s="365">
        <v>0</v>
      </c>
      <c r="G1571" s="365">
        <v>0</v>
      </c>
      <c r="H1571" s="365">
        <v>0</v>
      </c>
      <c r="I1571" s="365">
        <v>0</v>
      </c>
      <c r="J1571" s="365">
        <v>0</v>
      </c>
      <c r="K1571" s="365">
        <v>0</v>
      </c>
      <c r="L1571" s="365">
        <v>0</v>
      </c>
      <c r="M1571" s="365">
        <v>0</v>
      </c>
      <c r="N1571" s="365">
        <v>0</v>
      </c>
      <c r="O1571" s="352">
        <v>66258.55</v>
      </c>
    </row>
    <row r="1572" spans="1:15" ht="13">
      <c r="A1572" s="359"/>
      <c r="B1572" s="1824" t="s">
        <v>1792</v>
      </c>
      <c r="C1572" s="1820">
        <v>12453193.289999999</v>
      </c>
      <c r="D1572" s="361">
        <v>724632.36</v>
      </c>
      <c r="E1572" s="361">
        <v>420958.56</v>
      </c>
      <c r="F1572" s="361">
        <v>615522.76</v>
      </c>
      <c r="G1572" s="361">
        <v>667738.62</v>
      </c>
      <c r="H1572" s="361">
        <v>1132925.73</v>
      </c>
      <c r="I1572" s="361">
        <v>1032780.13</v>
      </c>
      <c r="J1572" s="361">
        <v>900889.61</v>
      </c>
      <c r="K1572" s="361">
        <v>1268583.76</v>
      </c>
      <c r="L1572" s="361">
        <v>544628.84</v>
      </c>
      <c r="M1572" s="361">
        <v>916004.3</v>
      </c>
      <c r="N1572" s="361">
        <v>2217199.0299999998</v>
      </c>
      <c r="O1572" s="352">
        <v>2011329.6</v>
      </c>
    </row>
    <row r="1573" spans="1:15" ht="13">
      <c r="A1573" s="359"/>
      <c r="B1573" s="1824" t="s">
        <v>1347</v>
      </c>
      <c r="C1573" s="1820">
        <v>1325221.6499999999</v>
      </c>
      <c r="D1573" s="361">
        <v>215118.1</v>
      </c>
      <c r="E1573" s="361">
        <v>131052.14</v>
      </c>
      <c r="F1573" s="361">
        <v>79682.11</v>
      </c>
      <c r="G1573" s="361">
        <v>113179.74</v>
      </c>
      <c r="H1573" s="361">
        <v>103304.4</v>
      </c>
      <c r="I1573" s="361">
        <v>243281.77</v>
      </c>
      <c r="J1573" s="361">
        <v>192979.91</v>
      </c>
      <c r="K1573" s="361">
        <v>148705.12</v>
      </c>
      <c r="L1573" s="361">
        <v>33904.449999999997</v>
      </c>
      <c r="M1573" s="365">
        <v>0</v>
      </c>
      <c r="N1573" s="365">
        <v>0</v>
      </c>
      <c r="O1573" s="352">
        <v>64013.91</v>
      </c>
    </row>
    <row r="1574" spans="1:15" ht="13">
      <c r="A1574" s="359"/>
      <c r="B1574" s="1824" t="s">
        <v>1348</v>
      </c>
      <c r="C1574" s="1820">
        <v>2069057.34</v>
      </c>
      <c r="D1574" s="361">
        <v>292187.03999999998</v>
      </c>
      <c r="E1574" s="361">
        <v>106475.04</v>
      </c>
      <c r="F1574" s="361">
        <v>264060.36</v>
      </c>
      <c r="G1574" s="365">
        <v>0</v>
      </c>
      <c r="H1574" s="361">
        <v>110508.75</v>
      </c>
      <c r="I1574" s="361">
        <v>140234.87</v>
      </c>
      <c r="J1574" s="365">
        <v>0</v>
      </c>
      <c r="K1574" s="361">
        <v>228067.99</v>
      </c>
      <c r="L1574" s="361">
        <v>345729.98</v>
      </c>
      <c r="M1574" s="361">
        <v>112861.09</v>
      </c>
      <c r="N1574" s="365">
        <v>0</v>
      </c>
      <c r="O1574" s="352">
        <v>468932.22</v>
      </c>
    </row>
    <row r="1575" spans="1:15" ht="13">
      <c r="A1575" s="359"/>
      <c r="B1575" s="1824" t="s">
        <v>1263</v>
      </c>
      <c r="C1575" s="1820">
        <v>11581932.390000001</v>
      </c>
      <c r="D1575" s="365">
        <v>0</v>
      </c>
      <c r="E1575" s="365">
        <v>0</v>
      </c>
      <c r="F1575" s="365">
        <v>0</v>
      </c>
      <c r="G1575" s="365">
        <v>0</v>
      </c>
      <c r="H1575" s="361">
        <v>1354537.25</v>
      </c>
      <c r="I1575" s="365">
        <v>0</v>
      </c>
      <c r="J1575" s="361">
        <v>1663730.06</v>
      </c>
      <c r="K1575" s="361">
        <v>1185697.1000000001</v>
      </c>
      <c r="L1575" s="361">
        <v>1663802.67</v>
      </c>
      <c r="M1575" s="361">
        <v>1592577.49</v>
      </c>
      <c r="N1575" s="365">
        <v>0</v>
      </c>
      <c r="O1575" s="352">
        <v>4121587.83</v>
      </c>
    </row>
    <row r="1576" spans="1:15" ht="13">
      <c r="A1576" s="359"/>
      <c r="B1576" s="1824" t="s">
        <v>1793</v>
      </c>
      <c r="C1576" s="1820">
        <v>3755792.39</v>
      </c>
      <c r="D1576" s="365">
        <v>0</v>
      </c>
      <c r="E1576" s="365">
        <v>0</v>
      </c>
      <c r="F1576" s="365">
        <v>0</v>
      </c>
      <c r="G1576" s="365">
        <v>0</v>
      </c>
      <c r="H1576" s="365">
        <v>0</v>
      </c>
      <c r="I1576" s="365">
        <v>0</v>
      </c>
      <c r="J1576" s="365">
        <v>0</v>
      </c>
      <c r="K1576" s="365">
        <v>0</v>
      </c>
      <c r="L1576" s="361">
        <v>1113208.1599999999</v>
      </c>
      <c r="M1576" s="361">
        <v>245812.79</v>
      </c>
      <c r="N1576" s="361">
        <v>897965.01</v>
      </c>
      <c r="O1576" s="352">
        <v>1498806.44</v>
      </c>
    </row>
    <row r="1577" spans="1:15" ht="13">
      <c r="A1577" s="359"/>
      <c r="B1577" s="1824" t="s">
        <v>1303</v>
      </c>
      <c r="C1577" s="1820">
        <v>14357841</v>
      </c>
      <c r="D1577" s="361">
        <v>1350205.76</v>
      </c>
      <c r="E1577" s="361">
        <v>1261822.3700000001</v>
      </c>
      <c r="F1577" s="361">
        <v>1259626.21</v>
      </c>
      <c r="G1577" s="361">
        <v>1062529.43</v>
      </c>
      <c r="H1577" s="361">
        <v>363192.89</v>
      </c>
      <c r="I1577" s="361">
        <v>422959.87</v>
      </c>
      <c r="J1577" s="361">
        <v>1092745.77</v>
      </c>
      <c r="K1577" s="361">
        <v>879889.97</v>
      </c>
      <c r="L1577" s="361">
        <v>1096691.22</v>
      </c>
      <c r="M1577" s="361">
        <v>1199306.7</v>
      </c>
      <c r="N1577" s="361">
        <v>1184224.82</v>
      </c>
      <c r="O1577" s="352">
        <v>3184645.98</v>
      </c>
    </row>
    <row r="1578" spans="1:15" ht="13">
      <c r="A1578" s="359"/>
      <c r="B1578" s="1824" t="s">
        <v>1350</v>
      </c>
      <c r="C1578" s="1820">
        <v>2497329.23</v>
      </c>
      <c r="D1578" s="365">
        <v>0</v>
      </c>
      <c r="E1578" s="365">
        <v>0</v>
      </c>
      <c r="F1578" s="365">
        <v>0</v>
      </c>
      <c r="G1578" s="361">
        <v>191074.13</v>
      </c>
      <c r="H1578" s="361">
        <v>612771.67000000004</v>
      </c>
      <c r="I1578" s="361">
        <v>727277.68</v>
      </c>
      <c r="J1578" s="361">
        <v>49245.62</v>
      </c>
      <c r="K1578" s="365">
        <v>0</v>
      </c>
      <c r="L1578" s="361">
        <v>566776.91</v>
      </c>
      <c r="M1578" s="361">
        <v>127027.24</v>
      </c>
      <c r="N1578" s="361">
        <v>154366.20000000001</v>
      </c>
      <c r="O1578" s="352">
        <v>68789.77</v>
      </c>
    </row>
    <row r="1579" spans="1:15" ht="13">
      <c r="A1579" s="359"/>
      <c r="B1579" s="1824" t="s">
        <v>1375</v>
      </c>
      <c r="C1579" s="1820">
        <v>470029.54</v>
      </c>
      <c r="D1579" s="365">
        <v>0</v>
      </c>
      <c r="E1579" s="361">
        <v>71422.289999999994</v>
      </c>
      <c r="F1579" s="365">
        <v>0</v>
      </c>
      <c r="G1579" s="365">
        <v>0</v>
      </c>
      <c r="H1579" s="361">
        <v>45849.54</v>
      </c>
      <c r="I1579" s="365">
        <v>0</v>
      </c>
      <c r="J1579" s="361">
        <v>33361.879999999997</v>
      </c>
      <c r="K1579" s="361">
        <v>13701.83</v>
      </c>
      <c r="L1579" s="361">
        <v>68575.3</v>
      </c>
      <c r="M1579" s="361">
        <v>111260.89</v>
      </c>
      <c r="N1579" s="361">
        <v>27312.26</v>
      </c>
      <c r="O1579" s="352">
        <v>98545.55</v>
      </c>
    </row>
    <row r="1580" spans="1:15" ht="13">
      <c r="A1580" s="359"/>
      <c r="B1580" s="1824" t="s">
        <v>1305</v>
      </c>
      <c r="C1580" s="1820">
        <v>3336493.49</v>
      </c>
      <c r="D1580" s="361">
        <v>310807.25</v>
      </c>
      <c r="E1580" s="361">
        <v>180914.47</v>
      </c>
      <c r="F1580" s="365">
        <v>0</v>
      </c>
      <c r="G1580" s="361">
        <v>943326.79</v>
      </c>
      <c r="H1580" s="365">
        <v>0</v>
      </c>
      <c r="I1580" s="361">
        <v>1179533.58</v>
      </c>
      <c r="J1580" s="365">
        <v>0</v>
      </c>
      <c r="K1580" s="361">
        <v>311610.43</v>
      </c>
      <c r="L1580" s="361">
        <v>410300.97</v>
      </c>
      <c r="M1580" s="365">
        <v>0</v>
      </c>
      <c r="N1580" s="365">
        <v>0</v>
      </c>
      <c r="O1580" s="302">
        <v>0</v>
      </c>
    </row>
    <row r="1581" spans="1:15" ht="13">
      <c r="A1581" s="359"/>
      <c r="B1581" s="1824" t="s">
        <v>1380</v>
      </c>
      <c r="C1581" s="1820">
        <v>589510.79</v>
      </c>
      <c r="D1581" s="361">
        <v>23202.62</v>
      </c>
      <c r="E1581" s="361">
        <v>11833.6</v>
      </c>
      <c r="F1581" s="361">
        <v>23764.77</v>
      </c>
      <c r="G1581" s="365">
        <v>0</v>
      </c>
      <c r="H1581" s="361">
        <v>18054.27</v>
      </c>
      <c r="I1581" s="361">
        <v>67414.06</v>
      </c>
      <c r="J1581" s="361">
        <v>145998.5</v>
      </c>
      <c r="K1581" s="361">
        <v>67189.02</v>
      </c>
      <c r="L1581" s="361">
        <v>80889.990000000005</v>
      </c>
      <c r="M1581" s="361">
        <v>128526.19</v>
      </c>
      <c r="N1581" s="361">
        <v>22637.77</v>
      </c>
      <c r="O1581" s="302">
        <v>0</v>
      </c>
    </row>
    <row r="1582" spans="1:15" ht="13">
      <c r="A1582" s="359"/>
      <c r="B1582" s="1824" t="s">
        <v>1265</v>
      </c>
      <c r="C1582" s="1820">
        <v>11595230.859999999</v>
      </c>
      <c r="D1582" s="361">
        <v>978427.52</v>
      </c>
      <c r="E1582" s="361">
        <v>926375.51</v>
      </c>
      <c r="F1582" s="361">
        <v>726795.25</v>
      </c>
      <c r="G1582" s="361">
        <v>335537.76</v>
      </c>
      <c r="H1582" s="361">
        <v>807644.38</v>
      </c>
      <c r="I1582" s="361">
        <v>621944.56000000006</v>
      </c>
      <c r="J1582" s="361">
        <v>825050.87</v>
      </c>
      <c r="K1582" s="361">
        <v>490289</v>
      </c>
      <c r="L1582" s="361">
        <v>768678.23</v>
      </c>
      <c r="M1582" s="361">
        <v>1621635.63</v>
      </c>
      <c r="N1582" s="361">
        <v>1583725.49</v>
      </c>
      <c r="O1582" s="352">
        <v>1909126.66</v>
      </c>
    </row>
    <row r="1583" spans="1:15" ht="13">
      <c r="A1583" s="359"/>
      <c r="B1583" s="1824" t="s">
        <v>1349</v>
      </c>
      <c r="C1583" s="1820">
        <v>2477216.7400000002</v>
      </c>
      <c r="D1583" s="365">
        <v>0</v>
      </c>
      <c r="E1583" s="365">
        <v>0</v>
      </c>
      <c r="F1583" s="361">
        <v>548371.38</v>
      </c>
      <c r="G1583" s="361">
        <v>266418.38</v>
      </c>
      <c r="H1583" s="365">
        <v>0</v>
      </c>
      <c r="I1583" s="361">
        <v>175467.27</v>
      </c>
      <c r="J1583" s="361">
        <v>34651.26</v>
      </c>
      <c r="K1583" s="361">
        <v>163268.70000000001</v>
      </c>
      <c r="L1583" s="361">
        <v>545932.62</v>
      </c>
      <c r="M1583" s="361">
        <v>404377.48</v>
      </c>
      <c r="N1583" s="361">
        <v>338729.66</v>
      </c>
      <c r="O1583" s="302">
        <v>0</v>
      </c>
    </row>
    <row r="1584" spans="1:15" ht="13">
      <c r="A1584" s="359"/>
      <c r="B1584" s="1824" t="s">
        <v>1276</v>
      </c>
      <c r="C1584" s="1820">
        <v>3598005.39</v>
      </c>
      <c r="D1584" s="365">
        <v>0</v>
      </c>
      <c r="E1584" s="365">
        <v>0</v>
      </c>
      <c r="F1584" s="365">
        <v>0</v>
      </c>
      <c r="G1584" s="361">
        <v>186685.14</v>
      </c>
      <c r="H1584" s="361">
        <v>266453.51</v>
      </c>
      <c r="I1584" s="361">
        <v>79827.38</v>
      </c>
      <c r="J1584" s="361">
        <v>649327.75</v>
      </c>
      <c r="K1584" s="361">
        <v>317983.96999999997</v>
      </c>
      <c r="L1584" s="361">
        <v>22966.560000000001</v>
      </c>
      <c r="M1584" s="361">
        <v>506564.06</v>
      </c>
      <c r="N1584" s="361">
        <v>1230139.97</v>
      </c>
      <c r="O1584" s="352">
        <v>338057.05</v>
      </c>
    </row>
    <row r="1585" spans="1:15" ht="13">
      <c r="A1585" s="359"/>
      <c r="B1585" s="1824" t="s">
        <v>1279</v>
      </c>
      <c r="C1585" s="1820">
        <v>32718655.309999999</v>
      </c>
      <c r="D1585" s="361">
        <v>619301.97</v>
      </c>
      <c r="E1585" s="361">
        <v>1451767.12</v>
      </c>
      <c r="F1585" s="361">
        <v>2573721.39</v>
      </c>
      <c r="G1585" s="361">
        <v>1711081.37</v>
      </c>
      <c r="H1585" s="361">
        <v>2178433.9500000002</v>
      </c>
      <c r="I1585" s="361">
        <v>1441769.66</v>
      </c>
      <c r="J1585" s="361">
        <v>2619092.2599999998</v>
      </c>
      <c r="K1585" s="361">
        <v>1035559.36</v>
      </c>
      <c r="L1585" s="361">
        <v>2954759.3</v>
      </c>
      <c r="M1585" s="361">
        <v>5600731.8899999997</v>
      </c>
      <c r="N1585" s="361">
        <v>5300929.3</v>
      </c>
      <c r="O1585" s="352">
        <v>5231507.74</v>
      </c>
    </row>
    <row r="1586" spans="1:15" ht="13">
      <c r="A1586" s="359"/>
      <c r="B1586" s="1824" t="s">
        <v>1351</v>
      </c>
      <c r="C1586" s="1820">
        <v>432914.11</v>
      </c>
      <c r="D1586" s="365">
        <v>0</v>
      </c>
      <c r="E1586" s="361">
        <v>45591.360000000001</v>
      </c>
      <c r="F1586" s="361">
        <v>23570.639999999999</v>
      </c>
      <c r="G1586" s="365">
        <v>0</v>
      </c>
      <c r="H1586" s="361">
        <v>50538.61</v>
      </c>
      <c r="I1586" s="361">
        <v>40152.51</v>
      </c>
      <c r="J1586" s="361">
        <v>109991.43</v>
      </c>
      <c r="K1586" s="365">
        <v>0</v>
      </c>
      <c r="L1586" s="361">
        <v>44293.96</v>
      </c>
      <c r="M1586" s="361">
        <v>49124.76</v>
      </c>
      <c r="N1586" s="361">
        <v>69650.84</v>
      </c>
      <c r="O1586" s="302">
        <v>0</v>
      </c>
    </row>
    <row r="1587" spans="1:15" ht="13">
      <c r="A1587" s="359"/>
      <c r="B1587" s="1824" t="s">
        <v>1763</v>
      </c>
      <c r="C1587" s="1820">
        <v>684482.4</v>
      </c>
      <c r="D1587" s="361">
        <v>684482.4</v>
      </c>
      <c r="E1587" s="365">
        <v>0</v>
      </c>
      <c r="F1587" s="365">
        <v>0</v>
      </c>
      <c r="G1587" s="365">
        <v>0</v>
      </c>
      <c r="H1587" s="365">
        <v>0</v>
      </c>
      <c r="I1587" s="365">
        <v>0</v>
      </c>
      <c r="J1587" s="365">
        <v>0</v>
      </c>
      <c r="K1587" s="365">
        <v>0</v>
      </c>
      <c r="L1587" s="365">
        <v>0</v>
      </c>
      <c r="M1587" s="365">
        <v>0</v>
      </c>
      <c r="N1587" s="365">
        <v>0</v>
      </c>
      <c r="O1587" s="302">
        <v>0</v>
      </c>
    </row>
    <row r="1588" spans="1:15" ht="13">
      <c r="A1588" s="359">
        <v>25</v>
      </c>
      <c r="B1588" s="1824" t="s">
        <v>1477</v>
      </c>
      <c r="C1588" s="1820">
        <v>987847.62</v>
      </c>
      <c r="D1588" s="365">
        <v>0</v>
      </c>
      <c r="E1588" s="361">
        <v>576648.4</v>
      </c>
      <c r="F1588" s="361">
        <v>-22853.61</v>
      </c>
      <c r="G1588" s="365">
        <v>0</v>
      </c>
      <c r="H1588" s="365">
        <v>0</v>
      </c>
      <c r="I1588" s="365">
        <v>0</v>
      </c>
      <c r="J1588" s="365">
        <v>0</v>
      </c>
      <c r="K1588" s="365">
        <v>0</v>
      </c>
      <c r="L1588" s="365">
        <v>0</v>
      </c>
      <c r="M1588" s="361">
        <v>434052.83</v>
      </c>
      <c r="N1588" s="365">
        <v>0</v>
      </c>
      <c r="O1588" s="302">
        <v>0</v>
      </c>
    </row>
    <row r="1589" spans="1:15" ht="13">
      <c r="A1589" s="359"/>
      <c r="B1589" s="1824" t="s">
        <v>1439</v>
      </c>
      <c r="C1589" s="1820">
        <v>549234.65</v>
      </c>
      <c r="D1589" s="365">
        <v>0</v>
      </c>
      <c r="E1589" s="361">
        <v>205708.15</v>
      </c>
      <c r="F1589" s="365">
        <v>0</v>
      </c>
      <c r="G1589" s="365">
        <v>0</v>
      </c>
      <c r="H1589" s="365">
        <v>0</v>
      </c>
      <c r="I1589" s="365">
        <v>0</v>
      </c>
      <c r="J1589" s="365">
        <v>0</v>
      </c>
      <c r="K1589" s="365">
        <v>0</v>
      </c>
      <c r="L1589" s="365">
        <v>0</v>
      </c>
      <c r="M1589" s="361">
        <v>343526.5</v>
      </c>
      <c r="N1589" s="365">
        <v>0</v>
      </c>
      <c r="O1589" s="302">
        <v>0</v>
      </c>
    </row>
    <row r="1590" spans="1:15" ht="13">
      <c r="A1590" s="359"/>
      <c r="B1590" s="1824" t="s">
        <v>1742</v>
      </c>
      <c r="C1590" s="1820">
        <v>571739.52</v>
      </c>
      <c r="D1590" s="365">
        <v>0</v>
      </c>
      <c r="E1590" s="365">
        <v>0</v>
      </c>
      <c r="F1590" s="365">
        <v>0</v>
      </c>
      <c r="G1590" s="365">
        <v>0</v>
      </c>
      <c r="H1590" s="361">
        <v>571739.52</v>
      </c>
      <c r="I1590" s="365">
        <v>0</v>
      </c>
      <c r="J1590" s="365">
        <v>0</v>
      </c>
      <c r="K1590" s="365">
        <v>0</v>
      </c>
      <c r="L1590" s="365">
        <v>0</v>
      </c>
      <c r="M1590" s="365">
        <v>0</v>
      </c>
      <c r="N1590" s="365">
        <v>0</v>
      </c>
      <c r="O1590" s="302">
        <v>0</v>
      </c>
    </row>
    <row r="1591" spans="1:15" ht="13">
      <c r="A1591" s="359"/>
      <c r="B1591" s="1824" t="s">
        <v>1492</v>
      </c>
      <c r="C1591" s="1820">
        <v>6204545.4500000002</v>
      </c>
      <c r="D1591" s="365">
        <v>0</v>
      </c>
      <c r="E1591" s="365">
        <v>0</v>
      </c>
      <c r="F1591" s="365">
        <v>0</v>
      </c>
      <c r="G1591" s="365">
        <v>0</v>
      </c>
      <c r="H1591" s="365">
        <v>0</v>
      </c>
      <c r="I1591" s="365">
        <v>0</v>
      </c>
      <c r="J1591" s="365">
        <v>0</v>
      </c>
      <c r="K1591" s="365">
        <v>0</v>
      </c>
      <c r="L1591" s="365">
        <v>0</v>
      </c>
      <c r="M1591" s="361">
        <v>3722727.27</v>
      </c>
      <c r="N1591" s="361">
        <v>2481818.1800000002</v>
      </c>
      <c r="O1591" s="302">
        <v>0</v>
      </c>
    </row>
    <row r="1592" spans="1:15" ht="13">
      <c r="A1592" s="359"/>
      <c r="B1592" s="1824" t="s">
        <v>1451</v>
      </c>
      <c r="C1592" s="1820">
        <v>578757.02</v>
      </c>
      <c r="D1592" s="361">
        <v>250976.54</v>
      </c>
      <c r="E1592" s="365">
        <v>0</v>
      </c>
      <c r="F1592" s="365">
        <v>0</v>
      </c>
      <c r="G1592" s="365">
        <v>0</v>
      </c>
      <c r="H1592" s="365">
        <v>0</v>
      </c>
      <c r="I1592" s="365">
        <v>0</v>
      </c>
      <c r="J1592" s="365">
        <v>0</v>
      </c>
      <c r="K1592" s="365">
        <v>0</v>
      </c>
      <c r="L1592" s="365">
        <v>0</v>
      </c>
      <c r="M1592" s="361">
        <v>327780.47999999998</v>
      </c>
      <c r="N1592" s="365">
        <v>0</v>
      </c>
      <c r="O1592" s="302">
        <v>0</v>
      </c>
    </row>
    <row r="1593" spans="1:15" ht="13">
      <c r="A1593" s="359"/>
      <c r="B1593" s="1824" t="s">
        <v>1443</v>
      </c>
      <c r="C1593" s="1820">
        <v>451077.78</v>
      </c>
      <c r="D1593" s="365">
        <v>0</v>
      </c>
      <c r="E1593" s="365">
        <v>0</v>
      </c>
      <c r="F1593" s="361">
        <v>330348.61</v>
      </c>
      <c r="G1593" s="361">
        <v>120729.18</v>
      </c>
      <c r="H1593" s="365">
        <v>0</v>
      </c>
      <c r="I1593" s="365">
        <v>0</v>
      </c>
      <c r="J1593" s="365">
        <v>0</v>
      </c>
      <c r="K1593" s="365">
        <v>0</v>
      </c>
      <c r="L1593" s="365">
        <v>0</v>
      </c>
      <c r="M1593" s="365">
        <v>0</v>
      </c>
      <c r="N1593" s="365">
        <v>0</v>
      </c>
      <c r="O1593" s="302">
        <v>0</v>
      </c>
    </row>
    <row r="1594" spans="1:15" ht="13">
      <c r="A1594" s="359"/>
      <c r="B1594" s="1824" t="s">
        <v>1308</v>
      </c>
      <c r="C1594" s="1820">
        <v>5669346.29</v>
      </c>
      <c r="D1594" s="361">
        <v>253445.48</v>
      </c>
      <c r="E1594" s="361">
        <v>327151.90000000002</v>
      </c>
      <c r="F1594" s="361">
        <v>1808601.21</v>
      </c>
      <c r="G1594" s="361">
        <v>272386.26</v>
      </c>
      <c r="H1594" s="361">
        <v>74016.899999999994</v>
      </c>
      <c r="I1594" s="361">
        <v>234123.35</v>
      </c>
      <c r="J1594" s="361">
        <v>186757.51</v>
      </c>
      <c r="K1594" s="361">
        <v>122232.06</v>
      </c>
      <c r="L1594" s="365">
        <v>0</v>
      </c>
      <c r="M1594" s="361">
        <v>553916</v>
      </c>
      <c r="N1594" s="361">
        <v>1230797.46</v>
      </c>
      <c r="O1594" s="352">
        <v>605918.16</v>
      </c>
    </row>
    <row r="1595" spans="1:15" ht="13">
      <c r="A1595" s="359"/>
      <c r="B1595" s="1824" t="s">
        <v>1309</v>
      </c>
      <c r="C1595" s="1820">
        <v>611689.75</v>
      </c>
      <c r="D1595" s="365">
        <v>0</v>
      </c>
      <c r="E1595" s="365">
        <v>0</v>
      </c>
      <c r="F1595" s="365">
        <v>0</v>
      </c>
      <c r="G1595" s="361">
        <v>611689.75</v>
      </c>
      <c r="H1595" s="365">
        <v>0</v>
      </c>
      <c r="I1595" s="365">
        <v>0</v>
      </c>
      <c r="J1595" s="365">
        <v>0</v>
      </c>
      <c r="K1595" s="365">
        <v>0</v>
      </c>
      <c r="L1595" s="365">
        <v>0</v>
      </c>
      <c r="M1595" s="365">
        <v>0</v>
      </c>
      <c r="N1595" s="365">
        <v>0</v>
      </c>
      <c r="O1595" s="302">
        <v>0</v>
      </c>
    </row>
    <row r="1596" spans="1:15" ht="13">
      <c r="A1596" s="359"/>
      <c r="B1596" s="1824" t="s">
        <v>1268</v>
      </c>
      <c r="C1596" s="1820">
        <v>17968671.510000002</v>
      </c>
      <c r="D1596" s="365">
        <v>0</v>
      </c>
      <c r="E1596" s="361">
        <v>1748668.12</v>
      </c>
      <c r="F1596" s="361">
        <v>385678.98</v>
      </c>
      <c r="G1596" s="365">
        <v>0</v>
      </c>
      <c r="H1596" s="361">
        <v>4364156.24</v>
      </c>
      <c r="I1596" s="361">
        <v>2540996.13</v>
      </c>
      <c r="J1596" s="361">
        <v>1811051.76</v>
      </c>
      <c r="K1596" s="361">
        <v>2262900.86</v>
      </c>
      <c r="L1596" s="361">
        <v>2102304.96</v>
      </c>
      <c r="M1596" s="361">
        <v>939111.72</v>
      </c>
      <c r="N1596" s="361">
        <v>498255.4</v>
      </c>
      <c r="O1596" s="352">
        <v>1315547.3400000001</v>
      </c>
    </row>
    <row r="1597" spans="1:15" ht="13">
      <c r="A1597" s="359"/>
      <c r="B1597" s="1824" t="s">
        <v>1344</v>
      </c>
      <c r="C1597" s="1820">
        <v>744641.55</v>
      </c>
      <c r="D1597" s="361">
        <v>152569.82999999999</v>
      </c>
      <c r="E1597" s="365">
        <v>0</v>
      </c>
      <c r="F1597" s="361">
        <v>239417.61</v>
      </c>
      <c r="G1597" s="365">
        <v>0</v>
      </c>
      <c r="H1597" s="365">
        <v>0</v>
      </c>
      <c r="I1597" s="361">
        <v>155082.6</v>
      </c>
      <c r="J1597" s="365">
        <v>0</v>
      </c>
      <c r="K1597" s="365">
        <v>0</v>
      </c>
      <c r="L1597" s="365">
        <v>0</v>
      </c>
      <c r="M1597" s="365">
        <v>0</v>
      </c>
      <c r="N1597" s="361">
        <v>197571.51</v>
      </c>
      <c r="O1597" s="302">
        <v>0</v>
      </c>
    </row>
    <row r="1598" spans="1:15" ht="13">
      <c r="A1598" s="359"/>
      <c r="B1598" s="1824" t="s">
        <v>1319</v>
      </c>
      <c r="C1598" s="1820">
        <v>11634002.380000001</v>
      </c>
      <c r="D1598" s="361">
        <v>1144761.8</v>
      </c>
      <c r="E1598" s="361">
        <v>1191999.6000000001</v>
      </c>
      <c r="F1598" s="361">
        <v>207902.46</v>
      </c>
      <c r="G1598" s="361">
        <v>986650.28</v>
      </c>
      <c r="H1598" s="361">
        <v>1373471.86</v>
      </c>
      <c r="I1598" s="361">
        <v>416300.36</v>
      </c>
      <c r="J1598" s="361">
        <v>194746.46</v>
      </c>
      <c r="K1598" s="361">
        <v>952444.48</v>
      </c>
      <c r="L1598" s="361">
        <v>1697523.31</v>
      </c>
      <c r="M1598" s="361">
        <v>884707.82</v>
      </c>
      <c r="N1598" s="361">
        <v>1809533.94</v>
      </c>
      <c r="O1598" s="352">
        <v>773960.01</v>
      </c>
    </row>
    <row r="1599" spans="1:15" ht="13">
      <c r="A1599" s="359"/>
      <c r="B1599" s="1824" t="s">
        <v>1322</v>
      </c>
      <c r="C1599" s="1820">
        <v>5496231.0999999996</v>
      </c>
      <c r="D1599" s="361">
        <v>426597.09</v>
      </c>
      <c r="E1599" s="361">
        <v>740662.06</v>
      </c>
      <c r="F1599" s="361">
        <v>-20639.12</v>
      </c>
      <c r="G1599" s="361">
        <v>1267697.3999999999</v>
      </c>
      <c r="H1599" s="365">
        <v>0</v>
      </c>
      <c r="I1599" s="361">
        <v>405633.54</v>
      </c>
      <c r="J1599" s="361">
        <v>216557.43</v>
      </c>
      <c r="K1599" s="361">
        <v>754492.14</v>
      </c>
      <c r="L1599" s="361">
        <v>321815.07</v>
      </c>
      <c r="M1599" s="361">
        <v>486536.44</v>
      </c>
      <c r="N1599" s="361">
        <v>610043.76</v>
      </c>
      <c r="O1599" s="352">
        <v>286835.3</v>
      </c>
    </row>
    <row r="1600" spans="1:15" ht="13">
      <c r="A1600" s="359"/>
      <c r="B1600" s="1824" t="s">
        <v>1324</v>
      </c>
      <c r="C1600" s="1820">
        <v>710631.62</v>
      </c>
      <c r="D1600" s="361">
        <v>293131.62</v>
      </c>
      <c r="E1600" s="365">
        <v>0</v>
      </c>
      <c r="F1600" s="365">
        <v>0</v>
      </c>
      <c r="G1600" s="365">
        <v>0</v>
      </c>
      <c r="H1600" s="365">
        <v>0</v>
      </c>
      <c r="I1600" s="365">
        <v>0</v>
      </c>
      <c r="J1600" s="365">
        <v>0</v>
      </c>
      <c r="K1600" s="365">
        <v>0</v>
      </c>
      <c r="L1600" s="365">
        <v>0</v>
      </c>
      <c r="M1600" s="361">
        <v>417500</v>
      </c>
      <c r="N1600" s="365">
        <v>0</v>
      </c>
      <c r="O1600" s="302">
        <v>0</v>
      </c>
    </row>
    <row r="1601" spans="1:15" ht="13">
      <c r="A1601" s="359"/>
      <c r="B1601" s="1824" t="s">
        <v>1339</v>
      </c>
      <c r="C1601" s="1820">
        <v>3049578.87</v>
      </c>
      <c r="D1601" s="365">
        <v>0</v>
      </c>
      <c r="E1601" s="365">
        <v>0</v>
      </c>
      <c r="F1601" s="365">
        <v>0</v>
      </c>
      <c r="G1601" s="365">
        <v>0</v>
      </c>
      <c r="H1601" s="365">
        <v>0</v>
      </c>
      <c r="I1601" s="365">
        <v>0</v>
      </c>
      <c r="J1601" s="365">
        <v>0</v>
      </c>
      <c r="K1601" s="361">
        <v>264865.25</v>
      </c>
      <c r="L1601" s="361">
        <v>1519445.94</v>
      </c>
      <c r="M1601" s="361">
        <v>777068.55</v>
      </c>
      <c r="N1601" s="361">
        <v>256426.29</v>
      </c>
      <c r="O1601" s="352">
        <v>231772.84</v>
      </c>
    </row>
    <row r="1602" spans="1:15" ht="13">
      <c r="A1602" s="359"/>
      <c r="B1602" s="1824" t="s">
        <v>1794</v>
      </c>
      <c r="C1602" s="1820">
        <v>1558363.73</v>
      </c>
      <c r="D1602" s="361">
        <v>365710.29</v>
      </c>
      <c r="E1602" s="365">
        <v>0</v>
      </c>
      <c r="F1602" s="365">
        <v>0</v>
      </c>
      <c r="G1602" s="365">
        <v>0</v>
      </c>
      <c r="H1602" s="365">
        <v>0</v>
      </c>
      <c r="I1602" s="365">
        <v>0</v>
      </c>
      <c r="J1602" s="365">
        <v>0</v>
      </c>
      <c r="K1602" s="361">
        <v>210515.27</v>
      </c>
      <c r="L1602" s="365">
        <v>0</v>
      </c>
      <c r="M1602" s="361">
        <v>547881.93000000005</v>
      </c>
      <c r="N1602" s="361">
        <v>220265.43</v>
      </c>
      <c r="O1602" s="352">
        <v>213990.8</v>
      </c>
    </row>
    <row r="1603" spans="1:15" ht="13">
      <c r="A1603" s="359"/>
      <c r="B1603" s="1824" t="s">
        <v>1795</v>
      </c>
      <c r="C1603" s="1820">
        <v>37030.58</v>
      </c>
      <c r="D1603" s="365">
        <v>0</v>
      </c>
      <c r="E1603" s="361">
        <v>37030.58</v>
      </c>
      <c r="F1603" s="365">
        <v>0</v>
      </c>
      <c r="G1603" s="365">
        <v>0</v>
      </c>
      <c r="H1603" s="365">
        <v>0</v>
      </c>
      <c r="I1603" s="365">
        <v>0</v>
      </c>
      <c r="J1603" s="365">
        <v>0</v>
      </c>
      <c r="K1603" s="365">
        <v>0</v>
      </c>
      <c r="L1603" s="365">
        <v>0</v>
      </c>
      <c r="M1603" s="365">
        <v>0</v>
      </c>
      <c r="N1603" s="365">
        <v>0</v>
      </c>
      <c r="O1603" s="302">
        <v>0</v>
      </c>
    </row>
    <row r="1604" spans="1:15" ht="13">
      <c r="A1604" s="359"/>
      <c r="B1604" s="1824" t="s">
        <v>1435</v>
      </c>
      <c r="C1604" s="1820">
        <v>1443027.22</v>
      </c>
      <c r="D1604" s="365">
        <v>0</v>
      </c>
      <c r="E1604" s="365">
        <v>0</v>
      </c>
      <c r="F1604" s="365">
        <v>0</v>
      </c>
      <c r="G1604" s="365">
        <v>0</v>
      </c>
      <c r="H1604" s="365">
        <v>0</v>
      </c>
      <c r="I1604" s="365">
        <v>0</v>
      </c>
      <c r="J1604" s="365">
        <v>0</v>
      </c>
      <c r="K1604" s="365">
        <v>0</v>
      </c>
      <c r="L1604" s="361">
        <v>624525.31000000006</v>
      </c>
      <c r="M1604" s="361">
        <v>533504.96</v>
      </c>
      <c r="N1604" s="365">
        <v>0</v>
      </c>
      <c r="O1604" s="352">
        <v>284996.95</v>
      </c>
    </row>
    <row r="1605" spans="1:15" ht="13">
      <c r="A1605" s="359"/>
      <c r="B1605" s="1824" t="s">
        <v>1402</v>
      </c>
      <c r="C1605" s="1820">
        <v>6092420.3200000003</v>
      </c>
      <c r="D1605" s="365">
        <v>0</v>
      </c>
      <c r="E1605" s="365">
        <v>0</v>
      </c>
      <c r="F1605" s="365">
        <v>0</v>
      </c>
      <c r="G1605" s="365">
        <v>0</v>
      </c>
      <c r="H1605" s="361">
        <v>3570000</v>
      </c>
      <c r="I1605" s="361">
        <v>2100000.0499999998</v>
      </c>
      <c r="J1605" s="365">
        <v>0</v>
      </c>
      <c r="K1605" s="365">
        <v>0</v>
      </c>
      <c r="L1605" s="361">
        <v>99485.18</v>
      </c>
      <c r="M1605" s="361">
        <v>322935.08</v>
      </c>
      <c r="N1605" s="365">
        <v>0</v>
      </c>
      <c r="O1605" s="302">
        <v>0</v>
      </c>
    </row>
    <row r="1606" spans="1:15" ht="13">
      <c r="A1606" s="359"/>
      <c r="B1606" s="1824" t="s">
        <v>1796</v>
      </c>
      <c r="C1606" s="1820">
        <v>71823.199999999997</v>
      </c>
      <c r="D1606" s="365">
        <v>0</v>
      </c>
      <c r="E1606" s="365">
        <v>0</v>
      </c>
      <c r="F1606" s="365">
        <v>0</v>
      </c>
      <c r="G1606" s="365">
        <v>0</v>
      </c>
      <c r="H1606" s="365">
        <v>0</v>
      </c>
      <c r="I1606" s="365">
        <v>0</v>
      </c>
      <c r="J1606" s="361">
        <v>71823.199999999997</v>
      </c>
      <c r="K1606" s="365">
        <v>0</v>
      </c>
      <c r="L1606" s="365">
        <v>0</v>
      </c>
      <c r="M1606" s="365">
        <v>0</v>
      </c>
      <c r="N1606" s="365">
        <v>0</v>
      </c>
      <c r="O1606" s="302">
        <v>0</v>
      </c>
    </row>
    <row r="1607" spans="1:15" ht="13">
      <c r="A1607" s="359"/>
      <c r="B1607" s="1824" t="s">
        <v>1574</v>
      </c>
      <c r="C1607" s="1820">
        <v>2046085</v>
      </c>
      <c r="D1607" s="361">
        <v>275645.95</v>
      </c>
      <c r="E1607" s="361">
        <v>25263</v>
      </c>
      <c r="F1607" s="365">
        <v>0</v>
      </c>
      <c r="G1607" s="361">
        <v>304778.15000000002</v>
      </c>
      <c r="H1607" s="361">
        <v>307597.65999999997</v>
      </c>
      <c r="I1607" s="365">
        <v>0</v>
      </c>
      <c r="J1607" s="361">
        <v>476313.78</v>
      </c>
      <c r="K1607" s="361">
        <v>333966.44</v>
      </c>
      <c r="L1607" s="361">
        <v>201939.01</v>
      </c>
      <c r="M1607" s="361">
        <v>120581.02</v>
      </c>
      <c r="N1607" s="365">
        <v>0</v>
      </c>
      <c r="O1607" s="302">
        <v>0</v>
      </c>
    </row>
    <row r="1608" spans="1:15" ht="13">
      <c r="A1608" s="359"/>
      <c r="B1608" s="1824" t="s">
        <v>1575</v>
      </c>
      <c r="C1608" s="1820">
        <v>11399170.24</v>
      </c>
      <c r="D1608" s="361">
        <v>1319000.6499999999</v>
      </c>
      <c r="E1608" s="361">
        <v>318379.67</v>
      </c>
      <c r="F1608" s="365">
        <v>0</v>
      </c>
      <c r="G1608" s="361">
        <v>616089.26</v>
      </c>
      <c r="H1608" s="365">
        <v>0</v>
      </c>
      <c r="I1608" s="365">
        <v>0</v>
      </c>
      <c r="J1608" s="361">
        <v>1003580.83</v>
      </c>
      <c r="K1608" s="361">
        <v>1916016.65</v>
      </c>
      <c r="L1608" s="361">
        <v>807899.04</v>
      </c>
      <c r="M1608" s="361">
        <v>744271.44</v>
      </c>
      <c r="N1608" s="361">
        <v>2946112.97</v>
      </c>
      <c r="O1608" s="352">
        <v>1727819.73</v>
      </c>
    </row>
    <row r="1609" spans="1:15" ht="13">
      <c r="A1609" s="359"/>
      <c r="B1609" s="1824" t="s">
        <v>1740</v>
      </c>
      <c r="C1609" s="1820">
        <v>1195628.78</v>
      </c>
      <c r="D1609" s="365">
        <v>0</v>
      </c>
      <c r="E1609" s="365">
        <v>0</v>
      </c>
      <c r="F1609" s="365">
        <v>0</v>
      </c>
      <c r="G1609" s="361">
        <v>361338.64</v>
      </c>
      <c r="H1609" s="361">
        <v>339604.92</v>
      </c>
      <c r="I1609" s="361">
        <v>93137.45</v>
      </c>
      <c r="J1609" s="361">
        <v>148453.51999999999</v>
      </c>
      <c r="K1609" s="365">
        <v>0</v>
      </c>
      <c r="L1609" s="361">
        <v>129802.8</v>
      </c>
      <c r="M1609" s="361">
        <v>123291.45</v>
      </c>
      <c r="N1609" s="365">
        <v>0</v>
      </c>
      <c r="O1609" s="302">
        <v>0</v>
      </c>
    </row>
    <row r="1610" spans="1:15" ht="13">
      <c r="A1610" s="359"/>
      <c r="B1610" s="1824" t="s">
        <v>1745</v>
      </c>
      <c r="C1610" s="1820">
        <v>492163.3</v>
      </c>
      <c r="D1610" s="365">
        <v>0</v>
      </c>
      <c r="E1610" s="365">
        <v>0</v>
      </c>
      <c r="F1610" s="365">
        <v>0</v>
      </c>
      <c r="G1610" s="365">
        <v>0</v>
      </c>
      <c r="H1610" s="365">
        <v>0</v>
      </c>
      <c r="I1610" s="365">
        <v>0</v>
      </c>
      <c r="J1610" s="365">
        <v>0</v>
      </c>
      <c r="K1610" s="361">
        <v>207551.91</v>
      </c>
      <c r="L1610" s="361">
        <v>127381.41</v>
      </c>
      <c r="M1610" s="365">
        <v>0</v>
      </c>
      <c r="N1610" s="365">
        <v>0</v>
      </c>
      <c r="O1610" s="352">
        <v>157229.98000000001</v>
      </c>
    </row>
    <row r="1611" spans="1:15" ht="13">
      <c r="A1611" s="359"/>
      <c r="B1611" s="1824" t="s">
        <v>587</v>
      </c>
      <c r="C1611" s="1820">
        <v>136353.65</v>
      </c>
      <c r="D1611" s="365">
        <v>0</v>
      </c>
      <c r="E1611" s="365">
        <v>0</v>
      </c>
      <c r="F1611" s="365">
        <v>0</v>
      </c>
      <c r="G1611" s="365">
        <v>0</v>
      </c>
      <c r="H1611" s="365">
        <v>0</v>
      </c>
      <c r="I1611" s="365">
        <v>0</v>
      </c>
      <c r="J1611" s="365">
        <v>0</v>
      </c>
      <c r="K1611" s="365">
        <v>0</v>
      </c>
      <c r="L1611" s="365">
        <v>0</v>
      </c>
      <c r="M1611" s="365">
        <v>0</v>
      </c>
      <c r="N1611" s="361">
        <v>136353.65</v>
      </c>
      <c r="O1611" s="302">
        <v>0</v>
      </c>
    </row>
    <row r="1612" spans="1:15" ht="13">
      <c r="A1612" s="359"/>
      <c r="B1612" s="1824" t="s">
        <v>641</v>
      </c>
      <c r="C1612" s="1820">
        <v>9261205.1999999993</v>
      </c>
      <c r="D1612" s="361">
        <v>527819.42000000004</v>
      </c>
      <c r="E1612" s="361">
        <v>32982.480000000003</v>
      </c>
      <c r="F1612" s="361">
        <v>959725.42</v>
      </c>
      <c r="G1612" s="361">
        <v>1446449.14</v>
      </c>
      <c r="H1612" s="361">
        <v>822950.18</v>
      </c>
      <c r="I1612" s="361">
        <v>776213.98</v>
      </c>
      <c r="J1612" s="361">
        <v>625680.41</v>
      </c>
      <c r="K1612" s="361">
        <v>1186225.6100000001</v>
      </c>
      <c r="L1612" s="361">
        <v>614920.77</v>
      </c>
      <c r="M1612" s="361">
        <v>729026.12</v>
      </c>
      <c r="N1612" s="361">
        <v>1148928.43</v>
      </c>
      <c r="O1612" s="352">
        <v>390283.23</v>
      </c>
    </row>
    <row r="1613" spans="1:15" ht="13">
      <c r="A1613" s="359"/>
      <c r="B1613" s="1824" t="s">
        <v>1337</v>
      </c>
      <c r="C1613" s="1820">
        <v>26414767.43</v>
      </c>
      <c r="D1613" s="361">
        <v>523353.83</v>
      </c>
      <c r="E1613" s="361">
        <v>1884928.85</v>
      </c>
      <c r="F1613" s="361">
        <v>641102.97</v>
      </c>
      <c r="G1613" s="361">
        <v>297270.63</v>
      </c>
      <c r="H1613" s="365">
        <v>0</v>
      </c>
      <c r="I1613" s="361">
        <v>446492.51</v>
      </c>
      <c r="J1613" s="361">
        <v>7306971.7999999998</v>
      </c>
      <c r="K1613" s="361">
        <v>9375043.1799999997</v>
      </c>
      <c r="L1613" s="361">
        <v>1473383.05</v>
      </c>
      <c r="M1613" s="361">
        <v>619647.25</v>
      </c>
      <c r="N1613" s="361">
        <v>3304847.27</v>
      </c>
      <c r="O1613" s="352">
        <v>541726.1</v>
      </c>
    </row>
    <row r="1614" spans="1:15" ht="13">
      <c r="A1614" s="359"/>
      <c r="B1614" s="1824" t="s">
        <v>1576</v>
      </c>
      <c r="C1614" s="1820">
        <v>4116369.34</v>
      </c>
      <c r="D1614" s="361">
        <v>755182.44</v>
      </c>
      <c r="E1614" s="361">
        <v>297309.71000000002</v>
      </c>
      <c r="F1614" s="361">
        <v>941863.08</v>
      </c>
      <c r="G1614" s="361">
        <v>852163.04</v>
      </c>
      <c r="H1614" s="361">
        <v>509163.74</v>
      </c>
      <c r="I1614" s="361">
        <v>512975.92</v>
      </c>
      <c r="J1614" s="365">
        <v>0</v>
      </c>
      <c r="K1614" s="361">
        <v>209502.22</v>
      </c>
      <c r="L1614" s="361">
        <v>38209.199999999997</v>
      </c>
      <c r="M1614" s="365">
        <v>0</v>
      </c>
      <c r="N1614" s="365">
        <v>0</v>
      </c>
      <c r="O1614" s="302">
        <v>0</v>
      </c>
    </row>
    <row r="1615" spans="1:15" ht="13">
      <c r="A1615" s="359"/>
      <c r="B1615" s="1824" t="s">
        <v>1797</v>
      </c>
      <c r="C1615" s="1820">
        <v>10814082.32</v>
      </c>
      <c r="D1615" s="365">
        <v>0</v>
      </c>
      <c r="E1615" s="365">
        <v>0</v>
      </c>
      <c r="F1615" s="365">
        <v>0</v>
      </c>
      <c r="G1615" s="365">
        <v>0</v>
      </c>
      <c r="H1615" s="365">
        <v>0</v>
      </c>
      <c r="I1615" s="365">
        <v>0</v>
      </c>
      <c r="J1615" s="365">
        <v>0</v>
      </c>
      <c r="K1615" s="365">
        <v>0</v>
      </c>
      <c r="L1615" s="365">
        <v>0</v>
      </c>
      <c r="M1615" s="361">
        <v>2864877.43</v>
      </c>
      <c r="N1615" s="361">
        <v>4079068.27</v>
      </c>
      <c r="O1615" s="352">
        <v>3870136.62</v>
      </c>
    </row>
    <row r="1616" spans="1:15" ht="13">
      <c r="A1616" s="359"/>
      <c r="B1616" s="1824" t="s">
        <v>1577</v>
      </c>
      <c r="C1616" s="1820">
        <v>17914697.449999999</v>
      </c>
      <c r="D1616" s="361">
        <v>1380788.59</v>
      </c>
      <c r="E1616" s="361">
        <v>612019.78</v>
      </c>
      <c r="F1616" s="361">
        <v>1872005.2</v>
      </c>
      <c r="G1616" s="361">
        <v>733312.1</v>
      </c>
      <c r="H1616" s="361">
        <v>1108246.25</v>
      </c>
      <c r="I1616" s="361">
        <v>1048959.3799999999</v>
      </c>
      <c r="J1616" s="361">
        <v>4417929.3099999996</v>
      </c>
      <c r="K1616" s="361">
        <v>2640743.1</v>
      </c>
      <c r="L1616" s="361">
        <v>1993640.32</v>
      </c>
      <c r="M1616" s="361">
        <v>2107053.42</v>
      </c>
      <c r="N1616" s="365">
        <v>0</v>
      </c>
      <c r="O1616" s="302">
        <v>0</v>
      </c>
    </row>
    <row r="1617" spans="1:15" ht="13">
      <c r="A1617" s="359"/>
      <c r="B1617" s="1824" t="s">
        <v>1270</v>
      </c>
      <c r="C1617" s="1820">
        <v>14721722.4</v>
      </c>
      <c r="D1617" s="361">
        <v>1351429.36</v>
      </c>
      <c r="E1617" s="361">
        <v>1198973.2</v>
      </c>
      <c r="F1617" s="361">
        <v>876228.2</v>
      </c>
      <c r="G1617" s="361">
        <v>851643.76</v>
      </c>
      <c r="H1617" s="361">
        <v>986193.32</v>
      </c>
      <c r="I1617" s="361">
        <v>461168.96</v>
      </c>
      <c r="J1617" s="361">
        <v>771412.72</v>
      </c>
      <c r="K1617" s="361">
        <v>2399676.4700000002</v>
      </c>
      <c r="L1617" s="361">
        <v>677967.63</v>
      </c>
      <c r="M1617" s="361">
        <v>2147098.54</v>
      </c>
      <c r="N1617" s="361">
        <v>1091974.52</v>
      </c>
      <c r="O1617" s="352">
        <v>1907955.73</v>
      </c>
    </row>
    <row r="1618" spans="1:15" ht="13">
      <c r="A1618" s="359"/>
      <c r="B1618" s="1824" t="s">
        <v>1317</v>
      </c>
      <c r="C1618" s="1820">
        <v>17709659.66</v>
      </c>
      <c r="D1618" s="361">
        <v>701382.19</v>
      </c>
      <c r="E1618" s="361">
        <v>1870126.72</v>
      </c>
      <c r="F1618" s="361">
        <v>634799.74</v>
      </c>
      <c r="G1618" s="361">
        <v>471603.32</v>
      </c>
      <c r="H1618" s="361">
        <v>2566230.4300000002</v>
      </c>
      <c r="I1618" s="361">
        <v>515316.77</v>
      </c>
      <c r="J1618" s="361">
        <v>2809485.61</v>
      </c>
      <c r="K1618" s="361">
        <v>1613591.64</v>
      </c>
      <c r="L1618" s="361">
        <v>1831127.48</v>
      </c>
      <c r="M1618" s="361">
        <v>2539193.58</v>
      </c>
      <c r="N1618" s="361">
        <v>1795981.01</v>
      </c>
      <c r="O1618" s="352">
        <v>360821.17</v>
      </c>
    </row>
    <row r="1619" spans="1:15" ht="13">
      <c r="A1619" s="359"/>
      <c r="B1619" s="1824" t="s">
        <v>1264</v>
      </c>
      <c r="C1619" s="1820">
        <v>12157179.75</v>
      </c>
      <c r="D1619" s="361">
        <v>775044.1</v>
      </c>
      <c r="E1619" s="361">
        <v>2391023.7999999998</v>
      </c>
      <c r="F1619" s="361">
        <v>541164.73</v>
      </c>
      <c r="G1619" s="361">
        <v>469101.03</v>
      </c>
      <c r="H1619" s="361">
        <v>1037557.36</v>
      </c>
      <c r="I1619" s="361">
        <v>835682.73</v>
      </c>
      <c r="J1619" s="361">
        <v>656896.56999999995</v>
      </c>
      <c r="K1619" s="361">
        <v>1339531.94</v>
      </c>
      <c r="L1619" s="361">
        <v>1327428.3700000001</v>
      </c>
      <c r="M1619" s="361">
        <v>1375078.3</v>
      </c>
      <c r="N1619" s="361">
        <v>999219.81</v>
      </c>
      <c r="O1619" s="352">
        <v>409451</v>
      </c>
    </row>
    <row r="1620" spans="1:15" ht="13">
      <c r="A1620" s="359"/>
      <c r="B1620" s="1824" t="s">
        <v>1433</v>
      </c>
      <c r="C1620" s="1820">
        <v>2495576.64</v>
      </c>
      <c r="D1620" s="365">
        <v>0</v>
      </c>
      <c r="E1620" s="365">
        <v>0</v>
      </c>
      <c r="F1620" s="365">
        <v>0</v>
      </c>
      <c r="G1620" s="361">
        <v>732733.02</v>
      </c>
      <c r="H1620" s="361">
        <v>238279.9</v>
      </c>
      <c r="I1620" s="365">
        <v>0</v>
      </c>
      <c r="J1620" s="365">
        <v>0</v>
      </c>
      <c r="K1620" s="365">
        <v>0</v>
      </c>
      <c r="L1620" s="365">
        <v>0</v>
      </c>
      <c r="M1620" s="365">
        <v>0</v>
      </c>
      <c r="N1620" s="361">
        <v>1524563.73</v>
      </c>
      <c r="O1620" s="302">
        <v>0</v>
      </c>
    </row>
    <row r="1621" spans="1:15" ht="13">
      <c r="A1621" s="359"/>
      <c r="B1621" s="1824" t="s">
        <v>1741</v>
      </c>
      <c r="C1621" s="1820">
        <v>774458.75</v>
      </c>
      <c r="D1621" s="361">
        <v>448641.58</v>
      </c>
      <c r="E1621" s="361">
        <v>234736.24</v>
      </c>
      <c r="F1621" s="361">
        <v>91080.94</v>
      </c>
      <c r="G1621" s="365">
        <v>0</v>
      </c>
      <c r="H1621" s="365">
        <v>0</v>
      </c>
      <c r="I1621" s="365">
        <v>0</v>
      </c>
      <c r="J1621" s="365">
        <v>0</v>
      </c>
      <c r="K1621" s="365">
        <v>0</v>
      </c>
      <c r="L1621" s="365">
        <v>0</v>
      </c>
      <c r="M1621" s="365">
        <v>0</v>
      </c>
      <c r="N1621" s="365">
        <v>0</v>
      </c>
      <c r="O1621" s="302">
        <v>0</v>
      </c>
    </row>
    <row r="1622" spans="1:15" ht="13">
      <c r="A1622" s="359"/>
      <c r="B1622" s="1824" t="s">
        <v>1748</v>
      </c>
      <c r="C1622" s="1820">
        <v>387361.44</v>
      </c>
      <c r="D1622" s="361">
        <v>387361.44</v>
      </c>
      <c r="E1622" s="365">
        <v>0</v>
      </c>
      <c r="F1622" s="365">
        <v>0</v>
      </c>
      <c r="G1622" s="365">
        <v>0</v>
      </c>
      <c r="H1622" s="365">
        <v>0</v>
      </c>
      <c r="I1622" s="365">
        <v>0</v>
      </c>
      <c r="J1622" s="365">
        <v>0</v>
      </c>
      <c r="K1622" s="365">
        <v>0</v>
      </c>
      <c r="L1622" s="365">
        <v>0</v>
      </c>
      <c r="M1622" s="365">
        <v>0</v>
      </c>
      <c r="N1622" s="365">
        <v>0</v>
      </c>
      <c r="O1622" s="302">
        <v>0</v>
      </c>
    </row>
    <row r="1623" spans="1:15" ht="13">
      <c r="A1623" s="359"/>
      <c r="B1623" s="1824" t="s">
        <v>1750</v>
      </c>
      <c r="C1623" s="1820">
        <v>166551.43</v>
      </c>
      <c r="D1623" s="361">
        <v>120515.77</v>
      </c>
      <c r="E1623" s="365">
        <v>0</v>
      </c>
      <c r="F1623" s="365">
        <v>0</v>
      </c>
      <c r="G1623" s="361">
        <v>46035.66</v>
      </c>
      <c r="H1623" s="365">
        <v>0</v>
      </c>
      <c r="I1623" s="365">
        <v>0</v>
      </c>
      <c r="J1623" s="365">
        <v>0</v>
      </c>
      <c r="K1623" s="365">
        <v>0</v>
      </c>
      <c r="L1623" s="365">
        <v>0</v>
      </c>
      <c r="M1623" s="365">
        <v>0</v>
      </c>
      <c r="N1623" s="365">
        <v>0</v>
      </c>
      <c r="O1623" s="302">
        <v>0</v>
      </c>
    </row>
    <row r="1624" spans="1:15" ht="13">
      <c r="A1624" s="359"/>
      <c r="B1624" s="1824" t="s">
        <v>1430</v>
      </c>
      <c r="C1624" s="1820">
        <v>65836.92</v>
      </c>
      <c r="D1624" s="365">
        <v>0</v>
      </c>
      <c r="E1624" s="365">
        <v>0</v>
      </c>
      <c r="F1624" s="365">
        <v>0</v>
      </c>
      <c r="G1624" s="365">
        <v>0</v>
      </c>
      <c r="H1624" s="365">
        <v>0</v>
      </c>
      <c r="I1624" s="365">
        <v>0</v>
      </c>
      <c r="J1624" s="361">
        <v>65836.92</v>
      </c>
      <c r="K1624" s="365">
        <v>0</v>
      </c>
      <c r="L1624" s="365">
        <v>0</v>
      </c>
      <c r="M1624" s="365">
        <v>0</v>
      </c>
      <c r="N1624" s="365">
        <v>0</v>
      </c>
      <c r="O1624" s="302">
        <v>0</v>
      </c>
    </row>
    <row r="1625" spans="1:15" ht="13">
      <c r="A1625" s="359"/>
      <c r="B1625" s="1824" t="s">
        <v>1400</v>
      </c>
      <c r="C1625" s="1820">
        <v>19519242.219999999</v>
      </c>
      <c r="D1625" s="365">
        <v>0</v>
      </c>
      <c r="E1625" s="365">
        <v>0</v>
      </c>
      <c r="F1625" s="365">
        <v>0</v>
      </c>
      <c r="G1625" s="365">
        <v>0</v>
      </c>
      <c r="H1625" s="365">
        <v>0</v>
      </c>
      <c r="I1625" s="361">
        <v>8478107.3300000001</v>
      </c>
      <c r="J1625" s="361">
        <v>-208560.04</v>
      </c>
      <c r="K1625" s="365">
        <v>0</v>
      </c>
      <c r="L1625" s="365">
        <v>0</v>
      </c>
      <c r="M1625" s="365">
        <v>0</v>
      </c>
      <c r="N1625" s="365">
        <v>0</v>
      </c>
      <c r="O1625" s="352">
        <v>11249694.93</v>
      </c>
    </row>
    <row r="1626" spans="1:15" ht="13">
      <c r="A1626" s="359"/>
      <c r="B1626" s="1824" t="s">
        <v>1743</v>
      </c>
      <c r="C1626" s="1820">
        <v>530185.71</v>
      </c>
      <c r="D1626" s="361">
        <v>530185.71</v>
      </c>
      <c r="E1626" s="365">
        <v>0</v>
      </c>
      <c r="F1626" s="365">
        <v>0</v>
      </c>
      <c r="G1626" s="365">
        <v>0</v>
      </c>
      <c r="H1626" s="365">
        <v>0</v>
      </c>
      <c r="I1626" s="365">
        <v>0</v>
      </c>
      <c r="J1626" s="365">
        <v>0</v>
      </c>
      <c r="K1626" s="365">
        <v>0</v>
      </c>
      <c r="L1626" s="365">
        <v>0</v>
      </c>
      <c r="M1626" s="365">
        <v>0</v>
      </c>
      <c r="N1626" s="365">
        <v>0</v>
      </c>
      <c r="O1626" s="302">
        <v>0</v>
      </c>
    </row>
    <row r="1627" spans="1:15" ht="13">
      <c r="A1627" s="359"/>
      <c r="B1627" s="1824" t="s">
        <v>1431</v>
      </c>
      <c r="C1627" s="1820">
        <v>1389988.57</v>
      </c>
      <c r="D1627" s="365">
        <v>0</v>
      </c>
      <c r="E1627" s="365">
        <v>0</v>
      </c>
      <c r="F1627" s="361">
        <v>150035.69</v>
      </c>
      <c r="G1627" s="365">
        <v>0</v>
      </c>
      <c r="H1627" s="361">
        <v>82626.070000000007</v>
      </c>
      <c r="I1627" s="361">
        <v>118745.03</v>
      </c>
      <c r="J1627" s="361">
        <v>132741.29999999999</v>
      </c>
      <c r="K1627" s="365">
        <v>0</v>
      </c>
      <c r="L1627" s="361">
        <v>237734.7</v>
      </c>
      <c r="M1627" s="361">
        <v>123876</v>
      </c>
      <c r="N1627" s="361">
        <v>427816.6</v>
      </c>
      <c r="O1627" s="352">
        <v>116413.18</v>
      </c>
    </row>
    <row r="1628" spans="1:15" ht="13">
      <c r="A1628" s="359"/>
      <c r="B1628" s="1824" t="s">
        <v>1273</v>
      </c>
      <c r="C1628" s="1820">
        <v>5963292.8600000003</v>
      </c>
      <c r="D1628" s="361">
        <v>1754387.25</v>
      </c>
      <c r="E1628" s="361">
        <v>2128623.11</v>
      </c>
      <c r="F1628" s="361">
        <v>2080282.5</v>
      </c>
      <c r="G1628" s="365">
        <v>0</v>
      </c>
      <c r="H1628" s="365">
        <v>0</v>
      </c>
      <c r="I1628" s="365">
        <v>0</v>
      </c>
      <c r="J1628" s="365">
        <v>0</v>
      </c>
      <c r="K1628" s="365">
        <v>0</v>
      </c>
      <c r="L1628" s="365">
        <v>0</v>
      </c>
      <c r="M1628" s="365">
        <v>0</v>
      </c>
      <c r="N1628" s="365">
        <v>0</v>
      </c>
      <c r="O1628" s="302">
        <v>0</v>
      </c>
    </row>
    <row r="1629" spans="1:15" ht="13">
      <c r="A1629" s="359"/>
      <c r="B1629" s="1824" t="s">
        <v>1450</v>
      </c>
      <c r="C1629" s="1820">
        <v>1338779.29</v>
      </c>
      <c r="D1629" s="361">
        <v>136925.07</v>
      </c>
      <c r="E1629" s="361">
        <v>137406.04999999999</v>
      </c>
      <c r="F1629" s="365">
        <v>0</v>
      </c>
      <c r="G1629" s="361">
        <v>107698.05</v>
      </c>
      <c r="H1629" s="361">
        <v>41112.74</v>
      </c>
      <c r="I1629" s="361">
        <v>233027.64</v>
      </c>
      <c r="J1629" s="361">
        <v>87369.77</v>
      </c>
      <c r="K1629" s="361">
        <v>109643.84</v>
      </c>
      <c r="L1629" s="361">
        <v>20624.7</v>
      </c>
      <c r="M1629" s="361">
        <v>152559.9</v>
      </c>
      <c r="N1629" s="361">
        <v>207018.29</v>
      </c>
      <c r="O1629" s="352">
        <v>105393.24</v>
      </c>
    </row>
    <row r="1630" spans="1:15" ht="13">
      <c r="A1630" s="359"/>
      <c r="B1630" s="1824" t="s">
        <v>1578</v>
      </c>
      <c r="C1630" s="1820">
        <v>21798120.59</v>
      </c>
      <c r="D1630" s="361">
        <v>3586767.98</v>
      </c>
      <c r="E1630" s="361">
        <v>3046515.95</v>
      </c>
      <c r="F1630" s="361">
        <v>1099845.3700000001</v>
      </c>
      <c r="G1630" s="361">
        <v>592929.18999999994</v>
      </c>
      <c r="H1630" s="361">
        <v>729590.4</v>
      </c>
      <c r="I1630" s="361">
        <v>3936339.83</v>
      </c>
      <c r="J1630" s="361">
        <v>1412252.25</v>
      </c>
      <c r="K1630" s="365">
        <v>0</v>
      </c>
      <c r="L1630" s="365">
        <v>0</v>
      </c>
      <c r="M1630" s="361">
        <v>1474892.35</v>
      </c>
      <c r="N1630" s="361">
        <v>4361601.18</v>
      </c>
      <c r="O1630" s="352">
        <v>1557386.08</v>
      </c>
    </row>
    <row r="1631" spans="1:15" ht="13">
      <c r="A1631" s="359"/>
      <c r="B1631" s="1824" t="s">
        <v>1499</v>
      </c>
      <c r="C1631" s="1820">
        <v>1114190.08</v>
      </c>
      <c r="D1631" s="365">
        <v>0</v>
      </c>
      <c r="E1631" s="365">
        <v>0</v>
      </c>
      <c r="F1631" s="365">
        <v>0</v>
      </c>
      <c r="G1631" s="365">
        <v>0</v>
      </c>
      <c r="H1631" s="361">
        <v>885462.81</v>
      </c>
      <c r="I1631" s="361">
        <v>63929.75</v>
      </c>
      <c r="J1631" s="361">
        <v>-63929.75</v>
      </c>
      <c r="K1631" s="365">
        <v>0</v>
      </c>
      <c r="L1631" s="365">
        <v>0</v>
      </c>
      <c r="M1631" s="365">
        <v>0</v>
      </c>
      <c r="N1631" s="365">
        <v>0</v>
      </c>
      <c r="O1631" s="352">
        <v>228727.27</v>
      </c>
    </row>
    <row r="1632" spans="1:15" ht="13">
      <c r="A1632" s="359"/>
      <c r="B1632" s="1824" t="s">
        <v>1536</v>
      </c>
      <c r="C1632" s="1820">
        <v>280609.28000000003</v>
      </c>
      <c r="D1632" s="365">
        <v>0</v>
      </c>
      <c r="E1632" s="361">
        <v>178608.3</v>
      </c>
      <c r="F1632" s="361">
        <v>102000.98</v>
      </c>
      <c r="G1632" s="365">
        <v>0</v>
      </c>
      <c r="H1632" s="365">
        <v>0</v>
      </c>
      <c r="I1632" s="365">
        <v>0</v>
      </c>
      <c r="J1632" s="365">
        <v>0</v>
      </c>
      <c r="K1632" s="365">
        <v>0</v>
      </c>
      <c r="L1632" s="365">
        <v>0</v>
      </c>
      <c r="M1632" s="365">
        <v>0</v>
      </c>
      <c r="N1632" s="365">
        <v>0</v>
      </c>
      <c r="O1632" s="302">
        <v>0</v>
      </c>
    </row>
    <row r="1633" spans="1:15" ht="13">
      <c r="A1633" s="359"/>
      <c r="B1633" s="1824" t="s">
        <v>1023</v>
      </c>
      <c r="C1633" s="1820">
        <v>2621778.7599999998</v>
      </c>
      <c r="D1633" s="365">
        <v>0</v>
      </c>
      <c r="E1633" s="365">
        <v>0</v>
      </c>
      <c r="F1633" s="365">
        <v>0</v>
      </c>
      <c r="G1633" s="365">
        <v>0</v>
      </c>
      <c r="H1633" s="365">
        <v>0</v>
      </c>
      <c r="I1633" s="365">
        <v>0</v>
      </c>
      <c r="J1633" s="365">
        <v>0</v>
      </c>
      <c r="K1633" s="365">
        <v>0</v>
      </c>
      <c r="L1633" s="365">
        <v>0</v>
      </c>
      <c r="M1633" s="365">
        <v>0</v>
      </c>
      <c r="N1633" s="365">
        <v>0</v>
      </c>
      <c r="O1633" s="352">
        <v>2621778.7599999998</v>
      </c>
    </row>
    <row r="1634" spans="1:15" ht="13">
      <c r="A1634" s="359"/>
      <c r="B1634" s="1824" t="s">
        <v>1512</v>
      </c>
      <c r="C1634" s="1820">
        <v>183361.05</v>
      </c>
      <c r="D1634" s="365">
        <v>0</v>
      </c>
      <c r="E1634" s="365">
        <v>0</v>
      </c>
      <c r="F1634" s="365">
        <v>0</v>
      </c>
      <c r="G1634" s="365">
        <v>0</v>
      </c>
      <c r="H1634" s="361">
        <v>17001.599999999999</v>
      </c>
      <c r="I1634" s="361">
        <v>166359.45000000001</v>
      </c>
      <c r="J1634" s="365">
        <v>0</v>
      </c>
      <c r="K1634" s="365">
        <v>0</v>
      </c>
      <c r="L1634" s="365">
        <v>0</v>
      </c>
      <c r="M1634" s="365">
        <v>0</v>
      </c>
      <c r="N1634" s="365">
        <v>0</v>
      </c>
      <c r="O1634" s="302">
        <v>0</v>
      </c>
    </row>
    <row r="1635" spans="1:15" ht="13">
      <c r="A1635" s="359"/>
      <c r="B1635" s="1824" t="s">
        <v>1530</v>
      </c>
      <c r="C1635" s="1820">
        <v>38191</v>
      </c>
      <c r="D1635" s="365">
        <v>0</v>
      </c>
      <c r="E1635" s="365">
        <v>0</v>
      </c>
      <c r="F1635" s="365">
        <v>0</v>
      </c>
      <c r="G1635" s="365">
        <v>0</v>
      </c>
      <c r="H1635" s="365">
        <v>0</v>
      </c>
      <c r="I1635" s="361">
        <v>38191</v>
      </c>
      <c r="J1635" s="365">
        <v>0</v>
      </c>
      <c r="K1635" s="365">
        <v>0</v>
      </c>
      <c r="L1635" s="365">
        <v>0</v>
      </c>
      <c r="M1635" s="365">
        <v>0</v>
      </c>
      <c r="N1635" s="365">
        <v>0</v>
      </c>
      <c r="O1635" s="302">
        <v>0</v>
      </c>
    </row>
    <row r="1636" spans="1:15" ht="13">
      <c r="A1636" s="359"/>
      <c r="B1636" s="1824" t="s">
        <v>1798</v>
      </c>
      <c r="C1636" s="1820">
        <v>14055101.609999999</v>
      </c>
      <c r="D1636" s="361">
        <v>331109.37</v>
      </c>
      <c r="E1636" s="361">
        <v>1817295.67</v>
      </c>
      <c r="F1636" s="361">
        <v>506499.56</v>
      </c>
      <c r="G1636" s="361">
        <v>487530.29</v>
      </c>
      <c r="H1636" s="361">
        <v>913877.55</v>
      </c>
      <c r="I1636" s="361">
        <v>1143957.5</v>
      </c>
      <c r="J1636" s="361">
        <v>1275728.17</v>
      </c>
      <c r="K1636" s="361">
        <v>598221.94999999995</v>
      </c>
      <c r="L1636" s="361">
        <v>895189.73</v>
      </c>
      <c r="M1636" s="361">
        <v>2687591.25</v>
      </c>
      <c r="N1636" s="361">
        <v>816722.99</v>
      </c>
      <c r="O1636" s="352">
        <v>2581377.56</v>
      </c>
    </row>
    <row r="1637" spans="1:15" ht="13">
      <c r="A1637" s="359"/>
      <c r="B1637" s="1824" t="s">
        <v>1480</v>
      </c>
      <c r="C1637" s="1820">
        <v>24304.5</v>
      </c>
      <c r="D1637" s="361">
        <v>24304.5</v>
      </c>
      <c r="E1637" s="365">
        <v>0</v>
      </c>
      <c r="F1637" s="365">
        <v>0</v>
      </c>
      <c r="G1637" s="365">
        <v>0</v>
      </c>
      <c r="H1637" s="365">
        <v>0</v>
      </c>
      <c r="I1637" s="365">
        <v>0</v>
      </c>
      <c r="J1637" s="365">
        <v>0</v>
      </c>
      <c r="K1637" s="365">
        <v>0</v>
      </c>
      <c r="L1637" s="365">
        <v>0</v>
      </c>
      <c r="M1637" s="365">
        <v>0</v>
      </c>
      <c r="N1637" s="365">
        <v>0</v>
      </c>
      <c r="O1637" s="302">
        <v>0</v>
      </c>
    </row>
    <row r="1638" spans="1:15" ht="13">
      <c r="A1638" s="359"/>
      <c r="B1638" s="1824" t="s">
        <v>1514</v>
      </c>
      <c r="C1638" s="1820">
        <v>159711.37</v>
      </c>
      <c r="D1638" s="365">
        <v>0</v>
      </c>
      <c r="E1638" s="365">
        <v>0</v>
      </c>
      <c r="F1638" s="365">
        <v>0</v>
      </c>
      <c r="G1638" s="361">
        <v>48491.81</v>
      </c>
      <c r="H1638" s="365">
        <v>0</v>
      </c>
      <c r="I1638" s="365">
        <v>0</v>
      </c>
      <c r="J1638" s="365">
        <v>0</v>
      </c>
      <c r="K1638" s="365">
        <v>0</v>
      </c>
      <c r="L1638" s="361">
        <v>27743.68</v>
      </c>
      <c r="M1638" s="365">
        <v>0</v>
      </c>
      <c r="N1638" s="361">
        <v>83475.88</v>
      </c>
      <c r="O1638" s="302">
        <v>0</v>
      </c>
    </row>
    <row r="1639" spans="1:15" ht="13">
      <c r="A1639" s="359"/>
      <c r="B1639" s="1824" t="s">
        <v>1438</v>
      </c>
      <c r="C1639" s="1820">
        <v>1103724.32</v>
      </c>
      <c r="D1639" s="365">
        <v>0</v>
      </c>
      <c r="E1639" s="365">
        <v>0</v>
      </c>
      <c r="F1639" s="365">
        <v>0</v>
      </c>
      <c r="G1639" s="361">
        <v>1103724.32</v>
      </c>
      <c r="H1639" s="365">
        <v>0</v>
      </c>
      <c r="I1639" s="365">
        <v>0</v>
      </c>
      <c r="J1639" s="365">
        <v>0</v>
      </c>
      <c r="K1639" s="365">
        <v>0</v>
      </c>
      <c r="L1639" s="365">
        <v>0</v>
      </c>
      <c r="M1639" s="365">
        <v>0</v>
      </c>
      <c r="N1639" s="365">
        <v>0</v>
      </c>
      <c r="O1639" s="302">
        <v>0</v>
      </c>
    </row>
    <row r="1640" spans="1:15" ht="13">
      <c r="A1640" s="359"/>
      <c r="B1640" s="1824" t="s">
        <v>1494</v>
      </c>
      <c r="C1640" s="1820">
        <v>422966.12</v>
      </c>
      <c r="D1640" s="365">
        <v>0</v>
      </c>
      <c r="E1640" s="365">
        <v>0</v>
      </c>
      <c r="F1640" s="365">
        <v>0</v>
      </c>
      <c r="G1640" s="365">
        <v>0</v>
      </c>
      <c r="H1640" s="365">
        <v>0</v>
      </c>
      <c r="I1640" s="365">
        <v>0</v>
      </c>
      <c r="J1640" s="365">
        <v>0</v>
      </c>
      <c r="K1640" s="365">
        <v>0</v>
      </c>
      <c r="L1640" s="365">
        <v>0</v>
      </c>
      <c r="M1640" s="361">
        <v>422966.12</v>
      </c>
      <c r="N1640" s="365">
        <v>0</v>
      </c>
      <c r="O1640" s="302">
        <v>0</v>
      </c>
    </row>
    <row r="1641" spans="1:15" ht="13">
      <c r="A1641" s="359"/>
      <c r="B1641" s="1824" t="s">
        <v>1753</v>
      </c>
      <c r="C1641" s="1822">
        <v>0</v>
      </c>
      <c r="D1641" s="365">
        <v>0</v>
      </c>
      <c r="E1641" s="365">
        <v>0</v>
      </c>
      <c r="F1641" s="365">
        <v>0</v>
      </c>
      <c r="G1641" s="365">
        <v>0</v>
      </c>
      <c r="H1641" s="361">
        <v>211567.02</v>
      </c>
      <c r="I1641" s="361">
        <v>-211567.02</v>
      </c>
      <c r="J1641" s="365">
        <v>0</v>
      </c>
      <c r="K1641" s="365">
        <v>0</v>
      </c>
      <c r="L1641" s="365">
        <v>0</v>
      </c>
      <c r="M1641" s="365">
        <v>0</v>
      </c>
      <c r="N1641" s="365">
        <v>0</v>
      </c>
      <c r="O1641" s="302">
        <v>0</v>
      </c>
    </row>
    <row r="1642" spans="1:15" ht="13">
      <c r="A1642" s="359"/>
      <c r="B1642" s="1824" t="s">
        <v>1314</v>
      </c>
      <c r="C1642" s="1820">
        <v>3927807.52</v>
      </c>
      <c r="D1642" s="361">
        <v>248026.07</v>
      </c>
      <c r="E1642" s="361">
        <v>117254.54</v>
      </c>
      <c r="F1642" s="361">
        <v>685981.06</v>
      </c>
      <c r="G1642" s="365">
        <v>0</v>
      </c>
      <c r="H1642" s="361">
        <v>530985.67000000004</v>
      </c>
      <c r="I1642" s="365">
        <v>0</v>
      </c>
      <c r="J1642" s="361">
        <v>340552.88</v>
      </c>
      <c r="K1642" s="361">
        <v>637962.54</v>
      </c>
      <c r="L1642" s="361">
        <v>212979.48</v>
      </c>
      <c r="M1642" s="365">
        <v>0</v>
      </c>
      <c r="N1642" s="361">
        <v>711266.18</v>
      </c>
      <c r="O1642" s="352">
        <v>442799.1</v>
      </c>
    </row>
    <row r="1643" spans="1:15" ht="13">
      <c r="A1643" s="359"/>
      <c r="B1643" s="1824" t="s">
        <v>1495</v>
      </c>
      <c r="C1643" s="1820">
        <v>3591257.85</v>
      </c>
      <c r="D1643" s="365">
        <v>0</v>
      </c>
      <c r="E1643" s="361">
        <v>357426.45</v>
      </c>
      <c r="F1643" s="365">
        <v>0</v>
      </c>
      <c r="G1643" s="361">
        <v>721710.74</v>
      </c>
      <c r="H1643" s="365">
        <v>0</v>
      </c>
      <c r="I1643" s="361">
        <v>564814.05000000005</v>
      </c>
      <c r="J1643" s="365">
        <v>0</v>
      </c>
      <c r="K1643" s="361">
        <v>876433.88</v>
      </c>
      <c r="L1643" s="361">
        <v>411517.36</v>
      </c>
      <c r="M1643" s="361">
        <v>720740.5</v>
      </c>
      <c r="N1643" s="365">
        <v>0</v>
      </c>
      <c r="O1643" s="352">
        <v>-61385.120000000003</v>
      </c>
    </row>
    <row r="1644" spans="1:15" ht="13">
      <c r="A1644" s="359"/>
      <c r="B1644" s="1824" t="s">
        <v>1513</v>
      </c>
      <c r="C1644" s="1820">
        <v>201565.35</v>
      </c>
      <c r="D1644" s="361">
        <v>51787.88</v>
      </c>
      <c r="E1644" s="361">
        <v>-4760.25</v>
      </c>
      <c r="F1644" s="365">
        <v>0</v>
      </c>
      <c r="G1644" s="365">
        <v>0</v>
      </c>
      <c r="H1644" s="361">
        <v>90029.92</v>
      </c>
      <c r="I1644" s="365">
        <v>0</v>
      </c>
      <c r="J1644" s="361">
        <v>64507.8</v>
      </c>
      <c r="K1644" s="365">
        <v>0</v>
      </c>
      <c r="L1644" s="365">
        <v>0</v>
      </c>
      <c r="M1644" s="365">
        <v>0</v>
      </c>
      <c r="N1644" s="365">
        <v>0</v>
      </c>
      <c r="O1644" s="302">
        <v>0</v>
      </c>
    </row>
    <row r="1645" spans="1:15" ht="13">
      <c r="A1645" s="359"/>
      <c r="B1645" s="1824" t="s">
        <v>1579</v>
      </c>
      <c r="C1645" s="1820">
        <v>143228.28</v>
      </c>
      <c r="D1645" s="365">
        <v>0</v>
      </c>
      <c r="E1645" s="365">
        <v>0</v>
      </c>
      <c r="F1645" s="365">
        <v>0</v>
      </c>
      <c r="G1645" s="365">
        <v>0</v>
      </c>
      <c r="H1645" s="365">
        <v>0</v>
      </c>
      <c r="I1645" s="365">
        <v>0</v>
      </c>
      <c r="J1645" s="361">
        <v>36812.949999999997</v>
      </c>
      <c r="K1645" s="361">
        <v>43854.98</v>
      </c>
      <c r="L1645" s="365">
        <v>0</v>
      </c>
      <c r="M1645" s="365">
        <v>0</v>
      </c>
      <c r="N1645" s="361">
        <v>62560.35</v>
      </c>
      <c r="O1645" s="302">
        <v>0</v>
      </c>
    </row>
    <row r="1646" spans="1:15" ht="13">
      <c r="A1646" s="359"/>
      <c r="B1646" s="1824" t="s">
        <v>1580</v>
      </c>
      <c r="C1646" s="1820">
        <v>18819940.050000001</v>
      </c>
      <c r="D1646" s="361">
        <v>1537979.64</v>
      </c>
      <c r="E1646" s="361">
        <v>1036534.78</v>
      </c>
      <c r="F1646" s="361">
        <v>1739587.39</v>
      </c>
      <c r="G1646" s="361">
        <v>1200259.53</v>
      </c>
      <c r="H1646" s="361">
        <v>2080850.24</v>
      </c>
      <c r="I1646" s="361">
        <v>662882.27</v>
      </c>
      <c r="J1646" s="361">
        <v>430966.25</v>
      </c>
      <c r="K1646" s="361">
        <v>881489.54</v>
      </c>
      <c r="L1646" s="361">
        <v>1520580.99</v>
      </c>
      <c r="M1646" s="361">
        <v>3697483.93</v>
      </c>
      <c r="N1646" s="361">
        <v>2188472.58</v>
      </c>
      <c r="O1646" s="352">
        <v>1842852.9</v>
      </c>
    </row>
    <row r="1647" spans="1:15" ht="13">
      <c r="A1647" s="359"/>
      <c r="B1647" s="1824" t="s">
        <v>1274</v>
      </c>
      <c r="C1647" s="1820">
        <v>7683067.29</v>
      </c>
      <c r="D1647" s="361">
        <v>1467234.9</v>
      </c>
      <c r="E1647" s="361">
        <v>1224476.95</v>
      </c>
      <c r="F1647" s="361">
        <v>326215.59999999998</v>
      </c>
      <c r="G1647" s="361">
        <v>1145954.18</v>
      </c>
      <c r="H1647" s="361">
        <v>159109.70000000001</v>
      </c>
      <c r="I1647" s="361">
        <v>587235.19999999995</v>
      </c>
      <c r="J1647" s="361">
        <v>1341913.49</v>
      </c>
      <c r="K1647" s="361">
        <v>472356.43</v>
      </c>
      <c r="L1647" s="361">
        <v>463869.5</v>
      </c>
      <c r="M1647" s="361">
        <v>175277.89</v>
      </c>
      <c r="N1647" s="365">
        <v>0</v>
      </c>
      <c r="O1647" s="352">
        <v>319423.45</v>
      </c>
    </row>
    <row r="1648" spans="1:15" ht="13">
      <c r="A1648" s="359"/>
      <c r="B1648" s="1824" t="s">
        <v>1405</v>
      </c>
      <c r="C1648" s="1820">
        <v>11720476.35</v>
      </c>
      <c r="D1648" s="361">
        <v>1688766.3</v>
      </c>
      <c r="E1648" s="365">
        <v>0</v>
      </c>
      <c r="F1648" s="361">
        <v>813648</v>
      </c>
      <c r="G1648" s="361">
        <v>1224608.3</v>
      </c>
      <c r="H1648" s="361">
        <v>663088.5</v>
      </c>
      <c r="I1648" s="365">
        <v>0</v>
      </c>
      <c r="J1648" s="361">
        <v>2376709.7000000002</v>
      </c>
      <c r="K1648" s="361">
        <v>1460002</v>
      </c>
      <c r="L1648" s="361">
        <v>1233201.6499999999</v>
      </c>
      <c r="M1648" s="361">
        <v>632154</v>
      </c>
      <c r="N1648" s="361">
        <v>1026074.4</v>
      </c>
      <c r="O1648" s="352">
        <v>602223.5</v>
      </c>
    </row>
    <row r="1649" spans="1:15" ht="13">
      <c r="A1649" s="359"/>
      <c r="B1649" s="1824" t="s">
        <v>1422</v>
      </c>
      <c r="C1649" s="1820">
        <v>852045.58</v>
      </c>
      <c r="D1649" s="365">
        <v>0</v>
      </c>
      <c r="E1649" s="361">
        <v>512543.68</v>
      </c>
      <c r="F1649" s="365">
        <v>0</v>
      </c>
      <c r="G1649" s="365">
        <v>0</v>
      </c>
      <c r="H1649" s="365">
        <v>0</v>
      </c>
      <c r="I1649" s="365">
        <v>0</v>
      </c>
      <c r="J1649" s="361">
        <v>339501.89</v>
      </c>
      <c r="K1649" s="365">
        <v>0</v>
      </c>
      <c r="L1649" s="365">
        <v>0</v>
      </c>
      <c r="M1649" s="365">
        <v>0</v>
      </c>
      <c r="N1649" s="365">
        <v>0</v>
      </c>
      <c r="O1649" s="302">
        <v>0</v>
      </c>
    </row>
    <row r="1650" spans="1:15" ht="13">
      <c r="A1650" s="359"/>
      <c r="B1650" s="1824" t="s">
        <v>1739</v>
      </c>
      <c r="C1650" s="1820">
        <v>1887042.38</v>
      </c>
      <c r="D1650" s="365">
        <v>0</v>
      </c>
      <c r="E1650" s="365">
        <v>0</v>
      </c>
      <c r="F1650" s="365">
        <v>0</v>
      </c>
      <c r="G1650" s="365">
        <v>0</v>
      </c>
      <c r="H1650" s="365">
        <v>0</v>
      </c>
      <c r="I1650" s="365">
        <v>0</v>
      </c>
      <c r="J1650" s="365">
        <v>0</v>
      </c>
      <c r="K1650" s="365">
        <v>0</v>
      </c>
      <c r="L1650" s="365">
        <v>0</v>
      </c>
      <c r="M1650" s="365">
        <v>0</v>
      </c>
      <c r="N1650" s="365">
        <v>0</v>
      </c>
      <c r="O1650" s="352">
        <v>1887042.38</v>
      </c>
    </row>
    <row r="1651" spans="1:15" ht="13">
      <c r="A1651" s="359"/>
      <c r="B1651" s="1824" t="s">
        <v>1446</v>
      </c>
      <c r="C1651" s="1820">
        <v>2334293.2599999998</v>
      </c>
      <c r="D1651" s="361">
        <v>335492.55</v>
      </c>
      <c r="E1651" s="365">
        <v>0</v>
      </c>
      <c r="F1651" s="361">
        <v>155553.70000000001</v>
      </c>
      <c r="G1651" s="365">
        <v>0</v>
      </c>
      <c r="H1651" s="361">
        <v>1500376.51</v>
      </c>
      <c r="I1651" s="361">
        <v>223365.42</v>
      </c>
      <c r="J1651" s="361">
        <v>119505.09</v>
      </c>
      <c r="K1651" s="365">
        <v>0</v>
      </c>
      <c r="L1651" s="365">
        <v>0</v>
      </c>
      <c r="M1651" s="365">
        <v>0</v>
      </c>
      <c r="N1651" s="365">
        <v>0</v>
      </c>
      <c r="O1651" s="302">
        <v>0</v>
      </c>
    </row>
    <row r="1652" spans="1:15" ht="13">
      <c r="A1652" s="359"/>
      <c r="B1652" s="1824" t="s">
        <v>1423</v>
      </c>
      <c r="C1652" s="1820">
        <v>6181391.1299999999</v>
      </c>
      <c r="D1652" s="361">
        <v>128105.63</v>
      </c>
      <c r="E1652" s="365">
        <v>0</v>
      </c>
      <c r="F1652" s="361">
        <v>2074498.98</v>
      </c>
      <c r="G1652" s="361">
        <v>181152.92</v>
      </c>
      <c r="H1652" s="361">
        <v>2047522.91</v>
      </c>
      <c r="I1652" s="361">
        <v>1240983.53</v>
      </c>
      <c r="J1652" s="361">
        <v>386282.15</v>
      </c>
      <c r="K1652" s="361">
        <v>122845.01</v>
      </c>
      <c r="L1652" s="365">
        <v>0</v>
      </c>
      <c r="M1652" s="365">
        <v>0</v>
      </c>
      <c r="N1652" s="365">
        <v>0</v>
      </c>
      <c r="O1652" s="302">
        <v>0</v>
      </c>
    </row>
    <row r="1653" spans="1:15" ht="13">
      <c r="A1653" s="359"/>
      <c r="B1653" s="1824" t="s">
        <v>1052</v>
      </c>
      <c r="C1653" s="1820">
        <v>3909448.76</v>
      </c>
      <c r="D1653" s="365">
        <v>0</v>
      </c>
      <c r="E1653" s="361">
        <v>1657262.17</v>
      </c>
      <c r="F1653" s="361">
        <v>92119.14</v>
      </c>
      <c r="G1653" s="365">
        <v>0</v>
      </c>
      <c r="H1653" s="361">
        <v>991075.7</v>
      </c>
      <c r="I1653" s="361">
        <v>369731.12</v>
      </c>
      <c r="J1653" s="361">
        <v>587850.62</v>
      </c>
      <c r="K1653" s="361">
        <v>211410</v>
      </c>
      <c r="L1653" s="365">
        <v>0</v>
      </c>
      <c r="M1653" s="365">
        <v>0</v>
      </c>
      <c r="N1653" s="365">
        <v>0</v>
      </c>
      <c r="O1653" s="302">
        <v>0</v>
      </c>
    </row>
    <row r="1654" spans="1:15" ht="13">
      <c r="A1654" s="359"/>
      <c r="B1654" s="1824" t="s">
        <v>1537</v>
      </c>
      <c r="C1654" s="1820">
        <v>1524788.92</v>
      </c>
      <c r="D1654" s="361">
        <v>1293030</v>
      </c>
      <c r="E1654" s="361">
        <v>231758.92</v>
      </c>
      <c r="F1654" s="365">
        <v>0</v>
      </c>
      <c r="G1654" s="365">
        <v>0</v>
      </c>
      <c r="H1654" s="365">
        <v>0</v>
      </c>
      <c r="I1654" s="365">
        <v>0</v>
      </c>
      <c r="J1654" s="365">
        <v>0</v>
      </c>
      <c r="K1654" s="365">
        <v>0</v>
      </c>
      <c r="L1654" s="365">
        <v>0</v>
      </c>
      <c r="M1654" s="365">
        <v>0</v>
      </c>
      <c r="N1654" s="365">
        <v>0</v>
      </c>
      <c r="O1654" s="302">
        <v>0</v>
      </c>
    </row>
    <row r="1655" spans="1:15" ht="13">
      <c r="A1655" s="359"/>
      <c r="B1655" s="1824" t="s">
        <v>1444</v>
      </c>
      <c r="C1655" s="1820">
        <v>1079798.2</v>
      </c>
      <c r="D1655" s="361">
        <v>370711.67</v>
      </c>
      <c r="E1655" s="365">
        <v>0</v>
      </c>
      <c r="F1655" s="365">
        <v>0</v>
      </c>
      <c r="G1655" s="365">
        <v>0</v>
      </c>
      <c r="H1655" s="365">
        <v>0</v>
      </c>
      <c r="I1655" s="361">
        <v>344212.75</v>
      </c>
      <c r="J1655" s="365">
        <v>0</v>
      </c>
      <c r="K1655" s="361">
        <v>364873.77</v>
      </c>
      <c r="L1655" s="365">
        <v>0</v>
      </c>
      <c r="M1655" s="365">
        <v>0</v>
      </c>
      <c r="N1655" s="365">
        <v>0</v>
      </c>
      <c r="O1655" s="302">
        <v>0</v>
      </c>
    </row>
    <row r="1656" spans="1:15" ht="13">
      <c r="A1656" s="359"/>
      <c r="B1656" s="1824" t="s">
        <v>1501</v>
      </c>
      <c r="C1656" s="1820">
        <v>428280.92</v>
      </c>
      <c r="D1656" s="365">
        <v>0</v>
      </c>
      <c r="E1656" s="365">
        <v>0</v>
      </c>
      <c r="F1656" s="365">
        <v>0</v>
      </c>
      <c r="G1656" s="365">
        <v>0</v>
      </c>
      <c r="H1656" s="365">
        <v>0</v>
      </c>
      <c r="I1656" s="365">
        <v>0</v>
      </c>
      <c r="J1656" s="365">
        <v>0</v>
      </c>
      <c r="K1656" s="361">
        <v>428280.92</v>
      </c>
      <c r="L1656" s="365">
        <v>0</v>
      </c>
      <c r="M1656" s="365">
        <v>0</v>
      </c>
      <c r="N1656" s="365">
        <v>0</v>
      </c>
      <c r="O1656" s="302">
        <v>0</v>
      </c>
    </row>
    <row r="1657" spans="1:15" ht="13">
      <c r="A1657" s="359"/>
      <c r="B1657" s="1824" t="s">
        <v>1473</v>
      </c>
      <c r="C1657" s="1820">
        <v>3053970.9</v>
      </c>
      <c r="D1657" s="365">
        <v>0</v>
      </c>
      <c r="E1657" s="361">
        <v>206478</v>
      </c>
      <c r="F1657" s="361">
        <v>334075.28999999998</v>
      </c>
      <c r="G1657" s="361">
        <v>198961.75</v>
      </c>
      <c r="H1657" s="361">
        <v>421966.48</v>
      </c>
      <c r="I1657" s="361">
        <v>441347.6</v>
      </c>
      <c r="J1657" s="361">
        <v>550919.18000000005</v>
      </c>
      <c r="K1657" s="365">
        <v>0</v>
      </c>
      <c r="L1657" s="361">
        <v>284592.17</v>
      </c>
      <c r="M1657" s="361">
        <v>373132.01</v>
      </c>
      <c r="N1657" s="361">
        <v>242498.42</v>
      </c>
      <c r="O1657" s="302">
        <v>0</v>
      </c>
    </row>
    <row r="1658" spans="1:15" ht="13">
      <c r="A1658" s="359"/>
      <c r="B1658" s="1824" t="s">
        <v>1434</v>
      </c>
      <c r="C1658" s="1820">
        <v>5479365.3200000003</v>
      </c>
      <c r="D1658" s="361">
        <v>170920.55</v>
      </c>
      <c r="E1658" s="361">
        <v>139402.88</v>
      </c>
      <c r="F1658" s="365">
        <v>0</v>
      </c>
      <c r="G1658" s="361">
        <v>475446.41</v>
      </c>
      <c r="H1658" s="361">
        <v>530134.91</v>
      </c>
      <c r="I1658" s="365">
        <v>0</v>
      </c>
      <c r="J1658" s="361">
        <v>631952.91</v>
      </c>
      <c r="K1658" s="361">
        <v>619294.56999999995</v>
      </c>
      <c r="L1658" s="361">
        <v>765845.16</v>
      </c>
      <c r="M1658" s="361">
        <v>481067.99</v>
      </c>
      <c r="N1658" s="361">
        <v>839821.72</v>
      </c>
      <c r="O1658" s="352">
        <v>825478.23</v>
      </c>
    </row>
    <row r="1659" spans="1:15" ht="13">
      <c r="A1659" s="359"/>
      <c r="B1659" s="1824" t="s">
        <v>948</v>
      </c>
      <c r="C1659" s="1820">
        <v>185279.62</v>
      </c>
      <c r="D1659" s="361">
        <v>50429.57</v>
      </c>
      <c r="E1659" s="365">
        <v>0</v>
      </c>
      <c r="F1659" s="365">
        <v>0</v>
      </c>
      <c r="G1659" s="361">
        <v>22510.69</v>
      </c>
      <c r="H1659" s="361">
        <v>17739.86</v>
      </c>
      <c r="I1659" s="365">
        <v>0</v>
      </c>
      <c r="J1659" s="365">
        <v>0</v>
      </c>
      <c r="K1659" s="365">
        <v>0</v>
      </c>
      <c r="L1659" s="365">
        <v>0</v>
      </c>
      <c r="M1659" s="365">
        <v>0</v>
      </c>
      <c r="N1659" s="361">
        <v>82012</v>
      </c>
      <c r="O1659" s="352">
        <v>12587.5</v>
      </c>
    </row>
    <row r="1660" spans="1:15" ht="13">
      <c r="A1660" s="359"/>
      <c r="B1660" s="1824" t="s">
        <v>1447</v>
      </c>
      <c r="C1660" s="1820">
        <v>4652789.66</v>
      </c>
      <c r="D1660" s="365">
        <v>0</v>
      </c>
      <c r="E1660" s="365">
        <v>0</v>
      </c>
      <c r="F1660" s="361">
        <v>330605.74</v>
      </c>
      <c r="G1660" s="361">
        <v>108384.17</v>
      </c>
      <c r="H1660" s="361">
        <v>732516.7</v>
      </c>
      <c r="I1660" s="365">
        <v>0</v>
      </c>
      <c r="J1660" s="361">
        <v>917548.94</v>
      </c>
      <c r="K1660" s="361">
        <v>508096.47</v>
      </c>
      <c r="L1660" s="361">
        <v>223095.35</v>
      </c>
      <c r="M1660" s="361">
        <v>1087918.51</v>
      </c>
      <c r="N1660" s="361">
        <v>100548.07</v>
      </c>
      <c r="O1660" s="352">
        <v>644075.71</v>
      </c>
    </row>
    <row r="1661" spans="1:15" ht="13">
      <c r="A1661" s="359"/>
      <c r="B1661" s="1824" t="s">
        <v>1445</v>
      </c>
      <c r="C1661" s="1820">
        <v>76000</v>
      </c>
      <c r="D1661" s="365">
        <v>0</v>
      </c>
      <c r="E1661" s="365">
        <v>0</v>
      </c>
      <c r="F1661" s="365">
        <v>0</v>
      </c>
      <c r="G1661" s="365">
        <v>0</v>
      </c>
      <c r="H1661" s="365">
        <v>0</v>
      </c>
      <c r="I1661" s="365">
        <v>0</v>
      </c>
      <c r="J1661" s="365">
        <v>0</v>
      </c>
      <c r="K1661" s="365">
        <v>0</v>
      </c>
      <c r="L1661" s="361">
        <v>76000</v>
      </c>
      <c r="M1661" s="365">
        <v>0</v>
      </c>
      <c r="N1661" s="365">
        <v>0</v>
      </c>
      <c r="O1661" s="302">
        <v>0</v>
      </c>
    </row>
    <row r="1662" spans="1:15" ht="13">
      <c r="A1662" s="359"/>
      <c r="B1662" s="1824" t="s">
        <v>1311</v>
      </c>
      <c r="C1662" s="1820">
        <v>189294.07999999999</v>
      </c>
      <c r="D1662" s="365">
        <v>0</v>
      </c>
      <c r="E1662" s="365">
        <v>0</v>
      </c>
      <c r="F1662" s="365">
        <v>0</v>
      </c>
      <c r="G1662" s="365">
        <v>0</v>
      </c>
      <c r="H1662" s="365">
        <v>0</v>
      </c>
      <c r="I1662" s="365">
        <v>0</v>
      </c>
      <c r="J1662" s="365">
        <v>0</v>
      </c>
      <c r="K1662" s="365">
        <v>0</v>
      </c>
      <c r="L1662" s="365">
        <v>0</v>
      </c>
      <c r="M1662" s="365">
        <v>0</v>
      </c>
      <c r="N1662" s="361">
        <v>189294.07999999999</v>
      </c>
      <c r="O1662" s="302">
        <v>0</v>
      </c>
    </row>
    <row r="1663" spans="1:15" ht="13">
      <c r="A1663" s="359"/>
      <c r="B1663" s="1824" t="s">
        <v>1286</v>
      </c>
      <c r="C1663" s="1820">
        <v>14366149.27</v>
      </c>
      <c r="D1663" s="361">
        <v>2364812.21</v>
      </c>
      <c r="E1663" s="361">
        <v>485925.32</v>
      </c>
      <c r="F1663" s="361">
        <v>1484554.82</v>
      </c>
      <c r="G1663" s="361">
        <v>225756.79999999999</v>
      </c>
      <c r="H1663" s="361">
        <v>565367.98</v>
      </c>
      <c r="I1663" s="361">
        <v>1361304.92</v>
      </c>
      <c r="J1663" s="361">
        <v>883922.82</v>
      </c>
      <c r="K1663" s="361">
        <v>979598.03</v>
      </c>
      <c r="L1663" s="361">
        <v>1264081.01</v>
      </c>
      <c r="M1663" s="361">
        <v>1926451.74</v>
      </c>
      <c r="N1663" s="361">
        <v>2591404.4300000002</v>
      </c>
      <c r="O1663" s="352">
        <v>232969.19</v>
      </c>
    </row>
    <row r="1664" spans="1:15" ht="13">
      <c r="A1664" s="359"/>
      <c r="B1664" s="1824" t="s">
        <v>1312</v>
      </c>
      <c r="C1664" s="1820">
        <v>842042.95</v>
      </c>
      <c r="D1664" s="361">
        <v>842042.95</v>
      </c>
      <c r="E1664" s="365">
        <v>0</v>
      </c>
      <c r="F1664" s="365">
        <v>0</v>
      </c>
      <c r="G1664" s="365">
        <v>0</v>
      </c>
      <c r="H1664" s="365">
        <v>0</v>
      </c>
      <c r="I1664" s="365">
        <v>0</v>
      </c>
      <c r="J1664" s="365">
        <v>0</v>
      </c>
      <c r="K1664" s="365">
        <v>0</v>
      </c>
      <c r="L1664" s="365">
        <v>0</v>
      </c>
      <c r="M1664" s="365">
        <v>0</v>
      </c>
      <c r="N1664" s="365">
        <v>0</v>
      </c>
      <c r="O1664" s="302">
        <v>0</v>
      </c>
    </row>
    <row r="1665" spans="1:15" ht="13">
      <c r="A1665" s="359"/>
      <c r="B1665" s="1824" t="s">
        <v>1267</v>
      </c>
      <c r="C1665" s="1820">
        <v>2271533.86</v>
      </c>
      <c r="D1665" s="365">
        <v>0</v>
      </c>
      <c r="E1665" s="361">
        <v>758524.4</v>
      </c>
      <c r="F1665" s="361">
        <v>301485.51</v>
      </c>
      <c r="G1665" s="365">
        <v>0</v>
      </c>
      <c r="H1665" s="361">
        <v>252956</v>
      </c>
      <c r="I1665" s="361">
        <v>721948.02</v>
      </c>
      <c r="J1665" s="365">
        <v>0</v>
      </c>
      <c r="K1665" s="365">
        <v>0</v>
      </c>
      <c r="L1665" s="365">
        <v>0</v>
      </c>
      <c r="M1665" s="361">
        <v>236619.93</v>
      </c>
      <c r="N1665" s="365">
        <v>0</v>
      </c>
      <c r="O1665" s="302">
        <v>0</v>
      </c>
    </row>
    <row r="1666" spans="1:15" ht="13">
      <c r="A1666" s="359"/>
      <c r="B1666" s="1824" t="s">
        <v>1318</v>
      </c>
      <c r="C1666" s="1820">
        <v>690963.62</v>
      </c>
      <c r="D1666" s="365">
        <v>0</v>
      </c>
      <c r="E1666" s="365">
        <v>0</v>
      </c>
      <c r="F1666" s="365">
        <v>0</v>
      </c>
      <c r="G1666" s="365">
        <v>0</v>
      </c>
      <c r="H1666" s="361">
        <v>392650.84</v>
      </c>
      <c r="I1666" s="361">
        <v>180727.19</v>
      </c>
      <c r="J1666" s="365">
        <v>0</v>
      </c>
      <c r="K1666" s="365">
        <v>0</v>
      </c>
      <c r="L1666" s="365">
        <v>0</v>
      </c>
      <c r="M1666" s="365">
        <v>0</v>
      </c>
      <c r="N1666" s="365">
        <v>0</v>
      </c>
      <c r="O1666" s="352">
        <v>117585.60000000001</v>
      </c>
    </row>
    <row r="1667" spans="1:15" ht="13">
      <c r="A1667" s="359"/>
      <c r="B1667" s="1824" t="s">
        <v>1323</v>
      </c>
      <c r="C1667" s="1820">
        <v>2573065.79</v>
      </c>
      <c r="D1667" s="361">
        <v>144766.38</v>
      </c>
      <c r="E1667" s="365">
        <v>0</v>
      </c>
      <c r="F1667" s="365">
        <v>0</v>
      </c>
      <c r="G1667" s="361">
        <v>282720.49</v>
      </c>
      <c r="H1667" s="361">
        <v>234990.69</v>
      </c>
      <c r="I1667" s="361">
        <v>314711.65000000002</v>
      </c>
      <c r="J1667" s="365">
        <v>0</v>
      </c>
      <c r="K1667" s="365">
        <v>0</v>
      </c>
      <c r="L1667" s="361">
        <v>521260.45</v>
      </c>
      <c r="M1667" s="365">
        <v>0</v>
      </c>
      <c r="N1667" s="361">
        <v>407804.44</v>
      </c>
      <c r="O1667" s="352">
        <v>666811.69999999995</v>
      </c>
    </row>
    <row r="1668" spans="1:15" ht="13">
      <c r="A1668" s="359"/>
      <c r="B1668" s="1824" t="s">
        <v>1799</v>
      </c>
      <c r="C1668" s="1820">
        <v>249757.28</v>
      </c>
      <c r="D1668" s="365">
        <v>0</v>
      </c>
      <c r="E1668" s="365">
        <v>0</v>
      </c>
      <c r="F1668" s="365">
        <v>0</v>
      </c>
      <c r="G1668" s="361">
        <v>191289.65</v>
      </c>
      <c r="H1668" s="365">
        <v>0</v>
      </c>
      <c r="I1668" s="365">
        <v>0</v>
      </c>
      <c r="J1668" s="365">
        <v>0</v>
      </c>
      <c r="K1668" s="361">
        <v>58467.62</v>
      </c>
      <c r="L1668" s="365">
        <v>0</v>
      </c>
      <c r="M1668" s="365">
        <v>0</v>
      </c>
      <c r="N1668" s="365">
        <v>0</v>
      </c>
      <c r="O1668" s="302">
        <v>0</v>
      </c>
    </row>
    <row r="1669" spans="1:15" ht="13">
      <c r="A1669" s="359"/>
      <c r="B1669" s="1824" t="s">
        <v>1281</v>
      </c>
      <c r="C1669" s="1820">
        <v>9823242.7899999991</v>
      </c>
      <c r="D1669" s="361">
        <v>419229.51</v>
      </c>
      <c r="E1669" s="361">
        <v>703865.35</v>
      </c>
      <c r="F1669" s="361">
        <v>679068.59</v>
      </c>
      <c r="G1669" s="365">
        <v>0</v>
      </c>
      <c r="H1669" s="361">
        <v>1103780.3899999999</v>
      </c>
      <c r="I1669" s="361">
        <v>425419.81</v>
      </c>
      <c r="J1669" s="361">
        <v>497038.11</v>
      </c>
      <c r="K1669" s="361">
        <v>944962.92</v>
      </c>
      <c r="L1669" s="361">
        <v>1072182.04</v>
      </c>
      <c r="M1669" s="361">
        <v>918283.04</v>
      </c>
      <c r="N1669" s="361">
        <v>1591572.67</v>
      </c>
      <c r="O1669" s="352">
        <v>1467840.36</v>
      </c>
    </row>
    <row r="1670" spans="1:15" ht="13">
      <c r="A1670" s="359"/>
      <c r="B1670" s="1824" t="s">
        <v>1398</v>
      </c>
      <c r="C1670" s="1820">
        <v>6244465.0199999996</v>
      </c>
      <c r="D1670" s="365">
        <v>0</v>
      </c>
      <c r="E1670" s="365">
        <v>0</v>
      </c>
      <c r="F1670" s="361">
        <v>6207982.2000000002</v>
      </c>
      <c r="G1670" s="365">
        <v>0</v>
      </c>
      <c r="H1670" s="365">
        <v>0</v>
      </c>
      <c r="I1670" s="361">
        <v>36482.82</v>
      </c>
      <c r="J1670" s="365">
        <v>0</v>
      </c>
      <c r="K1670" s="365">
        <v>0</v>
      </c>
      <c r="L1670" s="365">
        <v>0</v>
      </c>
      <c r="M1670" s="365">
        <v>0</v>
      </c>
      <c r="N1670" s="365">
        <v>0</v>
      </c>
      <c r="O1670" s="302">
        <v>0</v>
      </c>
    </row>
    <row r="1671" spans="1:15" ht="13">
      <c r="A1671" s="359"/>
      <c r="B1671" s="1824" t="s">
        <v>1320</v>
      </c>
      <c r="C1671" s="1820">
        <v>14704241.199999999</v>
      </c>
      <c r="D1671" s="361">
        <v>990797.71</v>
      </c>
      <c r="E1671" s="361">
        <v>307081.03999999998</v>
      </c>
      <c r="F1671" s="361">
        <v>1275811.2</v>
      </c>
      <c r="G1671" s="361">
        <v>520982.39</v>
      </c>
      <c r="H1671" s="361">
        <v>1673915.6</v>
      </c>
      <c r="I1671" s="361">
        <v>264540.78000000003</v>
      </c>
      <c r="J1671" s="361">
        <v>772745.5</v>
      </c>
      <c r="K1671" s="361">
        <v>1907127.97</v>
      </c>
      <c r="L1671" s="361">
        <v>740809.82</v>
      </c>
      <c r="M1671" s="361">
        <v>2397100.38</v>
      </c>
      <c r="N1671" s="361">
        <v>2629949.02</v>
      </c>
      <c r="O1671" s="352">
        <v>1223379.78</v>
      </c>
    </row>
    <row r="1672" spans="1:15" ht="13">
      <c r="A1672" s="359"/>
      <c r="B1672" s="1824" t="s">
        <v>1269</v>
      </c>
      <c r="C1672" s="1820">
        <v>11762762.939999999</v>
      </c>
      <c r="D1672" s="361">
        <v>888425.24</v>
      </c>
      <c r="E1672" s="361">
        <v>381117.19</v>
      </c>
      <c r="F1672" s="361">
        <v>598497.31999999995</v>
      </c>
      <c r="G1672" s="361">
        <v>808790.68</v>
      </c>
      <c r="H1672" s="361">
        <v>878912.38</v>
      </c>
      <c r="I1672" s="361">
        <v>787039.12</v>
      </c>
      <c r="J1672" s="361">
        <v>929537.32</v>
      </c>
      <c r="K1672" s="361">
        <v>1221004.49</v>
      </c>
      <c r="L1672" s="361">
        <v>233127.64</v>
      </c>
      <c r="M1672" s="361">
        <v>1230185.25</v>
      </c>
      <c r="N1672" s="361">
        <v>1884805.38</v>
      </c>
      <c r="O1672" s="352">
        <v>1921320.93</v>
      </c>
    </row>
    <row r="1673" spans="1:15" ht="13">
      <c r="A1673" s="359"/>
      <c r="B1673" s="1824" t="s">
        <v>1338</v>
      </c>
      <c r="C1673" s="1820">
        <v>6610863.1600000001</v>
      </c>
      <c r="D1673" s="361">
        <v>894537.16</v>
      </c>
      <c r="E1673" s="365">
        <v>0</v>
      </c>
      <c r="F1673" s="361">
        <v>677277.54</v>
      </c>
      <c r="G1673" s="361">
        <v>143941.28</v>
      </c>
      <c r="H1673" s="361">
        <v>496042.92</v>
      </c>
      <c r="I1673" s="361">
        <v>138306.72</v>
      </c>
      <c r="J1673" s="361">
        <v>181361.53</v>
      </c>
      <c r="K1673" s="361">
        <v>527733.93999999994</v>
      </c>
      <c r="L1673" s="361">
        <v>3308783.47</v>
      </c>
      <c r="M1673" s="361">
        <v>50868.68</v>
      </c>
      <c r="N1673" s="365">
        <v>0</v>
      </c>
      <c r="O1673" s="352">
        <v>192009.92</v>
      </c>
    </row>
    <row r="1674" spans="1:15" ht="13">
      <c r="A1674" s="359"/>
      <c r="B1674" s="1824" t="s">
        <v>1399</v>
      </c>
      <c r="C1674" s="1820">
        <v>5901208.1600000001</v>
      </c>
      <c r="D1674" s="365">
        <v>0</v>
      </c>
      <c r="E1674" s="365">
        <v>0</v>
      </c>
      <c r="F1674" s="365">
        <v>0</v>
      </c>
      <c r="G1674" s="365">
        <v>0</v>
      </c>
      <c r="H1674" s="365">
        <v>0</v>
      </c>
      <c r="I1674" s="361">
        <v>5428693.1600000001</v>
      </c>
      <c r="J1674" s="361">
        <v>472515</v>
      </c>
      <c r="K1674" s="365">
        <v>0</v>
      </c>
      <c r="L1674" s="365">
        <v>0</v>
      </c>
      <c r="M1674" s="365">
        <v>0</v>
      </c>
      <c r="N1674" s="365">
        <v>0</v>
      </c>
      <c r="O1674" s="302">
        <v>0</v>
      </c>
    </row>
    <row r="1675" spans="1:15" ht="13">
      <c r="A1675" s="359"/>
      <c r="B1675" s="1824" t="s">
        <v>1534</v>
      </c>
      <c r="C1675" s="1820">
        <v>128614.52</v>
      </c>
      <c r="D1675" s="365">
        <v>0</v>
      </c>
      <c r="E1675" s="365">
        <v>0</v>
      </c>
      <c r="F1675" s="365">
        <v>0</v>
      </c>
      <c r="G1675" s="365">
        <v>0</v>
      </c>
      <c r="H1675" s="365">
        <v>0</v>
      </c>
      <c r="I1675" s="365">
        <v>0</v>
      </c>
      <c r="J1675" s="365">
        <v>0</v>
      </c>
      <c r="K1675" s="361">
        <v>128614.52</v>
      </c>
      <c r="L1675" s="365">
        <v>0</v>
      </c>
      <c r="M1675" s="365">
        <v>0</v>
      </c>
      <c r="N1675" s="365">
        <v>0</v>
      </c>
      <c r="O1675" s="302">
        <v>0</v>
      </c>
    </row>
    <row r="1676" spans="1:15" ht="13">
      <c r="A1676" s="359"/>
      <c r="B1676" s="1824" t="s">
        <v>1441</v>
      </c>
      <c r="C1676" s="1820">
        <v>9356303.6400000006</v>
      </c>
      <c r="D1676" s="361">
        <v>509782.98</v>
      </c>
      <c r="E1676" s="361">
        <v>440054.41</v>
      </c>
      <c r="F1676" s="361">
        <v>435189.59</v>
      </c>
      <c r="G1676" s="361">
        <v>833454.78</v>
      </c>
      <c r="H1676" s="361">
        <v>843269.57</v>
      </c>
      <c r="I1676" s="361">
        <v>464695.81</v>
      </c>
      <c r="J1676" s="361">
        <v>1289546.67</v>
      </c>
      <c r="K1676" s="361">
        <v>1135467.78</v>
      </c>
      <c r="L1676" s="361">
        <v>505825.78</v>
      </c>
      <c r="M1676" s="361">
        <v>1264195.92</v>
      </c>
      <c r="N1676" s="361">
        <v>1168782.8899999999</v>
      </c>
      <c r="O1676" s="352">
        <v>466037.45</v>
      </c>
    </row>
    <row r="1677" spans="1:15" ht="13">
      <c r="A1677" s="359"/>
      <c r="B1677" s="1824" t="s">
        <v>1498</v>
      </c>
      <c r="C1677" s="1820">
        <v>985555.37</v>
      </c>
      <c r="D1677" s="365">
        <v>0</v>
      </c>
      <c r="E1677" s="361">
        <v>45756.2</v>
      </c>
      <c r="F1677" s="365">
        <v>0</v>
      </c>
      <c r="G1677" s="361">
        <v>116314.88</v>
      </c>
      <c r="H1677" s="365">
        <v>0</v>
      </c>
      <c r="I1677" s="365">
        <v>0</v>
      </c>
      <c r="J1677" s="361">
        <v>218660.33</v>
      </c>
      <c r="K1677" s="365">
        <v>0</v>
      </c>
      <c r="L1677" s="361">
        <v>102380.17</v>
      </c>
      <c r="M1677" s="365">
        <v>0</v>
      </c>
      <c r="N1677" s="361">
        <v>149419.01</v>
      </c>
      <c r="O1677" s="352">
        <v>353024.79</v>
      </c>
    </row>
    <row r="1678" spans="1:15" ht="13">
      <c r="A1678" s="359"/>
      <c r="B1678" s="1824" t="s">
        <v>1332</v>
      </c>
      <c r="C1678" s="1820">
        <v>19453659.640000001</v>
      </c>
      <c r="D1678" s="361">
        <v>1029363.33</v>
      </c>
      <c r="E1678" s="361">
        <v>1264218.42</v>
      </c>
      <c r="F1678" s="361">
        <v>1357839.31</v>
      </c>
      <c r="G1678" s="361">
        <v>1289690.6499999999</v>
      </c>
      <c r="H1678" s="361">
        <v>1614461.08</v>
      </c>
      <c r="I1678" s="361">
        <v>960131.6</v>
      </c>
      <c r="J1678" s="361">
        <v>2030458.02</v>
      </c>
      <c r="K1678" s="361">
        <v>1333319.93</v>
      </c>
      <c r="L1678" s="361">
        <v>1459803.79</v>
      </c>
      <c r="M1678" s="361">
        <v>2045052.8</v>
      </c>
      <c r="N1678" s="361">
        <v>1788508.82</v>
      </c>
      <c r="O1678" s="352">
        <v>3280811.89</v>
      </c>
    </row>
    <row r="1679" spans="1:15" ht="13">
      <c r="A1679" s="359"/>
      <c r="B1679" s="1824" t="s">
        <v>1448</v>
      </c>
      <c r="C1679" s="1820">
        <v>880147.9</v>
      </c>
      <c r="D1679" s="365">
        <v>0</v>
      </c>
      <c r="E1679" s="361">
        <v>62801.36</v>
      </c>
      <c r="F1679" s="361">
        <v>7238.43</v>
      </c>
      <c r="G1679" s="361">
        <v>173735.44</v>
      </c>
      <c r="H1679" s="365">
        <v>0</v>
      </c>
      <c r="I1679" s="361">
        <v>113667.24</v>
      </c>
      <c r="J1679" s="361">
        <v>73979.09</v>
      </c>
      <c r="K1679" s="365">
        <v>0</v>
      </c>
      <c r="L1679" s="361">
        <v>190544.63</v>
      </c>
      <c r="M1679" s="361">
        <v>120970.57</v>
      </c>
      <c r="N1679" s="361">
        <v>70518.210000000006</v>
      </c>
      <c r="O1679" s="352">
        <v>66692.929999999993</v>
      </c>
    </row>
    <row r="1680" spans="1:15" ht="13">
      <c r="A1680" s="359"/>
      <c r="B1680" s="1824" t="s">
        <v>1340</v>
      </c>
      <c r="C1680" s="1820">
        <v>28562736.460000001</v>
      </c>
      <c r="D1680" s="361">
        <v>3280289.2</v>
      </c>
      <c r="E1680" s="361">
        <v>5440848.5099999998</v>
      </c>
      <c r="F1680" s="361">
        <v>582888.5</v>
      </c>
      <c r="G1680" s="365">
        <v>0</v>
      </c>
      <c r="H1680" s="361">
        <v>9719210.2899999991</v>
      </c>
      <c r="I1680" s="361">
        <v>3437417.3</v>
      </c>
      <c r="J1680" s="361">
        <v>4110677.48</v>
      </c>
      <c r="K1680" s="361">
        <v>577330.17000000004</v>
      </c>
      <c r="L1680" s="365">
        <v>0</v>
      </c>
      <c r="M1680" s="361">
        <v>1414075.01</v>
      </c>
      <c r="N1680" s="365">
        <v>0</v>
      </c>
      <c r="O1680" s="302">
        <v>0</v>
      </c>
    </row>
    <row r="1681" spans="1:15" ht="13">
      <c r="A1681" s="359"/>
      <c r="B1681" s="1824" t="s">
        <v>1751</v>
      </c>
      <c r="C1681" s="1820">
        <v>88994.51</v>
      </c>
      <c r="D1681" s="361">
        <v>118679.65</v>
      </c>
      <c r="E1681" s="361">
        <v>-29685.14</v>
      </c>
      <c r="F1681" s="365">
        <v>0</v>
      </c>
      <c r="G1681" s="365">
        <v>0</v>
      </c>
      <c r="H1681" s="365">
        <v>0</v>
      </c>
      <c r="I1681" s="365">
        <v>0</v>
      </c>
      <c r="J1681" s="365">
        <v>0</v>
      </c>
      <c r="K1681" s="365">
        <v>0</v>
      </c>
      <c r="L1681" s="365">
        <v>0</v>
      </c>
      <c r="M1681" s="365">
        <v>0</v>
      </c>
      <c r="N1681" s="365">
        <v>0</v>
      </c>
      <c r="O1681" s="302">
        <v>0</v>
      </c>
    </row>
    <row r="1682" spans="1:15" ht="13">
      <c r="A1682" s="359"/>
      <c r="B1682" s="1824" t="s">
        <v>1021</v>
      </c>
      <c r="C1682" s="1820">
        <v>14196793.35</v>
      </c>
      <c r="D1682" s="361">
        <v>1870211.82</v>
      </c>
      <c r="E1682" s="361">
        <v>1201394.48</v>
      </c>
      <c r="F1682" s="361">
        <v>855407.98</v>
      </c>
      <c r="G1682" s="361">
        <v>714462.6</v>
      </c>
      <c r="H1682" s="361">
        <v>327657.28999999998</v>
      </c>
      <c r="I1682" s="361">
        <v>1560384.41</v>
      </c>
      <c r="J1682" s="361">
        <v>1137818.55</v>
      </c>
      <c r="K1682" s="361">
        <v>1339112.32</v>
      </c>
      <c r="L1682" s="361">
        <v>888325.24</v>
      </c>
      <c r="M1682" s="361">
        <v>1444616.39</v>
      </c>
      <c r="N1682" s="361">
        <v>1667185.04</v>
      </c>
      <c r="O1682" s="352">
        <v>1190217.23</v>
      </c>
    </row>
    <row r="1683" spans="1:15" ht="13">
      <c r="A1683" s="359"/>
      <c r="B1683" s="1824" t="s">
        <v>994</v>
      </c>
      <c r="C1683" s="1820">
        <v>24566530.989999998</v>
      </c>
      <c r="D1683" s="361">
        <v>1135038.3500000001</v>
      </c>
      <c r="E1683" s="361">
        <v>1313446.28</v>
      </c>
      <c r="F1683" s="361">
        <v>1777045.85</v>
      </c>
      <c r="G1683" s="361">
        <v>1902612.84</v>
      </c>
      <c r="H1683" s="361">
        <v>1732978.68</v>
      </c>
      <c r="I1683" s="361">
        <v>1623288.67</v>
      </c>
      <c r="J1683" s="361">
        <v>2006475.03</v>
      </c>
      <c r="K1683" s="361">
        <v>1423467.83</v>
      </c>
      <c r="L1683" s="361">
        <v>936165.68</v>
      </c>
      <c r="M1683" s="361">
        <v>3156596.43</v>
      </c>
      <c r="N1683" s="361">
        <v>3909939.21</v>
      </c>
      <c r="O1683" s="352">
        <v>3649476.15</v>
      </c>
    </row>
    <row r="1684" spans="1:15" ht="13">
      <c r="A1684" s="359"/>
      <c r="B1684" s="1824" t="s">
        <v>1055</v>
      </c>
      <c r="C1684" s="1820">
        <v>1419436.95</v>
      </c>
      <c r="D1684" s="361">
        <v>172404.37</v>
      </c>
      <c r="E1684" s="365">
        <v>0</v>
      </c>
      <c r="F1684" s="361">
        <v>377524.35</v>
      </c>
      <c r="G1684" s="361">
        <v>61496.55</v>
      </c>
      <c r="H1684" s="361">
        <v>133664.41</v>
      </c>
      <c r="I1684" s="365">
        <v>0</v>
      </c>
      <c r="J1684" s="361">
        <v>146131.07999999999</v>
      </c>
      <c r="K1684" s="361">
        <v>233027.64</v>
      </c>
      <c r="L1684" s="365">
        <v>0</v>
      </c>
      <c r="M1684" s="361">
        <v>295188.55</v>
      </c>
      <c r="N1684" s="365">
        <v>0</v>
      </c>
      <c r="O1684" s="302">
        <v>0</v>
      </c>
    </row>
    <row r="1685" spans="1:15" ht="13">
      <c r="A1685" s="359"/>
      <c r="B1685" s="1824" t="s">
        <v>1800</v>
      </c>
      <c r="C1685" s="1820">
        <v>372981.99</v>
      </c>
      <c r="D1685" s="361">
        <v>43633.89</v>
      </c>
      <c r="E1685" s="361">
        <v>184534.94</v>
      </c>
      <c r="F1685" s="365">
        <v>0</v>
      </c>
      <c r="G1685" s="365">
        <v>0</v>
      </c>
      <c r="H1685" s="361">
        <v>83486.34</v>
      </c>
      <c r="I1685" s="365">
        <v>0</v>
      </c>
      <c r="J1685" s="365">
        <v>0</v>
      </c>
      <c r="K1685" s="365">
        <v>0</v>
      </c>
      <c r="L1685" s="361">
        <v>61326.82</v>
      </c>
      <c r="M1685" s="365">
        <v>0</v>
      </c>
      <c r="N1685" s="365">
        <v>0</v>
      </c>
      <c r="O1685" s="302">
        <v>0</v>
      </c>
    </row>
    <row r="1686" spans="1:15" ht="13">
      <c r="A1686" s="359"/>
      <c r="B1686" s="1824" t="s">
        <v>1029</v>
      </c>
      <c r="C1686" s="1820">
        <v>4448261.08</v>
      </c>
      <c r="D1686" s="361">
        <v>223953.88</v>
      </c>
      <c r="E1686" s="365">
        <v>0</v>
      </c>
      <c r="F1686" s="361">
        <v>683995.5</v>
      </c>
      <c r="G1686" s="361">
        <v>947707.21</v>
      </c>
      <c r="H1686" s="361">
        <v>40662.25</v>
      </c>
      <c r="I1686" s="361">
        <v>644206.78</v>
      </c>
      <c r="J1686" s="361">
        <v>128297.25</v>
      </c>
      <c r="K1686" s="361">
        <v>246677.36</v>
      </c>
      <c r="L1686" s="361">
        <v>475315.12</v>
      </c>
      <c r="M1686" s="361">
        <v>642099.78</v>
      </c>
      <c r="N1686" s="361">
        <v>28500</v>
      </c>
      <c r="O1686" s="352">
        <v>386845.96</v>
      </c>
    </row>
    <row r="1687" spans="1:15" ht="13">
      <c r="A1687" s="359"/>
      <c r="B1687" s="1824" t="s">
        <v>1061</v>
      </c>
      <c r="C1687" s="1820">
        <v>432707.84000000003</v>
      </c>
      <c r="D1687" s="361">
        <v>56979</v>
      </c>
      <c r="E1687" s="365">
        <v>0</v>
      </c>
      <c r="F1687" s="365">
        <v>0</v>
      </c>
      <c r="G1687" s="365">
        <v>0</v>
      </c>
      <c r="H1687" s="361">
        <v>180499.91</v>
      </c>
      <c r="I1687" s="365">
        <v>0</v>
      </c>
      <c r="J1687" s="361">
        <v>195228.93</v>
      </c>
      <c r="K1687" s="365">
        <v>0</v>
      </c>
      <c r="L1687" s="365">
        <v>0</v>
      </c>
      <c r="M1687" s="365">
        <v>0</v>
      </c>
      <c r="N1687" s="365">
        <v>0</v>
      </c>
      <c r="O1687" s="302">
        <v>0</v>
      </c>
    </row>
    <row r="1688" spans="1:15" ht="13">
      <c r="A1688" s="359"/>
      <c r="B1688" s="1824" t="s">
        <v>1028</v>
      </c>
      <c r="C1688" s="1820">
        <v>6109387.0499999998</v>
      </c>
      <c r="D1688" s="361">
        <v>662127.12</v>
      </c>
      <c r="E1688" s="361">
        <v>284554.65999999997</v>
      </c>
      <c r="F1688" s="361">
        <v>902886.37</v>
      </c>
      <c r="G1688" s="361">
        <v>491689.68</v>
      </c>
      <c r="H1688" s="361">
        <v>652249.62</v>
      </c>
      <c r="I1688" s="365">
        <v>0</v>
      </c>
      <c r="J1688" s="361">
        <v>578417.55000000005</v>
      </c>
      <c r="K1688" s="361">
        <v>277421.27</v>
      </c>
      <c r="L1688" s="361">
        <v>255109.65</v>
      </c>
      <c r="M1688" s="361">
        <v>641675.5</v>
      </c>
      <c r="N1688" s="361">
        <v>1078048.21</v>
      </c>
      <c r="O1688" s="352">
        <v>285207.40999999997</v>
      </c>
    </row>
    <row r="1689" spans="1:15" ht="13">
      <c r="A1689" s="359"/>
      <c r="B1689" s="1824" t="s">
        <v>1063</v>
      </c>
      <c r="C1689" s="1820">
        <v>2747344.39</v>
      </c>
      <c r="D1689" s="361">
        <v>344342.07</v>
      </c>
      <c r="E1689" s="361">
        <v>747180.38</v>
      </c>
      <c r="F1689" s="361">
        <v>446217.57</v>
      </c>
      <c r="G1689" s="365">
        <v>0</v>
      </c>
      <c r="H1689" s="361">
        <v>1025454.03</v>
      </c>
      <c r="I1689" s="361">
        <v>184150.3</v>
      </c>
      <c r="J1689" s="365">
        <v>0.03</v>
      </c>
      <c r="K1689" s="365">
        <v>0</v>
      </c>
      <c r="L1689" s="365">
        <v>0</v>
      </c>
      <c r="M1689" s="365">
        <v>0</v>
      </c>
      <c r="N1689" s="365">
        <v>0</v>
      </c>
      <c r="O1689" s="302">
        <v>0</v>
      </c>
    </row>
    <row r="1690" spans="1:15" ht="13">
      <c r="A1690" s="359"/>
      <c r="B1690" s="1824" t="s">
        <v>997</v>
      </c>
      <c r="C1690" s="1820">
        <v>9101276.7799999993</v>
      </c>
      <c r="D1690" s="361">
        <v>340253.98</v>
      </c>
      <c r="E1690" s="361">
        <v>81398.83</v>
      </c>
      <c r="F1690" s="365">
        <v>0</v>
      </c>
      <c r="G1690" s="361">
        <v>222329.94</v>
      </c>
      <c r="H1690" s="361">
        <v>198359.31</v>
      </c>
      <c r="I1690" s="361">
        <v>778798.31</v>
      </c>
      <c r="J1690" s="361">
        <v>1445614.8</v>
      </c>
      <c r="K1690" s="361">
        <v>603030.38</v>
      </c>
      <c r="L1690" s="361">
        <v>490087.2</v>
      </c>
      <c r="M1690" s="361">
        <v>1818151.48</v>
      </c>
      <c r="N1690" s="361">
        <v>1235025.51</v>
      </c>
      <c r="O1690" s="352">
        <v>1888227.04</v>
      </c>
    </row>
    <row r="1691" spans="1:15" ht="13">
      <c r="A1691" s="359"/>
      <c r="B1691" s="1824" t="s">
        <v>1027</v>
      </c>
      <c r="C1691" s="1820">
        <v>17621575.550000001</v>
      </c>
      <c r="D1691" s="361">
        <v>1072060.5</v>
      </c>
      <c r="E1691" s="361">
        <v>609509.42000000004</v>
      </c>
      <c r="F1691" s="361">
        <v>1335533.24</v>
      </c>
      <c r="G1691" s="361">
        <v>510503.57</v>
      </c>
      <c r="H1691" s="361">
        <v>418164.06</v>
      </c>
      <c r="I1691" s="361">
        <v>1881613.05</v>
      </c>
      <c r="J1691" s="361">
        <v>1289946.6399999999</v>
      </c>
      <c r="K1691" s="361">
        <v>382724.01</v>
      </c>
      <c r="L1691" s="361">
        <v>2094923.29</v>
      </c>
      <c r="M1691" s="361">
        <v>4685967.24</v>
      </c>
      <c r="N1691" s="361">
        <v>1373663.38</v>
      </c>
      <c r="O1691" s="352">
        <v>1966967.16</v>
      </c>
    </row>
    <row r="1692" spans="1:15" ht="13">
      <c r="A1692" s="359"/>
      <c r="B1692" s="1824" t="s">
        <v>1019</v>
      </c>
      <c r="C1692" s="1820">
        <v>2424173.5099999998</v>
      </c>
      <c r="D1692" s="361">
        <v>431272.2</v>
      </c>
      <c r="E1692" s="361">
        <v>241417.66</v>
      </c>
      <c r="F1692" s="365">
        <v>0</v>
      </c>
      <c r="G1692" s="365">
        <v>0</v>
      </c>
      <c r="H1692" s="361">
        <v>109748.63</v>
      </c>
      <c r="I1692" s="361">
        <v>213187.79</v>
      </c>
      <c r="J1692" s="361">
        <v>47409.120000000003</v>
      </c>
      <c r="K1692" s="361">
        <v>490563.17</v>
      </c>
      <c r="L1692" s="361">
        <v>5463.59</v>
      </c>
      <c r="M1692" s="361">
        <v>220457.34</v>
      </c>
      <c r="N1692" s="365">
        <v>0</v>
      </c>
      <c r="O1692" s="352">
        <v>664654</v>
      </c>
    </row>
    <row r="1693" spans="1:15" ht="13">
      <c r="A1693" s="359"/>
      <c r="B1693" s="1824" t="s">
        <v>1065</v>
      </c>
      <c r="C1693" s="1820">
        <v>972888.49</v>
      </c>
      <c r="D1693" s="361">
        <v>407412.44</v>
      </c>
      <c r="E1693" s="361">
        <v>19613.400000000001</v>
      </c>
      <c r="F1693" s="365">
        <v>0</v>
      </c>
      <c r="G1693" s="365">
        <v>0</v>
      </c>
      <c r="H1693" s="365">
        <v>0</v>
      </c>
      <c r="I1693" s="365">
        <v>0</v>
      </c>
      <c r="J1693" s="361">
        <v>37530.6</v>
      </c>
      <c r="K1693" s="365">
        <v>0</v>
      </c>
      <c r="L1693" s="365">
        <v>0</v>
      </c>
      <c r="M1693" s="361">
        <v>243508.85</v>
      </c>
      <c r="N1693" s="365">
        <v>0</v>
      </c>
      <c r="O1693" s="352">
        <v>264823.2</v>
      </c>
    </row>
    <row r="1694" spans="1:15" ht="13">
      <c r="A1694" s="359"/>
      <c r="B1694" s="1824" t="s">
        <v>1054</v>
      </c>
      <c r="C1694" s="1820">
        <v>699501.43</v>
      </c>
      <c r="D1694" s="365">
        <v>0</v>
      </c>
      <c r="E1694" s="365">
        <v>0</v>
      </c>
      <c r="F1694" s="365">
        <v>0</v>
      </c>
      <c r="G1694" s="365">
        <v>0</v>
      </c>
      <c r="H1694" s="361">
        <v>241388.54</v>
      </c>
      <c r="I1694" s="361">
        <v>232831.69</v>
      </c>
      <c r="J1694" s="365">
        <v>0</v>
      </c>
      <c r="K1694" s="361">
        <v>225281.21</v>
      </c>
      <c r="L1694" s="365">
        <v>0</v>
      </c>
      <c r="M1694" s="365">
        <v>0</v>
      </c>
      <c r="N1694" s="365">
        <v>0</v>
      </c>
      <c r="O1694" s="302">
        <v>0</v>
      </c>
    </row>
    <row r="1695" spans="1:15" ht="13">
      <c r="A1695" s="359"/>
      <c r="B1695" s="1824" t="s">
        <v>1022</v>
      </c>
      <c r="C1695" s="1820">
        <v>24601657.27</v>
      </c>
      <c r="D1695" s="365">
        <v>0</v>
      </c>
      <c r="E1695" s="365">
        <v>0</v>
      </c>
      <c r="F1695" s="365">
        <v>0</v>
      </c>
      <c r="G1695" s="365">
        <v>0</v>
      </c>
      <c r="H1695" s="365">
        <v>0</v>
      </c>
      <c r="I1695" s="365">
        <v>0</v>
      </c>
      <c r="J1695" s="365">
        <v>0</v>
      </c>
      <c r="K1695" s="361">
        <v>9074353.9800000004</v>
      </c>
      <c r="L1695" s="361">
        <v>6874422.3200000003</v>
      </c>
      <c r="M1695" s="361">
        <v>3055698.1</v>
      </c>
      <c r="N1695" s="361">
        <v>4418536.25</v>
      </c>
      <c r="O1695" s="352">
        <v>1178646.6200000001</v>
      </c>
    </row>
    <row r="1696" spans="1:15" ht="13">
      <c r="A1696" s="359"/>
      <c r="B1696" s="1824" t="s">
        <v>1747</v>
      </c>
      <c r="C1696" s="1820">
        <v>461805.97</v>
      </c>
      <c r="D1696" s="365">
        <v>0</v>
      </c>
      <c r="E1696" s="365">
        <v>0</v>
      </c>
      <c r="F1696" s="365">
        <v>0</v>
      </c>
      <c r="G1696" s="365">
        <v>0</v>
      </c>
      <c r="H1696" s="365">
        <v>0</v>
      </c>
      <c r="I1696" s="365">
        <v>0</v>
      </c>
      <c r="J1696" s="365">
        <v>0</v>
      </c>
      <c r="K1696" s="365">
        <v>0</v>
      </c>
      <c r="L1696" s="361">
        <v>162962.59</v>
      </c>
      <c r="M1696" s="361">
        <v>298843.38</v>
      </c>
      <c r="N1696" s="365">
        <v>0</v>
      </c>
      <c r="O1696" s="302">
        <v>0</v>
      </c>
    </row>
    <row r="1697" spans="1:15" ht="13">
      <c r="A1697" s="359"/>
      <c r="B1697" s="1824" t="s">
        <v>1062</v>
      </c>
      <c r="C1697" s="1820">
        <v>453776.5</v>
      </c>
      <c r="D1697" s="365">
        <v>0</v>
      </c>
      <c r="E1697" s="365">
        <v>0</v>
      </c>
      <c r="F1697" s="361">
        <v>81655.78</v>
      </c>
      <c r="G1697" s="361">
        <v>148654.5</v>
      </c>
      <c r="H1697" s="365">
        <v>0</v>
      </c>
      <c r="I1697" s="361">
        <v>167325.93</v>
      </c>
      <c r="J1697" s="361">
        <v>56140.29</v>
      </c>
      <c r="K1697" s="365">
        <v>0</v>
      </c>
      <c r="L1697" s="365">
        <v>0</v>
      </c>
      <c r="M1697" s="365">
        <v>0</v>
      </c>
      <c r="N1697" s="365">
        <v>0</v>
      </c>
      <c r="O1697" s="302">
        <v>0</v>
      </c>
    </row>
    <row r="1698" spans="1:15" ht="13">
      <c r="A1698" s="359"/>
      <c r="B1698" s="1824" t="s">
        <v>1024</v>
      </c>
      <c r="C1698" s="1820">
        <v>1420719.56</v>
      </c>
      <c r="D1698" s="365">
        <v>0</v>
      </c>
      <c r="E1698" s="365">
        <v>0</v>
      </c>
      <c r="F1698" s="365">
        <v>0</v>
      </c>
      <c r="G1698" s="365">
        <v>0</v>
      </c>
      <c r="H1698" s="365">
        <v>0</v>
      </c>
      <c r="I1698" s="365">
        <v>0</v>
      </c>
      <c r="J1698" s="361">
        <v>163931.48000000001</v>
      </c>
      <c r="K1698" s="365">
        <v>0</v>
      </c>
      <c r="L1698" s="361">
        <v>160636.32999999999</v>
      </c>
      <c r="M1698" s="361">
        <v>392900.28</v>
      </c>
      <c r="N1698" s="361">
        <v>433819.28</v>
      </c>
      <c r="O1698" s="352">
        <v>269432.18</v>
      </c>
    </row>
    <row r="1699" spans="1:15" ht="13">
      <c r="A1699" s="359"/>
      <c r="B1699" s="1824" t="s">
        <v>1749</v>
      </c>
      <c r="C1699" s="1820">
        <v>168221.73</v>
      </c>
      <c r="D1699" s="365">
        <v>0</v>
      </c>
      <c r="E1699" s="361">
        <v>168221.73</v>
      </c>
      <c r="F1699" s="365">
        <v>0</v>
      </c>
      <c r="G1699" s="365">
        <v>0</v>
      </c>
      <c r="H1699" s="365">
        <v>0</v>
      </c>
      <c r="I1699" s="365">
        <v>0</v>
      </c>
      <c r="J1699" s="365">
        <v>0</v>
      </c>
      <c r="K1699" s="365">
        <v>0</v>
      </c>
      <c r="L1699" s="365">
        <v>0</v>
      </c>
      <c r="M1699" s="365">
        <v>0</v>
      </c>
      <c r="N1699" s="365">
        <v>0</v>
      </c>
      <c r="O1699" s="302">
        <v>0</v>
      </c>
    </row>
    <row r="1700" spans="1:15" ht="13">
      <c r="A1700" s="359"/>
      <c r="B1700" s="1824" t="s">
        <v>1058</v>
      </c>
      <c r="C1700" s="1820">
        <v>836479.01</v>
      </c>
      <c r="D1700" s="365">
        <v>0</v>
      </c>
      <c r="E1700" s="361">
        <v>352890.99</v>
      </c>
      <c r="F1700" s="361">
        <v>307620.37</v>
      </c>
      <c r="G1700" s="361">
        <v>175967.64</v>
      </c>
      <c r="H1700" s="365">
        <v>0</v>
      </c>
      <c r="I1700" s="365">
        <v>0</v>
      </c>
      <c r="J1700" s="365">
        <v>0</v>
      </c>
      <c r="K1700" s="365">
        <v>0</v>
      </c>
      <c r="L1700" s="365">
        <v>0</v>
      </c>
      <c r="M1700" s="365">
        <v>0</v>
      </c>
      <c r="N1700" s="365">
        <v>0</v>
      </c>
      <c r="O1700" s="302">
        <v>0</v>
      </c>
    </row>
    <row r="1701" spans="1:15" ht="13">
      <c r="A1701" s="359"/>
      <c r="B1701" s="1824" t="s">
        <v>1026</v>
      </c>
      <c r="C1701" s="1820">
        <v>5904314.7000000002</v>
      </c>
      <c r="D1701" s="365">
        <v>0</v>
      </c>
      <c r="E1701" s="365">
        <v>0</v>
      </c>
      <c r="F1701" s="365">
        <v>0</v>
      </c>
      <c r="G1701" s="365">
        <v>0</v>
      </c>
      <c r="H1701" s="365">
        <v>0</v>
      </c>
      <c r="I1701" s="361">
        <v>522543.66</v>
      </c>
      <c r="J1701" s="361">
        <v>468801.69</v>
      </c>
      <c r="K1701" s="361">
        <v>495532.65</v>
      </c>
      <c r="L1701" s="361">
        <v>919560.1</v>
      </c>
      <c r="M1701" s="361">
        <v>1148523.98</v>
      </c>
      <c r="N1701" s="361">
        <v>1452397.41</v>
      </c>
      <c r="O1701" s="352">
        <v>896955.23</v>
      </c>
    </row>
    <row r="1702" spans="1:15" ht="13">
      <c r="A1702" s="359"/>
      <c r="B1702" s="1824" t="s">
        <v>1746</v>
      </c>
      <c r="C1702" s="1820">
        <v>483866.48</v>
      </c>
      <c r="D1702" s="365">
        <v>0</v>
      </c>
      <c r="E1702" s="365">
        <v>0</v>
      </c>
      <c r="F1702" s="365">
        <v>0</v>
      </c>
      <c r="G1702" s="365">
        <v>0</v>
      </c>
      <c r="H1702" s="365">
        <v>0</v>
      </c>
      <c r="I1702" s="365">
        <v>0</v>
      </c>
      <c r="J1702" s="365">
        <v>0</v>
      </c>
      <c r="K1702" s="365">
        <v>0</v>
      </c>
      <c r="L1702" s="361">
        <v>158428.6</v>
      </c>
      <c r="M1702" s="361">
        <v>325437.88</v>
      </c>
      <c r="N1702" s="365">
        <v>0</v>
      </c>
      <c r="O1702" s="302">
        <v>0</v>
      </c>
    </row>
    <row r="1703" spans="1:15" ht="13">
      <c r="A1703" s="359"/>
      <c r="B1703" s="1824" t="s">
        <v>1752</v>
      </c>
      <c r="C1703" s="1820">
        <v>81414.600000000006</v>
      </c>
      <c r="D1703" s="361">
        <v>81414.600000000006</v>
      </c>
      <c r="E1703" s="365">
        <v>0</v>
      </c>
      <c r="F1703" s="365">
        <v>0</v>
      </c>
      <c r="G1703" s="361">
        <v>117574.43</v>
      </c>
      <c r="H1703" s="361">
        <v>-117574.43</v>
      </c>
      <c r="I1703" s="365">
        <v>0</v>
      </c>
      <c r="J1703" s="365">
        <v>0</v>
      </c>
      <c r="K1703" s="365">
        <v>0</v>
      </c>
      <c r="L1703" s="365">
        <v>0</v>
      </c>
      <c r="M1703" s="365">
        <v>0</v>
      </c>
      <c r="N1703" s="365">
        <v>0</v>
      </c>
      <c r="O1703" s="302">
        <v>0</v>
      </c>
    </row>
    <row r="1704" spans="1:15" ht="13">
      <c r="A1704" s="359"/>
      <c r="B1704" s="1824" t="s">
        <v>1432</v>
      </c>
      <c r="C1704" s="1820">
        <v>1203811.8600000001</v>
      </c>
      <c r="D1704" s="361">
        <v>316319.65000000002</v>
      </c>
      <c r="E1704" s="365">
        <v>0</v>
      </c>
      <c r="F1704" s="365">
        <v>0</v>
      </c>
      <c r="G1704" s="365">
        <v>0</v>
      </c>
      <c r="H1704" s="365">
        <v>0</v>
      </c>
      <c r="I1704" s="365">
        <v>0</v>
      </c>
      <c r="J1704" s="361">
        <v>293772.74</v>
      </c>
      <c r="K1704" s="365">
        <v>0</v>
      </c>
      <c r="L1704" s="365">
        <v>0</v>
      </c>
      <c r="M1704" s="361">
        <v>370780.82</v>
      </c>
      <c r="N1704" s="365">
        <v>0</v>
      </c>
      <c r="O1704" s="352">
        <v>222938.65</v>
      </c>
    </row>
    <row r="1705" spans="1:15" ht="13">
      <c r="A1705" s="359"/>
      <c r="B1705" s="1824" t="s">
        <v>1436</v>
      </c>
      <c r="C1705" s="1820">
        <v>9624890.2100000009</v>
      </c>
      <c r="D1705" s="361">
        <v>780135.13</v>
      </c>
      <c r="E1705" s="361">
        <v>590153.43000000005</v>
      </c>
      <c r="F1705" s="361">
        <v>1066891.69</v>
      </c>
      <c r="G1705" s="361">
        <v>1765654.08</v>
      </c>
      <c r="H1705" s="365">
        <v>0</v>
      </c>
      <c r="I1705" s="361">
        <v>1667712.26</v>
      </c>
      <c r="J1705" s="361">
        <v>238159.19</v>
      </c>
      <c r="K1705" s="361">
        <v>1228115.1299999999</v>
      </c>
      <c r="L1705" s="361">
        <v>523059.22</v>
      </c>
      <c r="M1705" s="361">
        <v>699675.59</v>
      </c>
      <c r="N1705" s="361">
        <v>753264.47</v>
      </c>
      <c r="O1705" s="352">
        <v>312070.01</v>
      </c>
    </row>
    <row r="1706" spans="1:15" ht="13">
      <c r="A1706" s="359"/>
      <c r="B1706" s="1824" t="s">
        <v>1437</v>
      </c>
      <c r="C1706" s="1820">
        <v>6820826.9199999999</v>
      </c>
      <c r="D1706" s="361">
        <v>199959.01</v>
      </c>
      <c r="E1706" s="361">
        <v>603826.28</v>
      </c>
      <c r="F1706" s="361">
        <v>612242.68000000005</v>
      </c>
      <c r="G1706" s="361">
        <v>1607984.51</v>
      </c>
      <c r="H1706" s="361">
        <v>211571.05</v>
      </c>
      <c r="I1706" s="361">
        <v>549099.41</v>
      </c>
      <c r="J1706" s="361">
        <v>467993.93</v>
      </c>
      <c r="K1706" s="361">
        <v>491416.57</v>
      </c>
      <c r="L1706" s="361">
        <v>615636.01</v>
      </c>
      <c r="M1706" s="361">
        <v>374986.88</v>
      </c>
      <c r="N1706" s="361">
        <v>729889.48</v>
      </c>
      <c r="O1706" s="352">
        <v>356221.11</v>
      </c>
    </row>
    <row r="1707" spans="1:15" ht="13">
      <c r="A1707" s="359"/>
      <c r="B1707" s="1824" t="s">
        <v>1533</v>
      </c>
      <c r="C1707" s="1820">
        <v>415443.88</v>
      </c>
      <c r="D1707" s="361">
        <v>415443.88</v>
      </c>
      <c r="E1707" s="365">
        <v>0</v>
      </c>
      <c r="F1707" s="365">
        <v>0</v>
      </c>
      <c r="G1707" s="365">
        <v>0</v>
      </c>
      <c r="H1707" s="365">
        <v>0</v>
      </c>
      <c r="I1707" s="365">
        <v>0</v>
      </c>
      <c r="J1707" s="365">
        <v>0</v>
      </c>
      <c r="K1707" s="365">
        <v>0</v>
      </c>
      <c r="L1707" s="365">
        <v>0</v>
      </c>
      <c r="M1707" s="365">
        <v>0</v>
      </c>
      <c r="N1707" s="365">
        <v>0</v>
      </c>
      <c r="O1707" s="302">
        <v>0</v>
      </c>
    </row>
    <row r="1708" spans="1:15" ht="13">
      <c r="A1708" s="359"/>
      <c r="B1708" s="1824" t="s">
        <v>1403</v>
      </c>
      <c r="C1708" s="1820">
        <v>45109117.090000004</v>
      </c>
      <c r="D1708" s="361">
        <v>1657695.09</v>
      </c>
      <c r="E1708" s="361">
        <v>1760478.65</v>
      </c>
      <c r="F1708" s="361">
        <v>2466139.21</v>
      </c>
      <c r="G1708" s="361">
        <v>4249116.5999999996</v>
      </c>
      <c r="H1708" s="361">
        <v>936277.52</v>
      </c>
      <c r="I1708" s="361">
        <v>4496461.07</v>
      </c>
      <c r="J1708" s="361">
        <v>5167474.3499999996</v>
      </c>
      <c r="K1708" s="361">
        <v>3601676.02</v>
      </c>
      <c r="L1708" s="361">
        <v>2638672.27</v>
      </c>
      <c r="M1708" s="361">
        <v>5554794.8300000001</v>
      </c>
      <c r="N1708" s="361">
        <v>6526345.9800000004</v>
      </c>
      <c r="O1708" s="352">
        <v>6053985.5</v>
      </c>
    </row>
    <row r="1709" spans="1:15" ht="13">
      <c r="A1709" s="359">
        <v>30</v>
      </c>
      <c r="B1709" s="1824" t="s">
        <v>1581</v>
      </c>
      <c r="C1709" s="1820">
        <v>2039580.92</v>
      </c>
      <c r="D1709" s="361">
        <v>710240.26</v>
      </c>
      <c r="E1709" s="365">
        <v>0</v>
      </c>
      <c r="F1709" s="361">
        <v>920682.16</v>
      </c>
      <c r="G1709" s="361">
        <v>344558.63</v>
      </c>
      <c r="H1709" s="365">
        <v>0</v>
      </c>
      <c r="I1709" s="365">
        <v>0</v>
      </c>
      <c r="J1709" s="361">
        <v>64099.87</v>
      </c>
      <c r="K1709" s="365">
        <v>0</v>
      </c>
      <c r="L1709" s="365">
        <v>0</v>
      </c>
      <c r="M1709" s="365">
        <v>0</v>
      </c>
      <c r="N1709" s="365">
        <v>0</v>
      </c>
      <c r="O1709" s="302">
        <v>0</v>
      </c>
    </row>
    <row r="1710" spans="1:15" ht="13">
      <c r="A1710" s="359"/>
      <c r="B1710" s="1824" t="s">
        <v>1504</v>
      </c>
      <c r="C1710" s="1820">
        <v>207651.84</v>
      </c>
      <c r="D1710" s="365">
        <v>0</v>
      </c>
      <c r="E1710" s="365">
        <v>0</v>
      </c>
      <c r="F1710" s="365">
        <v>0</v>
      </c>
      <c r="G1710" s="365">
        <v>0</v>
      </c>
      <c r="H1710" s="365">
        <v>0</v>
      </c>
      <c r="I1710" s="365">
        <v>0</v>
      </c>
      <c r="J1710" s="365">
        <v>0</v>
      </c>
      <c r="K1710" s="365">
        <v>0</v>
      </c>
      <c r="L1710" s="365">
        <v>0</v>
      </c>
      <c r="M1710" s="365">
        <v>0</v>
      </c>
      <c r="N1710" s="365">
        <v>0</v>
      </c>
      <c r="O1710" s="352">
        <v>207651.84</v>
      </c>
    </row>
    <row r="1711" spans="1:15" ht="13">
      <c r="A1711" s="359"/>
      <c r="B1711" s="1824" t="s">
        <v>1503</v>
      </c>
      <c r="C1711" s="1820">
        <v>1259380.99</v>
      </c>
      <c r="D1711" s="365">
        <v>0</v>
      </c>
      <c r="E1711" s="365">
        <v>0</v>
      </c>
      <c r="F1711" s="365">
        <v>0</v>
      </c>
      <c r="G1711" s="365">
        <v>0</v>
      </c>
      <c r="H1711" s="365">
        <v>0</v>
      </c>
      <c r="I1711" s="365">
        <v>0</v>
      </c>
      <c r="J1711" s="365">
        <v>0</v>
      </c>
      <c r="K1711" s="365">
        <v>0</v>
      </c>
      <c r="L1711" s="365">
        <v>0</v>
      </c>
      <c r="M1711" s="365">
        <v>0</v>
      </c>
      <c r="N1711" s="361">
        <v>1385182.64</v>
      </c>
      <c r="O1711" s="352">
        <v>-125801.65</v>
      </c>
    </row>
    <row r="1712" spans="1:15" ht="13">
      <c r="A1712" s="359"/>
      <c r="B1712" s="1824" t="s">
        <v>1453</v>
      </c>
      <c r="C1712" s="1820">
        <v>2129112.16</v>
      </c>
      <c r="D1712" s="365">
        <v>0</v>
      </c>
      <c r="E1712" s="361">
        <v>263060.34000000003</v>
      </c>
      <c r="F1712" s="365">
        <v>0</v>
      </c>
      <c r="G1712" s="361">
        <v>192786.85</v>
      </c>
      <c r="H1712" s="361">
        <v>149215.41</v>
      </c>
      <c r="I1712" s="365">
        <v>0</v>
      </c>
      <c r="J1712" s="361">
        <v>254257.71</v>
      </c>
      <c r="K1712" s="361">
        <v>170301.03</v>
      </c>
      <c r="L1712" s="361">
        <v>274103.44</v>
      </c>
      <c r="M1712" s="361">
        <v>250355.59</v>
      </c>
      <c r="N1712" s="361">
        <v>291764.95</v>
      </c>
      <c r="O1712" s="352">
        <v>283266.84000000003</v>
      </c>
    </row>
    <row r="1713" spans="1:15" ht="13">
      <c r="A1713" s="359"/>
      <c r="B1713" s="1824" t="s">
        <v>1520</v>
      </c>
      <c r="C1713" s="1820">
        <v>369917.56</v>
      </c>
      <c r="D1713" s="365">
        <v>0</v>
      </c>
      <c r="E1713" s="365">
        <v>0</v>
      </c>
      <c r="F1713" s="361">
        <v>369917.56</v>
      </c>
      <c r="G1713" s="365">
        <v>0</v>
      </c>
      <c r="H1713" s="365">
        <v>0</v>
      </c>
      <c r="I1713" s="365">
        <v>0</v>
      </c>
      <c r="J1713" s="365">
        <v>0</v>
      </c>
      <c r="K1713" s="365">
        <v>0</v>
      </c>
      <c r="L1713" s="365">
        <v>0</v>
      </c>
      <c r="M1713" s="365">
        <v>0</v>
      </c>
      <c r="N1713" s="365">
        <v>0</v>
      </c>
      <c r="O1713" s="302">
        <v>0</v>
      </c>
    </row>
    <row r="1714" spans="1:15" ht="13">
      <c r="A1714" s="359"/>
      <c r="B1714" s="1824" t="s">
        <v>1523</v>
      </c>
      <c r="C1714" s="1820">
        <v>836853.47</v>
      </c>
      <c r="D1714" s="361">
        <v>183232.41</v>
      </c>
      <c r="E1714" s="361">
        <v>195263.01</v>
      </c>
      <c r="F1714" s="361">
        <v>198594.09</v>
      </c>
      <c r="G1714" s="365">
        <v>0</v>
      </c>
      <c r="H1714" s="361">
        <v>259763.96</v>
      </c>
      <c r="I1714" s="365">
        <v>0</v>
      </c>
      <c r="J1714" s="365">
        <v>0</v>
      </c>
      <c r="K1714" s="365">
        <v>0</v>
      </c>
      <c r="L1714" s="365">
        <v>0</v>
      </c>
      <c r="M1714" s="365">
        <v>0</v>
      </c>
      <c r="N1714" s="365">
        <v>0</v>
      </c>
      <c r="O1714" s="302">
        <v>0</v>
      </c>
    </row>
    <row r="1715" spans="1:15" ht="13">
      <c r="A1715" s="359"/>
      <c r="B1715" s="1824" t="s">
        <v>1582</v>
      </c>
      <c r="C1715" s="1820">
        <v>2712970.8</v>
      </c>
      <c r="D1715" s="361">
        <v>655464.93000000005</v>
      </c>
      <c r="E1715" s="361">
        <v>1138014.67</v>
      </c>
      <c r="F1715" s="365">
        <v>0</v>
      </c>
      <c r="G1715" s="365">
        <v>0</v>
      </c>
      <c r="H1715" s="361">
        <v>919491.2</v>
      </c>
      <c r="I1715" s="365">
        <v>0</v>
      </c>
      <c r="J1715" s="365">
        <v>0</v>
      </c>
      <c r="K1715" s="365">
        <v>0</v>
      </c>
      <c r="L1715" s="365">
        <v>0</v>
      </c>
      <c r="M1715" s="365">
        <v>0</v>
      </c>
      <c r="N1715" s="365">
        <v>0</v>
      </c>
      <c r="O1715" s="302">
        <v>0</v>
      </c>
    </row>
    <row r="1716" spans="1:15" ht="13">
      <c r="A1716" s="359"/>
      <c r="B1716" s="1824" t="s">
        <v>1516</v>
      </c>
      <c r="C1716" s="1820">
        <v>626637.61</v>
      </c>
      <c r="D1716" s="365">
        <v>0</v>
      </c>
      <c r="E1716" s="365">
        <v>0</v>
      </c>
      <c r="F1716" s="361">
        <v>466661.52</v>
      </c>
      <c r="G1716" s="365">
        <v>0</v>
      </c>
      <c r="H1716" s="365">
        <v>0</v>
      </c>
      <c r="I1716" s="365">
        <v>0</v>
      </c>
      <c r="J1716" s="365">
        <v>0</v>
      </c>
      <c r="K1716" s="365">
        <v>0</v>
      </c>
      <c r="L1716" s="365">
        <v>0</v>
      </c>
      <c r="M1716" s="361">
        <v>159976.09</v>
      </c>
      <c r="N1716" s="365">
        <v>0</v>
      </c>
      <c r="O1716" s="302">
        <v>0</v>
      </c>
    </row>
    <row r="1717" spans="1:15" ht="13">
      <c r="A1717" s="359"/>
      <c r="B1717" s="1824" t="s">
        <v>1424</v>
      </c>
      <c r="C1717" s="1820">
        <v>1387395.45</v>
      </c>
      <c r="D1717" s="365">
        <v>0</v>
      </c>
      <c r="E1717" s="365">
        <v>0</v>
      </c>
      <c r="F1717" s="365">
        <v>0</v>
      </c>
      <c r="G1717" s="365">
        <v>0</v>
      </c>
      <c r="H1717" s="365">
        <v>0</v>
      </c>
      <c r="I1717" s="365">
        <v>0</v>
      </c>
      <c r="J1717" s="365">
        <v>0</v>
      </c>
      <c r="K1717" s="361">
        <v>689706.97</v>
      </c>
      <c r="L1717" s="361">
        <v>308287.77</v>
      </c>
      <c r="M1717" s="365">
        <v>0</v>
      </c>
      <c r="N1717" s="361">
        <v>135665.32999999999</v>
      </c>
      <c r="O1717" s="352">
        <v>253735.38</v>
      </c>
    </row>
    <row r="1718" spans="1:15" ht="13">
      <c r="A1718" s="359"/>
      <c r="B1718" s="1824" t="s">
        <v>1801</v>
      </c>
      <c r="C1718" s="1820">
        <v>33991.21</v>
      </c>
      <c r="D1718" s="365">
        <v>0</v>
      </c>
      <c r="E1718" s="365">
        <v>0</v>
      </c>
      <c r="F1718" s="365">
        <v>0</v>
      </c>
      <c r="G1718" s="365">
        <v>0</v>
      </c>
      <c r="H1718" s="365">
        <v>0</v>
      </c>
      <c r="I1718" s="365">
        <v>0</v>
      </c>
      <c r="J1718" s="365">
        <v>0</v>
      </c>
      <c r="K1718" s="361">
        <v>33991.21</v>
      </c>
      <c r="L1718" s="365">
        <v>0</v>
      </c>
      <c r="M1718" s="365">
        <v>0</v>
      </c>
      <c r="N1718" s="365">
        <v>0</v>
      </c>
      <c r="O1718" s="302">
        <v>0</v>
      </c>
    </row>
    <row r="1719" spans="1:15" ht="13">
      <c r="A1719" s="359"/>
      <c r="B1719" s="1824" t="s">
        <v>1655</v>
      </c>
      <c r="C1719" s="1820">
        <v>97690.53</v>
      </c>
      <c r="D1719" s="365">
        <v>0</v>
      </c>
      <c r="E1719" s="365">
        <v>0</v>
      </c>
      <c r="F1719" s="365">
        <v>0</v>
      </c>
      <c r="G1719" s="365">
        <v>0</v>
      </c>
      <c r="H1719" s="365">
        <v>0</v>
      </c>
      <c r="I1719" s="365">
        <v>0</v>
      </c>
      <c r="J1719" s="365">
        <v>0</v>
      </c>
      <c r="K1719" s="365">
        <v>0</v>
      </c>
      <c r="L1719" s="361">
        <v>45896.26</v>
      </c>
      <c r="M1719" s="361">
        <v>51794.28</v>
      </c>
      <c r="N1719" s="365">
        <v>0</v>
      </c>
      <c r="O1719" s="302">
        <v>0</v>
      </c>
    </row>
    <row r="1720" spans="1:15" ht="13">
      <c r="A1720" s="359"/>
      <c r="B1720" s="1824" t="s">
        <v>1802</v>
      </c>
      <c r="C1720" s="1820">
        <v>354225.12</v>
      </c>
      <c r="D1720" s="365">
        <v>0</v>
      </c>
      <c r="E1720" s="365">
        <v>0</v>
      </c>
      <c r="F1720" s="365">
        <v>0</v>
      </c>
      <c r="G1720" s="365">
        <v>0</v>
      </c>
      <c r="H1720" s="365">
        <v>0</v>
      </c>
      <c r="I1720" s="365">
        <v>0</v>
      </c>
      <c r="J1720" s="361">
        <v>112024</v>
      </c>
      <c r="K1720" s="365">
        <v>0</v>
      </c>
      <c r="L1720" s="361">
        <v>242201.12</v>
      </c>
      <c r="M1720" s="365">
        <v>0</v>
      </c>
      <c r="N1720" s="365">
        <v>0</v>
      </c>
      <c r="O1720" s="302">
        <v>0</v>
      </c>
    </row>
    <row r="1721" spans="1:15" ht="13">
      <c r="A1721" s="359"/>
      <c r="B1721" s="1824" t="s">
        <v>1457</v>
      </c>
      <c r="C1721" s="1820">
        <v>5428287.1699999999</v>
      </c>
      <c r="D1721" s="365">
        <v>0</v>
      </c>
      <c r="E1721" s="361">
        <v>402082.93</v>
      </c>
      <c r="F1721" s="361">
        <v>304370.84000000003</v>
      </c>
      <c r="G1721" s="361">
        <v>267523.13</v>
      </c>
      <c r="H1721" s="365">
        <v>0</v>
      </c>
      <c r="I1721" s="361">
        <v>92490.82</v>
      </c>
      <c r="J1721" s="365">
        <v>0</v>
      </c>
      <c r="K1721" s="365">
        <v>0</v>
      </c>
      <c r="L1721" s="365">
        <v>0</v>
      </c>
      <c r="M1721" s="361">
        <v>772973.2</v>
      </c>
      <c r="N1721" s="361">
        <v>1762157.99</v>
      </c>
      <c r="O1721" s="352">
        <v>1826688.26</v>
      </c>
    </row>
    <row r="1722" spans="1:15" ht="13">
      <c r="A1722" s="359"/>
      <c r="B1722" s="1824" t="s">
        <v>1511</v>
      </c>
      <c r="C1722" s="1820">
        <v>544240.42000000004</v>
      </c>
      <c r="D1722" s="365">
        <v>0</v>
      </c>
      <c r="E1722" s="361">
        <v>191653.66</v>
      </c>
      <c r="F1722" s="365">
        <v>0</v>
      </c>
      <c r="G1722" s="365">
        <v>0</v>
      </c>
      <c r="H1722" s="361">
        <v>70207.78</v>
      </c>
      <c r="I1722" s="361">
        <v>41129.1</v>
      </c>
      <c r="J1722" s="365">
        <v>0</v>
      </c>
      <c r="K1722" s="365">
        <v>0</v>
      </c>
      <c r="L1722" s="361">
        <v>241249.89</v>
      </c>
      <c r="M1722" s="365">
        <v>0</v>
      </c>
      <c r="N1722" s="365">
        <v>0</v>
      </c>
      <c r="O1722" s="302">
        <v>0</v>
      </c>
    </row>
    <row r="1723" spans="1:15" ht="13">
      <c r="A1723" s="359"/>
      <c r="B1723" s="1824" t="s">
        <v>1509</v>
      </c>
      <c r="C1723" s="1820">
        <v>1640857.4</v>
      </c>
      <c r="D1723" s="365">
        <v>0</v>
      </c>
      <c r="E1723" s="365">
        <v>0</v>
      </c>
      <c r="F1723" s="365">
        <v>0</v>
      </c>
      <c r="G1723" s="365">
        <v>0</v>
      </c>
      <c r="H1723" s="365">
        <v>0</v>
      </c>
      <c r="I1723" s="365">
        <v>0</v>
      </c>
      <c r="J1723" s="361">
        <v>380268</v>
      </c>
      <c r="K1723" s="361">
        <v>541040.24</v>
      </c>
      <c r="L1723" s="361">
        <v>469049.17</v>
      </c>
      <c r="M1723" s="361">
        <v>250500</v>
      </c>
      <c r="N1723" s="365">
        <v>0</v>
      </c>
      <c r="O1723" s="302">
        <v>0</v>
      </c>
    </row>
    <row r="1724" spans="1:15" ht="13">
      <c r="A1724" s="359"/>
      <c r="B1724" s="1824" t="s">
        <v>1680</v>
      </c>
      <c r="C1724" s="1820">
        <v>306413.5</v>
      </c>
      <c r="D1724" s="365">
        <v>0</v>
      </c>
      <c r="E1724" s="365">
        <v>0</v>
      </c>
      <c r="F1724" s="365">
        <v>0</v>
      </c>
      <c r="G1724" s="365">
        <v>0</v>
      </c>
      <c r="H1724" s="365">
        <v>0</v>
      </c>
      <c r="I1724" s="365">
        <v>0</v>
      </c>
      <c r="J1724" s="365">
        <v>0</v>
      </c>
      <c r="K1724" s="361">
        <v>100049.79</v>
      </c>
      <c r="L1724" s="361">
        <v>175088.6</v>
      </c>
      <c r="M1724" s="361">
        <v>31275.11</v>
      </c>
      <c r="N1724" s="365">
        <v>0</v>
      </c>
      <c r="O1724" s="302">
        <v>0</v>
      </c>
    </row>
    <row r="1725" spans="1:15" ht="13">
      <c r="A1725" s="359"/>
      <c r="B1725" s="1824" t="s">
        <v>1485</v>
      </c>
      <c r="C1725" s="1822">
        <v>0</v>
      </c>
      <c r="D1725" s="365">
        <v>0</v>
      </c>
      <c r="E1725" s="365">
        <v>0</v>
      </c>
      <c r="F1725" s="365">
        <v>0</v>
      </c>
      <c r="G1725" s="365">
        <v>0</v>
      </c>
      <c r="H1725" s="365">
        <v>0</v>
      </c>
      <c r="I1725" s="365">
        <v>0</v>
      </c>
      <c r="J1725" s="365">
        <v>0</v>
      </c>
      <c r="K1725" s="365">
        <v>0</v>
      </c>
      <c r="L1725" s="365">
        <v>0</v>
      </c>
      <c r="M1725" s="365">
        <v>0</v>
      </c>
      <c r="N1725" s="365">
        <v>0</v>
      </c>
      <c r="O1725" s="302">
        <v>0</v>
      </c>
    </row>
    <row r="1726" spans="1:15" ht="13">
      <c r="A1726" s="359"/>
      <c r="B1726" s="1824" t="s">
        <v>1583</v>
      </c>
      <c r="C1726" s="1820">
        <v>235541.48</v>
      </c>
      <c r="D1726" s="365">
        <v>0</v>
      </c>
      <c r="E1726" s="365">
        <v>0</v>
      </c>
      <c r="F1726" s="365">
        <v>0</v>
      </c>
      <c r="G1726" s="365">
        <v>0</v>
      </c>
      <c r="H1726" s="365">
        <v>0</v>
      </c>
      <c r="I1726" s="365">
        <v>0</v>
      </c>
      <c r="J1726" s="365">
        <v>0</v>
      </c>
      <c r="K1726" s="365">
        <v>0</v>
      </c>
      <c r="L1726" s="361">
        <v>235541.48</v>
      </c>
      <c r="M1726" s="365">
        <v>0</v>
      </c>
      <c r="N1726" s="365">
        <v>0</v>
      </c>
      <c r="O1726" s="302">
        <v>0</v>
      </c>
    </row>
    <row r="1727" spans="1:15" ht="13">
      <c r="A1727" s="359"/>
      <c r="B1727" s="1824" t="s">
        <v>1316</v>
      </c>
      <c r="C1727" s="1820">
        <v>4205862.7</v>
      </c>
      <c r="D1727" s="361">
        <v>761063.49</v>
      </c>
      <c r="E1727" s="361">
        <v>203388.96</v>
      </c>
      <c r="F1727" s="361">
        <v>206170.82</v>
      </c>
      <c r="G1727" s="361">
        <v>303008.59999999998</v>
      </c>
      <c r="H1727" s="361">
        <v>343993.23</v>
      </c>
      <c r="I1727" s="361">
        <v>149597.82</v>
      </c>
      <c r="J1727" s="361">
        <v>390599.5</v>
      </c>
      <c r="K1727" s="361">
        <v>215483.46</v>
      </c>
      <c r="L1727" s="361">
        <v>241627.64</v>
      </c>
      <c r="M1727" s="361">
        <v>276909.7</v>
      </c>
      <c r="N1727" s="361">
        <v>489571.43</v>
      </c>
      <c r="O1727" s="352">
        <v>624448.05000000005</v>
      </c>
    </row>
    <row r="1728" spans="1:15" ht="13">
      <c r="A1728" s="359"/>
      <c r="B1728" s="1824" t="s">
        <v>1584</v>
      </c>
      <c r="C1728" s="1820">
        <v>55683.45</v>
      </c>
      <c r="D1728" s="365">
        <v>0</v>
      </c>
      <c r="E1728" s="365">
        <v>0</v>
      </c>
      <c r="F1728" s="365">
        <v>0</v>
      </c>
      <c r="G1728" s="361">
        <v>55683.45</v>
      </c>
      <c r="H1728" s="365">
        <v>0</v>
      </c>
      <c r="I1728" s="365">
        <v>0</v>
      </c>
      <c r="J1728" s="365">
        <v>0</v>
      </c>
      <c r="K1728" s="365">
        <v>0</v>
      </c>
      <c r="L1728" s="365">
        <v>0</v>
      </c>
      <c r="M1728" s="365">
        <v>0</v>
      </c>
      <c r="N1728" s="365">
        <v>0</v>
      </c>
      <c r="O1728" s="302">
        <v>0</v>
      </c>
    </row>
    <row r="1729" spans="1:15" ht="13">
      <c r="A1729" s="359"/>
      <c r="B1729" s="1824" t="s">
        <v>1411</v>
      </c>
      <c r="C1729" s="1820">
        <v>4605150.22</v>
      </c>
      <c r="D1729" s="361">
        <v>576794.1</v>
      </c>
      <c r="E1729" s="361">
        <v>127997.73</v>
      </c>
      <c r="F1729" s="365">
        <v>0</v>
      </c>
      <c r="G1729" s="361">
        <v>258346.25</v>
      </c>
      <c r="H1729" s="361">
        <v>277023.24</v>
      </c>
      <c r="I1729" s="361">
        <v>326308.36</v>
      </c>
      <c r="J1729" s="361">
        <v>534647.09</v>
      </c>
      <c r="K1729" s="365">
        <v>0</v>
      </c>
      <c r="L1729" s="361">
        <v>371043.57</v>
      </c>
      <c r="M1729" s="361">
        <v>369463.02</v>
      </c>
      <c r="N1729" s="361">
        <v>941927.28</v>
      </c>
      <c r="O1729" s="352">
        <v>821599.57</v>
      </c>
    </row>
    <row r="1730" spans="1:15" ht="13">
      <c r="A1730" s="359"/>
      <c r="B1730" s="1824" t="s">
        <v>1404</v>
      </c>
      <c r="C1730" s="1820">
        <v>10603224.52</v>
      </c>
      <c r="D1730" s="365">
        <v>0</v>
      </c>
      <c r="E1730" s="365">
        <v>0</v>
      </c>
      <c r="F1730" s="361">
        <v>3267339.12</v>
      </c>
      <c r="G1730" s="365">
        <v>0</v>
      </c>
      <c r="H1730" s="365">
        <v>0</v>
      </c>
      <c r="I1730" s="365">
        <v>0</v>
      </c>
      <c r="J1730" s="365">
        <v>0</v>
      </c>
      <c r="K1730" s="365">
        <v>0</v>
      </c>
      <c r="L1730" s="365">
        <v>0</v>
      </c>
      <c r="M1730" s="361">
        <v>2759751.76</v>
      </c>
      <c r="N1730" s="361">
        <v>4041961.99</v>
      </c>
      <c r="O1730" s="352">
        <v>534171.66</v>
      </c>
    </row>
    <row r="1731" spans="1:15" ht="13">
      <c r="A1731" s="359"/>
      <c r="B1731" s="1824" t="s">
        <v>1510</v>
      </c>
      <c r="C1731" s="1820">
        <v>1936941.9</v>
      </c>
      <c r="D1731" s="365">
        <v>0</v>
      </c>
      <c r="E1731" s="361">
        <v>251261.17</v>
      </c>
      <c r="F1731" s="361">
        <v>139874</v>
      </c>
      <c r="G1731" s="361">
        <v>268813.73</v>
      </c>
      <c r="H1731" s="365">
        <v>0</v>
      </c>
      <c r="I1731" s="361">
        <v>267530.31</v>
      </c>
      <c r="J1731" s="365">
        <v>0</v>
      </c>
      <c r="K1731" s="365">
        <v>0</v>
      </c>
      <c r="L1731" s="361">
        <v>362216.48</v>
      </c>
      <c r="M1731" s="361">
        <v>399943.86</v>
      </c>
      <c r="N1731" s="365">
        <v>0</v>
      </c>
      <c r="O1731" s="352">
        <v>247302.36</v>
      </c>
    </row>
    <row r="1732" spans="1:15" ht="13">
      <c r="A1732" s="359"/>
      <c r="B1732" s="1824" t="s">
        <v>1585</v>
      </c>
      <c r="C1732" s="1820">
        <v>82354.44</v>
      </c>
      <c r="D1732" s="361">
        <v>82354.44</v>
      </c>
      <c r="E1732" s="365">
        <v>0</v>
      </c>
      <c r="F1732" s="365">
        <v>0</v>
      </c>
      <c r="G1732" s="365">
        <v>0</v>
      </c>
      <c r="H1732" s="365">
        <v>0</v>
      </c>
      <c r="I1732" s="365">
        <v>0</v>
      </c>
      <c r="J1732" s="365">
        <v>0</v>
      </c>
      <c r="K1732" s="365">
        <v>0</v>
      </c>
      <c r="L1732" s="365">
        <v>0</v>
      </c>
      <c r="M1732" s="365">
        <v>0</v>
      </c>
      <c r="N1732" s="365">
        <v>0</v>
      </c>
      <c r="O1732" s="302">
        <v>0</v>
      </c>
    </row>
    <row r="1733" spans="1:15" ht="13">
      <c r="A1733" s="359"/>
      <c r="B1733" s="1824" t="s">
        <v>1515</v>
      </c>
      <c r="C1733" s="1820">
        <v>765020.18</v>
      </c>
      <c r="D1733" s="365">
        <v>0</v>
      </c>
      <c r="E1733" s="361">
        <v>341030.18</v>
      </c>
      <c r="F1733" s="365">
        <v>0</v>
      </c>
      <c r="G1733" s="365">
        <v>0</v>
      </c>
      <c r="H1733" s="365">
        <v>0</v>
      </c>
      <c r="I1733" s="365">
        <v>0</v>
      </c>
      <c r="J1733" s="365">
        <v>0</v>
      </c>
      <c r="K1733" s="365">
        <v>0</v>
      </c>
      <c r="L1733" s="361">
        <v>161820</v>
      </c>
      <c r="M1733" s="361">
        <v>262170</v>
      </c>
      <c r="N1733" s="365">
        <v>0</v>
      </c>
      <c r="O1733" s="302">
        <v>0</v>
      </c>
    </row>
    <row r="1734" spans="1:15" ht="13">
      <c r="A1734" s="359"/>
      <c r="B1734" s="1824" t="s">
        <v>1407</v>
      </c>
      <c r="C1734" s="1820">
        <v>11797665.09</v>
      </c>
      <c r="D1734" s="361">
        <v>526980.34</v>
      </c>
      <c r="E1734" s="361">
        <v>805070.57</v>
      </c>
      <c r="F1734" s="365">
        <v>0</v>
      </c>
      <c r="G1734" s="361">
        <v>126534.01</v>
      </c>
      <c r="H1734" s="365">
        <v>0</v>
      </c>
      <c r="I1734" s="361">
        <v>319102.94</v>
      </c>
      <c r="J1734" s="361">
        <v>1061307.0900000001</v>
      </c>
      <c r="K1734" s="361">
        <v>320588.73</v>
      </c>
      <c r="L1734" s="361">
        <v>361479.2</v>
      </c>
      <c r="M1734" s="361">
        <v>3201175.23</v>
      </c>
      <c r="N1734" s="361">
        <v>1898165.55</v>
      </c>
      <c r="O1734" s="352">
        <v>3177261.42</v>
      </c>
    </row>
    <row r="1735" spans="1:15" ht="13">
      <c r="A1735" s="359"/>
      <c r="B1735" s="1824" t="s">
        <v>1483</v>
      </c>
      <c r="C1735" s="1820">
        <v>196614.7</v>
      </c>
      <c r="D1735" s="365">
        <v>0</v>
      </c>
      <c r="E1735" s="365">
        <v>0</v>
      </c>
      <c r="F1735" s="365">
        <v>0</v>
      </c>
      <c r="G1735" s="365">
        <v>0</v>
      </c>
      <c r="H1735" s="365">
        <v>0</v>
      </c>
      <c r="I1735" s="365">
        <v>0</v>
      </c>
      <c r="J1735" s="365">
        <v>0</v>
      </c>
      <c r="K1735" s="361">
        <v>146101.1</v>
      </c>
      <c r="L1735" s="365">
        <v>0</v>
      </c>
      <c r="M1735" s="365">
        <v>0</v>
      </c>
      <c r="N1735" s="361">
        <v>50513.599999999999</v>
      </c>
      <c r="O1735" s="302">
        <v>0</v>
      </c>
    </row>
    <row r="1736" spans="1:15" ht="13">
      <c r="A1736" s="359"/>
      <c r="B1736" s="1824" t="s">
        <v>1454</v>
      </c>
      <c r="C1736" s="1820">
        <v>4622393.75</v>
      </c>
      <c r="D1736" s="365">
        <v>0</v>
      </c>
      <c r="E1736" s="365">
        <v>0</v>
      </c>
      <c r="F1736" s="365">
        <v>0</v>
      </c>
      <c r="G1736" s="365">
        <v>0</v>
      </c>
      <c r="H1736" s="365">
        <v>0</v>
      </c>
      <c r="I1736" s="365">
        <v>0</v>
      </c>
      <c r="J1736" s="365">
        <v>0</v>
      </c>
      <c r="K1736" s="365">
        <v>0</v>
      </c>
      <c r="L1736" s="361">
        <v>1645610.69</v>
      </c>
      <c r="M1736" s="361">
        <v>1251332.52</v>
      </c>
      <c r="N1736" s="361">
        <v>1725450.54</v>
      </c>
      <c r="O1736" s="302">
        <v>0</v>
      </c>
    </row>
    <row r="1737" spans="1:15" ht="13">
      <c r="A1737" s="359"/>
      <c r="B1737" s="1824" t="s">
        <v>1462</v>
      </c>
      <c r="C1737" s="1820">
        <v>1907509.93</v>
      </c>
      <c r="D1737" s="365">
        <v>0</v>
      </c>
      <c r="E1737" s="365">
        <v>0</v>
      </c>
      <c r="F1737" s="361">
        <v>518325.02</v>
      </c>
      <c r="G1737" s="365">
        <v>0</v>
      </c>
      <c r="H1737" s="361">
        <v>648583.56999999995</v>
      </c>
      <c r="I1737" s="365">
        <v>0</v>
      </c>
      <c r="J1737" s="361">
        <v>-128240.33</v>
      </c>
      <c r="K1737" s="365">
        <v>0</v>
      </c>
      <c r="L1737" s="361">
        <v>210154.52</v>
      </c>
      <c r="M1737" s="365">
        <v>-0.02</v>
      </c>
      <c r="N1737" s="365">
        <v>0</v>
      </c>
      <c r="O1737" s="352">
        <v>658687.17000000004</v>
      </c>
    </row>
    <row r="1738" spans="1:15" ht="13">
      <c r="A1738" s="359"/>
      <c r="B1738" s="1824" t="s">
        <v>1507</v>
      </c>
      <c r="C1738" s="1820">
        <v>692401.37</v>
      </c>
      <c r="D1738" s="365">
        <v>0</v>
      </c>
      <c r="E1738" s="365">
        <v>0</v>
      </c>
      <c r="F1738" s="365">
        <v>0</v>
      </c>
      <c r="G1738" s="365">
        <v>0</v>
      </c>
      <c r="H1738" s="365">
        <v>0</v>
      </c>
      <c r="I1738" s="365">
        <v>0</v>
      </c>
      <c r="J1738" s="365">
        <v>0</v>
      </c>
      <c r="K1738" s="365">
        <v>0</v>
      </c>
      <c r="L1738" s="365">
        <v>0</v>
      </c>
      <c r="M1738" s="361">
        <v>446230.78</v>
      </c>
      <c r="N1738" s="365">
        <v>0</v>
      </c>
      <c r="O1738" s="352">
        <v>246170.59</v>
      </c>
    </row>
    <row r="1739" spans="1:15" ht="13">
      <c r="A1739" s="359"/>
      <c r="B1739" s="1824" t="s">
        <v>1408</v>
      </c>
      <c r="C1739" s="1820">
        <v>4524510.88</v>
      </c>
      <c r="D1739" s="361">
        <v>34787.800000000003</v>
      </c>
      <c r="E1739" s="361">
        <v>346541.38</v>
      </c>
      <c r="F1739" s="361">
        <v>581439.91</v>
      </c>
      <c r="G1739" s="361">
        <v>193063.32</v>
      </c>
      <c r="H1739" s="361">
        <v>160477.4</v>
      </c>
      <c r="I1739" s="361">
        <v>448513.11</v>
      </c>
      <c r="J1739" s="361">
        <v>316619.11</v>
      </c>
      <c r="K1739" s="361">
        <v>634581.12</v>
      </c>
      <c r="L1739" s="361">
        <v>199488.81</v>
      </c>
      <c r="M1739" s="361">
        <v>342477.85</v>
      </c>
      <c r="N1739" s="361">
        <v>258187.45</v>
      </c>
      <c r="O1739" s="352">
        <v>1008333.61</v>
      </c>
    </row>
    <row r="1740" spans="1:15" ht="13">
      <c r="A1740" s="359"/>
      <c r="B1740" s="1824" t="s">
        <v>1474</v>
      </c>
      <c r="C1740" s="1822">
        <v>0</v>
      </c>
      <c r="D1740" s="365">
        <v>0</v>
      </c>
      <c r="E1740" s="365">
        <v>0</v>
      </c>
      <c r="F1740" s="365">
        <v>0</v>
      </c>
      <c r="G1740" s="365">
        <v>0</v>
      </c>
      <c r="H1740" s="365">
        <v>0</v>
      </c>
      <c r="I1740" s="365">
        <v>0</v>
      </c>
      <c r="J1740" s="365">
        <v>0</v>
      </c>
      <c r="K1740" s="365">
        <v>0</v>
      </c>
      <c r="L1740" s="365">
        <v>0</v>
      </c>
      <c r="M1740" s="365">
        <v>0</v>
      </c>
      <c r="N1740" s="365">
        <v>0</v>
      </c>
      <c r="O1740" s="302">
        <v>0</v>
      </c>
    </row>
    <row r="1741" spans="1:15" ht="13">
      <c r="A1741" s="359"/>
      <c r="B1741" s="1824" t="s">
        <v>1586</v>
      </c>
      <c r="C1741" s="1820">
        <v>1477645.04</v>
      </c>
      <c r="D1741" s="365">
        <v>0</v>
      </c>
      <c r="E1741" s="361">
        <v>250406.54</v>
      </c>
      <c r="F1741" s="361">
        <v>1038103.96</v>
      </c>
      <c r="G1741" s="361">
        <v>12966.63</v>
      </c>
      <c r="H1741" s="365">
        <v>0</v>
      </c>
      <c r="I1741" s="365">
        <v>0</v>
      </c>
      <c r="J1741" s="365">
        <v>0</v>
      </c>
      <c r="K1741" s="361">
        <v>15282.35</v>
      </c>
      <c r="L1741" s="365">
        <v>0</v>
      </c>
      <c r="M1741" s="365">
        <v>0</v>
      </c>
      <c r="N1741" s="361">
        <v>160885.56</v>
      </c>
      <c r="O1741" s="302">
        <v>0</v>
      </c>
    </row>
    <row r="1742" spans="1:15" ht="13">
      <c r="A1742" s="359"/>
      <c r="B1742" s="1824" t="s">
        <v>1414</v>
      </c>
      <c r="C1742" s="1820">
        <v>2241654.92</v>
      </c>
      <c r="D1742" s="361">
        <v>390120.82</v>
      </c>
      <c r="E1742" s="361">
        <v>169873.35</v>
      </c>
      <c r="F1742" s="361">
        <v>400261.97</v>
      </c>
      <c r="G1742" s="361">
        <v>227840.28</v>
      </c>
      <c r="H1742" s="365">
        <v>0</v>
      </c>
      <c r="I1742" s="361">
        <v>261112.63</v>
      </c>
      <c r="J1742" s="361">
        <v>89605.96</v>
      </c>
      <c r="K1742" s="361">
        <v>313150.78999999998</v>
      </c>
      <c r="L1742" s="361">
        <v>143056.03</v>
      </c>
      <c r="M1742" s="361">
        <v>156953.65</v>
      </c>
      <c r="N1742" s="361">
        <v>37122.199999999997</v>
      </c>
      <c r="O1742" s="352">
        <v>52557.25</v>
      </c>
    </row>
    <row r="1743" spans="1:15" ht="13">
      <c r="A1743" s="359"/>
      <c r="B1743" s="1824" t="s">
        <v>1517</v>
      </c>
      <c r="C1743" s="1820">
        <v>562597.17000000004</v>
      </c>
      <c r="D1743" s="361">
        <v>28539</v>
      </c>
      <c r="E1743" s="361">
        <v>41765.050000000003</v>
      </c>
      <c r="F1743" s="365">
        <v>0</v>
      </c>
      <c r="G1743" s="361">
        <v>92401.16</v>
      </c>
      <c r="H1743" s="365">
        <v>0</v>
      </c>
      <c r="I1743" s="365">
        <v>0</v>
      </c>
      <c r="J1743" s="361">
        <v>58692</v>
      </c>
      <c r="K1743" s="365">
        <v>0</v>
      </c>
      <c r="L1743" s="361">
        <v>80634.95</v>
      </c>
      <c r="M1743" s="361">
        <v>175050</v>
      </c>
      <c r="N1743" s="365">
        <v>0</v>
      </c>
      <c r="O1743" s="352">
        <v>85515.02</v>
      </c>
    </row>
    <row r="1744" spans="1:15" ht="13">
      <c r="A1744" s="359"/>
      <c r="B1744" s="1824" t="s">
        <v>1587</v>
      </c>
      <c r="C1744" s="1820">
        <v>2336828.65</v>
      </c>
      <c r="D1744" s="361">
        <v>-73270.320000000007</v>
      </c>
      <c r="E1744" s="361">
        <v>726466.66</v>
      </c>
      <c r="F1744" s="365">
        <v>0</v>
      </c>
      <c r="G1744" s="361">
        <v>944132.73</v>
      </c>
      <c r="H1744" s="365">
        <v>0</v>
      </c>
      <c r="I1744" s="361">
        <v>341804.12</v>
      </c>
      <c r="J1744" s="361">
        <v>397695.45</v>
      </c>
      <c r="K1744" s="365">
        <v>0</v>
      </c>
      <c r="L1744" s="365">
        <v>0</v>
      </c>
      <c r="M1744" s="365">
        <v>0</v>
      </c>
      <c r="N1744" s="365">
        <v>0</v>
      </c>
      <c r="O1744" s="302">
        <v>0</v>
      </c>
    </row>
    <row r="1745" spans="1:15" ht="13">
      <c r="A1745" s="359"/>
      <c r="B1745" s="1824" t="s">
        <v>1803</v>
      </c>
      <c r="C1745" s="1820">
        <v>72798.59</v>
      </c>
      <c r="D1745" s="361">
        <v>72798.59</v>
      </c>
      <c r="E1745" s="365">
        <v>0</v>
      </c>
      <c r="F1745" s="365">
        <v>0</v>
      </c>
      <c r="G1745" s="365">
        <v>0</v>
      </c>
      <c r="H1745" s="365">
        <v>0</v>
      </c>
      <c r="I1745" s="365">
        <v>0</v>
      </c>
      <c r="J1745" s="365">
        <v>0</v>
      </c>
      <c r="K1745" s="365">
        <v>0</v>
      </c>
      <c r="L1745" s="365">
        <v>0</v>
      </c>
      <c r="M1745" s="365">
        <v>0</v>
      </c>
      <c r="N1745" s="365">
        <v>0</v>
      </c>
      <c r="O1745" s="302">
        <v>0</v>
      </c>
    </row>
    <row r="1746" spans="1:15" ht="13">
      <c r="A1746" s="359"/>
      <c r="B1746" s="1824" t="s">
        <v>1804</v>
      </c>
      <c r="C1746" s="1820">
        <v>45254.04</v>
      </c>
      <c r="D1746" s="365">
        <v>0</v>
      </c>
      <c r="E1746" s="365">
        <v>0</v>
      </c>
      <c r="F1746" s="365">
        <v>0</v>
      </c>
      <c r="G1746" s="365">
        <v>0</v>
      </c>
      <c r="H1746" s="365">
        <v>0</v>
      </c>
      <c r="I1746" s="365">
        <v>0</v>
      </c>
      <c r="J1746" s="365">
        <v>0</v>
      </c>
      <c r="K1746" s="361">
        <v>45254.04</v>
      </c>
      <c r="L1746" s="365">
        <v>0</v>
      </c>
      <c r="M1746" s="365">
        <v>0</v>
      </c>
      <c r="N1746" s="365">
        <v>0</v>
      </c>
      <c r="O1746" s="302">
        <v>0</v>
      </c>
    </row>
    <row r="1747" spans="1:15" ht="13">
      <c r="A1747" s="359"/>
      <c r="B1747" s="1824" t="s">
        <v>1805</v>
      </c>
      <c r="C1747" s="1820">
        <v>261573.38</v>
      </c>
      <c r="D1747" s="365">
        <v>0</v>
      </c>
      <c r="E1747" s="361">
        <v>261573.38</v>
      </c>
      <c r="F1747" s="365">
        <v>0</v>
      </c>
      <c r="G1747" s="365">
        <v>0</v>
      </c>
      <c r="H1747" s="365">
        <v>0</v>
      </c>
      <c r="I1747" s="365">
        <v>0</v>
      </c>
      <c r="J1747" s="365">
        <v>0</v>
      </c>
      <c r="K1747" s="365">
        <v>0</v>
      </c>
      <c r="L1747" s="365">
        <v>0</v>
      </c>
      <c r="M1747" s="365">
        <v>0</v>
      </c>
      <c r="N1747" s="365">
        <v>0</v>
      </c>
      <c r="O1747" s="302">
        <v>0</v>
      </c>
    </row>
    <row r="1748" spans="1:15" ht="13">
      <c r="A1748" s="359"/>
      <c r="B1748" s="1824" t="s">
        <v>1464</v>
      </c>
      <c r="C1748" s="1820">
        <v>1028370.44</v>
      </c>
      <c r="D1748" s="365">
        <v>0</v>
      </c>
      <c r="E1748" s="365">
        <v>0</v>
      </c>
      <c r="F1748" s="365">
        <v>0</v>
      </c>
      <c r="G1748" s="361">
        <v>1028370.44</v>
      </c>
      <c r="H1748" s="365">
        <v>0</v>
      </c>
      <c r="I1748" s="365">
        <v>0</v>
      </c>
      <c r="J1748" s="365">
        <v>0</v>
      </c>
      <c r="K1748" s="365">
        <v>0</v>
      </c>
      <c r="L1748" s="365">
        <v>0</v>
      </c>
      <c r="M1748" s="365">
        <v>0</v>
      </c>
      <c r="N1748" s="365">
        <v>0</v>
      </c>
      <c r="O1748" s="302">
        <v>0</v>
      </c>
    </row>
    <row r="1749" spans="1:15" ht="13">
      <c r="A1749" s="359"/>
      <c r="B1749" s="1824" t="s">
        <v>1418</v>
      </c>
      <c r="C1749" s="1820">
        <v>620912.22</v>
      </c>
      <c r="D1749" s="365">
        <v>0</v>
      </c>
      <c r="E1749" s="365">
        <v>0</v>
      </c>
      <c r="F1749" s="365">
        <v>0</v>
      </c>
      <c r="G1749" s="365">
        <v>0</v>
      </c>
      <c r="H1749" s="365">
        <v>0</v>
      </c>
      <c r="I1749" s="365">
        <v>0</v>
      </c>
      <c r="J1749" s="365">
        <v>0</v>
      </c>
      <c r="K1749" s="365">
        <v>0</v>
      </c>
      <c r="L1749" s="361">
        <v>318340.71000000002</v>
      </c>
      <c r="M1749" s="361">
        <v>194172.1</v>
      </c>
      <c r="N1749" s="365">
        <v>0</v>
      </c>
      <c r="O1749" s="352">
        <v>108399.42</v>
      </c>
    </row>
    <row r="1750" spans="1:15" ht="13">
      <c r="A1750" s="359"/>
      <c r="B1750" s="1824" t="s">
        <v>1647</v>
      </c>
      <c r="C1750" s="1820">
        <v>57453.51</v>
      </c>
      <c r="D1750" s="365">
        <v>0</v>
      </c>
      <c r="E1750" s="365">
        <v>0</v>
      </c>
      <c r="F1750" s="365">
        <v>0</v>
      </c>
      <c r="G1750" s="365">
        <v>0</v>
      </c>
      <c r="H1750" s="365">
        <v>0</v>
      </c>
      <c r="I1750" s="365">
        <v>0</v>
      </c>
      <c r="J1750" s="365">
        <v>0</v>
      </c>
      <c r="K1750" s="361">
        <v>8948.1200000000008</v>
      </c>
      <c r="L1750" s="365">
        <v>0</v>
      </c>
      <c r="M1750" s="361">
        <v>48505.39</v>
      </c>
      <c r="N1750" s="365">
        <v>0</v>
      </c>
      <c r="O1750" s="302">
        <v>0</v>
      </c>
    </row>
    <row r="1751" spans="1:15" ht="13">
      <c r="A1751" s="359"/>
      <c r="B1751" s="1824" t="s">
        <v>1588</v>
      </c>
      <c r="C1751" s="1820">
        <v>567875.54</v>
      </c>
      <c r="D1751" s="361">
        <v>193464.65</v>
      </c>
      <c r="E1751" s="361">
        <v>52867.62</v>
      </c>
      <c r="F1751" s="361">
        <v>86273.69</v>
      </c>
      <c r="G1751" s="361">
        <v>103528.29</v>
      </c>
      <c r="H1751" s="361">
        <v>48976.41</v>
      </c>
      <c r="I1751" s="365">
        <v>0</v>
      </c>
      <c r="J1751" s="361">
        <v>82764.88</v>
      </c>
      <c r="K1751" s="365">
        <v>0</v>
      </c>
      <c r="L1751" s="365">
        <v>0</v>
      </c>
      <c r="M1751" s="365">
        <v>0</v>
      </c>
      <c r="N1751" s="365">
        <v>0</v>
      </c>
      <c r="O1751" s="302">
        <v>0</v>
      </c>
    </row>
    <row r="1752" spans="1:15" ht="13">
      <c r="A1752" s="359"/>
      <c r="B1752" s="1824" t="s">
        <v>1427</v>
      </c>
      <c r="C1752" s="1820">
        <v>1081952.19</v>
      </c>
      <c r="D1752" s="365">
        <v>0</v>
      </c>
      <c r="E1752" s="365">
        <v>0</v>
      </c>
      <c r="F1752" s="365">
        <v>0</v>
      </c>
      <c r="G1752" s="365">
        <v>0</v>
      </c>
      <c r="H1752" s="365">
        <v>0</v>
      </c>
      <c r="I1752" s="361">
        <v>157162.37</v>
      </c>
      <c r="J1752" s="365">
        <v>0</v>
      </c>
      <c r="K1752" s="365">
        <v>0</v>
      </c>
      <c r="L1752" s="361">
        <v>628649.46</v>
      </c>
      <c r="M1752" s="365">
        <v>0</v>
      </c>
      <c r="N1752" s="361">
        <v>296140.37</v>
      </c>
      <c r="O1752" s="302">
        <v>0</v>
      </c>
    </row>
    <row r="1753" spans="1:15" ht="13">
      <c r="A1753" s="359"/>
      <c r="B1753" s="1824" t="s">
        <v>1417</v>
      </c>
      <c r="C1753" s="1820">
        <v>4232473.32</v>
      </c>
      <c r="D1753" s="361">
        <v>189233.39</v>
      </c>
      <c r="E1753" s="365">
        <v>0</v>
      </c>
      <c r="F1753" s="365">
        <v>0</v>
      </c>
      <c r="G1753" s="361">
        <v>158089.01</v>
      </c>
      <c r="H1753" s="361">
        <v>93798.75</v>
      </c>
      <c r="I1753" s="361">
        <v>50389.31</v>
      </c>
      <c r="J1753" s="361">
        <v>37669.33</v>
      </c>
      <c r="K1753" s="361">
        <v>48419.72</v>
      </c>
      <c r="L1753" s="365">
        <v>0</v>
      </c>
      <c r="M1753" s="361">
        <v>481194.34</v>
      </c>
      <c r="N1753" s="361">
        <v>1083236.6000000001</v>
      </c>
      <c r="O1753" s="352">
        <v>2090442.87</v>
      </c>
    </row>
    <row r="1754" spans="1:15" ht="13">
      <c r="A1754" s="359"/>
      <c r="B1754" s="1824" t="s">
        <v>1419</v>
      </c>
      <c r="C1754" s="1820">
        <v>1719338.36</v>
      </c>
      <c r="D1754" s="361">
        <v>481629.74</v>
      </c>
      <c r="E1754" s="361">
        <v>26114.92</v>
      </c>
      <c r="F1754" s="361">
        <v>230483.72</v>
      </c>
      <c r="G1754" s="365">
        <v>0</v>
      </c>
      <c r="H1754" s="365">
        <v>0</v>
      </c>
      <c r="I1754" s="365">
        <v>0</v>
      </c>
      <c r="J1754" s="361">
        <v>321292.13</v>
      </c>
      <c r="K1754" s="365">
        <v>0</v>
      </c>
      <c r="L1754" s="361">
        <v>659817.85</v>
      </c>
      <c r="M1754" s="365">
        <v>0</v>
      </c>
      <c r="N1754" s="365">
        <v>0</v>
      </c>
      <c r="O1754" s="302">
        <v>0</v>
      </c>
    </row>
    <row r="1755" spans="1:15" ht="13">
      <c r="A1755" s="359"/>
      <c r="B1755" s="1824" t="s">
        <v>1452</v>
      </c>
      <c r="C1755" s="1820">
        <v>252424.57</v>
      </c>
      <c r="D1755" s="365">
        <v>0</v>
      </c>
      <c r="E1755" s="361">
        <v>90799.38</v>
      </c>
      <c r="F1755" s="361">
        <v>52735.03</v>
      </c>
      <c r="G1755" s="365">
        <v>0</v>
      </c>
      <c r="H1755" s="365">
        <v>0</v>
      </c>
      <c r="I1755" s="365">
        <v>0</v>
      </c>
      <c r="J1755" s="365">
        <v>0</v>
      </c>
      <c r="K1755" s="365">
        <v>0</v>
      </c>
      <c r="L1755" s="365">
        <v>0</v>
      </c>
      <c r="M1755" s="361">
        <v>48834</v>
      </c>
      <c r="N1755" s="361">
        <v>60056.15</v>
      </c>
      <c r="O1755" s="302">
        <v>0</v>
      </c>
    </row>
    <row r="1756" spans="1:15" ht="13">
      <c r="A1756" s="359"/>
      <c r="B1756" s="1824" t="s">
        <v>1425</v>
      </c>
      <c r="C1756" s="1820">
        <v>923729.93</v>
      </c>
      <c r="D1756" s="365">
        <v>0</v>
      </c>
      <c r="E1756" s="365">
        <v>0</v>
      </c>
      <c r="F1756" s="365">
        <v>0</v>
      </c>
      <c r="G1756" s="365">
        <v>0</v>
      </c>
      <c r="H1756" s="361">
        <v>121065</v>
      </c>
      <c r="I1756" s="361">
        <v>363195.23</v>
      </c>
      <c r="J1756" s="365">
        <v>0</v>
      </c>
      <c r="K1756" s="365">
        <v>0</v>
      </c>
      <c r="L1756" s="361">
        <v>439469.7</v>
      </c>
      <c r="M1756" s="365">
        <v>0</v>
      </c>
      <c r="N1756" s="365">
        <v>0</v>
      </c>
      <c r="O1756" s="302">
        <v>0</v>
      </c>
    </row>
    <row r="1757" spans="1:15" ht="13">
      <c r="A1757" s="359"/>
      <c r="B1757" s="1824" t="s">
        <v>1589</v>
      </c>
      <c r="C1757" s="1820">
        <v>626261.57999999996</v>
      </c>
      <c r="D1757" s="361">
        <v>935459.58</v>
      </c>
      <c r="E1757" s="361">
        <v>-309198</v>
      </c>
      <c r="F1757" s="365">
        <v>0</v>
      </c>
      <c r="G1757" s="361">
        <v>177425.2</v>
      </c>
      <c r="H1757" s="361">
        <v>-177425.2</v>
      </c>
      <c r="I1757" s="365">
        <v>0</v>
      </c>
      <c r="J1757" s="365">
        <v>0</v>
      </c>
      <c r="K1757" s="365">
        <v>0</v>
      </c>
      <c r="L1757" s="365">
        <v>0</v>
      </c>
      <c r="M1757" s="365">
        <v>0</v>
      </c>
      <c r="N1757" s="365">
        <v>0</v>
      </c>
      <c r="O1757" s="302">
        <v>0</v>
      </c>
    </row>
    <row r="1758" spans="1:15" ht="13">
      <c r="A1758" s="359"/>
      <c r="B1758" s="1824" t="s">
        <v>1416</v>
      </c>
      <c r="C1758" s="1820">
        <v>229241.04</v>
      </c>
      <c r="D1758" s="365">
        <v>0</v>
      </c>
      <c r="E1758" s="365">
        <v>0</v>
      </c>
      <c r="F1758" s="365">
        <v>0</v>
      </c>
      <c r="G1758" s="365">
        <v>0</v>
      </c>
      <c r="H1758" s="365">
        <v>0</v>
      </c>
      <c r="I1758" s="365">
        <v>0</v>
      </c>
      <c r="J1758" s="365">
        <v>0</v>
      </c>
      <c r="K1758" s="365">
        <v>0</v>
      </c>
      <c r="L1758" s="365">
        <v>0</v>
      </c>
      <c r="M1758" s="365">
        <v>0</v>
      </c>
      <c r="N1758" s="365">
        <v>0</v>
      </c>
      <c r="O1758" s="352">
        <v>229241.04</v>
      </c>
    </row>
    <row r="1759" spans="1:15" ht="13">
      <c r="A1759" s="359"/>
      <c r="B1759" s="1824" t="s">
        <v>1590</v>
      </c>
      <c r="C1759" s="1820">
        <v>794404.6</v>
      </c>
      <c r="D1759" s="361">
        <v>677704.6</v>
      </c>
      <c r="E1759" s="365">
        <v>0</v>
      </c>
      <c r="F1759" s="365">
        <v>0</v>
      </c>
      <c r="G1759" s="365">
        <v>0</v>
      </c>
      <c r="H1759" s="365">
        <v>0</v>
      </c>
      <c r="I1759" s="365">
        <v>0</v>
      </c>
      <c r="J1759" s="365">
        <v>0</v>
      </c>
      <c r="K1759" s="365">
        <v>0</v>
      </c>
      <c r="L1759" s="361">
        <v>116700</v>
      </c>
      <c r="M1759" s="365">
        <v>0</v>
      </c>
      <c r="N1759" s="365">
        <v>0</v>
      </c>
      <c r="O1759" s="302">
        <v>0</v>
      </c>
    </row>
    <row r="1760" spans="1:15" ht="13">
      <c r="A1760" s="359"/>
      <c r="B1760" s="1824" t="s">
        <v>1482</v>
      </c>
      <c r="C1760" s="1820">
        <v>567146.12</v>
      </c>
      <c r="D1760" s="361">
        <v>131620.34</v>
      </c>
      <c r="E1760" s="361">
        <v>547093.38</v>
      </c>
      <c r="F1760" s="361">
        <v>-111567.6</v>
      </c>
      <c r="G1760" s="365">
        <v>0</v>
      </c>
      <c r="H1760" s="365">
        <v>0</v>
      </c>
      <c r="I1760" s="365">
        <v>0</v>
      </c>
      <c r="J1760" s="365">
        <v>0</v>
      </c>
      <c r="K1760" s="365">
        <v>0</v>
      </c>
      <c r="L1760" s="365">
        <v>0</v>
      </c>
      <c r="M1760" s="365">
        <v>0</v>
      </c>
      <c r="N1760" s="365">
        <v>0</v>
      </c>
      <c r="O1760" s="302">
        <v>0</v>
      </c>
    </row>
    <row r="1761" spans="1:15" ht="13">
      <c r="A1761" s="359"/>
      <c r="B1761" s="1824" t="s">
        <v>1429</v>
      </c>
      <c r="C1761" s="1820">
        <v>1088293.73</v>
      </c>
      <c r="D1761" s="365">
        <v>0</v>
      </c>
      <c r="E1761" s="365">
        <v>0</v>
      </c>
      <c r="F1761" s="365">
        <v>0</v>
      </c>
      <c r="G1761" s="365">
        <v>0</v>
      </c>
      <c r="H1761" s="365">
        <v>0</v>
      </c>
      <c r="I1761" s="365">
        <v>0</v>
      </c>
      <c r="J1761" s="365">
        <v>0</v>
      </c>
      <c r="K1761" s="365">
        <v>0</v>
      </c>
      <c r="L1761" s="361">
        <v>200577.11</v>
      </c>
      <c r="M1761" s="361">
        <v>139290.73000000001</v>
      </c>
      <c r="N1761" s="361">
        <v>504998.39</v>
      </c>
      <c r="O1761" s="352">
        <v>243427.51</v>
      </c>
    </row>
    <row r="1762" spans="1:15" ht="13">
      <c r="A1762" s="359"/>
      <c r="B1762" s="1824" t="s">
        <v>1459</v>
      </c>
      <c r="C1762" s="1820">
        <v>343826.04</v>
      </c>
      <c r="D1762" s="365">
        <v>0</v>
      </c>
      <c r="E1762" s="365">
        <v>0</v>
      </c>
      <c r="F1762" s="365">
        <v>0</v>
      </c>
      <c r="G1762" s="365">
        <v>0</v>
      </c>
      <c r="H1762" s="365">
        <v>0</v>
      </c>
      <c r="I1762" s="365">
        <v>0</v>
      </c>
      <c r="J1762" s="365">
        <v>0</v>
      </c>
      <c r="K1762" s="365">
        <v>0</v>
      </c>
      <c r="L1762" s="365">
        <v>0</v>
      </c>
      <c r="M1762" s="365">
        <v>0</v>
      </c>
      <c r="N1762" s="365">
        <v>0</v>
      </c>
      <c r="O1762" s="352">
        <v>343826.04</v>
      </c>
    </row>
    <row r="1763" spans="1:15" ht="13">
      <c r="A1763" s="359"/>
      <c r="B1763" s="1824" t="s">
        <v>1463</v>
      </c>
      <c r="C1763" s="1820">
        <v>1703865.34</v>
      </c>
      <c r="D1763" s="365">
        <v>0</v>
      </c>
      <c r="E1763" s="365">
        <v>0</v>
      </c>
      <c r="F1763" s="365">
        <v>0</v>
      </c>
      <c r="G1763" s="365">
        <v>0</v>
      </c>
      <c r="H1763" s="365">
        <v>0</v>
      </c>
      <c r="I1763" s="365">
        <v>0</v>
      </c>
      <c r="J1763" s="365">
        <v>0</v>
      </c>
      <c r="K1763" s="361">
        <v>654823.37</v>
      </c>
      <c r="L1763" s="361">
        <v>94871.86</v>
      </c>
      <c r="M1763" s="361">
        <v>83325.62</v>
      </c>
      <c r="N1763" s="361">
        <v>290704.76</v>
      </c>
      <c r="O1763" s="352">
        <v>580139.73</v>
      </c>
    </row>
    <row r="1764" spans="1:15" ht="13">
      <c r="A1764" s="359"/>
      <c r="B1764" s="1824" t="s">
        <v>1496</v>
      </c>
      <c r="C1764" s="1820">
        <v>3611879.27</v>
      </c>
      <c r="D1764" s="361">
        <v>369277.41</v>
      </c>
      <c r="E1764" s="365">
        <v>0</v>
      </c>
      <c r="F1764" s="365">
        <v>0</v>
      </c>
      <c r="G1764" s="365">
        <v>0</v>
      </c>
      <c r="H1764" s="365">
        <v>0</v>
      </c>
      <c r="I1764" s="365">
        <v>0</v>
      </c>
      <c r="J1764" s="361">
        <v>3203406.86</v>
      </c>
      <c r="K1764" s="361">
        <v>39195</v>
      </c>
      <c r="L1764" s="365">
        <v>0</v>
      </c>
      <c r="M1764" s="365">
        <v>0</v>
      </c>
      <c r="N1764" s="365">
        <v>0</v>
      </c>
      <c r="O1764" s="302">
        <v>0</v>
      </c>
    </row>
    <row r="1765" spans="1:15" ht="13">
      <c r="A1765" s="359"/>
      <c r="B1765" s="1824" t="s">
        <v>1591</v>
      </c>
      <c r="C1765" s="1820">
        <v>232462.07999999999</v>
      </c>
      <c r="D1765" s="365">
        <v>0</v>
      </c>
      <c r="E1765" s="365">
        <v>0</v>
      </c>
      <c r="F1765" s="365">
        <v>0</v>
      </c>
      <c r="G1765" s="365">
        <v>0</v>
      </c>
      <c r="H1765" s="361">
        <v>96864.61</v>
      </c>
      <c r="I1765" s="365">
        <v>0</v>
      </c>
      <c r="J1765" s="361">
        <v>54108.51</v>
      </c>
      <c r="K1765" s="361">
        <v>116791</v>
      </c>
      <c r="L1765" s="361">
        <v>-35302.04</v>
      </c>
      <c r="M1765" s="365">
        <v>0</v>
      </c>
      <c r="N1765" s="365">
        <v>0</v>
      </c>
      <c r="O1765" s="302">
        <v>0</v>
      </c>
    </row>
    <row r="1766" spans="1:15" ht="13">
      <c r="A1766" s="359"/>
      <c r="B1766" s="1824" t="s">
        <v>1410</v>
      </c>
      <c r="C1766" s="1820">
        <v>8642116.2300000004</v>
      </c>
      <c r="D1766" s="365">
        <v>0</v>
      </c>
      <c r="E1766" s="365">
        <v>0</v>
      </c>
      <c r="F1766" s="365">
        <v>0</v>
      </c>
      <c r="G1766" s="365">
        <v>0</v>
      </c>
      <c r="H1766" s="365">
        <v>0</v>
      </c>
      <c r="I1766" s="361">
        <v>701785.08</v>
      </c>
      <c r="J1766" s="361">
        <v>758722.43</v>
      </c>
      <c r="K1766" s="361">
        <v>1191891.5</v>
      </c>
      <c r="L1766" s="361">
        <v>1058192.95</v>
      </c>
      <c r="M1766" s="361">
        <v>1153007.3500000001</v>
      </c>
      <c r="N1766" s="361">
        <v>1705172.28</v>
      </c>
      <c r="O1766" s="352">
        <v>2073344.64</v>
      </c>
    </row>
    <row r="1767" spans="1:15" ht="13">
      <c r="A1767" s="359"/>
      <c r="B1767" s="1824" t="s">
        <v>1412</v>
      </c>
      <c r="C1767" s="1820">
        <v>854011.89</v>
      </c>
      <c r="D1767" s="365">
        <v>0</v>
      </c>
      <c r="E1767" s="365">
        <v>0</v>
      </c>
      <c r="F1767" s="365">
        <v>0</v>
      </c>
      <c r="G1767" s="365">
        <v>0</v>
      </c>
      <c r="H1767" s="361">
        <v>67005.55</v>
      </c>
      <c r="I1767" s="361">
        <v>40834.639999999999</v>
      </c>
      <c r="J1767" s="361">
        <v>188941.07</v>
      </c>
      <c r="K1767" s="361">
        <v>92005.75</v>
      </c>
      <c r="L1767" s="361">
        <v>313201.84999999998</v>
      </c>
      <c r="M1767" s="361">
        <v>152023.03</v>
      </c>
      <c r="N1767" s="365">
        <v>0</v>
      </c>
      <c r="O1767" s="302">
        <v>0</v>
      </c>
    </row>
    <row r="1768" spans="1:15" ht="13">
      <c r="A1768" s="359"/>
      <c r="B1768" s="1824" t="s">
        <v>1488</v>
      </c>
      <c r="C1768" s="1820">
        <v>7928868.4199999999</v>
      </c>
      <c r="D1768" s="365">
        <v>0</v>
      </c>
      <c r="E1768" s="365">
        <v>0</v>
      </c>
      <c r="F1768" s="365">
        <v>0</v>
      </c>
      <c r="G1768" s="365">
        <v>0</v>
      </c>
      <c r="H1768" s="361">
        <v>1694544.33</v>
      </c>
      <c r="I1768" s="361">
        <v>144126.57</v>
      </c>
      <c r="J1768" s="365">
        <v>0</v>
      </c>
      <c r="K1768" s="361">
        <v>491084.77</v>
      </c>
      <c r="L1768" s="365">
        <v>0</v>
      </c>
      <c r="M1768" s="361">
        <v>810925.35</v>
      </c>
      <c r="N1768" s="361">
        <v>3721523.24</v>
      </c>
      <c r="O1768" s="352">
        <v>1066664.1599999999</v>
      </c>
    </row>
    <row r="1769" spans="1:15" ht="13">
      <c r="A1769" s="359"/>
      <c r="B1769" s="1824" t="s">
        <v>1806</v>
      </c>
      <c r="C1769" s="1820">
        <v>467069.43</v>
      </c>
      <c r="D1769" s="365">
        <v>0</v>
      </c>
      <c r="E1769" s="361">
        <v>467069.43</v>
      </c>
      <c r="F1769" s="365">
        <v>0</v>
      </c>
      <c r="G1769" s="365">
        <v>0</v>
      </c>
      <c r="H1769" s="365">
        <v>0</v>
      </c>
      <c r="I1769" s="365">
        <v>0</v>
      </c>
      <c r="J1769" s="365">
        <v>0</v>
      </c>
      <c r="K1769" s="365">
        <v>0</v>
      </c>
      <c r="L1769" s="365">
        <v>0</v>
      </c>
      <c r="M1769" s="365">
        <v>0</v>
      </c>
      <c r="N1769" s="365">
        <v>0</v>
      </c>
      <c r="O1769" s="302">
        <v>0</v>
      </c>
    </row>
    <row r="1770" spans="1:15" ht="13">
      <c r="A1770" s="359"/>
      <c r="B1770" s="1824" t="s">
        <v>1413</v>
      </c>
      <c r="C1770" s="1820">
        <v>3058012.12</v>
      </c>
      <c r="D1770" s="361">
        <v>143955.39000000001</v>
      </c>
      <c r="E1770" s="361">
        <v>-77361.289999999994</v>
      </c>
      <c r="F1770" s="361">
        <v>72881.149999999994</v>
      </c>
      <c r="G1770" s="361">
        <v>27841.919999999998</v>
      </c>
      <c r="H1770" s="361">
        <v>174979.6</v>
      </c>
      <c r="I1770" s="361">
        <v>184810.7</v>
      </c>
      <c r="J1770" s="361">
        <v>426227.08</v>
      </c>
      <c r="K1770" s="361">
        <v>421355.39</v>
      </c>
      <c r="L1770" s="361">
        <v>421939.62</v>
      </c>
      <c r="M1770" s="361">
        <v>342241.88</v>
      </c>
      <c r="N1770" s="361">
        <v>412307.38</v>
      </c>
      <c r="O1770" s="352">
        <v>506833.3</v>
      </c>
    </row>
    <row r="1771" spans="1:15" ht="13">
      <c r="A1771" s="359"/>
      <c r="B1771" s="1824" t="s">
        <v>1807</v>
      </c>
      <c r="C1771" s="1820">
        <v>176565.16</v>
      </c>
      <c r="D1771" s="365">
        <v>0</v>
      </c>
      <c r="E1771" s="361">
        <v>176565.16</v>
      </c>
      <c r="F1771" s="365">
        <v>0</v>
      </c>
      <c r="G1771" s="365">
        <v>0</v>
      </c>
      <c r="H1771" s="365">
        <v>0</v>
      </c>
      <c r="I1771" s="365">
        <v>0</v>
      </c>
      <c r="J1771" s="365">
        <v>0</v>
      </c>
      <c r="K1771" s="365">
        <v>0</v>
      </c>
      <c r="L1771" s="365">
        <v>0</v>
      </c>
      <c r="M1771" s="365">
        <v>0</v>
      </c>
      <c r="N1771" s="365">
        <v>0</v>
      </c>
      <c r="O1771" s="302">
        <v>0</v>
      </c>
    </row>
    <row r="1772" spans="1:15" ht="13">
      <c r="A1772" s="359"/>
      <c r="B1772" s="1824" t="s">
        <v>1521</v>
      </c>
      <c r="C1772" s="1820">
        <v>468599.65</v>
      </c>
      <c r="D1772" s="365">
        <v>0</v>
      </c>
      <c r="E1772" s="365">
        <v>0</v>
      </c>
      <c r="F1772" s="365">
        <v>0</v>
      </c>
      <c r="G1772" s="365">
        <v>0</v>
      </c>
      <c r="H1772" s="365">
        <v>0</v>
      </c>
      <c r="I1772" s="365">
        <v>0</v>
      </c>
      <c r="J1772" s="365">
        <v>0</v>
      </c>
      <c r="K1772" s="365">
        <v>0</v>
      </c>
      <c r="L1772" s="361">
        <v>392321.8</v>
      </c>
      <c r="M1772" s="361">
        <v>-10447.709999999999</v>
      </c>
      <c r="N1772" s="361">
        <v>16788.240000000002</v>
      </c>
      <c r="O1772" s="352">
        <v>69937.320000000007</v>
      </c>
    </row>
    <row r="1773" spans="1:15" ht="13">
      <c r="A1773" s="359"/>
      <c r="B1773" s="1824" t="s">
        <v>1455</v>
      </c>
      <c r="C1773" s="1820">
        <v>47579.25</v>
      </c>
      <c r="D1773" s="365">
        <v>0</v>
      </c>
      <c r="E1773" s="365">
        <v>0</v>
      </c>
      <c r="F1773" s="365">
        <v>0</v>
      </c>
      <c r="G1773" s="365">
        <v>0</v>
      </c>
      <c r="H1773" s="365">
        <v>0</v>
      </c>
      <c r="I1773" s="365">
        <v>0</v>
      </c>
      <c r="J1773" s="365">
        <v>0</v>
      </c>
      <c r="K1773" s="365">
        <v>0</v>
      </c>
      <c r="L1773" s="365">
        <v>0</v>
      </c>
      <c r="M1773" s="365">
        <v>0</v>
      </c>
      <c r="N1773" s="365">
        <v>0</v>
      </c>
      <c r="O1773" s="352">
        <v>47579.25</v>
      </c>
    </row>
    <row r="1774" spans="1:15" ht="13">
      <c r="A1774" s="359"/>
      <c r="B1774" s="1824" t="s">
        <v>1592</v>
      </c>
      <c r="C1774" s="1820">
        <v>285905.96999999997</v>
      </c>
      <c r="D1774" s="365">
        <v>0</v>
      </c>
      <c r="E1774" s="365">
        <v>0</v>
      </c>
      <c r="F1774" s="365">
        <v>0</v>
      </c>
      <c r="G1774" s="365">
        <v>0</v>
      </c>
      <c r="H1774" s="361">
        <v>285905.96999999997</v>
      </c>
      <c r="I1774" s="365">
        <v>0</v>
      </c>
      <c r="J1774" s="365">
        <v>0</v>
      </c>
      <c r="K1774" s="365">
        <v>0</v>
      </c>
      <c r="L1774" s="365">
        <v>0</v>
      </c>
      <c r="M1774" s="365">
        <v>0</v>
      </c>
      <c r="N1774" s="365">
        <v>0</v>
      </c>
      <c r="O1774" s="302">
        <v>0</v>
      </c>
    </row>
    <row r="1775" spans="1:15" ht="13">
      <c r="A1775" s="359"/>
      <c r="B1775" s="1824" t="s">
        <v>1593</v>
      </c>
      <c r="C1775" s="1820">
        <v>306221.43</v>
      </c>
      <c r="D1775" s="365">
        <v>0</v>
      </c>
      <c r="E1775" s="365">
        <v>0</v>
      </c>
      <c r="F1775" s="365">
        <v>0</v>
      </c>
      <c r="G1775" s="365">
        <v>0</v>
      </c>
      <c r="H1775" s="365">
        <v>0</v>
      </c>
      <c r="I1775" s="365">
        <v>0</v>
      </c>
      <c r="J1775" s="365">
        <v>0</v>
      </c>
      <c r="K1775" s="365">
        <v>0</v>
      </c>
      <c r="L1775" s="361">
        <v>306221.43</v>
      </c>
      <c r="M1775" s="365">
        <v>0</v>
      </c>
      <c r="N1775" s="365">
        <v>0</v>
      </c>
      <c r="O1775" s="302">
        <v>0</v>
      </c>
    </row>
    <row r="1776" spans="1:15" ht="13">
      <c r="A1776" s="359"/>
      <c r="B1776" s="1824" t="s">
        <v>1397</v>
      </c>
      <c r="C1776" s="1820">
        <v>3066541.32</v>
      </c>
      <c r="D1776" s="365">
        <v>0</v>
      </c>
      <c r="E1776" s="365">
        <v>0</v>
      </c>
      <c r="F1776" s="365">
        <v>0</v>
      </c>
      <c r="G1776" s="365">
        <v>0</v>
      </c>
      <c r="H1776" s="365">
        <v>0</v>
      </c>
      <c r="I1776" s="365">
        <v>0</v>
      </c>
      <c r="J1776" s="361">
        <v>885842.23</v>
      </c>
      <c r="K1776" s="361">
        <v>403744.91</v>
      </c>
      <c r="L1776" s="361">
        <v>319856.67</v>
      </c>
      <c r="M1776" s="361">
        <v>445477.11</v>
      </c>
      <c r="N1776" s="361">
        <v>285853.19</v>
      </c>
      <c r="O1776" s="352">
        <v>725767.22</v>
      </c>
    </row>
    <row r="1777" spans="1:15" ht="13">
      <c r="A1777" s="359"/>
      <c r="B1777" s="1824" t="s">
        <v>1426</v>
      </c>
      <c r="C1777" s="1820">
        <v>1261292.97</v>
      </c>
      <c r="D1777" s="365">
        <v>0</v>
      </c>
      <c r="E1777" s="365">
        <v>0</v>
      </c>
      <c r="F1777" s="365">
        <v>0</v>
      </c>
      <c r="G1777" s="361">
        <v>411145.44</v>
      </c>
      <c r="H1777" s="365">
        <v>0</v>
      </c>
      <c r="I1777" s="365">
        <v>0</v>
      </c>
      <c r="J1777" s="365">
        <v>0</v>
      </c>
      <c r="K1777" s="365">
        <v>0</v>
      </c>
      <c r="L1777" s="361">
        <v>850147.53</v>
      </c>
      <c r="M1777" s="365">
        <v>0</v>
      </c>
      <c r="N1777" s="365">
        <v>0</v>
      </c>
      <c r="O1777" s="302">
        <v>0</v>
      </c>
    </row>
    <row r="1778" spans="1:15" ht="13">
      <c r="A1778" s="359"/>
      <c r="B1778" s="1824" t="s">
        <v>1460</v>
      </c>
      <c r="C1778" s="1820">
        <v>788809.12</v>
      </c>
      <c r="D1778" s="365">
        <v>0</v>
      </c>
      <c r="E1778" s="365">
        <v>0</v>
      </c>
      <c r="F1778" s="365">
        <v>0</v>
      </c>
      <c r="G1778" s="365">
        <v>0</v>
      </c>
      <c r="H1778" s="365">
        <v>0</v>
      </c>
      <c r="I1778" s="365">
        <v>0</v>
      </c>
      <c r="J1778" s="361">
        <v>247366.37</v>
      </c>
      <c r="K1778" s="361">
        <v>54365.96</v>
      </c>
      <c r="L1778" s="361">
        <v>98846.23</v>
      </c>
      <c r="M1778" s="361">
        <v>58231.24</v>
      </c>
      <c r="N1778" s="361">
        <v>146682.73000000001</v>
      </c>
      <c r="O1778" s="352">
        <v>183316.59</v>
      </c>
    </row>
    <row r="1779" spans="1:15" ht="13">
      <c r="A1779" s="359"/>
      <c r="B1779" s="1824" t="s">
        <v>1420</v>
      </c>
      <c r="C1779" s="1820">
        <v>134208.60999999999</v>
      </c>
      <c r="D1779" s="365">
        <v>0</v>
      </c>
      <c r="E1779" s="365">
        <v>0</v>
      </c>
      <c r="F1779" s="365">
        <v>0</v>
      </c>
      <c r="G1779" s="365">
        <v>0</v>
      </c>
      <c r="H1779" s="365">
        <v>0</v>
      </c>
      <c r="I1779" s="365">
        <v>0</v>
      </c>
      <c r="J1779" s="365">
        <v>0</v>
      </c>
      <c r="K1779" s="365">
        <v>0</v>
      </c>
      <c r="L1779" s="365">
        <v>0</v>
      </c>
      <c r="M1779" s="361">
        <v>75213.33</v>
      </c>
      <c r="N1779" s="361">
        <v>58995.28</v>
      </c>
      <c r="O1779" s="302">
        <v>0</v>
      </c>
    </row>
    <row r="1780" spans="1:15" ht="13">
      <c r="A1780" s="359"/>
      <c r="B1780" s="1824" t="s">
        <v>1415</v>
      </c>
      <c r="C1780" s="1820">
        <v>2533504.2799999998</v>
      </c>
      <c r="D1780" s="365">
        <v>0</v>
      </c>
      <c r="E1780" s="361">
        <v>581339.59</v>
      </c>
      <c r="F1780" s="361">
        <v>63721.78</v>
      </c>
      <c r="G1780" s="361">
        <v>344607.61</v>
      </c>
      <c r="H1780" s="361">
        <v>265819.58</v>
      </c>
      <c r="I1780" s="361">
        <v>66383.14</v>
      </c>
      <c r="J1780" s="365">
        <v>0</v>
      </c>
      <c r="K1780" s="361">
        <v>451212.45</v>
      </c>
      <c r="L1780" s="365">
        <v>0</v>
      </c>
      <c r="M1780" s="361">
        <v>94963.07</v>
      </c>
      <c r="N1780" s="361">
        <v>287426.56</v>
      </c>
      <c r="O1780" s="352">
        <v>378030.49</v>
      </c>
    </row>
    <row r="1781" spans="1:15" ht="13">
      <c r="A1781" s="359"/>
      <c r="B1781" s="1824" t="s">
        <v>1486</v>
      </c>
      <c r="C1781" s="1820">
        <v>227690.44</v>
      </c>
      <c r="D1781" s="365">
        <v>0</v>
      </c>
      <c r="E1781" s="365">
        <v>0</v>
      </c>
      <c r="F1781" s="365">
        <v>0</v>
      </c>
      <c r="G1781" s="365">
        <v>0</v>
      </c>
      <c r="H1781" s="365">
        <v>0</v>
      </c>
      <c r="I1781" s="365">
        <v>0</v>
      </c>
      <c r="J1781" s="365">
        <v>0</v>
      </c>
      <c r="K1781" s="365">
        <v>0</v>
      </c>
      <c r="L1781" s="365">
        <v>0</v>
      </c>
      <c r="M1781" s="361">
        <v>187051.49</v>
      </c>
      <c r="N1781" s="361">
        <v>40638.949999999997</v>
      </c>
      <c r="O1781" s="302">
        <v>0</v>
      </c>
    </row>
    <row r="1782" spans="1:15" ht="13">
      <c r="A1782" s="359"/>
      <c r="B1782" s="1824" t="s">
        <v>1476</v>
      </c>
      <c r="C1782" s="1820">
        <v>364249.67</v>
      </c>
      <c r="D1782" s="365">
        <v>0</v>
      </c>
      <c r="E1782" s="365">
        <v>0</v>
      </c>
      <c r="F1782" s="365">
        <v>0</v>
      </c>
      <c r="G1782" s="365">
        <v>0</v>
      </c>
      <c r="H1782" s="365">
        <v>0</v>
      </c>
      <c r="I1782" s="365">
        <v>0</v>
      </c>
      <c r="J1782" s="361">
        <v>168342.49</v>
      </c>
      <c r="K1782" s="361">
        <v>195907.18</v>
      </c>
      <c r="L1782" s="365">
        <v>0</v>
      </c>
      <c r="M1782" s="365">
        <v>0</v>
      </c>
      <c r="N1782" s="365">
        <v>0</v>
      </c>
      <c r="O1782" s="302">
        <v>0</v>
      </c>
    </row>
    <row r="1783" spans="1:15" ht="13">
      <c r="A1783" s="359"/>
      <c r="B1783" s="1824" t="s">
        <v>1508</v>
      </c>
      <c r="C1783" s="1820">
        <v>1872521.72</v>
      </c>
      <c r="D1783" s="361">
        <v>58619.93</v>
      </c>
      <c r="E1783" s="365">
        <v>0</v>
      </c>
      <c r="F1783" s="361">
        <v>385056.6</v>
      </c>
      <c r="G1783" s="361">
        <v>66204.36</v>
      </c>
      <c r="H1783" s="361">
        <v>715794.44</v>
      </c>
      <c r="I1783" s="365">
        <v>0</v>
      </c>
      <c r="J1783" s="365">
        <v>0</v>
      </c>
      <c r="K1783" s="365">
        <v>0</v>
      </c>
      <c r="L1783" s="361">
        <v>378796.92</v>
      </c>
      <c r="M1783" s="361">
        <v>268049.46000000002</v>
      </c>
      <c r="N1783" s="365">
        <v>0</v>
      </c>
      <c r="O1783" s="302">
        <v>0</v>
      </c>
    </row>
    <row r="1784" spans="1:15" ht="13">
      <c r="A1784" s="359"/>
      <c r="B1784" s="1824" t="s">
        <v>1526</v>
      </c>
      <c r="C1784" s="1820">
        <v>820078.03</v>
      </c>
      <c r="D1784" s="361">
        <v>509609.34</v>
      </c>
      <c r="E1784" s="361">
        <v>310468.68</v>
      </c>
      <c r="F1784" s="365">
        <v>0</v>
      </c>
      <c r="G1784" s="365">
        <v>0</v>
      </c>
      <c r="H1784" s="365">
        <v>0</v>
      </c>
      <c r="I1784" s="365">
        <v>0</v>
      </c>
      <c r="J1784" s="365">
        <v>0</v>
      </c>
      <c r="K1784" s="365">
        <v>0</v>
      </c>
      <c r="L1784" s="365">
        <v>0</v>
      </c>
      <c r="M1784" s="365">
        <v>0</v>
      </c>
      <c r="N1784" s="365">
        <v>0</v>
      </c>
      <c r="O1784" s="302">
        <v>0</v>
      </c>
    </row>
    <row r="1785" spans="1:15" ht="13">
      <c r="A1785" s="359"/>
      <c r="B1785" s="1824" t="s">
        <v>1461</v>
      </c>
      <c r="C1785" s="1820">
        <v>6205195.29</v>
      </c>
      <c r="D1785" s="361">
        <v>351867.91</v>
      </c>
      <c r="E1785" s="361">
        <v>182511.24</v>
      </c>
      <c r="F1785" s="361">
        <v>399602.26</v>
      </c>
      <c r="G1785" s="365">
        <v>0</v>
      </c>
      <c r="H1785" s="365">
        <v>0</v>
      </c>
      <c r="I1785" s="365">
        <v>0</v>
      </c>
      <c r="J1785" s="361">
        <v>377832.43</v>
      </c>
      <c r="K1785" s="361">
        <v>512857.58</v>
      </c>
      <c r="L1785" s="361">
        <v>46990.8</v>
      </c>
      <c r="M1785" s="361">
        <v>1261308.33</v>
      </c>
      <c r="N1785" s="361">
        <v>1165985.8899999999</v>
      </c>
      <c r="O1785" s="352">
        <v>1906238.86</v>
      </c>
    </row>
    <row r="1786" spans="1:15" ht="13">
      <c r="A1786" s="359"/>
      <c r="B1786" s="1824" t="s">
        <v>1808</v>
      </c>
      <c r="C1786" s="1820">
        <v>66748.33</v>
      </c>
      <c r="D1786" s="361">
        <v>66748.33</v>
      </c>
      <c r="E1786" s="365">
        <v>0</v>
      </c>
      <c r="F1786" s="365">
        <v>0</v>
      </c>
      <c r="G1786" s="365">
        <v>0</v>
      </c>
      <c r="H1786" s="365">
        <v>0</v>
      </c>
      <c r="I1786" s="365">
        <v>0</v>
      </c>
      <c r="J1786" s="365">
        <v>0</v>
      </c>
      <c r="K1786" s="365">
        <v>0</v>
      </c>
      <c r="L1786" s="365">
        <v>0</v>
      </c>
      <c r="M1786" s="365">
        <v>0</v>
      </c>
      <c r="N1786" s="365">
        <v>0</v>
      </c>
      <c r="O1786" s="302">
        <v>0</v>
      </c>
    </row>
    <row r="1787" spans="1:15" ht="13">
      <c r="A1787" s="359"/>
      <c r="B1787" s="1824" t="s">
        <v>1456</v>
      </c>
      <c r="C1787" s="1820">
        <v>1054969.28</v>
      </c>
      <c r="D1787" s="361">
        <v>273636.90000000002</v>
      </c>
      <c r="E1787" s="365">
        <v>0</v>
      </c>
      <c r="F1787" s="365">
        <v>0</v>
      </c>
      <c r="G1787" s="365">
        <v>0</v>
      </c>
      <c r="H1787" s="365">
        <v>0</v>
      </c>
      <c r="I1787" s="365">
        <v>0</v>
      </c>
      <c r="J1787" s="365">
        <v>0</v>
      </c>
      <c r="K1787" s="365">
        <v>0</v>
      </c>
      <c r="L1787" s="365">
        <v>0</v>
      </c>
      <c r="M1787" s="361">
        <v>781332.38</v>
      </c>
      <c r="N1787" s="365">
        <v>0</v>
      </c>
      <c r="O1787" s="302">
        <v>0</v>
      </c>
    </row>
    <row r="1788" spans="1:15" ht="13">
      <c r="A1788" s="359" t="s">
        <v>1809</v>
      </c>
      <c r="B1788" s="1824" t="s">
        <v>298</v>
      </c>
      <c r="C1788" s="1820">
        <v>1261456.68</v>
      </c>
      <c r="D1788" s="361">
        <v>209209.23</v>
      </c>
      <c r="E1788" s="361">
        <v>161177.63</v>
      </c>
      <c r="F1788" s="361">
        <v>709037.97</v>
      </c>
      <c r="G1788" s="361">
        <v>182031.85</v>
      </c>
      <c r="H1788" s="365">
        <v>0</v>
      </c>
      <c r="I1788" s="365">
        <v>0</v>
      </c>
      <c r="J1788" s="365">
        <v>0</v>
      </c>
      <c r="K1788" s="365">
        <v>0</v>
      </c>
      <c r="L1788" s="365">
        <v>0</v>
      </c>
      <c r="M1788" s="365">
        <v>0</v>
      </c>
      <c r="N1788" s="365">
        <v>0</v>
      </c>
      <c r="O1788" s="302">
        <v>0</v>
      </c>
    </row>
    <row r="1789" spans="1:15" ht="13">
      <c r="A1789" s="359" t="s">
        <v>1810</v>
      </c>
      <c r="B1789" s="1824" t="s">
        <v>1744</v>
      </c>
      <c r="C1789" s="1820">
        <v>510155.04</v>
      </c>
      <c r="D1789" s="365">
        <v>0</v>
      </c>
      <c r="E1789" s="365">
        <v>0</v>
      </c>
      <c r="F1789" s="361">
        <v>314141.92</v>
      </c>
      <c r="G1789" s="365">
        <v>0</v>
      </c>
      <c r="H1789" s="365">
        <v>0</v>
      </c>
      <c r="I1789" s="365">
        <v>0</v>
      </c>
      <c r="J1789" s="365">
        <v>0</v>
      </c>
      <c r="K1789" s="365">
        <v>0</v>
      </c>
      <c r="L1789" s="361">
        <v>196013.12</v>
      </c>
      <c r="M1789" s="365">
        <v>0</v>
      </c>
      <c r="N1789" s="365">
        <v>0</v>
      </c>
      <c r="O1789" s="302">
        <v>0</v>
      </c>
    </row>
    <row r="1790" spans="1:15" ht="13">
      <c r="A1790" s="359">
        <v>27</v>
      </c>
      <c r="B1790" s="1824" t="s">
        <v>916</v>
      </c>
      <c r="C1790" s="1820">
        <v>-14819.11</v>
      </c>
      <c r="D1790" s="361">
        <v>-14819.11</v>
      </c>
      <c r="E1790" s="365">
        <v>0</v>
      </c>
      <c r="F1790" s="365">
        <v>0</v>
      </c>
      <c r="G1790" s="365">
        <v>0</v>
      </c>
      <c r="H1790" s="365">
        <v>0</v>
      </c>
      <c r="I1790" s="365">
        <v>0</v>
      </c>
      <c r="J1790" s="365">
        <v>0</v>
      </c>
      <c r="K1790" s="365">
        <v>0</v>
      </c>
      <c r="L1790" s="365">
        <v>0</v>
      </c>
      <c r="M1790" s="365">
        <v>0</v>
      </c>
      <c r="N1790" s="365">
        <v>0</v>
      </c>
      <c r="O1790" s="302">
        <v>0</v>
      </c>
    </row>
    <row r="1791" spans="1:15" ht="13">
      <c r="A1791" s="359"/>
      <c r="B1791" s="1824"/>
      <c r="C1791" s="1822"/>
      <c r="D1791" s="365"/>
      <c r="E1791" s="365"/>
      <c r="F1791" s="365"/>
      <c r="G1791" s="365"/>
      <c r="H1791" s="365"/>
      <c r="I1791" s="365"/>
      <c r="J1791" s="365"/>
      <c r="K1791" s="365"/>
      <c r="L1791" s="365"/>
      <c r="M1791" s="365"/>
      <c r="N1791" s="365"/>
    </row>
    <row r="1792" spans="1:15" ht="13">
      <c r="A1792" s="359"/>
      <c r="B1792" s="1824"/>
      <c r="C1792" s="1822"/>
      <c r="D1792" s="365"/>
      <c r="E1792" s="365"/>
      <c r="F1792" s="365"/>
      <c r="G1792" s="365"/>
      <c r="H1792" s="365"/>
      <c r="I1792" s="365"/>
      <c r="J1792" s="365"/>
      <c r="K1792" s="365"/>
      <c r="L1792" s="365"/>
      <c r="M1792" s="365"/>
      <c r="N1792" s="365"/>
    </row>
    <row r="1793" spans="1:14" ht="13">
      <c r="A1793" s="359"/>
      <c r="B1793" s="1824"/>
      <c r="C1793" s="1822"/>
      <c r="D1793" s="365"/>
      <c r="E1793" s="365"/>
      <c r="F1793" s="365"/>
      <c r="G1793" s="365"/>
      <c r="H1793" s="365"/>
      <c r="I1793" s="365"/>
      <c r="J1793" s="365"/>
      <c r="K1793" s="365"/>
      <c r="L1793" s="365"/>
      <c r="M1793" s="365"/>
      <c r="N1793" s="365"/>
    </row>
    <row r="1794" spans="1:14" ht="13">
      <c r="A1794" s="359"/>
      <c r="B1794" s="1824"/>
      <c r="C1794" s="1822"/>
      <c r="D1794" s="365"/>
      <c r="E1794" s="365"/>
      <c r="F1794" s="365"/>
      <c r="G1794" s="365"/>
      <c r="H1794" s="365"/>
      <c r="I1794" s="365"/>
      <c r="J1794" s="365"/>
      <c r="K1794" s="365"/>
      <c r="L1794" s="365"/>
      <c r="M1794" s="365"/>
      <c r="N1794" s="365"/>
    </row>
    <row r="1795" spans="1:14" ht="13">
      <c r="A1795" s="359"/>
      <c r="B1795" s="1824"/>
      <c r="C1795" s="1822"/>
      <c r="D1795" s="365"/>
      <c r="E1795" s="365"/>
      <c r="F1795" s="365"/>
      <c r="G1795" s="365"/>
      <c r="H1795" s="365"/>
      <c r="I1795" s="365"/>
      <c r="J1795" s="365"/>
      <c r="K1795" s="365"/>
      <c r="L1795" s="365"/>
      <c r="M1795" s="365"/>
      <c r="N1795" s="365"/>
    </row>
    <row r="1796" spans="1:14" ht="13">
      <c r="A1796" s="359"/>
      <c r="B1796" s="1824"/>
      <c r="C1796" s="1822"/>
      <c r="D1796" s="365"/>
      <c r="E1796" s="365"/>
      <c r="F1796" s="365"/>
      <c r="G1796" s="365"/>
      <c r="H1796" s="365"/>
      <c r="I1796" s="365"/>
      <c r="J1796" s="365"/>
      <c r="K1796" s="365"/>
      <c r="L1796" s="365"/>
      <c r="M1796" s="365"/>
      <c r="N1796" s="365"/>
    </row>
    <row r="1797" spans="1:14" ht="13">
      <c r="A1797" s="359"/>
      <c r="B1797" s="1824"/>
      <c r="C1797" s="1822"/>
      <c r="D1797" s="365"/>
      <c r="E1797" s="365"/>
      <c r="F1797" s="365"/>
      <c r="G1797" s="365"/>
      <c r="H1797" s="365"/>
      <c r="I1797" s="365"/>
      <c r="J1797" s="365"/>
      <c r="K1797" s="365"/>
      <c r="L1797" s="365"/>
      <c r="M1797" s="365"/>
      <c r="N1797" s="365"/>
    </row>
    <row r="1798" spans="1:14" ht="13">
      <c r="A1798" s="359"/>
      <c r="B1798" s="1824"/>
      <c r="C1798" s="1822"/>
      <c r="D1798" s="365"/>
      <c r="E1798" s="365"/>
      <c r="F1798" s="365"/>
      <c r="G1798" s="365"/>
      <c r="H1798" s="365"/>
      <c r="I1798" s="365"/>
      <c r="J1798" s="365"/>
      <c r="K1798" s="365"/>
      <c r="L1798" s="365"/>
      <c r="M1798" s="365"/>
      <c r="N1798" s="365"/>
    </row>
    <row r="1799" spans="1:14" ht="13">
      <c r="A1799" s="359"/>
      <c r="B1799" s="1824"/>
      <c r="C1799" s="1822"/>
      <c r="D1799" s="365"/>
      <c r="E1799" s="365"/>
      <c r="F1799" s="365"/>
      <c r="G1799" s="365"/>
      <c r="H1799" s="365"/>
      <c r="I1799" s="365"/>
      <c r="J1799" s="365"/>
      <c r="K1799" s="365"/>
      <c r="L1799" s="365"/>
      <c r="M1799" s="365"/>
      <c r="N1799" s="365"/>
    </row>
    <row r="1800" spans="1:14" ht="13">
      <c r="A1800" s="359"/>
      <c r="B1800" s="1824"/>
      <c r="C1800" s="1822"/>
      <c r="D1800" s="365"/>
      <c r="E1800" s="365"/>
      <c r="F1800" s="365"/>
      <c r="G1800" s="365"/>
      <c r="H1800" s="365"/>
      <c r="I1800" s="365"/>
      <c r="J1800" s="365"/>
      <c r="K1800" s="365"/>
      <c r="L1800" s="365"/>
      <c r="M1800" s="365"/>
      <c r="N1800" s="365"/>
    </row>
    <row r="1801" spans="1:14" ht="13">
      <c r="A1801" s="359"/>
      <c r="B1801" s="1824"/>
      <c r="C1801" s="1822"/>
      <c r="D1801" s="365"/>
      <c r="E1801" s="365"/>
      <c r="F1801" s="365"/>
      <c r="G1801" s="365"/>
      <c r="H1801" s="365"/>
      <c r="I1801" s="365"/>
      <c r="J1801" s="365"/>
      <c r="K1801" s="365"/>
      <c r="L1801" s="365"/>
      <c r="M1801" s="365"/>
      <c r="N1801" s="365"/>
    </row>
    <row r="1802" spans="1:14" ht="13">
      <c r="A1802" s="359"/>
      <c r="B1802" s="1824"/>
      <c r="C1802" s="1822"/>
      <c r="D1802" s="365"/>
      <c r="E1802" s="365"/>
      <c r="F1802" s="365"/>
      <c r="G1802" s="365"/>
      <c r="H1802" s="365"/>
      <c r="I1802" s="365"/>
      <c r="J1802" s="365"/>
      <c r="K1802" s="365"/>
      <c r="L1802" s="365"/>
      <c r="M1802" s="365"/>
      <c r="N1802" s="365"/>
    </row>
    <row r="1803" spans="1:14" ht="13">
      <c r="A1803" s="359"/>
      <c r="B1803" s="1824"/>
      <c r="C1803" s="1822"/>
      <c r="D1803" s="365"/>
      <c r="E1803" s="365"/>
      <c r="F1803" s="365"/>
      <c r="G1803" s="365"/>
      <c r="H1803" s="365"/>
      <c r="I1803" s="365"/>
      <c r="J1803" s="365"/>
      <c r="K1803" s="365"/>
      <c r="L1803" s="365"/>
      <c r="M1803" s="365"/>
      <c r="N1803" s="365"/>
    </row>
    <row r="1804" spans="1:14" ht="13">
      <c r="A1804" s="359"/>
      <c r="B1804" s="1824"/>
      <c r="C1804" s="1822"/>
      <c r="D1804" s="365"/>
      <c r="E1804" s="365"/>
      <c r="F1804" s="365"/>
      <c r="G1804" s="365"/>
      <c r="H1804" s="365"/>
      <c r="I1804" s="365"/>
      <c r="J1804" s="365"/>
      <c r="K1804" s="365"/>
      <c r="L1804" s="365"/>
      <c r="M1804" s="365"/>
      <c r="N1804" s="365"/>
    </row>
    <row r="1805" spans="1:14" ht="13">
      <c r="A1805" s="359"/>
      <c r="B1805" s="1824"/>
      <c r="C1805" s="1822"/>
      <c r="D1805" s="365"/>
      <c r="E1805" s="365"/>
      <c r="F1805" s="365"/>
      <c r="G1805" s="365"/>
      <c r="H1805" s="365"/>
      <c r="I1805" s="365"/>
      <c r="J1805" s="365"/>
      <c r="K1805" s="365"/>
      <c r="L1805" s="365"/>
      <c r="M1805" s="365"/>
      <c r="N1805" s="365"/>
    </row>
    <row r="1806" spans="1:14" ht="13">
      <c r="A1806" s="359"/>
      <c r="B1806" s="1824"/>
      <c r="C1806" s="1822"/>
      <c r="D1806" s="365"/>
      <c r="E1806" s="365"/>
      <c r="F1806" s="365"/>
      <c r="G1806" s="365"/>
      <c r="H1806" s="365"/>
      <c r="I1806" s="365"/>
      <c r="J1806" s="365"/>
      <c r="K1806" s="365"/>
      <c r="L1806" s="365"/>
      <c r="M1806" s="365"/>
      <c r="N1806" s="365"/>
    </row>
    <row r="1807" spans="1:14" ht="13">
      <c r="A1807" s="359"/>
      <c r="B1807" s="1824"/>
      <c r="C1807" s="1822"/>
      <c r="D1807" s="365"/>
      <c r="E1807" s="365"/>
      <c r="F1807" s="365"/>
      <c r="G1807" s="365"/>
      <c r="H1807" s="365"/>
      <c r="I1807" s="365"/>
      <c r="J1807" s="365"/>
      <c r="K1807" s="365"/>
      <c r="L1807" s="365"/>
      <c r="M1807" s="365"/>
      <c r="N1807" s="365"/>
    </row>
    <row r="1808" spans="1:14" ht="13">
      <c r="A1808" s="359"/>
      <c r="B1808" s="1824"/>
      <c r="C1808" s="1822"/>
      <c r="D1808" s="365"/>
      <c r="E1808" s="365"/>
      <c r="F1808" s="365"/>
      <c r="G1808" s="365"/>
      <c r="H1808" s="365"/>
      <c r="I1808" s="365"/>
      <c r="J1808" s="365"/>
      <c r="K1808" s="365"/>
      <c r="L1808" s="365"/>
      <c r="M1808" s="365"/>
      <c r="N1808" s="365"/>
    </row>
    <row r="1809" spans="1:14" ht="13">
      <c r="A1809" s="359"/>
      <c r="B1809" s="1824"/>
      <c r="C1809" s="1822"/>
      <c r="D1809" s="365"/>
      <c r="E1809" s="365"/>
      <c r="F1809" s="365"/>
      <c r="G1809" s="365"/>
      <c r="H1809" s="365"/>
      <c r="I1809" s="365"/>
      <c r="J1809" s="365"/>
      <c r="K1809" s="365"/>
      <c r="L1809" s="365"/>
      <c r="M1809" s="365"/>
      <c r="N1809" s="365"/>
    </row>
    <row r="1810" spans="1:14" ht="13">
      <c r="A1810" s="359"/>
      <c r="B1810" s="1824"/>
      <c r="C1810" s="1822"/>
      <c r="D1810" s="365"/>
      <c r="E1810" s="365"/>
      <c r="F1810" s="365"/>
      <c r="G1810" s="365"/>
      <c r="H1810" s="365"/>
      <c r="I1810" s="365"/>
      <c r="J1810" s="365"/>
      <c r="K1810" s="365"/>
      <c r="L1810" s="365"/>
      <c r="M1810" s="365"/>
      <c r="N1810" s="365"/>
    </row>
    <row r="1811" spans="1:14" ht="13">
      <c r="A1811" s="359"/>
      <c r="B1811" s="1824"/>
      <c r="C1811" s="1822"/>
      <c r="D1811" s="365"/>
      <c r="E1811" s="365"/>
      <c r="F1811" s="365"/>
      <c r="G1811" s="365"/>
      <c r="H1811" s="365"/>
      <c r="I1811" s="365"/>
      <c r="J1811" s="365"/>
      <c r="K1811" s="365"/>
      <c r="L1811" s="365"/>
      <c r="M1811" s="365"/>
      <c r="N1811" s="365"/>
    </row>
    <row r="1812" spans="1:14" ht="13">
      <c r="A1812" s="359"/>
      <c r="B1812" s="1824"/>
      <c r="C1812" s="1822"/>
      <c r="D1812" s="365"/>
      <c r="E1812" s="365"/>
      <c r="F1812" s="365"/>
      <c r="G1812" s="365"/>
      <c r="H1812" s="365"/>
      <c r="I1812" s="365"/>
      <c r="J1812" s="365"/>
      <c r="K1812" s="365"/>
      <c r="L1812" s="365"/>
      <c r="M1812" s="365"/>
      <c r="N1812" s="365"/>
    </row>
    <row r="1813" spans="1:14" ht="13">
      <c r="A1813" s="359"/>
      <c r="B1813" s="1824"/>
      <c r="C1813" s="1822"/>
      <c r="D1813" s="365"/>
      <c r="E1813" s="365"/>
      <c r="F1813" s="365"/>
      <c r="G1813" s="365"/>
      <c r="H1813" s="365"/>
      <c r="I1813" s="365"/>
      <c r="J1813" s="365"/>
      <c r="K1813" s="365"/>
      <c r="L1813" s="365"/>
      <c r="M1813" s="365"/>
      <c r="N1813" s="365"/>
    </row>
    <row r="1814" spans="1:14" ht="13">
      <c r="A1814" s="359"/>
      <c r="B1814" s="1824"/>
      <c r="C1814" s="1822"/>
      <c r="D1814" s="365"/>
      <c r="E1814" s="365"/>
      <c r="F1814" s="365"/>
      <c r="G1814" s="365"/>
      <c r="H1814" s="365"/>
      <c r="I1814" s="365"/>
      <c r="J1814" s="365"/>
      <c r="K1814" s="365"/>
      <c r="L1814" s="365"/>
      <c r="M1814" s="365"/>
      <c r="N1814" s="365"/>
    </row>
    <row r="1815" spans="1:14" ht="13">
      <c r="A1815" s="359"/>
      <c r="B1815" s="1824"/>
      <c r="C1815" s="1822"/>
      <c r="D1815" s="365"/>
      <c r="E1815" s="365"/>
      <c r="F1815" s="365"/>
      <c r="G1815" s="365"/>
      <c r="H1815" s="365"/>
      <c r="I1815" s="365"/>
      <c r="J1815" s="365"/>
      <c r="K1815" s="365"/>
      <c r="L1815" s="365"/>
      <c r="M1815" s="365"/>
      <c r="N1815" s="365"/>
    </row>
    <row r="1816" spans="1:14" ht="13">
      <c r="A1816" s="359"/>
      <c r="B1816" s="1824"/>
      <c r="C1816" s="1822"/>
      <c r="D1816" s="365"/>
      <c r="E1816" s="365"/>
      <c r="F1816" s="365"/>
      <c r="G1816" s="365"/>
      <c r="H1816" s="365"/>
      <c r="I1816" s="365"/>
      <c r="J1816" s="365"/>
      <c r="K1816" s="365"/>
      <c r="L1816" s="365"/>
      <c r="M1816" s="365"/>
      <c r="N1816" s="365"/>
    </row>
    <row r="1817" spans="1:14" ht="13">
      <c r="A1817" s="359"/>
      <c r="B1817" s="1824"/>
      <c r="C1817" s="1822"/>
      <c r="D1817" s="365"/>
      <c r="E1817" s="365"/>
      <c r="F1817" s="365"/>
      <c r="G1817" s="365"/>
      <c r="H1817" s="365"/>
      <c r="I1817" s="365"/>
      <c r="J1817" s="365"/>
      <c r="K1817" s="365"/>
      <c r="L1817" s="365"/>
      <c r="M1817" s="365"/>
      <c r="N1817" s="365"/>
    </row>
    <row r="1818" spans="1:14" ht="13">
      <c r="A1818" s="359"/>
      <c r="B1818" s="1824"/>
      <c r="C1818" s="1822"/>
      <c r="D1818" s="365"/>
      <c r="E1818" s="365"/>
      <c r="F1818" s="365"/>
      <c r="G1818" s="365"/>
      <c r="H1818" s="365"/>
      <c r="I1818" s="365"/>
      <c r="J1818" s="365"/>
      <c r="K1818" s="365"/>
      <c r="L1818" s="365"/>
      <c r="M1818" s="365"/>
      <c r="N1818" s="365"/>
    </row>
    <row r="1819" spans="1:14" ht="13">
      <c r="A1819" s="359"/>
      <c r="B1819" s="1824"/>
      <c r="C1819" s="1822"/>
      <c r="D1819" s="365"/>
      <c r="E1819" s="365"/>
      <c r="F1819" s="365"/>
      <c r="G1819" s="365"/>
      <c r="H1819" s="365"/>
      <c r="I1819" s="365"/>
      <c r="J1819" s="365"/>
      <c r="K1819" s="365"/>
      <c r="L1819" s="365"/>
      <c r="M1819" s="365"/>
      <c r="N1819" s="365"/>
    </row>
    <row r="1820" spans="1:14" ht="13">
      <c r="A1820" s="359"/>
      <c r="B1820" s="1824"/>
      <c r="C1820" s="1822"/>
      <c r="D1820" s="365"/>
      <c r="E1820" s="365"/>
      <c r="F1820" s="365"/>
      <c r="G1820" s="365"/>
      <c r="H1820" s="365"/>
      <c r="I1820" s="365"/>
      <c r="J1820" s="365"/>
      <c r="K1820" s="365"/>
      <c r="L1820" s="365"/>
      <c r="M1820" s="365"/>
      <c r="N1820" s="365"/>
    </row>
    <row r="1821" spans="1:14" ht="13">
      <c r="A1821" s="359"/>
      <c r="B1821" s="1824"/>
      <c r="C1821" s="1822"/>
      <c r="D1821" s="365"/>
      <c r="E1821" s="365"/>
      <c r="F1821" s="365"/>
      <c r="G1821" s="365"/>
      <c r="H1821" s="365"/>
      <c r="I1821" s="365"/>
      <c r="J1821" s="365"/>
      <c r="K1821" s="365"/>
      <c r="L1821" s="365"/>
      <c r="M1821" s="365"/>
      <c r="N1821" s="365"/>
    </row>
    <row r="1822" spans="1:14" ht="13">
      <c r="A1822" s="359"/>
      <c r="B1822" s="1824"/>
      <c r="C1822" s="1822"/>
      <c r="D1822" s="365"/>
      <c r="E1822" s="365"/>
      <c r="F1822" s="365"/>
      <c r="G1822" s="365"/>
      <c r="H1822" s="365"/>
      <c r="I1822" s="365"/>
      <c r="J1822" s="365"/>
      <c r="K1822" s="365"/>
      <c r="L1822" s="365"/>
      <c r="M1822" s="365"/>
      <c r="N1822" s="365"/>
    </row>
    <row r="1823" spans="1:14" ht="13">
      <c r="A1823" s="359"/>
      <c r="B1823" s="1824"/>
      <c r="C1823" s="1822"/>
      <c r="D1823" s="365"/>
      <c r="E1823" s="365"/>
      <c r="F1823" s="365"/>
      <c r="G1823" s="365"/>
      <c r="H1823" s="365"/>
      <c r="I1823" s="365"/>
      <c r="J1823" s="365"/>
      <c r="K1823" s="365"/>
      <c r="L1823" s="365"/>
      <c r="M1823" s="365"/>
      <c r="N1823" s="365"/>
    </row>
    <row r="1824" spans="1:14" ht="13">
      <c r="A1824" s="359"/>
      <c r="B1824" s="1824"/>
      <c r="C1824" s="1822"/>
      <c r="D1824" s="365"/>
      <c r="E1824" s="365"/>
      <c r="F1824" s="365"/>
      <c r="G1824" s="365"/>
      <c r="H1824" s="365"/>
      <c r="I1824" s="365"/>
      <c r="J1824" s="365"/>
      <c r="K1824" s="365"/>
      <c r="L1824" s="365"/>
      <c r="M1824" s="365"/>
      <c r="N1824" s="365"/>
    </row>
    <row r="1825" spans="1:14" ht="13">
      <c r="A1825" s="359"/>
      <c r="B1825" s="1824"/>
      <c r="C1825" s="1822"/>
      <c r="D1825" s="365"/>
      <c r="E1825" s="365"/>
      <c r="F1825" s="365"/>
      <c r="G1825" s="365"/>
      <c r="H1825" s="365"/>
      <c r="I1825" s="365"/>
      <c r="J1825" s="365"/>
      <c r="K1825" s="365"/>
      <c r="L1825" s="365"/>
      <c r="M1825" s="365"/>
      <c r="N1825" s="365"/>
    </row>
    <row r="1826" spans="1:14" ht="13">
      <c r="A1826" s="359"/>
      <c r="B1826" s="1824"/>
      <c r="C1826" s="1822"/>
      <c r="D1826" s="365"/>
      <c r="E1826" s="365"/>
      <c r="F1826" s="365"/>
      <c r="G1826" s="365"/>
      <c r="H1826" s="365"/>
      <c r="I1826" s="365"/>
      <c r="J1826" s="365"/>
      <c r="K1826" s="365"/>
      <c r="L1826" s="365"/>
      <c r="M1826" s="365"/>
      <c r="N1826" s="365"/>
    </row>
    <row r="1827" spans="1:14" ht="13">
      <c r="A1827" s="359"/>
      <c r="B1827" s="1824"/>
      <c r="C1827" s="1822"/>
      <c r="D1827" s="365"/>
      <c r="E1827" s="365"/>
      <c r="F1827" s="365"/>
      <c r="G1827" s="365"/>
      <c r="H1827" s="365"/>
      <c r="I1827" s="365"/>
      <c r="J1827" s="365"/>
      <c r="K1827" s="365"/>
      <c r="L1827" s="365"/>
      <c r="M1827" s="365"/>
      <c r="N1827" s="365"/>
    </row>
    <row r="1828" spans="1:14" ht="13">
      <c r="A1828" s="359"/>
      <c r="B1828" s="1824"/>
      <c r="C1828" s="1822"/>
      <c r="D1828" s="365"/>
      <c r="E1828" s="365"/>
      <c r="F1828" s="365"/>
      <c r="G1828" s="365"/>
      <c r="H1828" s="365"/>
      <c r="I1828" s="365"/>
      <c r="J1828" s="365"/>
      <c r="K1828" s="365"/>
      <c r="L1828" s="365"/>
      <c r="M1828" s="365"/>
      <c r="N1828" s="365"/>
    </row>
    <row r="1829" spans="1:14" ht="13">
      <c r="A1829" s="359"/>
      <c r="B1829" s="1824"/>
      <c r="C1829" s="1822"/>
      <c r="D1829" s="365"/>
      <c r="E1829" s="365"/>
      <c r="F1829" s="365"/>
      <c r="G1829" s="365"/>
      <c r="H1829" s="365"/>
      <c r="I1829" s="365"/>
      <c r="J1829" s="365"/>
      <c r="K1829" s="365"/>
      <c r="L1829" s="365"/>
      <c r="M1829" s="365"/>
      <c r="N1829" s="365"/>
    </row>
    <row r="1830" spans="1:14" ht="13">
      <c r="A1830" s="359"/>
      <c r="B1830" s="1824"/>
      <c r="C1830" s="1822"/>
      <c r="D1830" s="365"/>
      <c r="E1830" s="365"/>
      <c r="F1830" s="365"/>
      <c r="G1830" s="365"/>
      <c r="H1830" s="365"/>
      <c r="I1830" s="365"/>
      <c r="J1830" s="365"/>
      <c r="K1830" s="365"/>
      <c r="L1830" s="365"/>
      <c r="M1830" s="365"/>
      <c r="N1830" s="365"/>
    </row>
    <row r="1831" spans="1:14" ht="13">
      <c r="A1831" s="359"/>
      <c r="B1831" s="1824"/>
      <c r="C1831" s="1822"/>
      <c r="D1831" s="365"/>
      <c r="E1831" s="365"/>
      <c r="F1831" s="365"/>
      <c r="G1831" s="365"/>
      <c r="H1831" s="365"/>
      <c r="I1831" s="365"/>
      <c r="J1831" s="365"/>
      <c r="K1831" s="365"/>
      <c r="L1831" s="365"/>
      <c r="M1831" s="365"/>
      <c r="N1831" s="365"/>
    </row>
    <row r="1832" spans="1:14" ht="13">
      <c r="A1832" s="359"/>
      <c r="B1832" s="1824"/>
      <c r="C1832" s="1822"/>
      <c r="D1832" s="365"/>
      <c r="E1832" s="365"/>
      <c r="F1832" s="365"/>
      <c r="G1832" s="365"/>
      <c r="H1832" s="365"/>
      <c r="I1832" s="365"/>
      <c r="J1832" s="365"/>
      <c r="K1832" s="365"/>
      <c r="L1832" s="365"/>
      <c r="M1832" s="365"/>
      <c r="N1832" s="365"/>
    </row>
    <row r="1833" spans="1:14" ht="13">
      <c r="A1833" s="359"/>
      <c r="B1833" s="1824"/>
      <c r="C1833" s="1822"/>
      <c r="D1833" s="365"/>
      <c r="E1833" s="365"/>
      <c r="F1833" s="365"/>
      <c r="G1833" s="365"/>
      <c r="H1833" s="365"/>
      <c r="I1833" s="365"/>
      <c r="J1833" s="365"/>
      <c r="K1833" s="365"/>
      <c r="L1833" s="365"/>
      <c r="M1833" s="365"/>
      <c r="N1833" s="365"/>
    </row>
    <row r="1834" spans="1:14" ht="13">
      <c r="A1834" s="359"/>
      <c r="B1834" s="1824"/>
      <c r="C1834" s="1822"/>
      <c r="D1834" s="365"/>
      <c r="E1834" s="365"/>
      <c r="F1834" s="365"/>
      <c r="G1834" s="365"/>
      <c r="H1834" s="365"/>
      <c r="I1834" s="365"/>
      <c r="J1834" s="365"/>
      <c r="K1834" s="365"/>
      <c r="L1834" s="365"/>
      <c r="M1834" s="365"/>
      <c r="N1834" s="365"/>
    </row>
    <row r="1835" spans="1:14" ht="13">
      <c r="A1835" s="359"/>
      <c r="B1835" s="1824"/>
      <c r="C1835" s="1822"/>
      <c r="D1835" s="365"/>
      <c r="E1835" s="365"/>
      <c r="F1835" s="365"/>
      <c r="G1835" s="365"/>
      <c r="H1835" s="365"/>
      <c r="I1835" s="365"/>
      <c r="J1835" s="365"/>
      <c r="K1835" s="365"/>
      <c r="L1835" s="365"/>
      <c r="M1835" s="365"/>
      <c r="N1835" s="365"/>
    </row>
    <row r="1836" spans="1:14" ht="13">
      <c r="A1836" s="359"/>
      <c r="B1836" s="1824"/>
      <c r="C1836" s="1822"/>
      <c r="D1836" s="365"/>
      <c r="E1836" s="365"/>
      <c r="F1836" s="365"/>
      <c r="G1836" s="365"/>
      <c r="H1836" s="365"/>
      <c r="I1836" s="365"/>
      <c r="J1836" s="365"/>
      <c r="K1836" s="365"/>
      <c r="L1836" s="365"/>
      <c r="M1836" s="365"/>
      <c r="N1836" s="365"/>
    </row>
    <row r="1837" spans="1:14" ht="13">
      <c r="A1837" s="359"/>
      <c r="B1837" s="1824"/>
      <c r="C1837" s="1822"/>
      <c r="D1837" s="365"/>
      <c r="E1837" s="365"/>
      <c r="F1837" s="365"/>
      <c r="G1837" s="365"/>
      <c r="H1837" s="365"/>
      <c r="I1837" s="365"/>
      <c r="J1837" s="365"/>
      <c r="K1837" s="365"/>
      <c r="L1837" s="365"/>
      <c r="M1837" s="365"/>
      <c r="N1837" s="365"/>
    </row>
    <row r="1838" spans="1:14" ht="13">
      <c r="A1838" s="359"/>
      <c r="B1838" s="1824"/>
      <c r="C1838" s="1822"/>
      <c r="D1838" s="365"/>
      <c r="E1838" s="365"/>
      <c r="F1838" s="365"/>
      <c r="G1838" s="365"/>
      <c r="H1838" s="365"/>
      <c r="I1838" s="365"/>
      <c r="J1838" s="365"/>
      <c r="K1838" s="365"/>
      <c r="L1838" s="365"/>
      <c r="M1838" s="365"/>
      <c r="N1838" s="365"/>
    </row>
    <row r="1839" spans="1:14" ht="13">
      <c r="A1839" s="359"/>
      <c r="B1839" s="1824"/>
      <c r="C1839" s="1822"/>
      <c r="D1839" s="365"/>
      <c r="E1839" s="365"/>
      <c r="F1839" s="365"/>
      <c r="G1839" s="365"/>
      <c r="H1839" s="365"/>
      <c r="I1839" s="365"/>
      <c r="J1839" s="365"/>
      <c r="K1839" s="365"/>
      <c r="L1839" s="365"/>
      <c r="M1839" s="365"/>
      <c r="N1839" s="365"/>
    </row>
    <row r="1840" spans="1:14" ht="13">
      <c r="A1840" s="359"/>
      <c r="B1840" s="1824"/>
      <c r="C1840" s="1822"/>
      <c r="D1840" s="365"/>
      <c r="E1840" s="365"/>
      <c r="F1840" s="365"/>
      <c r="G1840" s="365"/>
      <c r="H1840" s="365"/>
      <c r="I1840" s="365"/>
      <c r="J1840" s="365"/>
      <c r="K1840" s="365"/>
      <c r="L1840" s="365"/>
      <c r="M1840" s="365"/>
      <c r="N1840" s="365"/>
    </row>
    <row r="1841" spans="1:14" ht="13">
      <c r="A1841" s="359"/>
      <c r="B1841" s="1824"/>
      <c r="C1841" s="1822"/>
      <c r="D1841" s="365"/>
      <c r="E1841" s="365"/>
      <c r="F1841" s="365"/>
      <c r="G1841" s="365"/>
      <c r="H1841" s="365"/>
      <c r="I1841" s="365"/>
      <c r="J1841" s="365"/>
      <c r="K1841" s="365"/>
      <c r="L1841" s="365"/>
      <c r="M1841" s="365"/>
      <c r="N1841" s="365"/>
    </row>
    <row r="1842" spans="1:14" ht="13">
      <c r="A1842" s="359"/>
      <c r="B1842" s="1824"/>
      <c r="C1842" s="1822"/>
      <c r="D1842" s="365"/>
      <c r="E1842" s="365"/>
      <c r="F1842" s="365"/>
      <c r="G1842" s="365"/>
      <c r="H1842" s="365"/>
      <c r="I1842" s="365"/>
      <c r="J1842" s="365"/>
      <c r="K1842" s="365"/>
      <c r="L1842" s="365"/>
      <c r="M1842" s="365"/>
      <c r="N1842" s="365"/>
    </row>
    <row r="1843" spans="1:14" ht="13">
      <c r="A1843" s="359"/>
      <c r="B1843" s="1824"/>
      <c r="C1843" s="1822"/>
      <c r="D1843" s="365"/>
      <c r="E1843" s="365"/>
      <c r="F1843" s="365"/>
      <c r="G1843" s="365"/>
      <c r="H1843" s="365"/>
      <c r="I1843" s="365"/>
      <c r="J1843" s="365"/>
      <c r="K1843" s="365"/>
      <c r="L1843" s="365"/>
      <c r="M1843" s="365"/>
      <c r="N1843" s="365"/>
    </row>
    <row r="1844" spans="1:14" ht="13">
      <c r="A1844" s="359"/>
      <c r="B1844" s="1824"/>
      <c r="C1844" s="1822"/>
      <c r="D1844" s="365"/>
      <c r="E1844" s="365"/>
      <c r="F1844" s="365"/>
      <c r="G1844" s="365"/>
      <c r="H1844" s="365"/>
      <c r="I1844" s="365"/>
      <c r="J1844" s="365"/>
      <c r="K1844" s="365"/>
      <c r="L1844" s="365"/>
      <c r="M1844" s="365"/>
      <c r="N1844" s="365"/>
    </row>
    <row r="1845" spans="1:14" ht="13">
      <c r="A1845" s="359"/>
      <c r="B1845" s="1824"/>
      <c r="C1845" s="1822"/>
      <c r="D1845" s="365"/>
      <c r="E1845" s="365"/>
      <c r="F1845" s="365"/>
      <c r="G1845" s="365"/>
      <c r="H1845" s="365"/>
      <c r="I1845" s="365"/>
      <c r="J1845" s="365"/>
      <c r="K1845" s="365"/>
      <c r="L1845" s="365"/>
      <c r="M1845" s="365"/>
      <c r="N1845" s="365"/>
    </row>
    <row r="1846" spans="1:14" ht="13">
      <c r="A1846" s="359"/>
      <c r="B1846" s="1824"/>
      <c r="C1846" s="1822"/>
      <c r="D1846" s="365"/>
      <c r="E1846" s="365"/>
      <c r="F1846" s="365"/>
      <c r="G1846" s="365"/>
      <c r="H1846" s="365"/>
      <c r="I1846" s="365"/>
      <c r="J1846" s="365"/>
      <c r="K1846" s="365"/>
      <c r="L1846" s="365"/>
      <c r="M1846" s="365"/>
      <c r="N1846" s="365"/>
    </row>
    <row r="1847" spans="1:14" ht="13">
      <c r="A1847" s="359"/>
      <c r="B1847" s="1824"/>
      <c r="C1847" s="1822"/>
      <c r="D1847" s="365"/>
      <c r="E1847" s="365"/>
      <c r="F1847" s="365"/>
      <c r="G1847" s="365"/>
      <c r="H1847" s="365"/>
      <c r="I1847" s="365"/>
      <c r="J1847" s="365"/>
      <c r="K1847" s="365"/>
      <c r="L1847" s="365"/>
      <c r="M1847" s="365"/>
      <c r="N1847" s="365"/>
    </row>
    <row r="1848" spans="1:14" ht="13">
      <c r="A1848" s="359"/>
      <c r="B1848" s="1824"/>
      <c r="C1848" s="1822"/>
      <c r="D1848" s="365"/>
      <c r="E1848" s="365"/>
      <c r="F1848" s="365"/>
      <c r="G1848" s="365"/>
      <c r="H1848" s="365"/>
      <c r="I1848" s="365"/>
      <c r="J1848" s="365"/>
      <c r="K1848" s="365"/>
      <c r="L1848" s="365"/>
      <c r="M1848" s="365"/>
      <c r="N1848" s="365"/>
    </row>
    <row r="1849" spans="1:14" ht="13">
      <c r="A1849" s="359"/>
      <c r="B1849" s="1824"/>
      <c r="C1849" s="1822"/>
      <c r="D1849" s="365"/>
      <c r="E1849" s="365"/>
      <c r="F1849" s="365"/>
      <c r="G1849" s="365"/>
      <c r="H1849" s="365"/>
      <c r="I1849" s="365"/>
      <c r="J1849" s="365"/>
      <c r="K1849" s="365"/>
      <c r="L1849" s="365"/>
      <c r="M1849" s="365"/>
      <c r="N1849" s="365"/>
    </row>
    <row r="1850" spans="1:14" ht="13">
      <c r="A1850" s="359"/>
      <c r="B1850" s="1824"/>
      <c r="C1850" s="1822"/>
      <c r="D1850" s="365"/>
      <c r="E1850" s="365"/>
      <c r="F1850" s="365"/>
      <c r="G1850" s="365"/>
      <c r="H1850" s="365"/>
      <c r="I1850" s="365"/>
      <c r="J1850" s="365"/>
      <c r="K1850" s="365"/>
      <c r="L1850" s="365"/>
      <c r="M1850" s="365"/>
      <c r="N1850" s="365"/>
    </row>
    <row r="1851" spans="1:14" ht="13">
      <c r="A1851" s="359"/>
      <c r="B1851" s="1824"/>
      <c r="C1851" s="1822"/>
      <c r="D1851" s="365"/>
      <c r="E1851" s="365"/>
      <c r="F1851" s="365"/>
      <c r="G1851" s="365"/>
      <c r="H1851" s="365"/>
      <c r="I1851" s="365"/>
      <c r="J1851" s="365"/>
      <c r="K1851" s="365"/>
      <c r="L1851" s="365"/>
      <c r="M1851" s="365"/>
      <c r="N1851" s="365"/>
    </row>
    <row r="1852" spans="1:14" ht="13">
      <c r="A1852" s="359"/>
      <c r="B1852" s="1824"/>
      <c r="C1852" s="1822"/>
      <c r="D1852" s="365"/>
      <c r="E1852" s="365"/>
      <c r="F1852" s="365"/>
      <c r="G1852" s="365"/>
      <c r="H1852" s="365"/>
      <c r="I1852" s="365"/>
      <c r="J1852" s="365"/>
      <c r="K1852" s="365"/>
      <c r="L1852" s="365"/>
      <c r="M1852" s="365"/>
      <c r="N1852" s="365"/>
    </row>
    <row r="1853" spans="1:14" ht="13">
      <c r="A1853" s="359"/>
      <c r="B1853" s="1824"/>
      <c r="C1853" s="1822"/>
      <c r="D1853" s="365"/>
      <c r="E1853" s="365"/>
      <c r="F1853" s="365"/>
      <c r="G1853" s="365"/>
      <c r="H1853" s="365"/>
      <c r="I1853" s="365"/>
      <c r="J1853" s="365"/>
      <c r="K1853" s="365"/>
      <c r="L1853" s="365"/>
      <c r="M1853" s="365"/>
      <c r="N1853" s="365"/>
    </row>
    <row r="1854" spans="1:14" ht="13">
      <c r="A1854" s="359"/>
      <c r="B1854" s="1824"/>
      <c r="C1854" s="1822"/>
      <c r="D1854" s="365"/>
      <c r="E1854" s="365"/>
      <c r="F1854" s="365"/>
      <c r="G1854" s="365"/>
      <c r="H1854" s="365"/>
      <c r="I1854" s="365"/>
      <c r="J1854" s="365"/>
      <c r="K1854" s="365"/>
      <c r="L1854" s="365"/>
      <c r="M1854" s="365"/>
      <c r="N1854" s="365"/>
    </row>
    <row r="1855" spans="1:14" ht="13">
      <c r="A1855" s="359"/>
      <c r="B1855" s="1824"/>
      <c r="C1855" s="1822"/>
      <c r="D1855" s="365"/>
      <c r="E1855" s="365"/>
      <c r="F1855" s="365"/>
      <c r="G1855" s="365"/>
      <c r="H1855" s="365"/>
      <c r="I1855" s="365"/>
      <c r="J1855" s="365"/>
      <c r="K1855" s="365"/>
      <c r="L1855" s="365"/>
      <c r="M1855" s="365"/>
      <c r="N1855" s="365"/>
    </row>
    <row r="1856" spans="1:14" ht="13">
      <c r="A1856" s="359"/>
      <c r="B1856" s="1824"/>
      <c r="C1856" s="1822"/>
      <c r="D1856" s="365"/>
      <c r="E1856" s="365"/>
      <c r="F1856" s="365"/>
      <c r="G1856" s="365"/>
      <c r="H1856" s="365"/>
      <c r="I1856" s="365"/>
      <c r="J1856" s="365"/>
      <c r="K1856" s="365"/>
      <c r="L1856" s="365"/>
      <c r="M1856" s="365"/>
      <c r="N1856" s="365"/>
    </row>
    <row r="1857" spans="1:14" ht="13">
      <c r="A1857" s="359"/>
      <c r="B1857" s="1824"/>
      <c r="C1857" s="1822"/>
      <c r="D1857" s="365"/>
      <c r="E1857" s="365"/>
      <c r="F1857" s="365"/>
      <c r="G1857" s="365"/>
      <c r="H1857" s="365"/>
      <c r="I1857" s="365"/>
      <c r="J1857" s="365"/>
      <c r="K1857" s="365"/>
      <c r="L1857" s="365"/>
      <c r="M1857" s="365"/>
      <c r="N1857" s="365"/>
    </row>
    <row r="1858" spans="1:14" ht="13">
      <c r="A1858" s="359"/>
      <c r="B1858" s="1824"/>
      <c r="C1858" s="1822"/>
      <c r="D1858" s="365"/>
      <c r="E1858" s="365"/>
      <c r="F1858" s="365"/>
      <c r="G1858" s="365"/>
      <c r="H1858" s="365"/>
      <c r="I1858" s="365"/>
      <c r="J1858" s="365"/>
      <c r="K1858" s="365"/>
      <c r="L1858" s="365"/>
      <c r="M1858" s="365"/>
      <c r="N1858" s="365"/>
    </row>
    <row r="1859" spans="1:14" ht="13">
      <c r="A1859" s="359"/>
      <c r="B1859" s="1824"/>
      <c r="C1859" s="1822"/>
      <c r="D1859" s="365"/>
      <c r="E1859" s="365"/>
      <c r="F1859" s="365"/>
      <c r="G1859" s="365"/>
      <c r="H1859" s="365"/>
      <c r="I1859" s="365"/>
      <c r="J1859" s="365"/>
      <c r="K1859" s="365"/>
      <c r="L1859" s="365"/>
      <c r="M1859" s="365"/>
      <c r="N1859" s="365"/>
    </row>
    <row r="1860" spans="1:14" ht="13">
      <c r="A1860" s="359"/>
      <c r="B1860" s="1824"/>
      <c r="C1860" s="1822"/>
      <c r="D1860" s="365"/>
      <c r="E1860" s="365"/>
      <c r="F1860" s="365"/>
      <c r="G1860" s="365"/>
      <c r="H1860" s="365"/>
      <c r="I1860" s="365"/>
      <c r="J1860" s="365"/>
      <c r="K1860" s="365"/>
      <c r="L1860" s="365"/>
      <c r="M1860" s="365"/>
      <c r="N1860" s="365"/>
    </row>
    <row r="1861" spans="1:14" ht="13">
      <c r="A1861" s="359"/>
      <c r="B1861" s="1824"/>
      <c r="C1861" s="1822"/>
      <c r="D1861" s="365"/>
      <c r="E1861" s="365"/>
      <c r="F1861" s="365"/>
      <c r="G1861" s="365"/>
      <c r="H1861" s="365"/>
      <c r="I1861" s="365"/>
      <c r="J1861" s="365"/>
      <c r="K1861" s="365"/>
      <c r="L1861" s="365"/>
      <c r="M1861" s="365"/>
      <c r="N1861" s="365"/>
    </row>
    <row r="1862" spans="1:14" ht="13">
      <c r="A1862" s="359"/>
      <c r="B1862" s="1824"/>
      <c r="C1862" s="1822"/>
      <c r="D1862" s="365"/>
      <c r="E1862" s="365"/>
      <c r="F1862" s="365"/>
      <c r="G1862" s="365"/>
      <c r="H1862" s="365"/>
      <c r="I1862" s="365"/>
      <c r="J1862" s="365"/>
      <c r="K1862" s="365"/>
      <c r="L1862" s="365"/>
      <c r="M1862" s="365"/>
      <c r="N1862" s="365"/>
    </row>
    <row r="1863" spans="1:14" ht="13">
      <c r="A1863" s="359"/>
      <c r="B1863" s="1824"/>
      <c r="C1863" s="1822"/>
      <c r="D1863" s="365"/>
      <c r="E1863" s="365"/>
      <c r="F1863" s="365"/>
      <c r="G1863" s="365"/>
      <c r="H1863" s="365"/>
      <c r="I1863" s="365"/>
      <c r="J1863" s="365"/>
      <c r="K1863" s="365"/>
      <c r="L1863" s="365"/>
      <c r="M1863" s="365"/>
      <c r="N1863" s="365"/>
    </row>
    <row r="1864" spans="1:14" ht="13">
      <c r="A1864" s="359"/>
      <c r="B1864" s="1824"/>
      <c r="C1864" s="1822"/>
      <c r="D1864" s="365"/>
      <c r="E1864" s="365"/>
      <c r="F1864" s="365"/>
      <c r="G1864" s="365"/>
      <c r="H1864" s="365"/>
      <c r="I1864" s="365"/>
      <c r="J1864" s="365"/>
      <c r="K1864" s="365"/>
      <c r="L1864" s="365"/>
      <c r="M1864" s="365"/>
      <c r="N1864" s="365"/>
    </row>
    <row r="1865" spans="1:14" ht="13">
      <c r="A1865" s="359"/>
      <c r="B1865" s="1824"/>
      <c r="C1865" s="1822"/>
      <c r="D1865" s="365"/>
      <c r="E1865" s="365"/>
      <c r="F1865" s="365"/>
      <c r="G1865" s="365"/>
      <c r="H1865" s="365"/>
      <c r="I1865" s="365"/>
      <c r="J1865" s="365"/>
      <c r="K1865" s="365"/>
      <c r="L1865" s="365"/>
      <c r="M1865" s="365"/>
      <c r="N1865" s="365"/>
    </row>
    <row r="1866" spans="1:14" ht="13">
      <c r="A1866" s="359"/>
      <c r="B1866" s="1824"/>
      <c r="C1866" s="1822"/>
      <c r="D1866" s="365"/>
      <c r="E1866" s="365"/>
      <c r="F1866" s="365"/>
      <c r="G1866" s="365"/>
      <c r="H1866" s="365"/>
      <c r="I1866" s="365"/>
      <c r="J1866" s="365"/>
      <c r="K1866" s="365"/>
      <c r="L1866" s="365"/>
      <c r="M1866" s="365"/>
      <c r="N1866" s="365"/>
    </row>
    <row r="1867" spans="1:14" ht="13">
      <c r="A1867" s="359"/>
      <c r="B1867" s="1824"/>
      <c r="C1867" s="1822"/>
      <c r="D1867" s="365"/>
      <c r="E1867" s="365"/>
      <c r="F1867" s="365"/>
      <c r="G1867" s="365"/>
      <c r="H1867" s="365"/>
      <c r="I1867" s="365"/>
      <c r="J1867" s="365"/>
      <c r="K1867" s="365"/>
      <c r="L1867" s="365"/>
      <c r="M1867" s="365"/>
      <c r="N1867" s="365"/>
    </row>
    <row r="1868" spans="1:14" ht="13">
      <c r="A1868" s="359"/>
      <c r="B1868" s="1824"/>
      <c r="C1868" s="1822"/>
      <c r="D1868" s="365"/>
      <c r="E1868" s="365"/>
      <c r="F1868" s="365"/>
      <c r="G1868" s="365"/>
      <c r="H1868" s="365"/>
      <c r="I1868" s="365"/>
      <c r="J1868" s="365"/>
      <c r="K1868" s="365"/>
      <c r="L1868" s="365"/>
      <c r="M1868" s="365"/>
      <c r="N1868" s="365"/>
    </row>
    <row r="1869" spans="1:14" ht="13">
      <c r="A1869" s="359"/>
      <c r="B1869" s="1824"/>
      <c r="C1869" s="1822"/>
      <c r="D1869" s="365"/>
      <c r="E1869" s="365"/>
      <c r="F1869" s="365"/>
      <c r="G1869" s="365"/>
      <c r="H1869" s="365"/>
      <c r="I1869" s="365"/>
      <c r="J1869" s="365"/>
      <c r="K1869" s="365"/>
      <c r="L1869" s="365"/>
      <c r="M1869" s="365"/>
      <c r="N1869" s="365"/>
    </row>
    <row r="1870" spans="1:14" ht="13">
      <c r="A1870" s="359"/>
      <c r="B1870" s="1824"/>
      <c r="C1870" s="1822"/>
      <c r="D1870" s="365"/>
      <c r="E1870" s="365"/>
      <c r="F1870" s="365"/>
      <c r="G1870" s="365"/>
      <c r="H1870" s="365"/>
      <c r="I1870" s="365"/>
      <c r="J1870" s="365"/>
      <c r="K1870" s="365"/>
      <c r="L1870" s="365"/>
      <c r="M1870" s="365"/>
      <c r="N1870" s="365"/>
    </row>
    <row r="1871" spans="1:14" ht="13">
      <c r="A1871" s="359"/>
      <c r="B1871" s="1824"/>
      <c r="C1871" s="1822"/>
      <c r="D1871" s="365"/>
      <c r="E1871" s="365"/>
      <c r="F1871" s="365"/>
      <c r="G1871" s="365"/>
      <c r="H1871" s="365"/>
      <c r="I1871" s="365"/>
      <c r="J1871" s="365"/>
      <c r="K1871" s="365"/>
      <c r="L1871" s="365"/>
      <c r="M1871" s="365"/>
      <c r="N1871" s="365"/>
    </row>
    <row r="1872" spans="1:14" ht="13">
      <c r="A1872" s="359"/>
      <c r="B1872" s="1824"/>
      <c r="C1872" s="1822"/>
      <c r="D1872" s="365"/>
      <c r="E1872" s="365"/>
      <c r="F1872" s="365"/>
      <c r="G1872" s="365"/>
      <c r="H1872" s="365"/>
      <c r="I1872" s="365"/>
      <c r="J1872" s="365"/>
      <c r="K1872" s="365"/>
      <c r="L1872" s="365"/>
      <c r="M1872" s="365"/>
      <c r="N1872" s="365"/>
    </row>
    <row r="1873" spans="1:14" ht="13">
      <c r="A1873" s="359"/>
      <c r="B1873" s="1824"/>
      <c r="C1873" s="1822"/>
      <c r="D1873" s="365"/>
      <c r="E1873" s="365"/>
      <c r="F1873" s="365"/>
      <c r="G1873" s="365"/>
      <c r="H1873" s="365"/>
      <c r="I1873" s="365"/>
      <c r="J1873" s="365"/>
      <c r="K1873" s="365"/>
      <c r="L1873" s="365"/>
      <c r="M1873" s="365"/>
      <c r="N1873" s="365"/>
    </row>
    <row r="1874" spans="1:14" ht="13">
      <c r="A1874" s="359"/>
      <c r="B1874" s="1824"/>
      <c r="C1874" s="1822"/>
      <c r="D1874" s="365"/>
      <c r="E1874" s="365"/>
      <c r="F1874" s="365"/>
      <c r="G1874" s="365"/>
      <c r="H1874" s="365"/>
      <c r="I1874" s="365"/>
      <c r="J1874" s="365"/>
      <c r="K1874" s="365"/>
      <c r="L1874" s="365"/>
      <c r="M1874" s="365"/>
      <c r="N1874" s="365"/>
    </row>
    <row r="1875" spans="1:14" ht="13">
      <c r="A1875" s="359"/>
      <c r="B1875" s="1824"/>
      <c r="C1875" s="1822"/>
      <c r="D1875" s="365"/>
      <c r="E1875" s="365"/>
      <c r="F1875" s="365"/>
      <c r="G1875" s="365"/>
      <c r="H1875" s="365"/>
      <c r="I1875" s="365"/>
      <c r="J1875" s="365"/>
      <c r="K1875" s="365"/>
      <c r="L1875" s="365"/>
      <c r="M1875" s="365"/>
      <c r="N1875" s="365"/>
    </row>
    <row r="1876" spans="1:14" ht="13">
      <c r="A1876" s="359"/>
      <c r="B1876" s="1824"/>
      <c r="C1876" s="1822"/>
      <c r="D1876" s="365"/>
      <c r="E1876" s="365"/>
      <c r="F1876" s="365"/>
      <c r="G1876" s="365"/>
      <c r="H1876" s="365"/>
      <c r="I1876" s="365"/>
      <c r="J1876" s="365"/>
      <c r="K1876" s="365"/>
      <c r="L1876" s="365"/>
      <c r="M1876" s="365"/>
      <c r="N1876" s="365"/>
    </row>
    <row r="1877" spans="1:14" ht="13">
      <c r="A1877" s="359"/>
      <c r="B1877" s="1824"/>
      <c r="C1877" s="1822"/>
      <c r="D1877" s="365"/>
      <c r="E1877" s="365"/>
      <c r="F1877" s="365"/>
      <c r="G1877" s="365"/>
      <c r="H1877" s="365"/>
      <c r="I1877" s="365"/>
      <c r="J1877" s="365"/>
      <c r="K1877" s="365"/>
      <c r="L1877" s="365"/>
      <c r="M1877" s="365"/>
      <c r="N1877" s="365"/>
    </row>
    <row r="1878" spans="1:14" ht="13">
      <c r="A1878" s="359"/>
      <c r="B1878" s="1824"/>
      <c r="C1878" s="1822"/>
      <c r="D1878" s="365"/>
      <c r="E1878" s="365"/>
      <c r="F1878" s="365"/>
      <c r="G1878" s="365"/>
      <c r="H1878" s="365"/>
      <c r="I1878" s="365"/>
      <c r="J1878" s="365"/>
      <c r="K1878" s="365"/>
      <c r="L1878" s="365"/>
      <c r="M1878" s="365"/>
      <c r="N1878" s="365"/>
    </row>
    <row r="1879" spans="1:14" ht="13">
      <c r="A1879" s="359"/>
      <c r="B1879" s="1824"/>
      <c r="C1879" s="1822"/>
      <c r="D1879" s="365"/>
      <c r="E1879" s="365"/>
      <c r="F1879" s="365"/>
      <c r="G1879" s="365"/>
      <c r="H1879" s="365"/>
      <c r="I1879" s="365"/>
      <c r="J1879" s="365"/>
      <c r="K1879" s="365"/>
      <c r="L1879" s="365"/>
      <c r="M1879" s="365"/>
      <c r="N1879" s="365"/>
    </row>
    <row r="1880" spans="1:14" ht="13">
      <c r="A1880" s="359"/>
      <c r="B1880" s="1824"/>
      <c r="C1880" s="1822"/>
      <c r="D1880" s="365"/>
      <c r="E1880" s="365"/>
      <c r="F1880" s="365"/>
      <c r="G1880" s="365"/>
      <c r="H1880" s="365"/>
      <c r="I1880" s="365"/>
      <c r="J1880" s="365"/>
      <c r="K1880" s="365"/>
      <c r="L1880" s="365"/>
      <c r="M1880" s="365"/>
      <c r="N1880" s="365"/>
    </row>
    <row r="1881" spans="1:14" ht="13">
      <c r="A1881" s="359"/>
      <c r="B1881" s="1824"/>
      <c r="C1881" s="1822"/>
      <c r="D1881" s="365"/>
      <c r="E1881" s="365"/>
      <c r="F1881" s="365"/>
      <c r="G1881" s="365"/>
      <c r="H1881" s="365"/>
      <c r="I1881" s="365"/>
      <c r="J1881" s="365"/>
      <c r="K1881" s="365"/>
      <c r="L1881" s="365"/>
      <c r="M1881" s="365"/>
      <c r="N1881" s="365"/>
    </row>
    <row r="1882" spans="1:14" ht="13">
      <c r="A1882" s="359"/>
      <c r="B1882" s="1824"/>
      <c r="C1882" s="1822"/>
      <c r="D1882" s="365"/>
      <c r="E1882" s="365"/>
      <c r="F1882" s="365"/>
      <c r="G1882" s="365"/>
      <c r="H1882" s="365"/>
      <c r="I1882" s="365"/>
      <c r="J1882" s="365"/>
      <c r="K1882" s="365"/>
      <c r="L1882" s="365"/>
      <c r="M1882" s="365"/>
      <c r="N1882" s="365"/>
    </row>
    <row r="1883" spans="1:14" ht="13">
      <c r="A1883" s="359"/>
      <c r="B1883" s="1824"/>
      <c r="C1883" s="1822"/>
      <c r="D1883" s="365"/>
      <c r="E1883" s="365"/>
      <c r="F1883" s="365"/>
      <c r="G1883" s="365"/>
      <c r="H1883" s="365"/>
      <c r="I1883" s="365"/>
      <c r="J1883" s="365"/>
      <c r="K1883" s="365"/>
      <c r="L1883" s="365"/>
      <c r="M1883" s="365"/>
      <c r="N1883" s="365"/>
    </row>
    <row r="1884" spans="1:14" ht="13">
      <c r="A1884" s="359"/>
      <c r="B1884" s="1824"/>
      <c r="C1884" s="1822"/>
      <c r="D1884" s="365"/>
      <c r="E1884" s="365"/>
      <c r="F1884" s="365"/>
      <c r="G1884" s="365"/>
      <c r="H1884" s="365"/>
      <c r="I1884" s="365"/>
      <c r="J1884" s="365"/>
      <c r="K1884" s="365"/>
      <c r="L1884" s="365"/>
      <c r="M1884" s="365"/>
      <c r="N1884" s="365"/>
    </row>
    <row r="1885" spans="1:14" ht="13">
      <c r="A1885" s="359"/>
      <c r="B1885" s="1824"/>
      <c r="C1885" s="1822"/>
      <c r="D1885" s="365"/>
      <c r="E1885" s="365"/>
      <c r="F1885" s="365"/>
      <c r="G1885" s="365"/>
      <c r="H1885" s="365"/>
      <c r="I1885" s="365"/>
      <c r="J1885" s="365"/>
      <c r="K1885" s="365"/>
      <c r="L1885" s="365"/>
      <c r="M1885" s="365"/>
      <c r="N1885" s="365"/>
    </row>
    <row r="1886" spans="1:14" ht="13">
      <c r="A1886" s="359"/>
      <c r="B1886" s="1824"/>
      <c r="C1886" s="1822"/>
      <c r="D1886" s="365"/>
      <c r="E1886" s="365"/>
      <c r="F1886" s="365"/>
      <c r="G1886" s="365"/>
      <c r="H1886" s="365"/>
      <c r="I1886" s="365"/>
      <c r="J1886" s="365"/>
      <c r="K1886" s="365"/>
      <c r="L1886" s="365"/>
      <c r="M1886" s="365"/>
      <c r="N1886" s="365"/>
    </row>
    <row r="1887" spans="1:14" ht="13">
      <c r="A1887" s="359"/>
      <c r="B1887" s="1824"/>
      <c r="C1887" s="1822"/>
      <c r="D1887" s="365"/>
      <c r="E1887" s="365"/>
      <c r="F1887" s="365"/>
      <c r="G1887" s="365"/>
      <c r="H1887" s="365"/>
      <c r="I1887" s="365"/>
      <c r="J1887" s="365"/>
      <c r="K1887" s="365"/>
      <c r="L1887" s="365"/>
      <c r="M1887" s="365"/>
      <c r="N1887" s="365"/>
    </row>
    <row r="1888" spans="1:14" ht="13">
      <c r="A1888" s="359"/>
      <c r="B1888" s="1824"/>
      <c r="C1888" s="1822"/>
      <c r="D1888" s="365"/>
      <c r="E1888" s="365"/>
      <c r="F1888" s="365"/>
      <c r="G1888" s="365"/>
      <c r="H1888" s="365"/>
      <c r="I1888" s="365"/>
      <c r="J1888" s="365"/>
      <c r="K1888" s="365"/>
      <c r="L1888" s="365"/>
      <c r="M1888" s="365"/>
      <c r="N1888" s="365"/>
    </row>
    <row r="1889" spans="1:14" ht="13">
      <c r="A1889" s="359"/>
      <c r="B1889" s="1824"/>
      <c r="C1889" s="1822"/>
      <c r="D1889" s="365"/>
      <c r="E1889" s="365"/>
      <c r="F1889" s="365"/>
      <c r="G1889" s="365"/>
      <c r="H1889" s="365"/>
      <c r="I1889" s="365"/>
      <c r="J1889" s="365"/>
      <c r="K1889" s="365"/>
      <c r="L1889" s="365"/>
      <c r="M1889" s="365"/>
      <c r="N1889" s="365"/>
    </row>
    <row r="1890" spans="1:14" ht="13">
      <c r="A1890" s="359"/>
      <c r="B1890" s="1824"/>
      <c r="C1890" s="1822"/>
      <c r="D1890" s="365"/>
      <c r="E1890" s="365"/>
      <c r="F1890" s="365"/>
      <c r="G1890" s="365"/>
      <c r="H1890" s="365"/>
      <c r="I1890" s="365"/>
      <c r="J1890" s="365"/>
      <c r="K1890" s="365"/>
      <c r="L1890" s="365"/>
      <c r="M1890" s="365"/>
      <c r="N1890" s="365"/>
    </row>
    <row r="1891" spans="1:14" ht="13">
      <c r="A1891" s="359"/>
      <c r="B1891" s="1824"/>
      <c r="C1891" s="1822"/>
      <c r="D1891" s="365"/>
      <c r="E1891" s="365"/>
      <c r="F1891" s="365"/>
      <c r="G1891" s="365"/>
      <c r="H1891" s="365"/>
      <c r="I1891" s="365"/>
      <c r="J1891" s="365"/>
      <c r="K1891" s="365"/>
      <c r="L1891" s="365"/>
      <c r="M1891" s="365"/>
      <c r="N1891" s="365"/>
    </row>
    <row r="1892" spans="1:14" ht="13">
      <c r="A1892" s="359"/>
      <c r="B1892" s="1824"/>
      <c r="C1892" s="1822"/>
      <c r="D1892" s="365"/>
      <c r="E1892" s="365"/>
      <c r="F1892" s="365"/>
      <c r="G1892" s="365"/>
      <c r="H1892" s="365"/>
      <c r="I1892" s="365"/>
      <c r="J1892" s="365"/>
      <c r="K1892" s="365"/>
      <c r="L1892" s="365"/>
      <c r="M1892" s="365"/>
      <c r="N1892" s="365"/>
    </row>
    <row r="1893" spans="1:14" ht="13">
      <c r="A1893" s="359"/>
      <c r="B1893" s="1824"/>
      <c r="C1893" s="1822"/>
      <c r="D1893" s="365"/>
      <c r="E1893" s="365"/>
      <c r="F1893" s="365"/>
      <c r="G1893" s="365"/>
      <c r="H1893" s="365"/>
      <c r="I1893" s="365"/>
      <c r="J1893" s="365"/>
      <c r="K1893" s="365"/>
      <c r="L1893" s="365"/>
      <c r="M1893" s="365"/>
      <c r="N1893" s="365"/>
    </row>
    <row r="1894" spans="1:14" ht="13">
      <c r="A1894" s="359"/>
      <c r="B1894" s="1824"/>
      <c r="C1894" s="1822"/>
      <c r="D1894" s="365"/>
      <c r="E1894" s="365"/>
      <c r="F1894" s="365"/>
      <c r="G1894" s="365"/>
      <c r="H1894" s="365"/>
      <c r="I1894" s="365"/>
      <c r="J1894" s="365"/>
      <c r="K1894" s="365"/>
      <c r="L1894" s="365"/>
      <c r="M1894" s="365"/>
      <c r="N1894" s="365"/>
    </row>
    <row r="1895" spans="1:14" ht="13">
      <c r="A1895" s="359"/>
      <c r="B1895" s="1824"/>
      <c r="C1895" s="1822"/>
      <c r="D1895" s="365"/>
      <c r="E1895" s="365"/>
      <c r="F1895" s="365"/>
      <c r="G1895" s="365"/>
      <c r="H1895" s="365"/>
      <c r="I1895" s="365"/>
      <c r="J1895" s="365"/>
      <c r="K1895" s="365"/>
      <c r="L1895" s="365"/>
      <c r="M1895" s="365"/>
      <c r="N1895" s="365"/>
    </row>
    <row r="1896" spans="1:14" ht="13">
      <c r="A1896" s="359"/>
      <c r="B1896" s="1824"/>
      <c r="C1896" s="1822"/>
      <c r="D1896" s="365"/>
      <c r="E1896" s="365"/>
      <c r="F1896" s="365"/>
      <c r="G1896" s="365"/>
      <c r="H1896" s="365"/>
      <c r="I1896" s="365"/>
      <c r="J1896" s="365"/>
      <c r="K1896" s="365"/>
      <c r="L1896" s="365"/>
      <c r="M1896" s="365"/>
      <c r="N1896" s="365"/>
    </row>
    <row r="1897" spans="1:14" ht="13">
      <c r="A1897" s="359"/>
      <c r="B1897" s="1824"/>
      <c r="C1897" s="1822"/>
      <c r="D1897" s="365"/>
      <c r="E1897" s="365"/>
      <c r="F1897" s="365"/>
      <c r="G1897" s="365"/>
      <c r="H1897" s="365"/>
      <c r="I1897" s="365"/>
      <c r="J1897" s="365"/>
      <c r="K1897" s="365"/>
      <c r="L1897" s="365"/>
      <c r="M1897" s="365"/>
      <c r="N1897" s="365"/>
    </row>
    <row r="1898" spans="1:14" ht="13">
      <c r="A1898" s="359"/>
      <c r="B1898" s="1824"/>
      <c r="C1898" s="1822"/>
      <c r="D1898" s="365"/>
      <c r="E1898" s="365"/>
      <c r="F1898" s="365"/>
      <c r="G1898" s="365"/>
      <c r="H1898" s="365"/>
      <c r="I1898" s="365"/>
      <c r="J1898" s="365"/>
      <c r="K1898" s="365"/>
      <c r="L1898" s="365"/>
      <c r="M1898" s="365"/>
      <c r="N1898" s="365"/>
    </row>
    <row r="1899" spans="1:14" ht="13">
      <c r="A1899" s="359"/>
      <c r="B1899" s="1824"/>
      <c r="C1899" s="1822"/>
      <c r="D1899" s="365"/>
      <c r="E1899" s="365"/>
      <c r="F1899" s="365"/>
      <c r="G1899" s="365"/>
      <c r="H1899" s="365"/>
      <c r="I1899" s="365"/>
      <c r="J1899" s="365"/>
      <c r="K1899" s="365"/>
      <c r="L1899" s="365"/>
      <c r="M1899" s="365"/>
      <c r="N1899" s="365"/>
    </row>
    <row r="1900" spans="1:14" ht="13">
      <c r="A1900" s="359"/>
      <c r="B1900" s="1824"/>
      <c r="C1900" s="1822"/>
      <c r="D1900" s="365"/>
      <c r="E1900" s="365"/>
      <c r="F1900" s="365"/>
      <c r="G1900" s="365"/>
      <c r="H1900" s="365"/>
      <c r="I1900" s="365"/>
      <c r="J1900" s="365"/>
      <c r="K1900" s="365"/>
      <c r="L1900" s="365"/>
      <c r="M1900" s="365"/>
      <c r="N1900" s="365"/>
    </row>
    <row r="1901" spans="1:14" ht="13">
      <c r="A1901" s="359"/>
      <c r="B1901" s="1824"/>
      <c r="C1901" s="1822"/>
      <c r="D1901" s="365"/>
      <c r="E1901" s="365"/>
      <c r="F1901" s="365"/>
      <c r="G1901" s="365"/>
      <c r="H1901" s="365"/>
      <c r="I1901" s="365"/>
      <c r="J1901" s="365"/>
      <c r="K1901" s="365"/>
      <c r="L1901" s="365"/>
      <c r="M1901" s="365"/>
      <c r="N1901" s="365"/>
    </row>
    <row r="1902" spans="1:14" ht="13">
      <c r="A1902" s="359"/>
      <c r="B1902" s="1824"/>
      <c r="C1902" s="1822"/>
      <c r="D1902" s="365"/>
      <c r="E1902" s="365"/>
      <c r="F1902" s="365"/>
      <c r="G1902" s="365"/>
      <c r="H1902" s="365"/>
      <c r="I1902" s="365"/>
      <c r="J1902" s="365"/>
      <c r="K1902" s="365"/>
      <c r="L1902" s="365"/>
      <c r="M1902" s="365"/>
      <c r="N1902" s="365"/>
    </row>
    <row r="1903" spans="1:14" ht="13">
      <c r="A1903" s="359"/>
      <c r="B1903" s="1824"/>
      <c r="C1903" s="1822"/>
      <c r="D1903" s="365"/>
      <c r="E1903" s="365"/>
      <c r="F1903" s="365"/>
      <c r="G1903" s="365"/>
      <c r="H1903" s="365"/>
      <c r="I1903" s="365"/>
      <c r="J1903" s="365"/>
      <c r="K1903" s="365"/>
      <c r="L1903" s="365"/>
      <c r="M1903" s="365"/>
      <c r="N1903" s="365"/>
    </row>
    <row r="1904" spans="1:14" ht="13">
      <c r="A1904" s="359"/>
      <c r="B1904" s="1824"/>
      <c r="C1904" s="1822"/>
      <c r="D1904" s="365"/>
      <c r="E1904" s="365"/>
      <c r="F1904" s="365"/>
      <c r="G1904" s="365"/>
      <c r="H1904" s="365"/>
      <c r="I1904" s="365"/>
      <c r="J1904" s="365"/>
      <c r="K1904" s="365"/>
      <c r="L1904" s="365"/>
      <c r="M1904" s="365"/>
      <c r="N1904" s="365"/>
    </row>
    <row r="1905" spans="1:14" ht="13">
      <c r="A1905" s="359"/>
      <c r="B1905" s="1824"/>
      <c r="C1905" s="1822"/>
      <c r="D1905" s="365"/>
      <c r="E1905" s="365"/>
      <c r="F1905" s="365"/>
      <c r="G1905" s="365"/>
      <c r="H1905" s="365"/>
      <c r="I1905" s="365"/>
      <c r="J1905" s="365"/>
      <c r="K1905" s="365"/>
      <c r="L1905" s="365"/>
      <c r="M1905" s="365"/>
      <c r="N1905" s="365"/>
    </row>
    <row r="1906" spans="1:14" ht="13">
      <c r="A1906" s="359"/>
      <c r="B1906" s="1824"/>
      <c r="C1906" s="1822"/>
      <c r="D1906" s="365"/>
      <c r="E1906" s="365"/>
      <c r="F1906" s="365"/>
      <c r="G1906" s="365"/>
      <c r="H1906" s="365"/>
      <c r="I1906" s="365"/>
      <c r="J1906" s="365"/>
      <c r="K1906" s="365"/>
      <c r="L1906" s="365"/>
      <c r="M1906" s="365"/>
      <c r="N1906" s="365"/>
    </row>
    <row r="1907" spans="1:14" ht="13">
      <c r="A1907" s="359"/>
      <c r="B1907" s="1824"/>
      <c r="C1907" s="1822"/>
      <c r="D1907" s="365"/>
      <c r="E1907" s="365"/>
      <c r="F1907" s="365"/>
      <c r="G1907" s="365"/>
      <c r="H1907" s="365"/>
      <c r="I1907" s="365"/>
      <c r="J1907" s="365"/>
      <c r="K1907" s="365"/>
      <c r="L1907" s="365"/>
      <c r="M1907" s="365"/>
      <c r="N1907" s="365"/>
    </row>
    <row r="1908" spans="1:14" ht="13">
      <c r="A1908" s="359"/>
      <c r="B1908" s="1824"/>
      <c r="C1908" s="1822"/>
      <c r="D1908" s="365"/>
      <c r="E1908" s="365"/>
      <c r="F1908" s="365"/>
      <c r="G1908" s="365"/>
      <c r="H1908" s="365"/>
      <c r="I1908" s="365"/>
      <c r="J1908" s="365"/>
      <c r="K1908" s="365"/>
      <c r="L1908" s="365"/>
      <c r="M1908" s="365"/>
      <c r="N1908" s="365"/>
    </row>
    <row r="1909" spans="1:14" ht="13">
      <c r="A1909" s="359"/>
      <c r="B1909" s="1824"/>
      <c r="C1909" s="1822"/>
      <c r="D1909" s="365"/>
      <c r="E1909" s="365"/>
      <c r="F1909" s="365"/>
      <c r="G1909" s="365"/>
      <c r="H1909" s="365"/>
      <c r="I1909" s="365"/>
      <c r="J1909" s="365"/>
      <c r="K1909" s="365"/>
      <c r="L1909" s="365"/>
      <c r="M1909" s="365"/>
      <c r="N1909" s="365"/>
    </row>
    <row r="1910" spans="1:14" ht="13">
      <c r="A1910" s="359"/>
      <c r="B1910" s="1824"/>
      <c r="C1910" s="1822"/>
      <c r="D1910" s="365"/>
      <c r="E1910" s="365"/>
      <c r="F1910" s="365"/>
      <c r="G1910" s="365"/>
      <c r="H1910" s="365"/>
      <c r="I1910" s="365"/>
      <c r="J1910" s="365"/>
      <c r="K1910" s="365"/>
      <c r="L1910" s="365"/>
      <c r="M1910" s="365"/>
      <c r="N1910" s="365"/>
    </row>
    <row r="1911" spans="1:14" ht="13">
      <c r="A1911" s="359"/>
      <c r="B1911" s="1824"/>
      <c r="C1911" s="1822"/>
      <c r="D1911" s="365"/>
      <c r="E1911" s="365"/>
      <c r="F1911" s="365"/>
      <c r="G1911" s="365"/>
      <c r="H1911" s="365"/>
      <c r="I1911" s="365"/>
      <c r="J1911" s="365"/>
      <c r="K1911" s="365"/>
      <c r="L1911" s="365"/>
      <c r="M1911" s="365"/>
      <c r="N1911" s="365"/>
    </row>
    <row r="1912" spans="1:14" ht="13">
      <c r="A1912" s="359"/>
      <c r="B1912" s="1824"/>
      <c r="C1912" s="1822"/>
      <c r="D1912" s="365"/>
      <c r="E1912" s="365"/>
      <c r="F1912" s="365"/>
      <c r="G1912" s="365"/>
      <c r="H1912" s="365"/>
      <c r="I1912" s="365"/>
      <c r="J1912" s="365"/>
      <c r="K1912" s="365"/>
      <c r="L1912" s="365"/>
      <c r="M1912" s="365"/>
      <c r="N1912" s="365"/>
    </row>
    <row r="1913" spans="1:14" ht="13">
      <c r="A1913" s="359"/>
      <c r="B1913" s="1824"/>
      <c r="C1913" s="1822"/>
      <c r="D1913" s="365"/>
      <c r="E1913" s="365"/>
      <c r="F1913" s="365"/>
      <c r="G1913" s="365"/>
      <c r="H1913" s="365"/>
      <c r="I1913" s="365"/>
      <c r="J1913" s="365"/>
      <c r="K1913" s="365"/>
      <c r="L1913" s="365"/>
      <c r="M1913" s="365"/>
      <c r="N1913" s="365"/>
    </row>
    <row r="1914" spans="1:14" ht="13">
      <c r="A1914" s="359"/>
      <c r="B1914" s="1824"/>
      <c r="C1914" s="1822"/>
      <c r="D1914" s="365"/>
      <c r="E1914" s="365"/>
      <c r="F1914" s="365"/>
      <c r="G1914" s="365"/>
      <c r="H1914" s="365"/>
      <c r="I1914" s="365"/>
      <c r="J1914" s="365"/>
      <c r="K1914" s="365"/>
      <c r="L1914" s="365"/>
      <c r="M1914" s="365"/>
      <c r="N1914" s="365"/>
    </row>
    <row r="1915" spans="1:14" ht="13">
      <c r="A1915" s="359"/>
      <c r="B1915" s="1824"/>
      <c r="C1915" s="1822"/>
      <c r="D1915" s="365"/>
      <c r="E1915" s="365"/>
      <c r="F1915" s="365"/>
      <c r="G1915" s="365"/>
      <c r="H1915" s="365"/>
      <c r="I1915" s="365"/>
      <c r="J1915" s="365"/>
      <c r="K1915" s="365"/>
      <c r="L1915" s="365"/>
      <c r="M1915" s="365"/>
      <c r="N1915" s="365"/>
    </row>
    <row r="1916" spans="1:14" ht="13">
      <c r="A1916" s="359"/>
      <c r="B1916" s="1824"/>
      <c r="C1916" s="1822"/>
      <c r="D1916" s="365"/>
      <c r="E1916" s="365"/>
      <c r="F1916" s="365"/>
      <c r="G1916" s="365"/>
      <c r="H1916" s="365"/>
      <c r="I1916" s="365"/>
      <c r="J1916" s="365"/>
      <c r="K1916" s="365"/>
      <c r="L1916" s="365"/>
      <c r="M1916" s="365"/>
      <c r="N1916" s="365"/>
    </row>
    <row r="1917" spans="1:14" ht="13">
      <c r="A1917" s="359"/>
      <c r="B1917" s="1824"/>
      <c r="C1917" s="1822"/>
      <c r="D1917" s="365"/>
      <c r="E1917" s="365"/>
      <c r="F1917" s="365"/>
      <c r="G1917" s="365"/>
      <c r="H1917" s="365"/>
      <c r="I1917" s="365"/>
      <c r="J1917" s="365"/>
      <c r="K1917" s="365"/>
      <c r="L1917" s="365"/>
      <c r="M1917" s="365"/>
      <c r="N1917" s="365"/>
    </row>
    <row r="1918" spans="1:14" ht="13">
      <c r="A1918" s="359"/>
      <c r="B1918" s="1824"/>
      <c r="C1918" s="1822"/>
      <c r="D1918" s="365"/>
      <c r="E1918" s="365"/>
      <c r="F1918" s="365"/>
      <c r="G1918" s="365"/>
      <c r="H1918" s="365"/>
      <c r="I1918" s="365"/>
      <c r="J1918" s="365"/>
      <c r="K1918" s="365"/>
      <c r="L1918" s="365"/>
      <c r="M1918" s="365"/>
      <c r="N1918" s="365"/>
    </row>
    <row r="1919" spans="1:14" ht="13">
      <c r="A1919" s="359"/>
      <c r="B1919" s="1824"/>
      <c r="C1919" s="1822"/>
      <c r="D1919" s="365"/>
      <c r="E1919" s="365"/>
      <c r="F1919" s="365"/>
      <c r="G1919" s="365"/>
      <c r="H1919" s="365"/>
      <c r="I1919" s="365"/>
      <c r="J1919" s="365"/>
      <c r="K1919" s="365"/>
      <c r="L1919" s="365"/>
      <c r="M1919" s="365"/>
      <c r="N1919" s="365"/>
    </row>
    <row r="1920" spans="1:14" ht="13">
      <c r="A1920" s="359"/>
      <c r="B1920" s="1824"/>
      <c r="C1920" s="1822"/>
      <c r="D1920" s="365"/>
      <c r="E1920" s="365"/>
      <c r="F1920" s="365"/>
      <c r="G1920" s="365"/>
      <c r="H1920" s="365"/>
      <c r="I1920" s="365"/>
      <c r="J1920" s="365"/>
      <c r="K1920" s="365"/>
      <c r="L1920" s="365"/>
      <c r="M1920" s="365"/>
      <c r="N1920" s="365"/>
    </row>
    <row r="1921" spans="1:14" ht="13">
      <c r="A1921" s="359"/>
      <c r="B1921" s="1824"/>
      <c r="C1921" s="1822"/>
      <c r="D1921" s="365"/>
      <c r="E1921" s="365"/>
      <c r="F1921" s="365"/>
      <c r="G1921" s="365"/>
      <c r="H1921" s="365"/>
      <c r="I1921" s="365"/>
      <c r="J1921" s="365"/>
      <c r="K1921" s="365"/>
      <c r="L1921" s="365"/>
      <c r="M1921" s="365"/>
      <c r="N1921" s="365"/>
    </row>
    <row r="1922" spans="1:14" ht="13">
      <c r="A1922" s="359"/>
      <c r="B1922" s="1824"/>
      <c r="C1922" s="1822"/>
      <c r="D1922" s="365"/>
      <c r="E1922" s="365"/>
      <c r="F1922" s="365"/>
      <c r="G1922" s="365"/>
      <c r="H1922" s="365"/>
      <c r="I1922" s="365"/>
      <c r="J1922" s="365"/>
      <c r="K1922" s="365"/>
      <c r="L1922" s="365"/>
      <c r="M1922" s="365"/>
      <c r="N1922" s="365"/>
    </row>
    <row r="1923" spans="1:14" ht="13">
      <c r="A1923" s="359"/>
      <c r="B1923" s="1824"/>
      <c r="C1923" s="1822"/>
      <c r="D1923" s="365"/>
      <c r="E1923" s="365"/>
      <c r="F1923" s="365"/>
      <c r="G1923" s="365"/>
      <c r="H1923" s="365"/>
      <c r="I1923" s="365"/>
      <c r="J1923" s="365"/>
      <c r="K1923" s="365"/>
      <c r="L1923" s="365"/>
      <c r="M1923" s="365"/>
      <c r="N1923" s="365"/>
    </row>
    <row r="1924" spans="1:14" ht="13">
      <c r="A1924" s="359"/>
      <c r="B1924" s="1824"/>
      <c r="C1924" s="1822"/>
      <c r="D1924" s="365"/>
      <c r="E1924" s="365"/>
      <c r="F1924" s="365"/>
      <c r="G1924" s="365"/>
      <c r="H1924" s="365"/>
      <c r="I1924" s="365"/>
      <c r="J1924" s="365"/>
      <c r="K1924" s="365"/>
      <c r="L1924" s="365"/>
      <c r="M1924" s="365"/>
      <c r="N1924" s="365"/>
    </row>
    <row r="1925" spans="1:14" ht="13">
      <c r="A1925" s="359"/>
      <c r="B1925" s="1824"/>
      <c r="C1925" s="1822"/>
      <c r="D1925" s="365"/>
      <c r="E1925" s="365"/>
      <c r="F1925" s="365"/>
      <c r="G1925" s="365"/>
      <c r="H1925" s="365"/>
      <c r="I1925" s="365"/>
      <c r="J1925" s="365"/>
      <c r="K1925" s="365"/>
      <c r="L1925" s="365"/>
      <c r="M1925" s="365"/>
      <c r="N1925" s="365"/>
    </row>
    <row r="1926" spans="1:14" ht="13">
      <c r="A1926" s="359"/>
      <c r="B1926" s="1824"/>
      <c r="C1926" s="1822"/>
      <c r="D1926" s="365"/>
      <c r="E1926" s="365"/>
      <c r="F1926" s="365"/>
      <c r="G1926" s="365"/>
      <c r="H1926" s="365"/>
      <c r="I1926" s="365"/>
      <c r="J1926" s="365"/>
      <c r="K1926" s="365"/>
      <c r="L1926" s="365"/>
      <c r="M1926" s="365"/>
      <c r="N1926" s="365"/>
    </row>
    <row r="1927" spans="1:14" ht="13">
      <c r="A1927" s="359"/>
      <c r="B1927" s="1824"/>
      <c r="C1927" s="1822"/>
      <c r="D1927" s="365"/>
      <c r="E1927" s="365"/>
      <c r="F1927" s="365"/>
      <c r="G1927" s="365"/>
      <c r="H1927" s="365"/>
      <c r="I1927" s="365"/>
      <c r="J1927" s="365"/>
      <c r="K1927" s="365"/>
      <c r="L1927" s="365"/>
      <c r="M1927" s="365"/>
      <c r="N1927" s="365"/>
    </row>
    <row r="1928" spans="1:14" ht="13">
      <c r="A1928" s="359"/>
      <c r="B1928" s="1824"/>
      <c r="C1928" s="1822"/>
      <c r="D1928" s="365"/>
      <c r="E1928" s="365"/>
      <c r="F1928" s="365"/>
      <c r="G1928" s="365"/>
      <c r="H1928" s="365"/>
      <c r="I1928" s="365"/>
      <c r="J1928" s="365"/>
      <c r="K1928" s="365"/>
      <c r="L1928" s="365"/>
      <c r="M1928" s="365"/>
      <c r="N1928" s="365"/>
    </row>
    <row r="1929" spans="1:14" ht="13">
      <c r="A1929" s="359"/>
      <c r="B1929" s="1824"/>
      <c r="C1929" s="1822"/>
      <c r="D1929" s="365"/>
      <c r="E1929" s="365"/>
      <c r="F1929" s="365"/>
      <c r="G1929" s="365"/>
      <c r="H1929" s="365"/>
      <c r="I1929" s="365"/>
      <c r="J1929" s="365"/>
      <c r="K1929" s="365"/>
      <c r="L1929" s="365"/>
      <c r="M1929" s="365"/>
      <c r="N1929" s="365"/>
    </row>
    <row r="1930" spans="1:14" ht="13">
      <c r="A1930" s="359"/>
      <c r="B1930" s="1824"/>
      <c r="C1930" s="1822"/>
      <c r="D1930" s="365"/>
      <c r="E1930" s="365"/>
      <c r="F1930" s="365"/>
      <c r="G1930" s="365"/>
      <c r="H1930" s="365"/>
      <c r="I1930" s="365"/>
      <c r="J1930" s="365"/>
      <c r="K1930" s="365"/>
      <c r="L1930" s="365"/>
      <c r="M1930" s="365"/>
      <c r="N1930" s="365"/>
    </row>
    <row r="1931" spans="1:14" ht="13">
      <c r="A1931" s="359"/>
      <c r="B1931" s="1824"/>
      <c r="C1931" s="1822"/>
      <c r="D1931" s="365"/>
      <c r="E1931" s="365"/>
      <c r="F1931" s="365"/>
      <c r="G1931" s="365"/>
      <c r="H1931" s="365"/>
      <c r="I1931" s="365"/>
      <c r="J1931" s="365"/>
      <c r="K1931" s="365"/>
      <c r="L1931" s="365"/>
      <c r="M1931" s="365"/>
      <c r="N1931" s="365"/>
    </row>
    <row r="1932" spans="1:14" ht="13">
      <c r="A1932" s="359"/>
      <c r="B1932" s="1824"/>
      <c r="C1932" s="1822"/>
      <c r="D1932" s="365"/>
      <c r="E1932" s="365"/>
      <c r="F1932" s="365"/>
      <c r="G1932" s="365"/>
      <c r="H1932" s="365"/>
      <c r="I1932" s="365"/>
      <c r="J1932" s="365"/>
      <c r="K1932" s="365"/>
      <c r="L1932" s="365"/>
      <c r="M1932" s="365"/>
      <c r="N1932" s="365"/>
    </row>
    <row r="1933" spans="1:14" ht="13">
      <c r="A1933" s="359"/>
      <c r="B1933" s="1824"/>
      <c r="C1933" s="1822"/>
      <c r="D1933" s="365"/>
      <c r="E1933" s="365"/>
      <c r="F1933" s="365"/>
      <c r="G1933" s="365"/>
      <c r="H1933" s="365"/>
      <c r="I1933" s="365"/>
      <c r="J1933" s="365"/>
      <c r="K1933" s="365"/>
      <c r="L1933" s="365"/>
      <c r="M1933" s="365"/>
      <c r="N1933" s="365"/>
    </row>
    <row r="1934" spans="1:14" ht="13">
      <c r="A1934" s="359"/>
      <c r="B1934" s="1824"/>
      <c r="C1934" s="1822"/>
      <c r="D1934" s="365"/>
      <c r="E1934" s="365"/>
      <c r="F1934" s="365"/>
      <c r="G1934" s="365"/>
      <c r="H1934" s="365"/>
      <c r="I1934" s="365"/>
      <c r="J1934" s="365"/>
      <c r="K1934" s="365"/>
      <c r="L1934" s="365"/>
      <c r="M1934" s="365"/>
      <c r="N1934" s="365"/>
    </row>
    <row r="1935" spans="1:14" ht="13">
      <c r="A1935" s="359"/>
      <c r="B1935" s="1824"/>
      <c r="C1935" s="1822"/>
      <c r="D1935" s="365"/>
      <c r="E1935" s="365"/>
      <c r="F1935" s="365"/>
      <c r="G1935" s="365"/>
      <c r="H1935" s="365"/>
      <c r="I1935" s="365"/>
      <c r="J1935" s="365"/>
      <c r="K1935" s="365"/>
      <c r="L1935" s="365"/>
      <c r="M1935" s="365"/>
      <c r="N1935" s="365"/>
    </row>
    <row r="1936" spans="1:14" ht="13">
      <c r="A1936" s="359"/>
      <c r="B1936" s="1824"/>
      <c r="C1936" s="1822"/>
      <c r="D1936" s="365"/>
      <c r="E1936" s="365"/>
      <c r="F1936" s="365"/>
      <c r="G1936" s="365"/>
      <c r="H1936" s="365"/>
      <c r="I1936" s="365"/>
      <c r="J1936" s="365"/>
      <c r="K1936" s="365"/>
      <c r="L1936" s="365"/>
      <c r="M1936" s="365"/>
      <c r="N1936" s="365"/>
    </row>
    <row r="1937" spans="1:14" ht="13">
      <c r="A1937" s="359"/>
      <c r="B1937" s="1824"/>
      <c r="C1937" s="1822"/>
      <c r="D1937" s="365"/>
      <c r="E1937" s="365"/>
      <c r="F1937" s="365"/>
      <c r="G1937" s="365"/>
      <c r="H1937" s="365"/>
      <c r="I1937" s="365"/>
      <c r="J1937" s="365"/>
      <c r="K1937" s="365"/>
      <c r="L1937" s="365"/>
      <c r="M1937" s="365"/>
      <c r="N1937" s="365"/>
    </row>
    <row r="1938" spans="1:14" ht="13">
      <c r="A1938" s="359"/>
      <c r="B1938" s="1824"/>
      <c r="C1938" s="1822"/>
      <c r="D1938" s="365"/>
      <c r="E1938" s="365"/>
      <c r="F1938" s="365"/>
      <c r="G1938" s="365"/>
      <c r="H1938" s="365"/>
      <c r="I1938" s="365"/>
      <c r="J1938" s="365"/>
      <c r="K1938" s="365"/>
      <c r="L1938" s="365"/>
      <c r="M1938" s="365"/>
      <c r="N1938" s="365"/>
    </row>
    <row r="1939" spans="1:14" ht="13">
      <c r="A1939" s="359"/>
      <c r="B1939" s="1824"/>
      <c r="C1939" s="1822"/>
      <c r="D1939" s="365"/>
      <c r="E1939" s="365"/>
      <c r="F1939" s="365"/>
      <c r="G1939" s="365"/>
      <c r="H1939" s="365"/>
      <c r="I1939" s="365"/>
      <c r="J1939" s="365"/>
      <c r="K1939" s="365"/>
      <c r="L1939" s="365"/>
      <c r="M1939" s="365"/>
      <c r="N1939" s="365"/>
    </row>
    <row r="1940" spans="1:14" ht="13">
      <c r="A1940" s="359"/>
      <c r="B1940" s="1824"/>
      <c r="C1940" s="1822"/>
      <c r="D1940" s="365"/>
      <c r="E1940" s="365"/>
      <c r="F1940" s="365"/>
      <c r="G1940" s="365"/>
      <c r="H1940" s="365"/>
      <c r="I1940" s="365"/>
      <c r="J1940" s="365"/>
      <c r="K1940" s="365"/>
      <c r="L1940" s="365"/>
      <c r="M1940" s="365"/>
      <c r="N1940" s="365"/>
    </row>
    <row r="1941" spans="1:14" ht="13">
      <c r="A1941" s="359"/>
      <c r="B1941" s="1824"/>
      <c r="C1941" s="1822"/>
      <c r="D1941" s="365"/>
      <c r="E1941" s="365"/>
      <c r="F1941" s="365"/>
      <c r="G1941" s="365"/>
      <c r="H1941" s="365"/>
      <c r="I1941" s="365"/>
      <c r="J1941" s="365"/>
      <c r="K1941" s="365"/>
      <c r="L1941" s="365"/>
      <c r="M1941" s="365"/>
      <c r="N1941" s="365"/>
    </row>
    <row r="1942" spans="1:14" ht="13">
      <c r="A1942" s="359"/>
      <c r="B1942" s="1824"/>
      <c r="C1942" s="1822"/>
      <c r="D1942" s="365"/>
      <c r="E1942" s="365"/>
      <c r="F1942" s="365"/>
      <c r="G1942" s="365"/>
      <c r="H1942" s="365"/>
      <c r="I1942" s="365"/>
      <c r="J1942" s="365"/>
      <c r="K1942" s="365"/>
      <c r="L1942" s="365"/>
      <c r="M1942" s="365"/>
      <c r="N1942" s="365"/>
    </row>
    <row r="1943" spans="1:14" ht="13">
      <c r="A1943" s="359"/>
      <c r="B1943" s="1824"/>
      <c r="C1943" s="1822"/>
      <c r="D1943" s="365"/>
      <c r="E1943" s="365"/>
      <c r="F1943" s="365"/>
      <c r="G1943" s="365"/>
      <c r="H1943" s="365"/>
      <c r="I1943" s="365"/>
      <c r="J1943" s="365"/>
      <c r="K1943" s="365"/>
      <c r="L1943" s="365"/>
      <c r="M1943" s="365"/>
      <c r="N1943" s="365"/>
    </row>
    <row r="1944" spans="1:14" ht="13">
      <c r="A1944" s="359"/>
      <c r="B1944" s="1824"/>
      <c r="C1944" s="1822"/>
      <c r="D1944" s="365"/>
      <c r="E1944" s="365"/>
      <c r="F1944" s="365"/>
      <c r="G1944" s="365"/>
      <c r="H1944" s="365"/>
      <c r="I1944" s="365"/>
      <c r="J1944" s="365"/>
      <c r="K1944" s="365"/>
      <c r="L1944" s="365"/>
      <c r="M1944" s="365"/>
      <c r="N1944" s="365"/>
    </row>
    <row r="1945" spans="1:14" ht="13">
      <c r="A1945" s="359"/>
      <c r="B1945" s="1824"/>
      <c r="C1945" s="1822"/>
      <c r="D1945" s="365"/>
      <c r="E1945" s="365"/>
      <c r="F1945" s="365"/>
      <c r="G1945" s="365"/>
      <c r="H1945" s="365"/>
      <c r="I1945" s="365"/>
      <c r="J1945" s="365"/>
      <c r="K1945" s="365"/>
      <c r="L1945" s="365"/>
      <c r="M1945" s="365"/>
      <c r="N1945" s="365"/>
    </row>
    <row r="1946" spans="1:14" ht="13">
      <c r="A1946" s="359"/>
      <c r="B1946" s="1824"/>
      <c r="C1946" s="1822"/>
      <c r="D1946" s="365"/>
      <c r="E1946" s="365"/>
      <c r="F1946" s="365"/>
      <c r="G1946" s="365"/>
      <c r="H1946" s="365"/>
      <c r="I1946" s="365"/>
      <c r="J1946" s="365"/>
      <c r="K1946" s="365"/>
      <c r="L1946" s="365"/>
      <c r="M1946" s="365"/>
      <c r="N1946" s="365"/>
    </row>
    <row r="1947" spans="1:14" ht="13">
      <c r="A1947" s="359"/>
      <c r="B1947" s="1824"/>
      <c r="C1947" s="1822"/>
      <c r="D1947" s="365"/>
      <c r="E1947" s="365"/>
      <c r="F1947" s="365"/>
      <c r="G1947" s="365"/>
      <c r="H1947" s="365"/>
      <c r="I1947" s="365"/>
      <c r="J1947" s="365"/>
      <c r="K1947" s="365"/>
      <c r="L1947" s="365"/>
      <c r="M1947" s="365"/>
      <c r="N1947" s="365"/>
    </row>
    <row r="1948" spans="1:14" ht="13">
      <c r="A1948" s="359"/>
      <c r="B1948" s="1824"/>
      <c r="C1948" s="1822"/>
      <c r="D1948" s="365"/>
      <c r="E1948" s="365"/>
      <c r="F1948" s="365"/>
      <c r="G1948" s="365"/>
      <c r="H1948" s="365"/>
      <c r="I1948" s="365"/>
      <c r="J1948" s="365"/>
      <c r="K1948" s="365"/>
      <c r="L1948" s="365"/>
      <c r="M1948" s="365"/>
      <c r="N1948" s="365"/>
    </row>
    <row r="1949" spans="1:14" ht="13">
      <c r="A1949" s="359"/>
      <c r="B1949" s="1824"/>
      <c r="C1949" s="1822"/>
      <c r="D1949" s="365"/>
      <c r="E1949" s="365"/>
      <c r="F1949" s="365"/>
      <c r="G1949" s="365"/>
      <c r="H1949" s="365"/>
      <c r="I1949" s="365"/>
      <c r="J1949" s="365"/>
      <c r="K1949" s="365"/>
      <c r="L1949" s="365"/>
      <c r="M1949" s="365"/>
      <c r="N1949" s="365"/>
    </row>
    <row r="1950" spans="1:14" ht="13">
      <c r="A1950" s="359"/>
      <c r="B1950" s="1824"/>
      <c r="C1950" s="1822"/>
      <c r="D1950" s="365"/>
      <c r="E1950" s="365"/>
      <c r="F1950" s="365"/>
      <c r="G1950" s="365"/>
      <c r="H1950" s="365"/>
      <c r="I1950" s="365"/>
      <c r="J1950" s="365"/>
      <c r="K1950" s="365"/>
      <c r="L1950" s="365"/>
      <c r="M1950" s="365"/>
      <c r="N1950" s="365"/>
    </row>
    <row r="1951" spans="1:14" ht="13">
      <c r="A1951" s="359"/>
      <c r="B1951" s="1824"/>
      <c r="C1951" s="1822"/>
      <c r="D1951" s="365"/>
      <c r="E1951" s="365"/>
      <c r="F1951" s="365"/>
      <c r="G1951" s="365"/>
      <c r="H1951" s="365"/>
      <c r="I1951" s="365"/>
      <c r="J1951" s="365"/>
      <c r="K1951" s="365"/>
      <c r="L1951" s="365"/>
      <c r="M1951" s="365"/>
      <c r="N1951" s="365"/>
    </row>
    <row r="1952" spans="1:14" ht="13">
      <c r="A1952" s="359"/>
      <c r="B1952" s="1824"/>
      <c r="C1952" s="1822"/>
      <c r="D1952" s="365"/>
      <c r="E1952" s="365"/>
      <c r="F1952" s="365"/>
      <c r="G1952" s="365"/>
      <c r="H1952" s="365"/>
      <c r="I1952" s="365"/>
      <c r="J1952" s="365"/>
      <c r="K1952" s="365"/>
      <c r="L1952" s="365"/>
      <c r="M1952" s="365"/>
      <c r="N1952" s="365"/>
    </row>
    <row r="1953" spans="1:14" ht="13">
      <c r="A1953" s="359"/>
      <c r="B1953" s="1824"/>
      <c r="C1953" s="1822"/>
      <c r="D1953" s="365"/>
      <c r="E1953" s="365"/>
      <c r="F1953" s="365"/>
      <c r="G1953" s="365"/>
      <c r="H1953" s="365"/>
      <c r="I1953" s="365"/>
      <c r="J1953" s="365"/>
      <c r="K1953" s="365"/>
      <c r="L1953" s="365"/>
      <c r="M1953" s="365"/>
      <c r="N1953" s="365"/>
    </row>
    <row r="1954" spans="1:14" ht="13">
      <c r="A1954" s="359"/>
      <c r="B1954" s="1824"/>
      <c r="C1954" s="1822"/>
      <c r="D1954" s="365"/>
      <c r="E1954" s="365"/>
      <c r="F1954" s="365"/>
      <c r="G1954" s="365"/>
      <c r="H1954" s="365"/>
      <c r="I1954" s="365"/>
      <c r="J1954" s="365"/>
      <c r="K1954" s="365"/>
      <c r="L1954" s="365"/>
      <c r="M1954" s="365"/>
      <c r="N1954" s="365"/>
    </row>
    <row r="1955" spans="1:14" ht="13">
      <c r="A1955" s="359"/>
      <c r="B1955" s="1824"/>
      <c r="C1955" s="1822"/>
      <c r="D1955" s="365"/>
      <c r="E1955" s="365"/>
      <c r="F1955" s="365"/>
      <c r="G1955" s="365"/>
      <c r="H1955" s="365"/>
      <c r="I1955" s="365"/>
      <c r="J1955" s="365"/>
      <c r="K1955" s="365"/>
      <c r="L1955" s="365"/>
      <c r="M1955" s="365"/>
      <c r="N1955" s="365"/>
    </row>
    <row r="1956" spans="1:14" ht="13">
      <c r="A1956" s="359"/>
      <c r="B1956" s="1824"/>
      <c r="C1956" s="1822"/>
      <c r="D1956" s="365"/>
      <c r="E1956" s="365"/>
      <c r="F1956" s="365"/>
      <c r="G1956" s="365"/>
      <c r="H1956" s="365"/>
      <c r="I1956" s="365"/>
      <c r="J1956" s="365"/>
      <c r="K1956" s="365"/>
      <c r="L1956" s="365"/>
      <c r="M1956" s="365"/>
      <c r="N1956" s="365"/>
    </row>
    <row r="1957" spans="1:14" ht="13">
      <c r="A1957" s="359"/>
      <c r="B1957" s="1824"/>
      <c r="C1957" s="1822"/>
      <c r="D1957" s="365"/>
      <c r="E1957" s="365"/>
      <c r="F1957" s="365"/>
      <c r="G1957" s="365"/>
      <c r="H1957" s="365"/>
      <c r="I1957" s="365"/>
      <c r="J1957" s="365"/>
      <c r="K1957" s="365"/>
      <c r="L1957" s="365"/>
      <c r="M1957" s="365"/>
      <c r="N1957" s="365"/>
    </row>
    <row r="1958" spans="1:14" ht="13">
      <c r="A1958" s="359"/>
      <c r="B1958" s="1824"/>
      <c r="C1958" s="1822"/>
      <c r="D1958" s="365"/>
      <c r="E1958" s="365"/>
      <c r="F1958" s="365"/>
      <c r="G1958" s="365"/>
      <c r="H1958" s="365"/>
      <c r="I1958" s="365"/>
      <c r="J1958" s="365"/>
      <c r="K1958" s="365"/>
      <c r="L1958" s="365"/>
      <c r="M1958" s="365"/>
      <c r="N1958" s="365"/>
    </row>
    <row r="1959" spans="1:14" ht="13">
      <c r="A1959" s="359"/>
      <c r="B1959" s="1824"/>
      <c r="C1959" s="1822"/>
      <c r="D1959" s="365"/>
      <c r="E1959" s="365"/>
      <c r="F1959" s="365"/>
      <c r="G1959" s="365"/>
      <c r="H1959" s="365"/>
      <c r="I1959" s="365"/>
      <c r="J1959" s="365"/>
      <c r="K1959" s="365"/>
      <c r="L1959" s="365"/>
      <c r="M1959" s="365"/>
      <c r="N1959" s="365"/>
    </row>
    <row r="1960" spans="1:14" ht="13">
      <c r="A1960" s="359"/>
      <c r="B1960" s="1824"/>
      <c r="C1960" s="1822"/>
      <c r="D1960" s="365"/>
      <c r="E1960" s="365"/>
      <c r="F1960" s="365"/>
      <c r="G1960" s="365"/>
      <c r="H1960" s="365"/>
      <c r="I1960" s="365"/>
      <c r="J1960" s="365"/>
      <c r="K1960" s="365"/>
      <c r="L1960" s="365"/>
      <c r="M1960" s="365"/>
      <c r="N1960" s="365"/>
    </row>
    <row r="1961" spans="1:14" ht="13">
      <c r="A1961" s="359"/>
      <c r="B1961" s="1824"/>
      <c r="C1961" s="1822"/>
      <c r="D1961" s="365"/>
      <c r="E1961" s="365"/>
      <c r="F1961" s="365"/>
      <c r="G1961" s="365"/>
      <c r="H1961" s="365"/>
      <c r="I1961" s="365"/>
      <c r="J1961" s="365"/>
      <c r="K1961" s="365"/>
      <c r="L1961" s="365"/>
      <c r="M1961" s="365"/>
      <c r="N1961" s="365"/>
    </row>
    <row r="1962" spans="1:14" ht="13">
      <c r="A1962" s="359"/>
      <c r="B1962" s="1824"/>
      <c r="C1962" s="1822"/>
      <c r="D1962" s="365"/>
      <c r="E1962" s="365"/>
      <c r="F1962" s="365"/>
      <c r="G1962" s="365"/>
      <c r="H1962" s="365"/>
      <c r="I1962" s="365"/>
      <c r="J1962" s="365"/>
      <c r="K1962" s="365"/>
      <c r="L1962" s="365"/>
      <c r="M1962" s="365"/>
      <c r="N1962" s="365"/>
    </row>
    <row r="1963" spans="1:14" ht="13">
      <c r="A1963" s="359"/>
      <c r="B1963" s="1824"/>
      <c r="C1963" s="1822"/>
      <c r="D1963" s="365"/>
      <c r="E1963" s="365"/>
      <c r="F1963" s="365"/>
      <c r="G1963" s="365"/>
      <c r="H1963" s="365"/>
      <c r="I1963" s="365"/>
      <c r="J1963" s="365"/>
      <c r="K1963" s="365"/>
      <c r="L1963" s="365"/>
      <c r="M1963" s="365"/>
      <c r="N1963" s="365"/>
    </row>
    <row r="1964" spans="1:14" ht="13">
      <c r="A1964" s="359"/>
      <c r="B1964" s="1824"/>
      <c r="C1964" s="1822"/>
      <c r="D1964" s="365"/>
      <c r="E1964" s="365"/>
      <c r="F1964" s="365"/>
      <c r="G1964" s="365"/>
      <c r="H1964" s="365"/>
      <c r="I1964" s="365"/>
      <c r="J1964" s="365"/>
      <c r="K1964" s="365"/>
      <c r="L1964" s="365"/>
      <c r="M1964" s="365"/>
      <c r="N1964" s="365"/>
    </row>
    <row r="1965" spans="1:14" ht="13">
      <c r="A1965" s="359"/>
      <c r="B1965" s="1824"/>
      <c r="C1965" s="1822"/>
      <c r="D1965" s="365"/>
      <c r="E1965" s="365"/>
      <c r="F1965" s="365"/>
      <c r="G1965" s="365"/>
      <c r="H1965" s="365"/>
      <c r="I1965" s="365"/>
      <c r="J1965" s="365"/>
      <c r="K1965" s="365"/>
      <c r="L1965" s="365"/>
      <c r="M1965" s="365"/>
      <c r="N1965" s="365"/>
    </row>
    <row r="1966" spans="1:14" ht="13">
      <c r="A1966" s="359"/>
      <c r="B1966" s="1824"/>
      <c r="C1966" s="1822"/>
      <c r="D1966" s="365"/>
      <c r="E1966" s="365"/>
      <c r="F1966" s="365"/>
      <c r="G1966" s="365"/>
      <c r="H1966" s="365"/>
      <c r="I1966" s="365"/>
      <c r="J1966" s="365"/>
      <c r="K1966" s="365"/>
      <c r="L1966" s="365"/>
      <c r="M1966" s="365"/>
      <c r="N1966" s="365"/>
    </row>
    <row r="1967" spans="1:14" ht="13">
      <c r="A1967" s="359"/>
      <c r="B1967" s="1824"/>
      <c r="C1967" s="1822"/>
      <c r="D1967" s="365"/>
      <c r="E1967" s="365"/>
      <c r="F1967" s="365"/>
      <c r="G1967" s="365"/>
      <c r="H1967" s="365"/>
      <c r="I1967" s="365"/>
      <c r="J1967" s="365"/>
      <c r="K1967" s="365"/>
      <c r="L1967" s="365"/>
      <c r="M1967" s="365"/>
      <c r="N1967" s="365"/>
    </row>
    <row r="1968" spans="1:14" ht="13">
      <c r="A1968" s="359"/>
      <c r="B1968" s="1824"/>
      <c r="C1968" s="1822"/>
      <c r="D1968" s="365"/>
      <c r="E1968" s="365"/>
      <c r="F1968" s="365"/>
      <c r="G1968" s="365"/>
      <c r="H1968" s="365"/>
      <c r="I1968" s="365"/>
      <c r="J1968" s="365"/>
      <c r="K1968" s="365"/>
      <c r="L1968" s="365"/>
      <c r="M1968" s="365"/>
      <c r="N1968" s="365"/>
    </row>
    <row r="1969" spans="1:14" ht="13">
      <c r="A1969" s="359"/>
      <c r="B1969" s="1824"/>
      <c r="C1969" s="1822"/>
      <c r="D1969" s="365"/>
      <c r="E1969" s="365"/>
      <c r="F1969" s="365"/>
      <c r="G1969" s="365"/>
      <c r="H1969" s="365"/>
      <c r="I1969" s="365"/>
      <c r="J1969" s="365"/>
      <c r="K1969" s="365"/>
      <c r="L1969" s="365"/>
      <c r="M1969" s="365"/>
      <c r="N1969" s="365"/>
    </row>
    <row r="1970" spans="1:14" ht="13">
      <c r="A1970" s="359"/>
      <c r="B1970" s="1824"/>
      <c r="C1970" s="1822"/>
      <c r="D1970" s="365"/>
      <c r="E1970" s="365"/>
      <c r="F1970" s="365"/>
      <c r="G1970" s="365"/>
      <c r="H1970" s="365"/>
      <c r="I1970" s="365"/>
      <c r="J1970" s="365"/>
      <c r="K1970" s="365"/>
      <c r="L1970" s="365"/>
      <c r="M1970" s="365"/>
      <c r="N1970" s="365"/>
    </row>
    <row r="1971" spans="1:14" ht="13">
      <c r="A1971" s="359"/>
      <c r="B1971" s="1824"/>
      <c r="C1971" s="1822"/>
      <c r="D1971" s="365"/>
      <c r="E1971" s="365"/>
      <c r="F1971" s="365"/>
      <c r="G1971" s="365"/>
      <c r="H1971" s="365"/>
      <c r="I1971" s="365"/>
      <c r="J1971" s="365"/>
      <c r="K1971" s="365"/>
      <c r="L1971" s="365"/>
      <c r="M1971" s="365"/>
      <c r="N1971" s="365"/>
    </row>
    <row r="1972" spans="1:14" ht="13">
      <c r="A1972" s="359"/>
      <c r="B1972" s="1824"/>
      <c r="C1972" s="1822"/>
      <c r="D1972" s="365"/>
      <c r="E1972" s="365"/>
      <c r="F1972" s="365"/>
      <c r="G1972" s="365"/>
      <c r="H1972" s="365"/>
      <c r="I1972" s="365"/>
      <c r="J1972" s="365"/>
      <c r="K1972" s="365"/>
      <c r="L1972" s="365"/>
      <c r="M1972" s="365"/>
      <c r="N1972" s="365"/>
    </row>
    <row r="1973" spans="1:14" ht="13">
      <c r="A1973" s="359"/>
      <c r="B1973" s="1824"/>
      <c r="C1973" s="1822"/>
      <c r="D1973" s="365"/>
      <c r="E1973" s="365"/>
      <c r="F1973" s="365"/>
      <c r="G1973" s="365"/>
      <c r="H1973" s="365"/>
      <c r="I1973" s="365"/>
      <c r="J1973" s="365"/>
      <c r="K1973" s="365"/>
      <c r="L1973" s="365"/>
      <c r="M1973" s="365"/>
      <c r="N1973" s="365"/>
    </row>
    <row r="1974" spans="1:14" ht="13">
      <c r="A1974" s="359"/>
      <c r="B1974" s="1824"/>
      <c r="C1974" s="1822"/>
      <c r="D1974" s="365"/>
      <c r="E1974" s="365"/>
      <c r="F1974" s="365"/>
      <c r="G1974" s="365"/>
      <c r="H1974" s="365"/>
      <c r="I1974" s="365"/>
      <c r="J1974" s="365"/>
      <c r="K1974" s="365"/>
      <c r="L1974" s="365"/>
      <c r="M1974" s="365"/>
      <c r="N1974" s="365"/>
    </row>
    <row r="1975" spans="1:14" ht="13">
      <c r="A1975" s="359"/>
      <c r="B1975" s="1824"/>
      <c r="C1975" s="1822"/>
      <c r="D1975" s="365"/>
      <c r="E1975" s="365"/>
      <c r="F1975" s="365"/>
      <c r="G1975" s="365"/>
      <c r="H1975" s="365"/>
      <c r="I1975" s="365"/>
      <c r="J1975" s="365"/>
      <c r="K1975" s="365"/>
      <c r="L1975" s="365"/>
      <c r="M1975" s="365"/>
      <c r="N1975" s="365"/>
    </row>
    <row r="1976" spans="1:14" ht="13">
      <c r="A1976" s="359"/>
      <c r="B1976" s="1824"/>
      <c r="C1976" s="1822"/>
      <c r="D1976" s="365"/>
      <c r="E1976" s="365"/>
      <c r="F1976" s="365"/>
      <c r="G1976" s="365"/>
      <c r="H1976" s="365"/>
      <c r="I1976" s="365"/>
      <c r="J1976" s="365"/>
      <c r="K1976" s="365"/>
      <c r="L1976" s="365"/>
      <c r="M1976" s="365"/>
      <c r="N1976" s="365"/>
    </row>
    <row r="1977" spans="1:14" ht="13">
      <c r="A1977" s="359"/>
      <c r="B1977" s="1824"/>
      <c r="C1977" s="1822"/>
      <c r="D1977" s="365"/>
      <c r="E1977" s="365"/>
      <c r="F1977" s="365"/>
      <c r="G1977" s="365"/>
      <c r="H1977" s="365"/>
      <c r="I1977" s="365"/>
      <c r="J1977" s="365"/>
      <c r="K1977" s="365"/>
      <c r="L1977" s="365"/>
      <c r="M1977" s="365"/>
      <c r="N1977" s="365"/>
    </row>
    <row r="1978" spans="1:14" ht="13">
      <c r="A1978" s="359"/>
      <c r="B1978" s="1824"/>
      <c r="C1978" s="1822"/>
      <c r="D1978" s="365"/>
      <c r="E1978" s="365"/>
      <c r="F1978" s="365"/>
      <c r="G1978" s="365"/>
      <c r="H1978" s="365"/>
      <c r="I1978" s="365"/>
      <c r="J1978" s="365"/>
      <c r="K1978" s="365"/>
      <c r="L1978" s="365"/>
      <c r="M1978" s="365"/>
      <c r="N1978" s="365"/>
    </row>
    <row r="1979" spans="1:14" ht="13">
      <c r="A1979" s="359"/>
      <c r="B1979" s="1824"/>
      <c r="C1979" s="1822"/>
      <c r="D1979" s="365"/>
      <c r="E1979" s="365"/>
      <c r="F1979" s="365"/>
      <c r="G1979" s="365"/>
      <c r="H1979" s="365"/>
      <c r="I1979" s="365"/>
      <c r="J1979" s="365"/>
      <c r="K1979" s="365"/>
      <c r="L1979" s="365"/>
      <c r="M1979" s="365"/>
      <c r="N1979" s="365"/>
    </row>
    <row r="1980" spans="1:14" ht="13">
      <c r="A1980" s="359"/>
      <c r="B1980" s="1824"/>
      <c r="C1980" s="1822"/>
      <c r="D1980" s="365"/>
      <c r="E1980" s="365"/>
      <c r="F1980" s="365"/>
      <c r="G1980" s="365"/>
      <c r="H1980" s="365"/>
      <c r="I1980" s="365"/>
      <c r="J1980" s="365"/>
      <c r="K1980" s="365"/>
      <c r="L1980" s="365"/>
      <c r="M1980" s="365"/>
      <c r="N1980" s="365"/>
    </row>
    <row r="1981" spans="1:14" ht="13">
      <c r="A1981" s="359"/>
      <c r="B1981" s="1824"/>
      <c r="C1981" s="1822"/>
      <c r="D1981" s="365"/>
      <c r="E1981" s="365"/>
      <c r="F1981" s="365"/>
      <c r="G1981" s="365"/>
      <c r="H1981" s="365"/>
      <c r="I1981" s="365"/>
      <c r="J1981" s="365"/>
      <c r="K1981" s="365"/>
      <c r="L1981" s="365"/>
      <c r="M1981" s="365"/>
      <c r="N1981" s="365"/>
    </row>
    <row r="1982" spans="1:14" ht="13">
      <c r="A1982" s="359"/>
      <c r="B1982" s="1824"/>
      <c r="C1982" s="1822"/>
      <c r="D1982" s="365"/>
      <c r="E1982" s="365"/>
      <c r="F1982" s="365"/>
      <c r="G1982" s="365"/>
      <c r="H1982" s="365"/>
      <c r="I1982" s="365"/>
      <c r="J1982" s="365"/>
      <c r="K1982" s="365"/>
      <c r="L1982" s="365"/>
      <c r="M1982" s="365"/>
      <c r="N1982" s="365"/>
    </row>
    <row r="1983" spans="1:14" ht="13">
      <c r="A1983" s="359"/>
      <c r="B1983" s="1824"/>
      <c r="C1983" s="1822"/>
      <c r="D1983" s="365"/>
      <c r="E1983" s="365"/>
      <c r="F1983" s="365"/>
      <c r="G1983" s="365"/>
      <c r="H1983" s="365"/>
      <c r="I1983" s="365"/>
      <c r="J1983" s="365"/>
      <c r="K1983" s="365"/>
      <c r="L1983" s="365"/>
      <c r="M1983" s="365"/>
      <c r="N1983" s="365"/>
    </row>
    <row r="1984" spans="1:14" ht="13">
      <c r="A1984" s="359"/>
      <c r="B1984" s="1824"/>
      <c r="C1984" s="1822"/>
      <c r="D1984" s="365"/>
      <c r="E1984" s="365"/>
      <c r="F1984" s="365"/>
      <c r="G1984" s="365"/>
      <c r="H1984" s="365"/>
      <c r="I1984" s="365"/>
      <c r="J1984" s="365"/>
      <c r="K1984" s="365"/>
      <c r="L1984" s="365"/>
      <c r="M1984" s="365"/>
      <c r="N1984" s="365"/>
    </row>
    <row r="1985" spans="1:14" ht="13">
      <c r="A1985" s="359"/>
      <c r="B1985" s="1824"/>
      <c r="C1985" s="1822"/>
      <c r="D1985" s="365"/>
      <c r="E1985" s="365"/>
      <c r="F1985" s="365"/>
      <c r="G1985" s="365"/>
      <c r="H1985" s="365"/>
      <c r="I1985" s="365"/>
      <c r="J1985" s="365"/>
      <c r="K1985" s="365"/>
      <c r="L1985" s="365"/>
      <c r="M1985" s="365"/>
      <c r="N1985" s="365"/>
    </row>
    <row r="1986" spans="1:14" ht="13">
      <c r="A1986" s="359"/>
      <c r="B1986" s="1824"/>
      <c r="C1986" s="1822"/>
      <c r="D1986" s="365"/>
      <c r="E1986" s="365"/>
      <c r="F1986" s="365"/>
      <c r="G1986" s="365"/>
      <c r="H1986" s="365"/>
      <c r="I1986" s="365"/>
      <c r="J1986" s="365"/>
      <c r="K1986" s="365"/>
      <c r="L1986" s="365"/>
      <c r="M1986" s="365"/>
      <c r="N1986" s="365"/>
    </row>
    <row r="1987" spans="1:14" ht="13">
      <c r="A1987" s="359"/>
      <c r="B1987" s="1824"/>
      <c r="C1987" s="1822"/>
      <c r="D1987" s="365"/>
      <c r="E1987" s="365"/>
      <c r="F1987" s="365"/>
      <c r="G1987" s="365"/>
      <c r="H1987" s="365"/>
      <c r="I1987" s="365"/>
      <c r="J1987" s="365"/>
      <c r="K1987" s="365"/>
      <c r="L1987" s="365"/>
      <c r="M1987" s="365"/>
      <c r="N1987" s="365"/>
    </row>
    <row r="1988" spans="1:14" ht="13">
      <c r="A1988" s="359"/>
      <c r="B1988" s="1824"/>
      <c r="C1988" s="1822"/>
      <c r="D1988" s="365"/>
      <c r="E1988" s="365"/>
      <c r="F1988" s="365"/>
      <c r="G1988" s="365"/>
      <c r="H1988" s="365"/>
      <c r="I1988" s="365"/>
      <c r="J1988" s="365"/>
      <c r="K1988" s="365"/>
      <c r="L1988" s="365"/>
      <c r="M1988" s="365"/>
      <c r="N1988" s="365"/>
    </row>
    <row r="1989" spans="1:14" ht="13">
      <c r="A1989" s="359"/>
      <c r="B1989" s="1824"/>
      <c r="C1989" s="1822"/>
      <c r="D1989" s="365"/>
      <c r="E1989" s="365"/>
      <c r="F1989" s="365"/>
      <c r="G1989" s="365"/>
      <c r="H1989" s="365"/>
      <c r="I1989" s="365"/>
      <c r="J1989" s="365"/>
      <c r="K1989" s="365"/>
      <c r="L1989" s="365"/>
      <c r="M1989" s="365"/>
      <c r="N1989" s="365"/>
    </row>
    <row r="1990" spans="1:14" ht="13">
      <c r="A1990" s="359"/>
      <c r="B1990" s="1824"/>
      <c r="C1990" s="1822"/>
      <c r="D1990" s="365"/>
      <c r="E1990" s="365"/>
      <c r="F1990" s="365"/>
      <c r="G1990" s="365"/>
      <c r="H1990" s="365"/>
      <c r="I1990" s="365"/>
      <c r="J1990" s="365"/>
      <c r="K1990" s="365"/>
      <c r="L1990" s="365"/>
      <c r="M1990" s="365"/>
      <c r="N1990" s="365"/>
    </row>
    <row r="1991" spans="1:14" ht="13">
      <c r="A1991" s="359"/>
      <c r="B1991" s="1824"/>
      <c r="C1991" s="1822"/>
      <c r="D1991" s="365"/>
      <c r="E1991" s="365"/>
      <c r="F1991" s="365"/>
      <c r="G1991" s="365"/>
      <c r="H1991" s="365"/>
      <c r="I1991" s="365"/>
      <c r="J1991" s="365"/>
      <c r="K1991" s="365"/>
      <c r="L1991" s="365"/>
      <c r="M1991" s="365"/>
      <c r="N1991" s="365"/>
    </row>
    <row r="1992" spans="1:14" ht="13">
      <c r="A1992" s="359"/>
      <c r="B1992" s="1824"/>
      <c r="C1992" s="1822"/>
      <c r="D1992" s="365"/>
      <c r="E1992" s="365"/>
      <c r="F1992" s="365"/>
      <c r="G1992" s="365"/>
      <c r="H1992" s="365"/>
      <c r="I1992" s="365"/>
      <c r="J1992" s="365"/>
      <c r="K1992" s="365"/>
      <c r="L1992" s="365"/>
      <c r="M1992" s="365"/>
      <c r="N1992" s="365"/>
    </row>
    <row r="1993" spans="1:14" ht="13">
      <c r="A1993" s="359"/>
      <c r="B1993" s="1824"/>
      <c r="C1993" s="1822"/>
      <c r="D1993" s="365"/>
      <c r="E1993" s="365"/>
      <c r="F1993" s="365"/>
      <c r="G1993" s="365"/>
      <c r="H1993" s="365"/>
      <c r="I1993" s="365"/>
      <c r="J1993" s="365"/>
      <c r="K1993" s="365"/>
      <c r="L1993" s="365"/>
      <c r="M1993" s="365"/>
      <c r="N1993" s="365"/>
    </row>
    <row r="1994" spans="1:14" ht="13">
      <c r="A1994" s="359"/>
      <c r="B1994" s="1824"/>
      <c r="C1994" s="1822"/>
      <c r="D1994" s="365"/>
      <c r="E1994" s="365"/>
      <c r="F1994" s="365"/>
      <c r="G1994" s="365"/>
      <c r="H1994" s="365"/>
      <c r="I1994" s="365"/>
      <c r="J1994" s="365"/>
      <c r="K1994" s="365"/>
      <c r="L1994" s="365"/>
      <c r="M1994" s="365"/>
      <c r="N1994" s="365"/>
    </row>
    <row r="1995" spans="1:14" ht="13">
      <c r="A1995" s="359"/>
      <c r="B1995" s="1824"/>
      <c r="C1995" s="1822"/>
      <c r="D1995" s="365"/>
      <c r="E1995" s="365"/>
      <c r="F1995" s="365"/>
      <c r="G1995" s="365"/>
      <c r="H1995" s="365"/>
      <c r="I1995" s="365"/>
      <c r="J1995" s="365"/>
      <c r="K1995" s="365"/>
      <c r="L1995" s="365"/>
      <c r="M1995" s="365"/>
      <c r="N1995" s="365"/>
    </row>
    <row r="1996" spans="1:14" ht="13">
      <c r="A1996" s="359"/>
      <c r="B1996" s="1824"/>
      <c r="C1996" s="1822"/>
      <c r="D1996" s="365"/>
      <c r="E1996" s="365"/>
      <c r="F1996" s="365"/>
      <c r="G1996" s="365"/>
      <c r="H1996" s="365"/>
      <c r="I1996" s="365"/>
      <c r="J1996" s="365"/>
      <c r="K1996" s="365"/>
      <c r="L1996" s="365"/>
      <c r="M1996" s="365"/>
      <c r="N1996" s="365"/>
    </row>
    <row r="1997" spans="1:14" ht="13">
      <c r="A1997" s="359"/>
      <c r="B1997" s="1824"/>
      <c r="C1997" s="1822"/>
      <c r="D1997" s="365"/>
      <c r="E1997" s="365"/>
      <c r="F1997" s="365"/>
      <c r="G1997" s="365"/>
      <c r="H1997" s="365"/>
      <c r="I1997" s="365"/>
      <c r="J1997" s="365"/>
      <c r="K1997" s="365"/>
      <c r="L1997" s="365"/>
      <c r="M1997" s="365"/>
      <c r="N1997" s="365"/>
    </row>
    <row r="1998" spans="1:14" ht="13">
      <c r="A1998" s="359"/>
      <c r="B1998" s="1824"/>
      <c r="C1998" s="1822"/>
      <c r="D1998" s="365"/>
      <c r="E1998" s="365"/>
      <c r="F1998" s="365"/>
      <c r="G1998" s="365"/>
      <c r="H1998" s="365"/>
      <c r="I1998" s="365"/>
      <c r="J1998" s="365"/>
      <c r="K1998" s="365"/>
      <c r="L1998" s="365"/>
      <c r="M1998" s="365"/>
      <c r="N1998" s="365"/>
    </row>
    <row r="1999" spans="1:14" ht="13">
      <c r="A1999" s="359"/>
      <c r="B1999" s="1824"/>
      <c r="C1999" s="1822"/>
      <c r="D1999" s="365"/>
      <c r="E1999" s="365"/>
      <c r="F1999" s="365"/>
      <c r="G1999" s="365"/>
      <c r="H1999" s="365"/>
      <c r="I1999" s="365"/>
      <c r="J1999" s="365"/>
      <c r="K1999" s="365"/>
      <c r="L1999" s="365"/>
      <c r="M1999" s="365"/>
      <c r="N1999" s="365"/>
    </row>
    <row r="2000" spans="1:14" ht="13">
      <c r="A2000" s="359"/>
      <c r="B2000" s="1824"/>
      <c r="C2000" s="1822"/>
      <c r="D2000" s="365"/>
      <c r="E2000" s="365"/>
      <c r="F2000" s="365"/>
      <c r="G2000" s="365"/>
      <c r="H2000" s="365"/>
      <c r="I2000" s="365"/>
      <c r="J2000" s="365"/>
      <c r="K2000" s="365"/>
      <c r="L2000" s="365"/>
      <c r="M2000" s="365"/>
      <c r="N2000" s="365"/>
    </row>
    <row r="2001" spans="1:14" ht="13">
      <c r="A2001" s="359"/>
      <c r="B2001" s="1824"/>
      <c r="C2001" s="1822"/>
      <c r="D2001" s="365"/>
      <c r="E2001" s="365"/>
      <c r="F2001" s="365"/>
      <c r="G2001" s="365"/>
      <c r="H2001" s="365"/>
      <c r="I2001" s="365"/>
      <c r="J2001" s="365"/>
      <c r="K2001" s="365"/>
      <c r="L2001" s="365"/>
      <c r="M2001" s="365"/>
      <c r="N2001" s="365"/>
    </row>
    <row r="2002" spans="1:14" ht="13">
      <c r="A2002" s="359"/>
      <c r="B2002" s="1824"/>
      <c r="C2002" s="1822"/>
      <c r="D2002" s="365"/>
      <c r="E2002" s="365"/>
      <c r="F2002" s="365"/>
      <c r="G2002" s="365"/>
      <c r="H2002" s="365"/>
      <c r="I2002" s="365"/>
      <c r="J2002" s="365"/>
      <c r="K2002" s="365"/>
      <c r="L2002" s="365"/>
      <c r="M2002" s="365"/>
      <c r="N2002" s="365"/>
    </row>
    <row r="2003" spans="1:14" ht="13">
      <c r="A2003" s="359"/>
      <c r="B2003" s="1824"/>
      <c r="C2003" s="1822"/>
      <c r="D2003" s="365"/>
      <c r="E2003" s="365"/>
      <c r="F2003" s="365"/>
      <c r="G2003" s="365"/>
      <c r="H2003" s="365"/>
      <c r="I2003" s="365"/>
      <c r="J2003" s="365"/>
      <c r="K2003" s="365"/>
      <c r="L2003" s="365"/>
      <c r="M2003" s="365"/>
      <c r="N2003" s="365"/>
    </row>
    <row r="2004" spans="1:14" ht="13">
      <c r="A2004" s="359"/>
      <c r="B2004" s="1824"/>
      <c r="C2004" s="1822"/>
      <c r="D2004" s="365"/>
      <c r="E2004" s="365"/>
      <c r="F2004" s="365"/>
      <c r="G2004" s="365"/>
      <c r="H2004" s="365"/>
      <c r="I2004" s="365"/>
      <c r="J2004" s="365"/>
      <c r="K2004" s="365"/>
      <c r="L2004" s="365"/>
      <c r="M2004" s="365"/>
      <c r="N2004" s="365"/>
    </row>
    <row r="2005" spans="1:14" ht="13">
      <c r="A2005" s="359"/>
      <c r="B2005" s="1824"/>
      <c r="C2005" s="1822"/>
      <c r="D2005" s="365"/>
      <c r="E2005" s="365"/>
      <c r="F2005" s="365"/>
      <c r="G2005" s="365"/>
      <c r="H2005" s="365"/>
      <c r="I2005" s="365"/>
      <c r="J2005" s="365"/>
      <c r="K2005" s="365"/>
      <c r="L2005" s="365"/>
      <c r="M2005" s="365"/>
      <c r="N2005" s="365"/>
    </row>
    <row r="2006" spans="1:14" ht="13">
      <c r="A2006" s="359"/>
      <c r="B2006" s="1824"/>
      <c r="C2006" s="1822"/>
      <c r="D2006" s="365"/>
      <c r="E2006" s="365"/>
      <c r="F2006" s="365"/>
      <c r="G2006" s="365"/>
      <c r="H2006" s="365"/>
      <c r="I2006" s="365"/>
      <c r="J2006" s="365"/>
      <c r="K2006" s="365"/>
      <c r="L2006" s="365"/>
      <c r="M2006" s="365"/>
      <c r="N2006" s="365"/>
    </row>
    <row r="2007" spans="1:14" ht="13">
      <c r="A2007" s="359"/>
      <c r="B2007" s="1824"/>
      <c r="C2007" s="1822"/>
      <c r="D2007" s="365"/>
      <c r="E2007" s="365"/>
      <c r="F2007" s="365"/>
      <c r="G2007" s="365"/>
      <c r="H2007" s="365"/>
      <c r="I2007" s="365"/>
      <c r="J2007" s="365"/>
      <c r="K2007" s="365"/>
      <c r="L2007" s="365"/>
      <c r="M2007" s="365"/>
      <c r="N2007" s="365"/>
    </row>
    <row r="2008" spans="1:14" ht="13">
      <c r="A2008" s="359"/>
      <c r="B2008" s="1824"/>
      <c r="C2008" s="1822"/>
      <c r="D2008" s="365"/>
      <c r="E2008" s="365"/>
      <c r="F2008" s="365"/>
      <c r="G2008" s="365"/>
      <c r="H2008" s="365"/>
      <c r="I2008" s="365"/>
      <c r="J2008" s="365"/>
      <c r="K2008" s="365"/>
      <c r="L2008" s="365"/>
      <c r="M2008" s="365"/>
      <c r="N2008" s="365"/>
    </row>
    <row r="2009" spans="1:14" ht="13">
      <c r="A2009" s="359"/>
      <c r="B2009" s="1824"/>
      <c r="C2009" s="1822"/>
      <c r="D2009" s="365"/>
      <c r="E2009" s="365"/>
      <c r="F2009" s="365"/>
      <c r="G2009" s="365"/>
      <c r="H2009" s="365"/>
      <c r="I2009" s="365"/>
      <c r="J2009" s="365"/>
      <c r="K2009" s="365"/>
      <c r="L2009" s="365"/>
      <c r="M2009" s="365"/>
      <c r="N2009" s="365"/>
    </row>
    <row r="2010" spans="1:14" ht="13">
      <c r="A2010" s="359"/>
      <c r="B2010" s="1824"/>
      <c r="C2010" s="1822"/>
      <c r="D2010" s="365"/>
      <c r="E2010" s="365"/>
      <c r="F2010" s="365"/>
      <c r="G2010" s="365"/>
      <c r="H2010" s="365"/>
      <c r="I2010" s="365"/>
      <c r="J2010" s="365"/>
      <c r="K2010" s="365"/>
      <c r="L2010" s="365"/>
      <c r="M2010" s="365"/>
      <c r="N2010" s="365"/>
    </row>
    <row r="2011" spans="1:14" ht="13">
      <c r="A2011" s="359"/>
      <c r="B2011" s="1824"/>
      <c r="C2011" s="1822"/>
      <c r="D2011" s="365"/>
      <c r="E2011" s="365"/>
      <c r="F2011" s="365"/>
      <c r="G2011" s="365"/>
      <c r="H2011" s="365"/>
      <c r="I2011" s="365"/>
      <c r="J2011" s="365"/>
      <c r="K2011" s="365"/>
      <c r="L2011" s="365"/>
      <c r="M2011" s="365"/>
      <c r="N2011" s="365"/>
    </row>
    <row r="2012" spans="1:14" ht="13">
      <c r="A2012" s="359"/>
      <c r="B2012" s="1824"/>
      <c r="C2012" s="1822"/>
      <c r="D2012" s="365"/>
      <c r="E2012" s="365"/>
      <c r="F2012" s="365"/>
      <c r="G2012" s="365"/>
      <c r="H2012" s="365"/>
      <c r="I2012" s="365"/>
      <c r="J2012" s="365"/>
      <c r="K2012" s="365"/>
      <c r="L2012" s="365"/>
      <c r="M2012" s="365"/>
      <c r="N2012" s="365"/>
    </row>
    <row r="2013" spans="1:14" ht="13">
      <c r="A2013" s="359"/>
      <c r="B2013" s="1824"/>
      <c r="C2013" s="1822"/>
      <c r="D2013" s="365"/>
      <c r="E2013" s="365"/>
      <c r="F2013" s="365"/>
      <c r="G2013" s="365"/>
      <c r="H2013" s="365"/>
      <c r="I2013" s="365"/>
      <c r="J2013" s="365"/>
      <c r="K2013" s="365"/>
      <c r="L2013" s="365"/>
      <c r="M2013" s="365"/>
      <c r="N2013" s="365"/>
    </row>
    <row r="2014" spans="1:14" ht="13">
      <c r="A2014" s="359"/>
      <c r="B2014" s="1824"/>
      <c r="C2014" s="1822"/>
      <c r="D2014" s="365"/>
      <c r="E2014" s="365"/>
      <c r="F2014" s="365"/>
      <c r="G2014" s="365"/>
      <c r="H2014" s="365"/>
      <c r="I2014" s="365"/>
      <c r="J2014" s="365"/>
      <c r="K2014" s="365"/>
      <c r="L2014" s="365"/>
      <c r="M2014" s="365"/>
      <c r="N2014" s="365"/>
    </row>
    <row r="2015" spans="1:14" ht="13">
      <c r="A2015" s="359"/>
      <c r="B2015" s="1824"/>
      <c r="C2015" s="1822"/>
      <c r="D2015" s="365"/>
      <c r="E2015" s="365"/>
      <c r="F2015" s="365"/>
      <c r="G2015" s="365"/>
      <c r="H2015" s="365"/>
      <c r="I2015" s="365"/>
      <c r="J2015" s="365"/>
      <c r="K2015" s="365"/>
      <c r="L2015" s="365"/>
      <c r="M2015" s="365"/>
      <c r="N2015" s="365"/>
    </row>
    <row r="2016" spans="1:14" ht="13">
      <c r="A2016" s="359"/>
      <c r="B2016" s="1824"/>
      <c r="C2016" s="1822"/>
      <c r="D2016" s="365"/>
      <c r="E2016" s="365"/>
      <c r="F2016" s="365"/>
      <c r="G2016" s="365"/>
      <c r="H2016" s="365"/>
      <c r="I2016" s="365"/>
      <c r="J2016" s="365"/>
      <c r="K2016" s="365"/>
      <c r="L2016" s="365"/>
      <c r="M2016" s="365"/>
      <c r="N2016" s="365"/>
    </row>
    <row r="2017" spans="1:14" ht="13">
      <c r="A2017" s="359"/>
      <c r="B2017" s="1824"/>
      <c r="C2017" s="1822"/>
      <c r="D2017" s="365"/>
      <c r="E2017" s="365"/>
      <c r="F2017" s="365"/>
      <c r="G2017" s="365"/>
      <c r="H2017" s="365"/>
      <c r="I2017" s="365"/>
      <c r="J2017" s="365"/>
      <c r="K2017" s="365"/>
      <c r="L2017" s="365"/>
      <c r="M2017" s="365"/>
      <c r="N2017" s="365"/>
    </row>
    <row r="2018" spans="1:14" ht="13">
      <c r="A2018" s="359"/>
      <c r="B2018" s="1824"/>
      <c r="C2018" s="1822"/>
      <c r="D2018" s="365"/>
      <c r="E2018" s="365"/>
      <c r="F2018" s="365"/>
      <c r="G2018" s="365"/>
      <c r="H2018" s="365"/>
      <c r="I2018" s="365"/>
      <c r="J2018" s="365"/>
      <c r="K2018" s="365"/>
      <c r="L2018" s="365"/>
      <c r="M2018" s="365"/>
      <c r="N2018" s="365"/>
    </row>
    <row r="2019" spans="1:14" ht="13">
      <c r="A2019" s="359"/>
      <c r="B2019" s="1824"/>
      <c r="C2019" s="1822"/>
      <c r="D2019" s="365"/>
      <c r="E2019" s="365"/>
      <c r="F2019" s="365"/>
      <c r="G2019" s="365"/>
      <c r="H2019" s="365"/>
      <c r="I2019" s="365"/>
      <c r="J2019" s="365"/>
      <c r="K2019" s="365"/>
      <c r="L2019" s="365"/>
      <c r="M2019" s="365"/>
      <c r="N2019" s="365"/>
    </row>
    <row r="2020" spans="1:14" ht="13">
      <c r="A2020" s="359"/>
      <c r="B2020" s="1824"/>
      <c r="C2020" s="1822"/>
      <c r="D2020" s="365"/>
      <c r="E2020" s="365"/>
      <c r="F2020" s="365"/>
      <c r="G2020" s="365"/>
      <c r="H2020" s="365"/>
      <c r="I2020" s="365"/>
      <c r="J2020" s="365"/>
      <c r="K2020" s="365"/>
      <c r="L2020" s="365"/>
      <c r="M2020" s="365"/>
      <c r="N2020" s="365"/>
    </row>
    <row r="2021" spans="1:14" ht="13">
      <c r="A2021" s="359"/>
      <c r="B2021" s="1824"/>
      <c r="C2021" s="1822"/>
      <c r="D2021" s="365"/>
      <c r="E2021" s="365"/>
      <c r="F2021" s="365"/>
      <c r="G2021" s="365"/>
      <c r="H2021" s="365"/>
      <c r="I2021" s="365"/>
      <c r="J2021" s="365"/>
      <c r="K2021" s="365"/>
      <c r="L2021" s="365"/>
      <c r="M2021" s="365"/>
      <c r="N2021" s="365"/>
    </row>
    <row r="2022" spans="1:14" ht="13">
      <c r="A2022" s="359"/>
      <c r="B2022" s="1824"/>
      <c r="C2022" s="1822"/>
      <c r="D2022" s="365"/>
      <c r="E2022" s="365"/>
      <c r="F2022" s="365"/>
      <c r="G2022" s="365"/>
      <c r="H2022" s="365"/>
      <c r="I2022" s="365"/>
      <c r="J2022" s="365"/>
      <c r="K2022" s="365"/>
      <c r="L2022" s="365"/>
      <c r="M2022" s="365"/>
      <c r="N2022" s="365"/>
    </row>
    <row r="2023" spans="1:14" ht="13">
      <c r="A2023" s="359"/>
      <c r="B2023" s="1824"/>
      <c r="C2023" s="1822"/>
      <c r="D2023" s="365"/>
      <c r="E2023" s="365"/>
      <c r="F2023" s="365"/>
      <c r="G2023" s="365"/>
      <c r="H2023" s="365"/>
      <c r="I2023" s="365"/>
      <c r="J2023" s="365"/>
      <c r="K2023" s="365"/>
      <c r="L2023" s="365"/>
      <c r="M2023" s="365"/>
      <c r="N2023" s="365"/>
    </row>
    <row r="2024" spans="1:14" ht="13">
      <c r="A2024" s="359"/>
      <c r="B2024" s="1824"/>
      <c r="C2024" s="1822"/>
      <c r="D2024" s="365"/>
      <c r="E2024" s="365"/>
      <c r="F2024" s="365"/>
      <c r="G2024" s="365"/>
      <c r="H2024" s="365"/>
      <c r="I2024" s="365"/>
      <c r="J2024" s="365"/>
      <c r="K2024" s="365"/>
      <c r="L2024" s="365"/>
      <c r="M2024" s="365"/>
      <c r="N2024" s="365"/>
    </row>
    <row r="2025" spans="1:14" ht="13">
      <c r="A2025" s="359"/>
      <c r="B2025" s="1824"/>
      <c r="C2025" s="1822"/>
      <c r="D2025" s="365"/>
      <c r="E2025" s="365"/>
      <c r="F2025" s="365"/>
      <c r="G2025" s="365"/>
      <c r="H2025" s="365"/>
      <c r="I2025" s="365"/>
      <c r="J2025" s="365"/>
      <c r="K2025" s="365"/>
      <c r="L2025" s="365"/>
      <c r="M2025" s="365"/>
      <c r="N2025" s="365"/>
    </row>
    <row r="2026" spans="1:14" ht="13">
      <c r="A2026" s="359"/>
      <c r="B2026" s="1824"/>
      <c r="C2026" s="1822"/>
      <c r="D2026" s="365"/>
      <c r="E2026" s="365"/>
      <c r="F2026" s="365"/>
      <c r="G2026" s="365"/>
      <c r="H2026" s="365"/>
      <c r="I2026" s="365"/>
      <c r="J2026" s="365"/>
      <c r="K2026" s="365"/>
      <c r="L2026" s="365"/>
      <c r="M2026" s="365"/>
      <c r="N2026" s="365"/>
    </row>
    <row r="2027" spans="1:14" ht="13">
      <c r="A2027" s="359"/>
      <c r="B2027" s="1824"/>
      <c r="C2027" s="1822"/>
      <c r="D2027" s="365"/>
      <c r="E2027" s="365"/>
      <c r="F2027" s="365"/>
      <c r="G2027" s="365"/>
      <c r="H2027" s="365"/>
      <c r="I2027" s="365"/>
      <c r="J2027" s="365"/>
      <c r="K2027" s="365"/>
      <c r="L2027" s="365"/>
      <c r="M2027" s="365"/>
      <c r="N2027" s="365"/>
    </row>
    <row r="2028" spans="1:14" ht="13">
      <c r="A2028" s="359"/>
      <c r="B2028" s="1824"/>
      <c r="C2028" s="1822"/>
      <c r="D2028" s="365"/>
      <c r="E2028" s="365"/>
      <c r="F2028" s="365"/>
      <c r="G2028" s="365"/>
      <c r="H2028" s="365"/>
      <c r="I2028" s="365"/>
      <c r="J2028" s="365"/>
      <c r="K2028" s="365"/>
      <c r="L2028" s="365"/>
      <c r="M2028" s="365"/>
      <c r="N2028" s="365"/>
    </row>
    <row r="2029" spans="1:14" ht="13">
      <c r="A2029" s="359"/>
      <c r="B2029" s="1824"/>
      <c r="C2029" s="1822"/>
      <c r="D2029" s="365"/>
      <c r="E2029" s="365"/>
      <c r="F2029" s="365"/>
      <c r="G2029" s="365"/>
      <c r="H2029" s="365"/>
      <c r="I2029" s="365"/>
      <c r="J2029" s="365"/>
      <c r="K2029" s="365"/>
      <c r="L2029" s="365"/>
      <c r="M2029" s="365"/>
      <c r="N2029" s="365"/>
    </row>
    <row r="2030" spans="1:14" ht="13">
      <c r="A2030" s="359"/>
      <c r="B2030" s="1824"/>
      <c r="C2030" s="1822"/>
      <c r="D2030" s="365"/>
      <c r="E2030" s="365"/>
      <c r="F2030" s="365"/>
      <c r="G2030" s="365"/>
      <c r="H2030" s="365"/>
      <c r="I2030" s="365"/>
      <c r="J2030" s="365"/>
      <c r="K2030" s="365"/>
      <c r="L2030" s="365"/>
      <c r="M2030" s="365"/>
      <c r="N2030" s="365"/>
    </row>
    <row r="2031" spans="1:14" ht="13">
      <c r="A2031" s="359"/>
      <c r="B2031" s="1824"/>
      <c r="C2031" s="1822"/>
      <c r="D2031" s="365"/>
      <c r="E2031" s="365"/>
      <c r="F2031" s="365"/>
      <c r="G2031" s="365"/>
      <c r="H2031" s="365"/>
      <c r="I2031" s="365"/>
      <c r="J2031" s="365"/>
      <c r="K2031" s="365"/>
      <c r="L2031" s="365"/>
      <c r="M2031" s="365"/>
      <c r="N2031" s="365"/>
    </row>
    <row r="2032" spans="1:14" ht="13">
      <c r="A2032" s="359"/>
      <c r="B2032" s="1824"/>
      <c r="C2032" s="1822"/>
      <c r="D2032" s="365"/>
      <c r="E2032" s="365"/>
      <c r="F2032" s="365"/>
      <c r="G2032" s="365"/>
      <c r="H2032" s="365"/>
      <c r="I2032" s="365"/>
      <c r="J2032" s="365"/>
      <c r="K2032" s="365"/>
      <c r="L2032" s="365"/>
      <c r="M2032" s="365"/>
      <c r="N2032" s="365"/>
    </row>
    <row r="2033" spans="1:14" ht="13">
      <c r="A2033" s="359"/>
      <c r="B2033" s="1824"/>
      <c r="C2033" s="1822"/>
      <c r="D2033" s="365"/>
      <c r="E2033" s="365"/>
      <c r="F2033" s="365"/>
      <c r="G2033" s="365"/>
      <c r="H2033" s="365"/>
      <c r="I2033" s="365"/>
      <c r="J2033" s="365"/>
      <c r="K2033" s="365"/>
      <c r="L2033" s="365"/>
      <c r="M2033" s="365"/>
      <c r="N2033" s="365"/>
    </row>
    <row r="2034" spans="1:14" ht="13">
      <c r="A2034" s="359"/>
      <c r="B2034" s="1824"/>
      <c r="C2034" s="1822"/>
      <c r="D2034" s="365"/>
      <c r="E2034" s="365"/>
      <c r="F2034" s="365"/>
      <c r="G2034" s="365"/>
      <c r="H2034" s="365"/>
      <c r="I2034" s="365"/>
      <c r="J2034" s="365"/>
      <c r="K2034" s="365"/>
      <c r="L2034" s="365"/>
      <c r="M2034" s="365"/>
      <c r="N2034" s="365"/>
    </row>
    <row r="2035" spans="1:14" ht="13">
      <c r="A2035" s="359"/>
      <c r="B2035" s="1824"/>
      <c r="C2035" s="1822"/>
      <c r="D2035" s="365"/>
      <c r="E2035" s="365"/>
      <c r="F2035" s="365"/>
      <c r="G2035" s="365"/>
      <c r="H2035" s="365"/>
      <c r="I2035" s="365"/>
      <c r="J2035" s="365"/>
      <c r="K2035" s="365"/>
      <c r="L2035" s="365"/>
      <c r="M2035" s="365"/>
      <c r="N2035" s="365"/>
    </row>
    <row r="2036" spans="1:14" ht="13">
      <c r="A2036" s="359"/>
      <c r="B2036" s="1824"/>
      <c r="C2036" s="1822"/>
      <c r="D2036" s="365"/>
      <c r="E2036" s="365"/>
      <c r="F2036" s="365"/>
      <c r="G2036" s="365"/>
      <c r="H2036" s="365"/>
      <c r="I2036" s="365"/>
      <c r="J2036" s="365"/>
      <c r="K2036" s="365"/>
      <c r="L2036" s="365"/>
      <c r="M2036" s="365"/>
      <c r="N2036" s="365"/>
    </row>
    <row r="2037" spans="1:14" ht="13">
      <c r="A2037" s="359"/>
      <c r="B2037" s="1824"/>
      <c r="C2037" s="1822"/>
      <c r="D2037" s="365"/>
      <c r="E2037" s="365"/>
      <c r="F2037" s="365"/>
      <c r="G2037" s="365"/>
      <c r="H2037" s="365"/>
      <c r="I2037" s="365"/>
      <c r="J2037" s="365"/>
      <c r="K2037" s="365"/>
      <c r="L2037" s="365"/>
      <c r="M2037" s="365"/>
      <c r="N2037" s="365"/>
    </row>
    <row r="2038" spans="1:14" ht="13">
      <c r="A2038" s="359"/>
      <c r="B2038" s="1824"/>
      <c r="C2038" s="1822"/>
      <c r="D2038" s="365"/>
      <c r="E2038" s="365"/>
      <c r="F2038" s="365"/>
      <c r="G2038" s="365"/>
      <c r="H2038" s="365"/>
      <c r="I2038" s="365"/>
      <c r="J2038" s="365"/>
      <c r="K2038" s="365"/>
      <c r="L2038" s="365"/>
      <c r="M2038" s="365"/>
      <c r="N2038" s="365"/>
    </row>
    <row r="2039" spans="1:14" ht="13">
      <c r="A2039" s="359"/>
      <c r="B2039" s="1824"/>
      <c r="C2039" s="1822"/>
      <c r="D2039" s="365"/>
      <c r="E2039" s="365"/>
      <c r="F2039" s="365"/>
      <c r="G2039" s="365"/>
      <c r="H2039" s="365"/>
      <c r="I2039" s="365"/>
      <c r="J2039" s="365"/>
      <c r="K2039" s="365"/>
      <c r="L2039" s="365"/>
      <c r="M2039" s="365"/>
      <c r="N2039" s="365"/>
    </row>
    <row r="2040" spans="1:14" ht="13">
      <c r="A2040" s="359"/>
      <c r="B2040" s="1824"/>
      <c r="C2040" s="1822"/>
      <c r="D2040" s="365"/>
      <c r="E2040" s="365"/>
      <c r="F2040" s="365"/>
      <c r="G2040" s="365"/>
      <c r="H2040" s="365"/>
      <c r="I2040" s="365"/>
      <c r="J2040" s="365"/>
      <c r="K2040" s="365"/>
      <c r="L2040" s="365"/>
      <c r="M2040" s="365"/>
      <c r="N2040" s="365"/>
    </row>
    <row r="2041" spans="1:14" ht="13">
      <c r="A2041" s="359"/>
      <c r="B2041" s="1824"/>
      <c r="C2041" s="1822"/>
      <c r="D2041" s="365"/>
      <c r="E2041" s="365"/>
      <c r="F2041" s="365"/>
      <c r="G2041" s="365"/>
      <c r="H2041" s="365"/>
      <c r="I2041" s="365"/>
      <c r="J2041" s="365"/>
      <c r="K2041" s="365"/>
      <c r="L2041" s="365"/>
      <c r="M2041" s="365"/>
      <c r="N2041" s="365"/>
    </row>
    <row r="2042" spans="1:14" ht="13">
      <c r="A2042" s="359"/>
      <c r="B2042" s="1824"/>
      <c r="C2042" s="1822"/>
      <c r="D2042" s="365"/>
      <c r="E2042" s="365"/>
      <c r="F2042" s="365"/>
      <c r="G2042" s="365"/>
      <c r="H2042" s="365"/>
      <c r="I2042" s="365"/>
      <c r="J2042" s="365"/>
      <c r="K2042" s="365"/>
      <c r="L2042" s="365"/>
      <c r="M2042" s="365"/>
      <c r="N2042" s="365"/>
    </row>
    <row r="2043" spans="1:14" ht="13">
      <c r="A2043" s="359"/>
      <c r="B2043" s="1824"/>
      <c r="C2043" s="1822"/>
      <c r="D2043" s="365"/>
      <c r="E2043" s="365"/>
      <c r="F2043" s="365"/>
      <c r="G2043" s="365"/>
      <c r="H2043" s="365"/>
      <c r="I2043" s="365"/>
      <c r="J2043" s="365"/>
      <c r="K2043" s="365"/>
      <c r="L2043" s="365"/>
      <c r="M2043" s="365"/>
      <c r="N2043" s="365"/>
    </row>
    <row r="2044" spans="1:14" ht="13">
      <c r="A2044" s="359"/>
      <c r="B2044" s="1824"/>
      <c r="C2044" s="1822"/>
      <c r="D2044" s="365"/>
      <c r="E2044" s="365"/>
      <c r="F2044" s="365"/>
      <c r="G2044" s="365"/>
      <c r="H2044" s="365"/>
      <c r="I2044" s="365"/>
      <c r="J2044" s="365"/>
      <c r="K2044" s="365"/>
      <c r="L2044" s="365"/>
      <c r="M2044" s="365"/>
      <c r="N2044" s="365"/>
    </row>
    <row r="2045" spans="1:14" ht="13">
      <c r="A2045" s="359"/>
      <c r="B2045" s="1824"/>
      <c r="C2045" s="1822"/>
      <c r="D2045" s="365"/>
      <c r="E2045" s="365"/>
      <c r="F2045" s="365"/>
      <c r="G2045" s="365"/>
      <c r="H2045" s="365"/>
      <c r="I2045" s="365"/>
      <c r="J2045" s="365"/>
      <c r="K2045" s="365"/>
      <c r="L2045" s="365"/>
      <c r="M2045" s="365"/>
      <c r="N2045" s="365"/>
    </row>
    <row r="2046" spans="1:14" ht="13">
      <c r="A2046" s="359"/>
      <c r="B2046" s="1824"/>
      <c r="C2046" s="1822"/>
      <c r="D2046" s="365"/>
      <c r="E2046" s="365"/>
      <c r="F2046" s="365"/>
      <c r="G2046" s="365"/>
      <c r="H2046" s="365"/>
      <c r="I2046" s="365"/>
      <c r="J2046" s="365"/>
      <c r="K2046" s="365"/>
      <c r="L2046" s="365"/>
      <c r="M2046" s="365"/>
      <c r="N2046" s="365"/>
    </row>
    <row r="2047" spans="1:14" ht="13">
      <c r="A2047" s="359"/>
      <c r="B2047" s="1824"/>
      <c r="C2047" s="1822"/>
      <c r="D2047" s="365"/>
      <c r="E2047" s="365"/>
      <c r="F2047" s="365"/>
      <c r="G2047" s="365"/>
      <c r="H2047" s="365"/>
      <c r="I2047" s="365"/>
      <c r="J2047" s="365"/>
      <c r="K2047" s="365"/>
      <c r="L2047" s="365"/>
      <c r="M2047" s="365"/>
      <c r="N2047" s="365"/>
    </row>
    <row r="2048" spans="1:14" ht="13">
      <c r="A2048" s="359"/>
      <c r="B2048" s="1824"/>
      <c r="C2048" s="1822"/>
      <c r="D2048" s="365"/>
      <c r="E2048" s="365"/>
      <c r="F2048" s="365"/>
      <c r="G2048" s="365"/>
      <c r="H2048" s="365"/>
      <c r="I2048" s="365"/>
      <c r="J2048" s="365"/>
      <c r="K2048" s="365"/>
      <c r="L2048" s="365"/>
      <c r="M2048" s="365"/>
      <c r="N2048" s="365"/>
    </row>
    <row r="2049" spans="1:14" ht="13">
      <c r="A2049" s="359"/>
      <c r="B2049" s="1824"/>
      <c r="C2049" s="1822"/>
      <c r="D2049" s="365"/>
      <c r="E2049" s="365"/>
      <c r="F2049" s="365"/>
      <c r="G2049" s="365"/>
      <c r="H2049" s="365"/>
      <c r="I2049" s="365"/>
      <c r="J2049" s="365"/>
      <c r="K2049" s="365"/>
      <c r="L2049" s="365"/>
      <c r="M2049" s="365"/>
      <c r="N2049" s="365"/>
    </row>
    <row r="2050" spans="1:14" ht="13">
      <c r="A2050" s="359"/>
      <c r="B2050" s="1824"/>
      <c r="C2050" s="1822"/>
      <c r="D2050" s="365"/>
      <c r="E2050" s="365"/>
      <c r="F2050" s="365"/>
      <c r="G2050" s="365"/>
      <c r="H2050" s="365"/>
      <c r="I2050" s="365"/>
      <c r="J2050" s="365"/>
      <c r="K2050" s="365"/>
      <c r="L2050" s="365"/>
      <c r="M2050" s="365"/>
      <c r="N2050" s="365"/>
    </row>
    <row r="2051" spans="1:14" ht="13">
      <c r="A2051" s="359"/>
      <c r="B2051" s="1824"/>
      <c r="C2051" s="1822"/>
      <c r="D2051" s="365"/>
      <c r="E2051" s="365"/>
      <c r="F2051" s="365"/>
      <c r="G2051" s="365"/>
      <c r="H2051" s="365"/>
      <c r="I2051" s="365"/>
      <c r="J2051" s="365"/>
      <c r="K2051" s="365"/>
      <c r="L2051" s="365"/>
      <c r="M2051" s="365"/>
      <c r="N2051" s="365"/>
    </row>
    <row r="2052" spans="1:14" ht="13">
      <c r="A2052" s="359"/>
      <c r="B2052" s="1824"/>
      <c r="C2052" s="1822"/>
      <c r="D2052" s="365"/>
      <c r="E2052" s="365"/>
      <c r="F2052" s="365"/>
      <c r="G2052" s="365"/>
      <c r="H2052" s="365"/>
      <c r="I2052" s="365"/>
      <c r="J2052" s="365"/>
      <c r="K2052" s="365"/>
      <c r="L2052" s="365"/>
      <c r="M2052" s="365"/>
      <c r="N2052" s="365"/>
    </row>
    <row r="2053" spans="1:14" ht="13">
      <c r="A2053" s="359"/>
      <c r="B2053" s="1824"/>
      <c r="C2053" s="1822"/>
      <c r="D2053" s="365"/>
      <c r="E2053" s="365"/>
      <c r="F2053" s="365"/>
      <c r="G2053" s="365"/>
      <c r="H2053" s="365"/>
      <c r="I2053" s="365"/>
      <c r="J2053" s="365"/>
      <c r="K2053" s="365"/>
      <c r="L2053" s="365"/>
      <c r="M2053" s="365"/>
      <c r="N2053" s="365"/>
    </row>
    <row r="2054" spans="1:14" ht="13">
      <c r="A2054" s="359"/>
      <c r="B2054" s="1824"/>
      <c r="C2054" s="1822"/>
      <c r="D2054" s="365"/>
      <c r="E2054" s="365"/>
      <c r="F2054" s="365"/>
      <c r="G2054" s="365"/>
      <c r="H2054" s="365"/>
      <c r="I2054" s="365"/>
      <c r="J2054" s="365"/>
      <c r="K2054" s="365"/>
      <c r="L2054" s="365"/>
      <c r="M2054" s="365"/>
      <c r="N2054" s="365"/>
    </row>
    <row r="2055" spans="1:14" ht="13">
      <c r="A2055" s="359"/>
      <c r="B2055" s="1824"/>
      <c r="C2055" s="1822"/>
      <c r="D2055" s="365"/>
      <c r="E2055" s="365"/>
      <c r="F2055" s="365"/>
      <c r="G2055" s="365"/>
      <c r="H2055" s="365"/>
      <c r="I2055" s="365"/>
      <c r="J2055" s="365"/>
      <c r="K2055" s="365"/>
      <c r="L2055" s="365"/>
      <c r="M2055" s="365"/>
      <c r="N2055" s="365"/>
    </row>
    <row r="2056" spans="1:14" ht="13">
      <c r="A2056" s="359"/>
      <c r="B2056" s="1824"/>
      <c r="C2056" s="1822"/>
      <c r="D2056" s="365"/>
      <c r="E2056" s="365"/>
      <c r="F2056" s="365"/>
      <c r="G2056" s="365"/>
      <c r="H2056" s="365"/>
      <c r="I2056" s="365"/>
      <c r="J2056" s="365"/>
      <c r="K2056" s="365"/>
      <c r="L2056" s="365"/>
      <c r="M2056" s="365"/>
      <c r="N2056" s="365"/>
    </row>
    <row r="2057" spans="1:14" ht="13">
      <c r="A2057" s="359"/>
      <c r="B2057" s="1824"/>
      <c r="C2057" s="1822"/>
      <c r="D2057" s="365"/>
      <c r="E2057" s="365"/>
      <c r="F2057" s="365"/>
      <c r="G2057" s="365"/>
      <c r="H2057" s="365"/>
      <c r="I2057" s="365"/>
      <c r="J2057" s="365"/>
      <c r="K2057" s="365"/>
      <c r="L2057" s="365"/>
      <c r="M2057" s="365"/>
      <c r="N2057" s="365"/>
    </row>
    <row r="2058" spans="1:14" ht="13">
      <c r="A2058" s="359"/>
      <c r="B2058" s="1824"/>
      <c r="C2058" s="1822"/>
      <c r="D2058" s="365"/>
      <c r="E2058" s="365"/>
      <c r="F2058" s="365"/>
      <c r="G2058" s="365"/>
      <c r="H2058" s="365"/>
      <c r="I2058" s="365"/>
      <c r="J2058" s="365"/>
      <c r="K2058" s="365"/>
      <c r="L2058" s="365"/>
      <c r="M2058" s="365"/>
      <c r="N2058" s="365"/>
    </row>
    <row r="2059" spans="1:14" ht="13">
      <c r="A2059" s="359"/>
      <c r="B2059" s="1824"/>
      <c r="C2059" s="1822"/>
      <c r="D2059" s="365"/>
      <c r="E2059" s="365"/>
      <c r="F2059" s="365"/>
      <c r="G2059" s="365"/>
      <c r="H2059" s="365"/>
      <c r="I2059" s="365"/>
      <c r="J2059" s="365"/>
      <c r="K2059" s="365"/>
      <c r="L2059" s="365"/>
      <c r="M2059" s="365"/>
      <c r="N2059" s="365"/>
    </row>
    <row r="2060" spans="1:14" ht="13">
      <c r="A2060" s="359"/>
      <c r="B2060" s="1824"/>
      <c r="C2060" s="1822"/>
      <c r="D2060" s="365"/>
      <c r="E2060" s="365"/>
      <c r="F2060" s="365"/>
      <c r="G2060" s="365"/>
      <c r="H2060" s="365"/>
      <c r="I2060" s="365"/>
      <c r="J2060" s="365"/>
      <c r="K2060" s="365"/>
      <c r="L2060" s="365"/>
      <c r="M2060" s="365"/>
      <c r="N2060" s="365"/>
    </row>
    <row r="2061" spans="1:14" ht="13">
      <c r="A2061" s="359"/>
      <c r="B2061" s="1824"/>
      <c r="C2061" s="1822"/>
      <c r="D2061" s="365"/>
      <c r="E2061" s="365"/>
      <c r="F2061" s="365"/>
      <c r="G2061" s="365"/>
      <c r="H2061" s="365"/>
      <c r="I2061" s="365"/>
      <c r="J2061" s="365"/>
      <c r="K2061" s="365"/>
      <c r="L2061" s="365"/>
      <c r="M2061" s="365"/>
      <c r="N2061" s="365"/>
    </row>
    <row r="2062" spans="1:14" ht="13">
      <c r="A2062" s="359"/>
      <c r="B2062" s="1824"/>
      <c r="C2062" s="1822"/>
      <c r="D2062" s="365"/>
      <c r="E2062" s="365"/>
      <c r="F2062" s="365"/>
      <c r="G2062" s="365"/>
      <c r="H2062" s="365"/>
      <c r="I2062" s="365"/>
      <c r="J2062" s="365"/>
      <c r="K2062" s="365"/>
      <c r="L2062" s="365"/>
      <c r="M2062" s="365"/>
      <c r="N2062" s="365"/>
    </row>
    <row r="2063" spans="1:14" ht="13">
      <c r="A2063" s="359"/>
      <c r="B2063" s="1824"/>
      <c r="C2063" s="1822"/>
      <c r="D2063" s="365"/>
      <c r="E2063" s="365"/>
      <c r="F2063" s="365"/>
      <c r="G2063" s="365"/>
      <c r="H2063" s="365"/>
      <c r="I2063" s="365"/>
      <c r="J2063" s="365"/>
      <c r="K2063" s="365"/>
      <c r="L2063" s="365"/>
      <c r="M2063" s="365"/>
      <c r="N2063" s="365"/>
    </row>
    <row r="2064" spans="1:14" ht="13">
      <c r="A2064" s="359"/>
      <c r="B2064" s="1824"/>
      <c r="C2064" s="1822"/>
      <c r="D2064" s="365"/>
      <c r="E2064" s="365"/>
      <c r="F2064" s="365"/>
      <c r="G2064" s="365"/>
      <c r="H2064" s="365"/>
      <c r="I2064" s="365"/>
      <c r="J2064" s="365"/>
      <c r="K2064" s="365"/>
      <c r="L2064" s="365"/>
      <c r="M2064" s="365"/>
      <c r="N2064" s="365"/>
    </row>
    <row r="2065" spans="1:14" ht="13">
      <c r="A2065" s="359"/>
      <c r="B2065" s="1824"/>
      <c r="C2065" s="1822"/>
      <c r="D2065" s="365"/>
      <c r="E2065" s="365"/>
      <c r="F2065" s="365"/>
      <c r="G2065" s="365"/>
      <c r="H2065" s="365"/>
      <c r="I2065" s="365"/>
      <c r="J2065" s="365"/>
      <c r="K2065" s="365"/>
      <c r="L2065" s="365"/>
      <c r="M2065" s="365"/>
      <c r="N2065" s="365"/>
    </row>
    <row r="2066" spans="1:14" ht="13">
      <c r="A2066" s="359"/>
      <c r="B2066" s="1824"/>
      <c r="C2066" s="1822"/>
      <c r="D2066" s="365"/>
      <c r="E2066" s="365"/>
      <c r="F2066" s="365"/>
      <c r="G2066" s="365"/>
      <c r="H2066" s="365"/>
      <c r="I2066" s="365"/>
      <c r="J2066" s="365"/>
      <c r="K2066" s="365"/>
      <c r="L2066" s="365"/>
      <c r="M2066" s="365"/>
      <c r="N2066" s="365"/>
    </row>
    <row r="2067" spans="1:14" ht="13">
      <c r="A2067" s="359"/>
      <c r="B2067" s="1824"/>
      <c r="C2067" s="1822"/>
      <c r="D2067" s="365"/>
      <c r="E2067" s="365"/>
      <c r="F2067" s="365"/>
      <c r="G2067" s="365"/>
      <c r="H2067" s="365"/>
      <c r="I2067" s="365"/>
      <c r="J2067" s="365"/>
      <c r="K2067" s="365"/>
      <c r="L2067" s="365"/>
      <c r="M2067" s="365"/>
      <c r="N2067" s="365"/>
    </row>
    <row r="2068" spans="1:14" ht="13">
      <c r="A2068" s="359"/>
      <c r="B2068" s="1824"/>
      <c r="C2068" s="1822"/>
      <c r="D2068" s="365"/>
      <c r="E2068" s="365"/>
      <c r="F2068" s="365"/>
      <c r="G2068" s="365"/>
      <c r="H2068" s="365"/>
      <c r="I2068" s="365"/>
      <c r="J2068" s="365"/>
      <c r="K2068" s="365"/>
      <c r="L2068" s="365"/>
      <c r="M2068" s="365"/>
      <c r="N2068" s="365"/>
    </row>
    <row r="2069" spans="1:14" ht="13">
      <c r="A2069" s="359"/>
      <c r="B2069" s="1824"/>
      <c r="C2069" s="1822"/>
      <c r="D2069" s="365"/>
      <c r="E2069" s="365"/>
      <c r="F2069" s="365"/>
      <c r="G2069" s="365"/>
      <c r="H2069" s="365"/>
      <c r="I2069" s="365"/>
      <c r="J2069" s="365"/>
      <c r="K2069" s="365"/>
      <c r="L2069" s="365"/>
      <c r="M2069" s="365"/>
      <c r="N2069" s="365"/>
    </row>
    <row r="2070" spans="1:14" ht="13">
      <c r="A2070" s="359"/>
      <c r="B2070" s="1824"/>
      <c r="C2070" s="1822"/>
      <c r="D2070" s="365"/>
      <c r="E2070" s="365"/>
      <c r="F2070" s="365"/>
      <c r="G2070" s="365"/>
      <c r="H2070" s="365"/>
      <c r="I2070" s="365"/>
      <c r="J2070" s="365"/>
      <c r="K2070" s="365"/>
      <c r="L2070" s="365"/>
      <c r="M2070" s="365"/>
      <c r="N2070" s="365"/>
    </row>
    <row r="2071" spans="1:14" ht="13">
      <c r="A2071" s="359"/>
      <c r="B2071" s="1824"/>
      <c r="C2071" s="1822"/>
      <c r="D2071" s="365"/>
      <c r="E2071" s="365"/>
      <c r="F2071" s="365"/>
      <c r="G2071" s="365"/>
      <c r="H2071" s="365"/>
      <c r="I2071" s="365"/>
      <c r="J2071" s="365"/>
      <c r="K2071" s="365"/>
      <c r="L2071" s="365"/>
      <c r="M2071" s="365"/>
      <c r="N2071" s="365"/>
    </row>
    <row r="2072" spans="1:14" ht="13">
      <c r="A2072" s="359"/>
      <c r="B2072" s="1824"/>
      <c r="C2072" s="1822"/>
      <c r="D2072" s="365"/>
      <c r="E2072" s="365"/>
      <c r="F2072" s="365"/>
      <c r="G2072" s="365"/>
      <c r="H2072" s="365"/>
      <c r="I2072" s="365"/>
      <c r="J2072" s="365"/>
      <c r="K2072" s="365"/>
      <c r="L2072" s="365"/>
      <c r="M2072" s="365"/>
      <c r="N2072" s="365"/>
    </row>
    <row r="2073" spans="1:14" ht="13">
      <c r="A2073" s="359"/>
      <c r="B2073" s="1824"/>
      <c r="C2073" s="1822"/>
      <c r="D2073" s="365"/>
      <c r="E2073" s="365"/>
      <c r="F2073" s="365"/>
      <c r="G2073" s="365"/>
      <c r="H2073" s="365"/>
      <c r="I2073" s="365"/>
      <c r="J2073" s="365"/>
      <c r="K2073" s="365"/>
      <c r="L2073" s="365"/>
      <c r="M2073" s="365"/>
      <c r="N2073" s="365"/>
    </row>
    <row r="2074" spans="1:14" ht="13">
      <c r="A2074" s="359"/>
      <c r="B2074" s="1824"/>
      <c r="C2074" s="1822"/>
      <c r="D2074" s="365"/>
      <c r="E2074" s="365"/>
      <c r="F2074" s="365"/>
      <c r="G2074" s="365"/>
      <c r="H2074" s="365"/>
      <c r="I2074" s="365"/>
      <c r="J2074" s="365"/>
      <c r="K2074" s="365"/>
      <c r="L2074" s="365"/>
      <c r="M2074" s="365"/>
      <c r="N2074" s="365"/>
    </row>
    <row r="2075" spans="1:14" ht="13">
      <c r="A2075" s="359"/>
      <c r="B2075" s="1824"/>
      <c r="C2075" s="1822"/>
      <c r="D2075" s="365"/>
      <c r="E2075" s="365"/>
      <c r="F2075" s="365"/>
      <c r="G2075" s="365"/>
      <c r="H2075" s="365"/>
      <c r="I2075" s="365"/>
      <c r="J2075" s="365"/>
      <c r="K2075" s="365"/>
      <c r="L2075" s="365"/>
      <c r="M2075" s="365"/>
      <c r="N2075" s="365"/>
    </row>
    <row r="2076" spans="1:14" ht="13">
      <c r="A2076" s="359"/>
      <c r="B2076" s="1824"/>
      <c r="C2076" s="1822"/>
      <c r="D2076" s="365"/>
      <c r="E2076" s="365"/>
      <c r="F2076" s="365"/>
      <c r="G2076" s="365"/>
      <c r="H2076" s="365"/>
      <c r="I2076" s="365"/>
      <c r="J2076" s="365"/>
      <c r="K2076" s="365"/>
      <c r="L2076" s="365"/>
      <c r="M2076" s="365"/>
      <c r="N2076" s="365"/>
    </row>
    <row r="2077" spans="1:14" ht="13">
      <c r="A2077" s="359"/>
      <c r="B2077" s="1824"/>
      <c r="C2077" s="1822"/>
      <c r="D2077" s="365"/>
      <c r="E2077" s="365"/>
      <c r="F2077" s="365"/>
      <c r="G2077" s="365"/>
      <c r="H2077" s="365"/>
      <c r="I2077" s="365"/>
      <c r="J2077" s="365"/>
      <c r="K2077" s="365"/>
      <c r="L2077" s="365"/>
      <c r="M2077" s="365"/>
      <c r="N2077" s="365"/>
    </row>
    <row r="2078" spans="1:14" ht="13">
      <c r="A2078" s="359"/>
      <c r="B2078" s="1824"/>
      <c r="C2078" s="1822"/>
      <c r="D2078" s="365"/>
      <c r="E2078" s="365"/>
      <c r="F2078" s="365"/>
      <c r="G2078" s="365"/>
      <c r="H2078" s="365"/>
      <c r="I2078" s="365"/>
      <c r="J2078" s="365"/>
      <c r="K2078" s="365"/>
      <c r="L2078" s="365"/>
      <c r="M2078" s="365"/>
      <c r="N2078" s="365"/>
    </row>
    <row r="2079" spans="1:14" ht="13">
      <c r="A2079" s="359"/>
      <c r="B2079" s="1824"/>
      <c r="C2079" s="1822"/>
      <c r="D2079" s="365"/>
      <c r="E2079" s="365"/>
      <c r="F2079" s="365"/>
      <c r="G2079" s="365"/>
      <c r="H2079" s="365"/>
      <c r="I2079" s="365"/>
      <c r="J2079" s="365"/>
      <c r="K2079" s="365"/>
      <c r="L2079" s="365"/>
      <c r="M2079" s="365"/>
      <c r="N2079" s="365"/>
    </row>
    <row r="2080" spans="1:14" ht="13">
      <c r="A2080" s="359"/>
      <c r="B2080" s="1824"/>
      <c r="C2080" s="1822"/>
      <c r="D2080" s="365"/>
      <c r="E2080" s="365"/>
      <c r="F2080" s="365"/>
      <c r="G2080" s="365"/>
      <c r="H2080" s="365"/>
      <c r="I2080" s="365"/>
      <c r="J2080" s="365"/>
      <c r="K2080" s="365"/>
      <c r="L2080" s="365"/>
      <c r="M2080" s="365"/>
      <c r="N2080" s="365"/>
    </row>
    <row r="2081" spans="1:14" ht="13">
      <c r="A2081" s="359"/>
      <c r="B2081" s="1824"/>
      <c r="C2081" s="1822"/>
      <c r="D2081" s="365"/>
      <c r="E2081" s="365"/>
      <c r="F2081" s="365"/>
      <c r="G2081" s="365"/>
      <c r="H2081" s="365"/>
      <c r="I2081" s="365"/>
      <c r="J2081" s="365"/>
      <c r="K2081" s="365"/>
      <c r="L2081" s="365"/>
      <c r="M2081" s="365"/>
      <c r="N2081" s="365"/>
    </row>
    <row r="2082" spans="1:14" ht="13">
      <c r="A2082" s="359"/>
      <c r="B2082" s="1824"/>
      <c r="C2082" s="1822"/>
      <c r="D2082" s="365"/>
      <c r="E2082" s="365"/>
      <c r="F2082" s="365"/>
      <c r="G2082" s="365"/>
      <c r="H2082" s="365"/>
      <c r="I2082" s="365"/>
      <c r="J2082" s="365"/>
      <c r="K2082" s="365"/>
      <c r="L2082" s="365"/>
      <c r="M2082" s="365"/>
      <c r="N2082" s="365"/>
    </row>
    <row r="2083" spans="1:14" ht="13">
      <c r="A2083" s="359"/>
      <c r="B2083" s="1824"/>
      <c r="C2083" s="1822"/>
      <c r="D2083" s="365"/>
      <c r="E2083" s="365"/>
      <c r="F2083" s="365"/>
      <c r="G2083" s="365"/>
      <c r="H2083" s="365"/>
      <c r="I2083" s="365"/>
      <c r="J2083" s="365"/>
      <c r="K2083" s="365"/>
      <c r="L2083" s="365"/>
      <c r="M2083" s="365"/>
      <c r="N2083" s="365"/>
    </row>
    <row r="2084" spans="1:14" ht="13">
      <c r="A2084" s="359"/>
      <c r="B2084" s="1824"/>
      <c r="C2084" s="1822"/>
      <c r="D2084" s="365"/>
      <c r="E2084" s="365"/>
      <c r="F2084" s="365"/>
      <c r="G2084" s="365"/>
      <c r="H2084" s="365"/>
      <c r="I2084" s="365"/>
      <c r="J2084" s="365"/>
      <c r="K2084" s="365"/>
      <c r="L2084" s="365"/>
      <c r="M2084" s="365"/>
      <c r="N2084" s="365"/>
    </row>
    <row r="2085" spans="1:14" ht="13">
      <c r="A2085" s="359"/>
      <c r="B2085" s="1824"/>
      <c r="C2085" s="1822"/>
      <c r="D2085" s="365"/>
      <c r="E2085" s="365"/>
      <c r="F2085" s="365"/>
      <c r="G2085" s="365"/>
      <c r="H2085" s="365"/>
      <c r="I2085" s="365"/>
      <c r="J2085" s="365"/>
      <c r="K2085" s="365"/>
      <c r="L2085" s="365"/>
      <c r="M2085" s="365"/>
      <c r="N2085" s="365"/>
    </row>
    <row r="2086" spans="1:14" ht="13">
      <c r="A2086" s="359"/>
      <c r="B2086" s="1824"/>
      <c r="C2086" s="1822"/>
      <c r="D2086" s="365"/>
      <c r="E2086" s="365"/>
      <c r="F2086" s="365"/>
      <c r="G2086" s="365"/>
      <c r="H2086" s="365"/>
      <c r="I2086" s="365"/>
      <c r="J2086" s="365"/>
      <c r="K2086" s="365"/>
      <c r="L2086" s="365"/>
      <c r="M2086" s="365"/>
      <c r="N2086" s="365"/>
    </row>
    <row r="2087" spans="1:14" ht="13">
      <c r="A2087" s="359"/>
      <c r="B2087" s="1824"/>
      <c r="C2087" s="1822"/>
      <c r="D2087" s="365"/>
      <c r="E2087" s="365"/>
      <c r="F2087" s="365"/>
      <c r="G2087" s="365"/>
      <c r="H2087" s="365"/>
      <c r="I2087" s="365"/>
      <c r="J2087" s="365"/>
      <c r="K2087" s="365"/>
      <c r="L2087" s="365"/>
      <c r="M2087" s="365"/>
      <c r="N2087" s="365"/>
    </row>
    <row r="2088" spans="1:14" ht="13">
      <c r="A2088" s="359"/>
      <c r="B2088" s="1824"/>
      <c r="C2088" s="1822"/>
      <c r="D2088" s="365"/>
      <c r="E2088" s="365"/>
      <c r="F2088" s="365"/>
      <c r="G2088" s="365"/>
      <c r="H2088" s="365"/>
      <c r="I2088" s="365"/>
      <c r="J2088" s="365"/>
      <c r="K2088" s="365"/>
      <c r="L2088" s="365"/>
      <c r="M2088" s="365"/>
      <c r="N2088" s="365"/>
    </row>
    <row r="2089" spans="1:14" ht="13">
      <c r="A2089" s="359"/>
      <c r="B2089" s="1824"/>
      <c r="C2089" s="1822"/>
      <c r="D2089" s="365"/>
      <c r="E2089" s="365"/>
      <c r="F2089" s="365"/>
      <c r="G2089" s="365"/>
      <c r="H2089" s="365"/>
      <c r="I2089" s="365"/>
      <c r="J2089" s="365"/>
      <c r="K2089" s="365"/>
      <c r="L2089" s="365"/>
      <c r="M2089" s="365"/>
      <c r="N2089" s="365"/>
    </row>
    <row r="2090" spans="1:14" ht="13">
      <c r="A2090" s="359"/>
      <c r="B2090" s="1824"/>
      <c r="C2090" s="1822"/>
      <c r="D2090" s="365"/>
      <c r="E2090" s="365"/>
      <c r="F2090" s="365"/>
      <c r="G2090" s="365"/>
      <c r="H2090" s="365"/>
      <c r="I2090" s="365"/>
      <c r="J2090" s="365"/>
      <c r="K2090" s="365"/>
      <c r="L2090" s="365"/>
      <c r="M2090" s="365"/>
      <c r="N2090" s="365"/>
    </row>
    <row r="2091" spans="1:14" ht="13">
      <c r="A2091" s="359"/>
      <c r="B2091" s="1824"/>
      <c r="C2091" s="1822"/>
      <c r="D2091" s="365"/>
      <c r="E2091" s="365"/>
      <c r="F2091" s="365"/>
      <c r="G2091" s="365"/>
      <c r="H2091" s="365"/>
      <c r="I2091" s="365"/>
      <c r="J2091" s="365"/>
      <c r="K2091" s="365"/>
      <c r="L2091" s="365"/>
      <c r="M2091" s="365"/>
      <c r="N2091" s="365"/>
    </row>
    <row r="2092" spans="1:14" ht="13">
      <c r="A2092" s="359"/>
      <c r="B2092" s="1824"/>
      <c r="C2092" s="1822"/>
      <c r="D2092" s="365"/>
      <c r="E2092" s="365"/>
      <c r="F2092" s="365"/>
      <c r="G2092" s="365"/>
      <c r="H2092" s="365"/>
      <c r="I2092" s="365"/>
      <c r="J2092" s="365"/>
      <c r="K2092" s="365"/>
      <c r="L2092" s="365"/>
      <c r="M2092" s="365"/>
      <c r="N2092" s="365"/>
    </row>
    <row r="2093" spans="1:14" ht="13">
      <c r="A2093" s="359"/>
      <c r="B2093" s="1824"/>
      <c r="C2093" s="1822"/>
      <c r="D2093" s="365"/>
      <c r="E2093" s="365"/>
      <c r="F2093" s="365"/>
      <c r="G2093" s="365"/>
      <c r="H2093" s="365"/>
      <c r="I2093" s="365"/>
      <c r="J2093" s="365"/>
      <c r="K2093" s="365"/>
      <c r="L2093" s="365"/>
      <c r="M2093" s="365"/>
      <c r="N2093" s="365"/>
    </row>
    <row r="2094" spans="1:14" ht="13">
      <c r="A2094" s="359"/>
      <c r="B2094" s="1824"/>
      <c r="C2094" s="1822"/>
      <c r="D2094" s="365"/>
      <c r="E2094" s="365"/>
      <c r="F2094" s="365"/>
      <c r="G2094" s="365"/>
      <c r="H2094" s="365"/>
      <c r="I2094" s="365"/>
      <c r="J2094" s="365"/>
      <c r="K2094" s="365"/>
      <c r="L2094" s="365"/>
      <c r="M2094" s="365"/>
      <c r="N2094" s="365"/>
    </row>
    <row r="2095" spans="1:14" ht="13">
      <c r="A2095" s="359"/>
      <c r="B2095" s="1824"/>
      <c r="C2095" s="1822"/>
      <c r="D2095" s="365"/>
      <c r="E2095" s="365"/>
      <c r="F2095" s="365"/>
      <c r="G2095" s="365"/>
      <c r="H2095" s="365"/>
      <c r="I2095" s="365"/>
      <c r="J2095" s="365"/>
      <c r="K2095" s="365"/>
      <c r="L2095" s="365"/>
      <c r="M2095" s="365"/>
      <c r="N2095" s="365"/>
    </row>
    <row r="2096" spans="1:14" ht="13">
      <c r="A2096" s="359"/>
      <c r="B2096" s="1824"/>
      <c r="C2096" s="1822"/>
      <c r="D2096" s="365"/>
      <c r="E2096" s="365"/>
      <c r="F2096" s="365"/>
      <c r="G2096" s="365"/>
      <c r="H2096" s="365"/>
      <c r="I2096" s="365"/>
      <c r="J2096" s="365"/>
      <c r="K2096" s="365"/>
      <c r="L2096" s="365"/>
      <c r="M2096" s="365"/>
      <c r="N2096" s="365"/>
    </row>
    <row r="2097" spans="1:14" ht="13">
      <c r="A2097" s="359"/>
      <c r="B2097" s="1824"/>
      <c r="C2097" s="1822"/>
      <c r="D2097" s="365"/>
      <c r="E2097" s="365"/>
      <c r="F2097" s="365"/>
      <c r="G2097" s="365"/>
      <c r="H2097" s="365"/>
      <c r="I2097" s="365"/>
      <c r="J2097" s="365"/>
      <c r="K2097" s="365"/>
      <c r="L2097" s="365"/>
      <c r="M2097" s="365"/>
      <c r="N2097" s="365"/>
    </row>
    <row r="2098" spans="1:14" ht="13">
      <c r="A2098" s="359"/>
      <c r="B2098" s="1824"/>
      <c r="C2098" s="1822"/>
      <c r="D2098" s="365"/>
      <c r="E2098" s="365"/>
      <c r="F2098" s="365"/>
      <c r="G2098" s="365"/>
      <c r="H2098" s="365"/>
      <c r="I2098" s="365"/>
      <c r="J2098" s="365"/>
      <c r="K2098" s="365"/>
      <c r="L2098" s="365"/>
      <c r="M2098" s="365"/>
      <c r="N2098" s="365"/>
    </row>
    <row r="2099" spans="1:14" ht="13">
      <c r="A2099" s="359"/>
      <c r="B2099" s="1824"/>
      <c r="C2099" s="1822"/>
      <c r="D2099" s="365"/>
      <c r="E2099" s="365"/>
      <c r="F2099" s="365"/>
      <c r="G2099" s="365"/>
      <c r="H2099" s="365"/>
      <c r="I2099" s="365"/>
      <c r="J2099" s="365"/>
      <c r="K2099" s="365"/>
      <c r="L2099" s="365"/>
      <c r="M2099" s="365"/>
      <c r="N2099" s="365"/>
    </row>
    <row r="2100" spans="1:14" ht="13">
      <c r="A2100" s="359"/>
      <c r="B2100" s="1824"/>
      <c r="C2100" s="1822"/>
      <c r="D2100" s="365"/>
      <c r="E2100" s="365"/>
      <c r="F2100" s="365"/>
      <c r="G2100" s="365"/>
      <c r="H2100" s="365"/>
      <c r="I2100" s="365"/>
      <c r="J2100" s="365"/>
      <c r="K2100" s="365"/>
      <c r="L2100" s="365"/>
      <c r="M2100" s="365"/>
      <c r="N2100" s="365"/>
    </row>
    <row r="2101" spans="1:14" ht="13">
      <c r="A2101" s="359"/>
      <c r="B2101" s="1824"/>
      <c r="C2101" s="1822"/>
      <c r="D2101" s="365"/>
      <c r="E2101" s="365"/>
      <c r="F2101" s="365"/>
      <c r="G2101" s="365"/>
      <c r="H2101" s="365"/>
      <c r="I2101" s="365"/>
      <c r="J2101" s="365"/>
      <c r="K2101" s="365"/>
      <c r="L2101" s="365"/>
      <c r="M2101" s="365"/>
      <c r="N2101" s="365"/>
    </row>
    <row r="2102" spans="1:14" ht="13">
      <c r="A2102" s="359"/>
      <c r="B2102" s="1824"/>
      <c r="C2102" s="1822"/>
      <c r="D2102" s="365"/>
      <c r="E2102" s="365"/>
      <c r="F2102" s="365"/>
      <c r="G2102" s="365"/>
      <c r="H2102" s="365"/>
      <c r="I2102" s="365"/>
      <c r="J2102" s="365"/>
      <c r="K2102" s="365"/>
      <c r="L2102" s="365"/>
      <c r="M2102" s="365"/>
      <c r="N2102" s="365"/>
    </row>
    <row r="2103" spans="1:14" ht="13">
      <c r="A2103" s="359"/>
      <c r="B2103" s="1824"/>
      <c r="C2103" s="1822"/>
      <c r="D2103" s="365"/>
      <c r="E2103" s="365"/>
      <c r="F2103" s="365"/>
      <c r="G2103" s="365"/>
      <c r="H2103" s="365"/>
      <c r="I2103" s="365"/>
      <c r="J2103" s="365"/>
      <c r="K2103" s="365"/>
      <c r="L2103" s="365"/>
      <c r="M2103" s="365"/>
      <c r="N2103" s="365"/>
    </row>
    <row r="2104" spans="1:14" ht="13">
      <c r="A2104" s="359"/>
      <c r="B2104" s="1824"/>
      <c r="C2104" s="1822"/>
      <c r="D2104" s="365"/>
      <c r="E2104" s="365"/>
      <c r="F2104" s="365"/>
      <c r="G2104" s="365"/>
      <c r="H2104" s="365"/>
      <c r="I2104" s="365"/>
      <c r="J2104" s="365"/>
      <c r="K2104" s="365"/>
      <c r="L2104" s="365"/>
      <c r="M2104" s="365"/>
      <c r="N2104" s="365"/>
    </row>
    <row r="2105" spans="1:14" ht="13">
      <c r="A2105" s="359"/>
      <c r="B2105" s="1824"/>
      <c r="C2105" s="1822"/>
      <c r="D2105" s="365"/>
      <c r="E2105" s="365"/>
      <c r="F2105" s="365"/>
      <c r="G2105" s="365"/>
      <c r="H2105" s="365"/>
      <c r="I2105" s="365"/>
      <c r="J2105" s="365"/>
      <c r="K2105" s="365"/>
      <c r="L2105" s="365"/>
      <c r="M2105" s="365"/>
      <c r="N2105" s="365"/>
    </row>
    <row r="2106" spans="1:14" ht="13">
      <c r="A2106" s="359"/>
      <c r="B2106" s="1824"/>
      <c r="C2106" s="1822"/>
      <c r="D2106" s="365"/>
      <c r="E2106" s="365"/>
      <c r="F2106" s="365"/>
      <c r="G2106" s="365"/>
      <c r="H2106" s="365"/>
      <c r="I2106" s="365"/>
      <c r="J2106" s="365"/>
      <c r="K2106" s="365"/>
      <c r="L2106" s="365"/>
      <c r="M2106" s="365"/>
      <c r="N2106" s="365"/>
    </row>
    <row r="2107" spans="1:14" ht="13">
      <c r="A2107" s="359"/>
      <c r="B2107" s="1824"/>
      <c r="C2107" s="1822"/>
      <c r="D2107" s="365"/>
      <c r="E2107" s="365"/>
      <c r="F2107" s="365"/>
      <c r="G2107" s="365"/>
      <c r="H2107" s="365"/>
      <c r="I2107" s="365"/>
      <c r="J2107" s="365"/>
      <c r="K2107" s="365"/>
      <c r="L2107" s="365"/>
      <c r="M2107" s="365"/>
      <c r="N2107" s="365"/>
    </row>
    <row r="2108" spans="1:14" ht="13">
      <c r="A2108" s="359"/>
      <c r="B2108" s="1824"/>
      <c r="C2108" s="1822"/>
      <c r="D2108" s="365"/>
      <c r="E2108" s="365"/>
      <c r="F2108" s="365"/>
      <c r="G2108" s="365"/>
      <c r="H2108" s="365"/>
      <c r="I2108" s="365"/>
      <c r="J2108" s="365"/>
      <c r="K2108" s="365"/>
      <c r="L2108" s="365"/>
      <c r="M2108" s="365"/>
      <c r="N2108" s="365"/>
    </row>
    <row r="2109" spans="1:14" ht="13">
      <c r="A2109" s="359"/>
      <c r="B2109" s="1824"/>
      <c r="C2109" s="1822"/>
      <c r="D2109" s="365"/>
      <c r="E2109" s="365"/>
      <c r="F2109" s="365"/>
      <c r="G2109" s="365"/>
      <c r="H2109" s="365"/>
      <c r="I2109" s="365"/>
      <c r="J2109" s="365"/>
      <c r="K2109" s="365"/>
      <c r="L2109" s="365"/>
      <c r="M2109" s="365"/>
      <c r="N2109" s="36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U1000"/>
  <sheetViews>
    <sheetView workbookViewId="0"/>
  </sheetViews>
  <sheetFormatPr baseColWidth="10" defaultColWidth="12.6640625" defaultRowHeight="15.75" customHeight="1"/>
  <cols>
    <col min="2" max="2" width="8" customWidth="1"/>
    <col min="6" max="6" width="39.1640625" customWidth="1"/>
    <col min="18" max="18" width="39.1640625" customWidth="1"/>
    <col min="21" max="21" width="34.5" customWidth="1"/>
  </cols>
  <sheetData>
    <row r="1" spans="1:21" ht="15.75" customHeight="1">
      <c r="B1" s="294"/>
    </row>
    <row r="2" spans="1:21" ht="15.75" customHeight="1">
      <c r="B2" s="294"/>
    </row>
    <row r="3" spans="1:21" ht="15.75" customHeight="1">
      <c r="A3" s="302">
        <v>112010002</v>
      </c>
      <c r="B3" s="324">
        <v>12</v>
      </c>
      <c r="C3" s="558">
        <f t="shared" ref="C3:C34" si="0">IFERROR(VLOOKUP(B3,DES,2,FALSE),"")</f>
        <v>0.15</v>
      </c>
      <c r="D3" s="558">
        <f t="shared" ref="D3:D34" si="1">IFERROR(VLOOKUP(B3,DES,3,FALSE),"")</f>
        <v>0.09</v>
      </c>
      <c r="E3" s="558">
        <f t="shared" ref="E3:E34" si="2">IFERROR(VLOOKUP(B3,DES,4,FALSE),"")</f>
        <v>0</v>
      </c>
      <c r="F3" s="302" t="s">
        <v>846</v>
      </c>
      <c r="J3" s="302">
        <v>112012244</v>
      </c>
      <c r="K3" s="302">
        <v>9</v>
      </c>
      <c r="L3" s="302" t="s">
        <v>845</v>
      </c>
      <c r="R3" s="302" t="s">
        <v>958</v>
      </c>
      <c r="U3" s="302" t="s">
        <v>958</v>
      </c>
    </row>
    <row r="4" spans="1:21" ht="15.75" customHeight="1">
      <c r="A4" s="302">
        <v>112011785</v>
      </c>
      <c r="B4" s="294">
        <v>12</v>
      </c>
      <c r="C4" s="558">
        <f t="shared" si="0"/>
        <v>0.15</v>
      </c>
      <c r="D4" s="558">
        <f t="shared" si="1"/>
        <v>0.09</v>
      </c>
      <c r="E4" s="558">
        <f t="shared" si="2"/>
        <v>0</v>
      </c>
      <c r="F4" s="302" t="s">
        <v>844</v>
      </c>
      <c r="J4" s="302">
        <v>112014412</v>
      </c>
      <c r="K4" s="302">
        <v>9</v>
      </c>
      <c r="L4" s="302" t="s">
        <v>911</v>
      </c>
      <c r="R4" s="302" t="s">
        <v>954</v>
      </c>
      <c r="U4" s="302" t="s">
        <v>954</v>
      </c>
    </row>
    <row r="5" spans="1:21" ht="15.75" customHeight="1">
      <c r="A5" s="302">
        <v>11201231501</v>
      </c>
      <c r="B5" s="294">
        <v>10</v>
      </c>
      <c r="C5" s="558">
        <f t="shared" si="0"/>
        <v>0.15</v>
      </c>
      <c r="D5" s="558">
        <f t="shared" si="1"/>
        <v>0.23</v>
      </c>
      <c r="E5" s="558">
        <f t="shared" si="2"/>
        <v>0</v>
      </c>
      <c r="F5" s="302" t="s">
        <v>838</v>
      </c>
      <c r="J5" s="302">
        <v>112013166</v>
      </c>
      <c r="K5" s="302">
        <v>7</v>
      </c>
      <c r="L5" s="302" t="s">
        <v>849</v>
      </c>
      <c r="R5" s="302" t="s">
        <v>865</v>
      </c>
      <c r="U5" s="302" t="s">
        <v>865</v>
      </c>
    </row>
    <row r="6" spans="1:21" ht="15.75" customHeight="1">
      <c r="A6" s="302">
        <v>112014058</v>
      </c>
      <c r="B6" s="294">
        <v>10</v>
      </c>
      <c r="C6" s="558">
        <f t="shared" si="0"/>
        <v>0.15</v>
      </c>
      <c r="D6" s="558">
        <f t="shared" si="1"/>
        <v>0.23</v>
      </c>
      <c r="E6" s="558">
        <f t="shared" si="2"/>
        <v>0</v>
      </c>
      <c r="F6" s="302" t="s">
        <v>839</v>
      </c>
      <c r="J6" s="302">
        <v>112014319</v>
      </c>
      <c r="K6" s="302">
        <v>7</v>
      </c>
      <c r="L6" s="302" t="s">
        <v>934</v>
      </c>
      <c r="R6" s="302" t="s">
        <v>970</v>
      </c>
      <c r="U6" s="302" t="s">
        <v>970</v>
      </c>
    </row>
    <row r="7" spans="1:21" ht="15.75" customHeight="1">
      <c r="A7" s="302">
        <v>112014205</v>
      </c>
      <c r="B7" s="294">
        <v>10</v>
      </c>
      <c r="C7" s="558">
        <f t="shared" si="0"/>
        <v>0.15</v>
      </c>
      <c r="D7" s="558">
        <f t="shared" si="1"/>
        <v>0.23</v>
      </c>
      <c r="E7" s="558">
        <f t="shared" si="2"/>
        <v>0</v>
      </c>
      <c r="F7" s="302" t="s">
        <v>925</v>
      </c>
      <c r="J7" s="302">
        <v>112014231</v>
      </c>
      <c r="K7" s="302">
        <v>7</v>
      </c>
      <c r="L7" s="302" t="s">
        <v>926</v>
      </c>
      <c r="R7" s="302" t="s">
        <v>907</v>
      </c>
      <c r="U7" s="302" t="s">
        <v>848</v>
      </c>
    </row>
    <row r="8" spans="1:21" ht="15.75" customHeight="1">
      <c r="A8" s="302">
        <v>112012244</v>
      </c>
      <c r="B8" s="294">
        <v>9</v>
      </c>
      <c r="C8" s="558">
        <f t="shared" si="0"/>
        <v>0.12</v>
      </c>
      <c r="D8" s="558">
        <f t="shared" si="1"/>
        <v>0.23</v>
      </c>
      <c r="E8" s="558">
        <f t="shared" si="2"/>
        <v>0</v>
      </c>
      <c r="F8" s="1851" t="s">
        <v>845</v>
      </c>
      <c r="J8" s="302">
        <v>112011654</v>
      </c>
      <c r="K8" s="302">
        <v>7</v>
      </c>
      <c r="L8" s="302" t="s">
        <v>935</v>
      </c>
      <c r="R8" s="302" t="s">
        <v>848</v>
      </c>
      <c r="U8" s="302" t="s">
        <v>960</v>
      </c>
    </row>
    <row r="9" spans="1:21" ht="15.75" customHeight="1">
      <c r="A9" s="302">
        <v>112014412</v>
      </c>
      <c r="B9" s="294">
        <v>9</v>
      </c>
      <c r="C9" s="558">
        <f t="shared" si="0"/>
        <v>0.12</v>
      </c>
      <c r="D9" s="558">
        <f t="shared" si="1"/>
        <v>0.23</v>
      </c>
      <c r="E9" s="558">
        <f t="shared" si="2"/>
        <v>0</v>
      </c>
      <c r="F9" s="302" t="s">
        <v>911</v>
      </c>
      <c r="J9" s="302">
        <v>112011865</v>
      </c>
      <c r="K9" s="302">
        <v>7</v>
      </c>
      <c r="L9" s="302" t="s">
        <v>877</v>
      </c>
      <c r="R9" s="302" t="s">
        <v>960</v>
      </c>
      <c r="U9" s="302" t="s">
        <v>900</v>
      </c>
    </row>
    <row r="10" spans="1:21" ht="15.75" customHeight="1">
      <c r="A10" s="302">
        <v>112012774</v>
      </c>
      <c r="B10" s="294">
        <v>25</v>
      </c>
      <c r="C10" s="558">
        <f t="shared" si="0"/>
        <v>0.12</v>
      </c>
      <c r="D10" s="558">
        <f t="shared" si="1"/>
        <v>0.2</v>
      </c>
      <c r="E10" s="558">
        <f t="shared" si="2"/>
        <v>0</v>
      </c>
      <c r="F10" s="302" t="s">
        <v>847</v>
      </c>
      <c r="J10" s="302">
        <v>112013656</v>
      </c>
      <c r="K10" s="302">
        <v>7</v>
      </c>
      <c r="L10" s="302" t="s">
        <v>958</v>
      </c>
      <c r="R10" s="302" t="s">
        <v>984</v>
      </c>
      <c r="U10" s="302" t="s">
        <v>881</v>
      </c>
    </row>
    <row r="11" spans="1:21" ht="15.75" customHeight="1">
      <c r="A11" s="302">
        <v>112014244</v>
      </c>
      <c r="B11" s="294">
        <v>25</v>
      </c>
      <c r="C11" s="558">
        <f t="shared" si="0"/>
        <v>0.12</v>
      </c>
      <c r="D11" s="558">
        <f t="shared" si="1"/>
        <v>0.2</v>
      </c>
      <c r="E11" s="558">
        <f t="shared" si="2"/>
        <v>0</v>
      </c>
      <c r="F11" s="302" t="s">
        <v>848</v>
      </c>
      <c r="J11" s="302">
        <v>112013796</v>
      </c>
      <c r="K11" s="302">
        <v>7</v>
      </c>
      <c r="L11" s="302" t="s">
        <v>850</v>
      </c>
      <c r="R11" s="302" t="s">
        <v>900</v>
      </c>
      <c r="U11" s="302" t="s">
        <v>986</v>
      </c>
    </row>
    <row r="12" spans="1:21" ht="15.75" customHeight="1">
      <c r="A12" s="302">
        <v>112013166</v>
      </c>
      <c r="B12" s="294">
        <v>7</v>
      </c>
      <c r="C12" s="558">
        <f t="shared" si="0"/>
        <v>0.1</v>
      </c>
      <c r="D12" s="558">
        <f t="shared" si="1"/>
        <v>0.2</v>
      </c>
      <c r="E12" s="558">
        <f t="shared" si="2"/>
        <v>0</v>
      </c>
      <c r="F12" s="302" t="s">
        <v>849</v>
      </c>
      <c r="J12" s="302">
        <v>112014033</v>
      </c>
      <c r="K12" s="302">
        <v>7</v>
      </c>
      <c r="L12" s="302" t="s">
        <v>851</v>
      </c>
      <c r="R12" s="302" t="s">
        <v>905</v>
      </c>
      <c r="U12" s="302" t="s">
        <v>896</v>
      </c>
    </row>
    <row r="13" spans="1:21" ht="15.75" customHeight="1">
      <c r="A13" s="302">
        <v>112014319</v>
      </c>
      <c r="B13" s="294">
        <v>7</v>
      </c>
      <c r="C13" s="558">
        <f t="shared" si="0"/>
        <v>0.1</v>
      </c>
      <c r="D13" s="558">
        <f t="shared" si="1"/>
        <v>0.2</v>
      </c>
      <c r="E13" s="558">
        <f t="shared" si="2"/>
        <v>0</v>
      </c>
      <c r="F13" s="302" t="s">
        <v>934</v>
      </c>
      <c r="J13" s="302">
        <v>112014048</v>
      </c>
      <c r="K13" s="302">
        <v>7</v>
      </c>
      <c r="L13" s="302" t="s">
        <v>852</v>
      </c>
      <c r="R13" s="302" t="s">
        <v>915</v>
      </c>
      <c r="U13" s="302" t="s">
        <v>951</v>
      </c>
    </row>
    <row r="14" spans="1:21" ht="15.75" customHeight="1">
      <c r="A14" s="302">
        <v>112014231</v>
      </c>
      <c r="B14" s="294">
        <v>7</v>
      </c>
      <c r="C14" s="558">
        <f t="shared" si="0"/>
        <v>0.1</v>
      </c>
      <c r="D14" s="558">
        <f t="shared" si="1"/>
        <v>0.2</v>
      </c>
      <c r="E14" s="558">
        <f t="shared" si="2"/>
        <v>0</v>
      </c>
      <c r="F14" s="302" t="s">
        <v>926</v>
      </c>
      <c r="J14" s="302">
        <v>112014063</v>
      </c>
      <c r="K14" s="302">
        <v>7</v>
      </c>
      <c r="L14" s="302" t="s">
        <v>936</v>
      </c>
      <c r="R14" s="302" t="s">
        <v>881</v>
      </c>
      <c r="U14" s="302" t="s">
        <v>973</v>
      </c>
    </row>
    <row r="15" spans="1:21" ht="15.75" customHeight="1">
      <c r="A15" s="302">
        <v>112011654</v>
      </c>
      <c r="B15" s="294">
        <v>7</v>
      </c>
      <c r="C15" s="558">
        <f t="shared" si="0"/>
        <v>0.1</v>
      </c>
      <c r="D15" s="558">
        <f t="shared" si="1"/>
        <v>0.2</v>
      </c>
      <c r="E15" s="558">
        <f t="shared" si="2"/>
        <v>0</v>
      </c>
      <c r="F15" s="302" t="s">
        <v>935</v>
      </c>
      <c r="J15" s="302">
        <v>112014070</v>
      </c>
      <c r="K15" s="302">
        <v>7</v>
      </c>
      <c r="L15" s="302" t="s">
        <v>937</v>
      </c>
      <c r="R15" s="302" t="s">
        <v>976</v>
      </c>
      <c r="U15" s="302" t="s">
        <v>894</v>
      </c>
    </row>
    <row r="16" spans="1:21" ht="15.75" customHeight="1">
      <c r="A16" s="302">
        <v>112011865</v>
      </c>
      <c r="B16" s="294">
        <v>7</v>
      </c>
      <c r="C16" s="558">
        <f t="shared" si="0"/>
        <v>0.1</v>
      </c>
      <c r="D16" s="558">
        <f t="shared" si="1"/>
        <v>0.2</v>
      </c>
      <c r="E16" s="558">
        <f t="shared" si="2"/>
        <v>0</v>
      </c>
      <c r="F16" s="302" t="s">
        <v>877</v>
      </c>
      <c r="J16" s="302">
        <v>112014090</v>
      </c>
      <c r="K16" s="302">
        <v>7</v>
      </c>
      <c r="L16" s="302" t="s">
        <v>927</v>
      </c>
      <c r="R16" s="302" t="s">
        <v>986</v>
      </c>
      <c r="U16" s="302" t="s">
        <v>1638</v>
      </c>
    </row>
    <row r="17" spans="1:21" ht="15.75" customHeight="1">
      <c r="A17" s="302">
        <v>112013656</v>
      </c>
      <c r="B17" s="294">
        <v>7</v>
      </c>
      <c r="C17" s="558">
        <f t="shared" si="0"/>
        <v>0.1</v>
      </c>
      <c r="D17" s="558">
        <f t="shared" si="1"/>
        <v>0.2</v>
      </c>
      <c r="E17" s="558">
        <f t="shared" si="2"/>
        <v>0</v>
      </c>
      <c r="F17" s="302" t="s">
        <v>958</v>
      </c>
      <c r="J17" s="302">
        <v>112014140</v>
      </c>
      <c r="K17" s="302">
        <v>7</v>
      </c>
      <c r="L17" s="302" t="s">
        <v>928</v>
      </c>
      <c r="R17" s="302" t="s">
        <v>896</v>
      </c>
      <c r="U17" s="302" t="s">
        <v>974</v>
      </c>
    </row>
    <row r="18" spans="1:21" ht="15.75" customHeight="1">
      <c r="A18" s="302">
        <v>112013796</v>
      </c>
      <c r="B18" s="294">
        <v>7</v>
      </c>
      <c r="C18" s="558">
        <f t="shared" si="0"/>
        <v>0.1</v>
      </c>
      <c r="D18" s="558">
        <f t="shared" si="1"/>
        <v>0.2</v>
      </c>
      <c r="E18" s="558">
        <f t="shared" si="2"/>
        <v>0</v>
      </c>
      <c r="F18" s="302" t="s">
        <v>850</v>
      </c>
      <c r="J18" s="302">
        <v>112014452</v>
      </c>
      <c r="K18" s="302">
        <v>7</v>
      </c>
      <c r="L18" s="302" t="s">
        <v>909</v>
      </c>
      <c r="R18" s="302" t="s">
        <v>951</v>
      </c>
      <c r="U18" s="302" t="s">
        <v>852</v>
      </c>
    </row>
    <row r="19" spans="1:21" ht="15.75" customHeight="1">
      <c r="A19" s="302">
        <v>112014033</v>
      </c>
      <c r="B19" s="294">
        <v>7</v>
      </c>
      <c r="C19" s="558">
        <f t="shared" si="0"/>
        <v>0.1</v>
      </c>
      <c r="D19" s="558">
        <f t="shared" si="1"/>
        <v>0.2</v>
      </c>
      <c r="E19" s="558">
        <f t="shared" si="2"/>
        <v>0</v>
      </c>
      <c r="F19" s="302" t="s">
        <v>851</v>
      </c>
      <c r="J19" s="302">
        <v>112014599</v>
      </c>
      <c r="K19" s="302">
        <v>7</v>
      </c>
      <c r="L19" s="302" t="s">
        <v>940</v>
      </c>
      <c r="R19" s="302" t="s">
        <v>922</v>
      </c>
      <c r="U19" s="302" t="s">
        <v>935</v>
      </c>
    </row>
    <row r="20" spans="1:21" ht="15.75" customHeight="1">
      <c r="A20" s="302">
        <v>112014048</v>
      </c>
      <c r="B20" s="294">
        <v>7</v>
      </c>
      <c r="C20" s="558">
        <f t="shared" si="0"/>
        <v>0.1</v>
      </c>
      <c r="D20" s="558">
        <f t="shared" si="1"/>
        <v>0.2</v>
      </c>
      <c r="E20" s="558">
        <f t="shared" si="2"/>
        <v>0</v>
      </c>
      <c r="F20" s="302" t="s">
        <v>852</v>
      </c>
      <c r="J20" s="302">
        <v>112010437</v>
      </c>
      <c r="K20" s="302">
        <v>4</v>
      </c>
      <c r="L20" s="302" t="s">
        <v>954</v>
      </c>
      <c r="R20" s="302" t="s">
        <v>923</v>
      </c>
      <c r="U20" s="302" t="s">
        <v>955</v>
      </c>
    </row>
    <row r="21" spans="1:21" ht="15.75" customHeight="1">
      <c r="A21" s="302">
        <v>112014063</v>
      </c>
      <c r="B21" s="294">
        <v>7</v>
      </c>
      <c r="C21" s="558">
        <f t="shared" si="0"/>
        <v>0.1</v>
      </c>
      <c r="D21" s="558">
        <f t="shared" si="1"/>
        <v>0.2</v>
      </c>
      <c r="E21" s="558">
        <f t="shared" si="2"/>
        <v>0</v>
      </c>
      <c r="F21" s="302" t="s">
        <v>936</v>
      </c>
      <c r="J21" s="302">
        <v>112010856</v>
      </c>
      <c r="K21" s="302">
        <v>4</v>
      </c>
      <c r="L21" s="302" t="s">
        <v>956</v>
      </c>
      <c r="R21" s="302" t="s">
        <v>973</v>
      </c>
      <c r="U21" s="302" t="s">
        <v>910</v>
      </c>
    </row>
    <row r="22" spans="1:21" ht="15.75" customHeight="1">
      <c r="A22" s="302">
        <v>112014070</v>
      </c>
      <c r="B22" s="294">
        <v>7</v>
      </c>
      <c r="C22" s="558">
        <f t="shared" si="0"/>
        <v>0.1</v>
      </c>
      <c r="D22" s="558">
        <f t="shared" si="1"/>
        <v>0.2</v>
      </c>
      <c r="E22" s="558">
        <f t="shared" si="2"/>
        <v>0</v>
      </c>
      <c r="F22" s="302" t="s">
        <v>937</v>
      </c>
      <c r="J22" s="302">
        <v>112011432</v>
      </c>
      <c r="K22" s="302">
        <v>4</v>
      </c>
      <c r="L22" s="302" t="s">
        <v>901</v>
      </c>
      <c r="R22" s="302" t="s">
        <v>913</v>
      </c>
      <c r="U22" s="302" t="s">
        <v>890</v>
      </c>
    </row>
    <row r="23" spans="1:21" ht="15.75" customHeight="1">
      <c r="A23" s="302">
        <v>112014090</v>
      </c>
      <c r="B23" s="294">
        <v>7</v>
      </c>
      <c r="C23" s="558">
        <f t="shared" si="0"/>
        <v>0.1</v>
      </c>
      <c r="D23" s="558">
        <f t="shared" si="1"/>
        <v>0.2</v>
      </c>
      <c r="E23" s="558">
        <f t="shared" si="2"/>
        <v>0</v>
      </c>
      <c r="F23" s="302" t="s">
        <v>927</v>
      </c>
      <c r="J23" s="302">
        <v>112011492</v>
      </c>
      <c r="K23" s="302">
        <v>4</v>
      </c>
      <c r="L23" s="302" t="s">
        <v>955</v>
      </c>
      <c r="R23" s="302" t="s">
        <v>953</v>
      </c>
      <c r="U23" s="302" t="s">
        <v>966</v>
      </c>
    </row>
    <row r="24" spans="1:21" ht="15.75" customHeight="1">
      <c r="A24" s="302">
        <v>112014140</v>
      </c>
      <c r="B24" s="294">
        <v>7</v>
      </c>
      <c r="C24" s="558">
        <f t="shared" si="0"/>
        <v>0.1</v>
      </c>
      <c r="D24" s="558">
        <f t="shared" si="1"/>
        <v>0.2</v>
      </c>
      <c r="E24" s="558">
        <f t="shared" si="2"/>
        <v>0</v>
      </c>
      <c r="F24" s="302" t="s">
        <v>928</v>
      </c>
      <c r="J24" s="302">
        <v>112012303</v>
      </c>
      <c r="K24" s="302">
        <v>4</v>
      </c>
      <c r="L24" s="302" t="s">
        <v>957</v>
      </c>
      <c r="R24" s="302" t="s">
        <v>894</v>
      </c>
      <c r="U24" s="302" t="s">
        <v>882</v>
      </c>
    </row>
    <row r="25" spans="1:21" ht="15.75" customHeight="1">
      <c r="A25" s="302">
        <v>112014452</v>
      </c>
      <c r="B25" s="294">
        <v>7</v>
      </c>
      <c r="C25" s="558">
        <f t="shared" si="0"/>
        <v>0.1</v>
      </c>
      <c r="D25" s="558">
        <f t="shared" si="1"/>
        <v>0.2</v>
      </c>
      <c r="E25" s="558">
        <f t="shared" si="2"/>
        <v>0</v>
      </c>
      <c r="F25" s="302" t="s">
        <v>909</v>
      </c>
      <c r="J25" s="302">
        <v>112012309</v>
      </c>
      <c r="K25" s="302">
        <v>4</v>
      </c>
      <c r="L25" s="302" t="s">
        <v>889</v>
      </c>
      <c r="R25" s="302" t="s">
        <v>974</v>
      </c>
      <c r="U25" s="302" t="s">
        <v>898</v>
      </c>
    </row>
    <row r="26" spans="1:21" ht="15.75" customHeight="1">
      <c r="A26" s="302">
        <v>112014599</v>
      </c>
      <c r="B26" s="294">
        <v>7</v>
      </c>
      <c r="C26" s="558">
        <f t="shared" si="0"/>
        <v>0.1</v>
      </c>
      <c r="D26" s="558">
        <f t="shared" si="1"/>
        <v>0.2</v>
      </c>
      <c r="E26" s="558">
        <f t="shared" si="2"/>
        <v>0</v>
      </c>
      <c r="F26" s="302" t="s">
        <v>940</v>
      </c>
      <c r="J26" s="302">
        <v>112012310</v>
      </c>
      <c r="K26" s="302">
        <v>4</v>
      </c>
      <c r="L26" s="302" t="s">
        <v>923</v>
      </c>
      <c r="R26" s="302" t="s">
        <v>852</v>
      </c>
      <c r="U26" s="302" t="s">
        <v>859</v>
      </c>
    </row>
    <row r="27" spans="1:21" ht="15.75" customHeight="1">
      <c r="A27" s="302">
        <v>112014081</v>
      </c>
      <c r="B27" s="294">
        <v>31</v>
      </c>
      <c r="C27" s="558">
        <f t="shared" si="0"/>
        <v>0.1</v>
      </c>
      <c r="D27" s="558">
        <f t="shared" si="1"/>
        <v>0.23</v>
      </c>
      <c r="E27" s="558">
        <f t="shared" si="2"/>
        <v>0</v>
      </c>
      <c r="F27" s="302" t="s">
        <v>855</v>
      </c>
      <c r="J27" s="302">
        <v>112012424</v>
      </c>
      <c r="K27" s="302">
        <v>4</v>
      </c>
      <c r="L27" s="302" t="s">
        <v>947</v>
      </c>
      <c r="R27" s="302" t="s">
        <v>935</v>
      </c>
      <c r="U27" s="302" t="s">
        <v>937</v>
      </c>
    </row>
    <row r="28" spans="1:21" ht="15.75" customHeight="1">
      <c r="A28" s="302">
        <v>112014484</v>
      </c>
      <c r="B28" s="294">
        <v>31</v>
      </c>
      <c r="C28" s="558">
        <f t="shared" si="0"/>
        <v>0.1</v>
      </c>
      <c r="D28" s="558">
        <f t="shared" si="1"/>
        <v>0.23</v>
      </c>
      <c r="E28" s="558">
        <f t="shared" si="2"/>
        <v>0</v>
      </c>
      <c r="F28" s="302" t="s">
        <v>874</v>
      </c>
      <c r="J28" s="302">
        <v>112012801</v>
      </c>
      <c r="K28" s="302">
        <v>4</v>
      </c>
      <c r="L28" s="302" t="s">
        <v>914</v>
      </c>
      <c r="R28" s="302" t="s">
        <v>955</v>
      </c>
      <c r="U28" s="302" t="s">
        <v>936</v>
      </c>
    </row>
    <row r="29" spans="1:21" ht="15.75" customHeight="1">
      <c r="A29" s="302">
        <v>112014516</v>
      </c>
      <c r="B29" s="294">
        <v>31</v>
      </c>
      <c r="C29" s="558">
        <f t="shared" si="0"/>
        <v>0.1</v>
      </c>
      <c r="D29" s="558">
        <f t="shared" si="1"/>
        <v>0.23</v>
      </c>
      <c r="E29" s="558">
        <f t="shared" si="2"/>
        <v>0</v>
      </c>
      <c r="F29" s="302" t="s">
        <v>908</v>
      </c>
      <c r="J29" s="302">
        <v>112012809</v>
      </c>
      <c r="K29" s="302">
        <v>4</v>
      </c>
      <c r="L29" s="302" t="s">
        <v>960</v>
      </c>
      <c r="R29" s="302" t="s">
        <v>961</v>
      </c>
      <c r="U29" s="302" t="s">
        <v>936</v>
      </c>
    </row>
    <row r="30" spans="1:21" ht="15.75" customHeight="1">
      <c r="A30" s="302">
        <v>112014600</v>
      </c>
      <c r="B30" s="294">
        <v>31</v>
      </c>
      <c r="C30" s="558">
        <f t="shared" si="0"/>
        <v>0.1</v>
      </c>
      <c r="D30" s="558">
        <f t="shared" si="1"/>
        <v>0.23</v>
      </c>
      <c r="E30" s="558">
        <f t="shared" si="2"/>
        <v>0</v>
      </c>
      <c r="F30" s="302" t="s">
        <v>856</v>
      </c>
      <c r="J30" s="302">
        <v>112013049</v>
      </c>
      <c r="K30" s="302">
        <v>4</v>
      </c>
      <c r="L30" s="302" t="s">
        <v>961</v>
      </c>
      <c r="R30" s="302" t="s">
        <v>910</v>
      </c>
      <c r="U30" s="302" t="s">
        <v>908</v>
      </c>
    </row>
    <row r="31" spans="1:21" ht="15.75" customHeight="1">
      <c r="A31" s="302">
        <v>112013936</v>
      </c>
      <c r="B31" s="294">
        <v>22</v>
      </c>
      <c r="C31" s="558">
        <f t="shared" si="0"/>
        <v>0.1</v>
      </c>
      <c r="D31" s="558">
        <f t="shared" si="1"/>
        <v>0.09</v>
      </c>
      <c r="E31" s="558">
        <f t="shared" si="2"/>
        <v>0</v>
      </c>
      <c r="F31" s="302" t="s">
        <v>906</v>
      </c>
      <c r="J31" s="302">
        <v>112013646</v>
      </c>
      <c r="K31" s="302">
        <v>4</v>
      </c>
      <c r="L31" s="302" t="s">
        <v>890</v>
      </c>
      <c r="R31" s="302" t="s">
        <v>890</v>
      </c>
      <c r="U31" s="302" t="s">
        <v>964</v>
      </c>
    </row>
    <row r="32" spans="1:21" ht="15.75" customHeight="1">
      <c r="A32" s="302">
        <v>112011883</v>
      </c>
      <c r="B32" s="294">
        <v>22</v>
      </c>
      <c r="C32" s="558">
        <f t="shared" si="0"/>
        <v>0.1</v>
      </c>
      <c r="D32" s="558">
        <f t="shared" si="1"/>
        <v>0.09</v>
      </c>
      <c r="E32" s="558">
        <f t="shared" si="2"/>
        <v>0</v>
      </c>
      <c r="F32" s="302" t="s">
        <v>857</v>
      </c>
      <c r="J32" s="302">
        <v>112014040</v>
      </c>
      <c r="K32" s="302">
        <v>4</v>
      </c>
      <c r="L32" s="302" t="s">
        <v>962</v>
      </c>
      <c r="R32" s="302" t="s">
        <v>966</v>
      </c>
      <c r="U32" s="302" t="s">
        <v>933</v>
      </c>
    </row>
    <row r="33" spans="1:21" ht="15.75" customHeight="1">
      <c r="A33" s="302">
        <v>112010010</v>
      </c>
      <c r="B33" s="294">
        <v>22</v>
      </c>
      <c r="C33" s="558">
        <f t="shared" si="0"/>
        <v>0.1</v>
      </c>
      <c r="D33" s="558">
        <f t="shared" si="1"/>
        <v>0.09</v>
      </c>
      <c r="E33" s="558">
        <f t="shared" si="2"/>
        <v>0</v>
      </c>
      <c r="F33" s="302" t="s">
        <v>858</v>
      </c>
      <c r="J33" s="302">
        <v>112014041</v>
      </c>
      <c r="K33" s="302">
        <v>4</v>
      </c>
      <c r="L33" s="302" t="s">
        <v>900</v>
      </c>
      <c r="R33" s="302" t="s">
        <v>882</v>
      </c>
      <c r="U33" s="302" t="s">
        <v>940</v>
      </c>
    </row>
    <row r="34" spans="1:21" ht="15.75" customHeight="1">
      <c r="A34" s="302">
        <v>112010020</v>
      </c>
      <c r="B34" s="294">
        <v>22</v>
      </c>
      <c r="C34" s="558">
        <f t="shared" si="0"/>
        <v>0.1</v>
      </c>
      <c r="D34" s="558">
        <f t="shared" si="1"/>
        <v>0.09</v>
      </c>
      <c r="E34" s="558">
        <f t="shared" si="2"/>
        <v>0</v>
      </c>
      <c r="F34" s="302" t="s">
        <v>859</v>
      </c>
      <c r="J34" s="302">
        <v>112014075</v>
      </c>
      <c r="K34" s="302">
        <v>4</v>
      </c>
      <c r="L34" s="302" t="s">
        <v>918</v>
      </c>
      <c r="R34" s="302" t="s">
        <v>898</v>
      </c>
      <c r="U34" s="302" t="s">
        <v>962</v>
      </c>
    </row>
    <row r="35" spans="1:21" ht="15.75" customHeight="1">
      <c r="A35" s="302">
        <v>112011927</v>
      </c>
      <c r="B35" s="294">
        <v>22</v>
      </c>
      <c r="C35" s="558">
        <f t="shared" ref="C35:C66" si="3">IFERROR(VLOOKUP(B35,DES,2,FALSE),"")</f>
        <v>0.1</v>
      </c>
      <c r="D35" s="558">
        <f t="shared" ref="D35:D66" si="4">IFERROR(VLOOKUP(B35,DES,3,FALSE),"")</f>
        <v>0.09</v>
      </c>
      <c r="E35" s="558">
        <f t="shared" ref="E35:E66" si="5">IFERROR(VLOOKUP(B35,DES,4,FALSE),"")</f>
        <v>0</v>
      </c>
      <c r="F35" s="302" t="s">
        <v>941</v>
      </c>
      <c r="J35" s="302">
        <v>112014084</v>
      </c>
      <c r="K35" s="302">
        <v>4</v>
      </c>
      <c r="L35" s="302" t="s">
        <v>912</v>
      </c>
      <c r="R35" s="302" t="s">
        <v>859</v>
      </c>
      <c r="U35" s="302" t="s">
        <v>840</v>
      </c>
    </row>
    <row r="36" spans="1:21" ht="15.75" customHeight="1">
      <c r="A36" s="302">
        <v>112012132</v>
      </c>
      <c r="B36" s="294">
        <v>22</v>
      </c>
      <c r="C36" s="558">
        <f t="shared" si="3"/>
        <v>0.1</v>
      </c>
      <c r="D36" s="558">
        <f t="shared" si="4"/>
        <v>0.09</v>
      </c>
      <c r="E36" s="558">
        <f t="shared" si="5"/>
        <v>0</v>
      </c>
      <c r="F36" s="302" t="s">
        <v>942</v>
      </c>
      <c r="J36" s="302">
        <v>112014088</v>
      </c>
      <c r="K36" s="302">
        <v>4</v>
      </c>
      <c r="L36" s="302" t="s">
        <v>904</v>
      </c>
      <c r="R36" s="302" t="s">
        <v>937</v>
      </c>
      <c r="U36" s="302" t="s">
        <v>925</v>
      </c>
    </row>
    <row r="37" spans="1:21" ht="15.75" customHeight="1">
      <c r="A37" s="302">
        <v>112012525</v>
      </c>
      <c r="B37" s="294">
        <v>22</v>
      </c>
      <c r="C37" s="558">
        <f t="shared" si="3"/>
        <v>0.1</v>
      </c>
      <c r="D37" s="558">
        <f t="shared" si="4"/>
        <v>0.09</v>
      </c>
      <c r="E37" s="558">
        <f t="shared" si="5"/>
        <v>0</v>
      </c>
      <c r="F37" s="302" t="s">
        <v>881</v>
      </c>
      <c r="J37" s="302">
        <v>112014110</v>
      </c>
      <c r="K37" s="302">
        <v>4</v>
      </c>
      <c r="L37" s="302" t="s">
        <v>913</v>
      </c>
      <c r="R37" s="302" t="s">
        <v>936</v>
      </c>
      <c r="U37" s="302" t="s">
        <v>858</v>
      </c>
    </row>
    <row r="38" spans="1:21" ht="15.75" customHeight="1">
      <c r="A38" s="302">
        <v>112013064</v>
      </c>
      <c r="B38" s="294">
        <v>22</v>
      </c>
      <c r="C38" s="558">
        <f t="shared" si="3"/>
        <v>0.1</v>
      </c>
      <c r="D38" s="558">
        <f t="shared" si="4"/>
        <v>0.09</v>
      </c>
      <c r="E38" s="558">
        <f t="shared" si="5"/>
        <v>0</v>
      </c>
      <c r="F38" s="302" t="s">
        <v>882</v>
      </c>
      <c r="J38" s="302">
        <v>112014191</v>
      </c>
      <c r="K38" s="302">
        <v>4</v>
      </c>
      <c r="L38" s="302" t="s">
        <v>891</v>
      </c>
      <c r="R38" s="302" t="s">
        <v>908</v>
      </c>
      <c r="U38" s="302" t="s">
        <v>855</v>
      </c>
    </row>
    <row r="39" spans="1:21" ht="15.75" customHeight="1">
      <c r="A39" s="302">
        <v>112013139</v>
      </c>
      <c r="B39" s="294">
        <v>22</v>
      </c>
      <c r="C39" s="558">
        <f t="shared" si="3"/>
        <v>0.1</v>
      </c>
      <c r="D39" s="558">
        <f t="shared" si="4"/>
        <v>0.09</v>
      </c>
      <c r="E39" s="558">
        <f t="shared" si="5"/>
        <v>0</v>
      </c>
      <c r="F39" s="302" t="s">
        <v>943</v>
      </c>
      <c r="J39" s="302">
        <v>112014201</v>
      </c>
      <c r="K39" s="302">
        <v>4</v>
      </c>
      <c r="L39" s="302" t="s">
        <v>963</v>
      </c>
      <c r="R39" s="302" t="s">
        <v>964</v>
      </c>
      <c r="U39" s="302" t="s">
        <v>897</v>
      </c>
    </row>
    <row r="40" spans="1:21" ht="15.75" customHeight="1">
      <c r="A40" s="302">
        <v>112013316</v>
      </c>
      <c r="B40" s="294">
        <v>22</v>
      </c>
      <c r="C40" s="558">
        <f t="shared" si="3"/>
        <v>0.1</v>
      </c>
      <c r="D40" s="558">
        <f t="shared" si="4"/>
        <v>0.09</v>
      </c>
      <c r="E40" s="558">
        <f t="shared" si="5"/>
        <v>0</v>
      </c>
      <c r="F40" s="302" t="s">
        <v>862</v>
      </c>
      <c r="J40" s="302">
        <v>112014207</v>
      </c>
      <c r="K40" s="302">
        <v>4</v>
      </c>
      <c r="L40" s="302" t="s">
        <v>907</v>
      </c>
      <c r="R40" s="302" t="s">
        <v>933</v>
      </c>
      <c r="U40" s="302" t="s">
        <v>838</v>
      </c>
    </row>
    <row r="41" spans="1:21" ht="15.75" customHeight="1">
      <c r="A41" s="302">
        <v>112013328</v>
      </c>
      <c r="B41" s="294">
        <v>22</v>
      </c>
      <c r="C41" s="558">
        <f t="shared" si="3"/>
        <v>0.1</v>
      </c>
      <c r="D41" s="558">
        <f t="shared" si="4"/>
        <v>0.09</v>
      </c>
      <c r="E41" s="558">
        <f t="shared" si="5"/>
        <v>0</v>
      </c>
      <c r="F41" s="302" t="s">
        <v>864</v>
      </c>
      <c r="J41" s="302">
        <v>112014308</v>
      </c>
      <c r="K41" s="302">
        <v>4</v>
      </c>
      <c r="L41" s="302" t="s">
        <v>964</v>
      </c>
      <c r="R41" s="302" t="s">
        <v>940</v>
      </c>
      <c r="U41" s="302" t="s">
        <v>919</v>
      </c>
    </row>
    <row r="42" spans="1:21" ht="15.75" customHeight="1">
      <c r="A42" s="302">
        <v>112013480</v>
      </c>
      <c r="B42" s="294">
        <v>22</v>
      </c>
      <c r="C42" s="558">
        <f t="shared" si="3"/>
        <v>0.1</v>
      </c>
      <c r="D42" s="558">
        <f t="shared" si="4"/>
        <v>0.09</v>
      </c>
      <c r="E42" s="558">
        <f t="shared" si="5"/>
        <v>0</v>
      </c>
      <c r="F42" s="302" t="s">
        <v>840</v>
      </c>
      <c r="J42" s="302">
        <v>112014401</v>
      </c>
      <c r="K42" s="302">
        <v>4</v>
      </c>
      <c r="L42" s="302" t="s">
        <v>919</v>
      </c>
      <c r="R42" s="302" t="s">
        <v>962</v>
      </c>
      <c r="U42" s="302" t="s">
        <v>849</v>
      </c>
    </row>
    <row r="43" spans="1:21" ht="13">
      <c r="A43" s="302">
        <v>112014067</v>
      </c>
      <c r="B43" s="294">
        <v>22</v>
      </c>
      <c r="C43" s="558">
        <f t="shared" si="3"/>
        <v>0.1</v>
      </c>
      <c r="D43" s="558">
        <f t="shared" si="4"/>
        <v>0.09</v>
      </c>
      <c r="E43" s="558">
        <f t="shared" si="5"/>
        <v>0</v>
      </c>
      <c r="F43" s="302" t="s">
        <v>865</v>
      </c>
      <c r="J43" s="302">
        <v>112014475</v>
      </c>
      <c r="K43" s="302">
        <v>4</v>
      </c>
      <c r="L43" s="302" t="s">
        <v>892</v>
      </c>
      <c r="R43" s="302" t="s">
        <v>840</v>
      </c>
      <c r="U43" s="302" t="s">
        <v>950</v>
      </c>
    </row>
    <row r="44" spans="1:21" ht="13">
      <c r="A44" s="302">
        <v>112014147</v>
      </c>
      <c r="B44" s="294">
        <v>22</v>
      </c>
      <c r="C44" s="558">
        <f t="shared" si="3"/>
        <v>0.1</v>
      </c>
      <c r="D44" s="558">
        <f t="shared" si="4"/>
        <v>0.09</v>
      </c>
      <c r="E44" s="558">
        <f t="shared" si="5"/>
        <v>0</v>
      </c>
      <c r="F44" s="302" t="s">
        <v>966</v>
      </c>
      <c r="J44" s="302">
        <v>112014552</v>
      </c>
      <c r="K44" s="302">
        <v>4</v>
      </c>
      <c r="L44" s="302" t="s">
        <v>965</v>
      </c>
      <c r="R44" s="302" t="s">
        <v>925</v>
      </c>
      <c r="U44" s="302" t="s">
        <v>892</v>
      </c>
    </row>
    <row r="45" spans="1:21" ht="13">
      <c r="A45" s="302">
        <v>112014568</v>
      </c>
      <c r="B45" s="294">
        <v>22</v>
      </c>
      <c r="C45" s="558">
        <f t="shared" si="3"/>
        <v>0.1</v>
      </c>
      <c r="D45" s="558">
        <f t="shared" si="4"/>
        <v>0.09</v>
      </c>
      <c r="E45" s="558">
        <f t="shared" si="5"/>
        <v>0</v>
      </c>
      <c r="F45" s="302" t="s">
        <v>969</v>
      </c>
      <c r="J45" s="302">
        <v>112014596</v>
      </c>
      <c r="K45" s="302">
        <v>4</v>
      </c>
      <c r="L45" s="302" t="s">
        <v>967</v>
      </c>
      <c r="R45" s="302" t="s">
        <v>858</v>
      </c>
      <c r="U45" s="302" t="s">
        <v>856</v>
      </c>
    </row>
    <row r="46" spans="1:21" ht="13">
      <c r="A46" s="302">
        <v>112014607</v>
      </c>
      <c r="B46" s="294">
        <v>22</v>
      </c>
      <c r="C46" s="558">
        <f t="shared" si="3"/>
        <v>0.1</v>
      </c>
      <c r="D46" s="558">
        <f t="shared" si="4"/>
        <v>0.09</v>
      </c>
      <c r="E46" s="558">
        <f t="shared" si="5"/>
        <v>0</v>
      </c>
      <c r="F46" s="302" t="s">
        <v>970</v>
      </c>
      <c r="J46" s="302">
        <v>112014625</v>
      </c>
      <c r="K46" s="302">
        <v>4</v>
      </c>
      <c r="L46" s="302" t="s">
        <v>968</v>
      </c>
      <c r="R46" s="302" t="s">
        <v>855</v>
      </c>
      <c r="U46" s="302" t="s">
        <v>965</v>
      </c>
    </row>
    <row r="47" spans="1:21" ht="13">
      <c r="A47" s="302">
        <v>112014072</v>
      </c>
      <c r="B47" s="294">
        <v>21</v>
      </c>
      <c r="C47" s="558">
        <f t="shared" si="3"/>
        <v>0.1</v>
      </c>
      <c r="D47" s="558">
        <f t="shared" si="4"/>
        <v>0</v>
      </c>
      <c r="E47" s="558">
        <f t="shared" si="5"/>
        <v>0</v>
      </c>
      <c r="F47" s="302" t="s">
        <v>971</v>
      </c>
      <c r="J47" s="302">
        <v>112014081</v>
      </c>
      <c r="K47" s="302">
        <v>31</v>
      </c>
      <c r="L47" s="302" t="s">
        <v>855</v>
      </c>
      <c r="R47" s="302" t="s">
        <v>897</v>
      </c>
      <c r="U47" s="302" t="s">
        <v>963</v>
      </c>
    </row>
    <row r="48" spans="1:21" ht="13">
      <c r="A48" s="302">
        <v>112014080</v>
      </c>
      <c r="B48" s="294">
        <v>21</v>
      </c>
      <c r="C48" s="558">
        <f t="shared" si="3"/>
        <v>0.1</v>
      </c>
      <c r="D48" s="558">
        <f t="shared" si="4"/>
        <v>0</v>
      </c>
      <c r="E48" s="558">
        <f t="shared" si="5"/>
        <v>0</v>
      </c>
      <c r="F48" s="302" t="s">
        <v>885</v>
      </c>
      <c r="J48" s="302">
        <v>112014484</v>
      </c>
      <c r="K48" s="302">
        <v>31</v>
      </c>
      <c r="L48" s="302" t="s">
        <v>874</v>
      </c>
      <c r="R48" s="302" t="s">
        <v>838</v>
      </c>
      <c r="U48" s="302" t="s">
        <v>967</v>
      </c>
    </row>
    <row r="49" spans="1:21" ht="13">
      <c r="A49" s="302">
        <v>112011810</v>
      </c>
      <c r="B49" s="294">
        <v>29</v>
      </c>
      <c r="C49" s="558">
        <f t="shared" si="3"/>
        <v>0.05</v>
      </c>
      <c r="D49" s="558">
        <f t="shared" si="4"/>
        <v>0.2</v>
      </c>
      <c r="E49" s="558">
        <f t="shared" si="5"/>
        <v>0</v>
      </c>
      <c r="F49" s="302" t="s">
        <v>949</v>
      </c>
      <c r="J49" s="302">
        <v>112014516</v>
      </c>
      <c r="K49" s="302">
        <v>31</v>
      </c>
      <c r="L49" s="302" t="s">
        <v>908</v>
      </c>
      <c r="R49" s="302" t="s">
        <v>909</v>
      </c>
      <c r="U49" s="302" t="s">
        <v>929</v>
      </c>
    </row>
    <row r="50" spans="1:21" ht="13">
      <c r="A50" s="302">
        <v>112014078</v>
      </c>
      <c r="B50" s="294">
        <v>29</v>
      </c>
      <c r="C50" s="558">
        <f t="shared" si="3"/>
        <v>0.05</v>
      </c>
      <c r="D50" s="558">
        <f t="shared" si="4"/>
        <v>0.2</v>
      </c>
      <c r="E50" s="558">
        <f t="shared" si="5"/>
        <v>0</v>
      </c>
      <c r="F50" s="302" t="s">
        <v>950</v>
      </c>
      <c r="J50" s="302">
        <v>112014600</v>
      </c>
      <c r="K50" s="302">
        <v>31</v>
      </c>
      <c r="L50" s="302" t="s">
        <v>856</v>
      </c>
      <c r="R50" s="302" t="s">
        <v>919</v>
      </c>
      <c r="U50" s="302" t="s">
        <v>934</v>
      </c>
    </row>
    <row r="51" spans="1:21" ht="13">
      <c r="A51" s="302">
        <v>112014097</v>
      </c>
      <c r="B51" s="294">
        <v>29</v>
      </c>
      <c r="C51" s="558">
        <f t="shared" si="3"/>
        <v>0.05</v>
      </c>
      <c r="D51" s="558">
        <f t="shared" si="4"/>
        <v>0.2</v>
      </c>
      <c r="E51" s="558">
        <f t="shared" si="5"/>
        <v>0</v>
      </c>
      <c r="F51" s="302" t="s">
        <v>951</v>
      </c>
      <c r="J51" s="302">
        <v>112011810</v>
      </c>
      <c r="K51" s="302">
        <v>29</v>
      </c>
      <c r="L51" s="302" t="s">
        <v>949</v>
      </c>
      <c r="R51" s="302" t="s">
        <v>906</v>
      </c>
      <c r="U51" s="302" t="s">
        <v>969</v>
      </c>
    </row>
    <row r="52" spans="1:21" ht="13">
      <c r="A52" s="302">
        <v>112012422</v>
      </c>
      <c r="B52" s="294">
        <v>20</v>
      </c>
      <c r="C52" s="558">
        <f t="shared" si="3"/>
        <v>0.05</v>
      </c>
      <c r="D52" s="558">
        <f t="shared" si="4"/>
        <v>0.09</v>
      </c>
      <c r="E52" s="558">
        <f t="shared" si="5"/>
        <v>0</v>
      </c>
      <c r="F52" s="302" t="s">
        <v>903</v>
      </c>
      <c r="J52" s="302">
        <v>112014078</v>
      </c>
      <c r="K52" s="302">
        <v>29</v>
      </c>
      <c r="L52" s="302" t="s">
        <v>950</v>
      </c>
      <c r="R52" s="302" t="s">
        <v>849</v>
      </c>
      <c r="U52" s="302" t="s">
        <v>874</v>
      </c>
    </row>
    <row r="53" spans="1:21" ht="13">
      <c r="A53" s="302">
        <v>112012863</v>
      </c>
      <c r="B53" s="294">
        <v>20</v>
      </c>
      <c r="C53" s="558">
        <f t="shared" si="3"/>
        <v>0.05</v>
      </c>
      <c r="D53" s="558">
        <f t="shared" si="4"/>
        <v>0.09</v>
      </c>
      <c r="E53" s="558">
        <f t="shared" si="5"/>
        <v>0</v>
      </c>
      <c r="F53" s="302" t="s">
        <v>933</v>
      </c>
      <c r="J53" s="302">
        <v>112014097</v>
      </c>
      <c r="K53" s="302">
        <v>29</v>
      </c>
      <c r="L53" s="302" t="s">
        <v>951</v>
      </c>
      <c r="R53" s="302" t="s">
        <v>895</v>
      </c>
      <c r="U53" s="302" t="s">
        <v>975</v>
      </c>
    </row>
    <row r="54" spans="1:21" ht="13">
      <c r="A54" s="302">
        <v>112013395</v>
      </c>
      <c r="B54" s="294">
        <v>20</v>
      </c>
      <c r="C54" s="558">
        <f t="shared" si="3"/>
        <v>0.05</v>
      </c>
      <c r="D54" s="558">
        <f t="shared" si="4"/>
        <v>0.09</v>
      </c>
      <c r="E54" s="558">
        <f t="shared" si="5"/>
        <v>0</v>
      </c>
      <c r="F54" s="302" t="s">
        <v>952</v>
      </c>
      <c r="J54" s="302">
        <v>112012774</v>
      </c>
      <c r="K54" s="302">
        <v>25</v>
      </c>
      <c r="L54" s="302" t="s">
        <v>847</v>
      </c>
      <c r="R54" s="302" t="s">
        <v>921</v>
      </c>
      <c r="U54" s="302" t="s">
        <v>903</v>
      </c>
    </row>
    <row r="55" spans="1:21" ht="13">
      <c r="A55" s="302">
        <v>112014052</v>
      </c>
      <c r="B55" s="294">
        <v>20</v>
      </c>
      <c r="C55" s="558">
        <f t="shared" si="3"/>
        <v>0.05</v>
      </c>
      <c r="D55" s="558">
        <f t="shared" si="4"/>
        <v>0.09</v>
      </c>
      <c r="E55" s="558">
        <f t="shared" si="5"/>
        <v>0</v>
      </c>
      <c r="F55" s="302" t="s">
        <v>953</v>
      </c>
      <c r="J55" s="302">
        <v>112014244</v>
      </c>
      <c r="K55" s="302">
        <v>25</v>
      </c>
      <c r="L55" s="302" t="s">
        <v>848</v>
      </c>
      <c r="R55" s="302" t="s">
        <v>950</v>
      </c>
      <c r="U55" s="302" t="s">
        <v>947</v>
      </c>
    </row>
    <row r="56" spans="1:21" ht="13">
      <c r="A56" s="302">
        <v>112014509</v>
      </c>
      <c r="B56" s="294">
        <v>20</v>
      </c>
      <c r="C56" s="558">
        <f t="shared" si="3"/>
        <v>0.05</v>
      </c>
      <c r="D56" s="558">
        <f t="shared" si="4"/>
        <v>0.09</v>
      </c>
      <c r="E56" s="558">
        <f t="shared" si="5"/>
        <v>0</v>
      </c>
      <c r="F56" s="302" t="s">
        <v>921</v>
      </c>
      <c r="J56" s="302">
        <v>112013936</v>
      </c>
      <c r="K56" s="302">
        <v>22</v>
      </c>
      <c r="L56" s="302" t="s">
        <v>906</v>
      </c>
      <c r="R56" s="302" t="s">
        <v>968</v>
      </c>
      <c r="U56" s="302" t="s">
        <v>846</v>
      </c>
    </row>
    <row r="57" spans="1:21" ht="13">
      <c r="A57" s="302">
        <v>112014057</v>
      </c>
      <c r="B57" s="294">
        <v>19</v>
      </c>
      <c r="C57" s="558">
        <f t="shared" si="3"/>
        <v>0.05</v>
      </c>
      <c r="D57" s="558">
        <f t="shared" si="4"/>
        <v>0</v>
      </c>
      <c r="E57" s="558">
        <f t="shared" si="5"/>
        <v>0</v>
      </c>
      <c r="F57" s="302" t="s">
        <v>905</v>
      </c>
      <c r="J57" s="302">
        <v>112011883</v>
      </c>
      <c r="K57" s="302">
        <v>22</v>
      </c>
      <c r="L57" s="302" t="s">
        <v>857</v>
      </c>
      <c r="R57" s="302" t="s">
        <v>892</v>
      </c>
      <c r="U57" s="302" t="s">
        <v>877</v>
      </c>
    </row>
    <row r="58" spans="1:21" ht="13">
      <c r="A58" s="302">
        <v>112010437</v>
      </c>
      <c r="B58" s="294">
        <v>4</v>
      </c>
      <c r="C58" s="558" t="str">
        <f t="shared" si="3"/>
        <v>Lista</v>
      </c>
      <c r="D58" s="558">
        <f t="shared" si="4"/>
        <v>0.2</v>
      </c>
      <c r="E58" s="558">
        <f t="shared" si="5"/>
        <v>0</v>
      </c>
      <c r="F58" s="302" t="s">
        <v>954</v>
      </c>
      <c r="J58" s="302">
        <v>112010010</v>
      </c>
      <c r="K58" s="302">
        <v>22</v>
      </c>
      <c r="L58" s="302" t="s">
        <v>858</v>
      </c>
      <c r="R58" s="302" t="s">
        <v>856</v>
      </c>
      <c r="U58" s="302" t="s">
        <v>850</v>
      </c>
    </row>
    <row r="59" spans="1:21" ht="13">
      <c r="A59" s="302">
        <v>112010856</v>
      </c>
      <c r="B59" s="294">
        <v>4</v>
      </c>
      <c r="C59" s="558" t="str">
        <f t="shared" si="3"/>
        <v>Lista</v>
      </c>
      <c r="D59" s="558">
        <f t="shared" si="4"/>
        <v>0.2</v>
      </c>
      <c r="E59" s="558">
        <f t="shared" si="5"/>
        <v>0</v>
      </c>
      <c r="F59" s="302" t="s">
        <v>956</v>
      </c>
      <c r="J59" s="302">
        <v>112010020</v>
      </c>
      <c r="K59" s="302">
        <v>22</v>
      </c>
      <c r="L59" s="302" t="s">
        <v>859</v>
      </c>
      <c r="R59" s="302" t="s">
        <v>965</v>
      </c>
      <c r="U59" s="302" t="s">
        <v>844</v>
      </c>
    </row>
    <row r="60" spans="1:21" ht="13">
      <c r="A60" s="302">
        <v>112011432</v>
      </c>
      <c r="B60" s="294">
        <v>4</v>
      </c>
      <c r="C60" s="558" t="str">
        <f t="shared" si="3"/>
        <v>Lista</v>
      </c>
      <c r="D60" s="558">
        <f t="shared" si="4"/>
        <v>0.2</v>
      </c>
      <c r="E60" s="558">
        <f t="shared" si="5"/>
        <v>0</v>
      </c>
      <c r="F60" s="302" t="s">
        <v>901</v>
      </c>
      <c r="J60" s="302">
        <v>112011927</v>
      </c>
      <c r="K60" s="302">
        <v>22</v>
      </c>
      <c r="L60" s="302" t="s">
        <v>941</v>
      </c>
      <c r="R60" s="302" t="s">
        <v>963</v>
      </c>
      <c r="U60" s="302" t="s">
        <v>928</v>
      </c>
    </row>
    <row r="61" spans="1:21" ht="13">
      <c r="A61" s="302">
        <v>112011492</v>
      </c>
      <c r="B61" s="294">
        <v>4</v>
      </c>
      <c r="C61" s="558" t="str">
        <f t="shared" si="3"/>
        <v>Lista</v>
      </c>
      <c r="D61" s="558">
        <f t="shared" si="4"/>
        <v>0.2</v>
      </c>
      <c r="E61" s="558">
        <f t="shared" si="5"/>
        <v>0</v>
      </c>
      <c r="F61" s="302" t="s">
        <v>955</v>
      </c>
      <c r="J61" s="302">
        <v>112012132</v>
      </c>
      <c r="K61" s="302">
        <v>22</v>
      </c>
      <c r="L61" s="302" t="s">
        <v>942</v>
      </c>
      <c r="R61" s="302" t="s">
        <v>967</v>
      </c>
      <c r="U61" s="302" t="s">
        <v>920</v>
      </c>
    </row>
    <row r="62" spans="1:21" ht="13">
      <c r="A62" s="302">
        <v>112012303</v>
      </c>
      <c r="B62" s="294">
        <v>4</v>
      </c>
      <c r="C62" s="558" t="str">
        <f t="shared" si="3"/>
        <v>Lista</v>
      </c>
      <c r="D62" s="558">
        <f t="shared" si="4"/>
        <v>0.2</v>
      </c>
      <c r="E62" s="558">
        <f t="shared" si="5"/>
        <v>0</v>
      </c>
      <c r="F62" s="302" t="s">
        <v>957</v>
      </c>
      <c r="J62" s="302">
        <v>112012525</v>
      </c>
      <c r="K62" s="302">
        <v>22</v>
      </c>
      <c r="L62" s="302" t="s">
        <v>881</v>
      </c>
      <c r="R62" s="302" t="s">
        <v>929</v>
      </c>
      <c r="U62" s="302" t="s">
        <v>927</v>
      </c>
    </row>
    <row r="63" spans="1:21" ht="13">
      <c r="A63" s="302">
        <v>112012309</v>
      </c>
      <c r="B63" s="294">
        <v>4</v>
      </c>
      <c r="C63" s="558" t="str">
        <f t="shared" si="3"/>
        <v>Lista</v>
      </c>
      <c r="D63" s="558">
        <f t="shared" si="4"/>
        <v>0.2</v>
      </c>
      <c r="E63" s="558">
        <f t="shared" si="5"/>
        <v>0</v>
      </c>
      <c r="F63" s="302" t="s">
        <v>889</v>
      </c>
      <c r="J63" s="302">
        <v>112013064</v>
      </c>
      <c r="K63" s="302">
        <v>22</v>
      </c>
      <c r="L63" s="302" t="s">
        <v>882</v>
      </c>
      <c r="R63" s="302" t="s">
        <v>914</v>
      </c>
      <c r="U63" s="302" t="s">
        <v>862</v>
      </c>
    </row>
    <row r="64" spans="1:21" ht="13">
      <c r="A64" s="302">
        <v>112012310</v>
      </c>
      <c r="B64" s="294">
        <v>4</v>
      </c>
      <c r="C64" s="558" t="str">
        <f t="shared" si="3"/>
        <v>Lista</v>
      </c>
      <c r="D64" s="558">
        <f t="shared" si="4"/>
        <v>0.2</v>
      </c>
      <c r="E64" s="558">
        <f t="shared" si="5"/>
        <v>0</v>
      </c>
      <c r="F64" s="302" t="s">
        <v>923</v>
      </c>
      <c r="J64" s="302">
        <v>112013139</v>
      </c>
      <c r="K64" s="302">
        <v>22</v>
      </c>
      <c r="L64" s="302" t="s">
        <v>943</v>
      </c>
      <c r="R64" s="302" t="s">
        <v>934</v>
      </c>
      <c r="U64" s="302" t="s">
        <v>847</v>
      </c>
    </row>
    <row r="65" spans="1:21" ht="13">
      <c r="A65" s="302">
        <v>112012424</v>
      </c>
      <c r="B65" s="294">
        <v>4</v>
      </c>
      <c r="C65" s="558" t="str">
        <f t="shared" si="3"/>
        <v>Lista</v>
      </c>
      <c r="D65" s="558">
        <f t="shared" si="4"/>
        <v>0.2</v>
      </c>
      <c r="E65" s="558">
        <f t="shared" si="5"/>
        <v>0</v>
      </c>
      <c r="F65" s="302" t="s">
        <v>947</v>
      </c>
      <c r="J65" s="302">
        <v>112013316</v>
      </c>
      <c r="K65" s="302">
        <v>22</v>
      </c>
      <c r="L65" s="302" t="s">
        <v>862</v>
      </c>
      <c r="R65" s="302" t="s">
        <v>969</v>
      </c>
      <c r="U65" s="302" t="s">
        <v>891</v>
      </c>
    </row>
    <row r="66" spans="1:21" ht="13">
      <c r="A66" s="302">
        <v>112012801</v>
      </c>
      <c r="B66" s="294">
        <v>4</v>
      </c>
      <c r="C66" s="558" t="str">
        <f t="shared" si="3"/>
        <v>Lista</v>
      </c>
      <c r="D66" s="558">
        <f t="shared" si="4"/>
        <v>0.2</v>
      </c>
      <c r="E66" s="558">
        <f t="shared" si="5"/>
        <v>0</v>
      </c>
      <c r="F66" s="302" t="s">
        <v>914</v>
      </c>
      <c r="J66" s="302">
        <v>112013328</v>
      </c>
      <c r="K66" s="302">
        <v>22</v>
      </c>
      <c r="L66" s="302" t="s">
        <v>864</v>
      </c>
      <c r="R66" s="302" t="s">
        <v>874</v>
      </c>
      <c r="U66" s="302" t="s">
        <v>839</v>
      </c>
    </row>
    <row r="67" spans="1:21" ht="13">
      <c r="A67" s="302">
        <v>112012809</v>
      </c>
      <c r="B67" s="294">
        <v>4</v>
      </c>
      <c r="C67" s="558" t="str">
        <f t="shared" ref="C67:C98" si="6">IFERROR(VLOOKUP(B67,DES,2,FALSE),"")</f>
        <v>Lista</v>
      </c>
      <c r="D67" s="558">
        <f t="shared" ref="D67:D98" si="7">IFERROR(VLOOKUP(B67,DES,3,FALSE),"")</f>
        <v>0.2</v>
      </c>
      <c r="E67" s="558">
        <f t="shared" ref="E67:E98" si="8">IFERROR(VLOOKUP(B67,DES,4,FALSE),"")</f>
        <v>0</v>
      </c>
      <c r="F67" s="302" t="s">
        <v>960</v>
      </c>
      <c r="J67" s="302">
        <v>112013480</v>
      </c>
      <c r="K67" s="302">
        <v>22</v>
      </c>
      <c r="L67" s="302" t="s">
        <v>840</v>
      </c>
      <c r="R67" s="302" t="s">
        <v>975</v>
      </c>
      <c r="U67" s="302" t="s">
        <v>904</v>
      </c>
    </row>
    <row r="68" spans="1:21" ht="13">
      <c r="A68" s="302">
        <v>112013049</v>
      </c>
      <c r="B68" s="294">
        <v>4</v>
      </c>
      <c r="C68" s="558" t="str">
        <f t="shared" si="6"/>
        <v>Lista</v>
      </c>
      <c r="D68" s="558">
        <f t="shared" si="7"/>
        <v>0.2</v>
      </c>
      <c r="E68" s="558">
        <f t="shared" si="8"/>
        <v>0</v>
      </c>
      <c r="F68" s="302" t="s">
        <v>961</v>
      </c>
      <c r="J68" s="302">
        <v>112014067</v>
      </c>
      <c r="K68" s="302">
        <v>22</v>
      </c>
      <c r="L68" s="302" t="s">
        <v>865</v>
      </c>
      <c r="R68" s="302" t="s">
        <v>918</v>
      </c>
      <c r="U68" s="302" t="s">
        <v>893</v>
      </c>
    </row>
    <row r="69" spans="1:21" ht="13">
      <c r="A69" s="302">
        <v>112013646</v>
      </c>
      <c r="B69" s="294">
        <v>4</v>
      </c>
      <c r="C69" s="558" t="str">
        <f t="shared" si="6"/>
        <v>Lista</v>
      </c>
      <c r="D69" s="558">
        <f t="shared" si="7"/>
        <v>0.2</v>
      </c>
      <c r="E69" s="558">
        <f t="shared" si="8"/>
        <v>0</v>
      </c>
      <c r="F69" s="302" t="s">
        <v>890</v>
      </c>
      <c r="J69" s="302">
        <v>112014147</v>
      </c>
      <c r="K69" s="302">
        <v>22</v>
      </c>
      <c r="L69" s="302" t="s">
        <v>966</v>
      </c>
      <c r="R69" s="302" t="s">
        <v>903</v>
      </c>
      <c r="U69" s="302" t="s">
        <v>949</v>
      </c>
    </row>
    <row r="70" spans="1:21" ht="13">
      <c r="A70" s="302">
        <v>112014040</v>
      </c>
      <c r="B70" s="294">
        <v>4</v>
      </c>
      <c r="C70" s="558" t="str">
        <f t="shared" si="6"/>
        <v>Lista</v>
      </c>
      <c r="D70" s="558">
        <f t="shared" si="7"/>
        <v>0.2</v>
      </c>
      <c r="E70" s="558">
        <f t="shared" si="8"/>
        <v>0</v>
      </c>
      <c r="F70" s="302" t="s">
        <v>962</v>
      </c>
      <c r="J70" s="302">
        <v>112014568</v>
      </c>
      <c r="K70" s="302">
        <v>22</v>
      </c>
      <c r="L70" s="302" t="s">
        <v>969</v>
      </c>
      <c r="R70" s="302" t="s">
        <v>947</v>
      </c>
      <c r="U70" s="302" t="s">
        <v>985</v>
      </c>
    </row>
    <row r="71" spans="1:21" ht="13">
      <c r="A71" s="302">
        <v>112014041</v>
      </c>
      <c r="B71" s="294">
        <v>4</v>
      </c>
      <c r="C71" s="558" t="str">
        <f t="shared" si="6"/>
        <v>Lista</v>
      </c>
      <c r="D71" s="558">
        <f t="shared" si="7"/>
        <v>0.2</v>
      </c>
      <c r="E71" s="558">
        <f t="shared" si="8"/>
        <v>0</v>
      </c>
      <c r="F71" s="302" t="s">
        <v>900</v>
      </c>
      <c r="J71" s="302">
        <v>112014607</v>
      </c>
      <c r="K71" s="302">
        <v>22</v>
      </c>
      <c r="L71" s="302" t="s">
        <v>970</v>
      </c>
      <c r="R71" s="302" t="s">
        <v>846</v>
      </c>
      <c r="U71" s="302" t="s">
        <v>926</v>
      </c>
    </row>
    <row r="72" spans="1:21" ht="13">
      <c r="A72" s="302">
        <v>112014075</v>
      </c>
      <c r="B72" s="294">
        <v>4</v>
      </c>
      <c r="C72" s="558" t="str">
        <f t="shared" si="6"/>
        <v>Lista</v>
      </c>
      <c r="D72" s="558">
        <f t="shared" si="7"/>
        <v>0.2</v>
      </c>
      <c r="E72" s="558">
        <f t="shared" si="8"/>
        <v>0</v>
      </c>
      <c r="F72" s="302" t="s">
        <v>918</v>
      </c>
      <c r="J72" s="302">
        <v>112014072</v>
      </c>
      <c r="K72" s="302">
        <v>21</v>
      </c>
      <c r="L72" s="302" t="s">
        <v>971</v>
      </c>
      <c r="R72" s="302" t="s">
        <v>877</v>
      </c>
      <c r="U72" s="302" t="s">
        <v>901</v>
      </c>
    </row>
    <row r="73" spans="1:21" ht="13">
      <c r="A73" s="302">
        <v>112014084</v>
      </c>
      <c r="B73" s="294">
        <v>4</v>
      </c>
      <c r="C73" s="558" t="str">
        <f t="shared" si="6"/>
        <v>Lista</v>
      </c>
      <c r="D73" s="558">
        <f t="shared" si="7"/>
        <v>0.2</v>
      </c>
      <c r="E73" s="558">
        <f t="shared" si="8"/>
        <v>0</v>
      </c>
      <c r="F73" s="302" t="s">
        <v>912</v>
      </c>
      <c r="J73" s="302">
        <v>112014080</v>
      </c>
      <c r="K73" s="302">
        <v>21</v>
      </c>
      <c r="L73" s="302" t="s">
        <v>885</v>
      </c>
      <c r="R73" s="302" t="s">
        <v>850</v>
      </c>
      <c r="U73" s="302" t="s">
        <v>941</v>
      </c>
    </row>
    <row r="74" spans="1:21" ht="13">
      <c r="A74" s="302">
        <v>112014088</v>
      </c>
      <c r="B74" s="294">
        <v>4</v>
      </c>
      <c r="C74" s="558" t="str">
        <f t="shared" si="6"/>
        <v>Lista</v>
      </c>
      <c r="D74" s="558">
        <f t="shared" si="7"/>
        <v>0.2</v>
      </c>
      <c r="E74" s="558">
        <f t="shared" si="8"/>
        <v>0</v>
      </c>
      <c r="F74" s="302" t="s">
        <v>904</v>
      </c>
      <c r="J74" s="302">
        <v>112012422</v>
      </c>
      <c r="K74" s="302">
        <v>20</v>
      </c>
      <c r="L74" s="302" t="s">
        <v>903</v>
      </c>
      <c r="R74" s="302" t="s">
        <v>844</v>
      </c>
      <c r="U74" s="302" t="s">
        <v>972</v>
      </c>
    </row>
    <row r="75" spans="1:21" ht="13">
      <c r="A75" s="302">
        <v>112014110</v>
      </c>
      <c r="B75" s="294">
        <v>4</v>
      </c>
      <c r="C75" s="558" t="str">
        <f t="shared" si="6"/>
        <v>Lista</v>
      </c>
      <c r="D75" s="558">
        <f t="shared" si="7"/>
        <v>0.2</v>
      </c>
      <c r="E75" s="558">
        <f t="shared" si="8"/>
        <v>0</v>
      </c>
      <c r="F75" s="302" t="s">
        <v>913</v>
      </c>
      <c r="J75" s="302">
        <v>112012863</v>
      </c>
      <c r="K75" s="302">
        <v>20</v>
      </c>
      <c r="L75" s="302" t="s">
        <v>933</v>
      </c>
      <c r="R75" s="302" t="s">
        <v>928</v>
      </c>
      <c r="U75" s="302" t="s">
        <v>864</v>
      </c>
    </row>
    <row r="76" spans="1:21" ht="13">
      <c r="A76" s="302">
        <v>112014191</v>
      </c>
      <c r="B76" s="294">
        <v>4</v>
      </c>
      <c r="C76" s="558" t="str">
        <f t="shared" si="6"/>
        <v>Lista</v>
      </c>
      <c r="D76" s="558">
        <f t="shared" si="7"/>
        <v>0.2</v>
      </c>
      <c r="E76" s="558">
        <f t="shared" si="8"/>
        <v>0</v>
      </c>
      <c r="F76" s="302" t="s">
        <v>891</v>
      </c>
      <c r="J76" s="302">
        <v>112013395</v>
      </c>
      <c r="K76" s="302">
        <v>20</v>
      </c>
      <c r="L76" s="302" t="s">
        <v>952</v>
      </c>
      <c r="R76" s="302" t="s">
        <v>920</v>
      </c>
      <c r="U76" s="302" t="s">
        <v>957</v>
      </c>
    </row>
    <row r="77" spans="1:21" ht="13">
      <c r="A77" s="302">
        <v>112014201</v>
      </c>
      <c r="B77" s="294">
        <v>4</v>
      </c>
      <c r="C77" s="558" t="str">
        <f t="shared" si="6"/>
        <v>Lista</v>
      </c>
      <c r="D77" s="558">
        <f t="shared" si="7"/>
        <v>0.2</v>
      </c>
      <c r="E77" s="558">
        <f t="shared" si="8"/>
        <v>0</v>
      </c>
      <c r="F77" s="302" t="s">
        <v>963</v>
      </c>
      <c r="J77" s="302">
        <v>112014052</v>
      </c>
      <c r="K77" s="302">
        <v>20</v>
      </c>
      <c r="L77" s="302" t="s">
        <v>953</v>
      </c>
      <c r="R77" s="302" t="s">
        <v>927</v>
      </c>
      <c r="U77" s="302" t="s">
        <v>851</v>
      </c>
    </row>
    <row r="78" spans="1:21" ht="13">
      <c r="A78" s="302">
        <v>112014207</v>
      </c>
      <c r="B78" s="294">
        <v>4</v>
      </c>
      <c r="C78" s="558" t="str">
        <f t="shared" si="6"/>
        <v>Lista</v>
      </c>
      <c r="D78" s="558">
        <f t="shared" si="7"/>
        <v>0.2</v>
      </c>
      <c r="E78" s="558">
        <f t="shared" si="8"/>
        <v>0</v>
      </c>
      <c r="F78" s="302" t="s">
        <v>907</v>
      </c>
      <c r="J78" s="302">
        <v>112014509</v>
      </c>
      <c r="K78" s="302">
        <v>20</v>
      </c>
      <c r="L78" s="302" t="s">
        <v>921</v>
      </c>
      <c r="R78" s="302" t="s">
        <v>862</v>
      </c>
      <c r="U78" s="302" t="s">
        <v>912</v>
      </c>
    </row>
    <row r="79" spans="1:21" ht="13">
      <c r="A79" s="302">
        <v>112014308</v>
      </c>
      <c r="B79" s="294">
        <v>4</v>
      </c>
      <c r="C79" s="558" t="str">
        <f t="shared" si="6"/>
        <v>Lista</v>
      </c>
      <c r="D79" s="558">
        <f t="shared" si="7"/>
        <v>0.2</v>
      </c>
      <c r="E79" s="558">
        <f t="shared" si="8"/>
        <v>0</v>
      </c>
      <c r="F79" s="302" t="s">
        <v>964</v>
      </c>
      <c r="J79" s="302">
        <v>112014057</v>
      </c>
      <c r="K79" s="302">
        <v>19</v>
      </c>
      <c r="L79" s="302" t="s">
        <v>905</v>
      </c>
      <c r="R79" s="302" t="s">
        <v>847</v>
      </c>
      <c r="U79" s="302" t="s">
        <v>971</v>
      </c>
    </row>
    <row r="80" spans="1:21" ht="13">
      <c r="A80" s="302">
        <v>112014401</v>
      </c>
      <c r="B80" s="294">
        <v>4</v>
      </c>
      <c r="C80" s="558" t="str">
        <f t="shared" si="6"/>
        <v>Lista</v>
      </c>
      <c r="D80" s="558">
        <f t="shared" si="7"/>
        <v>0.2</v>
      </c>
      <c r="E80" s="558">
        <f t="shared" si="8"/>
        <v>0</v>
      </c>
      <c r="F80" s="302" t="s">
        <v>919</v>
      </c>
      <c r="J80" s="302">
        <v>112010002</v>
      </c>
      <c r="K80" s="302">
        <v>12</v>
      </c>
      <c r="L80" s="302" t="s">
        <v>846</v>
      </c>
      <c r="R80" s="302" t="s">
        <v>942</v>
      </c>
      <c r="U80" s="302" t="s">
        <v>857</v>
      </c>
    </row>
    <row r="81" spans="1:21" ht="13">
      <c r="A81" s="302">
        <v>112014475</v>
      </c>
      <c r="B81" s="294">
        <v>4</v>
      </c>
      <c r="C81" s="558" t="str">
        <f t="shared" si="6"/>
        <v>Lista</v>
      </c>
      <c r="D81" s="558">
        <f t="shared" si="7"/>
        <v>0.2</v>
      </c>
      <c r="E81" s="558">
        <f t="shared" si="8"/>
        <v>0</v>
      </c>
      <c r="F81" s="302" t="s">
        <v>892</v>
      </c>
      <c r="J81" s="302">
        <v>112011785</v>
      </c>
      <c r="K81" s="302">
        <v>12</v>
      </c>
      <c r="L81" s="302" t="s">
        <v>844</v>
      </c>
      <c r="R81" s="302" t="s">
        <v>891</v>
      </c>
      <c r="U81" s="302" t="s">
        <v>845</v>
      </c>
    </row>
    <row r="82" spans="1:21" ht="13">
      <c r="A82" s="302">
        <v>112014552</v>
      </c>
      <c r="B82" s="294">
        <v>4</v>
      </c>
      <c r="C82" s="558" t="str">
        <f t="shared" si="6"/>
        <v>Lista</v>
      </c>
      <c r="D82" s="558">
        <f t="shared" si="7"/>
        <v>0.2</v>
      </c>
      <c r="E82" s="558">
        <f t="shared" si="8"/>
        <v>0</v>
      </c>
      <c r="F82" s="302" t="s">
        <v>965</v>
      </c>
      <c r="J82" s="302">
        <v>11201231501</v>
      </c>
      <c r="K82" s="302">
        <v>10</v>
      </c>
      <c r="L82" s="302" t="s">
        <v>838</v>
      </c>
      <c r="R82" s="302" t="s">
        <v>916</v>
      </c>
      <c r="U82" s="302" t="s">
        <v>889</v>
      </c>
    </row>
    <row r="83" spans="1:21" ht="13">
      <c r="A83" s="302">
        <v>112014596</v>
      </c>
      <c r="B83" s="294">
        <v>4</v>
      </c>
      <c r="C83" s="558" t="str">
        <f t="shared" si="6"/>
        <v>Lista</v>
      </c>
      <c r="D83" s="558">
        <f t="shared" si="7"/>
        <v>0.2</v>
      </c>
      <c r="E83" s="558">
        <f t="shared" si="8"/>
        <v>0</v>
      </c>
      <c r="F83" s="302" t="s">
        <v>967</v>
      </c>
      <c r="J83" s="302">
        <v>112014058</v>
      </c>
      <c r="K83" s="302">
        <v>10</v>
      </c>
      <c r="L83" s="302" t="s">
        <v>839</v>
      </c>
      <c r="R83" s="302" t="s">
        <v>839</v>
      </c>
      <c r="U83" s="302" t="s">
        <v>943</v>
      </c>
    </row>
    <row r="84" spans="1:21" ht="13">
      <c r="A84" s="302">
        <v>112014625</v>
      </c>
      <c r="B84" s="294">
        <v>4</v>
      </c>
      <c r="C84" s="558" t="str">
        <f t="shared" si="6"/>
        <v>Lista</v>
      </c>
      <c r="D84" s="558">
        <f t="shared" si="7"/>
        <v>0.2</v>
      </c>
      <c r="E84" s="558">
        <f t="shared" si="8"/>
        <v>0</v>
      </c>
      <c r="F84" s="302" t="s">
        <v>968</v>
      </c>
      <c r="J84" s="302">
        <v>112014205</v>
      </c>
      <c r="K84" s="302">
        <v>10</v>
      </c>
      <c r="L84" s="302" t="s">
        <v>925</v>
      </c>
      <c r="R84" s="302" t="s">
        <v>904</v>
      </c>
      <c r="U84" s="302" t="s">
        <v>902</v>
      </c>
    </row>
    <row r="85" spans="1:21" ht="13">
      <c r="A85" s="302">
        <v>112010028</v>
      </c>
      <c r="B85" s="294">
        <v>1</v>
      </c>
      <c r="C85" s="558" t="str">
        <f t="shared" si="6"/>
        <v>Lista</v>
      </c>
      <c r="D85" s="558">
        <f t="shared" si="7"/>
        <v>0.09</v>
      </c>
      <c r="E85" s="558">
        <f t="shared" si="8"/>
        <v>0</v>
      </c>
      <c r="F85" s="302" t="s">
        <v>895</v>
      </c>
      <c r="J85" s="302">
        <v>112010028</v>
      </c>
      <c r="K85" s="302">
        <v>1</v>
      </c>
      <c r="L85" s="302" t="s">
        <v>895</v>
      </c>
      <c r="R85" s="302" t="s">
        <v>893</v>
      </c>
      <c r="U85" s="302" t="s">
        <v>885</v>
      </c>
    </row>
    <row r="86" spans="1:21" ht="13">
      <c r="A86" s="302">
        <v>112010041</v>
      </c>
      <c r="B86" s="294">
        <v>1</v>
      </c>
      <c r="C86" s="558" t="str">
        <f t="shared" si="6"/>
        <v>Lista</v>
      </c>
      <c r="D86" s="558">
        <f t="shared" si="7"/>
        <v>0.09</v>
      </c>
      <c r="E86" s="558">
        <f t="shared" si="8"/>
        <v>0</v>
      </c>
      <c r="F86" s="302" t="s">
        <v>893</v>
      </c>
      <c r="J86" s="302">
        <v>112010041</v>
      </c>
      <c r="K86" s="302">
        <v>1</v>
      </c>
      <c r="L86" s="302" t="s">
        <v>893</v>
      </c>
      <c r="R86" s="302" t="s">
        <v>911</v>
      </c>
    </row>
    <row r="87" spans="1:21" ht="13">
      <c r="A87" s="302">
        <v>112010669</v>
      </c>
      <c r="B87" s="294">
        <v>1</v>
      </c>
      <c r="C87" s="558" t="str">
        <f t="shared" si="6"/>
        <v>Lista</v>
      </c>
      <c r="D87" s="558">
        <f t="shared" si="7"/>
        <v>0.09</v>
      </c>
      <c r="E87" s="558">
        <f t="shared" si="8"/>
        <v>0</v>
      </c>
      <c r="F87" s="302" t="s">
        <v>916</v>
      </c>
      <c r="J87" s="302">
        <v>112010669</v>
      </c>
      <c r="K87" s="302">
        <v>1</v>
      </c>
      <c r="L87" s="302" t="s">
        <v>916</v>
      </c>
      <c r="R87" s="302" t="s">
        <v>949</v>
      </c>
    </row>
    <row r="88" spans="1:21" ht="13">
      <c r="A88" s="302">
        <v>112011587</v>
      </c>
      <c r="B88" s="294">
        <v>1</v>
      </c>
      <c r="C88" s="558" t="str">
        <f t="shared" si="6"/>
        <v>Lista</v>
      </c>
      <c r="D88" s="558">
        <f t="shared" si="7"/>
        <v>0.09</v>
      </c>
      <c r="E88" s="558">
        <f t="shared" si="8"/>
        <v>0</v>
      </c>
      <c r="F88" s="302" t="s">
        <v>917</v>
      </c>
      <c r="J88" s="302">
        <v>112011587</v>
      </c>
      <c r="K88" s="302">
        <v>1</v>
      </c>
      <c r="L88" s="302" t="s">
        <v>917</v>
      </c>
      <c r="R88" s="302" t="s">
        <v>985</v>
      </c>
    </row>
    <row r="89" spans="1:21" ht="13">
      <c r="A89" s="302">
        <v>112011642</v>
      </c>
      <c r="B89" s="294">
        <v>1</v>
      </c>
      <c r="C89" s="558" t="str">
        <f t="shared" si="6"/>
        <v>Lista</v>
      </c>
      <c r="D89" s="558">
        <f t="shared" si="7"/>
        <v>0.09</v>
      </c>
      <c r="E89" s="558">
        <f t="shared" si="8"/>
        <v>0</v>
      </c>
      <c r="F89" s="302" t="s">
        <v>894</v>
      </c>
      <c r="J89" s="302">
        <v>112011642</v>
      </c>
      <c r="K89" s="302">
        <v>1</v>
      </c>
      <c r="L89" s="302" t="s">
        <v>894</v>
      </c>
      <c r="R89" s="302" t="s">
        <v>926</v>
      </c>
    </row>
    <row r="90" spans="1:21" ht="13">
      <c r="A90" s="302">
        <v>112012203</v>
      </c>
      <c r="B90" s="294">
        <v>1</v>
      </c>
      <c r="C90" s="558" t="str">
        <f t="shared" si="6"/>
        <v>Lista</v>
      </c>
      <c r="D90" s="558">
        <f t="shared" si="7"/>
        <v>0.09</v>
      </c>
      <c r="E90" s="558">
        <f t="shared" si="8"/>
        <v>0</v>
      </c>
      <c r="F90" s="302" t="s">
        <v>896</v>
      </c>
      <c r="J90" s="302">
        <v>112012203</v>
      </c>
      <c r="K90" s="302">
        <v>1</v>
      </c>
      <c r="L90" s="302" t="s">
        <v>896</v>
      </c>
      <c r="R90" s="302" t="s">
        <v>952</v>
      </c>
    </row>
    <row r="91" spans="1:21" ht="13">
      <c r="A91" s="302">
        <v>112012953</v>
      </c>
      <c r="B91" s="294">
        <v>1</v>
      </c>
      <c r="C91" s="558" t="str">
        <f t="shared" si="6"/>
        <v>Lista</v>
      </c>
      <c r="D91" s="558">
        <f t="shared" si="7"/>
        <v>0.09</v>
      </c>
      <c r="E91" s="558">
        <f t="shared" si="8"/>
        <v>0</v>
      </c>
      <c r="F91" s="302" t="s">
        <v>972</v>
      </c>
      <c r="J91" s="302">
        <v>112012953</v>
      </c>
      <c r="K91" s="302">
        <v>1</v>
      </c>
      <c r="L91" s="302" t="s">
        <v>972</v>
      </c>
      <c r="R91" s="302" t="s">
        <v>901</v>
      </c>
    </row>
    <row r="92" spans="1:21" ht="13">
      <c r="A92" s="302">
        <v>112013126</v>
      </c>
      <c r="B92" s="294">
        <v>1</v>
      </c>
      <c r="C92" s="558" t="str">
        <f t="shared" si="6"/>
        <v>Lista</v>
      </c>
      <c r="D92" s="558">
        <f t="shared" si="7"/>
        <v>0.09</v>
      </c>
      <c r="E92" s="558">
        <f t="shared" si="8"/>
        <v>0</v>
      </c>
      <c r="F92" s="302" t="s">
        <v>915</v>
      </c>
      <c r="J92" s="302">
        <v>112013126</v>
      </c>
      <c r="K92" s="302">
        <v>1</v>
      </c>
      <c r="L92" s="302" t="s">
        <v>915</v>
      </c>
      <c r="R92" s="302" t="s">
        <v>941</v>
      </c>
    </row>
    <row r="93" spans="1:21" ht="13">
      <c r="A93" s="302">
        <v>112014098</v>
      </c>
      <c r="B93" s="294">
        <v>1</v>
      </c>
      <c r="C93" s="558" t="str">
        <f t="shared" si="6"/>
        <v>Lista</v>
      </c>
      <c r="D93" s="558">
        <f t="shared" si="7"/>
        <v>0.09</v>
      </c>
      <c r="E93" s="558">
        <f t="shared" si="8"/>
        <v>0</v>
      </c>
      <c r="F93" s="302" t="s">
        <v>973</v>
      </c>
      <c r="J93" s="302">
        <v>112014098</v>
      </c>
      <c r="K93" s="302">
        <v>1</v>
      </c>
      <c r="L93" s="302" t="s">
        <v>973</v>
      </c>
      <c r="R93" s="302" t="s">
        <v>972</v>
      </c>
    </row>
    <row r="94" spans="1:21" ht="13">
      <c r="A94" s="302">
        <v>112014099</v>
      </c>
      <c r="B94" s="294">
        <v>1</v>
      </c>
      <c r="C94" s="558" t="str">
        <f t="shared" si="6"/>
        <v>Lista</v>
      </c>
      <c r="D94" s="558">
        <f t="shared" si="7"/>
        <v>0.09</v>
      </c>
      <c r="E94" s="558">
        <f t="shared" si="8"/>
        <v>0</v>
      </c>
      <c r="F94" s="302" t="s">
        <v>974</v>
      </c>
      <c r="J94" s="302">
        <v>112014099</v>
      </c>
      <c r="K94" s="302">
        <v>1</v>
      </c>
      <c r="L94" s="302" t="s">
        <v>974</v>
      </c>
      <c r="R94" s="302" t="s">
        <v>864</v>
      </c>
    </row>
    <row r="95" spans="1:21" ht="13">
      <c r="A95" s="302">
        <v>112014100</v>
      </c>
      <c r="B95" s="294">
        <v>1</v>
      </c>
      <c r="C95" s="558" t="str">
        <f t="shared" si="6"/>
        <v>Lista</v>
      </c>
      <c r="D95" s="558">
        <f t="shared" si="7"/>
        <v>0.09</v>
      </c>
      <c r="E95" s="558">
        <f t="shared" si="8"/>
        <v>0</v>
      </c>
      <c r="F95" s="302" t="s">
        <v>975</v>
      </c>
      <c r="J95" s="302">
        <v>112014100</v>
      </c>
      <c r="K95" s="302">
        <v>1</v>
      </c>
      <c r="L95" s="302" t="s">
        <v>975</v>
      </c>
      <c r="R95" s="302" t="s">
        <v>957</v>
      </c>
    </row>
    <row r="96" spans="1:21" ht="13">
      <c r="A96" s="302">
        <v>112014108</v>
      </c>
      <c r="B96" s="294">
        <v>1</v>
      </c>
      <c r="C96" s="558" t="str">
        <f t="shared" si="6"/>
        <v>Lista</v>
      </c>
      <c r="D96" s="558">
        <f t="shared" si="7"/>
        <v>0.09</v>
      </c>
      <c r="E96" s="558">
        <f t="shared" si="8"/>
        <v>0</v>
      </c>
      <c r="F96" s="302" t="s">
        <v>976</v>
      </c>
      <c r="J96" s="302">
        <v>112014108</v>
      </c>
      <c r="K96" s="302">
        <v>1</v>
      </c>
      <c r="L96" s="302" t="s">
        <v>976</v>
      </c>
      <c r="R96" s="302" t="s">
        <v>851</v>
      </c>
    </row>
    <row r="97" spans="1:18" ht="13">
      <c r="A97" s="302">
        <v>112014161</v>
      </c>
      <c r="B97" s="294">
        <v>1</v>
      </c>
      <c r="C97" s="558" t="str">
        <f t="shared" si="6"/>
        <v>Lista</v>
      </c>
      <c r="D97" s="558">
        <f t="shared" si="7"/>
        <v>0.09</v>
      </c>
      <c r="E97" s="558">
        <f t="shared" si="8"/>
        <v>0</v>
      </c>
      <c r="F97" s="302" t="s">
        <v>910</v>
      </c>
      <c r="J97" s="302">
        <v>112014161</v>
      </c>
      <c r="K97" s="302">
        <v>1</v>
      </c>
      <c r="L97" s="302" t="s">
        <v>910</v>
      </c>
      <c r="R97" s="302" t="s">
        <v>912</v>
      </c>
    </row>
    <row r="98" spans="1:18" ht="13">
      <c r="A98" s="302">
        <v>112014164</v>
      </c>
      <c r="B98" s="294">
        <v>1</v>
      </c>
      <c r="C98" s="558" t="str">
        <f t="shared" si="6"/>
        <v>Lista</v>
      </c>
      <c r="D98" s="558">
        <f t="shared" si="7"/>
        <v>0.09</v>
      </c>
      <c r="E98" s="558">
        <f t="shared" si="8"/>
        <v>0</v>
      </c>
      <c r="F98" s="302" t="s">
        <v>922</v>
      </c>
      <c r="J98" s="302">
        <v>112014164</v>
      </c>
      <c r="K98" s="302">
        <v>1</v>
      </c>
      <c r="L98" s="302" t="s">
        <v>922</v>
      </c>
      <c r="R98" s="302" t="s">
        <v>971</v>
      </c>
    </row>
    <row r="99" spans="1:18" ht="13">
      <c r="A99" s="302">
        <v>112014582</v>
      </c>
      <c r="B99" s="294">
        <v>1</v>
      </c>
      <c r="C99" s="558" t="str">
        <f t="shared" ref="C99:C130" si="9">IFERROR(VLOOKUP(B99,DES,2,FALSE),"")</f>
        <v>Lista</v>
      </c>
      <c r="D99" s="558">
        <f t="shared" ref="D99:D106" si="10">IFERROR(VLOOKUP(B99,DES,3,FALSE),"")</f>
        <v>0.09</v>
      </c>
      <c r="E99" s="558">
        <f t="shared" ref="E99:E106" si="11">IFERROR(VLOOKUP(B99,DES,4,FALSE),"")</f>
        <v>0</v>
      </c>
      <c r="F99" s="302" t="s">
        <v>929</v>
      </c>
      <c r="J99" s="302">
        <v>112014582</v>
      </c>
      <c r="K99" s="302">
        <v>1</v>
      </c>
      <c r="L99" s="302" t="s">
        <v>929</v>
      </c>
      <c r="R99" s="302" t="s">
        <v>857</v>
      </c>
    </row>
    <row r="100" spans="1:18" ht="13">
      <c r="A100" s="302">
        <v>112010442</v>
      </c>
      <c r="B100" s="294"/>
      <c r="C100" s="558" t="str">
        <f t="shared" si="9"/>
        <v/>
      </c>
      <c r="D100" s="558" t="str">
        <f t="shared" si="10"/>
        <v/>
      </c>
      <c r="E100" s="558" t="str">
        <f t="shared" si="11"/>
        <v/>
      </c>
      <c r="F100" s="302" t="s">
        <v>984</v>
      </c>
      <c r="J100" s="302">
        <v>112010442</v>
      </c>
      <c r="L100" s="302" t="s">
        <v>984</v>
      </c>
      <c r="R100" s="302" t="s">
        <v>845</v>
      </c>
    </row>
    <row r="101" spans="1:18" ht="13">
      <c r="A101" s="302">
        <v>112011333</v>
      </c>
      <c r="B101" s="294"/>
      <c r="C101" s="558" t="str">
        <f t="shared" si="9"/>
        <v/>
      </c>
      <c r="D101" s="558" t="str">
        <f t="shared" si="10"/>
        <v/>
      </c>
      <c r="E101" s="558" t="str">
        <f t="shared" si="11"/>
        <v/>
      </c>
      <c r="F101" s="302" t="s">
        <v>902</v>
      </c>
      <c r="J101" s="302">
        <v>112011333</v>
      </c>
      <c r="L101" s="302" t="s">
        <v>902</v>
      </c>
      <c r="R101" s="302" t="s">
        <v>956</v>
      </c>
    </row>
    <row r="102" spans="1:18" ht="13">
      <c r="A102" s="302">
        <v>112012418</v>
      </c>
      <c r="B102" s="294"/>
      <c r="C102" s="558" t="str">
        <f t="shared" si="9"/>
        <v/>
      </c>
      <c r="D102" s="558" t="str">
        <f t="shared" si="10"/>
        <v/>
      </c>
      <c r="E102" s="558" t="str">
        <f t="shared" si="11"/>
        <v/>
      </c>
      <c r="F102" s="302" t="s">
        <v>985</v>
      </c>
      <c r="J102" s="302">
        <v>112012418</v>
      </c>
      <c r="L102" s="302" t="s">
        <v>985</v>
      </c>
      <c r="R102" s="302" t="s">
        <v>889</v>
      </c>
    </row>
    <row r="103" spans="1:18" ht="13">
      <c r="A103" s="302">
        <v>112012708</v>
      </c>
      <c r="B103" s="294"/>
      <c r="C103" s="558" t="str">
        <f t="shared" si="9"/>
        <v/>
      </c>
      <c r="D103" s="558" t="str">
        <f t="shared" si="10"/>
        <v/>
      </c>
      <c r="E103" s="558" t="str">
        <f t="shared" si="11"/>
        <v/>
      </c>
      <c r="F103" s="302" t="s">
        <v>920</v>
      </c>
      <c r="J103" s="302">
        <v>112012708</v>
      </c>
      <c r="L103" s="302" t="s">
        <v>920</v>
      </c>
      <c r="R103" s="302" t="s">
        <v>943</v>
      </c>
    </row>
    <row r="104" spans="1:18" ht="13">
      <c r="A104" s="302">
        <v>112014049</v>
      </c>
      <c r="B104" s="294"/>
      <c r="C104" s="558" t="str">
        <f t="shared" si="9"/>
        <v/>
      </c>
      <c r="D104" s="558" t="str">
        <f t="shared" si="10"/>
        <v/>
      </c>
      <c r="E104" s="558" t="str">
        <f t="shared" si="11"/>
        <v/>
      </c>
      <c r="F104" s="302" t="s">
        <v>897</v>
      </c>
      <c r="J104" s="302">
        <v>112014049</v>
      </c>
      <c r="L104" s="302" t="s">
        <v>897</v>
      </c>
      <c r="R104" s="302" t="s">
        <v>917</v>
      </c>
    </row>
    <row r="105" spans="1:18" ht="13">
      <c r="A105" s="302">
        <v>112014059</v>
      </c>
      <c r="B105" s="294"/>
      <c r="C105" s="558" t="str">
        <f t="shared" si="9"/>
        <v/>
      </c>
      <c r="D105" s="558" t="str">
        <f t="shared" si="10"/>
        <v/>
      </c>
      <c r="E105" s="558" t="str">
        <f t="shared" si="11"/>
        <v/>
      </c>
      <c r="F105" s="302" t="s">
        <v>898</v>
      </c>
      <c r="J105" s="302">
        <v>112014059</v>
      </c>
      <c r="L105" s="302" t="s">
        <v>898</v>
      </c>
      <c r="R105" s="302" t="s">
        <v>902</v>
      </c>
    </row>
    <row r="106" spans="1:18" ht="13">
      <c r="A106" s="302">
        <v>112014114</v>
      </c>
      <c r="B106" s="294"/>
      <c r="C106" s="558" t="str">
        <f t="shared" si="9"/>
        <v/>
      </c>
      <c r="D106" s="558" t="str">
        <f t="shared" si="10"/>
        <v/>
      </c>
      <c r="E106" s="558" t="str">
        <f t="shared" si="11"/>
        <v/>
      </c>
      <c r="F106" s="302" t="s">
        <v>986</v>
      </c>
      <c r="J106" s="302">
        <v>112014114</v>
      </c>
      <c r="L106" s="302" t="s">
        <v>986</v>
      </c>
      <c r="R106" s="302" t="s">
        <v>885</v>
      </c>
    </row>
    <row r="107" spans="1:18" ht="13">
      <c r="B107" s="294"/>
    </row>
    <row r="108" spans="1:18" ht="13">
      <c r="B108" s="294"/>
    </row>
    <row r="109" spans="1:18" ht="13">
      <c r="B109" s="294"/>
    </row>
    <row r="110" spans="1:18" ht="13">
      <c r="B110" s="294"/>
    </row>
    <row r="111" spans="1:18" ht="13">
      <c r="B111" s="294"/>
    </row>
    <row r="112" spans="1:18" ht="13">
      <c r="B112" s="294"/>
    </row>
    <row r="113" spans="2:2" ht="13">
      <c r="B113" s="294"/>
    </row>
    <row r="114" spans="2:2" ht="13">
      <c r="B114" s="294"/>
    </row>
    <row r="115" spans="2:2" ht="13">
      <c r="B115" s="294"/>
    </row>
    <row r="116" spans="2:2" ht="13">
      <c r="B116" s="294"/>
    </row>
    <row r="117" spans="2:2" ht="13">
      <c r="B117" s="294"/>
    </row>
    <row r="118" spans="2:2" ht="13">
      <c r="B118" s="294"/>
    </row>
    <row r="119" spans="2:2" ht="13">
      <c r="B119" s="294"/>
    </row>
    <row r="120" spans="2:2" ht="13">
      <c r="B120" s="294"/>
    </row>
    <row r="121" spans="2:2" ht="13">
      <c r="B121" s="294"/>
    </row>
    <row r="122" spans="2:2" ht="13">
      <c r="B122" s="294"/>
    </row>
    <row r="123" spans="2:2" ht="13">
      <c r="B123" s="294"/>
    </row>
    <row r="124" spans="2:2" ht="13">
      <c r="B124" s="294"/>
    </row>
    <row r="125" spans="2:2" ht="13">
      <c r="B125" s="294"/>
    </row>
    <row r="126" spans="2:2" ht="13">
      <c r="B126" s="294"/>
    </row>
    <row r="127" spans="2:2" ht="13">
      <c r="B127" s="294"/>
    </row>
    <row r="128" spans="2:2" ht="13">
      <c r="B128" s="294"/>
    </row>
    <row r="129" spans="2:2" ht="13">
      <c r="B129" s="294"/>
    </row>
    <row r="130" spans="2:2" ht="13">
      <c r="B130" s="294"/>
    </row>
    <row r="131" spans="2:2" ht="13">
      <c r="B131" s="294"/>
    </row>
    <row r="132" spans="2:2" ht="13">
      <c r="B132" s="294"/>
    </row>
    <row r="133" spans="2:2" ht="13">
      <c r="B133" s="294"/>
    </row>
    <row r="134" spans="2:2" ht="13">
      <c r="B134" s="294"/>
    </row>
    <row r="135" spans="2:2" ht="13">
      <c r="B135" s="294"/>
    </row>
    <row r="136" spans="2:2" ht="13">
      <c r="B136" s="294"/>
    </row>
    <row r="137" spans="2:2" ht="13">
      <c r="B137" s="294"/>
    </row>
    <row r="138" spans="2:2" ht="13">
      <c r="B138" s="294"/>
    </row>
    <row r="139" spans="2:2" ht="13">
      <c r="B139" s="294"/>
    </row>
    <row r="140" spans="2:2" ht="13">
      <c r="B140" s="294"/>
    </row>
    <row r="141" spans="2:2" ht="13">
      <c r="B141" s="294"/>
    </row>
    <row r="142" spans="2:2" ht="13">
      <c r="B142" s="294"/>
    </row>
    <row r="143" spans="2:2" ht="13">
      <c r="B143" s="294"/>
    </row>
    <row r="144" spans="2:2" ht="13">
      <c r="B144" s="294"/>
    </row>
    <row r="145" spans="2:2" ht="13">
      <c r="B145" s="294"/>
    </row>
    <row r="146" spans="2:2" ht="13">
      <c r="B146" s="294"/>
    </row>
    <row r="147" spans="2:2" ht="13">
      <c r="B147" s="294"/>
    </row>
    <row r="148" spans="2:2" ht="13">
      <c r="B148" s="294"/>
    </row>
    <row r="149" spans="2:2" ht="13">
      <c r="B149" s="294"/>
    </row>
    <row r="150" spans="2:2" ht="13">
      <c r="B150" s="294"/>
    </row>
    <row r="151" spans="2:2" ht="13">
      <c r="B151" s="294"/>
    </row>
    <row r="152" spans="2:2" ht="13">
      <c r="B152" s="294"/>
    </row>
    <row r="153" spans="2:2" ht="13">
      <c r="B153" s="294"/>
    </row>
    <row r="154" spans="2:2" ht="13">
      <c r="B154" s="294"/>
    </row>
    <row r="155" spans="2:2" ht="13">
      <c r="B155" s="294"/>
    </row>
    <row r="156" spans="2:2" ht="13">
      <c r="B156" s="294"/>
    </row>
    <row r="157" spans="2:2" ht="13">
      <c r="B157" s="294"/>
    </row>
    <row r="158" spans="2:2" ht="13">
      <c r="B158" s="294"/>
    </row>
    <row r="159" spans="2:2" ht="13">
      <c r="B159" s="294"/>
    </row>
    <row r="160" spans="2:2" ht="13">
      <c r="B160" s="294"/>
    </row>
    <row r="161" spans="2:2" ht="13">
      <c r="B161" s="294"/>
    </row>
    <row r="162" spans="2:2" ht="13">
      <c r="B162" s="294"/>
    </row>
    <row r="163" spans="2:2" ht="13">
      <c r="B163" s="294"/>
    </row>
    <row r="164" spans="2:2" ht="13">
      <c r="B164" s="294"/>
    </row>
    <row r="165" spans="2:2" ht="13">
      <c r="B165" s="294"/>
    </row>
    <row r="166" spans="2:2" ht="13">
      <c r="B166" s="294"/>
    </row>
    <row r="167" spans="2:2" ht="13">
      <c r="B167" s="294"/>
    </row>
    <row r="168" spans="2:2" ht="13">
      <c r="B168" s="294"/>
    </row>
    <row r="169" spans="2:2" ht="13">
      <c r="B169" s="294"/>
    </row>
    <row r="170" spans="2:2" ht="13">
      <c r="B170" s="294"/>
    </row>
    <row r="171" spans="2:2" ht="13">
      <c r="B171" s="294"/>
    </row>
    <row r="172" spans="2:2" ht="13">
      <c r="B172" s="294"/>
    </row>
    <row r="173" spans="2:2" ht="13">
      <c r="B173" s="294"/>
    </row>
    <row r="174" spans="2:2" ht="13">
      <c r="B174" s="294"/>
    </row>
    <row r="175" spans="2:2" ht="13">
      <c r="B175" s="294"/>
    </row>
    <row r="176" spans="2:2" ht="13">
      <c r="B176" s="294"/>
    </row>
    <row r="177" spans="2:2" ht="13">
      <c r="B177" s="294"/>
    </row>
    <row r="178" spans="2:2" ht="13">
      <c r="B178" s="294"/>
    </row>
    <row r="179" spans="2:2" ht="13">
      <c r="B179" s="294"/>
    </row>
    <row r="180" spans="2:2" ht="13">
      <c r="B180" s="294"/>
    </row>
    <row r="181" spans="2:2" ht="13">
      <c r="B181" s="294"/>
    </row>
    <row r="182" spans="2:2" ht="13">
      <c r="B182" s="294"/>
    </row>
    <row r="183" spans="2:2" ht="13">
      <c r="B183" s="294"/>
    </row>
    <row r="184" spans="2:2" ht="13">
      <c r="B184" s="294"/>
    </row>
    <row r="185" spans="2:2" ht="13">
      <c r="B185" s="294"/>
    </row>
    <row r="186" spans="2:2" ht="13">
      <c r="B186" s="294"/>
    </row>
    <row r="187" spans="2:2" ht="13">
      <c r="B187" s="294"/>
    </row>
    <row r="188" spans="2:2" ht="13">
      <c r="B188" s="294"/>
    </row>
    <row r="189" spans="2:2" ht="13">
      <c r="B189" s="294"/>
    </row>
    <row r="190" spans="2:2" ht="13">
      <c r="B190" s="294"/>
    </row>
    <row r="191" spans="2:2" ht="13">
      <c r="B191" s="294"/>
    </row>
    <row r="192" spans="2:2" ht="13">
      <c r="B192" s="294"/>
    </row>
    <row r="193" spans="2:2" ht="13">
      <c r="B193" s="294"/>
    </row>
    <row r="194" spans="2:2" ht="13">
      <c r="B194" s="294"/>
    </row>
    <row r="195" spans="2:2" ht="13">
      <c r="B195" s="294"/>
    </row>
    <row r="196" spans="2:2" ht="13">
      <c r="B196" s="294"/>
    </row>
    <row r="197" spans="2:2" ht="13">
      <c r="B197" s="294"/>
    </row>
    <row r="198" spans="2:2" ht="13">
      <c r="B198" s="294"/>
    </row>
    <row r="199" spans="2:2" ht="13">
      <c r="B199" s="294"/>
    </row>
    <row r="200" spans="2:2" ht="13">
      <c r="B200" s="294"/>
    </row>
    <row r="201" spans="2:2" ht="13">
      <c r="B201" s="294"/>
    </row>
    <row r="202" spans="2:2" ht="13">
      <c r="B202" s="294"/>
    </row>
    <row r="203" spans="2:2" ht="13">
      <c r="B203" s="294"/>
    </row>
    <row r="204" spans="2:2" ht="13">
      <c r="B204" s="294"/>
    </row>
    <row r="205" spans="2:2" ht="13">
      <c r="B205" s="294"/>
    </row>
    <row r="206" spans="2:2" ht="13">
      <c r="B206" s="294"/>
    </row>
    <row r="207" spans="2:2" ht="13">
      <c r="B207" s="294"/>
    </row>
    <row r="208" spans="2:2" ht="13">
      <c r="B208" s="294"/>
    </row>
    <row r="209" spans="2:2" ht="13">
      <c r="B209" s="294"/>
    </row>
    <row r="210" spans="2:2" ht="13">
      <c r="B210" s="294"/>
    </row>
    <row r="211" spans="2:2" ht="13">
      <c r="B211" s="294"/>
    </row>
    <row r="212" spans="2:2" ht="13">
      <c r="B212" s="294"/>
    </row>
    <row r="213" spans="2:2" ht="13">
      <c r="B213" s="294"/>
    </row>
    <row r="214" spans="2:2" ht="13">
      <c r="B214" s="294"/>
    </row>
    <row r="215" spans="2:2" ht="13">
      <c r="B215" s="294"/>
    </row>
    <row r="216" spans="2:2" ht="13">
      <c r="B216" s="294"/>
    </row>
    <row r="217" spans="2:2" ht="13">
      <c r="B217" s="294"/>
    </row>
    <row r="218" spans="2:2" ht="13">
      <c r="B218" s="294"/>
    </row>
    <row r="219" spans="2:2" ht="13">
      <c r="B219" s="294"/>
    </row>
    <row r="220" spans="2:2" ht="13">
      <c r="B220" s="294"/>
    </row>
    <row r="221" spans="2:2" ht="13">
      <c r="B221" s="294"/>
    </row>
    <row r="222" spans="2:2" ht="13">
      <c r="B222" s="294"/>
    </row>
    <row r="223" spans="2:2" ht="13">
      <c r="B223" s="294"/>
    </row>
    <row r="224" spans="2:2" ht="13">
      <c r="B224" s="294"/>
    </row>
    <row r="225" spans="2:2" ht="13">
      <c r="B225" s="294"/>
    </row>
    <row r="226" spans="2:2" ht="13">
      <c r="B226" s="294"/>
    </row>
    <row r="227" spans="2:2" ht="13">
      <c r="B227" s="294"/>
    </row>
    <row r="228" spans="2:2" ht="13">
      <c r="B228" s="294"/>
    </row>
    <row r="229" spans="2:2" ht="13">
      <c r="B229" s="294"/>
    </row>
    <row r="230" spans="2:2" ht="13">
      <c r="B230" s="294"/>
    </row>
    <row r="231" spans="2:2" ht="13">
      <c r="B231" s="294"/>
    </row>
    <row r="232" spans="2:2" ht="13">
      <c r="B232" s="294"/>
    </row>
    <row r="233" spans="2:2" ht="13">
      <c r="B233" s="294"/>
    </row>
    <row r="234" spans="2:2" ht="13">
      <c r="B234" s="294"/>
    </row>
    <row r="235" spans="2:2" ht="13">
      <c r="B235" s="294"/>
    </row>
    <row r="236" spans="2:2" ht="13">
      <c r="B236" s="294"/>
    </row>
    <row r="237" spans="2:2" ht="13">
      <c r="B237" s="294"/>
    </row>
    <row r="238" spans="2:2" ht="13">
      <c r="B238" s="294"/>
    </row>
    <row r="239" spans="2:2" ht="13">
      <c r="B239" s="294"/>
    </row>
    <row r="240" spans="2:2" ht="13">
      <c r="B240" s="294"/>
    </row>
    <row r="241" spans="2:2" ht="13">
      <c r="B241" s="294"/>
    </row>
    <row r="242" spans="2:2" ht="13">
      <c r="B242" s="294"/>
    </row>
    <row r="243" spans="2:2" ht="13">
      <c r="B243" s="294"/>
    </row>
    <row r="244" spans="2:2" ht="13">
      <c r="B244" s="294"/>
    </row>
    <row r="245" spans="2:2" ht="13">
      <c r="B245" s="294"/>
    </row>
    <row r="246" spans="2:2" ht="13">
      <c r="B246" s="294"/>
    </row>
    <row r="247" spans="2:2" ht="13">
      <c r="B247" s="294"/>
    </row>
    <row r="248" spans="2:2" ht="13">
      <c r="B248" s="294"/>
    </row>
    <row r="249" spans="2:2" ht="13">
      <c r="B249" s="294"/>
    </row>
    <row r="250" spans="2:2" ht="13">
      <c r="B250" s="294"/>
    </row>
    <row r="251" spans="2:2" ht="13">
      <c r="B251" s="294"/>
    </row>
    <row r="252" spans="2:2" ht="13">
      <c r="B252" s="294"/>
    </row>
    <row r="253" spans="2:2" ht="13">
      <c r="B253" s="294"/>
    </row>
    <row r="254" spans="2:2" ht="13">
      <c r="B254" s="294"/>
    </row>
    <row r="255" spans="2:2" ht="13">
      <c r="B255" s="294"/>
    </row>
    <row r="256" spans="2:2" ht="13">
      <c r="B256" s="294"/>
    </row>
    <row r="257" spans="2:2" ht="13">
      <c r="B257" s="294"/>
    </row>
    <row r="258" spans="2:2" ht="13">
      <c r="B258" s="294"/>
    </row>
    <row r="259" spans="2:2" ht="13">
      <c r="B259" s="294"/>
    </row>
    <row r="260" spans="2:2" ht="13">
      <c r="B260" s="294"/>
    </row>
    <row r="261" spans="2:2" ht="13">
      <c r="B261" s="294"/>
    </row>
    <row r="262" spans="2:2" ht="13">
      <c r="B262" s="294"/>
    </row>
    <row r="263" spans="2:2" ht="13">
      <c r="B263" s="294"/>
    </row>
    <row r="264" spans="2:2" ht="13">
      <c r="B264" s="294"/>
    </row>
    <row r="265" spans="2:2" ht="13">
      <c r="B265" s="294"/>
    </row>
    <row r="266" spans="2:2" ht="13">
      <c r="B266" s="294"/>
    </row>
    <row r="267" spans="2:2" ht="13">
      <c r="B267" s="294"/>
    </row>
    <row r="268" spans="2:2" ht="13">
      <c r="B268" s="294"/>
    </row>
    <row r="269" spans="2:2" ht="13">
      <c r="B269" s="294"/>
    </row>
    <row r="270" spans="2:2" ht="13">
      <c r="B270" s="294"/>
    </row>
    <row r="271" spans="2:2" ht="13">
      <c r="B271" s="294"/>
    </row>
    <row r="272" spans="2:2" ht="13">
      <c r="B272" s="294"/>
    </row>
    <row r="273" spans="2:2" ht="13">
      <c r="B273" s="294"/>
    </row>
    <row r="274" spans="2:2" ht="13">
      <c r="B274" s="294"/>
    </row>
    <row r="275" spans="2:2" ht="13">
      <c r="B275" s="294"/>
    </row>
    <row r="276" spans="2:2" ht="13">
      <c r="B276" s="294"/>
    </row>
    <row r="277" spans="2:2" ht="13">
      <c r="B277" s="294"/>
    </row>
    <row r="278" spans="2:2" ht="13">
      <c r="B278" s="294"/>
    </row>
    <row r="279" spans="2:2" ht="13">
      <c r="B279" s="294"/>
    </row>
    <row r="280" spans="2:2" ht="13">
      <c r="B280" s="294"/>
    </row>
    <row r="281" spans="2:2" ht="13">
      <c r="B281" s="294"/>
    </row>
    <row r="282" spans="2:2" ht="13">
      <c r="B282" s="294"/>
    </row>
    <row r="283" spans="2:2" ht="13">
      <c r="B283" s="294"/>
    </row>
    <row r="284" spans="2:2" ht="13">
      <c r="B284" s="294"/>
    </row>
    <row r="285" spans="2:2" ht="13">
      <c r="B285" s="294"/>
    </row>
    <row r="286" spans="2:2" ht="13">
      <c r="B286" s="294"/>
    </row>
    <row r="287" spans="2:2" ht="13">
      <c r="B287" s="294"/>
    </row>
    <row r="288" spans="2:2" ht="13">
      <c r="B288" s="294"/>
    </row>
    <row r="289" spans="2:2" ht="13">
      <c r="B289" s="294"/>
    </row>
    <row r="290" spans="2:2" ht="13">
      <c r="B290" s="294"/>
    </row>
    <row r="291" spans="2:2" ht="13">
      <c r="B291" s="294"/>
    </row>
    <row r="292" spans="2:2" ht="13">
      <c r="B292" s="294"/>
    </row>
    <row r="293" spans="2:2" ht="13">
      <c r="B293" s="294"/>
    </row>
    <row r="294" spans="2:2" ht="13">
      <c r="B294" s="294"/>
    </row>
    <row r="295" spans="2:2" ht="13">
      <c r="B295" s="294"/>
    </row>
    <row r="296" spans="2:2" ht="13">
      <c r="B296" s="294"/>
    </row>
    <row r="297" spans="2:2" ht="13">
      <c r="B297" s="294"/>
    </row>
    <row r="298" spans="2:2" ht="13">
      <c r="B298" s="294"/>
    </row>
    <row r="299" spans="2:2" ht="13">
      <c r="B299" s="294"/>
    </row>
    <row r="300" spans="2:2" ht="13">
      <c r="B300" s="294"/>
    </row>
    <row r="301" spans="2:2" ht="13">
      <c r="B301" s="294"/>
    </row>
    <row r="302" spans="2:2" ht="13">
      <c r="B302" s="294"/>
    </row>
    <row r="303" spans="2:2" ht="13">
      <c r="B303" s="294"/>
    </row>
    <row r="304" spans="2:2" ht="13">
      <c r="B304" s="294"/>
    </row>
    <row r="305" spans="2:2" ht="13">
      <c r="B305" s="294"/>
    </row>
    <row r="306" spans="2:2" ht="13">
      <c r="B306" s="294"/>
    </row>
    <row r="307" spans="2:2" ht="13">
      <c r="B307" s="294"/>
    </row>
    <row r="308" spans="2:2" ht="13">
      <c r="B308" s="294"/>
    </row>
    <row r="309" spans="2:2" ht="13">
      <c r="B309" s="294"/>
    </row>
    <row r="310" spans="2:2" ht="13">
      <c r="B310" s="294"/>
    </row>
    <row r="311" spans="2:2" ht="13">
      <c r="B311" s="294"/>
    </row>
    <row r="312" spans="2:2" ht="13">
      <c r="B312" s="294"/>
    </row>
    <row r="313" spans="2:2" ht="13">
      <c r="B313" s="294"/>
    </row>
    <row r="314" spans="2:2" ht="13">
      <c r="B314" s="294"/>
    </row>
    <row r="315" spans="2:2" ht="13">
      <c r="B315" s="294"/>
    </row>
    <row r="316" spans="2:2" ht="13">
      <c r="B316" s="294"/>
    </row>
    <row r="317" spans="2:2" ht="13">
      <c r="B317" s="294"/>
    </row>
    <row r="318" spans="2:2" ht="13">
      <c r="B318" s="294"/>
    </row>
    <row r="319" spans="2:2" ht="13">
      <c r="B319" s="294"/>
    </row>
    <row r="320" spans="2:2" ht="13">
      <c r="B320" s="294"/>
    </row>
    <row r="321" spans="2:2" ht="13">
      <c r="B321" s="294"/>
    </row>
    <row r="322" spans="2:2" ht="13">
      <c r="B322" s="294"/>
    </row>
    <row r="323" spans="2:2" ht="13">
      <c r="B323" s="294"/>
    </row>
    <row r="324" spans="2:2" ht="13">
      <c r="B324" s="294"/>
    </row>
    <row r="325" spans="2:2" ht="13">
      <c r="B325" s="294"/>
    </row>
    <row r="326" spans="2:2" ht="13">
      <c r="B326" s="294"/>
    </row>
    <row r="327" spans="2:2" ht="13">
      <c r="B327" s="294"/>
    </row>
    <row r="328" spans="2:2" ht="13">
      <c r="B328" s="294"/>
    </row>
    <row r="329" spans="2:2" ht="13">
      <c r="B329" s="294"/>
    </row>
    <row r="330" spans="2:2" ht="13">
      <c r="B330" s="294"/>
    </row>
    <row r="331" spans="2:2" ht="13">
      <c r="B331" s="294"/>
    </row>
    <row r="332" spans="2:2" ht="13">
      <c r="B332" s="294"/>
    </row>
    <row r="333" spans="2:2" ht="13">
      <c r="B333" s="294"/>
    </row>
    <row r="334" spans="2:2" ht="13">
      <c r="B334" s="294"/>
    </row>
    <row r="335" spans="2:2" ht="13">
      <c r="B335" s="294"/>
    </row>
    <row r="336" spans="2:2" ht="13">
      <c r="B336" s="294"/>
    </row>
    <row r="337" spans="2:2" ht="13">
      <c r="B337" s="294"/>
    </row>
    <row r="338" spans="2:2" ht="13">
      <c r="B338" s="294"/>
    </row>
    <row r="339" spans="2:2" ht="13">
      <c r="B339" s="294"/>
    </row>
    <row r="340" spans="2:2" ht="13">
      <c r="B340" s="294"/>
    </row>
    <row r="341" spans="2:2" ht="13">
      <c r="B341" s="294"/>
    </row>
    <row r="342" spans="2:2" ht="13">
      <c r="B342" s="294"/>
    </row>
    <row r="343" spans="2:2" ht="13">
      <c r="B343" s="294"/>
    </row>
    <row r="344" spans="2:2" ht="13">
      <c r="B344" s="294"/>
    </row>
    <row r="345" spans="2:2" ht="13">
      <c r="B345" s="294"/>
    </row>
    <row r="346" spans="2:2" ht="13">
      <c r="B346" s="294"/>
    </row>
    <row r="347" spans="2:2" ht="13">
      <c r="B347" s="294"/>
    </row>
    <row r="348" spans="2:2" ht="13">
      <c r="B348" s="294"/>
    </row>
    <row r="349" spans="2:2" ht="13">
      <c r="B349" s="294"/>
    </row>
    <row r="350" spans="2:2" ht="13">
      <c r="B350" s="294"/>
    </row>
    <row r="351" spans="2:2" ht="13">
      <c r="B351" s="294"/>
    </row>
    <row r="352" spans="2:2" ht="13">
      <c r="B352" s="294"/>
    </row>
    <row r="353" spans="2:2" ht="13">
      <c r="B353" s="294"/>
    </row>
    <row r="354" spans="2:2" ht="13">
      <c r="B354" s="294"/>
    </row>
    <row r="355" spans="2:2" ht="13">
      <c r="B355" s="294"/>
    </row>
    <row r="356" spans="2:2" ht="13">
      <c r="B356" s="294"/>
    </row>
    <row r="357" spans="2:2" ht="13">
      <c r="B357" s="294"/>
    </row>
    <row r="358" spans="2:2" ht="13">
      <c r="B358" s="294"/>
    </row>
    <row r="359" spans="2:2" ht="13">
      <c r="B359" s="294"/>
    </row>
    <row r="360" spans="2:2" ht="13">
      <c r="B360" s="294"/>
    </row>
    <row r="361" spans="2:2" ht="13">
      <c r="B361" s="294"/>
    </row>
    <row r="362" spans="2:2" ht="13">
      <c r="B362" s="294"/>
    </row>
    <row r="363" spans="2:2" ht="13">
      <c r="B363" s="294"/>
    </row>
    <row r="364" spans="2:2" ht="13">
      <c r="B364" s="294"/>
    </row>
    <row r="365" spans="2:2" ht="13">
      <c r="B365" s="294"/>
    </row>
    <row r="366" spans="2:2" ht="13">
      <c r="B366" s="294"/>
    </row>
    <row r="367" spans="2:2" ht="13">
      <c r="B367" s="294"/>
    </row>
    <row r="368" spans="2:2" ht="13">
      <c r="B368" s="294"/>
    </row>
    <row r="369" spans="2:2" ht="13">
      <c r="B369" s="294"/>
    </row>
    <row r="370" spans="2:2" ht="13">
      <c r="B370" s="294"/>
    </row>
    <row r="371" spans="2:2" ht="13">
      <c r="B371" s="294"/>
    </row>
    <row r="372" spans="2:2" ht="13">
      <c r="B372" s="294"/>
    </row>
    <row r="373" spans="2:2" ht="13">
      <c r="B373" s="294"/>
    </row>
    <row r="374" spans="2:2" ht="13">
      <c r="B374" s="294"/>
    </row>
    <row r="375" spans="2:2" ht="13">
      <c r="B375" s="294"/>
    </row>
    <row r="376" spans="2:2" ht="13">
      <c r="B376" s="294"/>
    </row>
    <row r="377" spans="2:2" ht="13">
      <c r="B377" s="294"/>
    </row>
    <row r="378" spans="2:2" ht="13">
      <c r="B378" s="294"/>
    </row>
    <row r="379" spans="2:2" ht="13">
      <c r="B379" s="294"/>
    </row>
    <row r="380" spans="2:2" ht="13">
      <c r="B380" s="294"/>
    </row>
    <row r="381" spans="2:2" ht="13">
      <c r="B381" s="294"/>
    </row>
    <row r="382" spans="2:2" ht="13">
      <c r="B382" s="294"/>
    </row>
    <row r="383" spans="2:2" ht="13">
      <c r="B383" s="294"/>
    </row>
    <row r="384" spans="2:2" ht="13">
      <c r="B384" s="294"/>
    </row>
    <row r="385" spans="2:2" ht="13">
      <c r="B385" s="294"/>
    </row>
    <row r="386" spans="2:2" ht="13">
      <c r="B386" s="294"/>
    </row>
    <row r="387" spans="2:2" ht="13">
      <c r="B387" s="294"/>
    </row>
    <row r="388" spans="2:2" ht="13">
      <c r="B388" s="294"/>
    </row>
    <row r="389" spans="2:2" ht="13">
      <c r="B389" s="294"/>
    </row>
    <row r="390" spans="2:2" ht="13">
      <c r="B390" s="294"/>
    </row>
    <row r="391" spans="2:2" ht="13">
      <c r="B391" s="294"/>
    </row>
    <row r="392" spans="2:2" ht="13">
      <c r="B392" s="294"/>
    </row>
    <row r="393" spans="2:2" ht="13">
      <c r="B393" s="294"/>
    </row>
    <row r="394" spans="2:2" ht="13">
      <c r="B394" s="294"/>
    </row>
    <row r="395" spans="2:2" ht="13">
      <c r="B395" s="294"/>
    </row>
    <row r="396" spans="2:2" ht="13">
      <c r="B396" s="294"/>
    </row>
    <row r="397" spans="2:2" ht="13">
      <c r="B397" s="294"/>
    </row>
    <row r="398" spans="2:2" ht="13">
      <c r="B398" s="294"/>
    </row>
    <row r="399" spans="2:2" ht="13">
      <c r="B399" s="294"/>
    </row>
    <row r="400" spans="2:2" ht="13">
      <c r="B400" s="294"/>
    </row>
    <row r="401" spans="2:2" ht="13">
      <c r="B401" s="294"/>
    </row>
    <row r="402" spans="2:2" ht="13">
      <c r="B402" s="294"/>
    </row>
    <row r="403" spans="2:2" ht="13">
      <c r="B403" s="294"/>
    </row>
    <row r="404" spans="2:2" ht="13">
      <c r="B404" s="294"/>
    </row>
    <row r="405" spans="2:2" ht="13">
      <c r="B405" s="294"/>
    </row>
    <row r="406" spans="2:2" ht="13">
      <c r="B406" s="294"/>
    </row>
    <row r="407" spans="2:2" ht="13">
      <c r="B407" s="294"/>
    </row>
    <row r="408" spans="2:2" ht="13">
      <c r="B408" s="294"/>
    </row>
    <row r="409" spans="2:2" ht="13">
      <c r="B409" s="294"/>
    </row>
    <row r="410" spans="2:2" ht="13">
      <c r="B410" s="294"/>
    </row>
    <row r="411" spans="2:2" ht="13">
      <c r="B411" s="294"/>
    </row>
    <row r="412" spans="2:2" ht="13">
      <c r="B412" s="294"/>
    </row>
    <row r="413" spans="2:2" ht="13">
      <c r="B413" s="294"/>
    </row>
    <row r="414" spans="2:2" ht="13">
      <c r="B414" s="294"/>
    </row>
    <row r="415" spans="2:2" ht="13">
      <c r="B415" s="294"/>
    </row>
    <row r="416" spans="2:2" ht="13">
      <c r="B416" s="294"/>
    </row>
    <row r="417" spans="2:2" ht="13">
      <c r="B417" s="294"/>
    </row>
    <row r="418" spans="2:2" ht="13">
      <c r="B418" s="294"/>
    </row>
    <row r="419" spans="2:2" ht="13">
      <c r="B419" s="294"/>
    </row>
    <row r="420" spans="2:2" ht="13">
      <c r="B420" s="294"/>
    </row>
    <row r="421" spans="2:2" ht="13">
      <c r="B421" s="294"/>
    </row>
    <row r="422" spans="2:2" ht="13">
      <c r="B422" s="294"/>
    </row>
    <row r="423" spans="2:2" ht="13">
      <c r="B423" s="294"/>
    </row>
    <row r="424" spans="2:2" ht="13">
      <c r="B424" s="294"/>
    </row>
    <row r="425" spans="2:2" ht="13">
      <c r="B425" s="294"/>
    </row>
    <row r="426" spans="2:2" ht="13">
      <c r="B426" s="294"/>
    </row>
    <row r="427" spans="2:2" ht="13">
      <c r="B427" s="294"/>
    </row>
    <row r="428" spans="2:2" ht="13">
      <c r="B428" s="294"/>
    </row>
    <row r="429" spans="2:2" ht="13">
      <c r="B429" s="294"/>
    </row>
    <row r="430" spans="2:2" ht="13">
      <c r="B430" s="294"/>
    </row>
    <row r="431" spans="2:2" ht="13">
      <c r="B431" s="294"/>
    </row>
    <row r="432" spans="2:2" ht="13">
      <c r="B432" s="294"/>
    </row>
    <row r="433" spans="2:2" ht="13">
      <c r="B433" s="294"/>
    </row>
    <row r="434" spans="2:2" ht="13">
      <c r="B434" s="294"/>
    </row>
    <row r="435" spans="2:2" ht="13">
      <c r="B435" s="294"/>
    </row>
    <row r="436" spans="2:2" ht="13">
      <c r="B436" s="294"/>
    </row>
    <row r="437" spans="2:2" ht="13">
      <c r="B437" s="294"/>
    </row>
    <row r="438" spans="2:2" ht="13">
      <c r="B438" s="294"/>
    </row>
    <row r="439" spans="2:2" ht="13">
      <c r="B439" s="294"/>
    </row>
    <row r="440" spans="2:2" ht="13">
      <c r="B440" s="294"/>
    </row>
    <row r="441" spans="2:2" ht="13">
      <c r="B441" s="294"/>
    </row>
    <row r="442" spans="2:2" ht="13">
      <c r="B442" s="294"/>
    </row>
    <row r="443" spans="2:2" ht="13">
      <c r="B443" s="294"/>
    </row>
    <row r="444" spans="2:2" ht="13">
      <c r="B444" s="294"/>
    </row>
    <row r="445" spans="2:2" ht="13">
      <c r="B445" s="294"/>
    </row>
    <row r="446" spans="2:2" ht="13">
      <c r="B446" s="294"/>
    </row>
    <row r="447" spans="2:2" ht="13">
      <c r="B447" s="294"/>
    </row>
    <row r="448" spans="2:2" ht="13">
      <c r="B448" s="294"/>
    </row>
    <row r="449" spans="2:2" ht="13">
      <c r="B449" s="294"/>
    </row>
    <row r="450" spans="2:2" ht="13">
      <c r="B450" s="294"/>
    </row>
    <row r="451" spans="2:2" ht="13">
      <c r="B451" s="294"/>
    </row>
    <row r="452" spans="2:2" ht="13">
      <c r="B452" s="294"/>
    </row>
    <row r="453" spans="2:2" ht="13">
      <c r="B453" s="294"/>
    </row>
    <row r="454" spans="2:2" ht="13">
      <c r="B454" s="294"/>
    </row>
    <row r="455" spans="2:2" ht="13">
      <c r="B455" s="294"/>
    </row>
    <row r="456" spans="2:2" ht="13">
      <c r="B456" s="294"/>
    </row>
    <row r="457" spans="2:2" ht="13">
      <c r="B457" s="294"/>
    </row>
    <row r="458" spans="2:2" ht="13">
      <c r="B458" s="294"/>
    </row>
    <row r="459" spans="2:2" ht="13">
      <c r="B459" s="294"/>
    </row>
    <row r="460" spans="2:2" ht="13">
      <c r="B460" s="294"/>
    </row>
    <row r="461" spans="2:2" ht="13">
      <c r="B461" s="294"/>
    </row>
    <row r="462" spans="2:2" ht="13">
      <c r="B462" s="294"/>
    </row>
    <row r="463" spans="2:2" ht="13">
      <c r="B463" s="294"/>
    </row>
    <row r="464" spans="2:2" ht="13">
      <c r="B464" s="294"/>
    </row>
    <row r="465" spans="2:2" ht="13">
      <c r="B465" s="294"/>
    </row>
    <row r="466" spans="2:2" ht="13">
      <c r="B466" s="294"/>
    </row>
    <row r="467" spans="2:2" ht="13">
      <c r="B467" s="294"/>
    </row>
    <row r="468" spans="2:2" ht="13">
      <c r="B468" s="294"/>
    </row>
    <row r="469" spans="2:2" ht="13">
      <c r="B469" s="294"/>
    </row>
    <row r="470" spans="2:2" ht="13">
      <c r="B470" s="294"/>
    </row>
    <row r="471" spans="2:2" ht="13">
      <c r="B471" s="294"/>
    </row>
    <row r="472" spans="2:2" ht="13">
      <c r="B472" s="294"/>
    </row>
    <row r="473" spans="2:2" ht="13">
      <c r="B473" s="294"/>
    </row>
    <row r="474" spans="2:2" ht="13">
      <c r="B474" s="294"/>
    </row>
    <row r="475" spans="2:2" ht="13">
      <c r="B475" s="294"/>
    </row>
    <row r="476" spans="2:2" ht="13">
      <c r="B476" s="294"/>
    </row>
    <row r="477" spans="2:2" ht="13">
      <c r="B477" s="294"/>
    </row>
    <row r="478" spans="2:2" ht="13">
      <c r="B478" s="294"/>
    </row>
    <row r="479" spans="2:2" ht="13">
      <c r="B479" s="294"/>
    </row>
    <row r="480" spans="2:2" ht="13">
      <c r="B480" s="294"/>
    </row>
    <row r="481" spans="2:2" ht="13">
      <c r="B481" s="294"/>
    </row>
    <row r="482" spans="2:2" ht="13">
      <c r="B482" s="294"/>
    </row>
    <row r="483" spans="2:2" ht="13">
      <c r="B483" s="294"/>
    </row>
    <row r="484" spans="2:2" ht="13">
      <c r="B484" s="294"/>
    </row>
    <row r="485" spans="2:2" ht="13">
      <c r="B485" s="294"/>
    </row>
    <row r="486" spans="2:2" ht="13">
      <c r="B486" s="294"/>
    </row>
    <row r="487" spans="2:2" ht="13">
      <c r="B487" s="294"/>
    </row>
    <row r="488" spans="2:2" ht="13">
      <c r="B488" s="294"/>
    </row>
    <row r="489" spans="2:2" ht="13">
      <c r="B489" s="294"/>
    </row>
    <row r="490" spans="2:2" ht="13">
      <c r="B490" s="294"/>
    </row>
    <row r="491" spans="2:2" ht="13">
      <c r="B491" s="294"/>
    </row>
    <row r="492" spans="2:2" ht="13">
      <c r="B492" s="294"/>
    </row>
    <row r="493" spans="2:2" ht="13">
      <c r="B493" s="294"/>
    </row>
    <row r="494" spans="2:2" ht="13">
      <c r="B494" s="294"/>
    </row>
    <row r="495" spans="2:2" ht="13">
      <c r="B495" s="294"/>
    </row>
    <row r="496" spans="2:2" ht="13">
      <c r="B496" s="294"/>
    </row>
    <row r="497" spans="2:2" ht="13">
      <c r="B497" s="294"/>
    </row>
    <row r="498" spans="2:2" ht="13">
      <c r="B498" s="294"/>
    </row>
    <row r="499" spans="2:2" ht="13">
      <c r="B499" s="294"/>
    </row>
    <row r="500" spans="2:2" ht="13">
      <c r="B500" s="294"/>
    </row>
    <row r="501" spans="2:2" ht="13">
      <c r="B501" s="294"/>
    </row>
    <row r="502" spans="2:2" ht="13">
      <c r="B502" s="294"/>
    </row>
    <row r="503" spans="2:2" ht="13">
      <c r="B503" s="294"/>
    </row>
    <row r="504" spans="2:2" ht="13">
      <c r="B504" s="294"/>
    </row>
    <row r="505" spans="2:2" ht="13">
      <c r="B505" s="294"/>
    </row>
    <row r="506" spans="2:2" ht="13">
      <c r="B506" s="294"/>
    </row>
    <row r="507" spans="2:2" ht="13">
      <c r="B507" s="294"/>
    </row>
    <row r="508" spans="2:2" ht="13">
      <c r="B508" s="294"/>
    </row>
    <row r="509" spans="2:2" ht="13">
      <c r="B509" s="294"/>
    </row>
    <row r="510" spans="2:2" ht="13">
      <c r="B510" s="294"/>
    </row>
    <row r="511" spans="2:2" ht="13">
      <c r="B511" s="294"/>
    </row>
    <row r="512" spans="2:2" ht="13">
      <c r="B512" s="294"/>
    </row>
    <row r="513" spans="2:2" ht="13">
      <c r="B513" s="294"/>
    </row>
    <row r="514" spans="2:2" ht="13">
      <c r="B514" s="294"/>
    </row>
    <row r="515" spans="2:2" ht="13">
      <c r="B515" s="294"/>
    </row>
    <row r="516" spans="2:2" ht="13">
      <c r="B516" s="294"/>
    </row>
    <row r="517" spans="2:2" ht="13">
      <c r="B517" s="294"/>
    </row>
    <row r="518" spans="2:2" ht="13">
      <c r="B518" s="294"/>
    </row>
    <row r="519" spans="2:2" ht="13">
      <c r="B519" s="294"/>
    </row>
    <row r="520" spans="2:2" ht="13">
      <c r="B520" s="294"/>
    </row>
    <row r="521" spans="2:2" ht="13">
      <c r="B521" s="294"/>
    </row>
    <row r="522" spans="2:2" ht="13">
      <c r="B522" s="294"/>
    </row>
    <row r="523" spans="2:2" ht="13">
      <c r="B523" s="294"/>
    </row>
    <row r="524" spans="2:2" ht="13">
      <c r="B524" s="294"/>
    </row>
    <row r="525" spans="2:2" ht="13">
      <c r="B525" s="294"/>
    </row>
    <row r="526" spans="2:2" ht="13">
      <c r="B526" s="294"/>
    </row>
    <row r="527" spans="2:2" ht="13">
      <c r="B527" s="294"/>
    </row>
    <row r="528" spans="2:2" ht="13">
      <c r="B528" s="294"/>
    </row>
    <row r="529" spans="2:2" ht="13">
      <c r="B529" s="294"/>
    </row>
    <row r="530" spans="2:2" ht="13">
      <c r="B530" s="294"/>
    </row>
    <row r="531" spans="2:2" ht="13">
      <c r="B531" s="294"/>
    </row>
    <row r="532" spans="2:2" ht="13">
      <c r="B532" s="294"/>
    </row>
    <row r="533" spans="2:2" ht="13">
      <c r="B533" s="294"/>
    </row>
    <row r="534" spans="2:2" ht="13">
      <c r="B534" s="294"/>
    </row>
    <row r="535" spans="2:2" ht="13">
      <c r="B535" s="294"/>
    </row>
    <row r="536" spans="2:2" ht="13">
      <c r="B536" s="294"/>
    </row>
    <row r="537" spans="2:2" ht="13">
      <c r="B537" s="294"/>
    </row>
    <row r="538" spans="2:2" ht="13">
      <c r="B538" s="294"/>
    </row>
    <row r="539" spans="2:2" ht="13">
      <c r="B539" s="294"/>
    </row>
    <row r="540" spans="2:2" ht="13">
      <c r="B540" s="294"/>
    </row>
    <row r="541" spans="2:2" ht="13">
      <c r="B541" s="294"/>
    </row>
    <row r="542" spans="2:2" ht="13">
      <c r="B542" s="294"/>
    </row>
    <row r="543" spans="2:2" ht="13">
      <c r="B543" s="294"/>
    </row>
    <row r="544" spans="2:2" ht="13">
      <c r="B544" s="294"/>
    </row>
    <row r="545" spans="2:2" ht="13">
      <c r="B545" s="294"/>
    </row>
    <row r="546" spans="2:2" ht="13">
      <c r="B546" s="294"/>
    </row>
    <row r="547" spans="2:2" ht="13">
      <c r="B547" s="294"/>
    </row>
    <row r="548" spans="2:2" ht="13">
      <c r="B548" s="294"/>
    </row>
    <row r="549" spans="2:2" ht="13">
      <c r="B549" s="294"/>
    </row>
    <row r="550" spans="2:2" ht="13">
      <c r="B550" s="294"/>
    </row>
    <row r="551" spans="2:2" ht="13">
      <c r="B551" s="294"/>
    </row>
    <row r="552" spans="2:2" ht="13">
      <c r="B552" s="294"/>
    </row>
    <row r="553" spans="2:2" ht="13">
      <c r="B553" s="294"/>
    </row>
    <row r="554" spans="2:2" ht="13">
      <c r="B554" s="294"/>
    </row>
    <row r="555" spans="2:2" ht="13">
      <c r="B555" s="294"/>
    </row>
    <row r="556" spans="2:2" ht="13">
      <c r="B556" s="294"/>
    </row>
    <row r="557" spans="2:2" ht="13">
      <c r="B557" s="294"/>
    </row>
    <row r="558" spans="2:2" ht="13">
      <c r="B558" s="294"/>
    </row>
    <row r="559" spans="2:2" ht="13">
      <c r="B559" s="294"/>
    </row>
    <row r="560" spans="2:2" ht="13">
      <c r="B560" s="294"/>
    </row>
    <row r="561" spans="2:2" ht="13">
      <c r="B561" s="294"/>
    </row>
    <row r="562" spans="2:2" ht="13">
      <c r="B562" s="294"/>
    </row>
    <row r="563" spans="2:2" ht="13">
      <c r="B563" s="294"/>
    </row>
    <row r="564" spans="2:2" ht="13">
      <c r="B564" s="294"/>
    </row>
    <row r="565" spans="2:2" ht="13">
      <c r="B565" s="294"/>
    </row>
    <row r="566" spans="2:2" ht="13">
      <c r="B566" s="294"/>
    </row>
    <row r="567" spans="2:2" ht="13">
      <c r="B567" s="294"/>
    </row>
    <row r="568" spans="2:2" ht="13">
      <c r="B568" s="294"/>
    </row>
    <row r="569" spans="2:2" ht="13">
      <c r="B569" s="294"/>
    </row>
    <row r="570" spans="2:2" ht="13">
      <c r="B570" s="294"/>
    </row>
    <row r="571" spans="2:2" ht="13">
      <c r="B571" s="294"/>
    </row>
    <row r="572" spans="2:2" ht="13">
      <c r="B572" s="294"/>
    </row>
    <row r="573" spans="2:2" ht="13">
      <c r="B573" s="294"/>
    </row>
    <row r="574" spans="2:2" ht="13">
      <c r="B574" s="294"/>
    </row>
    <row r="575" spans="2:2" ht="13">
      <c r="B575" s="294"/>
    </row>
    <row r="576" spans="2:2" ht="13">
      <c r="B576" s="294"/>
    </row>
    <row r="577" spans="2:2" ht="13">
      <c r="B577" s="294"/>
    </row>
    <row r="578" spans="2:2" ht="13">
      <c r="B578" s="294"/>
    </row>
    <row r="579" spans="2:2" ht="13">
      <c r="B579" s="294"/>
    </row>
    <row r="580" spans="2:2" ht="13">
      <c r="B580" s="294"/>
    </row>
    <row r="581" spans="2:2" ht="13">
      <c r="B581" s="294"/>
    </row>
    <row r="582" spans="2:2" ht="13">
      <c r="B582" s="294"/>
    </row>
    <row r="583" spans="2:2" ht="13">
      <c r="B583" s="294"/>
    </row>
    <row r="584" spans="2:2" ht="13">
      <c r="B584" s="294"/>
    </row>
    <row r="585" spans="2:2" ht="13">
      <c r="B585" s="294"/>
    </row>
    <row r="586" spans="2:2" ht="13">
      <c r="B586" s="294"/>
    </row>
    <row r="587" spans="2:2" ht="13">
      <c r="B587" s="294"/>
    </row>
    <row r="588" spans="2:2" ht="13">
      <c r="B588" s="294"/>
    </row>
    <row r="589" spans="2:2" ht="13">
      <c r="B589" s="294"/>
    </row>
    <row r="590" spans="2:2" ht="13">
      <c r="B590" s="294"/>
    </row>
    <row r="591" spans="2:2" ht="13">
      <c r="B591" s="294"/>
    </row>
    <row r="592" spans="2:2" ht="13">
      <c r="B592" s="294"/>
    </row>
    <row r="593" spans="2:2" ht="13">
      <c r="B593" s="294"/>
    </row>
    <row r="594" spans="2:2" ht="13">
      <c r="B594" s="294"/>
    </row>
    <row r="595" spans="2:2" ht="13">
      <c r="B595" s="294"/>
    </row>
    <row r="596" spans="2:2" ht="13">
      <c r="B596" s="294"/>
    </row>
    <row r="597" spans="2:2" ht="13">
      <c r="B597" s="294"/>
    </row>
    <row r="598" spans="2:2" ht="13">
      <c r="B598" s="294"/>
    </row>
    <row r="599" spans="2:2" ht="13">
      <c r="B599" s="294"/>
    </row>
    <row r="600" spans="2:2" ht="13">
      <c r="B600" s="294"/>
    </row>
    <row r="601" spans="2:2" ht="13">
      <c r="B601" s="294"/>
    </row>
    <row r="602" spans="2:2" ht="13">
      <c r="B602" s="294"/>
    </row>
    <row r="603" spans="2:2" ht="13">
      <c r="B603" s="294"/>
    </row>
    <row r="604" spans="2:2" ht="13">
      <c r="B604" s="294"/>
    </row>
    <row r="605" spans="2:2" ht="13">
      <c r="B605" s="294"/>
    </row>
    <row r="606" spans="2:2" ht="13">
      <c r="B606" s="294"/>
    </row>
    <row r="607" spans="2:2" ht="13">
      <c r="B607" s="294"/>
    </row>
    <row r="608" spans="2:2" ht="13">
      <c r="B608" s="294"/>
    </row>
    <row r="609" spans="2:2" ht="13">
      <c r="B609" s="294"/>
    </row>
    <row r="610" spans="2:2" ht="13">
      <c r="B610" s="294"/>
    </row>
    <row r="611" spans="2:2" ht="13">
      <c r="B611" s="294"/>
    </row>
    <row r="612" spans="2:2" ht="13">
      <c r="B612" s="294"/>
    </row>
    <row r="613" spans="2:2" ht="13">
      <c r="B613" s="294"/>
    </row>
    <row r="614" spans="2:2" ht="13">
      <c r="B614" s="294"/>
    </row>
    <row r="615" spans="2:2" ht="13">
      <c r="B615" s="294"/>
    </row>
    <row r="616" spans="2:2" ht="13">
      <c r="B616" s="294"/>
    </row>
    <row r="617" spans="2:2" ht="13">
      <c r="B617" s="294"/>
    </row>
    <row r="618" spans="2:2" ht="13">
      <c r="B618" s="294"/>
    </row>
    <row r="619" spans="2:2" ht="13">
      <c r="B619" s="294"/>
    </row>
    <row r="620" spans="2:2" ht="13">
      <c r="B620" s="294"/>
    </row>
    <row r="621" spans="2:2" ht="13">
      <c r="B621" s="294"/>
    </row>
    <row r="622" spans="2:2" ht="13">
      <c r="B622" s="294"/>
    </row>
    <row r="623" spans="2:2" ht="13">
      <c r="B623" s="294"/>
    </row>
    <row r="624" spans="2:2" ht="13">
      <c r="B624" s="294"/>
    </row>
    <row r="625" spans="2:2" ht="13">
      <c r="B625" s="294"/>
    </row>
    <row r="626" spans="2:2" ht="13">
      <c r="B626" s="294"/>
    </row>
    <row r="627" spans="2:2" ht="13">
      <c r="B627" s="294"/>
    </row>
    <row r="628" spans="2:2" ht="13">
      <c r="B628" s="294"/>
    </row>
    <row r="629" spans="2:2" ht="13">
      <c r="B629" s="294"/>
    </row>
    <row r="630" spans="2:2" ht="13">
      <c r="B630" s="294"/>
    </row>
    <row r="631" spans="2:2" ht="13">
      <c r="B631" s="294"/>
    </row>
    <row r="632" spans="2:2" ht="13">
      <c r="B632" s="294"/>
    </row>
    <row r="633" spans="2:2" ht="13">
      <c r="B633" s="294"/>
    </row>
    <row r="634" spans="2:2" ht="13">
      <c r="B634" s="294"/>
    </row>
    <row r="635" spans="2:2" ht="13">
      <c r="B635" s="294"/>
    </row>
    <row r="636" spans="2:2" ht="13">
      <c r="B636" s="294"/>
    </row>
    <row r="637" spans="2:2" ht="13">
      <c r="B637" s="294"/>
    </row>
    <row r="638" spans="2:2" ht="13">
      <c r="B638" s="294"/>
    </row>
    <row r="639" spans="2:2" ht="13">
      <c r="B639" s="294"/>
    </row>
    <row r="640" spans="2:2" ht="13">
      <c r="B640" s="294"/>
    </row>
    <row r="641" spans="2:2" ht="13">
      <c r="B641" s="294"/>
    </row>
    <row r="642" spans="2:2" ht="13">
      <c r="B642" s="294"/>
    </row>
    <row r="643" spans="2:2" ht="13">
      <c r="B643" s="294"/>
    </row>
    <row r="644" spans="2:2" ht="13">
      <c r="B644" s="294"/>
    </row>
    <row r="645" spans="2:2" ht="13">
      <c r="B645" s="294"/>
    </row>
    <row r="646" spans="2:2" ht="13">
      <c r="B646" s="294"/>
    </row>
    <row r="647" spans="2:2" ht="13">
      <c r="B647" s="294"/>
    </row>
    <row r="648" spans="2:2" ht="13">
      <c r="B648" s="294"/>
    </row>
    <row r="649" spans="2:2" ht="13">
      <c r="B649" s="294"/>
    </row>
    <row r="650" spans="2:2" ht="13">
      <c r="B650" s="294"/>
    </row>
    <row r="651" spans="2:2" ht="13">
      <c r="B651" s="294"/>
    </row>
    <row r="652" spans="2:2" ht="13">
      <c r="B652" s="294"/>
    </row>
    <row r="653" spans="2:2" ht="13">
      <c r="B653" s="294"/>
    </row>
    <row r="654" spans="2:2" ht="13">
      <c r="B654" s="294"/>
    </row>
    <row r="655" spans="2:2" ht="13">
      <c r="B655" s="294"/>
    </row>
    <row r="656" spans="2:2" ht="13">
      <c r="B656" s="294"/>
    </row>
    <row r="657" spans="2:2" ht="13">
      <c r="B657" s="294"/>
    </row>
    <row r="658" spans="2:2" ht="13">
      <c r="B658" s="294"/>
    </row>
    <row r="659" spans="2:2" ht="13">
      <c r="B659" s="294"/>
    </row>
    <row r="660" spans="2:2" ht="13">
      <c r="B660" s="294"/>
    </row>
    <row r="661" spans="2:2" ht="13">
      <c r="B661" s="294"/>
    </row>
    <row r="662" spans="2:2" ht="13">
      <c r="B662" s="294"/>
    </row>
    <row r="663" spans="2:2" ht="13">
      <c r="B663" s="294"/>
    </row>
    <row r="664" spans="2:2" ht="13">
      <c r="B664" s="294"/>
    </row>
    <row r="665" spans="2:2" ht="13">
      <c r="B665" s="294"/>
    </row>
    <row r="666" spans="2:2" ht="13">
      <c r="B666" s="294"/>
    </row>
    <row r="667" spans="2:2" ht="13">
      <c r="B667" s="294"/>
    </row>
    <row r="668" spans="2:2" ht="13">
      <c r="B668" s="294"/>
    </row>
    <row r="669" spans="2:2" ht="13">
      <c r="B669" s="294"/>
    </row>
    <row r="670" spans="2:2" ht="13">
      <c r="B670" s="294"/>
    </row>
    <row r="671" spans="2:2" ht="13">
      <c r="B671" s="294"/>
    </row>
    <row r="672" spans="2:2" ht="13">
      <c r="B672" s="294"/>
    </row>
    <row r="673" spans="2:2" ht="13">
      <c r="B673" s="294"/>
    </row>
    <row r="674" spans="2:2" ht="13">
      <c r="B674" s="294"/>
    </row>
    <row r="675" spans="2:2" ht="13">
      <c r="B675" s="294"/>
    </row>
    <row r="676" spans="2:2" ht="13">
      <c r="B676" s="294"/>
    </row>
    <row r="677" spans="2:2" ht="13">
      <c r="B677" s="294"/>
    </row>
    <row r="678" spans="2:2" ht="13">
      <c r="B678" s="294"/>
    </row>
    <row r="679" spans="2:2" ht="13">
      <c r="B679" s="294"/>
    </row>
    <row r="680" spans="2:2" ht="13">
      <c r="B680" s="294"/>
    </row>
    <row r="681" spans="2:2" ht="13">
      <c r="B681" s="294"/>
    </row>
    <row r="682" spans="2:2" ht="13">
      <c r="B682" s="294"/>
    </row>
    <row r="683" spans="2:2" ht="13">
      <c r="B683" s="294"/>
    </row>
    <row r="684" spans="2:2" ht="13">
      <c r="B684" s="294"/>
    </row>
    <row r="685" spans="2:2" ht="13">
      <c r="B685" s="294"/>
    </row>
    <row r="686" spans="2:2" ht="13">
      <c r="B686" s="294"/>
    </row>
    <row r="687" spans="2:2" ht="13">
      <c r="B687" s="294"/>
    </row>
    <row r="688" spans="2:2" ht="13">
      <c r="B688" s="294"/>
    </row>
    <row r="689" spans="2:2" ht="13">
      <c r="B689" s="294"/>
    </row>
    <row r="690" spans="2:2" ht="13">
      <c r="B690" s="294"/>
    </row>
    <row r="691" spans="2:2" ht="13">
      <c r="B691" s="294"/>
    </row>
    <row r="692" spans="2:2" ht="13">
      <c r="B692" s="294"/>
    </row>
    <row r="693" spans="2:2" ht="13">
      <c r="B693" s="294"/>
    </row>
    <row r="694" spans="2:2" ht="13">
      <c r="B694" s="294"/>
    </row>
    <row r="695" spans="2:2" ht="13">
      <c r="B695" s="294"/>
    </row>
    <row r="696" spans="2:2" ht="13">
      <c r="B696" s="294"/>
    </row>
    <row r="697" spans="2:2" ht="13">
      <c r="B697" s="294"/>
    </row>
    <row r="698" spans="2:2" ht="13">
      <c r="B698" s="294"/>
    </row>
    <row r="699" spans="2:2" ht="13">
      <c r="B699" s="294"/>
    </row>
    <row r="700" spans="2:2" ht="13">
      <c r="B700" s="294"/>
    </row>
    <row r="701" spans="2:2" ht="13">
      <c r="B701" s="294"/>
    </row>
    <row r="702" spans="2:2" ht="13">
      <c r="B702" s="294"/>
    </row>
    <row r="703" spans="2:2" ht="13">
      <c r="B703" s="294"/>
    </row>
    <row r="704" spans="2:2" ht="13">
      <c r="B704" s="294"/>
    </row>
    <row r="705" spans="2:2" ht="13">
      <c r="B705" s="294"/>
    </row>
    <row r="706" spans="2:2" ht="13">
      <c r="B706" s="294"/>
    </row>
    <row r="707" spans="2:2" ht="13">
      <c r="B707" s="294"/>
    </row>
    <row r="708" spans="2:2" ht="13">
      <c r="B708" s="294"/>
    </row>
    <row r="709" spans="2:2" ht="13">
      <c r="B709" s="294"/>
    </row>
    <row r="710" spans="2:2" ht="13">
      <c r="B710" s="294"/>
    </row>
    <row r="711" spans="2:2" ht="13">
      <c r="B711" s="294"/>
    </row>
    <row r="712" spans="2:2" ht="13">
      <c r="B712" s="294"/>
    </row>
    <row r="713" spans="2:2" ht="13">
      <c r="B713" s="294"/>
    </row>
    <row r="714" spans="2:2" ht="13">
      <c r="B714" s="294"/>
    </row>
    <row r="715" spans="2:2" ht="13">
      <c r="B715" s="294"/>
    </row>
    <row r="716" spans="2:2" ht="13">
      <c r="B716" s="294"/>
    </row>
    <row r="717" spans="2:2" ht="13">
      <c r="B717" s="294"/>
    </row>
    <row r="718" spans="2:2" ht="13">
      <c r="B718" s="294"/>
    </row>
    <row r="719" spans="2:2" ht="13">
      <c r="B719" s="294"/>
    </row>
    <row r="720" spans="2:2" ht="13">
      <c r="B720" s="294"/>
    </row>
    <row r="721" spans="2:2" ht="13">
      <c r="B721" s="294"/>
    </row>
    <row r="722" spans="2:2" ht="13">
      <c r="B722" s="294"/>
    </row>
    <row r="723" spans="2:2" ht="13">
      <c r="B723" s="294"/>
    </row>
    <row r="724" spans="2:2" ht="13">
      <c r="B724" s="294"/>
    </row>
    <row r="725" spans="2:2" ht="13">
      <c r="B725" s="294"/>
    </row>
    <row r="726" spans="2:2" ht="13">
      <c r="B726" s="294"/>
    </row>
    <row r="727" spans="2:2" ht="13">
      <c r="B727" s="294"/>
    </row>
    <row r="728" spans="2:2" ht="13">
      <c r="B728" s="294"/>
    </row>
    <row r="729" spans="2:2" ht="13">
      <c r="B729" s="294"/>
    </row>
    <row r="730" spans="2:2" ht="13">
      <c r="B730" s="294"/>
    </row>
    <row r="731" spans="2:2" ht="13">
      <c r="B731" s="294"/>
    </row>
    <row r="732" spans="2:2" ht="13">
      <c r="B732" s="294"/>
    </row>
    <row r="733" spans="2:2" ht="13">
      <c r="B733" s="294"/>
    </row>
    <row r="734" spans="2:2" ht="13">
      <c r="B734" s="294"/>
    </row>
    <row r="735" spans="2:2" ht="13">
      <c r="B735" s="294"/>
    </row>
    <row r="736" spans="2:2" ht="13">
      <c r="B736" s="294"/>
    </row>
    <row r="737" spans="2:2" ht="13">
      <c r="B737" s="294"/>
    </row>
    <row r="738" spans="2:2" ht="13">
      <c r="B738" s="294"/>
    </row>
    <row r="739" spans="2:2" ht="13">
      <c r="B739" s="294"/>
    </row>
    <row r="740" spans="2:2" ht="13">
      <c r="B740" s="294"/>
    </row>
    <row r="741" spans="2:2" ht="13">
      <c r="B741" s="294"/>
    </row>
    <row r="742" spans="2:2" ht="13">
      <c r="B742" s="294"/>
    </row>
    <row r="743" spans="2:2" ht="13">
      <c r="B743" s="294"/>
    </row>
    <row r="744" spans="2:2" ht="13">
      <c r="B744" s="294"/>
    </row>
    <row r="745" spans="2:2" ht="13">
      <c r="B745" s="294"/>
    </row>
    <row r="746" spans="2:2" ht="13">
      <c r="B746" s="294"/>
    </row>
    <row r="747" spans="2:2" ht="13">
      <c r="B747" s="294"/>
    </row>
    <row r="748" spans="2:2" ht="13">
      <c r="B748" s="294"/>
    </row>
    <row r="749" spans="2:2" ht="13">
      <c r="B749" s="294"/>
    </row>
    <row r="750" spans="2:2" ht="13">
      <c r="B750" s="294"/>
    </row>
    <row r="751" spans="2:2" ht="13">
      <c r="B751" s="294"/>
    </row>
    <row r="752" spans="2:2" ht="13">
      <c r="B752" s="294"/>
    </row>
    <row r="753" spans="2:2" ht="13">
      <c r="B753" s="294"/>
    </row>
    <row r="754" spans="2:2" ht="13">
      <c r="B754" s="294"/>
    </row>
    <row r="755" spans="2:2" ht="13">
      <c r="B755" s="294"/>
    </row>
    <row r="756" spans="2:2" ht="13">
      <c r="B756" s="294"/>
    </row>
    <row r="757" spans="2:2" ht="13">
      <c r="B757" s="294"/>
    </row>
    <row r="758" spans="2:2" ht="13">
      <c r="B758" s="294"/>
    </row>
    <row r="759" spans="2:2" ht="13">
      <c r="B759" s="294"/>
    </row>
    <row r="760" spans="2:2" ht="13">
      <c r="B760" s="294"/>
    </row>
    <row r="761" spans="2:2" ht="13">
      <c r="B761" s="294"/>
    </row>
    <row r="762" spans="2:2" ht="13">
      <c r="B762" s="294"/>
    </row>
    <row r="763" spans="2:2" ht="13">
      <c r="B763" s="294"/>
    </row>
    <row r="764" spans="2:2" ht="13">
      <c r="B764" s="294"/>
    </row>
    <row r="765" spans="2:2" ht="13">
      <c r="B765" s="294"/>
    </row>
    <row r="766" spans="2:2" ht="13">
      <c r="B766" s="294"/>
    </row>
    <row r="767" spans="2:2" ht="13">
      <c r="B767" s="294"/>
    </row>
    <row r="768" spans="2:2" ht="13">
      <c r="B768" s="294"/>
    </row>
    <row r="769" spans="2:2" ht="13">
      <c r="B769" s="294"/>
    </row>
    <row r="770" spans="2:2" ht="13">
      <c r="B770" s="294"/>
    </row>
    <row r="771" spans="2:2" ht="13">
      <c r="B771" s="294"/>
    </row>
    <row r="772" spans="2:2" ht="13">
      <c r="B772" s="294"/>
    </row>
    <row r="773" spans="2:2" ht="13">
      <c r="B773" s="294"/>
    </row>
    <row r="774" spans="2:2" ht="13">
      <c r="B774" s="294"/>
    </row>
    <row r="775" spans="2:2" ht="13">
      <c r="B775" s="294"/>
    </row>
    <row r="776" spans="2:2" ht="13">
      <c r="B776" s="294"/>
    </row>
    <row r="777" spans="2:2" ht="13">
      <c r="B777" s="294"/>
    </row>
    <row r="778" spans="2:2" ht="13">
      <c r="B778" s="294"/>
    </row>
    <row r="779" spans="2:2" ht="13">
      <c r="B779" s="294"/>
    </row>
    <row r="780" spans="2:2" ht="13">
      <c r="B780" s="294"/>
    </row>
    <row r="781" spans="2:2" ht="13">
      <c r="B781" s="294"/>
    </row>
    <row r="782" spans="2:2" ht="13">
      <c r="B782" s="294"/>
    </row>
    <row r="783" spans="2:2" ht="13">
      <c r="B783" s="294"/>
    </row>
    <row r="784" spans="2:2" ht="13">
      <c r="B784" s="294"/>
    </row>
    <row r="785" spans="2:2" ht="13">
      <c r="B785" s="294"/>
    </row>
    <row r="786" spans="2:2" ht="13">
      <c r="B786" s="294"/>
    </row>
    <row r="787" spans="2:2" ht="13">
      <c r="B787" s="294"/>
    </row>
    <row r="788" spans="2:2" ht="13">
      <c r="B788" s="294"/>
    </row>
    <row r="789" spans="2:2" ht="13">
      <c r="B789" s="294"/>
    </row>
    <row r="790" spans="2:2" ht="13">
      <c r="B790" s="294"/>
    </row>
    <row r="791" spans="2:2" ht="13">
      <c r="B791" s="294"/>
    </row>
    <row r="792" spans="2:2" ht="13">
      <c r="B792" s="294"/>
    </row>
    <row r="793" spans="2:2" ht="13">
      <c r="B793" s="294"/>
    </row>
    <row r="794" spans="2:2" ht="13">
      <c r="B794" s="294"/>
    </row>
    <row r="795" spans="2:2" ht="13">
      <c r="B795" s="294"/>
    </row>
    <row r="796" spans="2:2" ht="13">
      <c r="B796" s="294"/>
    </row>
    <row r="797" spans="2:2" ht="13">
      <c r="B797" s="294"/>
    </row>
    <row r="798" spans="2:2" ht="13">
      <c r="B798" s="294"/>
    </row>
    <row r="799" spans="2:2" ht="13">
      <c r="B799" s="294"/>
    </row>
    <row r="800" spans="2:2" ht="13">
      <c r="B800" s="294"/>
    </row>
    <row r="801" spans="2:2" ht="13">
      <c r="B801" s="294"/>
    </row>
    <row r="802" spans="2:2" ht="13">
      <c r="B802" s="294"/>
    </row>
    <row r="803" spans="2:2" ht="13">
      <c r="B803" s="294"/>
    </row>
    <row r="804" spans="2:2" ht="13">
      <c r="B804" s="294"/>
    </row>
    <row r="805" spans="2:2" ht="13">
      <c r="B805" s="294"/>
    </row>
    <row r="806" spans="2:2" ht="13">
      <c r="B806" s="294"/>
    </row>
    <row r="807" spans="2:2" ht="13">
      <c r="B807" s="294"/>
    </row>
    <row r="808" spans="2:2" ht="13">
      <c r="B808" s="294"/>
    </row>
    <row r="809" spans="2:2" ht="13">
      <c r="B809" s="294"/>
    </row>
    <row r="810" spans="2:2" ht="13">
      <c r="B810" s="294"/>
    </row>
    <row r="811" spans="2:2" ht="13">
      <c r="B811" s="294"/>
    </row>
    <row r="812" spans="2:2" ht="13">
      <c r="B812" s="294"/>
    </row>
    <row r="813" spans="2:2" ht="13">
      <c r="B813" s="294"/>
    </row>
    <row r="814" spans="2:2" ht="13">
      <c r="B814" s="294"/>
    </row>
    <row r="815" spans="2:2" ht="13">
      <c r="B815" s="294"/>
    </row>
    <row r="816" spans="2:2" ht="13">
      <c r="B816" s="294"/>
    </row>
    <row r="817" spans="2:2" ht="13">
      <c r="B817" s="294"/>
    </row>
    <row r="818" spans="2:2" ht="13">
      <c r="B818" s="294"/>
    </row>
    <row r="819" spans="2:2" ht="13">
      <c r="B819" s="294"/>
    </row>
    <row r="820" spans="2:2" ht="13">
      <c r="B820" s="294"/>
    </row>
    <row r="821" spans="2:2" ht="13">
      <c r="B821" s="294"/>
    </row>
    <row r="822" spans="2:2" ht="13">
      <c r="B822" s="294"/>
    </row>
    <row r="823" spans="2:2" ht="13">
      <c r="B823" s="294"/>
    </row>
    <row r="824" spans="2:2" ht="13">
      <c r="B824" s="294"/>
    </row>
    <row r="825" spans="2:2" ht="13">
      <c r="B825" s="294"/>
    </row>
    <row r="826" spans="2:2" ht="13">
      <c r="B826" s="294"/>
    </row>
    <row r="827" spans="2:2" ht="13">
      <c r="B827" s="294"/>
    </row>
    <row r="828" spans="2:2" ht="13">
      <c r="B828" s="294"/>
    </row>
    <row r="829" spans="2:2" ht="13">
      <c r="B829" s="294"/>
    </row>
    <row r="830" spans="2:2" ht="13">
      <c r="B830" s="294"/>
    </row>
    <row r="831" spans="2:2" ht="13">
      <c r="B831" s="294"/>
    </row>
    <row r="832" spans="2:2" ht="13">
      <c r="B832" s="294"/>
    </row>
    <row r="833" spans="2:2" ht="13">
      <c r="B833" s="294"/>
    </row>
    <row r="834" spans="2:2" ht="13">
      <c r="B834" s="294"/>
    </row>
    <row r="835" spans="2:2" ht="13">
      <c r="B835" s="294"/>
    </row>
    <row r="836" spans="2:2" ht="13">
      <c r="B836" s="294"/>
    </row>
    <row r="837" spans="2:2" ht="13">
      <c r="B837" s="294"/>
    </row>
    <row r="838" spans="2:2" ht="13">
      <c r="B838" s="294"/>
    </row>
    <row r="839" spans="2:2" ht="13">
      <c r="B839" s="294"/>
    </row>
    <row r="840" spans="2:2" ht="13">
      <c r="B840" s="294"/>
    </row>
    <row r="841" spans="2:2" ht="13">
      <c r="B841" s="294"/>
    </row>
    <row r="842" spans="2:2" ht="13">
      <c r="B842" s="294"/>
    </row>
    <row r="843" spans="2:2" ht="13">
      <c r="B843" s="294"/>
    </row>
    <row r="844" spans="2:2" ht="13">
      <c r="B844" s="294"/>
    </row>
    <row r="845" spans="2:2" ht="13">
      <c r="B845" s="294"/>
    </row>
    <row r="846" spans="2:2" ht="13">
      <c r="B846" s="294"/>
    </row>
    <row r="847" spans="2:2" ht="13">
      <c r="B847" s="294"/>
    </row>
    <row r="848" spans="2:2" ht="13">
      <c r="B848" s="294"/>
    </row>
    <row r="849" spans="2:2" ht="13">
      <c r="B849" s="294"/>
    </row>
    <row r="850" spans="2:2" ht="13">
      <c r="B850" s="294"/>
    </row>
    <row r="851" spans="2:2" ht="13">
      <c r="B851" s="294"/>
    </row>
    <row r="852" spans="2:2" ht="13">
      <c r="B852" s="294"/>
    </row>
    <row r="853" spans="2:2" ht="13">
      <c r="B853" s="294"/>
    </row>
    <row r="854" spans="2:2" ht="13">
      <c r="B854" s="294"/>
    </row>
    <row r="855" spans="2:2" ht="13">
      <c r="B855" s="294"/>
    </row>
    <row r="856" spans="2:2" ht="13">
      <c r="B856" s="294"/>
    </row>
    <row r="857" spans="2:2" ht="13">
      <c r="B857" s="294"/>
    </row>
    <row r="858" spans="2:2" ht="13">
      <c r="B858" s="294"/>
    </row>
    <row r="859" spans="2:2" ht="13">
      <c r="B859" s="294"/>
    </row>
    <row r="860" spans="2:2" ht="13">
      <c r="B860" s="294"/>
    </row>
    <row r="861" spans="2:2" ht="13">
      <c r="B861" s="294"/>
    </row>
    <row r="862" spans="2:2" ht="13">
      <c r="B862" s="294"/>
    </row>
    <row r="863" spans="2:2" ht="13">
      <c r="B863" s="294"/>
    </row>
    <row r="864" spans="2:2" ht="13">
      <c r="B864" s="294"/>
    </row>
    <row r="865" spans="2:2" ht="13">
      <c r="B865" s="294"/>
    </row>
    <row r="866" spans="2:2" ht="13">
      <c r="B866" s="294"/>
    </row>
    <row r="867" spans="2:2" ht="13">
      <c r="B867" s="294"/>
    </row>
    <row r="868" spans="2:2" ht="13">
      <c r="B868" s="294"/>
    </row>
    <row r="869" spans="2:2" ht="13">
      <c r="B869" s="294"/>
    </row>
    <row r="870" spans="2:2" ht="13">
      <c r="B870" s="294"/>
    </row>
    <row r="871" spans="2:2" ht="13">
      <c r="B871" s="294"/>
    </row>
    <row r="872" spans="2:2" ht="13">
      <c r="B872" s="294"/>
    </row>
    <row r="873" spans="2:2" ht="13">
      <c r="B873" s="294"/>
    </row>
    <row r="874" spans="2:2" ht="13">
      <c r="B874" s="294"/>
    </row>
    <row r="875" spans="2:2" ht="13">
      <c r="B875" s="294"/>
    </row>
    <row r="876" spans="2:2" ht="13">
      <c r="B876" s="294"/>
    </row>
    <row r="877" spans="2:2" ht="13">
      <c r="B877" s="294"/>
    </row>
    <row r="878" spans="2:2" ht="13">
      <c r="B878" s="294"/>
    </row>
    <row r="879" spans="2:2" ht="13">
      <c r="B879" s="294"/>
    </row>
    <row r="880" spans="2:2" ht="13">
      <c r="B880" s="294"/>
    </row>
    <row r="881" spans="2:2" ht="13">
      <c r="B881" s="294"/>
    </row>
    <row r="882" spans="2:2" ht="13">
      <c r="B882" s="294"/>
    </row>
    <row r="883" spans="2:2" ht="13">
      <c r="B883" s="294"/>
    </row>
    <row r="884" spans="2:2" ht="13">
      <c r="B884" s="294"/>
    </row>
    <row r="885" spans="2:2" ht="13">
      <c r="B885" s="294"/>
    </row>
    <row r="886" spans="2:2" ht="13">
      <c r="B886" s="294"/>
    </row>
    <row r="887" spans="2:2" ht="13">
      <c r="B887" s="294"/>
    </row>
    <row r="888" spans="2:2" ht="13">
      <c r="B888" s="294"/>
    </row>
    <row r="889" spans="2:2" ht="13">
      <c r="B889" s="294"/>
    </row>
    <row r="890" spans="2:2" ht="13">
      <c r="B890" s="294"/>
    </row>
    <row r="891" spans="2:2" ht="13">
      <c r="B891" s="294"/>
    </row>
    <row r="892" spans="2:2" ht="13">
      <c r="B892" s="294"/>
    </row>
    <row r="893" spans="2:2" ht="13">
      <c r="B893" s="294"/>
    </row>
    <row r="894" spans="2:2" ht="13">
      <c r="B894" s="294"/>
    </row>
    <row r="895" spans="2:2" ht="13">
      <c r="B895" s="294"/>
    </row>
    <row r="896" spans="2:2" ht="13">
      <c r="B896" s="294"/>
    </row>
    <row r="897" spans="2:2" ht="13">
      <c r="B897" s="294"/>
    </row>
    <row r="898" spans="2:2" ht="13">
      <c r="B898" s="294"/>
    </row>
    <row r="899" spans="2:2" ht="13">
      <c r="B899" s="294"/>
    </row>
    <row r="900" spans="2:2" ht="13">
      <c r="B900" s="294"/>
    </row>
    <row r="901" spans="2:2" ht="13">
      <c r="B901" s="294"/>
    </row>
    <row r="902" spans="2:2" ht="13">
      <c r="B902" s="294"/>
    </row>
    <row r="903" spans="2:2" ht="13">
      <c r="B903" s="294"/>
    </row>
    <row r="904" spans="2:2" ht="13">
      <c r="B904" s="294"/>
    </row>
    <row r="905" spans="2:2" ht="13">
      <c r="B905" s="294"/>
    </row>
    <row r="906" spans="2:2" ht="13">
      <c r="B906" s="294"/>
    </row>
    <row r="907" spans="2:2" ht="13">
      <c r="B907" s="294"/>
    </row>
    <row r="908" spans="2:2" ht="13">
      <c r="B908" s="294"/>
    </row>
    <row r="909" spans="2:2" ht="13">
      <c r="B909" s="294"/>
    </row>
    <row r="910" spans="2:2" ht="13">
      <c r="B910" s="294"/>
    </row>
    <row r="911" spans="2:2" ht="13">
      <c r="B911" s="294"/>
    </row>
    <row r="912" spans="2:2" ht="13">
      <c r="B912" s="294"/>
    </row>
    <row r="913" spans="2:2" ht="13">
      <c r="B913" s="294"/>
    </row>
    <row r="914" spans="2:2" ht="13">
      <c r="B914" s="294"/>
    </row>
    <row r="915" spans="2:2" ht="13">
      <c r="B915" s="294"/>
    </row>
    <row r="916" spans="2:2" ht="13">
      <c r="B916" s="294"/>
    </row>
    <row r="917" spans="2:2" ht="13">
      <c r="B917" s="294"/>
    </row>
    <row r="918" spans="2:2" ht="13">
      <c r="B918" s="294"/>
    </row>
    <row r="919" spans="2:2" ht="13">
      <c r="B919" s="294"/>
    </row>
    <row r="920" spans="2:2" ht="13">
      <c r="B920" s="294"/>
    </row>
    <row r="921" spans="2:2" ht="13">
      <c r="B921" s="294"/>
    </row>
    <row r="922" spans="2:2" ht="13">
      <c r="B922" s="294"/>
    </row>
    <row r="923" spans="2:2" ht="13">
      <c r="B923" s="294"/>
    </row>
    <row r="924" spans="2:2" ht="13">
      <c r="B924" s="294"/>
    </row>
    <row r="925" spans="2:2" ht="13">
      <c r="B925" s="294"/>
    </row>
    <row r="926" spans="2:2" ht="13">
      <c r="B926" s="294"/>
    </row>
    <row r="927" spans="2:2" ht="13">
      <c r="B927" s="294"/>
    </row>
    <row r="928" spans="2:2" ht="13">
      <c r="B928" s="294"/>
    </row>
    <row r="929" spans="2:2" ht="13">
      <c r="B929" s="294"/>
    </row>
    <row r="930" spans="2:2" ht="13">
      <c r="B930" s="294"/>
    </row>
    <row r="931" spans="2:2" ht="13">
      <c r="B931" s="294"/>
    </row>
    <row r="932" spans="2:2" ht="13">
      <c r="B932" s="294"/>
    </row>
    <row r="933" spans="2:2" ht="13">
      <c r="B933" s="294"/>
    </row>
    <row r="934" spans="2:2" ht="13">
      <c r="B934" s="294"/>
    </row>
    <row r="935" spans="2:2" ht="13">
      <c r="B935" s="294"/>
    </row>
    <row r="936" spans="2:2" ht="13">
      <c r="B936" s="294"/>
    </row>
    <row r="937" spans="2:2" ht="13">
      <c r="B937" s="294"/>
    </row>
    <row r="938" spans="2:2" ht="13">
      <c r="B938" s="294"/>
    </row>
    <row r="939" spans="2:2" ht="13">
      <c r="B939" s="294"/>
    </row>
    <row r="940" spans="2:2" ht="13">
      <c r="B940" s="294"/>
    </row>
    <row r="941" spans="2:2" ht="13">
      <c r="B941" s="294"/>
    </row>
    <row r="942" spans="2:2" ht="13">
      <c r="B942" s="294"/>
    </row>
    <row r="943" spans="2:2" ht="13">
      <c r="B943" s="294"/>
    </row>
    <row r="944" spans="2:2" ht="13">
      <c r="B944" s="294"/>
    </row>
    <row r="945" spans="2:2" ht="13">
      <c r="B945" s="294"/>
    </row>
    <row r="946" spans="2:2" ht="13">
      <c r="B946" s="294"/>
    </row>
    <row r="947" spans="2:2" ht="13">
      <c r="B947" s="294"/>
    </row>
    <row r="948" spans="2:2" ht="13">
      <c r="B948" s="294"/>
    </row>
    <row r="949" spans="2:2" ht="13">
      <c r="B949" s="294"/>
    </row>
    <row r="950" spans="2:2" ht="13">
      <c r="B950" s="294"/>
    </row>
    <row r="951" spans="2:2" ht="13">
      <c r="B951" s="294"/>
    </row>
    <row r="952" spans="2:2" ht="13">
      <c r="B952" s="294"/>
    </row>
    <row r="953" spans="2:2" ht="13">
      <c r="B953" s="294"/>
    </row>
    <row r="954" spans="2:2" ht="13">
      <c r="B954" s="294"/>
    </row>
    <row r="955" spans="2:2" ht="13">
      <c r="B955" s="294"/>
    </row>
    <row r="956" spans="2:2" ht="13">
      <c r="B956" s="294"/>
    </row>
    <row r="957" spans="2:2" ht="13">
      <c r="B957" s="294"/>
    </row>
    <row r="958" spans="2:2" ht="13">
      <c r="B958" s="294"/>
    </row>
    <row r="959" spans="2:2" ht="13">
      <c r="B959" s="294"/>
    </row>
    <row r="960" spans="2:2" ht="13">
      <c r="B960" s="294"/>
    </row>
    <row r="961" spans="2:2" ht="13">
      <c r="B961" s="294"/>
    </row>
    <row r="962" spans="2:2" ht="13">
      <c r="B962" s="294"/>
    </row>
    <row r="963" spans="2:2" ht="13">
      <c r="B963" s="294"/>
    </row>
    <row r="964" spans="2:2" ht="13">
      <c r="B964" s="294"/>
    </row>
    <row r="965" spans="2:2" ht="13">
      <c r="B965" s="294"/>
    </row>
    <row r="966" spans="2:2" ht="13">
      <c r="B966" s="294"/>
    </row>
    <row r="967" spans="2:2" ht="13">
      <c r="B967" s="294"/>
    </row>
    <row r="968" spans="2:2" ht="13">
      <c r="B968" s="294"/>
    </row>
    <row r="969" spans="2:2" ht="13">
      <c r="B969" s="294"/>
    </row>
    <row r="970" spans="2:2" ht="13">
      <c r="B970" s="294"/>
    </row>
    <row r="971" spans="2:2" ht="13">
      <c r="B971" s="294"/>
    </row>
    <row r="972" spans="2:2" ht="13">
      <c r="B972" s="294"/>
    </row>
    <row r="973" spans="2:2" ht="13">
      <c r="B973" s="294"/>
    </row>
    <row r="974" spans="2:2" ht="13">
      <c r="B974" s="294"/>
    </row>
    <row r="975" spans="2:2" ht="13">
      <c r="B975" s="294"/>
    </row>
    <row r="976" spans="2:2" ht="13">
      <c r="B976" s="294"/>
    </row>
    <row r="977" spans="2:2" ht="13">
      <c r="B977" s="294"/>
    </row>
    <row r="978" spans="2:2" ht="13">
      <c r="B978" s="294"/>
    </row>
    <row r="979" spans="2:2" ht="13">
      <c r="B979" s="294"/>
    </row>
    <row r="980" spans="2:2" ht="13">
      <c r="B980" s="294"/>
    </row>
    <row r="981" spans="2:2" ht="13">
      <c r="B981" s="294"/>
    </row>
    <row r="982" spans="2:2" ht="13">
      <c r="B982" s="294"/>
    </row>
    <row r="983" spans="2:2" ht="13">
      <c r="B983" s="294"/>
    </row>
    <row r="984" spans="2:2" ht="13">
      <c r="B984" s="294"/>
    </row>
    <row r="985" spans="2:2" ht="13">
      <c r="B985" s="294"/>
    </row>
    <row r="986" spans="2:2" ht="13">
      <c r="B986" s="294"/>
    </row>
    <row r="987" spans="2:2" ht="13">
      <c r="B987" s="294"/>
    </row>
    <row r="988" spans="2:2" ht="13">
      <c r="B988" s="294"/>
    </row>
    <row r="989" spans="2:2" ht="13">
      <c r="B989" s="294"/>
    </row>
    <row r="990" spans="2:2" ht="13">
      <c r="B990" s="294"/>
    </row>
    <row r="991" spans="2:2" ht="13">
      <c r="B991" s="294"/>
    </row>
    <row r="992" spans="2:2" ht="13">
      <c r="B992" s="294"/>
    </row>
    <row r="993" spans="2:2" ht="13">
      <c r="B993" s="294"/>
    </row>
    <row r="994" spans="2:2" ht="13">
      <c r="B994" s="294"/>
    </row>
    <row r="995" spans="2:2" ht="13">
      <c r="B995" s="294"/>
    </row>
    <row r="996" spans="2:2" ht="13">
      <c r="B996" s="294"/>
    </row>
    <row r="997" spans="2:2" ht="13">
      <c r="B997" s="294"/>
    </row>
    <row r="998" spans="2:2" ht="13">
      <c r="B998" s="294"/>
    </row>
    <row r="999" spans="2:2" ht="13">
      <c r="B999" s="294"/>
    </row>
    <row r="1000" spans="2:2" ht="13">
      <c r="B1000" s="294"/>
    </row>
  </sheetData>
  <autoFilter ref="U2:U85" xr:uid="{00000000-0009-0000-0000-000017000000}">
    <sortState xmlns:xlrd2="http://schemas.microsoft.com/office/spreadsheetml/2017/richdata2" ref="U2:U85">
      <sortCondition ref="U2:U85"/>
    </sortState>
  </autoFilter>
  <conditionalFormatting sqref="C3:C106">
    <cfRule type="cellIs" dxfId="4" priority="1" operator="equal">
      <formula>"18%"</formula>
    </cfRule>
    <cfRule type="cellIs" dxfId="3" priority="2" operator="equal">
      <formula>"15%"</formula>
    </cfRule>
    <cfRule type="cellIs" dxfId="2" priority="3" operator="equal">
      <formula>"12%"</formula>
    </cfRule>
    <cfRule type="cellIs" dxfId="1" priority="4" operator="equal">
      <formula>"5%"</formula>
    </cfRule>
    <cfRule type="cellIs" dxfId="0" priority="5" operator="equal">
      <formula>"10%"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101</vt:i4>
      </vt:variant>
    </vt:vector>
  </HeadingPairs>
  <TitlesOfParts>
    <vt:vector size="125" baseType="lpstr">
      <vt:lpstr>2025</vt:lpstr>
      <vt:lpstr>BASILE</vt:lpstr>
      <vt:lpstr>CALO</vt:lpstr>
      <vt:lpstr>RETAMAR</vt:lpstr>
      <vt:lpstr>LAGE</vt:lpstr>
      <vt:lpstr>BUELA</vt:lpstr>
      <vt:lpstr>VARGAS</vt:lpstr>
      <vt:lpstr>ARRIOLA</vt:lpstr>
      <vt:lpstr>MARUCA</vt:lpstr>
      <vt:lpstr>MONTENEGRO</vt:lpstr>
      <vt:lpstr>LAVENIA</vt:lpstr>
      <vt:lpstr>MAINAT</vt:lpstr>
      <vt:lpstr>LESCANO</vt:lpstr>
      <vt:lpstr>ROTELA</vt:lpstr>
      <vt:lpstr>carteras</vt:lpstr>
      <vt:lpstr>CLIE MAR</vt:lpstr>
      <vt:lpstr>MON2</vt:lpstr>
      <vt:lpstr>Hoja 23</vt:lpstr>
      <vt:lpstr>DESCUENTOS</vt:lpstr>
      <vt:lpstr>PEREZ</vt:lpstr>
      <vt:lpstr>oct-dic24</vt:lpstr>
      <vt:lpstr>pre</vt:lpstr>
      <vt:lpstr>2024</vt:lpstr>
      <vt:lpstr>Hoja 18</vt:lpstr>
      <vt:lpstr>A458DC1025</vt:lpstr>
      <vt:lpstr>ARRCART4</vt:lpstr>
      <vt:lpstr>ARRIOALIM</vt:lpstr>
      <vt:lpstr>ARRIOFC</vt:lpstr>
      <vt:lpstr>ARRIOLA24</vt:lpstr>
      <vt:lpstr>ARRIOLACARTERA</vt:lpstr>
      <vt:lpstr>ARRIOLCART2</vt:lpstr>
      <vt:lpstr>ARRIOLFIN</vt:lpstr>
      <vt:lpstr>BAS_UC</vt:lpstr>
      <vt:lpstr>BASALIM</vt:lpstr>
      <vt:lpstr>BASCART3</vt:lpstr>
      <vt:lpstr>BASCART4</vt:lpstr>
      <vt:lpstr>BASFC</vt:lpstr>
      <vt:lpstr>BASILECART2</vt:lpstr>
      <vt:lpstr>BASILECARTERA</vt:lpstr>
      <vt:lpstr>Basilee24</vt:lpstr>
      <vt:lpstr>bassfin</vt:lpstr>
      <vt:lpstr>BUEALIM</vt:lpstr>
      <vt:lpstr>BUECART4</vt:lpstr>
      <vt:lpstr>BUEFC</vt:lpstr>
      <vt:lpstr>BUELA</vt:lpstr>
      <vt:lpstr>BUELACART2</vt:lpstr>
      <vt:lpstr>BUELACARTERA</vt:lpstr>
      <vt:lpstr>buelafin</vt:lpstr>
      <vt:lpstr>CALO24</vt:lpstr>
      <vt:lpstr>CALOALIM</vt:lpstr>
      <vt:lpstr>calocart2</vt:lpstr>
      <vt:lpstr>CALOCART4</vt:lpstr>
      <vt:lpstr>CALOCARTERA</vt:lpstr>
      <vt:lpstr>CALOFC</vt:lpstr>
      <vt:lpstr>calofin</vt:lpstr>
      <vt:lpstr>CART.ARR.3</vt:lpstr>
      <vt:lpstr>CART.BAS.3</vt:lpstr>
      <vt:lpstr>CART.BUE.3</vt:lpstr>
      <vt:lpstr>CART.CAL.3</vt:lpstr>
      <vt:lpstr>CART.LAG.3</vt:lpstr>
      <vt:lpstr>CART.LAV.3</vt:lpstr>
      <vt:lpstr>CART.MAR.3</vt:lpstr>
      <vt:lpstr>CART.MON.3</vt:lpstr>
      <vt:lpstr>cart.ret.3</vt:lpstr>
      <vt:lpstr>CART.VAR.3</vt:lpstr>
      <vt:lpstr>CARTEROTEPECH</vt:lpstr>
      <vt:lpstr>CARTLES1</vt:lpstr>
      <vt:lpstr>DES</vt:lpstr>
      <vt:lpstr>LAGALIM</vt:lpstr>
      <vt:lpstr>LAGE24</vt:lpstr>
      <vt:lpstr>LAGECART2</vt:lpstr>
      <vt:lpstr>LAGECART4</vt:lpstr>
      <vt:lpstr>LAGECARTERA</vt:lpstr>
      <vt:lpstr>LAGEFC</vt:lpstr>
      <vt:lpstr>LAGEFIN</vt:lpstr>
      <vt:lpstr>lavcart4</vt:lpstr>
      <vt:lpstr>LAVEFC</vt:lpstr>
      <vt:lpstr>LAVENIACART2</vt:lpstr>
      <vt:lpstr>LAVENIACARTERA</vt:lpstr>
      <vt:lpstr>LAVENIAFIN</vt:lpstr>
      <vt:lpstr>MAICART1</vt:lpstr>
      <vt:lpstr>MARCART4</vt:lpstr>
      <vt:lpstr>MARUCA24</vt:lpstr>
      <vt:lpstr>MARUCAALIM</vt:lpstr>
      <vt:lpstr>MARUCACARTERA</vt:lpstr>
      <vt:lpstr>MARUCAFIN</vt:lpstr>
      <vt:lpstr>MARUCART2</vt:lpstr>
      <vt:lpstr>MARUFC</vt:lpstr>
      <vt:lpstr>MONTE24</vt:lpstr>
      <vt:lpstr>MONTECART4</vt:lpstr>
      <vt:lpstr>'MON2'!MONTEFC</vt:lpstr>
      <vt:lpstr>MONTEFC</vt:lpstr>
      <vt:lpstr>'MON2'!MONTENALIM</vt:lpstr>
      <vt:lpstr>MONTENALIM</vt:lpstr>
      <vt:lpstr>MONTENCART2</vt:lpstr>
      <vt:lpstr>'MON2'!MONTENEFIN</vt:lpstr>
      <vt:lpstr>MONTENEFIN</vt:lpstr>
      <vt:lpstr>MONTENEGROCARTERA</vt:lpstr>
      <vt:lpstr>PECH</vt:lpstr>
      <vt:lpstr>PECH24</vt:lpstr>
      <vt:lpstr>PEREFC</vt:lpstr>
      <vt:lpstr>PEREZ</vt:lpstr>
      <vt:lpstr>PEREZALIM</vt:lpstr>
      <vt:lpstr>RETAALIM</vt:lpstr>
      <vt:lpstr>RETAMAR24</vt:lpstr>
      <vt:lpstr>RETAMARCARTERA</vt:lpstr>
      <vt:lpstr>RETAMCART2</vt:lpstr>
      <vt:lpstr>RETAMFIN</vt:lpstr>
      <vt:lpstr>RETCAR4</vt:lpstr>
      <vt:lpstr>RETFC</vt:lpstr>
      <vt:lpstr>ROTEFC</vt:lpstr>
      <vt:lpstr>ROTELA</vt:lpstr>
      <vt:lpstr>ROTELACARTERA</vt:lpstr>
      <vt:lpstr>rotelafin</vt:lpstr>
      <vt:lpstr>ROTELALIM</vt:lpstr>
      <vt:lpstr>tmkpechhhh24</vt:lpstr>
      <vt:lpstr>trim2024</vt:lpstr>
      <vt:lpstr>VANEALIM</vt:lpstr>
      <vt:lpstr>VARFC</vt:lpstr>
      <vt:lpstr>VARGALIM</vt:lpstr>
      <vt:lpstr>VARGAS24</vt:lpstr>
      <vt:lpstr>VARGASCART2</vt:lpstr>
      <vt:lpstr>VARGASCARTERA</vt:lpstr>
      <vt:lpstr>VARGASFIN</vt:lpstr>
      <vt:lpstr>VARGCART4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Pinotti</cp:lastModifiedBy>
  <dcterms:created xsi:type="dcterms:W3CDTF">2025-11-24T22:01:37Z</dcterms:created>
  <dcterms:modified xsi:type="dcterms:W3CDTF">2025-11-24T22:01:38Z</dcterms:modified>
</cp:coreProperties>
</file>